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<sst xmlns="http://schemas.openxmlformats.org/spreadsheetml/2006/main" count="305677" uniqueCount="64603">
  <si>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</si>
  <si>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</si>
  <si>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</si>
  <si>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</si>
  <si>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</si>
  <si>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</si>
  <si>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</si>
  <si>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</si>
  <si>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</si>
  <si>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</si>
  <si>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</si>
  <si>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</si>
  <si>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</si>
  <si>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</si>
  <si>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</si>
  <si>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</si>
  <si>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</si>
  <si>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</si>
  <si>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</si>
  <si>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</si>
  <si>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</si>
  <si>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</si>
  <si>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</si>
  <si>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</si>
  <si>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BARANGAY POBLACION, CALANASAN, APAYAO</t>
  </si>
  <si>
    <t>BARANGAY BISLIG - SAN ANDRES CATANDUANES</t>
  </si>
  <si>
    <t>SOMBITO ELEMENTARY SCHOOL</t>
  </si>
  <si>
    <t>TIGLAWIGAN NATIONAL HIGH SCHOOL SENIOR HIGH SCHOOL</t>
  </si>
  <si>
    <t>PHILIPPINE AMUSEMENT AND GAMING CORPORATION</t>
  </si>
  <si>
    <t>PHILIPPINE CROP INSURANCE CORPORATION - REGION VIII</t>
  </si>
  <si>
    <t>MUNICIPALITY OF NAGUILIAN, LA UNION</t>
  </si>
  <si>
    <t>PROVINCE OF SULTAN KUDARAT</t>
  </si>
  <si>
    <t>PATIN-AY NATIONAL HIGH SCHOOL - PROSPERIDAD AGUSAN DEL SUR</t>
  </si>
  <si>
    <t>MUNICIPALITY OF LOBOC, BOHOL</t>
  </si>
  <si>
    <t>BARANGAY AYALA ALABANG, MUNTINLUPA CITY</t>
  </si>
  <si>
    <t>KAMAKAWAN ELEMENTARY SCHOOL - CAGAYAN DE ORO CITY MISAMIS OR</t>
  </si>
  <si>
    <t>MUNICIPALITY OF POZORRUBIO, PANGASINAN</t>
  </si>
  <si>
    <t>CITY OF DIPOLOG, ZAMBOANGA DEL NORTE</t>
  </si>
  <si>
    <t>MINDANAO STATE UNIVERSITY - TAWI-TAWI</t>
  </si>
  <si>
    <t>CITY OF TACURONG, SULTAN KUDARAT</t>
  </si>
  <si>
    <t>PULUNG SANTOL NATIONAL HIGH SCHOOL</t>
  </si>
  <si>
    <t>BARANGAY DARAHUWAY GOTE, CATBALOGAN CITY</t>
  </si>
  <si>
    <t>CITY OF CAGAYAN DE ORO, MISAMIS ORIENTAL</t>
  </si>
  <si>
    <t>BARANGAY PANGDAN, CATBALOGAN CITY</t>
  </si>
  <si>
    <t>TARLAC STATE UNIVERSITY</t>
  </si>
  <si>
    <t>BARANGAY ILIAN - MAGPET COTABATO</t>
  </si>
  <si>
    <t>BARANGAY LOBO, CATBALOGAN, SAMAR</t>
  </si>
  <si>
    <t>BARANGAY SAN MIGUEL - CALUMPIT BULACAN</t>
  </si>
  <si>
    <t>DEPARTMENT OF PUBLIC WORKS AND HIGHWAYS - REGION X</t>
  </si>
  <si>
    <t>CITY OF CALAMBA, LAGUNA</t>
  </si>
  <si>
    <t>PROVINCE OF ILOCOS NORTE</t>
  </si>
  <si>
    <t>BARANGAY TAMBULILID ORMOC, CITY</t>
  </si>
  <si>
    <t>MUNICIPALITY OF SAN JUAN, BATANGAS</t>
  </si>
  <si>
    <t>MUNICIPALITY OF LEMERY, BATANGAS</t>
  </si>
  <si>
    <t>BARANGAY VILLA PANI-AN - ESTANCIA ILOILO</t>
  </si>
  <si>
    <t>CITY OF MANDAUE, CEBU</t>
  </si>
  <si>
    <t>MUNICIPALITY OF SANTA FE, NUEVA VIZCAYA</t>
  </si>
  <si>
    <t>MUNICIPALITY OF CALAUAG, QUEZON</t>
  </si>
  <si>
    <t>CITY OF LAPU-LAPU</t>
  </si>
  <si>
    <t>VALENCIA CITY WATER DISTRICT</t>
  </si>
  <si>
    <t>BARANGAY MAGKAALAM - MAGPET COTABATO</t>
  </si>
  <si>
    <t>MUNICIPALITY OF LAS NIEVES , AGUSAN DEL NORTE</t>
  </si>
  <si>
    <t>BARANGAY NAURING - PANDAN, ANTIQUE</t>
  </si>
  <si>
    <t>NATIONAL TELECOMMUNICATIONS COMMISSION - REGION V</t>
  </si>
  <si>
    <t>PROVINCE OF LAGUNA</t>
  </si>
  <si>
    <t>MUNICIPALITY OF STA. MAGDALENA, SORSOGON</t>
  </si>
  <si>
    <t>MUNICIPALITY OF GENERAL NAKAR, QUEZON</t>
  </si>
  <si>
    <t>MUNICIPALITY OF BUENAVISTA, AGUSAN DEL NORTE</t>
  </si>
  <si>
    <t>METROPOLITAN NAGA WATER DISTRICT</t>
  </si>
  <si>
    <t>NATIONAL IRRIGATION ADMINISTRATION - LARISIP</t>
  </si>
  <si>
    <t>CITY OF MARIKINA</t>
  </si>
  <si>
    <t>MUNICIPALITY OF MALUNGON, SARANGANI</t>
  </si>
  <si>
    <t>DEPARTMENT OF PUBLIC WORKS AND HIGHWAYS - SOUTHERN LEYTE DEO</t>
  </si>
  <si>
    <t>BARANGAY CARISQUIS, LUNA, LA UNION</t>
  </si>
  <si>
    <t>CITY OF TANGUB</t>
  </si>
  <si>
    <t>BARANGAY IDIACACAN PANDAN ANTIQUE</t>
  </si>
  <si>
    <t>CITY GOVERNMENT OF LUCENA</t>
  </si>
  <si>
    <t>MUNICIPALITY OF TUMAUINI, ISABELA</t>
  </si>
  <si>
    <t>BARANGAY CANGBAGSA LARENA SIQUIJOR</t>
  </si>
  <si>
    <t>DEPARTMENT OF ENVIRONMENT AND NATURAL RESOURCES - MAIN</t>
  </si>
  <si>
    <t>TECHNOLOGICAL UNIVERSITY OF THE PHILIPPINES - TAGUIG CAMPUS</t>
  </si>
  <si>
    <t>PROVINCE OF PANGASINAN</t>
  </si>
  <si>
    <t>CITY OF CEBU, CEBU</t>
  </si>
  <si>
    <t>CAIBIRAN NATIONAL HIGH SCHOOL - CAIBIRAN BILIRAN</t>
  </si>
  <si>
    <t>DEPARTMENT OF PUBLIC WORKS AND HIGHWAYS - REGION V</t>
  </si>
  <si>
    <t>DEPARTMENT OF PUBLIC WORKS AND HIGHWAYS - REGION XI</t>
  </si>
  <si>
    <t>MUNICIPALITY OF LOS BAÑOS, LAGUNA</t>
  </si>
  <si>
    <t>BARANGAY MAG-ABA PANDAN ANTIQUE</t>
  </si>
  <si>
    <t>MUNICIPALITY OF LIBERTAD, ANTIQUE</t>
  </si>
  <si>
    <t>PROVINCE OF SOUTHERN LEYTE</t>
  </si>
  <si>
    <t>CITY OF SAN CARLOS, NEGROS OCCIDENTAL</t>
  </si>
  <si>
    <t>WESTERN PHILIPPINES UNIVERSITY</t>
  </si>
  <si>
    <t>BARANGAY NEW MAHAYAG, CATBALOGAN, SAMAR</t>
  </si>
  <si>
    <t>PAG-IBIG FUND - REGION II</t>
  </si>
  <si>
    <t>BARANGAY STO. NIÑO, SAN ISIDRO, DAVAO DEL NORTE</t>
  </si>
  <si>
    <t>MUNICIPALITY OF LA PAZ, LEYTE</t>
  </si>
  <si>
    <t>MANGALDAN WATER DISTRICT</t>
  </si>
  <si>
    <t>MUNICIPALITY OF MALITA, DAVAO OCCIDENTAL</t>
  </si>
  <si>
    <t>CITY OF LEGAZPI, ALBAY</t>
  </si>
  <si>
    <t>CITY OF BISLIG, SURIGAO DEL SUR</t>
  </si>
  <si>
    <t>MUNICIPALITY OF ATIMONAN, QUEZON</t>
  </si>
  <si>
    <t>CITY OF QUEZON</t>
  </si>
  <si>
    <t>MUNICIPALITY OF ALBUERA, LEYTE</t>
  </si>
  <si>
    <t>PALIPARAN III SENIOR HIGH SCHOOL</t>
  </si>
  <si>
    <t>ANTI-MONEY LAUNDERING COUNCIL</t>
  </si>
  <si>
    <t>PHILIPPINE NATIONAL POLICE - INFORMATION TECHNOLOGY MANAGEME</t>
  </si>
  <si>
    <t>DEPARTMENT OF AGRICULTURE - REGION X</t>
  </si>
  <si>
    <t>BARANGAY CABARIUAN, SIBALOM, ANTIQUE</t>
  </si>
  <si>
    <t>MUNICIPALITY OF SIBUTAD, ZAMBOANGA DEL NORTE</t>
  </si>
  <si>
    <t>BARANGAY MARIA FE, ORANI, BATAAN</t>
  </si>
  <si>
    <t>PAG-IBIG FUND - DAVAO HUB (TECHNICAL AND ADMIN SUPPORT)</t>
  </si>
  <si>
    <t>BARANGAY BACULIN, BAGANGA, DAVAO ORIENTAL</t>
  </si>
  <si>
    <t>BARANGAY JINALINAN - PANDAN ANTIQUE</t>
  </si>
  <si>
    <t>JUAN F. TRIVIÑO MEMORIAL HIGH SCHOOL</t>
  </si>
  <si>
    <t>BARANGAY MALANDAY, MARIKINA CITY</t>
  </si>
  <si>
    <t>DEPARTMENT OF PUBLIC WORKS AND HIGHWAYS - AKLAN DEO</t>
  </si>
  <si>
    <t>BARANGAY MOCAG, BAGGAO, CAGAYAN</t>
  </si>
  <si>
    <t>BARANGAY BARSAT WEST, BAGGAO, CAGAYAN</t>
  </si>
  <si>
    <t>BARANGAY BAGUNOT, BAGGAO, CAGAYAN</t>
  </si>
  <si>
    <t>CITY OF TACLOBAN, LEYTE</t>
  </si>
  <si>
    <t>BARANGAY HACIENDA INTAL, BAGGAO, CAGAYAN</t>
  </si>
  <si>
    <t>REGIONAL PLANNING &amp; DEVELOPMENT OFFICE  - ARMM</t>
  </si>
  <si>
    <t>NATIONAL ECONOMIC AND DEVELOPMENT AUTHORITY - RVII</t>
  </si>
  <si>
    <t>MUNTINLUPA NATIONAL HIGH SCHOOL</t>
  </si>
  <si>
    <t>BARANGAY SUSUGAEN, PASUQUIN, ILOCOS NORTE</t>
  </si>
  <si>
    <t>BARANGAY 07, CARUAN, PASUQUIN, ILOCOS NORTE</t>
  </si>
  <si>
    <t>BARANGAY 6 DILAVO, PASUQUIN, ILOCOS NORTE</t>
  </si>
  <si>
    <t>BARANGAY 21 DADAEMAN</t>
  </si>
  <si>
    <t>HANAWAN NATIONAL HIGH SCHOOL</t>
  </si>
  <si>
    <t>MUNICIPALITY OF QUEZON, NUEVA ECIJA</t>
  </si>
  <si>
    <t>CITY OF SORSOGON, SORSOGON</t>
  </si>
  <si>
    <t>BUREAU OF AGRICULTURAL AND FISHERIES ENGINEERING - QUEZON CI</t>
  </si>
  <si>
    <t>DEPARTMENT OF SOCIAL WELFARE AND DEVELOPMENT - MAIN</t>
  </si>
  <si>
    <t>BARANGAY 26 SALPAD, PASUQUIN, ILOCOS NORTE</t>
  </si>
  <si>
    <t>BARANGAY 10 ESTANCIA, PASUQUIN, ILOCOS NORTE</t>
  </si>
  <si>
    <t>MUNICIPALITY OF DUPAX DEL NORTE, NUEVA VIZCAYA</t>
  </si>
  <si>
    <t>BARANGAY TAGUING, BAGGAO, CAGAYAN</t>
  </si>
  <si>
    <t>BARANGAY 25 PRAGATA, PASUQUN, ILOCOS NORTE</t>
  </si>
  <si>
    <t>BARANGAY POBLACION 2, PASUQUIN, ILOCOS NORTE</t>
  </si>
  <si>
    <t>BARANGAY 14 BINSANG, PASUQUIN, ILOCOS NORTE</t>
  </si>
  <si>
    <t>BARANGAY SURONG, PASUQUIN, ILOCOS NORTE</t>
  </si>
  <si>
    <t>CITY  OF CADIZ, NEGROS OCCIDENTAL</t>
  </si>
  <si>
    <t>BARANGAY #8 SULONGAN PASUQUIN ILOCOS NORTE</t>
  </si>
  <si>
    <t>MUNICIPALITY OF KIANGAN, IFUGAO</t>
  </si>
  <si>
    <t>BARANGAY MABINI, LIPA CITY</t>
  </si>
  <si>
    <t>LOCAL GOVERNMENT UNIT OF DAET</t>
  </si>
  <si>
    <t>MUNICIPALITY OF ARGAO, CEBU</t>
  </si>
  <si>
    <t>BRGY. ANDRES BONIFACIO, SAN NARCISO, QUEZON</t>
  </si>
  <si>
    <t>114TH CONTRACTING OFFICE FOR INFRASTRUCTURE, AFPPS</t>
  </si>
  <si>
    <t>MUNICIPALITY OF KABASALAN, ZAMBOANGA SIBUGAY</t>
  </si>
  <si>
    <t>DON CARLOS CENTRAL ELEMENTARY SCHOOL</t>
  </si>
  <si>
    <t>BARANGAY CAL-LITANG - STA. MARIA, PANGASINAN</t>
  </si>
  <si>
    <t>BARANGAY MABUTTAL EAST, BALLESTEROS, CAGAYAN</t>
  </si>
  <si>
    <t>MAKAPUYAT NATIONAL HIGH SCHOOL - SANTA CRUZ EAST DISTRICT</t>
  </si>
  <si>
    <t>BARANGAY DUANG NIOG, LIBMANAN, CAMARINES SUR</t>
  </si>
  <si>
    <t>BARANGAY MANANGLE, SIPOCOT, CAMARINES SUR</t>
  </si>
  <si>
    <t>BARANGAY ALACALIAN, TAYTAY, PALAWAN</t>
  </si>
  <si>
    <t>SALAWAGAN CENTRAL ELEMENTARY SCHOOL</t>
  </si>
  <si>
    <t>BARANGAY VALLE CRUZ CABANATUAN NUEVA ECIJA</t>
  </si>
  <si>
    <t>BARANGAY FUGU, BALLESTEROS, CAGAYAN</t>
  </si>
  <si>
    <t>MUNICIPALITY OF MUNAI LANAO DEL NORTE</t>
  </si>
  <si>
    <t>NATIONAL ECONOMIC AND DEVELOPMENT AUTHORITY - MAIN</t>
  </si>
  <si>
    <t>BARANGAY RODRIGUEZ - MACALELON QUEZON</t>
  </si>
  <si>
    <t>DANGCAGAN NATIONAL HIGH SCHOOL</t>
  </si>
  <si>
    <t>BARANGAY LIGAYA, GABALDON, NUEVA ECIJA</t>
  </si>
  <si>
    <t>PHILIPPINE INSTITUTE FOR DEVELOPMENT STUDIES</t>
  </si>
  <si>
    <t>BARANGAY LUCKY, LEMERY, BATANGAS</t>
  </si>
  <si>
    <t>PROVINCIAL GOVERNMENT OF CAMARINES NORTE</t>
  </si>
  <si>
    <t>NEGROS ORIENTAL STATE UNIVERSITY</t>
  </si>
  <si>
    <t>MUNICIPALITY OF GUMACA, QUEZON</t>
  </si>
  <si>
    <t>BARANGAY MASALISI, LEMERY, BATANGAS</t>
  </si>
  <si>
    <t>DEPARTMENT OF ENVIRONMENT AND NATURAL RESOURCES - REGION IX</t>
  </si>
  <si>
    <t>BARANGAY ANAHAW, HINDANG, LEYTE</t>
  </si>
  <si>
    <t>MUNICIPALITY OF STO. TOMAS, DAVAO DEL NORTE</t>
  </si>
  <si>
    <t>LIMAY WATER DISTRICT</t>
  </si>
  <si>
    <t>SOUTHERN LEYTE STATE UNIVERSITY</t>
  </si>
  <si>
    <t>MUNICIPALITY OF LAKE WOOD, ZAMBOANGA DEL SUR</t>
  </si>
  <si>
    <t>DICT, FIELD OPERATIONS OFFICE, LUZON CLUSTER 1</t>
  </si>
  <si>
    <t>JOSE R. REYES MEMORIAL MEDICAL CENTER</t>
  </si>
  <si>
    <t>MAMBUGAN NATIONAL HIGH SCHOOL</t>
  </si>
  <si>
    <t>BARANGAY BEL-AIR, MAKATI CITY</t>
  </si>
  <si>
    <t>MUNICIPALITY OF SAMAL, BATAAN</t>
  </si>
  <si>
    <t>BARANGAY MALARUHATAN, LIAN, BATANGAS</t>
  </si>
  <si>
    <t>MUNICIPALITY OF MAGPET - NORTH COTABATO</t>
  </si>
  <si>
    <t>CITY OF OROQUIETA, MISAMIS OCCIDENTAL</t>
  </si>
  <si>
    <t>PROVINCE OF DAVAO DEL NORTE</t>
  </si>
  <si>
    <t>PROVINCE OF CEBU</t>
  </si>
  <si>
    <t>CITY OF DUMAGUETE, NEGROS ORIENTAL</t>
  </si>
  <si>
    <t>MUNICIPALITY OF MONKAYO, COMPOSTELA VALLEY</t>
  </si>
  <si>
    <t>MUNICIPALITY OF CAPOOCAN, LEYTE</t>
  </si>
  <si>
    <t>CITY OF DIGOS, DAVAO DEL SUR</t>
  </si>
  <si>
    <t>MUNICIPALITY OF BUGASONG, ANTIQUE</t>
  </si>
  <si>
    <t>BICOL MEDICAL CENTER</t>
  </si>
  <si>
    <t>MUNICIPALITY OF MANSALAY, ORIENTAL MINDORO</t>
  </si>
  <si>
    <t>LINGI-ON ELEMENTARY SCHOOL</t>
  </si>
  <si>
    <t>MUNICIPALITY OF NUEVA VALENCIA, GUIMARAS</t>
  </si>
  <si>
    <t>MUNICIPALITY OF CARRASCAL, SURIGAO DEL SUR</t>
  </si>
  <si>
    <t>MUNICIPALITY OF TAGO, SURIGAO DEL SUR</t>
  </si>
  <si>
    <t>MUNICIPAL GOVERNMENT OF TIAONG, QUEZON</t>
  </si>
  <si>
    <t>MUNICIPALITY OF VERUELA, AGUSAN DEL SUR</t>
  </si>
  <si>
    <t>LUNG CENTER OF THE PHILIPPINES</t>
  </si>
  <si>
    <t>DEPARTMENT OF LABOR AND EMPLOYMENT - MAIN</t>
  </si>
  <si>
    <t>MUNICIPALITY OF NABUNTURAN, COMPOSTELA VALLEY</t>
  </si>
  <si>
    <t>MUNICIPALITY OF QUEZON , BUKIDNON</t>
  </si>
  <si>
    <t>MUNICIPALITY OF CABA, LA UNION</t>
  </si>
  <si>
    <t>MUNICIPALITY OF ALCANTARA, ROMBLON</t>
  </si>
  <si>
    <t>MUNICIPALITY OF MALANGAS, ZAMBOANGA SIBUGAY</t>
  </si>
  <si>
    <t>MUNICIPALITY OF NAGTIPUNAN, QUIRINO</t>
  </si>
  <si>
    <t>MUNICIPALITY OF MARIHATAG, SURIGAO DEL SUR</t>
  </si>
  <si>
    <t>MUNICIPALITY OF CONCEPCION, TARLAC</t>
  </si>
  <si>
    <t>MUNICIPALITY OF CALANASAN, APAYAO</t>
  </si>
  <si>
    <t>BATANGAS MEDICAL CENTER</t>
  </si>
  <si>
    <t>BATANGAS STATE UNIVERSITY</t>
  </si>
  <si>
    <t>ADELA SERRA TY MEMORIAL MEDICAL CENTER</t>
  </si>
  <si>
    <t>AURORA STATE COLLEGE OF TECHNOLOGY</t>
  </si>
  <si>
    <t>MUNICIPALITY OF GETAFE, BOHOL</t>
  </si>
  <si>
    <t>BARANGAY KATIPUNAN, ABUYOG, LEYTE</t>
  </si>
  <si>
    <t>BUREAU OF FISHERIES AND AQUATIC RESOURCES - REGION XII</t>
  </si>
  <si>
    <t>MUNICIPALITY OF PILAR, BATAAN</t>
  </si>
  <si>
    <t>PROVINCE OF NORTHERN SAMAR</t>
  </si>
  <si>
    <t>MUNICIPALITY OF ODIONGAN, ROMBLON</t>
  </si>
  <si>
    <t>DEPARTMENT OF ENVIRONMENT AND NATURAL RESOURCES - ILOCOS NOR</t>
  </si>
  <si>
    <t>BARANGAY SAN ROQUE II, BACARRA, ILOCOS NORTE</t>
  </si>
  <si>
    <t>MUNICIPALITY  OF BANATE, ILOILO</t>
  </si>
  <si>
    <t>DEPARTMENT OF AGRARIAN REFORM - AGUSAN DEL NORTE</t>
  </si>
  <si>
    <t>HOME DEVELOPMENT MUTUAL FUND - REGION VII</t>
  </si>
  <si>
    <t>STO. NIÑO WATER DISTRICT</t>
  </si>
  <si>
    <t>MUNICIPALIY OF PANITAN, CAPIZ</t>
  </si>
  <si>
    <t>MUNICIPALITY OF BAGANGA, DAVAO ORIENTAL</t>
  </si>
  <si>
    <t>MUNICIPALITY OF BILAR, BOHOL</t>
  </si>
  <si>
    <t>MUNICIPALITY OF MAGALLANES, SORSOGON</t>
  </si>
  <si>
    <t>CITY OF LAS PIÑAS</t>
  </si>
  <si>
    <t>PROVINCE OF SARANGANI</t>
  </si>
  <si>
    <t>PROVINCE OF ZAMBOANGA DEL NORTE</t>
  </si>
  <si>
    <t>PROVINCE OF DINAGAT ISLANDS</t>
  </si>
  <si>
    <t>113RD CO AFP PROCUREMENT SERVICE</t>
  </si>
  <si>
    <t>MUNICIPALITY OF PADRE BURGOS, SOUTHERN LEYTE</t>
  </si>
  <si>
    <t>VALENZUELA MEDICAL CENTER</t>
  </si>
  <si>
    <t>VETERANS MEMORIAL MEDICAL CENTER, DND</t>
  </si>
  <si>
    <t>BARANGAY COTTA, LUCENA CITY</t>
  </si>
  <si>
    <t>CUMU INTEGRATED SCHOOL</t>
  </si>
  <si>
    <t>BARANGAY SAN LUIS - TUAO CAGAYAN</t>
  </si>
  <si>
    <t>DEPARTMENT OF  EDUCATION - DIVISION OF CAUAYAN CITY</t>
  </si>
  <si>
    <t>CITY OF TANDAG, SURIGAO DEL SUR</t>
  </si>
  <si>
    <t>MUNICIPALITY OF SUDIPEN, LA UNION</t>
  </si>
  <si>
    <t>BARANGAY PARAISO, CALATAGAN, BATANGAS</t>
  </si>
  <si>
    <t>SAN MATEO NORTH CENTRAL SCHOOL - SAN MATEO ISABELA</t>
  </si>
  <si>
    <t>PHILIPPINE HEART CENTER</t>
  </si>
  <si>
    <t>BAGUIO GENERAL HOSPITAL AND MEDICAL CENTER</t>
  </si>
  <si>
    <t>PEÑARANDA WATER DISTRICT</t>
  </si>
  <si>
    <t>PHILIPPINE STATISTICS AUTHORITY - REGION IV-B</t>
  </si>
  <si>
    <t>MUNICIPALITY OF RIZAL,PALAWAN</t>
  </si>
  <si>
    <t>MUNICIPALITY OF TIAONG, QUEZON</t>
  </si>
  <si>
    <t>MUNICIPALITY OF MONTEVISTA, COMPOSTELA VALLEY</t>
  </si>
  <si>
    <t>FOOD AND DRUG ADMINISTRATION</t>
  </si>
  <si>
    <t>CITY OF MATI, PROVINCE OF DAVAO ORIENTAL</t>
  </si>
  <si>
    <t>CITY OF SAN FERNANDO, LA UNION</t>
  </si>
  <si>
    <t>MUNICIPALITY OF ROXAS, ISABELA</t>
  </si>
  <si>
    <t>CITY OF BAYAWAN, NEGROS ORIENTAL</t>
  </si>
  <si>
    <t>MUNICIPALITY OF CORDON, ISABELA</t>
  </si>
  <si>
    <t>DEPARTMENT OF EDUCATION - DIVISION OF DAVAO ORIENTAL</t>
  </si>
  <si>
    <t>PAROLE AND PROBATION ADMINISTRATION - REGION IV</t>
  </si>
  <si>
    <t>MUNICIPALITY  OF SAN JOSE, NEGROS ORIENTAL</t>
  </si>
  <si>
    <t>MUNICIPALITY OF DINGLE, ILOILO</t>
  </si>
  <si>
    <t>BARANGAY MALUMMIN, TUAO, CAGAYAN</t>
  </si>
  <si>
    <t>MARINDUQUE STATE COLLEGE</t>
  </si>
  <si>
    <t>MUNICIPALITY OF BUCAY, ABRA</t>
  </si>
  <si>
    <t>BARANGAY LARAY, ABUYOG, LEYTE</t>
  </si>
  <si>
    <t>BUREAU OF INTERNAL REVENUE</t>
  </si>
  <si>
    <t>MUNICIPALITY OF NARRA, PALAWAN</t>
  </si>
  <si>
    <t>BUREAU OF FISHERIES AND AQUATIC RESOURCES</t>
  </si>
  <si>
    <t>BENGUET STATE UNIVERSITY</t>
  </si>
  <si>
    <t>BARANGAY  MALIBATUAN - ARAKAN  COTABATO</t>
  </si>
  <si>
    <t>CITY OF GAPAN, NUEVA ECIJA</t>
  </si>
  <si>
    <t>MARCIAL O. RANOLA MEMORIAL SCHOOL-RV</t>
  </si>
  <si>
    <t>ARGAO NATIONAL HIGH SCHOOL</t>
  </si>
  <si>
    <t>CITY OF TARLAC, TARLAC</t>
  </si>
  <si>
    <t>DEPARTMENT OF SOCIAL WELFARE AND DEVELOPMENT - REGION V</t>
  </si>
  <si>
    <t>PHILIPPINE NATIONAL RAILWAYS</t>
  </si>
  <si>
    <t>QUIRINO STATE UNIVERSITY</t>
  </si>
  <si>
    <t>302ND CONTRACTING OFFICE, AFP PROCUREMENT SERVICE</t>
  </si>
  <si>
    <t>AGRICULTURAL TRAINING INSTITUTE-REGIONAL TRAINING CENTER X</t>
  </si>
  <si>
    <t>ROXAS CITY GOVERNMENT</t>
  </si>
  <si>
    <t>NATIONAL ECONOMIC AND DEVELOPMENT AUTHORITY - CARAGA</t>
  </si>
  <si>
    <t>BARANGAY SAN JUAN - TUAO CAGAYAN</t>
  </si>
  <si>
    <t>MUNICIPALITY OF LAVEZARES, NORTHERN SAMAR</t>
  </si>
  <si>
    <t>ILOILO STATE COLLEGE OF FISHERIES - DUMANGAS CAMPUS</t>
  </si>
  <si>
    <t>LIGA NG MGA BARANGAY, SAN LUIS, BATANGAS</t>
  </si>
  <si>
    <t>MUNICIPALITY OF BUUG - ZAMBOANGA SIBUGAY</t>
  </si>
  <si>
    <t>BARANGAY HINAPUYAN - CARMEN SURIGAO DEL SUR</t>
  </si>
  <si>
    <t>BARANGAY AGGAY - BANTAY ILOCOS SUR</t>
  </si>
  <si>
    <t>DEPARTMENT OF TOURISM - REGION V</t>
  </si>
  <si>
    <t>BARANGAY SAN JOSE, SAN FERNANDO CITY</t>
  </si>
  <si>
    <t>AGRICULTURAL TRAINING INSTITUTE - CAMARINES SUR</t>
  </si>
  <si>
    <t>ISABELA STATE UNIVERSITY - ECHAGUE</t>
  </si>
  <si>
    <t>MUNICIPALITY OF SAN LORENZO RUIZ, CAMARINES NORTE</t>
  </si>
  <si>
    <t>MUNICIPALITY OF AMLAN, NEGROS ORIENTAL</t>
  </si>
  <si>
    <t>MUNICIPALITY OF DINAGAT, DINAGAT ISLANDS</t>
  </si>
  <si>
    <t>GHQ PROCUREMENT CENTER, AFP PROCUREMENT SERVICE</t>
  </si>
  <si>
    <t>SURIGAO DEL NORTE COLLEGE OF AGRICULTURE &amp; TECHNOLOGY</t>
  </si>
  <si>
    <t>BARANGAY BUGNAY TUAO CAGAYAN</t>
  </si>
  <si>
    <t>CEBU TECHNOLOGICAL UNIVERSITY</t>
  </si>
  <si>
    <t>MUNICIPALITY OF DAMULOG, BUKIDNON</t>
  </si>
  <si>
    <t>ZAMBOANGA STATE COLLEGE OF MARINE SCIENCES AND TECHNOLOGY</t>
  </si>
  <si>
    <t>MUNICIPALITY OF BALINGASAG, MISAMIS ORIENTAL</t>
  </si>
  <si>
    <t>EASTERN VISAYAS REGIONAL MEDICAL CENTER - DOH</t>
  </si>
  <si>
    <t>CITY OF LAOAG, ILOCOS NORTE</t>
  </si>
  <si>
    <t>BICOL REGION GENERAL HOSPITAL AND GERIATRIC MEDICAL CENTER(F</t>
  </si>
  <si>
    <t>CRISOSTOMO O. RETES NATIONAL HIGH SCHOOL - SAN JOSE NEGROS O</t>
  </si>
  <si>
    <t>MUNICIPALITY OF ROSARIO, AGUSAN DEL SUR</t>
  </si>
  <si>
    <t>MUNICIPALITY OF TAYASAN, NEGROS ORIENTAL</t>
  </si>
  <si>
    <t>CITY OF VALENZUELA</t>
  </si>
  <si>
    <t>PHILIPPINE SCIENCE HIGH SCHOOL - MIMAROPA REGION CAMPUS</t>
  </si>
  <si>
    <t>DEVELOPMENT BANK OF THE PHILIPPINES - HEAD OFFICE</t>
  </si>
  <si>
    <t>BARANGAY PANAMAON, LORETO, DINAGAT ISLAND</t>
  </si>
  <si>
    <t>MUNICIPALITY OF TRENTO, AGUSAN DEL SUR</t>
  </si>
  <si>
    <t>MINDANAO STATE UNIVERSITY - NAAWAN</t>
  </si>
  <si>
    <t>MUNICIPALITY OF DUMANJUG, CEBU</t>
  </si>
  <si>
    <t>DAVAO DEL NORTE STATE COLLEGE</t>
  </si>
  <si>
    <t>BUREAU OF FISHERIES AND AQUATIC RESOURCES - REGION VIII</t>
  </si>
  <si>
    <t>CITY  OF CABANATUAN, NUEVA ECIJA</t>
  </si>
  <si>
    <t>PROVINCE OF AURORA</t>
  </si>
  <si>
    <t>BUREAU OF TREASURY - REGION XII</t>
  </si>
  <si>
    <t>BARANGAY VILLALAIDA - TUAO CAGAYAN</t>
  </si>
  <si>
    <t>BAYBAY CITY WATER DISTRICT</t>
  </si>
  <si>
    <t>GOVERNOR CELESTINO GALLARES MEMORIAL HOSPITAL</t>
  </si>
  <si>
    <t>BARANGAY POBLACION, LOOC, ROMBLON</t>
  </si>
  <si>
    <t>NATIONAL IRRIGATION ADMINISTRATION - UPRIIS, DIVISION 2</t>
  </si>
  <si>
    <t>CITY OF IMUS -  CAVITE</t>
  </si>
  <si>
    <t>PLARIDEL WATER DISTRICT</t>
  </si>
  <si>
    <t>DEPARTMENT OF PUBLIC WORKS AND HIGHWAYS - BATANES DEO</t>
  </si>
  <si>
    <t>DEPARTMENT OF AGRARIAN REFORM - REGION III PAMPANGA</t>
  </si>
  <si>
    <t>BARANGAY POBLACION 5, GEN. MARIANO ALVAREZ, CAVITE</t>
  </si>
  <si>
    <t>MUNICIPALITY OF PILA, LAGUNA</t>
  </si>
  <si>
    <t>MUNICIPALITY OF SISON, SURIGAO DEL NORTE</t>
  </si>
  <si>
    <t>SAN FRANCISCO XAVIER HIGH SCHOOL</t>
  </si>
  <si>
    <t>BARANGAY BULAON, SAN FERNANDO, PAMPANGA</t>
  </si>
  <si>
    <t>MUNICIPALITY OF MIDSALIP, ZAMBOANGA DEL SUR</t>
  </si>
  <si>
    <t>MUNICIPALITY OF SULTAN KUDARAT -  MAGUINDANAO</t>
  </si>
  <si>
    <t>MUNICIPALITY OF AMULUNG, CAGAYAN</t>
  </si>
  <si>
    <t>PROVINCE OF BATAAN</t>
  </si>
  <si>
    <t>MUNICIPALITY OF BANAYBANAY, DAVAO ORIENTAL</t>
  </si>
  <si>
    <t>MUNICIPALITY OF PITOGO, ZAMBOANGA DEL SUR</t>
  </si>
  <si>
    <t>CITY OF MANILA</t>
  </si>
  <si>
    <t>COTABATO REGIONAL AND MEDICAL CENTER</t>
  </si>
  <si>
    <t>BARANGAY MUNGO, TUAO, CAGAYAN</t>
  </si>
  <si>
    <t>BARANGAY STA. MARIA, MANSALAY, ORIENTAL MINDORO</t>
  </si>
  <si>
    <t>MUNICIPALITY OF CAMALIGAN, CAMARINES SUR</t>
  </si>
  <si>
    <t>PULONG BUHANGIN NATIONAL HIGH SCHOOL - STA. MARIA BULACAN</t>
  </si>
  <si>
    <t>DEPARTMENT OF PUBLIC WORKS AND HIGHWAYS - CAVITE 3RD DISTRIC</t>
  </si>
  <si>
    <t>MUNICIPALITY OF ALEGRIA, SURIGAO DEL NORTE</t>
  </si>
  <si>
    <t>BARANGAY  ANAPOLON ARAKAN COTABATO</t>
  </si>
  <si>
    <t>DEPARTMENT OF SOCIAL WELFARE AND DEVELOPMENT - REGION X</t>
  </si>
  <si>
    <t>CARAGA STATE UNIVERSITY</t>
  </si>
  <si>
    <t>BARANGAY VALDEZ, MARCOS, ILOCOS NORTE</t>
  </si>
  <si>
    <t>DEPARTMENT OF PUBLIC WORKS AND HIGHWAYS - BILIRAN ED</t>
  </si>
  <si>
    <t>MUNICIPALITY OF MANITO, ALBAY</t>
  </si>
  <si>
    <t>MUNICIPALITY OF SARIAYA, QUEZON</t>
  </si>
  <si>
    <t>BARANGAY DALLAG, ARAKAN, COTABATO</t>
  </si>
  <si>
    <t>MUNICIPALITY OF LIANGA, SURIGAO DEL SUR</t>
  </si>
  <si>
    <t>CITY OF BAGUIO, BENGUET</t>
  </si>
  <si>
    <t>MUNICIPALITY OF SIGMA, CAPIZ</t>
  </si>
  <si>
    <t>PROVINCE OF PALAWAN</t>
  </si>
  <si>
    <t>CADUANG TETE NATIONAL HIGH SCHOOL</t>
  </si>
  <si>
    <t>MUNICIPALITY OF CANDELARIA, ZAMBALES</t>
  </si>
  <si>
    <t>ENVIRONMENTAL MANAGEMENT BUREAU - REGION IX</t>
  </si>
  <si>
    <t>CITY OF SURIGAO, SURIGAO DEL NORTE</t>
  </si>
  <si>
    <t>BUREAU OF PLANT INDUSTRY - NPQSD BACOLOD CITY</t>
  </si>
  <si>
    <t>MUNICIPALITY OF NASIPIT, AGUSAN DEL NORTE</t>
  </si>
  <si>
    <t>BARANGAY BAMBANG, LOS BAÑOS, LAGUNA</t>
  </si>
  <si>
    <t>MUNICIPALITY OF ABUYOG, LEYTE</t>
  </si>
  <si>
    <t>MUNICIPALITY OF SIAYAN, ZAMBOANGA DEL NORTE</t>
  </si>
  <si>
    <t>VISAYAS STATE UNIVERSITY-ALANGALANG CAMPUS</t>
  </si>
  <si>
    <t>UNIVERSITY OF SOUTHERN MINDANAO</t>
  </si>
  <si>
    <t>CLARK DEVELOPMENT CORPORATION</t>
  </si>
  <si>
    <t>CITY OF SILAY, NEGROS OCCIDENTAL</t>
  </si>
  <si>
    <t>101ST CONTRACTING OFFICE, AFP PROCUREMENT SERVICE</t>
  </si>
  <si>
    <t>CITY OF DASMARIÑAS, CAVITE</t>
  </si>
  <si>
    <t>MUNICIPALITY OF HINUNDAYAN, SOUTHERN LEYTE</t>
  </si>
  <si>
    <t>ENVIRONMENTAL MANAGEMENT BUREAU-REGION XII</t>
  </si>
  <si>
    <t>NATIONAL IRRIGATION ADMINISTRATION - SKIMO</t>
  </si>
  <si>
    <t>CENTER FOR HEALTH DEVELOPMENT - REGION I</t>
  </si>
  <si>
    <t>BARANGAY BADIANGON ARAKAN COTABATO</t>
  </si>
  <si>
    <t>MUNICIPALITY OF VALLEHERMOSO, NEGROS</t>
  </si>
  <si>
    <t>CITY OF ALAMINOS, PANGASINAN</t>
  </si>
  <si>
    <t>MUNICIPALITY OF ESTANCIA, ILOILO</t>
  </si>
  <si>
    <t>GENERAL TRIAS CITY CAVITE</t>
  </si>
  <si>
    <t>PROVINCE OF NEGROS OCCIDENTAL</t>
  </si>
  <si>
    <t>IRISAN NATIONAL HIGH SCHOOL - BAGUIO CITY BENGUET</t>
  </si>
  <si>
    <t>DEPARTMENT OF SOCIAL WELFARE AND DEVELOPMENT - REGION III</t>
  </si>
  <si>
    <t>CITY OF BAGO, NEGROS OCCIDENTAL</t>
  </si>
  <si>
    <t>BARANGAY SOUTH CEMBO, MAKATI CITY</t>
  </si>
  <si>
    <t>UNIVERSITY OF THE PHILIPPINES - MANILA</t>
  </si>
  <si>
    <t>MUNICIPALITY OF CAMILING, TARLAC</t>
  </si>
  <si>
    <t>DEPARTMENT OF HEALTH - CENTER FOR HEALTH DEVELOPMENT BICOL</t>
  </si>
  <si>
    <t>MUNICIPALITY OF SALUG, ZAMBOANGA DEL NORTE</t>
  </si>
  <si>
    <t>DEPARTMENT OF PUBLIC WORKS AND HIGHWAYS - NEGROS ORIENTAL 2N</t>
  </si>
  <si>
    <t>MUNICIPALITY OF SIERRA BULLONES, BOHOL</t>
  </si>
  <si>
    <t>UNIVERSITY OF ANTIQUE</t>
  </si>
  <si>
    <t>MUNICIPALITY OF AROROY, MASBATE</t>
  </si>
  <si>
    <t>MUNICIPALITY OF ARAKAN, COTABATO</t>
  </si>
  <si>
    <t>MUNICIPALITY OF PARACALE, CAMARINES NORTE</t>
  </si>
  <si>
    <t>MUNICIPALITY OF MALAPATAN, SARANGANI</t>
  </si>
  <si>
    <t>ANGELES CITY WATER DISTRICT</t>
  </si>
  <si>
    <t>MUNICIPALITY OF TAYTAY, PALAWAN</t>
  </si>
  <si>
    <t>PROVINCE OF ALBAY</t>
  </si>
  <si>
    <t>MINES AND GEOSCIENCES BUREAU - CARAGA</t>
  </si>
  <si>
    <t>NATIONAL IRRIGATION ADMINISTRATION -CAUAYAN CITY ISABELA</t>
  </si>
  <si>
    <t>DEPARTMENT OF PUBLIC WORKS AND HIGHWAYS - BATANGAS 2ND ED</t>
  </si>
  <si>
    <t>TALIPAPA ELEMENTARY SCHOOL</t>
  </si>
  <si>
    <t>MUNICIPALITY OF VILLANUEVA, MISAMIS ORIENTAL</t>
  </si>
  <si>
    <t>MUNICIPALITY OF AGLIPAY, QUIRINO</t>
  </si>
  <si>
    <t>NORTHERN MINDANAO MEDICAL CENTER</t>
  </si>
  <si>
    <t xml:space="preserve">ISABELA EAST ELEMENTARY SCHOOL - SBFP </t>
  </si>
  <si>
    <t>MUNICIPALITY OF STA. LUCIA , ILOCOS SUR</t>
  </si>
  <si>
    <t>DEPARTMENT OF AGRICULTURE - REGION III</t>
  </si>
  <si>
    <t>DEPARTMENT OF ENVIRONMENT AND NATURAL RES. - PENRO MISAMIS O</t>
  </si>
  <si>
    <t>GUIUAN NATIONAL HIGH SCHOOL</t>
  </si>
  <si>
    <t>CITY OF BAYBAY, LEYTE</t>
  </si>
  <si>
    <t>BARANGAY STA.CRUZ, MAKATI CITY</t>
  </si>
  <si>
    <t>DEPARTMENT OF AGRARIAN REFORM - LANAO DEL NORTE</t>
  </si>
  <si>
    <t>CORAZON LOCSIN MONTELIBANO MEMORIAL REGIONAL HOSPITAL-DOH R6</t>
  </si>
  <si>
    <t>DEPARTMENT OF PUBLIC WORKS AND HIGHWAYS - DAVAO ORIENTAL 2ND</t>
  </si>
  <si>
    <t>MUNICIPALITY OF LABASON, ZAMBOANGA DEL NORTE</t>
  </si>
  <si>
    <t>MUNICIPALITY OF LOAY, BOHOL</t>
  </si>
  <si>
    <t>PROVINCE OF SORSOGON</t>
  </si>
  <si>
    <t>MARIVELES MENTAL WELLNESS AND GENERAL HOSPITAL</t>
  </si>
  <si>
    <t>BARANGAY POBLACION, ALCALA, PANGASINAN</t>
  </si>
  <si>
    <t>BARANGAY ALEJAL, CARMEN, DAVAO DEL NORTE</t>
  </si>
  <si>
    <t>PHILIPPINE HEALTH INSURANCE CORPORATION</t>
  </si>
  <si>
    <t>TECHNICAL EDUCATION AND SKILLS DEVELOPMENT AUTHORITY - PADAD</t>
  </si>
  <si>
    <t>MUNICIPALITY OF PANIQUI, TARLAC</t>
  </si>
  <si>
    <t>IFUGAO STATE UNIVERSITY</t>
  </si>
  <si>
    <t>CITY OF BUTUAN, AGUSAN DEL NORTE</t>
  </si>
  <si>
    <t>BARANGAY SAN ROQUE - TRENTO, AGUSAN DEL SUR</t>
  </si>
  <si>
    <t>BARANGAY BIGO, PAGBILAO, QUEZON</t>
  </si>
  <si>
    <t>DEPARTMENT OF PUBLIC WORKS AND HIGHWAYS - NORTHERN SAMAR 2ND</t>
  </si>
  <si>
    <t>MUNICIPALITY OF DON CARLOS, BUKIDNON</t>
  </si>
  <si>
    <t>CITY OF MALAYBALAY, BUKIDNON</t>
  </si>
  <si>
    <t>PROVINCE OF OCCIDENTAL MINDORO</t>
  </si>
  <si>
    <t>CIVIL AVIATION AUTHORITY OF THE PHILIPPINES - GEN. SANTOS</t>
  </si>
  <si>
    <t>STO. NIÑO ELEMENTARY SCHOOL - MARIKINA CITY</t>
  </si>
  <si>
    <t>SENATE OF THE PHILIPPINES</t>
  </si>
  <si>
    <t>STA. CRUZ ELEMENTARY SCHOOL</t>
  </si>
  <si>
    <t>DEPARTMENT OF HEALTH - EASTERN VISAYAS CENTER FOR HEALTH DEV</t>
  </si>
  <si>
    <t>MUNICIPALITY OF SANTA MARIA, ILOCOS SUR</t>
  </si>
  <si>
    <t>MUNICIPALITY OF MACALELON, QUEZON</t>
  </si>
  <si>
    <t>MUNICIPALITY OF ESPERANZA, SULTAN KUDARAT</t>
  </si>
  <si>
    <t>MUNICIPALITY OF SANTA BARBARA, PANGASINAN</t>
  </si>
  <si>
    <t>DEPARTMENT OF ENVIRONMENT AND NATURAL RES. - PENRO ZAMBALES</t>
  </si>
  <si>
    <t>DEPARTMENT OF EDUCATION - DIVISION OF SANTIAGO CITY</t>
  </si>
  <si>
    <t>MUNICIPALITY OF TUBUNGAN, ILOILO</t>
  </si>
  <si>
    <t>MUNICIPALITY OF JIMENEZ, MISAMIS OCCIDENTAL</t>
  </si>
  <si>
    <t>MUNICIPALITY OF MONCADA, TARLAC</t>
  </si>
  <si>
    <t>SK OF BARANGAY TABANGAO AMBULONG - BATANGAS CITY BATANGAS</t>
  </si>
  <si>
    <t>DEPARTMENT OF PUBLIC WORKS AND HIGHWAYS - SULTAN KUDARAT 1ST</t>
  </si>
  <si>
    <t>DEPARTMENT OF SOCIAL WELFARE AND DEVELOPMENT - REGION II</t>
  </si>
  <si>
    <t>DEPARTMENT OF EDUCATION - DIVISION OF BOHOL</t>
  </si>
  <si>
    <t>104TH CONTRACTING OFFICE, AFP PROCUREMENT SERVICE</t>
  </si>
  <si>
    <t>MUNICIPALITY OF VALENCIA, NEGROS ORIENTAL</t>
  </si>
  <si>
    <t>MUNICIPALITY OF BANI, PANGASINAN</t>
  </si>
  <si>
    <t>MUNICIPALITY OF MADRIDEJOS, CEBU</t>
  </si>
  <si>
    <t>PROVINCE OF BENGUET</t>
  </si>
  <si>
    <t>BARANGAY CUYAPIAO - PATNONGON ANTIQUE</t>
  </si>
  <si>
    <t>MUNICIPALITY OF NAUJAN, ORIENTAL MINDORO</t>
  </si>
  <si>
    <t>BARANGAY PATAG, CAGAYAN DE ORO CITY, MISAMIS ORIENTAL</t>
  </si>
  <si>
    <t>MUNICIPALITY OF STA.CRUZ, DAVAO DEL SUR</t>
  </si>
  <si>
    <t>UNIVERSITY OF THE PHILIPPINES - LOS BAÑOS</t>
  </si>
  <si>
    <t>BARANGAY AL-ALINAO NORTE, NAGUILIAN, LA UNION</t>
  </si>
  <si>
    <t>DEPARTMENT OF INFORMATION AND COMMUNICATIONS TECHNOLOGY - DA</t>
  </si>
  <si>
    <t>BARANGAY MULANSONG - SAN PABLO ZAMBOANGA DEL SUR</t>
  </si>
  <si>
    <t>PINTONG GUBAT ELEMENTARY SCHOOL</t>
  </si>
  <si>
    <t>BARANGAY SAN ANDRES LABAK,ATIMONAN, QUEZON</t>
  </si>
  <si>
    <t>CAPIZ STATE UNIVERSITY - CENTRAL ADMINISTRATION</t>
  </si>
  <si>
    <t>BARANGAY KILIM - BAYBAY CITY LEYTE</t>
  </si>
  <si>
    <t>BARANGAY SAN ANDRES BUNDOK, ATIMONAN, QUEZON</t>
  </si>
  <si>
    <t>DEPARTMENT OF EDUCATION - DIVISION OF ILAGAN CITY</t>
  </si>
  <si>
    <t>CITY OF SANTIAGO, ISABELA</t>
  </si>
  <si>
    <t>BARANDIAS ELEMENTARY SCHOOL</t>
  </si>
  <si>
    <t>MUNICIPALITY OF LA CASTELLANA, NEGROS OCCIDENTAL</t>
  </si>
  <si>
    <t>DEPARTMENT OF SOCIAL WELFARE AND DEVELOPMENT - REGION VII</t>
  </si>
  <si>
    <t>NATIONAL IRRIGATION ADMINISTRATION - CENTRAL OFFICE</t>
  </si>
  <si>
    <t>CITY OF TANAUAN, BATANGAS</t>
  </si>
  <si>
    <t>MUNICIPALITY OF SINAIT, ILOCOS SUR</t>
  </si>
  <si>
    <t>LIGA NG MGA BARANGAY - ALIMODIAN ILOILO</t>
  </si>
  <si>
    <t>MUNICIPALITY OF SIBUNAG, GUIMARAS</t>
  </si>
  <si>
    <t>DEPARTMENT OF ENVIRONMENT AND NATURAL RESOURCES - REGION II</t>
  </si>
  <si>
    <t>PROVINCE OF SURIGAO DEL SUR</t>
  </si>
  <si>
    <t>BUNSURAN NATIONAL HIGH SCHOOL</t>
  </si>
  <si>
    <t>BARANGAY LO-ONG, CONCEPCION, ILOILO</t>
  </si>
  <si>
    <t>BARANGAY MINANGA - SAN MARIANO ISABELA</t>
  </si>
  <si>
    <t>EASTERN VISAYAS STATE UNIVERSITY-ORMOC CITY CAMPUS</t>
  </si>
  <si>
    <t>DIPOLOG CITY WATER DISTRICT</t>
  </si>
  <si>
    <t>CITY OF MARAWI</t>
  </si>
  <si>
    <t>MUNICIPALITY OF INOPACAN, LEYTE</t>
  </si>
  <si>
    <t>MUNICIPALITY OF HERNANI, EASTERN SAMAR</t>
  </si>
  <si>
    <t>DEPARTMENT OF AGRICULTURE - REGION VII</t>
  </si>
  <si>
    <t>PROVINCE OF AGUSAN DEL SUR</t>
  </si>
  <si>
    <t>SAN FRANCISCO WATER DISTRICT</t>
  </si>
  <si>
    <t>MUNICIPALITY OF TAGKAWAYAN, QUEZON</t>
  </si>
  <si>
    <t>TESDA - APARRI POLYTECHNIC INSTITUTE</t>
  </si>
  <si>
    <t>BARANGAY CADARUHAN SUR, MALITBOG, SOUTHERN LEYTE</t>
  </si>
  <si>
    <t>MUNICIPALITY OF CABANGAN, ZAMBALES</t>
  </si>
  <si>
    <t>DEPARTMENT OF PUBLIC WORKS AND HIGHWAYS - CAMARINES NORTE ED</t>
  </si>
  <si>
    <t>BARANGAY ALLANG - LIGAO CITY</t>
  </si>
  <si>
    <t>MUNICIPALITY OF MACO, COMPOSTELA VALLEY</t>
  </si>
  <si>
    <t>MUNICIPALITY OF TANAUAN, LEYTE</t>
  </si>
  <si>
    <t>CITY OF SAN CARLOS, PANGASINAN</t>
  </si>
  <si>
    <t>BARANGAY ABGAO MALITBOG SOUTHERN LEYTE</t>
  </si>
  <si>
    <t>AGRICULTURAL TRAINING INSTITUTE - REGION IV-B</t>
  </si>
  <si>
    <t>MUNICIPALITY OF STA. PRAXEDES, CAGAYAN</t>
  </si>
  <si>
    <t>MUNICIPALITY OF NORZAGARAY, BULACAN</t>
  </si>
  <si>
    <t>CASIBARAG NORTE ELEMENTARY SCHOOL</t>
  </si>
  <si>
    <t>MUNICIPALITY OF NEW LUCENA, ILOILO</t>
  </si>
  <si>
    <t>BARANGAY POBLACION WEST, OTON, ILOILO</t>
  </si>
  <si>
    <t>MUNICIPALITY OF LIDLIDDA, ILOCOS SUR</t>
  </si>
  <si>
    <t>BARANGAY PONTOD, HILONGOS, LEYTE</t>
  </si>
  <si>
    <t>CASTANAS ELEMENTARY SCHOOL - SARIAYA QUEZON</t>
  </si>
  <si>
    <t>DAMULOG CENTRAL ELEMENTARY SCHOOL</t>
  </si>
  <si>
    <t>SCIENCE EDUCATION INSTITUTE</t>
  </si>
  <si>
    <t>DEPARTMENT OF EDUCATION - BISLIG CITY DIVISION</t>
  </si>
  <si>
    <t>MUNICIPALITY OF ALICIA, BOHOL</t>
  </si>
  <si>
    <t>MUNICIPALITY OF LA TRINIDAD, BENGUET</t>
  </si>
  <si>
    <t>TUY WATER DISTRICT</t>
  </si>
  <si>
    <t>MANSALANAO ELEMENTARY SCHOOL</t>
  </si>
  <si>
    <t>CAGAYAN STATE UNIVERSITY - TUGUEGARAO CITY CAGAYAN</t>
  </si>
  <si>
    <t>BARANGAY MATAM-IS - BAYBAY CITY LEYTE</t>
  </si>
  <si>
    <t>MUNICIPALITY OF HINUNANGAN, SOUTHERN LEYTE</t>
  </si>
  <si>
    <t>MUNICIPALITY OF LALA,  LANAO DEL NORTE</t>
  </si>
  <si>
    <t>PROVINCE OF EASTERN SAMAR</t>
  </si>
  <si>
    <t>BARANGAY MACASANDIG, CAGAYAN DE ORO CITY</t>
  </si>
  <si>
    <t>MUNICIPALITY OF CORTES, BOHOL</t>
  </si>
  <si>
    <t>DEPARTMENT OF EDUCATION - DIVISION OF DAPITAN CITY</t>
  </si>
  <si>
    <t>DEPARTMENT OF EDUCATION - DIVISION OF IRIGA CITY</t>
  </si>
  <si>
    <t>MUNICIPALITY OF HILONGOS, LEYTE</t>
  </si>
  <si>
    <t>PROVINCE OF AKLAN</t>
  </si>
  <si>
    <t>CITY OF SAN JOSE, NUEVA ECIJA</t>
  </si>
  <si>
    <t>DEPARTMENT OF SOCIAL WELFARE AND DEVELOPMENT - REGION XII</t>
  </si>
  <si>
    <t>MUNICIPALITY OF SAN FERNANDO, ROMBLON</t>
  </si>
  <si>
    <t>GOVERNOR FELICIANO LEVISTE MEMORIAL NATIONAL HIGH SCHOOL</t>
  </si>
  <si>
    <t>PROVINCE OF TARLAC</t>
  </si>
  <si>
    <t>BARANGAY KANG - HAAS - HILONGOS, LEYTE</t>
  </si>
  <si>
    <t>PHILIPPINE PORTS AUTHORITY - PMO PUERTO PRINCESA</t>
  </si>
  <si>
    <t>DAPITAN CITY WATER DISTRICT</t>
  </si>
  <si>
    <t>SAN NICOLAS ELEMENTARY SCHOOL</t>
  </si>
  <si>
    <t>TECHNOLOGICAL UNIVERSITY OF THE PHILIPPINES VISAYAS</t>
  </si>
  <si>
    <t>BARANGAY SIKATUNA VILLAGE, QUEZON CITY</t>
  </si>
  <si>
    <t>MURCIA WATER DISTRICT</t>
  </si>
  <si>
    <t>DEPARTMENT OF ENVIRONMENT AND NATURAL RES. - PENRO, BUKIDNON</t>
  </si>
  <si>
    <t>MUNICIPALITY OF LANUZA, SURIGAO DEL SUR</t>
  </si>
  <si>
    <t>DEPARTMENT OF EDUCATION - DIVISION OF LA UNION</t>
  </si>
  <si>
    <t>PHILIPPINE SCIENCE HIGH SCHOOL - CENTRAL VISAYAS CAMPUS</t>
  </si>
  <si>
    <t>BARANGAY BONGABONG, TUDELA, MISAMIS OCCIDENTAL</t>
  </si>
  <si>
    <t>BARANGAY SAN AGUSTIN, DULAG, LEYTE</t>
  </si>
  <si>
    <t>MUNICIPALITY OF MAYOYAO, IFUGAO</t>
  </si>
  <si>
    <t>RESEARCH INSTITUTE FOR TROPICAL MEDICINE, DOH</t>
  </si>
  <si>
    <t>DEPARTMENT OF PUBLIC WORKS AND HIGHWAYS - QUEZON CITY 2ND ED</t>
  </si>
  <si>
    <t>MARANNAO INTEGRATED SCHOOL</t>
  </si>
  <si>
    <t>DEVELOPMENT BANK OF THE PHILIPPINES - RMC-WESTERN MINDANAO</t>
  </si>
  <si>
    <t>BAGONG BARRIO ELEMENTARY SCHOOL</t>
  </si>
  <si>
    <t>MUNICIPALITY OF DARAM, SAMAR</t>
  </si>
  <si>
    <t>BARANGAY 32-C, LA PAZ - LAOAG CITY ILOCOS NORTE REGION I</t>
  </si>
  <si>
    <t>UNIVERSITY OF THE PHILIPPINES - MINDANAO</t>
  </si>
  <si>
    <t>MUNICIPALITY OF SAN ANDRES, ROMBLON</t>
  </si>
  <si>
    <t>CIVIL SERVICE COMMISSION - REGION V</t>
  </si>
  <si>
    <t>ORTIZ-SARANAY ELEMENTARY SCHOOL - CABATUAN ISABELA</t>
  </si>
  <si>
    <t>ILOG ELEMENTARY SCHOOL - ILOG NEGROS OCCIDENTAL</t>
  </si>
  <si>
    <t>MAYOR HILARION A. RAMIRO SR. REGIONAL TRNG &amp; TEACHING HOSP.</t>
  </si>
  <si>
    <t>BUREAU OF INTERNAL REVENUE, REVENUE REGION NO. 7B EAST NCR</t>
  </si>
  <si>
    <t>ENVIRONMENTAL MANAGEMENT BUREAU - DENR</t>
  </si>
  <si>
    <t>PEOPLE'S TELEVISION NETWORK, INC.</t>
  </si>
  <si>
    <t>MUNICIPALITY OF TALALORA, SAMAR</t>
  </si>
  <si>
    <t>PNOC EXPLORATION CORPORATION - TAGUIG CITY</t>
  </si>
  <si>
    <t>NATIONAL IRRIGATION ADMINISTRATION - CBIMO</t>
  </si>
  <si>
    <t xml:space="preserve">DEPARTMENT OF PUBLIC WORKS AND HIGHWAYS - COMPOSTELA VALLEY </t>
  </si>
  <si>
    <t>CITY OF ILIGAN, LANAO DEL NORTE</t>
  </si>
  <si>
    <t>EDEN INTEGRATED SCHOOL</t>
  </si>
  <si>
    <t>DEPARTMENT OF PUBLIC WORKS AND HIGHWAYS - MALABON-NAVOTAS SD</t>
  </si>
  <si>
    <t>BARANGAY TALIPUISNGO MARAGONDON CAVITE</t>
  </si>
  <si>
    <t>BARANGAY MAGSAYSAY - PATNONGON ANTIQUE</t>
  </si>
  <si>
    <t>MINALABAC NATIONAL HIGH SCHOOL</t>
  </si>
  <si>
    <t>MINDANAO STATE UNIVERSITY - ILIGAN INSTITUTE OF TECHNOLOGY</t>
  </si>
  <si>
    <t>TECHNICAL EDUCATION &amp; SKILLS DEVELOPMENT AUTHORITY - BATANGA</t>
  </si>
  <si>
    <t>BARANGAY BALEYADAAN - ALAMINOS CITY PANGASINAN</t>
  </si>
  <si>
    <t>BIODIVERSITY MANAGEMENT BUREAU</t>
  </si>
  <si>
    <t>BARANGAY SAN JOSE - ALAMINOS, PANGASINAN</t>
  </si>
  <si>
    <t>PROVINCE OF CAGAYAN</t>
  </si>
  <si>
    <t>BARANGAY BANBANAN, TAYTAY, PALAWAN</t>
  </si>
  <si>
    <t>DUMAGUETE CITY WATER DISTRICT</t>
  </si>
  <si>
    <t>MUNICIPALITY OF DANGCAGAN, BUKIDNON</t>
  </si>
  <si>
    <t>METRO LIPA WATER DISTRICT</t>
  </si>
  <si>
    <t>BARANGAY VILLA ELIO - PATNONGON, ANTIQUE</t>
  </si>
  <si>
    <t>MUNICIPALITY OF CALASIAO, PANGASINAN</t>
  </si>
  <si>
    <t>MUNICIPALITY OF BANSUD, ORIENTAL MINDORO</t>
  </si>
  <si>
    <t>DEPARTMENT OF AGRICULTURE - CARFU</t>
  </si>
  <si>
    <t>DEPARTMENT OF EDUCATION - DIVISION OF NORTHERN SAMAR</t>
  </si>
  <si>
    <t>BUHAY NA TUBIG ELEMENTARY SCHOOL (MAHARLIKA ANNEX) - IMUS CA</t>
  </si>
  <si>
    <t>BINMALEY WATER DISTRICT</t>
  </si>
  <si>
    <t>CITY OF TAGBILARAN, BOHOL</t>
  </si>
  <si>
    <t>DEPARTMENT OF EDUCATION - DIVISION OF MISAMIS ORIENTAL</t>
  </si>
  <si>
    <t>DEPARTMENT OF AGRICULTURE - REGION IV-A</t>
  </si>
  <si>
    <t>BARANGAY MAGDALENA, CLAVERIA CAGAYAN</t>
  </si>
  <si>
    <t>BARANGAY BADIANGAN - PATNONGON ANTIQUE</t>
  </si>
  <si>
    <t>MUNICIPALITY OF CORTES, SURIGAO DEL SUR</t>
  </si>
  <si>
    <t>BARANGAY 3, LUCENA CITY</t>
  </si>
  <si>
    <t>MUNICIPALITY OF STA. TERESITA, CAGAYAN</t>
  </si>
  <si>
    <t>TANDAG CITY WATER DISTRICT</t>
  </si>
  <si>
    <t>MUNICIPALITY OF BOKOD, BENGUET</t>
  </si>
  <si>
    <t>INTELLECTUAL PROPERTY OF THE PHILIPPINES - TAGUIG CITY</t>
  </si>
  <si>
    <t>CAGAYAN VALLEY MEDICAL CENTER</t>
  </si>
  <si>
    <t>NATIONAL IRRIGATION ADMINISTRATION - NIA MOMARO IMO</t>
  </si>
  <si>
    <t>CANONOY ELEMENTARY SCHOOL</t>
  </si>
  <si>
    <t>BARANGAY PINAGKAISAHAN, MAKATI CITY</t>
  </si>
  <si>
    <t>MUNICIPALITY OF IBAAN, BATANGAS</t>
  </si>
  <si>
    <t>BARANGAY DISTRICT II, LEMERY, BATANGAS</t>
  </si>
  <si>
    <t>DEPARTMENT OF EDUCATION - DIVISION OF CAMIGUIN</t>
  </si>
  <si>
    <t>ILOCOS TRAINING AND REGIONAL MEDICAL CENTER</t>
  </si>
  <si>
    <t>CITY OF MALOLOS, BULACAN</t>
  </si>
  <si>
    <t>BASILAN STATE COLLEGE</t>
  </si>
  <si>
    <t>MUNICIPALITY OF FLORA, APAYAO</t>
  </si>
  <si>
    <t>CIVIL AVIATION AUTHORITY OF THE PHILIPPINES - AREA CENTER XI</t>
  </si>
  <si>
    <t>BARANGAY VILLA CRUZ - PATNONGON, ANTIQUE</t>
  </si>
  <si>
    <t>MUNICIPALITY OF AGOO, LA UNION</t>
  </si>
  <si>
    <t>MUNICIPALITY OF ENRILE, CAGAYAN</t>
  </si>
  <si>
    <t>MUNICIPALITY OF SAN MATEO, RIZAL</t>
  </si>
  <si>
    <t>PHILIPPINE STATISTICS AUTHORITY</t>
  </si>
  <si>
    <t>MUNICIPALITY OF SURALLAH, SOUTH COTABATO</t>
  </si>
  <si>
    <t>MUNICIPALITY OF ALCANTARA, CEBU</t>
  </si>
  <si>
    <t>AUTHORITY OF THE FREEPORT AREA OF BATAAN</t>
  </si>
  <si>
    <t>ENVIRONMENTAL MANAGEMENT BUREAU - REGION II</t>
  </si>
  <si>
    <t>BARANGAY ALUMBRADO, NAGCARLAN, LAGUNA</t>
  </si>
  <si>
    <t>GUILJUNGAN NATIONAL HIGH SCHOOL (TALACDAN EXTENSION) - TALAC</t>
  </si>
  <si>
    <t>DEPARTMENT OF AGRARIAN REFORM - REGION X</t>
  </si>
  <si>
    <t>LUCIANO MILLAN MEMORIAL SCHOOL OF ARTS AND TRADES</t>
  </si>
  <si>
    <t>MUNICIPALITY OF TAGUDIN, ILOCOS SUR</t>
  </si>
  <si>
    <t>SUPREME COURT OF THE PHILIPPINES</t>
  </si>
  <si>
    <t>MUNICIPALITY OF GAMU, ISABELA</t>
  </si>
  <si>
    <t>PHILIPPINE SCIENCE HIGH SCHOOL - CAR CAMPUS</t>
  </si>
  <si>
    <t>105TH CONTRACTING OFFICE, AFP PROCUREMENT SERVICE</t>
  </si>
  <si>
    <t xml:space="preserve">TECHNICAL EDUCATION &amp; SKILLS DEVELOPMENT AUTHORITY - REGION </t>
  </si>
  <si>
    <t>BASILAN GENERAL HOSPITAL</t>
  </si>
  <si>
    <t>LUIS HORA MEMORIAL REGIONAL HOSPITAL</t>
  </si>
  <si>
    <t>DEPARTMENT OF EDUCATION - DIVISION OF KIDAPAWAN CITY</t>
  </si>
  <si>
    <t>NATIONAL IRRIGATION ADMINISTRATION - REGION X</t>
  </si>
  <si>
    <t>CITY OF DAVAO, DAVAO DEL SUR</t>
  </si>
  <si>
    <t>YEE ON ELEMENTARY SCHOOL</t>
  </si>
  <si>
    <t>MUNICIPALITY OF M'LANG, COTABATO</t>
  </si>
  <si>
    <t>DEPARTMENT OF PUBLIC WORKS AND HIGHWAYS - ABRA ED</t>
  </si>
  <si>
    <t>PROVINCE OF BATANES</t>
  </si>
  <si>
    <t>BARANGAY MALIBAGO, LABO, CAMARINES NORTE</t>
  </si>
  <si>
    <t>PROVINCIAL GOVERNMENT OF SURIGAO DEL NORTE</t>
  </si>
  <si>
    <t>PROVINCE OF MAGUINDANAO</t>
  </si>
  <si>
    <t>BANGKO SENTRAL NG PILIPINAS</t>
  </si>
  <si>
    <t>BARANGAY MASALUKOT V, CANDELARIA, QUEZON</t>
  </si>
  <si>
    <t>BARANGAY CANTAMUAC, MALITBOG, SOUTHERN LEYTE</t>
  </si>
  <si>
    <t>UNIVERSITY OF SOUTHEASTERN PHILIPPINES -REGIONAL TRADES, CRA</t>
  </si>
  <si>
    <t>UNIVERSITY OF THE PHILIPPINES - MANILA PGH</t>
  </si>
  <si>
    <t>BARANGAY 282 ZONE-26, DISTRICT 111, MANILA</t>
  </si>
  <si>
    <t>MUNICIPALITY OF SAN LUIS BATANGAS</t>
  </si>
  <si>
    <t>DEPARTMENT OF EDUCATION - DIVISION OF MAASIN CITY</t>
  </si>
  <si>
    <t>BECURAN HIGH SCHOOL</t>
  </si>
  <si>
    <t>DEPARTMENT OF HEALTH - REGION VII</t>
  </si>
  <si>
    <t>MUNICIPALITY OF EL NIDO, PALAWAN</t>
  </si>
  <si>
    <t>BARANGAY 168  ZONE-15  DISTRICT 2, MANILA</t>
  </si>
  <si>
    <t>MUNICIPALITY OF VINTAR, ILOCOS NORTE</t>
  </si>
  <si>
    <t>MUNICIPALITY OF HINGYON, IFUGAO</t>
  </si>
  <si>
    <t>DEPARTMENT OF EDUCATION - DIVISION OF LEGAZPI CITY</t>
  </si>
  <si>
    <t>DEPARTMENT OF JUSTICE - MAIN</t>
  </si>
  <si>
    <t>PHILIPPINE HEALTH INSURANCE CORPORATION - NCR &amp; RIZAL GROUP</t>
  </si>
  <si>
    <t>COMMISSION ON POPULATION - NCR</t>
  </si>
  <si>
    <t>BARANGAY SAN FERNANDO, PRIETO DIAZ, SORSOGON</t>
  </si>
  <si>
    <t>CITY OF MUNTINLUPA</t>
  </si>
  <si>
    <t>MUNICIPALITY OF KINOGUITAN , MISAMIS ORIENTAL</t>
  </si>
  <si>
    <t>MINISTRY OF PUBLIC WORKS-BARMM</t>
  </si>
  <si>
    <t>DEPARTMENT OF AGRARIAN REFORM - LA UNION PROVINCIAL OFFICE</t>
  </si>
  <si>
    <t>MUNICIPALITY OF MEXICO, PAMPANGA</t>
  </si>
  <si>
    <t>MARASAT PEQUENO ELEMENTARY SCHOOL - SAN MATEO ISABELA</t>
  </si>
  <si>
    <t>BARANGAY I, BUENAVISTA, MARINDUQUE</t>
  </si>
  <si>
    <t>MUNICIPALITY OF MABALACAT, PAMPANGA</t>
  </si>
  <si>
    <t>MUNICIPALITY OF STA. CRUZ, OCCIDENTAL MINDORO</t>
  </si>
  <si>
    <t>NATIONAL IRRIGATION ADMINISTRATION - CARAGA</t>
  </si>
  <si>
    <t>MUNICIPALITY OF LOOC, OCCIDENTAL MINDORO</t>
  </si>
  <si>
    <t>ZAMBOANGA CITY MEDICAL CENTER</t>
  </si>
  <si>
    <t>BARANGAY CARARAYAN, NAGA, CAMARINES SUR</t>
  </si>
  <si>
    <t>PROVINCE OF AGUSAN DEL NORTE</t>
  </si>
  <si>
    <t>BARANGAY SHILAN, LA TRINIDAD, BENGUET</t>
  </si>
  <si>
    <t>APO PRODUCTION UNIT, INC.</t>
  </si>
  <si>
    <t>BARANGAY TAYTAY, NAGCARLAN, LAGUNA</t>
  </si>
  <si>
    <t>DEPARTMENT OF AGRICULTURE - REGION VIII</t>
  </si>
  <si>
    <t>CITY OF SAN PABLO, LAGUNA</t>
  </si>
  <si>
    <t>MUNICIPALITY OF SULOP, DAVAO DEL SUR</t>
  </si>
  <si>
    <t>DEPARTMENT OF PUBLIC WORKS AND HIGHWAYS - SAMAR 1ST DEO</t>
  </si>
  <si>
    <t>MUNICIPALITY OF TALIBON, BOHOL</t>
  </si>
  <si>
    <t>NAGUILIAN WATER DISTRICT</t>
  </si>
  <si>
    <t>BARANGAY BOBON, BUTUAN CITY</t>
  </si>
  <si>
    <t>MUNICIPALITY OF MALITBOG, SOUTHERN LEYTE</t>
  </si>
  <si>
    <t>NATIONAL POWER CORPORATION</t>
  </si>
  <si>
    <t>KIABO ELEMENTARY SCHOOL-MALITBOG DISTRICT</t>
  </si>
  <si>
    <t>MUNICIPALITY OF MANKAYAN, BENGUET</t>
  </si>
  <si>
    <t>VILLAFLOR ELEMENTARY SCHOOL</t>
  </si>
  <si>
    <t>BUREAU OF CORRECTIONS - SABLAYAN PRISON AND PENAL FARM</t>
  </si>
  <si>
    <t>DEPARTMENT OF AGRARIAN REFORM - SORSOGON PROVINCIAL OFFICE</t>
  </si>
  <si>
    <t>BARANGAY BATO -  BILIRAN, BILIRAN</t>
  </si>
  <si>
    <t>BOHOL ISLAND STATE UNIVERSITY - MAIN CAMPUS</t>
  </si>
  <si>
    <t>MUNICIPALITY OF KALIBO, AKLAN</t>
  </si>
  <si>
    <t>BARANGAY CABARITAN SUR, NAGUILIAN, LA UNION</t>
  </si>
  <si>
    <t>MUNICIPALITY OF LUNA, APAYAO</t>
  </si>
  <si>
    <t>DEPARTMENT OF EDUCATION - DIVISION OF DAVAO CITY</t>
  </si>
  <si>
    <t>DEPARTMENT OF TRADE AND INDUSTRY - ZAMBALES</t>
  </si>
  <si>
    <t>TECHNICAL EDUCATION AND SKILLS DEVELOPMENT AUTHORITY  - ILOI</t>
  </si>
  <si>
    <t>LIGHT RAIL TRANSIT AUTHORITY</t>
  </si>
  <si>
    <t>OBANDO WATER DISTRICT</t>
  </si>
  <si>
    <t>UNIVERSITY OF THE PHILIPPINES - BAGUIO</t>
  </si>
  <si>
    <t>MUNICIPALITY  OF KABAYAN, BENGUET</t>
  </si>
  <si>
    <t>CITY OF URDANETA, PANGASINAN</t>
  </si>
  <si>
    <t>EASTERN VISAYAS STATE UNIVERSITY - CARIGARA CAMPUS</t>
  </si>
  <si>
    <t>MUNICIPALITY OF SAN JOAQUIN, ILOILO</t>
  </si>
  <si>
    <t>LASAM INSTITUTE OF TECHNOLOGY</t>
  </si>
  <si>
    <t>PHILIPPINE RICE RESEARCH INSTITUTE</t>
  </si>
  <si>
    <t>BALIBAGO NATIONAL HIGH SCHOOL</t>
  </si>
  <si>
    <t>BALINGASAG WATER DISTRICT</t>
  </si>
  <si>
    <t>MUNICIPALITY OF INITAO, MISAMIS ORIENTAL</t>
  </si>
  <si>
    <t>UNIVERSITY OF NORTHERN PHILIPPINES</t>
  </si>
  <si>
    <t>UNIVERSITY OF SCIENCE AND TECHNOLOGY OF SOUTHERN PHILIPPINES</t>
  </si>
  <si>
    <t>MUNICIPALITY OF TANTANGAN, SOUTH COTABATO</t>
  </si>
  <si>
    <t>NANUNGA ELEMENTARY SCHOOL</t>
  </si>
  <si>
    <t>PROVINCE OF NUEVA VIZCAYA - BAYOMBONG NUEVA VIZCAYA</t>
  </si>
  <si>
    <t>DEPARTMENT OF ENVIRONMENT AND NATURAL RES. - PENRO XII-4</t>
  </si>
  <si>
    <t>DEPARTMENT OF PUBLIC WORKS AND HIGHWAYS - DAVAO DEL NORTE DE</t>
  </si>
  <si>
    <t>MUNICIPALITY OF STO. TOMAS, BATANGAS</t>
  </si>
  <si>
    <t>DR. MARIA D. PASTRANA NATIONAL HIGH SHOOL - MAUBAN QUEZON</t>
  </si>
  <si>
    <t>CAMBA-OG ELEMENTARY SCHOOL</t>
  </si>
  <si>
    <t xml:space="preserve">DEPARTMENT OF PUBLIC WORKS AND HIGHWAYS - CAMARINES SUR 2ND </t>
  </si>
  <si>
    <t>MUNICIPALITY OF LOPEZ, QUEZON</t>
  </si>
  <si>
    <t>BARANGAY RIZAL, PRIETO DIAZ, SORSOGON</t>
  </si>
  <si>
    <t>TUMAUINI WATER DISTRICT</t>
  </si>
  <si>
    <t>DEPARTMENT OF ENVIRONMENT AND NATURAL RES. - PENRO, BENGUET</t>
  </si>
  <si>
    <t>LOCAL GOVERNMENT ACADEMY, DILG</t>
  </si>
  <si>
    <t>MUNICIPALITY OF BAY, LAGUNA</t>
  </si>
  <si>
    <t>MUNICIPALITY OF BILIRAN, BILIRAN</t>
  </si>
  <si>
    <t>MUNICIPALITY OF PALAUIG, ZAMBALES</t>
  </si>
  <si>
    <t>MUNICIPALITY OF VICTORIA, ORIENTAL MINDORO</t>
  </si>
  <si>
    <t>OCCIDENTAL MINDORO STATE COLLEGE</t>
  </si>
  <si>
    <t>NATIONAL FOOD AUTHORITY - REGION IX</t>
  </si>
  <si>
    <t>MUNICIPALITY OF MAGSINGAL - ILOCOS SUR</t>
  </si>
  <si>
    <t>MUNICIPALITY OF MARAGUSAN COMPOSTELA VALLEY</t>
  </si>
  <si>
    <t>BARANGAY TAMBALIZA, CONCEPCION, ILOILO</t>
  </si>
  <si>
    <t>DEPARTMENT OF PUBLIC WORKS AND HIGHWAYS - ALBAY 3RD DEO</t>
  </si>
  <si>
    <t>SAN LAZARO HOSPITAL</t>
  </si>
  <si>
    <t>CADUHA-AN NATIONAL HIGH SCHOOL</t>
  </si>
  <si>
    <t>BARANGAY GUSING SUR, NAGUILIAN, LA UNION</t>
  </si>
  <si>
    <t>MUNICIPALITY OF ASINGAN, PANGASINAN</t>
  </si>
  <si>
    <t>SALVADOR TRADE SCHOOL</t>
  </si>
  <si>
    <t>MUNICIPALITY OF SAN FRANCISCO, AGUSAN DEL SUR</t>
  </si>
  <si>
    <t>MUNICIPALITY OF MARIVELES, BATAAN</t>
  </si>
  <si>
    <t>CITY OF KABANKALAN, NEGROS OCCIDENTAL</t>
  </si>
  <si>
    <t>MUNICIPALITY OF MIAG-AO, ILOILO</t>
  </si>
  <si>
    <t>ROXAS (ISABELA) WATER DISTRICT</t>
  </si>
  <si>
    <t>MUNICIPALITY OF AGUINALDO, IFUGAO</t>
  </si>
  <si>
    <t>CABATUAN EAST CENTRAL SCHOOL - CABATUAN ISABELA</t>
  </si>
  <si>
    <t>LEYTE NORMAL UNIVERSITY</t>
  </si>
  <si>
    <t>MUNICIPALITY OF KOLAMBUGAN, LANAO DEL NORTE</t>
  </si>
  <si>
    <t>DON MARIANO MARCOS MEMORIAL STATE UNIVERSITY - BACNOTAN</t>
  </si>
  <si>
    <t>MUNICIPALITY OF SAN ANTONIO, NUEVA ECIJA</t>
  </si>
  <si>
    <t>DEPARTMENT OF EDUCATION - DIVISION OF CEBU PROVINCE</t>
  </si>
  <si>
    <t>DEPARTMENT OF ENVIRONMENT AND NATURAL RES. - PENRO ROMBLON</t>
  </si>
  <si>
    <t>DEPARTMENT OF SOCIAL WELFARE AND DEVELOPMENT - CARAGA</t>
  </si>
  <si>
    <t xml:space="preserve">DEPARTMENT OF PUBLIC WORKS AND HIGHWAYS - NUEVA VIZCAYA 2ND </t>
  </si>
  <si>
    <t>PHILIPPINE COAST GUARD - CGWCEISS</t>
  </si>
  <si>
    <t>ZAMBOANGA DEL NORTE NATIONAL HIGH SCHOOL</t>
  </si>
  <si>
    <t>VETERANS REGIONAL HOSPITAL</t>
  </si>
  <si>
    <t>CITY OF SAN JOSE DEL MONTE, BULACAN</t>
  </si>
  <si>
    <t>TIBAGAN HIGH SCHOOL</t>
  </si>
  <si>
    <t>CAGAYAN STATE UNIVERSITY - APARRI</t>
  </si>
  <si>
    <t>CITY  OF CALBAYOG, SAMAR</t>
  </si>
  <si>
    <t>DEPARTMENT OF AGRICULTURE - REGION II</t>
  </si>
  <si>
    <t>MUNICIPALITY OF PANGANTUCAN, BUKIDNON</t>
  </si>
  <si>
    <t>DEPARTMENT OF SCIENCE AND TECHNOLOGY</t>
  </si>
  <si>
    <t>CITY OF CABADBARAN, AGUSAN DEL NORTE</t>
  </si>
  <si>
    <t>MORONG WATER DISTRICT</t>
  </si>
  <si>
    <t>BARANGAY 694 ZONE 75 DISTRICT V, MANILA</t>
  </si>
  <si>
    <t>DEPARTMENT OF ENVIRONMENT AND NATURAL RES. - PENRO Z. SIBUGA</t>
  </si>
  <si>
    <t>MUNICIPALITY OF MALAY, AKLAN</t>
  </si>
  <si>
    <t>BARANGAY GANAGAN, BACARRA, ILOCOS NORTE</t>
  </si>
  <si>
    <t>BARANGAY PINAGTUNG-ULAN, SAN JOSE, BATANGAS</t>
  </si>
  <si>
    <t>MUNICIPALITY OF MORONG, BATAAN</t>
  </si>
  <si>
    <t>DEPARTMENT OF PUBLIC WORKS AND HIGHWAYS - ROMBLON DEO</t>
  </si>
  <si>
    <t>MUNICIPALITY OF SISON, PANGASINAN</t>
  </si>
  <si>
    <t>MUNICIPALITY OF DIMATALING, ZAMBOANGA DEL SUR</t>
  </si>
  <si>
    <t>MUNICIPALITY OF ANDA, PANGASINAN</t>
  </si>
  <si>
    <t>MUNICIPALITY OF SIBALOM, ANTIQUE</t>
  </si>
  <si>
    <t>NATIONAL COUNCIL ON DISABILITY AFFAIRS</t>
  </si>
  <si>
    <t>MUNICIPALITY OF BOLINAO, PANGASINAN</t>
  </si>
  <si>
    <t>NATIONAL STATISTICS OFFICE - REGION V</t>
  </si>
  <si>
    <t>MUNICIPALITY OF CALAPE, BOHOL</t>
  </si>
  <si>
    <t>DEPARTMENT OF PUBLIC WORKS AND HIGHWAYS - ZAMBOANGA CITY DEO</t>
  </si>
  <si>
    <t>DAVAO DEL SUR STATE COLLEGE - DIGOS CITY DAVAO DEL SUR</t>
  </si>
  <si>
    <t>DEPARTMENT OF THE INTERIOR AND LOCAL GOVERNMENT - CALAMBA</t>
  </si>
  <si>
    <t>MUNICIPALITY OF LAPUYAN, ZAMBOANGA DEL SUR</t>
  </si>
  <si>
    <t>ISLAND GARDEN CITY OF SAMAL, DAVAO DEL NORTE</t>
  </si>
  <si>
    <t>BARANGAY HERRERA - LIGAO, ALBAY</t>
  </si>
  <si>
    <t>DEPARTMENT OF PUBLIC WORKS AND HIGHWAYS - ILOILO 2ND DISTRIC</t>
  </si>
  <si>
    <t>DEPARTMENT OF PUBLIC WORKS AND HIGHWAYS - CEBU 5TH DEO</t>
  </si>
  <si>
    <t>SAN AGUSTIN ELEMENTARY SCHOOL - QUEZON CITY</t>
  </si>
  <si>
    <t>JOSE RIZAL MEMORIAL STATE UNIVERSITY - DIPOLOG CAMPUS</t>
  </si>
  <si>
    <t>NATIONAL COMMISSION ON INDIGENOUS PEOPLES - REGION II</t>
  </si>
  <si>
    <t>MUNICIPALITY OF BASUD, CAMARINES NORTE</t>
  </si>
  <si>
    <t>CITY OF PAGADIAN, ZAMBOANGA DEL SUR</t>
  </si>
  <si>
    <t>MUNICIPALITY OF ROMBLON, ROMBLON</t>
  </si>
  <si>
    <t>MUNICIPALITY OF CANDELARIA, QUEZON</t>
  </si>
  <si>
    <t>PROVINCE OF ANTIQUE</t>
  </si>
  <si>
    <t>MUNICIPALITY OF KASIBU, NUEVA VIZCAYA</t>
  </si>
  <si>
    <t>CARMONA WATER DISTRICT</t>
  </si>
  <si>
    <t>CITY OF CALAPAN, ORIENTAL MINDORO</t>
  </si>
  <si>
    <t>RIZAL MEDICAL CENTER</t>
  </si>
  <si>
    <t>MUNICIPALITY OF CABAGAN, ISABELA</t>
  </si>
  <si>
    <t>MUNICIPALITY OF TAAL, BATANGAS</t>
  </si>
  <si>
    <t>BARANGAY ORANBO, PASIG CITY</t>
  </si>
  <si>
    <t>DEPARTMENT OF ENVIRONMENT AND NATURAL RES. - PENRO, SO. COTA</t>
  </si>
  <si>
    <t>DEPARTMENT OF EDUCATION - SCHOOLS DIVISION OF BACOOR CITY</t>
  </si>
  <si>
    <t>BUREAU OF FIRE PROTECTION - CARAGA REGION</t>
  </si>
  <si>
    <t>MUNICIPALITY OF TAYUG, PANGASINAN</t>
  </si>
  <si>
    <t>BARANGAY ZONE 4 - BAYBAY CITY LEYTE</t>
  </si>
  <si>
    <t>MUNICIPALITY OF GUIMBA, NUEVA ECIJA</t>
  </si>
  <si>
    <t>COURT OF APPEALS - CEBU</t>
  </si>
  <si>
    <t>DEPARTMENT OF ENVIRONMENT AND NATURAL RES. - PENRO, CAPIZ</t>
  </si>
  <si>
    <t>BARANGAY 771 ZONE 84 DISTRICT V, MANILA</t>
  </si>
  <si>
    <t>BARANGAY MAMBA - MADALAG AKLAN</t>
  </si>
  <si>
    <t>PROVINCE OF DAVAO ORIENTAL</t>
  </si>
  <si>
    <t>MUNICIPALITY OF AGNO, PANGASINAN</t>
  </si>
  <si>
    <t>BUREAU OF CORRECTIONS - REGION IX</t>
  </si>
  <si>
    <t>DEPARTMENT OF EDUCATION - DIVISION OF MARINDUQUE</t>
  </si>
  <si>
    <t>MUNICIPALITY OF ARITAO, NUEVA VIZCAYA</t>
  </si>
  <si>
    <t>MUNICIPALITY OF DUMINGAG, ZAMBOANGA DEL SUR</t>
  </si>
  <si>
    <t>DEPARTMENT OF EDUCATION - REGION VII</t>
  </si>
  <si>
    <t>BARANGAY 1, LIPA CITY, BATANGAS</t>
  </si>
  <si>
    <t>DEPARTMENT OF AGRARIAN REFORM - CAMARINES SUR A</t>
  </si>
  <si>
    <t>METROPOLITAN CEBU WATER DISTRICT</t>
  </si>
  <si>
    <t>PAGADIAN WATER DISTRICT</t>
  </si>
  <si>
    <t>CITY OF BOGO, CEBU</t>
  </si>
  <si>
    <t>MUNICIPALITY OF MOISES PADILLA, NEGROS OCCIDENTAL</t>
  </si>
  <si>
    <t>MINISTRY OF BASIC HIGHER AND TECHNICAL EDUCATION -  BARMM</t>
  </si>
  <si>
    <t>MUNICIPALITY OF SAN JUAN, ILOCOS SUR</t>
  </si>
  <si>
    <t>MUNICIPALITY OF REMEDIOS T. ROMUALDEZ, AGUSAN DEL NORTE</t>
  </si>
  <si>
    <t>PROVINCE OF ILOCOS SUR</t>
  </si>
  <si>
    <t>MUNICIPALITY OF CATEEL, DAVAO ORIENTAL</t>
  </si>
  <si>
    <t>BANGKAL HIGH SCHOOL</t>
  </si>
  <si>
    <t>BARANGAY MAGAPUY, BAYOMBONG, NUEVA VIZCAYA</t>
  </si>
  <si>
    <t>MUNICIPALITY OF MERCEDES, EASTERN SAMAR</t>
  </si>
  <si>
    <t>BARANGAY MAGUGPO POBLACION - TAGUM CITY DAVAO DEL NORTE</t>
  </si>
  <si>
    <t>DEPARTMENT OF EDUCATION - DIVISION OF LIGAO CITY</t>
  </si>
  <si>
    <t>DEPARTMENT OF PUBLIC WORKS AND HIGHWAYS - CAGAYAN 2ND DEO</t>
  </si>
  <si>
    <t>MUNICIPALITY OF DINALUNGAN, AURORA</t>
  </si>
  <si>
    <t>MUNICIPALITY OF MAGSAYSAY, OCCIDENTAL MINDORO</t>
  </si>
  <si>
    <t>NATIONAL TAX RESEARCH CENTER</t>
  </si>
  <si>
    <t>DEPARTMENT OF SOCIAL WELFARE AND DEVELOPMENT - CAR</t>
  </si>
  <si>
    <t>MUNICIPALITY OF PUDTOL, APAYAO</t>
  </si>
  <si>
    <t>MUNICIPALITY OF BACACAY, ALBAY</t>
  </si>
  <si>
    <t>MUNICIPALITY OF CUENCA, BATANGAS</t>
  </si>
  <si>
    <t>BARANGAY MABINI HOMESITE-CABANATUAN CITY</t>
  </si>
  <si>
    <t>MUNICIPALITY OF SINDANGAN, ZAMBOANGA DEL NORTE</t>
  </si>
  <si>
    <t>MUNICIPALITY OF GUBAT, SORSOGON</t>
  </si>
  <si>
    <t>MUNICIPALITY OF ESPERANZA, AGUSAN DEL SUR</t>
  </si>
  <si>
    <t>BARANGAY SAN JOSE, CONCEPCION, TARLAC</t>
  </si>
  <si>
    <t>MUNICIPALITY OF VALLADOLID, NEGROS OCCIDENTAL</t>
  </si>
  <si>
    <t>MUNICIPALITY OF SINILOAN. LAGUNA</t>
  </si>
  <si>
    <t>BUREAU OF CUSTOMS</t>
  </si>
  <si>
    <t>DEPARTMENT OF HEALTH - CAR OFFICE</t>
  </si>
  <si>
    <t>COMMISSION ON AUDIT - REGION I</t>
  </si>
  <si>
    <t>PHILIPPINE CHILDREN'S MEDICAL CENTER</t>
  </si>
  <si>
    <t>BAGONG SILANG ELEMENTARY SCHOOL</t>
  </si>
  <si>
    <t>MUNICIPALITY OF SAN NARCISO, ZAMBALES</t>
  </si>
  <si>
    <t>TALAKAG NATIONAL HIGH SCHOOL</t>
  </si>
  <si>
    <t>MUNICIPALITY OF CARMEN COTABATO</t>
  </si>
  <si>
    <t>APAYAO STATE COLLEGE</t>
  </si>
  <si>
    <t>BARANGAY TINGGA ITAAS, BATANGAS CITY</t>
  </si>
  <si>
    <t>PROVINCE OF NEGROS ORIENTAL</t>
  </si>
  <si>
    <t>MUNICIPALITY OF ROXAS, ORIENTAL MINDORO</t>
  </si>
  <si>
    <t>BARANGAY TULTUGAN, CALAPE, BOHOL</t>
  </si>
  <si>
    <t>MUNICIPALITY OF DILASAG, AURORA</t>
  </si>
  <si>
    <t>DEVELOPMENT ACADEMY OF THE PHILIPPINES</t>
  </si>
  <si>
    <t>MUNICIPALITY OF PILI, CAMARINES SUR</t>
  </si>
  <si>
    <t>MUNICIPALITY OF TAGOLOAN, MISAMIS ORIENTAL</t>
  </si>
  <si>
    <t>DEPARTMENT OF EDUCATION - DIVISION OF SURIGAO DEL SUR</t>
  </si>
  <si>
    <t>MUNICIPALITY OF MANAY, DAVAO ORIENTAL</t>
  </si>
  <si>
    <t>DEPARTMENT OF ENVIRONMENT AND NATURAL RESOURCES - PENRO OCCI</t>
  </si>
  <si>
    <t>MUNICIPALITY OF ALCALA, PANGASINAN</t>
  </si>
  <si>
    <t>MUNICIPALITY OF BANGUI, ILOCOS NORTE</t>
  </si>
  <si>
    <t>MUNICIPALITY OF SAN ISIDRO, DAVAO DEL NORTE</t>
  </si>
  <si>
    <t>MUNICIPALITY OF POLANCO, ZAMBOANGA DEL NORTE</t>
  </si>
  <si>
    <t>DEPARTMENT OF TRADE AND INDUSTRY - CARAGA</t>
  </si>
  <si>
    <t>CITY OF NAGA, CAMARINES SUR</t>
  </si>
  <si>
    <t>ENVIRONMENTAL MANAGEMENT BUREAU - NCR, DENR</t>
  </si>
  <si>
    <t>MUNICIPALITY OF MIDSAYAP, NORTH COTABATO</t>
  </si>
  <si>
    <t>DON JOSE S. MONFORT MEDICAL CENTER EXTENSION HOSPITAL</t>
  </si>
  <si>
    <t>DEPARTMENT OF HEALTH - NCR REGIONAL OFFICE(DOH-NCRO)</t>
  </si>
  <si>
    <t>BARANGAY LIMINANGCONG, TAYTAY, PALAWAN</t>
  </si>
  <si>
    <t>DR. E. B. ESPINOSA, SR. MEMORIAL STATE COL OF AGRIC AND TECH</t>
  </si>
  <si>
    <t>PANDAN WATER DISTRICT</t>
  </si>
  <si>
    <t>DEPARTMENT OF HEALTH - CHD, ZAMBOANGA PENINSULA</t>
  </si>
  <si>
    <t>MUNICIPALITY OF CURRIMAO, ILOCOS NORTE</t>
  </si>
  <si>
    <t>DEPARTMENT OF PUBLIC WORKS AND HIGHWAYS - SURIGAO DEL SUR 1S</t>
  </si>
  <si>
    <t>MUNICIPALITY OF CARCAR, CEBU</t>
  </si>
  <si>
    <t>CITY OF GENERAL SANTOS , SOUTH COTABATO</t>
  </si>
  <si>
    <t>BUREAU OF PLANT INDUSTRY-BNCRDPSC</t>
  </si>
  <si>
    <t>DON MARIANO C.  VENERACION NATIONAL HIGH SCHOOL-PAMPLONA CAM</t>
  </si>
  <si>
    <t>MUNICIPALITY OF TOBIAS FORNIER,  ANTIQUE</t>
  </si>
  <si>
    <t>MUNICIPALITY OF LIAN, BATANGAS</t>
  </si>
  <si>
    <t>MINISTRY OF SCIENCE AND TECHNOLOGY - COTABATO CITY MAGUINDAN</t>
  </si>
  <si>
    <t>DEPARTMENT OF AGRICULTURE - REGION I</t>
  </si>
  <si>
    <t>MUNICIPALITY OF CATIGBIAN, BOHOL</t>
  </si>
  <si>
    <t>GUIMBA WATER DISTRICT</t>
  </si>
  <si>
    <t>DEPARTMENT OF TRADE AND INDUSTRY - REGION III</t>
  </si>
  <si>
    <t>MUNICIPALITY OF LOOC, ROMBLON</t>
  </si>
  <si>
    <t>MUNICIPALITY OF NATIVIDAD -  PANGASINAN</t>
  </si>
  <si>
    <t>SK OF BARANGAY GUADALUPE VIEJO  - MAKATI CITY METRO MANILA</t>
  </si>
  <si>
    <t>MUNICIPALITY OF TANZA, CAVITE</t>
  </si>
  <si>
    <t>EASTERN SAMAR STATE UNIVERSITY - GUIUAN CAMPUS</t>
  </si>
  <si>
    <t>BARANGAY BLUE RIDGE A, QUEZON CITY</t>
  </si>
  <si>
    <t>ENVIRONMENTAL MANAGEMENT BUREAU - REGION VII</t>
  </si>
  <si>
    <t>DUTY FREE PHILIPPINES CORPORATION</t>
  </si>
  <si>
    <t>DEPARTMENT OF PUBLIC WORKS AND HIGHWAYS - ILOILO 4TH DEO</t>
  </si>
  <si>
    <t>MUNICIPALITY OF DUMARAN, PALAWAN</t>
  </si>
  <si>
    <t>BAGUIO WATER DISTRICT - BAGUIO CITY</t>
  </si>
  <si>
    <t>MUNICIPALITY OF TALISAYAN, MISAMIS ORIENTAL</t>
  </si>
  <si>
    <t>SGT. PROSPERO G. BELLO HIGH SCHOOL (MAIN) - JONES ISABELA</t>
  </si>
  <si>
    <t>BARANGAY MAGANHAN - BATO LEYTE</t>
  </si>
  <si>
    <t>ISLAND GARDEN CITY OF SAMAL WATER DISTRICT</t>
  </si>
  <si>
    <t>SURIGAO DEL SUR STATE UNIVERSITY</t>
  </si>
  <si>
    <t>CALAMBA WATER DISTRICT</t>
  </si>
  <si>
    <t>BARANGAY  LINAO - PURA,TARLAC</t>
  </si>
  <si>
    <t>MUNICIPALITY OF MANAOAG, PANGASINAN</t>
  </si>
  <si>
    <t>MUNICIPALITY OF KALILANGAN, BUKIDNON</t>
  </si>
  <si>
    <t>DEPARTMENT OF ENVIRONMENT AND NATURAL RESOURCES - REGION XII</t>
  </si>
  <si>
    <t>MUNICIPALITY OF KIBUNGAN, BENGUET</t>
  </si>
  <si>
    <t>BARANGAY WESTERN POBLACION, HILONGOS, LEYTE</t>
  </si>
  <si>
    <t>PROVINCE OF MARINDUQUE</t>
  </si>
  <si>
    <t>BARANGAY PARULUNG, CONCEPCION, TARLAC</t>
  </si>
  <si>
    <t>TOURISM PROMOTIONS BOARD</t>
  </si>
  <si>
    <t>DEPARTMENT OF TRADE &amp; INDUSTRY - REGION IX</t>
  </si>
  <si>
    <t>MUNICIPALITY OF CALAMANIUGAN, CAGAYAN</t>
  </si>
  <si>
    <t>OCCUPATIONAL SAFETY AND HEALTH CENTER</t>
  </si>
  <si>
    <t>DEPARTMENT OF EDUCATION - MALAYBALAY CITY CENTRAL DISTRICT</t>
  </si>
  <si>
    <t>DEPARTMENT OF EDUCATION - DIVISION OF ZAMBOANGA DEL NORTE</t>
  </si>
  <si>
    <t>SAN MANUEL WATER DISTRICT</t>
  </si>
  <si>
    <t>MUNICIPALITY OF MAHATAO, BATANES</t>
  </si>
  <si>
    <t>ILOILO STATE COLLEGE OF FISHERIES - BAROTAC NUEVO CAMPUS</t>
  </si>
  <si>
    <t>BARANGAY CAMINTO - INOPACAN LEYTE</t>
  </si>
  <si>
    <t>NATIONAL IRRIGATION ADMINISTRATION - BANE-IMO</t>
  </si>
  <si>
    <t>MINDORO STATE COLLEGE OF AGRICULTURE AND TECHNOLOGY</t>
  </si>
  <si>
    <t>CIVIL SERVICE COMMISSION - REGION IV</t>
  </si>
  <si>
    <t>BARANGAY POBLACION IV - TANAUAN CITY</t>
  </si>
  <si>
    <t>MUNICIPALITY OF TUBA, BENGUET</t>
  </si>
  <si>
    <t>MUNICIPALITY OF GUINAYANGAN, QUEZON</t>
  </si>
  <si>
    <t>DEPARTMENT OF PUBLIC WORKS AND HIGHWAYS - BATANGAS 3RD ED</t>
  </si>
  <si>
    <t>PROVINCE OF MOUNTAIN PROVINCE</t>
  </si>
  <si>
    <t>BARANGAY D-LEANO,CLAVERIA,CAGAYAN</t>
  </si>
  <si>
    <t>NATIONAL IRRIGATION ADMINISTRATION - TARZAM IMO</t>
  </si>
  <si>
    <t>MUNICIPALITY OF VICTORIA, TARLAC</t>
  </si>
  <si>
    <t>CITY OF TANJAY, NEGROS ORIENTAL</t>
  </si>
  <si>
    <t>NATIONAL CONCILIATION AND MEDIATION BOARD</t>
  </si>
  <si>
    <t>NATIONAL RESEARCH COUNCIL OF THE PHILIPPINES</t>
  </si>
  <si>
    <t>DEPARTMENT OF PUBLIC WORKS AND HIGHWAYS - AGUSAN DEL SUR 2ND</t>
  </si>
  <si>
    <t>METROPOLITAN TUGUEGARAO WATER DISTRICT</t>
  </si>
  <si>
    <t>KIBURIAO CENTRAL SCHOOL</t>
  </si>
  <si>
    <t>DEPARTMENT OF EDUCATION - DIVISION OF TABUK CITY</t>
  </si>
  <si>
    <t>MUNICIPALITY OF SANTO DOMINGO, ILOCOS SUR</t>
  </si>
  <si>
    <t>MUNICIPALITY OF PRESIDENT CARLOS P. GARCIA, BOHOL</t>
  </si>
  <si>
    <t>BARANGAY CALULUAN, CONCEPCION, TARLAC</t>
  </si>
  <si>
    <t>VICENTE SOTTO MEMORIAL MEDICAL CENTER - REGION VII</t>
  </si>
  <si>
    <t>DEPARTMENT OF PUBLIC WORKS AND HIGHWAYS - SULTAN KUDARAT 2ND</t>
  </si>
  <si>
    <t>COMMISSION ON HIGHER EDUCATION - REGION X</t>
  </si>
  <si>
    <t>DEPARTMENT OF EDUCATION - DIVISION OF BENGUET</t>
  </si>
  <si>
    <t>BARANGAY LIGA IBAAN BATANGAS</t>
  </si>
  <si>
    <t>MUNICIPALITY OF GEN. MAMERTO NATIVIDAD, NUEVA ECIJA</t>
  </si>
  <si>
    <t>CENTRAL BICOL STATE UNIVERSITY OF AGRICULTURE (CBSUA)</t>
  </si>
  <si>
    <t>MUNICIPALITY OF LOBO, BATANGAS</t>
  </si>
  <si>
    <t>MUNICIPALITY  OF NUMANCIA, AKLAN</t>
  </si>
  <si>
    <t>DEPARTMENT OF  EDUCATION - DIVISION OF VIGAN CITY</t>
  </si>
  <si>
    <t>BASES CONVERSION AND DEVELOPMENT AUTHORITY - MAIN</t>
  </si>
  <si>
    <t>NATIONAL ELECTRIFICATION ADMINISTRATION</t>
  </si>
  <si>
    <t>MUNICIPALITY OF BAYOMBONG - NUEVA VISCAYA</t>
  </si>
  <si>
    <t>ARMED FORCES OF THE PHILS. LOGISTICS COMMAND ELEM. SCHOOL</t>
  </si>
  <si>
    <t>MLANG WATER DISTRICT</t>
  </si>
  <si>
    <t>MUNICIPALITY OF MAHAYAG, ZAMBOANGA DEL SUR</t>
  </si>
  <si>
    <t>PROVINCE OF ZAMBOANGA SIBUGAY</t>
  </si>
  <si>
    <t>BARANGAY PINAGBUHATAN, PASIG CITY</t>
  </si>
  <si>
    <t>DEPARTMENT OF PUBLIC  WORKS AND HIGHWAYS - APAYAO 2ND DEO</t>
  </si>
  <si>
    <t>MUNICIPALITY OF SUAL -  PANGASINAN</t>
  </si>
  <si>
    <t>BARANGAY PINAMANGGUAN, KADINGILAN, BUKIDNON</t>
  </si>
  <si>
    <t>PARTIDO DEVELOPMENT ADMINISTRATION</t>
  </si>
  <si>
    <t>DEPARTMENT OF EDUCATION - DIVISION OF MALAYBALAY CITY</t>
  </si>
  <si>
    <t>NUEVA VIZCAYA STATE UNIVERSITY</t>
  </si>
  <si>
    <t>STO. DOMINGO ELEMENTARY SCHOOL</t>
  </si>
  <si>
    <t>DEPARTMENT OF EDUCATION - DIVISION OF CARCAR CITY</t>
  </si>
  <si>
    <t>DEPARTMENT OF INFORMATION AND COMMUNICATIONS TECHNOLOGY</t>
  </si>
  <si>
    <t>MUNICIPALITY OF ENRIQUE VILLANUEVA, SIQUIJOR</t>
  </si>
  <si>
    <t>407TH CONTRACTING OFFICE, AFP PROCUREMENT SERVICE</t>
  </si>
  <si>
    <t>MUNICIPALITY OF SOLANO, NUEVA VIZCAYA</t>
  </si>
  <si>
    <t>PHILIPPINE STATISTICS AUTHORITY - NCR REGIONAL OFFICE</t>
  </si>
  <si>
    <t>MUNICIPALITY OF PANDI, BULACAN</t>
  </si>
  <si>
    <t>DEPARTMENT OF EDUCATION - DIVISION OF CITY SCHOOLS, TABACO</t>
  </si>
  <si>
    <t>MUNICIPALITY OF AURORA, ZAMBOANGA DEL SUR</t>
  </si>
  <si>
    <t>PAMPANGA STATE AGRICULTURAL UNIVERSITY</t>
  </si>
  <si>
    <t>LAND TRANSPORTATION AND FRANCHISING REGULATORY BOARD - MAIN</t>
  </si>
  <si>
    <t>MUNICIPALITY OF DOLORES, EASTERN SAMAR</t>
  </si>
  <si>
    <t>FIBER INDUSTRY DEVELOPMENT AUTHORITY - REGION V</t>
  </si>
  <si>
    <t>DEPARTMENT OF EDUCATION - DIVISION OF PAGADIAN CITY</t>
  </si>
  <si>
    <t>MARIANO MARCOS MEMORIAL HOSPITAL AND MEDICAL CENTER</t>
  </si>
  <si>
    <t>CARAGA REGIONAL HOSPITAL</t>
  </si>
  <si>
    <t>BUREAU OF FISHERIES AND AQUATIC RESOURCES - REGION IV-A</t>
  </si>
  <si>
    <t>HOME DEVELOPMENT MUTUAL FUND - MAKATI BRANCH</t>
  </si>
  <si>
    <t>MUNICIPALITY OF BINALONAN, PANGASINAN</t>
  </si>
  <si>
    <t>TECHNICAL EDUCATION &amp; SKILLS DEVELOPMENT AUTHORITY - NCR PAM</t>
  </si>
  <si>
    <t>DEPARTMENT OF SOCIAL WELFARE AND DEVELOPMENT - REGION I</t>
  </si>
  <si>
    <t>MUNICIPALITY OF ISABELA, NEGROS OCCIDENTAL</t>
  </si>
  <si>
    <t>MUNICIPALITY OF BINMALEY, PANGASINAN</t>
  </si>
  <si>
    <t>PHILIPPINE ECONOMIC ZONE AUTHORITY - BAGUIO CITY ECOZONE</t>
  </si>
  <si>
    <t>MUNICIPALITY OF ANGADANAN, ISABELA</t>
  </si>
  <si>
    <t>MUNICIPALITY OF BURGOS, PANGASINAN</t>
  </si>
  <si>
    <t>MUNICIPALITY OF TERESA, RIZAL</t>
  </si>
  <si>
    <t>PHILIPPINE POSTAL CORPORATION</t>
  </si>
  <si>
    <t>MUNICIPALITY OF CAPALONGA, CAMARINES NORTE</t>
  </si>
  <si>
    <t>PHILIPPINE COCONUT AUTHORITY - MAIN</t>
  </si>
  <si>
    <t>MINDANAO STATE UNIVERSITY - GENERAL SANTOS CITY CAMPUS</t>
  </si>
  <si>
    <t>MUNICIPALITY OF BOAC, MARINDUQUE</t>
  </si>
  <si>
    <t>CITY  OF CAUAYAN, ISABELA</t>
  </si>
  <si>
    <t>MUNICIPALITY OF NABUA, CAMARINES SUR</t>
  </si>
  <si>
    <t>MUNICIPALITY OF LAMBUNAO, ILOILO</t>
  </si>
  <si>
    <t>CITY OF TRECE MARTIRES</t>
  </si>
  <si>
    <t>MUNICIPALITY OF PAGSANJAN, LAGUNA</t>
  </si>
  <si>
    <t>MUNICIPALITY OF PASIL, KALINGA</t>
  </si>
  <si>
    <t>BANGKO SENTRAL NG PILIPINAS (SECURITY PLANT COMPLEX) - QUEZO</t>
  </si>
  <si>
    <t>DA - PHILIPPINE RURAL DEVELOPMENT PROJECT - PSO LUZON A</t>
  </si>
  <si>
    <t>DAVAO CITY WATER DISTRICT</t>
  </si>
  <si>
    <t>MUNICIPALITY OF GOA, CAMARINES SUR</t>
  </si>
  <si>
    <t>DEPARTMENT OF AGRICULTURE - REGION IX</t>
  </si>
  <si>
    <t>BUREAU OF ANIMAL INDUSTRY, DA</t>
  </si>
  <si>
    <t>AMANG RODRIGUEZ MEMORIAL MEDICAL CENTER</t>
  </si>
  <si>
    <t>MINES AND GEO-SCIENCES BUREAU - REGION V</t>
  </si>
  <si>
    <t>BANGKO SENTRAL NG PILIPINAS - CEBU REGIONAL OFFICE</t>
  </si>
  <si>
    <t>MUNICIPALITY OF DALAGUETE, CEBU</t>
  </si>
  <si>
    <t>BARANGAY SAN ANTONIO PALO,LEYTE</t>
  </si>
  <si>
    <t>DEPARTMENT OF PUBLIC WORKS AND HIGHWAYS - REGION XIII (CARAG</t>
  </si>
  <si>
    <t>PILI NATIONAL HIGH SCHOOL - SARIAYA QUEZON</t>
  </si>
  <si>
    <t>AGRICULTURAL TRAINING INSTITUTE - REGION I</t>
  </si>
  <si>
    <t>DEPARTMENT OF PUBLIC WORKS AND HIGHWAYS - CAVITE I DEO</t>
  </si>
  <si>
    <t>BARANGAY LUZON, CLAVERIA, CAGAYAN</t>
  </si>
  <si>
    <t>SOCIAL SECURITY SYSTEM</t>
  </si>
  <si>
    <t>DEPARTMENT OF PUBLIC WORKS AND HIGHWAYS - BACOLOD CITY DEO</t>
  </si>
  <si>
    <t>BARANGAY JAWOD - SAN JOAQUIN ILOILO</t>
  </si>
  <si>
    <t>PHILIPPINE PORTS AUTHORITY - PMO SURIGAO</t>
  </si>
  <si>
    <t>BAYAWAN WATER DISTRICT</t>
  </si>
  <si>
    <t>KALAGANGAN CENTRAL ELEMENTARY SCHOOL SAN FERNANDO, BUKIDNON</t>
  </si>
  <si>
    <t>DEPARTMENT OF EDUCATION - DIVISION OF COMPOSTELA VALLEY</t>
  </si>
  <si>
    <t>PHILIPPINE COAST GUARD - COAST GUARD DISTRICT SOUTHERN TAGAL</t>
  </si>
  <si>
    <t>NATIONAL FOOD AUTHORITY - REGION V</t>
  </si>
  <si>
    <t>DEPARTMENT OF EDUCATION - DIVISION OF LANAO DEL NORTE</t>
  </si>
  <si>
    <t>PROVINCE OF ZAMBOANGA DEL SUR</t>
  </si>
  <si>
    <t>BARANGAY NORTHSIDE, MAKATI CITY</t>
  </si>
  <si>
    <t>MUNICIPALITY OF CONCEPCION, MISAMIS OCCIDENTAL</t>
  </si>
  <si>
    <t>DEPARTMENT OF EDUCATION - DIVISION OF CALBAYOG CITY</t>
  </si>
  <si>
    <t>MUNICIPALITY OF SIBAGAT, AGUSAN DEL SUR</t>
  </si>
  <si>
    <t>JOSE RIZAL MEMORIAL STATE COLLEGE - TAMPILISAN CAMPUS</t>
  </si>
  <si>
    <t>DEPARTMENT OF EDUCATION - DIVISION OF ANTIQUE</t>
  </si>
  <si>
    <t>DEPARTMENT OF ENVIRONMENT AND NATURAL RES. - PENRO, LUCENA</t>
  </si>
  <si>
    <t>BARANGAY HAYANGGABON, CLAVER, SURIGAO DEL NORTE</t>
  </si>
  <si>
    <t>MUNICIPALITY OF CATANAUAN, QUEZON</t>
  </si>
  <si>
    <t>MUNICIPALITY OF SAN ISIDRO, SURIGAO DEL NORTE</t>
  </si>
  <si>
    <t>CIRIACO P. TINGA ELEMENTARY SCHOOL</t>
  </si>
  <si>
    <t>BARANGAY MAHAYAG, QUEZON, BUKIDNON</t>
  </si>
  <si>
    <t>DBP LEASING CORPORATION</t>
  </si>
  <si>
    <t>BUREAU OF FISHERIES AND AQUATIC RESOURCES CARAGA</t>
  </si>
  <si>
    <t>CITY OF SANTA ROSA, LAGUNA</t>
  </si>
  <si>
    <t>MUNICIPALITY OF ALITAGTAG, BATANGAS</t>
  </si>
  <si>
    <t>METRO KIDAPAWAN WATER DISTRICT</t>
  </si>
  <si>
    <t>KAANIBUNGAN ELEMENTARY SCHOOL - IMPASUG-ONG BUKIDNON</t>
  </si>
  <si>
    <t>HOME DEVELOPMENT MUTUAL FUND - CORPORATE HEADQUARTERS</t>
  </si>
  <si>
    <t>MUNICIPALITY OF BULAN, SORSOGON</t>
  </si>
  <si>
    <t>ANGGA-AN ELEMENTARY SCHOOL</t>
  </si>
  <si>
    <t>CAMP VICENTE LIM INTEGRATED SCHOOL</t>
  </si>
  <si>
    <t>J H CERILLES STATE COLLEGE</t>
  </si>
  <si>
    <t>PAG-IBIG FUND (TAS-NCR WEST) - MANILA METRO MANILA</t>
  </si>
  <si>
    <t>AGRICULTURAL TRAINING INSTITUTE - TRECE MARTIRES</t>
  </si>
  <si>
    <t>MUNICIPALITY OF JIPAPAD, EASTERN SAMAR</t>
  </si>
  <si>
    <t>SCIENCE AND TECHNOLOGY INFORMATION INSTITUTE</t>
  </si>
  <si>
    <t>DEPARTMENT OF AGRICULTURE - REGION XI</t>
  </si>
  <si>
    <t>GUTAD NATIONAL HIGH SCHOOL - FLORIDABLANCA INTEGRATED SCHOOL</t>
  </si>
  <si>
    <t>DEPARTMENT OF PUBLIC WORKS AND HIGHWAYS - REGION VIII</t>
  </si>
  <si>
    <t>PHILIPPINE PORTS AUTHORITY - PMO CAGAYAN DE ORO</t>
  </si>
  <si>
    <t>DEPARTMENT OF EDUCATION - DIVISION OF ILOCOS NORTE</t>
  </si>
  <si>
    <t>DEPARTMENT OF SCIENCE AND TECHNOLOGY - REGION VI</t>
  </si>
  <si>
    <t>DEPARTMENT OF AGRICULTURE - MAIN</t>
  </si>
  <si>
    <t>MUNICIPALITY OF CUYAPO, NUEVA ECIJA</t>
  </si>
  <si>
    <t>MUNICIPALITY OF SAN ENRIQUE, NEGROS OCCIDENTAL</t>
  </si>
  <si>
    <t>COMMONWEALTH ELEMENTARY SCHOOL</t>
  </si>
  <si>
    <t>PEZA - MACTAN ECONOMIC ZONE</t>
  </si>
  <si>
    <t>BARANGAY MALIBONG, URBIZTONDO, PANGASINAN</t>
  </si>
  <si>
    <t>EMPLOYEES' COMPENSATION COMMISSION</t>
  </si>
  <si>
    <t>NATIONAL FOOD AUTHORITY - REGION III</t>
  </si>
  <si>
    <t>BARANGAY PALATIW, PASIG CITY</t>
  </si>
  <si>
    <t>SUGAR REGULATORY ADMINISTRATION - VISAYAS</t>
  </si>
  <si>
    <t>BARANGAY CANHAWAY, GUINDULMAN, BOHOL</t>
  </si>
  <si>
    <t>BICOL UNIVERSITY</t>
  </si>
  <si>
    <t>DEPARO ELEMENTARY SCHOOL</t>
  </si>
  <si>
    <t>BARANGAY PINGGAN, GASAN, MARINDUQUE</t>
  </si>
  <si>
    <t>MUNICIPALITY OF BUSUANGA, PALAWAN</t>
  </si>
  <si>
    <t>MUNICIPALITY OF PAMPLONA, CAGAYAN</t>
  </si>
  <si>
    <t>BARANGAY CAMP AGUINALDO - QUEZON CITY</t>
  </si>
  <si>
    <t>DEPARTMENT OF EDUCATION - DIVISION OF BALANGA CITY</t>
  </si>
  <si>
    <t xml:space="preserve">DEPARTMENT OF PUBLIC WORKS AND HIGHWAYS - SURIGAO DEL NORTE </t>
  </si>
  <si>
    <t>DEPT OF TRADE AND INDUSTRY - CAR - MOUNTAIN PROVINCE</t>
  </si>
  <si>
    <t>DEPED-ROVI-DIVISION OF AKLAN</t>
  </si>
  <si>
    <t>BALULANG ELEMENTARY SCHOOL - CAGAYAN DE ORO CITY</t>
  </si>
  <si>
    <t>FAMADOR ELEMENTARY SCHOOL</t>
  </si>
  <si>
    <t>TECHNOLOGICAL UNIVERSITY OF THE PHILIPPINES - MANILA CAMPUS</t>
  </si>
  <si>
    <t>BARANGAY ALTURA MATANDA, TANAUAN CITY, BATANGAS</t>
  </si>
  <si>
    <t>DOÑA ROSARIO C. VALDIVIA ELEMENTARY SCHOOL</t>
  </si>
  <si>
    <t>BARANGAY 101, TACLOBAN CITY, LEYTE</t>
  </si>
  <si>
    <t>PROVINCE OF COTABATO</t>
  </si>
  <si>
    <t>PRESIDENTIAL MANAGEMENT STAFF</t>
  </si>
  <si>
    <t>NUEVA ECIJA UNIVERSITY OF SCIENCE AND TECHNOLOGY</t>
  </si>
  <si>
    <t>MUNICIPALITY OF BINGAWAN, ILOILO</t>
  </si>
  <si>
    <t>PHILIPPINE ARMY PROCUREMENT CENTER, AFP PROCUREMENT SERVICE</t>
  </si>
  <si>
    <t>DEPARTMENT OF FINANCE - MAIN</t>
  </si>
  <si>
    <t>DEPARTMENT OF EDUCATION - SCHOOLS DIVISION OF CALAPAN CITY</t>
  </si>
  <si>
    <t>MUNICIPALITY OF SAN JOSE, OCCIDENTAL MINDORO</t>
  </si>
  <si>
    <t>MUNICIPALITY OF BULUSAN, SORSOGON</t>
  </si>
  <si>
    <t>BARANGAY RIZAL. LEMERY, BATANGAS</t>
  </si>
  <si>
    <t>DEPARTMENT OF PUBLIC WORKS AND HIGHWAYS - NCR</t>
  </si>
  <si>
    <t>NATIONAL COMMISSION FOR CULTURE AND THE ARTS</t>
  </si>
  <si>
    <t>BARANGAY 673 ZONE 73, DISTRICT V, MANILA</t>
  </si>
  <si>
    <t>SK OF BARANGAY  POBLACION - MAKATI CITY</t>
  </si>
  <si>
    <t>BARANGAY CABULISAN INOPACAN LEYTE</t>
  </si>
  <si>
    <t>NATIONAL IRRIGATION ADMINISTRATION - IMO AGUSAN DEL SUR</t>
  </si>
  <si>
    <t>COMMISSION ON POPULATION AND DEVELOPMENT - REGION IV</t>
  </si>
  <si>
    <t>BARANGAY SANGALANG, LEMERY, BATANGAS</t>
  </si>
  <si>
    <t>DEPARTMENT OF EDUCATION - DIVISION OF OZAMIZ CITY</t>
  </si>
  <si>
    <t>BARANGAY 809 ZONE 88 DISTRICT V, MANILA</t>
  </si>
  <si>
    <t>BARANGAY STO. CRISTO, SAN JOSE, BATANGAS</t>
  </si>
  <si>
    <t>DA - PHILIPPINE RURAL DEVELOPMENT PROJECT</t>
  </si>
  <si>
    <t>MUNICIPALITY OF CAUAYAN, NEGROS OCCIDENTAL</t>
  </si>
  <si>
    <t>DEPARTMENT OF EDUCATION - DIVISION OF BAGUIO CITY</t>
  </si>
  <si>
    <t>MUNICIPALITY OF SAN ISIDRO, DAVAO ORIENTAL</t>
  </si>
  <si>
    <t>PHILIPPINE COAST GUARD</t>
  </si>
  <si>
    <t xml:space="preserve">DEPARTMENT OF JUSTICE - OFFICE OF THE REGIONAL PROSECUTOR - </t>
  </si>
  <si>
    <t>BAYBAYIN NATIONAL HIGH SCHOOL</t>
  </si>
  <si>
    <t>BARANGAY BONUAN BINLOC, DAGUPAN CITY</t>
  </si>
  <si>
    <t>PHILIPPINE AMUSEMENT AND GAMING CORPORATION-ANGELES</t>
  </si>
  <si>
    <t>DEPARTMENT OF HEALTH - TREATMENT AND REHABILITATION CENTER -</t>
  </si>
  <si>
    <t>MUNICIPALITY OF TUBLAY, BENGUET</t>
  </si>
  <si>
    <t>BARANGAY CANABAJAN, CALINOG, ILOILO</t>
  </si>
  <si>
    <t>MUNICIPALITY OF BURDEOS, QUEZON</t>
  </si>
  <si>
    <t>BARANGAY CAMUDMUD - ISLAND GARDEN CITY OF SAMAL DAVAO DEL NO</t>
  </si>
  <si>
    <t>DEPARTMENT OF PUBLIC WORKS AND HIGHWAYS - ILOCOS NORTE 1ST D</t>
  </si>
  <si>
    <t>BARANGAY SOLO, MABINI, BATANGAS</t>
  </si>
  <si>
    <t>DEPARTMENT OF PUBLIC WORKS AND HIGHWAYS - RIZAL II DEO</t>
  </si>
  <si>
    <t>PHILIPPINE SCIENCE HIGH SCHOOL - ILOCOS REGION CAMPUS</t>
  </si>
  <si>
    <t>BARANGAY TABAN-FUNDADO, LIBMANAN, CAMARINES SUR</t>
  </si>
  <si>
    <t>BARANGAY DELOS SANTOS INOPACAN LEYTE</t>
  </si>
  <si>
    <t>BULACAN AGRICULTURAL STATE COLLEGE</t>
  </si>
  <si>
    <t>LLANO ELEMENTARY SCHOOL</t>
  </si>
  <si>
    <t>BARANGAY COTNOGAN, POLANGUI, ALBAY</t>
  </si>
  <si>
    <t>BARANGAY CAN-ANGAY INOPACAN LEYTE</t>
  </si>
  <si>
    <t>BARANGAY BAGONG BAYAN I, BONGABONG, ORIENTAL MINDORO</t>
  </si>
  <si>
    <t>NEWBORN SCREENING REFERENCE CENTER</t>
  </si>
  <si>
    <t>BARANGAY CALMAY NORTE, DAGUPAN CITY, PANGASINAN</t>
  </si>
  <si>
    <t>PHILIPPINE CENTER FOR ECONOMIC DEVELOPMENT</t>
  </si>
  <si>
    <t>DEPARTMENT OF PUBLIC WORKS AND HIGHWAYS - COTABATO SUB-DEO</t>
  </si>
  <si>
    <t>PROVINCE OF BUKIDNON</t>
  </si>
  <si>
    <t>WENCESLAO ELEMENTARY SCHOOL - LUBAO PAMPANGA</t>
  </si>
  <si>
    <t>NATIONAL FOOD AUTHORITY  - REGION XII</t>
  </si>
  <si>
    <t>MINISTRY OF AGRICULTURE, FISHERIES AND AGRARIAN REFORM - COT</t>
  </si>
  <si>
    <t>DEPARTMENT OF LABOR AND EMPLOYMENT - REGION III</t>
  </si>
  <si>
    <t>BARANGAY TEBENG, DAGUPAN, PANGASINAN</t>
  </si>
  <si>
    <t>DEPARTMENT OF EDUCATION - SCHOOLS DIVISION OF SORSOGON PROVI</t>
  </si>
  <si>
    <t>CIVIL AVIATION AUTHORITY OF THE PHILIPPINES - DAVAO INTERNAT</t>
  </si>
  <si>
    <t>MUNICIPALITY OF SALAY , MISAMIS ORIENTAL</t>
  </si>
  <si>
    <t>LAKE WOOD ELEMENTARY SCHOOL</t>
  </si>
  <si>
    <t>SK OF BARANGAY CARMONA - MAKATI CITY</t>
  </si>
  <si>
    <t>MUNICIPALITY OF LICUAN-BAAY, ABRA</t>
  </si>
  <si>
    <t>LANTAPAN NATIONAL HIGH SCHOOL</t>
  </si>
  <si>
    <t>MUNICIPALITY OF SAN FRANCISCO, SOUTHERN LEYTE</t>
  </si>
  <si>
    <t>BARANGAY LABONAN, BONGABONG, ORIENTAL MINDORO</t>
  </si>
  <si>
    <t>ALUYAN ELEMENTARY SCHOOL</t>
  </si>
  <si>
    <t>BARANGAY MOJON-TAMPOY, SAN JOSE, BATANGAS</t>
  </si>
  <si>
    <t>BARANGAY HAGUPIT, BONGABONG, ORIENTAL MINNDORO</t>
  </si>
  <si>
    <t>DEPARTMENT OF PUBLIC WORKS AND HIGHWAYS - CEBU 2ND DEO</t>
  </si>
  <si>
    <t>MUNICIPALITY OF RIZAL, KALINGA</t>
  </si>
  <si>
    <t>MUNICIPALITY OF SIPOCOT, CAMARINES SUR</t>
  </si>
  <si>
    <t>ECOSYSTEMS RESEARCH AND DEVELOPMENT BUREAU - (ERDB)</t>
  </si>
  <si>
    <t>BARANGAY BATTUNG, TUAO, CAGAYAN</t>
  </si>
  <si>
    <t>BARANGAY MALINAO, PASIG CITY</t>
  </si>
  <si>
    <t>CITY OF BATANGAS, BATANGAS</t>
  </si>
  <si>
    <t>CITY OF TAGUM, DAVAO DEL NORTE</t>
  </si>
  <si>
    <t>AYUNGON WATER DISTRICT</t>
  </si>
  <si>
    <t>BARANGAY ALUYON, BURDEOS, QUEZON</t>
  </si>
  <si>
    <t>MUNICIPALITY OF SIBONGA, CEBU</t>
  </si>
  <si>
    <t>SURALLAH WATER DISTRICT</t>
  </si>
  <si>
    <t>MUNICIPALITY OF UYUGAN, BATANES</t>
  </si>
  <si>
    <t>MUNICIPALITY OF SANTA, ILOCOS SUR</t>
  </si>
  <si>
    <t>MARIANO MARCOS STATE UNIVERSITY</t>
  </si>
  <si>
    <t>BUREAU OF CUSTOMS - PORT OF ILOILO</t>
  </si>
  <si>
    <t>MUNICIPALITY OF SAN AGUSTIN , SURIGAO DEL SUR</t>
  </si>
  <si>
    <t>BARANGAY SAN SIMON, CAGAYAN DE ORO CITY</t>
  </si>
  <si>
    <t>DEPARTMENT OF PUBLIC WORKS AND HIGHWAYS - QUEZON CITY 1ST ED</t>
  </si>
  <si>
    <t>SOUTHERN LUZON STATE UNIVERSITY</t>
  </si>
  <si>
    <t>ALICIA VOCATIONAL SCHOOL</t>
  </si>
  <si>
    <t>MUNICIPALITY OF DON MARCELINO - DAVAO OCCIDENTAL</t>
  </si>
  <si>
    <t>MUNICIPALITY OF PATEROS</t>
  </si>
  <si>
    <t>CITY  OF LA CARLOTA, NEGROS OCCIDENTAL</t>
  </si>
  <si>
    <t>BARANGAY TABUCBUC MARCOS ILOCOS NORTE</t>
  </si>
  <si>
    <t>MUNICIPALITY OF GUINOBATAN, ALBAY</t>
  </si>
  <si>
    <t>MUNICIPALITY OF SAN GUILLERMO, ISABELA</t>
  </si>
  <si>
    <t>MUNICIPALITY OF SAN GABRIEL, LA UNION</t>
  </si>
  <si>
    <t>MUNICIPALITY OF SAN QUINTIN, ABRA</t>
  </si>
  <si>
    <t>MUNICIPALITY OF TABOGON, CEBU</t>
  </si>
  <si>
    <t>BUENAVISTA NATIONAL HIGH SCHOOL</t>
  </si>
  <si>
    <t>BARANGAY CANTIBAS, BALAMBAN, CEBU</t>
  </si>
  <si>
    <t>MUNICIPALITY OF CANDONI, NEGROS OCCIDENTAL</t>
  </si>
  <si>
    <t>DEPARTMENT OF ENVIRONMENT AND NATURAL RESOURCES - CAR</t>
  </si>
  <si>
    <t>CITY OF BORONGAN, EASTERN SAMAR</t>
  </si>
  <si>
    <t>LABANGAN CENTRAL ELEMENTARY SCHOOL</t>
  </si>
  <si>
    <t>MUNICIPALITY OF ALLACAPAN, CAGAYAN</t>
  </si>
  <si>
    <t>REINA MERCEDES CENTRAL SCHOOL - REINA MERCEDES, ISABELA</t>
  </si>
  <si>
    <t>MUNICIPALITY OF BINDOY, NEGROS ORIENTAL</t>
  </si>
  <si>
    <t>BARANGAY MA. CARIDAD - ARAKAN COTABATO</t>
  </si>
  <si>
    <t>DEPARTMENT OF ENVIRONMENT AND NATURAL RESOURCES - CARAGA</t>
  </si>
  <si>
    <t>MUNICIPALITY OF MARIA AURORA, AURORA</t>
  </si>
  <si>
    <t>BARANGAY MANARUG, JAVIER, LEYTE</t>
  </si>
  <si>
    <t>BARANGAY BICOK TUAO CAGAYAN</t>
  </si>
  <si>
    <t>MUNICIPALITY OF SAN VICENTE, ILOCOS SUR</t>
  </si>
  <si>
    <t>COAST GUARD INTERNAL AFFAIRS SERVICE</t>
  </si>
  <si>
    <t>DA - RFO I ILOCOS NORTE RESEARCH &amp; EXPERIMENT CENTER</t>
  </si>
  <si>
    <t>PROVINCE OF QUIRINO</t>
  </si>
  <si>
    <t>MUNICIPALITY OF RIZAL, ZAMBOANGA DEL NORTE</t>
  </si>
  <si>
    <t>BARANGAY SERING - BASILISA DINAGAT ISLAND</t>
  </si>
  <si>
    <t>IMPALUTAO INTEGRATED SCHOOL, IMPALUTAO, IMPASUGONG, BUKIDNON</t>
  </si>
  <si>
    <t>MUNICIPALITY OF MATANAO, DAVAO DEL SUR</t>
  </si>
  <si>
    <t>CITY OF VIGAN, ILOCOS SUR</t>
  </si>
  <si>
    <t>BUREAU OF FIRE PROTECTION - REGION VI</t>
  </si>
  <si>
    <t>BUREAU OF PLANT INDUSTRY - NCR</t>
  </si>
  <si>
    <t>BARANGAY STA. MILAGROSA, CALAUAG, QUEZON</t>
  </si>
  <si>
    <t>SALAWAGAN NATIONAL HIGH SCHOOL</t>
  </si>
  <si>
    <t>MUNICIPALITY OF CUYO, PALAWAN</t>
  </si>
  <si>
    <t>MARGOSATUBIG REGIONAL HOSPITAL</t>
  </si>
  <si>
    <t>MUNICIPALITY OF SOCORRO, ORIENTAL MINDORO</t>
  </si>
  <si>
    <t>RIZAL HIGH SCHOOL</t>
  </si>
  <si>
    <t>MUNICIPALITY OF BAGAC, BATAAN</t>
  </si>
  <si>
    <t>BARANGAY LA PAZ MAKATI CITY</t>
  </si>
  <si>
    <t>PROVINCE OF ORIENTAL MINDORO</t>
  </si>
  <si>
    <t>BARANGAY 644 ZONE 66 DISTRICT VI MANILA</t>
  </si>
  <si>
    <t>BARANGAY SAN SOTERO, JAVIER, LEYTE</t>
  </si>
  <si>
    <t>PROVINCE OF COMPOSTELA VALLEY</t>
  </si>
  <si>
    <t>DEPARTMENT OF EDUCATION - REGION X</t>
  </si>
  <si>
    <t>BARANGAY ESPERANZA, PORO, CEBU</t>
  </si>
  <si>
    <t>BARANGAY MALITBOGAY, JAVIER, LEYTE</t>
  </si>
  <si>
    <t>BARANGAY BALIWAGAN, BALAMBAN, CEBU</t>
  </si>
  <si>
    <t>TECHNICAL EDUCATION &amp; SKILLS DEVELOPMENT AUTHORITY (PROVINCI</t>
  </si>
  <si>
    <t>MUNICIPALITY OF STA. CRUZ, ZAMBALES</t>
  </si>
  <si>
    <t>DEPARTMENT OF PUBLIC WORKS AND HIGHWAYS - ZAMBOANGA DEL NORT</t>
  </si>
  <si>
    <t>CITY OF BAIS, NEGROS ORIENTAL</t>
  </si>
  <si>
    <t>MUNICIPALITY OF CAIBIRAN, BILIRAN</t>
  </si>
  <si>
    <t>MUNICIPALITY OF POLILLO, QUEZON</t>
  </si>
  <si>
    <t>MUNICIPALITY OF BADOC, ILOCOS NORTE</t>
  </si>
  <si>
    <t>SAN JOSE DEL MONTE CENTRAL SCHOOL</t>
  </si>
  <si>
    <t>MUNICIPALITY OF PRESENTACION, CAMARINES SUR</t>
  </si>
  <si>
    <t>SAN FABIAN NATIONAL HIGH SCHOOL</t>
  </si>
  <si>
    <t>DEPARTMENT OF EDUCATION - DIVISION OF AGUSAN DEL SUR</t>
  </si>
  <si>
    <t>BARANGAY CAGURAY, MAGSAYSAY, OCCIDENTAL MINDORO</t>
  </si>
  <si>
    <t>BARANGAY CENTRO 2, TUAO, CAGAYAN</t>
  </si>
  <si>
    <t>MUNICIPALITY OF URBIZTONDO, PANGASINAN</t>
  </si>
  <si>
    <t>DEPARTMENT OF SOCIAL WELFARE AND DEVELOPMENT - REGION VIII</t>
  </si>
  <si>
    <t>NATIONAL POLICE COMMISSION</t>
  </si>
  <si>
    <t>MUNICIPALITY OF MARCOS, ILOCOS NORTE</t>
  </si>
  <si>
    <t>MUNICIPALITY OF STA. CRUZ, MARINDUQUE</t>
  </si>
  <si>
    <t>COLORADO INTEGRATED SCHOOL - SAN GUILLERMO ISABELA</t>
  </si>
  <si>
    <t>MUNICIPALITY OF NAAWAN, MISAMIS ORIENTAL</t>
  </si>
  <si>
    <t>LANDBANK OF THE PHILIPPINES - HEAD OFFICE</t>
  </si>
  <si>
    <t>CENTER FOR HEALTH DEVELOPMENT - REGION IV-B (MIMAROPA)</t>
  </si>
  <si>
    <t>MUNICIPALITY OF PARACELIS, MOUNTAIN PROVINCE</t>
  </si>
  <si>
    <t>BARANGAY BAKHAW, MANDURRIAO, ILOILO CITY</t>
  </si>
  <si>
    <t>DR. PAULINO J. GARCIA MEMORIAL RESEARCH AND MEDICAL CENTER</t>
  </si>
  <si>
    <t>SULTAN KUDARAT STATE UNIVERSITY</t>
  </si>
  <si>
    <t xml:space="preserve">DEPARTMENT OF PUBLIC WORKS AND HIGHWAYS - NUEVA VIZCAYA 1ST </t>
  </si>
  <si>
    <t>MUNICIPALITY OF BAKUN, BENGUET</t>
  </si>
  <si>
    <t>BARANGAY BONGCO, LOON, BOHOL</t>
  </si>
  <si>
    <t>DEPARTMENT OF HEALTH - SAN FERNANDO CITY PAMPANGA</t>
  </si>
  <si>
    <t>NORTHWEST SAMAR STATE UNIVERSITY</t>
  </si>
  <si>
    <t>DEPARTMENT OF LABOR AND EMPLOYMENT - ADMINISTRATIVE SERVICES</t>
  </si>
  <si>
    <t>NATIONAL HOUSING AUTHORITY - REGION X</t>
  </si>
  <si>
    <t>BUENAVISTA ELEMENTARY SCHOOL - HIMAMAYLAN I</t>
  </si>
  <si>
    <t>DEPARTMENT OF EDUCATION - DIVISION OF KABANKALAN CITY</t>
  </si>
  <si>
    <t>DEPARTMENT OF ENVIRONMENT AND NATURAL RESOURCES - N.ECIJA</t>
  </si>
  <si>
    <t>SECURITIES AND EXCHANGE COMMISSION</t>
  </si>
  <si>
    <t>MUNICIPALITY OF GARCIA-HERNANDEZ, BOHOL</t>
  </si>
  <si>
    <t>MUNICIPALITY OF LANTAPAN, BUKIDNON</t>
  </si>
  <si>
    <t>BARANGAY SAN RAMON, BONTOC SOUTHERN LEYTE</t>
  </si>
  <si>
    <t>METRO COTABATO WATER DISTRICT</t>
  </si>
  <si>
    <t>BARANGAY BAGONG SILANG, VICTORIA, ORIENTAL MINDORO</t>
  </si>
  <si>
    <t>SCIENCE CITY OF MUÑOZ, NUEVA ECIJA</t>
  </si>
  <si>
    <t>BARANGAY VILLA SALOMON - PATNONGON ANTIQUE</t>
  </si>
  <si>
    <t xml:space="preserve">BARANGAY SALA </t>
  </si>
  <si>
    <t>MUNICIPALITY OF BACO, ORIENTAL MINDORO</t>
  </si>
  <si>
    <t>MUNICIPALITY OF ISULAN, SULTAN KUDARAT</t>
  </si>
  <si>
    <t>ABKASA ELEMENTARY SCHOOL</t>
  </si>
  <si>
    <t>NATIONAL POWER CORPORATION - SPUG VISAYAS</t>
  </si>
  <si>
    <t>NATIVIDAD HIGH SCHOOL</t>
  </si>
  <si>
    <t>MUNICIPALITY OF BAGUMBAYAN, SULTAN KUDARAT</t>
  </si>
  <si>
    <t>SPRING KIBAWE ELEMENTARY SCHOOL- KIBAWE BUKIDNON</t>
  </si>
  <si>
    <t>BARANGAY BAGONG BUHAY I, SAN JOSE DEL MONTE CITY</t>
  </si>
  <si>
    <t>MERANGERAN ELEMENTARY SCHOOL</t>
  </si>
  <si>
    <t>MUNICIPALITY OF GANDARA, SAMAR</t>
  </si>
  <si>
    <t>MALASIN ELEMENTARY SCHOOL - SAN MATEO ISABELA</t>
  </si>
  <si>
    <t>BARANGAY ESTRELLA, NAUJAN, ORIENTAL MINDORO</t>
  </si>
  <si>
    <t>CABATUAN NATIONAL HIGH SCHOOL (JUNIOR) - CABATUAN ISABELA</t>
  </si>
  <si>
    <t>FUGARU INTEGRATED SCHOOL - ANGADANAN ISABELA</t>
  </si>
  <si>
    <t>BARANGAY PAKNAAN, MANDAUE CITY</t>
  </si>
  <si>
    <t>BARANGAY SAPANG PALAY PROPER, SAN JOSE DEL MONTE CITY</t>
  </si>
  <si>
    <t>BARANGAY BANJO WEST, TANAUAN CITY, BATANGAS</t>
  </si>
  <si>
    <t>BARANGAY  CAPUDLUSAN - MACARTHUR LEYTE</t>
  </si>
  <si>
    <t>PHILIPPINE COMMISSION ON WOMEN</t>
  </si>
  <si>
    <t>BARANGAY BANTIGUE, HILONGOS, LEYTE</t>
  </si>
  <si>
    <t>SAN JOSE CITY NATIONAL HIGH SCHOOL(JUNIOR)</t>
  </si>
  <si>
    <t>PHILIPPINE COUNCIL FOR HEALTH RESEARCH AND DEVELOPMENT</t>
  </si>
  <si>
    <t>MUNICIPALITY OF SAN MATEO - ISABELA</t>
  </si>
  <si>
    <t xml:space="preserve">DEPARTMENT OF EDUCATION (SORSOGON CITY DIVISION) - SORSOGON </t>
  </si>
  <si>
    <t>MUNICIPALITY OF SOGOD, SOUTHERN LEYTE</t>
  </si>
  <si>
    <t>404TH CONTRACTING OFFICE, AFP PROCUREMENT SERVICE</t>
  </si>
  <si>
    <t>NATIONAL IRRIGATION ADMINISTRATION - DAVAO ORIENTAL</t>
  </si>
  <si>
    <t>PHILIPPINE PORTS AUTHORITY - REGION I</t>
  </si>
  <si>
    <t>DEPARTMENT OF PUBLIC WORKS AND HIGHWAYS - PAMPANGA 1ST DEO</t>
  </si>
  <si>
    <t>BARANGAY LEMON, BUTUAN CITY</t>
  </si>
  <si>
    <t>MUNICIPALITY OF DINGRAS, ILOCOS NORTE</t>
  </si>
  <si>
    <t>UMINGAN CENTRAL NATIONAL HIGH SCHOOL</t>
  </si>
  <si>
    <t>BARANGAY MAAPAZ, BATANGAS CITY, BATANGAS</t>
  </si>
  <si>
    <t>TAMBULIG NATIONAL HIGH SCHOOL</t>
  </si>
  <si>
    <t>MUNICIPALITY OF DUMALINAO, ZAMBOANGA DEL SUR</t>
  </si>
  <si>
    <t>MUNICIPALITY OF PALOMPON, LEYTE</t>
  </si>
  <si>
    <t>BARANGAY MUNGAYANG - KIANGAN IFUGAO</t>
  </si>
  <si>
    <t>MUNICIPALITY OF DIPACULAO, AURORA</t>
  </si>
  <si>
    <t>BARANGAY 3, MATAAS NA KAHOY, BATANGAS</t>
  </si>
  <si>
    <t>MUNICIPALITY OF KAYAPA, NUEVA VIZCAYA</t>
  </si>
  <si>
    <t>CAMARINES SUR POLYTECHNIC COLLEGES - NABUA CAMPUS</t>
  </si>
  <si>
    <t>MUNICIPALITY OF PAGSANGHAN, SAMAR</t>
  </si>
  <si>
    <t>MUNICIPALITY OF ALEGRIA, CEBU</t>
  </si>
  <si>
    <t>DEPARTMENT OF HEALTH - REGION XII</t>
  </si>
  <si>
    <t>DEPARTMENT OF PUBLIC WORKS AND HIGHWAYS - LOWER KALINGA DEO</t>
  </si>
  <si>
    <t>MUNICIPALITY OF NEW BATAAN, COMPOSTELA VALLEY</t>
  </si>
  <si>
    <t>BUREAU OF FISHERIES AND AQUATIC RESOURCES - RV</t>
  </si>
  <si>
    <t>NATIONAL IRRIGATION ADMINISTRATION - SOUTH COTABATO</t>
  </si>
  <si>
    <t>MUNICIPALITY OF SAN FRANCISCO, CEBU</t>
  </si>
  <si>
    <t>MUNICIPALITY OF LLANERA, NUEVA ECIJA</t>
  </si>
  <si>
    <t>CITY OF ANTIPOLO, RIZAL</t>
  </si>
  <si>
    <t>NATIONAL CONCILIATION AND MEDIATION BOARD - REGION IV-B</t>
  </si>
  <si>
    <t>BUKIDNON STATE UNIVERSITY</t>
  </si>
  <si>
    <t>BARANGAY ANGANG - TUAO CAGAYAN</t>
  </si>
  <si>
    <t>PHILIPPINE NATIONAL OIL COMPANY - MAIN OFFICE</t>
  </si>
  <si>
    <t>NATIONAL HOUSING AUTHORITY</t>
  </si>
  <si>
    <t>BARANGAY SAN JUAN, OAS, ALBAY</t>
  </si>
  <si>
    <t>PROVINCE OF MISAMIS OCCIDENTAL</t>
  </si>
  <si>
    <t>PARACALE WATER DISTRICT</t>
  </si>
  <si>
    <t>PHILIPPINE CENTER FOR POSTHARVEST DEV'T AND MECHANIZATION</t>
  </si>
  <si>
    <t>MUNICIPALITY OF LOON, BOHOL</t>
  </si>
  <si>
    <t>VALLADOLID NATIONAL HIGH SCHOOL - VALLADOLID NEGROS OCCIDENT</t>
  </si>
  <si>
    <t>MUNICIPALITY OF GERONA, TARLAC</t>
  </si>
  <si>
    <t>PRESIDENT DIOSDADO MACAPAGAL MEMORIAL NATIONAL HIGH SCHOOL -</t>
  </si>
  <si>
    <t>MUNICIPALITY OF PASTRANA, LEYTE</t>
  </si>
  <si>
    <t>DEPARTMENT OF AGRARIAN REFORM - NEGROS OCCIDENTAL 2 (SOUTH)</t>
  </si>
  <si>
    <t>TECHNICAL EDUCATION &amp; SKILLS DEVELOPMENT AUTHORITY - SAN JOS</t>
  </si>
  <si>
    <t>BARANGAY PALCA - PALCA TUAO CAGAYAN</t>
  </si>
  <si>
    <t>FEDERICO P. CONDAT NATIONAL HIGH SCHOOL - PRESENTACION CAMAR</t>
  </si>
  <si>
    <t>BARANGAY CARIT-AN - PATNONGON ANTIQUE</t>
  </si>
  <si>
    <t>CITY OF GINGOOG, MISAMIS ORIENTAL</t>
  </si>
  <si>
    <t>SOCIAL HOUSING FINANCE CORPORATION</t>
  </si>
  <si>
    <t>DEPARTMENT OF EDUCATION - DIVISION OF ILOCOS SUR</t>
  </si>
  <si>
    <t>DEPARTMENT OF EDUCATION - DIVISION OF CITY SCHOOLS, MANILA</t>
  </si>
  <si>
    <t>SUBIC BAY METROPOLITAN AUTHORITY</t>
  </si>
  <si>
    <t>BARANGAY RIZAL, STA. ELENA, CAMARINES NORTE</t>
  </si>
  <si>
    <t>MUNICIPALITY OF CORDOVA, CEBU</t>
  </si>
  <si>
    <t>MUNICIPALITY OF TIWI, ALBAY</t>
  </si>
  <si>
    <t>BARANGAY CALUMPANG, NAGCARLAN, LAGUNA</t>
  </si>
  <si>
    <t>SOCIAL SECURITY SYSTEM - WESTERN VISAYAS DIVISION 1</t>
  </si>
  <si>
    <t>DEPARTMENT OF EDUCATION - DIVISION OF BATAAN</t>
  </si>
  <si>
    <t>DEPARTMENT OF AGRARIAN REFORM - MAIN</t>
  </si>
  <si>
    <t>BARANGAY BUENAVISTA, SAN FERNANDO, CAMARINES SUR</t>
  </si>
  <si>
    <t>BARANGAY STA. CRUZ, SAN FRANCISCO, CEBU</t>
  </si>
  <si>
    <t>BARANGAY SALAG - SIATON NEGROS ORIENTAL</t>
  </si>
  <si>
    <t>MUNICIPALITY OF VILLASIS, PANGASINAN</t>
  </si>
  <si>
    <t>MUNICIPALITY OF PANGLAO, BOHOL</t>
  </si>
  <si>
    <t>MUNICIPALITY OF IROSIN, SORSOGON</t>
  </si>
  <si>
    <t>MUNICIPALITY OF RIZAL, LAGUNA</t>
  </si>
  <si>
    <t>MUNICIPALITY OF COMPOSTELA, CEBU</t>
  </si>
  <si>
    <t>METRO MANILA DEVELOPMENT AUTHORITY</t>
  </si>
  <si>
    <t xml:space="preserve">DEPARTMENT OF PUBLIC WORKS AND HIGHWAYS - CAMARINES SUR 1ST </t>
  </si>
  <si>
    <t>107TH CONTRACTING OFFICE, AFP PROCUREMENT SERVICE</t>
  </si>
  <si>
    <t>DON EMILIO DEL VALLE MEMORIAL HOSPITAL</t>
  </si>
  <si>
    <t>DON MARIANO MARCOS MEMORIAL STATE UNIVERSITY - SLUC</t>
  </si>
  <si>
    <t>MUNICIPALITY OF LIBMANAN, CAMARINES SUR</t>
  </si>
  <si>
    <t>BARANGAY  PANAMOREN - LAAK COMPOSTELA VALLEY</t>
  </si>
  <si>
    <t>NUEVA ERA ELEMENTARY SCHOOL - SAN MANUEL ISABELA</t>
  </si>
  <si>
    <t>DAGUMBAAN INTEGRATED SCHOOL - TALAKAG BUKIDNON</t>
  </si>
  <si>
    <t>PROVINCE OF BOHOL</t>
  </si>
  <si>
    <t>DEPARTMENT OF PUBLIC WORKS AND HIGHWAYS - NEGROS ORIENTAL 3R</t>
  </si>
  <si>
    <t>MAGSAYSAY NATIONAL HIGH SCHOOL - OCCIDENTAL MINDORO</t>
  </si>
  <si>
    <t>DEPARTMENT OF TOURISM - CARAGA</t>
  </si>
  <si>
    <t>MUNICIPALITY OF PALANAN, ISABELA</t>
  </si>
  <si>
    <t>SK OF BARANGAY SILANGAN UNO - ROSARIO CAVITE</t>
  </si>
  <si>
    <t>MALAY WATER DISTRICT</t>
  </si>
  <si>
    <t>BARANGAY PASADENA, SAN JUAN CITY</t>
  </si>
  <si>
    <t>MUNICIPALITY OF BURGOS, ILOCOS SUR</t>
  </si>
  <si>
    <t>NATIONAL IRRIGATION ADMINISTRATION - AKLAN</t>
  </si>
  <si>
    <t>MUNICIPALITY OF SUYO, ILOCOS SUR</t>
  </si>
  <si>
    <t>DEPARTMENT OF EDUCATION - DIVISION OF ABRA</t>
  </si>
  <si>
    <t>CITY OF EL SALVADOR, MISAMIS ORIENTAL</t>
  </si>
  <si>
    <t>MUNICIPALITY OF BANTAY, ILOCOS SUR</t>
  </si>
  <si>
    <t>MINES AND GEOSCIENCES BUREAU - MIMAROPA REGION</t>
  </si>
  <si>
    <t>JUSTICE EMILIO ANGELES GANCAYCO MEMORIAL HIGH SCHOOL</t>
  </si>
  <si>
    <t>BARANGAY DATU LADAYON -  ARAKAN COTABATO</t>
  </si>
  <si>
    <t>BARANGAY CEMBO, MAKATI CITY</t>
  </si>
  <si>
    <t>MUNICIPALITY OF MARIA, SIQUIJOR</t>
  </si>
  <si>
    <t>MUNICIPALITY OF ROSALES, PANGASINAN</t>
  </si>
  <si>
    <t>BARANGAY MAHAYAHAY, MALITBOG, SOUTHERN LEYTE</t>
  </si>
  <si>
    <t>BARANGAY MITAZAN, ALORAN, MISAMIS OCCIDENTAL</t>
  </si>
  <si>
    <t>BARANGAY CAGUMITAN - TUAO CAGAYAN</t>
  </si>
  <si>
    <t>SOUTHERN ISABELA COLLEGE OF ARTS AND TRADES</t>
  </si>
  <si>
    <t>MUNICIPALITY OF STO. NIÑO, CAGAYAN</t>
  </si>
  <si>
    <t>LA SUERTE ELEMENTARY SCHOOL - ANGADANAN ISABELA</t>
  </si>
  <si>
    <t>BARANGAY BOGTONG BOLO, MANGATAREM, PANGASINAN</t>
  </si>
  <si>
    <t>MUNICIPALITY OF JANIUAY, ILOILO</t>
  </si>
  <si>
    <t>BARANGAY PLANDICO, CONCEPCION, LEYTE</t>
  </si>
  <si>
    <t>NAGA NATIONAL HIGH SCHOOL</t>
  </si>
  <si>
    <t>COMMISSION ON AUDIT - CAR</t>
  </si>
  <si>
    <t>AGRICULTURAL TRAINING INSTITUTE - REGION III</t>
  </si>
  <si>
    <t>MANOLO FORTICH WATER DISTRICT</t>
  </si>
  <si>
    <t>CITY OF PANABO, DAVAO DEL NORTE</t>
  </si>
  <si>
    <t>SK OF BARANGAY SILANGAN DOS - ROSARIO CAVITE</t>
  </si>
  <si>
    <t>NATIONAL KIDNEY AND TRANSPLANT INSTITUTE</t>
  </si>
  <si>
    <t>PHILIPPINE INFORMATION AGENCY</t>
  </si>
  <si>
    <t>UPPER BICUTAN NATIONAL HIGH SCHOOL</t>
  </si>
  <si>
    <t>BATAAN SCHOOL OF FISHERIES</t>
  </si>
  <si>
    <t>DEVELOPMENT BANK OF THE PHILIPPINES - CENTRAL LUZON</t>
  </si>
  <si>
    <t>ILOCOS NORTE COLLEGE OF ARTS AND TRADES</t>
  </si>
  <si>
    <t>MUNICIPALITY OF LAUREL, BATANGAS</t>
  </si>
  <si>
    <t>MUNICIPALITY OF ADAMS, ILOCOS NORTE</t>
  </si>
  <si>
    <t>110TH CONTRACTING OFFICE, AFP PROCUREMENT SERVICE</t>
  </si>
  <si>
    <t>PHILIPPINE INFORMATION AGENCY - REGION IX</t>
  </si>
  <si>
    <t>BARANGAY 568 ZONE 55 DISTRICT IV, MANILA</t>
  </si>
  <si>
    <t>MUNICIPALITY OF SAN JUAN, LA UNION</t>
  </si>
  <si>
    <t xml:space="preserve">DEPARTMENT OF PUBLIC WORKS AND HIGHWAYS - CAMARINES SUR 4TH </t>
  </si>
  <si>
    <t>MUNICIPALITY OF MAKILALA, NORTH COTABATO</t>
  </si>
  <si>
    <t>MANAOAG WATER DISTRICT</t>
  </si>
  <si>
    <t>BARANGAY CABAGAHAN MATNOG SORSOGON</t>
  </si>
  <si>
    <t>MUNICIPALITY OF RONDA, CEBU</t>
  </si>
  <si>
    <t>PHILIPPINE NAVY PROCUREMENT CENTER, AFP PROCUREMENT SERVICE</t>
  </si>
  <si>
    <t>DEPARTMENT OF AGRARIAN REFORM - BATAAN</t>
  </si>
  <si>
    <t>CITY OF TABACO, ALBAY</t>
  </si>
  <si>
    <t>METRO VIGAN WATER DISTRICT</t>
  </si>
  <si>
    <t>MUNICIPALITY OF MABINI, PANGASINAN</t>
  </si>
  <si>
    <t>SAMPAGUITA ELEMENTARY SCHOOL</t>
  </si>
  <si>
    <t>CITY OF CALOOCAN</t>
  </si>
  <si>
    <t>MUNICIPALITY OF BATAD, ILOILO</t>
  </si>
  <si>
    <t>MUNICIPALITY OF AURORA, ISABELA</t>
  </si>
  <si>
    <t>DEPARTMENT OF EDUCATION - DIVISION OF GAPAN CITY</t>
  </si>
  <si>
    <t>DEPARTMENT OF EDUCATION - DIVISION OF BUTUAN CITY</t>
  </si>
  <si>
    <t>AGUSAN DEL SUR STATE COLLEGE OF AGRICULTURE AND TECHNOLOGY</t>
  </si>
  <si>
    <t>BARANGAY ESTADO NATIONAL HIGH SCHOOL - VICTORIAS CITY NEGROS</t>
  </si>
  <si>
    <t>MUNICIPALITY OF DUMALNEG, ILOCOS NORTE</t>
  </si>
  <si>
    <t>MUNICIPALITY OF CALATRAVA, ROMBLON</t>
  </si>
  <si>
    <t>BARANGAY LAMBONAO, MALITBOG, SOUTHERN LEYTE</t>
  </si>
  <si>
    <t>BACOLOD CITY WATER DISTRICT</t>
  </si>
  <si>
    <t>BARANGAY BAAO - MAUBAN QUEZON</t>
  </si>
  <si>
    <t>MUNICIPALITY OF BANSALAN, DAVAO DEL SUR</t>
  </si>
  <si>
    <t>DEPARTMENT OF EDUCATION - NCR</t>
  </si>
  <si>
    <t>MABINI NATIONAL HIGH SCHOOL - NEGROS OCCIDENTAL</t>
  </si>
  <si>
    <t>BARANGAY UNION, SAN FRANCISCO, CEBU</t>
  </si>
  <si>
    <t>DEPARTMENT OF  EDUCATION - DIVISION OF SAN CARLOS CITY</t>
  </si>
  <si>
    <t>BARANGAY SAN JOAQUIN, STO. TOMAS, BATANGAS</t>
  </si>
  <si>
    <t>MANOLO FORTICH NATIONAL HIGH SCHOOL</t>
  </si>
  <si>
    <t>MABALACAT NATIONAL HIGH SCHOOL - MABALACAT CITY PAMPANGA</t>
  </si>
  <si>
    <t>BUTUAN CITY WATER DISTRICT</t>
  </si>
  <si>
    <t>DEPARTMENT OF THE INTERIOR AND LOCAL GOVERNMENT - CARAGA</t>
  </si>
  <si>
    <t>NATIONAL IRRIGATION ADMINISTRATION - REGION 12</t>
  </si>
  <si>
    <t>SAN JOSE PILOT ELEMENTARY SCHOOL</t>
  </si>
  <si>
    <t>BARANGAY MAGCALAPE ASTURIAS CEBU</t>
  </si>
  <si>
    <t>CIVIL AVIATION AUTHORITY OF THE PHILIPPINES</t>
  </si>
  <si>
    <t>MUNICIPALITY OF BULALACAO, ORIENTAL MINDORO</t>
  </si>
  <si>
    <t>NORTHERN ILOILO POLYTECHNIC STATE COLLEGE</t>
  </si>
  <si>
    <t>NATIONAL IRRIGATION ADMINISTRATION - COMPOSTELA VALLEY</t>
  </si>
  <si>
    <t>EASTERN SAMAR STATE UNIVERSITY - BORONGAN CITY</t>
  </si>
  <si>
    <t>MUNICIPALITY OF SAN NICOLAS, ILOCOS NORTE</t>
  </si>
  <si>
    <t>MUNICIPALITY OF VIRAC , CATANDUANES</t>
  </si>
  <si>
    <t>PHILIPPINE RICE RESEARCH INSTITUTE - AGUSAN</t>
  </si>
  <si>
    <t>405TH CONTRACTING OFFICE, AFP PROCUREMENT SERVICE</t>
  </si>
  <si>
    <t>DEPARTMENT OF EDUCATION - ISABELA</t>
  </si>
  <si>
    <t>DIPOLOG SCHOOL OF FISHERIES</t>
  </si>
  <si>
    <t>MUNICIPALITY OF SAN TEODORO, ORIENTAL MINDORO</t>
  </si>
  <si>
    <t>MUNICIPALITY OF PILAR, SORSOGON</t>
  </si>
  <si>
    <t>BUREAU OF JAIL MANAGEMENT AND PENOLOGY - NHQ</t>
  </si>
  <si>
    <t>DEPARTMENT OF EDUCATION - DIVISION OF TANJAY CITY</t>
  </si>
  <si>
    <t>NATIONAL POWER CORPORATION - MINDANAO GENERATION</t>
  </si>
  <si>
    <t>BARANGAY VILLA MAG-ASO - BAYBAY CITY LEYTE</t>
  </si>
  <si>
    <t>KAPITAN EDDIE T. REYES INTEGRATED SCHOOL</t>
  </si>
  <si>
    <t>PROVINCE OF SOUTH COTABATO</t>
  </si>
  <si>
    <t>PAROLE AND PROBATION ADMINISTRATION - CENTRAL OFFICE</t>
  </si>
  <si>
    <t>BARANGAY POBLACION, BALENO, MASBATE</t>
  </si>
  <si>
    <t>MUNICIPALITY OF BALANGIGA, EASTERN SAMAR</t>
  </si>
  <si>
    <t>MUNICIPALITY OF BAYOG, ZAMBOANGA DEL SUR</t>
  </si>
  <si>
    <t>MUNICIPALITY OF CALABANGA, CAMARINES SUR</t>
  </si>
  <si>
    <t>MUNICIPALITY OF BOSTON, DAVAO ORIENTAL</t>
  </si>
  <si>
    <t>MUNICIPALITY OF BACLAYON, BOHOL</t>
  </si>
  <si>
    <t>DEPARTMENT OF THE INTERIOR AND LOCAL GOVERNMENT - NCR</t>
  </si>
  <si>
    <t>LBP RESOURCES AND DEVELOPMENT CORPORATION</t>
  </si>
  <si>
    <t>MUNICIPALITY OF PLARIDEL, MISAMIS OCCIDENTAL</t>
  </si>
  <si>
    <t>COMMISSION ON ELECTIONS</t>
  </si>
  <si>
    <t>BARANGAY CABONGA-AN, SAN FRANCISCO, CEBU</t>
  </si>
  <si>
    <t>DEPARTMENT OF PUBLIC WORKS AND HIGHWAYS - PANGASINAN IV DEO</t>
  </si>
  <si>
    <t>MUNICIPALITY OF VALENCIA, BOHOL</t>
  </si>
  <si>
    <t>TABACO CITY WATER DISTRICT</t>
  </si>
  <si>
    <t>PHILIPPINE HEALTH INSURANCE CORPORATION - CAR</t>
  </si>
  <si>
    <t>CITY OF SIPALAY, NEGROS OCCIDENTAL</t>
  </si>
  <si>
    <t>VILLALUZ INTEGRATED SCHOOL - BENITO SOLIVEN ISABELA</t>
  </si>
  <si>
    <t>PUERTO PRINCESA CITY WATER DISTRICT</t>
  </si>
  <si>
    <t>BARANGAY STA. CRUZ, MALITBOG, SOUTHERN LEYTE</t>
  </si>
  <si>
    <t>MUNICIPALITY OF LIBUNGAN, COTABATO</t>
  </si>
  <si>
    <t>BARANGAY KINAGUNAN IBABA, PADRE BURGOS</t>
  </si>
  <si>
    <t>BARANGAY GAAS - BAYBAY CITY LEYTE</t>
  </si>
  <si>
    <t>MUNICIPALITY OF SANTIAGO, ILOCOS SUR</t>
  </si>
  <si>
    <t>LAND TRANSPORTATION OFFICE - REGION I</t>
  </si>
  <si>
    <t>RIZAL TECHNOLOGICAL UNIVERSITY</t>
  </si>
  <si>
    <t>PHILIPPINE PORTS AUTHORITY - PMO  NASIPIT</t>
  </si>
  <si>
    <t>PHILIPPINE SCIENCE HIGH SCHOOL - REGION VI</t>
  </si>
  <si>
    <t>MUNICIPALITY OF SAN FRANCISCO, SURIGAO DEL NORTE</t>
  </si>
  <si>
    <t>SACRED HEART VILLAGE ELEMENTARY SCHOOL</t>
  </si>
  <si>
    <t>BARANGAY 4 (POBLACION), PIO DURAN, ALBAY</t>
  </si>
  <si>
    <t>COURT OF APPEALS</t>
  </si>
  <si>
    <t>SAN NICOLAS WATER DISTRICT</t>
  </si>
  <si>
    <t>BARANGAY STA. MONICA - SAN LUIS, PAMPANGA</t>
  </si>
  <si>
    <t>BARANGAY MABULI, TABOGON, CEBU</t>
  </si>
  <si>
    <t>PARTIDO STATE UNIVERSITY - GOA CAMPUS</t>
  </si>
  <si>
    <t>DEPARTMENT OF SCIENCE AND TECHNOLOGY REGION 1</t>
  </si>
  <si>
    <t>TAGUM NATIONAL TRADE SCHOOL</t>
  </si>
  <si>
    <t>VALENCIA TECHNICAL VOCATIONAL HIGH SCHOOL - VALENCIA BOHOL</t>
  </si>
  <si>
    <t>MUNICIPALITY OF SAN JOSE DE BUENAVISTA, ANTIQUE</t>
  </si>
  <si>
    <t>CALUMPIT WATER DISTRICT</t>
  </si>
  <si>
    <t>BARANGAY AYUSAN NORTE - VIGAN CITY, ILOCOS SUR</t>
  </si>
  <si>
    <t>NATIONAL IRRIGATION ADMINISTRATION - PIMO</t>
  </si>
  <si>
    <t>MUNICIPALITY OF DUERO, BOHOL</t>
  </si>
  <si>
    <t>BARANGAY GULANG GULANG, LUCENA CITY</t>
  </si>
  <si>
    <t>BARANGAY MALAPAY, PIO DURAN, ALBAY</t>
  </si>
  <si>
    <t>MUNICIPALITY OF BANGA</t>
  </si>
  <si>
    <t>PROVINCE OF ROMBLON</t>
  </si>
  <si>
    <t>NORTHERN NEGROS STATE COLLEGE OF SCIENCE AND TECHNOLOGY</t>
  </si>
  <si>
    <t>BARANGAY 604 ZONE 60 DISTRICT 6, MANILA</t>
  </si>
  <si>
    <t>TECHNICAL EDUCATION &amp; SKILLS DEVELOPMENT AUTHORITY - MANILA</t>
  </si>
  <si>
    <t>BARANGAY TIGPALAY - TUNGAWAN ZAMBOANGA SIBUGAY</t>
  </si>
  <si>
    <t>BARANGAY CALMANTE, TUDELA, CEBU</t>
  </si>
  <si>
    <t>BARANGAY BOLOCAON, KITAOTAO, BUKIDNON</t>
  </si>
  <si>
    <t>BARANGAY BINODEGAHAN, PIO DURAN, ALBAY</t>
  </si>
  <si>
    <t>NATIONAL IRRIGATION ADMINISTRATION - CAR</t>
  </si>
  <si>
    <t>CITY OF TAGUIG</t>
  </si>
  <si>
    <t>MUNICIPALITY OF MATALAM, COTABATO</t>
  </si>
  <si>
    <t>MUNICIPALITY OF SAN FABIAN, PANGASINAN</t>
  </si>
  <si>
    <t>WEST VISAYAS STATE UNIVERSITY  - LAMBUNAO  CAMPUS</t>
  </si>
  <si>
    <t>MUNICIPALITY OF LILOAN, CEBU</t>
  </si>
  <si>
    <t>BATAAN GENERAL HOSPITAL AND MEDICAL CENTER</t>
  </si>
  <si>
    <t>BARANGAY TALISAY, CALATAGAN, BATANGAS</t>
  </si>
  <si>
    <t>MUNICIPALITY OF MANAPLA, NEGROS OCCIDENTAL</t>
  </si>
  <si>
    <t>DEPARTMENT OF HEALTH - REGION X</t>
  </si>
  <si>
    <t>PHILIPPINE FISHERIES DEVELOPMENT AUTHORITY - MAIN</t>
  </si>
  <si>
    <t>BARANGAY CARRETUNAN, CALATAGAN, BATANGAS</t>
  </si>
  <si>
    <t>MIL-AN NATIONAL HIGH SCHOOL, BAGUIO CITY, BENGUET</t>
  </si>
  <si>
    <t>LAND TRANSPORTATION OFFICE - MAIN</t>
  </si>
  <si>
    <t>CITY OF BATAC, ILOCOS NORTE</t>
  </si>
  <si>
    <t>BARANGAY EASTERN, HILONGOS, LEYTE</t>
  </si>
  <si>
    <t>DEPARTMENT OF AGRARIAN REFORM - KALINGA PROVINCE</t>
  </si>
  <si>
    <t>ALAI CENTRAL ELEMENTARY SCHOOL - MANOLO FORTICH BUKIDNON</t>
  </si>
  <si>
    <t>MUNICIPALITY OF BANNA, ILOCOS NORTE</t>
  </si>
  <si>
    <t>MUNICIPALITY OF KAUSWAGAN, LANAO DEL NORTE</t>
  </si>
  <si>
    <t>MUNICIPALITY OF ALMAGRO, SAMAR</t>
  </si>
  <si>
    <t>NATIONAL FOOD AUTHORITY - REGION IV</t>
  </si>
  <si>
    <t>BARANGAY MALJO INOPACAN LEYTE</t>
  </si>
  <si>
    <t>MINISTRY OF PUBLIC WORKS - (BARMM) MAGUINDANAO COTABATO CITY</t>
  </si>
  <si>
    <t>DEPARTMENT OF EDUCATION - REGION XII</t>
  </si>
  <si>
    <t>HEADQUARTERS COAST GUARD DISTRICT SOUTHERN VISAYAS</t>
  </si>
  <si>
    <t>MUNICIPALITY OF BATUAN, BOHOL</t>
  </si>
  <si>
    <t>CITY  OF CANLAON, NEGROS ORIENTAL</t>
  </si>
  <si>
    <t>SIMEON SUAN VOCATIONAL AND TECHNICAL COLLEGE - TESDA</t>
  </si>
  <si>
    <t>CITY  OF DANAO, CEBU</t>
  </si>
  <si>
    <t>DICAMAY INTEGRATED SCHOOL</t>
  </si>
  <si>
    <t>PROVINCE OF LANAO DEL SUR</t>
  </si>
  <si>
    <t>BARANGAY STA. ANA - ESTANCIA ILOILO</t>
  </si>
  <si>
    <t>MUNICIPALITY OF SAN JOSE, TARLAC</t>
  </si>
  <si>
    <t>MUNICIPALITY OF PILAR, BOHOL</t>
  </si>
  <si>
    <t>BARANGAY TANAGAN, CALATAGAN, BATANGAS</t>
  </si>
  <si>
    <t>PHILIPPINE RICE RESEARCH INSTITUTE - BICOL</t>
  </si>
  <si>
    <t>MUNICIPALITY OF KATIPUNAN, ZAMBOANGA DEL NORTE</t>
  </si>
  <si>
    <t>MUNICIPALITY OF MASINLOC, ZAMBALES</t>
  </si>
  <si>
    <t>EULOGIO "AMANG" RODRIGUEZ INSTITUTE OF SCIENCE AND TECH.</t>
  </si>
  <si>
    <t>DEPARTMENT OF AGRARIAN REFORM - ALBAY PROVINCIAL OFFICE</t>
  </si>
  <si>
    <t>MUNICIPALITY OF BASCO, BATANES</t>
  </si>
  <si>
    <t>BANGKO SENTRAL NG PILIPINAS - ZAMBOANGA BRANCH</t>
  </si>
  <si>
    <t>MUNICIPALITY OF SAN FERNANDO, CEBU</t>
  </si>
  <si>
    <t>BALITUCAN NATIONAL HIGH SCHOOL</t>
  </si>
  <si>
    <t>BARANGAY SANTOR, BAGGAO, CAGAYAN</t>
  </si>
  <si>
    <t xml:space="preserve">DEPARTMENT OF PUBLIC WORKS AND HIGHWAYS - ZAMBOANGA SIBUGAY </t>
  </si>
  <si>
    <t>BARANGAY  - ROXAS ORIENTAL MINDORO</t>
  </si>
  <si>
    <t>BARANGAY BACKILING, APARRI, CAGAYAN</t>
  </si>
  <si>
    <t>ISABELA STATE UNIVERSITY - ILAGAN CAMPUS</t>
  </si>
  <si>
    <t>DEPARTMENT OF SCIENCE AND TECHNOLOGY - NCR</t>
  </si>
  <si>
    <t>DEPARTMENT OF AGRARIAN REFORM - ILOCOS NORTE</t>
  </si>
  <si>
    <t>402ND CONTRACTING OFFICE, AFP PROCUREMENT SERVICE</t>
  </si>
  <si>
    <t>DEPARTMENT OF PUBLIC WORKS AND HIGHWAYS - QUIRINO DEO</t>
  </si>
  <si>
    <t xml:space="preserve">DEPARTMENT OF PUBLIC WORKS AND HIGHWAYS - ZAMBOANGA DEL SUR </t>
  </si>
  <si>
    <t>MUNICIPALITY OF LA PAZ, AGUSAN DEL SUR</t>
  </si>
  <si>
    <t>MUNICIPALITY OF LUPON, DAVAO ORIENTAL</t>
  </si>
  <si>
    <t>ISABELA STATE UNIVERSITY - CABAGAN CAMPUS</t>
  </si>
  <si>
    <t>MUNICIPALITY OF ECHAGUE, ISABELA</t>
  </si>
  <si>
    <t>MUNICIPALITY OF BUHI, CAMARINES SUR</t>
  </si>
  <si>
    <t>BARANGAY LANGAGAN, SANCHEZ-MIRA, CAGAYAN</t>
  </si>
  <si>
    <t>BARANGAY SANGAHON MALITBOG SOUTHERN LEYTE</t>
  </si>
  <si>
    <t>DEPARTMENT OF AGRARIAN REFORM - ILOILO PROVINCIAL OFFICE</t>
  </si>
  <si>
    <t>MUNICIPALITY OF STO. DOMINGO, NUEVA ECIJA</t>
  </si>
  <si>
    <t>LEGAZPI CITY WATER DISTRICT</t>
  </si>
  <si>
    <t>BUREAU OF INTERNAL REVENUE - REVENUE REGION NO. 3</t>
  </si>
  <si>
    <t>MUNICIPALITY OF TITAY, ZAMBOANGA SIBUGAY</t>
  </si>
  <si>
    <t>OCAMPO CENTRAL SCHOOL</t>
  </si>
  <si>
    <t>MUNICIPALITY OF SILANG , CAVITE</t>
  </si>
  <si>
    <t>108TH CONTRACTING OFFICE, AFP PROCUREMENT SERVICE</t>
  </si>
  <si>
    <t>MUNICIPALITY OF CARMEN, BOHOL</t>
  </si>
  <si>
    <t>BOY SCOUTS OF THE PHILIPPINES</t>
  </si>
  <si>
    <t>TANDANG SORA ELEMENTARY SCHOOL</t>
  </si>
  <si>
    <t>JOSE B. LINGAD MEMORIAL GENERAL HOSPITAL</t>
  </si>
  <si>
    <t>BANGKO SENTRAL NG PILIPINAS - BUTUAN BRANCH</t>
  </si>
  <si>
    <t>PROVINCE OF ISABELA</t>
  </si>
  <si>
    <t>MUNICIPALITY OF TUY, BATANGAS</t>
  </si>
  <si>
    <t>DR. JOSE RIZAL MEMORIAL HOSPITAL</t>
  </si>
  <si>
    <t>MUNICIPALITY OF PAOAY, ILOCOS NORTE</t>
  </si>
  <si>
    <t>AGRICULTURAL TRAINING INSTITUTE-REGIONAL TRAINING CENTER-8</t>
  </si>
  <si>
    <t>NATIONAL IRRIGATION ADMINISTRATION - REGION VIII</t>
  </si>
  <si>
    <t>MUNICIPALITY OF RODRIGUEZ, RIZAL</t>
  </si>
  <si>
    <t>BANGKO SENTRAL NG PILIPINAS - DUMAGUETE BRANCH</t>
  </si>
  <si>
    <t>DEPARTMENT OF LABOR AND EMPLOYMENT - NCR</t>
  </si>
  <si>
    <t>BARANGAY SAN ISIDRO, MALITBOG, SOUTHERN LEYTE</t>
  </si>
  <si>
    <t>PROVINCE OF DAVAO DEL SUR</t>
  </si>
  <si>
    <t>MUNICIPALITY OF PORAC, PAMPANGA</t>
  </si>
  <si>
    <t>BARANGAY 790 ZONE 86 DISTRICT V, MANILA</t>
  </si>
  <si>
    <t>BARANGAY LANGUB, ARGAO, CEBU</t>
  </si>
  <si>
    <t>STA. MARIA WATER DISTRICT</t>
  </si>
  <si>
    <t>MUNICIPALITY OF TADIAN, MOUNTAIN PROVINCE</t>
  </si>
  <si>
    <t>DEPARTMENT OF ENVIRONMENT AND NATURAL RESOURCES - RIV-A</t>
  </si>
  <si>
    <t>DEPARTMENT OF EDUCATION - DIVISION OF GENERAL TRIAS CITY - G</t>
  </si>
  <si>
    <t>PHILIPPINE STATISTICS AUTHORITY - REGION VII</t>
  </si>
  <si>
    <t>MUNICIPALITY OF CABUGAO, ILOCOS SUR</t>
  </si>
  <si>
    <t>DEPARTMENT OF EDUCATION - DIVISION OF DANAO CITY</t>
  </si>
  <si>
    <t>MUNICIPALITY OF CARAGA, DAVAO ORIENTAL</t>
  </si>
  <si>
    <t>MUNICIPALITY OF BASILISA, DINAGAT ISLAND</t>
  </si>
  <si>
    <t>MUNICIPAL GOVERNMENT OF DELFIN ALBANO, ISABELA</t>
  </si>
  <si>
    <t>DEPARTMENT OF ENVIRONMENT AND NATURAL RES. - PENRO, PALAWAN</t>
  </si>
  <si>
    <t>BARANGAY SIMON LEDESMA JARO, ILOILO CITY</t>
  </si>
  <si>
    <t>TALISAY DISTRICT HOSPITAL</t>
  </si>
  <si>
    <t>DR. JUAN A. PASTOR MEMORIAL NATIONAL HIGH SCHOOL - IBAAN</t>
  </si>
  <si>
    <t>MUNICIPALITY OF SALCEDO, EASTERN SAMAR</t>
  </si>
  <si>
    <t>CITY OF PUERTO PRINCESA, PALAWAN</t>
  </si>
  <si>
    <t>DEPARTMENT OF EDUCATION - DIVISION OF MASBATE CITY</t>
  </si>
  <si>
    <t>BARANGAY MALTANA - TAMPAKAN SOUTH COTABATO</t>
  </si>
  <si>
    <t>DEPARTMENT OF  EDUCATION - DIVISION OF CABANATUAN CITY</t>
  </si>
  <si>
    <t>DEPARTMENT OF EDUCATION - SCHOOLS DIVISION OF MABALACAT CITY</t>
  </si>
  <si>
    <t>CITY OF SAN PEDRO, LAGUNA</t>
  </si>
  <si>
    <t>PHILIPPINE CARABAO CENTER AT MLPC</t>
  </si>
  <si>
    <t>QUEZON CITY LINGKOD BAYAN SKILLS DEVT. CTR.</t>
  </si>
  <si>
    <t>PHILIPPINE NATIONAL POLICE - CRIME LABORATORY</t>
  </si>
  <si>
    <t>MUNICIPALITY OF SAN ISIDRO, ISABELA</t>
  </si>
  <si>
    <t>DEPARTMENT OF PUBLIC WORKS AND HIGHWAYS - TARLAC 2ND-DEO</t>
  </si>
  <si>
    <t>BARANGAY TANZA ESPERANZA, ILOILO CITY</t>
  </si>
  <si>
    <t>VISAYAS STATE UNIVERSITY - MAIN CAMPUS</t>
  </si>
  <si>
    <t>BARANGAY VALENZUELA, MAKATI CITY</t>
  </si>
  <si>
    <t>MUNICIPALITY OF BAROBO, SURIGAO DEL SUR</t>
  </si>
  <si>
    <t>NATIONAL BUREAU OF INVESTIGATION</t>
  </si>
  <si>
    <t>NATIONAL ECONOMIC AND DEVELOPMENT AUTHORITY - REGION X</t>
  </si>
  <si>
    <t>AGRICULTURAL TRAINING INSTITUTE - REGIONAL TRAINING CENTER-R</t>
  </si>
  <si>
    <t>409TH CONTRACTING OFFICE</t>
  </si>
  <si>
    <t>MUNICIPALITY OF ABRA DE ILOG, OCCIDENTAL MINDORO</t>
  </si>
  <si>
    <t>VILLASIS WATER DISTRICT</t>
  </si>
  <si>
    <t>PROVINCE OF IFUGAO</t>
  </si>
  <si>
    <t>ASSOCIATION OF BARANGAY CAPTAINS - MINALABAC, CAMARINES SUR</t>
  </si>
  <si>
    <t>MUNICIPALITY OF BATO, LEYTE</t>
  </si>
  <si>
    <t>CITY OF PASSI, ILOILO</t>
  </si>
  <si>
    <t>MUNICIPALITY OF DONSOL, SORSOGON</t>
  </si>
  <si>
    <t>DEPARTMENT OF THE INTERIOR AND LOCAL GOVERNMENT - REGION XII</t>
  </si>
  <si>
    <t>BUREAU OF PLANT INDUSTRY-NSQCS</t>
  </si>
  <si>
    <t>TECHNICAL EDUCATION &amp; SKILLS DEVELOPMENT AUTHORITY - NCR</t>
  </si>
  <si>
    <t>BARANGAY MUDAN, GLAN, SARANGANI</t>
  </si>
  <si>
    <t>KABASALAN INSTITUTE OF TECHNOLOGY</t>
  </si>
  <si>
    <t>PROVINCE OF ZAMBALES</t>
  </si>
  <si>
    <t>MUNICIPALITY OF SAN ISIDRO, NORTHERN SAMAR</t>
  </si>
  <si>
    <t>PHILIPPINE NATIONAL POLICE - LOGISTICS SUPPORT SERVICE</t>
  </si>
  <si>
    <t>BAAO WATER DISTRICT</t>
  </si>
  <si>
    <t>MUNICIPALITY OF LIBONA, BUKIDNON</t>
  </si>
  <si>
    <t>MUNICIPALITY OF MAASIM, SARANGANI</t>
  </si>
  <si>
    <t>LAND TRANSPORTATION OFFICE - REGION IV-B</t>
  </si>
  <si>
    <t>DEPARTMENT OF THE INTERIOR AND LOCAL GOVERNMENT - AGUSAN DEL</t>
  </si>
  <si>
    <t>BONGABON WATER DISTRICT</t>
  </si>
  <si>
    <t>TIPAS NATIONAL HIGH SCHOOL</t>
  </si>
  <si>
    <t>MUNICIPALITY OF QUEZON, QUEZON</t>
  </si>
  <si>
    <t>DEPARTMENT OF ENVIRONMENT AND NATURAL RES. - PENRO DAVAO OCC</t>
  </si>
  <si>
    <t>REMEDIOS NATIONAL HIGH SCHOOL - LUBAO PAMPANGA</t>
  </si>
  <si>
    <t>MUNICIPALITY OF TIGBAO, ZAMBOANGA DEL SUR</t>
  </si>
  <si>
    <t>BARANGAY PASINGAN - RIZAL CAGAYAN</t>
  </si>
  <si>
    <t>MUNICIPALITY OF LAMUT, IFUGAO</t>
  </si>
  <si>
    <t>DEPARTMENT OF EDUCATION - DIVISION OF PASIG CITY</t>
  </si>
  <si>
    <t>QUIRINO MEMORIAL MEDICAL CENTER</t>
  </si>
  <si>
    <t>DEPARTMENT OF PUBLIC WORKS AND HIGHWAYS - DAVAO DEL SUR DIST</t>
  </si>
  <si>
    <t>BUREAU OF JAIL MANAGEMENT AND PENOLOGY - REGION IX</t>
  </si>
  <si>
    <t>BARANGAY REAL, URBIZTONDO, PANGASINAN</t>
  </si>
  <si>
    <t>DEPARTMENT OF PUBLIC WORKS AND HIGHWAYS - REGION IV-B</t>
  </si>
  <si>
    <t>406TH CONTRACTING OFFICE, AFP PROCUREMENT SERVICE</t>
  </si>
  <si>
    <t>MUNICIPALITY OF BONTOC, MOUNTAIN PROVINCE</t>
  </si>
  <si>
    <t>MUNICIPALITY OF GINGOOG CITY, MISAMIS ORIENTAL</t>
  </si>
  <si>
    <t>BARANGAY UNANG SIGAW - QUEZON CITY</t>
  </si>
  <si>
    <t>DEPARTMENT OF PUBLIC WORKS AND HIGHWAYS - CAGAYAN 3RD DEO</t>
  </si>
  <si>
    <t>PHILIPPINE AIR FORCE - PROCUREMENT CENTER</t>
  </si>
  <si>
    <t>MUNICIPALITY OF GEN. LUNA, QUEZON</t>
  </si>
  <si>
    <t>DON MARIANO MARCOS NATIONAL HIGH SCHOOL - ECHAGUE ISABELA</t>
  </si>
  <si>
    <t>BARANGAY CANABUAN - TIGBAUAN ILOILO</t>
  </si>
  <si>
    <t>BARANGAY BOLIBO, OROQUIETA CITY</t>
  </si>
  <si>
    <t>UNIVERSITY OF THE PHILIPPINES - SYSTEM</t>
  </si>
  <si>
    <t>BARANGAY TINALMUD NUEVO, LIBMANAN, CAMARINES SUR</t>
  </si>
  <si>
    <t>BARANGAY KAPITOLYO, PASIG CITY</t>
  </si>
  <si>
    <t>BARANGAY SALAVANTE, URBIZTONDO, PANGASINAN</t>
  </si>
  <si>
    <t>BALANDRA ELEMENTARY SCHOOL</t>
  </si>
  <si>
    <t>MUNICIPALITY OF BUNAWAN, AGUSAN DEL SUR</t>
  </si>
  <si>
    <t>BARANGAY 749, ZONE 81, DISTRICT V, MANILA</t>
  </si>
  <si>
    <t>DEPARTMENT OF PUBLIC WORKS AND HIGHWAYS - MASBATE 3RD DEO</t>
  </si>
  <si>
    <t>PNOC RENEWABLES CORPORATION</t>
  </si>
  <si>
    <t>BARANGAY POBLACION, URBIZTONDO, PANGASINAN</t>
  </si>
  <si>
    <t>BARANGAY PISUAC, URBIZTONDO, PANGASINAN</t>
  </si>
  <si>
    <t>MUNICIPALITY OF DARAGA, ALBAY</t>
  </si>
  <si>
    <t>UNIVERSITY OF THE PHILIPPINES - DILIMAN</t>
  </si>
  <si>
    <t>LIPA CITY NATIONAL HIGH SCHOOL</t>
  </si>
  <si>
    <t>BARANGAY CAMANBUGAN, URBIZTONDO, PANGASINAN</t>
  </si>
  <si>
    <t>BARANGAY PASIBI WEST - URBIZTONDO PANGASINAN</t>
  </si>
  <si>
    <t>DEPARTMENT OF EDUCATION - DIVISION OF KALINGA</t>
  </si>
  <si>
    <t>BARANGAY MALANSAD NUEVO, LIBMANAN, CAMARINES SUR</t>
  </si>
  <si>
    <t>MUNICIPALITY OF PINILI, ILOCOS NORTE</t>
  </si>
  <si>
    <t>SPECIAL EDUCATION HIGH SCHOOL</t>
  </si>
  <si>
    <t>DEPARTMENT OF  EDUCATION- DIVISION OF TUGUEGARAO CITY</t>
  </si>
  <si>
    <t>BARANGAY BENTICAYAN - BARAS CATANDUANES</t>
  </si>
  <si>
    <t>FOOD AND NUTRITION RESEARCH INSTITUTE</t>
  </si>
  <si>
    <t>PHILIPPINE INTERNATIONAL TRADING CORPORATION</t>
  </si>
  <si>
    <t>DEPARTMENT OF AGRARIAN REFORM - NEGROS ORIENTAL PROV'L OFF.</t>
  </si>
  <si>
    <t>BARANGAY ANAHAWAY, PALO, LEYTE</t>
  </si>
  <si>
    <t>CITY OF NAGA, CEBU</t>
  </si>
  <si>
    <t>BARANGAY 677 ZONE 74 DISTRICT V, MANILA</t>
  </si>
  <si>
    <t>SAN ANTONIO NATIONAL HIGH SCHOOL</t>
  </si>
  <si>
    <t>POWER SECTOR ASSETS AND LIABILITIES MANAGEMENT CORPORATION-Q</t>
  </si>
  <si>
    <t>BARANGAY PAYE, MOGPOG, MARINDUQUE</t>
  </si>
  <si>
    <t>BARANGAY CODON - SAN ANDRES CATANDUANES</t>
  </si>
  <si>
    <t>KAUNLARAN ELEMENTARY SCHOOL</t>
  </si>
  <si>
    <t>MUNICIPALITY OF TORRIJOS, MARINDUQUE</t>
  </si>
  <si>
    <t>DEPARTMENT OF EDUCATION - DIVISION OF CAGAYAN</t>
  </si>
  <si>
    <t>GAMES AND AMUSEMENTS BOARD</t>
  </si>
  <si>
    <t>BARANGAY GUIOB, ALCANTARA, ROMBLON</t>
  </si>
  <si>
    <t>DEPARTMENT OF TRADE AND INDUSTRY - BUKIDNON</t>
  </si>
  <si>
    <t>BARANGAY TAM-IS - MAASIN CITY SOUTHERN LEYTE</t>
  </si>
  <si>
    <t>BARANGAY VIZCAYA - PRESIDENT ROXAS, CAPIZ</t>
  </si>
  <si>
    <t>BARANGAY CORTES - BASILISA, DINAGAT ISLAND</t>
  </si>
  <si>
    <t>BUREAU OF FIRE PROTECTION - NATIONAL HEADQUARTERS</t>
  </si>
  <si>
    <t>BARANGA YPANGAPISAN  -  ALAMINOS CITY,  PANGASINAN</t>
  </si>
  <si>
    <t>PROVINCE OF NUEVA ECIJA</t>
  </si>
  <si>
    <t>MUNICIPALITY OF SABLAYAN, OCCIDENTAL MINDORO</t>
  </si>
  <si>
    <t>PUBLIC-PRIVATE PARTNERSHIP (PPP) CENTER OF THE PHILIPPI</t>
  </si>
  <si>
    <t>NATIONAL IRRIGATION ADMINISTRATION - COTABATO IMO</t>
  </si>
  <si>
    <t>BARANGAY SAN PEDRO - QUINAPONDAN EASTERN SAMAR</t>
  </si>
  <si>
    <t>BARANGAY 210 ZONE 19 DISTRICT II</t>
  </si>
  <si>
    <t>BARANGAY CALIMPAK, GUINAYANGAN, QUEZON</t>
  </si>
  <si>
    <t>BARANGAY MARIA, LAUA-AN, ANTIQUE</t>
  </si>
  <si>
    <t>MUNICIPALITY OF MOBO, MASBATE</t>
  </si>
  <si>
    <t>BARANGAY SOUTHSIDE, MAKATI CITY</t>
  </si>
  <si>
    <t>BARANGAY YOCTI - SAN ANDRES,CATANDUANES</t>
  </si>
  <si>
    <t>MUNICIPALITY OF BUGUIAS, BENGUET</t>
  </si>
  <si>
    <t>MUNICIPALITY OF LAWAAN, EASTERN SAMAR</t>
  </si>
  <si>
    <t>PHILIPPINE GUARANTEE CORPORATION</t>
  </si>
  <si>
    <t>MUNICIPALITY OF JOVELLAR, ALBAY</t>
  </si>
  <si>
    <t>ANDRES BONIFACIO ELEMENTARY SCHOOL</t>
  </si>
  <si>
    <t>DEPARTMENT OF PUBLIC WORKS AND HIGHWAYS - BUKIDNON 3RD DEO</t>
  </si>
  <si>
    <t>BARANGAY MAYOMBO, DAGUPAN CITY</t>
  </si>
  <si>
    <t>BARANGAY 455 ZONE 45, MANILA</t>
  </si>
  <si>
    <t>BARANGAY 344, ZONE 35, DISTRICT 111, MANILA</t>
  </si>
  <si>
    <t>BARANGAY ILLURU NORTE RIZAL CAGAYAN</t>
  </si>
  <si>
    <t>BARANGAY GAGGABUTAN EAST RIZAL CAGAYAN</t>
  </si>
  <si>
    <t>DEPARTMENT OF EDUCATION - DIVISION OF CITY SCHOOLS, LAS PINA</t>
  </si>
  <si>
    <t>MUNTINLUPA BUSINESS HIGH SCHOOL</t>
  </si>
  <si>
    <t>DEVELOPMENT BANK OF THE PHILIPPINES - BORONGAN</t>
  </si>
  <si>
    <t>BARANGAY VILLA PANTINOPLE - BASILISA, DINAGAT ISLAND</t>
  </si>
  <si>
    <t>BARANGAY CALAPE - PAYAO ZAMBOANGA SIBUGAY</t>
  </si>
  <si>
    <t>BARANGAY LABATAN -  PAYAO, ZAMBOANGA SIBUGAY</t>
  </si>
  <si>
    <t>TRES ANDANAS ELEMENTARY SCHOOL</t>
  </si>
  <si>
    <t>DEPARTMENT OF LABOR AND EMPLOYMENT - REGION IV-B</t>
  </si>
  <si>
    <t>MUNICIPALITY OF ARINGAY, LA UNION</t>
  </si>
  <si>
    <t>PHILIPPINE STATISTICS AUTHORITY - REGION VI</t>
  </si>
  <si>
    <t>MUNICIPALITY OF SAN VICENTE, PALAWAN</t>
  </si>
  <si>
    <t>MUNICIPALITY OF MACABEBE, PAMPANGA</t>
  </si>
  <si>
    <t>MUNICIPALITY OF CLAVERIA, MISAMIS ORIENTAL</t>
  </si>
  <si>
    <t>MUNICIPALITY OF BATO, CATANDUANES</t>
  </si>
  <si>
    <t>MUNICIPALITY OF SAN JUAN, SOUTHERN LEYTE</t>
  </si>
  <si>
    <t>DEPARTMENT OF PUBLIC WORKS AND HIGHWAYS - PALAWAN 1ST DEO</t>
  </si>
  <si>
    <t>PROVINCE OF DAVAO OCCIDENTAL</t>
  </si>
  <si>
    <t>MUNICIPALITY OF ABORLAN, PALAWAN</t>
  </si>
  <si>
    <t>MUNICIPALITY OF TULUNAN, NORTH COTABATO</t>
  </si>
  <si>
    <t>BARANGAY 09 POBLACION, CATBALOGAN CITY</t>
  </si>
  <si>
    <t>BARANGAY CALUANGAN - CALACA BATANGAS</t>
  </si>
  <si>
    <t>CITY OF MASBATE, MASBATE</t>
  </si>
  <si>
    <t>MUNICIPALITY OF MOLAVE, ZAMBOANGA DEL SUR</t>
  </si>
  <si>
    <t>DAGUPAN CITY WATER DISTRICT</t>
  </si>
  <si>
    <t>MUNICIPALITY OF LUBUAGAN, KALINGA</t>
  </si>
  <si>
    <t>BARANGAY BALOGO,EAST DISTRICT,SORSOGON CITY</t>
  </si>
  <si>
    <t>GENERAL SANTOS CITY WATER DISTRICT</t>
  </si>
  <si>
    <t>MUNICIPALITY OF TANAY, RIZAL</t>
  </si>
  <si>
    <t>DEPARTMENT OF PUBLIC WORKS AND HIGHWAYS - ISABELA 2ND DEO</t>
  </si>
  <si>
    <t>NATIONAL CHILDREN'S HOSPITAL</t>
  </si>
  <si>
    <t>BARANGAY MINAHAN SUR - GENERAL NAKAR QUEZON</t>
  </si>
  <si>
    <t>LA UNION MEDICAL CENTER</t>
  </si>
  <si>
    <t>BARANGAY LAMPAYA - CALINOG, ILOILO</t>
  </si>
  <si>
    <t>BARANGAY LOMBO -MALABUYOC CEBU</t>
  </si>
  <si>
    <t>MUNICIPALITY OF FLORIDABLANCA, PAMPANGA</t>
  </si>
  <si>
    <t>BARANGAY POBLACION 22, BATANGAS CITY</t>
  </si>
  <si>
    <t>DEPARTMENT OF HEALTH - CARAGA</t>
  </si>
  <si>
    <t>DEPARTMENT OF PUBLIC WORKS AND HIGHWAYS - ALBAY 1ST DEO</t>
  </si>
  <si>
    <t>DEPARTMENT OF PUBLIC WORKS AND HIGHWAYS - BATANGAS IV DEO</t>
  </si>
  <si>
    <t>MUNICIPALITY OF CAGDIANAO, DINAGAT ISLAND</t>
  </si>
  <si>
    <t>DEPARTMENT OF EDUCATION DIVISION  OF HIMAMAYLAN CITY</t>
  </si>
  <si>
    <t>MUNICIPALITY OF ANTEQUERA, BOHOL</t>
  </si>
  <si>
    <t>BARANGAY PILI ILAWOD, BACACAY, ALBAY</t>
  </si>
  <si>
    <t>BANQUEROHAN ELEMENTARY SCHOOL  - LEGAZPI CITY ALBAY</t>
  </si>
  <si>
    <t>102ND CONTRACTING OFFICE, AFP PROCUREMENT SERVICE</t>
  </si>
  <si>
    <t>BARANGAY GUINBANGA-AN, LAUA-AN, ANTIQUE</t>
  </si>
  <si>
    <t>BARANGAY CAPAYANG, MOGPOG, MARINDUQUE</t>
  </si>
  <si>
    <t>AMLAN NATIONAL HIGH SCHOOL (MAIN CAMPUS) - AMLAN NEGROS ORIE</t>
  </si>
  <si>
    <t>MUNICIPALITY OF MAYORGA, LEYTE</t>
  </si>
  <si>
    <t>BARANGAY SEÑOR SANTO NIÑO, CEBU CITY</t>
  </si>
  <si>
    <t>MUNICIPALITY OF VINZONS, CAMARINES NORTE</t>
  </si>
  <si>
    <t>HEADQUARTERS COAST GUARD SURFACE SUPPORT FORCE</t>
  </si>
  <si>
    <t>EAST REMBO ELEMENTARY SCHOOL</t>
  </si>
  <si>
    <t>MUNICIPALITY OF PINAMUNGAJAN, CEBU</t>
  </si>
  <si>
    <t>DEPARTMENT OF ENVIRONMENT AND NATURAL RESOURCES  - REGION VI</t>
  </si>
  <si>
    <t>BARANGAY  PANINAAN - BACARRA ILOCOS NORTE</t>
  </si>
  <si>
    <t>NATIONAL MAPPING AND RESOURCE INFORMATION AUTHORITY (NAMRIA)</t>
  </si>
  <si>
    <t>NEW ORMOC CITY NATIONAL HIGH SCHOOL</t>
  </si>
  <si>
    <t>SK OF BARANGAY BOLBOK - BATANGAS CITY</t>
  </si>
  <si>
    <t>DEPARTMENT OF PUBLIC WORKS AND HIGHWAYS - AGUSAN DEL SUR 1ST</t>
  </si>
  <si>
    <t>MUNICIPALITY OF PALO - LEYTE LEYTE</t>
  </si>
  <si>
    <t>BARANGAY PASCUALA, LAUA-AN, ANTIQUE</t>
  </si>
  <si>
    <t>MUNICIPALITY OF DOLORES, QUEZON</t>
  </si>
  <si>
    <t>MUNICIPALITY OF PAYAO, ZAMBOANGA SIBUGAY</t>
  </si>
  <si>
    <t>MUNICIPALITY OF PUERTO GALERA, ORIENTAL MINDORO</t>
  </si>
  <si>
    <t>KIBAWE NATIONAL HIGH SCHOOL</t>
  </si>
  <si>
    <t>DAVAO NATIONAL AGRICULTURAL SCHOOL</t>
  </si>
  <si>
    <t>CAUAYAN CITY WATER DISTRICT</t>
  </si>
  <si>
    <t>MUNICIPALITY OF BONGABONG, ORIENTAL MINDORO</t>
  </si>
  <si>
    <t>DEPARTMENT OF TRADE AND INDUSTRY - REGION II, CAGAYAN VALLEY</t>
  </si>
  <si>
    <t>MUNICIPALITY OF GIPORLOS, EASTERN SAMAR</t>
  </si>
  <si>
    <t>NEW IMBATUG ELEMENTARY SCHOOL - IMPASUG-ONG BUKIDNON</t>
  </si>
  <si>
    <t>PHILIPPINE COAST GUARD - CAGAYAN DE ORO CITY</t>
  </si>
  <si>
    <t>CITY GOVERNMENT OF BALANGA, BATAAN</t>
  </si>
  <si>
    <t>MARGARITA ROXAS DE AYALA ELEMENTARY SCHOOL</t>
  </si>
  <si>
    <t>BARANGAY KAYPIAN, SAN JOSE DEL MONTE CITY</t>
  </si>
  <si>
    <t>BARANGAY 786 ZONE 86 DISTRICT V, MANILA</t>
  </si>
  <si>
    <t>BARANGAY TAPULAO, ORANI, BATAAN</t>
  </si>
  <si>
    <t>BARANGAY TIGBAWAN MAASIN CITY SOUTHERN LEYTE</t>
  </si>
  <si>
    <t>BARANGAY PUNONG, TOMAS OPPUS, SOUTHERN LEYTE</t>
  </si>
  <si>
    <t>BARANGAY ZONE III POBLACION, ATIMONAN, QUEZON</t>
  </si>
  <si>
    <t>PHILIPPINE RICE RESEARCH INSTITUTE - REGION VI</t>
  </si>
  <si>
    <t>BARANGAY BANAYBANAY 2.0, SAN JOSE, BATANGAS</t>
  </si>
  <si>
    <t>BARANGAY EAST VILLA FLORES - MAAYON,CAPIZ</t>
  </si>
  <si>
    <t>BARANGAY BAGONG POOK, SAN JOSE, BATANGAS</t>
  </si>
  <si>
    <t>BARANGAY MALUSAK, ATIMONAN QUEZON</t>
  </si>
  <si>
    <t>MALABAN ELEMENTARY SCHOOL</t>
  </si>
  <si>
    <t>BARANGAY SAN ANTONIO, SAN PASCUAL, BATANGAS</t>
  </si>
  <si>
    <t>BARANGAY GUINDAPUNAN WEST, CARIGARA, LEYTE</t>
  </si>
  <si>
    <t>BARANGAY BUQUIG - BANTAY ILOCOS SUR</t>
  </si>
  <si>
    <t>MUNICIPALITY OF KALAWIT, ZAMBOANGA DEL NORTE</t>
  </si>
  <si>
    <t>BARANGAY LIGTONG III ROSARIO CAVITE</t>
  </si>
  <si>
    <t>ANDRES M. LUCIANO NATIONAL HIGH SCHOOL</t>
  </si>
  <si>
    <t>GOVERNMENT SERVICE INSURANCE SYSTEM</t>
  </si>
  <si>
    <t>ARAYAT NATIONAL HIGH SCHOOL - ARAYAT PAMPANGA</t>
  </si>
  <si>
    <t>BARANGAY GUSING NORTE, NAGUILIAN, LA UNION</t>
  </si>
  <si>
    <t>BARANGAY CABUSAY, LABO, CAMARINES NORTE</t>
  </si>
  <si>
    <t>BARANGAY KILING, MACARTHUR, LEYTE</t>
  </si>
  <si>
    <t>BARANGAY LUMBANG CALZADA - CALACA, BATANGAS</t>
  </si>
  <si>
    <t>NORTHWESTERN MINDANAO STATE COLLEGE OF SCIENCE &amp; TECHNOLOGY</t>
  </si>
  <si>
    <t>DEPARTMENT OF AGRARIAN REFORM - REGION IX</t>
  </si>
  <si>
    <t>MANUEL YULO ELEMENTARY SCHOOL - HIMAMAYLAN CITY NEGROS OCCID</t>
  </si>
  <si>
    <t>DEPARTMENT OF SOCIAL WELFARE AND DEVELOPMENT - REGION IX</t>
  </si>
  <si>
    <t>MINISTRY OF THE INTERIOR AND LOCAL GOVERNMENT - BARMM</t>
  </si>
  <si>
    <t>MUNICIPALITY OF TALUSAN, ZAMBOANGA SIBUGAY</t>
  </si>
  <si>
    <t>MUNICIPALITY OF CONCEPCION, ILOILO</t>
  </si>
  <si>
    <t>BARANGAY BARCOLAN - GAMU ISABELA</t>
  </si>
  <si>
    <t>NATIONAL HOUSING AUTHORITY - REGION III</t>
  </si>
  <si>
    <t>PROVINCE OF RIZAL</t>
  </si>
  <si>
    <t>DON JOSE INTEGRATED HIGH SCHOOL - STA. ROSA LAGUNA</t>
  </si>
  <si>
    <t>BAGACAY ELEMENTARY SCHOOL</t>
  </si>
  <si>
    <t>BARANGAY MABUHAY, GENERAL SANTOS CITY</t>
  </si>
  <si>
    <t>BARANGAY NANGKA, MARIKINA CITY</t>
  </si>
  <si>
    <t>CENTER FOR HEALTH DEVELOPMENT - REGION VI</t>
  </si>
  <si>
    <t>BARANGAY PAMANTOLON, TAYTAY, PALAWAN</t>
  </si>
  <si>
    <t>LUBAO NATIONAL HIGH SCHOOL</t>
  </si>
  <si>
    <t>MUNICIPALITY OF PASACAO, CAMARINES SUR</t>
  </si>
  <si>
    <t>BARANGAY SALVACION - SIBALOM, ANTIQUE</t>
  </si>
  <si>
    <t>LA ROXAS ELEMENTARY SCHOOL</t>
  </si>
  <si>
    <t>BARANGAY LEONES EAST, TUBAO, LA UNION</t>
  </si>
  <si>
    <t>SK OF BARANGAY LIBJO - BATANGAS CITY BATANGAS</t>
  </si>
  <si>
    <t>BARANGAY SYNDICATE, AROROY, MASBATE</t>
  </si>
  <si>
    <t>TUMARAS INTEGRATED SCHOOL - KIBAWE BUKIDNON</t>
  </si>
  <si>
    <t>MUNICIPALITY OF CABARROGUIS, QUIRINO</t>
  </si>
  <si>
    <t>BARANGAY CITY CAMP CENTRAL, BAGUIO CITY</t>
  </si>
  <si>
    <t>BARANGAY MADAYEGDEG - SAN FERNANDO CITY, LA UNION</t>
  </si>
  <si>
    <t>PROVINCE OF KALINGA</t>
  </si>
  <si>
    <t>ENVIRONMENTAL MANAGEMENT BUREAU - REG IV - B, MIMAROPA</t>
  </si>
  <si>
    <t>BARANGAY GUISIJAN, LAUA-AN, ANTIQUE</t>
  </si>
  <si>
    <t>BALIBAGO ELEMENTARY SCHOOL - STA. ROSA LAGUNA</t>
  </si>
  <si>
    <t>BARANGAY PATRIA PANDAN ANTIQUE</t>
  </si>
  <si>
    <t>BARANGAY SAN MIGUEL A - MARAGONDON CAVITE</t>
  </si>
  <si>
    <t>BARANGAY CATUNGAN III SIBALOM ANTIQUE</t>
  </si>
  <si>
    <t>BARANGAY MAHIPON-LUMOT - CAVINTI LAGUNA</t>
  </si>
  <si>
    <t>BARANGAY IBABANG IYAM, LUCENA CITY</t>
  </si>
  <si>
    <t>CAMINDANGAN ELEMENTARY SCHOOL - CAMINDANGAN, SIPALAY CITY</t>
  </si>
  <si>
    <t>MUNICIPALITY OF LOPE DE VEGA, NORTHERN SAMAR</t>
  </si>
  <si>
    <t>MUNICIPAL GOVERNMENT OF PALIMBANG</t>
  </si>
  <si>
    <t>MUNICIPALITY OF ALFONSO LISTA, IFUGAO</t>
  </si>
  <si>
    <t>DINAPIGUE NATIONAL HIGH SCHOOL - DINAPIGUE ISABELA</t>
  </si>
  <si>
    <t>GADDANAN ELEMENTARY SCHOOL</t>
  </si>
  <si>
    <t>MUNICIPALITY OF TINOC, IFUGAO</t>
  </si>
  <si>
    <t>NATIONAL MEAT INSPECTION  SERVICE</t>
  </si>
  <si>
    <t>BARANGAY MATANDANG BALARA, QUEZON CITY</t>
  </si>
  <si>
    <t>BARANGAY GALARIN, URBIZTONDO, PANGASINAN</t>
  </si>
  <si>
    <t>BARANGAY BITUAG, URBIZTONDO, PANGASINAN</t>
  </si>
  <si>
    <t>MUNICIPALITY OF MAHINOG, CAMIGUIN</t>
  </si>
  <si>
    <t>BARANGAY OTSO - MAMBURAO OCCIDENTAL MINDORO</t>
  </si>
  <si>
    <t>BARANGAY LUGUI, LABO, CAMARINES NORTE</t>
  </si>
  <si>
    <t>BARANGAY WEST BALABAG, VALENCIA, NEGROS ORIENTAL</t>
  </si>
  <si>
    <t>KISOLON CENTRAL ELEMENTARY SCHOOL</t>
  </si>
  <si>
    <t>COMMISSION ON THE FILIPINO LANGUAGE</t>
  </si>
  <si>
    <t>BARANGAY 473 ZONE 47 DIST. IV, MANILA</t>
  </si>
  <si>
    <t>MUNICIPALITY OF CALATAGAN, BATANGAS</t>
  </si>
  <si>
    <t>GOMEZ ELEMENTARY SCHOOL - PONTEVEDRA II, NEGROS OCCIDENTAL</t>
  </si>
  <si>
    <t>BURGOS ELEMENTARY SCHOOL</t>
  </si>
  <si>
    <t>MUNICIPALITY OF SANTA FE, CEBU</t>
  </si>
  <si>
    <t>DEPARTMENT OF EDUCATION - SCHOOLS DIVISION OF CITY OF MEYCAU</t>
  </si>
  <si>
    <t>MUNICIPALITY OF AGUILAR, PANGASINAN</t>
  </si>
  <si>
    <t>MUNICIPALITY OF GARCHITORENA, CAMARINES SUR</t>
  </si>
  <si>
    <t>DEPARTMENT OF EDUCATION - DIVISION OF LIPA CITY</t>
  </si>
  <si>
    <t>CAIGANGAN ELEMENTARY SCHOOL</t>
  </si>
  <si>
    <t>MUNICIPALITY OF ALEOSAN, COTABATO</t>
  </si>
  <si>
    <t>INDUSTRIAL TECHNOLOGY DEVELOPMENT INSTITIUTE</t>
  </si>
  <si>
    <t>MUNICIPALITY OF SAN PABLO, ZAMBOANGA DEL SUR</t>
  </si>
  <si>
    <t>SPEAKER EUGENIO PEREZ NATIONAL AGRICULTURAL SCHOOL</t>
  </si>
  <si>
    <t>PROVINCE OF APAYAO</t>
  </si>
  <si>
    <t>MUNICIPALITY OF NUNUNGAN, LANAO DEL NORTE</t>
  </si>
  <si>
    <t>BARANGAY BAGACAY, LABO, CAMARINES NORTE</t>
  </si>
  <si>
    <t>MUNICIPALITY OF JASAAN , MISAMIS ORIENTAL</t>
  </si>
  <si>
    <t>BUREAU OF JAIL MANAGEMENT AND PENOLOGY - REGION VII</t>
  </si>
  <si>
    <t>106TH CONTRACTING OFFICE, AFP PROCUREMENT SERVICE</t>
  </si>
  <si>
    <t>MUNICIPALITY OF BAUNGON, BUKIDNON</t>
  </si>
  <si>
    <t>BARANGAY PALUA, MANGALDAN, PANGASINAN</t>
  </si>
  <si>
    <t>PINAGTONGULAN NATIONAL HIGH SCHOOL</t>
  </si>
  <si>
    <t>BARANGAY DEL REMEDIO, SAN PABLO CITY</t>
  </si>
  <si>
    <t>BARANGAY DIOQUINO ZOBEL, QUEZON CITY</t>
  </si>
  <si>
    <t>BARANGAY IBABAO-BANA CABANATUAN CITY NUEVA ECIJA</t>
  </si>
  <si>
    <t>ALCALA WATER DISTRICT</t>
  </si>
  <si>
    <t>MUNICIPALITY OF MARGOSATUBIG, ZAMBOANGA DEL SUR</t>
  </si>
  <si>
    <t>MUNICIPALITY OF LAGAYAN, ABRA</t>
  </si>
  <si>
    <t>MUNICIPALITY OF BANAYOYO, ILOCOS SUR</t>
  </si>
  <si>
    <t>BARANGAY POBLACION,MARGOSATUBIG, ZAMBOANGA DEL SUR</t>
  </si>
  <si>
    <t>BARANGAY BANTOG, SAN QUINTIN, PANGASINAN</t>
  </si>
  <si>
    <t>DEPARTMENT OF EDUCATION - DIVISION OF NUEVA ECIJA</t>
  </si>
  <si>
    <t>BARANGAY CABANGARAN, SAN QUINTIN, PANGASINAN</t>
  </si>
  <si>
    <t>BARANGAY TIBONGBONG, MATANAO, DAVAO DEL SUR</t>
  </si>
  <si>
    <t>HOME DEVELOPMENT MUTUAL FUND - CUBAO BRANCH</t>
  </si>
  <si>
    <t>NARVACAN WATER DISTRICT</t>
  </si>
  <si>
    <t>BARANGAY BASUD, POLANGUI, ALBAY</t>
  </si>
  <si>
    <t>SEWAHON ELEMENTARY SCHOOL</t>
  </si>
  <si>
    <t>ANSELMO A. SANDOVAL MEMORIAL NATIONAL HIGH SCHOOL</t>
  </si>
  <si>
    <t>MUNICIPALITY OF TANGALAN, AKLAN</t>
  </si>
  <si>
    <t>DAMILAG INTEGRATED SCHOOL - MANOLO FORTICH BUKIDNON</t>
  </si>
  <si>
    <t>MUNICIPALITY OF ALFONSO, CAVITE</t>
  </si>
  <si>
    <t>BUREAU OF PLANT INDUSTRY - NSQCS I</t>
  </si>
  <si>
    <t>PHILIPPINE COAST GUARD - COAST GUARD SPECIAL OPERATION FORCE</t>
  </si>
  <si>
    <t>MANANGLE HIGH SCHOOL</t>
  </si>
  <si>
    <t>BARANGAY LOWER STA. CRUZ, RAGAY, CAMARINES SUR</t>
  </si>
  <si>
    <t>BARANGAY PANAYTAYAN, RAGAY, CAMARINES SUR</t>
  </si>
  <si>
    <t>MUNICIPALITY OF ALAMADA, COTABATO</t>
  </si>
  <si>
    <t>BARANGAY CATARATAN, ALLACAPAN, CAGAYAN</t>
  </si>
  <si>
    <t>BARANGAY SALVACION, RAGAY, CAMARINES SUR</t>
  </si>
  <si>
    <t>MUNICIPALITY OF CANTILAN, SURIGAO DEL SUR</t>
  </si>
  <si>
    <t>DEPARTMENT OF HEALTH - MAIN</t>
  </si>
  <si>
    <t>SAN NICOLAS CENTRAL ELEMENTARY SCHOOL - DON CARLOS BUKIDNON</t>
  </si>
  <si>
    <t>JOSE ABAD SANTOS HIGH SCHOOL</t>
  </si>
  <si>
    <t>SAN FRANCISCO ELEMENTARY SCHOOL - LUBAO PAMPANGA</t>
  </si>
  <si>
    <t>BARANGAY SAN FELIPE, NAGA CITY, CAMARINES SUR</t>
  </si>
  <si>
    <t>SURCOC INTEGRATED SCHOOL - NAGUILIAN ISABELA</t>
  </si>
  <si>
    <t>BARANGAY SOUTH TRIANGLE - QUEZON CITY</t>
  </si>
  <si>
    <t>BARANGAY MOTODERAZO, NAUJAN, ORIENTAL MINDORO</t>
  </si>
  <si>
    <t>BARANGAY LIBORO, RAGAY, CAMARINES SUR</t>
  </si>
  <si>
    <t xml:space="preserve">NABULAO ELEMENTARY SCHOOL, SIPALAY I, NEGROS OCCIDENTAL </t>
  </si>
  <si>
    <t>BARANGAY CARIDAD IBABA, ATIMONAN, QUEZON</t>
  </si>
  <si>
    <t>MUNICIPALITY OF  DATU ABDULLAH SANGKI- MAGUINDANAO</t>
  </si>
  <si>
    <t>BENIGNO "NINOY" AQUINO HIGH SCHOOL</t>
  </si>
  <si>
    <t>DEPARTMENT OF TRADE AND INDUSTRY - REGION VII</t>
  </si>
  <si>
    <t>DEPARTMENT OF PUBLIC WORKS AND HIGHWAYS - REGION XII</t>
  </si>
  <si>
    <t>BARANGAY II-A, SAN PABLO CITY, LAGUNA</t>
  </si>
  <si>
    <t>306TH CONTRACTING OFFICE, AFP PROCUREMENT SERVICE</t>
  </si>
  <si>
    <t>PROVINCE OF QUEZON</t>
  </si>
  <si>
    <t>DEPARTMENT OF PUBLIC WORKS AND HIGHWAYS - METRO MANILA 2ND D</t>
  </si>
  <si>
    <t>BARANGAY GAVINO MADERAN, GEN. MARIANO ALVAREZ, CAVITE</t>
  </si>
  <si>
    <t>KINAWE NATIONAL HIGH SCHOOL - LIBONA BUKIDNON</t>
  </si>
  <si>
    <t>BARANGAY SANTIAGO 2, SAN PABLO CITY</t>
  </si>
  <si>
    <t>MUNICIPALITY OF CORON, PALAWAN</t>
  </si>
  <si>
    <t>MUNICIPALITY OF PIKIT, NORTH COTABATO</t>
  </si>
  <si>
    <t>TALISAY ELEMENTARY SCHOOL - QUEZON</t>
  </si>
  <si>
    <t>BARANGAY SAN AGUSTIN SILANGAN, ISLA VERDE, BATANGAS CITY</t>
  </si>
  <si>
    <t>BARANGAY CATABANGAN PROPER, RAGAY, CAMARINES SUR</t>
  </si>
  <si>
    <t>BARANGAY SAN FRANCISCO, NAGCARLAN, LAGUNA</t>
  </si>
  <si>
    <t>DEPARTMENT OF EDUCATION - DIVISION OF CATBALOGAN CITY</t>
  </si>
  <si>
    <t>BARANGAY  SAN ROQUE - MARABUT SAMAR</t>
  </si>
  <si>
    <t>GUEVARRA HIGH SCHOOL</t>
  </si>
  <si>
    <t>LIBAS ELEMENTARY SCHOOL</t>
  </si>
  <si>
    <t>BARANGAY MOLICAY, OZAMIS CITY</t>
  </si>
  <si>
    <t>CIVIL SERVICE COMMISSION - CORDILLERA ADMINISTRATIVE REGION</t>
  </si>
  <si>
    <t>DEPARTMENT OF PUBLIC WORKS AND HIGHWAYS - APAYAO 1ST DEO</t>
  </si>
  <si>
    <t>BARANGAY SUBIC ILAYA, AGONCILLO, BATANGAS</t>
  </si>
  <si>
    <t>DEPARTMENT OF PUBLIC WORKS AND HIGHWAYS - QUEZON 2ND ED</t>
  </si>
  <si>
    <t>VICTORIAS CITY WATER DISTRICT</t>
  </si>
  <si>
    <t>BARANGAY IMBO, ANDA, PANGASINAN</t>
  </si>
  <si>
    <t>SURIGAO STATE COLLEGE OF TECHNOLOGY</t>
  </si>
  <si>
    <t>BARANGAY LANCHETA, TACURONG CITY, SULTAN KUDARAT</t>
  </si>
  <si>
    <t>BARANGAY SUBIC IBABA, AGONCILLO, BATANGAS</t>
  </si>
  <si>
    <t>BARANGAY GUINDAPUNAN - CULABA BILIRAN</t>
  </si>
  <si>
    <t>BARANGAY OLUANGAN, LEON, ILOILO</t>
  </si>
  <si>
    <t>BARANGAY BAESA</t>
  </si>
  <si>
    <t>BARANGAY MASISIT SANCHEZ MIRA CAGAYAN</t>
  </si>
  <si>
    <t>BARANGAY DAANLUNGSOD , TOLEDO CITY</t>
  </si>
  <si>
    <t>CITY OF TABUK, KALINGA</t>
  </si>
  <si>
    <t>BARANGAY TAGUMPAY, GABALDON,NUEVA ECIJA</t>
  </si>
  <si>
    <t>MUNICIPALITY OF HAMTIC, ANTIQUE</t>
  </si>
  <si>
    <t>BARANGAY POGO CHICO, DAGUPAN CITY</t>
  </si>
  <si>
    <t>BARANGAY CALLUNGAN SANCHEZ MIRA CAGAYAN</t>
  </si>
  <si>
    <t>BARANGAY CENTRO VIII CLAVERIA CAGAYAN</t>
  </si>
  <si>
    <t>BARANGAY LIMAO, CALAUAN, LAGUNA</t>
  </si>
  <si>
    <t>BANCAL PUGAD INTEGRATED SCHOOL - LUBAO PAMPANGA</t>
  </si>
  <si>
    <t>BARANGAY NASAUG-MAASIN CITY SOUTHERN LEYTE</t>
  </si>
  <si>
    <t>BARANGAY ALASASIN, MARIVELES, BATAAN</t>
  </si>
  <si>
    <t>BARANGAY DAGNAWAN, INABANGA, BOHOL</t>
  </si>
  <si>
    <t>BARANGAY CABCAB - SAN ANDRES, CATANDUANES</t>
  </si>
  <si>
    <t>WESTERN VISAYAS MEDICAL CENTER</t>
  </si>
  <si>
    <t>BARANGAY POBLACION 2B - MARAGONDON, CAVITE</t>
  </si>
  <si>
    <t>BARANGAY NAPARAAN, SALCEDO, EASTERN SAMAR</t>
  </si>
  <si>
    <t>BARANGAY QUISOL - DANAO CITY CEBU</t>
  </si>
  <si>
    <t>SK OF BARANGAY MALVAR - NAUJAN ORIENTAL MINDORO</t>
  </si>
  <si>
    <t>BARANGAY QUI-ONG, LA PAZ, LEYTE</t>
  </si>
  <si>
    <t>BARANGAY MASI STA. TERESITA CAGAYAN</t>
  </si>
  <si>
    <t>BARANGAY MAYNGAWAY - SAN ANDRES, CATANDUANES</t>
  </si>
  <si>
    <t>BARANGAY TOMINAWOG - SAN ANDRES CATANDUANES</t>
  </si>
  <si>
    <t>BARANGAY SAN ROQUE, SAN ANDRES, CATANDUANES</t>
  </si>
  <si>
    <t>JUVENILE JUSTICE AND WELFARE COUNCIL</t>
  </si>
  <si>
    <t>BONIFACIO CAMACHO NATIONAL HIGH SCHOOL</t>
  </si>
  <si>
    <t>BARANGAY TAYTAY, LOON, BOHOL</t>
  </si>
  <si>
    <t>BARANGAY LICTIN - SAN ANDRES, CATANDUANES</t>
  </si>
  <si>
    <t>BARANGAY SICUL, STA. PRAXEDES, CAGAYAN</t>
  </si>
  <si>
    <t>BARANGAY SIMPATUYO - STA. TERESITA CAGAYAN</t>
  </si>
  <si>
    <t>CITY OF PASAY</t>
  </si>
  <si>
    <t>BARANGAY CANIUGAN, STA. TERESITA, CAGAYAN</t>
  </si>
  <si>
    <t>MUNICIPALITY OF STA. JOSEFA, AGUSAN DEL SUR</t>
  </si>
  <si>
    <t>SK OF BARANGAY PEMBO - MAKATI CITY</t>
  </si>
  <si>
    <t>BARANGAY PUSPUS - SAN FERNANDO CITY, LA UNION</t>
  </si>
  <si>
    <t>COSINA INTEGRATED SCHOOL - TALAKAG BUKIDNON</t>
  </si>
  <si>
    <t>PHILIPPINE NATIONAL POLICE</t>
  </si>
  <si>
    <t>BARANGAY MAGUGPO NORTH, TAGUM CITY, DAVAO DEL NORTE</t>
  </si>
  <si>
    <t>DEPARTMENT OF AGRICULTURE - REGION XII</t>
  </si>
  <si>
    <t>BARANGAY CAMINDOROAN - SAN NICOLAS PANGASINAN</t>
  </si>
  <si>
    <t>BARANGAY ROSARIO, DUMANGAS, ILOILO</t>
  </si>
  <si>
    <t>DEPARTMENT OF EDUCATION - DIVISION OF SAN JUAN CITY</t>
  </si>
  <si>
    <t>KALINGA STATE UNIVERSITY</t>
  </si>
  <si>
    <t>DEPARTMENT OF PUBLIC WORKS AND HIGHWAYS - SOUTH METRO MANILA</t>
  </si>
  <si>
    <t>DEPARTMENT OF PUBLIC WORKS AND HIGHWAYS - ISABELA CITY DEO</t>
  </si>
  <si>
    <t>BARANGAY 04 POBLACION - GIPORLOS EASTERN SAMAR</t>
  </si>
  <si>
    <t>BARANGAY SUBA - MANJUYOD NEGROS ORIENTAL</t>
  </si>
  <si>
    <t>BARANGAY CABAROAN - BACNOTAN LA UNION</t>
  </si>
  <si>
    <t>MUNICIPALITY OF MALVAR, BATANGAS</t>
  </si>
  <si>
    <t>DEPARTMENT OF PUBLIC WORKS AND HIGHWAYS - MAIN</t>
  </si>
  <si>
    <t>BARANGAY SOLEDAD - SAN JOSE, CAMARINES SUR</t>
  </si>
  <si>
    <t>TESDA REGIONAL TRAINING CENTER - DAVAO</t>
  </si>
  <si>
    <t>GOVERNMENT SERVICE INSURANCE SYSTEM - REGION I</t>
  </si>
  <si>
    <t>DEPARTMENT OF EDUCATION - DIVISION OF TAYABAS CITY</t>
  </si>
  <si>
    <t>DEVELOPMENT BANK OF THE PHILIPPINES - REGION VI</t>
  </si>
  <si>
    <t>BARANGAY CABUNGAHAN - SAN ANDRES CATANDUANES</t>
  </si>
  <si>
    <t>BARANGAY TUBOD - ISABEL, LEYTE</t>
  </si>
  <si>
    <t>BARANGAY ABBAG, MADDELA, QUIRINO</t>
  </si>
  <si>
    <t>BARANGAY AURORA - COMPOSTELA, COMPOSTELA VALLEY</t>
  </si>
  <si>
    <t>DEPARTMENT OF PUBLIC WORKS AND HIGHWAYS - LAS PINAS- MUNTINL</t>
  </si>
  <si>
    <t>BARANGAY CAPANICKIAN SUR, ALLACAPAN, CAGAYAN</t>
  </si>
  <si>
    <t>BARANGAY LIBOTON NAGA CITY</t>
  </si>
  <si>
    <t>UNIVERSITY OF EASTERN PHILIPPINES</t>
  </si>
  <si>
    <t>BARANGAY SAN ANTONIO OGBON - NABUA CAMARINES SUR</t>
  </si>
  <si>
    <t>MUNICIPALITY OF KALAMANSIG, SULTAN KUDARAT</t>
  </si>
  <si>
    <t>DEPARTMENT OF EDUCATION - DIVISION OF CITY SCHOOLS, CALOOCAN</t>
  </si>
  <si>
    <t>BARANGAY NAZARETH SIBALOM ANTIQUE</t>
  </si>
  <si>
    <t>MUNICIPALITY OF SOFRONIO ESPAÑOLA, PALAWAN</t>
  </si>
  <si>
    <t>BARANGAY POBLACION SUR, MADDELA, QUIRINO</t>
  </si>
  <si>
    <t>CITY OF SAGAY, NEGROS OCCIDENTAL</t>
  </si>
  <si>
    <t>BARANGAY SAN DIONISIO 1, MADDELA, QUIRINO</t>
  </si>
  <si>
    <t>BARANGAY BURABOD - LAGONOY CAMARINES SUR</t>
  </si>
  <si>
    <t>MUNICIPALITY OF TANUDAN, KALINGA</t>
  </si>
  <si>
    <t>MUNICIPALITY OF CARMEN, AGUSAN DEL NORTE</t>
  </si>
  <si>
    <t>DEPARTMENT OF PUBLIC WORKS AND HIGHWAYS - BATAAN 1ST DEO</t>
  </si>
  <si>
    <t>PROVINCE OF ILOILO</t>
  </si>
  <si>
    <t xml:space="preserve">DEPARTMENT OF PUBLIC WORKS AND HIGHWAYS - CAMARINES SUR 3RD </t>
  </si>
  <si>
    <t>DEPARTMENT OF PUBLIC WORKS AND HIGHWAYS - EASTERN SAMAR DEO</t>
  </si>
  <si>
    <t>APYAO ELEMENTARY SCHOOL</t>
  </si>
  <si>
    <t>BARANGAY POBLACION, MAKATI CITY</t>
  </si>
  <si>
    <t>KASARINLAN HIGH SCHOOL - CALOOCAN CITY METRO MANILA</t>
  </si>
  <si>
    <t>BARANGAY SAN TEODORO, MABINI, BATANGAS</t>
  </si>
  <si>
    <t>GAT ANDRES BONIFACIO HIGH SCHOOL - TAGUIG CITY</t>
  </si>
  <si>
    <t>LUMINTAO ELEMENTARY SCHOOL</t>
  </si>
  <si>
    <t>DEPARTMENT OF EDUCATION - REGION IV-A (CALABARZON)</t>
  </si>
  <si>
    <t>MUNICIPALITY OF BOTOLAN, ZAMBALES</t>
  </si>
  <si>
    <t>DEPARTMENT OF AGRICULTURE - REGION V</t>
  </si>
  <si>
    <t>BARANGAY CANITUAN, KALILANGAN, BUKIDNON</t>
  </si>
  <si>
    <t>BARANGAY BATO I - MAASIN CITY SOUTHERN LEYTE</t>
  </si>
  <si>
    <t>BARANGAY TAMBO, LIPA CITY</t>
  </si>
  <si>
    <t>BUREAU OF FISHERIES AND AQUATIC RESOURCES - REGION III</t>
  </si>
  <si>
    <t>BAAO WEST CENTRAL SCHOOL - BAAO CAMARINES SUR</t>
  </si>
  <si>
    <t>BARANGAY LANAG, LEON, ILOILO</t>
  </si>
  <si>
    <t>BARANGAY NAGA - JIMENEZ, MISAMIS OCCIDENTAL</t>
  </si>
  <si>
    <t>BARANGAY MANTATAO, CALAPE, BOHOL</t>
  </si>
  <si>
    <t>BARANGAY MANINGDING, STA. BARBARA, PANGASINAN</t>
  </si>
  <si>
    <t>BARANGAY CALE, RAGAY, CAMARINES SUR</t>
  </si>
  <si>
    <t>BARANGAY LAGBAB - COMPOSTELA COMPOSTELA VALLEY</t>
  </si>
  <si>
    <t>PUSO ELEMENTARY SCHOOL</t>
  </si>
  <si>
    <t>BARANGAY BANZAL, STA. BARBARA, PANGASINAN</t>
  </si>
  <si>
    <t>BARANGAY DAO, SAN FERNANDO, BUKIDNON</t>
  </si>
  <si>
    <t>NATIONAL ARCHIVES OF THE PHILIPPINES</t>
  </si>
  <si>
    <t>MUNICIPALITY OF BURGOS, ILOCOS NORTE</t>
  </si>
  <si>
    <t>BARANGAY SAN PEDRO - STA ELENA CAMARINES NORTE</t>
  </si>
  <si>
    <t>BARANGAY SAN ISIDRO, VALENCIA CITY, BUKIDNON</t>
  </si>
  <si>
    <t>BARANGAY SEIRAN, TAAL, BATANGAS</t>
  </si>
  <si>
    <t>MUNICIPALITY OF QUIRINO, ISABELA</t>
  </si>
  <si>
    <t>AMLAN CENTRAL ELEMENTARY SCHOOL - AMLAN NEGROS ORIENTAL</t>
  </si>
  <si>
    <t>BARANGAY SILANGAN UNO - ROSARIO CAVITE</t>
  </si>
  <si>
    <t>BARANGAY TABONTABON, DARAGA, ALBAY</t>
  </si>
  <si>
    <t>MUNICIPALITY OF MULANAY, QUEZON</t>
  </si>
  <si>
    <t>BARANGAY BAGONG BAYAN/I-C, SAN PABLO CITY</t>
  </si>
  <si>
    <t>MUNICIPALITY OF BUENAVISTA, MARINDUQUE</t>
  </si>
  <si>
    <t>BARANGAY SAN ROQUE - QUEZON CITY</t>
  </si>
  <si>
    <t>BARANGAY NEW CARCAR - LA LIBERTAD ZAMBOANGA DEL NORTE</t>
  </si>
  <si>
    <t>CITY OF TOLEDO, CEBU</t>
  </si>
  <si>
    <t>MUSUAN ELEMENTARY SCHOOL</t>
  </si>
  <si>
    <t>MUNICIPALITY OF SAGNAY, CAMARINES SUR</t>
  </si>
  <si>
    <t>MUNICIPALITY OF SAN AGUSTIN, ISABELA</t>
  </si>
  <si>
    <t>BARANGAY MAULAWIN - STA ELENA CAMARINES NORTE</t>
  </si>
  <si>
    <t>BARANGAY WAKAT, NAGCARLAN, LAGUNA</t>
  </si>
  <si>
    <t>BARANGAY CANINGAY - CANDONI NEGROS OCCIDENTAL</t>
  </si>
  <si>
    <t>MUNICIPALITY OF LA PAZ, ABRA</t>
  </si>
  <si>
    <t>BARANGAY DALANGUIRING, URBIZTONDO, PANGASINAN</t>
  </si>
  <si>
    <t>BARANGAY BAGONG CLARIN, DON VICTORIANO CHIONGBIAN</t>
  </si>
  <si>
    <t>PROVINCE OF CAMIGUIN</t>
  </si>
  <si>
    <t>MUNICIPALITY OF STA. ANA, CAGAYAN</t>
  </si>
  <si>
    <t>SK OF BARANGAY LA PAZ - MAKATI CITY METRO MANILA</t>
  </si>
  <si>
    <t>NATIONAL FOOD AUTHORITY - SORSOGON</t>
  </si>
  <si>
    <t>BARANGAY 59-PURO LEGAZPI CITY ALBAY</t>
  </si>
  <si>
    <t>BARANGAY KABUNGAAN - BAYBAY CITY LEYTE</t>
  </si>
  <si>
    <t>BARANGAY SAN ANTONIO, CALAPAN CITY, ORIENTAL MINDORO</t>
  </si>
  <si>
    <t>DEPARTMENT OF PUBLIC WORKS AND HIGHWAYS - UPPER KALINGA DEO</t>
  </si>
  <si>
    <t>SENIOR HIGH SCHOOL- QUEZON  NATIONAL HIGH SCHOOL BUKIDNON</t>
  </si>
  <si>
    <t>BARANGAY POBLACION - KIANGAN IFUGAO</t>
  </si>
  <si>
    <t>DEPARTMENT OF EDUCATION - DIVISION OF ILOILO</t>
  </si>
  <si>
    <t>BARANGAY KASILAWAN, MAKATI CITY</t>
  </si>
  <si>
    <t>BARANGAY CANTUGBAS</t>
  </si>
  <si>
    <t>BARANGAY CULAYLAY, SAN JOSE CITY, NUEVA ECIJA</t>
  </si>
  <si>
    <t>MUNICIPALITY OF ALBURQUERQUE, BOHOL</t>
  </si>
  <si>
    <t>DEPARTMENT OF AGRARIAN REFORM - ANTIQUE PROVINCIAL OFFICE</t>
  </si>
  <si>
    <t>BARANGAY BOJO, ALOGUINSAN, CEBU</t>
  </si>
  <si>
    <t>DENR FORESTLAND MANAGEMENT PROJECT</t>
  </si>
  <si>
    <t>CULION WATER DISTRICT</t>
  </si>
  <si>
    <t>KAYPIAN NATIONAL HIGH SCHOOL ( JUNIOR) -  SAN JOSE DEL MONTE</t>
  </si>
  <si>
    <t>DEPARTMENT OF ENVIRONMENT AND NATURAL RES. - PENRO N. OCCIDE</t>
  </si>
  <si>
    <t>DEPARTMENT OF ENVIRONMENT AND NATURAL RESOURCES - REGION I</t>
  </si>
  <si>
    <t>PALOMPON INSTITUTE OF TECHNOLOGY</t>
  </si>
  <si>
    <t>BARANGAY POBLACION, SAN VICENTE, PALAWAN</t>
  </si>
  <si>
    <t>BARANGAY BUNGSI, MAMBUSAO, CAPIZ</t>
  </si>
  <si>
    <t>MUNICIPALITY OF LAPINIG, NORTHERN SAMAR</t>
  </si>
  <si>
    <t>MUNICIPALITY OF SAN PASCUAL, MASBATE</t>
  </si>
  <si>
    <t>NABUNTURAN WATER DISTRICT</t>
  </si>
  <si>
    <t>NATIONAL IRRIGATION ADMINISTRATION - MARIIS, DRD</t>
  </si>
  <si>
    <t>SUGAR REGULATORY ADMINISTRATION</t>
  </si>
  <si>
    <t>BARANGAY SAN ANTONIO - PASACAO CAMARINES SUR</t>
  </si>
  <si>
    <t>BARANGAY MARINIG, CABUYAO, LAGUNA</t>
  </si>
  <si>
    <t>BUENAVISTA CENTRAL SCHOOL</t>
  </si>
  <si>
    <t>DEPARTMENT OF PUBLIC WORKS AND HIGHWAYS - ILOILO 3RD DEO</t>
  </si>
  <si>
    <t>NATIONAL ECONOMIC AND DEVELOPMENT AUTHORITY - REGION VI</t>
  </si>
  <si>
    <t>DEPARTMENT OF PUBLIC WORKS AND HIGHWAYS - QUEZON 1ST ED</t>
  </si>
  <si>
    <t>MUNICIPALITY OF LILOAN, SOUTHERN LEYTE</t>
  </si>
  <si>
    <t>BARANGAY POBLACION NORTE - PANIQUI TARLAC</t>
  </si>
  <si>
    <t>CAVITE STATE UNIVERSITY - ROSARIO CAMPUS</t>
  </si>
  <si>
    <t>PROVINCE OF SAMAR</t>
  </si>
  <si>
    <t>HIMAMAYLAN NATIONAL HIGH SCHOOL(JUNIOR HIGH SCHOOL)-HIMAMAYL</t>
  </si>
  <si>
    <t>BARANGAY SAN PEDRO, NAUJAN, ORIENTAL MINDORO</t>
  </si>
  <si>
    <t>OFFICE OF CIVIL DEFENSE - REGION III</t>
  </si>
  <si>
    <t>MUNICIPALITY OF MAGALLANES, AGUSAN DEL NORTE</t>
  </si>
  <si>
    <t>MUNICIPALITY OF SEVILLA, BOHOL</t>
  </si>
  <si>
    <t>BUREAU OF FIRE PROTECTION - REGION V</t>
  </si>
  <si>
    <t>WAO DISTRICT HOSPITAL</t>
  </si>
  <si>
    <t>BARANGAY AWANG - OPOL MISAMIS ORIENTAL</t>
  </si>
  <si>
    <t>DEPARTMENT OF PUBLIC WORKS AND HIGHWAYS - CAMIGUIN DEO</t>
  </si>
  <si>
    <t>BUREAU OF PLANT INDUSTRY - REGION X</t>
  </si>
  <si>
    <t>BARANGAY CANDAPING A. MARIA SIQ.</t>
  </si>
  <si>
    <t>BARANGAY SAN VICENTE, UBAY, BOHOL</t>
  </si>
  <si>
    <t>SOCIAL SECURITY SYSTEM - LUZON CENTRAL 2</t>
  </si>
  <si>
    <t>BARANGAY LUGSONGAN, LIMASAWA, SOUTHERN LEYTE</t>
  </si>
  <si>
    <t>MUNICIPALITY OF CALAYAN, CAGAYAN</t>
  </si>
  <si>
    <t>MUNICIPALITY OF LUPI, CAMARINES SUR</t>
  </si>
  <si>
    <t>DEPARTMENT OF PUBLIC WORKS AND HIGHWAYS - BATANGAS 1ST DISTR</t>
  </si>
  <si>
    <t>TAGUM WATER DISTRICT</t>
  </si>
  <si>
    <t>BUREAU OF AGRICULTURAL RESEARCH</t>
  </si>
  <si>
    <t>CITY OF BIÑAN, LAGUNA</t>
  </si>
  <si>
    <t>CITY OF SAN FERNANDO, PAMPANGA</t>
  </si>
  <si>
    <t>MUNICIPALITY OF DOÑA REMEDIOS TRINIDAD, BULACAN</t>
  </si>
  <si>
    <t>PHILIPPINE AMUSEMENT AND GAMING CORPORATION-BACOLOD</t>
  </si>
  <si>
    <t>MUNICIPALITY OF PIO DURAN, ALBAY</t>
  </si>
  <si>
    <t>BARANGAY SABANG - PINAMALAYAN, ORIENTAL MINDORO</t>
  </si>
  <si>
    <t>DEPARTMENT OF THE INTERIOR AND LOCAL GOVERNMENT - CAR</t>
  </si>
  <si>
    <t>KADINGILAN CENTRAL ELEMENTARY SCHOOL</t>
  </si>
  <si>
    <t>BARANGAY SOUTH POBLACION, LA LIBERTAD, NEGROS ORIENTAL</t>
  </si>
  <si>
    <t>MUNICIPALITY OF SAN FRANCISCO, QUEZON</t>
  </si>
  <si>
    <t>BARANGAY SALVACION, BAAO, CAMARINES SUR</t>
  </si>
  <si>
    <t>SAN RAFAEL BBH ELEMENTARY SCHOOL</t>
  </si>
  <si>
    <t>MUNICIPALITY OF BOCAUE, BULACAN</t>
  </si>
  <si>
    <t>KALASUNGAY CENTRAL SCHOOL - MALAYBALAY CITY BUKIDNON</t>
  </si>
  <si>
    <t>DEPARTMENT OF PUBLIC WORKS AND HIGHWAYS - BOHOL 2ND DEO</t>
  </si>
  <si>
    <t>BARANGAY CANDA - IBABA, LOPEZ, QUEZON</t>
  </si>
  <si>
    <t>BARANGAY GUINHAWA - TAYSAN, BATANGAS</t>
  </si>
  <si>
    <t>DEPARTMENT OF TRADE AND INDUSTRY - REGION III  PAMPANGA</t>
  </si>
  <si>
    <t>UNIVERSITY OF THE PHILIPPINES - VISAYAS</t>
  </si>
  <si>
    <t>MUNICIPALITY OF MAJAYJAY, LAGUNA</t>
  </si>
  <si>
    <t>BARANGAY VILLA MARINA, SAN JOSE CITY, NUEVA ECIJA</t>
  </si>
  <si>
    <t>BARANGAY SUSO, STA. MARIA, ILOCOS SUR</t>
  </si>
  <si>
    <t>SAN RAFAEL NATIONAL HIGH SCHOOL</t>
  </si>
  <si>
    <t>MUNICIPALITY OF PIDDIG, PIDDIG, ILOCOS NORTE</t>
  </si>
  <si>
    <t>TARLAC COLLEGE OF AGRICULTURE</t>
  </si>
  <si>
    <t>PAITAN ELEMENTARY SCHOOL, PAITAN, QUEZON, BUKIDNON</t>
  </si>
  <si>
    <t>BARANGAY STO. NINO, TAYSAN, BATANGAS</t>
  </si>
  <si>
    <t>BARANGAY MC ARTHUR, LAPAZ, ILOILO CITY</t>
  </si>
  <si>
    <t>MUNICIPALITY OF SOGOD, CEBU</t>
  </si>
  <si>
    <t>NATIONAL POWER CORPORATION SPUG - MINDANAO(EMOD)</t>
  </si>
  <si>
    <t>MUNICIPALITY OF LORETO - DINAGAT ISLANDS</t>
  </si>
  <si>
    <t>VIRGINIA RAMIREZ-CRUZ HIGH SCHOOL</t>
  </si>
  <si>
    <t>BARANGAY TALUMPOK SILANGAN, BATANGAS CITY</t>
  </si>
  <si>
    <t>GUMAOK ELEMENTARY SCHOOL</t>
  </si>
  <si>
    <t>NATIONAL IRRIGATION ADMINISTRATION - ILOCOS NORTE IRRIGATION</t>
  </si>
  <si>
    <t>BARANGAY DIVINAGRACIA, ILOILO CITY</t>
  </si>
  <si>
    <t>BARANGAY SOUTH FUNDIDOR MOLO, ILOILO CITY</t>
  </si>
  <si>
    <t>PANAYABAN TE SIMSIMEN</t>
  </si>
  <si>
    <t>BATAAN PENINSULA STATE UNIVERSITY</t>
  </si>
  <si>
    <t>CITY OF MALABON</t>
  </si>
  <si>
    <t>MUNICIPALITY OF TAFT, EASTERN SAMAR</t>
  </si>
  <si>
    <t>DEPARTMENT OF ENVIRONMENT AND NATURAL RESOURCES - REGION XI</t>
  </si>
  <si>
    <t>CITY OF VALENCIA, BUKIDNON</t>
  </si>
  <si>
    <t>DEPARTMENT OF PUBLIC WORKS AND HIGHWAYS - PANGASINAN 3RD DEO</t>
  </si>
  <si>
    <t>BARANGAY CAMBACOL, DIMIAO, BOHOL</t>
  </si>
  <si>
    <t>BARANGAY BUTONG, QUEZON, BUKIDNON</t>
  </si>
  <si>
    <t>DEPARTMENT OF PUBLIC WORKS AND HIGHWAYS - DINAGAT ISLANDS DI</t>
  </si>
  <si>
    <t>DON M. GONZALVO MEMORIAL HIGH SCHOOL</t>
  </si>
  <si>
    <t>BARANGAY BAGONG SIKAT, SAN JOSE CITY, NUEVA ECIJA</t>
  </si>
  <si>
    <t>MACASANDIG NATIONAL HIGH SCHOOL- CAGAYAN DE ORO CITY</t>
  </si>
  <si>
    <t>CITY GOVERNMENT OF BACOOR</t>
  </si>
  <si>
    <t>MUNICIPALITY OF PINAMALAYAN, ORIENTAL MINDORO</t>
  </si>
  <si>
    <t>FRANCISCO P. FELIX MEMORIAL NATIONAL HIGH SCHOOL - (JICA EXT</t>
  </si>
  <si>
    <t>DEPARTMENT OF EDUCATION - MIMAROPA REGION</t>
  </si>
  <si>
    <t>BARANGAY TANGLAD, SIBUNAG, GUIMARAS</t>
  </si>
  <si>
    <t>ISABELA REHABILITATION CENTER</t>
  </si>
  <si>
    <t>DEPARTMENT OF PUBLIC WORKS AND HIGHWAYS - MINDORO ORIENTAL D</t>
  </si>
  <si>
    <t>CITY OF BAYUGAN, AGUSAN DEL SUR</t>
  </si>
  <si>
    <t>TALUGTUG WATER DISTRICT</t>
  </si>
  <si>
    <t>LIGA NG MGA BARANGAY, BANSALAN, DAVAO DEL SUR</t>
  </si>
  <si>
    <t>MUNICIPALITY OF MOALBOAL, CEBU</t>
  </si>
  <si>
    <t>DEPARTMENT OF BUDGET AND MANAGEMENT - REGIONAL OFFICE V</t>
  </si>
  <si>
    <t>BACBACON ELEMENTARY SCHOOL</t>
  </si>
  <si>
    <t>BARANGAY ROSARIO - BALINGASAG, MISAMIS ORIENTAL</t>
  </si>
  <si>
    <t>PHIL COUNCIL FOR IND., ENERGY AND EMERGING TECH. RES.&amp; DEV.</t>
  </si>
  <si>
    <t>MUNICIPALITY OF PONTEVEDRA, NEGROS OCCIDENTAL</t>
  </si>
  <si>
    <t>MUNICIPALITY OF LIMASAWA, SOUTHERN LEYTE</t>
  </si>
  <si>
    <t>PROVINCE OF CAVITE</t>
  </si>
  <si>
    <t>BARANGAY NANYO PANABO CITY DAVAO DEL NORTE</t>
  </si>
  <si>
    <t>UNIVERSITY OF SCIENCE &amp; TECH. OF SOUTHERN PHIL.-CLAVERIA</t>
  </si>
  <si>
    <t>BARANGAY  BAGUINGE - KIANGAN IFUGAO</t>
  </si>
  <si>
    <t>DEPARTMENT OF PUBLIC WORKS AND HIGHWAYS - PAMPANGA 3RD DEO</t>
  </si>
  <si>
    <t>SOUTHERN ISABELA MEDICAL CENTER</t>
  </si>
  <si>
    <t>MUNICIPALITY OF GONZAGA, CAGAYAN</t>
  </si>
  <si>
    <t>DEPARTMENT OF PUBLIC WORKS AND HIGHWAYS - LAGUNA III DISTRIC</t>
  </si>
  <si>
    <t>MUNICIPALITY OF CONSOLACION, CEBU</t>
  </si>
  <si>
    <t>MINES AND GEOSCIENCES BUREAU - REGION I</t>
  </si>
  <si>
    <t>MUNICIPALITY OF KALAYAAN, LAGUNA</t>
  </si>
  <si>
    <t>BUREAU OF FIRE PROTECTION - REGION IV-A (CALABARZON)</t>
  </si>
  <si>
    <t>NATIONAL IRRIGATION ADMINISTRATION - KALINGA IRRIGATION MANA</t>
  </si>
  <si>
    <t>PROVINCIAL GOVERNMENT OF CAMARINES SUR</t>
  </si>
  <si>
    <t>BARANGAY LILIBANGAN, CONCEPCION, TARLAC</t>
  </si>
  <si>
    <t>MUNICIPALITY OF ALUBIJID, MISAMIS ORIENTAL</t>
  </si>
  <si>
    <t>MUNICIPALITY OF AMBAGUIO, NUEVA VIZCAYA</t>
  </si>
  <si>
    <t>MUNICIPALITY OF GUIUAN, EASTERN SAMAR</t>
  </si>
  <si>
    <t>MUNICIPALITY OF CALAMBA, MISAMIS OCCIDENTAL</t>
  </si>
  <si>
    <t>BARANGAY POBLACION, PANGANTUCAN, BUKIDNON</t>
  </si>
  <si>
    <t>BARANGAY 31, TALINGAAN, LAOAG CITY</t>
  </si>
  <si>
    <t>DEPARTMENT OF PUBLIC WORKS AND HIGHWAYS - REGION IX</t>
  </si>
  <si>
    <t>SK OF BARANGAY LUMBIA - ESTANCIA ILOILO</t>
  </si>
  <si>
    <t>BARANGAY STO. DOMINGO, CAINTA, RIZAL</t>
  </si>
  <si>
    <t>BARANGAY VII-E, SAN PABLO CITY</t>
  </si>
  <si>
    <t>BARANGAY BAHAY, PASACAO, CAMARINES SUR</t>
  </si>
  <si>
    <t>MUNICIPALITY OF PANTUKAN, COMPOSTELA VALLEY</t>
  </si>
  <si>
    <t>SAN NICOLAS WATER DISTRICT - ILOCOS NORTE</t>
  </si>
  <si>
    <t>PROVINCE OF GUIMARAS</t>
  </si>
  <si>
    <t>PILI WATER DISTRICT</t>
  </si>
  <si>
    <t>DEPARTMENT OF PUBLIC WORKS AND HIGHWAYS - SAMAR 2ND DEO</t>
  </si>
  <si>
    <t>MUNICIPALITY OF SAN ISIDRO, BOHOL</t>
  </si>
  <si>
    <t>MUNICIPALITY OF HINATUAN , SURIGAO DEL SUR</t>
  </si>
  <si>
    <t>DEPARTMENT OF PUBLIC WORKS AND HIGHWAYS - NORTH COTABATO 1ST</t>
  </si>
  <si>
    <t>MUNICIPALITY OF LORETO, AGUSAN DEL SUR</t>
  </si>
  <si>
    <t>CITY OF MAKATI</t>
  </si>
  <si>
    <t>SOGOD WATER DISTRICT</t>
  </si>
  <si>
    <t>BARANGAY SAN AGUSTIN II, BACARRA, ILOCOS NORTE</t>
  </si>
  <si>
    <t>METRO BANGUED WATER DISTRICT</t>
  </si>
  <si>
    <t>PHILIPPINE PORTS AUTHORITY - HEAD OFFICE</t>
  </si>
  <si>
    <t>DEPARTMENT OF PUBLIC WORKS AND HIGHWAYS - SORSOGON 1ST DEO</t>
  </si>
  <si>
    <t>MUNICIPALITY OF PANUKULAN, QUEZON</t>
  </si>
  <si>
    <t>CITY OF IRIGA</t>
  </si>
  <si>
    <t>DEPARTMENT OF AGRARIAN REFORM - REGION II</t>
  </si>
  <si>
    <t>MUNICIPALITY OF MERCEDES, CAMARINES NORTE</t>
  </si>
  <si>
    <t>STA. JOSEFA NATIONAL HIGH SCHOOL - STA. JOSEFA AGUSAN DEL SU</t>
  </si>
  <si>
    <t>DEPARTMENT OF AGRARIAN REFORM - AURORA</t>
  </si>
  <si>
    <t>HOME DEVELOPMENT MUTUAL FUND - REGION X</t>
  </si>
  <si>
    <t>CITY OF MAASIN, SOUTHERN LEYTE</t>
  </si>
  <si>
    <t>BARANGAY POBLACION - NABUNTURAN, COMPOSTELA VALLEY</t>
  </si>
  <si>
    <t>MUNICIPALITY OF STA. CATALINA, NEGROS ORIENTAL</t>
  </si>
  <si>
    <t>BARANGAY SAN ISIDRO, CONCEPCION, TARLAC</t>
  </si>
  <si>
    <t>NATIONAL FOOD AUTHORITY - PILI CAMARINES SUR</t>
  </si>
  <si>
    <t>DOMINGO LACSON NATIONAL HIGH SCHOOL</t>
  </si>
  <si>
    <t>SUMILAO NATIONAL HIGH SCHOOL</t>
  </si>
  <si>
    <t>MUNICIPALITY OF SANTA IGNACIA, TARLAC</t>
  </si>
  <si>
    <t>CALABANGA NATIONAL HIGH SCHOOL</t>
  </si>
  <si>
    <t>BARANGAY LAS ARENAS - PANTUKAN COMPOSTELA VALLEY</t>
  </si>
  <si>
    <t>NATIONAL IRRIGATION ADMINISTRATION - REGIONAL OFFICE NO. 2</t>
  </si>
  <si>
    <t>BARANGAY POOK, AGONCILLO, BATANGAS</t>
  </si>
  <si>
    <t>MUNICIPALITY OF CALUBIAN, LEYTE</t>
  </si>
  <si>
    <t>PHILIPPINE CARABAO CENTER AT CENTRAL MINDANAO UNIVERSITY</t>
  </si>
  <si>
    <t>MUNICIPALITY OF JUBAN, SORSOGON</t>
  </si>
  <si>
    <t>DEPARTMENT OF EDUCATION - DIVISION OF BULACAN</t>
  </si>
  <si>
    <t>PHILIPPINE CROP INSURANCE CORPORATION - REGION IV</t>
  </si>
  <si>
    <t>DEPARTMENT OF PUBLIC WORKS AND HIGHWAYS - ALBAY 2ND DEO</t>
  </si>
  <si>
    <t>BUENAVISTA WATER DISTRICT</t>
  </si>
  <si>
    <t>DEPARTMENT OF PUBLIC WORKS AND HIGHWAYS - AGUSAN DEL NORTE D</t>
  </si>
  <si>
    <t>DEPARTMENT OF ENVIRONMENT AND NATURAL RES. - PENRO, N. VIZCA</t>
  </si>
  <si>
    <t>MUNICIPALITY OF ALIAGA, NUEVA ECIJA</t>
  </si>
  <si>
    <t>MUNICIPALITY OF ALILEM, ILOCOS SUR</t>
  </si>
  <si>
    <t>PHILIPPINE NORMAL UNIVERSITY</t>
  </si>
  <si>
    <t>PHILIPPINE COMPETITION COMMISSION</t>
  </si>
  <si>
    <t>INDANG WATER DISTRICT</t>
  </si>
  <si>
    <t>MUNICIPALITY OF PADRE GARCIA, BATANGAS</t>
  </si>
  <si>
    <t>MUNICIPALITY OF CONNER, APAYAO</t>
  </si>
  <si>
    <t>MUNICIPALITY OF CARMEN, DAVAO DEL NORTE</t>
  </si>
  <si>
    <t>MUNICIPALITY OF STO. DOMINGO, ALBAY</t>
  </si>
  <si>
    <t>NATIONAL ECONOMIC AND DEVELOPMENT AUTHORITY - REGION I</t>
  </si>
  <si>
    <t>BARANGAY MABILOG, CONCEPCION, TARLAC</t>
  </si>
  <si>
    <t>BARANGAY SASA, DAVAO CITY</t>
  </si>
  <si>
    <t>DEPARTMENT OF PUBLIC WORKS AND HIGHWAYS - CAGAYAN DE ORO CIT</t>
  </si>
  <si>
    <t>MUNICIPALITY OF NABAS, AKLAN</t>
  </si>
  <si>
    <t>LAGUNA STATE POLYTECHNIC UNIVERSITY - LOS BAÑOS CAMPUS</t>
  </si>
  <si>
    <t>CITY OF LIGAO, ALBAY</t>
  </si>
  <si>
    <t>DEPARTMENT OF SCIENCE AND TECHNOLOGY - REGION IV-B</t>
  </si>
  <si>
    <t>BARANGAY A. BONIFACIO SUR, LLANERA, NUEVA ECIJA</t>
  </si>
  <si>
    <t>DINALUPIHAN WATER DISTRICT</t>
  </si>
  <si>
    <t>DEPARTMENT OF PUBLIC WORKS AND HIGHWAYS - LA UNION 2ND ED</t>
  </si>
  <si>
    <t>BARANGAY SAN PEDRO, MOLO, ILOILO CITY</t>
  </si>
  <si>
    <t>MUNICIPALITY OF JAVIER, LEYTE</t>
  </si>
  <si>
    <t>DEPARTMENT OF EDUCATION - DIVISION OF SIQUIJOR</t>
  </si>
  <si>
    <t>BARANGAY POTONG DEL NORTE - LAPINIG NORTHERN SAMAR</t>
  </si>
  <si>
    <t>BARANGAY 3, MALAYBALAY CITY, BUKIDNON</t>
  </si>
  <si>
    <t>BARANGAY BARBARANGAY BANNA ILOCOS NORTE</t>
  </si>
  <si>
    <t>DEPARTMENT OF LABOR AND EMPLOYMENT - REGION VIII</t>
  </si>
  <si>
    <t>BUREAU OF FISHERIES AND AQUATIC RESOURCES - CAR</t>
  </si>
  <si>
    <t>MUNICIPALITY OF ROSARIO, CAVITE</t>
  </si>
  <si>
    <t>MUNICIPALITY OF CALUMPIT, BULACAN</t>
  </si>
  <si>
    <t>DEPARTMENT OF TOURISM - REGION III</t>
  </si>
  <si>
    <t>BARANGAY MANILA, RAPU-RAPU, ALBAY</t>
  </si>
  <si>
    <t>ADVANCED SCIENCE AND TECHNOLOGY INSTITUTE</t>
  </si>
  <si>
    <t>MUNICIPALITY OF IVISAN, CAPIZ</t>
  </si>
  <si>
    <t>MUNICIPALITY OF SAN MIGUEL, SURIGAO DEL SUR</t>
  </si>
  <si>
    <t>BARANGAY SAN ISIDRO - BOBON NORTHERN SAMAR</t>
  </si>
  <si>
    <t>MUNICIPALITY OF CAMALIG, ALBAY</t>
  </si>
  <si>
    <t>DEPARTMENT OF PUBLIC WORKS AND HIGHWAYS - REGION III</t>
  </si>
  <si>
    <t>MUNICIPALITY OF CAGWAIT, SURIGAO DEL SUR</t>
  </si>
  <si>
    <t>MUNICIPALITY OF SAINT BERNARD, SOUTHERN LEYTE</t>
  </si>
  <si>
    <t>DEPARTMENT OF THE INTERIOR AND LOCAL GOVERNMENT - MAIN</t>
  </si>
  <si>
    <t>PROFESSIONAL REGULATION COMMISSION - REGION XI</t>
  </si>
  <si>
    <t>UNIVERSITY OF THE PHILIPPINES - OPEN UNIVERSITY</t>
  </si>
  <si>
    <t>DEPARTMENT OF SCIENCE AND TECHNOLOGY - REGION XI</t>
  </si>
  <si>
    <t>JERUSALEM NATIONAL HIGH SCHOOL - CADIZ CITY NEGROS OCCIDENTA</t>
  </si>
  <si>
    <t>DEPARTMENT OF PUBLIC WORKS AND HIGHWAYS - QUEZON 3RD ED</t>
  </si>
  <si>
    <t>MUNICIPALITY OF HERMOSA, BATAAN</t>
  </si>
  <si>
    <t>OFFICE OF THE PRESIDENTIAL ADVISER ON THE PEACE PROCESS</t>
  </si>
  <si>
    <t>BARANGAY PULONG ANAHAO, MABINI, BATANGAS</t>
  </si>
  <si>
    <t>BARANGAY OLD MAHAYAG, CATBALOGAN, SAMAR</t>
  </si>
  <si>
    <t>NATIONAL TELECOMMUNICATIONS COMMISSION</t>
  </si>
  <si>
    <t>DEPARTMENT OF PUBLIC WORKS AND HIGHWAYS - ILOCOS SUR 2ND DEO</t>
  </si>
  <si>
    <t>BARANGAY PAGCOLBON, RAPU-RAPU, ALBAY</t>
  </si>
  <si>
    <t>WAWANG PULO NATIONAL HIGH SCHOOL - VALENZUELA CITY</t>
  </si>
  <si>
    <t>NATIONAL POWER CORPORATION - SPUG LUZON</t>
  </si>
  <si>
    <t>MUNICIPALITY OF BINANGONAN, RIZAL</t>
  </si>
  <si>
    <t>LOCAL GOVERNMENT UNIT OF OTON, ILOILO</t>
  </si>
  <si>
    <t>PHILIPPINE HEALTH INSURANCE CORPORATION - REGION VI</t>
  </si>
  <si>
    <t>BARANGAY SAN MIGUEL, OAS, ALBAY</t>
  </si>
  <si>
    <t>MUNICIPALITY OF VILLAVICIOSA, ABRA</t>
  </si>
  <si>
    <t>DEPARTMENT OF PUBLIC WORKS AND HIGHWAYS - DAVAO OCCIDENTAL D</t>
  </si>
  <si>
    <t>DEPARTMENT OF EDUCATION DIVISION OF DAVAO OCCIDENTAL</t>
  </si>
  <si>
    <t>NATIONAL FOOD AUTHORITY - REGION VIII</t>
  </si>
  <si>
    <t>BARANGAY SERRANO, DULAG, LEYTE</t>
  </si>
  <si>
    <t>BARANGAY POTOT, LIBMANAN, CAMARINES SUR</t>
  </si>
  <si>
    <t>BUREAU OF FISHERIES AND AQUATIC RESOURCES REGION 1</t>
  </si>
  <si>
    <t>BARANGAY UMALO, LIBMANAN, CAMARINES SUR</t>
  </si>
  <si>
    <t>STA. QUITERIA ELEMENTARY SCHOOL</t>
  </si>
  <si>
    <t>BARANGAY DOLORES, SAN PABLO CITY, LAGUNA</t>
  </si>
  <si>
    <t>BARANGAY BOLILAO, MANDURRIAO, ILOILO CITY</t>
  </si>
  <si>
    <t>DEPARTMENT OF PUBLIC WORKS AND HIGHWAYS - QUEZON 4TH ED</t>
  </si>
  <si>
    <t>DEPARTMENT OF TRANSPORTATION (DOTR) MAIN</t>
  </si>
  <si>
    <t>DEPARTMENT OF PUBLIC WORKS AND HIGHWAYS - LEYTE 1ST ED</t>
  </si>
  <si>
    <t>BUSCO ELEMENTARY SCHOOL</t>
  </si>
  <si>
    <t>DEPARTMENT OF PUBLIC WORKS AND HIGHWAYS - MISAMIS ORIENTAL 1</t>
  </si>
  <si>
    <t>BARANGAY BAGTING, GABALDON, NUEVA ECIJA</t>
  </si>
  <si>
    <t>DEPARTMENT OF EDUCATION - DIVISION OF MARIKINA CITY</t>
  </si>
  <si>
    <t>TALAVERA GENERAL HOSPITAL</t>
  </si>
  <si>
    <t>CITY  OF ESCALANTE, NEGROS OCCIDENTAL</t>
  </si>
  <si>
    <t>MINES AND GEO-SCIENCES BUREAU</t>
  </si>
  <si>
    <t>MUNICIPALITY OF SAN LORENZO, GUIMARAS</t>
  </si>
  <si>
    <t xml:space="preserve">DEPARTMENT OF PUBLIC WORKS AND HIGHWAYS - CAMARINES SUR 5TH </t>
  </si>
  <si>
    <t>STA. JUSTINA NATIONAL HIGH SCHOOL - BUHI CAMARINES SUR</t>
  </si>
  <si>
    <t>BARANGAY MILAGROSA, QUEZON CITY</t>
  </si>
  <si>
    <t>OLD POBLACION NATIONAL HIGH SCHOOL</t>
  </si>
  <si>
    <t>BARANGAY SIBAGO, PINAMUNGAJAN, CEBU</t>
  </si>
  <si>
    <t>DEPARTMENT OF EDUCATION - DIVISION OF LAOAG CITY</t>
  </si>
  <si>
    <t>TIGLAWIGAN NATIONAL HIGH SCHOOL</t>
  </si>
  <si>
    <t>BARANGAY SAN BLAS, PAOAY ILOCOS NORTE</t>
  </si>
  <si>
    <t>DEPARTMENT OF  EDUCATION - DIVISION OF MALOLOS CITY</t>
  </si>
  <si>
    <t>ADELINA 1 COMPLEX ELEMENTARY SCHOOL</t>
  </si>
  <si>
    <t>BARANGAY PUHAGAN, VALENCIA, NEGROS ORIENTAL</t>
  </si>
  <si>
    <t>MUNICIPALITY OF PROSPERIDAD, AGUSAN DEL SUR</t>
  </si>
  <si>
    <t>DEPARTMENT OF SOCIAL WELFARE AND DEVELOPMENT - REGION VI</t>
  </si>
  <si>
    <t>NATIONAL HOME MORTGAGE FINANCE CORPORATION</t>
  </si>
  <si>
    <t>BARANGAY STA. MONICA, AGOO, LA UNION</t>
  </si>
  <si>
    <t>LAS PIÑAS GENERAL HOSPITAL AND SATELLITE TRAUMA CENTER</t>
  </si>
  <si>
    <t>EL NIDO NATIONAL HIGH SCHOOL - PALAWAN</t>
  </si>
  <si>
    <t>DEPARTMENT OF NATIONAL DEFENSE - PROCUREMENT UNIT</t>
  </si>
  <si>
    <t>BARANGAY CROSSING DAPUYAN SAN JOAQUIN ILOILO</t>
  </si>
  <si>
    <t>BARANGAY PINILI, SAN JOSE CITY, NUEVA ECIJA</t>
  </si>
  <si>
    <t>MUNICIPALITY OF MANOLO FORTICH, BUKIDNON</t>
  </si>
  <si>
    <t>MUNICIPALITY OF LUBAO, PAMPANGA</t>
  </si>
  <si>
    <t>BARANGAY CROSSING BAYABAS, DAVAO CITY</t>
  </si>
  <si>
    <t>BAESA HIGH SCHOOL</t>
  </si>
  <si>
    <t>BARANGAY PANUBIGAN - CANLAON CITY NEGROS ORIENTAL</t>
  </si>
  <si>
    <t>NAPICO ELEMENTARY SCHOOL</t>
  </si>
  <si>
    <t>MUNTINLUPA NATIONAL HIGH SCHOOL - TUNASAN ANNEX</t>
  </si>
  <si>
    <t>CITY GOVERNMENT OF NAVOTAS</t>
  </si>
  <si>
    <t>PRESIDENTIAL COMMUNICATIONS OPERATIONS OFFICE</t>
  </si>
  <si>
    <t>DEPARTMENT OF  EDUCATION - DIVISION OF OLONGAPO CITY</t>
  </si>
  <si>
    <t>MUNICIPALITY OF BURAUEN, LEYTE</t>
  </si>
  <si>
    <t>CAGAYAN DE ORO CITY WATER DISTRICT</t>
  </si>
  <si>
    <t>CITY OF ILOILO</t>
  </si>
  <si>
    <t>BARANGAY SAN PEDRO, MADDELA, QUIRINO</t>
  </si>
  <si>
    <t>BARANGAY ALBALATE, CATBALOGAN, SAMAR</t>
  </si>
  <si>
    <t>DEPARTMENT OF PUBLIC WORKS AND HIGHWAYS - SORSOGON 2ND DEO</t>
  </si>
  <si>
    <t>BARANGAY DIVISORIA SUR, MADDELA, QUIRINO</t>
  </si>
  <si>
    <t>BARANGAY VILLA REYES, SAN NARCISO, QUEZON</t>
  </si>
  <si>
    <t>TERESA WATER DISTRICT</t>
  </si>
  <si>
    <t>BARANGAY SAN VICENTE - PAMPLONA CAMARINES SUR</t>
  </si>
  <si>
    <t>MUNICIPALITY OF SAN JOSE, BATANGAS</t>
  </si>
  <si>
    <t>BARANGAY SAN SALVADOR, MADDELA, QUIRINO</t>
  </si>
  <si>
    <t>DOH-REGIONAL OFFICE IV-A</t>
  </si>
  <si>
    <t>MUNICIPALITY OF SIAY, ZAMBOANGA SIBUGAY</t>
  </si>
  <si>
    <t>DEPARTMENT OF PUBLIC WORKS AND HIGHWAYS SARANGANI DISTRICT E</t>
  </si>
  <si>
    <t>BARANGAY POBLACION NORTE, MADDELA, QUIRINO</t>
  </si>
  <si>
    <t>BARANGAY TIGBINAN, LABO, CAMARINES NORTE</t>
  </si>
  <si>
    <t>DEPARTMENT OF SCIENCE AND TECHNOLOGY - REGION - VIII</t>
  </si>
  <si>
    <t>BARANGAY VILLA SUR, MADDELA, QUIRINO</t>
  </si>
  <si>
    <t>CITY OF ORMOC, LEYTE</t>
  </si>
  <si>
    <t>MUNICIPALITY OF INFANTA, QUEZON</t>
  </si>
  <si>
    <t>MUNICIPALITY OF UNISAN, QUEZON</t>
  </si>
  <si>
    <t>KAPATAGAN WATER DISTRICT</t>
  </si>
  <si>
    <t>MUNICIPALITY OF UPI, MAGUINDANAO</t>
  </si>
  <si>
    <t>BARANGAY KAUNLARAN - QUEZON CITY</t>
  </si>
  <si>
    <t>CITY OF DAGUPAN  - PANGASINAN</t>
  </si>
  <si>
    <t>BUREAU OF INTERNAL REVENUE - REVENUE REGION NO.18</t>
  </si>
  <si>
    <t>MUNICIPALITY OF MABINAY, NEGROS ORIENTAL</t>
  </si>
  <si>
    <t>BARANGAY BUAYAHON, SANTA BARBARA, ILOILO</t>
  </si>
  <si>
    <t>DEPARTMENT OF PUBLIC WORKS AND HIGHWAYS - BAGUIO CITY DEO</t>
  </si>
  <si>
    <t>BARANGAY TULO, BATANGAS CITY, BATANGAS</t>
  </si>
  <si>
    <t>BARANGAY SIBUT, SAN JOSE CITY, NUEVA ECIJA</t>
  </si>
  <si>
    <t>MUNICIPALITY OF MAUBAN, QUEZON</t>
  </si>
  <si>
    <t>ODIONGAN WATER DISTRICT</t>
  </si>
  <si>
    <t>PROVINCE OF BATANGAS</t>
  </si>
  <si>
    <t>PAMANTASAN NG LUNGSOD NG MAYNILA</t>
  </si>
  <si>
    <t>BARANGAY MANGGA, SIPOCOT, CAMARINES SUR</t>
  </si>
  <si>
    <t>MUNICIPALITY OF SAN ROQUE - NORTHERN SAMAR</t>
  </si>
  <si>
    <t>DEPARTMENT OF PUBLIC WORKS AND HIGHWAYS - PALAWAN 2ND DEO</t>
  </si>
  <si>
    <t>BARANGAY KAPASIGAN, PASIG CITY</t>
  </si>
  <si>
    <t>MUNICIPALITY OF SAN NARCISO, QUEZON</t>
  </si>
  <si>
    <t>BARANGAY BOBON, LEON, ILOILO</t>
  </si>
  <si>
    <t>DON RICARDO JESENA SR. ELEMENTARY SCHOOL</t>
  </si>
  <si>
    <t>SENATOR RENATO COMPAÑERO CAYETANO MEMORIAL SCIENCE &amp; TECHNOL</t>
  </si>
  <si>
    <t>BARANGAY EXCIBAN, LABO, CAMARINES NORTE</t>
  </si>
  <si>
    <t>MUNICIPALITY OF LINGAYEN, PANGASINAN</t>
  </si>
  <si>
    <t>DEPARTMENT OF PUBLIC WORKS AND HIGHWAYS - MINDORO OCCIDENTAL</t>
  </si>
  <si>
    <t>MUNICIPALITY OF TUBIGON, BOHOL</t>
  </si>
  <si>
    <t>BARANGAY CENTRO WEST, BALLESTEROS, CAGAYAN</t>
  </si>
  <si>
    <t>MUNICIPALITY OF PINTUYAN, SOUTHERN LEYTE</t>
  </si>
  <si>
    <t>BARANGAY WASIG, MANSALAY, ORIENTAL MINDORO</t>
  </si>
  <si>
    <t>DEPARTMENT OF AGRARIAN REFORM - APAYAO</t>
  </si>
  <si>
    <t>MUNICIPALITY OF CABATUAN, ILOILO</t>
  </si>
  <si>
    <t>MUNICIPALITY OF ILOG, NEGROS OCCIDENTAL</t>
  </si>
  <si>
    <t>DEPARTMENT OF PUBLIC WORKS AND HIGHWAYS - METRO MANILA 3RD E</t>
  </si>
  <si>
    <t>BARANGAY LIBAS, CATBALOGAN, SAMAR</t>
  </si>
  <si>
    <t>MUNICIPALITY OF IGUIG, CAGAYAN</t>
  </si>
  <si>
    <t>BARANGAY BAGONG SIKAT, AGONCILLO, BATANGAS</t>
  </si>
  <si>
    <t>BARANGAY  BOKIAWAN - KIANGAN IFUGAO</t>
  </si>
  <si>
    <t>NATIONAL ECONOMIC AND DEVELOPMENT AUTHORITY - CAR</t>
  </si>
  <si>
    <t>NATIONAL MUSEUM - MANILA METRO MANILA</t>
  </si>
  <si>
    <t>BARANGAY SAN RAFAEL LUISIANA, LAGUNA</t>
  </si>
  <si>
    <t>DEPARTMENT OF PUBLIC WORKS AND HIGHWAYS - NEG. OCC. 2ND DEO</t>
  </si>
  <si>
    <t>MUNICIPALITY OF TALAKAG, BUKIDNON</t>
  </si>
  <si>
    <t>MUNICIPALITY OF MAMBAJAO, CAMIGUIN</t>
  </si>
  <si>
    <t>BARANGAY MALINO, SAN FERNANDO CITY</t>
  </si>
  <si>
    <t>MUNICIPALITY OF SABTANG, BATANES</t>
  </si>
  <si>
    <t>MUNICIPALITY OF STA. MARCELA, APAYAO</t>
  </si>
  <si>
    <t>SULTAN KUDARAT WATER DISTRICT</t>
  </si>
  <si>
    <t>BARANGAY MAHAGSAY, SAN LUIS, AGUSAN DEL SUR</t>
  </si>
  <si>
    <t>MUNICIPALITY OF PADADA, DAVAO DEL SUR</t>
  </si>
  <si>
    <t>BARANGAY  AMBABAG - KIANGAN IFUGAO</t>
  </si>
  <si>
    <t>BARANGAY UPPER SALUG DAKU, MAHAYAG, ZAMBOANGA DEL SUR</t>
  </si>
  <si>
    <t>LINGATING INTEGRATED SCHOOL</t>
  </si>
  <si>
    <t>BARANGAY SUMPONG, MALAYBALAY CITY</t>
  </si>
  <si>
    <t>BARANGAY CATULAYAN - SAN JUAN SIQUIJOR</t>
  </si>
  <si>
    <t>BUREAU OF FISHERIES AND AQUATIC RESOURCES - REGION XI</t>
  </si>
  <si>
    <t>MUNICIPALITY OF SANTA CRUZ, LAGUNA</t>
  </si>
  <si>
    <t>DEPARTMENT OF PUBLIC WORKS AND HIGHWAYS - CEBU 4TH DEO</t>
  </si>
  <si>
    <t>BARANGAY ADIA, AGONCILLO, BATANGAS</t>
  </si>
  <si>
    <t>PHILIPPINE CARABAO CENTER - KABACAN COTABATO</t>
  </si>
  <si>
    <t>BARANGAY CONSUELO - STA. MARCELA APAYAO</t>
  </si>
  <si>
    <t>MUNICIPALITY OF LIBAGON, SOUTHERN LEYTE</t>
  </si>
  <si>
    <t>MUNICIPALITY OF MAINIT, SURIGAO DEL NORTE</t>
  </si>
  <si>
    <t>BARANGAY BINUGAO TORIL DISTRICT</t>
  </si>
  <si>
    <t>VICTORIA NATIONAL HIGH SCHOOL</t>
  </si>
  <si>
    <t>BARANGAY ROSITA, LIBJO, DINAGAT ISLANDS</t>
  </si>
  <si>
    <t>MUNICIPALITY OF BAAO, CAMARINES SUR</t>
  </si>
  <si>
    <t>MUNICIPALITY OF LABANGAN, ZAMBOANGA DEL SUR</t>
  </si>
  <si>
    <t>MUNICIPALITY OF TUDELA, MISAMIS OCCIDENTAL</t>
  </si>
  <si>
    <t>COMMISSION ON AUDIT - REGION XI</t>
  </si>
  <si>
    <t>CITY OF ZAMBOANGA, ZAMBOANGA DEL SUR</t>
  </si>
  <si>
    <t>MUNICIPALITY OF LIBON, ALBAY</t>
  </si>
  <si>
    <t>BARANGAY LIBSONG EAST, LINGAYEN, PANGASINAN</t>
  </si>
  <si>
    <t>BARANGAY POBLACION, BAYUGAN, AGUSAN DEL SUR</t>
  </si>
  <si>
    <t>CITY OF KORONADAL, SOUTH COTABATO</t>
  </si>
  <si>
    <t>METRO MIDSAYAP WATER DISTRICT</t>
  </si>
  <si>
    <t>BARANGAY CADAWINONAN DUMAGUETE CITY NEGROS ORIENTAL</t>
  </si>
  <si>
    <t>BARANGAY SUMAGUI, BANSUD, ORIENTAL MINDORO</t>
  </si>
  <si>
    <t>BARANGAY SAN MARCELINO, TAYSAN, BATANGAS</t>
  </si>
  <si>
    <t>BARANGAY LUYONG BONBON, OPOL, MISAMIS ORIENTAL</t>
  </si>
  <si>
    <t>MUNICIPALITY OF RAGAY, CAMARINES SUR</t>
  </si>
  <si>
    <t>MUNICIPALITY OF BINUANGAN , MISAMIS ORIENTAL</t>
  </si>
  <si>
    <t>AGRICULTURAL TRAINING INSTITUTE - REGION XII</t>
  </si>
  <si>
    <t>MUNICIPALITY OF LUNA, ISABELA</t>
  </si>
  <si>
    <t>DEPARTMENT OF PUBLIC WORKS AND HIGHWAYS - ILOCOS NORTE 2ND D</t>
  </si>
  <si>
    <t>MUNICIPALITY OF ALFONSO CASTAÑEDA, NUEVA VIZCAYA</t>
  </si>
  <si>
    <t>BARANGAY CARANHUG, JAVIER, LEYTE</t>
  </si>
  <si>
    <t>BARANGAY SALVACION, STA. ELENA, CAMARINES NORTE</t>
  </si>
  <si>
    <t>BARANGAY AGSALIN - GLORIA ORIENTAL MINDORO</t>
  </si>
  <si>
    <t>MUNICIPALITY OF ANAO, TARLAC</t>
  </si>
  <si>
    <t>MUNICIPALITY OF PRES. MANUEL A. ROXAS, ZAMBOANGA DEL NORTE</t>
  </si>
  <si>
    <t>BARANGAY GAKAT, LIBAGON, SOUTHERN LEYTE</t>
  </si>
  <si>
    <t>JOSE RIZAL MEMORIAL STATE UNIVERSITY - KATIPUNAN CAMPUS</t>
  </si>
  <si>
    <t>BARANGAY BASIAD, STA. ELENA, CAMARINES  NORTE</t>
  </si>
  <si>
    <t>DEPARTMENT OF PUBLIC WORKS AND HIGHWAYS - LANAO DEL NORTE 1S</t>
  </si>
  <si>
    <t>BARANGAY TUMOG, LUNA, APAYAO</t>
  </si>
  <si>
    <t>BARANGAY STO. NINO, STO. DOMINGO, ALBAY</t>
  </si>
  <si>
    <t>BARANGAY ISAGANI-MAASIN CITY SOUTHERN LEYTE</t>
  </si>
  <si>
    <t>BARANGAY PACPACO, SAN MANUEL, TARLAC</t>
  </si>
  <si>
    <t>MUNICIPALITY OF DINALUPIHAN, BATAAN</t>
  </si>
  <si>
    <t>BARANGAY 11-B, DAVAO CITY</t>
  </si>
  <si>
    <t>PARANG HIGH SCHOOL</t>
  </si>
  <si>
    <t>MUNICIPALITY OF BAMBANG, NUEVA VIZCAYA</t>
  </si>
  <si>
    <t>MUNICIPALITY OF JOSE PANGANIBAN, CAMARINES NORTE</t>
  </si>
  <si>
    <t>BARANGAY SAN ISIDRO, STO. DOMINGO, ALBAY</t>
  </si>
  <si>
    <t>BARANGAY BINALIAN - KAYAPA NUEVA VIZCAYA</t>
  </si>
  <si>
    <t>BARANGAY VILLA SOLIDARIDAD - BAYBAY CITY LEYTE</t>
  </si>
  <si>
    <t>MUNICIPALITY OF DIMIAO, BOHOL</t>
  </si>
  <si>
    <t>BARANGAY OF AYAO-IYAO, LEMERY, BATANGAS</t>
  </si>
  <si>
    <t>MUNICIPALITY OF ALORAN, MISAMIS OCCIDENTAL</t>
  </si>
  <si>
    <t>CITY OF PASIG</t>
  </si>
  <si>
    <t>BARANGAY MARIBULAN, ALABEL, SARANGANI</t>
  </si>
  <si>
    <t>MUNICIPALITY OF GALIMUYOD, ILOCOS SUR</t>
  </si>
  <si>
    <t>MUNICIPALITY OF SAN MARCELINO, ZAMBALES</t>
  </si>
  <si>
    <t>MUNICIPALITY OF TABINA, ZAMBOANGA DEL SUR</t>
  </si>
  <si>
    <t>DEPARTMENT OF BUDGET AND MANAGEMENT - NCR</t>
  </si>
  <si>
    <t>BARANGAY BULU-AN, CATBALOGAN CITY, SAMAR</t>
  </si>
  <si>
    <t>BARANGAY EL PARDO, BOLJOON, CEBU</t>
  </si>
  <si>
    <t>SAN ROQUE 2 ELEMENTARY SCHOOL - SAN JOSE OCCIDENTAL MINDORO</t>
  </si>
  <si>
    <t>BARANGAY MALINAO, TORRIJOS, MARINDUQUE</t>
  </si>
  <si>
    <t>NATIONAL IRRIGATION ADMINISTRATION - REGION III</t>
  </si>
  <si>
    <t>DEPARTMENT OF PUBLIC WORKS AND HIGHWAYS - MISAMIS OCCIDENTAL</t>
  </si>
  <si>
    <t>BARANGAY STO. ANGEL, SAN MIGUEL, ILOILO</t>
  </si>
  <si>
    <t>BANGKO SENTRAL NG PILIPINAS - CAGAYAN DE ORO CITY</t>
  </si>
  <si>
    <t>MUNICIPALITY OF BAMBAN, TARLAC</t>
  </si>
  <si>
    <t>CIVIL AVIATION AUTHORITY OF THE PHILIPPINES - SILAY AIRPORT</t>
  </si>
  <si>
    <t xml:space="preserve">BARANGAY E. LOPEZ NATIONAL HIGH SCHOOL (JUNIOR HIGH SCHOOL) </t>
  </si>
  <si>
    <t>MUNICIPALITY OF LAS NAVAS, NORTHERN SAMAR</t>
  </si>
  <si>
    <t>DEPARTMENT OF EDUCATION - DIVISION OF SIARGAO</t>
  </si>
  <si>
    <t>BARANGAY SAN ANTONIO, STO. TOMAS, BATANGAS</t>
  </si>
  <si>
    <t>PHILIPPINE SCIENCE HIGH SCHOOL - CALABARZON REGION CAMPUS</t>
  </si>
  <si>
    <t>BARANGAY KABULUAN, STA. ELENA, CAMARINES NORTE</t>
  </si>
  <si>
    <t>MUNICIPALITY OF TINAMBAC, CAMARINES SUR</t>
  </si>
  <si>
    <t>DEPARTMENT OF AGRARIAN REFORM - ILOCOS SUR</t>
  </si>
  <si>
    <t>EUSTAQIUO LOPEZ ELEMENTARY SCHOOL</t>
  </si>
  <si>
    <t>MUNICIPALITY OF MACARTHUR, LEYTE</t>
  </si>
  <si>
    <t>DIAN-AY ELEMENTARY SCHOOL</t>
  </si>
  <si>
    <t>MUNICIPALITY OF LAAK, DAVAO DE ORO</t>
  </si>
  <si>
    <t>BARANGAY 472 ZONE 47. DISTRICT IV</t>
  </si>
  <si>
    <t>BARANGAY SAN PEDRO, AGOO, LA UNION</t>
  </si>
  <si>
    <t>BARANGAY PICO LA TRINIDAD BENGUET</t>
  </si>
  <si>
    <t>MUNICIPALITY OF IGBARAS, ILOILO</t>
  </si>
  <si>
    <t>MUNICIPALITY OF PRIETO DIAZ, SORSOGON</t>
  </si>
  <si>
    <t>CENTRAL BOARD OF ASSESSMENT APPEALS</t>
  </si>
  <si>
    <t>DEPARTMENT OF SCIENCE AND TECHNOLOGY - REGION IX</t>
  </si>
  <si>
    <t>CAVITE STATE UNIVERSITY</t>
  </si>
  <si>
    <t>BARANGAY CARANDAY, BAAO, CAMARINES SUR</t>
  </si>
  <si>
    <t>BARANGAY VI-B, SAN PABLO, LAGUNA</t>
  </si>
  <si>
    <t>BARANGAY SABONG, BOAC, MARINDUQUE</t>
  </si>
  <si>
    <t>BARANGAY POBLACION - SAN JUAN SIQUIJOR</t>
  </si>
  <si>
    <t>BARANGAY LODLOD, LIPA CITY</t>
  </si>
  <si>
    <t>MUNICIPALITY OF WAO, LANAO DEL SUR</t>
  </si>
  <si>
    <t>BARANGAY SAPANG BAYAN - CALUMPIT, BULACAN</t>
  </si>
  <si>
    <t>PROVINCE OF PAMPANGA</t>
  </si>
  <si>
    <t>BARANGAY MASALONG, LABO, CAMARINES NORTE</t>
  </si>
  <si>
    <t>BARANGAY POBLACION, KADINGILAN, BUKIDNON</t>
  </si>
  <si>
    <t>NATIONAL IRRIGATION ADMINISTRATION - MARIIS, DIVISION II</t>
  </si>
  <si>
    <t>MUNICIPALITY OF ZAMBOANGUITA, NEGROS ORIENTAL</t>
  </si>
  <si>
    <t>NATIONAL IRRIGATION ADMINISTRATION - SARIS</t>
  </si>
  <si>
    <t>MARILOG CENTRAL ELEMENTARY SCHOOL - DAVAO CITY DAVAO DEL SUR</t>
  </si>
  <si>
    <t>DEPARTMENT OF THE INTERIOR AND LOCAL GOVERNMENT - BENGUET</t>
  </si>
  <si>
    <t>BARANGAY BALANAC, LIGAO CITY, ALBAY</t>
  </si>
  <si>
    <t>BARANGAY 8, LIPA CITY, BATANGAS</t>
  </si>
  <si>
    <t>BARANGAY OLD LABANGAN - LABANGAN ZAMBOANGA DEL SUR</t>
  </si>
  <si>
    <t>DEPARTMENT OF PUBLIC WORKS AND HIGHWAYS - NUEVA ECIJA 1ST DE</t>
  </si>
  <si>
    <t>MUNICIPALITY OF MAPANAS, NORTHERN SAMAR</t>
  </si>
  <si>
    <t>GHQ BAC1 SECRETARIAT, AFP PROCUREMENT SERVICE</t>
  </si>
  <si>
    <t>BARANGAY CASILAGAN, NAGUILIAN, LA UNION</t>
  </si>
  <si>
    <t>BARANGAY BULAWEN - PALAUIG, ZAMBALES</t>
  </si>
  <si>
    <t>BARANGAY SAN ISIDRO BUNAWAN, DAVAO CITY</t>
  </si>
  <si>
    <t>DEPARTMENT OF AGRARIAN REFORM - BUKIDNON</t>
  </si>
  <si>
    <t>BARANGAY CUMBA, LIPA CITY</t>
  </si>
  <si>
    <t>BARANGAY 2, LIPA CITY, BATANGAS</t>
  </si>
  <si>
    <t>CORON SCHOOL OF FISHERIES</t>
  </si>
  <si>
    <t>BARANGAY SAN ANTONIO, AGOO, LA UNION</t>
  </si>
  <si>
    <t>ENVIRONMENTAL MANAGEMENT BUREAU - REGION - LA UNION</t>
  </si>
  <si>
    <t>BARANGAY SAN ANTONIO - NAUJAN, ORIENTAL MINDORO</t>
  </si>
  <si>
    <t>DEPARTMENT OF PUBLIC WORKS AND HIGHWAYS - CAPIZ 2ND ED</t>
  </si>
  <si>
    <t>MUNICIPALITY OF TERNATE, CAVITE</t>
  </si>
  <si>
    <t>PHIVIDEC INDUSTRIAL AUTHORITY, DND</t>
  </si>
  <si>
    <t>TOLEDO CITY WATER DISTRICT</t>
  </si>
  <si>
    <t xml:space="preserve">DA - PHILIPPINE RURAL DEVELOPMENT PROJECT - PSO VISAYAS </t>
  </si>
  <si>
    <t>TESDA REGIONAL TRAINING CENTER - REGION I</t>
  </si>
  <si>
    <t>MUNICIPALITY OF LAUA-AN, ANTIQUE</t>
  </si>
  <si>
    <t>MUNICIPALITY OF LASAM, CAGAYAN</t>
  </si>
  <si>
    <t>MUNICIPALITY OF SIQUIJOR, SIQUIJOR</t>
  </si>
  <si>
    <t>BARANGAY LAON, MOGPOG, MARINDUQUE</t>
  </si>
  <si>
    <t>BARANGAY TEJEROS, MAKATI CITY</t>
  </si>
  <si>
    <t>DENR-PENRO CAMARINES SUR</t>
  </si>
  <si>
    <t>HOME DEVELOPMENT MUTUAL FUND - BACOLOD CITY</t>
  </si>
  <si>
    <t>MUNICIPALITY OF DUPAX DEL SUR, NUEVA VIZCAYA</t>
  </si>
  <si>
    <t>COMMISSION ON POPULATION - CARAGA</t>
  </si>
  <si>
    <t>DEPARTMENT OF EDUCATION - DIVISION OF CADIZ CITY</t>
  </si>
  <si>
    <t>TALIBON WATER DISTRICT</t>
  </si>
  <si>
    <t>MINES AND GEOSCIENCES BUREAU - CAR</t>
  </si>
  <si>
    <t>BARANGAY CALUNASAN - LARENA SIQUIJOR</t>
  </si>
  <si>
    <t>BARANGAY TAGGAT SUR, CLAVERIA, CAGAYAN</t>
  </si>
  <si>
    <t>MUNICIPALITY OF STO. TOMAS, PAMPANGA</t>
  </si>
  <si>
    <t>BARANGAY BUCAL 2 MARAGONDON CAVITE</t>
  </si>
  <si>
    <t>BAGONG SILANG HIGH SCHOOL</t>
  </si>
  <si>
    <t>BARANGAY SAN PASCUAL, BURGOS, PANGASINAN</t>
  </si>
  <si>
    <t>BARANGAY MATAAS NA BAYAN, LEMERY, BATANGAS</t>
  </si>
  <si>
    <t>BARANGAY POGORUAC, BURGOS, PANGASINAN</t>
  </si>
  <si>
    <t>MUNICIPALITY OF SAN MIGUEL, CATANDUANES</t>
  </si>
  <si>
    <t>BARANGAY BAGACAY KAWAYAN, LOON, BOHOL</t>
  </si>
  <si>
    <t>ISABELA CITY WATER DISTRICT</t>
  </si>
  <si>
    <t>SAN AGUSTIN ELEMENTARY SCHOOL - LUBAO PAMPANGA</t>
  </si>
  <si>
    <t>DEPARTMENT OF PUBLIC WORKS AND HIGHWAYS - REGION VI</t>
  </si>
  <si>
    <t>DEPARTMENT OF ENVIRONMENT AND NATURAL RESOURCES-10</t>
  </si>
  <si>
    <t>BARANGAY ULBUJAN, CALAPE, BOHOL</t>
  </si>
  <si>
    <t>MUNICIPALITY OF UMINGAN, PANGASINAN</t>
  </si>
  <si>
    <t>MUNICIPALITY OF PILAR, CAPIZ</t>
  </si>
  <si>
    <t>BARANGAY AMBITACAY, AGOO, LA UNION</t>
  </si>
  <si>
    <t>DEPARTMENT OF PUBLIC WORKS AND HIGHWAYS - BOHOL 3RD DEO</t>
  </si>
  <si>
    <t>BOCBOC NATIONAL HIGH SCHOOL</t>
  </si>
  <si>
    <t>MUNICIPALITY OF MINALABAC, CAMARINES SUR</t>
  </si>
  <si>
    <t>MUNICIPALITY OF SAN ILDEFONSO, BULACAN</t>
  </si>
  <si>
    <t>MUNICIPALITY OF COMPOSTELA, COMPOSTELA VALLEY</t>
  </si>
  <si>
    <t>DOLOGON CENTRAL ELEMENTARY SCHOOL</t>
  </si>
  <si>
    <t>MUNICIPALITY OF CORCUERA, ROMBLON</t>
  </si>
  <si>
    <t>MUNICIPALITY OF OSLOB, CEBU</t>
  </si>
  <si>
    <t>DEPARTMENT OF AGRARIAN REFORM PROVINCIAL OFFICE, COTABATO</t>
  </si>
  <si>
    <t>MUNICIPALITY OF GUINSILIBAN, CAMIGUIN</t>
  </si>
  <si>
    <t>COOPERATIVE DEVELOPMENT AUTHORITY - MAIN</t>
  </si>
  <si>
    <t>PABLO LORENZO NATIONAL HIGH SCHOOL - DAVAO CITY DAVAO DEL SU</t>
  </si>
  <si>
    <t>MUNICIPALITY OF PUGO, LA UNION</t>
  </si>
  <si>
    <t>COTABATO FOUNDATION COLLEGE OF SCIENCE &amp; TECHNOLOGY</t>
  </si>
  <si>
    <t>BARANGAY STA. RITA EAST - AGOO, LA UNION</t>
  </si>
  <si>
    <t>162508 MARANGAL ELEMENTARY SCHOOL</t>
  </si>
  <si>
    <t>DON HONORIO VENTURA TECHNOLOGICAL STATE UNIVERSITY</t>
  </si>
  <si>
    <t>CITY OF OZAMIS, MISAMIS OCCIDENTAL</t>
  </si>
  <si>
    <t>MUNICIPALITY OF MANUKAN, ZAMBOANGA DEL NORTE</t>
  </si>
  <si>
    <t>MUNICIPALITY OF SIOCON</t>
  </si>
  <si>
    <t>MUNICIPALITY OF PANGIL, LAGUNA</t>
  </si>
  <si>
    <t>BARANGAY AGAY-AY, SAN JUAN, SOUTHERN LEYTE</t>
  </si>
  <si>
    <t>CARCAR WATER DISTRICT</t>
  </si>
  <si>
    <t>MUNICIPALITY OF SUMILAO, BUKIDNON</t>
  </si>
  <si>
    <t>BARANGAY CENTRO, PAMPLONA, CAGAYAN</t>
  </si>
  <si>
    <t>MUNICIPALITY OF ITOGON, BENGUET</t>
  </si>
  <si>
    <t>BARANGAY SAN ISIDRO, SIBAGAT, AGUSAN DEL SUR</t>
  </si>
  <si>
    <t>MUNICIPALITY OF SINACABAN , MISAMIS OCCIDENTAL</t>
  </si>
  <si>
    <t>DEPARTMENT OF PUBLIC WORKS AND HIGHWAYS - ZAMBALES 2ND DEO</t>
  </si>
  <si>
    <t>MUNICIPALITY OF GUIMBAL, ILOILO</t>
  </si>
  <si>
    <t>PHILIPPINE PORTS AUTHORITY - PMO MINDORO</t>
  </si>
  <si>
    <t>PROFESSIONAL REGULATION COMMISSION - ILOILO REGIONAL OFFICE</t>
  </si>
  <si>
    <t>BARANGAY ABONGAN, TAYTAY, PALAWAN</t>
  </si>
  <si>
    <t>BARANGAY LONOY - KANANGA LEYTE</t>
  </si>
  <si>
    <t>MUNICIPALITY OF CAOAYAN, ILOCOS SUR</t>
  </si>
  <si>
    <t>DEPARTMENT OF PUBLIC WORKS AND HIGHWAYS - BOHOL 1ST ED</t>
  </si>
  <si>
    <t>DEPARTMENT OF PUBLIC WORKS AND HIGHWAYS - LAGUNA II DEO</t>
  </si>
  <si>
    <t>MUNICIPALITY OF SAN MARIANO, ISABELA</t>
  </si>
  <si>
    <t>CAVITE ECONOMIC ZONE - PEZA</t>
  </si>
  <si>
    <t>MUNICIPALITY OF CARAMORAN, CATANDUANES</t>
  </si>
  <si>
    <t>MUNICIPALITY OF SAMBOAN, CEBU</t>
  </si>
  <si>
    <t>KOLAMBUGAN WATER DISTRICT</t>
  </si>
  <si>
    <t>BARANGAY PINAGSABANGAN I, NAUJAN, ORIENTAL MINDORO</t>
  </si>
  <si>
    <t>MUNICIPALITY OF TOMAS OPPUS, SOUTHERN LEYTE</t>
  </si>
  <si>
    <t>BARANGAY PAMPANGO LIBACAO AKLAN</t>
  </si>
  <si>
    <t>NATIONAL IRRIGATION ADMINISTRATION - REGION V</t>
  </si>
  <si>
    <t>MUNICIPALITY OF NAGA, ZAMBOANGA SIBUGAY</t>
  </si>
  <si>
    <t>PHIL. ATMOSPHERIC GEOPHYSICAL &amp; ASTRONOMICAL SERVICES ADM.</t>
  </si>
  <si>
    <t>BARANGAY 903, ZONE 100, DISTRICT VI, MANILA</t>
  </si>
  <si>
    <t>CITY OF OLONGAPO, ZAMBALES</t>
  </si>
  <si>
    <t>MUNICIPALITY OF BAGGAO, CAGAYAN</t>
  </si>
  <si>
    <t>MUNICIPALITY OF SAN POLICARPO, EASTERN SAMAR</t>
  </si>
  <si>
    <t>CATANDUANES NATIONAL HIGH SCHOOL</t>
  </si>
  <si>
    <t>CARAGA STATE UNIVERSITY - CABADBARAN CAMPUS</t>
  </si>
  <si>
    <t>DEPARTMENT OF PUBLIC WORKS AND HIGHWAYS - TARLAC 1ST DEO</t>
  </si>
  <si>
    <t>MISAMIS OCCIDENTAL NATIONAL HIGH SCHOOL</t>
  </si>
  <si>
    <t>NATIONAL IRRIGATION ADMINISTRATION - LIGAO CITY, ALBAY</t>
  </si>
  <si>
    <t>CIVIL AVIATION AUTHORITY OF THE PHILIPPINES - REGION V</t>
  </si>
  <si>
    <t>MUNICIPALITY OF STA. ROSA, NUEVA ECIJA</t>
  </si>
  <si>
    <t>LGU - BARANGAY CALAYUGAN, HINUNANGAN, SOUTHERN LEYTE</t>
  </si>
  <si>
    <t>BARANGAY 54-B CAMANGGAAN, LAOAG CITY</t>
  </si>
  <si>
    <t>BARANGAY BARAOAS SUR, NAGUILIAN, LA UNION</t>
  </si>
  <si>
    <t>MUNICIPALITY OF VALDERRAMA, ANTIQUE</t>
  </si>
  <si>
    <t>BARANGAY LIBERTAD, PORO, CEBU</t>
  </si>
  <si>
    <t>BARANGAY AGUMAYMAYAN, BOAC, MARINDUQUE</t>
  </si>
  <si>
    <t>NATIONAL IRRIGATION ADMINISTRATION REGION 7</t>
  </si>
  <si>
    <t>DA - PHILIPPINE RURAL DEVELOPMENT PROJECT - CARAGA</t>
  </si>
  <si>
    <t>DEPARTMENT OF EDUCATION - DIVISION OF MATI CITY</t>
  </si>
  <si>
    <t>BUREAU OF PLANT INDUSTRY (NSQCS7) - UBAY, BOHOL</t>
  </si>
  <si>
    <t>MUNICIPALITY OF ALABAT, QUEZON</t>
  </si>
  <si>
    <t>MUNICIPALITY OF PIÑAN, ZAMBOANGA DEL NORTE</t>
  </si>
  <si>
    <t>OFFICE OF THE PRESIDENT</t>
  </si>
  <si>
    <t>NATIONAL COMMISSION ON INDIGENOUS PEOPLES - REGION X</t>
  </si>
  <si>
    <t>CEBU NORMAL UNIVERSITY</t>
  </si>
  <si>
    <t>BARANGAY NAGUELGUEL, LINGAYEN, PANGASINAN</t>
  </si>
  <si>
    <t>MUNICIPALITY OF ZARAGOZA, NUEVA ECIJA</t>
  </si>
  <si>
    <t>MUNICIPALITY OF BACARRA, ILOCOS NORTE</t>
  </si>
  <si>
    <t>MUNICIPALITY OF JAGNA, BOHOL</t>
  </si>
  <si>
    <t>DEPARTMENT OF PUBLIC WORKS AND HIGHWAYS - NORTHERN SAMAR 1ST</t>
  </si>
  <si>
    <t>BARANGAY CALARIAN, ZAMBOANGA CITY</t>
  </si>
  <si>
    <t>SOCIAL SECURITY SYSTEM - CORDILLERA ADMINISTRATIVE REGION</t>
  </si>
  <si>
    <t>BARANGAY MAGSALANGI, MILAGROS, MASBATE</t>
  </si>
  <si>
    <t>MUNICIPALITY OF RAPU-RAPU, ALBAY</t>
  </si>
  <si>
    <t>CITY OF DAPITAN</t>
  </si>
  <si>
    <t>HINATUAN WATER DISTRICT</t>
  </si>
  <si>
    <t>BARANGAY SALITRAN III DASMARIÑAS CITY CAVITE</t>
  </si>
  <si>
    <t>DEPARTMENT OF PUBLIC WORKS AND HIGHWAYS - CAR</t>
  </si>
  <si>
    <t>DEPARTMENT OF EDUCATION - DIVISION OF ORIENTAL MINDORO</t>
  </si>
  <si>
    <t>PHILIPPINE SCIENCE HIGH SCHOOL - CENTRAL LUZON CAMPUS</t>
  </si>
  <si>
    <t>MUNICIPALITY OF STO. TOMAS, LA UNION</t>
  </si>
  <si>
    <t>MUNICIPALITY OF CATMON, CEBU</t>
  </si>
  <si>
    <t>AGRICULTURAL TRAINING INSTITUTE - CARAGA REGION</t>
  </si>
  <si>
    <t>DEPARTMENT OF  EDUCATION - DIVISION OF URDANETA CITY</t>
  </si>
  <si>
    <t>DEPARTMENT OF EDUCATION - DIVISION OF BAIS CITY</t>
  </si>
  <si>
    <t>STA. ANA NATIONAL HIGH SCHOOL - DAVAO CITY</t>
  </si>
  <si>
    <t>BARANGAY 62, ZONE 6, DISTRICT 1, MANILA</t>
  </si>
  <si>
    <t>MUNICIPALITY OF DIVILACAN, ISABELA</t>
  </si>
  <si>
    <t>BARANGAY BACONG, LIGAO CITY</t>
  </si>
  <si>
    <t>JOSE RIZAL MEMORIAL STATE UNIVERSITY - MAIN CAMPUS</t>
  </si>
  <si>
    <t>MUNICIPALITY OF KALAYAAN, PALAWAN</t>
  </si>
  <si>
    <t>BARANGAY MASAGANA, NAUJAN, ORIENTAL MINDORO</t>
  </si>
  <si>
    <t>MUNICIPALITY OF ABULUG, CAGAYAN</t>
  </si>
  <si>
    <t>ANGELA GONZAGA NATIONAL HIGH SCHOOL - BACOLOD CITY NEGROS OC</t>
  </si>
  <si>
    <t>BARANGAY NADDUNGAN, GATTARAN, CAGAYAN</t>
  </si>
  <si>
    <t>CALAMBA NATIONAL HIGH SCHOOL-MAIN</t>
  </si>
  <si>
    <t>MUNICIPALITY OF RIZAL, NUEVA ECIJA</t>
  </si>
  <si>
    <t>BARANGAY SABANG, DULAG, LEYTE</t>
  </si>
  <si>
    <t>BARANGAY CALUNASAN - MARIA SIQUIJOR</t>
  </si>
  <si>
    <t>TECHNICAL EDUCATION &amp; SKILLS DEVELOPMENT AUTHORITY - PANGASI</t>
  </si>
  <si>
    <t>MUNICIPALITY OF TUPI, SOUTH COTABATO</t>
  </si>
  <si>
    <t>BALIWAG WATER DISTRICT</t>
  </si>
  <si>
    <t>MUNICIPALITY OF MABITAC, LAGUNA</t>
  </si>
  <si>
    <t>DOLOGON NATIONAL HIGH SCHOOL</t>
  </si>
  <si>
    <t>BARANGAY CAPIDDIGAN, GATTARAN, CAGAYAN</t>
  </si>
  <si>
    <t>MAINAGA ELEMENTARY SCHOOL, IBA, CABANGLASAN, BUKIDNON</t>
  </si>
  <si>
    <t>EAST AVENUE MEDICAL CENTER</t>
  </si>
  <si>
    <t>BARANGAY PAWILI, PILI, CAMARINES SUR</t>
  </si>
  <si>
    <t>BARANGAY 105 ZONE-8 DISTRICT 1, MANILA</t>
  </si>
  <si>
    <t>PROVINCE OF MISAMIS ORIENTAL</t>
  </si>
  <si>
    <t>DEPARTMENT OF PUBLIC WORKS AND HIGHWAYS - NORTH MANILA DEO</t>
  </si>
  <si>
    <t>BARANGAY SAN ISIDRO, SAN PABLO CITY</t>
  </si>
  <si>
    <t>BARANGAY KILING, TANAUAN, LEYTE</t>
  </si>
  <si>
    <t>BARANGAY MARIBI, TANAUAN, LEYTE</t>
  </si>
  <si>
    <t>BARANGAY BEBITO C. ARGOSINO, LOPEZ, QUEZON</t>
  </si>
  <si>
    <t>DEPARTMENT OF ENERGY - MAIN</t>
  </si>
  <si>
    <t>BARANGAY CASTANAS, SARIAYA, QUEZON</t>
  </si>
  <si>
    <t>MUNICIPALITY OF CALUYA, ANTIQUE</t>
  </si>
  <si>
    <t>DEPARTMENT OF EDUCATION - DIVISION OF TOLEDO CITY, CEBU</t>
  </si>
  <si>
    <t>BARANGAY PALOC SOOL, DUMANGAS, ILOILO</t>
  </si>
  <si>
    <t>BARANGAY LEONARDO - JOSEFINA, ZAMBOANGA DEL SUR</t>
  </si>
  <si>
    <t>BARANGAY 645, ZONE 67, DISTRICT VI, MANILA</t>
  </si>
  <si>
    <t>BARANGAY 555 ZONE 55 DISTRICT IV, MANILA</t>
  </si>
  <si>
    <t>BARANGAY 842, ZONE 92, DISTRICT VI, MANILA</t>
  </si>
  <si>
    <t>ENVIRONMENTAL MANAGEMENT BUREAU, DENR-REGION X</t>
  </si>
  <si>
    <t>BARANGAY ALIBAGO, STA. BARBARA, PANGASINAN</t>
  </si>
  <si>
    <t>DEPARTMENT OF PUBLIC WORKS AND HIGHWAYS - ISABELA 3RD DEO</t>
  </si>
  <si>
    <t>MUNICIPALITY OF LUBANG, OCCIDENTAL MINDORO</t>
  </si>
  <si>
    <t>NATIONAL POWER CORPORATION - MINGEN, PULANGI IV HEP</t>
  </si>
  <si>
    <t>BARANGAY 20 ZONE 2 DISTRICT I. MANILA CITY</t>
  </si>
  <si>
    <t>BARANGAY PANDAITAN, DAVAO CITY</t>
  </si>
  <si>
    <t>BARANGAY 94 ZONE 8 DISTRICT 1, MANILA</t>
  </si>
  <si>
    <t>BARANGAY LAG-ON, DAET, CAMARINES NORTE</t>
  </si>
  <si>
    <t>BATO NORTH CENTRAL SCHOOL</t>
  </si>
  <si>
    <t>DEPARTMENT OF EDUCATION - DIVISION OF TAGUM CITY</t>
  </si>
  <si>
    <t>MUNICIPALITY OF BURUANGA, AKLAN</t>
  </si>
  <si>
    <t>BARANGAY JACINTO LUMBRERAS, GEN. MARIANO ALVAREZ, CAVITE</t>
  </si>
  <si>
    <t>MUNICIPALITY OF SIKATUNA, BOHOL</t>
  </si>
  <si>
    <t>BARANGAY PAYAO, CATBALOGAN CITY</t>
  </si>
  <si>
    <t>SILAY CITY WATER DISTRICT</t>
  </si>
  <si>
    <t>NATIONAL FOOD AUTHORITY - REGION II</t>
  </si>
  <si>
    <t>BARANGAY NAVITAS, CATANAUAN, QUEZON</t>
  </si>
  <si>
    <t>BARANGAY SAN LAZARO - VICTORIA NORTHERN SAMAR</t>
  </si>
  <si>
    <t>LIGA NG BARANGAY DIPLAHAN</t>
  </si>
  <si>
    <t>BARANGAY DARAHUWAY DACO, CATBALOGAN CITY, SAMAR</t>
  </si>
  <si>
    <t>UNIVERSITY OF SOUTHERN MINDANAO - KIDAPAWAN CITY CAMPUS</t>
  </si>
  <si>
    <t>DEPARTMENT OF EDUCATION - DIVISION OF NEGROS ORIENTAL</t>
  </si>
  <si>
    <t>SORSOGON STATE COLLEGE - SORSOGON CITY</t>
  </si>
  <si>
    <t>CEBU PORT AUTHORITY</t>
  </si>
  <si>
    <t>BARANGAY SAPA III ROSARIO CAVITE</t>
  </si>
  <si>
    <t>CITY OF PARAÑAQUE</t>
  </si>
  <si>
    <t>PROVINCE OF SIQUIJOR</t>
  </si>
  <si>
    <t>LAND BANK OF THE PHILIPPINES - LEASING AND FINANCE CORPORATI</t>
  </si>
  <si>
    <t>CENTRAL LUZON STATE UNIVERSITY</t>
  </si>
  <si>
    <t>MUNICIPALITY OF BUENAVISTA, QUEZON</t>
  </si>
  <si>
    <t>PHILIPPINE HEALTH INSURANCE CORPORATION - REGION - IV A</t>
  </si>
  <si>
    <t>BUTONG MANJUYOD - MANJUYOD NEGROS ORIENTAL</t>
  </si>
  <si>
    <t>DAVAO REGIONAL MEDICAL CENTER</t>
  </si>
  <si>
    <t>BARANGAY SAN FELIPE EAST - SAN NICOLAS PANGASINAN</t>
  </si>
  <si>
    <t>DEPARTMENT OF PUBLIC WORKS AND HIGHWAYS - BENGUET I DEO</t>
  </si>
  <si>
    <t>MUNICIPALITY OF MAGSAYSAY, PALAWAN</t>
  </si>
  <si>
    <t>BARANGAY BAGO, VINTAR, ILOCOS NORTE</t>
  </si>
  <si>
    <t>TALISAY WATER DISTRICT</t>
  </si>
  <si>
    <t>MUNICIPALITY OF DINAPIGUE, ISABELA</t>
  </si>
  <si>
    <t>MUNICIPALITY OF ALTAVAS, AKLAN</t>
  </si>
  <si>
    <t>MUNICIPALITY OF DAUIN, NEGROS ORIENTAL</t>
  </si>
  <si>
    <t>DEPARTMENT OF LABOR AND EMPLOYMENT - REGION VII</t>
  </si>
  <si>
    <t>BARANGAY ANNAFUNAN WEST - TUGUEGARAO CITY</t>
  </si>
  <si>
    <t>BARANGAY CENTRO 2,  SANCHEZ MIRA, CAGAYAN</t>
  </si>
  <si>
    <t>MUNICIPALITY OF CLAVER, SURIGAO DEL NORTE</t>
  </si>
  <si>
    <t>MUNICIPALITY OF PONTEVEDRA, CAPIZ</t>
  </si>
  <si>
    <t>BARANGAY POBLACION - SIBUTAD ZAMBOANGA DEL NORTE</t>
  </si>
  <si>
    <t>DEPARTMENT OF SCIENCE AND TECHNOLOGY - REGION XII</t>
  </si>
  <si>
    <t>MUNICIPALITY OF MUTIA, ZAMBOANGA DEL NORTE</t>
  </si>
  <si>
    <t>MUNICIPALITY OF TINGLAYAN, KALINGA</t>
  </si>
  <si>
    <t>TIQUI INTEGRATED SCHOOL</t>
  </si>
  <si>
    <t>MUNICIPALITY OF CULASI, ANTIQUE</t>
  </si>
  <si>
    <t>SANTIAGO ELEMENTARY SCHOOL - MANOLO FORTICH BUKIDNON</t>
  </si>
  <si>
    <t>BARANGAY BUNGAHAN, CUENCA, BATANGAS</t>
  </si>
  <si>
    <t>BOHOL ISLAND STATE UNIVERSITY - CLARIN CAMPUS</t>
  </si>
  <si>
    <t>BARANGAY POBLACION V, CUENCA, BATANGAS</t>
  </si>
  <si>
    <t xml:space="preserve">DAVAO CITY SPECIAL SCHOOL ELEMENTARY - DAVAO CITY DAVAO DEL </t>
  </si>
  <si>
    <t>BARANGAY CADITAAN, RAGAY, CAMARINES SUR</t>
  </si>
  <si>
    <t>BARANGAY BLUMENTRIT - MURCIA NEGROS OCCIDENTAL</t>
  </si>
  <si>
    <t>BARANGAY 34-D, DAVAO CITY, DAVAO DEL SUR</t>
  </si>
  <si>
    <t>BARANGAY GAONGAN, SIPOCOT, CAMARINES SUR</t>
  </si>
  <si>
    <t>BARANGAY AMAYCO - MURCIA NEGROS OCCIDENTAL</t>
  </si>
  <si>
    <t>BARANGAY SAN FERNANDO - TALISAY CITY NEGROS OCCIDENTAL</t>
  </si>
  <si>
    <t>BARANGAY DON JUAN, CUENCA, BATANGAS</t>
  </si>
  <si>
    <t>BARANGAY STA. ANA, AGOO, LA UNION</t>
  </si>
  <si>
    <t>MUNICIPALITY OF STA. RITA, WESTERN SAMAR</t>
  </si>
  <si>
    <t>BARANGAY MALIMPIN, DASOL, PANGASINAN</t>
  </si>
  <si>
    <t>BARANGAY AMALBALAN, DASOL, PANGASINAN</t>
  </si>
  <si>
    <t>BARANGAY RIZAL RURAL, LOPEZ, QUEZON</t>
  </si>
  <si>
    <t>BARANGAY BUENAVISTA - LOPEZ QUEZON</t>
  </si>
  <si>
    <t>LAND BANK OF THE PHILIPPINES URDANETA CITY BRANCH</t>
  </si>
  <si>
    <t>DEPARTMENT OF AGRARIAN REFORM - AKLAN PROVINCIAL OFFICE</t>
  </si>
  <si>
    <t>MUNICIPALITY OF STA. MARIA, PANGASINAN</t>
  </si>
  <si>
    <t>BARANGAY SAN ISIDRO, ASTURIAS, CEBU</t>
  </si>
  <si>
    <t>BARANGAY POBLACION - PUERTO GALERA ORIENTAL MINDORO</t>
  </si>
  <si>
    <t>CAREER EXECUTIVE SERVICE BOARD</t>
  </si>
  <si>
    <t>BARANGAY MACAGOCO INOPACAN, LEYTE</t>
  </si>
  <si>
    <t>LAND BANK OF THE PHILIPPINES - REGION XII</t>
  </si>
  <si>
    <t>ILOCOS SUR POLYTECHNIC STATE COLLEGE</t>
  </si>
  <si>
    <t>BARANGAY SAN ISIDRO, NAUJAN, ORIENTAL MINDORO</t>
  </si>
  <si>
    <t>MUNICIPALITY OF GUINDULMAN, BOHOL</t>
  </si>
  <si>
    <t>BARANGAY KAYAPA, BAKUN, BENGUET</t>
  </si>
  <si>
    <t>LIGA NG MGA BARANGAY BATO, LEYTE CHAPTER</t>
  </si>
  <si>
    <t>BARANGAY LANGKONG - M'LANG COTABATO</t>
  </si>
  <si>
    <t>BARANGAY NATUNUAN SOUTH, SAN PASCUAL, BATANGAS</t>
  </si>
  <si>
    <t>WEST VISAYAS STATE UNIVERSITY - JANIUAY CAMPUS</t>
  </si>
  <si>
    <t>DEPARTMENT OF PUBLIC WORKS AND HIGHWAYS - AURORA DEO</t>
  </si>
  <si>
    <t>DEPARTMENT OF EDUCATION - DIVISION OF PAMPANGA</t>
  </si>
  <si>
    <t>DEPARTMENT OF NATIONAL DEFENSE - GOVERNMENT ARSENAL, BATAAN</t>
  </si>
  <si>
    <t>MUNICIPALITY OF NAMPICUAN, NUEVA ECIJA</t>
  </si>
  <si>
    <t>BARANGAY SAN ISIDRO ITAAS, LEMERY, BATANGAS</t>
  </si>
  <si>
    <t>MUNICIPALITY OF PIGCAWAYAN, COTABATO</t>
  </si>
  <si>
    <t>MUNICIPALITY OF SUGBONGCOGON, MISAMIS ORIENTAL</t>
  </si>
  <si>
    <t>ILOILO STATE COLLEGE OF FISHERIES</t>
  </si>
  <si>
    <t>BARANGAY TUMAGA, ZAMBOANGA CITY</t>
  </si>
  <si>
    <t>KITAOTAO NATIONAL HIGH SCHOOL</t>
  </si>
  <si>
    <t>DEPARTMENT OF THE INTERIOR AND LOCAL GOVERNMENT - NORTHERN S</t>
  </si>
  <si>
    <t>BARANGAY IGANG - MASBATE CITY</t>
  </si>
  <si>
    <t>BARANGAY J.P. LAUREL PANABO DAVAO DEL NORTE</t>
  </si>
  <si>
    <t>MUNICIPALITY OF ALAMINOS, LAGUNA</t>
  </si>
  <si>
    <t>MUNICIPALITY OF LAMBAYONG, SULTAN KUDARAT</t>
  </si>
  <si>
    <t>MUNICIPALITY OF MASANTOL, PAMPANGA</t>
  </si>
  <si>
    <t>BARANGAY DADIANGAS WEST - GENERAL SANTOS CITY, SOUTH COTABAT</t>
  </si>
  <si>
    <t>MUNICIPALITY OF BOLJOON, CEBU</t>
  </si>
  <si>
    <t>HIYANG-HIYANG ELEMENTARY SCHOOL</t>
  </si>
  <si>
    <t>BARANGAY APLAYA, DIGOS, DAVAO DEL SUR</t>
  </si>
  <si>
    <t>PHILIPPINE FISHERIES DEVELOPMENT AUTHORITY - SOUTH COTABATO</t>
  </si>
  <si>
    <t>BARANGAY BALLUYAN FLORA APAYAO</t>
  </si>
  <si>
    <t>MUNICIPALITY OF ALICIA, ZAMBOANGA SIBUGAY</t>
  </si>
  <si>
    <t>MUNICIPALITY OF TABUELAN, CEBU</t>
  </si>
  <si>
    <t>MUNICIPALITY OF SAN AGUSTIN, ROMBLON</t>
  </si>
  <si>
    <t>MUNICIPALITY OF CALINTAAN, OCCIDENTAL MINDORO</t>
  </si>
  <si>
    <t>BARANGAY BOLBOK - BATANGAS CITY, BATANGAS</t>
  </si>
  <si>
    <t>MUNICIPALITY OF MILAGROS, MASBATE</t>
  </si>
  <si>
    <t>METRO SIQUIJOR WATER DISTRICT</t>
  </si>
  <si>
    <t>MUNICIPALITY OF RAMON, ISABELA</t>
  </si>
  <si>
    <t>BARANGAY BAGSA, OAS, ALBAY</t>
  </si>
  <si>
    <t>PHILIPPINE NORMAL UNIVERSITY - ISABELA CAMPUS</t>
  </si>
  <si>
    <t>BARANGAY STO.TOMAS CLAVERIA CAGAYAN</t>
  </si>
  <si>
    <t>MUNICIPALITY OF BADIAN, CEBU</t>
  </si>
  <si>
    <t>BARANGAY TALAGUTON, DON MARCELINO, DAVAO DEL SUR</t>
  </si>
  <si>
    <t>BARANGAY SAUB, MATANAO, DAVAO DEL SUR</t>
  </si>
  <si>
    <t>MUNICIPALITY OF KABUGAO, APAYAO</t>
  </si>
  <si>
    <t>BARANGAY AMBACAN - BAYBAY CITY LEYTE</t>
  </si>
  <si>
    <t>DEPARTMENT OF PUBLIC WORKS AND HIGHWAYS - PALAWAN 3RD DEO</t>
  </si>
  <si>
    <t>MUNICIPALITY OF ROSELLER T. LIM, ZAMBOANGA SIBUGAY</t>
  </si>
  <si>
    <t>MUNICIPALITY OF BULA, CAMARINES SUR</t>
  </si>
  <si>
    <t>SAN CARLOS CITY WATER DISTRICT</t>
  </si>
  <si>
    <t>MUNICIPALITY OF ALOGUINSAN, CEBU</t>
  </si>
  <si>
    <t>CITY OF KIDAPAWAN, NORTH COTABATO</t>
  </si>
  <si>
    <t>MUNICIPALITY OF SALLAPADAN, ABRA</t>
  </si>
  <si>
    <t>BARANGAY VILLA MARIA CLARA, QUEZON CITY</t>
  </si>
  <si>
    <t>PATNONGON  WATER DISTRICT</t>
  </si>
  <si>
    <t>BARANGAY CAGANDUNGAN, LUNA, APAYAO</t>
  </si>
  <si>
    <t>BARANGAY BANGCUANGAN, STA. CRUZ, MARINDUQUE</t>
  </si>
  <si>
    <t>MPW BASILAN DISTRICT ENGINEERING OFFICE</t>
  </si>
  <si>
    <t>BARANGAY CAPACUAN, PARACALE, CAMARINES NORTE</t>
  </si>
  <si>
    <t>BARANGAY POBLACION A - TAYUG PANGASINAN</t>
  </si>
  <si>
    <t>MUNICIPALITY OF SAN MIGUEL, BULACAN</t>
  </si>
  <si>
    <t>BARANGAY CABALITIAN - SUAL PANGASINAN</t>
  </si>
  <si>
    <t>MUNICIPALITY OF BALAOAN, LA UNION</t>
  </si>
  <si>
    <t>MUNICIPALITY OF DAUIS, BOHOL</t>
  </si>
  <si>
    <t>DEPARTMENT OF PUBLIC WORKS AND HIGHWAYS - NEGROS ORIENTAL 1S</t>
  </si>
  <si>
    <t>BARANGAY LINAO, ORMOC CITY</t>
  </si>
  <si>
    <t>MUNICIPALITY OF SAN NICOLAS, PANGASINAN</t>
  </si>
  <si>
    <t>CABANGAN HIGH SCHOOL - LEGAZPI CITY ALBAY</t>
  </si>
  <si>
    <t>BARANGAY POBLACION, SAN PACUAL, BATANGAS</t>
  </si>
  <si>
    <t>MUNICIPALITY OF SAN JOSE, ROMBLON</t>
  </si>
  <si>
    <t>PHILIPPINE NATIONAL POLICE - HEALTH SERVICE</t>
  </si>
  <si>
    <t>BARANGAY BALOYBOAN - PAGADIAN CITY</t>
  </si>
  <si>
    <t>BARANGAY JABOYOAN, AROROY, MASBATE</t>
  </si>
  <si>
    <t>BARANGAY 56-B, BACSIL SOUTH, LAOAG, ILOCOS NORTE</t>
  </si>
  <si>
    <t>BARANGAY BAGONG SIKAT , LEMERY, BATANGAS</t>
  </si>
  <si>
    <t>BARANGAY BANGON, AROROY, MASBATE</t>
  </si>
  <si>
    <t>CITY OF GUIHULNGAN, NEGROS ORIENTAL</t>
  </si>
  <si>
    <t>WEST VISAYAS STATE UNIVERSITY MEDICAL CENTER - REGION VI</t>
  </si>
  <si>
    <t>DEPARTMENT OF PUBLIC WORKS AND HIGHWAYS - CATANDUANES ED</t>
  </si>
  <si>
    <t>MUNICIPALITY OF NUEVA ERA, ILOCOS NORTE</t>
  </si>
  <si>
    <t>BARANGAY ALABUG - TUAO CAGAYAN</t>
  </si>
  <si>
    <t>MUNICIPALITY OF LILOY, ZAMBOANGA DEL NORTE</t>
  </si>
  <si>
    <t>BARANGAY LAKAMBINI - TUAO CAGAYAN</t>
  </si>
  <si>
    <t>BARANGAY POBLACION II</t>
  </si>
  <si>
    <t>MUNICIPALITY OF DAO, CAPIZ</t>
  </si>
  <si>
    <t>PHILIPPINE COCONUT AUTHORITY - CARAGA</t>
  </si>
  <si>
    <t>DEPARTMENT OF BUDGET AND MANAGEMENT - REGIONAL OFFICE IX</t>
  </si>
  <si>
    <t>NATIONAL POWER CORPORATION SPUG-MINDANAO</t>
  </si>
  <si>
    <t>LANDBANK OF THE PHILIPPINES - NEGROS ORIENTAL AND SIQUIJOR</t>
  </si>
  <si>
    <t>MUNICIPALITY OF BANAUE, IFUGAO</t>
  </si>
  <si>
    <t>BARANGAY CANDADAM - BAYBAY CITY LEYTE</t>
  </si>
  <si>
    <t>ENERGY REGULATORY COMMISSION</t>
  </si>
  <si>
    <t>DEPARTMENT OF EDUCATION - DIVISION OF ORMOC CITY</t>
  </si>
  <si>
    <t>BARANGAY SAMPAGA, BATANGAS CITY, BATANGAS</t>
  </si>
  <si>
    <t>BARANGAY BIBINCAHAN, SORSOGON CITY</t>
  </si>
  <si>
    <t>SAN JOAQUIN BARANGAY PANDAN ANTIQUE</t>
  </si>
  <si>
    <t>DEPARTMENT OF PUBLIC WORKS AND HIGHWAYS - REGION I</t>
  </si>
  <si>
    <t>LUBAO WATER DISTRICT</t>
  </si>
  <si>
    <t>BARANGAY PINAHAN, NAUJAN, ORIENTAL MINDORO</t>
  </si>
  <si>
    <t>BARANGAY ANAJAO, ARGAO, CEBU</t>
  </si>
  <si>
    <t>BARANGAY CABARBUHAN - SORSOGON CITY SORSOGON</t>
  </si>
  <si>
    <t>BARANGAY HIMAKILO, BONTOC SOUTHERN LEYTE</t>
  </si>
  <si>
    <t>BARANGAY DUNGON, CONCEPCION, ILOILO</t>
  </si>
  <si>
    <t>BARANGAY SAN VICENTE (UPPER) - MACROHON SOUTHERN LEYTE</t>
  </si>
  <si>
    <t>MUNICIPALITY OF CLAVERIA, MASBATE</t>
  </si>
  <si>
    <t>BARANGAY GUADALUPE - BAYBAY CITY LEYTE</t>
  </si>
  <si>
    <t>MUNICIPALITY OF DUMANGAS, ILOILO</t>
  </si>
  <si>
    <t>DEPARTMENT OF EDUCATION - REGION IX</t>
  </si>
  <si>
    <t>BARANGAY BULACAN -PAYAO ZAMBOANGA SIBUGAY</t>
  </si>
  <si>
    <t>BUREAU OF FIRE PROTECTION - REGION X</t>
  </si>
  <si>
    <t>CAUAYAN SOUTH CENTRAL SCHOOL - CAUAYAN CITY ISABELA</t>
  </si>
  <si>
    <t>BARANGAY MACABALAN, CAGAYAN DE ORO CITY</t>
  </si>
  <si>
    <t>BUREAU OF CUSTOMS - GENERAL SANTOS CITY</t>
  </si>
  <si>
    <t>BARANGAY TALAVERA, TAGANA-AN, SURIGAO DEL NORTE</t>
  </si>
  <si>
    <t>MUNICIPALITY OF SAN FERNANDO, BUKIDNON</t>
  </si>
  <si>
    <t>BARANGAY SAN VICENTE, SAN JACINTO, PANGASINAN</t>
  </si>
  <si>
    <t>BARANGAY KAHIRUPAN, ILOILO CITY, ILOILO</t>
  </si>
  <si>
    <t>DEPARTMENT OF PUBLIC WORKS AND HIGHWAYS - IFUGAO</t>
  </si>
  <si>
    <t>BARANGAY BACLAYAN - BOLJOON, CEBU</t>
  </si>
  <si>
    <t>SOUTHERN ILOILO POLYTECHNIC COLLEGE, WVCST-MIAGAO BRANCH</t>
  </si>
  <si>
    <t>MUNICIPALITY OF SOLSONA, ILOCOS NORTE</t>
  </si>
  <si>
    <t>MUNICIPALITY OF HINDANG, LEYTE</t>
  </si>
  <si>
    <t>UNIVERSITY OF ANTIQUE - TARIO-LIM MEMORIAL CAMPUS</t>
  </si>
  <si>
    <t>DEPARTMENT OF TRADE AND INDUSTRY - REGION IV-B(MIMAROPA)</t>
  </si>
  <si>
    <t>MUNICIPALITY OF BULUAN</t>
  </si>
  <si>
    <t>CITY OF TALISAY, NEGROS OCCIDENTAL</t>
  </si>
  <si>
    <t>MUNICIPALITY OF IMELDA, ZAMBOANGA SIBUGAY</t>
  </si>
  <si>
    <t>MINISTRY OF HUMAN SETTLEMENTS AND DEVELOPMENT - COTABATO CIT</t>
  </si>
  <si>
    <t>BARANGAY TALOTO-AN, CONCEPCION, ILOILO</t>
  </si>
  <si>
    <t>BARANGAY PANALICSICAN, CONCEPCION, TARLAC</t>
  </si>
  <si>
    <t>ILOILO SCIENCE AND TECHNOLOGY UNIVERSITY</t>
  </si>
  <si>
    <t>CITY OF COTABATO</t>
  </si>
  <si>
    <t>MUNICIPALITY OF ROSARIO, LA UNION</t>
  </si>
  <si>
    <t>CITY OF ILAGAN WATER DISTRICT</t>
  </si>
  <si>
    <t>NATIONAL HOUSING AUTHORITY REGION IX</t>
  </si>
  <si>
    <t>ILIGAN CITY NATIONAL HIGH SCHOOL</t>
  </si>
  <si>
    <t>MUNICIPALITY OF PRESIDENT ROXAS, CAPIZ</t>
  </si>
  <si>
    <t>MUNICIPALITY OF ASIPULO - IFUGAO</t>
  </si>
  <si>
    <t>MUNICIPALITY OF SAGADA, MOUNTAIN PROVINCE</t>
  </si>
  <si>
    <t>DEPARTMENT OF TRADE &amp; INDUSTRY - CEBU PROVINCIAL OFFICE</t>
  </si>
  <si>
    <t>MACABEBE WATER DISTRICT</t>
  </si>
  <si>
    <t>MUNICIPALITY OF LIMAY, BATAAN</t>
  </si>
  <si>
    <t>BARANGAY POBLACION STA. ELENA, CAMARINES NORTE</t>
  </si>
  <si>
    <t>NATIONAL DEVELOPMENT COMPANY</t>
  </si>
  <si>
    <t>BARANGAY BAYUIN, SOCORRO, ORIENTAL MINDORO</t>
  </si>
  <si>
    <t>MUNICIPALITY OF  PANAON, MISAMIS OCCIDENTAL</t>
  </si>
  <si>
    <t>PHILIPPINE FISHERIES DEVELOPMENT AUTHORITY - NAVOTAS FISH PO</t>
  </si>
  <si>
    <t>DEPARTMENT OF AGRICULTURE - REGION VI</t>
  </si>
  <si>
    <t>ENVIRONMENTAL MANAGEMENT BUREAU  - REG IV - A, CALABARZON</t>
  </si>
  <si>
    <t>STO. CRISTO ELEMENTARY SCHOOL - SARIAYA QUEZON</t>
  </si>
  <si>
    <t>DEPARTMENT OF EDUCATION - DIVISION OF VALENCIA CITY</t>
  </si>
  <si>
    <t>DEPARTMENT OF AGRARIAN REFORM - SOUTHERN LEYTE</t>
  </si>
  <si>
    <t>DEPARTMENT OF PUBLIC WORKS AND HIGHWAYS - MARINDUQUE DEO</t>
  </si>
  <si>
    <t>MUNICIPALITY OF PILAR, CEBU</t>
  </si>
  <si>
    <t>GOVERNOR EMILIO GASTON MEMORIAL ELEMENTARY SCHOOL</t>
  </si>
  <si>
    <t>BARANGAY LOWER BECERRIL, BOLJOON, CEBU</t>
  </si>
  <si>
    <t>DEPARTMENT OF EDUCATION - DIVISION OF SAN PABLO CITY</t>
  </si>
  <si>
    <t>CAGAYAN STATE UNIVERSITY - SANCHEZ MIRA</t>
  </si>
  <si>
    <t>DEPARTMENT OF EDUCATION - DIVISION OF CAMARINES NORTE</t>
  </si>
  <si>
    <t>MUNICIPALITY OF BIRI, NORTHERN SAMAR</t>
  </si>
  <si>
    <t>EASTERN VISAYAS STATE UNIVERSITY</t>
  </si>
  <si>
    <t>DEPARTMENT OF ENVIRONMENT AND NATURAL RES. - PENRO, BOAC</t>
  </si>
  <si>
    <t>DEPARTMENT OF PUBLIC WORKS AND HIGHWAYS - IFUGAO 2ND DEO</t>
  </si>
  <si>
    <t>MUNICIPALITY OF SIATON, NEGROS ORIENTAL</t>
  </si>
  <si>
    <t>MUNICIPALITY OF NAGCARLAN, LAGUNA</t>
  </si>
  <si>
    <t>DEPARTMENT OF PUBLIC WORKS AND HIGHWAYS - RIZAL 1ST ED</t>
  </si>
  <si>
    <t>COTABATO SANITARIUM</t>
  </si>
  <si>
    <t>OFFICE OF THE CHIEF MINISTER  - BARMM</t>
  </si>
  <si>
    <t>MUNICIPALITY OF SAN JUAN, SIQUIJOR</t>
  </si>
  <si>
    <t>BARANGAY POBLACION III, NAUJAN, ORIENTAL MINDORO</t>
  </si>
  <si>
    <t>DEPARTMENT OF EDUCATION - DIVISION OF LEYTE</t>
  </si>
  <si>
    <t xml:space="preserve">CADUHA-AN NATIONAL HIGH SCHOOL (LUNA EXTENSION HIGH SCHOOL) </t>
  </si>
  <si>
    <t>MUNICIPALITY OF LAOANG, NORTHERN SAMAR</t>
  </si>
  <si>
    <t>BARANGAY NABA - TIGBAUAN, ILOILO</t>
  </si>
  <si>
    <t>MUNICIPALITY OF CARAMOAN, CAMARINES SUR</t>
  </si>
  <si>
    <t>UNIVERSITY OF THE PHILIPPINES - CEBU</t>
  </si>
  <si>
    <t>BARANGAY GAMUTON, CARRASCAL, SURIGAO DEL SUR</t>
  </si>
  <si>
    <t>DEPARTMENT OF AGRARIAN REFORM - SARANGANI PROVINCE</t>
  </si>
  <si>
    <t>BARANGAY DAMPAS, TAGBILARAN CITY</t>
  </si>
  <si>
    <t>BARANGAY EAST REMBO, MAKATI CITY</t>
  </si>
  <si>
    <t>NALA ELEMENTARY SCHOOL</t>
  </si>
  <si>
    <t>CANIOGAN ELEMENTARY SCHOOL - DIVISION OF PASIG CITY</t>
  </si>
  <si>
    <t>ALIMATOC ELEMENTARY SCHOOL</t>
  </si>
  <si>
    <t>SK OF BARANGAY NORTHSIDE - MAKATI CITY METRO MANILA</t>
  </si>
  <si>
    <t>BARANGAY 42 ZONE 3 DISTRICT 1, MANILA</t>
  </si>
  <si>
    <t>BARANGAY 315 ZONE 32 DISTRICT 3, MANILA</t>
  </si>
  <si>
    <t>DEPARTMENT OF EDUCATION - DIVISION OF AURORA</t>
  </si>
  <si>
    <t>BARANGAY CATIGBI-AN, TANAUAN, LEYTE</t>
  </si>
  <si>
    <t>BARANGAY 380 ZONE 38 DISTRICT III, MANILA</t>
  </si>
  <si>
    <t>PULO NATIONAL HIGH SCHOOL - CABUYAO LAGUNA</t>
  </si>
  <si>
    <t>MUNICIPALITY OF SAN CLEMENTE, TARLAC</t>
  </si>
  <si>
    <t>BARANGAY SUMABNIT, BINALONAN, PANGASINAN</t>
  </si>
  <si>
    <t>BARANGAY LABANGAL, GENERAL SANTOS CITY</t>
  </si>
  <si>
    <t>CAGBALETE I ELEMENTARY SCHOOL (ANNEX ES 10894) - MAUBAN QUEZ</t>
  </si>
  <si>
    <t>BARANGAY CADLAN, PILI, CAMARINES SUR</t>
  </si>
  <si>
    <t>BARANGAY CABANBANAN, DIMIAO - DIMIAO BOHOL</t>
  </si>
  <si>
    <t>BARANGAY GOV. VICENTE DUTERTE, DAVAO CITY</t>
  </si>
  <si>
    <t>BARANGAY BATO - MABINAY,NEGROS ORIENTAL</t>
  </si>
  <si>
    <t>MUNICIPALITY OF SANTA MARIA, BULACAN</t>
  </si>
  <si>
    <t>BARANGAY 6A, TACLOBAN CITY, LEYTE</t>
  </si>
  <si>
    <t>RIZALUNA ELEMENTARY SCHOOL - CORDON ISABELA</t>
  </si>
  <si>
    <t>BARANGAY POBLACION - KALAWIT ZAMBOANGA DEL NORTE</t>
  </si>
  <si>
    <t>PROVINCE OF LEYTE</t>
  </si>
  <si>
    <t>CAMARINES NORTE STATE COLLEGE</t>
  </si>
  <si>
    <t>SAGAY WATER DISTRICT</t>
  </si>
  <si>
    <t>BARANGAY KAHAPONAN, VALENCIA CITY</t>
  </si>
  <si>
    <t>MUNICIPALITY OF QUEZON, PALAWAN</t>
  </si>
  <si>
    <t>DEPARTMENT OF PUBLIC WORKS AND HIGHWAYS - LEYTE 3RD DEO</t>
  </si>
  <si>
    <t>CAPIZ PROVINCIAL GOVERNMENT</t>
  </si>
  <si>
    <t>DEPARTMENT OF PUBLIC WORKS AND HIGHWAYS - CAVITE II DISTRICT</t>
  </si>
  <si>
    <t>MUNICIPALITY OF CAJIDIOCAN, ROMBLON</t>
  </si>
  <si>
    <t>TECHNICAL EDUCATION &amp; SKILLS DEVELOPMENT AUTHORITY-  ISABELA</t>
  </si>
  <si>
    <t>PHILIPPINE FIBER INDUSTRY DEVELOPMENT AUTHORITY - NCR/REGION</t>
  </si>
  <si>
    <t>MUNICIPALITY OF SIGAY, ILOCOS SUR</t>
  </si>
  <si>
    <t>BARANGAY  BERSHIBA, KITAOTAO, BUKIDNON</t>
  </si>
  <si>
    <t>BARANGAY TUPANG, ALCALA, CAGAYAN</t>
  </si>
  <si>
    <t>MUNICIPALITY OF DON VICTORIANO CHIONGBIAN, MIS. OCCIDENTAL</t>
  </si>
  <si>
    <t>BARANGAY STA. MONICA, NOVALICHES, QUEZON CITY</t>
  </si>
  <si>
    <t>BARANGAY ROSARIO - LOPEZ QUEZON</t>
  </si>
  <si>
    <t>GUIMARAS NATIONAL CROPS RESEARCH, DEVELOPMENT &amp; PRODUCTION S</t>
  </si>
  <si>
    <t>DEPARTMENT OF PUBLIC WORKS AND HIGHWAYS - REGION II</t>
  </si>
  <si>
    <t>MUNICIPALITY OF MAIGO, LANAO DEL NORTE</t>
  </si>
  <si>
    <t>BARANGAY SAN ISIDRO - MAUBAN QUEZON</t>
  </si>
  <si>
    <t>BARANGAY VISAYAN VILLAGE, TAGUM CITY</t>
  </si>
  <si>
    <t>SK OF  BARANGAY MAGALLANES - MAKATI CITY</t>
  </si>
  <si>
    <t>MUNICIPALITY OF KIBAWE , BUKIDNON</t>
  </si>
  <si>
    <t>MABINI WATER DISTRICT</t>
  </si>
  <si>
    <t>MUNICIPALITY OF TAPAZ, CAPIZ</t>
  </si>
  <si>
    <t>DEPARTMENT OF PUBLIC WORKS AND HIGHWAYS - DAVAO CITY II DEO</t>
  </si>
  <si>
    <t>MUNICIPALITY OF SALCEDO, ILOCOS SUR</t>
  </si>
  <si>
    <t>PROVINCE OF LA UNION</t>
  </si>
  <si>
    <t>MUNICIPALITY OF MALALAG, DAVAO DEL SUR</t>
  </si>
  <si>
    <t>MUNICIPALITY OF PALAPAG, NORTHERN SAMAR</t>
  </si>
  <si>
    <t>BARANGAY STO.NINO, MARIKINA CITY</t>
  </si>
  <si>
    <t>LUTUCAN CENTRAL SCHOOL - SARIAYA QUEZON</t>
  </si>
  <si>
    <t>BARANGAY 267 ZONE 24 DISTRICT II, MANILA</t>
  </si>
  <si>
    <t>LIGA NG BARANGAY MAASIN ILOILO</t>
  </si>
  <si>
    <t>BARANGAY LINGLINGAY</t>
  </si>
  <si>
    <t>BARANGAY TAOD-OY, MUNICIPALITY OF MAGALLANES, AGUSAN DEL NOR</t>
  </si>
  <si>
    <t>PROVINCE OF BILIRAN</t>
  </si>
  <si>
    <t>BARANGAY POBLACION, BURDEOS, QUEZON</t>
  </si>
  <si>
    <t>MUNICIPALITY OF BALANGKAYAN, EASTERN SAMAR</t>
  </si>
  <si>
    <t>BARANGAY TINAGO SAN ISIDRO LEYTE</t>
  </si>
  <si>
    <t>CITY OF CANDON, ILOCOS SUR</t>
  </si>
  <si>
    <t>BARANGAY MAILAG, VALENCIA CITY</t>
  </si>
  <si>
    <t>BARANGAY BANABA CENTER, BATANGAS CITY</t>
  </si>
  <si>
    <t>MUNICIPALITY OF MAASIN, ILOILO</t>
  </si>
  <si>
    <t>BARANGAY ALANGILAN, ABUYOG, LEYTE</t>
  </si>
  <si>
    <t>ANTIPOLO NATIONAL HIGH SCHOOL - MINALABAC CAMARINES SUR</t>
  </si>
  <si>
    <t>BARANGAY PULANTUBIG - DUMAGUETE CITY</t>
  </si>
  <si>
    <t>PHILIPPINE AMUSEMENT AND GAMING CORPORATION - ANGELES</t>
  </si>
  <si>
    <t>BARANGAY MARAYKIT - SAN JUAN BATANGAS</t>
  </si>
  <si>
    <t>MUNICIPALITY OF BARLIG MOUNTAIN PROVINCE</t>
  </si>
  <si>
    <t>BARANGAY CANTANDOG I, HILONGOS, LEYTE</t>
  </si>
  <si>
    <t>MUNICIPALITY OF HINOBA-AN, NEGROS OCCIDENTAL</t>
  </si>
  <si>
    <t>MUNICIPALITY OF GREGORIO DEL PILAR, ILOCOS SUR</t>
  </si>
  <si>
    <t>MUNICIPALITY OF ROSARIO, NORTHERN SAMAR</t>
  </si>
  <si>
    <t>DEPARTMENT OF PUBLIC WORKS AND HIGHWAYS - LEYTE 4TH DEO</t>
  </si>
  <si>
    <t>BARANGAY BAGAHABAG SOLANO NUEVA VIZCAYA</t>
  </si>
  <si>
    <t>BARANGAY BATU-PARADA, STA. ANA, CAGAYAN</t>
  </si>
  <si>
    <t>MUNICIPALITY OF DANGLAS, ABRA</t>
  </si>
  <si>
    <t>BARANGAY CAÑORONG, GINATILAN, CEBU</t>
  </si>
  <si>
    <t>NATIONAL IRRIGATION ADMINISTRATION - MALITUBOG-MARIDAGAO IRR</t>
  </si>
  <si>
    <t>BARANGAY PUDI KASIBU NUEVA VIZCAYA</t>
  </si>
  <si>
    <t>BARANGAY 1 POBLACION GENERAL LUNA QUEZON</t>
  </si>
  <si>
    <t>DEPARTMENT OF HEALTH REGIONAL OFFICE II</t>
  </si>
  <si>
    <t>DEPARTMENT OF EDUCATION - DIVISION OF ZAMBOANGA CITY</t>
  </si>
  <si>
    <t>MUNICIPALITY OF TUDELA, CEBU</t>
  </si>
  <si>
    <t>MUNICIPALITY OF VICTORIA, LAGUNA</t>
  </si>
  <si>
    <t>BARANGAY GUYAM MUNTI INDANG CAVITE</t>
  </si>
  <si>
    <t>BARANGAY GAPAS - GUINAYANGAN QUEZON</t>
  </si>
  <si>
    <t>COMMISSION ON POPULATION - REGION III</t>
  </si>
  <si>
    <t>BARANGAY ANTAO ,CARMEN SURIGAO DEL SUR</t>
  </si>
  <si>
    <t>MAJADA IN NATIONAL HIGH SCHOOL</t>
  </si>
  <si>
    <t>MUNICIPALITY OF AGDANGAN, QUEZON</t>
  </si>
  <si>
    <t>BARANGAY RIZAL - SORSOGON CITY SORSOGON</t>
  </si>
  <si>
    <t>PHILIPPINE NATIONAL POLICE - REGION VII</t>
  </si>
  <si>
    <t>BARANGAY BUKAL SUR, CANDELARIA, QUEZON</t>
  </si>
  <si>
    <t>SOUTHERN LEYTE STATE UNIVERSITY - TOMAS OPPUS</t>
  </si>
  <si>
    <t>PHILIPPINE TRADE TRAINING CENTER</t>
  </si>
  <si>
    <t>DEPARTMENT OF EDUCATION - DIVISION OF CAMARINES SUR</t>
  </si>
  <si>
    <t>MUNICIPALITY OF DAPA, SURIGAO DEL NORTE</t>
  </si>
  <si>
    <t>BARANGAY MACALIBRE - SERGIO OSMEÑA, ZAMBOANGA DEL NORTE</t>
  </si>
  <si>
    <t>PAROLE AND PROBATION ADMNISTRATION - REGION XII</t>
  </si>
  <si>
    <t>MUNICIPALITY OF DEL CARMEN, SURIGAO DEL NORTE</t>
  </si>
  <si>
    <t>DEPARTMENT OF PUBLIC WORKS AND HIGHWAYS - ILOILO CITY DEO</t>
  </si>
  <si>
    <t>MUNICIPALITY OF IPIL, ZAMBOANGA SIBUGAY</t>
  </si>
  <si>
    <t>PHILIPPINE HEALTH INSURANCE CORPORATION - REGION IX</t>
  </si>
  <si>
    <t>MUNICIPALITY OF CABUSAO, CAMARINES SUR</t>
  </si>
  <si>
    <t>BARANGAY ARACAY -  PANDAN ANTIQUE</t>
  </si>
  <si>
    <t>MUNICIPALITY OF SAN MIGUEL, BOHOL</t>
  </si>
  <si>
    <t>BARANGAY IPIL, MAGDIWANG, ROMBLON</t>
  </si>
  <si>
    <t>CENTRAL BICOL STATE UNIVERSITY OF AGRICULTURE-SIPOCOT CAMPUS</t>
  </si>
  <si>
    <t>PHILIPPINE HEALTH INSURANCE CORPORATION - REGION VIII</t>
  </si>
  <si>
    <t>MUNICIPALITY OF TAMBULIG, ZAMBOANGA DEL SUR</t>
  </si>
  <si>
    <t>CITY OF TUGUEGARAO, CAGAYAN</t>
  </si>
  <si>
    <t>CIVIL AVIATION AUTHORITY OF THE PHILIPPINES - DUMAGUETE</t>
  </si>
  <si>
    <t>GINGOOG CITY WATER DISTRICT</t>
  </si>
  <si>
    <t>BARANGAY MINAPAN - TULUNAN COTABATO</t>
  </si>
  <si>
    <t>BARANGAY CENTRO, STA. ANA, CAGAYAN</t>
  </si>
  <si>
    <t>CITY  OF HIMAMAYLAN, NEGROS OCCIDENTAL</t>
  </si>
  <si>
    <t>BARANGAY CENTRO WEST, ALLACAPAN. CAGAYAN</t>
  </si>
  <si>
    <t>MUNICIPALITY OF CALACA, BATANGAS</t>
  </si>
  <si>
    <t>CONCEPCION WATER DISTRICT</t>
  </si>
  <si>
    <t>MUNICIPALITY OF CATARMAN, CAMIGUIN</t>
  </si>
  <si>
    <t>MUNICIPALITY OF CARMEN, CEBU</t>
  </si>
  <si>
    <t>MUNICIPALITY OF DANAO, BOHOL</t>
  </si>
  <si>
    <t>BARANGAY TAGBAC SUR, OTON, ILOILO</t>
  </si>
  <si>
    <t>MUNICIPALITY OF KIAMBA, SARANGANI</t>
  </si>
  <si>
    <t>BARANGAY MABINI, BURDEOS, QUEZON</t>
  </si>
  <si>
    <t>RIO TUBA CENTRAL SCHOOL</t>
  </si>
  <si>
    <t>BARANGAY UTANAN - HILONGOS, LEYTE</t>
  </si>
  <si>
    <t>DEPARTMENT OF EDUCATION - DIVISION OF SOUTHERN LEYTE</t>
  </si>
  <si>
    <t>DEPARTMENT OF EDUCATION - DIVISION OF SAN FERNANDO CITY</t>
  </si>
  <si>
    <t>MUNICIPALITY OF STA. MARIA, ROMBLON</t>
  </si>
  <si>
    <t>MUNICIPALITY OF ALABEL, SARANGANI PROVINCE</t>
  </si>
  <si>
    <t>DEPARTMENT OF PUBLIC WORKS AND HIGHWAYS - CEBU 1ST DEO</t>
  </si>
  <si>
    <t>BARANGAY BULAG - BANTAY ILOCOS SUR</t>
  </si>
  <si>
    <t>DEPARTMENT OF PUBLIC WORKS AND HIGHWAYS - SOUTH COTABATO  1S</t>
  </si>
  <si>
    <t>UWISAN ELEMENTARY SCHOOL</t>
  </si>
  <si>
    <t>BARANGAY MAYAPOSI - MABINAY NEGROS ORIENTAL</t>
  </si>
  <si>
    <t>PHILIPPINE SCIENCE HIGH SCHOOL - CENTRAL MINDANAO CAMPUS</t>
  </si>
  <si>
    <t>BARANGAY AN-ANNAM  - BANTAY ILOCOS SUR</t>
  </si>
  <si>
    <t>DEPARTMENT OF EDUCATION - DIVISION OF BAYUGAN CITY</t>
  </si>
  <si>
    <t>BARANGAY CAMBALEON, SAN ISIDRO, DAVAO ORIENTAL</t>
  </si>
  <si>
    <t>MUNICIPALITY OF BONIFACIO, MISAMIS OCCIDENTAL</t>
  </si>
  <si>
    <t>CITY OF TAYABAS, QUEZON</t>
  </si>
  <si>
    <t>PHILIPPINE AIR FORCE</t>
  </si>
  <si>
    <t>BARANGAY LAZARETO, CALAPAN, ORIENTAL MINDORO</t>
  </si>
  <si>
    <t>SAN MIGUEL ELEMENTARY SCHOOL - MANOLO FORTICH BUKIDNON</t>
  </si>
  <si>
    <t>COMMISSION ON HIGHER EDUCATION - MAIN</t>
  </si>
  <si>
    <t>MUNICIPALITY OF STA. ANA, PAMPANGA</t>
  </si>
  <si>
    <t>PA BAC SECRETARIAT, AFP PROCUREMENT SERVICE</t>
  </si>
  <si>
    <t>NATIONAL WAGES AND PRODUCTIVITY COMMISSION</t>
  </si>
  <si>
    <t>BARANGAY PITOGO, MAKATI CITY</t>
  </si>
  <si>
    <t>MUNICIPALITY OF LANGIDEN, ABRA</t>
  </si>
  <si>
    <t>MUNICIPALITY OF MORONG, RIZAL</t>
  </si>
  <si>
    <t>MUNICIPALITY OF KABACAN, COTABATO</t>
  </si>
  <si>
    <t>PANGASINAN STATE UNIVERSITY - MAIN</t>
  </si>
  <si>
    <t>BARANGAY MAGSAYSAY NORTE CABANATUAN CITY,NUEVA ECIJA</t>
  </si>
  <si>
    <t>DEPARTMENT OF PUBLIC WORKS AND HIGHWAYS - CAPIZ 1ST DEO</t>
  </si>
  <si>
    <t>DEPARTMENT OF EDUCATION - MAIN</t>
  </si>
  <si>
    <t xml:space="preserve">DEPARTMENT OF  EDUCATION - SCHOOLS DIVISION OFFICE-DIVISION </t>
  </si>
  <si>
    <t>MUNICIPALITY OF PINABACDAO, SAMAR</t>
  </si>
  <si>
    <t>BARANGAY TAVORA EAST, PUGO, LA UNION</t>
  </si>
  <si>
    <t>BARANGAY MATIAO, MATI, DAVAO ORIENTAL</t>
  </si>
  <si>
    <t>PHILIPPINE OVERSEAS EMPLOYMENT ADMINISTRATION</t>
  </si>
  <si>
    <t>NATIONAL IRRIGATION ADMINISTRATION - ZAMBOANGA SIBUGAY</t>
  </si>
  <si>
    <t>MUNICIPALITY OF STA. CRUZ, ILOCOS SUR</t>
  </si>
  <si>
    <t>BARANGAY PONSO, POLANGUI, ALBAY</t>
  </si>
  <si>
    <t>MUNICIPALITY OF SARANGANI, DAVAO OCCIDENTAL</t>
  </si>
  <si>
    <t>BARANGAY POBLACION, SIBONGA, CEBU</t>
  </si>
  <si>
    <t>NATIONAL ECONOMIC AND DEVELOPMENT AUTHORITY - REGION IX</t>
  </si>
  <si>
    <t>BENIGNO S. AQUINO NATIONAL HIGH SCHOOL</t>
  </si>
  <si>
    <t>MUNICIPALITY OF LIBACAO, AKLAN</t>
  </si>
  <si>
    <t>KORONADAL WATER DISTRICT</t>
  </si>
  <si>
    <t>PHILIPPINE MERCHANT MARINE ACADEMY</t>
  </si>
  <si>
    <t>MUNICIPALITY OF MALIMONO, SURIGAO DEL NORTE</t>
  </si>
  <si>
    <t>DEPARTMENT OF TRADE AND INDUSTRY - REGION VIII</t>
  </si>
  <si>
    <t>BARANGAY SAN ISIDRO, JARO, ILOILO</t>
  </si>
  <si>
    <t>MUNICIPALITY OF BAUAN, BATANGAS</t>
  </si>
  <si>
    <t>MUNICIPALITY OF LARENA, SIQUIJOR</t>
  </si>
  <si>
    <t>BARANGAY SAN ROQUE - ALAMINOS CITY</t>
  </si>
  <si>
    <t>BARANGAY ATULAYAN NORTE - TUGUEGARAO CITY CAGAYAN</t>
  </si>
  <si>
    <t>BARANGAY PAGSABANGAN, TAGUM CITY</t>
  </si>
  <si>
    <t>MUNICIPALITY OF PULILAN, BULACAN</t>
  </si>
  <si>
    <t>PHILIPPINE DEPOSIT INSURANCE CORPORATION</t>
  </si>
  <si>
    <t>MUNICIPALITY OF BAUANG, LA UNION</t>
  </si>
  <si>
    <t>BARANGAY 2, SAN JOSE, ANTIQUE</t>
  </si>
  <si>
    <t>MUNICIPALITY OF SAN LUIS, PAMPANGA</t>
  </si>
  <si>
    <t>CALABANGA WATER DISTRICT</t>
  </si>
  <si>
    <t>AGUDO ELEMENTARY SCHOOL</t>
  </si>
  <si>
    <t>MUNICIPALITY OF TALACOGON, AGUSAN DEL SUR</t>
  </si>
  <si>
    <t>DEPARTMENT OF EDUCATION - DIVISION OF SURIGAO DEL NORTE</t>
  </si>
  <si>
    <t>DEPARTMENT OF  EDUCATION - DIVISION OF SAN FERNANDO CITY</t>
  </si>
  <si>
    <t>MUNICIPALITY OF SAN LUIS, AURORA</t>
  </si>
  <si>
    <t>MUNICIPALITY OF PANDAN, ANTIQUE</t>
  </si>
  <si>
    <t>DEPARTMENT OF PUBLIC WORKS AND HIGHWAYS - LAGUNA 1ST ED</t>
  </si>
  <si>
    <t>BARANGAY COGON, TANAUAN, LEYTE</t>
  </si>
  <si>
    <t>MUNICIPALITY OF BALO-I, LANAO DEL NORTE</t>
  </si>
  <si>
    <t>MUNICIPALITY OF SAN NICOLAS, BATANGAS</t>
  </si>
  <si>
    <t>BUREAU OF SOILS AND WATER MANAGEMENT</t>
  </si>
  <si>
    <t>BARANGAY PICAS, TANAUAN, LEYTE</t>
  </si>
  <si>
    <t>MUNICIPALITY OF MABINI, BATANGAS</t>
  </si>
  <si>
    <t>BARANGAY AÑATO, PAGBILAO, QUEZON</t>
  </si>
  <si>
    <t>BARANGAY DUYONG PANDAN ANTIQUE</t>
  </si>
  <si>
    <t>MUNICIPALITY OF GIGMOTO, CATANDUANES</t>
  </si>
  <si>
    <t>BARANGAY  SAN FRANCISCO - SAN NICOLAS ILOCOS NORTE</t>
  </si>
  <si>
    <t>DEPARTMENT OF TRADE AND INDUSTRY - MAIN</t>
  </si>
  <si>
    <t>BARANGAY MARKET SITE, MOGPOG, MARINDUQUE</t>
  </si>
  <si>
    <t>CENTER FOR HEALTH DEVELOPMENT - REGION III</t>
  </si>
  <si>
    <t>MUNICIPALITY OF TUNGA, LEYTE</t>
  </si>
  <si>
    <t>DEPARTMENT OF EDUCATION - DIVISION OF DAVAO DEL NORTE</t>
  </si>
  <si>
    <t>PALO ALTO ELEMENTARY SCHOOL</t>
  </si>
  <si>
    <t>BUREAU OF FIRE PROTECTION - NCR</t>
  </si>
  <si>
    <t>BARANGAY SAMBULAWAN, LEYTE, LEYTE</t>
  </si>
  <si>
    <t>MUNICIPALITY OF QUEZON, NUEVA VIZCAYA</t>
  </si>
  <si>
    <t>BARANGAY PANGHAYAAN - TAYSAN, BATANGAS</t>
  </si>
  <si>
    <t>DEPARTMENT OF TRADE AND INDUSTRY - REGION I</t>
  </si>
  <si>
    <t>BARANGAY SAN RAMON - SORSOGON CITY</t>
  </si>
  <si>
    <t>MUNICIPALITY OF NAVAL, BILIRAN</t>
  </si>
  <si>
    <t>BARANGAY TUGTUG, SAN JOSE, BATANGAS</t>
  </si>
  <si>
    <t>BARANGAY DEL ROSARIO - SORSOGON CITY</t>
  </si>
  <si>
    <t>BARANGAY SAMPALOC EAST SORSOGON CITY SORSOGON</t>
  </si>
  <si>
    <t>BARANGAY RITAGLENDA - BASILISA DINAGAT ISLAND</t>
  </si>
  <si>
    <t>BARANGAY STA. LUCIA, BACON, SOROGON CITY</t>
  </si>
  <si>
    <t>BARANGAY CARICARAN SORSOGON CITY SORSOGON</t>
  </si>
  <si>
    <t>BARANGAY CALIBAN - MURCIA NEGROS OCCIDENTAL</t>
  </si>
  <si>
    <t>MUNICIPALITY OF CULABA, BILIRAN</t>
  </si>
  <si>
    <t>MUNICIPALITY OF STA. CATALINA, ILOCOS SUR</t>
  </si>
  <si>
    <t>MUNICIPALITY OF MENDEZ-NUÑEZ, CAVITE</t>
  </si>
  <si>
    <t>MUNICIPALITY OF BORBON, CEBU</t>
  </si>
  <si>
    <t>MUNICIPALITY OF GUAGUA, PAMPANGA</t>
  </si>
  <si>
    <t>MUNICIPALITY OF DASOL, PANGASINAN</t>
  </si>
  <si>
    <t>BARANGAY SAN RAFAEL VILLAGE, NAVOTAS</t>
  </si>
  <si>
    <t>BARANGAY CAWAYANAN - MABINI BOHOL</t>
  </si>
  <si>
    <t>BARANGAY MALAPOC  DANAO CITY CEBU</t>
  </si>
  <si>
    <t>PHILIPPINE NATIONAL POLICE - REGION XI</t>
  </si>
  <si>
    <t>BARANGAY MATACLA - GOA CAMARINES SUR</t>
  </si>
  <si>
    <t>MUNICIPALITY OF CASTILLA, SORSOGON</t>
  </si>
  <si>
    <t>MUNICIPALITY OF KUMALARANG, ZAMBOANGA DEL SUR</t>
  </si>
  <si>
    <t>MUNICIPALITY OF SAN ANDRES, QUEZON</t>
  </si>
  <si>
    <t>BARANGAY COGON - KAPUTIAN</t>
  </si>
  <si>
    <t>MUNICIPALITY OF LLORENTE, EASTERN SAMAR</t>
  </si>
  <si>
    <t>BARANGAY BADIANGON SOUTHERN LEYTE</t>
  </si>
  <si>
    <t>TARIFF COMMISSION, NEDA</t>
  </si>
  <si>
    <t>MUNICIPALITY OF LAGAWE, IFUGAO</t>
  </si>
  <si>
    <t>WESTERN VISAYAS SANITARIUM - DOH</t>
  </si>
  <si>
    <t>BARANGAY GUN-OB - LAPU-LAPU CITY</t>
  </si>
  <si>
    <t>MUNICIPALITY OF SAN JORGE, SAMAR</t>
  </si>
  <si>
    <t>BARANGAY  DAGUPAN - TUAO CAGAYAN</t>
  </si>
  <si>
    <t>GUIUAN WATER DISTRICT</t>
  </si>
  <si>
    <t>BARANGAY BARANCUAG - TUAO CAGAYAN</t>
  </si>
  <si>
    <t>DEPARTMENT OF EDUCATION - DIVISION OF ILIGAN CITY</t>
  </si>
  <si>
    <t>MUNICIPALITY OF SIBULAN, NEGROS ORIENTAL</t>
  </si>
  <si>
    <t>RIZAL ELEMENTARY SCHOOL</t>
  </si>
  <si>
    <t>DEPARTMENT OF PUBLIC WORKS AND HIGHWAYS - LANAO DEL NORTE 2N</t>
  </si>
  <si>
    <t>MUNICIPALITY OF SILAGO, SOUTHERN LEYTE</t>
  </si>
  <si>
    <t>BARANGAY POBLACION CANDELARIA, QUEZON</t>
  </si>
  <si>
    <t>DEPARTMENT OF PUBLIC WORKS AND HIGHWAYS - METRO MANILA 1ST E</t>
  </si>
  <si>
    <t>PHILIPPINE COCONUT AUTHORITY - REGION XII</t>
  </si>
  <si>
    <t>BARANGAY BAGUMBAYAN, TUAO, CAGAYAN</t>
  </si>
  <si>
    <t>MUNICIPALITY OF SAN DIONISIO, ILOILO</t>
  </si>
  <si>
    <t>DEPARTMENT OF SCIENCE AND TECHNOLOGY - REGION V</t>
  </si>
  <si>
    <t>MUNICIPALITY OF BARCELONA, SORSOGON</t>
  </si>
  <si>
    <t>BARANGAY RANG AY, CABATUAN, ISABELA</t>
  </si>
  <si>
    <t>CITY  OF CAVITE</t>
  </si>
  <si>
    <t>BARANGAY BURIAS, MAMBUSAO, CAPIZ</t>
  </si>
  <si>
    <t>DEPARTMENT OF ENVIRONMENT AND NATURAL RES. - PENRO, ILOILO</t>
  </si>
  <si>
    <t>MUNICIPALITY OF KAWIT,CAVITE</t>
  </si>
  <si>
    <t>MUNICIPALITY OF MEDINA, MISAMIS ORIENTAL</t>
  </si>
  <si>
    <t>BARANGAY NAPNAPAN NORTE, TIGBAUAN, ILOILO</t>
  </si>
  <si>
    <t>BARANGAY BALAT-AN, MAMBUSAO, CAPIZ</t>
  </si>
  <si>
    <t>MUNICIPALITY OF CABATUAN, ISABELA</t>
  </si>
  <si>
    <t>DEVELOPMENT BANK OF THE PHILIPPINES - TACLOBAN BRANCH</t>
  </si>
  <si>
    <t>BARANGAY CARANGIAN, TARLAC CITY, TARLAC</t>
  </si>
  <si>
    <t>MUNICIPALITY OF BARILI, CEBU</t>
  </si>
  <si>
    <t>MUNICIPALITY OF BACONG, NEGROS ORIENTAL</t>
  </si>
  <si>
    <t>BARANGAY GOGO - ESTANCIA ILOILO</t>
  </si>
  <si>
    <t>MUNICIPALITY OF ALANGALANG, LEYTE</t>
  </si>
  <si>
    <t>BARANGAY UBAUB, ARGAO, CEBU</t>
  </si>
  <si>
    <t>MUNICIPALITY OF VICTORIA, NORTHERN SAMAR</t>
  </si>
  <si>
    <t>MUNICIPALITY OF BENITO SOLIVEN, ISABELA</t>
  </si>
  <si>
    <t>NATIONAL MARITIME POLYTECHNIC - REGION VIII</t>
  </si>
  <si>
    <t>BARANGAY SAGUINSINAN - PITOGO QUEZON</t>
  </si>
  <si>
    <t>DEPARTMENT OF AGRARIAN REFORM - AGUSAN DEL SUR</t>
  </si>
  <si>
    <t>MUNICIPALITY OF UBAY, BOHOL</t>
  </si>
  <si>
    <t>DEPARTMENT OF EDUCATION - DIVISION OF EL SALVADOR CITY</t>
  </si>
  <si>
    <t>MUNICIPALITY OF ASTURIAS, CEBU</t>
  </si>
  <si>
    <t>ASSOCIATION OF BARANGAY TREASURERS - GEN. MAMERTO NATIVIDAD</t>
  </si>
  <si>
    <t>BARANGAY CABULIHAN - LIMASAWA SOUTHERN LEYTE</t>
  </si>
  <si>
    <t>MUNICIPALITY OF BULAKAN BULACAN</t>
  </si>
  <si>
    <t>MUNICIPALITY OF GAMAY, NORTHERN SAMAR</t>
  </si>
  <si>
    <t>BARANGAY DONA FLAVIA, SAN LUIS, AGUSAN DEL SUR</t>
  </si>
  <si>
    <t>BARANGAY TUBAN, STA. CRUZ, DAVAO DEL SUR</t>
  </si>
  <si>
    <t>MACALINAO ELEMENTARY SCHOOL</t>
  </si>
  <si>
    <t>SK OF BARANGAY BANGKAL - MAKATI CITY</t>
  </si>
  <si>
    <t>MUNICIPALITY OF LEON B. POSTIGO, ZAMBOANGA DEL NORTE</t>
  </si>
  <si>
    <t>BARANGAY MANINANG, SAPIAN, CAPIZ</t>
  </si>
  <si>
    <t>BARANGAY INMALOG, SISON, PANGASINAN</t>
  </si>
  <si>
    <t>BARANGAY SAN VICENTE BACON  SORSOGON CITY</t>
  </si>
  <si>
    <t>BARANGAY TALAGA, ARGAO, CEBU</t>
  </si>
  <si>
    <t>POLYTECHNIC UNIVERSITY OF THE PHILIPPINES</t>
  </si>
  <si>
    <t>METRO KALIBO WATER DISTRICT</t>
  </si>
  <si>
    <t>MUNICIPALITY OF BALIWAG, BULACAN</t>
  </si>
  <si>
    <t>MUNICIPALITY OF RIZAL, CAGAYAN</t>
  </si>
  <si>
    <t>MUNICIPALITY OF HAGONOY, DAVAO DEL SUR</t>
  </si>
  <si>
    <t>MUNICIPALITY OF JOSEFINA, ZAMBOANGA DEL SUR</t>
  </si>
  <si>
    <t>MUNICIPALITY OF LABO, CAMARINES NORTE</t>
  </si>
  <si>
    <t>BANI WATER DISTRICT</t>
  </si>
  <si>
    <t>MUNICIPALITY OF BALUD, MASBATE</t>
  </si>
  <si>
    <t>BARANGAY POBLACION, MABINI, BATANGAS</t>
  </si>
  <si>
    <t>BARANGAY DASMARIÑAS, MAKATI CITY</t>
  </si>
  <si>
    <t>MUNICIPALITY OF LILA,  BOHOL</t>
  </si>
  <si>
    <t>MUNICIPALITY OF INABANGA, BOHOL</t>
  </si>
  <si>
    <t>PHILIPPINE INSTITUTE OF VOLCANOLOGY AND SEISMOLOGY</t>
  </si>
  <si>
    <t>DR. VICENTE F. GUSTILO MEMORIAL NATIONAL HIGH SCHOOL</t>
  </si>
  <si>
    <t>BARANGAY SAN AGUSTIN - TAGUM CITY</t>
  </si>
  <si>
    <t>BARANGAY STA. CRUZ, AGONCILLO, BATANGAS</t>
  </si>
  <si>
    <t>MUNICIPALITY OF JONES, ISABELA</t>
  </si>
  <si>
    <t>MUNICIPALITY OF BARAS, CATANDUANES</t>
  </si>
  <si>
    <t>MUNICIPALITY OF LA LIBERTAD ZAMBOANGA DEL NORTE</t>
  </si>
  <si>
    <t>MUNICIPALITY OF MAGDIWANG, ROMBLON</t>
  </si>
  <si>
    <t>GALAS NATIONAL HIGH SCHOOL</t>
  </si>
  <si>
    <t>CAMIGUIN POLYTECHNIC STATE COLLEGE</t>
  </si>
  <si>
    <t>NEGROS OCCIDENTAL HIGH SCHOOL</t>
  </si>
  <si>
    <t>BARANGAY IMELDA, MONDRAGON, NORTHERN SAMAR</t>
  </si>
  <si>
    <t>BARANGAY PIAO-ROXAS, ZAMBOANGA DEL NORTE</t>
  </si>
  <si>
    <t>MUNICIPALITY OF OLUTANGA, ZAMBOANGA SIBUGAY</t>
  </si>
  <si>
    <t>BARANGAY HIMO-AW, HILONGOS, LEYTE</t>
  </si>
  <si>
    <t>BARANGAY TOMADO - ALEOSAN COTABATO</t>
  </si>
  <si>
    <t>BARANGAY CAYANG BOGO CEBU</t>
  </si>
  <si>
    <t>BARANGAY BOLIBOLIHAN - MABINAY NEGROS ORIENTAL</t>
  </si>
  <si>
    <t>BARANGAY ZONE 15 - BAYBAY CITY LEYTE</t>
  </si>
  <si>
    <t>BARANGAY NANCAMARINAN - PANIQUI, TARLAC</t>
  </si>
  <si>
    <t>DIGOS WATER DISTRICT</t>
  </si>
  <si>
    <t>BARANGAY TABOK, MANDAUE CITY</t>
  </si>
  <si>
    <t>WEST VISAYAS STATE UNIVERSITY</t>
  </si>
  <si>
    <t>MUNICIPALITY OF CALBIGA, SAMAR</t>
  </si>
  <si>
    <t>BARANGAY STO. DOMINGO, BACON DISTRICT SORSOGON CITY</t>
  </si>
  <si>
    <t>BARANGAY NAVAL, HILONGOS, LEYTE</t>
  </si>
  <si>
    <t>BARANGAY MANDUS, LINGIG, SURIGAO DEL SUR</t>
  </si>
  <si>
    <t>BARANGAY PILIT, STA. FE, LEYTE</t>
  </si>
  <si>
    <t>BARANGAY CALUMPANG, OSLOB, CEBU</t>
  </si>
  <si>
    <t>BARANGAY BUENAVISTA - BAYBAY CITY LEYTE</t>
  </si>
  <si>
    <t>BARANGAY POBLACION, MAGDIWANG, ROMBLON</t>
  </si>
  <si>
    <t>MUNICIPALITY OF SAN MANUEL, TARLAC</t>
  </si>
  <si>
    <t>MUNICIPALITY OF PURA, TARLAC</t>
  </si>
  <si>
    <t>OFFICE OF THE SOLICITOR GENERAL</t>
  </si>
  <si>
    <t>DEPARTMENT OF EDUCATION - DIVISION OF BILIRAN</t>
  </si>
  <si>
    <t>DEPARTMENT OF AGRARIAN REFORM - CAUAYAN CITY, ISABELA</t>
  </si>
  <si>
    <t>TANAY WATER DISTRICT</t>
  </si>
  <si>
    <t>DEPARTMENT OF PUBLIC WORKS AND HIGHWAYS - NEG. OCC. 1ST DEO</t>
  </si>
  <si>
    <t>PHILIPPINE COCONUT AUTHORITY - REGION VIII</t>
  </si>
  <si>
    <t>SANDIGANBAYAN</t>
  </si>
  <si>
    <t>BARANGAY ALO, OSLOB, CEBU</t>
  </si>
  <si>
    <t>DEPARTMENT OF PUBLIC WORKS AND HIGHWAYS - CEBU 3RD DEO</t>
  </si>
  <si>
    <t>MUNICIPALITY OF JIABONG, SAMAR</t>
  </si>
  <si>
    <t>BARANGAY MADAYMEN, KIBUNGAN, BENGUET</t>
  </si>
  <si>
    <t>BATANES GENERAL HOSPITAL</t>
  </si>
  <si>
    <t>MUNICIPALITY OF SAN RAFAEL, ILOILO</t>
  </si>
  <si>
    <t xml:space="preserve">DEPARTMENT OF EDUCATION, DIVISION OF DAVAO DEL SUR </t>
  </si>
  <si>
    <t>DEPARTMENT OF PUBLIC WORKS AND HIGHWAYS - LEYTE 5TH ED</t>
  </si>
  <si>
    <t>CITY OF SAN JUAN</t>
  </si>
  <si>
    <t>KAWAYAN ELEMNTARY SCHOOL</t>
  </si>
  <si>
    <t>MUNICIPALITY OF BAYAMBANG - PANGASINAN</t>
  </si>
  <si>
    <t>MUNICIPALITY OF BAGULIN, LA UNION</t>
  </si>
  <si>
    <t>BARANGAY BALITE, GUINOBATAN, ALBAY</t>
  </si>
  <si>
    <t>TUBOD-BAROY WATER DISTRICT</t>
  </si>
  <si>
    <t>LAL-LO WATER DISTRICT</t>
  </si>
  <si>
    <t>NATIONAL CAPITAL REGION POLICE OFFICE - PNP</t>
  </si>
  <si>
    <t>DEPARTMENT OF AGRARIAN REFORM - DAVAO DEL SUR</t>
  </si>
  <si>
    <t>DEPARTMENT OF EDUCATION - DIVISION OF EASTERN SAMAR</t>
  </si>
  <si>
    <t>MUNICIPALITY OF PLACER, SURIGAO DEL NORTE</t>
  </si>
  <si>
    <t>BARANGAY 1 MAPALAD, PALUAN, OCCIDENTAL MINDORO</t>
  </si>
  <si>
    <t>MUNICIPALITY OF TAYSAN, BATANGAS</t>
  </si>
  <si>
    <t>BARANGAY CALUMANGUIN, GUMACA, QUEZON</t>
  </si>
  <si>
    <t>MUNICIPALITY OF ROXAS, PALAWAN</t>
  </si>
  <si>
    <t xml:space="preserve">PHILIPPINE SCIENCE HIGH SCHOOL - ZAMBOANGA PENINSULA REGION </t>
  </si>
  <si>
    <t>BARANGAY ADA, TANAUAN, LEYTE</t>
  </si>
  <si>
    <t>BARANGAY HARRISON, PALUAN, OCCIDENTAL MINDORO</t>
  </si>
  <si>
    <t>BARANGAY AGSUR - SAPIAN CAPIZ</t>
  </si>
  <si>
    <t>DEPARTMENT OF EDUCATION - SCHOOLS DIVISION OF TACURONG CITY</t>
  </si>
  <si>
    <t>BARANGAY SAN ANDRES SANCHEZ MIRA CAGAYAN</t>
  </si>
  <si>
    <t>INSURANCE COMMISSION</t>
  </si>
  <si>
    <t>BARANGAY LINOBAYAN, TIGBAUAN, ILOILO</t>
  </si>
  <si>
    <t>MUNICIPALITY OF PILAR, SURIGAO DEL NORTE</t>
  </si>
  <si>
    <t>MUNICIPALITY OF BROOKE'S POINT, PALAWAN</t>
  </si>
  <si>
    <t>BARANGAY KAYAPA PROPER WEST - KAYAPA NUEVA VIZCAYA</t>
  </si>
  <si>
    <t>MUNICIPALITY OF PIAT, CAGAYAN</t>
  </si>
  <si>
    <t>BAROBO WATER DISTRICT</t>
  </si>
  <si>
    <t>ILOCOS NORTE NATIONAL HIGH SCHOOL</t>
  </si>
  <si>
    <t>MUNICIPALITY OF PILILLA, RIZAL</t>
  </si>
  <si>
    <t>BARANGAY BALILI, LA TRINIDAD, BENGUET</t>
  </si>
  <si>
    <t>DEPARTMENT OF PUBLIC WORKS AND HIGHWAYS - MT. PROVINCE I DEO</t>
  </si>
  <si>
    <t>MUNICIPALITY OF SAN JOSE, DINAGAT ISLANDS</t>
  </si>
  <si>
    <t>MUNICIPALITY OF SULAT, EASTERN SAMAR</t>
  </si>
  <si>
    <t>MUNICIPALITY OF MOTIONG, SAMAR</t>
  </si>
  <si>
    <t>MINDANAO STATE UNIVERSITY - SULU</t>
  </si>
  <si>
    <t>PAGSANGAHAN NATIONAL HIGH SCHOOL - SAN FRANCISCO QUEZON</t>
  </si>
  <si>
    <t>MUNICIPALITY OF TUBURAN, CEBU</t>
  </si>
  <si>
    <t>MUNICIPALITY OF CAPAS, TARLAC</t>
  </si>
  <si>
    <t>BARANGAY RIZAL - CASIGURAN SORSOGON</t>
  </si>
  <si>
    <t>BARANGAY CAMINDOROAN - SAN JUAN, ILOCOS SUR</t>
  </si>
  <si>
    <t>MUNICIPALITY OF ORION, BATAAN</t>
  </si>
  <si>
    <t>BARANGAY NAGSUPOTAN, SAN JUAN, ILOCOS SUR</t>
  </si>
  <si>
    <t>DEPARTMENT OF AGRARIAN REFORM - SULTAN KUDARAT</t>
  </si>
  <si>
    <t>MUNICIPALITY OF REAL, QUEZON</t>
  </si>
  <si>
    <t>BARANGAY MALALINTA - TUAO CAGAYAN</t>
  </si>
  <si>
    <t>BARANGAY SAN RAFAEL, ATIMONAN,QUEZON</t>
  </si>
  <si>
    <t>MUNICIPALITY OF PARANAS</t>
  </si>
  <si>
    <t>MUNICIPALITY OF SOCORRO , SURIGAO DEL NORTE</t>
  </si>
  <si>
    <t>ZAMBOANGA CITY STATE POLYTECHNIC COLLEGE</t>
  </si>
  <si>
    <t>MUNICIPALITY OF TUBOD, LANAO DEL NORTE</t>
  </si>
  <si>
    <t>MUNICIPALITY OF MARABUT, SAMAR</t>
  </si>
  <si>
    <t>BARANGAY UGAC NORTE, TUGUEGARAO CITY, CAGAYAN</t>
  </si>
  <si>
    <t>DEPARTMENT OF THE INTERIOR AND LOCAL GOVERNMENT - REGION VI</t>
  </si>
  <si>
    <t>MUNICIPALITY OF SAN JACINTO, PANGASINAN</t>
  </si>
  <si>
    <t>BARANGAY NARUANGAN - TUAO CAGAYAN</t>
  </si>
  <si>
    <t>BARANGAY TUBO-TUBO - MONKAYO, COMPOSTELA VALLEY</t>
  </si>
  <si>
    <t>MUNICIPALITY OF DAANBANTAYAN, CEBU</t>
  </si>
  <si>
    <t>MUNICIPALITY OF TARRAGONA, DAVAO ORIENTAL</t>
  </si>
  <si>
    <t>BARANGAY DAJA DIOT</t>
  </si>
  <si>
    <t>MUNICIPALITY OF USON, MASBATE</t>
  </si>
  <si>
    <t>BARANGAY BAYOMBON, MASBATE CITY</t>
  </si>
  <si>
    <t>BARANGAY BUG-OT, ARGAO, CEBU</t>
  </si>
  <si>
    <t>MUNICIPALITY OF VILLAREAL, SAMAR</t>
  </si>
  <si>
    <t>MUNICIPALITY OF AGUTAYA, PALAWAN</t>
  </si>
  <si>
    <t>DEPARTMENT OF EDUCATION - DIVISION OF MISAMIS OCCIDENTAL</t>
  </si>
  <si>
    <t>MUNICIPALITY OF MAYANTOC, TARLAC</t>
  </si>
  <si>
    <t>BASEY WATER DISTRICT</t>
  </si>
  <si>
    <t>BARANGAY 1ST DISTRICT - GAINZA CAMARINES SUR</t>
  </si>
  <si>
    <t>BENGUET GENERAL HOSPITAL</t>
  </si>
  <si>
    <t>BARANGAY SAN FRANCISCO, CONCEPCION, TARLAC</t>
  </si>
  <si>
    <t>BARANGAY SALVACION, ANINI-Y, ANTIQUE</t>
  </si>
  <si>
    <t>MUNICIPALITY OF MERIDA, LEYTE</t>
  </si>
  <si>
    <t>MUNICIPALITY OF OAS, ALBAY</t>
  </si>
  <si>
    <t>BARANGAY CABUGAO - CALINOG ILOILO</t>
  </si>
  <si>
    <t>DEPARTMENT OF PUBLIC WORKS AND HIGHWAYS - SOUTH COTABATO 1ST</t>
  </si>
  <si>
    <t>MUNICIPALITY OF PAMPLONA, CAMARINES SUR</t>
  </si>
  <si>
    <t>MUNICIPALITY OF DULAG, LEYTE</t>
  </si>
  <si>
    <t>MUNICIPALITY OF POLA, ORIENTAL MINDORO</t>
  </si>
  <si>
    <t>MUNICIPALITY OF LUGAIT, MISAMIS ORIENTAL</t>
  </si>
  <si>
    <t>BARANGAY DOÑA IMELDA, QUEZON CITY</t>
  </si>
  <si>
    <t>MUNICIPALITY OF PANAY, CAPIZ</t>
  </si>
  <si>
    <t>BARANGAY DANAO - MACARTHUR LEYTE</t>
  </si>
  <si>
    <t>BARANGAY POBLACION, AGONCILLO, BATANGAS</t>
  </si>
  <si>
    <t>MUNICIPALITY OF VILLABA, LEYTE</t>
  </si>
  <si>
    <t>BARANGAY POBLACION - TAMPAKAN SOUTH COTABATO</t>
  </si>
  <si>
    <t>BARANGAY SANTIAGO, SAN LUIS, AGUSAN DEL SUR</t>
  </si>
  <si>
    <t>MUNICIPALITY OF VILLAVERDE, NUEVA VIZCAYA</t>
  </si>
  <si>
    <t>MUNICIPALITY OF TUAO, CAGAYAN</t>
  </si>
  <si>
    <t>MUNICIPALITY OF QUINAPONDAN, EASTERN SAMAR</t>
  </si>
  <si>
    <t>BUREAU OF INTERNAL REVENUE - REVENUE REGION NO. 9B-LAQUEMAR</t>
  </si>
  <si>
    <t>MUNICIPALITY OF CARLES, ILOILO</t>
  </si>
  <si>
    <t>PHILIPPINE SCIENCE HIGH SCHOOL - REGION V</t>
  </si>
  <si>
    <t>DEPARTMENT OF PUBLIC WORKS AND HIGHWAYS - SOUTHERN MINDORO D</t>
  </si>
  <si>
    <t>PHILIPPINE ECONOMIC ZONE AUTHORITY</t>
  </si>
  <si>
    <t>MUNICIPALITY OF BRAULIO DUJALI, DAVAO DEL NORTE</t>
  </si>
  <si>
    <t>BARANGAY SAN ANTONIO DARAM SAMAR</t>
  </si>
  <si>
    <t>MUNICIPALITY OF IBA, ZAMBALES</t>
  </si>
  <si>
    <t>BARANGAY ESTRELLA, MABINI, BATANGAS</t>
  </si>
  <si>
    <t>BARANGAY ASLUMAN CARLES ILOILO</t>
  </si>
  <si>
    <t>MUNICIPALITY OF BACOLOR, PAMPANGA</t>
  </si>
  <si>
    <t>BARANGAY POBLACION STA. CATALINA NEGROS ORIENTAL</t>
  </si>
  <si>
    <t>CENTER FOR HEALTH DEVELOPMENT - REGION XI</t>
  </si>
  <si>
    <t>DEPARTMENT OF PUBLIC WORKS AND HIGHWAYS - MASBATE 2ND DEO</t>
  </si>
  <si>
    <t>MUNICIPALITY OF DATU BLAH T. SINSUAT - UPI MAGUINDANAO</t>
  </si>
  <si>
    <t>DEPARTMENT OF EDUCATION - DIVISION OF TAGUIG AND PATEROS</t>
  </si>
  <si>
    <t>BARANGAY LUMBO, VALENCIA CITY, BUKIDNON</t>
  </si>
  <si>
    <t>MUNICIPALITY OF MATANOG, MAGUINDANAO</t>
  </si>
  <si>
    <t>BARANGAY 20-B, DAVAO CITY</t>
  </si>
  <si>
    <t>NATIONAL LIBRARY OF THE PHILIPPINES</t>
  </si>
  <si>
    <t>MUNICIPALITY OF CATARMAN, NORTHERN SAMAR</t>
  </si>
  <si>
    <t>VNHS - SEWAHON EXTENSION HIGH SCHOOL - CADIZ CITY NEGROS OCC</t>
  </si>
  <si>
    <t>MUNICIPALITY OF CABIAO, NUEVA ECIJA</t>
  </si>
  <si>
    <t>MUNICIPALITY OF MAGSAYSAY, MISAMIS ORIENTAL</t>
  </si>
  <si>
    <t>PHILIPPINE CARABAO CENTER</t>
  </si>
  <si>
    <t>MUNICIPALITY OF TOLOSA, LEYTE</t>
  </si>
  <si>
    <t>DEPARTMENT OF PUBLIC WORKS AND HIGHWAYS - MIS. OCC. SUB-DEO</t>
  </si>
  <si>
    <t>DEPARTMENT OF EDUCATION - CARAGA</t>
  </si>
  <si>
    <t>BARANGAY NAGSAULAY - SAN JUAN BATANGAS</t>
  </si>
  <si>
    <t>BARANGAY KABATUAN - BAYBAY CITY LEYTE</t>
  </si>
  <si>
    <t>BARANGAY MANGAGAWA GUINAYANGAN QUEZON</t>
  </si>
  <si>
    <t>BARANGAY TOLIBAO, CAPOOCAN, LEYTE</t>
  </si>
  <si>
    <t>PHILIPPINE NATIONAL POLICE - REGION I</t>
  </si>
  <si>
    <t>DEPARTMENT OF PUBLIC WORKS AND HIGHWAYS - CEBU 6TH DEO</t>
  </si>
  <si>
    <t>MUNICIPALITY OF GLAN, SARANGANI PROVINCE</t>
  </si>
  <si>
    <t>NATIONAL TOBACCO ADMINISTRATION</t>
  </si>
  <si>
    <t>MUNICIPALITY OF PRESIDENT ROXAS, COTABATO</t>
  </si>
  <si>
    <t>MUNICIPALITY OF MAKATO, AKLAN</t>
  </si>
  <si>
    <t>BARANGAY CABUL-AN, CAPOOCAN, LEYTE</t>
  </si>
  <si>
    <t>DEPARTMENT OF EDUCATION - DIVISION OF CITY SCHOOLS, PARAÑAQU</t>
  </si>
  <si>
    <t>BARANGAY UGAC SUR - UGAC SUR TUGUEGARAO CITY</t>
  </si>
  <si>
    <t>PHILIPPINE RECLAMATION AUTHORITY</t>
  </si>
  <si>
    <t>MUNICIPALITY OF PATNANUNGAN, QUEZON</t>
  </si>
  <si>
    <t>MUNICIPALITY OF BALBALAN, KALINGA</t>
  </si>
  <si>
    <t>BARANGAY OF TALIWA MALITBOG SOUTHERN LEYTE</t>
  </si>
  <si>
    <t>MUNICIPALITY OF FAMY, LAGUNA</t>
  </si>
  <si>
    <t>CNHS-ANDRES BONIFACIO EXTENSION HIGH SCHOOL - CADIZ CITY NEG</t>
  </si>
  <si>
    <t>MUNICIPALITY OF SAN ENRIQUE, ILOILO</t>
  </si>
  <si>
    <t>MUNICIPALITY OF TUKURAN, ZAMBOANGA DEL SUR</t>
  </si>
  <si>
    <t>MUNICIPALITY OF BACNOTAN, LA UNION</t>
  </si>
  <si>
    <t>BARANGAY NAMABBALAN NORTE - TUGUEGARAO CITY CAGAYAN</t>
  </si>
  <si>
    <t>DEPARTMENT OF PUBLIC WORKS AND HIGHWAYS - NEG. OCC. 3RD DEO</t>
  </si>
  <si>
    <t>MUNICIPALITY OF TRINIDAD, BOHOL</t>
  </si>
  <si>
    <t>PHILIPPINE COCONUT AUTHORITY - ARMM</t>
  </si>
  <si>
    <t>BARANGAY LOSA DARAM SAMAR</t>
  </si>
  <si>
    <t>BARANGAY TIRIS - CASIGURAN SORSOGON</t>
  </si>
  <si>
    <t>MUNICIPALITY OF GLORIA, ORIENTAL MINDORO</t>
  </si>
  <si>
    <t>COMPOSTELA VALLEY STATE COLLEGE</t>
  </si>
  <si>
    <t>BARANGAY PANDAN - ALAMINOS, PANGASINAN</t>
  </si>
  <si>
    <t>MUNICIPALITY OF SAN PASCUAL, BATANGAS</t>
  </si>
  <si>
    <t>MUNICIPALITY OF JAMINDAN, CAPIZ</t>
  </si>
  <si>
    <t>BARANGAY MAMBAGO -B - ISLAND GARDEN CITY OF SAMAL, DAVAO DEL</t>
  </si>
  <si>
    <t>DEPARTMENT OF INFORMATION AND COMMUNICATIONS TECHNOLOGY REGI</t>
  </si>
  <si>
    <t>MUNICIPALITY OF MALILIPOT, ALBAY</t>
  </si>
  <si>
    <t>PHILIPPINE STATISTICS AUTHORITY-ILOCOS SUR</t>
  </si>
  <si>
    <t>MUNICIPALITY OF BALATAN, CAMARINES SUR</t>
  </si>
  <si>
    <t>MUNICIPALITY OF KAPANGAN, BENGUET</t>
  </si>
  <si>
    <t>DEPARTMENT OF  EDUCATION - DIVISION OF BATANES</t>
  </si>
  <si>
    <t>FOREST MANAGEMENT BUREAU ,DENR</t>
  </si>
  <si>
    <t>BARANGAY BUENAVISTA, SABLAYAN, OCCIDENTAL MINDORO</t>
  </si>
  <si>
    <t>MUNICIPALITY OF SANTIAGO, AGUSAN DEL NORTE</t>
  </si>
  <si>
    <t>MUNICIPALITY OF MATAAS NA KAHOY, BATANGAS</t>
  </si>
  <si>
    <t>LABUAN GENERAL HOSPITAL</t>
  </si>
  <si>
    <t>DEPARTMENT OF EDUCATION - DIVISION OF DUMAGUETE CITY</t>
  </si>
  <si>
    <t>BUSTOS WATER DISTRICT</t>
  </si>
  <si>
    <t>MUNICIPALITY OF SAN JULIAN, EASTERN SAMAR</t>
  </si>
  <si>
    <t>BARANGAY MAHABANG PARANG, LUCBAN, QUEZON</t>
  </si>
  <si>
    <t>DEPARTMENT OF PUBLIC WORKS AND HIGHWAYS - SURIGAO DEL SUR 2N</t>
  </si>
  <si>
    <t>MUNICIPALITY OF KANANGA, LEYTE</t>
  </si>
  <si>
    <t>BARANGAY SAN RAFAEL - CALACA BATANGAS</t>
  </si>
  <si>
    <t>NATIONAL IRRIGATION ADMINISTRATION - REGION I</t>
  </si>
  <si>
    <t>DEPARTMENT OF EDUCATION - DIVISION OF NUEVA VIZCAYA</t>
  </si>
  <si>
    <t>MUNICIPALITY OF STA. MARGARITA, SAMAR</t>
  </si>
  <si>
    <t>BOHOL ISLAND STATE UNIVERSITY - CANDIJAY CAMPUS</t>
  </si>
  <si>
    <t>DEPARTMENT OF EDUCATION - REGION V</t>
  </si>
  <si>
    <t>BARANGAY DUNGAN RIZAL CAGAYAN</t>
  </si>
  <si>
    <t>BARANGAY NAPASET, LUNA, LA UNION</t>
  </si>
  <si>
    <t>BARANGAY SAN VICENTE, BUTUAN CITY</t>
  </si>
  <si>
    <t>MUNICIPALITY OF SIBUCO, ZAMBOANGA DEL NORTE</t>
  </si>
  <si>
    <t>TOURISM INFRASTRUCTURE AND ENTERPRISE ZONE AUTHORITY</t>
  </si>
  <si>
    <t>BARANGAY SAHUD-ULAN, TANZA CAVITE</t>
  </si>
  <si>
    <t>SOUTHERN PHILIPPINES DEVELOPMENT AUTHORITY - REGION XI</t>
  </si>
  <si>
    <t>DEPARTMENT OF EDUCATION - DIVISION OF GUIHULNGAN CITY</t>
  </si>
  <si>
    <t>MUNICIPALITY OF LINAMON, LANAO DEL NORTE</t>
  </si>
  <si>
    <t>MUNICIPALITY OF BOBON, NORTHERN SAMAR</t>
  </si>
  <si>
    <t>PHILIPPINE CARABAO CENTER - REGION III</t>
  </si>
  <si>
    <t>DEPARTMENT OF EDUCATION - DIVISION OF GINGOOG CITY</t>
  </si>
  <si>
    <t>PHILIPPINE ORTHOPEDIC CENTER</t>
  </si>
  <si>
    <t>MUNICIPALITY OF ALCALA, CAGAYAN</t>
  </si>
  <si>
    <t>DEPARTMENT OF TOURISM</t>
  </si>
  <si>
    <t>MUNICIPALITY OF AYUNGON, NEGROS ORIENTAL</t>
  </si>
  <si>
    <t>MUNICIPALITY OF SADANGA, MOUNTAIN PROVINCE</t>
  </si>
  <si>
    <t>MASBATE-MOBO WATER DISTRICT</t>
  </si>
  <si>
    <t>BARANGAY POBLACION, ASTURIAS, CEBU</t>
  </si>
  <si>
    <t>BARANGAY MALINAO ILAYA, ATIMONAN, QUEZON</t>
  </si>
  <si>
    <t>BARANGAY 20 CABAGNAN EAST LEGAZPI CITY</t>
  </si>
  <si>
    <t>MUNICIPALITY OF KITAOTAO, BUKIDNON</t>
  </si>
  <si>
    <t>BARANGAY BIGA, LUGAIT, MISAMIS ORIENTAL</t>
  </si>
  <si>
    <t>BARANGAY NALUNDAN, GUIMBAL, ILOILO</t>
  </si>
  <si>
    <t>PHILIPPINE HEALTH INSURANCE CORPORATION - REGION III</t>
  </si>
  <si>
    <t>BARANGAY BAGUMBAYAN - LLANERA NUEVA ECIJA</t>
  </si>
  <si>
    <t>BOHOL ISLAND STATE UNIVERSITY - BILAR</t>
  </si>
  <si>
    <t>NAGA ANGELA ELEMENTARY SCHOOL</t>
  </si>
  <si>
    <t>BARANGAY GUADALUPE INOPACAN LEYTE</t>
  </si>
  <si>
    <t>MUNICIPALITY OF BANGA, AKLAN</t>
  </si>
  <si>
    <t>MUNICIPALITY OF AMADEO, CAVITE</t>
  </si>
  <si>
    <t>MUNICIPALITY OF SULTAN NAGA - DIMAPORO, LANAO DEL NORTE</t>
  </si>
  <si>
    <t>MUNICIPALITY OF CORELLA, BOHOL</t>
  </si>
  <si>
    <t>BARANGAY LOMANGCAPAN ENRIQUE VILLANUEVA SIQUIJOR</t>
  </si>
  <si>
    <t>ROXAS WATER DISTRICT</t>
  </si>
  <si>
    <t>BARANGAY SAN JOSE, SAN MIGUEL, ILOILO</t>
  </si>
  <si>
    <t>MUNICIPALITY OF DINAS, ZAMBOANGA DEL SUR</t>
  </si>
  <si>
    <t>BARANGAY HILWAN - CALINOG ILOILO</t>
  </si>
  <si>
    <t>BARANGAY ALIBUNAN  - CALINOG ILOILO</t>
  </si>
  <si>
    <t>MUNICIPALITY OF PAOMBONG, BULACAN</t>
  </si>
  <si>
    <t>BARANGAY SINGAY - MADALAG AKLAN</t>
  </si>
  <si>
    <t>MUNICIPALITY OF MADDELA, QUIRINO</t>
  </si>
  <si>
    <t>NATIONAL IRRIGATION ADMINISTRATION - CAMARINES SUR IMO</t>
  </si>
  <si>
    <t>MUNICIPALITY OF CAN-AVID, EASTERN SAMAR</t>
  </si>
  <si>
    <t>DEPARTMENT OF EDUCATION - DIVISION OF SULTAN KUDARAT</t>
  </si>
  <si>
    <t>NATIONAL IRRIGATION ADMINISTRATION - LAMISCA IMO</t>
  </si>
  <si>
    <t>BARANGAY MALAYUGAN FLORA APAYAO</t>
  </si>
  <si>
    <t>BARANGAY POBLACION ILAYA, CALINOG, ILOILO</t>
  </si>
  <si>
    <t>TAMBAN NATIONAL HIGH SCHOOL - TINAMBAC CAMARINES SUR</t>
  </si>
  <si>
    <t>MUNICIPALITY OF MADALAG, AKLAN</t>
  </si>
  <si>
    <t>PROGRESO ELEMENTARY SCHOOL</t>
  </si>
  <si>
    <t>MUNICIPALITY OF LEMERY, ILOILO</t>
  </si>
  <si>
    <t>MUNICIPALITY OF IMPASUGONG, BUKIDNON</t>
  </si>
  <si>
    <t>DEPARTMENT OF ENVIRONMENT AND NATURAL RES. - CENRO ALCALA CA</t>
  </si>
  <si>
    <t>MUNICIPALITY OF GINATILAN, CEBU</t>
  </si>
  <si>
    <t>CADIZ WEST I ELEMENTARY SCHOOL</t>
  </si>
  <si>
    <t>DEPARTMENT OF BUDGET AND MANAGEMENT</t>
  </si>
  <si>
    <t>ALAMINOS CITY WATER DISTRICT</t>
  </si>
  <si>
    <t>MUNICIPALITY OF KIBLAWAN, DAVAO DEL SUR</t>
  </si>
  <si>
    <t>BARANGAY LAGUBANG - SEN. NINOY S. AQUINO SULTAN KUDARAT</t>
  </si>
  <si>
    <t>BARANGAY STA. MESA, MABINI, BATANGAS</t>
  </si>
  <si>
    <t>PALOMPON INSTITUTE OF TECHNOLOGY - TABANGO CAMPUS</t>
  </si>
  <si>
    <t>BARANGAY SAN MIGUEL - SAN ISIDRO LEYTE</t>
  </si>
  <si>
    <t>MUNICIPALITY OF RIZAL, OCCIDENTAL MINDORO</t>
  </si>
  <si>
    <t>BARANGAY 74, TACLOBAN CITY, LEYTE</t>
  </si>
  <si>
    <t>BUREAU OF CORRECTIONS - MUNTINLUPA CITY METRO MANILA</t>
  </si>
  <si>
    <t>BARANGAY TUYABANG BAJO, OROQUIETA CITY</t>
  </si>
  <si>
    <t>BARANGAY DAGATKIDAVAO, VALENCIA CITY</t>
  </si>
  <si>
    <t>DEPARTMENT OF PUBLIC WORKS AND HIGHWAYS - REGION IV-A</t>
  </si>
  <si>
    <t>COMMISSION ON APPOINTMENTS</t>
  </si>
  <si>
    <t>BARANGAY CALITUBAN - TALIBON BOHO</t>
  </si>
  <si>
    <t>BARANGAY ELIHAN - CAUAYAN NEGROS OCCIDENTAL</t>
  </si>
  <si>
    <t>MASBATE INSTITUTE OF FISHERIES AND TECHNOLOGY</t>
  </si>
  <si>
    <t>TANZA WATER DISTRICT</t>
  </si>
  <si>
    <t>MUNICIPALITY OF DIFFUN, QUIRINO</t>
  </si>
  <si>
    <t xml:space="preserve">TECHNICAL EDUCATION &amp; SKILLS DEVELOPMENT AUTHORITY - QUEZON </t>
  </si>
  <si>
    <t>MUNICIPALITY OF LEON, ILOILO</t>
  </si>
  <si>
    <t>BARANGAY GUINATU-AN - MADALAG, AKLAN</t>
  </si>
  <si>
    <t>BARANGAY NASLO, POTOTAN, ILOILO</t>
  </si>
  <si>
    <t>BARANGAY CAGGAY, TUGUEGARAO CITY, CAGAYAN</t>
  </si>
  <si>
    <t>DEPARTMENT OF SCIENCE AND TECHNOLOGY - CARAGA</t>
  </si>
  <si>
    <t>BARANGAY MERCEDES - MADALAG AKLAN</t>
  </si>
  <si>
    <t>BARANGAY BANI MASINLOC ZAMBALES</t>
  </si>
  <si>
    <t>MUNICIPALITY OF BARAS, RIZAL</t>
  </si>
  <si>
    <t>BALAOAN WATER DISTRICT</t>
  </si>
  <si>
    <t>DEPARTMENT OF EDUCATION - DIVISION OF BAYBAY CITY</t>
  </si>
  <si>
    <t>CONNER DISTRICT HOSPITAL</t>
  </si>
  <si>
    <t>PROCUREMENT SERVICE</t>
  </si>
  <si>
    <t>BARANGAY NAGSABARAN - SAN JUAN (LAPOG) ILOCOS SUR</t>
  </si>
  <si>
    <t>MUNICIPALITY OF CONCEPCION, ROMBLON</t>
  </si>
  <si>
    <t>BARANGAY TALAYONG BADIAN CEBU</t>
  </si>
  <si>
    <t>BAIS CITY WATER DISTRICT</t>
  </si>
  <si>
    <t>BARANGAY MADASIGON, MOLAVE, ZAMBOANGA DEL SUR</t>
  </si>
  <si>
    <t>BARANGAY LIM-AO, KANANGA, LEYTE</t>
  </si>
  <si>
    <t>CITY OF VICTORIAS, NEGROS OCCIDENTAL</t>
  </si>
  <si>
    <t>MUNICIPALITY OF ANAHAWAN, SOUTHERN LEYTE</t>
  </si>
  <si>
    <t>PROVINCE OF ABRA</t>
  </si>
  <si>
    <t>MUNICIPALITY OF BARUGO, LEYTE</t>
  </si>
  <si>
    <t>COMMISSION ON AUDIT - REGION V</t>
  </si>
  <si>
    <t>MUNICIPALITY OF DUMARAO, CAPIZ</t>
  </si>
  <si>
    <t>DEPARTMENT OF PUBLIC WORKS AND HIGHWAYS - REGION VII</t>
  </si>
  <si>
    <t>NATIONAL POWER CORPORATION - SPUG PALAWAN</t>
  </si>
  <si>
    <t>DEPARTMENT OF PUBLIC WORKS AND HIGHWAYS - BULACAN 1ST DEO</t>
  </si>
  <si>
    <t>OSPITAL NG PALAWAN</t>
  </si>
  <si>
    <t>BARANGAY LOOC, LAPU-LAPU, CEBU</t>
  </si>
  <si>
    <t>MUNICIPALITY OF SUGPON, ILOCOS SUR</t>
  </si>
  <si>
    <t>PROVINCE OF LANAO DEL NORTE</t>
  </si>
  <si>
    <t>MUNICIPALITY OF JOSE ABAD SANTOS, DAVAO DEL SUR</t>
  </si>
  <si>
    <t>BARANGAY SAN JUAN, ALEGRIA, SURIGAO DEL NORTE</t>
  </si>
  <si>
    <t>PEREZ NATIONAL HIGH SCHOOL - PEREZ QUEZON</t>
  </si>
  <si>
    <t>DEPARTMENT OF PUBLIC WORKS AND HIGHWAYS - CEBU CITY DEO</t>
  </si>
  <si>
    <t>BARANGAY  SISI - GUINAYANGAN QUEZON</t>
  </si>
  <si>
    <t>DON LUIS CONSING ELEMENTARY SCHOOL</t>
  </si>
  <si>
    <t>BARANGAY TAGBONGABONG - R.T. ROMUALDEZ, AGUSAN DEL NORTE</t>
  </si>
  <si>
    <t>DEPARTMENT OF EDUCATION - DIVISION OF ISLAND GARDEN CITY</t>
  </si>
  <si>
    <t>DEPARTMENT OF EDUCATION - DIVISION OF LAPU-LAPU CITY</t>
  </si>
  <si>
    <t>MUNICIPALITY OF SANTA FE, ROMBLON</t>
  </si>
  <si>
    <t>DEPARTMENT OF EDUCATION - SCHOOLS DIVISION OF BORONGAN CITY</t>
  </si>
  <si>
    <t>MUNICIPALITY OF DAGAMI, LEYTE</t>
  </si>
  <si>
    <t>BARANGAY LUZ - M'LANG COTABATO</t>
  </si>
  <si>
    <t>BARANGAY GUIMOD NORTE, SAN JUAN, ILOCOS SUR</t>
  </si>
  <si>
    <t>DEPARTMENT OF SOCIAL WELFARE AND DEVELOPMENT - NCR</t>
  </si>
  <si>
    <t>BARANGAY BATO II - MAASIN CITY SOUTHERN LEYTE</t>
  </si>
  <si>
    <t>BARANGAY BIOSO - ZUMARRAGA, SAMAR</t>
  </si>
  <si>
    <t>DEPARTMENT OF EDUCATION - DIVISION OF SAGAY CITY</t>
  </si>
  <si>
    <t>MUNICIPALITY OF SAN JOSE, NORTHERN SAMAR</t>
  </si>
  <si>
    <t>BARANGAY GUADALUPE LIBACAO AKLAN</t>
  </si>
  <si>
    <t>PHILIPPINE POSTAL CORPORATION - REGION I</t>
  </si>
  <si>
    <t>BARANGAY CAGORAN LALLO CAGAYAN</t>
  </si>
  <si>
    <t>MUNICIPALITY OF PAMBUJAN, NORTHERN SAMAR</t>
  </si>
  <si>
    <t>SAMAR STATE UNIVERSITY</t>
  </si>
  <si>
    <t>BARANGAY BAYAMBANG, INFANTA, PANGASINAN</t>
  </si>
  <si>
    <t>MUNICIPALITY OF BASEY, SAMAR</t>
  </si>
  <si>
    <t>MUNICIPAL GOVERNMENT OF ATOK, BENGUET</t>
  </si>
  <si>
    <t>SOUTHERN PHILS. AGRI-BUSS. &amp; MARINE &amp; AQUATIC SCH. OF TECH.</t>
  </si>
  <si>
    <t>MUNICIPALITY OF BURGOS, ISABELA</t>
  </si>
  <si>
    <t>BARANGAY INEANGAN - DUPAX DEL NORTE NUEVA VIZCAYA</t>
  </si>
  <si>
    <t>BARANGAY BICAL LALLO CAGAYAN</t>
  </si>
  <si>
    <t>MUNICIPALITY OF ARACELI, PALAWAN</t>
  </si>
  <si>
    <t>PEDRO PITOGO ELEMENTARY SCHOOL</t>
  </si>
  <si>
    <t>DEPARTMENT OF PUBLIC WORKS AND HIGHWAYS - PAMPANGA 2ND DEO</t>
  </si>
  <si>
    <t>DEPARTMENT OF PUBLIC WORKS AND HIGHWAYS - ZAMBALES 1ST DEO</t>
  </si>
  <si>
    <t>BARANGAY MAPINA -  MASBATE CITY</t>
  </si>
  <si>
    <t>MUNICIPALITY OF ORANI, BATAAN</t>
  </si>
  <si>
    <t>BARANGAY NEW MALITBOG, PANABO CITY, DAVAO DEL NORTE</t>
  </si>
  <si>
    <t>MUNICIPALITY OF CARIGARA, LEYTE</t>
  </si>
  <si>
    <t>BARANGAY SAN JUAN, SAN JACINTO, PANGASINAN</t>
  </si>
  <si>
    <t>PATAG ELEMENTARY SCHOOL</t>
  </si>
  <si>
    <t>BARANGAY PARED, ALCALA, CAGAYAN</t>
  </si>
  <si>
    <t>MUNICIPALITY OF TIGBAUAN, ILOILO</t>
  </si>
  <si>
    <t>MUNICIPALITY OF ALIMODIAN, ILOILO</t>
  </si>
  <si>
    <t>PHILIPPINE VETERANS AFFAIRS OFFICE, DND</t>
  </si>
  <si>
    <t>PROVINCE OF BULACAN</t>
  </si>
  <si>
    <t>MUNICIPALITY OF KAPALONG, DAVAO DEL NORTE</t>
  </si>
  <si>
    <t>NATIONAL IRRIGATION ADMINISTRATION - UPRIIS, DRD</t>
  </si>
  <si>
    <t>DEPARTMENT OF EDUCATION - DIVISION OF OROQUIETA CITY</t>
  </si>
  <si>
    <t>DEPARTMENT OF EDUCATION - DIVISION OF NEGROS OCCIDENTAL</t>
  </si>
  <si>
    <t>DEPARTMENT OF EDUCATION - DIVISION OF CATANDUANES</t>
  </si>
  <si>
    <t>BARANGAY CASTILLO, CONCEPCION, TARLAC</t>
  </si>
  <si>
    <t>BARANGAY OOGONG, STA. CRUZ, LAGUNA</t>
  </si>
  <si>
    <t>MUNICIPALITY OF NASUGBU, BATANGAS</t>
  </si>
  <si>
    <t>BARANGAY CATOTORAN NORTE, CAMALANIUGAN, CAGAYAN</t>
  </si>
  <si>
    <t>BARANGAY TUMCON ILAYA, POTOTAN, ILOILO</t>
  </si>
  <si>
    <t>DAGA ELEMENTARY SCHOOL</t>
  </si>
  <si>
    <t>MUNICIPALITY OF TAGBINA, SURIGAO DEL SUR</t>
  </si>
  <si>
    <t>DEPARTMENT OF EDUCATION - DIVISION OF ZAMBOANGA DEL SUR</t>
  </si>
  <si>
    <t>NORZAGARAY WATER DISTRICT</t>
  </si>
  <si>
    <t>MUNICIPALITY OF GATTARAN, CAGAYAN</t>
  </si>
  <si>
    <t>MINISTRY OF SOCIAL SERVICES, BARMM</t>
  </si>
  <si>
    <t>MUNICIPALITY OF CASTILLEJOS, ZAMBALES</t>
  </si>
  <si>
    <t>MUNICIPALITY OF LAL-LO, CAGAYAN VALLEY</t>
  </si>
  <si>
    <t>BARANGAY DEL ROSARIO, BAAO, CAMARINES SUR</t>
  </si>
  <si>
    <t>MECHANIZED INFANTRY DIVISION (PA) SBAC</t>
  </si>
  <si>
    <t>BARANGAY SAN MIGUEL, BAGGAO, CAGAYAN</t>
  </si>
  <si>
    <t>BARANGAY SAN ANTONIO, BAGGAO, CAGAYAN</t>
  </si>
  <si>
    <t>BARANGAY SAN VICENTE, BAGGAO, CAGAYAN</t>
  </si>
  <si>
    <t>BARANGAY ALBA, BAGGAO, CAGAYAN</t>
  </si>
  <si>
    <t>BARANGAY DIPINTIN, MADDELA, QUIRINO</t>
  </si>
  <si>
    <t>MUNICIPALITY OF LEYTE, LEYTE</t>
  </si>
  <si>
    <t>BARANGAY SAN BERNABE - MADDELA QUIRINO</t>
  </si>
  <si>
    <t>BARANGAY DIVISORIA NORTE, MADDELA, QUIRINO</t>
  </si>
  <si>
    <t>DEPARTMENT OF INFORMATION AND COMMUNICATION TECHNOLOGY</t>
  </si>
  <si>
    <t>BARANGAY SAN JUAN, SANTA FE, LEYTE</t>
  </si>
  <si>
    <t>DR. JOSE FABELLA MEMORIAL HOSPITAL</t>
  </si>
  <si>
    <t>MUNICIPALITY OF SAN BENITO, SURIGAO DEL NORTE</t>
  </si>
  <si>
    <t>BARANGAY CALANTAC, ALCALA, CAGAYAN</t>
  </si>
  <si>
    <t>MUNICIPALITY OF LUPAO, NUEVA ECIJA</t>
  </si>
  <si>
    <t>BARANGAY NANGKA - BAYAWAN CITY NEGROS ORIENTAL</t>
  </si>
  <si>
    <t>BARANGAY AFUSING DAGA, ALCALA, CAGAYAN</t>
  </si>
  <si>
    <t>BARANGAY CUEVAS, TRENTO, AGUSAN DEL SUR</t>
  </si>
  <si>
    <t>CITY OF PALAYAN, NUEVA ECIJA</t>
  </si>
  <si>
    <t>BARANGAY MALALATAN, ALCALA, CAGAYAN</t>
  </si>
  <si>
    <t>MUNICIPALITY OF BALIGUIAN, ZAMBOANGA DEL NORTE</t>
  </si>
  <si>
    <t>BARANGAY LIBERTY, HILONGOS, LEYTE</t>
  </si>
  <si>
    <t>MUNICIPALITY OF ISABEL, LEYTE</t>
  </si>
  <si>
    <t>MUNICIPALITY OF ALMERIA, BILIRAN</t>
  </si>
  <si>
    <t xml:space="preserve">BUREAU OF FISHERIES AND AQUATIC RESOURCES - REGION IV-B </t>
  </si>
  <si>
    <t>PN BAC SECRETARIAT, AFP PROCUREMENT SERVICE</t>
  </si>
  <si>
    <t>MUNICIPALITY OF ANTIPAS, COTABATO</t>
  </si>
  <si>
    <t>DIPACULAO WATER DISTRICT</t>
  </si>
  <si>
    <t>MUNICIPALITY OF HINIGARAN, NEGROS OCCIDENTAL</t>
  </si>
  <si>
    <t>BARANGAY PROTECCION, HILONGOS, LEYTE</t>
  </si>
  <si>
    <t>MUNICIPALITY OF KAPATAGAN, LANAO DEL NORTE</t>
  </si>
  <si>
    <t>DEPARTMENT OF AGRICULTURE - REGION IV-B (MIMAROPA)</t>
  </si>
  <si>
    <t>BOHOL ISLAND STATE UNIVERSITY - CALAPE</t>
  </si>
  <si>
    <t>GHQ BAC2 SECRETARIAT, AFP PROCUREMENT SERVICE</t>
  </si>
  <si>
    <t>CARLOS HILADO MEMORIAL STATE COLLEGE</t>
  </si>
  <si>
    <t>MUNICIPALITY OF BUGALLON - PANGASINAN</t>
  </si>
  <si>
    <t>AGRICULTURAL TRAINING INSTITUTE- REGIONAL TRAINING CENTER 02</t>
  </si>
  <si>
    <t>DEPARTMENT OF SOCIAL WELFARE AND DEVELOPMENT - REGION IV-B</t>
  </si>
  <si>
    <t>BARANGAY PAWICAN, CATAINGAN, MASBATE</t>
  </si>
  <si>
    <t>MUNICIPALITY OF SOLANA, CAGAYAN</t>
  </si>
  <si>
    <t>BARANGAY CARALLANGAN, ALCALA, CAGAYAN</t>
  </si>
  <si>
    <t>MUNICIPALITY OF KAWAYAN, BILIRAN</t>
  </si>
  <si>
    <t>DENR-PENRO,ORIENTAL MINDORO</t>
  </si>
  <si>
    <t>METRO ROXAS WATER DISTRICT</t>
  </si>
  <si>
    <t>MUNICIPALITY OF LIBERTAD, MISAMIS ORIENTAL</t>
  </si>
  <si>
    <t>BARANGAY SAN JOSE, BONGABONG, ORIENTAL MINDORO</t>
  </si>
  <si>
    <t>MUNICIPALITY OF JULITA, LEYTE</t>
  </si>
  <si>
    <t>BARANGAY LINAON</t>
  </si>
  <si>
    <t>BARANGAY ISIO, CAUAYAN, NEGROS OCCIDENTAL</t>
  </si>
  <si>
    <t>OROQUIETA CITY WATER DISTRICT</t>
  </si>
  <si>
    <t>DEPARTMENT OF AGRARIAN REFORM - ZAMBOANGA DEL SUR PO</t>
  </si>
  <si>
    <t xml:space="preserve">BARANGAY BASUD, SAN ISIDRO, LEYTE </t>
  </si>
  <si>
    <t>PAG-IBIG FUND NAGA BUSINESS CENTER</t>
  </si>
  <si>
    <t>DANGEROUS DRUGS BOARD</t>
  </si>
  <si>
    <t>BARANGAY SAN JUAN, PADRE BURGOS, SOUTHERN LEYTE</t>
  </si>
  <si>
    <t>MUNICIPALITY OF LOPEZ JAENA , MISAMIS OCCIDENTAL</t>
  </si>
  <si>
    <t>BARANGAY PUSSIAN, ALCALA, CAGAYAN</t>
  </si>
  <si>
    <t>TONDO MEDICAL CENTER</t>
  </si>
  <si>
    <t>DEPARTMENT OF PUBLIC WORKS AND HIGHWAYS - BUKIDNON 1ST DEO</t>
  </si>
  <si>
    <t>PHILIPPINE COCONUT AUTHORITY-REGION XI</t>
  </si>
  <si>
    <t>PROFESSIONAL REGULATION COMMISSION</t>
  </si>
  <si>
    <t>NATIONAL IRRIGATION ADMINISTRATION - AGUSAN DEL NORTE IMO</t>
  </si>
  <si>
    <t>MUNICIPALITY OF AJUY, ILOILO</t>
  </si>
  <si>
    <t>BARANGAY ABUNDA - MAGSAYSAY MISAMIS ORIENTAL</t>
  </si>
  <si>
    <t>DEPARTMENT OF AGRARIAN REFORM - LAGUNA PROVINCIAL OFFICE</t>
  </si>
  <si>
    <t>MUNICIPALITY OF MARAMAG, BUKIDNON</t>
  </si>
  <si>
    <t>BARANGAY LA VICTORIA - IMELDA ZAMBOANGA SIBUGAY</t>
  </si>
  <si>
    <t>MUNICIPALITY OF MAITUM, SARANGANI</t>
  </si>
  <si>
    <t>CITY OF CATBALOGAN, SAMAR</t>
  </si>
  <si>
    <t>CULTURAL CENTER OF THE PHILIPPINES - PASAY CITY METRO MANILA</t>
  </si>
  <si>
    <t>POLOMOLOK WATER DISTRICT</t>
  </si>
  <si>
    <t>MUNICIPALITY OF MINGLANILLA, CEBU</t>
  </si>
  <si>
    <t>COMMISSION ON HUMAN RIGHTS</t>
  </si>
  <si>
    <t>BARANGAY SABANG SOUTH -  BORONGAN CITY, EASTERN SAMAR</t>
  </si>
  <si>
    <t>MINDANAO STATE UNIVERSITY - MARAWI CITY</t>
  </si>
  <si>
    <t>MANILA INTERNATIONAL AIRPORT AUTHORITY</t>
  </si>
  <si>
    <t>MINDANAO CENTRAL SANITARIUM &amp; GENERAL HOSPITAL</t>
  </si>
  <si>
    <t>BARANGAY SAN VICENTE - IGUIG CAGAYAN</t>
  </si>
  <si>
    <t>CITY OF BACOLOD, NEGROS OCCIDENTAL</t>
  </si>
  <si>
    <t>BARANGAY SAN VICENTE, STO. TOMAS, BATANGAS</t>
  </si>
  <si>
    <t>BANGKO SENTRAL NG PILIPINAS - DAVAO REGIONAL OFFICE</t>
  </si>
  <si>
    <t>DEPARTMENT OF PUBLIC WORKS AND HIGHWAYS - DAVAO CITY DEO</t>
  </si>
  <si>
    <t>NATIONAL INTELLIGENCE COORDINATING AGENCY</t>
  </si>
  <si>
    <t>NATIONAL IRRIGATION ADMINISTRATION - REGION VI</t>
  </si>
  <si>
    <t>DEPARTMENT OF TOURISM - INTRAMUROS ADMINISTRATION</t>
  </si>
  <si>
    <t>NIA-JALAUR RIVER MULTI-PURPOSE PROJECT STAGE II</t>
  </si>
  <si>
    <t>BARANGAY MANIBAUG, PASIG PORAC, PAMPANGA</t>
  </si>
  <si>
    <t>BULACAN STATE UNIVERSITY</t>
  </si>
  <si>
    <t>PHILIPPINE FIBER INDUSTRY DEVELOPMENT AUTHORITY</t>
  </si>
  <si>
    <t>MUNICIPALITY OF TUBAO, LA UNION</t>
  </si>
  <si>
    <t>BARANGAY PILAHAN, MABINI, BATANGAS</t>
  </si>
  <si>
    <t>BARANGAY LIGAYA, MABINI, BATANGAS</t>
  </si>
  <si>
    <t>MUNICIPALITY OF KITCHARAO , AGUSAN DEL NORTE</t>
  </si>
  <si>
    <t>BARANGAY PINAGSANJAN - PAGSANJAN LAGUNA</t>
  </si>
  <si>
    <t>MUNICIPALITY OF SAN ISIDRO, LEYTE</t>
  </si>
  <si>
    <t>DEPARTMENT OF PUBLIC WORKS AND HIGHWAYS - ISABELA 4TH DEO</t>
  </si>
  <si>
    <t>BARANGAY STA. CRUZ, BONGABONG, ORIENTAL MINDORO</t>
  </si>
  <si>
    <t>BARANGAY NADAWISAN, CATAINGAN, MASBATE</t>
  </si>
  <si>
    <t>LAGUNA LAKE DEVELOPMENT AUTHORITY, DENR</t>
  </si>
  <si>
    <t>NATIONAL TELECOMMUNICATIONS COMMISSION - REGION IV</t>
  </si>
  <si>
    <t>PHILIPPINE INTERNATIONAL CONVENTION CENTER</t>
  </si>
  <si>
    <t>GMA WATER DISTRICT</t>
  </si>
  <si>
    <t>METROPOLITAN WATERWORKS AND SEWERAGE SYSTEM</t>
  </si>
  <si>
    <t>NATIONAL HOUSING AUTHORITY - NCR NORTH SECTOR</t>
  </si>
  <si>
    <t>CIVIL SERVICE COMMISSION  - CENTRAL OFFICE</t>
  </si>
  <si>
    <t>OFFICE OF CIVIL DEFENSE</t>
  </si>
  <si>
    <t>DEPARTMENT OF PUBLIC WORKS AND HIGHWAYS - BUKIDNON 2ND DEO</t>
  </si>
  <si>
    <t>PILI INTEGRATED SCHOOL - DANAO CITY CEBU</t>
  </si>
  <si>
    <t>BARANGAY CATO-OGAN TOBIAS FORNIER ANTIQUE</t>
  </si>
  <si>
    <t>Installation of RCPC at Purok Dagupan along the river bank (Ambaw Bayag</t>
  </si>
  <si>
    <t>Improvement of Bislig Barangay Road (Purok 1)</t>
  </si>
  <si>
    <t>Installation of Hand washing Facility</t>
  </si>
  <si>
    <t>Procurement of Purified water services</t>
  </si>
  <si>
    <t>PROCUREMENT FOR ID WITH ID CORD</t>
  </si>
  <si>
    <t>PB20-07-036COR.Procurement of Two (2) year Sea-Freight Services</t>
  </si>
  <si>
    <t>Supply &amp; Delivery of Hardware Materials for Rehabilitation of Brgy. Multi-purpose Hall (Roof)</t>
  </si>
  <si>
    <t>procurement of TEST PAPER</t>
  </si>
  <si>
    <t>SECURITY SERVICES FOR 2020-2021</t>
  </si>
  <si>
    <t>MAINTENANCE OF THE TRANSFORMER AT THE SLAUGHTERHOUSE.</t>
  </si>
  <si>
    <t>PROCUREMENT OF OFFICE SUPPLIES FOR LEARNING MODULES</t>
  </si>
  <si>
    <t>SULTAN KUDARAT PROVINCE CMGP CY 2020 ROAD CONSTRUCTION PROJECTS</t>
  </si>
  <si>
    <t>PURCHASE OF BOND PAPER FOR THE NEW NORMAL LEARNING MODALITY</t>
  </si>
  <si>
    <t>PURCHASE OF FUEL FOR MAINTENANCE OF MUNICIPAL HEAVY EQUIPMENT, LOBOC, BOHOL</t>
  </si>
  <si>
    <t>proposed purchase of (3) units computer desktop with accessories</t>
  </si>
  <si>
    <t>EDUCATIONAL SUPPLIES FOR THE PRODUCTION OF SELF-LEARNING MODULES</t>
  </si>
  <si>
    <t>IB Continuation of School Building Second Floor (PhaseII) at Rosario Elementary School, Barangay Rosario, Pozorrubio, Pangasinan</t>
  </si>
  <si>
    <t>PROCUREMENT FOR OFFICE SUPPLIES</t>
  </si>
  <si>
    <t>IB Continuation of School Building Second Floor (PhaseII) at Ama-Talo Elementary School, Barangay Amagbagan, Pozorrubio, Pangasinan</t>
  </si>
  <si>
    <t>Const. of Sub-Station Bldg at Brgy. Cogon etc. (08-0909) CMO</t>
  </si>
  <si>
    <t>IB Construction of Multi-Purpose Hall (Phase II) at Barangay Tulnac, Pozorrubio, Pangasinan</t>
  </si>
  <si>
    <t>IB Road Concreting  (Phase II) at Barangay Manaol, Pozorrubio, Pangasinan</t>
  </si>
  <si>
    <t>IB Road Concreting at Barangay Laoac, POzorrubio, Pangasinan</t>
  </si>
  <si>
    <t>Supply and Delivery of Hardware Materials for Palakaya Operations</t>
  </si>
  <si>
    <t>Construction of Fuel Depot, TIPT, Brgy. New Isabela, City of Tacurong</t>
  </si>
  <si>
    <t>MODULES FOR STUDENTS</t>
  </si>
  <si>
    <t>Invitation to Bid</t>
  </si>
  <si>
    <t>Supply and Delivery of 20 Tanks ABC Type Dry Chemicals Fire Extinguisher and 3 Other Items; PR No. 20-1890 dated July 17, 2020</t>
  </si>
  <si>
    <t>Supply and Delivery of Pneumococcal Vaccine</t>
  </si>
  <si>
    <t>IMPROVEMENT OF BARANGAY HALL/MUTI PURPOSE BUILDING THRU THE INSTALLATION OF ROOF MOUNTED</t>
  </si>
  <si>
    <t>invitation to bid</t>
  </si>
  <si>
    <t>Purchase of Barangay Rescue Patrol</t>
  </si>
  <si>
    <t>Contract ID No. 20K00366 - Cluster "RO-03" Construction of Various Road Projects in Bukidnon 1. Construction of Southern Bukidnon Agri-Industrial Economic Zone Road Network Development Project (Don Ca</t>
  </si>
  <si>
    <t>G-2020-547 Supply and Delivery of Office Equipment, City College of Calamba</t>
  </si>
  <si>
    <t>G-2020-294 Supply and Delivery of Flower Wreath, Office of the City Mayor</t>
  </si>
  <si>
    <t>Procurement of Drugs and Medicines for the  official use of the Gov. Roque B. Ablan Sr. Memorial Hospital for 3rd Quarter 2020</t>
  </si>
  <si>
    <t>Procurement of Consolidated Drugs and Medicines for the 3rd Quarter 2020 for the official use of Different Hospitals of the PGIN</t>
  </si>
  <si>
    <t>Purchase of 2 Units Split Type Aircon</t>
  </si>
  <si>
    <t>PURCHASE OF OFFICE SUPPLIES (BOND PAPER AND INK) FOR THE VARIOUS SCHOOLS (EAST &amp;WEST DISTRICT)</t>
  </si>
  <si>
    <t>Construction/Improvement of existing Sanitary Landfill including its expansion to continue the proper waste disposal system (Barangay Niogan, Lemery, Batangas)</t>
  </si>
  <si>
    <t>Construction/Improvement/Rehabilitation of drainage canal at Barangay Sinisian East, Lemery, Batangas</t>
  </si>
  <si>
    <t>Improvement/Rehabilitation of climate change resilient roads (Municipal/Provincial) at Barangay Sangalang, Lemery, Batangas</t>
  </si>
  <si>
    <t>purchased of office supplies</t>
  </si>
  <si>
    <t>Procurement of 12 Units Hand Tractor with Trailer set 7HP for Distribution to Tobacco Farmers</t>
  </si>
  <si>
    <t>Early Learning Hands on Activities  for Kindergarten (SEF-0934)</t>
  </si>
  <si>
    <t>SUPPLY &amp; DELIVERY OF CONSTRUCTION MATERIALS (CONSTRUCTION OF HANGING BRIDGE)</t>
  </si>
  <si>
    <t>Supply and Delivery of Office Equipment for Official Use of Calauag West District  and Calauag East District</t>
  </si>
  <si>
    <t>PR 20-02-0370</t>
  </si>
  <si>
    <t>Supply and Delivery of Fabric with Tailored Fit Ethnic Uniform of VCWD Employees</t>
  </si>
  <si>
    <t>Rehabilitation of Multipurpose Hall Barangay Ibuan</t>
  </si>
  <si>
    <t>SUPPLY AND DELIVERY OF VARIOUS LABORATORY SUPPLIES AND MATERIALS (APP 2020), REBID</t>
  </si>
  <si>
    <t>Improving community access through community managed improvement of brgy. Road</t>
  </si>
  <si>
    <t>Request for Quotation of Pest Control Services</t>
  </si>
  <si>
    <t>Request for Quotation of Information Technology Items</t>
  </si>
  <si>
    <t>Furniture, Appliances and Office Equipment for LPH-San Pedro District Hospital</t>
  </si>
  <si>
    <t>Supply and Delivery of Office Supplies</t>
  </si>
  <si>
    <t>Laboratory Supplies for LPH-Dr. J.P. Rizal Memorial District Hospital</t>
  </si>
  <si>
    <t>Rice, white etc. (08-0906) Nutrition</t>
  </si>
  <si>
    <t>Gill Nets etc. (08-0908) Agriculture</t>
  </si>
  <si>
    <t>Procurement for Internet Subscription</t>
  </si>
  <si>
    <t>Laboratory Supplies for Laguna Medical Center</t>
  </si>
  <si>
    <t>2" Plastic Ribbons etc. (08-0885) CEO</t>
  </si>
  <si>
    <t>Construction of Multi-Purpose Hall (Phase II), Brgy. Batangan, General Nakar, Quezon</t>
  </si>
  <si>
    <t>Procurement of Regulated Drugs and Medicines for the  official use of the Gov. Roque B. Ablan Sr. Memorial hospital for 3rd and 4th Quarter 2020</t>
  </si>
  <si>
    <t>SUPPLY AND DELIVERY OF FOOD SUPPLIES TO BE USED FOR THE  LSI, RETURNING OFW's, RHU PERSONNEL AND OTHER PESONNEL ASSIGNED AT COVID LIGTAS CENTER</t>
  </si>
  <si>
    <t>FURNISHING OF LABOR AND MATERIALS FOR THE INSTALLATION OF DISTRIBUTION LINE AT ZONE 5 LIBIS, BRGY STA. LUCIA TO STO. TOMAS MAGARAO, CAMARINES SUR (INFRA 2020-010)</t>
  </si>
  <si>
    <t>Meals &amp; Snacks to conduct Seminar on Anxiety and Stress Management and Coping with Depression Amidst Covid-19 Situation</t>
  </si>
  <si>
    <t>Rehabilitation / Improvement of Drainage Canal System (Phase III), Highway, Brgy. Anoling, General Nakar, Quezon</t>
  </si>
  <si>
    <t>Supply , Delivery and Installation  of various Supplies and Materials for MSC LAN Cabling for transfer of Office from 8th Storey to new office at newly renovated lobby, Marikina Sports Center, Sta Ele</t>
  </si>
  <si>
    <t>PROCUREMENT OF VARIOUS AUDIO EQUIPMENTS (LABOR AND MATERIALS) FOR THE INSTALLATION OF SOUND SYSTEM @ SB SESSION HALL - 1ST POSTING</t>
  </si>
  <si>
    <t>20GIL0057(SUPPLY/DELIVERY OF ASPHALT CEMENT, ETC.,DPWH-SLDEO, MAASIN CITY, SOUTHERN LEYTE)</t>
  </si>
  <si>
    <t>PURCHASE OF THREE-WHEEL MOTORCYCLE (GARBAGE COLLECTOR)+</t>
  </si>
  <si>
    <t>Construction of Central MRF and Guard House at Barangay Caniangan</t>
  </si>
  <si>
    <t>Delivery of Various Materials for Installation of 9 Units Double Arm Round Steel Electrical Posts at Barangay Migcanaway</t>
  </si>
  <si>
    <t>Supply and Delivery of various Trees and Supplies for Tree Planting at various locations within Marikina City</t>
  </si>
  <si>
    <t>SUPPLY AND DELIVERY OF SUBMERSIBLE PUMPS AND MOTORS WITH COMPLETE ACCESSORIES</t>
  </si>
  <si>
    <t>SUPPLY AND DELIVERY OF 2 TRI-CAB</t>
  </si>
  <si>
    <t>ENVIRONMENTAL PROTECTION THROUGH COMMUNITY-MANAGED CONSTRUCTION OF SEAWALL AT BRGY. IDIACACAN, PANDAN, ANTIQUE</t>
  </si>
  <si>
    <t>Medical Supplies for Laguna Medical Center</t>
  </si>
  <si>
    <t>1 LOT HIRING OF CERTIFYING BODY FOR RE-CERTIFICATION OF ISO 9001:2015 QUALITY MANAGEMENT SYSTEM GOOD FOR 3-YEAR CONTRACT</t>
  </si>
  <si>
    <t>Purchase of Bond Papers (Letter, Folio and A4) for the use of City General Services Office(PR# 330)</t>
  </si>
  <si>
    <t>Construction of Drainage Canal and Pavement- Phase II at Brgy. San Pedro, Tumauini, Isabela</t>
  </si>
  <si>
    <t>Purchase of Twenty Five (25) sets of Desktop Computer and One(1) piece External Hard drive as requested by DLL (PR#174)</t>
  </si>
  <si>
    <t>Construction of Building E at Brgy. San Pedro, Tumauini, Isabela</t>
  </si>
  <si>
    <t>Improvement of Vegetable Section Building at Public Market, Brgy. San Pedro, Tumauini, Isabela</t>
  </si>
  <si>
    <t>Purchase of One (1) unit Refrigerator, Two (2) units Airconditioner with installation and One (1) unit Desktop Computer with Complete Accessories as requested by CADAC(PR# 093)</t>
  </si>
  <si>
    <t>PR 20-01-0010</t>
  </si>
  <si>
    <t>Supply and Delivery of Electrical Wirings for Automation of Steel Gates of ADRIS Intake from Electrical and Generator Source</t>
  </si>
  <si>
    <t>Installation and Purchase of Venetian Blinds for use in the Recovery Wellness Center of CADAC(PR# 234)</t>
  </si>
  <si>
    <t>Procurement of Construction Materials (Construction of Toilet at the Cangbagsa Multi-Purpose Hall)</t>
  </si>
  <si>
    <t>Supply, Delivery and Installation of Various Blinds</t>
  </si>
  <si>
    <t>Supplies / Materials for BGT- Architectural Technology</t>
  </si>
  <si>
    <t>Purchase of 1,300 boxes Disposable Face mask, earloop, 3 ply 50’s</t>
  </si>
  <si>
    <t>Construction of Building Connection from B to H at Brgy. San Pedro, Tumauini, Isabela</t>
  </si>
  <si>
    <t>Supply and Delivery of Communication and Various IT Equipment</t>
  </si>
  <si>
    <t>108 pcs Job Order's Long Sleeve, Round Neck with Printed Logo in front and 2 reflectorized lines and print at the back "SRP MAINTENANCE'' &amp; Other items</t>
  </si>
  <si>
    <t>Purchase of Medical Supplies</t>
  </si>
  <si>
    <t>FOR PRINTING MODULES - SHS</t>
  </si>
  <si>
    <t>19GF00032 - Procurement of Dredge 10-4 Parts and Accessories, Automatic Voltage Regulator, etc. (PR No. 2020-07-159 dated 7/22/2020), EMD, DPWH, Region V, Legazpi City</t>
  </si>
  <si>
    <t>Purchase of 5,000 IV Catheter g.22 and 2,000 pcs. IV Catheter g.18</t>
  </si>
  <si>
    <t>Purchase of 1,500 boxes Examining Gloves M/L</t>
  </si>
  <si>
    <t>Supply &amp; Delivery 4 pcs Tire 265/65 R17 HT 684; PR No. 20-1983 dated July 20, 2020</t>
  </si>
  <si>
    <t>Purchase of 50 kits Acid Fast Stain (Hot Method)</t>
  </si>
  <si>
    <t>RFQ No. 2020-08-066; PR No. 2020-07-101: PROCUREMENT OF KANAFLEX HOSE &amp; CLAMP, FOR USE IN THE CORRECTIVE MAINTENANCE OF HINO, VAC CON VACUUM HIGH PRESSURE JET SEWER WITH DPWH No. Z25-5, UNDER EQUIPMEN</t>
  </si>
  <si>
    <t>Purchase of Medical/Laboratory Supplies</t>
  </si>
  <si>
    <t>ITB-SUPPLY AND DELIVERY OF 4 UNITS AMBULANCE, LOS BANOS, LAGUNA</t>
  </si>
  <si>
    <t>ENVIRONMENTAL PROTECTION THROUGH COMMUNITY MANAGED CONSTRUCTION OF SEAWALL AT BARANGAY, MAG-ABA, PANDAN, ANTIQUE</t>
  </si>
  <si>
    <t>Supply &amp; Delivery 612 pack Photopaper A4 &amp; other items; PR No. 20-2002 dated August 3, 2020</t>
  </si>
  <si>
    <t>Supply &amp; Delivery 300 copies Printing and Binding ; PR No. 20-1998 dated July 28, 2020</t>
  </si>
  <si>
    <t>Supply &amp; Delivery 10 pcs Sprayer &amp; other items; PR No. 20-1989 dated June 22, 2020</t>
  </si>
  <si>
    <t>ITB-SUPPLY AND DELIVERY OF TABLES AND CHAIRS FOR THE AUDIO VISUAL ROOM, LOS BANOS, LAGUNA</t>
  </si>
  <si>
    <t>Construction of Community Activity Center</t>
  </si>
  <si>
    <t>Construction/Improvement of Drainage System of Libertad Public Market (Re-Bid)</t>
  </si>
  <si>
    <t>Purchase of 268 cyls. Medical Oxygen and 11 cyls. Medical Oxygen (Flask Type)</t>
  </si>
  <si>
    <t>PURCHASE OF ONE (1) UNIT BRAND NEW PNP PATROL PICK UP  4X2 MT WITH ACCESSORIES</t>
  </si>
  <si>
    <t>Construction of 1 Unit Residual Containment Facility (Re-Bid)</t>
  </si>
  <si>
    <t>Construction of Pigpen Barangay Buenavista, Bontoc, Southern Leyte</t>
  </si>
  <si>
    <t>PR 1-20-08-0975, FOR USE DURING THE AWARDING CEREMONY OF THE " SAN CARLOS SEARCH FOR SUSTAINABLE &amp; ECO-FRIENDLY SCHOOL YEAR - VI ( SY 2019-2020), ON SEPTEMBER 25, 2020 OF CITY ENVIRONMENT MANAGEMENT O</t>
  </si>
  <si>
    <t>PR 1-20-07-0894, FOR THE USE OF THE OFFICE FOR HUMAN RESOURCE MANAGEMENT, THIS CITY.</t>
  </si>
  <si>
    <t>Invitation to Bid for Supply and Delivery of various construction supplies and materials for the repair and maintenance of various buildings.</t>
  </si>
  <si>
    <t>PR 1-20-08-0984, FOR USE OF THE BEAUTIFICATION PROJECT &amp; FORESTRY DIVISION, OF CITY ENVIRONMENT MANAGEMENT OFFICE, CEMO, THS CITY.</t>
  </si>
  <si>
    <t>SUPPLY AND DELIVERY OF TONERS WITH FREEUSE OF ONE (1) UNIT BRAND NEW 3-IN-1 PRINTERg-IBIG FUND, CAGAYAN VALLEY REGION</t>
  </si>
  <si>
    <t>PR 1-20-08-0977, FOR THE USE OF CITY ASSESSOR’S OFFICE.</t>
  </si>
  <si>
    <t>Purchase of 720 pcs. Novosyn Quick 2-0</t>
  </si>
  <si>
    <t>Purchase of Drugs and Medicines</t>
  </si>
  <si>
    <t>ITB-SUPPLY AND INSTALLATION OF INTELLIGENT CONVENTIONAL FIRE DETECTION AND ALARM SYSTEM, LOS BANOS, LAGUNA</t>
  </si>
  <si>
    <t>PR 1-20-06-0758, FOR USE OF ROAD GRADER #1 (12-G CATERPILLAR) ASSIGNED AT CED, THIS CITY.</t>
  </si>
  <si>
    <t>FABRICATION OF BASKETBALL STEEL GOAL WITH INSTALLATION OF FIBERGLASS</t>
  </si>
  <si>
    <t>Purchase of 50 vials Human Albumin</t>
  </si>
  <si>
    <t>Construction of Makeshift Building- Southern Part at Public Market, Tumauini, Isabela</t>
  </si>
  <si>
    <t>PURCHASE OF VARIOUS PARTS &amp; MATERIALS TO BE USED IN THE EXPANSION OF LA PAZ WATER SYSTEM'S OPERATION</t>
  </si>
  <si>
    <t>DRILLING OF ONE (1) EXPLORATORY/PRODUCTION WELL AT BRGY. TEBAG</t>
  </si>
  <si>
    <t>SUPPLY AND DELIVERY OF MATERIALS AND FURNISHING OF LABOR FOR THE DRILLING OF STA. LUCIA II, PACOL IV AND PACOL V PRODUCTION WELLS AT BRGY. STA. LUCIA, MAGARAO, CAMARINES SUR AND BRGY. PACOL, NAGA CITY</t>
  </si>
  <si>
    <t>Medicines for LPH-San Pablo City District Hospital</t>
  </si>
  <si>
    <t>Purchase of 5,000 amp. Tranexamic Acid 100mg/ml, 5ml</t>
  </si>
  <si>
    <t>AGRICULTURAL SUPPLIES</t>
  </si>
  <si>
    <t>Supply &amp; Delivery 1 set Queuing  System; PR No. 20-1561 dated June 1, 2020</t>
  </si>
  <si>
    <t>labor and materials for the installation of 13 airconditioning units Panasonic Hi Wall Inverter</t>
  </si>
  <si>
    <t>Supply and Delivery of Various Office, Janitorial, and IT Supplies / Ink / Toner / Device</t>
  </si>
  <si>
    <t>Medicines for LPH-Dr. J.P. Rizal Memorial District Hospital</t>
  </si>
  <si>
    <t>INVITATION TO BID FOR COMPLETION OF ARCHIVE BUILDING</t>
  </si>
  <si>
    <t>Supply and delivery of  HARDWARE MATERIALS  re: For Construction of Storage Room @ Port Management Office, Atimonan, Quezon.</t>
  </si>
  <si>
    <t>GF-20-03-00499 TONER AND DRUM CARTRIDGE</t>
  </si>
  <si>
    <t>GF-20-03-00479 CONFERENCE CHAIR AND OTHERS</t>
  </si>
  <si>
    <t>Negotiated Procurement (under Two Failed Bidding) for the Supply and Delivery of One (1) Unit Garbage Compactor</t>
  </si>
  <si>
    <t>Printing of Modules</t>
  </si>
  <si>
    <t>Oracle License</t>
  </si>
  <si>
    <t>Procurement of One (1) Lot ICT Equipment for the Office of the Chief Directorial Staff (OTCDS)- PNPTR-OTCDS-DP-20-09</t>
  </si>
  <si>
    <t>INVITATION TO BID FOR CONSTRUCTION OF RIVERBANK PROTECTION</t>
  </si>
  <si>
    <t>PR 1-20-08-1011, FOR USE IN DISPERSAL AND UPGRADING OF SMALL FARM ANIMALS, CITY AGRICULTURE OFFICE, THIS CITY.</t>
  </si>
  <si>
    <t>Supply and Delivery of Uniform Set</t>
  </si>
  <si>
    <t>Preventive Maintenance Service of Laguna Medical Center CT Scan Machine SN: 50586YC7</t>
  </si>
  <si>
    <t>Supply and Delivery of Various Inorganic Fertilizers</t>
  </si>
  <si>
    <t>Pakyaw LAbor for the Partial/Retrofitting of Museum – Old Municipal Building City Hall Compound, Barangay Poblacion, City of Tacurong</t>
  </si>
  <si>
    <t>INVITATION TO BID FOR REHABILITATION OF MANPOWER SKILLS TRAINING CENTER</t>
  </si>
  <si>
    <t>I.V. Fluids for Laguna Medical Center</t>
  </si>
  <si>
    <t>Pakyaw Labor for the  Construction/Opening of Farm to Market Road Purok San Francisco going to Upper Katungal TNHS (Annex), Barangay Upper Katungal , City of Tacurong</t>
  </si>
  <si>
    <t>PR 1-20-08-0997, FOR USE OF FUSO CANTER DOUBLE  CAB, UNDER FORESTRY DIVISION, CITY ENVIRONMENT MANAGEMENT OFFICE.</t>
  </si>
  <si>
    <t>Office Supplies - Various Offices</t>
  </si>
  <si>
    <t>Supply and Delivery of 3,710 Bags INORGANIC FERTILIZERS (21- 0- 0), Bid Lot 2</t>
  </si>
  <si>
    <t>Ink, Toner and Laminating Machine - Office of the City Mayor - ILEAS</t>
  </si>
  <si>
    <t>Construction Materials for the Construction of Drainage Canal 2nd Block Gonzales Subdivision, Purok 9, Barangay Poblacion , City of Tacurong</t>
  </si>
  <si>
    <t>Supply and Delivery of 24,223 Bags INORGANIC FERTILIZERS (46- 0- 0), Bid Lot 1</t>
  </si>
  <si>
    <t>IMPROVEMENT OF BARANGAY ACCESS ROAD</t>
  </si>
  <si>
    <t>Other Supplies - Janitorial Supplies - Various Offices</t>
  </si>
  <si>
    <t>Dental Supplies/Equipment - Office of the City Health Services</t>
  </si>
  <si>
    <t>Computer Set with Printer - Barangay Lancheta</t>
  </si>
  <si>
    <t>PROCUREMENT OF THE MAKING OF SIBUTAD HYMN AND KINHASON FESTIVAL HYMN</t>
  </si>
  <si>
    <t>CONSTRUCTION OF OPEN CANAL</t>
  </si>
  <si>
    <t>PR 1-20-08-0995, FOR USE OF DT#9 (ISUZU 10-WHEELERS 10PE1) SKX 571 ASSIGNED AT CED, THIS CITY.</t>
  </si>
  <si>
    <t>Purchase of One (1) Set Campershell for Toyota Hillux</t>
  </si>
  <si>
    <t>Supply and Delivery of Various Office, Janitorial, and IT Supplies and Equipment intended for SIAD PO</t>
  </si>
  <si>
    <t>PR 1-20-08-0992, FOR USE OF VARIOUS LIGHT AND HEAVY EQUIPMENT AND MOTOR VEHICLES OF SAN CARLOS CITY.</t>
  </si>
  <si>
    <t>Invitation to Bid - Supply, delivery, installation &amp; commissioning of Generator Set at Pag-IBIG Fund Tagum Branch</t>
  </si>
  <si>
    <t>PROCUREMENT OF SUPPLIES, MATERIALS, MEALS AND SNACKS FOR THE CELEBRATION OF ARAW NG SIBUTAD 2020</t>
  </si>
  <si>
    <t>Procurement of Infrastructure-Construction of Landmark</t>
  </si>
  <si>
    <t>IMPROVING COMMUNITY ACCESS THROUGH COMMUNITY-MANAGED IMPROVEMENT OF BRGY. ROAD, BARANGAY JINALINAN, PANDAN ANTIQUE</t>
  </si>
  <si>
    <t>SUPPLIES - Printing of Learning Modules</t>
  </si>
  <si>
    <t>G-2020-555 Supply and Delivery of Rice, Office of the City Mayor</t>
  </si>
  <si>
    <t>G-2020-549 Supply and Delivery of Office &amp; Janitorial Supplies, City Trial Court</t>
  </si>
  <si>
    <t>proposed concreting barangay road going to barangay ayala alabang office</t>
  </si>
  <si>
    <t>Colored Printer with Scanner &amp; All-in-One Computer Set - City Health Services Office</t>
  </si>
  <si>
    <t>PR 1-20-08-0991, FOR USE IN THE OFFICE OF THE CITY ACCOUNTANT.</t>
  </si>
  <si>
    <t>2 Unit Carry Utility Van</t>
  </si>
  <si>
    <t>G-2020-554 Supply and Installation of Airconditioning Unit, City College of Calamba</t>
  </si>
  <si>
    <t>20GA0001CS – CONSULTANCY SERVICES FOR THE SOIL EXPLORATION/INVESTIGATION OF PROPOSED EIGHT (8) PROJECTS: FOR WIDENING PERMANENT BRIDGES:  MIYERCULESAN BR.’ NUMANCIA BR.; AQUINO BR.;  PAKILAWA BR.; NAM</t>
  </si>
  <si>
    <t>GF-20-02-00317C -  Procurement of Full Duplex Wireless Intercom with All–In-One Headsets</t>
  </si>
  <si>
    <t>Supply and Delivery of Various Feeds</t>
  </si>
  <si>
    <t>GF-20-06-00876 - Procurement of Ink Cartridge for Printer</t>
  </si>
  <si>
    <t>GF-20-06-00937 - TONER CARTRIDGE  (For Ineo165)</t>
  </si>
  <si>
    <t>GF-20-03-00497 - SUPPLY AND INSTALLATION OF WALK THROUGH METAL DETECTOR SCANNER</t>
  </si>
  <si>
    <t>Purchase of materials for the construction of canal lining at zone 5, Mocag,  Baggao, Cagayan</t>
  </si>
  <si>
    <t>PURCHASE OF MATERIALS FOR THE CONSTRUCTION OF CANAL LINING (PHASE IV) FOR BARSAT WEST, BAGGAO, CAGAYAN</t>
  </si>
  <si>
    <t>Purchase of materials for the construction/installation of streetlights  at Bagunot,  Baggao, Cagayan</t>
  </si>
  <si>
    <t>Purchase of mixed gravel and sand for the improvement of farm to market road  at Bagunot,  Baggao, Cagayan</t>
  </si>
  <si>
    <t>Public Address Sound System - Office of the City Mayor - Public Market</t>
  </si>
  <si>
    <t>Food Stuff</t>
  </si>
  <si>
    <t>Purchase of materials for the construction/repair of streetlights at Hacienda-Intal, Baggao, Cagayan</t>
  </si>
  <si>
    <t>Office Equipment Supplies and Consumables</t>
  </si>
  <si>
    <t>Safety and Occupational Products</t>
  </si>
  <si>
    <t>Purchase of materials for the construction of canal lining at zone 6, Mocag,  Baggao, Cagayan</t>
  </si>
  <si>
    <t>Printing and Delivery of the 1st Bangsamoro Development Plan (BDP) 2020-2022</t>
  </si>
  <si>
    <t>NEDA 7 ICT Equipment and Consumables</t>
  </si>
  <si>
    <t>Water Supply</t>
  </si>
  <si>
    <t>Office Supplies and Devices</t>
  </si>
  <si>
    <t>Industrial Machinery and Equipment</t>
  </si>
  <si>
    <t>Printing Modules Week 3 &amp; 4</t>
  </si>
  <si>
    <t>Purchase of Office Equipment</t>
  </si>
  <si>
    <t>Purchase of Furniture</t>
  </si>
  <si>
    <t>PURCHASE OF MATERIALS FOR THE BARANGAY VARIOUS PROJECTS</t>
  </si>
  <si>
    <t>Purchase of Materials for the Rehabilitation of Potable Water System</t>
  </si>
  <si>
    <t>Road Concreting</t>
  </si>
  <si>
    <t>Purchase of 1 Heavy duty Printer/ Copier</t>
  </si>
  <si>
    <t>Purchase of Office Supplies</t>
  </si>
  <si>
    <t>Supply and Installation of Air Conditioning System for Lucena City Convention Center and Sports Complex, Barangay Mayao Kanluran, Lucena City.</t>
  </si>
  <si>
    <t>INFRASTRUCTURE PROJECT</t>
  </si>
  <si>
    <t>Airconditioning and Airconditioning System</t>
  </si>
  <si>
    <t>SUPPLY AND DELIVERY OF LEARNING  SUPPLIES AND EQUIPMENT  FOR THE CITY DEP-ED</t>
  </si>
  <si>
    <t>Supply and Delivery of One (1) Unit of Brand New Air-Conditioned Motor Vehicle for the Bureau of Agricultural and Fisheries Engineering</t>
  </si>
  <si>
    <t>ITB NO. GOP/20-DSWD-047 - Supply and Delivery of Desktop and Laptop Computers for DSWD Central Office and Field Offices</t>
  </si>
  <si>
    <t>Purchase of Relief Goods for Stock Filling</t>
  </si>
  <si>
    <t>Construction of Bulala Multi-Purpose Building Phase II</t>
  </si>
  <si>
    <t>Purchase of mixed gravel and sand for the improvement of farm to market road (re-gravelling) at Taguing, Baggao, Cagayan</t>
  </si>
  <si>
    <t>Purchase of office supplies</t>
  </si>
  <si>
    <t>Supply and Delivery of Laboratory Supplies and Equipment for Project 3 of SeaRDeC Program:"Optimization of Post-Harvest Handling of Kappaphycus ssp and Eucheuma Denticulatum"(by lot)</t>
  </si>
  <si>
    <t>Purchase of Office Furniture (Computer Table)</t>
  </si>
  <si>
    <t>Canal Lining</t>
  </si>
  <si>
    <t>PROCUREMENT AND DELIVERY OF MEDICINES FOR USE DURING THE STATE OF HEALTH EMERGENCY DUE TO COVID 19</t>
  </si>
  <si>
    <t>IMPROVEMENT OF MULTI PURPOSE BUILDING</t>
  </si>
  <si>
    <t>Concreting of 3.0 m x 4 x 4"Local Road with riprap at Purok 3, Barangay Borabod, Daet, Camarines Norte</t>
  </si>
  <si>
    <t>Construction of Manpower Development Center/Day Care Center Phase 3-Wall Finish, Doors and Windows, Barangay Cobangbang, Daet, Camarines Norte</t>
  </si>
  <si>
    <t>Supply and Delivery of Laboratory Supplies and Equipment for Project 1 of SeaRDeC Program:"Optimization of Laboratory and Land-based Culture Technology of Kappaphycus spp and Eucheuma Denticulatum"(by</t>
  </si>
  <si>
    <t>Supply and Delivery of Laboratory Supplies and Equipment for Project 2 of SeaRDeC Program:"Molecular Characterization,Selection,and Production of High Quality Eucheumatoid Cultivars in the Bangsamoro</t>
  </si>
  <si>
    <t>PROCUREMENT OF PRINTING MACHINES AND ACCESSORIES FOR DEP-ED USE</t>
  </si>
  <si>
    <t>SUPPLY OF LABOR, MATERIALS AND EQUIPMENT FOR THE IMPROVEMENT OF LEVEL III WATER SYSTEM AT BALA-AS, ARGAO, CEBU</t>
  </si>
  <si>
    <t>Supply &amp; delivery of three (3) units floor mounted type airconditioner, three (3) tonner capacity, single phase</t>
  </si>
  <si>
    <t>Supply and Delivery of Materials for the Concreting of Farm to Market Road</t>
  </si>
  <si>
    <t>SUPPLY OF MATERIALS FOR THE PROPOSED CONSTRUCTION OF LEVEL III WATER SYSTEM (24 CU.M RESERVOIR) PHASE I AT SITIO CABULIHAN, BARANGAY GUTLANG, ARGAO, CEBU</t>
  </si>
  <si>
    <t>SUPPLY OF MATERIALS FOR INSTALLATION OF SOLAR STREET LIGHT AT PROPER GUTLANG, ARGAO, CEBU</t>
  </si>
  <si>
    <t>Land Development and House Construction of Dupax del Norte IP Housing Project</t>
  </si>
  <si>
    <t>Proc of Semi Exp ICT Equipment</t>
  </si>
  <si>
    <t>LIVE ANIMALS (Livestock)</t>
  </si>
  <si>
    <t>Purchase of Office equipment</t>
  </si>
  <si>
    <t>Proc of ICT Parts &amp; Acc, 11ID, PA</t>
  </si>
  <si>
    <t>REHABILITATION/CONSTRUCTION OF DRAINAGE CANAL (ALANO ST. CAINGLET)</t>
  </si>
  <si>
    <t>SUPPLY OF LABOR, MATERIALS AND EQUIPMENT FOR THE PROPOSED CONSTRUCTION OF LEVEL III WATER SYSTEM (24 CU.M. RESERVOIR)-PHASE II AT SITIO CABULIHAN, BARANGAY GUTLANG, ARGAO, CEBU</t>
  </si>
  <si>
    <t>CONSTRUCTION OF THREE (3) UNITS COMMUNAL SEPTIC TANK (CONCEPCION, STA. CRUZ &amp; CAINGLET)</t>
  </si>
  <si>
    <t>Bid of Supplies</t>
  </si>
  <si>
    <t>COCNRETING OF BARANGAY CANACAN ROAD SECTION</t>
  </si>
  <si>
    <t>rehabilitation of street lights</t>
  </si>
  <si>
    <t>“Procurement of Various Materials for the Construction of Sangguniang Kabataan Hall”</t>
  </si>
  <si>
    <t>77,000 reproduction of modules SHS</t>
  </si>
  <si>
    <t>Supplies for Jhs reproduction of modules</t>
  </si>
  <si>
    <t>STREETLIGHT</t>
  </si>
  <si>
    <t>“Procurement of Various Materials for the Construction of Solar Dryer @ Zone 1”</t>
  </si>
  <si>
    <t>Concreting of  Barangay Road</t>
  </si>
  <si>
    <t>ROAD CONCRETING OF JASMIN STREET (F.L. PEÑA)</t>
  </si>
  <si>
    <t>Vehicle (Motorcycle)</t>
  </si>
  <si>
    <t>Construction of Multi-Purpose Bldg., Phase II, Ground Floor, Cement Floor, Purok 4, Barangay Mambalite, Daet, Camarines Norte</t>
  </si>
  <si>
    <t>Procurement of Office and School Supplies</t>
  </si>
  <si>
    <t>Puchase of One (1) Unit Laptop Computer for regular  council meeting including emergency response preparedness meeting as requested by LCDRRMO(PR#451)REBID</t>
  </si>
  <si>
    <t>Concreting</t>
  </si>
  <si>
    <t>Purchase of Mounted Inverter-Type Air Conditioning Unit as requested by City Engineering Office (PR# 481)</t>
  </si>
  <si>
    <t>Concreting of pathway</t>
  </si>
  <si>
    <t>Purchase Twenty Eight(28) unit of Laptop Compters and One(1) unit Printer for the use of Dlubhasaan ng Lungsod ng Lucena(PR# 465)</t>
  </si>
  <si>
    <t>“Procurement of Various Materials for the Improvement/Rehabilitation of Barangay Auditorium”</t>
  </si>
  <si>
    <t>Purchase of one(1) unit Large Format Printer with complete accessories for use of City Mayor's Office - Special Project unit(PR# 453)</t>
  </si>
  <si>
    <t>Procurement of Seedlings (Reforestation and Urban Greening Program)</t>
  </si>
  <si>
    <t>Tires, 185R14, 8 Ply, Steel Belted, 2020 Manufactured Year</t>
  </si>
  <si>
    <t>Construction of Multi-Purpose Hall of Barangay Rodriguez Macalelon, Quezon</t>
  </si>
  <si>
    <t>Purchase of Electrical and Other Materials for use in the installation of Solar Street Lights  as requested by City Mayor's Office (PR# 457)</t>
  </si>
  <si>
    <t>Rehabilitation of Lindongan Road</t>
  </si>
  <si>
    <t>Purchase of Electrical and Other Materials as requested by City Engineering Office (PR# 462)</t>
  </si>
  <si>
    <t>Proc of Const Supplies &amp; Materials</t>
  </si>
  <si>
    <t>DANGCAGAN NHS-MAIN-JUNIOR HIGH SCHOOL (MATERIALS, SUPPLIES, FOR REPRODUCTION OF MODULES).</t>
  </si>
  <si>
    <t>VAWC Center-Finishing</t>
  </si>
  <si>
    <t>Smartphones</t>
  </si>
  <si>
    <t>SUPPLY AND DELIVERY OF MATERIALS FOR THE IMPROVEMENT OF GENERAL PACIANO RIZAL PARK, LOS BANOS, LAGUNA</t>
  </si>
  <si>
    <t>Proc of Veh Parts &amp; Acc</t>
  </si>
  <si>
    <t>Purchase of Construction Materials and Supplies</t>
  </si>
  <si>
    <t>Second Rebidding for the Supply of labor and parts for the repair of one (1) unit 2009 Toyota Avanza (SKW585)</t>
  </si>
  <si>
    <t>Installation and Activation of Thirty Two(32) CCTV camera in DLL Campus (PR# 484)</t>
  </si>
  <si>
    <t>PR No. 20071414 – Supply and Delivery of Transducer (2D Echo) and 2 others for CNPH Use</t>
  </si>
  <si>
    <t>Request for Quotation of Vehicle Maintenance at NORSU Main Campus</t>
  </si>
  <si>
    <t>Construction of Multi-Purpose Building (Phase II)</t>
  </si>
  <si>
    <t>Purchase of Tools/Equipment/Supplies/PPE's and other Materials for Mitigation and Response Against Covid-19 Pandemic Gumaca, Quezon</t>
  </si>
  <si>
    <t>Purchase of Audio Equipment</t>
  </si>
  <si>
    <t>3 units Cellphone</t>
  </si>
  <si>
    <t>PURCHASE OF QUIPMENT</t>
  </si>
  <si>
    <t>Purchase of Various Materials for use in the maintenance of Barangay Facilities as requested by City Mayor's office(PR# 474)</t>
  </si>
  <si>
    <t>Rehabilitation of Poblacion to Taporug Road</t>
  </si>
  <si>
    <t>Purchase of Online Learning Platform as requested by Dalubhasaan Lungsod ng Lucena (PR# 467)</t>
  </si>
  <si>
    <t>Rental of Sound System for SOTA use</t>
  </si>
  <si>
    <t>Procurement of AirCon for LIWAD Warehouse</t>
  </si>
  <si>
    <t>PR No. 20071413 – Supply and Delivery of Bacteriology Equipment for CNPH Microbiology Laboratory Use</t>
  </si>
  <si>
    <t>Purchase of Materials for use in the repair of various Barangay Facilities as requested by City Mayor's Office(PR# 475)</t>
  </si>
  <si>
    <t>Purchase of Materials for use in the additional works of rehabilitation at Former City Engineering office as requested by City Mayor's Office(PR# 473)</t>
  </si>
  <si>
    <t>Purchase of Disaster Equipment and Paraphernalia</t>
  </si>
  <si>
    <t>Invitation to Bid for the Procurement of Services for Hosting, Training, Customizing and Managing an Online Learning Management System (LMS)-2nd Bidding</t>
  </si>
  <si>
    <t>PBD OF MEALS AND SNACKS USE FOR ARAW NG Zamboanga del sur</t>
  </si>
  <si>
    <t>SUPPLY AND DELIVERY OF GENERATOR FOR DICT BACNOTAN, LA UNION PROVINCIAL OFFICE</t>
  </si>
  <si>
    <t>RFQ 1019 - CUSA Excel</t>
  </si>
  <si>
    <t>Purchase of Medical Equipment</t>
  </si>
  <si>
    <t>Purchase of Laptop Computer as requested by the Department of Education (PR# 489)</t>
  </si>
  <si>
    <t>Purchase of Supplies and Materials use at Isolation Facilities in Response Against Covid-19 Pandemic Gumaca, Quezon</t>
  </si>
  <si>
    <t>CONTSTRUCTION OF BRGY. ROAD PAVEMENT</t>
  </si>
  <si>
    <t>Printing and Delivery of Junior High School Modules Quarter-1</t>
  </si>
  <si>
    <t>Purchase of Give-away for Summer Day-Off (KST Assembly)</t>
  </si>
  <si>
    <t>Purchase of Office Devices for Different Offices  @ Samal, Bataan</t>
  </si>
  <si>
    <t>Purchase of Virus RNA/DNA Extraction Kit as requested by City Health Office (PR# 487)</t>
  </si>
  <si>
    <t>One(1) year subscription of Learning Management System for Online Learning as requested by DLL(PR# 464)</t>
  </si>
  <si>
    <t>PR No. 20081490 – Supply and Delivery of UPS 3 Phase 80KVA and Laryngoscope,  fiber opticfor CNPH Use</t>
  </si>
  <si>
    <t>Construction of Multi-Purpose Hall</t>
  </si>
  <si>
    <t>Supply and Delivery of Office Equipment</t>
  </si>
  <si>
    <t>PR No. 20071419 – Supply and Delivery of Electrosurgical Generator, heavy duty with vessel sealing technology and Mechanical Ventilator for CNPH Operating Room &amp; ICU Use</t>
  </si>
  <si>
    <t>PR No. 20071416 – Supply and Delivery of Pediatric Bed and 4 others for CNPH Use</t>
  </si>
  <si>
    <t>SUPPLY &amp; DELIVERY 1 UNIT STAINLESS WATER TANK FOR USE IN THE IMPROVEMENT OF TUTABANG ALTO ELEMENTARY SCHOOL WATER SYSTEM @ TUYABANG ALTO, OROQUIETA CITY.</t>
  </si>
  <si>
    <t>C20204459 MEDS FOR THE USE OF THE THREE DDN HOSPITALS KAPALONG, IGACOS AND CARMEN ZONE</t>
  </si>
  <si>
    <t>Purchase of Laptop Computer as requested by the Department of Education (PR# 490)</t>
  </si>
  <si>
    <t>PR No. 20071418 – Supply and Delivery of Anesthesia Machine, heavy duty  and 2 othersfor CNPH Use</t>
  </si>
  <si>
    <t>4 pcs. Tires. For use in Nissan Navara FOG-730								 			assigned @ SP Rubio's Office</t>
  </si>
  <si>
    <t>4 case Tomato Sauce, 115 ml, 48 pcs/case and other items for malnourish Pre-Schooler children and pregnant women from 25 Barangays of the City of Dumaguete for CY 2020./City Nutrition Office</t>
  </si>
  <si>
    <t>INVITATION TO BID FOR THE PROCUREMENT OF SUPPLIES FOR REPRODUCTION OF MODULE (HIGH SCHOOL AND ELEMENTARY)</t>
  </si>
  <si>
    <t>Procurement of Other Supplies</t>
  </si>
  <si>
    <t>8 pcs. Tire (195 R 15)</t>
  </si>
  <si>
    <t>Supply and Delivery of materials for the Water System</t>
  </si>
  <si>
    <t>Meal box, Single division, paper, biodegradable</t>
  </si>
  <si>
    <t>Purchase of Laptop Computer as requested by the Department of Education (PR# 492)</t>
  </si>
  <si>
    <t>Rehabilitation/Improvement of Mansalay Technical Vocational College (MTVC) Buildings/Facilities as Temporary Isolation Area for Covid-19 Patients and Persons Under Monitoring/Investigation</t>
  </si>
  <si>
    <t>Purchase of Laptop Computer as requested by the Department of Education (PR# 491)</t>
  </si>
  <si>
    <t>PROCUREMENT OF MOOE OF LINGI-ON ES</t>
  </si>
  <si>
    <t>Materials for the Construction of School Canopy (Phase I)-SJJNHS, Brgy. Magamay</t>
  </si>
  <si>
    <t>Drugs &amp; Medicines (Hasud Serbisyong VJP 2020)</t>
  </si>
  <si>
    <t>Purchase of Handpumps for Different Barangays @ Samal, Bataan</t>
  </si>
  <si>
    <t>Purchase of Office Equipment (Camcorder) for Sangunniang Bayan Gumaca, Quezon</t>
  </si>
  <si>
    <t>Concreting of Road</t>
  </si>
  <si>
    <t>Purchase of Vehicle Accessories</t>
  </si>
  <si>
    <t>Materials - Installation of Electricals at Sitio Cuta, Brgy. Lalig</t>
  </si>
  <si>
    <t>Repair and Maintenance of MEO &amp; MPDC Building at Municipal Compound Brgy. Pipisik Gumaca, Quezon</t>
  </si>
  <si>
    <t>Purchase of Real-Time PCR/Detection Kit as requested by City Health Office (PR# 486)</t>
  </si>
  <si>
    <t>4 sets 11.00 x 20 MRF Lug Tire w/ Tube &amp; Flap (16 ply)</t>
  </si>
  <si>
    <t>Mountain Mix</t>
  </si>
  <si>
    <t>PROCUREMENT OF VARIOUS MEDICAL EQUIPMENT (ELECTRICAL BEDS, EMERGENCY CART, CARDIAC MONITOR TRANSPORT AND SEQUENTIAL COMPRESSION DEVICE)</t>
  </si>
  <si>
    <t>Disposal of  Unserviceable Furniture, Dismantled Corrugated Sheets and Other Waste Materials</t>
  </si>
  <si>
    <t>Two (2) Units Computer System</t>
  </si>
  <si>
    <t>Purchase of Laptop Computer as requested by the Department of Education (PR# 493)</t>
  </si>
  <si>
    <t>Procurement of Foodstuff</t>
  </si>
  <si>
    <t>Purchase of Information and Communication Technology Equipment for MO use</t>
  </si>
  <si>
    <t>ITB, mobile phones, supplies</t>
  </si>
  <si>
    <t>REPAIR AND MAINTENANCE-TRANSPORTATION EQUIPMENT</t>
  </si>
  <si>
    <t>PBD OF CONTRACT PACKAGE USE FOR ARAW NG ZAMBOANGA DEL SUR</t>
  </si>
  <si>
    <t>RENOVATION/RETROFITTING OF PUBLIC MARKET BUILDING POBLACION</t>
  </si>
  <si>
    <t>Cloth for Scrub Suit</t>
  </si>
  <si>
    <t>Supply and Delivery of Tablet</t>
  </si>
  <si>
    <t>Extra Oral Aerosol Vacuum Suction Machine</t>
  </si>
  <si>
    <t>Purchase of Laptop Computer as requested by the Department of Education (PR# 494)</t>
  </si>
  <si>
    <t>Purchase of Laptop Computer as requested by the Department of Education (PR# 495)</t>
  </si>
  <si>
    <t>Purchase and delivery of Printed forms for business permit application and printed forms for RCD to be used in the Municipal of the Treasurer, Concepcion, Tarlac</t>
  </si>
  <si>
    <t>CONSTRUCTION OF POBLACION EVACUATION CENTER SLOPE PROTECTION AND DRAINAGE CANAL</t>
  </si>
  <si>
    <t>HEPARIN (UNFRACTIONATED BOVIRINE ORIGIN) (AS SODIUM SALT) 1000IU/ML 5ML (IV INFUSION, SC)</t>
  </si>
  <si>
    <t>Procurement of Ink and Toners for various offices of the University</t>
  </si>
  <si>
    <t>PROCUREMENT OF MEDICAL EQUIPMENT</t>
  </si>
  <si>
    <t>SUPPLY, DELIVERY AND INSTALLATION OF TYPHOON-RESILIENT VERTICAL INDOOR FARMING SYSTEM AT ASCOT BAZAL CAMPUS</t>
  </si>
  <si>
    <t>CONSTRUCTION OF RESIDUAL CONTAINMENT AREA (RCA)</t>
  </si>
  <si>
    <t>Purchase of Computer Printer for Getafe District Schools</t>
  </si>
  <si>
    <t>BLGU-KATIPUNAN-AL-01-2020 CONCRETING OF BRGY. ROAD, PHASE II BRGY. KATIPUNAN ABUYOG, LEYTE</t>
  </si>
  <si>
    <t>Supply and Delivery of IQ2000 AHPND/EMS/WSSV KITS</t>
  </si>
  <si>
    <t>Supply &amp; delivery of 3 units aircondition for CSO Building</t>
  </si>
  <si>
    <t>Construction of River Landing Brgy. Matelarag, Las Navas Northern Samar</t>
  </si>
  <si>
    <t>RFQ 168-08-2020 Mun. Economic Enterprise Development Office - Cemetery Management &amp; Operation</t>
  </si>
  <si>
    <t>Day Care Educational Supplies</t>
  </si>
  <si>
    <t>FUEL for CENRO Laoag</t>
  </si>
  <si>
    <t>1 pc. Piston</t>
  </si>
  <si>
    <t>Materials for the Improvement/Rehab. of Hand Washing Area-Lanipe E/S-Brgy. Lanipe</t>
  </si>
  <si>
    <t>PURCHASE OF SOLAR LIGHTS</t>
  </si>
  <si>
    <t>Purchase of Laptop Computer as requested by the Department of Education (PR# 496)</t>
  </si>
  <si>
    <t>Meals and Snacks (PESO)</t>
  </si>
  <si>
    <t>RFQ SUCTION MACHINE, PORTABLE</t>
  </si>
  <si>
    <t>PURCHASE OF DIESEL, OIL &amp; FUEL FOR ROAD IMPROVEMENT OF BRGY. CARMELO (SITIO BANTUD), BANATE, ILOILO</t>
  </si>
  <si>
    <t>Request for Quotation for the Procurement of Loyalty Ring for DAR-A.D.N. Employees</t>
  </si>
  <si>
    <t>Materials for the Repair and Maintenance of Municipal Roads-Brgy. Poblacion</t>
  </si>
  <si>
    <t>LPG Tank with contetnt</t>
  </si>
  <si>
    <t>Purchase and delivery of Garbage Bags used in the Municipal General Services Office, Concepcion, Tarlac</t>
  </si>
  <si>
    <t>Printing of Certificate of Employer's Registration</t>
  </si>
  <si>
    <t>For Office Cubicle</t>
  </si>
  <si>
    <t>PR 20-06-0646</t>
  </si>
  <si>
    <t>Procurement of medicines, LGU-Panitan, Capiz (PCF-Trust Fund)</t>
  </si>
  <si>
    <t>Purchase of Hospital Forms</t>
  </si>
  <si>
    <t>Procurement of 2 units Air Conditioning for Municipal Health Office and Motorpool</t>
  </si>
  <si>
    <t>Purchase of Laptop Computer as requested by the Department of Education (PR# 499)</t>
  </si>
  <si>
    <t>Procurement of Spare parts &amp; Accessories for Dump Truck Foton</t>
  </si>
  <si>
    <t>Construction of Concrete Pathway</t>
  </si>
  <si>
    <t>Medicine Supplies</t>
  </si>
  <si>
    <t>CONSTRUCTION OF TWO (2) STOREY OFFICE AND  WATCH TOWER Capitol Compound, Alabel, Sarangani Province</t>
  </si>
  <si>
    <t>Supply and Delivery of MilliQ Distiller Consumables for BFAR 12- Laboratory</t>
  </si>
  <si>
    <t>Procurement of Infrastructure-Repair/Rehab of IPMR Office</t>
  </si>
  <si>
    <t>Procurement of Various Construction Supplies and Materials [07-405(O)]PEO</t>
  </si>
  <si>
    <t>Procurement of Construction Materials and Supplies of 3RCDG, ARESCOM amounting to Php216,000.00</t>
  </si>
  <si>
    <t>Procurement of  Soil Cover for Waste Management</t>
  </si>
  <si>
    <t>Procurement of Various Office Supplies</t>
  </si>
  <si>
    <t>Purchase of Office Supplies for the use of Dalubhasaan ng Lungsod ng Lucena(PR#503)</t>
  </si>
  <si>
    <t>CONSTRUCTION OF FOOTBRIDGE AT LAMLUNAY RESEARCH AND LEARNING CENTER Upo, Maitum, Sarangani Province</t>
  </si>
  <si>
    <t>Geo Tagging Equipment CENRO Bangui</t>
  </si>
  <si>
    <t>Purchase of Janitorial Supplies for the use of Dalubhasaan ng Lungsod ng Lucena(PR# 504)</t>
  </si>
  <si>
    <t>MISC. - EFFERVESCENT DISINFECTANT TABLET (PRESEPT) (3rd POSTING)</t>
  </si>
  <si>
    <t>PROCUREMENT OF OFFICE AND SCHOOL SUPPLIES</t>
  </si>
  <si>
    <t>request for quotation of vehicle parts</t>
  </si>
  <si>
    <t>REPRODUCTION OF LEARNING MATERIALS (SAN LUIS INTEGRATED SCHOOLS)</t>
  </si>
  <si>
    <t>Gravel Mixed,Cement,Screened GRavel,Screened Sand</t>
  </si>
  <si>
    <t>FOOD AND MICRONUTRIENT SUPPLEMENTATION OF NUTRITIONALLY AT RISK 0-59 MONTHS OLD CHILDREN OF THE MUNICIPALITY OF SUDIPEN, LA UNION</t>
  </si>
  <si>
    <t>CONSTRUCTION OF DAY CARE CENTER, SITIO TANGIS,  DATAL ANGGAS, ALABEL Alabel, Sarangani Province</t>
  </si>
  <si>
    <t>Purchase of Office Supplies for OMA use</t>
  </si>
  <si>
    <t>Purchase of Barangay Officials Uniform</t>
  </si>
  <si>
    <t>PROCUREMENT OF MATERIALS FOR THE MODULES</t>
  </si>
  <si>
    <t>100 pcs CADAVER BAG</t>
  </si>
  <si>
    <t>PR 20-06-0660</t>
  </si>
  <si>
    <t>Supply and Delivery of Gloves, Nitrile Examination, large, disposable, powder free, ambidextrous, Powder Free, non sterile</t>
  </si>
  <si>
    <t>Materials for Riprapping of Barangay road at Asaclat</t>
  </si>
  <si>
    <t>Purchase and delivery of Agricultural Supplies to be used in the Municipal Agriculture Office, Concepcion, Tarlac</t>
  </si>
  <si>
    <t>Procurement of One (1) unit Motorcycle 125cc</t>
  </si>
  <si>
    <t>Procurement of Infrastructure-Rehabilitation of Road From Sitio Tambinasan to Sitio Magtunod to Sitio Danao, Brgy. Mikit</t>
  </si>
  <si>
    <t>2020 Census of Population and Housing (CPH) - Additional Information Information Education Campaign Materials</t>
  </si>
  <si>
    <t>Purchase of Laptop Computer as requested by the Department of Education (PR# 498)</t>
  </si>
  <si>
    <t>RFQ 165-08-2020 CATERING SERVICES - PDAO OFFICE</t>
  </si>
  <si>
    <t>PROCUREMENT OF 1 LOT OFFICE EQUIPMENT</t>
  </si>
  <si>
    <t>COMPLETION OF SCHOOL BUILDING (Lusacan NHS, Brgy. Lusacan, Tiaong, Quezon)</t>
  </si>
  <si>
    <t>Procurement of Portland cement</t>
  </si>
  <si>
    <t>NP-SVP(A)-2020-014-MWC - Vehicle Rental RFO XII</t>
  </si>
  <si>
    <t>Construction of Drainage System at NHA, Brgy. Dahican</t>
  </si>
  <si>
    <t>Purchase of 1,000 vials Dobutamine 50mg/ml, 5ml</t>
  </si>
  <si>
    <t>PROCUREMENT OF 1 LOT APPLIANCES</t>
  </si>
  <si>
    <t>Purchase and Deliver of Materials for the Improvement of Multi-Purpose Building at Mansalay Central School</t>
  </si>
  <si>
    <t>Purchase of Laptop Computer as requested by the Department of Education (PR# 497)</t>
  </si>
  <si>
    <t>ECCD Leaflets printing</t>
  </si>
  <si>
    <t>Supply and Delivery of Materials for the Rehabilitation of Slaughterhouse Roofing at San Pedro, Roxas, Isabela</t>
  </si>
  <si>
    <t>Delivery of Motor Vehicle, Furniture &amp; Fixtures and Other Property, Plant &amp; Equipment for Operation of LGU Bayawan City Press Corps.(SVP 20-0598)</t>
  </si>
  <si>
    <t>LGU-CAQUI.- 2020-01</t>
  </si>
  <si>
    <t>Grade 1 Supplies</t>
  </si>
  <si>
    <t>Purchase of Safety Equipment for Utility Personnel at the Municipality  @ Samal, Bataan</t>
  </si>
  <si>
    <t>500 pcs STRETCHER PAD COVER</t>
  </si>
  <si>
    <t>Procurement of Various Construction Supplies and Materials [07-404(O)]PEO</t>
  </si>
  <si>
    <t>PROCUREMENT FOR DISINFECTION OF SCHOOL BUILDING AND FACILITY</t>
  </si>
  <si>
    <t>Supply and Delivery of 5 units Airconditioner</t>
  </si>
  <si>
    <t>Supply and Delivery of Construction Materials</t>
  </si>
  <si>
    <t>IMPROVEMENT OF MUNICIPAL CEMETERY (LIGHTINGS AND PATHWAYS)</t>
  </si>
  <si>
    <t>Installation of Street Lights (SOLAR)</t>
  </si>
  <si>
    <t>Procurement of Infrastructure-Rehabilitation of Road From Sitio Dawis, Brgy. Central to Sitio Mercedes, Brgy. Mahan-ub</t>
  </si>
  <si>
    <t>Rehabilitation of Slaughter House Access Road and Perimeter Fence</t>
  </si>
  <si>
    <t>BLGU-LARAY-AL-01-2020 CONSTRUCTION OF CONCRETE PATHWAY BRGY. LARAY ABUYOG, LEYTE</t>
  </si>
  <si>
    <t>PR. No. 2020-08-207 Face Shield</t>
  </si>
  <si>
    <t>Purchase of Office Furniture and Fixtures</t>
  </si>
  <si>
    <t>PURCHASE OF VEHICLE PARTS (TIRE WITH TUBE) FOR FARM TRACTOR</t>
  </si>
  <si>
    <t>Rehabilitation of Brgy. Water System</t>
  </si>
  <si>
    <t>Printing Services</t>
  </si>
  <si>
    <t>SUPPLY AND DELIVERY OF MUSICAL INSTRUMENT OF BSU CCA</t>
  </si>
  <si>
    <t>Ri Bid for Purchase of Rescue Vehicle</t>
  </si>
  <si>
    <t>Supply &amp; Delivery of Dental Supplies</t>
  </si>
  <si>
    <t>PAPER REPRODUCTION OF MODULES</t>
  </si>
  <si>
    <t>PRINTERS AND CONSUMABLES FOR OFFLINE PRINTED MODULES</t>
  </si>
  <si>
    <t>CONCRETING OF LOCAL  ROAD (Sitio Ibaba, Brgy. Cabay, Tiaong, Quezon)</t>
  </si>
  <si>
    <t>Procurement of Infrastructure-Rehabilitation of Road From Proper Brgy. Batiano to Sitio Guicob</t>
  </si>
  <si>
    <t>Supply and Delivery of Grass Cutters for Tarlac City ENRO use</t>
  </si>
  <si>
    <t>Supply and Delivery of T-shirts for residents of HFWG</t>
  </si>
  <si>
    <t>Supply and Delivery of Retirement Ring for the Retirees</t>
  </si>
  <si>
    <t>PROCUREMENT OF VARIOUS PARTS OF KOGANE DRIVE ENGINE REPAIR</t>
  </si>
  <si>
    <t>Supply and Delivery of Vehicle Lubricants  ,Filter and Accessories</t>
  </si>
  <si>
    <t>Supply &amp; Delivery of Office Supplies for 07D Projects H25A-2020</t>
  </si>
  <si>
    <t>Procurement of Infrastructure-Repair/Rehab. of Bobonao CDC</t>
  </si>
  <si>
    <t>Ri Bid for Construction of Multi-Purpose Bldg.</t>
  </si>
  <si>
    <t>PROCUREMENT OF GEN MDSE</t>
  </si>
  <si>
    <t>Request for Quotation for the Provision of Catering Services to be used for the conduct of RCM Briefing Batch 1 and Batch 2 on September 29, 2020 at Naawan, Misamis Oriental</t>
  </si>
  <si>
    <t>Supply and Delivery of Tires for the use of CMO-Market Operation</t>
  </si>
  <si>
    <t>Procurement of Spare Parts &amp; Accessories for Rescue Ambulance</t>
  </si>
  <si>
    <t>Supply and Delivery of 18 units Executive Office Chairs</t>
  </si>
  <si>
    <t>Purchased of Motorcycle with Sidecar (Kulung-Kulung)</t>
  </si>
  <si>
    <t>1 Unit Motorcycle</t>
  </si>
  <si>
    <t>Purchase of Motorcycle  125cc For use in Municipal Health  Office field Monitoring</t>
  </si>
  <si>
    <t>PURCHASE OF ICT ACCESORIES FOR THE CAMPUSWIDE INTERNET WIRINGS</t>
  </si>
  <si>
    <t>Purchase of BDRRM materials of Barangay Tungal, San luis, Batangas</t>
  </si>
  <si>
    <t>Rehabilitation of Barangay Road( Guitom)</t>
  </si>
  <si>
    <t>PROCUREMENT OF 1 LOT INFORMATION TECHNOLOGY</t>
  </si>
  <si>
    <t>Procurement of Infrastructure-Coastal Protection at Sunrise Boulevard</t>
  </si>
  <si>
    <t>Supply and Delivery of I.T. Equipment for Tarlac City CTTMG/POSO use</t>
  </si>
  <si>
    <t>Purchase of Laptop</t>
  </si>
  <si>
    <t>Installation of Street light</t>
  </si>
  <si>
    <t>IMPROVEMENT OF CHILD DEVELOPMENT CENTER</t>
  </si>
  <si>
    <t>Construction of Drainage Canal</t>
  </si>
  <si>
    <t>Installation of Water Tank with Line &amp; Electric Motor</t>
  </si>
  <si>
    <t>PROCUREMENT OF PRINTING OF THE SUPPLEMENTAL READFING OF THE TOURISM GUIDEBOOK FOR LGUs</t>
  </si>
  <si>
    <t>Purchase of Office Supplies for MASSO use</t>
  </si>
  <si>
    <t>Supply and Delivery of Construction Materials for the Construction of Line Canal at Purok 5, Barangay San Jose, City of San Fernando, Pampanga</t>
  </si>
  <si>
    <t>SUPPLY AND DELIVERY OF VARIOUS ARTS AND CRAFTS OF BSU CCA</t>
  </si>
  <si>
    <t>Purchase of Drugs and Medicines (Regulated)</t>
  </si>
  <si>
    <t>TONER FOR MURATEC COPIER MACHINE MFX-3510 (2nd Posting)</t>
  </si>
  <si>
    <t>Installation/Maintenance of Street Lights</t>
  </si>
  <si>
    <t>Supply and delivery of 60 units Smart Pocket WIFI</t>
  </si>
  <si>
    <t>General Checkup and Repair of Grand Starex Vehicle</t>
  </si>
  <si>
    <t>Local School Board Modules</t>
  </si>
  <si>
    <t>GESTETNER INK AND MASTER PAPER</t>
  </si>
  <si>
    <t>Supply and Delivery of Appliances</t>
  </si>
  <si>
    <t>Purchase of other Equipment and Machinery for Different Departments and Offices Province of Northern Samar</t>
  </si>
  <si>
    <t>PROCUREMENT OF 1 LOT SIGNAGE AND ACCESSORIES</t>
  </si>
  <si>
    <t>Medical, Dental &amp; Laboratory Supplies - MHO</t>
  </si>
  <si>
    <t>PR 20-06-0675</t>
  </si>
  <si>
    <t>ACCELERATING INFRASTRUCTURE DEVELOPMENT PROGRAM</t>
  </si>
  <si>
    <t>Repair &amp; Maintenance of Buildings (OJ3-PhP993,000.00)</t>
  </si>
  <si>
    <t>Ri Bid for Additional Material for Construction of Multi-Purpose Bldg.</t>
  </si>
  <si>
    <t>RFQ- Agricultural Crops Production NC I Tools</t>
  </si>
  <si>
    <t>PROCUREMENT OF SUPPLIES FOR DIVISION OFFICE USE</t>
  </si>
  <si>
    <t>Purchased and Delivery of 1 Unit Multicab</t>
  </si>
  <si>
    <t>PR 20-07-0756</t>
  </si>
  <si>
    <t>Office Equipment and Accessories</t>
  </si>
  <si>
    <t>PURCHASE OF PAINTING AND OTHER CONSTRUCTION SUPPLIES</t>
  </si>
  <si>
    <t>SUPPLY AND DELIVERY OF OFFICE EQUIPMENT(Computer Set)</t>
  </si>
  <si>
    <t>B-038-2020 PROCUREMENT OF TRAINING EQUIPMENT FOR THE COMPLETED THREE (3) STOREY BUILDING OF THE ZSCMST REGIONAL MARITIME TRAINING CENTER FOR BASIC TRAINING (FORMERLY SOLAS) - REBID</t>
  </si>
  <si>
    <t>PURCHASE OF RAPID TESTING KITS AND MEDICAL SUPPLIES</t>
  </si>
  <si>
    <t>Request for Quotation for LIQUIFIED PETROLEUM GAS per PR No. 20-08-0234</t>
  </si>
  <si>
    <t>Purchase of 6 units Face Recognition terminal with body temperature for use of the City Government of Laoag</t>
  </si>
  <si>
    <t>Procurement of Laboratory Supplies</t>
  </si>
  <si>
    <t>Supply and Delivery of Various Sizes for Catheter, Umbilical catheter</t>
  </si>
  <si>
    <t>COMPACT DISC RECORDABLE (CD-R), 700MB MIN, 80 MIN. RECORDING TIME, WITH INDIVIDUAL HARD CASE &amp; 1 OTHER  (2nd Posting)</t>
  </si>
  <si>
    <t>PR 20-07-0763</t>
  </si>
  <si>
    <t>Day and Night Security Guards</t>
  </si>
  <si>
    <t>Development of Agri-Eco Center @ Cabawan, Rosario, Agusan del Sur</t>
  </si>
  <si>
    <t>Purchase of CCTV.</t>
  </si>
  <si>
    <t>Delivery of 10,000 liters of Diesel</t>
  </si>
  <si>
    <t>Purchase of IT Equipment</t>
  </si>
  <si>
    <t>SUPPLY AND DELIVERY OF INTERNET SUBSCRIPTIONS AND SOFTWARE SUBSCRIPTION FOR INTERNET CONNECTIVITY AND E-SIGN SERVICES</t>
  </si>
  <si>
    <t>PROC-20-RIBBON</t>
  </si>
  <si>
    <t>Provision of one (1) unit Rescue Vehicle</t>
  </si>
  <si>
    <t>Supply/Delivery of Medical Supplies for for MDDRMO 24/7 Operation -COVID 19  (PR# 20-08-0811)</t>
  </si>
  <si>
    <t>20-03-281a_Office supplies for DOST NICER 3 Project</t>
  </si>
  <si>
    <t>Barangay Lawaan,WATER SYSTEM</t>
  </si>
  <si>
    <t>RFQ 2020-01-0168-IBSTM HOSTEL LABORATORY EQUIPMENT</t>
  </si>
  <si>
    <t>541.4 Kgs January-December 2020, Hospital Linen Items/OR and ER Gowns, other items (For Sanitary Services-Laundry)</t>
  </si>
  <si>
    <t>Supply and Delivery of Meals and Snacks for the Tarlac City Scholars Orientation with Telecommunication Companies at KAISA Convention Hall, Tarlac City Plazuela</t>
  </si>
  <si>
    <t>SUPPLY AND DELIVERY OF FOOD STUFF</t>
  </si>
  <si>
    <t>Purchase of Office Equipment (3) - ASSESSOR</t>
  </si>
  <si>
    <t>20-08-0729 Food for the Training on Semi-Intensive Tilapia Culturee in Pens and Fixed-Type Cages on Various areas covered by FishCORAL project in region 8</t>
  </si>
  <si>
    <t>Supply and Delivery of Office Equipment (CDRRMO)</t>
  </si>
  <si>
    <t>PR 20-07-0765</t>
  </si>
  <si>
    <t>Battery 3sm Motolite Gold</t>
  </si>
  <si>
    <t>Foods to be Consumed in the Census for Population and Housing Seminar  @ Samal, Bataan</t>
  </si>
  <si>
    <t>Purchase of Meals and Snacks</t>
  </si>
  <si>
    <t>Fuels (MDRRMO)</t>
  </si>
  <si>
    <t>IMPROVEMENT OF BTR RO XII PERIMETER FENCE (FRONT)</t>
  </si>
  <si>
    <t>CONST. OF TWO STOREY SIX (6) CLASSROOM SCHOOL BLDG. (Talisay National High School, Brgy. Talisay)</t>
  </si>
  <si>
    <t>RFQ MEALS OF PATIENTS FOR THE PERIOD OF SEPTEMBER 1 – 15, 2020</t>
  </si>
  <si>
    <t>request for quotation of office equipment</t>
  </si>
  <si>
    <t>Supply and Delivery of Materials for maintenance of transmission and distribution</t>
  </si>
  <si>
    <t>Laptop</t>
  </si>
  <si>
    <t>Supply and Delivery of I.T. Equipments for PNP Tarlac City use</t>
  </si>
  <si>
    <t>INVITATION TO BID FOR REPAIR/RENOVATION OF BARANGAY HALL</t>
  </si>
  <si>
    <t>Transfer of BTr RO XII Manual Transfer Switch(MTS)</t>
  </si>
  <si>
    <t>PROCUREMENT OF FINANCIAL  AND INSURANCE</t>
  </si>
  <si>
    <t>SCOTCH TAPE, 1 INCH X 50 YARDS, CROCO &amp; 3 OTHERS (2nd Posting)</t>
  </si>
  <si>
    <t>Purchase of Office Supplies and Equipment 2020-08-151</t>
  </si>
  <si>
    <t>Cost of Portable Handheld Radio Used at CITMO</t>
  </si>
  <si>
    <t>PR 20-07-0733</t>
  </si>
  <si>
    <t>For Tellers and Cashier's Issuance of Official Receipt Commercial Division (supply and delivery)</t>
  </si>
  <si>
    <t>Procurement of Office Supplies for Dep Ed Office</t>
  </si>
  <si>
    <t>Request For Quotation 20-08-082</t>
  </si>
  <si>
    <t>Procurement of Laboratory Reagents</t>
  </si>
  <si>
    <t>SUPPLY &amp; DELIVERY 2 PCS. TIRE, 165 X 80 R 13 FOR REPLACEMENT OF WORN-OUT PARTS OF THE FOLLOWING EQUIPMENT ITEM #1 FOR MULTICAB SGC-784, ITEM #2  FOR ISUZU FORWARD DUMPTRUCK DID - 731.</t>
  </si>
  <si>
    <t>RFQ-for the use of the Accounting, Budget and Planning Section (Fabrication of Open Shelves and Cabinets)</t>
  </si>
  <si>
    <t>Purchase of Office Supplies and Materials</t>
  </si>
  <si>
    <t>SECURITY SURVEILLANCE AND DETECTION EQUIPMENT</t>
  </si>
  <si>
    <t>Supply and Delivery of Universal Serial Bus (USB) for City Government of Tarlac use</t>
  </si>
  <si>
    <t>to purchase office and janitorial supplies for different offices</t>
  </si>
  <si>
    <t>Purchase of materials for the repair and repainting of Ceiling (inside &amp; outside) of LIBRARY HUB</t>
  </si>
  <si>
    <t>EXPANSION OF LEVEL III-DEEP WELL WATER SYSTEM Kabatiol, Maasim, Sarangani Province</t>
  </si>
  <si>
    <t>PROCUREMENT OF OFFICE SUPPLIES - SEPTEMBER 2020</t>
  </si>
  <si>
    <t>Supply and Delivery of Construction Materials for the Rehabilitation of Lined Canal at Barangay Bulaon, City of San Fernando, Pampanga</t>
  </si>
  <si>
    <t>Procurement of office supplies and devices to all Elementary Schools of District of Panitan, Panitan, Capiz (SEF 2020)</t>
  </si>
  <si>
    <t>Meals and snacks</t>
  </si>
  <si>
    <t>Procurement of Diesel (Land Development of Balai Maganahay at Brgy. Dawan)</t>
  </si>
  <si>
    <t>SUPPLY AND DELIVERY OF BRAND NEW 4X2 PICK-UP TYPE VEHICLE.</t>
  </si>
  <si>
    <t>COMPLETION OF BARANGAY MULTIPURPOSE GYM</t>
  </si>
  <si>
    <t>Supply &amp; Delivery of Forty-Nine (49) Brand New Unit of Photocopying Machines for Schools</t>
  </si>
  <si>
    <t>Purchase of IT Equipment for the use of Provincial Information Office</t>
  </si>
  <si>
    <t>FOR QUARTERLY MEETING OF WOMEN OFFICERS.</t>
  </si>
  <si>
    <t>Purchase of 4 Channel Surveillance Kit (CCTV Kit) with Installation</t>
  </si>
  <si>
    <t>ITB No. 2020-08-122</t>
  </si>
  <si>
    <t>PR 20-07-0757</t>
  </si>
  <si>
    <t>COMPUTER CONTINUOUS FORM, 3 PLY, 280MM X 241MM (11” X 9-1/2”), CARBONLESS, 500 SETS/BOX &amp; 6 OTHERS (2nd Posting</t>
  </si>
  <si>
    <t>HOTEL &amp; ACCOMMODATION SERVICES</t>
  </si>
  <si>
    <t>Procurement of Materials for the Installation of Street Lights (20 UNITS)</t>
  </si>
  <si>
    <t>Purchase and Deliver of Materials for the Construction of Drainage Canal @ sitio Purok 2</t>
  </si>
  <si>
    <t>PROCUREMENT OF OFFICE AND SCHOOL SUPPLIES FOR ELEMENTARY DEPARTMENT</t>
  </si>
  <si>
    <t>Development of Centralized Mineral Processing Zone Sta. Cruz, Rosario, Agusan del Sur</t>
  </si>
  <si>
    <t>PAPERS FOR PRINTINF OF MODULES</t>
  </si>
  <si>
    <t>CATERING SERVICES</t>
  </si>
  <si>
    <t>CONSTRUCTION MATERIALS FOR REPAIRS</t>
  </si>
  <si>
    <t>20GDQ0027   Purchasing of Various IT Equipment for use in Cavite 3rd District Engineering Office, Carmona, Cavite (3rd Quarter)</t>
  </si>
  <si>
    <t>Proposed Improvement of LAMSTAC Building</t>
  </si>
  <si>
    <t>Supply of Materials for Concrete Perimeter Fence Multi-purpose Bldg.</t>
  </si>
  <si>
    <t>PR 20-07-0767</t>
  </si>
  <si>
    <t>supply and delivery of medical supplies for Listahanan field staff validation 2020</t>
  </si>
  <si>
    <t>Supply &amp; Delivery of Grass Cutter</t>
  </si>
  <si>
    <t>FOR THE USE AND IMPLEMENTATION OF LISTAHANAN VALIDATION</t>
  </si>
  <si>
    <t>RFQ-TO PROVIDE AGRICULTURAL MATERIALS FOR THE OPERATION OF DEPED TVL PROGRAM.BRF-161-20-08-78</t>
  </si>
  <si>
    <t>PURCHASE OF 1 UNIT LAPTOP &amp; 1 UNIT PRINTER</t>
  </si>
  <si>
    <t>PR 20-08-0772</t>
  </si>
  <si>
    <t>PROCUREMENT OF TABLET AS COMMUNICATION DEVICE TO KEY PERSONNEL FOR EFFECTIVE DELIVERY OF SERVICES</t>
  </si>
  <si>
    <t>PAPER FASTENER (PLASTIC), SET OF 50 PAIRS/BOX &amp; 6 OTHERS (2nd Posting)</t>
  </si>
  <si>
    <t>Purchase of Office Supplies 2020-08-147</t>
  </si>
  <si>
    <t>Covid 19 Safety suits</t>
  </si>
  <si>
    <t>Painting of Ceiling and Installation of Partition Wall (Glass with Aluminum Frame)</t>
  </si>
  <si>
    <t>21CSIA004 (Re-advertisement) Conduct of Soil Exploration for the following Flood Control Projects under FY 2021 Infrastructure Program</t>
  </si>
  <si>
    <t>SCISSOR 4-7 INCHES ALL PURPOSE &amp; 6 OTHERS (2nd posting)</t>
  </si>
  <si>
    <t>Office equipment (visitor chair)</t>
  </si>
  <si>
    <t>Purchase of Cleaning Supplies and Materials for NSPH and Allen District Hospital Province of Northern Samar</t>
  </si>
  <si>
    <t>Supply and Delivery of Construction Materials intended for Various Infrastructure Projects Cluster 1 at Brgy Nagotgot</t>
  </si>
  <si>
    <t>Procurement of Heparin 5000iu/vial</t>
  </si>
  <si>
    <t>Construction of Water System at Brgy. Sto. Cristo, Sariaya, Quezon</t>
  </si>
  <si>
    <t>Ri Bid Purchase of P.E Pipes for Sitio Panipasan Santol</t>
  </si>
  <si>
    <t>SUPPLY &amp; DELIVERY OF OIL &amp; LUBRICANTS FOR THE MAINTENANCE OF HEAVY EQUIPMENTS</t>
  </si>
  <si>
    <t>S 72-2020 Inks</t>
  </si>
  <si>
    <t>Procurement of Drugs and Medicines for Tuberculosis Patients Maintenance</t>
  </si>
  <si>
    <t>CONCRETING OF PULOT SHORE PROVINCIAL ROAD (SOFRONIO, ESPAÑOLA, PALAWAN)</t>
  </si>
  <si>
    <t>repair/embankment of two classroom and administrative Office and 10 m collapse fence</t>
  </si>
  <si>
    <t>ENRICHED PARENTS EFFECTIVENESS SERVICE AND PROVISION OF FOOD ASSISTANCE.</t>
  </si>
  <si>
    <t>Supply and Delivery of Electrical Materials for the Repair and Improvement of Various Offices at City Hall Building, C.H.O. and PNP Building of the City Government of Tarlac</t>
  </si>
  <si>
    <t>Purchase of Welll Milled Rice</t>
  </si>
  <si>
    <t>Procurement of Medical Supplies</t>
  </si>
  <si>
    <t>PROCUREMENT OF MEAL AND SNACKS FOR FINANCIAL MANAGEMENT FOR SAAD PROJECT</t>
  </si>
  <si>
    <t>PR 20-08-0778</t>
  </si>
  <si>
    <t>Office Furniture and Fixtures in Pagadian City</t>
  </si>
  <si>
    <t>Supply and Delivery of Supplies for Logistics for COVID-19 Operation of BDH</t>
  </si>
  <si>
    <t>Supply and Delivery of Construction Materials intended for Various Infrastructure Projects Cluster 2 at Brgy Nagotgot</t>
  </si>
  <si>
    <t>For use during the conduct of cultural mapping and profiling	of Surigao City's Culture and Heritage Assets.</t>
  </si>
  <si>
    <t>PURCHASE OF OFFICE SUPPLIES</t>
  </si>
  <si>
    <t>CLEARING/DECLOGGING OF WATERWAYS (Poblacion  III, Tiaong, Quezon)</t>
  </si>
  <si>
    <t>Repair and Maintenance of PQS Building</t>
  </si>
  <si>
    <t>Slaughter Goats for Commercialization of Chevon Canned Products</t>
  </si>
  <si>
    <t>PROC-20-PHILIPPINE FLAGS</t>
  </si>
  <si>
    <t>Supply and Delivery of Grower Feeds</t>
  </si>
  <si>
    <t>SUPPLY AND DELIVERY OF MATERIALS FOR THE REPLACEMENT AND INSTALLATION OF CEILING</t>
  </si>
  <si>
    <t>Supply and Delivery of Retractable Tent (CDRRMO)</t>
  </si>
  <si>
    <t>P.R NO. 100-2020-08-0428 MATERIALS USE FOR REPAIR/FABRICATION OF STEEL FENCE</t>
  </si>
  <si>
    <t>Purchase and Deliver of Materials for the Const. of Drainage Canal @ Sta. Maria Elementary School</t>
  </si>
  <si>
    <t>CONSTRUCTION OF MULTI-PURPOSE HALL / COVERED COURT</t>
  </si>
  <si>
    <t>Planning and Infrastructure Management (101)</t>
  </si>
  <si>
    <t>Supply, Delivery and Installation of Interactive Projector (Educational Use)</t>
  </si>
  <si>
    <t>Repainting of Corridors and Rubberized Floors of Bldg. 1082 &amp; 1085</t>
  </si>
  <si>
    <t>Purchase of Construction Materials and Supplies for use of Construction of Shallow Wells / Deep Wells/ Repair and Maintenance of Various Artesian Wells/ Replacement of Jetmatic Pumps, Silay City.</t>
  </si>
  <si>
    <t>To Support The Logistical Requirements of OG7,1ID,PA</t>
  </si>
  <si>
    <t>PURCHASE OF HEAVY EQUIPMENT FOR THE OFFICIAL USE OF THE CITY OF DASMARIÑAS</t>
  </si>
  <si>
    <t>Procurement of Materials for Repair/ Maintenance of Old PNP Investigatory Building as Temporary Office of PH Census 2020</t>
  </si>
  <si>
    <t>RFQ Token's for the Retirees</t>
  </si>
  <si>
    <t>Supply and delivery of Plumbing &amp; Construction Materials for Renovation of SKIMO Building (2018)</t>
  </si>
  <si>
    <t>Board and Lodging TA to Ilocos Norte for the conduct of Finalization of 2021 Annual Operational Plan for Health on September 9-10(2nd Batch) and September 16-17(3rd Batch) in Iloocos Norte</t>
  </si>
  <si>
    <t>Proper food Preparation and Handling (Catering)</t>
  </si>
  <si>
    <t>Ri Bid Rehabilitation of Multi-purpose Bldg. For Children @ So. Upper Tiwayan</t>
  </si>
  <si>
    <t>Procurement of ICT Equipment and Accessories</t>
  </si>
  <si>
    <t>Purchase of Office Equipment - ASSESSOR</t>
  </si>
  <si>
    <t>Fuel</t>
  </si>
  <si>
    <t>Labor and materials for the construction of (4) Four span perimeter fence at Tawin-Tawin Elem School, Alaminos City</t>
  </si>
  <si>
    <t>PURCHASE OF MEDICINE FOR THE USE OF AFFECTED OF COVID-19</t>
  </si>
  <si>
    <t>B-18-20-001 – CONSTRUCTION OF EVACUATION CENTER AND IMPROVEMENT OF STAGE AT BARANGAY JAVALERA, GEN. TRIAS, CAVITE</t>
  </si>
  <si>
    <t>Audio Equipment for PSB-2020-0041</t>
  </si>
  <si>
    <t>SHS PRINTING SERVICES</t>
  </si>
  <si>
    <t>PURCHASE OF VARIOUS PPEs INTENDED FOR THE LISTAHANAN STAFF FOR THE CONTINUATION OF HOUSEHOLD ASSESSMENT AND VALIDATION PHASE CY 2020</t>
  </si>
  <si>
    <t>For use of different  vehicles for the month of September 2020 and suceeding month(s), Bago City</t>
  </si>
  <si>
    <t>1st Qtr. Ambulance Supplies</t>
  </si>
  <si>
    <t>Supply of IT Equipment and Services for Remote Instructions</t>
  </si>
  <si>
    <t>Supply and Delivery of I.T. Equipment for Tarlac City Legal Office use</t>
  </si>
  <si>
    <t>FURNISHING AND DELIVERING SEED FOR THE PROJECT "VEGGIE FOOD, VERY GOOD! WE PLANT AS ONE!" IN SUPPORT TO THE DEPARTMENT OF AGRICULTURE'S PLANT, PLANT, PLANT PROGRAM AS THE LGU'S RECOVERY PROGRAM</t>
  </si>
  <si>
    <t>JOB ORDER: LABOR AND MATERIALS FOR THE CONSTRUCTION/ IMPROVEMENT OF THE PROVINCIAL DOH OFFICE SORSOGON</t>
  </si>
  <si>
    <t>FEEDS</t>
  </si>
  <si>
    <t>Purchase of Meals for PUM and LSI</t>
  </si>
  <si>
    <t>Labor and materials for the repair and maintenance of City Government vehicles (ambulance-SFH 947 &amp; POY 288, dumptruck SGY 605), Alaminos City</t>
  </si>
  <si>
    <t>SUPPLY AND DELIVERY OF SIGNAGES &amp; ACCESSORIES for use in the fabrication of bridge load limit signs. For the implementation of Maintenance of National Roads and Bridges.</t>
  </si>
  <si>
    <t>Procurement Multi-function Copier Machine - LGU</t>
  </si>
  <si>
    <t>Food Catering Services</t>
  </si>
  <si>
    <t>SUPPLY AND DELIVERY OF  VARIOUS SEEDLINGS FOR LIVELIHOOD PROGRAM FOR FARMERS</t>
  </si>
  <si>
    <t>Materials for the Improvement of Tapao Apisi Embankment</t>
  </si>
  <si>
    <t>SUPPLY OF ORDINARY RICE</t>
  </si>
  <si>
    <t>FOOD SUPPLIES/STUFF</t>
  </si>
  <si>
    <t>Procurement of Office Equipment of MTO</t>
  </si>
  <si>
    <t>RFQ Plastic Fittings 20-08-122-A</t>
  </si>
  <si>
    <t>Procurement of various equipment to be used by constituents of various barangays, Alaminos City</t>
  </si>
  <si>
    <t>2nd Qtr. Ambulance Supplies</t>
  </si>
  <si>
    <t>SUPPLY OF MEALS &amp;SNACKS FOR YDP</t>
  </si>
  <si>
    <t xml:space="preserve">Lot 2 (Procurement of Maintenance Agreement for Server) of the Procurement of Three (3) Lots Maintenance Agreement of Storage, Servers and Upgrade of Hypervisor Software for a Period of Two (2) Years </t>
  </si>
  <si>
    <t>SUPPLY AND DELIVERY OF  DRUGS AND MEDICINES (4TH QUARTER) FOR MHO (GAD)_2nd posting</t>
  </si>
  <si>
    <t>GENERAL MERCHANDISE</t>
  </si>
  <si>
    <t>Development/ Improvement of Albay Farmers Bounty Village (Construction of Plant Box). Brgy. Cabangan, Camalig, Albay. PR No. (100(18)20-08-1701)</t>
  </si>
  <si>
    <t>2020-08-227</t>
  </si>
  <si>
    <t>Air Conditioner (Split Type)</t>
  </si>
  <si>
    <t>SUPPLY AND DELIVERY OF IT EQUIPMENT (2020-08-0067)</t>
  </si>
  <si>
    <t>Veterinary Medicines</t>
  </si>
  <si>
    <t>20DE0160 Construction of Road, Brgy. Locloc, Bauan, Batangas</t>
  </si>
  <si>
    <t>OFFICE SUPPLY</t>
  </si>
  <si>
    <t>Purchase of Electronic Materials</t>
  </si>
  <si>
    <t>20DE0159 Construction of Road, Brgy. San Vicente, Bauan, Batangas</t>
  </si>
  <si>
    <t>Purchase and Delivery of Materials for the Construction of 3m x 6m Rice Shed</t>
  </si>
  <si>
    <t>Supply and Delivery of Lock Bacterial Filters and Lock HME for Merchanical Ventilator</t>
  </si>
  <si>
    <t>3RDQUARTERMOOE</t>
  </si>
  <si>
    <t>Supply and Delivery of Construction Materials and Supplies</t>
  </si>
  <si>
    <t>Construction Supplies for MAM-2020-0196</t>
  </si>
  <si>
    <t>SUPPLY OF  1 UNIT DRONE WITH COMPLETE ACCESSORIES</t>
  </si>
  <si>
    <t>supply and delivery of laboratory supplies for the official use in the conduct of various tests at the Regional Animal Disease Diagnostic Laboratory with PR# 73 dated 8/10/2020 with an ABC 59,959.00</t>
  </si>
  <si>
    <t>SUPPLY AND DELIVERY OF CATERING SERVICES: WORKSHOPS ON THEMATIC MAPPING, SITUATIONAL ANALYSIS, PRIORITIZATION OF SUB-WATERSHED &amp; ALLOCATION OF FFL.</t>
  </si>
  <si>
    <t>For use of the 36 Elementary Schools / 9 Secondary Schools, Bago City</t>
  </si>
  <si>
    <t>shs supplies</t>
  </si>
  <si>
    <t>procurement of materials for learning modules</t>
  </si>
  <si>
    <t>Supply and Delivery for IT Equipment parts and accessories</t>
  </si>
  <si>
    <t>Procurement of Various Office Equipment</t>
  </si>
  <si>
    <t>3rd Qtr. Ambulance Supplies</t>
  </si>
  <si>
    <t>Meals and Snacks</t>
  </si>
  <si>
    <t>SUPPLIES FOR ISOLATION AREA FOR PUM/PUI/LSI/OFW</t>
  </si>
  <si>
    <t>TWO (2) SETS OF COMPUTER UNIT, TWO (2) UNITS OF UPS FOR DESKTOP COMPUTER, TWO (2) UNITS OF AUTOMATIC VOLTAGE REGULATOR (AVR), TWO (2) UNITS OF COMPUTER PRINTER, AND TWO (2) UNITS OF 1 TB HARD DISK DRI</t>
  </si>
  <si>
    <t>RFQ No. 20-08-218 for PR No. 20-08-212</t>
  </si>
  <si>
    <t>Concreting of  Barangay Lawagan Farm to Market Road at Lawagan, Labason, Zamboanga del Norte</t>
  </si>
  <si>
    <t>Solar LED Street Lighting</t>
  </si>
  <si>
    <t>SUPPLY AND DELIVERY OF MULTI-PURPOSE VEHICLE</t>
  </si>
  <si>
    <t>Procurement of Allopurinol, Captopril, Levothyroxine, etc.</t>
  </si>
  <si>
    <t>SUPPLY &amp; DELIVERY OF FOOD SUPPLIES (COMMERCIAL RICE)</t>
  </si>
  <si>
    <t>ANIMALS FEEDS &amp; OTHER SUPPLIES</t>
  </si>
  <si>
    <t>Installation of Street Lights</t>
  </si>
  <si>
    <t>CP 2020-43 REBIDDING FOR THE SUPPLY AND DELIVERY OF THREE (3) UNITS COMPACT DIESEL SMOKE ANALYZER C/O CEPMO</t>
  </si>
  <si>
    <t>Treatment Room Interior Fit-Out &amp;IPA Bldg. Renovation for use of DOH SFLU TRC</t>
  </si>
  <si>
    <t>1st Qtr. Medical Supplies (Sr. &amp; Pwd)</t>
  </si>
  <si>
    <t>OFFICE EQUIPMENT</t>
  </si>
  <si>
    <t>AGRICULTURAL PRODUCT (SEEDS, SEEDLINGS, PLANTS) &amp; OTHER SUPPLIES</t>
  </si>
  <si>
    <t>PURCHASE MEDICAL SUPPLIES AND EQUIPMENT</t>
  </si>
  <si>
    <t>Procurement of various equipment to be used by constituents of various barangays and schools , Alaminos City</t>
  </si>
  <si>
    <t>20-0095 Procurement of Corrugated Boxes</t>
  </si>
  <si>
    <t>Ethyl Alcohol</t>
  </si>
  <si>
    <t>materials for foot bath &amp; foot operated hand sanitizer for safety measure against COVID-19</t>
  </si>
  <si>
    <t>SUPPLY AND DELIVERY OF  MATERIALS FOR THE REPAIR AND REHABILITATION OF WATER SYSTEM (41 BARANGAYS)</t>
  </si>
  <si>
    <t>Information Technology Equipment for VGAT-2020-0070-0071, PIS-2020-0023, IAD-2020-0097</t>
  </si>
  <si>
    <t>Construction of Concrete Fence.</t>
  </si>
  <si>
    <t>Installation of Street Lights at Brgy. Bacong, Tayasan Neg. Or.</t>
  </si>
  <si>
    <t>Materials for the Improvement of Barangay Health Center at San Pugo</t>
  </si>
  <si>
    <t>Materials for the construction of Multi-Purpose Building Phase V at Disimungal</t>
  </si>
  <si>
    <t>Supply &amp; Delivery of various Computer Peripherals for IT use at the Office of the Municipal Mayor, LGU-Paniqui, Tarlac</t>
  </si>
  <si>
    <t>Procurement of tires, Brake pads, Break pad rear, Engine oil, Oil filter</t>
  </si>
  <si>
    <t xml:space="preserve">Lot 3 (Procurement of Upgrade of Hypervisor Software) of the Procurement of Three (3) Lots Maintenance Agreement of Storage, Servers and Upgrade of Hypervisor Software for a Period of Two (2) Years - </t>
  </si>
  <si>
    <t>Procurement of Services under P.R Nos. 2906-2020 (City Procurement Management Services Office),etc.-1Lot.</t>
  </si>
  <si>
    <t>Protection against Special Diseases - Malaria (Catering)</t>
  </si>
  <si>
    <t>CONCRETING OF BARANGAY STREET</t>
  </si>
  <si>
    <t>Procurement of 2 Roll Electrocut Film(Red), etc. under P.R No. 3022-2020- Enforcement of Traffic Laws</t>
  </si>
  <si>
    <t>Ring Set, Piston	etc.</t>
  </si>
  <si>
    <t>Supply and Delivery of Split Type Aircon 2.5HP</t>
  </si>
  <si>
    <t>RFQ NO. 20-08-222 for PR No. 20-08-213</t>
  </si>
  <si>
    <t>RFQ 2020-PDS-08-002, Diesel Fuel Planning and Design Section</t>
  </si>
  <si>
    <t>Repair and Improvement of School Building of San Nicolas CES</t>
  </si>
  <si>
    <t>Cost of radio for online learning of selected schools in Imus City</t>
  </si>
  <si>
    <t>Supply and Installation of 1-lot Public Address System at Barangay Damulaan, Albuera, Leyte</t>
  </si>
  <si>
    <t>To be use as office equipment for scanning the Treasury Card Encoding System in Records and Billing Section.</t>
  </si>
  <si>
    <t>SUPPLY OF  FUEL FOR CBRF</t>
  </si>
  <si>
    <t>Purchase of Office Equipment for Mayors Office @ Samal, Bataan</t>
  </si>
  <si>
    <t>Supply and Delivery of Office Equipment for use of Sangguniang Panlalawigan Member use</t>
  </si>
  <si>
    <t>SUPPLY &amp; DELIVERY OF PLUMBING SUPPLIES &amp; MATERIALS (REHABILITATION OF WATER SUPPLY)</t>
  </si>
  <si>
    <t>Fuel and Oil for Allah Valley Airport</t>
  </si>
  <si>
    <t>REQUEST FOR QUOTATION FOR OFFICE SUPPLIES OF STO NINO ELEMENTARY SCHOOL MARIKINA CITY</t>
  </si>
  <si>
    <t>RSQ NO.20-07-026/PR NO.20-07-330(PRIB)</t>
  </si>
  <si>
    <t>B20200325 - FUEL FOR VARIOUS REHAB. OF PROJECTS OF PROVINCIAL ROAD W/ IN ASUNCION, KAPALONG, DDN</t>
  </si>
  <si>
    <t>PROJECT HEALTHA</t>
  </si>
  <si>
    <t>supply and delivery of hardware materials use for the continuation of electrification-bagong lipunan-rimut poblacion</t>
  </si>
  <si>
    <t>Office Equipment</t>
  </si>
  <si>
    <t>To Support The Logistical Requirements of 551EBN,55EBDE,PA</t>
  </si>
  <si>
    <t>JOB ORDER: LABOR &amp; MATERIALS: Repair &amp; Provision of brand new compressor 2HP single phase piston type &amp; industrial exhaust fan (heavy duty) (OLD COLD ROOM)</t>
  </si>
  <si>
    <t>Repair &amp; Maintenance of RP vehicle SCK 567 (fuego)</t>
  </si>
  <si>
    <t>IB NO. 2020-05 PROCUREMENT OF SEAT TYPE, PORCELAIN TOILET BOWLS</t>
  </si>
  <si>
    <t>CONSTRUCTION OF FARMERS MULTI-PURPOSE BUILDING (BRGY. NAGTUPACAN)</t>
  </si>
  <si>
    <t>Supply and Delivery of Materials for Concrete Paving of Olongtao Ibaba Access Road</t>
  </si>
  <si>
    <t>PROCUREMENT FOR THE CONSTRUCTION OF DRAINAGE CANAL (ALONG MANGGA STREET, POBLACION, ESPERANZA, SULTAN KUDARAT)</t>
  </si>
  <si>
    <t>Desktop Computer for Treasury Office</t>
  </si>
  <si>
    <t>EBMS -FILTER FOR AIRCON &amp; 1 OTHER (5TH POSTING)</t>
  </si>
  <si>
    <t>JANITORIAL SUPPLY</t>
  </si>
  <si>
    <t>20-08-575_Diploma, Diploma JAcket and Transcript of records for OVCAA office</t>
  </si>
  <si>
    <t>SUPPLY OF  MEALS &amp; SNACKS FOR DSABDT</t>
  </si>
  <si>
    <t>Photographic Services for SK Personnel</t>
  </si>
  <si>
    <t>SUPPLY OF  LAPTOP &amp; DESKTOP WITH PRINTER &amp; PORTABLE SPEAKER</t>
  </si>
  <si>
    <t>B20200326 - FUEL FOR VARIOUS LOCAL ROADS AND DRAINAGE DEV'T. PROJECTS, IGACOS, DDN</t>
  </si>
  <si>
    <t>Procurement of PPE’s, Medical &amp; Dental Operational Supplies for the Implementation of School Dental Health Care Program (SDHCP)</t>
  </si>
  <si>
    <t>Improvement of Multi-Purpose Hall located at Barangay Tagpu-an, Tubungan, Iloilo</t>
  </si>
  <si>
    <t>Procurement of IT Equipment (3 in 1 Printer) for Reproduction of Modules</t>
  </si>
  <si>
    <t>Labor for VET-2020-0458</t>
  </si>
  <si>
    <t>POST-IT FLAG</t>
  </si>
  <si>
    <t>To Support The Logistical Requirements of HHCo,55EBDE,PA</t>
  </si>
  <si>
    <t>PROCUREMENT FOR THE COMPLETION OF MULTI-PURPOSE BUILDING BARANGAY SAGASA, ESPERANZA, SULTAN KUDARAT</t>
  </si>
  <si>
    <t>Fishing Accessories</t>
  </si>
  <si>
    <t>Purchase of Generator for Ospital ng Imus</t>
  </si>
  <si>
    <t>Seeds</t>
  </si>
  <si>
    <t>Supply and Delivery for Office Supplies</t>
  </si>
  <si>
    <t>Supply and Delivery of Hybrid Yellow Corn Seeds</t>
  </si>
  <si>
    <t>Purchase of Various Medicines</t>
  </si>
  <si>
    <t>RFQ-2020-07-0033 - For use of H3-6674 Dumptruck assigned at Maintenance Section</t>
  </si>
  <si>
    <t>To Support The Logistical Requirements of 553EBN,55EBDE,PA</t>
  </si>
  <si>
    <t>Purchase of Office Equipment Parts for MHO @ Samal, Bataan</t>
  </si>
  <si>
    <t>Printing and Binding of Annual Report 2019</t>
  </si>
  <si>
    <t>Procurement of Hepatitis B Vaccine Recombinant 20mcg/ml/vial</t>
  </si>
  <si>
    <t>Supply and Delivery of 200 pcs Face Shield et al Bahay Pag-asa and jail facility use</t>
  </si>
  <si>
    <t>2nd Qtr. Medical Supplies (Sr. &amp; Pwd)</t>
  </si>
  <si>
    <t>Supply and Delivery of 600 btls Alcohol etc for the use of the NHTS for the Validation Phase</t>
  </si>
  <si>
    <t>Supply and Delivery of Various Construction Materials intended for DON CARLOS CENTRAL ES HUB</t>
  </si>
  <si>
    <t>Printing of Ledger Cards for use in Internal Audit Services Section</t>
  </si>
  <si>
    <t>Lubricants for PHO-2020-0269, PEO-2020-0945 – 0574</t>
  </si>
  <si>
    <t>Procurement of Office Supplies</t>
  </si>
  <si>
    <t>OUTSOURCE PREVENTIVE MAINTENANCE AND CALIBRATION OF EXTRACORPOREAL SHOCKWAVE LITHOTRIPSY SYSTEM</t>
  </si>
  <si>
    <t>Repair and Maintenance of Valencia Waterworks System (Balugo &amp; Mampas)</t>
  </si>
  <si>
    <t>1 unit laptop( Accounting Office)</t>
  </si>
  <si>
    <t>Supply and Delivery of 500 boxes Condom for HIV</t>
  </si>
  <si>
    <t>SUPPLY OF  LAPTOP WITH PRINTER</t>
  </si>
  <si>
    <t>brand new vehicle truck with custom built body</t>
  </si>
  <si>
    <t>B20200329 - FUEL FOR REPAIR OF DAMAGED DRAINAGE/CREEKS ALONG TUGANAY ISING RIVER (REVISED) MUN OF CARMEN</t>
  </si>
  <si>
    <t>IMPROVEMENT OF BARANGAY ROAD (FTMR) (NEW PLAZA ROAD AND ALAGOS STREET), BRGY. CUYAPIAO, PATNONGON, ANTIQUE</t>
  </si>
  <si>
    <t>1 unit Motorcycle</t>
  </si>
  <si>
    <t>Repair /Renovation of Barangay Hall 2, Tayong Occidental, Loay, Bohol</t>
  </si>
  <si>
    <t>Supply and Delivery of Office and Janitorial Supplies to be used in different offices, Naujan, Oriental Mindoro</t>
  </si>
  <si>
    <t>10 UNITS COMPUTER, LAPTOP, NOTEBOOK</t>
  </si>
  <si>
    <t>3rd Qtr. Medical Supplies (Sr. &amp; Pwd)</t>
  </si>
  <si>
    <t>Procurement of Equipment Calibration and Repair to be used at the IFSU Eye Center</t>
  </si>
  <si>
    <t>Installation of Furniture and Fixtures</t>
  </si>
  <si>
    <t>Procurement of Foodstuff (for MTC Foodstuff)</t>
  </si>
  <si>
    <t>UPLB-RQ-8-188-20-I SUPPLY AND DELIVERY OF CONSTRUCTION MATERIALS &amp; SUPPLIES FOR CFNR DO</t>
  </si>
  <si>
    <t>PURCHASE OF MANUAL CONCRETE MIXER MACHINE</t>
  </si>
  <si>
    <t>Improvement of Multi-Purpose Hall located at Barangay Teniente Benito, Tubungan, Iloilo</t>
  </si>
  <si>
    <t>Disposal of Un-Serviceable Equipment</t>
  </si>
  <si>
    <t>Construction of 3 units Purok Hall</t>
  </si>
  <si>
    <t>CP 2020-46 REBIDDING FOR THE SUPPLY AND DELIVERY OF DESKTOP COMPUTERS C/O VARIOUS DEPARTMENTS</t>
  </si>
  <si>
    <t>INVITATION TO BID FOR SUPPLY AND DELIVERY OF BRAND NEW PICK-UP TRUCK TYPE VEHICLE</t>
  </si>
  <si>
    <t>Tote Bag with School logo</t>
  </si>
  <si>
    <t>B20200331 - FUEL FOR VARIOUS LOCAL ROADS &amp; DRAINAGE DEV'T. PROJECT (REVISED)</t>
  </si>
  <si>
    <t>B20200330 - FUEL FOR REHAB OF JCT BDRY. TAGUM-TALOMO PROV'L. ROAD (PHASE I)</t>
  </si>
  <si>
    <t>CONSTRUCTION OF LOCAL ACCESS ROAD</t>
  </si>
  <si>
    <t>Supply of Crossover Utility Vehicle (CUV) (Rebid)</t>
  </si>
  <si>
    <t>Photocopier Machine - CapSU Mambusao</t>
  </si>
  <si>
    <t>Waste Management Equipment for Gso-2020-0049 &amp; 0050</t>
  </si>
  <si>
    <t>IMPROVEMENT OF WATER SYSTEM</t>
  </si>
  <si>
    <t>Purchase of Rice for Senior Citizen</t>
  </si>
  <si>
    <t>Rehabilitation of ASDS Office</t>
  </si>
  <si>
    <t>PACKAGE 20-40:  ROAD SAFETY AND TRAFFIC MANAGEMENT</t>
  </si>
  <si>
    <t>Procurement of Supplies for Barandias ES</t>
  </si>
  <si>
    <t>CP 2020-54 REBIDDING FOR THE SUPPLY AND DELIVERY OF HEIGHT/LENGTH BOARDS C/O HSO</t>
  </si>
  <si>
    <t>Supply of Diesoline for Planning Unit use</t>
  </si>
  <si>
    <t>CONSTRUCTION OF ADDITIONAL SPACE TO ACCOMMODATE COVID-19 PATIENTS AT SITIO MARTA, BRGY. MASULOG</t>
  </si>
  <si>
    <t>DSWD7-20-0770; Tires</t>
  </si>
  <si>
    <t>SUPPLY AND DELIVERY OF OFFICE SUPPLIES</t>
  </si>
  <si>
    <t>4th Qtr. Medical Supplies (Sr. &amp; Pwd)</t>
  </si>
  <si>
    <t>Vehicle repair and maintenance to be used in service vehicle with plate number JCB Backhoe loader</t>
  </si>
  <si>
    <t>“PACKAGE D” REPAIR/REHAB. OF BANAHAO CHILD DEVELOPMENT CENTER REPAIR/REHAB. OF SAN PEDRO CHILD DEVELOPMENT CENTER COMPLETION OF FARMER’S TRAINING CENTER</t>
  </si>
  <si>
    <t>PACKAGE 20-39:  CITY WASTE MANAGEMENT DISPOSAL  FACILITY DEVELOPMENT</t>
  </si>
  <si>
    <t>CLUSTER M (Concreting &amp; Improvement of FMR, Road Opening &amp; Construction of Water Impounding Dam)</t>
  </si>
  <si>
    <t>Improvement of Multi-Purpose Pavement,Brgy. Ulay-Bugang,Alimodian lloilo</t>
  </si>
  <si>
    <t>Office Equipment &amp; Supplies for OPA-2020-0388</t>
  </si>
  <si>
    <t>B20200332 - FUEL FOR VARIOUS LOCAL ROADS &amp; DRAINAGE DEV'T. PROJECT (REVISED) CARMEN, DDN 3RD QTR.</t>
  </si>
  <si>
    <t>Duplicator Machine</t>
  </si>
  <si>
    <t>Supply of labor, materials and installation of Solar Streetlights located at DA-ESLLA, San Marcelino, Zambales with PR#2020-08-10-64 and ABC of P107,010.23</t>
  </si>
  <si>
    <t>Procurement of Maternal Milk for Nutripak Ingredients of PGO-Nutrition.</t>
  </si>
  <si>
    <t>Bond paper, Subs. 16 Long, ETC. - CapSU Burias</t>
  </si>
  <si>
    <t>PB20-07-040COR - PROCUREMENT OF FOUR (4) LOTS SUBSCRIPTION UPDATES FOR EXISTING SECURITY SOLUTIONS</t>
  </si>
  <si>
    <t>Purchase of Various Office Supplies</t>
  </si>
  <si>
    <t>Emergency Purchase of FaceMask and Disinfectant</t>
  </si>
  <si>
    <t>Construction of 2 Units Dugwell/Pumpwell</t>
  </si>
  <si>
    <t>Procurement of Veterinary Products and Supplies for the use in the K9 (CAAP) under the Provincial Veterinary Office</t>
  </si>
  <si>
    <t>REQUEST FOR QUOTATION-Computer Set for Admin-Registrar</t>
  </si>
  <si>
    <t>Supply and Delivery of Brass Union Coupling Adapter ISO 1-1/2" &amp; HDPE Tubing ISO 1-1/2" ( H-006-0565-20 )</t>
  </si>
  <si>
    <t>PROCUREMENT FOR THE CONSTRUCTION OF DRAINAGE CANAL AT BARANGAY VILLAMOR, ESPERANZA, SULTAN KUDARAT</t>
  </si>
  <si>
    <t>FABRICATION OF WALL FLOATING SHELF</t>
  </si>
  <si>
    <t>Procurement of Catering Services with Accomodation (3 Days) (for Training on Foot Spa and Hair Dressing)</t>
  </si>
  <si>
    <t>Supply of Materials for the Rehabilitation/Establishment of Marine Sanctuary</t>
  </si>
  <si>
    <t>Supply and Delivery of office supplies for UCT Listahanan pay-out and cash card distribution</t>
  </si>
  <si>
    <t>PURCHASE of Medicine</t>
  </si>
  <si>
    <t>1 set Close Circuit Camera</t>
  </si>
  <si>
    <t>IMPROVEMENT OF BARANGAY ROAD (FTMR) (PUROK 1), BRGY. CUYAPIAO, PATNONGON, ANTIQUE</t>
  </si>
  <si>
    <t>AMAD-20-3186: Supply of Labor &amp; Materials for the Construction of KADIWA Agri-Cart</t>
  </si>
  <si>
    <t>ENVELOPE</t>
  </si>
  <si>
    <t>IMPROVEMENT OF MPS GROUND</t>
  </si>
  <si>
    <t>EQUIPMENT RENTAL</t>
  </si>
  <si>
    <t>EBMS -FAN MOTOR &amp; 15 OTHERS (1ST POSTING)</t>
  </si>
  <si>
    <t>PROCUREMENT OF PARTS FOR KIA DOUBLE CAB</t>
  </si>
  <si>
    <t>Procurement of Office Supplies for Vice Governors Office</t>
  </si>
  <si>
    <t>Procurement of Catering Services (for conduct of IEC and Advocacy on Child Protection among DepEd Family)</t>
  </si>
  <si>
    <t>Waterworks Materials</t>
  </si>
  <si>
    <t>B20200327 - FUEL FOR REHAB/IMPV'T. OF TUBOD PILAR PROV'L. ROAD, CARMEN, DDN (3RD QTR.)</t>
  </si>
  <si>
    <t>Concrete Paving of  Roxas Street at Brgy. Antonino, Labason, Zamboanga del Norte</t>
  </si>
  <si>
    <t>SUPPLY OF  CONSTRUCTION MATERIALS FOR DONATION</t>
  </si>
  <si>
    <t>Catering Services (Budget Hearing)</t>
  </si>
  <si>
    <t>PURCHASE OF MATERIALS FOR THE IMPROVEMENT OF WATER SUPPLY (IGNATO MAIN RESERVOIR), BARANGAY CUYAPIAO, PATNONGON, ANTIQUE</t>
  </si>
  <si>
    <t>for TESDA API use (COVID protocol) and 26th TESDA Anniversary (for distribution to employees)</t>
  </si>
  <si>
    <t>Supply and Delivery of Folded Tables</t>
  </si>
  <si>
    <t>SUPPLY AND DELIVERY OF  DRUGS AND MEDICINES (4TH QUARTER) FOR MHO_2nd Posting</t>
  </si>
  <si>
    <t>Various Drugs And Medicines</t>
  </si>
  <si>
    <t>REOI with Eligibility Documents for Contract ID 20CSFC02 - CONDUCT OF GEOTECHNICAL INVESTIGATION FOR FY 2021 FLOOD CONTROL PROJECTS, Camarines Norte</t>
  </si>
  <si>
    <t>EBMS -PM &amp; CALIBRATION OF TENS (6TH POSTING)</t>
  </si>
  <si>
    <t>Supply and Delivery of IEC materials for the use of the NHTS for the Validation Phase</t>
  </si>
  <si>
    <t>COVID Test Kits and Testing</t>
  </si>
  <si>
    <t>FURNISHING OF MATERIALS FOR THE CONSTRUCTION OF 75 METERS PERIMETER FENCE AT ALLANG ELEMENTARY SCHOOL</t>
  </si>
  <si>
    <t>For Orientation on Reporting System and Prevention Program on Ederly Abused Cases ReSPPEC Project at New Barili, MAco, Davao de Oro</t>
  </si>
  <si>
    <t>B20200328 - FUEL FOR REHAB OF DUJALI - PAWAS - SAN VICENTE PROV'L. ROAD (PHASE I) BE DUJALI, DDN</t>
  </si>
  <si>
    <t>PROCUREMENT FOR THE IMPROVEMENT OF MULTI-PURPOSE BUILDING AT BARANGAY NUMO, ESPERANZA, SULTAN KUDARAT</t>
  </si>
  <si>
    <t>CONSTRUCTION OF MRF</t>
  </si>
  <si>
    <t>PURCHASE OF LAPTOP OF MTO</t>
  </si>
  <si>
    <t>CONSTRUCTION OF SALONGSONG FLOOD CONTROL</t>
  </si>
  <si>
    <t>PROCUREMENT FOR THE IMPROVEMENT OF MULTI-PURPOSE BUILDING AT BARANGAY LAGUINDING, ESPERANZA, SULTAN KUDARAT</t>
  </si>
  <si>
    <t>UPLB-RQ-8-189-20-RES SUPPLY AND DELIVERY OF CHEMICALS &amp; CHEMICAL PRODUCTS FOR BIOTECH</t>
  </si>
  <si>
    <t>VARIOUS PRINTED FORMS FOR CSWDO</t>
  </si>
  <si>
    <t>Cost of Labor and Materials for the Construction of Transfer Station Phase II at Eco Village, Malagasang 1-G</t>
  </si>
  <si>
    <t>Procurement of educational equipment and material for virtual education</t>
  </si>
  <si>
    <t>Supply and Delivery of Medicine Kit</t>
  </si>
  <si>
    <t>Expansion of Meat Processing Hub</t>
  </si>
  <si>
    <t>Construction Materials for PEO-2020-1110</t>
  </si>
  <si>
    <t>Supply and Delivery of Construction Materials for 3units Picnic Shed at PFPR</t>
  </si>
  <si>
    <t>Renovation of Central MRF and Assemble of Several Signages</t>
  </si>
  <si>
    <t>REOI with Eligibility Documents for Contract ID 20CSFC03 - CONDUCT OF PARCELLARY SURVEYS, LAND APPRAISAL AND TITLING OF PUBLIC INFRASTRUCTURE, STA, ELENA – CAPALONGA BYPASS COASTAL ROAD, Sta. Elena/Ca</t>
  </si>
  <si>
    <t>Fabrication of Steel Gate</t>
  </si>
  <si>
    <t>B20200333 - FUEL FOR VARIOUS LOCAL ROADS AND DRAINAGE DEV'T. PROJECT (REVISED),  PANABO CITY, DDN (3RD QTR.)</t>
  </si>
  <si>
    <t>passenger van with installation of customized window grills</t>
  </si>
  <si>
    <t>PROCUREMENT FOR THE IMPROVEMENT OF MULTI-PURPOSE BUILDING AT BARANGAY PAMANTINGAN, ESPERANZA, SULTAN KUDARAT</t>
  </si>
  <si>
    <t>Office Supplies</t>
  </si>
  <si>
    <t>EXTENSION OF ROOFING,CONTINUING OF FENCING AND CEMENTING OF DAY CARE CENTER OF BRGY. POB.WEST,OTON</t>
  </si>
  <si>
    <t>SUPPLY AND DELIVERY OF VARIOUS MEDICAL SUPPLIES AND EQUIPMENTS FOR DRRM-H AND RHU OPERATIONS</t>
  </si>
  <si>
    <t>Supply of Materials for Rehabilitation of Brgy. Water System</t>
  </si>
  <si>
    <t>Supply and Delivery of 1 Unit Laptop</t>
  </si>
  <si>
    <t>Construction of Level II Spring Development</t>
  </si>
  <si>
    <t>Provision of Furniture &amp; Fixtures and Construction of Kitchen &amp; Barracks for Sibunag Police Station</t>
  </si>
  <si>
    <t>CONSTRUCTION OF GENDERIZED TOILET FOR DCC OF ( 7) DIFFERENT BARANGAY</t>
  </si>
  <si>
    <t>RE BID FOR SUPPLY OF FUEL &amp; LUBRICANTS FOR SITE DEVELOPMENT OF RELOCATION SITE  OF BRGY. GANATAN &amp; LIBERTAD</t>
  </si>
  <si>
    <t>CONSTRUCTION OF MULTI-PURPOSE BUILDING</t>
  </si>
  <si>
    <t>Modules Kinder to Grade 6</t>
  </si>
  <si>
    <t>Purchase of Plastic Envelope</t>
  </si>
  <si>
    <t>Construction Materials</t>
  </si>
  <si>
    <t>SCHOOL AND OFFICE SUPPLIES FOR THIRD  QUARTER</t>
  </si>
  <si>
    <t>Rehabilitation of Sitio Pulo, Brgy. Olongtao Ibaba Access Road</t>
  </si>
  <si>
    <t>Filing Cabinet and 6-Panel Divider (PR#20-01-0045)</t>
  </si>
  <si>
    <t>Purchase supplies of modules</t>
  </si>
  <si>
    <t>Purchase of Fuel for Municipal Vehicles (COVID 19), Alicia, Bohol</t>
  </si>
  <si>
    <t>CONSTRUCTION OF SHILAN-JAPPA-MINAC BRGY. ROAD</t>
  </si>
  <si>
    <t>Request for Qoutation</t>
  </si>
  <si>
    <t>Maintenance and Other Operating Expenses(MOOE) 3rd Quarter 2020 ( Office Supply)</t>
  </si>
  <si>
    <t>For office use</t>
  </si>
  <si>
    <t>CONCRETING PATHWAY</t>
  </si>
  <si>
    <t>Medical Equipment for NOLI-2020-0199, 0206 &amp; PSWD-2020-0206</t>
  </si>
  <si>
    <t>B20200334 - FUEL FOR REHAB OF PRK 5 RJS PRK 6 NEW CASAY &amp; TUGANAY TABA PROV'L. ROAD (PHASE I) CARMEN, DDN</t>
  </si>
  <si>
    <t>Request for Quotation</t>
  </si>
  <si>
    <t>PURCHASE OF OFFICE EQUIPMENT-MMO</t>
  </si>
  <si>
    <t>ITB NO. (GDS)  2020-08-021 PROCUREMENT OF GOODS, Province of Eastern Samar</t>
  </si>
  <si>
    <t>Construction of Materials Recovery Facility (MRF)</t>
  </si>
  <si>
    <t>Catering Services for Family Day and in connection with the Philippine Civil Service month Celebration.</t>
  </si>
  <si>
    <t>PROCUREMENT OF ELECTRICAL SUPPLIES FOR DIVISION OFFICE</t>
  </si>
  <si>
    <t>Replacement of Toilet Bowls with Flush and Construction of Washing Facility (Labor and Materials)</t>
  </si>
  <si>
    <t>PROCUREMENT OF OFFICE SUPPLIES</t>
  </si>
  <si>
    <t>Repair of Muliti-Purpose Hall</t>
  </si>
  <si>
    <t>Procurement of Various Housekeeping Supplies for the use of Ibajay District Hospital, Ibajay, Aklan</t>
  </si>
  <si>
    <t>Procurement of Motorcycle, SAN JOSE CITY NUEVA ECIJA</t>
  </si>
  <si>
    <t>B20200335 - FUEL FOR REHAB OF SITION MALAGA - TIBULAO &amp; CABAY-ANGAN-ESPERANZA PROV'L. RD (PHASE I) CARMEN-DUJALI, DDN</t>
  </si>
  <si>
    <t>Information and Communication Technology Repair and Maintenance for the Network Connectivity for PABX Telephone System</t>
  </si>
  <si>
    <t>EXPANSION OF POTABLE WATER SUPPLY SYSTEM LEVEL III IN BRGY. AZAGRA, BRGY. CAMPALINGO, BRGY. PANANGCALAN AND BRGY. PILI</t>
  </si>
  <si>
    <t>RFQ for Filing Cabinet</t>
  </si>
  <si>
    <t>Laboratory Supplies for VET-2020-0425</t>
  </si>
  <si>
    <t>Delivery and supply of office and school supplies</t>
  </si>
  <si>
    <t>Concrete Paving of Lopez Jaena – Juan Luna Street at Brgy. Antonino, Labason, Zamboanga del Norte</t>
  </si>
  <si>
    <t>Drugs &amp; Medicines (For RHU use)</t>
  </si>
  <si>
    <t>Procurement of LED Streetlights and Electrical Tape, SAN JOSE CITY NUEVA ECIJA</t>
  </si>
  <si>
    <t>Supply and Delivery of Flower Wreath for use in relation with the activity of the Sangguniang Panlalawigan Members - AMP-G-2020-006</t>
  </si>
  <si>
    <t>Procurement of Meals during the CHS activities</t>
  </si>
  <si>
    <t>ONE (1) UNIT DOCUMENT SCANNER</t>
  </si>
  <si>
    <t>PROCUREMENT OF COMPUTERS, PRINTERS AND FILING CABINETS FOR OFFICE USE - 2ND POSTING</t>
  </si>
  <si>
    <t>ESTABLISHMENT/PROVISION OF THREE UNIT ISOLATION FACILITIES</t>
  </si>
  <si>
    <t>PROCUREMENT OF VARIOUS OFFICE SUPPLIES FOR 3RD &amp; 4TH QUARTERS OF 2020</t>
  </si>
  <si>
    <t>Procurement of materials for sanitation and prevention of Covid 19</t>
  </si>
  <si>
    <t>Purchase of Photo Copier for CTO used.</t>
  </si>
  <si>
    <t>Supply and Delivery of uPVC Pipes #100mm dia (4" dia) x 6m (S-10) RE-BID</t>
  </si>
  <si>
    <t>PHOTCOPY OF SELF -LEARNING MODULES (SLM FOR KINDER TO GRADE 6 PUPILS OF SAN FRANCISCO  IRIGA CITY</t>
  </si>
  <si>
    <t>Purchase and Delivery of Laptop For Online Meetings</t>
  </si>
  <si>
    <t>Supply of Fuel for the Repair and Maintenance of Various Provincial Roads and Bridges, Provincewide AMP-G-002-2020</t>
  </si>
  <si>
    <t>Surveillance &amp; Detection Equipment</t>
  </si>
  <si>
    <t>Provision of Catering Services for the conduct of Training on Animal Health Care and Management for BAHW</t>
  </si>
  <si>
    <t>Airconditioning System for NFBC-2020-0029</t>
  </si>
  <si>
    <t>Procurement of Face Shield, SAN JOSE CITY NUEVA ECIJA</t>
  </si>
  <si>
    <t>Supply and Delivery of 500 pieces 1/2 Water Meter plus 1/2 Brass Check Valve (Swing Type)</t>
  </si>
  <si>
    <t>Labor and Materials for the PENR-Office Vehicle Plate No. SAA-3239</t>
  </si>
  <si>
    <t>CULTURAL MAPPING-OFFICE SUPPLIES</t>
  </si>
  <si>
    <t>CLUSTER N (Concreting, Improvement &amp; Widening of Farm to Market Roads)</t>
  </si>
  <si>
    <t>Conduct Ground Delineation Survey of Community Protected Areas at Barangay Nurcia, Sibahay,Zone III, Mampi and Pakwan.</t>
  </si>
  <si>
    <t>Road Upgrading Concrete Paving of Vista Hermosa FMR</t>
  </si>
  <si>
    <t>Rehabilitation of the Office of the Assistant Schools Superintendent  Proposed Septic Vault</t>
  </si>
  <si>
    <t>General Contractor for VET-2020-0046</t>
  </si>
  <si>
    <t>Purchase of Foam with matress</t>
  </si>
  <si>
    <t>SUPPLY AND DELIVERY OF NIA PRIMER &amp; FLYER</t>
  </si>
  <si>
    <t>INSTALLATION OF TEMPERED GLASS BOARD WITH RING-BARANGAY LOCSOON SK</t>
  </si>
  <si>
    <t>CONCRETING, BRGY. SAN AGUSTIN, DULAG LEYTE</t>
  </si>
  <si>
    <t>Purchase of one (1) Unit Service Utility Vehicle</t>
  </si>
  <si>
    <t>Supply and Delivery of Various Air-conditioning Unit (ACU) (PR#19-09-1180)</t>
  </si>
  <si>
    <t>Construction of Multi-Purpose Building at Kalantiaw Elementary School, Brgy. Bagumbayan, Quezon City</t>
  </si>
  <si>
    <t>PURCHASE OF MEDICINES</t>
  </si>
  <si>
    <t>B20200336 - FUEL FOR REHAB OF JCT HWAY-CARMEN-MANGALCAL-TUBOD PROV'L. ROAD (PHASE I) CARMEN, DDN (4TH QTR.)</t>
  </si>
  <si>
    <t>MED SUPPLIES FOR BIRTHING FACILITY</t>
  </si>
  <si>
    <t>PROCUREMENT MATERIALS FOR THE MODULES</t>
  </si>
  <si>
    <t>REQUEST FOR QUOTATION -Supply, Delivery, Wiring and Installation of One (1) Unit Automatic Transfer Switch for 80KVACummins Genset</t>
  </si>
  <si>
    <t>Printing Services for TJPH-2020-0157</t>
  </si>
  <si>
    <t>EBMS -AIRCON FILTER &amp; 15 OTHERS (1ST POSTING)</t>
  </si>
  <si>
    <t>PURCHASE OF MATERIALS FOR PRINTING OF MODULES</t>
  </si>
  <si>
    <t>Rehabilitation of SB Session Hall</t>
  </si>
  <si>
    <t>***Improvement of Mini Park***</t>
  </si>
  <si>
    <t>MED SUPPLIES FOR TB-DOTS</t>
  </si>
  <si>
    <t>PURCHASE OF COMMON USE SUPPLIES (1ST QTR-CONSOLIDATED)</t>
  </si>
  <si>
    <t>Purchase of Office Equipment for Office Modernization of Office of Sangguniang Bayan, LGU San Andres, Romblon</t>
  </si>
  <si>
    <t>Procurement of ACUs for renovated areas</t>
  </si>
  <si>
    <t>SUPPLY AND DELIVERY OF OFFICE SUPPLIES, EQUIPMENT AND CONSUMABLES OF ILOG ES</t>
  </si>
  <si>
    <t>Specimen Container 0548</t>
  </si>
  <si>
    <t>Procurement for the Repair and Maintenance for the critical condition of RDO 41, Mandaluyong Rooftop</t>
  </si>
  <si>
    <t>PRINTING OF GHG COMMUNITY LEVEL GHG INVENTORY MANUAL UNDER EMB-CCD RFQ NO. EMB-PROP.-SHOPPING-G-128-8-24-2020</t>
  </si>
  <si>
    <t>SVP No. 2020-0005 Purchase of Ten (10) units Storage Steel Rack and One (1) unit 4-Step Aluminum Folding Step Ladder</t>
  </si>
  <si>
    <t>Labor and Materials for Clothing Material</t>
  </si>
  <si>
    <t>Procurement of 1 unit Land Search and Rescue Vehicle, Talalora, Samar</t>
  </si>
  <si>
    <t>Servicing of Two (2) Units of Sullair Stationary Screw Compressor for Mine 3 Coal Project</t>
  </si>
  <si>
    <t>Purchase of Materials for the repair of pumphouse fence at Sitio Apitong, Brgy. La Libertad, Santo Tomas, Davao del Norte</t>
  </si>
  <si>
    <t>Purchase of Information Technology Equipment</t>
  </si>
  <si>
    <t>One (1) Job for Annual Preventive Maintenance Service of IAAPIS Sub-Stations,  IAAPIS, Amulung, Cagayan</t>
  </si>
  <si>
    <t>Autoclave Tape 3/4 0551</t>
  </si>
  <si>
    <t>PR 2020-07-158 Equipment Rental for Repair/ Maintenance for the use in Installation of Solar Pavement Levelled Marker/ Stud Flush Type for Activity 301 (Sign Maintenance) along Surigao – Davao Coastal</t>
  </si>
  <si>
    <t>Procurement of 1 unit Sea Search and Rescue Vehicle, Talalora, Samar</t>
  </si>
  <si>
    <t>SUPPLY AND DELIVERY OF PATIENT TRANSPORT VEHICLE</t>
  </si>
  <si>
    <t>PROCUREMENT OF MATERIALS FOR THE REPRODUCTION OF MODULES</t>
  </si>
  <si>
    <t>20OA0083: Rehabilitation/Improvement of drainage including upgrading of road along C. Arellano St., Malabon City (Sigwa Paez)</t>
  </si>
  <si>
    <t>EBMS -CAPILLARY TUBE COPPER &amp; 14 OTHERS (1ST POSTING)</t>
  </si>
  <si>
    <t>CONSTRUCTION OF MULTIPURPOSE HALL</t>
  </si>
  <si>
    <t>Improving Access to Basic Social Services Through Community-Managed Concreting of Access Road</t>
  </si>
  <si>
    <t>PRINTING OF LEARNING MODULES FOR FIRST QUARTER SY 2020-2021</t>
  </si>
  <si>
    <t>Supply and delivery of Various Groceries</t>
  </si>
  <si>
    <t>FBC 0546</t>
  </si>
  <si>
    <t>supply and delivery of IT equipment</t>
  </si>
  <si>
    <t>Construction of Multi-Purpose Building, Barangay Milagrosa, Quezon City</t>
  </si>
  <si>
    <t>Breathing Circuit 0550</t>
  </si>
  <si>
    <t>SUPPLY AND DELIVERY OF 30 PCS. SENIOR EXECUTIVE HIGH BACK CHAIR</t>
  </si>
  <si>
    <t>Provision of Internet Access Service with Bundled Leased Line Communication Link</t>
  </si>
  <si>
    <t>Cluster 3  Concreting of Farm to Market Road Purok Bangag Solana, Cagayan, Concreting of Road Leading to Municipal Sanitary Landfill Liwan Sur, Enrile, Cagayan, Concreting of Farm to Market Road Gacau</t>
  </si>
  <si>
    <t>Expansion of Boat landing</t>
  </si>
  <si>
    <t>SUPPLY AND DELIVERY OF PATIENT TRANSPORT VEHICLE (CAB)</t>
  </si>
  <si>
    <t>Supply and Delivery of Submersible Pump &amp; Motor</t>
  </si>
  <si>
    <t>REHABILITATION OF BARANGAY ROAD OF 14 BARANGAYS</t>
  </si>
  <si>
    <t>Proposed Construction of Prefabricated MLWD Warehouse at Brgy. Tibig, Lipa City</t>
  </si>
  <si>
    <t>Rehabilitation/Maintenance of Jetmatic at Municipal Building, Calasiao, Pangasinan</t>
  </si>
  <si>
    <t>Construction of Administration Building</t>
  </si>
  <si>
    <t>Meals, Snack and Lodging - Training on Video Production</t>
  </si>
  <si>
    <t>Office equipment, consumables and supplies</t>
  </si>
  <si>
    <t>Purchase and Delivery of Contact Tracing System</t>
  </si>
  <si>
    <t>Reproduction</t>
  </si>
  <si>
    <t>EBMS -AIRCON OUTLET SINGLE &amp; 14 OTHERS (1ST POSTING)</t>
  </si>
  <si>
    <t>Supply and delivery of Sodium Hypochlorite</t>
  </si>
  <si>
    <t>EBMS -SEAT COVER &amp; 13 OTHERS (1ST POSTING)</t>
  </si>
  <si>
    <t>HCV Ag-Ab, CMIA/CLIA, 100 tests</t>
  </si>
  <si>
    <t>RFQ No. 2008-432 Proc. of Goods (Neutral Disinfectant Cleaner)</t>
  </si>
  <si>
    <t>Rehabilitation of Water System</t>
  </si>
  <si>
    <t>PROCUREMENT OF VARIOUS FURNITURE, FIXTURE &amp; EQUIPMENT FOR 3RD &amp; 4TH QUARTER OF 2020</t>
  </si>
  <si>
    <t>Construction of UP Student Union Building, Phase3, Quezon City</t>
  </si>
  <si>
    <t>PROCUREMENT OF OFFICE SUPPLIES (BOND PAPER, RISO INK &amp; MASTEROLL, PRINTER INK AND ENVELOPES - SALAY NATIONAL HIGH SCHOOL</t>
  </si>
  <si>
    <t>Supply &amp; Delivery of Piggery feeds for September 2020 H50-2020</t>
  </si>
  <si>
    <t>DSWD7-2020-0866; Supplies for KC-NCDDP of Community Volunteers Coaching Session at DSWD FO VII</t>
  </si>
  <si>
    <t>Supply and Delivery of Meals and Snacks to be served during the conduct of retooling on Corn Production at Quezon Province</t>
  </si>
  <si>
    <t>INVITATION TO BID-MATERIALS FOR ROAD REPLACEMENT OF DILAPITAED PANS</t>
  </si>
  <si>
    <t>Reducing Vulnerability and erosion managed through community managed installation of gabion</t>
  </si>
  <si>
    <t>Proposed Construction of National Child Development Center</t>
  </si>
  <si>
    <t>Purchase of Various Supplies for Calamity Preparedness</t>
  </si>
  <si>
    <t>Cluster 11 Concreting of Barangay Road Alonzo Street Purok 5 Bauan East, Solana, Cagayan, Concreting of Barangay Road Natazzan Iguig, Cagayan, Concreting of Barangay Cecillio St. Maddarulug</t>
  </si>
  <si>
    <t>Cluster 15 Repair and Rehabilitation of Claveria Public Market at Centro 04 Claveria, Cagayan, Improvement of Municipal Gymnasium Barangay Centro Uno, Sta. Praxedes, Cagayan, Rehabilitation of Baranga</t>
  </si>
  <si>
    <t>CONCRETING OF BUYUN CEMETERY ROAD</t>
  </si>
  <si>
    <t>REQUEST FOR QUOTATION - Chlorine Dioxide</t>
  </si>
  <si>
    <t>Supply and delivery of Rings</t>
  </si>
  <si>
    <t>Cluster 14 Covered Walkway for Bukig National Agricultural and Technical School Bukig, Aparri, Cagayan, Construction of Covered Tricycle Bay (TODA Terminal) Lasam, Public Market and Improvement of Bal</t>
  </si>
  <si>
    <t>Purchase of Materials for the Upgrade of Head Control Valve &amp; Production Meter @ Pump Station 6 (New Visayas)</t>
  </si>
  <si>
    <t>Improvement of Multi – Purpose Building at Nassiping, Gattaran, Cagayan</t>
  </si>
  <si>
    <t>COMPLETION OF MULTI PURPOSE BUILDING AT PITO (MDF 2020)</t>
  </si>
  <si>
    <t>SERVICES - DISINFECTION SERVICES</t>
  </si>
  <si>
    <t>96-WELL PCR PLATES/ PCR PLATE SEALING FILM</t>
  </si>
  <si>
    <t>SUPPLY OF SPARE PARTS OF  MUNICIPAL  HEAVY EQUIPMENT</t>
  </si>
  <si>
    <t>PROCUREMENT OF SURVEYING EQUIPMENT FOR USE IN MARINDUQUE PIO AND PULA BANSUD RIS</t>
  </si>
  <si>
    <t>Supply and Delivery of Various ICT Supplies PRDP-84871</t>
  </si>
  <si>
    <t>3rd Quarter MOOE 2020- Office Supplies</t>
  </si>
  <si>
    <t>20OA0085: Repair/Rehabilitation of National Road, M.H. del Pilar St., Malabon City</t>
  </si>
  <si>
    <t>3 set Desktop Computer</t>
  </si>
  <si>
    <t>Construction of Check Dam for the Creeks Inside the Camping Area Gattaran, Cagayan</t>
  </si>
  <si>
    <t>SUPPLY AND DELIVERY OF ELECTRICAL POWER SUPPLY FOR LIGTAS COVID CENTER</t>
  </si>
  <si>
    <t>TAPAT KO LINIS KO</t>
  </si>
  <si>
    <t>Construction and Rehabilitation of Local Government Owned Water Supply System at Selected Barangays of Ibaan, Batangas</t>
  </si>
  <si>
    <t>Purchase of supplies &amp; materials for Disaster Preparedness</t>
  </si>
  <si>
    <t>D-Dimer</t>
  </si>
  <si>
    <t>MAINTENANCE OF PROVINCIAL ROADS</t>
  </si>
  <si>
    <t>IB NO. 2020-06 PROCUREMENT FOR THE REPRODUCTION OF INFORMATION, EDUCATION AND COMMUNICATION (IEC) MATERIALS</t>
  </si>
  <si>
    <t>Medical Dental Supplies for SDCP</t>
  </si>
  <si>
    <t>Procurement of Medical Supplies/Instruments</t>
  </si>
  <si>
    <t>Repair and Maintenance of Vehicle Mazda SKR 662</t>
  </si>
  <si>
    <t>Purchase of 12 units Desktop Computer and Printer</t>
  </si>
  <si>
    <t>P.R. No. 20-101-069 "Classroom and Laboratory Equipment for Hotel and Restaurant Management Department"</t>
  </si>
  <si>
    <t>INSTALLATION &amp; COMMISSIONING OF MANAGEMENT INFORMATION SYSTEM AT THE MAYOR'S OFFICE, FLORA, APAYAO</t>
  </si>
  <si>
    <t>Local Government Information Management System at Municipal Hall, Brgy. Poblacion, Ibaan, Batangas</t>
  </si>
  <si>
    <t>WATER PURIFIER, BUTUAN AIRPORT</t>
  </si>
  <si>
    <t>Improving Access to Basic Social Services Through Community-Managed Concreting of Barangay Road</t>
  </si>
  <si>
    <t>Delivery and supply of Vitamin C for teachers and employees</t>
  </si>
  <si>
    <t>Procurement of Medicines</t>
  </si>
  <si>
    <t>Purchase of Office Supplies for MEO use</t>
  </si>
  <si>
    <t>AGOO PORT DEVELOPMENT (PHASE IV) LOCATED AT SAN ISIDRO, AGOO, LA UNION</t>
  </si>
  <si>
    <t>Regravelling of FARM to MARKET ROAD - Barangay IV, Enrile, Cagayan</t>
  </si>
  <si>
    <t>Purchase of Portable Wireless Bluetooth Speaker for the use of Different Public Schools in the Municipality</t>
  </si>
  <si>
    <t>Job Order: Supply of Labor &amp; Materials for Body Repair &amp; Painting for the use of Toyota Land Cruiser Land Cruiser with Plate No. SDW-833</t>
  </si>
  <si>
    <t>SUPPLY OF RADIO BASE WITH COMPLETE  ACCESSORIES &amp; HANDHELD RADIO</t>
  </si>
  <si>
    <t>Colored Laser Printer</t>
  </si>
  <si>
    <t>Plaster Hospital 0549</t>
  </si>
  <si>
    <t>Procurement of Food for Meals &amp; Snacks</t>
  </si>
  <si>
    <t>Socio Cultural Activities</t>
  </si>
  <si>
    <t>N95 Face Mask for Disinfection Operation</t>
  </si>
  <si>
    <t>RFQ for CCTV</t>
  </si>
  <si>
    <t>PROCUREMENT AND DELIVERY OF TOUCH SCREEN WITH COMPACT CPU</t>
  </si>
  <si>
    <t>Supply and Delivery of Materials for the Improvement of Health Center</t>
  </si>
  <si>
    <t>Purchase of ECG</t>
  </si>
  <si>
    <t>SUPPLY AND DELIVERY OF MOSQUITO CONTROL PESTICIDE FOR DENGUE CONTROL AND PREVENTION</t>
  </si>
  <si>
    <t>SUPPLY OF POLICE &amp; MILITARY SUPPLIES</t>
  </si>
  <si>
    <t>DRUGS AND MEDICINES-2ND QUARTER MOOE 2020</t>
  </si>
  <si>
    <t>SUPPLY AND DELIVERY OF IT EQUIPMENT</t>
  </si>
  <si>
    <t>EBMS -TAPE, ELECTRICAL &amp; 11 OTHERS (1ST POSTING)</t>
  </si>
  <si>
    <t>Procurement of Office Table</t>
  </si>
  <si>
    <t>Request for Quotation (RFQ) for Instructional Materials and Supplies in UAQTEA BPP NC II</t>
  </si>
  <si>
    <t>P.R. No. 20-101-070 "Construction Materials to be used in the Evaluation for COPC (BSND)"</t>
  </si>
  <si>
    <t>CONTINUATION OF MULTI-PURPOSE CONSTRUCTION AT BARANGAY MISSION</t>
  </si>
  <si>
    <t>Procurement of Farm Machineries, Equipments and Materials for the Farm Mechanization Program of Tagudin, Ilocos Sur</t>
  </si>
  <si>
    <t>Invitation to Bid (Supply, delivery, and installation of Office Furniture)</t>
  </si>
  <si>
    <t>Concreting of Santiago- San Isidro, Claveria, Cagayan</t>
  </si>
  <si>
    <t>UPLB-RQ-8-190-20-RES SUPPLY AND DELIVERY OF VETERINARY SUPPLIES FOR IHNF</t>
  </si>
  <si>
    <t>Concreting of Mabini Barangay Road (Malasig St)</t>
  </si>
  <si>
    <t>PCR tubes 0.1ml, strip of 8 tubes</t>
  </si>
  <si>
    <t>Various Laboratory &amp; Clinic Supplies</t>
  </si>
  <si>
    <t>Regravelling of FARM to MARKET ROAD - Lemu Sur, Enrile, Cagayan</t>
  </si>
  <si>
    <t>Purchase of Clinical Chemistry Analyzer</t>
  </si>
  <si>
    <t>CELLCARD 86IB (63,834.00</t>
  </si>
  <si>
    <t>Supply and Delivery of Uniform for OJT of Batch 17 Scholars</t>
  </si>
  <si>
    <t>IMPROVEMENT OF MULTI-PURPOSE HALL (BLEACHERS) AT BARANGAY SIMBALUCA</t>
  </si>
  <si>
    <t>Procurement of Office Equipment</t>
  </si>
  <si>
    <t>PROCUREMENT OF DRUGS &amp; MEDICINES FOR FY 2020</t>
  </si>
  <si>
    <t>Procurement of Life Saving and Rescue Equipments for the use in the conduct of Search, Rescue and Recovery Operations of Provincial Disaster Risk Reduction and Management Office, Kalibo, Aklan-Re Bidd</t>
  </si>
  <si>
    <t>SUPPLY AND DELIVERY OF MATERIALS FOR THE INSTALLATION OF SOLAR POWERED STREET LIGHTS TO 7 BARANGAYS (DALADAP, DUKAY, GUIAMALIA, ILIAN, MAGSAYSAY, NEW PANAY &amp; PAITAN)</t>
  </si>
  <si>
    <t>EBMS -METAL FURRING (1ST POSTING)</t>
  </si>
  <si>
    <t>VEHICLE REPAIR AND MAINTENANCE</t>
  </si>
  <si>
    <t>Supply and Delivery of Supplies and Materials for Office and School Disinfection in Response to COVID-19</t>
  </si>
  <si>
    <t>Supply and Delivery of 1unit Floor Standing Aircondition including labor &amp; materials for installation for Muleta RIS Office</t>
  </si>
  <si>
    <t>INVITATION TO BID FOR VEHICLE (4 WHEELS) AND ACCESSORIES (BID NO. 200903-15)</t>
  </si>
  <si>
    <t>PROCUREMENT OF SOLID WASTE MANAGEMENT LEARNER'S MANUAL</t>
  </si>
  <si>
    <t>RFQ for Communication Load</t>
  </si>
  <si>
    <t>Supply and delivery of fuel for Mun. Vice Mayor's Office vehicles use.</t>
  </si>
  <si>
    <t>RFQ No. 20-08-223 for PR No. 20-08-217</t>
  </si>
  <si>
    <t>Purchase of cellcards for MAGRO use</t>
  </si>
  <si>
    <t>Procurement of Hospital Medical Equipment Services</t>
  </si>
  <si>
    <t xml:space="preserve">20PA0139 (PACKAGE) : REPAIR/ MAINTENANCE OF DND – PHILIPPINE ARMY  BUILDINGS, a.) Fitness Center, Lagangilang, Abra; b.) Officer’s Mess  Hall, Lagangilang, Abra; c.) Enlisted Personnel’s  Mess Hall,  </t>
  </si>
  <si>
    <t>OPLAN 4R</t>
  </si>
  <si>
    <t>S &amp; D of Vegetable Seeds (P. Agri.)</t>
  </si>
  <si>
    <t>Lot 1 (Common Supplies)</t>
  </si>
  <si>
    <t>Prothrombin time reagent, 10x4mL,</t>
  </si>
  <si>
    <t>construction of FMR</t>
  </si>
  <si>
    <t>Purchase of Water Pump</t>
  </si>
  <si>
    <t>SUPPLY AND DELIVERY OF CHICK GROWER MASH, ETC.</t>
  </si>
  <si>
    <t>Supply &amp; Delivery of various Office Supplies, LGU-Paniqui, Tarlac</t>
  </si>
  <si>
    <t>Partial Construction of Multi-Purpose Covered Court (Olongtao Ibaba Elementary School)</t>
  </si>
  <si>
    <t>SUPPLY &amp; DELIVERY OF SMOKE DETECTOR, EMERGENCY LIGHT &amp; FIRE EXTINGUISHER - GOVERNOR'S OFFICE</t>
  </si>
  <si>
    <t>Supply and Delivery of 13units Cellular Phone for NIA-Bukidnon IMO Personnel</t>
  </si>
  <si>
    <t>CATERING SERVICES FOR SEMI-CONSULTATIVE MEETING AND DIALOGUE WITH SP KEY OFFICERS, STAFF AND OTHER DEVELOPMENT PARTNERS IN THE PROVINCE</t>
  </si>
  <si>
    <t>Request for Quotation (RFQ) for Instructional Materials and Supplies in UAQTEA Cookery NC II</t>
  </si>
  <si>
    <t>EBMS -PLASTIC MOULDING &amp; 12 OTHERS (1ST POSTING)</t>
  </si>
  <si>
    <t>GOODS 2020-09-0011 CONSTRUCTION OF PUBLIC TOILET BUILDING - TANGIL, DUMANJUG, CEBU</t>
  </si>
  <si>
    <t>Supply and Delivery of Special Supplies, as per BSP specifications:</t>
  </si>
  <si>
    <t>CONSTRUCTION OF PERIMETER FENCE</t>
  </si>
  <si>
    <t>SUPPLY AND DELIVERY OF DISINFECTION SUPPLIES</t>
  </si>
  <si>
    <t>RFQ-2020-06-2021 KTTD LAPTOP</t>
  </si>
  <si>
    <t>SVP PUR20-02-0136 Procurement of Battery for Transport Incubator for CCU-MAT, PGH</t>
  </si>
  <si>
    <t>Procurement of Installation CCTV Camera Procurement</t>
  </si>
  <si>
    <t>Meal of Participants in the Celebration of 159th Founding Anniversary of San Luis, MUNICIPALITY OF SAN LUIS, BATANGAS</t>
  </si>
  <si>
    <t>Procurement of Constructions Materials</t>
  </si>
  <si>
    <t>Procurement of Catering Services for Hiring  Selection and Promotion for Elementary Master Teacher</t>
  </si>
  <si>
    <t>Construction/ Rehabilitation of Guibang Barangay Health Station and Day Care Center (additional works)</t>
  </si>
  <si>
    <t>Printing of Learning Modules</t>
  </si>
  <si>
    <t>Procurement of 233 gallon of ALCOHOL (ETHYL 70% SOLUTION) (B7-20-30)</t>
  </si>
  <si>
    <t>PROCUREMENT AND DELIVERY OF CONSOLIDATED OFFICE SUPPLIES</t>
  </si>
  <si>
    <t>Procurement of Installation CCTV Camera Procurement of ElectricalSupplies</t>
  </si>
  <si>
    <t>INVITATION TO BID FOR TIRE, BATTERIES, AND ACCESSORIES - 4 WHEELS (BID NO. 200903-16)</t>
  </si>
  <si>
    <t>CONSTRUCTION OF PERIMETER FENCE OF THE PROPOSED MULTI-PURPOSE HALL AT ALUCAO</t>
  </si>
  <si>
    <t>Procurement of Various Agricultural Supplies, Materials and Equipment for the use of Municipal Agriculture Office</t>
  </si>
  <si>
    <t>SUPPLY AND DELIVERY OF VARIOUS SUPPLIES FOR CITY GENERAL SERVICES OFFICE USE</t>
  </si>
  <si>
    <t>ITB No. 020-2020-First Posting-Supply and Delivery of Medical Supplies and Rapid Diagnostic Test for COVID-19 of LGU-Hingyon, Ifugao.</t>
  </si>
  <si>
    <t>Procurement of Machinery Equipment for the Implementation of the Project “Technology Upgrading relating to manufacturing efficiency for Rural Improvement Club-Malibacsan Inc. (TURMERIC-Malibacsan)</t>
  </si>
  <si>
    <t>Printing of Modules (Buyoan ES)</t>
  </si>
  <si>
    <t>SUPPLY OF MEDICINE &amp; MEDICAL SUPPLIES FOR WALK IN CLIENT</t>
  </si>
  <si>
    <t>Rehabilitation of Cemetery Canal (poblacion)</t>
  </si>
  <si>
    <t>Purchase of 4GB USB Flash Drives for the Use of Different Public Schools in the Municipality of San Mateo, Rizal</t>
  </si>
  <si>
    <t>SUPPLY AND DELIVERY OF BAMBOO FACESHIELD WITH DENR LOGO UNDER EMB-EEID RFQ NO. EMB-EEID-SHOPPING-G-130-8-25-2020 2020-0760</t>
  </si>
  <si>
    <t>Purchase of Various Office Furniture and Fixtures</t>
  </si>
  <si>
    <t>NCR-2008-006: PROCUREMENT OF PREVENTIVE AND REPAIR MAINTENANCE OF AIRCONDITIONING SYSTEM OF PRO NCR</t>
  </si>
  <si>
    <t>Security Services for the Period January 1, 2021 to December 31, 2021, MSUIIT</t>
  </si>
  <si>
    <t>PROCUREMENT AND DELIVERY OF 1 UNIT BRAND NEW 4X4 WHEEL TYPE EXCAVATOR COMPLETE WITH HYDRAULIC BREAKER AND DOZER BLADE AND OUTTRIGGER</t>
  </si>
  <si>
    <t>Printing of Modules (Victory Village ES)</t>
  </si>
  <si>
    <t>CONSTRUCTION OF STEEL HANDRAILS OF FOOT BRIDGE</t>
  </si>
  <si>
    <t>1500 pcs Personalized Acrylic Face Shield for the conduct of 2020 National Census of Population</t>
  </si>
  <si>
    <t>Construction of Streetlights</t>
  </si>
  <si>
    <t>SUPPLY OF UNIFORM FOR BPAT &amp; TRAFFIC ENFORCER</t>
  </si>
  <si>
    <t>Purchase of 1 Unit Rescue and Response Brand New Motor Vehicle for MDRRMO use</t>
  </si>
  <si>
    <t>PURCHASE OF 3 SETS SAVINA 300 SERVICE SET 2Y WITH EXTERNAL BATTERY AND 1 PC POWER SUPPLY UNIT</t>
  </si>
  <si>
    <t>Supply and Delivery of Medicine Drugs and Medical Supplies for Regular Health Services Kinoguitan, Mis. Or.</t>
  </si>
  <si>
    <t>RESTORATION OF ALMAZAN STREET</t>
  </si>
  <si>
    <t>Supply and delivery of construction materials and supplies for use in the Implementation of the Maintenance of National Roads and bridges under 41x Emergency Project (Rep./Maint. of Mabaha Bridge -Abu</t>
  </si>
  <si>
    <t>Supply and Delivery of Office Medical Supplies in the Ministry of Public Works Maguindanao 1st DEO</t>
  </si>
  <si>
    <t>20PA0140 (PACKAGE) : REPAIR/ MAINTENANCE OF DND/DILG BUILDINGS, a.) Community Defense Center Building, Camp Juan Villamor, Calaba, Bangued, Abra; b.) PNP Quarters Building, Camp Juan Villamor, Calaba,</t>
  </si>
  <si>
    <t>15 ML CONICAL BOTTOMED TUBE WITH CAP</t>
  </si>
  <si>
    <t>Repair and Maintenance of Mitsubishi Strada SKR 663</t>
  </si>
  <si>
    <t>fruiting bags (oyster mushroom)</t>
  </si>
  <si>
    <t>Procurement of Vehicle Parts and Accessories under P.R Nos. 2204-2020-Sangguniang Panglungsod and 2222-2020 City Human Resource Management Office-1Lot.</t>
  </si>
  <si>
    <t>PROCUREMENT OF ONE (1) UNIT ANESTHESIA MACHINE FOR MCH</t>
  </si>
  <si>
    <t>Purchase of CCTV Camera and PA System</t>
  </si>
  <si>
    <t>Procurement of tires and other services for the Various Service Vehicles</t>
  </si>
  <si>
    <t>Renovation of Regional Executive Director's Office at STIARC Compound Brgy. Marawoy Lipa City, Batangas</t>
  </si>
  <si>
    <t>Supply and Delivery of Tarpaulin for use in the Office of Sangguniang Panlalawigan Members - AMP-G-2020-007</t>
  </si>
  <si>
    <t>Furnishing &amp; Delivery of Diesel for the maintenance of Service Vehicle of Sangguniang Bayan Office</t>
  </si>
  <si>
    <t>Cluster 9 Construction FMR Road Canal Lining Temblique Baggao Cagayan, Concreting of Road going to Pallagao Elementary School Pallagao Baggao, Cagayan and Concreting of Road going to Agaman National H</t>
  </si>
  <si>
    <t>Supply and Delivery of Medical Supplies for NIA-CARAGA REGION OFFICE PERSONNEL</t>
  </si>
  <si>
    <t>Rehabilitation/Backfilling/Improvement of Seawall in Brgy. Guitna</t>
  </si>
  <si>
    <t>Supply and Delivery of 19 units Single-Function Standard Sheet-Fed (Desktop) Scanner, as per BSP Technical Specifications</t>
  </si>
  <si>
    <t>SUPPLY AND DELIVERY OF TOILET RUBBER PUMP, TOILET BOWL CLEANER, AND TRASH BAGS</t>
  </si>
  <si>
    <t>20OA0084: Improvement of Drainage Structures including Upgrading of Road along Tongco St. &amp; Mabolo St., Brgy. Maysilo, Malabon City</t>
  </si>
  <si>
    <t>RFQ No. 20-08-220 for PR No. 20-08-215</t>
  </si>
  <si>
    <t>SUPPLY AND DELIVERY OF VARIOUS OFFICE, JANITORIAL AND OTHER SUPPLIES FOR CVMO,CTFRB AND SP SEC</t>
  </si>
  <si>
    <t>SVP PUR20-03-0243 Supply, delivery installation Air conditioner, ODDN , PGH</t>
  </si>
  <si>
    <t>PROCUREMENT OF OFFICE EQUIPMENTS</t>
  </si>
  <si>
    <t>SUPPLY AND DELIVERY OF VARIOUS LABORATORY REAGENTS AND SUPPLIES (NEGOTIATED PROCUREMENT- TWO FAILED BIDDINGS)</t>
  </si>
  <si>
    <t>PR-2020-1617 Various Food Stuff, Grocery Items &amp; Supplies-PSWDO</t>
  </si>
  <si>
    <t>Repair of Post-Harvest Facility at Jappa</t>
  </si>
  <si>
    <t>One (1) Job for Repair and Maintenance of Magapit and Balza Pumping Station, MPIS, Camalaniugan, Cagayan</t>
  </si>
  <si>
    <t>SUPPLY AND DELIVERY OF VARIOUS OFFICE SUPPLIES.</t>
  </si>
  <si>
    <t>Supply and Delivery of 1 unit Printer for Cashier's Office</t>
  </si>
  <si>
    <t>Supply and Delivery of Meals to be served during Regular/Special Sessions of the Board - AMP-G-2020-008</t>
  </si>
  <si>
    <t>Procurement of Finishing Services</t>
  </si>
  <si>
    <t>Supply and Delivery of First Aid Kit</t>
  </si>
  <si>
    <t>RICE20-08-25-1058 Provide "Piecework (Pakyaw) System" as Site Engineer under Regional Agricultural Engineering Division (RAED) for the month of September 2020 to December 2020.</t>
  </si>
  <si>
    <t>Purchase of 2 units Desktop Computer and Printer</t>
  </si>
  <si>
    <t>SUPPLY AND DELIVERY OF VARIOUS MUSICAL INSTRUMENT AND SUPPLIES</t>
  </si>
  <si>
    <t>RFQ for Gulayan Repair</t>
  </si>
  <si>
    <t>Purchase of Christmas Decoration of Sampalok Lake and Doña Leonila Park for the year 2020.</t>
  </si>
  <si>
    <t>Supply of catering services during CBDP revision</t>
  </si>
  <si>
    <t>IB NO. 2020-07 PROCUREMENT OF WATER SANITATION AND HYGIENE (WASH) SUPPLIES</t>
  </si>
  <si>
    <t>CONTINUATION OF FLOOD CONTROL AT BARANGAY CENTRO WEST</t>
  </si>
  <si>
    <t>BARANGAY KONTRA SUNOG</t>
  </si>
  <si>
    <t>CONTRACT ID 20GIJ-0004 SUPPLY/DELIVERY OF VARIOUS SPARE PARTS USE FOR THE PREVENTIVE MAINTENANCE OF HEAVY EQUIPMENT SDLG WHEEL LOADER, SDLG MOTOR GRADER, UD DUMPTRUCK AND VOLVO HYDRAULIC EXCAVATOR.</t>
  </si>
  <si>
    <t>PURCHASE OF LAPTOP AND PRINTER</t>
  </si>
  <si>
    <t>Printing of Modules (Homapon ES)</t>
  </si>
  <si>
    <t>CONSTRUCTION OF ROAD AT SO. CAALAN, BRGY. MASAGANA</t>
  </si>
  <si>
    <t>280 boxes Ascorbic Acid Tab. to be distributed to Brgy. Guindacpan during Localized Quarantine</t>
  </si>
  <si>
    <t>INVITATION TO BID FOR ELECTRICAL EQUIPMENT AND APPLIANCE - A (BID NO. 200903-18)</t>
  </si>
  <si>
    <t>Supply &amp; Delivery of Connection Materials</t>
  </si>
  <si>
    <t>Construction of Evacuation Center</t>
  </si>
  <si>
    <t>SUPPLY AND DELIVERY OF MATERIALS FOR THE CONSTTRUCTION OF BRGY. CONCEPCION PATHWAYS</t>
  </si>
  <si>
    <t>HO-WIT20-011 - Supply and Delivery of Inventory Ticket</t>
  </si>
  <si>
    <t>S &amp; D of Agricultural Supplies and Materials (P. Agri.)</t>
  </si>
  <si>
    <t>Items for Module Printing</t>
  </si>
  <si>
    <t>INVITATION TO BID FOR IT PROVIDER (BID NO. 200903-17)</t>
  </si>
  <si>
    <t>Supply and Delivery of Groceries Item for the use of Committee Hearing and Regular Session</t>
  </si>
  <si>
    <t>Request for Quotation (RFQ) for Instructional Materials, Supplies and Equipment in TM Level II Assessment Center</t>
  </si>
  <si>
    <t>RENEWAL AND UPGRADE OF PLMUN's OFFICIAL WEBSITE SECURITY PROTECTION</t>
  </si>
  <si>
    <t>CONSTRUCTION MATERIALS AND SUPPLIES FOR TAGUMBAO DRAINAGE CANAL, SAPID, MANKAYAN, BENGUET</t>
  </si>
  <si>
    <t>“SUPPLY AND DELIVERY OF PETROLEUM, OIL &amp; LUBRICANTS FOR SPPF GOVERNMENT VEHICLES FOR THE MONTH OF SEPTEMBER 2020 – 1 LOT”</t>
  </si>
  <si>
    <t>Supply and Delivery of Flower Wreath for use in relation with the activities of the Vice Governor's Office - AMP-G-2020-009</t>
  </si>
  <si>
    <t>Repair and Maintenance of Vehicle SKR 693</t>
  </si>
  <si>
    <t>Provision of Starter Kit and Training Materials and Supplies</t>
  </si>
  <si>
    <t>Fuel - for Embankment for Proposed Mungbean Trading Post @ Barangay Caut, Lapaz, Tarlac AMP-G-003-2020</t>
  </si>
  <si>
    <t>PROCUREMENT OF MATERIALS FOR THE IMPROVEMENT OF WATER SERVICE</t>
  </si>
  <si>
    <t>Supply and Delivery of Labor and Materials in the Perimeter Fencing of MSU-IIT property, Fuentes, Iligan City</t>
  </si>
  <si>
    <t>CONSTRUCTION OF LEACHATE POND ( SANITARY LANDFILL)</t>
  </si>
  <si>
    <t>INSTALLATION OF SOLAR LIGHT_BRGY FACILITIES IMPROVEMENT PROJECT</t>
  </si>
  <si>
    <t>Re-bidding:PR No. 2020-02-0384-MAIN-Supply and Delivery of Cheque Paper for Registrar’s Office</t>
  </si>
  <si>
    <t>Construction of Footpath from Coral-Tuel</t>
  </si>
  <si>
    <t>Purchase of Information Communication Equipment for the use of Provincial Disaster Risk Reduction and Management Office</t>
  </si>
  <si>
    <t>NITRILE DISPOSABLE GLOVES</t>
  </si>
  <si>
    <t>Repair &amp; Maintenance of Government Facilities</t>
  </si>
  <si>
    <t>SUPPLY AND DELIVERY OF 1,600 BOTTLES ISOPROPHYL ALCOHOL</t>
  </si>
  <si>
    <t>PURCHASE OF 1 LOT MEDICAL VACUUM SYSTEM TO BE USED FOR THE REPLACEMENT OF ALL BROKEN PARTS/ACCESSORIES</t>
  </si>
  <si>
    <t>PROCUREMENT AND DELIVERY OF 1 UNIT BRAND NEW 4X2 AIRCONDITIONED BOOM TRUCK</t>
  </si>
  <si>
    <t>SUPPLY AND DELIVERY OF BIOSAFETY CABINET</t>
  </si>
  <si>
    <t>RFQ for NON PS Module Materials</t>
  </si>
  <si>
    <t>SUPPLY AND DELIVERY OF LIGHT RESCUE 4X4 VEHICLE</t>
  </si>
  <si>
    <t>SUPPLY &amp; DELIVERY 2 UNITS VAN RENTAL FOR 15 DAYS, TO FERRY AND FETCH THE LSI AND ROF.</t>
  </si>
  <si>
    <t>Supply and Delivery of Collapsible Tent 20 x 30 for Sangguniang Panlalawigan use</t>
  </si>
  <si>
    <t>Supply and Delivery of Rice for use of the Dietary Section of IPHO-TPH AMP-G-005-2020</t>
  </si>
  <si>
    <t>PURCHASE OF FOODSTUFF FOR GAD TRAINING</t>
  </si>
  <si>
    <t>Procurement of Office Equipment for Provincial Accountant's Office.</t>
  </si>
  <si>
    <t>INVITATION TO BID FOR SPARE PARTS FOR LIGHT AND HEAVY EQUIPMENT (BID NO. 200903-20)</t>
  </si>
  <si>
    <t>200 vial IODIXANOL 320 50ml, 625mg/ml</t>
  </si>
  <si>
    <t>MICROCENTRIFUGE TUBE</t>
  </si>
  <si>
    <t>Procurement of Civil Works for the Repair of  Hon. Bernie F. Abasques Multi-Purpose Building , Phase 11, Municipal Hall Compound, Mlang, Cotabato.ll, Mlang, Cotabato.</t>
  </si>
  <si>
    <t>20-0094 Procurement of Correction Pen, Eraser</t>
  </si>
  <si>
    <t>INVITATION TO BID FOR AUDIO VIDEO EQUIPMENT - C (BID NO. 200903-19)</t>
  </si>
  <si>
    <t>One (1) Job for Repair and Maintenance of Magapit  Pumping Station, MPIS, Camalaniugan, Cagayan</t>
  </si>
  <si>
    <t>SUPPLY AND DELIVERY OF TOCILIZUMAB 400mg/20ml VIAL (20mg/ml)</t>
  </si>
  <si>
    <t>Purchase of Equipment for Quarantine Facility</t>
  </si>
  <si>
    <t>PROCUREMENT OF CY 2020 BASIC EDUCATION FACILITIES FUND ELECTRIFICATION OF UN-ENERGIZED SCHOOLS AND MODERNIZATION OF ELECTRICAL SYSTEMS ON-GRID SCHOOLS BATCH 2 (RE-BID)</t>
  </si>
  <si>
    <t>PURCHASE OF TWO (2) UNITS DESKTOP COMPUTER WITH 3 IN 1 INK PRINTER</t>
  </si>
  <si>
    <t>Lot 2 (for Riso)</t>
  </si>
  <si>
    <t>Printing of Modules (Rawis ES)</t>
  </si>
  <si>
    <t>Parts and labor for the replacement of four (4) pcs tire 255/60 R18 for Nissan Navara OV8024 PEO owned by the Provincial Government of Bataan</t>
  </si>
  <si>
    <t>LAPTOPS FOR DTI ZAMBALES</t>
  </si>
  <si>
    <t>Construction of Footpath from Jappa-Minac to Sabdang</t>
  </si>
  <si>
    <t>Steel Rack and Filing Cabinet for Iloilo Provincial Office Use</t>
  </si>
  <si>
    <t>Procurement of LAN Cable Lay out for TMSCD Office Computers under PR No. FROG-0220-007 and  ITB No. 2003-016-10</t>
  </si>
  <si>
    <t>Procurement of Tarpaulin for use in relation with the activity of the Vice Governor's Office - AMP-G-2020-011</t>
  </si>
  <si>
    <t>REQUEST FOR QUOTATION SHOPPING OF ALCOHOL, ALCOGEL, VITAMIN C, ORAL ANTISEPTIC, FACE SHIELD	 &amp;BLEACH GERMICIDAL CLEANER</t>
  </si>
  <si>
    <t>Supply and Delivery of IT Equipment and Accessories</t>
  </si>
  <si>
    <t>PURCHASE OF VARIOUS SUPPLIES TO BE USED FOR SWABBING</t>
  </si>
  <si>
    <t>ITB for Mainteneance of School Ground 2nd Posting</t>
  </si>
  <si>
    <t>PROCUREMENT AND DELIVERY OF TABLET FOR EL NIDO DEL NORTE</t>
  </si>
  <si>
    <t>Supply and Delivery of Aircon 4HP Cabinet Type for Sangguniang Panlalawigan Sub Office, San Jose Occ. Mindoro</t>
  </si>
  <si>
    <t>PROCUREMENT OF OFFICE EQUIPMENT</t>
  </si>
  <si>
    <t>Supply and Delivery of Stickers for use in relation with the activities of the Vice Governor's Office - AMP-G-2020-010</t>
  </si>
  <si>
    <t>PROCUREMENT OF MICRO-INFRA PROJECTS CLUSTER 10-2020 (MDF) , BOKOD, BENGUET</t>
  </si>
  <si>
    <t>Construction of Concrete Pavement of Basketball Court at Urdaneta City Cultural Center, Brgy. Poblacion, Urdaneta City</t>
  </si>
  <si>
    <t>REHABILITATION OF WATER SOURCE AT PUROK 3,BRGY. MAPAYAG, MALAYBALAY CITY.</t>
  </si>
  <si>
    <t>CONSTRUCTION OF EVACUATION PHASE II @ POBLACION</t>
  </si>
  <si>
    <t>2020-08-002-the contemporary</t>
  </si>
  <si>
    <t>Procurement of Materials for repair and maintenance of Municipal Vehicle (Strada Pick-up SAA 7101)</t>
  </si>
  <si>
    <t>Animal Feeds</t>
  </si>
  <si>
    <t>Janitorial Services for the Period January 1, 2021 to December 31, 2021</t>
  </si>
  <si>
    <t>REHABILITATION OF MULTI-PURPOSE HALL CR AT BARANGAY CENTRO EAST</t>
  </si>
  <si>
    <t>LOT 3 (FOR OFFICE EQUIPMENT)</t>
  </si>
  <si>
    <t>Supply and delivery of Seedlings</t>
  </si>
  <si>
    <t>SUPPLY AND DELIVERY OF PRINTER SCANNER UNDER EMB-OD RFQ NO. EMB-OD-SHOPPING-G-131-8-25-2020 2020-0786</t>
  </si>
  <si>
    <t>Annual PMS of Caterpillar Genset Battery</t>
  </si>
  <si>
    <t>Procurement of office supplies and equipment for SBM Program and Printing of Modules</t>
  </si>
  <si>
    <t>Request for Qoutation for the Supply and Delivery of Fire Hydrants Materials</t>
  </si>
  <si>
    <t>Fuel for Service Vehicles and Maintenance of Jose V. Yap Sports and Recreational Complex AMP-G-004-2020</t>
  </si>
  <si>
    <t>PROCUREMENT AND DELIVERY OF TABLET FOR EL NIDO DEL SUR</t>
  </si>
  <si>
    <t>300 kls. Ginger to be delivered to Brgy. Guindacpan during Localized Quarantine</t>
  </si>
  <si>
    <t>Supply and Delivery of WIFI Modem (DepEd)(Rebidding)</t>
  </si>
  <si>
    <t>Supply and Delivery of Anti-Rabies Vaccine 2020</t>
  </si>
  <si>
    <t>I.T. EQUIPMENT</t>
  </si>
  <si>
    <t>RFQ-NP-SVP-a388-2020-Procurement of Patent Research and Drafting Write - Shop</t>
  </si>
  <si>
    <t>20-08-169 dated 08-14-2020</t>
  </si>
  <si>
    <t>Agriculture Productivity Support Project on Duck Raising under PAMANA Project</t>
  </si>
  <si>
    <t>Purchase of One Unit Laptop</t>
  </si>
  <si>
    <t>3rd Quarter MOOE 2020- OFFICE SUPPLIES</t>
  </si>
  <si>
    <t>SUPPLY AND DELIVERY OF GLOBE, TM, AND SMART CALL AND TEXT CARDS</t>
  </si>
  <si>
    <t>(PGSO) Procurement 1 unit Desktop Computer For the Provincial General Services Office--80,000.00</t>
  </si>
  <si>
    <t>CONSULTING SERVICES</t>
  </si>
  <si>
    <t>2020-08-0033 Purchase of Materials for use in the Repair/Maintenance of National Roads and Bridge along Tagum-Panabo Circum. Road (for Patching of Concrete Pavements)</t>
  </si>
  <si>
    <t>1400 pcs BATTERY, S. AA, ALKALINE, ENERGIZER</t>
  </si>
  <si>
    <t>Purchase of One (1) unit Mini Dump Truck, CENRO, City of Sto. Tomas, Batangas</t>
  </si>
  <si>
    <t>PURCHASE OF 80 SACKS OF RICE &amp; 14 KILOS OF RICE</t>
  </si>
  <si>
    <t>PURCHASE OF UNIFORMS AND TRAINING MATERIALS</t>
  </si>
  <si>
    <t>School Supplies</t>
  </si>
  <si>
    <t>Procurement of Construction Materials Requested by the Different Barangays of the Municipality during the conduct of the Bisita sa Barangay</t>
  </si>
  <si>
    <t>Supply and delivery of meals and snacks served during the SK Program.</t>
  </si>
  <si>
    <t>MOOE 2020-3rd  QUARTER OFFICE SUPPLIES</t>
  </si>
  <si>
    <t>RFQ Luggage Bag 20-08-108-A</t>
  </si>
  <si>
    <t>SVP-20-003- Purchase of Supplies for Maintenance Service For Automated Traffic Data Collection Program</t>
  </si>
  <si>
    <t>SUPPLY AND DELIVERY OF AIR CONDITIONING UNIT</t>
  </si>
  <si>
    <t>Cluster 18 Construction of Fencing at Nabiallan Elem. School, Amulung, Cagayan, Construction of Waiting Shed (24 spans) at Annafatan, Amulung, Cagayan, Construction of Covered Walkway for San Miguel E</t>
  </si>
  <si>
    <t>Supply &amp; Delivery of Construction Materials for the Concreting of School Mini Road of LNCHS</t>
  </si>
  <si>
    <t>Construction of Tricycle Garage</t>
  </si>
  <si>
    <t>Cluster 17 Construction of Covered Court at Mabitbitnong, Sto. Niño, Cagayan (from Grid Line 1-4A-B), Improvement of Daycare Center at Niug Sur, Sto.Niño, Cagayan, Installation of Solar Lights along B</t>
  </si>
  <si>
    <t>UPGRADING OF NAGUILIAN ROAD ENTRY</t>
  </si>
  <si>
    <t>Supply and Delivery of Various Construction Materials-Lalauanan</t>
  </si>
  <si>
    <t>Provision of Catering Services and Assessment Kits For the Presentation and Assessment of Mt. Data National Park-SRPAO Initial Output</t>
  </si>
  <si>
    <t>Procurement of Diesel, Gasoline &amp; Oil for the completion of Rehab &amp; Improv’t. of Balete-Arcangel-Ogsip-Calamcan-Julita-Libacao Road (Phase 1), Province of Aklan /ITB no: 2020-519</t>
  </si>
  <si>
    <t>1 unit Aircon Carrier 2HP or its equivalent (Manual) for Municipal Civil Registrars Office</t>
  </si>
  <si>
    <t>Needleless split septum 0547</t>
  </si>
  <si>
    <t>SPORTING GOODS</t>
  </si>
  <si>
    <t>PR#20-08-0418 Bottled Water for various events</t>
  </si>
  <si>
    <t>PROCUREMENT OF VARIOUS ITEMS TO BE DISTRIBUTED TO SELECTED CHILDREN OF BAY TO PREVENT THEM FROM CONTACTING IN ANY AIRBORNE INFECTIOUS GERMS</t>
  </si>
  <si>
    <t>Procurement of Communication Equipment for Disater Preparedness and Rescue Use of the Forty Three (43) Barangays of Tagudin, Ilocos Sur</t>
  </si>
  <si>
    <t>SUPPLY AND DELIVERY OF DISGITAL THERMOMETER AND VARIOUS OFFICE SUPPLIES</t>
  </si>
  <si>
    <t>Purchase of Materials for Construction of Bantay Dagat Outpost and Signages for San Andres Fish Sanctuary, Mabini , San Andres,, Romblon</t>
  </si>
  <si>
    <t>Cluster 16 Repair/ Improvement of CRAB Hotel Centro Buguey Cagayan, Continuation of the Extension of the Camalaniugan Multi – Purpose Building Centro Sur Camalanuigan, Cagayan, Construction of Perimet</t>
  </si>
  <si>
    <t>Fuel, oil &amp; Lubricants</t>
  </si>
  <si>
    <t>SUPPLY &amp; DELIVERY OF FITNESS GYM EQUIPMENTS &amp; ACCESSORIES</t>
  </si>
  <si>
    <t>CONCRETING OF PATHWAY, SITIO CAIMITO, BRGY JULITA, BILIRAN, BILIRAN</t>
  </si>
  <si>
    <t>Purchase &amp; Delivery of Dental Supplies and Equipment</t>
  </si>
  <si>
    <t>Construction of Post-Harvest Facility at Sagpawe</t>
  </si>
  <si>
    <t>300 pcs LED BULB 7W, 220V E-27</t>
  </si>
  <si>
    <t>140 box COMPUTER FORM 9.5 X 11, 2 PLY CARBONLESS</t>
  </si>
  <si>
    <t>Procurement of feeds for Swine Breeding Station at Agricultural Center</t>
  </si>
  <si>
    <t>Procurement of Office Equipment for Vice Governors Office.</t>
  </si>
  <si>
    <t>Purchase of One (1) unit Garbage Compactor Truck, CENRO, City of Sto. Tomas, Batangas</t>
  </si>
  <si>
    <t>Procurement of Journals (Back Issues 2019) for General References of All Programs- OMSC College Wide Libraries</t>
  </si>
  <si>
    <t xml:space="preserve">REPAIR/IMPROVEMENT OF NFA PROVINCIAL OFFICE INCLUDING CONSTRUCTION FOR ONE SEPTIC VAULT, SELECTIVE REPAIR &amp; REPLACEMENT OF G.I. CORRUGATED ROOF, GUTTER, FASCIA COVER, DOWNSPOUT AND CATCH BASIN GRILLS </t>
  </si>
  <si>
    <t>Improvement of Kasamakan Patong FMR Phase III</t>
  </si>
  <si>
    <t>401-2-20-08-RFQ1086 - USE FOR BUILDING PERMIT OPERATION ( STF )</t>
  </si>
  <si>
    <t>INVITATION TO BID FOR CONSTRUCTION SUPPLIES AND MATERIALS (BID NO. 200903-21)</t>
  </si>
  <si>
    <t>Purchase of Firefighter Boots, Gloves and Air Purifying Respirator</t>
  </si>
  <si>
    <t>Construction of Rural Access Road of Various Sitio’s (Barangay Tambaliza)</t>
  </si>
  <si>
    <t>60 gal MAXIMA</t>
  </si>
  <si>
    <t>Purchase of Medicines used for Super Health Center of this Municipality</t>
  </si>
  <si>
    <t>20FO0112 - Asset Preservation Program- Preventive Maintenance - Secondary Roads, Ligao-Pioduran Road, K0502+(-097.5) - K0502+032, K0502+164 - K0502+613.1, K0525+626 - K0526+118</t>
  </si>
  <si>
    <t>PROVISION AND INSTALLATION</t>
  </si>
  <si>
    <t>LOT 4 (FOR MEDICINE SUPPLIES)</t>
  </si>
  <si>
    <t>SUPPLY AND DELIVERY OF SMARTPHONE</t>
  </si>
  <si>
    <t>046- Repost Procurement of Printing Materials and Supplies 2020</t>
  </si>
  <si>
    <t>Procurement of Furniture’s and Fixtures</t>
  </si>
  <si>
    <t>Supply and Delivery of Two Units of Computer Set intended for the MSWD Office Use</t>
  </si>
  <si>
    <t>INVITATION TO BID FOR DRUGS AND MEDCINES (BID NO. 200903-22)</t>
  </si>
  <si>
    <t>SUPPLY OF VIDEO CONFERENCE SOLUTION FOR 50 USERS FOR ONE YEAR SUBSCRIPTION</t>
  </si>
  <si>
    <t>PR. No. 2020-08-215 Corrugated box</t>
  </si>
  <si>
    <t>Supply and Delivery of Portable Internet Broadband</t>
  </si>
  <si>
    <t>Supply and Delivery of Various Laboratory Reagents and Supplies</t>
  </si>
  <si>
    <t>IMPROVEMENT OF MULTI-PURPOSE HALL</t>
  </si>
  <si>
    <t>Purchase of Gasoline for the month of September 1-30, 2020.</t>
  </si>
  <si>
    <t>Equipment for New Admin Building</t>
  </si>
  <si>
    <t>SUPPLY AND DELIVERY OF CONSTRUCTION MATERIALS FOR REHABILITATION OF SCHOOL CONCRETE FENCE AT BUENASUERTE NATIONAL HIGH SCHOOL, BUENASUERTE, SFADS</t>
  </si>
  <si>
    <t>OE-104-8-19-2020: Supply and Delivery of IT Equipment and its accessories for survey and project monitoring and Inspection</t>
  </si>
  <si>
    <t>EMERGENCY PURCHASE OF PERSONAL PROTECTIVE COVERALL AGAINST COVID-19 PANDEMIC</t>
  </si>
  <si>
    <t>Medical Supplies of Kabankalan City Hospital 2nd Quarter 2020.</t>
  </si>
  <si>
    <t>INVITATION TO BID FOR JANITORIAL SUPPLIES AND MATERIALS (BID NO. 200903-23)</t>
  </si>
  <si>
    <t>MEDICAL EQUIPMENT (ULTRASOUND PRINTER)</t>
  </si>
  <si>
    <t>Supply and Delivery of Materials to be used for the Improvement of TB DOTS Center, Naujan, Oriental Mindoro</t>
  </si>
  <si>
    <t>purchase of 1 unit submersible pump for the use of Municipal Slaughterhouse</t>
  </si>
  <si>
    <t>DRILLING OF ONE(1) EXPLORATORY/PRODUCTION WELL</t>
  </si>
  <si>
    <t>REPLACEMENT OF DAMAGED SPAREPARTS OF THE OLD WHITE DUMPTRUCK SBS-667 &amp; BLUE DUMPTRUCK SFR-318</t>
  </si>
  <si>
    <t>Procurement of materials for the learners modules</t>
  </si>
  <si>
    <t>SUPPLY AND DELIVERY OF VARIOUS OFFICE AND JANITORIAL SUPPLIES</t>
  </si>
  <si>
    <t>1 UNIT HIGH SPEED SHEET-FED INKJET PRINTER WITH AUTOMATIC STAPLING</t>
  </si>
  <si>
    <t>Solar Powered Lights</t>
  </si>
  <si>
    <t>Supply and Delivery of Hardware Supplies for the fabrication of H-frame Scaffoldings use for various infra projects of DSWD FO2</t>
  </si>
  <si>
    <t>Procurement of General Merchandise under P.R Nos. 0198-2020(Operational Support to Maritime Police), etc.-1Lot</t>
  </si>
  <si>
    <t>CELLCARD 17IB 54,300.00</t>
  </si>
  <si>
    <t>Construction of Greenhouse</t>
  </si>
  <si>
    <t>Fencing of Fish Landing</t>
  </si>
  <si>
    <t>LOT 5 (FOR OTHER EQUIPMENT)</t>
  </si>
  <si>
    <t>Procurement of Supplies and Materials and Meals and Snacks for use during Cooperative Month Celebration 2020 AMP-G-006-2020</t>
  </si>
  <si>
    <t>Lot 1 Maintenance Services inclusive of change oil, air, fuel and oil filter and labor</t>
  </si>
  <si>
    <t>CLUSTER O (Construction of Multi-purpose Pavement, Road Opening, Concreting/Improvement of FMR, Construction of Slope Protection &amp; Construction of Diversion Dam &amp; Waterways leading to Sinait River)</t>
  </si>
  <si>
    <t>Electrical Materials for TPC Computer Laboratory</t>
  </si>
  <si>
    <t>Supply and Delivery of I.T. Equipment for Tarlac City Information Office use</t>
  </si>
  <si>
    <t>SUPPLY AND INSTALLATION OF SPEECH LABORATORY EQUIPMENT (20 SEATERS)</t>
  </si>
  <si>
    <t>Purchase of Electrical Materials used for the Electrical Installation at Sunnyville 5 Subd., Brgy. Ampid I, San Mateo, Rizal</t>
  </si>
  <si>
    <t>Supply &amp; Delivery of Materials for Safety Health Protocols under DepEd Cebu Province</t>
  </si>
  <si>
    <t>Installation of Solar Streetlights at Zone 1 to Zone 7 of Brgy. Calepaan, Asingan, Pangasinan.</t>
  </si>
  <si>
    <t>Rebidding for the supply and delivery of 1 unit Aircon, Portable for Office of the TAS-Head's use</t>
  </si>
  <si>
    <t>DEMARCATION OF MT GUITING-GUITING NATURAL PARK IN SIBUYAN ISLAND, ROMBLON AS LEGISLATED TERRESTRIAL PROTECTED AREA UNDER THE NIPAS</t>
  </si>
  <si>
    <t>Van Rental : For Field Office Uses and Emergencies Travel ( SFP Funds )</t>
  </si>
  <si>
    <t>Construction of Footpath from Balukas to Colon</t>
  </si>
  <si>
    <t>PR NO. 2020-08-109 : For use in the replacement of worn-out tires of H1-6102/zfl-835, Hyndai Starex service vehicle assigned in the Finance Section of the district</t>
  </si>
  <si>
    <t>Procurement of Vehicle Parts and Accessories</t>
  </si>
  <si>
    <t>Supply and Delivery of Developing unit  DV 312 for Ineo 287</t>
  </si>
  <si>
    <t>RICE20-08-25-1057 Provide services through "Piecework (Pakyaw) System" as Site Engineer under Regional Agricultural Engineering Division (RAED) for the month of September 2020 to December 2020.</t>
  </si>
  <si>
    <t>CONSTRUCTION MATERIALS AND SUPPLIES FOR  THE IMPOVEMENT OF SABIAN CONCRETE FOOTTRAIL</t>
  </si>
  <si>
    <t>PURCHASE OF 1 (0NE) UNIT DESKTOP COMPUTER WITH CONTINUOUS INK PRINTER</t>
  </si>
  <si>
    <t>Procurement of 6ft x 30 yards Linoleum</t>
  </si>
  <si>
    <t>1 lot Consulting Services for RMD for four (4) months</t>
  </si>
  <si>
    <t>Purchase of Heavy Duty Shredding Machine for office use of Office of the City Mayor Procurement Section</t>
  </si>
  <si>
    <t>PROPOSED BUILT-IN CABINET AT CITY MAYOR'S OFFICE, CITY HALL COMPOUND, BAGO CITY</t>
  </si>
  <si>
    <t>body bag and to go lace</t>
  </si>
  <si>
    <t>REHABILITATION OF HERITAGE BUILDING, REAL ST., SAN ISIDRO, BILIRAN, BILIRAN</t>
  </si>
  <si>
    <t>2020-08-0034 Purchase of Materials for use in the Repair/Maintenance of National Roads and Bridges along Daang Maharlika (Agusan-Davao Road), Davao del Norte (for Cracks &amp; Joints Sealing of Concrete P</t>
  </si>
  <si>
    <t>Supply and Installation of Analok Partition w/ Analok Swing Door, Bronze Glass et al for the Extension of SWAD Cagayan Office, San Gabriel, Tuguegarao City</t>
  </si>
  <si>
    <t>FOR REPAIR OF TYPHOON DAMAGED FACILITIES</t>
  </si>
  <si>
    <t>Acquisition of 1 unit Power Generator, Talalora, Samar</t>
  </si>
  <si>
    <t>Completion of Farmers MPTC</t>
  </si>
  <si>
    <t>Upgrading of Electrical System at Aliguigan 1st Elementary School</t>
  </si>
  <si>
    <t>PURCHASE OF VARIOUS SUPPLIES, CMO, CALBAYOG CITY</t>
  </si>
  <si>
    <t>FERTILIZERS</t>
  </si>
  <si>
    <t>Purchase of Aqua Feeds for MAO Freshwater Fish Production</t>
  </si>
  <si>
    <t>Supply and Delivery of Parts to be used in the Repair and Maintenance of Different Heavy Equipment, Naujan, Oriental Mindoro</t>
  </si>
  <si>
    <t>RFQ 17131 - Electrical Supplies</t>
  </si>
  <si>
    <t>PURCHASE OF MUSHROOM PRODUCTION EQUIPMENT (ENRILE, CAGAYAN)</t>
  </si>
  <si>
    <t>Purchase of 300 pcs Two Way Handheld Radio</t>
  </si>
  <si>
    <t>Professional Services of Production Companies for National R&amp;D Conference for different Regions (2nd Bid)</t>
  </si>
  <si>
    <t>PURCHASE OF FUELS AND LUBRICANTS (For the Month of September 2020)</t>
  </si>
  <si>
    <t>SUPPLY AND DELIVERY OF HARDWARE SUPPLIES AND MATERIALS FOR THE MAINTENANCE OF GOVERNMENT FACILITIES</t>
  </si>
  <si>
    <t>Procurement of Construction Materials and Supplies for the construction of fence and apartment style bone bank at San Antonio Municipal Cemetery</t>
  </si>
  <si>
    <t>Drilling of 250mm dia. x 150m Exploratory Well</t>
  </si>
  <si>
    <t>Barangay 694 BDF "CCTV CAMERA" 2020</t>
  </si>
  <si>
    <t>PROCUREMENT OF 3 UNITS OF COMPUTER INTEL CORE I7 9700F PROCESSOR</t>
  </si>
  <si>
    <t>Repair of Sub-Station Accessories</t>
  </si>
  <si>
    <t>Procurement of IT Equipment (P.R. No. 10390520)</t>
  </si>
  <si>
    <t>401-20-08-RFQ1087 - USE IN MDRRMO OPERATIONS</t>
  </si>
  <si>
    <t>NBC-0820-202</t>
  </si>
  <si>
    <t>Procurement of High Speed Printer for Module Printing</t>
  </si>
  <si>
    <t>Supply and Delivery of Rice</t>
  </si>
  <si>
    <t>BRGY OPERATION &amp; MNGT SYSTEM</t>
  </si>
  <si>
    <t>SUPPLY AND DELIVERY OF VARIOUS DRUGS AND MEDICINES FOR CC-MAP</t>
  </si>
  <si>
    <t>(PEO) For the Procurement of Vehicle Parts  For the Provincial Engineering Office--552,888.00</t>
  </si>
  <si>
    <t>PROCUREMENT OF MOBILE COMMAND VEHICLE WITH COMMUNICATION AND MONITORING EQUIPMENT FOR MDRRMC OPERATIONS AND SPECIAL EVENTS - 1ST POSTING</t>
  </si>
  <si>
    <t>Procurement and Delivery of Construction Supplies and Materials for the Resettlement Site Development of IP Village-NHA Equity</t>
  </si>
  <si>
    <t>Supply and Delivery of Close-Circuit Television(CCTV)</t>
  </si>
  <si>
    <t>Improvement of Provincial Agriculture’s Office for Farmer’s Information Training Center, Brgy. Dalakit, Catarman, Northern Samar</t>
  </si>
  <si>
    <t>Supply and Delivery of Two (2) Units Typewriter to be used at the Office of the Municipal Civil Registrar, Naujan, Oriental Mindoro</t>
  </si>
  <si>
    <t>Office &amp; Housekeeping Supplies for MAM-2020-0203</t>
  </si>
  <si>
    <t>Drugs &amp; Medicines                     (For CPHCF use)</t>
  </si>
  <si>
    <t>Supply and delivery of rice</t>
  </si>
  <si>
    <t>PROCUREMENT AND DELIVERY OF TABLET FOR NEW NORMAL SETTING - EL NIDO DEL NORTE</t>
  </si>
  <si>
    <t>Supply and Delivery of Commercial Rice</t>
  </si>
  <si>
    <t>Absorbable monofilament 0552</t>
  </si>
  <si>
    <t>EBMS -FAUCET &amp; 15 OTHERS (1ST POSTING)</t>
  </si>
  <si>
    <t>Conduct of Road Condition (Rocond) assessments, road inventory survey, vehicle operating cost (VOC) and Road User Cost (RUC) Surveys, quality assurance and other RBIA related activitie, Romblon Distri</t>
  </si>
  <si>
    <t>Supply and Delivery of Materials to be given as Assistance for the Concreting of Pathway at Sitio Calumpit, Barangay Bancuro, Naujan, Oriental Mindoro under CBMS Program</t>
  </si>
  <si>
    <t>Procurement of Liquified Petroleum Gas for use of the Dietary Section of IPHO-TPH - AMP-G-2020-012</t>
  </si>
  <si>
    <t>PROCUREMENT OF PRINTER(ALL IN ONE-LEGAL) AND INKS - STA ANA NATIONAL HIGH SCHOOL</t>
  </si>
  <si>
    <t>2020-08-003-computer</t>
  </si>
  <si>
    <t>SUPPLY AND DELIVERY OF CHART COVER LONG</t>
  </si>
  <si>
    <t>Procurement of Industrial Safety Equipment</t>
  </si>
  <si>
    <t>RFQ-2020-06-2022 KTTD Projector</t>
  </si>
  <si>
    <t>REHABILITATION OF MULTI-PURPOSE BUILDING AT BARANGAY MASI</t>
  </si>
  <si>
    <t>REHABILITATION AND IMPROVEMENT OF WATER SUPPLY DISTRIBUTION SYSTEM AT BRGY PALDIT, SISON PANGASINAN</t>
  </si>
  <si>
    <t>PROCUREMENT OF T-SHIRT AND GROCERY ITEM (SENIOR CITIZEN AND PWD JOINT CELEBRATION)</t>
  </si>
  <si>
    <t>Procurement of Digital Photocopier Machine for MSWD Office</t>
  </si>
  <si>
    <t>Purchase of various supplies to be used for the maintenance and upkeep of the Muzon Public Market and Citrus Public Cemetery</t>
  </si>
  <si>
    <t>PROCUREMENT OF ONE UNIT OF SEA AMBULANCE AND TWO UNITS OF PATROL BOATS</t>
  </si>
  <si>
    <t>SUPPLY, DELIVERY AND INSTALLATION OF TEMPERED GLASS PARTITION</t>
  </si>
  <si>
    <t>NNP-2020-IX-01-04-CONSTRUCTION MATERIALS (VILLAFONT)</t>
  </si>
  <si>
    <t>FLASH DRIVE WITH LOGO</t>
  </si>
  <si>
    <t>PURCHASE OF AIRCON, CSWMO, CALBAYOG CITY</t>
  </si>
  <si>
    <t>NBC-0820-197</t>
  </si>
  <si>
    <t>CONSTRUCTION/REHABILITATION OF DRAINAGE SYSTEM, SAN ISIDRO AND SAN ROQUE, BILIRAN, BILIRAN</t>
  </si>
  <si>
    <t>Supply and delivery of meals and snacks for COVID19 Status Monitoring and Respond Team for September 2-15, 2020</t>
  </si>
  <si>
    <t>Procurement of Offie Equipment for PSA Sorsogon</t>
  </si>
  <si>
    <t>PURCHASE OF FUEL AND LUBRICANTS FOR THE MONTH OF SEPTEMBER 2020 - Calape, Bohol</t>
  </si>
  <si>
    <t>Computer Set with Printer for Research Office &amp; Materials for Library Internet Connection</t>
  </si>
  <si>
    <t>PRINTER, ALL IN ONE W/ CONTINUOUS INK SYSTEM</t>
  </si>
  <si>
    <t>CONTINUATION OF DRAINAGE CANAL AT BARANGAY VILLA</t>
  </si>
  <si>
    <t>Purchase of Medical Supplies for City Dog Pound Operations</t>
  </si>
  <si>
    <t>PRINTING OF CHILDREN’S STORYBOOK/COLORING BOOK UNDER EMB-EEID RFQ NO. EMB-EEID-SHOPPING-G-129-8-25-2020 2020-0607</t>
  </si>
  <si>
    <t>Procurement of One (1) Lot Information and Communications Technology (ICT) Equipment for the Philippine National Police Directorate for Investigation And Detective Management (PNP DIDM)</t>
  </si>
  <si>
    <t>SUPPLY AND DELIVERY OF GROCERY ITEMS FOR DISASTER PREPAREDNESS STOCKPILE</t>
  </si>
  <si>
    <t>Lot 2 Supply,  Delivery and Installation of Batteries</t>
  </si>
  <si>
    <t>Accountable Forms to be used in the Office of the Treasury, City of Kabankalan, Neg. Occ.</t>
  </si>
  <si>
    <t>PR No: 2020-07-107 - Procurement of roofing materials for the repair/replacement of roofing at Maintenance section, DPWH-ZCDEO</t>
  </si>
  <si>
    <t>Rehab./Construction of School Perimeter Fence(15 span)-Seal of Excellence-Silver Awardee</t>
  </si>
  <si>
    <t>Supply and Labor of Materials for the Construction of BJMP Holding Area</t>
  </si>
  <si>
    <t>LEXMARK 56F3HOE TONER</t>
  </si>
  <si>
    <t>Purchase of I.T Equipment for office use of Housing and Homesite Regulatory Office</t>
  </si>
  <si>
    <t>101-20-08-RFQ1085 - USE FOR REPAIR &amp; MAINT. OF MAINT. OF MUNICIPAL BLDGS &amp; FACILITIES (PLUMBING 2020)</t>
  </si>
  <si>
    <t>Procurement of Medical Equipment for Covid-19</t>
  </si>
  <si>
    <t>Necrological Service</t>
  </si>
  <si>
    <t>Procurement of supplies of rent to own for four (4) months. ICT equipment for the conduct of online audio-video conferencing Covid-19 activities</t>
  </si>
  <si>
    <t>SUPPLY AND DELIVERY OF THE IMPROVEMENTS OF KABUHAYAN CENTER BUILDING (PB-LAP-2020-103)</t>
  </si>
  <si>
    <t>101-20-08-RFQ1084 - DEVELOPMENT OF CHILDREN'S PLAZA - MUNICIPAL OVAL, POBLACION, MARAGUSAN, DAVAO DE ORO</t>
  </si>
  <si>
    <t>MANGROVE NURSERY DEVELOPMENT AT BRGY. PEÑAPLATA, SAMAL DISTRICT, IGACOS under PR# 2020-08-3117</t>
  </si>
  <si>
    <t>FURNISHING OF MATERIALS FOR THE CONSTRUCTION OF CANAL AT PUROK 6</t>
  </si>
  <si>
    <t>20GG0073-G - Procurement of Fuel – Diesel for Use of Service Vehicle assigned to Quality Assurance Section and Planning and Design Section and Fuel – Gasoline for Use of Various Basic Highway Maintena</t>
  </si>
  <si>
    <t>Four (4) units Brand New Motorcycle for use for Agriculture Crop Technicians.</t>
  </si>
  <si>
    <t>20GHI0032 Vehicles Parts &amp; Repair</t>
  </si>
  <si>
    <t>Purchase of Plastic Envelope for Student's Modules</t>
  </si>
  <si>
    <t>Supply and Delivery of One (1) Lot Supplies for Risograph Machine</t>
  </si>
  <si>
    <t>SUPPLY AND DELIVERY OF GROCERY ITEMS</t>
  </si>
  <si>
    <t>INFUSION PUMP</t>
  </si>
  <si>
    <t>Purchase of consumables office supplies for the use of Orani District Hospital</t>
  </si>
  <si>
    <t>REPAIR AND MAINTENANCE FOR THE INSTALLATION OF CANOPY FOR AFMD SERVICE VEHICLE TOYOTA HI-LUX WITH C.C. #P6-J365 -2nd posting RFQ NO. EMB-AFMD-082-8-25-20-</t>
  </si>
  <si>
    <t>To Purchase Jack Hammer for EMS Operation under PR# 2020-07-2930.</t>
  </si>
  <si>
    <t>SUPPLY AND DELIVERY OF 4 UNITS MOBILE PHONES</t>
  </si>
  <si>
    <t>REHABILITATION OF SB HALL</t>
  </si>
  <si>
    <t>purchase of 1 unit chainsaw</t>
  </si>
  <si>
    <t>GOODS-2020-08-116 PROCUREMENT OF HARDWARE &amp; SUPPLIES FOR REPAIR &amp; MAINTENANCE OF C3 MALL.</t>
  </si>
  <si>
    <t>Materials for Solid Waste Management Program &amp; Activities - MEO</t>
  </si>
  <si>
    <t>SUPPLY AND DELIVERY OF 1,500 PCS. FACE SHIELD FOR THE DAILY USE OF FRONTLINERS, MDRRMO, LGU CANDELARIA, QUEZON</t>
  </si>
  <si>
    <t>NNP-2020-IX-01-05-CONSTRUCTION MATERIALS (SITIO KANSILAYAN)</t>
  </si>
  <si>
    <t>SUPPLY AND DELIVERY OF CUT-OUT SWITCH, CUT-OUT FUSE, AND FLAT CORD.</t>
  </si>
  <si>
    <t>Supply and Delivery of Fortified Powdered Milk Drink</t>
  </si>
  <si>
    <t>INK REFILL, EPSON 003 BLACK &amp; 4 OTHERS</t>
  </si>
  <si>
    <t>Supply of Labor Materials for the concreting of Road at Purok Salapungan, Brgy Mambog</t>
  </si>
  <si>
    <t>HAMMERMILL/IB No. B-2020-006</t>
  </si>
  <si>
    <t>PROCUREMENT AND DELIVERY OF TWO (2) UNITS RISOGRAPH EL NIDO DEL NORTE</t>
  </si>
  <si>
    <t>Procurement of Tire for maintenance of Heavy Equipment (Dumptruck)</t>
  </si>
  <si>
    <t>SUPPLY AND DELIVERY OF BUS SEATS AND OTHER SUPPLIES</t>
  </si>
  <si>
    <t>SUPPLY AND DELIVERY OF OFFICE SUPPLIES FOR THE FIRST QUARTER NOT AVAILABLE AT PS DBM</t>
  </si>
  <si>
    <t>Request for Quotation for the Supply and Delivery of DPD Reagent for Chlorine Dioxide</t>
  </si>
  <si>
    <t>NNP-2020-IX-01-07-CONSTRUCTION MATERIALS (BULULACAO)</t>
  </si>
  <si>
    <t>Purchase and delivery of 9 units mountain bikes to be used for Barangay Fitness and Wellness Program</t>
  </si>
  <si>
    <t>Procurement of One (1) Lot various Office Supplies</t>
  </si>
  <si>
    <t>Office cubicle and Glass Fixtures</t>
  </si>
  <si>
    <t>Information and Communication Technology Equipment for City Assessor Staff (Assessors Office).</t>
  </si>
  <si>
    <t>PURCHASE OF RABBIES VACCINES, CITY VETERINARIAN OFFICE, CALBAYOG CITY</t>
  </si>
  <si>
    <t>Medicines for RHU Consultation</t>
  </si>
  <si>
    <t>SUPPLY AND DELIVERY OF T-SHIRT AND PLASTIC BAG FOR DUGONG BUHAY DUGTONG BUHAY ACTIVITY</t>
  </si>
  <si>
    <t>SUPPLY AND DELIVERY OF CONSTRUCTION MATERIALS</t>
  </si>
  <si>
    <t>STAPLER, HEAVY DUTY, STD. SIZE LOADING CAP. 200 STAPLES &amp; 4 OTHERS</t>
  </si>
  <si>
    <t>ITB:Supply of Labor &amp; Materials For the Proposed Construction of Drainage Canal located at Brgy. Latag taal Batangas  (cb-infra-2020-03).</t>
  </si>
  <si>
    <t>Procurement of Supplies and Materials for the Utilization and Improvement of Experimental Agroforestry- OMSC Murtha</t>
  </si>
  <si>
    <t>Rehabilitaiton of Street lights</t>
  </si>
  <si>
    <t>Procurement and Delivery of Construction Supplies and Materials for the Installation of Gate and Additional Fencing of Dumpsite</t>
  </si>
  <si>
    <t>2020-08-0035 Purchase of Materials for use in the Repair/Maintenance of National Roads and Bridges along Babak-Samal-Kaputian Road (for Patching of Concrete Pavements)</t>
  </si>
  <si>
    <t>Procurement of Office Supplies and Equipment for Project Monitoring and Documentation Use of the Municipal Engineering Office, LGU, Tagudin, Ilocos Sur</t>
  </si>
  <si>
    <t>Spare parts &amp; labor for garbage trucks of the CGC</t>
  </si>
  <si>
    <t>PROCUREMENT OF ELECTRICAL SUPPLIES AND MATERIALS</t>
  </si>
  <si>
    <t>RFQ-SanNicolasES-Additional-Modules</t>
  </si>
  <si>
    <t>Repair and Maintenance of Isuzu Crosswind with Plate Number SLD 539 for the operational use of the Office of the Regional Director, BFP Caraga Region</t>
  </si>
  <si>
    <t>SUPPLY AND DELIVERY OF ECCD BOOKS (Re-post)</t>
  </si>
  <si>
    <t>20-08-567_Air Conditioning unit for ICTU</t>
  </si>
  <si>
    <t>PROCUREMENT AND DELIVERY OF RICE</t>
  </si>
  <si>
    <t>Purchase of Fifty (50) units LED TV for Daycare Service Program.</t>
  </si>
  <si>
    <t>REHABILITATION OF MULTI-PURPOSE BUILDING AT BARANGAY DUNGEG</t>
  </si>
  <si>
    <t>FILE ORGANIZER &amp; 8 OTHERS</t>
  </si>
  <si>
    <t>2020-08-004-air</t>
  </si>
  <si>
    <t>Lot 3 Supply,  Delivery and Replacement of Tires (including Tire Flap and Interior) and Services such as Tire Mounting and Wheel Balancing and Alignment</t>
  </si>
  <si>
    <t>DRM - INDELIBLE PENCIL &amp; 3 OTHERS (1st POSTING)</t>
  </si>
  <si>
    <t>Construction of Grouted Riprap, Masonry Wall, PCCP, and Embankment Works</t>
  </si>
  <si>
    <t>Procurement of Office Supplies (Alcohol) for PSA Camarines Sur</t>
  </si>
  <si>
    <t>IB-2020-IX-14-01- CONSTRUCTION OF DRAINAGE CANAL</t>
  </si>
  <si>
    <t>Purchase of Office Supplies (PESO)</t>
  </si>
  <si>
    <t>Request for Office Supplies</t>
  </si>
  <si>
    <t>Supply and delivery of 5,000 pcs. Information Education Campaign Pamphlet (Anti-Illegal Drug materials) 3 items for Youth</t>
  </si>
  <si>
    <t>Beauty Care NCII</t>
  </si>
  <si>
    <t>One-day Catering Services during CY 2020 DENR-LGU-PO Summit for the Enhanced National Greening Program</t>
  </si>
  <si>
    <t>Barangay 771 YDF "LAPTOP TABLE, SCHOOL SUPPLIES" 2020</t>
  </si>
  <si>
    <t>Supply and Delivery of Construction materials for Concreting of Basketball Court, Mamba. Madalag, Aklan</t>
  </si>
  <si>
    <t>LOT Procurement of VEHICLE PARTS for the Use of Mitsubishi Estrada of the Provincial Governor’s Office</t>
  </si>
  <si>
    <t>Construction of PCCP at Purok Namnama Road, Barangay Magsaysay</t>
  </si>
  <si>
    <t>Construction Materials for the Strengthening of the Security Perimeter Fence of Hospital TB Ward</t>
  </si>
  <si>
    <t>Materials for the Construction of Multi-Purpose Bldg., Phase III at Brgy. Capaclan - MEO</t>
  </si>
  <si>
    <t>Supply and Delivery of Barcode Sticker and Ribbon</t>
  </si>
  <si>
    <t>CONSTRUCTION OF ACCESS ROAD</t>
  </si>
  <si>
    <t>SUPPLY AND DELIVERY OF CONSTRUCTION MATERIALS FOR OPD HOLDING AREA</t>
  </si>
  <si>
    <t>Supply and Delivery of supplies for reproduction of Psychosocial First Aid(PFA) Modules and Information Education and Communication (IEC) materials on COVID-19 and Disaster Preparedness.</t>
  </si>
  <si>
    <t>ELDERY &amp; PWD CARE PROGRAM</t>
  </si>
  <si>
    <t>to be use for disinfection purposes as well as other medical emergencies</t>
  </si>
  <si>
    <t>HANDTRACTOR, BRAND NEW/IB No. B-2020-007</t>
  </si>
  <si>
    <t>SUPPLY AND DELIVERY OF CUSTOM POLO SHIRT AND BLACK JACKET WITH HOODIE</t>
  </si>
  <si>
    <t>CONSTRUCTION OF TIRE PATH AT DOMINGO DELA CRUZ ST., PUROK 1, BETI, ARITAO, NUEVA VIZCAYA</t>
  </si>
  <si>
    <t>PURCHASE OF ANTI-RABBIES VACCINES (ACTIVE &amp; PASSIVE), CHO, CALBAYOG CITY</t>
  </si>
  <si>
    <t>Supply and Delivery of Roll-up Combi double linen sunscreen for use of PDRRMO</t>
  </si>
  <si>
    <t>Conduct of the Inventory/Condition Inspection Survey, Validation Survey and other related BMS activities and functions at Tablas Island, Romblon, Sibuyan Island, Romblon and Romblon Island, Romblon</t>
  </si>
  <si>
    <t>Procurement and Delivery of Office Equipments</t>
  </si>
  <si>
    <t>Upgrading of Local Access Road</t>
  </si>
  <si>
    <t>Labor and Materials for Isuzu DMAX, SHD 192.(NP 20-0898)</t>
  </si>
  <si>
    <t>PRINTING OF CAVES POSTER SERIES AND CAVE BROCHURES</t>
  </si>
  <si>
    <t>PROCUREMENT AND DELIVERY OF TWO (2) UNITS RISOGRAPH FOR EL NIDO DEL SUR</t>
  </si>
  <si>
    <t>Procurement of Medical and Dental Supplies</t>
  </si>
  <si>
    <t>ITB:Supply and Delivery of Medicine for the use of Rural Health Unit  (CB-GOOD-2020-05)</t>
  </si>
  <si>
    <t>Request for Quotation (Refurbishment of Lease Property)</t>
  </si>
  <si>
    <t>Purchase of IT Equipment for office use of CPDO</t>
  </si>
  <si>
    <t>Supply and Delivery of Various Drugs and Medicine</t>
  </si>
  <si>
    <t>Medicines for MGAP 1st &amp; 2nd Quarter - RHU</t>
  </si>
  <si>
    <t>Medical Supplies for use at Kabankalan City Hospital – RE-BID.</t>
  </si>
  <si>
    <t>LOT 6 (minor Repair)</t>
  </si>
  <si>
    <t>90 panels Curtains</t>
  </si>
  <si>
    <t>RFQ: AVP and IT Supplies</t>
  </si>
  <si>
    <t>FLOATING TILLER, BRAND NEW/IB No. B-2020-008</t>
  </si>
  <si>
    <t>Supply and Delivery of 300 Pax Food and Accommodation Two (2) days Live-in seminar package and 550 Pax Foods Live-out seminar.REBID</t>
  </si>
  <si>
    <t>CONSTRUCTION OF CANAL WITH COVER-PUROK 3, BARANGAY UNO</t>
  </si>
  <si>
    <t>CS -PATIENTS GOWN &amp; 1 OTHER (1ST POSTING)</t>
  </si>
  <si>
    <t>REQUEST FOR SUPPLIES AND MATERIALS FOR WATER REFILLING STATION PROJECT</t>
  </si>
  <si>
    <t>EBMS -REPLACEMENT OF DEFECTIVE ECG CABLE FOR ECG MACHINE (1ST POSTING)</t>
  </si>
  <si>
    <t>GOODS-2020-08-117 PROCUREMENT OF SUPPLIES FOR LINGAP CENTER.</t>
  </si>
  <si>
    <t>Purchase of Desk Shield for the use of various offices of this City</t>
  </si>
  <si>
    <t>REHABILITATION OF MULTI-PURPOSE BUILDING AT BARANGAY LUGA</t>
  </si>
  <si>
    <t>Procurement of Long Lasting Insecticide Treated Net for the Malaria Elimination Program and Dengue Prevention and Control Program of PHO  AMP-G-007-2020</t>
  </si>
  <si>
    <t>Request for Quotation for Rental of Garage</t>
  </si>
  <si>
    <t>Purchase of Garden Soil</t>
  </si>
  <si>
    <t>PR-2020-1484 Drugs &amp; Medicines-CDH</t>
  </si>
  <si>
    <t>RFQ: Glass and Other supplies</t>
  </si>
  <si>
    <t>PC-210 BLACK TONER (1,600 PAGES CAPACITY) &amp; 7 OTHERS</t>
  </si>
  <si>
    <t>PROCUREMENT AND DELIVERY OF ZOOLOGICAL SUPPLIES</t>
  </si>
  <si>
    <t>RFQ–Renovation/Rehab. of Chairman Santillan</t>
  </si>
  <si>
    <t>Procurement of Office Supplies for Legislative Research Activities and Reports of the Office of the Vice Governor - AMP-G-2020-013</t>
  </si>
  <si>
    <t>Purchase of Mobile Cellcards for MENRO use</t>
  </si>
  <si>
    <t>Purchase of Disinfecting Mat</t>
  </si>
  <si>
    <t>SUPPLY AND DELIVERY OF WATER PUMP</t>
  </si>
  <si>
    <t>REQUEST FOR QUOTATION-Computer for Library</t>
  </si>
  <si>
    <t>Supply and Delivery of 2,500 Card, Health Certifiate (for hygiene) 4"x6" (color pink, check format) and other items.</t>
  </si>
  <si>
    <t>IB-2020-IX-14-02-CLOSURE OF OLD DUMPSITE</t>
  </si>
  <si>
    <t>REHABILITATION OF COMFORT ROOMS/CONSTRUCTION OF STAGE AT KAN-ANAN SA PARK under PR# 2020-06-2805.</t>
  </si>
  <si>
    <t>ITB FOR THE IMPROVEMENT OF MULTI-PURPOSE BUILDING</t>
  </si>
  <si>
    <t>Surveying and research services of subdivision plan of CGC lots</t>
  </si>
  <si>
    <t>Construction of PCCP at Sitio Barsak Road, Barangay Gayusan</t>
  </si>
  <si>
    <t>LOT Procurement of VEHICLE PARTS for the Use of 3 Units ISUZU ELF</t>
  </si>
  <si>
    <t>Procurement of Materials to be used in the Regional Payroll Services Unit</t>
  </si>
  <si>
    <t>OFFICE EQUIPMENT - SAN JUAN, ILOCOS SUR</t>
  </si>
  <si>
    <t>10 pcs HP LASERJET TONER 87A FOR HP PRINTER</t>
  </si>
  <si>
    <t>Procurement of One (1) Unit Single Motorcycle for MDRRM Office</t>
  </si>
  <si>
    <t>Purchase &amp; Delivery of Fishery Supplies for the Provincial Tilapia Hatchery of the Province</t>
  </si>
  <si>
    <t>EBMS -REPLACEMENT OF DEFECTIVE SPARE PARTS (02 SENSOR W/ CABLE( (1ST POSTING)</t>
  </si>
  <si>
    <t>CORNSHELLER, BRAND NEW/IB No. B-2020-005</t>
  </si>
  <si>
    <t>INK CARTRIDGE, HP 704, CN692AA, BLACK &amp; 8 OTHERS</t>
  </si>
  <si>
    <t>Purchase of Motor Supplies for major repair of Farm tractor TC38</t>
  </si>
  <si>
    <t>Procurement of Medical Supplies for COVID - 19 Operations &amp; Response</t>
  </si>
  <si>
    <t>Procurement of 150 Piece Chairs, Monobloc without Arm Rest, White, etc. under P.R No. 3072-2020- Office of the City Agriculturist</t>
  </si>
  <si>
    <t>2020-08-0036 Purchase of Materials for use in the Repair/Maintenance of National Roads and Bridges along Kapalong-Talaingod-Valencia-Bukidnon Road, Davao del Norte (for Cracks &amp; Joints Sealing of Conc</t>
  </si>
  <si>
    <t>Printing Services of Various Tarpaulin , SAN JOSE CITY NUEVA ECIJA</t>
  </si>
  <si>
    <t>Supply and Delivery of One (1) Set of Workstation PC</t>
  </si>
  <si>
    <t>RFQ-SanNicolasES-Comics</t>
  </si>
  <si>
    <t>Office Equipment, Supplies and Consumables</t>
  </si>
  <si>
    <t>Construction of PCCP at Sitio Arinaar Road, Barangay Magsaysay</t>
  </si>
  <si>
    <t>Feeds for Animal Breeding &amp; Genetic Improvement Center (ABGIC) Use – RE-BID.</t>
  </si>
  <si>
    <t>transformer for GSS use</t>
  </si>
  <si>
    <t>Supply and Delivery of Office Equipment ( DSLR Camera)</t>
  </si>
  <si>
    <t>Purchase of various supplies to be used in the Recognition of Loyalty Awardees</t>
  </si>
  <si>
    <t>PHILIPPINE BIDDING DOCUMENTS Republic of the Philippines Province of Nueva Vizcaya MUNICIPALITY OF BAYOMBONG BARANGAY MAGAPUY PROCUREMENT OF GOODS PURCHASE OF 1 UNIT BRAND NEW 12 HP DIESEL ENGINE OF B</t>
  </si>
  <si>
    <t>1 pc ACQUISITION MODULE (AM12)</t>
  </si>
  <si>
    <t>Supply of Materials for the Improvement of Irrigation Canal at NIA Road, Brgy Matimbo, City of Malolos</t>
  </si>
  <si>
    <t>Purchase of Office Supplies for MHO, STCAST and MEO use</t>
  </si>
  <si>
    <t>SUPPLY AND DELIVERY OF CONSTRUCTION MATERIALS FOR MMS EXTENSION</t>
  </si>
  <si>
    <t>Proposed Construction of National  Child Development Center</t>
  </si>
  <si>
    <t>Procurement of Laptop for OUSEC-R&amp;D</t>
  </si>
  <si>
    <t>Security Services for PEO, Ma. Cristina Park, Diwa ng Tarlak, NATI/TPITP, Museo ng Tarlak, TRP, LMCH, TPH, Centro Mercato and Provincial Capitol Annex Building Sangguniang Panlalawigan - B-G-2020-121</t>
  </si>
  <si>
    <t>EBMS -ADO WITH PUMP (1ST POSTING)</t>
  </si>
  <si>
    <t>Supply and Delivery of Materials for the Re-gravelling of various Barangay Roads</t>
  </si>
  <si>
    <t>1 unit Laptop</t>
  </si>
  <si>
    <t>Purchase of 1 unit of  Rescue Vehicle</t>
  </si>
  <si>
    <t>ITB FOR THE PURCHASE OF MEDICINES AND MEDICAL SUPPLIES</t>
  </si>
  <si>
    <t>INVITATION TO BID FOR THE SUPPLY AND DELIVERY OF VARIOUS  MEDICAL AND LABORATORY SUPPLIES FOR COVID-19 PANDEMIC</t>
  </si>
  <si>
    <t>PROCUREMENT OF SUPPLIES/MATERIALS FOR DISTRIBUTION TO LEARNERS WITHOUT ANY GADGET UNDER THE "SHARE MO, BLESSING KO PROJECT".</t>
  </si>
  <si>
    <t>Provision of Meals and Snacks for the review of PPAN targets vis-à-vis accomplishment of the Local Nutririon Action Plan  AMP-G-008-2020</t>
  </si>
  <si>
    <t>20GBC0014 -  Furnishing/Delivery of IT Equipment for use in the Planning &amp; Design Section</t>
  </si>
  <si>
    <t>Completion of Concreting of Brgy. Road going to E. Inocillas Elem. School</t>
  </si>
  <si>
    <t>Procurement of Grocery Items</t>
  </si>
  <si>
    <t>Procurement of One (1) unit Sonic Wall License Renewal</t>
  </si>
  <si>
    <t>Supply and Delivery of IBP Transducer Kit and Needle, SPINAL, quincke type</t>
  </si>
  <si>
    <t>Procurement of One (1) Unit Brand New 4x4 Pick-Up Vehicle for Use in Assessment and Evaluation of Farmer Beneficiaries Affected by COVID-19 Pandemic</t>
  </si>
  <si>
    <t>PURCHASE OF RRCY NON-FOOD SUPPLIES FOR THE CY 2020</t>
  </si>
  <si>
    <t>Purchase of Bond Paper</t>
  </si>
  <si>
    <t>construction of concrete drainage canal Swan E/S</t>
  </si>
  <si>
    <t>SUPPLY AND DELIVERY OF CELLULAR PHONES</t>
  </si>
  <si>
    <t>Procurement of Vehicle Repair and Maintenance under P.R Nos. 1924-2020- City Health Office and 2208-2020- Sangguniang Panglungsod-Augmentation for Legislative Services-1Lot.</t>
  </si>
  <si>
    <t>PURCHASE OF OFFICE SUPPLIES (LOT A) AND JANITORIAL/PERSONAL SUPPLIES AND CONSUMABLES (LOT B) FOR THE USED OF VARIOUS OFFICES/PROGRAMS OF DSWD RO III FOR THE PERIOD OF OCTOBER – NOVEMBER 2020</t>
  </si>
  <si>
    <t>B20200339 - LABORATORY SUPPLIES FOR DDN BLOOD CENTER</t>
  </si>
  <si>
    <t>SUPPLY AND DELIVERY OF OFFICE SUPPLIES AND MATERIALS FOR THE SANGGUNIANG PANLUNGSOD OFFICE</t>
  </si>
  <si>
    <t>Procurement of Security Services</t>
  </si>
  <si>
    <t>SUPPLY &amp; DELIVERY OF PLUMBING SUPPLIES &amp; MATERIALS (CONSTRUCTION OF WATER SUPPLY)</t>
  </si>
  <si>
    <t>PRODUCTION OF LISTAHANAN VIDEO</t>
  </si>
  <si>
    <t>Construction of open drainage canal, along main rd., Pamana ng Lungsod Relocation Site, Bulalo, Balite, Calapan City</t>
  </si>
  <si>
    <t>SIGN PEN, RED, LIQUID/GEL INK, 0.5MM NEEDLE TIP &amp; 6 OTHERS</t>
  </si>
  <si>
    <t>Vehicle Repair and Maintenance SAA 6384</t>
  </si>
  <si>
    <t>General Revision</t>
  </si>
  <si>
    <t>Procurement of Five (5) units of Cellphone</t>
  </si>
  <si>
    <t>PROCUREMENT OF MEAL AND SNACKS FOR BUNTIS CONGRESS</t>
  </si>
  <si>
    <t>BDRRM Office</t>
  </si>
  <si>
    <t>Purchase of construction materials and supplies with labor on pakyaw or takay basis supplied by local laborers for the Construction of 2 units Police Outpost</t>
  </si>
  <si>
    <t>SUPPLY AND DELIVERY OF FERTILIZERS (14 14 14)</t>
  </si>
  <si>
    <t>SUPPLY AND DELIVERY OF HARDWARE SUPPLIES AND CONSTRUCTION MATERIALS FOR VARIOUS LAW ENFORCEMENT AGENCIES</t>
  </si>
  <si>
    <t>Payment for Supplemental Feeding for the 3rd Quarter 2020.</t>
  </si>
  <si>
    <t>Medical Supplies - TUBE &amp; CHAMBER KIT, OPTIFLOWNASAL &amp; AIRVO AIR FILTER</t>
  </si>
  <si>
    <t>PURCHASE OF LAPTOP FOR COA-GUBAT FOR OFFICE USE</t>
  </si>
  <si>
    <t>Procurement of One (1) unit Motorcycle</t>
  </si>
  <si>
    <t>Purchase of Jacket to be distributed to Department Heads, Assistant Department Heads, DepED, and Barangay Chairman</t>
  </si>
  <si>
    <t>SUPPLY AND DELIVERY OF CONSTRUCTION MATERIALS USE FOR CONSTRUCTION OF MULTI PURPOSE DRYING PAVEMENT AT BARANGAY POBLACION &amp; LABAO, ESPERANZA, AGUSAN DEL SUR</t>
  </si>
  <si>
    <t>Purchase of Hardware Materials for the Construction of Septic Vault (Various Barangay) and Construction of Placenta Pit (Various Barangay)</t>
  </si>
  <si>
    <t>REQUEST FOR MILLED RICE UNDER CLAAP</t>
  </si>
  <si>
    <t>MATERIALS FOR THE CONSTRUCTION OF CHB OPEN CANAL PHASE I &amp; PHASE II</t>
  </si>
  <si>
    <t>PURCHASE OF 100 KVA SILENT TYPE DIESEL GENERATOR SET</t>
  </si>
  <si>
    <t>Procurement of Office Supplies-Bond Papers</t>
  </si>
  <si>
    <t>Venitian blinds for the use at SB office.</t>
  </si>
  <si>
    <t>Purchase of various supplies to be given to retirees during the Salamat Mabuhay Program during the Civil Service Month</t>
  </si>
  <si>
    <t>Procurement of Construction Supplies and Materials for the Construction of Makeshift School Building (Nicolas)</t>
  </si>
  <si>
    <t>Procurement of ICT Equipment for use of the Office of the Vice Governor - AMP-G-2020-014</t>
  </si>
  <si>
    <t>DRM - LONG HANDLED SPONGE &amp; 4 OTHERS (1st POSTING)</t>
  </si>
  <si>
    <t>Procurement of Covid 19 Medical Supplies for Senior Citizens and PWD</t>
  </si>
  <si>
    <t>Purchase of Tires, Battery and Spare Parts for ISUZU Crosswind, Ford Everest and HI-Ace Van</t>
  </si>
  <si>
    <t>PURCHASE OF ANTI-RABBIES VACCINES (ACTIVE), CHO, CALBAYOG CITY</t>
  </si>
  <si>
    <t>Supply and delivery of assorted Construction supplies and materials for therepair of 3 cl bldg. at Lepaga Elem. School</t>
  </si>
  <si>
    <t>CONSTRUCTION/INSTALLATION OF STREETLIGHTS ALONG MAHARLIKA HIGHWAY</t>
  </si>
  <si>
    <t>CONSTRUCTION OF BLEACHER, Multi-Purpose Building, Silonay, Calapan City</t>
  </si>
  <si>
    <t>Procurement of Construction Supplies and Materials for the Improvement of Municipal Gymnasium</t>
  </si>
  <si>
    <t>EBMS -GASOLINE FUEL, PREMIUM (1ST POSTING)</t>
  </si>
  <si>
    <t>Supply, Delivery, Installation and Implementation for Network Switches at the Prefabricated Office and Warehouse</t>
  </si>
  <si>
    <t>Procurement of Drugs and Medicines</t>
  </si>
  <si>
    <t>(PENARO) (2ND) INVITATION TO BID FOR THE SUPPLY, DELIVERY &amp; FABRICATION OF 30 UNITS STORAGE BINS FOR THE  PROVINCIAL ENVIRONMENT &amp; NATURAL RESOURCES OFFICE--450,000.00</t>
  </si>
  <si>
    <t>(GO-Jail) 2ND INVITATION TO BID FOR THE SUPPLY &amp; DELIVERY OF1 UNIT LAPTOP   FOR THE  GOVERNOR’S OFFICE – PROVINCIAL JAIL--55,000.00</t>
  </si>
  <si>
    <t>Procurement of IT Equipment for COA RO1</t>
  </si>
  <si>
    <t>2 unit Split Type AC inverter</t>
  </si>
  <si>
    <t>Procurement of Construction Equipment, SAN JOSE CITY NUEVA ECIJA</t>
  </si>
  <si>
    <t>Various Medical Equipment</t>
  </si>
  <si>
    <t>Procurement of Various Supplies</t>
  </si>
  <si>
    <t>SCHOOL REPORT CARD ( SF9)</t>
  </si>
  <si>
    <t>Procurement of Construction Supplies and Materials for the Construction of Makeshift School Building (Lourdes)</t>
  </si>
  <si>
    <t>Supply And Delivery of Various Drugs And Medicine Supplies (Batch1)</t>
  </si>
  <si>
    <t>CONSTRUCTION OF MULTI-PURPOSE BUILDING, Mahal na Pangalan, Calapan City</t>
  </si>
  <si>
    <t>SUPPLY &amp; DELIVERY OF DESKTOP COMPUTER - GOVERNOR'S OFFICE</t>
  </si>
  <si>
    <t>Provision of Catering Services for RTR Farmers Congress &amp; Launching of Dedicated and Committed Administration (DCA) Farm</t>
  </si>
  <si>
    <t>Supply and Delivery of Various Agricultural Equipment</t>
  </si>
  <si>
    <t>Procurement of Food Stuff</t>
  </si>
  <si>
    <t>Purchase and Delivery of 36 Units of Printer for the Department of Education ( DepEd)- District Office</t>
  </si>
  <si>
    <t>Purchase of Riso CV Master and Riso CV Ink</t>
  </si>
  <si>
    <t>Purchase of Office Equipment in the office of MSWD</t>
  </si>
  <si>
    <t>DRM - GARTER #2, BLACK &amp; 8 OTHERS (1st POSTING)</t>
  </si>
  <si>
    <t>SUPPLY AND DELIVERY OF 1,561 BOXES ROUND MOIST CAKES FOR PABIRTHDAY NI LOLO UG LOLA (3RD QUARTER)</t>
  </si>
  <si>
    <t>Procurement of Construction Supplies and Materials for the Improvement of Municipal Building</t>
  </si>
  <si>
    <t>Supply and Delivery of Spare Parts for use in the repair of Pick up SHR 667</t>
  </si>
  <si>
    <t>Supply and delivery of various construction supplies and materials for the repair of Drainage Canal and Pathway at Mlang National High School.</t>
  </si>
  <si>
    <t>Negotiated Procurement For Meals and Snacks, Venue and Accommodation</t>
  </si>
  <si>
    <t>Procurement of Various Medicines for STI/HIV - AIDS and National Tuberculosis Control Program of PHO  AMP-G-010-2020</t>
  </si>
  <si>
    <t>PROCUREMENT OF IT EQUIPMENT FOR BSE, LIBRARY, HRM, RECORDS OFFICE, CASH SECTION, GUIDANCE AND SSC</t>
  </si>
  <si>
    <t>To hire contractor to provide materials, labor and equipment for two (2) Infrastructure Projects (Manjuyod) (B-130-2020)</t>
  </si>
  <si>
    <t>PROCUREMENT OF MATERIALS FOR IMPROVEEMENT OF MULTI-PURPOSE HALL BRGY. L. TANAUAN</t>
  </si>
  <si>
    <t>Purchase of Materials for the Construction of Cadaver Niche at Municipal Public Cemetery</t>
  </si>
  <si>
    <t>CONSTRUCTION OF BNC OFFICE</t>
  </si>
  <si>
    <t>Supply and Delivery of Laptop Computer for use at the Cagayan Sports Complex Office</t>
  </si>
  <si>
    <t>RFQ for the Procurement of Fuel and Oil</t>
  </si>
  <si>
    <t>Purchase of KN95 Face mask.</t>
  </si>
  <si>
    <t>2 Units Laptop</t>
  </si>
  <si>
    <t>Supply and Delivery of Fruits, Eggs, Mongo Beans and Rice for Supplemental Feeding</t>
  </si>
  <si>
    <t>Procurement of Goods</t>
  </si>
  <si>
    <t>Procurement of Medical Equipment and supplies for the Use during COVID-19 Pandemic, Tagudin, Ilocos Sur</t>
  </si>
  <si>
    <t>Procurement of Medical Supplies for use of IPHO-TPH - B-G-2020-122</t>
  </si>
  <si>
    <t>To hire contractor to provide materials, labor and equipment for three (3) Infrastructure Projects (Bayawan) (B-132-2020)</t>
  </si>
  <si>
    <t>PROCUREMENT OF DENTAL SUPPLIES AND MEDICINES FOR HDSCP IMPLENTATION</t>
  </si>
  <si>
    <t>Supply and Delivery 1 Unit Multi-Purpose Vehicle 2.2L 4 In-Line 16 Valve DOHC with Turbocharged and etc.,</t>
  </si>
  <si>
    <t>Invitation to Bid on Construction of Municipal Agriculture Training Center @ MAO</t>
  </si>
  <si>
    <t>Purchase of Office Supplies and Equipment</t>
  </si>
  <si>
    <t>Procurement of Vehicle Spare Parts and Accessories</t>
  </si>
  <si>
    <t>PURCHASE AND DELIVERY OF 6 UNITS INTERNET MODEM AND SUBSCRIPTION FOR INTERNET SERVICES OF DENR - PENRO OCC. MDO. FOR CY 2020 (PHP77,958.000</t>
  </si>
  <si>
    <t>IB No. 2008-430 Proc. of Goods (Medicines)</t>
  </si>
  <si>
    <t>Supply and Delivery of Information Technology (IT) Equipment for the Municipal Engineering Office</t>
  </si>
  <si>
    <t>Invitation to Bid for the Completion of SLSU Multi-Purpose Court and Construction of Grandstand - 2nd Bidding</t>
  </si>
  <si>
    <t>Procurement of One (1) Lot Various Supplies and Devices</t>
  </si>
  <si>
    <t>CONCRETING AND/CONSTRUCTION OF VARIOUS INFRASTRUCTURE PROJECTS UNDER RA 7171 2019</t>
  </si>
  <si>
    <t>PERSONAL PROTECTIVE EQUIPMENT (PPE)</t>
  </si>
  <si>
    <t>4 can Bell Pepper, etc.</t>
  </si>
  <si>
    <t>Purchase of Medical Supplies and Laboratory Instruments</t>
  </si>
  <si>
    <t>101-20-08-RFQ1083 - USE FOR MEO OPERATION</t>
  </si>
  <si>
    <t>PROCUREMENT OF MEAL, SNACKS, VENUE RENTAL &amp; MATERIALS DURING THE PYAP MUNICIPAL YOUTH FEDERATION 3RD QUARTER MEETING ON SEPTEMBER 7, 2020</t>
  </si>
  <si>
    <t>Supply, Delivery and Installation of equipment for SSF Project on Cassava Chips Processing of Bengie Farmers Association in San Jose, PDI</t>
  </si>
  <si>
    <t>Earth Filling</t>
  </si>
  <si>
    <t>35 heads Piglets, black, etc.</t>
  </si>
  <si>
    <t>REQUEST OF QUOTATION (RFQ)  PROCUREMENT FOR PERSONAL PROTECTIVE EQUIPMENT RFQ No.092-2020</t>
  </si>
  <si>
    <t>Supply and Delivery of Snacks for the Advocacy Campaign on Responsible Parenthood and Promotion of Good Nutrition of MSWDO, Midsayap, Cotabato</t>
  </si>
  <si>
    <t>Purchase of Uniform for Special Operation use of POSO</t>
  </si>
  <si>
    <t>CS -PEDIA GOWN &amp; 5 OTHERS (4TH POSTING)</t>
  </si>
  <si>
    <t>Delivery of Parts needed for Various Equipment.(SVP 20-0732)</t>
  </si>
  <si>
    <t>20-08-259 Procurement of Construction Materials</t>
  </si>
  <si>
    <t>Supply and delivery of const. supplies and materials for the Installation of Water System Project at Barangay New Lawaan.</t>
  </si>
  <si>
    <t>Supply and Delivery of Information Technology (IT) Equipment for the Municipal Planning and Development Office</t>
  </si>
  <si>
    <t>Procurement of Various Inks</t>
  </si>
  <si>
    <t>RICE</t>
  </si>
  <si>
    <t>101-20-08-RFQ1082 - USE FOR MEO OPERATION</t>
  </si>
  <si>
    <t>RFQ CD4 CARTRIDGE</t>
  </si>
  <si>
    <t>Purchase of Military Stretcher.</t>
  </si>
  <si>
    <t>Repair of Barangay Hall</t>
  </si>
  <si>
    <t>PROCUREMENT OF COIN BANK AND PRINTING MATERIALS  (PB-LAP-2020-104)</t>
  </si>
  <si>
    <t>SUPPLY AND DELIVERY OF OFFICE SUPPLIES AND MATERIALS FOR VARIOUS LAW ENFORCEMENT AGENCIES</t>
  </si>
  <si>
    <t>SUPPLY &amp; DELIVERY OF CONSTRUCTION MATERIALS FOR CONSTRUCTION OF BARANGAY ISOLATION UNIT</t>
  </si>
  <si>
    <t>RFQ 2020-02-73 Procurement of two (2) Air Conditioning Units for OM-MHD</t>
  </si>
  <si>
    <t>Medical Supplies - FACE MASK KN95, EARLOOP</t>
  </si>
  <si>
    <t>Purchase of various Cartridge for reproduction machine – GSO</t>
  </si>
  <si>
    <t>Refurbishment/Upgrading of Old and Existing Building (Administration Building- Phase 2)</t>
  </si>
  <si>
    <t>Purchase of Mainline Couplings</t>
  </si>
  <si>
    <t>Supply and Delivery of 3.0 TR Air Conditioner for LCPC Section, LGU Midsayap, Cotabato</t>
  </si>
  <si>
    <t>Quotation No. 20-07-0418A- INK EPSON, 003, YELLOW</t>
  </si>
  <si>
    <t>Supply of Labor and Materials for the Concreting of Road at Purok 3 and 4, Brgy Lugam, City of Malolos</t>
  </si>
  <si>
    <t>Procuremtn of Tires and Spareparts</t>
  </si>
  <si>
    <t>Procurement of various Materials for the Construction of 6.0m X 6.0m Floor Area of Temporary Materials Recovery Facility for the Improvement of the Hospital Solid Waste Segregation</t>
  </si>
  <si>
    <t>PR NO. 2020-08-248 PURCHASE OF AIRCONDITION WINDOW TYPE 1.5HP (INVERTER) W/ COMPLETE ACCESSORIES (INCLUDING INSTALLATION) FOR USE IN THE DPWH COTTAGE OF THIS DISTRICT OFFICE.</t>
  </si>
  <si>
    <t>Procurement of eight (8) units Digital Duplicator (RISO) for making of learning of modules</t>
  </si>
  <si>
    <t>20CB-GSC-543	PURCHASE OF DRONE WITH GPS FOR CENRO (RE-BID)</t>
  </si>
  <si>
    <t>SUPPLY &amp; DELIVERY OF HARDWARE SUPPLIES &amp; MATERIALS</t>
  </si>
  <si>
    <t>8 UNIT TROLLEY SPEAKER</t>
  </si>
  <si>
    <t>PR NO. 1402 ISLAND BORN PUREBRED BOER DOES</t>
  </si>
  <si>
    <t>(PVSO) Procurement of Animal Feeds and Veterinary Supplies For the Provincial Veterinary Services Office--116,190.00</t>
  </si>
  <si>
    <t>Procurement of Hand Tractor</t>
  </si>
  <si>
    <t>Purchase of various Papers for inventory purposes of GSO</t>
  </si>
  <si>
    <t>Procurement of School Supplies for Module Reproduction</t>
  </si>
  <si>
    <t>PURCHASE OF LOYALTY RING &amp; PIN</t>
  </si>
  <si>
    <t>Purchase of Office Supplies for MEEDMO – Waterworks use</t>
  </si>
  <si>
    <t>Purchase of Typewriter - MSWDO</t>
  </si>
  <si>
    <t>ANTI-BODY TESTING KIT</t>
  </si>
  <si>
    <t>VALUES TRANSFORMATION TRAINING</t>
  </si>
  <si>
    <t>To hire contractor to provide materials, labor, and equipment for the “Concreting of Roads-Mercedes Subdivision, Brgy. Panubigan, Canlaon City, Negros Oriental” (B-131-2020)</t>
  </si>
  <si>
    <t>KITANG-KITA ANG DAGDAG KITA_LIVELIHOOD PROJECT</t>
  </si>
  <si>
    <t>Procurement of IV Fluids for the use of Ibajay District Hospital, Ibajay, Aklan</t>
  </si>
  <si>
    <t>REQUEST FOR SUPPLY AND DELIVERY OF KNAPSACK SPRAYER</t>
  </si>
  <si>
    <t>Procurement of Various Laboratory Supplies for use at the Laboratory Section of IPHO-TPH - B-G-2020-123</t>
  </si>
  <si>
    <t>SUPPLY AND DELIVERY OF SEVEN THOUSAND ONE HUNDRED FORTY-THREE (7,143) SACHETS PLANT GROWTH ENHANCER  (FOLIAR FERTILIZER)</t>
  </si>
  <si>
    <t>EBMS -TEX SCREW &amp; 1 OTHER (1ST POSTING)</t>
  </si>
  <si>
    <t>Procurement of Goods for Catering Services</t>
  </si>
  <si>
    <t>1 set DSLR Camera</t>
  </si>
  <si>
    <t>SUPPLY AND DELIVERY OF IT EQUIPMENTS</t>
  </si>
  <si>
    <t>EBMS -CEMENT, PORTLAND (1ST POSTING)</t>
  </si>
  <si>
    <t>SUPPLY AND DELIVERY OF VARIOUS I.T SUPPLIES (WEBCAM, MICROPHONE ETC..)</t>
  </si>
  <si>
    <t>RFQ for the Procurement of Livestock (Piglets)</t>
  </si>
  <si>
    <t>OFFICE EQUIPMENT FOR THE OFFICE OF THE MAYOR</t>
  </si>
  <si>
    <t>PB SUPPLY AND DELIVERY OF OFFICE SUPPLIES – FOR 2020</t>
  </si>
  <si>
    <t>Request for Quotation for Supply and Delivery of HDPE Pipes</t>
  </si>
  <si>
    <t>Procurement of Various Office Supplies and Devices</t>
  </si>
  <si>
    <t>PROCUREMENT FOR FUEL, OIL AND LUBRICANT</t>
  </si>
  <si>
    <t>Purchase of PVC ID Printer w/ complete accessories</t>
  </si>
  <si>
    <t>Construction of Tanglawan Festival Murals, Brgy. Poblacion I, City of san Jose Del Monte, Bulacan</t>
  </si>
  <si>
    <t>Catering Services - UCT</t>
  </si>
  <si>
    <t>Supply and Delivery of Equipment for SSF for Food Processing for LGU of San Leonardo, Nueva Ecija</t>
  </si>
  <si>
    <t>Supply and Delivery of Materials for Repair of Floating Kiosk</t>
  </si>
  <si>
    <t>Supply &amp; Delivery of Various Supplies and Equipment for Sports and Recreation of PDL’s at SPPF (1Lot)</t>
  </si>
  <si>
    <t>Medical Supplies - FACE MASK N95, EARLOOP</t>
  </si>
  <si>
    <t>Construction of Solid Waste Management and Greening Program Projects in Various Barangays</t>
  </si>
  <si>
    <t>Mobile Library</t>
  </si>
  <si>
    <t>supply and delivery of hardware materials for the construction of canal lining within school ground(Sabangan)</t>
  </si>
  <si>
    <t>VARIOUS SPAREPARTS FOR THE REPAIR AND MAINTENANCE OF TRUCKS AND SERVICE MOTORCYCLE</t>
  </si>
  <si>
    <t>DRM - CARBON FIBER CLOTH 1X1 METER &amp; 21 OTHERS (1st POSTING)</t>
  </si>
  <si>
    <t>101-20-08-RFQ1081 - USE FOR MOTORPOOL &amp; MEO OPERATION</t>
  </si>
  <si>
    <t>Cheest Freezer et. al</t>
  </si>
  <si>
    <t>Supply and Delivery of Meals &amp; Snacks for IWASH Council and BHW Core Group Meeting and Triggering, LGU Midsayap, Cotabato</t>
  </si>
  <si>
    <t>COMPLETE SET RECORDER WITH ACCESSORIES</t>
  </si>
  <si>
    <t>Pre Disaster Supplies and Equipments</t>
  </si>
  <si>
    <t>To Support The Logistical Requirements of OG4,1ID,PA</t>
  </si>
  <si>
    <t>SUPPLY &amp; DELIVERY OF PLUMBING SUPPLIES &amp; MATERIALS (REHABILITATION OF POTABLE WATER SYSTEM)</t>
  </si>
  <si>
    <t>POWER SUPPLY</t>
  </si>
  <si>
    <t>Supply and Delivery of Construction Materials for the Repair of Buildings, Flooring, &amp; Water Systems of Different Barangays, Midsayap, Cotabato</t>
  </si>
  <si>
    <t>SUPPLY &amp; INSTALLATION OF FEEDER LINE FOR IT SERVER ROOM</t>
  </si>
  <si>
    <t>20GGI0044 - Supply/delivery of Oil for use of Heavy Equipment Hino 300S (H3-6842) and UD Croner (H3L-6744/UOL-034 assigned at the Maintenance Section, DPWH, Iloilo 4th District Engineering Office, Ilo</t>
  </si>
  <si>
    <t>Supply and Delivery of materials for the Construction of Concrete Drainage Canal at Bgy. Bohol, Dumaran, Palawan</t>
  </si>
  <si>
    <t>continuing construction of evacuation center phase IX</t>
  </si>
  <si>
    <t>Procurement of Construction Supplies and Materials (Analoc Swing Door)</t>
  </si>
  <si>
    <t>IMPROVEMENT OF OLD MUNICIPAL BUILDING</t>
  </si>
  <si>
    <t>various water connection fittings</t>
  </si>
  <si>
    <t>INVITATION TO BID FOR PURCHASE OF MATERIALS FOR  REHABILITATION OF TALISAYAN CENTRAL SCHOOL BUILDING</t>
  </si>
  <si>
    <t>ITB ON REHABILITATION OF CONCRETE GUTTER ALONG POBLACION</t>
  </si>
  <si>
    <t>CLEARING OF BARANGAY ROAD</t>
  </si>
  <si>
    <t>20CB-GSC-544	PURCHASE OF ENGINE OIL FOR VET (RE-BID)</t>
  </si>
  <si>
    <t>CONSTRUCTION OF WATER SYSTEM</t>
  </si>
  <si>
    <t>INSTALLATION OF DEDICATED INTERNET ACESS VIA FIBER OPTIC CONNECTION</t>
  </si>
  <si>
    <t>PURCHASE OF BOULDERS, GRAVEL AND SAND FOR THE REHABILITATION/IMPROVEMENT OF LOCAL ACCESS ROAD W/ DRAINAGE IMPROVEMENT</t>
  </si>
  <si>
    <t>Purchase of Materials for Construction of Lavatories of Daycare Centers in San Andres, Romblon</t>
  </si>
  <si>
    <t>Purchase of Printer (Monochrome) and Ink (Black, T774)</t>
  </si>
  <si>
    <t>Supply, Delivery and Installation of Equipment for SSF Project on Palaw Processing for Liberty Women Association of Liberty Women Association of Loreto, PDI</t>
  </si>
  <si>
    <t>For Preventive Maintenance at PS 25 Tagbay &amp; PS 18 GSIS Cogon</t>
  </si>
  <si>
    <t>Procurement of Construction Supplies and Materials for the Improvement of Public Building</t>
  </si>
  <si>
    <t>RFQ 2020-03-158 Procurement of Air Conditioning Unit with Installation for MBB</t>
  </si>
  <si>
    <t>PROCUREMENT OF BANANA PLANTLETS FOR EARLY CHILDHOOD CARE AND DEVELOPMENT (ECCD) FOR THE FIRST 1000 DAYS PROGRAM (F1K) OF NATIONAL NUTRITION COUNCIL</t>
  </si>
  <si>
    <t>Supply and delivery of 2 Drums Calcium hydrochlorite (chlorine granules 40kls/drum) and other various items.</t>
  </si>
  <si>
    <t>Supply and Delivery of Provisioning, Maintenance, Support, Implementation of a Learning Management System (LMS) Environment and Delivery Related Services</t>
  </si>
  <si>
    <t>Procurement of Video Laryngoscope for se of the Anesthesia Department of the IPHO-TPH  AMP-G-009-2020</t>
  </si>
  <si>
    <t>Supply and Delivery of Nine (9) Units Service Vehicle Canopy with Complete Accessories (Fabrication and Installation) (2nd Posting)</t>
  </si>
  <si>
    <t>Industrial Air Cooler/Fan</t>
  </si>
  <si>
    <t>CONSTRUCTION OF REINFORCED CONCRETE PIPE (RCP DRAINAGE) PUROK OLD LINAO</t>
  </si>
  <si>
    <t>IB No. 2008-431 Proc. of Goods (Gasifier Pyrolysis/Advance Waste Solution)</t>
  </si>
  <si>
    <t>REQUEST FOR QUOTATION - DIESEL FUEL</t>
  </si>
  <si>
    <t>Hardware materials</t>
  </si>
  <si>
    <t>Supply and Delivery of Meals and Snacks for Sangguniang Panlungsod Office</t>
  </si>
  <si>
    <t>Procurement of Office Supplies and Consumables</t>
  </si>
  <si>
    <t>Medical Forms</t>
  </si>
  <si>
    <t>Purchase of 70 pieces Thermometer Gun for the operational use in the Office of the Mayor for MDRRMO</t>
  </si>
  <si>
    <t>REQUEST FOR QUOTATION-Aircondition Split</t>
  </si>
  <si>
    <t>Purchase of Fuel and Lubricants</t>
  </si>
  <si>
    <t>Supply of Labor and Materials for the Upgrading of Road at Sitio Bukid, Brgy Anilao, City of Malolos</t>
  </si>
  <si>
    <t>Supply and Delivery of Safety  Equipment.</t>
  </si>
  <si>
    <t>PACKAGE 06-2020</t>
  </si>
  <si>
    <t>supplying various materials and supplies for Waste Management and Disinfection use during Covid Pandemic, PHO, Boac, Marinduque</t>
  </si>
  <si>
    <t>MATERIALS FOR THE IMPROVEMENT OF COVERED COURT</t>
  </si>
  <si>
    <t>Purchase and Delivery of Industrial Fan and Work Station</t>
  </si>
  <si>
    <t>TPB-PR 2020.08.238 SHUTTLE SERVICES FOR THE MONTH OF SEPTEMBER 2020</t>
  </si>
  <si>
    <t>2020-08-0037 Purchase of Materials for the Application of Thermoplastic Pavement Markings (Rumble Strip) along Daang Maharlika (Agusan-Davao Road), Davao del Norte</t>
  </si>
  <si>
    <t>Supply And Delivery of Various Drugs And Medicine Supplies (Batch 2)</t>
  </si>
  <si>
    <t>Repair and Maintenance of Machinery and Equipment for MEEDMO – Market use</t>
  </si>
  <si>
    <t>Reflectorize Vest</t>
  </si>
  <si>
    <t>Professional Fee for Designer (2 Designs or Labels with Brand/Logo - 25 MSMEs) re: Assessment, Consultation and Triage (ACT) OTOP Next Gen (ONG) Program of DTI-ZDS in Pagadian City</t>
  </si>
  <si>
    <t>Medical Supplies - SURGEONS FACE MASK (EARLOOP 50'S)</t>
  </si>
  <si>
    <t>Printing and Delivery of Wall Calendar with Metal Hanger Hook</t>
  </si>
  <si>
    <t>FURNISHING AND DELIVERY OF TWO (2) UNITS LAPTOP</t>
  </si>
  <si>
    <t>Supply and delivery of medical  equipment for use in the quarantine facilities of Mlang.</t>
  </si>
  <si>
    <t>20CB-GSC-547 PURCHASE OF DIESEL AND GASOLINE (RE-BID)</t>
  </si>
  <si>
    <t>Proposed Interior Fit-Out of Ground Floor, UP Manila Student Dormitory, University of the Philippines Manila.</t>
  </si>
  <si>
    <t>Supply and Delivery of Laboratory Chairs</t>
  </si>
  <si>
    <t>PROCUREMENT OF EDUCATIONAL SUPPLIES OF BCT ELEMENTARY SCHOOL</t>
  </si>
  <si>
    <t>SUPPLIES AND DELIVERIES FOR THE SAFEKEEPING OF MILK STOCKS FOR THE IMPLEMENTATION OF SCHOOL BASED - FEEDING PROGRAM (SBPFP) - MILK FEEDING PROGRAM COMPONENT</t>
  </si>
  <si>
    <t>Calibration of Manual Ambient Air Quality Monitoring Equipment</t>
  </si>
  <si>
    <t>Procurement of Goods (Photocopy Machines) - Re-advertised</t>
  </si>
  <si>
    <t>Repair of Generator</t>
  </si>
  <si>
    <t>Construction projects of Pumping Station 3 at Brgy. Flores, San Manuel, Pangasinan.</t>
  </si>
  <si>
    <t>ELECTRIC WALL FAN</t>
  </si>
  <si>
    <t>Supply, Delivery and Installation of 5-Color Printer of SDSSU Tandag Campus</t>
  </si>
  <si>
    <t>Supply and Delivery of Supplies</t>
  </si>
  <si>
    <t>Supply and delivery of 720kg. Fish, 579 kg. Pork, 579kg, Chicken and 210bundles Vegetables for Supplemental Feeding Program of MSWDO</t>
  </si>
  <si>
    <t>Procurement of Construction Supplies and Materials for the Installation of RCPC Drainage System in Public Market</t>
  </si>
  <si>
    <t>Purchase and Delivery of Office Equipment</t>
  </si>
  <si>
    <t>SVP No. 2020-0008 Purchase of One Thousand Five Hundred (1,500) pcs. Face Shields; Eight Hundred (800) boxes Surgical Face Mask; Five Hundred (500) pcs. N95 Mask and Two Hundred Fifty (250) pcs. Dispo</t>
  </si>
  <si>
    <t>800 pcs OXYGEN MASK, ADULT, WITH BAG</t>
  </si>
  <si>
    <t>PRN 052-WORKTEXT 2020-LSB-GOODS-2020</t>
  </si>
  <si>
    <t>Procurement of Medical Supplies and Laboratory</t>
  </si>
  <si>
    <t>SUPPLY OF MATERIALS FOR THE FABRICATION OF SIGNAGE/BILLBOARDS</t>
  </si>
  <si>
    <t>BU 68 - Supply and Delivery of Printer Ink</t>
  </si>
  <si>
    <t>Purchase of Handheld Radio for the Traffic Enforcer use</t>
  </si>
  <si>
    <t>Procurement of Electrical Supplies and Materials for the Installation of UV Disinfecting E27 LED 60W UV Germicidal Lamp with Remote Control UVC (Ultraviolet Corn Bulb)- PPF OMSC Labangan</t>
  </si>
  <si>
    <t>Supply and Delivery of Personalized Diploma Holder for the  Three (3) Campuses of MinSCAT</t>
  </si>
  <si>
    <t>PURCHASE OF ASSORTED CONSTRUCTION MATERIALS FOR THE REHABILITATION/IMPROVEMENT OF LOCAL ACCESS ROAD W/ DRAINAGE IMPROVEMENT</t>
  </si>
  <si>
    <t>20CB-GSC-545	PURCHASE OF GENERAL MERCHANDISE (RE-BID)</t>
  </si>
  <si>
    <t>Procurement of 20 Units Steel Racks and 2 Units Lateral Cabinets</t>
  </si>
  <si>
    <t>Purchase of various medicines at Barangay Pob. IV, Tanauan City, Batangas</t>
  </si>
  <si>
    <t>2020-08-0038 Supply and Delivery of Electrical Supplies for use in the Office of the District Engineer (Administrative Section)</t>
  </si>
  <si>
    <t>200 pcs CERTOFIX MONOPAED S110</t>
  </si>
  <si>
    <t>Excavation of Critical Slope</t>
  </si>
  <si>
    <t>Purchase and Delivery of Office Supplies - MO</t>
  </si>
  <si>
    <t>Supply and Delivery of Supplies for MRF</t>
  </si>
  <si>
    <t>PR NO. 2020-08-247 PURCHASE OF VARIOUS FURNITURE PARTS AND ACCESSORIES FOR USE IN THE DPWH COTTAGE OF THIS OFFICE.</t>
  </si>
  <si>
    <t>Diesel Fuel - D.A.</t>
  </si>
  <si>
    <t>Supply and Delivery of Table Top Vacuum Sealer - ITB 056-2020 GQ</t>
  </si>
  <si>
    <t>Supply of Labor and Materials for the Concreting of NIA Road at Pinagbakahan, City of Malolos</t>
  </si>
  <si>
    <t>SUPPLY AND DELIVERY OF INFORMATION SUPPLIES AND EQUIPMENT</t>
  </si>
  <si>
    <t>Purchase of 1-Unit Multicab</t>
  </si>
  <si>
    <t>2020-17-S- Supply and Delivery of Office Supplies (Arch File)</t>
  </si>
  <si>
    <t>Supply and Delivery of  Personal Protective Gear.</t>
  </si>
  <si>
    <t>Purchase of Decortication Machine for the use of CENRO</t>
  </si>
  <si>
    <t>Supply of Office Equipment</t>
  </si>
  <si>
    <t>PR NO. 1358 ISLAND BORN PUREBRED</t>
  </si>
  <si>
    <t>90 pcs BREATHING CIRCUIT FOR PARAPAC</t>
  </si>
  <si>
    <t>Supply of Labor and Materials for the Upgrading of Pathway at Purok 4, Calero, City of Malolos</t>
  </si>
  <si>
    <t>S &amp; D of Office and Other Supplies (RTC)</t>
  </si>
  <si>
    <t>20CB-GSC-546	INSTALLATION OF CCTV CAMERA (TRUST FUND)</t>
  </si>
  <si>
    <t>Procurement of Live Animals (Piglet) for Livelihood Assistance at Barangay Luzon, Claveria, Cagayan</t>
  </si>
  <si>
    <t>Concreting of Barangay Road</t>
  </si>
  <si>
    <t>Supply and Delivery for Hardware Supplies</t>
  </si>
  <si>
    <t>Construction of Diversion Works, Canal System and Access Road of Castillo CIS</t>
  </si>
  <si>
    <t>Purchase of Long Sleeve Uniform and Customized Mask for BPAT and LGU Personnel</t>
  </si>
  <si>
    <t>2020-08-0039 Supply and Delivery of spare parts for use  in the replacement of defective parts of H3-6118 Isuzu Dump Truck, H-11-129 Sakai Road Maintainer, H1-5120 Toyota Hilux Pick-up, H3-6623 Hino D</t>
  </si>
  <si>
    <t>Supply and delivery of 3 units Heavy Duty Biomass Shredder Machine to be awarded to farmer-cooperators of the Adaptation and Mitigation Initiative in Agriculture (AMIA) Program</t>
  </si>
  <si>
    <t>PURCHASE OF ULTRAVIOLET LAMP &amp; AIR HUMIDEFIER FOR COVID 19 USE</t>
  </si>
  <si>
    <t>SUPPLY &amp; DELIVERY OF 10 UNITS HANDHELD RADIO</t>
  </si>
  <si>
    <t>Supply and Delivery of Fuel</t>
  </si>
  <si>
    <t>SVP No. 2020-0009 Purchase of Essential Non-Contact Supplies for Covid-19 Measures</t>
  </si>
  <si>
    <t>Concreting of Road Leading to Barangay Luca</t>
  </si>
  <si>
    <t>7 Units of Desktop Computer</t>
  </si>
  <si>
    <t>PRINTER</t>
  </si>
  <si>
    <t>Procurement of External HDD</t>
  </si>
  <si>
    <t>Purchase of Janitorial Supplies (Drum) for the operational use by DEP ED in this municipality.</t>
  </si>
  <si>
    <t>STAND FAN</t>
  </si>
  <si>
    <t>PR No. 020-08-080 - Diesoline 12,000 ltrs FOR use in the PDS. FMS, QAS, CONST., DE AND ADE SECTION</t>
  </si>
  <si>
    <t>PROCUREMENT AND DELIVERY OF OFFICE SUPPLIES</t>
  </si>
  <si>
    <t>CONSTRUCTION OF BASKETBALL COURT BLEACHER AND IMPROVEMENT OF THE PUNONG BARANGAY OFFICE AT POB. NORTE, SISON, PANGASINAN</t>
  </si>
  <si>
    <t>Procurement of 1 Unit Rental of Payloader SDLG L956F.</t>
  </si>
  <si>
    <t>10000 I.D. BAND, ADULT, WHITE</t>
  </si>
  <si>
    <t>PR. 20-02-127 (i. 1-2,4,6-7) (2020-08-301) PROCUREMENT OF LABORATORY SUPPLIES</t>
  </si>
  <si>
    <t>PROCUREMENT OF URINE PREGNANCY TEST  (PB-LAP-2020-105)</t>
  </si>
  <si>
    <t>PROCUREMENT OF SUPPLIES FOR DISTRICT III SUBSIDY KIBURIAO C/S</t>
  </si>
  <si>
    <t>Purchase and Delivery of Cell cards</t>
  </si>
  <si>
    <t>20GGI0045 - Supply/delivery of IT Equipment and Supplies for use in Planning and Design Section, DPWH, Iloilo 4th District Engineering Office, Iloilo</t>
  </si>
  <si>
    <t>Supplies for COVID-19 prevention for SDO personnel</t>
  </si>
  <si>
    <t>INVITATION TO BID FOR THE SUPPLY AND DELIVERY OF VARIOUS GOODS  FOR LSIs and ROFs IN THE ISOLATION/QUARANTINE FACILITY AND  85,000 PCS CLOTH FACE MASKS FOR ALL CONSTITUENTS OF OROQUIETA CITY</t>
  </si>
  <si>
    <t>RICE COOKER</t>
  </si>
  <si>
    <t>Calibration of Continuos Ambient Air Quality Monitoring Station - Particulate matter System (CAAQMS-PMS)</t>
  </si>
  <si>
    <t>PROJECT: PURCHASE OF OFFICE SUPPLIES</t>
  </si>
  <si>
    <t>Procurement of Personal Protective Equipment</t>
  </si>
  <si>
    <t>20GG0074-G - Procurement of Materials Used in the Repair/Maintenance of Aglalana Bridge (B00195PN) along Iloilo-Capiz Road (New Route) of DPWH Iloilo 2nd DEO, Balabag, Dumangas Iloilo.</t>
  </si>
  <si>
    <t>Supply and Delivery of Construction Materials - ITB 055-2020 GQ</t>
  </si>
  <si>
    <t>Supply &amp; Delivery of Various Drugs &amp; Medicine Supplies (Batch 3)</t>
  </si>
  <si>
    <t>Supply &amp; delivery of School supplies  at Barangay Ulango, Tanauan City, Batangas</t>
  </si>
  <si>
    <t>Purchase of Laboratory Supply</t>
  </si>
  <si>
    <t>TERMITE CONTROL PROGRAM AT LUXE DUTY FREE</t>
  </si>
  <si>
    <t>2020-08-0040 Supply and Delivery of photocopier parts (ineo+258) for use in the office of the District Engineer (Construction Section)</t>
  </si>
  <si>
    <t>FURNISHING AND DELIVERY OF MEDICAL SUPPLIES</t>
  </si>
  <si>
    <t>Disaster Risk Reduction Management Program</t>
  </si>
  <si>
    <t>MATERIALS FOR THE CONCRETING OF BARANGAY ROAD</t>
  </si>
  <si>
    <t>Supply and installation of main disconnect service breaker</t>
  </si>
  <si>
    <t>SUPPLY AND DELIVERY OF PROCESSED ROCKSALT FOR WATER SOFTENER (PRE-CLEANSED &amp; PRE-WASHED)</t>
  </si>
  <si>
    <t>Gasoline - MHO</t>
  </si>
  <si>
    <t>500 gal ANTIBACTERIAL LIQUID HAND SOAP</t>
  </si>
  <si>
    <t>PURCHASE OF MEDICINES FOR MUNICIPAL HEALTH OFFICE USE</t>
  </si>
  <si>
    <t>2020-08-0041 Purchase of Common office supplies &amp; Janitorial supplies for the Maintenance Section</t>
  </si>
  <si>
    <t>ANNUAL RENTAL OF COPIER MACHINE (2020-2021)</t>
  </si>
  <si>
    <t>Supply and Delivery of Materials for Replacement and Repair of DWD Main Pipes</t>
  </si>
  <si>
    <t>(GO-EXEC/ADMIN) INVITATION TO BID FOR THE SUPPLY AND DELIVERY OF 250 UNITS COLLAPSIBLE TENTS WITH LOGO</t>
  </si>
  <si>
    <t>20GMH076 - Supply/Delivery of Fuel and Oil Lubricants for Use of Various Vechicle,Chainsaw and Grass Cutter Assigned in Maintenance Section</t>
  </si>
  <si>
    <t>Diesel Fuel - MEO</t>
  </si>
  <si>
    <t>Purchase of Office Equipment for MHO</t>
  </si>
  <si>
    <t>Medical Supplies - COVER SUIT WHITE</t>
  </si>
  <si>
    <t>Procurement of Air-Conditioning Units</t>
  </si>
  <si>
    <t>SVP No. 2020-0010 Purchase of 70% Isopropyl ALcohol</t>
  </si>
  <si>
    <t>Equipoment for the reproduction of ALS Modules and materials in the different learning centers</t>
  </si>
  <si>
    <t>supply and delivery of hardware materials use for the rehabilitation of RHU building and improvement/maintenance/repair of various water system (improvement of rimut spring development)</t>
  </si>
  <si>
    <t>Supply and Delivery of Various Materials for New Installation of Mainline at Sitio Tarog, Brgy. Camandag</t>
  </si>
  <si>
    <t>Supply of Labor and Materials for the Concreting of Road at Brgy Ligas, City of Malolos</t>
  </si>
  <si>
    <t>Supplies for downloading and printing of learning modules for TSHI-Annex (Bokod)</t>
  </si>
  <si>
    <t>Purchase of Medical Supplies CMH</t>
  </si>
  <si>
    <t>ICT SPARE PARTS (100,000.00)</t>
  </si>
  <si>
    <t>Supply of Office Furniture and Fixtures for barangay @ Palindan, Ibaan, Batangas</t>
  </si>
  <si>
    <t>AID TO BARANGAYS (PURCHASE OF MOTORCYCLES) (RE-BIDDING)</t>
  </si>
  <si>
    <t>Procurement of Sound System Package</t>
  </si>
  <si>
    <t>DRM - ALUMINUM FLAT BAR &amp; 26 OTHERS (1st POSTING)</t>
  </si>
  <si>
    <t>Medical Supplies - FACE SHIELD</t>
  </si>
  <si>
    <t>Food Commodities for Frontliners</t>
  </si>
  <si>
    <t>2020-08-0042 Supply and Delivery of Office Supplies, Office Equipment Consumables &amp; Janitorial Supplies for use in the Office of the District Engineer (Construction Section)</t>
  </si>
  <si>
    <t>Supply and delivery of animal/zoological supplies to be used in the prevention and control of animal diseases in support to Animal Health Program for CY 2020 under the Livestock Banner Program</t>
  </si>
  <si>
    <t>Lay-outing, Fabrication and Installation of Signages (G-20-06)</t>
  </si>
  <si>
    <t>Concreting of Road at Palanas, Barangay Sta. Cruz Viejo</t>
  </si>
  <si>
    <t>20GG0075-G - Procurement of two (2) units Face Recognition Access Controller for use in the office of DPWH Iloilo 2nd DEO, Balabag, Dumangas, Iloilo, in relation to Covid-19</t>
  </si>
  <si>
    <t>SUPPLY AND DELIVERY OF PERACETIC ACID</t>
  </si>
  <si>
    <t>Procurement of Security Services for the Municipal Government of Lobo, Batangas</t>
  </si>
  <si>
    <t>Provision of Maternal Package for Pregnant Women (OB Check Up with Utlrasound)</t>
  </si>
  <si>
    <t>Supply of Meals and Snacks</t>
  </si>
  <si>
    <t>Purchase and Delivery of Commercial Rice</t>
  </si>
  <si>
    <t>Procurement of Supplies for the Reproduction of Learning Materials</t>
  </si>
  <si>
    <t>Procurement of Painting materials for the repaiting of Road signage post along Pagadian- Z.C. - Labuan - Limpapa Road</t>
  </si>
  <si>
    <t>Procurement Toner</t>
  </si>
  <si>
    <t>Procurement of Two (2) Units Motor Vehicles</t>
  </si>
  <si>
    <t>30 box IOBAN 6650, 10'S</t>
  </si>
  <si>
    <t>Purchase and Delivery of INFORMATION, COMMUNICATION EQUIPMENT (DESKTOP) OF MUNICIPAL PLANNING AND DEVELOPMENT OFFICE, LGU-BAYOMBONG, NUEVA VIZCAYA.</t>
  </si>
  <si>
    <t>OFFICE EQUIPMENT SUPPLIES AND CONSUMABLES</t>
  </si>
  <si>
    <t>Supply of Materials for the Construction of Drainage at Brgy Santor, City of Malolos</t>
  </si>
  <si>
    <t>Drilling of One (1) Unit Exploratory/Production Well</t>
  </si>
  <si>
    <t>Procurement of Supplies and Materials for the Construction of Handwashing Stations at BatstateU Alangilan Campus</t>
  </si>
  <si>
    <t>Procurement of Community Billboard</t>
  </si>
  <si>
    <t>FURNITURE (JUNIOR HIGH BACK CHAIR)</t>
  </si>
  <si>
    <t>Other Supplies &amp; Materials (PR No. 100-2020-0273, 0918, 0921, 0923 &amp; 0925) - OPAG</t>
  </si>
  <si>
    <t>Procurement of Catering Services (for Sinabbadan Festival)</t>
  </si>
  <si>
    <t>Purchase of various supplies and materials or the use of Bgry. Piangbuhatab, Pasig City</t>
  </si>
  <si>
    <t>08-PR-2020-0051 FOR USE OF VARIOUS HEAVY EQUIPMENT &amp; SERVICE VEHICLES</t>
  </si>
  <si>
    <t>Purchase of Medical Supply</t>
  </si>
  <si>
    <t>2020-08-0043 Purchase of Premium Fuel for use in the Office of the District Engineer (Construction Section)</t>
  </si>
  <si>
    <t>Supply of Labor and Materials for Upgrading of Road and Pathways at Purok Wakas, Brgy Mambog</t>
  </si>
  <si>
    <t>CONSTRUCTION OF SOLAR LIGHTING-BARANGAY COLAMBUTAN BAJO</t>
  </si>
  <si>
    <t>Procurement of Air Purifier, 8-stage</t>
  </si>
  <si>
    <t>Catering Services</t>
  </si>
  <si>
    <t>PROCUREMENT OF LAPTOP WITH COMPLETE ACCESSORIES (Municipal Environment and Natural Resources Office)</t>
  </si>
  <si>
    <t>Procurement of Painting materials for use in the repainting of railings along Z.C. Road within K906+000 to K1916+000</t>
  </si>
  <si>
    <t>20GMH077 - Supply/Delivery of Spareparts for Use of Service Vehicle AssignedatPlanningandDesignSection,DPWH-SultanKudarat 2nd District Engineering Office</t>
  </si>
  <si>
    <t>Purchase of Medical Supplies for CMH</t>
  </si>
  <si>
    <t>Road Maintenance</t>
  </si>
  <si>
    <t>Medical Supplies - SURGEONS FACE MASK, EARLOOP (50'S)</t>
  </si>
  <si>
    <t>Janitorial Supplies</t>
  </si>
  <si>
    <t>Supply And Delivery of Various Drugs And Medicine Supplies (Batch 4)</t>
  </si>
  <si>
    <t>20GLC0009 41X – Emergency Projects (Embankment of Roadslip) along Kapalong-Talaingod-Valencia-Bukidnon Road K1522+000 – K1525+000, Davao del Norte</t>
  </si>
  <si>
    <t>Concreting of Barangay Road at Sitio Nabulagan, Barangay 6</t>
  </si>
  <si>
    <t>Purchase of Office Supplies - MHO</t>
  </si>
  <si>
    <t>Purchase of Risograph machine DepEd Central District</t>
  </si>
  <si>
    <t>Supply and Delivery of 750 Pcs. LED Street Lights 100-120 watts, 220 volts, Day Light with 5 years warranty and other various various items.</t>
  </si>
  <si>
    <t>Spare parts for the B3E-195</t>
  </si>
  <si>
    <t>ITB 2020-03 Procurement of Aircon with Installation</t>
  </si>
  <si>
    <t>Supply and Delivery of Various Plumbing Materials</t>
  </si>
  <si>
    <t>Procurement of Meals and Snacks for the Division Management Committee Meeting</t>
  </si>
  <si>
    <t>PMS</t>
  </si>
  <si>
    <t>Purchase of Office Supplies - Office of the Auditor</t>
  </si>
  <si>
    <t>DSWD7-20-0905; Van Rental</t>
  </si>
  <si>
    <t>Provision of 160 pax Meals and Snacks for the conduct of  Consultative Meeting on the Proposed Hotspot and Radiation Areas for Fall Armyworm (FAW) Monitoring and Surveillance for Main Corn Cropping Se</t>
  </si>
  <si>
    <t>AUTOMATED EXTERNAL DIFIBRILLATOR (AED)</t>
  </si>
  <si>
    <t>MODULE KINDER TO GRADE 6</t>
  </si>
  <si>
    <t>Purchase of Risograph machine DepEd Carmen Central ES</t>
  </si>
  <si>
    <t>Medical Supplies - GLOVES EXAMINATION LATEX NON-POWDERED</t>
  </si>
  <si>
    <t>Research</t>
  </si>
  <si>
    <t>Re-bidding:PR No. 2020-02-0190-MAIN-Supply and Delivery of Hotel Housekeeping Instructional and Laboratory Materials for the College of Business Arts and Sciences</t>
  </si>
  <si>
    <t>Supply and Delivery of 370 Units 40” Smart TVs For The For The Implementation of the Basic Education  Learning Continuity Plan (BE-LCP)</t>
  </si>
  <si>
    <t>Purchase of Risograph machine DepEd Kiabayao ES</t>
  </si>
  <si>
    <t>(DDH) INVITATION TO BID FOR THE SUPPLY AND DELIVERY OF MEDICAL, LABORATORY &amp; X-RAY SUPPLIES</t>
  </si>
  <si>
    <t>PROCUREMENT OF ONE (1) YEAR MAINTENANCE OF DICT FIBER OPTIC CABLE (FOC) NETWORK IN ILOILO CITY</t>
  </si>
  <si>
    <t>PETROLEUM, OIL AND LUBRICANTS (POL) FOR REHABILITATION OF SALUG FMR &amp; ROAD GRAVELLING BARANGAY PIGLAWIGAN ESPERANZA, AGUSAN DEL SUR.</t>
  </si>
  <si>
    <t>20GMH078 - Supply/Delivery of Office Supplies and IT Equipment for UseofProcurementStaff,DPWH-SultanKudarat2ndDistrict Engineering Office</t>
  </si>
  <si>
    <t>Food Supplies for the Month of September</t>
  </si>
  <si>
    <t>General merchandise</t>
  </si>
  <si>
    <t>Procurement of Janitorial Supplies for Batstateu 2nd Quarter of 2020</t>
  </si>
  <si>
    <t>Purchase of Risograph machine DepEd Ranzo NHS</t>
  </si>
  <si>
    <t>Vehicle Parts &amp; Accessories (PR No. 100-2020-0636, 0640, 0867 &amp; 1048) - Various Offices</t>
  </si>
  <si>
    <t>Supply &amp; Delivery of 50kvs Transformer including Installation</t>
  </si>
  <si>
    <t>Purchase of Office Supplies &amp; Equipment for Office of Senior Citizen  and Persons with Disability (PWD) of  San Andres, Romblon</t>
  </si>
  <si>
    <t>Construction of Flood Control (Gabion)</t>
  </si>
  <si>
    <t>Procurement of Information Technology under P.R.Nos. 3862-2019(CMO-Provision for Information and Communication Technology Equipment),etc.-1Lot</t>
  </si>
  <si>
    <t>08-PR-2020-0052  FUEL (XCS) FOR USE OF MAINTENANCE SECTION</t>
  </si>
  <si>
    <t>Medical Supplies - GLOVES EXAMINATION LATEX</t>
  </si>
  <si>
    <t>Vehicle repair &amp; maintenance</t>
  </si>
  <si>
    <t>GOODS-2020-08-118 PROCUREMENT OF PAINT FOR THE REPAINTING OF IBT, THIS CITY.</t>
  </si>
  <si>
    <t>Medical Supplies - GLOVES EXAMINATION DISP. MEDIUM, 100'S</t>
  </si>
  <si>
    <t>PPSDS</t>
  </si>
  <si>
    <t>Lease of Venue for the 2020 Census of Population and Housing (2020 CPH) 4th Level Training within the City of Manila- Second Posting</t>
  </si>
  <si>
    <t>HEIRIT</t>
  </si>
  <si>
    <t>SUPPLY AND DELIVERY OF AIR CONDITIONING UNITS</t>
  </si>
  <si>
    <t>CONSTRUCTION AND INSTALLATION OF SOLAR LED STREETLIGHTS</t>
  </si>
  <si>
    <t>Sagip Kalikasan</t>
  </si>
  <si>
    <t>Reproduction of Modules for Quarter 1 and 2 SY 2020-2021</t>
  </si>
  <si>
    <t>Procurement of Materials for Repair of Downsprout and Repainting of Aurora Presidencia Bldg. (Exterior)</t>
  </si>
  <si>
    <t>Supply and Delivery of Supplies to be used for the Supply Stockroom at VOAG Building</t>
  </si>
  <si>
    <t>REPOST FOR RAPID TEST CENTRAL OFFICE</t>
  </si>
  <si>
    <t>(PGSO) 2ND INVITATION TO BID FOR THE SUPPLY AND DELIVERY OF CONSTRUCTION MATERIALS</t>
  </si>
  <si>
    <t>Procurement of Security Services of four (4) Security Guards for PhilFIDA Regional Office and Sorsogon Provincial Office for the period September 1, 2020 to December 31, 2020</t>
  </si>
  <si>
    <t>Supply and Delivery of Supplies and Materials to be used at the ALIAS Center</t>
  </si>
  <si>
    <t>(DDH) INVITATION TO BID FOR THE SUPPLY AND DELIVERY OF DRUGS AND MEDICINES</t>
  </si>
  <si>
    <t>20JAGS0014 - Procurement of Painting Materials for the Re-painting of Concrete Barriers along MCLL Highway, Zamboanga City within K1925+000 to K1932+500 with P.R. No. 2020-08-138</t>
  </si>
  <si>
    <t>Combination Blinds and Frosted Stickers for Div. Office</t>
  </si>
  <si>
    <t>(DEH) INVITATION TO BID FOR THE SUPPLY AND DELIVERY OF DRUGS AND MEDICINES</t>
  </si>
  <si>
    <t>RFQ (20-08-076) Organic Vapor Cartridge and N95 Particulate Filter Cotton</t>
  </si>
  <si>
    <t>SUPPLY AND DELIVERY OF VARIOUS MEDICAL GAS (RE-BID)</t>
  </si>
  <si>
    <t>RFQ (20-08-080) Varioud Housekeeping and Linen Supplies</t>
  </si>
  <si>
    <t>Agricultural Supplies (PR No. 100-2020-0772, 0917, 0922 &amp; 0924) - OPAG</t>
  </si>
  <si>
    <t>Procurement of 65 pieces USB FlashDrive</t>
  </si>
  <si>
    <t>Pag-IBIG Fund TAS NCR South (SUPPLY AND DELIVERY OF VARIOUS MEDICAL SUPPLIES)</t>
  </si>
  <si>
    <t>Grocery Items for September</t>
  </si>
  <si>
    <t>Purchase of Risograph machine DepEd Camen SHS</t>
  </si>
  <si>
    <t>Puchase of Construction Materials for the Construction of Comfort Room at Brgy. Balangobong</t>
  </si>
  <si>
    <t>Purchase of Risograph machine DepEd Lilionga NHS &amp; SHS</t>
  </si>
  <si>
    <t>RFQ</t>
  </si>
  <si>
    <t>Materials to be used in the Installation of Fire Alarm Panel Board of DRDC Bldg</t>
  </si>
  <si>
    <t>SUPPLY AND DELIVERY OF VARIOUS IT EQUIPMENT AND ACCESSORIES</t>
  </si>
  <si>
    <t>GOODS-2020-08-119 JOB ORDER: REPAIR &amp; MAINTENANCE OF MONTERO SPORT.</t>
  </si>
  <si>
    <t>Supply and delivery of Electrical Materials for K2MIPP Staff House</t>
  </si>
  <si>
    <t>Meals during the Panubli-on Celebration 2020, Isabela, Neg. Occ.</t>
  </si>
  <si>
    <t>Procurement of Aircondition Units for use of the Offices of the Sangguniang Panlungsod Members.</t>
  </si>
  <si>
    <t>SUPPLY AND DELIVERY OF RESCUE EQUIPMENT</t>
  </si>
  <si>
    <t>Procurement of Services for the Siphoning of Septic Tanks at PAGCOR Imus Complex for Three (3) Years</t>
  </si>
  <si>
    <t>uPAD</t>
  </si>
  <si>
    <t>Supply and Delivery of Construction Materials for use in Maintenance of Capitol Building &amp; Capitol Ground</t>
  </si>
  <si>
    <t>Supply and Delivery of Electrical Materials for the Reconductoring of MOOG Control Line</t>
  </si>
  <si>
    <t>S1-B0620-006 (PB2) - Supply, Delivery and Test of 110 VDC Storage Battery for Power Barge 106</t>
  </si>
  <si>
    <t>Furniture Tables for the Office of the Mayor</t>
  </si>
  <si>
    <t>(PIHO) INVITATION TO BID FOR THE SUPPLY AND DELIVERY OF VARIOUS LABORATORY EQUIPMENT</t>
  </si>
  <si>
    <t>PURCHASE OF DIGITAL DUPLICATOR</t>
  </si>
  <si>
    <t>Medical Supplies - BOOTIES</t>
  </si>
  <si>
    <t>Purchase and Delivery of Dump Truck for Solid Waste Management</t>
  </si>
  <si>
    <t>Supply and Delivery of Various Supplies to be used for the Implementation of DOST-GIA Nicer Tamarind Project 2</t>
  </si>
  <si>
    <t>Procurement of One (1) 3TR Air-conditioning Unit, Split-type</t>
  </si>
  <si>
    <t>Purchase of Risograph machine DepEd Kibudtongan HS &amp; SHS</t>
  </si>
  <si>
    <t>Procurement of Consolidated Office Supplies for the 2nd Quarter 2020</t>
  </si>
  <si>
    <t>bottled water</t>
  </si>
  <si>
    <t>Medical Supplies - CAP BOUFFANT TYPE</t>
  </si>
  <si>
    <t>Convertion of the Former Ticketing Booth into Transco Cashier Booth</t>
  </si>
  <si>
    <t>S1-VDP20-001 (PB2) - Supply and Delivery of Mechanical Spare Parts for 2 x 560kW Perkins Engine Model: 3012TAG2A of Viga Diesel Power Plant</t>
  </si>
  <si>
    <t>RFQ20-47</t>
  </si>
  <si>
    <t>Construction of Multipurpose Covered Court at Luna National High School</t>
  </si>
  <si>
    <t>PURCHASE OF ONE UNIT MULTIFUNCTION  PRINTER</t>
  </si>
  <si>
    <t>SUPPLY AND DELIVERY OF VARIOUS IT EQUIPMENT</t>
  </si>
  <si>
    <t>Library</t>
  </si>
  <si>
    <t>Negotiated Procurement of Solidworks</t>
  </si>
  <si>
    <t>Construction of Access Road at Brgy. Maybo, Boac</t>
  </si>
  <si>
    <t>Supply and Delivery of Electrical Supplies for the Installation and Repair of Lights at Mushroom Center, Brgy. Tagaran, Cauayan City</t>
  </si>
  <si>
    <t>S1-BAP20-017 - Supply and Delivery of Mechanical Spare Parts for Unit #1 - 163kW Perkins Type: 2006-TG1 of Banton DPP</t>
  </si>
  <si>
    <t>Assorted tires, batteries, Oil and fuel filter, and other supplies and materials for the maintenance of vehicles (PR No. 100-2020-0846, 0847a &amp; 0847b) - PGO</t>
  </si>
  <si>
    <t>Provision of Meals &amp; Snacks to be served during the conduct of R&amp;D Writeshop Project Proposal for 2021 Funding with PR#2020-08-17-122 and ABC of P80,000.00</t>
  </si>
  <si>
    <t>Supplies for the Rapid Action Team Response for ASF, LGU Nabua, Camarines Sur</t>
  </si>
  <si>
    <t>2020-08-506 Procurement of Various IT Equipment</t>
  </si>
  <si>
    <t>Supply and Delivery of One (1) Unit Sports Utility Vehicle (SUV) for official use of the Office of the Municipal Mayor</t>
  </si>
  <si>
    <t>Purchase of Materials for the Repair &amp; Maint. of Machinery &amp; Equipments (Repair of DT 01), Lambunao, Iloilo</t>
  </si>
  <si>
    <t>S2-DOO20-012 - Supply and Delivery of Mechanical Spare Parts of 2 x 163kW Dale Perkins Gensets Model: 2006-TG1 intended for Doong DPP</t>
  </si>
  <si>
    <t>SUPPLY  AND DELIVERY OF EXPANDED PLASTIC ENVELOPE WITH HOLDER , SIZE-LEGAL WITH CUSTOMIZED PRINT</t>
  </si>
  <si>
    <t>SUPPLY AND DELIVERY OF ANTI-RABIES, DEWORMER AND IVERMECTIN</t>
  </si>
  <si>
    <t>Medical Supplies - BOOTIES &amp; CAP BOUFFANT</t>
  </si>
  <si>
    <t>SOLID WASTE MANAGEMENT EQUIPMENT &amp; SUPPLIES</t>
  </si>
  <si>
    <t>Completion of Road Concreting at Zone 3-A to Zone 4 , Bustrac, Nabua, Camarines Sur</t>
  </si>
  <si>
    <t>Procurement of IT Equipment for the Use of the General Services Office</t>
  </si>
  <si>
    <t>Medical Supplies - COTTON BALLS</t>
  </si>
  <si>
    <t>Supply and Delivery of One (1) Unit Heavyduty Photocopier Machine</t>
  </si>
  <si>
    <t>PURCHASE OF GALVANIZED IRON CORRUGATED</t>
  </si>
  <si>
    <t>One (1) lot Renovation of Toilets at BSP Quezon City</t>
  </si>
  <si>
    <t>Provision of Meals and Snacks to be served during the conduct of Household Survey as part os Assessment of Onion Value Chain in Nueva Ecija</t>
  </si>
  <si>
    <t>Procurement of Dobutamine 50mg/ml, 5ml</t>
  </si>
  <si>
    <t>S1-TDP20-031 - Supply and Delivery of Spare Parts for 4 x 600kW Cummins Engine Model: KTA38-G1 of Ticao DPP</t>
  </si>
  <si>
    <t>Package 1 of 2 - Supply of Labor and Delivery of Communication Services for Text Blast Application</t>
  </si>
  <si>
    <t>PROCUREMENT OF SUPPLIES AND MATERIALS FOR THE IMPROVEMENT OF MULTI-PURPOSE BUILDING AT GIMAGA, GOA, CAMARINES SUR.</t>
  </si>
  <si>
    <t>Procurement of IT Equipments of Municipal Treasury Office</t>
  </si>
  <si>
    <t>Concreting and Riprapping of Road at Sitio Magringao, San Antonio Ogbon, Nabua, Camarines Sur</t>
  </si>
  <si>
    <t>Procurement of Two-way Handheld Radio with complete accessories for the MDRRM/BDRRM Council and BHERTS Communication</t>
  </si>
  <si>
    <t>for SMAW instructional use</t>
  </si>
  <si>
    <t>RFQ 2020-02-0147 SUPPLIES</t>
  </si>
  <si>
    <t>ITB 07-006-20 Supply and Delivery of 2,005 bags of CORN SEEDS</t>
  </si>
  <si>
    <t>S1-VDP20-004 - Supply, Delivery and Installation of Four (4) Units 20 Footer Collapsible Containerized Staff House for Viga DPP</t>
  </si>
  <si>
    <t>Medical Supplies - COLOSTOMY BAG</t>
  </si>
  <si>
    <t>PROCUREMENT OF VENTILATION SUPPLIES</t>
  </si>
  <si>
    <t>Purchase of Service Vehicle</t>
  </si>
  <si>
    <t>Medical Supplies - MORTAR AND PESTLE</t>
  </si>
  <si>
    <t>Supplies for Covid</t>
  </si>
  <si>
    <t>VARIOUS MEDICAL EQUIPMENT</t>
  </si>
  <si>
    <t>350 pc – Acoustic board, 2’ x 4’ x 5/8 thick, Grade: RH99, class 1, Color: white, fine fissured, high humidity, asbestos free</t>
  </si>
  <si>
    <t>RHU 1 second floor enclosure phase II</t>
  </si>
  <si>
    <t>Concreting of PathWay with Riprapping at Zone 5, Brgy. La Purisima , Nabua, Camarines Sur</t>
  </si>
  <si>
    <t>GARBAGE BINS</t>
  </si>
  <si>
    <t>Delivery and Installation of PUBLIC ADDRESS</t>
  </si>
  <si>
    <t>PR No. 20-08-307</t>
  </si>
  <si>
    <t>PRINTING OF SELF LEARNING MODULES</t>
  </si>
  <si>
    <t>Battery and Tires of Vehicle</t>
  </si>
  <si>
    <t>Road Reblocking Zone 1, San Antonio Poblacion, Nabua, Camarines Sur</t>
  </si>
  <si>
    <t>Purchase of Materials for the Lighting Maintenance of Various Municipal Building Quarantine Facility, Lambunao, Iloilo</t>
  </si>
  <si>
    <t>Supplies for the hands-on barangay-based skills training on corn by-products and utilization with extension support</t>
  </si>
  <si>
    <t>20GDF0026 (RFQ) - Purchasing of additional cleaning equipment and protective  supplies to increase protection against COVID-19 in DPWH  Cavite 1st District Engineering Office</t>
  </si>
  <si>
    <t>Procurement of Construction Materials &amp; Supplies for Flood Control of Barangay Luzon, Claveria, Cagayan Valley</t>
  </si>
  <si>
    <t>Procurement for Reproduction of Modules for Grade 3 to 12 with ALS (Week 7 and 8)</t>
  </si>
  <si>
    <t>Parking area ground levelling and earth movings for Osmeña peak frontage</t>
  </si>
  <si>
    <t>30 PIECES, PURCHASE OF VARIOUS E-BOOKS</t>
  </si>
  <si>
    <t>Request for Quotation for Laptop, Photocopy Machine and Printer</t>
  </si>
  <si>
    <t>Medical Supplies - ALCOHOL, BOWIE &amp; DICTEST &amp; MEDICAL SPLINT</t>
  </si>
  <si>
    <t>20GO0107- WIDENING/ IMPROVEMENT/ UPGRADING OF HONORATA MANALO ( BURI ROAD), BRGY. MANDALAGAN , BACOLOD CITY</t>
  </si>
  <si>
    <t>Concreting of PathWay at Zone 6, Sta. Elena, Nabua, Camarines Sur</t>
  </si>
  <si>
    <t>CONSTRUCTION OF BRGY. STREETLIGHTS</t>
  </si>
  <si>
    <t>Concreting of Local Road Zone 6, Paloyon Proper, Nabua, Camarines Sur</t>
  </si>
  <si>
    <t>SUPPLY AND DELIVERY OF COMBI BLINDS</t>
  </si>
  <si>
    <t>PB REBID  BAC1-20-003 MANNING OF EXISTING CCTV MONITORING STATION for Security Services Div., PGH</t>
  </si>
  <si>
    <t>Tabon wifi tower electrical supply installation</t>
  </si>
  <si>
    <t>Communication Equipment for barangay @ Barangay Bago, Ibaan, Batangas</t>
  </si>
  <si>
    <t>PROCUREMENT OF MATERIALS TO BE USED FOR THE PRINTING AND ISSUANCE OF TABANG BANWAAN ID OF ALL MOTHERS IN GOA, CAMARINES SUR.</t>
  </si>
  <si>
    <t>Package 2 of 2 - Supply and Delivery of 2-sets Noise Logger with Correlating Feature</t>
  </si>
  <si>
    <t>IMPROVEMENT OF PLACER PORT, Port of Placer, Placer, Surigao del Norte</t>
  </si>
  <si>
    <t>Procurement of Various Spare Parts for PPC Suzuki Super Carry Motor Vehicles</t>
  </si>
  <si>
    <t>PR2020-08-00114</t>
  </si>
  <si>
    <t>Procurement of Various Kinds of Tires for PPC Mail Vehicles.</t>
  </si>
  <si>
    <t>purchase and delivery of office supplies and consumables of Kalagangan Central Elementary School</t>
  </si>
  <si>
    <t>Procurement of Furniture and Fixture for BatstateU Main Campus I - Library</t>
  </si>
  <si>
    <t>Procurement and Delivery of Office Supplies for 2020 CPH for PSA Catanduanes</t>
  </si>
  <si>
    <t>Assorted Tires &amp; Other Materials for Motor Vehicle (PR No. 100-2020-0848) - OPAD</t>
  </si>
  <si>
    <t>REHABILITATION OF CCTV CAMERA</t>
  </si>
  <si>
    <t>Snacks in the conduct of urban gardening / back to basics: Scientific and sustainable livestock and poultry production</t>
  </si>
  <si>
    <t>Contract for the Land Improvement (Fences of Various Schools)</t>
  </si>
  <si>
    <t>PROCUREMENT OF VEHICLE PARTS AND ACCESSORIES</t>
  </si>
  <si>
    <t>Supply and Delivery of Office Equipment and Other Fixtures</t>
  </si>
  <si>
    <t>Supplies for Covid 2019</t>
  </si>
  <si>
    <t>PERSONAL PROTECTIVE EQUIPMENTS</t>
  </si>
  <si>
    <t>Supply and Delivery of 2020 Empty Sacks Requirement of NFA Region V</t>
  </si>
  <si>
    <t>Procurement of Construction Materials for SDO Ground Maintenance</t>
  </si>
  <si>
    <t>Supply of Materials for the Purchase of Amenities</t>
  </si>
  <si>
    <t>INFRA 2K20-67 CONSTRUCTION OF STANDARD COVERED COURT @ BRGY. CANUNAN</t>
  </si>
  <si>
    <t>Barangay Operations and Monitoring System (BOMS)</t>
  </si>
  <si>
    <t>IMPROVEMENT OF SB SESSION HALL</t>
  </si>
  <si>
    <t>INVITATION TO BID FOR Printing and Binding (Booklet type)  of Self-Learning Modules Lot 2</t>
  </si>
  <si>
    <t>3 Tonner Floor Mounted Super Inverter Air Condition (PR No. 100-2020-01000) - RTC-36</t>
  </si>
  <si>
    <t>SUPPLY AND DELIVERY OF SAND AND GRAVEL FOR THE CONCRETING OF NEW TUBIGON,FMR OF BARANGAY NEW TUBIGON,SIBAGAT,AGUSAN DEL SUR</t>
  </si>
  <si>
    <t>Construction Management, Supplies &amp; Materials</t>
  </si>
  <si>
    <t>INVITATION TO BID FOR Printing and Binding (Booklet type)  of Self-Learning Modules Lot 1</t>
  </si>
  <si>
    <t>Cleaning Equipment for School Division Office use (150)</t>
  </si>
  <si>
    <t>Procurement of IT accessories/equipment  for safety and security system for the offiial use of DENR-RIV CALABARZON  for CY-2020</t>
  </si>
  <si>
    <t>REHABILITATION OF BARANGAY LAYAAN ROAD</t>
  </si>
  <si>
    <t>8 Units Lateral Cabinets, 3 Units Steel Cabinets &amp; 12 Units White Board, 4ft/8ft (PR No. 100-2020-1013) - SPTC</t>
  </si>
  <si>
    <t>Construction of Drainage Canal for Purok 1 to Purok 7</t>
  </si>
  <si>
    <t>INFRA 2K20-68 CONSTRUCTION OF STANDARD COVERED COURT @ BRGY. LUMBOG</t>
  </si>
  <si>
    <t>15 Units Desktop Computer, 5 Units Printer &amp; 2 Units External Hard Drive (PR No. 100-2020-01001 &amp; 1012) - PAO &amp; SPTC</t>
  </si>
  <si>
    <t>SUPPLY AND DELIVERY OF GENERATOR SET (INCLUDING MECHANICAL &amp; ELECTRICAL INSTALLATION)-LGU CATANAUAN, QUEZON</t>
  </si>
  <si>
    <t>Purchase of Materials for the Const. of Slope protection with RC Pipes, Brgy. Buri, Lambunao, Iloilo</t>
  </si>
  <si>
    <t>supply and delivery of ASSORTED IT EQUIPMENT (supplemental)</t>
  </si>
  <si>
    <t>ESTIMATED-PRINTING-COST-OF-MODULES-FOR-CPTINGA-ES</t>
  </si>
  <si>
    <t>PROCUREMENT OF OFFICE EQUIPMENT (LAPTOP)</t>
  </si>
  <si>
    <t>Purchase of Materials for the Road Concreting, Brgy. Maite Grande, Lambunao, Iloilo</t>
  </si>
  <si>
    <t>INFRA 2K20-70 CONSTRUCTION OF STANDARD COVERED COURT @ BRGY. KAPATAGAN</t>
  </si>
  <si>
    <t>Purchase of Testing &amp; Instructional Materials for the use of Lambunao West District Office, Lambunao, Iloilo</t>
  </si>
  <si>
    <t>Procurement of Construction Materials for Rehabilitation of Water System</t>
  </si>
  <si>
    <t>Procurement of Mementos and Other Paraphernalia</t>
  </si>
  <si>
    <t>INFRA 2K20-69 CONSTRUCTION OF STANDARD COVERED COURT @ BRGY. COGON</t>
  </si>
  <si>
    <t>Signage &amp; Canopy Installation for Seal of Good Local Governance @ the 2/F, Capitol Bldg. (PR No. 100-2020-1053) - PEO</t>
  </si>
  <si>
    <t>Supply of Materials for the Installation of Temporary Quarantine Facility with Amenities</t>
  </si>
  <si>
    <t>INVITATION TO BID FOR Printing and Binding (Booklet type)  of Self-Learning Modules Lot 3</t>
  </si>
  <si>
    <t>Purchase of Materials for the Road Concreting, Brgy. Binabaan Tirador, Lambunao, Iloilo</t>
  </si>
  <si>
    <t>PROCUREMENT OF 768 Personal Protective Equipment (BAC 2020-G10)</t>
  </si>
  <si>
    <t>Procurement of Four (4) Laptop units and Four (4) Office Suite Software license</t>
  </si>
  <si>
    <t>Procurement of materials for Circles of Life project in Masao Aquaculture Center Satellite office.</t>
  </si>
  <si>
    <t>Supply and Delivery of Tablets and Laptops for Distance Learning Modality of Schools Division Office of Santa Rosa City for SY 2020-2021</t>
  </si>
  <si>
    <t>PB REBID PUR20-03-0241 SUPPLY AND DELIVERY OF VARIOUS COMPUTERS AND PRINTERS</t>
  </si>
  <si>
    <t>CONSTRUCTION/ IMPROVEMENT/ REHABILITATION OF MULTI- PURPOSE BUILDING (PHASE I) AT SO. DINGIN BRGY. POBLACION WEST, ALITAGTAG, BATANGAS</t>
  </si>
  <si>
    <t>SUPPLY AND DELIVERY OF HARDWARE MATERIALS FOR THE CONCRETING OF NEW TUBIGON,FMR OF BARANGAY NEW TUBIGON,SIBAGAT,AGUSAN DEL SUR</t>
  </si>
  <si>
    <t>MKWD-BAC PUBLIC BIDDING-2020-004</t>
  </si>
  <si>
    <t>LIBJO PORT IMPROVEMENT PROJECT, Port of Libjo, Brgy. Albor, Libjo, Dinagat Islands</t>
  </si>
  <si>
    <t>Rehabilitation/Construction of Drainage System</t>
  </si>
  <si>
    <t>Materials for the Improvement of Provincial Treasurers Office (PR No. 100-2020-1021) - PTO</t>
  </si>
  <si>
    <t>MAGSAYSAY PORT IMPROVEMENT PROJECT, Port of Magsaysay, Brgy. Magsaysay, Dinagat, Dinagat Islands</t>
  </si>
  <si>
    <t>INVITATION TO BID FOR Printing and Binding (Booklet type)  of Self-Learning Modules Lot 5</t>
  </si>
  <si>
    <t>Road Concreting from Purok 1 to Skills Dev. Training &amp; Evacuation Center</t>
  </si>
  <si>
    <t>Purchase of Diesel Fuel and Special Gasoline for the End Local Communist Armed Conflict (ELCAC) Program of the Provincial Government of Zamboanga del Sur</t>
  </si>
  <si>
    <t>INVITATION TO BID FOR Printing and Binding (Booklet type)  of Self-Learning Modules Lot 4</t>
  </si>
  <si>
    <t>Construction/Installation/Replacement of 3-Head Antique Streetlights</t>
  </si>
  <si>
    <t>SUPPLIES FOR NAUWA TA MIGPUNGSE</t>
  </si>
  <si>
    <t>Construction/Installation of Streetlights</t>
  </si>
  <si>
    <t>REHABILITATION OF BARANGAY POBLACION ROAD</t>
  </si>
  <si>
    <t>Pag-IBIG Fund CHQ (SUPPLY AND DELIVERY OF VARIOUS HARDWARE SUPPLIES)</t>
  </si>
  <si>
    <t>PROCUREMENT OF TACTICAL PANTS AND REFLECTIVE SAFETY VEST FOR MDRRMO RESPONDERS UNIFORM</t>
  </si>
  <si>
    <t>SUPPLEMENTARY BUDGET FOR THE PRODUCTION OF SELF LEARNING MODULES OF DAMULOG SOUTH DISTRICT</t>
  </si>
  <si>
    <t>Request for Quotation for PR Number 2020-07-099: Purchase of Diesel, Oil and Brake Fluids for use in Planning and Design Service Vehicle</t>
  </si>
  <si>
    <t>INFRA 2K20-71 CONSTRUCTION OF STANDARD COVERED COURT @ BRGY. LOCUBAN</t>
  </si>
  <si>
    <t>Purchase of Diesel Fuel and Special Gasoline for Anti-Piracy Extortion and Kidnapping Program of the Province of Zamboanga del Sur for CY- 2020</t>
  </si>
  <si>
    <t>Purchase of Medical Supplies for ZDSMC Pharmacy Sale/ Stocking Purposes (for O.R. use)</t>
  </si>
  <si>
    <t>SUPPLY AND DELIVERY OF VARIOUS BINDING MATERIALS FOR LEARNING MODULE</t>
  </si>
  <si>
    <t>Supply of Vacuum Forming Machine, MS-Power BI, Desktop Computer, Sketchup Pro, Wireless-N Rounter, Tablet 10", Flash Drive, Headset, Recorder</t>
  </si>
  <si>
    <t>Purchase of Materials for the Road Concreting, Brgy. Cayan Este, Lambunao, Iloilo</t>
  </si>
  <si>
    <t>PROCUREMENT OF VARIOUS SUPPLIES &amp; SEMI-EXPENDABLE EQUIPMENT</t>
  </si>
  <si>
    <t>SUPPLY AND DELIVERY OF VEHICLE</t>
  </si>
  <si>
    <t>SUPPLY AND DELIVERY OF SOLID WASTE MANAGEMENT EQUIPMENT FOR BRICKS AND BIOGAS PRODUCTION (INCLUDING INSTALLATION) -LGU CATANAUAN, QUEZON</t>
  </si>
  <si>
    <t>Supply &amp; Delivery of Disinfectant Spray</t>
  </si>
  <si>
    <t>Supply and Delivery of T-shirts with print for Usapang Ani at Kita: RCEF Program sa Region IV-A</t>
  </si>
  <si>
    <t>Purchase of Materials for the Rehabilitation of MP Hall, Brgy. Bayuco, Lambunao, Iloilo</t>
  </si>
  <si>
    <t>Purchase of Diesel Fuel and Special Gasoline for Anti-Drug Abuse Program of the Province of Zamboanga del Sur for CY- 2020</t>
  </si>
  <si>
    <t>Purchase of Communication Equipment (Cellphones/Tablet)</t>
  </si>
  <si>
    <t>ITB: PROCUREMENT OF ONE (1) LOT LIBRARY EQUIPMENT FOR  RESTORATION AND PRESERVATION OF LIBRARY MATERIALS  (STII-PB-2020-003)</t>
  </si>
  <si>
    <t>2020-187-I PROCUREMENT AND DELIVERY   OF COMMON-USE OFFICE SUPPLIES – TONERS/INKS FOR CY 2020</t>
  </si>
  <si>
    <t>education materials and supplies</t>
  </si>
  <si>
    <t xml:space="preserve">CID No. 20GI0-07-0109 - Supply/provision of spare parts and lubricants for the preventive maintenance of Doosan DX-225 LC Amphibous Excavator (K4-31) and Watermaster 15 Classic IV, SDA-18 (K3-16) and </t>
  </si>
  <si>
    <t>Purchase of Materials for the Continuation of Perimeter Fence, Brgy. Bayuco, Lambunao, Iloilo</t>
  </si>
  <si>
    <t>RFQ-TPB-PR.2020.08.240 PROCUREMENT OF EIGHT PLAQUES FOR LOYALTY AND RETIREES (2nd Posting)</t>
  </si>
  <si>
    <t>Supply and Delivery of Livestock (Carabao)</t>
  </si>
  <si>
    <t>Provision of Petroleum, Oils and Lubricants to PPA Service Vehicles thru Vehicle-specific Fleet Card Utilization</t>
  </si>
  <si>
    <t>PRINTING MATERIALS FOR THE DEVELOPMENT, QA AND REPRODUCTION OF LOCALLY DEVELOPED LRs</t>
  </si>
  <si>
    <t>Procurement of ICT Equipment Under 2020 MITHI Program</t>
  </si>
  <si>
    <t>NP 116-20: SUPPLY AND DELIVERY OF  VARIOUS IT PERIPHERALS FOR SAAD PROGRAM</t>
  </si>
  <si>
    <t>Continuation/Construction of Grade 8 Classroom, Bued-Luna National High School</t>
  </si>
  <si>
    <t>Supply of Materials for the Construction and Rehabilitation of Drainage System</t>
  </si>
  <si>
    <t>PURCHASE OF PERSONAL PROTECTIVE EQUIPMENT ( PPE )</t>
  </si>
  <si>
    <t>Structured Cabling for Access Points, Dismantling &amp; Relocation of Equipment and Smart Cabinet</t>
  </si>
  <si>
    <t>Concreting of Interior Road at Barangay Malibong Urbiztondo,Pangasinan</t>
  </si>
  <si>
    <t>Supply and Delivery of Flu Vaccine for ECC Employees</t>
  </si>
  <si>
    <t>REBIDDING FOR THE SUPPLY, DELIVERY, INSTALLATION AND COMMISSIONING OF 80 TONS PITLESS TYPE OF ELECTRONIC TRUCKSCALE AT NFA COMPOUND IN AGUSO, TARLAC</t>
  </si>
  <si>
    <t>INVITATION TO BID FOR Printing and Binding (Booklet type)  of Self-Learning Modules Lot 6</t>
  </si>
  <si>
    <t>PURCHASE AIRCON/SPILY TYPE 1,5 HORSE POWER</t>
  </si>
  <si>
    <t>Supply and Delivery of Vehicle</t>
  </si>
  <si>
    <t>Purchase of Diesel Fuel and Special Gasoline for PGO &amp; Other Offices, ZDSMC and Aid to NGAs for the 2nd Semester of CY 2020</t>
  </si>
  <si>
    <t>Procurement of 2nd Quarter and 3rd Quarter Cleaning Supplies</t>
  </si>
  <si>
    <t>ITB - Farm Equipment</t>
  </si>
  <si>
    <t>RFQ-TPB-PR.2020.08.239 PROCUREMENT OF CAR BATTERY FOR FOTON VIEW TRANSVAN (2nd Posting)</t>
  </si>
  <si>
    <t>Supply and Delivery of Twenty (20) Sets of Explosion-Proof Telephone for PNOC EC Mine 3 Coal Project</t>
  </si>
  <si>
    <t>Supply of Mobile Communication (Prepaid Load Card) to be delivered at PhilRice Batac</t>
  </si>
  <si>
    <t>Supply and delivery of materials for the Improvements of Water works</t>
  </si>
  <si>
    <t>Purchase of Diesel Fuel and Special Gasoline for Campaign Against Criminality Program of the Province of Zamboanga del Sur for CY-2020</t>
  </si>
  <si>
    <t>Purchase of Eight (8) unit Laptop and Thirteen (13) pcs Portable External Hard Drive to be used by the Faculty members to address the new modalities in learning delivery</t>
  </si>
  <si>
    <t>Supply and Delivery of Reagents - IPS project</t>
  </si>
  <si>
    <t>RFQ FOR INSTALLATION OF PROTECTIVE SHIELDS AT ADMINISTRATION OFFICE</t>
  </si>
  <si>
    <t>General Merchandise</t>
  </si>
  <si>
    <t>Purchase of Materials for Improvement of Evacuation Center and Multi Purpose Hall</t>
  </si>
  <si>
    <t>Rehabilitation of Multi-Purpose Hall/ Day Care Center, Purok 2 Barangay IV, Daet, Camarines Norte</t>
  </si>
  <si>
    <t>PB-005-2020 Provision of Learning Resources (LRs) for the Implementation of the Basic Education-Learning Continuity Plan (BE-LCP)</t>
  </si>
  <si>
    <t>PROCUREMENT OF VARIOUS TONER CARTRIDGE (B6-20-112)</t>
  </si>
  <si>
    <t>Supply &amp; Delivery of TURBO CHARGER and GASKET KIT TURBO CHARGER for PNP VEHICLE</t>
  </si>
  <si>
    <t>Barangay Foundation Day</t>
  </si>
  <si>
    <t>CONSTRUCTION OF VARIOUS CONSTRUCTION PROJECTS</t>
  </si>
  <si>
    <t>Supply and Delivery of 96-well Sterile Microplates and Eppendorf Tube (IPS Project)</t>
  </si>
  <si>
    <t>SUPPLY &amp; DELIVERY OF BOND PAPER</t>
  </si>
  <si>
    <t>Construction of Front Fence and Gate, Colosboa Primary School</t>
  </si>
  <si>
    <t>Electronic Parts and Components</t>
  </si>
  <si>
    <t>Procurement of School Supplies</t>
  </si>
  <si>
    <t>20NF0082:CONSTRUCTION OF ONE (1) STOREY SIX (6) CLASSROOM SCHOOL BUILDING, MAHAYAHAY ELEMENTARY SCHOOL (SCHOOL ID NO. 132175)</t>
  </si>
  <si>
    <t>Provision of Accommodation to be used during the conduct of Household Survey as part of Assessment of Onion Value Chain in Nueva Ecija</t>
  </si>
  <si>
    <t>PROCUREMENT OF VARIOUS SUPPLIES AND MATERIALS</t>
  </si>
  <si>
    <t>Repair of School Fence and Construction of Gate, Bued Elementary School”</t>
  </si>
  <si>
    <t>Procurement of Medical Equipment (Incubator)</t>
  </si>
  <si>
    <t>Procurement of Grocery Items and Kitchenwares for LSP-NSB Kits of Mountain Province</t>
  </si>
  <si>
    <t>Supply and Delivery of Pipes &amp; Fitti8ngs for Rehabilitation/Replacement of old main Pipelines at Anahawon Spring</t>
  </si>
  <si>
    <t>Installation of Street Lighting System of Purok Tsiko Barangay Gubat, Daet, Camarines Norte</t>
  </si>
  <si>
    <t>Provision of Meals and Snacks to be served during the conduct of Key Informant Interviews (KILs) as part of Assessment of Onion Value Chain in Nueva Ecija</t>
  </si>
  <si>
    <t>20FC0134 : CONSTRUCTION OF DAET RIVER CONTROL (CAMAMBUGAN SECTION), BRGY. CAMAMBUGAN, DAET, 2ND DISTRICT, CAMARINES NORTE</t>
  </si>
  <si>
    <t>SUPPLY AND DELIVERY OF DUMP TRUCK</t>
  </si>
  <si>
    <t>Concreting of Barangay Road at Purok 6 Barangay Bagasbas, Daet, Camarines Norte</t>
  </si>
  <si>
    <t>20FC0135 : REHABILITATION/ IMPROVEMENT/ CONSTRUCTION OF DAET RIVER FLOOD CONTROL, STA. 6+052 – STA. 6+146, BRGY. VIII, DAET, CAMARINES NORTE</t>
  </si>
  <si>
    <t>RFQ-DVO-PR.NO. 2005185 CAT. 69 SUBSCRIPTION</t>
  </si>
  <si>
    <t>Reproduction of Self Learning Modules for the Basic Education Learning Continuity Plan (BE-LCP) for Quarter 1 Weeks 4-10</t>
  </si>
  <si>
    <t>UPPER CARMEN ELEMENTARY SCHOOL REPRODUCTION OF MODULES FOR QUARTER 1 (Central Office)</t>
  </si>
  <si>
    <t>Procurement of Medical Equipment (ElectroSurgical Unit)</t>
  </si>
  <si>
    <t>Procurement of Medical Supplies &amp; Lab Instrument</t>
  </si>
  <si>
    <t>Procurement and Delivery of Various School Supplies</t>
  </si>
  <si>
    <t>RFQ-DVO-PR.NO. 2002185 CAT. TIRE, BATTERIES AND ACCESSORIES</t>
  </si>
  <si>
    <t>PROCUREMENT OF PRIVATE MILLING SERVICES FOR NFA REGION 3 FOR THE YEAR 2020 (2nd Public Bidding)</t>
  </si>
  <si>
    <t>RFQ-LOPEZ,QUEZON INTERNET SUBSCRIPTION PR#20-08-0060</t>
  </si>
  <si>
    <t>Installation of Solar Streetlights @Brgy POblacion 7, Tanauan City, Batangas</t>
  </si>
  <si>
    <t>RFQ-BATANGAS INTERNET SUBSCRIPTION PR#20-08-0059</t>
  </si>
  <si>
    <t>Procurement of Goods for Reproduction of Modules</t>
  </si>
  <si>
    <t>UPPER CARMEN ELEMENTARY SCHOOL MOOE FUNDS</t>
  </si>
  <si>
    <t>IMPROVMENT OF BRGY. GYMNASIUM (PHASE I)</t>
  </si>
  <si>
    <t>RFQ-DVO-PR.NO. 2002281 CAT. 10 COMPUTER EQUIPMENT AND ACCESSORIES</t>
  </si>
  <si>
    <t>SUPPLY AND DELIVERY OF BRANDED AND BRAND NEW VARIOUS INFORMATION TECHNOLOGY EQUIPMENT, PARTS &amp; ACCESSORIES &amp; PERIPHERALS</t>
  </si>
  <si>
    <t>Concreting/Widening of Road at Purok 1 Barangay San Isidro, Daet, Camarines Norte</t>
  </si>
  <si>
    <t>20FC0136 : CONSTRUCTION/ IMPROVEMENT OF DRAINAGE CANAL ALONG BAGASBAS ROAD, DAET, CAMARINES NORTE</t>
  </si>
  <si>
    <t>Provision of Accommodation to be used during the conduct of Key Informant Interviews (KILs) as part of Assessment of Onion Value Chain in Nueva Ecija</t>
  </si>
  <si>
    <t>REQUEST FOR QUOTATION (RFQ)   PROCUREMENT FOR  FLOURESCENT WATER TRACING DYE RFQ No.018 -2020</t>
  </si>
  <si>
    <t>BALULANG ELEMENTARY SCHOOL-supplies under MOOE</t>
  </si>
  <si>
    <t>Construction of Open Line Canal, Diego Naing St. Barangay I, Daet, Camarines Norte</t>
  </si>
  <si>
    <t>RFQ-DVO-PR.NO. 2005271 CAT. 92 UMBRELLA</t>
  </si>
  <si>
    <t>PB-20-447, Supply &amp; Delivery of Medical Equipment for Cotabato Provincial Hospital, Amas, Kidapawan City</t>
  </si>
  <si>
    <t>PROCUREMENT OF STUDENT’S UNIFORM</t>
  </si>
  <si>
    <t>SUPPLY AND DELIVERY OF MATERIALS FOR REPAIR AND MAINTENANCE OF WATER SUPPLY SYSTEM FOR VARIOUS BARANGAYS OF CATANAUAN, QUEZON</t>
  </si>
  <si>
    <t>PROCUREMENT OF 100 LICENSES FOR GOOGLE G-SUITE CLOUD COMPUTING AND COLLABORATION TOOLS/SOFTWARE</t>
  </si>
  <si>
    <t>Supply and Delivery of Various ICT Equipment</t>
  </si>
  <si>
    <t>PURCHASE OF PASSENGER VAN</t>
  </si>
  <si>
    <t>Supply and Delivery of Inorganic Fertilizer</t>
  </si>
  <si>
    <t>REQUEST FOR QUOTATION (RFQ)  PROCUREMENT FOR CO ANALYZER-DOAS-SPARE  PARTS KIT FOR APMA 370 RFQ No.042 -2020</t>
  </si>
  <si>
    <t>QM PABAC 030-20 Procurement of 2,001 pairs Shoes Dress, Low Cut Rubber Sole</t>
  </si>
  <si>
    <t>PQ# 065-2020 New Tires and Batteries for GSD service vehicles</t>
  </si>
  <si>
    <t>Supply and Delivery of Health Supplies@Barangay Ulango, Tanauan City, BAtangas</t>
  </si>
  <si>
    <t>PB-20-448, Supply &amp; Delivery of Medical Equipment for Cotabato Provincial Hospital, Amas, Kidapawan City</t>
  </si>
  <si>
    <t>Procurement of Printing Services (Reproduction and binding of ADM Modules)</t>
  </si>
  <si>
    <t>Spare Parts and Lubricants for the Repair and Maintenance of Dumptruck D1-L088, D1-L090 and D1-L091</t>
  </si>
  <si>
    <t>PB-20-427, Supply &amp; Delivery of Hospital Beds for Cotabato Provincial Government Hospitals (MDH, ADH, AVDH, FTFMH, PRPCH, APCH, DADPFH) in response to COVID-19 and other emerging and re-emerging disea</t>
  </si>
  <si>
    <t>Procurement of Office Supplies of Batangas State University JPLPC Malvar Campus</t>
  </si>
  <si>
    <t>Rehabilitation of Barangay Road at Barangay Labangan, SJOM</t>
  </si>
  <si>
    <t>PROCUREMENT OF LABORATORY SUPPLIES</t>
  </si>
  <si>
    <t>Supply and Delivery of Office Equipment and Furniture for Engineering Office</t>
  </si>
  <si>
    <t>Purchase of 4x4 Service Vehicle for Monitoring of GAD Program and Services</t>
  </si>
  <si>
    <t>Procurement of Vehicle Parts with Services</t>
  </si>
  <si>
    <t>RFQ-DVO-PR.NO. 2003131 CAT. 36 IT PROVIDER</t>
  </si>
  <si>
    <t>construction of drainage canal</t>
  </si>
  <si>
    <t>Demolition of Structures and Improvements affected by the NLEX/SLEX Connector Road Project (Manila Section I) (Contract ID No. 20O00069)</t>
  </si>
  <si>
    <t>PROCUREMENT OF SUPPLIES MOOE SUBSIDY FOR KIBURIAO C/S</t>
  </si>
  <si>
    <t>Procurement of Van Rental for Transportation Service of NCCA Employees for September</t>
  </si>
  <si>
    <t>Barangay 673 YDF "LAPTOP TABLE, MEDICAL SUPPLIES, EARPHONES" 2020</t>
  </si>
  <si>
    <t>PROVISION OF DOG IMPOUNDING CAGE (Materials)</t>
  </si>
  <si>
    <t>PB-20-451, Supply &amp; Delivery of Tissue Cultured Banana Lacatan for distribution to farmers provincewide under SAAD Program</t>
  </si>
  <si>
    <t>ABOUT MY PRONOUNS</t>
  </si>
  <si>
    <t>Supply and Delivery of Office  Equipment</t>
  </si>
  <si>
    <t>PB-20-449, Supply &amp; Delivery of Goat for distribution to farmers provincewide under SAAD Program</t>
  </si>
  <si>
    <t>(PEO) INVITATION TO BID FOR THE SUPPLY AND DELIVERY OF VEHICLE PARTS FOR VARIOUS VEHICLES &amp; HEAVY EQUIPMENT  FOR THE  PROVINCIAL ENGINEERING OFFICE--2,325,670.00</t>
  </si>
  <si>
    <t>ORD PABAC 005-06-20 (Lot 1) Procurement of Spares for Truck, Cargo, 2 1/2 Ton, M35</t>
  </si>
  <si>
    <t>Supply of Labor and Materials for the Emergency Repair/ Replacement of POPCOM IV-A Regional Office Roof</t>
  </si>
  <si>
    <t>rehabilitation and installation of streetlights</t>
  </si>
  <si>
    <t>Supply and Delivery of Construction Materials at Libang NIP</t>
  </si>
  <si>
    <t>Supply and Delivery of Two (2) Units Brand New Utility Vehicle (Van Type)</t>
  </si>
  <si>
    <t>PB-20-450, Supply &amp; Delivery of Hybrid Corn Seeds for distribution to farmers provincewide under SAAD Program</t>
  </si>
  <si>
    <t>For Printing of Modules - OCCS</t>
  </si>
  <si>
    <t>SUPPLY AND DELIVERY OF JANITORIAL SUPPLIES FOR PUBLIC MARKET, SLAUGHTER HOUSE AND MUN. RECOVERY FACILITY OF LGU CATANAUAN, QUEZON</t>
  </si>
  <si>
    <t>Barangay 809 CCTV CAMERA 2020</t>
  </si>
  <si>
    <t>Supplies of Materials for Temporary Quarantine Facility with Amenities</t>
  </si>
  <si>
    <t>SUPPLY AND DELIVERY OF INFORMATION TECHNOLOGY (COMPUTER DESKTOP)</t>
  </si>
  <si>
    <t>Concreting of Farm to Market Road at Junction National Road to Slaughterhouse, Barangay Magbay, SJOM</t>
  </si>
  <si>
    <t>Purchase of foods and disinfectant</t>
  </si>
  <si>
    <t>Supply and Delivery of 7 Units Handheld GPS ad 7 Units Battery Charger and Rechargeable Batteries (SH-029-2020 &amp; PRAS No. 2020-074)</t>
  </si>
  <si>
    <t>REQUEST FOR QUOTATION (RFQ)  PROCUREMENT FOR PM MONITOR-DOAS RFQ No.045 -2020</t>
  </si>
  <si>
    <t>ORD PABAC 007-06-20 (Lot 1) Procurement of Spares for Truck, Cargo, 8 Ton</t>
  </si>
  <si>
    <t>PB-20-469, Supply &amp; Delivery of GeneXprt Machine (GeneXpert IV) for Cotabato Provincial Hospital, Amas, Kidapawan City in response to COVID-19 and other emerging and re-emerging diseases</t>
  </si>
  <si>
    <t>Supply and Delivery of Construction Materials at Baobo RIS - Repair</t>
  </si>
  <si>
    <t>MAKE YOUR MOVE</t>
  </si>
  <si>
    <t>RFQ-HARDWARE AND CONSTRUCTION SUPPLY-BATANGAS PR#20-07-0049A</t>
  </si>
  <si>
    <t>For Reproduction of Learners Modules - Pulot NHS</t>
  </si>
  <si>
    <t>Purchase and Delivery of Books for Day Care Children</t>
  </si>
  <si>
    <t>PB-20-467, Supply &amp; Delivery of Medical Supplies in support to the Operation of Health and Other Facilities established related to COVID-19</t>
  </si>
  <si>
    <t>SUPPLY AND DELIVERY OF OFFICE EQUIPMENT (AIRCONDITIONING UNIT) OF OFFICE OF THE MUNICIPAL MAYOR-LGU CATANAUAN,QUEZON</t>
  </si>
  <si>
    <t>PURCHASE OF SPARE PARTS FOR THE REPAIR/MAINTENANCE OF DIFFERENT HEAVY EQUIPMENT, MUNICIPALITY OF CAUAYAN, NEGROS OCCIDENTAL</t>
  </si>
  <si>
    <t>RFQ&gt;&gt;&gt; Supply and Delivery of Common Office Supplies | Pinsao Elementary School | ABC=P73,561.00</t>
  </si>
  <si>
    <t>Construction of National Security Council (NSC) Building (Contract ID No. 20O00025)</t>
  </si>
  <si>
    <t>PROCUREMENT OF  GASOLINE FUEL</t>
  </si>
  <si>
    <t>Supply and Delivery of Two (2) Units Brand New 4X4 Pick-up</t>
  </si>
  <si>
    <t>Concreting of Farm to Market Road at Barangay Mabini, SJOM</t>
  </si>
  <si>
    <t>Supply and Delivery of Vehicle Spare Parts for Super Tank GRG-879, Mini Dump 07c-398 and Ambulance SKT-455</t>
  </si>
  <si>
    <t>Procurement of Security Services for CY 2020 for the Department of Justice Cebu Building (Oct-Dec 2020)</t>
  </si>
  <si>
    <t>Purchase of Various Office Supplies for LGU of San Jose (3rd Quarter)</t>
  </si>
  <si>
    <t>Supply and Delivery of Long Expanded Plastic Envelope with Handle</t>
  </si>
  <si>
    <t>Construction Project</t>
  </si>
  <si>
    <t>Procurement of Janitorial Services for CY 2020 for the Department of Justice Cebu Building (Oct-Dec 2020)</t>
  </si>
  <si>
    <t>Supply and Delivery of Raw Materials for Employees Meals (2nd Sem) Angeles - Lot 4</t>
  </si>
  <si>
    <t>PURCHASE OF SPARE PARTS FOR THE REPAIR/MAINTENANCE OF MUNICIPAL VEHICLES, MUNICIPALITY OF CAUAYAN, NEGROS OCCIDENTAL</t>
  </si>
  <si>
    <t>Supply and Delivery of Raw Materials for Employees Meals (2nd Sem) Angeles - Lot 2</t>
  </si>
  <si>
    <t>Procurement of Various Drugs and Medicines</t>
  </si>
  <si>
    <t>Construction/Rehabilitation of Various Infrastructure Projects of Barangay Ambassador, Tublay, Benguet</t>
  </si>
  <si>
    <t>Training Tools &amp; Equipment Organic Agriculture Production NC II</t>
  </si>
  <si>
    <t>Supply &amp; Delivery of Construction Materials for the Improvement of Day Care Center at Brgy. Canabajan, Calinog, Iloilo</t>
  </si>
  <si>
    <t>Supply and Delivery of Raw Materials for Employees Meals (2nd Sem) Angeles - Lot 3</t>
  </si>
  <si>
    <t>Supply and Delivery of Raw Materials for Employees Meals (2nd Sem) Angeles - Lot 1</t>
  </si>
  <si>
    <t>Supply and Installation of 12 units of Broadband Satelite Internet Service @ Municipality of Burdeos, Quezon</t>
  </si>
  <si>
    <t>Construction of Material Recovery Facility</t>
  </si>
  <si>
    <t>20GAA0148: Procurement of Gasoline Extra for use of various Service Vehicles at Maintenance Section, DPWH-INFDEO, Laoag City</t>
  </si>
  <si>
    <t>REPAIR OF BARANGAY SERVICE VEHICLE @ BRGY. SOLO, MABINI, BATANGAS</t>
  </si>
  <si>
    <t>20-GDO-0004: Procurement of Asphalt Mix (FD) for the Repair and Maintenance of Rodriguez-San Jose Quezon City Road, San Mateo - Rodriguez Road, and Corazon C. Aquino Avenue, Rizal II District Engineer</t>
  </si>
  <si>
    <t>Office Cleaning / Toilet Supply</t>
  </si>
  <si>
    <t>Improvement of Evacuation Center</t>
  </si>
  <si>
    <t>Supply and Delivery of Raw Materials for Employees Meals (2nd Sem) Angeles - Lot 7</t>
  </si>
  <si>
    <t>Supply and Delivery of Materials for Protective Face Mask Production CHED repost</t>
  </si>
  <si>
    <t>Supply and Delivery of Raw Materials for Employees Meals (2nd Sem) Angeles - Lot 6</t>
  </si>
  <si>
    <t>Supply and Delivery of Sanitary Toilet Bowl</t>
  </si>
  <si>
    <t>Supplies of bond papers to be used for Printing Modules SY 2020-2021</t>
  </si>
  <si>
    <t>PB-20-471, Supply &amp; Delivery of Medicines in support to the Operation of Health and Other Facilities established related to COVID-19</t>
  </si>
  <si>
    <t>Practical Research: Planning and Design Book</t>
  </si>
  <si>
    <t>PURCHASE OF MATERIALS FOR THE REHAB/IMPROVEMENT OF WATER SYSTEM AT BARANGAY LUMBIA, CAUAYAN, NEGROS OCCIDENTAL</t>
  </si>
  <si>
    <t>20GAA0171: Procurement of OTG/Dual USB Drive M3.0 1TB Type C, External Hard Drive 1TB &amp; USB 128 GB 3.2 for use at Planning &amp; Design Section, DPWH-INFDEO, Laoag City</t>
  </si>
  <si>
    <t>Construction of Training Center for Corn Husk Making</t>
  </si>
  <si>
    <t>PB-20-468, Supply &amp; Delivery of Medical Equipment for Cotabato Provincial Hospital, Amas, Kidapawan City in response to COVID-19 and other emerging and re-emerging diseases</t>
  </si>
  <si>
    <t>SIGNAGE /BILLBOARDS</t>
  </si>
  <si>
    <t>KARAPATAN: ALAMIN, IPAGLABAN</t>
  </si>
  <si>
    <t>Supply and Delivery of Raw Materials for Employees Meals (2nd Sem) Angeles - Lot 10</t>
  </si>
  <si>
    <t>PURCHASE OF MENTAL MEDICINE SUPPLIES FOR RHU I &amp; II, - 3RD QUARTER OF 2020</t>
  </si>
  <si>
    <t>Table Tennis with Wheels</t>
  </si>
  <si>
    <t>Supply and Delivery of Raw Materials for Employees Meals (2nd Sem) Angeles - Lot 9</t>
  </si>
  <si>
    <t>20GAA0150: Procurement of Diesel for use of various Service Vehicles and Equipment at Maintenance Section, DPWH-INFDEO, Laoag City</t>
  </si>
  <si>
    <t>Combi Blinds</t>
  </si>
  <si>
    <t>20-GDO-0006: Supply of Materials for the Application of Pavement Markings along Marikina – Infanta Road (Intermittent), Tanay, Rizal</t>
  </si>
  <si>
    <t>Network-Attached Storage (Data Storage Server)- Server Back up and Image archiving storage</t>
  </si>
  <si>
    <t>Supply and Delivery of Raw Materials for Employees Meals (2nd Sem) Angeles - Lot 8</t>
  </si>
  <si>
    <t>20GAA0149: Procurement of Turbo Diesel for use of various Service Vehicles and Equipment at Maintenance Section, DPWH-INFDEO, Laoag City</t>
  </si>
  <si>
    <t>Supply and Delivery of Raw Materials for Employees Meals (2nd Sem) Angeles - Lot 5</t>
  </si>
  <si>
    <t>Re-piping of water supply</t>
  </si>
  <si>
    <t>Rental of Service Vehicle for Roads and Bridges Investigation Activities for DPWH Projects (September 16-30, 2020) (Equipment Rental Only)</t>
  </si>
  <si>
    <t>SUPPLY AND DELIVERY OF PERSONAL PROTECTIVE EQUIPMENT</t>
  </si>
  <si>
    <t>REHABILITATION OF MULTIPURPOSE BUILDING, STA. RITA, CAGDIANAO</t>
  </si>
  <si>
    <t>20GAA0151: Procurement of Gasoline Unleaded for use of Grasscutters and Chainsaws at Maintenance Section, DPWH-INFDEO, Laoag City</t>
  </si>
  <si>
    <t>Rental of Service Vehicle Chargeable to CY 2020 Annual Maintenance Work Program (AMWP) for Inspection and Supervision of Routine/Periodic Maintenance for Roads and Bridges Projects along Makilala-Alla</t>
  </si>
  <si>
    <t>ITB 2020-04 Procurement of ICT Equipment for Quality Assurance Division</t>
  </si>
  <si>
    <t>SEMINAR ON RA 10742</t>
  </si>
  <si>
    <t xml:space="preserve">Rental of Service Vehicle for Use in Supervision of Various Projects within the Cotabato Sub-District Engineering office assigned in the Quality Assurance Section (1 unit 4x4) (September 16-30, 2020) </t>
  </si>
  <si>
    <t>Rental of Service Vehicle for Road Slope and Survey Investigation Activities for DPWH Projects (September 16-30, 2020) (Equipment Rental Only)</t>
  </si>
  <si>
    <t>Reproduction of Learning Modules</t>
  </si>
  <si>
    <t>20-GDO-0005: Supply of Materials for the Application of Pavement Markings along San Mateo – Rodriguez Road (Intermittent), San Mateo &amp; Rodriguez, Rizal</t>
  </si>
  <si>
    <t>Rental of Service Vehicle Chargeable to CY 2020 Annual Maintenance Work Program (AMWP) for Inspection and Supervision of Routine/Periodic Maintenance for Roads and Bridges Projects along Banisilan-Gui</t>
  </si>
  <si>
    <t>NEGOTIATED PROCUREMENT UNDER EMERGENCY CASE OF MILLING SERVICES FOR NFA-REGION XII</t>
  </si>
  <si>
    <t>SUPPLY AND DELIVERY OF TESTING KITS AND LABORATORY REAGENTS</t>
  </si>
  <si>
    <t>PURCHASE OF MEDICINE SUPPLIES FOR RHU I, II &amp; III, - 3RD QUARTER OF 2020</t>
  </si>
  <si>
    <t>SUPPLY AND DELIVERY OF LABORATORY AND HOSPITAL EQUIPMENT</t>
  </si>
  <si>
    <t>20GAA0177: Procurement of Turbo Diesel for use of various Service Vehicles at DPWH-INFDEO, Laoag City</t>
  </si>
  <si>
    <t>Supply and Delivery of FOUR HUNDRED (400) BAGS COMPLETE FERTILIZER (14-14-14)</t>
  </si>
  <si>
    <t>20GAA0176: Procurement of Diesel for use of various Service Vehicles at DPWH-INFDEO, Laoag City</t>
  </si>
  <si>
    <t>Supply and Delivery of Materials for Mini Dump SJZ-377</t>
  </si>
  <si>
    <t>Supply and Delivery of 2,678 sets of TUPAD Personal Protective Equipment</t>
  </si>
  <si>
    <t>Educational Materials and Supplies</t>
  </si>
  <si>
    <t>PROVISION OF CATERING SERVICES FOR THE 2020 SDO SORSOGON PROGRAM ON AWARDS AND INCENTIVES FOR SERVICE EXCELLENCE (PRAISE) AWARDING CEREMONY</t>
  </si>
  <si>
    <t>Supply and Delivery of FOUR HUNDRED (400) BOTTLES PESTICIDES</t>
  </si>
  <si>
    <t>PROCUREMENT OF JANITORIAL SUPPLIES</t>
  </si>
  <si>
    <t>RFQ&gt;&gt;&gt; Reproduction of Learning Modules | Pinget National High School | ABC=P89,378.56</t>
  </si>
  <si>
    <t>Rental of Service Vehicle for Supervision/Implementation of Regular Infra Projects (September 16-30, 2020) (Equipment Rental Only)</t>
  </si>
  <si>
    <t>Procurement of Imaging &amp; Laboratory Services (other hospital)</t>
  </si>
  <si>
    <t>Supply and Delivery of Nutritional Food Supplement</t>
  </si>
  <si>
    <t>Supply and Delivery of CATERING SERVICES</t>
  </si>
  <si>
    <t>RFQ-DVO-PR.NO. 2003447 CAT. 17 DRUGS AND MEDICINES</t>
  </si>
  <si>
    <t>Supply, Delivery and Installation of Aircon for Human Resource Office.</t>
  </si>
  <si>
    <t>Procurement of materials for Construction of MPB(Temporary shelter for CICL &amp; VAWC-Cases and Rehab. Center ) Phase 3</t>
  </si>
  <si>
    <t>SUPPLIES AND DELIVERY OF OFFICE SUPPLIES, OTHER SUPPLIES</t>
  </si>
  <si>
    <t>SUPPLY AND DELIVERY OF MEDICAL SUPPLIES</t>
  </si>
  <si>
    <t>Disaster Risk Reduction Management Program - #KabataanDapatHanda</t>
  </si>
  <si>
    <t>PURCHASE OF ONE (1) UNIT BRAND NEW 4X2 PICK-UP VEHICLE FOR MDRRMO; (for 2nd Bidding)</t>
  </si>
  <si>
    <t>Installation of Agat-Maluad Street Lights</t>
  </si>
  <si>
    <t>SUPPLY AND DELIVERY OF DISINFECTANTS AND OTHER SUPPLIES</t>
  </si>
  <si>
    <t>Brushing/Clearing of Mogao-Dominglay, Singit-Poblacion-Caoayan-Baquero-Bulbulala Road</t>
  </si>
  <si>
    <t>Construction of Sanitary Landfill Cell I</t>
  </si>
  <si>
    <t>Supply and Delivery of Various Office Equipment and Installation of Aircon for the Office of the Municipal Mayor.</t>
  </si>
  <si>
    <t>Procurement and Delivery of Various Agricultural Materials for TVL-ACP Instructional Purposes</t>
  </si>
  <si>
    <t>UPLB-S-057-09-20, SUPPLY, DELIVERY, INSTALLATION, TESTING AND COMMISSIONING OF AUTOMOTIVE EQUIPMENT FOR MTSS-UPMO</t>
  </si>
  <si>
    <t>SUPPLY AND DELIVERY OF ICT EQUIPMENT</t>
  </si>
  <si>
    <t>PROCUREMENT OF IT SUPPLIES</t>
  </si>
  <si>
    <t>Rehabilitation of Municipal Street</t>
  </si>
  <si>
    <t>RFQ-DVO-PR.NO. 2001549 CAT. 17 DRUGS AND MEDICINES</t>
  </si>
  <si>
    <t>Construction of Sanitary Landfill Accessories Support Facilities</t>
  </si>
  <si>
    <t>for Organic Agriculture Production NCII</t>
  </si>
  <si>
    <t>Supply, Delivery and Installation of Aircon for MDRRM Office</t>
  </si>
  <si>
    <t>Construction of Child Development Center</t>
  </si>
  <si>
    <t>PROCUREMENT OF PACK MEALS SUPPLIES FOR TEMPORARY TREATMENT MANAGING FACILITY</t>
  </si>
  <si>
    <t>PB-20-470, Supply &amp; Delivery of Various Supplies in support to the Operation of Health and Other Facilities established related to COVID-19</t>
  </si>
  <si>
    <t>RFQ&gt;&gt;&gt; Supply and Delivery of Refrigerator, Icebox and Ice Cooler | ABC=P198,192.00</t>
  </si>
  <si>
    <t>Improvement of hand washing facility</t>
  </si>
  <si>
    <t>Hiring of Service Provider for the Conduct of COVID-19 Reverse Transmission Polymerase Chain Reaction (RT-PCR) - Swab Test (SH-032-2020 &amp; PRAS NO. 2020-080)</t>
  </si>
  <si>
    <t>PB-20-453, Supply &amp; Delivery of Certified Palay Seeds for distribution to farmers provincewide under SAAD Program</t>
  </si>
  <si>
    <t>Revetment Works along Laguna Lake Shore, Brgy. Sucat to Brgy. Buli, Muntinlupa City Sta. 0+000 to Sta. 0+220.00 (Contract ID No. 20O00068)</t>
  </si>
  <si>
    <t>Rehabilitation of Multi-Purpose Hall</t>
  </si>
  <si>
    <t>Supply and Delivery of 7 Units Underwater Camera for PRDP GEF Unit (SH-030-2020 &amp; PRAS No. 2020-071)</t>
  </si>
  <si>
    <t>Procurement of One (1) Unit Bottle Crusher</t>
  </si>
  <si>
    <t>Fencing of Tumalip Open Gymnasium and Civic Center</t>
  </si>
  <si>
    <t>PB-20-452, Supply &amp; Delivery of Swine for distribution to farmers provincewide under SAAD Program</t>
  </si>
  <si>
    <t>ORD PABAC 006-06-20 (Lot 1) Procurement of Spares for Truck, Cargo, 5 Ton</t>
  </si>
  <si>
    <t>Concreting of Farm to Market Road at Barangay Bayotbot, SJOM</t>
  </si>
  <si>
    <t>20GSHE0001 Supply and Delivery of One (1) Set Global Navigation Satellite System (GNSS) Equipment Composed of 1 Base and 2 Rovers</t>
  </si>
  <si>
    <t>Rehab/Improvement of Multi Purpose Building</t>
  </si>
  <si>
    <t>CONSTRUCTION OF OPEN CANAL AT BARANGAY DE OCAMPO, TRECE MARTIRES CITY</t>
  </si>
  <si>
    <t>Supplying various diving equipment to be used in the implementation of the Coral Restoration Project for Marinduque, PG-ENRO, Boac, Marinduque (REBIDDING)</t>
  </si>
  <si>
    <t>Procurement of Internet Modem with Antenna</t>
  </si>
  <si>
    <t>RM of GSO Transport Equipment - GSO</t>
  </si>
  <si>
    <t>Office Equipment (Portable Speaker)</t>
  </si>
  <si>
    <t>PURCHASE OF CELLPHONE</t>
  </si>
  <si>
    <t>RFQ-Laboratory Equipment LESD</t>
  </si>
  <si>
    <t>Procurement of Materials for the Construction of Basketball Court (4 Goals)</t>
  </si>
  <si>
    <t>Supply and Delivery of Office Equipment for SB</t>
  </si>
  <si>
    <t>Balik iSKwela</t>
  </si>
  <si>
    <t>CONCRETING OF BGY. BUNOG ROAD, BUNOG RIZAL (MUNICIPALITY OF RIZAL, PALAWAN)</t>
  </si>
  <si>
    <t>Supply and Delivery of Various Forms for City Engineer's Office use</t>
  </si>
  <si>
    <t>Rental of Motor Vehicles</t>
  </si>
  <si>
    <t>Purchase of office supplies for MDRRM Office</t>
  </si>
  <si>
    <t>RFQ - Procurement of Goods: Const'n Materials &amp; Supplies for the use of CEO (Repair &amp; Maintenance of Structures used as Evacuation Center) (PR#100-20-08-0195)</t>
  </si>
  <si>
    <t>upgrading of submersible pump and submersible motor</t>
  </si>
  <si>
    <t>CONSTRUCTION OF FARM TO MARKET ROAD, SO. LAWIS TRANSFER OT SO. TULAN, BARANGAY ALUYON, BURDEOS, QUEZON</t>
  </si>
  <si>
    <t>Purchase of Office Equipment (2) - ASSESSOR</t>
  </si>
  <si>
    <t>Request for Quotation for the Provision of Catering Services to be used for the conduct of RCM Briefing Batch 1 and Batch 2 on October 29-30, 2020 at Camiguin</t>
  </si>
  <si>
    <t>Supply and Delivery of Feeds for Innovative Goat Program Project</t>
  </si>
  <si>
    <t>Purchase/Acquisition of Fuels for the Maintenance of Municipal Vehicles &amp; Heavy Equipment</t>
  </si>
  <si>
    <t>Supplies for printing of Modules of Pico Elementary School</t>
  </si>
  <si>
    <t>Supply &amp; Delivery of OTHER PPE (OSB)</t>
  </si>
  <si>
    <t>Rebidding: 1 unit Brand New Motorcycle for construction section.</t>
  </si>
  <si>
    <t>Supply &amp; Delivery of OTHER PPE</t>
  </si>
  <si>
    <t>SUPPLY AND DELIVERY OF VARIOUS FITTINGS AND ACCESSORIES</t>
  </si>
  <si>
    <t>20-06-434_Recheargable batteries and Thermo Scanner For MSUN-use</t>
  </si>
  <si>
    <t>INVITATION TO BID FOR SUPPLY AND DELIVERY OF ONE (1) UNIT AUTOCLAVE MACHINE</t>
  </si>
  <si>
    <t>PARCHMENT PAPER, 8 ½” X 11”, CREAM, SET OF 10 SHEETS &amp; 7 OTHERS (2nd Posting)</t>
  </si>
  <si>
    <t>OPENING OF FARM TO MARKET ROAD, Barangay Calungboyan, SANTA</t>
  </si>
  <si>
    <t>TAPE, MAGIC, 810 INVISIBLE 18MM X 25MM. SCOTCH 3M &amp; 7 OTHERS (2nd Posting)</t>
  </si>
  <si>
    <t>INFRA-Upgrading/Rehabilitation of Barangay Waterworks System @ Barangay San Agustin, San Roque, San Carlos, Rizal &amp; Magsaysay, Talibon, Bohol</t>
  </si>
  <si>
    <t>PURCHASE OF MATERIALS FOR CONCRETING OF MUNICIPAL STREETS</t>
  </si>
  <si>
    <t>FOR RPMO and SLP PROVINCES OFFICE SUPPLIES</t>
  </si>
  <si>
    <t>Supply and Delivery of Four Thousand Five Hundred (4500) Reams of Bond Paper for the Reproduction of Workbook</t>
  </si>
  <si>
    <t>Procurement of Laboratory Supplies for the Operation of the Services of the Molecular Microbiology and Biotechnology Laboratory</t>
  </si>
  <si>
    <t>RFQ- Supply and Delivery of Office Equipment</t>
  </si>
  <si>
    <t>PROCUREMENT OF 1 UNIT BRAND NEW TYPE RESCUE VEHICLE "VAN TYPE"</t>
  </si>
  <si>
    <t>CONSTRUCTION OF DOCTORS/NURSES QUARTER BUILDING (QUEZON MEDICARE HOSPITAL, QUEZON PALAWAN)</t>
  </si>
  <si>
    <t>Supplying various supplies and materials to be used in the delineation of boundaries for the Coral Restoration Project for Marinduque, PG-ENRO, Boac, Marinduque (REBIDDING)</t>
  </si>
  <si>
    <t>900 ltrs Diesel and other items for construction of drainage canal with cover at the Interior of Lasola Drive, Lumihoc's area (Phase) at Barangay Piapi/City Engineer"s Office</t>
  </si>
  <si>
    <t>for IMC production room</t>
  </si>
  <si>
    <t>Preparation &amp; Design of Architectural Plans &amp; Drawings including Detailed Engineering Estimates and other documentary requirements for the Construction of Covered Court Stage and Amenities</t>
  </si>
  <si>
    <t>PURCHASE OF 1 UNIT RESCUE VEHICLE 4 X 4</t>
  </si>
  <si>
    <t>Medical Uniform</t>
  </si>
  <si>
    <t>Rehabilitation of Drainage System</t>
  </si>
  <si>
    <t>MEDICAL SUPPLIES (HOSP 114,829.00)</t>
  </si>
  <si>
    <t>meals and accommodation for training on Gender Response Case Management, CDO</t>
  </si>
  <si>
    <t>20OF0335 Construction/Rehabilitation/improvement of the Drug Treatment and Rehabilitation Center (Tahanan), Payatas, Quezon City</t>
  </si>
  <si>
    <t>FEEDS (CROPS PRODUCTION)</t>
  </si>
  <si>
    <t>Procurement of  One (1) unit Duplicating Machine - DepEd-SND</t>
  </si>
  <si>
    <t>PROCUREMENT OF MATERIALS FOR MODULES</t>
  </si>
  <si>
    <t>5 Pail Wire Ropes (Open Gear) Lubricant, Petroleum Resin Base Grease, 18kgs/pail</t>
  </si>
  <si>
    <t>SUPPLY &amp; DELIVERY OF DRUGS &amp; MEDICINES</t>
  </si>
  <si>
    <t>Fuel &amp; Additives</t>
  </si>
  <si>
    <t>PROVISION OF MEDICAL SUPPLIES FOR PATEROS CLINICAL LABORATORY PROCEDURE SERVICES FOR CY 2020</t>
  </si>
  <si>
    <t>RFQ-Cookery Laboratory Tools</t>
  </si>
  <si>
    <t>Purchase of Drugs and Medicines for NSPH and District Hospitals Province of Northern Samar</t>
  </si>
  <si>
    <t>LED Lights</t>
  </si>
  <si>
    <t>Concreting of Brgy Road at Sitio Burabod Brgy Balasbas</t>
  </si>
  <si>
    <t>Materials (Construction of BFP Perimeter Fence – Nazareno St., Brgy. Central, City of Mati, Davao Oriental)</t>
  </si>
  <si>
    <t>Laboratory Analysis of the Canned Chevon Products</t>
  </si>
  <si>
    <t>meals and accommodation for SLP year end PREW cum strategic planning for CY2021</t>
  </si>
  <si>
    <t>Materials (Construction of SOCO Bldg.)</t>
  </si>
  <si>
    <t>Office Equipment for Official Use of Engineering Office</t>
  </si>
  <si>
    <t>Purchase of Office Equipment (4) - ASSESSOR</t>
  </si>
  <si>
    <t>Construction of Slab at the Porch of MPH</t>
  </si>
  <si>
    <t>Procurement of Materials for the Rehabilitation of Barangay Roads</t>
  </si>
  <si>
    <t>PROVISION OF BASIC ORAL HEALTH PACKAGE FOR ALL TARGET GROUP PATEROS HEALTH DEPARTMENT FOR CY 2020</t>
  </si>
  <si>
    <t>Supply and Delivery of One (1) unit Weighing Scale, Three (3) units Moisture Meter, One (1) unit Trolley, and Ten (10) pcs Spade for Marinduque Coco Geonet Production and Trading in Brgy. Tugos, Boac,</t>
  </si>
  <si>
    <t>Replacement of Tires of Government Owned Vehicle of Lgu-Guinobatan (T-King)</t>
  </si>
  <si>
    <t>PROCUREMENT OF PROFESSIONAL SERVICES FOR THE CONDUCT OF TRAININGS AND PROVISION OF TECHNICAL ASSISTANCE IN THE APPLICATION FOR ISO-QMS CERTIFICATION OF DAR PROVINCIAL OFFICE-SORSOGON</t>
  </si>
  <si>
    <t>S 74-2020 Inks</t>
  </si>
  <si>
    <t>S 75-2020 Toner</t>
  </si>
  <si>
    <t>Paper Shredder</t>
  </si>
  <si>
    <t>Office Equipment for Official Use of MSWD Office</t>
  </si>
  <si>
    <t>Purchase of Construction Materials for the Concreting of Cariño Street, Centro 2, San Guillermo, Isabela</t>
  </si>
  <si>
    <t>CONSTRUCTION OF FARM TO MARKET ROAD, SO. SUBOK TRANSFER TO SO. DINARASAN, BRGY. ALUYON, BURDEOS, QUEZON</t>
  </si>
  <si>
    <t>Procurement of Equipment for the Operation of the Services of the Molecular Microbiology and Biotechnology Laboratory</t>
  </si>
  <si>
    <t>Procurement of Catering Services (Buffet Lunch and AM/PM Snacks) for the Orientation on Data Gathering on Barangay Level  in Pagadian City, Province of Zamboanga del Sur</t>
  </si>
  <si>
    <t>Installation of CCTV</t>
  </si>
  <si>
    <t>RFQ-TO PROVIDE I.T MATERIALS FOR THE OPERATION OF MIS OFFICE.IGF-164-20-08-197</t>
  </si>
  <si>
    <t>IT Parts and accessories</t>
  </si>
  <si>
    <t>IMPROVEMENT OF MARAKIT FARM TO MARKET ROAD</t>
  </si>
  <si>
    <t>EXPANSION OF TABOGON RHU</t>
  </si>
  <si>
    <t>PROCUREMENT OF OFFICE SUPPLIES FOR 3RD &amp; 4TH QTR 2020 - 1ST POSTING</t>
  </si>
  <si>
    <t>Procurement of 1 unit Roller lid Cover for Vehicle  Plate No. A5K-724 (HILUX PICK-UP)</t>
  </si>
  <si>
    <t>Materials (Rehab. of Water System Purok 49, Tambon, Don Salvador)</t>
  </si>
  <si>
    <t>SPECIALTY BOARD, VELLUM PAPER, WHITE A4 SIZE 10’S &amp; 9 OTHERS (2nd Posting)</t>
  </si>
  <si>
    <t>Supply &amp; Delivery of Materials for Reproduction of Learner's Modules at Buenavista NHS Junior HS</t>
  </si>
  <si>
    <t>Supply and delivery of Radio Communication Equipment for 48th IB, Balanga City, Bataan</t>
  </si>
  <si>
    <t>CONSTRUCTION OF HEAD WALL FOR CROSS DRAINAGE - SITIO CENTRO-3 CANTIBAS, BALAMBAN, CEBU</t>
  </si>
  <si>
    <t>IT Equipment (Laptop)</t>
  </si>
  <si>
    <t>IMPROVEMENT OF EMERGENCY OPERATION CENTER</t>
  </si>
  <si>
    <t>IT SUPPLIES_CDD</t>
  </si>
  <si>
    <t>Construction of Potable Water Supply (Phase 01) at Unag, Amulung Cagayan 2nd Publication</t>
  </si>
  <si>
    <t>Installation of Street Light  at Unag, Amulung Cagayan 2nd Publication</t>
  </si>
  <si>
    <t>RFQ - Procurement of Goods: Office Supplies for the use of CTO (Revenue Generation Program) (PR#100-20-08-0051)</t>
  </si>
  <si>
    <t>Procurement of Construction Equipment</t>
  </si>
  <si>
    <t>SITE DEVELOPMENT  FOR THE PROPOSED  FIRE STATION</t>
  </si>
  <si>
    <t>Supply and delivery of Table Glass Counter, Analok Frame</t>
  </si>
  <si>
    <t>Meals for Frontliners September 1-7,2020</t>
  </si>
  <si>
    <t>Supply and Delivery of One (1) unit Decorticating Machine, One (1) unitWinnowing Machine, Forty (40) unitsTwisting/Twining Device, Twenty (20) units Weaving Device, Three, andOne (1) unitBailing Machi</t>
  </si>
  <si>
    <t>Barangay Kanguha, NATIVE FREE-RANGE CHICKEN PRODUCTION.</t>
  </si>
  <si>
    <t>Barangay Road Concreting( Zone 03)</t>
  </si>
  <si>
    <t>Procurement of  Office Supplies - DepEd-SND</t>
  </si>
  <si>
    <t>SVP 1296-2020 Fertilizers</t>
  </si>
  <si>
    <t>Procurement of Office and Janitorial Supplies of TRADOC, PA amounting to Php 400,000.00</t>
  </si>
  <si>
    <t>RADIATOR REPAIR AND FABRICATE OF KS BOLT FOR KAMATSU BULLDOZER</t>
  </si>
  <si>
    <t>Rebidding: 47 bags Hog Grower pellets 50 kgs cap and other items for use for livestock in City Farmstead Talay.</t>
  </si>
  <si>
    <t>Purchase of Various Office Equipment Province of Northern Samar</t>
  </si>
  <si>
    <t>Office Supply for SK</t>
  </si>
  <si>
    <t>Procurement of ICT Equipment for CDD</t>
  </si>
  <si>
    <t>CONSTRUCTION OF FARM TO MARKET ROAD, SO. PROPER, BARANGAY ALUYON, BURDEOS, QUEZON</t>
  </si>
  <si>
    <t>Labor for the Construction/Completion/Improvement/Renovation of Multi-Purpose Hall at Florida</t>
  </si>
  <si>
    <t>ANNUAL MEDICAL AND LABORATORY EXAMINATION OF REGULAR AND CASUAL PERSONNEL 2020</t>
  </si>
  <si>
    <t>COMPLETION OF BANATE COASTAL DEVELOPMENT PROJECT - EMBANKMENT ON SEAWALL PROTECTION (PHASE 4), POBLACION, BANATE, ILOILO</t>
  </si>
  <si>
    <t>Construction/Concreting of Barangay Road at Brgy. Manarug, Javier, Leyte</t>
  </si>
  <si>
    <t>Purchase of Office Equipment (5) - ASSESSOR</t>
  </si>
  <si>
    <t>INSTALLATION OF LIGHTING SYSTEM (Sitio Usiw, Brgy.  Quipot)</t>
  </si>
  <si>
    <t>Procurement of Materials for the Construction of BARANGAY MRF</t>
  </si>
  <si>
    <t>Supply and Delivery of Materials for the Renovation of SP Conference, City Gov't. of Tarlac, this City</t>
  </si>
  <si>
    <t>Installation of CCTV’s in Various Barangays (Phase II)</t>
  </si>
  <si>
    <t>Procurement of Staff Conference</t>
  </si>
  <si>
    <t>Supply and delivery of office, ICT, janitorial &amp; other supplies for office use in support to IFED project</t>
  </si>
  <si>
    <t>Supply and Delivery of Various Materials</t>
  </si>
  <si>
    <t>Computer Ink (General)</t>
  </si>
  <si>
    <t>Cont. of Construction of Seawall P-4 to P-5</t>
  </si>
  <si>
    <t>Producton of Listahanan Infographic Videos</t>
  </si>
  <si>
    <t>school supplies and maintenance of CAWAYAN ELEMENTARY SCHOOL</t>
  </si>
  <si>
    <t>SUPPLY &amp; DELIVERY OF OFFICE EQUIPMENT 1 UNIT SPLIT TYPE AIRCON INVERTER</t>
  </si>
  <si>
    <t>PROCUREMENT OF OTHER SUPPLIES &amp; MATERIALS</t>
  </si>
  <si>
    <t>Continuation of Naguilian Flood Control (remaining item of the original POW)</t>
  </si>
  <si>
    <t>Supply and delivery of materials for the construction/installation of Potable Water  System at barangay Kauswagan, Matanao, Davao del Sur</t>
  </si>
  <si>
    <t>Procurement of Catering Services (Buffet Lunch, AM and PM Snacks) for the Development Forum for the 5 Priority Areas</t>
  </si>
  <si>
    <t>Purchase of Vegetable Seeds for the Farmers of Vigan City</t>
  </si>
  <si>
    <t>supply of labor &amp; materials for the extension of existing building connecting to main building to RCPC PR#2020-08-17-393 w/ ABC of P957,104.53</t>
  </si>
  <si>
    <t>request for quotation of kitchenware</t>
  </si>
  <si>
    <t>Purchase of goods</t>
  </si>
  <si>
    <t>RFQ - Procurement of Goods: Various Supplies for the use of CHRMO (During the 120th Philippines Civil Service Anniversary Health and Wellness Program) (PR#100-20-08-0192)</t>
  </si>
  <si>
    <t>Materials for the Construction/Completion/Improvement/Renovation of Multi-Purpose Hall</t>
  </si>
  <si>
    <t>Purchase of Construction Materials for the Concreting of Urban Road Aguilar Street, Centro 1, San Guillermo, Isabela</t>
  </si>
  <si>
    <t>Printing of FSIC, FSEC and OPS Forms for the use of BFP Region 6 for CY 2020</t>
  </si>
  <si>
    <t>Certificate Holder with DOH Logo</t>
  </si>
  <si>
    <t>Materials for the Repair and Maintenance of Municipal Road</t>
  </si>
  <si>
    <t>CONTINUATION OF OPENING OF ROAD, SO. GUMIAN TOWARDS SO. MAUNAY-UNAY, BARANGAY ALUYON, BURDEOS, QUEZON</t>
  </si>
  <si>
    <t>Firearms</t>
  </si>
  <si>
    <t>Request for quotation of general merchandise</t>
  </si>
  <si>
    <t>RFQ - Procurement of Goods: IT Equipment (Desktop Computer &amp; Printer) for the use of CMO (PR#100-20-08-0187)</t>
  </si>
  <si>
    <t>Cost of parts replacement , body repair &amp; Body Paint for Government Vehicle with Plate No. SKC 383</t>
  </si>
  <si>
    <t>CONSTRUCTION OF PERIMETER FENCE AT BARANGAY COMPOUND, BRGY. BALANGKARE SUR</t>
  </si>
  <si>
    <t>Procurement of Infrastructure-Road Concreting</t>
  </si>
  <si>
    <t>VIDEO TELECONFERENCING APPLICATION</t>
  </si>
  <si>
    <t>PURCHASE OF SPAREPARTS</t>
  </si>
  <si>
    <t>INFR-20-025- REPAIR AND IMPROVEMENT OF BAHAY PAG ASA AT CAMACHILE SUBDIVISION, BARANGAY PASONG CAMACHILE I, CITY OF GEN. TRIAS, CAVITE</t>
  </si>
  <si>
    <t>Supply &amp; Delivery of PREPAID CARDS for the use of Municipal Heads of Offices for the period of July-September 2020</t>
  </si>
  <si>
    <t>Procurement of Office Equipment Parts of TRADOC, PA amounting to Php 50,000.00</t>
  </si>
  <si>
    <t>Materials for the Repair and Maintenance of School Building</t>
  </si>
  <si>
    <t>PURCHASE OF TIRE</t>
  </si>
  <si>
    <t>STO-20-3094: Procurement of Various Cleaning/Janitorial Supplies…</t>
  </si>
  <si>
    <t>Supply and Delivery of Construction Materials for Proposed Plant Box (CEO)</t>
  </si>
  <si>
    <t>Procurement of School Supplies to be distributed to 810 elementary and junior high school students from the poor families in the Municipality of Bay, Laguna  on August 12, 2020</t>
  </si>
  <si>
    <t>Supply and Delivery of 3 Units Flatbed Color Document Scanner with ADF</t>
  </si>
  <si>
    <t>Construction of Flood Control Phase I</t>
  </si>
  <si>
    <t>Supply and Delivery of General Merchandise</t>
  </si>
  <si>
    <t>REPAIR AND BUILD-UPOF BULLDOZER ROLLERS</t>
  </si>
  <si>
    <t>Procurement and Delivery of School Supplies, Materials and equipment; Construction Supplies; Health related needs and other Instructional Materials for JHS</t>
  </si>
  <si>
    <t>Supply and Delivery of One (1) Unit Xerox Machine for Sangguniang Bayan of Cuyo</t>
  </si>
  <si>
    <t>GASS-H-20-3056: Procurement of Various Office Supplies</t>
  </si>
  <si>
    <t>Supply and Delivery of Ink for Printers &amp; Photocopier at Buenavista NHS Junior HS</t>
  </si>
  <si>
    <t>Supply, Delivery and Replacement of One (1) Unit Circuit Breaker Compact NS 1250N</t>
  </si>
  <si>
    <t>PURCHASE OF CELLCARDS (3RD &amp; 4TH QUARTER)</t>
  </si>
  <si>
    <t>Establishment of Water System at Matungao</t>
  </si>
  <si>
    <t>Purchase of (100 bags) Value Meal Dog Food to be used at the Animal Impounding Center Located at Buhay na Tubig, City of Imus</t>
  </si>
  <si>
    <t>Procurement of Medicines for SSB Outreach Program of MMO</t>
  </si>
  <si>
    <t>Purchase and delivery of mimeographing machine ink for SHS modules printing</t>
  </si>
  <si>
    <t>Construction of Access Road at Barangay Ibis, Bagac, Bataan</t>
  </si>
  <si>
    <t>December Cultural Activities</t>
  </si>
  <si>
    <t>Supply and Delivery of Construction Materials and Supplies to be used in the construction of Water Systems at Baco, Calapan City, Pinamalayan &amp; Bongabong.</t>
  </si>
  <si>
    <t>AB YDP 2020 PROJECT-PURCHASE OF SCHOOL SUPPLY, SUPPLIES, DEVICES AND GENERAL MERCHANDISE</t>
  </si>
  <si>
    <t>Supply and delivery of various construction materials for the project Construction of Level II Gravity Fed Water Supply System at Brgy. San Sotero, Javier, Leyte.</t>
  </si>
  <si>
    <t>COMPLETION OF SENIOR CITIZEN BUILDING (Brgy. San Jose, Tiaong, Quezon)</t>
  </si>
  <si>
    <t>PURCHASE OF MATERIALS FOR VARIOUS BUILDING MAINTENANCE</t>
  </si>
  <si>
    <t>Supply and Delivery of Vehicle Parts and Accessories</t>
  </si>
  <si>
    <t>Office Supplies for use of Various Office-SB-20-C0782</t>
  </si>
  <si>
    <t>Purchase of Materials for the Construction of Tanod Outpost, Brgy. Daanbanwa, Lambunao, Iloilo</t>
  </si>
  <si>
    <t>Office Supplies for Reproduction of Modules</t>
  </si>
  <si>
    <t>INVITATION TO BID FOR THE PROCUREMENT OF MEDICAL &amp; DENTAL SUPPLIES FOR CLINICS (SDHCP_CLINICS_2020)</t>
  </si>
  <si>
    <t>Construction of Various Infrastructure Projects (Cluster 1)</t>
  </si>
  <si>
    <t>Supply and Installation of Polycarbonate Roofing Materials Bended Accessories,  Labor Installation and Trucking Services for the Repair and Maintenance of PVGO Office Building</t>
  </si>
  <si>
    <t>Purchase of Materials for the Construction of Maduao New Spring Box</t>
  </si>
  <si>
    <t>REPAIR AND MAINTENANCE OF BUILDING AND OTHER STRUCTURE, NEAR BARANGAY HALL, BARANGAY ALUYON, BURDEOS, QUEZON</t>
  </si>
  <si>
    <t>SVP 1300-2020 RM-Vehicle</t>
  </si>
  <si>
    <t>Supply and delivery of various construction materials for the project Continuation of Concreting of Barangay Road at Brgy. Malitbogay, Javier, Leyte</t>
  </si>
  <si>
    <t>BOARDER RESTRICTIONS OF BARANGAY (CHECK-POINT) - LUCA, BALAMBAN, CEBU</t>
  </si>
  <si>
    <t>SVP 1301-2020 Oils</t>
  </si>
  <si>
    <t>Supplies and Materials for Photovoltaic System Installation in PTC-South Cotabato</t>
  </si>
  <si>
    <t>Procurement of Materials and Supplies for the Installation/Repair of Drainage System (Barangay Poblacion)</t>
  </si>
  <si>
    <t>INVITATION TO BID FOR THE CONSTRUCTION OF HEALTH CENTER - PHASE III, BRGY. BULAWON, STA. CRUZ, ZAMBALES</t>
  </si>
  <si>
    <t>PURCHASE OF 1 UNIT PHOTOCOPIER</t>
  </si>
  <si>
    <t>RM of GSO Transport Vehicles - GSO</t>
  </si>
  <si>
    <t>SUPPLY AND DELIVERY OF LABORATORY EQUIPMENT</t>
  </si>
  <si>
    <t>CLEAN AND GREEN PROGRAM (CONSTRUCTION OF CENTRALIZED MATERIAL RECOVERY FACILITY (MRF) PHASE 3</t>
  </si>
  <si>
    <t>supply &amp; delivery of Various Learning Materials</t>
  </si>
  <si>
    <t>20GJD0013(ReAd) - Supply and Delivery of 1036 bags Thermoplastic Paint White, Glass Beads, Primer White, etc., for use in the Repair/Maintenance of National Roads and Bridges Painting/Repainting of Ce</t>
  </si>
  <si>
    <t>Procurement of iPad pro for replacement of depreciating laptop</t>
  </si>
  <si>
    <t>Request for Quotation for Construction Materials and Electrical Supplies (188,335.75)</t>
  </si>
  <si>
    <t>2,376	ltrs. 	Diesel, PR # 652-20</t>
  </si>
  <si>
    <t>Repair and Maintenance Supplies: for the use of SFLU TRC</t>
  </si>
  <si>
    <t>Acquisition of Medical Equipment, (RHU 20% D.F. 1)</t>
  </si>
  <si>
    <t>Supply &amp; Delivery of Fuel &amp; other Lubricants (Diesel/Crude, Special  Gasoline &amp; other oil ) LGU-Polillo, Quezon</t>
  </si>
  <si>
    <t>Contract of Service (Upgrading of General Revision Process of the RPT System)</t>
  </si>
  <si>
    <t>Purchase of spareparts</t>
  </si>
  <si>
    <t>Supply and Delivery of School Supplies</t>
  </si>
  <si>
    <t>Establishment of Temporary Quarantine Facility - MO</t>
  </si>
  <si>
    <t>Purchase and delivery of supplies and materials for Zoological Park</t>
  </si>
  <si>
    <t>PROCUREMENT OF PHOTOCOPIER FOR DANGAY ELEMENTARY SCHOOL</t>
  </si>
  <si>
    <t>PURCHASE OF MINI BACKHOE</t>
  </si>
  <si>
    <t>PROVISION OF FOOD DURING THE BAC MEETING(Aug. 4, 7, 13, 17, 26, 2020)</t>
  </si>
  <si>
    <t>Purchase of Collapsible Dryer to be distributed to the Registered Farmers Organization and Palayan ng Bayan</t>
  </si>
  <si>
    <t>Procurement of Various Veterinary Products and Supplies [05-022(AA) Provet</t>
  </si>
  <si>
    <t>Purchase and delivery of office supplies to be given to DepEd Calapan City.</t>
  </si>
  <si>
    <t>Supply &amp; Delivery of Construction Materials for the Repair and Maintenance of Public Market Gates</t>
  </si>
  <si>
    <t>PROC 20 - CONTINUOUS FORMS</t>
  </si>
  <si>
    <t>Supply and delivery office supplies and consumables</t>
  </si>
  <si>
    <t>COST OF ELECTRICAL AND MAINTENANCE SUPPLIES USED AT CITY PUBLIC MARKET &amp; CITY SLAUGHTERHOUSE.</t>
  </si>
  <si>
    <t>Purchase of Materials for the Const. of Drainage Canal, Brgy. Daanbanwa, Lambunao, Iloilo</t>
  </si>
  <si>
    <t>PURCHASE OF OFFICE EQUIPMENT FOR BONIFACIO CES</t>
  </si>
  <si>
    <t>Procurement and Delivery of School Supplies, Materials &amp; Equipment, Health supplies, janitorial supplies, minor repair and other Instructional Materials for SHS</t>
  </si>
  <si>
    <t>CONSTRUCTION OF RAIN WATER FILTER AND PURIFIER</t>
  </si>
  <si>
    <t>Purchase and Deliver of Materials for Rehabilitation of Mansalay Agri-Trade Complex (MATC)</t>
  </si>
  <si>
    <t>rental of tow truck</t>
  </si>
  <si>
    <t>Purchase of medicine for City Health Office use</t>
  </si>
  <si>
    <t>Construction of Level II Water Supply System @ Brgy. Sawat, Salavante &amp; Poblacion, Urbiztondo, Pangasinan</t>
  </si>
  <si>
    <t>20-07-0938 -Provision of catering &amp; venue rental services for WFH 2021 and APM 2022-2023</t>
  </si>
  <si>
    <t>RFQ - Masonry NC II Construction Supplies</t>
  </si>
  <si>
    <t>LEARNING MANAGEMENT SYSTEM (5 MONTHS SUBSCRIPTION)</t>
  </si>
  <si>
    <t>SVP 1246-2020 Computer Desktop</t>
  </si>
  <si>
    <t>Materials for the installation of additional protective plastic with wooden frame</t>
  </si>
  <si>
    <t>Supply and delivery of Tents to be used at Department of Agriculture-RFO 3 with an ABC of P260,000.00 and PR#2020-08-18-139.</t>
  </si>
  <si>
    <t>Repair and maintenance of various vehicles assigned to CEPWD</t>
  </si>
  <si>
    <t>Procurement of IT equipment for eTRACS of Office of the Municipal Treasurer</t>
  </si>
  <si>
    <t>Meals and Snacks for use of EXECOM-SVP-20-5492</t>
  </si>
  <si>
    <t>MEDICAL SUPPLIES (HOSP 123,247.00</t>
  </si>
  <si>
    <t>Purchase of IT Equipment (for the use of the Molecular Laboratory at PPH)</t>
  </si>
  <si>
    <t>PURCHASE OF OFFICE AND SCHOOL SUPPLIES FOR BONIFACIO CES</t>
  </si>
  <si>
    <t>Production / Printing of Security Paper</t>
  </si>
  <si>
    <t>Document Authentication System Barcode</t>
  </si>
  <si>
    <t>Procurement of Bactericides/Pesticides for Crop Protection and Veterinary Medicines for Animal Health Care and Disease Control</t>
  </si>
  <si>
    <t>ONE JOB ORDER FOR LABOR AND MATERIALS FOR THE COMPLETION,REPAIR/RENOVATION/REHABILITATION OF SAN ISIDRO RHU,SAN MIGUEL HOSPITAL POBLACION BOHOL AND AMLAN RHU,POBLACION NEGROS ORIENTAL (BAC 2020-I04)</t>
  </si>
  <si>
    <t>SPROCKET BUILD-UP AND FABRICATE TEETH FOR KAMATSU BULLDOZER</t>
  </si>
  <si>
    <t>Agricultural Supplies and Materials - MAGO</t>
  </si>
  <si>
    <t>Training on Food Processing, Preservation &amp; Baking (Baking Tools)</t>
  </si>
  <si>
    <t>Construction of Seawall P-2</t>
  </si>
  <si>
    <t>RFQ-TO PROVIDE ELECTRONICS PARTS AND EQUIPMENT FOR THE OPERATION OF CEGS LABORATORY.IGF-164-20-08-208</t>
  </si>
  <si>
    <t>PURCHASE AND INSTALLATION OF AIR-CONDITIONING UNITS FOR THE NEW LA PAZ TOWN HALL</t>
  </si>
  <si>
    <t>PROCUREMENT OF SUPPLIES FOR DEP-ED (RE-BIDDING)</t>
  </si>
  <si>
    <t>RFQ-GS-20200720-06 - 1 Lot Supply, Delivery and Installation of Office Furniture at LANDBANK Balingasag Branch</t>
  </si>
  <si>
    <t>SUPPLY AND DELIVERY OF PLASTIC PALLET</t>
  </si>
  <si>
    <t>Barangay Kanguha, WATER SYSTEM.</t>
  </si>
  <si>
    <t>PURCHASE OF VEHICLE PARTS AND ACCESSORIES</t>
  </si>
  <si>
    <t>PURCHASE AND INSTALLATION OF BRGY. WARNING SYSTEM (TRUMPA)</t>
  </si>
  <si>
    <t>RFQ No.: 2020 – 146 - Ostomy Bag, Oxygen Mask and Plaster</t>
  </si>
  <si>
    <t>Reproduction of Supplemental Learning Materials (Part of the Modular Learning Kits of the DepEd) Week 8</t>
  </si>
  <si>
    <t>Materials for the inst. of glass protection CAIAD</t>
  </si>
  <si>
    <t>Supply/Delivery for Table and Monoblock Chair</t>
  </si>
  <si>
    <t>PURCHASE OF OFFICE AND SCHOOL SUPPLIES FOR NOVELE NHS</t>
  </si>
  <si>
    <t>Procurement of Concrete Cutter</t>
  </si>
  <si>
    <t>Printing Services for Batch 2018 Yearbook of MinSCAT Main Campus</t>
  </si>
  <si>
    <t>Procurement of 3 pc. Smartphone for use in the validation of road inventory and road condition along Daang Maharlika, Nueva Vizcaya</t>
  </si>
  <si>
    <t>VARIOUS  PROJECTS UNDER CLUSTER J-2020, POBLACION, BAKUN, BENGUET</t>
  </si>
  <si>
    <t>NP 558-2020 Prepaid Cards</t>
  </si>
  <si>
    <t>CONSTRUCTION OF MOLING LOADING PLATFORM, POBLACION, BAKUN, BENGUET</t>
  </si>
  <si>
    <t>STRAIGTHENING AND REPAIR OF U-FRAME FOR KAMATSU BULLDOZER</t>
  </si>
  <si>
    <t>Agricultural supplies and Materials - MAGO</t>
  </si>
  <si>
    <t>Improvement of Water System</t>
  </si>
  <si>
    <t>IMPROVEMENT OF BEWANG-BEYENG FMR, SINACBAT, BAKUN, BENGUET</t>
  </si>
  <si>
    <t>Tiling of Faculty Room and CR with labor for Bagumbayan Campus</t>
  </si>
  <si>
    <t>Procurement of 9 pc. Safety Shoes etc. for use in the validation of Road Inventory</t>
  </si>
  <si>
    <t>PROCUREMENT SERVICES OF A RESEARCH AGENCY/COMPANY FOR THE CONDUCT OF DBP-LC’s (DBP LEASING CORPORATION) CUSTOMER SATISFACTION SURVEY FOR CY 2020</t>
  </si>
  <si>
    <t>0548 Other Supplies and Materials</t>
  </si>
  <si>
    <t>Supply And Delivery of Field Supplies to NwSSU SJC (PCAARD- PR#: 20-08-189)</t>
  </si>
  <si>
    <t>Preventive Maintenance of the IWATSU PABX System for One (1) Year starting from October 15, 2020 to October 14, 2021 at the DOLE Main Building</t>
  </si>
  <si>
    <t>Purchase of Executive Table with Side and Center Table for PNP Chief, Midsayap, Cotabato</t>
  </si>
  <si>
    <t>Supply and delivery of food items for 2nd semester consumption of Haven for Women and Girls residents</t>
  </si>
  <si>
    <t>PROCUREMENT OF CORPORATE GIVE AWAYS</t>
  </si>
  <si>
    <t>Purchase of Ink Supplies for the 3rd Quarter (July-September 2020) for District I, District II, and Region X Office</t>
  </si>
  <si>
    <t>Construction materials to be used by FMO</t>
  </si>
  <si>
    <t>REPAIR AND BUILD-UP OF IDLER CARRIER OF BULLDOZER ROLLERS</t>
  </si>
  <si>
    <t>Procurement of Office Supplies, ICT Equipment, and Medical Emergency Supplies</t>
  </si>
  <si>
    <t>RFQ for the Purchase of Office Supplies and other consumables for the 2nd quarter</t>
  </si>
  <si>
    <t>Supply and delivery of various office supplies</t>
  </si>
  <si>
    <t>Supply and Delivery of Various Materials to be used on PBAMS activity under CENRO Cabanatuan City</t>
  </si>
  <si>
    <t>Maintenance of SEC I-Register and SEC I-Re[prt Servers and its Related Equipment</t>
  </si>
  <si>
    <t>Supply And Delivery of Computer and Supplies NwSSU SJC (PCAARD- PR#: 20-08-190)</t>
  </si>
  <si>
    <t>OFFICE SUPPLIES and DEVICES_CDD</t>
  </si>
  <si>
    <t>Procurement of Materials for Proposed Improvement of Mayor's Office,MSP</t>
  </si>
  <si>
    <t>Supply/Delivery of Medical Supplies and Materials  for Ched Project</t>
  </si>
  <si>
    <t>ID LACE AND ID HOLDER</t>
  </si>
  <si>
    <t>NP 560-2020 Alcohol</t>
  </si>
  <si>
    <t>Repair of service vehicle of Hon. Mylene de Jesus</t>
  </si>
  <si>
    <t>Purchase of Multivitamins for Nutrition Program of RHU, Garcia-Hernandez</t>
  </si>
  <si>
    <t>PROCUREMENT OF PROGESTINE PILLS USE FOR FAMILY PLANNING OF MHO</t>
  </si>
  <si>
    <t>Purchase of Vehicle Parts and Maintenance</t>
  </si>
  <si>
    <t>Procurement of Construction and Hardware Supplies</t>
  </si>
  <si>
    <t>Various sizes Water Meters</t>
  </si>
  <si>
    <t>Supplies and materials for nursery and training center</t>
  </si>
  <si>
    <t>SUPPLY AND DELIVERY OF ONE (1) UNIT SUBMERSIBLE PUMP FOR WATER DEVELOPMENT&amp;IMPROVEMENT</t>
  </si>
  <si>
    <t>Supply/Delivery of  Agricultural Chemicals for Rice Seeds Production</t>
  </si>
  <si>
    <t>Supply and Delivery of Various Sizes for Trash Bags</t>
  </si>
  <si>
    <t>Supply and delivery of Tires for DT-7, this city</t>
  </si>
  <si>
    <t>Purchase of furniture of Barangay Sta. Monica, San Luis, batangas</t>
  </si>
  <si>
    <t>0549 Office Equipment</t>
  </si>
  <si>
    <t>PROCUREMENT OF COMMUNICATION EQUIPMENT</t>
  </si>
  <si>
    <t>Procurement of Anti-Rabies Vaccine, Vitamin and Terramycin</t>
  </si>
  <si>
    <t>(DDH) REQUEST FOR QUOTATION (RFQ) For the Procurement of 150 tanks Medical Oxygen (Big-Refill)</t>
  </si>
  <si>
    <t>Purchase of office supplies at Barangay Sala, Tanauan City, Batangas</t>
  </si>
  <si>
    <t>PRE DISASTER PREPAREDNESS, RESCUE &amp; KITCHEN UTENSILS</t>
  </si>
  <si>
    <t>PRINTING MATERIALS (DV, JOURNAL ENTRY VOUCHER, ORS AND BURS)</t>
  </si>
  <si>
    <t>Face Shield to be distributed to municipal and National Government Personnel</t>
  </si>
  <si>
    <t>Establishment of Vegetable Greenhouse</t>
  </si>
  <si>
    <t>OFFICE SUPPLIES AND CONSUMABLES</t>
  </si>
  <si>
    <t>Re-bidding: Lot 1: Supply and Delivery of Electrical Supplies for Maintenance of School Lighting/Wiring System (PR No. 2020-02-0095, 2020-02-0096, 2020-02-0200) &amp; Re-bidding: Lot 2: Supply and Deliver</t>
  </si>
  <si>
    <t>Procurement of IT equipments for office of Environmental Management Services</t>
  </si>
  <si>
    <t>Procurement of Reagents/Supplies for Municipal Employees and Medicines for the use of Different Barangays</t>
  </si>
  <si>
    <t>SUPPLY AND DELIVERY OF CUTTING OUTFIT AND 2 OTHERS INTENDED FOR VISAYAS MAINTENANCE &amp; TECHNICAL SERVICES DIVISION</t>
  </si>
  <si>
    <t>SUPPLY AND DELIVERY OF PORTABLE LABEL PRINTER INTENDED FOR VISAYAS MAINTENANCE &amp; TECHNICAL SERVICES DIVISION</t>
  </si>
  <si>
    <t>PROCUREMENT OF TELECOMMUNICATIONS PROVIDER</t>
  </si>
  <si>
    <t>Rental of 3 units Portalets, DSW-PR-903</t>
  </si>
  <si>
    <t>Supply &amp; Delivery of  UTP Cables (for UPM-IMS)</t>
  </si>
  <si>
    <t>Module Reproduction for Natividad National High School</t>
  </si>
  <si>
    <t>PROCUREMENT OF VARIOUS OFFICE SUPPLIES</t>
  </si>
  <si>
    <t>Procurement of School and Office Supplies for the month of April 2020 to July 2020</t>
  </si>
  <si>
    <t>supply of labor &amp; materials for the repair of drainage for existing Earwig laboratory PR#2020-08-17-392 w/ ABC of P372,173.03</t>
  </si>
  <si>
    <t>FABRICATION AND INSTALLATION OF RAILINGS</t>
  </si>
  <si>
    <t>Materials for the const. of child development Center SMV</t>
  </si>
  <si>
    <t>SUPPLIES/MATERIALS FOR LIBRARY USE</t>
  </si>
  <si>
    <t>Merangeran ES School and Office supplies July- September 2020</t>
  </si>
  <si>
    <t>Medical Hammer</t>
  </si>
  <si>
    <t>Printing/Reproduction of Self Learning Modules (Taysan Resettlement Integrated School)</t>
  </si>
  <si>
    <t>PURCHASE OF OFFICE SUPPLIES AND EQUIPMENT</t>
  </si>
  <si>
    <t>Supply and Delivery of Tire 10 x 20</t>
  </si>
  <si>
    <t>Purchase of Face shield at Barangay Sala, Tanauan City, Batangas</t>
  </si>
  <si>
    <t>Supply And Delivery of Oven Drier to NwSSU SJC (PCAARD- PR#: 20-08-192)</t>
  </si>
  <si>
    <t>Road Development Program</t>
  </si>
  <si>
    <t>FOR THE LEARNING MODULES</t>
  </si>
  <si>
    <t>Purchase of Supplies and Materials</t>
  </si>
  <si>
    <t>CONSTRUCTION OF LA SUERTE BRIDGE (REINFORCED CONCRETE BOX CULVERT TYPE)</t>
  </si>
  <si>
    <t>PROCUREMENT OF MEALS AND SNACKS</t>
  </si>
  <si>
    <t>NP 561-2020 Knapsack sprayer</t>
  </si>
  <si>
    <t>SUPPLY, DELIVERY AND INSTALLATION OF SOLAR UNITS AT PAKNAAN BARANGAY HALL AND PAKNAAN BARANGAY GYMNASIUM</t>
  </si>
  <si>
    <t>Repair and maintenance of several service vehicles of city councilors</t>
  </si>
  <si>
    <t>PROCUREMENT OF 76 PAIRS OF BOOTS</t>
  </si>
  <si>
    <t>PURCHASE OF ONE (1) UNIT MOTORCYCLE WITH SIDECAR</t>
  </si>
  <si>
    <t>Materials for the construction of child development center Lalud</t>
  </si>
  <si>
    <t>Replacement of Key Cylinder Assembly of Issued Toyota Hilux w/ Plate No. POW048</t>
  </si>
  <si>
    <t>Printing of Modules (Imalnod ES)</t>
  </si>
  <si>
    <t>Repair &amp; Maintenance of Brgy. Patrol at Barangay Natatas, Tanauan City, Batangas</t>
  </si>
  <si>
    <t>Procurement of Infrastructure-Design and Build of the Sanitary Landfill</t>
  </si>
  <si>
    <t>IMPROVEMENT OF MULTI-PURPOSE CIVIC CENTER (PHASE III)</t>
  </si>
  <si>
    <t>S 61-2020 Toner</t>
  </si>
  <si>
    <t>PLAQUES (PRAISE 2020)</t>
  </si>
  <si>
    <t>FABRICATION AND INSTALLATION OF STREETLIGHTS (6 UNITS)</t>
  </si>
  <si>
    <t>SVP 1303-2020 Books</t>
  </si>
  <si>
    <t>Cloud-based Vulnerability Assessment Software Subscription for One (1) Year</t>
  </si>
  <si>
    <t>PR-2020-2022 Office Equipment-PHO</t>
  </si>
  <si>
    <t>PROCUREMENT OF VARIOUS SPAREPARTS</t>
  </si>
  <si>
    <t>PR#20-08-0411 Repair and Maintenance of City Hall Vehicle</t>
  </si>
  <si>
    <t>PR-2020-2327 Photocopy Machine-PDRRMO</t>
  </si>
  <si>
    <t>Various Inks</t>
  </si>
  <si>
    <t>Inks for the First Batch of Reproduction of Student Modules</t>
  </si>
  <si>
    <t>PROCUREMENT OF SNACKS</t>
  </si>
  <si>
    <t>PR#20-08-0400 Violation Receipt (ADMIN)</t>
  </si>
  <si>
    <t>Video Conferencing Subscription and SSL Certificate</t>
  </si>
  <si>
    <t>Purchase of Two (2) units Air Condition, Window Type, 2HP</t>
  </si>
  <si>
    <t>Supply &amp; Delivery of 1 Set Desktop Core i7 32gb for RSBSA System</t>
  </si>
  <si>
    <t>PROCUREMENT OF MATERIALS FOR THE DISINFECTION OF THE SCHOOL BUILDINGS AND MATERIALS</t>
  </si>
  <si>
    <t>Procurement of Goods (Two (2) Units Motorcycle for MTO Market Collector use).</t>
  </si>
  <si>
    <t>Purchase of 4 set Personal High Angle Rescue Gear &amp; 1 set Kit-Rope Rescue High Angle Kit 145 for CDRRMO use.</t>
  </si>
  <si>
    <t>PR-2020-2275 Diesel, Gasoline &amp; Oil-PVET</t>
  </si>
  <si>
    <t>PROCUREMENT OF OFFICE EQUIPMENT &amp; DEVICES-SB-1ST POSTING=PHP 420,000.00</t>
  </si>
  <si>
    <t>Re-bidding: Supply and Delivery of Appliances for the 2nd quarter (PR No. 2020-01-0029, 2020-02-0178, 2020-02-0168, 2020-02-0130, 2020-06-0576)</t>
  </si>
  <si>
    <t>PR#20-08-0413 Repair and Maintenance of City Hall Vehicle</t>
  </si>
  <si>
    <t>Construction of Bridge at Brgy. Tumbaga 1, Sariaya, Quezon</t>
  </si>
  <si>
    <t>Proc of 15 cu.m Coarse Sand and 4  L/I</t>
  </si>
  <si>
    <t>S 56-2020 Inks</t>
  </si>
  <si>
    <t>S 55-2020 Inks</t>
  </si>
  <si>
    <t>PROCUREMENT OF VARIOUS SEEDLINGS</t>
  </si>
  <si>
    <t>CONCRETING OF ROAD</t>
  </si>
  <si>
    <t>PROCUREMENT OF LAND AREA SURVEY - PACKAGE</t>
  </si>
  <si>
    <t>Purchase of Flash Drive</t>
  </si>
  <si>
    <t>Purchase of One (1) pc. Air Condition, 3TR</t>
  </si>
  <si>
    <t>SUPPLY AND DELIVERY OF OFFICE EQUIPMENT PARTS</t>
  </si>
  <si>
    <t>S 89-2020 Office supplies</t>
  </si>
  <si>
    <t>Repair and Repainting of Mooring Fixtures, Steel Grating Canal and Concrete Curb, Port of Currimao, Ilocos Norte</t>
  </si>
  <si>
    <t>1 unit Alternator Assembly Toyota d4d for PNP Patrol Car</t>
  </si>
  <si>
    <t>200866 - To purchase Various Protective Accessories to be used in the BMS activities of Planning and Design Section</t>
  </si>
  <si>
    <t>Supply and Delivery of Communication Equipment</t>
  </si>
  <si>
    <t>Purchase of Twelve (12) units Air Condition, 1.5HP Slit Type (Wall Mounted)</t>
  </si>
  <si>
    <t>Supply and Delivery of IT Equipment (PR No.  2020-06-0593, 2020-06-0563, 2020-05-0507, 2020-05-0510)</t>
  </si>
  <si>
    <t>Garbage Vehicle Collector of Barangay Lemon Butuan City</t>
  </si>
  <si>
    <t>Various Industrial Machinery and Equipment for use of the Federated Women In Development of the Municiplity of Dingras, Ilocos Norte</t>
  </si>
  <si>
    <t>PR#20-08-0414 Repair and Maintenance of City Hall Vehicle</t>
  </si>
  <si>
    <t>RFQ - LONG PLASTIC EXPANDABLE ENVELOPE</t>
  </si>
  <si>
    <t>Purchase of Various Office Equipment</t>
  </si>
  <si>
    <t>OFFICE SUPPLIES FOR TEACHERS &amp; STAFF</t>
  </si>
  <si>
    <t>Construction Materials and Supplies</t>
  </si>
  <si>
    <t>S 90-2020  Office Supplies</t>
  </si>
  <si>
    <t>Purchase of One (1) unit Box Type air Condition 3TR</t>
  </si>
  <si>
    <t>Lapel Waistband Portable Amplifier Speaker</t>
  </si>
  <si>
    <t>PROPOSED GRAVELLING SECTION PARADISE TO CEMETERY ROAD.</t>
  </si>
  <si>
    <t>Procurement of Tire use for Maintenance of Service Vehicle Toyota Fortuner (SKN 752) used by Mun. Vice Mayor charged to SB Office</t>
  </si>
  <si>
    <t>UBOL-KIYANGAN SPRING DEV'T(WS) AT MUNGAYANG</t>
  </si>
  <si>
    <t>PR#20-08-0412 Office Equipment Supplies for City Assessor Office Use</t>
  </si>
  <si>
    <t>Proc of 28 bxs Soft Drinks in can 24's and 13 L/I</t>
  </si>
  <si>
    <t>PPE for Frontliners</t>
  </si>
  <si>
    <t>PR-2020-2071 Laboratory Supplies-NDH</t>
  </si>
  <si>
    <t>Construction of Open Canal</t>
  </si>
  <si>
    <t>Catering Services served during Locally Stranded Individuals and OFW Quarantine Period</t>
  </si>
  <si>
    <t>PROCUREMENT OF CONSTRUCTION OF ONE (1) PRODUCTION WELL WITH 150M DEPTH X 200mmØ CASING</t>
  </si>
  <si>
    <t>Supply and Delivery of CM for the completion of Hanging Foot Bridge @ Mataba, Buyasyas Kayapa Nueva Vizcaya</t>
  </si>
  <si>
    <t>Procurement of ID Printer Ribbon for MICT Office</t>
  </si>
  <si>
    <t>office supplies for Legazpi City Hospital use</t>
  </si>
  <si>
    <t>Jerrican with faucet</t>
  </si>
  <si>
    <t>Water Service Connection Materials / Fittings</t>
  </si>
  <si>
    <t>Purchase of Hardware &amp; Lumber Materials, Repair &amp; Rehabilitation of Municipal Hall, Mun. Hall Site, Pagsanghan, Samar</t>
  </si>
  <si>
    <t>Anti-Termite Control</t>
  </si>
  <si>
    <t>PURCHASE OF SUPPLIES AND MATERIALS FOR NEW MUNICIPAL STREETLIGHTS AND AIR-CON CLEANING TOOLS</t>
  </si>
  <si>
    <t>Commodities to be used foR COVID-19</t>
  </si>
  <si>
    <t>Proc of 50 bxs Orange Juice 30's and 6 L/I</t>
  </si>
  <si>
    <t>PR2020-08-0067 - Purchase of Personal Protective Equipment (PPE) supplies and materials for use of DPWH-LKDEO</t>
  </si>
  <si>
    <t>CONSTRUCTION MATERIALS FOR REPAIR AND MAINTENANCE OF ROADS, HIGHWAYS AND BRIDGES BRGY. CABINUANGAN</t>
  </si>
  <si>
    <t>S 91-2020 Office supplies</t>
  </si>
  <si>
    <t>Purchase of 20 units Buggy Cart</t>
  </si>
  <si>
    <t>Construction/Expansion of Labo District Hospital Building, Brgy. Talobatib, Labo, Camarines Norte</t>
  </si>
  <si>
    <t>Supply and Delivery of Mangrove Crab for Mud Crab Fattening Project under SAAD Program</t>
  </si>
  <si>
    <t>S 104-2020 Office Supplies</t>
  </si>
  <si>
    <t>REQUEST FOR QUOTATION FOR USE OF  TOYOTA HILUX W/ PLATE # SDC 625 ASSIGNED AT SCIMO</t>
  </si>
  <si>
    <t>REQUEST FOR QUOTATION TO PURCHASE OFFICE SUPPLIES AND FIREFIGHTING TOOLS &amp; EQUIPMENT USING 20% SHARE OF THE FIRE CODE REVENUES.</t>
  </si>
  <si>
    <t>Printing of Modules (EM'S BARRIO ES)</t>
  </si>
  <si>
    <t>EQUIPMENTS AND SUPPLIES TO SCHOOLS IN RESPONSE TO PANDEMIC</t>
  </si>
  <si>
    <t>726 bags Portland Cement (40kgs/bag) Type 1 and other items for construction of drainage canal with cover at the Interior of Lasola Drive, Lumihoc”s Area (Phase I) at Barangay Piapi.</t>
  </si>
  <si>
    <t>Supply and Delivery of Rapid Test Kits</t>
  </si>
  <si>
    <t>Parts and Labor Services (Repair of Service Vehicle)</t>
  </si>
  <si>
    <t>CONSTRUCTION MATERIALS FOR THE REPAIR OF BAGONG SILAO TEEP BUILDING</t>
  </si>
  <si>
    <t>Supply and Delivery of I.T Software</t>
  </si>
  <si>
    <t>FUEL (gas and diesel)</t>
  </si>
  <si>
    <t>Delivery of Rescue Vehicle needed for PNP (ITB 20-100)</t>
  </si>
  <si>
    <t>SUPPLY &amp; DELIVERY OF ICT EQUIPMENT/CONSUMABLES</t>
  </si>
  <si>
    <t>Rewind and Overhauling of Two (2) Units Aircon Compressors (10TR and 20TR) at PNOC Bldg. 5</t>
  </si>
  <si>
    <t>SUPPLY &amp; DELIVERY OF OFFICE SUPPLIES</t>
  </si>
  <si>
    <t>Supply and Installation of CCTV System with Monitor</t>
  </si>
  <si>
    <t>Supply and Delivery of Construction Materials for Use in the Completion of Animal Science Building</t>
  </si>
  <si>
    <t>Samsung Xpress M2070 fw, Toner Cartridge MLT-D111S</t>
  </si>
  <si>
    <t>CONSOLIDATION OF OFFICE SUPPLIES AND EQUIPMENT OF HRMPPS AND PROCUREMENT SECTION</t>
  </si>
  <si>
    <t>2020-08-1164 "Procurement of 22,000 ltrs Diesel Fuel for PGMO Vehicle Consumption"</t>
  </si>
  <si>
    <t>soap, sanitizer,bleach</t>
  </si>
  <si>
    <t>POWER SUPPLY EQUIPMENT FOR CAPACUAN PUMPING STATION</t>
  </si>
  <si>
    <t>Procurement of Supplies and Materials for Celeblration of Linggo ng Kabataan 2020</t>
  </si>
  <si>
    <t>Delivery of various construction supplies/materials needed for TESDA Skills Training Program and Services (ITB 20-101)</t>
  </si>
  <si>
    <t>RFQ-NP-SVP-re362-2020-Rental of Van</t>
  </si>
  <si>
    <t>RFQ - Supply &amp; delivery of various laboratory supplies</t>
  </si>
  <si>
    <t>For change oil of municipal heavy equipment-Backhoe VOLVO</t>
  </si>
  <si>
    <t>OFFICE SUPPLIES</t>
  </si>
  <si>
    <t>REQUEST FOR QUOTATION OF THE FF. ITEM BELOW USED FOR MAINTENANCE OF HEAVY EQUIPMENTS OF LGU, SAN FRANCISCO, CEBU.</t>
  </si>
  <si>
    <t>Surveillance Audit ofr PhilRice CES as per PR# 2020-08-1977</t>
  </si>
  <si>
    <t>Supply &amp; Delivery of Livelihood Kabuhayan Formation for Informal Sector (Starter Kit)</t>
  </si>
  <si>
    <t>PURCHASE OF OFFICE EQUIPMENT</t>
  </si>
  <si>
    <t>Vehicle Parts and Accessories</t>
  </si>
  <si>
    <t>Supply and Delivery of One (1) Lot Concrete Cylindrical Monuments</t>
  </si>
  <si>
    <t>SUPPLY AND DELIVERY OF COMPUTER MONITOR INTENDED FOR VISAYAS MAINTENANCE &amp; TECHNICAL SERVICES DIVISION</t>
  </si>
  <si>
    <t>MEDICAL SUPPLIES FOR FIRST AIDE AND IMMEDIATE HEALTH RESPONSE</t>
  </si>
  <si>
    <t>Carpentry NC II (BKSTP)(PANDAN)</t>
  </si>
  <si>
    <t>Perimeter Fencing of the Multi-Purpose Hall</t>
  </si>
  <si>
    <t>56 cu.m Sand (Std Specs) and other items for construction of drainage canal with cover at the Interior of Lasola Drive, Lumihoc”s Area (Phase I) at Barangay Piapi.</t>
  </si>
  <si>
    <t>Supply and Delivery of Weighing Scale</t>
  </si>
  <si>
    <t>(PEO) INVITATION TO BID FOR THE SUPPLY AND DELIVERY OF 1 UNIT MOTOR VEHICLE SV 4X4 SV BRAND NEW PICK-UP FOR PROVINCIAL ENGINEERING OFFICE--2,000,000.00</t>
  </si>
  <si>
    <t>TIRE FOR REPAIR AND MAINTENANCE OF GARBAGE TRUCK 6HEI TEMP. PLATE # 123003</t>
  </si>
  <si>
    <t>Printing and Reproduction of Senior High School Modules for the First Semester S/Y 2020-2021</t>
  </si>
  <si>
    <t>Flood Prevention through Community Managed Construction of Drainage System</t>
  </si>
  <si>
    <t>Strengthening and Installation of New Fences and New Gates at Main Gate and Bgy. Calamias</t>
  </si>
  <si>
    <t>Purchase of One (1) unit Motorcycle</t>
  </si>
  <si>
    <t>Supply and delivery of Construction Supplies for the construction of Barangay Health Station-Phase I @ Pinayag KNV</t>
  </si>
  <si>
    <t>SUPPLY &amp; DELIVERY OF OFFICE EQUIPMENT</t>
  </si>
  <si>
    <t>(GO-PDAD) 2ND INVITATION TO BID FOR THE SUPPLY AND DELIVERY OF 1 UNIT MOTORCYCLE W/ SIDECAR  FOR THE  GO -PARKS DEVELOPMENT AND ADMINISTRATIVE DIVISION--70,000.00</t>
  </si>
  <si>
    <t>Medical Supplies</t>
  </si>
  <si>
    <t>PROC-20-DISINFECTANT CONCENTRATE, 3785ML</t>
  </si>
  <si>
    <t>CONTRACT ID: 20-08 - 115 - PROCUREMENT OF DISPOSABLE FACE MASK</t>
  </si>
  <si>
    <t>Procurement of Meals and Snacks</t>
  </si>
  <si>
    <t>Procurement of Hardware/Construction Materials</t>
  </si>
  <si>
    <t>is Repair / Refurbishing of 5th, 6th and 7th Floor Lobbies of PNOC Bldg. 6</t>
  </si>
  <si>
    <t>Purchase of Construction Materials and Supplies For the use of CHO New Building. Under P.R. No. 20-20-08-245</t>
  </si>
  <si>
    <t>: Purchase and Delivery of INFORMATION, COMMUNICATION EQUIPMENT (desktop) OF MUNICIPAL TREASURERS OFFICE, LGU-BAYOMBONG, NUEVA VIZCAYA</t>
  </si>
  <si>
    <t>Purchase of one (1) unit water pump and taro pump for use at Ariston-Bantog Rural Waterworks and Sanitation, Inc.</t>
  </si>
  <si>
    <t>: SUPPLY AND DELIVERY OF CONSTRUCTION MATERIALS FOR THE OLD KB BUILDING INTERIOR IMPROVEMENT, LGU-BAYOMBONG, NUEVA VIZCAYA.</t>
  </si>
  <si>
    <t>Supply and delivery of Acrylic Table Shield</t>
  </si>
  <si>
    <t>Quotation No.20-08-440 - EPINEPHRINE 1MG/1ML AMPULE</t>
  </si>
  <si>
    <t>Supplies for Public Market</t>
  </si>
  <si>
    <t>2ND INVITATION TO BID FOR THE CONSTRUCTION OF PERIMETER FENCE AT SLAUGHTERHOUSE, BRGY. POBLACION, CITY OF ALAMINOS, PANGASINAN</t>
  </si>
  <si>
    <t>20GFO0037 - Purchase of Fuel to be Used in Various Equipments/Service Vehicles Assigned at Albay 3rd DEO for the 2nd &amp; 3rd Quarters, CY 2020</t>
  </si>
  <si>
    <t>2020 Birthday Tokens</t>
  </si>
  <si>
    <t>FUEL, OIL AND LUBRICANTS FOR REPAIR AND MAINTENANCE OF ROADS, HIGHWAYS, AND BRIDGES</t>
  </si>
  <si>
    <t>Facemask (Washable)</t>
  </si>
  <si>
    <t>Supply and Delivery of Office Supplies &amp; Devices</t>
  </si>
  <si>
    <t>Office supplies and consumables</t>
  </si>
  <si>
    <t>Purchase of Goods for Social Services Program for Yellow Card Members/Underpriviledged/Ingent Residents as requested by the City Mayor's Office (PR# 505)</t>
  </si>
  <si>
    <t>Purchase of Animal Feeds</t>
  </si>
  <si>
    <t>Supply and Delivery of Health Hygiene Supplies for the Implementation of FY 2020 School Dental Health Care Program (SDHCP)</t>
  </si>
  <si>
    <t>Camcoder Unit, Computer units and Peripherals</t>
  </si>
  <si>
    <t>Procurement of IT Equipment (Laptop)</t>
  </si>
  <si>
    <t>(20_0180) SERVICES: NEWSPAPER SUBSCRIPTION FOR THE YEAR 2020</t>
  </si>
  <si>
    <t>CONSTRUCTION OF FARM TO MARKET ROAD</t>
  </si>
  <si>
    <t>SUPPLY AND DELIVERY OF CONSTRUCTION MATERIALS FOR THE CONCRETING OF ACCESS ROAD, GANDEZA ST. PUROK 3, BARANGAY VISTA ALEGRE, BAYOMBONG, NUEVA VIZCAYA.</t>
  </si>
  <si>
    <t>RFQ-TO PROVIDE LABORATORY MATERIALS AND SUPPLIES FOR THE OPERATION OF CGES LABORATORY.IGF-164-20-08-209</t>
  </si>
  <si>
    <t>Procurement of General Merchandise-08-106(M)OPAG</t>
  </si>
  <si>
    <t>20LC0112 - Concreting of Purok 5 to Purok 8, Brgy. Pantaron FMR, Brgy. Pantaron, Sto. Tomas, Davao del Norte</t>
  </si>
  <si>
    <t>Launching of Tourism Activities (Meals)</t>
  </si>
  <si>
    <t>Carpentry NC II (TWSP)(Tobias Fornier)</t>
  </si>
  <si>
    <t>Procurement of Auto Spare Parts</t>
  </si>
  <si>
    <t>supply &amp; delivery of glass wares to be used in mass production of Metarhizium anisoplae PR#2020-08-17-390 w/ ABC of P778,000.00</t>
  </si>
  <si>
    <t>COMPLETION OF FARMERS INFORMATION TECHNOLOGY SERVICE CENTER (FITS), BRGY. MASIN NORTE, CANDELARIA, QUEZON</t>
  </si>
  <si>
    <t>Purchase of Air Condition Unit</t>
  </si>
  <si>
    <t>Medical Supplies of RRCY clients for 3rd and 4th Quarter CY 2020</t>
  </si>
  <si>
    <t>Procurement of Diesel Fuel-08-494(A)PGO</t>
  </si>
  <si>
    <t>Supply, Delivery, Installation, and Configuration of Network Switch and Access Points</t>
  </si>
  <si>
    <t>Supply and Delivery of Food Supplies</t>
  </si>
  <si>
    <t>Procurement of Spare parts and Services - OSP</t>
  </si>
  <si>
    <t>Procurement of 10 Pcs UVC Lamps for Visayas West 1 Division Branch Offices</t>
  </si>
  <si>
    <t>Procurement and delivery of 13 sets gongs (4 pc set bronze gongs)</t>
  </si>
  <si>
    <t>SUPPLY AND DELIVERY OF VARIOUS SIZES OF uPVC PIPES and GI PIPES</t>
  </si>
  <si>
    <t>Safety and Occupational Products: Prevention of COVID 19 (Batch 2)</t>
  </si>
  <si>
    <t>RFQ No.JP20-026 MID BACK and EXECUTIVE HIGH BACK CHAIR,CABINET,MOBILE CABINET AND MAGNETIC WHITEBOARD</t>
  </si>
  <si>
    <t>PURCHASE AND INSTALLATION OF FOUR (4) CCTV</t>
  </si>
  <si>
    <t>Video Conference Subsccription</t>
  </si>
  <si>
    <t>Construction of Canopy for Multi-Purpose Building (Brgy Hall)</t>
  </si>
  <si>
    <t>S 106-2020 Office supplies</t>
  </si>
  <si>
    <t>Supply and Delivery of Supplies for Printing of ID's for KAISA Women's Organization of various barangays of Tarlac City</t>
  </si>
  <si>
    <t>Supply and Delivery of Computer Accessories for the Upgrading of Computer Laboratory Facilities of IICT</t>
  </si>
  <si>
    <t>Procurement of Internet Services-07-412(A)PGO</t>
  </si>
  <si>
    <t>Vehicles</t>
  </si>
  <si>
    <t>Supply &amp; Delivery of various construction materials for the repair/renovation of the 7.1m x 7.4m CDC building, Brgy. Amampereze, Villasis, Pangasinan</t>
  </si>
  <si>
    <t>CONSTRUCTION OF MULTI-PURPOSE HALL, BARANGAY HALL COMPOUND BRGY. STA. CATALINA SUR, CANDELARIA, QUEZON</t>
  </si>
  <si>
    <t>Proc of 5 bxs Bottle Water 300ml x 24 and 9 L/I</t>
  </si>
  <si>
    <t>(PEO) 2ND INVITATION TO BID FOR THE SUPPLY AND DELIVERY OF VEHICLE PARTS (II) FOR THE  PROVINCIAL ENGINEERING OFFICE--166,880.00</t>
  </si>
  <si>
    <t>SUPPLY AND DELIVERY OF ENDPOINT SECURITY LICENSES (ANTI-VIRUS) INTENDED FOR SPUG VISAYAS OFFICE</t>
  </si>
  <si>
    <t>REPAIR &amp; MAINTENANCE OF FIRETRUCK AT PANGLAO, BOHOL</t>
  </si>
  <si>
    <t>Labor and Materials for the Repair of Mezzanine Access on COA Office, Capitol Compound, Balanga City, Bataan</t>
  </si>
  <si>
    <t>SMAW NC I (BKSTP) SEBASTE BATCH 2</t>
  </si>
  <si>
    <t>EBMS -REPAIR OF AUTO CLAVE MACHINE (3RD POSTING)</t>
  </si>
  <si>
    <t>GF-20-02-00305C - TIME RECORDING MACHINE</t>
  </si>
  <si>
    <t>IMPROVEMENT OF SAPU PADIDU MULTI-PURPOSE BUILDING Malapatan, Sarangani Province</t>
  </si>
  <si>
    <t>CONSTRUCTION/REHABILITATION OF RURAL HEALTH UNIT (RHU) AT POBLACION, SAN QUINTIN, ABRA</t>
  </si>
  <si>
    <t>SUPPLY AND DELIVERY OF HARDWARE/MATERIALS FOR THE PROPOSED CONSTRUCTION OF WATER SYSTEM – BRGY. TINAMPO</t>
  </si>
  <si>
    <t>Re-bidding for the Supply and Delivery of Construction Materials and Supplies.</t>
  </si>
  <si>
    <t>Purchase of Construction Materials and Supplies For the use of City Economic Enterprise Department. Under P.R. No. 20-20-01-002</t>
  </si>
  <si>
    <t>Purchase of Fuel</t>
  </si>
  <si>
    <t>Construction of 6 Units Multi-Purpose Building for Motorized Rice Transplanter</t>
  </si>
  <si>
    <t>Procurement of one(1) Lot Software Solution for the Data Entry Data Tracking and Data Information Needs of MMDAs Human Resources,  Payroll Management and Accounting Functions</t>
  </si>
  <si>
    <t>Office Table for use of Case Managers and SWA of RRCY</t>
  </si>
  <si>
    <t>PROC-20-TIME CARD</t>
  </si>
  <si>
    <t>Contract ID Number 20FD0075 CONSTRUCTION OF MULTIPURPOSE BUILDING (COVERED COURT), BRGY. NAPOLIDAN, LUPI, CAMARINES SUR</t>
  </si>
  <si>
    <t>Supply and Delivery of Fuel, Oil and Lubricants</t>
  </si>
  <si>
    <t>VIDEO COVERAGE SERVICE</t>
  </si>
  <si>
    <t>Alcohol Breath Analyzer</t>
  </si>
  <si>
    <t>S/D OF FIFTY (50) PCS EXTENSION WIRE AND FOURTEEN (14) OTHER LI OF SFRA, PA (PHP 625,000.00)</t>
  </si>
  <si>
    <t>Drainage Improvement of U.P. Driveway</t>
  </si>
  <si>
    <t>S 114-2020 Office Supplies</t>
  </si>
  <si>
    <t>PRINTER, INK, COMPUTER, SPEAKER, HARD DRIVE, AIRCON, ERGONOMIC CHAIR</t>
  </si>
  <si>
    <t>SUPPLY &amp; DELIVERY OF COMPUTER SET &amp; PRINTER</t>
  </si>
  <si>
    <t>Supply &amp; Delivery of ink for use at various government offices in this Municipality, LGU Villasis, Pangasinan</t>
  </si>
  <si>
    <t>Launching of Tourism Activities (Boat Fare)</t>
  </si>
  <si>
    <t>FABRICATION OF GLASS PARTITION INCLUDES INSTALLATION OF MPDO of LGU-Bayombong, Nueva Vizcaya.</t>
  </si>
  <si>
    <t>300 sacks Carabao Manure for Municipal Plaza Beautification</t>
  </si>
  <si>
    <t>LAPTOP</t>
  </si>
  <si>
    <t>1 set Brake Pads (Bendix DB2396 GCT) for Municipal Vehicle (Hilux)</t>
  </si>
  <si>
    <t>2020-08-437 CANVASS FOR DIETARY FOOD SUPPLIES</t>
  </si>
  <si>
    <t>20LC0165 - Construction of 2STY4CL School Building at J.P. Laurel ES, City of Panabo, Davao del Norte</t>
  </si>
  <si>
    <t>PURCHASE OF PASTEURIZED TONE MILK</t>
  </si>
  <si>
    <t>Supply and Delivery of CM for the Improvement of Padang, Acacia -Mapayao Road</t>
  </si>
  <si>
    <t>Portable Body Pack Amplifier with Headset and Lapel</t>
  </si>
  <si>
    <t>Supply and Delivery of Farm machineries and equipment for CSOs/POs</t>
  </si>
  <si>
    <t>Procurement of ICT Equipment</t>
  </si>
  <si>
    <t>EBMS -REPLACEMENT OF STERILIZER (3RD POSTING)</t>
  </si>
  <si>
    <t>Repair / Rehabilitation of OPA Storage Building/Materials</t>
  </si>
  <si>
    <t>Purchase of 190 pcs. Raincoats, heavy duty with GSO Print</t>
  </si>
  <si>
    <t>(PEO) 2ND INVITATION TO BID FOR THE SUPPLY AND DELIVERY OF CONSTRUCTION MATERIALS  FOR THE  PROVINCIAL ENGINEERING OFFICE--4,349,529.46</t>
  </si>
  <si>
    <t>Procurement of Diesel Fuel-08-495(A)PGO</t>
  </si>
  <si>
    <t>Supply and Delivery of ICT Equipment for the use of Supplementary Feeding Program</t>
  </si>
  <si>
    <t>S 120-2020 Office Supplies</t>
  </si>
  <si>
    <t>GF-20-05-00735C - DRUM CARTRIDGE</t>
  </si>
  <si>
    <t>Foods</t>
  </si>
  <si>
    <t>SUPPLY AND DELIVERY OF LAPTOP BATTERY AND 4 OTHERS INTENDED FOR SPUG VISAYAS OFFICE</t>
  </si>
  <si>
    <t>Labor Charge for the Repair of MPDC Office Door</t>
  </si>
  <si>
    <t>Supply and Delivery of Materials for the Rehabilitation of POtable Water System of BLGU Kapatagan, Laak, Davao De Oro</t>
  </si>
  <si>
    <t>AIR CON - CABINET TYPE</t>
  </si>
  <si>
    <t>Procurement of One (1) Unit Generator Set - SLPL</t>
  </si>
  <si>
    <t>Procurement of Office Equipment for Provincial Planning and Development Office Project Documentation</t>
  </si>
  <si>
    <t>PROCUREMENT OF MATERIALS FOR THE MODULE REPRODUCTION</t>
  </si>
  <si>
    <t>Purchase of Construction Materials</t>
  </si>
  <si>
    <t>Procurement of Catering Services-08-497(A)PGO</t>
  </si>
  <si>
    <t>Purchase of Goods for Social Services Program for Yellow Card Members/Underpriviledged/Ingent Residents as requested by the City Mayor's Office (PR# 507)</t>
  </si>
  <si>
    <t>Supply and Delivery of Planting Accessories and Tools</t>
  </si>
  <si>
    <t>S 121-2020 Office Supplies</t>
  </si>
  <si>
    <t>SUPPLY AND DELIVERY  OF 14 UNITS OF VARIABLE FREQUENCY DRIVES- PR No. 12343</t>
  </si>
  <si>
    <t>Request for price quotation of Paper, Multi-purpose Copy A4, 70gsm</t>
  </si>
  <si>
    <t>2020-0191-PR2020-0545 Rebid Procurement of Materials (Anapog) for the Maintenance of Various Provincial Roads for the Project Management Division (PMD) I, of the Provincial Engineer's Office, New Capi</t>
  </si>
  <si>
    <t>CONVERSION OF AMBULANCE.</t>
  </si>
  <si>
    <t>PR No. 2020-08-0084 - Supply and delivery of 3,000 liters Diesel Fuel for use in various service vehicles and equipment - Quality Assurance Section.</t>
  </si>
  <si>
    <t>MR SIA Micro planning for Sultan Kudarat</t>
  </si>
  <si>
    <t>PROCUREMENT OF 6 LOTS FUEL, OIL AND LUBRICANTS</t>
  </si>
  <si>
    <t>S/D OF THIRTY (30) PCS INSULATOR #2 AND TWENTY NINE (29) OTHER LI OF SFRA, PA (PHP 811,590.00)</t>
  </si>
  <si>
    <t>SUPPLY AND DELIVERY BIOMETRICS AND 2 OTHERS INTENDED FOR SPUG VISAYAS OFFICE</t>
  </si>
  <si>
    <t>S 107-2020 Office Supplies</t>
  </si>
  <si>
    <t>S 129-2020 Janitorial supplies</t>
  </si>
  <si>
    <t>Procurement of School Supplies for print out modules (Senior High School Department)</t>
  </si>
  <si>
    <t>Procurement of Wellness Kit</t>
  </si>
  <si>
    <t>INSTALLATION OF STREET LIGHTS AT BARANGAY  BALUNTAY, ALABEL Alabel, Sarangani Province</t>
  </si>
  <si>
    <t>Labor Charge for the Body Repair of Dumptruck GNN-774 including replacement of Body Dumptruck GNN 774</t>
  </si>
  <si>
    <t>Meals &amp; Snacks for 60 pax</t>
  </si>
  <si>
    <t>Supply and Delivery of Agricultural Products (seedlings)</t>
  </si>
  <si>
    <t>Const./installation of street lighting system @ Prk. Masinadyahon (Phase 2), Brgy. Zone 1, Cadiz City</t>
  </si>
  <si>
    <t>Procurement and Delivery of Office Supplies and Equipment</t>
  </si>
  <si>
    <t>RFQ OFFICE SUPPLIES AND MATERIALS 3RD QUARTER 2020</t>
  </si>
  <si>
    <t>EBMS -REPLACEMENT OF PATIENT MONITOR ACCESSORIES (3RD POSTING)</t>
  </si>
  <si>
    <t>Improvement of Covered Court (Bleacher Phase 2)</t>
  </si>
  <si>
    <t>Barangay Silangan 1 SK Flu Vaccine</t>
  </si>
  <si>
    <t>S 123-2020 Alcohol</t>
  </si>
  <si>
    <t>Purchase of Goods for Social Services Program for Yellow Card Members/Underpriviledged/Ingent Residents as requested by the City Mayor's Office (PR# 508)</t>
  </si>
  <si>
    <t>Delivery of supplies and materials for City Vice Mayor's Office</t>
  </si>
  <si>
    <t>Procurement of Catering Services-08-496(A)PGO</t>
  </si>
  <si>
    <t>Installation of Street Lighting System - GSO</t>
  </si>
  <si>
    <t>EBMS -INSTALLATION AND REPAIR OF PHACO-VITRECTOMY (3RD POSTING)</t>
  </si>
  <si>
    <t>Procurement of Paper Materials and Products</t>
  </si>
  <si>
    <t>OFFICE EQUIPTMENT</t>
  </si>
  <si>
    <t>Supply and Delivery of Janitorial Supplies (CEEPUMO)</t>
  </si>
  <si>
    <t>2nd INVITATION TO BID FOR THE IMPROVEMENT OF PERIMETER FENCE AND CONSTRUCTION OF GATE AT BRGY. MAGSAYSAY, CITY OF ALAMINOS, PANGASINAN</t>
  </si>
  <si>
    <t>Re-bidding for the project "Waste Disposal Fee (Tipping Fees) of LGU Rizal, Laguna.</t>
  </si>
  <si>
    <t>Purchase of Goods for Social Services Program for Yellow Card Members/Underpriviledged/Ingent Residents as requested by the City Mayor's Office (PR# 506)</t>
  </si>
  <si>
    <t>office supplies</t>
  </si>
  <si>
    <t>Delivery of Brand New Motor Vehicle needed for City Veterinary Office (ITB 20-099)</t>
  </si>
  <si>
    <t>200867 - To purchase Ten(10) units Inkjet Printer to be used at Admin. Section, COA, Procurement Unit, Quality Assurance Section and Finance Section</t>
  </si>
  <si>
    <t>SUPPLY AND DELIVERY OF MULTIMEDIA PROJECTOR INTENDED FOR WESTERN VISAYAS OPERATIONS DIVISION</t>
  </si>
  <si>
    <t>Purchase of Customized Medals for Virtual Recognition of Excellency and Leadership Award to Honor Students of Gumaca, Quezon</t>
  </si>
  <si>
    <t>SUPPLY &amp; DELIVERY OF MEDICINES</t>
  </si>
  <si>
    <t>Purchase of CCTV - Nagpanaoan</t>
  </si>
  <si>
    <t>Finalization of facility mapping and health services workshop</t>
  </si>
  <si>
    <t>Proc of 170 bxs of Battery size D 2 pcs x 20's and 13 L/I</t>
  </si>
  <si>
    <t>Office supplies and office consumables</t>
  </si>
  <si>
    <t>Supply and Delivery of Materials &amp; Labor for the Installation of Radio</t>
  </si>
  <si>
    <t>Procurement of Catering Services-08-489(A)PGO</t>
  </si>
  <si>
    <t>Supply and Delivery of Materials for the Repair and Refurbishment of Comfort Room inside SP Councilors Office, City Gov't. of Tarlac, this City</t>
  </si>
  <si>
    <t>Procurement of Training Video Teasers</t>
  </si>
  <si>
    <t>Construction of Mini Library - Nagpanaoan</t>
  </si>
  <si>
    <t>Meals &amp; Snacks for 70 pax,Tarpauline 3x6,Tarpauline 5x10</t>
  </si>
  <si>
    <t>Purchase &amp; Delivery of Various Medical Supplies  for SMC</t>
  </si>
  <si>
    <t>Construction of water system in various Brgy. (Burgos, Sicaba and Caduha-an), Cadiz City</t>
  </si>
  <si>
    <t>RFQ Supply and Delivery of Construction Materials for Sitio Amoroso STW under EGPIP CY 2020</t>
  </si>
  <si>
    <t>Procurement of Catering Services-08-584(O)PEO</t>
  </si>
  <si>
    <t>EBMS -PM &amp; CALIBRATION OF TREADMILL (4TH POSTING)</t>
  </si>
  <si>
    <t>Request for Quotation for the Supply and Delivery of Various Fittings and Materials for Warehouse Stocks – 3rd Quarter</t>
  </si>
  <si>
    <t>Printing for learners material(2) - Felipe Carreon CS</t>
  </si>
  <si>
    <t>2020-08-435 CANVASS  FOR MEDICAL OXYGEN SUPPLY</t>
  </si>
  <si>
    <t>Supply and Delivery of Live Animals (Lobster  Juvenile)</t>
  </si>
  <si>
    <t>20CG0274 - Completion of Various Repair, Rehabilitation and Improvement of Guard Houses and Gates at Main Campus, DHVSU, Bacolor, Pampanga</t>
  </si>
  <si>
    <t>Supply and Delivery of Meals for LSI and Returning Residents at Suyo Isolation/ Quarantine Facility</t>
  </si>
  <si>
    <t>AGGREGATES USE FOR THE MAINTENANCE OF NRJ (SAN FRANCISCO) POBLACION-DAS AGAN-BAROBO ROAD AT SAN FRANCISCO, AGUSAN DEL SUR</t>
  </si>
  <si>
    <t>Supply and Delivery of Materials for the Construction of Pathway and Carport (Covered Walk)</t>
  </si>
  <si>
    <t>PROCUREMENT OF HEIGHT/LENGTH BOARD</t>
  </si>
  <si>
    <t>PROCUREMENT OF 8 LOTS GARMENTS</t>
  </si>
  <si>
    <t>Purchase of 15 Units Office Chairs</t>
  </si>
  <si>
    <t>NEGOTIATED PROCUREMENT FOR PURCHASE OF IT EQUIPMENTS FOR SB OFFICE</t>
  </si>
  <si>
    <t>Request for Quotation for ICT Supplies</t>
  </si>
  <si>
    <t>Procurement of Catering Services</t>
  </si>
  <si>
    <t>Purchase of Goods for Social Services Program for Yellow Card Members/Underpriviledged/Ingent Residents as requested by the City Mayor's Office (PR# 511)</t>
  </si>
  <si>
    <t>Opening of Road Naguilian Cemetery</t>
  </si>
  <si>
    <t>S 143-2020 Janitorial supplies</t>
  </si>
  <si>
    <t>S/D OF TEN (10) PCS WHITE BOARD 4X8 AND TWENTY SIX (26) OTHER LI OF SFRA, PA (PHP 250,000.00)</t>
  </si>
  <si>
    <t>20CG0275 - Rehabilitation of 5 Shoproom into an Assessment Center at Main Campus, DHVSU, Bacolor, Pampanga</t>
  </si>
  <si>
    <t>Purchase of Goods for Social Services Program for Yellow Card Members/Underpriviledged/Ingent Residents as requested by the City Mayor's Office (PR# 509)</t>
  </si>
  <si>
    <t>PBD  OF IMPROVEMENT/REHAB. OF EVACUATON CENTER</t>
  </si>
  <si>
    <t>REQUEST FOR QUOTATION</t>
  </si>
  <si>
    <t>PROCUREMENT OF 5 LOTS CATERING SERVICES</t>
  </si>
  <si>
    <t>RE-BID FOR ROAD MAINTENANCE AT DATU LADAYON</t>
  </si>
  <si>
    <t>Procurement of Various IT Equipments-08-047(AA)ProVet</t>
  </si>
  <si>
    <t>SVP 1309-2020 Printing services</t>
  </si>
  <si>
    <t>Labor Charge for Installing Sliding Window</t>
  </si>
  <si>
    <t>"Lakas Kita, Lakas Pamilya" Program- Massage Therapy NC2</t>
  </si>
  <si>
    <t>Purchase of Disinfecting Liquid</t>
  </si>
  <si>
    <t>Procurement of Catering Services &amp; Venue - Lot 1 - Catering Services - PDRRMO</t>
  </si>
  <si>
    <t>PURCHASE OF VARIOUS MATERIALS FOR THE REPAIR OF FOUR (4) COMFORT ROOM AT RBE STADIUM</t>
  </si>
  <si>
    <t>20CG0273 - Provision of Dry Standpipe to Various Buildings at Main Campus, DHVSU, Bacolor, Pampanga</t>
  </si>
  <si>
    <t>Repair &amp; improvement of Multi-Purpose Building @ Sangay Elementary School, Brgy. Mabini, Cadiz City</t>
  </si>
  <si>
    <t>1 pc. Carborator (LONCIN 14 HP) for LONCIN Engine 14HP</t>
  </si>
  <si>
    <t>SUPPLY AND DELIVERY OF MATERIALS FOR THE CONSTRUCTION OF GROUND LEVEL RESERVOIR</t>
  </si>
  <si>
    <t>Purchased of Motorcycle with Sidecar</t>
  </si>
  <si>
    <t>Supply and Delivery of Various Laboratory Supplies, PR# 2020-08-0510 &amp; 2020-08-0511</t>
  </si>
  <si>
    <t>PROCUREMENT OF ASSORTED GROCERY ITEMS FOR PAMASKONG HANDOG PROGRAM 2020, CITY MAYOR'S OFFICE, MALAYBALAY CITY.</t>
  </si>
  <si>
    <t>RFQ Supply and Delivery of Construction Materials for Caidquid STW under EGPIP CY 2020</t>
  </si>
  <si>
    <t>Faculty and Staff uniform for TESDA Anniversary Celebration</t>
  </si>
  <si>
    <t>Supply and Delivery of Metal Casket for the Management Human Remains during the COVID 19 Pandemic (PUI Deaths)</t>
  </si>
  <si>
    <t>Purchase of Office Equipment Supplies and Consumables for use of 2020 General Revision of the Municipality of Dingras, Ilocos Norte.</t>
  </si>
  <si>
    <t>proposed 700 packs medical services</t>
  </si>
  <si>
    <t>S 87-2020 Office Supplies</t>
  </si>
  <si>
    <t>Construction of Bridge at Barangay Morong, Sariaya, Quezon</t>
  </si>
  <si>
    <t>PROCUREMENT OF FACE MASK AND FACE SHIELD</t>
  </si>
  <si>
    <t>PR-2020-2039 Heavy duty Digital Duplicator-PHO</t>
  </si>
  <si>
    <t>Rental of Chairs for the clients who are getting their travel pass at the PAMANA Hall, City Hall Compound, San Pablo City.</t>
  </si>
  <si>
    <t>Purchase of 1 unit Inverter Aircon at Brgy, Natatas, Tanauan City, Batangas</t>
  </si>
  <si>
    <t>Vehicle Repair and Maintenance</t>
  </si>
  <si>
    <t>CONSTRUCTION  OF MULTI-PURPOSE SHED</t>
  </si>
  <si>
    <t>Purchase of Goods for Social Services Program for Yellow Card Members/Underpriviledged/Ingent Residents as requested by the City Mayor's Office (PR# 510)</t>
  </si>
  <si>
    <t>supply &amp; delivery of foliar fertilizer w/ fungicide to be use for Integrated Management Intervention to prevent Fungal Diseases of Onion PR#2020-08-17-391 w/ ABC of P540,000.00</t>
  </si>
  <si>
    <t>NP 559-2020 Foam</t>
  </si>
  <si>
    <t>Printing of Modules (Pawa ES)</t>
  </si>
  <si>
    <t>Procurement of Supplies and Materials - GSO</t>
  </si>
  <si>
    <t>EBMS -CAPACITOR (6TH POSTING)</t>
  </si>
  <si>
    <t>200 reams US Bondpaper (Long) Substance 20 for Reproduction of School Activity Sheets &amp; Modules for SY 2020-2021</t>
  </si>
  <si>
    <t>Procurement of Fuel for Provincial Assessors Office Service Vehicle.</t>
  </si>
  <si>
    <t>SUPPLY &amp; DELIVERY OF AIR CONDITIONING UNIT</t>
  </si>
  <si>
    <t>Procurement of Agricultural Inputs</t>
  </si>
  <si>
    <t>Procurement of Catering Services &amp; Venue - Lot 2 - Venue - PDRRMO</t>
  </si>
  <si>
    <t>Procurement of Various Hardware Supplies-08-046(AA)ProVet</t>
  </si>
  <si>
    <t>Supply and Delivery of Anti-Rabies Vaccine of Dogs for Municipal Agriculture Office, Janiuay, Iloilo</t>
  </si>
  <si>
    <t>POLYESTER CASTING TAPE FOR CSR</t>
  </si>
  <si>
    <t>Purchase of Eco Bag for the Distribution of Social Services Program for Yellow Card Members/Underpriviledged/Ingent Residents as requested by the City Mayor's Office (PR# 512)</t>
  </si>
  <si>
    <t>Internet subscription</t>
  </si>
  <si>
    <t>PROCUREMENT OF 5 LOTS OFFICE SUPPLIES AND DEVICES</t>
  </si>
  <si>
    <t>Procurement of Various IT Equipments-08-107(M)OPAG</t>
  </si>
  <si>
    <t>SVP 1308-2020 Telescopic Ladder</t>
  </si>
  <si>
    <t>PR No. 2020-08-0086 - Supply and delivery of 3,000 liters Diesel Fuel for use in various service vehicles and equipment - Planning and Design Section.</t>
  </si>
  <si>
    <t>SUPPLY AND DELIVERY OF VARIOUS VETERINARY DRUGS &amp; SUPPLEMENTS</t>
  </si>
  <si>
    <t>PR No. 2020-08-0085 - Supply and delivery of 3,000 liters Diesel Fuel for use in various service vehicles and equipment - Construction Section.</t>
  </si>
  <si>
    <t>Improvement of Multi-Purpose Building</t>
  </si>
  <si>
    <t>"Lakas Kita, Lakas Pamilya" Program- Nail Care NC2</t>
  </si>
  <si>
    <t>Procurement of Various Furniture and Fixtures</t>
  </si>
  <si>
    <t>Proc of 75 pcs Ceramic Tiles 20 x 20 cm and 92 L/I</t>
  </si>
  <si>
    <t>PURCHASE OF RICE BRAN.</t>
  </si>
  <si>
    <t>RENTAL/LEASE of MOTOR SERVICE VEHICLE (September 1-9, 2020)</t>
  </si>
  <si>
    <t>Procurement of Office Supplies/Consumables</t>
  </si>
  <si>
    <t>Procurement of Hardware Supplies-08-491(O)PEO</t>
  </si>
  <si>
    <t>CONSTRUCTION OF SEVEN HAND WASHING STATION</t>
  </si>
  <si>
    <t>Purchase of 238 units Hospital Mattress (Foam with Leather Cover- Aqua Blue; size 75 x 36 x 4”)</t>
  </si>
  <si>
    <t>RFQ 20-08-57 Renovation at COA-CAR ARD Cottage Phase II</t>
  </si>
  <si>
    <t>PROCUREMENT OF DUPLICATOR INK AND DUPLICATOR MASTER</t>
  </si>
  <si>
    <t>S &amp; D of Breedable Cow (PVO)</t>
  </si>
  <si>
    <t>S/D OF ONE (1) TRK LOAD SCREEN SAND AND SEVENTY THREE (73) OTHER LI OF SFRA, PA (PHP 809,480.00)</t>
  </si>
  <si>
    <t>Provision of Catering and Venue for the Conduct of Training of Trainers of High Quality Inbred Rice Seed Production and Farm Mechanization on Sept 6-18 in Pampanga</t>
  </si>
  <si>
    <t>Procurement of Various Hardware Supplies-08-475(O)PEO</t>
  </si>
  <si>
    <t>Purchase of HDPE pipe</t>
  </si>
  <si>
    <t>MR SIA Micro planning for Kidapawan City</t>
  </si>
  <si>
    <t>PR No. 2020-08-0087 - Supply and delivery of 3,000 liters Unleaded Gasoline for use in various service vehicles and equipment - Maintenance Section.</t>
  </si>
  <si>
    <t>supply and delivery of Office Equipment</t>
  </si>
  <si>
    <t>Barangay Silangan 2 SK Flu Vaccine</t>
  </si>
  <si>
    <t>PR 4-20-07-0917, FOR USE OF THE CWD IN THE INSTALLATION OF ENCLOSURES OF SELECTED STUBOUTS IN THE CITY.</t>
  </si>
  <si>
    <t>Procurement of General Merchandise</t>
  </si>
  <si>
    <t>DES -FORK STAINLESS &amp; 2 OTHERS (5TH POSTING)</t>
  </si>
  <si>
    <t>Telecommunication provider (Mobile cellphone card)</t>
  </si>
  <si>
    <t>Supply and Delivery of Other Supplies to be used as Stockpile of the Municipal Disaster Risk Reduction and Management Office, Naujan, Oriental Mindoro</t>
  </si>
  <si>
    <t>Purchase of Solar Powered Lighting Fixtures</t>
  </si>
  <si>
    <t>PURCHASE OF AGRI PESTICIDES FOR CROP PRODUCTION.</t>
  </si>
  <si>
    <t>2020-08-441 CANVASS FOR DRUGS AND MEDICINES</t>
  </si>
  <si>
    <t>RFQ (20-08-075) Various Drugs and Medicines</t>
  </si>
  <si>
    <t>RFQ No. 20-135 Supply and Delivery of Eleven (11) Kits Aspergillus Galactomannan Ag</t>
  </si>
  <si>
    <t>SUPPLY AND DELIVERY OF FOLDABLE SINGLE BEDS</t>
  </si>
  <si>
    <t>Procurement of IT Equipment for the use of Municipal Social Welfare and Development Office</t>
  </si>
  <si>
    <t>Purchase of Eco Bag for the Distribution of Social Services Program for Yellow Card Members/Underpriviledged/Ingent Residents as requested by the City Mayor's Office (PR# 513)</t>
  </si>
  <si>
    <t>PRINTING OF SELF LEARNING MODULES  FOR SENIOR HIGH SCHOOL</t>
  </si>
  <si>
    <t>Purchase of Office Supplies for inventory purposes of GSO</t>
  </si>
  <si>
    <t>Supply and Delivery of Curtain for PGO San Jose Sub-Office</t>
  </si>
  <si>
    <t>SUPPLY AND DELIVERY  OF VARIOUS SUBMERSIBLE MOTORS- PR#12458</t>
  </si>
  <si>
    <t>Procurement of Green Card (OPD)</t>
  </si>
  <si>
    <t>Procurement of Furniture &amp; Fixture - PASSO</t>
  </si>
  <si>
    <t>PR No. 2020-08-0088 - Supply and delivery of 10,000 liters Diesel Fuel for use in various service vehicles and equipment - Maintenance Section.</t>
  </si>
  <si>
    <t>Resource Enhancement Program-CCTV cameras repair and maintenance</t>
  </si>
  <si>
    <t>PURCHASE OF CONSTRUCTION MATERIIALS FOR THE CONSTRUCTIN OF 120 METERS DRAINAGE CANAL</t>
  </si>
  <si>
    <t>S/D OF SIXTY (60) PCS NEWS PAPER AND TWENTY EIGHT (28) OTHER LI OF SFRA, PA (PHP 591,093.75)</t>
  </si>
  <si>
    <t>REQUEST FOR QUOTATION - GOODS</t>
  </si>
  <si>
    <t>SUPPLY, DELIVERY AND INSTALLATION OF ACRYLIC SAFETY BARRIERS FOR TELLERS AND NEW ACCOUNTS STATIONS FOR DBP TARLAC BRANCH</t>
  </si>
  <si>
    <t>FOR EMERGENCY RADIO COMMUNICATION</t>
  </si>
  <si>
    <t>PR 9-20-07-0926, FOR USE OF THE SAN CARLOS CITY HOSPITAL, THIS CITY.</t>
  </si>
  <si>
    <t>"Lakas Kita, Lakas Pamilya"Program-Soap, Fabric Conditioner, Dishwashing Liquid and Perfume Making Training</t>
  </si>
  <si>
    <t>INSTALLATION OF VARIOUS AIR-CONDITIONING UNIT UNDER PRRI-2020-048</t>
  </si>
  <si>
    <t>PURCHASE  AND DELIVERY OF DIGITAL DUPLICATOR, DUPLICATOR INK AND MASTER ROLL</t>
  </si>
  <si>
    <t>Tools and Equipment for the Assessment Office</t>
  </si>
  <si>
    <t>Supply and Delivery of Various Service Vehicle</t>
  </si>
  <si>
    <t>Purchase of Eco Bag for the Distribution of Social Services Program for Yellow Card Members/Underpriviledged/Ingent Residents as requested by the City Mayor's Office (PR# 515)</t>
  </si>
  <si>
    <t>Constion of Sloe Protection and PCCP</t>
  </si>
  <si>
    <t>ENVELOPE FOR MODULES</t>
  </si>
  <si>
    <t>Supply and Delivery of Hardware Supplies for 7FSSU, ASCOM, PA</t>
  </si>
  <si>
    <t>Purchase of Roller Blinds</t>
  </si>
  <si>
    <t>Philippine Information Agency Purchase of Laptop</t>
  </si>
  <si>
    <t>S/D OF ONE (1) TRK LOAD SCREEN SAND AND SIXTY SEVEN (67) OTHER LI OF SFRA, PA (PHP 390,500.00)</t>
  </si>
  <si>
    <t>Supply and Delivery of 1 Unit Printer</t>
  </si>
  <si>
    <t>Antypsychotic Medicine</t>
  </si>
  <si>
    <t>MR SIA Micro planning for Midsayap, North Cotabato</t>
  </si>
  <si>
    <t>Procurement of Various Construction Supplies and Materials-08-045(AA)ProVet</t>
  </si>
  <si>
    <t>Purchase of Eco Bag for the Distribution of Social Services Program for Yellow Card Members/Underpriviledged/Ingent Residents as requested by the City Mayor's Office (PR# 514)</t>
  </si>
  <si>
    <t>Resource Enhancement Program-Installation of IP Cameras for CCTV System</t>
  </si>
  <si>
    <t>1 pc. Office Glass Installation (1/4 clear with half brown frame) for Talibon I District Office</t>
  </si>
  <si>
    <t>Barangay 568 BDF "CCTV CAMERA" 2020</t>
  </si>
  <si>
    <t>PURCHASE OF SPORTS EQUIPMENT</t>
  </si>
  <si>
    <t>PR 9-20-08-0962, FOR USE IN THE MAINTENANCE SECTION OF THE SAN CARLOS CITY HOSPITAL, THIS CITY.</t>
  </si>
  <si>
    <t>2020-08-399 PROCUREMENT OF OFFICE SUPPLIES - PGO-BAC</t>
  </si>
  <si>
    <t>Supply and Delivery of Diesel Fuel for use in the Operation of 1 Perking 500KVA Genset and 2 Cummins 500KVA Genset</t>
  </si>
  <si>
    <t>Supply and Delivery of Materials to be used in the Repair of Visitors Information Center (VIC) at Barangay Pinagsabangan I, Naujan, Oriental Mindoro</t>
  </si>
  <si>
    <t>EBMS -ANGLE VALVE &amp; 19 OTHERS (1ST POSTING)</t>
  </si>
  <si>
    <t>Supply &amp; Delivery of ICT 01D CO H44-2020</t>
  </si>
  <si>
    <t>Procurement of Various Construction Supplies and Materials-08-472(O)PEO</t>
  </si>
  <si>
    <t>2020-0190-PR2020-0544 Rebid Procurement of Materials (Anapog) for the Maintenance of Various Provincial Roads for the Project Management Division (PMD) I, of the Provincial Engineer's Office, New Capi</t>
  </si>
  <si>
    <t>Supply and Delivery of Construction Materials for the Construction of Access Road Inside the School Campus, Janiuay National Comprehensive High School, Brgy. Damo-ong, Janiuay, Iloilo and Supply and D</t>
  </si>
  <si>
    <t>Purchase of Materials for the Completion of Multi-Purpose Building, Cogon Norte, Loon</t>
  </si>
  <si>
    <t>For the Safety and Security of Daily Collections of the City Treasurer's Collectors.</t>
  </si>
  <si>
    <t>MR SIA Micro planning for South Cotabato</t>
  </si>
  <si>
    <t>Supply and delivery of Meals and snacks for RSTC Training on Sept. 6 to 17, 2020 (PR reference # 2020-08-0529)</t>
  </si>
  <si>
    <t>SUPPLY &amp; DELIVERY OF JANITORIAL SUPPLIES</t>
  </si>
  <si>
    <t>SH 053-20: ICT EQUIPMENT: PORTABLE EXTERNAL SSD</t>
  </si>
  <si>
    <t>PR 18-20-07-0927, THIS PROJECT IS TENDS FOR CONSTRUCTION OF SHALLOW WELL AT TUBURAN ELEMENTARY SCHOOL.</t>
  </si>
  <si>
    <t>20FG0103 - Concreting of Barangay Bahi to Barangay Sagrada Farm to Market Road (FMR) Barangay Bahi and Barangay Sagrada, Garchitorena, Camarines Sur</t>
  </si>
  <si>
    <t>Tire and Tube for HONDA XR150 with Plate No. SE6682</t>
  </si>
  <si>
    <t>Barangay 568 YDF 2020</t>
  </si>
  <si>
    <t>Motorcycle to be used at the Office of MDRRM</t>
  </si>
  <si>
    <t>Procurement of Spare Parts-08-522(O)PEO</t>
  </si>
  <si>
    <t>ECO Pencil w/ Customized Sleeve/Bookmark &amp; Cover</t>
  </si>
  <si>
    <t>CONSTRUCTION OF CONCRETE FOOTBRIDGE</t>
  </si>
  <si>
    <t>HO-AFG20-002 - Supply and Delivery of Various Office and Hiking Equipment</t>
  </si>
  <si>
    <t>Procurement of equipment/medicines and kits for COVID 19 testing (Procurement of medicines/supplies for isolation facility)</t>
  </si>
  <si>
    <t>Supply &amp; Delivery of Office Supplies and Materials, (O/N2), HPN</t>
  </si>
  <si>
    <t>COMPONENT 3– ARBOLD MOVE PROJECT LIVELIHOOD SUPPORT FOR WOMEN IN CRISIS SITUATION</t>
  </si>
  <si>
    <t>purchase of spare parts</t>
  </si>
  <si>
    <t>Supply &amp; Delivery of Laptop</t>
  </si>
  <si>
    <t>Supply and Delivery of Chlorine</t>
  </si>
  <si>
    <t>S/D OF THIRTEEN (13) PCS BRAKE DRUM AND TWENTY NINE (29) OTHER LI OF SFRA, PA (PHP 245,000.00)</t>
  </si>
  <si>
    <t>PRAS NO. 2020-07-062 CATERING SERVICES</t>
  </si>
  <si>
    <t>Purchase of 300 packs of Disposable Face Mask for the Municipality of Mabini, Pangasinan</t>
  </si>
  <si>
    <t>Procurement of Spare Parts-08-523(O)PEO</t>
  </si>
  <si>
    <t>REPAIR OF FEMALE TOILET IN MALAPITAN BUILDING</t>
  </si>
  <si>
    <t>PHASE III: NETWORKING OF INFRA: SERVER SET AND BACKBONE</t>
  </si>
  <si>
    <t>Supply and Delivery of Information and Communication Technology Equipment to be used at Municipal Social Welfare and Development Office, Naujan, Oriental Mindoro</t>
  </si>
  <si>
    <t>ALTERNATIVE LEARNING MODULE/BINDING MODULES/OFFICE USE - SHS</t>
  </si>
  <si>
    <t>Tobacco Farmers/Cooperatives' Fertilizers Subsidy for Farm Productivity Project</t>
  </si>
  <si>
    <t>SUPPLY AND DELIVERY OF LOW TEMPERATURE PLASMA STERILIZER FOR CALOOCAN CITY MEDICAL CENTER</t>
  </si>
  <si>
    <t>Procurement of Penentupan Yakan Cloth</t>
  </si>
  <si>
    <t>Bid for Repair &amp; Rehabilitation of MP Building at Barangay Datu Ladayon, Arakan Cotabato  (Negotiated)</t>
  </si>
  <si>
    <t>REPAIR AND MAINTENANCE OF GREEN DUMPTRUCK</t>
  </si>
  <si>
    <t>Procurement of materials for additional tomb</t>
  </si>
  <si>
    <t>CONSTRUCTION OF TRANSPORT TERMINAL AND TOWN CENTER (Backfilling Phase IV) AT ORTIZ, NAGUILIAN, LA UNION.</t>
  </si>
  <si>
    <t>Procurement of Various Animal Feeds-08-044(AA)ProVet</t>
  </si>
  <si>
    <t>SUPPLY AND DELIVERY OF CHEST FREEZER</t>
  </si>
  <si>
    <t>Repair and Maintenance of Bulldozer at Gumaca, Quezon</t>
  </si>
  <si>
    <t>Supply and Delivery of Materials of Materials for Module Reproduction</t>
  </si>
  <si>
    <t>20BA0055: CONCRETING OF BRGY. ISNAHAYAN TO BRGY. MAYSOHO FMR, IVANA, BATANES</t>
  </si>
  <si>
    <t>Supply and Delivery of Various ICT Supplies and Equipment</t>
  </si>
  <si>
    <t>Purchase of Meals and Snacks (for various sports activities, PSDMC)</t>
  </si>
  <si>
    <t>Supply &amp; Delivery of Thai Silk Fabric to be installed at LGU CoVid Facilities TNHS</t>
  </si>
  <si>
    <t>Tarpaulin for Learners and Schools as Zone of Peace (LSZOP) IEC Materials in Schools Division of Antique (145)</t>
  </si>
  <si>
    <t>Purchase of Office Supplies 3rd Quarter</t>
  </si>
  <si>
    <t>PURCHASE OF SCHOOL SUPPLIES FOR THE DUMALNEG NATIONAL HIGH SCHOOL.</t>
  </si>
  <si>
    <t>PACKAGE I- CONSTRUCTION/REHABILITATION OF VARIOUS PROJECTS</t>
  </si>
  <si>
    <t>Procurement of Wifi Router ( Including Installation )</t>
  </si>
  <si>
    <t>Supply and Delivery of Materials for the Construction of Concrete Pavement of SDO-Abra</t>
  </si>
  <si>
    <t>ROAD CONCRETING AT PUROK 6 &amp; 7 AT BARANGAY CAMANGAAN, SISON, PANGASINAN</t>
  </si>
  <si>
    <t>20BA0056: CONCRETING OF BRGY. LIPTAN TO BRGY. KARWARWAY FMR, BRGY. STA. LUCIA, ITBAYAT, BATANES</t>
  </si>
  <si>
    <t>2020-08-394 PROCUREMENT OF REFRIGERATOR - ESPH</t>
  </si>
  <si>
    <t>Supply &amp; Delivery of Desktop Computer &amp; Printer</t>
  </si>
  <si>
    <t>Installation of Faculty and Staff Office Table Barrier at JHCSC MAin Campus</t>
  </si>
  <si>
    <t>FITTINGS PR188</t>
  </si>
  <si>
    <t>Procurement of Communication Equipment-08-109(M)OPAG</t>
  </si>
  <si>
    <t>INSTALLATION OF ELECTRICAL WIRINGS, MAIN SERVICE ENTRANCE OF NEW BUILDING</t>
  </si>
  <si>
    <t>Purchase of Grass Cutter</t>
  </si>
  <si>
    <t>Supply and delivery of materials for the Improvement of Multi - Purpose Hall (Phase II) at Sitio Lagkitan, Barangay Baao, Mauban, Quezon</t>
  </si>
  <si>
    <t>Purchase of Laptop External Hard Drive and Digital Camera</t>
  </si>
  <si>
    <t>HO-AWA20-001 - Supply and Delivery of Camera, GPS and Tablet</t>
  </si>
  <si>
    <t>UHF Base Transciever ( Digital), Rental</t>
  </si>
  <si>
    <t>Supply and Delivery of Materials fro DepEd Btuan City Division Office use - COVID 19 Prevention</t>
  </si>
  <si>
    <t>S/D OF EIGHT (8) PCS ROUND BAR 12MM AND NINETEEN (19) OTHER LI OF SFRA, PA (PHP 50,000.00)</t>
  </si>
  <si>
    <t>NFNP OF INTERNET LOAD</t>
  </si>
  <si>
    <t>Purchase of 1 set CCTV 16 Channels 32" w/ Accessories &amp; Installation</t>
  </si>
  <si>
    <t>Workshop on Organizing a Primary Care Provider Network (PCPN) and Referral System at LGU Level (Sto. Niño)</t>
  </si>
  <si>
    <t>PR-20-07-067-048 Supply and Delivery of various medical supplies - DEPED, San Carlos City, Negros Occidental</t>
  </si>
  <si>
    <t>To Support The Logistical Requirements of 97IB,1ID,PA</t>
  </si>
  <si>
    <t>RFQ MULTI-FUNCTIONAL PRINTER / COPIER MACHINE (WITH AUTOMATIC DOCUMENT FEEDER)</t>
  </si>
  <si>
    <t>Proc of 7 pcs 2 x 4 x12 Good Lumber and 34 L/I</t>
  </si>
  <si>
    <t>PURCHASE AND INSTALLATION OF COVERED COURT LIGHTS AND RE-WIRING OF STREETLIGHTS</t>
  </si>
  <si>
    <t>INSTALLATION OF ADDITIONAL PAGING SYSTEM FOR BARANGAY SAN JOAQUIN</t>
  </si>
  <si>
    <t>MODULE REPRODUCTION</t>
  </si>
  <si>
    <t>Procurement of Rapid Test Kit</t>
  </si>
  <si>
    <t>Purchase of Fire Extinguisher</t>
  </si>
  <si>
    <t>MODULES 1A</t>
  </si>
  <si>
    <t>DENGUE IWASAN AT PUGSAIN, KUNG PAANO, SA RADIO ON AIR ALAMIN! (PB-LAP-2020-102)</t>
  </si>
  <si>
    <t>Supply &amp; Delivery of Airconditioning System</t>
  </si>
  <si>
    <t>Procurement of  WEB HOSTNG</t>
  </si>
  <si>
    <t>Procurement of Tires</t>
  </si>
  <si>
    <t>Purchase of Supplies for the Conduct of RICO Meeting</t>
  </si>
  <si>
    <t>Supplemental Supplies of Merangeran ES</t>
  </si>
  <si>
    <t>Repair/Rehabilitation of Barangay Roads</t>
  </si>
  <si>
    <t>Request for Quotation for Supply and Delivery of Goods for Upgrading NIAR12  Building Power Supply</t>
  </si>
  <si>
    <t>PURCHASE AND DELIVERY OF OFFICE AND OTHER SUPPLIES FOR THE OFFICIAL USE OF NGP IN THE CONDUCT OF SURVEY, MAPPING, AND PLANNING OF CENRO SABLAYAN (PHP124,176.25)</t>
  </si>
  <si>
    <t>Materials for Photocopier</t>
  </si>
  <si>
    <t>Procurement of Audio Equipment-08-111(M)OPAG</t>
  </si>
  <si>
    <t>EBMS -PVC ELBOW &amp;17 OTHERS (1ST POSTING)</t>
  </si>
  <si>
    <t>Purchase of 2,000 pcs. PPE-Full Face Shield Helmet with Logo</t>
  </si>
  <si>
    <t>For CHO and UPLC Consolidated 3rd and 4th Medical Supplies.</t>
  </si>
  <si>
    <t>Procurement of Agricultural Equipment-08-043(AA)ProVet</t>
  </si>
  <si>
    <t>SUPPLY &amp; DELIVERY OF HARDWARE SUPPLIES</t>
  </si>
  <si>
    <t>HEAVY SNACKS FOR KAPIHAN NA ZAMBOANGA PROGRAM</t>
  </si>
  <si>
    <t>Construction of Multi Purpose Building</t>
  </si>
  <si>
    <t>Supply and Delivery of Live Animals (bangus fingerlings)</t>
  </si>
  <si>
    <t>Procurement of Sludge for the Septic Tank of Commercial Center Operation, Kalibo, Aklan</t>
  </si>
  <si>
    <t>Labor and Materials for the Repair and Replacement of Roofing and Ceiling of Dormitory 2 at RFTFCD, BUTC Compound, Tayhi, Tabaco City</t>
  </si>
  <si>
    <t>renovation of roofing of multipurpose building</t>
  </si>
  <si>
    <t>Supply and Delivery of Various Supplies and ICT Equipment to be used in the Provision of Incentives and Awards for 2019 Best Performing Barangays, Naujan, Oriental Mindoro</t>
  </si>
  <si>
    <t>Purchase pf Computer Supplies/Consumables for various Services/Offices of CAAP Central Office</t>
  </si>
  <si>
    <t>INVITATION TO BID FOR Procurement of Housing Materials for Families Affected by Typhoon Ursula</t>
  </si>
  <si>
    <t>Procurement of Commonly-Used Supplies, NIPSC, Barotac Viejo, Iloilo (GAA)</t>
  </si>
  <si>
    <t>RFQ Supply and Delivery of Construction Materials for Concepcion STW under EGPIP CY 2020</t>
  </si>
  <si>
    <t>PURCHASE OF MULTIVITAMINS</t>
  </si>
  <si>
    <t>PROCUREMENT OF ONE (1) LOT SPARE PARTS FOR USE OF NISSAN NAVARA 1312-431193</t>
  </si>
  <si>
    <t>Catering services for the 2 batches of training on Installation of ICS for smallholder groups</t>
  </si>
  <si>
    <t>Purchase of IT Accessories</t>
  </si>
  <si>
    <t>Purchase of Ordinary Rice</t>
  </si>
  <si>
    <t>SUPPLY AND DELIVERY OF GENERAL MERCHANDISE FOR PWD, SENIOR CITIZEN OFFICERS, DAY CARE WORKERS AND MSWD STAFFS FOR THEIR PROTECTION AGAINST COVID-19, MDRRMO, LGU CANDELARIA, QUEZON</t>
  </si>
  <si>
    <t>Medical Care Program : Purchase of Medicines - MHO</t>
  </si>
  <si>
    <t>RFQ Supply of 1-unit Laptop for Aklan Personnel (Sr. Draftsman)</t>
  </si>
  <si>
    <t>Procurement of One-Year Pest Control Services</t>
  </si>
  <si>
    <t>Procurement of IT Supplies for the University PR#2020-OSPM-301</t>
  </si>
  <si>
    <t>purchase of laboratory supplies for RHU</t>
  </si>
  <si>
    <t>Procurement-Supply &amp; Delivery of Info &amp; Comm. Technology Equipt.</t>
  </si>
  <si>
    <t>Supply and Delivery of Janitorial Equipment - Grass Cutter &amp; Floor Polisher</t>
  </si>
  <si>
    <t>HO-LLR20-002 - Supply, Delivery and Installation of CAD Software for Civil Engineering Design and Documentation (3D), Three (3) Years Subscription, Including Training of Users</t>
  </si>
  <si>
    <t>RFQ-MATERIALS FOR THE RECORDING OF VIDEO LESSONS IN SPECIAL PROGRAM IN JOURNALISM</t>
  </si>
  <si>
    <t>Supply and Delivery of Configuration of Computer Set, System Unit and Power Adapters for Office Use</t>
  </si>
  <si>
    <t>1 lot Supply  of Tools, Materials and Technical Supervision for the Supply and Installation (PR#20-08-0473)</t>
  </si>
  <si>
    <t>Improvement and Reblocking of Abasag St.</t>
  </si>
  <si>
    <t>Procurement of Catering Services (for Isolation Facility)</t>
  </si>
  <si>
    <t>S/D OF ONE HUNDRED TWENTY FOUR (124) PCS 10MM RSB AND EIGHTEEN (18) OTHER LI OF SFS, SFRA, PA (PHP 237,261.00)</t>
  </si>
  <si>
    <t>Drum Kit for DocuPrint P115w (Fuji Xerox)</t>
  </si>
  <si>
    <t>Purchase of 2 pc Battery 2SM, 1000 gram Wheelweights &amp; 4 pc Tire 265 50 R20 for use at the Laoag City Police Station, PNP</t>
  </si>
  <si>
    <t>Procurement of Construction Materials and Supplies of ARMOR, DIV, PA amounting to Php 70,600.00</t>
  </si>
  <si>
    <t>S/D OF TWELVE (12) PCS BRAKE SHOE AND THIRTEEN (13) OTHER LI OF SFS, SFRA, PA (PHP 60,000.00)</t>
  </si>
  <si>
    <t>Supply &amp; Delivery of Educatioanl Materials &amp; Supplies</t>
  </si>
  <si>
    <t>(GO-PJail) 2nd REQUEST FOR QUOTATION (RFQ) For the Procurement of Vehicle Parts</t>
  </si>
  <si>
    <t>Invitation to Bid for the Procurement of Construction Materials for the Improvement of Ten Units Child Development Centers</t>
  </si>
  <si>
    <t>Supply and Delivery of Tie Wire and Metal Round Bar</t>
  </si>
  <si>
    <t>PROCUREMENT OF OFFICE SUPPLIES AND DEVICES - NAAWAN NATIONAL HIGH SCHOOL</t>
  </si>
  <si>
    <t>SUPPLY AND DELIVERY OF 200 PCS. PROTECTIVE SUIT FOR COVID-19 SWABBING, RESPONSE AND MANAGEMENT, MDRRMO, LGU CANDELARIA, QUEZON</t>
  </si>
  <si>
    <t>Supply and Delivery of 712 boxes of Ascorbic Acid</t>
  </si>
  <si>
    <t>EBMS -MALE THREADED TEE &amp; 16 OTHERS (1ST POSTING)</t>
  </si>
  <si>
    <t>Procurement-Supply &amp; Delivery of copier toner, Copy Print Ink and Master for Rizograph Machine</t>
  </si>
  <si>
    <t>TABLE PROTECTION COVER</t>
  </si>
  <si>
    <t>Provision of Catering Services for 3-Day Division Enhancement Training Workshop on Basic Computer Literacy for School Heads, Teachers and Master Teachers on Sept. 7-9, 10-12 &amp; 17-19, 2020</t>
  </si>
  <si>
    <t>MG-A5M20-027..REHAB OF BOOMTRUCK</t>
  </si>
  <si>
    <t>IMPROVEMENT OF HEALTH CENTER</t>
  </si>
  <si>
    <t>Printing and Delivery of Modules</t>
  </si>
  <si>
    <t>Supply and Delivery of Construction Materials for the Installation of Perimeter Fence @ Ninoy Aquino Blvd., Tarlac City</t>
  </si>
  <si>
    <t>SUPPLY AND DELIVERY OF SEEDLINGS,FERTILIZERS, INSECTICIDES AND GARDENIG TOOLS TO THREE (3) RESETTLEMENT SITES</t>
  </si>
  <si>
    <t>Procurement of Fire Extinguisher Refill and New Unit for the use in the Higher Education</t>
  </si>
  <si>
    <t>PR #08-017-20 FOR OUTSCALING OF RICE POULTRY INTEGRATED FARMING SYSTEM</t>
  </si>
  <si>
    <t>RFQ 2020-01-0175-AUDIO VISUAL HALL AND LIBRRAY USE</t>
  </si>
  <si>
    <t>ANG BAG-ONG SURIGAO MAGAZINE, 3RD QUARTER EDITION</t>
  </si>
  <si>
    <t>Procurement of Catering Services with Accomodation (3 Days) (for Training on Traditional Massage)</t>
  </si>
  <si>
    <t>Purchase of 176 pcs. Raincoats, (jacket w/ pants), rubberized</t>
  </si>
  <si>
    <t>PRAS NO. 2020-07-063 CATERING SERVICES</t>
  </si>
  <si>
    <t>SUPPLY AND DELIVERY OF ONE (1) UNIT REFRIGERATED VAN, BRAND NEW, 4 WHEELER</t>
  </si>
  <si>
    <t>FLU VACCINE FOR ADULTS</t>
  </si>
  <si>
    <t>SUPPLY &amp; DELIVERY OF MEDICAL SUPPLIES</t>
  </si>
  <si>
    <t>Procurement of Various Vehicle Spare Parts P.R. No. 1034 &amp; 1032 - DEPW</t>
  </si>
  <si>
    <t>OFFICE EQUIPMENT (LAPTOP)</t>
  </si>
  <si>
    <t>Regular Bidding 01/Sept/2020 - Procurement of Goods: Const'n Materials &amp; Supplies for the use of CMO (Dev't of New City Hall Building-City Vice Mayor's Office) (PR#100-20-08-0186)</t>
  </si>
  <si>
    <t>EMBANKMENT OF BRGY ROAD</t>
  </si>
  <si>
    <t>Construction of 2 Post Material Recovery and Facilities</t>
  </si>
  <si>
    <t>Procurement of Diesel (for Government Vehicle)</t>
  </si>
  <si>
    <t>CONSTRUCTION OF SANITARY LANDFILL SLOPE PROTECTION</t>
  </si>
  <si>
    <t>1 LOT SUPPLY, DELIVERY AND INSTALLATION OF ACRYLIC SAFETY BARRIERS FOR TELLERS, NEW ACCOUNTS AND SALARY LOAN STATIONS FOR DBP SAN FERNANDO PAMPANGA BRANCH</t>
  </si>
  <si>
    <t>Supply &amp; Delivery of Vehicle Parts and Accessories (O/N2), HPN</t>
  </si>
  <si>
    <t>“SUPPLY AND DELIVERY OF INFORMATION TECHNOLOGY SUPPLIES AND EQUIPMENT”</t>
  </si>
  <si>
    <t>Supply, Delivery and Configuration of Computer and Office Equipment for DepEd Butuan City Division Office Use</t>
  </si>
  <si>
    <t>Procurement of Transmission Pipeline to DCM Concrete Ground Reservior</t>
  </si>
  <si>
    <t>Procurement-Supply &amp; Delivery of Drugs and Medicines</t>
  </si>
  <si>
    <t>SUPPLY &amp; DELIVERY OF MEDICAL EQUIPMENT ACCESSORIES</t>
  </si>
  <si>
    <t>Procurement of meals and snacks for the different meetings of Local Special Bodies</t>
  </si>
  <si>
    <t>Procurement of Office Supplies and Materials</t>
  </si>
  <si>
    <t>Invitation to Bid for SUPPLY AND DELIVERY OF ONE (1) UNITBRAND NEW COASTER (MINI BUS) FOR LGU – BORONGAN CITY, EASTER SAMAR</t>
  </si>
  <si>
    <t>RFQ NO. 20-131 Supply and Delivery of Various Engineering Supplies for the Proposed Expansion of Covid-19 Laboratory Testing Facility.</t>
  </si>
  <si>
    <t>PURCHASE OF 20 BXS COLISTIMETHATE SODIUM 1 MIU VIAL AND 40 BXS VASOPRESSIN INJECTION IP 20 UNITS 1ML/AMP TO BE USED TO TREAT CERTAIN BACTERIAL INFECTION OF PATIENT  AT OSMUN</t>
  </si>
  <si>
    <t>Hiring of Service Vehicles ( Van ) for use in ferrying DA 8 Officials/Employees from designated pick-Up drop off points to DA 8 Office  and Vice Versa</t>
  </si>
  <si>
    <t>Additional Materials for Proposed Commercial Building (Habhaban) Phase 2</t>
  </si>
  <si>
    <t>SUPPLY AND DELIVERY OF HYDROPONICS SNAP A AND B SOLUTION SET</t>
  </si>
  <si>
    <t>2020-08-395 PROCUREMENT OF DESKTOP - ESPH</t>
  </si>
  <si>
    <t>Procurement of Various ICT Equipment for Regional Peace and Order Council</t>
  </si>
  <si>
    <t>Procurement of Flu and Pneumonia Vaccine</t>
  </si>
  <si>
    <t>Supply and Delivery of Three (3) Units of Container Van (40 Footer) Dry Container for the use of MPU, PIMG and MCU</t>
  </si>
  <si>
    <t>LBP Bolinao Branch Renovation (New Unit) - (Supply and Delivery of Aluminum Genset Housing)</t>
  </si>
  <si>
    <t>PROCUREMENT OF 1 LOT GOODS</t>
  </si>
  <si>
    <t>Purchase of Office Supplies &amp; Materials - LDRRMO</t>
  </si>
  <si>
    <t>Procurement of Printer Ink for the consumption in the Materials Development Center</t>
  </si>
  <si>
    <t>Purchase of Computer Parts and Accessories</t>
  </si>
  <si>
    <t>Purchase of Tents</t>
  </si>
  <si>
    <t>Supply and Delivery of Plastic Pots for Vertical Garden</t>
  </si>
  <si>
    <t>Supply &amp; Delivery of Other Supplies and Materials, (O/N2), HPN</t>
  </si>
  <si>
    <t>PROCUREMENT OF 185 PCS BPAT SWEAT SHIRT UNIFORM</t>
  </si>
  <si>
    <t>Supply and Delivery of Photographic or Filming/Recording or Audio/Video Equipment for use in the Video Production if Information Campaign Materials for the Resumption of the Continuing System of Regis</t>
  </si>
  <si>
    <t>Procurement of Diesel (for IPTO use)</t>
  </si>
  <si>
    <t>Anti - Rabies Vaccine for Human (06-0617) City Health Office</t>
  </si>
  <si>
    <t>GF-20-06-00894 - INK CARTRIDGE AND RIBBON CARTRIDGE</t>
  </si>
  <si>
    <t>Office Equipment Parts and Accessories</t>
  </si>
  <si>
    <t>Construction of Street Lighting (Phase 1)</t>
  </si>
  <si>
    <t>20CSAJ04 - CONSULTING SERVICES FOR AND IN CONDUCT OF STRUCTURAL, ARCHITECTURAL PLANS, DESIGNS AND SPECIFICATION FOR THE CONSTRUCTION OF MULTI-PURPOSE BUILDING (AUDITORIUM) AT BRGY. ANO, SAN CARLOS CIT</t>
  </si>
  <si>
    <t>Completion of Waterworks System-Adlawan</t>
  </si>
  <si>
    <t>Preventive Maintenance of Dialysis Machines</t>
  </si>
  <si>
    <t>PR No. 20-08-064</t>
  </si>
  <si>
    <t>SUPPLY AND DELIVERY OF 1 SET RADIO TRANSCEIVER FOR INFORMATION DISSEMINATION, MDRRMO, LGU CANDELARIA, QUEZON</t>
  </si>
  <si>
    <t>To be distributed to certified LSAs and SPAs and Accredited ESPs as starter kit</t>
  </si>
  <si>
    <t>Provision of Foods For LGU-Looc Family Day 2020</t>
  </si>
  <si>
    <t>2020-08-1299 "Procurement of 45 gal. Muriatic Acid,etc for MOPAC Maintenance"</t>
  </si>
  <si>
    <t>Supply and Delivery of Veterinary Supplies</t>
  </si>
  <si>
    <t>Procurement of Corporate Giveaways</t>
  </si>
  <si>
    <t>Supply &amp; Delivery of various Electrical Materials for the Damage Streetlight Pedestal, Pipes &amp; Wires Burried undergroud due to Road Widening Program from Campisang Bridge Going to Tauangan Bridge,,  S</t>
  </si>
  <si>
    <t>Supply &amp; Delivery of Grocery Items, (O/N5), HPN</t>
  </si>
  <si>
    <t>PROCUREMENT OF OFFICE AND MEDICAL SUPPLIES, AND OTHER EQUIPMENT</t>
  </si>
  <si>
    <t>Supply and Delivery of Descaler and Neutralizing Chemicals for use in the Annual General Cleaning of all Centralize Air-Conditioning Units servicing the COMELEC Offices in Palacio del Gobernador Build</t>
  </si>
  <si>
    <t>PRAS NO. 2020-07-064 CATERING SERVICES</t>
  </si>
  <si>
    <t>Meals and Snacks for Various Activities</t>
  </si>
  <si>
    <t>REPAIR OF GENERATOR SET, 110KVA, 220/440V</t>
  </si>
  <si>
    <t>Procurement of Expansion/ Rehabilition of Mahayag Local Water System</t>
  </si>
  <si>
    <t>Purchase of Printers for Elementary and Secondary Public Schools for its Modular Learning Materials</t>
  </si>
  <si>
    <t>Purchase of Office Supplies and Materials (2) - LDRRMO</t>
  </si>
  <si>
    <t>Procurement of Electrical Supplies</t>
  </si>
  <si>
    <t>Supply and Delivery of Materials and Labor for the Concreting of Farm to Market Road at Purok Damayan to Sinagtala 1, Brgy. Kinagunan Ibaba</t>
  </si>
  <si>
    <t>Supply and Delivery and Configuration of Laptop for ICT Office</t>
  </si>
  <si>
    <t>CONSTRUCTION OF BRGY HALL/MULTI-PURPOSE HALL PHASE II</t>
  </si>
  <si>
    <t>Construction of Multi-purpose Post Harvest Facility @ Dan-ar, Santiago, Ilocos Sur</t>
  </si>
  <si>
    <t>PURCHASE OF 110 VIALS REMDESIVIR 100 MG VIAL TO BE USED AS ANTIVIRAL TREATMENT FOR PATIENT WITH SEVERE RESPIRATORY SYNDROME AT OSMUN</t>
  </si>
  <si>
    <t>PURCHASE OF CONSTRUCTION MATERIALS  FOR THE REPAIR AND IMPROVEMENT OF SK HALL</t>
  </si>
  <si>
    <t>Procurement of Various I.T. Equipment</t>
  </si>
  <si>
    <t>Rehabilitation of Multi-Purpose Building at Brgy. Kitubod, Libungan, Cotabato</t>
  </si>
  <si>
    <t>Procurement of Additional Personal protective equipment and supplies for the 3rd Quarter of CY 2020</t>
  </si>
  <si>
    <t>Supply and Installation of One (1) set 2 HP Split Type Wall Mounted Air-Conditioning Unit (Non-Inverter) for use in the Office of Acting Director III, ITD at 7th Floor, PDGB (BAC Reference No. SVP 202</t>
  </si>
  <si>
    <t>CATERING SERVICES FOR MEAT PROCESSING TRAINING (3 BATCHES)</t>
  </si>
  <si>
    <t>ECO-PARK ACCESS ROAD CONCRETING</t>
  </si>
  <si>
    <t>Procurement of Office Supplies intended for the documentations of all projects of the MCG/PSO</t>
  </si>
  <si>
    <t>PB2020-0--124 Procurement of Various Plants and Painting Supplies PDO</t>
  </si>
  <si>
    <t>Procurement of IT ( Software &amp; Service For Flexible Learning System)</t>
  </si>
  <si>
    <t>MEALS/SNACKS FOR VARIOUS MEETINGS AND ACTIVITIES</t>
  </si>
  <si>
    <t>Procurement-Supply &amp; Delivery of Office Supplies &amp; Janitorial Supplies</t>
  </si>
  <si>
    <t>Supply of Materials for the Replacement of PTB Lighting, Nasipit Port</t>
  </si>
  <si>
    <t>Procurement of Instructional Supplies</t>
  </si>
  <si>
    <t>Procurement of Civil Works for the Improvement of Barangay Water System</t>
  </si>
  <si>
    <t>ESTABLISHMENT OF ISOLATION AREA 2</t>
  </si>
  <si>
    <t>Procurement-Supply &amp; Delivery of Medical/Dental &amp; Lab Supplies</t>
  </si>
  <si>
    <t>Supply &amp; Delivery of various materials to be given to various Schools,  Sipalay City, Neg. Occ.</t>
  </si>
  <si>
    <t>Procurement of medical supply for use at MDRRMC Rescue Team</t>
  </si>
  <si>
    <t>SHVES PRINTING OF MODULES @.65 BACK TO BACK</t>
  </si>
  <si>
    <t>Information Technology Parts &amp; Accessories &amp; Perip</t>
  </si>
  <si>
    <t>Procurement of Supplies &amp; Reproduction of LRs for K12 of Department of Education, Province of Aklan/ITB no: 2020-515</t>
  </si>
  <si>
    <t>SUPPLY &amp; DELIVERY OF DRUGS AND MEDICINES FOR LGU-BORONGAN CITY, EASTERN SAMAR (Re-Bid)</t>
  </si>
  <si>
    <t>PURCHASE OF ASSORTED DENTAL SUPPLIES FOR THE MUNICIPAL HEALTH OFFICE USE</t>
  </si>
  <si>
    <t>Provision of Catering and Venue for the Conduct of Training Course on Climate Resilient Farm Business School in Pampanga</t>
  </si>
  <si>
    <t>Purchase of Motor Vehicle</t>
  </si>
  <si>
    <t>PROCUREMENT OF A COMPREHENSIVE HEALTH CARE PLAN  FOR THE COURT OF APPEALS FOR ONE (1) YEAR</t>
  </si>
  <si>
    <t>RFQ-NP-SVP-385-2020-Procurement of IDeployment of Local Area Network in the COT building</t>
  </si>
  <si>
    <t>Supply and Delivery of Materials and Labor for the Construction of Parking Area in FTC.</t>
  </si>
  <si>
    <t>Purchase of Bondpapers for Elementary and Secondary Public Schools for its Modular Learning Materials</t>
  </si>
  <si>
    <t>To be distributed as starter kit to LSAs and SPAs and Accredited ESPs partners</t>
  </si>
  <si>
    <t>Supply and Delivery of Various Furniture for use in the Different Offices of the Commission (BAC Reference No. SVP 2020-081-Furn)</t>
  </si>
  <si>
    <t>Supply and Delivery of Various  Office Supplies for use of Procurement Management Department, Planning Department and Replenishment of 1st Quarter Stocks FY 2020 (BAC Reference No. SVP 2020-080-VOS)</t>
  </si>
  <si>
    <t>Procurement of Office Fixtures</t>
  </si>
  <si>
    <t>25 KVA Transformer including installation</t>
  </si>
  <si>
    <t>Purchase of Barangay Official Uniform of Baranay Sta. Monica San Luis Batangas</t>
  </si>
  <si>
    <t>Supply and Delivery of Supplies &amp; Materials for Solar Lights</t>
  </si>
  <si>
    <t>POWER UPGRADING - CARAMOAN &amp; SALOGON CAMPUS (2ND PUBLIC BIDDING)</t>
  </si>
  <si>
    <t>Provision of repair of the PSTC Ilocos Sur S&amp;T Learning Resource Center</t>
  </si>
  <si>
    <t>Fabrication of 2 Units Steel Tent</t>
  </si>
  <si>
    <t>Procurement of Educational Materials &amp; Supplies for the Reproduction of JHS Modules</t>
  </si>
  <si>
    <t>Purchase of Laptop for Sangguniang Bayan Office</t>
  </si>
  <si>
    <t>Procurement of Agricultural Equipment-08-110(M)OPAG</t>
  </si>
  <si>
    <t>EBMS -CONTACT CLEANER &amp; 16 OTHERS (1ST POSTING)</t>
  </si>
  <si>
    <t>Materials for Repair/Refurbishment of Guest House</t>
  </si>
  <si>
    <t>PURCHASE OF 30 VIALS TOCILIZUMAD 400MG VIAL (1'S/BOX) TO BE USED BY OSMUN</t>
  </si>
  <si>
    <t>SUPPLY AND DELIVERY OF CONSTRUCTION MATERIALS FOR THE IMPROVEMENT OF EMERGENCY KITCHEN</t>
  </si>
  <si>
    <t>Bond Paper for Linggo ng Kabataan</t>
  </si>
  <si>
    <t>Mosquito forceps, curve 140-150mm</t>
  </si>
  <si>
    <t>Purchase of Rubber Shoes for the use of BFP Personnel as requested by the Bureau of Fire Protection (PR# 520)</t>
  </si>
  <si>
    <t>Materials for Construction of Foot Bridge Phase 2 at Brgy. Supa, San Jose Antique - AIP</t>
  </si>
  <si>
    <t>RFQ-SUPPLY &amp; DELIVERY OF  CONCRETE CUTTER BLADE; 14"  X 3.2 X 2.7mm-SEGMENTED</t>
  </si>
  <si>
    <t>CONSTRUCTION OF DRAINAGE CANAL AT BARANGAY III, VIGAN CITY</t>
  </si>
  <si>
    <t>Procurement of Furnitures (RFQ 2020-0824-107 PIMO)</t>
  </si>
  <si>
    <t>Construction Projects - Completion of Barangay Health Station - Taytay, Duero, Bohol</t>
  </si>
  <si>
    <t>S/D OF NINE (9) PCS ANTENNA (HH) AND ELEVEN (11) OTHER LI OF 1BCT, PA (PHP 75,000.00)</t>
  </si>
  <si>
    <t>Procurements of Spare Parts LGU Vehicles</t>
  </si>
  <si>
    <t>Supply and Delivery of Adobe Creative Cloud Individual Subscription (All Apps Software) to be used by Education and Information Department (BAC Reference No. SVP 2020-082-AdCl)</t>
  </si>
  <si>
    <t>Proc of 100 pcs Toasted Bread and 9 L/I</t>
  </si>
  <si>
    <t>CARPENTRY NC II BKSTP BATCH 2 PANDAN</t>
  </si>
  <si>
    <t>REHABILITATION OF FISH PONDS</t>
  </si>
  <si>
    <t>Procurement of Services-08-123(Q)ZNMC</t>
  </si>
  <si>
    <t>Concreting of Local Road at Purok 6, Barangay Alawihao, Daet, Camarines Norte</t>
  </si>
  <si>
    <t>2020 Census of Population and Housing (CPH) - Face Shield</t>
  </si>
  <si>
    <t>Procurement of Janitorial Supplies</t>
  </si>
  <si>
    <t>RFQ-Construction Materials &amp; Supplies CN CRERDEC</t>
  </si>
  <si>
    <t>Supply, Delivery and Installation of Exterior Signage for Pag-IBIG Fund Calbayog Branch</t>
  </si>
  <si>
    <t>Purchase of Laptop and Document Scanner</t>
  </si>
  <si>
    <t>Purchase Of Airconditioning Units at Mayor's Office</t>
  </si>
  <si>
    <t>Improvement of Mini Park</t>
  </si>
  <si>
    <t>RFQ-NP-SVP-384-2020-Procurement of ICT Equipment for Power Institute Center</t>
  </si>
  <si>
    <t>2020-08-1186 "Procurement of 20 rolls ECG Paper, etc for CDH Use"</t>
  </si>
  <si>
    <t>Procurement of Office Supplies to be used at PNP</t>
  </si>
  <si>
    <t>Continuation of Construction of Multi-Purpose Building</t>
  </si>
  <si>
    <t>Purchase Laboratory Supplies, LGU-Banga, South Cotabato</t>
  </si>
  <si>
    <t>Purchase of Office Supplies - MTO</t>
  </si>
  <si>
    <t>PR No. 2020-07-160 (Annual Preventive Maintenance Servicing of the 125 KVA Generator)</t>
  </si>
  <si>
    <t>Procurement of fuels for use of the Office of the Governor, Romblon, Romblon</t>
  </si>
  <si>
    <t>MATERIALS FOR THE INSTALLATION OF RADIO TOWER AT CCJE</t>
  </si>
  <si>
    <t>Purchase of Materials for Indigenous Microorganism Production</t>
  </si>
  <si>
    <t>Family Planning Provision</t>
  </si>
  <si>
    <t>EBMS - SLOAN FLUSH VALVE &amp; 15 OTHERS (1ST POSTING)</t>
  </si>
  <si>
    <t>Procurement of office supplies for BFP</t>
  </si>
  <si>
    <t>Materials for Laptop, 3 in 1 Printe, Scanner, Xerox, Laptop Table, Fogging Machine</t>
  </si>
  <si>
    <t>DataFolder6</t>
  </si>
  <si>
    <t>Supply &amp; Delivery of various Office Supplies for Barangay databanking use,  Sipalay City, Neg. Occ.</t>
  </si>
  <si>
    <t>SUPPLY, DISMANTLING, INSTALLATION AND COMMISSIONING OF NEW FUJI CONTACTOR, POWER SUPPLY, AND INTERFACE BOARD TO REPLACE THE DEFECTIVE PARTS OF ONE (1) UNIT ELEVATOR SERVICING THE CA’S MAIN BUILDING</t>
  </si>
  <si>
    <t>Construction of Evacuation Center Phase 7-Painting Interior and Installation of Tiles-Main bldg. &amp; Installation of Water Closet, Water Line Bibirao</t>
  </si>
  <si>
    <t>Procurement of Medical Instrument</t>
  </si>
  <si>
    <t>Procurement of Construction Materials &amp; Supplies for Improvement of Basketball Court</t>
  </si>
  <si>
    <t>supply &amp; delivery of Influenza Polyvalent Vaccine</t>
  </si>
  <si>
    <t>Purchase of Electrical Materials</t>
  </si>
  <si>
    <t>Installation of Lighting for Covered Court</t>
  </si>
  <si>
    <t>CONCRETING AT BARANGAY CABALANGEGAN, VIGAN CITY</t>
  </si>
  <si>
    <t>2 UNIT DESKTOP COMPUTER</t>
  </si>
  <si>
    <t>Electrical Materials for Replacement at Municipal Hall Building</t>
  </si>
  <si>
    <t>CONSTRUCTION OF MATERIAL RECOVERY FACILITY</t>
  </si>
  <si>
    <t>Flood Control</t>
  </si>
  <si>
    <t>SUPPLY AND DELIVERY OF MATERIALS FOR THE REPAIR OF ROOF AND CANOPY</t>
  </si>
  <si>
    <t>PR-MS-2020-08-19/Lot 1: Meals and Snacks re: Year-end assessment and planning for Ifugao &amp; Alfonso Lista PIP</t>
  </si>
  <si>
    <t>RFQ 2020-08-330 Procurement of 760 pcs. Planner for DTCAM</t>
  </si>
  <si>
    <t>Supply and Delivery of Cat and Dog Food</t>
  </si>
  <si>
    <t>S/D OF TWO (2) UNIT MONITOR AND TWO (2) OTHER LI OF AAR, PA (PHP 50,000.00)</t>
  </si>
  <si>
    <t>Procurement of Portable Sterilizer Lamp and UV-C Germicidal Cart</t>
  </si>
  <si>
    <t>Concreting of Purok 8 &amp; Purok 6, Kilada Road</t>
  </si>
  <si>
    <t>Supply &amp; Delivery of Equipment for Tourism Hazard and Risk Assesstment in various tourism areas such as caves, trails, and beaches and safety information campaign for tourism stakeholders,  Sipalay Ci</t>
  </si>
  <si>
    <t>Purchase of one (1) unit Digital Duplicator, Risograph - DEPED, San Fabian, Pangasinan</t>
  </si>
  <si>
    <t>Supply and Delivery of IT Equipment</t>
  </si>
  <si>
    <t>Construction of Multi-purpose Post Harvest Facility @ San Jose, Santiago, Ilocos Sur</t>
  </si>
  <si>
    <t>Procurement of Duplicator Machine and Photocopying Machine</t>
  </si>
  <si>
    <t>Procurement of Goods (Fuel and Lubricants for LGU Sogod)</t>
  </si>
  <si>
    <t>Disinfectant for the decontamination of COVID-19 affected areas</t>
  </si>
  <si>
    <t>Rebidding: 315 Granite Tiles 600mm x 600mm and other items for construction of 2 storey gender sensitive living quarters of Girl CICL/CAR at Dumageute Youth Home at Brgy. Talay-1st Revision.</t>
  </si>
  <si>
    <t>Plastic Pallette (Heavy Duty)</t>
  </si>
  <si>
    <t>Procurement of Signage and Accessories-07-433(O)PEO</t>
  </si>
  <si>
    <t>Procurement of fuels for use of the Sub-Office of the Governor, Romblon, Romblon</t>
  </si>
  <si>
    <t>IMPROVEMENT OF COVERED COURT AT BARANGAY CABALANGEGAN, VIGAN CITY</t>
  </si>
  <si>
    <t>AGGREGATES USE FOR THE MAINTENANCE OF NRJ (PROSPERIDAD) POBLACION-PATIN-AY CIRCUMFERENTIAL ROAD AT PROSPERIDAD, AGUSAN DEL SUR</t>
  </si>
  <si>
    <t>Air-Conditioning Unit of MEEDO Main Office</t>
  </si>
  <si>
    <t>RFQ-NP-SVP-387-2020-Procurement of of Production of Graduation Programs</t>
  </si>
  <si>
    <t>Drugs and Medicines</t>
  </si>
  <si>
    <t>SUPPLY AND DELIVERY OF GENERAL MERCHANDISE FOR VARIOUS PURCHASE REQUESTS OF THE CITY UNDER SMALL VALUE PROCUREMENT</t>
  </si>
  <si>
    <t>Procurement of Educational Materials &amp; Supplies for the Reproduction of SHS Modules</t>
  </si>
  <si>
    <t>Special Technical Assistance for Development of 2021 Annual Operation Plan</t>
  </si>
  <si>
    <t>Concreting of Local Road at Purok 2 Barangay Dogongan, Daet, Camarines Norte</t>
  </si>
  <si>
    <t>Supply &amp; Delivery of Chicken and Feeds as Extension Support for the  Training on Organic Food Production and Bahay Kubo Establishment on Aug 18-20, 2020</t>
  </si>
  <si>
    <t>Procurement of Various Medical Supplies</t>
  </si>
  <si>
    <t>Purchase of Office Supplies for LSB New Modality of Learning</t>
  </si>
  <si>
    <t>Package 64: Supply and Delivery of Drugs &amp; Medicines</t>
  </si>
  <si>
    <t>Supply and Delivery of Grocery Items</t>
  </si>
  <si>
    <t>PROCUREMENT OF A4 BOND PAPER FOR PRINTING OF MODULES - CABALANTIAN NATIONAL HIGH SCHOOL</t>
  </si>
  <si>
    <t>ITB.026.2020- 1 unit  Brand New Ambulance (Type II)</t>
  </si>
  <si>
    <t>Procurement of Electrical and Construction Supplies</t>
  </si>
  <si>
    <t>PURCHASE OF TIRE (10.00X20) FOR TRANSIT MIXER</t>
  </si>
  <si>
    <t>SUPPLY AND DELIVERY OF IT SUPPLIES AND ACCESSORIES FOR VARIOUS OFFICES - 2ND BIDDING</t>
  </si>
  <si>
    <t>Medical, Dental &amp; Laboratory Supplies and Materials</t>
  </si>
  <si>
    <t>PR-MS-2020-08-18/Lot 1: MS-For the participants and facilitators on Orientation and Review on ISO 9001:2015 and NIA-Quality Management System</t>
  </si>
  <si>
    <t>Supply &amp; Delivery of Tire for Various Municipal Equipment of LGU</t>
  </si>
  <si>
    <t>Procurement of Feeds, Fertilizers and Pesticides for Intensive Tilapia Hatchery (Tank-Based System), Province of Aklan- Re Bidding/ITB no: 2020-516</t>
  </si>
  <si>
    <t>Purchase of Various Supplies/Materials</t>
  </si>
  <si>
    <t>Architectural Engineering and Const. Collection</t>
  </si>
  <si>
    <t>Purchase of Office Table and Chairs for Assessor's Office</t>
  </si>
  <si>
    <t>Repair and Maintenance Infrastructure Asset</t>
  </si>
  <si>
    <t>Supply and Delivery of Laboratory Equipment for Promotion and Utilization of Banana TC Saba to Enhance Farm Productivity and Income of Small Hold Banana Growers in Isabela</t>
  </si>
  <si>
    <t>Other Supplies and Materials Expense</t>
  </si>
  <si>
    <t>DELIVERY AND REPRODUCTION OF LEARNING MATERIAL</t>
  </si>
  <si>
    <t>RFQ20-36</t>
  </si>
  <si>
    <t>Procurement of Conference Table Six (6) seaters and Eight (8) seaters</t>
  </si>
  <si>
    <t>Procurement of Various Medical Supplies-07-024(R)LDH</t>
  </si>
  <si>
    <t>Procurement of Fertilizer-07-090(M)OPAG</t>
  </si>
  <si>
    <t>Supplies and Materials for Training and Institutional in Food Processing NCII</t>
  </si>
  <si>
    <t>PURCHASE OF VARIOUS VEHICLES FOR USE IN CITY DISASTER RISK REDUCTION AND MANAGEMENT SECTION AND OFFICE OF THE MAYOR</t>
  </si>
  <si>
    <t>Procurement of Office Supplies for use in PDRRMO. Romblon, Romblon</t>
  </si>
  <si>
    <t>Purchase of Agricultural Supplies for use at Albay Provincial Agricultural Office PR No. (100(01)20-07-1556)</t>
  </si>
  <si>
    <t>Purchase of Photocopying Machine</t>
  </si>
  <si>
    <t>PR No. 2020-08-205 (VARIOUS FLAGS)</t>
  </si>
  <si>
    <t>Supply, Delivery and Installation of LOT 1, AGRICULTURAL MACHINERIES UNDER THE CRFP SUPPORT PROJECT</t>
  </si>
  <si>
    <t>WATERPROOFING AND PAINTING MATERIALS FOR REPAIR AND REHABILITATION OF ROOFING AT ENGINEERING BLDG.</t>
  </si>
  <si>
    <t>AGGREGATES USE FOR THE MAINTENANCE OF NRJ (TRENTO) POBLACION-LOWER LUCAD-AURORA, STA. JOSEFA ROAD AT TRENTO AGUSAN DEL SURY CIRCUMFERENTIAL ROAD AT PROSPERIDAD, AGUSAN DEL SUR</t>
  </si>
  <si>
    <t>RFQ for Landscaping of New Municipal Building Ground and Public Plaza</t>
  </si>
  <si>
    <t>Procurement of Goods (Replacement of Tires and Repair of Hilux Rescue Vehicle)</t>
  </si>
  <si>
    <t>FOR TEH USE OF  ZERO WASTE TRUCK</t>
  </si>
  <si>
    <t>Termite Pest Control service for the Metropolitan Theater</t>
  </si>
  <si>
    <t>RFQ- Supply, Installation, Testing &amp; Commissioning of One (1) Automatic Transfer Switch</t>
  </si>
  <si>
    <t>Procurement of 1 set Submersible Pump with Motor (15HP)</t>
  </si>
  <si>
    <t>Request for Quotation for DPOAE Screening Unit per PR No. 20-08-0246</t>
  </si>
  <si>
    <t>Procurement of Supplemental School Supplies and Materials of Alae Central Elementary School</t>
  </si>
  <si>
    <t>PROCUREMENT OF ONE (1) LOT SUPPLY LABOR AND MATERIALS FOR THE CONSTRUCTION OF BOX CULVERT, BRGY. SAN ISIDRO AND INSTALLATION OF CROSS DRAIN, BRGY. PASIL, TANAUAN, LEYTE</t>
  </si>
  <si>
    <t>SUPPLY OF GASOLINE FOR MUNICIPAL VEHICLES</t>
  </si>
  <si>
    <t>REPLACEMENT OF OLD AIR CONDITIONING UNIT AT ACCOUNTING OFFICE AND GENERAL SERVICES OFFICE</t>
  </si>
  <si>
    <t>Procurement of Printing Services-08-023(Q)ZNMC</t>
  </si>
  <si>
    <t>SUPPLY OF 15 UNITS CELLPHONE FOR COMMUNICATION SYSTEM AND 10 UNITS LAPTOPS FOR VIRTUAL CONFERENCE OF BARANGAY OFFICIALS OF LIBERTAD, KAUSWAGAN, LANAO DEL NORTE</t>
  </si>
  <si>
    <t>RFQ20-37</t>
  </si>
  <si>
    <t>Supply and Delivery of Materials and Labor for the Improvement of BASCFEA, PDO &amp; MIS Office</t>
  </si>
  <si>
    <t>Supply &amp; Delivery of various Supplies for COVID-19 Facilities use,  Sipalay City, Neg. Occ.</t>
  </si>
  <si>
    <t>Suppy and Delivery of Procurement of Fuel, Oil, and Lubricants</t>
  </si>
  <si>
    <t>Invitation to Bid Construction of 100,000 Bags Capacity Warehouse with SGOO Office</t>
  </si>
  <si>
    <t>PROCUREMENT OF GROCERIES FOR THE CONSUMPTION OF SEVEN (7) CENTER AND INSTITUTIONS (RSCC, RHFG, TLC, HAVEN, RRCY, AMOR AND THFW) OF DSWD RO III FOR THE PERIOD OF 4TH QUARTER / OCTOBER-DECEMBER 2020</t>
  </si>
  <si>
    <t>Materials for the Construction/Fabrication of COVID-19 Quarantine &amp; Isolation Rooms @ San Jose National High School, Talibon, Bohol</t>
  </si>
  <si>
    <t>Rebidding: 2 kgs CW Nails 4”, and other items for continuance construction of Talay Barangay Health Center at Barangay Talay 1st Revision.</t>
  </si>
  <si>
    <t>CONSTRUCTION OF BOX CULVERT</t>
  </si>
  <si>
    <t>Supply and Delivery of Sanitary Supplies and Equipment (by lot)</t>
  </si>
  <si>
    <t>Procurement of Printing Services-01-017(Q)ZNMC</t>
  </si>
  <si>
    <t>2020-186-I CONSULTANCY SERVICES FOR THE PRODUCTION AND AIRING OF PACKAGE OF BROADCAST MATERIALS FOR CORN AND CASSAVA PROGRAM UNDER RAFIS CY2020</t>
  </si>
  <si>
    <t>Procurement of Motor Vehicle</t>
  </si>
  <si>
    <t>SUPPLY AND DELIVERY OF I.T. EQUIPMENT (SCANNER)</t>
  </si>
  <si>
    <t>Meals and Snack</t>
  </si>
  <si>
    <t>Construction Projects - Public Market Development - Duero, Bohol</t>
  </si>
  <si>
    <t>PROCUREMENT OF SPRAY PAINTS FOR SSEN</t>
  </si>
  <si>
    <t>Supply &amp; Delivery of Materials for the Construction of Box Culvert @ Calura, Minamaing</t>
  </si>
  <si>
    <t>SUPPLY AND DELIVERY OF ONE (1) UNIT VAN TYPE MULTICAB (5 SEATERS) FOR PERSONS WITH DISABILITY AFFAIRS OFFICE - TWO FAILED BIDDING</t>
  </si>
  <si>
    <t>Supply and Delivery of Meals and Snacks, Hygiene Kits and T-Shirts for the SPES Awarding of Salary &amp; Allowances at the KAISA Convention Hall, Tarlac City</t>
  </si>
  <si>
    <t>Procurement of Office Equipment for use of the SP Office , Romblon, Romblon</t>
  </si>
  <si>
    <t>Package 65: Supply and Delivery of Medical and Laboratory Supplies &amp; Materials</t>
  </si>
  <si>
    <t>CONCRETE RE-BLOCKING OF ROMBLON-SAWANG-AGPANABAT PROVINCIAL ROAD, ROMBLON, ROMBLON</t>
  </si>
  <si>
    <t>PURCHASE OF LAPTOP</t>
  </si>
  <si>
    <t>PR-MS-2020-08-18/Lot 2: Van Rental-For Facilitators on Orientation and Review on ISO 9001:2015 and NIA-Quality Management System</t>
  </si>
  <si>
    <t>Procurement of Digital Duplicator</t>
  </si>
  <si>
    <t>RFQ FOR MSES (RCEP)</t>
  </si>
  <si>
    <t>FOR THE USE OF MANPOWER DEVELOPMENT CENTER (MDC)</t>
  </si>
  <si>
    <t>Request for Quotation - Supply and Delivery of One (1) Unit 10KVA Transformer (City Admin./Waterworks Division))</t>
  </si>
  <si>
    <t>Request for Quotation for Chlorinator Pump  per PR No. 20-08-0239</t>
  </si>
  <si>
    <t>GF-20-02-00332 PROCUREMENT OF COPIER</t>
  </si>
  <si>
    <t>Purchase of Two (2) units Container Van (Closed Van) (6.00m x 2.00m) w/ Electrical Materials (2 units windows and 1 unit Steel doors)</t>
  </si>
  <si>
    <t>RFQ20-38</t>
  </si>
  <si>
    <t>HANGING FILE CARTS( Office cart)</t>
  </si>
  <si>
    <t>PROCUREMENTS OF MATERIALS FOR THE MODULES</t>
  </si>
  <si>
    <t>SUPPLY AND DELIVERY OF 223 VERO CELL VIALS FOR THE CITY HEALTH OFFICE - TWO FAILED BIDDING</t>
  </si>
  <si>
    <t>20G0110</t>
  </si>
  <si>
    <t>Procurement of Office Supplies for 2020 CPH for PSA Camarines Sur</t>
  </si>
  <si>
    <t>Supply and Delivery of Materials and Labor for the Construction of Parking Beside Basketball Court</t>
  </si>
  <si>
    <t>Medical Supplies - (4th) SPONGE SURGICAL &amp; GAUZE BOLT</t>
  </si>
  <si>
    <t>2020-08-1232 "Procurement of 10pcs Entrance Cap for OPD Building"</t>
  </si>
  <si>
    <t>Procurement of Office Equipment, Parts and Supplies</t>
  </si>
  <si>
    <t>SUPPLY &amp; DELIVERIES OF VARIOUS CONSTRUCTION SUPPLIES FOR INSTALLATION OF LED STREET LIGHST SOLAR POWERED AND INSTALLATION OF JETMATIC PUMPS AT SAN JOSE, TARLAC</t>
  </si>
  <si>
    <t>Construction of Drainage CAnal</t>
  </si>
  <si>
    <t>Repair of Municipal Road</t>
  </si>
  <si>
    <t>Procurement of Executive Table</t>
  </si>
  <si>
    <t>Purchased of Cellphone</t>
  </si>
  <si>
    <t>Invitation to Bid Supply, Delivery, Installation and Commissioning of 80 TONS Pitless Type Electronic Truckscale</t>
  </si>
  <si>
    <t>Procurement of Fuel for use of the Service Vehicles of the City Government of Tarlac. B2020-106-A</t>
  </si>
  <si>
    <t>RFQ20-39</t>
  </si>
  <si>
    <t>RFQ-SUPPLY &amp; DLEIVERY OF VARIOUS FITTINGS</t>
  </si>
  <si>
    <t>Development/ Improvement of Albay Farmers Bounty Village (Construction of Water Tank Platform #1). PR No. (100(18)20-08-1699)</t>
  </si>
  <si>
    <t>GENUINE MICROSOFT OFFICE HOME &amp; STUDENT 2019</t>
  </si>
  <si>
    <t>Construction of Isolation Unit Ligtas COVID-19 Phase 2, Pinyassan Kiosk, Barangay 3, Daet, Camarines Norte</t>
  </si>
  <si>
    <t>Supply &amp; Delivery of water dispenser 05D Sower H48-2020</t>
  </si>
  <si>
    <t>Purchase and Delivery of Construction Supply of DepEd</t>
  </si>
  <si>
    <t>Supply and delivery of various office equipment</t>
  </si>
  <si>
    <t>Suppy and Delivery of Procurement of Medicines</t>
  </si>
  <si>
    <t>Supply &amp; Delivery of Materials for the Construction of Box Culvert @ Radus</t>
  </si>
  <si>
    <t>For use in San Jose Agricultural High School, San Jose, Romblon</t>
  </si>
  <si>
    <t>Supply and Delivery of Water System Parts and Accessories</t>
  </si>
  <si>
    <t>CONSTRUCTION OF MULTI PURPOSE BLDG P1 ( Asao,Butao)</t>
  </si>
  <si>
    <t>FOR THE POLICE OPERATIONS</t>
  </si>
  <si>
    <t>RFQ20-40</t>
  </si>
  <si>
    <t>Purchase of Computer and Printer for OSCA Office</t>
  </si>
  <si>
    <t>Procurement of Plat Form Scale</t>
  </si>
  <si>
    <t>PRAS NO. 2020-07-065 CATERING SERVICES AND ACCOMMODATION</t>
  </si>
  <si>
    <t>Purchase of 5,000 pcs. Updating Work for Printing of Pangasinan Tourism Brochure</t>
  </si>
  <si>
    <t>PROCUREMENT OF IGM/IGG ANTIBODY TO SARS-COVID-2 DIAGNOSTIC KITS FOR COVID-19 RESPONSE - 1ST POSTING</t>
  </si>
  <si>
    <t>Rehabilitation of Drainage CAnal</t>
  </si>
  <si>
    <t>LABOR FOR THE PIPELAYING PROJECT</t>
  </si>
  <si>
    <t>Citation Ticket Printing</t>
  </si>
  <si>
    <t>Supply &amp; Delivery of various Office Supplies to be given to various Schools and for the City Prosecutors Office use,,  Sipalay City, Neg. Occ.</t>
  </si>
  <si>
    <t>RFQ20-41</t>
  </si>
  <si>
    <t>Procurement of ICT Equipment and Other supplies for Accounting Department</t>
  </si>
  <si>
    <t>Procurement of Sophos Red15</t>
  </si>
  <si>
    <t>Delivery of Sta. Bayabas Building equipment (SVP 20-0761).</t>
  </si>
  <si>
    <t>Delivery of Cement  for Construction of Fish processing central at Brgy. Suba.(SVP 20-0499)</t>
  </si>
  <si>
    <t>Labor Pakyaw and Equipment on Removal of Concrete Structures</t>
  </si>
  <si>
    <t>PROCUREMENT OF FORTY ONE (41) UNITS 4-STAGE AIR-PURIFYING SYSTEM, LGU, MASINLOC, ZAMBALES</t>
  </si>
  <si>
    <t>SUPPLY AND DELIVERY OF WEB AND DATABASE SERVER, UPS</t>
  </si>
  <si>
    <t>Procurement of Sound System</t>
  </si>
  <si>
    <t>INKS</t>
  </si>
  <si>
    <t>4 units INCUBATOR</t>
  </si>
  <si>
    <t>INVITATION FOR NEGOTIATED PROCUREMENT  of  Materials for the Installation of Partition for the Cubicle and Provision of Its Furniture and Fixture  (Small Value Procurement)</t>
  </si>
  <si>
    <t>Request for Quotation- Olympic Bench Press Set w/ Plates</t>
  </si>
  <si>
    <t>Delivery of Sta. Bayabas Vaccines (SVP 20-0761.1).</t>
  </si>
  <si>
    <t>Suppy and Delivery of Procurement of Improvised Vehicle and Equipment</t>
  </si>
  <si>
    <t>Purchase of One (1) Unit Multicab Pick-up with canopy</t>
  </si>
  <si>
    <t>Procurement of Construction Materials of  Construction of Covered Pathway</t>
  </si>
  <si>
    <t>Request for Quotation for Titanium Plates  per PR No. 20-08-0240</t>
  </si>
  <si>
    <t>PRINTING SERVICES</t>
  </si>
  <si>
    <t>Lot1-Purchase of Rescue Vehicle</t>
  </si>
  <si>
    <t>2020-08-1159 "Procurement of 2 gals Minidil for JMCH Laboratory use"</t>
  </si>
  <si>
    <t>Materials for DA Nursery @ San Roque, Talibon, Bohol</t>
  </si>
  <si>
    <t>Fog to Zero Disinfection of Government Service Trucks &amp; Service Vehicles</t>
  </si>
  <si>
    <t>20GJF0154 -  Vehicles Parts and Consumables for the use in the Replacement of worn out Parts of Maintenance Service Vehicle Item 1-4 MAD with Plate # 7096 BONGO, Item 5-12 Isuzu Fuego XTT-684, Item 13</t>
  </si>
  <si>
    <t>Procurement of Materials for the Riprapping of Creeks</t>
  </si>
  <si>
    <t>Siniloan, Laguna RHU Laboratory Reagent (BNU, CREA, URIC ACID, TRIGLYCERIDES, CHOLESTEROL, GOT AST, GPT ALT)</t>
  </si>
  <si>
    <t>PRAS NO. 2020-07-066 CATERING SERVICES AND ACCOMMODATION</t>
  </si>
  <si>
    <t>SUPPLY AND DELIVERY OF SMART TABLET FOR BANNA WATERWORKS SYSTEM OPERATIONS AND MAINTENANCE</t>
  </si>
  <si>
    <t>Concreting of Barangay Road to Zone 4</t>
  </si>
  <si>
    <t>Package 66: Supply and Delivery of Family Planning Supplies, Instruments &amp; Commodities</t>
  </si>
  <si>
    <t>Procurement of Office Supplies of COA RO1</t>
  </si>
  <si>
    <t>PROCUREMENT OF VARIOUS MEDICINES FOR ALAMINOS CITY CONSTITUENTS FOR THE CORONA VIRUS DISEASE (COVID-19) PANDEMIC, CITY OF ALAMINOS, PANGASINAN</t>
  </si>
  <si>
    <t>Procurement of Information Technologies</t>
  </si>
  <si>
    <t>Request for Quotation - Supply and Delivery of Groceries for the Lockdown Families (CSWDO)</t>
  </si>
  <si>
    <t>Supply and Delivery of Diploma and Diploma Jacket set for Graduate Students S.Y. 2019-2020</t>
  </si>
  <si>
    <t>For use of PDEA Personnel and ITT Relay Station Personnel</t>
  </si>
  <si>
    <t>ANIMAL FEEDS (BALA LIVESTOCK USE)</t>
  </si>
  <si>
    <t>Supply, Delivery and Installation of Additional Modular Panel Workstations, Mobile Pedestal and Chairs for DOST-NCR</t>
  </si>
  <si>
    <t>Tires and Battery</t>
  </si>
  <si>
    <t>Package 67: Supply and Delivery of Testing Kit</t>
  </si>
  <si>
    <t>20GJF0155 - Kitchenware Supplies and Consumables for use in the Office of Office Caretaker, this district</t>
  </si>
  <si>
    <t>P.R. No. X2-20-08-379 - Catering Services for the use in the Construction Methods &amp; Techniques for Flood Control on September 14-25, 2020</t>
  </si>
  <si>
    <t>Procurement of Diesel fuel for BFP</t>
  </si>
  <si>
    <t>Other MOOE - Cemetery Construction Supplies</t>
  </si>
  <si>
    <t>PROCUREMENT OF VARIOUS FARM MACHINERY</t>
  </si>
  <si>
    <t>RFQ20-42</t>
  </si>
  <si>
    <t>Procurement of Office Equipment to be used at PNP</t>
  </si>
  <si>
    <t>5 units DEFEATHERING MACHINE</t>
  </si>
  <si>
    <t>Supply and delivery of 1 unit 2 OHP Wall Mounted Split Type Inverter with Complete Accessories for use in REDS Office with an ABC of P55,000 &amp; PR#DA3-2020-08-17-124</t>
  </si>
  <si>
    <t>Supply and Delivery of  Materials for Use in the Construction of Farm Demo Techno Project of Technical Advisory and Extension Services</t>
  </si>
  <si>
    <t>Package 68: Supply and Delivery of IT Supplies and Multimedia</t>
  </si>
  <si>
    <t>Purchase of Submersible Pump with Complete Accessories</t>
  </si>
  <si>
    <t>SUPPLY &amp; DELIVERY OF MEALS &amp; SNACKS FOR THE SCHEDULED MEETINGS, HEARINGS AND DIALOGUES OF SB MEMBERS AT SANGGUNIANG BAYAN SESSION HALL, SAN JOSE, TARLAC</t>
  </si>
  <si>
    <t>R/M ICT EQUIPMENT</t>
  </si>
  <si>
    <t>20M0056 - Purchase of Tires for use of Grader NI-2022, NI-2049 and Isuzu D-MAX HI-7196 assigned in the Maintenance Section, this district</t>
  </si>
  <si>
    <t>Suppy and Delivery of Acquisition of Rescue Motorboat (Rubber Boat)</t>
  </si>
  <si>
    <t>Improvement of Multipurpose HAll</t>
  </si>
  <si>
    <t>SUPPLY AND DELIVERY OF ONE (1) UNIT COMBINE HARVESTER AND ONE (1) UNIT  FARM TRACTOR</t>
  </si>
  <si>
    <t>Medical Supplies - (4th) POLYDIOXANONE ll 0-CT, &amp; ll 1-CT</t>
  </si>
  <si>
    <t>CONSTRUCTION OF WAREHOUSE</t>
  </si>
  <si>
    <t>Procurement of IT Supplies and Accessories</t>
  </si>
  <si>
    <t>Construction of Flood Control @ Olo-olo Norte, Santiago, Ilocos Sur</t>
  </si>
  <si>
    <t>Supplies of Construction Materials for Construction of Potable Water System for Brgy. (Concrete Reservoir), Brgy. Kabuhi, Mahayag, ZdelS.</t>
  </si>
  <si>
    <t>Procurement of Spare Parts</t>
  </si>
  <si>
    <t>Construction of Perimeter fence at Talisay, Nasipit, Agusan del Norte</t>
  </si>
  <si>
    <t>19LG0122 - Construction/Repair/Rehabilitation/Improvement of Multi-purpose Building in Mati City</t>
  </si>
  <si>
    <t>Materials for the Construction of Brgy. Market (Rentable Market Stall) @ Burgos, Talibon, Bohol</t>
  </si>
  <si>
    <t>Piglets and Feeds for Sustainable Livelihood Project of Different Associations of the Municipality of Talibon</t>
  </si>
  <si>
    <t>Circumcision</t>
  </si>
  <si>
    <t>Glass Installation for Municipal Treasurer's Office Operation</t>
  </si>
  <si>
    <t>Supply and delivery of vinyl tiles for use in the high school department.</t>
  </si>
  <si>
    <t>Medical Supplies - (4th) SUTURE BLUE MONOFILAMENT POLYPROPYLENE DOUBLE ARMED &amp; 2 OTHERS</t>
  </si>
  <si>
    <t>PROCUREMENT OF OFFICE SUPPLIES FOR ADMINISTRATIVE USE AT THE CALABANGA COMMUNITY COLLEGE</t>
  </si>
  <si>
    <t>SUPPLY OF GASOLINE FOR MUN. VEHICLE</t>
  </si>
  <si>
    <t>PURCHASE  OF OFFICE SUPPLIES</t>
  </si>
  <si>
    <t>Procurement of Fuel &amp; Oil Lubricants</t>
  </si>
  <si>
    <t>CATERING SERVICES TO LOCALLY STRANDED INDIVIDUALS AT ASSIGNED ISOLATION FACILITY OF LGU-BUHI</t>
  </si>
  <si>
    <t>RFQ20-43</t>
  </si>
  <si>
    <t>REHABILITATION OF GREEN HOUSE @BETINAN RESEARCH STATION, BETINAN, SAN MIGUEL ZAMBOANGA DEL SUR</t>
  </si>
  <si>
    <t>2020-07-1030 "Procurement of 375 ampules Morphine Sulfate for MOPH Pharmacy"</t>
  </si>
  <si>
    <t>P.R. No. X2-20-08-375 - Catering Services for the use in the Seminar on the Revised IRR of R.A. 9184 on September 9-18, 2020</t>
  </si>
  <si>
    <t>Purchase of Roller Blinds for Calbayog Branch</t>
  </si>
  <si>
    <t>08-PR-2020-0050 FOR USE OF SD-LG PAYLOADER LG936L L2-1462 &amp; BULL PAYLOADER HD936L L2-1570</t>
  </si>
  <si>
    <t>Farm Tools and Equipment for CRFPS</t>
  </si>
  <si>
    <t>Purchase of Spare Parts for Copier Machine</t>
  </si>
  <si>
    <t>Relocation of Poles, Municipal Compound, Barangay Sagaba, Municipality of Sto. Domingo, Nueva Ecija</t>
  </si>
  <si>
    <t>Supply &amp; Delivery of Other Supplies and Materials, (O/N7), HPN</t>
  </si>
  <si>
    <t>GF-20-03-00542 PROCUREMENT OF SOUVENIR ITEMS</t>
  </si>
  <si>
    <t>LCWD-2020-076 Provision of Accredited Certifying Body for the ISO 9001:2015 Certification of LCWD's MRBC Processes</t>
  </si>
  <si>
    <t>Procurement of of Termite Control Service Including Consumable Materials to be Used for BIR RR3 Storage Rooms</t>
  </si>
  <si>
    <t>Quotation No. 20-07-0441- Catering Services with Venue for conduct of Orientation on National Immunization Program (MR SIA) on September 16, 2020 in Zamboanga del Norte; (Live-out: AM Snack, Lunch, PM</t>
  </si>
  <si>
    <t>Purchase of  fuel &amp; lubricants for the opening/gravelling of Farm to Market Road @ Brgy. Pulidan, Titay, ZSP.</t>
  </si>
  <si>
    <t>Supplies of Construction Materials for Construction of Potable Water System for Brgy. (Concrete Reservoir), Brgy. Lower Sto. Niño, Mahayag, ZdelS.</t>
  </si>
  <si>
    <t>Supply and Delivery of Office Furniture</t>
  </si>
  <si>
    <t>RFQ20-44</t>
  </si>
  <si>
    <t>Supplies of Construction Materials for Construction of Potable Water System for Brgy. (Concrete Reservoir), Brgy. Delusom, Mahayag, ZdelS.</t>
  </si>
  <si>
    <t>CATERING SERVICES TO LOCALLY STRANDED INDIVIDUALS AT ASSIGNED ISOLATION FACILITIES OF LGU-BUHI</t>
  </si>
  <si>
    <t>Package 69: Supply and Delivery of Tarpaulin</t>
  </si>
  <si>
    <t>OFFICE SUPPLIES AND DEVICES</t>
  </si>
  <si>
    <t>Completion of PWD Office</t>
  </si>
  <si>
    <t>Supply &amp; Delivery of Printing Services</t>
  </si>
  <si>
    <t>20M0055 - Purchase of Materials for use in the Construction Of Fence at Area Equipment Stockyard San Marcos, Cabarroguis, this district</t>
  </si>
  <si>
    <t>Supply and Delivery of various Printing Materials and Peripherals</t>
  </si>
  <si>
    <t>ITB NO. 2020-04(01) - Antacid, Analgesic/Antipyretics, Anti-Asthma/Anti-Cough, Antihistamine, Vitamins and Minerals, Corticosteroids, Electrolyte Replacement, Antispasmodic, Anti-diarrheal</t>
  </si>
  <si>
    <t>Construction Materials for Fencing &amp; Site Improvement of Manpower Dev't Center and Evacuation Center (Phase 2) @ San Isidro, Talibon, Bohol</t>
  </si>
  <si>
    <t>Purchase of Four (4) units Laptop</t>
  </si>
  <si>
    <t>General Repair of Furniture</t>
  </si>
  <si>
    <t>Request for Quotation for ICT Equipment</t>
  </si>
  <si>
    <t>General Repair of Furnitures (fully re-varnish and replacement of broken parts)</t>
  </si>
  <si>
    <t>REQUEST FOR QUOTATION FOR THE REHABILITATION OF WATER TREATMENT PLANT FACILITY-GAD</t>
  </si>
  <si>
    <t>Medical Supplies - (4th) POLYGLACTIN 910 BRAIDED SYNTHETIC ABS. &amp; 2 OTHERS</t>
  </si>
  <si>
    <t>Labor and Materials for the Improvement of Facilities and Amenities @ Chocolate Hills Complex (re-bidding)</t>
  </si>
  <si>
    <t>SWA Badge, SWA Neckerchief and SWA Supporters Badge</t>
  </si>
  <si>
    <t>Purchase of  materials for the completion of Bahay Pag-asa @ Poblacion, Titay, ZSP.</t>
  </si>
  <si>
    <t>Pakyaw  labor  for the completion of Bahay Pag-asa @ Poblacion, Titay, ZSP.</t>
  </si>
  <si>
    <t>Supply and Delivery of Furniture</t>
  </si>
  <si>
    <t>IT SUPPLIES AND EQUIPMENT</t>
  </si>
  <si>
    <t>Construction of Bacay, Sabilao, and Banbanon Bridge</t>
  </si>
  <si>
    <t>Quotation No. 20-07-0443- Catering Services with Venue for conduct of Orientation on National Immunization Program (MR SIA) on 2nd week of September 2020 in Dapitan City</t>
  </si>
  <si>
    <t>Quotation No. 20-07-0446- Food and Hotel Accommodation for the conduct of Orientation on National Immunization Program (MR SIA) on September 9-10, 2020 in Zamboanga del Sur</t>
  </si>
  <si>
    <t>Purchase of One (1) set Transformer (15 KVA)</t>
  </si>
  <si>
    <t>Diagnostic test Gr. 1-6</t>
  </si>
  <si>
    <t>PR#20-08-0415 Coffee, Sugar &amp; Creamer (CGSO)</t>
  </si>
  <si>
    <t>Procurement of examining gloves</t>
  </si>
  <si>
    <t>PURCHASE OF PRINTERS &amp; INKS FOR BUHI SECONDARY SCHOOLS</t>
  </si>
  <si>
    <t>Purchase of Two (2) units Aircondition</t>
  </si>
  <si>
    <t>Purchase of Two (2) units Desktop Computer</t>
  </si>
  <si>
    <t>PURCHASE OF PRINTERS &amp; INKS FOR DEPED-BUHIELEMENTARY SCHOOL NORTH DISTRICT</t>
  </si>
  <si>
    <t>One (1) Lot Emission Test for Generator Set</t>
  </si>
  <si>
    <t>Quotation No. 20-07-0444- Catering Services with Venue for conduct of Orientation on National Immunization Program (MR SIA) on September 18, 2020 in Dipolog City</t>
  </si>
  <si>
    <t>R/M Other Structure</t>
  </si>
  <si>
    <t>GF-20-06-00935 - TONER CARTRIDGE (FOR AR-M256)</t>
  </si>
  <si>
    <t>1 4L Acetonitrile, HPLC Grade</t>
  </si>
  <si>
    <t>Quotation No. 20-07-0445- Catering Services with Venue for the conduct of Orientation on National Immunization Program (MR SIA) on September 8-9, 2020 in Zamboanga Sibugay</t>
  </si>
  <si>
    <t>PURCHASE OF SUPPLIES FOR DEPED-BUHI ELEMENTARY SCHOOL SOUTH DISTRICT</t>
  </si>
  <si>
    <t>1 lot 1 Vial-Human Normal Kidney Cell Line</t>
  </si>
  <si>
    <t>RFQ -Construction of RCBC at Purok 1, Antigo  Leading to Cabisera 6, Yeban Norte, Benito Soliven, Isabela</t>
  </si>
  <si>
    <t>Procurement of Hotel and Lodging Services</t>
  </si>
  <si>
    <t>Supply &amp; Delivery of Mobile Pre-Paid Cards, (O/N9), HPN</t>
  </si>
  <si>
    <t>P.R. No. X2-20-08-372 - Catering Services for the use in the Training on effective oral communication and technical writing on september 7-11, 2020</t>
  </si>
  <si>
    <t>Supply and Delivery of Water System Supplies and Materials</t>
  </si>
  <si>
    <t>Supply and Delivery of 1 unit Motorcycle 150cc</t>
  </si>
  <si>
    <t>PROCUREMENT OF PEACE &amp; ORDER EQUIPMENT &amp; SUPPLIES</t>
  </si>
  <si>
    <t>Construction of 1 Unit Artesian Well</t>
  </si>
  <si>
    <t>Supply and Delivery of P.E. Hose and P.E Coupling for the Improvement of Water System of Purok 6, Barangay Balangbalang</t>
  </si>
  <si>
    <t>PROCUREMENT OF VARIOUS LABORATORY EQUIPMENT (REBID), DR. JOSE RIZAL MEMORIAL HOSPITAL</t>
  </si>
  <si>
    <t>Construction and Completion of Water System</t>
  </si>
  <si>
    <t>BARANGAY CONCRETING  (Local Access Road)</t>
  </si>
  <si>
    <t>Quotation No. 20-07-0449-Catering Services with Venue for conduct of Orientation on National Immunization Program (MR SIA) on 2nd week of September 2020 in Zamboanga City</t>
  </si>
  <si>
    <t>Rehabilitation/Improvement of Level II Water System</t>
  </si>
  <si>
    <t>Supply and Delivery of Two (2) Units Emergency Transport Vehicle to be used in the Office of the Municipal Mayor, Naujan, Oriental Mindoro</t>
  </si>
  <si>
    <t>Supply &amp; Delivery of Office Supplies</t>
  </si>
  <si>
    <t>Purchase of equipment for the use of the responders of the Municipality</t>
  </si>
  <si>
    <t>Food catering services &amp; venue for RCEF Information Caravan 2020 for Libagon So. Leyte</t>
  </si>
  <si>
    <t>RFQ-081-2020-SVP - Catering Services (3 meals and 2 snacks for 4 days) during the conduct of Irrigators' Development Officer (IDO) Financial Management Training for BNLSL on September 15-18, 2020 at N</t>
  </si>
  <si>
    <t>SUPPLY &amp; DELIVERY OF PERSONAL PROTECTIVE EQUIPMENT (PPEs-tailor made) @ INFIRMARY, RODRIGUEZ, RIZAL</t>
  </si>
  <si>
    <t>Supply &amp; Delivery of Office Supplies and Materials, (O/N9), HPN</t>
  </si>
  <si>
    <t>ONE LOT STACK EMISSION TEST FOR GENERATOR SET (SEE ATTACHED TOR &amp; SCOPE OF WORK</t>
  </si>
  <si>
    <t>Repair and Maintenance of Dump Truck #4</t>
  </si>
  <si>
    <t>Purchase of 10 sets Plyboard ¾ Office Table</t>
  </si>
  <si>
    <t>Quotation No. 20-07-0451- Catering Services with Venue for conduct of Orientation on National Immunization Program (MR SIA) on September 10-11, 2020 in Zamboanga City</t>
  </si>
  <si>
    <t>20GAJ0007 - Procurement of Plotter, Minor Equipment and Materials for use in the Preparation of Detailed Engineering Plans of Pangasinan IV District Engineering Office</t>
  </si>
  <si>
    <t>Repair and Maintenance of Dump Truck #1</t>
  </si>
  <si>
    <t>Procurement of Nasopharyngeal Swab and other laboratory supplies</t>
  </si>
  <si>
    <t>RFQ20-45</t>
  </si>
  <si>
    <t>2 units Total Dissolved Solids...etc</t>
  </si>
  <si>
    <t>Construction of Water Treatment Facility with Iron Oxidation System</t>
  </si>
  <si>
    <t>Repair and Maintenance of Ambulance Unit of Municipality of San Mateo, Rizal</t>
  </si>
  <si>
    <t>PURCHASE OF SUPPLIES &amp; T-SHIRTS INTENDED FOR THE LINGGO NG KABATAAN 2020: BALIK ESKWELA PROGRAM</t>
  </si>
  <si>
    <t>Request for Quotation- Gym Equipment, Dumb Bells set w/ Rack</t>
  </si>
  <si>
    <t>R/M Building</t>
  </si>
  <si>
    <t>Procurement of Rapid Antibody Testing of LSI,ROFW and APOR</t>
  </si>
  <si>
    <t>Quotation No. 20-07-0442- Catering Services with Venue for conduct of Orientation on National Immunization Program (MR SIA) on 2nd week of September 2020 in Zamboanga del Norte</t>
  </si>
  <si>
    <t>Quotation No. 20-07-0450- Catering Services with Venue for conduct of Orientation on National Immunization Program (MR SIA) on September 8, 2020 in Dipolog City</t>
  </si>
  <si>
    <t>Municipal Isolation Facility</t>
  </si>
  <si>
    <t>To be used in the COVID-19 preventive measures.</t>
  </si>
  <si>
    <t>Purchase of office equipment with accessories for the use at the LDRRM Office</t>
  </si>
  <si>
    <t>Quotation No. 20-07-0447- Catering Services with Venue for conduct of Orientation on National Immunization Program (MR SIA) on September 10-11, 2020 in Pagadian City</t>
  </si>
  <si>
    <t>SUPPLY &amp; DELIVERY OF MEALS AND SNACKS FOR THE CAPACITY BUILDING FOR LADAC MEMBERS (4TH QUARTER) IN THE PROVINCE OF MAGUINDANAO - PGO</t>
  </si>
  <si>
    <t>Supply and Delivery of Laptop for Use in the Learning Management System</t>
  </si>
  <si>
    <t>Request for Quotation for RM Building</t>
  </si>
  <si>
    <t>Procurement of Supplies and Materials for IS Department</t>
  </si>
  <si>
    <t>Procurement of disinfecting spray</t>
  </si>
  <si>
    <t>Supply/Delivery of 1 unit Laptop</t>
  </si>
  <si>
    <t>PROCUREMENT OF HP TONER CARTRIDGE 201A</t>
  </si>
  <si>
    <t>CONTRACT ID #: 20-08-113 = PROCUREMENT OF ALCOHOL (FOR MR SIA)</t>
  </si>
  <si>
    <t>PURCHASE OF OFFICE AND SCHOOL SUPPLIES FOR LA FORTUNA ES</t>
  </si>
  <si>
    <t>GF-20-05-00820 - INK CARTRIDGE AND TONER</t>
  </si>
  <si>
    <t>Quotation No. 20-07-0454- Reproduction of forms for Immunization Program (MR SIA)</t>
  </si>
  <si>
    <t>ITB 20-0080 - Supply and Delivery of 834 heads Health Care Benefit.</t>
  </si>
  <si>
    <t>Quotation No. 20-07-0448- Catering Services with Venue for conduct of Orientation on National Immunization Program (MR SIA) on September 11, 2020 in Zamboanga del Sur; (AM Snack, Lunch, PM Snack, Dinn</t>
  </si>
  <si>
    <t>Procurement of Sodium Bicarbonate and other drugs and medicine</t>
  </si>
  <si>
    <t>RFQ20-46</t>
  </si>
  <si>
    <t>Purchase of New Aircondition Appliance to be used by BFP Office Porac</t>
  </si>
  <si>
    <t>PURCHASE OF VARIOUS MATLS FOR MODIFIED GENERAL COMMUNITY QUARANTINE</t>
  </si>
  <si>
    <t>Procurement of Steering Pump for Bulldozer</t>
  </si>
  <si>
    <t>PR#20-08-0416 Plumbing Materials for Operation of Waterworks Office</t>
  </si>
  <si>
    <t>Procurement of Goods (Fabrication or Production of a Trailer to be used for the Transport of Biodegradables (Bucket Length=2.0m, Width=1.0m, Height=0.46m)</t>
  </si>
  <si>
    <t>Labor for the press job of the spare parts of the patrol car SJH 252</t>
  </si>
  <si>
    <t>Quotation No. 20-07-0453- Cotton Balls: 150pcs balls per pack with resealable bag made from 100% pure and natural cotton that absorbs more liquid</t>
  </si>
  <si>
    <t>Barangay 790 YDF 2020</t>
  </si>
  <si>
    <t>Supply &amp; Delivery of FR-Chicken and Various Agricultural Supplies as Extension Support for theTraining on Organic Chicken Production in Zambales</t>
  </si>
  <si>
    <t>Purchase of Three (3) units Laptop Computer with Complete Accessories for the use of City Accounting Office(PR# 406)</t>
  </si>
  <si>
    <t>PURCHASE OF SUPPLIES FOR THE REPRODUCTION OF MODULES AND ACTIVITY SHEETS OF GUBAT NORTH DISTRICT PUPILS</t>
  </si>
  <si>
    <t>INVITATION TO BID FOR REPAIR/IMPROVEMENT OF MULTI-PURPOSE BUILDING - FIRST BIDDING</t>
  </si>
  <si>
    <t>Purchase of Office Equipment – Automated Contact Tracing System</t>
  </si>
  <si>
    <t>SUPPLY AND DELIVERY OF HOUR COUNTER, MAGNETIC CONTACTOR, TIMER, THERMAL OVERLOAD RELAY AND CIRCUIT BREAKER</t>
  </si>
  <si>
    <t>LIVE ANIMALS</t>
  </si>
  <si>
    <t>Quotation No. 20-07-0455- Vehicle Rental for 5days (PHP 4,500.00/day) on September 14-18, 2020 in Zamboanga City- East Coast, West Coast ; for conduct of NIP Monitoring (MR SIA Readiness assessment)</t>
  </si>
  <si>
    <t>Purchase of Materials for the Const. of Water System, Brgy. Bagongbong, Lambunao, Iloilo</t>
  </si>
  <si>
    <t>Purchase of Hardware Materials for the installation of water system pipe line, SHS Brgy. Libas, Isabela, Neg. Occ.</t>
  </si>
  <si>
    <t>Procurement of Vehicle Spare parts - PDH</t>
  </si>
  <si>
    <t>Quotation No. 20-07-0458- Vehicle Rental for 3 days  in Zamboanga del Sur for conduct of NIP Monitoring (MR SIA Readiness assessment)</t>
  </si>
  <si>
    <t>PROCUREMENT OF BARANGAY QUARANTINE FACILITY CONSTRUCTION MATERIALS – CLUSTER II</t>
  </si>
  <si>
    <t>Construction of Bridge @ Salincub, Santiago, Ilocos Sur</t>
  </si>
  <si>
    <t>REQUEST FOR EXPRESSION OF INTEREST FOR THE CONDUCT OF DELINEATION OF 50 KILOMETERS OF EASEMENT AREAS AND INVENTORY OF SETTLERS AND STRUCTURES WITHIN EASEMENT OF IMUS RIVER TRIBUTARY IN CAVITE PROVINCE</t>
  </si>
  <si>
    <t>Purchase of SSD to be use at the Municipal Treasurer's Office</t>
  </si>
  <si>
    <t>ITB NO. 2020-04(02) - Antihypertensive, Antidiabetics, Anticholesterolemia, Antiplatelet</t>
  </si>
  <si>
    <t>SUPPLY AND DELIVERY OF PORTABLE TOILETS</t>
  </si>
  <si>
    <t>Supply and Delivery of IT Equipment and Supplies of SDSSU Tandag Campus</t>
  </si>
  <si>
    <t>Quotation No. 20-07-0457- Vehicle Rental for 4 days in Zamboanga del Sur for conduct of NIP Monitoring (MR SIA Readiness assessment)</t>
  </si>
  <si>
    <t>PURCHASE OF OFFICE AND SCHOOL SUPPLIES FOR KIAWAN ES</t>
  </si>
  <si>
    <t>Supplies needed for 6 units 10-Wheeler Dumptrucks.(SVP 20-0733)</t>
  </si>
  <si>
    <t>Supply and Delivery of Supplies and Equipment for the HRM Laboratory of SDSSU Tagbina Campus</t>
  </si>
  <si>
    <t>Request for Quotation- Gym Equipment, Elliptical Machines</t>
  </si>
  <si>
    <t>Procurement of 500 Sacks Rice for Use in the Implementation of Crisis Intervention Program</t>
  </si>
  <si>
    <t>Quotation No. 20-07-0460- Vehicle Rental for 3 days  in Zamboanga del Norte for conduct of NIP Monitoring (MR SIA Readiness assessment)</t>
  </si>
  <si>
    <t>Training on Financial Literacy with extension support</t>
  </si>
  <si>
    <t>ITB for Additional Reproduction of LED ADM Materials for 1st Quarter</t>
  </si>
  <si>
    <t>Trucking Services for the Delivery of 2020 CPH Supplies &amp; Materials for Cebu Provincial Statistical Office.</t>
  </si>
  <si>
    <t>Invitation to Bid for the Construction of Post Harvest Facility @ Brgy. Pug-os (Proper), Cabugao, Ilocos Sur</t>
  </si>
  <si>
    <t>PURCHASE OF OFFICE AND SCHOOL SUPPLIES FOR NUEVA GRACIA ES</t>
  </si>
  <si>
    <t>ITB NO. 2020-04(03) - Antibiotics, Anti-Infectives &amp; Topical Antibacterial</t>
  </si>
  <si>
    <t>1 unit 13.3'' Laptop</t>
  </si>
  <si>
    <t>Provision of the Supply and Delivery of Printing Supplies and Materials</t>
  </si>
  <si>
    <t>Invitation to Bid for the Construction of Multi-Purpose Building, @ Brgy. Alinaay (Proper), Cabugao, Ilocos Sur</t>
  </si>
  <si>
    <t>subscription of Learning Management System</t>
  </si>
  <si>
    <t>GF-20-02-00060 - PROCUREMENT OF PUSH CART</t>
  </si>
  <si>
    <t>FISH SANCTUARY MATERIALS</t>
  </si>
  <si>
    <t>CONSTRUCTION OF NATIONAL CHILD DEVELOPMENT CENTER</t>
  </si>
  <si>
    <t>2020-07-1140 "Procurement of 56 set of Uniform for Job Orders Employees of MOPRJ"</t>
  </si>
  <si>
    <t>Purchase of spare parts for the repair and maintenance of heavy equipment of the municipality</t>
  </si>
  <si>
    <t>CONTRACT ID: 20-08-114 = PROCUREMENT OF FACE SHIELDS (FOR MR SIA)</t>
  </si>
  <si>
    <t>Supply and delivery of materials for the improvement of multi-purpose building at Barangay Tamlangon, Matanao, Davao del Sur</t>
  </si>
  <si>
    <t>Supply and delivery of materials for the construction of stock room at Barangay  Tamlangon, Matanao, Davao del Sur</t>
  </si>
  <si>
    <t>Procurement of Goods (Repair and Maintenance of Public Market)</t>
  </si>
  <si>
    <t>Purchase of Supplies, Materials &amp; Animal feeds</t>
  </si>
  <si>
    <t>Package 70: Supply and Delivery of Medical &amp; Laboratory Equipment</t>
  </si>
  <si>
    <t>ITB NO. 2020-04(04) - Psychopharmacologic Agents</t>
  </si>
  <si>
    <t>GF-20-03-00505 - Supply and Installation of Airconditioning Floor Mounted 3TR</t>
  </si>
  <si>
    <t>Supply and Delivery of 1 Unit Projector</t>
  </si>
  <si>
    <t>Provision of Training Services for various Diving Courses</t>
  </si>
  <si>
    <t>INSTALLATION OF DRY STAND PIPE</t>
  </si>
  <si>
    <t>Procurement of Various Laundry Supplies (BAC 2020-024)</t>
  </si>
  <si>
    <t>Quotation No. 20-07-0459- Vehicle Rental for 3 days  in Zamboanga del Norte for conduct of NIP Monitoring (MR SIA Readiness assessment)</t>
  </si>
  <si>
    <t>Rehabilitation and Installation of Water Supply System</t>
  </si>
  <si>
    <t>Purchase of Materials for the Const of Covered Gym Phase II, Brgy. Burirao, Lambunao, Iloilo</t>
  </si>
  <si>
    <t>ITB-Supply and Delivery of Materials for SDERT Operation</t>
  </si>
  <si>
    <t>100-2020-07-882 Supply and delivery of construction materials and supplies re Completion of Katipusdan – Mitra Road, Bgy. Tagburos</t>
  </si>
  <si>
    <t>Supply and Delivery of Book paper for the Reproduction of SL Modules</t>
  </si>
  <si>
    <t>Request for Quotation- 2 Stack Multi Gym 2x100kg cast iron</t>
  </si>
  <si>
    <t>Street Light with Integrated Street Sign</t>
  </si>
  <si>
    <t>Supply and Delivery of Food Stuff for 53EBDe, PA</t>
  </si>
  <si>
    <t>Procurement of Vehicle Spare parts and Labor - PDRRMO</t>
  </si>
  <si>
    <t>PROCUREMENT OF VEHICLE|RESCUE VEHICLE</t>
  </si>
  <si>
    <t>100-2020-07-881 Supply and delivery of 349.44 cum ready mixed concrete re Concreting of Road from Church to Highway, Bgy. Bacungan</t>
  </si>
  <si>
    <t>PURCHASE OF CONSTRUCTION MATERIALS AND SUPPLIES</t>
  </si>
  <si>
    <t>Supply &amp; Delivery of Grocery Items, (O/N9), HPN</t>
  </si>
  <si>
    <t>Supply and Delivery of Supplies and Materials for the HRM Laboratory of SDSSU Tagbina Campus</t>
  </si>
  <si>
    <t>SUPPLY &amp; DELIVERY OF 6 WHEELER ROAD SWEEPER TRUCK @ CLEAN &amp; GREEN, RODRIGUEZ, RIZAL</t>
  </si>
  <si>
    <t>GF-20-03-00565 - Calibration Sticker</t>
  </si>
  <si>
    <t>RFQDepEdCabCity-09-2020_Supply and Delivery of Various Supplies for Webinar on Mental Health and Psychosocial Services (MHPSS)</t>
  </si>
  <si>
    <t>PROCUREMENT OF OFFICE SUPPLIES AND EQUIPMENT</t>
  </si>
  <si>
    <t>Supply and Delivery of Office Supplies and Consumables for Official Use of All Public Schools - DEPED San Pedro Laguna</t>
  </si>
  <si>
    <t>supply and delivery of software for online learning video development and DSWD FO10 I-DRIVE</t>
  </si>
  <si>
    <t>Improvement of Structure for Dairy Box</t>
  </si>
  <si>
    <t>Procurement of Various Laundry Equipment (BAC 2020-025)</t>
  </si>
  <si>
    <t>TRAINING PRODUCE ORGANIC VEGETABLE</t>
  </si>
  <si>
    <t>ITB# 43-2020 Training Expenses</t>
  </si>
  <si>
    <t>LOADING FEE FOR ROAD IMPROVEMENT OF THIRTEEN (13) BARANGAYS</t>
  </si>
  <si>
    <t>20GCK0048 - SECURITY SERVICES AT DPWH-TARLAC 2ND DISTRICT ENGINEERING OFFICE (T2DEO) AT ITS PREMISES/OFFICES</t>
  </si>
  <si>
    <t>Supply and Delivery of Supplies and Materials for the HRM laboratory of SDSSU Tagbina Campus</t>
  </si>
  <si>
    <t>CONSTRUCTION OF DRAINAGE SYSTEM ZONE 1 AND 11</t>
  </si>
  <si>
    <t>PROCUREMENT AND DELIVERY OF LED TV MONITOR for HRMIS, VSU-Main, Visca, Baybay City Leyte PO20-08-0409)</t>
  </si>
  <si>
    <t>2020-08-419 CANVASS FOR HOSPITAL/MEDICAL EQUIPMENT</t>
  </si>
  <si>
    <t>Procurement of Vehicle Spare parts - PGO</t>
  </si>
  <si>
    <t>Invitation to Bid for the Improvement of Farm to Market Road @ Brgy.Quezon (Tandang Sora St.), Cabugao, Ilocos Sur</t>
  </si>
  <si>
    <t>Supply &amp; Delivery of Other Supplies and Materials, (O/TNIG), HPN</t>
  </si>
  <si>
    <t>Procurement of one (1) unit Laptop Computer for Career Center</t>
  </si>
  <si>
    <t>Supply &amp; Delivery of Office Supplies and Materials, (O/TNA), HPN</t>
  </si>
  <si>
    <t>One Job Order for the Lease of Various Mechanical Ventilators for a Period of One (1) Year (BAC 2020-027)</t>
  </si>
  <si>
    <t>100-2020-07-878 Supply and delivery of construction materials and supplies re Concreting of Maoyon Road, Bgy. Maoyon</t>
  </si>
  <si>
    <t>PURCHASE OF CONSTRUCTION MATERIALS AND SUPPLIES FOR LA PAZ CES</t>
  </si>
  <si>
    <t>PROCUREMENT OF HANDHELD RADIO AND CCTV CAMERA (CCTV CAMERA) PHASE 2</t>
  </si>
  <si>
    <t>2020-04-204 CANVASS FOR HOSPITAL/MEDICAL EQUIPMENT</t>
  </si>
  <si>
    <t>Supply &amp; Delivery of Grocery Items, (O/N2), HPN</t>
  </si>
  <si>
    <t>Supply and Delivery of Burner and LPG Tank  for the Kitchen Laboratory of SDSSU Tagbina Campus</t>
  </si>
  <si>
    <t>Procurement of Various Tire Wheel - SDH</t>
  </si>
  <si>
    <t>Invitation to Bid for the Improvement of Farm to Market Road @ Brgy. Quezon (Siruno St.), Cabugao, Ilocos Sur</t>
  </si>
  <si>
    <t>100-2020-07-880 Supply and delivery of 189.18 cum ready mixed concrete re Concreting of Maoyon Road, Bgy. Maoyon</t>
  </si>
  <si>
    <t>“Acquisition of One (1) Lot Supply and Delivery of Aerial Surveillance System”</t>
  </si>
  <si>
    <t>Provisions of Venue and Catering Services -  3 September 2020 – RTF-ELCAC Meeting  (8:00AM – 5:00PM)</t>
  </si>
  <si>
    <t>Training Course on Inbred Rice Seed Production and Certification for Seed Growers</t>
  </si>
  <si>
    <t>Tools and Equipment for Cookery NC II</t>
  </si>
  <si>
    <t>Procurement of Various Medical Supplies (BAC 2020-026)</t>
  </si>
  <si>
    <t>Purchase of Other Supplies for Operationalization of DILG Regional Emergency Operation Center for COVID 19</t>
  </si>
  <si>
    <t>Invitation to Bid for the Improvement of Farm to Market Road @ Brgy. Bonifacio-Turod Patac Road @ Cabugao, Ilocos Sur</t>
  </si>
  <si>
    <t>100-2020-07-879  Supply and delivery of  construction materials and supplies re Concreting of Road from Church to Highway, Bgy. Bacungan</t>
  </si>
  <si>
    <t>SUPPLY DELIVERY &amp; TRAINING FOR ISOKINETIC STACK SAMPLING EQUIPMENT</t>
  </si>
  <si>
    <t>Invitation to Bid for the Improvement of Farm to Market Road @ Brgy. Rizal (Sison St), Cabugao, Ilocos Sur</t>
  </si>
  <si>
    <t>PURCHASE OF OFFICE AND SCHOOL SUPPLIES FOR MAGAUD ES</t>
  </si>
  <si>
    <t>Construction of Loft for 52 Units at NHA Mambuaya Village Phase 1, Mambuaya, Cagayan de Oro City</t>
  </si>
  <si>
    <t>Procurement of various Fire Extinguishers for WPU Campuses</t>
  </si>
  <si>
    <t>PROCUREMENT OF COMPUTER PRINTER</t>
  </si>
  <si>
    <t>R&amp;M MOTOR VEHICLE</t>
  </si>
  <si>
    <t>PROCUREMENT AND DELIVERY OF LOAD CARDS for HRMIS, VSU-Main, Visca, Baybay City Leyte (PO20-08-0408)</t>
  </si>
  <si>
    <t>Printing of RCEF Magazine (12 pages) Printing and Binding for the RCEF Semestral Magazine</t>
  </si>
  <si>
    <t>PURCHASE OF OFFICE AND SCHOOL SUPPLIES FOR STO. TOMAS ES</t>
  </si>
  <si>
    <t>REPAIR AND MAINTENANCE OF HANDHELD RADIOS, RADIO BASE</t>
  </si>
  <si>
    <t>Supply and Delivery of 1 Unit heavy Duty Risograph Machine</t>
  </si>
  <si>
    <t>REQUEST FOR LEASE RENTAL OF 8 UNITS LAPTOP</t>
  </si>
  <si>
    <t>DRILLING AND PIPELAYING PROJECT IN BARANGAY LIPAY</t>
  </si>
  <si>
    <t>Supply and Delivery of Food Items use for Food Packs Distribution</t>
  </si>
  <si>
    <t>Supply &amp; Delivery of Brochure Holder to be used for the Enhancement of FITS Centers under RCEF Fund</t>
  </si>
  <si>
    <t>Procurement of Various Medical Supplies (BAC EP 2020-003A Rebidding)</t>
  </si>
  <si>
    <t>RFQ No. 2020- 15 (1 Single Project + 14 Packages with 31 Projects= 32 Projects)</t>
  </si>
  <si>
    <t>PROCUREMENT (HIRING) OF A CERTIFYING BODY FOR THE PMS-QMS YEAR 2 SURVEILLANCE AUDIT</t>
  </si>
  <si>
    <t>RFQ– Brand New Fire Extinguisher</t>
  </si>
  <si>
    <t>PURCHASE OF CHEMICAL DETERGENTS</t>
  </si>
  <si>
    <t>CONSTRUCTION OF PATHWAY BRGY. ANTIPOLO AT ZONE 5A</t>
  </si>
  <si>
    <t>Purchase of various supplies for use in the Market Office, Bato, Leyte</t>
  </si>
  <si>
    <t>Procurement for Supplies for TCC</t>
  </si>
  <si>
    <t>Invitation to Bid for the Concreting of Farm to Market Road @ Brgy. Pug-os (Murmuray), Cabvugao, Ilocos Sur</t>
  </si>
  <si>
    <t>Procurement of Goods (Repair/Rehabilitation of Footbridge)</t>
  </si>
  <si>
    <t>One (1) Job Contract for the Construction of Perimeter Fence, Brgy. Cabunga, Passi City, Iloilo/Brgy. Cabunga.</t>
  </si>
  <si>
    <t>PROCUREMENT OF IT EQUIPMENT</t>
  </si>
  <si>
    <t>ICT EQUIPMENT TO COVER MITHI APPROVED 2020 ICT PROJECT (TELECONFERENCING)</t>
  </si>
  <si>
    <t>100-2020-05-708 Supply and delivery of 2 units loader (reconditioned)</t>
  </si>
  <si>
    <t>CS 08-001-20 Consulting Services for the Regional Soils Laboratory Management System</t>
  </si>
  <si>
    <t>100-2020-08-961 Supply and delivery of agricultural products and supplies</t>
  </si>
  <si>
    <t>Tools and Equipment for Barista NCII</t>
  </si>
  <si>
    <t>Invitation to Bid for the Improvement of Farm to Market Road @ Brgy. Rizal (Singson St), Cabugao, Ilocos Sur</t>
  </si>
  <si>
    <t>CONSTRUCTION OF DRAINAGE CANAL BRGY. ANTIPOLO AT ZONE 5A</t>
  </si>
  <si>
    <t>Supply &amp; Delivery of Vehicle Parts and Accessories, (NSO), HPN</t>
  </si>
  <si>
    <t>Lease of Venue</t>
  </si>
  <si>
    <t>SUPPLY AND DELIVERY OF OFFICE SUPPLIES – 3RD QUARTER</t>
  </si>
  <si>
    <t>19LG0123 - Construction/Repair/Rehabilitation/Improvement of Multi-purpose Building in Municipality of San Isidro</t>
  </si>
  <si>
    <t>Panaflex Signage</t>
  </si>
  <si>
    <t>RFQ JANITORIAL SUPPLIES AND MATERIALS 3RD QUARTER 2020</t>
  </si>
  <si>
    <t>ARMCHAIR FOR SMAW NC I &amp; NC II, AUTOMOTIVE NC I &amp; NC II. DRIVING NC II AND MSES NC II ASSESSMENT ROOMS</t>
  </si>
  <si>
    <t>PURCHASE OF OFFICE AND SCHOOL SUPPLIES FOR DO PLAZA ES</t>
  </si>
  <si>
    <t>Supply and Delivery of Office Equipments for use of Provincial Health Office (PHO) &amp; Candelaria District Hospital (CDH), Candelaria</t>
  </si>
  <si>
    <t>Road Improvement of Prk. Matinabangon to Malaumon</t>
  </si>
  <si>
    <t>PURCHASE OF COMPUTER  PERIPHERALS/ACCESORIES</t>
  </si>
  <si>
    <t>3LSSM2020A-209 Office Supplies</t>
  </si>
  <si>
    <t>Invitation to Bid for the Improvement of Balay oak Diversion Dam @ Balay oak, Pug-os, Cabugao, Ilocos Sur</t>
  </si>
  <si>
    <t>PR 2020-575 Supply and Delivery of Plumbing Supplies</t>
  </si>
  <si>
    <t>CONSTRUCTION OF PATHWAY BRGY. ANTIPOLO AT ZONE 1A</t>
  </si>
  <si>
    <t>3LSSM2020A-208 Office Supplies</t>
  </si>
  <si>
    <t>Supply and Delivery of Office Equipment (District 1 &amp; 2), rebid</t>
  </si>
  <si>
    <t>Concreting of San Felipe Blvd. - Barangay Poblacion</t>
  </si>
  <si>
    <t>3LSSM2020A-210 Office Supplies</t>
  </si>
  <si>
    <t>GRICULTURAL CROPS PRODUCTION NCII TOOLS AND EQUIPMENT FOR MOBILE TRAINING PROGRAM</t>
  </si>
  <si>
    <t>SUPPLY AND DELIVERY BRAND NEW AUV 2.8L, 4 CYLINDER, DIESEL, AT, WITH 3 YEARS LTO REGISTRATION</t>
  </si>
  <si>
    <t>Procurement of Office Supplies and Materials for LTO MIMAROPA Region/District/Extension Offices</t>
  </si>
  <si>
    <t>SUPPLY AND DELIVERY OF JANITORIAL SUPPLIES – 3RD QUARTER</t>
  </si>
  <si>
    <t>Shopping of Fabricated Frame, Stainless Steel Kitchen Sink with bowl, drain and stand, Goose Neck Faucet, Fittings &amp; Liquid HandSoap</t>
  </si>
  <si>
    <t>100-2020-08-953 Supply and delivery of black hose (HDPE #1), etc.</t>
  </si>
  <si>
    <t>Procurement of Office Chairs</t>
  </si>
  <si>
    <t>CONSTRUCTION OF DRAINAGE CANAL BRGY. ANTIPOLO AT ZONE 5B</t>
  </si>
  <si>
    <t>3LSSM2020A-217 Other Supplies and Materials</t>
  </si>
  <si>
    <t>PROCUREMENT OF OFFICE EQUIPMENT AND SUPPLIES IN SUPPORT TO PDMU OPERATIONS CHARGEABLE TO THE IMPLEMENTATION OF CMGP ACTIVITIES IN DILG REGIONAL AND PROVINCIAL OFFICES FOR CY 2020</t>
  </si>
  <si>
    <t>IT Equipment &amp; Accessories</t>
  </si>
  <si>
    <t>PROCUREMENT OF VACCINE INTENDED FOR DILG REGION XII MANAGEMENT OF CORONAVIRUS (COVID-19) SITUATION</t>
  </si>
  <si>
    <t>CONDUCT OF RCSP NON-NEGOTIABLE ACTIVITIES: BDP Formulation for the Priority RCSP Barangays on September 1-2, 2020 (Carmen, ADN)</t>
  </si>
  <si>
    <t>3LSSM2020A-216 Other Supplies and Materials</t>
  </si>
  <si>
    <t>Procurement of Steel Cabinet</t>
  </si>
  <si>
    <t>Drilling of an Exploratory/Production Well @ Babayuan, Amulung Cagayan</t>
  </si>
  <si>
    <t>3LSSM2020A-214 Other Supplies and Materials</t>
  </si>
  <si>
    <t>Concreting of Macnit Road - Barangay Nomoh</t>
  </si>
  <si>
    <t>3LSSM2020A-213 Other Supplies and Materials</t>
  </si>
  <si>
    <t>3LSSM2020A-212 Office Supplies</t>
  </si>
  <si>
    <t>Tools and Equipment for Bartending NCII</t>
  </si>
  <si>
    <t>Supply and Delivery of Face Shield</t>
  </si>
  <si>
    <t>Installation of Transformers &amp; Accessories under the Construction of Water Supply Project for Bongabon Water District</t>
  </si>
  <si>
    <t>3LSSM2020A-211 Food Supplies</t>
  </si>
  <si>
    <t>Procurement of Common-Used Supplies for COVID-19</t>
  </si>
  <si>
    <t>3LSSM2020A-215 Other Supplies and Materials</t>
  </si>
  <si>
    <t>PRINTING OF JHS MODULES FOR THE FIRST WEEK</t>
  </si>
  <si>
    <t>One (1) lot Engagement of Cash-in-Transit (CIT) Services to Transport Philippine Currency</t>
  </si>
  <si>
    <t>CY 2020 Basic Educational Facilities Fund (BEFF) Gabaldon Repair – Restoration and Conservation of Gabaldon Building at Ibajay Central School, Ibajay, Aklan</t>
  </si>
  <si>
    <t>Heavy Equipment, MDRRMO</t>
  </si>
  <si>
    <t>3LSSM2020A-196 Office Supplies</t>
  </si>
  <si>
    <t>2020-08-014 PROCUREMENT OF CATERING SERVICES FOR ACTIVITIES ON THE PERIOD COVERING SEPTEMBER 3-18, 2020</t>
  </si>
  <si>
    <t>3LSSM2020A-195 Office Supplies</t>
  </si>
  <si>
    <t>Construction Supplies and Materials</t>
  </si>
  <si>
    <t>PURCHASE OF OFFICE SUPPLIES AND CONSUMABLES</t>
  </si>
  <si>
    <t>GF-20-02-00306B Impact Dot Matrix Printer</t>
  </si>
  <si>
    <t>Supplies and Materials</t>
  </si>
  <si>
    <t>COMPLETION OF BARANGAY HALL</t>
  </si>
  <si>
    <t>RFQ 033 Procurement of Tap Water (Reposting)</t>
  </si>
  <si>
    <t>CY 2020 Quick Response Fund (QRF) Repair and Rehabilitation of School Building – REBID – Lot 5 – Repair and Rehabilitation of  Classrooms at Pepe Elementary School, Buruanga, Aklan and Argao Elementar</t>
  </si>
  <si>
    <t>CY 2020 BEFF Repair and Rehabilitation of Classrooms  Batch 2</t>
  </si>
  <si>
    <t>3LSSM2020A-199 Office Supplies</t>
  </si>
  <si>
    <t>Supply &amp; Delivery of Materials for Fabrication &amp; Installation of Iron Grills SHS</t>
  </si>
  <si>
    <t>3LSSM2020A-184 Office Supplies</t>
  </si>
  <si>
    <t>CY 2020 Quick Response Fund (QRF) Repair and Rehabilitation of School Building – REBID – Lot 4 – Repair and Rehabilitation of  Classrooms at Cabugao Elementary School, Batan, Aklan, Mobo Elementary Sc</t>
  </si>
  <si>
    <t>RFQ COMPUTER SUPPLIES AND MATERIALS 3RD QUARTER 2020</t>
  </si>
  <si>
    <t>CY 2020 Quick Response Fund (QRF) Repair and Rehabilitation of School Building – REBID – Lot 3 – Repair and Rehabilitation of  Classrooms at Jose F. Meñez, Balete, Aklan, Muguing Elementary School, Ba</t>
  </si>
  <si>
    <t>20GFC0062: Purchase of Fuel and Lubricants for use in Various Service Vehicle and Equipment, DPWH-CNDEO (Construction Section)</t>
  </si>
  <si>
    <t>Pick-Up Truck, MDRRMO</t>
  </si>
  <si>
    <t>Supply / Delivery of 25 units Height/Length Board</t>
  </si>
  <si>
    <t>20GFC0061: Purchase of Field Accessories and Supplies, for RBIA</t>
  </si>
  <si>
    <t>IB NO. 2020-08-57 R Procurement of AUTOCLAVE MACHINE</t>
  </si>
  <si>
    <t>3LSSM2020A-186 Office Supplies</t>
  </si>
  <si>
    <t>19LD0133-Repair/Rehabilitation of Multi-Purpose Building with Facilities, Brgy. Matti, Digos City, Davao del Sur</t>
  </si>
  <si>
    <t>Rehabilitations Supply for September 2020</t>
  </si>
  <si>
    <t>Improvement of Level 1, Pump-Driven Water Supply System, Tocdog Dacu, Loay, Bohol</t>
  </si>
  <si>
    <t>3LSSM2020A-203 Other Supplies and Materials</t>
  </si>
  <si>
    <t>3LSSM2020A-202 Other Supplies and Materials</t>
  </si>
  <si>
    <t>GF-20-03-00406B EXECUTIVE TABLE AND CHAIR</t>
  </si>
  <si>
    <t>Supply &amp; Delivery of Supplies for Reproduction of Learning Materials at Buenavista NHS  SHS</t>
  </si>
  <si>
    <t>CY 2020 Quick Response Fund (QRF) Repair and Rehabilitation of School Building – REBID – Lot 7 – Repair and Rehabilitation of  Classrooms at Cabugao Primary School, Ibajay, Aklan, Naisud Central Schoo</t>
  </si>
  <si>
    <t>CY 2020 Quick Response Fund (QRF) Repair and Rehabilitation of School Building – REBID – Lot 8 – Repair and Rehabilitation of  Classrooms at Baybay Alibagon Integrated School, Numancia, Aklan, Guinbal</t>
  </si>
  <si>
    <t>Supply/Delivery of 1 unit Set Desktop Computer with Printer</t>
  </si>
  <si>
    <t>Procurement of various Medicine</t>
  </si>
  <si>
    <t>ITB# 46-2020 Office Supplies Expenses</t>
  </si>
  <si>
    <t>3LSSM2020A-198 Office Supplies</t>
  </si>
  <si>
    <t>ITB# 45-2020 Office Supplies Expenses</t>
  </si>
  <si>
    <t>IB_20E00103-R1: Cluster 9- Rehabilitation / Reconstruction of Roads with Slips, Slope Collapse and Landslide along San Jose-Port Barton Road Section K0014+118.90 – K0014+200.00; K0014+840 – K0014+921.</t>
  </si>
  <si>
    <t>VLMC-SEICTCE-20-2408-120029</t>
  </si>
  <si>
    <t>CY 2020 Quick Response Fund (QRF) Repair and Rehabilitation of School Building – REBID – Lot 6 – Repair and Rehabilitation of  Classrooms at Rizal Elementary School, Ibajay, Aklan and San Isidro Eleme</t>
  </si>
  <si>
    <t>3LSSM2020A-188 Food Supplies</t>
  </si>
  <si>
    <t>3LSSM2020A-206 Other Supplies and Materials</t>
  </si>
  <si>
    <t>Construction of Comfort Room and Partitioning of Municipal Quarantine Facility</t>
  </si>
  <si>
    <t>ITB# 44-2020 Office Supplies Expenses</t>
  </si>
  <si>
    <t>PURCHASE OF OFFICE EQUIPMENT UNDER P.R. NO. 80-20-08-108</t>
  </si>
  <si>
    <t>Supply/Delivery of 2 units Air Conditioner Window Inverter</t>
  </si>
  <si>
    <t>Improvement of Barangay Health Center - Brgy La Union</t>
  </si>
  <si>
    <t>CY 2020 BEFF Repair and Rehabilitation of Classrooms  Batch 4</t>
  </si>
  <si>
    <t>Procurement of Office Supplies for September 2020</t>
  </si>
  <si>
    <t>ITB# 47-2020 Food Supplies Expenses</t>
  </si>
  <si>
    <t>RFQ No. 035- Procurement of Office Equipment (Water Dispenser and Split Type Air condition)-Reposting</t>
  </si>
  <si>
    <t>ITB# 49-2020 Medical, Dental &amp; Laboratory Supplies Expenses</t>
  </si>
  <si>
    <t>IB NO. 2020-08-58 Procurement of 2D ECHOCARDIOGRAM MACHINE</t>
  </si>
  <si>
    <t>SEF-20-02-00376B  DIGITAL CAMERA AND SOLAR PANEL</t>
  </si>
  <si>
    <t>3LSSM2020A-205 Other Supplies and Materials</t>
  </si>
  <si>
    <t>PURCHASE OF HORIZONTAL FEED MIXER WAGON UNDER P.R. NO. 50-20-06-051</t>
  </si>
  <si>
    <t>PURCHASE OF RESCUE EQUIPMENT UNDER P.R. NO. 80-20-07-101</t>
  </si>
  <si>
    <t>Procurement of Anti-COVID-19 Health Essentials/Merchandise</t>
  </si>
  <si>
    <t>PURCHASE OF DRUG TESTING KIT</t>
  </si>
  <si>
    <t>ITB# 48-2020 Medical, Dental &amp; Laboratory Supplies Expenses</t>
  </si>
  <si>
    <t>3LSSM2020A-207 Printing and Publication</t>
  </si>
  <si>
    <t>3LSSM2020A-190 Other Supplies and Materials</t>
  </si>
  <si>
    <t>SUPPLY AND DELIVERY OF ID CARD RIBBON AND CLEANER KIT FOR ENDURO, PRONTO, RIO PRO CARD PRINTERS WITH PREMIER PVC CARD</t>
  </si>
  <si>
    <t>3LSSM2020A-189 Other Supplies  and Materials</t>
  </si>
  <si>
    <t>Repair of Roof Framing and Roofing</t>
  </si>
  <si>
    <t>Concreting of 0.0205 km Purok Manga and 0.0095 km Purok Malunggay access road, Brgy. Tambangan, Loay, Bohol</t>
  </si>
  <si>
    <t>20BD0015 –  LOCAL PROGRAM – LOCAL INFRASTRUCTURE PROGRAM – BUILDINGS AND OTHER STRUCTURES – MULTIPURPOSE/FACILITIES – REHABILITATION OF MULTI-PURPOSE BUILDING, BRGY. MASICAL, AMULUNG, CAGAYAN</t>
  </si>
  <si>
    <t>Landscaping of Nursery Garden, Poblacion Ubos, Loay, Bohol</t>
  </si>
  <si>
    <t>R &amp; M - ICT Equipment</t>
  </si>
  <si>
    <t>CY 2020 Quick Response Fund (QRF) Repair and Rehabilitation of School Building – REBID – Lot 9 – Repair and Rehabilitation of  Classrooms at Naile National High School, Ibajay, Aklan, Mantiguib Elemen</t>
  </si>
  <si>
    <t>CY 2020 Quick Response Fund (QRF) Repair and Rehabilitation of School Building – REBID – Lot 10 – Repair and Rehabilitation of  Classrooms at Catabana Primary School, Madalag, Aklan, Banay-Banay Prima</t>
  </si>
  <si>
    <t xml:space="preserve">IB_20E00104-R1: Cluster 10- Rehabilitation / Reconstruction of Roads with Slips, Slope Collapse and Landslide along San Jose-Port Barton Road Section K0015+415.00 – K0015+456.80; Section K0015+723.00 </t>
  </si>
  <si>
    <t>PURCHASE OF 4X4 TRUCK PASSENGER TYPE REAR CAB UNDER P.R. NO. 30-20-07-081</t>
  </si>
  <si>
    <t>3LSSM2020A-201 Other Supplies &amp; Materials</t>
  </si>
  <si>
    <t>CONSTRUCTION OF LIGHT STATION (PHASE II)-BRGY. #5 POBLACION-GENERAL LUNA, QUEZON, ITB17-2020</t>
  </si>
  <si>
    <t>PROCUREMENT OF MATERIALS FOR THE CONSTRUCTION OF MULTIPURPOSE HALL (PHASE I) OF BRGY. CANABUAN, TIGBAUAN, ILOILO</t>
  </si>
  <si>
    <t>Supply/Delivery of Catering Services</t>
  </si>
  <si>
    <t>SARI-SARI STORE</t>
  </si>
  <si>
    <t>Supply &amp; Delivery of School &amp; Office Supplies for Buenavista NHS Senior HS</t>
  </si>
  <si>
    <t>AMP SVP-S NO: 20-08-0431A: Laptop Computer</t>
  </si>
  <si>
    <t>Improvement of Barangay Hall, Hinawanan, Loay, Bohol</t>
  </si>
  <si>
    <t>3LSSM2020A-185 Office Supplies</t>
  </si>
  <si>
    <t>ITB# 55-2020 Other Supplies and Materials Expenses</t>
  </si>
  <si>
    <t>IB_20E00105-R1: Cluster 11- Rehabilitation / Reconstruction of Roads with Slips, Slope Collapse and Landslide along San Jose-Port Barton Road Section K0017+000 – K0017+071; K0017+100.00 – K0017+161.80</t>
  </si>
  <si>
    <t>PRINTING OF IEC MATERIALS AND VARIOUS REPORTS OF BAFE</t>
  </si>
  <si>
    <t>3LSSM2020A-192 Other Supplies and Materials</t>
  </si>
  <si>
    <t>GF-20-02-00196B   RM – COPIER MACHINE (PARTS AND LABOR)</t>
  </si>
  <si>
    <t>ITB# 51-2020 Other Supplies and Materials Expenses</t>
  </si>
  <si>
    <t>Road Concreting At Barangay Bagubad @ Barangay  Bagubad Under Contract Ref. 2020-INFRA-064</t>
  </si>
  <si>
    <t>3LSSM2020A-187 Food Supplies</t>
  </si>
  <si>
    <t>ITB# 54-2020 Other Supplies and Materials Expenses</t>
  </si>
  <si>
    <t>ITB# 52-2020 Other Supplies and Materials Expenses</t>
  </si>
  <si>
    <t>SOLAR STREETLIGHTS WITH POST</t>
  </si>
  <si>
    <t>SH 003-20 (SBAC): PURCHASE OF SUPPLIES IN RESPONSE TO COVID-19 PANDEMIC</t>
  </si>
  <si>
    <t>Elderly and PWD</t>
  </si>
  <si>
    <t>Purchase of 1650 bags Cement</t>
  </si>
  <si>
    <t>3LSSM2020A-204 Other Supplies and Materials</t>
  </si>
  <si>
    <t>SUPPLY, DELIVERY, AND INSTALLATION OF VARIOUS OFFICE EQUIPMENT</t>
  </si>
  <si>
    <t>Other supplies and materials expenses</t>
  </si>
  <si>
    <t>3 units Cabinet (PR#20-07-0458)</t>
  </si>
  <si>
    <t>3LSSM2020A-193 Other Supplies and Materials</t>
  </si>
  <si>
    <t>Road Concreting @ Barangay 24, Gingoog City Under Contract Ref. No. 2020-INFRA-063</t>
  </si>
  <si>
    <t>Package 041- Procurement of Sala Set</t>
  </si>
  <si>
    <t>IB_20E00106-R1: Cluster 12- Rehabilitation / Reconstruction of Roads with Slips, Slope Collapse and Landslide along Langogan-Roxas Road Section K0098+160 – K0098+330.00; K0099+480 – K0099+570, K0099+7</t>
  </si>
  <si>
    <t>Supply/Delivery of 600 liters Diesel</t>
  </si>
  <si>
    <t>Procurement of Waste Management Service Vehicle (Garong Type) and 175cc Motorcycle</t>
  </si>
  <si>
    <t>Concreting of 0.030 km purok 3 access road, Sagnap, Loay</t>
  </si>
  <si>
    <t>PROCUREMENT OF SUPPLIES FOR INTERNET CONNECTION</t>
  </si>
  <si>
    <t>IB_20E00108-R1: Cluster 14- Rehabilitation / Reconstruction of Roads with Slips, Slope Collapse and Landslide along Langogan-Roxas Road Section K0104+780 – K0104+860, K0105+180 – K0105+282; K0105+500.</t>
  </si>
  <si>
    <t>Construction of Consuelo to Hagnaya Boundary FMR Double Barrel Box Culvert</t>
  </si>
  <si>
    <t>Rehabilitation of Bonbon Barangay Hall</t>
  </si>
  <si>
    <t>CONCRETE PATHWAY</t>
  </si>
  <si>
    <t>PROCUREMENT OF SUPPLIES TO BE USED IN MODULAR LEARNING</t>
  </si>
  <si>
    <t>Barangay 749 BDF "CLEAN &amp; BEAUTIFICATION" 2020</t>
  </si>
  <si>
    <t>MAINT 2020-08-0039 - Purchase of Materials for Centerline and Lane Line Repainting along Masbate-Cataingan-Placer Road (4th Quarter CY 2020)</t>
  </si>
  <si>
    <t>IB_20E00107-R1: Cluster 13- Rehabilitation / Reconstruction of Roads with Slips, Slope Collapse and Landslide along Langogan-Roxas Road Section K0100+310 – K0100+440, K0101+120 – K0101+202.90; K0104+0</t>
  </si>
  <si>
    <t>SH 054-20: PURCHASE OF HANDHELD TRANSCEIVER RADIO FOR OFFICIAL USE OF CREST-O STAFF &amp; USEC FOR REGULATION</t>
  </si>
  <si>
    <t>Office Services 2020 (Rebid)</t>
  </si>
  <si>
    <t>Purchase of 1 unit Smart TV 55”, 1 set Toilet Bowl with Lavatory, Bidet and Faucet, 1 unit Internet Router and 5 unit Electric Mosquito Swatter</t>
  </si>
  <si>
    <t>IB NO. 2020-08-60 Procurement of NASAL HIGH FLOW MACHINE</t>
  </si>
  <si>
    <t>Supply and Delivery of Certified Reference Material for the Feed Chemical Analysis Laboratory with an ABC of P110,000.00 and PR No. DA3-2020-08-18-132</t>
  </si>
  <si>
    <t>ANIMAL FEEDS/IB No. AA-2020-005</t>
  </si>
  <si>
    <t>Purchase of Various Tools and Materials</t>
  </si>
  <si>
    <t>PURCHASE OF PUPILS LEARNING KIT</t>
  </si>
  <si>
    <t>INVITATION TO BID FOR SUPPLY AND DELIVERY OF SERVICE VEHICLE</t>
  </si>
  <si>
    <t>Various Infrastructure Projects II (2020)</t>
  </si>
  <si>
    <t>IB_19E00067: Rehabilitation/Reconstruction of Roads with Slips, Slope Collapse and Landslide, Tablas Circumferential Road K0062+800 – K0063+110, Tablas, Romblon</t>
  </si>
  <si>
    <t>IB NO. 2020-08-59 R Procurement of VARIOUS I.T. EQUIPMENT</t>
  </si>
  <si>
    <t>SUPPLY, DELIVERY, AND INSTALLATION OF VARIOUS MEDICAL, HEALTH AND SAFETY SUPPLIES</t>
  </si>
  <si>
    <t>IB_19E00066: Reconstruction/Rehabilitation of National Roads with Slips and Slope Collapse along F.B. Reyes (Busuang Coron Road), K0012+810.00 – K0015+550.00; K0020+763.98 – K0022+673.98, Coron, Palaw</t>
  </si>
  <si>
    <t>PB SUPPLY AND DELIVERY OF MEDICAL SUPPLIES – 2ND BATCH – SINGLE BID</t>
  </si>
  <si>
    <t>AMP SVP-D NO: 20-08-0391C: Medals for the 2020 UP Diliman General Commencement</t>
  </si>
  <si>
    <t>Purchase of 33 M.T. Asphalt Pre-Mix and 2 drums Emulsified Asphalt</t>
  </si>
  <si>
    <t>CATERING SERVICES/NEG. PROC. 53.10 U-2020-08-007</t>
  </si>
  <si>
    <t>IB NO. 2020-08-61 R Procurement of TRANSPORT STRETCHER</t>
  </si>
  <si>
    <t>R &amp; M - Office Equipment</t>
  </si>
  <si>
    <t>Upgrading/Rehabilitation of Forest Road Extension @ Poblacion Urbiztondo, Pangasinan</t>
  </si>
  <si>
    <t>ASPHALT, 200 LITERS/IB No. K-2020-005</t>
  </si>
  <si>
    <t>Materials needed for the reproduction of locally developed learning resources for use by teachers of Kalinga</t>
  </si>
  <si>
    <t>R &amp; M - Dental Equipment</t>
  </si>
  <si>
    <t>AMP SVP-D NO: 20-08-0328C: 2pack – D10 Hemoglobin Program Reorder Pack: 400T &amp; 1set Lyphocheck Diabetes Control (6x0.5ml)</t>
  </si>
  <si>
    <t>Purchase and delivery of 220 liters of Chemical Mist Spray (Deltamethrin) to be used in the Municipal Health Office, Concepcion, Tarlac</t>
  </si>
  <si>
    <t>Supply of Various IT Personnel, as per BSP Terms of Reference</t>
  </si>
  <si>
    <t>ALTERNATIVE LEARNING MODULE/BINDING MODULE/OFFICE USE - JHS</t>
  </si>
  <si>
    <t>SUPPLY OF VARIOUS CONSTRUCTION MATERIALS FOR THE INSTALLATION OF  PARTITION WALL AT PINILI PUBLIC MARKET (STALLS)</t>
  </si>
  <si>
    <t>SUPPLIES FOR THE PRODUCTION OF MODULES</t>
  </si>
  <si>
    <t>Water Pipeline Installation, Alegria Sur, Loay, Bohol</t>
  </si>
  <si>
    <t>REPAIR OF STAFF HOUSE(Brgy. Tubudan, San Remigio, Antique)/IB. NO. K-2020-102(SC)</t>
  </si>
  <si>
    <t>COMPLETION OF MULTI-PURPOSE CENTER (Tibiao Central School, Tibiao, Antique)/IB. NO. K-2020-101(SC)</t>
  </si>
  <si>
    <t>IB NO. 2020-08-62 R Procurement of OPERATING TABLE FOR OB</t>
  </si>
  <si>
    <t>Automatic Motorcycle for a PWRD Beneficiary</t>
  </si>
  <si>
    <t>Procurement of Supplies for Reproduction of Learning Modules of Dadda Elementary School</t>
  </si>
  <si>
    <t>procurement and deliveries of material and supplies for barangay streetlight maintenance</t>
  </si>
  <si>
    <t>CONSTRUCTION OF 2ND FLOOR OF MULTI-PURPOSE CENTER (Brgy. Binangbang Centro, Barbaza, Antique)/IB. NO. K-2020-100(SC)</t>
  </si>
  <si>
    <t>SMART TV</t>
  </si>
  <si>
    <t>Supply &amp; Installation of Thermo Scientifi Barnstead Smart2Pure Pro Consumables</t>
  </si>
  <si>
    <t>MATERIALS FOR THE REPAIR AND MAINTENANCE OF PROVINCIAL ROAD/IB No. K-2020-004</t>
  </si>
  <si>
    <t>AMP SVP-D NO: 20-08-0342D:Granulated &amp; Powdered Culture Media &amp; Media Components</t>
  </si>
  <si>
    <t>MPG-B1-2020-349 - SUPPLY AND DELIVERY OF BRAND NEW 52,290 PIECES UNDERSHIRT, RAGLAN, POLYESTER, SPANDEX, ROUND NECK AND 8,137 SETS PHILIPPINE ARMY ATHLETIC UNIFORM FOR THE PHILIPPINE ARMY (PA)</t>
  </si>
  <si>
    <t>SUPPLY OF VARIOUS CONSTRUCTION MATERIALS FOR THE CONSTRUCTION OF SLOPE PROTECTION AT BARANGAY PUZOL, PINILI, ILOCOS NORTE</t>
  </si>
  <si>
    <t>Purchase and delivery of Various Office supplies to be used by different offices of the Municipality of Concepcion, Tarlac</t>
  </si>
  <si>
    <t>20GSHE0013 - Supply of Safety and Occupational Products for use by various personnels assigned in RBIA, BMS, PMS, RSM, Planning &amp; Design Section, Cebu 2nd DEO.</t>
  </si>
  <si>
    <t>Supply and Delivery of 1,125 kgs. Commemorative Coin Metals, 33.55mm dia., as per BSP Technical Specifications, Terms of Reference and Terms and Conditions</t>
  </si>
  <si>
    <t>Procurement of Supplies for Reproduction of Learning Modules of Namabbalan Elementary School</t>
  </si>
  <si>
    <t>Procurement of Supplies for Reproduction of Learning Modules of Tuguegarao North Central Sdhool (2)</t>
  </si>
  <si>
    <t>AMP SVP-D NO: 20-08-0273B: Desktop Computer</t>
  </si>
  <si>
    <t>PRINTER AND SCANNER</t>
  </si>
  <si>
    <t>Medical, Dental and Laboratory supplies expenses</t>
  </si>
  <si>
    <t>Procurement of Inorganic and Organic Fertilizers for the Corn Production of PBD Division of the DAR Negros Oriental</t>
  </si>
  <si>
    <t>IMPROVEMENT OF BARANGAY HALL</t>
  </si>
  <si>
    <t>Office Supplies Expenses</t>
  </si>
  <si>
    <t>Procurement of Materials for the Repair of Gate and Principal's Office</t>
  </si>
  <si>
    <t>Supply of Labor, Materials and Equipment for the Construction of Naga Sculpture at Brgy. East Pob., City of Naga, Cebu</t>
  </si>
  <si>
    <t>Service Repair, Preventive Maintenance and System Verification of Gas Chromatograph Model: Varian 3800</t>
  </si>
  <si>
    <t>Service Analysis of Various Samples</t>
  </si>
  <si>
    <t>AMP SVP-D NO: 20-08-0242C: Laboratory Reagents and Supplies</t>
  </si>
  <si>
    <t>Procurement of Supplies for Reproduction of Learning Modules of Tuguegarao North Central SChool (3)</t>
  </si>
  <si>
    <t>IB NO. 2020-08-63 R Procurement of INFANT RADIANT WARMER WITH RESUSCITATOR</t>
  </si>
  <si>
    <t>R &amp; M - Office Building</t>
  </si>
  <si>
    <t>Procurement of Services for Hauling and Loading of Filling Materials for Naga Marine Passenger Terminal (Coastal Development Project) at Brgy. East Poblacion, City of Naga, Cebu</t>
  </si>
  <si>
    <t>Purchase of Laboratory Supplies/Reagents</t>
  </si>
  <si>
    <t>Barangay 677 MOOE "ELECTRICAL SUPPLIES" / RRMF "EMERGENCY LIGHTS" 2020</t>
  </si>
  <si>
    <t>Supply and Delivery of Laboratory Supplies</t>
  </si>
  <si>
    <t>Development of Eco Park at Civoleg (Installation of Perimeter  Lightings) Under Contract Ref. No. 2020-INFRA-065</t>
  </si>
  <si>
    <t>Supply/Delivery of 1 piece Mirrorless Camera</t>
  </si>
  <si>
    <t>Roofing of Stage, Poblacion Ibabao, Loay, Bohol</t>
  </si>
  <si>
    <t>Procurement of Supplies for Reproduction of Learning Modules of Tuguegarao North Central SChool (1)</t>
  </si>
  <si>
    <t>Purchase of 3,500 pcs. IV Catheter g.24 and 500 pcs. IV catheter g.20</t>
  </si>
  <si>
    <t>Publication of CAO 11-2020</t>
  </si>
  <si>
    <t>SUPPLY, DELIVERY, AND INSTALLATION OF FURNITURE AND FIXTURE</t>
  </si>
  <si>
    <t>20GSHE0017 - Supply of Information Technology for use by personnel assigned in Planning &amp; Design Section, Cebu 2nd DEO.</t>
  </si>
  <si>
    <t>Concreting of 0.030  km Purok 6 Access Road, Concepcion, Loay, Bohol</t>
  </si>
  <si>
    <t>3LSSM2020A-194 Training Expense</t>
  </si>
  <si>
    <t>MAINT 2020-07-0036 - Purchase of Materials for Special Maintenance (Premix Patching  Bituminous Pavements) along Masbate-Cataingan-Placer Road (4th Quarter CY 2020)</t>
  </si>
  <si>
    <t>Improvement of Barangay Hall, Villalimpia, Loay, Bohol</t>
  </si>
  <si>
    <t>3LSSM2020A-191 Other Supplies and Materials</t>
  </si>
  <si>
    <t>MAINT 2020-07-0030 - Purchase of Materials for Sign Maintenance along Masbate-Cataingan-Placer Road &amp; Buenavista-Cawayan Road (3rd Quarter CY 2020)</t>
  </si>
  <si>
    <t>Purchase of 60 pcs. Traffic Cone and 48 pcs. Traffic Road Barrier</t>
  </si>
  <si>
    <t>Repair /Renovation of Barangay Hall, Tayong Occidental, Loay, Bohol</t>
  </si>
  <si>
    <t>AMP SVP-D NO: 20-08-0210C: ChIP Reagents</t>
  </si>
  <si>
    <t>Procurement of Supplies for Reproduction of Learning Modules of Annafunan Elementary School (3)</t>
  </si>
  <si>
    <t>Concreting of Shoulder and Sidewalk, Barangay I, Lucena City</t>
  </si>
  <si>
    <t>PROPER BOLOG - CEMETERY PATHWAY CONCRETING</t>
  </si>
  <si>
    <t>Procurement of Security Services for Agus 5 Hydroelectric Power Plant</t>
  </si>
  <si>
    <t>Supplies &amp; Delivery for IT Equipment</t>
  </si>
  <si>
    <t>Procurement of Supplies for Reproduction of Learning Modules of Annafunan Elementary School (2)</t>
  </si>
  <si>
    <t>MISSION ROAD IMPROVEMENT</t>
  </si>
  <si>
    <t>R &amp; M - Communication Equipment</t>
  </si>
  <si>
    <t>Procurement of Carbonless Paper</t>
  </si>
  <si>
    <t>Procurement of Organic Fertilizers for the Rice Production of PBD Division of the DAR Negros Oriental</t>
  </si>
  <si>
    <t>REHABILITATION OF  WATER SYSTEM AT BRGY. IMELDA</t>
  </si>
  <si>
    <t>Procurement of Supplies for Reproduction of Learning Modules of Annafunan Elementary School (1)</t>
  </si>
  <si>
    <t>Procurement of Laptop</t>
  </si>
  <si>
    <t>SVP PUR20-08-0699 Procurement of Disposable excision drape for ORMAT -ORSA, PGH</t>
  </si>
  <si>
    <t>Supply and Delivery of General Merchandise for use in Aquaculture Development Program as Fishery Input Support to Fish farmers/growers in the province.</t>
  </si>
  <si>
    <t>Supply and Delivery of PH Meter</t>
  </si>
  <si>
    <t>Purchase of IT Equipments, Furniture and Fixture for the Mayor's Office</t>
  </si>
  <si>
    <t>CLUSTER 14 INFRASTRUCTURE PROJECT</t>
  </si>
  <si>
    <t>PROCUREMENT OF MATERIALS FOR IMPROVEMENT OF MULTI PURPOSE BUILDING</t>
  </si>
  <si>
    <t>Procurement of Supplies for Reproduction of Learning Modules of Bagay Elementary School</t>
  </si>
  <si>
    <t>Procurement of Book Paper</t>
  </si>
  <si>
    <t>R &amp; M - Other Machinery and Equipment</t>
  </si>
  <si>
    <t>Procurement of Supplies for Reproduction of Learning Modules of Atulayan Elementary School</t>
  </si>
  <si>
    <t>CONSTRUCTION OF CULONG DAY CARE CENTER</t>
  </si>
  <si>
    <t>Fabrication of Hands - Free Wash Area at Two Entrance Gates</t>
  </si>
  <si>
    <t>ITB# 50-2020 Other Supplies and Materials Expenses</t>
  </si>
  <si>
    <t>Concreting of Road, Purok Sampaguita (Rosario Village) Barangay Ilayang Iyam, Lucena City</t>
  </si>
  <si>
    <t>Procurement of Supplies for Reproduction of Learning Modules of Carig Norte Elementary School</t>
  </si>
  <si>
    <t>Supply and Delivery of Agricultural Products for distribution of Agro - Technology Resource Management Services - Organic Vegetable Production.</t>
  </si>
  <si>
    <t>Supply and Delivery of Materials for Local Road Upgrading</t>
  </si>
  <si>
    <t>Construction of Garage of the Schools Division Office of Cagayan</t>
  </si>
  <si>
    <t>Procurement of Supplies for Reproduction of Learning Modules of Carig Integrated School</t>
  </si>
  <si>
    <t>UPLB-S-055-09-20, SUPPLY AND DELIVERY OF  BRANDED AND BRAND NEW VARIOUS PHOTOGRAPHIC EQUIPMENT</t>
  </si>
  <si>
    <t>Supply and Delivery of Aluminum Glass door for GAB Personnel Section</t>
  </si>
  <si>
    <t>CONSTRUCTION OF PATHWAYS</t>
  </si>
  <si>
    <t>Construction of Covered Court. Bliss E/S, Barangay Mayao Crossing, Lucena City</t>
  </si>
  <si>
    <t>Cluster A. Rehab./Improvement of Multi-Purpose Hall and Const. of Deepwell w/ Water Pump, Brgy.Ilayang Dupay, Lucena City B. Repair of Pathway , Purok  Grand Alliance &amp; Manggahan, Brgy. Ilayang Dupay,</t>
  </si>
  <si>
    <t>Supply and Delivery of Office Equipment for use of the OMPH</t>
  </si>
  <si>
    <t>PURCHASE OF MATERIALS FOR MULTI-PURPOSE HALL BRGY GUI-OB PHASE 3</t>
  </si>
  <si>
    <t>UPLB-S-056-09-20, SUPPLY AND DELIVERY OF BRANDED AND BRAND NEW ORIGINAL PRINTING SUPPLIES FOR OVCAA-OUR</t>
  </si>
  <si>
    <t>AMP SVP-D NO: 20-08-0292A: Fire Detection Alarm System</t>
  </si>
  <si>
    <t>REPOST: ntegrated Starter Kit for INREMP LES-2 assisted POs in Four covered Sectors (Abaca Sector)</t>
  </si>
  <si>
    <t>Procurement of Supplies for Reproduction of Learning Modules of Cataggaman National High School (1)</t>
  </si>
  <si>
    <t>Van Rental for the Training Course on the Preparation of Design, Installation and Management of Biogas Digesters</t>
  </si>
  <si>
    <t>AU 137 - Supply, Delivery, &amp; Installation of Air-conditioning Unit</t>
  </si>
  <si>
    <t>PREVENTIVE  MAINTENANCE SERVICE OF TOYOTA INNOVA 2018 CSA8H-060 (38,029 KM</t>
  </si>
  <si>
    <t>Procurement of Security Services for Agus 6 &amp; 7 Hydroelectric Power Plants</t>
  </si>
  <si>
    <t>Rehabilitation of Evacuation Center</t>
  </si>
  <si>
    <t>ITB-Supply and Delivery of Scuba Tank Compressor</t>
  </si>
  <si>
    <t>Procurement of Construction Materials and Supplies for the Construction of Concrete Pavement of Barangay Plaza at Vizcaya Proper</t>
  </si>
  <si>
    <t>BALULANG ELEMENTARY SCHOOL REPRODUCTION OF MODULES FOR QUARTER 1 (CENTRAL OFFICE FUNDS)</t>
  </si>
  <si>
    <t>Procurement of Supplies for Reproduction of Learning Modules of Tuguegarao Northeast Central School</t>
  </si>
  <si>
    <t>Procurement of Fuel</t>
  </si>
  <si>
    <t>Installation of 1 Set Basketball Post, Fiber Glass Board and Ring</t>
  </si>
  <si>
    <t>Procurement of Medical Oxygen Refill</t>
  </si>
  <si>
    <t>Procurement of Supplies for Reproduction of Learning Modules of Linao Elementary School</t>
  </si>
  <si>
    <t>PROVISION OF CATERING SERVICES FOR THE ADMINISTRATION OF THE COMPUTER-BASED ENGLISH PROFICIENCY TEST FOR TEACHER APPLICANTS FOR SY 2020-2021</t>
  </si>
  <si>
    <t>PURCHASE OF CERTIFICATE JACKET FOR VARIOUS EVENTS OF SCHOOLS DIVISION OFFICE OF SORSOGON</t>
  </si>
  <si>
    <t>AMP SVP-D NO: 20-08-0300D: Refrigerated Microcentrifuge and Accessories</t>
  </si>
  <si>
    <t>AMP SVP-S NO: 20-08-0228D: Bolted Steel Shelves</t>
  </si>
  <si>
    <t>Installation of Water Supply System, Purok Kaimito and Purok Duhatan , Barangay Ilayang Talim, Lucena City</t>
  </si>
  <si>
    <t>PROVISION OF CATERING SERVICES FOR THE TWO-DAY DIVISION TRAINING OF KINDERGARTEN TEACHERS</t>
  </si>
  <si>
    <t>Supply and Delivery of Fertilizers for distribution under Mindoro Dinorado Rice Production Program - Agro Technology Resource and Management Services Division.</t>
  </si>
  <si>
    <t>Supply and Delivery of ONE HUNDRED EIGHTY (180) BOTTLES FOLIAR FERTILIZER</t>
  </si>
  <si>
    <t>PROCUREMENT OF FUEL FOR BFP-NHQ</t>
  </si>
  <si>
    <t>PROCUREMENT  OF VARIOUS VEGETABLE  SEEDS FOR THE CONTINUED SUPPORT DURING PANDEMIC</t>
  </si>
  <si>
    <t>Supply and Delivery of FIVE HUNDRED FORTY (540) BAGS UREA (46-0-0)</t>
  </si>
  <si>
    <t>Repair/Rehabilitation of Municipal Road</t>
  </si>
  <si>
    <t>Supply and Delivery of Various Tools, Equipment and Power Tools - Lot 1</t>
  </si>
  <si>
    <t>Supply and Delivery of SEVEN HUNDRED (700) BAGS FERTILIZER (14-14-14)</t>
  </si>
  <si>
    <t>ICT Equipment</t>
  </si>
  <si>
    <t>AMP SVP-D NO: 20-08-0248D: Certification Services to ISO 9001:2015</t>
  </si>
  <si>
    <t>Supply and Delivery of EIGHTY (80)  BAGS UREA (46-0-0)</t>
  </si>
  <si>
    <t>Engineering Software</t>
  </si>
  <si>
    <t>EXTENSION BARANGAY HEALTH CENTER</t>
  </si>
  <si>
    <t>Production and installation of SSF Outdoor Signages</t>
  </si>
  <si>
    <t>CONSTRUCTION OF MULTI-PURPOSE FACILITIES (RE-BID)</t>
  </si>
  <si>
    <t>Supply and Delivery of FIVE HUNDRED (500) BOTTLES FOLIAR FERTILIZER</t>
  </si>
  <si>
    <t>Supply and Delivery of FOUR HUNDRED (400) BOTTLES FOLIAR FERTILIZER</t>
  </si>
  <si>
    <t>Supply and Delivery of EIGHT HUNDRED (800) BAGS COMPLETE FERTILIZER</t>
  </si>
  <si>
    <t>Procurement of Materials for the Improvement of COA Stock Room - MEO</t>
  </si>
  <si>
    <t>Periodic Maintenance of 11 Units of Toyota Vehicles</t>
  </si>
  <si>
    <t>Supply and Delivery of TWO HUNDRED (200) BOTTLES FOLIAR FERTILIZER</t>
  </si>
  <si>
    <t>Supply and Delivery of Various Tools, Equipment and Power Tools - Lot 4</t>
  </si>
  <si>
    <t>LOT 2: Supply and Delivery of Certified Lowland Inbreed Rice Seeds as Support to ARBs Affected by Rice Importation under Assistance to Community-Based Enterprises for Farmers Orgns (ACE for FOs) Proje</t>
  </si>
  <si>
    <t>Supply and Delivery of Various Tools, Equipment and Power Tools - Lot 3</t>
  </si>
  <si>
    <t>Two lots Lease of Card Production and Personalization Equipment for PhilID Project</t>
  </si>
  <si>
    <t>Supply and Delivery of FOUR THOUSAND (4000) SACHET RODENTICIDES</t>
  </si>
  <si>
    <t>Supply and Delivery of Spare Part for Mitsubishi Pajero Jeep  (RFQ20-27)</t>
  </si>
  <si>
    <t>Procurement of Health &amp; Hygiene Supplies for COVID19 Prevention in 65 Schools - DepEd</t>
  </si>
  <si>
    <t>Procurement of Office Equipment and Supplies for District Offices - DepEd</t>
  </si>
  <si>
    <t>Supply and Delivery of EIGHT HUNDRED (800) BOTTLES PESTICIDES</t>
  </si>
  <si>
    <t>Rehabilitation of Brgy. Hall (Toilet and Kitchen) RE-BID</t>
  </si>
  <si>
    <t>Barangay Supplies &amp; Equipment</t>
  </si>
  <si>
    <t>Backfilling of Barangay Lot</t>
  </si>
  <si>
    <t>Rehabilitation/Repair of San Juan-Entapatan Farm to Market Road</t>
  </si>
  <si>
    <t>Construction of Hanging Bridge</t>
  </si>
  <si>
    <t>Supply and Delivery of Office Equipment Supplies and Consumables for IPED</t>
  </si>
  <si>
    <t>Supply and Delivery of THREE HUNDRED (300) BAGS UREA (46-0-0)</t>
  </si>
  <si>
    <t>INSTALLATION OF 4.00 x 2.25m MRF @ BRGY. DACU, MOBO, MASBATE</t>
  </si>
  <si>
    <t>CONSTRUCTION OF MULTI-PURPOSE FACILITY at Olivete Elementary School, Olivete, Bongabon, Nueva Ecija</t>
  </si>
  <si>
    <t>MULTI-PURPOSE HALL CONTINUATION</t>
  </si>
  <si>
    <t>Purchase of Supplies and Materials for Food Distribution</t>
  </si>
  <si>
    <t>Procurement of LDPE Plain Plastic and Packaging Tape</t>
  </si>
  <si>
    <t>R &amp; M - Other Structure</t>
  </si>
  <si>
    <t>PROCUREMENT OF MATERIALS FOR CONCRETING OF BARANGAY ROAD</t>
  </si>
  <si>
    <t>Construction of Drainage Structure , Purok Masagana I, Barangay Talao-Talao, Lucena City</t>
  </si>
  <si>
    <t>Supply and Delivery of Various Tools, Equipment and Power Tools - Lot 2</t>
  </si>
  <si>
    <t>TRUCK SCALE REPAIR AND UPGRADING</t>
  </si>
  <si>
    <t>Supply and Delivery of Four (4) Complete Sets of Desktop Computer (RFQ20-32)</t>
  </si>
  <si>
    <t>CLUSTER 30: IMPROVEMENT OF SOCIO-CULTURAL &amp; EVACUATION CENTER PHASE VIII</t>
  </si>
  <si>
    <t>Request for Quotation for CONFERENCE MICROPHONE SYSTEM</t>
  </si>
  <si>
    <t>Request for Quotation for 1 SET PROJECTOR</t>
  </si>
  <si>
    <t>REHABILITATION OF  CONCRETE  PATHWAY AT BRGY. LUNANG-1</t>
  </si>
  <si>
    <t>RFQ-650_reams_Bond_paper</t>
  </si>
  <si>
    <t>Local Access Road Upgrading in Estrella to Mamlad Road in Barangay Estrella, Jovellar, Albay</t>
  </si>
  <si>
    <t>Procurement of supplies to be used in modular learning #3.doc</t>
  </si>
  <si>
    <t>2020-07-0186 - PROCUREMENT OF VEHICLE PARTS AND ACCESSORIES FOR USE IN THE OPERATION OF NISSAN TERRANO, SJJ-663 (3RD QUARTER CY 2020)</t>
  </si>
  <si>
    <t>CLUSTER 29: CLUSTERED PROJECTS OF BARANGAY LOO - 2</t>
  </si>
  <si>
    <t>Repair/Widening of Carriageway of Poblacion Access Road</t>
  </si>
  <si>
    <t>2020-08-0185 - PROCUREMENT OF VEHICLE PARTS AND ACCESSORIES FOR USE IN THE OPERATION OF ISUZU D-MAX 100107 AT CONSTRUCTION SECTION</t>
  </si>
  <si>
    <t>Supply and Delivery of Various Tools, Equipment and Power Tools - Lot 5</t>
  </si>
  <si>
    <t>Supply and Delivery of TWO THOUSAND (2000) SACHET ENHANCER</t>
  </si>
  <si>
    <t>Purchase of Municipal DRR Rescue Vehicle</t>
  </si>
  <si>
    <t>Supply and Delivery of ONE THOUSAND (1000) SACHET ENHANCER</t>
  </si>
  <si>
    <t>Repair and Maintenance of Motor Vehicles of Pitogo Municipal Police Station</t>
  </si>
  <si>
    <t>Fabrication/Installation of Filing Cabinet of Comelec Office, Old City Hall Building , Barangay V, Lucena City (Rebid)</t>
  </si>
  <si>
    <t>Supply and Delivery of EIGHTY (80) BAGS INORGANIC FERTILIZER (UREA)</t>
  </si>
  <si>
    <t>CONSTRUCTION OF MULTI-PURPOSE FACILITY at Curva Elementary School, Curva, Cuyapo, Nueva Ecija</t>
  </si>
  <si>
    <t>Supply/Delivery of Drugs and Medicines</t>
  </si>
  <si>
    <t>3LSSM2020A-200 Food Supplies</t>
  </si>
  <si>
    <t>GF-20-03-00496 PUSH CART TROLLEY</t>
  </si>
  <si>
    <t>CY 2020 Quick Response Fund (QRF) Repair and Rehabilitation of School Building – REBID – Lot 2 – Repair and Rehabilitation of  Classrooms at Unidos Elementary School, Nabas, Aklan</t>
  </si>
  <si>
    <t xml:space="preserve">IB_20E00102-R1: Cluster 8- Rehabilitation/Reconstruction of Roads with Slips, Slope Collapse and Landslide along San Jose-Port Barton Road Section  K0010+711.40 - K0010+795; K0013+060 – K0013+122.50; </t>
  </si>
  <si>
    <t>Construction of Day Care Kitchen</t>
  </si>
  <si>
    <t>20GFC0060: Purchase of Hazard Markers, Chevron Signs Along Daang Maharlika K0365+000 – K0370+670 with exception, Brgy. Tuaca, Basud, Camarines Norte</t>
  </si>
  <si>
    <t>IB NO. 2020-08-56 Procurement of BIOSAFETY CABINET CLASS II TYPE 2A / A2</t>
  </si>
  <si>
    <t>LOT 1: Supply and Delivery of Multipurpose Microbial Inoculant as Support to ARBs Affected by Rice Importation under the Assistance to Community-Based Enterprises for Farmers' Orgn (ACE for FOs) Proje</t>
  </si>
  <si>
    <t>3LSSM2020A-197 Office Supplies</t>
  </si>
  <si>
    <t>REHABILITATION OF PERIMETER FENCE</t>
  </si>
  <si>
    <t>Supply/Delivery of 2 pcs 1TB 5400 rpm with SATA External Hard Disk drive (laptop)</t>
  </si>
  <si>
    <t>CONSTRUCTION OF PUMPHOUSE AT BRGY. VEGA, BONGABON, NUEVA ECIJA</t>
  </si>
  <si>
    <t>3LSSM2020A-220 Training Supplies</t>
  </si>
  <si>
    <t>3LSSM2020A-219 Training Supplies</t>
  </si>
  <si>
    <t>Supply &amp; Delivery of Medical Supplies and Laboratory Instruments, (MNH), BNS</t>
  </si>
  <si>
    <t>Supply and Delivery of ONE THOUSAND SIX HUNDRED (1600) BAGS COMPLETE FERTILIZER (14-14-14)</t>
  </si>
  <si>
    <t>Replacement of Window</t>
  </si>
  <si>
    <t>CY 2020 Quick Response Fund (QRF) Repair and Rehabilitation of School Building – REBID – Lot 1 – Repair and Rehabilitation of  Classrooms at Gibon Elementary School, Nabas, Aklan, Toledo National High</t>
  </si>
  <si>
    <t>REPAIR/IMPROVEMENT OF BACIA AUDITORIUM</t>
  </si>
  <si>
    <t>COVID-19 EMERGENCY PROCUREMENT - TABLET</t>
  </si>
  <si>
    <t>LOT 2: Supply, Delivery and Installation of COFFEE PROCESSING EQUIPMENT UNDER THE CRFP SUPPORT PROJECT</t>
  </si>
  <si>
    <t>August 2020 - Storage Box</t>
  </si>
  <si>
    <t>INVITATION/REQUEST FOR SUBMISSION OF PRICE QUOTATION (720-2020-01)</t>
  </si>
  <si>
    <t>GF-20-02-00366B  LABELLER AND TAPE CARTRIDGE</t>
  </si>
  <si>
    <t>PROVISION OF MATERIALS FOR THE COMPLETION OF  BAGSAKAN VEGETABLE CENTER-OTHER STRUCTURE</t>
  </si>
  <si>
    <t>AMP SVP-D NO: 20-08-0442 One (1) Lot Centrifugal Vacuum Concentrator</t>
  </si>
  <si>
    <t>AMP SVP-D NO: 20-08-0443 One (1) Lot PCR Supplies</t>
  </si>
  <si>
    <t>Procurement of Office Supplies under the HVCDP</t>
  </si>
  <si>
    <t>Purchase of Welfare Goods- BGCMF</t>
  </si>
  <si>
    <t>Supply and Delivery of ONE HUNDRED EIGHTY (180) BOTTLES PESTICIDES</t>
  </si>
  <si>
    <t>SECURITY SERVICES</t>
  </si>
  <si>
    <t>Construction/Installation of Street Lights</t>
  </si>
  <si>
    <t>3LSSM2020A-218 Training Supplies</t>
  </si>
  <si>
    <t>Additional 700 load for communication purposes#3.doc</t>
  </si>
  <si>
    <t>PROCUREMENT OF PERSONAL PROTECTIVE EQUIPMENTS (PPE)</t>
  </si>
  <si>
    <t>VARIOUS SUPPLIES TO BE USED IN MODULAR LEARNING FOR FOURTH QUARTER</t>
  </si>
  <si>
    <t>Repair and Maintainence(120km check-up)</t>
  </si>
  <si>
    <t>Pasteurized Carabao's Milk</t>
  </si>
  <si>
    <t>Purchase of Amenities</t>
  </si>
  <si>
    <t>Invitation to Bid for the Procurement of Rescue Equipment (Manlift) for the use in this municipality,  Aringay, La Union.</t>
  </si>
  <si>
    <t>Procurement and delivery of various office supplies for PSA Negros  Occidental PSO</t>
  </si>
  <si>
    <t>Printing of RCEF IEC Materials to be used in Distribution of Rice-based IEC under RCEF Fund</t>
  </si>
  <si>
    <t>CONSTRUCTION OF PATHWAY BRGY. ANTIPOLO AT ZONE 1B</t>
  </si>
  <si>
    <t>PROCUREMENT OF OFFICE SUPPLIES FOR DONSOL COMMUNITY COLLEGE</t>
  </si>
  <si>
    <t>IMPROVEMENT OF TADJI-TUKOD ROAD</t>
  </si>
  <si>
    <t>Materials for Improvement of Multi-Purpose Building</t>
  </si>
  <si>
    <t>Procurement of Furnitures and Fixtures for Laboratory use-MHU</t>
  </si>
  <si>
    <t>Supply and Delivery of Hauling Vehicle for Waste Management for use of San Marcelino District Hospital (SMDH), San Marcelino</t>
  </si>
  <si>
    <t>REHABILITATION OF SLAUGHTERHOUSE</t>
  </si>
  <si>
    <t>COMPLETION OF COVERED COURT-SIGUEM</t>
  </si>
  <si>
    <t>REPAIR/RENOVATION OF LEGISLATIVE BUILDING</t>
  </si>
  <si>
    <t>CONCRETING OF NATIONAL ROAD TO SCHOOL-DINE</t>
  </si>
  <si>
    <t>IMPROVEMENT OF BATEC-LOGPOND KONGKONG ROAD</t>
  </si>
  <si>
    <t>IMPROVEMENT OF CASERREC-LOCOS</t>
  </si>
  <si>
    <t>CONSTRUCTION OF STANDARD DAYCARE CENTER BUILDING WITH COMPLETE FACILITIES</t>
  </si>
  <si>
    <t>LOCAL ACCESS ROAD-IMPROVEMENT OF ALLOY-WATWAT-EDRALIN ROAD</t>
  </si>
  <si>
    <t>LOCAL ACCESS ROAD-IMPROVEMENT OF CAPPIT-PUDI-DINE ROAD</t>
  </si>
  <si>
    <t>INVITATION TO BID FOR Sewing Machines and Sewing Materials/Tools</t>
  </si>
  <si>
    <t>Procurement of  fuel  for 3rd and  4th  quarter  2020  for  different  barangays  and other offices</t>
  </si>
  <si>
    <t>IMPROVEMENT OF INANGUB ROAD - PAQUET</t>
  </si>
  <si>
    <t>Construction  of  multi-purpose hall  at new  municipal ground</t>
  </si>
  <si>
    <t>Construction of Hand Washing Facility of Various Public Schools of Vigan City</t>
  </si>
  <si>
    <t>Procurement of Heavy Equipment Parts for Backhoe 1</t>
  </si>
  <si>
    <t>SUPPLY AND DELIVERY OF VEGETABLE SEEDS &amp; OTHER SUPPLIES</t>
  </si>
  <si>
    <t>Completion of Line Canal at Brgy. San Roque, San Juan, Southern Leyte</t>
  </si>
  <si>
    <t>Supply and delivery of HARDWARE MATERIALS</t>
  </si>
  <si>
    <t>20EE0145 Repair/Maintenance of Roadsides Structure along El Nido-Jct. New Ibajay  Road Section (S00059PW), KO304+(-430) Brgy. San Fernando, El Nido, Palawan</t>
  </si>
  <si>
    <t>20EE0144  Concreting of Sitio Kano , Brgy. Danleg FMR, Sta. 00+000-Sta. 00+661.50 Brgy. Danleg, Dumaran, Palawan</t>
  </si>
  <si>
    <t>PGO-CATERING SERVICES</t>
  </si>
  <si>
    <t>COMPLETION OF MULTI-PURPOSE BUILDING AT RMC COMPOUND, SO. MACATUMBALEN</t>
  </si>
  <si>
    <t>PACCO-PHOTOCOPIER</t>
  </si>
  <si>
    <t>Invitation to Bid for the Improvement of Farm to Market Road @ Brgy. Rizal (Savellano St.), Cabugao, Ilocos Sur</t>
  </si>
  <si>
    <t>PENRO-DIVING EQUIPMENT</t>
  </si>
  <si>
    <t>MDH-Calibration and Preventive Maintenance of CT Scan</t>
  </si>
  <si>
    <t>PEEIPO-DIESEL AND GASOLINE</t>
  </si>
  <si>
    <t>SUPPLY OF MEDICINES FOR MENTALLY ILL PATIENTS FOR MSWD ABORLAN</t>
  </si>
  <si>
    <t>CONSTRUCTION OF SERVICE ROAD TO DA BUILDING-MUNICIPAL COMPOUND</t>
  </si>
  <si>
    <t>CONSTRUCTION OF NURSERY SHED</t>
  </si>
  <si>
    <t>SUPPLY AND DELIVERY OF ONE (1) UNIT BRAND NEW TOURER VAN FOR THE MUN. ECONOMIC AND ENTERPRISE DEVELOPMENT OFFICE</t>
  </si>
  <si>
    <t>SUPPLY AND DELIVERY OF ASSORTED MEDICINES AND VITAMINS FOR SENIOR CITIZENS ASSOCIATION IN THE MUNICIPALITY OF TULUNAN, COTABATO</t>
  </si>
  <si>
    <t>Construction of Dialysis Center - (Phase II), City Health Office, Brgy. Poblacion, City of Tacurong</t>
  </si>
  <si>
    <t>Improvement of Musical Fountain, City Hall Ground, Brgy. Poblacion, City of Tacurong</t>
  </si>
  <si>
    <t>Communication Equipment</t>
  </si>
  <si>
    <t>SUPPLY AND DELIVERY OF HARDWARE MATERIALS FOR THE CONSTRUCTION OF AGRI-TOURISM FARM</t>
  </si>
  <si>
    <t>Supply &amp; Delivery of Portable Sound System to be used for the Enhancement of FITS Centers under RCEF Fund</t>
  </si>
  <si>
    <t>ITB 20-0079 - Supply and Delivery of 2 units Dump Truck, Brand New, 6 Wheelers.</t>
  </si>
  <si>
    <t>Purchase of Solar Lights for use in the Lighting of Man Made Lagoon and Bato Baywalk, Brgy Kalanggaman, Bato, Leyte</t>
  </si>
  <si>
    <t>Construction of Evacuation Center/Multi-Purpose Center at Barangay Bulanao</t>
  </si>
  <si>
    <t>20EE0143 Concreting of Highway Junction to Sitio Bagto,  Brgy. San Nicolas FMR, Sta. 00+000- Sta. 00+859.50 Brgy. San Nicolas, Roxas, Palawan</t>
  </si>
  <si>
    <t>R/M OFFICE EQUIPMENT</t>
  </si>
  <si>
    <t>SW-1008-2020-0118</t>
  </si>
  <si>
    <t>Supply and Delivery of equipment and materials for the Forest Protection and Protection and Conservation of Wildlife (Philippine Eagle) under CENRO Cabanatuan City</t>
  </si>
  <si>
    <t>PROCUREMENT OF VEHICLE|AMBULANCE</t>
  </si>
  <si>
    <t>REPAIR OF WATER SUPPLY SYSTEM AT BARANGAY LUMBANG CALZADA, CALACA, BATANGAS</t>
  </si>
  <si>
    <t>2020MC-SVP085 Supply &amp; Delivery of Computer Supplies for use of DepEd City of LGU - Masbate City</t>
  </si>
  <si>
    <t>SUPPLY, DELIVERY, AND INSTALLATION OF ONE (1)UNIT DENTAL CHAIR WITH SET OF DENTAL FORCEPS/INSTRUMENTS TO BE USED IN THE DENTAL CLINIC OF MOLAVE RURAL HEALTH UNIT</t>
  </si>
  <si>
    <t>The procurement of Materials &amp; fittings for new connection for the year 2020</t>
  </si>
  <si>
    <t>2020MC-SVP082 Supply &amp; Delivery of Materials for the Repair &amp; Maintenance of Ticao Building @ City Hall Comp., Brgy. Kalipay, Masbate City</t>
  </si>
  <si>
    <t>RFQ HARDWARE SUPPLIES AND MATERIALS 3RD QUARTER 2020</t>
  </si>
  <si>
    <t>2020MC-SVP081 Supply &amp; Delivery of Materials for the Repair &amp; Maintenance of Masbate Building @ City Hall Comp,. Brgy. Kalipay, Masbate City</t>
  </si>
  <si>
    <t>PACKAGE 2020-16: CONSTRUCTION OF RESERVOIR AND WATER SUPPLY SYSTEM AT ANTONIO CANAO, DANGOY AND MABILONG</t>
  </si>
  <si>
    <t>PACKAGE 2020-49: LOWER DANGOY CREEK PROTECTION WALL</t>
  </si>
  <si>
    <t>Quotation No. 20-07-0456- Vehicle Rental for 4days in Zamboanga Sibugay: Payao, Malangas, Siay, Naga; for conduct of NIP Monitoring (MR SIA Readiness assessment)</t>
  </si>
  <si>
    <t>Procurement of Catering Services for Post Partum Patient &amp; Staff @ Poblacion Birthing Home MSP</t>
  </si>
  <si>
    <t>2020MC-SVP084 Supply &amp; Delivery of Office Supplies for used of City DepEd of LGU - Masbate City</t>
  </si>
  <si>
    <t>Procurement of Catering Services for NDPR Week Celebration/PWD Day of MSWDO</t>
  </si>
  <si>
    <t>2020MC-SVP083 Supply &amp; Delivery of Materials for the Repair &amp; Maintenance of Lapay Building @ City Hall Comp., Brgy. Kalipay, Masbate City</t>
  </si>
  <si>
    <t>PROCUREMENT OF VARIOUS IT EQUIPMENT AND ACCESSORIES TO BE USED IN DEPED MOLAVE EAST DISTRICT OFFICE</t>
  </si>
  <si>
    <t>PROCUREMENT OF MOTORCYCLE WITH TRAILER</t>
  </si>
  <si>
    <t>Project 2020-18: Purchase of 300mm Diameter Cement Coated and Cement Lined Spiral Welded Steel Pipes</t>
  </si>
  <si>
    <t>Procurement of Heavy Equipment Parts for Backhoe 2</t>
  </si>
  <si>
    <t>SUPPLY/DELIVERY OF VARIOUS DRUGS AND MEDICINES TO BE USED IN THE MOLAVE RURAL                                         HEALTH UNIT</t>
  </si>
  <si>
    <t>DELIVERY OF LABOR AND MATERIALS FOR THE OVERHAULING AND BODY REPAIR OF MUNICIPAL VEHICLE WITH PLATE NO. SFT- 541 (GARBAGE TRUCK)</t>
  </si>
  <si>
    <t>Supply and Delivery of Toners with free use of Printers</t>
  </si>
  <si>
    <t>P.R. No. 2020-08-0063: Purchase and Delivery of various Office Supplies for use at Construction Section, DPWH-ISDEO, Roxas, Isabela</t>
  </si>
  <si>
    <t>Procurement of Medicines under Control Mental Illness Program of MHO</t>
  </si>
  <si>
    <t>PF-0820-794</t>
  </si>
  <si>
    <t>P.R. No. 2020-08-0060: Purchase and Delivery of Spare Parts for Brush Cutters &amp; Chainsaw use for Maintenance Activities along Road Networks of DPWH-ISDEO, Roxas, Isabela</t>
  </si>
  <si>
    <t>PF-0320-273</t>
  </si>
  <si>
    <t>PROCUREMENT OF GOODS: MEDICAL SUPPLIES SVP 2020-187</t>
  </si>
  <si>
    <t>PF-0720-722</t>
  </si>
  <si>
    <t>Invitation to Bid for Supply, Delivery, and Installation of Sound System for WPU main and Puerto Princesa City campus gymnasium</t>
  </si>
  <si>
    <t>Procurement of RP Vehicle Oil</t>
  </si>
  <si>
    <t>1	unit	6-Wheeler Brand New DUMPTRUCK, PR # 674-20</t>
  </si>
  <si>
    <t>Procurement of Medical Oxygen (Standard &amp; Aviator) - SOYMPH, ADH, HCH, PBCH and SDH</t>
  </si>
  <si>
    <t>ADDITIONAL CONSTRUCTION OF DRAINAGE CANAL</t>
  </si>
  <si>
    <t>1	unit	6 Wheeler Brand New Garbage Compactor, PR # 676-20</t>
  </si>
  <si>
    <t>Purhase of 15 units wheelchairs for person with disability use</t>
  </si>
  <si>
    <t>Invitation to Bid for the Procurement of various supplies and equipment in response to the “New Normal” condition.</t>
  </si>
  <si>
    <t>PURCHASE OF OFFICE AND SCHOOL SUPPLIES FOR LAPAZ CES</t>
  </si>
  <si>
    <t>Supply/Delivery of ICT Equipment</t>
  </si>
  <si>
    <t>PROC-20-SUPPLY &amp; INSTALLATION OF ATM CLADDING (WALL TYPE)</t>
  </si>
  <si>
    <t>Procurement of Non-Ionic Low Osmolar Contrast Media for Radiologic Procedure</t>
  </si>
  <si>
    <t>P.R. No. X1-20-07-307 - Supply and Delivery for the use in the Office of the Regional Director, 3rd Quarter</t>
  </si>
  <si>
    <t>CONSTRUCTION OF MULTI-PURPOSE COURT AT SITIO TAKAS AND BANAY-BANAY</t>
  </si>
  <si>
    <t>P.R. No. X4-20-07-291 - Supply and Delivery for the use in the operation of TOYOTA HILUX (CAP3734/100804)</t>
  </si>
  <si>
    <t>UNIFORMS AND FACE MASK FOR DAY CARE WORKERS</t>
  </si>
  <si>
    <t>1	unit	6 Wheeler Brand New Garbage Compactor, PR # 675-20</t>
  </si>
  <si>
    <t>Installation of Streetlights at Poblacion to Pinagsabangan II (Curva), Naujan, Oriental Mindoro</t>
  </si>
  <si>
    <t>Invitation to Bid for the Supply and Delivery of Customized Polo Shirt and Sling Bag</t>
  </si>
  <si>
    <t>Supply of Materials for the Concreting of Barangay Acess Road</t>
  </si>
  <si>
    <t>Supply and Delivery of Electrical Supplies</t>
  </si>
  <si>
    <t>Supply and Delivery of of Various Commodities for the Children Beneficiaries of Supplementary Feeding Program of Labrador, Pangasinan</t>
  </si>
  <si>
    <t>P.R. No. X11-20-07-336 - Supply and Delivery for the use of various service vehicles and heavy equipment, assigned at DPWH-Region X</t>
  </si>
  <si>
    <t>Concreting of Farm to Market Road (Barangay Cabcaban)</t>
  </si>
  <si>
    <t>2020MC-SVP088 Purchase of Enzymes for Biodegradable Waste @ Masbate City</t>
  </si>
  <si>
    <t>Purchase of Seven Hundred Sixty Five (765) Bags of Cement to be given to the Different Barangays of this Municipality</t>
  </si>
  <si>
    <t>2020MC-SVP087 Supply &amp; Delivery of Medicines for Senior Citizen's Office of LGU - Masbate City</t>
  </si>
  <si>
    <t>2020MC-SVP086 Supply &amp; Delivery of Condiments &amp; Vegetable for Supplementray Feeding Program of Day Care Children @ Masbate City</t>
  </si>
  <si>
    <t>The Proposed Construction of Customer Accounts Division Office</t>
  </si>
  <si>
    <t>The procurement of 2 units Variable Frequency Drive (Inclusive of Installation, Testing and Commissioning)</t>
  </si>
  <si>
    <t>PROCUREMENT OF DUMP TRUCK</t>
  </si>
  <si>
    <t>Supply and Delivery of Medicine for the Municipality of San Mateo, Rizal</t>
  </si>
  <si>
    <t>Supply &amp; Delivery of Fuel, Oil &amp; Lubricants for the use of Mayor's Office for the month of September 2020</t>
  </si>
  <si>
    <t>Quotation No. 20-07-0452- Catering Services with Venue for conduct of Orientation on National Immunization Program (MR SIA) on 2nd week of September 2020 in Isabela City</t>
  </si>
  <si>
    <t>Construction of Drainage System @ Barangay 22, Batangas City</t>
  </si>
  <si>
    <t>1.Projector with Screen/BFP 2. Office Equipment (Printer)/CHO TB DOTS</t>
  </si>
  <si>
    <t>1000	pcs	CHB 4" THK., etc. PR # 856-19</t>
  </si>
  <si>
    <t>Garments</t>
  </si>
  <si>
    <t>15	pcs.	G-Melina Lumber- 2" x 2" x 10', etc. PR # 840-19</t>
  </si>
  <si>
    <t>2	Itr.	Roofing Sealant, PR # 776-19</t>
  </si>
  <si>
    <t>Supply and Delivery of Common Office Supplies for Accounting Office</t>
  </si>
  <si>
    <t>1.Spareparts (for the maintenance of Compactor II)/CWMO 2. Tires (for I Care SAA-7005)/CMO-Motorpool</t>
  </si>
  <si>
    <t>PF-0620-633</t>
  </si>
  <si>
    <t>REHAB/IMPROVEMENT OF DAYCARE CENTER</t>
  </si>
  <si>
    <t>Procurement and Deliveries of Communication Equipment for use in Planning &amp; Construction Section for GEOTAGGING Reports Survey 123.</t>
  </si>
  <si>
    <t>Supply and Delivery of Various Construction Materials and Supplies for the Proposed Fabrication of I ♥ Marikina Heights Signages</t>
  </si>
  <si>
    <t>Supply and Delivery of 8 Unit Fire Extinguisher and 1 unit Emergency Light for Schools Division Office Fire Safety Purposes</t>
  </si>
  <si>
    <t>SUPPLY &amp; DELIVERY OF VARIOUS SUPPLIES &amp; EQUIPMENT @ MHO, AGRICULTURE &amp; MAYOR'S OFFICE, RODRIGUEZ, RIZAL</t>
  </si>
  <si>
    <t>1. Agricultural Supplies/CWMO 2. Pesticide (to be use in the Sanitary Landfill in Brgy. Aglalana, Passi City)/CWMO 3. Polo Shirt (for the use of Jesry Care)/CMO 4. Other Supplies/CWMO 5. Office Suppli</t>
  </si>
  <si>
    <t>19DD0544 Construction/ Rehabilitation of Road, Brgy. Salaban 1, Ibaan, Batangas</t>
  </si>
  <si>
    <t>20	pcs.	2"x2"x 10' G-melina, PR # 169-20</t>
  </si>
  <si>
    <t>19DD0535 Repair/Rehabilitation of Damaged Paved Road (Asphalt Overlay) along San Juan- Laiya Road, San Juan, Batangas San Juan, Batangas</t>
  </si>
  <si>
    <t>3	kg	Common Wire Nails, #1 1/2", PR # 734-19</t>
  </si>
  <si>
    <t>19DD0541 Rehabilitation/ Improvement of Road at Brgy. Balintawak, Lipa City, Batangas</t>
  </si>
  <si>
    <t>19DD0540 Construction/ Rehabilitation of Road, Brgy. Dagatan, Taysan, Batangas</t>
  </si>
  <si>
    <t>2,136	pieces	CHB (4"), etc. PR # 627-19</t>
  </si>
  <si>
    <t>20	pcs.	2"x2"x 10' G-melina, PR # 168-20</t>
  </si>
  <si>
    <t>19DD0542 Construction/ Rehabilitation/ Widening of Road, Brgy. Mabalor, Rosario, Batangas</t>
  </si>
  <si>
    <t>8	shts.	5mmx1,20mx2.40m Mar. Plywood,A/A, PR # 113-20</t>
  </si>
  <si>
    <t>19DD0538 Road Rehabilitation of Lapo-Lapo 2.0- Salaban Road, Brgy. Lapo-Lapo 2.0 and Brgy. Salaban, San Jose, Batangas</t>
  </si>
  <si>
    <t>4	Igths.	G.l. Pipe 65mm Ø x 6.0m (S-40), etc. PR # 84-20</t>
  </si>
  <si>
    <t>19DD0537 Construction/ Improvement of Slope Protection/ Revetment of Malaking Ilog River, Brgy. Tipas, San Juan, Batangas</t>
  </si>
  <si>
    <t>Supply and Delivery of various medical and dental supplies</t>
  </si>
  <si>
    <t>1	Igths.	G.l. Pipe 38mm Ø x 6.0m (S-40), etc. PR # 85-20</t>
  </si>
  <si>
    <t>Supply and Delivery of Catering Services</t>
  </si>
  <si>
    <t>19DD0539 Concreting of Road in Brgy. Pulang Bato, San Juan, Batangas</t>
  </si>
  <si>
    <t>ENGAGEMENT OF SERVICES FOR THE DEMARCATION OF MOUNTS IGLIT-BACO NATURAL PARK, A LEGISLATED TERRESTRIAL PROTECTED AREA, UNDER THE NATIONAL INTEGRATED PROTECTED AREAS SYSTEM (NIPAS), AS AMMENDED</t>
  </si>
  <si>
    <t>RFQ No. 135-2020-G 1 canvass (Printing Services)</t>
  </si>
  <si>
    <t>RFQ No. 134-2020-G 1 canvass (General Merchandise)</t>
  </si>
  <si>
    <t>19DD0536 Construction of Road and Slope Protection along Laiya- Malabrigo Road, Sitio Natungkad to Sitio Biga, Hugom Section, San Juan, Batangas</t>
  </si>
  <si>
    <t>RFQ No. 130-2020-G 1 canvass (Drugs and Medicines)</t>
  </si>
  <si>
    <t>Spareparts (to be used for the repair &amp; miantenance of Compactor I)CWMO</t>
  </si>
  <si>
    <t>Construction of Water System at Brgy. Sampaloc 2, Sariaya, Quezon</t>
  </si>
  <si>
    <t>Procurement of Expanded NBS Collection Kits use for RHU and Family Planning Center</t>
  </si>
  <si>
    <t>New Construction of Level II Potable Water Supply System at Brgy. Sta. Maria</t>
  </si>
  <si>
    <t>Drilling of One (1) Exploratory/Production Well Including Deepwell Pump and Pumping Station atBrgy. Sampaloc 2, Sariaya,Quezon</t>
  </si>
  <si>
    <t>SUPPLY &amp; DELIVERY OF OFFICE SUPPLIES &amp; VACCINES FOR MAYORS' OFFICE, STOCKROOM &amp; MHO, RODRIGUEZ, RIZAL</t>
  </si>
  <si>
    <t>4	Igths.	G.l. Pipe 65mm Ø x 6.0m (S-40), etc. PR # 83-20</t>
  </si>
  <si>
    <t>Construction of Water System at Brgy. Concepcion Pinagbakuran, Sariaya, Quezon</t>
  </si>
  <si>
    <t>INSTALLATION OF CCTV WITH NVR &amp; MONITOR AT VARIOUS RESETTLEMENT SITES FOR PEACE AND ORDER MONTIORING @ GOLDEN HORIZON , SUNSHINE VILLE &amp; SOUTHVILLE 2 PHASE 3, TMC</t>
  </si>
  <si>
    <t>Supply &amp; Delivery of Grocery Items (CMOG-PN)</t>
  </si>
  <si>
    <t>2020-08-1230 ANTI-SARS-COV 2</t>
  </si>
  <si>
    <t>New Construction of Level II Potable Water Supply System at P-2 Brgy. Ogao, Nabunturan</t>
  </si>
  <si>
    <t>PURCHASE OF OFFICE SUPPLIES USE AT CAUAYAN DISTRICT HOSPITAL, BARANAY ISIO, CAUAYAN, NEGROS OCCIDENTAL</t>
  </si>
  <si>
    <t>Rebidding of Construction of Bench Type Niche at Brgy. Sampaloc 1, Sariaya, Quezon</t>
  </si>
  <si>
    <t>Supply &amp; Delivery of ICT Equipment Parts and Accessories (CMOG-PN)</t>
  </si>
  <si>
    <t>Rebidding of Concreting of Barangay Road at Brgy. Bignay 2, Sariaya, Quezon</t>
  </si>
  <si>
    <t>REPAIR/ REHABILITATION OF NATIVIDAD-SUGUIDAN NORTE ROAD, NATIVIDAD SECTION, NAGUILIAN, LA UNION.</t>
  </si>
  <si>
    <t>PROCUREMENT OF SUPPLIES FOR REPRODUCTION OF SELF-LEARNING MODULES</t>
  </si>
  <si>
    <t>Civil Service Month Activity (Purchase of T-shirts)</t>
  </si>
  <si>
    <t>Rebidding of Conreting of Barangay Road at Brgy. Tumbaga 1, Sariaya, Quezon</t>
  </si>
  <si>
    <t>Purchase of relief goods for the affected families of COVID-19</t>
  </si>
  <si>
    <t>19DD0543 Construction/ Rehabilitation of Road with Drainage Facilities, Brgy. Lumil, San Jose, Batangas</t>
  </si>
  <si>
    <t>Rebidding of Concreting of Barangay Road at Barangay Talaan Aplaya, Sariaya. Quezon</t>
  </si>
  <si>
    <t>Purchase of Materials for the Reconstruction of Purok 2 Center (KIOSKO) Danicop, Antequera, Bohol</t>
  </si>
  <si>
    <t>Installation of Fixed Glass with Swing Door</t>
  </si>
  <si>
    <t>Supply &amp; Delivery 200 gal Ethyl Alcohol 70% Isoprophyl; PR No. 20-1454 dated May 15, 2020</t>
  </si>
  <si>
    <t>Rebidding of Concreting of Barangay Road at Barangay Lutucan Malabag, Sariaya, Quezon</t>
  </si>
  <si>
    <t>rebidding for Replenishment of family food packs for Disaster Response and Management Division stockpile</t>
  </si>
  <si>
    <t>Construction of Slab Rooftop</t>
  </si>
  <si>
    <t>Supply &amp; Delivery 2 units Laptop; PR No. 20-1987 dated July 13, 2020</t>
  </si>
  <si>
    <t>Construction of Water Tank</t>
  </si>
  <si>
    <t>Rebidding of Concreting of Barangay Road at Barangay Pili, Sariaya, Quezon</t>
  </si>
  <si>
    <t>Purchase of Sounds &amp; Fixtures - MSWDO</t>
  </si>
  <si>
    <t>Contract ID No. 20NC0142 - Concreting of Brgy. La Fortuna to Purok 5 to Purok 6, Brgy. Sinobong FMR, Veruela, Agusan del Sur</t>
  </si>
  <si>
    <t>Reproduction of Self-Learning Modules ( Module 2) Kinder to Grade 6</t>
  </si>
  <si>
    <t>Rebidding of Concreting of Barangay Road at Baragay Talaan Pantoc, Sariaya, Quezon</t>
  </si>
  <si>
    <t>Purchase of Laptop Computer</t>
  </si>
  <si>
    <t>Purchase of Drugs &amp; Medicine</t>
  </si>
  <si>
    <t>Rehab / Improvement of Multi-Purpose Hall</t>
  </si>
  <si>
    <t>Repair/Maintenance of Brgy. Streetlight</t>
  </si>
  <si>
    <t>PROCUREMENT OF OFFICE SUPPLIES AND CONSUMABLES</t>
  </si>
  <si>
    <t>Supply and Delivery of Various Construction Materials and Supplies for the Proposed Development and Laying of Gravel Bed, River Parks Authority</t>
  </si>
  <si>
    <t>Supply and Delivery of Office Supplies for the Second Quarter not available at PS DBM</t>
  </si>
  <si>
    <t>Certificates and Ribbons - MSWDO</t>
  </si>
  <si>
    <t>Local Access Road Upgrading at Brgy. Pob. Zone III to Brgy. Burgos, Mayorga, Leyte</t>
  </si>
  <si>
    <t>PROCUREMENT OF FIRE FIGHTING &amp; RESCUE AND SAFETY EQUIPMENT</t>
  </si>
  <si>
    <t>Installation of 24 CCTV Cameras</t>
  </si>
  <si>
    <t>For various food supplies for City Health Office (Nutrition Progam) use</t>
  </si>
  <si>
    <t>Materials for Repair of Lighting Fixtures in various Offices and rooms</t>
  </si>
  <si>
    <t>PR-2020-1878 Drugs &amp; Medicines (Rebid)-CDH</t>
  </si>
  <si>
    <t>Supply &amp; Delivery of Fuel, Oil &amp; Lubricants</t>
  </si>
  <si>
    <t>Supply and Delivery of Communication Equipment Parts and Accessories (PMC)</t>
  </si>
  <si>
    <t>PR-2020-1936 Thirty (30) Unts Powered Air Purifying Respirators (Rebid)-PDRRMO</t>
  </si>
  <si>
    <t>Rebidding of Concreting of Barangay Road at Barangay Guisguis San Roque, Sariaya, Quezon</t>
  </si>
  <si>
    <t>PROCUREMENT OF IT EQUIPMENT AT PANGLAO, BOHOL</t>
  </si>
  <si>
    <t>Supply and Delivery of Semi-Expendable ICT Equipment (PMC)</t>
  </si>
  <si>
    <t>PURCHASE/DELIVERY OF FACESHIELD &amp; DISPOSABLE FACE MASK &amp; PPE'S</t>
  </si>
  <si>
    <t>Rebidding of Concreting of Barangay Road at Barangay Guisguis Talon, Sariaya, Quezon</t>
  </si>
  <si>
    <t>Stand Fan - MSWDO</t>
  </si>
  <si>
    <t>2020-08-1254 Plastic Trash Bag</t>
  </si>
  <si>
    <t>Supply and Delivery of Training Supplies (PMC)</t>
  </si>
  <si>
    <t>Purchase of Flashlight</t>
  </si>
  <si>
    <t>Supply and Delivery of Other Supplies and Materials (PMC)</t>
  </si>
  <si>
    <t>Purchase of Aluminum Ladder</t>
  </si>
  <si>
    <t>construction of Ligisan</t>
  </si>
  <si>
    <t>Printing Services (Brochures &amp; Poster)</t>
  </si>
  <si>
    <t>Supply &amp; Delivery of Fuel, Oil &amp; Lubricant</t>
  </si>
  <si>
    <t>PROCUREMENT OF CATERING SERVICES FOR THE VARIOUS EVENTS OF HCGSSF AND SUB-UNITS FOR 3RD QUARTER OF CY 2020</t>
  </si>
  <si>
    <t>2020-08-1231 Fluorescence Immunoassay Methold</t>
  </si>
  <si>
    <t>4	m³	Sand, etc. PR # 58-20</t>
  </si>
  <si>
    <t>IMPROVEMENT OF NAGSABARAN-PAPALUNGAN ROAD</t>
  </si>
  <si>
    <t>Purchase of Ultraviolet Disinfection Box</t>
  </si>
  <si>
    <t>Live Animals (Livestock, Birds, Live Fish &amp; etc.)</t>
  </si>
  <si>
    <t>20 bottles Alcohol...etc</t>
  </si>
  <si>
    <t>VENETIAN BLINDS</t>
  </si>
  <si>
    <t>Supply and Delivery of OPCEN Materials</t>
  </si>
  <si>
    <t>IMPROVEMENT OF LIGHTING SYSTEM OF BASKETBALL COURT INSIDE THE MUNICIPAL AUDITORIUM</t>
  </si>
  <si>
    <t>16000	ltrs.	Diesel, PR # 681-20</t>
  </si>
  <si>
    <t>Rebidding of Concreting of Barangay Road at Barangay Castañas, Sariaya, Quezon</t>
  </si>
  <si>
    <t>Supply and Delivery of Tool Box for use in the Repair and Maintenance of Various  Pumping Station</t>
  </si>
  <si>
    <t>Invitation to Bid for the Procurement of Medical and Disinfectant supplies and Handwashing station</t>
  </si>
  <si>
    <t>PR-2020-2138 Vegetable Seeds-PAO</t>
  </si>
  <si>
    <t>Procurement of ICT Supplies and Equipment (2nd Semester FY 2020)</t>
  </si>
  <si>
    <t>PROCUREMENT OF BUNKS AND STEEL LOCKER CABINET</t>
  </si>
  <si>
    <t>PURCHASE OF CONSTRUCTION MATERIALS FOR THE REHABILITATION OF MPH AND CONSTRUCTION OF SLOPE PROTECTION</t>
  </si>
  <si>
    <t>Purchase of various medical supplies for Community Based Rehabilitation Center (CBR) use</t>
  </si>
  <si>
    <t>PROCUREMENT OF 2 UNITS MOTORCYCLE PATROL AND 1 UNIT UNCUSTOMIZED MOTORCYCLE (ALL BRAND NEW)</t>
  </si>
  <si>
    <t>Rehabilitation of Armored Trucks</t>
  </si>
  <si>
    <t>Purchase of One (1) unit All in One Desktop Computer and two (2) units printer for City Mayors Office use</t>
  </si>
  <si>
    <t>Supply and Delivery of various commodities for the children beneficiaries of Supplementary Feeding Program of the Municipality of Mapandan, Pangasinan</t>
  </si>
  <si>
    <t>Supply and Delivery of dKart Inspector for Hydrography Branch</t>
  </si>
  <si>
    <t>PR-2020-1285 One (1) Unit Brand new Pick-Up Vehicle (Rebid)-PGO</t>
  </si>
  <si>
    <t>PROCUREMENT OF LABOR FOR PRINTING OF MODULES OF AMLAN NHS</t>
  </si>
  <si>
    <t>Procurement of Two (2) Sets  Pontoon for  Pasig River Ferry Service, Quezon Bridge</t>
  </si>
  <si>
    <t>Negotiated Procurement (under Two Failed Bidding) for the Supply and Delivery of One (1) Lot Various Other Machinery &amp; Equipment</t>
  </si>
  <si>
    <t>Purchase of Office Supplies and Devices</t>
  </si>
  <si>
    <t>PR-2020-2169 Plumbing Materials-PPDO</t>
  </si>
  <si>
    <t>LIGHTING OF THE MUNICIPAL PUBLIC MARKET 					(at Brgy. Poblacion)</t>
  </si>
  <si>
    <t>500 TUBES T8 LED 18W FLOURESCENT TUBE</t>
  </si>
  <si>
    <t>PROCUREMENT OF MOORING BUOYS (CUSHION FLOAT 500L)</t>
  </si>
  <si>
    <t>HARDWARE MATERIALS FOR THE CONC. OF ROAD P2 GUINACUTAN AND HARDWARE MTLS. FOR THE CONC. OF FMR P2 AGUIT-IT</t>
  </si>
  <si>
    <t>Supply and Delivery of Office Supplies for use in DPWH Agusan del Sur 1st District Engineering Office</t>
  </si>
  <si>
    <t>PROCUREMENT OF MEDICAL INSTRUMENT</t>
  </si>
  <si>
    <t>REPLACEMENT OF PIPELINES AND VALVES OF ENGINE ROOM AND COPPER TUBES FOR AIR CONDITIONING UNIT CONDENSER OF SARV-004</t>
  </si>
  <si>
    <t>Supply/Delivery of Parts, Oil &amp; Lubricants for Tractor Unit of LGU-Palo, Leyte</t>
  </si>
  <si>
    <t>Repair and maintenace of Brgy. Street Lights</t>
  </si>
  <si>
    <t>Construction of Street Lights</t>
  </si>
  <si>
    <t>Concreting of Cayo Street</t>
  </si>
  <si>
    <t>PROGRAMS, PROJECTS AND ACTIVITIES TO ADDRESS THE CORONA VIRUS DISEASE 2019 (COVID 19) SITUATION, FOOD, ASSISTANCE AND RELIEF GOODS FOR THE AFFECTED HOUSEHOLDS	(Purchase of Rice)</t>
  </si>
  <si>
    <t>PURCHASE OF MEALS AND SNACKS (MSWDO/GAD)</t>
  </si>
  <si>
    <t>Purchase of Laboratory Supply for Diagnostic Center</t>
  </si>
  <si>
    <t>REHABILITATION OF ROADS AT BIL-ISAN, LIBAONG, LOOC, &amp; TAWALA, PANGLAO, BOHOL</t>
  </si>
  <si>
    <t>supplies and delivery of I.T Equipment</t>
  </si>
  <si>
    <t>RFQ 20-130: Supply and Delivery of Chemical, Labor, Materials, Equipment, Technical Expertise for the Chilled and Condenser Water Treatment of Central Air-Conditioning System</t>
  </si>
  <si>
    <t>Alcohol 0542</t>
  </si>
  <si>
    <t>PURCHASE/DELIVERY OF DESKSTOP COMPUTER WITH PRINTER FOR ASSESSOR'S OFFICE AND 1 SET DESKTOP COMPUTER FOR BIOMETRICS</t>
  </si>
  <si>
    <t>Procurement of One (1) Unit Reconditioned Mini Dump Truck for Brgy. San Miguel, Tarlac City. B2020-105-A</t>
  </si>
  <si>
    <t>Supply &amp; Delivery of Teaching  and Learning Materials for Child Development Center</t>
  </si>
  <si>
    <t>ITB-Installation and Construction of Street Llight in Barangay 1 Poblacion</t>
  </si>
  <si>
    <t>Supply and Delivery of Various Supplies and Materials for Reproduction of Self Learning Modules for Students</t>
  </si>
  <si>
    <t>Supply and delivery of 2 units Forage Chopper to be distributed to the qualified Farmers Association/LGU/SUCs in support to the National Organic Agriculture</t>
  </si>
  <si>
    <t>Purchase of Rescue Vehicle</t>
  </si>
  <si>
    <t>SUPPLY AND DELIVERY OF MUSICAL INSTRUMENTS</t>
  </si>
  <si>
    <t>SUPPLY AND DELIVERY OF TEXTBOOKS</t>
  </si>
  <si>
    <t>Supply and Delivery of various commodities for the children beneficiaries of Supplementary Feeding Program of the Municipality of San Quintin, Pangasinan</t>
  </si>
  <si>
    <t>Supply &amp; Delivery of Materials for the  Fabrication of Booth (Construction of Environmental User’s Fee Office  and Medical Clinic)</t>
  </si>
  <si>
    <t>Supply, Delivery and Installation of Shaft Generator of BRP Hydrographer Presbitero</t>
  </si>
  <si>
    <t>Supply and delivery of various packaging materials in the processing of different products for AMIA Cooperators in Region 1</t>
  </si>
  <si>
    <t>SUPPLY, DELIVERY, &amp; INSTALLATION OF 5.36 KWP HYBRID, GI SHEETS SOLAR SYSTEM AT THE OFFICE OF THE MUNICIPAL TREASURER</t>
  </si>
  <si>
    <t>For Improvement of Schools's 6-bay car park</t>
  </si>
  <si>
    <t>Procurement of Semi-Expendable Furniture and Fixture</t>
  </si>
  <si>
    <t>Supply, Delivery and Installation of CCTV Camera &amp; 13 others</t>
  </si>
  <si>
    <t>SUPPLY AND DELIVERY OF 3 TONNER INVERTER AIRCON</t>
  </si>
  <si>
    <t>SUPPLY AND DELIVERY OF MODEM, WIFI (REBID)</t>
  </si>
  <si>
    <t>Cost of Preventive Maintenance of Digital X-Ray</t>
  </si>
  <si>
    <t>SUPPLY AND DELIVERY OF MEALS &amp; SNACKS</t>
  </si>
  <si>
    <t>Supply and Delivery of Furniture and Fixtures</t>
  </si>
  <si>
    <t>Supply and Delivery of Common Office Supplies for HR office</t>
  </si>
  <si>
    <t>Supply and Delivery of Fuel, Oil &amp; Lubricants</t>
  </si>
  <si>
    <t>SUPPLY AND DELIVERY OF ONE (1) UNIT BRAND NEW 4 X 4 PICK-UP RESCUE VEHICLE FOR MUNICIPAL SOCIAL WELFARE DEVELOPMENT OFFICE (MSWDO) CLIENTS</t>
  </si>
  <si>
    <t>Laryngoscope Blade 0541</t>
  </si>
  <si>
    <t>Supply and Delivery of Other Supplies</t>
  </si>
  <si>
    <t>Dispo Syringe 0536</t>
  </si>
  <si>
    <t>Supply and Delivery of various commodities for the children beneficiaries of Supplementary Feeding Program of the Municipality of Sto.Tomas, Pangasinan</t>
  </si>
  <si>
    <t>PR-2020-1480 Three (3) Units Laptop (Rebid)-PHO</t>
  </si>
  <si>
    <t>Supply and  Delivery of 125 KVA Standby Generating Set</t>
  </si>
  <si>
    <t>Supply and Delivery of various commodities for the children beneficiaries of Supplementary Feeding Program of the Municipality of Sta. Maria, Pangasinan</t>
  </si>
  <si>
    <t>CONSTRUCTION OF MOTORPOOL AT POBLACION, PANGLAO, BOHOL</t>
  </si>
  <si>
    <t>RFQ 2020-08-504 Procurement of various Communication Equipment for DTCAM</t>
  </si>
  <si>
    <t>Iv Cannula 0535</t>
  </si>
  <si>
    <t>Supply &amp; Delivery of Construction Materials for the Improvement of Multi - Purpose Building (Septic Tank) at San Jose</t>
  </si>
  <si>
    <t>Supply and Delivery of various commodities for the children beneficiaries of Supplementary Feeding Program of the Municipality of Pozzorubio, Pangasinan</t>
  </si>
  <si>
    <t>Supply and delivery of Influenza Vaccine and COVID-19 test kits for DTI R02 Personnel</t>
  </si>
  <si>
    <t>Supply and Delivery for IT Equipment</t>
  </si>
  <si>
    <t>Cover all suit 0534</t>
  </si>
  <si>
    <t>Negotiated Procurement (under Two Failed Bidding) for the Supply and Delivery of One (1) Lot Various Agricultural Chemical Materials and Supplies for the Use of Livestock Program of Albuera, Leyte</t>
  </si>
  <si>
    <t>Repair and Maintenance of Vehicle</t>
  </si>
  <si>
    <t>Supply and Delivery of Certified Palay Seeds</t>
  </si>
  <si>
    <t>RFQ 2020-08-502 Procurement of one (1) unit Photo Copying Machine for DTCAM</t>
  </si>
  <si>
    <t>PROVISION OF CATERING SERVICES ON THE INAUGURATION AND BLESSING OF THE NEW SCHOOLS DIVISION OFFICE BUILDING</t>
  </si>
  <si>
    <t>Impasugong II District- School Supplies for Printing Modules</t>
  </si>
  <si>
    <t>Supply and Delivery of One (1) Unit Ladder Fire Truck for Use in the City Government of Balanga, Bataan</t>
  </si>
  <si>
    <t>Supply and Delivery of One (1) Unit Fire/Water Truck for Use in the City Government of Balanga, Bataan</t>
  </si>
  <si>
    <t>Cost of Preventive Maintenance of CT Scan</t>
  </si>
  <si>
    <t>Procurement of New Printers</t>
  </si>
  <si>
    <t>PURCHASE OF OFFICE, OTHER SUPPLIES AND MATERIALS</t>
  </si>
  <si>
    <t>Negotiated Procurement (under Two Failed Bidding) for the Supply and Delivery of One (1) Lot Various Materials for the Rehabilitation of Fish Sanctuaries</t>
  </si>
  <si>
    <t>For Improvement of DNAS 6-Bay Car Park</t>
  </si>
  <si>
    <t>Supply and Delivery of various commodities for the children beneficiaries of Supplementary Feeding Program of the Municipality of San Nicolas, Pangasinan</t>
  </si>
  <si>
    <t>PROCUREMENT OF FAMILY PLANNING COMMODITIES AND PPE SET (BAC 2020-G07 REBIDDING)</t>
  </si>
  <si>
    <t>2020-08-1180 "Procurement of 150 bot. Sodium Hypochlorite 1000ml,etc for CDH"</t>
  </si>
  <si>
    <t>Supply and Delivery of various commodities for the children beneficiaries of Supplementary Feeding Program of the Municipality of Natividad, Pangasinan</t>
  </si>
  <si>
    <t>PROCUREMENT OF VARIOUS DRUGS AND MEDICINES (BAC 2020-G06 REBIDDING)</t>
  </si>
  <si>
    <t>CONSTRUCTION / CONCRETING OF PAVEMENT</t>
  </si>
  <si>
    <t>COMPLETION OF EVACUATION FACILITIES AT BOLOD, PANGLAO, BOHOL</t>
  </si>
  <si>
    <t>Purchase of various electrical supplies for repair of streetlights and accessories- electrical works (for Poblacion of various streetlights) use</t>
  </si>
  <si>
    <t>Supply and Delivery of Various Construction Materials and Supplies for the Repair and Maintenance of Electrical Facilities at Various Parks and Space, Marikina City</t>
  </si>
  <si>
    <t>Construction Supplies</t>
  </si>
  <si>
    <t>Supply and Delivery for Fertilizer</t>
  </si>
  <si>
    <t>Procurement of Office Supplies and gen mdse.</t>
  </si>
  <si>
    <t>Supply and Delivery of Glass Pad</t>
  </si>
  <si>
    <t>SUPPLY, DELIVERY AND COMMISSIONING OF TWO (2) UNITS BRAND NEW POWER GENERATOR SETS FOR MGC BUILDING, THIS MUNICIPALITY /2020-020</t>
  </si>
  <si>
    <t>Purchase of Printing Supplies</t>
  </si>
  <si>
    <t>PURCHASE OF MOTOR SIREN (LDRRMO)</t>
  </si>
  <si>
    <t>1. Tires (for Toyota Hilux VN7250, Toyota Hilusx I Care &amp; Hino W04D/CMO-Motorpool 2. Tires (for Toyota Hilux Patrol Vehicle)/ CMO-Motorpool 3. Tire (for DT Daewoo DE12TIS, DT Quester CKE280 &amp; Grader V</t>
  </si>
  <si>
    <t>Lubricant Gel 0544</t>
  </si>
  <si>
    <t>P.R. No. X6-20-06-257 - Supply and Delivery for the use in DPWH Region-10 Weighbridge Operation</t>
  </si>
  <si>
    <t>PROVISION OF CATERING SERVICES FOR THE 2020 GAWAD TAGAPAMANIHALA AND APPRECIATION NIGHT OF SDO SORSOGON PROVINCE</t>
  </si>
  <si>
    <t>Supply &amp; Delivery of Materials for the Construction of Box Culvert @ West Patadon</t>
  </si>
  <si>
    <t>REHABILITATION/ CONSTRUCTION OF PALITUD BRIDGE</t>
  </si>
  <si>
    <t>CEMENTING OF PATHWAYS</t>
  </si>
  <si>
    <t>Supply and Delivery for Painting Materials</t>
  </si>
  <si>
    <t>Rehabilitation of Water Supply System</t>
  </si>
  <si>
    <t>Purchase of furniture and fixtures (sala set)</t>
  </si>
  <si>
    <t>PABASA SA NUTRISYON</t>
  </si>
  <si>
    <t>Procurement of  Chemicals Under PR 20-BDD-08-076</t>
  </si>
  <si>
    <t>Const. /Installation of Street Lights</t>
  </si>
  <si>
    <t>PROCUREMENT OF GOODS: CHECK-UP AND REPAIR OF DRAGGER FABIUS PLUS XL ANESTHESIA MACHINE - SVP 2020-151</t>
  </si>
  <si>
    <t>P.R No. 20-07-0719: 1 Lot Training Pneumatic Package Equipment Set</t>
  </si>
  <si>
    <t>P.R. No. X6-20-07-312 - Supply and Delivery for the operation of Toyota HILUX (ACB-6830)-100810</t>
  </si>
  <si>
    <t>PURCHASE OF PROTECTIVE MATERIALS AND SUPPLIES</t>
  </si>
  <si>
    <t>P.R. No. X6-20-07-328 - Supply and Delivery for the operation of Mitsubishi Strada (KFZ-995)-100801</t>
  </si>
  <si>
    <t>Office Supply</t>
  </si>
  <si>
    <t>P.R. No. X7-20-08-350 - Supply and Delivery for the use in Planning and Design Division</t>
  </si>
  <si>
    <t>Purchase of various supplies for Instructional for shielded metal arc welding NC II 3rd quarter use</t>
  </si>
  <si>
    <t>Provision of Food, Venue &amp; Accommodation for the conduct of ASF Preparedness Management and Control Procedures with Field Simulation in MisOr REGDIV-57750</t>
  </si>
  <si>
    <t>INSTALLATION OF REINFORCED CONCRETE PIPE CULVERT ( NALUNDAN)</t>
  </si>
  <si>
    <t>REHABILITATION OF CANAL AT LUMANG KALYE</t>
  </si>
  <si>
    <t>P.R. No. X6-20-07-311 - Supply and Delivery for the operation of Nissan Navara (FOI-421)-100101</t>
  </si>
  <si>
    <t>For Improvement of the SMAW NC I and NC II Training Center</t>
  </si>
  <si>
    <t>CONSTRUCTION OF DRAINAGE CANAL.</t>
  </si>
  <si>
    <t>Fabrication of Canal Steel Grating</t>
  </si>
  <si>
    <t>Labor and Materials to be used for the Installation of Local Area Network of AVRC 1</t>
  </si>
  <si>
    <t>PROCUREMENT OF SUPPLY AND DELIVERY OF MEDICAL SUPPLIES</t>
  </si>
  <si>
    <t>PROCUREMENT OF SUPPLY AND DELIVERY OF AGRICULTURAL SUPPLIES</t>
  </si>
  <si>
    <t>REHABILITATION OF LINED CANAL</t>
  </si>
  <si>
    <t>Medical Health Service at Barangay Ligtong III, Rosario, Cavite</t>
  </si>
  <si>
    <t>REPAIR AND MAINTENANCE OF MACHINERY &amp; EQUIPMENT (CCTV)</t>
  </si>
  <si>
    <t>Construction of Front Fence of Provincial Agriculture Office, Iba</t>
  </si>
  <si>
    <t>Concreting of FMR from Sta. Rita Proper to Sitio Hamat, Brgy. Sta. Rita and Sitio Matalvis, Brgy. Inhobol; Masinloc</t>
  </si>
  <si>
    <t>Printing of Modules (San Luis ES) - San Luis District</t>
  </si>
  <si>
    <t>1 LOT PLANTS</t>
  </si>
  <si>
    <t>Printing of Modules (San Isidro Resettlement ES)</t>
  </si>
  <si>
    <t>Printing of Modules (Fausto ES) - Apalit District</t>
  </si>
  <si>
    <t>Printing of Modules (Macabebe ES) - Macabebe East District</t>
  </si>
  <si>
    <t>Labor services for the extension of Animal Production Building to put up Masonry Training/Assessment Center</t>
  </si>
  <si>
    <t>Diesel Fuel for Service Vehicles at the GSIS Central Office Motor Pool</t>
  </si>
  <si>
    <t>Printing of Modules (Eliseo Belen ES) - Bacolor North District</t>
  </si>
  <si>
    <t>Printing of Modules (San Isidro ES) - Magalang North District</t>
  </si>
  <si>
    <t>PURCHASE OF LED TV</t>
  </si>
  <si>
    <t>PURCHASE OF MEDICINES/VITAMINS</t>
  </si>
  <si>
    <t>CONCRETING OF FARM TO MARKET ROAD PROJECT (DANAO)</t>
  </si>
  <si>
    <t>For Extension of Animal Production Building to put up Masonry Training/Assessment Center</t>
  </si>
  <si>
    <t>CLUSTER 36-2020</t>
  </si>
  <si>
    <t>INSTALLATION OF SOLAR STREET LIGHTS</t>
  </si>
  <si>
    <t>CLUSTER 38-2020</t>
  </si>
  <si>
    <t>REHABILITATION OF MUNICIPAL BUILDING (PHASE 1)</t>
  </si>
  <si>
    <t>PROVISION OF MATERIALS FOR THE CONSTRUCTION OF DRAINAGE CANAL – SEWER SYSTEM 690 Lm PHASE I</t>
  </si>
  <si>
    <t>CONSTRUCTION/REHABILITATION OF HEALTH CENTER</t>
  </si>
  <si>
    <t>Printing of Modules (San Vicente ES) - Apalit District</t>
  </si>
  <si>
    <t>PROCUREMENT OF VARIOUS MATERIALS AND SUPPLIES FOR COVID19</t>
  </si>
  <si>
    <t>20M0054 - Purchase of Office Supplies for use in the Planning &amp; Design Section, this district</t>
  </si>
  <si>
    <t>For 2,500 pcs. Busines Sticker Plate for Business Permit and Licensing Office use</t>
  </si>
  <si>
    <t>GF-20-03-00452 PROCUREMENT OF PAPER COPIER</t>
  </si>
  <si>
    <t>Purchase of Electric Typewriter</t>
  </si>
  <si>
    <t>Request for Price Quotation of materials for repair of motor vehicle of the college</t>
  </si>
  <si>
    <t>VARIOUS CONSTRUCTION MATERIALS</t>
  </si>
  <si>
    <t>Purchase of 176pairs Rubber Boots</t>
  </si>
  <si>
    <t>SUPPLIES FOR REPRODUCTION OF LEARNING MATERIALS FOR THE 26 PUBLIC SCHOOLS OF CATIGBIAN DISTRICT</t>
  </si>
  <si>
    <t>Purchase of Information &amp; Communication Technology Equipment of Municipal Engineering Office</t>
  </si>
  <si>
    <t>Procurement of Live Pig</t>
  </si>
  <si>
    <t>LOT Procurement of MEDICINES for the Use of DOPH LUPON</t>
  </si>
  <si>
    <t>Completion of Evacuation Center @ Pob. Sur, Santiago, Ilocos Sur</t>
  </si>
  <si>
    <t>Office Vehicle Repair and Maintenance.</t>
  </si>
  <si>
    <t>Rental of Motor Vehicle</t>
  </si>
  <si>
    <t>CONSTRUCTION OF WAREHOUSE, FERMENTATION AND PROCESSING BUILDING</t>
  </si>
  <si>
    <t>Supply &amp; Delivery of Motorcycle 125cc for SP Office use,  Sipalay City, Neg. Occ.</t>
  </si>
  <si>
    <t>PROCUREMENT OF FOODSTUFF  FOR COVID 19   OPERATIONS</t>
  </si>
  <si>
    <t>EBMS -BATTERY &amp; 15 OTHERS (1ST POSTING)</t>
  </si>
  <si>
    <t>Repair and Maintenance of Manlift Vehicle Truck</t>
  </si>
  <si>
    <t>MANUEL YULO ELEMENTARY SCHOOL DELIVERY OF OFFICE SUPPLIES</t>
  </si>
  <si>
    <t>Procurement of Printing Services-06-095(Q)ZNMC</t>
  </si>
  <si>
    <t>Provision of Food, Venue &amp; Accommodation for the conduct of Various Activities under Regulatory Division REGDIV-72600</t>
  </si>
  <si>
    <t>IMPROVEMENT OF SAMOKI RIVERSIDE ROAD, BONTOC</t>
  </si>
  <si>
    <t>Supply and Delivery of Office Equipment for Office of the Mayor</t>
  </si>
  <si>
    <t>AVRC : LABOR AND MATERIALS FOR IMPROVEMENT OF SKILLS TRAINING BUILDING PHASE II OF AVRC III</t>
  </si>
  <si>
    <t>Procurement of 1 set Sumbersible Pump with Motor (5HP)</t>
  </si>
  <si>
    <t>RFQ for Catering Services during the IATF Meeting</t>
  </si>
  <si>
    <t>Procurement of Native and Domesticated Swine Production Supplies</t>
  </si>
  <si>
    <t>S/D OF TWENTY (20) EA PREPAID CELL CARD (500) AND TWO (2) OTHER LI OF 703BDE, 7ID, PA (PHP 63,600.00)</t>
  </si>
  <si>
    <t>Procurement of Medical Oxygen (Contents only)</t>
  </si>
  <si>
    <t>Construction Projects - Improvement of Multi-Purpose Buildings - Duero, Bohol</t>
  </si>
  <si>
    <t>Medical Supplies - (4th) SUTURE SILK BLACK BRAIDED SIZE2, 3 &amp; 4 W/O NEEDLE</t>
  </si>
  <si>
    <t>Supply, delivery, and installation of New Panel Board of Water System for JICA Machine Room</t>
  </si>
  <si>
    <t>ROAD OPENING AT BASUH RESIDENCE TO SS - FILLING MATERIALS</t>
  </si>
  <si>
    <t>Delivery of Garbage Sticker (SVP 20-0797).</t>
  </si>
  <si>
    <t>Construction of Water System - Brgy. Bagongon</t>
  </si>
  <si>
    <t>Motorcycle Unit with Accessories</t>
  </si>
  <si>
    <t>ROAD OPENING AT BASUH RESIDENCE TO SS - 10MM DIA. DEF.BARS</t>
  </si>
  <si>
    <t>REHABILITATION OF MUNICIPAL BUILDING (PHASE V)</t>
  </si>
  <si>
    <t>REHABILITATION OF MUNICIPAL BUILDING (PHASE 1V)</t>
  </si>
  <si>
    <t>Procurement of Glass Door</t>
  </si>
  <si>
    <t>Photo Copier</t>
  </si>
  <si>
    <t>Purchase of Janitorial Supplies for use at the Laoag City General Hospital</t>
  </si>
  <si>
    <t>BIG - CONCRETING OF LOCAL ROAD FROM OLD ICEPLANT BARAH RES. -FINE AGGREGATES</t>
  </si>
  <si>
    <t>Long Sleeved Shirt with Print</t>
  </si>
  <si>
    <t>Spare parts for the SHY 401</t>
  </si>
  <si>
    <t>Installation of Solar Street Light - Purok Aguinaldo, Brgy. Batiti</t>
  </si>
  <si>
    <t>DataFolder7</t>
  </si>
  <si>
    <t>Laboratory Supplies</t>
  </si>
  <si>
    <t>Construction of Community Center Concrete Perimeter Fence</t>
  </si>
  <si>
    <t>CONCRETING OF LOCAL ROAD FROM OLD ICEPLANT BARAH RES.- FILLING MATERIALS</t>
  </si>
  <si>
    <t>Grocery Items</t>
  </si>
  <si>
    <t>PROCUREMENT OF SUPPLY AND DELIVERY OF DRUGS AND MEDICINES</t>
  </si>
  <si>
    <t>Construction Materials for the Fabrication and Installation of divider/Cabinet of the City AGR</t>
  </si>
  <si>
    <t>Procurement of Office Supplies for NHA Region III Office</t>
  </si>
  <si>
    <t>RFQ-Vehicle Rent-WWRDEC</t>
  </si>
  <si>
    <t>Electrical Supplies</t>
  </si>
  <si>
    <t>CONCRETING OF LOCAL ROAD (JUNCTION PROVINCIAL ROAD TO OSORIO ROAD)</t>
  </si>
  <si>
    <t>Construction of School Fence with Gate at Arinda Elem. School, Brgy. San Juan, Cainta, Rizal</t>
  </si>
  <si>
    <t>Procurement of Printing Supplies to be used for the reproduction of Lerner's module</t>
  </si>
  <si>
    <t>Improvement / Construction of Double Box Culvert along Oja Road and Construction of Stone Masonry for Slope Protection (portion) of creek, Brgy. Mahabang Parang, Binangonan, Rizal</t>
  </si>
  <si>
    <t>Installation of Solar Street Lights - Sitio Kasoy, Brgy. Agnaga</t>
  </si>
  <si>
    <t>Construction/Provision of Wash Facilities (Water, Sanitation &amp; Hygiene) for Evacuation Center at Meralco 4th Home Village, Binangonan, Rizal</t>
  </si>
  <si>
    <t>cleaning &amp; siphoning of portalet</t>
  </si>
  <si>
    <t>Procurement of Janitorial Supplies for NHA Region III Office</t>
  </si>
  <si>
    <t>Construction of 2-storey Multi-Purpose Bldg. at Vermont Royale Executive Village, Brgy. Mayamot, Antipolo City</t>
  </si>
  <si>
    <t>Procurement of Computer Supplies and Consumables for NHA Region III Office</t>
  </si>
  <si>
    <t>Construction/Provision of Wash Facilities (Water, Sanitation &amp; Hygiene) for Evacuation Center at Victoriaville Homes Sitio Upper Lucban, Antipolo, City</t>
  </si>
  <si>
    <t>Supply and Delivery of Office Supplies and Consumables</t>
  </si>
  <si>
    <t>ROAD OPENING AT BASUH RESIDENCE TO SS - FUEL</t>
  </si>
  <si>
    <t>PROCUREMENT OF OFFICE AIRCON UNIT</t>
  </si>
  <si>
    <t>Construction/Provision of Wash Facilities (Water, Sanitation &amp; Hygiene) for Evacuation Center at Looc Elem. School, Cardona, Rizal</t>
  </si>
  <si>
    <t>Supply and Delivery of 3TR Floor Mounted Aircon for MPDO and Printer for ICT Section</t>
  </si>
  <si>
    <t>Office supplies - MTO</t>
  </si>
  <si>
    <t>furniture and fixtures</t>
  </si>
  <si>
    <t>Construction of Daycare Center &amp; Health Center at Brgy. Macamot, Binangonan, Rizal</t>
  </si>
  <si>
    <t>Improvement of Ynares Multi-Purpose Covered Court at Manggahan Elem. School, Brgy. Manggahan, Rodriguez, Rizal</t>
  </si>
  <si>
    <t>Construction/Provision of Wash Facilities (Water, Sanitation &amp; Hygiene) for Evacuation Center at Eastwood Greenview Phase 3B, Rodriguez, Rizal</t>
  </si>
  <si>
    <t>Construction/Provision of Wash Facilities (Water, Sanitation &amp; Hygiene) for Evacuation Center at Southville 8B  National  High  School,  Rodriguez,  Rizal</t>
  </si>
  <si>
    <t>Installation of Additional CCTV Cameras with Complete Accessories</t>
  </si>
  <si>
    <t>Repair/Repainting/Improvement of Ynares Multi-Purpose Building &amp; School Mini Playground at Brgy. Niogan &amp; Brgy. Quisao, Pililla, Rizal; a.  Repair/Repainting of Ynares Multi-Purpose Building at Brgy.</t>
  </si>
  <si>
    <t>Construction of Ynares Stage at Congressville Subd., Brgy. Manggahan, Rodriguez, Rizal</t>
  </si>
  <si>
    <t>Construction/Provision of Wash Facilities (Water, Sanitation &amp; Hygiene) for Evacuation Center at Bugarin Elem. School, Pililla, Rizal</t>
  </si>
  <si>
    <t>Construction of 15x30m Ynares Multi-Purpose Covered Court (Rafter Type) at Villa Ana Maria Subd., Brgy. San Jose, Rodriguez, Rizal</t>
  </si>
  <si>
    <t>Construction/Provision of Wash Facilities (Water, Sanitation &amp; Hygiene) for Evacuation Center at Geronimo Elem. School, Rodriguez, Rizal</t>
  </si>
  <si>
    <t>Construction of Perimeter Fence of Barangay Hall Compound a Sitio Tabing Ilog, Brgy. San Guillermo, Morong, Rizal</t>
  </si>
  <si>
    <t>TV Plugging IB NO.2020-047</t>
  </si>
  <si>
    <t>Radio Plugging IB NO.2020-058</t>
  </si>
  <si>
    <t>Construction of 2-storey Ynares Multi-Purpose Bldg. at Kasiglahan Village (Phase 1A), Brgy. San Jose, Rodriguez, Rizal</t>
  </si>
  <si>
    <t>Repair/Repainting of 1-storey, 5-rooms Ynares School Bldg. , Construction of Riprap &amp; Canal of Ynares Multi-Purpose Covered Court at Tuna Balibago National High School (Lambac Annex), Brgy. Lambac, Ca</t>
  </si>
  <si>
    <t>Construction of Multi-Purpose Provincial DRRM Center at Brgy. San Pedro, Morong, Rizal</t>
  </si>
  <si>
    <t>Rebidding for Procurement of Emergency Newborn Kits IB No. 2020-054</t>
  </si>
  <si>
    <t>Procurement of Family Packs and Jerry Cans IB No. 2020-056</t>
  </si>
  <si>
    <t>Rebidding for Purchase of IT Software IB NO.2020-046</t>
  </si>
  <si>
    <t>Procurement of Dental Kits IB No. 2020-057</t>
  </si>
  <si>
    <t>Vehicle Rental in Western Visayas IB No. 2020-043</t>
  </si>
  <si>
    <t>Procurement of Toner for Photocopier Machine for NHA Region III Office</t>
  </si>
  <si>
    <t>Purchase Request for Rice</t>
  </si>
  <si>
    <t>PROCUREMENT OF 3 UNITS MOTORCYCLE  FOR THE SK-3</t>
  </si>
  <si>
    <t>Rebidding for Procurement of Hygiene Kit and Collapsible Water Drinking Container IB No. 2020-045</t>
  </si>
  <si>
    <t>TRANSPARENT ENVELOP</t>
  </si>
  <si>
    <t>SUPPLY OF LIVELIHOOD MATERIALS</t>
  </si>
  <si>
    <t>Backfilling and Concreting including Repair of Drainage System of Area Between Bakery and FPC</t>
  </si>
  <si>
    <t>REQUEST FOR RFQ</t>
  </si>
  <si>
    <t>Construction of Covered Court Phase 4</t>
  </si>
  <si>
    <t>PURCHASE OF MEDICAL SUPPLIES</t>
  </si>
  <si>
    <t>Concreting of Pathway (0.10m x 1.50m x 60.0m)</t>
  </si>
  <si>
    <t>Purchase of IT Consumable IB No. 2020-055</t>
  </si>
  <si>
    <t>PR#20-08-0090 - Office Supplies and Consumables</t>
  </si>
  <si>
    <t>Delivery of  Construction Supplies for School Repair and Maintenance MOOE subsidy of Tumaras Integrated School</t>
  </si>
  <si>
    <t>PURCHASE AND INSTALLATION OF CLEAR ACRYLIC SIGNAGES FOR VARIOUS OFFICES IN THE NEW SCHOOLS DIVISION OFFICE OF SORSOGON BUILDING</t>
  </si>
  <si>
    <t>Traffic gears for Laguna Traffic Management Office</t>
  </si>
  <si>
    <t>Construction of Concrete Fence- DF 20% '20</t>
  </si>
  <si>
    <t>Radio Plugging IB NO.2020-061</t>
  </si>
  <si>
    <t>Delivery of School and Office Supplies MOOE subsidy of Tumaras Integrated School</t>
  </si>
  <si>
    <t>Provision of Snellen Chart IB No. 2020-060</t>
  </si>
  <si>
    <t>Improvement/ Rehabilitation of Electrical Lighting System of Ynares Multi-Purpose Covered Court at Brgy. Macabud &amp; Brgy. Mascap, Rodriguez, Rizal; a. Improvement of Ynares Multi-Purpose Covered Court,</t>
  </si>
  <si>
    <t>Purchase of Power Generating Set IB NO.2020-059</t>
  </si>
  <si>
    <t>PURCHASE AND DELIVERY OF MEDICAL SUPPLIES FOR DEP-ED CABARROGUIS DISTRICT, CABARROGUIS</t>
  </si>
  <si>
    <t>Production/Reproduction of Travelling Bag, Shirts, &amp; Travel Vest IB No. 2020-062</t>
  </si>
  <si>
    <t>IImprovement of Ynares Multi-Purpose Covered Court &amp; Construction of  Welcome Arc at Brgy. San Jose &amp; Brgy. San Isidro, Rodriguez, Rizal; a. Improvement of Ynares Multi-Purpose Covered Court at Kasigl</t>
  </si>
  <si>
    <t>RENOVATION OF THE 1ST FLOOR OF THE BARANGAY MULTI-PURPOSE HALL</t>
  </si>
  <si>
    <t>Improvement of Ynares Multi-Purpose Covered Court &amp; Construction of Fence at Eastwood Residences, Phase 8/8A, Brgy. San Isidro, Rodriguez, Rizal</t>
  </si>
  <si>
    <t>Construction of Communal Toilet, Barangay Madayegdeg</t>
  </si>
  <si>
    <t>PURCHASE AND DELIVERY OF ICT EQUIPMENT FOR DEP-ED CABARROGUIS DISTRICT, CABARROGUIS, QUIRINO</t>
  </si>
  <si>
    <t>Construction of Stone Masonry for Slope Protection (portion) of Creek at Purok 5 (Ilog Mingming), Brgy. Bayugo, Jalajala, Rizal</t>
  </si>
  <si>
    <t>Repair of Ynares Multi-Purpose Covered Court, Brgy.  Pagkalinawan, Jalajala, Rizal</t>
  </si>
  <si>
    <t>Improvement of Ynares Multi-Purpose Covered Court &amp; Construction of Comfort Room at Brgy. Sto. Niňo &amp; Brgy. Malanday, San Mateo, Rizal; a. 	Improvement of Ynares Multi-Purpose Covered Court (Tennis Co</t>
  </si>
  <si>
    <t>PROCUREMENT OF MEDICAL/ SURGICAL/ LABORATORY/ DENTAL/ X-RAY/ ULTRASOUND SUPPLIES FOR USE AT KALINGA PROVINCIAL HOSPITAL, 20-08-1459</t>
  </si>
  <si>
    <t>Rebidding for Purchase of IT Supplies, Peripherals and Equipment IB NO.2020-042</t>
  </si>
  <si>
    <t>Supply &amp; Delivery of One (1) Unit Pick-Up Type Vehicle for official use of the Office of the Vice Mayor</t>
  </si>
  <si>
    <t>Supply and Delivery of Painting Materials for Main Building Bleachers and Pool Bleachers of Cauayan City Sports Complex</t>
  </si>
  <si>
    <t>PROCUREMENT OF VARIOUS ITEMS FOR STACK EMISSION OF EMB MIMAROPA (2ND POSTING)</t>
  </si>
  <si>
    <t>Supply and Delivery of Painting Materials for Main Bleachers Terrace and Pool Bleachers Terrace of Cauayan City Sports Complex</t>
  </si>
  <si>
    <t>SVP 20-0396 - Purchase of 30 pcks FABRIC CONDITIONER , 500ml &amp; etc.</t>
  </si>
  <si>
    <t>Purchase of materials for the rehabilitation of barangay streetlights</t>
  </si>
  <si>
    <t>PROCUREMENT OF 2 UNITS MANUAL WINDOW TYPE 2HP AIRCON FOR THE SP SEC. OFFICE</t>
  </si>
  <si>
    <t>SVP 20-0386 - 1 lot Printing &amp; Binding of Ecological Profile 2018.</t>
  </si>
  <si>
    <t>Supply, Delivery &amp; Installation of Solar Powered Repeater System</t>
  </si>
  <si>
    <t>Construction of Stone Masonry for Slope Protection (portion) of Creek at Purok 6, Brgy. Bayugo, Jalajala, Rizal</t>
  </si>
  <si>
    <t>Construction of 10x18m Ynares Multi-Purpose Covered Court (Badminton Court) at La Mar Village, Brgy. Guitnang Bayan II, San Mateo, Rizal</t>
  </si>
  <si>
    <t>Repost: Magnetic Glass Board</t>
  </si>
  <si>
    <t>SVP 20-0382 - Purchase of 5 units WOODEN DOUBLE DECK BED &amp; etc.</t>
  </si>
  <si>
    <t>SVP 20-0388 - Purchase of 1 lot MEALS AND SNACKS WITH VENUE.</t>
  </si>
  <si>
    <t>Electrical Supplies,Water Facility,Installation of Water Pipe System and Handwashing</t>
  </si>
  <si>
    <t>Water Dispenser (Hot and Cold)</t>
  </si>
  <si>
    <t>SVP 20-0384 - Purchase of 90 pax MEALS AND SNACKS &amp; etc.</t>
  </si>
  <si>
    <t>Supply and Delivery of Desktop Computer for PDAO</t>
  </si>
  <si>
    <t>Construction of Multi-Purpose Provincial DRRM Center at Brgy. San Roque, Cardona, Rizal</t>
  </si>
  <si>
    <t>SVP 20-0383 - Purchase of 3 units MOTORCYCLE , 150cc.</t>
  </si>
  <si>
    <t>Improvement of Child Dev't. Center at Sitio Danao and Sitio Tabay</t>
  </si>
  <si>
    <t>PURCHASE OF FOOD STUFF FOR ASSISTANCE TO 450 HH</t>
  </si>
  <si>
    <t>Supply and Delivery of IT Equipments for the use of Various Schools of the Municipality of Tanay,Rizal</t>
  </si>
  <si>
    <t>Supply and Delivery of Tables, Tents and Other Materials for the Temporary Shelter of Locally Stranded Individuals (LSIs) in Pleasant View Residences, City of San Jose Del Monte, Bulacan</t>
  </si>
  <si>
    <t>Improvement &amp; Repainting of Ynares Multi-Purpose Covered Court at Brgy. Lambac, Cardona, Rizal; a. Improvement of Ynares Multi-Purpose Covered Court at Brgy. Lambac, b. Repainting   of Ynares Multi-Pu</t>
  </si>
  <si>
    <t>INSTALLATION OF STREET LIGHT</t>
  </si>
  <si>
    <t>Construction of Multi-Purpose Building, Purok Masagana, Barangay Ibabang Iyam, Lucena City</t>
  </si>
  <si>
    <t>Supply and delivery of Office Supplies and Consumable</t>
  </si>
  <si>
    <t>INSTALLATION OF CCTV</t>
  </si>
  <si>
    <t>Supply &amp; Delivery of Various Equipment for Budget Office, Assessor's Office &amp; MPDO</t>
  </si>
  <si>
    <t>NEGOTIATED PROCUREMENT FOR THE PROCUREMENT OF FLU VACCINE QUADRIVALENT &amp; PREFILLED SYRINGE</t>
  </si>
  <si>
    <t>Purchase of Decorative Streetlights with Installation</t>
  </si>
  <si>
    <t>SUPPLY INSTALLATION AND SET UP OF 6 SET 4K UHD TV MONITOR FOR CDRRMO</t>
  </si>
  <si>
    <t>REPAIT OF MULTICAB SERVICE PATROL</t>
  </si>
  <si>
    <t>SUPPLY, INSTALLATION AND ACTIVATION OF  CITY WIDE PUBLIC ADDRESS SYSTEM</t>
  </si>
  <si>
    <t>SUPPLY DELIVERY AND INSTALLATION OF 2 UNITS 2HP WINDOW TYPE AIRCON</t>
  </si>
  <si>
    <t>Procurement of Catering Service Provider for the Region III Bulacan District Personnel-in-Charge in the Temporary Shelter of Locally Stranded Individuals (LSIs) in Pleasant View Residences, City of Sa</t>
  </si>
  <si>
    <t>SUPPLY,  DELIVERY, INSTALLATION, AND COMMISSIONING OF CCTV CAMERAS</t>
  </si>
  <si>
    <t>Supply, Delivery and Installation of Satellite Based Internet for Various Upland Schools of Dep Ed Tanay,Rizal</t>
  </si>
  <si>
    <t>SUPPLY AND DELIVERY OF CONSTRUCTION MATERIALS FOR THE INSTALLATION OF WOODEN MARKET STALL AT ROMPEOLAS, BAYWALK</t>
  </si>
  <si>
    <t>Procurement of construction materials for Construction of Drainage at Purok 4, Potia</t>
  </si>
  <si>
    <t>Procurement of materials for the modules</t>
  </si>
  <si>
    <t>Road Concreting and Open Canal</t>
  </si>
  <si>
    <t>Proposed Installation of Metered Street Lights Located at Extension J.M. Catolos St. Brgy Kay-Buto, Tanay, Rizal</t>
  </si>
  <si>
    <t>Proposed Installation of Metered Street Lights Located at Sitio Hinadyungan, Brgy. Sampaloc, Tanay,Rizal</t>
  </si>
  <si>
    <t>NP2020-08-487 Procurement of Vehicle Spare Parts PDO</t>
  </si>
  <si>
    <t>Proposed Construction of Drainage Canal at Lakeshore Drive Located at Lakeshore Dr. Brgy. San Isidro, Tanay,Rizal</t>
  </si>
  <si>
    <t>Proposed Improvement of Water System Facility Located at Manhain Elementary School, Tanay,Rizal</t>
  </si>
  <si>
    <t>Proposed Upgrading of Electrical Facilities of PJMES Located at D. Tanjuatco St. Brgy. San- Isidro Tanay,Rizal</t>
  </si>
  <si>
    <t>Proposed Rehabilitation and Improvement of Irrigation Canal Located at Sitio Nayon, Brgy.Sta.Ines, Tanay, Rizal</t>
  </si>
  <si>
    <t>Construction of 3 units Hand Washing Facility</t>
  </si>
  <si>
    <t>NP2020-05-257 Procurement of IT Equipment OCS</t>
  </si>
  <si>
    <t>Proposed Repair Maintenance and Additional Improvement of Comfort Rooms, &amp; Shower Area Located at Daranak Falls, Brgy. Tandang Kutyo. Tanay,Rizal</t>
  </si>
  <si>
    <t>Proposed Repair and Maintenance of Tinukan Hanging Bridge I Located at Brgy. Tinukan, Tanay, Rizal</t>
  </si>
  <si>
    <t>Proposed Repair and Maintenance of Ibucao Hanging Bridge Located at Brgy. Laiban, Tanay, Rizal.</t>
  </si>
  <si>
    <t>Procurement of Hardware Materials</t>
  </si>
  <si>
    <t>NP2020-08-496 Procurement of Various Construction Supplies GABMMC</t>
  </si>
  <si>
    <t>Proposed Rehabilitation and Improvements of Irrigation Canal Located at Brgy. Wawa Tanay, Rizal.</t>
  </si>
  <si>
    <t>Proposed Improvement of Road with Drainage Canal Located at R.D Custodio,Brgy.Kat-Bayani,Tanay,Rizal</t>
  </si>
  <si>
    <t>Preventive Maintenance and Operational qualification of one (1) unit Shimadzu LCMSMS 8040</t>
  </si>
  <si>
    <t xml:space="preserve">REQUEST FOR QUOTATION  The National Meat Inspection Service (NMIS) through the Bids and Awards Committee (BAC) is inviting interested parties to submit proposal/quotation for the here under project:  </t>
  </si>
  <si>
    <t>Supply, Printing, Lay - Outing and Delivery of 2019 Annual Report</t>
  </si>
  <si>
    <t>Procurementof Office supplies and Materials for Maint. of GAD Office</t>
  </si>
  <si>
    <t>Procurement of Drug Test Kit</t>
  </si>
  <si>
    <t>NP2020-08-491 Procurement of Various Printed Forms GABMMC</t>
  </si>
  <si>
    <t>Proposed Rehabilitation and Improvement of Irrigation Canal Located at Brgy. San Andres, Tanay,Rizal</t>
  </si>
  <si>
    <t>Procurement of Supplies &amp; Equipment for  Inst. of Traffic System Program</t>
  </si>
  <si>
    <t>Package 02: Guinao Foot Bridge Construction, B. Tanod Outpost</t>
  </si>
  <si>
    <t>Supply and Delivery of Laboratory Supplies for Veterinary Drug Residue Monitoring</t>
  </si>
  <si>
    <t>NP2020-08-493 Procurment of Various Linen and Laundry Supplies GABMMC</t>
  </si>
  <si>
    <t>Procurement of Supply &amp; Equipment for Inst of Attendance  Notification System</t>
  </si>
  <si>
    <t>UPLB-I-026-09-20 SUPPLY, DELIVERY, AND INSTALLATION OF AIRCONDITIONING UNITS FOR CVM</t>
  </si>
  <si>
    <t>Bagaen Bridge Construction</t>
  </si>
  <si>
    <t>Supply &amp; Delivery of Copier, Printer and Colour Scanner Machine</t>
  </si>
  <si>
    <t>Package 01: Buning Foot Bridge Rehab., B. Spring Box Rehab. Hadungol</t>
  </si>
  <si>
    <t>Construction of Materials and Supplies</t>
  </si>
  <si>
    <t>Supply &amp; Delivery of Appliances</t>
  </si>
  <si>
    <t>HARDWARE MATERIALS FOR THE CONSTRUCTION OF RURAL HEALTH CENTER (2ND BIDDING)</t>
  </si>
  <si>
    <t>Concreting of  Barangay Balugo Road at Purok 6</t>
  </si>
  <si>
    <t>Proposed Rehabilitation and Improvement of Irrigation Canal Located at Sitio Pasipit, Brgy. Plaza Aldea, Tanay, Rizal</t>
  </si>
  <si>
    <t>SUPPLY AND DELIVERY OF SIX (6) – UNIT MOTORCYCLES</t>
  </si>
  <si>
    <t>SUPPLY AND DELIVERY AND PRODUCT ORIENTATION OF INKJET CAD/TECHNICAL PLOTTER (2020-08-0062)</t>
  </si>
  <si>
    <t>C20204504 IT Supplies for Office use</t>
  </si>
  <si>
    <t>Procurement and delivery of suplemental office supplies and consumables</t>
  </si>
  <si>
    <t>SUPPLY AND DELIVERY OF DRONE AND MOBILE STATION (2020-08-0063)</t>
  </si>
  <si>
    <t>Catering Services for MEALS DURING THE BLESSING OF MASCA'S NEW BUILDING</t>
  </si>
  <si>
    <t>C20204500 TARPAULIN FOR VARIOUS INFORMATION DISSEMINATION PURPOSES IN DIFF. BARANGAYS OF THIS PROVINCE</t>
  </si>
  <si>
    <t>Package 01: Bangtinon-Ahbunan FMR Construction and Gugulo-Tubeng FMR Construction</t>
  </si>
  <si>
    <t>Dengao Road Improvement</t>
  </si>
  <si>
    <t>Package 01: Bawi-Linheban Road Construction/ Lumay – Bawi Road Construction</t>
  </si>
  <si>
    <t>Keb-keb Proper Road Improvement</t>
  </si>
  <si>
    <t>SUPPLY AND DELIVERY OF ONE (1) - UNIT MOBILE CLINIC BUS</t>
  </si>
  <si>
    <t>PBS 20-099 COMPUTING AND NETWORK EQUIPMENT FOR UP SYSTEM</t>
  </si>
  <si>
    <t>Application Developer para sa Online na Diksyunaryo ng Wikang FIlipino</t>
  </si>
  <si>
    <t>PROCUREMENT OF OFFICE SUPPLIES FOR THE OFFICE OF THE SP SECRETARY</t>
  </si>
  <si>
    <t>AB BDF AND RRMF 2020 PROJECT=-CCTV CAMERA, SUPPLIES, DEVICES AND GENERAL MERCHANDISE</t>
  </si>
  <si>
    <t>PROCUREMENT OF OFFICE SUPPLIES FOR THE FRANCHISING OFFICE</t>
  </si>
  <si>
    <t>August 2020 Multi Copy Paper 350</t>
  </si>
  <si>
    <t>RFQ 2020-02-0158-LIBRARY USE EQUIPMENT</t>
  </si>
  <si>
    <t>August 2020 Multi Copy Paper 250</t>
  </si>
  <si>
    <t>Construction of Drainage Canal with Cover</t>
  </si>
  <si>
    <t>RFQ 2020-02-0161 -JUNIOR SWIVEL CHAIR WITH ARM REST</t>
  </si>
  <si>
    <t>CONSTRUCTION OF RETAINING WALL AT BARANGAY TALISAY</t>
  </si>
  <si>
    <t>CONSTRUCTION OF RETAINING WALL AT BARANGAY BIGA</t>
  </si>
  <si>
    <t>SUPPLY   AND DELIVERY OF VARIOUS SUPPLIES FOR THE ARTIFICIAL INSIMINATION CENTER</t>
  </si>
  <si>
    <t>RFQ 2020-02-0156-Scanner and Photocopier</t>
  </si>
  <si>
    <t>Supply and Delivery of Office Supplies and Equipment</t>
  </si>
  <si>
    <t>Supply &amp; Delivery of Feeds</t>
  </si>
  <si>
    <t>RFQ 2020-02-0153-DSLR Accessories</t>
  </si>
  <si>
    <t>Package 01: Taaw-Loloy FMR Opening &amp; Awa-Lamtang – Bayoyo FMR Opening</t>
  </si>
  <si>
    <t>CONSTRUCTION OF BARANGAY STREETLIGHTS, Brgy. Ocoy, Santa Fe, Cebu - Barangay</t>
  </si>
  <si>
    <t>Supply &amp; Delivery of Construction Materials for Establishment of New Municipal Breeding Center on Swine</t>
  </si>
  <si>
    <t>Supply and Delivery of ICT Supplies</t>
  </si>
  <si>
    <t>PURCHASE OF BT HYBRID YELLOW CORN SEEDS</t>
  </si>
  <si>
    <t>MILK FEEDING</t>
  </si>
  <si>
    <t>ROAD WIDENING, Sitio Tunga, Brgy. Hilantagaan, Santa Fe, Cebu - Municipal</t>
  </si>
  <si>
    <t>PURCHASE OF OFFICE EQUIPMENT &amp; SUPPLIES</t>
  </si>
  <si>
    <t>PURCHASE OF EQUIPMENT</t>
  </si>
  <si>
    <t>PROCUREMENT OF SUPPLY AND DELIVERY OF BAKING EQUIPMENT AND SUPPLIES</t>
  </si>
  <si>
    <t>Repair of Classrooms at Bagongpook Elementary School</t>
  </si>
  <si>
    <t>Delivery of Office Equipment Supplies and Consumables</t>
  </si>
  <si>
    <t>ITDI-200500_REBID - SUPPLY AND DELIVERY OF GOLD NANOPARTICLES CRM</t>
  </si>
  <si>
    <t>Supply &amp; Delivery of Construction Materials for Perimeter Fence at BAC Office</t>
  </si>
  <si>
    <t>Supply &amp; Delivery of Chicken Dung</t>
  </si>
  <si>
    <t>Concreting of Farm to Market Road (Barangay Camudlas)</t>
  </si>
  <si>
    <t>ITDI-200509_REBID - SUPPLY AND DELIVERY OF POLYLACTIC ACID/PLA PELLETS</t>
  </si>
  <si>
    <t>Repair of Classrooms at San Sebastian Elementary School</t>
  </si>
  <si>
    <t>REHABILITATION OF MUNICIPAL BUILDING (PHASE III)</t>
  </si>
  <si>
    <t>Purchase of IT Equipment for Accounting Office</t>
  </si>
  <si>
    <t>Proposed Rehabilitation of Comfort Rooms Located at Glorietta,Plaza,Tanay,Rizal</t>
  </si>
  <si>
    <t>Repair of Classrooms at Abundio Torre Memorial Elementary School</t>
  </si>
  <si>
    <t>Repair of Classrooms at Lodlod Elementary School</t>
  </si>
  <si>
    <t>ITB FOR PROCUREMENT OF PORTABLE PRESSURE WASHER</t>
  </si>
  <si>
    <t>Procurement of Surveillance Security System</t>
  </si>
  <si>
    <t>Repair of Classrooms at Bulacnin Elementary School</t>
  </si>
  <si>
    <t>RFQ - GENERAL MERCHANDISE</t>
  </si>
  <si>
    <t>SUPPLY AND DELIVERY OF FUEL PRODUCTS</t>
  </si>
  <si>
    <t>Oral Health Care Materials and Medical supplies for the 22 Central School Clinic</t>
  </si>
  <si>
    <t>Installation of Roadway Lights</t>
  </si>
  <si>
    <t>ITDI-200305_REBID - PREVENTIVE MAINTENANCE FOR BINDER CONVECTION OVEN AND VACUUM OVEN</t>
  </si>
  <si>
    <t>Repair of Classrooms at Bulacnin Integrated National High School</t>
  </si>
  <si>
    <t>ITDI-200507_REBID - SUPPLY AND DELIVERY OF VARIOUS OFFICE SUPPLIES</t>
  </si>
  <si>
    <t>Construction of Drainage canal</t>
  </si>
  <si>
    <t>Repair of Classrooms at Tangway Loob Elementary School</t>
  </si>
  <si>
    <t>Improvement of Eva-Tanglagan-Bucarot Provincial Road (Ayayao-Salongsong Section)Limits : 04+664 to 06+564, Calanasan, Apayao</t>
  </si>
  <si>
    <t>ITDI-200219_REBID - SUPPLY AND DELIVERY OF EPSON YELLOW 664</t>
  </si>
  <si>
    <t>Improvement of Malekkeg-Panay-Consuelo-Balluyan Provincial Road (San Juan-Consuelo Section) Limits : 16+800 to 19+000, Sta. Marcela, Apayao</t>
  </si>
  <si>
    <t>ITDI-200510_REBID - PRESERVATIVE CHALLENGE TEST FOR DEVELOPED HALAL COSMETICS</t>
  </si>
  <si>
    <t>Repair of Classrooms at Paninsingin Elementary School</t>
  </si>
  <si>
    <t>Concreting of Farm to Market Road (Barangay Salong)</t>
  </si>
  <si>
    <t>ITDI-200486_REBID - SUPPLY AND DELIVERY OF BALANCE SOFTWARE</t>
  </si>
  <si>
    <t>Full reconditioning of 1-unit bulldozer(shantoi)</t>
  </si>
  <si>
    <t>REHABILITATION OF HEALTH CENTER</t>
  </si>
  <si>
    <t>INSTALLATION OF STREET LIGHTING SYSTEM</t>
  </si>
  <si>
    <t>ITDI-200499_REBID - SUPPLY AND DELIVERY OF A4 BOND PAPER</t>
  </si>
  <si>
    <t>MA-A2T20-007 Tarpauline</t>
  </si>
  <si>
    <t>Procurement of Folding Bed Single &amp; Blanket Double Size</t>
  </si>
  <si>
    <t>MA-A2M20-056 Gasket Neoprene, Heat and Oil Resistant for Transformer</t>
  </si>
  <si>
    <t>MA-A2O20-011 Disposal of Waterlilies, AG1</t>
  </si>
  <si>
    <t>Full reconditioning of 1 unit-ambulance(Foton)</t>
  </si>
  <si>
    <t>REQUEST FOR QUOTATION FOR THE PROCUREMENT OF OFFICE SUPPLIES FOR THE THIRD QUARTER CY 2020</t>
  </si>
  <si>
    <t>106CO-6MIB-2020-663</t>
  </si>
  <si>
    <t>Procurement of 1 Unit Heavy Duty Photocopier Machine and Toners for San Pablo District</t>
  </si>
  <si>
    <t>MA-A2M20-068 Cleaner, Generator Spray and 1 Other</t>
  </si>
  <si>
    <t>MA-A2M20-028 Flashlight and 8 Others</t>
  </si>
  <si>
    <t>Repair of Classrooms at Pangao Integrated School</t>
  </si>
  <si>
    <t>MA-A2O20-010 Disposal of Waterlilies, AG2</t>
  </si>
  <si>
    <t>Procurement of Modular Tents</t>
  </si>
  <si>
    <t>RISOGRAPH MACHINE</t>
  </si>
  <si>
    <t>MA-A2A19-040 Carbon Brush Exciter 1 x .75 x 2.50</t>
  </si>
  <si>
    <t>106CO-6MIB-2020-662</t>
  </si>
  <si>
    <t>MA-A2M20-065 Multi-Tester Portable and 1 Other</t>
  </si>
  <si>
    <t>Labor and Materials for Construction of Canal along zone 1 and 3 at Brgy.Malabago Mangaldan, Pangasinan</t>
  </si>
  <si>
    <t>Supply and delivery of Goods (piping materials)rebid</t>
  </si>
  <si>
    <t>CONSTRUCTION OF MULTIPURPOSE PAVEMENT, Brgy. Pooc, Santa Fe, Cebu - Municipal</t>
  </si>
  <si>
    <t>106CO-6MIB-2020-661</t>
  </si>
  <si>
    <t>Procurement of PPE's &amp; Medical Supplies</t>
  </si>
  <si>
    <t>RFQ - Procurement of Supplies, Materials &amp; Equipment to Mitigate COVID19</t>
  </si>
  <si>
    <t>Purchase of Various Supplies for Senior Citizen at Brgy. Banaoang,Mangaldan,Pangasinan</t>
  </si>
  <si>
    <t>Purchase of Various Books for Prep and Nursery at Banaoang Mangaldan,Pangasinan</t>
  </si>
  <si>
    <t>MA-A2T20-006 Closet Cabinet Heavy Duty Wooden and 1 Other</t>
  </si>
  <si>
    <t>GAD</t>
  </si>
  <si>
    <t>MA-A2M20-061 Life Vest Jacket Type, Black Pack and 3 Other</t>
  </si>
  <si>
    <t>SUPPLY AND DELIVERY OF PORTABLE HANDHELD RADIO</t>
  </si>
  <si>
    <t>Supply and Delivery of bond Papers for Printed Learning Materials for the use of Dep Ed Tanay,Rizal</t>
  </si>
  <si>
    <t>Proposed De-clogging and Installation of cover of line canal and Widening of Road at Brgy. Del Remedio, San Pablo city</t>
  </si>
  <si>
    <t>PURCHASE OF PUBLIC ADDRESS</t>
  </si>
  <si>
    <t>Reproduction of Self Learning Modules</t>
  </si>
  <si>
    <t>Purchase of Barangay Officials Uniform for Brgy.Banaoang Mangaldan, Pangasinan</t>
  </si>
  <si>
    <t>Purchase of Electrical Materials for Brgy. Guesang Mangaldan,Pangasinan</t>
  </si>
  <si>
    <t>Purchase of Mixed gravel for Road Maintenance at Brgy. Malabago, Mangaldan, Pangasinan</t>
  </si>
  <si>
    <t>MA-A2M20-060 Flashlight and 4 Other</t>
  </si>
  <si>
    <t>Water service connection materials/ fittings</t>
  </si>
  <si>
    <t>MA-A2M20-055 Fire Extinguisher and Suppressant</t>
  </si>
  <si>
    <t>Procurement of Milk Product</t>
  </si>
  <si>
    <t>Vehicle parts and accessories</t>
  </si>
  <si>
    <t>RFQ FOR THE SUPPLY &amp; DELIVERY OF VARIOUS FITTINGS &amp; GATEVALVES FOR INTERCONNECTION UPVC PIPELINES, INSTALLATION OF VALVING SYSTEM &amp; RELOCATION OF SERVICE LINES</t>
  </si>
  <si>
    <t>Supplementary Feeding Program for CDC and SNP</t>
  </si>
  <si>
    <t>Construction materials and supplies</t>
  </si>
  <si>
    <t>PURCHASE OF TWO (2) UNITS EQUIPMENT</t>
  </si>
  <si>
    <t>Implementation of Learning Resource of the Basic Education Learning Continuity Plan</t>
  </si>
  <si>
    <t>CONSTRUCTION OF LAGAYAN MULTI-PURPOSE BUILDING</t>
  </si>
  <si>
    <t>Construction of Farmers' Multi-Purpose Hall-Poblacion</t>
  </si>
  <si>
    <t>Design and Build for Market Center Building 2 at Margosatubig, ZDS</t>
  </si>
  <si>
    <t>Electrification of Un-energized Schools and Modernization of Electrical Systems On-Grid Schools at San Isidro Elementary School</t>
  </si>
  <si>
    <t>1Lot Procurement for the Rental of Photocopying Services - Mega Manila Area</t>
  </si>
  <si>
    <t>Purchase of Mini-Emergency/Rescue Vehicle</t>
  </si>
  <si>
    <t>INSTALLATION OF ADDITIONAL STREET LIGHTS ( SOLAR TYPE )</t>
  </si>
  <si>
    <t>106CO-33IB-2020-665</t>
  </si>
  <si>
    <t>Supply of 3 units printers</t>
  </si>
  <si>
    <t>Janitorial Services</t>
  </si>
  <si>
    <t>Power generation and distribution macheniries</t>
  </si>
  <si>
    <t>Installation of Streetlights Phase II at Poblacion, Margosatubig, ZDS</t>
  </si>
  <si>
    <t>Repair of Education Facilities Building</t>
  </si>
  <si>
    <t>SUPPLY &amp; DELIVERY OF SUPPLIES IN THE CAPACITY BUILDING FOR LADAC MEMBERS 4TH QUARTER IN THE PROVINCE OF MAGUINDANAO - PGO</t>
  </si>
  <si>
    <t>PROCUREMENT OF 1-unit MOTORCYCLE W/ SIDECAR</t>
  </si>
  <si>
    <t>Supply and Delivery of Protection Equipment and Consumables - COVID 19</t>
  </si>
  <si>
    <t>106CO-33IB-2020-666</t>
  </si>
  <si>
    <t>SUPPLY &amp; DELIVERY OF FUEL IN THE CAPACITY BUILDING FOR LADAC MEMBERS 4TH QUARTER IN THE PROVINCE OF MAGUINDANAO - PGO</t>
  </si>
  <si>
    <t>Supply and Delivery of Supplies and Materials for the Improvement of Water System</t>
  </si>
  <si>
    <t>Supply and Delivery of Office Equipment and Furnitures</t>
  </si>
  <si>
    <t>SUPPLY &amp; DELIVERY OF FUEL FOR PROVISION TO PEACE AND ORDER SECRETARIAT (4TH QUARTER) - PPDO</t>
  </si>
  <si>
    <t>Provision of Car Rental for shuttle service of Skeletal Workforce of TAS- NCR North.</t>
  </si>
  <si>
    <t>SUPPLY &amp; DELIVERY OF LEARNING MATERIALS - GOVERNOR'S OFFICE</t>
  </si>
  <si>
    <t>SUPPLY &amp; DELIVERY OF FUEL FOR PROVISION TO PEACE AND ORDER SECRETARIAT (3RD QUARTER) - PPDO</t>
  </si>
  <si>
    <t>NARVACAN WATER SUPPLY SYSTEM IMPROVEMENT PROJECT</t>
  </si>
  <si>
    <t>Repair of Classrooms at Bugtongnapulo Integrated National High School</t>
  </si>
  <si>
    <t>SUPPLY &amp; DELIVERY OF MEDICAL SUPPLIES FOR CAPACITY BUILDING FOR LADAC MEMBERS 4TH QUARTER IN THE PROVINCE OF MAGUINDANAO - PGO</t>
  </si>
  <si>
    <t>Purchase of Plastic Chairs, Santa Fe, Cebu - Municipal</t>
  </si>
  <si>
    <t>SUPPLY &amp; DELIVERY OF SUPPLIES FOR PROVISION TO PEACE AND ORDER SECRETARIAT (4TH QUARTER) - PPDO</t>
  </si>
  <si>
    <t>SUPPLY &amp; DELIVERY OF SUPPLIES FOR PROVISION TO PEACE AND ORDER SECRETARIAT (3RD QUARTER) - PPDO</t>
  </si>
  <si>
    <t>IMPROVEMENT OF MULTIPURPOSE BUILDING, Brgy. Ocoy, Santa Fe, Cebu - Barangay</t>
  </si>
  <si>
    <t>Purchase of Various Drugs and Medicines</t>
  </si>
  <si>
    <t>REHABILITATION OF MUNICIPAL BUILDING (PHASE II)</t>
  </si>
  <si>
    <t>RFQ 2020-02-0127-SUPPLIES LIBRARY</t>
  </si>
  <si>
    <t>Purchase of Various  Office Supplies</t>
  </si>
  <si>
    <t>CONSTRUCTION OF M R F FOR SEVEN PUROK, Brgy. langub, Santa Fe, Cebu - Barangay</t>
  </si>
  <si>
    <t>Printing of Answer Sheet, Activity Sheet and Worksheet</t>
  </si>
  <si>
    <t>PURCHASE OF ABC BOOKS</t>
  </si>
  <si>
    <t>IMPROVEMENT OF MULTI-PURPOSE BUILDING</t>
  </si>
  <si>
    <t>Purchase of Various Office Supplies used in Printing of Modules</t>
  </si>
  <si>
    <t>ITDI-200504_REBID - DIAGNOSTIC ANALYSIS FOR SPRAGUE DAWLEY RATS INJECTED WITH CAROTENOID IN OIL</t>
  </si>
  <si>
    <t>CONSTRUCTION OF CALAPE SPILLWAY</t>
  </si>
  <si>
    <t>NEGO 2020 "UPGRADING OF POWER SYSTEMS AT GENERAL SANTOS (TAMBLER) AIRPORT</t>
  </si>
  <si>
    <t>Purchase of Various Gulayan Supplies</t>
  </si>
  <si>
    <t>SUPPLY OF VARIOUS MATERIALS FOR MSWDO (ACCESS TO SOCIAL PROTECTION -WOMENS PROJECT)</t>
  </si>
  <si>
    <t>Supply and Delivery of Electronic Supplies for Public Address System for SHS</t>
  </si>
  <si>
    <t>IMPROVEMENT OF PARKS AND PLAZA</t>
  </si>
  <si>
    <t>APPD20-005SVP Office Supplies and Devices</t>
  </si>
  <si>
    <t>1Lot Supply of Labor and Materials for the 25pcs. Proposed Fabrication of forms shelves and 2pcs. package storage shelves.</t>
  </si>
  <si>
    <t>School and Office Supplies of Damilag IS for the Months of April-June,  2020 (Secondary)</t>
  </si>
  <si>
    <t>106CO-33IB-2020-667</t>
  </si>
  <si>
    <t>106CO-33IB-2020-668</t>
  </si>
  <si>
    <t>Supply and Delivery of Assorted Feeds for Livelihood Projects</t>
  </si>
  <si>
    <t>Office Supplies and Other Non-PS Supplies</t>
  </si>
  <si>
    <t>Labor and Materials for repair and maintenance of municipal service vehicle (Municipal Fire Truck  E-204C) at Alfonso, Cavite</t>
  </si>
  <si>
    <t>Municipal Livestock Multiplier Farm</t>
  </si>
  <si>
    <t>Delivery of Supplies and Materials Needed on Workshop Geotagging and Mapping of Nurseries and Mother Trees Cluster 1 and 2</t>
  </si>
  <si>
    <t>Supply and delivery of various items for repair/maintenance of Alfonso Water, Alfonso, Cavite</t>
  </si>
  <si>
    <t>Purchase of Various Construction Suppies for the REPAIR of GULAYAN and FEEDING FENCES and REPAIR of TRANSPARENCY BOARD</t>
  </si>
  <si>
    <t>Procurement of supplies and materials</t>
  </si>
  <si>
    <t>Procurement of Printing of Modules</t>
  </si>
  <si>
    <t>Rehabilitation/ Improvement of pathway</t>
  </si>
  <si>
    <t>Repair and maintenance of Stage</t>
  </si>
  <si>
    <t>20-08-645 Construction of PWS Makikilo Spring Source, Rangayen, Alamada in Brgy. Rangayen, Alamada, Cotabato</t>
  </si>
  <si>
    <t>Rehabilitation/ Improvement of Barangay roads</t>
  </si>
  <si>
    <t>FABRICATION OF GLASS PARTITION OF RHU BUILDING, LGU-BAYOMBONG, NUEVA VIZCYA</t>
  </si>
  <si>
    <t>106CO-33IB-2020-664</t>
  </si>
  <si>
    <t>Supply &amp; Delivery of Materials for Rehabilitation of Sitio Sampinitan Multipurpose Hall</t>
  </si>
  <si>
    <t>Installation of Internet Connection at Cantilan National High School</t>
  </si>
  <si>
    <t>Supply &amp; Delivery of One unit Risograph for Cantilan National High School</t>
  </si>
  <si>
    <t>Supply and Delivery of office supplies to be used by different offices in LGU-, Alfonso, Cavite</t>
  </si>
  <si>
    <t>Supply &amp; Delivery of Two units Photocopier for Parang Elementary School and Cabangahan Integrated School</t>
  </si>
  <si>
    <t>Supply and Delivery of 9,801 Bags Urea (46-0-0) in response to COVID-19 under Rice Program CY 2020</t>
  </si>
  <si>
    <t>Materials for Clean and Green</t>
  </si>
  <si>
    <t>PROCUREMENT OF CONSULTING SERVICES FOR THE DEVELOPMENT OF NEW DEPARTMENT OF HEALTH INTRANET REI NO. 2020-012</t>
  </si>
  <si>
    <t>DON CARLOS III DISTRICT PRINTING SUPPLIES</t>
  </si>
  <si>
    <t>Supply and Delivery of 3 in 1 Printers</t>
  </si>
  <si>
    <t>ITB - Airconditioners (short of award)</t>
  </si>
  <si>
    <t>PURCHASE OF OFFICE SUPPLIES FOR THE USE OF SOLID WASTE MANAGEMENT OFFICE, MUNICIPALITY OF CAUAYAN, NEGROS OCCIDENTAL</t>
  </si>
  <si>
    <t>Procurement of Rapid Test Kits &amp; Thermal Scanners</t>
  </si>
  <si>
    <t>Purchase of Office Supplies and Consumables</t>
  </si>
  <si>
    <t>PURCHASE OF MEDICINES FOR THE USE OF CAUAYAN DISTRICT HOSPITAL, BARANGAY ISIO, CAUAYAN, NEGROS OCCIDENTAL</t>
  </si>
  <si>
    <t>Additional Supplies for the Preparation and Printing of Barangay/EA/Block Maps for the 2020 CPH</t>
  </si>
  <si>
    <t>Various IT Equipment, Licenses</t>
  </si>
  <si>
    <t>Supply and Delivery of laminated and empty sacks</t>
  </si>
  <si>
    <t>Supply &amp; Delivery of One unit Photocopier for Cantilan National High School</t>
  </si>
  <si>
    <t>Various vegetable seeds</t>
  </si>
  <si>
    <t>School and Office Supplies</t>
  </si>
  <si>
    <t>Supply and delivery of Anti-Rabies Vaccines</t>
  </si>
  <si>
    <t>Proposed Road Concreting</t>
  </si>
  <si>
    <t>PROCUREMENT OF MATERIALS FOR MODULE REPRODUCTION</t>
  </si>
  <si>
    <t>Purchase and Installation of Fire Extinguishers</t>
  </si>
  <si>
    <t>Repair of Classrooms at Malagonlong Elementary School</t>
  </si>
  <si>
    <t>Purchase of Bicycles and Accessories for the SK Bike Patrol</t>
  </si>
  <si>
    <t>Purchase of Supplies and Materials for the Distribution of Disinfectant Tools Program</t>
  </si>
  <si>
    <t>Purchase of Supplies and Materials for Free Alcohol Program</t>
  </si>
  <si>
    <t>Purchase of Supplies, Materials and Equipment for Barangay Gym</t>
  </si>
  <si>
    <t>(2FB)N20-08-100 PURCHASE OF DIESEL AND GASOLINE FOR BFP</t>
  </si>
  <si>
    <t>Purchase of Furniture, Fixtures and Equipment</t>
  </si>
  <si>
    <t>Labor and Materials for the improvement of multi-purpose hall at Barangay Mangas I, Alfonso, Cavite</t>
  </si>
  <si>
    <t>Supply and Delivery of Drugs and Medicines</t>
  </si>
  <si>
    <t>Installation of Street Light (Solar)</t>
  </si>
  <si>
    <t>Purchase of other PPE and other supplies</t>
  </si>
  <si>
    <t>(2FB)N20-08-099 PURCHASE OF IPMR UNIFORM</t>
  </si>
  <si>
    <t>Supply and Delivery of 112 Heads Cattle (Heifer) under Livestock Program CY 2020</t>
  </si>
  <si>
    <t>ITDI-200586 - SUPPLY AND DELIVERY OF FLY ASH COMPLETE CHEMICAL ANALYSIS</t>
  </si>
  <si>
    <t>ITDI-200585 - SUPPLY AND DELIVERY OF TRACE METALS IN FLY ASH</t>
  </si>
  <si>
    <t>ITDI-200592 - SUPPLY AND DELIVERY OF REFRIGERATOR</t>
  </si>
  <si>
    <t>ITDI-200584 - SUPPLY AND DELIVERY OF BOND PAPER, LEGAL</t>
  </si>
  <si>
    <t>Rehabilitation of Brgy. Dimampao FMR</t>
  </si>
  <si>
    <t>FLU VACCINE AND HEALTH PACKAGES PR 0316</t>
  </si>
  <si>
    <t>Purchase of Wrist Straps</t>
  </si>
  <si>
    <t>ITDI-200589 - SUPPLY AND DELIVERY OF HANDHELD pH METER</t>
  </si>
  <si>
    <t>Air Purifier for DTI-7 SDD for DTI-7 Personal Wellness - COVID Protection / Prevention</t>
  </si>
  <si>
    <t>ITDI-200590 - SUPPLY AND DELIVERY OF MOISTURE ANALYZER</t>
  </si>
  <si>
    <t>RFQ-2020-063-SUPPLY AND DELIVERY OF IT SUPPLIES FOR USE OF RECORDS SECTION, DPWH REGION XII, KORONADAL CITY</t>
  </si>
  <si>
    <t>BU 67 Repair, Replacement and Installation of CCTV for Bustos Dam</t>
  </si>
  <si>
    <t>REQUEST FOR QUOTAATION - VIRTUAL TRAINING ON BASIC MADIATION FOR LEGAL STAFF MEMBERS</t>
  </si>
  <si>
    <t>C20204480 Office Supplies for PPOC Office use</t>
  </si>
  <si>
    <t>Proposed Rehabilitation of open Canal and others at Barangay II-A, SPC</t>
  </si>
  <si>
    <t>Printing of PIDS APPC Proceedings 2019</t>
  </si>
  <si>
    <t>SVP-20-0679, Supply and delivery of Rice for the use of Dr. Amado B. Diaz Provincial Foundation Hospital (DADPFH)</t>
  </si>
  <si>
    <t>SVP-20-0678, Supply and delivery of Coverall Suit for the use of Provincial Governor's Office (PGO)</t>
  </si>
  <si>
    <t>SVP-20-0674, Supply and Delivery of Meals and Snacks for the use of Committee on Environment, Climate Change Adaptation and Disaster Risk Reduction and Management, Sangguniang Panlalawigan (SP)</t>
  </si>
  <si>
    <t>11ISU-2020-08-007 Vehicle Parts and Accessories</t>
  </si>
  <si>
    <t>SVP-20-0672, Supply and Delivery of Meals and Snacks for the use of Committee on Municipal Affairs, Sangguniang Panlalawigan (SP)</t>
  </si>
  <si>
    <t>SVP-20-0671, Supply and Delivery of Meals and Snacks for the use of Committee on Agriculture and Food, Sangguniang Panlalawigan (SP)</t>
  </si>
  <si>
    <t>SVP-20-0616, Supply of Diesel Fuel for the use of Sangguniang Panlalawigan- Committee on Health and Sanitation, Sangguniang Panlalawigan (SP)</t>
  </si>
  <si>
    <t>SVP-20-0600, Supply and Delivery of Meals and Snacks for the use of PDC, Local Governance, Support to Peace and Order of Provincial Governor's Office (PGO)</t>
  </si>
  <si>
    <t>SVP-20-0549, Supply and delivery of Tire for the use of Provincial Disaster Risk Reduction Management Office,  Provincial Governor's Office (PGO)</t>
  </si>
  <si>
    <t>SM-20-034, Supply &amp;  Delivery of Janitorial Supplies for Provincial Assessor's Office, Amas, Kidapawan CIty</t>
  </si>
  <si>
    <t>C20204475 Medical Supplies for DDNH IGZACOS Zone</t>
  </si>
  <si>
    <t>MS-20-011, Procurement of Information Advocacy (Blocktime Radio Program for the use  of the Office of the Vice Governor (VG) and Sangguniang Panlalawigan (SP)</t>
  </si>
  <si>
    <t>C20204486 Office Supplies for VARIOUS SCHOOLS IN DAVAO DEL NORTE PROVINCE</t>
  </si>
  <si>
    <t>3539-20 Rental of Reverse Osmosis Machine</t>
  </si>
  <si>
    <t>3531-20 Procurement of Airconditioning Unit</t>
  </si>
  <si>
    <t>3362-20 Procurement of Multi Function Inject Printer</t>
  </si>
  <si>
    <t>3831-20 Procurement of Office Supplies</t>
  </si>
  <si>
    <t>3828-20 Procurement of Animal and Zoological Supplies</t>
  </si>
  <si>
    <t>3744-20 Procurement of Foods (Meals and Snacks)</t>
  </si>
  <si>
    <t>3545-20 Procurement of Other Supplies</t>
  </si>
  <si>
    <t>20CSM007- Sub-Surface Exploration of the Proposed Twelve (12) Bridges: a.)Raradangan-Macabasa Bridge, Alamada North Cotabato; b.)	Bridge Component, NHW Jct. Pob. Malungon Boundary, Sta. Maria Rd., Sar</t>
  </si>
  <si>
    <t>20CSOC01 - SOIL EXPLORATION AND CALIFORNIA BEARING RATIO FOR PRELIMINARY DETAIL ENGINEERING (PDE) ACTIVITIES FOR THE PROPOSED FY-2019 PROJECTS</t>
  </si>
  <si>
    <t>Linggo ng Kabataan</t>
  </si>
  <si>
    <t>Proposed Pathwalk and RipRap</t>
  </si>
  <si>
    <t>CONSTRUCTION OF OPEN CANAL NO. 02</t>
  </si>
  <si>
    <t>Procurement of Ink Supplies for Printing of Modules and other Documents</t>
  </si>
  <si>
    <t>RFQ: Disinfection Supplies</t>
  </si>
  <si>
    <t>ITDI-200583 - SUPPLY AND DELIVERY OF ISOPROPYL ALCOHOL</t>
  </si>
  <si>
    <t>Procurement of School and Office Supplies</t>
  </si>
  <si>
    <t>C20204487 Office Supplies for PADO-PRC use</t>
  </si>
  <si>
    <t>MG-A5M20-074 - REPAINTING OF ANNEX, TRANSFORMER &amp; PUMP HOUSE BUILDING AT AGUS 4 HPP</t>
  </si>
  <si>
    <t>Procurement of Modular Tent, with mosquito net and top cover</t>
  </si>
  <si>
    <t>ITDI-200594 - SUPPLY AND DELIVERY OF VARIOUS LABORATORY SUPPLIES</t>
  </si>
  <si>
    <t>ITDI-200581 - SUPPLY AND DELIVERY OF BOND PAPER</t>
  </si>
  <si>
    <t>Proposed Construction and Renovation of multi-purpose hall at Brgy. Santiago II, SPC</t>
  </si>
  <si>
    <t>Procurement of construction materials for Repair and Improvement of Multi-Puropse hall (Ceiling, Painting, Tiles)Namillangan</t>
  </si>
  <si>
    <t>Purchase of Supplies and Materials for Anti-Covid Campaign Tiktok Challenge</t>
  </si>
  <si>
    <t>Procurement of various garden tools and PPEs</t>
  </si>
  <si>
    <t>Procurement of polypropylene (PP) plastics</t>
  </si>
  <si>
    <t>3847-20 Procurement of Office Supplies</t>
  </si>
  <si>
    <t>Supply and Delivery of 5000 Pieces Pineapple Slips.</t>
  </si>
  <si>
    <t>Supply and Delivery of 4000 Kilos Seaweed Seedlings.</t>
  </si>
  <si>
    <t>3798-20 Procurement of Furniture and Fixtures</t>
  </si>
  <si>
    <t>ITDI-200593 - SUPPLY AND DELIVERY OF VARIOUS LABORATORY SUPPLIES</t>
  </si>
  <si>
    <t>PIKCOT-SUPP-002020-00183 (SUPPLY AND DELIVERY OF OFFICE EQUIPMENT)</t>
  </si>
  <si>
    <t>ITDI-200580 - SUPPLY AND DELIVERY OF VARIOUS OFFICE SUPPLIES</t>
  </si>
  <si>
    <t>PIKCOT-SUPP-002020-00182 (SUPPLY AND DELIVERY OF OFFICE EQUIPMENT)</t>
  </si>
  <si>
    <t>PIKCOT-SUPP-002020-00181 (SUPPLY AND DELIVERY OF OFFICE SUPPLIES )</t>
  </si>
  <si>
    <t>PIKCOT-SUPP-002020-00179 (SUPPLY AND DELIVERY OF GLASS)</t>
  </si>
  <si>
    <t>PIKCOT-SUPP-002020-00178 (SUPPLY AND DELIVERY OF GLASS)</t>
  </si>
  <si>
    <t>MG-PLM20-095..SUPPLY &amp; INSTALLATION OF 400KVA DIESEL GENSET AT PH</t>
  </si>
  <si>
    <t>MG-PLM20-047..TRASH RACK CLEANER, TRASH RAKE PARTS</t>
  </si>
  <si>
    <t>Supply and Delivery of I.T. Equipments</t>
  </si>
  <si>
    <t>MG-PLM20-152.Maint. of Transformer (Shell DB) Rehabilitation of spare 31.5 MVA Take-off Transformer</t>
  </si>
  <si>
    <t>REPRODUCTION OF MODULES/PRINTING SERVICES</t>
  </si>
  <si>
    <t>Reproduction of modules</t>
  </si>
  <si>
    <t>3878-20 Procurement of Materials for the Repair and Maintenance of DT-50</t>
  </si>
  <si>
    <t>3797-20 Procurement of Information and Communication Technology Equipment</t>
  </si>
  <si>
    <t>SVP-20-0677, Supply of Petroleum Products for the use of Provincial Cooperatives Development Office (PCDO)</t>
  </si>
  <si>
    <t>Solar System</t>
  </si>
  <si>
    <t>RFQ-2020-067-SUPPLY AND DELIVERY OF LAPTOP FOR USE OF RIGHT OF WAY ACQUISITION AND LEGAL DIVISION, DPWH REGION XII, KORONADAL CITY</t>
  </si>
  <si>
    <t>Purchase of Various Medical and Dental Supplies</t>
  </si>
  <si>
    <t>Construction of Barangay road</t>
  </si>
  <si>
    <t>3876-20 Procurement of Other Supplies</t>
  </si>
  <si>
    <t>1Lot Procurement for the Supply of Labor and Materials for the Proposed Relocation and Improvement of Post Master Office</t>
  </si>
  <si>
    <t>3875-20 Procurement of Office Supplies</t>
  </si>
  <si>
    <t>CONSTRUCTION OF OPEN CANAL NO 01</t>
  </si>
  <si>
    <t>Provision of Car Rental for shuttle service of Skeletal Workforce of the following NCR North Branches</t>
  </si>
  <si>
    <t>MG-PAT20-016..SUPPLY AND DELIVERY OF GOVERNOR OIL PUMP WITH MOTOR</t>
  </si>
  <si>
    <t>SUPPLY &amp; DELIVERY OF OFFICE EQUIPMENT IN SENIOR CITIZEN OFFICE - GOVERNOR'S OFFICE</t>
  </si>
  <si>
    <t>Procurement of Dental Care Supplies</t>
  </si>
  <si>
    <t>PIKCOT-SUPP-002020-00180 (SUPPLY AND DELIVERY OF AGRICULTURAL CHEMICALS )</t>
  </si>
  <si>
    <t>Supply and delivery of Water Pump</t>
  </si>
  <si>
    <t>ITDI-200588_REBID - SUPPLY AND DELIVERY OF VIALS (FOR GCMS)</t>
  </si>
  <si>
    <t>PROCUREMENT OF DISINFECTING MACHINE UV LAMP</t>
  </si>
  <si>
    <t>Other Supplies &amp; Material Expenses OTQMG-OTSM-1748-20 (Php394,200.00)</t>
  </si>
  <si>
    <t>SUPPLY &amp; DELIVERY OF OFFICE EQUIPMENT FOR PERSON WITH DISABILITY AFFAIRS OFFICE IN THE PROVINCE OF MAGUINDANAO - PGO</t>
  </si>
  <si>
    <t>RFQ-2020-061-SUPPLY AND DELIVERY OF MUGS AND SHIRT JACK FOR USE IN DPWH REGION XII</t>
  </si>
  <si>
    <t>S1-MTS20-005 - Supply and Delivery of 10kV Insulation Resistance Tester, Winding Analyzer and Three-Phase Portable Working Standard &amp; Power Quality Analyzer for WMTSD</t>
  </si>
  <si>
    <t>Supply and delivery of Office Supplies</t>
  </si>
  <si>
    <t>20MC-GOODS-047 Supply &amp; Delivery of Groceries for the Supplementary Feeding Program of Day Care Children @ Masbate City</t>
  </si>
  <si>
    <t>Procurement of Safety Health Standard Requirement</t>
  </si>
  <si>
    <t>20MC-GOODS-044 Supply &amp; Delivery of Materials for the Repair/Rehabilitation of Susan Multi-purpose Hall @ City Hall Compound, Brgy. Kalipay, Masbate City</t>
  </si>
  <si>
    <t>20MC-INFRA-042 Cluster #13 Concreting/Rehabilitation of Roads/Alleys @ Various Barangays in Masbate City</t>
  </si>
  <si>
    <t>SUPPLY &amp; DELIVERY OF VARIOUS ELECTRICAL SPARE PARTS FOR 250KW CUMMINS, MODEL NO. NTA855-G18, ENGINE NO. 41251386 INTENDED FOR SAN ANTONIO DPP</t>
  </si>
  <si>
    <t>20MC-GOODS-048 Supply &amp; Delivery of Batteries for the Equipment &amp; Service Vehicles of LGU - Masbate City</t>
  </si>
  <si>
    <t>SUPPLY &amp; DELIVERY OF VARIOUS MECHANICAL SPARE PARTS FOR 250KW CUMMINS, MODEL NO. NTA855-G18, E/N; 41251386 INTENDED FOR SAN ANTONIO DPP</t>
  </si>
  <si>
    <t>106CO-33IB-2020-669</t>
  </si>
  <si>
    <t>Improvements of  Poblacion Public Market (Phase II)</t>
  </si>
  <si>
    <t>Repair &amp; Maintenance of Building OSSSM-RMB-1746-20 (Php198,537.50</t>
  </si>
  <si>
    <t>20MC-GOODS-046 Supply &amp; Delivery of Sea Ambulance for LGU - Masbate City</t>
  </si>
  <si>
    <t>20MC-GOODS-045 Supply &amp; Delivery of Tires for the Equipment &amp; Service Vehicles of LGU - Masbate City</t>
  </si>
  <si>
    <t>Improvement of Road / Road Concreting</t>
  </si>
  <si>
    <t>20MC-INFRA-043 Cluster #14 Construction/Rehabilitation of Flood Control Mitigation Projects (Drainage Systems) @ Various Barangays in Masbate City</t>
  </si>
  <si>
    <t>REPAIR, IMPROVEMENT OF MALE/FEMALE STUDENTS COMFORT ROOMS.</t>
  </si>
  <si>
    <t>PRINTING OF MODULES (GRADE 7 – GRADE 10)</t>
  </si>
  <si>
    <t>Semi-Expendable Mashinery &amp; Equipment (CE) OJ5-SEMECE-1747-20</t>
  </si>
  <si>
    <t>SUPPLY AND DELIVERY OF VARIOUS MECHANICAL SPARE PARTS FOR 160KW FG WILSON PERKINS, MODEL NO. P300H-1; SERIAL NO. FGWNAV04AJSW00275 INTENDED FOR ALMAGRO DPP</t>
  </si>
  <si>
    <t>Semi-Expandable Machinery &amp; Equipment-Books (OSSSM-SEB-1745) 65,750.00</t>
  </si>
  <si>
    <t>Purchase Electrical Supplies for Division use</t>
  </si>
  <si>
    <t>Completion of the Jovellar Rural Health Unit at Brgy. Cabraran, Jovellar, Albay</t>
  </si>
  <si>
    <t>Construction of Slope Protection at Brgy. Calzada, Jovellar, Albay</t>
  </si>
  <si>
    <t>Restoration and Rehabilitation of Ortega Hall at Brgy. Rizal, Jovellar, Albay</t>
  </si>
  <si>
    <t>Rehabilitation of Motor Pool at Brgy. Rizal, Jovellar, Albay</t>
  </si>
  <si>
    <t>RFQ-Office Supplies</t>
  </si>
  <si>
    <t>CONCRETING OF PUROK 3 PATHWAY</t>
  </si>
  <si>
    <t>Rehabilitation of Spillway at Brgy. Quitinday, Jovellar, Albay</t>
  </si>
  <si>
    <t>CSC CAR RFQ NO 2020-012 Connection of Generator Set to the Learning and Development Center Building</t>
  </si>
  <si>
    <t>COMPLETION OF BARANGAY HEALTH CENTER, PUROK 2 MOLICAY, OZAMIZ CITY</t>
  </si>
  <si>
    <t>Supply and Delivery of Office Supplies, Janitorial Supplies, General Supplies, Office Equipment and Personal Protective Equipment/ Supplies for use of the DPWH- AFDEO.</t>
  </si>
  <si>
    <t>CONSTRUCTION OF DRAINAGE CANAL,SEEKERS &amp; LUCKY NINE STREET</t>
  </si>
  <si>
    <t>VAN RENTALS (DATRC)</t>
  </si>
  <si>
    <t>Construction of Mess Hall at Brgy. Rizal, Jovellar, Albay</t>
  </si>
  <si>
    <t>VAN RENTALS</t>
  </si>
  <si>
    <t>B-050-2020 SUPPLY AND DELIVERY OF 1 LOT VARIOUS HARDWARE SUPPLIES, WATER PUMP AND DISINFECTION SUPPLIES - SVP</t>
  </si>
  <si>
    <t>20-08-640 Meals and Snacks for the Visitors, Meetings and Other Activities of the Office of the Local Chief Executive</t>
  </si>
  <si>
    <t>20-08-641 Purchase of Fuel to be used for the Office of the Municipal Mayor</t>
  </si>
  <si>
    <t>20DJ0113-LOCAL PROGRAM, Construction/Repair/Rehabilitation/Improvement of Various Infrastructure Including Local Projects, Construction of Missing Links/New Roads, Extension of Quezon Eco-Tourism-Sari</t>
  </si>
  <si>
    <t>Improvement/Rehab. of Designated Evacuation Center (Municipal Gym)</t>
  </si>
  <si>
    <t>Supply and Delivery of Terraville Bridge Crossing Materials Lot 2</t>
  </si>
  <si>
    <t>Supply and Delivery of Terraville Bridge Crossing Materials Lot 1</t>
  </si>
  <si>
    <t>Supply and Delivery of ICT Equipment and ICT Supplies for use of DPWH AFDEO.</t>
  </si>
  <si>
    <t>Construction of Welcome Arc</t>
  </si>
  <si>
    <t>Supply and Delivery of Office Supplies for Module Production</t>
  </si>
  <si>
    <t>SUPPLY &amp; DELIVERY OF VARIOUS ELECTRICAL SPARE PARTS FOR 160KW FG WILSON, MODEL NO. P300H-1, SERIAL NO. FJWNAV04HJSW00277 &amp; FGWNAV04PJSW00270 INTENDED FOR CAPUL DPP</t>
  </si>
  <si>
    <t>Supply and Delivery of One (1) Lot Medical Supplies for MDRRM Office</t>
  </si>
  <si>
    <t>Construction of Brgy. Multi-Purpose Building, Brgy. Site, Brgy. Lancheta,   Tacurong City (Re-bidding)</t>
  </si>
  <si>
    <t>Supply and Delivery of Survey Equipment for Use of the DPWH- AFDEO</t>
  </si>
  <si>
    <t>PACKAGE:I.CONCRETING OF BARANGAY ROAD,SITIO GULOD EAST AND SITIO BINGAW II. CONSTRUCTION OF CANAL,SITIO BLUE HEAVEN</t>
  </si>
  <si>
    <t>Procurement of Materials for  improvement of ACBS Facility.</t>
  </si>
  <si>
    <t>SUPPLY &amp; DELIVERY OF VARIOUS ELECTRICAL SPARE PARTS FOR 163KW DALE PERKINS, MODEL NO. 2006-TG1, SERIAL NO. 76 &amp; 59 INTENDED FOR CAPUL DPP</t>
  </si>
  <si>
    <t>TB DRUGS RE-BID)</t>
  </si>
  <si>
    <t>CERAMIC TOILET BOWLS (RE-BID)</t>
  </si>
  <si>
    <t>Supply and Delivery of Terraville Bridge Crossing Materials Lot 3</t>
  </si>
  <si>
    <t>FIRE EXTINGUISHER (RE-BID)</t>
  </si>
  <si>
    <t>Installation of Streetlight</t>
  </si>
  <si>
    <t>IT SUPPLIES</t>
  </si>
  <si>
    <t>MEDICAL EQUIPMENT</t>
  </si>
  <si>
    <t>Rehabilitation of Comfort Room, Brgy. Site, Brgy. Lancheta,  Tacurong City (Re-bidding)</t>
  </si>
  <si>
    <t>SUPPLY, DELIVERY AND INSTALLATION AND REPLACEMENT OF PARTS FOR ION CHROMATOGRAPHS (S/N: 20146, 02148 UNDER EMB-ERLSD-ELSS-ECMU</t>
  </si>
  <si>
    <t>Construction of Slope Protection</t>
  </si>
  <si>
    <t>INVITATION TO BID FOR CONSTRUCTION OF 60M x 60M COMMUNITY HOSPITAL WITH SITE DEVELOPMENT</t>
  </si>
  <si>
    <t>MID-RANGE SERVER (RAID-TYPE) (TOWER SERVER) (iHOMIS) RE-BID</t>
  </si>
  <si>
    <t>SUPPLY &amp; DELIVERY OF VARIOUS MECHANICAL SPARE PARTS FOR 60KW PERKINS, MODEL NO. P65EI/1004TG2, SERIAL NO. FGWPEP03VDOA26987 &amp; 50KW PERKINS, MODEL NO. 1104C-44TAG2, SERIAL N0. RJ51175-ROO9242X INTENDED</t>
  </si>
  <si>
    <t>DISTRIBUTION OF HYGIENE KIT</t>
  </si>
  <si>
    <t>ROAD OPENING</t>
  </si>
  <si>
    <t>Construction of Gymnatorium Phase II, MMSU, City of Batac</t>
  </si>
  <si>
    <t>PURCHASE OF SOLAR STREET LIGHT</t>
  </si>
  <si>
    <t>Supply of four (4) units Grass Cutter</t>
  </si>
  <si>
    <t>PROPOSED CONSTRUCTION OF MOTORPOOL SHED</t>
  </si>
  <si>
    <t>Supply and Delivery of Split Type Basic Wall Mounted Airconditioner ( H-044-0608-20 )</t>
  </si>
  <si>
    <t>PURCHASE OF ELECTRONIC BILLBOARD</t>
  </si>
  <si>
    <t>Supply of 12 pieces Stainless Steel 3-1/2" dia x 12" (stainless steel 316)</t>
  </si>
  <si>
    <t>Medical Equipment SGH (RE-BID)</t>
  </si>
  <si>
    <t>Supply and Delivery of Vehicle Maintenance ( H-041-0605-20 )</t>
  </si>
  <si>
    <t>Supply and Delivery of Led Eco Downlight, Bangalore Slab, Bowl w/ Lavatory, Kitchen Sink &amp; Stair Nosing ( H-026-0590-20 )</t>
  </si>
  <si>
    <t>Drugs &amp; Medicine Expenses OTQMG-DME-1749-20 (Php55,800.00)</t>
  </si>
  <si>
    <t>SUPPLY &amp; DELIVERY OF VARIOUS MECHANICAL SPARE PARTS FOR 120KW CUMMINS, MODEL NO. 6CTA8.3-G2, SERIAL NO. 87761372 INTENDED FOR MINI GRID ALMAGRO.</t>
  </si>
  <si>
    <t>ZERO WASTE MANAGEMENT</t>
  </si>
  <si>
    <t>Procurement of Materials for Market Division</t>
  </si>
  <si>
    <t>Procurement of IT &amp; Office Equipment for Civil Registrar</t>
  </si>
  <si>
    <t>Procurement of Gloves &amp; Surgical Face Mask for PESO</t>
  </si>
  <si>
    <t>Procurement of IT Equipment for ICT</t>
  </si>
  <si>
    <t>Rehabilitation &amp; Construction of Drainage Canal</t>
  </si>
  <si>
    <t>Procurement of Supplies for CHO</t>
  </si>
  <si>
    <t>Supply Labor and Materials for the Analysis of Sediment Samples from Tamugan River and its Tributaries</t>
  </si>
  <si>
    <t>MASS FEEDING</t>
  </si>
  <si>
    <t>Procurement of Medicines for Botika ng Bayan and Other MHO Programs</t>
  </si>
  <si>
    <t>PROVIDES MEDICINE, MEDICAL ASSISTANCE TO INDIGENT FAMILY</t>
  </si>
  <si>
    <t>Supply of two (2) units Container Office Van</t>
  </si>
  <si>
    <t>Supply of seven (7) pieces Headset with Noise Cancelling</t>
  </si>
  <si>
    <t>Supply of six (6) units SMS/GPRS Data Logger, 2 Channels, 2x Pressure</t>
  </si>
  <si>
    <t>OFFICE SUPPLIES &amp; EQUIPMENT</t>
  </si>
  <si>
    <t>DISTRIBUTION OF VITAMINS</t>
  </si>
  <si>
    <t>FP COMMODITIES (MEDICAL SUPPLIES) RE-BID</t>
  </si>
  <si>
    <t>PR NO. 20-02-085 (i. 1-13) (2020-08-302) PROCUREMENT OF UPVC BEND</t>
  </si>
  <si>
    <t>Procurement of materials</t>
  </si>
  <si>
    <t>SUPPLY &amp; DELIVERY OF AUTOMATIC VOLTAGE REGULATOR, SX460 INTENDED FOR MINI GRID ALMAGRO</t>
  </si>
  <si>
    <t>Road Concreting (One Job), Brgy. Pungsod, Lambunao, Iloilo</t>
  </si>
  <si>
    <t>Supply of 300 boxes Ascorbic Acid 500mg (100 pcs/box)</t>
  </si>
  <si>
    <t>OTHER SUPPLIES &amp; MATERIALS</t>
  </si>
  <si>
    <t>SUPPLY &amp; DELIVERY OF VARIOUS MECHANICAL SPARE PARTS FOR 100KW CUMMINS MODEL NO. 6BT5.9-G2, SERIAL NO. 78467011 AND 80KW CUMMINS, MODEL NO. 6BTAA5.9-G2, SERIAL NO. 78258010 INTENDED FOR CAMANDAG DIESEL</t>
  </si>
  <si>
    <t>Supply &amp; Delivery of Construction Materials for Construction of Commemorative Mark</t>
  </si>
  <si>
    <t>SUPPLY &amp; DELIVERY OF VARIOUS ELECTRICAL SPARE PARTS FOR 160KW FG WILSON, MODEL NO. 1606A-E93TAG4, SERIAL NO. WU5529N3346913, GENERATOR, SERIAL NO. FGWNAV04JJSW00269, MODEL NO. P300H-1 INTENDED FOR STO</t>
  </si>
  <si>
    <t>Supply and Delivery of Bondpaper for In-House Printing of Self-Learning Modules</t>
  </si>
  <si>
    <t>Drugs and Medicines (RE-BID)</t>
  </si>
  <si>
    <t>Procurement of Radio Equipment for CIO Community Radio Station</t>
  </si>
  <si>
    <t>Supply &amp; Delivery of Construction Materials for Repair and Renovation of BAC Office</t>
  </si>
  <si>
    <t>Procurement of Brand New Crawler Excavator (Road Maintenance) Motor pool</t>
  </si>
  <si>
    <t>Procurement of Supplies for Solid Waste Management of CENRO</t>
  </si>
  <si>
    <t>Procurement of Mac Book Pro for SPO Bagayao</t>
  </si>
  <si>
    <t>CONSTRUCTION OF MATERIALS AND SUPPLIES</t>
  </si>
  <si>
    <t>SUPPLY AND DELIVERY OF COMPUTER SUPPLIES FOR ORGANICS LABORATORY UNIT</t>
  </si>
  <si>
    <t>DISTRIBUTION OF VITAMINS 1ST TO 3RD QUARTER</t>
  </si>
  <si>
    <t>SUPPLY &amp; DELIVERY OF VARIOUS ELECTRICAL SPARE PARTS FOR 80KW FG WILSON, MODEL NO. 1106A-70TAG2, 80KW CUMMINS, MODEL NO. 2330/1500 INTENDED FOR MINI GRID STO. NINO</t>
  </si>
  <si>
    <t>Procurement of Laptops for Accounting Office</t>
  </si>
  <si>
    <t>Procurement of Rimo Blend and Curls of CHO</t>
  </si>
  <si>
    <t>Procurement of IT Equipment &amp; Software for Motorpool</t>
  </si>
  <si>
    <t>Concreting of Municipal Roads in Barangay Poblacion (Portion of Castanares)</t>
  </si>
  <si>
    <t>Procurement of Office Supplies for CSWD</t>
  </si>
  <si>
    <t>Procurement of IT &amp; Office Equipment for City Mayor's Office</t>
  </si>
  <si>
    <t>Consulting Services for the Implementation of the Performance Governance System (PGS) and Attainment of PGS Initiation and Compliance Stages for the City Government of Baguio</t>
  </si>
  <si>
    <t>Procurement of IT &amp; Office Equipment &amp; Software for CENRO</t>
  </si>
  <si>
    <t>PURCHASE OF STREET SIGN &amp; STREET POLE</t>
  </si>
  <si>
    <t>SUPPLY &amp; DELIVERY OF VARIOUS ELECTRICAL SPARE PARTS FOR 80KW CUMMINS, ENGINE NO. 6BTAA5.9-G2, SERIAL NO. 78333539, MINGPOWERS GEN. MODEL NO. MC110. SERIAL NO. 201609087 INTENDED FOR STO NINO DPP</t>
  </si>
  <si>
    <t>SUPPLY &amp; DELIVERY OF VARIOUS ELECTRICAL SPARE PARTS FOR 163KW PERKINS ENGINE NO. 48, MODEL NO. 2006-TG1, &amp; DALE GEN. SERIAL NO. EM/222/DRR INTENDED FOR STO NINO DPP.</t>
  </si>
  <si>
    <t>Purchase of Office/IT Equipment</t>
  </si>
  <si>
    <t>Purchase of Office-IT Equipment</t>
  </si>
  <si>
    <t>PROCUREMENT OF GOAT(BUCK &amp; DOE) OF BRGY. CENTRO 8, CLAVERIA, CAGAYAN</t>
  </si>
  <si>
    <t>SUPPLY &amp; DELIVERY OF VARIOUS MECHANICAL SPARE PARTS FOR 160KW FG WILSON, MODEL NO. 1606-AE93TAG4, SERIAL NO. WU5529N3346913 INTENDED FOR STO NINO DPP</t>
  </si>
  <si>
    <t>Supply and Delivery of PPE for workers ( H-025-0589-20 )</t>
  </si>
  <si>
    <t>Purchase of Various Supplies for MHO</t>
  </si>
  <si>
    <t>Supply &amp; Delivery of Equipment and Gadgets for  a Coastal Law Enforcement Action Network (ACLEAN)</t>
  </si>
  <si>
    <t>Supply and Delivery of Toner for In-House Printing of Self-Learning Modules</t>
  </si>
  <si>
    <t>Concreting of Parking  Lot/Area and Driveway Barangay Limao, Calauan, Laguna</t>
  </si>
  <si>
    <t>Rental of Forklift Equipment’s for Cargo Handling  Operation at Philippine Ports Authority – Surigao Port Services for the Period of September 2, 2020 to October 1, 2020</t>
  </si>
  <si>
    <t>BPIS(ELEM)-MODULES-REQUEST FOR QUOTATION</t>
  </si>
  <si>
    <t>PROPOSED ROAD CONCRETING AT MAHAYAHAY, DAANLUNGSOD, TOLEDO CITY</t>
  </si>
  <si>
    <t>CONSTRUCTION OF EVACUATION CENTER</t>
  </si>
  <si>
    <t>RENTAL OF WINGED VAN TRUCK &amp; HAULING RENTAL</t>
  </si>
  <si>
    <t>PURCHASE OF FURNITURE &amp; FIXTURES</t>
  </si>
  <si>
    <t>SUPPLY &amp; DELIVERY OF VARIOUS MECHANICAL SPARE PARTS FOR 100KW PERKINS, MODEL NO. 2330/1500, SERIAL NO. YB51048*U843772M* INTENDED FOR MINI GRID ALMAGRO.</t>
  </si>
  <si>
    <t>1 LOT –  OMS  of Facilities – BSP Dumaguete (Supply of labor, tools and materials for the Operation and Basic Maintenance Servicing (OBMS) of the Electro-Mechanical System of the BSP Dumaguete Branch</t>
  </si>
  <si>
    <t>BPIS-MODULES-REQUEST FOR QUOTATION</t>
  </si>
  <si>
    <t>Repair and Improvement of Barangay Stage</t>
  </si>
  <si>
    <t>Purchase of Anti-Rabies Vaccines</t>
  </si>
  <si>
    <t>Supply &amp; Delivery of IT Equipment</t>
  </si>
  <si>
    <t>SUPPLY &amp; DELIVERY OF VARIOUS MECHANICAL SPARE PARTS FOR 163KW PERKINS, MODEL NO. 2006-TG1, SERIAL NO. 49, 51, &amp; 56 INTENDED FOR BIRI DPP.</t>
  </si>
  <si>
    <t>SUPPLY &amp; DELIVERY OF VARIOUS MECHANICAL SPARE PARTS FOR 100KW PERKINS, MODEL NO. 2330/1500, SERIAL NO. YB37574*U899520S* INTENDED FOR TAGAPUL-AN DPP.</t>
  </si>
  <si>
    <t>PROCUREMENT OF MATERIALS FOR CONSTRUCTION OF DRAINAGE SYSTEM</t>
  </si>
  <si>
    <t>Purchase of Fogging machine &amp; Other Equipment</t>
  </si>
  <si>
    <t>Request for Quotation for Labor and materials for the Fabrication of Cabinets for Surgical Office 0399</t>
  </si>
  <si>
    <t>Request for Quotation for 120 Can Preschool Age Milk 0430</t>
  </si>
  <si>
    <t>Request for Quotation for 1 Unit Refurbished/Used Container Van 20-07-0431</t>
  </si>
  <si>
    <t>PROCUREMENT OF MATERIALS FOR REHABILITATION OF STONE RIPRAP WITH CONCRETE FACING</t>
  </si>
  <si>
    <t>Purchase of protective Gears &amp; Raincoats for MDRRM Personnel</t>
  </si>
  <si>
    <t>Supply, Delivery and Installation of Electrical Materials and Solar Lighting</t>
  </si>
  <si>
    <t>SUPPLY &amp; DELIVERY OF VARIOUS MECHANICAL SPARE PARTS FOR 163KW DALE PERKINS, MODEL NO. 2006-TG1, SERIAL NO. 8B27396U86340V INTENDED FOR TAGAPUL-AN DPP.</t>
  </si>
  <si>
    <t>Purchase of Testing Kits for COVID-19</t>
  </si>
  <si>
    <t>Request For Quotation for the project of Fabrication of Movable Stage</t>
  </si>
  <si>
    <t>SUPPLY &amp; DELIVERY OF VARIOUS MECHANICAL SPARE PARTS FOR 163KW FG WILSON PERKINS, SERIAL NO. WU5529N3346567, MODEL NO. 1606A-E93TAG4 INTENDED FOR TAGAPUL-AN DPP.</t>
  </si>
  <si>
    <t>Request for Quotation for 1 Unit Used Container Van 20-08-0447</t>
  </si>
  <si>
    <t>SUPPLY AND DELIVERY OF PERSONAL ANTI-VIRUS MATERIALS AND HYGIENE KITS TO BE DISTRIBUTED BY THE SANGGUNIANG KABATAAN OF BARANGAY MALVAR</t>
  </si>
  <si>
    <t>Purchase of First Aid Kits</t>
  </si>
  <si>
    <t>Purchase of Diesel, Gasoline, Car Oils for LGU Vehicles</t>
  </si>
  <si>
    <t>SUPPLY &amp; DELIVERY OF VARIOUS MECHANICAL SPARE PARTS FOR 160KW CUMMINS, MODEL NO. 6LTAA8.9-G2, SERIAL NO. 78581542 INTENDED FOR TAGAPUL-AN DPP.</t>
  </si>
  <si>
    <t>Request for Quotation for Bubble CPAP Nasal Prongs etc 20-06-0376</t>
  </si>
  <si>
    <t>Procurement of Signage of POSO</t>
  </si>
  <si>
    <t>ROAD CONCRETING</t>
  </si>
  <si>
    <t>Preparation of Municipal Roads in Barangay Poblacion (Portion of Road II Extension)</t>
  </si>
  <si>
    <t>Improvement of Multi Purpose Hall</t>
  </si>
  <si>
    <t>PROCUREMENT OF MATERIALS FOR CONCRETING OF BARANGAY ROAD (PATHWAY)</t>
  </si>
  <si>
    <t>PROCUREMENT OF MATERIALS FOR IMPROVEMENT OF MULTI PURPOSE (EVACUATION CENTER)</t>
  </si>
  <si>
    <t>Concreting of Municipal Roads in Barangay Poblacion (Portion of Quezon Street)</t>
  </si>
  <si>
    <t>Purchase of Materials for the Concreting of Farm to Market Road (Continuation), Brgy. Pandan, Lambunao, Iloilo</t>
  </si>
  <si>
    <t>PURCHASE OF VARIOUS MATERIALS FOR THE REPAIR &amp; REHAB. OF DAY CARE CENTER</t>
  </si>
  <si>
    <t>SUPPLY AND DELIVERY OF MINI DUMP TRUCK</t>
  </si>
  <si>
    <t>Procurement of Laptop Computers and Office Productivity Software (Professional)</t>
  </si>
  <si>
    <t>SUPPLY AND DELIVERY OF BOD INCUBATOR UNDER EMB-ERLSD-ELSS-INORGANICS LABORATORY</t>
  </si>
  <si>
    <t>SUPPLY, DELIVERY AND INSTALLATION OF ECD DETECTORS FOR GAS CHROMATOGRAPH (S/N:C11804700447) UNDER EMB-ERLSD-ELSS-ECMU</t>
  </si>
  <si>
    <t>SUPPLY AND DELIVERY OF LABORATORY METAL STANDARDS UNDER EMBERLSD-ELSS-INORGANICS LABORATORY UNIT</t>
  </si>
  <si>
    <t>PURCHASE OF VARIOUS MATERIALS FOR THE REPAIR &amp; REHAB. OF MULTI-PURPOSED BUILDING</t>
  </si>
  <si>
    <t>Purchase of IT Equipments</t>
  </si>
  <si>
    <t>Office Supplies and Consumables</t>
  </si>
  <si>
    <t>SUPPLY AND DELIVERY OF LABORATORY CONSUMABLES UNDER EMB-ERLSD-ENVIRONMENTAL LABORATORY SERVICES SECTION (ELSS) INORGANICS LABORATORY UNIT</t>
  </si>
  <si>
    <t>Installation of Sliding Glass Window and Door</t>
  </si>
  <si>
    <t>PREVENTIVE MAINTENANCE AND CALIBRATION SERVICES OF ONE (1) WATER PURIFICATION SYSTEM (SMART-N-SERIES) (S/N:19050328N30VF) WITH SUPPLY, DELIVERY AND INSTALLATION OF CONSUMABLES UNDER EMB-ERLSD-ECMU</t>
  </si>
  <si>
    <t>Supply and Delivery of Information and Technology Equipment</t>
  </si>
  <si>
    <t>PREVENTIVE MAINTENANCE OF ONE (1) LOT AUTOMATED DIOXIN CLEANUP SYSTEM (S/N:401059) WITH SUPPLY, DELIVERY AND INSTALLATION OF SPARE PART(S) UNDER EMB-ERLSD-ECMU</t>
  </si>
  <si>
    <t>PREVENTIVE MAINTENANCE AND CALIBRATION MERCURY ANALYZER, ANALYTIC JENA AG (S/N:K170A0158) WITH SUPPLY, DELIVERY AND INSTALLATION OF SPAREPARTS UNDER EMB-ERLSD-ECMU</t>
  </si>
  <si>
    <t>PURCHASE OF DUPLICATING MACHINES FOR DEPED MODULES</t>
  </si>
  <si>
    <t>R/M of Multi-Purpose Center Phase III</t>
  </si>
  <si>
    <t>Supply and delivery of one (1) lot Various MEDICAL, DENTAL &amp; LABORATORY SUPPLIES - 3rd Qtr 2020 PCGH</t>
  </si>
  <si>
    <t>Continuation of Road Concreting at Brgy. Caniugan Sta. Teresita, Cagayan</t>
  </si>
  <si>
    <t>ITDI-200587 - SUPPLY AND DELIVERY OF SMART TELEVISION WITH STAND</t>
  </si>
  <si>
    <t>PRINTING AND DELIVERY OF NIA WALL AND TABLE CALENDAR FOR CY 2021</t>
  </si>
  <si>
    <t>LGU-COR. 2020-95</t>
  </si>
  <si>
    <t>Supply and delivery of one (1) lot Various DRUGS &amp; MEDICINES - 3rd Qtr 2020 PCGH</t>
  </si>
  <si>
    <t>RFQ No. SJADS SVP 2020-27: PROCUREMENT OF SPAREPARTS FOR RESCUE VEHICLE MAINTENANCE</t>
  </si>
  <si>
    <t>Supply and delivery of one (1) lot Various REAGENTS - 3rd Qtr 2020 PCGH</t>
  </si>
  <si>
    <t>LINGGO NG KABATAAN 2020</t>
  </si>
  <si>
    <t>R/M of Multi-Purpose Center Phase V</t>
  </si>
  <si>
    <t>Procurement of Hepatitis B vaccine and other drugs and medicine</t>
  </si>
  <si>
    <t>Construction of E-Library and Teen Center, Barangay Puspus</t>
  </si>
  <si>
    <t>SUPPLY AND DELIVERY OF DIGITAL BAROMETER UNDER EMB-ERLSD-ENVIRONMENTAL LABORATORY SERVICES SECTION (ELSS)-ECMU</t>
  </si>
  <si>
    <t>RFQ&gt;&gt;&gt; Reproduction of Learners Modules | Quezon Hill NHS | ABC=P156,600.00</t>
  </si>
  <si>
    <t>Procurement of Supplies MOOE Subsidy for LIGURON ES</t>
  </si>
  <si>
    <t>PCADG-5020301000-1150-2020   Office Supplies Expenses (PCADG)</t>
  </si>
  <si>
    <t>PAGASA SA MAKATI 2020</t>
  </si>
  <si>
    <t>CONSTRUCTION OF DRAINAGE CANAL</t>
  </si>
  <si>
    <t>Supply and Delivery of 12,844 bags Hybrid Rice Seeds TOTAL ABC: 62,507,200.00</t>
  </si>
  <si>
    <t>PCADG-5020399000-1151-2020 Other Supplies Expenses (PCADG)</t>
  </si>
  <si>
    <t>RFQ No.SJADS SVP 2020-26: CATERING SERVICES (MDC QUARTERLY MEETING, BARANGAY SECRETARIES MEETING &amp; RE-ORIENTATION OF KATARUNGANG PAMBARANGAY (KP) LAWS)</t>
  </si>
  <si>
    <t>Purchase of Motorized Banca with Complete Accessories (20 Feet Fiber Boat)</t>
  </si>
  <si>
    <t>PCADG-5029902000-1162-2020	Printing &amp; Publication Expenses (PIO)</t>
  </si>
  <si>
    <t>Procurement of Consultancy Services (Individual) for the Review and Evaluation of the DSWD Self-Instructional Manual for Social Workers in Assessing Discernment of CICL</t>
  </si>
  <si>
    <t>Purchase of Relief Goods</t>
  </si>
  <si>
    <t>PCADG-5029902000-1160-2020 Printing &amp; Publication Expenses (TDPCR)</t>
  </si>
  <si>
    <t>PCADG-5020399000-1159-2020	Other Supplies Expenses (TDPCR)</t>
  </si>
  <si>
    <t>Rehabilitation/Improvement of MP Building</t>
  </si>
  <si>
    <t>PCADG-5020305000-1157-2020	Food Supplies Expenses (TDPCR)</t>
  </si>
  <si>
    <t>PCADG-5020301000-1158-2020	Office Supplies Expenses (TDPCR)</t>
  </si>
  <si>
    <t>Supply and Delivery of 58,618 bags Urea Fertilizer ABC: 58,618,000.00</t>
  </si>
  <si>
    <t>PCADG-5020301000-1156-2020	Office Supplies Expenses (TDPCR)</t>
  </si>
  <si>
    <t>PRINTING AND DELIVERY OF MODULES/SELF LEARNING KITS/ACTIVITY SHEETS FOR GRADE 1 TO GRADE 12 FOR WEEK 3</t>
  </si>
  <si>
    <t>PCADG-5020399000-1161-2020	Other Supplies Expenses (TDPCR)</t>
  </si>
  <si>
    <t>PCADG-5020301000-1163-2020	Office Supplies Expenses (PIO)</t>
  </si>
  <si>
    <t>PROCUREMENT OF MATERIALS FOR CONSTRUCTION OF WATER SYSTEM</t>
  </si>
  <si>
    <t>Procurement of ICT and Laboratory Equipment</t>
  </si>
  <si>
    <t>Supply and Delivery of 400 pcs. Analog Telephone Sets with LCD, as per BSP Specifications</t>
  </si>
  <si>
    <t>2020-184-I PROCUREMENT FOR THE SUPPLY AND DELIVERY OF 10,000 KILOGRAMS MOLASSES UNDER OAP CY 2020</t>
  </si>
  <si>
    <t>PCADG-5020305000-1155-2020	Food Supplies Expenses (PCADG)</t>
  </si>
  <si>
    <t>SUPPLY AND DELIVERY OF LABORATORY CONSUMABLES UNDER EMB-ERLSD-ELSS-INORGANICS LABORATORY UNIT</t>
  </si>
  <si>
    <t>20OH0162-Proposed Repair/Rehabilitation of UPMO-Flood Control Management Cluster Office, NCR Compound, 2nd St. Port Area, Manila</t>
  </si>
  <si>
    <t>IBA ANG MAY ALAM 2020</t>
  </si>
  <si>
    <t>C20204473 Drugs &amp; Medicines for PSWDO Clinic</t>
  </si>
  <si>
    <t>Const. Materials for use in the Improvement and Completion of MPB &amp; Facilities at DPWH Construction Section, Isabela City DEO Phase III</t>
  </si>
  <si>
    <t>Printing Modules</t>
  </si>
  <si>
    <t>C20204472 Spare Parts for  use of PADO-Administrative Division with Plate No. SGM-123 NIssan Frontier 4X2</t>
  </si>
  <si>
    <t>C20204469 Helmet &amp; Pack Bag for use of PGO</t>
  </si>
  <si>
    <t>C20204465 IT equipment for PPOC OPERATION CENTER</t>
  </si>
  <si>
    <t>Motorcycle</t>
  </si>
  <si>
    <t>C20204458 Air Purifier, Aerosol/shield stand &amp; UV disinfectant for DOH requirement for renewal of licence for DDNH Carmen Zone</t>
  </si>
  <si>
    <t>PCADG-5020399000-1165-2020	Other Supplies Expenses (PIO)</t>
  </si>
  <si>
    <t>C20204436 Trashbag for DDNH Carmen Zone</t>
  </si>
  <si>
    <t>PCADG-5020305000-1164-2020	Food Supplies Expenses (PIO)</t>
  </si>
  <si>
    <t>Supply and Delivery of Pre-Fab Solar Panels</t>
  </si>
  <si>
    <t>PCADG-5020399000-1154-2020	Other Supplies Expenses (PCADG)</t>
  </si>
  <si>
    <t>Lubricants for use in the various Service Vehicle of the Maintenance Section (Equipment Services Unit), DPWH Isabela City DEO</t>
  </si>
  <si>
    <t>IMPROVEMENT OF DRAINAGE CANAL - 20% EDF (2016, 2018, 2019)</t>
  </si>
  <si>
    <t>PRINTING AND DELIVERY OF MODULES/SELF LEARNING KITS/ACTIVITY SHEETS FOR GRADE 7 TO GRADE 12 FOR WEEK 3</t>
  </si>
  <si>
    <t>RFQ&gt;&gt;&gt; Reproduction of Modules | Manuel Roxas ES | ABC=P224,217.88</t>
  </si>
  <si>
    <t>Supply and Delivery of 18 sets Ionizer Filter with Carbon, as per BSP Specifications</t>
  </si>
  <si>
    <t>Concreting of Barangay Road West</t>
  </si>
  <si>
    <t>Const. Materials for use in the Repair/Rehab. of Office of the District Engineer Phase II at DPWH Construction Section, Isabela City DEO</t>
  </si>
  <si>
    <t>PCADG-5020301000-1153-2020  Office Supplies Expenses (PCADG)</t>
  </si>
  <si>
    <t>SUPPLY AND DELIVERY OF STANDARD FOR AIR ANALYSES UNDER EMB-ERLSD-ELSS-INORGANICS LABORATORY</t>
  </si>
  <si>
    <t>Const. Materials for use in the Repair/Rehab. of Office of the District Engineer Phase I at DPWH Construction Section, Isabela City DEO</t>
  </si>
  <si>
    <t>Insecticide (Dengue)</t>
  </si>
  <si>
    <t>PURCHASE OF IT EQUIPMENT TO BE USED AT MLGOO OFFICE</t>
  </si>
  <si>
    <t>20CSZ021 - CONSULTING SERVICES FOR THE QUALITY ASSURANCE CONSULTANT IN THE CONDUCT OF CIVIL WORKS PROJECT ASSESSMENT/INSPECTION IN LUZON AREA</t>
  </si>
  <si>
    <t>Procurement of Agricultural Supplies</t>
  </si>
  <si>
    <t>BangUN : 60	Deliveries Freight and hauling  for Bangun implementation in province of Sulu for 2020</t>
  </si>
  <si>
    <t>Supply and delivery of one (1) lot Various COMMON OFFICE SUPPLIES - 3rd Qtr 2020</t>
  </si>
  <si>
    <t>Procurement of Three (3) Years Pest Control Services at PAGCOR Main Corporate Office and PAGCOR Corporate Annex Office</t>
  </si>
  <si>
    <t>Procurement of Construction Materials And Supplies for ROAD WIDENING</t>
  </si>
  <si>
    <t>Supply and delivery of one (1) lot Various COMMON COMPUTER SUPPLIES - 3rd Qtr. 2020</t>
  </si>
  <si>
    <t>20CSZ018 - Consulting Services for the Detailed Engineering Design of Flood Control and River Improvement of Mapangi River (Regions IX and X)</t>
  </si>
  <si>
    <t>20CSZ022 - CONSULTING SERVICES FOR THE QUALITY ASSURANCE CONSULTANT IN THE CONDUCT OF CIVIL WORKS PROJECT ASSESSMENT/INSPECTION IN VISAYAS-MINDANAO AREA</t>
  </si>
  <si>
    <t>20CSZ020 - Consulting Services for the Feasibility Study and Detailed Engineering Design of the Proposed Retarding Basin in Tigum-Aganan River in Iloilo</t>
  </si>
  <si>
    <t>20CSZ007 - Consulting Services for Engineering Design and Special Studies of DPWH Infrastructure projects CY 2020</t>
  </si>
  <si>
    <t>BangUN : Freight and hauling to transport , To be used for Bangun implementation in province of Basilan for 2019</t>
  </si>
  <si>
    <t>Supplies needed for Domestic Works NCII Training</t>
  </si>
  <si>
    <t>Supply and Provision of Tires for GSIS La Union Branch Office (February-December 2020)</t>
  </si>
  <si>
    <t>Flood Light</t>
  </si>
  <si>
    <t>Procurement of Office Supplies for the 3rd Quarter</t>
  </si>
  <si>
    <t>PCADG-5029902000-1152-2020 Printing &amp; Publication Expenses (PCADG)</t>
  </si>
  <si>
    <t>BACOLOD BRANCH - 7 TONNER LOBBY TYPE AIRCON</t>
  </si>
  <si>
    <t>Equipment needed for Domestic Works NCII Training</t>
  </si>
  <si>
    <t>BangUN : Freight and hauling for Bangun implementation in province of Tawi-Tawi for 2020</t>
  </si>
  <si>
    <t>PROCUREMENT OF MATERIALS FOR RIPRAPING OF BARANGAY ROAD</t>
  </si>
  <si>
    <t>Repair and Construction of the new Distribution on line by Purok 2,3,4 at the Barangay Tubod, Isabel, Leyte</t>
  </si>
  <si>
    <t>Tools needed for Domestic Works NCII Training</t>
  </si>
  <si>
    <t>Supply and Delivery of One (1) Lot Various Materials for the Repair/Maintenance of RHU Building</t>
  </si>
  <si>
    <t>REHABILITATION/IMPROVEMENT OF BARANGAY PLAZA</t>
  </si>
  <si>
    <t>Supply and Delivery of of Various Commodities for the Children Beneficiaries of Supplementary Feeding Program of the 1st District of Ilocos Sur</t>
  </si>
  <si>
    <t>Supply and Delivery of One (1) Lot Various Machinery and Equipment</t>
  </si>
  <si>
    <t>Construction of Perimeter Fence (Right Side)</t>
  </si>
  <si>
    <t>DA7-09-STO-U-20-3083: Procurement of Various Chemicals</t>
  </si>
  <si>
    <t>REHABILITATION OF BARANGAY ROADS</t>
  </si>
  <si>
    <t>Installation of Streetlights (ABBAG)</t>
  </si>
  <si>
    <t>SW-1008-2020-0111</t>
  </si>
  <si>
    <t>20GOI0001: Purchase/Installation of Weighbridge Equipment for CY 2020 - MSR Quirino Ave. and Alabang Viaduct</t>
  </si>
  <si>
    <t>Procurement of COVID Supplies and Equipment</t>
  </si>
  <si>
    <t>Proposed Pathwalk</t>
  </si>
  <si>
    <t>Construction of Day Care Center 2020</t>
  </si>
  <si>
    <t>Supply and Delivery of Office Equipment’s, Supplies and Consumables for UEP Laoang Campus.</t>
  </si>
  <si>
    <t>PCDP-2020-08-0321 : ECO BAG AND SAKO BAG</t>
  </si>
  <si>
    <t>Purchase of CCTV Camera to be Used at Barangay San Antonio Ogbon</t>
  </si>
  <si>
    <t>CONSTRUCTION OF DRAINAGE CANAL BRGY. STA. MARIA, KALAMANSIG, SK</t>
  </si>
  <si>
    <t>SUPPLIES AND MATERIALS FOR THE CONSTRUCTION OF DRAINAGE CANAL(PHASE I)</t>
  </si>
  <si>
    <t>Procurement of Ink and Master Roll</t>
  </si>
  <si>
    <t>Procurement of Construction Supplies and Materials for the Riprapping of Road Canal</t>
  </si>
  <si>
    <t>CONSTRUCTION OF ISUMBO ELEMENTARY SCHOOL MULTI-PURPOSE HALL</t>
  </si>
  <si>
    <t>SAAD-20-1237 (2 Failed Bidding): Procurement of 3,600 heads of Native Chicken</t>
  </si>
  <si>
    <t>Supply &amp; Delivery of Materials for the Installation of Streetlights (Poblacion Sur)</t>
  </si>
  <si>
    <t>Supply and Delivery of One (1) Lot Various Materials for the Improvement of Man Power Development Center (Multi-Purpose Bldg. ABC Training Center)</t>
  </si>
  <si>
    <t>2-UNITS PRINTER (A3, REFILL TANK WIRELESS/DUPLEX ALL IN  ONE) FOR DEPED DIVISION OF SAGAY CITY-REBID</t>
  </si>
  <si>
    <t>DA7-09-STO-U-20-3084: Procurement of 571 bags of Hybrid White Corn Seeds</t>
  </si>
  <si>
    <t>REHABILITATION OF DRAINAGE CANAL</t>
  </si>
  <si>
    <t>Purchase of Rescue Vehicle (Recondition Van)-SAN DIONISIO</t>
  </si>
  <si>
    <t>Supplies and material Expenses</t>
  </si>
  <si>
    <t>Supply and Delivery of One (1) Unit Negative Pressure Wound Therapy Machine (re-bid)</t>
  </si>
  <si>
    <t>Rehabilitation of Madarang-Bulala-Leguey Farm-to-Market Road Salcedo, Ilocos Sur</t>
  </si>
  <si>
    <t>JARO BRANCH - Safety Barriers</t>
  </si>
  <si>
    <t>Construction of Farmer's Multi-Purpose Building at Brgy. Abuor, Narvacan, Ilocos Sur</t>
  </si>
  <si>
    <t>REHABILITATION OF WATER SYSTEM</t>
  </si>
  <si>
    <t>Procurement of One (1) unit Heavy Equipment (Payloader)</t>
  </si>
  <si>
    <t>ILOILO BRANCH - ATM (Camera, Cassettes &amp; Divert Cassettes)</t>
  </si>
  <si>
    <t>Construction of Farmer's Multi-Purpose Building at Brgy. Lucbuban, Salcedo, Ilocos Sur</t>
  </si>
  <si>
    <t>Supply and Delivery of One (1) Lot Various Chemical &amp; Filtering Supplies (AMWSS)</t>
  </si>
  <si>
    <t>Procurement of Materials in the Installation/Rehabilitation of Streetlight System Along National Road &amp; Provincial Road Re-Bid</t>
  </si>
  <si>
    <t>1,691 REAMS OF BONDPAPER (70GSM, A4) FOR DEPED DIVISION OF SAGAY CITY</t>
  </si>
  <si>
    <t>2,135-UNITS OF CASSETTE RADIO FOR DEPED DIVISION OF SAGAY CITY</t>
  </si>
  <si>
    <t>1-LOT SUPPLY OF LABOR &amp; MATERIALS FOR THE CONSTRUCTION OF BARANGAY HEALTH STATION  (MOLOCABOC DIOT, BARANGAY MOLOCABOC, SAGAY CITY)</t>
  </si>
  <si>
    <t>Purchase of ICT Equipment for MDRRMO</t>
  </si>
  <si>
    <t>Procurement of   Road Sensors including Installation for the conduct of Automated Traffic Count under the National Road Traffic SurveyProgran (NRTSP),Bataan First District</t>
  </si>
  <si>
    <t>Procurement of Two (2) Units Risograph Machine Re-Bid</t>
  </si>
  <si>
    <t>GSO-20-0923-B PURCHASE OF DESKTOP COMPUTER</t>
  </si>
  <si>
    <t>Const./Impvt. of Feeding Facilities Brgy. Haguimit, Labo, Kilo-Kilo, Tambangan &amp; Lusok</t>
  </si>
  <si>
    <t>Supply, Delivery and Installation of 4 Modules of Grouper Cages (Fixed Type) with Grouper Fingerlings</t>
  </si>
  <si>
    <t>Printing and Binding of ECCD Worksheets for Child Development Children 2020</t>
  </si>
  <si>
    <t>20FF0096 (Re-Ad) - Construction of Multi-Purpose Building (Covered Court), Barangay Lugsad, Calabanga, Camarines Sur</t>
  </si>
  <si>
    <t>Repair and Maintenance of Motor Vehicles - Ambulance &amp; DR Vehicles (Spareparts)</t>
  </si>
  <si>
    <t>Supply and Delivery of FSP Advocacy Bag</t>
  </si>
  <si>
    <t>20GIB0044: Purchase/delivery of Grasscutter Blade and Spark Plug for use of Grasscutters.</t>
  </si>
  <si>
    <t>MOOE</t>
  </si>
  <si>
    <t>Repair and Maintenance of MDRRM Truck (Spareparts)</t>
  </si>
  <si>
    <t>Construction of 2-Classroom Building at Lidlidda National High School, Poblacion Sur, Lidlidda, Ilocos Sur</t>
  </si>
  <si>
    <t>Construction of School Facilities at Narvacan National Central High School, Narvacan, Ilocos Sur</t>
  </si>
  <si>
    <t>VARIOUS LABORATORY FACILITIES &amp; EQUIPMENT FOR AEMSMDH</t>
  </si>
  <si>
    <t>SELF - SKILLS ENHANCEMENT AND LEADERSHIP FORMATION - PUBLIC WORKS, MAINTENANCE AND UTILITIES</t>
  </si>
  <si>
    <t>Repair and Maintenance of Day Care Center Brgy. Polo, Dolores, Punong, Kilo-Kilo, Masalukot, Devilla, Ipil &amp; Banogbog</t>
  </si>
  <si>
    <t>REHABILITATION OF MATERIAL RECOVERY FACILITIES @ BRGY. DOLOROSA</t>
  </si>
  <si>
    <t>REHABILITATION OF SCHOOL CLINIC</t>
  </si>
  <si>
    <t>Riprapping of brgy. road @  Sitio Aguada San Teodoro,Mabini,Batangas</t>
  </si>
  <si>
    <t>RFQ 8-20-20</t>
  </si>
  <si>
    <t>Printing of Modules Grade 7 to Grade 10.</t>
  </si>
  <si>
    <t>CONSERVATION &amp; RESTORATION OF GABALDON BUILDING</t>
  </si>
  <si>
    <t>Construction of Multi-Purpose Building (Municipal Hall) Phase 2, Botolan, Zambales</t>
  </si>
  <si>
    <t>Supply and Delivery of One (1) Lot Various Office Equipment</t>
  </si>
  <si>
    <t>Supply and Delivery of One (1) Lot Various Materials for the Fabrication of Cabinets and Painting of the same (MCRO)</t>
  </si>
  <si>
    <t>2nd Invitation for the Supply and Delivery of Lot 2- Split Type Aircon, Lot 3-Steel Upright 4 Doors Chiller and Lot 4-Gasoline Generator</t>
  </si>
  <si>
    <t>2nd Invitation for the Supply and Delivery of 1 unit Drone Sprayer</t>
  </si>
  <si>
    <t>REHABILITATION OF WATER SYSTEM (MALINAO TO CANITUAN MAINLINE)</t>
  </si>
  <si>
    <t>OFFICE EQUIPMENT-AIR CONDITION</t>
  </si>
  <si>
    <t>Supply and delivery of uniform and search lights of Bantay Dagat for official use of Mabundo and Ditangol Marine Fish Sanctuary</t>
  </si>
  <si>
    <t>Supply and delivery of Order of Payment Forms and Certificate of Clearance Forms for the issuance of certificate of clearance for CFV and reportorial requirements</t>
  </si>
  <si>
    <t>Supply and delivery of Vehicle parts and accessories for the official use in the Repair/Maintenance of RP Vehicle</t>
  </si>
  <si>
    <t>Supply and Delivery of Regional Office Bulletin Board Supplies and Materials</t>
  </si>
  <si>
    <t>Construction of Potable Water Supply System ( Drilling for test well ) at Brgy. Polo, Alcantara</t>
  </si>
  <si>
    <t>PURCHASE2020</t>
  </si>
  <si>
    <t>IMPROVEMENT OF DAY CARE CENTER</t>
  </si>
  <si>
    <t>INVITATION TO BID FOR PROCUREMENT OF MATERIALS AND RENTAL OF EQUIPMENT FOR IMPROVEMENT OF MULTI-PURPOSE BUILDING (IMPROVEMENT/CONSTRUCTION OF PERIMETER FENCE)</t>
  </si>
  <si>
    <t>2020-08-0183 - PROCUREMENT OF OFFICE SUPPLIES AND CONSUMABLES FOR USE IN THE OPERATION OF BUKIDNON 3RD DEO (3RD QUARTER CY 2020)</t>
  </si>
  <si>
    <t>Purchase/supply of various CVO"s Paraphernalias</t>
  </si>
  <si>
    <t>Purchase of IT supplies for the use of the different offices of the Municipality</t>
  </si>
  <si>
    <t>Rehabilitation/ Improvement of Line canal</t>
  </si>
  <si>
    <t>Rehabilitation/ Improvement of Multi-purpose hall</t>
  </si>
  <si>
    <t>INSTALLATION OF WATER SYSTEM LEVEL 1</t>
  </si>
  <si>
    <t>Supply and delivery of Boat materials as BFAR 3 Assistance to Fisherfolk in Bagac, Bataan</t>
  </si>
  <si>
    <t>Purchase /supply of Saftey Paraphernalias</t>
  </si>
  <si>
    <t>Supply and Delivery of Materials for the Rehabilitation of Multi-Purpose Building (Tanod Outpost)</t>
  </si>
  <si>
    <t>RPQKISJHS</t>
  </si>
  <si>
    <t>Delivery of various materials for the Construction of Multi-Purpose Session Hall</t>
  </si>
  <si>
    <t>ILOILO BRANCH - Signage</t>
  </si>
  <si>
    <t>Supply and delivery of Bamboo for official use on FPSSD; Brackishwater Unit - Technology Demonstration Project</t>
  </si>
  <si>
    <t>RFQ For Office Supplies use - Maximino Laurete CS</t>
  </si>
  <si>
    <t>Supply and delivery of Leafcasting Machine (2nd Posting)</t>
  </si>
  <si>
    <t>DRILLING OF TWO (2) EXPLORATORY/PRODUCTION WELLS FOR BENITO SOLIVEN WATER DISTRICT</t>
  </si>
  <si>
    <t>Supply and Delivery of Materials for the Rehabilitation of Multi-Purpose Drying Pavement at Sitio Slide</t>
  </si>
  <si>
    <t>Purchase of Equipment and Supplies for ICT and Electronic Classes (DepEd BAIS)</t>
  </si>
  <si>
    <t>Acquisition of Registered Seeds</t>
  </si>
  <si>
    <t>Purchase of IT Equipment (for DepEd Elementary)</t>
  </si>
  <si>
    <t>Procurement of Laptops for Regional Office Use</t>
  </si>
  <si>
    <t>CONCRETING OF FARM TO MARKET ROAD</t>
  </si>
  <si>
    <t>SUPPLY DELIVERY AND INSTALLATION INCLUDING COMMISSIONING  &amp; WARRANTY OF SOLAR STREETLIGHTS</t>
  </si>
  <si>
    <t>Educational and Office Supplies</t>
  </si>
  <si>
    <t>Purchase of Plastic Tables and Chairs for Day Care Children and Child Development Workers</t>
  </si>
  <si>
    <t>PhilRice-20-3171: Procurement of Agricultural Supplies (Inorganic Fertilizers) needed as inputs for the establishment of 10-ha rice seed production project at DA-BES, Ubay, Bohol for CY 2020</t>
  </si>
  <si>
    <t>S/D of 9 pcks	Olintr &amp; 20 others</t>
  </si>
  <si>
    <t>Preventive Maintenance of GC Instruments</t>
  </si>
  <si>
    <t>PURCHASE OF RESCUE VEHICLE</t>
  </si>
  <si>
    <t>IMPROVEMENT OF MUNICIPAL SLAUGHTER HOUSE</t>
  </si>
  <si>
    <t>Purchase of Learning Aids Materials and Supplies for Day Care Children and Child Development Workers</t>
  </si>
  <si>
    <t>DA7-09-STO-U-20-3082: Procurement of Various Inorganic Fertilizer</t>
  </si>
  <si>
    <t>Acquisition of Office Supplies, SO</t>
  </si>
  <si>
    <t>Purchase of Heavy Duty Copier (DepEd BAIS)</t>
  </si>
  <si>
    <t>CONCRETING OF PATHWAY AT PARKVILLE PHASE 2, 3 &amp; 5 BRGY. SILANGAN 1, ROSARIO, CAVITE</t>
  </si>
  <si>
    <t>ILD-20-2344(R1): Procurement of Other Supplies to be used in the Laboratories in M. Velez</t>
  </si>
  <si>
    <t>Procurement of Security Services for the month of July to December 2020</t>
  </si>
  <si>
    <t>Purchase of Livestocks for Agriculture Classes (DepEd BAIS)</t>
  </si>
  <si>
    <t>Medicine Cabinet</t>
  </si>
  <si>
    <t>Purchase of Workbooks for Day Care Children and Child Development Workers</t>
  </si>
  <si>
    <t>REQUEST FOR A QUOTATION - MAINTENANCE OF MUNICIPAL AMBULANCE 345</t>
  </si>
  <si>
    <t>FABRICATION OF WINDOW GRILLS</t>
  </si>
  <si>
    <t>Procurement of PVC Pipe and Cement to be used in the improvement of irrigation facilities at DA-RARES Tanay, Rizal</t>
  </si>
  <si>
    <t>Supply and delivery of various office supplies for official use of Operations and Research Division</t>
  </si>
  <si>
    <t>Various Infrastructure Projects</t>
  </si>
  <si>
    <t>FOR MODULE REPRODUCTION</t>
  </si>
  <si>
    <t>Fuel to be used for the Continues Operation &amp; Monitoring of COVID-19</t>
  </si>
  <si>
    <t>PROPOSED REPAIR AND RENOVATION OF OPEN CANAL AND DE CLOGGING AT VARIOUS STREETS AT BRGY. BAGONG BAYAN, SAN PABLO CITY</t>
  </si>
  <si>
    <t>Supply and Delivery of Office Supplies for Budget, HRMO and MSWD Office</t>
  </si>
  <si>
    <t>Upgrading/Installation of CCTV</t>
  </si>
  <si>
    <t>PURCHASE OF RICE FOR THE CONSTITUENTS WHO ARE AFFECTED BY THE PANDEMIC COVID-19 THRU SK FUNDS</t>
  </si>
  <si>
    <t>Procurement of 6 Wheeler Cargo Truck, LGU, Baybay City, Leyte</t>
  </si>
  <si>
    <t>Internet Connectivity Subscription (DepEd BAIS)</t>
  </si>
  <si>
    <t>Procurement of Marine/Fisheries Equipment, LGU-CMMRO, Baybay City, Leyte</t>
  </si>
  <si>
    <t>Proposed Construction of the Material Recovery Facility  at Barangay San Nicolas, Don Carlos, Bukidnon (Straight Contract)</t>
  </si>
  <si>
    <t>Proposed Improvement of Covered Court @ Barangay Canlumampao, Toledo City</t>
  </si>
  <si>
    <t>Procurement of Battery and Tires to be used of RP vehicle Isuzu Highlander SLG-280 under RAED Program</t>
  </si>
  <si>
    <t>LABOR AND MATERIALS FOR FABRICATION OF STAINLESS CUTOUT LETTERS SIGNAGE FOR RESEARCH DIVISION WITH LOGO AND REGIONAL ORGANIC AGRICULTURE R &amp; D CENTER BUILDING</t>
  </si>
  <si>
    <t>Supply and Delivery of Various Agricultural Supplies for use of different research projects of research division</t>
  </si>
  <si>
    <t>Purchase of 3 Units Corn Mill Transformer.</t>
  </si>
  <si>
    <t>Procurement of 1 unit Drone Camera Aircraft with complete accessories</t>
  </si>
  <si>
    <t>SENIOR CITIZEN's OFFICE BUILDING</t>
  </si>
  <si>
    <t>Procurement and Delivery of Office and School Supplies/equipments and consumables</t>
  </si>
  <si>
    <t>Multifunction Cart</t>
  </si>
  <si>
    <t>SUPPLY, DELIVERY AND TESTING OF TWO (2)  UNITS 25 KVA DISTRIBUTION TRANSFORMER 13.2 KV/230V UNDER CORN PROGRAM</t>
  </si>
  <si>
    <t>Construction of Hand Washing Facility, Various Elem. School, Baybay City, Leyte</t>
  </si>
  <si>
    <t>MEALS AND SNACKS FOR THE PARTICIPANTS ON BASIC SEWING</t>
  </si>
  <si>
    <t>Supply &amp; Delivery of materials to be used in the Construction of Perimeter Fence at Central Business District, Barangay Pinagsabangan I, Naujan, Oriental Mindoro</t>
  </si>
  <si>
    <t>Procurement of 1 unit Laptop to be used at Organic Agriculture Program Office</t>
  </si>
  <si>
    <t>INSTALLATION OF WATER SYSTEM (BAWASA)</t>
  </si>
  <si>
    <t>Upgrading/Installation of Public Address System</t>
  </si>
  <si>
    <t>S/D of 135 pcs	Plastic Palllet Dimmension 1000x1000x150mm Color Blue Type Heavy weight Fork entry 4way static load 6 tons dynamic load 2 1/2 tons packing load 2 tons</t>
  </si>
  <si>
    <t>Purchase of 3 Unit Air Conditioning Sets.</t>
  </si>
  <si>
    <t>HOLHOG FLUME</t>
  </si>
  <si>
    <t>Supply and Delivering of Medicine</t>
  </si>
  <si>
    <t>SUPPLY AND DELIVERY OF SEVEN (7) UNITS MOTORCYCLE</t>
  </si>
  <si>
    <t>CONSTRUCTION OF WATER SYSTEM (2 UNIT RESERVOIR L=1.20M WD=1.20M HT=1.20M)</t>
  </si>
  <si>
    <t>Concreting of Poblacion - Noro FMR</t>
  </si>
  <si>
    <t>Supply, delivery and installation of IV Track System</t>
  </si>
  <si>
    <t>RFQ-DVO-PR.NO. 2008118 CAT. 49 PRINTED FORMS AND PRINTING SERVICES</t>
  </si>
  <si>
    <t>Procurement of Office Supplies, LGU (various Offices), Baybay City, Leyte</t>
  </si>
  <si>
    <t>RFQ-DVO-PR.NO. 2008093 CAT. 80 FUEL, OIL, LUBRICANTS AND SERVICING</t>
  </si>
  <si>
    <t>Rehabilitation of Old RHU and Birthing Center</t>
  </si>
  <si>
    <t>Bid No. 20-0412 - PROCUREMENT OF CONSTRUCTION MATERIALS - MEO OPERATIONS (CONSTRUCTION OF DIKES ALONG RIVERBANKS/RIVERBANKS STABILIZAT</t>
  </si>
  <si>
    <t>FOR PNP PATROL CAR,BFP FIRETRUCK AND 28IB VEHICLE USE.</t>
  </si>
  <si>
    <t>Supply and Delivery of Agricultural supplies to be used in the implementation of BAR fund project ''Outscaling of Rice-based (Rice+duck) Farming System in Maragondon, Cavite</t>
  </si>
  <si>
    <t>RFQ-DVO-PR.NO. 2008094 CAT. 801 FUEL, OIL, LUBRICANTS AND SERVICING</t>
  </si>
  <si>
    <t>Purchase of One (1) Unit Brand-new Coaster (29 seaters)</t>
  </si>
  <si>
    <t>Supply and Delivery of Various Materials for use in the Fabrication of Bridge Load Limit Signs for the Implementation of Maintenance of National Roads and Bridges</t>
  </si>
  <si>
    <t>Product label design and printing needed for the VCO product under BAR funded project</t>
  </si>
  <si>
    <t>SUPPLY AND DELIVERY OF CONSTRUCTION MATERIALS (2nd Posting)</t>
  </si>
  <si>
    <t>Kabataan Bayanihan</t>
  </si>
  <si>
    <t>REGRAVELLING AND DELIVERY OF EARTHFILL FOR BARANGAY ROADS</t>
  </si>
  <si>
    <t>Fluid Bin Delivery Car</t>
  </si>
  <si>
    <t>IMPROVEMENT OF DRAINAGE SYSTEM (CANAL)</t>
  </si>
  <si>
    <t>CPAR-20-3148: Procurement of Other Supplies to be used in support to the conduct of Community-Based Participatory Research on Rice-Based Farming System in the Municipality of Ubay...</t>
  </si>
  <si>
    <t>REPAIR OF CONFERENCE ROOM, STAFFHOUSE, EA OFFICE AND DRYER HOUSE</t>
  </si>
  <si>
    <t>Bid No. 20-0413 - PROCUREMENT OF CONSTRUCTION MATERIALS - MEO OPERATIONS (CONSTRUCTION OF CONCRETE CANAL LINING - RIZAL STREET, BRGY. POBLACION, MARAGUSAN, DAVAO DE ORO)</t>
  </si>
  <si>
    <t>Concreting of Brgy. Babuyan Road, Infanta, Pangasinan</t>
  </si>
  <si>
    <t>Agricultural Products</t>
  </si>
  <si>
    <t>(PAO) REQUEST FOR QUOTATION (RFQ) For the Procurement of Office Supplies For the Provincial Agricultural Office--95,085.82</t>
  </si>
  <si>
    <t>Construction of Drainage and Widening of Roads</t>
  </si>
  <si>
    <t>To Furnish Labor and Materials for the Repair/Replacement of Defective Parts of Mitsubishi Strada SJZ-328</t>
  </si>
  <si>
    <t>Office Supplies (Supply Office)</t>
  </si>
  <si>
    <t>Rehabilitation of Multi-Purpose Building</t>
  </si>
  <si>
    <t>(20_0244) MEDIA MONITORING SERVICES: FOR THE YEAR 2020</t>
  </si>
  <si>
    <t>Stainless Steel Cart</t>
  </si>
  <si>
    <t>Concreting of Pathwalk at Cabaoangan Farm to Market Road, Brgy. Siblot, San Nicolas, Pangasinan</t>
  </si>
  <si>
    <t>Construction of Multi-Purpose Building (Brgy. Hall), Brgy. Linta-on, Baybay City Leyte</t>
  </si>
  <si>
    <t>Supply and Delivery of Digital Copyprinter for DepEd Buenavista</t>
  </si>
  <si>
    <t>RFQ-DVO-PR.NO. 2008060 CAT. 80 FUEL, OIL, LUBRICANTS AND SERVICING</t>
  </si>
  <si>
    <t>PATHWAY OF BARANGAY</t>
  </si>
  <si>
    <t>Outstanding and Community</t>
  </si>
  <si>
    <t>FOR MAYOR'S OFFICE VEHICLE USE.</t>
  </si>
  <si>
    <t>Bid No. 20-0414 - PROCUREMENT OF CONSTRUCTION MATERIAL - MEO OPERATIONS (CONSTRUCTION OF CONCRETE CANAL LINING - RIZAL STREET, BRGY. POBLACION, MARAGUSAN, DAVAO DE ORO)</t>
  </si>
  <si>
    <t>Construction of  Drainage Canal</t>
  </si>
  <si>
    <t>For use in City Auditor's Office, Surigao City.</t>
  </si>
  <si>
    <t>RFQ-DVO-PR.NO. 2008058 CAT. 56 SPARE PARTS FOR LIGHT &amp; HEAVY EQUIPMENT</t>
  </si>
  <si>
    <t>Procurement of one unit Mobile Water Filtration System</t>
  </si>
  <si>
    <t>2020-08-050 - Purchase of Diesel Fuel for Construction Section, DPWH-UKDEO</t>
  </si>
  <si>
    <t>Concreting of Quiray Road in Sitio Kadampat at Brgy. Bolo, Labrador, Pangasinan</t>
  </si>
  <si>
    <t>SUPPLIES AND MATERIALS FOR REPRODUCTION OF MODULES</t>
  </si>
  <si>
    <t>MABBALAT DRAINAGE CONTINUATION (NEAR POLEN BAHNI'S PLACE)</t>
  </si>
  <si>
    <t>Purchase of Office Supplies for BAC Office Use</t>
  </si>
  <si>
    <t>DRONE</t>
  </si>
  <si>
    <t>Procurement and Delivery of one (1) Unit Brand New Rescue Vehicle</t>
  </si>
  <si>
    <t>Chicken, broiler, dressed and drawn, freshly</t>
  </si>
  <si>
    <t>Barangay Pantawid at Pamproteksyon para sa Pamayanan</t>
  </si>
  <si>
    <t>Construction R.C. Water Reservoir</t>
  </si>
  <si>
    <t>CONSTRUCTION OF SLOPE PROTECTION</t>
  </si>
  <si>
    <t>Other Supplies and Materials</t>
  </si>
  <si>
    <t>Purchase of IT Equipment (DepEd-Alburquerque District)</t>
  </si>
  <si>
    <t>Technology Kit: Provision of Peanut Seeds to Agrarian Beneficiaries of Valderrama, Antique</t>
  </si>
  <si>
    <t>Bid No. 20-0415 - PROCUREMENT OF CONSTRUCTION MATERIALS - MEO OPERATIONS (CONSTRUCTION OF DIKES ALONG RIVERBANKS/RIVERBANKS STABILIZATION - TIPNASAN CREEK, BARANGAY MAGCAGONG, MARAGUSAN, DAVAO DE ORO)</t>
  </si>
  <si>
    <t>MPDO-2020-02</t>
  </si>
  <si>
    <t>Pork, lean meat</t>
  </si>
  <si>
    <t>LOT Procurement of T-SHIRT with PRINT for the Use of the Provincial Governor’s Office</t>
  </si>
  <si>
    <t>Rehabilitation and Maintenance of CCTV &amp; Public Address System</t>
  </si>
  <si>
    <t>Supply and Delivery of Thirteen (13) Pulse Oximeter</t>
  </si>
  <si>
    <t>Supply, Fabrication, and Installation of Multi-Functional Digital Score Board with Complete Accessories</t>
  </si>
  <si>
    <t>REHABILITATION OF INWALOY-MAGULON ACCESS ROAD(NEGOTIATED PROCUREMENT)</t>
  </si>
  <si>
    <t>SUPPLY AND DELIVERY OF CONSTRUCTION MATERIALS FOR IMPROVEMENT OF EVACUATION CENTER</t>
  </si>
  <si>
    <t>Procurement of Chlorine 2020</t>
  </si>
  <si>
    <t>Office Supplies for Gradschool Programs AACCUP Accredetation</t>
  </si>
  <si>
    <t>Procurement of Materials for the Concreting of E. Campos</t>
  </si>
  <si>
    <t>Concreting of Litac – Namacalan Road at Brgy. Boboy, Agno, Pangasinan</t>
  </si>
  <si>
    <t>Supply and Delivery of Two (2) Pressure/Volume Ventilator (2 in 1)</t>
  </si>
  <si>
    <t>Gloves</t>
  </si>
  <si>
    <t>Filling Materials (Dacal-Dacal)</t>
  </si>
  <si>
    <t>Supply and Delivery of Materials for Under Brushing &amp; Fencing Works with Concrete Post</t>
  </si>
  <si>
    <t>20PL0126 - Construction of 2STY4CL (Modified Plan), Pantar Elementary School, Tabuk City, Kalinga</t>
  </si>
  <si>
    <t>Bid No. 20-0416 - PROCUREMENT OF OFFICE EQUIPMENT - DEPED (LANGGAWISAN NATIONAL HIGH SCHOOL)</t>
  </si>
  <si>
    <t>Other Machinery and Equipment</t>
  </si>
  <si>
    <t>Online Educational Materials</t>
  </si>
  <si>
    <t>Donation for Barangay Office of San Juan</t>
  </si>
  <si>
    <t>LCPC Other Supplies and Material Expenses</t>
  </si>
  <si>
    <t>Supply and Delivery of Office Furnitures and Fixtures for Mount Kanlaon Natural Park</t>
  </si>
  <si>
    <t>Office Supplies and Devices for Face Shields Making</t>
  </si>
  <si>
    <t>Reconstruction of Three (3) Barrel Reinforced Concrete Box Culvert</t>
  </si>
  <si>
    <t>Office and Computer Supplies and Equipment -SMD</t>
  </si>
  <si>
    <t>INK (FOR PRINTING MODULE)</t>
  </si>
  <si>
    <t>Supply and Delivery of Common Office Supplies</t>
  </si>
  <si>
    <t>LOT Procurement of MATERIALS for Use in the Construction of Potable Water System at Sitio Lungagon, Brgy. Lucatan, Tarragona, Davao Oriental</t>
  </si>
  <si>
    <t>Hiring of Service Vehicle for FGD Briefing/Orientation of RRP Research Protocol</t>
  </si>
  <si>
    <t>DISASTER RISK REDUCTION &amp; MANAGEMENT PROGRAMS, PROJECT &amp; ACTIVITIES</t>
  </si>
  <si>
    <t>Supply and Delivery of Various ICT Equipment and Accessories</t>
  </si>
  <si>
    <t>OFFICE SUPPLIES (AUGUST - OCTOBER)</t>
  </si>
  <si>
    <t>SUPPLY AND DELIVERY OF MOTORCYCLE INTENDED FOR SOLID WASTE MANAGEMENT OF THE BARANGAY POBLACION GARBAGE COLLECTION AND DISPOSAL/2020-001.</t>
  </si>
  <si>
    <t>One (1) Job Order for the Supply of Labor, Materials and Equipment for Concreting of Road</t>
  </si>
  <si>
    <t>Concreting of Farm to Market Road at Brgy. Payar, Malasiqui, Pangasinan</t>
  </si>
  <si>
    <t>Concreting of Road / Alley at Sitio San Isidro</t>
  </si>
  <si>
    <t>Supply and Delivery of Various Tool Bit Insert and Holders (9 items)</t>
  </si>
  <si>
    <t>GOODS-ITB 2020-08-016 SUPPLY AND DELIVERY OF CONSTRUCTION MATERIALS FOR THE IMPROVEMENT OF STREET LIGHTS IN LAPINIG, N. SAMAR (1ST POSTING)</t>
  </si>
  <si>
    <t>Construction of Slope Protection and Line Canal @ Diversion Road, Bolod &amp; Terraplin</t>
  </si>
  <si>
    <t>Bid No. 20-0417 - PROCUREMENT OF OFFICE EQUIPMENT - DEPED (BAGONG SILANG NATIONAL HIGH SCHOOL)</t>
  </si>
  <si>
    <t>Supply and Delivery of Pipes &amp; Fittings</t>
  </si>
  <si>
    <t>Purchase of Furniture for the repair of the Administrative Section</t>
  </si>
  <si>
    <t>RFQ-DVO-PR.NO. 2008122 NO CATEGORY</t>
  </si>
  <si>
    <t>Supply and Delivery of Photocopying and School Supplies for Brgy. Poblacion, Toledo City</t>
  </si>
  <si>
    <t>Supply and Delivery of Tools and Equipment, Personal Protective Equipment and Construction Supplies</t>
  </si>
  <si>
    <t>CANOPY FOR PICK UP NISSAN 4 X 4 NISSAN NAVARRA</t>
  </si>
  <si>
    <t>IT/ICT Equipment and Accessories</t>
  </si>
  <si>
    <t>PROCUREMENT OF MATERIALS FOR IMPROVEMENT OF PATHWAY</t>
  </si>
  <si>
    <t>PURCHASE OF 3 UNITS OF TABLE TOP TYPE PHOTOCOPIER MACHINE</t>
  </si>
  <si>
    <t>Construction of Box Culvert at Sitio Apoler, Tobuan, Labrador, Pangasinan</t>
  </si>
  <si>
    <t>Procurement of Water Meters with Flow Meter 2020</t>
  </si>
  <si>
    <t>ICT Equipment, Accessories and Paraphernalia</t>
  </si>
  <si>
    <t>REHAB AND IMPROVVEMENT OF AURORA TO LEPANTO ROAD (GABIONS)</t>
  </si>
  <si>
    <t>Delivery of Office Supplies and Equipments</t>
  </si>
  <si>
    <t>20GGH0033 – Purchase of Asphalt Materials for use in the Repair and Maintenance of Various Road Sections of Iloilo 3rd DEO</t>
  </si>
  <si>
    <t>Supply and Delivery of Materials for the Construction of Aluyan Tricycle Bridge Crossing</t>
  </si>
  <si>
    <t>20CSN020; CONSULTING SERVICES FOR THE CONDUCT OF GEOTECHNICAL AND GEOLOGICAL SURVEY/ INVESTIGATIONS FOR THE CONSTRUCTION OF BENONI BRIDGE ALONG SURIGAO-DAVAO COASTAL ROAD, CARRASCAL, SURIGAO DEL SUR</t>
  </si>
  <si>
    <t>Concreting of Road / Pathwalk at Brgy. Flores, San Manuel, Pangasinan</t>
  </si>
  <si>
    <t>Materials for Widening of Barangay Road (FTMR) Purok 5</t>
  </si>
  <si>
    <t>Purchase of Books</t>
  </si>
  <si>
    <t>Supply and Delivery of Fry Through and other materials use on establishment of intensive tilapia hatchery system for registered hatcheries under ALPAS Project</t>
  </si>
  <si>
    <t>2nd Posting- Procurement of ICT Equipment</t>
  </si>
  <si>
    <t>FOODSTUFF</t>
  </si>
  <si>
    <t>Bid No. 20-0418 - PROCUREMENT OF OFFICE EQUIPMENT - DEPED (BAGONG SILANG NATIONAL HIGH SCHOOL</t>
  </si>
  <si>
    <t>Supply and Delivery of one (1) unit of Thermal Camera for PNOC EC Mine 3 Coal Project</t>
  </si>
  <si>
    <t>For use  at DPWH Quezon I DEO, Lucban, Quezon (Planning &amp; Design Section)</t>
  </si>
  <si>
    <t>20FF0103 - Concreting of Farm-to-Mill Roads, Zone 7, Brgy. Binanuaanan, Pili, Camarines Sur</t>
  </si>
  <si>
    <t>Purchase of CCTV and Fire Alarm System for EIM NCII of SHS TVL and JHS TVE Program</t>
  </si>
  <si>
    <t>Supply and delivery of construction materials for the improvement of day care center @ Licor St., Poblacion Norte, Paniqui, Tarlac</t>
  </si>
  <si>
    <t>Supply and Delivery of Office Supply and Consumable (ACCRE)</t>
  </si>
  <si>
    <t>RFQ-DVO-PR.NO. 2008028 CAT. 6 AUTO REPAIR SHOP</t>
  </si>
  <si>
    <t>101-20-08-RFQ1052 - USE FOR MIO-CDIAP OPERATION (OFFICE SUPPLIES EXPENSES) 2ND QUARTER</t>
  </si>
  <si>
    <t>computer</t>
  </si>
  <si>
    <t>OFFICE EQUIPMENT SUPPLIES &amp; CONSUMABLES</t>
  </si>
  <si>
    <t>SUPPLY AND DELIVERY OF MATERIALS TO BE USED IN  INSTALLATION OF STREET LIGHTS, SITIO CAMIA, BARANGAY SAN PEDRO</t>
  </si>
  <si>
    <t>Supply and Delivery of Medical Supplies</t>
  </si>
  <si>
    <t>Construction of Concrete Bridge</t>
  </si>
  <si>
    <t>20GGH0034 – Purchase of Portland Cement, Chippings and Fine Aggregates for the Repair and Maintenance of various Road Sections of Iloilo 3rd DEO</t>
  </si>
  <si>
    <t>Laptop for RHU TB DOTS Program and FHSIS reports &amp; Television for TB DOTS building</t>
  </si>
  <si>
    <t>Procurement of Office Supplies for the Sustainment of OCD RO3 for 3rd Quarter FY 2020</t>
  </si>
  <si>
    <t>Appliances for Mini Hotel</t>
  </si>
  <si>
    <t>Supply and Delivery of Acrylic Sneeze Guard</t>
  </si>
  <si>
    <t>REHABILITATION OF BARANGAY HALL</t>
  </si>
  <si>
    <t>Supply and Delivery of Bamboo (Kawayan) and Nylon Rope</t>
  </si>
  <si>
    <t>SUPPLY AND DELIVERY OF VARIOUS RESCUE EQUIPMENT</t>
  </si>
  <si>
    <t>Purchase of 4 in 1 Printer Machines</t>
  </si>
  <si>
    <t>Procurement of Generator Sets</t>
  </si>
  <si>
    <t>PROCUREMENT OF MEDICAL SUPPLIES</t>
  </si>
  <si>
    <t>20CSN021; CONSULTING SERVICES FOR THE CONDUCT OF GEOTECHNICAL AND GEOLOGICAL SURVEY/ INVESTIGATIONS FOR THE CONSTRUCTION OF TAGO - GAMUT BRIDGE ALONG SURIGAO - DAVAO COASTAL ROAD, TAGO, SURIGAO DEL SU</t>
  </si>
  <si>
    <t>20GGH0035 – Purchase of Aggregate Base Coarse (Item 201) for the use of Resurfacing of Shoulder of National Roads</t>
  </si>
  <si>
    <t>ITB No. 20-31 Procurement of Drugs and Medicines</t>
  </si>
  <si>
    <t>Purchase &amp; Delivery of Janitorial &amp; Other Supplies for the Office of SPM Mildred M. Elaydo</t>
  </si>
  <si>
    <t>CONSTRUCTION OF CANAL COVER LOCATED AT ZONE 5 (MESTIZO RIVER) AT BARANGAY TAMAG, VIGAN CITY</t>
  </si>
  <si>
    <t>Supply and Delivery of Fruit Tree and Forest Tree Seedlings</t>
  </si>
  <si>
    <t>office equipment</t>
  </si>
  <si>
    <t>Provision/Rehabilitation of Drainage System w/ Catch Basin</t>
  </si>
  <si>
    <t>laptop</t>
  </si>
  <si>
    <t>101-20-08-RFQ1056 - USE FOR PNP OPERATIONS</t>
  </si>
  <si>
    <t>ITB No. SJdB-2020-009: Construction of a Barangay Health Station at Brgy. 1</t>
  </si>
  <si>
    <t>Construction &amp; Improvement of Concrete Pathway in Purok 8, Poblacion, Kolambugan, LDN</t>
  </si>
  <si>
    <t>Materials for the Construction of Reservoir</t>
  </si>
  <si>
    <t>ITB No. (INF) 2020-08-119 FISH AND MARINE SANCTUARY REHABILITATION (CONSTRUCTION OF CONCRETE GUARDHOUSE WITH WATCH TOWER), Brgy. Sta. Margarita, Quinapondan, Eastern Samar</t>
  </si>
  <si>
    <t>RFQ-DVO-PR.NO. 2008072 CAT. 6 AUTO REPAIR SHOP</t>
  </si>
  <si>
    <t>Procurement of 1 Package Improvement of City Accountants Office (Materials Only) under P.R.No. 2561-2020-Office of the City Accountant</t>
  </si>
  <si>
    <t>101-20-08-RFQ1055 - USE FOR PNP OPERATIONS</t>
  </si>
  <si>
    <t>PRINTING OF JOURNAL FOR QUALITY ASSURANCE TEACHING MANUAL (QATM)</t>
  </si>
  <si>
    <t>CONSTRUCTION OF INFIRMARY ANNEX BUILDING</t>
  </si>
  <si>
    <t>LOT Procurement of AIR CONDITIONING UNITS with Installation for the Use of DOPH Gov. Generoso</t>
  </si>
  <si>
    <t>CONSTRUCTION OF DRAINAGE SYSTEM</t>
  </si>
  <si>
    <t>BARANGAY HALL ROOFING, STAIR &amp; TILES AT BARANGAY TAMAG, VIGAN CITY</t>
  </si>
  <si>
    <t>RFQ-DVO-PR.NO. 2008063 CAT. 6 AUTO REPAIR SHOP</t>
  </si>
  <si>
    <t>Purchase of Medical Supplies for use during the Social Hygiene Clinic (COVID-19) of the City Health Office, for the 3rd &amp; 4th Quarter</t>
  </si>
  <si>
    <t>RFQ-DVO-PR.NO. 2008049 CAT. 56 SPARE PARTS FOR LIGHT &amp; HEAVY EQUIPMENT</t>
  </si>
  <si>
    <t>RFQ-DVO-PR.NO. 2007394 CAT. 6 AUTO REPAIR SHOP</t>
  </si>
  <si>
    <t>Purchase of Construction Supplies and Materials</t>
  </si>
  <si>
    <t>LOT Procurement of AIR CONDITIONING UNITS with Installation for the Use of DOPMC</t>
  </si>
  <si>
    <t>Concreting of Sitio Labayao Brgy. Alangilan FMR</t>
  </si>
  <si>
    <t>Purchase of Solar Lights</t>
  </si>
  <si>
    <t>REPLACEMENT OF TERMITE INFESTED WALL ST PQS-ILIGAN</t>
  </si>
  <si>
    <t>Procurement of Laboratory supplies needed for the processing of VCO under BAR funded project</t>
  </si>
  <si>
    <t>REQUEST FOR A QUOTATION - FOR DISINFECTION AND DECONTAMINATION OF MUNICIPAL BUILDING, PUBLIC MARKET, MUNICIPAL QUARANTINE FACILITY, NATIONAL ROADS, BFP, PNP STATION, MUNICIPAL PLAZA AND OTHER PUBLIC B</t>
  </si>
  <si>
    <t>Procurement of Fuel &amp; Oil, LGU-CAO, Baybay City, Leyte</t>
  </si>
  <si>
    <t>Supply and Delivery of Three (3) Pressure/Volume Ventilator (3 in 1)</t>
  </si>
  <si>
    <t>Metal Cabinet</t>
  </si>
  <si>
    <t>Procurement of Various Plumbing Materials</t>
  </si>
  <si>
    <t>Procurement of Communication Equipment for Disater Preparedness and Rescue Use, LGU-Tagudin, Ilocos Sur</t>
  </si>
  <si>
    <t>REPAIR OF COA OFFICE</t>
  </si>
  <si>
    <t>20CSN022: CONSULTING SERVICES FOR THE CONDUCT OF GEOTECHNICAL AND GEOLOGICAL SURVEY/INVESTIGATIONS FOR THE CONSTRUCTION OF HUBO-BRIDGE ALONG SURIGAO-DAVAO COASTAL ROAD, SAN AGUSTIN,SURIGAO DEL SUR</t>
  </si>
  <si>
    <t>Purchase of Two (2) Units Motorcycle.</t>
  </si>
  <si>
    <t>MATERIALS FOR REPRODUCTION OF SELF-LEARNING MODULES MANOLO DISTRICT</t>
  </si>
  <si>
    <t>Purchase of Equipment/Devices and Materials/Supplies for Agriculture and Carpentry (DepEd BAIS)</t>
  </si>
  <si>
    <t>Multi purpose Court Concreting &amp; Fencing</t>
  </si>
  <si>
    <t>SUPPLY, DELIVERY AND INSTALLATION OF INDOOR SIGNAGES (SSS ANGELES BRANCH)</t>
  </si>
  <si>
    <t>SUPPLY OF MATERIALS FOR THE COMPLETION OF SHORE PROTECTION</t>
  </si>
  <si>
    <t>S/D of 249 Pair	Combat Boots Alpha, Urban Use</t>
  </si>
  <si>
    <t>Supply and delivery of Microfilm Processing supplies and materials (2nd Posting)</t>
  </si>
  <si>
    <t>ECG METAL AND RUBBER BULB</t>
  </si>
  <si>
    <t>Clozapine 100mg</t>
  </si>
  <si>
    <t>ITB No. SJdB-2020-008: Construction of a Barangay Health Station (BHS) at Brgy. Atabay</t>
  </si>
  <si>
    <t>Delivery of Various Office Equip, ICT Equip, Communication Equip, Furniture &amp; Fixtures and Other Property, Plant &amp; Equipment (NP/PB 20-0940)</t>
  </si>
  <si>
    <t>PURCHASE OF RICE FOR THE CONSTITUENTS WHO ARE AFFECTED BY THE PANDEMIC COVID-19</t>
  </si>
  <si>
    <t>ISC-20-0340-B PURCHASE OF FAX MACHINE</t>
  </si>
  <si>
    <t>Supply and Delivery of Satellite Phone for use of  Sanguniang Bayan Office in the Municipality of Calayan, Province of Cagayan</t>
  </si>
  <si>
    <t>AMIA-20-3092:Procurement of Office Supplies to be used in the Planning, Monitoring and Evaluation Division</t>
  </si>
  <si>
    <t>Fabrication and Installation of Eighty (80) Units of Aquaponics System</t>
  </si>
  <si>
    <t>for Mayor's Office use</t>
  </si>
  <si>
    <t>Procurement of Airconditioning Units</t>
  </si>
  <si>
    <t>CONSTRUCTION OF DRAINAGE CANAL AT BARANGAY SAN JULIAN NORTE, VIGAN CITY</t>
  </si>
  <si>
    <t>Supply and Delivery of Software and IT Equipment</t>
  </si>
  <si>
    <t>101-20-08-RFQ1053 - USE FOR MEEDO / TERMINAL 3RD QUARTER</t>
  </si>
  <si>
    <t>RFQ-DVO-PR.NO. 2007193 CAT. 13 COMPUTER SUPPLIES AND MATERIALS</t>
  </si>
  <si>
    <t>Construction of Well Source (6”diam. Casing, 54m depth)</t>
  </si>
  <si>
    <t>S1-IDP20-001 (PB2) - Supply and Delivery of PMS Spare Parts for Unit 1 &amp; 2 - 163kW Dale Perkins, 2006-TG1, 6 Cylinders of Itbayat DPP</t>
  </si>
  <si>
    <t>Procurement of Hardware and Construction Supplies for SAN RAFAEL NORTE</t>
  </si>
  <si>
    <t>Rehabilition of Concrete Foothpath Bridge</t>
  </si>
  <si>
    <t>Various Medical Supplies for the use at CSR Section of NOPH (B-129-2020)</t>
  </si>
  <si>
    <t>NETWORK FIREWALL (5 MONS. LICENSE SUBSCRIPTION)</t>
  </si>
  <si>
    <t>Procurement of 930 bags Urea Fertilizer for rehabilitation and recovery of damage caused by Taal Eruption</t>
  </si>
  <si>
    <t>20DB0143 Construction of Multi-Purpose Building Phase II, Taal, Batangas</t>
  </si>
  <si>
    <t>RICE20-08-18-1046 Provide catering services during the conduct of FGD Briefing/Orientation of RRP Research Protocol and Procedure in Achieving Outputs.</t>
  </si>
  <si>
    <t>RFQ-DVO-PR.NO. 2008055 CAT. 14 CONSTRUCTION SUPPLIES AND MATERIALS</t>
  </si>
  <si>
    <t>75009_Supply &amp; Delivery of Tire 10 x 20</t>
  </si>
  <si>
    <t>SUPPLY AND DELIVERY OF CONSTRUCTION MATERIALS FOR WATER SYSTEM EXPANSION</t>
  </si>
  <si>
    <t>Construction Supplies for repair and repaint of perimeter fence, replacement of busted in perimeter and offices and repair of air-con drain multipurpose Building</t>
  </si>
  <si>
    <t>Procurement of Appliances</t>
  </si>
  <si>
    <t>Purchase of Knapsack Sprayer (Stainless)</t>
  </si>
  <si>
    <t>Repair/Rehabilitation of Barangay Health Center 2 at Brgy. San Antonio, Binan City, Laguna</t>
  </si>
  <si>
    <t>Contract of Service for the Enhanced Medical Insurance of Job-Order Employees of the City Government of San Fernando, Pampanga for 2020-2021</t>
  </si>
  <si>
    <t>Medical and other Laboratory Supplies (Rapid Test Kit)</t>
  </si>
  <si>
    <t>For the Annual Physical Examination of the Women Employees of DPWH Quezon I DEO  (GAD)</t>
  </si>
  <si>
    <t>Procurement of Monoblock Chairs</t>
  </si>
  <si>
    <t>Re-bidding for the Procurement  of Services for the Installation and Cable TV Subscription for CF-Bacolod for One (1) Year under SV20-06-002BACa-08</t>
  </si>
  <si>
    <t>20DB0144 Construction of Multi-Purpose Center, Brgy. Carsuche, Taal, Batangas</t>
  </si>
  <si>
    <t>Supply and delivery of construction materials for the concreting of pathway @ Sta. Rosa St., Poblacion Norte, Paniqui, Tarlac</t>
  </si>
  <si>
    <t>Purchase of Office Supplies (Consumables)</t>
  </si>
  <si>
    <t>Construction of Flood Control at Brgy. Sorioan, Salcedo, Ilocos Sur</t>
  </si>
  <si>
    <t>RFQ-DVO-PR.NO. 2008116 NO CATEGORY</t>
  </si>
  <si>
    <t>Construction of Open Canal at So. Poblacion, Barangay Sabang</t>
  </si>
  <si>
    <t>Supply and Delivery of Pre-Mix Asphalt and Emulsified Asphalt</t>
  </si>
  <si>
    <t>20CSN023;CONSULTING SERVICES FOR THE GEOTECHNICAL AND GEOLOGICAL SURVEY/INVESTIGATIONS FOR THE CONSTRUCTION OF COLORADO BRIDGE ALONG CIRCUMFERENTIAL ROAD LEADING TO LAKE MAINIT, JABONGA, AGUSAN DEL NO</t>
  </si>
  <si>
    <t>IT Accessories for office use</t>
  </si>
  <si>
    <t>PROCUREMENT OF SCHOOL AND OFFICE SUPPLIES</t>
  </si>
  <si>
    <t>Procurement of various Medical Equipment</t>
  </si>
  <si>
    <t>Supply and Delivery of Materials for the Construction of Barangay Multi-Purpose Hall, Sta. Maria</t>
  </si>
  <si>
    <t>FIXTURES</t>
  </si>
  <si>
    <t>INSTALLATION OF TRANSFORMER FOR USE OF THE MUNICIPAL RURAL HEALTH UNIT</t>
  </si>
  <si>
    <t>Purchase of COVID-19 Protective Supplies</t>
  </si>
  <si>
    <t>Materials for the  Re-blocking of  Roadway  at  So. Poblacion,   Barangay Sabang</t>
  </si>
  <si>
    <t>Materials for the Construction of Reservoir and Collection Box</t>
  </si>
  <si>
    <t>Supply, Delivery, Dismantling and Installation of Ceiling Mounted Inverter ACU-Split Type 3 TR</t>
  </si>
  <si>
    <t>CONCRETING OF BRGY ROAD</t>
  </si>
  <si>
    <t>Purchase of food supplies for the operation of Bahay Pag-Asa in the City of Binan, Laguna</t>
  </si>
  <si>
    <t>101-20-08-RFQ1051 - ACQUISITION OF HEAVY EQUIPMENT - TRANSIT MIXER</t>
  </si>
  <si>
    <t>SUPPLY AND DELIVERY OF CONSTRUCTION MATERIALS USE FOR CONSTRUCTION OF MULTI PURPOSE CENTER @ BARANGAY CEBULAN, ESPERANZA, AGUSAN DEL SUR</t>
  </si>
  <si>
    <t>Supply and Delivery of Gang Chair for Lobbies</t>
  </si>
  <si>
    <t>Labor and Materials for the Installation of Electricity in a 3-Storey Building Extension of Bocaue Hills Elementary School at Batia, Bocaue, Bulacan</t>
  </si>
  <si>
    <t>RFQ-DVO-PR.NO. 2008130 CAT. JANITORIAL SUPPLIES AND MATERIALS</t>
  </si>
  <si>
    <t>20DB0147 Construction of Elementary and Secondary Classrooms under the DepEd’s CY 2020 Basic Educational Facilities Fund- Construction of Classrooms, 2STY 6CL at Ananias C. Hernandez Memorial National</t>
  </si>
  <si>
    <t>PRINTING OF MODULES</t>
  </si>
  <si>
    <t>Construction of Potable Water System, Brgy. Sta. Maria</t>
  </si>
  <si>
    <t>20HC0191- REHABILITATION OF THE ROAD DAMAGED BY EARTHQUAKE AT BRGY. BONBON, CLARIN, BOHOL</t>
  </si>
  <si>
    <t>Renovation of Customer Care Center of the Port of NAIA</t>
  </si>
  <si>
    <t>improvement of multi-purpose building</t>
  </si>
  <si>
    <t>REHABILITATION OF  HEALTH CENTER AT BARANGAY GUINHAWA TAYSAN BATANGAS</t>
  </si>
  <si>
    <t>DTI-Pangkabuhayan sa pag Bangon at Ginhawa (DTI-PBG) : A Livelihood Seeding Program for Microenterprises</t>
  </si>
  <si>
    <t>RFQ-DVO-PR.NO. 2008114 CAT. 35 GROCERIES</t>
  </si>
  <si>
    <t>for D.A Office use</t>
  </si>
  <si>
    <t>Purchase of Flash Drives as storage device of e-modules for UPVTC Students</t>
  </si>
  <si>
    <t>Construction of Senior Citizen Building at Brgy. Baluyot, Bautista, Pangasinan</t>
  </si>
  <si>
    <t>RFQ-DVO-PR.NO. 2008065 CAT. 39 MEDICAL SUPPLIES AND MATERIALS</t>
  </si>
  <si>
    <t>PURCHASE OF I.C.T., FURNITURE AND FIXTURES AND OFFICE EQUIPMENT</t>
  </si>
  <si>
    <t>LED TV Flat Screen TV</t>
  </si>
  <si>
    <t>Procurement of Vehicle Repair and Maintenance under P.R.Nos. 1886-2020(City Environment &amp; Natural Resources Office- City Parks and Waterways Services Division),etc.-1Lot.</t>
  </si>
  <si>
    <t>RENOVATION OF MULTI-PURPOSE HALL</t>
  </si>
  <si>
    <t>LCWD-2020-025 Various Fittings – Regular Stocks (Re-Bid)</t>
  </si>
  <si>
    <t>Riprapping of Barangay Roads</t>
  </si>
  <si>
    <t>Construction of Farmer's Multipurpose Pavement with drainage system in various barangays</t>
  </si>
  <si>
    <t>Diazepam 5mg</t>
  </si>
  <si>
    <t>Purchase     1 SET of   LCD  Projector for Barangay Sabang</t>
  </si>
  <si>
    <t>Supply &amp; Delivery of Medical Supplies</t>
  </si>
  <si>
    <t>Continuation of Barangay Roads</t>
  </si>
  <si>
    <t>Supply and Installation of Biometric Machine</t>
  </si>
  <si>
    <t>Supply and Delivery of Thirty-One (31) licenses (perpetual) Adobe Acrobat Professional Desktop (latest version), with Media Kit, as per BSP Terms of Reference</t>
  </si>
  <si>
    <t>2020-RFQ-041 "PURCHASE OF LAPTOP AND DESKTOP COMPUTER"</t>
  </si>
  <si>
    <t>PIS Supplemental 2020</t>
  </si>
  <si>
    <t>CONCRETING OF BARANGAY ROADS AT SITIO BALISKAR  BARANGAY STO. NIÑO TAYSAN BATANGAS</t>
  </si>
  <si>
    <t>Upgrading and Improvement of Kuli-kuli Road 3</t>
  </si>
  <si>
    <t>RFQ-DVO-PR.NO. 2008068 CAT. 69 SUBSCRIPTION</t>
  </si>
  <si>
    <t>Procurement of Materials in the Improvement Municipal Public Market</t>
  </si>
  <si>
    <t>Road Concreting, Phase II, Andico</t>
  </si>
  <si>
    <t>Contraction of Drainage Drainage System</t>
  </si>
  <si>
    <t>74918_Supply &amp; Delivery of Various Construction Supplies</t>
  </si>
  <si>
    <t>CONSTRUCTION OF REINFORCED CONCRETE CULVERT AND STORM DRAIN, AGLIPAY ST., CENTRO, SAI</t>
  </si>
  <si>
    <t>Procurement of Computerization Program Phase I, Office Links (Treasurer, SYS, Assessor)</t>
  </si>
  <si>
    <t>RFQ-DVO-PR.NO. 2008027 CAT. 14 CONSTRUCTION SUPPLIES AND MATERIALS</t>
  </si>
  <si>
    <t>REQUEST FOR SERVICES: FREIGHT/HANDLING AND OTHER CHARGES TO FURNISH TRANSPORTATION OF VARIOUS  SPAREPARTS, MATERIALS AND SUPPLIES FROM AFD WAREHOUSE, DAVAO CITY TO DINAGAT DPP</t>
  </si>
  <si>
    <t>Medical Supplies for LDDRM Office</t>
  </si>
  <si>
    <t>101-20-08-RFQ1054 - USE FOR PNP OPERATIONS</t>
  </si>
  <si>
    <t>Procurement of Medals &amp; Certificate Holder</t>
  </si>
  <si>
    <t>20DB0142 Construction of Covered Court, Lemery, Batangas</t>
  </si>
  <si>
    <t>REPAIR OF PUBLIC FACILITIES AT BARANGAY TAMAG, VIGAN CITY</t>
  </si>
  <si>
    <t>SELF - SKILLS ENHANCEMENT AND LEADERSHIP FORMATION - SPECIAL ACTION GROUP</t>
  </si>
  <si>
    <t>Heavy Duty Storage Tub (Small, Medium &amp; Large)</t>
  </si>
  <si>
    <t>20DB0145 Construction/Improvement of Multi-Purpose Building (Evacuation Center), Lemery, Batangas</t>
  </si>
  <si>
    <t>MATERIALS FOR THE REHABILITATION OF BARANGAY  HEALTH STATION (BARANGAY SEWAHON I, SAGAY CITY)</t>
  </si>
  <si>
    <t>Supply &amp; Delivery of Materials for Improvement / Repair of Bridges (Repair of Tsimber Bridges @ Cambinliw &amp; Layungan Area - Addt'l Works)</t>
  </si>
  <si>
    <t>purchased of 5000 module bag</t>
  </si>
  <si>
    <t>Improvement of Barangay Road located at Barangay Bikil, Tubungan, Iloilo</t>
  </si>
  <si>
    <t>Purchase of Chainsaw</t>
  </si>
  <si>
    <t>CONSTRUCTION OF DAY CARE CENTER-SITIO MINOROK, BRGY LIMULAN, KSK</t>
  </si>
  <si>
    <t>REHABILITATION OF HEAVY EQUIPMENT</t>
  </si>
  <si>
    <t>DA7-09-FOD-C-20-3130: Procurement of 306 bags of GM Hybrid Yellow Corn Seeds</t>
  </si>
  <si>
    <t>Supply &amp; Delivery of Materials for the Extension of Public Comfort Room(SAN DIONISIO)</t>
  </si>
  <si>
    <t>400 Reams A4 Bond Paper</t>
  </si>
  <si>
    <t>2020-185-I PROCUREMENT AND DELIVERY OF VARIOUS LABORATORY SUPPLIES FOR THE 3RD  QUARTER OF CY 2020 UNDER ILD</t>
  </si>
  <si>
    <t>UPLB-I-025-09-20 SUPPLY AND DELIVERY OF CONSTRUCTION MATERIALS AND ELECTRICAL SUPPLIES FOR UHO</t>
  </si>
  <si>
    <t>For use  at DPWH Quezon I DEO, Lucban, Quezon (Traffic Counting)</t>
  </si>
  <si>
    <t>Purchase of Tires</t>
  </si>
  <si>
    <t>Supply &amp; Delivery of Materials for the Construction of Perimeter Fence (8 Span)(SAN DIONISIO)</t>
  </si>
  <si>
    <t>Supply and Delivery of Office Device and Printer Consumables in NIA INISAIP Office</t>
  </si>
  <si>
    <t>Amiodarone Hydrochloride 50mg/ml,3ml</t>
  </si>
  <si>
    <t>Installation of Streetlights</t>
  </si>
  <si>
    <t>purchase of CCTV cameras with accessories</t>
  </si>
  <si>
    <t>Purchase of Medicines</t>
  </si>
  <si>
    <t>Supply &amp; Delivery of Medical Supplies for Livestock Production</t>
  </si>
  <si>
    <t>Procurement of Automation Equipment</t>
  </si>
  <si>
    <t>Supply and Delivery of Various Bottle Inks used in Printing Various Documents  related to MMDA-Traffic Engineering</t>
  </si>
  <si>
    <t>Stand Fan</t>
  </si>
  <si>
    <t>Construction Materials Recovery Facilities (MRF)</t>
  </si>
  <si>
    <t>Supply and Delivery of Four (4) Units of Water Pump to be used in Sewage Treatment Palnts assigned to MPCG 108 Base, EDSA Ortigas Flyover Underneath Ortigas, Mandaluyong City</t>
  </si>
  <si>
    <t>procurement of office supplies</t>
  </si>
  <si>
    <t>Supply and Delivery of One (1) unit Generator Set, 200KVA (open Type w/ Complete Accessories and Battery)</t>
  </si>
  <si>
    <t>Purchase of janitorial supplies- Mayor's Office, San Fabian, Pangasinan</t>
  </si>
  <si>
    <t>BPSU-MC-HSU COVID 19 PREVENTION</t>
  </si>
  <si>
    <t>Supply and Delivery of 4,347 pcs. Virus Transport Medium</t>
  </si>
  <si>
    <t>EDUCATIONAL  SERVICES CONSULTANCY (September 1, 2020 - December 31, 2020)</t>
  </si>
  <si>
    <t>Supply &amp; Delivery of Rabisin Vaccine for the Rabies Eradication Program</t>
  </si>
  <si>
    <t>Completion of Rizal Park, Barangay 2, Tanjay City</t>
  </si>
  <si>
    <t>PURCHASE AND DELIVERY OF MATERIAL RECOVERY FACILITY (MRF) EQUIPMENT FOR ECO-BRICK PRODUCTION</t>
  </si>
  <si>
    <t>Supply &amp; delivery of IT equipment and accessories</t>
  </si>
  <si>
    <t>CDRRMO-/CHO- PROTECTIVE EQUIPMENT SUPPLIES</t>
  </si>
  <si>
    <t>CONSTRUCTION OF BOX CULVERTS (SITIO BANCUDO, BGY. PULOT SHORE)</t>
  </si>
  <si>
    <t>PAYEO EVACUATION CENTER (PHASE II COMPLETION), BEDBED, MANKAYAN, BENGUET</t>
  </si>
  <si>
    <t>Supply and Delivery of One (1) lot Various Supplies and Ingredients for Supplementary Feeding for Day Care Children</t>
  </si>
  <si>
    <t>Supply and Delivery of Office Supplies for Reproduction of Modules (Different Offices)</t>
  </si>
  <si>
    <t>PROCUREMENT OF MEDICAL &amp; OTHER HEALTH RELATED EQUIPMENT (4) ITB No. 2020-34</t>
  </si>
  <si>
    <t>Supply and Delivery of Assorted Seedlings</t>
  </si>
  <si>
    <t>Purchase of Various Medical and Laboratory Supplies for Rural Health Unit of Mabini, Pangasinan</t>
  </si>
  <si>
    <t>20CB-GSC-541	PURCHASE OF AGRICULTURAL SUPPLIES (TRUST FUND)</t>
  </si>
  <si>
    <t>Procurement of Educational Materials/Supplies</t>
  </si>
  <si>
    <t>Repair/Maintenance of Ravelled Areas along Manila North Road and Carmen Juntion-Manat Road, Carmen, Rosales Section</t>
  </si>
  <si>
    <t>Hands-on Training on Fish Pot and Traps Construction for Basilan province under 2020 block grant</t>
  </si>
  <si>
    <t>Purhcase and Delivery of One (1) Unit of Laptop for Municipal Planning &amp; Development Coordinator Office</t>
  </si>
  <si>
    <t>Supply and Delivery of Various Office Equipment needed for the Official Activities of the Office of the Assistant General Manager for Planning</t>
  </si>
  <si>
    <t>Training on Seaweed Farming, Proper Post-Harvest and Marketing for Maguindanao province under 2020 block grant</t>
  </si>
  <si>
    <t>Improvement of Multi Purpose Center</t>
  </si>
  <si>
    <t>PURCHASE OF MATERIALS FOR INSTALLATION OF STREETLIGHTS FROM NATIONAL ROAD TO ANHS (CAMPUS B)</t>
  </si>
  <si>
    <t>Supply of Limestone for Road surfacing</t>
  </si>
  <si>
    <t>SUPPLY AND DELIVERY OF MEDICAL, DENTAL AND LABORATORY SUPPLIES</t>
  </si>
  <si>
    <t>20CSNE0002-CONSULTING SERVICES FOR THE CONDUCT OF SOIL EXPLORATION AND/OR GEOTECHNICAL INVESTIGATION     FOR THE PROPOSED CONSTRUCTION OF EVACUATION        CENTER – CLUSTER A</t>
  </si>
  <si>
    <t>Construction of Farmer's Multipurpose Building Phase II at Brgy. Sta. Maria</t>
  </si>
  <si>
    <t>PROCUREMENT OF SPARE PARTS FOR THE REPAIR AND MAINTENANCE OF CHAINSAW AND GENERATOR SET AND VARIOUS GARBAGE TRUCK</t>
  </si>
  <si>
    <t>Repair/Maintenance of Ravelled Areas and Transition of Shoulders along Binalonan-Asingan-Sta. Maria Road, Asingan Section and Mangaldan-Manaoag-Binalonan Road</t>
  </si>
  <si>
    <t>2 unit Laptop</t>
  </si>
  <si>
    <t>Consumable goods/supplies for office use</t>
  </si>
  <si>
    <t>2 units Desktop Computer</t>
  </si>
  <si>
    <t>Replacement of filter for Biotek Microplate Reader (EQP PAR-31)</t>
  </si>
  <si>
    <t>Installation of Solar Street Light (32 UNITS)</t>
  </si>
  <si>
    <t>REQUEST FOR OFFICE SUPPLIES AND EQUIPMENT FOR SENIOR HIGH SCHOOL</t>
  </si>
  <si>
    <t>Construction of Materials Recovery Facilities (MRF)</t>
  </si>
  <si>
    <t>Conversion of Old ER to Malasakit Center, Expansion of Pharmacy &amp; Ultrasound Room</t>
  </si>
  <si>
    <t>SUPPLY AND DELIVERY OF ONE (1) UNIT SERVICE VEHICLE (MOBILE AGRI-TECHNO CLINIC VEHICLE)</t>
  </si>
  <si>
    <t>Delivery of Office Supplies and Consumables</t>
  </si>
  <si>
    <t>Purchase of Uniforms for BPSU Personnel - Mayor's Office</t>
  </si>
  <si>
    <t>Materials for Installation of Streetlights –Remerco Subdivision , Brgy. Zone I and Zone II</t>
  </si>
  <si>
    <t>Supply and Delivery of Hybrid Rice Seeds for use under Increase Adoption of High Quality Seeds (Hybrid Seeds Distributed).</t>
  </si>
  <si>
    <t>Procurement of Reproduction Services</t>
  </si>
  <si>
    <t>PROCUREMENT OF DIGITAL EDUCATION SUPPORT PACKAGE FOR THE SDO-SAN JUAN CITY</t>
  </si>
  <si>
    <t>Construction of Municipal Boundaty Arc</t>
  </si>
  <si>
    <t>2500 kgs Hauling, Treatment</t>
  </si>
  <si>
    <t>20CB-GSC-542	PURCHASE OF CONSTRUCTION MATERIALS (TRUST FUND)</t>
  </si>
  <si>
    <t>REQUEST FOR OFFICE SUPPLIES AND DEVICES FOR JUNIOR HIGH SCHOOL</t>
  </si>
  <si>
    <t>Other Supplies</t>
  </si>
  <si>
    <t>CONSTRUCTION OF BLEACHER (PHASE 2)</t>
  </si>
  <si>
    <t>Hands-on Training on Tilapia Culture and Organic  Feed Making for Lanao del Sur province under 2020 block grant</t>
  </si>
  <si>
    <t>Provision of Health Care Supplies for Kinder to Grade 6 Learners</t>
  </si>
  <si>
    <t>Supply and Delivery One Transport Ventilator</t>
  </si>
  <si>
    <t>Supply and Delivery of Materials for Improvement of Multi Purpose Building</t>
  </si>
  <si>
    <t>Construction and delivery of 2 units Motorized Boat for Seaweed Buying Station for Tawi-Tawi province under the 2020 block grant</t>
  </si>
  <si>
    <t>SUPPLY AND DELIVERY OF SUPPLIES FOR NATIONAL DISASTER RESILIENCE MONTH IN LINE WITH COVID-19 PREVENTION AND CONTROL</t>
  </si>
  <si>
    <t>2020-08-0170 Supply and Delivery of Various Office Supplies for DOH-DATRC City of Ilagan, Isabela</t>
  </si>
  <si>
    <t>Supply and Delivery of Office Equipment for Radyo Kamalindig</t>
  </si>
  <si>
    <t>Supply and Delivery One Unit Spirometer, portable</t>
  </si>
  <si>
    <t>Repair/Maintenance of Drainage System along CSR K0008+479 – K0008+643, Calapan City</t>
  </si>
  <si>
    <t>supply and delivery of office supplies for City Mayor's Office</t>
  </si>
  <si>
    <t>PROCUREMENT OF FERTILIZER (OMAG)</t>
  </si>
  <si>
    <t>Supply and Installation of electrmechanical equipment's for Buted Pump station of Talugtug Water District</t>
  </si>
  <si>
    <t>BPSU-MC-HSU Medical Supplies</t>
  </si>
  <si>
    <t>Supply and delivery of 17,000 kgs quality seaweed seedlings/propagules for Tawi-Tawi province under the 2020 block grant</t>
  </si>
  <si>
    <t>Repair and Rehabilitation of Farm to Market Road</t>
  </si>
  <si>
    <t>Supply and Delivery of 45 sets Marine Gillnets for Tawi-Tawi Province under 2020 block grant</t>
  </si>
  <si>
    <t>Supply and Delivery of One (1) Patient Monitor  (MRI Compatible)</t>
  </si>
  <si>
    <t>Construction of Multi-Purpose Hall Brgy. Pambisan Munti</t>
  </si>
  <si>
    <t>SUPPLY AND DELIVERY OF VARIOUS ELECTRICAL SPARE PARTS FOR 106 KW CUMMINS INTENDED FOR BOHOL 2 MINI GRID</t>
  </si>
  <si>
    <t>Construction of Concrete Bench (Brgy. Lanao)</t>
  </si>
  <si>
    <t>Purchase of Office Equipments and Materials</t>
  </si>
  <si>
    <t>PROCUREMENT OF OFFICE SUPPLIES - MAYOR'S OFFICE</t>
  </si>
  <si>
    <t>Supply and delivery of 2 units of fish cages (for Marine Water) with 4 compartment of net cages for Tawi-Tawi Province under 2020 block grant</t>
  </si>
  <si>
    <t>PROPOSED BARANGAY ROADS CONCRETING</t>
  </si>
  <si>
    <t>Supply and Delivery of Module Level 1 and Level 2</t>
  </si>
  <si>
    <t>Supply and Delivery of One (1) set Video Laryngoscope with  Monitor and Blades</t>
  </si>
  <si>
    <t>Supply and delivery of 5 units noodle machine for Tawi-Tawi 2020 block grant</t>
  </si>
  <si>
    <t>Supply and Delivery of One (1) Pressure/Volume Ventilator (4 in 1)</t>
  </si>
  <si>
    <t>Peroxygen Based Disinfectant</t>
  </si>
  <si>
    <t>Supply and delivery of 2 units of Weighing Scale for Seaweed Buying Station for Tawi-Tawi province under the 2020 block grant</t>
  </si>
  <si>
    <t>Fabrication and delivery of 5 units Portable Smoke House for Tawi-Tawi Province under 2020 block grant</t>
  </si>
  <si>
    <t>Delivery of 2 units of Generators for Seaweed Buying Station for Tawi-Tawi province under the 2020 block grant</t>
  </si>
  <si>
    <t>Conversion of DBM ROV tubelights from conventional lights to LED lights</t>
  </si>
  <si>
    <t>PROCUREMENT OF OFFICE SUPPLIES AND DEVICES</t>
  </si>
  <si>
    <t>Supply and Delivery Two (2) Pulse Oximeter, MRI Compatible</t>
  </si>
  <si>
    <t>Training on the Improvement of Fisheries Post-Harvest Handling with emphasis on On-board and Fish Landing Site Practices for Sulu province under 2020 block grant</t>
  </si>
  <si>
    <t>Construction of Covered Court</t>
  </si>
  <si>
    <t>PROCUREMENT OF CUSTOMIZED DATA FILE FOLDER</t>
  </si>
  <si>
    <t>Supply and Delivery of Zoological Supplies and Feeds</t>
  </si>
  <si>
    <t>Purchase of Office Equipment for New Government Building</t>
  </si>
  <si>
    <t>Supply and Delivery of Office Supplies for DILG, BMPS, Health, Assessor, MDRRM, Budget, SB Legislative and Engineering Office</t>
  </si>
  <si>
    <t>:  SUPPLY OF MATERIALS FOR LGU WATER  SYSTEM REPAIR AND MAINTENANCE</t>
  </si>
  <si>
    <t>supply and delivery of office supplies for City Budget Office</t>
  </si>
  <si>
    <t>Emergency Repair - Tower Cab Glass Panel at Sangley Airport</t>
  </si>
  <si>
    <t>Fabrication and Delivery of 108 sets Fishpot for Tawi-Tawi Province under 2020 block grant</t>
  </si>
  <si>
    <t>SUPPLY AND DELIVERY OF SHOTGUN FOR THE USE OF PGCOPS-PPD</t>
  </si>
  <si>
    <t>Supply and Delivery of One (1) High Flow Therapy</t>
  </si>
  <si>
    <t>INSTALLATION OF CANOPY EXTENSION ON OUR BARANGAY COVERED COURT</t>
  </si>
  <si>
    <t>Supply and Install Painting Works, Electrical and Wall-Fiber Cement Board</t>
  </si>
  <si>
    <t>Supply and Delivery of 60 sets Squid jig for Tawi-Tawi Province under 2020 block grant</t>
  </si>
  <si>
    <t>BULLAGO WATER SYSTEM</t>
  </si>
  <si>
    <t>Reconstruction/Rehabilitation of PSAU-Ayala Road, Magalang, Pampanga</t>
  </si>
  <si>
    <t>Supply and Delivery of Fetal Doppler</t>
  </si>
  <si>
    <t>PROCUREMENT FOR OFFICE EQUIPMENT  P.R NO. 0810 SERIES 2020</t>
  </si>
  <si>
    <t>Purchase of Additional Air-conditioning Units for New Government Building</t>
  </si>
  <si>
    <t>Supply and Delivery of Mechanical Equipment/Spareparts</t>
  </si>
  <si>
    <t>Supply and delivery of Seaweed Buying Station facilities for Tawi-Tawi province under the 2020 block grant</t>
  </si>
  <si>
    <t>Supply and Delivery of School Supplies (School Board)</t>
  </si>
  <si>
    <t>19DP0090: Modernization/Upgrading of Public Market, Nagcarlan, Laguna</t>
  </si>
  <si>
    <t>Procurement of Medical Supplies for Lianga District Hospital Nursing Service and Dental.</t>
  </si>
  <si>
    <t>Fabrication and Installation of Barangay Signage with Acrylic Diffuser White 5mm at Tayud, Consolacion,Cebu</t>
  </si>
  <si>
    <t>Vehicle Hire</t>
  </si>
  <si>
    <t>Purchase of Municipal Employees’ Nutritional Package-Relief Assistance due to Covid-19</t>
  </si>
  <si>
    <t>INVITATION TO BID FOR THE PROPOSED TYPICAL 1-STOREY WITH MEZZANINE FIRE STATION OF NOVELETA, CAVITE OF BFP REGION 4A, FOR FY 2020</t>
  </si>
  <si>
    <t>SUPPLY AND DELIVERY OF PORTABLE RADIO FOR THE USE OF PGCOPS-PPD</t>
  </si>
  <si>
    <t>Supply and Delivery of Construction Supplies and Materials</t>
  </si>
  <si>
    <t>Improvement of Multi-Purpose Building  at Brgy. Miranda</t>
  </si>
  <si>
    <t>Construction of Multi-Purpose Fence</t>
  </si>
  <si>
    <t>Supply and Delivery of Office Equipment/Supply - Php 47,800.00</t>
  </si>
  <si>
    <t>Supply and Delivery of Hardware Materials and Electrical Supplies for the Installation of CT Scan at Camarines Sur Provincial Medical Center (CPMC) &amp; Libmanan Diagnostic Center</t>
  </si>
  <si>
    <t>MATERIALS FOR THE FENCING OF MULTI PURPOSE HALL COMPOUND</t>
  </si>
  <si>
    <t>Procurement of 1 unit Ambulance</t>
  </si>
  <si>
    <t>Procurement of Office Supplies for PGO-Information Technology Unit Office.</t>
  </si>
  <si>
    <t>MATERIALS FOR THE IMPROVEMENT/REHABILITATION OF WATERWORKS SYSTEM at P-5, Calatcat,  Alubijid, Mis. Or.</t>
  </si>
  <si>
    <t>Procurement of Hardware &amp; Electrical Supplies for SOOC</t>
  </si>
  <si>
    <t>Site Development of MPRA at Poblacion I</t>
  </si>
  <si>
    <t>Supply and Install Tile and Painting Works</t>
  </si>
  <si>
    <t>CONSTRUCTION OF FLOOD CONTROL ALONG AMMOWEG ELEMENTRY SCHOOL</t>
  </si>
  <si>
    <t>PROPOSED REHABILITATION OF MUNICIPAL GROUND (REAR PORTION) AND CONTINUATION OF DRAINAGE SYSTEM, GUIUAN MUNICIPAL GROUND, GUIMBAOLIBOT AVENUE, BARANGAY 09-A, GUIUAN, E. SAMAR</t>
  </si>
  <si>
    <t>Purchase of ECCD E-Learning Materials and Worksheets</t>
  </si>
  <si>
    <t>PROCUREMENT OF 1 UNIT BRAND NEW PATIENT TRANSPORT VEHICLE WITH ACCESSORIES FOR DISASTER AND EMRGENCY RESPONSE OPERATIONS</t>
  </si>
  <si>
    <t>PURCHASE OF MATERIALS FOR THE IMPROVEMENT OF BARANGAY HOLDING FACILITIES FOR COVID-19 LSI</t>
  </si>
  <si>
    <t>Improvement of Public Cemetery Facilities at Brgy. II</t>
  </si>
  <si>
    <t>Supply and Delivery of School Supplies (Malay College)</t>
  </si>
  <si>
    <t>Procurement of Fuel for COA-Supervising Auditors Office Service Vehicle.</t>
  </si>
  <si>
    <t>Purchase of Construction Materials for the Rehabilitation of Multi-purpose Building, BDF 2019, ADMIN</t>
  </si>
  <si>
    <t>supply and delivery 1 piece Executive Chair and other items</t>
  </si>
  <si>
    <t>HO-OMR20-008 - Supply and Delivery of Drum &amp; Toner Cartridge, Ribbon Typewriter and Correction Tape</t>
  </si>
  <si>
    <t>***Construction of Concrete Pavement at Sitio Bacud and Talingaan Proper, Brgy. 31 Talingaan, Laoag City***</t>
  </si>
  <si>
    <t>25 Zoom Licenses</t>
  </si>
  <si>
    <t>20J00218 - Construction/Repair/Rehabilitation/Improvement of Various Infrastructure including Local Projects – Structural Improvement of Public Building and Construction of Evacuation Centers – Region</t>
  </si>
  <si>
    <t>CONSTRUCTION OF TUPLAC-LOWER DULLI ROAD</t>
  </si>
  <si>
    <t>Request for quotation for procurement of printer</t>
  </si>
  <si>
    <t>Construction of BDRRMO Command Center</t>
  </si>
  <si>
    <t>HO-PEM20-002 - Supply and Delivery of Hiking Backpack PPE</t>
  </si>
  <si>
    <t>Proposed rehabilitation &amp; de-clogging of drainage canal at Barangay VII-E, San Pablo City</t>
  </si>
  <si>
    <t>Provision of 3 in 1 Scanner/Printer</t>
  </si>
  <si>
    <t>Supply and Delivery of 1 unit Transformer for use in Calayan High School – Main,  Calayan, Province of  Cagayan.</t>
  </si>
  <si>
    <t>PROCUREMENT OF MATERIALS FOR IMPROVEMENT OF  MULTI-PURPOSE HALL</t>
  </si>
  <si>
    <t>RFQ-NP-SVP-378-2020-Procurement of meals (CDO) for General Assembly CY 2020</t>
  </si>
  <si>
    <t>Installation of Air Condition Unit for Brgy Multi Purpose</t>
  </si>
  <si>
    <t>RIGID 90 DEGREES LARYNGEAL ENDOSCOPE</t>
  </si>
  <si>
    <t>PURCHASE OF DIESEL FUEL FOR THE MAINTENANCE OF FARM-TO-MARKET ROAD(FMR), BARANGAY NEW PANAY, TULUNAN, COTABATO</t>
  </si>
  <si>
    <t>Retrofitting of P. Fuentes Elementary School @ Fuentes, Pantukan, Davao De Oro (Labor)</t>
  </si>
  <si>
    <t>SUPPLY OF AGRICULTURAL SEEDS FOR THE IMPLEMENTATION OF THE YOLANDA REHABILITATION AND RECONSTRUCTION PROGRAM (YRRP) OF THE MUNICIPALITY OF LIMASAWA, SOUTHERN LEYTE</t>
  </si>
  <si>
    <t>For Repairs and Maintenance</t>
  </si>
  <si>
    <t>Supply and Installation of Discharge Line Assembly</t>
  </si>
  <si>
    <t>Purchase of Office Supplies. (City Accountant's Office)</t>
  </si>
  <si>
    <t>Procurement of Medical Supplies for Marihatag District Hospital ER and Ward.</t>
  </si>
  <si>
    <t>HO-OMR20-009 - Supply and Delivery of Carrier, Rear Differential Assy. And Brake Booster Assy. For Mitsubishi L300</t>
  </si>
  <si>
    <t>Supply and delivery of Catering Services</t>
  </si>
  <si>
    <t>Digital Water Meter Analyzer(Service Utility Analyzer)</t>
  </si>
  <si>
    <t>Road Concreting at Polog to Cabangahan Road, Consolacion, Cebu</t>
  </si>
  <si>
    <t>20J00219 - Construction/Repair/Rehabilitation/Improvement of Various Infrastructure including Local Projects – Structural Improvement of Public Building and Construction of Evacuation Centers – Region</t>
  </si>
  <si>
    <t>Construction of Monitoring Station @ Diat, Napnapan, Pantukan, Davao De Oro (Labor)</t>
  </si>
  <si>
    <t>20GIK0012-Supply and Delivery of Toner Cart, etc. for use in various documentation in the district</t>
  </si>
  <si>
    <t>Purchase of Fuel for FMR Maintenance</t>
  </si>
  <si>
    <t>Procurement of Drugs and Medicines for San Miguel Community Hospital Pharmacy (additional for 3rd Quarter).</t>
  </si>
  <si>
    <t>MICROVASCULAR SET</t>
  </si>
  <si>
    <t>For PUM in Quarantine Facility - Supplies and Equipment</t>
  </si>
  <si>
    <t>Purchase of Office Supplies for use in the Planning and Design Section Charge to  PDE funds</t>
  </si>
  <si>
    <t>IMPROVEMENT OF MUNICIPAL BUILDING</t>
  </si>
  <si>
    <t>Purchase of Bond Paper (A4 size sub 20) assistance in kind to various public Elementary &amp; Secondary School</t>
  </si>
  <si>
    <t>Supply and Delivery of Spare Parts for Heavy Equipment - MEO  PR# 20-08-0612</t>
  </si>
  <si>
    <t>SUPPLY AND DELIVERY OF FOOD COMMODITIES FOR MAINTENANCE OF SOCIAL DEVELOPMENT CENTER AND MAKATI YOUTH HOMES AND GROCERY PACKS FOR MAKATI BLOODLINES COMMUNITY</t>
  </si>
  <si>
    <t>Petroleum &amp; Oil consumption of Isuzu Manlifter-MDRRMO</t>
  </si>
  <si>
    <t>INFRA2020-RDW-023 Rehabilitation of Piezometers at Agus 4 HEP Dam, Balo-i, Lanao del Norte</t>
  </si>
  <si>
    <t>Supply and Delivery of Duplicating Machine - DEP.ED Loreto District  PR# 20-08-0617</t>
  </si>
  <si>
    <t>20J00223 - Construction/Repair/Rehabilitation/Improvement of Various Infrastructure including Local Projects – Structural Improvement of Public Building and Construction of Evacuation Centers – Region</t>
  </si>
  <si>
    <t>PROCTOSIGMOIDOSCOPY SET</t>
  </si>
  <si>
    <t>Hour Meter, Auto Transfer Switch &amp; Automatic Battery Charger</t>
  </si>
  <si>
    <t>20J00220 - Construction/Repair/Rehabilitation/Improvement of Various Infrastructure including Local Projects – Structural Improvement of Public Building and Construction of Evacuation Centers – Region</t>
  </si>
  <si>
    <t>fabricate of steel materials recovery facilities</t>
  </si>
  <si>
    <t>New Service Connection Materials</t>
  </si>
  <si>
    <t>For Repairs and Maintenance - Pipes</t>
  </si>
  <si>
    <t>SUPPLY AND DELIVERY OF IMESSENGER FOR INFORMATION DISSEMINATION</t>
  </si>
  <si>
    <t>Meals, Snacks &amp; Venue Disinfection for the orientation, levelling, conduct of farmers satisfaction survey for CY2020 and Wrap-up session for Bukidnon IMO on September 1-4, 2020 at NIA-BIMO, Bagontaas,</t>
  </si>
  <si>
    <t>Supply &amp; Delivery of Tweleve (12) Units Laptop for the Sangguniang Bayan of LGU-Paniqui, Tarlac</t>
  </si>
  <si>
    <t>Purchase of 2 units of desktop computers for the Office of the City Agriculturist.</t>
  </si>
  <si>
    <t>Procurement and Delivery of Various Materials &amp; Fittings</t>
  </si>
  <si>
    <t>Request for Quotation for the Supply and Delivery of Various Materials for Mabuhay Pumping Station Concrete Fence</t>
  </si>
  <si>
    <t>Pakyaw Contract for the Furnishing of Labor Only for the Completion of the Rehabilitation and Improvement of Balete-Arcangel-Ogsip-Calamcan-Julita-Libacao Road (Phase I), Libacao, Aklan</t>
  </si>
  <si>
    <t>Construction of Evacuation Center - Brgy. Kauswagan,LADS</t>
  </si>
  <si>
    <t>PURCHASE OF CONSTRUCTION MATERIALS FOR THE REHABILITATION/MAINTENANCE OF DRAINAGE CANAL</t>
  </si>
  <si>
    <t>INFRA2020-PUL-020 Fabrication and Installation of Walkway Shed and Concreting of Pathway- Phase 4 at Kiuntod, Camp 1, Maramag, Bukidnon</t>
  </si>
  <si>
    <t>procurement of Teller's Receipt</t>
  </si>
  <si>
    <t>Supply and Delivery of Diaper Changers to Port Areas and Buildings</t>
  </si>
  <si>
    <t>20FK0066-Cluster XVIII-Repair/Improvement of Pilar Rural Health Unit &amp; Sorsogon City and Repair/Improvement of Donsol Community Hospital including Road Network Pilar, Donsol, Sorsogon City</t>
  </si>
  <si>
    <t>REHABILITATION OF LINE CANAL</t>
  </si>
  <si>
    <t>LED Street Lights DL 150 watts</t>
  </si>
  <si>
    <t>Emergency Operation Center Phase 4</t>
  </si>
  <si>
    <t>Supply and Delivery of Tires for Dumptruck &amp; Motor Grader - MEO  PR# 20-08-0613</t>
  </si>
  <si>
    <t>SUPPLY AND DELIVERY OF ASSISTIVE DEVICES FOR PERSONS WITH DISABILITY OF VARIOUS BARANGAYS</t>
  </si>
  <si>
    <t>Labor and Materials for the Clearing/Desilting of Drainage Canal, along Mactan St., to Waras River, San Agustin, Iriga City</t>
  </si>
  <si>
    <t>Purchase of Office Equipment Combi blinds color coding A9-1 for the New Two (2) storey DPWH Building, Cotabato 2nd DEO Lanao, Kidapawan City</t>
  </si>
  <si>
    <t>Purchase of Various Food Stuff for Food Assistance and Relief Goods in the Municipality of Mabini, Pangasinan</t>
  </si>
  <si>
    <t>Supply and Delivery of Fifteen (15) Units Manlift</t>
  </si>
  <si>
    <t>SUPPLY AND DELIVERY OF IMESSENGER COVID 19 SPECIAL EDITION FOR INFORMATION DISSEMINATION</t>
  </si>
  <si>
    <t>20J00222 - Construction/Repair/Rehabilitation/Improvement of Various Infrastructure including Local Projects – Structural Improvement of Public Building and Construction of Evacuation Centers – Region</t>
  </si>
  <si>
    <t>PROCUREMENT OF JANITORIAL SERVICES FOR OCTOBER TO DECEMBER 2020 FOR DAR REGIONAL OFFICE 02</t>
  </si>
  <si>
    <t>SUPPLY OF FUEL, OIL AND LUBRICANTS- MUNICIPAL ENGINEERING OFFICE AND MOTORPOOL USE</t>
  </si>
  <si>
    <t>Purchase of school supplies for Sta. Josefa National High school</t>
  </si>
  <si>
    <t>SUPPLY AND DELIVERY OF DISTILLED WATER AND ZIP LOCK FOR QUARANTINE FACILITY</t>
  </si>
  <si>
    <t>SUPPLY AND DELIVERY OF MATERIALS FOR WOODEN STAGE WITH BACKDROP, STAIRS, PLATFORM AND TOOLS AND LETTERING OF BANNERS AND STREAMER</t>
  </si>
  <si>
    <t>MATERIALS FOR THE SCHOOL SANITATION AND WATERWORKS SYSTEM FACILITIES for DepEd Alubijid, Mis. Or.</t>
  </si>
  <si>
    <t>SUPPLY AND DELIVERY OF RUNNING MESSAGE LED DISPLAY BOARD FOR INFORMATION DISSEMINATION</t>
  </si>
  <si>
    <t>Purchase of Washing Machine, Aircon, Filing Cabinet, Locker, Computer and Printer of San Pablo City General Hospital.</t>
  </si>
  <si>
    <t>EXTENSION/CONCRETING OF A. BONIFACIO STREET</t>
  </si>
  <si>
    <t>SUPPLY AND DELIVERY OF BRAND NEW TOW TRUCK</t>
  </si>
  <si>
    <t>Material  Assistance to Public Schools of Pinamalayan East and West (Infrared Thermometer &amp; Chlorine).</t>
  </si>
  <si>
    <t>Construction of Evacuation Center - Brgy. San Isidro,LADS</t>
  </si>
  <si>
    <t>COVID RESPONSE PROTECTIVE SUPPLIES AND MATERIALS</t>
  </si>
  <si>
    <t>SUPPLY AND DELIVERY OF SNACKS FOR VARIOUS MEETINGS</t>
  </si>
  <si>
    <t>Proposed Road Opening (Hospital-Hinulawan Road) Brgy. Poblacion, Toledo City (L=162.00m.; W=15.00m.)</t>
  </si>
  <si>
    <t>Employees Wellness Center</t>
  </si>
  <si>
    <t>PROCUREMENT OF EGG MACHINE CAGE, PULLETS, FEEDS AND BIOLOGICS FOR EGG PRODUCTION UNDER THE LIVELIHOOD SUPPORT FOR WOMEN IN CRISIS SITUATION, COMPONENT “C” (PACKAGE III), FUNDED UNDER THE PASSOVER: ARB</t>
  </si>
  <si>
    <t>20J00221 - Construction/Repair/Rehabilitation/Improvement of Various Infrastructure including Local Projects – Structural Improvement of Public Building and Construction of Evacuation Centers – Region</t>
  </si>
  <si>
    <t>Bid No. 20-0419 - PROCUREMENT OF OFFICE EQUIPMENT - MHO OPERATIONS</t>
  </si>
  <si>
    <t>MATERIALS FOR THE CONSTRUCTION OF LIGTAS COVID CENTER (BLDG. 2) at Cabacaba, Loguilo, Alubijid, Mis. Or.</t>
  </si>
  <si>
    <t>PNEUMATIC TORNIQUET SET</t>
  </si>
  <si>
    <t>PROCUREMENT OF SECURITY SERVICES FOR OCTOBER TO DECEMBER 2020 FOR DAR REGIONAL OFFICE 02</t>
  </si>
  <si>
    <t>Bid No. 20-0421 - PROCUREMENT OF OFFICE SUPPLIES - MEEDO/SLAUGHTERHOUSE</t>
  </si>
  <si>
    <t>PROVISION OF SECURITY SERVICES FOR NORTHERN MINDANAO Y2020-2022</t>
  </si>
  <si>
    <t>Fuel consumption for use in the operation of Bantay Dagat Patrol Boats-OMAS</t>
  </si>
  <si>
    <t>IMPROVEMENT OF PACKING HOUSE(POST HARVEST AND PROCESSING FACILITY)</t>
  </si>
  <si>
    <t>SVP PUR20-08-0690 / 0691 Procurement of  Prepaid Cards for PSD &amp; MSS, PGH</t>
  </si>
  <si>
    <t>Supply &amp; Delivery of One (1) unit Waste Pulverizer for the implementation of Solid Waste Management Program (CGSO)</t>
  </si>
  <si>
    <t>Supply, Delivery and Installation of Body Scanning Machines (Phase II)</t>
  </si>
  <si>
    <t>Procurement and Delivery of Various Tools</t>
  </si>
  <si>
    <t>SUPPLY AND DELIVERY OF OFFICE EQUIPMENT FOR CITY CIVIL REGISTRAR OFFICE USE</t>
  </si>
  <si>
    <t>Labor and Materials for the Clearing/Desilting of Drainage Canal, along Rubi St. &amp; Bucao St. to National Highway, San Nicolas, Iriga City</t>
  </si>
  <si>
    <t>SUPPLY AND DELIVERY OF COMPUTER DESKTOP WITH PRINTER 2ND POSTING</t>
  </si>
  <si>
    <t>PROCUREMENT OF EQUIPMENT for DepEd-Alubijid, Misamis Oriental</t>
  </si>
  <si>
    <t>Bid No. 20-0420 - PROCUREMENT OF OFFICE EQUIPMENT - MHO OPERATIONS</t>
  </si>
  <si>
    <t>Supply and Delivery of Tactical Uniforms and Tactical Boots for Port Police Personnel</t>
  </si>
  <si>
    <t>SUPPLY AND DELIVERY OF LABORATORY SUPPLIES (HUMAN IMMUNOVIRUS (HIV) AG/AB COMBO TEST REAGENT FOR AUTOMATED IMMUNOLOGY ANALYZER - SENSOR LEVEL TRIGGER FOR AUTOMATED IMMUNOLOGY ANALYZER)</t>
  </si>
  <si>
    <t>Materials for Material Recovery Facility (MRF)</t>
  </si>
  <si>
    <t>INFRA2020-AG5-017 AG5 Construction of Secondary Containment for Transformer Oil at Agus 5 HEP, Barangay Ditucalan, Iligan City</t>
  </si>
  <si>
    <t>SUPPLY AND DELIVERY OF TIRE WITH TUBE FOR VARIOUS GOVERNMENT VEHICLES</t>
  </si>
  <si>
    <t>SUPPLY AND DELIVERY OF TIRES FOR HEAVY EQUIPMENT VEHICLES</t>
  </si>
  <si>
    <t>MATERIALS FOR THE STEEL FENCING OF THE COVERED COURT</t>
  </si>
  <si>
    <t>Bid No. 20-0422 - PROCUREMENT OF OFFICE EQUIPMENT - MO/ADMIN SECTION</t>
  </si>
  <si>
    <t>REPAIR OF ADMIN BUILDING</t>
  </si>
  <si>
    <t>PURCHASE OF OFFICE SUPPLIES FOR PRINTING OF LEARNING MATERIALS</t>
  </si>
  <si>
    <t>OFFICE EQUIPMENT, OFFICE SUPPLIES AND CONSUMABLES</t>
  </si>
  <si>
    <t>Concreting of Roads - Cluster IV Area</t>
  </si>
  <si>
    <t>Supply, Delivery and Installation of Systems Furniture &amp; Seating Package for the Port Police Department</t>
  </si>
  <si>
    <t>SUPPLY AND DELIVERY OF PORTABLE REFRIGERATORS FOR BLOOD BAGS</t>
  </si>
  <si>
    <t>SUPPLY AND DELIVERY OF HISTOPATHOLOGY EMBEDDING STATION</t>
  </si>
  <si>
    <t>Purchase of Hardware, Construction &amp; Lumber Materials, Repair of Concrete Drainage Canal, Brgy. Canlapwas, Pagsanghan, Samar</t>
  </si>
  <si>
    <t>SUPPLY AND DELIVERY OF TRI-WHEELER FOR SCLAO OPERATION USE</t>
  </si>
  <si>
    <t>Purchase of 500 Sacks of Rice for Food Assistance and Relief Goods in the Municipality of Mabini, Pangasinan</t>
  </si>
  <si>
    <t>SUPPLY AND DELIVERY OF BIRTHING BEDS (DELIVERY ROOM TABLE BEDS)</t>
  </si>
  <si>
    <t>SUPPLY, DELIVERY AND INSTALLATION OF VARIOUS IT EQUIPMENT (LAPTOPS, DESKTOPS, NETWORK LAN TESTER AND PROBE)</t>
  </si>
  <si>
    <t>Purchase of UV sterilizer machine, Air Purifier and Kendrick traction splint for Ambulance and OR Section of San Pablo City General Hospital.</t>
  </si>
  <si>
    <t>Purchase &amp; Delivery of Office Supplies &amp; Consumables for the Office of SPM Efren Sr,. A. Rafanan</t>
  </si>
  <si>
    <t>Repair and Maintenance of the Generator Set</t>
  </si>
  <si>
    <t>90 D LENS</t>
  </si>
  <si>
    <t>CONCRETING OF PATHWAY-mUNICPAL COMPOUND</t>
  </si>
  <si>
    <t>2020-313 -Plastic pail @ 100 liters</t>
  </si>
  <si>
    <t>2020 Materials for Printing Modules</t>
  </si>
  <si>
    <t>Procurement of Service Vehicles</t>
  </si>
  <si>
    <t>CAPABILITY BUILDING ON ABACA DISEASE PREVENTION WITH PROVISION OF ABACA PROCESSING TECHNOLOGY</t>
  </si>
  <si>
    <t>Bid No. 20-0423 - PROCUREMENT OF JANITORIAL SUPPLIES - MSWDO OPERATIONS 2ND QTR.</t>
  </si>
  <si>
    <t>SUPPLY AND DELIVERY OF DIESEL FOR VARIOUS SCHOOLS OPERATION</t>
  </si>
  <si>
    <t>Supply and Delivery of Office Supplies and Devices for the Use of Planning and Design Unit, Drafting, Encoding, Photogrametry &amp; GIS Data Processing</t>
  </si>
  <si>
    <t>Procurement of Executive Chair</t>
  </si>
  <si>
    <t>Automatic &amp; Manual Motor Controller</t>
  </si>
  <si>
    <t>Construction of Box Culvert with Road Concreting at Barangay Calzada, Mabini, Pangasinan</t>
  </si>
  <si>
    <t>Supply &amp; Delivery of Starter Assembly, 12 volts for PNP-Maasin City use (PNP-Maasin).</t>
  </si>
  <si>
    <t>MUNICIPAL BUILDING RHU AND BFP WATERWORKS, POBLACIN, MANKAYAN, BENGUET</t>
  </si>
  <si>
    <t>CONST.OF LOCAL ROAD @ CABALLERO ST. &amp; REHAB./CONCRETING OF ROADS W/ FISSURES AT VARIOUS STREET</t>
  </si>
  <si>
    <t>SUPPLY AND DELIVERY OF VARIOUS ELECTRICAL SPARE PARTS FOR 20 KW, 38 KW AND 56 KW PERKINS INTENDED FOR BOHOL 2 MINIGRID</t>
  </si>
  <si>
    <t>Safe Closure and Rehabilitation of Open Controlled Dump Site</t>
  </si>
  <si>
    <t>Agricultural Machinery &amp; Equipment</t>
  </si>
  <si>
    <t>Supply and Delivery of Container Van (Customized) - Accounting  PR# 20-01-0131</t>
  </si>
  <si>
    <t>SUPPLY AND DELIVERY OF MEALS FOR THE MEETING OF PERSONAL CONCERNING COVID 19 UPDATES WITH THE CHIEF EXECUTIVES</t>
  </si>
  <si>
    <t>Supply &amp; Delivery of 10 heads Swine for livelihood of our local farmers (OCAS).</t>
  </si>
  <si>
    <t>Proposed Road Concreting @ Brgy. Matab-ang, Toledo City (L=1,000.00m.)</t>
  </si>
  <si>
    <t>Procurement of External HDD Back-Up, 4TB</t>
  </si>
  <si>
    <t>2020-08-051 - Purchase of Diesel and Gasoline Fuel for Planning &amp; Design Section, DPWH-UKDEO</t>
  </si>
  <si>
    <t>2020 Module Printing Materials</t>
  </si>
  <si>
    <t>Supply and Delivery of CATERING SERVICES FOR PEACE BUILDING COMMUNICATIONS: CONFLICT RESOLUTION SKILLS &amp; STRATEGIES FOR LUPONG TAGAPAMAYAPA - PR# 20-03-0300</t>
  </si>
  <si>
    <t>SUPPLY AND DELIVERY OF FUNERAL WREATH FOR THE DECEASED CONSTITUENT OF SANTIAGO CITY</t>
  </si>
  <si>
    <t>Supply and Delivery of I.T. Accessories</t>
  </si>
  <si>
    <t>SUPPLY AND DELIVERY OF MEDICAL SUPPLIES FOR DAILY OPERATION OF OSPITAL NG MAKATI (OR GOWN WITH LOGO - PLASTIC FOR PILLOW)</t>
  </si>
  <si>
    <t>SUPPLY AND DELIVERY OF PAINTING MATERIALS FOR PAINTING OF CITY HALL PARK</t>
  </si>
  <si>
    <t>2020-361 Rice bran @40kg</t>
  </si>
  <si>
    <t>Bid No. 20-0425 - PROCUREMENT OF OFFICE SUPPLIES - MBO OPERATIONS</t>
  </si>
  <si>
    <t>Improvement of LGU Compound</t>
  </si>
  <si>
    <t>Purchase of 3 Desktop and 5 CPU units</t>
  </si>
  <si>
    <t>Supply and Delivery of Furniture and Fixture for MSWD, MPDC and Accounting Office, ICT Equipment for Agriculture and BMPS Office</t>
  </si>
  <si>
    <t>Procurement of HP Laserjet Imaging Drum for HP Printer, LJ Pro M102a</t>
  </si>
  <si>
    <t>Procurement of IT Equipment for Use of DPWH- Albay 2nd DEO</t>
  </si>
  <si>
    <t>Bid No. 20-0424 - PROCUREMENT OF OFFICE EQUIPMENT - DEPED (MAPAWA NATIONAL HIGH SCHOOL)</t>
  </si>
  <si>
    <t>Request of Quotation for The Design and Construction of 20 meters Reinforced Concrete Retaining Wall</t>
  </si>
  <si>
    <t>COMPLETION OF COVERED COURT</t>
  </si>
  <si>
    <t>RFQ-DVO-PR.NO. 2007176 CAT. 56 SPARE PARTS FOR LIGHT &amp; HEAVY EQUIPMENT</t>
  </si>
  <si>
    <t>Procurement of Rubber Rain Boots</t>
  </si>
  <si>
    <t>20NA0080 CONSTRUCTION OF QUARANTINE FACILITY IN AGUSAN DEL NORTE  NASIPIT, AGUSAN DEL NORTE</t>
  </si>
  <si>
    <t>LGU-AL-35-2020 CONSTRUCTION OF EVACUATION CENTER PHASE 2 BRGY. BALOCAWE ABUYOG, LEYTE</t>
  </si>
  <si>
    <t>SUPPLY AND DELIVERY OF AGRICULTURAL SUPPLIES FOR TANIM PUNO PROJECT</t>
  </si>
  <si>
    <t>Procurement of I.T. Equipment</t>
  </si>
  <si>
    <t>Purchase of Generator Set to be used as Back-up Power Supply for the College of Engineering Buildings</t>
  </si>
  <si>
    <t>SUPPLY AND DELIVERY OF OFFICE EQUIPMENT FOR CITY BUDGET OFFICE USE</t>
  </si>
  <si>
    <t>PR NO. 2175 TARPAULIN</t>
  </si>
  <si>
    <t>Procurement of various packaging supplies for PBBD</t>
  </si>
  <si>
    <t>Fabrication of Aluminum &amp; Steel Works</t>
  </si>
  <si>
    <t>Construction of Infrastructure Projects</t>
  </si>
  <si>
    <t>SUPPLY AND DELIVERY OF VEHICLE PARTS FOR REPLACEMENT PARTS OF TRACTORS KUBOTA</t>
  </si>
  <si>
    <t>LCWD-2020-048 Mechanical Gate Valves and Universal Flange Adaptors</t>
  </si>
  <si>
    <t>AGR-20-0987-NP(SV)</t>
  </si>
  <si>
    <t>LCWD-2020-056 Personal Refrigerator</t>
  </si>
  <si>
    <t>SUPPLY AND DELIVERY OF MEDICAL SUPPLIES FOR DAILY OPERATION OF OSPITAL NG MAKATI (CATHETER, INTRAJUGULAR - CLOSED IV CATHETER SYSTEM) THROUGH ORDERING AGREEMENT</t>
  </si>
  <si>
    <t>Procurement of Internal Quality Auditor's Training on Remote/Virtual Audit</t>
  </si>
  <si>
    <t>Construction of Monitoring Station @ Panganason, Pantukan, Davao De Oro (Labor)</t>
  </si>
  <si>
    <t>MATERIALS FOR THE IMPROVEMENT OF WATER SYSTEM from Spring/Filtration Plant to Centro Sampatulog, Alubijid, Mis. Or.</t>
  </si>
  <si>
    <t>SUPPLY AND DELIVERY OF OFFICE EQUIPMENT FOR BFP OFFICE USE</t>
  </si>
  <si>
    <t>Procurement of Completed Study on Retail Consumers' Preference for Pharmaceutical Products in the Philippines</t>
  </si>
  <si>
    <t>Supply and Delivery of Office Tables and other Equipment’s for UEP Laoang Campus</t>
  </si>
  <si>
    <t>Capacitor control box</t>
  </si>
  <si>
    <t>Supply and Delivery of Materials, Labor and Equipment for the Installation of CCTV for the Official Use in the Municipality of Padre Garcia, Batangas</t>
  </si>
  <si>
    <t>PROCUREMENT OF FACE SHIELD FOR THE 2020 CENSUS OF POPULATION AND HOUSING (CPH)-FIELD OPERATION</t>
  </si>
  <si>
    <t>SUPPLY AND DELIVERY OF GROCERY ITEMS FOR HALFWAY HOME FOR GIRLS/WOMEN SUPPLY FOR THE FIRST AND SECOND QUARTER</t>
  </si>
  <si>
    <t>Purchase of Various Disinfecting Supplies for the Municipality of Mabini, Pangasinan</t>
  </si>
  <si>
    <t>Lot I- Use for Service Vehicle with plate no. ULO 262. Lot II- Use for Service Vehicle (H1-5080) with plate no. SKA 497. Lot III- Use for Service Vehicle (H1-7711) with plate no. FOZ 643.</t>
  </si>
  <si>
    <t>CONSTRUCTION OF CHILD DEVELOPMENT CENTER-DAGA</t>
  </si>
  <si>
    <t>Prorcurement of Toner</t>
  </si>
  <si>
    <t>Tires</t>
  </si>
  <si>
    <t>Procurement of IT Materials for ESSU-IGP use in preparation of production of modules of the university PR#2020-OSPM-306</t>
  </si>
  <si>
    <t>20FO0109 - Construction of Day Care Center Constructed beside the Multi-Purpose Gym at Zone 4, Matacon, Polangui, Albay</t>
  </si>
  <si>
    <t>Procurement of 10 pcs. Signotec Sigma LCD Signature Pad</t>
  </si>
  <si>
    <t>RFQ-DVO-PR.NO. 2007305 CAT. 56 SPARE PARTS FOR LIGHT HEAVY EQUIPMENT</t>
  </si>
  <si>
    <t>RFQ-DVO-PR.NO. 2007181 CAT. 56 SPARE PARTS FOR LIGHT &amp; HEAVY EQUIPMENT</t>
  </si>
  <si>
    <t>Lot I- For use in Multi-year planning and validation. Lot II- For use in Pavement Management System (PMS) Lot III- For use in National Road Traffic Survey Program (NRTSP) Automated Data Collection and</t>
  </si>
  <si>
    <t>ITB-2020-025 - SUPPLY AND DELIVERY OF LABORATORY SUPPLIES AND MACHINE</t>
  </si>
  <si>
    <t>Tires for the maintenance of Heavy Equipment (Backhoe Loader)-MO</t>
  </si>
  <si>
    <t>SUPPLY AND DELIVERY OF ACETYLENE AND OXYGEN FOR MOTORPOOL USE</t>
  </si>
  <si>
    <t>RFQ 08-04-2020 Item A</t>
  </si>
  <si>
    <t>HEADSET FOR NEDA-RO1 STAFF</t>
  </si>
  <si>
    <t>Bid No. 20-0428 - PROCUREMENT OF OFFICE SUPPLIES - MSWDO OPERATIONS</t>
  </si>
  <si>
    <t>Procurement of various HP Ink Cartridges</t>
  </si>
  <si>
    <t>PR NO. 2133 Fabrication of Signboard</t>
  </si>
  <si>
    <t>Bid No. 20-0427 - PROCUREMENT OF OFFICE SUPPLIES - MO/YDP OPERATIONS</t>
  </si>
  <si>
    <t>SUPPLY AND DELIVERY OF GROCERY ITEMS FOR BALAY NAMNAMA YOUTH HOME FOR BOYS</t>
  </si>
  <si>
    <t>20FO0110 - Construction of Cuyaoyao - Sitio Pantay Farm-to-Market Road, Cuyaoyao, Pioduran, Albay</t>
  </si>
  <si>
    <t>2020-RFQ "PURCHASE OF LET REVIEWER FOR THE COLLEGE OF EDUCATION BOARD EXAMINATION"</t>
  </si>
  <si>
    <t>Bid No. 20-0426 - PROCUREMENT OF OFFICE SUPPLIES - PNP OPERATIONS</t>
  </si>
  <si>
    <t>CONCRETING OF ROAD AT NELIA VILLE SUBDIVISION UPPER KM. 11</t>
  </si>
  <si>
    <t>RFQ 2020-08-038: SUPPLY AND DELIVERY OF OFFICE SUPPLIES AND DEVICES, CDOC 2ND DEO, MACABALAN, CDOC</t>
  </si>
  <si>
    <t>2020-337 various fertilizers</t>
  </si>
  <si>
    <t>Variable Frequency Drive</t>
  </si>
  <si>
    <t>SUPPLY AND DELIVERY OF VARIOUS SUPPLIES AND MATERIALS FOR BALAY NAMNAMA YOUTH HOME FOR BOYS</t>
  </si>
  <si>
    <t>PROVISION AND INSTALLATION OF SPLIT-TYPE AIR CONDITIONER</t>
  </si>
  <si>
    <t>PROCUREMENT OF DISTRIBUTION TRANSFORMER</t>
  </si>
  <si>
    <t>RFQ 08-04-2020 Item B</t>
  </si>
  <si>
    <t>SUPPLY AND DELIVERY OF DIPLOMA JACKET</t>
  </si>
  <si>
    <t>RFQ 2020-08-040: SUPPLY AND INSTALLATION OF VEHICLE PARTS AND ACCESSORIES FOR CONSTRUCTION SECTION, MACABALAN, CDOC</t>
  </si>
  <si>
    <t>Procurement of Risograph Machine</t>
  </si>
  <si>
    <t>Use for maintenance office personnel at 3rd floor Romblon District Engineering Office.</t>
  </si>
  <si>
    <t>Supply and Delivery of IT Equipment to be used at Bureau of Jail Management and Penology in the City of San Fernando, Pampanga</t>
  </si>
  <si>
    <t>Purchasing of Laboratory Equipment with project entitled " Expansion of Food Testing Services to Support Food Safety Compliance among Street Food Vendors and Producers in Palawan"</t>
  </si>
  <si>
    <t>1 J.O. Supply of Materials and Labor for the Repair of KIA 2700 Ambulance (SAA-9034)</t>
  </si>
  <si>
    <t>Procurement of Urea</t>
  </si>
  <si>
    <t>Purchase of Multicabs</t>
  </si>
  <si>
    <t>SUPPLY AND DELIVERY OF OFFICE EQUIPMENT FOR CICATO USE</t>
  </si>
  <si>
    <t>Supply and Delivery of 1 Unit Brand New Motorcycle</t>
  </si>
  <si>
    <t>Purchase of 1 unit Computer Laptop for Engineering Office, Mabini, Pangasinan</t>
  </si>
  <si>
    <t>20FO0111 - Construction of Guinobatan Flood Control Structure, Tandarora Section, Guinobatan, Albay</t>
  </si>
  <si>
    <t>Printing, Binding and Delivery of DepEd Learning Materials</t>
  </si>
  <si>
    <t>Procurement of Scrub Suit</t>
  </si>
  <si>
    <t>For Reproduction of Modules (Mgy North)</t>
  </si>
  <si>
    <t>SUPPLY AND DELIVERY OF LEARNING MATERIALS FOR KIDS THERAPEUTIC ART WORKSHOP AND QUARANTINE STORY BOOK</t>
  </si>
  <si>
    <t>Aircondition unit</t>
  </si>
  <si>
    <t xml:space="preserve">20GAF0064SVP – PURCHASE OF SUPPLIES/MATERIALS FOR USE IN  THE CONDUCT OF PREPARATION OF RIGHT OF WAY ACTION PLAN (RAP) AND ENVIRONMENTAL IMPACT ASSESSMENT (EIA), DPWH-LUSDEO, NATIVIDAD, NAGUILIAN, LA </t>
  </si>
  <si>
    <t>LOCAL ACCESS ROAD (Brgy. Lalig)</t>
  </si>
  <si>
    <t>PURCHASE OF RADIO HANDSET</t>
  </si>
  <si>
    <t>ITB-2020-026 - PROVISION OF SERVICE PROVIDER ON THE DISPOSAL OF CONFISCATED MEAT AND MEAT PRODUCTS</t>
  </si>
  <si>
    <t>SUPPLY AND DELIVERY OF BRAND NEW DROP SIDE TRUCK FOR NORSU MAIN CAMPUS</t>
  </si>
  <si>
    <t>UPGRADING OF GENERAL PURPOSE LABORATORY WITH CONCRETE RECTANGULAR FISH TANK II</t>
  </si>
  <si>
    <t>CONSTRUCTION OF FINAL SORTING AREA</t>
  </si>
  <si>
    <t>Procurement of Grafted Pili Seedlings</t>
  </si>
  <si>
    <t>SUPPLY AND DELIVERY OF VARIOUS SUPPLIES AND DEVICES FOR DENTAL SETTING MODIFICATION</t>
  </si>
  <si>
    <t>SUPPLY OF FUEL, OIL AND LUBRICANTS- SOLID WASTE MANAGEMENT OPERATION CENTER USE</t>
  </si>
  <si>
    <t>Supply and Delivery of Medical Supplies &amp; Disinfection Equipments be used for the conduct of (face-to-face/blended) activities, training, and daily operations of the center for the 3rd quarter of 2020</t>
  </si>
  <si>
    <t>SUPPLY AND DELIVERY OF VARIOUS SUPPLIES FOR HEALTHY TOOTH AND HEALTHY BABY PROGRAM</t>
  </si>
  <si>
    <t>Supply and Delivery of Office Equipment to be used at the City College of San Fernando, Pampanga</t>
  </si>
  <si>
    <t>Bid No. 20-0429 - PROCUREMENT OF OFFICE SUPPLIES - MO/CADS OPERATIONS</t>
  </si>
  <si>
    <t>CONSTRUCTION/REHABILITATION/IMPROVEMENT OF BRGY. MAGSAYSAY-SITIO HURUBSAN BARANGAY ROAD AT BRGY. MAGSAYSAY-SITIO HURUBSAN, JAVIER, LEYTE</t>
  </si>
  <si>
    <t>Procurement of Fuel, Oil and Lubricants - (Other Machinery an Equipment and Construction and Heavy Equipment)</t>
  </si>
  <si>
    <t>SUPPLY AND DELIVERY OF SPLIT TYPE AIR-CON 2.5 HP FOR CMO USE</t>
  </si>
  <si>
    <t>Catering Services for the Conduct of Extension Activity of Household Production Resiliency of SDSSU Tandag Campus</t>
  </si>
  <si>
    <t>20GAF0063SVP, PURCHASE AND DELIVERY OF SUPPLIES FOR USE IN THE CONDUCT OF ROAD CONDITION AND INVENTORY SURVEYS, DPWH-LUSDEO, NATIVIDAD,NAGUILIAN,LA UNION</t>
  </si>
  <si>
    <t>Procurement of Paper Shredder and Back UPS for use of ICT Unit</t>
  </si>
  <si>
    <t>Labor and Materials for Construction of Drainage System with Steel Gratings at Quezon St., Brgy. San Jose, City of Balanga, Bataan</t>
  </si>
  <si>
    <t>Printing of Self Learning Modules for Maria District</t>
  </si>
  <si>
    <t>GOODS-ITB 2020-08-001 SUPPLY AND DELIVERY OF CONSTRUCTION MATERIALS FOR THE REPAIR OR RENOVATION OF BRGY HALL IN  BRGY. POTONG DEL NORTE, LAPINIG, N. SAMAR (1ST POSTING)</t>
  </si>
  <si>
    <t>Transportation services (Vehicle rental-Truck) for Aug 2020</t>
  </si>
  <si>
    <t>Labor, Automotive Spare Parts, Oil, and Lubricants for Fortuner POH-386</t>
  </si>
  <si>
    <t>UPGRADING OF MULTI-PURPOSE INDOOR AQUACULTURE RESEARCH FACILITY II</t>
  </si>
  <si>
    <t>Supply and Delivery of Office Equipment for the Use of Budget, Admin and Supply Office Personnel</t>
  </si>
  <si>
    <t>Procurement of Fuel, Oil and Lubricants for MENRO</t>
  </si>
  <si>
    <t>Procurement of Petroleum (Diesel, Engine Oil and Grease)</t>
  </si>
  <si>
    <t>CONSTRUCTION OF 2 STOREY GOVERNMENT OFFICE/BUILDING (UTILITY/KALIPI/4P's) PHASE  1</t>
  </si>
  <si>
    <t>Supply and Delivery of Ethyl Alcohol to be used at the different Offices/Department of the City Government of San Fernando, Pampanga for the prevention and control on Spread of Coronavirus Disease (CO</t>
  </si>
  <si>
    <t>Procurement of Foodstuffs during the Celebration of 107th Founding   Anniversary</t>
  </si>
  <si>
    <t>Labor and Materials for Construction of Head Wall (portion only) at Brgy. Malabia, Balanga City</t>
  </si>
  <si>
    <t>Supply/Delivery of 22 pcs Cell Cards (300’s) &amp; 31 pcs Cell Cards (100’s)</t>
  </si>
  <si>
    <t>Construction of Unique Workshop MNHS II, Mahinog, Camiguin</t>
  </si>
  <si>
    <t>Labor, Automotive Spare Parts, Oil, and Lubricants for Fortuner POQ-211</t>
  </si>
  <si>
    <t>supply &amp; delivery of P.E. Pipe</t>
  </si>
  <si>
    <t>Procurement of Laboratory Instrument</t>
  </si>
  <si>
    <t>Procurement of One (1) Unit Motor Bike for the Office of the Building Official</t>
  </si>
  <si>
    <t>Labor and Materials for Improvement of Barangay Outpost at Brgy. Munting Batangas, Balanga City</t>
  </si>
  <si>
    <t>RFQ-NP-SVP-379-2020-Procurement of Equipment for Design and Fabrication Laboratory</t>
  </si>
  <si>
    <t>Supply/Delivery of Office Supplies</t>
  </si>
  <si>
    <t>Procurement of Information Communication Technology (ICT) Laboratory Equipment for CEA and CIT at NORSU Main Campus (Batch 1)</t>
  </si>
  <si>
    <t>DRUGS &amp; MEDICINES (PR#20-06-70448)</t>
  </si>
  <si>
    <t>Various Medicines</t>
  </si>
  <si>
    <t>20HE0122 Construction of Four (4)  Storey Sixteen (16) Classrooms School Building, Tabunoc Central Elementary School, Talisay City, Cebu</t>
  </si>
  <si>
    <t>Purchase of 30 pairs Rainboots, 30 pcs Raincoats, 1 pc Dry Seal, etc. for use at the CMO-Department of Public Safety, Laoag City</t>
  </si>
  <si>
    <t>Labor and Materials for Installation of 30"Ø RCPC and Concreting of Pavement at Brgy. Tanato, Balanga City</t>
  </si>
  <si>
    <t>SUPPLY AND DELIVERY OF CONSTRUCTION MATERIALS FOR THE CONTINUATION/CONSTRUCTION OF PATHWAY</t>
  </si>
  <si>
    <t>supply &amp; delivery of Meals &amp; Snacks</t>
  </si>
  <si>
    <t>Supply/Delivery of 190 bags Fish Feed Pellets Grower (Floater)</t>
  </si>
  <si>
    <t>Supplies for printing &amp; reproduction of School Modules to be distributed to learners for Lepanto ES</t>
  </si>
  <si>
    <t>Labor and Materials for Construction of Canal at Cadena de Amor St. Brgy. Dona Francisca, Balanga City</t>
  </si>
  <si>
    <t>INVITATION TO BID FOR the Supply and delivery of fabricated nego carts, pedicabs, gas-operated ovens, power tools and grocery items for the implementation of diversified livelihood of NLFO</t>
  </si>
  <si>
    <t>Procurement of Various Office Supplies for 3rd and Fourth Quarter</t>
  </si>
  <si>
    <t>Photo with Picture Frame and Phototack to be displayed at LGU Mulanay Sangguniang Bayan Session Hall</t>
  </si>
  <si>
    <t>Procurement of Fuel, Oil and Lubricants for Road Rehabilitation (Sto. Niño, Poblacion, Burgos, GEA, Tuban)</t>
  </si>
  <si>
    <t>supply &amp; delivery of Various Agricultural Equipment</t>
  </si>
  <si>
    <t>ITB-2020-023 - SUPPLY AND DELIVERY OF IT EQUIPMENT</t>
  </si>
  <si>
    <t>Labor and Materials for Construction of Concrete Revetment at Brgy. Cupang Proper, City of Balanga, Bataan</t>
  </si>
  <si>
    <t>Supply/Delivery of Tennis Sports Equipments</t>
  </si>
  <si>
    <t>Purchase of Various Personal Protective Equipment (PPE) for COVID-19 Personnel</t>
  </si>
  <si>
    <t>Supply and Delivery of Materials for Concreting of Pathway (Phase 2) at Purok 3, San Vicente, Donsol, Sorsogon</t>
  </si>
  <si>
    <t>19LG0118 - Construction of the ongoing projects of new town hall and other public building at Municipality of Lupon, Davao Oriental</t>
  </si>
  <si>
    <t>Procurement of Fuel, Oil and Lubricants for Admin Office, Tourism Office, Admin Economics, Mayors Office, OMA, and MDRRMO</t>
  </si>
  <si>
    <t>Request for Qoutation for the Supply and Delivery of Sodium Hypo chlorite</t>
  </si>
  <si>
    <t>For Electrical Maintenance Purpose - PR # 2020-12503</t>
  </si>
  <si>
    <t>procurement/delivery of hormone</t>
  </si>
  <si>
    <t>Procurement of Agricultural Materials</t>
  </si>
  <si>
    <t>Certifying Body for the OSHC Recertification on ISO 9001:2015</t>
  </si>
  <si>
    <t>INVITATION TO BID FOR THE PROCUREMENT OF DUPLICATING/ PHOTOCOPYING MACHINE</t>
  </si>
  <si>
    <t>SUPPLY AND DELIVERY OF OFFICE EQUIPMENT FOR CPDO USE</t>
  </si>
  <si>
    <t>Supplies and Materials for the Valuation of Water Pollutants Along Moonglow Creek and Air Exhaust in Tandag Slaughter House</t>
  </si>
  <si>
    <t>Procurement of Various Office supplies &amp; materials</t>
  </si>
  <si>
    <t>Procurement of tocilizumab</t>
  </si>
  <si>
    <t>Purchase of Fuel for Municipal Vehicle Maintenance</t>
  </si>
  <si>
    <t>SUPPLY OF FUEL, OIL AND LUBRICANTS- MAYOR'S OFFICE USE</t>
  </si>
  <si>
    <t>Rescuers Uniform with Sublimation Print of Municipal Disaster Risk Reduction and Management Office</t>
  </si>
  <si>
    <t>Provision of Food to Locally Stranded Individuals and Overseas Filipino Workers who are undergoing mandatory Community Quarantine in designated LGU Facility to be serve during Locally Stranded Individ</t>
  </si>
  <si>
    <t>CONCRETING OF ROAD AT KM. 11 SAN JOSE</t>
  </si>
  <si>
    <t>SUPPLY AND DELIVERY OF AUTOMATIC VOLTAGE REGULATOR INTENDED FOR POWER BARGE 116</t>
  </si>
  <si>
    <t>PROCUREMENT OF TIRE FOR WHEEL LOADER</t>
  </si>
  <si>
    <t>HO-MSD20-015 - Supply and Delivery of Insulation Sheet, Varnish and Tubing</t>
  </si>
  <si>
    <t>PROCUREMENT OF SERVICE VEHICLE</t>
  </si>
  <si>
    <t>Supply and Delivery of Water Service Connection Materials/Fittings</t>
  </si>
  <si>
    <t>Supply and Delivery of Spareparts</t>
  </si>
  <si>
    <t>PURCHASE OF MATERIALS FOR THE COMPLETION OF SUBANEN BUILDING FOR COVID-19 ISOLATION FACILITY</t>
  </si>
  <si>
    <t>INFRA2020-RDW-022 Supply and Installation of Piezometers at Pulangi 4 HEP (Phase 2), Maramag, Bukidnon</t>
  </si>
  <si>
    <t>Conduct Cadastral Survey Service Project in the Municipality of Rosario, Cavite (Phase I)</t>
  </si>
  <si>
    <t>SUPPLY AND DELIVERY OF CORPORATION COCK (RE-BIDDING)</t>
  </si>
  <si>
    <t>Purchase of service vehicle for the Office of the Municipal Vice Mayor in Calumpit, Bulacan</t>
  </si>
  <si>
    <t>Purchase and delivery of bond papers for SHS modules production</t>
  </si>
  <si>
    <t>supply &amp; delivery of Various Materials</t>
  </si>
  <si>
    <t>REVERSE TRANSCRIPTION-POLYMERASE CHAIN REACTION TEST (PCR)/ COVID19 TESTING FOR DOT-RIII REGULAR AND JOB ORDER PERSONNEL (SECOND POSTING)</t>
  </si>
  <si>
    <t>20IJ-0093 REPAIR/MAINTENANCE OF DepED DIVISION OFFICE CALBAYOG CITY DIVISION OFFICE BUILDING, BRGY. HAMORAWON, CALBAYOG CITY, SAMAR</t>
  </si>
  <si>
    <t>Procurement of Two (2) units Risograph Machine for Provincial Governors Office.</t>
  </si>
  <si>
    <t>Supply and Delivery of Dispensary Supplies and Chlorine for Municipal Health Office</t>
  </si>
  <si>
    <t>INVITATION TO BID FOR THE PROCUREMENT OF TWO (2) UNITS MULTI-PARAMETER WATER QUALITY CHECKER</t>
  </si>
  <si>
    <t>Supplies and Materials for the Upgrading of Roofing, Ceiling and Cladding of Parapet of Academic Building of SDSSU Tandag Campus</t>
  </si>
  <si>
    <t>Labor and Materials for Repair and Maintenance - Market (ALS Silid Aralan sa Pamilihan) Brgy. San Jose, Balanga City</t>
  </si>
  <si>
    <t>supply &amp; delivery of Disinfectant</t>
  </si>
  <si>
    <t>Supply/Delivery of 1 unit Desktop Computer w/ Printer WIFI Ready &amp; 1 unit Printer Inkjet 3 in 1 (WIFI DIRECT)</t>
  </si>
  <si>
    <t>JOB ORDER FOR INSTALLATION OF 21 UNITS PAVILLION</t>
  </si>
  <si>
    <t>Supply &amp; Delivery of Six (6) Units Computer Laptop for Sangguniang Bayan Members</t>
  </si>
  <si>
    <t>Repair/Improvement of District Office</t>
  </si>
  <si>
    <t>Labor and Materials for Repainting of Building D (Frontage Section), Balanga Public Market, Brgy. San Jose, Balanga City</t>
  </si>
  <si>
    <t>Supply and Delivery of Laser Rangefinder Range at least 2400 meters and Other Items</t>
  </si>
  <si>
    <t>Procurement of 18 sets Personal Protective Equipment</t>
  </si>
  <si>
    <t>supply, delivery &amp; printing of Information Campaign Materials</t>
  </si>
  <si>
    <t>Supply and Delivery of Laptop</t>
  </si>
  <si>
    <t>SUPPLY  OF MATERIALS FOR  FOR THE REHABILITATION OF BRGY MULTI-PURPOSE HALL</t>
  </si>
  <si>
    <t>supply &amp; delivery of various Veterinary Supplies &amp; Medicines</t>
  </si>
  <si>
    <t>Procurement of office supplies to be distribute to 36 public schools in the municipality of Camalig in the implementation of distance and blended learning during the global crisis.</t>
  </si>
  <si>
    <t>PROCUREMENT OF VARIOUS SPARE PARTS FOR THE REPAIR AND MAINTENANCE OF SGS-352</t>
  </si>
  <si>
    <t>Supply and Delivery of Construction Materials for the Construction of Tina Drainage, Tina, San Miguel, SDS.</t>
  </si>
  <si>
    <t>ITB &amp; Bid Docs for Procurement ID/Contract ID:19C00095  Contract Name:Construction of Bypass Road FAB to Bagac-Mariveles, Mariveles, Bataan</t>
  </si>
  <si>
    <t>PROCUREMENT OF OTHER SUPPLIES AND DEVICES</t>
  </si>
  <si>
    <t>SUPPLY AND DELIVERY OF CHEST FREEZER TO BE USED AS COLD STORAGE OF PASTEURIZED TONED MILK FOR THE IMPLEMENTATION OF SCHOOL BASED FEEDING PROGRAM – SCHOOL MILK COMPONENT</t>
  </si>
  <si>
    <t>supply and delivery of table with chairs and filing cabinet</t>
  </si>
  <si>
    <t>LOCAL ACCESS ROAD CONSTRUCTION/ CONCRETING/ REHABILITATION OF CATMON TO STA. CRUZ FARM TO MARKET ROAD</t>
  </si>
  <si>
    <t>Supply and Delivery of Materials for Construction of Drainage System Phase 2 at Sta Cruz, Donsol, Sorsogon</t>
  </si>
  <si>
    <t>PROCUREMENT OF UTILITY SUPPLIES AND DEVICES</t>
  </si>
  <si>
    <t>CONSTRUCTION OF HEALTH CENTER LOCATED AT MANAGA, BANSALAN, DAVAO DEL SUR all in accordance to plans, specifications and scope of work and the Green Procurement Policy as adopted by Executive Order No.</t>
  </si>
  <si>
    <t>RFQ NO. 2020-191 "PROTECTIVE ISOLATION MASK- FACE SHIELD WITH GLASSES FRAME"</t>
  </si>
  <si>
    <t>SUPPLY OF FUEL, OIL AND LUBRICANTS</t>
  </si>
  <si>
    <t>Purchase of one unit each of Laptop and Desktop Computer (OUR)</t>
  </si>
  <si>
    <t>Procurement of Various Cellcards</t>
  </si>
  <si>
    <t>Supply/Delivery of Toner</t>
  </si>
  <si>
    <t>EXPANDABLE PLASTIC ENVELOP</t>
  </si>
  <si>
    <t>UPPLY AND DELIVERY OF OFFICE EQUIPMENT’S,  LGU, SAN MIGUEL, SURIGAO DEL SUR</t>
  </si>
  <si>
    <t>Repair of Temporary Office for Maintenance and Construction Section DPWH Quezon 3rd DEO Compound, Catanauan, Quezon</t>
  </si>
  <si>
    <t>Procurement of HEPA filter</t>
  </si>
  <si>
    <t>Supply and delivery of  IT EQUIPMENTS  re: For Various Office use  c/o Office of the Municipal Mayor.</t>
  </si>
  <si>
    <t>19LG0119 - Construction/Repair/Rehabilitation/Improvement of Multi-purpose Building in Municipality of Banaybanay</t>
  </si>
  <si>
    <t>Printing of four books (OVCAA)</t>
  </si>
  <si>
    <t>Supply and delivery of  IT EQUIPMENTS  re: For Instructional Purposes of Various Schools (Secondary Education).</t>
  </si>
  <si>
    <t>Supply/Delivery of 400 liters Diesel &amp; 185 liters Gasoline (Unleaded)</t>
  </si>
  <si>
    <t>SVP PUR20-05-0392 Procurement of Chlorexidine gluconate, etc. for PSD, PGH</t>
  </si>
  <si>
    <t>Construction of Public Comfort Room (Toilet) DPWH Quezon 3rd DEO Compound, Catanauan, Quezon</t>
  </si>
  <si>
    <t>Supply of Materials, Labor and Equipment for the Installation of Street Lights at Various Barangays</t>
  </si>
  <si>
    <t>PROVISION OF LABOR, MATERIAL, &amp; EQUIPMENT FOR CONCRETING OF RAMP ENTRANCE OF PHILRICE BATAC</t>
  </si>
  <si>
    <t>Supply, Delivery, Installation and Testing of Laboratory Equipment for Research/Soils and Water Laboratory Group, Irrigation Engineering Center</t>
  </si>
  <si>
    <t>PROCUREMENT OF VARIOUS FIRE EXTINGUISHERS FOR OPERATIONS DEPARTMENT</t>
  </si>
  <si>
    <t>Supply and delivery of  JETMATIC HAND PUMP  re: For Distribution to Various Barangays  c/o  MDRRMO.</t>
  </si>
  <si>
    <t>Surveying instrument-infrastructure multi-purpose design system-integrated RTK GNSS hardware and software with training</t>
  </si>
  <si>
    <t>Vehicle Rental Cotabato_RFQ2020</t>
  </si>
  <si>
    <t>Supply/Delivery of 846 liters Diesel &amp; 140 liters Gasoline</t>
  </si>
  <si>
    <t>Repair and Improvement of Municipal Streets of Brgy. Poblacion and Brgy. Pansoy San Andres, Quezon</t>
  </si>
  <si>
    <t>Supply of Labor, Equipment and Restoration Materials for the Installation, Testing and Commissioning of 250mm Dia. Transmission Line along Amulung Solana Road, Centro, Solana, Cagayan (Calamagui Upgra</t>
  </si>
  <si>
    <t>Establishment of Quezon Research and Extension Complex Project Catanauan, Quezon</t>
  </si>
  <si>
    <t>WIDENING OF BARANGAY MAIN ROAD @ SITIO SCARLET</t>
  </si>
  <si>
    <t>19LD0132-Concreting of 3 Kilometers road with line canal at Sitio Balutakay, Brgy. Managa, Bansalan, Davao del Sur</t>
  </si>
  <si>
    <t>Construction of Perimeter Fence at Proposed Motorpool Catanauan, Quezon</t>
  </si>
  <si>
    <t>Supply and delivery of  HARDWARE MATERIALS  re: For Repair and Maintenance of Water Supply System @ Barangay Balubad, Atimonan, Quezon.</t>
  </si>
  <si>
    <t>REI_20CSE015: Consulting Services on the Conduct of Sub-soil Investigation for the Proposed Reconstruction/Rehabilitation of National Roads with Slips and Slope Collapse along F.B. Reyes (Busuanga Cor</t>
  </si>
  <si>
    <t>supply &amp; delivery of Various Office Supplies &amp; Equipment</t>
  </si>
  <si>
    <t>Procurement of Reference Books for Donsol Community College</t>
  </si>
  <si>
    <t>RIPRAPPING OF BARANGAY ROAD @ SITIO JASMIN, BRGY. PULONG ANAHAO</t>
  </si>
  <si>
    <t>REPAIR/REHABILITATION OF STAGING TANK AND DRILLING OF ONE (1) 150MM DIA. PRODUCTION WELL AT PHILRICE BATAC UNDER PRRI-PB-2020-044</t>
  </si>
  <si>
    <t>Purchase of Electrical Supplies/Materials</t>
  </si>
  <si>
    <t>20HE0123 Construction of Four (4)  Storey Eight (8) Classrooms School Building, Minglanilla Central Elementary School, Minglanilla, Cebu</t>
  </si>
  <si>
    <t>Procurement on the Cleaning and Underground Cistern Tanks of the NTC Central Office CY2020</t>
  </si>
  <si>
    <t>Procurement on the Cleaning of Four (4) corner Stainless Cladding and Front Window Panels CY 2020</t>
  </si>
  <si>
    <t>20AD0115 : 41X: Emergency Repair/Maintenance along Cervantes-Quirino Road, Km385+300-Km404+100 with exception</t>
  </si>
  <si>
    <t>Labor and Materials for Improvement of Flooring at RHU III Brgy. Cupang Proper, Balanga City</t>
  </si>
  <si>
    <t>Supply and Delivery of Floor Mounted Airconditioner of SDSSU Tandag Campus</t>
  </si>
  <si>
    <t>CONSTRUCTION OF WATER SYSTEM AT BRGY. SAN JOSE, KIBLAWAN, DAVAO DEL SUR all in accordance to plans, specifications and scope of work and the Green Procurement Policy as adopted by Executive Order No.</t>
  </si>
  <si>
    <t>Bidding 19, 2020</t>
  </si>
  <si>
    <t>Supply &amp; Delivery of Eighty Seven (87) Sets of Jetmatic Pump</t>
  </si>
  <si>
    <t>Supply and delivery of 50 sets floating-monoline and 100 sets bottom-stake seaweed farm implements for Tawi Tawi province 2020 block grant</t>
  </si>
  <si>
    <t>Supply and Delivery of Sand paper and Other Supplies</t>
  </si>
  <si>
    <t>PROVISION OF ELECTRICAL FIXTURES OF VAROUS ROOMS OF PHILRICE BATAC</t>
  </si>
  <si>
    <t>RFQ-NP-SVP-380-2020-Procurement of Supply, Delivery, Installation of Split Type Air-Conditioner (Inverter)</t>
  </si>
  <si>
    <t>Procurement of Consulting Services for PGS Application</t>
  </si>
  <si>
    <t>CID No. 20GI00008 - Supply/provision of spare parts and accessories for the preventive maintenance of various service vehicles and heavy equipment assigned at DPWH Regional Office VIII, Baras, Palo, L</t>
  </si>
  <si>
    <t>Repair and Rehabilitation at BNHS-SHS</t>
  </si>
  <si>
    <t>EDUCATIONAL MATERIALS AND SUPPLIES</t>
  </si>
  <si>
    <t>19DP0089: Concreting of Farm-to-Market Road of Brgy. Manaol, Nagcarlan, Laguna</t>
  </si>
  <si>
    <t>Supply and Delivery of Goods and Materials for CALAYAN DPP</t>
  </si>
  <si>
    <t>PROVISION OF MATERIALS FOR REPLACEMENT OF PLIMBING FIXTURES AND DORMITORY ACCESSORIES OF PHILRICE BATAC DORMITORY</t>
  </si>
  <si>
    <t>Supply and Delivery of Laptop for Legislative Office</t>
  </si>
  <si>
    <t>Supply and Delivery of USB 16GB original to be used by different Public Schools</t>
  </si>
  <si>
    <t>Construction of Perimeter Fence at GRHR (112 LM - 38 Span)</t>
  </si>
  <si>
    <t>SUPPLY AND DELIVERY OF MEDICAL AND SURGICAL SUPPLIES</t>
  </si>
  <si>
    <t>Supply and Delivery of Bond Paper for Reproduction of Modules</t>
  </si>
  <si>
    <t>COMPLETION OF WEAVING CENTER (DEMO AND DISPLAY AREA)</t>
  </si>
  <si>
    <t>PROCUREMENT OF VARIOUS PRINTER INK FOR THE OPERATIONS DEPARTMENT</t>
  </si>
  <si>
    <t>Improvement of STAKA (Riverbank Protection)</t>
  </si>
  <si>
    <t>Procurement of 2,063 reams of Paper-Paper Multicopy, A4, for laser printer/inkjet printers, high speed, copier, 210mm x 297 mm(A-4), 80 gsm</t>
  </si>
  <si>
    <t>SVP PUR20-08-0673, PUR20-08-0711 &amp; PUR20-08-0712 Procurement of Pre-disinfectant tri enzymatic solution for DOPS, &amp; ORMAT, PGH</t>
  </si>
  <si>
    <t>20FK0067-Construction of Sports Facilities including Swimming Pool, Warm Up Pool, Bleachers and Rest Room Casiguran, Sorsogon</t>
  </si>
  <si>
    <t>Concreting of Brgy. Road</t>
  </si>
  <si>
    <t>Supply and Delivery of Materials for the Fabrication of Twelve (12) units of Tents for the City Government of Balanga</t>
  </si>
  <si>
    <t>S PUR20-05-0443 Procurement of Alcohol 69-72% ethanol for PSD</t>
  </si>
  <si>
    <t>BAC 2020-023 One Job Order for the Construction of Double swing door, single sliding door with lead sheets and Lead doors and Lead sheets on XRAY Room</t>
  </si>
  <si>
    <t>EXTENSION /EXPANSION OF LIBRARY / TECH 4ED CENTER/ MIS</t>
  </si>
  <si>
    <t>Installation of Additional Roadway Lights along National Road</t>
  </si>
  <si>
    <t>2020-25  “SUPPLY AND DELIVERY OF BATTERY BACKUP &amp; SURGE PROTECTOR FOR BFAR COMPUTERS HARDWARE AND LCD PROJECTOR TO BE DELIVERED AT THE BFAR-CENTRAL OFFICE”</t>
  </si>
  <si>
    <t>Procurement of Siphoning of Big Volume Cistern Tank</t>
  </si>
  <si>
    <t>PROCUREMENT OF EIGHT (8) PIECES HP-CF256X TONER FOR THE OPERATIONS DEPARTMENT</t>
  </si>
  <si>
    <t>procurement/delivery of bamboo</t>
  </si>
  <si>
    <t>Supply and Delivery of Two (2) Units Motorcycle</t>
  </si>
  <si>
    <t>CID No. 20GLE0104/PR 20-03-0096, PR 20-03-0100 Purchase of Spare Parts for use in Heavy Equipment</t>
  </si>
  <si>
    <t>Purchase of supplies for the Printing of Self-Learning Modules for the Division of Davao Occidental</t>
  </si>
  <si>
    <t>Purchase of One Hundred (100) Units of Printer for the Printing of Self-Learning Modules for the Division of Davao Occidental</t>
  </si>
  <si>
    <t>Improvement at GRHR - Public Comfort Room</t>
  </si>
  <si>
    <t>Supply and Delivery of Executive Chairs to be Used by Mayor's Conference Room (Repost)</t>
  </si>
  <si>
    <t>procurement/delivery of hardware materials</t>
  </si>
  <si>
    <t>supply and delivery of one lot nutritional pack-goods</t>
  </si>
  <si>
    <t>Supply and Delivery of Portable Radio with Sim slot to be used by different Public Schools</t>
  </si>
  <si>
    <t>INVITATION TO BID   CONSTRUCTION OF WS II OFFICE AT NFA COMPOUND, BORONGAN CITY</t>
  </si>
  <si>
    <t>Procurement of Cacao Grinder and Tablea Molders</t>
  </si>
  <si>
    <t>Re-bidding of Supply and Delivery of Fishing Gears and Paraphernalia for the Implementation of the Fisheries Projects/ Programs CY 2020</t>
  </si>
  <si>
    <t>Elevated Water Tank</t>
  </si>
  <si>
    <t>Procurement of Alcohol for Sanitizer Production</t>
  </si>
  <si>
    <t>Gender &amp; Development Program</t>
  </si>
  <si>
    <t>Construction of Clustered Infrastructure Projects (Drainage Canal &amp; Drainage Canal with Cover)</t>
  </si>
  <si>
    <t>Catering Services - Provincial Integrated FARMC Strengthening</t>
  </si>
  <si>
    <t>Supply and delivery of 2 units of fish cages (for Marine Water) with 4 compartment of net cages for Basilan Province under 2020 block grant</t>
  </si>
  <si>
    <t>Installation of Additional Roadway Lights at Poblacion</t>
  </si>
  <si>
    <t>ITB No. SJdB-2020-010: Construction of a Barangay Health Station (BHS) at Brgy. 3</t>
  </si>
  <si>
    <t>STREETLIGHTS</t>
  </si>
  <si>
    <t>supply and delivery of 1 lot fuel, oils and lubricants (supplemental)</t>
  </si>
  <si>
    <t>ITB No. SJdB-2020-011: Construction of a Barangay Health Station (BHS) at Brgy. 4</t>
  </si>
  <si>
    <t>Diagnostic Test Paper</t>
  </si>
  <si>
    <t>Supply and delivery of 1 unit of fish cage (for Marine Water) with 4 compartment of net cages for Cotabato City Province under 2020 block grant</t>
  </si>
  <si>
    <t>Catering Services - Capacity Building</t>
  </si>
  <si>
    <t>Construction of Viewdeck at CSU</t>
  </si>
  <si>
    <t>SUPPLY AND DELIVERY OF PEST CONTROL PRODUCTS PR No. 0817 S.2020</t>
  </si>
  <si>
    <t>Proposed repair &amp; rehabilitation of canal &amp; construction of canal cover with curb &amp; gutter at Barangay Dolores, San Pablo City</t>
  </si>
  <si>
    <t>Supply and delivery of 1 unit of fish cage (for Marine Water) with 4 compartment of net cages for Sulu Province under 2020 block grant</t>
  </si>
  <si>
    <t>Re-bidding of Supply and Delivery of Feeds, Fertilizers and Neutralizers for the Implementation of the Fisheries Projects/ Programs CY 2020</t>
  </si>
  <si>
    <t>Improvement of Day Care Center</t>
  </si>
  <si>
    <t>Continuation of Livelihood/Processing Center</t>
  </si>
  <si>
    <t>20DL0237 - LOCAL PROGRAM, CONST. / REPAIR / REHAB. / IMPROVEMENT OF VARIOUS INFRASTRUCTURE INCLUDING LOCAL PROJECTS, NATIONAL ROADS AND BRIDGES, NATIONAL ROADS 2. CONSTRUCTION OF SLOPE PROTECTION ALON</t>
  </si>
  <si>
    <t>20DL0236 - LOCAL PROGRAM, CONST. / REPAIR / REHAB. / IMPROVEMENT OF VARIOUS INFRASTRUCTURE INCLUDING LOCAL PROJECTS, NATIONAL ROADS AND BRIDGES, NATIONAL ROADS 1.  CONSTRUCTION OF SLOPE PROTECTION ALO</t>
  </si>
  <si>
    <t>Repair/Improvement of 2-Storey Public Market Building</t>
  </si>
  <si>
    <t>20DL0235 - LOCAL PROGRAM, CONST. / REPAIR / REHAB. / IMPROVEMENT OF VARIOUS INFRASTRUCTURE INCLUDING LOCAL PROJECTS, NATIONAL ROADS AND BRIDGES, NATIONAL ROADS 1. CONSTRUCTION OF SLOPE PROTECTION ALON</t>
  </si>
  <si>
    <t>Delivery and Installation of Electrical Supplies and Components</t>
  </si>
  <si>
    <t>20DL0238 - LOCAL PROGRAM, CONST. / REPAIR / REHAB. / IMPROVEMENT OF VARIOUS INFRASTRUCTURE INCLUDING LOCAL PROJECTS, NATIONAL ROADS AND BRIDGES, NATIONAL ROADS 2. CONSTRUCTION OF SLOPE PROTECTION ALON</t>
  </si>
  <si>
    <t>Procurement of Audio Video System</t>
  </si>
  <si>
    <t>Construction of Drainage System</t>
  </si>
  <si>
    <t>Supply, Delivery, Installation, and Configuration of Active Directory</t>
  </si>
  <si>
    <t>20DB0146 Construction of Multi-Purpose Building (Municipal Building), Phase I, Brgy. Carsuche, Taal, Batangas</t>
  </si>
  <si>
    <t>ITB No. SJdB-2020-012: Construction of a Barangay Health Station (BHS) at Brgy. 5</t>
  </si>
  <si>
    <t>CID No. 20IC0087: Const./Improvement/Rehab. of Flood Control Project along Limbuhan River, Brgy. Bislig, Tanauan, Leyte; ABC: P19,300,000.00; 200 CD</t>
  </si>
  <si>
    <t>MOOE Busco   EDUCATIONAL MATERIALS &amp;SUPPLIES 3rd  Quater 2020</t>
  </si>
  <si>
    <t>PR # 2020-08-179 - Supply and Delivery of Items to be used for the Conduct of CY 2020 Axle Road Survey along BCIR Misamis Oriental</t>
  </si>
  <si>
    <t>Reagents for the Monitoring and Surveillance of Shrimp Diseases</t>
  </si>
  <si>
    <t>19LG0120 - Construction/Repair/Rehabilitation/Improvement of Multi-purpose Building in Municipality of Lupon</t>
  </si>
  <si>
    <t>CONSTRUCTION OF PADDIG CHILD DEVELOPMENT CENTER (FENCING)</t>
  </si>
  <si>
    <t>Concreting of Ipil-San Francisco Farm-to-Market Road (328.50ln.m.)</t>
  </si>
  <si>
    <t>Construction of Barangay Health Center</t>
  </si>
  <si>
    <t>PR# MG-ISD20-018, ADAPTER &amp; 13 OTHER ITEMS</t>
  </si>
  <si>
    <t>Supply and Delivery of One Thousand (1,000) Units of Radio with USB Port</t>
  </si>
  <si>
    <t>Purchase of Printer</t>
  </si>
  <si>
    <t>PR# MG-STS20-020, TONER CARTRIDGES</t>
  </si>
  <si>
    <t>PROCUREMENT OF FIFTY- FIVE (55) PIECES SEALED BEAM PAR 56 FOR HEADLIGHT ON DIESEL ELECTRIC LOCOMOTIVE</t>
  </si>
  <si>
    <t>Concreting of Ipil-San Francisco Farm-to-Market Road</t>
  </si>
  <si>
    <t>ITB No. SJdB-2020-013: Construction of a Barangay Health Station (BHS) at Brgy. Bariri</t>
  </si>
  <si>
    <t>Printing and Delivery of Parent's Manual for Kinder to Grade 12 in 33 public schools at SDO Marikina City</t>
  </si>
  <si>
    <t>RFQ 2020-78 Emergency Cart/Trolley</t>
  </si>
  <si>
    <t>Hands-on Training on Tilapia Culture in Ponds  and Cages for North Cotabato province under 2020 block grant</t>
  </si>
  <si>
    <t>CONSTRUCTION OF SENIOR CITIZEN’S PAVILION AND RENTABLE SPACE, ESCALANTE CITY PUBLIC PLAZA (STRAIGHT CONTRACT LABOR &amp; MATERIALS)</t>
  </si>
  <si>
    <t>SUPPLY, DELIVERY AND INSTALLATION OF TWO (2) UNITS MOBILE RECIRCULATING DRYER</t>
  </si>
  <si>
    <t>1 LOT – Supply of labor, tools and materials for Operation and Basic Maintenance Servicing (OBMS) of the Electro-Mechanical System of the BSP Bacolod Branch  for the period of four (4) months (Sep 202</t>
  </si>
  <si>
    <t>One (1) Lot Information Technology</t>
  </si>
  <si>
    <t>RFQ 2020-77 Outpatient Department CCTV</t>
  </si>
  <si>
    <t>ITB No. SJdB-2020-015: Completion, Repair/Renovation/Rehabilitation/Relocation and Equipping of a Barangay Health Station (BHS) at Brgy. Guinbanga-an</t>
  </si>
  <si>
    <t>One (1) Lot Design and Build Scheme Infrastracture Project</t>
  </si>
  <si>
    <t>One (1) Lot Provision of Electrical Rewiring</t>
  </si>
  <si>
    <t>RFQ 2020-76 Various Supplies for HIV HUB</t>
  </si>
  <si>
    <t>Construction of 3-Storey Public Market Building Phase III</t>
  </si>
  <si>
    <t>Bed, Double Deck with Mattress</t>
  </si>
  <si>
    <t>Refurbishment/Upgrading of Old and Existing Building (FLTC Building)</t>
  </si>
  <si>
    <t>Supply/delivery of Materials for the Construction of Solar Dryer, Brgy. San Enrique</t>
  </si>
  <si>
    <t>Supply/delivery of Materials for the Completion/Repair/Renovation/Rehab. of BHS, Sebario</t>
  </si>
  <si>
    <t>19LG0121 - Construction/Repair/Rehabilitation/Improvement of Multi-purpose Building in Municipality of Governor Generoso</t>
  </si>
  <si>
    <t>P.R No. 20-07-0762: Office Furniture</t>
  </si>
  <si>
    <t>Invitation to Bid for the Construction of Multi-Purpose Drying Pavement at Brgy. Sta. Lucia, this municipality</t>
  </si>
  <si>
    <t>ITB No. SJdB-2020-014: Construction of a Barangay Health Station (BHS) at Brgy. Durog</t>
  </si>
  <si>
    <t>20FN0113-Concreting of Provincial Road from Brgy. Cabanban to Brgy. Pulang Daga, Balatan, Camarines Sur Sta. 0+685.00 - Sta. 1+183.00</t>
  </si>
  <si>
    <t>Invitation to Bid for the Construction of Aringay Water Supply System Pumping Station II at Salapac, Poblacion, Aringay, La Union</t>
  </si>
  <si>
    <t>Supply and delivery of bondpapers and toner for HP for school consumption.</t>
  </si>
  <si>
    <t>20FN0112-Construction of Revetment and Channel Improvement at Barit River-Outfall (Bula and Nabua Section), Camarines Sur Sta. 0+723 - Sta.1+106</t>
  </si>
  <si>
    <t>Invitation to Bid for the Construction of Water Tank  for Aringay Water Supply System Pumping Station at Salapac, Poblacion, Aringay, La Union</t>
  </si>
  <si>
    <t>Invitation to Bid for the Expansion of AWSS Water Lines along Sta. Lucia-Samara, San Benito Sur &amp; San Benito Norte, Aringay, La Union.</t>
  </si>
  <si>
    <t>Construction of Material Recovery Facility, 12 Schools (Labor Only)</t>
  </si>
  <si>
    <t>Supply/delivery of Various Spare parts for Heavy Equipment</t>
  </si>
  <si>
    <t>Invitation to Bid for the Repair &amp; Maintenance of Slope Protection &amp; other Infrastructure at Sitio Calimban, Gallano, this municipality</t>
  </si>
  <si>
    <t>SUPPLY AND DELIVERY OF THREE (3) UNITS RICE MILL</t>
  </si>
  <si>
    <t>PROCUREMENT OF MATERIALS FOR SPORTSFEST AND TALENT ENHANCEMENT</t>
  </si>
  <si>
    <t>Supply and Delivery of Aircraft Drones</t>
  </si>
  <si>
    <t>Construction of Drainage Canal, Curb &amp; Gutter - Salvanera, Lasam, Peralta and Mabini Sts.</t>
  </si>
  <si>
    <t>PRODUCTION AND DELIVERY OF K TO 3 AND SENIOR HIGH SCHOOL LEARNING MATERIALS (ORDERING AGREEMENT)</t>
  </si>
  <si>
    <t>Supply and Delivery of Various Construction Materials for Solid Waste Segregation - MENRO  PR# 20-06-0463</t>
  </si>
  <si>
    <t>SUPPLY AND DELIVERY OF PRINTING MATERIALS FOR MODULE REPRODUCTION</t>
  </si>
  <si>
    <t>Invitation to Bid for the Procurement of IT Equipment to be used for the Blended/Distance Learning of public elementary and secondary schools of Aringay District, this municicpality.</t>
  </si>
  <si>
    <t>One (1) Lot Laboratory Equipment</t>
  </si>
  <si>
    <t>Printing of Modules (Galang ES) Apalit District</t>
  </si>
  <si>
    <t>Supply/delivery of Materials for the Construction of Material Recovery Facility (12 Schools)</t>
  </si>
  <si>
    <t>ITB No. SJdB-2020-016: Construction of a Barangay Health Station (BHS) at Brgy. Igbonglo</t>
  </si>
  <si>
    <t>RE-Bidding for the Fabrication of New Classroom’s Cubicle Table (180 Sets</t>
  </si>
  <si>
    <t>20-CS-DO-03: Preliminary Detailed Engineering Services for the Construction of Flood Control Structures along: 1. Upper Marikina River, 2. Morong River, 3. Teresa River, 4. Pililla River, 5. Puray Riv</t>
  </si>
  <si>
    <t>Construction of Crisis Center</t>
  </si>
  <si>
    <t>Supply and delivery of Materials for the Completion/Repair/Renovation/Rehab. of RHU</t>
  </si>
  <si>
    <t>ITB No. SJdB-2020-018: Construction of a Barangay Health Station (BHS) at Brgy. Maybato Sur</t>
  </si>
  <si>
    <t>RFQ-DESKTOP AND IT PERIPHERALS PR#20-02-0035</t>
  </si>
  <si>
    <t>Construction of Box Culvert</t>
  </si>
  <si>
    <t>Supply and delivery of Materials for the Completion/Repair/Renovation/Rehab. of BHS, Sapal</t>
  </si>
  <si>
    <t>Refurbishment/Upgrading of Old and Existing Buildings (Research, Extension and Business Affairs Building)</t>
  </si>
  <si>
    <t>Printing and Binding of Self Learning Modules for the Schools Division of Laoag City Learners</t>
  </si>
  <si>
    <t>Completion/Repair/Renovation/Rehab. of BHS, Cabano (Labor Only)</t>
  </si>
  <si>
    <t>Construction of Road and Entrance and Exit Signage at Graduate School</t>
  </si>
  <si>
    <t>1 LOT –  Supply of labor, tools and materials for the Operation and Basic Maintenance Servicing (OBMS) of the Electro-Mechanical System of BSP Iloilo Branch as per BSP Terms of Reference</t>
  </si>
  <si>
    <t>Supply and delivery of Materials for the Completion/Repair/Renovation/Rehab. of BHS, Igcawayan</t>
  </si>
  <si>
    <t>ITB No. SJdB-2020-017: Construction of a Barangay Health Station (BHS) at Brgy. Magcalon</t>
  </si>
  <si>
    <t>Improvement of Bldg. Facilities Work Area</t>
  </si>
  <si>
    <t>19DL0219 - IMPLEMENTATION OF VARIOUS NEW AND URGENT INFRASTRUCTURE PROJECTS OF THE DISTRICT, 2. CONSTRUCTION / REHABILITATION OF MULTI-PURPOSE BUILDING, ALABAT, QUEZON</t>
  </si>
  <si>
    <t>2020-26 Rehabilitation of Regional FIMC Data Centers and Delivery and Installation of IT Equipment</t>
  </si>
  <si>
    <t>20DL0240 - LOCAL PROGRAM, CONST. / REPAIR / REHAB. / IMPROVEMENT OF VARIOUS INFRASTRUCTURE INCLUDING LOCAL PROJECTS, NATIONAL ROADS AND BRIDGES, NATIONAL ROADS 4. CONSTRUCTION OF SLOPE PROTECTION ALON</t>
  </si>
  <si>
    <t>Supply and delivery of Materials for the Completion/Repair/Renovation/Rehab. of BHS, Cabano</t>
  </si>
  <si>
    <t>Procurement of Bundy Clock</t>
  </si>
  <si>
    <t>Procurement of Alcohol (Lot 1)</t>
  </si>
  <si>
    <t>Purchase of Materials for the Concrete Paving of Road Shoulder of Young and Felipe St of Barangay San Blas, Paoay, Ilocos Norte</t>
  </si>
  <si>
    <t>Fabrication and delivery of Fiberglass Reinforced Plastic (FRP) Fish tank</t>
  </si>
  <si>
    <t>Provisions of Supplies for Reproduction of Learning ResourcesIModules for Schools without Funding from the MOOE and Schools with MOOE but is Needing Additional Provisions</t>
  </si>
  <si>
    <t>"Printing and Reproduction of Self-learnning Modules (SLMs)"</t>
  </si>
  <si>
    <t>Construction of Barangay Health Care Center</t>
  </si>
  <si>
    <t>PROCUREMENT OF MEDICINES</t>
  </si>
  <si>
    <t>Printing of Modules (Maliwalu ES) Bacolor North</t>
  </si>
  <si>
    <t>Supply/delivery of Tires for Municipal Ambulance</t>
  </si>
  <si>
    <t>Construction/Opening of Buyuan-Matanag-Mabini Alternate Road, Legazpi City, Albay</t>
  </si>
  <si>
    <t>Construction/Repair/Rehabilitation/Improvement of Various Infrastructure including Local Projects - Local Roads and Bridges-Asphalt Overlay of Banquerohan-Bariis-Sugoy Road, Legazpi City</t>
  </si>
  <si>
    <t>Construction/Rehabilitation/Improvement of Pawa - Tamaoyan Road, Pawa and Tamaoyan, Legazpi City, Albay</t>
  </si>
  <si>
    <t>20-CS-DO-04: Preliminary Detailed Engineering Services for the different Roads and Bridges within the 2nd Legislative District of Rizal: 1. Pililla Jct. – Jalajala Road, 2. Tanay-Sampaloc Road, 3. Man</t>
  </si>
  <si>
    <t>PROCUREMENT OF BRAND NEW VEHICLE ( MPV) 15 SEATER</t>
  </si>
  <si>
    <t>Supply and Delivery of TWO HUNDRED (200) BAGS ORGANIC FERTILIZER</t>
  </si>
  <si>
    <t>Printing of Modules (Concepcion ES) Bacolor North</t>
  </si>
  <si>
    <t>ITB NO. GOP-20-DSWD-2020-08-05 Procurement of Various Office Supplies for the use of KALAHI-CIDSS Program Implementation CY2020</t>
  </si>
  <si>
    <t>Printing of Modules (Bucanan ES) Magalang North</t>
  </si>
  <si>
    <t>Procurement of Motor Vehicle Battery</t>
  </si>
  <si>
    <t>Construction/Maintenance of Flood Mitigation Structures and Drainage Systems - Construction of Flood Control Dike Along Cawayan River, Manito, Albay</t>
  </si>
  <si>
    <t>Repair and Maintenance of Water Works System @ Barangay Dayapan, Ibaan, Batangas</t>
  </si>
  <si>
    <t>Printing of Modules (San Miguel ES) Magalang North</t>
  </si>
  <si>
    <t>Construction/Maintenance of Flood Mitigation Structures and Drainage Systems - Construction/ Improvement of Buyo River Flood Control System, Manito, Albay</t>
  </si>
  <si>
    <t>RFQ-REFILL OF FIRE EXTINGUISHER PR#20-08-0053</t>
  </si>
  <si>
    <t>PROCUREMENT OF BRAND NEW PICK UP 4X2</t>
  </si>
  <si>
    <t>Aquaculture Machinery and Equipment</t>
  </si>
  <si>
    <t>SUPPLY AND DELIVERY OF 242 PCS PNUEMOCOCCAL VACCINE POLYVALENT</t>
  </si>
  <si>
    <t>Printing of Modules (Calantas ES) Floridablanca West</t>
  </si>
  <si>
    <t>Supply and Delivery of ONE (1) UNIT RICE THRESHER</t>
  </si>
  <si>
    <t>Supply and Delivery of BFAR Video/Photo Equipment for the Office Productivity Project</t>
  </si>
  <si>
    <t>ITB No. SJdB-2020-022: Completion, Repair/Renovation/Rehabilitation/Relocation and Equipping of a Barangay Health Station (BHS) at Brgy. San Pedro</t>
  </si>
  <si>
    <t>Printing of Modules (Masantol ES) Masantol North</t>
  </si>
  <si>
    <t>Printing of Modules (San Isidro ES) San Simon</t>
  </si>
  <si>
    <t>ITB No. SJdB-2020-019: Construction of a Barangay Health Station (BHS) at Brgy. Mojon</t>
  </si>
  <si>
    <t>Supply and Delivery of ONE (1) UNIT  POWER TILLER (Kuliglig)</t>
  </si>
  <si>
    <t>Printing of Modules (Macario Arnedo ES) Apalit District</t>
  </si>
  <si>
    <t>Printing of Modules (san Jose ES) San Luis</t>
  </si>
  <si>
    <t>Supply and Delivery of ONE (1) UNIT  REAPER</t>
  </si>
  <si>
    <t>Supply and Delivery of TWO (2) UNITS FLOATING TILLER (Mud Boat Type)</t>
  </si>
  <si>
    <t>Printing of Modules (Bacolor ES) Bacolor North</t>
  </si>
  <si>
    <t>Printing of Modules (Tinajero ES) Bacolor North</t>
  </si>
  <si>
    <t>Printing of Modules (Sto. Niño ES) San Luis</t>
  </si>
  <si>
    <t>Printing of Modules (Talba ES) Bacolor North</t>
  </si>
  <si>
    <t>ITB No. SJdB-2020-020: Construction of a Barangay Health Station (BHS) at Brgy. Pantao</t>
  </si>
  <si>
    <t>PROCUREMENT OF BONDPAPER A4 SIZE</t>
  </si>
  <si>
    <t>Supply and Delivery of ONE THOUSAND (1000) PCS DUCKLINGS</t>
  </si>
  <si>
    <t>Printing of Modules (San Juan ES) San Luis</t>
  </si>
  <si>
    <t>Supply and Delivery of 6 units of Y19 Android Cellphone to be Used by City Public Safety Office (I Patroller)</t>
  </si>
  <si>
    <t>Printing of KWF Manwal iti Naurnos a Panagsurat iti Ilokano Maikaduwa ng Edisyon</t>
  </si>
  <si>
    <t>Preventive Maintenance Legazpi City - Punta De Jesus Rd - K0544+201 - K0546+000</t>
  </si>
  <si>
    <t>CONCRETING OF BRGY ROAD (PHASE III)</t>
  </si>
  <si>
    <t>Syringe 50cc</t>
  </si>
  <si>
    <t>El Nido NHS School Supplies</t>
  </si>
  <si>
    <t>20DL0239 - LOCAL PROGRAM, CONST. / REPAIR / REHAB. / IMPROVEMENT OF VARIOUS INFRASTRUCTURE INCLUDING LOCAL PROJECTS, NATIONAL ROADS AND BRIDGES, NATIONAL ROADS 3. CONSTRUCTION OF SLOPE PROTECTION ALON</t>
  </si>
  <si>
    <t>Repost Procurement and Delivery of Printers for Module Reproduction</t>
  </si>
  <si>
    <t>CSC CAR RFQ NO 2020-013 Potable Water System for CSC FO-Abra</t>
  </si>
  <si>
    <t>Enhancement of Physical Security using Natural Barriers at SND Quarters, Francisco Hall</t>
  </si>
  <si>
    <t>1 LOT –  Supply of labor, tools and materials for the Operation and Basic Maintenance Servicing (OBMS) of the Electro-Mechanical System of BSP Tacloban Branch as per BSP Terms of Reference for the per</t>
  </si>
  <si>
    <t>IMPROVEMENT OF BRGY. STREETLIGHTS</t>
  </si>
  <si>
    <t>Shuttle Services for Komisyon sa Wikang Filipino Employees</t>
  </si>
  <si>
    <t>lmprovement of Health Center</t>
  </si>
  <si>
    <t>Construction of Namuyukan Footbridge Phase II</t>
  </si>
  <si>
    <t>Materials for the Rehabilitation/Repair/Improvement of Barangay Health Station Brgy. Poblacion</t>
  </si>
  <si>
    <t>ITB No. SJdB-2020-023: Construction of a Barangay Health Station (BHS) at Brgy. Supa</t>
  </si>
  <si>
    <t>PURCHASE OF BIOMETRIC SCANNER AND CCTV SURVEILLANCE SYSTEM FOR MFCES, MFNHS AND SAN MIGUEL ELEMENTARY SCHOOL</t>
  </si>
  <si>
    <t>CONCRETING OF BARANGAY ROAD AT SAN JOSE APUNAN</t>
  </si>
  <si>
    <t>1 LOT –  Supply of labor, tools and materials for the Operation and Basic Maintenance Servicing (OBMS) of the Electro-Mechanical System of BSP Roxas Branch as per BSP Terms of Reference</t>
  </si>
  <si>
    <t>PURCHASE OF 10 UNITS COMMUNICATION EQUIPMENT OF BRGY. BAGONGBONG</t>
  </si>
  <si>
    <t>DRAINAGE SYSTEM AT AVOCADO STREET RIGHT SIDE BRGY. CROSSING BAYABAS</t>
  </si>
  <si>
    <t>A. DRAINAGE SYSTEM AT SANTOL LEFT SIDE (PUR0K 1)/ B. DRAINAGE SYSTEM</t>
  </si>
  <si>
    <t>DRAINAGE SYSTEM</t>
  </si>
  <si>
    <t>Materials for the Rehabilitation/Repair/Improvement of Barangay Health Station Brgy. Igang</t>
  </si>
  <si>
    <t>PBD 20-026A One Step qRT PCR kit</t>
  </si>
  <si>
    <t>A. DRAINAGE SYSTEM AT LANZONES STREET (PUROK 15) / ADDITIONAL RIPRAPPING OF CANAL AT PUROK 15 LANZONES STREET</t>
  </si>
  <si>
    <t>A. DRAINAGE SYSTEM AT DAHLIA STREET (PUROK 7) / B. DRAINAGE SYSTEM</t>
  </si>
  <si>
    <t>PROCUREMENT OF E-BOOKS FOR THE COLLEGE OF ARCHITECTURE, ENGINEERING AND TECHNOLOGY, COLLEGE OF ARTS, SCIENCES AND TECHNOLOGY AND COLLEGE OF AGRICULTURE</t>
  </si>
  <si>
    <t>A. DRAINAGE SYSTEM AT MERCURY ST., (PUROK 3)/ DRAINAGE SYSTEM</t>
  </si>
  <si>
    <t>Purchase of Supplies to be used for Printing of  Modules</t>
  </si>
  <si>
    <t>Procurement of One Unit Garbage Truck</t>
  </si>
  <si>
    <t>MODULAR REPRODUCTION</t>
  </si>
  <si>
    <t>Supply and Delivery of 1 Set Universal convenience outlet 2 gang &amp; Other Items; PR No. 20-1682 dated July 1, 2020</t>
  </si>
  <si>
    <t>Supply and Delivery of 1 Pc. Cylinder Head Gasket &amp; Other Items; PR No. 20-1717 dated May 21, 2020</t>
  </si>
  <si>
    <t>Supply and Delivery of 10 Tubes 35A Toner with free use of printer &amp; Other Item; PR No. 20-1884 dated July 22, 2020</t>
  </si>
  <si>
    <t>DRAINAGE SYSTEM AT MABINI TO BONIFACIO STREET (PUROK 10)</t>
  </si>
  <si>
    <t>Supply and Delivery of 30 Cart. Brother, TN2280 with existing printer; PR No. 20-1886 dated February 11, 2020</t>
  </si>
  <si>
    <t>Supply and Delivery of 2 Unit Wall Mounted Type Inverter Airconditioner; PR No. 20-1897 dated July 6, 2020</t>
  </si>
  <si>
    <t>Supply &amp; Delivery 45 packs Black Coffee &amp; other items; PR No. 20-1942 dated July 28, 2020</t>
  </si>
  <si>
    <t>A. DRAINAGE SYSTEM AT SANTOL ST., RIGHT SIDE (PUROK 1) / B. DRAINAGE SYSTEM</t>
  </si>
  <si>
    <t>Supply and Delivery of EIGHTY (80) BAGS UPLAND PALAY SEEDS</t>
  </si>
  <si>
    <t>Printing of Student Modules (junior and Senior High School)</t>
  </si>
  <si>
    <t>Supply and Delivery of 40 Pcs. Plywood 1/4 &amp; Other Items; PR No. 20-1900 dated July 20, 2020</t>
  </si>
  <si>
    <t>Contract ID No. 20K00365 - Concreting of Brgy. Pulacan to National Highway to Brgy. Perfecto Magdadaro FMR, Brgy. Pulacan and Brgy. Perfecto Magdadaro, Wao, Lanao del Sur</t>
  </si>
  <si>
    <t>PEO-20-0989-B- Purchase of Spare parts for use in the repair of Volvo Road Grader (VRG 4&amp;5) Model: G930 and Volvo Road Grader (VRG 1-3) Model: G710 B assigned at PEP, Sta. Barbara, Iloilo</t>
  </si>
  <si>
    <t>Contract ID No. 20K00363 - Construction of Brgy. Piangologan to Brgy. Balut FMR, Brgy. Piangologan and Brgy. Balut, Marogong, Lanao del Sur</t>
  </si>
  <si>
    <t>Contract ID No. 20K00361 - Concreting of Brgy. Bobong FMR, Brgy. Bobong, BAcolod-Kalawi, Lanao del Sur</t>
  </si>
  <si>
    <t>Materials for the Rehabilitation/Repair/Improvement of Barangay Health Station Brgy. Magamay</t>
  </si>
  <si>
    <t>Contract ID No. 20K00364 - Concreting of Brgy. Pualas FMR, Brgy. Pualas, Buadipuso-Buntong, Lanao del Sur</t>
  </si>
  <si>
    <t>Contract ID No. 20K00362 - Concreting of Brgy. Carigongan FMR, Brgy. Carigongan, Bubong, Bacolod-Kalawi, Lanao del Sur</t>
  </si>
  <si>
    <t>Improvement of Multi-Purpose Hall at San Jose Elementary School, Barangay San Jose, Floridablanca, Pampanga</t>
  </si>
  <si>
    <t>CONSTRUCTION OF VARIOUS INFRASTRUCTURE PROJECTS FOR THE CITY OF NAVOTAS UNDER OTHER INFRASTRUCTURE ASSETS</t>
  </si>
  <si>
    <t>Supply and Delivery of 35 Pcs. G.I Corrugated Sheet Gauge 15; PR No. 20-1899 dated July 20, 2020</t>
  </si>
  <si>
    <t>PROCUREMENT OF 2020 FREEDOM OF INFORMATION (FOI) COLLATERALS</t>
  </si>
  <si>
    <t>Reproduction of ADM Self-Learning Modules, SY 2020-2021</t>
  </si>
  <si>
    <t>Supply and Delivery of ONE HUNDRED EIGHTY (180) BAGS INBRED PALAY SEEDS</t>
  </si>
  <si>
    <t>Supply and Delivery of TWO HUNDRED (200) BAGS INBRED PALAY SEEDS</t>
  </si>
  <si>
    <t>Supply &amp; Delivery 5 pcs Back-up Battery 12V 7.2 ah &amp; other items; PR No. 20-1915 dated June 3, 2020</t>
  </si>
  <si>
    <t>SUPPLY, DELIVERY &amp; INSTALLATION OF AIR CONDITION FOR LGU-BURAUEN, LEYTE</t>
  </si>
  <si>
    <t>UPGRADING AND IMPROVEMENT OF DIRIGKALIN ROAD IN BARANGAY MATOOGTOOG, MERCEDES, CAMARINES NORTE</t>
  </si>
  <si>
    <t>Supply and Delivery of Maritime Equipment for Carmen Campus</t>
  </si>
  <si>
    <t>INSTALLATION OF WINDOW GRILLS /SUN BREAKER AT BURAUEN MUNICIPAL HEALTH CENTER LGU MUNICIPAL COMPOND, BURAUEN, LEYTE</t>
  </si>
  <si>
    <t>ITB No. SJdB-2020-021: Construction of a Barangay Health Station (BHS) at Brgy. San Angel</t>
  </si>
  <si>
    <t>(PR No. 20-06-05A-0031) 1 LOT SUPPLY AND DELIVERY OF VARIOUS PLASTIC FITTINGS</t>
  </si>
  <si>
    <t>Supply and Delivery of Various Equipment (PR No. 20-07-0298)</t>
  </si>
  <si>
    <t>Maintenance/Installation of Street Lighting System (City Wide) (PR No. 20-07-0291)</t>
  </si>
  <si>
    <t>Supply and Delivery of FOUR HUNDRED (400) BAGS INBRED PALAY SEEDS</t>
  </si>
  <si>
    <t>Supply &amp; Delivery 500 pcs Monoblock Chair &amp; other item; PR No. 20-1937 dated February 11, 2020</t>
  </si>
  <si>
    <t>Procurement of Ambulance Van for use in transferring of patients from Corcuera (Calatrava to RPH-Odiongan) and PDRRMO, Province of Romblon</t>
  </si>
  <si>
    <t>Construction of Flood Control Poblacion, Sta. Fe, Romblon</t>
  </si>
  <si>
    <t>Supply &amp; Delivery of Materials for the Installation of Streetlight (SAN PEDRO)REPOST</t>
  </si>
  <si>
    <t>Rehabilitation/Improvement/Widening of Agnaga-Talisay Provincial Road Romblon, Romblon</t>
  </si>
  <si>
    <t>VET-20-0888-B Purchase of Animal/Zoological Supplies</t>
  </si>
  <si>
    <t>2020 30TH PUBLIC BIDDING: PROCUREMENT OF IT SUPPLIES AND EQUIPMENT</t>
  </si>
  <si>
    <t>Supply and Delivery of ONE HUNDRED (100) BAGS HYBRID PALAY SEEDS</t>
  </si>
  <si>
    <t>REPAIR &amp; IMPROVEMENT OF MUNICIPAL BUILDING LGU-BURAUEN, LEYTE</t>
  </si>
  <si>
    <t>ELECTRICAL SYSTEM INSTALLATION AT BURAUEN SPORTS COMPLEX BURAUEN, LEYTE</t>
  </si>
  <si>
    <t>Supply and Delivery of Medical Supply (PR No. 20-06-0228)</t>
  </si>
  <si>
    <t>PURCHASE OF MULTI-JET WATER METER FOR BURAUEN WATER WORKS SYSTEM</t>
  </si>
  <si>
    <t>PROCUREMENT OF BOOKS FOR BURAUEN COMMUNITY COLLEGE</t>
  </si>
  <si>
    <t>CONSTRUCTION OF NAVO RESCUE CENTER AT C-3 ROAD CORNER DALAGANG BUKID, NBBS DAGAT-DAGATAN, NAVOTAS CITY</t>
  </si>
  <si>
    <t>Procurement of Office Supplies for the use of the Sangguniang Panlalawigan Office and Vice Governor’s Office for the 3rd Quarter 2020</t>
  </si>
  <si>
    <t>Procurement of 1unit Passenger Van Body Vehicle for use of Provincial Social Welfare and Development Office, Province of Romblon</t>
  </si>
  <si>
    <t>PURCHASE OF SERVER FOR IT DIVISION OFFICE USE (2ND BID OPENING)</t>
  </si>
  <si>
    <t>Supply of Gasoline Fuel (PR No. 20-07-0286)</t>
  </si>
  <si>
    <t>20FL0090-Construction of 2STY6CL, Manlabong National High School, Prieto Diaz, Sorsogon Prieto Diaz, Sorsogon</t>
  </si>
  <si>
    <t>Construction of Pathological Pit, Malipayon District Hospital, Corcuera, Romblon</t>
  </si>
  <si>
    <t>Repair of Two Rooms at Boys Scout Bldg. (Barangay. 40); SN 191 - 2020</t>
  </si>
  <si>
    <t>Anti-SARS-CoV-2 Total Antibody test     (IgG, IgM, IgA).</t>
  </si>
  <si>
    <t>Supply and Delivery of 1 Lot General Upholstery (Ceiling, Flooring, Door Cover, Driver, Passenger &amp; Back Seat) and 35 other items;PR. No. 20-1634 ; Dated May 18, 2020</t>
  </si>
  <si>
    <t>Construction of Umbrella Type Waiting Shed (Divisoria Sur)</t>
  </si>
  <si>
    <t>Supply and Delivery of Materials for the Construction of Seawall (Phase III)</t>
  </si>
  <si>
    <t>Construction of Post-Harvest Center for Abaca (Brgy. Besigan); SN 193 - 2020</t>
  </si>
  <si>
    <t>PROCUREMENT OF 10 WHEELER FIRE TANKER TRUCK FOR MDRRMO BURAUEN, LEYTE</t>
  </si>
  <si>
    <t>Concrete Paving of Bachawan-Poblacion Road, Concepcion, Romblon</t>
  </si>
  <si>
    <t>Procurement of 17 Units Brand New Garbage Compactor for Distribution and Provision of Other Forms of Assistance to the Different Municipalities and Cities of the Province of Ilocos Norte for Efficient</t>
  </si>
  <si>
    <t>Completion of Cajidiocan Sports Complex Concrete Bleacher Cajidiocan, Romblon</t>
  </si>
  <si>
    <t>PROCUREMENT OF 6 WHEELER FIRE TRUCK FOR MDRRMO BURAUEN, LEYTE</t>
  </si>
  <si>
    <t>Supply and Delivery of Water Meter Testing Analyzer</t>
  </si>
  <si>
    <t>Purchase of one (1) unit Emergency Response Vehicle (pick-up type)</t>
  </si>
  <si>
    <t>Procurement of 300 bottles of D-Tetramethrin 4%, Cyphenothrin 12%, 1L/Bottle</t>
  </si>
  <si>
    <t>Procurement of 1,500 sachet of Deltamethrin 25% (Water Dispersible Granules) WG, 20 grams per sachets WHOPES Recommended</t>
  </si>
  <si>
    <t>Procurement of 575 bottles of 1.42 g/L + Permethrin 102.7 g/L + Piperonyl Butoxide 98.4 g/L, Emulsion Oil in Water (EW), WHOPES Recommended</t>
  </si>
  <si>
    <t>PURCHASE OF HARDWARE MATERIALS AT ZONE 2, SAN VICENTE PAMPLONA, CAMARINES SUR</t>
  </si>
  <si>
    <t>Publication/Advertisement of Ordinance</t>
  </si>
  <si>
    <t>Procurement of Medical, Dental and Laboratory Supplies for the official use of the Gov. Roque B. Ablan Sr. Memorial Hospital for the 3rd Quarter 2020</t>
  </si>
  <si>
    <t>Rebidding for the Purchase of disaster equipment (cutter and spreader portable)</t>
  </si>
  <si>
    <t>Procurement of 10,000 tests of Dengue NS1 AG + IgG/IgM Rapid Diagnostic Test</t>
  </si>
  <si>
    <t>Procurement of 1,056 kit Syphilis Rapid Test Kits (30test/kit)</t>
  </si>
  <si>
    <t>Purchase of Cellphone (SAN SALVADOR)-REPOST</t>
  </si>
  <si>
    <t>Procurement of 1,200 kits of Birthing Kit</t>
  </si>
  <si>
    <t>Procurement of 376 kit Staining Kits</t>
  </si>
  <si>
    <t>Procurement of 3,275 kits of Hygiene Kit</t>
  </si>
  <si>
    <t>Construction/Rehabilitation/Repair/Widening of Roads at Brgy. Bito-on, Jaro, Iloilo City (Bid No. 20-179)</t>
  </si>
  <si>
    <t>Procurement of 537 bottles of Permethrin 173.1 g/L + S-Bioallethrin 7.2 g/l + Piperonyl Butoxide (PBO) 155.9 g/L, Emulsifiable Concentrate, 1 ltter/bottle</t>
  </si>
  <si>
    <t>CP C02-2020</t>
  </si>
  <si>
    <t>PROCUREMENT OF ONE SET RICE MILL AND ONE SET CORN MILL FOR BALAGON ALSA MASA FARMERS ASSOCIATION AND SERVICE PROVIDER</t>
  </si>
  <si>
    <t>Procurement of 700 box Standard F HBA1C (FIA) and 8 kit SDB HBA1C Control Kit</t>
  </si>
  <si>
    <t>Procurement of 118 bottle Immersion Oil</t>
  </si>
  <si>
    <t>Procurement of 16,836 pcs. of Progestin Subdermal Implant (PSI) Ancillary Kit</t>
  </si>
  <si>
    <t>Procurement of 655 canister of Effervescent Chlorine Tablet 1.7g</t>
  </si>
  <si>
    <t>Supply of Labor, Materials and Equipment for the Road Widening, Brgy. Bigain II, San Jose, Batangas</t>
  </si>
  <si>
    <t>Supply and Delivery of Information and Communication Technology Equipment</t>
  </si>
  <si>
    <t>Supply of Labor, Materials and Equipment for the Road Concreting, Brgy. Aguila, San Jose, Batangas</t>
  </si>
  <si>
    <t>Vehicle/Pedestrian Facilities at Iloilo City National High School, Molo, Iloilo City (Bid No. 20-183)</t>
  </si>
  <si>
    <t>CP C01-2020</t>
  </si>
  <si>
    <t>Procurement of 2,707 pcs. Etonogestrel Subdermal Implant</t>
  </si>
  <si>
    <t>20ME0147 - Concreting of Purok Saranay to Purok Pag-asa,  Brgy. Salakit FMR, Kiamba, Sarangani Province</t>
  </si>
  <si>
    <t>Procurement of Various Emergency Drugs and Medicines (Lot Bidding)</t>
  </si>
  <si>
    <t>20ME0146 - Concreting of Crossing Paraiso, Brgy. Pag-asa  Road to Paraiso Proper FMR, Brgy. Pag-asa, Alabel, Sarangani Province</t>
  </si>
  <si>
    <t>Supply of Labor, Materials and Equipment for the Road Widening, Brgy. Lepute, San Jose, Batangas</t>
  </si>
  <si>
    <t>Procurement of 9,004 box of Doxycycline (as Hyclate) 100mg capsule</t>
  </si>
  <si>
    <t>PB-PROCUREMENT OF MOBILE C-ARM WITH SPINAL TABLE AND FRACTURE TABLE (1 LOT) ITB No. 2020-33</t>
  </si>
  <si>
    <t>Installation of Grills for 2 Units at K-12 Building at Iloilo City National High School, Molo, Iloilo City (Bid No. 20-181)</t>
  </si>
  <si>
    <t>2020-07-1405 "Procurement of 1500 pc Plastic Chair, White for PFCTC Supplies"</t>
  </si>
  <si>
    <t>Improvement of Flood Control Facilities at Taal Elementary School, Molo, Iloilo City (Bid No. 20-186)</t>
  </si>
  <si>
    <t>Construction/Rehabilitation/Repair/Widening of Road at Brgy. Sooc (Guatelara Socialized Housing Project), Arevalo, Iloilo City (Bid No. 20-177)</t>
  </si>
  <si>
    <t>Procurement of Construction Materials for the Construction of SLF Cell 2 - Phase 2</t>
  </si>
  <si>
    <t>Procurement of Various Other Supplies &amp; Equipment</t>
  </si>
  <si>
    <t>Procurement of 3,913 vial of Equine Rabies Immunoglobulin (ERIG)</t>
  </si>
  <si>
    <t>Construction of Two (2) Storey Eight (8) Classrooms Building at TCT-AR FIS, Brgy. Lanit, Jaro, Iloilo City (Bid No. 20-187)</t>
  </si>
  <si>
    <t>Supply &amp; Delivery of Materials for the Improvement of Multi-Purpose Gym,Daycare and Health Bldg.-Pob. Norte</t>
  </si>
  <si>
    <t>Supply, Delivery, Testing and Commissioning of Twenty (20) units Brand New Ambulance</t>
  </si>
  <si>
    <t>PROCUREMENT OF DIESOLINE AND OIL FOR THE USE OF LGU LIGHT AND HEAVY EQUIPMENT FOR THE REHAB/ IMPROVEMENT OF BATU-LAIH LOCAL ROAD</t>
  </si>
  <si>
    <t>Procurement of Television set</t>
  </si>
  <si>
    <t>Procurement of Various Laboratory Equipment and Equipment Repair Works/Services for the DOST 8 RSTL</t>
  </si>
  <si>
    <t>Improvement of Security Facilities at Donato Pison Elementary School, Mandurriao, Iloilo City (Bid No. 20-185)</t>
  </si>
  <si>
    <t>Supply of Labor, Materials and Equipment for the Road Widening, Brgy. Banaybanay II, San Jose, Batangas</t>
  </si>
  <si>
    <t>PROCUREMENT OF DIESOLINE AND OIL FOR THE USE OF LGU LIGHT AND HEAVY EQUIPMENT FOR THE REHAB/ IMPROVEMENT OF BRGY. KIMOS LOCAL ROAD</t>
  </si>
  <si>
    <t>Construction/Rehabilitation of Seawall at Brgy. Hinactacan, Lapaz, Iloilo City (Bid No. 20-176)</t>
  </si>
  <si>
    <t>Supply &amp; Delivery of Materials for the Improvement of Barangay Gym (Villa Sur)</t>
  </si>
  <si>
    <t>LEASE OF VENUE WITH CATERING SERVICES/NEG. PROC. 53.10 N-2020-08-058</t>
  </si>
  <si>
    <t>Fabrication of Steel Gate (VILLA SUR)</t>
  </si>
  <si>
    <t>Supply &amp; Delivery of Various Vehicle Parts &amp; Accessories for Replacement of Spare Parts of CHD-Service Vehicle, City Health Office, Ormoc City</t>
  </si>
  <si>
    <t>Construction/Rehabilitation/Improvement of Early Childhood Care and Development Center (ECCD) at Brgy. Sta. Felomina, Arevalo, Iloilo City (Bid No. 20-188)</t>
  </si>
  <si>
    <t>Construction of Maternity Half-Way House, Malipayon District Hospital, Poblacion, Corcuera, Romblon</t>
  </si>
  <si>
    <t>PROCUREMENT OF DIESOLINE AND OIL FOR THE USE OF LGU LIGHT AND HEAVY EQUIPMENT FOR THE REHAB/ IMPROVEMENT OF COLORAN TO PARUK  LOCAL ROAD</t>
  </si>
  <si>
    <t>Supply &amp; Delivery of Diesel Fuel for the use of Different Government Vehicles, City General Services Office, Ormoc City</t>
  </si>
  <si>
    <t>PROCUREMENT OF GROCERY ITEMS AND MEDICAL SUPPLIES INTENDED FOR STOCKPILE AS PREPOSITIONED RESOURCES</t>
  </si>
  <si>
    <t>Supply &amp; Delivery of Various Office Furniture's for Assessor's Office use, City Assessor's Office, Ormoc City</t>
  </si>
  <si>
    <t>Supply &amp; Delivery of Various Office Furniture's for SP use, Sangguniang Panlungsod, Ormoc City</t>
  </si>
  <si>
    <t>SUPPLY AND DELIVERY OF GENERATOR SET, LGU - UNISAN, QUEZON</t>
  </si>
  <si>
    <t>Repair of Drainage System</t>
  </si>
  <si>
    <t>Supply, Delivery and Installation of Six (6) Multi-Media Filtration System</t>
  </si>
  <si>
    <t>CATERING SERVICES/SVP No. C-2020-08-006</t>
  </si>
  <si>
    <t>Supply &amp; Delivery of Various Office Supplies &amp; Consumables for Distribution to Different Local Government Offices in Ormoc City</t>
  </si>
  <si>
    <t>Delivery of Various Agricultural Supplies for 1st Semester 2020 - Consolidated (NP/PB 20-0972)</t>
  </si>
  <si>
    <t>Fabrication of Material Recovery Facility (MRF)-REPOST</t>
  </si>
  <si>
    <t>Re-Posting: Procurement of RP Vehicles(Multicab-Rescue Vehicle)</t>
  </si>
  <si>
    <t>Purchase of Furnitures, Fixtures and Equipment</t>
  </si>
  <si>
    <t>REPAIR AND MAINTENANCE-BUILDING AND OTHER STRUCTURES AT SANGGUNIANG PANLUNGSOD, DAGUPAN CITY</t>
  </si>
  <si>
    <t>PROCUREMENT OF SERVICE PROVIDE – VEHICLE RENTAL FOR THE USE OF GENERAL SERVICES SECTION OF DSWD FO III FOR THE MONTH OF SEPTEMBER-DECEMBER 2020</t>
  </si>
  <si>
    <t>Re-Posting: Procurement of Goods for the Construction of Warehouse @ Motorpool</t>
  </si>
  <si>
    <t>CONSTRUCTION OF EVACUATION CENTER, BRGY. MAYABOBO, CANDELARIA, QUEZON</t>
  </si>
  <si>
    <t>Supply and Delivery of Electrical Supplies - Lights</t>
  </si>
  <si>
    <t>Procurement of Rice Planter use for Farm Mechanization Program</t>
  </si>
  <si>
    <t>SUPPLYING OF LABOR FOR THE IMPROVEMENT OF NEW CAPITOL CANTEEN, SAN JOSE, ANTIQUE/IB No. LL-2020-002</t>
  </si>
  <si>
    <t>SUPPLY AND DELIVERY OF VARIOUS OFFICE AND JANITORIAL SUPPLIES, VARIOUS OFFICES, LGU CANDELARIA, QUEZON</t>
  </si>
  <si>
    <t>globe card @300</t>
  </si>
  <si>
    <t>PURCHASE OF PPE &amp; THERMOMETERS</t>
  </si>
  <si>
    <t>CONSTRUCTION MATERIALS FOR THE IMPROVEMENT OF MULTI-PURPOSE CENTER</t>
  </si>
  <si>
    <t>Rehabilitation/ Reconstruction of Roads with Slips, Slope Collapse, and Landslide Tertiary Roads - Eastern Link Circumferential Rd. - K0248+620 - K0248+645, K0248+700 - K0248+715</t>
  </si>
  <si>
    <t>CATERING SERVICES/SVP No. T-2020-08-012</t>
  </si>
  <si>
    <t>Purchase of CCTV Camera</t>
  </si>
  <si>
    <t>fabrication and installation of solar street lights</t>
  </si>
  <si>
    <t>PROCUREMENT OF E-JOURNALS FOR GENERAL REFERENCES</t>
  </si>
  <si>
    <t>Construction of Seawall against storm surge (Phase V), Barangay Sadsaran, Mauban, Quezon</t>
  </si>
  <si>
    <t>FOOD SUPPLIES/IB No. N-2020-005</t>
  </si>
  <si>
    <t>Supply and Delivery of 7 Units Photocopier use for the Reproduction of Modules</t>
  </si>
  <si>
    <t>CONSTRUCTION/INSTALLATION OF BLAST FREEZER HOUSING AT MALIMGAS MARKET GALVAN ST., DAGUPAN CITY</t>
  </si>
  <si>
    <t>PROCUREMENT OF ONE UNIT SPRAY DRYER FOR MUNICIPAL AGRICULTURE OFFICE</t>
  </si>
  <si>
    <t>SUPPLY AND DELIVERY OF VARIOUS OFFICE EQUIPMENT, VARIOUS OFFICES, LGU CANDELARIA, QUEZON</t>
  </si>
  <si>
    <t>Construction/Rehabilitation/Repair/Widening of Roads at Brgy. Sto. Niño Sur, Arevalo (Tatoy’s Area), Iloilo City (Bid No. 20-184)</t>
  </si>
  <si>
    <t>20GDB0030 Supply of Fuel &amp; Lubricants for use in various Service Vehicles &amp; Equipment in DPWH – Batangas I DEO (Main Office) for 3rd Quarter</t>
  </si>
  <si>
    <t>PROCUREMENT OF DIESOLINE AND OIL FOR THE USE OF LGU LIGHT AND HEAVY EQUIPMENT FOR THE REHAB/ IMPROVEMENT OF BRGY. LAGTING -SIBUGUEY FLOOD DIKE ROAD</t>
  </si>
  <si>
    <t>Procurement of 11,012 sachet of 0.5% Pyriproxifen, 5 grams/sachet, granular formulation</t>
  </si>
  <si>
    <t>Supply of Labor, Materials and Equipment for the Construction of Line Canal, Brgy. Sabang, San Jose, Batangas</t>
  </si>
  <si>
    <t>CONSTRUCTION OF BARANGAY MATERIAL RECOVERY FACILITY, BRGY. BUENAVISTA WEST &amp; EAST, BUKAL NORTE, KINATIHAN I &amp; II, MANGILAG NORTE, MASALUKOT II, MASALUKOT V, MAYABOBO, SAN ANDRES &amp; SAN ISIDRO, CANDELAR</t>
  </si>
  <si>
    <t>Drilling of 1 Exploratory/Production Well</t>
  </si>
  <si>
    <t>3.	Construction of Barangay / Farm to Market Road at Brgy. Cumba, Lian, Batangas</t>
  </si>
  <si>
    <t>20 – 0039 – S - Procurement of Office Supplies and Printer Supplies for use in the Conduct of Inventory, Validation and other related Activities for Road Slope Management (RSM), DPWH-Quezon IV Distric</t>
  </si>
  <si>
    <t>20GDB0043 Supply of Materials for the Repair and Maintenance of Tagaytay-Nasugbu Road, K0077+144-K0077+271, Brgy. Kaylaway, Nasugbu, Batangas and K0080+861-K0081+980, Brgy. Aga, Nasugbu, Batangas</t>
  </si>
  <si>
    <t>6.	Construction of Barangay / Farm to Market Road at Brgy. Aga, Nasugbu, Batangas</t>
  </si>
  <si>
    <t>20 – 0044– S - Procurement of Spare Parts for use of Pick-up with Plate No. SJV 619 detailed in the Planning and Design Section, DPWH, Quezon IV District Engineering Office, Gumaca, Quezon</t>
  </si>
  <si>
    <t xml:space="preserve">20 – 0042 – S - Procurement of Technical and Scientific Equipment and Printer Supplies for use in the conduct of Pavement Management System (PMS) Calibration, Assessment and Validation Program, DPWH, </t>
  </si>
  <si>
    <t>Procurement of 3,500 kit HIV test kit (30test/kit)</t>
  </si>
  <si>
    <t>20 – 0041– S - Procurement of Technical and Scientific Equipment, Personal Protective Equipment (PPE), Office Supplies and Printer Supplies for use in the conduct of Road Condition and Inventory Surve</t>
  </si>
  <si>
    <t>Video Live Feed Set-up w/ Equipment Services for Various Socio Cultural Activities &amp; Official Functions, City Mayor's Office, Ormoc City</t>
  </si>
  <si>
    <t>4.	Construction of Barangay / Farm to Market Road at Brgy. Balibago, Lian, Batangas</t>
  </si>
  <si>
    <t>20 – 0038 – S - Procurement of Spare Parts for use of  Dump Truck with DPWH no. H3-6665 detailed in the  Maintenance Section, DPWH-Quezon IV District Engineering Office, Gumaca Quezon.</t>
  </si>
  <si>
    <t>2.	Construction of Barangay / Farm to Market Road at Brgy. Butucan, Nasugbu, Batangas</t>
  </si>
  <si>
    <t>1.	Construction of Barangay / Farm to Market Road at Brgy. Balibago, Calatagan, Batangas</t>
  </si>
  <si>
    <t>20 – 0043– S - Procurement of Spare Parts for use of Pick-up with DPWH No. H1-6504 (A3F520) detailed in the Finance Section, DPWH, Quezon IV District Engineering Office, Gumaca, Quezon</t>
  </si>
  <si>
    <t>5.	Construction of Barangay / Farm to Market Road at Brgy. Humayingan, Lian, Batangas</t>
  </si>
  <si>
    <t>20 – 0040 – S - Procurement of Printer Supplies, Technical and Scientific Equipment and Personal Protective Equipment (PPE) for use in the Conduct of Inventory/Condition Inspection Survey for Bridge M</t>
  </si>
  <si>
    <t>CONSTRUCTION OF BARANGAY MATERIAL RECOVERY FACILITY, BRGY. MASIN NORTE, MASIN SUR &amp; MASALUKOT I, CANDELARIA, QUEZON</t>
  </si>
  <si>
    <t>CONSTRUCTION OF BARANGAY MATERIAL RECOVERY FACILITY, BRGY. MALABANBAN NORTE &amp; MALABANBAN SUR, CANDELARIA, QUEZON</t>
  </si>
  <si>
    <t>Public Bidding of 3 Lots for the Supply and Delivery of Office Supplies, Computer Inks &amp; Cartridges and Janitorial Supplies for the use of Various Offices in the Roxas City Government (3rd Batch) unde</t>
  </si>
  <si>
    <t>Supply and Delivery of 5 Cubic Meter Garbage Compactor 140 HP (Brand New)</t>
  </si>
  <si>
    <t>CONSTRUCTION OF BARANGAY MATERIAL RECOVERY FACILITY, BRGY. MANGILAG SUR CANDELARIA, QUEZON</t>
  </si>
  <si>
    <t>Construction of Materials Recovery Facility (MRF), Sitio Mantallo Brgy. Kinabjangan</t>
  </si>
  <si>
    <t>Installation of Streetlights (VILLA SUR)-REPOST</t>
  </si>
  <si>
    <t>Construction of Diversion Works (Repair of Dam), Protection Works, Canal Lining, Canal Structures and Terminal Facilities</t>
  </si>
  <si>
    <t>11.	Construction of Street Lighting System at Brgy. Carsuche, Taal, Batangas</t>
  </si>
  <si>
    <t>7.	Construction of Barangay / Farm to Market Road at Brgy. Taludtud, Balayan, Batangas</t>
  </si>
  <si>
    <t>20 – 0046 – S - Procurement of Technical and Scientific Equipment, Furniture &amp; Fixtures, Printer Supplies and Personal Protective Equipment (PPE) for use in the Preparation of Right-of-Way Action Plan</t>
  </si>
  <si>
    <t>Procurement and Delivery of Various Materials for Water System of Tago, Surigao del Sur</t>
  </si>
  <si>
    <t>PROCUREMENT OF LIBRARY REFERENCES FOR ALL CAMPUSES</t>
  </si>
  <si>
    <t>Various Medical Equipment for the CPT, CM, and UHS (Negotiated Procurement)</t>
  </si>
  <si>
    <t>20 – 0045 – S - Procurement of Sanitation Facilities and Gantries, Personal Protective Equipment (PPE), Sanitation/Hygienic Kit and Equipment for use in the Prevention of COVID-19 Pandemic, DPWH-Quezo</t>
  </si>
  <si>
    <t>AVRC : 7	UNIT	COMPUTER PRINTER---30	UNIT	USB FLASH DRIVE FOR THE OPERATIONAL USE OF AVRC III</t>
  </si>
  <si>
    <t>Construction of open canal</t>
  </si>
  <si>
    <t>10.	Construction of Street Lighting System at Brgy. Butong, Taal, Batangas</t>
  </si>
  <si>
    <t>16.	Construction of Street Lighting System at Brgy. Mataas na Bayan, Lemery, Batangas</t>
  </si>
  <si>
    <t>AVRC-2020-08-0320 : IT EQUIPMENT AND SUPPLIES FOR AVRC III</t>
  </si>
  <si>
    <t>14.	Construction of Street Lighting System at Brgy. Taklang Anak, Calaca, Batangas</t>
  </si>
  <si>
    <t>Procurement of Monoblock Chair</t>
  </si>
  <si>
    <t>12.	Construction of Street Lighting System at Brgy. Dao, Tuy, Batangas</t>
  </si>
  <si>
    <t>20CSEF10-Parcellary Survey for the Construction of Various Roads and Bridges - Palawan Circumferential Road Rizal-Panalingaan (S00023PW)</t>
  </si>
  <si>
    <t>PURCHASE OF DESTTOP</t>
  </si>
  <si>
    <t>20CSEF09-Parcellary Survey for the Construction of Various Roads and Bridges - Palawan Circumferential Road Latud-Canipaan-Buliluyan</t>
  </si>
  <si>
    <t>MEALS AND SNACKS FOR COMPREHENSIVE DEVELOPMENT PLAN DRAFTING WORKSHOP</t>
  </si>
  <si>
    <t>CONSTRUCTION OF SOLAR STREETLIGHT</t>
  </si>
  <si>
    <t>15.	Construction of Street Lighting System at Brgy. Balibago, Lian, Batangas</t>
  </si>
  <si>
    <t>Construction of Water System</t>
  </si>
  <si>
    <t>PRINTING OF JHS AND SHS MODULES</t>
  </si>
  <si>
    <t>PURCHASE OF RICE FOR RELIEF</t>
  </si>
  <si>
    <t>PURCHASE OF MEDICINE</t>
  </si>
  <si>
    <t>PROCUREMENT OF MEDICAL, DENTAL AND LABORATORY SUPPLIES</t>
  </si>
  <si>
    <t>INVITATION TO BID FOR THE DECLOGGING OF DRAINAGE CANAL</t>
  </si>
  <si>
    <t>SAAD-20-3159: Procurement of 3,000 sachets Dewormer needed for the DA SAAD Native Chicken Production Project in Bohol Province</t>
  </si>
  <si>
    <t>Enhancement of Municipal Wharf (Construction of Covered Walkway)</t>
  </si>
  <si>
    <t>REHABILITATION/CONCRETING OF CORE LOCAL ACCESS ROAD AT AWILE-MACANDOCANDONG ROAD</t>
  </si>
  <si>
    <t>PROCUREMENT OF TIRES, BATTERY, AND SPARE PARTS FOR THE REPAIR AND MAINTENANCE OF TRANSPORTATION EQUIPMENT</t>
  </si>
  <si>
    <t>19.	Construction of Barangay / Farm to Market Road at Brgy. Orense, Bauan, Batangas</t>
  </si>
  <si>
    <t>Purchase of Vehicle Parts and Accessories FOR DTN-04 MODEL CWB-459H. Under P.R. No. 30-20-03-034</t>
  </si>
  <si>
    <t>18.	Construction of Street Lighting System at Brgy. Matabungkay, Lian,  Batangas</t>
  </si>
  <si>
    <t>19EB0157: Construction/Improvement/Concreting of Marikit-Lumangbayan-Poblacion Bypass Road, Occidental Mindoro</t>
  </si>
  <si>
    <t>To be used by MERU responders to provide high quality pre-hospital care and to comply with the DOH requirement for ambulance accreditation.</t>
  </si>
  <si>
    <t>CONCRETING OF PUBLIC CEMETERY ROAD (KAYAK)</t>
  </si>
  <si>
    <t>Supply and Delivery of Various Materials for the Replacement of Riser Pipe (Waterworks)</t>
  </si>
  <si>
    <t>Purchase of Vehicle Repair and Maintenance For Repair/Maintenance of Mitsubishi Strada SJB-794. Under P.R. No. 30-20-02-021</t>
  </si>
  <si>
    <t>For the different Barangay Office use.</t>
  </si>
  <si>
    <t>Construction of Public Market - Phase III</t>
  </si>
  <si>
    <t>“Procurement of Various Materials for the Rehabilitation of  Concrete Flooring of Multi-Purpose Gym.”</t>
  </si>
  <si>
    <t>Concreting of Marcelo Abrenica Road</t>
  </si>
  <si>
    <t>9.	Construction of Street Lighting System at Brgy. Mahabang Dahilig, Lemery, Batangas</t>
  </si>
  <si>
    <t>USB LACE</t>
  </si>
  <si>
    <t>Procurement of Medicines and Medical Supplies for ILHZ PDH Indigent Patients and Hospital Week Celebration</t>
  </si>
  <si>
    <t>Rehabilitation &amp; Improvement of Drainage System (Supply of Materials)</t>
  </si>
  <si>
    <t>PROCUREMENT OF DIESEL</t>
  </si>
  <si>
    <t>17.	Construction of Street Lighting System at Brgy. Malapad na Bato, Nasugbu, Batangas</t>
  </si>
  <si>
    <t>SAAD-20-3158: Procurement of 300 bags Fish Meal needed for the DA SAAD Native Chicken Production Project in the Province of Bohol</t>
  </si>
  <si>
    <t>Supply &amp; Delivery of One (1) Unit Water Truck</t>
  </si>
  <si>
    <t>8.	Construction of Street Lighting System at Brgy. Puting Kahoy, Lian, Batangas</t>
  </si>
  <si>
    <t>REHABILITATION OF MUNICIPAL BUILDING</t>
  </si>
  <si>
    <t>Purchase and Deliver of Materials for the Improvement of Multi-Purpose Building</t>
  </si>
  <si>
    <t>Bid No. 20-0399 - PROCUREMENT OF OFFICE EQUIPMENT - MAGRO OPERATIONS</t>
  </si>
  <si>
    <t>SUPPLY &amp; DELIVERY 4 TANKS STANDARD SIZE MEDICAL OXYGEN TANK (FILLED-UP), ETC.. FOR CDRRMO COVID-19 RESPONSE OPERATIONS.</t>
  </si>
  <si>
    <t>PROCUREMENT OF AIR CONDITION SYSTEM</t>
  </si>
  <si>
    <t>Supply and delivery of Materials for the Construction of Community Recovery Resource Center (CRRC) in Brgy. Quilo-Quilo North, Padre Garcia, Batangas</t>
  </si>
  <si>
    <t>PROCUREMENT OF GOAT</t>
  </si>
  <si>
    <t>Procurement and Delivery of Bond Papers for 2020 Census of Population and Housing of SOCD RSSO 6</t>
  </si>
  <si>
    <t>REHABILITATION/CONCRETING OF CORE LOCAL ACCESS ROAD AT POBLACION-AWAG ROAD</t>
  </si>
  <si>
    <t>13.	Construction of Street Lighting System at Brgy. Bucana, Nasugbu, Batangas</t>
  </si>
  <si>
    <t>21.	Construction of Multi-Purpose Covered Court at Brgy. San Mateo, San Pascual, Batangas</t>
  </si>
  <si>
    <t>Materials for the Upgrading/Rehabilitation of Perimeter Fence, PNP Building, Cabatuan, Iloilo</t>
  </si>
  <si>
    <t>20.	Construction of Canal/Drainage System, Seawall, Riprapping at Brgy. Balite, San Luis, Batangas</t>
  </si>
  <si>
    <t>Purchase of Medical Equipment for the use of Indigent Senior Citizens of Municipality of Ilog, Neg. Occ.</t>
  </si>
  <si>
    <t>P.R. # 20-08-099 For use in the repair and preventive maintenance of various equipment of this office.</t>
  </si>
  <si>
    <t>PROCUREMENT OF OTHER SUPPLIES</t>
  </si>
  <si>
    <t>PROCUREMENT OF TIRES FOR THE REPAIR AND MAINTENANCE OF TRANSPORTATION EQUIPMENT</t>
  </si>
  <si>
    <t>Procurement of Medicines and Medical Equipment for ILHZ Program Implementation 2020</t>
  </si>
  <si>
    <t>PROCUREMENT OF SEEDLINGS</t>
  </si>
  <si>
    <t>PURCHASE OF ASRBIC ACID FOR KIDS</t>
  </si>
  <si>
    <t>Purchase of materials for the repair and maintenance of Municipal Circuit Trial Court (Perimeter Fence), Barangay Dancalan, Ilog, NEg. Occ.</t>
  </si>
  <si>
    <t>Purchase of Spareparts for Mun. Vehicles (Rescue, Firetruck, SAF Vehicle and Tractor), Alicia, Bohol</t>
  </si>
  <si>
    <t>PROCUREMENT OF OTHER SUPPLIES AND MATERIALS</t>
  </si>
  <si>
    <t>23.	Construction of Street Lighting System at Brgy. Liponpon, Isla Verde, Batangas City</t>
  </si>
  <si>
    <t>Purchase of Office Supplies at Pontevedra I &amp; II</t>
  </si>
  <si>
    <t>Purchase of Medical Equipment for the use of Persons with disability (PWD) of the Municipality of Ilog, Neg. Occ.</t>
  </si>
  <si>
    <t>Supply &amp; Delivery of One (1) Unit Self-Loading Truck with Crane</t>
  </si>
  <si>
    <t>Purchase of medicines</t>
  </si>
  <si>
    <t>CONCRETING OF BARANGAY ROAD, JUPITER STREET</t>
  </si>
  <si>
    <t>24.	Construction of Street Lighting System at Brgy. San Andres, Isla Verde, Batangas City</t>
  </si>
  <si>
    <t>Gulliwad - Lingay PW</t>
  </si>
  <si>
    <t>Supply and delivery of labor and materials for Monitoring Paraphernalia</t>
  </si>
  <si>
    <t>SUPPLY AND DELIVERY OF CHEMICAL AND FILTERING SUPPLIES FOR THE ZOOLOGY DIVISION</t>
  </si>
  <si>
    <t>Proposed Installation of Steel Grille Door and Windows at Multi-purposes Hall, Barangay San Rafael, Luisiana, Laguna.</t>
  </si>
  <si>
    <t>SUBM#2020 -08 - 13 - To purchase materials for use in the repair of drainage along National Roads within the Negros Occidental 2nd District Engineering Office, Binalbagan, Negros Occidental.</t>
  </si>
  <si>
    <t>PROCUREMENT OF I.T. EQUIPMENT (FOR POPSP UNLAD KABATAAN PROGRAM)</t>
  </si>
  <si>
    <t>Rehab./ Improvement of Magting Level II Waterworks System</t>
  </si>
  <si>
    <t>Purchase of School and Office Equioment, ACES, Poblacion, Alicia, Bohol</t>
  </si>
  <si>
    <t>Purchase of materials for the construction of Drainage canal, Alambijod- Sitio Balik-Balik, Barangay Calubang, Ilog, NEg. Occ.</t>
  </si>
  <si>
    <t>Meals and Snacks for CBDRRM Training</t>
  </si>
  <si>
    <t>Purchase of Office Equipment for Pontevedra I &amp; II</t>
  </si>
  <si>
    <t>Supply &amp; Delivery of materials for the Completion of One (1) Classroom Building (CDC) Brgy. Bangar, SNV.</t>
  </si>
  <si>
    <t>22.	Construction of Street Lighting System at Brgy. San Agustin Kanluran, Isla Verde, Batangas City</t>
  </si>
  <si>
    <t>AMIA-20-3091: Procurement of Office Supplies to be used in the Planning, Monitoring and Evaluation Division</t>
  </si>
  <si>
    <t>Purchase of Office and Other Office Supplies, LGU, Alicia, Bohol</t>
  </si>
  <si>
    <t>Office Supplies (General)</t>
  </si>
  <si>
    <t>Purchase of materials for the improvement of Farm to Market Roads at Sitio Calumpang, Barangay Galicia, Ilog, NEg. Occ.</t>
  </si>
  <si>
    <t>Purchase of Dengue Test Kits and Covid Antibody Test Kits</t>
  </si>
  <si>
    <t>Rehabilitation of Barangay Roads (Between Purok-3 to Purok-6</t>
  </si>
  <si>
    <t>REPAIR AND MAINTENANCE OF PANGLAO PUBLIC MARKET</t>
  </si>
  <si>
    <t>Purchase of RCPC, Barangay Ninoy Aquino, Kalilangan, Bukidnon</t>
  </si>
  <si>
    <t>Supply and Delivery of Construction Materials to be used for the Improvement of Multi-Purpose Hall at Barangay Malino, City of San Fernando, Pampanga</t>
  </si>
  <si>
    <t>Purchase and Delivery of Chainsaw of the MDRRMO</t>
  </si>
  <si>
    <t>PROCUREMENT OF SUPPLIES/MATERIALS FOR THE IMPROVEMENT OF ELIAS K. BULUT MEMORIAL GYMNASIUM (ELECTRICAL WIRING, LIGHTING, MAIN SERVICE AND TRANSFORMER)</t>
  </si>
  <si>
    <t>Supply and Delivery of 2 sets Laptop and 1 set Desktop Computer</t>
  </si>
  <si>
    <t>25.	Construction of Street Lighting System at Brgy. San Antonio, Isla Verde, Batangas City</t>
  </si>
  <si>
    <t>CONSTRUCTION OF TRIBAL HOUSE</t>
  </si>
  <si>
    <t>Office Supplies for Treasurers Office</t>
  </si>
  <si>
    <t>PR 179-08-2020 OFFICE SUPPLIES 7 DEVICES FOR 2ND AND 3RD QTR.</t>
  </si>
  <si>
    <t>P.R. # 20-06-082 -3- Units - Desktop, with SDD for use of Finance Section</t>
  </si>
  <si>
    <t>Re-bid, Purchase of Medical supplies for the use of 15 Barangays of Ilog, Birthing Facility and Circumcision. Ilog, Neg. Occ.</t>
  </si>
  <si>
    <t>SUPPLY OF VARIOUS MATERIALS FOR THE CONSTRUCTION OF ISOLATION FACILITY at LOWER MALINAO, PADADA, DAVAO DEL SUR</t>
  </si>
  <si>
    <t>DUGONG MALPAO DRAINAGE CANAL (BESIDE DUGONG ROAD X-DRAINAGE)</t>
  </si>
  <si>
    <t>Rehab./ Improvement of Pandan  Level II Waterworks System</t>
  </si>
  <si>
    <t>Construction of Portland Cement Concrete Paving (PCCP) at Barangay Buenavista, Pintuyan, Southern Leyte</t>
  </si>
  <si>
    <t>SUPPLY AND INSTALLATION OF SOLAR POWERED SYSTEM &amp; SOLAR LIGHTS</t>
  </si>
  <si>
    <t>Const. of Purok 2-Purok 5 Farm to Market Road Phase I</t>
  </si>
  <si>
    <t>Procurement Items for Elementary (August 2020)</t>
  </si>
  <si>
    <t>Labor/Installation and Materials, 3rd Floor Bldg. Installation of Windows, Doors and Comfort Rooms Partition and Accessories</t>
  </si>
  <si>
    <t>Construction of Perimeter Fence Sumalo Integrated School Barangay Sumalo, Hermosa, Bataan</t>
  </si>
  <si>
    <t>Construction of Covered Gym San Ramon Elementary School Barangay	San Ramon, Dinalupihan, Bataan</t>
  </si>
  <si>
    <t>P.R. # 20-07-097 Mini Storage Cabinet-MTO for use of Bidding &amp; Awards Committee, MM3rdDEO</t>
  </si>
  <si>
    <t>CONSTRUCTION OF MULTI-PURPOSE HALL=PHASE 2</t>
  </si>
  <si>
    <t>Office Supplies (MMO Engineering Services)</t>
  </si>
  <si>
    <t>26.	Construction of Street Lighting System at Brgy. San Agapito, Isla Verde, Batangas City</t>
  </si>
  <si>
    <t>Rebidding: 2 box Electrical Wire 150 mtrs/box (black) #3.5mm² THHN and other items for completion of the construction of 2-storey gender sensitive living quarter of girl CICL/CAR at Dumaguete Youth Ho</t>
  </si>
  <si>
    <t>27.	Construction of Street Lighting System at Brgy. San Agustin Silangan, Isla Verde, Batangas City</t>
  </si>
  <si>
    <t>PROPOSED IMPROVEMENT OF MULTI-PURPOSE HALL OF BARANGAY SAN RAFAEL, LUISIANA, LAGUNA.</t>
  </si>
  <si>
    <t>Supply and Delivery of Electric Mosquito/Insect Killer</t>
  </si>
  <si>
    <t>Solar Dryer Barangay Ninoy Aquino, Kalilangan, Bukidnon</t>
  </si>
  <si>
    <t>Rehabilitation/Improvement of Manpower Development Center</t>
  </si>
  <si>
    <t>PROCUREMENT OF POLO SHIRTS WITH COLLAR</t>
  </si>
  <si>
    <t>28.	Construction of Street Lighting System at Brgy. Banaba South, Batangas City</t>
  </si>
  <si>
    <t>Barangay Multi-Purpose Improvement - Villa Garcia</t>
  </si>
  <si>
    <t>Fuel and Lubricants for the maintenance of Roads to Tourist Spots</t>
  </si>
  <si>
    <t>Office Equipment for the Gender and Development (GAD) Data Base in this Municipality of Santa Cruz Laguna</t>
  </si>
  <si>
    <t>proc-20-CONSTRUCTION MATERIALS</t>
  </si>
  <si>
    <t>Purchase and delivery of covid-19 anti body testing kits to be used by the City Health and Sanitation Department</t>
  </si>
  <si>
    <t>RFQ BOND PAPER, SHORT, SUBSTANCE 16, COLOR PINK &amp; GREEN</t>
  </si>
  <si>
    <t>P.R. NO. 20-07-183</t>
  </si>
  <si>
    <t>29.	Construction of Street Lighting System at Brgy. Mahabang Parang, Batangas City</t>
  </si>
  <si>
    <t>CONCRETING OF BARANGAY ROAD, ST. ISIDORE STREET</t>
  </si>
  <si>
    <t>Supply and Delivery of Food Stuff</t>
  </si>
  <si>
    <t>PROCUREMENT OF SUPPLIES AND MATERIALS FOR THE CONSTRUCTION OF FOUNDATION FOR CEMETERY BRIDGE</t>
  </si>
  <si>
    <t>Purchase of Relief Kits for COVID-19 Awareness Program/Relief Operations (PCL Week Celebration)</t>
  </si>
  <si>
    <t>LBP Miag-ao Branch Building Construction (New Unit) (Supply and Delivery of Electrical Wires)</t>
  </si>
  <si>
    <t>Improvement of Water System in Tagbuyawan</t>
  </si>
  <si>
    <t>Improvement of Drainage System @ Sitio Sta. Cruz</t>
  </si>
  <si>
    <t>LBP BARILI BRANCH BUILDING CONSTRUCTION (Supply and Delivery of Electrical Wires)</t>
  </si>
  <si>
    <t>Office Supplies (DepEd)</t>
  </si>
  <si>
    <t>SUPPLIES FOR MODULES CLASS</t>
  </si>
  <si>
    <t>PROCUREMENT OF SUPPLIES AND MATERIALS TO BE USED FOR THE IMPROVEMENT/MODIFICATION  OF  PUBLIC CEMETERY AT BGY. SAN BENITO,  GOA, CAMARINES SUR</t>
  </si>
  <si>
    <t>SUPPLY AND DELIVERY OF LIFE SAVING AND RESCUE EQUIPMENT - MDRRMO</t>
  </si>
  <si>
    <t>Procurement of Information Technology under P.R.Nos. 3176-2020(Office of the City Engineer) and 3088-2019(CMO-Provision for Information and Communication Technology Equipment)-1Lot</t>
  </si>
  <si>
    <t>Procurement of Computer Set and other accessories</t>
  </si>
  <si>
    <t>CONDUCT OF CELEBRATION OF DISABILITY WEEK 2020</t>
  </si>
  <si>
    <t>Construction of School for the Arts (Phase I), Bagac, Bataan</t>
  </si>
  <si>
    <t>SUBM#2020 -08 - 15 -  To purchase  materials for use in the repair/replacement of road safety devices along National Roads within the Negros Occidental 2nd District Engineering Office, Binalbagan, Neg</t>
  </si>
  <si>
    <t>PURCHASE OF OF MULTI-PURPOSE VEHICLE (DIESEL ENGINE)</t>
  </si>
  <si>
    <t>For Repair of SGL 739 and COA Mini Bus SAA 4310</t>
  </si>
  <si>
    <t>01 unit Delivery Van with Complete Accessories</t>
  </si>
  <si>
    <t>Invitation to Bid for the Additional Installation of streetlight at Brgy. libsong East, Concreting of farm to marekt road at Brgy. libsong East, Construction of drianage canal at Brgy. Libsong East</t>
  </si>
  <si>
    <t>SUPPLY AND DELIVERY OF VARIOUS SUPPLIES FOR USE IN THE OFFICE OF BM SALAZAR</t>
  </si>
  <si>
    <t>Office Equipment  (MCR)</t>
  </si>
  <si>
    <t>PURCHASE OF MEAT PROCESSING EQUIPMENT</t>
  </si>
  <si>
    <t>IT’s (COA)</t>
  </si>
  <si>
    <t>Computer Ink &amp; IT’s</t>
  </si>
  <si>
    <t>CORN20-08-07-0225 Supply and Delivery of Pest Control Product.</t>
  </si>
  <si>
    <t>Improvement of Water System at Barangay Tautag, Pintuyan, Southern Leyte</t>
  </si>
  <si>
    <t>Construction of Various Lined Canal Projects (5 Lots), City of Koronadal</t>
  </si>
  <si>
    <t>Gloves 0517</t>
  </si>
  <si>
    <t>PURCHASE OF ONE (1) UNIT VEHICLE VAN</t>
  </si>
  <si>
    <t>SUPPLY AND DELIVERY OF VARIOUS SUPPLIES FOR THE USE IN THE OFFICE OF THE VICE GOVERNOR</t>
  </si>
  <si>
    <t>Purchase of Various Materials for the Rehabilitation of Water System at Barangay Caranglaan, Mabini, Pangasinan</t>
  </si>
  <si>
    <t>04 units Hammermill</t>
  </si>
  <si>
    <t>SUPPLY AND DELIVERY OF METERING PUMP, ELECTRONIC 230V, 5 -7 LPH CAPACITY COMPLETE WITH ACCESSORIES</t>
  </si>
  <si>
    <t>LABORATORY APPLIANCE - 6-PLATES OVEN</t>
  </si>
  <si>
    <t>RP Vehicle BHE-21 General Repair</t>
  </si>
  <si>
    <t>For Use of Hauling and Disposal of Garbage (2nd Posting)</t>
  </si>
  <si>
    <t>Purchase and delivery of office supplies and learning materials to be used by DepEd Calapan City</t>
  </si>
  <si>
    <t>RFQ CORRECTIVE MAINTENANCE OF SUBMERSIBLE PUMP</t>
  </si>
  <si>
    <t>32.	Construction of Street Lighting System at Brgy. Papaya, Tingloy, Batangas</t>
  </si>
  <si>
    <t>Cover all suit 0520</t>
  </si>
  <si>
    <t>SUPPLY AND DELIVERY OF I.T. EQUIPMENT FOR MDRRMO</t>
  </si>
  <si>
    <t>Purchase of Materials for the Installation of Solar Streetlight, Brgy. Pughanan, Lambunao, Iloilo</t>
  </si>
  <si>
    <t>IMOPROVEMENT OF CADAWINONAN HEALTH CENTER</t>
  </si>
  <si>
    <t>PROCUREMENT OF SUPPLIES AND MATERIALS TO BE USED FOR THE CONCRETING OF BGY. ROAD AT LAMON TO TAMBAN ROAD, GOA, CAMARINES SUR</t>
  </si>
  <si>
    <t>Construction/Rehabilitation of Multi-purpose Hall</t>
  </si>
  <si>
    <t>INVITATION TO BID FOR SUPPLY AND DELIVERY OF HARDWARE MATERIALS FOR BUILDING MAINTENANCE C.Y. – 2020</t>
  </si>
  <si>
    <t>Improvement of Slaughterhouse Building at Balud, San Fernando, Cebu</t>
  </si>
  <si>
    <t>Rehabilitation /Improvement of Barangay Health Center of Barangay San Marcelino Taysan Batangas</t>
  </si>
  <si>
    <t>Supply and Delivery of VHF Handheld Tranceiver - Brandnew</t>
  </si>
  <si>
    <t>SOLAR LIGHTS  WITH POSTS INSTALLATION</t>
  </si>
  <si>
    <t>Procurement of Goods for Drugs and Medicines</t>
  </si>
  <si>
    <t>P.R. # 20-06-083 Network Printer A3 and Network Printer A4 Item No. 1 for use of Construction Section and Item No.2 for use of Finance Section</t>
  </si>
  <si>
    <t>Procurement of Labor and Materials- Road Concreting at Catabangan Proper</t>
  </si>
  <si>
    <t>Quotation No. 20-07-0439- Office Supplies</t>
  </si>
  <si>
    <t>CONSTRUCTION OF MULTI-PURPOSE HALL PHASE 1 – STA. TERESITA</t>
  </si>
  <si>
    <t>SPANISH TRAIL FOOTBRIDGE IMPROVEMENT</t>
  </si>
  <si>
    <t>PROCUREMENT OF CONSTRUCTION MATERIALS FOR THE DUMPSITE CLOSURE AND INSTALLATION</t>
  </si>
  <si>
    <t>31.	Construction of Street Lighting System at Brgy. Luya, San Luis, Batangas</t>
  </si>
  <si>
    <t>Bid No. 20-0400 - PROCUREMENT OF OFFICE EQUIPMENT - MACCO OPERATIONS</t>
  </si>
  <si>
    <t>Supply and Delivery of Chicken (2-3 months old) Dominant CZ for the Training on ICBFS cum  Free-Range Chicken Training for the Farmers of Region XII (Columbio, Sultan Kudarat) for ATI-RTC XII.</t>
  </si>
  <si>
    <t>05 sets Hazmat Suit with Accessories</t>
  </si>
  <si>
    <t>IB-2020-IX-08-01-ONE (1) UNIT BRAND NEW VAN - Php 2,800,000.00</t>
  </si>
  <si>
    <t>30.	Construction of Street Lighting System at Brgy. Muzon, San Luis, Batangas</t>
  </si>
  <si>
    <t>CONSTRUCTION OF LOCAL ROADS, CABALLERO ST. AND SAMPAGUITA ST.</t>
  </si>
  <si>
    <t>Shoe Cover 0522</t>
  </si>
  <si>
    <t>SUPPLY AND DELIVERY OF ADDITIONAL TWO (2) SETS OF BRAND NEW DUPLICATING MACHINE WITH PROVISION FOR EXTRA INKS AND MASTER ROLLS</t>
  </si>
  <si>
    <t>AB-2020-0031: Supply and Delivery of Survey Instrument (2) Rover GNSS Receivers for Use at Planning and Design Section at DPWH-INSDEO, San Pablo, San Nicolas, Ilocos Norte</t>
  </si>
  <si>
    <t>Cell cards  (General)</t>
  </si>
  <si>
    <t>AB-2020-0032: Supply and Delivery of Diesel Fuel for Use in the Environmental Impact Assessment</t>
  </si>
  <si>
    <t>SUPPLY OF ANIMAL MEDICINES</t>
  </si>
  <si>
    <t>Supply and delivery of various construction materials for use in the Rehabilitation of Brgy. Multi-Purpose Gymnasium at Brgy. Caranhug, Javier, Leyte.</t>
  </si>
  <si>
    <t>36 units Computer with Complete Accessories, etc.</t>
  </si>
  <si>
    <t>Improvement on the Offices of the  School Governance and Operations Division (SGOD) And Commission on Audit (COA)</t>
  </si>
  <si>
    <t>REPAIR AND MAINTENENACE OF LIEBHERR BULLDOZER OF PEO</t>
  </si>
  <si>
    <t>Fiber Glass Board &amp; Ring w/ Frame and Digital Score Board</t>
  </si>
  <si>
    <t>COMPLETION/REPAIR/RENOVATION/REHABILITATION/RELOCATION OF MABINAY RHU I</t>
  </si>
  <si>
    <t>SUBM#2020 -08 - 14 -  To purchase Concrete Cutter Blade for use in the repair and maintenance of National Roads and Bridges within the Negros Occidental 2nd District Engineering Office, Binalbagan, Ne</t>
  </si>
  <si>
    <t>33.	Construction of Street Lighting System at  Brgy. Poblacion 14, Tingloy, Batangas</t>
  </si>
  <si>
    <t>Gloves 0518</t>
  </si>
  <si>
    <t>Supply and Materials for the Capacity Building Program for the Livelihood Enhancement of the Anao Women’s Alliance for Progress (AWAP), through the DOLE Integrated Livelihood and Emergency Employment</t>
  </si>
  <si>
    <t>Four Stroke Motorcycle, 150cc</t>
  </si>
  <si>
    <t>Sports Materials</t>
  </si>
  <si>
    <t>34.	Construction of Street Lighting System at  Brgy. San Isidro, Tingloy, Batangas</t>
  </si>
  <si>
    <t>INVITATION TO BID FOR THE SUPPLY &amp; DELIVERY OF OFFICE DEVICE &amp; ACCESSORIES WITH PR#2020-GF-08-453 FOR MMO-IT AND ABC OF P 817,000.00</t>
  </si>
  <si>
    <t>purchase of gate valve</t>
  </si>
  <si>
    <t>Re-bidding for Purchase of Materials for the Rehabilitation of Drainage Canal</t>
  </si>
  <si>
    <t>AB-2020-0033: Supply and Delivery of Photo Paper and various toners/inks for Use at Planning and Design Section (Travel Time Survey) at DPWH-INSDEO, San Pablo, San Nicolas, Ilocos Norte</t>
  </si>
  <si>
    <t>P.R. NO. 20-07-184</t>
  </si>
  <si>
    <t>CONDUCT OF CELEBRATION OF SENIOR CITIZEN WEEK</t>
  </si>
  <si>
    <t>SUPPLY &amp; DELIVERY OF AIRCON(SPLIT TYPE) FOR HRMO WITH PR#2020-GF-08-449 AND ABC OF P 60,000.00</t>
  </si>
  <si>
    <t>Construction of Lined Canal from Agreville, Brgy. Sto. Niño to Prk. Maharlika, Brgy. GPS, City of Koronadal</t>
  </si>
  <si>
    <t>Purchase of Brand New and Latest 4X2 High Side Pick-up with Roof w/ dual Aircon Euro 4 Engine type: Rescue Vehicle</t>
  </si>
  <si>
    <t>SUPPLY &amp; DELIVERY OF FUEL  FOR SABANG POTABLE WATER SYSTEM</t>
  </si>
  <si>
    <t>Procurement of Construction Supplies</t>
  </si>
  <si>
    <t>Procurement of Vehicle for use at Brgy. Bobonan, Asingan, Pangasinan.</t>
  </si>
  <si>
    <t>PR 18-20-07-0954, FOR USE ENERGIZATION OF SAN CARLOS CITY MULTI-PURPOSE HALL  - FIRST REVISION.</t>
  </si>
  <si>
    <t>AB-2020-0036: Supply and Delivery of Road Right of Way (RROW) Marker Concrete Monument Post for use along national roads within Ilocos Norte 2nd District</t>
  </si>
  <si>
    <t>PURCHASE OF 31 UNITS 3IN1 PRINTER</t>
  </si>
  <si>
    <t>PCDP-2020-08-0322 : CUP NOODLES UP TO CUPCAKE TO BE SERVE DURING THE ARRIVAL OF REFs ON JULY TO DECEMBER 2020</t>
  </si>
  <si>
    <t>INVITATION TO BID-HIRING OF GENERAL CONTRACTOR FOR THE REPAIRS/RENOVATION OF 2ND FLOOR OF DBP DIPOLOG BRANCH BUILDING</t>
  </si>
  <si>
    <t>Office Supplies (PESO)</t>
  </si>
  <si>
    <t>SUPPLY &amp; DELIVERY OF GENERAL MERCHANDISE</t>
  </si>
  <si>
    <t>Office Supplies (MBO)</t>
  </si>
  <si>
    <t>IMPROVEMENT OF MULTI-PURPOSE BUILDING (OSY ALTERNATIVE LEARNING CENTER)</t>
  </si>
  <si>
    <t>MAINTENANCE OF 16 PUBLIC ELEMENTARY SCHOOLS @ LABANGAN DISTRICT I</t>
  </si>
  <si>
    <t>PURCHASE OF DRESS MAKING EQUIPMENT</t>
  </si>
  <si>
    <t>INVITATION TO BID FOR SUPPLY AND DELIVERY OF FERTILIZER FOR SUPPORT TO RICE FARMERS OF BISLIG CITY</t>
  </si>
  <si>
    <t>IB-2020-IX--8-01-ONE (1) UNIT BRAND NEW EMERGENCY RESPONSE VEHICLE - Php 1,250,000.00</t>
  </si>
  <si>
    <t>20GKG0038 (PR No. 20-06-034)- Procurement of Office Equipment Supplies and Consumables for use in the operation at the Planning and Design Section, DPWH-Lanao del Norte 1st Engineering District, Semin</t>
  </si>
  <si>
    <t>Sspply &amp; Delivery of Materials (Installation of Streetlights</t>
  </si>
  <si>
    <t>Purchase of Cake for Senior Citizen and Person With Disabilities Birthdays</t>
  </si>
  <si>
    <t>Invitation to Bid for SUPPLY AND DELIVERY OF  ONE (1) UNIT BRAND NEW REFRIGERATED VAN (JAPAN MADE) FOR LGU – BORONGAN CITY, EASTERN SAMAR</t>
  </si>
  <si>
    <t>INVITATION TO SUBMIT PRICE QUOTATION   REPAIR PROVL. OFFICE ENTRANCE AND EXIT DOORS AND NFA GUIUAN ENTRANCE GATE IN NFA-EASTERN SAMAR</t>
  </si>
  <si>
    <t>Rice 0516</t>
  </si>
  <si>
    <t>36.	Construction of Street Lighting System at Brgy. Trapiche, Tanauan City, Batangas</t>
  </si>
  <si>
    <t>PURCHASE OF CONSTRUCTION MATERIALS FOR THE CONSTRUCTION OF STORAGE AND OPERATIONAL AREA OF WASTE REDUCTION OF BINUANGAN, MISAMIS ORIENTAL</t>
  </si>
  <si>
    <t>SPORT EQUIPMENT (FIBERGLASS BOARD)</t>
  </si>
  <si>
    <t>Supply and Delivery of Reflectorized Thermoplastic Pavement Markings for the use of MMIIDEO along Various National Roads (CY-2020-3rd Quarter).</t>
  </si>
  <si>
    <t>CONSTRUCTION OF COVERED COURT</t>
  </si>
  <si>
    <t>Labor and Materials for the Completion/Improvement of Carmen Municipal College</t>
  </si>
  <si>
    <t>MINOR REPAIR OF TEACHER'S CENTER @ LABANGAN DISTRICT I</t>
  </si>
  <si>
    <t>35.	Construction of Street Lighting System at Brgy. Pallocan West, Batangas City</t>
  </si>
  <si>
    <t>Purchase of Brand New and Latest Model 4X2 Cab and Chassis Only</t>
  </si>
  <si>
    <t>Bid No. 20-0401 - PROCUREMENT OF OFFICE EQUIPMENT - MO/TOURISM OPERATIONS</t>
  </si>
  <si>
    <t xml:space="preserve">Supply and Delivery  of Chickens (Starter Kit)  2 Mos. Old Dominant CZ for the Training on ICBFS cum Free Range Chicken Training for the Farmers of Region XII, Maitum, Sarangani Province for ATI0-RTC </t>
  </si>
  <si>
    <t>Laboratory 0526</t>
  </si>
  <si>
    <t>Purchase of One (1) Unit Motorcycle (Brgy. Pob. West)</t>
  </si>
  <si>
    <t>CONSTRUCTION OF PUBLIC MARKET (PHASE III)</t>
  </si>
  <si>
    <t>SUPPLY &amp; DELIVERY OF VEHICLE PARTS AND ACCESSORIES</t>
  </si>
  <si>
    <t>CAN JJASGH 680, ONMMC 698,VIB 666, GAT 722 OTHER SUPPLIES</t>
  </si>
  <si>
    <t>AB-2020-0037: Supply and Delivery of   Reflectorized Traffic Paint Yellow, Paint Thinner and Paint Brush 4" for repainting of Pavement Markings along National Roads within Ilocos Norte 2nd District</t>
  </si>
  <si>
    <t>NBC-0620-174</t>
  </si>
  <si>
    <t>PRDP-2020-0480 REQUEST FOR QUOTATION FOR THE CONSTRUCTION OF PROCESSING BUILDING OF THE "BOHOL VIRGIN COCONUT OIL PRODUCTION AND MARKETING ENTERPRISES"</t>
  </si>
  <si>
    <t>Purchase of Fuel  (4th Quarter 2020)  Rebid</t>
  </si>
  <si>
    <t>TIRES (FOR DT DAEWOO DE12TIS, GRADER TINGONG PY160M, GRADER VOLVO G930, &amp; DTQUESTER CKE280)/ CMO-MOTORPOOL</t>
  </si>
  <si>
    <t>MINOR REPAIR OF DISTRICT OFFICE (CEILING &amp; ENTRANCE ROOF) @ LABANGAN DISTRICT I</t>
  </si>
  <si>
    <t>Procurement of Agricultural Equipment for Laboratory and Project use at ESSU Salcedo Campus PR#07-2020-004-Salcedo</t>
  </si>
  <si>
    <t>Rehabilitation of Drainage Canal Along Arellano Street, Panganiban Street, and V. Mapa Street Brgy. 11-B, Poblacion District Davao City</t>
  </si>
  <si>
    <t>SUPPLY &amp; DELIVERY OF OFFICE DEVICE(TABLET) FOR MMO-IT WITH PR#2020-GF-08-445 AND ABC OF P 50,000.00</t>
  </si>
  <si>
    <t>Bid No. 20-0402 - PROCUREMENT OF OFFICE EQUIPMENT - MDRRMO OPERATIONS</t>
  </si>
  <si>
    <t>Construction of MSWD Office, Asingan, Pangasinan.</t>
  </si>
  <si>
    <t>Supply and Delivery of Asphalt Cold Mix for Routine Maintenance Bridges (CY-2020-3rd Quarter).</t>
  </si>
  <si>
    <t>Handwashing Facilities</t>
  </si>
  <si>
    <t>CPAR-20-3149: Procurement of (161 pcs.) Prepaid Cellular Load Card to be used as communication support in the implementation of the Community-based Participatory Action Research Projects in the Region</t>
  </si>
  <si>
    <t>Purchase of Materials for Repair/Maintenance Along Jct. Blancia-Molave-Mahayag-Josefina Road/Jct. Switch-Monte Alegre Road/Jct. Aurora-Monte Alegre-Labangan Road, ZdelS.</t>
  </si>
  <si>
    <t>Procurement of Meals and Snacks for Disaster Response efforts to contain the spread of covid-19 Pandemic for MDRRMO</t>
  </si>
  <si>
    <t>CONSTRUCTION/CONCRETING OF LOCAL ACCESS ROAD - LABNI, MABUSLO</t>
  </si>
  <si>
    <t>38.	Construction of Street Lighting System at Brgy. Mabini, Tanauan City, Batangas</t>
  </si>
  <si>
    <t>REPAIR/REPLACEMENT OF FIRE DETECTION &amp; ALARM SYSTEM (FDAS) (P.R. NO. 100-20-08-0310)</t>
  </si>
  <si>
    <t>SUPPLY &amp; DELIVERY OF CCTV &amp; ACCS WITH PR#2020-20%-08-025 FOR MARKET AND ABC OF P 57,000.00</t>
  </si>
  <si>
    <t>MAINTENANCE OF 9 PUBLIC ELEMENTARY SCHOOLS @ LABANGAN DISTRICT II</t>
  </si>
  <si>
    <t>Procurement of Office Supplies and Devices</t>
  </si>
  <si>
    <t>PROCUREMENT OF LABOR AND SPARE PARTS FOR THE REPAIR AND MAINTENANCE OF HINO DUMP TRUCK SBX720</t>
  </si>
  <si>
    <t>Supply and Delivery of Asphalt Sealant (60/70) for Bridges Routine Maintenance (CY-2020-3rd Quarter).</t>
  </si>
  <si>
    <t>PURCHASE OF VEHICLE (Municipal Agriculture Office - JPCN)</t>
  </si>
  <si>
    <t>Purchase of supplies and materials for the Nipa Project</t>
  </si>
  <si>
    <t>CONSTRUCTION OF PATHWALK @ PUROK 1 &amp; 3</t>
  </si>
  <si>
    <t>Supply and Delivery of Office Supplies for the Annual Routine Maintenance Program (CY-2020-3rd Quarter).</t>
  </si>
  <si>
    <t>Construction of City Road at Southwind Subdivision Junction National Highway with Lined Canal, Brgy. Morales, City of Koronadal</t>
  </si>
  <si>
    <t>Construction of Multi-purpose of Brgy. Binalian</t>
  </si>
  <si>
    <t>Construction of Two (2) Storey Six (6) Classrooms at Uswag San Isidro Elementary Schhol, Jaro, Iloilo City (Bid No. 20-189)</t>
  </si>
  <si>
    <t>39.	Construction of Street Lighting System at Brgy. Barigon, Agoncillo, Batangas</t>
  </si>
  <si>
    <t>For the use of Barangay Can-ayan.</t>
  </si>
  <si>
    <t>Purchase of Materials for Repair/Maintenance Along Jct. Mahayag-Dumingag-Siayan Road/Jct. Switch-Monte Alegre Road/Pagadian City-Zamboanga City Road, ZdelS.</t>
  </si>
  <si>
    <t>oxygen 0525</t>
  </si>
  <si>
    <t>Procurement of Infrastructure and Construction Supplies RFQ No. 547</t>
  </si>
  <si>
    <t>WATER METERING</t>
  </si>
  <si>
    <t>CAN MHD 667 OTHER SUPPLIES</t>
  </si>
  <si>
    <t>Improvement of DRRM Storage Room</t>
  </si>
  <si>
    <t>Improvement of Multi-Purpose Hall</t>
  </si>
  <si>
    <t>SUPPLY &amp; DELIVERY OF FOOD STUFF (SOCIAL PENSION PAY OUT)</t>
  </si>
  <si>
    <t>Purchase of One (1) Unit Digital Duplicator for DEPED Aloran District, Aloran Misamis Occidental</t>
  </si>
  <si>
    <t>AB-2020-0038: Supply and Delivery of GRASSCUTTER and CHAINSAW  FOR USE ALONG NATIONAL ROADS WITHIN ILOCOS NORTE 2ND DISTRICT</t>
  </si>
  <si>
    <t>INVITATION TO BID</t>
  </si>
  <si>
    <t>MINOR REPAIR OF TEACHER'S CENTER @ LABANGAN DISTRICT II</t>
  </si>
  <si>
    <t>PROCUREMENT OF MEALS AND ACCOMMODATION FOR SEMINAR WORKSHOP</t>
  </si>
  <si>
    <t>Installation of Water Pipelines, Maribulan, Alabel, Sarangani Province</t>
  </si>
  <si>
    <t>CONSTRUCTION/CONCRETING OF LOCAL ACCESS ROAD - VILLALUZ, ABIAN</t>
  </si>
  <si>
    <t>Supply and Delivery of PPE / Uniform / Tools for the Annual Routine Maintenance Program						 (Roadside) (CY-2020-3rd Quarter).</t>
  </si>
  <si>
    <t>40.	Construction of Street Lighting System at Brgy. Cale, Tanauan City, Batangas</t>
  </si>
  <si>
    <t>Ultrasound thermal Paper 0519</t>
  </si>
  <si>
    <t>Supply and Delivery of Medicines Supplies for the use of City Health Office</t>
  </si>
  <si>
    <t>Purchase and Delivery of Materials for the Construction of Material Recovery Facility - Sapang, Galimuyod, Ilocos Sur</t>
  </si>
  <si>
    <t>SUPPLY AND DELIVERY OF CONSTRUCTION SUPPLIES FOR THE CONSTRUCTION OF STANDARDIZED DAY CARE CENTER PHASE II- SAN ISIDRO</t>
  </si>
  <si>
    <t>Supply and Delivery of Customized Expanded Plastic Envelope</t>
  </si>
  <si>
    <t>PURCHASE OF SUPPLIES FOR THE REPAIR AND MAINTENANCE OF WATER SYSTEM - 2ND POSTING</t>
  </si>
  <si>
    <t>NBC-0520-143</t>
  </si>
  <si>
    <t>ITB-GS-20200305-01 - Supply and Delivery of 18 Units Laptop Computer</t>
  </si>
  <si>
    <t>PROCUREMENT OF GARBAGE TRUCK FOR USE IN HAULING OF SEGRATED WASTE FROM MRF'S SANITARY LANDFILL-REPOST</t>
  </si>
  <si>
    <t>Dispo Cap 0523</t>
  </si>
  <si>
    <t>Procurement of Two (2) Sets Dashboard Camera</t>
  </si>
  <si>
    <t>37.	Construction of Street Lighting System at Brgy. Banjo East, Tanauan City, Batangas</t>
  </si>
  <si>
    <t>Supply and Delivery of Equipment / Equipment Accessories and Services for the use of MMIIDEO 							 for Various National Roads.</t>
  </si>
  <si>
    <t>Supply and Delivery of Medical Supplies for the use of City Health Office</t>
  </si>
  <si>
    <t>HFE: REPAIR AND MAINTENANCE FOR THE CENTER VEHICLE TOYOTA LAND CRUISER plate no.: SAT-218 of the HOME FOR THE ELDERLY, CY 2020.</t>
  </si>
  <si>
    <t>SUPPLY AND DELIVERY OF ELECTROMAGNETIC FLOWTUBE AND POTTING KIT</t>
  </si>
  <si>
    <t>PURCHASE OF COMMON OFFICE SUPPLIES</t>
  </si>
  <si>
    <t>PURCHASE OF 15 UNITS WHEEL TIRE LOCK CLAMPS AND IMMOBILITY CHAINS, 3 UNITS SPEEDGUN ( BUSHNELL SPEEDSTER 3 RADAR) AND TRAFFIC PARAPHERNALIA</t>
  </si>
  <si>
    <t>5-DAY (Live-In) GAD related ORIENTATION SEMINAR AND TRAINING FOR MUNICIPAL GAD FOCAL POINT SYSTEM</t>
  </si>
  <si>
    <t>HFE : 150 Boxes Face Mask--3 pcs. Arm Sling For the medical use of clients in the HOME FOR THE ELDERLY, 2nd semester CY 2020.</t>
  </si>
  <si>
    <t>PRINTER EPSON WITHOUT SCANNER 2</t>
  </si>
  <si>
    <t>ITB-GS-20200605-01 - One (1) Year Background Investigation Services for LANDBANK’s 1,000 Applicants for Employment and Special Cases</t>
  </si>
  <si>
    <t>AB-2020-0035: SUPPLY AND DELIVERY OF PLASTIC BARRIERS with DPWH Logo AND TRAFFIC CONES with DPWH Logo FOR USE WITHIN ILOCOS NORTE 2ND DISTRICT</t>
  </si>
  <si>
    <t>SUPPLY AND DELIVERY OF MATERIALS FOR THE INSTALLATION OF SITIO STREETLIGHTS</t>
  </si>
  <si>
    <t>Supply of Autocad License Software for BULO SRIP</t>
  </si>
  <si>
    <t>MINOR REPAIR OF DISTRICT OFFICE (ROOF &amp; CEILING) @ LABANGAN DISTRICT II</t>
  </si>
  <si>
    <t>20GKI0038 (Public Bidding) Contract Name: Supply of Tires, Battery II Plates and Other Vehicle Spare Parts for use in the replacement 		  of worn out parts of DPWH service vehicles</t>
  </si>
  <si>
    <t>NOTICE FOR NEGOTIATED PROCUREMENT  THE PROCUMENTFIXTURES (Executive Table and Swivel Chairs) FOR IDENTIFIED SCHOOLS OF DEPED, DIVISION OF PAGADIAN CITY.</t>
  </si>
  <si>
    <t>PURCHASE BRAND NEW ONE (1) UNIT PICK-UP VEHICLE, LGU-Banga, South Cotabato</t>
  </si>
  <si>
    <t>20GKI0031 (Public Bidding) Contract Name: Furnishing of Materials for Work Category No. 10 – Pavement Maintenance 		  Act. 503 – Indirect Cost Work or Expenses Purchase of Tents (Lakbay Alalay Program</t>
  </si>
  <si>
    <t>20GKI0041 (Public Bidding) Contract Name: Supply of Diesel Fuel and Other Various Items 		  for use in the Operation of Service Vehicles of DPWH-Mis. Occ. 1st DEO</t>
  </si>
  <si>
    <t>PURCHASE OF TWO (2) UNITS RISOGRAPH MACHINE AND ITS ACCESSORIES - DEPED, CALAPE DISTRICT OFFICE, CALAPE, BOHOL</t>
  </si>
  <si>
    <t>PURCHASE OF ONE (1) UNIT LAPTOP w/ COMPLETE ACCESSORIES and ONE (1) UNIT COMMUNICATION EQUIPMENT ( CELLPHONE)</t>
  </si>
  <si>
    <t>SAAD-20-3157: Procurement of 300 bags Corn Grits needed for the DA SAAD Native Chicken Production Project in the Province of Bohol</t>
  </si>
  <si>
    <t>Supply &amp; Delivery of Shallow Tube well ABC:500,000.00</t>
  </si>
  <si>
    <t>Construction of Multipurpose Building/Peoples Center</t>
  </si>
  <si>
    <t>RFQ Repair of roll up door</t>
  </si>
  <si>
    <t>PROCUREMENT OF MEALS AND TRAINING MATERIALS FOR THE CONDUCT OF TRAINING'S UNDER CFO-DAVAO CITY</t>
  </si>
  <si>
    <t>Supply &amp; Delivery of Laboratory Supplies ABC:57,000.00</t>
  </si>
  <si>
    <t>FURNISHING AND DELIVERY OF ASSORTED MEDICINES AND MEDICAL SUPPLIES</t>
  </si>
  <si>
    <t>VARIOUS MEDICAL SUPPLIES</t>
  </si>
  <si>
    <t>SUPPLY AND DELIVERY OF VARIOUS IT EQUIPMENTS</t>
  </si>
  <si>
    <t>Office Supplies for Brgy. E. Lopez National High School JHS</t>
  </si>
  <si>
    <t>CONSTRUCTION OF EVACUATION CENTER PHASE-1</t>
  </si>
  <si>
    <t>Purchase of Office Supplies (G-20-05)</t>
  </si>
  <si>
    <t>PRINTER EPSON WITHOUT SCANNER 3</t>
  </si>
  <si>
    <t>Supply &amp; Delivery of Microtubes ABC:73,400.00</t>
  </si>
  <si>
    <t>PR-2020-0820 Laboratory Supplies (Renegotiated)-PHO</t>
  </si>
  <si>
    <t>Supply and Delivery of 2000pcs. of File Folder 75mm230mm380mm for General use of this District for CY-2020.</t>
  </si>
  <si>
    <t>SUPPLEMENTAL BID NO.2 FOR THE "Procurement of Various Supplies and Materials for CRM and Livelihood Sub-Projects under FishCORAL Project, CY 2019"</t>
  </si>
  <si>
    <t>AB-2020-0034: Supply and Delivery of Guardrails  with complete accessories for use along national roads within Ilocos Norte 2nd District</t>
  </si>
  <si>
    <t>Lunch and Snacks for the Basic Training-Workshop on Continuous Improvement (CI) Methodology and Principles to SDO &amp; District CI Teams.</t>
  </si>
  <si>
    <t>SUPPLY AND DELIVERY OF VARIOUS PRINTERS CONSUMABLES</t>
  </si>
  <si>
    <t>Supply &amp; Delivery of Various Rice Seeds ABC:400,000.00</t>
  </si>
  <si>
    <t>Supply &amp; Delivery of ICT Equipment &amp; Computer Supplies ABC:100,100.00</t>
  </si>
  <si>
    <t>PURCHASE OF MONOBLOCK CHAIRS (FOR SC)</t>
  </si>
  <si>
    <t>Procurement of Seeds  RC18 for PBD Division under Major Crop Rice of DAR Negros Oriental</t>
  </si>
  <si>
    <t>SUPPLY AND DELIVERY OF MEDICAL EQUIPMENT AND SUPPLIES FOR PSHS-CBZRC'S FIGHT AGAINST THE COVID-19 VIRUS</t>
  </si>
  <si>
    <t>42.	Construction of Street Lighting System at Brgy. Bagbag, Tanauan City, Batangas</t>
  </si>
  <si>
    <t>20GGL0010 - PROCUREMENT OF MATERIALS FOR USE IN THE REPAIR/REPLACEMENT OF VARIOUS SIGNAGES AND OTHER ROAD SAFETY DEVICES ALONG NATIONAL ROADS WITHIN THE NEGROS OCCIDENTAL 2ND DISTRICT ENGINEERING OFFI</t>
  </si>
  <si>
    <t>43.	Construction of Street Lighting System at Brgy. Luyos, Tanauan City, Batangas</t>
  </si>
  <si>
    <t>SUPPLY AND DELIVERY OF VARIOUS CLEANING SUPPLIES AND EQUIPMENT FOR THE GENERAL SERVICES UNIT</t>
  </si>
  <si>
    <t>SUPPLY AND DELIVERY OF CONSTRUCTION MATERIALS FOR MULTI-PURPOSE PAVEMENT</t>
  </si>
  <si>
    <t>45.	Construction of Barangay / Farm to Market Road at Brgy. Malainin, Ibaan, Batangas</t>
  </si>
  <si>
    <t>Supply and Delivery of Construction supplies and Materials</t>
  </si>
  <si>
    <t>Supply and Delivery of Four Cylinder Engine for BSIT-Automotive Laboratory UEP-PRMC Campus</t>
  </si>
  <si>
    <t>CATERING SERVICES FOR IMT/IATF COVID-19/ASF AND OTHER DISASTER RELATED ACTIVITIES</t>
  </si>
  <si>
    <t>Supply and Delivery of Risograph and Photocopying Machine</t>
  </si>
  <si>
    <t>PRDP-2020-0457 REQUEST FOR QUOTATION FOR THE CONSTRUCTION OF GETAFE SEAWEEDS WAREHOUSE OF THE "BOHOL SEAWEEDS CONSOLIDATION, PRODUCTION AND MARKETING ENTERPRISES"</t>
  </si>
  <si>
    <t>FARM MACHINERIES AND EQUIPMENTS UNDER THE MAJOR CROP-BASED BLOCK FARM PRODUCTIVITY ENHANCEMENT PROGRAM</t>
  </si>
  <si>
    <t>SUPPLY AND DELIVERY OF VARIOUS OFFICE SUPPLIES AND EQUIPMENT</t>
  </si>
  <si>
    <t>KC-2020-08-0323 : MEDICAL SUPPLIES FOR THE USE OF KC-PAMANA STAFF OF RPMO and 19 ACTs</t>
  </si>
  <si>
    <t>SUPPLY AND DELIVERY OF OFFICE SUPPLY AT EUSTAQUIO LOPEZ ELEMENTARY SCHOOL (FREE DELIVERY)</t>
  </si>
  <si>
    <t>Rehabilitation of Bridge at Barangay Son-ok I, Pintuyan, Southern Leyte</t>
  </si>
  <si>
    <t>MATERIALS FOR MULTI-PURPOSE BLDG. BEAUTIFICATION</t>
  </si>
  <si>
    <t>SUPPLY AND DELIVERY OF CONSTRUCTION MATERIALS FOR THE IMPROVEMENT OF EVACUATION CENTER (KITCHEN &amp; MESS HALL)</t>
  </si>
  <si>
    <t>Purchase of 12 units Session Table and 12 units Executive Chair</t>
  </si>
  <si>
    <t>Delivery and Installation of Carpet</t>
  </si>
  <si>
    <t>50.	Construction of Street Lighting System at  Brgy. Antipolo del Norte, Lipa City, Batangas</t>
  </si>
  <si>
    <t>49.	Construction of Barangay / Farm to Market Road at Brgy. San Jose, Rosario, Batangas</t>
  </si>
  <si>
    <t>Procurement of Herbicide and Seed Treatment under the Corn Production Program of MAGRO - Laak, Davao De Oro</t>
  </si>
  <si>
    <t>Construction of Two Storey/Eight-Classroom Building Type II (Phase II) Pambayang Kolehiyo ng Mauban Campus, National Highway, Brgy. Polo, Mauban, Quezon.</t>
  </si>
  <si>
    <t>Installation of 127 Units Integrated Solar Street Lights, City of Koronadal</t>
  </si>
  <si>
    <t>PURCHASE OF RESCUE SPEED BOAT (CUSTOMIZED)</t>
  </si>
  <si>
    <t>PURCHASE OF LAP TOPS &amp; PRINTER</t>
  </si>
  <si>
    <t>47.	Construction of Barangay / Farm to Market Road at Brgy. Itlugan, Rosario, Batangas</t>
  </si>
  <si>
    <t>AB BDF 2020 PROJECT=CLEAN AND BEAUTIFICATION, SUPPLIES,DEVICES AND GENERAL MERCHANDISE</t>
  </si>
  <si>
    <t>PR-2020-1435 Laboratory Supplies(Negotiated)-PHO</t>
  </si>
  <si>
    <t>Procurement of Three (3) Units Disinfectant Fogging Machines and Disinfectant Solutions</t>
  </si>
  <si>
    <t>48.	Construction of Barangay / Farm to Market Road at Brgy. Namuco, Rosario, Batangas</t>
  </si>
  <si>
    <t>INVITATION TO BID   ITB NO. 2020-003-GOODS  PROCUREMENT OF FOUR (4) UNITS DIGITAL DUPLICATOR</t>
  </si>
  <si>
    <t>IMPROVEMENT OF MULTI-PURPOSE HALL LOCATED @ BRGY SAN PEDRO, AGOO, LA UNION</t>
  </si>
  <si>
    <t>REHABILITATION OF FLOOD CONTROL NEAR SAGUBO AREA, UPPER BAYABAS CREEK</t>
  </si>
  <si>
    <t>PURCHASE OF ONE (1) UNIT FOR MUNICIPAL GOVERNMENT OFFICES AND FACILITIES</t>
  </si>
  <si>
    <t>CONSTRUCTION OF POWER TRANSMISSION/DISTRIBUTION LINE at Barangay Centro 2 and Magsidel, Calayan, Cagayan</t>
  </si>
  <si>
    <t>Construction of New Evacuation Center</t>
  </si>
  <si>
    <t>20IL0153(REINVITATION-LOCAL INFRASTRUCTURE PROGRAM - LOCAL ROADS AND BRIDGES - LOCAL ROADS COSTRUCTION/REHABILITATION OF NATIONAL ROADS ALONG BDRY. SO. LEYTE - MAASIN - MACROHON - SOGOD- - JCT. DAANG</t>
  </si>
  <si>
    <t>COMPUTER LAPTOP for Cebu City (REPOST)</t>
  </si>
  <si>
    <t>PROVISION OF PPE's among FRONTLINER / WORKING WOMEN</t>
  </si>
  <si>
    <t>SUPPLY AND DELIVERY OF VARIOUS REAGENTS FOR MICROBIOLOGY LABORATORY</t>
  </si>
  <si>
    <t>Supply and Delivery of Equipment and Software for CEIT</t>
  </si>
  <si>
    <t>INSTALLATION OF STREET LIGHTS</t>
  </si>
  <si>
    <t>CONDUCT OF CELEBRATION OF ARAW NG ZAMBOANGA DEL SUR</t>
  </si>
  <si>
    <t>54.	Construction of Street Lighting System at Brgy. Balintawak, Lipa City, Batangas</t>
  </si>
  <si>
    <t>PURCHASE OF AIRCONDITION UNITS</t>
  </si>
  <si>
    <t>53.	Construction of Street Lighting System at Brgy. Pinagkawitan, Lipa City, Batangas</t>
  </si>
  <si>
    <t>Barangay Development Projects 20% Development Funds for 2020 (Materials for Road Concreting, Construction &amp; Rehab. Of Multi-Purpose, Installation of Water Supply System)</t>
  </si>
  <si>
    <t>Construction of PKM Multi-Purpose Covered Court (Phase II) Pambayang Kolehiyo ng Mauban Campus, National Highqay, Brgy. Polo, Mauban, Quezon.</t>
  </si>
  <si>
    <t>Purchase of food &amp; non food items for covid response program</t>
  </si>
  <si>
    <t>52.	Construction of Street Lighting System at Brgy. Sabang, Lipa City, Batangas</t>
  </si>
  <si>
    <t>Materials for the Rehabilitation/Repair/Improvement of Barangay Health Station Brgy. Tando</t>
  </si>
  <si>
    <t>PR-2020-1389 Laboratory Supplies (Negotiated)-PHO</t>
  </si>
  <si>
    <t>Materials for the Construction of School Canopy, Magamay ES, Brgy. Magamay</t>
  </si>
  <si>
    <t>Concreting of Farm to Market Road</t>
  </si>
  <si>
    <t>Purchase of Prepaid WIFI</t>
  </si>
  <si>
    <t>CONSTRUCTION OF PATHWAYS PUROK 1</t>
  </si>
  <si>
    <t>SUPPLY &amp; DELIVERY OF CONSTRUCTION MATERIALS FOR THE MAINTENANCE OF ALL WEATHER ROAD (CONSTRUCTION OF LINE DITCH)</t>
  </si>
  <si>
    <t>Procurement of ICT Equipment for 3rd Qtr. 2020</t>
  </si>
  <si>
    <t>SUPPLY AND DELIVERY OF BAGGAGE X-RAY MACHINE AND HEAVY EQUIPMENT for the Municipality of Calayan, Province of Cagayan</t>
  </si>
  <si>
    <t>ICT-20-0756-NP2 (SV) PURCHASE OF RUGGED WATERPROOF TWO-WAY VHF/UHF RADIO</t>
  </si>
  <si>
    <t>59.	Repair of Sangguniang Panlalawigan Building (Phase IV), Capitol Site, Brgy. Kumintang Ibaba, Batangas City</t>
  </si>
  <si>
    <t>Installation of CCTV Cameras</t>
  </si>
  <si>
    <t>56.	Construction of Street Lighting System at  Brgy. San Ignacio, Rosario, Batangas</t>
  </si>
  <si>
    <t>57.	Repair of Provincial Engineer's Office Building, Brgy. Kumintang Ilaya, Batangas City</t>
  </si>
  <si>
    <t>PR# 20-1749- 31,250 KITS SYPHILIS SCREENING RAPID TEST KITS</t>
  </si>
  <si>
    <t>PURCHASE OF GOODS FOR FOOD ASSISTANCE</t>
  </si>
  <si>
    <t>51.	Construction of Street Lighting System at Brgy. Lumbangan, Rosario, Batangas</t>
  </si>
  <si>
    <t>PURCHASE OF FUELS</t>
  </si>
  <si>
    <t>Materials for the Improvement of School Stage, Concordia ES-Brgy. Concordia</t>
  </si>
  <si>
    <t>Construction of Water System @ Purok-6B</t>
  </si>
  <si>
    <t>Purchase of Construction Materials for the Construction of Canal Lining along Anonang-Colorado Road, San Guillermo, Isabela</t>
  </si>
  <si>
    <t>55.	Construction of Street Lighting System at Brgy. Banay-Banay, Lipa City, Batangas</t>
  </si>
  <si>
    <t>Materials for the Improvement of Covered Court- Brgy. Calaya</t>
  </si>
  <si>
    <t>Suplly &amp; Delivery &amp; demonstration of Photo Copier</t>
  </si>
  <si>
    <t>Construction of Reflecting Pool with Musical Fountain and Landscaping (Project Sub Component #2 of the Proposed Davao Occidental-Government Business Center and Industrial Estates) located at Lais, Mal</t>
  </si>
  <si>
    <t>PR-2020-1358 Construction Materials (Negotiated)-PSWDO</t>
  </si>
  <si>
    <t>Construction of PKM Administration Building (Phase II) Pambayang Kolehiyo ng Mauban Campus, National Highway, Brgy. Polo, Mauban, Quezon</t>
  </si>
  <si>
    <t>VIDEO PRODUCTION OF LSPU-LOS BAÑOS CAMPUS VIRTUAL COMMENCEMENT EXERCISES</t>
  </si>
  <si>
    <t>Purchase of Construction Materials for the Fabrication of Warning Signages at Various Location, San Guillermo, Isabela</t>
  </si>
  <si>
    <t>Purchase of Communication Equipment, Cabinet, Office Tables and Chairs for establishment of DRRM Operation Center</t>
  </si>
  <si>
    <t>REPRODUCTION / PRINTING SERVICES OF QUALITY ASSURED MODULES FOR PROJECT WRITE, WRITE, WRITE OF SCHOOLS DIVISON OFFICE, CITY OF ALAMINOS, PANGASINAN</t>
  </si>
  <si>
    <t>Payment of Security Services rendered at DLSP from October to December, 2020.</t>
  </si>
  <si>
    <t>Supply and Delivery of Office Equipment - Laptop Computer etc.</t>
  </si>
  <si>
    <t>Improvement of Park Entrance</t>
  </si>
  <si>
    <t>58.	Construction of Garage at Provincial Capitol Compound, Capitol Site, Batangas City</t>
  </si>
  <si>
    <t>SALAYSAY NHS OFFICE SUPPLIES AND DEVICES</t>
  </si>
  <si>
    <t>Procurement of Agricultural and Marine Supplies and Vaccine of MAGRO - Laak, Davao De Oro</t>
  </si>
  <si>
    <t>Purchase of Construction Materials for the Concreting of Urban Road C. Aquino St., Centro 2, San Guillermo, Isabela</t>
  </si>
  <si>
    <t>PROCUREMENT OF ONE (1) UNIT MANUAL GENERATOR SET, LGU, MASINLOC, ZAMBALES</t>
  </si>
  <si>
    <t>Materials for the Rehabilitation/Repair/Improvement of Barangay Health Station Brgy. Calaya</t>
  </si>
  <si>
    <t>Meals &amp; Snacks for t he CMGP-Provincial Writeshop on LRNDP Updating on September 7-11, 2020 at Benguet Provincial Capitol</t>
  </si>
  <si>
    <t>304 bags Portland Cement (40 kgs/bag) Type 1 and other items for road concrete at Purok Kalubihan fronting the Residence of Nemesio Larena towards Palm and Pines street at Barangay Daro.</t>
  </si>
  <si>
    <t>CONSTRUCTION OF COMFORT ROOM BAGACAY, SIBUTAD, ZAMBOANGA DEL NORTE</t>
  </si>
  <si>
    <t>60.	Repair of Electrical System of PG-ENRO Building, Capitol Compound, Brgy. Kumintang Ibaba, Batangas City</t>
  </si>
  <si>
    <t>FURNISHING OF MATERIALS &amp; RENTAL OF EQUIPMENT FOR THE RENOVATION OF FENCE W/ ANGLE BAR AT COVERED COURT</t>
  </si>
  <si>
    <t>Payment of Janitorial Services rendered at DLSP from October to December, 2020.</t>
  </si>
  <si>
    <t>FABRICATION OF GARBAGE BIN</t>
  </si>
  <si>
    <t>INSTALLATION / CONSTRUCTION OF BASKETBALL FIBER GLASS HEADBOARD @ BRGY. OLD LABANGAN, LABANGAN ZDS</t>
  </si>
  <si>
    <t>PROCUREMENT OF VARIOUS MATERIALS AND DIVING GEAR AND EQUIPMENT FOR THE IMPLEMENTATION OF ACTION FOR RESOURCE CONSERVATION TOWARDS HABITAT MANAGEMENT (ARTH) PROJECT FOR THE CITY GOVERNMENT OF ALAMINOS,</t>
  </si>
  <si>
    <t>20GCE0034: Procurement of Electrcial Supplies to be used for 83KVA generator intended for Planning/Design and Maintenance Building</t>
  </si>
  <si>
    <t>Supply and Delivery of Office Supplies and Equipment for Department of Economics – CEMDS</t>
  </si>
  <si>
    <t>SUPPLY &amp; DELIVERY OF MATERIALS FOR THE CONSTRUCTION OF SOIL RETAINING WALL WITH LINE DITCH , SITIO DIOMEL, BRGY. BANGA, WAO, LANAO DEL SUR</t>
  </si>
  <si>
    <t>RIP RAPPING OF SIDE SLOPE</t>
  </si>
  <si>
    <t>PR NO. 2020-08-028 PROCUREMENT OF OFFICE SUPPLIES, ECCD MODULES &amp; CHECLIST FOR MSWDO, MAPANAS, NORTHERN SAMAR</t>
  </si>
  <si>
    <t>Procurement of Food Supplies Requirement of VLMC, AFPHSC (Line Item Bidding) (Ordering Agreement)</t>
  </si>
  <si>
    <t>Materials for the Fencing of Material Recovery Facility, Brgy. Sto. Domingo</t>
  </si>
  <si>
    <t>CONSTRUCTION OF VAWC ROOM</t>
  </si>
  <si>
    <t>20IL0114(REINVITATION-NETWORK DEVELOPMENT-OFF-CARRIAGEWAY IMPROVEMENT-SECONDARY ROADS-JCT. HIMAY-ANGAN-SILAGO-ABUYOG BDRY. RD- K1050+(-300)-K1050+(-292), K1050+(-292)-K1050+(-170), K1050+(-170)-K1050+</t>
  </si>
  <si>
    <t>For use in the operation of Garbage Compactor (DOH-430, DOH-462).</t>
  </si>
  <si>
    <t>Purchase and Delivery of 1 Unit Multi-Purpose Vehicle</t>
  </si>
  <si>
    <t>Purchase of Construction Materials for the Installation of 1-L 36'' RC Pipes with Head Wall at Purok 2, Rizal, San Guillermo, Isabela</t>
  </si>
  <si>
    <t>10 gals Heavy Duty H20 Soluble Degreaser Deodorizer: Citrus Base Scented Organic Base for maintenance of the restrooms Public Market complex, Kiwanis abd Boulevard, Dumaguete City.</t>
  </si>
  <si>
    <t>PROCUREMENT OF SERVICES (PUBLICATION OF MUNICIPAL ORDINANCES)</t>
  </si>
  <si>
    <t>Supply and Delivery of Supplies and Materials for Poultry and Livestock Program (Balik Sigla Agrikultura – Covid19 Response) -2nd Bid</t>
  </si>
  <si>
    <t>1 unit Brand New Passenger Van for transportation of GAD Focal Point System (GFPS) members in conducting series of monthly/quarterly monitoring and assessment of GAD programs and activities implemente</t>
  </si>
  <si>
    <t>PR 129-07-2020 INSTALLATION OF BIRTHING FACILITY - Progreso Este</t>
  </si>
  <si>
    <t>Purchase of Chainsaw, Diving Apparatus and Body Bag for use during disaster preparedness and response.</t>
  </si>
  <si>
    <t>20 sacks Rice-tonner</t>
  </si>
  <si>
    <t>Procurement of LGU Vehicle Maintenance</t>
  </si>
  <si>
    <t>Repair/Rehab. of Multi-Purpose Hall (Purok 1), Brgy. SAn Isidro, Bunawan District, Davao City</t>
  </si>
  <si>
    <t>DARAB 1ST QUARTER OFFICE SUPPLIES</t>
  </si>
  <si>
    <t>Rebidding: 3 kgs CW Nails 4” and other items for installation of canopy at the Dumaguete Police station at Barangay Poblacion 7.</t>
  </si>
  <si>
    <t>Supply and Delivery of Office Equipment for Various Office of the PGOM</t>
  </si>
  <si>
    <t>Purchase of 5 Units Motorcycle</t>
  </si>
  <si>
    <t>one (1) unit Patrol/Rescue brand new vehicle for emergency and rescue operations of Dumaguete City Fire Station.</t>
  </si>
  <si>
    <t>46.	Construction of Barangay / Farm to Market Road at Brgy. Mayuro, Rosario, Batangas</t>
  </si>
  <si>
    <t>Supply and Delivery of Two (2) Units Service Vehicle 4x4 Pick Up for CHU</t>
  </si>
  <si>
    <t>CONSTRUCTION OF DRAINAGE SYSTEM PUROK MOLAVE</t>
  </si>
  <si>
    <t>Rehabilitation of Soils Laboratory Extension (Ceiling &amp; Roof) ABC:180,745.43</t>
  </si>
  <si>
    <t>Purchase of Complete sets PPE's.</t>
  </si>
  <si>
    <t>CONCRETING OF BARANGAY ROAD (RIVERSIDE TO STO. DOMINGO) AT SAN FRANCISCO</t>
  </si>
  <si>
    <t>( PR NO. 20-08-08-0066 SUPPLY AND DELIVERY OF 1 lot Supply, Delivery &amp; Installation of Laboratory Refrigerator/Chiller)</t>
  </si>
  <si>
    <t>Procurement of Vegetable Seeds and Planting tools under the Vegetable Seed Production of MAGRO - Laak, Davao De Oro</t>
  </si>
  <si>
    <t>44.	Construction of Street Lighting System at Brgy. Poblacion 2, Sto. Tomas, Batangas</t>
  </si>
  <si>
    <t>PURCHASE OF CONDOMS AND LUBRICANTS</t>
  </si>
  <si>
    <t>64.	Construction of Two (2) Storey Six (6) Classroom HIM Type School Building at Manalupang - San Vicente ES, Brgy. Manalupang, Bauan, Batangas</t>
  </si>
  <si>
    <t>Purchase of Laptop for Mayor's Office</t>
  </si>
  <si>
    <t>Purchase &amp; Delivery of Laptop  Computer Sets and Printer for the PGIS Covid Action Center and Administrator's Office</t>
  </si>
  <si>
    <t>Replacement of Electrical Raceways and Ceiling Works at Dry Goods Section, Wet Market, San Francisco, Iriga City</t>
  </si>
  <si>
    <t>PRO POWER</t>
  </si>
  <si>
    <t>63.	Construction of Two (2) Storey Four (4) Classroom HIM Type School Building at Manghinao I ES, Brgy. Manghinao I, Bauan, Batangas</t>
  </si>
  <si>
    <t>Construction of Riprap-Tejero, San Luis, Batangas</t>
  </si>
  <si>
    <t>Supply and Delivery of Office Supplies for Coron School of Fisheries -Junior High School Printing of modules</t>
  </si>
  <si>
    <t>CONSTRUCTION OF PATHWAY AT SECTOR 3 LOCATED AT SAN ANTONIO, Agoo, La Union</t>
  </si>
  <si>
    <t>CONCRETE PAVEMENT WITH DRAINAGE – POBLACION AREA (BARLIN ST., DON JUAN ST., SAN ROQUE)</t>
  </si>
  <si>
    <t>Supply and Delivery of 12,927 Pieces Vitamin C with Zinc, Non-Acidic Capsule</t>
  </si>
  <si>
    <t>SUPPLY AND DELIVERY OF MATERIALS TO BE USED IN ROAD DEVELOPMENT PROGRAM, SITIO 3, BARANGAY SAN ANTONIO</t>
  </si>
  <si>
    <t>20GP0075-REPAIR/MAINTENANCE of MAMBUSAO RIVER REVETMENT (F40013PN) Brgy. Tumalalud,Mambusao, PANAY RIVER REVETMENT (F40014PN) Brgy. Bitoon,Ilawod,Cuartero, SIBAGUAN CREEK REVETMENT (F40024PN) Brgy.Sib</t>
  </si>
  <si>
    <t>Disinfectant Supplies</t>
  </si>
  <si>
    <t>61.	Construction of Two (2) Storey Four (4) Classroom HIM Type School Building at Sambal ES, Brgy. Sambal Ilaya, Lemery, Batangas</t>
  </si>
  <si>
    <t>PROCUREMENT OF DRUGS AND MEDICINES</t>
  </si>
  <si>
    <t>HAND HELD DATA COLLECTOR	GSD A-20-412</t>
  </si>
  <si>
    <t>Supply and Delivery of Multi-Functional Printer</t>
  </si>
  <si>
    <t>62.	Construction of Two (2) Storey Four (4) Classroom HIM Type School Building at Maria Paz Fronda MNHS, Brgy. Malibu, Tuy, Batangas</t>
  </si>
  <si>
    <t>WOMEN'S LIVELIHOOD PROGRAM cum BANGUS FARM PRODUCTION</t>
  </si>
  <si>
    <t>Procurement of Materials and Supplies for the Pro-poor Project at North Section (Sto Niño to Dumlog) - PR 2020-05-044</t>
  </si>
  <si>
    <t>Supply and Delivery of 80 Poultry Cage Module  for Poultry Program (Balik Sigla Agrikultura – Covid19 Response)- 2nd Bid</t>
  </si>
  <si>
    <t>RT-PCR Test ng mga Opisyal at Empleado ng Komisyon sa Wikang Filipino</t>
  </si>
  <si>
    <t>41.	Construction of Street Lighting System at Brgy. 6, Tanauan City, Batangas</t>
  </si>
  <si>
    <t>Hiring of Consultancy Services (Individual Consultants)</t>
  </si>
  <si>
    <t>Supply and Delivery of Hardware Materials for the Construction of Perimeter Fence</t>
  </si>
  <si>
    <t>Meals &amp; Snacks for 3 days,Notebook,Ballpen,Plastic Envelope</t>
  </si>
  <si>
    <t>Supplies and Materials for Motorcycle/Small Engine Servicing NC II Training</t>
  </si>
  <si>
    <t>Procurement of LMS Server</t>
  </si>
  <si>
    <t>Purchase &amp; Delivery of Janitorial &amp; Other Supplies for the Office of SPM Virginia C. Pe Benito</t>
  </si>
  <si>
    <t>PROCUREMENT OF LAPTOP FOR COLLECTOR</t>
  </si>
  <si>
    <t>Completion of Climate Proof Multi-Purpose/Evacuation Center at Brgy. Tibacan, Laua-an, Antique</t>
  </si>
  <si>
    <t>Purchase of Various Materials for Bamboo Production Enhancing</t>
  </si>
  <si>
    <t>REQUEST FOR SUBDIVISION SURVEY LOT 8-CSI-2020(NL)</t>
  </si>
  <si>
    <t>Procurement of One (1) Unit Cargo Box and One (1) Unit Multicab Cowl Head for Replacement of Delapidated Parts of Service Vehicle with Plate No. SJK 468 - PR 2020-08-058</t>
  </si>
  <si>
    <t>( PR NO. 20-07-05A-0047 SUPPLY AND DELIVERY OF 200 pcs Fabricated Rubber O-ring 4"Ø)</t>
  </si>
  <si>
    <t>2020-08-221</t>
  </si>
  <si>
    <t>20AD0114 : 41X: Emergency Repair along Sta. Cruz_Pilar-Pinipin Road, K0334+000-K0336+700 with exception</t>
  </si>
  <si>
    <t>GPG-B2-2020-382 - DESIGN AND CONSTRUCTION OF THE BUREAU OF CUSTOMS  PORT OF CEBU BUILDING</t>
  </si>
  <si>
    <t>Meals &amp; Snacks for 50 pax w/venue</t>
  </si>
  <si>
    <t>Acquisition Of MDRRMO</t>
  </si>
  <si>
    <t>Repair &amp; Maintenance of Street Lighting</t>
  </si>
  <si>
    <t>SELF - SKILLS ENHANCEMENT AND LEADERSHIP FORMATION -BENHUR ACTION TEAM</t>
  </si>
  <si>
    <t>URBAN GARDENING</t>
  </si>
  <si>
    <t>Supply and Delivery of Covid-19 Response Items for Official Use of PENRO Camarines Sur</t>
  </si>
  <si>
    <t>(1) Lot Supply, Delivery and Installation of Structured Cabling System for Pag-IBIG Fund Sagay Branch</t>
  </si>
  <si>
    <t>66.	Construction of HIM Type Open Classroom Building (Phase II) at Masaguitsit Banalo NHS, Brgy. Masaguitsit, Lobo, Batangas</t>
  </si>
  <si>
    <t>Supply, Delivery, Installation and Configuration of the Subscription License for the Enterprise Microservices Development and Deployment Platform Component of the TradeNet Technology Stack</t>
  </si>
  <si>
    <t>FURNISHING AND DELIVERY OF PRINTERS AND COPIERS FOR REPRODUCTION OF MODULES/LEARNING ACTIVITY SHEETS (LAS) FOR LEARNERS</t>
  </si>
  <si>
    <t>65.	Construction of Two (2) Storey Two (2) Classroom HIM Type School Building at Balite PS, Brgy. Balite, San Luis, Batangas</t>
  </si>
  <si>
    <t>Acquisition Of MHO Supplies</t>
  </si>
  <si>
    <t>Construction of Client's Lounge</t>
  </si>
  <si>
    <t>INVITATION TO BID FOR THE  FABRICATION OF SHELVES/CABINET/GRILLS AT NATIONAL GOVERNMENT OFFICE, BARANGAY POBLACION, LINGAYEN, PANGASINAN</t>
  </si>
  <si>
    <t>Diesel Fuel,Gasoline Fuel,Printer Toner 214 black,etc....</t>
  </si>
  <si>
    <t>SELF - SKILLS ENHANCEMENT AND LEADERSHIP FORMATION - BARANGAY STAFF</t>
  </si>
  <si>
    <t>Acquisition Of MPDC Office Supplies</t>
  </si>
  <si>
    <t>67.	Construction of Two (2) Storey Four (4) Classroom HIM Type School Building at Cesar Oroña ES, Brgy, Makina, Balete, Batangas</t>
  </si>
  <si>
    <t xml:space="preserve">( PR NO. 20-08-04-0096 SUPPLY AND DELIVERY OF 12 pcs Oil Filter(ISUZU NQR Water Tanker, 4HJ1 eng.), 3 pcs Fuel Filter(ISUZU NQR Water Tanker, 4HJ1 eng.), 3 pcs Air Filter(ISUZU NQR Water Tanker, 4HJ1 </t>
  </si>
  <si>
    <t>Purchase of Coverall Suit PPE</t>
  </si>
  <si>
    <t>HATID / SUNDO SA ESKWELA PROJECT</t>
  </si>
  <si>
    <t>“SUPPLY AND DELIVERY OF VEHICLE PARTS AND ACCESSORIES”</t>
  </si>
  <si>
    <t>Purchase of construction materials for storage room</t>
  </si>
  <si>
    <t>Siphoning Services for the Septic Tanks (GCH)</t>
  </si>
  <si>
    <t>SUPPLY AND DELIVERY OF ONE (1) UNIT BOOSTER PUMP (BRAND: GOULDS) 15 HP, 15 LPS, 237 GPM @ 50 M TDH WITH CONTROLLER AND COMPLETE ACCESSORIES TO BE USED FOR FILTER/RESERVOIR AT SAN JOSE, TALIBON, BOHOL</t>
  </si>
  <si>
    <t>Request For Quotation for Office Supplies</t>
  </si>
  <si>
    <t>PURCHASE OF COVID-19 PROTECTIVE GEAR</t>
  </si>
  <si>
    <t>Maintenance of Waterwork System</t>
  </si>
  <si>
    <t>Purchase of One (1) Unit Brand New Garbage Compactor</t>
  </si>
  <si>
    <t>Re-gravelling of Barangay Roads</t>
  </si>
  <si>
    <t>Construction of Government Building Perimeter Fence in Bondoc Ville, Sto. Niño (Sapa)</t>
  </si>
  <si>
    <t>Supply and Delivery of Equipment’s for the Development of an In-House Learning Management System</t>
  </si>
  <si>
    <t>INSTALLATION OF SOLAR STREETLIGHTS WITH MONOPOLE</t>
  </si>
  <si>
    <t>REHABILITATION OF OPEN SPACE at PIMENTEL BLDNG</t>
  </si>
  <si>
    <t>SUPPLY AND DELIVERY OF REGRAVELING MATERIALS  FOR THE REGRAVELING OF ROADS</t>
  </si>
  <si>
    <t>Repair/ Maintenance Ravelled Areas Along Carmen Junction-Manat Road, Rosales and Bautista Section</t>
  </si>
  <si>
    <t>SELF - SKILLS ENHANCEMENT AND LEADERSHIP FORMATION - PHYSICAL THERAPY</t>
  </si>
  <si>
    <t>Repair/ Maintenance (Reblocking of Damaged Concrete Pavement) Along Urdaneta Junction-Dagupan-Lingayen Road</t>
  </si>
  <si>
    <t>Proposed Multi-Purpose Rehabilitation Center for PWD (Phase II), Government Center, Sta. Cruz Sur, Iriga City</t>
  </si>
  <si>
    <t>Comcolor Black,Comcolor Magenta,etc....</t>
  </si>
  <si>
    <t>Stranded Wire #6,Stranded Wire #10,Led Floodlight ,etc...</t>
  </si>
  <si>
    <t>AYUDA PARA SA PWD &amp; SENIOR CITIZENS</t>
  </si>
  <si>
    <t>SUPPLY AND DELIVERY OF VARIOUS CONSTRUCTION MATERIALS  FOR THE CONCRETE PAVING OF ROADS</t>
  </si>
  <si>
    <t>SUPPLY &amp; DELIVERY OF CONSTRUCTION MATERIALS FOR THE PROPOSED CONSTRUCTION OF TIPC PERIMETER FENCE &amp; FIRE ESCAPE LADDER AT TOURISM &amp; INVESTMENT PROMOTION BLDG.</t>
  </si>
  <si>
    <t>68.	Construction of Two (2) Storey Six (6) Classroom HIM Type School Building at Itlugan ES, Brgy. Itlugan, Rosario, Batangas</t>
  </si>
  <si>
    <t>CONSTRUCTION OF TWO STOREY MUTLI-PURPOSE BUILDING PHASE 1 @ BRGY. CAROLOTAN</t>
  </si>
  <si>
    <t>69.	Construction of HIM Type Open Classroom Building at Macalamcam A ES, Brgy. Macalamcam A, Rosario, Batangas</t>
  </si>
  <si>
    <t>REHABILITATION OF MULTI-PURPOSE BUILDING (BRGY. LUKLUKAN SUR- JPCN)</t>
  </si>
  <si>
    <t>Wheel Chair,Cane,Walker,etc...</t>
  </si>
  <si>
    <t>SELF - SKILLS ENHANCEMENT AND LEADERSHIP FORMATION - RESCUE</t>
  </si>
  <si>
    <t>Improvement of Barangay Waterworks</t>
  </si>
  <si>
    <t>Request For Quotation for Paper Materials, Products and Supplies</t>
  </si>
  <si>
    <t>Ink Cartridge Black,Ink Cartridge Magenta,etc....</t>
  </si>
  <si>
    <t>20M00081- Repair/Maintenance of DPWH Building Apopong Weighbridge Station Building, General Santos City</t>
  </si>
  <si>
    <t>SUPPLY AND DELIVERY OF VARIOUS GI FITTINGS</t>
  </si>
  <si>
    <t>3,000 pcs. Washable facemask</t>
  </si>
  <si>
    <t>REHABILITATION/CONCRETING OF MUNICIPAL ROAD</t>
  </si>
  <si>
    <t>CONCRETING OF BARANGAY ROAD</t>
  </si>
  <si>
    <t>Procurement of construction materials for Concreting of FMR at Tingal Portion, Pk. 4, pinto</t>
  </si>
  <si>
    <t>REPRODUCTION OF LEARNING MODULES</t>
  </si>
  <si>
    <t>SUPPLY AND DELIVERY OF AIR RELEASE VALVE 1"</t>
  </si>
  <si>
    <t>CONSTRUCTION OF TWO-STOREY DISTRICT SUPERVISOR OFFICE AT TERNATE CENTRAL ELEMENTARY SCHOOL,</t>
  </si>
  <si>
    <t>19G00109 - Bacolod Negros Occidental Economic Highway (BANOCEH), Segment 3, Including ROW, Bacolod City</t>
  </si>
  <si>
    <t>Supply and Delivery of Various Printing Materials per PR# 2020-08-0430</t>
  </si>
  <si>
    <t>70.	Construction of Two (2) Storey Four (4) Classroom HIM Type School Building at Abung ES, Brgy. Abung, San Juan, Batangas</t>
  </si>
  <si>
    <t>Construction/Improvement of Road Network &amp; Facilities (63.00 ln.m.)@ Quezon St, Camunggay Road, Pob.North</t>
  </si>
  <si>
    <t>Split  Type 1.5hp Inverter Aircon,Split Type 2hp Inverter Aircon</t>
  </si>
  <si>
    <t>Procurement of One (1) Lot Information and Communications Technology (ICT) Equipment for the Philippine National Police Directorate for Operations (PNP DO)- PNPTR-DO-DP-20-08</t>
  </si>
  <si>
    <t>71.	Construction of Two (2) Storey Four (4) Classroom HIM Type School Building at Sampiro ES, Brgy. Sampiro, San Juan, Batangas</t>
  </si>
  <si>
    <t>Construction of Public Market (Phase 2)</t>
  </si>
  <si>
    <t>Completion of Climate Proof Pandanan BHS/Birthing Center at Brgy. Pandanan, Laua-an, Antique</t>
  </si>
  <si>
    <t>LABOR AND MATERIALS FOR THE RENOVATION OF CHOCOLATE HILLS KITCHEN AT CHOCOLATE HILLS COMPLEX, BUENOS AIRES, CARMEN, BOHOL(re-bidding)</t>
  </si>
  <si>
    <t>IMPROVEMENT OF ROAD CONCRETING</t>
  </si>
  <si>
    <t>Purchase/Delivery of Educational Materials for ECCD Books - LGU, Umingan, Pangasinan.</t>
  </si>
  <si>
    <t>Supply and delivery of spare parts and supplies for municipal vehicles</t>
  </si>
  <si>
    <t>IMPROVEMENT OF SCHOOL STAGE @ GACES, BRGY. DOPAJ</t>
  </si>
  <si>
    <t>Concreting of Barangay Road (L=82, W=4.0, Thk-0.15) - Brgy Canlangit</t>
  </si>
  <si>
    <t>19G00111 - Preventive Maintenance of Road: Asphalt Overlay –Bacolod South Road – K0011+000-K0012+000, K0014+000-K0015+956, K0016+000-K0018+000, K0018+221-K0018+653</t>
  </si>
  <si>
    <t>Meals &amp; Snacks for 3 days,Notebook,Ballpen,Plastic Envelope Long</t>
  </si>
  <si>
    <t>SUPPLIES AND MATERIALS OF CARPENTRY NC II(TRAINING CUM PRODUCTION) DORMITORY</t>
  </si>
  <si>
    <t>CONSTRUCTION OF STA. BARBARA NATIONAL HIGH SCHOOL MULTI-PURPOSE BUILDING</t>
  </si>
  <si>
    <t>74.	Rehabilitation/Improvement/Upgrading of Poblacion, Rosario - Mahanadiong, Taysan - Poblacion - Dagatan, Taysan Road, Rosario - Taysan, Batangas (Phase III)</t>
  </si>
  <si>
    <t>Installation of Internet Connection for 24 Elementary Schools &amp; 6 National High Schools - Pilar, Capiz</t>
  </si>
  <si>
    <t>Procurement of construction materials for Rehabilitation of Drainage at Buminaang Residence, Sta. Maria</t>
  </si>
  <si>
    <t>Procurement of construction materials for Construction of 1 Classroom Bldg. Phase 1 at Little Tadian ES Ext. (Tagumpay)</t>
  </si>
  <si>
    <t>Digital Event Production, PR, Marketing and Branding Service for DTI 7 online Programs-32 sessions of Digital Conference, Trainings and Workshops</t>
  </si>
  <si>
    <t>CONCRETING OF ROAD AT SITIO DE VICTORIA @ STA. MARIA</t>
  </si>
  <si>
    <t>Revamp of Electrical &amp; New Window of Sports  Bldg., La Carlota North Elem. School, LCC</t>
  </si>
  <si>
    <t>Various Drugs &amp; Medicines</t>
  </si>
  <si>
    <t>Procurement of Chicken Breast and Beef Lean</t>
  </si>
  <si>
    <t>CONSTRUCTION OF PATHWAY (PHASE I) LOCATED AT SAN ANTONIO, AGOO, LA UNION</t>
  </si>
  <si>
    <t>19G00110 - Preventive Maintenance: Asphalt Overlay along Bacolod South Road, K0085+608-K0087+608, Kabankalan City, Negros Occidental</t>
  </si>
  <si>
    <t>73.	Rehabilitation/Improvement/Upgrading of Lalayat, San Jose - Bungahan, Cuenca - Pinagkurusan, Alitagtag - Gelerang Kawayan, San Pascual, Bauan Provincial Road (Phase IV), San Pascual, Batangas</t>
  </si>
  <si>
    <t>CONSTRUCTION OF CANAL SLOPE PROTECTION LOCATED AT AMBITACAY, AGOO, LA UNION</t>
  </si>
  <si>
    <t>IPG No.: 20-07-0008 Purchase/Rental of Service Vehicle, Planning and Design Section, DPWH-Bohol III DEO</t>
  </si>
  <si>
    <t>CIS MLGU COUNTERPART TO ARISP lll PROJECT @ SITIO ONKAY, BRGY. DOPAJ</t>
  </si>
  <si>
    <t>Procurement of School Supplies, Medical supplies and other supplies for structures and repair</t>
  </si>
  <si>
    <t>PR# 20-0833- Supply and delivery of office furniture</t>
  </si>
  <si>
    <t>To Support The Logistical Requirements of 55IB,1ID,PA</t>
  </si>
  <si>
    <t>Request for Ouotation-Medical Supplies</t>
  </si>
  <si>
    <t>CONSTRUCTION OF MATERIALS RECOVERY FACILITY</t>
  </si>
  <si>
    <t>72.	Construction of Early Childhood Care and Development Center at Capitol Complex, Brgy. Kumintang Ibaba, Batangas City</t>
  </si>
  <si>
    <t>PR. No: 20-07-0093 Supply and Delivery of Common Office Supplies, Planning and Design Section, DPWH-Bohol III DEO</t>
  </si>
  <si>
    <t>CONSTRUCTION OF SCHOOL CANTEEN AT STA. CATALINA BATA HIGH SCHOOL</t>
  </si>
  <si>
    <t>76.	Construction of Two (2) Storey Eight (8) Classroom HIM Type School Building at Bilaran ES, Brgy. Bilaran, Nasugbu, Batangas</t>
  </si>
  <si>
    <t>75.	Construction of Street Lighting System at Brgy. San Isidro, San Luis, Batangas</t>
  </si>
  <si>
    <t>PR# 20-0904- 2 units Brand New Barge (RE-BIDDING)</t>
  </si>
  <si>
    <t>Re-bid: Purchase of Supplies and Materials needed for Evacuation Center - MDRRMO</t>
  </si>
  <si>
    <t>PR. No: 20-07-0082 Supply and Delivery of Common Office Supplies, Maintenance Section, DPWH-Bohol III DEO</t>
  </si>
  <si>
    <t>Maramag II District Materials for Modules Printing</t>
  </si>
  <si>
    <t>Completion of Evacuation Center</t>
  </si>
  <si>
    <t>20GDD0001 Repair/ Maintenance of Road Safety Facilities (Supply and Delivery of Road Signs) along Various National Roads</t>
  </si>
  <si>
    <t>Health Care and Development Center</t>
  </si>
  <si>
    <t>Bond Paper,Signpen,Ballpen,Bond Paper Long,etc....</t>
  </si>
  <si>
    <t>78.	Construction of Two (2) Storey Four (4)  Classroom HIM Type School Building at Don Leon Mercado SR MNHS, Brgy. Mabalanoy, San Juan, Batangas</t>
  </si>
  <si>
    <t>PROCUREMENT OF ONE (1) UNIT MOTORCYCLE FOR PNP USE</t>
  </si>
  <si>
    <t>MEALS AND SNACKS FOR VARIOUS TRAINING UNDER CRFPSP</t>
  </si>
  <si>
    <t>SUPPLY AND DELIVERY OF VARIOUS MATERIALS TO BE USED FOR SAN ROQUE WELL 2 DISCHARGE LINE, PIPELINE, EXISTING LINE TO RESERVOIR/CLARIFIER AND SIX INTERCONNECTION POINT AT SAN ROQUE, TALIBON, BOHOL</t>
  </si>
  <si>
    <t>Installation of Light for Covered Court</t>
  </si>
  <si>
    <t>Purchase of Common Use Office Supplies for LGU-Guinsiliban</t>
  </si>
  <si>
    <t>DEVELOPMENT OF CDA ONLINE LEARNING FACILITY FOR PRE-REGISTRATION SEMINAR (PRS)</t>
  </si>
  <si>
    <t>Construction of Composting Area, Municipal Landfill, Maoasoas Norte, Pugo, La Union</t>
  </si>
  <si>
    <t>PURCHASE OF MEDICAL &amp; LABORATORY SUPPLIES</t>
  </si>
  <si>
    <t>Supply, Delivery and Installation of Giant Industrial Fan</t>
  </si>
  <si>
    <t>BALAI SILANGAN REHABILITATION FOR COVID-19 ISOLATION FACILITY AT  PILAR, SORSOGON</t>
  </si>
  <si>
    <t>IMPROVEMENT OF PANABINGAN ELEMENTARY SCHOOL MULTI-PURPOSE BUILDING</t>
  </si>
  <si>
    <t>Purchase/Delivery of Educational Materials for Grades 1 &amp; 2 Books - LGU, Umingan, Pangasinan.</t>
  </si>
  <si>
    <t>Various Laboratory Supplies</t>
  </si>
  <si>
    <t>Repair of Ceiling, Doors, Lightings, Walls and  Repainting of SP Interior Building, SP Office,LCC</t>
  </si>
  <si>
    <t>PROCUREMENT OF THREE (3) UNITS MOTORCYCLE FOR TREASURER'S OFFICE, ENGINEERING OFFICE AND WATER WORKS</t>
  </si>
  <si>
    <t>Construction of Drainage at Bakhaw Sur, Kalibo, Aklan (to Drainage Outlet)</t>
  </si>
  <si>
    <t>( PR NO. 20-08-05A-0055 SUPPLY AND DELIVERY OF 20 pcs Storage Battery 12 Volts-25 plates with battery solution)</t>
  </si>
  <si>
    <t>Purchase of Laptop for Teachers on Different Schools in the City School Division of Bacoor - CSDO</t>
  </si>
  <si>
    <t>Purchase/Delivery of Ten (10) Units Laptop for SB Members - LGU, Umingan, Pangasinan.</t>
  </si>
  <si>
    <t>77.	Construction of Two (2) Storey Four (4) Classroom HIM Type School Building at Lumbangan ES, Brgy. Lumbangan, Rosario, Batangas</t>
  </si>
  <si>
    <t>( PR NO. 20-08-08-0061 SUPPLY AND DELIVERY OF 20 btls Chlorine Reagent CI2-1, 10 btls Chlorine Reagent CI2-2)</t>
  </si>
  <si>
    <t>Geotechnical Exploration Survey for the Construction/Replacement/Widening of Proposed Bridges and Flood Control Projects within the Jurisdiction of Pampanga 3rd District Engineering Office for CY 2021</t>
  </si>
  <si>
    <t>Purchase of Additional Tablet Devices for City School Division of Bacoor Blended Learning Program - CSDO</t>
  </si>
  <si>
    <t>Procurement of Manpower Services for Bagac Property</t>
  </si>
  <si>
    <t>CONCRETING OF BARANGAY ROAD LOCATED AT STA RITA EAST, AGOO, LA UNION</t>
  </si>
  <si>
    <t>SELF - SKILLS ENHANCEMENT AND LEADERSHIP FORMATION - LIVELIHOOD</t>
  </si>
  <si>
    <t>Purchase of Narra Seedlings</t>
  </si>
  <si>
    <t>Construction of Farmer's Irrigation Cum Pathway, Poblacion West, Pugo, La Union</t>
  </si>
  <si>
    <t>CONSTRUCTION OF SCHOOL CANTEEN AT AKLE HIGH SCHOOL</t>
  </si>
  <si>
    <t>Request For Quotation</t>
  </si>
  <si>
    <t>Various Office Supplies</t>
  </si>
  <si>
    <t>Rental of Bulldozer</t>
  </si>
  <si>
    <t>Supply, Delivery, and Installation of one (1) 3TR Air-Conditioning Unit to be used at the Cashier's Office, DHVSU, Bacolor, Pampanga.</t>
  </si>
  <si>
    <t>Construction/Development of Covered Court with Holding Area, Stage, Dressing Room &amp; Bleacher at Ozamiz City National High School (OCNHS), OCNHS Compound, Ozamiz City</t>
  </si>
  <si>
    <t>Construction/Development of Oval Track at OCNHS Compound, Ozamiz City</t>
  </si>
  <si>
    <t>( PR NO. 20-07-07-0250 SUPPLY AND DELIVERY OF 34 m³ Washed Sand,  36 m³Crushed Gravel 3/4")</t>
  </si>
  <si>
    <t>UPGRADING OF DRYING FACILITY FOR SEAWEEDS - PERMANENT SEAWEEDS DRYER</t>
  </si>
  <si>
    <t>Procurement of Non-Food Items ( Family Hygiene and Sanitation Kit)</t>
  </si>
  <si>
    <t>4WD MULTICAB MANUAL 5SPEED for BFP</t>
  </si>
  <si>
    <t>HW-2020-08-0324 : PURCHASE OF SERVICE FOR HOUSEPARENT, COOK AND LAUNDRESS ASSIGN AT HOME FOR WOMEN</t>
  </si>
  <si>
    <t>Re-Bidding of Transformer for Water Pump at Eco Park Main Water Pump Station</t>
  </si>
  <si>
    <t>20GDB0044 Purchase of Geotagging Device for Multi-Year Planning and Scheduling (MYPS) Application and Validation Survey and Infratrack Application</t>
  </si>
  <si>
    <t>Supply and Delivery of Materials for the Completion of Sanctuary Shelter</t>
  </si>
  <si>
    <t>Proposed   Improvement/ Maintenance of Public Mall (Dried &amp; Wet Section)</t>
  </si>
  <si>
    <t>READY MIX CONCRETE 3000 PSI (INCLUDES PROVISION OF PUMPCRETE) 14 Days Strength, 3/4" Course Aggregates Size, 6" Slump</t>
  </si>
  <si>
    <t>Construction of Storage Warehouse and Parking, Municipal</t>
  </si>
  <si>
    <t>(PROCEDE) Procurement of 1 unit Desktop Computer (AIO) For the Provincial Cooperative &amp; Enterprise Development Office--60,000.00</t>
  </si>
  <si>
    <t>Purchase of USB Flash Drive for the Teachers Using as File Storage on Various School Division of Bacoor - CSDO</t>
  </si>
  <si>
    <t>PROCUREMENT OF INFORMATION TECHNOLOGY (IT) EQUIPMENT</t>
  </si>
  <si>
    <t>2020-08-223</t>
  </si>
  <si>
    <t>Rehabilitation of Barangay Hall</t>
  </si>
  <si>
    <t>Procurement of Supply, Delivery, Testing and Commissioning of VIDEO LARYNGOSCOPE</t>
  </si>
  <si>
    <t>Construction of Sitio Sigkop, Brgy. Bagsik – Brgy. Camili FMR, Brgy. Bagsik, Alcantara, Romblon</t>
  </si>
  <si>
    <t>Cont. Ref. No. 099-20: Repair of Gutters at ITC Sleeping Quarters</t>
  </si>
  <si>
    <t>RENOVATION OF DAYCARE CENTER AT BARANGAY CALASAG</t>
  </si>
  <si>
    <t>INVITATION TO BID FOR PROCUREMENT OF MULTICOPY PAPERS AND PRINTER INKS FOR UTILIZATION PLAN FOR THE IMPLEMENTATION OF THE BASIC EDUCATION LEARNING CONTINUITY PLAN (LCP)</t>
  </si>
  <si>
    <t>SUPPLY AND DELIVERY OF ASSORTED CONSTRUCTION MATERIALS FOR THE CONSTRUCTION OF BARANGAY MULTI PURPOSE HALL PHASE III OF BARANGAY SAN ISIDRO,SIBAGAT,AGUSAN DEL SUR</t>
  </si>
  <si>
    <t>PROCUREMENT OF TOKENS</t>
  </si>
  <si>
    <t>Cont. Ref. No. 105-20-20: Re-Construction of Footbridge at Calhorr, Virac located at Virac, Itogon, Benguet</t>
  </si>
  <si>
    <t>ASSORTED ORNAMENTAL PLANTS &amp; SEED</t>
  </si>
  <si>
    <t>CONSTRUCTION OF LED STREETLIGHTS</t>
  </si>
  <si>
    <t>PROCUREMENT OF FOOD STUFF FOR SUPPLEMENTAL FEEDING PROGRAM</t>
  </si>
  <si>
    <t>(PROCEDE) Procurement of 1 unit Photocopier For the Provincial Cooperative &amp; Enterprise Development Office--150,000.00</t>
  </si>
  <si>
    <t>PR-2020-08-0044 - Procurement of Office Supplies for use by DPWH Zambales DEO, Castillejos, Zambales</t>
  </si>
  <si>
    <t>Rehab of Guimbal Roads (Including Sidewalks and Drainage System)</t>
  </si>
  <si>
    <t>Purchase of Books (CGS)</t>
  </si>
  <si>
    <t>Construction of "Negosyo Center" Building</t>
  </si>
  <si>
    <t>Supply and Delivery of Sports Shoes</t>
  </si>
  <si>
    <t>Procurement of Fish for the use at Dietary Section</t>
  </si>
  <si>
    <t>Procurement of Citation Ticket</t>
  </si>
  <si>
    <t>Small Value Procurement - Procurement of Genuine HP Toners</t>
  </si>
  <si>
    <t>PIKCOT-002020-0022 (SUPPLY AND DELIVERY OF MUSCOVY DUCK)</t>
  </si>
  <si>
    <t>Construction of concreting cemetery road-20% DF 2019</t>
  </si>
  <si>
    <t>Construction of Flood Control @ Zone IIII Barangay Lonoy, Kananga, Leyte</t>
  </si>
  <si>
    <t>Purchase Request for Auditors Office laptop use.</t>
  </si>
  <si>
    <t>Rehabilitation/Concreting of Municipal Streets</t>
  </si>
  <si>
    <t>PROCUREMENT OF MEDICINES, MEDICAL, LABORATORY AND DENTAL SUPPLIES FOR THE USE OF CITY HEALTH OFFICE</t>
  </si>
  <si>
    <t>Hauling Services of Waste Disposal for the Month of August 2020</t>
  </si>
  <si>
    <t>Installation of Street Lighting System along the bridge</t>
  </si>
  <si>
    <t>20HA0130 (Re-Ad) - CONSTRUCTION OF CATIGBIAN WATER SUPPLY, CATIGBIAN, BOHOL</t>
  </si>
  <si>
    <t>20DI0160 - Repair/ Maintenance of DENR Building, CENRO – Records Building, Brgy. Lalakay, Los Baños, Laguna</t>
  </si>
  <si>
    <t>Construction for the Improvement of Germplasm Coldroom (Research Building)at PhilRice Midsayap</t>
  </si>
  <si>
    <t>SELF - SKILLS ENHANCEMENT AND LEADERSHIP FORMATION - PUBLIC INFORMATION</t>
  </si>
  <si>
    <t>Supply and Delivery of Brand New D65 Bulldozer</t>
  </si>
  <si>
    <t>DARF02.QES.115.20-08-060 I.T. EQUIPMENTS</t>
  </si>
  <si>
    <t>Supply and delivery of various commodities for the children beneficiaries of Supplementary Feeding Program of the Municipality of Tubao, La Union</t>
  </si>
  <si>
    <t>Procurement of One (1) Set Lambaklad for Tampugo Baklad Fishermen’s Association, Tagudin, Ilocos Sur</t>
  </si>
  <si>
    <t>Purchase of Chemicals and Reagents_Garlic Tissue</t>
  </si>
  <si>
    <t>Cont. Ref. No. 106-20: Rehabilitation of Footpath White Fence, Ucab, Itogon. Benguet</t>
  </si>
  <si>
    <t>Rehabilitation/Improvement of Multi Purpose Hall Evacuation Center</t>
  </si>
  <si>
    <t>Construction of Canopy at CEZ Corral Office</t>
  </si>
  <si>
    <t>Construction of River/Flood Control-Sitio San Jose, Mabini, Caramoran, Catanduanes</t>
  </si>
  <si>
    <t>Supply and delivery of various commodities for the children beneficiaries of Supplementary Feeding Program of the Municipality of Sudipen, La Union</t>
  </si>
  <si>
    <t>Construction of One Unit  Water System at Manobo Village, Pob. Carmen, Cotabato</t>
  </si>
  <si>
    <t>PURCHASE COMPUTER AND PRINTER</t>
  </si>
  <si>
    <t>(GO-PDAD) rocurement of Construction Materials For the Governor’s Office – Parks Development &amp; Administrative Division--159,500.00</t>
  </si>
  <si>
    <t>Catering Services for the Conduct of Stress De-briefing for Frontliners</t>
  </si>
  <si>
    <t>Plumbing materials for maintenance repair installation of new service connec</t>
  </si>
  <si>
    <t>PROPOSED SCHOOL IMPROVEMENT</t>
  </si>
  <si>
    <t>Acquisition of Equipment for Techno-Gabay Program</t>
  </si>
  <si>
    <t>20DI0162 - Repair/ Maintenance of DND Building MESS Hall Building Camp Gen. Macario Sakay , Los Baños, Laguna</t>
  </si>
  <si>
    <t>PROCUREMENT OF AGRICULTURAL SUPPLIES</t>
  </si>
  <si>
    <t>PROCUREMENT OF OFFICE SUPPLIES &amp; MATERIALS FOR USE IN THE OFFICE OF THE COMELEC</t>
  </si>
  <si>
    <t>Purchase of Books (NLUC Library)</t>
  </si>
  <si>
    <t>20DI0161 - Repair/Maintenance of DPWH Building, Area Equipment Services Building , Los Baños, Laguna</t>
  </si>
  <si>
    <t>Procurement of Office Equipment (8 units Inkjets 3 in 1 Printer)</t>
  </si>
  <si>
    <t>Concreting of Cadena de Amor St. (from Mango - Narra Ave.., Poblacion Carmen, Cotabato</t>
  </si>
  <si>
    <t>Supply and Delivery of Construction materials for the Improvement of SB office and Sesion Hall</t>
  </si>
  <si>
    <t>Improvement of Batulawan, Pikit Extension Classroom (Bldg 1 &amp; Bldg 2</t>
  </si>
  <si>
    <t>Re-Bidding for the Construction of Multi-Purpose Hall Kitchen Barangay Pampango</t>
  </si>
  <si>
    <t>20DI0163 - Repair/ Maintenance of DILG Building, Anti-Cybercrime Building Camp Vicente Lim , Calamba City, Laguna</t>
  </si>
  <si>
    <t>(DDH) Procurement of Office Supplies (Stamp Pad Ink, Cartolina, etc.) For the Dupax District Hospital--55,785.00</t>
  </si>
  <si>
    <t>Local Access Road-Upgrading of Toytoy Barangay Road-Toytoy, Caramoran, Catanduanes</t>
  </si>
  <si>
    <t>PREVENTIVE MAINTENANCE OF ICT EQUIPMENTS IN REGIONAL FIELD OFFICE 12</t>
  </si>
  <si>
    <t>ASSORTED FARM INPUTS &amp; FERTILIZERS</t>
  </si>
  <si>
    <t>CONSTRUCTION OF MULTI-PURPOSE HALL AT BARANGAY CALASAG</t>
  </si>
  <si>
    <t>LIVESTOCK PROJECT FOR CRFPSP</t>
  </si>
  <si>
    <t>Re-Bidding for the Construction Installation of Railings Foot Bridge Barangay Pampango</t>
  </si>
  <si>
    <t>CONSTRUCTION AND DEVELOPMENT OF SANITARY LANDFILL (PHASE I)</t>
  </si>
  <si>
    <t>Purchase of Laboratory Glasswares_Garlic Tissue</t>
  </si>
  <si>
    <t>SUPPLY AND DELIVERY OF IT EQUIPMENT AND ACCESSORIES FOR VARIOUS OFFICES - 2ND BIDDING</t>
  </si>
  <si>
    <t>Concreting of San francicsco St. (from Lawaan - Rambutan St.) Poblacion, Carmen, Cot.</t>
  </si>
  <si>
    <t>Concreting of Rambutan St. (from Sampaloc - Acasia St. &amp; from Jasmin to Ilang-ilang St.) Poblacion</t>
  </si>
  <si>
    <t>Supply/Delivery of Office Supplies for the use at Regional Office V, Naga City</t>
  </si>
  <si>
    <t>INVITATION TO BID FOR THE CONSTRUCITON OF LCOAL ROAD AT RAMOS STREET EAST, BRGY. POBLACION, LINGAYEN, PANGASINAN</t>
  </si>
  <si>
    <t>Concreting of Guijo St. (from Molave - Acascia St. &amp; from Orchid - Sampaguita Ave. &amp; Ilang-Ilang - JasminSt.</t>
  </si>
  <si>
    <t>CP 2020-59 BIDDING FOR THE SUPPLY AND DELIVERY OF TWO (2) UNITS DUMP TRUCK C/O GSO</t>
  </si>
  <si>
    <t>SDH-20-0959-B MEDICAL EQUIPMENT</t>
  </si>
  <si>
    <t>Supply Professional Medical Services and Materials needed for the Conduct the CoVID-19 Confirmatory Testing (RT-PCR)</t>
  </si>
  <si>
    <t>RFQ No. 20-08-028 Medical Supplies and Laboratory Instrument</t>
  </si>
  <si>
    <t>RFQ Laboratory Equipment</t>
  </si>
  <si>
    <t>Overseas Filipino Bank (Supply and Delivery of Systems Furniture)</t>
  </si>
  <si>
    <t>Purchase of A4 Bondpaper for Module learning of 29 Schools (Elementary &amp; High Schools) of the Municipality of Dingras, Ilocos Norte</t>
  </si>
  <si>
    <t>FUEL</t>
  </si>
  <si>
    <t>PRDP-RPCOXI-017-2020 Catering for I-REAP Activities for 3rd and 4th Qtr</t>
  </si>
  <si>
    <t>(DEH) Procurement of Janitorial Supplies For the Diadi Memorial Hospital--61,962.50</t>
  </si>
  <si>
    <t>SDH-20-0988-B FREEZER</t>
  </si>
  <si>
    <t>Concreting of Sitio Suong, Brgy. Tampayan FMR, Brgy. Tampayan, Magdiwang, Romblon</t>
  </si>
  <si>
    <t>Supply and delivery of various commodities for the children beneficiaries of Supplementary Feeding Program of the Municipality of Santol, La Union</t>
  </si>
  <si>
    <t>Improvement of multi purpose hall/evacuation center</t>
  </si>
  <si>
    <t>Construction of Concrete Fence @ Sanitary Land Fill, Tacupan, Carmen, Cotabato</t>
  </si>
  <si>
    <t>Procurement of Photocopier Machine for ECCD of LGU-Naga</t>
  </si>
  <si>
    <t>SDH-20-0960-B MEDICAL EQUIPMENT</t>
  </si>
  <si>
    <t>Publication No. 39-2020- G (Second Publication) BRAND NEW LIGHT TRUCK</t>
  </si>
  <si>
    <t>Request for Quotation (CAD-2020-08-0363 Ink)</t>
  </si>
  <si>
    <t>BAR20-07-03-0047 Supply and Delivery of Office Equipment.</t>
  </si>
  <si>
    <t>CP 2020-60 BIDDING FOR THE SUPPLY AND DELIVERY OF THERMOPLASTIC PAINTS C/O CEO</t>
  </si>
  <si>
    <t>INVITATION TO BID FOR THE PROCUREMENT OF HEALTH CARE SUPPLIES FOR KINDERGARTEN TO GRADE VI LEARNERS (SDHCP 2020)</t>
  </si>
  <si>
    <t>Supply and Delivery of Various repainting materials for genset &amp; backhoe ( H-036-0600-20 )</t>
  </si>
  <si>
    <t>RFQ-GS-20200805-01 -1 Lot Supply, Delivery &amp; Installation of Cash Vault Door, Emergency Exit Door, Vault Ventilator &amp; Cash Safe at LANDBANK Balingasag Branch</t>
  </si>
  <si>
    <t>Purchase Request for Office Equipment used for Municipal Engineer of LGU-UPI.</t>
  </si>
  <si>
    <t>RFQ-GS-20200721-04 - 1 Lot Supply, Delivery,  Installation &amp; Dismantling of Office Furnit ure at Various LANDBANK Branches</t>
  </si>
  <si>
    <t>20% BDF 2019</t>
  </si>
  <si>
    <t>CP 2020-61 BIDDING FOR THE SUPPLY AND DELIVERY OF SURVEYING EQUIPMENT AND SOFTWARE C/O CEO</t>
  </si>
  <si>
    <t>2020-08-0061-Distribution Transformer 37.5 kva</t>
  </si>
  <si>
    <t>BAR20-07-08-0057 Supply and Delivery of Office Equipment</t>
  </si>
  <si>
    <t>NTH-20-0810-B GENERATING SET WITH ATS</t>
  </si>
  <si>
    <t>PROCUREMENT FOR THE SUPPLY AND DELIVERY OF SEVEN (7) UNITS OF FB VAN</t>
  </si>
  <si>
    <t>Lot1- Construction/Rehabilitation of Public Market (Phase II) at San Jose, Baggao, Cagayan</t>
  </si>
  <si>
    <t>Rehabilitation of Damage Government Facilities, Brgy. Japunan and Brgy. Pangpang Day Care Center, San Policarpo, Eastern Samar</t>
  </si>
  <si>
    <t>RFQ 0032</t>
  </si>
  <si>
    <t>PURCHASE OF MATERIALS AND INSTALLATION OF CORN MILL (2ND BID OPENING)</t>
  </si>
  <si>
    <t>Request for Quotation (CAD-2020-08-0364 Cellcard)</t>
  </si>
  <si>
    <t>PURCHASE AND DELIVERY OF PLANTS AND TREES (SUPPORT TO FOREST REHABILITATION PROJECT) AT CABARROGUIS</t>
  </si>
  <si>
    <t>Publication No. 41-2020- G (First Publication) THREE (3) UNITS BRAND NEW AMBULANCE</t>
  </si>
  <si>
    <t>Acquisition of Various Extension Support Services for Vegetables Techno-Demo &amp; Crops Production</t>
  </si>
  <si>
    <t>Purchase of 5 Units Reproduction Machines and 8 pcs. CCTV Camera</t>
  </si>
  <si>
    <t>RE-BID PROCUREMENT FOR THE SUPPLY AND DELIVERY OF VARIOUS SUPPLIES FOR 1ST AND 2ND QUARTER CY 2020 (2ND BATCH)</t>
  </si>
  <si>
    <t>Publication No. 40-2020- G (Second Publication) BRAND NEW MERCY VAN</t>
  </si>
  <si>
    <t>RFQ-GS-20200817-04 - 1 Lot Supply, Delivery, Installation, Testing and Commissioning of Diesel Generating Unit at LANDBANK Balingasag Branch</t>
  </si>
  <si>
    <t>2020-08-0062-Mountain Shoes</t>
  </si>
  <si>
    <t>ORDINARY OFFICE SUPPLIES</t>
  </si>
  <si>
    <t>PROCUREMENT ON SUBSCRIPTION OF VIDEO CONFERENCING APP FOR VIRTUAL MEETING</t>
  </si>
  <si>
    <t>VARIOUS OFFICE SUPPLIES FOR LTS &amp; DARAB</t>
  </si>
  <si>
    <t>RFQ - 20GCJ0064 -  Supply and Delivery of Asphalt Cement Penetration (Hot Asphalt) Grade 60/70 and Aggregate Surface Course, Grading D for Patching of Potholes, Sealing of Cracks, Joints along various</t>
  </si>
  <si>
    <t>SELF - SKILLS ENHANCEMENT AND LEADERSHIP FORMATION - ARTS, CULTURE AND TOURISM</t>
  </si>
  <si>
    <t>PURCHASE AND DELIVERY OF CONSTRUCTION MATERIALS FOR VARIOUS ELEMENTARY SCHOOLS (29 SCHOOLS) WATER SYSTEM AND HANDWASHING FACILITIES AT CABARROGUIS</t>
  </si>
  <si>
    <t>Procurement of Various Medical Supplies and Accessories</t>
  </si>
  <si>
    <t>LOYALTY AWARD 2020.</t>
  </si>
  <si>
    <t>Construction of Water system @ Zone IV Barangay Lonoy, Kananga, Leyte</t>
  </si>
  <si>
    <t>Publication No. 42-2020- G (First Publication) BRAND NEW SPORTS UTILITY VEHICLE (SUV) 4x2</t>
  </si>
  <si>
    <t>Supply and Delivery of Office and Device</t>
  </si>
  <si>
    <t>Lot1-Construction of Slope Protection of Bridges Approach w/ concreting at Hacienda-Intal &amp; Asinga Via, Baggao, Cagayan</t>
  </si>
  <si>
    <t>SELF - SKILLS ENHANCEMENT AND LEADERSHIP FORMATION - CLEAN AND GREEN</t>
  </si>
  <si>
    <t>SUPPLY AND DELIVERY OF MATERIALS FOR CONCRETING OF BARANGAY ROAD, BONBON LOWER, LOBOC, BOHOL</t>
  </si>
  <si>
    <t>RE-BID PROCUREMENT AND SUPPLY OF IT SUPPLIES FOR VARIOUS DEPARTMENTS</t>
  </si>
  <si>
    <t>Supply &amp; Delivery of Computer Equipment and Accessories for  the 3rd Quarter CY 2020</t>
  </si>
  <si>
    <t>Purchase of various office supplies and janitorial supplies for use of the Municipality of Dingras, Ilocos Norte</t>
  </si>
  <si>
    <t>RFQ-GS-20200806-01 - 1 Lot Supply, Delivery &amp; Installation of ATM &amp; CDM  Acrylic Frame Panels,  Signages &amp; ATM Sunshade at Five (5) LANDBANK Branches</t>
  </si>
  <si>
    <t>Supply &amp; Delivery Of Airconditioning Repair Tools  At Legazpi Airport – 2nd SVP</t>
  </si>
  <si>
    <t>FURNISHING &amp; DELIVERY OF ONE (1) UNIT CAMERA AND TWO (2) UNITS LAPTOP (2nd Posting)</t>
  </si>
  <si>
    <t>Supply and Delivery of Materials for the Construction of Centralized Kitchen at San Gregorio E/S, Barangay San Gregorio</t>
  </si>
  <si>
    <t>Publication No. 44-2020- G (First Publication) BRAND NEW GENERATOR SET, HEAVY DUTY</t>
  </si>
  <si>
    <t>construction of canal lining at sitio 1</t>
  </si>
  <si>
    <t>REHABILITATION OF FTMR</t>
  </si>
  <si>
    <t>PROPOSED REHABILITATION OF BPLO</t>
  </si>
  <si>
    <t>Supply and delivery of various commodities for the children beneficiaries of Supplementary Feeding Program of the Municipality of Pugo, La Union</t>
  </si>
  <si>
    <t>UPLB-RES-040-09-20  SUPPLY AND DELIVERY OF BRANDED AND BRAND NEW CHEMICALS AND CHEMICAL PRODUCTS FOR IPB</t>
  </si>
  <si>
    <t>TRIBUTE TO RETIREES 2020.</t>
  </si>
  <si>
    <t>Procurement of 1-Unit Risograph Printing Machine for Valderrama National High School (VNHS)</t>
  </si>
  <si>
    <t>Concreting of Sitio Atras - Sitio Abante Road, Lilliongan, Carme</t>
  </si>
  <si>
    <t>Purchase of Materials for the Improvement of Multi Purpose Brgy. Hall and Evacuation Center</t>
  </si>
  <si>
    <t>PACKAGE 20-38:  REHABILITATION/RENOVATION OF MODERN ABATTOIR BUILDING</t>
  </si>
  <si>
    <t>PROCUREMENT ON SUPPLY AND DELIVERY OF VARIOUS OFFICE SUPPLIES</t>
  </si>
  <si>
    <t>SUPPLY AND DELIVERY OF MEDICAL EQUIPMENT</t>
  </si>
  <si>
    <t>PURCHASE AND DELIVERY OF COMMON OFFICE SUPPLIES FOR DEP-ED CABARROGUIS DISTRICT, CABARROGUIS</t>
  </si>
  <si>
    <t>Purchase Medicines &amp; Supplies for CMH</t>
  </si>
  <si>
    <t>Supply and delivery of various commodities for the children beneficiaries of Supplementary Feeding Program of the Municipality of Caba, La Union</t>
  </si>
  <si>
    <t>Publication No. 43-2020- G (First Publication) BRAND NEW DRILLING MACHINE</t>
  </si>
  <si>
    <t>PROPOSED FARM TO MARKET ROAD CONCRETING</t>
  </si>
  <si>
    <t>Purchase of Medicines for Rural Health Unit @ LGU - Carmen, Bohol</t>
  </si>
  <si>
    <t>PROCUREMENT OF I.C.T. EQUIPMENT FOR THE USE OF SCHOOLS DIVISION OFFICE (SECOND BIDDING)</t>
  </si>
  <si>
    <t>Publication No. 46-2020- G (First Publication) COMPUTER SUPPLIES AND ACCESSORIES</t>
  </si>
  <si>
    <t>Publication No. 45-2020- G (First Publication) COMMON OFFICE SUPPLIES</t>
  </si>
  <si>
    <t>(SBMA-BAC-GOODS-ITB-16-20) TWO (2) – YEAR CONTRACT OF PHOTOCOPYING SERVICES</t>
  </si>
  <si>
    <t>PR. 20-08-305 (2020-08-299) PROCUREMENT OF CONSTRUCTION MATERIALS AND SUPPLIES</t>
  </si>
  <si>
    <t>Lot1-Construction of Canal Lining/Flume at Pallagao, Baggao, Cagayan</t>
  </si>
  <si>
    <t>Concreting of Farm-to-Market Road</t>
  </si>
  <si>
    <t>Supply and Delivery of Office Supplies for VSU Main and Component Colleges (GOODS-20-44)</t>
  </si>
  <si>
    <t>ITB Design, Manufacture, Supply and Installation of Furniture and Fixtures of EMB XII</t>
  </si>
  <si>
    <t>PROCUREMENT OF GENERATOR SET FOR WATER SYSTEM ( LEVEL 3 )</t>
  </si>
  <si>
    <t>Establishment of Nursery &amp; Vegetable Production</t>
  </si>
  <si>
    <t>Procurement on Delivery of Materials for the Construction of Concrete Pathway</t>
  </si>
  <si>
    <t>Publication No. 47-2020- G (First Publication) GENERAL HOME SUPPLIES</t>
  </si>
  <si>
    <t>Supply of 5 units laptop computer with 4 others for Institutional Section</t>
  </si>
  <si>
    <t>Procurement of Promotional Materials</t>
  </si>
  <si>
    <t>Purchase of Medical Equipment for Disaster Action Team (Municipal) and School Disaster Action Team and Barangay Level- MDRRMO</t>
  </si>
  <si>
    <t>ITB and Bid Docs for 1)	Procurement ID/Contract ID:    19C00094  Contract Name:      Construction, Rehabilitation of Flood Control Structures along Rio-Chico River, Sta. 5+840 – Sta. 6+368.8, Brgy. Ma</t>
  </si>
  <si>
    <t>Construction for Reinforced Concrete Box Culvert @ Sitio Arik-Ikan, Liliongan</t>
  </si>
  <si>
    <t>tires</t>
  </si>
  <si>
    <t>Procurement of 1-Unit Risograph Printing Machine with Toner for the District of Valderrama</t>
  </si>
  <si>
    <t>20NA0079 Construction of Level II Water System, Brgy. Calamba, Cabadbaran City, Agusan del Norte</t>
  </si>
  <si>
    <t>Supply and delivery of various commodities for the children beneficiaries of Supplementary Feeding Program of the Municipality of San Gabriel, La Union</t>
  </si>
  <si>
    <t>Supplies/Equipment and Delivery for SBFP Complementary Activities FY 2020</t>
  </si>
  <si>
    <t>Supply &amp; Delivery of Office Equipment (Airconditioner and Refrigerator)</t>
  </si>
  <si>
    <t>Purchase of Laboratory Supplies for CMH</t>
  </si>
  <si>
    <t>Supply and Delivery of Materials for the Construction of Drainage Canal at Barangay Del Pilar</t>
  </si>
  <si>
    <t>GPG-B1-2020-085-SUPPLY &amp; DELIVERY OF FOUR (4) UNITS BRAND NEW  ASIAN UTILITY VEHICLE (AUV) FOR TECHNICAL EDUCATION &amp; SKILLS DEVT AUTHORITY (TESDA)</t>
  </si>
  <si>
    <t>Publication No. 48-2020- G (First Publication) VEHICLE TIRES AND SPAREPARTS</t>
  </si>
  <si>
    <t>Procurement of Labor and Materials for Various Civil Works</t>
  </si>
  <si>
    <t>SUPPLY OF VARIOUS CONSTRUCTION SUPPLY</t>
  </si>
  <si>
    <t>Procurement of  Computer Accessories, Supplies and Equipment's for all offices</t>
  </si>
  <si>
    <t>Supply and Delivery of Materials for the Rehabilitation of Municipal Street</t>
  </si>
  <si>
    <t>FURNISHING &amp; DELIVERY OF ONE (1) UNIT XEROX/COPIER MACHINE</t>
  </si>
  <si>
    <t>RFQ (20-08-065) Various Medical Supplies</t>
  </si>
  <si>
    <t>Supply and delivery of various commodities for the children beneficiaries of Supplementary Feeding Program of the Municipality of Burgos, La Union</t>
  </si>
  <si>
    <t>Purchase of PPEs and Other Medical Supplies</t>
  </si>
  <si>
    <t>PHOTOCOPY MACHINE AND RISOGRAPH</t>
  </si>
  <si>
    <t>Publication No. 50-2020- G (First Publication) VETERINARY MEDICINES AND MEDICAL SUPPLIES</t>
  </si>
  <si>
    <t>PROCUREMENT OF CONSTRUCTION MATERIALS AND SUPPLIES USE FOR IMPROVEMENT OF PIÑAN SLAUGHTERHOUSE – CONCRETE PAVEMENT</t>
  </si>
  <si>
    <t>PUBLIC BIDDING / PR 20-07-0343 / MODULAR TYPE AIR HANDLING UNITS (AHUS)</t>
  </si>
  <si>
    <t>20CB-GSC-539	PURCHASE OF OVERHEAD CRANE</t>
  </si>
  <si>
    <t>Procurement of Medical Supplies for Health, Safety &amp; Welfare Program (Other Development Program)</t>
  </si>
  <si>
    <t>20CB-GSC-538	PURCHASE OF INFORMATION TECHNOLOGY</t>
  </si>
  <si>
    <t>Supply &amp; Delivery of Survey Equipment/Accessories</t>
  </si>
  <si>
    <t>Implementation of ADSDPP CADC-172</t>
  </si>
  <si>
    <t>Supply and Delivery of Various Office Supplies and Consumables</t>
  </si>
  <si>
    <t>RFQ-NP-SVP-366-2020-Repairs and Maintenance of Equipment and Systems</t>
  </si>
  <si>
    <t>Supply &amp; Delivery Of Airport Rescue Equipment  At Legazpi Airport – 2nd SVP</t>
  </si>
  <si>
    <t>Concreting of Road at Talusan St., Barangay Soledad</t>
  </si>
  <si>
    <t>CONSTRUCTION OF SOLAR LIGHTINGS-BARANGAY CENTRO NAPU, TUDELA, MIS. OCC</t>
  </si>
  <si>
    <t>CNU Procurement for Office Chair etc No.20-08-273</t>
  </si>
  <si>
    <t>PROCUREMENT OF BONDPAPER TO BE USED BY THE DISTRICT OF VALDERRAMA</t>
  </si>
  <si>
    <t>20CB-GSC-536	PURCHASE OF CONSTRUCTION SUPPLIES</t>
  </si>
  <si>
    <t>invitation to bid for the concreting of arm to marekt road at Brgy. Naguelguel, Lingayen, Pangasinan</t>
  </si>
  <si>
    <t>Publication No. 49-2020- G (First Publication) SEEDLINGS</t>
  </si>
  <si>
    <t>Purchase of Materials for the Enhancement of Multi-Purpose Building</t>
  </si>
  <si>
    <t>COVID 19 Operations Equipment and Supplies</t>
  </si>
  <si>
    <t>RENTAL OF PUMPING UNITS (10HP/UNIT) INCLUSIND PUMP TESTING (UNDERGROUND SPRING) AND DATA COLLECTION @ LGU-CARMEN, BOHOL</t>
  </si>
  <si>
    <t>RFQ-NP-SVP-373-2020-Procurement of Furnitures and Fixtures for Health Management System Project</t>
  </si>
  <si>
    <t>DELIVERY OF MATERIALS FOR THE CONSTRUCTION OF COMFORT ROOMS - BARANGAY HALL (PANGDAN)</t>
  </si>
  <si>
    <t>20CB-GSC-540	PURCHASE OF SPARE PARTS FOR HEAVY EQUIPMENTS</t>
  </si>
  <si>
    <t>Implementation of ADSDPP CADC-172 (Food and accommodation)</t>
  </si>
  <si>
    <t>20IH0113-Repair/Maintenance of Area Equipment Service, MRS Building, Brgy. Macagtas, Catarman, Northern Samar</t>
  </si>
  <si>
    <t>fuel and lubricants</t>
  </si>
  <si>
    <t>PROCUREMENT OF SCHOOL AND OTHER SUPPLIES FOR SHS</t>
  </si>
  <si>
    <t>Procurement of Data file box and other office supplies and devices</t>
  </si>
  <si>
    <t>Supply &amp; Delivery of Office Supplies/Equipment for the 3rd Quarter CY 2020</t>
  </si>
  <si>
    <t>CNU Procurement for Tables with Drawer No.20-08-264</t>
  </si>
  <si>
    <t>CONSTRUCTION/REHABILITATION/IMPROVEMENT  OF  DRAINAGE  SYSTEM  AT  PUROK 4, 28th  IB,  CALARIAN ,</t>
  </si>
  <si>
    <t>20IH0114-Repair/Maintenance of DPWH Building –Warehouse # 4 Northern Samar First  District Engineering Office, Brgy. Lapu-Lapu, Catarman, N. Samar</t>
  </si>
  <si>
    <t>diesel</t>
  </si>
  <si>
    <t>Supply and Delivery of Materials for the Construction of Chili Consolidation Building</t>
  </si>
  <si>
    <t>CONSTRUCTION OF DRAINAGE CANAL @ PUROK TUGAS BARANGAY CADAWINONAN</t>
  </si>
  <si>
    <t>Supply and delivery of various commodities for the children beneficiaries of Supplementary Feeding Program of the Municipality of Bagulin, La Union</t>
  </si>
  <si>
    <t>20IH0116-Concreting of Poblacion to Sitio Nangca, Brgy. Tarnate FMR, San Vicente, Northern   Samar</t>
  </si>
  <si>
    <t>Preventive Maintenance of 144 KVA Generator Set of SSS Baguio (1 Lot)</t>
  </si>
  <si>
    <t>Procurement of closed system drug transfer device and other medical supplies</t>
  </si>
  <si>
    <t>20CB-GSC-537	PURCHASE OF MOTORCYCLES</t>
  </si>
  <si>
    <t>PURCHASE AND DELIVERY OF ONE (1) UNIT BRAND NEW MINI DUMPTRUCK (GARBAGE TRUCK) AT CABARROGUIS</t>
  </si>
  <si>
    <t>Supply &amp; Delivery of Various Construction Materials &amp; Supplies for the Repair &amp; Maintenance: Infrastructure Assets (Slope Protection) at Brgy. Alta Vista &amp; Other Barangays, Ormoc City, City Engineer's</t>
  </si>
  <si>
    <t>Acquisition of Sheep's</t>
  </si>
  <si>
    <t>Improvement of Barangay Plaza</t>
  </si>
  <si>
    <t>Purchase of Agricultural and Marine Supplies(GAD)</t>
  </si>
  <si>
    <t>20CSEB06: Sub-Surface/Soil Exploration for FY 2020 Construction of School Building Projects: Mapaya II ES, San Jose, Occidental Mindoro</t>
  </si>
  <si>
    <t>RFQ-NP-SVP-re242-2020-Procurement of   Furnitures and Fixtures for Balubal Campus.</t>
  </si>
  <si>
    <t>Procurement of Fabricated Office Equipment PR # 2020-06-19-206</t>
  </si>
  <si>
    <t>CONSTRUCTION/REHABILITATION/IMPROVEMENT  OF  DRAINAGE  SYSTEM  AT  PUROK 6A LOPEZ SUBDIVISION,  CALARIAN ,</t>
  </si>
  <si>
    <t>Visitation of NCIP Offices and IP communities for the Adopt a Community Approach on Food Security Program (meals and snacks)</t>
  </si>
  <si>
    <t>PURCHASE OF RICE FOR COMMUNITY ASSISTANCE DURING COVID-19 PANDEMIC, POB. SAWANG, LOBOC, BOHOL</t>
  </si>
  <si>
    <t>Procurement of Supply &amp; Delivery of uPVC Pipes, various fittings &amp; materials</t>
  </si>
  <si>
    <t>CONSTRUCTION OF DAY CARE CENTER AT BRGY. SALITRAN III, CITY OF DASMARIÑAS, CAVITE</t>
  </si>
  <si>
    <t>Contract ID No. 20GP00131 - Procurement of Ultrasonic Disinfection Machine for use of DPWH-CAR Regional Office and Twelve (12) District Engineering Offices</t>
  </si>
  <si>
    <t>PROCUREMENT AND DELIVERY OF BOAT WITH DIESEL ENGINE FOR MAASIN HIGH SCHOOL, BULALACAO DISTRICT</t>
  </si>
  <si>
    <t>Visitation of NCIP Offices and IP communities for the Adopt a Community Approach on Food Security Program (vehicle rental))</t>
  </si>
  <si>
    <t>20IH0115-Repair/Maintenance of DPWH Building – Power House Northern Samar First District Engineering Office, Brgy. Macagtas, Catarman, Northern Samar</t>
  </si>
  <si>
    <t>S/D of 75 pcs	Celox &amp; 1 other</t>
  </si>
  <si>
    <t>Procurement of Medical Ambulance for LGU Sablayan</t>
  </si>
  <si>
    <t>Procurement of Constructions Materials and Supplies</t>
  </si>
  <si>
    <t>Supply and Delivery of Other Supplies and Materials for 3RD Quarter Stock of Supply and Property Unit of PSHS-CLC</t>
  </si>
  <si>
    <t>Purchase of Relief Goods for the Affected Families During Pandemic</t>
  </si>
  <si>
    <t>Purchase of Multi-function Photocopier Laser Machine for DepEd Catmon District</t>
  </si>
  <si>
    <t>CONSTRUCTION OF LEGISLATIVE BUILDING AT CALONGAY, PILAR, SORSOGON</t>
  </si>
  <si>
    <t>UPLB-RES-041-09-20 PROCUREMENT OF GENOTYPING-BY-SEQUENCING (GBS) FOR IPB</t>
  </si>
  <si>
    <t>21CSGI0002 - CONSULTANCY SERVICES FOR THE CONDUCT OF GEOTECHNICAL SUBSURFACE EXPLORATION FOR PROPOSED FY 2021 VARIOUS BRIDGE PROJECTS  1. Widening of Bridge - Jalaur Br. Along Iloilo City-Leganes-Duma</t>
  </si>
  <si>
    <t>Tools for Small Engine Services After Training Support</t>
  </si>
  <si>
    <t>RFQ&gt;&gt;&gt; Reproduction of Modules | Manuel A. Roxas ES | ABC=P218,214.60</t>
  </si>
  <si>
    <t>Vehicle</t>
  </si>
  <si>
    <t>Procurement of ICT equipment and supplies for SGOD units (SMN, HRD &amp; DRRM)</t>
  </si>
  <si>
    <t>Procurement of Office Supplies, Equipment, ICT Related Equipment &amp; Peripherals and Learning Management System for Flexible Alternative Mode of  Teaching and Learning in MinSCAT</t>
  </si>
  <si>
    <t>Supply and Delivery of 35 units Non-Motorized Fiber Glass Boat with complete Accessories</t>
  </si>
  <si>
    <t>RFQ&gt;&gt;&gt; Construction Materials and Tools | Lucban ES | ABC=P136,925.00</t>
  </si>
  <si>
    <t>Health Essential Supplies for Schools against COVID-19</t>
  </si>
  <si>
    <t>Conduct of Medical Mission to AD Areas (3rd &amp; 4th Quarter)</t>
  </si>
  <si>
    <t>PUBLIC BIDDING / PR 19-11-1126 Re-Bid  / REHABILITATION/RESTORATION OF KALAYAAN HALL EXTERIOR</t>
  </si>
  <si>
    <t>Janitorial Services 2020 (3rd Rebid)</t>
  </si>
  <si>
    <t>Purchase of Materials for the Expansion of Pipe Lengths for Catmon Waterworks System</t>
  </si>
  <si>
    <t>Procurement of Vehicle- 4x4 Pick-Up</t>
  </si>
  <si>
    <t>Labor and Materials for the Repair of Covered Pathway damaged due to Typhoon Ursula- OMSC Murtha</t>
  </si>
  <si>
    <t>Purchase of Diesel Fuel</t>
  </si>
  <si>
    <t>Procurement of Powdered air purfying respirator</t>
  </si>
  <si>
    <t>Procurement of Forms  PR # 2020-07-29-302</t>
  </si>
  <si>
    <t>For Office use (Misamis Oriental PO</t>
  </si>
  <si>
    <t>S/D of 4 pcs	Cross Joint &amp; 44 others</t>
  </si>
  <si>
    <t>RFQ 2020-08-002 OFFICE EQUIPMENT SUPPLIES AND CONSUMABLES</t>
  </si>
  <si>
    <t>PROCUREMENT FOR MEDICAL SUPPLIES  P.R NO. 0796 SERIES 2020</t>
  </si>
  <si>
    <t>SUPPLIES AND DELIVERY OF GENERAL MERCHANDISE OF YDF, (FURNITURE AND FIXTURES AND IT EQUIPMENT)</t>
  </si>
  <si>
    <t>Procurement of advocacy materials and school supplies for Partnership Building and Linkages'</t>
  </si>
  <si>
    <t>RFQ&gt;&gt;&gt; Production of Learning Materials/Modules  | Lucban ES | ABC=P550,202.50</t>
  </si>
  <si>
    <t>Procurement of protective items for the schools and SDO</t>
  </si>
  <si>
    <t>PUBLIC BIDDING / PR 20-02-0073 Re-Bid   / VEHICLE RENTAL</t>
  </si>
  <si>
    <t>Messengerial and Driving Services 2020 (3rd Rebid)</t>
  </si>
  <si>
    <t>Procurement of Janitorial Supplies PR # 2020-07-29-305</t>
  </si>
  <si>
    <t>Supply, Delivery and Installation of Projector Screen and Mounting of Projectors</t>
  </si>
  <si>
    <t>PRINTING AND DELIVERY OF QUARTER 1 ADMS-SELF LEARNING MODULES FOR THE IMPLEMENTATION OF BE-LCP</t>
  </si>
  <si>
    <t>Procurement of Office Equipment PR # 2020-07-29-304</t>
  </si>
  <si>
    <t>for Landscaping</t>
  </si>
  <si>
    <t>Purchase of Rapid Test Kits</t>
  </si>
  <si>
    <t>Catering Services PR # 2020-08-05-314</t>
  </si>
  <si>
    <t>CONSTRUCTION OF BASKETBALL STAND @ PUROK 7, BACONG, LIGAO, CITY</t>
  </si>
  <si>
    <t>Supply &amp; Delivery of Uniform for UDRRM Council Members</t>
  </si>
  <si>
    <t>PROCUREMENT FOR OFFICE SUPPLIES P.R NO. 0803 SERIES 2020</t>
  </si>
  <si>
    <t>Installation of Streetlights, Libertador, Lauis, Poblacion Candelaria and Brgy. Balincaguing, San Felipe</t>
  </si>
  <si>
    <t>Supply &amp; Delivery of Multifunction Printer</t>
  </si>
  <si>
    <t>HIRING OF MOTOR LAUNCH INTENDED FOR MOBILIZATION OF CONSTRUCTION MATERIALS FOR CONSTRUCTION OF SANITARY TOILET WITH HYGIENE FACILITIES FOR PUBLIC PLACES BOUND TO PAG-ASA ISLAND</t>
  </si>
  <si>
    <t>Construction of Connecting Ramp and Tiling of Entrance Pavement of the New Medical Clinic Building</t>
  </si>
  <si>
    <t>Supply and delivery of calcified filling materials</t>
  </si>
  <si>
    <t>PROCUREMENT OF WHEEL LOADER</t>
  </si>
  <si>
    <t>Supply and Delivery of T-Shirt with Embroidered 102th Founding Anniversary Logo</t>
  </si>
  <si>
    <t>Supply and Delivery of Rapid Test Kits intended for MHO Use</t>
  </si>
  <si>
    <t>IMPROVEMENT OF MULTI-PURPOSE BUILDING (BRGY. STA. ROSA)</t>
  </si>
  <si>
    <t>CID No. 20GI0-06-091 - Purchase/delivery of consumables toner for the existing copier machines (FUJI) assigned at the Planning and Design Division, and Procurement Office, DPWH Regional Office VIII, B</t>
  </si>
  <si>
    <t>Procurement of Office Equipment PR # 2020-08-03-309</t>
  </si>
  <si>
    <t>Supply &amp; Delivery of Office Supplies &amp; Equipment for FMO</t>
  </si>
  <si>
    <t>HIV VIRAL LOAD EQUIPMENT REAGENT TIE-UP for CY 2021 (BAC-IB NO. 2020-35)</t>
  </si>
  <si>
    <t>Purchase of Supplies and Materials for Modular Modality for distance Learning</t>
  </si>
  <si>
    <t>Catering Services PR # 2020-08-05-316</t>
  </si>
  <si>
    <t>Procurement of 3 units  Hand Washing Facilities</t>
  </si>
  <si>
    <t>Supply and Delivery of Rice for Rice Subsidy Program (50:50 scheme) of this Municipality C.Y. 2020, Botolan, Zambales</t>
  </si>
  <si>
    <t>Purchase of IT Equipment for used at Budget Office</t>
  </si>
  <si>
    <t>Request for Quotation for PR Number 2020-07-089: Purchase of Field Uniform and Personal Protective Equipment</t>
  </si>
  <si>
    <t>SUPPLY AND DELIVERY OF CONSTRUCTION MATERIALS FOR THE FABRICATION OF MATERIAL RECOVERY FACILITIES</t>
  </si>
  <si>
    <t>Lot 1: One (1) Application of Polyurethane Foam on all BSP Buildings of BSP Cebu RO (see attached Scope of Work and Specifications)  Lot 2:  One (1) Lot Application of Polyurethane Foam Insulation at</t>
  </si>
  <si>
    <t>Purchase of Furniture and Fixtures for SP-BM Fernandez Office use</t>
  </si>
  <si>
    <t>Supply &amp; Delivery of Office Equipment for Research</t>
  </si>
  <si>
    <t>Supply &amp; Delivery of IT Equipment (Laptop) for Extension</t>
  </si>
  <si>
    <t>Supply and Delivery of 3 Grass Cutter intended for Grass cutting along Municipal Streets and Plaza</t>
  </si>
  <si>
    <t>SUPPLY AND DELIVERY OF TEXTBOOKS FOR PEDIATRICS USE P.R NO. 0804 SERIES 2020</t>
  </si>
  <si>
    <t>ROAD CONCRETING (BRGY. SAN JULIAN)</t>
  </si>
  <si>
    <t>Procurement of protective items for the schools and SDO (consumables)</t>
  </si>
  <si>
    <t>Request for Quotation for PR Number 2020-08-104: Purchase of Materials for the Repainting of I-Beam for Bridges. Daang Maharlika (S03784LZ); Daang Maharlika (S03789LZ); Talobatib-Jose Panganiban Pobla</t>
  </si>
  <si>
    <t>Office.Supply.06</t>
  </si>
  <si>
    <t>Procurement of Medical Supplies PR # 2020-08-03-309</t>
  </si>
  <si>
    <t>S/D of 5 Units	Scanner Sheet-Fed One Pass Duplex Colour Scanner At least 600 dpi Optical Resolution At least 6000 mm Document Length Supports 30 to 400 gsm Paper Weight At least 50 Sheets 80 gsm ADF C</t>
  </si>
  <si>
    <t>Supply and Delivery of Materials and Equipment for Rural Improvement Club, Lipote Production,Coco Jam Production,Sili Grower Association</t>
  </si>
  <si>
    <t>VENUE RENTAL FOR THE CONDUCT OF SEMINAR WORKSHOP FOR COMPREHENSIVE DEVELOPMENT PLAN CY 2019 - 2022</t>
  </si>
  <si>
    <t>PUBLIC BIDDING / PR 20-07-0417  / 18 AIR CONDITIONING UNITS</t>
  </si>
  <si>
    <t>Procurement of equipment to be use at different barangays</t>
  </si>
  <si>
    <t>Supply and Delivery of Office Equipment -CCTV</t>
  </si>
  <si>
    <t>Purchase of Wheelchair</t>
  </si>
  <si>
    <t>Office.Supply.07</t>
  </si>
  <si>
    <t>21CSGI0003 - CONSULATNCY SERVICES FOR THE CONDUCT OF GEOTECHNICAL SUBSURFACE EXPLORATION FOR PROPOSED FY 2021 VARIOUS FLOOD CONTROL PROJECTS  1.	Construction of Flood Mitigation Structure - Constructi</t>
  </si>
  <si>
    <t>ROAD CONCRETING (BRGY. SIGUIRAN)</t>
  </si>
  <si>
    <t>Procurement of Hardware Supplies PR # 2020-07-29-304</t>
  </si>
  <si>
    <t>Rehabilitation of Barangay Community Center</t>
  </si>
  <si>
    <t>Upgrading Of Barangay Multi-Purpose Hall</t>
  </si>
  <si>
    <t>Catering Services PR # 2020-06-25-216</t>
  </si>
  <si>
    <t>Supply and Delivery of Automatic Voltage Stabilizer Including Wiring Installation of Stabilizer, Control Box, and Submersible Pump for Ten (10) Barangays  (Angeles, Caglate, Bacong, Villa Victoria, Ba</t>
  </si>
  <si>
    <t>Supply and delivery of various hardware supplies and materials</t>
  </si>
  <si>
    <t>RFQ-NP-SVP-re357-2020-Procurement of  Furniture and Fixture for QAA.</t>
  </si>
  <si>
    <t>Purchase of Office Equipment for the use of SP- BM Vidad's Office</t>
  </si>
  <si>
    <t>2020 DTI-OTOP Next Gen Fabrication of Frame and Cover (Tent)</t>
  </si>
  <si>
    <t>Catering Services PR # 2020-08-05-315</t>
  </si>
  <si>
    <t>Purchase of Seven (7) Units Printer for the use of Provincial  Budget Office</t>
  </si>
  <si>
    <t>IPH-20-0687-B - PURCHASE OF LABORATORY SUPPLIES</t>
  </si>
  <si>
    <t>SUPPLIES AND MATERIALS USED IN CONDUCT OF TRAINING OF AUTOMOTIVE SERVICING NC I</t>
  </si>
  <si>
    <t>IPH-20-0715-B - PURCHASE OF DRUGS AND MEDICINES</t>
  </si>
  <si>
    <t>SUPPLY AND DELIVERY OF MATERIALS FOR THE REHABILITATION OF HOSPITAL GUTTER AND DOWN SPROUT</t>
  </si>
  <si>
    <t>Procurement of Electrical and Hardware Supplies for Spare Parts and for Installation of Fabricated Handwashing Bins - OMSC San Jose and Labangan</t>
  </si>
  <si>
    <t>PURCHASE OF 32 PCS UPVC RISER PIPE 4" DIAMETER X 3 METERS</t>
  </si>
  <si>
    <t>supply and delivery of construction materials for tigasao MP bldg</t>
  </si>
  <si>
    <t>Supply, Delivery &amp; Fabrication of Pigeon Boxes for JRMSU FLS</t>
  </si>
  <si>
    <t>Construction/Rehabilitation/Improvement of Multi-Purpose Building at Municipal Building Compound, Mabitac, Laguna</t>
  </si>
  <si>
    <t>Procurement of Raw Banana Fruit PR # 2020-08-10-326</t>
  </si>
  <si>
    <t>Dologon NHS Procurement of materials for the reproduction of modules</t>
  </si>
  <si>
    <t>SUPPLY AND DELIVERY OF CONSTRUCTION MATERIALS FOR THE CONSTRUCTION OF MULTI-PURPOSE HALL</t>
  </si>
  <si>
    <t>Maintenance and Other Operating Expenses (MOOE)</t>
  </si>
  <si>
    <t>Procurement of Drugs &amp; Biologics PR # 2020-08-06-321</t>
  </si>
  <si>
    <t>PROCUREMENT FOR OFFICE EQUIPMENT  P.R NO. 0808 SERIES 2020</t>
  </si>
  <si>
    <t>Negotiation Due to Two Failed Biddings for Supply, Delivery, Installation and Commissioning of Various Medical Equipment for PICU</t>
  </si>
  <si>
    <t>One (1) Lot Supply, Delivery and Installation of Additional Access Control System and Panic Buttons in the BSP Dumaguete Branch (see attached TOR/Scope of Work)</t>
  </si>
  <si>
    <t>Procurement of Cloth PR # 2020-08-10-327</t>
  </si>
  <si>
    <t>SUPPLY AND INSTALLATION OF 1 UNIT 3HP CEILING SUSPENDED INVERTER AIRCONDITIONING UNIT</t>
  </si>
  <si>
    <t>SUPPLY AND DELIVERY OF VARIOUS STORAGE INVENTORY RACKS (BAC-IB NO. 2020-36)</t>
  </si>
  <si>
    <t>IPH-20-0374-B - PURCHASE OF DRUGS AND MEDICINES</t>
  </si>
  <si>
    <t>PURCHASE OF PORTABLE RECHARGEABLE SPEAKER &amp; PURCHASE OF QR SCANNER AND PRINTERS</t>
  </si>
  <si>
    <t>Re-Bidding for Supply and Delivery of DOH-Eye Center Supplies</t>
  </si>
  <si>
    <t>Procurement and Delivery of Various Medicines for 3rd and 4th quarter year 2020</t>
  </si>
  <si>
    <t>Purchase of Vehicle PARTS and Repair</t>
  </si>
  <si>
    <t>REHABILITATION OF MULTIPURPOSE BUILDING</t>
  </si>
  <si>
    <t>Negotiation Due to Two Failed Biddings for Supply and Delivery of National Reference Laboratory Supplies - Gas</t>
  </si>
  <si>
    <t>Negotiation Due to Two Failed Biddings for Supply and Delivery of National Reference Laboratory Reagents</t>
  </si>
  <si>
    <t>Purchase of Rice for the 10th Cycle Supplementary Feeding Program in Baguio City and Abra</t>
  </si>
  <si>
    <t>Negotiation Due to Two Failed Biddings for Supply and Delivery of National Reference Laboratory Supplies - Standards (Must be provided with Certificate of Analysis)</t>
  </si>
  <si>
    <t>Bidding for Supply, Delivery, Installation and Commissioning of Various Medical Equipment for Dental Department</t>
  </si>
  <si>
    <t>Procurement of educational materials/equipment and gen. mdse.</t>
  </si>
  <si>
    <t>Supply and Delivery of 5,200 Heads Ducklings and (3) other items under Purchase Request No. 788-20</t>
  </si>
  <si>
    <t>Contract ID No.: 20GOE0033 - Capital Outlay – Regionwide/Nationwide – Others – Gender and Development (GAD) Integration Framework in Road Infrastructure Sector and Other Related Activites - Release of</t>
  </si>
  <si>
    <t>Negotiation Due to Two Failed Biddings for Supply and Delivery of National Reference Laboratory Supplies - Proficiency Test</t>
  </si>
  <si>
    <t>Negotiation Due to Two Failed Biddings for Supply and Delivery of National Reference Laboratory Supplies</t>
  </si>
  <si>
    <t>Lot 1: One (1) Unit Motor Vehicle for BSP Bacolod Branch, as per attached specifications  Lot 2: One (1) Unit Motor Vehicle for BSP Dumaguete Branch, as per attached specifications  Lot 3: One (1) Uni</t>
  </si>
  <si>
    <t>PROCUREMENT FOR OFFICE EQUIPMENT  P.R NO. 0807 SERIES 2020</t>
  </si>
  <si>
    <t>Bidding for Supply, Delivery, Installation and Commissioning of Various Medical Equipment – IV</t>
  </si>
  <si>
    <t>Negotiation Due to Two Failed Biddings for Supply and Delivery of National Reference Laboratory Calibration and Preventive Maintenance</t>
  </si>
  <si>
    <t>Bidding for Supply and Delivery of National Reference Laboratory Supplies II</t>
  </si>
  <si>
    <t>Supply and Delivery of 20 boxes Adhesive Plaster, HypoAllergenic, 1”, 10 yards, 12’s and (110) other items under Purchase Request No. 1024-20</t>
  </si>
  <si>
    <t>CONSTRUCTION OF MULTI PURPOSE HALL(PHASE III)</t>
  </si>
  <si>
    <t>Negotiation Due to Two Failed Biddings for Supply and Delivery of National Reference Laboratory Supplies - Accessories for AAS Varian and ICP-MS Agilent</t>
  </si>
  <si>
    <t>continuation of Barangay Road Constraction along Purok 2</t>
  </si>
  <si>
    <t>Supply and Delivery of 2 lbs EC medium broth (E.coli medium) anhydrous and (14) other items under Purchase Request No. 1052-20</t>
  </si>
  <si>
    <t>RE-BID Proposed Upgrading of Drainage System @ 16th St. Across Gordon Avenue, Barangay New Kalalake,  Olongapo City</t>
  </si>
  <si>
    <t>Purchase of 7 units Handheld radio.</t>
  </si>
  <si>
    <t>Office Supplies and Other Supplies and Materials</t>
  </si>
  <si>
    <t>PURCHASE OF 6 UNITS MACHINE (COPIER, PRINTER, SCANNER)</t>
  </si>
  <si>
    <t>Supply and Delivery of 3,000 Heads Ready to Lay and (3) other items under Purchase Request No. 787-20</t>
  </si>
  <si>
    <t>Purchase of Food Supplies for the 10th Cycle Supplementary Feeding Program in Abra, Benguet, Ifugao, Kalinga and Paracelis, Mt. Province</t>
  </si>
  <si>
    <t>Inspection and Cleaning of Wastewater Drainage Pipes at Taguig City – Phase 1</t>
  </si>
  <si>
    <t>RE-BID Repair of Classroom (Replacement of Roofing, Trusses, Celing Works and Painting Works) @ Sta. Rita High School, Barangay Sta. Rita, Olongapo City</t>
  </si>
  <si>
    <t>Supply and Delivery of Integrated Learning Management System Licenses and Services</t>
  </si>
  <si>
    <t>CONSTRUCTION OF COVERED ROOF EXTENSION FROM GYM TO STAGE</t>
  </si>
  <si>
    <t>INVITATION TO BID FOR THE Rebidding for the Procurement of Various Office Furnitures under the DOE Locally Funded Oil Industry Deregulation Program</t>
  </si>
  <si>
    <t>SUPPLY AND DELIVERY OF HARDWARE/ CONSTRUCTION MATERIALS (RE-BID)</t>
  </si>
  <si>
    <t>SUPPLY OF MATERIALS FOR THE EXTENSION OF MULTI-PURPOSE BLDG.</t>
  </si>
  <si>
    <t>Purchase of Ambulance</t>
  </si>
  <si>
    <t>SUPPLY AND DELIVERY OF TOILET BOWLS</t>
  </si>
  <si>
    <t>PURCHASE OF HOUSEKEEPING SUPPLIES FOR TWO MONTHS CONSUMPTION, GOOD FOR 120 PUMs AT THE QUARANTINE ISOLATION AREA FACILITY  IN SITIO TALAPTAP, CALUYA, ANTIQUE</t>
  </si>
  <si>
    <t>Supply and Delivery of Culture Bottles (200-220ml) under Purchase Request No. 1042-20</t>
  </si>
  <si>
    <t>Public Bidding of 4 Lots for the Supply and Delivery of Diesel and Motor Oil for the use of City Mayor’s Office, RCDRRMO, City Engineer’s Office and TATC under ITB No. 2020-020-A</t>
  </si>
  <si>
    <t>Supply &amp; Delivery of Office Equipment ABC:250,000.00</t>
  </si>
  <si>
    <t>Supply and Delivery of Dental Health Care Supplies for Kindergarten to Grade 6 Learners of Deped - SDO Toledo City</t>
  </si>
  <si>
    <t>CONSTRUCTION OF MULTI-PURPOSE BUILDING LOCATED AT CONSOLACION, AGOO, LA UNION</t>
  </si>
  <si>
    <t>Supply, Delivery, Testing and Commissioning of Industrial Wall Fans</t>
  </si>
  <si>
    <t>Negotiation Due to Two Failed Biddings for Supply and Delivery of National Reference Laboratory Supplies - Certified Reference Materials (Must be provided with Certificate of Analysis)</t>
  </si>
  <si>
    <t>Supply and Delivery of I.T. Equipment</t>
  </si>
  <si>
    <t>CONSTRUCTION OF MULTI-PURPOSE BUILDING LOCATED AT SAN ISIDRO, AGOO, LA UNION</t>
  </si>
  <si>
    <t>CONSTRUCTION OF MULTI-PURPOSE BUILDING LOCATED AT SAN VICENTE NORTE, AGOO, LA UNION</t>
  </si>
  <si>
    <t>Engagement of Consulting Services for 2020 NHMFC Customer Satisfaction Survey</t>
  </si>
  <si>
    <t>Procurement of office supplies, fire extinguisher, nebulizer, glucometer and gen mdse.</t>
  </si>
  <si>
    <t>Public Bidding for the Supply and Delivery of Panel Blinds for the use of City Planning and Development Office under ITB No. 2020-024</t>
  </si>
  <si>
    <t>REPAIR OF PATHWAY</t>
  </si>
  <si>
    <t>Improvement of Barangay Road Purok 2-3, Barangay Leonardo</t>
  </si>
  <si>
    <t>Completion of 6th St. Shed (Including Comfort Rooms) Barangay New Asinan, Olongapo City</t>
  </si>
  <si>
    <t>AB BDF 2020 PROEJCT-CLEAN AND BEAUTIFICATION,SUPPLIES,DEVICES AND GENERAL MERCHANDISE</t>
  </si>
  <si>
    <t>ITB No. DSWD7-PB-2020-29 - Provision of Trucking and Hauling Services of Visayas Disaster Resource Center (VDRC)</t>
  </si>
  <si>
    <t>AB BDF AND RRMF 2020 PROJECT, PURCHASE OF CCTV CAMERA, SUPPLIES, DEVICES AND GENERAL MERCHANDISE</t>
  </si>
  <si>
    <t>Materials for Desktop Computer and Printer</t>
  </si>
  <si>
    <t>Rebidding for the Supply and Delivery of Customized Movable Waste Collection Facility with Plastic Bins/Containers)</t>
  </si>
  <si>
    <t>One (1) Lot BSP Regional Wide Area Network (RWAN) Enhancement 2020 Project, as per BSP Terms of Reference</t>
  </si>
  <si>
    <t>Supply, Delivery, Installation and Testing of One (1) Unit Vault Door Mechanism for the Main Vault Door of San Fernando Pampanga Branch</t>
  </si>
  <si>
    <t>Procurement of Materials for Solar Powered Street Lights</t>
  </si>
  <si>
    <t>Public Bidding for the Supply and Delivery of Food Stuff for City Social Welfare and Development Office – PSP Crisis Center under ITB No. 2020-025</t>
  </si>
  <si>
    <t>PROCUREMENT OF MATERIALS FOR PROPOSED ROAD CONCRETING AT BARANGAY ALEGRIA</t>
  </si>
  <si>
    <t>Construction of Municipal Green Bldg 2 Phase 3</t>
  </si>
  <si>
    <t>ITB No. DSWD7-PB-2020-30 - Supply and Delivery of Office Supplies</t>
  </si>
  <si>
    <t>SPLIT TYPE AIR CONDITIONED</t>
  </si>
  <si>
    <t>IMPROVEMENT OF LEVEL lll WATER SYSTEM @ BRGY. GABUT</t>
  </si>
  <si>
    <t>ROAD CONCRETING, BRGY. BAMBANABA TO BRGY. SANTA CRUZ</t>
  </si>
  <si>
    <t>ROAD CONCRETING, BARANGAY NAGCURALAN</t>
  </si>
  <si>
    <t>20BG0049-Local Infrastructure Program - Buildings and Other Structures – Multipurpose/Facilities - Construction (Completion) of Multi-Purpose Building, Brgy. Bagong Sikat, Naguilian, Isabela</t>
  </si>
  <si>
    <t>INVITATION TO BID FOR UPGRADING OF AKLE WATER SYSTEM</t>
  </si>
  <si>
    <t>MG-PLM20-088 - SUPPLY OF MATERIALS, TOOLS, EQUIPMENT, LABOR AND INCLUDING TECHNICAL EXPERTISE FOR THE RESTORATION TO NORMAL OPERATING CONDITION OF 20 TR CENTRALIZED AIR CONDITION UNIT (RE-BID)</t>
  </si>
  <si>
    <t>Barangay 20 Clean and Beautification Materials</t>
  </si>
  <si>
    <t>LOT 3 - Reproduction and Delivery of Self-Learning Modules in Music,  Arts, Physical Education, and Health for Grade 2 to Grade 8 for DepEd - SDO Toledo City</t>
  </si>
  <si>
    <t>CONSTRUCTION OF MULTI-PURPOSE FACILITY at San Agustin ES, Guimba, Nueva Ecija  (RE-BID)</t>
  </si>
  <si>
    <t>LOT 2 - Reproduction and Delivery of Self-Learning Modules in Science, Araling Panlipunan and Math for Grades 2 to Senior High School for DepEd - SDO Toledo City</t>
  </si>
  <si>
    <t>INVITATION TO BID FOR REHABILITATION OF STREETLIGHTS ALONG ANTONIO LUNA HIGHWAY AND BRGY. ARAW AT BITUIN TO OMSC</t>
  </si>
  <si>
    <t>LOT 1 - Reproduction and Delivery of Self-Learning Modules in English, Filipino and Edukasyon Sa Pagpapakatao for Grades 2 to Senior High School for DepEd - SDO Toledo City</t>
  </si>
  <si>
    <t>CONSTRUCTION OF MULTI-PURPOSE HALL (GYM) AT BARANGAY PANDAITAN, PAQUIBATO DISTRICT, DAVAO CITY</t>
  </si>
  <si>
    <t>Procurement of IT Equipment, School supplies, Food stuff and gen. mdse.</t>
  </si>
  <si>
    <t>SUPPLY AND DELIVERY OF MEDICAL SUPPLIES FOR PROVINCIAL HEALTH OFFICE</t>
  </si>
  <si>
    <t>PROCUREMENT OF MATERIALS FOR THE IMPROVEMENT OF ALEGRIA WATER SYSTEM</t>
  </si>
  <si>
    <t>Supply, Delivery and Testing of One (1) Unit Heavy Duty Paper Shredder for DBP Guagua Branch</t>
  </si>
  <si>
    <t>Concreting of Brgy. New Rizal - Brgy. New Janiuay - Brgy. Buayan FMR, Brgy. New Rizal and Brgy. New Janiuay and Brgy. Buayan, M’lang, North Cotabato</t>
  </si>
  <si>
    <t>Barangay 20 Office Supplies</t>
  </si>
  <si>
    <t>INVITATION TO BID FOR REHABILITATION AND UPGRADING OF TILIK WATER SYSTEM</t>
  </si>
  <si>
    <t>INSTALLATION OF CCTV WIRELESS SET</t>
  </si>
  <si>
    <t>INVITATION TO BID FOR CONSTRUCTION OF SOLAR-POWERED POTABLE WATER SYSTEM</t>
  </si>
  <si>
    <t>SUPPLY AND DELIVERY OF DRUGS AND MEDICINES FOR  PROVINCIAL HEALTH OFFICE</t>
  </si>
  <si>
    <t>Barangay 20 Peace and Order</t>
  </si>
  <si>
    <t>SUPPLY AND DELIVERY OF PRINTING SUPPLIES AND EQUIPMENTS  FOR REPRODUCTION OF LEARNING MATERIALS FOR THE IMPLEMENTATION OF LEARNING CONTINUITY PLAN (LCP)</t>
  </si>
  <si>
    <t>INVITATION TO BID FOR CONSTRUCTION OF KAWAYAN-MASAGA FMR PHASE I</t>
  </si>
  <si>
    <t>20CSGH02 - Soil Test (Sub – Soil Exploration) for the proposed River Control and Road Slip projects - a.) Construction of Barotac Viejo River Control, Brgy. Poblacion Ilawod and Brgy. Natividad, Barot</t>
  </si>
  <si>
    <t>PROCUREMENT OF PHARMCEUTICALS (2) ITB No. 2020-32</t>
  </si>
  <si>
    <t>CY 2020 BASIC EDUCATION FACILITIES FUND - ELECTRIFICATION OF UN-ENERGIZED SCHOOLS AND MODERNIZATION OF ELECTRICAL SYSTEMS ON-GRID SCHOOLS-BATCH 2</t>
  </si>
  <si>
    <t>3627-20 Concreting of Farm To Market Road with Line Canal at Sitio Malapia and Sitio Malaking Arado, Brgy. Samil, Lucban, Quezon - PEO</t>
  </si>
  <si>
    <t>IMPROVEMENT OF ELECTRICAL FACILITIES - MAINIT CAMPUS</t>
  </si>
  <si>
    <t>3628-20 Construction of Slope Protection, Brgy. Mamala I, Sariaya, Quezon - PEO</t>
  </si>
  <si>
    <t>PURCHASE OF WATER METERS AND FITTINGS &amp; MAINTENANCE OF WATERWORKS SYSTEM</t>
  </si>
  <si>
    <t>INSTALLATION OF CCTV CAMERA</t>
  </si>
  <si>
    <t>PROCUREMENT OF EQUIPMENT, REAGENTS AND KITS FOR COVID-19 TESTING</t>
  </si>
  <si>
    <t>EXTENSION OF 620 METERS TRANSMISSION PIPELINE TO BE LAID FROM IMBANG BRIDGE TO BACOLOD-SILAY AIRPORT ACCESS ROAD (BSAAR) CORNER SILAY-PATAG ROAD, BRGY. E. LOPEZ, SILAY CITY</t>
  </si>
  <si>
    <t>SUPPLY AND DELIVERY OF PAINTS FOR DIFFERENT BARANGAYS OF NUEVA ECIJA</t>
  </si>
  <si>
    <t>PURCHASE OF 5 UNITS MOTORCYCLE FOR LGU</t>
  </si>
  <si>
    <t>MATERIALS USE FOR MAINTENANCE OF DISASTER VEHICLES</t>
  </si>
  <si>
    <t>3608-20 Construction of Multi-Purpose Building (Phase 1), Purok Matahimik, Mayao Castillo, Lucena City - PEO</t>
  </si>
  <si>
    <t>GOV-20-0377-B/ PRINTING SERVICES FOR CITIZEN'S CHARTER BOOKLETS</t>
  </si>
  <si>
    <t>PROCUREMENT OF FUEL,OIL AND LUBRICANTS FOR MDRRMO</t>
  </si>
  <si>
    <t>REPAIR OF ROOFDECK LEAKAGES OF NFA REGIONAL AND PROVINCIAL OFFICE BLDG. AND PROVISION OF  3RD FLOOR ROOFING/REGIONAL OFFICE LAB. THROUGH DESIGN AND BUILD</t>
  </si>
  <si>
    <t>19CSF009 - Parcellary Surveys and Land Titling of National Roads and Bridges and Other Facilities</t>
  </si>
  <si>
    <t>SUPPLIES AND DELIVEY OF CONSTRUCTION OF SPILL WAY</t>
  </si>
  <si>
    <t>PROCUREMENT OF DROPSIDE TRUCK FOR MARKET OFFICE</t>
  </si>
  <si>
    <t>SUPPLY AND DELIVERY OF GOODS AND SERVICES FOR THE INSTALLITION OF SOLAR STREET LIGHT PHASE 1</t>
  </si>
  <si>
    <t>Contract ID No. 19K00474 - Construction of Kibawe-Arakan Road, Bukidnon</t>
  </si>
  <si>
    <t>Contract ID No. 19K00473 - Construction of Malaybalay Circumferential Road, Bukidnon</t>
  </si>
  <si>
    <t>Construction Of Local Road at Barangay Poblacion Diplahan ZSP</t>
  </si>
  <si>
    <t>Installation of street light at Poblacion Diplahan ZSP</t>
  </si>
  <si>
    <t>20CSF002 (Re-advertisement) – Conduct of Feasibility Studies/Preliminary &amp; Detailed Engineering/Economic Analysis/Technical Studies/Traffic Impact Assessment for Daet-Roy Padilla Highway-Jct. Rolando</t>
  </si>
  <si>
    <t>Purchase of Medicines &amp; Medical Supplies for MHO 3rd Quarter</t>
  </si>
  <si>
    <t>Purchase of Spare Parts for Repair &amp; Maintenance of Heavy Equipment (Re-bid)</t>
  </si>
  <si>
    <t>Renovation of Administration Building</t>
  </si>
  <si>
    <t>CY 2020 BASIC EDUCATIONAL FACILITIES FUNDS (BEFF) - REPAIR OF CLASSROOMS BATCH 2</t>
  </si>
  <si>
    <t>Desktop Processor etc. (08-0882) DepEd Dipolog</t>
  </si>
  <si>
    <t>Other Machinery &amp; Equipment ( Waste Management Equipment)</t>
  </si>
  <si>
    <t>LABOR AND MATERIALS FOR THE REPAIR OF CANTEEN BUILDING (DAMAGED BY TYPHOON TISOY) AT CASTILLA CAMPUS</t>
  </si>
  <si>
    <t>LABOR AND MATERIALS FOR THE REPAIR OF AUTOMOTIVE BUILDING (DAMAGED BY TYPHOON TISOY) AT SORSOGON CITY CAMPUS</t>
  </si>
  <si>
    <t>Provision of Additional Comfort Rooms and Upgrading of Electrical System @ Pier 1 Passenger Terminal, Cebu Baseport</t>
  </si>
  <si>
    <t>Road Asphalting (Phase 2) located @ Bliss, Ibabao, Cordova, Cebu</t>
  </si>
  <si>
    <t>LABOR AND MATERIALS FOR THE REPAIR OF COLLEGE BUILDING (DAMAGED BY TYPHOON TISOY) AT SORSOGON CITY CAMPUS</t>
  </si>
  <si>
    <t>Jetmatic Pump etc. (08-0842) Hon. Baron</t>
  </si>
  <si>
    <t>Computer Ribbon Refill etc. (08-0888) CTO</t>
  </si>
  <si>
    <t>Construction of Pier 5 @ Berth 14, Cebu Baseport</t>
  </si>
  <si>
    <t>Portland Cement etc.  (07-0774) CEO</t>
  </si>
  <si>
    <t>Purchase of Fuel for RHU</t>
  </si>
  <si>
    <t>1 unit Computer Set (07-0822) City Admin.</t>
  </si>
  <si>
    <t>PROCUREMENT OF MATERIALS FOR NUTRITION PROGRAM</t>
  </si>
  <si>
    <t>Installation of Solar Streetlights at San Roque St., Sapa 3, Rosario, Cavite</t>
  </si>
  <si>
    <t>Road Concreting located @ Bangbang to San Migeul, Cordova, Cebu</t>
  </si>
  <si>
    <t>Road Concreting located @ Kasadya to Gaisano Road, Poblacion, Cordova, Cebu</t>
  </si>
  <si>
    <t>SW-1008-2020-0122</t>
  </si>
  <si>
    <t>LABOR AND MATERIALS FOR THE REPAIR OF STUDENT SERVICES BUILDING (DAMAGED BY TYPHOON TISOY) AT SORSOGON CITY CAMPUS</t>
  </si>
  <si>
    <t>Procurement of ICT Equipment for the Local School Board</t>
  </si>
  <si>
    <t>Supply and Delivery of Electrical and Other Supplies for the Ospital ng Parañaque I</t>
  </si>
  <si>
    <t>Procurement of Hospital Supplies for the Ospital ng Parañaque I</t>
  </si>
  <si>
    <t>Supply and Delivery of 230 Pcs. Raincoats and 1 Other Items;PR. No. 20-1679;Dated June 30, 2020</t>
  </si>
  <si>
    <t>Tile Works etc. (08-0898) CMO</t>
  </si>
  <si>
    <t>Construction of Siquijor Provincial AA Abattoir</t>
  </si>
  <si>
    <t>Procurement of Emergency Tents for the Disaster Risk Reduction Management Office</t>
  </si>
  <si>
    <t>Road Concreting located @ Camolinas, Poblacion, Cordova, Cebu</t>
  </si>
  <si>
    <t>Procurement of Meals for the CSWDO’s Bahay Aruga</t>
  </si>
  <si>
    <t>Other Machinery &amp; Equipment</t>
  </si>
  <si>
    <t>Procurement of Consultancy Services for Project Management and Quantity Surveyor</t>
  </si>
  <si>
    <t>Supply and Delivery of Office Equipment’s, Supplies and Consumables</t>
  </si>
  <si>
    <t>Procurement of Various Medical Supplies-08-122(Q)ZNMC</t>
  </si>
  <si>
    <t>G-2020-544 Supply and Delivery of Printers, City Schools Division</t>
  </si>
  <si>
    <t>BREEDING AND NURSERY HOUSE LOT 1 and LOT 2 Rebid</t>
  </si>
  <si>
    <t>Procurement of Office Supplies for the Office of the City Treasurer</t>
  </si>
  <si>
    <t>G-2020-497 Supply and Delivery of Food Commodities, Gender and Development</t>
  </si>
  <si>
    <t>ADH-20-0958-B PURCHASE OF MEDICAL EQUIPMENT</t>
  </si>
  <si>
    <t>G-2020-488 Supply and Delivery of Fertilizer, City Agricultural Services Department</t>
  </si>
  <si>
    <t>Procurement of Office Supplies for the Local School Board</t>
  </si>
  <si>
    <t>Supply &amp; Delivery of Vitamins for Students, DepEd-Buenavista District, Buenavista, Quezon</t>
  </si>
  <si>
    <t>Supply &amp; Delivery of Laboratory Supplies, Municipal Health Office, Buenavista, Quezon</t>
  </si>
  <si>
    <t>Supply &amp; Delivery of Office Supplies, LGU-Buenavista, Quezon</t>
  </si>
  <si>
    <t>G-2020-535 Supply and Delivery of Sticker, City Treasury Management Office</t>
  </si>
  <si>
    <t>Proposed Replacement of Covered Court Roofings Located at Landscape, Brgy. Marcelo Green</t>
  </si>
  <si>
    <t>Proposed Renovation and Additional Second Floor of Cubic Day Care Center,Brgy. Merville</t>
  </si>
  <si>
    <t>Proposed Installation of Thirty Five (35) Units Solar Lamppost at Brgy., Marcelo Green</t>
  </si>
  <si>
    <t>G-2020-534 Supply and Delivery of Backfilling Materials, City Engineering and Infrastructure Development Department</t>
  </si>
  <si>
    <t>Proposed Renovation and Additional Second Floor of Sitio Malaya Day Care Center,Brgy. Merville</t>
  </si>
  <si>
    <t>G-2020-541 Supply and Delivery of Printer Ink, City Schools Division</t>
  </si>
  <si>
    <t>Seedling for Beautification &amp; Landscaping</t>
  </si>
  <si>
    <t>Procurement of Customized Bicycle for the Office of the Mayor</t>
  </si>
  <si>
    <t>Proposed Repair and Improvement of Multi-Purpose Hall Located at Teoville 3, Brgy. B.F.</t>
  </si>
  <si>
    <t>S &amp; D of Materials - Installation of Water Supply Pipelines to Batanes Resort (PEO)</t>
  </si>
  <si>
    <t>20GF00003 - Purchase of 6 lots Road Sensors and 5 sets of ATC Machines assigned at PDD, (PR No. 20-06-125 dated 6/15/2020), DPWH Regional Office No. V, Rawis, Legazpi City</t>
  </si>
  <si>
    <t>S &amp; D of IT Equipment (PTO)</t>
  </si>
  <si>
    <t>Engagement of Mailing Service of PRO IVA for CY 2020</t>
  </si>
  <si>
    <t>COMMUNICATION EQUIPMENT</t>
  </si>
  <si>
    <t>Improvement of Multi-purpose Hall at Parada-Batu</t>
  </si>
  <si>
    <t>CONCRETING OF BARANGAY ROAD AT BRGY. CALANUTAN, ROSALES, PANG.</t>
  </si>
  <si>
    <t>SUPPL AND DELIVERY OF DRUGS &amp; MEDICINES</t>
  </si>
  <si>
    <t>Installation of Surveillance Cameras</t>
  </si>
  <si>
    <t>Supply and Delivery of Penetration Asphalt (85/100) and Repainting of Concrete Pavements including Guardrails along Various National Roads within BFDEO</t>
  </si>
  <si>
    <t>I-2020-021 Construction of Barangay Hall, Barangay I</t>
  </si>
  <si>
    <t>G-2020-516 Supply and Delivery of Furniture &amp; Fixture, City Schools Division</t>
  </si>
  <si>
    <t>G-2020-543 Supply and Delivery of Office Equipments, City Schools Division</t>
  </si>
  <si>
    <t>Fuel, Oil &amp; Lubricants</t>
  </si>
  <si>
    <t>Supply, Delivery and Installation of  Brand New Air-conditioners</t>
  </si>
  <si>
    <t>Supply &amp; Delivery of Information &amp; Technology (IT) Equipment, LGU-Buenavista, Quezon</t>
  </si>
  <si>
    <t>PURCHASE OF MDRRMO RESCUE VEHICLE (LGU-JPCN)</t>
  </si>
  <si>
    <t>G-2020-517 Supply and Installation of CCTV, City Planning and Development Office</t>
  </si>
  <si>
    <t>Construction of Los Angeles Concrete Fence</t>
  </si>
  <si>
    <t>Procurement of One (1) Lot Supply of Labor and Materials for the Proposed Repair/Rehabilitation of Comfort Rooms at Quezon City Central Post Office (Re-bidding)</t>
  </si>
  <si>
    <t>Dog Soap etc.(07-0829) CMO</t>
  </si>
  <si>
    <t>Construction of 1 storey - 2 classroom School Building</t>
  </si>
  <si>
    <t>Procurement of One (1) Lot Supply of Labor and Materials for the Proposed Repair/Rehabilitation of Old Property Building (Re-bidding)</t>
  </si>
  <si>
    <t>Construction of Vegetable Trading Center</t>
  </si>
  <si>
    <t>(2020-023-II) - Construction of  Goat House</t>
  </si>
  <si>
    <t>S &amp; D of Vegetable Seeds (P. Agri)</t>
  </si>
  <si>
    <t>S &amp; D of Two (2) Units Horizontal Steel Water Storage (P. Agri.)</t>
  </si>
  <si>
    <t>Procurement of Construction of Line Canal at Panaytayan Dumpsite</t>
  </si>
  <si>
    <t>Procurement of Construction Materials &amp; Supplies for the Construction of Slope Protection</t>
  </si>
  <si>
    <t>G-2020-542 Supply and Delivery of Printing Supplies, City Schools Division</t>
  </si>
  <si>
    <t>EXPLORATORY WELL AT SETIO GUSA PUMPING STATION, TALISAY CITY</t>
  </si>
  <si>
    <t>Procurement of Tires for the Repair and Maintenance of Transportation Equipment</t>
  </si>
  <si>
    <t>Expansion and Maintenance of Motorpool Area</t>
  </si>
  <si>
    <t>Proposed Repair and Rehabilitation of Fourth Estate Elementary School – BF Extension, Brgy., B.F.</t>
  </si>
  <si>
    <t>G-2020-545 Supply and Installation of Partition and Office Chair, City College of Calamba</t>
  </si>
  <si>
    <t>Proposed Asphalt Overlay and Selective Patching of Various Road</t>
  </si>
  <si>
    <t>Procurement of Internet Service Provider for the Public Elementary and Secondary Schools of Parañaque City</t>
  </si>
  <si>
    <t>Purchase of diesel &amp; gasoline for the implementation of various municipal projects &amp; activities</t>
  </si>
  <si>
    <t>Procurement of Diesel Fuel-08-468(A)PGO</t>
  </si>
  <si>
    <t>Installation of RC Pipes Culverts at Brgy. Digumased, Dinapigue, Isabela</t>
  </si>
  <si>
    <t>MEDICAL SUPPLIES-JCH-20-0230-B(RE-BID2)</t>
  </si>
  <si>
    <t>Elevated Water Tank etc. (07-0819) CGSO</t>
  </si>
  <si>
    <t>Procurement of Construction Supplies-08-535(O)PEO</t>
  </si>
  <si>
    <t>MEDICAL SUPPLIES-JCH-20-0690-B</t>
  </si>
  <si>
    <t>Proposed Renovation and Additional Second Floor of All Top Day Care Center,Brgy. Merville</t>
  </si>
  <si>
    <t>Procurement of Electrical System and Lighting Components-07-468(O)PEO</t>
  </si>
  <si>
    <t>32 Inches FlatScreen Led TV etc. (08-0859) CIO</t>
  </si>
  <si>
    <t>Rep. &amp; Maint. of Vehicle</t>
  </si>
  <si>
    <t>Proposed Replacement of Covered Court Roofings Located at Sampaguita Hills, Brgy. Marcelo Green</t>
  </si>
  <si>
    <t>LABORATORY REAGENTS-JCH-20-0174-B(RE-BID2)</t>
  </si>
  <si>
    <t>Rehabilitation of Level I / Jet Matic Pump, Altavas, Aklan</t>
  </si>
  <si>
    <t>Contract for Building Improvement (Construction of Hallway of Legislative Office)</t>
  </si>
  <si>
    <t>Generator Set</t>
  </si>
  <si>
    <t>DELIVERY/SUPPLY FOR THE IMPROVEMENT OF MULTI-PURPOSE HALL, DISTRICT 2, DAUIN. (RE-BID)</t>
  </si>
  <si>
    <t>S &amp; D of Office and Other Supplies (PGB-GAD)</t>
  </si>
  <si>
    <t>Procurement of Services - Fiber Internet Connection@50Mbps</t>
  </si>
  <si>
    <t>S &amp; D of Office Equipment (P. Acctg)</t>
  </si>
  <si>
    <t>Public Bidding of Two (2) Well Drilling Projects at Can-asujan, Carcar City, Cebu</t>
  </si>
  <si>
    <t>MEDICAL SUPPLIES-RTH-20-0181-B(RE-BID2)</t>
  </si>
  <si>
    <t>Construction of Masonry Drainage Structure Going Aquino St., Annafunan West, Tuguegarao City</t>
  </si>
  <si>
    <t>MEDICAL SUPPLIES-RTH-20-0177-B(RE-BID2)</t>
  </si>
  <si>
    <t>MEDICAL SUPPLIES-RTH-20-0180-B(RE-BID2)</t>
  </si>
  <si>
    <t>S &amp; D of Construction Materials for the Upgrading/Concreting of Kaumbakan-Tukon Provincial Road, PI &amp; PII (PEO)</t>
  </si>
  <si>
    <t>PROCUREMENT OF WHEEL TYPE BACKHOE WITH ADDITIONAL BREAKER (WITH BREAKER LINE, 6 TONS BREAKER ASSEMBLY, AND 20 TONS BREAKER ASSEMBLY).</t>
  </si>
  <si>
    <t>Procurement of Services for Printing and Delivery of Definitive Stamps “Philippine Shells/Flowers” and PHLPost Mailing Center Stamps</t>
  </si>
  <si>
    <t>Proposed Repair, Rehabilitation and Improvement of Sidewalk along the Heritage Zone, Rizal Ave., San Pablo City.</t>
  </si>
  <si>
    <t>REHABILITATION OF LINE CANAL ALONG BURGOS ST, MARZAN ST, MORIONES ST, &amp; BONIFACIO ST., CENTRO 02, SANCHEZ MIRA, CAGAYAN</t>
  </si>
  <si>
    <t>DRUGS AND MEDICINES-RTH-20-0214-B(RE-BID)</t>
  </si>
  <si>
    <t>DRUGS AND MEDICINES-RTH-20-0709-B</t>
  </si>
  <si>
    <t>Photographic Equipment (Camera)</t>
  </si>
  <si>
    <t>CONSTRUCTION/EXPANSION OF MAGSAYSAY STREET, BRGY. LADGARON</t>
  </si>
  <si>
    <t>Procurement of 252,000 Liters Unleaded Gasoline, 210,000 Liters Diesel and 1 Lot Oil and Lubricants</t>
  </si>
  <si>
    <t>DRUGS AND MEDICINES-RTH-20-0371-B</t>
  </si>
  <si>
    <t>Supply and Delivery of 3300 boxes Sodium Ascorbate Fortified with Zinc Capsule</t>
  </si>
  <si>
    <t>CONSTRUCTION OF HAND WASHING AREAS IN SCHOOL</t>
  </si>
  <si>
    <t>Purchase of 1 unit Double Door Vehicle</t>
  </si>
  <si>
    <t>INSTALLATION OF FIBER OPTIC CCTV SURVEILLANCE CAMERA</t>
  </si>
  <si>
    <t>CONSTRUCTION AND IMPROVEMENT OF DRAINAGE CANAL IN ALL BARANGAY</t>
  </si>
  <si>
    <t>KABUJUAN ISLET DEVELOPMENT PROJECT</t>
  </si>
  <si>
    <t>IMPROVEMENT OF  MUNICIPAL HALL BUILDING</t>
  </si>
  <si>
    <t>Rehabilitation/Repair of COA Office and Construction of 2-Storey Storage Building(PR No.20-03-0188)</t>
  </si>
  <si>
    <t>Purchase of Construction materials for the REPAIR OF PBCC FARM DEMO SHED AT ADTUYON, PANGANTUCAN BUKIDNON</t>
  </si>
  <si>
    <t>DRUGS AND MEDICINES-RTH-20-0369-B</t>
  </si>
  <si>
    <t>Invitation to Bid for the Procurement of ICT Equipment Under 2020 MITHI Program</t>
  </si>
  <si>
    <t>Improvement/Rehabilitation of Head Tipan-Newland Road</t>
  </si>
  <si>
    <t>Purchase of Materials &amp; Facilities for SK Basketball court project</t>
  </si>
  <si>
    <t>Proposed Renovation of City Civil Registry Office (City Hall Compound); SN 190 - 2020</t>
  </si>
  <si>
    <t>Construction of ILU' CIS</t>
  </si>
  <si>
    <t>2nd Quarter Office Supplies and Equipment</t>
  </si>
  <si>
    <t>Procurement of Various Appliance</t>
  </si>
  <si>
    <t>Supply and Delivery of Various Office Supplies &amp; Office Equipment's for DepEd Culasi, Antique</t>
  </si>
  <si>
    <t>Enclosure of Cansusi Warehouse (DSWMP Facility)</t>
  </si>
  <si>
    <t>Alternator Assy. etc. (08-0833) Operation of Public Motorpool</t>
  </si>
  <si>
    <t>Procurement of  DSLR Camera</t>
  </si>
  <si>
    <t>CONSTRUCTION OF WATER WORKS SYSTEM PUROK 6, HILLTOP</t>
  </si>
  <si>
    <t>20GII0011 Procurement of Personal Protective Equipment and Accessories</t>
  </si>
  <si>
    <t>PROCUREMENT OF FUEL AND OIL</t>
  </si>
  <si>
    <t>LABORATORY SUPPLIES-RTH-20-0974-B</t>
  </si>
  <si>
    <t>DRUGS AND MEDICINES-RTH-20-0368-B</t>
  </si>
  <si>
    <t>delivery of school and office supplies for the second quarter (april-june 2020)</t>
  </si>
  <si>
    <t>IMPROVEMENT OF DAYCARE CENTER (De La Paz)</t>
  </si>
  <si>
    <t>EXPANSION/INSTALLATION OF STREETLIGHTS</t>
  </si>
  <si>
    <t>CONSTRUCTION OF WATER WORKS SYSTEM PHASE I, SAN PEDRO</t>
  </si>
  <si>
    <t>PR-2020-05-115 CLA Supply, Delivery &amp; Installation of Air-conditioning Equipment for the Laboratory Rooms &amp; Offices</t>
  </si>
  <si>
    <t>Repair and Maintenance of Office Building</t>
  </si>
  <si>
    <t>PROCUREMENT OF TOTAL STATION SURVEY EQUIPMENT AND VARIOUS EQUIPMENTS FOR PLANNING OFFICE</t>
  </si>
  <si>
    <t>Maintenance and Other Operating Expenses ( MOOE)</t>
  </si>
  <si>
    <t>PURCHASE OF DIESEL AND GASOLINE</t>
  </si>
  <si>
    <t>IMPROVEMENT OF DRAINAGE CANAL,, A. CANAO</t>
  </si>
  <si>
    <t>2 Lots - Primary and Secondary Internet Access Service (IAS) for BSP – Head Office and BSP – Security Plant Complex as per BSP Terms of Reference and Service Level Agreement</t>
  </si>
  <si>
    <t>2nd RE-BIDIDNG FOR SUPPLY AND DELIVERY OF VARIOUS PATIENT CARDIAC MONITORS / DEFIBRILLATORS (LINE BIDDING)</t>
  </si>
  <si>
    <t>PURCHASE OF MEALS AND SNACKS</t>
  </si>
  <si>
    <t>Name of Project : To purchase another inconeof the association menbers and opportunity of employment and project sustainability</t>
  </si>
  <si>
    <t>PURCHASE OF ICT EQUIPMENT SUPPLIES</t>
  </si>
  <si>
    <t>IMPROVEMENT OF BARANGAY HEALTH CENTER</t>
  </si>
  <si>
    <t>Street Lights (ES)</t>
  </si>
  <si>
    <t>CONSTRUCTION OF WATER WORKS, DANGOY</t>
  </si>
  <si>
    <t>CONSTRUCTION OF DRAINAGE CANAL, DANGOY</t>
  </si>
  <si>
    <t>MATERIALS FOR CONCRETE ROAD CONSTRUCTUONAT PUROK MINORO,BRGY AMAYCO</t>
  </si>
  <si>
    <t>Water supply</t>
  </si>
  <si>
    <t>Barangay Service Vehicle</t>
  </si>
  <si>
    <t>UPGRADING/IMPROVEMENT OF ROAD, CALBAYAN, CALBAYAN</t>
  </si>
  <si>
    <t>IMPROVEMENT OF WATER WORKS SYSTEM, BISSONG, POBLACION</t>
  </si>
  <si>
    <t>ROOFING OF PATHWAYS (STEPS)</t>
  </si>
  <si>
    <t>CONSTRUCTION OF MARFUWANG FOOTPATH, BELONG MAN-UBAL</t>
  </si>
  <si>
    <t>IMPROVEMENT OF FARM TO MARKET ROAD, BAWAK, MALUCSAD</t>
  </si>
  <si>
    <t>CONSTRUCTION OF FLOATING DRYER (MAO)</t>
  </si>
  <si>
    <t>PIKCOT-002020-021*REPOST*(SUPPLY AND DELIVERY OF KNAPSACK SPRAYERS)</t>
  </si>
  <si>
    <t>IMPROVEMENT OF MULTI-PURPOSE HALL LOCATED AT STA ANA, AGOO, LA UNION</t>
  </si>
  <si>
    <t>One (1) Job Contract for the Construction of Government Complex-Gymnasium Phase V, F. Palmares St. Passi City, Iloilo/CEO</t>
  </si>
  <si>
    <t>Purchase of construction materials for the project: Fabrication of Signage and Painting of Pedestrian lane at Poblacion, Pangantucan Bukidnon</t>
  </si>
  <si>
    <t>IMPROVEMENT OF BARANGAY TANOD OUTPOST</t>
  </si>
  <si>
    <t>ESTABLISHMENT OF LGU WEBSITE</t>
  </si>
  <si>
    <t>CONSTRUCTION OF CONCRETE FOOTPATH, BACACAO BRIDGE TO IP HALL, TAWANG</t>
  </si>
  <si>
    <t>OSMEÑA 03-2020 - Installation of Solar-Powered LED Streetlights</t>
  </si>
  <si>
    <t>Rebidding: Job Order: Lumpsum for completion of the construction of 2-storey gender sensitive living quarter of girl CICL/CAR at Dumaguete Youth Home at Barangay Talay.</t>
  </si>
  <si>
    <t>Supply and delivery of various commodities for the children beneficiaries of Supplementary Feeding Program of the Municipality of San Emilio, Ilocos Sur</t>
  </si>
  <si>
    <t>Supply and Delivery of Office Supplies and Devices -3rd and 4th Quarter Supplies</t>
  </si>
  <si>
    <t>AMALBALAN 02-2020 - INSTALLATION OF SOLAR-POWERED LED STREETLIGHTS</t>
  </si>
  <si>
    <t>Supply and delivery of various commodities for the children beneficiaries of Supplementary Feeding Program of the Municipality of Quirino, Ilocos Sur</t>
  </si>
  <si>
    <t>20FK0065-Modified Standard DPWH-DepED 2-units One (1) storey Two (2) Classroom School Building (7.0m x 18.0 m plus 2.5 m. corridor) with common toilet at one site La Union Elementary School, Castilla,</t>
  </si>
  <si>
    <t>construction of pathway</t>
  </si>
  <si>
    <t>PROCUREMENT OF SUPPLIES OF MOOE OF LINGI-ON ES</t>
  </si>
  <si>
    <t>SUPPLY, DELIVERY AND INSTALLATION OF VARIOUS AIR-CONDITIONING UNITS</t>
  </si>
  <si>
    <t>Procurement of Communication Equipment for Various Offices</t>
  </si>
  <si>
    <t>CONSTRUCTION OF SEAWEEDS NURSERY (MAO)</t>
  </si>
  <si>
    <t>MAINTENANCE/REPAIR OF PROVINCIAL ROAD, LIWAN WEST-ANONANG PROVINCIAL ROAD</t>
  </si>
  <si>
    <t>ITB2020-022 LBP Dagupan re: Construction of LANDBANK Dagupan Branch Offsite ATM at CSI Bonuan</t>
  </si>
  <si>
    <t>ITB NO. 20-081 SUPPLY AND DELIVERY OF NINE THOUSAND FIVE HUNDRED PIECES (9,500 PCS.) GOWN, SURGICAL DISPOSABLE (STERILE)</t>
  </si>
  <si>
    <t>INFORMATION TECHNOLOGY PARTS AND ACCESSORIES AND PERIPHERALS</t>
  </si>
  <si>
    <t>PURCHASE OF MEDICAL SUPPLIES AND EQUIPMENTS</t>
  </si>
  <si>
    <t>ESTABLISHMENT OF INTERNET-BASED ATTENDANCE TRACKING SYSTEM</t>
  </si>
  <si>
    <t>Water Dispenser,Double A Battery,etc....</t>
  </si>
  <si>
    <t>ROAD OPENING OF MUNICIPAL STREET AT POBLACION/CIPRIANO ESPALDON ST.</t>
  </si>
  <si>
    <t>Supply and delivery of various commodities for the children beneficiaries of Supplementary Feeding Program of the Municipality of Santa, Ilocos Sur</t>
  </si>
  <si>
    <t>Rehabilitation of San Miguel Barangay  Road</t>
  </si>
  <si>
    <t>CONSTRUCTION OF MULTIPURPOSE DRYING PAVEMENT ( 2 UNITS)</t>
  </si>
  <si>
    <t>PURCHASE AND INSTALLATION OF WINDOW BLINDS OF DIFFERENT OFFICES (sec. publication)</t>
  </si>
  <si>
    <t>Extension of Barangay Street lightings (materials)</t>
  </si>
  <si>
    <t>CCTV Surveillance System complete with Accessories</t>
  </si>
  <si>
    <t>Purchase of Commodities for MPDO</t>
  </si>
  <si>
    <t>Supply and delivery of various commodities for the children beneficiaries of Supplementary Feeding Program of the Municipality of San Esteban, Ilocos Sur</t>
  </si>
  <si>
    <t>ACQUISITION OF TRI WHEEL MOTOR VEHICLE</t>
  </si>
  <si>
    <t>BPSU-MC-REDO Electronic Materials for Development of Mussels Automated Depuration System</t>
  </si>
  <si>
    <t>Supply and delivery of various commodities for the children beneficiaries of Supplementary Feeding Program of the Municipality of San Ildefonso, Ilocos Sur</t>
  </si>
  <si>
    <t>CONSTRUCTION OF FOOTPATH, CENTRO POBLACION</t>
  </si>
  <si>
    <t>REHABILITATION OF BARANGAY BASKETBALL COURT, DALUPA</t>
  </si>
  <si>
    <t>PROCUREMENT OF MATERIALS FOR FABRICATION OF FIBERGLASS PUMP BOAT</t>
  </si>
  <si>
    <t>MEDICAL SUPPLIES-JCH-20-0231-B(RE-BID)</t>
  </si>
  <si>
    <t>Planning and Development of E-Learning Materials for the Leadership and Management Proficiency (LAMP) Program</t>
  </si>
  <si>
    <t>Supply &amp; Delivery of Plumbing Supplies - Rebid</t>
  </si>
  <si>
    <t>MEDICAL SUPPLIES-RTH-20-0218-B(RE-BID)</t>
  </si>
  <si>
    <t>CONSTRUCTION OF RIPRAP FRONT OF WESTERN KALINGA NHS, BUAYA</t>
  </si>
  <si>
    <t>Procurement of Fuel for Provincial Equipments from Marihatag-Lianga, Surigao del Sur (For the month of August 2020 3rd Quarter).</t>
  </si>
  <si>
    <t>Supply of Materials for the Installation of Temporary Quarantine Facility Project 2</t>
  </si>
  <si>
    <t>Supply and Delivery of Reusable Bags (Polypropylene &amp; Katsa Cloth with Print</t>
  </si>
  <si>
    <t>SUPPLY, DELIVERY, INSTALLATION, TESTING AND COMMISIONING OF AIRCONDITIONING UNIT (1 UNIT 2.0 TR WALL MOUNTED (INVERTER) FOR LBP KIDAPAWAN BRANCH INCLUDING INSTALLATION OF ELECTRICAL FEEDER LINES AND D</t>
  </si>
  <si>
    <t>Purchase of Office Equipment for President's Office use</t>
  </si>
  <si>
    <t>CARPENTRY AND PAINTING SUPPLIES</t>
  </si>
  <si>
    <t>20GG0066-G - Procurement of Packed Snacks and Lunch for the conduct of Public Consultations/Coordination Meetings regarding the Widening of National Roads and Bridges along National Roads of DPWH Iloi</t>
  </si>
  <si>
    <t>CONSTRUCTION OR REHAB. OF LOCAL ROAD AT BARANGAY KIMA (TABYON-PANTALAN)</t>
  </si>
  <si>
    <t>1 UNIT LAPTOP COMPUTER AND 1 UNIT SWIVEL CHAIR</t>
  </si>
  <si>
    <t>Purchase of Construction Materials for the Rehabilitation of Multi-purpose Building, BDF</t>
  </si>
  <si>
    <t>CONCRETING OF LOCAL ACCESS ROAD</t>
  </si>
  <si>
    <t>Procurement of Materials &amp; Supplies for Solid Waste Management</t>
  </si>
  <si>
    <t>Tire 265x60x18</t>
  </si>
  <si>
    <t>Purchase of Human Medicine</t>
  </si>
  <si>
    <t>Supply and delivery of various commodities for the children beneficiaries of Supplementary Feeding Program of the Municipality of Santiago, Ilocos Sur</t>
  </si>
  <si>
    <t>SUPPLY AND DELIVERY OF HARDWARE SUPPLIES AND MATERIALS FOR VARIOUS OFFICES - TWO FAILED BIDDING</t>
  </si>
  <si>
    <t>Rebidding: 4 pcs Printer, Print, Scan &amp; Copy with Built-in Wireless and other items for enhancement of the educational learning of Piapi High school.</t>
  </si>
  <si>
    <t>Supply and delivery of various commodities for the children beneficiaries of Supplementary Feeding Program of the Municipality of Suyo, Ilocos Sur</t>
  </si>
  <si>
    <t>SUPPLY AND DELIVERY OF ADDITIONAL MATERIALS FOR GUIO-ANG COVERED COURT.</t>
  </si>
  <si>
    <t>MEALS AND SNACKS</t>
  </si>
  <si>
    <t>CONSTRUCTION OR REHAB. OF LOCAL ROAD AT BARANGAY CALAPE - CEMETERY</t>
  </si>
  <si>
    <t>NVITATION TO BID FOR THE PROCUREMENT OF MATERIALS FOR THE PROJECT OF CONSTRUCTION OF HANGING BRIDGE (PHASE 1) LOCATED @ PUROK 7, LAMACANAN, BARANGAY SALVACION, MONKAYO, DAVAO DE ORO PROVINCE</t>
  </si>
  <si>
    <t>Purchase of Commodities for DepEd North</t>
  </si>
  <si>
    <t>Invitation to Bid for the Concreting of Motorpool Road</t>
  </si>
  <si>
    <t>Invitation to Bid for the Construction of Drainage Canal</t>
  </si>
  <si>
    <t>SUPPLY AND DELIVERY OF VEHICLE MAINTENANCE SUPPLIES, PARTS AND ACCESSORIES FOR VARIOUS TRANSPORTATION EQUIPMENT / VEHICLE OF THE CITY - TWO FAILED BIDDING</t>
  </si>
  <si>
    <t>Invitation to Bid for the Reblocking / Concreting of Municipal Streets</t>
  </si>
  <si>
    <t>Furnishing of construction materials for Can-asujan SRIS</t>
  </si>
  <si>
    <t>Various Infrastructure Projects Under Cluster A-2020</t>
  </si>
  <si>
    <t>HARDWARE MATERIALS</t>
  </si>
  <si>
    <t>Procurement of Diesel Fuel for Provincial Equipments from Barobo-Lingig, Surigao del Sur (For the Month of August 2020 3rd Quarter)</t>
  </si>
  <si>
    <t>Supply and delivery of various commodities for the children beneficiaries of Supplementary Feeding Program of the Municipality of Sta. Maria, Ilocos Sur</t>
  </si>
  <si>
    <t>Supply and Delivery One Unit Tire Changer</t>
  </si>
  <si>
    <t>SUPPLY AND DELIVERY OF INFORMATION AND COMMUNICATION TECHNOLOGY EQUIPMENT</t>
  </si>
  <si>
    <t>Improvement of Consignation Building at the Public Market</t>
  </si>
  <si>
    <t>1 SET WALL GLASS SIZE 316</t>
  </si>
  <si>
    <t>INFRASTRUCTURE WORKS FOR THE IMPROVEMENT OF WATER SUPPLY SYSTEM AT SITIO MAG-ABO, BARANGAY MALUAY, ZAMBOANGUITA, NEGROS ORIENTAL</t>
  </si>
  <si>
    <t>Supply &amp; Delivery of Various Materials for the Construction of Public Comfort Room of Brgy. Bago, Bato, Leyte (BAGOGOODS2020-02)</t>
  </si>
  <si>
    <t>INFRASTRUCTURE WORKS FOR THE CONSTRUCTION/IMPROVEMENT OF WATER SUPPLY SYSTEM (PHASER 2) AT SITIO BATO,  BARANGAY BASAK, ZAMBOANGUITA, NEGROS ORIENTAL</t>
  </si>
  <si>
    <t>Contract ID No. 19CSK00060 – Consultancy Services for the Conduct of Feasibility Study for Masterson Avenue Alternate Diversion Road (ReXPRIP-30), Cagayan de Oro 1st Legislative District, L=16.00 KM</t>
  </si>
  <si>
    <t>Procurement of Laboratory Supplies for Hinatuan District Hospital Laboratory.</t>
  </si>
  <si>
    <t>SUPPLY AND DELIVERY OF DRUGS AND MEDICINES</t>
  </si>
  <si>
    <t>INFRASTRUCTURE WORKS FOR THE IMPROVEMENT OF WATER SUPPLY SYSTEM AT SITIO MALATAPAY, BARANGAY MALUAY, ZAMBOANGUITA, NEGROS ORIENTAL</t>
  </si>
  <si>
    <t>COMPLETION OF MULTI-PURPOSE BUILDING</t>
  </si>
  <si>
    <t>SUPPLY &amp; DELIVERY OF T-SHIRTS</t>
  </si>
  <si>
    <t>Procurement of Fuel for Provincial Equipments (For the month of August 2020 3rd Quarter).</t>
  </si>
  <si>
    <t>S &amp; D of Materials for the Installation of Metal Structure (Water Tank Stand) (P. Agri.)</t>
  </si>
  <si>
    <t>Purchase of Submersible Pump</t>
  </si>
  <si>
    <t>FOOD STUFF/SUPPLIES</t>
  </si>
  <si>
    <t>Procurement of ICT and Printing Equipment and Supplies under MITHI Program CY 2020</t>
  </si>
  <si>
    <t>PROCUREMENT OF SUPPLIES AND MATERIALS FOR MODULE PRINTING</t>
  </si>
  <si>
    <t>20CN0100-Construction of Municipal Sanitary Landfill, Dinalungan, Aurora</t>
  </si>
  <si>
    <t>Procurement of Fuel for Provincial Government of Surigao del Sur Equipments and Vehicles (for the month of August 3rd Quarter of the year 2020).</t>
  </si>
  <si>
    <t>Rehabilitation/Repair of Barangay Road along M.H.Del Pilar St., Rizal, Roxas, Isabela</t>
  </si>
  <si>
    <t>17 UNITS WHEELCHAIR</t>
  </si>
  <si>
    <t>Procurement of Service for Printing of Self-Learning Modules (SLMs)</t>
  </si>
  <si>
    <t>ITB No. 019-2020-First Posting-Supply and Delivery of Photocopier for the Distance Learning Modules of LGU-Hingyon, Ifugao.</t>
  </si>
  <si>
    <t>Materials for Expansion of Antequera Waterworks System at Bantolinao, Antequera, Bohol</t>
  </si>
  <si>
    <t>CY 2020 BEFF REPAIR OF CLASSROOMS BATCH 2</t>
  </si>
  <si>
    <t>ROAD OPENING OF LOCAL ROAD AT BARANGAY KATIPUNAN</t>
  </si>
  <si>
    <t>Procurement of Plastic Bag</t>
  </si>
  <si>
    <t>Delivery and Supply of Brand New Ambulance Vehicle with Equipment and Accessories</t>
  </si>
  <si>
    <t>Supply and Delivery of Expansion Bolt, C-Purlins, Forstner Bit &amp; Deformed Steel Bars ( H-008-0567-20 )</t>
  </si>
  <si>
    <t>Construction of Multi-Purpose Evacuation Center @ una-Rang-ayan E/S, Luna, Roxas, Isabela</t>
  </si>
  <si>
    <t>20CN0157 (Re-adv.) - Repair/Maintenance of Bridges along National Roads, A. Castañeda – Ma. Aurora – San Luis Road &amp; Baler – Casiguran Road (Baler – Dinadiawan)</t>
  </si>
  <si>
    <t>Riprapping/Embankment Protection</t>
  </si>
  <si>
    <t>Supply and delivery of various commodities for the children beneficiaries of Supplementary Feeding Program of the Municipality of Sugpon, Ilocos Sur</t>
  </si>
  <si>
    <t>Supply and Delivery of Various Supplies and Materials for the COVID-19 Disinfection Program and Precautionary Measures</t>
  </si>
  <si>
    <t>Supply and Delivery of Manhole Cover</t>
  </si>
  <si>
    <t>Package 2 – Supply and Delivery of Materials for the Concreting of Llera Street (ND Avenue-Garcesa St.), Poblacion 3, Pigcawayan, Cotabato</t>
  </si>
  <si>
    <t>Procurement of Civil Works for the Completion of Public Market</t>
  </si>
  <si>
    <t>Construction of Ampongol Barangay Hall Extension</t>
  </si>
  <si>
    <t>CY 2020 BEFF Repair of Classrooms Batch 2 – San Simon ES (Lot 3)</t>
  </si>
  <si>
    <t>CY 2020 BEFF Repair of Classrooms Batch 2 – Old San Jose ES (Lot 1)</t>
  </si>
  <si>
    <t>Supply and Delivery of Mantianak Botanical Garden and Zoological Park Animal Feeds</t>
  </si>
  <si>
    <t>Invitation to Bid for SUPPLY, DELIVERY AND INSTALLATION OF SLAUGHTERHOUSE MACHINERY AND EQUIPMENT FOR LGU – BORONGAN CITY, EASTERN SAMAR</t>
  </si>
  <si>
    <t>Rebidding of the Procurement of Furniture and Fixtures (Lot 3)</t>
  </si>
  <si>
    <t>Improvement of ETRACS Database and Server of San Jose de Buenavista, Antique</t>
  </si>
  <si>
    <t>Procurement of  biologics</t>
  </si>
  <si>
    <t>MATERIALS FOR FENCING OF MUN. NURSERY</t>
  </si>
  <si>
    <t>Repair and Maintenance of one (01) unit L300 (Jeepney Type) Mitsubishi w/ Plate No -SJF-290</t>
  </si>
  <si>
    <t>Supply and Delivery of 4" Digital Electromagnetic ( H-011-0570-20 )</t>
  </si>
  <si>
    <t>20GG0067-G - Procurement of Various Spare Parts for Use of Various Service Vehicles Assigned for the Repair and Maintenance of National Roads of DPWH Iloilo 2nd DEO, Balabag, Dumangas, Iloilo</t>
  </si>
  <si>
    <t>Supply &amp; Installation of Airconditioning Unit at GSO</t>
  </si>
  <si>
    <t>Package 1 – Supply and delivery of materials for the Construction of Twenty (20) Units Solar Drier under Local Economic Development Project for the following barangays; Anick, Banucagon, Buluan, Buluc</t>
  </si>
  <si>
    <t>CONCRETING OF CALAYAN CIRCUMFERENTIAL ROAD (BIRA-BIRA - CAANAWAN SECTION) Barangay Magsidel, Calayan, Province of Cagayan</t>
  </si>
  <si>
    <t>CY 2020 BEFF Repair of Classrooms Batch 2 – San Pablo ES (Lot 2)</t>
  </si>
  <si>
    <t>Supply and Delivery of Floor Tiles, Electric Hand Dryer, Led Eco Downlight, Canyon Esperanza and Wood Moulding Skirting ( H-007-0566-20 )</t>
  </si>
  <si>
    <t>Supplemental APP for the Reproduction of Modules</t>
  </si>
  <si>
    <t>Supply and delivery of various commodities for the children beneficiaries of Supplementary Feeding Program of the Municipality of Sta. Catalina, Ilocos Sur</t>
  </si>
  <si>
    <t>SUPPLY AND DELIVERY OF MATERIALS FOR THE REHABILITATION OF STREETLIGHTS, BRGY. PAG-AGUASAN, UNISAN, QUEZON</t>
  </si>
  <si>
    <t>Construction of 3 Storey Multi-Purpose Building with Early Childhood Care Development Center @ Luna, Roxas, Isabela</t>
  </si>
  <si>
    <t>Supply and Delivery of Drugs and Medicines for RHU of Pasil</t>
  </si>
  <si>
    <t>Purchase of 2 units Desktop Branded Computer for Ethel Salazar &amp; Marie Antonette B. Malantar.</t>
  </si>
  <si>
    <t>Office Supplies for CSWD Office use (2nd &amp; 3rd quarter) and for City Civil Registrar’s Office for the 3rd and 4th Quarter 2020.</t>
  </si>
  <si>
    <t>Supply and Delivery of Rust Remover Soak, Spark Plug &amp; Carburator ( H-021-0585-20 )</t>
  </si>
  <si>
    <t>Package 3 – Supply and Delivery of Materials for the Concreting of Labanon Street, Poblacion 1, Pigcawayan, Cotabato.</t>
  </si>
  <si>
    <t>Supply and Delivery of 4000 reams Bond Paper Substance 20</t>
  </si>
  <si>
    <t>Orientation of CSOs on Participatory Governance as Mechanism in Stregnthening the Local Development Council for Selected LGUs (September 1-4, 2020)</t>
  </si>
  <si>
    <t>PROCUREMENT OF ONE (1) LOT SPARE PARTS FOR USE OF VL NISSAN NAVARA 1312-431193</t>
  </si>
  <si>
    <t>Procurement of Carton Box</t>
  </si>
  <si>
    <t>2020-08-216</t>
  </si>
  <si>
    <t>Supply and delivery of Vehicle Parts and Accessories</t>
  </si>
  <si>
    <t>Invitation to Bid for NEGOTIATED PROCUREMENT DUE TO TWO –FAILED BIDDINGS  SUPPLY AND DELIVERY OF FIVE (5) UNITS ALL NEW CARRY UTILITY VAN AND THREE (3) UNITS ALL NEW CARRY TRUCK FOR LGU – BORONGAN CIT</t>
  </si>
  <si>
    <t>Const./Rehab/Repair of Multi-Purpose Bldg. (Phase 4)</t>
  </si>
  <si>
    <t>ROAD GRAVELLING ( SPOT GRAVELLING) BRGY. J. P. LAUREL PANABO CITY</t>
  </si>
  <si>
    <t>Supply and Delivery of Rizograph and Photo-copy Machine (Branded and Brand New) of DepEd Alaminos, District</t>
  </si>
  <si>
    <t>Preventive Maintenance Services for Motor Vehicles (2017 Toyota Altis A/T) of the Philippine Competition Commission</t>
  </si>
  <si>
    <t>INVITATION TO BID FOR THE PROCUREMENT OF AGRI-SUPPLIES</t>
  </si>
  <si>
    <t>Supply and Delivery of Solar Street Lights Panel</t>
  </si>
  <si>
    <t>Supply and Installation of 5100 Fixed Volleyball Post for Volleyball Post and Net, City of Passi Arena, Passi City, Iloilo/CSDO</t>
  </si>
  <si>
    <t>Upgrading of Pathway @ Purok Centro/ Maligaya Brgy. Paguiaba</t>
  </si>
  <si>
    <t>Airconditioning unit</t>
  </si>
  <si>
    <t>CY 2020 BEFF Repair of Classrooms Batch 2 – Pag Asa ES (Lot 4)</t>
  </si>
  <si>
    <t>CONCRETING OF BARANGAY ROAD (PHASE II) at Brgy. Debucao</t>
  </si>
  <si>
    <t>PROP. CONSTRUCTION OF FENCE, CANOPY, STORAGE AND OTHER IMPROVEMENT AT HEALTH SERVICES CENTER</t>
  </si>
  <si>
    <t>INFR-20-024- REPAIR OF EVACUATION CENTER AT TEJERO ELEMENTARY SCHOOL, BARANGAY TEJERO, CITY OF GEN. TRIAS, CAVITE</t>
  </si>
  <si>
    <t>Backpack Gas Powered Leaf Blower</t>
  </si>
  <si>
    <t>LBP Bayawan Branch Renovation (Supply and Delivery of Construction Materials)</t>
  </si>
  <si>
    <t>Construction of Day Care Center at Recodo</t>
  </si>
  <si>
    <t>Miscellaneous Expenses</t>
  </si>
  <si>
    <t>ITB for CoViD-19 Pandemic Preparedness Supplies</t>
  </si>
  <si>
    <t>Repair and Maintenance of heavy equipment - backhoe</t>
  </si>
  <si>
    <t>GOODS 2020-08-0010  FOOD SECURITY PROGRAM</t>
  </si>
  <si>
    <t>Supply and Delivery of Construction Materials (Solar Street Lights)</t>
  </si>
  <si>
    <t>Procurement of Bacterial Culture for WWTP</t>
  </si>
  <si>
    <t>GRAVELLING OF VARIOUS ROADS</t>
  </si>
  <si>
    <t>1 unit Multi-Purpose Vehicle for Bahay Pag-asa catering client</t>
  </si>
  <si>
    <t>ITB No. 2020-08-30 Supply and Delivery of Various Livestock and Equipment</t>
  </si>
  <si>
    <t>Labor for the Installation of Solar Street Lights</t>
  </si>
  <si>
    <t>Construction of Box Culvert at Pasovilla, Pasonanca</t>
  </si>
  <si>
    <t>Proposed Purchase of Street Lights</t>
  </si>
  <si>
    <t>Purchase of Office Supplies (SB)</t>
  </si>
  <si>
    <t>Purchase of Spare Parts and Lubricants to be used for repair and maintenance of Backhoe of the Municipality of Tabuelan, Cebu</t>
  </si>
  <si>
    <t>RFQ / PR 20-07-0460 / PROCUREMENT OF 32 BOTTLES SPACE SPRAY CONCENTRATE INSECTICIDE AND 3 OTHER LINE ITEMS</t>
  </si>
  <si>
    <t>Dress Checken (Not Less Than 1 kl)</t>
  </si>
  <si>
    <t>Construction of Covered Court at Sto. Niño</t>
  </si>
  <si>
    <t>PURCHASE OF MATERIALS FOR THE SITE IMPROVEMENT OF BARANGAY CAWAYAN BLUE HOLE AND GORDA POINT LIGHT HOUSE FOR ECO TOURISM</t>
  </si>
  <si>
    <t>CPAR-20-3140: Procurement of Agricultural Supplies (Inorganic Fertilizers) to be used as inputs for the implementation of Community-based Participatory Action Research (CPAR) Project...</t>
  </si>
  <si>
    <t>TESTING, COMMISSIONING &amp; INSTALLATION OF AIR CONDITIONING UNIT</t>
  </si>
  <si>
    <t>Procurement of Supplies for Person's w/ Disability [PWD] ID's and Booklets [MSWDO]</t>
  </si>
  <si>
    <t>CY 2020 BEFF Repair of Classrooms Batch 2 – Pantalan Luma ES (Lot 5)</t>
  </si>
  <si>
    <t>REHABILITATION/IMPROVEMENT OF LOCAL ACCESS ROAD @ BRGY. TANYAG, CALINTAAN OCCIDENTAL MINDORO</t>
  </si>
  <si>
    <t>Concreting of Road at Pastoral Nuñez Ext.-Fernando Compound Road</t>
  </si>
  <si>
    <t>Road Concreting of Sitio Bantolinao Barangay Bawo, Sogod, Cebu</t>
  </si>
  <si>
    <t>Fresh Fish (Barilison)</t>
  </si>
  <si>
    <t>CONSTRUCTION OF PUBLIC MARKET DRAINAGE SYSTEM – PHASE I</t>
  </si>
  <si>
    <t>CONSTRUCTION OF FARM TO MARKET ROAD at Brgy. Dianawan</t>
  </si>
  <si>
    <t>Construction of Covered Court at Recodo Elementary School, Recodo</t>
  </si>
  <si>
    <t>Repair and Maintenance Office Building</t>
  </si>
  <si>
    <t>Repair and Maintenance of Barangay Vehicle</t>
  </si>
  <si>
    <t>Procurement of Two (2) units Risograph Machine</t>
  </si>
  <si>
    <t>Purchase of Solid Waste Management Equipments @ Bry. San Antonio</t>
  </si>
  <si>
    <t>20GBJ0003 : Purchase and Delivery of 1 (one ) unit Brand New Global Navigation Satellite System (GNSS) Real Time Kinetic (RTK) with Internet Base Station Service (IBSS) DPWH-NV2DEO, Malasin Dupax del</t>
  </si>
  <si>
    <t>RFQ / PR 20-07-0459 / PROCUREMENT OF 200 COPY PRINTING OF THE NATIONAL ACTION PLAN ON COUNTERING AND PREVENTING VIOLENT EXTREMISM (NAP P/CVE)</t>
  </si>
  <si>
    <t>Purchase of Sound System</t>
  </si>
  <si>
    <t>CY 2020 BEFF Repair of Classrooms Batch 2 – Baseco ES (Lot 6)</t>
  </si>
  <si>
    <t>CONSTRUCTION OF MULTI-PURPOSE HALL at Brgy. Dikildit</t>
  </si>
  <si>
    <t>Procurement of 2 units computer package; 3 units UPS; 2 units Printer</t>
  </si>
  <si>
    <t>RFQ / PR 20-08-0483 / PROCUREMENT OF 40 SQ.M. SUPPLY AND INSTALLATION OF FABRIC PADDED WALLS ON 1"THK. FOAM AND PLYWOOD BACKING</t>
  </si>
  <si>
    <t>Construction of Nahus-an Barangay Hall (Phase II)</t>
  </si>
  <si>
    <t>PURCHASE OF DISINFECTION MATERIALS &amp; SUPPLIES IN SUPPORT TO COVID-19 RESPONSE, IMPLEMENTATION,MONITORING AND RECOVERY PROGRAM</t>
  </si>
  <si>
    <t>Road Concreting at Purok 3, Brgy. Bantayan, Kabankalan City, Negros Occidental</t>
  </si>
  <si>
    <t>CY 2020 BEFF Repair of Classrooms Batch 2 – Lucanin ES (Lot 7)</t>
  </si>
  <si>
    <t>Supply and Delivery of One (1) Lot Materials and Supplies for the Installation of Streetlights</t>
  </si>
  <si>
    <t>Construction of Covered Stage at Lacumba Elementary School, Limpapa</t>
  </si>
  <si>
    <t>Construction of Drainage System at Canelar</t>
  </si>
  <si>
    <t>PURCHASE AND DELIVERY OF OFFICE/IT EQUIPMENT</t>
  </si>
  <si>
    <t>SUPPLY AND DELIVERY OF OFFICE SUPPLIES AND EQUIPMENT FOR DEPED</t>
  </si>
  <si>
    <t>Procurement of Wooden Medals - MO</t>
  </si>
  <si>
    <t>Construction of Drainage System at Cabato Drive, Canelar</t>
  </si>
  <si>
    <t>SUPPLY AND DELIVERY OF PERSONAL PROTECTIVE EQUIPMENTS (PPE'S)-PGO</t>
  </si>
  <si>
    <t>Provision for the Enhancement Business Kits of 51 Beneficiaries</t>
  </si>
  <si>
    <t>Supply and Delivery of Laptop for Various Offices and Flexible Learning Equipment</t>
  </si>
  <si>
    <t>SUPPLY AND DELIVERY OF (PPE'S AND DISINFECTANT)-PGO</t>
  </si>
  <si>
    <t>CY 2020 BEFF Repair of Classrooms Batch 2 – Daan Pare ES (Lot 8)</t>
  </si>
  <si>
    <t>Construction of Slope Protection at Culianan River, Culianan</t>
  </si>
  <si>
    <t>Procurement of Office Supplies for Elementary and Secondary schools, Vintar, Ilocos Norte</t>
  </si>
  <si>
    <t>Improvement of Slaughter House</t>
  </si>
  <si>
    <t>Grocery Items as food packs for employees on Employees Day Celebration</t>
  </si>
  <si>
    <t>INVITATION TO BID-MATERIALS FOR SLOPE PROTECTION</t>
  </si>
  <si>
    <t>TIRES FOR KINGLONG AMBULANCE</t>
  </si>
  <si>
    <t>PROCUREMENT OF 2 UNITS LAPTOP FOR SANGGUNIANG BAYAN USAGE</t>
  </si>
  <si>
    <t>PROPOSED CONSTRUCTION OF WATER TANK-BARANGAY MAIKAY</t>
  </si>
  <si>
    <t>Machinery</t>
  </si>
  <si>
    <t>Site Development at Curuan</t>
  </si>
  <si>
    <t>Supply and delivery of materials for the concreting of brgy. road</t>
  </si>
  <si>
    <t>FURNISHING OF LABOR, MATERIALS &amp; EQUIPMENT for the EMBANKMENT PROTECTION OF BARANGAY ROAD in San Roque and San Pedro, Bato, Catanduanes</t>
  </si>
  <si>
    <t>CY 2020 BEFF Repair of Classrooms Batch 2 – Diwa ES (Lot 10)</t>
  </si>
  <si>
    <t>Improvement of Access Road - MBSNATHS</t>
  </si>
  <si>
    <t>Supply and Delivery of One (1) Lot Decoration and Lighting Materials for Municipal Building(Re-Bid)</t>
  </si>
  <si>
    <t>CONSTRUCTION /IMPROVEMENT OF WATER SYSTEM</t>
  </si>
  <si>
    <t>Construction of Concrete Footstep with Railings</t>
  </si>
  <si>
    <t>Rehabilitation of Farm to Market Road</t>
  </si>
  <si>
    <t>CPAR-20-3137: Procurement of Agricultural Supplies (Inorganic Fertilizers) to be used as Inputs for on-farm corn-legumes (Peanut &amp;Mungbean) rotation technology demonstration...</t>
  </si>
  <si>
    <t>Supply and Delivery of School Supplies for the Municipality of Roxas, Isabela</t>
  </si>
  <si>
    <t>Procurement of IT Equipment</t>
  </si>
  <si>
    <t>Purchase of Concrete Cutter and Power Chainsaw for Solid Waste Management @ Brgy. San Antonio</t>
  </si>
  <si>
    <t>PURCHASE OF FUEL (MMO)</t>
  </si>
  <si>
    <t>CONSTRUCTION OF BRGY HALL (PHASE III)</t>
  </si>
  <si>
    <t>SUPPLY AND DELIVERY OF DRUGS AND MEDICINES FOR FIRST HALF OF 2020 (SODIUM CHLORIDE, DEXTROSE, ETC.), FOR USE IN 12 DISTRICT HOSPITAL AND FOUR PROVINCIAL HOSPITAL OF PROVINCE OF CEBU (SEMI-ANNUAL REQUI</t>
  </si>
  <si>
    <t>SUPPLY AND DELIVERY OF IT EQUIPMENTS-PGO</t>
  </si>
  <si>
    <t>CY 2020 BEFF Repair of Classrooms Batch 2 – Pablo Roman ES (Lot 9)</t>
  </si>
  <si>
    <t>ITB for Modules  Supplies</t>
  </si>
  <si>
    <t>20EG0094-Construction of 2STY4CL, Mateo Jagmis MES, Brgy. San Miguel, Puerto Princesa City, Palawan</t>
  </si>
  <si>
    <t>Repair and Maintenance of 69kV Substation</t>
  </si>
  <si>
    <t>SUPPLY AND DELIVERY OF OFFICE EQUIPMENTS</t>
  </si>
  <si>
    <t>PURCHASE &amp; DELIVERY OF MEDICAL SUPPLIES</t>
  </si>
  <si>
    <t>Potable Water System</t>
  </si>
  <si>
    <t>Construction Materials for the Rehabilitation of Barangay Roads (san Jose – New Antique Segment)</t>
  </si>
  <si>
    <t>CONTINUATION OF PHASE II SB OFFICE EXTENSION</t>
  </si>
  <si>
    <t>CONCRETING OF BARANGAY ROAD AT BRGY. STO. CRISTO</t>
  </si>
  <si>
    <t>Supply &amp; Delivery of Materials for the Repair and Maintenance of Barangay Street Light at Masical Amulung Cagayan</t>
  </si>
  <si>
    <t>2 Unit Scanner</t>
  </si>
  <si>
    <t>Construction of Potable Water Supply Level II</t>
  </si>
  <si>
    <t>PURCHASE OF LAPTOP FOR EBEIS ROOM OF HILONGOS SOUTH CENTRAL SCHOOL</t>
  </si>
  <si>
    <t>IB NO. 2020-18: PROCUREMENT OF VARIOUS FURNITURE AND FIXTURES</t>
  </si>
  <si>
    <t>Procurement of office Supplies &amp; Devices ( Diploma Jacket/Hoder)</t>
  </si>
  <si>
    <t>PURCHASE OF VAULT</t>
  </si>
  <si>
    <t>SUPPLY &amp; DELIVERY OF TENTS WITH LONA</t>
  </si>
  <si>
    <t>Supply and Delivery of One (1) Unit Brand New 225hp Outboard Motor (Re-Bid)</t>
  </si>
  <si>
    <t>2 Unit Laptop</t>
  </si>
  <si>
    <t>Procurement of Office Supplies  &amp; Devices</t>
  </si>
  <si>
    <t>20EG0092-Concreting of Brgy. Tagpait to Fish Landing FMR, Station 00+000 - 00+963, Brgy. Tagpait, Aborlan, Palawan</t>
  </si>
  <si>
    <t>Supply and Delivery of One (1) Lot Oil and Spare parts Rescue Speedboat.</t>
  </si>
  <si>
    <t>SUPPLY AND DELIVERY OF GENERATOR SET</t>
  </si>
  <si>
    <t>Supply and delivery of motorcycles for the use of the CDRRMO/Public Safety, Kidapawan City.</t>
  </si>
  <si>
    <t>20EG0093-Concreting of Purok Dam-ay, Sitio Tagumpay, Brgy. Inagawan Sub FMR, Sta. 000+000 - Sta. 000+778.00, Brgy. Inagawan Sub, Puerto Princesa City, Palawan</t>
  </si>
  <si>
    <t>Purchase of large white piglets for fattening as livelihood project for the Women NGOs of different barangays of the Municipality</t>
  </si>
  <si>
    <t>6ID SBAC-01-20     Supply and Delivery of Construction Materials for Cotabato Airport Development Project CY-2018 (Runway Strip Grade Correction)- Brgy Awang DOS, Maguindanao, 6ID, PA (RE - POSTING)</t>
  </si>
  <si>
    <t>BLGU201920%DFCW-005: Extension of Concreting and CHB Slope Protection of Brgy. Subusob Cemetery</t>
  </si>
  <si>
    <t>Procurement of 1 Job Consultancy Services under P.R.No. 2793-2020-CMO-Provision for Priority Development Project (Continuing)</t>
  </si>
  <si>
    <t>Supply and Delivery of one (1) unit Multi-Purpose Vehicle</t>
  </si>
  <si>
    <t>PROVISION OF FOOD SUPPLY TO THE AFFECTED FAMILIES OF JAGNA DUE TO COVID19 PANDEMIC</t>
  </si>
  <si>
    <t>Purchase of Furniture and Fixtures</t>
  </si>
  <si>
    <t>Supply and delivery of office and janitorial supplies for the use of the Kidapawan City District Jail, CDRRMO and CHRMO, Kidapawan City</t>
  </si>
  <si>
    <t>Supply and delivery of office and janitorial supplies for the COMELEC Office, PESO, DILG, City Health Office and City Engineering Office, Kidapawan City</t>
  </si>
  <si>
    <t>Supply and Delivery of  One (1) Unit Submersible Pumps</t>
  </si>
  <si>
    <t>ALL SEASON FISHING (FISHING BOAT AND GEARS) - POBLACION</t>
  </si>
  <si>
    <t>Purchase of Materials for the Fabrication of Movable Basketball Post with Fiber Glass Back Board</t>
  </si>
  <si>
    <t>BAC-VARIOUS OFFICE SUPPLIES</t>
  </si>
  <si>
    <t>Construction Materials to be used in the construction of Multi-Purpose Building ARMM-HELPS 2015: Taberlongan, Maluso Municipality, Basilan</t>
  </si>
  <si>
    <t>Installation of Solar Street Light Purok 1 to Purok 6</t>
  </si>
  <si>
    <t>Supply and delivery of laptops for the use of the City Health Office and Kidapawan City Blood Center, Kidapawan City</t>
  </si>
  <si>
    <t>INVITATION TO BID FOR THE SUPPLY AND DELIVERY OF EQUIPMENT FOR E-LIBRARY OF BARANGAY POBLACION A, TAYUG, PANGASINAN</t>
  </si>
  <si>
    <t>INVITATION TO BID  FOR  THE REHABILITATION OF BARANGAY MULTI-PURPOSE BUILDING OF BARANGAY POBLACION A, TAYUG, PANGASINAN</t>
  </si>
  <si>
    <t>CONCRETING OF BARANGAY ROAD at Brgy. Dimanpudso,</t>
  </si>
  <si>
    <t>CONSTRUCTION OF SEPARATE COMFORT ROOM FOR MALE AND FEMALE</t>
  </si>
  <si>
    <t>Office supplies (DSWD)</t>
  </si>
  <si>
    <t>Materials for the Construction of Addtional MRF of this Municipality</t>
  </si>
  <si>
    <t>CONSTRUCTION OF ONE (1) UNIT THREE (3) CLASSROOM SCHOOL BUILDING, ALEGRIA, NATIONAL HIGH SCHOOL, SEF, BARANGAY ALEGRIA, SFADS</t>
  </si>
  <si>
    <t>Invitation to Bid for INSTALLATION OF SOLAR LIGHT</t>
  </si>
  <si>
    <t>20GJF0149 -  Office Supplies and Consumables for the use in the Construction Section, this district</t>
  </si>
  <si>
    <t>PURCHASE OF TWO (2) DESKTOP COMPUTER FOR LAMAK CS</t>
  </si>
  <si>
    <t>Supply and delivery of medical equipments for the use of the CDRRMO/Call 911, Kidapawan City.</t>
  </si>
  <si>
    <t>PROCUREMENT OF OFFICE SUPPLIES 2020</t>
  </si>
  <si>
    <t>Procurement of Furniture-08-008(I)CAO</t>
  </si>
  <si>
    <t>Supply and Delivery of Office Fixtures use at the Dauis Central School at Dauis, Bohol.</t>
  </si>
  <si>
    <t>Purchase of Offices Supplies, Equipment &amp; Construction Materials</t>
  </si>
  <si>
    <t>Procurement of Catering Services-08-011(C)PPDO</t>
  </si>
  <si>
    <t>Procurement and Delivery of Supplies for the In-House Reproduction of Self-Learning Modules (SLMs) as Learning Resources for Quarters 1 and 2</t>
  </si>
  <si>
    <t>ALL SEASON FISHING (CANJULAO, PAGINA, POBLACION AND TEJERO FISHERFOLKS)</t>
  </si>
  <si>
    <t>17NG0090:CONSTRUCTION OF 4 STY 20-CLR SCHOOL BLDG.,DAPA NHS (SCH. ID 304774)</t>
  </si>
  <si>
    <t>For use in Planning and Design Section.</t>
  </si>
  <si>
    <t>ROAD SHOULDERING @ PUROK 2, BRGY. LINAO , ORMOC CITY</t>
  </si>
  <si>
    <t>Procurement of Agricultural Products-08-096(M)OPAG</t>
  </si>
  <si>
    <t>PURCHASE OF ONE (1) UNIT LAPTOP FOR LAMAK CS</t>
  </si>
  <si>
    <t>Procurement of Office Equiptment for Disaster Preparedness</t>
  </si>
  <si>
    <t>Procurement of Various Office Supplies-08-007(AH)RTC</t>
  </si>
  <si>
    <t>PROCUREMENT OF ECCD CECKLIST, HYGIENE KIT, EATING UTENSIL AND FIRST AID KIT</t>
  </si>
  <si>
    <t>20NG0100 - CONSTRUCTION OF TWO-STOREY (6 CLASSROOMS) SCHOOL BUILDING/ OMBONG ELEMENTARY SCHOOL, ALEGRIA, SURIGAO DEL NORTE</t>
  </si>
  <si>
    <t>Procurement of IT Equipment-08-014(E)PTO</t>
  </si>
  <si>
    <t>Construction of Evacuation Center Phase 1 &amp; 2 at Agguirit, Amulung Cagayan</t>
  </si>
  <si>
    <t>17NG0091:CONSTRUCTION OF 3 STY-15 CLR SCHOOL BUILDING, GENERAL LUNA NHS (SCH. ID 304777)</t>
  </si>
  <si>
    <t>Procurement of Reversible Jacket for the use of DOH CHD I UHC Project Management Team in Universal Healthcare communication and campaign</t>
  </si>
  <si>
    <t>Procurement of Various Aggregates Supplies-08-525(O)PEO</t>
  </si>
  <si>
    <t>LABOR AND MATERIALS FOR THE REPAIR AND MAINTENANCE OF MUNICIPAL AMBULANCE (FOTON)</t>
  </si>
  <si>
    <t>Purchase of Assorted Vegetables Seeds</t>
  </si>
  <si>
    <t>Materials for Improvement of Child Development Center Bldgs.</t>
  </si>
  <si>
    <t>Procurement of Medical Supplies and Equipment for the use of DOH SFLU TRC</t>
  </si>
  <si>
    <t>Procurement of Various Electrical Supplies-08-534(O)PEO</t>
  </si>
  <si>
    <t>REproduction of First Quarter Self Learning Modules for Grade 7 - 12</t>
  </si>
  <si>
    <t>Purchase of Medicines and Medical Supplies</t>
  </si>
  <si>
    <t>PURCHASE OF PHOTOCOPYING MACHINE</t>
  </si>
  <si>
    <t>PURCHASE OF OFFICE SUPPLIES FOR VARIOUS SCHOOLS</t>
  </si>
  <si>
    <t>SUPPLY AND DELIVERY OF MATERIALS FOR CONSTRUCTION OF HAND WASHING FACILITY FOR BOTH SECONDARY AND ELEMENTARY SCHOOLS</t>
  </si>
  <si>
    <t>Procurement of Supplies &amp; Materials for the use of Dr. Rafael S. Tumbokon Memorial Hospital-EEDD, Kalibo, Aklan- Re Bidding /ITB no: 2020-506</t>
  </si>
  <si>
    <t>GINGER TEA "SALABAT" PRODUCTION AND MARKETING - LACA</t>
  </si>
  <si>
    <t>Procurement of Medical, Dental &amp; Laboratory Supplies</t>
  </si>
  <si>
    <t>INSTALLATION OF CULVERT</t>
  </si>
  <si>
    <t>Purchase of Equipments for the use of MENRO, Lambunao, Iloilo</t>
  </si>
  <si>
    <t>Repair of Daycare and Multi Purpose Hall</t>
  </si>
  <si>
    <t>Procurement of brush cutter,folded table,cooler</t>
  </si>
  <si>
    <t>PROCUREMENT OF MATERIALS/SUPPLIES FOR THE CONSTRUCTION OF OIL AND WATER SEPARATOR USED OIL CONCRETE POND</t>
  </si>
  <si>
    <t>IMPROVEMENT OF STREETLIGHTS</t>
  </si>
  <si>
    <t>20GL0098 - CONCRETING OF SUGARCANE FARM-TO-MILL ROAD, POBLACION 5 HIGHWAY TO HACIENDA NALIPAY, ISABELA, NEGROS OCCIDENTAL</t>
  </si>
  <si>
    <t>17NG0092:CONSTRUCTION OF 3 STY 9 CLR SCHOOL BUILDING, SAN BENITO NHS (SCH. ID 304781), SAN BENITO, SURIGAO DEL NORTE</t>
  </si>
  <si>
    <t>17NG0093:CONSTRUCTION OF  2 STOREY 6 CLASSROOM SCHOOL BUILDING, SAN ISIDRO NATIONAL HIGH SCHOOL, SAN ISIDRO, SURIGAO DEL NORTE</t>
  </si>
  <si>
    <t>Construction of Function Hall (Phase I)</t>
  </si>
  <si>
    <t>Procurement of Other supplies, furnitures and fixtures requested by barangays during the conduct of Bisita sa Barangay; LGU Offices and the Department of Education</t>
  </si>
  <si>
    <t>Procurement of Various Construction Supplies and Materials-07-397(O)PEO</t>
  </si>
  <si>
    <t>Supply and Delivery of Assorted Automotive Batteries</t>
  </si>
  <si>
    <t>20NF-GOODS-02:SUPPLY, DELIVERY AND INSTALLATION OF DPWH OFFICE CUBICLE STAND @ PLANNING AND DESIGN SECTION</t>
  </si>
  <si>
    <t>One Lot Repair/ Rehabilitation/ Improvement/ Renovation of Ultrasound Unit (with Provision Against Covid 19 and other Emerging Highly Infectious Diseases)(Re-bidding)</t>
  </si>
  <si>
    <t>Procurement of Other Supplies &amp; Materials</t>
  </si>
  <si>
    <t>20FH0102 - CONCRETING OF BRGY. SAN ROQUE TO BRGY. BATALAY FARM-TO-MARKET ROAD PHASE 2, BRGY. SAN ROQUE &amp; BRGY. BATALAY, BATO,  CATANDUANES</t>
  </si>
  <si>
    <t>IMPROVEMENT OF DRAINAGE CANAL</t>
  </si>
  <si>
    <t>CPAR-20-3139:Procurement of Agricultural Supplies to be used as inputs for the implementation of the project “Community-based Participatory Action Research on Rice-based Farming.."</t>
  </si>
  <si>
    <t>Improvement/Opening of Road at Barangay Poblacion, Nueva Era, Ilocos Norte</t>
  </si>
  <si>
    <t>Purchased of 1 HONDA TMX 125 MOTORCYCLE</t>
  </si>
  <si>
    <t>Repair of Nursery/Vermi-Culture at Poblacion Nueva Era, Ilocos Norte</t>
  </si>
  <si>
    <t>20FH0103 - CONCRETING OF BRGY. BATONG PALOWAY TO BRGY. SAN VICENTE FARM-TO-MARKET ROAD PHASE 2, BRGY. BATONG PALOWAY AND BRGY. SAN VICENTE,  SAN ANDRES, CATANDUANES</t>
  </si>
  <si>
    <t>One unit RISO</t>
  </si>
  <si>
    <t xml:space="preserve">20CSCM06 - Consultancy Services for the Geotechnical Investigation (Sub-Soil Exploration) of Various Local Programs (Multipurpose/Facilities Projects) for the proposed  FY 2021 Infrastructure Program </t>
  </si>
  <si>
    <t>IMPROVEMENT OF NVPH PLUMBING AND SANITARY Located at NVPH, Almaguer North, Bambang, Nueva Vizcaya</t>
  </si>
  <si>
    <t>( PR NO. 20-07-07-0236 Re-canvass SUPPLY AND DELIVERY OF 6 lgths Wide Flange, W6x15)</t>
  </si>
  <si>
    <t>Repair and Maintenance of Electrification, Powers &amp; Energy Structures</t>
  </si>
  <si>
    <t>Procurement of Various Hardware Supplies-08-112(M)OPAG</t>
  </si>
  <si>
    <t>2020 Smallholder Oil Palm Development Project (SOPDP): Oil Palm Seedlings - Rebidding</t>
  </si>
  <si>
    <t>Supply and Delivery of Hardware Supplies and Construction Materials</t>
  </si>
  <si>
    <t>Plastic Stackable Chair</t>
  </si>
  <si>
    <t>PEANUT BUTTER PRODUCTION - CAMBUGASON</t>
  </si>
  <si>
    <t>Procurement of IT Equipment for the use of Dr. Rafael S. Tumbokon Memorial Hospital-EEDD, Kalibo, Aklan- Re Bidding /ITB no: 2020-507</t>
  </si>
  <si>
    <t>Procurement of Various Construction Supplies and Materials-08-519(O)PEO</t>
  </si>
  <si>
    <t>Supply &amp; delivery of Desktop &amp; Laptop Computers</t>
  </si>
  <si>
    <t>Procurement of Various Construction Supplies and Materials-08-537(O)PEO</t>
  </si>
  <si>
    <t>Procurement of Drugs and Medicines for Lingig Community Hospital Medical/Nursing Department.</t>
  </si>
  <si>
    <t>Supply &amp; Delivery of Various Electrical Parts for Perkins &amp; FG Wilson Gensets of Manuk Mangkaw DPP for PR # S3-MAN20-007, S3-MAN20-008 &amp; S3-MAN20-010 (S3-SPUGWM20-003 (NP5)</t>
  </si>
  <si>
    <t>20FH0104 - REPAIR/MAINTENANCE OF DPWH EXISTING MAIN OFFICE BUILDING, CATANDUANES DEO, VIRAC, CATANDUANES</t>
  </si>
  <si>
    <t>SUPPLY AND DELIVERY OF DRUGS AND MEDICINES FOR SENIOR CITIZENS WELLNESS</t>
  </si>
  <si>
    <t>SUPPLY, DELIVERY AND INSTALLATION OF PLASTIC PROTECTIVE SHEETS</t>
  </si>
  <si>
    <t>CID No. 20GLE0099/PR 20-08-0153 Purchase of Fuel for use in various service vehicle of Davao Occidental DEO-Malita, along Buhangin Jnct. Felis-Bolila-Sanghay-Kilalag-Demoloc-Datu Danwata Projects (for</t>
  </si>
  <si>
    <t>SUPPLY AND DELIVERY OF OFFICE SUPPLIES (SEF)</t>
  </si>
  <si>
    <t>RFQ No. 2008-420 Proc. of Infra (Drainage Canal along M. Parras St.)</t>
  </si>
  <si>
    <t>HO-DMD20-006 - Supply and Delivery of Battery 3SMF</t>
  </si>
  <si>
    <t>SUPPLY AND DELIVERY OF TWO (2) UNITS DIGITAL DUPLICATOR MACHINES, INK AND MASTER ROLL, SEF, SFADS</t>
  </si>
  <si>
    <t>Repair/Improvement of Fence at the back of Municipal Hall, Nueva Era, Ilocos Norte</t>
  </si>
  <si>
    <t>Rehabilitation/ Improvement of Road</t>
  </si>
  <si>
    <t>IMPROVEMENT OF D.D.H. PERIMETER FENCE (ALONG DIETARY BUILDING) Located at D.D.H. Cpd., Dupax del Norte, Nueva Vizcaya</t>
  </si>
  <si>
    <t>PURCHASE OF OFFICE EQUIPMENT (GCH)</t>
  </si>
  <si>
    <t>Medical &amp; Laboratory Supplies</t>
  </si>
  <si>
    <t>CONSTRUCTION OF DRAINAGE CANAL SITIO BRANDY</t>
  </si>
  <si>
    <t>ENHANCEMENT OF TABLEYA AND CHOCOLATE PRODUCTION - CANJULAO</t>
  </si>
  <si>
    <t>Supplemental Medicine Supplies for Guimba Community Hospital Operations for 4th Quarter</t>
  </si>
  <si>
    <t>1 Lot closed circuit Television</t>
  </si>
  <si>
    <t>2nd Invitation to Bid for the  CONSTRUCTION OF CADISULAN II CIS Located at Bone South, Aritao, Nueva Vizcaya</t>
  </si>
  <si>
    <t>Supply and delivery of materials for the construction of drainage canal</t>
  </si>
  <si>
    <t>Supply &amp; Delivery of Generator Set &amp; Air Condition Units, Municipal Health Office, Buenavista, Quezon</t>
  </si>
  <si>
    <t>Concreting/Improvement of Farm to Market Road at Barangay Cabittauran, Nueva Era, Ilocos Norte</t>
  </si>
  <si>
    <t>Procurement of Consulting Services for the Development of the RAB Handbook to include the Standardization of the Replacement Costs and Asset Lives for Privately-Owned Distribution Utilities and Fieldw</t>
  </si>
  <si>
    <t>ENHANCEMENT OF MAIZE KAPE PRODUCTION - CANTAGAY</t>
  </si>
  <si>
    <t>SUPPLY AND DELIVERY OF SAN FRANCISCO, AGUSAN DEL SUR BARANGAY TANODs’ UNIFORM FOR BARANGAY PEACE AND ORDER ACTIVITIES, SFADS</t>
  </si>
  <si>
    <t>20FH0105 - EMERGENCY REPAIR/MAINTENANCE OF DRAINAGE SYSTEM ALONG CCR VIRAC-BATO-SAN MIGUEL ROAD SECTION AT (K0002+050 – K0002+250), SAN VICENTE, VIRAC, CATANDUANES</t>
  </si>
  <si>
    <t>Folding Table</t>
  </si>
  <si>
    <t>HO-EMA20-001 &amp; 5 OTHERS - Supply of Labor and Materials for the Calibration and Preventive Maintenance Service of Laboratory Equipment</t>
  </si>
  <si>
    <t>PROCUREMENT OF CONSTRUCTION MATERIALS FOR THE REHABILITATION OF BARANGAY LOCAL ROADS</t>
  </si>
  <si>
    <t>Construction of Multi-Purpose Hall – Brgy. Basak</t>
  </si>
  <si>
    <t>Supplemental Medical Supplies for GCH Operations for 4th Quarter</t>
  </si>
  <si>
    <t>CONSTRUCTION OF DRAINAGE CANAL SITIO CENTRO</t>
  </si>
  <si>
    <t>I.T. EQUIPMENT AND PERIPHERALS</t>
  </si>
  <si>
    <t>CY2020 BEFF Repair and Rehabilitation of Classrooms in Cabatoan ES and Magaswe ES</t>
  </si>
  <si>
    <t>CID No. 20CSIO14: Consultancy Services for the Conduct of Feasibility Study of the Proposed: 1.	Construction of Brgy. Malobago, Jaro – Brgy. Tingib, Pastrana – Brgy. Patoc, Dagami Road, Leyte;2.	Const</t>
  </si>
  <si>
    <t>Purchase of various Calamity Materials</t>
  </si>
  <si>
    <t>(PAssO) (2ND) INVITATION TO BID FOR THE SUPPLY &amp; DELIVERY OF HIGH-SPEED SCANNER, LAPTOP &amp; ALL IN ONE DESKTOP COMPUTER FOR THE  PROVINCIAL ASSESSMENT OFFICE--305,000.00</t>
  </si>
  <si>
    <t>Supply and Delivery of Office Equipment and Supplies</t>
  </si>
  <si>
    <t>SUPPLY AND DELIVERY OF 209 VERO CELL VIALS FOR THE CITY HEALTH OFFICE</t>
  </si>
  <si>
    <t>Purchase of Fuel (Gasoline &amp; Diesel)</t>
  </si>
  <si>
    <t>Rehabilitation of Various FMR</t>
  </si>
  <si>
    <t>SUPPLY AND DELIVERY OF GARDENING SUPPLIES (P.R. NO. 100-20-08-0301)</t>
  </si>
  <si>
    <t>Supply &amp; Delivery of Consumable Materials, Labor &amp; Expertise for the Reconditioning of VTR-304 Turbocharger, for Jolo DPP (1	S3-JOL20-017 (NP5)</t>
  </si>
  <si>
    <t>Construction materials of Multi-purpose hall Brgy. Tanod Outpost Sitio BARIBAG BRGY. BIBINCAHAN</t>
  </si>
  <si>
    <t>Improvement of 33 Day Care Center</t>
  </si>
  <si>
    <t>SEWING "RAG, DOORMAT, PILLOW CASE, P-HOLDER" PRODUCTION - TUBOD MAR</t>
  </si>
  <si>
    <t>Rehabilitation of Barangay Health Center</t>
  </si>
  <si>
    <t>Proposed Road Concreting (18.0 meters x 5.0meters x 0.15m (2 lanes)) at Purok 5, Brgy. Magsaysay, Kidapawan City.</t>
  </si>
  <si>
    <t>PAYMENT FOR CATERING SERVICES FOR THE PARTICIPANTS FOR THE REVISION OF MUNICIPAL FISHERIES ORDINANCE #081-2014</t>
  </si>
  <si>
    <t>Concreting/Improvement of Farm to Market Road at Barangay Sto. Nino, Nueva Era, Ilocos Norte</t>
  </si>
  <si>
    <t>Supply and Delivery of Materials for the Construction of Multi-Purpose Bldg., (Senior Citizen) Phase II at BLGU Doña Josefa, Laak, Davao De Oro</t>
  </si>
  <si>
    <t>Procurement of One (1) Unit Brand New Backhoe Excavator (Supply and Delivery)</t>
  </si>
  <si>
    <t>PURCHASE OF ONE (1) UNIT FOUR-WHEELED VEHICLE (4X4, PICK-UP TYPE) FOR INFRASTRUCTURE RELATED AND ENGINEERING SERVICES/OBO FUNCTIONS FOR 45 BARANGAY'S FOR ARGAO, CEBU</t>
  </si>
  <si>
    <t>21A00007: Retrofitting/Strengthening of Permanent Bridges, Cuenca Bridge (B00829LZ) along Rosario-Pugo Road</t>
  </si>
  <si>
    <t>PURCHASE OF PURIFIED RABIES VACCINE (SPEEDA)</t>
  </si>
  <si>
    <t>Supply and Delivery of 2 Months Old Dominant CZ Chicken for the Integrated Corn-Based Farming system cum Free-Range Chicken Training  for Farmers of Matalam, Cotabato for ATI-RTC XII.</t>
  </si>
  <si>
    <t>20NG0101 - CONSTRUCTION OF TWO-STOREY (4 CLASSROOMS) SCHOOL BUILDING/ QUEZON ELEMENTARY SCHOOL, SURIGAO CITY</t>
  </si>
  <si>
    <t>Purchase of printer (OMM)</t>
  </si>
  <si>
    <t>Supply &amp; Delivery of Various O-Rings &amp; Rubber Ring for Power Barge 119 (S3-B1920-009 (NP-3)</t>
  </si>
  <si>
    <t>Materials for Construction of Ground Reservoir</t>
  </si>
  <si>
    <t>Computer Printer and Thermal Scanner</t>
  </si>
  <si>
    <t>20FH0106 - REPAIR/MAINTENANCE OF SLOPE PROTECTION ALONG JCT. PANGANIBAN-SABLOYON ROAD SECTION (K0063+300 – K0063+400) AT INTERMITTENT SECTION, SARA-SARAAN, PANGANIBAN, CATANDUANES</t>
  </si>
  <si>
    <t>Supply &amp; Delivery of Electrical Spare Parts for MAN 6L21/31 of Basilan DPP (S3-BAI20-018 (NP-2)</t>
  </si>
  <si>
    <t>Completion of Covered Court of VSU Tolosa (INFRA-21-01)</t>
  </si>
  <si>
    <t>21A00010: Retrofitting/Strengthening of Permanent Bridges, Pasaleng Bridge (B00550LZ) along Manila North Road</t>
  </si>
  <si>
    <t>CID No. 20GLE0101/PR 20-08-0155 Purchase of Fuel for use in various service vehicle of Davao Occidental DEO-Malita, along Buhangin-Balangonan (JAS)-Sarangani Projects (for 4th Quarter CY 2020).</t>
  </si>
  <si>
    <t>Procurement of Hardware &amp; Construction Materials for the Construction of Various Infra Projects, Vintar, Ilocos Norte</t>
  </si>
  <si>
    <t>21A00006: Retrofitting/Strengthening of Permanent Bridges, Bocal Bridge (B00532LZ) along Manila North Road</t>
  </si>
  <si>
    <t>Credenza</t>
  </si>
  <si>
    <t>Concreting/Improvement of Farm to Market Road at Sitio Dongdong, Barangangay Acnam, Nueva Era, Ilocos Norte</t>
  </si>
  <si>
    <t>Installation of Main Distribution Line for Purok 4 Sitio Akli Brgy. Sta. Teresa 1st,Lubao, Pampanga</t>
  </si>
  <si>
    <t>21A00009: Retrofitting/Strengthening of Permanent Bridges, Pancian Bridge (B00549LZ) along Manila North Road</t>
  </si>
  <si>
    <t>SUPPLY AND DELIVERY OF VEHICLE MAINTENANCE SUPPLIES FOR VARIOUS TRANSPORTATION EQUIPMENT OF THE CITY</t>
  </si>
  <si>
    <t>Invitation to Bid (Refurbishment of Leased Property)(Regional Trial Courts in Bacoor City, Cavite)</t>
  </si>
  <si>
    <t>20NG0102 - CONSTRUCTION OF 1 STOREY 3 CLASSROOM SCHOOL BUILDING/ KARIHATAG ELEMETARY SCHOOL, BARANGAY KARIHATAG, MALIMONO, SURIGAO DEL NORTE</t>
  </si>
  <si>
    <t>PURCHASE OF VARIOUS PARTS FOR THE MAINTENANCE OF MUNICIPAL SERVICE VEHICLE</t>
  </si>
  <si>
    <t>Improvement of Water system &amp; intallation</t>
  </si>
  <si>
    <t>Steel Locker and Sliding Glass Door Cabinet</t>
  </si>
  <si>
    <t>21A00008: Retrofitting/Strengthening of Permanent Bridges, Pantal Bridge II (B04222LZ) along Judge Jose De Venecia Boulevard Extension Road</t>
  </si>
  <si>
    <t>Procurement of Various Kitchen Equipment</t>
  </si>
  <si>
    <t>SUPPLY AND DELIVERY OF MATERIALS TO BE USED IN INSTALLATION OF POTABLE WATER SUPPLY SYSTEM LEVEL 2 SITI0 LANZONES, &amp; MANGGA, BARANGAY PIǸAHAN</t>
  </si>
  <si>
    <t>INVITATION TO BID FOR THE SUPPLY OF MATERIALS AND EQUIPMENT RENTAL FOR BARANGAY ROAD CONCRETING - FIRST BIDDING</t>
  </si>
  <si>
    <t>Fabrication/Construction of 12 Units streetlights</t>
  </si>
  <si>
    <t>PROCUREMENT OF PROFESSIONAL CONSULTING  SERVICE FOR THE CONDUCT OF AIR DISPERSION  MODELLING FOR THE PIESTTA AIRSHED</t>
  </si>
  <si>
    <t>Installation of Water System in Barangay Himakilo</t>
  </si>
  <si>
    <t>Construction of two units Footbridge and Stone Masonry Slope Protection</t>
  </si>
  <si>
    <t>REHABILITATION OF DRAINAGE @ PUROK 8 AND 10</t>
  </si>
  <si>
    <t>CID No. 20GLE0100/PR 20-08-0154 Purchase of Fuel for use in various service vehicle of Davao Occidental DEO-Malita, along Buhangin-Malita-Don Marcelino-JAS Projects (for 4th Quarter CY 2020).</t>
  </si>
  <si>
    <t>Supply and Delivery of Materials Including Installation and Fabrication of Partition of Multi-Purpose Brgy. Hall Phase II of BLGU Doña Josefa, Laak, Davao De Oro</t>
  </si>
  <si>
    <t>PURCHASE AND DELIVERY OF MEDICINES</t>
  </si>
  <si>
    <t>Construction of Covered Court-Brgy. Maniak</t>
  </si>
  <si>
    <t>Extension &amp; Rehabilitation of Evacuation Center</t>
  </si>
  <si>
    <t>Invitation to Apply for Eligibility and to Bid for the Supply and Delivery of Risograph Machine</t>
  </si>
  <si>
    <t>PURCHASE OF VARIOUS ITEMS TO BE DISTRIBUTED TO TOP TEN OUTSTANDING ELEMENTARY SCHOOL PUPILS AND TOP TEN OUTSTANDING SENIOR HIGH SCHOOL STUDENTS OF CALUYA, STUDENTS, PARENTS, SCHOOLS AND THE COMMUNITY</t>
  </si>
  <si>
    <t>pick-up van</t>
  </si>
  <si>
    <t>FOOD PROCESSING "SUMAN" PRODUCTION AND MARKETING - TUBOD MONTE</t>
  </si>
  <si>
    <t>PEO-20-0927-B (REBID)- Purchase of Spare Parts for use in the repair of Isuzu Dump Truck (NDT 21-40) Model: FTR33FLD assigned at PEP, Sta. Barbara, Iloilo</t>
  </si>
  <si>
    <t>SUPPLY &amp; DELIVERY OF 1 UNIT BRAND NEW 7-TONNER HAULING TRUCK In support to Consolidation, Processing and Marketing of Copra for Bulucaon Farmers Multi-Purpose Cooperative (BFMPC), Bulucaon, Pigcawayan</t>
  </si>
  <si>
    <t>20GA00005: Purchase and Delivery of Various Heavy Equipment in connection with the Dredging Projects of Region I</t>
  </si>
  <si>
    <t>CONSTRUCTION OF MINI GYM CANOPY (PHASE II)</t>
  </si>
  <si>
    <t>CID No. 20GLE0102/PR 20-08-0156 Purchase of Fuel for use in various service vehicle of Davao Occidental DEO-Malita, along Buhangin-Sta.Maria Area Projects (for 4th Quarter CY 2020).</t>
  </si>
  <si>
    <t>FURNISHING OF LABOR AND MATERIALS FOR THE REPAIR OF FARM TO MARKET ROAD AT BRGY. PATLAD, DUMANGAS, ILOILO (REBIDDING)</t>
  </si>
  <si>
    <t>Security Services Provider of Three (3) Security Guards at RELC, Cabatangan and DepEd Satelite Office, Normal Road, Baliwasan, Zamboanga City</t>
  </si>
  <si>
    <t>IMPROVEMENT OF MULTI-PURPOSE BUILDING (COVERED COURT FLOORING), UPPER SUMILONG, PAYAO, ZAMBOANGA SIBUGAY</t>
  </si>
  <si>
    <t>PROCUREMENT OF  GOAT AND SHEEP  ( INCLUDE SKILLS TRAINING)</t>
  </si>
  <si>
    <t>Construction of Typical Fire Station with Mezzanine of Kinoguitan Fire Station</t>
  </si>
  <si>
    <t>REPRODUCTION AND DELIVERY OF LEARNING MODULES FOR GRADE III, GRADE IV, GRADE V, AND GRADE VI.</t>
  </si>
  <si>
    <t>SUPPLY AND DELIVERY OF CHRISTMAS LIGHTS (1.30m x 1.80m @ 800bulb, 50w)</t>
  </si>
  <si>
    <t>Construction of Multi-Purpose Drying Pavement</t>
  </si>
  <si>
    <t>PURCHASE OF 2-UNITS MULTI FUNCTION PHOTOCOPIER FOR MEEDO OFFICE</t>
  </si>
  <si>
    <t>CPAR-20-3138: Procurement of Agricultural Supplies to be used as Inputs for the implementation of the project “Community-based Participatory Action Research..”</t>
  </si>
  <si>
    <t>Construction of Police Community Precinct (PCP) at Barangay Buenavista</t>
  </si>
  <si>
    <t>Purchase of Electrical Supplies</t>
  </si>
  <si>
    <t>Furniture</t>
  </si>
  <si>
    <t>Supply and delivery of medical supplies for the use of the Kidapawan City Hospital, Kidapawan City</t>
  </si>
  <si>
    <t>Upgrading of Munguia-Parai Road</t>
  </si>
  <si>
    <t>CID No. 20GLE0103/PR 20-08-0157 Purchase of Fuel for use in various service vehicle of Davao Occidental DEO-Malita, along Buhangin-Malita-Jnct. Mana-Little Baguio Projects (for 4th Quarter CY 2020).</t>
  </si>
  <si>
    <t>FURNISHING OF LABOR AND MATERIALS FOR THE CONSTRUCTION OF DRAINAGE AND SIDEWALK- SOUTHBOUND TERMINAL AT BRGY. TABUCAN, DUMANGAS, ILOILO (REBIDDING)</t>
  </si>
  <si>
    <t>POWER BILL DEPOSIT - METER DEPOSIT AT NEW CITYHALL, PEÑAPLATA, SAMAL DISTRICT, IGACOS under PR# 2020-08-3067.</t>
  </si>
  <si>
    <t>Rehabilitation of Water Source from Sitio Anahaw to Proper Nagsaha, Brgy. Nagsaha, Guihulngan City</t>
  </si>
  <si>
    <t>Large Format Printer for Engineering use under PR# 2020-08-3088.</t>
  </si>
  <si>
    <t>20GGI0038 - Supply/Delivery of Fuel for use of Service Vehicles assigned at the DE/ADE, Construction Section, Planning and Design Section, Administrative Section, Quality Assurance Section and Account</t>
  </si>
  <si>
    <t>20GGI0025 - Supply/Delivery of Various  Spare Parts for use in the repair of Mitsubishi Road Grader (N1-2070) assigned at Maintenance Section, DPWH, Iloilo 4th District Engineering Office</t>
  </si>
  <si>
    <t>SOLAR STREET LIGHTING</t>
  </si>
  <si>
    <t>Supply of fuel for the use of the City Engineering Office, Kidapawan City.</t>
  </si>
  <si>
    <t>(GO-Jail) (2ND) INVITATION TO BID FOR THE SUPPLY &amp; DELIVERY OF1 UNIT PHOTOCOPIER   FOR THE  GOVERNOR’S OFFICE – PROVINCIAL JAIL--150,000.00</t>
  </si>
  <si>
    <t>INVITATION TO BID FOR SUPPLY OF MATERIALS FOR BARANGAY ROAD CONCRETING - FIRST BIDDING</t>
  </si>
  <si>
    <t>Invitation to Apply for Eligibility and to Bid for the Supply ang Delivery of Large Cattle</t>
  </si>
  <si>
    <t>IMPROVEMENT OF MULTI-PURPOSE BUILDING - BRGY. NAUSOK</t>
  </si>
  <si>
    <t>Purchase of Supplies &amp; Materials for the Usage of MPP and Barangay Street Lights</t>
  </si>
  <si>
    <t>Supply and Installation of Solar Street Lights</t>
  </si>
  <si>
    <t>Installation of Water Distribution Line with Tapstand at Brgy. Malusay</t>
  </si>
  <si>
    <t>UPLB-S-054-09-20, SUPPLY AND DELIVERY OF BRANDED AND BRAND NEW LAPTOP COMPUTERS FOR CPAF</t>
  </si>
  <si>
    <t>Purchase of CCTV Camera with Installation</t>
  </si>
  <si>
    <t>(GO-Jail) (2ND) INVITATION TO BID FOR THE SUPPLY &amp; DELIVERY OF FIREARMS (9MM FS W/ LICENSE)  FOR THE  GOVERNOR’S OFFICE – PROVINCIAL JAIL--150,000.00</t>
  </si>
  <si>
    <t>OPA-FISHERIES-2020-0193 Rebidding INVITATION TO BID FOR THE PROCUREMENT OF SPINY BAMBOO, B-NET, P.E. ROPES, AND MONONYLON</t>
  </si>
  <si>
    <t>Concreting of Road Sitio Abalaten, Barangay San Vicente, San Jacinto, Pangasinan</t>
  </si>
  <si>
    <t>Supply and delivery of DDR Tools and Materials Automotive Supplies.REBID</t>
  </si>
  <si>
    <t>Concreting &amp; Widening of Nabas-Buenavista-Buenafortuna Road, Nabas, Aklan</t>
  </si>
  <si>
    <t>PROCUREMENT OF  FACE  MASKS</t>
  </si>
  <si>
    <t>INSTALLATION OF SOLAR POWERED LIGHTING SYSTEM</t>
  </si>
  <si>
    <t>20GPG0003 - Purchase and Delivery of Information and Communication Technology Equipment/ Devices and Accessories for use of Planning and Design Section, DPWH - Ifugao First District Engineering Office</t>
  </si>
  <si>
    <t>PURCHASE OF SWIVEL CHAIR FOR AGRICULTURE OFFICE</t>
  </si>
  <si>
    <t>Supply and Delivery of Brand New Engine Fire Fighting Truck: 3000 Liters (750 Gallons) Water Tank Capacity.</t>
  </si>
  <si>
    <t>Procurement of 15000 Tons Solid Waste Collection and Disposal Services.</t>
  </si>
  <si>
    <t>20FH0108 - REPAIR/MAINTENANCE OF SLOPE PROTECTION ALONG JCT. BATO-BARAS ROAD SECTION, (K0020+500 – K0020+700) AT INTERMITTENT SECTION, TILOD, BARAS, CATANDUANES</t>
  </si>
  <si>
    <t>Invitation to Apply for Eligibility and to Bid for the Supply and Delivery of Licensed Repeater and  Hand Held Radio</t>
  </si>
  <si>
    <t>Supply and Delivery of 200 pcs. Angle Valve 1/2 x 1/2 and other various plumbing materials and etc.,</t>
  </si>
  <si>
    <t>Reblocking of Tondog-Baybay-Dapdap Road, Tangalan, Aklan</t>
  </si>
  <si>
    <t>Purchase of Vehicle (multicab)</t>
  </si>
  <si>
    <t>Procurement of Fuel &amp; Lubricant for the Rehabilitation of Barangay Road (Damaged by LPA) Taruc,  R. T. Lim, Zamboanga Sibugay</t>
  </si>
  <si>
    <t>Office Supplies of 1st and 2nd Quarter for DepEd RO-IX</t>
  </si>
  <si>
    <t>Supply and delivery of triple bags for the use of the Kidapawan City Blood Center, Kidapawan City.</t>
  </si>
  <si>
    <t>Supply and Delivery of 50 pcs. Tire, Tubeless, 155 R12 and other various Tire supplies.</t>
  </si>
  <si>
    <t>Invitation to Apply for the Eligibility and to Bid for the Renovation and Repair of Food Technology Laboratory (Bldg J)</t>
  </si>
  <si>
    <t>SUPPLY AND DELIVERY OF VARIOUS LED STRING LIGHTS</t>
  </si>
  <si>
    <t>20FH0107 - REPAIR/MAINTENANCE OF NATIONAL ROAD ALONG CATANDUANES CIRCUMFERENTIAL ROAD, PANGANIBAN-BAGAMANOC ROAD SECTION (K0060+000 – K0060+500) AT INTERMITTENT SECTION, PANGANIBAN-BAGAMANOC ROAD SECT</t>
  </si>
  <si>
    <t>Rehabilitation of Protection Wall</t>
  </si>
  <si>
    <t>Supply and delivery of communication equipments and accessories for the use of the CDRRMO, Kidapawan City</t>
  </si>
  <si>
    <t>Supply and Delivery of Various Supplies Materials for the Upgrading of Internet Connection</t>
  </si>
  <si>
    <t>FURNISHING OF LABOR AND MATERIALS FOR THE IMPROVEMENT OF FLOORING OF THE NEW MSWDO OFFICE AND BPLO AT DUMANGAS, ILOILO</t>
  </si>
  <si>
    <t>Purchase of Various Disaster Preparedness Equipment (MDRRMO)</t>
  </si>
  <si>
    <t>Supply and delivery of Medical Supplies and Laboratory Equipment for CTU-Tuburan Campus</t>
  </si>
  <si>
    <t>PURCHASE OF IT EQUIPMENT FOR LIGA STAFF TO BE USED FOR PREPARING OF NECESSARY DOCUMENTS AND OTHER LIGA PAPERS</t>
  </si>
  <si>
    <t>REHABILITATION OF MULTI-PURPOSE BUILDING AT BARANGAY BULACAN, PAYAO, ZAMBOANGA SIBUGAY</t>
  </si>
  <si>
    <t>Purchase of Bond Paper A4 and Printer Ink for the reproduction of Modules for the indigent children of DepEd Hindang, Leyte Elementary Level.</t>
  </si>
  <si>
    <t>PB PUR20-08-0697 &amp; PUR20-08-0707 Supply &amp; delivery of Medical Supplies for PSD, PGH</t>
  </si>
  <si>
    <t>Procurement of Technical and Scientific Equipment (Lot 3. Automated rain gauge and Water level monitoring) Repost</t>
  </si>
  <si>
    <t>Purchase of Duplicating Machine</t>
  </si>
  <si>
    <t>supply and installation</t>
  </si>
  <si>
    <t>20GEG0006-Supply/Delivery of Spare Parts for use in Various Maintenance Equipment, DPWH-Palawan 3rd DEO, Puerto Princesa City, Palawan</t>
  </si>
  <si>
    <t xml:space="preserve">Establishment of Common Service Facility on Food Processing and Toll Packaging in Taytay, Palawan (Lot 1: Supply, Delivery and Installation of Equipment, Tools and Machineries for Food Processing and </t>
  </si>
  <si>
    <t>Supply and Delivery of assorted Computer Equipments/Supplies for LGU Sibagat Agusan del Sur</t>
  </si>
  <si>
    <t>Procurement of Emergency Response Tools and Equipments Mabini,  R. T. Lim, Zamboanga Sibugay</t>
  </si>
  <si>
    <t>Invitation to bid for the Supply and Delivery of Materials for INSTALLATION OF LIGHTING POST AND ELECTRICAL WORKS</t>
  </si>
  <si>
    <t>Improvement of New Public Market</t>
  </si>
  <si>
    <t>Road Rehabilitation located at following: Lot 1) Hacienda Cataywa - Barangay Concepcion, Hacienda Esmeralda 3 - Barangay Katilingban, Hacienda Esmeralda 2 - Barangay San Fernando  Lot 2) Hacienda Balo</t>
  </si>
  <si>
    <t>Purchase of Plastic Tables and Chairs</t>
  </si>
  <si>
    <t>Materials for Road Opening of Brgy. Inabasan, San Jose dB, Antique</t>
  </si>
  <si>
    <t>Construction of Multi-Purpose Building, Brgy. Atabay, San Jose dB, Antique</t>
  </si>
  <si>
    <t>Supply and Delivery of Books for Criminology Program (IC)</t>
  </si>
  <si>
    <t>SUPPLY AND DELIVERY OF DRUGS AND MEDICINES FOR THE CITY HEALTH OFFICE</t>
  </si>
  <si>
    <t>PROCUREMENT OF BARANGAY QUARANTINE FACILITY CONSTRUCTION MATERIALS – CLUSTER 1</t>
  </si>
  <si>
    <t>SUPPLY, DELIVERY, INSTALLATION, TESTING AND COMMISSIONING OF BRAND-NEW BED/ PASSENGER ELEVATOR (RE-BID)</t>
  </si>
  <si>
    <t>PROCUREMENT OF LABORATORY SUPPLIES AND REAGENTS FOR COVID-19 RESPONSE</t>
  </si>
  <si>
    <t>Procurement of Furniture and Fixtures</t>
  </si>
  <si>
    <t>Procurement of One (1) Unit Passenger Van Vehicle</t>
  </si>
  <si>
    <t>PURCHASE OF IT EQUIPMENT FOR THE BANTAY DAGAT PERSONNEL</t>
  </si>
  <si>
    <t>Supply and Delivery of two (2) units Brand New  2020 6-Wheeler Truck with Customized Body</t>
  </si>
  <si>
    <t>FURNISHING OF LABOR AND MATERIALS FOR THE SOLID WASTE MANAGEMENT PROGRAM (CONSTRUCTION OF RCA, CONSTRUCTION OF WASH AREA AND WATER SYSTEM AT BRGY. CAPALIZ, DUMANGAS, ILOILO</t>
  </si>
  <si>
    <t>IMPROVEMENT OF FARM TO MARKET ROAD AT SITIO BANTOLINAO,BARANGAY PADIAY, SIBAGAT AGUSAN DEL SUR</t>
  </si>
  <si>
    <t>Construction of Rural Access Road</t>
  </si>
  <si>
    <t>uplb-rq-8-100-20 goods (Laboratory supplies for CVM)</t>
  </si>
  <si>
    <t>Construction of Quarantine Facilities at Brgy. T-Beach</t>
  </si>
  <si>
    <t>Supply &amp; Delivery of One (1) Unit Brand New Service Vehicle of the City Mayor's Office, Ormoc City</t>
  </si>
  <si>
    <t>SAAD-20-3160: Procurement of 300 bags Copra Meal needed for the DA SAAD Native Chicken Production Project in the Province of Bohol</t>
  </si>
  <si>
    <t>Concreting of Farm to Market Road at Purok Canadem-Macbel-Samin, Barangay Macabenga</t>
  </si>
  <si>
    <t>Supply , Delivery &amp; Installation of Storage Container Van for Alternate Storage Facility of the City Disaster &amp; Risk Reduction Management Office, Ormoc City</t>
  </si>
  <si>
    <t>PURCHASE OF FEEDS FOR POULTRY RAISING PROJECT OF LGU-CALUYA</t>
  </si>
  <si>
    <t>Concreting of Maloco-Mabusao Road (Maloco Segment), Ibajay, Aklan</t>
  </si>
  <si>
    <t>Office Supplies for use in Municipal General Services Office</t>
  </si>
  <si>
    <t>Procurement of Replacement/Upgrading of Public Address System of PGO Conference Room, Governor’s Office, Province of Aklan- Re Bidding/ITB no: 2020-500</t>
  </si>
  <si>
    <t>Purchase of Materials for the Continuing - Const. of Multi Purpose Hall (Extension), Brgy. Marong, Lambunao, Iloilo</t>
  </si>
  <si>
    <t>PR-2020-05-101 CLA BLUE GUARDS</t>
  </si>
  <si>
    <t>SUPPLY &amp; DELIVERY OF HARDWARE/MATERIALS &amp; RENTAL OF EQUIPMENT FOR THE REHABILITATION OF TONGDOL, CARACDACAN, CARRIEDO, BUENAVISTA</t>
  </si>
  <si>
    <t>PURCHASE OF VARIOUS MATERIALS FOR CATCHING/GATHERING OF RABBIT FISH INFESTED SEAWEEDS PRODUCTION AREA AT PANAGATAN ISLAND</t>
  </si>
  <si>
    <t>Supply &amp; Installation of Protective Structures of the City Agriculture Office for Distribution to Various Barangays in Ormoc City, City Gariculture Office, Ormoc City</t>
  </si>
  <si>
    <t>Construction of forty (40) housing units of the BARMM Housing Project Phase II</t>
  </si>
  <si>
    <t>IT equipment’s for Municipal Health Office, San Jose dB, Antique</t>
  </si>
  <si>
    <t>Supply &amp; Delivery of IT Peripherals for the Department of Education, Ormoc City</t>
  </si>
  <si>
    <t>PURCHASE OF VARIOUS PARTS FOR THE MAINTENANCE OF ENGINEERING DUMP TRUCK (MITSUBISHI CANTER, PROP NO. 170223-473)</t>
  </si>
  <si>
    <t>Procurement of Medicines &amp; Medical Supplies for the use of Emergency Preparedness and Response of Provincial Disaster Risk Reduction and Management Office- Re Bidding /ITB no: 2020-508</t>
  </si>
  <si>
    <t>SUPPLY &amp; DELIVERY OF FUEL  FOR LEGISLATIVE OFFICE OPERATION</t>
  </si>
  <si>
    <t>PURCHASE OF PRINTERS FOR ELEMENTARY SCHOOLS LOCATED AT THE ISLAND BARANGAYS AND SITIO OF THE MUNICIPALITY OF CALUYA</t>
  </si>
  <si>
    <t>Reblocking of Boracay Provincial Road (Boracay Road Development Project – Concreting of Access Roads in Boracay Island), Malay, Aklan</t>
  </si>
  <si>
    <t>Power Supply System</t>
  </si>
  <si>
    <t>Establishment of Common Service Facility on Food Processing and Toll Packaging in Taytay, Palawan (Lot 2: Supply, Delivery and Installation of Water Filtration and Purification System) (1st Posting)</t>
  </si>
  <si>
    <t>CONSTRUCTION OF MULTI-PURPOSE BUILDING @ HALAPITAN</t>
  </si>
  <si>
    <t>PROCUREMENT OF MEDICAL SUPPLIES FOR COVID-19 RESPONSE</t>
  </si>
  <si>
    <t>20GEG0007-Supply/Delivery of Office Equipment and Supplies for the use of Road Condition and Inventory Surveys, Roughness Surveys, VOC/RUC Surveys and Technology Enhancement for RBIA  CY-2020, DPWH-Pa</t>
  </si>
  <si>
    <t>20GG0068-G - Procurement of Road Safety Devices and Supplies for the use of Planning and Design Section, DPWH Iloilo 2nd DEO, Balabag, Dumangas, Iloilo</t>
  </si>
  <si>
    <t>Procurement of Various Construction Supplies and Materials-08-543(O)PEO</t>
  </si>
  <si>
    <t>RFQ (20-08-054) Enteral Nutrition for Cancer Patients 380g; Enteral Nutrition-Semi Elemental Nutrition with whey peptide or partiallt hydrolyzed protein</t>
  </si>
  <si>
    <t>Expansion of Level II Water Supply System of Brgy. Himacugo, Hindang, Leyte</t>
  </si>
  <si>
    <t>MATERIALS FOR THE CONSTRUCTION OF STEEL CANAL COVER</t>
  </si>
  <si>
    <t>Procurement of TABLET</t>
  </si>
  <si>
    <t>Construction of New Office Building, Laoag City (LTO- Laoag District Office)</t>
  </si>
  <si>
    <t>BEMO-2020-0196 Rebidding INVITATION TO BID FOR THE PROCUREMENT OF LABOR, EQUIPMENT, AND MATERIALS FOR THE EXPANSION OF GIANT CLAM HATCHERY AT BFAR, SINANDINGAN, UBAY, BOHOL</t>
  </si>
  <si>
    <t>Security Services Provider of Three (3) Security Guards at DepEd RO-IX, Balintawak, Pagadian City</t>
  </si>
  <si>
    <t>Purchase of Rescue Vehicles for use of City Disaster Risk Reduction and Management Office</t>
  </si>
  <si>
    <t>Construction of Police Community Precinct (PCP) at Barangay Trinidad</t>
  </si>
  <si>
    <t>Water Borehole Drilling (Additional 48-M Depth), Barangay Udiao</t>
  </si>
  <si>
    <t>Purchase of Various Merchandise and Kitchen Appliances to be Used in Dep-Ed- Molave East District Office</t>
  </si>
  <si>
    <t>Internet Subscription (Upgrading of the Existing Bandwidth)</t>
  </si>
  <si>
    <t>Supply &amp; Delivery of Gift Certificates for Loyalty Awardees, 2020, Human Resources &amp; Management Office, Ormoc City</t>
  </si>
  <si>
    <t>TRANSMISSION/DISTRIBUTION PIPELINE EXPANSION</t>
  </si>
  <si>
    <t>Procurement of One (1) Unit Blueprint Machine (Non-Ammonia)</t>
  </si>
  <si>
    <t>SUPPLY AND DELIVERY OF VARIOUS LED ROPE LIGHTS</t>
  </si>
  <si>
    <t>Construction and Installation of a Community Radio Station for Distant Learning</t>
  </si>
  <si>
    <t>PEO-20-0898 B (REBID)- Purchase of Spare Parts for use in the repair of Kawasaki Payloader (KFL-3) Model: 65Z III assigned at PEP, Sta. Barbara, Iloilo</t>
  </si>
  <si>
    <t>20GAB0005: SUPPLY AND DELIVERY OF IT EQUIPMENTS FOR USE AT DPWH-INSDEO, SAN PABLO, SAN NICOLAS, ILOCOS NORTE</t>
  </si>
  <si>
    <t>Purchase of Gasoline Premium for use in Government Vehicles, Silay City.</t>
  </si>
  <si>
    <t>Procurement of Technical and Scientific Equipment (Lot 5. Dual powered solar dryer) Repost</t>
  </si>
  <si>
    <t>IMPROVEMENT OF DRAINAGE CANAL AT PERIL, PICO</t>
  </si>
  <si>
    <t>SUPPLY &amp; DELIVERY OF VARIOUS SUPPLIES FOR MDRRMO RODRIGUEZ, RIZAL</t>
  </si>
  <si>
    <t>Procurement of Two Thousand (2,000) Reams of Bond Paper as Supplies for the Reproduction of Modules of Eighteen (18) Elementary Schools and One (1) Integrated School</t>
  </si>
  <si>
    <t>Construction/Rehabilitation &amp; Improvement of Various Municipal Projects (Package 20-06)</t>
  </si>
  <si>
    <t>CONSTRUCTION/REHAB./IMPROVEMENT OF VARIOUS INFRA PROJECTS (CLUSTER 6)</t>
  </si>
  <si>
    <t>Digital Production for the Promotion of Canlaon City</t>
  </si>
  <si>
    <t>Concreting of Binatug-Luzcon Gangalan Road Section Including Cross Drainage</t>
  </si>
  <si>
    <t>PURCHASE OF IT EQUIPMENT FOR MEEDO OFFICE</t>
  </si>
  <si>
    <t>SUPPLY AND DELIVERY OF GROCERY ITEMS FOR THE PROJECT "FOOD FOR WORK PROGRAM 202"</t>
  </si>
  <si>
    <t>UPLB-S-053-09-20, SUPPLY AND DELIVERY OF  BRANDED AND BRAND NEW AGRICULTURAL MACHINERY AND EQUIPMENT</t>
  </si>
  <si>
    <t>SUPPLY AND DELIVERY OF DRUGS AND MEDICINES FOR THE OSPITAL NG MALABON (3RD QUARTER)</t>
  </si>
  <si>
    <t>supply &amp; delivery of various common office supplies</t>
  </si>
  <si>
    <t>INVITATION TO BID FOR THE SUPPLY AND DELIVERY  OF VARIOUS MATERIALS FOR USE IN THE CRIMINAL INVESTIGATION AND DETECTION UNIT BUILDING (COMPLETION) AT CAMP NARANJO,  BARANGAY LOWER LAMAC, OROQUIETA CIT</t>
  </si>
  <si>
    <t>Purchase of Various Office Furnitures to be Used in Dep-Ed- Molave East District Office</t>
  </si>
  <si>
    <t>REHABILITATION REPAINTING, FABRICATION AND INSTALLATION OF NEW TRUSSES AT KINARAGAN ELEMENTARY SCHOOL BARANGAY DUALE, LIMAY, BATAAN</t>
  </si>
  <si>
    <t>S &amp; D of Aircon and Complete Accessories (PDRRMO)</t>
  </si>
  <si>
    <t>21A00011: Retrofitting/Strengthening of Permanent Bridges, Quiray Bridge (B04488LZ) along Pangasinan-Tarlac Road</t>
  </si>
  <si>
    <t>SUPPLY AND DELIVERY OF ONE (1) UNIT ENGINE TYPE/SD 16 FOR THE REPAIR OF SHANTUI BULLDOZER-LGU SIBAGAT,AGUSAN DEL SUR</t>
  </si>
  <si>
    <t>Procurement of Various Construction Supplies and Materials-08-506(O)PEO</t>
  </si>
  <si>
    <t>PROCUREMENT OF MATERIALS   FOR THE COMPLETE REPAIR OF 40FT REINFORCED FIBER GLASS PATROL BOAT WITH ACCESSORIES</t>
  </si>
  <si>
    <t>BLGU STO.TOMAS(IMPROVEMENT OF DRAINAGE)</t>
  </si>
  <si>
    <t>CONSTRUCTION OF FOOT BRIDGE</t>
  </si>
  <si>
    <t>Supply and Delivery of Male and Female for the Training on Integrated Corn-Based Farming System cum Goat Production Farmers of Alabel, Sarangani  for ATI-RTC XII.</t>
  </si>
  <si>
    <t>Procurement for the supply of labor and materials for the installation of two (2) units of 2TR inverter suspended type aircon and two (2) units of air curtains at the ground floor lobby of NDC bldg.</t>
  </si>
  <si>
    <t>Supply and Delivery of various materials for the Renovation of Municipal Ground Floor-North Wing Side, Bato Municipal Hall Phase II, Bato, Leyte</t>
  </si>
  <si>
    <t>REHABILITATION OF GUTTERS AND DOWNSPOUTS</t>
  </si>
  <si>
    <t>Purchase of Various Materials for DOLE Intgrated Livelihood Emergency Employment Program (DILEEP)</t>
  </si>
  <si>
    <t>Procurement of Food Supplies</t>
  </si>
  <si>
    <t>SUPPLY AND DELIVERY OF CONSTRUCTION MATERIALS AND SUPPLIES FOR THE CONCRETING OF BARANGAY ROADS OF DIFFERENT SITIO'S OF BARANGAY BAYUIN, SOCORRO, ORIENTAL MINDORO</t>
  </si>
  <si>
    <t>Completion of Multi-Purpose Building at Public Market</t>
  </si>
  <si>
    <t>Purchase of Vehicle Tires</t>
  </si>
  <si>
    <t>Establishment of Common Service Facility on Food Processing and Toll Packaging in Roxas, Palawan (Lot 1: Supply, Delivery and Installation of Equipment, Tools and Machineries for Food Processing and T</t>
  </si>
  <si>
    <t>Supply and Delivery of Fuel &amp; Lubricants</t>
  </si>
  <si>
    <t>uplb-rq-8-102-20 goods (Medical Dental supplies for UHS)</t>
  </si>
  <si>
    <t>Purchase of Various Appliances to be Used in DepEd-Molave East District Office</t>
  </si>
  <si>
    <t>Water Supply (Level II) for Various Barangays, Brgy. Mahayahay, Ormoc City</t>
  </si>
  <si>
    <t>Procurement of Vehicle Rental</t>
  </si>
  <si>
    <t>CLI-20-0355-B(REBID2) Purchase of Drugs and Medicines for Medical/ Dental Services Office- HMO</t>
  </si>
  <si>
    <t>SUPPLY AND DELIVERY OF MEDICAL, DENTAL AND LABORATORY SUPPLIES FOR THE OSPITAL NG MALABON (3RD QUARTER)</t>
  </si>
  <si>
    <t>Agricultural Products for FBS Extension Support</t>
  </si>
  <si>
    <t>SUPPLY AND DELIVERY OF VARIOUS SUPPLIES AND MATERIALS FOR CHRISTMAS DECORATION (FESTIVAL OF LIGHTS)</t>
  </si>
  <si>
    <t>Procurement for Supply and Delivery of Web Camera, 4g LTE Mobile Wifi, 1 terabyte External Hard Drive and Canva Pro Subscription</t>
  </si>
  <si>
    <t>Desktop Computer with Complete Accessories and Printer</t>
  </si>
  <si>
    <t>IMPROVEMENT OF POTABLE WATER SYSTEM AT MANGANDINGAY, CABARROGUIS</t>
  </si>
  <si>
    <t>NEGOTIATED PROCUREMENT – TWO FAILED COMPETITIVE PUBLIC BIDDING</t>
  </si>
  <si>
    <t>SUPPLY &amp; DELIVERY OF T-SHIRT FOR MHO, RODRIGUEZ, RIZAL</t>
  </si>
  <si>
    <t>Printing/Reproduction of Modules for Kindergarten to Grade 6</t>
  </si>
  <si>
    <t>SUPPLY AND DELIVERY OF TEN (10) SETS BRAND NEW COMPUTER DESKTOP WITH COMPUTER TABLE and ACCESSORIES, ALS, SFADS</t>
  </si>
  <si>
    <t>CY 2020 BEFF Electrification of Un-Energized School &amp; Modernization of Electrical System on On-Grid Schools</t>
  </si>
  <si>
    <t>CONSTRUCTION OF FLOOD CONTROL AT SAMOYAO</t>
  </si>
  <si>
    <t>20GBC0012 - Furnishing/Delivery of Asphalt Materials for use along National/Secondary Roads (Asphalt Cement Pen. Grade 60/70)</t>
  </si>
  <si>
    <t>20CB-GSC-527	PURCHASE OF FOOD SUPPLIES FOR DJPRH</t>
  </si>
  <si>
    <t>Public Buildings - Satellite Public Market (Phase I) at Brgy. Valencia, Ormoc City</t>
  </si>
  <si>
    <t>Improvement of Health center &amp; Extention of Height for Fence</t>
  </si>
  <si>
    <t>PROCUREMENT OF  COVID 19 RAPID  ANTIBODY TEST KITS</t>
  </si>
  <si>
    <t>INVITATION TO BID FOR CONTRACT FOR THE SUPPLY AND DELIVERY OF ONE UNIT MOBILE RICE MILL/ROLLING CONO UNDER CRFP CY 2020 OF ARBDSP</t>
  </si>
  <si>
    <t>Purchase of DIESEL FUEL for use in all Government Vehicles, Silay City.</t>
  </si>
  <si>
    <t>20EA0059 - Construction of Torrijos Public Market (Phase II), Torrijos, Marinduque</t>
  </si>
  <si>
    <t>CONSTRUCTION OF BARANGAY ROAD OF HOBO</t>
  </si>
  <si>
    <t>REHABILITATION OF BARANGAY MULTI-PURPOSE HALL GROUNDS</t>
  </si>
  <si>
    <t>PROCUREMENT OF POLO SHIRTS FOR 161ST  FOUNDING ANNIVERSARY OF THE MUNICIPALITY OF PILAR,CEBU WITH PRINT</t>
  </si>
  <si>
    <t>Procurement of various IT supplies</t>
  </si>
  <si>
    <t>SUPPLY AND DELIVERY OF OFFICE SUPPLY AT GOVERNOR EMILIO GASTON MEMORIAL ELEMENTARY SCHOOL (FREE DELIVERY)</t>
  </si>
  <si>
    <t>20CB-GSC-530	PURCHASE OF IT EQUIPMENT (TRUST FUND)</t>
  </si>
  <si>
    <t>Book Paper (A4, 70 GSM) - City Schools Division of Tacurong</t>
  </si>
  <si>
    <t>Procurement of supply and delivery of Catering Services</t>
  </si>
  <si>
    <t>purchace of Material for New Multi Purpose Building</t>
  </si>
  <si>
    <t>20GBC0013 - Furnishing/Delivery of Asphalt Materials for use along National/Secondary Roads (Asphalt Emulsified Cationic (SS-1)</t>
  </si>
  <si>
    <t>20CB-GSC-528	PURCHASE FURNITURE AND FIXTURE (TRUST FUND) (RE-BID)</t>
  </si>
  <si>
    <t>PROJECT DEVELOPMENT INITIATIVE- ECONOMIC SECTOR SERVICES AT CABARROGUIS</t>
  </si>
  <si>
    <t>Improvement of Evacuation Center at Bgy. Ogod, Donsol, Sorsogon</t>
  </si>
  <si>
    <t>PROPOSED CONSTRUCTION OF NATIONAL CHILD DEVELOPMENT CENTER AT CABARROGUIS, QUIRINO</t>
  </si>
  <si>
    <t>IMPROVEMENT OF FMR AT LOWER WESTERN BUYAGAN POND 1</t>
  </si>
  <si>
    <t>20CB-GSC-529	PURCHASE OF OFFICE EQUIPMENT (TRUST FUND)</t>
  </si>
  <si>
    <t>Concreting of Farm-to-Market Road (Gimangpang)</t>
  </si>
  <si>
    <t>Establishment of Common Service Facility on Food Processing and Toll Packaging in Roxas, Palawan (Lot 2: Supply, Delivery and Installation of Water Filtration and Purification System) (1st Posting)</t>
  </si>
  <si>
    <t>CONSTRUCTION OF SLOPE PROTECTION AT SAPSING</t>
  </si>
  <si>
    <t>Supply/Delivery of Photocopier Units for the District II of Palo, Leyte   PR No. 20-07-0422</t>
  </si>
  <si>
    <t>Procurement of disposable face mask and adult humidifier for ventilator</t>
  </si>
  <si>
    <t>Local Access Road Upgrading (Materials, Labor &amp; Equipment) at Brgy. Canha-ayon-Mahilum, Hindang, Leyte</t>
  </si>
  <si>
    <t>CONSTRUCTION OF POWER HOUSE OF EVACUATION CENTER AT MUNICIPAL COMPOUND, CABARROGUIS</t>
  </si>
  <si>
    <t>MS OFFICE SOFTWARE AND LICENSE</t>
  </si>
  <si>
    <t>SUPPLY AND DELIVERY OF 1UNIT MCBOOK PRO 13 INCHES USE IN MUNICIPALITY OF BULUAN, MAGUINDANAO</t>
  </si>
  <si>
    <t>Bid No. 20-0394 - PROCUREMENT OF WINDOW MATERIALS - MEO (CONSTRUCTION OF EVACUATION CENTER DESIGN FOR PREGNANT AND LACTATING WOMEN, SENIOR CITIZEN, CHILD FRIENDLY AND PERSON WITH</t>
  </si>
  <si>
    <t>SUPPLIES FOR INSTALLATION OF CABLE TRAY AND RE-WIRE AT LIMAY MUNICIPAL HALL</t>
  </si>
  <si>
    <t>DREDGING AND CONSTRUCTION/ EXTENSION OF FLOOD CONTROL PROJECT PHASE III ALONG DUMATATA BURGOS, CABARROGUIS</t>
  </si>
  <si>
    <t>20CB-GSC-533	PURCHASE OF COMMERCIAL RICE (RE-BID)</t>
  </si>
  <si>
    <t>CY 2020 Basic Educational Facilities Fund Repair of Classrooms Batch 2</t>
  </si>
  <si>
    <t>Purchase of 110 KVA 3 Phase One (1) unit Diesel Generator</t>
  </si>
  <si>
    <t>CY 2020 BASIC EDUCATIONAL FACILITIES FUND REPAIR OF CLASSROOMS (BATCH 2 - CLUSTER 3 FULE ALMEDA ELEMENTARY SCHOOL)</t>
  </si>
  <si>
    <t>Repair of Temporary Classrooms/tents</t>
  </si>
  <si>
    <t>PURCHASE/DELIVERY OF HARDWARE MATERIALS FOR  DIFFERENT PROJECTS</t>
  </si>
  <si>
    <t>SUPPLY AND DELIVERY OF MATERIALS FOR THE REPAIR OF OPEN STAGE</t>
  </si>
  <si>
    <t>Procurement of Supply and Delivery of Office  Supplies</t>
  </si>
  <si>
    <t>COMPLETION OF CELL 3 EXPANSION</t>
  </si>
  <si>
    <t>S &amp; D of Materials (PTO)</t>
  </si>
  <si>
    <t>PROCUREMENT OF FURNITURE &amp; FIXTURE (VM/SB OFFICE)</t>
  </si>
  <si>
    <t>Printing of PFA Modules for Covid Response</t>
  </si>
  <si>
    <t>PROJECT DEVELOPMENT INITIATIVE- SOCIAL SECTOR SERVICES AT CABARROGUIS</t>
  </si>
  <si>
    <t>INVITATION TO SUBMIT PRICE QUOTATION  REPAIR OF NFA NORTHERN SAMAR  PROVINCIAL OFFICE IN DANCALAN, BOBON, NORTHERN SAMAR</t>
  </si>
  <si>
    <t>Construction of Flood Control</t>
  </si>
  <si>
    <t>Procurement of Various Medical Supplies (TFB 2020-006 Recanvass) BAC EP 2020-003</t>
  </si>
  <si>
    <t>Construction of Fence at Municipal Drug Facility, San Vicente Gorong-Gorong, Nabua, Camarines Sur</t>
  </si>
  <si>
    <t>CONSTRUCTION/REHAB./IMPROVEMENT OF VARIOUS INFRA PROJECTS (CLUSTER 7)</t>
  </si>
  <si>
    <t>Supply and delivery of photocopying machines (risograph and copier) for LGU, Biri, Northern Samar</t>
  </si>
  <si>
    <t>Package 039- Procurement of Equipments</t>
  </si>
  <si>
    <t>20CB-GSC-532	PURCHASE OF IT EQUIPMENT (RE-BID)</t>
  </si>
  <si>
    <t>Local Access Road Upgrading (Materials, Labor &amp; Equipment) at Brgy. Capudloza - Canha-ayon, Hindang, Leyte</t>
  </si>
  <si>
    <t>Supply / Delivery of 1 lot Scuba Diving Equipments and 1 unit Underwater Camera w/ Flash and Casing Complete w/ Accessories</t>
  </si>
  <si>
    <t>IB-2020-07-06-106 SUPPLY AND DELIVERY OF SCHOOL VEHICLE (PASSENGER VAN) EVSU-TC</t>
  </si>
  <si>
    <t>20CB-GSC-535	PURCHASE OF VARIOUS OFFICE EQUIPMENT(RE-BID)</t>
  </si>
  <si>
    <t>CONSTRUCTION OF POTABLE WATER SYSTEM LEVEL II (LOT 1 &amp; LOT 2) IN TWO (2) IDENTIFIED BARANGAYS NAMELY NABUNDASAN &amp; NEW CULASI, ALL OF THE MUNICIPALITY OF TULUNAN, COTABATO</t>
  </si>
  <si>
    <t>Supply and Delivery of Materials and Equipment Rentals use for the Following Projects at Brgy. Lourdes Young, Nabua, Camarines Sur</t>
  </si>
  <si>
    <t>S2-CAM20-004 (PB2) - Supply and Delivery of Mechanical Spare Parts for 500kW MAN B&amp;W Diesel Engine Model: 8L 20/27 of Camotes DPP</t>
  </si>
  <si>
    <t>Lot 1 – Supply &amp; Delivery of IT Equipment and Accessories for the use of Planning &amp; Design Section</t>
  </si>
  <si>
    <t>IMPROVEMENT OF CICL DROP CENTER &amp; GSO OFFICE</t>
  </si>
  <si>
    <t>Barangay Material Recovery Facility</t>
  </si>
  <si>
    <t>Supply &amp; Delivery of 97 pcs 18K Service Ring for LGU Employees of Oroquieta City</t>
  </si>
  <si>
    <t>Furnish "Labor, Materials and Equipment"</t>
  </si>
  <si>
    <t>Improvement of SB Building Including Furniture and Fixtures PH1</t>
  </si>
  <si>
    <t>Supply and Delivery of 70-inch Ultra HD TV for the DOLE Command Center</t>
  </si>
  <si>
    <t>PROCUREMENT OF VARIOUS BRANDED AND BRAND NEW CAVING INSTRUMENTS/GEARS for OFFICIAL USE OF CDS-Biodiversity Management Unit of PENRO MARINDUQUE with an ABC of Php134,300.00</t>
  </si>
  <si>
    <t>CONSTRUCTION OF 2ND CELL AT SANITARY LANDFILL/ IMPROVEMENT OF SANITARY LANDFILL AT CABARROGUIS</t>
  </si>
  <si>
    <t>SUPPLY AND DELIVERY OF MATERIALS FOR THE REPAIR OF SCIENCE LABORATORY BUILDING</t>
  </si>
  <si>
    <t>20DJ0110-Construction of Two (2) Storey Four (4) Classroom Academic School Building at Kinatihan I Elementary School, Candelaria, Quezon</t>
  </si>
  <si>
    <t>Bid No. 20-0398 - PROCUREMENT OF JANITORIAL SUPPLIES - COMELEC OFFICE</t>
  </si>
  <si>
    <t>SUPPLY AND DELIVERY OF UAV DRONE FOR DIGITALIZATION  OF AGRICULTURE VALUE CHAIN IN CACAO AND COFFEE PRODUCTIVITY IN ZAMBOANGA DEL SUR</t>
  </si>
  <si>
    <t>SUPPLY AND DELIVERY OF VARIOUS SERVICE VEHICLES FOR LGU ABORLAN</t>
  </si>
  <si>
    <t>Lot 2 – Procurement of Goods of Survey Equipment for the use of Planning &amp; Design Section</t>
  </si>
  <si>
    <t>Construction/Rehabilitation of Bariis Road</t>
  </si>
  <si>
    <t>20CSPJ03: Soil Testing/Exploration for the projects: Soil Testing/Exploration for the projects:</t>
  </si>
  <si>
    <t>IPH-20-0685-B - PURCHASE OF MEDICAL SUPPLIES</t>
  </si>
  <si>
    <t>Invitation to Bid for CONSTRUCTION OF COVERED COURT/MULTI – PURPOSE HALL AT BARANGAY HINDANG ELEMENTARY SCHOOL, BARANGAY HINDANG, BORONGAN CITY, EASTERN SAMAR</t>
  </si>
  <si>
    <t>CY 2019 BASIC EDUCATIONAL FACILITIES FUND ELECTRIFICATION OF UN-ENERGIZED SCHOOLS AND MODERNIZATION OF ELECTRICAL SYSTEMS ON-GRID SCHOOLS (CLUSTER 2 - SAN CRISTOBAL INTEGRATED HIGH SCHOOL)</t>
  </si>
  <si>
    <t>IPH-20-0170-B(REBID) - PURCHASE OF LABORATORY SUPPLIES</t>
  </si>
  <si>
    <t>RFQ&gt;&gt;&gt; Reproduction of modules and supply and delivery of plastic envelop |Joaquin Smith NHS | ABC=P89,098.10</t>
  </si>
  <si>
    <t>COMPLETION OF INTENSIVE CARE UNIT COMPLEX</t>
  </si>
  <si>
    <t>SOIL DUMPING OF BARANGAY ROAD OF SAN FELIPE SANTIAGO</t>
  </si>
  <si>
    <t>PURCHASE OF (5) UNITS DISTRIBUTION TRANSFORMER AND (1) UNIT GENERATOR</t>
  </si>
  <si>
    <t>Bid No. 20-0395 - PROCUREMENT OF CONSTRUCTION MATERIALS - MEO OPERATIONS (CONSTRUCTION OF EVACUATION CENTER DESIGN FOR PREGNANT AND LACTATING WOMEN, SENIOR CITIZEN, CHILD FRIENDLY AND PERSON WITH DISA</t>
  </si>
  <si>
    <t>Supply and delivery of Two (2) unit Laptop to be used in the Office of the Municipal Health Officer</t>
  </si>
  <si>
    <t>20CSDN02 - CONSULTANCY SERVICES FOR THE GEOTECHNICAL INVESTIGATION OF PROPOSED CY 2021 PROJECTS</t>
  </si>
  <si>
    <t>CY 2020 BASIC EDUCATIONAL FACILITIES FUND REPAIR OF CLASSROOMS (BATCH 2 - CLUSTER 2 PLACIDO ESCUDERO MEMORIAL SCHOOL)</t>
  </si>
  <si>
    <t>Procurement of Various Drugs and Medicines (TFB 2020-007 Recanvass) BAC EP 2020-001</t>
  </si>
  <si>
    <t>20DJ0111-Construction of Two (2) Storey Four (4) Classroom Academic School Building at Callejon National High School, San Antonio, Quezon</t>
  </si>
  <si>
    <t>20CSDN03 - CONSULTANCY SERVICES FOR THE CONDUCT OF PARCELLARY SURVEY OF MARIKINA – INFANTA ROAD KM 19+(-218) – 37+498</t>
  </si>
  <si>
    <t>PURCHASE OF AMBULANCE EQUIPMENT OF MDRRMO OTON</t>
  </si>
  <si>
    <t>CONSTRUCTION OF CREEK RAILINGS OF BRGY. SAN FELIPE SANTIAGO</t>
  </si>
  <si>
    <t>Improvement of Evacuation Center at LGU Compound, Awaii, Donsol, Sorsogon</t>
  </si>
  <si>
    <t>Procurement for Reproduction of Modules for Grade 3 to 12 with ALS (Week 5 and 6)</t>
  </si>
  <si>
    <t>IMPROVEMENT OF BARANGAY ROADS AT CABARROGUIS</t>
  </si>
  <si>
    <t>Rehabilitation of Kawayan Footbridge</t>
  </si>
  <si>
    <t>20DJ0112-Construction of Four (4) Storey Eight (8) Classroom Academic School Building at Camp Nakar Elementary School, Lucena City</t>
  </si>
  <si>
    <t>SUPPLY AND DELIVERY OF MATERIALS FOR THE REPAIR OF THE COLLEGE OF INFORMATION AND COMPUTING SCIENCES BUILDING</t>
  </si>
  <si>
    <t>CY 2019 BASIC EDUCATIONAL FACILITIES FUND ELECTRIFICATION OF UN-ENERGIZED SCHOOLS AND MODERNIZATION OF ELECTRICAL SYSTEMS ON-GRID SCHOOLS (CLUSTER 1 - GUADALUPE ELEMENTARY SCHOOL)</t>
  </si>
  <si>
    <t>Package 040- Procurement of Kitchen Utensils and other Supplies</t>
  </si>
  <si>
    <t>CY 2020 BASIC EDUCATIONAL FACILITIES FUND REPAIR OF CLASSROOMS  (BATCH 2-CLUSTER 1 SAN GABRIEL ELEMENTARY SCHOOL)</t>
  </si>
  <si>
    <t>Supply and delivery of Materials for the Construction of Wash Area at CGMES @ Brgy. Pob. I, Nagcarlan, Laguna</t>
  </si>
  <si>
    <t>Group B - Drugs and medicines</t>
  </si>
  <si>
    <t>CY 2020 BASIC EDUCATIONAL FACILITIES FUND REPAIR OF CLASSROOMS (BATCH 2 - CLUSTER 4 SAN DIEGO ELEMENTARY SCHOOL)</t>
  </si>
  <si>
    <t>Construction of IP Farm Tourism Site and IP Center @ Sapinit</t>
  </si>
  <si>
    <t>Supply and delivery of Materials for the Repair of Grade 5 Room Ceiling at Yukos E/S (Annex) @ Brgy. Yukos, Nagcarlan, Laguna</t>
  </si>
  <si>
    <t>Social and Environmental Impact Assessment (SEIA) of Libang RIP</t>
  </si>
  <si>
    <t>IPH-20-0375-B - PURCHASE OF DRUGS AND MEDICINES</t>
  </si>
  <si>
    <t>PROCUREMENT OF THE HOTEL LODGING/ACCOMMODATION FOR THE STRESS MANAGEMENT SEMINAR-WORKSHOP ON AUGUST 27-28, 2020 AT NIA RO2, MINANTE 1, CAUAYAN CITY, ISABELA</t>
  </si>
  <si>
    <t>PURCHASE OF ADDITIONAL MATERIALS FOR DSWD SHELTER UNIT</t>
  </si>
  <si>
    <t>CY 2020 BASIC EDUCATIONAL FACILITIES FUND REPAIR OF CLASSROOMS (BATCH 2 - CLUSTER 5 SAN CRISTOBAL INTEGRATED HIGH SCHOOL)</t>
  </si>
  <si>
    <t>Supply and delivery of Materials for the Repair of Ceiling of 2 Classroom DECS Bldg. at Yukos E/S (Main) @ Brgy. Yukos, Nagcarlan, Laguna</t>
  </si>
  <si>
    <t>PROCUREMENT ON THE SUPPLY AND DELIVERY OF CATERING SERVICES FOR STRESS MANAGEMENT SEMINAR-WORKSHOP ON AUGUST 27-28, 2020 AT NIA RO2, MINANTE 1, CAUAYAN CITY, ISABELA</t>
  </si>
  <si>
    <t>IPH-20-0717-B - PURCHASE OF DRUGS AND MEDICINES</t>
  </si>
  <si>
    <t>IPH-20-0684-B - PURCHASE OF HOUSEKEEPING SUPPLIES</t>
  </si>
  <si>
    <t>20GG0072-G - Procurement of Various Spare Parts for Use of Various Service Vehicles Assigned for the Repair and Maintenance of National Roads of DPWH Iloilo 2nd DEO, Balabag, Dumangas, Iloilo</t>
  </si>
  <si>
    <t>Procurement of Office Supplies , Ink, Toner for 4th Qtr. 2020</t>
  </si>
  <si>
    <t>Supply and delivery of Food for Distribution of Relief Goods &amp; various meeting related to Covid-19</t>
  </si>
  <si>
    <t>3LSSM2020A-155 Office Supplies</t>
  </si>
  <si>
    <t>Procurement of Supply and Delivery of ICT Supplies</t>
  </si>
  <si>
    <t>PURCHASE OF VARIOUS VEHICLES FOR USE IN THE DIFFERENT OPERATION OF THE CITY OF BATAC</t>
  </si>
  <si>
    <t>Purchase of service vehicles</t>
  </si>
  <si>
    <t>3LSSM2020A-154 Office Supplies</t>
  </si>
  <si>
    <t>3LSSM2020A-153 Office Supplies</t>
  </si>
  <si>
    <t>Group D-It Supplies and equipment</t>
  </si>
  <si>
    <t>GPG-B2-2020-320 3rd Rebid - DESIGN AND BUILD OF TYPICAL FIRE STATIONS FOR THE  BUREAU OF FIRE PROTECTION – NATIONAL HEADQUARTERS (BFP-NHQ)</t>
  </si>
  <si>
    <t>SUPPLY AND DELIVERY OF AGRI SUPPLIES  The Request for Quotation must be email at the bpibac@yahoo.com</t>
  </si>
  <si>
    <t>Procurement of Digital Duplicator &amp; Bond Paper for Printing of Modules of Dep Ed Pagsanjan</t>
  </si>
  <si>
    <t>Supply and Delivery of Executive Table, Executive Chair and Smart TV for the office of Assistant Secretary for Legal and Overseas Operation</t>
  </si>
  <si>
    <t>3LSSM2020A-157 Office Supplies</t>
  </si>
  <si>
    <t>SUPPLY AND DELIVERY OF PHOTOCOPIER MACHINE FOR THE USE OF VARIOUS OFFICES</t>
  </si>
  <si>
    <t>Procurement for the Supply, Delivery, On-Site Fabrication and Installation of Container Vans for the DOST-Technology Resource Center (DOST-TRC)</t>
  </si>
  <si>
    <t>PROVISION OF REPRODUCTION, PACKAGING AND DELIVERY OF LEARNING MODULES BATCH 1</t>
  </si>
  <si>
    <t>Supply of Labor and Materials for Rehabilitation / Renovation of Techno Center Building located at Mexico, Pampanga for the DOST-Technology Resource Center (DOST-TRC)</t>
  </si>
  <si>
    <t>Rebidding for the Procurement of Office Equipment  PR # 2020-06-19-206</t>
  </si>
  <si>
    <t>PURCHASE OF VARIOUS INK AND BOND PAPER FOR THE USE IN PROJECT CARINA</t>
  </si>
  <si>
    <t>3LSSM2020A-166 Food Supplies</t>
  </si>
  <si>
    <t>Construction of Three (3) Storey Administration Building Phase II of SDSSU Tagbina Campus</t>
  </si>
  <si>
    <t>3LSSM2020A-167 Food Supplies</t>
  </si>
  <si>
    <t>Procurement of Various Drugs and Medicines (TFB 2020-008 Recanvass) BAC EP 2020-001</t>
  </si>
  <si>
    <t>Group C - Opthal Equipment</t>
  </si>
  <si>
    <t>Supply and Delivery of  Various Construction Materials for the Renovation of the LGLC Building Ground Floor</t>
  </si>
  <si>
    <t>SUPPLY AND DELIVERY OF AGRICULTURAL  SUPPLIES The Request for Quotation must be email at the bpibac@yahoo.com</t>
  </si>
  <si>
    <t>One (1) Year Rental of Photocopying Machine for CEZ office</t>
  </si>
  <si>
    <t>3LSSM2020A-165 Food Supplies</t>
  </si>
  <si>
    <t>3LSSM2020A-164 Food Supplies</t>
  </si>
  <si>
    <t>SVP-20-002-PURCHASE OF SPARE PARTS FOR THE REPAIR AND MAINTENANCE OF DPWH EQUIPMENT AND SERVICE VEHICLE</t>
  </si>
  <si>
    <t>HIRING OF SERVICE PROVIDER FOR VARIOUS PRINTING MATERIALS</t>
  </si>
  <si>
    <t>3LSSM2020A-163 Food Supplies</t>
  </si>
  <si>
    <t>20FC0082 : CONSTRUCTION OF BARANGAY BIBIRAO ROAD OPENING, Brgy. Bibirao, Daet, Camarines Norte</t>
  </si>
  <si>
    <t>Group F - Office Supplies</t>
  </si>
  <si>
    <t>Group A (rebid) - Medical Equipment</t>
  </si>
  <si>
    <t>3LSSM2020A-160 Office Supplies</t>
  </si>
  <si>
    <t>3LSSM2020A-158 Office Supplies</t>
  </si>
  <si>
    <t>Group E - Laboratory Supplies</t>
  </si>
  <si>
    <t>3LSSM2020A-161 Food Supplies</t>
  </si>
  <si>
    <t>Group A -Medical Supplies</t>
  </si>
  <si>
    <t>Supply and delivery of Materials for the Improvement of School Stage at Talangan E/S @ Brgy. Talangan, Nagcarlan, Laguna</t>
  </si>
  <si>
    <t>Supply and delivery of Materials for the Stage Ceiling at Lowland INHS @ Brgy. Maravilla, Nagcarlan, Laguna</t>
  </si>
  <si>
    <t>Bid No. 20-0397 - PROCUREMENT OF OFFICE SUPPLIES - MASSO/TAX MAPPING PROGRAM</t>
  </si>
  <si>
    <t>3LSSM2020A-159 Office Supplies</t>
  </si>
  <si>
    <t>Construction of Three (3) Storey Administration Building Phase II of SDSSU Tandag Campus</t>
  </si>
  <si>
    <t>3LSSM2020A-162 Food Supplies</t>
  </si>
  <si>
    <t>PRDP-GEF-MPA-001 REQUEST FOR QUOTATION FOR THE PROCUREMENT OF FUEL</t>
  </si>
  <si>
    <t>3LSSM2020A-168 Food Supplies</t>
  </si>
  <si>
    <t>3LSSM2020A-176 Other Supplies and Materials</t>
  </si>
  <si>
    <t>20CB-GSC-534	PURCHASE OF FURNITURE AND FIXTURES (RE-BID)</t>
  </si>
  <si>
    <t>REHABILITATION OF SHORE CONTROL</t>
  </si>
  <si>
    <t>3LSSM2020A-178 Other Supplies and Materials</t>
  </si>
  <si>
    <t>20CB-GSC-531	REPAIR OF MOTOR VEHICLE  (RE-BID)</t>
  </si>
  <si>
    <t>3LSSM2020A-177 Other Supplies and Materials</t>
  </si>
  <si>
    <t>20GG0071-G - Procurement of Various Spare Parts for Use of Various Service Vehicles Assigned for the Repair and Maintenance of National Roads of DPWH Iloilo 2nd DEO, Balabag, Dumangas, Iloilo</t>
  </si>
  <si>
    <t>3LSSM2020A-175 Other Supplies and Materials</t>
  </si>
  <si>
    <t>Rehabilitation of Multi-Purpose Hall, Barangay Cagbalogo</t>
  </si>
  <si>
    <t>uplb-rq-8-103-20 goods (Packaging mtls. for RMO)</t>
  </si>
  <si>
    <t>Rehabilitation and Improvement of Cultural Site Kugtong Spring</t>
  </si>
  <si>
    <t>3LSSM2020A-171 Other Supplies and Materials</t>
  </si>
  <si>
    <t>3LSSM2020A-179 Other Supplies and Materials</t>
  </si>
  <si>
    <t>3LSSM2020A-172 Other Supplies and Materials</t>
  </si>
  <si>
    <t>3LSSM2020A-170 Other Supplies and Materials</t>
  </si>
  <si>
    <t>Construction of Two (2) Storey Registrar's Office Building of SDSSU Lianga Campus</t>
  </si>
  <si>
    <t>3LSSM2020A-156 Office Supplies</t>
  </si>
  <si>
    <t>Procurement of Various Goods for the Maintenance and Operation of the Office of the Chief Minister-Bangsamoro Autonomous Region in Muslim Mindanao (OCM-BARMM) (Re-Bid)</t>
  </si>
  <si>
    <t>PRDP-GEF-MPA-002 REQUEST FOR QUOTATION FOR THE PROCUREMENT OF SOLAR LIGHTING/PANEL SYSTEM</t>
  </si>
  <si>
    <t>3LSSM2020A-173 Other Supplies and Materials</t>
  </si>
  <si>
    <t>20FC0085 : CONSTRUCTION OF DAET RIVER CONTROL STRUCTURES ALAWIHAO SECTION, Brgy. Alawihao, Daet, Camarines Norte</t>
  </si>
  <si>
    <t>INVITATION TO SUBMIT PRICE QUOTATION REPAIR OF COMFORT ROOM, WATER SYSTEM, KITCHEN AND DINING AREA AT GUIUAN, EASTERN SAMAR</t>
  </si>
  <si>
    <t>FOOD PROCESSING ENHANCEMENT "PANCIT YANING" PRODUCTION - LUBCANAN, TUBOD MONTE</t>
  </si>
  <si>
    <t>Construction of Multipurpose Building (Evacuation Center) at Concepcion, Amulung Cagayan</t>
  </si>
  <si>
    <t>PROCUREMENT OF 1 UNIT BRAND NEW DUMPTRUCK OF THE MUNICIPALITY OF LIMASAWA, SOUTHERN LEYTE</t>
  </si>
  <si>
    <t>Invitation to Bid for Local Access Road-Upgrading of Catulayan-Cang-asa Road San Juan, Siquijor</t>
  </si>
  <si>
    <t>3LSSM2020A-174 Other Supplies and Materials</t>
  </si>
  <si>
    <t>Supply, Delivery and Assistance on the Installation of Electromechanical Equipment and Discharge Set-Up of Linao Norte Pumping Station 2</t>
  </si>
  <si>
    <t>Group B- (rebid) - Office Equipment</t>
  </si>
  <si>
    <t>Construction of Covered Drainage Canal</t>
  </si>
  <si>
    <t>20GIL0052(SUPPLY/DELIVERY OF FUEL, LUBRICANTS, ETC.,DPWH-SLDEO, MAASIN CITY, SOUTHERN LEYTE)</t>
  </si>
  <si>
    <t>2020 EXPANDED PCA RESPONSE to COVID-19 PROGRAM (EPRCP): Animal Integration (Enhanced Livestock Oil Palm Integration)-Rebidding</t>
  </si>
  <si>
    <t>Completion and Retrofitting of the Construction of a  Two-Storey Mall Type Building – Variation Order in Don Carlos, Bukidnon (Straight Contract)</t>
  </si>
  <si>
    <t>Youth and Sports Development 2020</t>
  </si>
  <si>
    <t>3LSSM2020A-180 Other Supplies and Materials</t>
  </si>
  <si>
    <t>Electrification of Un-Energized Schools and Modernization of Electrical Systems of On-Grid Schools at Tabunok Elementary School and Cantuhaon National High School, PALOMPON</t>
  </si>
  <si>
    <t>Supply &amp; delivery of materials for the Installation / Rehabilitation of Streetligth at Barangay Ambulong, Tanauan City, Batangas</t>
  </si>
  <si>
    <t>Proposed Construction of LGU-Garage</t>
  </si>
  <si>
    <t>Office Supplies 01</t>
  </si>
  <si>
    <t>IB NO. 2020-17: PROCUREMENT OF VARIOUS FURNITURE</t>
  </si>
  <si>
    <t>Take Over and Completion of the Construction of a  Two-Storey Mall Type Building in Don Carlos, Bukidnon (Straight Contract)</t>
  </si>
  <si>
    <t>Procurement of Various General Merchandise-08-095(M)OPAG</t>
  </si>
  <si>
    <t>PROCUREMENT OF MATERIALS FOR THE REHABILITATION AND IMPROVEMENT OF MULTI-PURPOSE HALL OF BRGY. NAGBA, TIGBAUAN, ILOILO</t>
  </si>
  <si>
    <t>Supply and Delivery of Construction Materials - Repair/Rehabilitation of Municipal SB Office</t>
  </si>
  <si>
    <t>Supply and Printing of Various Advocacy Materials for First Time Jobseekers Assistance Act (FTJAA)</t>
  </si>
  <si>
    <t>Procurement of 2 units collapsible tent &amp; 48 pcs Mono block Chairs PR # 20-07-1341 &amp; PR # 20-07-1344 PGO</t>
  </si>
  <si>
    <t>Purchase of Office Supplies for use in Procurement Unit</t>
  </si>
  <si>
    <t>3LSSM2020A-169 Food Supplies</t>
  </si>
  <si>
    <t>Procurement of IBM SPSS Statistics Standard Campus Edition Authorized User Licence for UP Cebu</t>
  </si>
  <si>
    <t>INSTALLATION OF ONE (1) UNIT AIRCON</t>
  </si>
  <si>
    <t>Purchase of Office Supplies and Equiments for use in Planning and Design Section</t>
  </si>
  <si>
    <t>Supply and Delivery of Materials for the Construction of Senior Citizens Building</t>
  </si>
  <si>
    <t>SUPPLY, DELIVERY, INSTALLATION AND COMMISSIONING OF: 3 UNITS ANALYTICAL BALANCE; 1 UNIT ANTI-STATIC DEVICE; 2 UNITS BALANCE TABLE FOR ALU; 4 UNITS BALANCE TABLE FOR ILU; 7 UNITS DEHUMIDIFIER; 1 SET OF</t>
  </si>
  <si>
    <t>Supply and Delivery of Diesel Generator Set</t>
  </si>
  <si>
    <t>Supply and Delivery of One (1) Brand New Service Vehicle for the Department of Labor and Employment-Central Office</t>
  </si>
  <si>
    <t>Procurement of IT Equipment-08-030(V)PDH</t>
  </si>
  <si>
    <t>Supply and Delivery of Materials for the Construction of 3 Barrel Box Culvert</t>
  </si>
  <si>
    <t>Construction Supplies and Materials for ISS &amp; Center Director's Office</t>
  </si>
  <si>
    <t>SUPPLY, DELIVERY, INSTALLATION, AND COMMISSIONING OF 1 SET AMMONIA ION SELECTIVE ELECTRODE; 2 SETS CHLORIDE METER; 2 UNITS DIGITAL BOTTLE-TOP BURETTE; 1 SET NITRATE ION SELECTIVE ELECTRODE; 1 UNIT ULT</t>
  </si>
  <si>
    <t>Rehabilitation/Improvement of Multi-Purpose Hall, Barangay Montaña</t>
  </si>
  <si>
    <t>Supply &amp; Delivery of Brand New Cargo Truck to Domolok Tokawal Irrigators Association (DTIA) - Domolok, Alabel, Sarangani Province</t>
  </si>
  <si>
    <t>Supply &amp; Delivery of Brand New Cargo Truck to Alkikan Vegetables Grower Association (ALVEGA) – Alkikan, Malungon, Sarangani Province</t>
  </si>
  <si>
    <t>Supply and Delivery of Goods for PWD Year-End Activity</t>
  </si>
  <si>
    <t>Construction of Water Supply System (Level I), Barangay Montaña</t>
  </si>
  <si>
    <t>Procurement of Consulting Services to Undertake the Feasibility Study (FS) on Solid waste Management Facility (LGU Sanitary Landfill for Local Government Unit-Cluster (LGU Cluster)</t>
  </si>
  <si>
    <t>Supply &amp; Delivery of Limestone Materials and Aggregates intended for the Maintenance of Provincial Roads and Bridges: Re-gravelling in Don Carlos, Bukidnon (Complete Bid)</t>
  </si>
  <si>
    <t>Construction of Comfort Room of Barangay Evacuation Center</t>
  </si>
  <si>
    <t>Construction/Rehabilitation and Improvement Portion of Legislative Office and Proposed Construction and Improvement Portion of Roofing and Ceiling Board of Executive Building</t>
  </si>
  <si>
    <t>3LSSM2020A-181 Other Supplies &amp; Materials</t>
  </si>
  <si>
    <t>Office Supplies (Supplemental)</t>
  </si>
  <si>
    <t>NALA ELEMENTARY SCHOOL SUPPLIES AND EQUIPMENT</t>
  </si>
  <si>
    <t>3LSSM2020A-182 Printing and Publication</t>
  </si>
  <si>
    <t>SUPPLY AND DELIVERY OF ORGANIC DEGREASER DECLOGGER, ANTI BACTERIAL MULTISURFACE CLEANER WITH BLEACH AND ANTIBACTERIAL SOAP FOR USE IN DIFFERENT SCHOOL IN THE DIVISION OF CAVITE</t>
  </si>
  <si>
    <t>Supply &amp; Delivery of Limestone Materials intended for the Rehabilitation of Twenty-Eight (28) Barangay Roads in Don Carlos, Bukidnon (Complete Bid)</t>
  </si>
  <si>
    <t xml:space="preserve">SUPPLY, DELIVERY, INSTALLATION AND COMMISSIONING OF 3 UNITS HAZARDOUS WASTE FILTRATION SYSTEM FOR TCLP (NON-VOLATILE) WITH COMPLETE ACCESSORIES, AND 2 SETS AGITATION APPARATUS FOR TCLP (NON-VOLATILE) </t>
  </si>
  <si>
    <t>PRINTING OF MODULES GOOD FOR 2 WEEKS</t>
  </si>
  <si>
    <t>PRINTING OF MODULES FOR FIRST GRADING PERIOD</t>
  </si>
  <si>
    <t>3LSSM2020A-183 Training Supplies</t>
  </si>
  <si>
    <t>Supply and Delivery of Goods for Senior Citizens Year-End Activity</t>
  </si>
  <si>
    <t>Renovation and Improvement of Day Care Center and Multi-Purpose Building (Carao-an Day Care Renovation)</t>
  </si>
  <si>
    <t>Supply and delivery of 49 sets marine gillnets for Maguindanao province under 2020 block grant</t>
  </si>
  <si>
    <t>20EA0060 - Construction of Torrijos Public Market (Phase III), Torrijos, Marinduque Province</t>
  </si>
  <si>
    <t>small value of Lawn Mower</t>
  </si>
  <si>
    <t>LINGGO NG KABATAAN</t>
  </si>
  <si>
    <t>Supply and delivery of 24 sets floating-monoline for Maguindanao province under 2020 block grant</t>
  </si>
  <si>
    <t>Supply and delivery of 46 sets freshwater gillnet  for Maguindanao province under 2020 block grant</t>
  </si>
  <si>
    <t>SVP Procurement of ID cord</t>
  </si>
  <si>
    <t>Procurement ofOffice supplies, peace &amp; order supplies, electrical supplies, R/M of motorcycle, two-way radio, refill fire extinguisher , electric grinder and gen. mdse.</t>
  </si>
  <si>
    <t>Purchase of Spare Parts for use in Maintenance Section</t>
  </si>
  <si>
    <t>Small Value of 3 in 1 Printer</t>
  </si>
  <si>
    <t>Repair &amp; Maintenance of Water System-Naga Waterworks</t>
  </si>
  <si>
    <t>20EA0061 - Concreting of Brgy. Bangwayin FMR, Brgy. Bangwayin, Torrijos, Marinduque</t>
  </si>
  <si>
    <t>Construction of 1 unit of solar dryer for Seaweed Buying Stations for Maguindanao province under 2020 block grant</t>
  </si>
  <si>
    <t>Unlimited Data Plan Subscription for 24 Months With Free Tablets with Pen</t>
  </si>
  <si>
    <t>20EA0062 - Concreting of Brgy. Dawis FMR, Gasan, Marinduque</t>
  </si>
  <si>
    <t>Construction of other equipments for Seaweed Buying Stations for Maguindanao province under 2020 block grant</t>
  </si>
  <si>
    <t>Procurement of Fire Extinguisher and Refill for LDRRM Operation of LGU-Naga</t>
  </si>
  <si>
    <t>CLOSURE AND REHABILITATION OFOPEN AND CONTROLLED WASTE DISPOSAL FACILITY LOCATED AT PUROK 5, BARANGAY NEW PANAY, TULUNAN, COTABATO</t>
  </si>
  <si>
    <t>Materials for the Improvement of Multi-Purpose Building (Bleacher) at Barangay Baluno, Naga</t>
  </si>
  <si>
    <t>Supply and delivery of 8,000 kgs quality Seaweed Seedlings/propagules for Maguindanao province under 2020 block grant</t>
  </si>
  <si>
    <t>SVP Procurement of School Forms</t>
  </si>
  <si>
    <t xml:space="preserve">SUPPLY AND DELIVERY: 6 UNITS CHEMICAL CABINET (FOR DRY CHEMICALS); 3 UNITS REAGENT CABINET; 3 UNITS UNDERBENCH CHEMICAL CABINET; 2 UNITS SOLVENT CABINET; 2 UNITS MEDIA CABINET; 2 UNITS SAFETY CABINET </t>
  </si>
  <si>
    <t>small value 3 in 1 printer</t>
  </si>
  <si>
    <t>PROCUREMENT OF VARIOUS FERTILIZER FOR THE 2ND CROPPING SEASON</t>
  </si>
  <si>
    <t>Procurement of Education materials &amp; supplies and gen mdse.</t>
  </si>
  <si>
    <t>Procurement of Office Supplies for ECCD Modular Sessions</t>
  </si>
  <si>
    <t>Supply and Delivery of 100 bags Portland Cement and other various items.</t>
  </si>
  <si>
    <t>SECOND PHASE OF REPRODUCTION OF SELF LEARNING MODULES (SLMS)</t>
  </si>
  <si>
    <t>Construction of Concrete Shouldering</t>
  </si>
  <si>
    <t>PURCHASE OF BRAND NEW 6-WHEELER CAB TO BE USED FOR THE DELIVERY OF SOCIAL SERVICES OF THE PROVINCIAL GOVERNMENT OF CAVITE</t>
  </si>
  <si>
    <t>PB-20-462, Supply of Diesel Fuel for RP vehicle use of Committee on Youth and Sports and Committee on Infrastructure, Energy, Transportation and Communications (SP, Amas, Kidapawan City)</t>
  </si>
  <si>
    <t>PB-20-436, Supply &amp; Delivery of Fertilizers to be given to farmers affected by earthquake provincewide</t>
  </si>
  <si>
    <t>Concreting of Local Roads at Barangay Tambanan, Naga</t>
  </si>
  <si>
    <t>Procurement of Communication Equipment (Handheld Radio) for LDRRMC of LGU-Naga</t>
  </si>
  <si>
    <t>(KMH) INVITATION TO BID FOR THE SUPPLY AND DELIVERY OF DRUGS AND MEDICINES</t>
  </si>
  <si>
    <t>PB-20-434, Supply &amp; Delivery of Vegetable Seeds to be given to farmers affected by earthquake provincewide</t>
  </si>
  <si>
    <t>PB-20-429, Supply &amp; Delivery of Mobility Assistant Devices for mental health patients</t>
  </si>
  <si>
    <t>PB-20-445, Supply &amp; Delivery of Digital Duplicators for reproduction of DEPED modules</t>
  </si>
  <si>
    <t>PB-20-435, Supply &amp; Delivery of Laboratory Equipment for Biocon Laboratory, Office of the Provincial Agriculturist, Amas, Kidapawan City</t>
  </si>
  <si>
    <t>Procurement of CCTV with poe and accessories and gen mdse.</t>
  </si>
  <si>
    <t>PB-20-464, Supply &amp; Delivery of Blueprint Machine for Provincial Engineer’s Office, Amas, Kidapawan City</t>
  </si>
  <si>
    <t>(KMH) INVITATION TO BID FOR THE SUPPLY AND DELIVERY OF ONE (1) UNIT DIGITAL HEMATOCRIT CENTRIFUGE 12 PLACERS WITH READER</t>
  </si>
  <si>
    <t>Supply and delivery of 60 sets fishpot for Maguindanao province under 2020 block grant</t>
  </si>
  <si>
    <t>Supply and Delivery of Printing Equipment and Supplies for the Printing of Manuals, Guides and Other Information Materials</t>
  </si>
  <si>
    <t>PROCUREMENT OF OXYGEN GAS REFILL</t>
  </si>
  <si>
    <t>PB-20-466, Supply &amp; Delivery of Agricultural Supplies for the Office of the Provincial Agriculturist, Amas, Kidapawan City</t>
  </si>
  <si>
    <t>(DEH) INVITATION TO BID FOR THE SUPPLY AND DELIVERY OF MEDICAL AND LABORATORY SUPPLIES</t>
  </si>
  <si>
    <t>Delivery of 2 units of Generators for Seaweed Buying Station for Sulu province under the 2020 block grant</t>
  </si>
  <si>
    <t>(KMH) INVITATION TO BID FOR THE SUPPLY AND DELIVERY OF ONE (1) UNIT DIGITAL CENTRIFUGE 24 PLACERS</t>
  </si>
  <si>
    <t>(NVPH) INVITATION TO BID FOR THE SUPPLY AND DELIVERY OF DRUGS AND MEDICINES</t>
  </si>
  <si>
    <t>Web Hosting for Moodle</t>
  </si>
  <si>
    <t>PB-20-465, Supply &amp; Delivery of Vehicle Parts for various heavy equipment of Provincial Engineer’s Office, Amas, Kidapawan City</t>
  </si>
  <si>
    <t>Supply and delivery of 30 sets floating-monoline and 75 sets bottom-stake seaweed farm implements for Sulu Province under the 2020 block grant</t>
  </si>
  <si>
    <t>PB-20-463, Supply &amp; Delivery of Office Supplies for Provincial Engineer’s Office, Amas, Kidapawan City</t>
  </si>
  <si>
    <t>Purchase of medicines for COVID-19</t>
  </si>
  <si>
    <t>Supply and Delivery of 50 sets Marine Gillnets for Sulu Province under 2020 block grant</t>
  </si>
  <si>
    <t>Supply and delivery of 10,000 kgs quality seaweed seedlings/propagules for Sulu province under the 2020 block grant</t>
  </si>
  <si>
    <t>SUPPLY AND DELIVERY OF JANITORIAL/ HOUSEKEEPING SUPPLIES</t>
  </si>
  <si>
    <t>PB-20-374, Supply &amp; Delivery of Shelter &amp; Modular Tents to be used in evacuation centers</t>
  </si>
  <si>
    <t>(KMH) INVITATION TO BID FOR THE SUPPLY AND DELIVERY OF MEDICAL SUPPLIES</t>
  </si>
  <si>
    <t>Supply and delivery of 5 units noodle machine for BARMM-MAFAR Sulu 2020 block grant</t>
  </si>
  <si>
    <t>(KMH) INVITATION TO BID FOR THE SUPPLY AND DELIVERY OF LABORATORY SUPPLIES</t>
  </si>
  <si>
    <t>Materials for the Const. of Water System at Barangay Upper Sulitan, Naga</t>
  </si>
  <si>
    <t>Procurement of One (1) Lot ICT Equipment</t>
  </si>
  <si>
    <t>Procurement of supplies, materials and equipment for COVID-19</t>
  </si>
  <si>
    <t>Fabrication and delivery of 5 units PORTABLE SMOKE HOUSE for BARMM-MAFAR-Sulu province under 2020 block grant</t>
  </si>
  <si>
    <t>Construction and delivery of 2 units Motor Boat for Seaweed Buying Station for Sulu province under the 2020 block grant</t>
  </si>
  <si>
    <t>Fabrication and Delivery of 60 sets Fishpot for Sulu Province under 2020 block grant</t>
  </si>
  <si>
    <t>Contract ID No. 20CSNC0004 - Cluster 4 - Consulting Services for the Conduct of Soil Exploration and/or Geotechnical Investigation in the preparation for the Preliminary Engineering Design of various</t>
  </si>
  <si>
    <t>REHABILITATION OF SENIOR CITIZEN'S BLDG AT SUMABNIT, BINALONAN</t>
  </si>
  <si>
    <t>purchase of multi purpose vehicle</t>
  </si>
  <si>
    <t>Supply and delivery of 2 units of Weighing Scale for Seaweed Buying Station for Sulu province under the 2020 block grant</t>
  </si>
  <si>
    <t>Construction of Other equipments for Seaweeds Buying Stations for Sulu Province under the block grant</t>
  </si>
  <si>
    <t>SUPPLY AND DELIVERY OF DRUGS AND MEDICINES FOR MENTALLY ILL PATIENTS AND OTHER MATERIALS FOR MSWD-PWD OFFICE</t>
  </si>
  <si>
    <t>100-2020-07-851 Supply and delivery of construction materials and supplies re Concreting of Purok Masunurin Road at Purok Kaakbayan,Bgy. Tiniguiban</t>
  </si>
  <si>
    <t>100-2020-07-854 Supply and delivery of 776.51 cumready mixed concrete re Concreting of Purok Masunurin Road at Purok Kaakbayan,Bgy. Tiniguiban</t>
  </si>
  <si>
    <t>Replacement of defective Air Conditioning Unit at Procurement Office</t>
  </si>
  <si>
    <t>100-2020-07-847 Supply and delivery of construction materials and supplies re Concreting of City Employees Village Phase III, Bgy. San Jose</t>
  </si>
  <si>
    <t>Supplies and Materials for RTC - KPTVC registration of BHS NC II requirements</t>
  </si>
  <si>
    <t>100-2020-05-704 Supply and delivery of food supplies intended for supplementary feeding program</t>
  </si>
  <si>
    <t>Supply and delivery of Seaweed Buying Station facilities for Sulu province under the 2020 block grant</t>
  </si>
  <si>
    <t>100-2020-07-853 Supply and delivery of 530.73 cum ready mixed concrete re Concreting of Santan Road at City Employees Village, Bgy. Sta. Monica</t>
  </si>
  <si>
    <t>100-2020-07-855 Supply and delivery of 881.42 cum ready mixed concrete re Concreting of City Employees Village Phase III, Bgy. San Jose</t>
  </si>
  <si>
    <t>CONSTRUCTION OF ADMINISTRATION BUILDING (PHASE 1), SAN ANTONIO SOUTH</t>
  </si>
  <si>
    <t>Procurement of Vehicle</t>
  </si>
  <si>
    <t>Construction of Drainage Canal at Calantas Elementary School, Barangay Calantas, Floridablanca, Pampanga</t>
  </si>
  <si>
    <t>Procurement of Agricultural Machinery and Equipment</t>
  </si>
  <si>
    <t>CONSTRUCTION OF VARIOUS INFRASTRUCTURE PROJECTS FOR THE CITY OF NAVOTAS UNDER LGSF</t>
  </si>
  <si>
    <t>20GFL0007-Supply and delivery of various construction materials for various Maintenance Works, 3rd Quarter, CY 2020</t>
  </si>
  <si>
    <t>Supply of Materials for the Rehabilitation of roof framing, roofing and windows of school building at So. Tapao, Nagsabaran, San Clemente, Tarlac</t>
  </si>
  <si>
    <t>REHABILITATION OF MULTI PURPOSE HALL AT ZONE 3 CADLAN, PILI, CAM. SUR</t>
  </si>
  <si>
    <t>Repair of Electronic, Mechanical Extension and Academic Building</t>
  </si>
  <si>
    <t>PROCUREMENT OF FUEL, OIL AND LUBRICANTS FOR USE OF LGU LIGHT VEHICLES AND HEAVY EQUIPMENTS (2ND QUARTER AND 3RD QUARTER 2020 – MOOE) RE-BID</t>
  </si>
  <si>
    <t>Water Materials</t>
  </si>
  <si>
    <t>Payao -Fish Shelter etc.(07-0818) Agriculturist</t>
  </si>
  <si>
    <t>PURCHASE OF RICE</t>
  </si>
  <si>
    <t>Supply and delivery of various commodities for the children beneficiaries of Supplementary Feeding Program of the Municipality of Dumalneg, Ilocos Norte</t>
  </si>
  <si>
    <t>Supply/Delivery of Construction Materials</t>
  </si>
  <si>
    <t>Supply and delivery of various commodities for the children beneficiaries of Supplementary Feeding Program of the Municipality of Nueva Era, Ilocos Norte</t>
  </si>
  <si>
    <t>Disinfectant Solution etc.(08-0877) CCAH</t>
  </si>
  <si>
    <t>Supply/Delivery of Farm Tractor</t>
  </si>
  <si>
    <t>Anti Rabies Vaccine etc. (02-0617)City Veterinarian</t>
  </si>
  <si>
    <t>Supply and delivery of various commodities for the children beneficiaries of Supplementary Feeding Program of the Municipality of Pinili, Ilocos Norte</t>
  </si>
  <si>
    <t>ROAD REHABILITATION (PROPER BATO MABINAY, NEGROS ORIENTAL)</t>
  </si>
  <si>
    <t>Cartolina etc. (07-0815)City Health Office</t>
  </si>
  <si>
    <t>SUPPLY AND DELIVERY OF COMPUTER EQUIPMENT AND PERIPHERALS FOR THE REHABILITATION OF SSC NETWORK INFRASTRUCTURE OF THREE CAMPUSES OF SORSOGON STATE COLLEGE</t>
  </si>
  <si>
    <t>HBA1C Test  etc. (08-0878) CCAH</t>
  </si>
  <si>
    <t>SUPPLY AND DELIVERY OF COMMON-USED SUPPLIES AND EQUIPMENT FOR FOUR CAMPUSES OF SSC AND SCHOOL OF GRADUATE STUDIES US</t>
  </si>
  <si>
    <t>Macroset etc. (08-0876)CCAH</t>
  </si>
  <si>
    <t>Concreting of Demoloc-Guisok-Sarangani Road Phase II located at Demoloc-Guisok-Sarangani, Malita, Davao Occidental</t>
  </si>
  <si>
    <t>Crystal Gray Quartz with Installation etc. (07-0828)CEO</t>
  </si>
  <si>
    <t>CY 2020 Supply and Delivery of 150 units of COMCOLOR FW1230-INK CARTRIDGE BLACK for In House Printing of Learning Modules for SY 2020-2021</t>
  </si>
  <si>
    <t>Improvement of Perimeter Fence at PUP-SMB Campus, Pulong Buhangin, Santa Maria, Bulacan</t>
  </si>
  <si>
    <t>Procurement of Construction Materials and Supplies</t>
  </si>
  <si>
    <t>Methyl Eugenol etc.- REBID (05-0560) Agriculture</t>
  </si>
  <si>
    <t>Facial Tissue etc. (08-0850) CMO</t>
  </si>
  <si>
    <t>Purchase of school and office supplies</t>
  </si>
  <si>
    <t>20EB0144: Cluster RM02: Emergency Repair of damaged/scoured Slope Protection:  a)	MWCR, K0387+564 – K0387+754 Left side, Brgy. San Vicente Section b)	MWCR, K0388+894.50 – K0388+917; K0388+932 – K0388+</t>
  </si>
  <si>
    <t>SUPPLY, DELIVERY AND INSTALLATION OF SOLAR LIGHTING FACILITIES</t>
  </si>
  <si>
    <t>Supply and Delivery of Tent at LGU - Santa Maria, Bulacan</t>
  </si>
  <si>
    <t>20EB0145: Emergency Repair of damaged/scoured Slope Protection, Jct. TLLR-Burol Road, K0010+263 – K0010+278</t>
  </si>
  <si>
    <t>CONSTRUCTION OF WATER SUPPLY SYSTEM   AT BRGY.  BULAKIN 2, DOLORES, QUEZON</t>
  </si>
  <si>
    <t>20EB0143: Cluster RM01: Emergency Repair of damaged/scoured Slope Protection:  a)	Baboy Bridge Approach “A”, K0415+939 (B0011MR) along Mindoro West Coastal Road, Mamburao b)	MWCR, K0429+676.50 – K0429</t>
  </si>
  <si>
    <t>Concreting of Road in Brgy. Opong, Tolosa, Leyte, ABC PHP3,206,094.34</t>
  </si>
  <si>
    <t>Contract ID No. 19FA0099: CLUSTER 54 REHABILITATION/IMPROVEMENT OF SOA FLOOD CONTROL (UPSTREAM), MALINAO, ALBAY AND CONSTRUCTION OF BALZA RIVER FLOOD CONTROL STRUCTURE, BRGY. BALZA, MALINAO, ALBAY</t>
  </si>
  <si>
    <t xml:space="preserve">Contract ID No. 20CSNC0005 - Cluster 5 - Consulting Services for the Conduct of Soil Exploration and/or Geotechnical Investigation in the preparation for the Preliminary Engineering Design of various </t>
  </si>
  <si>
    <t>Supply, Delivery and Installation of Online Plagiarism Checker</t>
  </si>
  <si>
    <t>SUPPLY AND DELIVERY OF UNPLASTICIZED POLYVINYL CHLORINE (uPVC) PIPES  FOR REHAB OF TRANSMISSION PIPELINE AT BRGY. BULANON, BRGY. RAFAELA BARRERA AND BRGY. VITO,  SAGAY CITY</t>
  </si>
  <si>
    <t>Supply &amp; Delivery of Seeds &amp; Fertilizers</t>
  </si>
  <si>
    <t>Local Frequecy for Radio Broadcasting etc. (0875) DepEd Dipolog</t>
  </si>
  <si>
    <t>CONSTRUCTION/EXTENSION OF DIAGNOSTIC CENTER BUILDING FOR CT-SCAN AT CITY HEALTH OFFICE, BARANGAY HERRERO-PEREZ, DAGUPAN CITY</t>
  </si>
  <si>
    <t>Supply, Deliver and Installation of Solar Streetlights at Brgy. Kahaponan</t>
  </si>
  <si>
    <t>Split Type Aircon etc. (08-0881) DepEd</t>
  </si>
  <si>
    <t>LABOR AND MATERIALS FOR THE REPAIR OF LIBRARY BUILDING (DAMAGED BY TYPHOON TISOY) AT BULAN CAMPUS</t>
  </si>
  <si>
    <t>Hauling, Transfer and Disposal of Solid Waste Materials at LGU - Santa Maria, Bulacan</t>
  </si>
  <si>
    <t>Supply &amp; Delivery of One (1) unit Brand New 6-Wheeler Dump Truck</t>
  </si>
  <si>
    <t>Supply and delivery of various commodities for the children beneficiaries of Supplementary Feeding Program of the Municipality of Burgos Ilocos Norte</t>
  </si>
  <si>
    <t>Supply and delivery of various commodities for the children beneficiaries of Supplementary Feeding Program of the Municipality of Bangui, Ilocos Norte</t>
  </si>
  <si>
    <t>Supply and Delivery of Various Furnitures and Fixtures at LGU - Santa Maria, Bulacan</t>
  </si>
  <si>
    <t>Supply and delivery of various commodities for the children beneficiaries of Supplementary Feeding Program of the Municipality of Carasi, Ilocos Norte</t>
  </si>
  <si>
    <t>CONSTRUCTION OF X-RAY ROOM, NUTRITION AND COMPUTER ROOM, 2ND FLOOR MARCOS BUILDING</t>
  </si>
  <si>
    <t>PROCUREMENT OF GARBAGE TRUCK (DUMP TRUCK)</t>
  </si>
  <si>
    <t>20IE0118 - CONCRETING OF BRGY. TAGHARIGUE TO  BRGY. IGANG FMR, BRGY. TAGHARIGUE AND BRGY. IGANG, CALUBIAN, LEYTE Calubian, Leyte</t>
  </si>
  <si>
    <t>Public Bidding of 3 Lots for the Supply &amp; Delivery of Various Office Equipment for RMPH, SGMRMDH &amp; PTCAO, under ITB No. 2020-025R</t>
  </si>
  <si>
    <t>Public Bidding for the Supply &amp; Delivery of Carabao for Provincial Tourism and Cultural Affairs Office, under ITB No. 2020-024R</t>
  </si>
  <si>
    <t>LABOR AND MATERIALS FOR THE REPAIR OF BTTE BUILDING (DAMAGED BY TYPHOON TISOY) AT BULAN CAMPUS</t>
  </si>
  <si>
    <t>Public Bidding for the Supply &amp; Delivery of Construction Materials for the Proposed Construction of Multiplier Farm @ Brgy. Nagba Cuartero, Capiz under ITB No. 2020-023R</t>
  </si>
  <si>
    <t>20GSDG0028: Furnishing Labor for Software Update and Calibration of Survey Equipment of DPWH, Cavite II District Engineering Office, Alfonso, Cavite</t>
  </si>
  <si>
    <t>Supply and Delivery of Materials for the Construction of Multi-Purpose Bleacher at Bgy. Tagusao, Quezon, Palawan</t>
  </si>
  <si>
    <t>20IE0117 - CONCRETING OF JUNCTION NATIONAL ROAD, BRGY. PAYAO TO SITIO HILL VIEW TO SITIO BARANGBANG FMR, BRGY. PAYAO, VILLABA, LEYTE Villaba, Leyte</t>
  </si>
  <si>
    <t>Road Opening at Brgy. Katipunan</t>
  </si>
  <si>
    <t>Supply &amp; Delivery of Disaster Tools and Equipment for MDRRM Office</t>
  </si>
  <si>
    <t>Supply &amp; Delivery of Six (6) units Laptop for Sangguniang Bayan Office</t>
  </si>
  <si>
    <t>Supply &amp; Delivery of Various Disaster Equipment for MDRRM Office</t>
  </si>
  <si>
    <t>REHABILITATION OF SEAWALL AND INSTALLATION OF LIGHTS IN SHORELINE, POBLACION, CAJIDIOCAN, ROMBLON</t>
  </si>
  <si>
    <t>CONSTRUCTION OF ACCESS ROAD - NALUS-UCAN, SUGOD, CAJIDIOCAN, ROMBLON</t>
  </si>
  <si>
    <t>INK PIGMENT - FOR PD's Printer</t>
  </si>
  <si>
    <t>POLO SHIRTS</t>
  </si>
  <si>
    <t>PRINTING OF TARPAULIN</t>
  </si>
  <si>
    <t>Improvement of Farm to Market Road at Purok  Tamsi to Malaunay</t>
  </si>
  <si>
    <t>Office Vehicle (SKC 235) use</t>
  </si>
  <si>
    <t>CONSTRUCTION OF FMR SITIO MALUBAGO, GUTIVAN, CAJIDIOCAN, ROMBLON</t>
  </si>
  <si>
    <t>Improvement of Farm to Market Road at Purok Tukgaw to Purok Hagomhom</t>
  </si>
  <si>
    <t>PROCUREMENT OF SUPPLIES/MATERIALS FOR THE REPRODUCTION OF SELF-LEARNING MODULES/LEARNING RESOURCES TO BE USED BY SCHOOLS DURING MODULAR/ONLINE DISTANCE LEARNING FOR THE 1ST &amp; 2ND QTR OF SY 2020-2021</t>
  </si>
  <si>
    <t>20DC0223 - Construction/Rehabilitation of Road, Brgy. Sto. Niño, San Nicolas, Batangas</t>
  </si>
  <si>
    <t>20DC0221 - Construction/Rehabilitation of Road, Sta. Elena-San Vicente Road, Sto. Tomas, Batangas</t>
  </si>
  <si>
    <t>Supply and Delivery of 20 units of Handloom Weaving Devices in Torrijos, Marinduque</t>
  </si>
  <si>
    <t>IMPROVEMENT OF RHU, POBLACION, CAJIDIOCAN, ROMBLON</t>
  </si>
  <si>
    <t>20DC0222 - Concreting of Farm to Market Road for Barangay Balakilong, Laurel, Batangas</t>
  </si>
  <si>
    <t>Improvement of Farm to Market Road at Purok  Hagomhom to Purok Aguila</t>
  </si>
  <si>
    <t>20GEB0057: Procurement/Supply/Delivery of Multi-Function Printer/ Copier/Scanner Heavy Duty with one (1) unit Colored Printer/ Copier for use in DPWH-Mindoro Occidental DEO, Planning and Design Sectio</t>
  </si>
  <si>
    <t>Supply and Delivery of Materials for the Construction of Composting Facility Building</t>
  </si>
  <si>
    <t>Construction of Multi-Purpose Bldg. (Phase 1) in Brgy. Rizal, Javier, Leyte, ABC PHP2,499,134.05</t>
  </si>
  <si>
    <t>Supply and Delivery of 20 units of Handloom Weaving Devices in Sariaya, Quezon</t>
  </si>
  <si>
    <t>Construction of Multi-Purpose Bldg. (Phase 1) in Brgy. San Antonio (Poblacion), Alangalang, Leyte, ABC PHP2,585,810.74</t>
  </si>
  <si>
    <t>SUPPLY AND DELIVERY OF RAMBUTAN SEEDLINGS</t>
  </si>
  <si>
    <t>ILD-20-3132: Procurement of Chemical and Filtering Supplies to be used in Metarhizium production and Diagnosis</t>
  </si>
  <si>
    <t>Barangay Streetlights</t>
  </si>
  <si>
    <t>AGR-19-1176-B  Construction of Access Road of the Provincial Agriculture Office ART-Center.</t>
  </si>
  <si>
    <t>Construction of Patrol Base</t>
  </si>
  <si>
    <t>Construction of Multi-Purpose Bldg. (Phase 2) in Brgy. Canhandugan, Jaro, Leyte, ABC PHP2,639,851.62</t>
  </si>
  <si>
    <t>Construction of Multi-Purpose Bldg. (Phase 2) in Brgy. Poblacion V. Burauen, Leyte, ABC PHP2,662,217.28</t>
  </si>
  <si>
    <t>CONSTRUCTION OF FARM-TO-MARKET ROAD AT SITIO CAMP VALLEY-TIBBEG, SUGUIDAN NORTE, NAGUILIAN, LA UNION.</t>
  </si>
  <si>
    <t>PURCHASE OF CELLPHONES</t>
  </si>
  <si>
    <t>PROCUREMENT OF SOUND SYSTEM</t>
  </si>
  <si>
    <t>Concreting of Road in Brgy. Brigida, Tolosa, Leyte, ABC PHP2,008,946.72</t>
  </si>
  <si>
    <t>Anti-Radiation Glassess</t>
  </si>
  <si>
    <t>Supply and Delivery of Various Construction materials use for the Maintenance of Streetlights, Rehabilitation of Drainage Canal, Construction of Slope Protection at Brgys. San Vicente, Consolacion, Sa</t>
  </si>
  <si>
    <t>CONSTRUCTION OF DRAINAGE CANAL, PUROK 6, BARANGAY CARLATAN</t>
  </si>
  <si>
    <t>Supply and Delivery of Materials for Construction of Storage Room and Bleachers st Barangay Candanas</t>
  </si>
  <si>
    <t>Procurement of Vehicle Parts and Accessories under P.R Nos. 2368-2020 and 2372-2020 - Office of the City Engineer-1Lot.</t>
  </si>
  <si>
    <t>Procurement of construction materials for Concreting of Road @ Sitio Pugo, San Juan</t>
  </si>
  <si>
    <t>Supply &amp; Delivery of Communication Equipment and Accessories</t>
  </si>
  <si>
    <t>Rehabilitation/improvement of Water System in Brgy. Hinabuyan, Villaba, Leyte, ABC PHP2,884,283.42</t>
  </si>
  <si>
    <t>Construction of Water System in Brgy. Buenavista, Burauen, Leyte, ABC PHP2,435,464.09</t>
  </si>
  <si>
    <t>Construction of a 2-Classroom School Building at Aringit Primary School in Pastrana, Leyte, ABC PHP2,051,036.76</t>
  </si>
  <si>
    <t>19B00062: Organizational Outcome 1: Ensure Safe and Reliable National Road System: Network Development: Rehabilitation/ Reconstruction of Roads with Slips, Slope Collapse and Landslide Peñablanca – Ca</t>
  </si>
  <si>
    <t>Construction of Transport Terminal</t>
  </si>
  <si>
    <t>Construction of Multi-Purpose Bldg. (Phase 1) in Brgy. Caray-caray, San Miguel, Leyte, ABC PHP2,495,627.56</t>
  </si>
  <si>
    <t>CONSTRUCTION OF SLOPE PROTECTION &amp; REHABILITATION OF FARM TO MARKET ROAD, BARANGAY SACYUD</t>
  </si>
  <si>
    <t>20GEB0073: Procurement/Supply of Diesel, Gasoline Fuel and Lubricants for use in the operation of DPWH Equipment for the Repair/ Maintenance of National Roads and Bridges (Lubang Island)</t>
  </si>
  <si>
    <t>CONSTRUCTION OF MULTIPURPOSE HALL/ ISOLATION CENTER, SUGOD CAJIDIOCAN, ROMBLON</t>
  </si>
  <si>
    <t>RFQ-2020-08-054: Procurement/Supply/Delivery of IT and Communication Equipment for use in the DPWH-Mindoro Occidental DEO (Planning and Design Section)</t>
  </si>
  <si>
    <t>Local Cable TV Airtime Services etc. (08-0874)DepEd</t>
  </si>
  <si>
    <t>PURCHASE OF MEDICAL AND DENTAL SUPPLY, MUNICIPAL HEALTH OFFICE, CAJIDIOCAN, ROMBLON</t>
  </si>
  <si>
    <t>Proposed Construction of Solar Street Lights</t>
  </si>
  <si>
    <t>Red Lead Paint,Cyclone Wire,etc...</t>
  </si>
  <si>
    <t>Construction of Multi-Purpose Bldg. (Phase 2) in Brgy. Palanugan, Mahaplag, Leyte, ABC PHP2,367,340.51</t>
  </si>
  <si>
    <t>CONSTRUCTION/EXTENSION OF NEW GUINLO BOAT LANDING, PHASE II (TAYTAY, PALAWAN)</t>
  </si>
  <si>
    <t>Procurement of Labor and Materials for the Construction/Repair/Renovation of Various Civil Works at 3rd Floor of Blue Building</t>
  </si>
  <si>
    <t>CONSTRUCTION OF SEWAGE TREATMENT PLANT IN CUYO DISTRICT HOSPITAL (MUNICIPALITY OF CUYO, PALAWAN)</t>
  </si>
  <si>
    <t>Print and Scan Supplies and Equipment</t>
  </si>
  <si>
    <t>R&amp;D-20-3066: Procurement of Chemical and Filtering Supplies needed for Laboratory use in support to “Mass production of quality banana planting materials..."</t>
  </si>
  <si>
    <t>Supply and delivery of materials for the Improvement of Multi - Purpose Hall at Sitio Cruz, Barangay San Isidro, Mauban, Quezon</t>
  </si>
  <si>
    <t>R&amp;D-20-3064: Procurement of Other Supplies needed for Laboratory use in support to “Mass production of quality banana planting materials...”</t>
  </si>
  <si>
    <t>PURCHASE OF OFFICE SUPPLIES, MUNICIPAL HEALTH OFFICE, CAJIDIOCAN, ROMBLON</t>
  </si>
  <si>
    <t>SUPPLY AND DELIVERY OF DAY CARE SCHOOL KIT</t>
  </si>
  <si>
    <t>PROCUREMENT OF VEGETABLE SEEDS, MAO, CAJIDIOCAN, ROMBLON</t>
  </si>
  <si>
    <t>School Material</t>
  </si>
  <si>
    <t>Supply and Delivery of Textbooks and Instructional Materials for the Library (PR No. 2020-08-0661)</t>
  </si>
  <si>
    <t>CONSTRUCTION OF BARANGAY HEALTH STATION IN BGY. BUNOG RIZAL (MUNICIPALITY OF RIZAL, PALAWAN)</t>
  </si>
  <si>
    <t>Procurement of Labor and Materials- Road Concreting at Laguio</t>
  </si>
  <si>
    <t>CONSTRUCTION OF DROP-IN AND CRISIS CENTER</t>
  </si>
  <si>
    <t>RFQ 2020-08-0318 REPAIR AND MAINTENANCE FOR LABORATORY USE</t>
  </si>
  <si>
    <t>Procurement of Drugs and Medicines for Bislig District Hospital.</t>
  </si>
  <si>
    <t>Procurement of Furniture and Fixtures for the SK Office</t>
  </si>
  <si>
    <t>Procurement of Hospital/Medical Equipment</t>
  </si>
  <si>
    <t>PURCHASE OF FUEL AND LUBRICANTS FOR HEAVY AND LIGHT EQUIPMENTS (LGU- KIBAWE)</t>
  </si>
  <si>
    <t>One (1) Lot – BSP Open Wireless Network (BSP Open WIFI) Project Upgrade, consisting of Design, Supply, Delivery, Installation, Configuration, Setup and Maintenance of Managed Wireless Network Infrastr</t>
  </si>
  <si>
    <t>PURCHASE OF SOFTWARE AND VARIOUS EQUIPMENTS OF DENR-PENRO PALAWAN</t>
  </si>
  <si>
    <t>PROCUREMENT AND DELIVERY OF CAST IRON MATERIALS</t>
  </si>
  <si>
    <t>PURCHASE OF TOTAL STATION A1 SURVEY INSTRUMENT LAVEZARES, N. SAMAR</t>
  </si>
  <si>
    <t>Procurement of Works for the Upgrading of Public Plaza and Playground Facilities for Male and Female of this municipality, Brgy. Poblacion, Tapaz, Capiz</t>
  </si>
  <si>
    <t>20GLH0020 - (P.R. 2020-08-049 dated 08/10/2020) - 41X – Emergency Projects (Removal of Structures and Obstruction) along National Roads, 3rd Congressional District, Davao City</t>
  </si>
  <si>
    <t>CONSTRUCTION OF MASILAG FMR BRIDGE</t>
  </si>
  <si>
    <t>Board Games</t>
  </si>
  <si>
    <t>Supply and Delivery of various TENTS for Marikina City Various Activities, City Government of Marikina</t>
  </si>
  <si>
    <t>IMPROVEMENT OF HOSPITAL LANDSCAPING AND FACILITIES (CORON DISTRICT HOSPITAL, CORON, PALAWAN)</t>
  </si>
  <si>
    <t>Construction of Multi-Purpose Bldg. (Phase 1) in Brgy. Camitoc, Dulag, Leyte, ABC PHP1,995,573.92</t>
  </si>
  <si>
    <t>Concreting of Bangbangolan Farm to Market Road, San Fernando</t>
  </si>
  <si>
    <t>Supply, Delivery and Installation of Room Emergency Lights (PR No. 2020-06-0550)</t>
  </si>
  <si>
    <t>Rebidding of MOTOR VEHICLE</t>
  </si>
  <si>
    <t>Construction of Flood Control Structure in Brgy. District III, Babatngon, Leyte, ABC PHP1,996,389.20</t>
  </si>
  <si>
    <t>CONSTRUCTION OF BATARAZA DISTRICT HOSPITAL PERIMETER FENCE PHASE II (MUNICIPALITY OF BATARAZA, PALAWAN)</t>
  </si>
  <si>
    <t>RFQ 2020-08-0373 Accountable forms # 51 for Cashier's Office use</t>
  </si>
  <si>
    <t>Supply and Installation of Air-Conditioning Units for the New Municipal Hall Building</t>
  </si>
  <si>
    <t>PROCUREMENT OF RISO MACHINE AND RISO INK</t>
  </si>
  <si>
    <t>Procurement of Basic Advance Flight &amp; Training Course</t>
  </si>
  <si>
    <t>CONSTRUCTION OF PROPOSED 11M X 12.5M BUNK HOUSE (BGY. IRAWAN, PUERTO PRINCESA CITY, PALAWAN)</t>
  </si>
  <si>
    <t>Procurement of Hardware and Construction Supplies</t>
  </si>
  <si>
    <t>Continuation of the Construction of the Legislative Building</t>
  </si>
  <si>
    <t>REHABILITATION/IMPROVEMENT OF LOCAL ACCESS ROAD @ BRGY. POBLACION, CALINTAAN OCCIDENTAL MINDORO</t>
  </si>
  <si>
    <t>Proposed GAD Office with client friendly safe interview &amp; Counselling room</t>
  </si>
  <si>
    <t>Proposed Improvement of Isolation Area Phase II, Sitio Bunot, Barangay Lunsad, Binangonan Rizal</t>
  </si>
  <si>
    <t>Purchaser of Irrigation Hose  -  Ambugat</t>
  </si>
  <si>
    <t>REQUEST FOR QUOTATION (SUPPLIES AND DELIVERY OF  PRINTING MATERIALS AND OTHER SUPPLIES</t>
  </si>
  <si>
    <t>RFQ 2020-08-0384 POST EARTHQUAKE REPAIRS FOR MPEC STAIRS</t>
  </si>
  <si>
    <t>SUPPLY &amp; DELIVERY OF ELECTRICAL MATERIALS FOR THE INSTALLATION OF STREET LIGHTING SYSTEM (ELECTRIFICATION PROJECT) (50 UNITS) KIBAWE, BUKIDNON</t>
  </si>
  <si>
    <t>20FL0088-Construction of 1STY2CL, Cabagahan Elementary School, Matnog, Sorsogon,Matnog, Sorsogon</t>
  </si>
  <si>
    <t>Supply and Delivery of Two (2) units 100 KVA Generator Set for use in the Operation of Malalag Waterworks System</t>
  </si>
  <si>
    <t>AMIA-20-3089: Procurement of Agricultural Supplies needed for the Vegetable and Crop production at DA-Ubay Stock Farm, Lomangog, Ubay, Bohol</t>
  </si>
  <si>
    <t>Procurement of Tires, Spare Parts and Oil Filter for the Repair and Maintenance of Transportation Equipment</t>
  </si>
  <si>
    <t>PROCUREMENT OF FUEL, OIL AND LUBRICANTS</t>
  </si>
  <si>
    <t>LGU-AL-G-24-2020 PURCHASE OF 4X4 2.4L VEHICLE</t>
  </si>
  <si>
    <t>Construction of Minolo Pier</t>
  </si>
  <si>
    <t>PROJ. 267 - Donation - MOOE 2020</t>
  </si>
  <si>
    <t>Procurement of Diesel</t>
  </si>
  <si>
    <t>Procurement of 100 boxes Official Receipts</t>
  </si>
  <si>
    <t>(SBMA-BAC-INFRA-IB-10-20) REPAIR &amp; REPAINTING OF VARIOUS SBMA BUILDINGS &amp; FACILITIES (BLDG. 229, BLDG. 705, BLDG. 697, REGULATORY BUILDING &amp; KALAKLAN GATE TERMINAL)</t>
  </si>
  <si>
    <t>To be Used to Replace Damaged Pipelines, Auxilliary Lines and Disinfect Reservoirs. - WATERWORKS R. T. Lim,  Zamboanga Sibugay</t>
  </si>
  <si>
    <t>ICT : ICT DEVICE AND EQUIPMENT TO BE USE FOR VIDEO CONFERENCING FOR ALL DIVISION OF DSWD FO IX</t>
  </si>
  <si>
    <t>Construction of Multi-Purpose Hall Barangay Palangan</t>
  </si>
  <si>
    <t>SUPPLY &amp; DELIVERY OF CONSTRUCTION MATERIALS FOR THE INSTALLATION OF STREET LIGHTING SYSTEM (ELECTRIFICATION PROJECT) (50 UNITS) KIBAWE, BUKIDNON</t>
  </si>
  <si>
    <t>Rehabilitation of Barangay Road</t>
  </si>
  <si>
    <t>SUPPLY &amp; DELIVERY OF LED STREET LIGHT FOR THE INSTALLATION OF STREET LIGHTING SYSTEM ( ELECTRIFICATION PROJECT) (50 UNITS) KIBAWE, BUKIDNON</t>
  </si>
  <si>
    <t>basketball board (set)-linglingay</t>
  </si>
  <si>
    <t>Supply &amp; Delivery of OFFICE EQUIPMENT</t>
  </si>
  <si>
    <t>Construction of Multi-Purpose Hall in Brgy. Dapdap, Alangalang, Leyte, ABC PHP1,913,208.95</t>
  </si>
  <si>
    <t>Supply &amp; Delivery of OTHER SUPPLIES for the use of Different Offices (2nd Quarter)</t>
  </si>
  <si>
    <t>Rehabilitation of Multi-Purpose Bldg. in Brgy. Laray, Abuyog, Leyte, ABC PHP1,827,523.52</t>
  </si>
  <si>
    <t>Rehabilitation &amp; improvement of Multi-Purpose Bldg. in Brgy. Apale, Isabel, Leyte, ABC PHP1,787,190.91</t>
  </si>
  <si>
    <t>SUPPLY AND DELIVERY OF VARIOUS EQUIPMENT FOR BANGUS PRODUCTION</t>
  </si>
  <si>
    <t>Purchase of book papers for the used of Office of the Mayor</t>
  </si>
  <si>
    <t>Supply &amp; Delivery of OFFICE SUPPLIES for the use of Different Offices (2nd Quarter)</t>
  </si>
  <si>
    <t>Construction of Infrastructure Projects ITB 20-004</t>
  </si>
  <si>
    <t>Construction of Wet Market (Talipapa) with Elevated Water Tank in Brgy. San Agustin, Babatngon, Leyte, ABC PHP1,727,015.66</t>
  </si>
  <si>
    <t>CONSTRUCTION OF PROPOSED 11M X 12.5M BUNK HOUSE (BGY. APURAWAN, ABORLAN,  PALAWAN)</t>
  </si>
  <si>
    <t>Supply &amp; Delivery of MARKET ITEMS for Frontliners, Health Workers and Quarantined Persons</t>
  </si>
  <si>
    <t>SUPPLY AND DELIVERY OF AQUATIC FEEDS AND FERTILIZER FOR BANGUS PRODUCTION</t>
  </si>
  <si>
    <t>PURCHASE OF FOGGING MACHINE - SAN JUAN, ILOCOS SUR</t>
  </si>
  <si>
    <t>CONSTRUCTION PROJECTS, SUPPLIES AND EQUIPMENT, BARANGAY POBLACION, BURDEOS, QUEZON</t>
  </si>
  <si>
    <t>Supply &amp; Delivery of GROCERY ITEMS for Frontliners, Health Workers and Quarantined Persons</t>
  </si>
  <si>
    <t>SUPPLY AND DELIVERY OF HARDWARE MATERIALS FOR BANGUS PRODUCTION</t>
  </si>
  <si>
    <t>AMIA-20-3085: Procurement of Other Supplies to be used in the irrigation system of Model Farm at Ubay Stock Farm, Ubay, Bohol</t>
  </si>
  <si>
    <t>Rehab. of Multi-Purpose Hall - Macaoayan</t>
  </si>
  <si>
    <t>Potable Water Supply System - Macaoayan</t>
  </si>
  <si>
    <t>Supply &amp; Delivery of Assorted Items for DOLE Kabuhayan Projects</t>
  </si>
  <si>
    <t>Cementing of Donato-Joaquin St.  -  Manaboc</t>
  </si>
  <si>
    <t>Improvement of Brgy. Road (Daguro Road)  -  Lesseb</t>
  </si>
  <si>
    <t>Construction of 2 units One-Storey Three Classroom School Building w/ Toilet Attached at Each Classroom at Laos Es, Guihulngan, Negros Oriental</t>
  </si>
  <si>
    <t>CONSTRUCTION OF EVACUATION CENTER/MULTI-PURPOSE BUILDING, BGY. BUNOG RIZAL (MUNICIPALITY OF RIZAL, PALAWAN)</t>
  </si>
  <si>
    <t>Procurement of 24 Set Hematology Reagent Set ;1,500 Tests/Set (5 Parts), 30 Sets,etc. under P.R No. 0970-2020-Butuan Medical Center</t>
  </si>
  <si>
    <t>CONSTRUCTION OF SEAVIEW MULTI-PURPOSE HALL, POBLACION, CAJIDIOCAN, ROMBLON</t>
  </si>
  <si>
    <t>Construction of Pasalubong Center, Brgy. Poblacion, Buenavista, Quezon</t>
  </si>
  <si>
    <t>IMPROVEMENT OF BARANGAY HEALTH STATION</t>
  </si>
  <si>
    <t>Home School Materials</t>
  </si>
  <si>
    <t>Construction of Sanitary Landfill - Eco Park, Brgy. Wasay Ibaba, Buenavista, Quezon</t>
  </si>
  <si>
    <t>Supply &amp; Delivery of Information Technology (I.T.) Supplies - Rebid</t>
  </si>
  <si>
    <t>PURCHASE OF FARM TRACTORS/MACHINERIES</t>
  </si>
  <si>
    <t>Improvement of Day Care Center - Subadi Norte</t>
  </si>
  <si>
    <t>Battery 13 plates,Tires,etc...</t>
  </si>
  <si>
    <t>INVITATION TO BID FOR SECURITY SERVICES (RE-BID)</t>
  </si>
  <si>
    <t>Procurement of Furniture</t>
  </si>
  <si>
    <t>CONCRETING OF TAPON NORTE - BASAK ROAD</t>
  </si>
  <si>
    <t>Construction of Bleacher and Modular Stage in Brgy. Libertad, Palo, Leyte, ABC PHP1,089,415.24</t>
  </si>
  <si>
    <t>Improvement of Fence  -  Subadi Norte</t>
  </si>
  <si>
    <t>CONSTRUCTION OF LINE CANAL, SO. PULANG LUPA, BARANGAY POBLACION, BURDEOS, QUEZON</t>
  </si>
  <si>
    <t>CONSTRUCTION OF SLOPE PROTECTION (STA. CATALINA NATIONAL HIGH SCHOOL), Barangay Sta. Catalina Lopez, Quezon</t>
  </si>
  <si>
    <t>20FL0089-Construction of 2STY8CL, Gubat North CS, Gubat, Sorsogon, Gubat, Sorsogon</t>
  </si>
  <si>
    <t>Renovation of Slope Protection - Mapanit</t>
  </si>
  <si>
    <t>PROCUREMENT OF MOTOR VEHICLE</t>
  </si>
  <si>
    <t>REBIDDING OF CONSTRUCTION/IMPROVEMENT OF LEVEL II WATER SUPPLY SYSTEM-Barangay Villa Espina Lopez, Quezon</t>
  </si>
  <si>
    <t>REHABILITATION/IMPROVEMENT OF LOCAL ACCESS ROAD @ BRGY. NEW DAGUPAN, CALINTAAN, OCCIDENTAL MINDORO</t>
  </si>
  <si>
    <t>Stone Masonry - Poblacion Sur</t>
  </si>
  <si>
    <t>Procurement of Information and Communication Technology Equipment for SK Office</t>
  </si>
  <si>
    <t>Procurement of Other Property and Equipment for SK Office</t>
  </si>
  <si>
    <t>Improvement of Multi Purpose Bldg</t>
  </si>
  <si>
    <t>SUPPLY &amp; DELIVERY OF MATERIALS FOR VARIOUS CLASSROOMS REPAIR AT CAGAWASAN ELEMENTARY SCHOOL, NATULONGAN NHS AND WEST KIBAWE E/S</t>
  </si>
  <si>
    <t>Construction of Perimeter Fence of Manloy Elem. School in Capoocan, Leyte, ABC PHP1,211,100.32</t>
  </si>
  <si>
    <t>INVITATION TO BID FOR THE PROCUREMENT OF BOTTLE CRUSHER</t>
  </si>
  <si>
    <t>Supply &amp; Delivery of Office Supplies - Rebid</t>
  </si>
  <si>
    <t>Purchase of Environmental Health and Safety Equipment</t>
  </si>
  <si>
    <t>Purchase of Brand New Spareparts for Motor Grader - LGU, Maasin, Iloilo</t>
  </si>
  <si>
    <t>Construction of Multi-Purpose Bldg. in Brgy. Sto. Rosario, Isabel, Leyte, ABC PHP1,374,028.70</t>
  </si>
  <si>
    <t>Purchase of Furnitures And Fixtures _2nd Posting</t>
  </si>
  <si>
    <t>Procurement of Civil Works for the Renovation of Multi-Purpose Building</t>
  </si>
  <si>
    <t>Supply and Delivery of Rice for Kabuhayan Individual Starter/ Enhancement Kits.</t>
  </si>
  <si>
    <t>PROCUREMENT OF INFORMATION AND COMMUNICATION TECHNOLOGY EQUIPMENT</t>
  </si>
  <si>
    <t>BARANGAY ENHANCEMENT PROGRAM - BENHUR ACTION TEAM (3RD QUARTER)</t>
  </si>
  <si>
    <t>Construction of Drainage Canal - Subadi Norte</t>
  </si>
  <si>
    <t>NBC-0520-145</t>
  </si>
  <si>
    <t>BLGU-AL-ALANGILAN-01-2020 CONSTRUCTION OF MULTI-PURPOSE BUILDING, PHASE-1 BRGY. ALANGILAN ABUYOG, LEYTE</t>
  </si>
  <si>
    <t>Construction of Perimeter Fence of Camansi Elem. School in Carigara, Leyte. ABC PHP1,003,356.32</t>
  </si>
  <si>
    <t>Expansion &amp; Improvement of Multi-Purpose Bldg. Brgy. Poblacion Dist. II, Babatngon, Leyte, ABC PHP1,029,031.90</t>
  </si>
  <si>
    <t>Completion of RHU Building, Brgy. Poblacion, Buenavista, Quezon</t>
  </si>
  <si>
    <t>Supply, Delivery, Installation, and Commissioning of Steam Sterilizer High Pressure Machine (Autoclave)</t>
  </si>
  <si>
    <t>Supply &amp; Delivery of Fuel for Concreting of 375m Magsaysay Street, Bgy. Alfonso XIII</t>
  </si>
  <si>
    <t>Supply &amp; Delivery of Two (2) units Off-Road Motorcycle for MDRRM Office</t>
  </si>
  <si>
    <t>Supply &amp; Delivery of Three (3) units Motorcycle for Mayor’s Office</t>
  </si>
  <si>
    <t>Procurement of Office Supplies for Different Offices</t>
  </si>
  <si>
    <t>FACRICATION OF LGU LOGO AND NAME</t>
  </si>
  <si>
    <t>Supply and Delivery of Materials for the Construction/Completion of Municipal Sanitary Landfill</t>
  </si>
  <si>
    <t>Supply &amp; Delivery of Rabies Vaccine for MHO Patients.</t>
  </si>
  <si>
    <t>Improvement of Barangay Roads - Subadi Norte</t>
  </si>
  <si>
    <t>Supply and delivery of various commodities for the children beneficiaries of Supplementary Feeding Program of the Municipality of Banna, Ilocos Norte</t>
  </si>
  <si>
    <t>PURCHASE OF RESCUE VEHICLES</t>
  </si>
  <si>
    <t>NBC-0520-162</t>
  </si>
  <si>
    <t>Photocopy of Learning Modules for 1st Quarter</t>
  </si>
  <si>
    <t>SUPPLY AND DELIVERY OF LEARNING MATERIALS-GAD</t>
  </si>
  <si>
    <t>Plate etc. (Kitchen Equipment)  (PR-2020-7611-0046)</t>
  </si>
  <si>
    <t>PROCUREMENT FOR SUPPLY AND DELIVERY OF VARIOUS DIETARTY SUPPLIES ITB NO. 20-15</t>
  </si>
  <si>
    <t>Contract ID No. 20CSNC0008 - Cluster 8 - Consulting Services for the Conduct of Soil Exploration and/or Geotechnical Investigation in the preparation for the Preliminary Engineering Design of various</t>
  </si>
  <si>
    <t>Invitation to Bid for the Project "Completion of Basco Rural Health Unit, Rehabilitation/Repair/Improvement of BHS Building-Barangay San Joaquin (Valugan) and Chanarian</t>
  </si>
  <si>
    <t xml:space="preserve">Contract ID No. 20CSNC0006 - Cluster 6 - Consulting Services for the Conduct of Soil Exploration and/or Geotechnical Investigation in the preparation for the Preliminary Engineering Design of various </t>
  </si>
  <si>
    <t>Supply &amp; Delivery of Various Equipment for MDRRM Office.</t>
  </si>
  <si>
    <t>(PIHO) INVITATION TO BID FOR THE SUPPLY AND DELIVERY OF LABORATORY SUPPLIES</t>
  </si>
  <si>
    <t>100-2020-07-845 Supply and delivery of construction materials and supplies re Concreting of Santan Road at City Employees Village, Bgy. Sta. Monica</t>
  </si>
  <si>
    <t>CONTINUANCE OF CONSTRUCTION OF SLOPE PROTECTION AND EROSION STRUCTURE  ALONG PULANTUBIG CREEK</t>
  </si>
  <si>
    <t xml:space="preserve">Contract ID No. 20CSNC0007 - Cluster 7 - Consulting Services for the Conduct of Soil Exploration and/or Geotechnical Investigation in the preparation for the Preliminary Engineering Design of various </t>
  </si>
  <si>
    <t>Supply &amp; Delivery of AVR &amp; Breaker for Languyan DPP (S3-LGY20-019)</t>
  </si>
  <si>
    <t>Supply and Delivery of 60 sets Squid jigger for Sulu Province under 2020 block grant</t>
  </si>
  <si>
    <t xml:space="preserve">Contract ID No. 20CSNC0009 - Cluster 9 - Consulting Services for the Conduct of Soil Exploration and/or Geotechnical Investigation in the preparation for the Preliminary Engineering Design of various </t>
  </si>
  <si>
    <t>ITB NO. SV20-08-005ANG PROCUREMENT OF SERVICE PROVIDER FOR THE REPAIRS AND MAINTENANCE OF VARIOUS MOTOR VEHICLES</t>
  </si>
  <si>
    <t>Improvement of Barangay Health Center, Phase I, Brgy. Proper, Kinatarkan, Santa Fe, Cebu - Municipal</t>
  </si>
  <si>
    <t>PRE-BID CONFERENCE 25/Aug/2020 - Procurement of Goods: Const'n Materials &amp; Supplies for the use of CMO-Concreting of Alley-GAD(City Historical &amp; Cultural Center-Sidewalk Enhance't) (PR#100-20-08-0125)</t>
  </si>
  <si>
    <t>Supply and Delivery of Automated Banknote Processing Machine</t>
  </si>
  <si>
    <t>Medical Supplies for LPH-Dr. J.P. Rizal Memorial District Hospital</t>
  </si>
  <si>
    <t>Procurement of Office Supplies for SK Office</t>
  </si>
  <si>
    <t>Improvement of Evacuation Center &amp; Facilities(Concreting of Driveway)</t>
  </si>
  <si>
    <t>Contract Labor and Materials for the Construction of Drainage &amp; Improvement of Basketball Court of BLGU Sisimon, Laak, Davao De Oro</t>
  </si>
  <si>
    <t>POWDERED MILK AND PACKAGING MATERIALS</t>
  </si>
  <si>
    <t>Procurement of Services under P.R Nos. 2908-2020 (City Internal Audit Service), etc.-1Lot.</t>
  </si>
  <si>
    <t>Construction of Covered Court Flooring (Phase II)</t>
  </si>
  <si>
    <t>MG-TSE20-032..REHAB/REPAIR OF VARIOUS DEFECTIVE LOW/MEDIUM/HIGH VOLTAGE EQUIPMENT</t>
  </si>
  <si>
    <t>PURCHASE OF (1) UNIT MOTORCYCLE WITH FABRICATED SIDE CAR - CANTUOD, BALAMBAN, CEBU</t>
  </si>
  <si>
    <t>Re-bidding for the Procurement of Firefighter's Helmets</t>
  </si>
  <si>
    <t>PRE-BID CONFERENCE 25/Aug/2020 - Procurement of Goods: Const'n Materials &amp; Supplies for the use of CEO-Electrical(Electrification, Power &amp; Energy Structure 2020 at Tagum City Area) (PR#100-20-08-0126)</t>
  </si>
  <si>
    <t>Construction of Bulwangan Multi-Purpose Center Phase1</t>
  </si>
  <si>
    <t>HALAL-20-2849: Procurement of Office Supplies to be used in the Implementation of Halal Food Industry Development Program in Region VII</t>
  </si>
  <si>
    <t>Construction of Farmer's Multi-purpose Building 3</t>
  </si>
  <si>
    <t>Construction/Rehabilitation of RHU Building, LGU_Rosario, Northern Samar</t>
  </si>
  <si>
    <t xml:space="preserve">Procurement of Portable Gasoline Generator Equipment for Clearing/Demolition of Illegal Structures that Encroached the road right-of-way, foreshore easement and the wetlands of Boracay Island, Malay, </t>
  </si>
  <si>
    <t>Improvement of Multi-Purpose Pavement,Brgy. Punong,Alimodian Iloilo</t>
  </si>
  <si>
    <t>MG-CEN20-001..SUPPLY AND DELIVERY OF DRILL, RADIAL 2500MM ARM</t>
  </si>
  <si>
    <t>CID NO. 20IF0143 - Construction of Access Road, National Highway Leading to Merida Municipal Hall, Merida, Leyte</t>
  </si>
  <si>
    <t>CID NO. 20IF0144 - Road Conreting of Brgy. Mahayag to Brgy. Anislag, Isabel, Leyte</t>
  </si>
  <si>
    <t>Zero Waste Mng't. Supplies and Materials</t>
  </si>
  <si>
    <t>BARANGAY ENHANCEMENT PROGRAM - ARTS, CULTURE AND TOURISM (3RD QUARTER)</t>
  </si>
  <si>
    <t>Procurement of Surveillance Equipment for Mayor’s Office</t>
  </si>
  <si>
    <t>Procurement of one (1) unit Digital Duplicator (RISO) for lthe printing of Course Instructional Modules Course Instructional Programs and test papers</t>
  </si>
  <si>
    <t>Invitation to Bid for the  CONSTRUCTION/IMPROVEMENT OF PUROK 7, BAGAHABAG FTMR PHASE  Located at Brgy. Bagahabag, Solano, Nueva Vizcaya</t>
  </si>
  <si>
    <t>COMPONENT 3 – ARBOLD MOVE PROJECT LIVELIHOOD SUPPORT FOR WOMEN IN CRISIS SITUATION</t>
  </si>
  <si>
    <t>Installation of Street Light along Imelda and Real Streets, (Brgy. 1, 2 &amp; 3) LGU-Rosario, Northern Samar</t>
  </si>
  <si>
    <t>Invitation to Bid for Take-Over of Contract for the Construction of Advanced Science and Technology Building (ASTB) Phase 1 of PSHS Central Luzon Campus Lily Hill, Clark Freeport Zone, Pampanga (Rebid</t>
  </si>
  <si>
    <t>Supply and Delivery of Computers, LGU-Rosario, Northern Samar</t>
  </si>
  <si>
    <t>INVITATION TO BID FOR THE PROCUREMENT OF MATERIALS FOR BASCO WATERWORKS SYSTEM</t>
  </si>
  <si>
    <t>Procurement of Materials for the Project "Improvement of Waterworks System"_2nd Posting</t>
  </si>
  <si>
    <t>Upgrading for the Repair &amp; Maintenance of Street Lights</t>
  </si>
  <si>
    <t>PURCHASE OF DISASTER RISK REDUCTION AND MANAGEMENT RELATED EQUIPMENT</t>
  </si>
  <si>
    <t>PROCUREMENT OF FERTILIZERS AND FEEDS</t>
  </si>
  <si>
    <t>Concreting of Roads to Resettlement Site of Barangay Cabilao</t>
  </si>
  <si>
    <t>20G0109</t>
  </si>
  <si>
    <t>Supply &amp; Delivery of Furniture &amp; Fixtures</t>
  </si>
  <si>
    <t>One (1) Job Contract for the Road Rehabilitation (Concreting-Sitio Bubon Section) Phase II, Brgy. Arac, Passi City, Iloilo/CEO</t>
  </si>
  <si>
    <t>Procurement of Various Aggregates Supplies-07-396(O)PEO</t>
  </si>
  <si>
    <t>Supply and Delivery of Bungulan Suckers for Organic Bungulan Production at Barangay Buhay</t>
  </si>
  <si>
    <t>Construction of Concrete Bridge at Simpa</t>
  </si>
  <si>
    <t>Procurement of Rescue Supplies for the use of in conduct of Search, Rescue and Recovery Operations of Provincial Disaster Risk Reduction and Management Office, Kalibo, Aklan- Re Bidding /ITB no: 2020-</t>
  </si>
  <si>
    <t>Improvement of Stage,Brgy. Cagay, Alimodian Iloilo</t>
  </si>
  <si>
    <t>Materials for the Construction of Solar Street Light, Brgy. Sablogon, Passi City, Iloilo/Brgy. Sablogon</t>
  </si>
  <si>
    <t>MG-A5M20-090..SUPPLY/INST. &amp; COMMISSIONING OF ADDITIONAL CONVEYOR AT THE COMPACTING SYSTEM</t>
  </si>
  <si>
    <t>CCTV Repair and Maintenance</t>
  </si>
  <si>
    <t>Construction of Niches (Public Cemetery)</t>
  </si>
  <si>
    <t>Supply and Delivery of Various Sizes of Steel Gates with Attachments and Accessories</t>
  </si>
  <si>
    <t>Improvement of Multi-Purpose Facilities(Construction of Comfort Room)</t>
  </si>
  <si>
    <t>BARANGAY ENHANCEMENT PROGRAM - PEACE AND ORDER COMMITTEE (3RD QUARTER)</t>
  </si>
  <si>
    <t>Construction of covered court (Phase III)</t>
  </si>
  <si>
    <t>(20-0232) FOR THE REPLACEMENT OF VARIOUS TOILET FIXTURES AND ACCESSORIES</t>
  </si>
  <si>
    <t>Multi-Purpose Drying Pavement (Materials only) - Luna</t>
  </si>
  <si>
    <t>Continuation for the Construction of Evacuation Center at Brgy. Poblacion, Urdaneta City</t>
  </si>
  <si>
    <t>Concreting of Tubalina-Skyline Road(Phase I)</t>
  </si>
  <si>
    <t>CONSTRUCTION OF SOLAR LIGHTS</t>
  </si>
  <si>
    <t>Proposed Rehabilitation of Covered Court Langgam Elementary School, Brgy. Langgam</t>
  </si>
  <si>
    <t>RFQ 2020-07-0310 OFFICE EQUIPMENT FOR ADMIN SERVICE USE</t>
  </si>
  <si>
    <t>PW-2020-11</t>
  </si>
  <si>
    <t>Procurement of Various Information Technology parts &amp; Accessories &amp; Perip-08-474(A)PGO</t>
  </si>
  <si>
    <t>Codification of Ordinances and Resolutions of the Sangguniang Bayan of Pila, Laguna</t>
  </si>
  <si>
    <t>CONSTRUCTION OF REINFORCED CONCRETE BOX CULVERT</t>
  </si>
  <si>
    <t>Construction of Drainage Canal System at Zone 6, Brgy. Dilan-Paurido, Urdaneta City</t>
  </si>
  <si>
    <t>Procurement of Construction of Sanitary Landfill Category 1 Phase 1</t>
  </si>
  <si>
    <t>Supply and Delivery of Risograph Machine for DepEd I and II</t>
  </si>
  <si>
    <t>Construction of New Public Market (Dry Goods Section Building 02), Burgos St., Brgy. Tablang, Paniqui, Tarlac</t>
  </si>
  <si>
    <t>Supply &amp; Delivery of Planting Materials</t>
  </si>
  <si>
    <t>Concreting of Badengna-Lus-oc Road</t>
  </si>
  <si>
    <t>IMPROVEMENT OF LED-AG NAMATINGAN ROAD</t>
  </si>
  <si>
    <t>Construction of Irrigation System at Kabacab</t>
  </si>
  <si>
    <t>IB NO. 2020-09-09 (11) Cat I, Drugs and Meds</t>
  </si>
  <si>
    <t>Invitation for Negotiated Procurement  SUPPLY AND DELIVERY OF TEXTBOOKS AND REFERENCES FOR CY 2020 FOR PSHS-CLC</t>
  </si>
  <si>
    <t>BARANGAY ENHANCEMENT PROGRAM - SPECIAL ACTION GROUP (3RD QUARTER)</t>
  </si>
  <si>
    <t>RFQ 2020-08-0386 LAPTOP FOR PHYSICAL FACILITIES &amp; ENGINEERING OFFICE USE</t>
  </si>
  <si>
    <t>Purchase and delivery of One (1) unit Brand New Fully Automated Monochrome Digital Copier</t>
  </si>
  <si>
    <t>Concreting of Roads to Resettlement Site of Barangay Luayon</t>
  </si>
  <si>
    <t>CW-Construction of MRF</t>
  </si>
  <si>
    <t>Materials for the Learning Resources for Basic  Education-Learning Continuity Plan( BE-LCP) CAPSLET Production/Self -Learning Modules (SLM) in this division</t>
  </si>
  <si>
    <t>SUPPLY AND DELIVERY OF POULTRY SUPPLIES</t>
  </si>
  <si>
    <t>MATERIALS FOR THE USE OF  FABRICATION OF CONCRETE TETRAPOD STEEL FORM</t>
  </si>
  <si>
    <t>Procurement of Procurement of construction materials for the Construction of IP Housing (Materials)</t>
  </si>
  <si>
    <t>CONSTRUCTION OF FUNCTION HALL PHASE-IV</t>
  </si>
  <si>
    <t>Procurement of Handheld Radio and accessories</t>
  </si>
  <si>
    <t>Purchase of Digital Duplicator ( Rizzo Copier )</t>
  </si>
  <si>
    <t>Construction of Temporary Learning Shelters MIST Campus, Barangay Concepcion, Makilala, Cotabato</t>
  </si>
  <si>
    <t>LOCAL ROAD IMPROVEMENT/REHABILITATION OF STO. ROSARIO-SUYO (BOUNDARY) ROAD</t>
  </si>
  <si>
    <t>Delivery of Various Materials for the Improvement of Multi Purpose Hall</t>
  </si>
  <si>
    <t>Proposed Renovation of Day Care  Brgy. Estrella</t>
  </si>
  <si>
    <t>Purchase of face shields and production of laminated RPFP Info Boards to be distributed to the local population offices for continuous provision of Family Planning Services (By Line Item)</t>
  </si>
  <si>
    <t>Concreting of Roads to Resettlement Site of Barangay Buhay</t>
  </si>
  <si>
    <t>Construction of Spillway @ Brgy. Poblacion (Butunan ), Burdeos, Quezon</t>
  </si>
  <si>
    <t>Road Rehabilitation</t>
  </si>
  <si>
    <t>Procurement of Vehicle Parts</t>
  </si>
  <si>
    <t>CONSTRUCTION OF MULTI-PURPOSE CENTER(Liberato ES, Liberato, Lua-an, Antique)/IB. NO. K-2020-095(SC)</t>
  </si>
  <si>
    <t>COMPLETION OF MULTI-PURPOSE CENTER WITH STAGE (San Vicente, Culasi, Antique)/IB. NO. K-2020-096(SC)</t>
  </si>
  <si>
    <t>MAINTENANCE OF LOCAL ROADS &amp; BRIDGES</t>
  </si>
  <si>
    <t>Procurement of Improvement/ Rehab of Mahayag Municipal Hospital</t>
  </si>
  <si>
    <t>Majada In IS -JHS- Canvass 2020 - Module Reproduction - August</t>
  </si>
  <si>
    <t>CW-Construction of MPB (Phase II)</t>
  </si>
  <si>
    <t>CONSTRUCTION OF CENTRO WESTE-TABOC HANGING BRIDGE WITH BANK PROTECTION (Brgy. Centro Weste, Libertad, Antique)/IB. NO. K-2020-093(SC)</t>
  </si>
  <si>
    <t>Purchase and Delivery of Supply for Water Treatment Compound of Municipal Water System</t>
  </si>
  <si>
    <t>Concreting of Loop Road at Concepcion</t>
  </si>
  <si>
    <t>CONCRETING OF NHW JCT. MALBANG-BNDRY. T’BOLI PROVINCIAL ROAD PHASE II Maasim, Sarangani Province</t>
  </si>
  <si>
    <t>Procurement of Procurement of assorted vegetables seeds</t>
  </si>
  <si>
    <t>CONCRETING OF NHW JCT. TAMADANG-FALEL  PROVINCIAL ROAD Kiamba, Sarangani Province</t>
  </si>
  <si>
    <t>CONSTRUCTION OF LOCAL ROAD</t>
  </si>
  <si>
    <t>Construction of RHPU7 Building</t>
  </si>
  <si>
    <t>INSTALLATION OF BLEACHER</t>
  </si>
  <si>
    <t>CONSTRUCTION OF COMMUNAL IRRIGATION &amp; WATER IMPOUNDING FACILITY</t>
  </si>
  <si>
    <t>Procurement of Eleven (11) Units of Rescue Vehicle</t>
  </si>
  <si>
    <t>RETROFITTING/STRENGTHENING OF 3 CONCRETE BRIDGES ALONG NHW JCT. CALABANIT-E. ALEGADO PROVINCIAL ROAD (CALABANIT SECTION) Glan, Sarangani Province</t>
  </si>
  <si>
    <t>CONSTRUCTION OF ONE(1) UNIT MESS HALL OF 10.00M X 10.00M</t>
  </si>
  <si>
    <t>BARANGAY ENHANCEMENT PROGRAM - BARANGAY HALL (3RD QUARTER)</t>
  </si>
  <si>
    <t>CW-Rehabilitation of New Mun. Hall-Libertad</t>
  </si>
  <si>
    <t>CONCRETING OF PROVINCIAL ROAD(Brgy. Mojon, Belison, Antique)/IB. NO. K-2020-098(SC)</t>
  </si>
  <si>
    <t>PROCUREMENT OF    Procurement of Ambulance 44    units    Ambulance (Type 1) (BAC 2020-E02 REBIDDING)</t>
  </si>
  <si>
    <t>Purchase and Delivery of materials for maintenance and extension of water line of municipal water system</t>
  </si>
  <si>
    <t>Procurement of Concreting of Local Access Road to Lower Salug Daku</t>
  </si>
  <si>
    <t>REHABILITATION OF ROAD (2 PORTIONS)</t>
  </si>
  <si>
    <t>Procurement of Rice</t>
  </si>
  <si>
    <t>Invitation to Bid for the Supply, Delivery and Installation of Furnitures and Fixtures for Graduate School Building</t>
  </si>
  <si>
    <t>Procurement of eleven (11) units office table standards size</t>
  </si>
  <si>
    <t>Improvement of Multi-Purpose Hall 2, Brgy. Bannawag, Maria Aurora, Aurora</t>
  </si>
  <si>
    <t>Supply &amp; Delivery of One (1) Unit Grass Cutter</t>
  </si>
  <si>
    <t>Purchase of Computers and Printers</t>
  </si>
  <si>
    <t>REHABILITATION OF SITIO UPPER FOOTBRIDGE  POBLACION, ALABEL Alabel, Sarangani Province</t>
  </si>
  <si>
    <t>IB NO. 2020-09-09 (11) Cat II, Med/Lab Supplies and Reagents</t>
  </si>
  <si>
    <t>REHABILITATION OF EBJ-UDP Manpower Development   Center (Formerly EBJ-UDP Training Center)(Binirayan Hills, San Jose, Antique)/IB. NO. K-2020-097(SC)</t>
  </si>
  <si>
    <t>IMPROVEMENT OF SENIOR CITIZEN MULTI-PURPOSE BUILDING</t>
  </si>
  <si>
    <t>Procurement of Drugs &amp; Medicines for the use of Dr. Rafael S. Tumbokon Memorial Hospital-EEDD, Kalibo, Aklan – Re Bidding/ITB no: 2020-501</t>
  </si>
  <si>
    <t>SUPPLY AND DELIVERY OF IT SUPPLIES &amp; EQUIPMENT AND OFFICE SUPPLIES FOR THE DIVISION OFFICE FOR 4TH QUARTER OF 2020 (LOT 2) (REBID)</t>
  </si>
  <si>
    <t>BARANGAY ENHANCEMENT PROGRAM - BARANGAY HALL (HARDWARE SUPPLIES)</t>
  </si>
  <si>
    <t>Procurement of Insecticides and Peanut Seeds</t>
  </si>
  <si>
    <t>PROCUREMENT OF CONSTRUCTION MATERIALS FOR THE REHABILITATION OF MULTI-PURPOSE BUILDING.</t>
  </si>
  <si>
    <t>Supply and delivery of various commodities for the children beneficiaries of Supplementary Feeding Program of the Municipality of Nagbukel, Ilocos Sur</t>
  </si>
  <si>
    <t>Cluster 04-2020 (1. Improvement of Doddo Ato, Talubin 2. Improvement of Gannas Pathway, Doddo Talubin 3. Improvement of Lamkakayen Pakkil Pathway)</t>
  </si>
  <si>
    <t>Improvement of Dingalan-Umiray Provincial Road, Dingalan, Aurora</t>
  </si>
  <si>
    <t>Procurement of Civil Works for the Construction of Balite E/S Stage</t>
  </si>
  <si>
    <t>Supply and delivery of various commodities for the children beneficiaries of Supplementary Feeding Program of the Municipality of Salcedo, Ilocos Sur</t>
  </si>
  <si>
    <t>Procurement of Construction of Installation of Fuel Tank</t>
  </si>
  <si>
    <t>ITB No. 20-082: One (1) Lot Supply and Delivery of Clinical Decision Support System  Internet - Based</t>
  </si>
  <si>
    <t>PROCUREMENT OF CONSTRUCTION MATERIALS FOR THE REHABILITATION OF DRAINAGE SYSTEM</t>
  </si>
  <si>
    <t>Cluster 10-2020 (1. Additional Counterpart for the Construction of Favuyan/Finakkar Daycare Center 2. Rehabilitation of Foyayeng Pathway 3. Construction and Installation of  Wooden Cabinet and Stockro</t>
  </si>
  <si>
    <t>Procurements of Office Supplies and Consumables</t>
  </si>
  <si>
    <t>Supply of Materials for the Completion of PWD Building - Phase 2</t>
  </si>
  <si>
    <t>Procurement of Concrete Post Lamp for the Installation of Solar Street Light</t>
  </si>
  <si>
    <t>20NA0077 Construction of 1-unit 1STY4CL with Toilet Attached and Handwashing Facility at both endwalls at Victory ES Tubay, Agusan del Norte</t>
  </si>
  <si>
    <t>Procurement of of one (1) unit Heavy Duty Hydraulic Disc Harrow</t>
  </si>
  <si>
    <t>PROCUREMENT OF I.T. AND EQUIPMENT FOR VARIOUS OFFICES 2020</t>
  </si>
  <si>
    <t>Purchase of office partition system w/ table</t>
  </si>
  <si>
    <t>Construction of Legislative Annex Building</t>
  </si>
  <si>
    <t>20GDE0002 Outsourcing of Security Guards at DPWH Batangas II District Engineering Office</t>
  </si>
  <si>
    <t>PROCUREMENT OF CONSTRUCTION MATERIALS FOR THE COMPLETION OF MULTI-PURPOSE BUILDING</t>
  </si>
  <si>
    <t>20GGJ0063 Request for Quotation</t>
  </si>
  <si>
    <t>Embankment of Boulevard Area - Brgy. 6, Dapa, Surigao del Norte</t>
  </si>
  <si>
    <t>Upgrading of Local Access Road in Barangay Ipil Heights</t>
  </si>
  <si>
    <t>IMPROVEMENT OF WATER WORKS SYSTEM_BGY. NAIBA</t>
  </si>
  <si>
    <t>ITB NO. PRO IX 2020-004 (OFFICE EQUIPMENT-REBIDDING)</t>
  </si>
  <si>
    <t>REPAIR OF 12 CHILD DEVELOPMENT CENTER</t>
  </si>
  <si>
    <t>Construction of Street Lighting System</t>
  </si>
  <si>
    <t>SUPPLY AND DELIVERY OF CONSTRUCTION MATERIALS FOR MULTIPURPOSE BUILDING</t>
  </si>
  <si>
    <t>MATERIALS FOR THE ADDITIONAL FUND FOR THE CONSTRUCTION OF MULTI-PURPOSE BUILDING</t>
  </si>
  <si>
    <t>20GGJ0062 Supply and Delivery of IT Equipment and Computer Accessories for the use of Construction Section, DPWH - ICDEO</t>
  </si>
  <si>
    <t>CONSTRUCTION OF PROVINCIAL CAPITOL ENTRANCE WELCOME ARC AND CANOPY Alabel, Sarangani Province</t>
  </si>
  <si>
    <t>Supply And Delivery Of Range Finder For SMO Of Legazpi Airport -3rd SVP</t>
  </si>
  <si>
    <t>Supply and Delivery of Electric Field Mill</t>
  </si>
  <si>
    <t>Procurements of Office Equipments</t>
  </si>
  <si>
    <t>IB NO. 2020-09-09 (11) Cat III, Medical Equip</t>
  </si>
  <si>
    <t>Supply and Delivery of Office Supplies for Sangguniang Bayan</t>
  </si>
  <si>
    <t>Supply and Delivery of One (1) Unit Passenger Van</t>
  </si>
  <si>
    <t>PROCUREMENT OF CONSTRUCTION MATERIALS FOR THE IMPROVEMENT OF MULTI-PURPOSE BUILDING.</t>
  </si>
  <si>
    <t>Supply and delivery of various commodities for the children beneficiaries of Supplementary Feeding Program of the Municipality of Alilem, Ilocos Sur</t>
  </si>
  <si>
    <t>PROCUREMENT OF VARIOUS OFFICE SUPPLIES (1st and 2nd QUARTER) (ITB # M20-08-03)- REBIDDING</t>
  </si>
  <si>
    <t>PROPOSED CONSTRUCTION OF MULTI-PURPOSE BUILDING (PHASE 1) AT ST. GENEVIEVE VILLAGE, BARANGAY TAGPORO, GUIUAN, EASTERN SAMAR</t>
  </si>
  <si>
    <t>PURCHASE OF CHICKEN BREEDER STOCKS, FEEDS AND BIOLOGICS</t>
  </si>
  <si>
    <t>UPGRADING OF TUGUEGARAO HALL (TRU OFFICE) BASEMENT CITY HALL BUILDING, CARIG SUR, TUGUEGARAO CITY</t>
  </si>
  <si>
    <t>SUPPLY AND DELIVERY OF 11 PLATES 12 VOLTS BATTERY AT DUMAGUETE AIRPORT.</t>
  </si>
  <si>
    <t>Supply and Delivery of Laptops for Research and Development and Other Items</t>
  </si>
  <si>
    <t>Barangay 749 YDF " FOLDING LAPTOP TABLE, SCHOOL SUPPLIES" 2020</t>
  </si>
  <si>
    <t>Procurements of Information and Communication Technology Equipment and peripherals</t>
  </si>
  <si>
    <t>SECURITY GUARD SERVICES TO PROTECT AND WATCH-OVER THE GCWD OFFICE AND ALL FACILITIES - REBID</t>
  </si>
  <si>
    <t>IMPROVEMENT WORKS AT PLMUN (REHABILITATION OF WINDOWS &amp; INSTALLATION OF EXHAUST AT 5TH FLOOR PLMUN COLLEGE BUILDING, BRGY. POBLACION, MUNTINLUPA CITY</t>
  </si>
  <si>
    <t>SUPPY AND DELIVERY OF LIVELIHOOD STARTER KIT</t>
  </si>
  <si>
    <t>Procurements of Motor Vehicles for PNP</t>
  </si>
  <si>
    <t>CONSTRUCTION OF ECPC CHEMICAL STORAGE FACILITY, CAPITOL, ALABEL Alabel, Sarangani Province</t>
  </si>
  <si>
    <t>Construction of Multi Purpose Building, Barangay Taway, Ipil, ZSP.</t>
  </si>
  <si>
    <t>Supply and delivery of various commodities for the children beneficiaries of Supplementary Feeding Program of the Municipality of Banayoyo, Ilocos Sur</t>
  </si>
  <si>
    <t>Supply and Delivery of Office Supplies for Legislative Office</t>
  </si>
  <si>
    <t>SUPPLY AND DELIVERY OF SOLID WASTE MANAGEMENT EQUIPMENT FOR ORGANIC FERTILIZER PRODUCTION AS LIVELIHOOD PROGRAM</t>
  </si>
  <si>
    <t>SUPPLY &amp; DELIVERY OF RICE TO BE GIVEN TO VARIOUS CONSTITUENTS OF MUNTINLUPA</t>
  </si>
  <si>
    <t>20DJ0108-Local Program, Local Infrastructure Program, Construction of Road, Brgy. Bulakin 1- Brgy. Sta. Lucia, Dolores, Quezon</t>
  </si>
  <si>
    <t>WAREHOUSE EXPANSION OF BARANGAY HALL (CENTRO, STA. ANA, CAGAYAN)</t>
  </si>
  <si>
    <t>REHABILITATION &amp; IMPROVEMENT OF WATER SYSTEM</t>
  </si>
  <si>
    <t>PROCUREMENT OF CONSTRUCTION MATERIALS FOR THE REHABILITATION OF DRAINAGE CANAL</t>
  </si>
  <si>
    <t>Straight Contract for Construction of Waiting Shed at Purok 2, Crossing Libacao, Brgy. Libacao, Himamaylan City</t>
  </si>
  <si>
    <t>Purchase of Communications &amp; Office Equipment for Legislative Office</t>
  </si>
  <si>
    <t>Procurement of one (1) unit Drone</t>
  </si>
  <si>
    <t>PRE-BID CONFERENCE 25/Aug/2020 - Procurement of Goods: DRONE for the use of Department of Transportation &amp; LGU Tagum for the Mindanao Railway Project (PR#300-20-08-0144)</t>
  </si>
  <si>
    <t>SUPPLY AND DELIVERY OF OTHER TRANSPORT EQUIPMENT (HAULING TRANSPORT EQUIPMENT)</t>
  </si>
  <si>
    <t>Purchase of Office Equipment for CBMS-APP Program</t>
  </si>
  <si>
    <t>CONSTRUCTION OF CONCRETE LINE CANAL</t>
  </si>
  <si>
    <t>Concreting of Barangay Roads at San Placido, Roxas, Isabela</t>
  </si>
  <si>
    <t>Construction of Two (2) Day Care Centers (Barangay Buhay and Sta. Felomina</t>
  </si>
  <si>
    <t>COMPLETION OF KINABALAN MULTI-PURPOSE BUILDING Malungon, Sarangani Province</t>
  </si>
  <si>
    <t>Construction of Multi-Purpose Covered Court at IBT Area, Located in Brgy. Taway, Ipil, ZSP.</t>
  </si>
  <si>
    <t>Consulting Services in the Formulation of the Tourism Development Plan (Master Plan) for the Province of Marinduque, PGO-Tourism, Boac, Marinduque</t>
  </si>
  <si>
    <t>Procurement of two (2) sets engine assembly, differential housing and transmission for motor vehicles</t>
  </si>
  <si>
    <t>Invitation to Bid for Supply and Delivry of Bond Paper to be used during Modular Learning pf Public School Students at DepEd Calaca District, Calaca, Batangas</t>
  </si>
  <si>
    <t>Supply and delivery of various commodities for the children beneficiaries of Supplementary Feeding Program of the Municipality of Bantay, Ilocos Sur</t>
  </si>
  <si>
    <t>Supply and delivery of various commodities for the children beneficiaries of Supplementary Feeding Program of the Municipality of Lidlidda, Ilocos Sur</t>
  </si>
  <si>
    <t>IB NO. 2020-09-09 (11) CAT IV, Chemical/Chemical Products</t>
  </si>
  <si>
    <t>CONSTRUCTION OF RAILINGS ON RIVER CONTROL, RIVERSIDE, RIZAL ST. BARANGAY POBLACION, BURDEOS, QUEZON</t>
  </si>
  <si>
    <t>PRE-BID CONFERENCE 25/Aug/2020 - Procurement of Goods: PLOTTER for the use of Department of Transportation &amp; LGU Tagum for the Mindanao Railway Project (PR#300-20-08-0145)</t>
  </si>
  <si>
    <t>Installation/Repair of Drainage System - Barangay Poblacion</t>
  </si>
  <si>
    <t>20CB-GSC-520 PURCHASE OF JANITORIAL SUPPLIES</t>
  </si>
  <si>
    <t>SUPPLY, DELIVERY AND INSTALLATION OF WASTE WATER TREATMENT PLANT</t>
  </si>
  <si>
    <t>Supply and Delivery of Hybrid White Corn Seeds</t>
  </si>
  <si>
    <t>Site Devt. Ramps, Handrails &amp; Canopy-MEO Construction-GAD</t>
  </si>
  <si>
    <t>20CB-GSC-519 PURCHASE OF OFFICE EQUIPMENT</t>
  </si>
  <si>
    <t>SUPPLY AND DELIVERY OF OFFICE SUPPLIES AND CONSUMABLES for CTU-Tuburan Campus</t>
  </si>
  <si>
    <t>Procurement of Materials &amp; Supplies for the Construction of 100 IP’s Housing Units  [NHA Grant-GOODS]</t>
  </si>
  <si>
    <t>ITB No. 20-080  ONE (1) LOT SUPPLY, DELIVERY, INSTALLATION, TESTING AND COMMISSIONING OF VARIOUS TYPES OF AIR-CONDITIONING UNITS INCLUDING REMOVAL AND DISMANTLING OF OLD UNITS</t>
  </si>
  <si>
    <t>Supply and delivery of various commodities for the children beneficiaries of Supplementary Feeding Program of the Municipality of Caoayan, Ilocos Sur</t>
  </si>
  <si>
    <t>Supply and Delivery of Various HArdware and Construction Materials</t>
  </si>
  <si>
    <t>SYSTEMS SUBSCRIPTON/RENTALS FOR THE ACCOUNTING OFFICE AND BUDGET OFFICE FOR THE MONTH OF JANUARY TO DECEMBER 2020</t>
  </si>
  <si>
    <t>RFQ No. 20-08-211 for PR No. 20-08-205</t>
  </si>
  <si>
    <t>Drilling of One (1) Exploratory/Production Well and Supply, Delivery &amp; Installation of Discharge Line Materials at Brgy. Balutu</t>
  </si>
  <si>
    <t>MUNICIPAL EVACUATION CENTER MESS HALL (PHASE I)</t>
  </si>
  <si>
    <t>PURCHASE OF 8,000 SACHETS RICE + MONGO INSTANT BABY BLEND DRY CEREAL TO BE USED FOR 6 MONTHS TO 59 MONTHS MALNOURISHED CHILDREN FOR SUPPLEMENTARY FEEDING</t>
  </si>
  <si>
    <t>SUPPLY AND DELIVERY OF VARIOUS SIZES CI SADDLE CLAMP</t>
  </si>
  <si>
    <t>PROCUREMENT OF EMERGENCY MEDICAL SERVICES (EMS) FOR ONE (1) UNIT  WITH THREE (3) MANNED CREW</t>
  </si>
  <si>
    <t>IMPROVEMENT OF MULTI-PURPOSE BUILDING, BRGY. VILLA ANUNCIADO</t>
  </si>
  <si>
    <t>20CB-GSC-523 PURCHASE OF AGRICULTURAL SUPPLIES</t>
  </si>
  <si>
    <t>GPG-B1-2020-440-CONSULTING SERVICES FOR A FULL BUILDING ASSESSMENT, PREPARATION OF DETAILED ARCHITECTURAL AND ENGINEERING PLANS, PROVISION OF TECHNICAL SUPPORT IN THE PROCUREMENT OF A RETROFITTING CON</t>
  </si>
  <si>
    <t>Rehabilitation/Repair of Barangay Road at Vira, Roxas, Isabela</t>
  </si>
  <si>
    <t>Proposed Construction of Isolation Facility at Barangay Calumpang, Binangonan Rizal</t>
  </si>
  <si>
    <t>DEP ED SUPPLIES</t>
  </si>
  <si>
    <t>20CB-GSC-522 PURCHASE OF COMPUTER SERVER FOR LCR</t>
  </si>
  <si>
    <t>Completion of two - storey Multi - Purpose Hall</t>
  </si>
  <si>
    <t>Procurement of Concrete Hollow Block  for the Construction of 100 IP’s Housing Units   [LGU Counterpart-GOODS]</t>
  </si>
  <si>
    <t>Repair and Construction of Gender Responsive Facilities (CR Renovation)</t>
  </si>
  <si>
    <t>Supply and delivery of various commodities for the children beneficiaries of Supplementary Feeding Program of the Municipality of Gregorio del Pilar, Ilocos Sur</t>
  </si>
  <si>
    <t>BARANGAY ENHANCEMENT PROGRAM - LIVELIHOOD COMMITTEE (3RD QUARTER)</t>
  </si>
  <si>
    <t>RFQ No. 20-08-210 for PR No. 20-08-204</t>
  </si>
  <si>
    <t>SUPPLY, DELIVERY &amp; INSTALLATION OF AIRCONDITIONERS FOR VARIOUS HEALTH FACILITIES IN MUNTINLUPA CITY (*RE-POSTED)</t>
  </si>
  <si>
    <t>Supply and Delivery of Injector Valve and Chemical Hose</t>
  </si>
  <si>
    <t>Concreting of Pathwalk</t>
  </si>
  <si>
    <t>PRE-BID CONFERENCE 25/Aug/2020 - Procurement of Goods: IT Equip't &amp; Supplies for the use of Dep't of Trans'n &amp; LGU Tagum for the Mindanao Railway Proj.(PR#300-20-08-0141,300-20-08-0142,300-20-08-0143)</t>
  </si>
  <si>
    <t>20NA0078 Repair/Maintenance of DPWH Building Disaster Command Building, J. Rosales Avenue, Butuan City</t>
  </si>
  <si>
    <t>20MH0114 - Construction of River Bank Protection/Flood Control at Salaman River, Brgy. Salaman, Lebak, Sultan Kudarat</t>
  </si>
  <si>
    <t>20CB-GSC-521 PURCHASE OF GRASS CUTTER</t>
  </si>
  <si>
    <t>Purchase of Office Supplies &amp; Devices for 2nd &amp; 3rd Quarters 2020</t>
  </si>
  <si>
    <t>PURCHASE OF BATTERY FOR ICOM RADIO, BARANGAY MABINI, BURDEOS, QUEZON</t>
  </si>
  <si>
    <t>FOR MEALS AND SNACKS DURING BNS MEETING</t>
  </si>
  <si>
    <t>Repair and Construction of Gender Responsive Facilities (Water Supply System)</t>
  </si>
  <si>
    <t>20CB-GSC-518 PURCHASE OF PLAQUES AND TOKENS</t>
  </si>
  <si>
    <t>Supply and Delivery of Mousar Equipment and Supplies</t>
  </si>
  <si>
    <t>Improvement of Socialized Housing Project (GK) Footwalk and Electric Lights (One Job), Brgy. Tampucao, Lambunao, Iloilo</t>
  </si>
  <si>
    <t>20CB-GSC-526 PURCHASE OF MACHINERIES AND EQUIPMENT</t>
  </si>
  <si>
    <t>Supply and Delivery of Printer Consumables, PR# 2020-07-0853 and 2020-07-0854</t>
  </si>
  <si>
    <t>“SUPPLY AND DELIVERY OF VARIOUS MATERIALS AND EQUIPMENT FOR SEARCH AND RESCUE OPERATIONS”</t>
  </si>
  <si>
    <t>Invitation to Bid for Const. of Two Storey Four Classroom Bldg. at Cahil NHS, Brgy. Cahil, Calaca, Batangas</t>
  </si>
  <si>
    <t>20MH0113 - Construction of Road Slope Protection Structure along Awang-Upi-Lebak-Kalamansig-Palimbang-Sarangani Rd – K1985+733 – K1985+793, K2005+845 – K2005+965, Palimbang, Sultan Kudarat</t>
  </si>
  <si>
    <t>Goods</t>
  </si>
  <si>
    <t>SUPPLY AND DELIVERY OF OILS AND LUBRICANTS FOR LIGHT AND HEAVY EQUIPMENTS-PEO</t>
  </si>
  <si>
    <t>Purchase of Fuel for MDRRMO</t>
  </si>
  <si>
    <t>Purchase of Drugs &amp; Medicines for 2nd &amp; 3rd Quarters of 2020</t>
  </si>
  <si>
    <t>Office.Supply.05</t>
  </si>
  <si>
    <t>CONSTRUCTION OF MULTI-PURPOSED BUILDING (PHASE II)</t>
  </si>
  <si>
    <t>IB NO. 2020-09-09 (11) Cat V, Other Commodities</t>
  </si>
  <si>
    <t>Procurments of Personal Equipments for LDRRMO</t>
  </si>
  <si>
    <t>Supply and Delivery of Computer Ink for different Municipal Offices</t>
  </si>
  <si>
    <t>Concreting of Barangay Roads at Sinamar, Roxas, Isabela</t>
  </si>
  <si>
    <t>Supply &amp; Delivery of One (1) Unit Multi-Purpose Truck for COVID-19 related Operations</t>
  </si>
  <si>
    <t>ITB-B17-2020</t>
  </si>
  <si>
    <t>Purchase of Office Supplies for Provincial Governor’s Office use for the Second Semester of CY-2020</t>
  </si>
  <si>
    <t>INSTALLATION OF STREET LIGHTS ALONG PROVINCIAL ROAD FROM PUROK 3 TO PUROK 4, BARANGAY COMAGASCAS - 2ND BIDDING</t>
  </si>
  <si>
    <t>SUPPLY AND DELIVERY OF ONE (1) UNIT DRONE FOR AERIAL MONITORING - 2ND BIDDING</t>
  </si>
  <si>
    <t>20MH0118 - Concreting of Road connecting PurokNarra, Brgy. Numo, Esperanza, Sultan Kudarat</t>
  </si>
  <si>
    <t>Supply, Delivery and Installation of Office Furniture And Fixture For Use In CASC, Sci Lab, D Post Office, CESC, Guidance Office, KMS Office,  Registration &amp; Admission Office / (RFQ 2020-02F)</t>
  </si>
  <si>
    <t>SUPPLY AND DELIVERY OF MECHANICAL SECURITY SPARE PARTS INTENDED FOR UNIT NO. 11 OF BASCO DPP</t>
  </si>
  <si>
    <t>Procurement of Door-to-Door Delivery of Materials and Equipment for the Reproduction of Self-Learning Modules (SLMs) Lot 1</t>
  </si>
  <si>
    <t>LOT Procurement of OFFICE SUPPLIES and EQUIPMENT for the Use of the Provincial Engineer’s Office</t>
  </si>
  <si>
    <t>Invitation to Bid for Const. of Two Storey Four Classroom Bldg. at Baclas ES, Brgy. Baclas, Calaca, Batangas</t>
  </si>
  <si>
    <t>SUPPLY AND DELIVERY OF IT EQUIPMENT AND ACCESSORIES FOR VARIOUS LAW ENFORCEMENT AGENCIES - 2ND BIDDING</t>
  </si>
  <si>
    <t>20MH0117 - Concreting Local Road, PurokNarra, Brgy.Poblacion, Sultan Kudarat</t>
  </si>
  <si>
    <t>Local Road Upgrading &amp; Rehabilitation Shoreline Protection</t>
  </si>
  <si>
    <t>MUNICIPAL EVACUATION CENTER MESS HALL (PHASE II)</t>
  </si>
  <si>
    <t>20MH0119 - Concreting of Upper Balayan to Kinadao, Barangay Badiangon, Palimbang, Sultan Kudarat</t>
  </si>
  <si>
    <t>Procurement of Door-to-Door Delivery of Materials and Equipment for the Reproduction of Self-Learning Modules (SLMs) Lot 4</t>
  </si>
  <si>
    <t>Procurements of Manhaul Vehicle</t>
  </si>
  <si>
    <t>20MH0116 - Concreting of Upper Balayan to Kidanao, Barangay Basak, Lebak, Sultan Kudarat</t>
  </si>
  <si>
    <t>SUPPLY AND DELIVERY OF VARIOUS IT EQUIPMENT (DESKTOP COMPUTER, LAPTOP, PRINTER) FOR THE CITY HEALTH OFFICE - TWO FAILED BIDDING</t>
  </si>
  <si>
    <t>Supply and Delivery of Various Furniture, as per BSP Terms of Reference, Design and Technical Specifications:</t>
  </si>
  <si>
    <t>PROCUREMENT OF OFFICE SUPPLIES, DEVICES AND CONSUMABLES FOR DENR-PENRO PALAWAN</t>
  </si>
  <si>
    <t>ITB No. 20-079  ONE (1) LOT SUPPLY AND DELIVERY OF HIGH EFFICIENCY PARTICLE AIR (HEPA) FILTER MACHINE WITH COMPLETE SET OF REPLACEMENT FILTERS PER UNIT</t>
  </si>
  <si>
    <t>Procurement of Door-to-Door Delivery of Materials and Equipment for the Reproduction of Self-Learning Modules (SLMs) Lot 3</t>
  </si>
  <si>
    <t>Supply and delivery of various commodities for the children beneficiaries of Supplementary Feeding Program of the Municipality of San Vicente, Ilocos Sur</t>
  </si>
  <si>
    <t>SUPPLY AND DELIVERY OF FUEL (GASOLINE) FOR SANGGUNIANG PANLUNGSOD OFFICE - 2ND BIDDING</t>
  </si>
  <si>
    <t>Purchase of BS Information Systems Books for Zamboanga del Sur Provincial Government College (ZDSPGC) use.</t>
  </si>
  <si>
    <t>Invitation to Bid for Const. of Two Storey Four Classroom Bldg. at Lumbang na Matanda ES, Brgy. Lumbang na Matanda, Calaca, Batangas</t>
  </si>
  <si>
    <t>20MH0120 - Rehabilitation of Maligaya - Road Side, Barangay Sagasa, Esperanza, Sultan Kudarat</t>
  </si>
  <si>
    <t>Procurement of Spare of LGU Vehicles</t>
  </si>
  <si>
    <t>Supply and delivery of various commodities for the children beneficiaries of Supplementary Feeding Program of the Municipality of Galimuyod, Ilocos Sur</t>
  </si>
  <si>
    <t>SUPPLY AND DELIVERY OF ELECTRICAL DEVICES FOR ORIENTAL MINDORO S/S AND 69KV T/L</t>
  </si>
  <si>
    <t>Supply and Delivery of Office Furniture for VSU Main and Component Colleges</t>
  </si>
  <si>
    <t>Installation of Solar Streetlights at Limao, Caliclic, Pangubatan, IGaCoS  under PR No. 2020-04-2139 (Re-bidding)</t>
  </si>
  <si>
    <t>2nd Invitation to Bid for the  CONCRETING OF KINACAO-KURASAY-KINALABASA ROAD Located at Bagabag, Nueva Vizcaya</t>
  </si>
  <si>
    <t>Supply and Delivery of Office Supplies different Municipal Offices</t>
  </si>
  <si>
    <t>Invitation to Bid for Const. of Two Storey Four Classroom Bldg. at Bagong Tubig ES, Brgy. Bagong Tubig, Calaca, Batangas</t>
  </si>
  <si>
    <t>supply &amp; delivery of Traffic Cones &amp; Traffic Signage</t>
  </si>
  <si>
    <t>UPGRADING OF MUN. SLAUGHTERHOUSE (PHASE III)</t>
  </si>
  <si>
    <t>Concreting of Roads to Resettlement Site of Barangay Bato</t>
  </si>
  <si>
    <t>Printing and door-to-door delivery of Self Learning Modules Quarter 1 for use of DepEd SDO San Fernando City (La Union)</t>
  </si>
  <si>
    <t>supply, delivery &amp; installation of various Airconditioning units</t>
  </si>
  <si>
    <t>UPLB-S-051-09-20, SUPPLY, DELIVERY AND INSTALLATION OF  BRAND NEW VARIOUS FURNITURE</t>
  </si>
  <si>
    <t>supply &amp; delivery of Various Printing Materials</t>
  </si>
  <si>
    <t>Concreting of Farm to Market Road at Agbunyog, Concepcion Sur</t>
  </si>
  <si>
    <t>SUPPLY, DELIVERY, INSTALLATION, TESTING AND COMMISSIONING OF 80-TON CAPACITY ELECTRONIC TRUCKSCALE WITH TRUCKSCALE HOUSE IN TABACO, ALBAY</t>
  </si>
  <si>
    <t>Supply and Delivery of Materials for the Development of Water System and Facilities at Brgy. Sto Niño, Babak District, IGaCoS  under PR No. 2020-08-3040</t>
  </si>
  <si>
    <t>Invitation to Bid for Const. of Stage with Roofing at Puting Kahoy ES, Brgy. Puting Kahoy, Calaca, Batangas</t>
  </si>
  <si>
    <t>CONSTRUCTION OF WAREHOUSE BUILDING</t>
  </si>
  <si>
    <t>UPGRADING OF MUNICIPAL SLAUGHTERHOUSE (PHASE II)</t>
  </si>
  <si>
    <t>20DJ0109-LOCAL PROGRAM, Local Infrastructure Program, Rehabilitation of Old Quezon Capitol Building, Lucena City, Quezon</t>
  </si>
  <si>
    <t>INVITATION TO BID FOR CONST. OF STAGE WITH DRESSING ROOM AND PERIMETER FENCE AT BRGY. MATIPOK, CALACA, BATANGAS</t>
  </si>
  <si>
    <t>20CB-GSC-525 PURCHASE OF FURNITURE &amp; FIXTURES</t>
  </si>
  <si>
    <t>Supply and Delivery of 40 Units Brand New Motorcycle</t>
  </si>
  <si>
    <t>Purchase of Database Server for I-trac System, Smart UPS and Laptops  under PR No. 2020-06-2661 (Re-bidding)</t>
  </si>
  <si>
    <t>Supply and Delivery of Vitamins Supplements</t>
  </si>
  <si>
    <t>Procurement of Supplementary Components of the Real Property Tax Management of the Provincial Government of Cagayan- GIS Based Electronic Real Property Tax Administration System (eRPTAS)</t>
  </si>
  <si>
    <t>Installation of Lighting Facilities inside Pahulayan Memorial (Solar Light) @ San Miguel, Samal District, IGaCoS  under PR No. 2020-04-2131 (Re-bidding)</t>
  </si>
  <si>
    <t>CONCRETE PAVING OF LAOAG FARM TO MARKET ROAD (Crispin de Vera Road)</t>
  </si>
  <si>
    <t>Improvement and Rehabilitation of Public Market Facilities</t>
  </si>
  <si>
    <t>CONCRETE PAVING OF CALSIB-BAYAOAS TO CALUMBUYAN-BAYAOAS FARM TO MARKET ROAD</t>
  </si>
  <si>
    <t>Supply and Delivery of 1 Unit Brand New Pick Up Truck, 4x2, A/T</t>
  </si>
  <si>
    <t>20HD0100 - Rehabilitation/Concreting/Widening of Provincial Road, Brgy. Muabog to Brgy. Tapul, Tabogon, Cebu</t>
  </si>
  <si>
    <t>Purchase of T-shirt with Print for the Provincial Government Employee and LGU Officials during 68th Araw ng Zamboanga del Sur Celebration.</t>
  </si>
  <si>
    <t>CONCRETE PAVING OF BUER-CALSIB  FARM TO MARKET ROAD</t>
  </si>
  <si>
    <t>Supply and Delivery of Materials for the Development of Water System and Facilities at Brgy. San Isidro, Babak District, IGaCoS  under PR No. 2020-03-1593 (Re-bidding)</t>
  </si>
  <si>
    <t>SUPPLY AND DELIVERY OF 1 UNIT BACKHOE CRAWLER TYPE</t>
  </si>
  <si>
    <t>Purchase of T-shirt with Print for the Barangay Officials during 68th Araw ng Zamboanga del Sur Celebration.</t>
  </si>
  <si>
    <t>Procurement of Various Drugs and Medicines (BAC 2020-022)</t>
  </si>
  <si>
    <t>NCB Publication No. 2020- 34 (First Publication)- (1. Continuation of Brgy. Road Opening of Brgy. Namal 2. Namal Road Opening and Improvement  3. Namal Road Opening, Namal 4. Namal FMR Improvement)</t>
  </si>
  <si>
    <t>Procurement of Packed Meals and Packed Snacks for the Youth Symposium on the National Security Framework and Effects and Impacts of Illegal Drugs (First Batch).</t>
  </si>
  <si>
    <t>CONCRETE PAVING OF SAN JOSE FARM TO MARKET ROAD (Diantreng Road)</t>
  </si>
  <si>
    <t>Concreting of Farm to Market Road in Malag-Alag, Concepcion Norte</t>
  </si>
  <si>
    <t>Construction/ Repair/ Rehabilitation/ Improvement of Various Infrastructure Including Local Projects - Rehabilitation of Barangay Multi-Purpose Hall, Baguio City</t>
  </si>
  <si>
    <t>Procurement of Door-to-Door Delivery of Materials and Equipment for the Reproduction of Self-Learning Modules (SLMs) Lot 9</t>
  </si>
  <si>
    <t>Supply and Delivery of Materials for the Development of Water System and Facilities at Brgy. San Miguel, IGaCoS  under PR No. 2020-03-2030 (Re-bidding)</t>
  </si>
  <si>
    <t>Invitation to Bid for Rehab/Extension of Roofing at P.A Paterno NHS and Rehab/ Repair of Two Storey Four Classroom Bldg. at Tamayo ES (Package I), Calaca, Batangas</t>
  </si>
  <si>
    <t>Procurement of Door-to-Door Delivery of Materials and Equipment for the Reproduction of Self-Learning Modules (SLMs) Lot 8</t>
  </si>
  <si>
    <t>CONSTRUCTION OF ROAD PROTECTION</t>
  </si>
  <si>
    <t>Purchase of T-shirt with Print for Barangay Tanod during 68th Araw ng Zamboanga del Sur Celebration.</t>
  </si>
  <si>
    <t>Procurement of Door-to-Door Delivery of Materials and Equipment for the Reproduction of Self-Learning Modules (SLMs) Lot 7</t>
  </si>
  <si>
    <t>CONSTRUCTION OF PIPEBRIDGE ALONG SAMPAO BRIDGE</t>
  </si>
  <si>
    <t>Procurement of Door-to-Door Delivery of Materials and Equipment for the Reproduction of Self-Learning Modules (SLMs) Lot 6</t>
  </si>
  <si>
    <t>CONSTRUCTION OF CONTAINMENT AREA</t>
  </si>
  <si>
    <t>Contract ID:20MB0046 :	Construction of Multi-Purpose Building (Infirmary), Brgy. Poblcaion, Tampakan, South Cotabato</t>
  </si>
  <si>
    <t>Purchase of One Unit Brand New Rescue Vehicle (Ambulance) under PR No. 2020-07-2852</t>
  </si>
  <si>
    <t>INVITATION TO BID FOR THE UPGRADING OF VMMC ELECTRICAL SYSTEM (PHASE 2)- 2nd REBIDDING</t>
  </si>
  <si>
    <t>Purchase of One Unit Marine Ambulance Boat under PR No. 2020-06-2516</t>
  </si>
  <si>
    <t>Local Infrastructure Program – Construction of School Covered Court Manuel L. Quezon Elementary School, Brgy. Upper Session Road, Baguio City, Benguet</t>
  </si>
  <si>
    <t>Installation of Streetlights (Islandwide), IGaCoS under PR No. 2020-04-2179(Re-bidding)</t>
  </si>
  <si>
    <t>CONCRETE PAVING OF POGONSILI (ADARNA EAST) FARM TO MARKET ROAD</t>
  </si>
  <si>
    <t>Improvement of Farm to Market Road</t>
  </si>
  <si>
    <t>Purchase of Two (2) Units 15-Seater Service Van for Zamboanga del Sur Provincial Government College (ZDSPGC) use.</t>
  </si>
  <si>
    <t>CONCRETE PAVING OF ROAD SHOULDER AT SAN PEDRO STREET</t>
  </si>
  <si>
    <t>Invitation to Bid for Full Motion Flight Simulator Acquisition Project</t>
  </si>
  <si>
    <t>Procurement of Non-Regulated Drugs for ZDSMC Pharmacy Stocking/Sale Purposes (O.R. use)</t>
  </si>
  <si>
    <t>supply &amp; delivery of Goods &amp; Commodities</t>
  </si>
  <si>
    <t>Contract ID: 20MB0156 :  Concreting of Brgy. Upper Labay FMR, Brgy. Upper Labay, General Santos City, South Cotabato</t>
  </si>
  <si>
    <t>CID No. 19OD0324 - Construction of Seven (7) Storey Valenzuela Center for Academic Excellence, Brgy. Malinta, Valenzuela City</t>
  </si>
  <si>
    <t>Procurement of Door-to-Door Delivery of Materials and Equipment for the Reproduction of Self-Learning Modules (SLMs) Lot 15</t>
  </si>
  <si>
    <t>CONSTRUCTION OF CANAL AT RURAL HEALTH UNIT II</t>
  </si>
  <si>
    <t>PURCHASE OF VARIOUS OFFICE EQUIPMENTS</t>
  </si>
  <si>
    <t>Contract ID: 20MB0138 :  Construction of Multi-Purpose Building, Brgy. Buayan, General Santos City, South Cotabato</t>
  </si>
  <si>
    <t>Procurement of Door-to-Door Delivery of Materials and Equipment for the Reproduction of Self-Learning Modules (SLMs) Lot 13</t>
  </si>
  <si>
    <t>SUPPLY, DELIVERY, INSTALLATION  AND COMMISSIONING OF UV-VIS  SPECTROPHOTOMETER</t>
  </si>
  <si>
    <t>SELECTIVE/SECTIONAL REPAIR AND REHABILITATION OF HEAVILY DAMAGED CONCRETE PAVEMENT BESIDE THE WAREHOUSE IN BARANGAY ISABANG LUCENA CITY, QUEZON</t>
  </si>
  <si>
    <t>Rehabilitation and Upgrading of Multi Species  Fish  Hatchery</t>
  </si>
  <si>
    <t>Procurement of Door-to-Door Delivery of Materials and Equipment for the Reproduction of Self-Learning Modules (SLMs) Lot 12</t>
  </si>
  <si>
    <t>Procurement of Door-to-Door Delivery of Materials and Equipment for the Reproduction of Self-Learning Modules (SLMs) Lot 14</t>
  </si>
  <si>
    <t>Procurement of Door-to-Door Delivery of Materials and Equipment for the Reproduction of Self-Learning Modules (SLMs) Lot 11</t>
  </si>
  <si>
    <t>CONCRETING OF FARM-TO-MARKET ROAD</t>
  </si>
  <si>
    <t>PROPOSED MULTI-PURPOSE COVERED COURT OF NIA INIMO PHASE II</t>
  </si>
  <si>
    <t>Supply and Delivery of Materials for the Park Development Brgy. Peñaplata (Freedom Park) at Freedom park, Peñaplata, Samal District, IGaCoS  under PR No. 2020-08-3060</t>
  </si>
  <si>
    <t>Project No. 2020-002: Repair and Rehabilitation of Classrooms of Kiawan Elementary School</t>
  </si>
  <si>
    <t>CONCRETING OF PATHWALK</t>
  </si>
  <si>
    <t>Contract ID: 20MB0047:  Construction of Multi-Purpose Building within Government Center, City Hall Drive, General Santos City, South Cotabato</t>
  </si>
  <si>
    <t>CONSTRUCTION OF SLOPE PROTECTION AT THE TOURISTS ASSISTANCE CENTER PERIPHERIES</t>
  </si>
  <si>
    <t>FOR THE PROCUREMENT OF CIVIL WORKS OF CONSTRUCTION OF DOUBLE BARREL BOX CULVERT AND DESILTING OF RIVER</t>
  </si>
  <si>
    <t>SUPPLY AND DELIVERY OF BROADCAST TRANSMITTERS, ANTENNA SYSTEM AND VARIOUS COMMUNICATION EQUIPMENT AND ACCESSORIES FOR THE ESTABLISHMENT  OF RADIO BROADCAST STATION FACILITY</t>
  </si>
  <si>
    <t>Project No. 2020-001: Repair and Rehabilitation of Classrooms of Katipunan Elementary School</t>
  </si>
  <si>
    <t>Procurement of Door-to-Door Delivery of Materials and Equipment for the Reproduction of Self-Learning Modules (SLMs) Lot 21</t>
  </si>
  <si>
    <t>Two lots Utility Vehicles</t>
  </si>
  <si>
    <t>PROJECT # 20-078 CIVIL WORKS FOR CONSTRUCTION OF NCDC PARKING AND OTHER FACILITY   – BRGY. POTOL, CITY OF TAYABAS</t>
  </si>
  <si>
    <t>Procurement of Door-to-Door Delivery of Materials and Equipment for the Reproduction of Self-Learning Modules (SLMs) Lot 23</t>
  </si>
  <si>
    <t>Procurement of Door-to-Door Delivery of Materials and Equipment for the Reproduction of Self-Learning Modules (SLMs) Lot 22</t>
  </si>
  <si>
    <t>Other Machineries and Equipment</t>
  </si>
  <si>
    <t>Procurement of Motorcycle PR # 2020-07-29-302-B</t>
  </si>
  <si>
    <t>Rehabilitation of Catholic Cemetery Access Road (Phase 2)</t>
  </si>
  <si>
    <t>Concreting of road</t>
  </si>
  <si>
    <t>PROJECT # 20-032 - CIVIL WORKS FOR CONSTRUCTION OF MULTI-PURPOSE BUILDING PHASE II (TIFARC) – BRGY. MASIN, CITY OF TAYABAS</t>
  </si>
  <si>
    <t>Project No. 2020-006: Upgrading Electrification and Modernization of Electrical Systems of Bayugan Central Elementary School and SPED Center</t>
  </si>
  <si>
    <t>Project No. 2020-005: Upgrading Electrification and Modernization of Electrical Systems of East Bayugan Central Elementary School</t>
  </si>
  <si>
    <t>PROJECT # 20-077 CIVIL WORKS FOR CONSTRUCTION OF IRRIGATION CANAL  – BRGY. OPIAS, CITY OF TAYABAS</t>
  </si>
  <si>
    <t>PROJECT # 20-065 CIVIL WORKS FOR CONSTRUCTION OF PHARMACIA DE TAYABAS  – BRGY. SAN DIEGO ZONE-1, TAYABAS CITY</t>
  </si>
  <si>
    <t>Contract ID No. ADS II GOODS-020-04 - Maintenance/Painting/Repainting of Faded Pavement Markings (Edge Line &amp; Center Line) using Reflectorized Thermoplastic Pavement Markings along Butuan City-Talacog</t>
  </si>
  <si>
    <t>Purchase of Master Roll,copier ink,Rizograph,Copier ink,gestetner</t>
  </si>
  <si>
    <t>Proposed Construction and Improvement of Municipal Step Landing (Concrete Step Landing, River Control and Concrete Pathing)</t>
  </si>
  <si>
    <t>Construction/Improvement of Giray Street (71 ln.m. PCCP, 71 ln.m. Drainage Canal)</t>
  </si>
  <si>
    <t>RFQ2020-08-019 GAA Procurement of Flat-bed trolley for  UNIFAST Office use</t>
  </si>
  <si>
    <t>PROJECT # 20-056 - CIVIL WORKS FOR CONSTRUCTION OF HIGH SCHOOL PERIMETER FENCE – BRGY POTOL, CITY OF TAYABAS</t>
  </si>
  <si>
    <t>Procurement of Door-to-Door Delivery of Materials and Equipment for the Reproduction of Self-Learning Modules (SLMs) Lot 20</t>
  </si>
  <si>
    <t>Procurement of Fuel PR # 2020-07-29-298</t>
  </si>
  <si>
    <t>Procurement of Door-to-Door Delivery of Materials and Equipment for the Reproduction of Self-Learning Modules (SLMs) Lot 19</t>
  </si>
  <si>
    <t>PROJECT # 20-064 CIVIL WORKS FOR CONSTRUCTION OF MULTI-PURPOSE BUILDING PHASE 2   – BRGY. IPILAN, TAYABAS CITY</t>
  </si>
  <si>
    <t>Procurement of Office Supplies, IT Equipment Parts &amp; Accessories  PR # 2020-08-03-308</t>
  </si>
  <si>
    <t>Project No. 2020-004: Repair and Rehabilitation of Classrooms of New Leyte Elementary School</t>
  </si>
  <si>
    <t>Contract ID: 20MB0157 :  Concreting of Brgy. San Jose FMR, Brgy. San Jose, General Santos City, South Cotabato</t>
  </si>
  <si>
    <t>RFQ2020-08-018 GAA Procurement of extension wires for  UNIFAST Office use</t>
  </si>
  <si>
    <t>Spares for the Maintenance and Recovery of SF260FH Aircraft Tail Nr 038</t>
  </si>
  <si>
    <t>Project No. 2020-008: Upgrading Electrification and Modernization of Electrical Systems of Calaitan NHS</t>
  </si>
  <si>
    <t>PROJECT # 20-037 - CIVIL WORKS FOR IMPROVEMENT/CONCRETING OF CITY ROAD/LINE CANAL – BRGY. LITA, CITY OF TAYABAS</t>
  </si>
  <si>
    <t>Spares and Services for the Avionics Upgrade of C-130H Aircraft Nr 4704</t>
  </si>
  <si>
    <t>Project No. 2020-009: Upgrading Electrification and Modernization of Electrical Systems of Magkiangkang National High School</t>
  </si>
  <si>
    <t>PUBLICATION OF COMPREHENSIVE LAND USE PLAN FOR CY 2017 TO 2026 AND ZONING ORDINANCE</t>
  </si>
  <si>
    <t>Procurement and Delivery of Catering Services for Feeding Program 2020</t>
  </si>
  <si>
    <t>Spares and Services for the Avionics Upgrade of C-130B Aircraft Nr 3633</t>
  </si>
  <si>
    <t>Procurement of Grocery Items PR # 2020-08-10-326</t>
  </si>
  <si>
    <t>ENG'G PASBAC 006-20 Supply and Delivery of One (1) Unit  Generator Set (250 KVA)  with Trailer</t>
  </si>
  <si>
    <t>ENG'G PASBAC 007-20 Supply and Delivery of Four (4) Units  Generator Set (25 KVA)  with Trailer</t>
  </si>
  <si>
    <t>Procurement of Creative Cloud and Firewall</t>
  </si>
  <si>
    <t>Project No. 2020-007: Upgrading Electrification and Modernization of Electrical Systems of Mt. Olive NHS</t>
  </si>
  <si>
    <t>14 Fire Hose and Fire Hydrant Key</t>
  </si>
  <si>
    <t>Construction of Street Lights Pedestal at 500 pcs (Phase I) National Road and City Streets of Dapitan City POW # 2020-08-11-011</t>
  </si>
  <si>
    <t>Maintenance of CCTV</t>
  </si>
  <si>
    <t>Street Barrier</t>
  </si>
  <si>
    <t>GPG-B1-2020-395 – REBID -PROCUREMENT OF TWENTY-FOUR (24) MONTHS SUPPORT AND MAINTENANCE SERVICE FOR THE DATA CENTER EQUIPMENT OF THE BUREAU OF CUSTOMS (BOC)</t>
  </si>
  <si>
    <t>Boundary Marker</t>
  </si>
  <si>
    <t>Procurement of Door-to-Door Delivery of Additional Materials and Equipment for the Reproduction of Self-Learning Modules in the schools under DepEd Southern Leyte</t>
  </si>
  <si>
    <t>3 Gate of Barangay Complex</t>
  </si>
  <si>
    <t>Spares for the Maintenance and Recovery of T-41B Aircraft Tail Nr 086</t>
  </si>
  <si>
    <t>Spares for the IRAN Requirements of SF260M Tail Nr 687</t>
  </si>
  <si>
    <t>Supply and Delivery of Pulverizing  Machine (Bottles) Electric Engine</t>
  </si>
  <si>
    <t>One (1) Lot – Enterprise Backup and Recovery System Upgrade for the BSP Data Centers – Backup as a Service, as per BSP Terms of Reference</t>
  </si>
  <si>
    <t>LOT Procurement of SPAREPARTS and REPAIR for the Use of KIA Bongo Vehicle (Drop Side Cargo)</t>
  </si>
  <si>
    <t>RENOVATION / IMPROVEMENT OF SANGGUNIANG BAYAN SESSION HALL</t>
  </si>
  <si>
    <t>Completion of Multi-Purpose Building at Brgy. Aringay, Bangilan &amp; Bannawag, Kabacan, Cotabato</t>
  </si>
  <si>
    <t>2020-GOODS-057_Repair of Multi-Media Classroom – Lingayen Campus (Equipment)</t>
  </si>
  <si>
    <t>ENG'G PASBAC 008-20 Supply and Delivery of  Seven (7) Units  Generator Set (15 KVA)  with Trailer</t>
  </si>
  <si>
    <t>Procurement of 6,000 KILOS ROOTCROPS (Purple Ube and Taro or ColocasiaEsculenta) for Use in NLD-Forest Landscape Restoration for Sustainable Development (NLD-FLRSD) Program</t>
  </si>
  <si>
    <t>Procurement of 25,000 Pieces ABACA SUCKERS/SHOOTS for Use in NLD-Forest Landscape Restoration for Sustainable Development (NLD-FLRSD) Program Amid COVID-19 Crisis</t>
  </si>
  <si>
    <t>S/D of 570 Bag	Cement &amp; 71 others</t>
  </si>
  <si>
    <t>2020-GOODS-055_Procurement of Diploma Forms, Diploma Jackets, OTR Forms, Abaray, Souvenir Programs, Medals and Pins for the 41st University Commencement Exercises</t>
  </si>
  <si>
    <t>CONSTRUCTION OF HAND WASHING FACILITY WITH OVERHEAD WATER TANK IN DEP. ED. SCHOOLS</t>
  </si>
  <si>
    <t>Electrification Project along USM Avenue, Part of Sunrise &amp; Sunset in Brgy. Poblacion</t>
  </si>
  <si>
    <t>2020-GOODS-056_Upgrading of Information Technology Laboratory Rooms in Urdaneta City Campus (Equipment)</t>
  </si>
  <si>
    <t>Supply and Delivery of Plastic Shredder (Pet Bottles) Gas Engine</t>
  </si>
  <si>
    <t>CONSTRUCTION OF PATHWALK</t>
  </si>
  <si>
    <t>Procurement of 4,624 LITERS DIESEL FUEL for the Use of the Government Vehicles under the Vice Governor’s Office</t>
  </si>
  <si>
    <t>Continuation/ Construction of Farm to Market Road @ Brgy. Amot, Brgy. Poblacion, Burdeos, Quezon</t>
  </si>
  <si>
    <t>20GGD0004 - PROCUREMENT AND DELIVERY OF COPIER TO BE USED IN THE PLANNING AND DESIGN SECTION FOR THE CONDUCT OF FEASIBILITY STUDY/ PRE-FEASIBILITY STUDY/ PRELIMINARY AND DETAILED ENGINEERING (PDE) ACT</t>
  </si>
  <si>
    <t>UPLB-S-052-09-20, SUPPLY AND DELIVERY OF  DRUGS AND MEDICINES FOR UHS</t>
  </si>
  <si>
    <t>Construction of Light House @ Brgy. Calutcot, Burdeos, Quezon</t>
  </si>
  <si>
    <t>CONSTRUCTION OF POTABLE WATER SYSTEM LEVEL II (SPRING DEVELOPMENT)</t>
  </si>
  <si>
    <t>Construction of Farm to Market Road @ So. Lawis, Brgy. Carlagan, Burdeos, Quezon</t>
  </si>
  <si>
    <t>Improvement/Rehab of Multipurpose  Building</t>
  </si>
  <si>
    <t>REHABILITATION OF STREETLIGHT SYSTEM</t>
  </si>
  <si>
    <t>LOT Procurement of Vehicle Parts for the Use of Isuzu Elf</t>
  </si>
  <si>
    <t>LOT Procurement of VETERINARY SUPPLIES for Use in Provincial Livestock and Breeding Center at PARDC, Magay, City of Mati</t>
  </si>
  <si>
    <t>SLF Fencing and Electrification (Single Phase Line Extension) Project, Kabacan, Cotabato</t>
  </si>
  <si>
    <t>20GD0115 - CONCRETING OF FARM-TO-MILL ROAD, SITIO ESPERANZA, BRGY. BINUNTUCAN TO BRGY. CABUNGAHAN ROAD, PONTEVEDRA, CAPIZ</t>
  </si>
  <si>
    <t>LOT Procurement of SPAREPARTS and REPAIR for the Use of FORD RANGER Vehicle</t>
  </si>
  <si>
    <t>20GD0114 - CONCRETING OF BRGY. IBACA TO BRGY. ARANGUEL FMR, BRGY. IBACA AND BRGY. ARANGUEL, PRESIDENT ROXAS, CAPIZ</t>
  </si>
  <si>
    <t>Procurement of Safety Equipment for DepEd Central Office</t>
  </si>
  <si>
    <t>2020-GOODS-054_Upgrading of Engineering and Technology Laboratories of the Pangasinan State University (Furnitures and Aircondition Units)</t>
  </si>
  <si>
    <t>Construction of Farm to Market Road @ so. Subok, Brgy. Aluyon, Burdeos, Quezon</t>
  </si>
  <si>
    <t>LOT Procurement of SPAREPARTS for the Use of Toyota Grandia of the Provincial Tourism Office</t>
  </si>
  <si>
    <t>Reproduction and Delivery of 1st Quarter Learning Modules for SY 2020-2021</t>
  </si>
  <si>
    <t>Purchase and Installation of 100ft Tower Mast with 1 Unit VHF Repeater &amp; Accessorie</t>
  </si>
  <si>
    <t>Supply &amp; Delivery of Tires</t>
  </si>
  <si>
    <t>Construction of Farm to Market Road @ So. Proper toward Brgy. Mabini, Brgy. Carlagan, Burdoes,Quezon</t>
  </si>
  <si>
    <t>Procurement of PPE's for Fronliners-BGCM</t>
  </si>
  <si>
    <t>Repair of School Building @ Burdeos Central Elementary School, Brgy. Poblacion, Burdeos, Quezon</t>
  </si>
  <si>
    <t>Supply and Installation Solar Street Lights</t>
  </si>
  <si>
    <t>PROCUREMENT FOR THE SUPPLY AND DELIVERY OF   FORTY-FIVE (45) UNITS LAPTOP COMPUTERS (BRANDED)</t>
  </si>
  <si>
    <t>Installation of 18 Units Solar Panel for RHU Building, Brgy. Poblacion, Buenavista, Quezon</t>
  </si>
  <si>
    <t>Procurement of Health Supplies for Kinder to Grade 6 (Rebid)</t>
  </si>
  <si>
    <t>Supply of Fuel for Various Municipal Offices Public Utility Vehicles</t>
  </si>
  <si>
    <t>Spares for the Maintenance and Recovery of T-41K Nr 976 Aircraft</t>
  </si>
  <si>
    <t>Drilling of the Potable Water System &amp; Installation of Submersible Pump with Completer Accessories &amp; Pipelines</t>
  </si>
  <si>
    <t>Procurement of Various Inks of POEA for 3rd and 4th Quarter (ITB 06-2020)</t>
  </si>
  <si>
    <t>Spares for the Repair and Maintenance of Avionics of C-130 Fleet</t>
  </si>
  <si>
    <t>INFRASTRUCTURE Project -LOWER SIBUGUEY I RIS EXTENSION PROJECT PACKAGE 3 CY 2016 REMAINING WORKS</t>
  </si>
  <si>
    <t>Completion of Multi-Purpose Building at Brgy. Dagupan, Kilagasan &amp; Magatos, Kabacan, Cotabato</t>
  </si>
  <si>
    <t>One (1) Lot Supply, Delivery, Installation, Testing and Commissioning of Four (4) Brand New passenger Elevators including Dismantling of Existing Elevators (ITB 05-2020)</t>
  </si>
  <si>
    <t>Procurement of Door-to-Door Delivery of Materials and Equipment for the Reproduction of Self-Learning Modules (SLMs) Lot 18</t>
  </si>
  <si>
    <t>PROJECT # 20-080 CIVIL WORKS FOR IMPROVEMENT/CONCRETING OF FARM TO MARKET ROAD   – BRGY. LAKAWAN, CITY OF TAYABAS</t>
  </si>
  <si>
    <t>Supply and Delivery of Original Corporate Generator Set (Brand New) for the use of Municipal Town Hall, Calauag, Quezon</t>
  </si>
  <si>
    <t>Procurement of Door-to-Door Delivery of Materials and Equipment for the Reproduction of Self-Learning Modules (SLMs) Lot 16</t>
  </si>
  <si>
    <t>PROJECT # 20-015 - CIVIL WORKS FOR REHABILITATION OF HANGING BRIDGE - BRGY. SILANGANG KATIGAN, TAYABAS CITY</t>
  </si>
  <si>
    <t>NCB Publication No. 2020- 33 (First Publication)- Hud-ok Flood Control Construction, Caba</t>
  </si>
  <si>
    <t>Procurement of Door-to-Door Delivery of Materials and Equipment for the Reproduction of Self-Learning Modules (SLMs) Lot 10</t>
  </si>
  <si>
    <t>Contract ID: 20MB0158 :  Construction of Multi-Purpose Building, Brgy. Buayan, General Santos City, South Cotabato</t>
  </si>
  <si>
    <t>PROCUREMENT OF TWO (2) UNITS COPIER FOR THE OFFICE OF THE DISTRICT SUPERVISOR</t>
  </si>
  <si>
    <t>Procurement of Door-to-Door Delivery of Materials and Equipment for the Reproduction of Self-Learning Modules (SLMs) Lot 17</t>
  </si>
  <si>
    <t>PHO-20-0921-B PURCHASE OF OFFICE EQUIPMENT</t>
  </si>
  <si>
    <t>Improvement &amp; Concreting of Farm to Market Road, Tampugo</t>
  </si>
  <si>
    <t>CONTRACT ID: 19-12 - 273 2ND REBID - PROCUREMENT OF VARIOUS DRUGS AND MEDICINES</t>
  </si>
  <si>
    <t>CONSTRUCTION OF CONCRETE FOOT BRIDGE BRGY. PONSO POLANGUI ALBAY</t>
  </si>
  <si>
    <t>ROAD CONCRETING (DOUBLE LANE)  GOMEZ ST. (8000-2-2-16) MABILA, SARANGANI, DAVAO OCCIDENTAL</t>
  </si>
  <si>
    <t>Construction of Overflow Bridge at Bet-Lower Anayo, Aritao, Nueva Vizcaya</t>
  </si>
  <si>
    <t>IB No. 2008-391 Proc. of Infra [Road Concreting of Cabise Road (Coastal Road to Taloto-Ubujan Road)]</t>
  </si>
  <si>
    <t>Improvement of Barangay Multi- Purpose BUilding</t>
  </si>
  <si>
    <t>RETROFITTING OF GABALDON TYPE BUILDING (ADMINISTRATION BUILDING) - GOA</t>
  </si>
  <si>
    <t>Invitation to Bid for Improvement of Canteen Flooring at Batangas Province HS &amp; Upgrading/Concreting of School Ground/ Access Road at Calaca Central ES (Package I), Calaca, Batangas</t>
  </si>
  <si>
    <t>Improvement/Completion of Multi-Purpose Building (Caridad) Brgy. Caridad, Culasi, Antique</t>
  </si>
  <si>
    <t>Completion of LIGA Building, Centro Poblacion, Culasi, Antique</t>
  </si>
  <si>
    <t>CONTRACT ID: 20-08-111 - PROGESTIN SUB-DERMAL IMPLANT (PSI) ANCILLARY KITS</t>
  </si>
  <si>
    <t>Purchase of Electronic Digital Scoreboard (Wireless) Dual Scorebaord</t>
  </si>
  <si>
    <t>MATERIALS FOR THE INSTALLATION OF 55-UNITS STREET LIGHTS (SWD TO PALANAS (BIOMASS AREA), SAGAY CITY,  		NEGROS OCCIDENTAL)</t>
  </si>
  <si>
    <t>Procurement of Reproduction and Soft Binding of FHSIS Reporting and Recording Tools</t>
  </si>
  <si>
    <t>Invitation to Bid for the Procurement of General Support Services (Janitorial, Security, and Driving Services)  For FY 2020</t>
  </si>
  <si>
    <t>Procurement of Various Dietary Supplies (BAC 2020-021)</t>
  </si>
  <si>
    <t>CONCRETE PAVING OF BOCACLIW-BANAYBAYAN FARM TO MARKET ROAD</t>
  </si>
  <si>
    <t>Invitation to Bid for Const. of Two Storey Four Classroom Bldg. at Madalunot ES, BRgy. Madalunot, Calaca, Batangas</t>
  </si>
  <si>
    <t>Construction of River Control</t>
  </si>
  <si>
    <t>Procurement of Door-to-Door Delivery of Materials and Equipment for the Reproduction of Self-Learning Modules (SLMs) Lot 5</t>
  </si>
  <si>
    <t>IMPROVEMENT OF PANACOL-TAMAYO FARM TO MARKET ROAD</t>
  </si>
  <si>
    <t>Procurement BY LOT of FILTERS and OIL &amp; LUBRICANTS for Use of 79 UNITS LIGHT AND HEAVY EQUIPMENT</t>
  </si>
  <si>
    <t>supply &amp; delivery of Various Maintenance materials</t>
  </si>
  <si>
    <t>Purchase of Tires for the Maintenance of PEO Prime Mover and Low Bed Trailer.</t>
  </si>
  <si>
    <t>Supply and Delivery of  Equipment, Supplies and Consumables For Use in D Post, CESC, Guidance Office, Registration &amp; Admission Office/ (RFQ 2020-05F)</t>
  </si>
  <si>
    <t>REHABILITATION OF MULTI-PORPUSE BUILDING / NEW MUNICIPAL HALL (8000-2-2-17) MABILA, SARANGANI, DAVAO OCCIDENTAL</t>
  </si>
  <si>
    <t>ITB-REBID05-2020</t>
  </si>
  <si>
    <t>FOR SUPPLEMENTAL FEEDING OF UNDERWEIGHT AND SEVERELY UNDERWEIGHT PRESCHOOL CHILDREN OF 14 BARANGAYS.</t>
  </si>
  <si>
    <t>Procurement of Fuel and Lubricants  for the Construction of 100 IP’s Housing Units    [NHA Grant-GOODS]</t>
  </si>
  <si>
    <t>Purchase of Equipment (Microscope) for the use of Lambunao MHO Laboratory, Lambunao, Iloilo</t>
  </si>
  <si>
    <t>CATERING SERVICES FOR PERSONS DEPRIVED OF LIBERTY (PDL)</t>
  </si>
  <si>
    <t>Concreting of Batonan Norte-San Pascual FMR, Brgy. Batonan Norte, Culasi, Antique</t>
  </si>
  <si>
    <t>ITB and Bid Docs for 1)	Procurement ID/Contract ID:    19C00092 Contract Name:      Construction of 2-Storey Sniper’s Building (100 person capacity) at First Scout Ranger Regiment, Philippine Army Cam</t>
  </si>
  <si>
    <t>Supply and delivery of various commodities for the children beneficiaries of Supplementary Feeding Program of the Municipality of Burgos, Ilocos Sur</t>
  </si>
  <si>
    <t>20MH0115 - Construction of Road Slope Protection Structure along IsulanJct-Ninoy Aquino Rd, K1834+110 – K1834+178, K1845+471 – K1845+544, Bagumbayan/Sen. Ninoy Aquino, Sultan Kudarat</t>
  </si>
  <si>
    <t>20CB-GSC-524 REPAIR OF MOTOR VEHICLE MITSUBISHI GRADER</t>
  </si>
  <si>
    <t>CONSTRUCTION OF MULTI-PURPOSE BUILDING, BARANGAY STA. FE</t>
  </si>
  <si>
    <t>Glass Partitioning of Center for Flexible Learning, MMSU University Library, City of Batac, Ilocos Norte</t>
  </si>
  <si>
    <t>Procurement of Construction Materials for the Construction of Senior Building</t>
  </si>
  <si>
    <t>Procurement of Construction of IP Housing (Labor)</t>
  </si>
  <si>
    <t>Construction of River Wall, Pilar-Las-ud-Villa Hermosa</t>
  </si>
  <si>
    <t>Procurement of Door-to-Door Delivery of Materials and Equipment for the Reproduction of Self-Learning Modules (SLMs) Lot 2</t>
  </si>
  <si>
    <t>supply &amp; delivery of Various Furniture &amp; Fixture</t>
  </si>
  <si>
    <t>Construction and Rehab of River Control @ Sitio Nanamburan Brooks, Sitio Nanamburan, Calaoaan</t>
  </si>
  <si>
    <t>Construction of Drainage (Portion), Roxas Street, Brgy. Poblacion, Libacao, Aklan</t>
  </si>
  <si>
    <t>PB INFRA 20-069 Construction of Tribal Hall @ Sitio B'laan, Kanibong, Tulunan, Cotabato</t>
  </si>
  <si>
    <t>Procurement of food supplies (meals and snacks) within Davao de Oro-B-20-0228</t>
  </si>
  <si>
    <t>PROCUREMENT OF CONSTRUCTION MATERIALS FOR THE REHABILITATION OF MULTI-PURPOSE HALL</t>
  </si>
  <si>
    <t>2020-TF-05: WATERWORKS SYSTEM PROJECT IN BRGYS. DANGOY, POBLACION, ANTONIO CANAO, AND MABILONG, LUBUAGAN</t>
  </si>
  <si>
    <t>Improvement of Multi-Purpose Building, Villa Hermosa</t>
  </si>
  <si>
    <t>RIPRAPPING/SLOPE PROTECTION OF LAWAYE RIVER- BRGY. POCTOL, PALINGOWAK, BALAGBAG</t>
  </si>
  <si>
    <t>IMPROVEMENT OF BRGY. ROAD &amp; CONSTRUCTION OF BOX CULVERT- BRGY. ESCRIBANO</t>
  </si>
  <si>
    <t>Supply, Delivery and Commissioning of One (1) unit Brand New Portable Air Compressor</t>
  </si>
  <si>
    <t>Procurements of 300 pcs Plastic Chairs</t>
  </si>
  <si>
    <t>Improvement and Concreting of Farm to Market Road, Quinfermin</t>
  </si>
  <si>
    <t>Supply/Delivery of Special Rice</t>
  </si>
  <si>
    <t>PB INFRA 20-070 Construction of Tribal Hall @ Sitio B'laan, Owas, Magpet, Cotabato</t>
  </si>
  <si>
    <t>Improvement of Multi-Purpose Building, Mambog</t>
  </si>
  <si>
    <t>Proposed Construction of Seawall</t>
  </si>
  <si>
    <t>CW20-035-1 Lot Construction of Water System at Liwanag Center, Brgy. Libasan ( Construction of elevated tank, well drilling, installation of pipelines and 1 set 3.0 Hp single phase submersible pump) (</t>
  </si>
  <si>
    <t>SUPPLY AND DELIVERY OF MEDICINES FOR COVID -19 RESPONSE</t>
  </si>
  <si>
    <t>ITB No. 2020-08-044:PURCHASE AND DELIVERY OF DIGITAL DUPLICATOR WITH COMPUTER INTERFACE AND SUPPLIES</t>
  </si>
  <si>
    <t>IMPROVEMENT OF SLAUGHTERHOUSE (ACQUISITION OF NECESSARY EQUIPMENT (SUPPLY AND INSTALLATION OF ADDITIONAL CATTLE LINE EQUIPMENTE</t>
  </si>
  <si>
    <t>CONSTRUCTION BARANGAY MULTIPURPOSE HALL, BRGY. BALOGANON, MASINLOC, ZAMBALES</t>
  </si>
  <si>
    <t>CLUSTER 45-2020</t>
  </si>
  <si>
    <t>PROCUREMENT OF TABLETS INCLUSIVE OF AR SYSTEM FOR 18 MARITIME COURSES AND AUDIO VIDEO RECORDING SYSTEM FOR BLENDED LEARNING</t>
  </si>
  <si>
    <t>Construction of Warehouse Phase I</t>
  </si>
  <si>
    <t>Renovation of Welding and Fabrication Building (Phase 1)</t>
  </si>
  <si>
    <t>IB No. 2001-22 Proc. of Goods (Books)(Rebid)</t>
  </si>
  <si>
    <t>IB No. 2003-206 Proc. of Goods (Operational Tent)(Rebid)</t>
  </si>
  <si>
    <t>PROCUREMENT OF MEDICINES FOR MUNICIPAL HEALTH OFFICE</t>
  </si>
  <si>
    <t>Supply and Delivery of One (1) Unit Passenger Van (for conversion into an ambulance and fitted with necessary medical equipment and apparatus) to be deployed in the Incident Command Post in Barangay B</t>
  </si>
  <si>
    <t>Medical Assistance/Laboratories Fees of Indigents of Passi City/CMO</t>
  </si>
  <si>
    <t>SDH-20-0848-B FIRE EXTINGUISHER (REFILL)</t>
  </si>
  <si>
    <t>PROCUREMENT OF BOOKPAPER-A4 FOR THE REPRODUCTION OF MODULES</t>
  </si>
  <si>
    <t>SDH-20-0978-B MEDICAL OXYGEN</t>
  </si>
  <si>
    <t>SDH-20-0975-B HOUSEKEEPING SUPPLIES</t>
  </si>
  <si>
    <t>PROCUREMENT OF MEALS FOR THE SUPPLEMENTARY FEEDING PROGRAM FOR NUTRITIONALLY AT RISK PREGNANT MOTHERS</t>
  </si>
  <si>
    <t>SDH-20-0977-B MEDICAL SUPPLIES</t>
  </si>
  <si>
    <t>Repair/Rehab. Of Senior High School Training Center Phase II, S.C. Pilot School, Brgy. Taft, Surigao City</t>
  </si>
  <si>
    <t>Repair of Sitio Balibayon  Irrigation System    Brgy. Rizal, Surigao City</t>
  </si>
  <si>
    <t>Cemetery Development (P-1, Barangay Maparat)</t>
  </si>
  <si>
    <t>SDH-20-0976-B OFFICE SUPPLIES</t>
  </si>
  <si>
    <t>SDH-20-0444-B (RE-BID) LABORATORY SUPPLIES</t>
  </si>
  <si>
    <t>INVITATION TO BID FOR SUPPLY AND DELIVERY OF GOODS (SAMAR LIVELIHOOD SEEDING PROGRAM)</t>
  </si>
  <si>
    <t>SDH-20-0363-B (RE-BID) DRUGS AND MEDICINES</t>
  </si>
  <si>
    <t>SDH-20-0448-B (RE-BID) LABORATORY SUPPLIES</t>
  </si>
  <si>
    <t>SUPPLY AND DELIVERY OF 3 UNITS BRAND NEW UTILITY VEHICLE</t>
  </si>
  <si>
    <t>SDH-20-0273-B (RE-BID) OFFICE SUPPLIES</t>
  </si>
  <si>
    <t>Rescue Suit</t>
  </si>
  <si>
    <t>SDH-20-0708-B DIESEL FUEL</t>
  </si>
  <si>
    <t>Improvement of Multi- purpose Hall</t>
  </si>
  <si>
    <t>FUELS/FUEL ADDITIVES &amp; LUBRICANT &amp; ANTI-CORROSIVE</t>
  </si>
  <si>
    <t>CONSTRUCTION OF SAMMUKI-POLAG DRAINAGE CANAL</t>
  </si>
  <si>
    <t>PR-2020-2139 Health Kits to IP Households-PSWDO</t>
  </si>
  <si>
    <t>PR-2020-1605 One (1) Unit Brand new Mobile Radiographic X-ray, Heavy duty (Rebid)-PHO</t>
  </si>
  <si>
    <t>CLUSTER 46-2020</t>
  </si>
  <si>
    <t>Completion of Brgy Mat-I Irrigation System   Phase 1,  Brgy. Mat-i, Surigao City</t>
  </si>
  <si>
    <t>Rehabilitation of Floodway East Embankment Road Cainta-Taytay, Rizal</t>
  </si>
  <si>
    <t>Purchase of one (1) unit, 4 x 2, Dsl, Garbage Dump Truck to be used for garbage collection within the Municipality of Bauan, Batangas</t>
  </si>
  <si>
    <t>PR-2020-2103 Office Supplies-DepEd</t>
  </si>
  <si>
    <t>Procurement of Fire and IT Equipment (Bureau of Fire Protection - Larena)</t>
  </si>
  <si>
    <t>PR-2020-1293 Drugs &amp; Medicines (Rebid)-CDH</t>
  </si>
  <si>
    <t>Concreting along J. Montemayor Street of Brgy. San Roque, Alaminos City, Pangasinan</t>
  </si>
  <si>
    <t>General Housekeeping Services for GSIS Head Office and Quezon City Branch Office</t>
  </si>
  <si>
    <t>CONSTRUCTION OF MUNICIPAL PIGGERY BUILDING II, SITIO BUNGA, BRGY. STA RITA,  MASINLOC, ZAMBALES</t>
  </si>
  <si>
    <t>Concreting of Roads, Along E. Meman Alley, Atulayan Norte, Tuguegarao City, Cagayan</t>
  </si>
  <si>
    <t>20GIL0055(SUPPLY/DELIVERY OF GRASS CUTTER TD40 SPARE PARTS AND ACCESSORIES, ETC.,DPWH-SLDEO, MAASIN CITY, SOUTHERN LEYTE)</t>
  </si>
  <si>
    <t>CONSTRUCTION OF POKIPOK RETAINING WALL, MALIGCONG</t>
  </si>
  <si>
    <t>PEO-20-0926-B- Purchase of Diesel Fuel for use in truck team operation for the repair and maintenance of Provincial roads and bridges in the Province of Iloilo</t>
  </si>
  <si>
    <t>COMPLETION OF ALS BUILDING</t>
  </si>
  <si>
    <t>CLUSTER 47-2020</t>
  </si>
  <si>
    <t>Farm Tractor with trailer</t>
  </si>
  <si>
    <t>Purchase of Additional Instructional Materials, Workbook &amp; Textbooks (LSB)</t>
  </si>
  <si>
    <t>Upgrading of Gud-Nagbukel-Villaflor (port.) Road</t>
  </si>
  <si>
    <t>Supply and Delivery of 52,950 bags Urea Fertilizer</t>
  </si>
  <si>
    <t>Fertilizer</t>
  </si>
  <si>
    <t>IB No. 2008-407 Proc. of Goods (ICT and Office Equipment)</t>
  </si>
  <si>
    <t>REHABILITATION  OF SAMMUKI-PULAG WATER WORKS SYSTEM</t>
  </si>
  <si>
    <t>CONTRACT ID: 20-08-112 - PROCUREMENT OF VARIOUS DRUGS AND MEDICINES</t>
  </si>
  <si>
    <t>PR-2020-1441 One (1) Unit Utility Vehicle Cab &amp; Chassis Type, Brand new (Rebid)-PGO</t>
  </si>
  <si>
    <t>REQUEST FOR EXPRESSION OF INTEREST FOR THE ENGAGEMENT OF A CONSULTING SERVICE PROVIDER (CSP) FOR THE REVIEW AND DESIGN OF THE INFORMATION TECHNOLOGY (ITG) STRUCTURE &amp; STRATEGY</t>
  </si>
  <si>
    <t>Purchase of Bond Paper for School Modules (LSB)</t>
  </si>
  <si>
    <t>Repair of Municipal Building and Legislative Building</t>
  </si>
  <si>
    <t>Procurement of Construction Materials for the Improvement/Upgrading of Facilities at PAGCOR Itum Baylao, Mambajao, Camiguin and Procurement of Construction Materials of BODEGA at Provincial Plant Nurs</t>
  </si>
  <si>
    <t>Purchase of office and IT equipment and supplies to be used in the reproduction of modules for students of various schools at Bauan, Batangas</t>
  </si>
  <si>
    <t>IMPROVEMENT OF GONOGON MULTIPURPOSE HALL</t>
  </si>
  <si>
    <t>GOV-20-0477-B Purchase of Office Equipment</t>
  </si>
  <si>
    <t>PEO-20-0963-B- Purchase of Spare Parts for use of Service Vehicles PU-20, 21, 22, 23, 24, 25 and 26 assigned at PEP, Sta. Barbara, Iloilo</t>
  </si>
  <si>
    <t>CLUSTER 48-2020</t>
  </si>
  <si>
    <t>PEO-20-0961-B Purchase of Spare Parts for use in the repair of Volvo Payloader (VFL 3, 4 and 5) Model: L60F assigned at PEP, Sta. Barbara, Iloilo</t>
  </si>
  <si>
    <t>Construction of Acao Multi- Pupose Hall Phase II</t>
  </si>
  <si>
    <t>GOV-20-0990-B Purchase of Generator Set</t>
  </si>
  <si>
    <t>Establishment of Command Center for Public Safety and Disaster Preparedness (Phase VI)</t>
  </si>
  <si>
    <t>Purchase of Construction Materials and Supply</t>
  </si>
  <si>
    <t>Purchase of Medical Ambulance</t>
  </si>
  <si>
    <t>Improvement of Sanitary Landfill at Sitio Dupacpac, Acao, Bauang</t>
  </si>
  <si>
    <t>AGR-20-0992-B Purchase of Motorcycle</t>
  </si>
  <si>
    <t>Upgrading/Concreting of Barangay Road</t>
  </si>
  <si>
    <t>Procurement of Streetlights</t>
  </si>
  <si>
    <t>Purchase of Rubber Boat with Outboard Motor (MDRRMO)</t>
  </si>
  <si>
    <t>Procurement of two (2) units Mini- Excavator with dozer</t>
  </si>
  <si>
    <t>CLUSTER 49-2020</t>
  </si>
  <si>
    <t>20KG0100: Repair of Maranding Bridge Revetment (Downstream) along Linamon-Zamboanga Road, Maranding, Lala, Lanao del Norte</t>
  </si>
  <si>
    <t>IB No. 2008-409 Proc. of Goods (3 Months Prepaid Load)</t>
  </si>
  <si>
    <t>Purchase of Various Medicines for RHU</t>
  </si>
  <si>
    <t>20KG0102: Rehabilitation of Damaged Drainage along Tagoloan – Balo-I Road Contract, Tagoloan, Lanao del Norte, K1544+253-K1544+568</t>
  </si>
  <si>
    <t>Construction of Road and Drainage of City Government Center, Mc Arthur Highway, Brgy Bulihan, City of Malolos</t>
  </si>
  <si>
    <t>Improvement/Rehabilitation of Drainage at Pilandora St., Barangay Liang, City of Malolos</t>
  </si>
  <si>
    <t>ITB No. 20-076   RE-BIDDING FOR ONE (1) LOT SUPPLY, DELIVERY, TESTING AND COMMISSIONING OF TWENTY (20) UNITS PULSE OXIMETERS</t>
  </si>
  <si>
    <t>20KG0101: Rehabilitation of Existing Damaged Stone Masonry (Catch Wall) to Reinforced Concrete (Catch Wall) along Dobleston-Butadon Road Contract ,  Kapatagan, Lanao del Norte, K2007+441-K2007+459</t>
  </si>
  <si>
    <t>Construction of Barangay Health Station at Brgy Mambog, City of Malolos</t>
  </si>
  <si>
    <t>Rehabilitation of PAMANA Terminal Building Phase II</t>
  </si>
  <si>
    <t>PPD-20-0957-B Purchase of DESKTOP SIMULATOR AND 3D PRINTER</t>
  </si>
  <si>
    <t>AGR-20-0994-B Purchase of AGRICULTURAL SUPPLIES</t>
  </si>
  <si>
    <t>PROCUREMENT OF AGRICULTURAL SUPPLIES AND INPUTS FOR THE SUSTAINABLE LAND RESOURCE MANAGEMENT APPROACH IN DEVELOPING AGRO-ENVIRONMENTAL POTENTIAL OF VULNERABLE UPLANDS AND HILLY LAND</t>
  </si>
  <si>
    <t>20KG0099: Repair of Damaged Overflow Submarine Bridge Flooring and Clearing of Waterways along Salvador-Sapad-Nunungan Road, Putidon, Salvador, Lanao del Norte, K1615+750-K1615798</t>
  </si>
  <si>
    <t>IB No. 2008-408 Proc. of Goods (Pocket WiFi with Prepaid Sim)</t>
  </si>
  <si>
    <t>ITB No. (INF) 2020-08-117 CONSTRUCTION OF NEW CAPITOL BUILDING, Capitol Site, Brgy. Alang-alang, Borongan City, Eastern Samar</t>
  </si>
  <si>
    <t>Construction of Barangay Health Station at Brgy San Vicente, City of Malolos</t>
  </si>
  <si>
    <t>PEO-20-0962-B Purchase of Outer Tires for use in the replacement of worn out tires of Various Heavy Equipments assigned at PEP, Sta. Barbara, Iloilo</t>
  </si>
  <si>
    <t>Fullway Road Concreting of Farm to Market Road (L=590.00m; W=4.00m; t=0.20m) at Cabungaan to Cambangkaya, Catmon, Cebu</t>
  </si>
  <si>
    <t>Procurement of Computer Accessories/Consumables, Janitorial Supplies, Office Supplies, Construction Supplies &amp; Electrical Supplies, Office Accessories &amp; Equipment and Other Categories &amp; Sports Equipme</t>
  </si>
  <si>
    <t>Purchase of one (1) unit of Rescue Vehicle</t>
  </si>
  <si>
    <t>AGR-20-0995-B Purchase of Animal Feeds</t>
  </si>
  <si>
    <t>SUPPLY AND DELIVERY OF SUBMERSIBLE PUMP, MOTOR AND VFD CONTROLLER</t>
  </si>
  <si>
    <t>Fullway Road Concreting of Farm to Market Road (L=100.00m; W=4.00m; t=0.20m) at Cambangkaya to Bongyas, Catmon, Cebu</t>
  </si>
  <si>
    <t>PRINTING/REPRODUCTION OF MODULES</t>
  </si>
  <si>
    <t>DISTRIBUTION LINE EXPANSION AT BRGY BONOT STA. ROSA - LABOR AND MATERIALS</t>
  </si>
  <si>
    <t>Purchase of Heavy Duty Fast Speed Full Color Printer Line-Inkjet System and Supplies</t>
  </si>
  <si>
    <t>CONSTRUCTION OF SPILLWAY AT LOWER CAMPO, POBLACION</t>
  </si>
  <si>
    <t>Procurement of Supply &amp; Delivery of Corn Seeds for Food Security (COVID 19) By Lot (rebid)</t>
  </si>
  <si>
    <t>Multi Purpose Hall at Bahay Kalinga, Brgy Mambog, City of Malolos</t>
  </si>
  <si>
    <t>Procurement of Supply &amp; Delivery of 1,076 bags Fertilizers</t>
  </si>
  <si>
    <t>Procurement of Supply &amp; Delivery of 5,500 heads Native Chicken (rebid)</t>
  </si>
  <si>
    <t>NEGOTIATION for the Procurement of Supply &amp; Delivery of Piglets (Typhoon Ursula)</t>
  </si>
  <si>
    <t>SUPPLY AND DELIVERY OF MATERIALS FOR THE END LOCAL COMMUNIST ARM CONFLICT (ELCAC PROGRAM)</t>
  </si>
  <si>
    <t>COMPLETION OF MULTI-PURPOSE BUILDING (at Brgy. Rizal)</t>
  </si>
  <si>
    <t>Food Supplies and Delivery of School Based Feeding Program (SBFP)</t>
  </si>
  <si>
    <t>CY 2020 BEFF REPAIR AND REHABILITATION OF CLASSROOMS (BATCH 2)</t>
  </si>
  <si>
    <t>IMPROVEMENT OF WATER SYTEM</t>
  </si>
  <si>
    <t>Supply and delivery of integrated all in one solar powered street lights</t>
  </si>
  <si>
    <t>Purchase of Materials for the Improvements/ Rehabilitation of Senior Citizen Bldg. at Mun. Compound Vic,Lag.</t>
  </si>
  <si>
    <t>Construction of Concrete Canal Lining - Diotorin, Barangay Dibayabay, SLA</t>
  </si>
  <si>
    <t>Procurement of Supply &amp; Delivery of 200 heads Goat (Rebid)</t>
  </si>
  <si>
    <t>Improvement/Repair of Ynares Multi-Purpose Covered Court &amp; Improvement of Perimeter Fence at Brgy. Sta. Cruz &amp; Brgy. Dela Paz, Antipolo City</t>
  </si>
  <si>
    <t>Invitation to Bid for the Procurement of Assorted Technical and Scientific Equipment-REFERENCE # 2020-08-09</t>
  </si>
  <si>
    <t>Construction of Office, Locker &amp; Shower Room and Pool Pump Room at Zambales Sports Center Phase 2, Iba</t>
  </si>
  <si>
    <t>One (1) lot Supply, Delivery, Installation, and Make Operational of Inverter and Variable Refrigerant Flow Air-Conditioning System, including the Dismantling of Existing Units at 5-Storey and EDPC Bui</t>
  </si>
  <si>
    <t>PURCHASE OF 1 UNIT RESCUE MOTORIZED BANCA AND ACCESSORIES  (San Luis, Aurora)</t>
  </si>
  <si>
    <t>Construction of Flood Control - Barangay Dibayabay, SLA</t>
  </si>
  <si>
    <t>FOOD PROVISIONS FOR COVID-19 AFFECTED VULNERABLE GROUPS AND INDIVIDUALS (SAN LUIS, AURORA)</t>
  </si>
  <si>
    <t>Construction/Provision of Wash Facilities (Water, Sanitation &amp; Hygiene) at Binangonan Central Elem. School, Brgy. Layunan, Binangonan, Rizal</t>
  </si>
  <si>
    <t>PURCHASE OF 1 UNIT VEHICLE (SAN LUIS, AURORA)</t>
  </si>
  <si>
    <t>Concreting of Hacienda-Camalatan Road - Brgy. Nonong Sr., SLA</t>
  </si>
  <si>
    <t>Construction of Ynares Stage at Dr. Vivencio Villamayor Integrated School, Brgy. San Isidro, Angono, Rizal</t>
  </si>
  <si>
    <t>UPLB-NP-IF-001-09-20, PL480 UP-VETMED RENOVATION, (ANIMAL DISEASE DIAGNOSTIC LABORATORY &amp; TEACHING COMPLEX), COLLEGE OF VETERINARY MEDICINE COMPLEX, UP LOS BAÑOS, COLLEGE, LAGUNA</t>
  </si>
  <si>
    <t>Construction of Multipurpose Building Phase III - Barangay 04, SLA</t>
  </si>
  <si>
    <t>Construction of 2-Storey Ynares Multi-Purpose Building at Jannsen Ville Subd., Brgy. San Juan, Cainta, Rizal</t>
  </si>
  <si>
    <t>Improvement of Ynares Multi-Purpose Covered Court and Stage at Montevilla Subd., Brgy. Bilibiran, Binangonan, Rizal</t>
  </si>
  <si>
    <t>Construction of Evacuation Center - Barangay Dibut, SLA</t>
  </si>
  <si>
    <t>Concreting of School Ground &amp; Construction of Artesian Well at Brgy. 2nd District &amp; Brgy. Pagkalinawan, Jalajala, Rizal</t>
  </si>
  <si>
    <t>Construction/Provision of Wash Facilities (Water, Sanitation &amp; Hygiene) for Evacuation Center at Sipsipin Elem. School, Jalajala, Rizal</t>
  </si>
  <si>
    <t>Construction of Covered Pathwalk at Punta Elem. School, Brgy. Punta, Jalajala, Rizal</t>
  </si>
  <si>
    <t>Rehabilitation/Improvement of Maintenance of SB Building/Construction of Children's Library - Barangay 2, SLA</t>
  </si>
  <si>
    <t>Construction/Provision of Wash Facilities (Water, Sanitation &amp; Hygiene) for Evacuation Center at Malaya  Elem. School, Pililla, Rizal</t>
  </si>
  <si>
    <t>Repair/Repainting/Improvement of Ynares School Buildings, Ynares Stage and Ynares Multi-Purpose Covered Court at Hulo Nat'l. High School, Brgy. Hulo, Pililla, Rizal</t>
  </si>
  <si>
    <t>Construction/Provision of Wash Facilities (Water, Sanitation &amp; Hygiene) for Evacuation Center at Bagumbong Elem. School, Jalajala, Rizal</t>
  </si>
  <si>
    <t>Construction/Provision of Wash Facilities (Water, Sanitation &amp; Hygiene) for Evacuation Center at Pililla Elem. School (Central), Pililla, Rizal</t>
  </si>
  <si>
    <t>Construction/Provision of Wash Facilities (Water, Sanitation &amp; Hygiene) for Evacuation Center at URS Pililla, Pililla, Rizal</t>
  </si>
  <si>
    <t>Extension of Existing 2-storey Ynares Multi-Purpose Building, Brgy. 3rd District, Jalajala, Rizal</t>
  </si>
  <si>
    <t>Improvement / Construction of Stone Masonry for Slope Protection of creek (portion), Brgy. Nagsulo, Cardona, Rizal</t>
  </si>
  <si>
    <t>Construction of 2-storey Ynares Multi-Purpose Building at Oliveros Compound, Kalawaan, Brgy. Darangan, Binangonan, Rizal</t>
  </si>
  <si>
    <t>Concreting of creek bed at Purok 1 and Purok 2, Brgy. Balibago, Cardona, Rizal</t>
  </si>
  <si>
    <t>Construction/Provision of Wash Facilities (Water, Sanitation &amp; Hygiene) for Evacuation Center at Hulo Elem. School, Pililla, Rizal</t>
  </si>
  <si>
    <t>Construction/Provision of Wash Facilities (Water, Sanitation &amp; Hygiene) for Evacuation Center at Hulo National High School, Pililla, Rizal</t>
  </si>
  <si>
    <t>Construction/Provision of Wash Facilities (Water, Sanitation &amp; Hygiene), Brgy. Tuna, Cardona, Rizal</t>
  </si>
  <si>
    <t>Invitation to Bid for the Procurement of Liquid Chromatography-Tandem Mass Spectrometry (MS/MS) System-REFERENCE # 2020-08-10</t>
  </si>
  <si>
    <t>OPENING/CONSTRUCTION OF ACCESS ROAD,  CARMEN, PANDAN, ANTIQUE</t>
  </si>
  <si>
    <t>CONCRETING OF BARANGAY ROAD, ZALDIVAR, PANDAN, ANTIQUE</t>
  </si>
  <si>
    <t>Repair/Repainting of Various Ynares School Building at Dalig Elem. School, Brgy. Dalig, Cardona, Rizal</t>
  </si>
  <si>
    <t>Continuation of Construction of Multi Purpose Building /cum evac.center Phase 3</t>
  </si>
  <si>
    <t>Spring Development - Barangay Dimanayat, SLA</t>
  </si>
  <si>
    <t>CONSTRUCTION/INSTALLATION OF STREET LIGHTINGS,  CENTRO SUR-CENTRO NORTE, PANDAN, ANTIQUE</t>
  </si>
  <si>
    <t>PURCHASE OF BLUE DIGITAL DUPLICATOR @ MUNICIPALITY OF MOBO, MASBATE</t>
  </si>
  <si>
    <t>CONSTRUCTION OF BARANGAY ROAD, ZALDIVAR, PANDAN, ANTIQUE</t>
  </si>
  <si>
    <t>Construction of Three (3) Storey, Twelve (12) Classroom School Building Maytalang I E/S, Lumban, Laguna</t>
  </si>
  <si>
    <t>Construction/Provision of Wash Facilities (Water, Sanitation &amp; Hygiene) at Sitio Abuyod, Brgy. Dalig, Teresa, Rizal</t>
  </si>
  <si>
    <t>Purchase of 1 set CCTV 16 Channels 12” Monitor with Accessories and Installation</t>
  </si>
  <si>
    <t>Construction/Provision of Wash Facilities (Water, Sanitation &amp; Hygiene) for Evacuation Center at Sitio Aguho, Tanay, Rizal</t>
  </si>
  <si>
    <t>Concrete Reblocking of Cattleya Street, Modesta Village, Sto. Niňo, San Mateo, Rizal</t>
  </si>
  <si>
    <t>Construction of RHU-Birthing Center</t>
  </si>
  <si>
    <t>Supply and Delivery of Butcher’s Tools and Meat Processing Equipment (Strengthening the Agriculture and Food Technology Programs)</t>
  </si>
  <si>
    <t>Purchase of  Dump Truck to be used in Solid Waste Management at the Municipality of San Nicolas, Batangas</t>
  </si>
  <si>
    <t>Repair and Maintenance of existing Small Water Impounding System and Small Farm Reservoir on NSWRRDC, Cuyambay, Tanay Rizal CY 2020 IB NO: BSWM-2020-08-014</t>
  </si>
  <si>
    <t>Construction/Rehabilitation of Water Supply/Septage and Sewerage/Rain Water Collectors System</t>
  </si>
  <si>
    <t>Supply and Delivery of various Chemicals and Laboratory supplies (Batch 2) CY 2020 IB NO: BSWM-2020-08-013</t>
  </si>
  <si>
    <t>Construction of Drainage Canal, From Petron Bulilit - Purok Sampaguita, Brgy. Buenaflor, City of Tacurong</t>
  </si>
  <si>
    <t>CONSTRUCTION OF STA ANA-SAN JOAQUIN FARM-TO-MARKET  ROAD (SASJ FMR), PANDAN, ANTIQUE</t>
  </si>
  <si>
    <t>Widening of Barangay Roads, Purok Sampaguita, Brgy. New Isabela, City of Tacurong - (Re-Bidding)</t>
  </si>
  <si>
    <t>Procurement of Four (4) units Brand New Motorcycle for use of the Provincial Government of Tarlac (Rebid) - B-G-2020-118</t>
  </si>
  <si>
    <t>REPAIR AND REHABILITATION OF ROOFING AND GUTTER OF THE ADMINISTRATIVE BUILDING AND ADJOINING SPACE</t>
  </si>
  <si>
    <t>Rehabilitation of BSWM Hitachi Elevators CY 2020 IB NO: BSWM-2020-08-012</t>
  </si>
  <si>
    <t>Procurement of Various Medical Equipment for the Healthcare Waste Management Program of the Congressman Enrique “Henry” M. Cojuangco Memorial District Hospital - B-G-2020-120</t>
  </si>
  <si>
    <t>Printing of Newsletters for Information Dissemination - B-G-2020-119</t>
  </si>
  <si>
    <t>S1-TIN20-010 (PB2) - Lease of 0.6 MW Modular Diesel Gensets for Tingloy DPP, Tingloy, Batangas</t>
  </si>
  <si>
    <t>S1-LDP20-013 (PB2) - Lease of 0.5 MW Modular Diesel Gensets for Lubang DPP, Lubang, Occidental Mindoro</t>
  </si>
  <si>
    <t>Construction of 47 In. m. Drainage Canal w/ Cover</t>
  </si>
  <si>
    <t>CONSTRUCTION OF MULTI-PURPOSE COVERED COURT/EVACUATION CENTER @ BRGY. PULONG NIOGAN, MABINI, BATANGAS</t>
  </si>
  <si>
    <t>Supply, Delivery and Installation of Accelerographs</t>
  </si>
  <si>
    <t>Construction of Perimeter Fence at Talaga Elem. School, Sitio Talaga, Brgy. Maybancal, Morong, Rizal</t>
  </si>
  <si>
    <t>Rehabilitation / Concreting of Zinia Street and Cardinal Ext. Street, Modesta Village, Sto. Niňo, San Mateo, Rizal</t>
  </si>
  <si>
    <t>PEO- 20-068-B (RE-BID) NORTHERN ILOILO FISHERY REHABILITATION AND DEVELOPMENT PROJECT (NI-FRDP) - REHABILITATION AND IMPROVEMENT OF CONCEPCION FISH PORT Concepcion, Iloilo</t>
  </si>
  <si>
    <t>Construction of Executive Complex Drainage</t>
  </si>
  <si>
    <t>Concreting of 250 Linear Meters "Access Road to School" Brgy. Sigayan</t>
  </si>
  <si>
    <t>Rehabilitation of Seawall along Manila Bay (Paraňaque Section) Phase I Paraňaque (Contract ID No. 20O00065)</t>
  </si>
  <si>
    <t>Purchase of Xerox Machine</t>
  </si>
  <si>
    <t>Construction of Burial Facility at Brgy. Sampaloc 1, Sariaya, Quezon</t>
  </si>
  <si>
    <t>Improvement / Construction of Drainage Canal at Block 3 Street and Block 17 Street, St. Peterville Subd., Brgy. San Jose, Rodriguez, Rizal</t>
  </si>
  <si>
    <t>Rehabilitation of Seawall along Manila Bay (Paraňaque Section) Phase II Paraňaque (Contract ID No. 20O00066)</t>
  </si>
  <si>
    <t>MG-PLM20-122 - REPAIR OF STREET LIGHTING'S AT COMPOUND, INTAKE AND POWERHOUSE</t>
  </si>
  <si>
    <t>Access Road to Special Drug Rehabilitation Center</t>
  </si>
  <si>
    <t>Construction of  Ynares Multi-Purpose Building &amp; Construction of Drainage Canal at Rodriguez &amp; Baras, Rizal</t>
  </si>
  <si>
    <t>Repair of Ynares Multi-Purpose Covered Court, Brgy. Looc, Cardona, Rizal</t>
  </si>
  <si>
    <t>Construction of Municipal Multi-Purpose Hall Phase 1 under the "Design and Build" scheme at Barangay Poblacion, Biri, Northern Samar</t>
  </si>
  <si>
    <t>Closing of Gaps along Malabon-Navotas River, Malabon City (Contract ID No. 20O00064)</t>
  </si>
  <si>
    <t>S3-PLM20-002 (PB2) - Supply and Delivery of Various Mechanical Spares for Perkins Genset for Palimbang Diesel Power Plant</t>
  </si>
  <si>
    <t>Contract ID No. 20GO00001: Procurement of Security Services Contract for DPWH-NCR.</t>
  </si>
  <si>
    <t>RFQ&gt;&gt;&gt; Reproduction of Self Learning Module for Kindergarten to Grade VI Learner|  Rizal Elementary School | ABC=P677,855.95</t>
  </si>
  <si>
    <t>MG-PLM20-102 - UNINTERRUPTIBLE POWER SUPPLY (UPS) AT WAREHOUSE SERVER</t>
  </si>
  <si>
    <t>MG-PLM20-121 - ANNUAL PMS OF THREE UNITS, SUPPLY AND DELIVERY OF GENERATOR CLEANER, FAST DRYING &amp; SLOW DRYING</t>
  </si>
  <si>
    <t>delivery &amp; installation of split type air-condition</t>
  </si>
  <si>
    <t>Improvement of Road</t>
  </si>
  <si>
    <t>Construction of Foot Bridge at Brgy. Angayen to Brgy. Mamaanun</t>
  </si>
  <si>
    <t>Construction of Additional Material Recovery Facility (MRF)</t>
  </si>
  <si>
    <t>20GFC0056: Purchase of Asphalt Aggregates for Asphalt Patching of Primary and Secondary National Road, Camarines Norte</t>
  </si>
  <si>
    <t>20GFC0055: Purchase of Hot Asphalt (60/70), Primary and Secondary National Roads</t>
  </si>
  <si>
    <t>Improvement of various school buildings at Tagumpay National High School, Brgy.  San Jose, Rodriguez, Rizal</t>
  </si>
  <si>
    <t>Subscription of an Off-The-Shelf Household-Level Data Management System (Developed for LGUs) and Formulation of Comprehensive Land Use Plan (CLUP)</t>
  </si>
  <si>
    <t>MA-A2H20-014 Submersible Pump, Domestic Water, 10HP, AG1</t>
  </si>
  <si>
    <t>MG-PLM20-086 - TO SUPPLY LABOR, TOOLS, EQUIPMENT AND MATERIALS FOR THE CUTTING OF TREES ALONG SLOPES OF POWER CHANNEL AND TREE PLANTING - PHASE 2 WITHIN THE PLANT.</t>
  </si>
  <si>
    <t>MA-A2M20-043 O/M of Garbage Cleaner &amp; Weeds Harvester, AG2</t>
  </si>
  <si>
    <t>RFQ&gt;&gt;&gt; Reproduction of Self Learning Module for Kindergarten to Grade VI Learner|  Rizal Elementary School | ABC=P110,999.25</t>
  </si>
  <si>
    <t>MA-A2M20-048 Repair/Upgrading Ventilation Blower Duct Unit, AG1</t>
  </si>
  <si>
    <t>Repair and Rehabilitation of 2 units Foot Bridge at Brgy. Angayen</t>
  </si>
  <si>
    <t>MA-A2M20-053 Rehab of Pipelines, AG2</t>
  </si>
  <si>
    <t>Purchase of Brgy. Patrol Car and Mini Dumptruck</t>
  </si>
  <si>
    <t>MA-A2M20-018 Enhancement of Internet Connection</t>
  </si>
  <si>
    <t>Demolition/Clearing of Existing Four (4) Structures affected by the Implementation of C-5 Northern Link Road Project, Segment 10, Exit Ramp from McArthur Highway, Valenzuela City to Malabon &amp; C-3 Road</t>
  </si>
  <si>
    <t>20KC0127: Installation of Road Safety Devices (Road Signs) Along Sayre Highway Alae-Kisolon Road, Manolo Fortich &amp; Sumilao, Bukidnon</t>
  </si>
  <si>
    <t>Supply and Delivery of Vehicles for the Integrated Natural Resources and Environmental Management Project – Livelihood Enhancement Support 2 (INREMP-LES 2)</t>
  </si>
  <si>
    <t>Supply &amp; Delivery for capital Outlay</t>
  </si>
  <si>
    <t>Supply &amp; Delivery of Agri Inputs to Tinagacan Agrarian Reform Beneficiaries Cooperative – Tinagacan General Santos City</t>
  </si>
  <si>
    <t>MA-A2H20-015 I/O Module, AG1</t>
  </si>
  <si>
    <t>20GFC0058: Equipment Rental along K0338+000 – K0340+000 Talobatib – Jose Panganiban Pob. – Port Road, K0338+000 – K0340+000, Jose Panganiban, Camarines Norte</t>
  </si>
  <si>
    <t>RFQ&gt;&gt;&gt; Reproduction of Learner's Modules (module 1) | Quezon Hill NHS | ABC=P103,200.00</t>
  </si>
  <si>
    <t>Various Drugs and Medicines 7,627,865.04</t>
  </si>
  <si>
    <t>MA-A2M20-004 Network Upgrading for IPMS</t>
  </si>
  <si>
    <t>One Lot Expansion of Evacuation Center, Phase V</t>
  </si>
  <si>
    <t>Rebid Rabies Vaccine</t>
  </si>
  <si>
    <t>MA-A2M20-045 O/M of Standby Generator Set, AG1</t>
  </si>
  <si>
    <t>Supply and Delivery of Exit Signage and Various LED Lamps (7-line items), as per BSP Technical Specifications and BSP Supplied Evaluation Matrix</t>
  </si>
  <si>
    <t>Various Laboratory Supplies 1,173,065.20</t>
  </si>
  <si>
    <t>Supply and Delivery of Learning Resource Materials for the Implementation of BE-LCP</t>
  </si>
  <si>
    <t>SUPPLY AND DELIVERY OF 20 UNITS GENERATOR SET FOR DISTRIBUTION TO FARMERS ASSOCIATION/GROUP RECIPIENTS IN REGION III WHO ARE RECIPIENTS OF RECIRCULATING AND MOBILE FLASH DRYER UNDER RICE PROGRAM FOR T</t>
  </si>
  <si>
    <t>Expenses for August 2020</t>
  </si>
  <si>
    <t>20GFC0059: Regravelling of Roadway along Sta. Elena – Capalonga – By Pass Coastal Road, Section 1: Brgy. Del Pilar, Capalonga, Camarines Norte; Section 3: Brgy. Itok, Capalonga, Camarines Norte</t>
  </si>
  <si>
    <t>Various Insecticides 9,536,175.00</t>
  </si>
  <si>
    <t>20GFC0057: Purchase of Materials for Road Reblocking along K0338+000 – K0340+000, Talobatib – Jose Panganiban Pob. – Port Road, K0338+000 – K0340+000, Jose Panganiban, Camarines Norte</t>
  </si>
  <si>
    <t>PROCUREMENT OF AUTOMOTIVE FUEL  FY 2020</t>
  </si>
  <si>
    <t>PROCUREMENT OF REPAIR AND MAINTENANCE OF RECORDS OFFICE OF BUILDING 9</t>
  </si>
  <si>
    <t>Re-Bid Various Drugs and Medicines</t>
  </si>
  <si>
    <t>PB INFRA 20-074_Concreting of Owas Road, Magpet, Cotabato</t>
  </si>
  <si>
    <t>REPAIR/IMPROVEMENT OF MULTI-PURPOSE HALL</t>
  </si>
  <si>
    <t>Various Testing Kits 7,107,340.00</t>
  </si>
  <si>
    <t>PB INFRA 20-073_Concreting of Palao - Kitubod Road, Libungan, Cotabato</t>
  </si>
  <si>
    <t>Supply and Delivery of Various Office Supplies and Materials, as per BSP Terms of Reference (36 Lots)</t>
  </si>
  <si>
    <t>PB INFRA 20-068_Concreting of Patindiguen Road, Patindiguen, Midsayap, Cotabato</t>
  </si>
  <si>
    <t>REPAIR OF DAYCARE CENTER</t>
  </si>
  <si>
    <t>Various IEC Materials nad Printing Forms 4,402,466.00</t>
  </si>
  <si>
    <t>Concreting of Perlita Road</t>
  </si>
  <si>
    <t>PB INFRA 20-066_Concreting of Paco - Inac Road, Kidapawan City</t>
  </si>
  <si>
    <t>SUPPLY AND DELIVERY OF 4 UNITS HAND TRACTOR WITH COMPLETE ACCESSORIES FOR DISTRIBUTION TO QUALIFIED FARMERS ASSOCIATION/GROUP RECIPIENTS IN CENTRAL LUZON UNDER RICE PROGRAM FOR THE YEAR 2020(REBID)</t>
  </si>
  <si>
    <t>PB INFRA 20-067_Concreting of Road, New Consolacion, Mlang, Cotabato</t>
  </si>
  <si>
    <t>Supply and Delivery of Various Office Supplies and Materials, as per BSP Terms of Reference (42 Lots)</t>
  </si>
  <si>
    <t>Construction of Bancagan Farmers Multi-Purpose Center, Naguilian</t>
  </si>
  <si>
    <t>Supply / Delivery of Agricultural Supplies</t>
  </si>
  <si>
    <t>Concreting of Esso Road</t>
  </si>
  <si>
    <t>Rental of Service Vehicle for Use in the Soil Survey &amp; Supervision of   Various Projects (December 1 - 15, 2020) (Equipment Rental Only)</t>
  </si>
  <si>
    <t>Supply/Delivery of Ink Black &amp; Master Roll</t>
  </si>
  <si>
    <t>Rental of Service Vehicle for use in the Supervision of Routine Maintenance  Activities along Davao-Cotabato Rd. (Bulatukan – East Patadon Section (December 1 - 15, 2020) (Equipment Rental Only).</t>
  </si>
  <si>
    <t>Rental of Service Vehicle for use in the Supervision of Maintenance Activities along Paco-Roxas-Arakan Valley Road and Matalam- Lampayan-Antipas Rd. (Paco-Antipas Section and Antipas Sect. (December 1</t>
  </si>
  <si>
    <t>Rental of Service Vehicle for use in the Supervision of Maintenance Activities along Pob.Magpet-Nowa-Basak-Greenfield Rd. (Pob.Magpet-Greenfield Sect.) (December 1 - 15, 2020) (Equipment Rental Only);</t>
  </si>
  <si>
    <t>Rental of Service Vehicle for use in the Supervision of Maintenance Activities along Paco-Roxas-Arakan Valley Rd. (Antipas-Katipunan Sect.)(December 1 - 15, 2020) (Equipment Rental Only);</t>
  </si>
  <si>
    <t>Rental of Service Vehicle for use in the Supervision of Maintenance Activities along Kidapawan-Ilomavis Tourist Rd and Kidapawan-Magpet-Pangao-an Rd.  (Kidapawan-Sayaban Sect.; Kidapawan-Magpet Sect.)</t>
  </si>
  <si>
    <t>Rental of Service Vehicle for use in the Supervision of Maintenance Activities along Makilala-Ala Valley Rd. and Kidapawan-Calunasan-Mlang Road (Makilala-Sinkatulan Sect.; Kidapawan-Calunasan Sect.) (</t>
  </si>
  <si>
    <t>Concreting of Barangay Road at Sitio 6 Panghayaan Taysan Batangas</t>
  </si>
  <si>
    <t>PROCUREMENT OF  SARI-SARI STORE LIVELIHOOD KITS FOR THE 190 MICRO ENTERPRISES IN THE EIGHT (8) MUNICIPALITIES OF THE SECOND (2ND) DISTRICT OF ILOCOS SUR</t>
  </si>
  <si>
    <t>Rental of Service Vehicle for Supervision/Implementation of Regular Infra Projects (December 1 - 15, 2020) (Equipment Rental Only),(4x4 Pick-Up type A/T);</t>
  </si>
  <si>
    <t>PROCUREMENT OF CONSTRUCTION SUPPLIES AND MATERIALS FOR THE EXTENSION OF LOCAL ROAD</t>
  </si>
  <si>
    <t>Concreting of Tutong Tawitawi Road</t>
  </si>
  <si>
    <t>Construction of Farmers Multi-Purpose Center, San Carlos, Caba</t>
  </si>
  <si>
    <t>Installation of Creek Guide at Panghayaan Taysan Batangas</t>
  </si>
  <si>
    <t>PB-20-446, Supply &amp; Delivery of Smart Android TV for DEPED Offline Video Lessons</t>
  </si>
  <si>
    <t>Invitation to Bid for PROCUREMENT OF MEDICAL SUPPLIES AND EQUIPMENT</t>
  </si>
  <si>
    <t>PB-20-414, Supply &amp; Delivery of Inorganic Fertilizer for production support to identified farmers provincewide</t>
  </si>
  <si>
    <t>MG-PAT20-040 - BUSHING, CURRENT TRANSFORMER, HIGH VOLTAGE SIDE, SUPPLY AND DELIVERY OF ONE HIGH VOLTAGE BUSHING OF PULANGI IV HEP 31.5MVA TAKE-OFF TRANSFORMER</t>
  </si>
  <si>
    <t>MG-PAT20-043 - BREAKER, CIRCUIT BREAKER, MOLDED CIRCUIT BREAKERS OF VARIOUS AMPERES</t>
  </si>
  <si>
    <t>Rehabilitation of Puspus-Calabugao Farm to Market Road, San Fernando City</t>
  </si>
  <si>
    <t>PB-20-415, Supply &amp; Delivery of Certified Palay Seeds for distribution to farmers affected by calamities provincewide</t>
  </si>
  <si>
    <t>CONSTRUCTION OF 2 STOREY MULTI-PURPOSE BUILDING (PHASE VI)</t>
  </si>
  <si>
    <t>AMP SVP-D NO: 20-08-0433 One (1) Lot Boxes for Mercury-containing Busted Flourescent Lamps</t>
  </si>
  <si>
    <t>CONCRETING OF 125LN.M ACCESS ROAD</t>
  </si>
  <si>
    <t>REPAIR/IMPROVEMENT OF MULTI PURPOSE BUILDING (BARANGAY HALL) P2</t>
  </si>
  <si>
    <t>SUPPLY AND DELIVERY OF BATTERIES</t>
  </si>
  <si>
    <t>INSTALLATION OF 12 UNITS STREET LIGHTS</t>
  </si>
  <si>
    <t>Rental of service Vehicle for RBIA Survey Activities charge to PDE fund 2020  (December 16 - 31, 2020)</t>
  </si>
  <si>
    <t>One (1) Job for Servicing and Rewinding of Two (2) Units 350 HP, 440 V Electric Motor at Solana Pumping Station, SPIS, Solana, Cagayan</t>
  </si>
  <si>
    <t>surplus truck double cab turbo diesel</t>
  </si>
  <si>
    <t>Rental of Service Vehicle for Use in the Soil Survey &amp; Supervision of Various Projects (December 16 - 31, 2020) (Equipment Rental Only)</t>
  </si>
  <si>
    <t>PROCUREMENT OF REPRODUCTION LEARNING MATERIALS, SUPPLIES AND EQUIPMENT'S FOR THE USE OF MODULAR DISTANCE LEARNING-DISTRICT OF CULABA, DEPED, CULABA, BILIRAN.</t>
  </si>
  <si>
    <t>Concreting of FMR,  Subec, Sta. Catalina, Ilocos Sur</t>
  </si>
  <si>
    <t>Computerization of Revenue Generating System of the Municipality of Mendez-Nuñez</t>
  </si>
  <si>
    <t>Rental of Service Vehicle for Supervision/Implementation of Regular Infra Projects (December 16 - 31, 2020) (Equipment Rental Only), (4x4 Pick-Up type A/T)</t>
  </si>
  <si>
    <t>FABRICATION AND INSTALLATION OF PUMPBOATS</t>
  </si>
  <si>
    <t>Procurement of Laptops and Printers to be used at Guagua East District and Guagua West District</t>
  </si>
  <si>
    <t>20CSF003 - Consulting Services for the Conduct of Geotechnical and Geological Survey/Investigation of Proposed Six Evacuation Centers in Region V</t>
  </si>
  <si>
    <t>Delivery of Casket Lowering Device for Cemetery use.</t>
  </si>
  <si>
    <t>Rental of Service Vehicle for use in the Supervision of Routine Maintenance  Activities along Davao-Cotabato Rd. (Bulatukan – East Patadon Section) (December 18 - 31, 2020) (Equipment Rental Only)</t>
  </si>
  <si>
    <t>Delivery of digital duplicator for DepEd use.</t>
  </si>
  <si>
    <t>Construction of Two Storey Commercial Building (Dasol Public Market).</t>
  </si>
  <si>
    <t>PURCHASE OF FOOD PACKS FOR MODERATELY ACUTE MALNOURISHED CHILDREN</t>
  </si>
  <si>
    <t>INVITATION TO BID FOR PROCUREMENT OF OFFICE SUPPLIES FOR UTILIZATION PLAN FOR THE IMPLEMENTATION OF THE BASIC EDUCATION LEARNING CONTINUITY PLAN (LCP)</t>
  </si>
  <si>
    <t>PURCHASE OF PORTABLE FOGGING MACHINE</t>
  </si>
  <si>
    <t>PROCUREMENT OF COMPUTER LAPTOPS AND OFFICE PRINTERS, LGU-CULABA, BILIRAN</t>
  </si>
  <si>
    <t>Construction of FMR Slope Protection, Subec, Sta. Catalina, Ilocos Sur</t>
  </si>
  <si>
    <t>PURCHASE OF PORTABLE TENT</t>
  </si>
  <si>
    <t>PROCUREMENT OF MEDICINES, LGU-CULABA, BILIRAN</t>
  </si>
  <si>
    <t>PROCUREMENT OF 1 UNIT BACKHOE, LGU-CULABA, BILIRAN</t>
  </si>
  <si>
    <t>Rental of Service Vehicle for use in the Supervision of Maintenance Activities along Pob.Magpet-Nowa-Basak-Greenfield Rd. (Pob.Magpet-Greenfield Sect.) (December 18 - 31, 2020) (Equipment Rental Only)</t>
  </si>
  <si>
    <t>Procurement of Medicines to be used at RHU-I, II, III, and III-Extension for 3rd and 4th Quarter for the Year 2020, Guagua, Pampanga</t>
  </si>
  <si>
    <t>Rental of Service Vehicle for use in the Supervision of Maintenance Activities along Paco-Roxas-Arakan Valley Rd. (Antipas-Katipunan Sect.) (December 18 - 31, 2020) (Equipment Rental Only)</t>
  </si>
  <si>
    <t>PURCHASE OF MONOBLOCK CHAIR</t>
  </si>
  <si>
    <t>ROOFING OF COVERED COURT (BAY 1)</t>
  </si>
  <si>
    <t>Rental of service Vehicle for RBIA Survey Activities charge to PDE fund 2020 (December 1 - 15, 2020)</t>
  </si>
  <si>
    <t>INVITATION TO APPLY TO BID-CONSTRUCTION OF MATERIALS RECOVERY FACILITIES</t>
  </si>
  <si>
    <t>MG-PAT20-045 - FUSE LINK, SUPPLY AND DELIVERY OF TYPE H FUSE 221 &amp; 1 OTHER ITEM</t>
  </si>
  <si>
    <t>MG-PAT20-048 - DIGITAL METER, VOLTMETER</t>
  </si>
  <si>
    <t>PROCUREMENT OF 1 UNIT RESCUE BOAT MDRRM OFFICE-CULABA, BILIRAN</t>
  </si>
  <si>
    <t>Construction of San Isidro  Municipal Police Station Building,  Davao del Norte</t>
  </si>
  <si>
    <t>REPAIR/EXPANSION OF POTABLE WATER SYSTEM</t>
  </si>
  <si>
    <t>Purchase of Emergency Vehicles, Heavy Equipment, Rescue Equipment- (Procurement/Acquisition of life-saving rescue equipment, tools and firefighting PPG/PPE)</t>
  </si>
  <si>
    <t>ROAD REHABILITATION (SITIO YABUNAN, BATO MABINAY, NEGROS ORIENTAL)</t>
  </si>
  <si>
    <t>CONSTRUCTION OF 40 UNITS STREET LIGHTS FROM CENTRO 2 GOING TO PIGALO BRIDGE AND FROM CENTRO 2 GOING TO CUMU BRIDGE</t>
  </si>
  <si>
    <t>Purchase of Outdoor LED Display Wall at the Capitol ground</t>
  </si>
  <si>
    <t>ITB No. 2020-03(01) Cluster 1:  Completion of Various BHS in Albuera, Kananga &amp; Ormoc</t>
  </si>
  <si>
    <t>CATERING SERVICES FOR VARIOUS PROGRAMS AND ACTIVITIES OF THE CITY</t>
  </si>
  <si>
    <t>CONSTRUCTION OF TOILETS WITH SEPTIC TANK</t>
  </si>
  <si>
    <t>CONST. OF LEVEL II WATER SYSTEM @ BRGY. BONGA</t>
  </si>
  <si>
    <t>SUPPLY AND DELIVERY OF ONE (1) UNIT HEAVY DUTY PHOTOCOPIER MACHINE FOR CITY PEACE &amp; ORDER SECRETARIAT</t>
  </si>
  <si>
    <t>CATERING SERVICES FOR HANDOG PASASALAMAT AND LOYALTY AWARD PROGRAM</t>
  </si>
  <si>
    <t>PURCHASE OF ONE (1) UNIT SERVICE VEHICLE (MTO)</t>
  </si>
  <si>
    <t>EXPANSION OF LEVEL II WATER SYSTEM @ BRGY. CUMADCAD, SOGOY, LORETO, MAYON, BURABOD</t>
  </si>
  <si>
    <t>CONSTRUCTION OF ANGADANAN INTEGRATED HOSPITAL (PHASE 2)</t>
  </si>
  <si>
    <t>PURCHASE OF MDRRMO OFFICE EQUIPMENT</t>
  </si>
  <si>
    <t>ITB No. 2020-03(04) Cluster 4: Completion of BHS Aurora, BHS Tomogbong in San Jorge, Samar; BHS Sundara, Sta. Margarita, Samar;  BHS Cagtutulo &amp; BHS Tizon, Tarangnan, Samar</t>
  </si>
  <si>
    <t>ITB No. (INF) 2020-08-118 FISH AND MARINE SANCTUARY REHABILITATION, Mercedes, Salcedo, Guiuan, Lawaan, Quinapondan, Eastern Samar</t>
  </si>
  <si>
    <t>ITB No. 2020-03(07) Cluster 7: Completion of BHS Cagdine &amp; BHS Dao, Oras, E. Samar and Completion of BHS Batiawan &amp; BHS Danao, Taft, E. Samar</t>
  </si>
  <si>
    <t>ITB No. 2020-03(08) Cluster 8: Completion of BHS Maragat &amp; BHS Tarnate, San Vicente, Northern Samar</t>
  </si>
  <si>
    <t>Land Development of Proposed Feedmill Building and Training Center at Barangay Tamontaka Mother, Cotabato City</t>
  </si>
  <si>
    <t>ITB No. 2020-03(05) Cluster 5: Completion of BHS Tugas, Daram; BHS Malaguining Phase I, BHS Navatas Guti, BHS Placer &amp; BHS Victory, Talalora, Samar</t>
  </si>
  <si>
    <t>ITB No. 2020-03(02) Cluster 2: Const/Completion/Relocation of various BHS in Baybay &amp; Hilongos, Leyte</t>
  </si>
  <si>
    <t>Construction of Multi-purpose Building at Brgy. Tala, San Andres, Quezon</t>
  </si>
  <si>
    <t>CONST. OF SEA WALL @ BRGY. BUENAVISTA</t>
  </si>
  <si>
    <t>INVITATION TO BID FOR Supply and Delivery of Construction Materials for the Improvement of Water System at Brgy Cogon, Talicud Island, Kaputian Dist., IGaCoS under PR No. 003 (Re-bidding)</t>
  </si>
  <si>
    <t>RJO-UPDATING OF SPARES &amp; MATERIALS REQUIREMENTS OF ALL PLANT 			 GENERATING SYSTEMS/STANDARD PLANT IDENTIFICATION NUMBERS(SPIN)</t>
  </si>
  <si>
    <t>ITB No. 2020-03(03) Cluster 3: Completion of BHS Malobago and BHS San Isidro, Almagro, Samar</t>
  </si>
  <si>
    <t>PURCHASE OF DROPSIDE TRUCK (ELF TYPE) FOR CARGO TRANSPORT AND DELIVERY EQUIPMENT</t>
  </si>
  <si>
    <t>Construction of Evacuation Center Phase II (Project ID Nr: 2020-8751-01014)</t>
  </si>
  <si>
    <t>Supply and Delivery of Plastic Melter Densifier</t>
  </si>
  <si>
    <t>RFQ - Printing of 2,500 copies of the “Tariff Administration and Policy including the ASEAN Harmonised Tariff Nomenclature 2017 (AHTN 2017)</t>
  </si>
  <si>
    <t>Construction of Sanitary Toilets with Hygiene Facilities for Public Place (Barangay Lolomboy and Igulot)</t>
  </si>
  <si>
    <t>RJO-FURNISHING OF MATERIALS AND LABOR FOR THE OPERATION/		 MAINTENANCE/UPKEEP OF FACILITIES AT DAM AREA OF AGUS 6 HEP</t>
  </si>
  <si>
    <t>PGBH-C-2020-023 PR2020-154 INVITATION TO BID FOR THE BULK PROCUREMENT OF CATERING SERVICES AND ACCOMMODATION SERVICES FOR THE 3RD QUARTER OF CY 2020</t>
  </si>
  <si>
    <t>ITB No. 2020-G-07-01: Purchase of Steel-Wheeled Backhoe,Wheeled Backhoe,Pay Loader, Garbage Compactor Truck &amp; Breaker</t>
  </si>
  <si>
    <t>Procurement of Various Laboratory Supplies</t>
  </si>
  <si>
    <t>Concreting/Cementing Along Inilian-Galutan-Burac-Coroconog-Himabug-at FMR (STA 1+826-STA 2+707) Extra work.</t>
  </si>
  <si>
    <t>nyg2020-05</t>
  </si>
  <si>
    <t>Supply and delivery of 2 units brand new duplicator machine with 3n1 photocopier develop including installation and training</t>
  </si>
  <si>
    <t>PROPOSED LEVEL II WATER SYSTEM (Submersible Pump) Erenas</t>
  </si>
  <si>
    <t>ITB No. 2020-03(06) Cluster 6: Completion of BHS Carolina Can-avid, E. Samar; &amp; Improvement of RHU Maslog, Eastern Samar</t>
  </si>
  <si>
    <t>PROPOSED LEVEL II WATER SYSTEM (Submersible Pump) Libertad</t>
  </si>
  <si>
    <t>MG-PAT20-041 - BUSHING, CURRENT TRANSFORMER, SUPPLY AND DELIVERY OF ONE LOW VOLTAGE BUSHING OF PULANGI IV HEP 31.5MVA TAKE-OFF TRANSFORMER</t>
  </si>
  <si>
    <t>PROPOSED LEVEL II WATER SYSTEM (Submersible Pump) Guadalupe</t>
  </si>
  <si>
    <t>PGBH-C-2020-024 PR2020-155 INVITATION TO BID FOR THE BULK PROCUREMENT OF CATERING SERVICES AND ACCOMMODATION SERVICES FOR THE 3RD QUARTER OF CY 2020</t>
  </si>
  <si>
    <t>PGBH-C-2020-021 PR2020-152 INVITATION TO BID FOR THE BULK PROCUREMENT OF CATERING SERVICES AND ACCOMMODATION SERVICES FOR THE 3RD QUARTER OF CY 2020</t>
  </si>
  <si>
    <t>Purchase of Information and Communication Technology Equipment for Official use of LGU-San Andres, Quezon (2nd Posting)</t>
  </si>
  <si>
    <t>ITB No. 2020-03(09) Cluster 9: Completion of BHS Magtaon, Mapanas; BHS Cabatuan, BHS Capacujan, BHS Jangtud, Palapag, Northern Samar</t>
  </si>
  <si>
    <t>CONCRETING OF LOCAL ACCESS ROAD - LOURDES, ANGADANAN, ISABELA</t>
  </si>
  <si>
    <t>PROPOSED LEVEL II WATER SYSTEM (Submersible Pump) Canyaki</t>
  </si>
  <si>
    <t>Procurement of Materials for the Expansion of Water System (Distribution of Pipes)</t>
  </si>
  <si>
    <t>Improvement/Concreting of Barangay Kitaan-Dagat Local Access Road</t>
  </si>
  <si>
    <t>PROPOSED LEVEL II WATER SYSTEM (Submersible Pump) Mobo-ob</t>
  </si>
  <si>
    <t>INVITATION TO BID FOR THE PROCUREMENT OF FUEL FOR MAYOR’S OFFICE USE</t>
  </si>
  <si>
    <t>Design and Build of Consolidated Program of Works (POWs) for Water Supply to NHA Resettlement Sites of LGUs with No LWD in Samar and Eastern Samar Provinces</t>
  </si>
  <si>
    <t>Purchased of Tent (2 UNITS)</t>
  </si>
  <si>
    <t>Procurement of Printing and Binding of Self Learning Modules from Grade 3 to Grade 12  for Second Quarter SY 2020-2021 (LOT 2)</t>
  </si>
  <si>
    <t>PURCHASE OF MATERIALS – CONSTRUCTION OF SEA WALL IN BRGY. POBLACION (LDRRMF-2017)</t>
  </si>
  <si>
    <t>IB-2020-IX-07-01-BOOKPAPER, A4 (SEF) - Php 747,840.00</t>
  </si>
  <si>
    <t>PROPOSED LEVEL II WATER SYSTEM (Submersible Pump) Mancol</t>
  </si>
  <si>
    <t>Procurement of Printing and Binding of Self-Learning Modules from Kindergarten to Grade 2 for Second Quarter SY 2020-2021 (LOT 1)</t>
  </si>
  <si>
    <t>PROPOSED REPAIR AND REHABILITATION OF CANTEEN, H.E. FEEDING ROOM AND GUIDANCE ROOM</t>
  </si>
  <si>
    <t>Construction of Soil Exploration for FY 2021 Regular Infra</t>
  </si>
  <si>
    <t>Invitation to Bid for the Construction of Livelihood Building</t>
  </si>
  <si>
    <t>20GKF0052-Purchase of Fuel for Service Vehicles at DPWHLanao del Norte 2nd DEO</t>
  </si>
  <si>
    <t>Supply and Delivery of 2 units 6-Wheeler Dumptruck</t>
  </si>
  <si>
    <t>RENOVATION AND EXPANSION OF SILAGO PUBLIC MARKET</t>
  </si>
  <si>
    <t>PURCHASE OF MULTI FUNCTION COPIER</t>
  </si>
  <si>
    <t>PROPOSED LEVEL II WATER SYSTEM (Submersible Pump) Poblacion I</t>
  </si>
  <si>
    <t>Supply, Delivery and Installation of LED Wall and Procurement of Broadcasting System and Smart TV for the Disaster Risk Reduction and Management Office</t>
  </si>
  <si>
    <t>SUPPLY AND DELIVERY-COMMON USED OFFICE SUPPLIES NOT AVAILABLE AT PS</t>
  </si>
  <si>
    <t>SUPPLY, TRANSPORT, DELIVERY &amp; HANDLING OF INORGANIC FERTILIZERS FOR SOPDP CY 2020 - REHABILITATION COVID-19 RESPONSE PROGRAM OF PCA REGION XI</t>
  </si>
  <si>
    <t>20GKF0053- Purchase of Fuel for Service Vehicles at DPWH-Lanao del Norte 2nd DEO Contract Location: Iligan City</t>
  </si>
  <si>
    <t>PROPOSED LEVEL II WATER SYSTEM (Submersible Pump) Puhagan</t>
  </si>
  <si>
    <t>20JB0088 - Construction of Two (2) Storey Four (4) Classroom School Building, Galas NHS, Dipolog City, Zamboanga Del Norte.</t>
  </si>
  <si>
    <t>PGBH-C-2020-022 PR2020-153 INVITATION TO BID FOR THE BULK PROCUREMENT OF CATERING SERVICES AND ACCOMMODATION SERVICES FOR THE 3RD QUARTER OF CY 2020</t>
  </si>
  <si>
    <t>Procurement of Equipment for Center for Flexible Learning</t>
  </si>
  <si>
    <t>Supply and Delivery of Computer Laptops for Use of Balanga City National Science High School in the City Government of Balanga, Bataan</t>
  </si>
  <si>
    <t>Procurement of Laptop, Desktop Computers &amp; Printers</t>
  </si>
  <si>
    <t>Supply and Delivery of Computer Laptops for Use of Balanga City National High School in the City Government of Balanga, Bataan</t>
  </si>
  <si>
    <t>Procurement of Reproduction and Printing Services</t>
  </si>
  <si>
    <t>Construction of Record Center</t>
  </si>
  <si>
    <t>PROPOSED LEVEL II WATER SYSTEM (Submersible Pump) Poblacion II</t>
  </si>
  <si>
    <t>Renovation/Construction of National Disaster Risk Reduction and Management Office</t>
  </si>
  <si>
    <t>SUPPLY AND DELIVERY-COMMON USED IT SUPPLIES NOT AVAILABLE AT PS</t>
  </si>
  <si>
    <t>Supply and Delivery of Computer laptops for Use of DEPED in the City of Government of Balanga, Bataan</t>
  </si>
  <si>
    <t>Procurement-Supply &amp; Delivery of Traffic Enforcers Uniform</t>
  </si>
  <si>
    <t>Delivery of Office &amp; School Equipments</t>
  </si>
  <si>
    <t>Purchase of Distilled Water and Disinfectant Concentrate (Benzalkonium chloride)</t>
  </si>
  <si>
    <t>PURCHASE OF CONSTRUCTION MATERIALS</t>
  </si>
  <si>
    <t>Purchase of Materials for the Rehabilitation/Improvement of Perimeter Fence of Municipal Sanitary Landfill in Sitio Sampaloc, Brgy. Camflora, San Andres, Quezon (2nd Posting)</t>
  </si>
  <si>
    <t>20FK0064-Modified Standard DPWH-DepED Two (2) storey Four Classroom School Building (Regular Classroom Layout) (9.5m x 23.0m) Pili National High School, Magallanes, Sorsogon</t>
  </si>
  <si>
    <t>Procurement-Supply &amp; Delivery of Office &amp; Medical Supplies</t>
  </si>
  <si>
    <t>SITE DEVELOPMENT</t>
  </si>
  <si>
    <t>20FK0063-Modified Standard DPWH-DepED One Storey Unique Workshop School Building (7.0m  x 22.50m plus 2.0m Corridor) with common toilet at one side Mayon National High School, Castilla, Sorsogon</t>
  </si>
  <si>
    <t>For use of DepEd Division, Cotabato City (lot-3)</t>
  </si>
  <si>
    <t>Delivery of Construction Supplies &amp; Materials for the Annex Room for Processing Working Area</t>
  </si>
  <si>
    <t>Construction of Sanggunian Bayan, ABC/SK and DILG Building ( Phase II)</t>
  </si>
  <si>
    <t>Purchase of Prepaid Cards for Communication Services</t>
  </si>
  <si>
    <t>UPGRADING OF LOCAL ACCESS ROAD</t>
  </si>
  <si>
    <t>Supply, Delivery and Installation of Sound System for Computer Rooms and Conference Room of Center for Flexible Learning of the University</t>
  </si>
  <si>
    <t>REPOSTING FOR THE COMPLETION OF GYMNASIUM AT SKSU-ACCESS CAMPUS</t>
  </si>
  <si>
    <t>PROPOSED LEVEL II WATER SYSTEM (Submersible Pump) San Juan, Leyte-Leyte</t>
  </si>
  <si>
    <t>SB-2020-01</t>
  </si>
  <si>
    <t>Supply And Delivery of 1 unit 6-Wheeler Dumptruck</t>
  </si>
  <si>
    <t>Materials for the Construction of Slope Protection of this Municipality</t>
  </si>
  <si>
    <t>Supply and Delivery of Regulated Drugs and Medicines and Medical Supplies for use of Occidental Mindoro Provincial Hospital</t>
  </si>
  <si>
    <t>Purchase of Laptop for various Public schools in Calumpit, Bulacan</t>
  </si>
  <si>
    <t>Furnishing of materials for the construction of drainage canal</t>
  </si>
  <si>
    <t>SUPPLY, TRANSPORT, DELIVERY &amp; HANDLING OF GOOD QUALITY OIL PALM F1 SEEDLINGS FOR SOPDP CY 2020 COVID-19 RESPONSE PROGRAM OF PCA REGION XII</t>
  </si>
  <si>
    <t>CONSTRUCTION OF 3-STOREY, 8-UNITS CLASSROOM BUILDING AT LADISLAO DIWA ELEMENTARY SCHOOL, CARIDAD, CAVITE CITY</t>
  </si>
  <si>
    <t>One (1) Job Order for the Supply of Labor, Materials and Equipment for Improvement of Burias Public Plaza at Brgy. Burias Mambusao, Capiz</t>
  </si>
  <si>
    <t>Re-Invitation To Bid for the Construction of Aglobong Irrigation Pipeline System of PENRO, Iloilo FMP</t>
  </si>
  <si>
    <t>INVITATION TO BID FOR THE UPGRADING OF ROAD (FILLING OF ROAD)</t>
  </si>
  <si>
    <t>Construction/Concreting/Rehabilitation/Improvement of Roads, South Pob., Medina, Mis. Or.</t>
  </si>
  <si>
    <t>PR# 20-1551- To supply labor, materials and necessary equipment for the Construction/Installation of Elevator at the Municipal Building of Lubao, Sta. Catalina, Lubao, Pampanga. (Re-bidding)</t>
  </si>
  <si>
    <t>PROCUREMENT OF MATERIALS FOR THE CONTINUING IMPROVEMENT OF MULTIPURPOSE COVERED GYM OF BRGY. NAPNAPAN NORTE, TIGBAUAN, ILOILO</t>
  </si>
  <si>
    <t>Procurement of Oral Contraceptives</t>
  </si>
  <si>
    <t>One (1) Job Order for the Supply of Labor, Materials and Equipment for Concreting of Road at Brgy. Balat-an, Mambusao, Capiz</t>
  </si>
  <si>
    <t>Procurement of Contraceptives (Injectable and Implant)</t>
  </si>
  <si>
    <t>MG-STS20-021</t>
  </si>
  <si>
    <t>SUPPLY, TRANSPORT, DELIVERY &amp; HANDLING OF INORGANIC FERTILIZER (AS+KCL) FOR COCONUT REJUVENATION THRU FERTILIZATION CY 2020 COVID-19 RESPONSE PROGRAM OF PCA REGION XII</t>
  </si>
  <si>
    <t>PR# 20-1542- To supply labor, materials and necessary equipment for the Construction of Line Canal at San Agustin, Sta. Rita, Pampanga</t>
  </si>
  <si>
    <t>Purchase of Brand New vehicle and Accessories(Pick-up truck)</t>
  </si>
  <si>
    <t>CONSTRUCTION OF DRAINAAGE SYSTEM ALONG LOPEN JAENA STREET, JCT. DRA.SALAMANCA-CAJIGAS ST., SAN ROQUE, CAVITE CITY</t>
  </si>
  <si>
    <t>Improvement of Road along Julita-Hindang-Anibong Road Section (Phase 2) in Julita, Leyte, ABC PHP14,226,948.00</t>
  </si>
  <si>
    <t>Procurement of Linens Requirement of VLMC, AFPHSC (Lot 1) (Re-Bidding)</t>
  </si>
  <si>
    <t>Request for Quotations - Sound System / Paging w/ 5 Microphones</t>
  </si>
  <si>
    <t>procurement of supplies and materials for the installation of cctv equipments</t>
  </si>
  <si>
    <t>Procurement-Supply &amp; Delivery of Info. &amp; Comm. Tech Equipt. &amp; Technical &amp; Scientific Equipment</t>
  </si>
  <si>
    <t>Improvement of Road along JNR-Caridad-Esperanza Road Section in Matalom, Leyte, ABC PHP14,856,470.00</t>
  </si>
  <si>
    <t>Invitation to Bid for Negotiated Procurement on Lease of Open Lot to serve as the City Grand Terminal.</t>
  </si>
  <si>
    <t>Improvement of ROad along Marao-Hinabay Provincial Road Section in Inopacan,Leyte, ABC PHP15,558,119.00</t>
  </si>
  <si>
    <t>CONSTRUCTION OFDRAINAGE SYSTEM ALONG H. DEL TRABAJO STREET, JCT. P. BURGOS-A DEL ROSARIO, SAN ROQUE, CAVITE CITY</t>
  </si>
  <si>
    <t>Improvement of Road along Calubian-Camote-Hindang Road Section in Dulag, Leyte, ABC PHP18,016,110.00</t>
  </si>
  <si>
    <t>Agricultural Equipment</t>
  </si>
  <si>
    <t>ITB No. 2020-G-08-01: Purchase of Wheeled Backhoe and Mini Dumptruck</t>
  </si>
  <si>
    <t>ROAD CONCRETING OF CTU-CAGAY PROPER ROAD</t>
  </si>
  <si>
    <t>CONSTRUCTION OF DRAINAGE SYSTEM ALONG A. SORIANO STREET, JCT. F. REYES ST. - DEAD END, CARIDAD, CAVITE CITGY</t>
  </si>
  <si>
    <t>Supply and Delivery of Medical Oxygen Refill - Different Hospital</t>
  </si>
  <si>
    <t>ITB No. 2020-G-09-01: Purchase of Brand New Small Bulldozer</t>
  </si>
  <si>
    <t>Subscription of internet service and installation of Network Infrastructure for Lamut &amp; Lagawe Campus</t>
  </si>
  <si>
    <t>Provison of Potable Water Supply in-Expansion of Waterworks in Combado,Bacong Negros Oriental  BacongRFQ 2020-14</t>
  </si>
  <si>
    <t>Purchased of Multi-purpose Vehicle</t>
  </si>
  <si>
    <t>SUPPLY AND DELIVERY OF PLANTS FOR CITYWIDE BEAUTIFICATION AND LANDSCAPING PROJECTS OF PARKS AND GREEN DIVISION</t>
  </si>
  <si>
    <t>SUPPLY AND DELIVERY OF VARIOUS OFFICE EQUIPMENT (LCD PROJECTOR – PORTABLE FOLDING TABLE)</t>
  </si>
  <si>
    <t>Provison of Potable Water Supply,Bacong Negros Oriental  BacongRFQ 2020-15</t>
  </si>
  <si>
    <t>Reblocking of Road along MacrArthur-Palale-San Antonio Provincial Road Section in MacArthur, Leyte, ABC PHP9,969,583.12</t>
  </si>
  <si>
    <t>Improvement of Road in Brgy. Uguisan, MacArthur, Leyte, ABC PHP9,999,195.07</t>
  </si>
  <si>
    <t>SUPPLY, TRANSPORT, DELIVERY &amp; HANDLING OF INORGANIC FERTILIZERS FOR SOPDP CY 2020 PLANTING- BASAL COVID-19 RESPONSE PROGRAM OF PCA REGION XII</t>
  </si>
  <si>
    <t>Construction of 10-Barrel Box Culvert in Brgy. Astorga, Tunga, Leyte, ABC PHP5,999,998.44</t>
  </si>
  <si>
    <t>Site Development/improvement of Breakwater in Brgy. Poblacion Dist. 1, Capoocan, Leyte, ABC PHP9,999,401.02</t>
  </si>
  <si>
    <t>Construction of Legistative Building in Javaier, Leyte, ABC PHP8,593,283.28</t>
  </si>
  <si>
    <t>Expansion of waterworks system, Bacong Negros Oriental  BacongRFQ 2020-12</t>
  </si>
  <si>
    <t>BACK TO SCHOOL PROTOCOL (COVID-19 MITIGATION): SUPPLY AND DELIVERY OF TEMPERATURE MONITORING AND ACCESS CONTROL SYSTEM AND OTHER RELATED MATERIALS</t>
  </si>
  <si>
    <t>CONSTRUCTION OF DRAINAGE SYSTEM ALONG VELENTIN ST.-SOLEDAD ST., PARKWAY I JCT. VALENTIN ST, SAN ROQUE, CAVITE CITY</t>
  </si>
  <si>
    <t>Improvement of Road along JNR-Taguite Road Section in Babatngon, Leyte, ABC PHP13,489,034.00</t>
  </si>
  <si>
    <t>CONCRETE UPGRADING WITH DRAINAGE SYSTEM ALONG G. BASA STREET UCT. H. DEL TRABAJO ST.-R.PALMA ST., SAN ANTONIO, CAVITE CITY</t>
  </si>
  <si>
    <t>CONSTRUCTION OF 3-BARANGAY DAY CARE CENTER AT JULIAN FELIPE ELEMENTARY SCHOOL, SAN ANTONIO, CAVITE CITY</t>
  </si>
  <si>
    <t>SUPPLY AND DELIVERY OF DESKTOP COMPUTERS</t>
  </si>
  <si>
    <t>CONSTRUCTION OF 4-DAY CARE CENTER AT LADISLAO DIWA ELEMENTARY SCHOOL, CARIDAD, CAVITE CITY</t>
  </si>
  <si>
    <t>Reblocking of Provincial Road along Brgy. Maghubas-Libas (Burauen, Leyte) - Cambucao (Tabontabon, Leyte) Road Section, ABC PHP19,200,292.68</t>
  </si>
  <si>
    <t>SUPPLY, TRANSPORT, DELIVERY &amp; HANDLING OF COCONUT COIR-BASED ORGANIC FERTILIZER (CCBOF)  FOR COCONUT REJUVENATION THRU FERTILIZATION CY 2020 COVID-19 RESPONSE PROGRAM OF PCA REGION XII</t>
  </si>
  <si>
    <t>CONSTRUCTION OF DRAINAGE SYSTEM AND PATHWAYS AT CAVITE NATIONAL HIGH SCHOOL, CARIDAD, CAVITE CITY</t>
  </si>
  <si>
    <t>Supply, Delivery and Installation of Blinds for Center for Flexible Learning of the University</t>
  </si>
  <si>
    <t>SUPPLY AND DELIVERY OF A4 BOND PAPER OF LGU-ALANGALANG, LEYTE</t>
  </si>
  <si>
    <t>Supply and Delivery of LED Road Lighting Luminaire</t>
  </si>
  <si>
    <t>Supply and Delivery of Sixteen (16) Units of Brgy. Rescue Ambulance at different barangay's, this city</t>
  </si>
  <si>
    <t>Improvement of Road along JNR-Talisay-Tabunok-Tuguipa Road Section in Hilongos, Leyte, ABC PHP13,600,482.00</t>
  </si>
  <si>
    <t>Improvement of Road along Poblacion-Mabagon Provincial Road Section in Hindang, Leyte, ABC PHP18,155,489.00</t>
  </si>
  <si>
    <t>Concreting of Road along Sitio Abucayan-Sitio Kawarayan Road Section in Brgy. Rizal, Kananga, Leyte, ABC PHP5,023,746.01</t>
  </si>
  <si>
    <t>CONCRETING OF ROAD POBLACION-MAIGANG</t>
  </si>
  <si>
    <t>20LC0043 - Tanglaw Bridge 2 (B00187MN) along Tagum – Panabo Circumferential Rd.</t>
  </si>
  <si>
    <t>Concreting of Road in Brgy. Capangihan, Sitio Baquilid, Tolosa, Leyte, ABC PHP5,000,787.37</t>
  </si>
  <si>
    <t>Proposed Construction of Spillway with Side Protection @ Subayon, Toledo City</t>
  </si>
  <si>
    <t>INVITATION TO BID FOR CONSTRUCTION OF MULTI-PURPOSE DRY PAVEMENT - SECOND BIDDING</t>
  </si>
  <si>
    <t>20LC0111 - Jct. Tagum City Bypass Road – San Agustin – New Bohol, New Corella, leading to Matin-ao Inland Resort, New Corella, Davao del Norte</t>
  </si>
  <si>
    <t>Supply and Delivery of Fertilizers</t>
  </si>
  <si>
    <t>SUPPLY AND DELIVERY OF FETAL MONITOR</t>
  </si>
  <si>
    <t>Supply and Delivery of Information Technology Equipment-REBID</t>
  </si>
  <si>
    <t>Concreting of Road along Brgy. Visares-Brgy. Balugo Road Section in Capoocan, Leyte, ABC PHP4,999,986.85</t>
  </si>
  <si>
    <t>PROCUREMENT OF TONER WITH FREE USE OF PRINTER</t>
  </si>
  <si>
    <t>PRINTING OF TICKETS FOR PASKUHAN GIVEAWAYS 2020</t>
  </si>
  <si>
    <t>20JB0089 - Concreting of Road at Galokso, Pres. Manuel A. Roxas, Zamboanga Del Norte.</t>
  </si>
  <si>
    <t>20LC0044 - Tanglaw Bridge 3 (B00186MN) along Tagum – Panabo Circumferential Rd.</t>
  </si>
  <si>
    <t>Procurement for the Supply, Delivery &amp; Installation of Various IT Equipments for the Recording &amp; Media Production Facility of the City Information Office, City of Koronadal.</t>
  </si>
  <si>
    <t>ROAD CONCRETING OF BALAO-KANGDAMPAS ROAD</t>
  </si>
  <si>
    <t>Provison of Potable Water Supply in-Expansion of Waterworks in San Miguel,Bacong Negros Oriental  BacongRFQ 2020-13</t>
  </si>
  <si>
    <t>Concreting of Road along Brgy. Hilabago-Brgy. Camonoan Road Section in Dagami, Leyte, ABC PHP4,997,817.18</t>
  </si>
  <si>
    <t>Construction of Multi-Purpose Bldg. in Brgy. Libertad, Capoocan, Leyte, ABC PHP4,908,541.77</t>
  </si>
  <si>
    <t xml:space="preserve">20LC0171 - Repair and Maintenance of Road Safety Facilities – Installation of Road Safety Signages along Agusan – Davao Road (Daang Maharlika Road), Surigao – Davao Coastal Road, Tagum City Diversion </t>
  </si>
  <si>
    <t>20LC0042 - Locutan Bridge 1 (B00190MN) along Tagum – Panabo Circumferential Rd.</t>
  </si>
  <si>
    <t>PURCHASE OF CONSTRUCTION  MATERIALS TO BE USE FOR THE CONSTRUCTION OF SCHOOL BUILDING AT SIOTES ELEMENTARY SCHOOL AT CAURASAN, CARMEN, CEBU</t>
  </si>
  <si>
    <t>RIPRAPPING</t>
  </si>
  <si>
    <t>Construction of Multi-Purpose Bldg. (Phase 2) in Brgy. Potot, Capoocan, Leyte, ABC PHP3,899,090.61</t>
  </si>
  <si>
    <t>PURCHASE OF ONE (1) UNIT PICK UP VEHICLE (BRANDNEW) WITH ACCESSORIES (WANG-WANG/WHELEN LED LIGHT BAR, WINCH IN FRONT, REAR TOW HOOK) TO BE USE FOR CARMEN PNP STATION</t>
  </si>
  <si>
    <t>nyg2020-07</t>
  </si>
  <si>
    <t>20IJ-0092 REPAIR/MAINTENANCE OF DOTR BUILDING, LAND TRANSPORTATION OFFICE, CALBAYOG CITY, SAMAR</t>
  </si>
  <si>
    <t>Supply and Delivery of Construction Materials for the Improvement of Acacia-Binalian Road</t>
  </si>
  <si>
    <t>Construction of Multi-Purpose Bldg. (Phase 2) in Brgy. Tigbao, Dulag, Leyte, ABC PHP3,432,345.02</t>
  </si>
  <si>
    <t>20IJ-0091 REHABILITATION/MAJOR REPAIR OF TANGAO RIVER REVETMENT 2, BRGY.SAN JOAQUIN, CALBAYOG CITY, SAMAR</t>
  </si>
  <si>
    <t>Procurement of Rescue Equipment</t>
  </si>
  <si>
    <t>nyg2020-06</t>
  </si>
  <si>
    <t>Construction of River Dike in Brgy. Caghalo, Carigara, Leyte, ABC PHP3,506,084.15</t>
  </si>
  <si>
    <t>20IJ-0090 APPLICATION OF THERMOPLASTIC PAVEMENT MARKING ALONG NATIONAL ROADS KO738+000 – KO786+000 WITH EXEPTION</t>
  </si>
  <si>
    <t>Reblocking/Concreting of Road from Brgy. Los Martires to Brgy. San Antonio Dist. 5 in Dagami, Leyte, ABC PHP3,517,944.70</t>
  </si>
  <si>
    <t>CONSTRUCTION OF AA SLAUGHTERHOUSE</t>
  </si>
  <si>
    <t>ITB No. 2020-03(10): Completion of BHS Cabungaan, Silvino Lobos, Northern Samar</t>
  </si>
  <si>
    <t>INVITATION FOR NEGOTIATED PROCUREMENT DUE TO TWO-FAILED BIDDINGS  SUPPLY AND DELIVERY OF ONE (1) UNIT WATER TANKER (BRAND NEW, 6-WHEELER, 10 TONS)</t>
  </si>
  <si>
    <t>CONSTRUCTION SUPPLIES OPEN LINE CANAL  GARCIA CMPND</t>
  </si>
  <si>
    <t>Procurement of Works for the Construction of Barangay Health Station (BHS),  Brgy. San Anotnio, Tapaz, Capiz</t>
  </si>
  <si>
    <t>CONSTRUCTION/REHABILITATION OF BRGY. MULTI-PURPOSE HALL</t>
  </si>
  <si>
    <t>Procurement of ICT equipment and ICT supplies for LGU Offices, Elementary and Secondary Schools, Vintar</t>
  </si>
  <si>
    <t>MUNICIPAL NUTRITION PARTICIPATORY PLANNING</t>
  </si>
  <si>
    <t>Procurement/Supply &amp; Delivery of Catering Services for Various Activities of DAR-ADS under Project ConVERGE</t>
  </si>
  <si>
    <t>PURCHASE OF EQUIPMENT AND APPLIANCES TO BE USE FOR CARMEN FIRE STATION</t>
  </si>
  <si>
    <t>Procurement for the Supply &amp; Delivery of One (1) Unit Brand New Four (4) Wheeled Vehicle (Pick-Up Truck) for the Bureau of Fire Protection, City of Koronadal</t>
  </si>
  <si>
    <t>IMPROVEMENT OF WATER SUPPLY SYSTEM</t>
  </si>
  <si>
    <t>CONSTRUCTION OF COMMUNITY STAGE AND INSTALLATION OF STREET LIGHTING</t>
  </si>
  <si>
    <t>PURCHASE OF TWO (2) UNITS RISOGRAPH MACHINE TO BE USE FOR DEPED CARMEN DISTRICT</t>
  </si>
  <si>
    <t>SUPPLY &amp; DELIVERY OF SURGICAL INSTRUMENTS- REBID</t>
  </si>
  <si>
    <t>Procurement and Delivery of Materials for the Reproduction of Modules_Batch 2</t>
  </si>
  <si>
    <t>Construction of a 2-Classroom School Building at Catoogan Elem. School in Brgy. Catoogan, Sta. Fe, Leyte, ABC PHP3,668,808.81</t>
  </si>
  <si>
    <t>Procurement for Various Semi-Expendable - Furniture and Fixtures for NEDA IX Guest House and Drivers' Quarter</t>
  </si>
  <si>
    <t>Procurement for the Supply, Delivery, Installation &amp; Commissioning of ICT Equipments, Telephone Channeling, Internet Cabling, LAN Connection of Patient Queuing System of the City Health Office, City o</t>
  </si>
  <si>
    <t>Installation of IP based Paging System with Siren on the Security Cameras with Face Recognition</t>
  </si>
  <si>
    <t>PURCHASE OF ONE (1) UNIT MANLIFT OF MUNICIPALITY OF CAUAYAN, NEGROS OCCIDENTAL</t>
  </si>
  <si>
    <t>constraction supplies for the flood control &amp; erosion projects (little town)</t>
  </si>
  <si>
    <t>LABOR AND MATERIALS FOR THE REHAB/IMPROVEMENT OF FARM TO MARKET ROAD AT PUROK 3, BARANGAY TUYOM , CAUAYAN, NEGROS OCCIDENTAL, CAUAYAN, NEGROS OCCIDENTAL</t>
  </si>
  <si>
    <t>IMPROVEMENT OF BARANGAY EVACUATRION CENTER</t>
  </si>
  <si>
    <t>PURCHASE OF (3) UNITS BRAND NEW AIRCONDITION SPLIT TYPE (INVERTED) USED OF MAYOR'S OFFICE AND BAC OFFICE, MUNICIPALITY OF CAUAYAN, NEGROS OCCIDENTAL</t>
  </si>
  <si>
    <t>COMPLETION/EXTENTION OF UBAY RURAL HEALTH UNIT I</t>
  </si>
  <si>
    <t>Purchase of Office Tables, Chairs, Bookshelves/Filing Cabinet ,Computer Table &amp; Office Sala set</t>
  </si>
  <si>
    <t>PURCHASE OF FIVE (5) UNITS SOLAR STREET LIGHTS AT BARANGAY TILING, CAUAYAN, NEGROS OCCIDENTAL</t>
  </si>
  <si>
    <t>:  SUPPLY OF MATERIALS FOR THE CONSTRUCTION OF    CHB FENCE</t>
  </si>
  <si>
    <t>CONSTRUCTION SUPPLIES LINE CANAL W/ CONC. COVER Housing project</t>
  </si>
  <si>
    <t>PURCHASE OF MATERIALS FOR THE IMPROVEMENT OF MULTI-PURPOSE HALL</t>
  </si>
  <si>
    <t xml:space="preserve">Supply/Delivery of the following: Digital Projector, Multifunction Printers, Central Processing Units, Computer Sets, Scanner, Branded Laptop, Desktop Computer with Printer WIFI Ready, Printer Inkjet </t>
  </si>
  <si>
    <t>construction Local road network, brgy. road</t>
  </si>
  <si>
    <t>20CSIL0001(SUBSURFACE SOIL TESTING FOR THE PROPOSED WIDENING OF PERMANENT BRIDGES)</t>
  </si>
  <si>
    <t>PURCHASE OF ONE (1) UNIT BRAND NEW SERVICE VEHICLE (4WD, PICK-UP TYPE) OF MUNICIPALITY OF CAUAYAN, NEGROS OCCIDENTAL</t>
  </si>
  <si>
    <t>Purchase of Medical and Laboratory Supplies for Corona Virus Disease (COVID-19) Pandemic</t>
  </si>
  <si>
    <t>Procurement of Printing Materials</t>
  </si>
  <si>
    <t>CONSTRUCTION OF NEW PUBLIC MARKET AT POBLACION, KAUSWAGAN, LANAO DEL NORTE</t>
  </si>
  <si>
    <t>PURCHASE OF ONE (1) UNIT PICK UP TRUCK WITH ACCESSORIES FOR USE OF PNP, CAVITE CITY</t>
  </si>
  <si>
    <t>Upgrading and Improvement of Sto. Niño Street in Brgy. Baybay, Gamay, Northern Samar</t>
  </si>
  <si>
    <t>Supply and Delivery of 154,074 pcs. Canvas Bags</t>
  </si>
  <si>
    <t>IMPROVEMENT OF MULTI-PURPOSE BUILDING (GYMNASIUM STAGE)</t>
  </si>
  <si>
    <t>Proposed Construction of Four (4) Storey - Twelve (12) Rooms School Building and Facilities at PASAY CITY NORTH HIGH SCHOOL - M. Dela Cruz - Phase 2</t>
  </si>
  <si>
    <t>Proposed Construction of Four (4) Storey Twelve Classrooms School Building and Facilities at PHILIPPINE SCHOOL FOR THE DEAF (PSD), Phase 1</t>
  </si>
  <si>
    <t>Procurement/ Installation of Solar Street Lighting</t>
  </si>
  <si>
    <t>Printing Materials for Reproduction of Modules</t>
  </si>
  <si>
    <t>SAKUNA, ATING PAGHANDAAN (EMERGENCY RESPONSE KIT) FOR DISASTER PREPAREDNESS</t>
  </si>
  <si>
    <t>PURCHASE OF EMERGENCY RESCUE VEHICLE</t>
  </si>
  <si>
    <t>20CSOA001 - CONSULTING SERVICES FOR THE PREPARATION OF DETAILED ARCHITECTURAL &amp; ENGINEERING DESIGN (DAED) INCLUDING QUANTITY ESTIMATES FOR THE PROPOSED CONST. OF NAVOTAS POLYTECHNIC COLLEGE (NPC) BLDG</t>
  </si>
  <si>
    <t>Supply of Technical Assistance for  the Installation of Financial &amp; Inventory Management System for SASEPCO</t>
  </si>
  <si>
    <t>SK BANGKAL INFORMATION AND COMMUNICATION MANAGEMENT SYSTEM</t>
  </si>
  <si>
    <t>Vehicle Part and Accessories (2020-07-197)</t>
  </si>
  <si>
    <t>Office Equipment (2020-07-202)</t>
  </si>
  <si>
    <t>Vehicle Part and Accessories (2020-07-196)</t>
  </si>
  <si>
    <t>Vehicle Part and Accessories (2020-07-195)</t>
  </si>
  <si>
    <t>Office Equipment (2020-07-193)</t>
  </si>
  <si>
    <t>Office Supplies (2020-07-192)</t>
  </si>
  <si>
    <t>Office Equipment (2020-07-191)</t>
  </si>
  <si>
    <t>Text Tiles (2020-07-198)</t>
  </si>
  <si>
    <t>Purchase of Hardware(2020-07-189)</t>
  </si>
  <si>
    <t>CONCRETING OF BRGY. ROADS AT SITIO MANAWAYAN, BRGY. MANINANG, CAPIZ</t>
  </si>
  <si>
    <t>Vehicle Part and Accessories (2020-07-199)</t>
  </si>
  <si>
    <t>Office Equipment and Supplies (2020-02-022)</t>
  </si>
  <si>
    <t>Supply / Delivery of Medical and Dental Supplies</t>
  </si>
  <si>
    <t>CONSTRUCTION OF NARRA ROAD (PUROK 7)</t>
  </si>
  <si>
    <t>Office Equipment and Supplies (2020-02-020)</t>
  </si>
  <si>
    <t>PROCUREMENT OF SUPPLIES AND MATERIALS FOR THE IMPROVEMENT OF WATER SYSTEM (PIPE LAYING)</t>
  </si>
  <si>
    <t>PROCUREMENT OF CONSTRUCTION SUPPLIES AND MATERIALS FOR THE CONSTRUCTION OF LOCAL ROAD NETWORK</t>
  </si>
  <si>
    <t>Hardware (2020-07-201)</t>
  </si>
  <si>
    <t>Office Equipment and Supplies (2020-07-190)</t>
  </si>
  <si>
    <t>Office Equipment (2020-05-060)</t>
  </si>
  <si>
    <t>Fuels (2020-07-226)</t>
  </si>
  <si>
    <t>Catering Services (2020-07-214)</t>
  </si>
  <si>
    <t>Office Supplies (2020-07-227)</t>
  </si>
  <si>
    <t>Office Supplies (2020-07-181)</t>
  </si>
  <si>
    <t>Purchase of Hardware (2020-07-207)</t>
  </si>
  <si>
    <t>Fuels (2020-07-225)</t>
  </si>
  <si>
    <t>Rehabilitation/Improvement of Barangay Road</t>
  </si>
  <si>
    <t>Electrical Supplies (2020-07-194)</t>
  </si>
  <si>
    <t>Office Supplies (2020-07-205)</t>
  </si>
  <si>
    <t>Electrical Supplies (2019-07-211)</t>
  </si>
  <si>
    <t>Office Supplies (2020-07-203)</t>
  </si>
  <si>
    <t>Office Equipment (2020-07-209)</t>
  </si>
  <si>
    <t>SUPPLY AND DELIVERY OF ELECTRICAL AND PLUMBING MATERIALS FOR THE NEWLY CONSTRUCTED MULTI-PURPOSE BLDG.</t>
  </si>
  <si>
    <t>Catering Services (2020-07-206)</t>
  </si>
  <si>
    <t>Office Supplies (2020-07-210)</t>
  </si>
  <si>
    <t>20CSCM05 - Consultancy Services for the Geotechnical Investigation (Sub-Soil Exploration) of Various Flood Control and National Road Projects for the proposed  FY 2021 Infrastructure Program of Zambal</t>
  </si>
  <si>
    <t>20-002-08 DELTA "SUPPLY, INSTALLATION, TESTING AND COMMISSIONING OF AIRFIELD LIGHTING SYSTEM AT NEW BICOL INTERNATIONAL AIRPORT  (REDL, RTHL/E, TEDL, PAPI, RTIL, WDIL, ABN, FL)" RE-POST</t>
  </si>
  <si>
    <t>AMP-20-07-052	Construction of PWD Ramp at NALLRC	(PR # 20-07-150)</t>
  </si>
  <si>
    <t>Rebidding for the Supply and Delivery of One (1) Unit Passenger Van</t>
  </si>
  <si>
    <t>Office Supplies (2020-07-204)</t>
  </si>
  <si>
    <t>Construction Materials and Supplies (2020-07-203)</t>
  </si>
  <si>
    <t>20-003-08 DELTA "CONSTRUCTION OF NEW PASSENGER TERMINAL BUILDING (PHASE I) OF TACLOBAN AIRPORT DEVELOPMENT PROJECT" RE_POST</t>
  </si>
  <si>
    <t>Supply and Delivery of Various Electro-Mechanical Equipment and Accessories for the Construction of Tigayon Pumping Station No. 2</t>
  </si>
  <si>
    <t>RFQ– G.I. Pipe, 150mm</t>
  </si>
  <si>
    <t>PURCHASE OF CONTROLLER FOR WATER PUMPING STATION</t>
  </si>
  <si>
    <t>Purchase of Hardware Supplies (2020-07-208)</t>
  </si>
  <si>
    <t>Labor and Materials for the Repair/Replacement of Electrical Works at NHA School Building, Maimpis, City of San Fernando, Pampanga</t>
  </si>
  <si>
    <t>Animals (2020-07-216)</t>
  </si>
  <si>
    <t>Asphalt Overlay at Barangay Sta. Monica, Floridablanca, Pampanga</t>
  </si>
  <si>
    <t>PURCHASE OF CONSTRUCTION MATERIALS TO BE USE FOR THE CONSTRUCTION OF GUARDRAIL AT BARANGAY IPIL, CARMEN, CEBU</t>
  </si>
  <si>
    <t>Office Supplies (2020-07-228)</t>
  </si>
  <si>
    <t>Agricultural Medicines (2020-07-234)</t>
  </si>
  <si>
    <t>Concreting of Road at Zone 3, Tumaga, Zamboanga city</t>
  </si>
  <si>
    <t>Purchase of Hardware(2020-07-224)</t>
  </si>
  <si>
    <t>Office Supplies (2020-07-233)</t>
  </si>
  <si>
    <t>Office Supplies and Devices (2020-07-175)</t>
  </si>
  <si>
    <t>Hardware and Construction Materials (2020-07-222)</t>
  </si>
  <si>
    <t>General Merchandise (2020-07-215)</t>
  </si>
  <si>
    <t>Catering Services (2020-07-219)</t>
  </si>
  <si>
    <t>Catering Services (2020-07-229)</t>
  </si>
  <si>
    <t>Purchase of Hardware(2020-07-221)</t>
  </si>
  <si>
    <t>Vehicle Part and Accessories (2020-07-235)</t>
  </si>
  <si>
    <t>Medical Equipment (2020-07-232)</t>
  </si>
  <si>
    <t>Office Equipment (2020-07-231)</t>
  </si>
  <si>
    <t>Electrical Supplies (2019-07-213)</t>
  </si>
  <si>
    <t>WIRELESS INTERNET CONNECTION FOR VARIOUS SCHOOL OF BALIWAG NORTH AND SOUTH DISTRICT</t>
  </si>
  <si>
    <t>PROCUREMENT OF EQUIPMENT AND MACHINERY 1.UNIT COCOPEAT COMPACTOR MACHINE 2. UNIT CARDING MACHINE</t>
  </si>
  <si>
    <t>Office Equipment (2020-07-217)</t>
  </si>
  <si>
    <t>IB_20E00110: AWP 3/Preventive Maintenance, Mindoro West Coastal Road, K0254+000 – K0260+476, Occidental Mindoro</t>
  </si>
  <si>
    <t>for livelihood starter kits of 91beneficiareies of DILP</t>
  </si>
  <si>
    <t>Upgrading of Local Access Road at Ajat to Manaoag to Campo</t>
  </si>
  <si>
    <t>Local Access Road in Barangay Nanungaran and Barangay Anungu</t>
  </si>
  <si>
    <t>Agricultural Equipment (2020-07-230)</t>
  </si>
  <si>
    <t>Vehicle Part and Accessories (2020-07-223)</t>
  </si>
  <si>
    <t>PROCUREMENT OF SURVEILLANCE AND DETECTIVE  EQUIPMENT</t>
  </si>
  <si>
    <t>PROCUREMENT OF 2 LOTS FUEL, OIL AND LUBRICANTS</t>
  </si>
  <si>
    <t>PROCUREMENT OF CONSTRUCTION EQUIPMENT</t>
  </si>
  <si>
    <t>Office Supplies (2020-06-155)</t>
  </si>
  <si>
    <t>Concreting of T. Cossid Street</t>
  </si>
  <si>
    <t>PROCUREMENT OF 1 LOT WATER &amp; WASTE WATER TREATMENT SUPPLY &amp; DISPOSAL</t>
  </si>
  <si>
    <t>PROCUREMENT OF WATER SYSTEM FIXTURES</t>
  </si>
  <si>
    <t>PROPOSED FACULTY AND EMPLOYEE CENTER</t>
  </si>
  <si>
    <t>Bidding (Infra Project)</t>
  </si>
  <si>
    <t>Newborn Screening  Program</t>
  </si>
  <si>
    <t>PROCUREMENT OF INFORMATION TECHNOLOGY PARTS AND ACCESSORIES</t>
  </si>
  <si>
    <t>Supply and Delivery of Construction Materials for the Improvement of CR at Municipal Building and Stardome</t>
  </si>
  <si>
    <t>2020 29TH PUBLIC BIDDING: PROCUREMENT OF FOOD STUFF FOR 2020 2ND SEMESTER CONSUMPTION</t>
  </si>
  <si>
    <t>Purchase of various materials for Improvement of Water Works System, Brgy. Liptong</t>
  </si>
  <si>
    <t>Procurement of Assorted Mainline Fittings and Materials</t>
  </si>
  <si>
    <t>Repair of Stardome's Roofing</t>
  </si>
  <si>
    <t>21CSIA002 Conduct of Soil Exploration for the Rehabilitation/Reconstruction of National Roads with Slips, Slope Collapse and Landslides for the following projects under FY 2021 fund</t>
  </si>
  <si>
    <t>20IK0100- Reblocking of Municipal Roads, Brgys. Baybay, Salud, Lawaan, Palaypay, Mercado, Loyo, Basey, Samar</t>
  </si>
  <si>
    <t>B20200309 - TOWER CONSTRUCTION AND INSTALLATION FOR DAVNOT ICT INFRA DEVELOPMENT</t>
  </si>
  <si>
    <t>PTO-20-0861-B / Furniture and Fixtures</t>
  </si>
  <si>
    <t>PROCUREMENT OF OFFICE EQUIPMENT AND ACCESSORIES (3RD QUARTER)</t>
  </si>
  <si>
    <t>Concreting of Pias Norte Farm to Market Road, Phase II</t>
  </si>
  <si>
    <t>Installation of Automated Weather Monitoring System</t>
  </si>
  <si>
    <t>Purchase and Delivery of Tent</t>
  </si>
  <si>
    <t>Purchase and Delivery of Printer and Bond Paper</t>
  </si>
  <si>
    <t>Office Supplies (2020-07-218)</t>
  </si>
  <si>
    <t>Valproate Disodium Valproic Acid 500mg/5ml     IV, infusion</t>
  </si>
  <si>
    <t>PROCUREMENT OF 1 LOT HARDWARE AND CONSTRUCTION SUPPLIES</t>
  </si>
  <si>
    <t>PROCUREMENT OF MEDICINE AND MEDICAL SUPPLIES (3RD QUARTER)</t>
  </si>
  <si>
    <t>Construction of Multi-Purpose Building - Baracbac, Galimuyod, Ilocos Sur</t>
  </si>
  <si>
    <t>Construction of Evacuation Center (Phase 2), Brgy. Pampango, Libacao, Aklan</t>
  </si>
  <si>
    <t>CONSTRUCTION OF NEW DISASTER RESILIENT MUNICIPAL BUILDING</t>
  </si>
  <si>
    <t>PURCHASE OF OFFICE SUPPLIES FOR THE 3RD QUARTER</t>
  </si>
  <si>
    <t>Supply and delivery of various commodities for the children beneficiaries of Supplementary Feeding Program of the Municipality of Sarrat, Ilocos Norte</t>
  </si>
  <si>
    <t>B20200310 - FUEL FOR REHAB. OF NEW CORELLA-SAUG ROAD, NEW CORELLA, DDN (POL)</t>
  </si>
  <si>
    <t>Purchase and delivery of One (1) unit Brand New Multifunction Copier</t>
  </si>
  <si>
    <t>21CSIA003 Consultancy Services for the conduct of Feasibility Study of the Proposed Calumpang-Atipolo Diversion Road; Naval Terminal - Atipolo Diversion Road and Naval Diversion Road (Riverside-Provin</t>
  </si>
  <si>
    <t>Purchase and Delivery of Farm Tractor and Hose</t>
  </si>
  <si>
    <t>B20200314 - FUEL FOR VARIOUS LOCAL ROADS &amp; DRAINAGE DEV'T. PRJ. STO. TOMAS, DDN (4TH QTR.)</t>
  </si>
  <si>
    <t>Improvement of Valencia District Office (PHASE 2)</t>
  </si>
  <si>
    <t>PURCHASE OF OFFICE EQUIPMENT @ POBLACION, MABINI, BATANGAS</t>
  </si>
  <si>
    <t>B20200311 - FUEL FOR REHAB. OF SAN JOSE - SITIO MAHAYAHAY MAGWAWA PROV'L. ROAD, STO. TOMAS, DDN</t>
  </si>
  <si>
    <t>Catering Services (2020-07-042)</t>
  </si>
  <si>
    <t>B20200313 - FUEL FOR VARIOUS LOCAL ROADS AND DRAINAGE DEV'T. PROJECT, KAPALONG AND SAN ISIDRO, DDN (POL)</t>
  </si>
  <si>
    <t>Various ICT Materials for DSWD FO 1 staff</t>
  </si>
  <si>
    <t>LOT Procurement of SPAREPARTS for Use in the Repair of Light and Heavy Equipment</t>
  </si>
  <si>
    <t>B20200318 - FUEL FOR REHAB. OF JCT. NEW BOHOLANO-NEW LOON ROAD, KAPALONG, DDN (POL)</t>
  </si>
  <si>
    <t>Construction of 38 Units Temporary Shelter ,Magpet,Cotabato</t>
  </si>
  <si>
    <t>ITB Delivery, Installation, Rehabilitation of Air Quality Monitoring Network, Calibration and Maintenance of Technical and Scientific Equipment</t>
  </si>
  <si>
    <t>Hardware Supplies (2020-07-212)</t>
  </si>
  <si>
    <t>Proposed Kabalikat sa Kalinisan (KKK): Enhancement of Materials/Supplies for Environmental Use</t>
  </si>
  <si>
    <t>IMPROVEMENT OF  MULTI-PURPOSE HALL @ POBLACION, MABINI, BATANGAS</t>
  </si>
  <si>
    <t>B20200317 - FUEL FOR VARIOUS LOCAL ROADS &amp; DRAINAGE DEV'T. PRJ. STO. TOMAS, DDN (3RD QTR.)</t>
  </si>
  <si>
    <t>Printing of Coffee table book for the project entitled “ESSU:  60 Years and Beyond” RPG# 2020-OSPM-115</t>
  </si>
  <si>
    <t>Access point to be used at Centers and Institutions and CIS Pangasinan and memory upgrade for laptop to be used in virtual laboratory</t>
  </si>
  <si>
    <t>Construction of Retaining Wall along Brgy. Agmailig-Brgy. Bato-Bato, Sitio Dagna, Brgy. Can-awan, Libacao, Aklan</t>
  </si>
  <si>
    <t>Installation of WIFI and Networking in 15 offices of Municipal Hall</t>
  </si>
  <si>
    <t>20IB0146 - Repair/Maintenance of Unpaved Shoulder and Clearing of Landslide along Eastern Samar National Roads</t>
  </si>
  <si>
    <t>Supply and Delivery of 2 Units BRand New 4 x 4 Pick-UP</t>
  </si>
  <si>
    <t>20FK0061-Cluster XVI -Modified Standard DPWH DepED Two (2) storey Eight (8) classroom (2-Regular Workshop, 1-Science Laboratory and 1-ICT Laboratory School Building and Modified Standard Two (2) store</t>
  </si>
  <si>
    <t>Improvement of Brgy. Multi-purpose Building, Brgy. Ninoy Aquino, Canlaon City</t>
  </si>
  <si>
    <t>B20200316 - FUEL FOR REP OF DAMAGE DRAINAGE/CREEKS ALONG SADPODON CREEK, CARMEN, DDN (3RD QTR.)</t>
  </si>
  <si>
    <t>Proposed D.D Trans Cyphenothrin for Anti-Dengue Project</t>
  </si>
  <si>
    <t>B20200315 - FUEL FOR REHAB. OF SAUG BRIDGE SLOPE PROTECTION, NEW CORELLA, DDN (POL)</t>
  </si>
  <si>
    <t>PROCUREMENT OF LGU VEHICLE FUELS AND LUBRICANTS</t>
  </si>
  <si>
    <t>Procurement of Two (2) Units Digital Duplicating Machines</t>
  </si>
  <si>
    <t>B20200312 - FUEL FOR REHAB./IMPV'T. OF TUBOD PILAR PROV'L. ROAD CARMEN, DDN (4TH QTR.)</t>
  </si>
  <si>
    <t>Supply and Delivery of Two (2) Units of Reefer/Refrigerated Van</t>
  </si>
  <si>
    <t>Procurement and Delivery of 4 WD Brand New Farm Tractor</t>
  </si>
  <si>
    <t>Purchase of Equipment for Healthy Lifestyle Facility</t>
  </si>
  <si>
    <t>Construction of Residual Containment Area</t>
  </si>
  <si>
    <t>Purchase of Supplies and Materials for Schools</t>
  </si>
  <si>
    <t>Purchase of COVID19 IEC Materials</t>
  </si>
  <si>
    <t>Procurement of Printer and Ink for Different Schools (Batch 2)</t>
  </si>
  <si>
    <t>Supply and Delivery of Seventeen (17) units Branded Laptop Computer, Five (5) boxes Office 365, Three (3) units Branded LED Monitor and Ten (10) units Portable External Hard Drive</t>
  </si>
  <si>
    <t>SUPPLY AND DELIVERY OF AIR-CONDITIONING UNITS (OPERATIONAL LEASE)</t>
  </si>
  <si>
    <t>B20200321 - FUELS FOR PGO VEHICLE CONSUMPTION FOR 3RD QTR.</t>
  </si>
  <si>
    <t>CONCRETING OF VARIOUS BARANGAY ROADS</t>
  </si>
  <si>
    <t>PROCUREMENT OF CONSUMABLE OFFICE SUPPLIES</t>
  </si>
  <si>
    <t>B20200320 - FUEL FOR THE USE OF PADO VEHICLE CONSUMPTION FOR 3RD QTR.</t>
  </si>
  <si>
    <t>B20200319 - AGRICULTURAL SUPPLIES FOR PAGRO USE</t>
  </si>
  <si>
    <t>Purchase of Materials for the Installation of Solar Streetlight, Brgy. Madarag, Lambunao, Iloilo</t>
  </si>
  <si>
    <t>REHABILITATION/IMPROVEMENT OF LOCAL ROADS PACKAGE 5-2020</t>
  </si>
  <si>
    <t>Purchase and Delivery of One Unit Rescue Vehicle</t>
  </si>
  <si>
    <t>Purchase of Construction Materials for Road Concreting</t>
  </si>
  <si>
    <t>CONSTRUCTION OF WATER SYSTEM (DRILLING OF 6"Ø CASING WELL BOREHOLE)</t>
  </si>
  <si>
    <t>Procurement of Pest Control Services</t>
  </si>
  <si>
    <t>PURCHASE OF 6 WHEELER  DUMPTRUCK</t>
  </si>
  <si>
    <t>Construction of Canal Lining of Patapaya CIS at Brgy. Bayaoas, Aguilar, Pangasinan</t>
  </si>
  <si>
    <t>Proposed Flu Vaccine for Bakuna sa Dasma</t>
  </si>
  <si>
    <t>CONCRETING OF BARANGAY ROAD,SAMPAGUITA STREET</t>
  </si>
  <si>
    <t>Ecological Solid Waste Management Program (Construction of Drainage)</t>
  </si>
  <si>
    <t>Supply and Delivery of Medicines and Supply for the Municipal Health Office (3rd Quarter 2020)</t>
  </si>
  <si>
    <t>Construction of Canal Lining at Brgy. Nancasalan, Mangatarem, Pangasinan</t>
  </si>
  <si>
    <t>CONCRETING OF DAGOHOY STREET, QUIRINO DISTRICT,PADADA, DAVAO DEL SUR</t>
  </si>
  <si>
    <t>Supply and Delivery of Service Land Rescue Vehicle (Pick up Rescue Car)</t>
  </si>
  <si>
    <t>CID NO. 20GIF0003-Supply/Delivery of OILS AND TIRES for SERVICE VEHICLES AND HEAVY EQUIPMENT OF LEYTE IV DEO</t>
  </si>
  <si>
    <t>Construction of Camalin Water Impounding Project (SWIP) at Brgy. Camagsingalan, Sual, Pangasinan</t>
  </si>
  <si>
    <t>20GH0131 - Concreting of Purok 2 Brgy. Bagacay FMR, Brgy. Bagacay, San Dionisio, Iloilo</t>
  </si>
  <si>
    <t>Construction of Fence for Brgy. Multi-purpose Hall</t>
  </si>
  <si>
    <t>Supply and Installation of Equipment for AA Municipal Slaughterhouse and Waste Water Treatment Plant</t>
  </si>
  <si>
    <t>CONSTRUCTION OF MULTI-PURPOSE BUILDING (C0VERED COURT) - BARANGAY CAMANGA</t>
  </si>
  <si>
    <t>Construction of Balat-Cayanga CIP at Brgy. Cayanga, Bugallon, Pangasinan</t>
  </si>
  <si>
    <t>Procurement of Medical and Miscellaneous Supplies for Covid-19 Response</t>
  </si>
  <si>
    <t>Procurement and Delivery of 1 Unit Dump Truck</t>
  </si>
  <si>
    <t>Fencing of Solid Waste Management Facilities</t>
  </si>
  <si>
    <t>FOR THE 61ST FOUNDING ANNIVERSARY CELEBRATION (ARAW NG LA LIBERTAD)</t>
  </si>
  <si>
    <t>SUPPLY AND DELIVERY OF RISO GRAPH MACHINE AND ACCESSORIES</t>
  </si>
  <si>
    <t>Proposed Construction of AA Municipal Slaughterhouse (Including Site Development &amp; Slaughterhouse Building)</t>
  </si>
  <si>
    <t>Repair of Barangay Hall, Apang, Alilem, Ilocos Sur</t>
  </si>
  <si>
    <t>ROPOSED FEEDMILL</t>
  </si>
  <si>
    <t>CONSTRUCTION OF ONE (1) DAY CARE CENTER (MATERIALS)</t>
  </si>
  <si>
    <t>For Quotation  Bond Paper A4</t>
  </si>
  <si>
    <t>Construction of material Recovery Facilities (MRF-2)</t>
  </si>
  <si>
    <t>PURCHASE OF OFFICE AND IT EQUIPMENT</t>
  </si>
  <si>
    <t>2020-02 Supply and Delivery of Computers for Online Instructions</t>
  </si>
  <si>
    <t>Construction of Cabisbislacan CIP at Brgy. Casilan, Umingan, Pangasinan</t>
  </si>
  <si>
    <t>Construction of Canal Lining along the Dam of Brgy. Tabucbuc, Marcos, I.N</t>
  </si>
  <si>
    <t>FOR RADIO OPERATORS AND MDRRMO VOLUNTEERS</t>
  </si>
  <si>
    <t>Provision of three (3) Security Guards Under a Security Agency for Negros Occidental High School</t>
  </si>
  <si>
    <t>Repair of Barangay Stage at Brgy. Imelda, Mondragon, Norther Samar</t>
  </si>
  <si>
    <t>CONCRETING OF GENERAL LUNA STREET, QUIRINO DISTRICT, PADADA, DAVAO DEL SUR</t>
  </si>
  <si>
    <t>INVITATION TO BID FOR THE PROCUREMENT OF FUEL FOR MOBILIZATION OF VARIOUS OFFICES</t>
  </si>
  <si>
    <t>Procurement and Delivery of 1 Unit Backhoe</t>
  </si>
  <si>
    <t>PROCUREMENT OF LINEN SUPPLIES ITB No. 2020-31</t>
  </si>
  <si>
    <t>Construction of Cnal Lining at Sitio 4 and 5, Brgy. Ferdinand, Marcos, Ilocos Norte</t>
  </si>
  <si>
    <t>Supply and Delivery of 3 Units Desktop Computer and 1 Unit 3n1 ADF Printer</t>
  </si>
  <si>
    <t>Procurement of Vehicle for Logistical Support to DILG-NCR RPOC Secretariat Satellite Office at Parañaque City Field Office in Assisting Mayor Olivarez in his Function as RPOC-NCR Chairperson</t>
  </si>
  <si>
    <t>CIVIL WORKS FOR THE CONSTRUCTION OF MDRRMO BUILDING, MAGALLANES, AGUSAN DEL NORTE</t>
  </si>
  <si>
    <t>SUPPLY AND DELIVERY OF PETROLEUM FOR VARIOUS GOVERNMENT VEHICLES</t>
  </si>
  <si>
    <t>IMPLEMENTATION OF THE BASIC EDUCATION LEARNING CONTINUITY PLAN, PROVISION OF LEARNING RESOURCES</t>
  </si>
  <si>
    <t>Purchase and Delivery of Twenty-One (21) Units of 3-in-1 Printer (Continuous - A4)</t>
  </si>
  <si>
    <t>PURCHASE OF OFFICE EQUIPMENT &amp; SUPPLIES FOR AUDIO VISUAL ROOM</t>
  </si>
  <si>
    <t>1 set of electric generator</t>
  </si>
  <si>
    <t>Supply and Delivery of Hardware Materials</t>
  </si>
  <si>
    <t>Supply and delivery of various commodities for the children beneficiaries of Supplementary Feeding Program of the Municipality of Currimao, Ilocos Norte</t>
  </si>
  <si>
    <t>Consulting Services for the Conduct of Study for the Establishment of toll food and packaging center for Micro, Small and Medium Entrepreneurs in the Province</t>
  </si>
  <si>
    <t>Invitation to bid for the Purchase of tents for various barangays at  Lingayen, Pangasinan</t>
  </si>
  <si>
    <t>Construction of material Recovery Facilities (MRF-1)</t>
  </si>
  <si>
    <t>BDRRM SUPPLIES</t>
  </si>
  <si>
    <t>REHABILITATION OF MULTI PURPOSE PAVEMENT FENCE</t>
  </si>
  <si>
    <t>Construction of Pathway</t>
  </si>
  <si>
    <t>Supply and Delivery of Diesel-Fuel for use of Different Offices of the PGOM (Mamburao Area)</t>
  </si>
  <si>
    <t>Supply and Delivery of Drugs and Medicines and Medical Supplies for use of San Jose District Hopital, Abra de Ilog Community Hospital and Lubang District Hospital</t>
  </si>
  <si>
    <t>SUPPLY AND DELIVERY OF AGRICULTURAL EQUIPMENT FOR GUNOT SEED FARM</t>
  </si>
  <si>
    <t>CONSTRUCTION OF 1UNIT SEPTIC VAULT</t>
  </si>
  <si>
    <t>Construction of Perimeter Fence</t>
  </si>
  <si>
    <t>SUPPLY AND DELIVERY OF VARIOUS SUPPLIES FOR RE-OPENING OF SANTIAGO CITY BIRTHING CENTER</t>
  </si>
  <si>
    <t>Supply and Delivery of Lobster Production</t>
  </si>
  <si>
    <t>Supply and Delivery of Marine Fishing Supplies and Equipment</t>
  </si>
  <si>
    <t>Improvement of Public Market, Asingan, Pangasinan.</t>
  </si>
  <si>
    <t>FURNITURE AND FIXTURE (DSWD-LGU)</t>
  </si>
  <si>
    <t>SUPPLY AND DELIVERY OF SUPPLIES FOR MODULES REPRODUCTION OF VARIOUS PUBLIC SCHOOLS</t>
  </si>
  <si>
    <t>CONSTRUCTION OF DRAINAGE CANAL AT PUROK 2</t>
  </si>
  <si>
    <t>SUPPLY AND DELIVERY OF COMPUTER DESKTOP AND TABLET FOR BLENDED LEARNING MANAGEMENT SYSTEM</t>
  </si>
  <si>
    <t>PROCUREMENT OF MEALS FOR THE SUPPLEMENTARY FEEDING PROGRAM FOR MALNOURISHED CHILDREN</t>
  </si>
  <si>
    <t>Bond Paper A4 (08-0873) DepEd Dipolog City</t>
  </si>
  <si>
    <t>REPAIR/REHABILITATION OF EXISTING GROUND FLOOR OF MALE EMPLOYEE'S DORMITORY</t>
  </si>
  <si>
    <t>SUPPLY AND DELIVERY OF CRUDE OIL FOR THE OPENING OF HOMESTEAD ROAD AT BARANGAY TOMADO</t>
  </si>
  <si>
    <t>Supply and delivery of Additional PPE for LGU Employees to fight against Covid 19</t>
  </si>
  <si>
    <t>SUPPLY AND DELIVERY OF DIGITAL DUPLICATOR MACHINE FOR MODULES REPRODUCTION OF PUBLIC SCHOOLS</t>
  </si>
  <si>
    <t>Upgrading of Pipes from 1" to 1 1/2" (720 m) &amp; Transfer of Water Meter from existing water distribution pipes to new Distribution Pipes</t>
  </si>
  <si>
    <t>CY 2020 BASIC EDUCATION FACILITIES FUND (BEFF) REPAIR OF CLASSROOMS- Lot 3 (RE-BID).</t>
  </si>
  <si>
    <t>Purchase Request of Medical Equipments for Toledo City Hospital (DOH Standard)</t>
  </si>
  <si>
    <t>20FH0101 - REPAIR/MAINTENANCE OF DPWH FIELD BUILDING, NAPO, PANDAN,  CATANDUANES</t>
  </si>
  <si>
    <t>2020-028 Provision of meals and snacks for the conduct of Webinar / Video Conference on the RPCO 1-PPMIU-PG Coordination Meeting re. Updates on the implementation of PRDP in Region 1</t>
  </si>
  <si>
    <t>EXTENSION OF HEALTH CENTER</t>
  </si>
  <si>
    <t>Special Maintenance along Maburao-Paluan PR(A)-Brgy. Tayamaan, Mamburao, Occidental Mindoro</t>
  </si>
  <si>
    <t>Concreting School Ground at Toboy National High School, Asingan, Pangasinan.</t>
  </si>
  <si>
    <t>Installation of Solar Powered Streetlights, Barangay Nancamarinan, Paniqui, Tarlac</t>
  </si>
  <si>
    <t>Invitation to Bid for the Procurement of Compression Plastic Fittings-Rebid</t>
  </si>
  <si>
    <t>SENIOR CITIZEN ASSEMBLY MEETING 2020</t>
  </si>
  <si>
    <t>P.R. No. 20-164-058 "Bulk Purchase of Desktop and Laptop Computers with Software License for Different Colleges"</t>
  </si>
  <si>
    <t>PURCHASE OF VEHICLES (MAN LIFTER AND DUMP TRUCK)</t>
  </si>
  <si>
    <t>Provision and Delivery of Farm Machinery and Equipment under the "Climate Resilient Farm Productivity Support Project" (CRFPSP)</t>
  </si>
  <si>
    <t>Construction of 3-Stage Water Treatment Septic Tanks at Asingan Public Market, Asingan, Pangasinan.</t>
  </si>
  <si>
    <t>Supply and delivery of various commodities for the children beneficiaries of Supplementary Feeding Program of the Municipality of Badoc, Ilocos Norte</t>
  </si>
  <si>
    <t>IT EQUIPMENT (PWD)</t>
  </si>
  <si>
    <t>2 SETS OF VOLTAGE REGULATOR</t>
  </si>
  <si>
    <t>Supply and delivery of various commodities for the children beneficiaries of Supplementary Feeding Program of the Municipality of Paoay, Ilocos Norte</t>
  </si>
  <si>
    <t>Procurement of ICT and Packaging Equipment for the project "Enhancing the Market Competitiveness of Western Visayas Agriculture and Fishery Products Through Packaging Improvement" (Bid No. 2020-03)</t>
  </si>
  <si>
    <t>Rehabilitation of COM Electrical System</t>
  </si>
  <si>
    <t>Supply and Delivery of Materials for the Repair/Rehabilitation of Water System Pipeline/Contract No. GDS-2020-006</t>
  </si>
  <si>
    <t>20GH0130 - Construction of 3STY9CL, Luca NHS, Ajuy, Iloilo</t>
  </si>
  <si>
    <t>CONSTRUCTION/IMPROVEMENT OF MULTI-PURPOSE HALL PHASE VI</t>
  </si>
  <si>
    <t>Supply and Delivery of Rescue Vehicle (MDRRMO)</t>
  </si>
  <si>
    <t>Continuation of the Multi-Purpose Hall at Brgy. Toboy, Asingan, Pangasinan.</t>
  </si>
  <si>
    <t>PROPOSED ROAD CONCRETING SITIO CANSABOD, TUMALOG, OSLOB, CEBU</t>
  </si>
  <si>
    <t>Rehabilitation of Seawall</t>
  </si>
  <si>
    <t>Invitation to Bid - Infrastructure Project for Construction of Covered Court at Barangay Bayabas, Danao City</t>
  </si>
  <si>
    <t>Repainting/Rehabilitation of Municipal Library (Restroom, Gutters, Lightings), Poblacion East, Asingan, Pangasinan.</t>
  </si>
  <si>
    <t>Procurement of Semi-Expendable Furniture for Revenue District Office No. 46 – Cainta/Taytay</t>
  </si>
  <si>
    <t>Supply and delivery of various commodities for the children beneficiaries of Supplementary Feeding Program of the Municipality of Pasuquin, Ilocos Norte</t>
  </si>
  <si>
    <t>Invitation to Bid - Infrastructure Project for Construction of Covered Court at Barangay Baliang, Danao City</t>
  </si>
  <si>
    <t>PROCUREMENT OF RESCUE VEHICLE</t>
  </si>
  <si>
    <t>NVITATION TO BID FOR THE  PROCUREMENT OF 7 SETS TRUMPA, 7 PCS TRANSFORMER. 3,000 METERS TELEPHONE DROP WIRE CAT 3 300 METERS, 7 PCS METAL BOX, 1 PACK ELECTRIC TAPE, 1 PC GOOSENECK MIC, 24 METERS SPEAK</t>
  </si>
  <si>
    <t>PROPOSED REPAIR OF COMMUNITY STAGE</t>
  </si>
  <si>
    <t>CONSTRUCTION/IMPROVEMENT OF MULTI-PURPOSE BUILDING</t>
  </si>
  <si>
    <t>Construction of School Stage at Domanpot Community School, Asingan, Pangasinan.</t>
  </si>
  <si>
    <t>Procurement of Various Library Books  for ULRC and COM (Re-bidding)</t>
  </si>
  <si>
    <t>SUPPLY AND DELIVERY OF SEEDS ITB No. 2020-186A</t>
  </si>
  <si>
    <t>SUPPLY AND DELIVERY OF TRANSISTOR RADIO WITH USB INPUT FOR BLENDED LEARNING MANAGEMENT SYSTEM OF VARIOUS PUBLIC SCHOOLS</t>
  </si>
  <si>
    <t>CONCRETING OF SITIO PONDOY ACCESS ROAD (PHASE I)</t>
  </si>
  <si>
    <t>Construction of Multi-Purpose Hall at Brgy. Palaris, Asingan, Pangasinan.</t>
  </si>
  <si>
    <t>Supply and delivery of various commodities for the children beneficiaries of Supplementary Feeding Program of the Municipality of Adams, Ilocos Norte</t>
  </si>
  <si>
    <t>Construction of Guangan Bridge, Makilala, North Cotabato</t>
  </si>
  <si>
    <t>Invitation to Bid - Infrastructure Project for Construction of School Stage at Barangay Magtagobtob Elementary School, Danao City</t>
  </si>
  <si>
    <t>PANGKABUHAYAN STARTER KITS, FARMS TOOLS FOR TOBACCO FARMERS</t>
  </si>
  <si>
    <t>Purchase of Equipment and Materials for Sustainable Livelihood of the PWD Association of Pura, Inc.</t>
  </si>
  <si>
    <t>One (1) Year Health Maintenance Organization (HMO) Program for All Officials &amp; Employees of the Office of the Solicitor General</t>
  </si>
  <si>
    <t>PROCUREMENT OF CONSUMABLES FOR DUPLO DP-A120ll</t>
  </si>
  <si>
    <t>Invitation to Bid - Infrastructure Project for Improvement of Streetlights at Various Barangays, Sitio Cogon to Sitio Tabunok Barangay Maslog, Danao City</t>
  </si>
  <si>
    <t>VARIOUS MAINTENANCE OF PORT PHYSICAL FACILITIES (PHASEII), PORT OF PUERTO PRINCESA, PALAWAN</t>
  </si>
  <si>
    <t>PROVISION OF FARM MACHINERIES AND EQUIPMENT FOR FARM MECHANIZATION UNDER CLIMATE RESILIENT FARM PRODUCTIVITY PROJECT (CRFPS)</t>
  </si>
  <si>
    <t>Procurement of Medical oxygen for PFO-Agusan Del Sur, Placer Pond, Kitcharao Technology Outreach Station and Masao Technology Outreach Station.</t>
  </si>
  <si>
    <t>Supply and Delivery of Security Services for 2021</t>
  </si>
  <si>
    <t>Supply and delivery of various commodities for the children beneficiaries of Supplementary Feeding Program of the Municipality of Solsona, Ilocos Norte</t>
  </si>
  <si>
    <t>SUPPLY AND DELIVERY OF OLYSET NET WINDOW SCREEN ITB No. 2020-187A</t>
  </si>
  <si>
    <t>20CSGK02 - Consultancy Services for the Conduct of Geotechnical Investigation of Various Projects for the Widening of Bridges in Negros Occidental Second Legislative District</t>
  </si>
  <si>
    <t>SUPPLY AND DELIVERY OF FIRST AID KITS FOR DEPLOYMENT / RESPONSE OPERATION</t>
  </si>
  <si>
    <t>2GI0066 - Rehabilitation of Municipal Hall, Brgy. Poblacion, New Lucena, Iloilo</t>
  </si>
  <si>
    <t>Concreting of Road at Purok 5 Barangay Limao, Calauan, Laguna</t>
  </si>
  <si>
    <t>Supply, Handling, Transport, and Delivery of 6,581 Bags of Fertilizer</t>
  </si>
  <si>
    <t>Delivery of Laptop for CTU Danao</t>
  </si>
  <si>
    <t>Consulting Services for the Provision of Technical Assistant on Gender and Development</t>
  </si>
  <si>
    <t>PROPOSED CONCRETE PAVEMENT</t>
  </si>
  <si>
    <t>INVITATION TO BID FOR THE PURCHASE OF ONE UNIT FREEZER VAN AT SLAUGHTHERHOUSE, BARANGAY DOMALANDAN WEST, LINGAYEN, PANGASINAN</t>
  </si>
  <si>
    <t>20CSGK01 - Consultancy Services for the Conduct of Geotechnical Investigation of Various Projects for the Widening of Bridges in Negros Occidental First Legislative District</t>
  </si>
  <si>
    <t>Procurement of Various Hardware/ Electrical, IT, Janitorial, Medical/ Dental, Office and Sports Supplies</t>
  </si>
  <si>
    <t>MSWDO PRONTLINERS CONSUMPTION</t>
  </si>
  <si>
    <t>Road Concreting (Phase 5) ssitio Mangubat</t>
  </si>
  <si>
    <t>PROPOSED ROAD CONCRETING SITIO HIMAYPAYAN, TUMALOG, OSLOB, CEBU</t>
  </si>
  <si>
    <t>Purchase Request of Hospital Equipments for Toledo City Hospital (DOH Standard)</t>
  </si>
  <si>
    <t>PROPOSED ROAD CONCRETING NUEVA CACERES, OSLOB, CEBU</t>
  </si>
  <si>
    <t>Negotiated Procurement - Two Failed Biddings: Procurement of Various Medical</t>
  </si>
  <si>
    <t>Repair of School Classrooms at Various Schools for Quarantine Facilities,  Lapu-Lapu City</t>
  </si>
  <si>
    <t>2nd Invitation to Bid for the CONCRETING OF PAPAYA-CABINUANGAN-RUNRUNO ROAD Located at Kasibu and Quezon, Nueva Vizcaya</t>
  </si>
  <si>
    <t>20GHF0009: Supply and Delivery of ICT Equipment and Peripherals for use in the operation of the Maintenance Section and Planning &amp; Design Section</t>
  </si>
  <si>
    <t>CONCRETING OF VILLA PAGADUAN-PROGRESO FARM TO MARKET ROAD</t>
  </si>
  <si>
    <t>Supply and Delivery of Commercial Rice, 50 kgs.</t>
  </si>
  <si>
    <t>construction of civic center brgy san miguel jiabong</t>
  </si>
  <si>
    <t>Procurement  of  GARBAGE TRUCK/BARANGAY GOVERNMENT EMERGENCY VEHICLE</t>
  </si>
  <si>
    <t>LOCAL ACCESS ROAD (CANANGCAAN TO CANSALOY, OSLOB, CEBU)</t>
  </si>
  <si>
    <t>Supply &amp; Delivery of Various Medical Supplies</t>
  </si>
  <si>
    <t>Supply and Delivery of Water Service Connection Materials and Fittings</t>
  </si>
  <si>
    <t>20CSGK05 - Consultancy Services for the Conduct of Geotechnical Investigation of Various Projects for the Flood Mitigation Structure in Negros Occidental First Legislative District</t>
  </si>
  <si>
    <t>VARIOUS MAINTENANCE OF PORT PHYSICAL FACILITIES (PHASE I), PORT OF PUERTO PRINCESA, PALAWAN</t>
  </si>
  <si>
    <t>Supply, Delivery and Installation of One (1) Unit  Standby Generator Set and One (1) Unit Air Compressor in Support to Dairy Milk Processing and Marketing Enterprise</t>
  </si>
  <si>
    <t>PROPOSED ROAD CONCRETING DAANLUNGSOD, OSLOB, CEBU</t>
  </si>
  <si>
    <t>20CSGK06 - Consultancy Services for the Conduct of Geotechnical Investigation of Various Projects for the Flood Mitigation Structure in Negros Occidental Second Legislative District</t>
  </si>
  <si>
    <t>FENCING OF MULTI-PURPOSE HALL</t>
  </si>
  <si>
    <t>Supply and Delivery of Tractor for use at Science City of Muñoz Memorial Park, this city</t>
  </si>
  <si>
    <t>construction of water system brgy san fernando</t>
  </si>
  <si>
    <t>20CSGK04 - Consultancy Services for the Conduct of Geotechnical Investigation of Various Projects for the Slope Protection Structure in Negros Occidental First Legislative District</t>
  </si>
  <si>
    <t>PROCUREMENT OF EQUIPMENT, REAGENTS &amp; KITS FOR COVID-19 TESTING</t>
  </si>
  <si>
    <t>Procurement of 23,046 reams A4 Book Paper substance 20</t>
  </si>
  <si>
    <t>Contract ID 20IG0072 - Concreting of Brgy. Gaas FMR, Brgy. Gaas, Baybay City, Leyte</t>
  </si>
  <si>
    <t>2nd Invitation to Bid for the IMPROVEMENT OF JCT. SALINAS-MAPAYAO-BINALIAN-BABADI-PINAYAG-NANSIAKAN ROAD</t>
  </si>
  <si>
    <t>One (1) Lot –Supply and Delivery of 25 pcs. Bike Rack and 105 pcs Mountain Bike with Helmet and Lock for the use of City Government of San Juan Employees</t>
  </si>
  <si>
    <t>Procurement of IT Equipment for DepEd North and South District</t>
  </si>
  <si>
    <t xml:space="preserve">20FK0062-Cluster XVII -Modified Standard DPWH DepED Two (2) storey Four (4) classroom classroom School Building (9.5m x 23.0m) &amp; Two (2) storey Four (4) classroom School Building 9.5m x 23 m Ambrosio </t>
  </si>
  <si>
    <t>Agency Procurement Receipt</t>
  </si>
  <si>
    <t>DISINFECTANTS/SUPPLIES FOR ISOLATION FACILITY</t>
  </si>
  <si>
    <t>Contract ID 20IG0073 - Construction of 2STY2 Sci. Lab., Baybay City National Night High School, City of Baybay, Leyte</t>
  </si>
  <si>
    <t>RB2020-08-263 SUPPLY DELIVERY OF LABORATORY AND TB-DOTS SUPPLIES  FOR RHU-II AND RHU-III</t>
  </si>
  <si>
    <t>One (1) Lot – Supply and Delivery of Office Supplies for Various offices</t>
  </si>
  <si>
    <t>Procurement of Desktop Computers</t>
  </si>
  <si>
    <t>CONSTRUCTION OF NATIONAL CHILD DEVELOPMENT CENTER-BARANGAY 3, MERCEDES, CAMARINES NORTE</t>
  </si>
  <si>
    <t>Repair / Improvement of GSO Bldg., Pusok, Lapu-Lapu City</t>
  </si>
  <si>
    <t>INVITATION TO BID FOR THE PURCHASE OF MATERIALS FOR BARANGAY ROAD REHABILITATION AT VALENCIA CITY, BUKIDNON</t>
  </si>
  <si>
    <t>Construction Works for Renovation of ISAT U Administration Building</t>
  </si>
  <si>
    <t>Spares and Services for the Repair of Turret FLIR Units of AW-109AH #819, 820, 821 and 824</t>
  </si>
  <si>
    <t>Main Rotor Blade Assembly of AW-109AH</t>
  </si>
  <si>
    <t>Spares for the Recovery of AW-109AH #824</t>
  </si>
  <si>
    <t>2nd ITB RECONSTRUCTION OF LABBUNAN BRIDGE (ABUTMENT &amp; WATERWAY)</t>
  </si>
  <si>
    <t>Spares and Services of Turbine Assembly of MD-520MG Aircraft</t>
  </si>
  <si>
    <t>APPLIANCES</t>
  </si>
  <si>
    <t>Supply and Delivery of Materials and Food for Covid Use</t>
  </si>
  <si>
    <t>One (1) Lot – Supply and Delivery of Various Drugs and Medicines for San Juan Medical Center</t>
  </si>
  <si>
    <t>Construction of Philippine Air Force Aviation Leaders Excellence Nexus (ALEN)</t>
  </si>
  <si>
    <t>Supply and Delivery of Medical Supply and Equipment for Covid Use</t>
  </si>
  <si>
    <t>Data Acquisition Unit for the Use of AW-109AH Aircraft Nr 824</t>
  </si>
  <si>
    <t>One (1) Lot – Supply and Delivery of Various Drugs and Medicines for 21 Barangays of the City of San Juan</t>
  </si>
  <si>
    <t>20BK0151  Repair/ Maintenance along Jct. Dumabato Norte - Jct. Balligui Road K0373+035 - K0373+065   Maddela, Quirino</t>
  </si>
  <si>
    <t>Supply &amp; delivery of materials for the Impvt of Multi-purpose hall at Cardiz, Bagulin LU</t>
  </si>
  <si>
    <t>construction of multi-purpose hall brgy bugho</t>
  </si>
  <si>
    <t>Main Rotor Blade Assembly for the Use of MD-520MG #439</t>
  </si>
  <si>
    <t>PROCUREMENT OF OFFICE &amp; IT EQUIPMENTS (SB/VM OFFICE)</t>
  </si>
  <si>
    <t>Rehabilitation/Improvement of Multi-Purpose Building</t>
  </si>
  <si>
    <t>Development of New Deep Well Source (2nd Phase)</t>
  </si>
  <si>
    <t>INVITATION TO BID FOR THE PURCHASE OF FUEL, OIL AND LUBRICANTS AND MATERIALS FOR THE MAINTENANCE OF PROVINCIAL ROADS AND BRIDGES AT VALENCIA AREA 2020 AT VALENCIA CITY, BUKIDNON</t>
  </si>
  <si>
    <t>LAND IMPROVEMENT /REHAB. FMR</t>
  </si>
  <si>
    <t>Procurement  of materials for service connection</t>
  </si>
  <si>
    <t>INVITATION TO B ID FOR THE PURCHASE OF HIGH VOLUME LOW SPEED CEILING FAN AT LINGAYEN CIVIC CENTER, LINGAYEN, PANGASINAN</t>
  </si>
  <si>
    <t>SUPPLY AND DELIVERY OF VARIOUS LABORATORY SUPPLIES, CHEMICALS AND PERSONAL PROTECTIVE EQUIPMENT (PB 20-03-24)</t>
  </si>
  <si>
    <t>2nd ITB Rehab. CVR Bayombong-Masoc-Ambaguio Road (Ambaguio Section)</t>
  </si>
  <si>
    <t>Spares for the Unscheduled Maintenance Activities of MD-500ER Nr 8622</t>
  </si>
  <si>
    <t>Supply and Delivery of 30 Units Brand New Motorcycles</t>
  </si>
  <si>
    <t>20CSGK03 - Consultancy Services for the Conduct of Geotechnical Investigation of Various Projects for the Construction Bridges in Negros Occidental Third Legislative District</t>
  </si>
  <si>
    <t>Supply and Delivery of Various Brand New Motor Vehicles (Re-Bid) (BAC-IB NO. 2020-34)</t>
  </si>
  <si>
    <t>Supply and Delivery of Various Quarantine Facility Supplies and Equipment</t>
  </si>
  <si>
    <t>Local Infrastructure Program – Construction and/or Repair/ Rehabilitation of Multi-Purpose Building, Brgy. Quirino Hill, Baguio City</t>
  </si>
  <si>
    <t>Supply and Delivery of Various Office Supplies</t>
  </si>
  <si>
    <t>Purhase of Toners with Free Use of Colored and Monochrome Multi-Function Printers for DSWD-CAR</t>
  </si>
  <si>
    <t>Rehabilitation and Renovation of Southern Police District Firing Range</t>
  </si>
  <si>
    <t>Supply and Delivery of 70 Pieces Steel Sheet Piles</t>
  </si>
  <si>
    <t>SUPPLY AND DELIVERY OF VARIOUS LABORATORY SUPPLIES AND CHEMICALS AND PERSONAL PROTECTIVE EQUIPMENT (PB 20-03-25)</t>
  </si>
  <si>
    <t>20GFC0053: Purchase of Cold Mix Asphalt Materials, DPWH-CNDEO, Maintenance Section</t>
  </si>
  <si>
    <t>20GFC0050: Purchase of Fuel and Lubricants for Use in Various Service Vehicle and Equipment, DPWH-CNDEO, Maintenance Section</t>
  </si>
  <si>
    <t>20GFC0052: Purchase of Materials for the Regravelling of Shoulder along Daang Maharlika K0266+600 – K0269+678 (with exception), Brgy. Rizal, Sta. Elena, Camarines Norte</t>
  </si>
  <si>
    <t>Construction of 1- Unit 2-Storey 4 Classroom Senior High School Technical Vocational Laboratory Bldg. at Pusok NHS</t>
  </si>
  <si>
    <t>Construction of Activity Center with Stage for MAPEH at Bankal National High Schoo,  Bankal, Lapu-Lapu City</t>
  </si>
  <si>
    <t>Construction/ Repair/ Rehabilitation/ Improvement of Various Infrastructure Including Local Projects: Rehabilitation of Multi-Purpose Building (Covered Court), Baguio City</t>
  </si>
  <si>
    <t>Procurement of Farm Machineries/Equipment of Climate Resilient Farm Productivity Support Program of Davao del Sur</t>
  </si>
  <si>
    <t>S3-MOD20-018 &amp; 3 OTHERS - Supply of Two (2) Years Security Services for SPUG Eastern Mindanao Area Plants and Installations</t>
  </si>
  <si>
    <t>Construction of 4-Storey Building with 10 Rooms for the Arts and Design at Looc National High School, Looc, LLC</t>
  </si>
  <si>
    <t>Repair / Improvement of Tourism Bldg,  Pusok, Lapu-Lapu City</t>
  </si>
  <si>
    <t>Procurement of Supplies and Materials for the Mass Reproduction/Printing of SLMs and Modules</t>
  </si>
  <si>
    <t>CONSTRUCTION OF BARANGAY NURSERIES (19 BARANGAYS), ESTABLISHMENT OF VERMICULTURE WITH AFRICAN NIGHT CRAWLER IN 17 BARANGAY AND CONSTRUCTION OF MUNICIPAL NURSERY AT ANISLAGAN</t>
  </si>
  <si>
    <t>Package 32-Procurement of various Infra Projects</t>
  </si>
  <si>
    <t>Invitation to Bid for Construction of Line Canal of Brgy. 1 Mapalad</t>
  </si>
  <si>
    <t>20GFC0051: Purchase of Brush Cutter, Blade, Piles and Accessories, DPWH-CNDEO, Maintenance Section</t>
  </si>
  <si>
    <t>FINANCIAL SUPPORT IN THE ESTABLISHMENT OF MRF</t>
  </si>
  <si>
    <t>Construction of Manpower Human Development Technical Center (MHDTC) at  Olango Is., Lapu-Lapu City</t>
  </si>
  <si>
    <t>Purchase of Medicine</t>
  </si>
  <si>
    <t>PURCHASE OF MULTICAB MINI DUMP TRUCK (4X4)</t>
  </si>
  <si>
    <t>Repair of Comfort Room of Sangunian Panglungsod and Ceiling of Registry of Deeds at CityHall ,Pusok, Lapu-Lapu City</t>
  </si>
  <si>
    <t>Procurement of Supplies and Materials for Repair and Maintenance of Municipal Facilities</t>
  </si>
  <si>
    <t>IMPROVEMENT OF PLACER PUBLIC MARKET.</t>
  </si>
  <si>
    <t>CONCRETING OF BARANGAY ROAD AT BARANGAY PANGHAYAAN, TAYSAN, BATANGAS-093</t>
  </si>
  <si>
    <t>REHABILITATION OF MULTI-PURPOSE HALL</t>
  </si>
  <si>
    <t>RFQ / PR 20-07-1416 / PROCUREMENT OF OBD SCANNER</t>
  </si>
  <si>
    <t>20GFE0019 – PROCUREMENT OF EQUIPMENT AND TOOLS USE FOR MAINTENANCE OF NATIONAL ROADS AND BRIDGES CY 2020</t>
  </si>
  <si>
    <t>Procurement of Materials for Completion of San Isidro Hill Eco Tourism Park at Brgy. San Isidro Pagsanjan, Laguna</t>
  </si>
  <si>
    <t>Procurement of Supplies and Materials for Rehabilitation of Diura Ecolodge</t>
  </si>
  <si>
    <t>FURNISHING OF LABOR AND MATERIALS FOR THE CONSTRUCTION OF MULTIPURPOSE GYM/ EVACUATION CENTER OF BARANGAY NAPNAPAN NORTE, SITIO NASULI, TIGBAUAN, ILOILO</t>
  </si>
  <si>
    <t>SUPPLY AND DELIVERY OF FUEL, OIL AND LUBRICANTS FOR VARIOUS PROGRAMS AND ACTIVITIES OF THIS MUNICIPALITY</t>
  </si>
  <si>
    <t>Procurement of ICT Equipment (REBID)</t>
  </si>
  <si>
    <t>Rehabilitation/Improvement Multi-Purpose Building</t>
  </si>
  <si>
    <t>20GIB0042: Purchase/delivery of Lubricants for use of various vehicles, heavy equipment and Grasscutter</t>
  </si>
  <si>
    <t>Invitation To Bid for Purchase Service Vehicle (Chariot) of Brgy. Harrison</t>
  </si>
  <si>
    <t>PROVISION OF HAND TRACTOR AND POWER SPRAYER FOR THE FARM MECHANIZATION PROGRAM OF THIS MUNICIPALITY</t>
  </si>
  <si>
    <t>ACQUISITION OF BRAND NEW CLOSE VAN FOR SLAUGHTERHOUSE</t>
  </si>
  <si>
    <t>Invitation to Bid - Supplies, Materials and Devices for BE-LCP Learning Modules</t>
  </si>
  <si>
    <t>20GFC0054: Purchase of Reflectorized Traffic Paint, DPWH-CNDEO, Maintenance Section</t>
  </si>
  <si>
    <t>CONCRETING OF BRGY. ROADS AT SITIO SULAYON</t>
  </si>
  <si>
    <t>Lot 1:Two (2) units Electric Pallet Truck; and Lot 2:Two (2) units Diesel Forklift</t>
  </si>
  <si>
    <t>RB2020-08-266 ASPHALT OVERLAY OF BARANGAY ROAD</t>
  </si>
  <si>
    <t>Supply and delivery of Medicine for emergency used for Covid 19 case.</t>
  </si>
  <si>
    <t>RB2020-08-265 PROCUREMENT OF SERVICE VEHICLE FOR ENGINEERING OFFICE</t>
  </si>
  <si>
    <t>Procurement of Printing Supplies</t>
  </si>
  <si>
    <t>Supply and Delivery of 1 Unit Heavy Duty Lathe Machine</t>
  </si>
  <si>
    <t>RB2020-08-264 SUPPLY DELIVERY OF MEDICINES FOR RHU-II AND RHU-III</t>
  </si>
  <si>
    <t>RB2020-08-267 SUPPLY DELIVERY OF SIX(6) UNITS BRAND NEW LAPTOP COMPUTER</t>
  </si>
  <si>
    <t>PROCUREMENT OF INFORMATION TECHNOLOGY (IT) EQUIPMENT (2020)</t>
  </si>
  <si>
    <t>Procurement of Delivery Meat Van, Slaughter House at Sto Domingo, LGU-Nabua, Camarines Sur</t>
  </si>
  <si>
    <t>IMPROVEMENT OF MULTIPURPOSE /EVACUATION CENTER</t>
  </si>
  <si>
    <t>SUPPLY, DELIVERY AND INSTALLATION OF AIRCONDITIONING UNITS INCLUDING WALL BRACKETS FOR OUTDOOR UNITS OF BUREAU OF AGRICULTURE AND FISHERIES STANDARDS BUILDING</t>
  </si>
  <si>
    <t>SUPPLY AND DELIVERY OF MEDICINES AND MEDICAL SUPPLIES FOR RHU II</t>
  </si>
  <si>
    <t>CONSTRUCTION OF FOOTBRIDGE - PHASE I</t>
  </si>
  <si>
    <t>CONCRETING OF BRGY. ROADS AT SITIO PULOS</t>
  </si>
  <si>
    <t>OFFICE EQUIPMENT SUPPLIES</t>
  </si>
  <si>
    <t>I.T. EQUIPMENT/CONSUMABLES</t>
  </si>
  <si>
    <t>Procurement of Materials for the Improvement of San Isidro Hill Eco Tourism Park at Brgy. San Isidro Pagsanjan, Laguna</t>
  </si>
  <si>
    <t>RFQ2020-08-047_PROCUREMENT OF TWO (2) UNITS RECEIPT PRINTER FOR TELLER’S USE</t>
  </si>
  <si>
    <t>Expansion of Level-II Water Supply System (Brgy.Pag-Asa) -MEO</t>
  </si>
  <si>
    <t>Expansion of Level-II Water Supply System (So. Aplaya, Burgos) -MEO</t>
  </si>
  <si>
    <t>20GIB0043: Purchase/delivery of Technical &amp; Scientific Equipment for use at the Planning and Design Section</t>
  </si>
  <si>
    <t>Local Access Road( Cacabelos street, Paetan) -MEO</t>
  </si>
  <si>
    <t>Supply and delivery of Materials (Lot #1), Good Lumber (Lot #2), Fuel &amp; Diesel (Lot #3) and Labor (Lot #4) for Proposed Road Concreting from National Highway Sta. 000+015 to Sta. 000+315m leading to B</t>
  </si>
  <si>
    <t>Local Access Road( So. Receiving to Pandan, Sta. Lucia) -MEO</t>
  </si>
  <si>
    <t>installation of integrated solar street lights at Sitio Proper</t>
  </si>
  <si>
    <t>Provision Crates</t>
  </si>
  <si>
    <t>Local Access Road(So. Tiloy, Ilvita)</t>
  </si>
  <si>
    <t>Rehabilitation of Sabangan Footbridge</t>
  </si>
  <si>
    <t>Provision of Gongs and Solibaos</t>
  </si>
  <si>
    <t>Local Access Road(So. Aplaya, Burgos)</t>
  </si>
  <si>
    <t>Expansion of Level-II Water Supply System - Brgy Ilvita  - MEO</t>
  </si>
  <si>
    <t>Construction of Two Storey Commercial Building</t>
  </si>
  <si>
    <t>ITB# 133-2020 Other Supplies and Materials</t>
  </si>
  <si>
    <t>ITB# 132-2020 Other Supplies and Materials</t>
  </si>
  <si>
    <t>MUNICIPAL SOCIAL WELFARE AND DEVELOPMENT OFFICE (MSWDO) DATA PROFILING SYSTEM</t>
  </si>
  <si>
    <t>Construction of Multi-Purpose Hall (Justice Hall)</t>
  </si>
  <si>
    <t>Construction of Barangay Road - San Nicolas GEA Road  - MEO</t>
  </si>
  <si>
    <t>ITB# 135-2020 Repair &amp; Maintenance IT Equipment &amp; Software</t>
  </si>
  <si>
    <t>Procurement of Supply and delivery of unplasticized polyvinyl Chloride (UPVC) Pipes and HDPE Tubing SDR. 11</t>
  </si>
  <si>
    <t>Main Server computer</t>
  </si>
  <si>
    <t>Supply and Delivery of One (1) Unit Brand New Emergency Vehicle for use in the City Government of Balanga, Bataan</t>
  </si>
  <si>
    <t>Supply and Delivery of One (1) Unit Brand New Response Vehicle for use in the City Government of Balanga, Bataan</t>
  </si>
  <si>
    <t>Procurement of Medical Supplies and Laboratory Instrument</t>
  </si>
  <si>
    <t>SUPPLY AND DELIVERY OF 1 UNIT GENERATOR SET, 4 UNITS HAND TRUCK TROLLEY, 1 PC. PALLET STACKER AND 100 PCS. PLASTIC PALLET UNDER IFUGAO COFFEE PROCESSING AND MARKETING ENTERPRISE</t>
  </si>
  <si>
    <t>Procurement of Laboratory Supplies and Equipment</t>
  </si>
  <si>
    <t>IV Cannula G-18 etc. (07-0825) CCAH</t>
  </si>
  <si>
    <t>ITB# 134-2020 Other Supplies and Materials</t>
  </si>
  <si>
    <t>Supply of Labor and Materials for the Repair of Erosion Control and Flood Control Structures at Abuyog Experiment Station</t>
  </si>
  <si>
    <t>Replacement of Damaged Rubber Dock Fenders @ Domestic Area, Cebu Baseport</t>
  </si>
  <si>
    <t>Purchase of Seventy Three (73) Units Computer Desktop</t>
  </si>
  <si>
    <t>Module School Year 2020-2021</t>
  </si>
  <si>
    <t>SUPPLY AND DELIVERY OF 125 PCS. HERMETIC BAG, 25 PCS. HDPE DRUMS AND 1 UNIT BAG CLOSURE MACHINE UNDER IFUGAO COFFEE PROCESSING AND MARKETING ENTERPRISE</t>
  </si>
  <si>
    <t>Underdeck Retrofitting and Concrete Shotcreting of Pier 2, Cebu Baseport</t>
  </si>
  <si>
    <t>PBD 20-097 Handheld Tablet</t>
  </si>
  <si>
    <t>Straight Contract for Construction of Public Market, Brgy. Su-ay, Himamaylan City</t>
  </si>
  <si>
    <t>PBD 20-098 GPU Server</t>
  </si>
  <si>
    <t>Supply and Delivery of Planting Materials</t>
  </si>
  <si>
    <t>Supply and Delivery of Weighing Scale (PR No. 20-06-0247)</t>
  </si>
  <si>
    <t>Installation of Steel Railings at Tabangaoen</t>
  </si>
  <si>
    <t>SUPPLY AND DELIVERY OF MATERIALS FOR THE CONSTRUCTION OF ONE (1) UNIT DEL MONTE PUBLIC OFFICE BUILDING</t>
  </si>
  <si>
    <t>20PI0092 - Constn/Rehab/Impvt of Waterworks, Brgy. Bontoc Ili, Poblacion and Calutit, Bontoc, Mountain Province (Re-ITB)</t>
  </si>
  <si>
    <t>Procurement of Pumpboat/Motorboat</t>
  </si>
  <si>
    <t>Construction of Slope Protection (Right-side of Municipal Evacuation Center)</t>
  </si>
  <si>
    <t>PBD 20-086A Fixed Spectrum RWB and RW Tube</t>
  </si>
  <si>
    <t>Repair of Cabunga-an Multi-Purpose Building</t>
  </si>
  <si>
    <t>Procurement of Drugs and Medicine</t>
  </si>
  <si>
    <t>CONSTRUCTION OF BARANGAY EVACUATION CENTER (PHASE I)</t>
  </si>
  <si>
    <t>SUPPLY AND DELIVERY OF OFFICE EQUIPMENT FOR SEF</t>
  </si>
  <si>
    <t>Construction of Drainage Canal with Steel Grills at Central</t>
  </si>
  <si>
    <t>INVITATION TO BID FOR THE SUPPLY AND DELIVERY OF 1 UNIT BRAND NEW DROPSIDE TRANSPORT VEHICLE FOR ENVIRONMENTAL AND MANAGEMENT PROTECTION IN OROQUIETA CITY (SECOND NOTICE)</t>
  </si>
  <si>
    <t>Supply and Delivery of Furniture and Fixtures (PR No. 20-08-0305)</t>
  </si>
  <si>
    <t>Construction of  San Jose Water System</t>
  </si>
  <si>
    <t>Construction of Drainage Canal and footpath near joan mangadchil Area nearing Nilda Dalgis area at Botiwtiw</t>
  </si>
  <si>
    <t>Procurement and Delivery of Various Office Supplies for 3rd and 4th quarter CY 2020</t>
  </si>
  <si>
    <t>Contract No.: 20-013    PROCUREMENT OF INFRASTRUCTURE FOR THE UPGRADING OF LOCAL ACCESS ROAD SECTION-SEGMENT 1 FROM BRGY. MINAROG- BRGY. MAYPANGE CROSSING CANDUMACOL - INALAD</t>
  </si>
  <si>
    <t>Construction of Riprap Wall with sidewalk at Tebteb Balili</t>
  </si>
  <si>
    <t>Contract No.: 20-012    PROCUREMENT OF ONE (1)-UNIT MULTI-PURPOSE VEHICLE</t>
  </si>
  <si>
    <t>Contract No.: 20-010    PROCUREMENT OF INFRASTRUCTURE FOR THE CONCRETING OF PATHWAY FROM BRGY. CAPAYSAGAN TO BRGY. MALONOY</t>
  </si>
  <si>
    <t>Supply and Delivery of Fabricated Trash Bin (PR No. 20-07-0294)</t>
  </si>
  <si>
    <t>PURCHASE OF BOOKS FOR MSU-SULU (RE-POSTING)</t>
  </si>
  <si>
    <t>Printing or Purchase of Modules for Junior High School and Senior High School</t>
  </si>
  <si>
    <t>Supply and Delivery of Laboratory Equipment</t>
  </si>
  <si>
    <t>Construction of Water Supply System @ Misok, Sindangan, Zamboanga del Norte</t>
  </si>
  <si>
    <t>Outside labor (w/ necessary tools/equipment) and materials for fabrication with 3 coat painting finished including installation of various /assorted  furnitures and partition divider</t>
  </si>
  <si>
    <t>Supply and Delivery of Circuit Breakers and Other Items; PR No. 20-0550 dated 29 January 2020; SN 177 - 2020</t>
  </si>
  <si>
    <t>Purchase of Four (4) units Brand New Walk Behind Roller (600-800 kgs. Cap.), for Provincial Engineer’s Office use, Province of Negros Oriental (B-122-2020)</t>
  </si>
  <si>
    <t>Contract No.: 20-011    PROCUREMENT OF INFRASTRUCTURE FOR THE DUMPSITE CLOSURE PLAN IMPLEMENTATION (PHASE 3)</t>
  </si>
  <si>
    <t>Purchase of One (1) Year Subscription of Internet Services with minimum of 20mbps dedicated bandwidth Unlimited. With at least 5mbps Committed Information Rate (CIR): Re-Posting</t>
  </si>
  <si>
    <t>PROCUREMENT OF DESIGN AND BUILD SCHEME FOR THE  CONSTRUCTION OF VIEWING DECK FOR THE IMPROVEMENT OF  ATABAY PEAK</t>
  </si>
  <si>
    <t>Completion of San Simon Water System (Partial); SN 188 - 2020</t>
  </si>
  <si>
    <t>PROCUREMENT OF LABOR AND MATERIALS FOR THE  IMPROVEMENT OF POBLACION WATER SYSTEM – DISTRIBUTION  LINES</t>
  </si>
  <si>
    <t>Supply and Delivery of One (1) Unit Van Type Vehicle; PR No. 20-1580 dated 23 March 2020; SN 170a - 2020</t>
  </si>
  <si>
    <t>eMail Infrastructure Technology Refresh</t>
  </si>
  <si>
    <t>PROCUREMENT OF MOBILE SOUND SYSTEM</t>
  </si>
  <si>
    <t>PROCUREMENT OF LABOR AND MATERIALS FOR THE  CONSTRUCTION OF MUNICIPAL STORAGE FACILITY</t>
  </si>
  <si>
    <t>CONSTRUCTION OF MULTI PURPOSE BUILDING AT BARANGAY A-ET, BRGY. A-ET, SULAT, EASTERN SAMAR</t>
  </si>
  <si>
    <t>PROCUREMENT OF IT EQUIPMENT FOR TUBURAN DEPED</t>
  </si>
  <si>
    <t>PROPOSED CONSTRUCTION OF GORA LANE POCKET GARDENS ALONG MOTHER IGNACIA AVENUE</t>
  </si>
  <si>
    <t>Supply and delivery of tires for Garbage Truck</t>
  </si>
  <si>
    <t>Supply and Delivery of Assorted Construction Materials</t>
  </si>
  <si>
    <t>Purchase of  Tractor Trailer</t>
  </si>
  <si>
    <t>Purchase of Ambulance, Gerona, Tarlac</t>
  </si>
  <si>
    <t>Labor and Materials for the Construction of New Rural Health Unit  (Phase II)</t>
  </si>
  <si>
    <t>Supply and On-Site Delivery of Agri-Inputs (Vegetable Seeds &amp; Fertilizer) 2nd posting</t>
  </si>
  <si>
    <t>CONSTRUCTION OF DRAINAGE CANAL ALONG OBNIMAGA STREET POBLACION, SIBUTAD, ZAMBOANGA DEL NORTE</t>
  </si>
  <si>
    <t>Supply and On-Site Delivery of Agri-Inputs(Rice &amp; Corn) For Municipality of Lambayong 2nd Posting</t>
  </si>
  <si>
    <t>Rehab./Imp. of Core Local Access Road</t>
  </si>
  <si>
    <t>“SUPPLY AND DELIVERY OF CONSTRUCTION SUPPLIES AND MATERIALS”</t>
  </si>
  <si>
    <t>SERVICES OF GUARDS/IB No. N-2020-004</t>
  </si>
  <si>
    <t>20GPG0002 - PURCHASE AND DELIVERY OF OFFICE SUPPLIES AND EQUIPMENT FOR USE OF PLANNING AND DESIGN SECTION, DPWH-IFUGAO FIRST DISTRICT ENGINEERING OFFICE</t>
  </si>
  <si>
    <t>Labor and Materials for the Construction of City Animal Impounding Center at City Nursery, Lara, City of San Fernando, Pampanga</t>
  </si>
  <si>
    <t>Supply and On-Site Delivery of Agri-Inputs Livestock &amp; Poultry Feeds) 2nd Posting</t>
  </si>
  <si>
    <t>Supply and Delivery of Assorted Office/Other Supplies and Materials</t>
  </si>
  <si>
    <t>Procurement of Fuel and Lubricants</t>
  </si>
  <si>
    <t>SUPPLY AND DELIVERY OF DAYCARE CENTER SCHOOL SUPPLIES.</t>
  </si>
  <si>
    <t>Procurement of Information Technology</t>
  </si>
  <si>
    <t>Procurement of Materials for the Construction of Comfort Room</t>
  </si>
  <si>
    <t>Procurement of Spare Parts-08-474(O)PEO</t>
  </si>
  <si>
    <t>PURCHASE OF OFFICE DEVICES (DESKTOP, LAPTOP &amp; PRINTER)</t>
  </si>
  <si>
    <t>REPAIR/MAINTENANCE OF ELECTRICAL FACILITIES</t>
  </si>
  <si>
    <t>SUPPLY OF LABOR &amp; MATERIALS FOR THE PROPOSED LEVEL II WATER SYSTEM AT BARANGAY CATANG, ARGAO, CEBU</t>
  </si>
  <si>
    <t>Purchase of IT Equipment for Accessing Data away from Home or Office, System Management, Works Projects/Programs Virtually and Reproduction of Learning Resources.</t>
  </si>
  <si>
    <t>FRT-19-1689-B(Rebid) - PURCHASE OF DEFIBRILLATOR</t>
  </si>
  <si>
    <t>Construction/Concreting of Solupan- Mangcal Road, Brgy. Solupan Et. Al., Paranas</t>
  </si>
  <si>
    <t>Purchase of Risograph Equipments for reproduction of support instructional materials for Public Schools Under New Normal.</t>
  </si>
  <si>
    <t>PROCUREMENT OF MATERIALS FOR REHABILITATION AND EXTENSION OF THE MULTI-PURPOSE BUILDING</t>
  </si>
  <si>
    <t>“SUPPLY AND DELIVERY OF FIFTY (50) PIECES PLASTIC DRUMS (WATER CONTAINER)”</t>
  </si>
  <si>
    <t>PROCUREMENT OF CONSTRUCTION MATERIALS  (FOR CONSTRUCTION OF DEEPWELL TANK, BRGY. 2 – PHASE II)</t>
  </si>
  <si>
    <t>Supply and On-Site Delivery of Non-Agri-Inputs 2nd Posting</t>
  </si>
  <si>
    <t>Supply and On-Site Delivery of Non-Production Inputs (IT Equipment) 2nd Posting</t>
  </si>
  <si>
    <t>Purchase of Office Supplies for operation of Maintenance for Public Schools Under New Normal. Ilog, Neg. Occ.</t>
  </si>
  <si>
    <t>Procurement of Hardware Materials used for Construction Rehabilitation of A. Taruc, Socorro, SDN</t>
  </si>
  <si>
    <t>Supply, Delivery &amp; Installation of Two (2) Units High Volume Low Speed (HVLS) Fan for Public Market, Gerona, Tarlac</t>
  </si>
  <si>
    <t>20DD0383 Concreting of Farm-to-Mill Road, Brgy. Pangao, Ibaan, Batangas</t>
  </si>
  <si>
    <t>1             	unit  		Risograph (DepEd -Carrascal District)</t>
  </si>
  <si>
    <t>Procurement of Ambulance</t>
  </si>
  <si>
    <t>Q-125-20 UPGRADING OF POWER LINES OF THE COLLEGE</t>
  </si>
  <si>
    <t>SUPPLY AND DELIVERY OF PRINTING EQUIPMENT AND MATERIALS FOR PRINTING OF LEARNING RESOURCES FOR NEW NORMAL APPROACH.</t>
  </si>
  <si>
    <t>S3-BAD20-013 &amp; 4 OTHERS - Supply and Delivery of Various Mechanical Spare Parts of Cummins Generator Sets of SPUG WMOD Plants</t>
  </si>
  <si>
    <t>PWS DRILLING PRODUCTION DEEP WELL Sitio Dalsan, Barangay Kalilangan, Tubod, Lanao del Norte</t>
  </si>
  <si>
    <t>CONSTRUCTION OF PUBLIC CEMETERY, PHASE II</t>
  </si>
  <si>
    <t>Construction of Masonry Drainage Structure, Along Pagulayan Street, Ugac Norte, Tuguegarao City</t>
  </si>
  <si>
    <t>Construction of Masonry Drainage Structure, Along Iringan Street - Bariuan Alley (Interior Road), Ugac Norte, Tuguegarao City</t>
  </si>
  <si>
    <t>Construction of Masonry Drainage Structure, Along Iringan Street - Sacramento Alley (Interior Road), Ugac Norte, Tuguegarao City</t>
  </si>
  <si>
    <t>INVITATION TO BID FOR IMPLEMENTATION OF "TV ARALAN" SERIES UNDER RETOOLED COMMUNITY SUPPORT PROGRAM (RCSP)</t>
  </si>
  <si>
    <t>Construction of Multi-Purpose Covered Court in Brgy. San Vicente</t>
  </si>
  <si>
    <t>Supply and On-Site Delivery of Farm Machinery (Set -C) 2nd Posting</t>
  </si>
  <si>
    <t>Supply and On-Site Delivery of Farm Machinery (Set -B) 2nd Posting</t>
  </si>
  <si>
    <t>Construction of Slope Protection in Brgy. Capaoay</t>
  </si>
  <si>
    <t>Road Widening going to Senior High School in Brgy. Capaoay</t>
  </si>
  <si>
    <t>PROCUREMENT OF VARIOUS MATERIALS FOR KABUHAYAN STARTER KIT ( NEGO KART) UNDER DOLE-DILEEP</t>
  </si>
  <si>
    <t>20OI0132: Repair/ Maintenance of DSWD Building, Haven for Women- Ilang-ilang Building, Brgy. Alabang, Muntinlupa City</t>
  </si>
  <si>
    <t>20DD0384 Concreting of Farm-to-Mill Road, Brgy. Quilo-Quilo South, Padre Garcia, Batangas</t>
  </si>
  <si>
    <t>Procurement of Livestock and Poultry Rehabilitation due to Typhoon Ursula, Province of Aklan/ITB no: 2020-451</t>
  </si>
  <si>
    <t>For use in H3-6700 Hino Dumptruck, DPWH, Pagadian City</t>
  </si>
  <si>
    <t>Purchase of One (1) Unit Wheeled Backhoe</t>
  </si>
  <si>
    <t>Procurement of Lumber &amp; Aggregates used for Repair/ Improvement of Tourism Hub/ Waiting Area @ Brgy. Navarro, Socorro, SDN</t>
  </si>
  <si>
    <t>CONSTRUCTION OF MOTORPOOL AND WAREHOUSE PHASE IX</t>
  </si>
  <si>
    <t>Purchased of Materials for the Construction of Drainage Canal</t>
  </si>
  <si>
    <t>Procurement of Aggregates used for Construction Rehabilitation of A. Taruc, Socorro, SDN</t>
  </si>
  <si>
    <t>Construction of Multi-Purpose Center in Brgy. Capaoay – Phase II</t>
  </si>
  <si>
    <t>For use in Maintenance Section, Service Vehicle, DPWH. Pagadian City</t>
  </si>
  <si>
    <t>For use in Construction Section, Service Vehicle, DPWH, Pagadian City</t>
  </si>
  <si>
    <t>Procurement of Civil Works for the Concreting of Roadway Shoulder</t>
  </si>
  <si>
    <t>Construction/ Repair of LEVEL III Potable Water System</t>
  </si>
  <si>
    <t>For use in Construction Service Vehicle, Ford Everest KDT-199</t>
  </si>
  <si>
    <t>Supply and Delivery of various construction materials for the improvement of Palay Drying Plant &amp; Warehouse Facility, Brgy. Unzad, Villasis, Pangasinan</t>
  </si>
  <si>
    <t>CCTV Supplies &amp; Maintenance</t>
  </si>
  <si>
    <t>Supply and Delivery of Various ICT Equipment  (Operational Lease)</t>
  </si>
  <si>
    <t>20OI0135: Completion/Rehabilitation of School Building and other Improvement, Golden Acres Elementary School, Talon 1, Las Pinas City</t>
  </si>
  <si>
    <t>Invitation to Bid for the Supply and Delivery of Materials for the Street Lighting at Poblacion, Daanbantayan, Cebu</t>
  </si>
  <si>
    <t>Supply &amp; Installation of Wooden Doors &amp; Aluminum Glass Window used for Repair/ Improvement of Tourism Hub/ Waiting Area @ Brgy. Navarro, Socorro, SDN</t>
  </si>
  <si>
    <t>PR-2020-1869 Twenty Two (22) Units Brand New Digital Duplicator-DepEd</t>
  </si>
  <si>
    <t>PROCUREMENT OF VULCANIZING &amp; CARWASH SUPPLIES  AND MOTOR PARTS</t>
  </si>
  <si>
    <t>For use in Nissan Navarra UOG-575, QAS Service Vehicle, DPWH, Pagadian City</t>
  </si>
  <si>
    <t>PROPOSED GORA LANE PHASE 1 ALONG SCOUT TOBIAS STREET (FROM SCOUT CHUATOCO STREET TO MOTHER IGNACIA AVENUE)</t>
  </si>
  <si>
    <t>Procurement of Civil Works for the Construction / Repair of Barangay Gymnasium Roofing</t>
  </si>
  <si>
    <t>Purchase of Materials (Blown Asphalt) for re-sealing of Concrete Joints and Crack Along Jct. Blancia - Molave - Mahayag - Josefina Road, ZdelS.</t>
  </si>
  <si>
    <t>Construction of Various Projects - Package X</t>
  </si>
  <si>
    <t>Procurement of Security Services 2020</t>
  </si>
  <si>
    <t>20OI0133: Repair / Maintenance of DSWD Building, Marillac Hills Storage Building,  Brgy. Alabang, Muntinlupa City</t>
  </si>
  <si>
    <t>Supply and Delivery of ICT Equipment (Laptop) (Operational Lease)</t>
  </si>
  <si>
    <t>PROCUREMENT OF VEGETABLE SEEDS FOR BIO INTENSIVE GARDENING</t>
  </si>
  <si>
    <t>20OI0134: Construction of Drainage System including other Improvement, Alabang Elementary School, Alabang, Muntinlupa City</t>
  </si>
  <si>
    <t>ECCD CHECKLIST BOOKLET</t>
  </si>
  <si>
    <t>Purchase and Deliver of Twelve (12) unit of Tablet to be used in the Sangguniang Office of the Local Government Unit of Mansalay, Oriental Mindoro</t>
  </si>
  <si>
    <t>CONSTRUCTION OF ECO GREEN PARK PERIMETER FENCE</t>
  </si>
  <si>
    <t>Purchased and Delivery of One (1) UNIT CHAINSAW</t>
  </si>
  <si>
    <t>Inabaan Catering Services Project</t>
  </si>
  <si>
    <t>Electrical Materials	 (Maintenance of Municipal Building)</t>
  </si>
  <si>
    <t>PROPOSED  GORA LANE PHASE 1 ALONG DOñA HEMADY AVENUE (FROM 10th STREET TO SCOUT CHUATOCO STREET)</t>
  </si>
  <si>
    <t>Rehabilitation of PWS (Potable Water System) for Barangay Bogayo</t>
  </si>
  <si>
    <t>PROPOSED GORA LANE PHASE 1 ALONG DOñA HEMADY AVENUE (FROM AURORA BLVD TO 10th STREET)</t>
  </si>
  <si>
    <t>Supply &amp; Delivery of Computerized Integrated Office Management System for Sangguniang Bayan in this Municipality, LGU Villasis, Pangasinan</t>
  </si>
  <si>
    <t>Supply and On-Site Delivery of Farm Machineries (Set -A) 2nd Posting</t>
  </si>
  <si>
    <t>Invitation to Bid For the Completion of CURMA Building at Siitio Canghaling</t>
  </si>
  <si>
    <t>PROCUREMENT OF GADGETS ( TABLETS)</t>
  </si>
  <si>
    <t>CONSTRUCTION OF BARANGAY ISOLATION UNITWITH TOILET &amp; BATHROOM @ DAJA DIOT</t>
  </si>
  <si>
    <t>Supply of Labor, Materials and Equipment for the Proposed Water System at Purok Pandayan 2, Brgy. Balirong, City of Naga, Cebu</t>
  </si>
  <si>
    <t>Invitation to bid for the concreting of barangay road at Magsaysay to San Mateo Road Section, Uson, Masbate</t>
  </si>
  <si>
    <t>Procurement of Brand New Power Transformer</t>
  </si>
  <si>
    <t>ITB-PHILGUARANTEE Security Services</t>
  </si>
  <si>
    <t>Invitation to bid for the rehabilitation and improvement of slaughter house at Buenavista, Uson, Masbate</t>
  </si>
  <si>
    <t>PR-2020-2006 Various Food Supplies-PGO</t>
  </si>
  <si>
    <t>PROPOSED GORA LANE PHASE 1 ALONG MOTHER IGNACIA AVENUE (FROM EDSA TO SCOUT TOBIAS STREET)</t>
  </si>
  <si>
    <t>For use in Construction Service Vehicle, Toyota Hi-Lux LHL-309</t>
  </si>
  <si>
    <t>PR-2020-1593 Medical Supplies-PHO</t>
  </si>
  <si>
    <t>SUPPLY AND DELIVERY OF 4 IN 1 HEAVY DUTY PRINTER/PHOTOCOPIER FOR SEF</t>
  </si>
  <si>
    <t>One (1) Lot Geotechnical Equipment</t>
  </si>
  <si>
    <t>Delivery and Supply of Various Office Equipment for the Adoption of Distance Learning (DEP-ED)</t>
  </si>
  <si>
    <t>PR-2020-1356 Drugs &amp; Medicines-PHO</t>
  </si>
  <si>
    <t>Procurement of Stone Tile Roofing used for Repair/ Improvement of Tourism Hub/ Waiting Area @ Brgy. Navarro, Socorro, SDN</t>
  </si>
  <si>
    <t>INVITATION TO BID FOR VEHICLE (4 WHEELS) AND ACCESSORIES (BID NO. 200903-04)</t>
  </si>
  <si>
    <t>Disinfection and Sanitization Services for Municipal Hall, Rural Health Center, Isolation Facilities and other government entities including houses of Covid 19 Positive Patient (one month)</t>
  </si>
  <si>
    <t>20OI0136: Rehabilitation of Road including Drainage, Brgy. Pamplona 2,  Las Pinas City</t>
  </si>
  <si>
    <t>REHABILITATION/IMPROVEMENT OF LUMOCAB BRIDGE</t>
  </si>
  <si>
    <t>Repair and Maintenance of Payloader</t>
  </si>
  <si>
    <t>Supply &amp; Installation of Signage used for Repair/ Improvement of Tourism Hub/ Waiting Area @ Brgy. Navarro, Socorro, SDN</t>
  </si>
  <si>
    <t>PURCHASE OF FOUR (4) UNITS SWM / EMERGENCY MULTI-PURPOSE VEHICLE FOR SWM/DRRM PROGRAMS OF THE POBLACION BARANGAYS (BRGYS 1, 2, 3 &amp; 5)</t>
  </si>
  <si>
    <t>SUPPLY &amp; DELIVERY OF OFFICE SUPPLIES FOR ALL ELEMENTARY SCHOOLS IN BAGULIN, LA UNION</t>
  </si>
  <si>
    <t>Procurement of Hardware Materials used for Road Concreting of Purok 1 @ Brgy. Sta. Cruz, Socorro, SDN</t>
  </si>
  <si>
    <t>INVITATION TO BID FOR NO CATEGORY (CONSULTING SERVICES - ORGANIZATIONAL ASSESSTMENT) (BID NO. 200903-01)</t>
  </si>
  <si>
    <t>Procurement of Fuel &amp; Lubricants used for Completion of Salog-Busay Access Road @ Brgy. Salog, Socorro, SDN</t>
  </si>
  <si>
    <t>20BBGOODS-001 Supply &amp; Delivery of Materials for the Construction of Perimeter Fence @ Brgy. Multi-purpose Hall, Purok 1, Brgy. Bayombon, Masbate City</t>
  </si>
  <si>
    <t>procurement of double cab truck (garbage truck)rebid</t>
  </si>
  <si>
    <t>INVITATION TO BID FOR PURCHASE OF MATERIALS FOR LEVEL II WATER SYSTEM - First Bidding</t>
  </si>
  <si>
    <t>Procurement of Motorcycle (125cc),rebid</t>
  </si>
  <si>
    <t>Procurement of Hardware Materials used for Completion of Salog-Busay Access Road @ Brgy. Salog, Socorro, SDN</t>
  </si>
  <si>
    <t>Procurement of Lumber &amp; Aggregates used for Completion of Salog-Busay Access Road @ Brgy. Salog, Socorro, SDN</t>
  </si>
  <si>
    <t>Purchase of ICT Supplies and Equipment</t>
  </si>
  <si>
    <t>INVITATION TO BID FOR TIRE, BATTERIES, AND ACCESSORIES - 4 WHEELS (BID NO. 200903-08)</t>
  </si>
  <si>
    <t>CONSTRUCTION OF 100 CU. M. CONCRETE RESERVOIR</t>
  </si>
  <si>
    <t>Procurement of Lumber &amp; Aggregates used for Road Concreting of Brgy. Streets @ Brgy. Rizal, Socorro, SDN</t>
  </si>
  <si>
    <t>INVITATION TO BID FOR VEHICLE (4 WHEELS) AND ACCESSORIES (BID NO. 200903-07)</t>
  </si>
  <si>
    <t>INVITATION TO BID FOR VEHICLE (4 WHEELS) AND ACCESSORIES (BID NO. 200903-02)</t>
  </si>
  <si>
    <t>CID No. 20IC0081: Concreting of Sitio Caulanghan, Brgy. Barayong FMR, Brgy. Barayong, Palo, Leyte; ABC: P11,940,000.00; 61 CD</t>
  </si>
  <si>
    <t>INVITATION TO BID FOR VEHICLE (4 WHEELS) AND ACCESSORIES (BID NO. 200903-06)</t>
  </si>
  <si>
    <t>INVITATION TO BID FOR VEHICLE (4 WHEELS) AND ACCESSORIES (BID NO. 200903-05)</t>
  </si>
  <si>
    <t>Construction of Road Network going to Sanitary Landfill Facility of LGU Buluan, Maguindanao, BARMM.</t>
  </si>
  <si>
    <t>INVITATION TO BID FOR VEHICLE (4 WHEELS) AND ACCESSORIES (BID NO. 200903-03)</t>
  </si>
  <si>
    <t>SUPPLY AND DELIVERY OF ADULT THERMAL TRANSFER SNAP CLOSURE WHITE PATIENT WRISTBANDS WITH CLIP (FOR SATO) THROUGH ORDERING AGREEMENT</t>
  </si>
  <si>
    <t>CONSTRUCTION OF LEVEL III WATER SUPPLY SYSTEM (Installation of Transmission Line from the water source in the Municipality of Calbiga, Samar to the Tapping Point Leading to the Municipality of Villare</t>
  </si>
  <si>
    <t>Construction of 3STY6CL, Tamaoyan ES, Legazpi City, Albay</t>
  </si>
  <si>
    <t>Purchase of Fortified Powdered Milk Drink</t>
  </si>
  <si>
    <t>Procurement of Hardware Materials used for Road Concreting of Brgy. Streets @ Brgy. Rizal, Socorro, SDN</t>
  </si>
  <si>
    <t>Project: Procurement of Hardware Materials used for Rehabilitation of Senior Citizen's Building @ Brgy. Navarro, Socorro, SDN</t>
  </si>
  <si>
    <t>Supply and delivery DRUG and MEDICINES</t>
  </si>
  <si>
    <t>Construction of Transmitter Tower at Molino III</t>
  </si>
  <si>
    <t>Procurement of Supply, Delivery, Testing and Commissioning of GAS FLOW ANALYZER</t>
  </si>
  <si>
    <t>CID No. 20IC0086: Const. of One-Storey, Three Classroom School Building, Lukay Elementary School, Alangalang, Leyte; ABC: P6,518,468.56; 111 CD</t>
  </si>
  <si>
    <t>INVITATION TO BID FOR MEASUREMENT AND ANALYSIS INSTRUMENTS (BID NO. 200903-10)</t>
  </si>
  <si>
    <t>CID No. 20IC0084: Const. of Two-Storey, Six-Classroom School Building, San Jose Elementary School, Palo, Leyte; ABC: P14,404,483.72; 164 CD</t>
  </si>
  <si>
    <t>CID No. 20IC0080: Concreting of Brgy. Arado FMR, Brgy. Arado, Palo, Leyte; ABC: P11,940,000.00; 66 CD</t>
  </si>
  <si>
    <t>Procurement of 1 unit motorcycle</t>
  </si>
  <si>
    <t>INVITATION TO BID FOR MEASUREMENT AND ANALYSIS INSTRUMENTS (BID NO. 200903-09)</t>
  </si>
  <si>
    <t>CID No. 20IC0083: Concreting of Brgy. Katipunan-Sitio Dango, Brgy. Pitogo FMR, Brgy. Katipunan, Sta. Fe, Leyte; ABC: P11,940,000.00; 61 CD</t>
  </si>
  <si>
    <t>INVITATION TO BID FOR GROCERIES (BID NO. 200903-12)</t>
  </si>
  <si>
    <t>CID No. 20IC0085: Const. of One-Storey, Four-Classroom School Building, Babatngon Central School, Babatngon, Leyte; ABC: P8,611,601.97; 123 CD</t>
  </si>
  <si>
    <t>PROCUREMENT OF CONSTRUCTION MATERIALS FOR CONSTRUCTION OF POBLACION SEAWALL</t>
  </si>
  <si>
    <t>Invitation To Bid for the Reproduction of First and Second Quarter Modules for Distribution</t>
  </si>
  <si>
    <t>SEED</t>
  </si>
  <si>
    <t>Construction of 2STY6CL, Banquerohan Resettlement Elementary School, Legazpi City, Albay</t>
  </si>
  <si>
    <t>INVITATION TO BID FOR ROAD CONSTRUCTION MATERIALS (BID NO. 200903-11)</t>
  </si>
  <si>
    <t>Concreting of Barangay Road at Various Locations Bansalan, Davao del Sur</t>
  </si>
  <si>
    <t>Supply &amp; delivery of materials for the opening/gravelling of Brgy. Pulidan Farm to Market Road, Titay, ZSP.</t>
  </si>
  <si>
    <t>INVITATION TO BID FOR OFFICE SUPPLIES AND MATERIALS (BID NO. 200903-14)</t>
  </si>
  <si>
    <t>CONSTRUCTION OF GAMPALANG BRIDGE Located at Besong, Kayapa, Nueva Vizcaya</t>
  </si>
  <si>
    <t>20A00214 (Rebid): Rehabilitation of Calincamasan - Quidem Road (including construction of two bridges), Brgys. Calincamasan and Quidem, San Juan, La Union</t>
  </si>
  <si>
    <t>Construction of EID-Center (Building) Phase I</t>
  </si>
  <si>
    <t>Construction of Sanitary Landfill Facility at Buluan, Maguindanao</t>
  </si>
  <si>
    <t>CONSTRUCTION OF COVERED COURT AT BRGY. MANINIOG</t>
  </si>
  <si>
    <t>SUPPLY AND DELIVERY OF VARIOUS TOOLS AND MATERIALS FOR DEPW (2 LOTS)</t>
  </si>
  <si>
    <t>REHAB. AND IMPROVEMENT OF .300 KM POBLACION - KITAMBAN CORE LOCAL ACCESS ROAD</t>
  </si>
  <si>
    <t>Proposed Concreting of Basketball Court @ Sitio Relocation Site, Barangay Biga, Toledo City</t>
  </si>
  <si>
    <t>CONSTRUCTION OF KMH ANCILLARY BUILDING PHASE IV Located at KMH, Compound, Kasibu, Nueva Vizcaya</t>
  </si>
  <si>
    <t>Supply and Delivery of 15 Drums of Chlorine 70% Granules 45 Kgs.</t>
  </si>
  <si>
    <t>CONSTRUCTION OF MULTI-PURPOSE DRYING PAVEMENT AT BARANGAY NABAONG GARLANG</t>
  </si>
  <si>
    <t>SUPPLY AND DELIVERY PASKUHAN GIVEAWAYS 2020 FOR MAKATI RESIDENTS</t>
  </si>
  <si>
    <t>PRINTING SERVICES FOR VARIOUS PROJECTS OF OSSP AND MHD</t>
  </si>
  <si>
    <t>PROCUREMENT OF HARDWARE MATERIALS FOR CONCRETE SHOULDERING OF BARANGAY ROAD</t>
  </si>
  <si>
    <t>Supply and Delivery of Medicine for RHU -PR# 20-07-0556</t>
  </si>
  <si>
    <t>SUPPLY AND DELIVERY OF LOCALLY PRODUCED MATERIALS FOR CONSTRUCTION OF POBLACION SEAWALL</t>
  </si>
  <si>
    <t>PURCHASE OF CARIOUS MEDICAL EQUIPMENT FOR LABORATORY AND LYING-IN CLNIC, CARIDAD, CAVITE CITY BARANGAY #39</t>
  </si>
  <si>
    <t>Construction of 3STY9CL, Solong Elementary School, Camalig, Albay</t>
  </si>
  <si>
    <t>Concreting of Brgy. Tabon - Tabon FMR, Brgy. Tabon - Tabon, Baco</t>
  </si>
  <si>
    <t>OFFICE SUPPLIES FOR FIRST QUARTER</t>
  </si>
  <si>
    <t>MAINTENANCE OF FARM TO MARKET ROAD TO SITIO CALINISAN</t>
  </si>
  <si>
    <t>Concreting of Sitio Libtong, Brgy. Balatero FMR, Brgy. Balatero, Puerto Galera</t>
  </si>
  <si>
    <t>Re-bidding for the Procurement of Oil and Lubricants</t>
  </si>
  <si>
    <t>PURCHASE &amp; DELIVERY OF DRUGS &amp; MEDICINE FOR THE 3RD QUARTER 2020</t>
  </si>
  <si>
    <t>Procurement of Two (2) Units Multicab for the Use of the LGU, Tagudin, Ilocos Sur</t>
  </si>
  <si>
    <t>SUPPLY AND DELIVERY OF LOCALLY PRODUCED MATERIALS FOR CCOMPLETION OF DRRM BUILDING</t>
  </si>
  <si>
    <t>Purchase of  One (1) Unit Patient Transport Vehicle (2020-07-105)</t>
  </si>
  <si>
    <t>PURCHASE OF MATERIALS FOR THE IMPROVEMENT OF MULTI-PURPOSE EVACUATION CENTER</t>
  </si>
  <si>
    <t>Procurement of Brand New One Unit Dump Truck of Motorpool</t>
  </si>
  <si>
    <t>One (1) Lot Provision of Firewall Protection</t>
  </si>
  <si>
    <t>FOR DOH OFFICE SUPPLIIES</t>
  </si>
  <si>
    <t>CONSTRUCTION OF COVERED PATHWAY FROM MAIN BUILDING TO ANCILLARY BUILDING (KMH) Located at KMH, Compound, Kasibu, Nueva Vizcaya</t>
  </si>
  <si>
    <t>CONSTRUCTION OF MULTI-PURPOSE DRYING PAVEMENT AT BARANGAY STA. CATALINA BATA</t>
  </si>
  <si>
    <t>Purchase and Installation of Weigh-in-Motion (WIM) Axle Weigher for Malabon – Navotas District Engineering Office – Anti-Truck Overloading Mobile Enforcement (MNDEO-ATOME) Operation for C.Y. 2020.</t>
  </si>
  <si>
    <t>BONDPAPER A4 FOR MODULES PRINTING</t>
  </si>
  <si>
    <t>Supply/Delivery of Laptop and Printer Units for the Virtual Learning Program of the District II of Palo, Leyte   PR No. 20-07-0421</t>
  </si>
  <si>
    <t>Procurement of Audio Visual &amp; IT Equipment for ICT</t>
  </si>
  <si>
    <t>20CB-GSC-517	PURCHAS EOF DIESEL FOR WMO</t>
  </si>
  <si>
    <t>SUPPLY AND DELIVERY OF PLASMA STERILIZER</t>
  </si>
  <si>
    <t>Purchase of One (1) unit 4x4 G 2.8L Diesel Manual Transmission Pick-Up</t>
  </si>
  <si>
    <t>PURCHASE OF MATERIALS FOR THE IMPROVEMENT OF COVERED COURT</t>
  </si>
  <si>
    <t>IMPROVEMENT OF UDDIAWAN-COMMONAL-ABLANG-CABULUAN-NAGBITIN ROAD Located at Solano and Villavede, Nueva Vizcaya</t>
  </si>
  <si>
    <t>SUPPLY AND DELIVERY OF TWO (2) UNITS OF DIGITAL LEUKOCYTE DIFFERENTIAL COUNTER</t>
  </si>
  <si>
    <t>Supply/Delivery of Appliances for the Virtual Learning Program of the District II of Palo, Leyte  PR No. 20-07-0427</t>
  </si>
  <si>
    <t>Barangay Health Isolation Facility</t>
  </si>
  <si>
    <t>Procurement of 1 Unit Self-Bailing Raft of CDRRMC</t>
  </si>
  <si>
    <t>Rebidding of 5 Construction Projects (B-127-2020)</t>
  </si>
  <si>
    <t>SUPPLY AND DELIVERY OF LABORATORY SUPPLIES (ACID FAST BACILLI (AFB) STRAIN)</t>
  </si>
  <si>
    <t>2020-014-1		SUPPLY AND DELIVERY OF FUEL AND LUBRICANTS FOR CONSTRUCTION OF POBLACION SEAWALL	8/13/2020	8/17/2020	8/31/2020	1	20-014-1	 32,000.00 		25</t>
  </si>
  <si>
    <t>Construction of Local Road at Rizal Street, Brgy. Poblacion, Merida, Leyte</t>
  </si>
  <si>
    <t>Other Maint. an Operating Expense</t>
  </si>
  <si>
    <t>Procurement of FUEL</t>
  </si>
  <si>
    <t>Supply &amp; Delivery of  Vegetable Seeds</t>
  </si>
  <si>
    <t>SUPPLY AND DELIVERY OF TRAINING MICROSCOPE</t>
  </si>
  <si>
    <t>COMPLETION OF MULTI-PURPOSE HALL</t>
  </si>
  <si>
    <t>19MG0175-Construction of Bakneb Rivercave MPB for tourism site located at Brgy. Laconon, T’boli, South Cotabato</t>
  </si>
  <si>
    <t>SUPPLY AND DELIVERY OF CORNEAL DIAGNOSTIC CAMERA SYSTEM</t>
  </si>
  <si>
    <t>Contract Package for the Continuation of the Rehabilitation of Tagudin Farmers' Civic Center (Phase II), Barangay Magsaysay, Tagudin, Ilocos Sur</t>
  </si>
  <si>
    <t>20CG0271 - Local Infrastructure Program: Buildings and Other Structures – Multipurpose/ Facilities – Construction of New Material Recovery Facility Structure, Brgy. San Nicolas, Sta. Ana, Pampanga</t>
  </si>
  <si>
    <t>PURCHASE OF EMERGENCY TRANSPORT VEHICLE (DOH-COMPLIANT AMBULANCE)</t>
  </si>
  <si>
    <t>20CG0270 - Construction of Multi-Purpose Building, Phase I Brgy. Poblacion, Santo Tomas, Pampanga</t>
  </si>
  <si>
    <t>20CG0269 - Reblocking of Deteriorated/ Shattered Slabs along Jose Abad Santos Avenue, Mexico, Pampanga</t>
  </si>
  <si>
    <t>SUPPLY AND DELIVERY OF MATERIALS AND EQUIPMENT FOR OPERATIONS AND MAINTENANCE OF ITBAYAT DPP</t>
  </si>
  <si>
    <t>ITB FOR PROCUREMENT OF VARIOUS PAINTS</t>
  </si>
  <si>
    <t>Proposed Road Improvement, Barangay Esperanza, Kinoguitan,  Misamis Oriental</t>
  </si>
  <si>
    <t>Procurement of two (2) units Firetruck for preparedness</t>
  </si>
  <si>
    <t>SUPPLY AND DELIVERY OF MEDICAL SUPPLIES FOR DAILY AND EMERGENCY OPERATIONS OF OSPITAL NG MAKATI (AUTOMATIC DOCUMENTATION SYSTEM LABEL FOR FORMALDEHYDE PROCESS - INK CARTRIDGE FOR AUTOMATIC DOCUMENTATI</t>
  </si>
  <si>
    <t>PROCUREMENT OF DISASTER SUPPLIES (MEDICAL AND MEDICINES)</t>
  </si>
  <si>
    <t>Supply and Delivery of Uniforms to be used by the personnel of City Public Order and Safety Coordinating Office in the City of San Fernando, Pampanga</t>
  </si>
  <si>
    <t>PURCHASE OF VEHICLES FOR FEEDMILL USED</t>
  </si>
  <si>
    <t>SUPPLY AND DELIVERY OF SUPPLIES, MATERIALS AND EQUIPMENT TO BE USED AT THE NEW LADIES’ DORM &amp; PSAU HOSTEL</t>
  </si>
  <si>
    <t>Information and Communication Technology  Equipment</t>
  </si>
  <si>
    <t>PROCUREMENT OF MEDICINES , MED. EQUIPMENT AND  SUPPLIES</t>
  </si>
  <si>
    <t>20CG0268 - Local Program: Construction/ Repair/ Rehabilitation/ Improvement of Buildings and other structures – Multi-Purpose/ Facilities – Rehabilitation of Multi-Purpose Building (Barangay Hall), La</t>
  </si>
  <si>
    <t>PROCUREMENT OF IT EQUIPMENT FOR THE DIFFERENT OFFICES OF  LGU-TUBURAN</t>
  </si>
  <si>
    <t>20CG0272 - Local Infrastructure Program: Buildings and Other Structures – Multipurpose and Facilities – Construction/ Rehabilitation of Multi-Purpose Building, Brgy. San Isidro, San Fernando City, Pam</t>
  </si>
  <si>
    <t>CONSTRUCTION OF FARM TO MARKET ROAD, BRGY. SAN AGUSTIN, DULAG LEYTE</t>
  </si>
  <si>
    <t>Purchase of Engine with Transmission, 4 cylinder, rotary injection pump, diesel</t>
  </si>
  <si>
    <t>INF-ITB 20-041 Construction of Lined Canal along Junction National Highway Crossing Palkan Road, Polomolok, South Cotabato</t>
  </si>
  <si>
    <t>PURCHASE OF MATERIALS FOR BARANGAY ROAD CONCRETING @ BARANGAY LANGTAD, ARGAO, CEBU</t>
  </si>
  <si>
    <t>Completion of Hospital located at Municipal Government Site</t>
  </si>
  <si>
    <t>CONSTRUCTION OF ANNEX BUILDING PHASE V-BRGY. POBLACION POLILLO, QUEZON</t>
  </si>
  <si>
    <t>20GA00003: Procurement of Axle Load Survey Equipment (Portable Weighing Scale) in the conduct of Axle Load Survey under NRTSP/RTIA within Region I</t>
  </si>
  <si>
    <t>Supply and Delivery of Personal Protective Gears and Equipment to be used by the personnel of the City Public Order and Safety Coordinating Office in the City of San Fernando, Pampanga</t>
  </si>
  <si>
    <t>Purchase of Container Van, 20ft x 8ft x 8.5ft</t>
  </si>
  <si>
    <t>CONCRETING OF 360.0 L.M. FARM TO MARKET ROAD AT SITIO LINABO, Barangay Aya-Aya, Municipality of Lugait, Misamis Oriental.</t>
  </si>
  <si>
    <t>PURCHASE OF BOOKS</t>
  </si>
  <si>
    <t>PURCHASE OF VARIOUS MACHINERY EQUIPMENTS FOR FEEDMILL</t>
  </si>
  <si>
    <t>Procurement of PPE’S and other Supplies</t>
  </si>
  <si>
    <t>SUPPLY &amp; DELIVERY OF FURNITURE &amp; FIXTURES FOR THE  DIFFERENT OFFICES OF LGU-TUBURAN</t>
  </si>
  <si>
    <t>CONCRETING OF DAGA FARM TO MARKET ROAD, PANAY, CAPIZ</t>
  </si>
  <si>
    <t>PURCHASE OF OFFICE SUPPLIES AND MATERIALS</t>
  </si>
  <si>
    <t>Concreting of Access Road to Resettlement Site - Bagumbayan</t>
  </si>
  <si>
    <t>One (1) -unit Garbage Vehicle</t>
  </si>
  <si>
    <t>PURCHASE OF ADDITIONAL CCTV</t>
  </si>
  <si>
    <t>UPGRADING OF THE PSAU TAMARIND RDE CENTER FACILITIES</t>
  </si>
  <si>
    <t>Construction / Completion / Rehabilitation of Multi-Purpose Building in Brgy. Manubuan, Matalam, North Cotabato</t>
  </si>
  <si>
    <t>Construction/ Repair/ Rehabilitation/ Improvement of Various Infrastructure Including Local Projects - Rehabilitation of Multi-Purpose Building (Day Care Center for Health, Nutrition and Sanitation Of</t>
  </si>
  <si>
    <t>Labor and Materials for the Repair/Improvement of City College at Brgy. San Juan, City of San Fernando, Pampanga</t>
  </si>
  <si>
    <t>SUPPLY OF MATERIALS FOR THE IMPROVEMENT OF LIMASAWA WATER SYSTEM</t>
  </si>
  <si>
    <t>For Supplemental Feeding Program -MNAO R. T. Lim,  Zamboanga Sibugay</t>
  </si>
  <si>
    <t>Construction/ Upgrading/ Rehabilitation of Drainage along National Roads - Secondary Roads - Session Road # 2 K0251+746 - K0252+028</t>
  </si>
  <si>
    <t>19MG0176-Construction of Farm to Market Road at Sitio Lubol, Upper Sepaka, Suralla, South Cotabato</t>
  </si>
  <si>
    <t>Procurement of MOTORCYCLE</t>
  </si>
  <si>
    <t>ITB# 22-2020 Office Supplies</t>
  </si>
  <si>
    <t>PURCHASE OF SUPPLIES &amp; MATERIALS FOR CLEAN &amp; GREEN POJECT</t>
  </si>
  <si>
    <t>Installation of Solar Street Lights</t>
  </si>
  <si>
    <t>ITB# 21-2020 Office Supplies</t>
  </si>
  <si>
    <t>Rehabilitation of Banao Potable Water System</t>
  </si>
  <si>
    <t>Labor and Materials for the Repair/Rehabilitation of Health Center at San Nicolas, City of San Fernando, Pampanga</t>
  </si>
  <si>
    <t>Contract Package for the Concreting of Pudoc West Farm to Market Road with Slope Protection, Barangay Pudoc West, Tagudin, Ilocos Sur</t>
  </si>
  <si>
    <t>Supply and Delivery of Desktop Computer, Laptop, and Printers</t>
  </si>
  <si>
    <t>REPLACEMENT OF CONCRETE PAVEMENT OF PTC ACCESS ROAD</t>
  </si>
  <si>
    <t>Construction of Sanitary Land Fill</t>
  </si>
  <si>
    <t>Elevator at Clark Museum (Civil Works)</t>
  </si>
  <si>
    <t>REHAB. OF ROAD SHOULDERS ALONG COGON - LUS ONAN LINAO - DAGA FMR</t>
  </si>
  <si>
    <t>PROVISION OF RELIEF GOODS</t>
  </si>
  <si>
    <t>CONCRETING OF BRGY. ROAD E. MENDOZA ST. &amp; R. MENDOZA ST.</t>
  </si>
  <si>
    <t>Security Services for City Hall Building, Plazuela, PNP Building, Legislative Building, Kaisa Hall, Tarlac City Public Market and BOSS Building for September 16 to December 31, 2020. B2020-104-A</t>
  </si>
  <si>
    <t>PURCHASE OF ADDITIONAL PUBLIC ADDRESS</t>
  </si>
  <si>
    <t>ITB# 20-2020 Training Expenses</t>
  </si>
  <si>
    <t>Concreting of Farm to Market Road - San Ramon</t>
  </si>
  <si>
    <t>Electrification/Modernization of Electrical System On-Grid School CY 2020 at  DALIPUGA NATIONAL HIGH SCHOOL</t>
  </si>
  <si>
    <t>PURCHASE OF VARIOUS MEDICINES FOR USE IN THE RURAL HEALTH UNIT - VILLABA, LEYTE - MOOE 2020</t>
  </si>
  <si>
    <t>ITB# 24-2020 Food Supplies</t>
  </si>
  <si>
    <t>ITB# 25-2020 Medical/Laboratory Supplies</t>
  </si>
  <si>
    <t>PURCHASE OF FARM INPUTS FOR BANGUS FISH CULTURE/BANGUS PRODUCTION</t>
  </si>
  <si>
    <t>Procurement of Lumber &amp; Aggregates used for Rehabilitation of Senior Citizen's Building @ Brgy. Navarro, Socorro, SDN</t>
  </si>
  <si>
    <t>CONSTRUCTION OF MATERIAL RECOVERY FACILITIES</t>
  </si>
  <si>
    <t>Supply and Delivery of Agricultural Materials and Supplies for Organic and Cut flower Farming @ Kayapa Nueva Vizcaya</t>
  </si>
  <si>
    <t>Construction/Completion/Rehabilitation of Multi-Purpose Building, Barangay Manubuan, Matalam, North Cotabato</t>
  </si>
  <si>
    <t>ITB# 23-2020 Office Supplies</t>
  </si>
  <si>
    <t>REPAIR &amp; IMPROVEMENT OF SI-FLUME</t>
  </si>
  <si>
    <t>Procurement of Construction Materials (MEEDO)</t>
  </si>
  <si>
    <t>Construction of Halag-Magatawa Farm to market road</t>
  </si>
  <si>
    <t>Purchase of Portable Toilet, Portalet</t>
  </si>
  <si>
    <t>20GA00004: Supply, Delivery and Installation of Automatic Traffic Count In-Ground Sensor under NRTSP/RTIA within Region 1</t>
  </si>
  <si>
    <t>CONST. OF FARM TO MARKET ROAD, BRGY. ALEGRE, DULAG LEYTE</t>
  </si>
  <si>
    <t>ITB No. (INF) 2020-08-116 IMPROVEMENT OF LEGISLATIVE BUILDING, Brgy. Alang-alang, Borongan City, Eastern Samar</t>
  </si>
  <si>
    <t>Procurement for 55” Smart LED TV under IB No. 2020-236</t>
  </si>
  <si>
    <t>Construction of Culvert along Inwaloy FMR</t>
  </si>
  <si>
    <t>INF-ITB 20-042 Installation of Road Signs and Pavement Markings at Junction National Highway - Guinsang-an to Norala Poblacion, Norala, South Cotabato</t>
  </si>
  <si>
    <t>INSTALLATION OF POTABLE WATER SYSTEM</t>
  </si>
  <si>
    <t>Procurement of Books of CSWD</t>
  </si>
  <si>
    <t>PR 2020-07-156 Supply and Delivery of Materials for the use in Installation of Solar Pavement Levelled Marker/ Stud Flush Type for Activity 301 (SIGN MAINTENANCE) along Surigao – Davao Coastal Road (S</t>
  </si>
  <si>
    <t>Supply and Delivery of 17 units Palay Seed Cleaner for Implementation under 2020 Rice Program</t>
  </si>
  <si>
    <t>CONSTRUCTION OF WATCHER’S LOUNGE (PHASE II)(NVPH) Located at Bambang, Nueva Vizcaya</t>
  </si>
  <si>
    <t>IMPROVEMENT OF VARIOUS BARANGAY ROADS</t>
  </si>
  <si>
    <t>Construction of (2) Additional Classroom Building, Bangbang Elementary School, Medina,  Misamis Oriental</t>
  </si>
  <si>
    <t>REHABILITATION OF SENIOR CITIZEN'S BUILDING</t>
  </si>
  <si>
    <t>One (1) Lot Supply, Delivery, Commissioning, and Testing of Four (4) units Drum Tilter, including Training of Personnel, as per BSP Technical Specifications and Terms of Reference</t>
  </si>
  <si>
    <t>Acquisition of Digital Desktop High Speed Duplicator</t>
  </si>
  <si>
    <t>INVITATION TO BID FOR THE Rebidding for the Procurement of DOE Internet Subscription (Pocket WiFi) under the DOE Regular Fund</t>
  </si>
  <si>
    <t>PURCHASE OF MATERIALS FOR THE FABRICATION/INSTALLATION OF POLES FOR SOLAR STREET LIGHTS</t>
  </si>
  <si>
    <t>ITB# 30-2020 Other Supplies and Materials</t>
  </si>
  <si>
    <t>Completion of Water Supply System Level III, Brgy. Sto Nino, Quinapondan, Eastern Samar</t>
  </si>
  <si>
    <t>ITB# 29-2020 Other Supplies and Materials</t>
  </si>
  <si>
    <t>SUPPLY AND DELIVERY OF TONERS, IMAGING AND  PHOTOCONDUCTOR KIT FOR MULTIFUNCTION  (COPIER, SCANNER, PRINTER) MACHINE AND LASER PRINTERS  OF BIR-RR NO. 9B LAQUEMAR, SAN PABLO CITY</t>
  </si>
  <si>
    <t>20AJ0101 (Republish) - Construction of Four (4) Storey Eight (8) Classroom School Building, Primicias NHS, Mapandan, Pangasinan</t>
  </si>
  <si>
    <t>Package 030- Procurement of Construction Materials</t>
  </si>
  <si>
    <t>Rehabilitation of Drainage System and Pavement along Capitol Area, Brgy. Capaclan, Romblon, Romblon</t>
  </si>
  <si>
    <t>Supply and Installation of 150Mbps Leased Line (GOODS-20-42)</t>
  </si>
  <si>
    <t>ITB# 27-2020 Other Supplies and Materials</t>
  </si>
  <si>
    <t>PROCUREMENT OF CONSTRUCTION MATERIALS FOR COMPLETION OF DRRM BUILDING</t>
  </si>
  <si>
    <t>ITB# 28-2020 Other Supplies and Materials</t>
  </si>
  <si>
    <t>GPG-B1-2020-358-3RD REBID-SUPPLY &amp; DELIVERY OF 25 UNITS BRAND NEW TRACTORS (120HP) FOR THE SUGAR REGULATORY ADMINISTRATION (SRA)</t>
  </si>
  <si>
    <t>Supply &amp; Delivery of Itik Pinas to be Distributed as Starter Kit (DUCK) For Back to Basic - Scientific and Sustainable Livestock Production Advocacy Seminar on September 2020 in Bataan</t>
  </si>
  <si>
    <t>Supply &amp; Delivery of Free-Range Chicken  to be Distributed as Starter Kit (FRC) For Back to Basic - Scientific and Sustainable Livestock Production Advocacy Seminar on September 2020 in Zambales</t>
  </si>
  <si>
    <t>Rehabilitation of Daram Water System</t>
  </si>
  <si>
    <t>CONCRETING OF 330.0 L.M. FARM TO MARKET ROAD AT PUROK 2, Barangay Kaluknayan, Municipality of Lugait, Misamis Oriental.</t>
  </si>
  <si>
    <t>ITB# 137-2020 Other Supplies and Materials</t>
  </si>
  <si>
    <t>ITB# 136-2020 Other Supplies and Materials</t>
  </si>
  <si>
    <t>ITB# 42-2020 Other MOOE</t>
  </si>
  <si>
    <t>Contract Package for the Construction of Borono Post Harvest Facility, Barangay Borono, Tagudin, Ilocos Sur</t>
  </si>
  <si>
    <t>ITB# 41-2020 Printing of Forms</t>
  </si>
  <si>
    <t>GPG-B1-2020-357-REBID-SUPPLY &amp; DELIVERY OF 37 UNITS BRAND NEW TRACTORS (90HP) FOR THE SUGAR REGULATORY ADMINISTRATION (SRA)</t>
  </si>
  <si>
    <t>CONCRETING OF 167.0 L.M. FARM TO MARKET ROAD AT SITIO TONGAON, Barangay Calangahan, Municipality of Lugait, Misamis Oriental.</t>
  </si>
  <si>
    <t>FABRICATION OF MATERIAL RECOVERY FACILITY, BRGY. CAGNOCOT, VILLABA, LEYTE  20% AIP 2020</t>
  </si>
  <si>
    <t>Rehabilitation / Improvement and Maintenance of Drainage System along Remedios St. and Vicinity, Malate, District V, Manila</t>
  </si>
  <si>
    <t>REPAIR OF MUNICIPAL BODEGA PHASE 1 FOR WATERWORKS, LGU COMPOUND, VILLABA, LEYTE - SUPPLEMENTAL BUDGET</t>
  </si>
  <si>
    <t>Supply and Delivery of Various Reagents &amp; Supplies - IPS project</t>
  </si>
  <si>
    <t>CONCRETING OF 350.0 L.M. FARM TO MARKET ROAD AT SITIO LINABO, Barangay Aya-Aya, Municipality of Lugait, Misamis Oriental.</t>
  </si>
  <si>
    <t>2020-179-I PROCUREMENT AND DELIVERY OF  UPGRADED CATTLE AND CARABAO UNDER NLP CY 2020</t>
  </si>
  <si>
    <t>4PS : FOR 3rd TO 4rt QUARTER OFFICE EQUIPMENT SUPPIES OF LILOY (POO STAFF AND MOO STAFF) OF CLUSTER 1C &amp; 1D OF LILOY ZDN</t>
  </si>
  <si>
    <t>PURCHASE OF FARM INPUTS FOR TILAPIA FISH CULTURE/TILAPIA PRODUCTION</t>
  </si>
  <si>
    <t>PROCUREMENT OF SUPPLY AND  DELIVERY FOR THE PRINTING OF MOTORCYCLE ENTRANCE &amp; PARKING TICKETS</t>
  </si>
  <si>
    <t>Construction of Municipal Complex Phase 2(Isolation Facility)</t>
  </si>
  <si>
    <t>4PS SWADT LILOY : 1 LOT OFFICE SUPPLIES FOR THE 3rd AND 4th QUARTER OFFICE SUPPLIES OF LILOY CLUSTER (POO STTAFF AND MOO STAFF) OF CLUSTER 1C &amp; 1D OF LILOY ZDN FOR CY 2020 4PS-2020-06-0229</t>
  </si>
  <si>
    <t>Maintenance of Provincial Roads and Bridges at San Fernando Area CY 2020, San Fernando</t>
  </si>
  <si>
    <t>Construction of Flood Control Structure along Jct. (Kiliog) - Kianus-Nangka Road (Concrete Line Canal and Slope Protection  with Embankment) at Libona</t>
  </si>
  <si>
    <t>Purchase of Drone Unit for DRRM-Search and Rescue Operation</t>
  </si>
  <si>
    <t>Supply and delivery of One unit Truck use for emergency operation &amp; early warning maintenance</t>
  </si>
  <si>
    <t>REHAB./IMPROVEMENT OF PANGLUGATUB INTAKE, BRGY. A. TUMAMAK, VILLABA, LEYTE - SUPPLEMENTAL BUDGET</t>
  </si>
  <si>
    <t>HOUSE CONSTRUCTION FOR BOLOHATON SETTLERS VILLAGE (RESETTLEMENT AREA) – Procurement of Materials</t>
  </si>
  <si>
    <t>INVITATION TO BID FOR PROCUREMENT OF OFFICE SUPPLIES AND CONSUMABLES (REBIDDING)</t>
  </si>
  <si>
    <t>SUPPLY AND DELIVERY OF MEDICAL SUPPLIES FOR COVID-19 RESPONSE</t>
  </si>
  <si>
    <t>Procurement of Thermal Gun</t>
  </si>
  <si>
    <t>Drainage Improvement along Asuncion St. and Vicinity, District I, Caloocan City</t>
  </si>
  <si>
    <t>Drainage Improvement along Second Street and Vicinity, East Grace Park, District II, Caloocan City</t>
  </si>
  <si>
    <t>20EI0188 - Construction of 2 STY 6 CL, Marcelo I. Cabrera Vocational HS, Roxas, Oriental Mindoro_080</t>
  </si>
  <si>
    <t>Procurement of Information and Communication Technology Equipment (13 Units Inkjets 3 in 1 Printer)</t>
  </si>
  <si>
    <t>Improvement of Dario River, District VI, Quezon City</t>
  </si>
  <si>
    <t>2020-181-I PROCUREMENT AND DELIVERY OF VARIOUS FERTILIZER AND PESTICIDE FOR RESEARCH DIVISION, RICE AND CORN PROGRAM CY 2020</t>
  </si>
  <si>
    <t>Contract for the Construction of 3-Classroom Building @ Kinamayan IS</t>
  </si>
  <si>
    <t>Contract for the Rehabilitation of Comfort Rooms @ Public Market</t>
  </si>
  <si>
    <t>Lot1-Purchase of Meat Delivery Van for Slaughterhouse Office</t>
  </si>
  <si>
    <t>2020-180-I PROCUREMENT AND DELIVERY OF AGRICULTURAL SUPPLIES: SEEDS, FRESH FRUITS AND PLANTING  MATERIALS FOR RESEARCH DIVISION CY 2020</t>
  </si>
  <si>
    <t>Proposed Design and Build of PEZA Auditorium, Command Center, and Hall of Flags including Supply and Installation of Equipment, Furniture, and other Furnishings at the New PEZA Head Office in the Doub</t>
  </si>
  <si>
    <t>Rehabilitation of Pinagsama Creek, District II, Taguig City</t>
  </si>
  <si>
    <t>Supply &amp; Delivery of Vehicle (Brand New Pick-up)</t>
  </si>
  <si>
    <t>Construction of Elevated Pathwalk (Phase II)</t>
  </si>
  <si>
    <t>20-DO-0090: Public Markets/Farmers Markets (Bagsakan Centers) and Public Cemeteries Projects – Rehabilitation of Tanay Municipal Cemetery, Plaza Aldea and Tandang Kutyo, Tanay, Rizal</t>
  </si>
  <si>
    <t>CONSTRUCTION OF LINED CANAL AT GAMBOA ST. PUROK 4, BRGY ZONE 1, IBA, ZAMBALES</t>
  </si>
  <si>
    <t>20-DO-0089: Repair/Maintenance of DOJ Building, Registry of Deeds Office Building, Brgy. San Pedro, Morong, Rizal</t>
  </si>
  <si>
    <t>Improvement of Marulas Creek, District II, Valenzuela City</t>
  </si>
  <si>
    <t>SO-SPU20-006 (PB2) - Supply and Delivery of Various Personnel Protective Equipment (PPE) for SPUG Plant Personnel</t>
  </si>
  <si>
    <t>WIDENING OF BARANGAY ROAD @ SITIO GUINHAWA BRGY. ESTRELLA, MABINI, BATANGAS</t>
  </si>
  <si>
    <t>Improvement of Water System Project Bgy. Asluman, Carles, Iloilo</t>
  </si>
  <si>
    <t>se of Medicines &amp; Medical Supplies for Dental Program and services 2020</t>
  </si>
  <si>
    <t>S3-SIB20-014, S3-TAN20-004, S3-LGY20-014 - Supply and Delivery of Various Mechanical Spare Parts of Perkins Generator Sets of SPUG WMOD Plants</t>
  </si>
  <si>
    <t>CONCRETING OF 230 LM DANAC STREET WITH LINE CANAL AT BRGY. ZONE 5, IBA, ZAMBALES</t>
  </si>
  <si>
    <t>Urban Re-Greening and Renewal Program</t>
  </si>
  <si>
    <t>INVITATION TO BID FOR THE PROCUREMENT OF VARIOUS IT EQUIPMENT AND OPERATING SYSTEM</t>
  </si>
  <si>
    <t>INVITATION TO BID FOR PROCUREMENT OF VARIOUS CHEMICALS AND GLASSWARES FOR PUERTO PRINCESA SATELLITE ENVIRONMENTAL LABORATORY</t>
  </si>
  <si>
    <t>Lot1- Purchase of materials for the installation of billboards on environmental laws for massive information dissemination (3rd quarter)</t>
  </si>
  <si>
    <t>INSTALLATION OF ST. LIGHTS @ BRGY. CABALANTIAN &amp; BRGY. CONCEPCION, CONSTRUCTION OF CHB LINED CANAL @ BRGY. DOLORES, BRGY. MAGLIMAN, BRGY. POTRERO &amp; BRGY. STA. INES, IMPROVEMENT/REHAB. OF MULTI-PURPOSE</t>
  </si>
  <si>
    <t>Additional Relief Pumping Station, Brgy. Salapan, San Juan City</t>
  </si>
  <si>
    <t>20-DO-0091: Public Markets/Farmers Markets (Bagsakan Centers) and Public Cemeteries Projects – Rehabilitation of Pililla Municipal Cemetery, Bagumbayan, Pililla, Rizal</t>
  </si>
  <si>
    <t>Improvement of Center Island at Poblacion, Rosario, Agusan del Sur</t>
  </si>
  <si>
    <t>Construction of Water System (Drilling) @ Brgy. San Jose, Imelda, Zamboanga Sibugay (INFR-2020-039)</t>
  </si>
  <si>
    <t>Construction of Slope Protection at Sitio Kulatog, Poblacion, Sta. Catalina, Negros Oriental</t>
  </si>
  <si>
    <t>Improvement and Deepening of Lagarian Creek, Brgy. Kristong Hari, District IV, Quezon City</t>
  </si>
  <si>
    <t>Procurement of Office Equipment (2 Units Digital Duplicator Machine with FREE Heavy Duty Multi-Function Copier Machine - Laser Printer)</t>
  </si>
  <si>
    <t>Package 19: Supply and Delivery of Medical, Laboratory and Other Equipment</t>
  </si>
  <si>
    <t>Package 17: Supply and Delivery of Medical Instruments Sets</t>
  </si>
  <si>
    <t>20CSFI03- Consulting Services for the Sub-Soil Investigation for the Proposed Construction of New Bridges-Ambolong Bridge and Campintor Bridge along Jct. Milagros-Baleno-Lagta Road under Regular Infra</t>
  </si>
  <si>
    <t>S1-PWN20-015 - Supply, Delivery, Installation, Testing and Commissioning of 15kV Automatic Circuit Reclosers for Various SPUG-Palawan Diesel Power Plants</t>
  </si>
  <si>
    <t>Package 18: Supply and Delivery of Dental Units &amp; Accessories</t>
  </si>
  <si>
    <t>Construction of Water System (Drilling) @ Brgy. Mali Little Baguio, Imelda, Zamboanga Sibugay (INFR-2020-040)</t>
  </si>
  <si>
    <t>Construction of Seawall / Sea Protection Dike (100 L.M.)</t>
  </si>
  <si>
    <t>HO-IST20-006 (PB3) - Subscription of Data Analytics License and Partner Support for NPC Head Office, Diliman, Quezon City</t>
  </si>
  <si>
    <t>PROVISION OF LEARNING RESOURCES for the IMPLEMENTATION of BASIC EDUCATION LEARNING CONTINUITY PLAN (BE-LCP)</t>
  </si>
  <si>
    <t>Supply of 2 units Motorcycle</t>
  </si>
  <si>
    <t>Security Services (4 person, 12 hours duty/day)</t>
  </si>
  <si>
    <t>PROCUREMENT OF SIX (6) UNITS OFFICE TABLE FOR THE OFFICE OF THE GENERAL MANAGER</t>
  </si>
  <si>
    <t>Construction of Water System (Drilling) @ Brgy. Lumbog, Imelda, Zamboanga Sibugay (INFR-2020-038)</t>
  </si>
  <si>
    <t>Rental of Service Vehicle 4x4 Pick Up Vehicle Fuel and Driver included whole day use for the use for project survey of various CY 2020 BARMM - Regular Infra Projects</t>
  </si>
  <si>
    <t>Purchase of Diesel fuel for Heavy equipment &amp; Service Vehicles</t>
  </si>
  <si>
    <t>Road Concreting of Commercial Center (195.90 L.M.)</t>
  </si>
  <si>
    <t>Chemicals and Chemical Products for use of the OMPH patients/2nd quarter 2020</t>
  </si>
  <si>
    <t>Purchase of Rice for the Frontliners of Barangay Lumbo</t>
  </si>
  <si>
    <t>Repair and Rehabilitation of Hanging Bridge at Dedekkel, Brgy. Digumased, Dinapigue, Isabela</t>
  </si>
  <si>
    <t>Invitation to Bid FOR PROCUREMENT OF ICT EQUIPMENT (REBIDDING)</t>
  </si>
  <si>
    <t>Procurement of Disaster Response Operations Equipment</t>
  </si>
  <si>
    <t>20F00128 - CLUSTER IV: A. Repair/Maintenance of DOTR Building, LTO Regional Office Building, Rawis, Legazpi City; B. Repair/Maintenance of DOTR Building, LTFRB Canteen and Storage Building, Rawis, Leg</t>
  </si>
  <si>
    <t>20F00115 - Rehabilitation/Improvement along Daang Maharlika Highway Jct. Legazpi-Sto. Domingo-Camarines Sur Bdry. Road – K0528+760 – K0529+533, K0530+200 – K0532+616, Legazpi City, Albay, Albay 2nd LD</t>
  </si>
  <si>
    <t>ADH-20-0948-B PURCHASE OF MEDICAL EQUIPMENT</t>
  </si>
  <si>
    <t>SUPPLY/DELIVERY OF ONE (1) UNIT UTILITY VEHICLE (SECOND POSTING)</t>
  </si>
  <si>
    <t>Concreting of Barangay Access Road at Martirez Extension, Poblacion, Sta. Catalina</t>
  </si>
  <si>
    <t>PROCUREMENT OF MATERIALS &amp; EQUIPMENTS FOR MDRRMO -MITIGATION PROGRAM</t>
  </si>
  <si>
    <t>PROJECT: CONSTRUCTION AND INSTALLATION OF ELEVATOR</t>
  </si>
  <si>
    <t>Supply of Labor &amp; Materials for Rehabilitation and Concreting of Municipal and Barangay Roads</t>
  </si>
  <si>
    <t>Supply &amp; Delivery of Materials for Concreting of Taboan Ground</t>
  </si>
  <si>
    <t>Supply of Labor &amp; Materials for Rehabilitation of Cabas-an Multipurpose Hall, Construction of Day Care Center at Barangay Cabas-an Phase 1, Completion of Pag-antayan BHS, and Rehabilitation of Buntali</t>
  </si>
  <si>
    <t>Prefabricated Construction of PEO Motorpool Repair Bay, Garage, Warehouse &amp; Other Related Structures at Obay, Polanco, Zamboanga del Norte-07-445(O)PEO</t>
  </si>
  <si>
    <t>REPAIR OF MECHANICAL SHOP AT AGUS 6 HEP</t>
  </si>
  <si>
    <t>INSTALLATION OF LED STREETLIGHTS AT VARIOUS RESETTLEMENT SITES FOR PEACE AND ORDER MONITORING @ GOLDEN HORIZON,SUNSHINE VILLE AND SOUTHVILLE 2 PHASE 3, TMC</t>
  </si>
  <si>
    <t>Rehabilitation of Municipal Pathways</t>
  </si>
  <si>
    <t>Public Bidding of 26 Lots for the Supply &amp; Delivery of Medical Supplies and Medical Oxygen for Various Hospitals of the Capiz Provincial Government, under ITB No. 2020-010H</t>
  </si>
  <si>
    <t>20GEE0052-Supply and Delivery of Gasoline &amp; 2T Oil for use of Grass Cutter in Maintenance of National Roads, Roxas, Palawan</t>
  </si>
  <si>
    <t>Improvement of Multi-Purpose Building at Brgy. Hall Brgy. 20-B, Poblacion District, Davao City</t>
  </si>
  <si>
    <t>S &amp; D of Const. Mat. - Materials for the Improvement of Access Road to Kavaywan Organic Vegetable Production at Itbayat (P. Agri)</t>
  </si>
  <si>
    <t>Supply and Delivery of Native Goat</t>
  </si>
  <si>
    <t>REHABILITATION OF CITYHALL BUILDING ( PHASE 11)</t>
  </si>
  <si>
    <t>purchase of PPE for covid related activity (2)</t>
  </si>
  <si>
    <t>purchase of PPE for covid related activity</t>
  </si>
  <si>
    <t>purchase of office equipment</t>
  </si>
  <si>
    <t>Public Bidding of 65 Lots for the Supply &amp; Delivery of Medicines, Medical Fluids &amp; Pharmacy Supplies for Various Hospitals of the Capiz Provincial Government, under ITB No. 2020-009H</t>
  </si>
  <si>
    <t>catering foods for the lsi and frontliners</t>
  </si>
  <si>
    <t>SUPPLY, INSTALLATION, TESTING AND COMMISSIONING OF SECURITY SURVEILLANCE SYSTEM FOR THE NATIONAL LIBRARY OF THE PHILIPPINES</t>
  </si>
  <si>
    <t>EMERGENCY PURCHASE OF SLEEPING SET</t>
  </si>
  <si>
    <t>purchase ofhygiene kit and eating utensils for covid related activity</t>
  </si>
  <si>
    <t>20GSK00017 – Supply &amp; delivery of Office Consumables for the use in the Planning and Design Division, 2nd Quarter of 2020</t>
  </si>
  <si>
    <t>20GSK00009 - Re-ITB – Supply and delivery of Office Supplies &amp; Consumables for use in the Office of the Regional Director, 1st quarter of 2020</t>
  </si>
  <si>
    <t>purchase of vitamin c,e , for covid related activity</t>
  </si>
  <si>
    <t>Rehabilitation of Pateros River, District I, Pateros</t>
  </si>
  <si>
    <t>Supply and Delivery of Desktop Computer and Laptop</t>
  </si>
  <si>
    <t>EMERGENCY PURCHASE catering foods for the lsi and frontliners</t>
  </si>
  <si>
    <t>Agricultural Products (Seeds, Seedlings, Plants…) for Distribution under Binhian sa Barangay and Mindoro Dinorado Rice Production Program-Agro Technology Resource and Management Services Division</t>
  </si>
  <si>
    <t>Construction Of Senior Citizen Hall (Phase II),  Brgy. Dikildit, Maria Aurora, Aurora</t>
  </si>
  <si>
    <t>Purchase of Rice for the less fortunate families of Barangay Lumbo</t>
  </si>
  <si>
    <t>CONCRETING OF LINAO - DAGA FARM TO MARKET ROAD</t>
  </si>
  <si>
    <t>Supply and Delivery of 1-unit Ultrasound Machine – Radiology</t>
  </si>
  <si>
    <t>Rehab. of Fence of Multi-Purpose Building, Sitio Bacuranan, Brgy. Nagba, Maasin, Iloilo</t>
  </si>
  <si>
    <t>Supply and Delivery of 1-unit Electroconvulsive Therapy Machine</t>
  </si>
  <si>
    <t>Supply and Delivery of 1-unit Ultrasound Machine – OB</t>
  </si>
  <si>
    <t>Supply and Delivery of 1-unit Colposcope</t>
  </si>
  <si>
    <t>Supply and Delivery of 1- unit Mobile C-arm System</t>
  </si>
  <si>
    <t>Supply and Delivery of 2-units ENT Treatment Unit</t>
  </si>
  <si>
    <t>SUPPLY AND DELIVERY OF OFFICE SUPPLIES 1ST AND 2ND QUARTER, 2020</t>
  </si>
  <si>
    <t>Supply and Delivery of Bond Paper</t>
  </si>
  <si>
    <t>Procurement of Generator Set</t>
  </si>
  <si>
    <t>20GSK00018 – Vehicle rental for use in the Planning &amp; Design Division</t>
  </si>
  <si>
    <t>Supply and Delivery of Plant Growth Regulator</t>
  </si>
  <si>
    <t>Supply and Delivery of Stickers with Plrint</t>
  </si>
  <si>
    <t>Supply of Labor and Materials for the Printing of Various DA-SAAD Printed Materials</t>
  </si>
  <si>
    <t>Supply and Delivery of OR Laryngoscopy Set</t>
  </si>
  <si>
    <t>Construction of Stock Room at Impounding Compound , Brgy Acacia,Catarman, N. Samar</t>
  </si>
  <si>
    <t>Supply and Delivery of 1-unit MRI Compatible Anesthesia Machine</t>
  </si>
  <si>
    <t>Garbage Hauling and Disposal Services (General Waste)</t>
  </si>
  <si>
    <t>PROCUREMENT OF VARIOUS LEARNING MATERIALS FOR LEARNERS</t>
  </si>
  <si>
    <t>Supply &amp; Delivery of One Unit Vehicle</t>
  </si>
  <si>
    <t>ITB No. 2020-02(4) Procurement of Hospital Equipment IV (DOH Delivery)</t>
  </si>
  <si>
    <t>ITB No. 2020-02(3) Procurement of Hospital Equipment III (DOH Delivery)</t>
  </si>
  <si>
    <t>AVRC-2020-04-0150 : ENHANCE INDOOR IEC MATERIALS FOR PWDs FOR SUSTAINED LEVEL 3 ACCREDITATION.</t>
  </si>
  <si>
    <t>ITB No. 2020-02(1) Procurement of  Hospital Equipment I (DOH Delivery)</t>
  </si>
  <si>
    <t>Construction of Washing Facility</t>
  </si>
  <si>
    <t>Procurement of Semi-Expandable Equipment and Materials for Repair and Renovation of Water System Facilities</t>
  </si>
  <si>
    <t>ITB No. 2020-01(4) Procurement of Hospital Equipment IV (On-site Delivery)</t>
  </si>
  <si>
    <t>ITB No. 2020-01(2) Procurement of Hospital Equipment II (On-site Delivery)</t>
  </si>
  <si>
    <t>FOD-L-20-2347 (Two-Failed Bidding): Procurement of Assorted Feeds</t>
  </si>
  <si>
    <t>Supply and Delivery of Bronchoscope Machine (Adult and Pedia)</t>
  </si>
  <si>
    <t>CONSTRUCTION OF MULTI-PURPOSE BUILDING AND EVACUATION CENTER</t>
  </si>
  <si>
    <t>ITB No. 2020-01(3) Procurement of Hospital Equipment III (On-site Delivery)</t>
  </si>
  <si>
    <t>Supply and Delivery of Free Range Chicken</t>
  </si>
  <si>
    <t>Furnishing labor, materials and equipment for the Concreting of Balogo-Buliasnin Road at Boac, Marinduque</t>
  </si>
  <si>
    <t>INFRA 2020-08-003</t>
  </si>
  <si>
    <t>Supply and Delivery of Construction Materials for Const. /Improvement of Day Care Center Bldg. cum Evacuation Center</t>
  </si>
  <si>
    <t>Supply and Delivery of Muscovy Duck</t>
  </si>
  <si>
    <t>Installation of Hardware/Software Computer Components for Magsaysay College</t>
  </si>
  <si>
    <t>(VJLN - MSAO) CONDUCT OF ANNUAL MEDICAL &amp; PHYSICAL EXAMINATION WITH DRUG TESTING</t>
  </si>
  <si>
    <t>Expansion, Repair &amp; Maintenance of Production Center, LGU Compound, Tolosa,Leyte</t>
  </si>
  <si>
    <t>20GKJ0006: Supply and Delivery of Office Equipment Supplies and Consumables (Consolidated Purchase Request 3rd Quarter), DPWH 2nd DEO, Sta. Maria, Tangub City</t>
  </si>
  <si>
    <t>Const.Repair,DecloggingDrainageCanalBrgy.SnRoque,Tolosa, Leyte</t>
  </si>
  <si>
    <t>Supply and Delivery of OR Rhinology Set</t>
  </si>
  <si>
    <t>Purchase and Installation of streetlighting system(solar lights)</t>
  </si>
  <si>
    <t>1.10,000 rms-A4 Book/Bond Paper 80gsm,100 bx-PVC Cover 100's box,etc...</t>
  </si>
  <si>
    <t>Purchase of Coaster @ Santiago, Ilocos Sur</t>
  </si>
  <si>
    <t>Purchase of Various Supplies</t>
  </si>
  <si>
    <t>PROCUREMENT OF ONE (1) UNIT BRAND NEW PICK-UP 4 x 4 AT (SB)</t>
  </si>
  <si>
    <t>Procurement for the Conservation and Restoration of Gabaldon Buildings</t>
  </si>
  <si>
    <t>HAND DRYER AND AIR PURIFIER</t>
  </si>
  <si>
    <t>Purchase of Ambulance @ Santiago, Ilocos Sur</t>
  </si>
  <si>
    <t>CONSTRUCTION OF MULTI-PURPOSE BUILDING, BRGY. DIKILDIT, MARIA AURORA, AURORA</t>
  </si>
  <si>
    <t>Furnishing labor, materials and equipment for the Improvement of Ogbac Multi-Purpose Building/ Evacuation Center (Phase I) at Boac, Marinduque</t>
  </si>
  <si>
    <t>ITB No. 2020-02(2) Procurement of Hospital Equipment II (DOH  Delivery)</t>
  </si>
  <si>
    <t>Furnishing labor, materials and rental of equipment for the Rehab./Improvement of Brgy. Water System at Brgy. Banot, Gasan, Marinduque</t>
  </si>
  <si>
    <t>Supply and Delivery of Office Equipment for MDRRM Office</t>
  </si>
  <si>
    <t>Purchase of Rescue Vehicles @ Santiago, Ilocos Sur</t>
  </si>
  <si>
    <t>SUPPLY AND DELIVERY OF VARIOUS CONSTRUCTION MATERIALS FOR REPAIR AND REHAB OF BARANGAY HALL, STO. NIÑO, MAGALLANES, AGUSAN DEL NORTE (RE-BID)</t>
  </si>
  <si>
    <t>Purchase Construction Materials for the Road Concreting @ Aguirre st, brgy. Rizal Pob., LGU-Banga, South Cotabato</t>
  </si>
  <si>
    <t>CONSTRUCTION OF MUSHROOM HOUSE @ POB. LA LIBERTAD, ZN.</t>
  </si>
  <si>
    <t>Purchase Construction Materials for the Road Concreting @ Morrow St, Brgy. Reyes, LGU-Banga, South Cotabato</t>
  </si>
  <si>
    <t>SUPPLY AND DELIVERY OF THREE (3) UNITS DIGITAL DUPLICATORS MACHINE</t>
  </si>
  <si>
    <t>Repair and Rehabilitation of Two (2) Classrooms and Construction of Retaining Wall under BEFF 2019 Savings - Lot 31</t>
  </si>
  <si>
    <t>Repair and Rehabilitation of Twelve (12) Classrooms under BEFF 2019 - Lot 1</t>
  </si>
  <si>
    <t>Furnishing labor, materials and equipment for the Repair/Improvement of Expo, San Miguel, Boac, Marinduque</t>
  </si>
  <si>
    <t>GOODS 2020-08-0007  ICFP BENEFICIARIES (BACKYARD POULTRY PRODUCTION)</t>
  </si>
  <si>
    <t>Riprapping of Bridge Approach - Gumabao Flood Control System</t>
  </si>
  <si>
    <t>20GKK0033 – Supply and Delivery of Office Equipment to be used by RROW Personnel</t>
  </si>
  <si>
    <t>Procurement of Office Supplies, Other Supplies and Materials, Office Equipment and IT Equipment</t>
  </si>
  <si>
    <t>20DN0182 - CONCRETING OF SITIO SAN JOSEPH, BRGY. SAN JOSE FMR, BRGY. SAN JOSE, ANTIPOLO CITY, RIZAL</t>
  </si>
  <si>
    <t>FTMR WITH BOX CULVERT, So. Kengkeng,, Diarabasin, Dipaculo, Aurora</t>
  </si>
  <si>
    <t>20GKK0034 – Supply and Delivery of Photocopier/Printer to be used by the PDS and RROW Personnel</t>
  </si>
  <si>
    <t>Furnishing labor, materials and equipment for the Concreting/Rehabilitation/Improvement/Upgrading of Balanacan-Argao Provincial Road, Mogpog, Marinduque</t>
  </si>
  <si>
    <t>Purchase of Rescue Supplies for Water Search and Rescue and Collapse Structure for the use of Provincial Disaster Risk Reduction and Management Office</t>
  </si>
  <si>
    <t>Supply and Delivery of 1-unit Steam Sterilizer</t>
  </si>
  <si>
    <t>Purchase Construction Materials for the Road Concreting @ Junction Provincial Road-Cinco Access Road, LGU-Banga, South Cotabato</t>
  </si>
  <si>
    <t>Construction of One (1) Unit Classroom Building at Manuel Marcos Sr. Memorial Elementary School, Barangay Bayani and One (1) Unit Classroom Building at Tigbao Elementary School, Barangay Montelago, Na</t>
  </si>
  <si>
    <t>CONSTRUCTION OF EVACUATION CENTER @ NEW BATAAN, LA LIBERTAD, ZN.</t>
  </si>
  <si>
    <t>20DN0181 - CONCRETING OF SITIO SAN YSIRO – SITIO LIBIS, BRGY. SAN JOSE FMR, BRGY. SAN JOSE, ANTIPOLO CITY, RIZAL</t>
  </si>
  <si>
    <t>Furnishing labor, materials and equipment for the Concreting of Kasily Road, Sta. Cruz, Marinduque</t>
  </si>
  <si>
    <t>Procurement of Passenger Van</t>
  </si>
  <si>
    <t>Purchase Construction Materials for the Road Concreting @ Naraval St, Brgy. Benitez, LGU-Banga, South Cotabato</t>
  </si>
  <si>
    <t>CONSTRUCTION OF SCHOOL STAGE, FLORIDA ELEMENTARY SCHOOL, MARIA, AURORA</t>
  </si>
  <si>
    <t>Repair and Rehabilitation of Schools under Aboitiz Power Donation 2020 - Lot 17</t>
  </si>
  <si>
    <t>Procurement of Supplies and Materials for the Improvement of Multi-Purpose Center</t>
  </si>
  <si>
    <t>CONSTRUCTION OF MULTI-PURPOSE HALL BRGY. DIBALO, SAN LUIS, AURORA</t>
  </si>
  <si>
    <t>Rehabilitation of Multi-Purpose Hall, Nagba, Maasin, Iloilo</t>
  </si>
  <si>
    <t>Supply and Delivery of 1-unit Digital Fluoroscopy Machine</t>
  </si>
  <si>
    <t>Supply and Delivery of PC Tablet for SDO Benguet Personnel to be used for Webinars and Teleconference</t>
  </si>
  <si>
    <t>CONSTRUCTION OF OPEN MULTI-PURPOSE BUILDING (PHASE 2),BRGY. DIANED, DIPACULAO, AURORA</t>
  </si>
  <si>
    <t>INFRA 2K20-55 CONSTRUCTION/REPAIR/EXPANSION OF BRGY. HEALTH STATION BUILDING PROJECTS (CLUSTER III)</t>
  </si>
  <si>
    <t>Supply and Delivery of 1-unit Standard Percutaneous Nephrolithotomy</t>
  </si>
  <si>
    <t>1 unit brand new 4x2, 2.4L diesel SUV</t>
  </si>
  <si>
    <t>CONSTRUCTION OF SERVICE TABLE AND WASTE RACK @BRGY. STA. CATALINA, LA LIBERTAD,ZN.</t>
  </si>
  <si>
    <t>REPAIR OF LAOAG POLICE STATION</t>
  </si>
  <si>
    <t>Local Bridge Construction/Rehabilitation at Barangay Apas (Phase II)</t>
  </si>
  <si>
    <t>Supply and Delivery of 1-unit Ophthalmic Operating Microscope 90 w/xy</t>
  </si>
  <si>
    <t>Purchase Construction Materials for the Road Concreting in front of brgy hall, barangay san vicente, LGU-Banga, South Cotabato</t>
  </si>
  <si>
    <t>INSTALLATION OF UNIFI WI-FI FOR TEACHING AND LEARNING METHOD IN PUBLIC SCHOOLS OF MARIVELES, BATAAN</t>
  </si>
  <si>
    <t>Procurement of Gloves and Face masks for DOLE-TUPAD beneficiaries</t>
  </si>
  <si>
    <t>20HN0117 -Repair/Reblocking and Maintenance along Intermittent  Sections of Pajo-Basak-Marigondon Road (S00014LP) KM.  11+500 – KM. 12+067, Lapu-Lapu City</t>
  </si>
  <si>
    <t>20DN0184 - CONSTRUCTION OF 2 STOREY 4 CL, SAN ISIDRO ES, ANTIPOLO CITY</t>
  </si>
  <si>
    <t>Supply and Delivery of Drugs and Medicines for Medical and Dental Outreach.</t>
  </si>
  <si>
    <t>Extension of the Provincial Treasury Office, Brgy. Suklayin, Baler, Aurora</t>
  </si>
  <si>
    <t>Construction of 2 Storey Multi-Purpose Building with Early Childhood Care and Development Care @ Barangay Muñoz East, Roxas, Isabela</t>
  </si>
  <si>
    <t>500 HEADS BROILER CHICKEN</t>
  </si>
  <si>
    <t>Supply and delivery of construction materials for the constrauction of drainage canal Phase-2 at Barangay F. Cajelo, Pres. Roxas, Cotabato.</t>
  </si>
  <si>
    <t>20DN0183 - CONCRETING OF SITIO TANZA I, BRGY. SAN JOSE FMR PHASE 3, BRGY. SAN JOSE, ANTIPOLO CITY, RIZAL</t>
  </si>
  <si>
    <t>Construction of Water Supply System Level II</t>
  </si>
  <si>
    <t>Street Concreting at UEP Zone I, Catarman, N. Samar</t>
  </si>
  <si>
    <t>Concreting of Farm to Market Road - Nagas</t>
  </si>
  <si>
    <t>SUPPLY, DELIVERY AND COMMISSIONING OF COMPUTER LAPTOPS</t>
  </si>
  <si>
    <t>Procurement of Various Construction Supplies and Materials -08-483(O)PEO</t>
  </si>
  <si>
    <t>Purchase of rescue equipment for the Provincial Disaster Risk Reduction and Management Office</t>
  </si>
  <si>
    <t>Supply and Delivery of Brand New 6-Wheeler Dump Truck for Solid Waste Management</t>
  </si>
  <si>
    <t>Establishment of Eco-Tourism Building Business Center Phase 1</t>
  </si>
  <si>
    <t>20DN0186 - CONSTRUCTION OF 4 STOREY 8 CL, ANGONO NHS, ANGONO, RIZAL</t>
  </si>
  <si>
    <t>Supply and Delivery for Rabies Control Program (Vaccine for Victims of Dog bite).</t>
  </si>
  <si>
    <t>RFQ 2020-07-0306-ARCGIS</t>
  </si>
  <si>
    <t>Concreting of Farm to Market Road - San Jose</t>
  </si>
  <si>
    <t>CONSTRUCTION OF MULTI-PURPOSE BUILDING (PHASE II) AT BRGY. PLAZA, BRGY. IPIL, DIPACULAO, AURORA</t>
  </si>
  <si>
    <t>Supply of Materials, Labor and Equipment for the Installation of Street Lighting System (Solar) at Market Site, Barangay Poblacion, Lobo, Batangas</t>
  </si>
  <si>
    <t>Concreting of Farm to Market Road - Banao</t>
  </si>
  <si>
    <t>Procurement of Long Lasting Insecticide Treated Nets</t>
  </si>
  <si>
    <t>Concreting of Farm to Market Road - Badian</t>
  </si>
  <si>
    <t>Construction of Livelihood Development Center P-II (PEO)</t>
  </si>
  <si>
    <t>20GKK0038 – Supply and Delivery of Consumable Supplies for Develop Ineo+ 3850 Printer to be used at Administrative Section, Cash Unit, Supply, ICT, COA and Finance Section</t>
  </si>
  <si>
    <t>ITB No. 2020-01(1) Procurement of  Hospital Equipment I (On-site Delivery)</t>
  </si>
  <si>
    <t>20HN0118 -Repainting of Mandaue Flyover (B00590CB) Mandaue City</t>
  </si>
  <si>
    <t>Procurement of Supplies and Materials for the Improvement of Water System</t>
  </si>
  <si>
    <t>Supply &amp; Delivery of One (1) Unit Digital Color Copier Memory w/ Smart Panel Operating Panel</t>
  </si>
  <si>
    <t>Spareparts</t>
  </si>
  <si>
    <t>PURPOSE: FOR THE USE OF HOME FOR WOMEN -FURNITURE AND FIXTURES.</t>
  </si>
  <si>
    <t>DELIVERY OF LABOR AND MATERIALS FOR THE CONSTRUCTION/REHABILATION OF DRAINAGE SYSTEM AT BRGY. TAGUMPAY BAY, LAGUNA FOR THEIR IMPLEMENTATION OF 20% ECONOMIC DEVELOPMENT FUND (C.Y. 2020)</t>
  </si>
  <si>
    <t>Construction Of Multi-Purpose Building, Brgy. Decoliat, Maria Aurora, Aurora</t>
  </si>
  <si>
    <t>PROCUREMENT OF CATTLE (BRAHMAN GRADES)</t>
  </si>
  <si>
    <t>Subdivision &amp; Road Development for Tandag Housing &amp; Resettlement (Main Subdivision Road)Mabua-Telaje, Tandag City</t>
  </si>
  <si>
    <t>Purchase Construction Materials for the Road Concreting @ Gomez st, brgy. Improgo, LGU-Banga, South Cotabato</t>
  </si>
  <si>
    <t>20GKK0039 – Supply and Delivery of SS1 - Emulsified Asphalt to be used for Act. III - Premix Patching Bituminous Pavement along BCIR</t>
  </si>
  <si>
    <t>SUPPLY AND DELIVERY OF CONSTRUCTION MATERIALS AND SUPPLIES (GOODS-2020-015) - REBID</t>
  </si>
  <si>
    <t>Supply &amp; Delivery of various Construction Materials</t>
  </si>
  <si>
    <t>20DN0185 - CONSTRUCTION OF 4 STOREY 20 CL, TAYTAY ES, TAYTAY, RIZAL</t>
  </si>
  <si>
    <t>Printing and Delivery of Modules to SDO Parañaque Schools</t>
  </si>
  <si>
    <t>Supply and Delivery of One (1) Unit Multi Cab (Rebuilt/Reconditioned), Ugac Sur, Tuguegarao City</t>
  </si>
  <si>
    <t>20DN0187 - CONSTRUCTION OF 4 STOREY 8 CL, DON JOSE M. YNARES SR. MEMORIAL NATIONAL HIGH SCHOOL, BINANGONAN, RIZAL</t>
  </si>
  <si>
    <t>SUPPLY AND INSTALLATION OF A PAPERLESS BOARD MEETING SOLUTION FOR ONE (1) YEAR SUBSCRIPTION</t>
  </si>
  <si>
    <t>Furniture and Fixtures</t>
  </si>
  <si>
    <t>20B00024 (re-ad): Organizational Outcome 1: Ensure Safe and Reliable National Road System: Bridge Program: Widening of Permanent Bridges: Naguilian Bridge along Daang Maharlika (LZ)(Parallel Bridge)</t>
  </si>
  <si>
    <t>20GKK0037 – Supply and Delivery of Office Supplies to be used at DPWH-MOFDEO (All Section)</t>
  </si>
  <si>
    <t>Supply and Delivery of Materials for the Repair of Multi-Purpose Building at Barangay Norte, Patnanungan, Quezon.</t>
  </si>
  <si>
    <t>Supply of Materials, Labor and Equipment for the Construction of Additional Structure for Lobo Public Market at Barangay Poblacion, Lobo, Batangas</t>
  </si>
  <si>
    <t>COMPLETION OF BUAYA BARANGAY HEALTH CLINIC, MAPITPITA, BUAYA, BALBALAN, KALINGA PROVINCE</t>
  </si>
  <si>
    <t>PROCUREMENT OF HYGIENIC SUPPLIES</t>
  </si>
  <si>
    <t>Concreting of Farm to Market Road - Banao-San Jose</t>
  </si>
  <si>
    <t>ITB, 3Q</t>
  </si>
  <si>
    <t>Purchase &amp; Delivery of five (5) units Brand New Patrol/Rescue Vehicle</t>
  </si>
  <si>
    <t>Procurement of Laboratory Equipment / Reagent Tie-up 2020</t>
  </si>
  <si>
    <t>CONCRETING OF BARANGAY ROAD AT BRGY. TALIWA, MALITBOG SOUTHERN LEYTE</t>
  </si>
  <si>
    <t>Vehicle for use of Bulalacao Community Hospital (BCH)</t>
  </si>
  <si>
    <t>PROCUREMENT OF ONE (1) UNIT BRAND NEW PICK-UP 4 x 4 MANUAL (MEO)</t>
  </si>
  <si>
    <t>(NVPH) INVITATION TO BID FOR THE SUPPLY AND DELIVERY OF MEDICAL SUPPLIES</t>
  </si>
  <si>
    <t>Purchase Construction Materials for the Road Concreting @ roxas st, brgy. Benitez, LGU-Banga, South Cotabato</t>
  </si>
  <si>
    <t>Additional Works for Sogod Level II Water System (Ampongol Source)</t>
  </si>
  <si>
    <t>Purchase of Material Recovery Facility - Machineries of LGU, Famy Laguna</t>
  </si>
  <si>
    <t>PR# 20-1451- To supply labor, materials and necessary tools and equipment for the Construction of Multi-Purpose Covered Area with Reinforced Concrete Slab at San Jose, San Luis Pampanga</t>
  </si>
  <si>
    <t>CATERING SERVICES FOR TEACHERS DAY</t>
  </si>
  <si>
    <t>PR# 20-1811- To supply labor, materials and necessary equipment for the Concreting of Barangay Road at Sta. Filomena, Guagua, Pampanga.</t>
  </si>
  <si>
    <t>Purchase of various office supplies of different offices of the LGU- San Enrique, Iloilo</t>
  </si>
  <si>
    <t>CONSTRUCTION OF CANAO DAY CARE CENTER BUILDING, MABACA, BALBALAN, KALINGA PROVINCE</t>
  </si>
  <si>
    <t>Supply and delivery of face shields</t>
  </si>
  <si>
    <t>Upgrading of Montan Road at PD Galima-Uddiawan and Upgrading of Silap Road at Sitio Silap, Brgy. Roxas, SNV.</t>
  </si>
  <si>
    <t>CONCRETING OF CORE LOCAL ROAD FROM BRGY. UPPER BAYAO-LUY-A</t>
  </si>
  <si>
    <t>PROPOSED SITE DEVELOPMENT OF 1) PS # 441 SICO 10 (CATALINA VILLAGE 2), CATALINA VILLAGE, BRGY. SICO, LIPA CITY; 2) PS # 482 BUGTONG 5 (SUNNY VALE), SUNNYVALE SUBDIVISION, BRGY. BUGTONG NA PULO, LIPA C</t>
  </si>
  <si>
    <t>PR# 20-1545- To supply labor, materials and necessary equipment for the Construction of Two (2) Storey Multi-Purpose Building at Dolores Piring, Mexico, Pampanga</t>
  </si>
  <si>
    <t>CONSTRUCTION OF BONLAO MULTI-PURPOSE HALL</t>
  </si>
  <si>
    <t>PR# 20-1547- To supply labor, materials and necessary equipment for the Improvement/Concreting of Barangay Road at Sta. Ursulla, Betis, Guagua, Pampanga</t>
  </si>
  <si>
    <t>PR# 20-1543- To supply labor, materials and necessary equipment for the Improvement of Multi-Purpose Covered Area and Stage at Gutad, Floridablanca, Pampanga</t>
  </si>
  <si>
    <t>Supply of High Speed/High Volume Copier, Network Printer and Scanner (3in1) for Various Schools at Lobo, Batangas</t>
  </si>
  <si>
    <t>PROVISION OF SUPPLIES FOR COVID 19 PANDEMIC PREPAREDNESS</t>
  </si>
  <si>
    <t>PR# 20-1539- To supply labor, materials and necessary equipment for the Concreting of Multi-Purpose Area at Barangay Batasan, Macabebe, Pampanga</t>
  </si>
  <si>
    <t>PGBH-2020-0199 PR2020-0581 INVITATION TO BID FOR THE BULK PROCUREMENT OF FUEL (DIESEL AND GASOLINE) FOR USE BY VARIOUS OFFICE OF PGBH OFFICES - 2ND SEMESTER OF YEAR 2020</t>
  </si>
  <si>
    <t>SUPPLY OF LABOR, MATERIALS &amp; EQUIPMENT FOR THE PROPOSED BARANGAY ROAD CONCRETING OF SUYCO ST., LAMACAN, ARGAO, CEBU</t>
  </si>
  <si>
    <t>Supply and Delivery of Medical Equipments for Municipal Health Office</t>
  </si>
  <si>
    <t>Materials for the Improvement of Jelicuon BHS, Brgy. Jelicuon Montinola, Cabatuan, Iloilo</t>
  </si>
  <si>
    <t>SUPPLIES FOR OFFICE USE</t>
  </si>
  <si>
    <t>Completion of Multi - Purpose Hall, Namabbalan Norte, Tuguegarao City, Cagayan</t>
  </si>
  <si>
    <t>INVITATION TO BID FOR SUPPLY AND DELIVERY OF GOODS (EASTERN SAMAR LIVELIHOOD SEEDING PROGRAM)</t>
  </si>
  <si>
    <t>Procurement of Various Fruit &amp; Forest Tree Seedlings for replanting of QIADP beneficiaries</t>
  </si>
  <si>
    <t>CONSTRUCTION MATERIALS FOR HANDWASHING FACILITIES</t>
  </si>
  <si>
    <t>20GM0084 - Construction of Road, Sitio Cemeco, Brgy. Culipapa, Hinoba-an, Negros Occidental</t>
  </si>
  <si>
    <t>Purchase of Tent/canopies cover</t>
  </si>
  <si>
    <t>(PGSO)  2ND INVITATION TO BID FOR THE SUPPLY AND DELIVERY OF 1 SET SOUND SYSTEM W/ INSTALLATION FOR THE  PROVINCIAL GENERAL SERVICES OFFICE--1,000,000.00</t>
  </si>
  <si>
    <t>Supply and Delivery of Information Technology Equipment</t>
  </si>
  <si>
    <t>RE-BID ELECTRIFICATION OF UN-ENERGIZED SCHOOLS AND MODERNIZATION OF  ELECTRICAL SYSTEMS ON-GRID SCHOOLS CY 2020</t>
  </si>
  <si>
    <t>PR# 20-1455- To supply labor, materials and necessary equipment for the Construction of Perimeter Fence with Service Gate at Provincial MRF Extension, Mitla, Porac, Pampanga</t>
  </si>
  <si>
    <t>Supply and Installation of Air-Conditioning Units</t>
  </si>
  <si>
    <t>Contract ID No. 20GP00088 - Procurement of Fuel for use in the operations of DPWH-CAR Regional Office for the Second Semester of CY 2020 in relation to Construction Project Management</t>
  </si>
  <si>
    <t>Subscription 30Mbps Internet Leased Line Connection via Fiber Optic Cable for Public Employment Service Office (PESO) Portal of the Bureau of Local Employment</t>
  </si>
  <si>
    <t>PR# 20-1535- To supply labor, materials and necessary equipment for the Construction of Two (2) Storey Multi-Purpose Building at Sto. Cristo, Lubao, Pampanga</t>
  </si>
  <si>
    <t>One (1) lot Supply, Delivery, Installation, Configuration Programming, Make-Operational, Testing and Commissioning of a New Projection Mapping System at the Façade of the EDPC Building, BSP Head Offic</t>
  </si>
  <si>
    <t>Procurement of Medical Supplies for QIP</t>
  </si>
  <si>
    <t>CONCRETING OF LOCAL ACCESS ROAD AT BAYWALK WITH DRAINAGE CANAL, BRGY. F. DE JESUS, UNISAN, QUEZON</t>
  </si>
  <si>
    <t>PROCUREMENT OF MATERIALS FOR BANGUS IN CAGE PRODUCTION</t>
  </si>
  <si>
    <t>To supply, handling, transport and delivery of 4,620 CCBOF</t>
  </si>
  <si>
    <t>PEO-2020-0200 PR2020-0582 INVITATION TO BID FOR THE PROCUREMENT OF DIESEL FUEL</t>
  </si>
  <si>
    <t>Improvement of Tapon Norte - Basiao Road</t>
  </si>
  <si>
    <t>Materials for the Concreting of Farm to Market Road, Brgy. Tupol Central, Cabatuan, Iloilo</t>
  </si>
  <si>
    <t>Materials for the Concreting of Farm to Market Road, Brgy. Tiring, Cabatuan, Iloilo</t>
  </si>
  <si>
    <t>RE-BID REPAIR/REHABILITATION OF CLASSROOMS BEFF CY 2020</t>
  </si>
  <si>
    <t>20GKK0041 – Supply and Delivery of IT Equipment to be used for Technical and Administrative Application</t>
  </si>
  <si>
    <t>SUPPLY AND DELIVERY OF MEDICAL SUPPLY</t>
  </si>
  <si>
    <t>Construction of Multi Purpose Building/Warehouse Phase II, Municipal Compound, SNV</t>
  </si>
  <si>
    <t>CONTRACT ID: 20-03-070 REBID - PROCUREMENT OF LABORATORY REAGENTS AND SUPPLIES</t>
  </si>
  <si>
    <t>Supply and Delivery of Equipments for the Municipal Disaster and Risk Reduction Management Council (MDRRMC)</t>
  </si>
  <si>
    <t>CONSTRUCTION OF BALBALAN BRGY. HALL PROTECTION WALL, BALBALAN PROPER, BALBALAN, KALINGA PROVINCE</t>
  </si>
  <si>
    <t>Purchase of Modular Tents</t>
  </si>
  <si>
    <t>Additional Improvement of Streetlightings within Poblacion, Sta. Catalina</t>
  </si>
  <si>
    <t>Purchase of Chainsaw (big)</t>
  </si>
  <si>
    <t>Procurement of Various Fruit and Forest Tree Seedlings to be distributed to the Forest Protection Program (FPP) beneficiaries</t>
  </si>
  <si>
    <t>Improvement of Barangay Access Road at BLISS, Poblacion</t>
  </si>
  <si>
    <t>20GKK0040 – Supply and Delivery of Consumables for Fuji Xerox DCS C2020 and Docucentre S2520 to be used at Records Unit, BAC-TWG, Monitoring Unit, QAS, Maintenance, PDS and Construction Section</t>
  </si>
  <si>
    <t>Construction of Signages/Names</t>
  </si>
  <si>
    <t>Rehabilitation of Maytunas Creek, Mandaluyong City</t>
  </si>
  <si>
    <t>Purchase of Air Conditioning Units</t>
  </si>
  <si>
    <t>Veterinary Medical Supplies</t>
  </si>
  <si>
    <t>Construction of Stage</t>
  </si>
  <si>
    <t>PR# 20-1538- To supply labor, materials and necessary equipment for the Improvement of Barangay Road at Sitio Tramo, Parulog, Bacolor, Pampanga.</t>
  </si>
  <si>
    <t>Drainage Improvement along Susano Road, District I, Caloocan City</t>
  </si>
  <si>
    <t>CONSTRUCTION OF MRF EXTENSION PHASE II, BRGY. A. TUMAMAK, VILLABA, LEYTE - SUPPLEMENTAL NO. 2</t>
  </si>
  <si>
    <t>Upgrading/Enhancement of FM Radio Station/DRR-EWS Information Relay Station for DRRM/CCA Program Promotion and COVID-19 IEC Campaign</t>
  </si>
  <si>
    <t>Supply and Delivery of  Reproduction Machine  and Duplicating Machine Ink .</t>
  </si>
  <si>
    <t>Concreting of Local Access Road (Upgrading of Brgy. Banutan to Brgy. G. Antonino Road)</t>
  </si>
  <si>
    <t>Improvement of Barangay Access Road at Villareal Subdivision, Poblacion</t>
  </si>
  <si>
    <t>Improvement of Mulit-purpose Hall of Poblacion, Sta. Catalina, Negros Oriental</t>
  </si>
  <si>
    <t>PURCHASE OF MATERIALS FOR MOTHER AND BABY KITS</t>
  </si>
  <si>
    <t>PROCUREMENT OF DRUGS AND MEDICINES, DR. JOSE RIZAL MEMORIAL HOSPITAL</t>
  </si>
  <si>
    <t>SUPPLIES FOR NUTRITION PROGRAM</t>
  </si>
  <si>
    <t>SUPPLY &amp; DELIVERY OF DESKTOP COMPUTER-LIBRARY</t>
  </si>
  <si>
    <t>Invitation to Bid for Supply and Delivery of Various Valves and Fittings for Fabrication and Installation of Discharge Line for the Construction of  Tigayon Pumping Station No. 2</t>
  </si>
  <si>
    <t>Supply and Delivery of Furniture and Fixture for Bacnotan Farmer’s Agri-Tourism Center</t>
  </si>
  <si>
    <t>SUPPLY &amp; DELIVERY OF TEXTILE</t>
  </si>
  <si>
    <t>Supply and Delivery of School Supplies for the “Tulong para sa Mag-aaral” Project</t>
  </si>
  <si>
    <t>Proposed Concreting of Barangay Auditorium/Basketball Court</t>
  </si>
  <si>
    <t>20GDQ0026  Corrective and Preventive Maintenance of Various Service Vehicles/ Heavy Equipment used at Cavite 3rd DEO (Second and Third Quarter CY 2020)</t>
  </si>
  <si>
    <t>Supply and Delivery of Modules for Day Care Pupils</t>
  </si>
  <si>
    <t>Repair and rEHABILITATION of Barangay Farm to Market Road</t>
  </si>
  <si>
    <t>Illumination of Road at Regional Government Center (R02) Tuguegarao, City</t>
  </si>
  <si>
    <t>CONSTRUCTION/IMPROVEMENT/REHABILITATION OF SLOPE PROTECTION LUMANG KALYE @ SAN ANTONIO, SAN PASCUAL, BATANGAS</t>
  </si>
  <si>
    <t>CONSTRUCTION OF 420 SQ.M. CONCRETE PAVEMENT LOCATED GUINABANG, BACNOTAN, LA UNION</t>
  </si>
  <si>
    <t>Concreting of Tourism Access Road leading to Kawasan Falls</t>
  </si>
  <si>
    <t>Purchase of Medical Ambulance for Emergency Response</t>
  </si>
  <si>
    <t>SUPPLY &amp; DELIVERY OF HOUSEKEEPING SUPPLIES</t>
  </si>
  <si>
    <t>Provision of Farm Inputs and Implements For Farmers-LBM No. 79</t>
  </si>
  <si>
    <t>Barangay Road Rehabilitation, Ganzon, Jamindan, Capiz</t>
  </si>
  <si>
    <t>Package 61: Supply and Delivery of Household Supplies &amp; Materials</t>
  </si>
  <si>
    <t>Procurement of Two (2) Real Estate External Appraisal-Service Providers for Land and Housing Unit Appraisal of Scout Ranger Ville Housing Project located at Brgy. Calumpang/Tartaro-Sibul, San Miguel,</t>
  </si>
  <si>
    <t>IMPROVEMENT OF BARANGAY WATER SYSTEM UNDER PR#30</t>
  </si>
  <si>
    <t>RE-BIDDING OF SUPPLY, DELIVERY, INSTALLATION, TESTING, AND ACCEPTANCE OF LIGHTNING PROTECTION SYSTEM</t>
  </si>
  <si>
    <t>Procurement of Computer Database System</t>
  </si>
  <si>
    <t>SUPPLIES FOR ALTERNATIVE LEARNING SYSTEM (ALS)</t>
  </si>
  <si>
    <t>Construction of Canal Lining @ Mabato, Amlao</t>
  </si>
  <si>
    <t>Printing, Binding, Supply and Delivery of  Learning Modules for the City Schools Division of Tayabas City-Batch 2</t>
  </si>
  <si>
    <t>Supply and Delivery of Various Medicines</t>
  </si>
  <si>
    <t>Supply and Delivery of Knowledge Channel K-12 Curriculum-Based Portable Media Library</t>
  </si>
  <si>
    <t>Rip-rapping of Abogado Creek, Laya East</t>
  </si>
  <si>
    <t>Supply of Materials, Labor and Equipment for the Expansion of Municipal Hall.</t>
  </si>
  <si>
    <t>Comprehensive Land Use Plan &amp; Zoning Ordinance</t>
  </si>
  <si>
    <t>Road Concreting,Sumabat Street Section Barangay Poblacion</t>
  </si>
  <si>
    <t>SUPPLY AND DELIVERY OF ONE(1) UNIT PICK-UP TYPE VEHICLE</t>
  </si>
  <si>
    <t>PRN 055-PLASTIC WRAPPER-GSO-GOODS-2020</t>
  </si>
  <si>
    <t>Rehabilitation of Barangay Roads</t>
  </si>
  <si>
    <t>Procurement of One (1) Unit Ambulance</t>
  </si>
  <si>
    <t>Communal Irrigation System (NIA Counterpart) Banneng, Calaccad</t>
  </si>
  <si>
    <t>Purchase of 66 sets Tire with tubes and flaps, 10.00-20 20 PR Road Lug for various Dump Trucks.</t>
  </si>
  <si>
    <t>INSTALLATION OF POLYURETHANE MATERIAL FOR FLOORING LOCATED BACSIL, BACNOTAN, LA UNION</t>
  </si>
  <si>
    <t>Provision of Farm Inputs and Implements for Farmers-LBM No. 76</t>
  </si>
  <si>
    <t>Purchase of Computer set and Accessories</t>
  </si>
  <si>
    <t>INVITATION TO BID FOR PURCHASE OF MATERIALS FOR MULTI-PURPOSE HALL IMPROVEMENT - FIRST BIDDING</t>
  </si>
  <si>
    <t>ROAD CONCRETING (CLUSTER 3-2020) 2nd POSTING [INFRA-CB-2020-07-006</t>
  </si>
  <si>
    <t>INVITATION TO BID FOR SUPPLY AND DELIVERY OF GOODS (LEYTE LIVELIHOOD SEEDING PROGRAM)</t>
  </si>
  <si>
    <t>INSTALLATION OF RAMPS FOR MULTI-PURPOSE BUILDING</t>
  </si>
  <si>
    <t>Completion of Two-Storey RHU Building including Improvement of Birthing Facility at Brgy. Poblacion, Jamindan, Capiz</t>
  </si>
  <si>
    <t>INVITATION TO BID FOR SECURITY SERVICES (CONTRACT A &amp; B) PR Nos. 27921-001, 27919-001</t>
  </si>
  <si>
    <t>Purchase of 6 wheeler Mounted with 16 Footer Drop Side Cargo and Built  with 10M Bucket Manlift/Boom Truck</t>
  </si>
  <si>
    <t>(DDH) 2ND INVITATION TO BID FOR THE SUPPLY AND DELIVERY OF AIR-CONDITIONING UNITS &amp; RISO MACHINE FOR THE  DUPAX DISTRICT HOSPITAL--340,000.00</t>
  </si>
  <si>
    <t>Supply and Delivery of Five (5) Units Riso Digital Duplicator</t>
  </si>
  <si>
    <t>To supply, handling, transport and delivery of 7,020 bags of Potassium chloride and 5,265 bags of ammonium sulfate</t>
  </si>
  <si>
    <t>PRN 054-PRINTING/VAL NGAYON-GSO-GOODS-2020</t>
  </si>
  <si>
    <t>Electrification of Un-energized Schools and Modernization of Electrical Systems On-grid Schools in Itbayat</t>
  </si>
  <si>
    <t>Supply and Delivery of Toner Cartridges</t>
  </si>
  <si>
    <t>Construction of Canal Cover Along Oroquieta St, Dagupan Weste  (GAD)</t>
  </si>
  <si>
    <t>HFW: 1 LOT FROZEN GOODS OF HFW CLIENT FOR 2nd SEM OF 2020.</t>
  </si>
  <si>
    <t>Package 031- Procurement of Commercial Rice</t>
  </si>
  <si>
    <t>Water System (GAD) Magpawayan, Guilayon</t>
  </si>
  <si>
    <t>ITB No. 2020-01(5) Procurement of Hospital Equipment V (On-site Delivery)</t>
  </si>
  <si>
    <t>Purchase of Materials for Construction of Installation of Solar Street Lights</t>
  </si>
  <si>
    <t>Improvement of Road Forest Section @ Purok 5, Bulanao</t>
  </si>
  <si>
    <t>Rehabilitation/ Improvement of Local Access Road</t>
  </si>
  <si>
    <t>SUPPLY AND DELIVERY OF VARIOUS PHARMACEUTICAL DRUGS, MEDICINES AND CONTRAST MEDIA (NEGOTIATED PROCUREMENT - 2 FAILED BIDDINGS)</t>
  </si>
  <si>
    <t>Improvement of Road @ Battikin Village, Bulanao</t>
  </si>
  <si>
    <t>Development of Trinidad People's Park (Installation of CCTV Cameras and Upgrading)</t>
  </si>
  <si>
    <t>Installation of Street Lights (GAD) Lower Cacaligan, Bantay</t>
  </si>
  <si>
    <t>SUPPLY &amp; DELIVERY OF MEDICAL EQUIPMENT ACCESSORIES &amp; CONSUMABLES- REBID</t>
  </si>
  <si>
    <t>Improvement of IT Park II and Dormitory (Construction of Covered Court) at IT Park II, Tibag, Tarlac City - B-CW-2020-038</t>
  </si>
  <si>
    <t>2020 28TH PUBLIC BIDDING: PROCUREMENT OF MEDICAL IMAGING SUPPLIES</t>
  </si>
  <si>
    <t>Construction of Deep Well w/ Elevated Tank (GAD) Wanti, Bulanao</t>
  </si>
  <si>
    <t>Construction of Deep Well (GAD) Mataddong, Bantay</t>
  </si>
  <si>
    <t>Procurement of Civil Works- Improvement of Mt. Pack-Laneb-Anit it Road, Cabayo, Kayapa, Nueva Vizcaya</t>
  </si>
  <si>
    <t>Purchase of pre and Post-Harvest Facilities for Rice Production</t>
  </si>
  <si>
    <t>Procurement of Two (2) Real Estate External Appraisal-Service Providers for Land and Housing Unit Appraisal of San Luis Villas Resettlement Project located at Brgy. Ditumabo, San Luis, Aurora Province</t>
  </si>
  <si>
    <t>20GM0083 - Construction of Road, Sitio Otod to Brgy. Hilamonan, Kabankalan City, Negros Occidental</t>
  </si>
  <si>
    <t>Package 62: Supply and Delivery of Novelty Supplies &amp; Materials</t>
  </si>
  <si>
    <t>Construction of  Water Tank &amp; Installation of Pipeline for the Operation of Taytay &amp; Napo Deepwells</t>
  </si>
  <si>
    <t>Construction of Canal Lining w/ Cover @ Baac St, Bulanao Norte</t>
  </si>
  <si>
    <t>HFW : 1 LOT VEGETABLES  SUPPLIES FOR THE CONSUMPTION OF HFW CLIENT FOR 2nd SEMESTER OF 2020</t>
  </si>
  <si>
    <t>SUPPLY OF LABOR AND MATERIALS for the Rehabilitation of Multi-Purpose Hall ,  Municipal Compound , Mataasnakahoy, Batangas</t>
  </si>
  <si>
    <t>Printing of Educational Research Output (Educational Support and Notes) for use during the implementation of Project SYMPLE (Supporting Young Minds Program for Learning the Essentials) - B-G-2020-116</t>
  </si>
  <si>
    <t>Extension of Barangay Hall New Site Barangay Lot, Nambaran</t>
  </si>
  <si>
    <t>Improvement of PWS</t>
  </si>
  <si>
    <t>Construction of Multi-Purpose Building (Phase II),  Brgy. Ditale, Dipaculao, Aurora</t>
  </si>
  <si>
    <t>PACKAGE 6-LDF20</t>
  </si>
  <si>
    <t>Supply, Delivery, Installation and Testing of Laboratory Equipment for (Lot 1) the Upgrading of the Pests and Disease Diagnostic Laboratory for High Value Vegetables and Indigenous Crops in Research O</t>
  </si>
  <si>
    <t>CW-ALPIP-02-2020/ALFONSO LISTA PIP</t>
  </si>
  <si>
    <t>20GBC0010 - Furnishing/Delivery of Signages for use along National Roads</t>
  </si>
  <si>
    <t>PROCUREMENT OF MEDICAL SUPPLIES AND PPE’S</t>
  </si>
  <si>
    <t>Repair and Rehabilitation to be Used/Converted to Dental/Medical Clinic in Itbayat, Sabtang and Basco Central School</t>
  </si>
  <si>
    <t>PACKAGE 10-LDF20</t>
  </si>
  <si>
    <t>PROCUREMENT OF VARIOUS HOSPITAL EQUIPMENT</t>
  </si>
  <si>
    <t>20GB00029 (re-ad): Purchase, Delivery and Installation of Four (4) Units Highway Design Software</t>
  </si>
  <si>
    <t>Package 63: Supply and Delivery of Blood Bags</t>
  </si>
  <si>
    <t>CONSTRUCTION OF TICKET BOOTH AND GATE, BRGY. BUGA-BUGA, VILLABA, LEYTE - BRGY. FUND 20%EDF</t>
  </si>
  <si>
    <t>Ink Toner/Cartridge for printer and photocopier and bond paper</t>
  </si>
  <si>
    <t>Repair and Rehabilitation of Various School Building 2020</t>
  </si>
  <si>
    <t>Four (4) Lots Construction Materials for use in the Concreting of Road, Brgy. San Miguel, Bayawan City, Negros Oriental (B-125-2020)</t>
  </si>
  <si>
    <t>Invitation to Bid for the Supply and Delivery of Materials for the Repair of Cultural Center Roof</t>
  </si>
  <si>
    <t>Procurement for Lease of Water Treatment Facility for Malamig Pumping Station (Minimum of 4mld of treated water at 50psi output)</t>
  </si>
  <si>
    <t>ADS II GOODS - 020-03 - Repair/Maint. of Asphalt/Concrete Pavement (Patching of Potholes and Joint Sealing) along National Primary &amp; Secondary Roads with exceptions/intermittent sections (Furnishing/P</t>
  </si>
  <si>
    <t>Nine (9) Lots Construction Materials for use in the Construction of Barangay Multi-Purpose Hall, Brgy. Cadawinonan, Dumaguete City, Negros Oriental (B-124-2020)</t>
  </si>
  <si>
    <t>SUPPLIES FOR LA LIBERTAD DISTRICT (DEP-ED)</t>
  </si>
  <si>
    <t>IMPROVEMENT OF OMAS TRAINING CENTER GROUND</t>
  </si>
  <si>
    <t>Supply and Delivery of 3,600 head Free Range Chicken ABC: Php1,800,000.00</t>
  </si>
  <si>
    <t>Completion of Open Multi-Purpose Building , Brgy. Calaokan, Dipaculao, Aurora</t>
  </si>
  <si>
    <t>BRGY. ROAD CONCRETING</t>
  </si>
  <si>
    <t>Invitation for Negotiation for the Procurement of  Brand New Van (for Mobile Blood Donation)</t>
  </si>
  <si>
    <t>Supply and Delivery of 122 head Upgraded Anglo Nubian Goat ABC: Php1,220,000.00</t>
  </si>
  <si>
    <t>CW-ALPIP-03-2020/ ALFONSO LISTA PIP</t>
  </si>
  <si>
    <t>SUPPLY AND DELIVERY OF VARIOUS HEALTH SUPPLIES AND EQUIPMENT, BRGY. MABINI, BURDEOS, QUEZON</t>
  </si>
  <si>
    <t>Invitation to Bid for the Supply and Delivery of Labor and Materials  for the Construction of Covered Court (Multi-purpose Building) at Calape National High School, Calape, Daanbantayan, Cebu</t>
  </si>
  <si>
    <t>Procurement of Two (2) Real Estate External Appraisal-Service Providers for Land and Housing Unit Appraisal of Casa San Miguel located at Brgy. San Juan De Valdez, San Jose, Tarlac</t>
  </si>
  <si>
    <t>Supply and Delivery of Livestocks for the use of Small Ruminant Center Project (CHED DARE TO PROJECT) (Re-bid)</t>
  </si>
  <si>
    <t>IMPROVEMENT OF TABOGON WATERWORKS SYSTEM</t>
  </si>
  <si>
    <t>Installation of Powerline to the Customized Solid Waste Processing Center</t>
  </si>
  <si>
    <t>Procurement of Two (2) Real Estate External Appraisal-Service Providers for Land Appraisal of Six (6) Commercial Lots located at Pleasant Hills Subdivision, Brgy. San Manuel, City of San Jose Del Mont</t>
  </si>
  <si>
    <t>Supply, Delivery, and Installation of Laboratory Furniture BAC-NP NO. 2020-07</t>
  </si>
  <si>
    <t>Supply &amp; Delivery of Continuous Positive Airway Pressure (CPAP) Machine</t>
  </si>
  <si>
    <t>Supply &amp; Delivery of Printed Forms - Rebid</t>
  </si>
  <si>
    <t>FOR EMERGENCY/RESCUE VEHICLE (MUNICIPALITY OF LA LIBERTAD, ZAMBOANGA DEL NORTE)</t>
  </si>
  <si>
    <t>Procurement of Medical Oxygen for the use of IPHO-TPH - B-G-2020-117</t>
  </si>
  <si>
    <t>Procurement of Two (2) Real Estate External Appraisal-Service Providers for Lot Appraisal of Ninety-Seven (97) Commercial Lots located at Pandacaqui Resettlement (Pampanga Housing Project), Brgy. Pand</t>
  </si>
  <si>
    <t>Supply and Delivery of 610 Traditional Lowland Rice Seeds ABC: Php1,464,000.00</t>
  </si>
  <si>
    <t>Supply and Delivery of 3,188 sachet Pheromone ABC: Php2,072,200.00</t>
  </si>
  <si>
    <t>SUPPLY AND DELIVERY OF VARIOUS IT SUPPLIES AND EQUIPMENT  (PB 20-03-20)</t>
  </si>
  <si>
    <t>Invitation to Bid for the Supply and Delivery of Labor and Materials  for the Construction of Balay Silangan (P-1) at Pajo, Daanbantayan, Cebu</t>
  </si>
  <si>
    <t>“CONSTRUCTION OF RESIDUAL CONTAINMENT BUILDING”</t>
  </si>
  <si>
    <t>Construction of Bridge/ Board Walk (Tagbak Marine Park)</t>
  </si>
  <si>
    <t>FLOOD CONTROL AT LANGAWAN RIVER (GABION TYPE), BRGY. CARAGSACAN, DINGALAN, AURORA</t>
  </si>
  <si>
    <t>Ten (10) Lots Construction Materials for use in the Improvement of Treasurer’s Office, Province of Negros Oriental (B-123-2020)</t>
  </si>
  <si>
    <t>REHABILITATION/IMPROVEMENT OF FARM-TO-MARKET ROAD PANAWNAWAN-MAGTIAW, BRGY. CAMPIDHAN, SAN JULIAN E. SAMAR</t>
  </si>
  <si>
    <t>Rehabilitation of Barnhouses (Renovation of Building 2089 Including Studio Room)(Second Bidding)</t>
  </si>
  <si>
    <t>REHAB./IMPROVEMENT OF ISOLATION ROOM, BRGY. BALITE, VILLABA, LEYTE - BRGY. FUND</t>
  </si>
  <si>
    <t>ITB No. 20-078: Supply and Delivery of Three Hundred Thirty-Four (334) Pieces Hemoperfusion Sepsis Cartridge</t>
  </si>
  <si>
    <t>SUPPLY &amp; DELIVERY OF MEDICAL EQUIPMENT ACCESSORIES &amp; CONSUMABLES-REBID</t>
  </si>
  <si>
    <t>Supply and Delivery of 14,638 packs Vegetable Seeds (Pinakbet) ABC: Php3,439,930.00</t>
  </si>
  <si>
    <t>PACKAGE 7-LDF20</t>
  </si>
  <si>
    <t>20NI0086 - Concreting of Brgy. Magsaysay to Sitio Matina-oa, Brgy. Poblacion FMR, Brgy. Magsaysay and Brgy. Poblacion, Tagbina, Surigao del Sur</t>
  </si>
  <si>
    <t>Procurement of Two (2) Real Estate External Appraisal-Service Providers for Land and Housing Unit Appraisal of Dinalungan Heights (Expansion Area) Resettlement Project located at Brgy. Nipoo, Dinalung</t>
  </si>
  <si>
    <t>CONSTRUCTION/IMPROVEMENT/REHABILITATION OF FLOOD CONTROL SYSTEM @ AQUINO AVE., POBLACION, SAN PASCUAL, BATANGAS</t>
  </si>
  <si>
    <t>ROAD CONCRETING (CLUSTER 4-2020) 2nd POSTING [INFRA-CB-2020-07-007]</t>
  </si>
  <si>
    <t>Supply &amp; Delivery of Spare Parts for Various Vehicles</t>
  </si>
  <si>
    <t>Construction of School Building (Phase I)</t>
  </si>
  <si>
    <t>Supply and Delivery of Various Medical Equipment (Re-bid)</t>
  </si>
  <si>
    <t>Supply and Delivery with Installation of Scientific/Technical Laboratory Equipment for BS Physics Lab. and BS Chemistry Lab., Isabela State University, Cabagan, Isabela</t>
  </si>
  <si>
    <t>Water System (GAD) Banagan to Eco Village, Bagumbayan</t>
  </si>
  <si>
    <t>20EI0187 - Concreting of Road, Sitio Calunacon – Sitio Bating, Brgy. Milagrosa, Bulalacao, Oriental Mindoro_079</t>
  </si>
  <si>
    <t>Construction of Stage, Cudal National School</t>
  </si>
  <si>
    <t>20GBC0011 - Furnishing/Delivery of Reflectorized Traffic Paint Materials for use along National/Secondary Roads</t>
  </si>
  <si>
    <t>Construction of Drainage Canal (GAD) Upper Sunrise Village, San Juan</t>
  </si>
  <si>
    <t>Procurement of Various Office IT Equipment - Repost</t>
  </si>
  <si>
    <t>Road Concreting, Samonte Subdivision Section Barangay Poblacion</t>
  </si>
  <si>
    <t>Contract ID No. 20K00358 - Cluster "RO-07" Concreting/ Landscaping of Various Access Road in Misamis Oriental 1. Landscaping, Poblacion, El Salvador City, Misamis Oriental Php = 1,000,000.00 2. Concre</t>
  </si>
  <si>
    <t>GF-20-02-00229B VARIOUS ENGINEERING BOOKS</t>
  </si>
  <si>
    <t>GF-20-03-00482 PROCUREMENT OF VARIOUS GROCERY ITEMS</t>
  </si>
  <si>
    <t>GF-20-07-01052 - PROCUREMENT OF TABLE</t>
  </si>
  <si>
    <t>Supply and delivery of Various Inorganic Fertilizer ABC: Php21,000,000.00</t>
  </si>
  <si>
    <t>Hiring of Security Services</t>
  </si>
  <si>
    <t>FABRICATION OF OPEN SHELVES</t>
  </si>
  <si>
    <t>REPAIR OF FIBER OPTIC BACKBONE-AGUS 6&amp;7 HPPC</t>
  </si>
  <si>
    <t>GF-20-05-00719 PNEUMONIA AND INFLUENZA VACCINE</t>
  </si>
  <si>
    <t>Procurement of Labor and Materials for Repair of Various Civil Works</t>
  </si>
  <si>
    <t>GF-20-09-3C-QCU - LAPTOP COMPUTERS FOR STUDENTS AND FACULTY MEMBERS</t>
  </si>
  <si>
    <t>BRGY. ROAD CONCRETING (Entrance of Brgy. Himo-aw)</t>
  </si>
  <si>
    <t>FOR OFFICE USE</t>
  </si>
  <si>
    <t>SUPPLY OF LABOR, MATERIALS AND TOOLS FOR THE REPAIR OF FIRE HYDRANT AT AGUS 7 HPP</t>
  </si>
  <si>
    <t>GF-20-05-00718 - DIGITAL COPIER AND MANUAL TYPEWRITER</t>
  </si>
  <si>
    <t>Construction of Molecular Testing Laboratory at Diagnostic Building, Sitio Cabading, Brgy. Inarawan, Antipolo City</t>
  </si>
  <si>
    <t>Supply and Delivery of 3,218 pack Biological Insecticide ABC: Php1,367,650.00</t>
  </si>
  <si>
    <t>SUPPLY AND DELIVERY OF VARIOUS CONSTRUCTION MATERIALS FOR THE CONSTRUCTION OF THE MAIN OFFICE BUILDING EXTENSION</t>
  </si>
  <si>
    <t>Straight Contract for Road Improvement at So. Casipungan to So. Tugas, Brgy. Carabalan, Himamaylan City</t>
  </si>
  <si>
    <t>20EI0186 - Concreting of Road, Panggulayan – Anoling – Buli, Pinamalayan, Oriental Mindoro_078</t>
  </si>
  <si>
    <t>Supply, Delivery, Installation &amp; Commissioning of 50KVA Generator Set and</t>
  </si>
  <si>
    <t>INVITATION TO BID FOR THE Rebidding for Two (2) Units of Document Scanner under the DOE Locally Funded Biofuels  Program</t>
  </si>
  <si>
    <t>Straight Contract for Improvement of Overflow at So. Upad, Brgy. Libacao Himamaylan City</t>
  </si>
  <si>
    <t>20BF0067: Bridge Program-Widening of Permanent Bridges-Mallig Bridge (B001158LZ) along Santiago-Tuguegarao Road, Mallig, Isabela</t>
  </si>
  <si>
    <t>Construction of Multi-Purpose Building Phase II, Capacuan ES</t>
  </si>
  <si>
    <t>Proposed Concreting of Basketball Court @ Sitio Tanke, Barangay Biga, Toledo City</t>
  </si>
  <si>
    <t>2020-GOODS-05; SUPPLY/ DELIVERY FOR THE PURCHASE OF DREDGING EQUIPMENT FOR THE USE IN THE FLOOD CONTROL PROGRAM OF DPWH R.O. XIII, BUTUAN CITY</t>
  </si>
  <si>
    <t>PROCUREMENT OF FAMILY PLANNING COMMODITIES (BAC 2020-G09)</t>
  </si>
  <si>
    <t>20CB-GSC-515	PURCHASE OF TOKENS  FOR MILESTONES AND RETIREES</t>
  </si>
  <si>
    <t>SUPPLY AND DELIVERY OF VARIOUS IT SUPPLIES AND EQUIPMENT  (PB 20-03-21)</t>
  </si>
  <si>
    <t>Supply and Delivery of 1 unit motocycle-for Barangay Acacia</t>
  </si>
  <si>
    <t>CONSTRUCTION OF TWO STOREY MULTI PURPOSE HALL AT BRGY. SAN RAFAEL, CALACA, BATANGAS</t>
  </si>
  <si>
    <t>ITB# 26-2020 Medical/Laboratory Supplies</t>
  </si>
  <si>
    <t>Supply and Delivery of Catering Services for 3-Day Peace Building Seminar at Brgy. Kasapa - PR# 20-07-0535</t>
  </si>
  <si>
    <t>Contract ID No. 20K00360 - Installation of Water System Poblacion, El Salvador City, Misamis Oriental</t>
  </si>
  <si>
    <t>20CB-GSC-516	PURCHASE OF SPAREPARTS FOR HEAVY EQUIPMENTS</t>
  </si>
  <si>
    <t>GF-20-05-00710 ANTI-TB KIT AND OTHERS</t>
  </si>
  <si>
    <t>Improvement of Barangay Bong-ao Road</t>
  </si>
  <si>
    <t>SUPPLY AND DELIVERY OF AGRICULTURAL SUPPLIES  (PB 20-03-23)</t>
  </si>
  <si>
    <t>FIVE (5) UNITS MECHANICAL VENTILATOR</t>
  </si>
  <si>
    <t>Contract ID No. 20K00359 - Repair/ Maintenance and Rehabilitation of Infrastructure Facilities, Public Buildings 1. Repair/ Maintenance of DPWH Building GAD Building (Comfort Room), Engineer's Hill, B</t>
  </si>
  <si>
    <t>TWO (2) UNITS INFANT TRANSPORT VENTILATOR</t>
  </si>
  <si>
    <t>Construction of Flood Control with River Walk at Brgy. Poblacion, Kananga, Leyte</t>
  </si>
  <si>
    <t>SEF-20-08-01196 - LAPTOP COMPUTERS</t>
  </si>
  <si>
    <t>INSTALLATION OF TRAFFIC LIGHT</t>
  </si>
  <si>
    <t>LIDLIDDA SIP/CY 2020 SIP FUND</t>
  </si>
  <si>
    <t>Procurement of Printers and Flash Drives under CY 2018 PSEF</t>
  </si>
  <si>
    <t>Purchase of T-shirt with Print for Women’s Participation in the Campaign Against Criminality Program of the Province of Zamboanga del Sur (District I)</t>
  </si>
  <si>
    <t>Street Lighting, Barangay Hagdan, Santa Fe, Cebu - Municipal</t>
  </si>
  <si>
    <t>Procurement of Bond Papers, Binding Materials and IT Equipment under CY 2020 PSEF</t>
  </si>
  <si>
    <t>CONSULTANCY SERVICES FOR WEBSITE DEVELOPMENT, INCLUSIVE OF  DOMAIN NAME REGISTRATION AND WEB HOSTING.</t>
  </si>
  <si>
    <t>20GO0106 - CONSTRUCTION/REPAIR/ REHABILITATION/ IMPROVEMENT/UPGRADING OF LOCAL ROAD IN BRGY. 16, 35, 34, 14 &amp; 13, BACOLOD CITY</t>
  </si>
  <si>
    <t>INFRA 2K20-59 CONSTRUCTION OF BRGY. PIWAN WATER SYSTEM (LEVEL II), BRGY. PIWAN, MIDSALIP, ZAMBOANGA DEL SUR</t>
  </si>
  <si>
    <t>ONE (1) LOT CONVENTIONAL MOBILE X-RAY</t>
  </si>
  <si>
    <t>Construction Materials for the Rehabilitation/Repair of BEMONC Building – Phase II, Municipal Site, R. T. Lim, Zamboanga Sibugay</t>
  </si>
  <si>
    <t xml:space="preserve">Contact ID No. 20K00357 - Cluster “RO-06” Construction of Various Building Projects in Bukidnon 1. Semen Processing Plant/ Laboratory, NMACLRC, Dalwangan, Malaybalay City, Bukidnon Php = 3,000,000.00 </t>
  </si>
  <si>
    <t>Installation of Streetlighting (Phase II)</t>
  </si>
  <si>
    <t>Purchase of Medical Supplies for ZDSMC Pharmacy Stocking/Sale Purposes (Admitting Patients use)</t>
  </si>
  <si>
    <t>SUPPLY AND DELIVERY OF AGRICULTURAL SUPPLIES (PB 20-03-22)</t>
  </si>
  <si>
    <t>Supply &amp; Delivery of Musical Instruments &amp; Costume for Drum &amp; Bugle Corps</t>
  </si>
  <si>
    <t>REPAIR AND MAINTENANCE OF BUILDING AND OTHER STRUCTURES-Caglayan</t>
  </si>
  <si>
    <t>SUPPLY AND DELIVERY OF OFFICE AND OTHER SUPPLIES</t>
  </si>
  <si>
    <t>Document Management (Attache) System</t>
  </si>
  <si>
    <t>MAINTENANCE AND IMPROVEMENT OF WILD LIFE RESCUECENTER (WRC) FACILITIES AT BRGY. TAMPAYAN, MAGDIWANG, ROMBLON</t>
  </si>
  <si>
    <t>Procurement and Delivery of Furniture and Fixtures for PSA RSSO V New Office Building</t>
  </si>
  <si>
    <t>Purchase of Various Materials (Stocking Requirement) for the Repairs and Maintenance of PGO Vehicles.</t>
  </si>
  <si>
    <t>Purchase of One (1) Unit Premium Level Digital Color Doppler Ultrasound System for Zamboanga del Sur Medical Center Radiology Department use.</t>
  </si>
  <si>
    <t>INVITATION TO BID FOR THE REBIDDING OF THE Supply and Delivery of Third Quarter Office Supplies for CY 2020</t>
  </si>
  <si>
    <t>Procurement of Non-Regulated Drugs for ZDSMC Pharmacy Stocking/Sale Purposes (Respiratory Patients use)</t>
  </si>
  <si>
    <t>GF-20-05-00713- SUPPLIES FOR COFFEE VENDING MACHINE</t>
  </si>
  <si>
    <t>CONSTRUCTION OF CORN SHED</t>
  </si>
  <si>
    <t>Supply &amp; Delivery of Window Blinds for Clinic, NSTP, Library, CADS and QA</t>
  </si>
  <si>
    <t>Concreting of Brgy. Road @ Brgy.  Sitio Guinacutan to Loboc, Tungawan, Zamboanga Sibugay (INFR-2020-047)</t>
  </si>
  <si>
    <t>Improvement of Multi-purpose Building @ Sto. Niño, Tungawan, Zamboanga Sibugay (INFR-2020-046)</t>
  </si>
  <si>
    <t>CID No. 20IO0095 - Annual Work Program 3/Preventive Maintenance (AWP3/PM) - Palompon - Isabel - Merida - Ormoc Road (S00152LT), K1076+352 - K1083+372, Leyte 4LD</t>
  </si>
  <si>
    <t>Construction of Water System (Drilling) @ Brgy. Imelda, Titay, Zamboanga Sibugay (INFR-2020-045)</t>
  </si>
  <si>
    <t>CONSTRUCTION OF MACASSAB FOOTBRIDGE</t>
  </si>
  <si>
    <t>CONSTRUCTION OF HEALTH CENTER LOCATED AT BULACAN, MALALAG, DAVAO DEL SUR all in accordance to plans, specifications and scope of work and the Green Procurement Policy as adopted by Executive Order No.</t>
  </si>
  <si>
    <t>Construction of Water System @ Banban, Conner, Apayao</t>
  </si>
  <si>
    <t>Improvement of Multi-purpose Building @ Tinongtongan, Diplahan, Zamboanga Sibugay (INFR-2020-041)</t>
  </si>
  <si>
    <t>CONSTRUCTION OF MULTI-PURPOSE BUILDING (PHASE II) PUROK 6-Caglayan</t>
  </si>
  <si>
    <t xml:space="preserve">CONCRETING OF FMR (DOMINGO ROAD) LOCATED AT MARBER, BANSALAN, DAVAO DEL SUR all in accordance to plans, specifications and scope of work and the Green Procurement Policy as adopted by Executive Order </t>
  </si>
  <si>
    <t>Construction of of Flood Control Along Acutan River ( Caglayan Section)</t>
  </si>
  <si>
    <t>Construction of Multi-purpose Building at Olutanga Central School @ Brgy. Solar, Olutanga, Zamboanga Sibugay (INFR-2020-043)</t>
  </si>
  <si>
    <t>Purchase of Senior Citizen's Booklet</t>
  </si>
  <si>
    <t>CONSTRUCTION OF ACCESS ROAD AT PUROK 1, HILLTOP-Talifugo</t>
  </si>
  <si>
    <t>Improvement of Access Road @ Purok 4 -Paddaoan</t>
  </si>
  <si>
    <t>HIRE OF 1 UNIT VAN</t>
  </si>
  <si>
    <t>Completion of Barangay Hall</t>
  </si>
  <si>
    <t>Construction of Water System @ Catub Paddaoan</t>
  </si>
  <si>
    <t>CONSTRUCTION OF BARANGAY HEALTH STATION (PHASE III)-Calafug</t>
  </si>
  <si>
    <t>Proposed Repair of Old Municipal Building, LGU - Sta. Margarita, Samar</t>
  </si>
  <si>
    <t>20GO0105-Construction of Revetment w/ Floodwall along Sum-ag River, Bacolod City</t>
  </si>
  <si>
    <t>Improvement of Multi-purpose Building @ Natan, Diplahan, Zamboanga Sibugay (INFR-2020-042)</t>
  </si>
  <si>
    <t>Purchase of Polo Shirt with Print for the Youth Symposium on the National Security Framework and Effects and Impacts of Illegal Drugs Program of the Provincial Government of Zamboanga del Sur (1st Bat</t>
  </si>
  <si>
    <t>CONSTRUCTION OF THREE (3) UNITS LED WALL AT ST. AGUSTINE PARK AND MUNICIPAL COMPOUND</t>
  </si>
  <si>
    <t>Purchase of 22 Units Duplicating/Copying Machine for the operational use in Balik Eskwela Program CY - 2020</t>
  </si>
  <si>
    <t>SUPPLY AND DELIVERY OF 42,400 TONS SOLID WASTE  (SOLID WASTE DISPOSAL SERVICES)</t>
  </si>
  <si>
    <t>GF-20-03-00494- PROCUREMENT OF BUS 30 SEATER</t>
  </si>
  <si>
    <t>BINONGAN SIP/CY 2020 SIP FUND</t>
  </si>
  <si>
    <t>Purchase of Fluids for ZDSMC Pharmacy stocking/sale purposes.</t>
  </si>
  <si>
    <t>Supply &amp; Delivery of Maintenance Supplies</t>
  </si>
  <si>
    <t>SUYO SIP/CY 2020 SIP FUND</t>
  </si>
  <si>
    <t>INVITATION TO BID FOR GROCERIES (BID NO. 200903-13)</t>
  </si>
  <si>
    <t>CID No. 20IC0082: Concreting of Brgy. Libertad FMR, Brgy. Libertad, Palo, Leyte; ABC: P11,940,000.00; 61 CD</t>
  </si>
  <si>
    <t>Construction of 2STY4CL, Buyo Elementary School, Manito, Albay</t>
  </si>
  <si>
    <t>GF-20-05-00787 PEST CONTROL SOLUTION</t>
  </si>
  <si>
    <t>Procurement of CY 2020 SND’s Token of Appreciation During Birthday Celebrations</t>
  </si>
  <si>
    <t>CID No. 20IC0079: Concreting of Brgy. Veteranos FMR, Brgy. Veteranos, Alangalang, Leyte; ABC: P12,935,000.00; 66 CD</t>
  </si>
  <si>
    <t>Supply and delivery of Rescue Tools and Equipment (Lighting &amp; Collapse Structure)</t>
  </si>
  <si>
    <t>Supply and delivery of OFFICE EQUIPMENT</t>
  </si>
  <si>
    <t>Supply and Delivery of Garments and Sewing Machine for Barangay Poblacion, Toledo City</t>
  </si>
  <si>
    <t>SUPPLY AND DELIVERY OF ONE HUNDRED FORTY (140) DRUMS OF GRANULAR CALCIUM HYPOCHLORITE FOR ANGELES CITY WATER DISTRICT</t>
  </si>
  <si>
    <t>PURCHASE AND DELIVERY OF BRAND-NEW AMBULANCE</t>
  </si>
  <si>
    <t>Procurement of Aggregates used for Road Concreting of Purok 1 @ Brgy. Sta. Cruz, Socorro, SDN</t>
  </si>
  <si>
    <t>PROCUREMENT FOR THE SUPPLY OF VARIOUS I.T EQUIPMENT</t>
  </si>
  <si>
    <t>PR 4-20-07-0878, FOR USE AS SPARE FOR THE IMMEDIATE REPLACEMENT OF PUMPS AND MOTORS IN CASE OF BREAKDOWN OF DIFFERENT PUMPING STATIONS OF THE CITY WATERWORKS DEPARTMENT, THIS CITY.</t>
  </si>
  <si>
    <t>Procurement of Laboratory Supplies for the use of Dr. Rafael S. Tumbokon Memorial Hospital-EEDD, Kalibo, Aklan/ITB no: 2020-450</t>
  </si>
  <si>
    <t>Procurement of Non-Regulated Drugs for ZDSMC Pharmacy Stocking/Sale Purposes (ICU Patients use)</t>
  </si>
  <si>
    <t>Supply and Delivery of Camping Equipment</t>
  </si>
  <si>
    <t>Procurement of IT Equipments, Office Equipements and Accessories</t>
  </si>
  <si>
    <t>Construction of Slope Protection along Capitol Service Road (at the back of Generator set) @ Brgy. Ipil Heights, Ipil, Zamboanga Sibugay (INFR-2020-048)</t>
  </si>
  <si>
    <t>PROCUREMENT OF HYGIENE KIT AND OTHER FOR KINDER LEARNER OF AGUTAYA</t>
  </si>
  <si>
    <t>PROCUREMENT OF SLIPPERS (SANDAL TYPE) FOR AGE 6-12 YEARS</t>
  </si>
  <si>
    <t>CID No. 20IO0097 - Network Development – Construction of By-Pass and Diversion Roads – Baybay City Diversion Road, Leyte, Leyte 5th LD</t>
  </si>
  <si>
    <t>Supply &amp; Installation of Doors &amp; Windows used for Rehabilitation of Senior Citizen's Building @ Brgy. Navarro, Socorro, SDN</t>
  </si>
  <si>
    <t>PROCUREMENT OF 2 UNITS OF WINDOW TYPE AIRCON WITH ACCESSORIES  AND CURTAIN</t>
  </si>
  <si>
    <t>CID No. 20IO0096 - Network Development – Construction of By-Pass and Diversion Roads – Baybay City Diversion Road, Leyte, Leyte 5th LD</t>
  </si>
  <si>
    <t>CONSTRUCTION OF ONE (1) UNIT BRGY. HALL</t>
  </si>
  <si>
    <t>PROCUREMENT OF CONSTRUCTION MATERIALS FOR CONCRETING OF DORONGAN ROAD</t>
  </si>
  <si>
    <t>SUPPLY AND DELIVERY OF TEN (10) UNITS GOLF CARTS FOR THE USE OF CLUB INTRAMUROS GOLF COURSE</t>
  </si>
  <si>
    <t>PROCUREMENT OF CONSTRUCTION MATERIALS FOR CONCRETING OF INTERMITTENT ROAD (ABAGAT-VILLA SOL RD)</t>
  </si>
  <si>
    <t>Procurement of Medical Equipment (Orthopedic Set)</t>
  </si>
  <si>
    <t>PROCUREMMENT OF 1 UNIT ANDROIND PHONE FOR MDRRM USE</t>
  </si>
  <si>
    <t>Supply and Delivery of Labor and MAterials for the Construction of Fence ( Basketball Court)@ Brgy SAhud-Ulan, Tanza, Cavite</t>
  </si>
  <si>
    <t>PROCUREMENT OF CONSTRUCTION MATERIALS FOR CONCRETING OF BANCAL ROAD</t>
  </si>
  <si>
    <t>Procurement of Infrastructure Projects for the Improvement/Renovation of the KBC Appertelle's Cafeteria and Administrative Office</t>
  </si>
  <si>
    <t>20CW-GSC-028 REPAIR/REHABILITATION OF OVAL PLAZA COVERED COURT, GENERAL SANTOS CITY</t>
  </si>
  <si>
    <t>20CW-GSC-027 BUILDING - EXPANSION AND IMPROVEMENT OF CITY PUBLIC LIBRARY MAIN BUILDING, GENERAL SANTOS CITY</t>
  </si>
  <si>
    <t>20CW-GSC-026 IMPROVEMENTS OF ROAD FACILITIES AT CABEL ST., BRGY. LAGAO, GENERAL SANTOS CITY</t>
  </si>
  <si>
    <t>SUPPLY AND DELIVERY OF MATERIALS FOR THE CONCRETING OF FARM TO MARKET ROAD, PUROK 1, SAN ANTONIO SOUTH</t>
  </si>
  <si>
    <t>INVITATION TO BID FOR REPRODUCTION OF LOCALLY PREPARED LEARNING MODULES OF ALL SUBJECT AREAS FROM KINDERGARTEN TO GRADE 12 FOR FIRST QUARTER OF SCHOOL YEAR 2020-2021</t>
  </si>
  <si>
    <t>CONSTRUCTION STORAGE FACILITY</t>
  </si>
  <si>
    <t>SUPPLY AND DELIVERY OF UPVC PIPES AND FITTINGS FOR REHABILITATION OF PIPES FOR SIBUCO WATER DISTRICT</t>
  </si>
  <si>
    <t>20CW-GSC-029 FLOOD CONTROL SYSTEMS (CONSTRUCTION OF FLOODWAY ALONG MABUHAY ROAD, CITY HEIGHTS, SAN ISIDRO &amp; MABUHAY - LEFTSIDE) ADDITIONAL APPROPRIATION, BRGY. CITY HEIGHTS AND SAN ISIDRO, GENERAL SAN</t>
  </si>
  <si>
    <t>INVITATION TO BID FOR SUPPLY AND DELIVERY OF CONSTRUCTION MATERIALS FOR THE ESTABLISHMENT OF TECHNO DEMO FACILITY (PERIMETER FENCE EXTENSION) AT BALAK II, MANADI, PURAKAN, LINAMON, LANAO DEL NORTE</t>
  </si>
  <si>
    <t>PROCUREMENT OF ASSORTED MDRRM EQUIPMENTS</t>
  </si>
  <si>
    <t>Provision of Two (2) Pumping Station along Navotas Coastal Dike with Box Culvert (Phase 2), Navotas City (Completion of Pumphouse No. 1 and 2 and Installation of Pump No. 2 for Pumphouse No. 1) (Contr</t>
  </si>
  <si>
    <t>20CW-GSC-025 BUILDING - CITY HALL RENOVATION, CITY HALL COMPOUND, GENERAL SANTOS CITY</t>
  </si>
  <si>
    <t>PROCUREMENT OF CONSTRUCTION MATERIALS FOR WOMENS CRISIS CENTER</t>
  </si>
  <si>
    <t>PROCUREMENT OF ONE (1) UNIT BRAND NEW PICK-UP TRUCK VEHICLE</t>
  </si>
  <si>
    <t>Rehabilitation of Tugop Footbridge at San Fernando</t>
  </si>
  <si>
    <t>Construction/Improvement of Special Action Force Headquarters Building Phase I, Camp. Bagong Diwa, Bicutan, Taguig City (Contract ID No. 20O00019)</t>
  </si>
  <si>
    <t>SUPPLY OF OFFICE SUPPLIES &amp; EQUIPMENT FOR LGU-BOBON, NORTHERN SAMAR</t>
  </si>
  <si>
    <t>20DG0052: Concreting of Brgy. Taywanak Ilaya FMR, Brgy. Taywanak Ilaya, Alfonso, Cavite; Project I.D No. 20DG0052</t>
  </si>
  <si>
    <t>Supply and Delivery of Brand New Cargo Truck to TARBC-Tinagancan, Gen. Santos City</t>
  </si>
  <si>
    <t>20CW-GSC-030 ROAD CONCRETING FROM FIL-AM HIGHWAY TO ANTONIO C. ACHARON MEMORIAL PARK, BARANGAY FATIMA, GENERAL SANTOS CITY</t>
  </si>
  <si>
    <t>PROCUREMENT IF IT SUPPLIES-MO ADMIN-1ST POSTING=PHP 694,000.00</t>
  </si>
  <si>
    <t>PROCUREMENT OF CONSTRUCTION MATERIALS FOR VILLA FRIA DRAINAGE SYSTEM</t>
  </si>
  <si>
    <t>PB-20-402, Supply of 118,764 liters Diesel Fuel for various road building equipment assigned in the repair/maintenance of Provincial and Barangay roads at District I, Province of Cotabato</t>
  </si>
  <si>
    <t>Procurement of Structural Retrofitting and Repair of Building 19 under IB No. CW 2020-001</t>
  </si>
  <si>
    <t>ACQUISITION OF EQUIPMENT FOR MENRO-BOBON, NORTHERN SAMAR</t>
  </si>
  <si>
    <t>FURNISHED LABOR AND MATERIALS FOR THE CONSRUCTION OF WATER SYSTEM LEVEL II-BRGY. DATAL BILA-1ST POSTING=PHP 972,000.00</t>
  </si>
  <si>
    <t>MEALS AND SNACKS FOR THE CONDUCT OF SBM CAPABILITY BUILDING-MO ADMIN=PHP 235,000.00</t>
  </si>
  <si>
    <t>PB-20-086, Procurement of Catering Services for the conduct of Parliamentary and Emergency Response Training of Sangguniang Panlalawigan &amp; Office of the Vice Governor, Amas, Kidapawan City</t>
  </si>
  <si>
    <t>PB-20-400, Supply &amp; Delivery of GeneXprt Machine (GeneXpert IV) for the use of HIV treatment hub</t>
  </si>
  <si>
    <t>Construction of 7-Storey Office Building of Intelligence Service Armed Forces of the Philippines (ISAFP), Camp. Gen. Emilio Aguinaldo, Quezon City (Contract ID No. 20O00028)</t>
  </si>
  <si>
    <t>INVITATION TO BID FOR SUPPLY AND DELIVERY OF CONSTRUCTION MATERIALS FOR SLAUGHTERHOUSE ENHANCEMENT AT BARANGAY BOSQUE, LINAMON, LANAO DEL NORTE</t>
  </si>
  <si>
    <t>PB-20-404, Supply of 50,492.29 liters Diesel Fuel for various road building equipment assigned in the repair/maintenance of Provincial and Barangay roads at District II, Province of Cotabato</t>
  </si>
  <si>
    <t>Package 8: Supply and Delivery of ICU Equipment Part 2</t>
  </si>
  <si>
    <t>Package 7: Supply and Delivery of ICU Equipment Part 1</t>
  </si>
  <si>
    <t>Package 5: Supply and Delivery of Sterilizers</t>
  </si>
  <si>
    <t>20DG0054:	Construction of Four (4) Storey – Twelve (12) Classroom School Building at Urdaneta Elementary School, Magallanes, Cavite; Project I.D No. 20DG0054</t>
  </si>
  <si>
    <t>20DG0053: Construction of Four (4) Storey – Eight (8) Classroom School Building at Baliwag Elementary School, Magallanes, Cavite; Project I.D No. 20DG0053</t>
  </si>
  <si>
    <t>Package 4: Supply and Delivery of Electro-mechanical Equipment Part 2</t>
  </si>
  <si>
    <t>Package 3: Supply and Delivery of Electro-mechanical Equipment Part 1</t>
  </si>
  <si>
    <t>Package 14: Supply and Delivery of Laboratory Equipment (Cold Chain)</t>
  </si>
  <si>
    <t>PB-20-403, Supply of 109,399.98 liters Diesel Fuel for various road building equipment assigned in the repair/maintenance of Provincial and Barangay roads at District II, Province of Cotabato</t>
  </si>
  <si>
    <t>Package 13: Supply and Delivery of Laboratory Equipment (Electro-mechanical 2)</t>
  </si>
  <si>
    <t>Package 12: Supply and Delivery of Laboratory Equipment (Electro-mechanical 1)</t>
  </si>
  <si>
    <t>Package 10: Supply and Delivery of NICU Equipment</t>
  </si>
  <si>
    <t>PB-20-401, Supply of 50,672 liters Diesel Fuel for various road building equipment assigned in the repair/maintenance of Provincial and Barangay roads at District I, Province of Cotabato</t>
  </si>
  <si>
    <t>Purchase of jetmatic pumps for barangays (Repost)</t>
  </si>
  <si>
    <t>Package 11: Supply and Delivery of Radiology Equipment</t>
  </si>
  <si>
    <t>Package 2: Supply and Delivery of Medical Stretchers and Tables</t>
  </si>
  <si>
    <t>PB-20-413, Supply &amp; Delivery of Transistor Radios &amp; Flash Drives in support to DEPED TV/Radio Base Instruction and offline programs</t>
  </si>
  <si>
    <t>Package 9: Supply and Delivery of ER/OR Equipment</t>
  </si>
  <si>
    <t>SUPPLY AND DELIVERY OF FARM MACHINERIES/EQUIPMENT PCC-CLSU</t>
  </si>
  <si>
    <t>SUPPLY AND DELIVERY OF FARM MACHINERIES/EQUIPMENT PCC-USF</t>
  </si>
  <si>
    <t>Package 6: Supply and Delivery of Medical Lights</t>
  </si>
  <si>
    <t>Printing and Reproduction of Self-Learning Modules for the 2nd Quarter of SY 2020-2021</t>
  </si>
  <si>
    <t>PROCUREMENT AND DISTRIBUTION OF 576 HEAD CHICKEN TO THE TD-USMAN AFFECTED FARMERS OF BOBON, NORTHERN SAMAR</t>
  </si>
  <si>
    <t>SUPPLY AND DELIVERY OF ONE (1) UNIT FORAGE HARVESTER (FLAIL CHOPPER) PCC-MLPC</t>
  </si>
  <si>
    <t>Proposed Continuation of Road Concreting at Barangay Campoyong, Guiuan, Eastern Samar</t>
  </si>
  <si>
    <t>SUPPLY AND DELIVERY OF FARM MACHINERIES/EQUIPMENT PCC GENE POOL</t>
  </si>
  <si>
    <t>Package 1: Supply and Delivery of Medical Beds, Carts, and Cabinets</t>
  </si>
  <si>
    <t>PB-20-405, Supply of 159,892.28 liters Diesel Fuel for various road building equipment assigned in the repair/maintenance of Provincial and Barangay roads at District III, Province of Cotabato</t>
  </si>
  <si>
    <t>SUPPLY AND DELIVERY OF FARM MACHINERIES/EQUIPMENT PCC-UPLB</t>
  </si>
  <si>
    <t>Concreting of Access Road</t>
  </si>
  <si>
    <t>Package 15: Supply and Delivery of Laboratory Equipment (Analyzer)</t>
  </si>
  <si>
    <t>Supply and Delivery of Office Supplies and Consumables (SEF-0678, 0677, 0676, 0679-072020)</t>
  </si>
  <si>
    <t>SUPPLY AND DELIVERY OF CONSTRUCTION AND MAINTENANCE EQUIPMENT FOR THE UNIVERSITY</t>
  </si>
  <si>
    <t>Improvement of Barangay Site and Access Road</t>
  </si>
  <si>
    <t>OR INSTRUMENTS AND VARIOUS EQUIPMENT</t>
  </si>
  <si>
    <t>Misting of Different Public Schools (Purchase of Deltamethrin</t>
  </si>
  <si>
    <t>Purchase of Seeds and Fertilizers</t>
  </si>
  <si>
    <t>SUPPLY AND DELIVERY OF ONE (1) UNIT FORAGE HARVESTER (FLAIL CHOPPER) PCC-LCSF</t>
  </si>
  <si>
    <t>Construction and Rehabilitation of Potable Water Supply Level II</t>
  </si>
  <si>
    <t>BAYBAYOG AGRI-TRADE &amp; TOURISM ACTIVITY CENTER</t>
  </si>
  <si>
    <t>Disaster Recovery Data Center Co-Location and ICT Equipment (Phase 2)</t>
  </si>
  <si>
    <t>SUPPLY AND DELIVERY OF ONE (1) UNIT FORAGE HARVESTER (FLAIL CHOPPER) PCC-WVSU</t>
  </si>
  <si>
    <t>SUPPLY AND DELIVERY OF ONE (1) UNIT BRAND NEW DIESEL AC POWER GENSET 75KVA (SILENT TYPE) PCC-MMSU</t>
  </si>
  <si>
    <t>Food Stuff (supplemental Feeding)</t>
  </si>
  <si>
    <t>Medical Supplies for Laguna Medical Center (NBB)</t>
  </si>
  <si>
    <t>Medicines for LPH-Luisiana District Hospital</t>
  </si>
  <si>
    <t>Concreting of 500 meters Barangay Road Phase 1</t>
  </si>
  <si>
    <t>Package 16: Supply and Delivery Physical and Rehabilitation Equipment</t>
  </si>
  <si>
    <t>Laboratory Supplies for LPH-Gen. Cailles Memorial District Hospital</t>
  </si>
  <si>
    <t>Misting Solution, Mosquito Net and Larvicide for Preparedness Measure and Response of the Provincial Government of Laguna Against Vector Borne Diseases and for Distribution to Affected Areas of LGUs</t>
  </si>
  <si>
    <t>Supplies for Donation to Different Barangays and Municipalities in the Province of Laguna</t>
  </si>
  <si>
    <t>Procurement of Water laboratory Supplies Lot 5</t>
  </si>
  <si>
    <t>Procurement of Water Laboratory Supplies Lot 4</t>
  </si>
  <si>
    <t>I.V. Fluids for LPH-San Pablo City District Hospital</t>
  </si>
  <si>
    <t>Procurement of Water Laboratory Supplies Lot 2</t>
  </si>
  <si>
    <t>Procurement of Water Laboratory Supplies Lot 3</t>
  </si>
  <si>
    <t>Procurement of Fetal Doppler</t>
  </si>
  <si>
    <t>Laboratory Equipment for LPH-Dr. J.P. Rizal Memorial District Hospital</t>
  </si>
  <si>
    <t>Procurement of Water laboratory Supplies Lot 6</t>
  </si>
  <si>
    <t>PROCUREMENT OF 1 (ONE) PACKAGE ELECTRICAL AND LIGHTING SUPPLY AT AYUNGON, NEGROS ORIENTAL</t>
  </si>
  <si>
    <t>CONSTRUCTION OF MUNICIPAL SOLID WASTE LANDFILL – AWA-AN, AYUNGON, NEGROS ORIENTAL</t>
  </si>
  <si>
    <t>REHABILITATION/CONCRETING OF MUNICIPAL STREETS, BARANGAY CALAG CALAG, AYUNGON, NEGROS ORIENTAL</t>
  </si>
  <si>
    <t>CONCRETING OF PORTION OF BARANGAY ROAD AWA-AN-POBLACION (VIA ATABAY) BARANGAY ROAD, AYUNGON, NEGROS ORIENTAL</t>
  </si>
  <si>
    <t>CONCRETING OF PORTION OF BARANGAY ROAD (AMDUS BARANGAY SITE-AMDUS ELEMENTARY SCHOOL), AYUNGON, NEGROS ORIENTAL</t>
  </si>
  <si>
    <t>CLUSTER OF CONSTRUCTION PROJECTS 2 (MDRRMO) AT AYUNGON, NEGROS ORIENTAL</t>
  </si>
  <si>
    <t>CONCRETING; PORTION OF MANOGTONG BARANGAY ROAD, AYUNGON, NEGROS ORIENTAL</t>
  </si>
  <si>
    <t>Procurement of Water Laboratory Supplies Lot 1</t>
  </si>
  <si>
    <t>Duplicating Machine for Different Schools in the Province of Laguna</t>
  </si>
  <si>
    <t>PROCUREMENT FOR THE SUPPLY AND DELIVERY OF ICT EQUIPMENT (PHASE 3)</t>
  </si>
  <si>
    <t>CONCRETING; PORTION OF TIGUIB-TUMAMPON ROAD, AYUNGON, NEGROS ORIENTAL</t>
  </si>
  <si>
    <t>IT Equipment for CTU Dumanjug</t>
  </si>
  <si>
    <t>IMPROVEMENT OF MUNICIPAL ECO PARK PHASE III</t>
  </si>
  <si>
    <t>IMPROVEMENT OF MUNICIPAL ECO PARK</t>
  </si>
  <si>
    <t>PRE-BID CONFERENCE 18/Aug/2020 - Procurement of Goods: Lighting and Sound Systems for the Enhancement of Multi-Purpose Building (PR#100-20-08-0012)</t>
  </si>
  <si>
    <t>PRE-BID CONFERENCE 18/Aug/2020 - Procurement of Goods: Rescue and Response Equipment for the use of CDRRMO (PR#100-20-08-0011)</t>
  </si>
  <si>
    <t>Completion of Multi-Purpose Building, Drug Rehabilitation Center, and Satellite Treatment and Rehabilitation Center (Administration Building) at Barangay Kimat</t>
  </si>
  <si>
    <t>Procurement of Water Laboratory Supplies Lot 7</t>
  </si>
  <si>
    <t>PBD OF VARIOUS HEAVY EQUIPMENT AND LIGHT VEHICLE OF THIS MUNICIPALITY</t>
  </si>
  <si>
    <t>Procurement of Medical Equipment Package for BHS</t>
  </si>
  <si>
    <t>Improvement / Construction of Various MDF Infra Projects - Cluster 3</t>
  </si>
  <si>
    <t>Supply and Delivery of Class C  Volumetric Water Meter</t>
  </si>
  <si>
    <t>CLUSTER II-2020: ELECTRIFICATION OF TUBLAY AGRI-MARKETING AND FOOD PROCESSING CENTER (TAMFPC) BUILDING AND MUNICIPAL INTEGRATED ORGANIC AGRICULTURAL LEARNING SITE (MIO-ALS) BUILDING AT TUBLAY, BENGUET</t>
  </si>
  <si>
    <t>INSTALLATION OF STREET LIGHT SYSTEM ( SOLAR STREET LIGHT)</t>
  </si>
  <si>
    <t>PROPOSED REHABILITATION OF MULTI-PURPOSE HALL</t>
  </si>
  <si>
    <t>CONSTRUCTION OF MULTIPURPOSE BUILDING, KIULOM, KITAOTAO, BUKIDNON</t>
  </si>
  <si>
    <t>Purchase of One (1) unit surplus rescue vehicle</t>
  </si>
  <si>
    <t>Procurement of Spare Submersible Pump &amp; Motor 2020</t>
  </si>
  <si>
    <t>(NVPH) INVITATION TO BID FOR THE SUPPLY AND DELIVERY OF 2,000 TANKS MEDICAL OXYGEN REFILL</t>
  </si>
  <si>
    <t>Installation of 30 Units Double Arm Round Steel Electrical Posts at Barangay Silanga</t>
  </si>
  <si>
    <t>Procurement of Water Laboratory Supplies Lot 10</t>
  </si>
  <si>
    <t>CIRCUIT BREAKER</t>
  </si>
  <si>
    <t>Procurement of Water Laboratory Supplies Lot 9</t>
  </si>
  <si>
    <t>Supply and Delivery of Common Office Supplies of various offices for the 1st &amp; 2nd Quarter 2020</t>
  </si>
  <si>
    <t>Purchase of garbage Truck Vehicle fir Solid Waste Management for the use of Brgy. Biga</t>
  </si>
  <si>
    <t>Construction of Shoreline Protection</t>
  </si>
  <si>
    <t>Rehab. &amp; Repair of Brgy Roads  Brgy. Bilabid, Surigao City</t>
  </si>
  <si>
    <t>LGU-AL-34-2020 CONSTRUCTION OF MRF &amp; RCA BUILDING BRGY. KATIPUNAN ABUYOG, LEYTE</t>
  </si>
  <si>
    <t>PRE-BID CONFERENCE 18/Aug/2020 - Procurement of Goods: Supply &amp; Installation of Electronic Stage Curtain &amp; Lighting Batten System for the Enhancement of Muti-purpose Bldg. (PR#100-20-08-0023)</t>
  </si>
  <si>
    <t>Procurement of Water Laboratory Supplies Lot 8</t>
  </si>
  <si>
    <t>RFQ for the Procurement of Mailing Services for Unwarranted Claims</t>
  </si>
  <si>
    <t>CLUSTER III-2020: IMPROVEMENT/ COMPLETION OF VARIOUS INFRASTRUCTURE PROJECTS LOCATED AT BARANGAY TUBLAY CENTRAL, TUBLAY, BENGUET</t>
  </si>
  <si>
    <t>20GGK0009 - Supply and Delivery of Fuel and Oil for use of Various Light Vehicles and Heavy Equipment assigned in the Maintenance Section, DPWH-Negros Occidental 1st District Engineering Office, Matab</t>
  </si>
  <si>
    <t>CONSTRUCTION OF 1 STOREY, 2 CLASSROOM SCHOOL BUILDING AT BCT ELEMENTARY SCHOOL, BRGY. 10, MALAYBALAY CITY.</t>
  </si>
  <si>
    <t>CONSTRUCTION OF LIBI WATER SYSTEM Malapatan, Sarangani Province</t>
  </si>
  <si>
    <t>CONSTRUCTION OF 1 STOREY, 3 CLASSROOM SCHOOL BUILDING AT APO MACOTE NATIONAL HIGH SCHOOL, BRGY. APO MACOTE, MALAYBALAY CITY.</t>
  </si>
  <si>
    <t>CONSTRUCTION OF 1 STOREY, 2 CLASSROOM SCHOOL BUILDING AT INCALBOG ELEMENTARY SCHOOL, BRGY. CAN-AYAN, MALAYBALAY CITY.</t>
  </si>
  <si>
    <t>Purchase of Machinery and Equipment for the provision of Post-harvest Machinery and Equipment, Bataan</t>
  </si>
  <si>
    <t>ITB_PR#20-06-0121-Installation of SciCAT Signage and Pergola</t>
  </si>
  <si>
    <t>Purchase of Rice for Barangay Tanod</t>
  </si>
  <si>
    <t>Supply/Delivery of One (1) Unit Motor Vehicle (PR# 20-08-0774)</t>
  </si>
  <si>
    <t>CLUSTER IV-2020: CONSTRUCTION/ IMPROVEMENT/ REHABILITATION OF VARIOUS INFRASTRUCTURE PROJECTS LOCATED AT BARANGAYS BA-AYAN AND DACLAN, TUBLAY, BENGUET</t>
  </si>
  <si>
    <t>REPAINTING OF PROVINCIAL CAPITOL PERIMETER FENCE Capitol Complex, Alabel, Sarangani Province</t>
  </si>
  <si>
    <t>2nd ITB Printer Materials and Materials for the reproduction of modules 2020</t>
  </si>
  <si>
    <t>Landscaping along Barangays Naslo, Bagacay West, Bagacay East ad Mandog, Maasin, Iloilo</t>
  </si>
  <si>
    <t>CONSTRUCTION OF MULTIPURPOSE BUILDING PHASE II, TAWAS, KITAOTAO, BUKIDNON</t>
  </si>
  <si>
    <t>Straight Contract for Installation of Street Lights at WVSU, Brgy. Caradio-an, Himamaylan City</t>
  </si>
  <si>
    <t>CONSTRUCTION OF MALAPATAN KASFALA HALL Poblacion, Malapatan, Sarangani Province</t>
  </si>
  <si>
    <t>SUPPLY AND DELIVERY OF CONSOLIDATED LAPTOP AND COMPUTER DESKTOP</t>
  </si>
  <si>
    <t>PROCUREMENT OF SEA PATROL SUPPLIES AND EQUIPMENT FOR THE IMPLEMENTATION OF COASTAL REGULATION, MONITORING AND SEABORNE PATROL OPERATION FOR FISHERIES REGULATORY AND LAW ENFOR</t>
  </si>
  <si>
    <t>Supply &amp; Delivery of Various Communication Equipment</t>
  </si>
  <si>
    <t>Improvement, Construction and Concreting of Various MDF Infra Projects - Cluster 4</t>
  </si>
  <si>
    <t>Lightning of Cagayan Sports Complex Tuguegarao City</t>
  </si>
  <si>
    <t>Procurement of Vaccine, LGU-City Health Baybay City</t>
  </si>
  <si>
    <t>Rehabilitation of Maternal Care Package Building (MCP)</t>
  </si>
  <si>
    <t>PROCUREMENT OF SIXTEEN (16) UNITS PHOTOCOPIER</t>
  </si>
  <si>
    <t>Supply/Installation of COVID19 Prevention Measures, LGU, Baybay City, Leyte</t>
  </si>
  <si>
    <t>Re-Bidding of the Supply and Delivery of Motorcycle for SP Office use, Sipalay City, Negros Occidental</t>
  </si>
  <si>
    <t>Construction of Piggery, Brgy. Kilim, Baybay City, Leyte</t>
  </si>
  <si>
    <t>SUPPLY AND DELIVERY OF SURVEYING EQUIPMENT ( REBID)</t>
  </si>
  <si>
    <t>SUPPLY AND DELIVERY OF  VARIOUS OFFICE SUPPLIES (3RD QUARTER) FOR MO</t>
  </si>
  <si>
    <t>SUPPLY AND DELIVERY OF  OTHER SUPPLIES (3RD QUARTER) FOR MO</t>
  </si>
  <si>
    <t>Cluster 20 Installation of Street Lights San Luis, Tuao Cagayan, Installation of Street Lights Bagumbayan Tuao, Cagayan, Installation of Street Lights Caggay Tuguegarao City, Lightning and Improvement</t>
  </si>
  <si>
    <t>Cluster 12 Construction of Covered pathway Abbangkeruan Elem. School Pamplona, Cagayan, Construction of Covered Pathway Cabaggan Elem, School, Pamplo na, Cagayan, Construction of Covered Walk David m</t>
  </si>
  <si>
    <t>Supply and Delivery of Plastic Container</t>
  </si>
  <si>
    <t>CONCRETING OF UPPER MAINIT-LOWER MAINIT-NAGPAN PROVINCIAL ROAD Malungon, Sarangani Province</t>
  </si>
  <si>
    <t>Supply of Materials for the Pathway along the Seaview of Guadalupe</t>
  </si>
  <si>
    <t>Concreting of Road Portion @ So. Luya, Brgy. Talbak, DRT, Bulacan</t>
  </si>
  <si>
    <t>Completion of Multi-Purpose Building, Brgy. Sto. Angel, San Pablo City, Laguna</t>
  </si>
  <si>
    <t>PROCUREMENT OF TWO HUNDRED (200) UNITS  LAPTOP AND THREE THOUSAND (3000) PORTABLE TRANSISTOR RADIO , DEPED, MASINLOC, ZAMBALES</t>
  </si>
  <si>
    <t>Const./Rehab of Barangay Road (Ugsod, Banga, Aklan)</t>
  </si>
  <si>
    <t>ITB 2020-08-109A Procurement of 4,674 pcs. Manila Banner for DTCAM</t>
  </si>
  <si>
    <t>Asphalt Overlay, Brgy. Aplaya, Sta. Rosa City, Laguna</t>
  </si>
  <si>
    <t>CONCTRUCTION OF MULTI-PURPOSE BUILDING (PHASE II), BRGY. ROMUALDEZ, DULAG LEYTE</t>
  </si>
  <si>
    <t>PURCHASE OF RISOGRAPH MACHINE FOR USE OF PUBLIC SCHOOLS</t>
  </si>
  <si>
    <t>Cluster5 Concreting of Road Leading to Zone1 San Esteban Alcala, Cagayan, Construction of Concrete Canal Pussian Alcala, Cagayan and Concreting of Barangay Marobbob Amulung Cagayan</t>
  </si>
  <si>
    <t>CONCRETING OF 170 LINEAL METER BARANGAY MAMAGUM ROAD</t>
  </si>
  <si>
    <t>SUPPLY AND DELIVERY OF 3 UNITS BRAND NEW RESCUE VEHICLE</t>
  </si>
  <si>
    <t>Supply and Delivery of Twenty Two (22) Units Brand New Dump Truck</t>
  </si>
  <si>
    <t>Procurement of Agricultural Products</t>
  </si>
  <si>
    <t>Repair and Maintenance of Sta. Cruz-Calumpang-Nagcarlan Provincial Road (Asphalt Overlay), Brgy. Talangan and Poblacion II, Nagcarlan, Laguna</t>
  </si>
  <si>
    <t>Establishment of Binaybayon Park, Baybay City Sports Complex, Brgy. Hibunawan, Baybay City, Leyte</t>
  </si>
  <si>
    <t>Cluster 6 Construction of Slope Protection Wall at Centro II Calayan, Cagayan and Concreting of Barangay Road Babuyan Claro Calayan, Cagayan</t>
  </si>
  <si>
    <t>Rental of Heavy Equipment for 2020 - DEPW</t>
  </si>
  <si>
    <t>Procurement of Modular Tent, LGU-CDRRMO, Baybay City, Leyte</t>
  </si>
  <si>
    <t>PROCUREMENT OF SUPPLIES AND MATERIALS (PRINTING OF SLMs and Activity Sheets), DEPED, MASINLOC, ZAMBALES</t>
  </si>
  <si>
    <t>Procurement of Equipment and Materials for the Upgrade of Lighting System used in MPB Auditorium and Gymnasium</t>
  </si>
  <si>
    <t>Const./Rehabof Multi-Purpose Pavement (Tabayon, Banga, Aklan)</t>
  </si>
  <si>
    <t>Straight Contract for Improvement of Multi-Purpose Hall (Youth Center), Brgy. Cabanbanan, Himamaylan City</t>
  </si>
  <si>
    <t>PROCUREMENT OF TIRE</t>
  </si>
  <si>
    <t>SUPPLY AND DELIVERY OF CONSTRUCTION MATERIALS OF MULTI PURPOSE BUILDING HALL PHASE III-B,  TAGAPUA, SAN FRANCISCO, AGUSAN DEL SUR</t>
  </si>
  <si>
    <t>Cluster 19 Construction of Public Toilet Piat Public Market Piat, Cagayan, Construction of Public Comfort Room at Gagabutan West, Rizal, Cagayan, Rehabilitation of Evacuation Center at Población 02, P</t>
  </si>
  <si>
    <t>Supply and Delivery of  Brand New Ambulance  - ITB 054-2020 GQ</t>
  </si>
  <si>
    <t>Concreting of Sta. Maria Bilibigao Farm to Market Road, Claveria, Cagayan</t>
  </si>
  <si>
    <t>Procurement of Reference Books (Lot 1-4)</t>
  </si>
  <si>
    <t>Upgrading and Improvement of Barangay Canticum to Barangay Calayaan Access Road, Barangay Canticum-Calayaan Road, Calbiga, Samar/Contract No. INF-2020-005</t>
  </si>
  <si>
    <t>Installation of Streetlights Along Guimbal Roads (Phase II)</t>
  </si>
  <si>
    <t>Procurement of One (1) unit of Vehicle for Administration and for Multipurpose use  of SK Barangay Magallanes</t>
  </si>
  <si>
    <t>Development of Eco Park ( Concreting of Road Leading to Maguddayao Street) Cagayan Sports Complex, Tuguegarao City</t>
  </si>
  <si>
    <t>INVITATION TO BID FOR: UPGRADING/REHABILITATION OF CORE LOCAL ACCESS ROAD (ZARAGOSA) – CANCATAC, CORELLA, BOHOL</t>
  </si>
  <si>
    <t>Rehabilitation/Improvement of Multi-Purpose Hall Phase V</t>
  </si>
  <si>
    <t>Cluster 8 Concreting of Cato Road Tuao, Cagayan and Concreting of Pata – Fugu Road Tauo, Cagayan</t>
  </si>
  <si>
    <t>Construction of Street Lights (Polocate, Banga, Aklan)</t>
  </si>
  <si>
    <t>Procurement of Catering Services, Venue and Accommodation - PHSO</t>
  </si>
  <si>
    <t>Drilling of One (1) Exploratory Production Well in Roxas, Palawan.</t>
  </si>
  <si>
    <t>Transfer of Generator Set and Installation of Secondary Power Distribution Line of Aparri District Hospital Toran, Aparri, Cagayan</t>
  </si>
  <si>
    <t>PROCUREMENT OF VARIOUS SUPPLIES FOR THE IMPLEMENTATION OF MANGROVE POPULATION ENHANCEMENT PROJECT IN THE CITY OF ALAMINOS, PANGASINAN</t>
  </si>
  <si>
    <t>•	Design and Construction of Sanitary Land Fill at Sitio Midtawa, Central Panatan, Pigcawayan, Cotabato – Phase I (Design and Build Scheme)</t>
  </si>
  <si>
    <t>Procurement of Various Catering Services - OSP</t>
  </si>
  <si>
    <t>Construction of Slope Protection @ Sapang Bulac E/S, Sapang Bulac, DRT, Bul</t>
  </si>
  <si>
    <t>Procurement of Various Catering Services - PAGSO</t>
  </si>
  <si>
    <t>Procurement of Food Stuff- Supplemental Feeding Program</t>
  </si>
  <si>
    <t>PROCUREMENT OF VARIOUS FISHING GEARS AND PARAPHERNALIA FOR THE IMPLEMENTATION OF FISHERIES DEVELOPMENT PROGRAM IN THE CITY OF ALAMINOS, PANGASINAN</t>
  </si>
  <si>
    <t>Procurement of Vehicle Spare Parts &amp; Labor - PASSO</t>
  </si>
  <si>
    <t>Procurement of Reference Books &amp; Professional Journals (Lot 1-2) Reposting</t>
  </si>
  <si>
    <t>20KK0133 - Construction of Flood Control Structure, Downstream of Kibaluyot Bridge, Gingoog City, Misamis Oriental</t>
  </si>
  <si>
    <t>Package 60: Supply and Delivery of Vehicle Rental Services</t>
  </si>
  <si>
    <t>Procurement of Vehicle Spareparts and Labor - OVG</t>
  </si>
  <si>
    <t>Construction of Public Market Afusing Daga, Alcala, Cagayan</t>
  </si>
  <si>
    <t>FARM TO MARKET ROAD</t>
  </si>
  <si>
    <t>PURCHASE OF GOODS (GROCERIES) FOR THE TEACHER'S DAY CELEBRATION 2020</t>
  </si>
  <si>
    <t>PROCUREMENT OF RAPID DETECTION TEST KITS AND OTHER SUPPLIES</t>
  </si>
  <si>
    <t>Procurement-Supply &amp; Delivery of Office Supplies</t>
  </si>
  <si>
    <t>PROPOSED LINE EXTENSION OF SINGLE PHASE PRIMARY</t>
  </si>
  <si>
    <t>Supply &amp; Delivery of Construction Materials for the Installation of Portable Solar Lighting System,Brgy. Hilwan, Calinog, Iloilo</t>
  </si>
  <si>
    <t>REQUEST FOR EXPRESSION OF INTEREST FOR THE CONSULTING SERVICES ON THE MASTER DEVELOPMENT PLANS OF NEUST TWO (2) CAMPUSES IN NUEVA ECIJA</t>
  </si>
  <si>
    <t>RENOVATION OF GSO ROOF BUILDING (CAPITOL COMPLEX, PUERTO PRINCESA CITY)</t>
  </si>
  <si>
    <t>Procurement-Supply &amp; Delivery of Office Supplies &amp; Equipment</t>
  </si>
  <si>
    <t>Supply &amp; Delivery of Construction Materials for the Construction of Perimeter Fence, Brgy. Alibunan, Calinog, Iloilo</t>
  </si>
  <si>
    <t>CONSTRUCTION OF RIVER CONTROL STRUCTURE MARIBULAN, ALABEL Alabel, Sarangani Province</t>
  </si>
  <si>
    <t>Supply and Delivery of Pendant for PRAISE 2020 (PR No. 2020-06-0585)</t>
  </si>
  <si>
    <t>Supply &amp; Delivery of  One (1)  Unit Motor Grader and One (1) Unit Walk Behind Machine, LGU-Paniqui, Tarlac</t>
  </si>
  <si>
    <t>POBLACION POST AND STREETS REHABILITATION (3RD QUARTER)</t>
  </si>
  <si>
    <t>Re-bidding: Supply and Delivery of Test Materials for the Guidance Office (PR No. 2020-01-0042)</t>
  </si>
  <si>
    <t>PROCUREMENT OF SUPPLIES AND MATERIALS FOR THE ESTABLISHMENT OF TECHNO DEMONSTRATION ON SHELLFISH (OYSTER) CULTURE AND PRODUCTION IN THE CITY OF ALAMINOS, PANGASINAN</t>
  </si>
  <si>
    <t>UPGRADING &amp; CONCRETING OF PATHWAYS AT SITIO MANGAS BRGY. SAN VICENTE</t>
  </si>
  <si>
    <t>Supply and Delivery of Furniture/Furnishing/Movables for New Government Center, Poblacion, Tapaz, Capiz</t>
  </si>
  <si>
    <t>Procurement-Supply &amp; Delivery of Vehicle Batteries</t>
  </si>
  <si>
    <t>Supply and Delivery of Construction Materials for the Concreting of Brgy. Road, Singay, Madalag, Aklan</t>
  </si>
  <si>
    <t>Construction of Water System (JOSE ANCHETA)</t>
  </si>
  <si>
    <t>Local Access Road Opening/Rehabilitation &amp; Improvements from Sitio Caratukot to Sitio Bartolome, &amp; Sitio Gulayan Farm-to-Market Road, San Placido, Roxas, Isabela</t>
  </si>
  <si>
    <t>Supply and Delivery of Medical Supplies and Medicines PII</t>
  </si>
  <si>
    <t>SUPPLY/DELIVERY OF CONSTRUCTION MATERIALS FOR REPAIR/REHABILITATION OF CHECKGATE # 2 &amp; CANALIZATION WORKS OF YABO FRANCIA CIS, Milaor, Camarines Sur (REBID 3)</t>
  </si>
  <si>
    <t>CONCRETING OF BARANGAY STREET, Brgy. Balagon, Can-avid Eastern Samar</t>
  </si>
  <si>
    <t>Construction of Water System (BALLIGUI)</t>
  </si>
  <si>
    <t>PROCUREMENT OF OFFICE EQUIPMENT, FURNITURES &amp; FIXTURES, ICT EQUIPMENT &amp; OTHER PROPERTY, PLANT &amp; EQUIPMENT</t>
  </si>
  <si>
    <t>PROCUREMENT OF OFFICE SUPPLIES FOR SCHOOLS</t>
  </si>
  <si>
    <t>Procurement of Motor Vehicle (Land Ambulance)</t>
  </si>
  <si>
    <t>Procurement of Two (2) Lots Hotel Room Accommodation for CF-Bacolod and CF-Iloilo Employees and Guests at Bacolod, Iloilo and Other Cities Nationwide for a period of Three (3) years (Lot 2)</t>
  </si>
  <si>
    <t>Flood Control Project (Rehabilitation/Improvement of Drainage System) at Barangay Alogoog, Badoc, Ilocos Norte</t>
  </si>
  <si>
    <t>Construction of Box Culvert (3 x 2 x 6m Double Barrel) at Barangay Pagsanahan Sur</t>
  </si>
  <si>
    <t>Construction of Water System (YSMAEL)</t>
  </si>
  <si>
    <t>SUPPLY/DELIVERY OF CONSTRUCTION MATERIALS FOR CONSTRUCTION OF CONCRETE CANAL LINING OF RONGOS PIP, Libmanan, Camarines Sur</t>
  </si>
  <si>
    <t>Procurement of Two (2) Lots Hotel Room Accommodation for CF-Bacolod and CF-Iloilo Employees and Guests at Bacolod, Iloilo and Other Cities Nationwide for a period of Three (3) years (Lot 1)</t>
  </si>
  <si>
    <t>Re-bidding: Supply and Delivery of White Board for different departments (PR No. 2020-02-0241, 2020-02-0386, 2020-03-0450)</t>
  </si>
  <si>
    <t>PROCUREMENT OF SUPPLIES AND MATERIALS FOR THE ESTABLISHMENT OF TECHNO DEMONSTRATIONS ON GROUPER PRODUCTION IN FISH CAGE AND POLYCULTURE OF SEABASS AND MALAGA IN POND IN THE C</t>
  </si>
  <si>
    <t>Sewing Machines</t>
  </si>
  <si>
    <t>Construction of Water System (CABUA-AN)</t>
  </si>
  <si>
    <t>Supply and Delivery of IT Equipment for Research &amp; Extension (PR No. 2020-02-0143, 2020-02-0168)</t>
  </si>
  <si>
    <t>BUALAN CIP 2017 (SUPPLY OF CM)-5TH ED.GOODS (2020)</t>
  </si>
  <si>
    <t>Repair, Rehabilitation and Improvement of Various School Building- Cluster 1</t>
  </si>
  <si>
    <t>Cluster 3 a – (Dev’t of Ballesteros Agri – Eco Tourism Park Project) Animal Farm Development (Cagayan Breeding Farm) and Forage and Pasture Development Zitanga, Ballesteros, Cagayan</t>
  </si>
  <si>
    <t>1.0 km Boardwalk (Phase 01) 96 Spans x 3.00m ( Cagayan Eco Tourism Forest Park) Nassiping, Gattaran, Cagayan</t>
  </si>
  <si>
    <t>SUPPLY, DELIVERY, INSTALLATION AND COMMISSIONING OF TREADMILL STRESS TEST SYSTEM</t>
  </si>
  <si>
    <t>BPSU Abucay Campus: Supply, Delivery and Installation of Hybrid Soil and Plant Laboratory Equipment for the Rehabilitation of BSA/BTVTE Building (Rebidding)</t>
  </si>
  <si>
    <t>Cluster 4 Concreting Farm to Market Road Ziminila Camalaniugan, Cagayan, Regravelling of Barangay Road Paruddun Sur, Aparri, Cagayan, Construction of Drainage Canal Centro Lallo, Cagayan, Completion o</t>
  </si>
  <si>
    <t>CONSTRUCTION OF MULTI-PURPOSE PAVEMENT</t>
  </si>
  <si>
    <t>Procurement-Supply &amp; Delivery of Construction &amp; Hardware materials</t>
  </si>
  <si>
    <t>Construction of Box Culvert &amp; Road Maintenance (Polocate, Banga, Aklan)</t>
  </si>
  <si>
    <t>Repair, Rehabilitation and Improvement of Various School Buildings – Cluster 2 – (BEFF-2020-R-B2-C2)</t>
  </si>
  <si>
    <t>Completion of Multi-Purpose Building, Brgy. Silangang Bukal, Liliw, Laguna</t>
  </si>
  <si>
    <t>Construction of Multi-Purpose Center</t>
  </si>
  <si>
    <t>Installation/Construction of Streetlights</t>
  </si>
  <si>
    <t>Concreting of Barangay Roads at Rizal, Roxas, Isabela</t>
  </si>
  <si>
    <t>Supply and Delivery of Supplies for Modular Learning in Learning in Elementary and Secondary Level</t>
  </si>
  <si>
    <t>PROCUREMENT OF TRAFFIC MOBILE PATROL UNIT  (FOR LGU USE)</t>
  </si>
  <si>
    <t>Procurement of 1 Package Safe Closure &amp; Rehabilitation of Doongan Controlled Dumpsite (LOT B) Phase 3 (Materials only) under P.R No. 2047-2020 -CEO -Trust Fund</t>
  </si>
  <si>
    <t>Supply and Delivery of One (1) unit Brand New PICK-UP  for Engineering Dept., City Government of Marikina</t>
  </si>
  <si>
    <t>SUPPLY AND DELIVERY OF SCHOOL ARMCHAIR AND CLASSROOM BLACK BOARD-PGO</t>
  </si>
  <si>
    <t>SUPPLY AND DELIVERY OF VARIOUS ELECTRICAL SPARE PARTS FOR 163KW DALE PERKINS INTENDED FOR DOONG DPP</t>
  </si>
  <si>
    <t>Construction of Slope Protection  @ View Deck &amp; Calle Onse, P.S., DRT, Bulacan</t>
  </si>
  <si>
    <t>Procurement of OFFICE EQUIPMENT</t>
  </si>
  <si>
    <t>Concreting of Barangay Roads at Rang-ayan, Roxas, Isabela</t>
  </si>
  <si>
    <t>SUPPLY/DELIVERY OF CONSTRUCTION MATERIALS FOR REPAIR/REHABILITATION OF CANALIZATION &amp; CANAL STRUCTURES OF NIA-LCPIS, Libmanan and Cabusao, Camarines Sur (REBID</t>
  </si>
  <si>
    <t>CONCRETING OF BARANGAY STREET, Brgy. Canteros, Can-avid Eastern Samar</t>
  </si>
  <si>
    <t>CONSTRUCTION OF FISH PORT AT BRGY. CORONG CORONG</t>
  </si>
  <si>
    <t>Concreting of Barangay Roads at San Rafael, Roxas, Isabela</t>
  </si>
  <si>
    <t>Repair/Rehabilitation of Main Building and Completion of Wards at Tablas Island District Hospital (TIDH) San Agustin, Romblon</t>
  </si>
  <si>
    <t>Powdered Milk etc. (07-0826) CSWDO</t>
  </si>
  <si>
    <t>PROPOSED STREETLIGHTING ALONG GRANDEUR ST., LOCATED AT BRGY. SAN ISIDRO, MAKATI CITY</t>
  </si>
  <si>
    <t>PROCUREMENT OF VARIOUS ICT EQUIPMENT</t>
  </si>
  <si>
    <t>PROCUREMENT AND DELIVERY OF CONSTRUCTION MATERIAL FOR ROAD CONCRETING AT TABERNA-BUCANA</t>
  </si>
  <si>
    <t>Procurement of Tires for the Repair and Maintenance of Machinery and Equipment</t>
  </si>
  <si>
    <t>PROCUREMENT OF VARIOUS ELECTRICAL MATERIALS TO BE USED IN THE REPAIR &amp; MAINTENANCE OF STREETLIGHTS &amp; BUILDINGS/FACILITIES</t>
  </si>
  <si>
    <t>Improvement of Water System (DIDUYON)</t>
  </si>
  <si>
    <t>HEAVY DUTY PRINTER (RENT TO OWN) FOR PRINTING OF LEARNING MATERIALS ON MODULAR LEARNING</t>
  </si>
  <si>
    <t>PROPOSED REHABILITATION AND UPGRADING OF EXISTING STREETLIGHTING ALONG PONTE ST., LOCATED AT BRGY. SINGKAMAS/TEJEROS/STA. CRUZ, MAKATI CITY</t>
  </si>
  <si>
    <t>Construction of Multi-Purpose Hall at Brgy. Matatalaib, Tarlac City, Improvement of Multi-Purpose Hall at Brgy. Mabini, Tarlac City and Improvement of Mulit-Purpose Hall at Brgy. Trinidad, Tarlac City</t>
  </si>
  <si>
    <t>Procurement of Airconditioner</t>
  </si>
  <si>
    <t>Procurement of Various Medical Equipment - SOYMPH</t>
  </si>
  <si>
    <t>INVITATION TO BID FOR: CONCRETING OF CORE LOCAL ACCESS ROAD (D. CURAYAG ST.) – ANISLAG, CORELLA, BOHOL</t>
  </si>
  <si>
    <t>Repair, Rehabilitation and Improvement of Various School Buildings – Cluster 3 – (BEFF-2020-R-B2-C3)</t>
  </si>
  <si>
    <t>Procurement of Signages and Stickers</t>
  </si>
  <si>
    <t>Supply and Delivery of Medallion and Certificate with Frame for PRAISE AWARD 2020 on September 30, 2020</t>
  </si>
  <si>
    <t>CONTRACT ID # 20-08-109 - PROPOSED COMPLETION OF HALFWAY HOUSE AT ROXAS RHU</t>
  </si>
  <si>
    <t>BARANGAY RESOURCE ENHANCEMENT (3RD QUARTER)</t>
  </si>
  <si>
    <t>(PIHO) INVITATION TO BID FOR THE SUPPLY AND DELIVERY OF DRUGS AND MEDICINES</t>
  </si>
  <si>
    <t>PROPOSED REHABILITATION AND UPGRADING OF EXISTING STREETLIGHTING ALONG P. MEDINA ST., LOCATED AT BRGY. PIO DEL PILAR, MAKATI CITY</t>
  </si>
  <si>
    <t>Construction of Two) (2) unit comfort room-Sobol Elementary School, San Fabian, Pangasinan</t>
  </si>
  <si>
    <t>PROPOSED REHABILITATION AND UPGRADING OF EXISTING STREETLIGHTING ALONG PASONG TIRAD ST., LOCATED AT BRGY. LA PAZ/TEJEROS, MAKATI CITY</t>
  </si>
  <si>
    <t>(NVPH) INVITATION TO BID FOR THE SUPPLY AND DELIVERY OF DENTAL SUPPLIES</t>
  </si>
  <si>
    <t>Concreting/Rehabilitation of Local Road at Brgy. Atioc, Brgy. Dela Paz and Brgy. San Francisco, Tarlac City. B2020-103-A</t>
  </si>
  <si>
    <t>Concreting/Rehabilitation of Local Road at Brgy. Amucao and Brgy. Batang-Batang, Tarlac City. B2020-101-A</t>
  </si>
  <si>
    <t>Concreting/Rehabilitation of Local Road at Brgy. Dolores and Brgy. Laoang, Tarlac City. B2020-102-A</t>
  </si>
  <si>
    <t>INVITATION TO BID FOR Procurement of Construction Materials for Construction of Rural Health Unit II</t>
  </si>
  <si>
    <t>PROPOSED REHABILITATION AND UPGRADING OF EXISTING STREETLIGHTING ALONG ARNAIZ AVENUE LOCATED AT VARIOUS BARANGAYS OF MAKATI CITY</t>
  </si>
  <si>
    <t>ITB-B16-2020</t>
  </si>
  <si>
    <t>Supply and Delivery of IT and Office Equipment</t>
  </si>
  <si>
    <t>Construction of Farm to Market Road (FTMR)-Brgy. Cabaruan, San Fabian, Pangasinan</t>
  </si>
  <si>
    <t>Supply and Delivery of Monobloc Chairs</t>
  </si>
  <si>
    <t>Improvement of Drainage Canal, Poblacion, Madalag, Aklan</t>
  </si>
  <si>
    <t>OPLAN SAGIP BUHAY (3RD QUARTER)</t>
  </si>
  <si>
    <t>One Job Order for Freight and Handling services from receipt of Purchase Order until December 31, 2020 or until the total ABC is consumed whichever comes first for cargoes from DOH-CV CHD Warehouse to</t>
  </si>
  <si>
    <t>CONCRETING OF BARANGAY STREET, Brgy. Mabuhay, Can-avid Eastern Samar</t>
  </si>
  <si>
    <t>Procurement of Newspaper Publication of Three (3) SP Ordinances</t>
  </si>
  <si>
    <t>PES Purchase of Various Office Supplies available to PS 2020</t>
  </si>
  <si>
    <t>PROPOSED REHABILITATION AND UPGRADING OF EXISTING STREETLIGHTING ALONG DON CHINO ROCES AVENUE LOCATED AT VARIOUS BARANGAYS OF MAKATI CITY</t>
  </si>
  <si>
    <t>Invitation to Bid Flooring of Gymnasium</t>
  </si>
  <si>
    <t>Invitation to Bid Construction of LIGA Ext. Hall</t>
  </si>
  <si>
    <t>PROPOSED ROAD IMPROVEMENT FOR M. ESTRELLA ST. (VILLENA ST.), LOCATED AT BRGY. CARMONA, MAKATI CITY</t>
  </si>
  <si>
    <t>Rehabilitation and Upgrading of Freshwater Fish Hatchery in Support to BASIL Program</t>
  </si>
  <si>
    <t>MAINTENANCE OF MUNICIPAL HALL, POBLACION, IMPASUGONG, BUKIDNON</t>
  </si>
  <si>
    <t>CONSTRUCTION OF MULTI - PURPOSE BUILDING, DISASTER OPERATION CENTER</t>
  </si>
  <si>
    <t>KIANGAN PUBLIC MARKET CONTINUATION  IMPROVEMENT OF KIANGAN PUBLIC MARKET</t>
  </si>
  <si>
    <t>CLUSTER 28: CLUSTERED PROJECTS OF BARANGAY BANGAO</t>
  </si>
  <si>
    <t>Construction of Overflow R.C. Pipe Culvert</t>
  </si>
  <si>
    <t>2020-176-I PROCUREMENT OF CATERING SERVICES FOR IDS, PMED, RAFC AND SAAD/CORN/GAD PROGRAM, RESEARCH AND REGULATORY DIVISION IN DAVAO REGION CY 2020</t>
  </si>
  <si>
    <t>“Acquisition of One (1) Unit Supply, Delivery and Installation of Gas Chromatography-Mass Spectrometry (GCMS)”</t>
  </si>
  <si>
    <t>Prov. of Labor and Mat. for the Construction of Two (2) Units Small Water Impounding System (SWIS) with Storage Capacity of 37.50 cu. m. each to be constructed in Sitio Hot Spring, Asinga Via, Baggao,</t>
  </si>
  <si>
    <t>CONSTRUCTION OF 1-STOREY COVID-19 ISOLATION CENTER IN THE QUARANTINE AREA FACILITY</t>
  </si>
  <si>
    <t>PROPOSED ROAD IMPROVEMENT OF PAGKAKAISA ST., LOCATED AT BRGY. KASILAWAN, MAKATI CITY</t>
  </si>
  <si>
    <t>SUPPLY AND DELIVERY OF VARIOUS MECHANICAL SPARE PARTS FOR THE OVERHAULING OF 2X135HP CUMMINS AUXILIARY GENERATOR OF NPC TUGBOAT 1</t>
  </si>
  <si>
    <t>SUPPLY AND DELIVERY OF MAIN AIR COMPRESSOR ASSYMBLY FOR YANMAR ENGINE INTENDED FOR NPC TUGBOAT NO. 1</t>
  </si>
  <si>
    <t>CONSTRUCTION OF EVACUATION CENTER, Brgy. Lindero, Libertad, Antique/IB No. K-2020-094(SC)</t>
  </si>
  <si>
    <t>Rehabilitation and Improvement of Brgy. Road along Cabisilan to Lower San Agustin Road, Bauang</t>
  </si>
  <si>
    <t>PHYSICAL THERAPY ENHANCEMENT PROGRAM (3RD QUARTER)</t>
  </si>
  <si>
    <t>CONTRACT ID # 20-08-110 - PROPOSED COMPLETION OF MALANGAS RHU</t>
  </si>
  <si>
    <t>FURNISHING &amp; DELIVERY OF MATERIALS FOR THE IMPROVEMENT OF CLIENTELE PARKING AREA INFRONT OF MTH</t>
  </si>
  <si>
    <t>(NVPH) INVITATION TO BID FOR THE SUPPLY AND DELIVERY OF RADIOLOGY SUPPLIES</t>
  </si>
  <si>
    <t>CONSTRUCTION OF MULTI-PURPOSE CENTER/EMERGENCY EVACUATION CENTER (Barangay Barusbus, Libertad, Antique)/IB. NO. K-2020-086(SC)</t>
  </si>
  <si>
    <t>Construction of Central Kitchen at the APTC Compound, Muñoz West, Roxas, Isabela</t>
  </si>
  <si>
    <t>CONSTRUCTION OF FARM TO MARKET ROAD (FTMR)- BRGY. PALAPAD, SAN FABIAN, PANGASINAN</t>
  </si>
  <si>
    <t>Upgrading and Improvement of Brgy. Pandan Road, Brgy. Pandan, Sogod, Southern Leyte</t>
  </si>
  <si>
    <t>FURNISHING &amp; DELIVERY OF ISOLATION BEDDINGS AND ELECTRIC FAN FOR LIGTAS COVID CENTER @ CENTRO SUR GYMNASIUM</t>
  </si>
  <si>
    <t>PROJECT 2 -  PROCUREMENT AND DELIVERY OF TOPICAL DRUGS AND MEDICINE FOR DOH CHD ILOCOS FOR CY 2020</t>
  </si>
  <si>
    <t>CONSTRUCTION OF SEAWALL, Sitio Nasunugan to Sitio Mugnao, Brgy. Bacalan, Sebaste, Antique/IB. NO. K-2020-091(SC)</t>
  </si>
  <si>
    <t>Procurement of Goods (Chicken Pullets, Chicken Cockerels and Livestock Supplies and Materials for the Free Range Native Chicken Project)</t>
  </si>
  <si>
    <t>FURNISHING &amp; DELIVERY OF ONE (1) UNIT DUPLICATOR MACHINE</t>
  </si>
  <si>
    <t>Construction of Farm to Market Road (FTMR) - Brgy. Tocok, San Fabian, Pangasinan</t>
  </si>
  <si>
    <t>Procurement of 6 Piece Philippine Flag , Nylon Tafetta, Size: 15 x 30 under P.R.No. 2374-2020- City Tourism Office.</t>
  </si>
  <si>
    <t>MOBILE LOAD</t>
  </si>
  <si>
    <t>Rehabilitation and Improvement of Brgy. Road along Boy-Utan to Payocpoc Norte Este Road, Bauang</t>
  </si>
  <si>
    <t>CONCRETING OF FARM TO MARKET ROAD, Brgy. San Pascual, Culasi, Antique/IB. NO. K-2020-092(SC)</t>
  </si>
  <si>
    <t>PROJECT 1 - PROCUREMENT AND DELIVERY OF MULTI-VITAMINS FOR DOH CHD 1 FOR CY 2020</t>
  </si>
  <si>
    <t>SUPPLY AND DELIVERY OF PRINTING SUPPLIES (BOND PAPERS AND INKS)</t>
  </si>
  <si>
    <t>Pag-IBIG Fund CHQ (Supply and Delivery of Y2020 Pag-IBIG Fund Promotional Tokens)</t>
  </si>
  <si>
    <t>OFFICE EQUIPMENT(AIR ONDITIONER, EXHAUST, INDUSTRIAL FUN )/IB No. OE-2020-001</t>
  </si>
  <si>
    <t>HO-FFW20-002 - Supply and Delivery of Data Backup Storage, Digital Camera, Water Distiller, Refrigerator and Filing Cabinet</t>
  </si>
  <si>
    <t>BOOKPAPER/IB NO. DE-2020-012</t>
  </si>
  <si>
    <t>“Acquisition of One (1) Lot Supply and Delivery of Various Security Equipment”</t>
  </si>
  <si>
    <t>PROJECT 5 -   PROCUREMENT AND DELIVERY OF ESSENTIAL DRUGS AND MEDICINES FOR DOH CHD ILOCOS FOR CY 2020</t>
  </si>
  <si>
    <t>PROJECT 8 -   PROCUREMENT AND DELIVERY OF ANALGESICS FOR DOH CHD 1 FOR CY 2020</t>
  </si>
  <si>
    <t>Replacement of Tiles and Repainting of the Interior Walls and Finishes of Budget Information and Training Service and Budget and Management Bureau-B Offices</t>
  </si>
  <si>
    <t>PROJECT 4 -   PROCUREMENT AND DELIVERY OF VITAMIN C FOR DOH CHD 1 FOR CY 2020</t>
  </si>
  <si>
    <t>Supply, Delivery and Installation of LED Wall of City Auditorium Located at City Hall Building B</t>
  </si>
  <si>
    <t>PROCUREMENT OF OFFICE TABLES, CABINET AND CHAIRS</t>
  </si>
  <si>
    <t>FURNISHING &amp; DELIVERY OF COVID19 ANTIBODY RAPID DIAGNOSTIC TEST SCREENING KIT</t>
  </si>
  <si>
    <t>PROJECT 9 -   PROCUREMENT AND DELIVERY OF HPN AND DM DRUGS AND MEDICINES FOR DOH CHD ILOCOS FOR CY 2020</t>
  </si>
  <si>
    <t>PROJECT 7 -   PROCUREMENT AND DELIVERY OF LAGUNDI AND SAMBONG FOR DOH CHD ILOCOS FOR CY 2020</t>
  </si>
  <si>
    <t>Invitation to Bid for the Construction of Multi-Purpose Drying Pavement (MPDP) @ Brgy. Turod Patac, Ilocos Sur</t>
  </si>
  <si>
    <t>PROJECT 6 -   PROCUREMENT AND DELIVERY OF ANTIBIOTICS DRUGS AND MEDICINES FOR DOH CHD ILOCOS FOR CY 2020</t>
  </si>
  <si>
    <t>HO-TWT20-002 - Supply and Delivery of Caliper, Laminating Machine and Saw Cross</t>
  </si>
  <si>
    <t>FURNISHING &amp; DELIVERY OF MOUNTAIN SOIL FOR BACKFILLING AND LEVELING OF LOW LYING AREAS @ CEMETERY L</t>
  </si>
  <si>
    <t>QM PABAC 033-20 Procurement of 1,715 sets PA Ballistic Helmet</t>
  </si>
  <si>
    <t>Supply, Delivery and Installation of 1 Unit Large Format Printer of Bukidnon State University</t>
  </si>
  <si>
    <t>PROJECT 3 –  PROCUREMENT AND DELIVERY OF DOXCYCYLINE FOR HEMS DOH CHD 1 FOR CY 2020</t>
  </si>
  <si>
    <t>CONSULTING SERVICES FOR THE ARCHITECTURAL AND DETAILED ENGINEERING DESIGN FOR THE CONSTRUCTION OF MULTI-PURPOSE GYMNASIUM AND CONSTRUCTION OF ACADEMIC BUILDING II</t>
  </si>
  <si>
    <t>CONSTRUCTION OF MULTI-PURPOSE BUILDING (DAIRY FARM)</t>
  </si>
  <si>
    <t>MUNICIPAL-WIDE STREET LIGHTING PROJECT</t>
  </si>
  <si>
    <t>Supply and Delivery of Vehicle for National Capital Regional Office</t>
  </si>
  <si>
    <t>WIDENING OF BRIDGE AT PULONG SINGKAMAS</t>
  </si>
  <si>
    <t>Contract ID No. 20J00217 - Repair/Maintenance of DPWH Building Main Repair Bay Building DPWH Compound, Veterans Avenue Extension, Tetuan, Zamboanga City</t>
  </si>
  <si>
    <t>IT EQUIPMENT/IB No. MM-2020-031</t>
  </si>
  <si>
    <t>CONCRETING/MAINTENANCE OF VARIOUS BARANGAY AND MUNICIPAL INFRASTRUCTURE</t>
  </si>
  <si>
    <t>Purchase of One (1) Unit Riso and One(1) Unit Copier Machine</t>
  </si>
  <si>
    <t>One (1) Lot Supply and Delivery of 30,000 sets Corrugated Box for Currency Notes, as per BSP Technical Specifications</t>
  </si>
  <si>
    <t>ITB No. 20 - 30: Procurement of Medical - Surgical Supplies</t>
  </si>
  <si>
    <t>CONSTRUCTION OF MULTI-PURPOSE CENTER (Valderrama ES, Brgy. Valderrama, Culasi, Antique)/IB. NO. K-2020-083(SC)</t>
  </si>
  <si>
    <t>Construction of Multi-purpose covered court (Phase I)- Brgy. Angio, San Fabian, Pangasinan</t>
  </si>
  <si>
    <t>PCHT PABAC2 001-20 LOT1 Procurement of Freight Forwarding Services for the Transport of Supplies in Luzon.</t>
  </si>
  <si>
    <t>SUPPLY AND DELIVERY OF 1 UNIT BRAND NEW SPEED BOAT</t>
  </si>
  <si>
    <t>Improvement / Rehabilitation of Various MDF Infra Projects - Cluster 5</t>
  </si>
  <si>
    <t>INVITATION TO BID FOR: CONCRETING OF CORE LOCAL ACCESS ROAD (KADAWNGAN) – POBLACION, CORELLA, BOHOL</t>
  </si>
  <si>
    <t>Construction of Covered Court/Mini Gym (Materials, Labor and Equipment)</t>
  </si>
  <si>
    <t>FURNISHING &amp; DELIVERY OF MEDICAL SUPPLIES</t>
  </si>
  <si>
    <t>PAINTING OF BASKETBALL COURT @ BRGY. STA. MESA, MABINI, BATANGAS</t>
  </si>
  <si>
    <t>ITB for the Supply and Delivery of ICT Supplies and Equipment</t>
  </si>
  <si>
    <t>CONSTRUCTION OF STREETLIGHTS @  BARANGAY SAN MIGUEL</t>
  </si>
  <si>
    <t>NCB Publication No. 2020- 32 (First Publication)- Package 2020-15 - PB (1. Grouted Riprap of IPFHARC Fishponds 1,2,3 2. Concreting of Road Side Approach at IPFHARC)</t>
  </si>
  <si>
    <t>Proposed Construction of Community Fish Landing Center at Barangay Sulangan, Guiuan, Eastern Samar</t>
  </si>
  <si>
    <t>HO-TWT20-003 - Supply and Delivery of Various Office Supplies</t>
  </si>
  <si>
    <t>Concreting of Local Road at Brgy. San Vicente Ogbon, Nabua, Camarines Sur</t>
  </si>
  <si>
    <t>“Acquisition of One (1) Unit, Supply and Delivery of Passenger Van for the Office of the Director.”</t>
  </si>
  <si>
    <t>Rehabilitation of Damaged Road, Brgy. San Roque Sagumay, Nabua, Camarines Sur</t>
  </si>
  <si>
    <t>RENOVATION OF GUESTHOUSE</t>
  </si>
  <si>
    <t>20GKD0004: Purchase of Cubicle with Chair &amp; Mobile Pedestal Metal for Planning &amp; Design Section, Cagayan de Oro City 2nd District Engineering Office, Macabalan, Cagayan de Oro City</t>
  </si>
  <si>
    <t>PROCUREMENT OF SCHOOL EQUIPMENT FOR OPLAN BALIK SKWELA (OBE) 2020  (ELEMENTARY &amp; SECONDARY)</t>
  </si>
  <si>
    <t>NCB Publication No. 2020- 31 (First Publication)- Poblacion- Balangbang Road Improvement</t>
  </si>
  <si>
    <t>Invitation to Bid for the Construction of Multi-Purpose Drying Pavement (MPDP) @ Brgy. Cuantacla, Cabugao, Ilocos Sur</t>
  </si>
  <si>
    <t>Fabrication and Installation of Material Recovery Facility (MRF) of Eleven Barangays of Rizal, Occidental Mindoro</t>
  </si>
  <si>
    <t>Invitation to Bid for the Construction of Multi-Purpose Building @ Brgy. Salomague (Proper), Cabugao, Ilocos Sur</t>
  </si>
  <si>
    <t>Community Empowerment through Science and Technology</t>
  </si>
  <si>
    <t>20MF0091-Concreting of Brgy. Sadsalan to Brgy. Udtong FMR, Brgy. Sadsalan and Brgy. Udtong, Lambayong, Sultan Kudarat, Sta.0+000-Sta. 0+896.7</t>
  </si>
  <si>
    <t>20MF0090-Concreting of Norway Road, Brgy. Bannawag FMR, Pres. Quirino, Sultan Kudarat, Sta. 0+000-Sta.0+730</t>
  </si>
  <si>
    <t>20GFE0018- PROCUREMENT OF FUEL, OIL, LUBRICANT AND SPARE PARTS FOR QUALITY ASSURANCE SECTION</t>
  </si>
  <si>
    <t>SUPPLY AND DELIVERY OF AGRICULTURAL FARM MACHINERIES (Electric water pumps &amp; Diesel water pumps)</t>
  </si>
  <si>
    <t>PCHT PABAC2 001-20 LOT 3 Procurement of Freight Forwarding Services for the Transport of Supplies in Mindanao</t>
  </si>
  <si>
    <t>PCHT PABAC2 001-20 LOT 2 Procurement of Freight Forwarding Services for the Transport of Supplies in Visayas.</t>
  </si>
  <si>
    <t>Rehabilitation of Farm to Market Road-(Daniel Section) Banbanaal</t>
  </si>
  <si>
    <t>SUPPLY AND DELIVERY OF VARIOUS COMMUNICATION EQUIPMENT AND DIGITAL DISCUSSION SYSTEM (SECOND BIDDING)</t>
  </si>
  <si>
    <t>IP BASED CCTV- 21 CAMERAS WITH FIBER OPTIC CABLING BACKBONE</t>
  </si>
  <si>
    <t>Acquisition of Furniture and Fixtures</t>
  </si>
  <si>
    <t>Procurement of Instrument Transformer Tester</t>
  </si>
  <si>
    <t>Upgrading and Improvement of Barangay Road</t>
  </si>
  <si>
    <t>REPAIR/RENOVATION OF DIRECTORATE FOR ADMINISTRATION OFFICE</t>
  </si>
  <si>
    <t>Production, Printing and Delivery of the following BSP Publications, as per BSP Scope of Work, Specifications and Terms of Reference (5 Lots)</t>
  </si>
  <si>
    <t>Supply and Delivery of Laptops and Other Items</t>
  </si>
  <si>
    <t>IMPROVEMENT OF MULTI-PURPOSE HALL AND STEEL FENCE</t>
  </si>
  <si>
    <t>PURCHASE AND INSTALLATION OF WEIGHBRIDGE EQUIPMENT FOR CY 2020 - TURBINA, CALAMBA CITY, LAGUNA</t>
  </si>
  <si>
    <t>MUNICIPAL-WIDE STREET LIGHTING PROJECT (CONSTRUCTION OF STREETLIGHT PEDESTAL &amp; ELECTRICAL WORKS)</t>
  </si>
  <si>
    <t>Procurement of 1 lot Real - Time  Polymerase Chain Reaction (PCR) Workflow machines</t>
  </si>
  <si>
    <t>Construction of Slope Protection-Bagbag, Bagbagotot</t>
  </si>
  <si>
    <t>Invitation to Bid for the Procurement of Laptops</t>
  </si>
  <si>
    <t>20MF0092-Repair/Maintenance of Reflective Thermoplastic Stripping Materials (Solid  Form) along Kidapawan-Allah Junction Road, K1673+(000)-K1673+393 (S00747MN), Tacurong City, Sultan Kudarat</t>
  </si>
  <si>
    <t>Rehabilitation of Footbridge</t>
  </si>
  <si>
    <t>Construction materials for BDRRMC Office</t>
  </si>
  <si>
    <t>PURCHASE OF ONE UNIT RESCUE/ MULTI-PURPOSE VEHICLE OF BRGY. ELIHAN, CAUAYAN. NEGROS OCCIDENTAL</t>
  </si>
  <si>
    <t>Construction Materials for the Repair of roofing for Marcos Type Building</t>
  </si>
  <si>
    <t>Upgrading of Manhilo-Libhu-Bactul II Road, Maasin City, Southern Leyte</t>
  </si>
  <si>
    <t>Construction of Road at Barangay Mabical, Floridablanca, Pampanga</t>
  </si>
  <si>
    <t>PROCUREMENT OF DEVELOPMENT AND PRINTING SERVICES FOR EVERYDAY CULTURE BOOK (A Series of Books on the School of Living Traditions)</t>
  </si>
  <si>
    <t>Construction of Concrete Perimeter Fence with Steel Gate at STA. Cecilia II Subd.</t>
  </si>
  <si>
    <t>PROCUREMENT OF DESIGN, SUPPLY, INSTALLATION, AND COMMISSIONING OF THEATRE CINEMA PROJECTION, EQUIPMENT AND AUDIO SYSTEM FOR THE METROPOLITAN THEATRE</t>
  </si>
  <si>
    <t>ITB NO. GOP/20-DSWD-046 - Supply and Delivery of Laptop and Desktop Computers for DSWD Central Office and Field Offices</t>
  </si>
  <si>
    <t>ROAD CONCRETING OF SITIO CAMPANGDAN</t>
  </si>
  <si>
    <t>Construction of Slope Protection/Footbridge-(Llaneza Section) Pila</t>
  </si>
  <si>
    <t>Construction of Slope Protection-(Franklin Gacusana Section) Casilagan  orte</t>
  </si>
  <si>
    <t>Supply and Delivery of One (1) Unit Brand New Bulldozer with Ripper for the use of Municipal Solid Waste Management Programs/Projects</t>
  </si>
  <si>
    <t>Construction of Slope Protection-(Arc Section) Elefante</t>
  </si>
  <si>
    <t>Construction/ Expansion of Public Cemetery Perimeter Tomb Phase 3</t>
  </si>
  <si>
    <t>PROCUREMENT OF CELLPHONES</t>
  </si>
  <si>
    <t>Purchase of Medical, Dental, X-ray &amp; Laboratory Supplies for the use of JCPJMH, Bataan</t>
  </si>
  <si>
    <t>Purchase and Upgrading of Chemistry and Physics Laboratory Equipment</t>
  </si>
  <si>
    <t>Printing and Binding of Student Yearbook (Oracle) 2018</t>
  </si>
  <si>
    <t>Supply and Delivery of Communication Equipment for Online Meetings</t>
  </si>
  <si>
    <t>Purchase of Medical Supplies for the use of Mariveles District Hospital, Bataan</t>
  </si>
  <si>
    <t>SERVICE VEHICLE (RECONDITIONED)</t>
  </si>
  <si>
    <t>Completion of Multi-Purpose Building (Phase 3), Centro Poblacion, Culasi, Antique</t>
  </si>
  <si>
    <t>Shoreline Protection (Seawall), Centro Poblacion, Culasi, Antique</t>
  </si>
  <si>
    <t>Construction of Multi-Purpose Pavement-Plaza Naguimba</t>
  </si>
  <si>
    <t>Procurement of office supplies for the different offices of LGU Calabanga</t>
  </si>
  <si>
    <t>HO-TWT20-004 - Supply and Delivery of Various Ink Toner and Cartridges</t>
  </si>
  <si>
    <t>PACKAGE 2020-23: CONTINUATION OF DANGOY MULTI PURPOSE BUILDING</t>
  </si>
  <si>
    <t>SOIL/ GEOTECHNICAL INVESTIGATION FOR THE PROPOSED CONSTRUCTION OF VARIOUS BRIDGE PROJECTS WITHIN 6TH DISTRICT OF PANGASINAN</t>
  </si>
  <si>
    <t>Supply nad Delivery of Construction Materials and Supplies, Brgy. Guinatuan, Madalag, Aklan</t>
  </si>
  <si>
    <t>Concreting of B. P. Sanchez Access Road</t>
  </si>
  <si>
    <t>PROCUREMENT OF MOTOR VEHICLE FOR EXTENSION SERVICES (2ND PUBLIC BIDDING)</t>
  </si>
  <si>
    <t>PROCUREMENT OF MEDICAL/DENTAL SUPPLIES, EQUIPMENT AND OTHER PPE (PERSONAL PROTECTIVE EQUIPMENT)</t>
  </si>
  <si>
    <t>Procurement of Information and Communication Technology Equipment</t>
  </si>
  <si>
    <t>CLUSTER 41-2020</t>
  </si>
  <si>
    <t>Sari - Sari Store</t>
  </si>
  <si>
    <t>Declogging of Drainage along Batang Street</t>
  </si>
  <si>
    <t>20AA0345 - CONCRETING OF BRGY. CALAMBEG TO BRGY. MARUAYA FARM-TO-MARKET ROAD, BRGY. CALAMBEG AND BRGY. MARUAYA, PIDDIG, ILOCOS NORTE</t>
  </si>
  <si>
    <t>ITB 20-0077 - Supply and Delivery of 1,000 bags Fertilizer, Complete 14-14-14 Plus &amp; etc.</t>
  </si>
  <si>
    <t>Purchase and Deliver of One (1) unit Service Vehicle at the Local Government Unit, Mansalay, Oriental Mindoro</t>
  </si>
  <si>
    <t>Purchase of Dialysis supplies for the use of JCPMH, Bataan</t>
  </si>
  <si>
    <t>ITB 20-0076 - Supply and Delivery of 40,178 liters Diesoline.</t>
  </si>
  <si>
    <t>Upgrading of the DSWD FO 1 OCP Server</t>
  </si>
  <si>
    <t>ITB - Supply, Delivery and Installation of 1 unit Large Format Printer for the Packaging and Labelling Innovation Center - 2nd Public Bidding</t>
  </si>
  <si>
    <t>Supply and Delivery of Construction Materials for Concreting for the Concreting of Brgy. Road</t>
  </si>
  <si>
    <t>REHABILITATION OF BAGNEN PROVINCIAL ROAD</t>
  </si>
  <si>
    <t>Construction of Multi-Purpose Building (Stockroom), Brgy Centro Poblacion, Culasi, Antique</t>
  </si>
  <si>
    <t>ITB FOR THE ACQUISITION OF PATIENT TRANSPORT VEHICLE (SPECIFIC – PURPOSE VEHICLE)</t>
  </si>
  <si>
    <t>CONTINUATION/ IMPROVEMENT OF AGAWA SLOPE PROTECTION</t>
  </si>
  <si>
    <t>IMPROVEMENT OF ACCESS ROAD TOWARDS AM-AMCHO WASTE MANAGEMENT FACILITY</t>
  </si>
  <si>
    <t>REHABILITATION OF UNP WATER SYSTEM</t>
  </si>
  <si>
    <t>20CSBF0004: Soil Testing/Exploration for the Construction of Multi-Purpose Building, Two-Storey Barangay Hall at 1. Ballesteros, Aurora, Isabela; 2. San Pedro, Mallig, Isabela; 3. Arellano, Quezon, Is</t>
  </si>
  <si>
    <t>1	unit	Four-wheel vehicle, Brand new, PR 624-20</t>
  </si>
  <si>
    <t>Construction of Hawker's Plaza Shed located at Santa Cruz Public Market, Santa Cruz, Laguna</t>
  </si>
  <si>
    <t>Purchase and Deliver of One (1) Unit Service Vehicle to be used in Vice Mayor's Office of Local Government Unit of Mansalay</t>
  </si>
  <si>
    <t>REPAIR OF REGIONAL AND PROVINCIAL OFFICE BUILDING AT NFA COMPOUND</t>
  </si>
  <si>
    <t>Procurement of Laboratory Supplies for the use of Dr. Rafael S. Tumbokon Memorial Hospital-EEDD, Kalibo, Aklan/ITB no: 2020-444</t>
  </si>
  <si>
    <t>Improvement of PNP Building &amp; Barracks Centro Poblacion, Culasi, Antique</t>
  </si>
  <si>
    <t>Procurement of Rescue Vehicle</t>
  </si>
  <si>
    <t>Supply, Delivery and Fabrication of 50 Units Food-Kart (Metal)</t>
  </si>
  <si>
    <t xml:space="preserve">20GFH0025 - SUPPLY AND DELIVERY OF HEAVY EQUIPMENT UNITS FOR USE IN CONNECTION WITH THE PROJECT, CONSTRUCTION OF SEWAGE FACILITIES IN VIRAC, CATANDUANES, DPWH CATANDUANES DISTRICT ENGINEERING OFFICE, </t>
  </si>
  <si>
    <t>ITB for the Purchase of Fuel</t>
  </si>
  <si>
    <t>MATERIALS USED FOR SEAWEEDS FLOATING DRYER</t>
  </si>
  <si>
    <t>Procurement of Housekeeping Supplies for use at Various Wards of the IPHO-TPH - B-G-2020-114</t>
  </si>
  <si>
    <t>Provision of Seven (7) Sets Solar Streetlight at Brgy Estipona, Pura, Tarlac</t>
  </si>
  <si>
    <t>Finishing of Communication Arts Building, MMSU, City of Batac</t>
  </si>
  <si>
    <t>Supply and Delivery of Medical and Disinfectant Supplies</t>
  </si>
  <si>
    <t>Procurement of Office Supplies for use at Various Offices of the IPHO-TPH - B-G-2020-113</t>
  </si>
  <si>
    <t>20N00116; REPAIR/ IMPROVEMENT OF DPWH REGIONAL OFFICE XIII- FMD OFFICE EXTENSION, J. ROSALES AVENUE, BUTUAN CITY</t>
  </si>
  <si>
    <t>Procurement of Drugs and Medicines for use at the Pharmacy Section of the IPHO-TPH - B-G-2020-111</t>
  </si>
  <si>
    <t>INVITATION TO BID - PROCUREMENT OF PROFESSIONAL DRIVERS SERVICES</t>
  </si>
  <si>
    <t>Construction of Farm to Market Road at Barangay Beddeng Laud, Vigan City</t>
  </si>
  <si>
    <t>Provision of Safe Water access for Every Household of Barangay Bani</t>
  </si>
  <si>
    <t>CP 2020-58 BIDDING FOR THE SUPPLY AND DELIVERY OF VARIOUS AMMUNITIONS C/O BCPO</t>
  </si>
  <si>
    <t>CLOSURE/REHABILITATION OF THE EXISTING CONTROLLED DUMPSITE, BONUAN BOQUIG, DAGUPAN CITY – PHASE I</t>
  </si>
  <si>
    <t>Materials for the Concreting of Farm to Market Road, Brgy, Morobuan, Cabatuan, Iloilo</t>
  </si>
  <si>
    <t>CLUSTER 42-2020</t>
  </si>
  <si>
    <t>Materials for the Construction of Drainage System along Confesor Drive, Cabatuan, Iloilo</t>
  </si>
  <si>
    <t>Materials for the Construction of Perimeter Fence, Don Nicolas Catalan MES, Brgy. Tacdangan, Cabatuan, Iloilo</t>
  </si>
  <si>
    <t>3RD QUARTER OFFICE SUPPLIES</t>
  </si>
  <si>
    <t>CLUSTER 43-2020</t>
  </si>
  <si>
    <t>Supply and Delivery of Various Furniture and Fixtures</t>
  </si>
  <si>
    <t>Supply, Delivery and Installation of Various Office and IT Equipment</t>
  </si>
  <si>
    <t>COST OF IMPROVEMENT (BACKFILLING) OF BARAS KASARINLAN ECO PARK, BRGY. SANTIAGO,  BARAS, RIZAL</t>
  </si>
  <si>
    <t>INFRA2020-CMD-021 Construction of Fire Hydrant System for CMTSD, Ditucalan, Iligan City</t>
  </si>
  <si>
    <t>Purchase of Materials for Service Connection (PWS)</t>
  </si>
  <si>
    <t>Purchase of Medicines (RHU)</t>
  </si>
  <si>
    <t>Consultancy Services in Different Offices in the Municipality of Pulilan Mayor's,Accounting,Treasurer's,Market,MENRO,RHU,PUP,Tourism Offices</t>
  </si>
  <si>
    <t>CONCRETING OF ROAD LEADING TO THE NEW MUNICIPAL CEMETERY IN BARANGAY PANDACAN</t>
  </si>
  <si>
    <t>Purchase of One (1) Unit Service Vehicle (SB)</t>
  </si>
  <si>
    <t>Digital Public Address-Warning Siren &amp; Device (MDRRMO)</t>
  </si>
  <si>
    <t>Drilling of One (1) Exploratory/Production Well for Balaoan WD @Brgy. Calliat, Balaoan, La Union</t>
  </si>
  <si>
    <t>Purchase of Office Supplies (MO)</t>
  </si>
  <si>
    <t>Procurement of Laboratory Supplies for use at the Laboratory Section of the IPHO-TPH - B-G-2020-112</t>
  </si>
  <si>
    <t>Purchase of Anti-Rabies Vaccines (RHU)</t>
  </si>
  <si>
    <t>Purchase of 45 Units Laptop</t>
  </si>
  <si>
    <t>CW-APAYAO-L-01-2020/ NABUANGAN - CUPIZ  MAGLANGAT PIGOC SIP Phase II</t>
  </si>
  <si>
    <t>CW-ALPIP-07-2020/ ALFONSO LISTA PIP</t>
  </si>
  <si>
    <t>INVITATION TO BID FOR THE  PROJECT: SUPPLY AND DELIVERY OF OBSTETRICS AND GYNECOLOGY EQUIPMENT │ ITB NO. 2020-08-016</t>
  </si>
  <si>
    <t>CW-ALPIP-06-2020/ ALFONSO LISTA PIP</t>
  </si>
  <si>
    <t>INVITATION TO BID FOR THE  PROJECT: SUPPLY AND DELIVERY OF DENTAL EQUIPMENT │ ITB NO. 2020-08-015</t>
  </si>
  <si>
    <t>Supply and Delivery of Materials for the Implementation of the Modular Learning Delivery Modality using Print and Multimedia Learning Resources</t>
  </si>
  <si>
    <t>Procurement of Laboratory Equipment</t>
  </si>
  <si>
    <t>Purchase of Two (2) Units Patrol Cars (DILG-SGLG)</t>
  </si>
  <si>
    <t>CW-ALPIP-05-2020/ ALFONSO LISTA PIP</t>
  </si>
  <si>
    <t>ASPHALTING OF ROAD AT BARANGAY CABULOAN TO BARANGAY MALILION</t>
  </si>
  <si>
    <t>Procurement of Medical and Laboratory Equipment</t>
  </si>
  <si>
    <t>SUPPLY &amp; DELIVERY OF FUEL, OIL AND LUBRICANTS FOR MUNICIPAL VEHICLES (3RD QTR)</t>
  </si>
  <si>
    <t>PROCUREMENT OF RESCUE VEHICLE FOR MDRRMO USE</t>
  </si>
  <si>
    <t>SUPPLY &amp; DELIVERY OF FUEL, OIL AND LUBRICANTS FOR ROAD DEVELOPMENT MUNICIPAL SANITARY LANDFILL AT BRGY. BATO-BATO</t>
  </si>
  <si>
    <t>PURCHASE OF VARIOUS MEDICAL AND DENTAL SUPPLIES FOR USE IN THE CHO</t>
  </si>
  <si>
    <t>PB No. 20-025-1: Supply and Delivery of Cut-Size Paper Products for the Procurement Service (Framework Agreement)</t>
  </si>
  <si>
    <t>CONCRETING OF ROAD AT BARANGAY SOBOL</t>
  </si>
  <si>
    <t>IB-2020-IX-01-01- CONSTRUCTION OF FEEDMILL</t>
  </si>
  <si>
    <t>20-07-597 Upgrading and Improvement of Harab to Sumbacan Road in Barangay Barangiran, Alamada, Cotabato</t>
  </si>
  <si>
    <t>Completion of Health Station (One Job), Brgy. Caninguan, Lambunao, Iloilo</t>
  </si>
  <si>
    <t>Invitation to Bid for Construction of Three (3) Units Potable Water Supply System Level 3 (Camagsingalan, Bolaoen &amp; Sto. Domingo)</t>
  </si>
  <si>
    <t>Purchase of Materials for the Installation of Solar Lighting System, Brgy. Coto, Lambunao, Iloilo</t>
  </si>
  <si>
    <t>Procurement of Labor and Materials- Upgrading of Water Supply System @ Salvacion</t>
  </si>
  <si>
    <t>PURCHASE OF CCTV</t>
  </si>
  <si>
    <t>PURCHASE OF GARBAGE VEHICLE</t>
  </si>
  <si>
    <t>PURCHASE OF HAND TRACTOR WITH TRAILER</t>
  </si>
  <si>
    <t>Procurement of DumptruckRepair and Maintenance Supply</t>
  </si>
  <si>
    <t>LABOR AND MATERIALS FOR THE CONSTRUCTION OF PERIMETER FENCE ALONG BASKETBALL COURT</t>
  </si>
  <si>
    <t>PROCUREMENT OF HFEP EQUIPMENT PACKAGE 3 - REBID</t>
  </si>
  <si>
    <t>LABOR AND MATERIALS FOR THE RIPRAPPING OF MULTI-PURPOSE HALL AREA</t>
  </si>
  <si>
    <t>ITB NO. 2020-0019 Rebid of the Provision of Security Services of People’s Television Network, Inc.(PTNI) Manila Office and its Provincial Station</t>
  </si>
  <si>
    <t>PROCUREMENT OF SCHOOL SUPPLIES FOR LEARNERS'USE (ELEMENTARY, KINDER TO GRADE 12), DEPED, MASINLOC, ZAMBALES</t>
  </si>
  <si>
    <t>Materials for the Concreting of Farm to Market Road, Brgy, Jelicuon Lusaya, Cabatuan, Iloilo</t>
  </si>
  <si>
    <t>Improvement/Concreting of FTMR</t>
  </si>
  <si>
    <t>Procurement of Office Supplies for General Revision</t>
  </si>
  <si>
    <t>Materials for the Concreting of Farm to Market Road, Brgy, Tupol Oeste, Cabatuan, Iloilo</t>
  </si>
  <si>
    <t>ITB No. 20-29 Procurement of Laboratory Supplies and Reagents</t>
  </si>
  <si>
    <t>SUPPLY AND DELIVERY OF 122,574 BAGS UREA FERTILIZER TO BE DISTRIBUTED TO RICE FARMERS WHO ARE RECIPIENT OF RCEF IN REGION III FUNDED UNDER RICE PROGRAM FOR LATER RELEASE, INCLUDED IN BAYANIHAN ACT FOR</t>
  </si>
  <si>
    <t>20gm0013-SUPPLY AND DELIVERY OF HANDHELD LASER SCANNER FOR USE OF PLANNING AND DESIGN DIVISION, DPWH REGIONAL OFFICE XII</t>
  </si>
  <si>
    <t>Repair of comfort rooms and water supply system in various schools at Carmona and G.M.A., Cavite.</t>
  </si>
  <si>
    <t>Repair of comfort rooms and water supply system in various schools in Mendez, Amadeo and Tagaytay City, Cavite.</t>
  </si>
  <si>
    <t>20gm0012-SUPPLY AND DELIVERY OF IT SUPPLIES FOR USE OF DPWH REGIONAL OFFICE XII, KORONADAL CITY</t>
  </si>
  <si>
    <t>Upgrading of Local Access Road Brgy. Poblacion, Concepcion, Romblon</t>
  </si>
  <si>
    <t>20GM0011-SUPPLY AND DELIVERY OF OFFICE SUPPLIES FOR USE OF DPWH REGIONAL OFFICE XII, KORONADAL CITY</t>
  </si>
  <si>
    <t>20GM0008 (Re-bid) - PROCUREMENT OF DRYDOCKING AND REPAIR OF DPWH K3-22 (WATERMASTER 4) STATIONED AT MOTHER BRGY. KALANGANAN I, COTABATO CITY</t>
  </si>
  <si>
    <t>Construction of Riverwall Protection at Brgy. San Antonio I (Phase II) Noveleta, Cavite</t>
  </si>
  <si>
    <t>One Lot Office Supplies for Modular Learning Scheme No. 20-08-247</t>
  </si>
  <si>
    <t>CONSTRUCTION OF INTELLECTUAL PROPERTY AND TECHNOLOGY BUSINESS MANAGEMENT FACILITY</t>
  </si>
  <si>
    <t>SUPPLY AND DELIVERY OF 56,370 BAGS UREA FERTILIZER TO BE DISTRIBUTED TO RICE FARMERS WHO ARE RECIPIENT OF RCEF IN REGION III FUNDED UNDER RICE PROGRAM COMPREHENSIVE RELEASE FOR CY 2020</t>
  </si>
  <si>
    <t>SUBSCRIPTION OF ADDITIONAL INTERNET BANDWIDTH</t>
  </si>
  <si>
    <t>Improvement of Water Distribution Lines (One Job), Brgy. Cabugao, Lambunao, Iloilo</t>
  </si>
  <si>
    <t>Invitation to Apply for Eligibility and to Bid</t>
  </si>
  <si>
    <t>Replacement of Bridge: Demonstration Br. (B02184LZ) along Kennon Rd, Tuba, Benguet</t>
  </si>
  <si>
    <t>Purchase &amp; Delivery of Office Supplies for the 3rd Quarter 2020</t>
  </si>
  <si>
    <t>IMPROVEMENT OF BRGY. HALL GROUND</t>
  </si>
  <si>
    <t>Procurement of Communication Equipment (Mobile Phones)</t>
  </si>
  <si>
    <t>20GFL0006-Supply and delivery of various office supplies for use of personnel/employees of DPWH Sorsogon 2nd DEO for 3rd Quarter, CY 2020</t>
  </si>
  <si>
    <t>PROCUREMENT OF VARIOUS LABORATORY SUPPLIES</t>
  </si>
  <si>
    <t>ONE STOREY MULTI-PURPOSE BUILDING (PNP COMPOUND)</t>
  </si>
  <si>
    <t>ROAD CONSTRUCTION AND REHABILITATION OF PORTION JOVER STREET, DE LEON STREET AND MAGSAYSAY STREET EXTENSION</t>
  </si>
  <si>
    <t>PURCHASE OF MATERIALS FOR CONSTRUCTION OF 176 UNITS ADDITIONAL TOMBS AT VICTORIAS CITY PEOPLE’S MEMORIAL PARK, HAD. ESTRELLA, BRGY XIV, VICTORIAS CITY</t>
  </si>
  <si>
    <t>PURCHASE OF RESCUE VEHICLE FOR THE USE OF RESCUE PERSONNEL ( RE – BID )</t>
  </si>
  <si>
    <t>REPAIR AND IMPROVEMENT OF ONE ( 1) UNIT CLASSROOM AT DAPES, BRGY X, VICTORIAS CITY NEGROS OCCIDENTAL</t>
  </si>
  <si>
    <t>Construction of Perimeter Fence of Barangay Compound</t>
  </si>
  <si>
    <t>REPAIR AND IMPROVEMENT OF ONE ( 1) UNIT 2 CLASSROOM FERRER BUILDING ESTADO ELEMENTARY SCHOOL, BRGY XI, VICTORIAS CITY NEGROS OCCIDENTAL</t>
  </si>
  <si>
    <t>PURCHASE OF MATERIALS FOR ROAD MAINTENANCE OF VARIOUS BARANGAYS AND CITY ROADS  ( Basa Road,Brgy X.,Romana-Dacumon Road Barangay XII, Minoro-Salome-San Jose Road,Brgy X, Access Road Going to Villa Vic</t>
  </si>
  <si>
    <t>Rehabilitation of Road including Drainage along La Consolacion St., Brgy. Guadalupe Nuevo, Makati City, Metro Manila</t>
  </si>
  <si>
    <t>Provision of Comprehensive Preventive Maintenance  and Repair Services of the Three (3) Elevator Units located at the DOLE Main Building</t>
  </si>
  <si>
    <t>Procurement of Two (2) Units Dump Truck for the Use of the Municipality, Tagudin, Ilocos Sur</t>
  </si>
  <si>
    <t>Reproduction of Grade 4 Modules for Alternative Delivery Mode</t>
  </si>
  <si>
    <t>DEVELOPMENT OF JANIPAAN FALLS</t>
  </si>
  <si>
    <t>CONCRETING OF FLOORING OF COVERED COURTS 	(Covered Courts at Brgys. Tupas,  Busay,  Butong, Guimbawian &amp; Sibago)</t>
  </si>
  <si>
    <t>Construction of Multi-Purpose Building at Municipal Demo Farm in Brgy. Baga</t>
  </si>
  <si>
    <t>Improvement and Construction of RC Box Culvert along Villanueva Creek Tributary near the President Avenue, Brgy. B.F., Parañaque City, Metro Manila</t>
  </si>
  <si>
    <t>Procurement and Delivery of Construction Supplies and Materials for the Improvement of Baywalk</t>
  </si>
  <si>
    <t>Rehabilitation/Upgrading and Drainage Improvement along Local Roads Connecting J. P. Rizal Extension, F. Dagohoy St., P. Gomez St., E. Jacinto St., Lapu-Lapu St., G. L. Jaena St., A. Luna St., M. Malv</t>
  </si>
  <si>
    <t>Procurement of Office and Other Supplies - VM,SB SEC, MO, GSO, PESO</t>
  </si>
  <si>
    <t>Survey of Barangay Owned Lot</t>
  </si>
  <si>
    <t>CONSTRUCTION OF PATHWAY (ROAD CONCRETING) AT BRGY POLANGI, VILLAREAL SAMAR</t>
  </si>
  <si>
    <t>Construction of Multi-Purpose Building (Covered Court) near Umbel St., Brgy. Pembo, Makati City, Metro Manila</t>
  </si>
  <si>
    <t>Procurement of Office and Other Supplies - Budget, MENRO, MSWD,ADMIN/LEIPO</t>
  </si>
  <si>
    <t>Rehabilitation/Upgrading and Drainage Improvement along Sampaguita St., Jasmin St., Ilang-Ilang St., Camia St. and its Vicinity, Brgy. Cembo, Makati City, Metro Manila</t>
  </si>
  <si>
    <t>(VJLN - BES) PREVENTIVE MAINTENANCE AND CALIBRATION OF LABORATORY EQUIPMENTS</t>
  </si>
  <si>
    <t>Supply, Delivery, Installation and Commissioning of New Elevator Units at PPA Head Office</t>
  </si>
  <si>
    <t>CONSTRUCTION OF LUBUAN-TEOR-NAPOH FMR</t>
  </si>
  <si>
    <t>Strengthening the Information Technology Program of IFSU</t>
  </si>
  <si>
    <t>Contract ID No.: 20OB0387 Contract Name: Construction of Drainage System along JACAMAR St., Marikina City</t>
  </si>
  <si>
    <t>Contract ID No.: 20OB0441 Contract Name: Construction of 4-Storey Organic Personnel and Students Barracks Billeting PAICOE, AIR, Philippine Army, Legaspi Compound, Fort Bonifacio, Taguig City</t>
  </si>
  <si>
    <t>Construction of School Building at Aggub Elementary School, Aggub, Solano, NV.</t>
  </si>
  <si>
    <t>PURCHASE OF RESCUE VEHICLE (AMBULANCE TYPE)</t>
  </si>
  <si>
    <t>INTERNET CONNECTION</t>
  </si>
  <si>
    <t>ROAD OPENING AND IMPROVEMENT OF MALABBAGA FARM TO MARKET ROAD (PHASE 1)</t>
  </si>
  <si>
    <t>INSTALLATION, TESTING AND COMMIS- SIONING OF CLIMATE CONTROL SYSTEM FOR THE NATIONAL LIBRARY OF THE PHILIPPINES (NLP)</t>
  </si>
  <si>
    <t>Procurement of Civil Works for the Repair/Rehabilitation of Seawall at  Brgy. Minuhang, Barugo, Leyte</t>
  </si>
  <si>
    <t>Contract ID No.: 20OB0389 Contract Name: Improvement of Iwahig Creek, Barangay Tumana, Marikina City</t>
  </si>
  <si>
    <t>USE FOR ROAD REPAIR &amp; MAINTENANCE-SURFACING OF PATHOLE &amp; LEVELING ALONG PUERTOBELLO ROAD TO SECANTE BAG-O BOUNDARY, TUDELA, CEBU</t>
  </si>
  <si>
    <t>Costruction of Quarters for PNP Personnel</t>
  </si>
  <si>
    <t>POBLACION-MADLING-QUIDAG-UM ACCESS ROAD PROJECT</t>
  </si>
  <si>
    <t>Construction of Buenavista Multi- Purpose Hall</t>
  </si>
  <si>
    <t>CONTINUOUS LINING OF MUNICIPAL STREET DRAINAGE CANAL</t>
  </si>
  <si>
    <t>Concreting of Linglingay Brgy. Road</t>
  </si>
  <si>
    <t>ITB:Supply of Labor &amp; Materials For the Construction of Multi-Purpose Center Located at Buli Taal Batangas(cb-infra-2020-08)</t>
  </si>
  <si>
    <t>Construction of Evacuation Center, Tablan, Kabayan Bario, Kabayan, Benguet</t>
  </si>
  <si>
    <t>Construction of Medical Storage Room at RHU</t>
  </si>
  <si>
    <t>SJADS GOODS 20-14: PROCUREMENT OF OFFICE AND SCHOOL SUPPLIES (SEF)</t>
  </si>
  <si>
    <t>Supply and delivery of 6 units risograph machine</t>
  </si>
  <si>
    <t>ITB No. GOP/20-DSWD-045-A - Subscription to a Multi-Telco Bulk SMS Service for DSWD Enterprise</t>
  </si>
  <si>
    <t>PBD- PSAO Sorsogon Furniture and Fixtures</t>
  </si>
  <si>
    <t>Proposed Single Barrel Box Culvert in Brgy. Alipaciawan</t>
  </si>
  <si>
    <t>Supply and Delivery of Agricultural Supplies and Medicines</t>
  </si>
  <si>
    <t>20H00082 - Organizational Outcome 1: Ensure Safe and Reliable National Road System, Network Development, Construction of By-pass and Diversion Roads, Metro Cebu Expressway, Sta. 0+000 - Sta. 2+500 (Si</t>
  </si>
  <si>
    <t>20GH00003 - Freight and Handling of Multi-Purpose Amphibious Dredge – Watermaster Classic II from DPWH-NCR-RES Compound Bicutan, Taguig to DPWH Regional Office VII, SRP, Cebu City</t>
  </si>
  <si>
    <t>S1-CGY20-009  SUPPLY AND DELIVERY OF VARIOUS MATERIALS FOR OPERATIONS.</t>
  </si>
  <si>
    <t>SUPPLY &amp; DELIVERY OF VARIOUS ELECTRICAL SUPPLIES FOR 100KW CUMMINS, MODEL NO. 6BT5 9-G2, SERIAL NO. 78467011 &amp; 80KW CUMMINS, MODEL NO. 6BTAA5 9-G2, SERIAL NO. 78258010 FOR ITEM # 4, INTENDED FOR CAMAN</t>
  </si>
  <si>
    <t>SWITCH</t>
  </si>
  <si>
    <t>Procurement of Office Equipment- Risograph Machine</t>
  </si>
  <si>
    <t>20HC0190- CONSTRUCTION OF RAINWATER COLLECTOR SYSTEM (RWCS-12 UNITS)</t>
  </si>
  <si>
    <t>Construction of Bridge, Brgy. Bonga Menor, Bustos, Bulacan</t>
  </si>
  <si>
    <t>CLAMP</t>
  </si>
  <si>
    <t>Procurement of Ink for the Reproduction of First Quarter Modules for SY 2020-2021</t>
  </si>
  <si>
    <t>SUPPLY AND DELIVERY OF VARIOUS ELECTRICAL SPARE PARTS FOR 336KW CUMMINS, MODEL NO.: KTA19-G2, ENGINE NO.: 41233013 INTENDED FOR BIRI DPP</t>
  </si>
  <si>
    <t>IB-GOODS-2020-04A Procurement of Medical, Dental and Laboratory Supplies-Rebid</t>
  </si>
  <si>
    <t>SUPPLY &amp; DELIVERY OF VARIOUS MECHANICAL SPARES FOR UNIT # 1-163KW DALE PERKINS, MODEL NO.: 2006-TGI, SERIAL ENGINE NO. 52 INTENDED FOR SAN VICENTE DPP.:</t>
  </si>
  <si>
    <t>REHABILITATION/COMPLETION OF CABETICAN, VILLA DE BACOLOR, TRINIDAD CALIBUTBUT, SACOP CALIBUTBUT, MAGLIMAN, TINAJERO, STA. INES, MACABAKLE. SAN ISIDRO &amp; MALIWALU DAY CARE CENTER.</t>
  </si>
  <si>
    <t>purchase of 1 unit mini dump truck</t>
  </si>
  <si>
    <t>PROCUREMENT OF I.T. CONSUMABLES AND SUPPLIES</t>
  </si>
  <si>
    <t>S1-SVD20-010 - SUPPLY AND DELIVERY OF VARIOUS MATERIALS FOR OPERATION USE.</t>
  </si>
  <si>
    <t>Construction of Drainage with Shoulder (Phase 1), Brgy. Nancamarinan, Paniqui, Tarlac</t>
  </si>
  <si>
    <t>IB No. 2020 - 08 - INSTALLATION OF VENTILATION SYSTEM FOR THE PROPOSED MOLECULAR BIOLOGY LABORATORY</t>
  </si>
  <si>
    <t>CHEMICALS</t>
  </si>
  <si>
    <t>PURCHASE OF HEAVY EQUIPMENT ( ONE UNIT BRAND NEW BACK HOE WITH BREAKER)</t>
  </si>
  <si>
    <t>PROCUREMENT OF FUEL, LUBRICANTS AND OIL USE IN DIFFERENT OFFICE IN LOCAL GOVERNMENT UNIT OF PIÑAN, ZN</t>
  </si>
  <si>
    <t>Procurement of vitamins for distribution to senior citizen of this Province.</t>
  </si>
  <si>
    <t>SUPPLY AND DELIVERY OF VARIOUS MECHANICAL SPARE PARTS FOR 163KW PERKINS INTENDED FOR GIGANTES DPP</t>
  </si>
  <si>
    <t>SUPPLY AND DELIVERY OF VARIOUS MECHANICAL SPARE PARTS FOR 56KW PERKINS, INTENDED FOR BOHOL MINI GRID II</t>
  </si>
  <si>
    <t>S1-ARA20-007  -  SUPPLY AND DELIVERY OF FAST MOVING SPARE PARTS FOR ARACELI DPP.</t>
  </si>
  <si>
    <t>S1-BAC20-004 - SUPPLY AND DELIVERY OF VARIOUS MATERIALS FOR OPERATION AND MAINTENANCE USE.</t>
  </si>
  <si>
    <t>SUPPLY Z7 DELIVERY OF VARIOUS MECHANICAL SPARE PARTS UNIT 4 FOR 315KW FG WILSON PERKINS MODEL NO. 2506A-E15TAG3, SERIAL NO. MGDF7150U10595A INTENDED FOR MARIPIPI DPP</t>
  </si>
  <si>
    <t>SUPPLY AND DELIVERY OF VARIOUS ELECTRICAL SPARE PARTS FOR 36 KW FG WILSON PERKINS INTENDED FOR PANANY MINI GRID</t>
  </si>
  <si>
    <t>ASPHALTING OF ROAD AT BARANGAY DALUMPINAS, SAN NICOLAS, PANGASINAN</t>
  </si>
  <si>
    <t>REHABILITATION OF SANTA FE SPILLWAY</t>
  </si>
  <si>
    <t>PROCUREMENT OF 32" TELEVISION</t>
  </si>
  <si>
    <t>S1-END20-013 - SUPPLY AND DELIVERY OF MATERIALS AND SUPPLIES FOR ELECTRICAL MAINTENANCE USE.</t>
  </si>
  <si>
    <t>20HL0115 - Construction of 2 STY 8 CL School Building @ Olandao Elementary School, Basay, Negros Oriental</t>
  </si>
  <si>
    <t>Supply and delivery of food pack (3 meals) for Health Personnel's food managing COVID-19 facilities.</t>
  </si>
  <si>
    <t>Purchase of Solar Panel with Complete Accessories</t>
  </si>
  <si>
    <t>SUPPLY AND DELIVERY OF VARIOUS ELECTRICAL SPARE PARTS FOR 163KW PERKINS INTENDED FOR GUINTARCAN DPP</t>
  </si>
  <si>
    <t>SUPPLY AND DELIVERY OF VARIOUS MECHANICAL SPARE PARTS FOR 300KW CUMMINS INTENDED FOR GIGANTES DPP</t>
  </si>
  <si>
    <t>Supply and Delivery of 66 truck load of Aggregate Base Course Materials (1st Quarter)- Re-bidding</t>
  </si>
  <si>
    <t>PROCUREMENT OF ONE (1) SOFTWARE PROGRAM FOR REAL PROPERTY TAX ADMINISTRATION (RPTA) USE FOR THE CONDUCT OF 2020 GENERAL REVISION OF REAL PROPERTY ASSESSMENTS</t>
  </si>
  <si>
    <t>Supply and Delivery of Uniforms and Paraphernalia to be used by the CPOSCO TF KKK Multipliers in connection with the Task Force KKK Enforcement at the Barangay Level for the year 2020 in the City of S</t>
  </si>
  <si>
    <t>SUPPLY AND DELIVERY OF VARIOUS MECHANICAL SPARE PARTS FOR 300KW CUMMINS INTENDED FOR CALUYA DPP</t>
  </si>
  <si>
    <t>Rehabilitation of Linear Park along Chino Roces Avenue Extension, Brgy. Fort Bonifacio, Taguig City</t>
  </si>
  <si>
    <t>Procurement of One (1) unit brandnew 6 wheelers 16ft Heavy Duty Rivetless Aluminum Van use for delivery of  various medicines, intravenous fluids and supplies to six provincial hospitals.</t>
  </si>
  <si>
    <t>MPG-B1-2020-373 (2nd Rebid) SUPPLY AND DELIVERY OF ONE (1) LOT SPARE PARTS FOR THE MAINTENANCE AND REPAIR OF PHILIPPINE MARINE CORPS (PMC) FLOATING ASSETS FOR THE PHILIPPINE NAVY (PN)</t>
  </si>
  <si>
    <t>SJADS INFRA 20-10: CONCRETING/REHABILITATION OF  MUNICIPAL STREETS</t>
  </si>
  <si>
    <t>SUPPLY WITH DELIVERY OF CONSTRUCTION MATERIALS</t>
  </si>
  <si>
    <t>Perez National High School - Self Learning Modules</t>
  </si>
  <si>
    <t>20HL0114 - Construction of  2 STY 4 CL  School Building @ Palayuhan High School, Siaton, Negros Oriental</t>
  </si>
  <si>
    <t>Supply of Hybridization Incubator</t>
  </si>
  <si>
    <t>ANNUAL SERVICING OF THE SSS MAIN BUILDING'S POWER SUBSTATIONS AND OTHER RELATED WORKS</t>
  </si>
  <si>
    <t>S1-ADP20-008  - SUPPLY AND DELIVERY OF FAST MOVING SPAREPARTS FOR AGUTAYA DPP.</t>
  </si>
  <si>
    <t>SUPPLY AND DELIVERY OF  VARIOUS SIZES HDPE PIPE</t>
  </si>
  <si>
    <t>20HH0150-Concreting of Sitio Agbuacan II, Brgy. Agsungot to Sitio Catibis, Brgy. Guba FMR, Cebu City, Cebu</t>
  </si>
  <si>
    <t>Procurement of various Electromechanical Equipment and Chlorination Equipment for Catacte Pumping Station</t>
  </si>
  <si>
    <t>Fuel for use in the Operation of DPWH-NOFDEO Vehicles and Equipment.</t>
  </si>
  <si>
    <t>S1-CUL20-017 - SUPPLY AND DELIVERY OF MATERIALS AND SUPPLIES FOR OPERATIONS OF CULION DPP.</t>
  </si>
  <si>
    <t>20HH0149-Concreting of Brgy. Buot Taop FMR, Brgy. Buot Taop, Cebu City, Cebu</t>
  </si>
  <si>
    <t>20DQ0132 - Concreting of Brgy. Toledo FMR, Brgy. Toledo, Silang, Cavite</t>
  </si>
  <si>
    <t>Supply and Delivery of Multifunctional Inkjet Colored Printer with Continuous Ink Supply System</t>
  </si>
  <si>
    <t>20DQ0134 - Construction of 2STY10CL, Carmen ES, Silang, Cavite</t>
  </si>
  <si>
    <t>MPG-B1-2020-244 - SUPPLY AND DELIVERY OF BRAND NEW 16,490 PIECES PONCHO TENT, PHILARPAT FOR THE PHILIPPINE ARMY (PA)</t>
  </si>
  <si>
    <t>PROCUREMENT OF RESCUE / EXTRICATION EQUIPMENT OF MDRRMO, MALAPATAN, SARANGANI PROVINCE</t>
  </si>
  <si>
    <t>Supply and Delivery of Heavy-duty 3 in 1 Copier</t>
  </si>
  <si>
    <t>PROCUREMENT OF MATERIALS FOR THE MAINTENANCE AND DEVELOPMENT OF HRIS SYSTEM, MALAPATAN, SARANGANI PROVINCE</t>
  </si>
  <si>
    <t>IB No. 2020 - 09 - Supply, Delivery and Testing of  One (1) unit Brand New Multi-Purpose Van</t>
  </si>
  <si>
    <t>PROCUREMENT OF MEDICINES AND MEDICAL SUPPLIES FOR PROVISION OF BASIC HEALTH SERVICES, MHO MALAPATAN, SARANGANI PROVINCE</t>
  </si>
  <si>
    <t>PROCUREMENT OF GOODS FOR SENIOR CITIZEN AND PERSON WITH DISABILITY, MALAPATAN, SARANGANI PROVINCE</t>
  </si>
  <si>
    <t>IMPROVEMENT OF MUNICIPAL PUBLIC MARKET, PUROK 8B, BARANGAY POBLACION, MALAPATAN, SARANGANI PROVINCE</t>
  </si>
  <si>
    <t>PROCUREMENT OF MEDICINES AND MEDICAL SUPPLIES FOR FAMILY PLANNING PROGRAM, MHO MALAPATAN, SARANGANI PROVINCE</t>
  </si>
  <si>
    <t>Purchase of Medical, Laboratory, Dental, Radiologic &amp; Opthalmology Supplies</t>
  </si>
  <si>
    <t>CONCRETING OF JUNCTION NATIONAL HIGHWAY – MASBONG 1 ROAD (PHASE-III), BARANGAY POBLACION, MALAPATAN, SARANGANI PROVINCE</t>
  </si>
  <si>
    <t>AMP SVP-S NO: 20-08-0430 One (1) Lot Managed WiFi for Executive House</t>
  </si>
  <si>
    <t>REPRODUCTION OF LEARNING MATERIALS</t>
  </si>
  <si>
    <t>Procurement of Water Supply Accessories and Materials for the Improvement of Water System (2nd Posting)</t>
  </si>
  <si>
    <t>Procurement of Supplies (Bond Paper) for Printing of Self Learning  Modules</t>
  </si>
  <si>
    <t>CDH-20-0823-B MEDICAL EQUIPMENT</t>
  </si>
  <si>
    <t>Rehabilitation and Improvement of Public Market Buildings</t>
  </si>
  <si>
    <t>CDH-20-0826-B MEDICAL EQUIPMENT</t>
  </si>
  <si>
    <t>Construction of Two-Storey Legislative Session Hall (Expansion)</t>
  </si>
  <si>
    <t>20DB0141 Concreting of Brgy. Humayingan FMR, Brgy. Humayingan, Lian, Batangas</t>
  </si>
  <si>
    <t>Construction of Bridge at Sta. Maria, Mansalay, Or. Mindoro</t>
  </si>
  <si>
    <t>Construction of Montemayor-Herrera Road, Naujan, Oriental Mindoro</t>
  </si>
  <si>
    <t>20DQ0133 - Concreting of Brgy. Langkaan 2 FMR, Brgy. Langkaan 2, Dasmariñas, Cavite and Concreting of Sitio Caragao, Brgy. Sampaloc II, Dasmariñas, Cavite</t>
  </si>
  <si>
    <t>PURCHASE OF VARIOUS DRUGS AND MEDICINES FOR THE PAGAMUTAN NG DASMARIÑAS</t>
  </si>
  <si>
    <t>Concreting of Road at Sitio Quinaban, San Jose, Bongabong, Oriental Mindoro</t>
  </si>
  <si>
    <t>Procurement of seedlings for dispersal to mango farmers beneficiaries and establishment of a Municipal Mango Seedling Nursery</t>
  </si>
  <si>
    <t>Construction of Day Care Center at Sampaguita, Victoria, Or. Mindoro</t>
  </si>
  <si>
    <t>Upgrading of Naujan Community Hospital Electrical System, Naujan, Oriental Mindoro</t>
  </si>
  <si>
    <t>Construction of Senior Citizen's Building at Calocmoy, Socorro, Or. Mindoro</t>
  </si>
  <si>
    <t>20DB0140 Concreting of Brgy. Tanagan FMR, Brgy. Tanagan, Calatagan, Batangas</t>
  </si>
  <si>
    <t>Cluster: Swine Enterprise Development: Three (3) Units Hogstel Project (Maasin City, Malitbog &amp; Padre Burgos), Brgy. Hantag, Maasin City, Brgy. Cabul-anonan, Malitbog &amp; Brgy. Bunga, Padre Burgos, Sout</t>
  </si>
  <si>
    <t>Cluster: Swine Enterprise Development: Four (4) Units Hogstel Project (Pacific Area), Brgy. Somoje, San Juan, Brgy. Look, Anahawan, Brgy. Manalog, Hinunangan &amp; Brgy. Ambao, Hinundayan, Southern Leyte</t>
  </si>
  <si>
    <t>Concreting of Road at Zone 6, Tumaga, Zamboanga City</t>
  </si>
  <si>
    <t>Procurement of CY 2020 PAS-ICT Requirements</t>
  </si>
  <si>
    <t>Procurement of CY 2020 OASPP-FOCIS ICT Requirements</t>
  </si>
  <si>
    <t>PURCHASE OF MINI ELECTRIC VEHICLES FOR THE OFFICIAL USE OF THE CITY OF DASMARIÑAS</t>
  </si>
  <si>
    <t>P.R No. 20-07-0761: GASOLINE &amp; DIESEL</t>
  </si>
  <si>
    <t>Printing and Delivery of Self-Learning Modules for DepED-Division of Lapu-Lapu City</t>
  </si>
  <si>
    <t>20GD0113 - BASIC EDUCATIONAL FACILITIES FUND (BEFF) CONSTRUCTION OF ELEMENTARY AND SECONDARY CLASSROOMS – CONSTRUCTION OF 2STY4CL, TANZA ES, ROXAS CITY, CAPIZ</t>
  </si>
  <si>
    <t>Repair/Rehabilitation of fence at Bansud Provincial Jail at Pag-asa, Bansud, Or. Mindoro</t>
  </si>
  <si>
    <t>MPG-B1-2020-344 - SUPPLY AND DELIVERY OF BRAND NEW 46,026 PAIRS ARMY COMBAT BOOTS, SUEDE, FIELD USE AND 24,400 PAIRS ARMY COMBAT BOOTS, SUEDE URBAN  USE FOR THE PHILIPPINE ARMY (PA)</t>
  </si>
  <si>
    <t>Cluster: Swine Enterprise Development: Three (3) Units Hogstel Project (Sogod Bay Area), Brgy. Bugasong, Libagon, Brgy. Buenavista, Bontoc &amp; Brgy. Bogo, Tomas Oppus, Southern Leyte</t>
  </si>
  <si>
    <t>Procurement of brandnew vehicle for Disaster Response use.</t>
  </si>
  <si>
    <t>ROAD CONCRETING (CONCRETE PAVING),  BRGY. DEL CARMEN, DULAG LEYTE</t>
  </si>
  <si>
    <t>CONSTRUCTION OF MAUI POTABLE WATER SYSTEM (LEVEL II)</t>
  </si>
  <si>
    <t>SUPPLY &amp; DELIVERY OF VARIOUS ELECTRICAL SUPPLIES FOR 315KW FG WILSON PERKINS, MODEL NO. 2506A-E15TAG3, SERIAL NO. MGDF7150U10595A; 163KW DALE PERKINS, MODEL N0.: 2006 TGI, SERIAL NO. 45; &amp; 150KW CUMMI</t>
  </si>
  <si>
    <t>HO-PIB20-007 (PB2) - Design, Supply, Delivery, Test and Commissioning of Two (2) Units of 5MW Power Barge at Mooring Facility, Bo. Obrero, Iloilo City</t>
  </si>
  <si>
    <t>SUPPLY &amp; DELIVERY OF VARIOUS ELECTRICAL SPARE PARTS INTENDED FOR TAGAPUL-AN DPP</t>
  </si>
  <si>
    <t>Construction of Proposed Residual Containment Area</t>
  </si>
  <si>
    <t>ITB:Supply of Labor &amp; Materials For the Construction of Level II Potable Water System at Brgy. Carsuche Taal Batangas (cb-infra-2020-09)</t>
  </si>
  <si>
    <t>Supply and Delivery of Information Equipment, Communication Equipment, Technical/Scientific Equipment, Furnitures and Fixtures.</t>
  </si>
  <si>
    <t>Purchase of Office Supplies and Equipment for Lala Districts Office</t>
  </si>
  <si>
    <t>20GD0112 - BASIC EDUCATIONAL FACILITIES FUND (BEFF) CONSTRUCTION OF ELEMENTARY AND SECONDARY CLASSROOMS – CONSTRUCTION OF 2STY4CL, WEST VILLAFLORES ES, MA-AYON, CAPIZ</t>
  </si>
  <si>
    <t>SJADS GOODS 20-13: PROCUREMENT OF IT EQUIPMENT (SEF)</t>
  </si>
  <si>
    <t>Supply, Delivery, Installation and Commissioning of CCTV Surveillance Monitoring (Phase II)</t>
  </si>
  <si>
    <t>Supply, Delivery and Installation of 1 lot Internet Subscription of Bukidnon State University (re-bidding)</t>
  </si>
  <si>
    <t>Provision of New Drainage System</t>
  </si>
  <si>
    <t>ITB:Supply of Labor &amp; Materials For the Proposed Site Development of the Evacuation Center located at Brgy. Carsuche Taal Batangas                                                             (cb-infra</t>
  </si>
  <si>
    <t>Publication in Newspapers of Municipal Ordinances (Municipal Revenue Code and Zoning Ordinance)</t>
  </si>
  <si>
    <t>B-047-2020 SUPPLY AND DELIVERY OF 1 LOT VARIOUS OFFICE SUPPLIES</t>
  </si>
  <si>
    <t>20FN0109 Construction of One (1) Storey Three (3) Classroom and One (1) Storey Two (2) Classroom School Building, Iraya High School, Buhi, Camarines Sur</t>
  </si>
  <si>
    <t>20HL0113 - Concreting of Brgy. Malaunay to Brgy. Doddob Farm-to-Market Road (FMR), Brgy. Malaunay and Brgy. Dobdob, Valencia, Negros Oriental</t>
  </si>
  <si>
    <t>MA-A2M20-003..REHAB OF GANTRY CRANE, AGUS 1 HE PLANT</t>
  </si>
  <si>
    <t>ITB No. 20-056 Supply and Delivery of Various Laboratory Reagents and Supplies  (Line Bidding)</t>
  </si>
  <si>
    <t>MG-A5C20-002..SUBMERSIBLE PUMP FOR POTABLE WATER, AGUS 4 HE PLANT</t>
  </si>
  <si>
    <t>MG-TSE20-031..SUPPLY, DELIVERY &amp; INST. OF ELECT'L. DIST. PANEL, CIRCUIT BREAKER ,TOOLS &amp; EQPT. FOR HIGH VOLTAGE REPAIR</t>
  </si>
  <si>
    <t>Procurement of Bond Paper in Preparation for the Re-production of Modules for Learning Continuity Plan</t>
  </si>
  <si>
    <t>MG-A7C20-027..FILTER, GOVERNOR, UNITS 3, 4 &amp; 5 FOR AGUS 6 HEP</t>
  </si>
  <si>
    <t>SUPPLY AND DELIVERY OF MEDICAL SUPPLIES AND EQUIPMENT AND LABORATORY SUPPLIES</t>
  </si>
  <si>
    <t>Rehabilitation of Carmen Central ES Multi-Purpose Hall/Building</t>
  </si>
  <si>
    <t>Completion of Slaughter House</t>
  </si>
  <si>
    <t>Construction of River Flood Control</t>
  </si>
  <si>
    <t>S1-LIN20-006 - SUPPLY AND DELIVERY OF MATERIALS AND SUPLIES FOR OPERATION AND MAINTENANCE USE.</t>
  </si>
  <si>
    <t>Concreting  of 0.200 km junction national highway  to Sitio Tapon (Via Mat-i NHS)</t>
  </si>
  <si>
    <t>MA-A2H20-019..TRANSDUCER, KW MULTI PROGRAMMABLE TRANSDUCER, AGUS 1 HE PLANT</t>
  </si>
  <si>
    <t>MG-A5M20-071..RE-TUBING OF 7 SETS AIR COOLER, AGUS 4 HE PLANT</t>
  </si>
  <si>
    <t>SUPPLY AND DELIVERY OF VARIOUS MATERIALS, FUEL AND OIL FOR GRAVELLING OF BARANGAY ROADS</t>
  </si>
  <si>
    <t>Construction of Riverbank protection (flood Control ) Phase II</t>
  </si>
  <si>
    <t>Concreting  of 1 km. junction  Panampawan  to Madaguing  FMR</t>
  </si>
  <si>
    <t>REHABILITATION OF BARANGAY ROAD</t>
  </si>
  <si>
    <t>Procurement of ICT Related Equipment and Peripherals, Furniture and Electronic Learning Materials for Flexible/Alternative Mode of Teaching and Learning</t>
  </si>
  <si>
    <t>CONCRETING OF ACCESS ROAD, PUROK 3 JUSTINIANA, DINAGAT</t>
  </si>
  <si>
    <t>Rehabilitation of Barangay Road (Guintuloan)</t>
  </si>
  <si>
    <t>Supply and Delivery of Modular Tent for the City Government of Balanga, Bataan</t>
  </si>
  <si>
    <t>CONSTRUCTION OF 2-STOREY TOURISM INN</t>
  </si>
  <si>
    <t>Construction of Bridge and Stair (Connecting DBP/Market Mall to Building H) at Public Market, Brgy. San Pedro Tumauini, Isabela</t>
  </si>
  <si>
    <t>Supply and Delivery of Supplies for Rabies Prevention and Control Program of the City Government of Balanga, Bataan</t>
  </si>
  <si>
    <t>Construction of Drainage Canal for Various Barangays (Re-Bid)</t>
  </si>
  <si>
    <t>Construction of 1STY 2CL with toilet, Banawe Elementary School, Pamplona, Negros Oriental</t>
  </si>
  <si>
    <t>Expansion of Pot. Water Supply System (Maasin)</t>
  </si>
  <si>
    <t>20L00174 : Construction of Sumlog Parallel Bridge (Substructure Only) Along Pres. Diosdado P. Macapagal Natl Hi-way, Davao Oriental</t>
  </si>
  <si>
    <t>Construction of Public Cemetery Comfort Room</t>
  </si>
  <si>
    <t>OFFICE SUPPPLIES</t>
  </si>
  <si>
    <t>Provision of Potable Water Supply, Apolong, Valencia, Negros Oriental</t>
  </si>
  <si>
    <t>Construction of Senior Citizen Building Poblacion, Getafe Bohol</t>
  </si>
  <si>
    <t>Expansion of Pot. Water Supply System (Calaocan)</t>
  </si>
  <si>
    <t>Procurement of Feeds for Bangos Production</t>
  </si>
  <si>
    <t>CONCRETING OF ACCESS ROAD, CONALES STREET, MABINI, TUBAJON</t>
  </si>
  <si>
    <t>PROCUREMENT OF WELL-MILLED RICE &amp; GROCERY ITEMS FOR STOCKPILING TO BE USED DURING DISASTER OPERATIONS</t>
  </si>
  <si>
    <t>Expansion of Pot. Water Supply System (Bonifacio)</t>
  </si>
  <si>
    <t>ITB No. 20-074   RE-BIDDING OF ONE (1) LOT SUPPLY AND DELIVERY OF LABOR, TOOLS, MATERIALS, CONSUMABLES, SUPERVISION AND TECHNICAL EXPERTISE FOR THE INSTALLATION, TESTING AND COMMISSIONING OF ONE (1) U</t>
  </si>
  <si>
    <t>Supply and Delivery of Goods under Supplementary Feeding Program of the Department of Social Welfare and Development – National Capital Region (DSWD-NCR) (ITB 20-08-13,SFP)</t>
  </si>
  <si>
    <t>CONSTRUCTION/ WIDENING OF BARANGAY ROAD (PHASE 2), BRGY. BIOSO, ZUMARRAGA, SAMAR</t>
  </si>
  <si>
    <t>PROCUREMENT OF IT EQUIPMENT FOR USE AT SB OFFICE &amp; MSWDO</t>
  </si>
  <si>
    <t>SUPPLY AND DELIVERY OF DIGITAL DUPLICATOR MACHINES WITH ADDITIONAL INK AND MASTER ROLL, SEF, SFADS</t>
  </si>
  <si>
    <t>IMPROVEMENT OF TREASURY OFFICE</t>
  </si>
  <si>
    <t>Purchase of Goods/Materials for Improvement and Rehabilitation of Material Recovery Facility (Negotiated Procurement)</t>
  </si>
  <si>
    <t>Supply &amp; Delivery of Construction Materials for the Construction of 13 Units Core Shelter</t>
  </si>
  <si>
    <t>Various Materials -Architectural, Roof, Painting &amp; Electrical Work Use for Const. of New LGU Main Building</t>
  </si>
  <si>
    <t>CDH-20-0824-B OFFICE EQUIPMENT</t>
  </si>
  <si>
    <t>Construction of Concrete Canal</t>
  </si>
  <si>
    <t>SUPPLY AND DELIVERY OF BOND PAPERS FOR THE REPRODUCTION OF MODULES</t>
  </si>
  <si>
    <t>“LOCAL ACCESS ROAD: UPGRADING (GRAVEL TO PAVED) OF BARANGAY LAMARE ROAD (Sta 0+960 – Sta 2+020)”</t>
  </si>
  <si>
    <t>PURCHASE OF 2 UNITS DIGITAL DUPLICATOR</t>
  </si>
  <si>
    <t>Contract Package for the Construction of Lubnac Diversion Dam, Barangay Lubnac, Tagudin, Ilocos Sur</t>
  </si>
  <si>
    <t>Construction of Two Storey Four Classroom School Building at Cambagahan National High School, Bais City</t>
  </si>
  <si>
    <t>Procurement / Acquisition of Portable Weigh-In-Motion (WIM) Axle Weigher set for MMIIDEO ATOME Operation, Roxas Boulevard, Parañaque City.</t>
  </si>
  <si>
    <t>LOT Procurement of GROCERY GOODS in Support to Individuals Under the Enhanced Community Quarantine due to COVID-19 per Presidential Proclamation 929 and as Adapted by the Provincial Government of Dava</t>
  </si>
  <si>
    <t>Cont. Ref. No. 103-20: Rehabilitation of Bagueng Penged  CIS at Tinongdan, Itogon, Benguet</t>
  </si>
  <si>
    <t>Concreting of Barangay Road (portion) Barangay Guadalupe, Libacao, Aklan</t>
  </si>
  <si>
    <t>PROCUREMENT OF LABORATORY EQUIPMENT</t>
  </si>
  <si>
    <t>CONCRETING OF BARANGAY STREET, Brgy. Boco, Can-avid Eastern Samar</t>
  </si>
  <si>
    <t>Repair/Rehabilitation of Dagupan City Post Office, Dagupan City,  Pangasinan</t>
  </si>
  <si>
    <t>Supply and Delivery of 20 units Fiber-Reinforced Plastic Boat (9.35m) with 12 HP Diesel Marine Engine (Re-Bidding)</t>
  </si>
  <si>
    <t>Procurement of Three (3) Units Mechanical Ventilator</t>
  </si>
  <si>
    <t xml:space="preserve">Procurement of Laboratory Equipment (1 Unit Fully Automated Microbial Identification and Sensitivity Analyzer, 1 Unit Fully Automated Chemistry Analyzer &amp; 1 Unit Fully Automated/Automatic Immunoassay </t>
  </si>
  <si>
    <t>furnishing of materials for the regravelling of farm to market road</t>
  </si>
  <si>
    <t>Cont. Ref. No. 104-20: Concreting to Monterrazas – Baguio Gold Barangay road – Tuding at Barangay Tuding, Itogon, Benguet</t>
  </si>
  <si>
    <t>CONSTRUCTION OF MULTI-PURPOSE COVERED COURT, PANGLIT ELEMENTARY SCHOOL</t>
  </si>
  <si>
    <t>Supply and Delivery of Office Equipment for MPDC</t>
  </si>
  <si>
    <t>Supply and Delivery of 3 Units Digital Duplicator (RISOGRAPH MACHINE)</t>
  </si>
  <si>
    <t>Procurement of One Unit Brand New Ambulance (Pick Up) not Availavle in DBM-PS</t>
  </si>
  <si>
    <t>Construction of 1STY 2CL with toilet, Pilipigan Lnd. PIS, Tanjay, Negros Oriental</t>
  </si>
  <si>
    <t>SUPPLY AND DELIVERY OF SEVEN (7) UNITS DIGITAL PRINTING/DUPLICATING  MACHINE FOR VARIOUS COLLEGES (FOR  INSTRUCTIONAL DELIVERY VIA FLEXIBLE  LEARNING MODALITIES)</t>
  </si>
  <si>
    <t>CONSTRUCTION OF BAUNGON MUNICIPAL HALL @ BAUNGON, BUKIDNON</t>
  </si>
  <si>
    <t>CONSTRUCTION OF COMFORT ROOMS AT PSAU GATE 2</t>
  </si>
  <si>
    <t>SUPPLY AND DELIVERY OF ONE (1) SET  PRINTING PRESS SET-UP</t>
  </si>
  <si>
    <t>Construction of Water Tank Concrete Pedestal (One Job), Brgy. Buri, Lambunao, Iloilo</t>
  </si>
  <si>
    <t>CONCRETE PAVING OF CORPUZ ROAD (CONMTINUATION), BRGY. BAYAMBANG, INFANTA, PANGASINAN</t>
  </si>
  <si>
    <t>CW-ALPIP-01-2020/ ALFONSO LISTA PIP</t>
  </si>
  <si>
    <t>CW-ALPIP-04-2020/ ALFONSO LISTA PIP</t>
  </si>
  <si>
    <t>SUPPLY &amp; DELIVERY OF MATERIALS FOR THE CONSTRUCTION OFCOVER DRAINAGE CANAL @ PUROK 1, BRGY. BAYAMBANG, INFANTA, PANGASINAN</t>
  </si>
  <si>
    <t>PROVISION OF SIXTY NINE (69) SETS TABLE FOR AMBULANT VENDORS AT PUBLIC MARKET</t>
  </si>
  <si>
    <t>SUPPLY AND DELIVERY OF LIVESTOCK AND POULTRY FOR REHABILITATION OF TD-USMAN VICTIMS</t>
  </si>
  <si>
    <t>Purchase of Medical Equipments and Supplies, Brgy. Coto, Lambunao, Iloilo</t>
  </si>
  <si>
    <t>PROCUREMENT OF ESSENTIAL MEDICINES FOR MHO/RURAL HEALTH UNIT, BASEY, SAMAR</t>
  </si>
  <si>
    <t>MDF CLUSTER 15-2020 PROJECTS AT ABIANG AND TOPDAC, ATOK, BENGUET</t>
  </si>
  <si>
    <t>PB 2020-32 (GOODS) Procurement of BIR Minor Forms for the Calendar Year 2020  (1 Lot)</t>
  </si>
  <si>
    <t>Supply, Delivery, Installation and Commissioning of Various Medical Equipment (2nd Semester)</t>
  </si>
  <si>
    <t>Design and Build of 3-storey Administration Building with Meeting Halls in SPAMAST Malita, Davao Occidental 2nd Posting</t>
  </si>
  <si>
    <t>Improvement of NHJ-Bitaugan-Maputi Road (Phase I) at Brgy. Bitaugan &amp; Brgy. Maputi, San Isidro,  Davao Oriental</t>
  </si>
  <si>
    <t>Proposed Covered Driveway and Walkway/OPD &amp; Emergency Triage Area</t>
  </si>
  <si>
    <t>PROVISIONOF ASSISTIVE DEVICE FOR PDWS</t>
  </si>
  <si>
    <t>Construction of 2 Storey 4 Classroom School Building at Taclobo NHS, Dumaguete City, Negros Oriental</t>
  </si>
  <si>
    <t>SUPPLY AND DELIVERY OF 3 UNITS HIGH-SPEED PRINTER/DIGITAL DUPLICATOR.</t>
  </si>
  <si>
    <t>PURCHASE AND DELIVERY OF MULTI-PURPOSE RESCUE VEHICLE FOR OFFICIAL USE OF THE MUNICIPAL RISK REDUCTION AND MANAGEMENT OFFICE ------Php 3,500,000.00</t>
  </si>
  <si>
    <t>CONSTRUCTION OF 52 METERS CATWALK SHED</t>
  </si>
  <si>
    <t>Supply &amp; Delivery of 12 units Cultivator for Agri-infra support for Rice Production to selected Farmers Association (OCAS).</t>
  </si>
  <si>
    <t>COMPLETION OF PROVINCIAL GARAGE</t>
  </si>
  <si>
    <t>Purchase of 1 unit Suzuki FB Scrum Type (RE/CE)</t>
  </si>
  <si>
    <t>HANDWASHING FACILITY</t>
  </si>
  <si>
    <t>CONSTRUCTION OF LEVEL 3 WATER SYSTEM, DOŇA HELEN, LIBJO</t>
  </si>
  <si>
    <t>Installation of Automated Weather Station</t>
  </si>
  <si>
    <t>Construction of Post-Harvest Facility at Barangay Caterman, Candon City, Ilocos Sur</t>
  </si>
  <si>
    <t>Upgrading and Improvement of Lubong-Tanggaoan-Dunglayan Road at Sta. Maria, Ilocos Sur</t>
  </si>
  <si>
    <t>Concreting of Farm-to-Market Road at Sitio Anteng, Brgy. Ambulogan, Narvacan, Ilocos Sur</t>
  </si>
  <si>
    <t>PURCHASE OF MATERIALS – CONSTRUCTION OF LINE CANAL DRAINAGE WITH REINFORCED COVER AT SAN ANTONIO STREET – BRGY. POBLACION</t>
  </si>
  <si>
    <t>Support Facilities and Equipment for the Production of Quality Corn</t>
  </si>
  <si>
    <t>Procurement of 4 units Duplicating Machine use for printing of module for Online DepEd Program</t>
  </si>
  <si>
    <t>20GFI0003 - Purchase of Materials for 3rd &amp; 4th Quarter (Maintenance Section).</t>
  </si>
  <si>
    <t>Construction of 3CL Building Phase II, Concepcion Elementary School, Barangay Concepcion, Municipality of Sto. Domingo, Nueva Ecija</t>
  </si>
  <si>
    <t>Procurement of Bangus Fingerlings &amp; Feeds Lot 2 - Feeds</t>
  </si>
  <si>
    <t>Electrification of Different Barangays, Municipality of Sto. Domingo, Nueva Ecija</t>
  </si>
  <si>
    <t>Installation of 2nd Level Deck Bleacher</t>
  </si>
  <si>
    <t>Rehabilitation of Rubberized Track Oval (Warm-up and Two(2) D-Section), Phase II, Pana-ad Park, Brgy. Mansilingan, Bacolod City, Neg. Occ./ PPS-2020-0161</t>
  </si>
  <si>
    <t>CONCRETING OF PROVINCIAL ROAD DIEGAS TO RITA GLENDA SECTION, BASILISA</t>
  </si>
  <si>
    <t>ITB No. 20-075  RE-BIDDING OF DESIGN AND BUILD OF THE PROPOSED REPLACEMENT OF THE EXISTING 34.5KV UNDERGROUND TRANSMISSION LINES INCLUSIVE OF LABOR, TOOLS, EQUIPMENT, MATERIALS, CONSUMABLES, SUPERVISI</t>
  </si>
  <si>
    <t>Upgrading and Improvement of Immayos-Saoang Road at San Juan, Ilocos Sur</t>
  </si>
  <si>
    <t>Purchase &amp; Delivery of Bond Paper for the Reproduction of Learning Modules &amp; Self-learning Kits in Support &amp; Compliance to Basic Education</t>
  </si>
  <si>
    <t>20GFO0026 - Supply and Delivery of Materials for Work Cat. 18 Traffic Services Maintenance Act. 302 Center Line and Lane Line Repainting along National Roads within 3rd District of Albay</t>
  </si>
  <si>
    <t>CONSTRUCTION OF MULTI-PURPOSE BUILDING, FERDINAND, LORETO</t>
  </si>
  <si>
    <t>Construction of Water System at ISPH-Gabriela Silang General Hospital, Tamag, Vigan City, Ilocos Sur</t>
  </si>
  <si>
    <t>Procurement of Various Seeds, Planting Materials, Fertilizers, Various Pesticides &amp; Various Merchandise Lot 4 - Various Pesticides</t>
  </si>
  <si>
    <t>Procurement of Various Seeds, Planting Materials, Fertilizers, Various Pesticides &amp; Various Merchandise Lot 1 - Various Seeds</t>
  </si>
  <si>
    <t>2020 26TH PUBLIC BIDDING: PROCUREMENT OF VARIOUS MEDICAL EQUIPMENT</t>
  </si>
  <si>
    <t>Procurement of Various Seeds, Planting Materials, Fertilizers, Various Pesticides &amp; Various Merchandise Lot 3 - Various Fertilizers</t>
  </si>
  <si>
    <t>Supply and Delivery of Public Utility Vehicle (Van)</t>
  </si>
  <si>
    <t>LANDSCAPING WORKS (front Municipal Hall, Plaza, Rizal Park)</t>
  </si>
  <si>
    <t>DELIVERY OF MATERIALS FOR THE INSTALLATION OF PARALLEL MAIN WATERLINE PIPES</t>
  </si>
  <si>
    <t>PROCUREMENT OF GARBAGE COMPACTOR</t>
  </si>
  <si>
    <t>Procurement of Bangus Fingerlings &amp; Feeds Lot 1 - Bangus Fingerlings</t>
  </si>
  <si>
    <t>Procurement of Various Seeds, Planting Materials, Fertilizers, Various Pesticides &amp; Various Merchandise Lot 2 - Planting Materials</t>
  </si>
  <si>
    <t>AMP SVP-D NO: 20-08-0378C:  Copy Paper</t>
  </si>
  <si>
    <t>Supply and Delivery of Various Medical Supplies for PRDP-NPCO (PRAS No. 2020-069 &amp; SH-027-2020)</t>
  </si>
  <si>
    <t>Supply and Delivery of Medical Equipments for Veterinary Services (Biological Refrigerator – Dry Heat Sterilizer Stainless)</t>
  </si>
  <si>
    <t>Procurement of Grafted Jackfruit, Various Commercial Fertilizers and Agricultural Supplies Lot 3 - Various Agricultural Supplies</t>
  </si>
  <si>
    <t>Supply and Delivery of Various Laboratory Equipment for Ospital ng Makati (6 Lots)</t>
  </si>
  <si>
    <t>Supply and Delivery of Materials use for Construction/Rehab. of Local Roads.</t>
  </si>
  <si>
    <t>Supply and Delivery of Medical Equipment for Autopsy</t>
  </si>
  <si>
    <t>SUPPLY, DELIVERY,WIRING AND COMMISSIONING OF DIESEL GENERATOR FOR THE NEW MUNICIPAL BUILDING</t>
  </si>
  <si>
    <t>Construction of Covered Court /Quinabigan High School, Brgy. Quinabigan</t>
  </si>
  <si>
    <t>Supply and Delivery of Diesel Fuel use for Construction/Rehab. of Local Roads.</t>
  </si>
  <si>
    <t>DELIVERY OF COVID 19 USE MEDICINE FOR RHU-1</t>
  </si>
  <si>
    <t>Retrofitting of Lorenzo D. Zayco District Hospital, Kabankalan City, Neg. Occ./PEO-2020-1327</t>
  </si>
  <si>
    <t>One (1) Lot Hiring of Professional Webinar Manager for the Conduct of Bangko Sentral ng Pilipinas’ (BSP) Financial Education Stakeholders Expo on 23 to 27 November 2020, as per BSP Terms of Reference</t>
  </si>
  <si>
    <t>Cloud Server Setup and Hosting with Local backup HCI and Server with Pre-Installed HCI for UMAK Learning Management System (LMS)</t>
  </si>
  <si>
    <t>ADDITIONAL SUPPLIES FOR PRINTING OF MODULES</t>
  </si>
  <si>
    <t>Supply and Delivery of Adult Emergency and Transport Stretcher Beds</t>
  </si>
  <si>
    <t>Procurement of Grafted Jackfruit, Various Commercial Fertilizers and Agricultural Supplies Lot 2 - Various Commercial Fertilizers</t>
  </si>
  <si>
    <t>Construction of Solar-Powered Street Light</t>
  </si>
  <si>
    <t>PURCHASE OF MATERIALS – CONSTRUCTION OF SHORELINE PROTECTION – BRGY. POBLACION</t>
  </si>
  <si>
    <t>Negotiated Procurement</t>
  </si>
  <si>
    <t>20GCH0023: Purchase of Office Supplies and Materials (For Use in the Planning &amp; Design Section) DPWH-Pampanga 2nd DEO, San Antonio, Guagua, Pampanga</t>
  </si>
  <si>
    <t>PURCHASE OF GARBAGE COMPACTOR</t>
  </si>
  <si>
    <t>Procurement of Grafted Jackfruit, Various Commercial Fertilizers and Agricultural Supplies Lot 1 - Grafted Jackfruit</t>
  </si>
  <si>
    <t>Procurement of Various Seeds, Planting Materials, Fertilizers, Various Pesticides &amp; Various Merchandise Lot 5 - Various Merchandise</t>
  </si>
  <si>
    <t>SUPPLY AND DELIVERY OF 10 UNITS (1 HP) WINDOW TYPE AIR CONDITIONER.</t>
  </si>
  <si>
    <t>Conduct of Subsurface Exploration/Preliminary Detailed Engineering for FY 2021 Regular Infrastructure, Mabato Bridge 1, Mabato Bridge 2, Balogo Bridge, Malaiba Br. 1 (B00409nr), Alangilanan Bridge, Ma</t>
  </si>
  <si>
    <t>20CL0089 - Concreting of Galumayen Rd.,Brgy. Bangantalinga FMR,  Brgy. Bangantalinga,Iba, Zambales</t>
  </si>
  <si>
    <t>PURCHASE OF DRUGS AND MEDICINES – MHO</t>
  </si>
  <si>
    <t>DELIVERY OF MATERIALS FOR DepEd CONTINUITY LEARNING PROGRAM</t>
  </si>
  <si>
    <t>Purchase of Computer Equipment, Printer and Accessories for NEUST OFF Campus, Old Municipal Building, Barangay Malaya, Municipality of Sto. Domingo, Nueva Ecija</t>
  </si>
  <si>
    <t>Construction of Niches</t>
  </si>
  <si>
    <t>Expansion of Pot. Water Supply System (Nalubbunan)</t>
  </si>
  <si>
    <t>Upgrading and Improvement of Ora-Tay-ac Road at Bantay, Ilocos Sur</t>
  </si>
  <si>
    <t>MATERIALS FOR THE INSTALLATION OF AIRCON</t>
  </si>
  <si>
    <t>PROVISION OF FIFTEEN (15) SETS TABLE FOR AMBULANT VENDORS AT PUBLIC MARKET, POBLACION 2, PURA, TARLAC</t>
  </si>
  <si>
    <t>Supply &amp; Delivery of IT Equipment for office use at the City Engineering Services &amp; Architecture Planning &amp; Design (OCES).</t>
  </si>
  <si>
    <t>ITB 05-002-20 REBIDDING OF SUPPLY AND DELIVERY OF 2,695 HEADS OF LAYER CHICKEN (RTL) - DA SAAD IX</t>
  </si>
  <si>
    <t>Supply and delivery of 1,000 units rescue vehicles for use of various barangays and municipalities of the Province of Batangas under its Capability Building Program</t>
  </si>
  <si>
    <t>Mantenance/Repair of Manpower Development Center (Repair of CR)</t>
  </si>
  <si>
    <t>TIPPING AND HAULING OF SOLID WASTE FOR THE MUNICIPALITY OF ORANI, BATAAN</t>
  </si>
  <si>
    <t>PAINT</t>
  </si>
  <si>
    <t>Procurement of Various ICT Equipment for use of MIS Office - B-G-2020-115</t>
  </si>
  <si>
    <t>Construction of Multi-Purpose Hall at Salinungan West</t>
  </si>
  <si>
    <t>Concreting of Road at Zone 1, Tumaga, Zamboanga City</t>
  </si>
  <si>
    <t>REPAIR AND REHABILITATION OF CULVERT.</t>
  </si>
  <si>
    <t>SUPPLY AND DELIVERY OF MEDICINES AND SUPPLIES FOR LABORATORY SERVICES AND BIRTHING HOME FACILITY</t>
  </si>
  <si>
    <t>reproduction of module for 1st and 2nd quarter for SY 2020-2021</t>
  </si>
  <si>
    <t>Well drilling  150 ft. depth 10" bore hole</t>
  </si>
  <si>
    <t>Rehabilitation of Drainage Canal at Zone 4, Brgy. San Jose, San Jacinto, Pangasinan</t>
  </si>
  <si>
    <t>ROAD REBLOCKING MARKET AREA.</t>
  </si>
  <si>
    <t>Purchase of Medical, Dental and Laboratory Supplies for the use of Orani District Hospital, Bataan</t>
  </si>
  <si>
    <t>Construction of River Flood Control Phase II</t>
  </si>
  <si>
    <t>Construction of DepEd Temporary Learning Spaces (TLS)</t>
  </si>
  <si>
    <t>Procurement of Rehabilitation of the Greenhouses damaged by Typhoon Ursula, Province of Aklan/ITB no: 2020-426</t>
  </si>
  <si>
    <t>ITB 20-0078 - Supply and Delivery of 25 units Service Vehicle, Pick-up Type, Brand New.</t>
  </si>
  <si>
    <t>CONTINUATION OF CONSTRUCTION/ IMPROVEMENT OF AGKHUYO RIVER FLOOD CONTROL</t>
  </si>
  <si>
    <t>CONSTRUCTION OF PERIMETER FENCE AT CENTRAL MRF</t>
  </si>
  <si>
    <t>CY 2020 BEFF ELECTRIFICATION - NAVAL CS</t>
  </si>
  <si>
    <t>CONCRETING OF RUPAGAN-PAGAYAWAN PROVINCIAL ROAD Sta. 1+778.63 -Sta. 3+770.00</t>
  </si>
  <si>
    <t>20BD0139 - CONSTRUCTION OF TWO (2) STOREY SIX (6) CLASSROOM, LIBAG ELEMENTARY SCHOOL, TUGUEGARAO CITY</t>
  </si>
  <si>
    <t>Concreting of Liangan-Camp I-Mahayahay Provincial Road</t>
  </si>
  <si>
    <t>20-014 Bidding of Supply and Delivery of Grocery Items for Stockpile</t>
  </si>
  <si>
    <t>Procurement of Various Supplies and Construction Materials Intended for Grants and Donations</t>
  </si>
  <si>
    <t>Supply and Delivery of Thermal Scanners and Megger Testers</t>
  </si>
  <si>
    <t>INSTALLATION OF SOLAR LIGHTS</t>
  </si>
  <si>
    <t>Procurement of One Unit Brand New Motor Vehicle for the Municipal Vice Mayor's Office</t>
  </si>
  <si>
    <t>Purchase and Delivery of Supplies for Livestock and Poultry Raising Multiplier Farm Rehabilitation Program</t>
  </si>
  <si>
    <t>Purchase of Drugs and Medicines for the use of JCPJMH, Bataan</t>
  </si>
  <si>
    <t>Water Source Drilling at QPMC</t>
  </si>
  <si>
    <t>Procurement and Delivery of Materials for the Concreting of Roads</t>
  </si>
  <si>
    <t>Procurement of one unit Mini-Ambulance</t>
  </si>
  <si>
    <t>Supply and delivery of one (1) unit pick-up type vehicle for Engineering Office</t>
  </si>
  <si>
    <t>Procurement of Water Testing Reagent and Disinfectant,  IB No. SB-2020-029</t>
  </si>
  <si>
    <t>20BD0138 - CONSTRUCTION OF FOUR (4) STOREY, TWELVE (12) CLASSROOMS (WITH 4 REGULAR CLASSROOMS, 2 SCIENCE LABS AND 2 ICT LABS) LINAO NATIONAL HIGH SCHOOL, TUGUEGARAO CITY, CAGAYAN</t>
  </si>
  <si>
    <t>(20NH0094)Concreting of Brgy. Bitaugan East FMR, Brgy. Bitaugan East, Cagwait, Surigao del Sur</t>
  </si>
  <si>
    <t>PW-2020-10</t>
  </si>
  <si>
    <t>CONSTRUCTION OF ISOLATION BUILDING @ BURGOS, ISABELA</t>
  </si>
  <si>
    <t>Concreting of Resettlement Center to Sitio Pasbul, Brgy. Camias FMR, Brgy. Camias Porac, Pampanga</t>
  </si>
  <si>
    <t>Medical and other Laboratory Supplies (FaceMask)</t>
  </si>
  <si>
    <t>Supply and Delivery of Medical Supplies (Implantable Access Port System – Power Injectable Safety Non-Coring Needle) through Ordering Agreement</t>
  </si>
  <si>
    <t>Construction of Promenade</t>
  </si>
  <si>
    <t>Supply and Delivery of Medical Supplies (Helix Test 5.3-MIS Detergent) through Ordering Agreement</t>
  </si>
  <si>
    <t>Construction of One (1) Storey Four (4) Classroom Sagay CS</t>
  </si>
  <si>
    <t>FURNISHING OF LABOR, MATERIALS AND EQUIPMENT RENTALS FOR THE CORE LOCAL ACCESS ROAD (SUPA-CANSILAYAN CIRCUMFERENCIAL ROAD) AT BRGY. SUPA-CANSILAYAN, TIGBAUAN, ILOILO.</t>
  </si>
  <si>
    <t>Construction of Sanitary Landfill (Phase II) Brgy. Maningcol</t>
  </si>
  <si>
    <t>ITB No. (INF) 2020-08-115 CONSTRUCTION OF MULTI-PURPOSE BUILDING (PHASE I), Brgy. Palamrag, Mercedes, Eastern Samar</t>
  </si>
  <si>
    <t>Venue Rental (without aircon) &amp; Catering Services for Refresher Course on the implementation of the Early Childhood Care &amp; Development Program (CSWDO).</t>
  </si>
  <si>
    <t>“CONSTRUCTION OF ISOLATION BUILDING/QUARANTINE AREA IN PAG-ASA ISLAND”</t>
  </si>
  <si>
    <t>PROCUREMENT OF OFFICE SUPPLIES (RHU)</t>
  </si>
  <si>
    <t>HAULING OF RESIDUAL WASTE (Including loading cost and tipping fee)</t>
  </si>
  <si>
    <t>Purchase of Drugs and Medicines for the use of Bagac Community and Medicare Hospital, Bataan</t>
  </si>
  <si>
    <t>Purchase of Drugs and Medicines for the use of Orani District Hospital, Bataan</t>
  </si>
  <si>
    <t xml:space="preserve">19GG00099- Procurement of Weighbridge Equipment and for the Installation of Permanent Weighing Machines in Region VI at ATOME- Negros Occidental including Sanitation Facilities for use of Maintenance </t>
  </si>
  <si>
    <t>Purchase of Drugs and Medicines for the use of Mariveles District Hospital, Bataan</t>
  </si>
  <si>
    <t>Chicken Meat Production for Food Sufficiency amidst the threat of Covid-19 Pandemic</t>
  </si>
  <si>
    <t>Construction of Leachate Treatment Facility for the Garbage open Dumpsite in Brgy. Bonbonon, Iliga City</t>
  </si>
  <si>
    <t>Supply &amp; Delivery of Educational Materials &amp; Supplies for Brigada Eskwela 2020 (CMO).</t>
  </si>
  <si>
    <t>Supply and Delivery of Various Office Equipment and Supplies for Various Departments/Offices of City Government of Makati</t>
  </si>
  <si>
    <t>Procurement of Laboratory Supplies for TB Infection Control, IB No. SB-2020-032</t>
  </si>
  <si>
    <t>ITB No. (INF) 2020-08-114 RENOVATION OF QUINAPONDAN COMMUNITY HOSPITAL, Quinapondan, Eastern Samar</t>
  </si>
  <si>
    <t>Concreting of Purok 1, Brgy. Palat FMR, Brgy. Palat  Porac, Pampanga</t>
  </si>
  <si>
    <t>PR NO. MG-CEN20-003, TONER &amp; 2 OTHER ITEMS</t>
  </si>
  <si>
    <t>Procurement of Various Information Technology Equipment &amp; Construction Supplies Lot 2 - Various Construction Materials</t>
  </si>
  <si>
    <t>Improvement of Hostel A at QWC</t>
  </si>
  <si>
    <t>Procurement of Electro-Mechanical, Piping Distribution,Electrical,Water Treatment Facilities and Civil Works for the Construction of San Roque Pumping Station</t>
  </si>
  <si>
    <t>Construction of ASCOM Facilities at Camp Aquino, Tarlac for the Bases Conversion and Development Authority | PB No. 20-022-3</t>
  </si>
  <si>
    <t>Construction of 10,000 Gals. Elevated Water Tank for Dialysis at QPMC</t>
  </si>
  <si>
    <t>Contract ID Number 20FD0074 REPAIR/MAINTENANCE  OF FLOOD CONTROL/ DRAINAGE STRUCTURES , BRGY. PANAYTAYAN, RAGAY, CAMARINES SUR</t>
  </si>
  <si>
    <t>Barangay Development Projects 20% Development Funds (Manpower Development ,Water Supply System &amp; Evacuation Center )</t>
  </si>
  <si>
    <t>PROCUREMENT OF HANDHELD RADIO</t>
  </si>
  <si>
    <t>Procurement of Computer Sets</t>
  </si>
  <si>
    <t>20B00064: Organizational Outcome 1: Ensure Safe and Reliable National Road System: Network Development: Construction of Bypass and Diversion Roads: Alicia-Angadanan-San Guillermo-Cauayan City-Naguilia</t>
  </si>
  <si>
    <t>SUPPLY AND DELIVERY OF 909 SACKS COMMERCIAL RICE</t>
  </si>
  <si>
    <t>Installation of 10,000 Gallons Capacity Stainless Water Tank and Main Pipelines for Public Grandstand, VIP Grandstand and other Facilities @ QPSTC</t>
  </si>
  <si>
    <t>Proccurement of Submersible Water Pump and Its Accessories</t>
  </si>
  <si>
    <t>INVITATION TO BID FOR THE  SUPPLY AND DELIVERY  OF VARIOUS GENERATOR SETS -PR#12257,12268,12274,12278</t>
  </si>
  <si>
    <t>Negotiated Procurement – (Two Failed Biddings) for the Consulting Services for the Review and Updating of the Study on the Fluctuation Factors (Ks) and Parametric Formula under the Revised Contract Pr</t>
  </si>
  <si>
    <t>ITB NO. (GDS.) 2020-08-020 PROCUREMENT OF MEDICAL SUPPLIES, Province of Eastern Samar</t>
  </si>
  <si>
    <t>Procurement of Drugs and Medicines,  IB No. SB-2020-034</t>
  </si>
  <si>
    <t>Agricultural and Forestry Equipment</t>
  </si>
  <si>
    <t>Supply of labor and materials in the Construction of Conference Room, Roof Deck, TBI Building</t>
  </si>
  <si>
    <t>PURCHASE OF PROJECTOR</t>
  </si>
  <si>
    <t>Concreting of Front Yard at LTO</t>
  </si>
  <si>
    <t>IMPROVEMENT OF BARANGAY WHARF AT BARANGAY PACAO, VILLAREAL, SAMAR</t>
  </si>
  <si>
    <t>Procurement of Hospital Equipment,  IB No. SB-2020-036</t>
  </si>
  <si>
    <t>Procurement of, Digital Duplicator, Ink &amp; Supplies for Public Schools Elementary &amp; Secondary of Pinamalayan East &amp; Weast</t>
  </si>
  <si>
    <t>Construction of Daycare Center Taytay</t>
  </si>
  <si>
    <t>Concreting of Municipal Road in Sitio  Libis</t>
  </si>
  <si>
    <t>Ecological Solid Waste Program (Construction of Structure for Equipment and Special Waste)</t>
  </si>
  <si>
    <t>PPO-19-1873-B (REBID)</t>
  </si>
  <si>
    <t>PROCUREMENT OF PHOTO COPIER</t>
  </si>
  <si>
    <t>REPAIR/IMPROVEMENT OF WAITING SHED AT BRGY SAN ANDRES, VILLAREAL, SAMAR</t>
  </si>
  <si>
    <t>INFRA PROJECT AUGUST 27, 2020</t>
  </si>
  <si>
    <t>PR NO. MG-RDW20-019, SCANNER/ PRINTER</t>
  </si>
  <si>
    <t>S1-END20-003 - SUPPLY AND DELIVERY OF MATERIALS, SUPPLIES FOR OFFICE EQUIPMENTS USE.</t>
  </si>
  <si>
    <t>Construction of 2 Storey 4 Classroom School Building at Escaguit Elementary School, Sibulan, Negros Oriental</t>
  </si>
  <si>
    <t>Spillway Construction at Brgy. Canlinte</t>
  </si>
  <si>
    <t>Procurement of Drugs and Medicines for Botika ng Bayan,  IB No. SB-2020-035</t>
  </si>
  <si>
    <t>PR NO. MG-IPP20-005, CABINET FILING</t>
  </si>
  <si>
    <t>Procurement of Lubricated Male Condoms IB No. SB-2020-033</t>
  </si>
  <si>
    <t>PR NO. MG-TSE20-005, INK (3 ITEMS)</t>
  </si>
  <si>
    <t>CONCRETING OF MAIGO-MENTRING-INOMA PROVINCIAL ROAD Sta. 5+237.00 -Sta. 6+007.40; Sta. 6+914.24 – Sta. 10+470.00</t>
  </si>
  <si>
    <t>PR NO. MG-IPP20-002, FUSER ASSEMBLY &amp; 3 OTHER ITEMS</t>
  </si>
  <si>
    <t>Upgrading of Roads , Brgy. Panggulayan</t>
  </si>
  <si>
    <t>Construction Projects</t>
  </si>
  <si>
    <t>Construction of Covered Court in Cacawan National High School, Brgy. Cacawan</t>
  </si>
  <si>
    <t>2020-07-1031-1032 - Supply and Delivery of Assorted Goods for SFP Implementation for the Provinces of Leyte and Southern, Leyte</t>
  </si>
  <si>
    <t>CONCRETE  PAVING OF LIBERTAD-ARABIAT ROAD</t>
  </si>
  <si>
    <t>Procurement of Various Information Technology Equipment &amp; Construction Supplies Lot 1 - Various Information Technology Equipment</t>
  </si>
  <si>
    <t>Supply, Delivery and Installation of Furnitures and Fixtures for Councilor’s Offices at 19F – 20F, Makati City Hall Building I</t>
  </si>
  <si>
    <t>Procurement of Fertilizers</t>
  </si>
  <si>
    <t>Supply and Delivery of Airconditioning Units</t>
  </si>
  <si>
    <t>Supply and delivery of Medical, Dental and Laboratory Supplies</t>
  </si>
  <si>
    <t>CONSTRUCTION OF DRAINAGE COVER AT BRGY TAYUD, VILLAREAL, SAMAR</t>
  </si>
  <si>
    <t>Completion of Comfort Room Passenger Terminal</t>
  </si>
  <si>
    <t>Pag-IBIG Fund-CHQ (PROVISION OF PEST CONTROL AND DISINFECTION SERVICES)</t>
  </si>
  <si>
    <t>Hospital/Medical Equipment for use of OMSDH/ for the Covid &amp; Non Covid patients of OMSDH</t>
  </si>
  <si>
    <t>Repair/Renovation of MSB Building and Construction of Green Park and Car Park</t>
  </si>
  <si>
    <t>Improvement of Old RHU Building</t>
  </si>
  <si>
    <t>GOODS-082620-046 - PURCHASE OF VARIOUS MATERIALS FOR VGO AND BM’S OFFICES</t>
  </si>
  <si>
    <t>Supply and delivery of Various Office Supplies</t>
  </si>
  <si>
    <t>IMPROVEMENT OF BARANGAY ROAD (ROAD CONCRETING) AT BRGY PATAG, VILLAREAL, SAMAR</t>
  </si>
  <si>
    <t>Chemicals and Chemical Products for OMPH patients use</t>
  </si>
  <si>
    <t>Construction of Drainage System at Zone 1, Tumaga, Zamboanga City</t>
  </si>
  <si>
    <t>Supply &amp; Delivery of Other Supplies</t>
  </si>
  <si>
    <t>FURNISHING OF LABOR, MATERIALS AND EQUIPMENT RENTALS FOR THE CONCRETING OF LEON-OMAMBONG-CORDOVA ROAD, TIGBAUAN, ILOILO.</t>
  </si>
  <si>
    <t>CONSTRUCTION OF CONCRETE PATHWAY AT SITIO SUNGDUAN, BRGY MAHAYAG, VILLAREAL, SAMAR</t>
  </si>
  <si>
    <t>Purchase and Delivery of Cover All and Mask Set for Front Liners</t>
  </si>
  <si>
    <t>GOODS-082620-047 - PURCHASE OF VARIOUS OFFICE AND INK SUPPLIES FOR BM’S OFFICES AND VGO</t>
  </si>
  <si>
    <t>CONSTRUCTION/IMPROVEMENT OF CONCRETE ROAD (ROAD CONCRETING) AT BARANGAY SAN RAFAEL, VILLAREAL, SAMAR</t>
  </si>
  <si>
    <t>SUPPLY, DELIVERY AND INSTALLATION OF IP RADIO FOR TELEMETERING OF ACCELEROGRAPH, WATER LEVEL AND HYDROMET SYSTEM</t>
  </si>
  <si>
    <t>20IH0109-Repair/Maintenance of DPWH Building AES-Fuel Station Northern Samar First District Engineering Office, Brgy. Macagtas, Catarman, N. Samar</t>
  </si>
  <si>
    <t>SUPPLY &amp; DELIVERY OF TRANSPORT VEHICLE (PASSENGER VAN) FOR SANGGUNIANG BAYAN OFFICE</t>
  </si>
  <si>
    <t>Construction of 2 Storey 6 Classroom School Building at Manlingay Elementary School, Mabinay, Negros Oriental</t>
  </si>
  <si>
    <t>20IH0110-Construction of Rainwater Collection System (RWCS) FY 2020, Allen, Lavezares, Catarman, Mondragon, Northern Samar</t>
  </si>
  <si>
    <t>B20200300 - MEDICAL SUPPLIES FOR HOSPITAL USE OF DDNH-IGACOS</t>
  </si>
  <si>
    <t>Supply and Delivery of Office Supplies for the Printing of Self-Learning Modules</t>
  </si>
  <si>
    <t>Information Technology Parts and Accessories &amp; Perip for OMSDH use</t>
  </si>
  <si>
    <t>Construction Materials and Supplies for use in the Improvement of Barangay Hall at Brgy. Bagumbayan, Roxas, Oriental Mindoro/ Repair of Kinder and Grade 1 Classroom at San Juan E/S, Brgy. Cantil Roxas</t>
  </si>
  <si>
    <t>20IH0108-Repair/Maintenance of DPWH Building Common Comfort Room Northern Samar First District Engineering Office Airport Village, Catarman, N. Samar</t>
  </si>
  <si>
    <t>REHABILITATION OF LAGAN FLOOD CONTROL</t>
  </si>
  <si>
    <t>Construction Materials and Supplies for use in the Construction of SSG Office at San Teodro NHS, San Teodoro, Oriental Mindoro/ Completion of Gymnasium at Ma. Estrella E/S, Tawiran, Calapan City, Orie</t>
  </si>
  <si>
    <t>ITB - Repair/Restoration of Gabaldon Building- 3 Classrooms at Don Remegio M. Limsiaco MS</t>
  </si>
  <si>
    <t>Commercial Fertilizers</t>
  </si>
  <si>
    <t>Delivery &amp; Supply of Electronics Gadgets</t>
  </si>
  <si>
    <t>20JA0094 - CONSTRUCTION OF FOUR (4) STOREY TWENTY (20) CLASSROOM SCHOOL BUILDING – PHASE 1 AT ZNHS WEST – BALIWASAN SENIOR HIGH SCHOOL, ZAMBOANGA CITY</t>
  </si>
  <si>
    <t>CONSTRUCTION/ IMPROVEMENT OF NAMATEC MULTIPURPOSE HALL</t>
  </si>
  <si>
    <t>Construction of Iligan's Best Display Center</t>
  </si>
  <si>
    <t>20CG0267 - Local Infrastructure Program: Buildings and Other Structures – Multipurpose/ Facilities – Construction of Multi-Purpose Building (Convention Center), Phase II, City of San Fernando, Pampang</t>
  </si>
  <si>
    <t>GOODS-082620-048 - INSTALLATION OF AIRCONDITIONING UNIT SYSTEM FOR BMC LABORATORY</t>
  </si>
  <si>
    <t>PRINTING AND INFORMATION AND COMMUNICATION TECHNOLOGY (ICT) EQUIPMENT FOR VARIOUS SCHOOL OF BALIWAG NORTH DISTRICT</t>
  </si>
  <si>
    <t>PPO-20-0937-B (OFFICE EQUIPMENT)</t>
  </si>
  <si>
    <t>GOODS-082620-050 - SUPPLY AND DELIVERY OF CCTV IP CAMERA SURVEILLANCE SYSTEM FOR COVID 19 ISOLATION DEPARTMENT</t>
  </si>
  <si>
    <t>Improvement of Drainage Canal and Pavement along V.V. Soliven Avenue, Brgy. Mayamot, Antipolo City</t>
  </si>
  <si>
    <t>Procurement of Furniture &amp; Fixtures (MBO)</t>
  </si>
  <si>
    <t>B20200303 - PURIFIES RABBIES VACCINE FOR PHO USE</t>
  </si>
  <si>
    <t>SVCS-082620-049 - JANITORIAL SERVICES FOR THE PERIOD OF SEPTEMBER TO DECEMBER 2020</t>
  </si>
  <si>
    <t>SUPPLY AND DELIVERY OF PRINTER</t>
  </si>
  <si>
    <t>PROCUREMENT OF DRUGS, MEDICINES AND CHEMICAL SUPPLIES FOR THE USE OF TIGBAUAN MUNICIPAL HEALTH AND BIRTHING CENTER, TIGBAUAN, ILOILO.</t>
  </si>
  <si>
    <t>B20200302 - MOTOR VEHICLES FOR DILG USE</t>
  </si>
  <si>
    <t>Procurement of Office and IT Equipment for LGA</t>
  </si>
  <si>
    <t>PROCUREMENT OF SUPPLY, DELIVERY, CONFIGURATION  AND INSTALLATION SERVICES  OF NETWORK EQUIPMENT AND INFRASTRUCTURE  FOR PSA-RSSO V OFFICE BUILDING</t>
  </si>
  <si>
    <t>Improvement of Drainage Canal and Concreting of Road at Portion of Napoleon Street  &amp; Louis Street, Edward VIII Street, Kingsville Subdivision, Barangay Mayamot &amp; Barangay Mambugan, Antipolo City</t>
  </si>
  <si>
    <t>Procurement of Bondpaper- (A4 size S-20) for the Reproduction of Self-Learning Modules for Quarter 1</t>
  </si>
  <si>
    <t>B20200305 - OVAL FLAT RING FOR SERVICE OF THE RETIREES OF PROVINCE OF DAVAO DEL NORTE</t>
  </si>
  <si>
    <t>MATERIALS FOR THE PERIMETER FENCE AND GATE</t>
  </si>
  <si>
    <t>B20200304 - IT EQUIPMENT FOR OSS USE</t>
  </si>
  <si>
    <t>20FN0110 Local Program - Building and Other Structures - Multipurpose/Facilities - Local Infrastructure Program - Construction of Multi-Purpose Covered Court at Salvacion Elementary School Compound, S</t>
  </si>
  <si>
    <t>Procurement of Ten (10) Units Laptop for Online Classes of Brgy San Lorenzo</t>
  </si>
  <si>
    <t>Rehabilitation/Improvement/Construction of Drainage System at M. Santos Extension, Barangay San Jose, Antipolo City</t>
  </si>
  <si>
    <t>20GL0095 - CONCRETING OF SUGARCANE FARM-TO-MILL ROAD, BRGY. ARANDA TO CANDUMARAO/CAMALOBALO/CALAPI, HINIGARAN, NEGROS OCCIDENTAL</t>
  </si>
  <si>
    <t>20HA0136 - CONSTRUCTION OF 1 UNIT 4STY 4LAB, BUSAO NATIONAL HIGH SCHOOL, MARIBOJOC, BOHOL</t>
  </si>
  <si>
    <t>Construction of Drainage System Phase II at Maguey Road, Brgy. San Isidro &amp; San Luis, Antipolo City</t>
  </si>
  <si>
    <t>Renovation of Barangay Health Center located at Barangay Oogong, Santa Cruz, Laguna</t>
  </si>
  <si>
    <t>Construction of Drainage System from Frederick St., Gustavos St., Michael St. Open Space (Area 7) to Creek, Kingsville Subdivision, Brgy. Mambugan, Antipolo City</t>
  </si>
  <si>
    <t>IMPROVEMENT OF MALIGCONG PROVINCIAL ROAD (FINAKKAR SECTION)</t>
  </si>
  <si>
    <t>20IH0111-Construction of 1sty4cl School Building, Veriato ES, San Isidro, Northern Samar</t>
  </si>
  <si>
    <t>Construction of Single Barrel Box Culvert along Binoog Creek across V.V. Soliven Avenue, Brgy. Mayamot, Antipolo City</t>
  </si>
  <si>
    <t>20HA0137 - CONCRETING OF BRGY. GENONOCAN FMR, BRGY. GENONOCAN, TUBGION, BOHOL</t>
  </si>
  <si>
    <t>ITB-GS-20200210-01  - Printing of Various LANDBANK Forms</t>
  </si>
  <si>
    <t>Chlorine Granules and Const Mat. For Environment</t>
  </si>
  <si>
    <t>Supply and Delivery of Office Supplies and IT Equipment for the Implementation of Learning Continuity Plan</t>
  </si>
  <si>
    <t>Construction of Stone Masonry Riverwall (Portion), Trash Trap and Box Culvert along Labahan Creek at Poseidon Street, Crestview Subdivision, Brgy. Cupang, Antipolo City</t>
  </si>
  <si>
    <t>GOODS-082620-051 - PURCHASE OF VARIOUS LABORATORY EQUIPMENT FOR BMC LABORATORY (MICRO)</t>
  </si>
  <si>
    <t>20HA0135 - CONSTRUCTION OF 4STY 24CL, TAGBILARAN CITY CENTRAL ELEMENTARY SCHOOL, TAGBILARAN CITY, BOHOL</t>
  </si>
  <si>
    <t>20GL0096 - CONCRETING OF SUGARCANE FARM-TO-MILL ROAD, CROSSING RENANTE TO HAD. MARIA ELENA, BRGY. BUENAVISTA, HIMAMAYLAN CITY, NEGROS OCCIDENTAL</t>
  </si>
  <si>
    <t>6ID SBAC-02-20     Supply and Delivery of Additional Subsistence Allowance (ASA) / Food Support Meals of Military Personnel / Security for Cotabato Airport Development Project CY-2018 (Runway Strip Gr</t>
  </si>
  <si>
    <t>B20200306 - HARDWARE MATERIALS FOR PROPOSED 1 BARREL CULVERT ALONG KAPALONG-MABANTAO-FLORIDA PROVINCIAL ROAD</t>
  </si>
  <si>
    <t>CONSTRUCTION/REHABILITATION OF ANIMAL BITE CENTER</t>
  </si>
  <si>
    <t>SUPPLY AND DELIVERY OF 5 UNITS PHOTOCOPIER</t>
  </si>
  <si>
    <t>Purchase of Nutrition Pack for Feeding Program</t>
  </si>
  <si>
    <t>CONSTRUCTION &amp; INSTALLATION OF STREETLIGHT @ BARANGAY CATOTORAN NORTE</t>
  </si>
  <si>
    <t>Completion of Covered Court</t>
  </si>
  <si>
    <t>SUPPLY, DELIVERY AND INSTALLATION OF SEEPAGE WEIR NO. 1 TELEMETERING SYSTEM</t>
  </si>
  <si>
    <t>Supply and Delivery of Office Supplies and Equipment for the Implementation of Learning Continuity Plan</t>
  </si>
  <si>
    <t>FOR INDIGENT CONSTITUENTS OF TALUSAN MUNICIPALITY</t>
  </si>
  <si>
    <t>20IH0112-Construction of 2sty4cl School Building, Generoso R. Frigillana MS, Catarman, Northern Samar</t>
  </si>
  <si>
    <t>PROCUREMENT OF OFFICE SUPPLIES, JANITORIAL AND OTHER SUPPLIES FOR THE USE OF LGU-TIGBAUAN, ILOILO.</t>
  </si>
  <si>
    <t>Reproduction of School Forms</t>
  </si>
  <si>
    <t>20GIB0041: Purchase/delivery of External Hard Drive and Office Equipment for use of RBIA and BMS Team.</t>
  </si>
  <si>
    <t>SUPPLY AND DELIVERY OF TWO (2) UNITS 6-WHEELER LIGHT DUTY TRUCK WITH REFRIGERATED VAN FOR BFAR XI CY 2020</t>
  </si>
  <si>
    <t>SUPPLY, DELIVERY AND INSTALLATION OF FIBER OPTIC CABLE FROM FGEN-TOWER TO DRD-TOWER</t>
  </si>
  <si>
    <t>20HA0138 - CONSTRUCTION OF ROAD, BRGY. TOTOLAN AND SONGCULAN, DAUIS, BOHOL</t>
  </si>
  <si>
    <t>20GFN0014 Furnishing and delivery of Materials for use in Planning and Design Section – National Road Traffic Survey Program (NRTSP) Automated Traffic Data Collection Program Field Accessories in DPWH</t>
  </si>
  <si>
    <t>Supply and Delivery of Dental Chair</t>
  </si>
  <si>
    <t>Purchase of other office equipment for the UCT program implementation for CY 2020</t>
  </si>
  <si>
    <t>Supply and delivery of materials for the Rehabilitation of Municipal Hall</t>
  </si>
  <si>
    <t>20GL0097 - CONCRETING OF SUGARCANE FARM-TO-MILL ROAD, CROSSING SAMBAG TO BONTON, BRGY. CARABALAN, HIMAMAYLAN CITY, NEGROS OCCIDENTAL</t>
  </si>
  <si>
    <t>Procurement of Office Supplies (Lot 1-5)</t>
  </si>
  <si>
    <t>ITB-GS-20200605-02 - Supply, Delivery and Installation of Advanced Malware Protection System with Three (3) Years Warranty and Subscription</t>
  </si>
  <si>
    <t>Rehabiltation of Barangay Road( Del Monte)</t>
  </si>
  <si>
    <t>Supply and Delivery of Electrical Materials (1 lot)</t>
  </si>
  <si>
    <t>ITB-GS-20200326-01 - Supply, Delivery, Installation and Configuration of Network and Security Automated Backup &amp; Recovery Solution with Hardware Infrastructure with Three (3) Years Warranty</t>
  </si>
  <si>
    <t>Procurement of Construction Materials for Water Tank Construction(Guminta)</t>
  </si>
  <si>
    <t>Freebies during SBI</t>
  </si>
  <si>
    <t>ITB 08-002-20 Supply and Delivery of 21,909 bags of Urea Fertilizer</t>
  </si>
  <si>
    <t>Rehabilitation of Multi-Purpose Building  located at Barangay Oogong, Santa Cruz, Laguna</t>
  </si>
  <si>
    <t>Rehabilitation /Improvement of DepED SDO Building and COA Office Building</t>
  </si>
  <si>
    <t>INVITATION TO BID FOR SUPPLY OF SECURITY PERSONNEL FOR NORZAGARAY WATER DISTRICT</t>
  </si>
  <si>
    <t>Procurement of Semi-Expendable ICT Equipment</t>
  </si>
  <si>
    <t>Procurement of Listahanan 3 ICT Equipment (Desktop Computer)</t>
  </si>
  <si>
    <t>Various ICT Materials for Communication and Network Maintenance</t>
  </si>
  <si>
    <t>CCTV Monitoring at DSWD FO 1 Guardhouse</t>
  </si>
  <si>
    <t>INSTALLATION OF MANUAL SPILLWAY GATE OPERATORS FOR HOISTING MECHANISM OF MASIWAY SPILLWAY GATES</t>
  </si>
  <si>
    <t>S1-MRO20-008 - Supply and Delivery of Electrical Spare Parts for 600kW Cummins Diesel Engine, Model No. KTA38-G1 Intended for Power Plants under MROD</t>
  </si>
  <si>
    <t>S1-MRO20-007 - Supply and Delivery of Electrical Spare Parts for 600/650kW FG Wilson Diesel Engine, Model No. P730P1 Intended for Power Plants under MROD</t>
  </si>
  <si>
    <t>Supply and Delivery of Laboratory Equipment (GOODS-20-41)</t>
  </si>
  <si>
    <t>Supply &amp; Delivery of Laboratory Machine Reagents including the Lending of Laboratory Machine through Ordering Agreement Modality</t>
  </si>
  <si>
    <t>Purchase of Veterinary Medicine, Feeds and Pet ID Tag</t>
  </si>
  <si>
    <t>20GIH0017-Supply and Delivery of Office Equipment, DPWH-NSFDEO, Catarman, N. Samar</t>
  </si>
  <si>
    <t>Supply and Delivery of OTG-USB with customized lanyard and gift box and other item</t>
  </si>
  <si>
    <t>Procurement of IT Equipment and Structured Cabling Peripherals for Local Government Academy</t>
  </si>
  <si>
    <t>Training on the Implementation of Family Planning Program  BHW and Health Navigators- (Training kit)</t>
  </si>
  <si>
    <t>20GI0099 - Construction of Hanging Foot Bridge, Brgy. Balabag,  Sta. Barbara, Iloilo</t>
  </si>
  <si>
    <t>Delivery of Medicines (Lots 1 &amp; 2)</t>
  </si>
  <si>
    <t>20GFC0044: Equipment Rental along Bagong Silang – Capalonga Wye Road Sta. 0 – Sta. 0+105, Brgy. Bagong Silang I, Labo, Camarines Norte</t>
  </si>
  <si>
    <t>Procurement of Video conference Equipment for LGA</t>
  </si>
  <si>
    <t>20GBF0003: Purchase &amp; Delivery of Asphalt Materials (Hot Asphalt) for use in the Repair/Maintenance of National Roads for Third and Fourth Quarter of CY 2020, within the District</t>
  </si>
  <si>
    <t>Training on the Implementation of Family Planning Program  BHW and Health Navigators- (Various Drinks)</t>
  </si>
  <si>
    <t>MPG-B1-2020-418 - SUPPLY AND DELIVERY OF 11,300,000 ROUNDS BRAND NEW  CTG 9MM, BALL FOR THE PHILIPPINE ARMY (PA)</t>
  </si>
  <si>
    <t>20GFC0045: Purchase of Materials for the Repair/ Rehabilitation along Bagong Silang – Capalonga Wye Road Sta. 0 – Sta. 0+105, Bagong Silang, Labo, Camarines Norte</t>
  </si>
  <si>
    <t>S1-MRO20-006 - Supply and Delivery of Electrical Spare Parts for 163kW Perkins Diesel Engine, Model No. Perkins/2006-TG1 Intended for Power Plants under MROD</t>
  </si>
  <si>
    <t>Office supplies on the Implementation of Family Planning Program BHW and Health Navigators</t>
  </si>
  <si>
    <t>Design and Build for the Construction of Alternative Water Supply (Level III)</t>
  </si>
  <si>
    <t>Supply and Delivery of One (1) Unit Brand New Rescue Transport Van</t>
  </si>
  <si>
    <t>INVITATION TO BID: PROCUREMENT OF VARIOUS FURNITURE AND FIXTURES</t>
  </si>
  <si>
    <t>FENCING OF NEW SLAUGHTERHOUSE, SAN AGUSTIN, CASTILLEJOS ,ZAMBALES</t>
  </si>
  <si>
    <t>Meals &amp; Snack during malaria advocacy</t>
  </si>
  <si>
    <t>EO-ERS20-001 (PB3) - Construction, Supply, Delivery Installation, Test and Commissioning of Various Utilities at NPC Minuyan Complex, SJDM, Bulacan</t>
  </si>
  <si>
    <t>ITB-GS-20200629-01 - 1 Lot Supply, Delivery, and Installation of 300 Units Automated Teller Machines (Thru-the-Wall Type) inclusive of a Four (4) Year Maintenance Support Services and Spare Parts</t>
  </si>
  <si>
    <t>The Procurement and Delivery of Materials for the Reproduction of Modules</t>
  </si>
  <si>
    <t>Training on the Implementation of Family Planning Program BHW and Health Navigators (Diesel)</t>
  </si>
  <si>
    <t>Concreting of Box Culvert Approach at Barangay Paranum</t>
  </si>
  <si>
    <t>CONSTRUCTION OF SIBUL-CEMETERY ROAD STA. MARIA, CASTILLEJOS, ZAMBALES</t>
  </si>
  <si>
    <t>FENCING AND SITE DEVELOPMENT OF NEW CEMETERY, NAGBUNGA CASTILLEJOS, ZAMBALES</t>
  </si>
  <si>
    <t>20GFC0048: Purchase of Materials of Road Safety Devices (Guardrails), Daang Maharlika (S03784LZ) K0249+800 – K0273+679 (with exception)</t>
  </si>
  <si>
    <t>Repair of Classrooms for Conversion to Medical/Dental Clinic under CY 2019 BEFF Lot 1 and 2 (revised Lot 3)</t>
  </si>
  <si>
    <t>Various drinks during SBI</t>
  </si>
  <si>
    <t>Construction of Protection Works  at Barangay Dalaya</t>
  </si>
  <si>
    <t>REPAIR AND MAINTENANCE- MARKET (IMPROVEMENT OF MEAT SECTION), SAN JUAN,CASTILLEJOS,ZAMBALES</t>
  </si>
  <si>
    <t>Training on the Implementation of Family Planning Program BHW and Health Navigators( Meals &amp; snacks)</t>
  </si>
  <si>
    <t>20GFC0049: Purchase of Small Equipments, DPWH-CNDEO, Daet, Camarines Norte</t>
  </si>
  <si>
    <t>ROAD REPAIR WORKS ALONG PRESIDENT DIOSDADO MACAPAGAL BOULEVARD (PDMB), ASEAN AVENUE AND J.W. DIOKNO (BAY) BOULEVARD</t>
  </si>
  <si>
    <t>REPAIR AND MAINTENANCE- MARKET (IMPROVEMENT OF PROPOSED FISH SECTION), SAN JUAN,CASTILLEJOS,ZAMBALES</t>
  </si>
  <si>
    <t>PROCUREMENT OF GREENHOUSE MATERIALS (TUNNEL TYPE GREENHOUSE/NETHOUSE W/ INSTALLATION AND DELIVERY) AGRICULTURE OFFICE, CASTILLEJOS, ZAMBALES</t>
  </si>
  <si>
    <t>PROCUREMENT OF DRUGS AND MEDICINES, RHU CASTILLEJOS, ZAMBALES</t>
  </si>
  <si>
    <t>Procurement of Additional Services for the Temperature-Controlled Packaging and Transport of Vaccines Including Diluents under IB No. 2020-234</t>
  </si>
  <si>
    <t>PROCUREMENT OF GENERATOR SET, RHU, CASTILLEJOS, ZAMBALES</t>
  </si>
  <si>
    <t>20GFC0046: Purchase of Hardware Materials, DPWH – CNDEO, Camarines Norte</t>
  </si>
  <si>
    <t>Group Personal Accident with Health Insurance of the RA 7687, RA 10612 and Merit Scholars</t>
  </si>
  <si>
    <t>Procurement of Additional Services for Brokerage under IB No. 2020-233</t>
  </si>
  <si>
    <t>20GFE0017 – SUPPLY OF MATERIALS FOR EROSION CONTROL, TRAFFIC SERVICES, PAVEMENT, PAVEMENT AND BRIDGE MAINTENANCE ALONG NATIONAL ROADS – 3RD QUARTER</t>
  </si>
  <si>
    <t>CONSTRUCTION/ IMPROVEMENT OF EVACUATION CENTER AT PINAGKURUSAN, ALITAGTAG, BATANGAS</t>
  </si>
  <si>
    <t>Catering Services for the Various Committees Activities</t>
  </si>
  <si>
    <t>PROCUREMENT OF MEDICAL SUPPLIES, RHU, CASTILLEJOS, ZAMBALES</t>
  </si>
  <si>
    <t>PROCUREMENT OF ANTI RABIES, RHU, CASTILLEJOS, ZAMBALES</t>
  </si>
  <si>
    <t>Construction and Installation of Street Lights</t>
  </si>
  <si>
    <t>Procurement of Nine (9) sets Detroit Engine Assy 6V-53N (Power Pack) for M113 APC</t>
  </si>
  <si>
    <t>PROCUREMENT OF 1 UNIT SERVICE VEHICLE, RHU CASTILLEJOS, ZAMBALES</t>
  </si>
  <si>
    <t>INVITATION TO BID: PROCUREMENT (SUPPLY AND DELIVERY) OF VARIOUS INFORMATION TECHNOLOGY (IT) EQUIPMENT</t>
  </si>
  <si>
    <t>Supply and Delivery of 2 Units Generator Set for Multi-Purpose Center</t>
  </si>
  <si>
    <t>Procurement of 200 pcs Tires for SFV and Commando V150</t>
  </si>
  <si>
    <t>PROCUREMENT OF 1-UNIT AMBULANCE (FULLY EQUIPPED) RHU, CASTILLEJOS, ZAMBALES</t>
  </si>
  <si>
    <t>Supply and Delivery of 2 Units 20 KVA Generator Set</t>
  </si>
  <si>
    <t>Construction of RHU Extension Building</t>
  </si>
  <si>
    <t>20GD0111 - REPAIR/MAINTENANCE OF DRAINAGE (CLUSTERED)</t>
  </si>
  <si>
    <t>20OH0159-Proposed Construction of One (1) Unit 5-Storey Officer’s Condominium at CJVAB, Pasay City</t>
  </si>
  <si>
    <t>20OH0158-Proposed Construction of One (1) Unit 4-Storey Transient officers Quarters at CJVAB, Pasay City</t>
  </si>
  <si>
    <t>20GFC0047: Purchase of Thermoplastic Paint Material, Primary and Secondary Road</t>
  </si>
  <si>
    <t>Replacement of Odiong Bridge, Brgy. Odiong , Moises Padilla , Negros Occidental  / PEO-2020-1043</t>
  </si>
  <si>
    <t>Supply and Delivery of 1 Unit Multi-Purpose Vehicle</t>
  </si>
  <si>
    <t>S1-OMS20-031 (PB2) - Supply and Delivery of Transformer Differential Relay and Multi Meter Module Power &amp; Energy Meter intended for Calapan Substation</t>
  </si>
  <si>
    <t>CONSTRUCTION OF THREE-STOREY MULTI PURPOSE BUILDING (PHASE 2) ADDITIONAL WORKS/RETROFITTING/CONSTRUCTION OF BUILDING AND STRUCTURE LOOC, CASTILLEJOS, ZAMBALES</t>
  </si>
  <si>
    <t>20OH0160-Proposed Installation of Waterline Distribution System (Phase 1-6) at CJVAB, Pasay City</t>
  </si>
  <si>
    <t>Construction of Vermi Composting Facility, NFOTEC, Brgy. Tabunan, Bago City, Neg. Occ. / (OPA-2020-0516)</t>
  </si>
  <si>
    <t>Small Value of 2 set printer</t>
  </si>
  <si>
    <t>CONSTRUCTION  OF CONCRETE BLEACHER (P-1)</t>
  </si>
  <si>
    <t>Procurement of Molecular Laboratory Information System</t>
  </si>
  <si>
    <t>20OH0156-Proposed Renovation and Installation of Modular Partition at Asec. Pipo’s Office, DPWH Main Office, Bonifacio Drive, Port Area, Manila</t>
  </si>
  <si>
    <t>20GMH075 - SUPPLY/DELIVERYOFREPAIRMATERIALSFORPLANNEDCORRECTIVEMAINTENANCEOFONE(1)UNITDUMPTRUCK(H3-6416)ANDONE(1)UNITPAYLOADER (L2-1494)</t>
  </si>
  <si>
    <t>20GMH074 - SUPPLY/DELIVERYOFOFFICESUPPLIESFORUSEOFCONSTRUCTION SECTION</t>
  </si>
  <si>
    <t>S1-OCS20-021 (PB2) - Supply and Delivery of Bolt, Double Arming, Galvanized Steel, 5/8 Dia x 22 &amp; 30 others intended for Occidental Mindoro Substation &amp; 69KV Transmission Lines</t>
  </si>
  <si>
    <t>Purchase of Heavy Duty Risograph Digital Duplicator Machine</t>
  </si>
  <si>
    <t>CONSTRUCTION OF PUBLIC MARKET (PHASE 2)</t>
  </si>
  <si>
    <t>INSTALLATION OF BASKETBALL GOAL FIBER GLASS BOARD WITH RING AT SITO PROPER BRGY. KINAM , MALAPATAN SARANGANI PROVINCE</t>
  </si>
  <si>
    <t>Small Value of Improvement of KKinderGarten CR</t>
  </si>
  <si>
    <t>Purchase of 1 unit rescue vehicle for San Miguel,  Baggao, Cagayan</t>
  </si>
  <si>
    <t>PROCUREMENT OF ONE (1) UNIT MULTI-PURPOSE VEHICLE TO TRANSPORT MATERIALS, MANPOWER AND EQUIPMENT FOR TCWD OPERATIONS - 2020-07-055</t>
  </si>
  <si>
    <t>Purchase of one (1) unit Rescue Vehicle for San Antonio, Baggao, Cagayan</t>
  </si>
  <si>
    <t>Procurement of Copy Printer Machine</t>
  </si>
  <si>
    <t>Completion of Multi-purpose Building (Loon Town Square)</t>
  </si>
  <si>
    <t>Supply/Delivery &amp; Installation of Brand New Air Condition Units (19 Units)</t>
  </si>
  <si>
    <t>Purchase of  mixed gravel and sand for regravelling of barangay road at San Vicente, Baggao, Cagayan</t>
  </si>
  <si>
    <t>RM OF SCHOOL FENCE</t>
  </si>
  <si>
    <t>20OH0157-Proposed Repair, Renovation and Installation of Modular Partition at Usec. Ramos Office, DPWH Main Office, Bonifacio Drive, Port Area, Manila</t>
  </si>
  <si>
    <t>Supply, Delivery and Installation of Modular Work Stations, Tables and Pantry Cabinet for POPCOM Region IV-A</t>
  </si>
  <si>
    <t>Supplies and Materials for Magsaysay College</t>
  </si>
  <si>
    <t>Supply and Delivery of Clinical Weighing Scale (PR No. 20-07-0284)</t>
  </si>
  <si>
    <t>1 lot Gypsum #6x1 for wood at 100pcs per box etc.(07-0793) CMO</t>
  </si>
  <si>
    <t>Purchase of materials for the construction of box culvert at Alba,  Baggao, Cagayan</t>
  </si>
  <si>
    <t>Concrete Paving of Road with Drainage at Purok XI, Tablon; SN 183 - 2020</t>
  </si>
  <si>
    <t>Construction of Cemetery Shed (DIPINTIN)</t>
  </si>
  <si>
    <t>Repair/Improvement of Civic Center</t>
  </si>
  <si>
    <t>Supply and Delivery of ICT Equipment (PR No. 20-07-0296)</t>
  </si>
  <si>
    <t>Construction of Boundary Marker (DIPINTIN)</t>
  </si>
  <si>
    <t>Construction of Drainage System Along Ramon Chaves St. from Corrales to V. Roa St., Brgy. 30; SN 186 - 2020</t>
  </si>
  <si>
    <t>Construction of Drainage at Bantiles Zone 1, Bugo; SN 187 - 2020</t>
  </si>
  <si>
    <t>PBD 20-093 IT EQUIPMENT</t>
  </si>
  <si>
    <t>Straight Contract for Construction of Farm to Market Road at So. Cunalum to So, Lunoy, Brgy. Carabalan, Himamaylan City</t>
  </si>
  <si>
    <t>Straight Contract for Construction of Farm to Market Road at So. Buhi-an, Brgy. To-oy, Himamaylan City</t>
  </si>
  <si>
    <t>Straight Contract for Construction of Farm to Market Road at Meñez Road, Prk. 7, Brgy. IV-Poblacion, Himamaylan City</t>
  </si>
  <si>
    <t>Concrete Paving of Malasag Circumferential Road Cugman (Phase 4); SN 185 - 2020</t>
  </si>
  <si>
    <t>Livelihood Starter Kits</t>
  </si>
  <si>
    <t>Improvement of School Compound (San Bernabe)</t>
  </si>
  <si>
    <t>Installation of Streetlight (SAN BERNABE)</t>
  </si>
  <si>
    <t>Installation of 11 - Units Streetlight (DIVISORIA NORTE)</t>
  </si>
  <si>
    <t>PUBLIC BIDDING FOR THE ONE YEAR MAINTENANCE OF DICT-FIBER OPTIC CABLE (FOC) NETWORK IN LEGAZPI, ALBAY</t>
  </si>
  <si>
    <t>Negros Occidental Integrated Food Processing and Showroom, Negros First Food Terminal / PEO-2020-0065</t>
  </si>
  <si>
    <t>Procurement of DOH Web Application Firewall</t>
  </si>
  <si>
    <t>Construction of Two (2) Storey Ten (10) Classrooms Building at Jalandoni Memorial Elementary School, Lapuz, Iloilo City (Bid No. 20-169)</t>
  </si>
  <si>
    <t>Installation of Streetlight (DIPINTIN)</t>
  </si>
  <si>
    <t>Procurement of Medical Supplies for use of Romblon Provincial Hospital, Odiongan, Romblon</t>
  </si>
  <si>
    <t>INVITATION TO BID (REBIDDING) FOR THE Procurement of Various ICT Equipment and Corel Draw Graphics Software under the DOE Locally Funded Philippine Conventional Energy Contracting Program</t>
  </si>
  <si>
    <t>PBD 20-095 Computation Modeling Set-up and Accessories</t>
  </si>
  <si>
    <t>PBD 20-094 Server</t>
  </si>
  <si>
    <t>Construction of Manpower Development Center</t>
  </si>
  <si>
    <t>Construction of Two (2) Storey Eight (8) Classrooms Building at Hibao-an Elementary School, Mandurriao, Iloilo City (Bid No. 20-173)</t>
  </si>
  <si>
    <t>Invitation to Bid for  	EXPANSION OF CONCRETE DRAINAGE CANAL</t>
  </si>
  <si>
    <t>Construction/Rehabilitation/Repair/Widening of Roads at Brgy. Tabuc Suba (Hechanova Subdivision), Jaro, Iloilo City (Bid No. 20-172)</t>
  </si>
  <si>
    <t>ITB - Supply and Delivery of Elevators including Installation, 5 units (Re-Bid)</t>
  </si>
  <si>
    <t>Construction/Rehab. of Concrete Pavement</t>
  </si>
  <si>
    <t>Construction/Rehabilitation/Improvement of Multi-Purpose Hall at Brgy. North Baluarte, Molo, Iloilo City (Bid No. 20-174)</t>
  </si>
  <si>
    <t>Construction of Roads at Soldier’s Hill Bulua to Camp Evangelista; SN 180 - 2020</t>
  </si>
  <si>
    <t>Construction of Bigaan River Flood Mitigation Structure (Cugman Phase 2); SN 184 - 2020</t>
  </si>
  <si>
    <t>Concrete Paving of Road at Grotto St., Bulua; SN 179 - 2020</t>
  </si>
  <si>
    <t>Concrete Paving of Balubal CDORSHIP 4 Roads with Drainage (Phase 2); SN 178 - 2020</t>
  </si>
  <si>
    <t>Concrete Paving of Road at Caritas to Ecoverde Subd. with Drainage, Indahag; SN 181 - 2020</t>
  </si>
  <si>
    <t>Construction of Two (2) Storey Ten (10) Classrooms Building at Sto. Niño Sur Elementary School, Arevalo, Iloilo City (Bid No. 20-170)</t>
  </si>
  <si>
    <t>CONSTRUCTION OF LOCAL ROADS</t>
  </si>
  <si>
    <t>Concrete Paving of Melecia Homes Subd. Road with Drainage, Macasandig (Phase 3); SN 182 - 2020</t>
  </si>
  <si>
    <t>Straight Contract for Construction of Farm to Market Road at So. Suba Su-ay, Brgy. Mahalang, Himamaylan City</t>
  </si>
  <si>
    <t>CONSTRUCTION OF MUNICIPAL PARK (Phase II)</t>
  </si>
  <si>
    <t>Procurement of Drugs for use of Romblon Provincial Hospital, Odiongan, Romblon</t>
  </si>
  <si>
    <t>PROCUREMENT OF 1 UNIT SOFA-3 SEATERS</t>
  </si>
  <si>
    <t>PURCHASE OF 1 UNIT SPLIT TYPE AIRCON</t>
  </si>
  <si>
    <t>Proposed Multi-Purpose Building  (Mercado de Loon Tubaan)</t>
  </si>
  <si>
    <t>Construction of Two (2) Storey Four (4) Classrooms Building with Demolition at Bakhaw Elementary School, Mandurriao, Iloilo City (Bid No. 20-171)</t>
  </si>
  <si>
    <t>CONSTRUCTION OF MATERIALS RECOVERY FACILITY BUILDING</t>
  </si>
  <si>
    <t>SUPPLY AND DELIVERY OF 18 UNITS DESKTOP COMPUTER &amp; OTHER RELATED PARTS &amp; ACCESSORIES (RE-BIDDING)</t>
  </si>
  <si>
    <t>CONSTRUCTION OF MATERIALS RECOVERY FACILITY (MRF)</t>
  </si>
  <si>
    <t>ITB - Supply and Delivery of Foodstuff (September-December 2020)</t>
  </si>
  <si>
    <t>REGRAVELLING</t>
  </si>
  <si>
    <t>PROCUREMENT OF I.T. EQUIPMENT FOR CBET</t>
  </si>
  <si>
    <t>20CSN019: CONSULTING SERVICES FOR THE CONDUCT OF FEASIBILITY STUDY OF THE PROPOSED TRENTO - LINGIG ROAD, TRENTO, AGUSAN DEL SUR AND  AND LINGIG, SURIGAO DEL SUR</t>
  </si>
  <si>
    <t>Procurement of Gas, Oil and Lubricants</t>
  </si>
  <si>
    <t>Supply and Delivery of Five (5) Units Basic Life Support (BLS) Ambulance Vehicle with Complete Accessories; PR No. 19-1240 dated 16 May 2019; SN 174 - 2020</t>
  </si>
  <si>
    <t>Construction of Multi-Purpose Building in Brgy. San Fernando, Palo, Leyte, ABC PHP2,000,000.00</t>
  </si>
  <si>
    <t>20CSN018: CONSULTING SERVICES FOR THE CONDUCT OF FEASIBILITY STUDY OF THE PROPOSED BUNAWAN BYPASS ROAD; TRENTO DIVERSION ROAD, BUNAWAN AND TRENTO AGUSAN DEL SUR</t>
  </si>
  <si>
    <t>Rescue Vehicle</t>
  </si>
  <si>
    <t>Construction of Post Harvest Facility - Mabayag, Galimuyod, Ilocos Sur</t>
  </si>
  <si>
    <t>PROCUREMENT OF PRODUCTION INPUTS OF SWINE FATTENING LIVELIHOOD PROJECT FOR DATAG FARMER'S ASSOCIATION</t>
  </si>
  <si>
    <t>PURCHASE OF RISOGRAPH MACHINE WITH COMPUTER INTERFACE FOR THE USE IN REPRODUCTION OF MODULES OF DEP-ED, LA CARLOTA CITY</t>
  </si>
  <si>
    <t>CONSTRUCTION OF FARMERS' PUBLIC MARKET</t>
  </si>
  <si>
    <t>Improvement of Barangay Road -  All Puroks, Calanan</t>
  </si>
  <si>
    <t>Construction of Multi-Purpose Bldg. (Phase 1) in Brgy. Capulhan, Dagami, Leyte, ABC PHP2,104,761.77</t>
  </si>
  <si>
    <t>Opening/Improvement of Road (GAD) Mataddong, Bantay</t>
  </si>
  <si>
    <t>Construction of Multi-Purpose Bldg. (Phase 2) in Brgy. Alegre, Julita, Leyte, ABC PHP1,944,317.51</t>
  </si>
  <si>
    <t>Concreting of Road along JNR-Old Taligue Section in Abuyog, Leyte, ABC PHP1,981,179.50</t>
  </si>
  <si>
    <t>AUGMENTATION OF CONSTRUCTION OF COVERED COURT PHASE 3</t>
  </si>
  <si>
    <t>INSTALLATION OF GUTTER FOR MULTI-PURPOSE BUILDING</t>
  </si>
  <si>
    <t>Construction of Multi-Purpose Bldg. (Phase 1) in Brgy. Monte Alegre, Isabel, Leyte, ABC PHP1,992,757.62</t>
  </si>
  <si>
    <t>Rechanneling @ Chico River (Calanan Section), Calanan</t>
  </si>
  <si>
    <t>CONSTRUCTION OF COMMUNITY PRECINT (COMPAC) @ BRGY. MANACNAC, PALAYAN CITY</t>
  </si>
  <si>
    <t>Installation of Solar Street Lights in Brgy. Buntay, Abuyog, Leyte, ABC PHP2,098,233.12</t>
  </si>
  <si>
    <t>20GB00032: Purchase and Delivery of Survey and IT Equipment</t>
  </si>
  <si>
    <t>Furnishing of materials for the Expansion of Tanod Outpost</t>
  </si>
  <si>
    <t>IMPROVEMENT OF MULTIPURPOSE HALL</t>
  </si>
  <si>
    <t>Construction of Multi-Purpose Bldg. at Barugo I Central School in Barugo, Leyte, ABC PHP1,889,328.91</t>
  </si>
  <si>
    <t>Construction of Foot Steps (GAD) Purok 1 &amp; 2, Tuga</t>
  </si>
  <si>
    <t>CONSTRUCTION OF COVERED COURT PHASE 2</t>
  </si>
  <si>
    <t>Proposed Multi-Purpose Building Shed (Mercado de Loon Tabo-an)</t>
  </si>
  <si>
    <t>Supply and Delivery of Mechanical Ventilator with Compressor and Other Items; PR No. 20-1618 dated 09 June 2020; SN 172 - 2020</t>
  </si>
  <si>
    <t>Installation of Pipe Culvert (Purok 5, Daplayan, San Pablo, ZDS.)</t>
  </si>
  <si>
    <t>Construction of Multi-Purpose Bldg. at Mayorga National High School in Mayorga, Leyte, ABC PHP1,920,650.19</t>
  </si>
  <si>
    <t>Acquisition of CCTV Camera</t>
  </si>
  <si>
    <t>CONCRETING OF DEL PILAR BARANGAY ROAD AT DEL PILAR, PIÑAN, ZAMBOANGA DEL NORTE</t>
  </si>
  <si>
    <t>Improvement of Road @ Zapote, Dilag</t>
  </si>
  <si>
    <t>Construction of Multi-Purpose Hall in Brgy. Bulacan, Hindang, Leyte, ABC PHP1,913,208.95</t>
  </si>
  <si>
    <t>Improvement of Road @ San Francisco, Dagupan Weste</t>
  </si>
  <si>
    <t>Procurement of Relief/Search and Rescue Operations Vehicle - Rescue Utility Van (2nd Posting)</t>
  </si>
  <si>
    <t>Rehabilitation of Covered Court Flooring</t>
  </si>
  <si>
    <t>Improvement of Road @ Purok 6, Dagupan Weste</t>
  </si>
  <si>
    <t>LGU201820%DFGoods-003</t>
  </si>
  <si>
    <t>Purchase of Spare Parts for Backhoe JS205</t>
  </si>
  <si>
    <t>LOT 1 Project No.: GOODS-2020-08-003 INVITATION TO BID Provision of Supply and Delivery of Printing Materials for the Reproduction of Self-Learning Materials for Kinder to Grade 11</t>
  </si>
  <si>
    <t>2nd posting CY 2020 Basic Educational Facilities  Fund(BEFF) Electrification of Un-Energized Schools and Modernization of Electrical Systems on Grid Schools Batch 2</t>
  </si>
  <si>
    <t>Meals and Hotel Accommodation</t>
  </si>
  <si>
    <t>Construction of one-storey evacuation center (35m x 12m)</t>
  </si>
  <si>
    <t>Expansion of Existing Swimming Pool a, Rebi Beach Resort.</t>
  </si>
  <si>
    <t>2nd posting CY 2020 Basic Educational Facilities  Fund(BEFF) Electrification of Un-Energized Schools and Modernization of Electrical Systems on Grid Schools c2</t>
  </si>
  <si>
    <t>2nd posting CY 2020 Basic Educational Facilities  Fund(BEFF) Electrification of Un-Energized Schools and Modernization of Electrical Systems on Grid Schools Batch 1 c1</t>
  </si>
  <si>
    <t>Repair/rehabilitation of Perimeter Fence &amp; Pergola of Hiabangan Elem. School in Dagami, Leyte, ABC PHP1,004,238.07</t>
  </si>
  <si>
    <t>Construction of Slope Protection in Brgy. Cabaohan, Pastrana, Leyte, ABC PHP1,315,784.28</t>
  </si>
  <si>
    <t>Construction of Multi-Purpose Building in Brgy. Serrano, Dulag, Leyte, ABC PHP1,241,627.40</t>
  </si>
  <si>
    <t>SUPPLY, DELIVERY AND INSTALLATION OF AIR-CONDITIONING UNIT FOR THE NEW BUILDING</t>
  </si>
  <si>
    <t>PB-PROCUREMENT OF MEDICAL &amp; OTHER HEALTH RELATED EQUIPMENT (3) ITB No. 2020-30</t>
  </si>
  <si>
    <t>Delivery of Motor Vehicle</t>
  </si>
  <si>
    <t>UPLB-RES-037-08-20  SUPPLY AND DELIVERY OF BRANDED AND BRAND NEW REAL-TIME PCR DETECTION SYSTEM FOR IPB</t>
  </si>
  <si>
    <t>CP 2020-56 BIDDING FOR THE SUPPLY AND DELIVERY OF CHLORINATED RUBBERIZED BASE (CRB) PAINTS C/O CEO</t>
  </si>
  <si>
    <t>LOCAL ACCESS ROAD (UPGRADING AND IMPROVEMENT OF SALANGI ROAD) – BRGY. SALANGI, ALMERIA, BILIRAN</t>
  </si>
  <si>
    <t>Continuation of Street Lights (GAD) River Side, Dupag</t>
  </si>
  <si>
    <t>CP 2020-55 BIDDING FOR THE SUPPLY AND DELIVERY OF DESKTOPS AND LAPTOPS C/O HSO</t>
  </si>
  <si>
    <t>Construction of Covered Walk at the Isolation Building, Leyte Provincial Hospital, Palo, Leyte, ABC PHP1,155,333.86</t>
  </si>
  <si>
    <t>LOT 4 Project No.: GOODS-2020-08-003 INVITATION TO BID Provision ofLOT4 Supply and Delivery of Printing Materials for the Reproduction of Self-Learning Materials for Kinder to Grade 11</t>
  </si>
  <si>
    <t>SUPPLY AND DELIVERY OF VARIOUS MATERIALS FOR CAPTURE FISHERIES LIVELIHOOD PROJECTS</t>
  </si>
  <si>
    <t>Procurement of Construction and Establishment of Concrete Artificial Reefs (ARs) Project, Province of Aklan-Re Bidding/ITB no: 2020-430</t>
  </si>
  <si>
    <t>PURCHASE OF MULTI-PURPOSE VEHICLE</t>
  </si>
  <si>
    <t>Improvement of Other DRRM Facilities (Supply and Installation of Solar Panel at ALERT 161 Center Talaba IV</t>
  </si>
  <si>
    <t>Construction of Municipal Drainage System</t>
  </si>
  <si>
    <t>Grouted Riprap Slope Protection with  Concrete Barrier at P.L. RESORT Access  Road</t>
  </si>
  <si>
    <t>Procurement of WCEIS Equipment of PBL1, PBL2, PBL5 AND 9MTR RIB 02, Lot 1 - Procurement of WCEIS Equipment of PBL1, PBL2, PBL5 and 9MTR RIB 02</t>
  </si>
  <si>
    <t>Construction of Road Railings / Road Guard</t>
  </si>
  <si>
    <t>LOCAL ACCESS ROAD (UPGRADING AND IMPROVEMENT OF TAMARINDO ROAD) – BRGY. TAMARINDO, ALMERIA, BILIRAN</t>
  </si>
  <si>
    <t>REBLOCKING OF ROAD</t>
  </si>
  <si>
    <t>Concreting of Highway-Demo Farm Road</t>
  </si>
  <si>
    <t>SUPPLY, DELIVERY, INSTALLATION, TESTING AND COMMISSIONING OF PUMPING EQUIPMENT FOR THE DIPACULAO WATER DISTRICT’S WATER SUPPLY SYSTEM AND IMPROVEMENT PROJECT</t>
  </si>
  <si>
    <t>PROCUREMENT OF 4x2 VAN PICK-UP DRIVEN WITH ACCESSORIES 		(BRAND NEW)</t>
  </si>
  <si>
    <t>Procurement and Installation of WCEIS For PC374, PC376, PC377, PC387, PC389 and YT225, LOT 3 - Procurement and Installation of WEAPONS ACCCESSORIES for PC374, PC376, PC377, PC387 and PC389</t>
  </si>
  <si>
    <t>Contract ID No. 20NC0140 - Rehabilitation/Reconstruction/Upgrading of Damaged Pave Roads along Daang Maharlika (Agusan-Davao Section) k1304+(-)147.50 – k1304+(-)035</t>
  </si>
  <si>
    <t>2020-0198-PR2020-0580 Furnishing of Labor, Materials and Equipment for the Construction of 2 Class Room School Building with Two Toilets at Hanopol National High School at Hanopol, Balilihan, Bohol, b</t>
  </si>
  <si>
    <t>Procurement and Installation of WCEIS For PC374, PC376, PC377, PC387, PC389 and YT225, LOT 2 - Procurement and Installation of COMMELEX Equipment for PC374, PC376, PC377, PC387, PC389 and YT225</t>
  </si>
  <si>
    <t>CP 2020-57 BIDDING FOR THE SUPPLY AND DELIVERY OF POWER UNIT COMPATIBLE WITH EXISTING EQUIPMENT C/O CDRRMC</t>
  </si>
  <si>
    <t>SUPPLY AND DELIVERY OF FIRE TRUCKS FOR DAVAO PRISON AND PENAL FARM (DPPF) AND SAN RAMON PRISON AND PENAL FARM (SRPPF) LOT 3 RE-BID</t>
  </si>
  <si>
    <t>INF-ITB 20-040 Construction of Lake Lahit Tourism Facility, Lake Lahit, Lake Sebu, South Cotabato</t>
  </si>
  <si>
    <t>Regravelling of Roads at various Barangays, Municipality of Hinigaran, Negros Occidental.</t>
  </si>
  <si>
    <t>Procurement and Installation of WCEIS For PC374, PC376, PC377, PC387, PC389 and YT225, LOT 1 - Procurement and Installation of NAVSENS Equipment for PC374, PC376, PC377, PC387, PC389 and YT225</t>
  </si>
  <si>
    <t>SUPPLY AND DELIVERY OF VARIOUS DRUG AND MEDICINES TO BE USED AT PROVINCIAL VETERINARY OFFICE FOR ANIMAL HEALTH PROGRAM</t>
  </si>
  <si>
    <t>MAINTENANCE OF 10 SECONDARY SCHOOLS</t>
  </si>
  <si>
    <t>CONSTRUCTION OF TEMPORARY MARKET STALLS FOR P-3 CROSSING GABI (Procurement of Materials)</t>
  </si>
  <si>
    <t>Procurement of Brand New Ambulance Vehicle for the use of Malay Municipal Hospital, Malay, Aklan/ITB no: 2020-433</t>
  </si>
  <si>
    <t>LOT 3 Project No.: GOODS-2020-08-003 INVITATION TO BID Provision of LOT 3 Supply and Delivery of Printing Materials for the Reproduction of Self-Learning Materials for Kinder to Grade 11</t>
  </si>
  <si>
    <t>S3-BAI20-024 - Lease of 2.0 MW Modular Diesel Generating Set/s for Basilan DPP</t>
  </si>
  <si>
    <t>Rehabilitation of Cable Foot Bridge</t>
  </si>
  <si>
    <t>Antithymocyte Immunoglobulin (ATG) (Rabbit)</t>
  </si>
  <si>
    <t>AIRCON</t>
  </si>
  <si>
    <t>UPLB-RES-039-08-20  SUPPLY AND DELIVERY OF BRANDED AND BRAND NEW LABORATORY SUPPLIES AND SCIENTIFIC EQUIPMENT FOR MNH</t>
  </si>
  <si>
    <t>ITB-199 Upgrading/Improvement of Sanghan-Luna-Calulutay-Calamba  Provincial Road, Cabadbaran City, Agusan del Norte</t>
  </si>
  <si>
    <t>Concreting of Lapaz - Tagbuyacan FMR (Completion Phase)</t>
  </si>
  <si>
    <t>Supply of Materials/Parts for the SMI and ARAS of NAW Units (NH430, NH431, NH432, NH434 &amp; NH435)</t>
  </si>
  <si>
    <t>S1-IDP20-003 - Supply and Delivery of Mechanical Spare Parts of 193kW FG-Wilson, 6 Cyl, Model P300H-1, Serial No. FGWNAV04KJSW00254, of Itbayat DPP</t>
  </si>
  <si>
    <t>ITB-197 Rehabilitation of Tribal House, Sitio Lombuyan,  Brgy. Guinabsan, Buenavista, Agusan del Norte</t>
  </si>
  <si>
    <t>SUPPLY AND DELIVERY OF VARIOUS  INFORMATION AND COMMUNICATION TECHNOLOGY EQUIPMENT FOR USE IN DIFFERENT SCHOOLS IN THE DIVISION OF CAVITE</t>
  </si>
  <si>
    <t>ITB-196 Construction of Bodega GSO, Capitol Compound,  Butuan City, Agusan del Norte</t>
  </si>
  <si>
    <t>REHABILITATION/IMPROVEMENT OF 390 LIN.M EXISTING PIPELINES AND INSTALLATION OF 1,170 LIN. M PIPELINE EXPANSION</t>
  </si>
  <si>
    <t>Construction of Multi-Purpose Pavement</t>
  </si>
  <si>
    <t>Const. of JCT Nat'l H-way - MRDP Road</t>
  </si>
  <si>
    <t>S1-TDP20-006 (PB2) - Lease of 1.0 MW Modular Diesel Generating Set/s for Ticao DPP</t>
  </si>
  <si>
    <t>Supply and Delivery of:LOT 1-7 units Palay Thresher with Blower,LOT 2- 10 units Handtractor for Implementation under Rice Program 2020</t>
  </si>
  <si>
    <t>CONSTRUCTION OF ACADEMIC BUILDING, SED ANNEX 2 BUILDING (BUILD ONLY)</t>
  </si>
  <si>
    <t>21A00004: Retrofitting/Strengthening of Permanent Bridges, Bauang Bridge 1 (B02644LZ) along Manila North Road</t>
  </si>
  <si>
    <t>Procurement of Hardware &amp; Construction  Supplies - 2ND. SCHEDULE</t>
  </si>
  <si>
    <t>Proposed Construction of Drainage System along Managantan Street, Barangay 09-A, Guiuan, Eastern Samar</t>
  </si>
  <si>
    <t>PROCUREMENT OF 2 UNITS RISOGRAPH MACHINE</t>
  </si>
  <si>
    <t>21A00003: Bridge Rehabilitation, Rehabilitation of Padilla Bridge (B02144LZ) along Pangasinan-Zambales Road</t>
  </si>
  <si>
    <t>Supply of Materials/Parts for the PMS and COBS of PHILFLT Vessels (MTU Engines of PS39)</t>
  </si>
  <si>
    <t>21A00002: Retrofitting/Strengthening of Permanent Bridges, Cagubay Bridge (B00679LZ) along Pangasinan-Tarlac Road</t>
  </si>
  <si>
    <t>20GIB0038: Purchase of Fuel for Service Vehicles, Heavy Equipment and Grasscutters used in the Maintenance activites along Eastern Samar Road.</t>
  </si>
  <si>
    <t>21A00001: Retrofitting/Strengthening of Permanent Bridges, Don Teofilo Sison Bridge (B00722LZ) along Manila North Road</t>
  </si>
  <si>
    <t>PROCUREMENT OF A4 BONDPAPER FOR THE REPRODUCTION OF MODULES FOR NEW NORMAL SY 2020-2021</t>
  </si>
  <si>
    <t>SUPPLY AND DELIVERY OF 2 UNITS COMBINE HARVESTER</t>
  </si>
  <si>
    <t>ITB- SUPPLY, DELIVERY and INSTALLATION OF 1 LOT GERMINATOR RCEF GOODS 20-07-05A</t>
  </si>
  <si>
    <t>CONTRACT FOR SECURITY SERVICES, UPM-SHS PALO LEYTE (REBID)</t>
  </si>
  <si>
    <t>ENG'G PASBAC 001-20 Supply and Delivery of Three (3) Units Well Drilling Truck/Rig (Rotary) with Trailer and Accessories</t>
  </si>
  <si>
    <t>Construction of One (1) classroom School Building Phase II, Brgy. Concepcion, SNV.,</t>
  </si>
  <si>
    <t>Supply and Delivery of Laboratory Iquipment</t>
  </si>
  <si>
    <t>SUPPLY AND DELIVERY OF LOT 1: 950 HEADS IMPROVED/FREE-RANGE NATIVE CHICKEN (ROOSTER) AND 3,800 HEADS IMPROVED/FREE-RANGE NATIVE CHICKEN (PULLET) IN MIMARO</t>
  </si>
  <si>
    <t>Supply and Delivery of Commonly-Used Supplies of SPAMAST for FY 2020 (2nd Posting)</t>
  </si>
  <si>
    <t>20GGJ0061 Supply and Delivery of Office Supplies/Furniture for the use of Planning and Design Section, DPWH - ICDEO</t>
  </si>
  <si>
    <t>Procurement of Motorcycle and Office Equipments</t>
  </si>
  <si>
    <t>Drydocking and Other Related Repairs of LD602</t>
  </si>
  <si>
    <t>CID No. 20GI00005 - Purchase/Delivery of Common Office and Janitorial Supplies for Use of Various Sections/Divisions for the 3rd Quarter, DPWH Regional Office VIII, Baras, Palo, Leyte</t>
  </si>
  <si>
    <t>20GIB0039: Purchase/delivery of Paints for use in the Repainting of Permanent Bridges and Railings.</t>
  </si>
  <si>
    <t>S1-B0620-021 - Supply and Delivery of Mechanical Spare Parts for 3.6MW Daihatsu Diesel Engine, Model No.: 12DK-32B of Power Barge 106</t>
  </si>
  <si>
    <t>SUPPLY AND DELIVERY OF 1,175 BOTTLES SPINETORAM AND 1,000 BOTTLES CHLORANTRANILIPROLE PESTICIDES TO BE USED FOR THE PREVENTION AND CONTROL MANAGEMENT AGAINST FALL ARMYWORM UNDER CORN PROGRAM FOR CY 20</t>
  </si>
  <si>
    <t>Continuation of the DRRM Operation Center</t>
  </si>
  <si>
    <t>Supply and Delivery of Additional Materials for the Growth Repairs on the DDORR of AGS701</t>
  </si>
  <si>
    <t>Supply and Delivery of Engineering Facilities (Improving Teaching and Learning of Engineering And Technology Programs Through Upgrading Of Facilities To Produce Graduates With Technical Skills Aligned</t>
  </si>
  <si>
    <t>CID No. 20GI00002 (Re-advertisement) - Purchase/Delivery/Installation of RTIA Traffic Count Equipment of Planning Section, Planning and Design Division, DPWH Regional Office VIII, Baras, Palo, Leyte</t>
  </si>
  <si>
    <t>Growth Repairs on the Machinery Growth Repairs of AGS701</t>
  </si>
  <si>
    <t>Supply and Delivery of PHILARPAT Uniform PMA Project</t>
  </si>
  <si>
    <t>Supply &amp; Delivery of materials for the Construction of Multi Purpose Hall, Brgy. Uddiawan, SNV.</t>
  </si>
  <si>
    <t>Supply &amp; Delivery of Ten (10) Wooden Table for use in Pasalubong Center</t>
  </si>
  <si>
    <t>ITB-198 Construction of Provincial Jail Covered Court,  Brgy. Libertad, Butuan City, Agusan del Norte</t>
  </si>
  <si>
    <t>SUPPLY AND DELIVERY OF ASSORTED PLASTIC CRATES, PLASTIC PALLETS, TROLLEY, MOBILE PLASTIC BIN AND MULTI-PURPOSE FOOD CONTAINER</t>
  </si>
  <si>
    <t>Supply and Delivery of Kitchen Equipment</t>
  </si>
  <si>
    <t>Repair and Maintenance of Komatsu Grader</t>
  </si>
  <si>
    <t>Supply and Delivery of Electrical Supplies, Instrument and Security Equipment (CCTV)</t>
  </si>
  <si>
    <t>Renovation of Female &amp; Male Comfort Room at 2nd Floor, Executive Building, Municipal compound, SNV</t>
  </si>
  <si>
    <t>SUPPLY AND DELIVERY OF LOT 2: 760 BAGS CHICK GROWER CRUMBLE FEEDS IN MIMARO</t>
  </si>
  <si>
    <t>Supply of Materials/Parts for the PMS/ COBS/RAS of PHILFLEET Vessels (Cummins Engines)</t>
  </si>
  <si>
    <t>Supply of Materials/ Parts for the PMS and COBS of PHIFLEET Vessels (PIELSTICK Engines)</t>
  </si>
  <si>
    <t>PROCUREMENT OF COLEGIO DE KAPATAGAN LIBRARY BOOKS</t>
  </si>
  <si>
    <t>HO-GRF20-001(PB2) - Split Type Metal Enclosure (STME) and Other Accessories Needed for the Reinforcement of the Buckle Anomaly and Damaged Flange Connection of Ilijan Natural Gas Pipeline</t>
  </si>
  <si>
    <t>Procurement of Supplementary Feeding Supplies</t>
  </si>
  <si>
    <t>Procurement of Various ICT Equipment SVP No. 2020-044</t>
  </si>
  <si>
    <t>PR-2020-1160 Four (4) Units Brand new Defibrillators (Rebid)-PHO</t>
  </si>
  <si>
    <t>Enhancement of Engineering and Technology Green Building (ETGB) Roof Skirting (Labor and Materials) - Talisay Campus, Brgy. Zone 1, Mabini St., Talisay City, Negros Occidental (2nd Publication)</t>
  </si>
  <si>
    <t>SUPPLY AND DELIVERY OF 166 HEADS UPGRADED GOAT</t>
  </si>
  <si>
    <t>21A00005: Retrofitting/Strengthening of Permanent Bridges, Bued Bridge (B00735LZ) along Manila North Road</t>
  </si>
  <si>
    <t>Purchase of 1 unit Floor Standing Airconditioner (4.5 HP) for Barangay Health Station at Barangay Polong, Bugallon, Pangasinan</t>
  </si>
  <si>
    <t>Procurement of Services – Collection, Hauling, and Disposal of Solid Waste at the City of Bacoor - CENRO</t>
  </si>
  <si>
    <t>Supply, Delivery and Installation of one (1) unit pressure vessel HFTB</t>
  </si>
  <si>
    <t>Acquisition of Engineering Equipment-Two(2) Units Mini Dumptruck (Dumping).</t>
  </si>
  <si>
    <t>Proposed Design and Build for the Construction of Covered Court (Phase-1) - Binalbagan Campus, Brgy. Enclaro, Binalbagan, Negros Occidental (2nd Publication)</t>
  </si>
  <si>
    <t>Inspection and Repair as Necessary of NV320</t>
  </si>
  <si>
    <t>"Contract for the Supply of Labor, Materials, Tools and Equipments necessary for the Construction of Evacuation Center at Barangay Salvacion and La Paz, Carmen, Davao del Norte</t>
  </si>
  <si>
    <t>IMPROVEMENT OF QUADRANGLE (PHASE I) AT OMSC LABANGAN</t>
  </si>
  <si>
    <t>Construction of Reservoir at Brgy. Tubod, Merida, Leyte</t>
  </si>
  <si>
    <t>Invitation to Bid for the Catering Services for Training Programs and Extension Activities for Third and Fourth Quarter</t>
  </si>
  <si>
    <t>20AF0080, CONSTRUCTION OF THREE (3) STOREY SIX (6) CLASSROOM SCHOOL BUILDING, DON EULOGIO DE GUZMAN MEMORIAL NATIONAL HIGH SCHOOL, BAUANG, LA UNION</t>
  </si>
  <si>
    <t>Installation and Fabrication of Water System</t>
  </si>
  <si>
    <t>Construction of Reservoir at Brgy. Calunasan, Merida, Leyte</t>
  </si>
  <si>
    <t>Supply of Materials for the Repair and Maintenance of COMMELEX &amp; NAVSENS  Equipment of Five (5) AW109 Helicopter (NH430, NH431, NV432, NH434, NH435) and Two (2) ASW159 Helicopter (NH440, NH441)</t>
  </si>
  <si>
    <t>One (1) Lot – Hardware and Software Maintenance and Technical Support Services for the Network Data Leakage Protection (NDLP), as per BSP Terms of Reference and Service Level Agreement</t>
  </si>
  <si>
    <t>INVITATION TO BID FOR PROCUREMENT OF CATERING SERVICES FOR THE KALAHI CEAC ACTIVITIES-2ND POSTING PROJECT ID NO: DSWD4B-2020-013</t>
  </si>
  <si>
    <t>1. construction of Brgy. Plaza 2. Construction of Street Lights</t>
  </si>
  <si>
    <t>Gala Uniform with Accessories</t>
  </si>
  <si>
    <t>Procurement of Agong</t>
  </si>
  <si>
    <t>AMP SVP-D NO: 20-08-0082C: Laboratory Supplies</t>
  </si>
  <si>
    <t>Runway Sweeper</t>
  </si>
  <si>
    <t>Construction of Reservoir at Brgy. Masumbang, Merida, Leyte</t>
  </si>
  <si>
    <t>Construction/Rehab. of Multi-Purpose Building at Brgy. Poblacion, Merida, Leyte</t>
  </si>
  <si>
    <t>Rehabilitation/Improvement of OSCA Building at Brgy. Poblacion, Merida, Leyte</t>
  </si>
  <si>
    <t>Improvement of Bachelors Officers Quarters (BOQ) Bldg Nr 6743</t>
  </si>
  <si>
    <t>CONSTRUCTION OF DA-MIMAROPA RESEARCH DIVISION MULTI-PURPOSE RESEARCH AND DEVELOPMENT FACILITY - SECOND POSTING</t>
  </si>
  <si>
    <t>Improvement of Drainage System at Brgy. Poblacion, Merida, Leyte</t>
  </si>
  <si>
    <t>ENG'G PASBAC 002-20 Supply and Delivery of Three (3) Units Truck Water Lorry</t>
  </si>
  <si>
    <t>Supply and Delivery of Handwashing Facilities</t>
  </si>
  <si>
    <t>ENG'G PASBAC 014-20 Supply and Delivery of Materials for the Construction of Artillery Training School Classroom at Fort Ramon Magsaysay, Nueva Ecija</t>
  </si>
  <si>
    <t>Melt Loading System</t>
  </si>
  <si>
    <t>20GAF0004, PURCHASE AND DELIVERY OF EQUIPMENT FOR USE IN THE CONDUCT OF PRELIMINARY DETAILED ENGINEERING, DPWH-LUSDEO, NATIVIDAD, NAGUILIAN, LA UNION</t>
  </si>
  <si>
    <t>Supply of Materials/Parts for the PMS and RAS of NAVSOG Units (Sponson)</t>
  </si>
  <si>
    <t>Supply and Delivery of Hardware Supplies and Materials for the Food Processing Center of MSC Gasan</t>
  </si>
  <si>
    <t>Procurement of 1 Unit Passenger Van, NIPSC, Barotac Viejo, Iloilo</t>
  </si>
  <si>
    <t>Procurement of Solid Waste Management Machineries Equipments</t>
  </si>
  <si>
    <t>Procurement of Multipurpose Vehicle - MO</t>
  </si>
  <si>
    <t>Spares for the Maintenance of Crew Escape System of FA-50PH Aircraft</t>
  </si>
  <si>
    <t>ENG'G PASBAC 012-20 Supply and Delivery of Materials and Labor for the Enhancement Of Financial Records Branch (FRB) Building At Fort Bonifacio, Metro Manila</t>
  </si>
  <si>
    <t>Various Reloading Components</t>
  </si>
  <si>
    <t>Completion of Evacuation Center at Brgy. Poblacion, Merida, Leyte</t>
  </si>
  <si>
    <t>INVITATION TO BID FOR THE PURCHASE OF VACUUM FRYER</t>
  </si>
  <si>
    <t>Purchase of Motor Boat Fiberglass (Modified “V” Hull)</t>
  </si>
  <si>
    <t>Cartridge, 9mm, Ball</t>
  </si>
  <si>
    <t>Supply and Delivery of Bond Papers for the Reproduction of Quarter 2 Learning Activity Sheets/Modules</t>
  </si>
  <si>
    <t>Supply and Delivery of Bond Papers for the Reproduction of Quarter 1 Learning Activity Sheets/Modules</t>
  </si>
  <si>
    <t>For the printing and Soft Binding of Self Learning Modules for the Schools Division Of Laoag City learners (to cover funding requirements for the implementation of basic education learning continuity</t>
  </si>
  <si>
    <t>20CSKC0003: SOIL TESTING / EXPLORATION FOR THE WIDENING OF PERMANENT BRIDGE (5 SITE LOCATIONS), KALILANGAN &amp; PANGANTUCAN, BUKIDNON</t>
  </si>
  <si>
    <t>Supply and Delivery of DRRM Preparedness Materials and Equipment</t>
  </si>
  <si>
    <t>20GFE0015- PROCUREMENT OF EQUIPMENT/APPARATUS, OFFICE, IT AND JANITORIAL SUPPLIES FOR QUALITY ASSURANCE SECTION</t>
  </si>
  <si>
    <t>Procurement of two (2) units of motorcycle</t>
  </si>
  <si>
    <t>Construction of Reservoir at Brgy. Mahayag, Merida, Leyte</t>
  </si>
  <si>
    <t>Installation of Assessment and Warning Devices in Major Rivers</t>
  </si>
  <si>
    <t>Procurement of Commonly-Used Supplies, NIPSC, Estancia, Iloilo</t>
  </si>
  <si>
    <t>Cartridge, 20mm, HEI Linked, and Two (2) Other Line Items</t>
  </si>
  <si>
    <t>Construction of DRRM Operation Center (Phase 2)</t>
  </si>
  <si>
    <t>Procurement of ICIE (PHILARPAT Uniforms and 2 other items – (Lot 10)</t>
  </si>
  <si>
    <t>Spares and Services for the Maintenance of FA-50PH Aircraft</t>
  </si>
  <si>
    <t>SUPPLY AND INSTALLATION OF VARIOUS AIRCONDITIONING UNIT FOR THE USE OF VARIOUS OFFICES</t>
  </si>
  <si>
    <t>REPRODUCTION OF SELF-LEARNING MODULES</t>
  </si>
  <si>
    <t>20GIB0040: Purchase/delivery of Asphalt for use in the Crack and Joint Sealing, and for use in the Maintenance activities along Eastern Samar Road Network.</t>
  </si>
  <si>
    <t>Development of a Prototype Trimaran Multipurpose Fishing Vessel, NIPSC, Estancia, Iloilo</t>
  </si>
  <si>
    <t>DRL-20-0326-B PURCHASE OF DUPLICATING MACHINE</t>
  </si>
  <si>
    <t>Consulting Services for the Standardization of the Performance Incentive Scheme (PIS) For Privately-Owned Electricity Distribution Utilities (DUs)</t>
  </si>
  <si>
    <t>S1-B1420-010 - Supply and Delivery of Spare Parts for 650kW FG Wilson Diesel Engine, Model: 4006-23TAG3A (P800P1) of Power Barge 114</t>
  </si>
  <si>
    <t>Spares for the Scheduled Maintenance of FA-50PH Aircraft</t>
  </si>
  <si>
    <t>DRL-20-0743-B PURCHASE OF CAUTERY MACHINE</t>
  </si>
  <si>
    <t>Cont. of Brgy. Hall</t>
  </si>
  <si>
    <t>DRL-20-0723-B PURCHASE OF PORTABLE DROPLIGHT</t>
  </si>
  <si>
    <t>DRL-20-0745-B PURCHASE OF SUCTION MACHINE</t>
  </si>
  <si>
    <t>Proposed Road Concreting of Circumferential Road/Ninoy Aquino Extension at junction Kidapawan-Calunasan Mlang Road-Purslane Section, Brgy. Magsaysay, Kidapawan City</t>
  </si>
  <si>
    <t>DRL-20-0744-B PURCHASE OF INFANT WEIGHING SCALE</t>
  </si>
  <si>
    <t>DRL-20-0327-B PURCHASE OF DIGITAL COPIER PRINTER SCANNER</t>
  </si>
  <si>
    <t>DRL-20-0721-B PURCHASE OF EMERGENCY CART TROLLY</t>
  </si>
  <si>
    <t>Construction of Seawall in Brgy. Inasuyan, Kawayan, Biliran</t>
  </si>
  <si>
    <t>ESTABLISHMENT OF THREE (3) UNITS OF SMALL WATER IMPOUNDING SYSTEM (SWIS) AT BRGY. ROSACARA, BANSUD, ORIENTAL MINDORO</t>
  </si>
  <si>
    <t>DRL-20-0722-B PURCHASE OF NEBULIZER MACHINE</t>
  </si>
  <si>
    <t>REPAIR/IMPROVEMENT OF PERIMETER FENCE AND REPAIR AND MAINTENANCE: COMPLETION OF FRONT PERIMETER FENCE AT OMSC LABANGAN (LOT 1&amp;2)</t>
  </si>
  <si>
    <t>Bomb, 500lbs, Inert and Six (6) Other Line Items</t>
  </si>
  <si>
    <t>UPGRADING/ IMPROVEMENT OF LEGISLATIVE BUILDING, CAPITOL COMPOUND</t>
  </si>
  <si>
    <t>INVITATION TO BID FOR PURCHASE OF ONE (1) UNIT AMBULANCE</t>
  </si>
  <si>
    <t>CONTRACT FOR THE SUPPLY AND DELIVERY OF VARIOUS PIPES AND  FITTINGS, GATE VALVES AND CONSTRUCTION MATERIALS</t>
  </si>
  <si>
    <t>Construction/Rehab of MPP (Covered Court)</t>
  </si>
  <si>
    <t>Supply, delivery and installation of multi-function full color inkjet printer for the printing and reproduction of self-learning modules of the Kidapawan City Division</t>
  </si>
  <si>
    <t>Installation of Water System at Brgy. Poblacion, Merida, Leyte</t>
  </si>
  <si>
    <t>PURCHASE OF MULTI CAB</t>
  </si>
  <si>
    <t>2019-12-1246 "Procurement of Works for the Proposed Renovation of Provincial Capitol Lobby"</t>
  </si>
  <si>
    <t>2020-07-999 "Procurement of Civil Works for the Rehabilitation of Bahay Pag-asa Development Center"</t>
  </si>
  <si>
    <t>Supply and Delivery of Commercial Feeds</t>
  </si>
  <si>
    <t>SUPPLY, DELIVERY, INSTALLATION AND CONFIGURATION OF TSU WIFI MODERNIZATION FOR LUCINDA CAMPUS (PHASE I)</t>
  </si>
  <si>
    <t>Supply of Labor, Materials and Equipment for the Construction/Rehabilitation of Pipe Culvert/Box Culvert, Brgy. Pinagtung-Ulan, San Jose, Batangas</t>
  </si>
  <si>
    <t>Supply of Labor, Materials and Equipment for the Improvement of Sidewalk, Poblacion Barangay I, San Jose, Batangas</t>
  </si>
  <si>
    <t>2020-05-693 "Procurement of Goods for Repainting of Capitol Old and New Building (Exterior Surface)"</t>
  </si>
  <si>
    <t>2020-07-931 "Procurement of 1 unit 6x4 Water Truck for PGO"</t>
  </si>
  <si>
    <t>Supply of Labor, Materials and Equipment for the Installation of Streetlights, Brgy. Lapolapo I (Sitio Aguila Compound), San Jose, Batangas</t>
  </si>
  <si>
    <t>Construction of Street Light</t>
  </si>
  <si>
    <t>Invitation to Bid for the Construction of Public Market</t>
  </si>
  <si>
    <t>CONSTRUCTION OF MULTI PURPOSE BUILDING</t>
  </si>
  <si>
    <t>REHABILITATION OF BARANGAY ROADS AT SUMILAO AREA 2020</t>
  </si>
  <si>
    <t>Construction of Barangay Road @ proper toward Cabugao, Brgy. San Rafael, Burdeos, Quezon</t>
  </si>
  <si>
    <t>CONCRETING OF PORTION ANGGA ROAD (FARM TO MARKET ROAD)</t>
  </si>
  <si>
    <t>Repair and Maintenance of Different Vehicles of Mayor's Office, PNP and BFP</t>
  </si>
  <si>
    <t>CONSTRUCTION OF LOCAL ACCESS ROAD (BRGY. BAGACAY WEST-PANSUD ROAD)</t>
  </si>
  <si>
    <t>IMPROVEMENT OF NIA ACCESS ROAD TO CARAA GROUND</t>
  </si>
  <si>
    <t>PROCUREMENT OF VARIOUS I.T. EQUIPMENT</t>
  </si>
  <si>
    <t>Supply and Delivery of Office Equipment for Municipal Engineering Office</t>
  </si>
  <si>
    <t>IMPROVEMENT OF LIBERTAD WATERWORKS SYSEM</t>
  </si>
  <si>
    <t>Supply and Delivery of Office IT Equipment to be used for different schools of the Municipality of Tabuelan, Cebu</t>
  </si>
  <si>
    <t>Supply and Delivery of Office Equipment for Municipal Social Welfare and Development Office</t>
  </si>
  <si>
    <t>1 set Transit Total Station (GNSSRTK)</t>
  </si>
  <si>
    <t>Installation of Upgraded Local Government System and Purchase of Read and Bill</t>
  </si>
  <si>
    <t>UPLB-S-030-08-20 REBID, PROCUREMENT OF SIPHONING SERVICES OF SEPTIC TANKS FOR UPLB DORMITORIES (NEW DORMITORY, VETMED DORMITORY, FORESTRY RESIDENCE HALL, NEW FORESTRY RESIDENCE HALL) REBID</t>
  </si>
  <si>
    <t>PURCHASE OF ONE UNIT RESCUE/ MULTI-PURPOSE VEHICLE OF BRGY. LINAON, CAUAYAN. NEGROS OCCIDENTAL</t>
  </si>
  <si>
    <t>PURCHASE OF ONE UNIT RESCUE/ MULTI-PURPOSE VEHICLE OF BRGY. ISIO, CAUAYAN. NEGROS OCCIDENTAL</t>
  </si>
  <si>
    <t>Supply and Delivery of Office Equipment for PDAO</t>
  </si>
  <si>
    <t>Invitation to Bid for the Excavation, Backfilling, Compaction, Pavement Demolition and Restoration of the Proposed Rehabilitation of Old Distribution Main Line of City Proper &amp; Villafor #1 Pumping Sta</t>
  </si>
  <si>
    <t>Purchase of Medical and Laboratory Supplies for the Northern Samar Provincial Hospital Barangay Acacia Catarman, Northern Samar</t>
  </si>
  <si>
    <t>2020-07-1116 "Procurement of Pipes for Transmission and Distribution, Solar Pumps for Water System"</t>
  </si>
  <si>
    <t>UPGRADING OF PERIMETER FENCE OF CIRIACO P. TINGA ELEMENTARY SCHOOL</t>
  </si>
  <si>
    <t>Concreting of Road in Brgy. Sta. Fe, Abuyog, Leyte, ABC PHP3,264,650.15</t>
  </si>
  <si>
    <t>Construction of Multi-Purpose Bldg. (Phase 2) in Brgy. Calingcaguing, Barugo, Leyte, ABC PHP3,315,231.96</t>
  </si>
  <si>
    <t>PROCUREMENT OF VARIOUS OFFICE SUPPLIES, CLEANING EQUIPMENT SUPPLIES AND COMPUTER SUPPLIES (3RD &amp; 4TH QUARTER CONSOLIDATED 2020) (BY LOT), LGU, MALAYBALAY CITY.</t>
  </si>
  <si>
    <t>Construction of Water System in Brgy. Nebga, Abuyog, Leyte, ABC PHP4,278,091.47</t>
  </si>
  <si>
    <t>Improvement of Multi-Purpose Pavement</t>
  </si>
  <si>
    <t>PROCUREMENT OF FAMILY PLANNING KITS</t>
  </si>
  <si>
    <t>Concreting of Road in Brgy. Buenavista, Palompon, Leyte, ABC PHP3,637,869.68</t>
  </si>
  <si>
    <t>MUSICAL INSTRUMENTS</t>
  </si>
  <si>
    <t>Procurement of Materials for Building Maintenance</t>
  </si>
  <si>
    <t>CONSULTING SERVICES FOR THE PREPARATION OF SAN ISIDRO MALL (AGRO MALL), PUBLIC MARKET AND TRANSPORT TERMINAL FEASIBILITY STUDY, PLAN AND DETAILED ENGINEERING DESIGN</t>
  </si>
  <si>
    <t>UPLB-S-050-08-20, SUPPLY AND DELIVERY OF  BOOKS FOR UNIVERSITY LIBRARY</t>
  </si>
  <si>
    <t>20CSKG04 - Conduct of Parcellary Survey of Affected Lots within the Road Right-of-Way in Order to Ensure Expeditious Implementations of All Infrastructure Projects, Linamon-Zamboanga Road, K1594+(-190</t>
  </si>
  <si>
    <t>Voice &amp; Data subscription for Inmarsat Disaster Emergency Communication Equipment</t>
  </si>
  <si>
    <t>REBIDDING OF THE SUPPLY, DELIVERY, INSTALLATION AND COMMISSIONING OF ONE (1) UNIT ENT-HNS DIGITAL VIDEO STROBOSCOPE</t>
  </si>
  <si>
    <t>Installation of Solar Street Lights in Brgy. District IV, Pastrana, Leyte, ABC PHP2,604,216.30</t>
  </si>
  <si>
    <t>20CSKC0004: SOIL TESTING / EXPLORATION FOR THE WIDENING OF PERMANENT BRIDGE (3 SITE LOCATIONS), MANOLO FORTICH, TALAKAG &amp; MALITBOG, BUKIDNON</t>
  </si>
  <si>
    <t>Procurement of One (1) Unit AUV 2.8 L Diesel, Automatic (Procurement of Goods)</t>
  </si>
  <si>
    <t>2020-07-1004 "Procurement of Works for the Construction of Multi-Purpose Building at Provincial Engineer's (PEO)"</t>
  </si>
  <si>
    <t>Construction of Concrete Pathway in Brgy. Buenavista, Abuyog, Leyte, ABC PHP2,639,337.41</t>
  </si>
  <si>
    <t>One (1) Job Contract for the Proposed 60 L.M. Hanging Foot Bridge, Brgy. Sarapan, Passi City, Iloilo/CEO</t>
  </si>
  <si>
    <t>Construction of Multi-Purpose Bldg. (Phase 2) in Brgy. Cantariwis, Tolosa, Leyte, ABC PHP2,708,6401.31</t>
  </si>
  <si>
    <t>MG-A7M20-010..TOTAL REPLACEMENT OF STOP LOGS IN THE TAILRACE OF UNITS 1 &amp; 2</t>
  </si>
  <si>
    <t>Installation of Solar Street Lights in Brgys. Cabuloran &amp; Hinabuyan and at Maragondong Elem. School, all in Dagami, Leyte, ABC PHP2,646,574.12</t>
  </si>
  <si>
    <t>20GGJ0059 Supply and Delivery of Materials for the Instructional/Coordination Meeting, Validation, Survey and other MYPS Enhancement for the use of Planning and Design Section, DPWH - ICDEO</t>
  </si>
  <si>
    <t>20GGJ0060 Supply and Delivery of Office Equipment (3rd Quarter, CY 2020) for the use of Planning and Design Section, DPWH - ICDEO</t>
  </si>
  <si>
    <t>Construction of Multi-Purpose Bldg. (Phase 2) in Brgy. Pilit, Sta. Fe, Leyte, ABC PHP3,134,682.45</t>
  </si>
  <si>
    <t>Supply and Delivery of 24,592 bags Hybrid Palay Seeds for use of Rice Program 2020</t>
  </si>
  <si>
    <t>1 unit Stake Truck 6 wheelers</t>
  </si>
  <si>
    <t>Housing &amp; Resettlement Project Access Road to LGU Lot No. 2793, Mabua, Tandag City</t>
  </si>
  <si>
    <t>Procurement of One (1) Unit AUV 2.8 L Diesel, Manual (Procurement of Goods)</t>
  </si>
  <si>
    <t>Construction of Multi-Purpose Bldg. (Phase 2) in Brgy.  Calunangan, Merida, Leyte, ABC PHP2,584,238.36</t>
  </si>
  <si>
    <t>Office Supplies for use of Listahanan 3 Validation Activities</t>
  </si>
  <si>
    <t>Supply of Labor, Materials and Equipment for the Installation of Streetlights, Brgy. Palanca, San Jose, Batangas</t>
  </si>
  <si>
    <t>Supply of Labor, Materials and Equipment for the Installation of Streetlights, Brgy. Don Luis, San Jose, Batangas</t>
  </si>
  <si>
    <t>Supply and Delivery of Motor Vehicle, Waterworks Section, San Jose, Batangas (Re-Bid)</t>
  </si>
  <si>
    <t>REQUEST FOR EXPRESSION OF INTEREST FOR THE CONSULTANCY SERVICES FOR INSTALLATION OF A FINANCIAL AND INVENTORY MANAGEMENT SYSTEM FOR MAHAYAG FARMERS MULTI-PURPOSE COOPERATIVE(MAFAMCO) OF THE SALUG VALL</t>
  </si>
  <si>
    <t>Construction of Multi-Purpose Bldg. (Covered Court) in Brgy. Campokpok, Tabango, Leyte, ABC PHP4,989,598.41</t>
  </si>
  <si>
    <t>Supply of Labor, Materials and Equipment for the Installation of Streetlights, Brgy. Mojon-Tampoy, San Jose, Batangas</t>
  </si>
  <si>
    <t>Bomb, 500lbs, LDGP HE and one (1) Other Line Item</t>
  </si>
  <si>
    <t>IMPROVEMENT OF LIBERTAD WATERWORKS SYSTEM          (Purok 8, Poblacion Libertad, Mis.Or)</t>
  </si>
  <si>
    <t>Transport Vehicle (CABANCALAN-01-2020)</t>
  </si>
  <si>
    <t>SUPPLY, DELIVERY, INSTALLATION, AND COMMISSIONING OF ONE (1) UNIT 32 SLICE COMPUTED TOMOGRAPHY- SCAN MACHINE (CT-SCAN)</t>
  </si>
  <si>
    <t>Supply of Labor, Materials and Equipment for the Installation of Streetlights, Brgy. Lapolapo I, San Jose, Batangas</t>
  </si>
  <si>
    <t>Supply and Delivery of 400pcs. Toilet Bowl &amp; 400pcs. Plastic Blue Drums</t>
  </si>
  <si>
    <t>PROCUREMENT OF IT EQUIPMENT AND PHOTOCOPIER</t>
  </si>
  <si>
    <t>REHABILATATION OF BRGY. PUBLIC MARKET (REPAIR OF ROOFING)</t>
  </si>
  <si>
    <t>Supply and delivery of rescue equipments and apparel for the use of the CDRRMO/Call 911, Kidapawan City</t>
  </si>
  <si>
    <t>20-05-162 - Provision for Janitorial and General Support Services for Bicol Area (Re-bidding)</t>
  </si>
  <si>
    <t>Construction of Multi-Purpose Bldg. (Phase 1) in Brgy. Sherwood, Albuera, Leyte, ABC PHP2,495,607.20</t>
  </si>
  <si>
    <t>PROCUREMENT OF DIGITAL DUPLICATOR AND PHOTOCOPIER</t>
  </si>
  <si>
    <t>Construction of Multi-Purpose Bldg. (Phase 1) in Brgy. Bayabas, Dagami, Leyte, ABC PHP2,500,185.19</t>
  </si>
  <si>
    <t>MG-A5C20-011..BATTERY BANK, 125VDC INDUSTRIAL LEAD ACID BATTERIES, 60 UNITS</t>
  </si>
  <si>
    <t>Improvement of Multi-Purpose Bldg. (Phase 1) of Matalom National High School in Matalom, Leyte, ABC PHP2,516,977.72</t>
  </si>
  <si>
    <t>Supply and delivery of various livelihood materials for swine production, rice trading, sari-sari store, dried fish and pusit trading and carpentry under DOLE-SFO (Second Posting)</t>
  </si>
  <si>
    <t>Procurement of Supply &amp; Delivery of 38 sets Layer Poultry Package</t>
  </si>
  <si>
    <t>MG-A7M20-006..FABRICATION OF TRASH RACKS AT AGUS 6 HEP UNIT 3</t>
  </si>
  <si>
    <t>PROCUREMENT OF VEHICLE</t>
  </si>
  <si>
    <t>Construction of Multi-Purpose Bldg. (Phase 2) in Brgy. Casilda, Merida, Leyte, ABC PHP2,544,437.45</t>
  </si>
  <si>
    <t>Procurement of Plastic envelopes for Distance Learning Program of the Tarlac City Schools Division Office. B2020-099-A</t>
  </si>
  <si>
    <t>Procurement of Supply &amp; Delivery of Inorganic Fertilizers (rebid)</t>
  </si>
  <si>
    <t>Development and Deployment of Philippines Anti-Illegal Drugs Strategy - Agency Reporting and Monitoring System (PADS-ARMS)</t>
  </si>
  <si>
    <t>20CG0262 - Local Infrastructure Program: Buildings and Other Structures – Multipurpose/ Facilities – Rehabilitation/ Improvement of Multi-Purpose Building (Covention Center), Brgy. Lourdes, City of Sa</t>
  </si>
  <si>
    <t>PGSO-2020-0194 PR2020-0561 INVITATION TO BID FOR THE PROCUREMENT OF CANOPY FOR TENT AND TENTS WITH CANOPY FOR USE AT PGBH ACTIVITIES AT NEW CAPITOL BUILDING AND OTHER FACILITIES</t>
  </si>
  <si>
    <t>Construction of ATV Parking Bay and Storeroom at Jose V. Yap Recreational Park, San Juan de Valdez, San Jose, Tarlac - B-CW-2020-037</t>
  </si>
  <si>
    <t>Rehabilitation of Tarlac-Gerona-Paniqui via San Isidro Provincial Road at Brgy. Sembrano, Gerona, Tarlac - B-CW-2020-036</t>
  </si>
  <si>
    <t>REHABILITATION OF STREET LIGHTING</t>
  </si>
  <si>
    <t>PEO-2020-0195 PR2020-0562 INVITATION TO BID FOR THE PROCUREMENT OF ANAPOG</t>
  </si>
  <si>
    <t>Rehabilitation of Calipayan-San Sotero-Pitombayog Provincial Road at Brgy. Calipayan and San Sotero, Sta. Ignacia, Tarlac - B-CW-2020-035</t>
  </si>
  <si>
    <t>PROPOSED PATHWAY TO BASKETBALL COURT</t>
  </si>
  <si>
    <t>Rehabilitation of Labney-David Provincial Road at Brgy. Labney and David, San Jose, Tarlac - B-CW-2020-034</t>
  </si>
  <si>
    <t>Supply &amp; Delivery of Books and Other Library Resources</t>
  </si>
  <si>
    <t>2020-07-935 "Procurement of Two (2) units 6-Wheeler 4000L PTO Fire Truck"</t>
  </si>
  <si>
    <t>CONSULTING SERVICES FOR THE PREPARATION OF FEASIBILITY STUDY (FS), SURVEY AND DETAILED ENGINEERING DESIGN (D.E.D.) OF THE PHILIPPINE RURAL DEVELOPMENT PROJECT (PRDP): 1) CONCRETING OF RIZAL WEST-RAMOS</t>
  </si>
  <si>
    <t>HO-PES20-004 - Supply and Delivery of Automatic Dater Stamp</t>
  </si>
  <si>
    <t>PEO-2020-0197 PR2020-0575 INVITATION TO BID FOR THE PROCUREMENT OF LABOR, MATERIALS, AND EQUIPMENT FOR THE CONSTRUCTION OF 2-CLASSROOM SCHOOL BUILDING WITH PWD TOILETS AT MAHANAY HIGH SCHOOL AT MAHANA</t>
  </si>
  <si>
    <t>ITB-2020-08-055 PROCUREMENT OF PERISHABLE ITEMS FOR BANGUN IMPLEMENTATION IN BASILAN PROVINCE</t>
  </si>
  <si>
    <t>Procurement of construction materials for  Construction of Potable Water System @ Laya</t>
  </si>
  <si>
    <t>HARDWARE SUPPLIES</t>
  </si>
  <si>
    <t>Procurement of Rental of Heavy Equipments</t>
  </si>
  <si>
    <t>Procurement of Printing Machine (Risograph)-DepEd ,Lopez Jaena</t>
  </si>
  <si>
    <t>MG-A5C20-021..BUCHHOLZ RELAY, AGUS 5 HE PLANT</t>
  </si>
  <si>
    <t>PROCUREMENT OF MATERIALS FOR MDRRMO  MITIGATION AND RECOVERY PROGRAM</t>
  </si>
  <si>
    <t>BOLT</t>
  </si>
  <si>
    <t>Procurement of Meter Seals – Acceptance Test</t>
  </si>
  <si>
    <t>Public Bidding for the Supply and Delivery of Detachable Tablet Laptops and Printer for City Mayor’s Office under ITB No. 2020-023</t>
  </si>
  <si>
    <t>20GFL0005-Supply and delivery of various tires for use of various service vehicle at DPWH Sorsogon 2nd District Engineering Office</t>
  </si>
  <si>
    <t>Procurement of Calibration Equipment in Batangas State University, Pablo Borbon Main II</t>
  </si>
  <si>
    <t>AIRCONDITIONING UNIT</t>
  </si>
  <si>
    <t>TAPE</t>
  </si>
  <si>
    <t>Re-bidding: Supply and Delivery of Arm Chairs and Sala Sets (PR No. 2020-02-0376, 2020-02-0240, 2020-02-0371)</t>
  </si>
  <si>
    <t>Retaining Wall</t>
  </si>
  <si>
    <t>Medical</t>
  </si>
  <si>
    <t>Radiogram</t>
  </si>
  <si>
    <t>HO-UAR20-006 - Supply and Delivery of  Ink for EPSON</t>
  </si>
  <si>
    <t>Procurement of Equipment and CCTV Set for New I.T. Building</t>
  </si>
  <si>
    <t>Procurement of Three (3) Units Passenger Van and One (1) Unit Multi-Purpose Vehicle in Batangas State University, Pablo Borbon Main I</t>
  </si>
  <si>
    <t>Re-bidding: Supply and Delivery of Plaque for the PRAISE Awarding 2020 (PR No. 2020-06-0584)</t>
  </si>
  <si>
    <t>Lot 1: Supply and Delivery of Laboratory Equipment for Food Technology Instruction (PR No. 2020-02-0292) &amp; Lot 2: Supply and Delivery of Tools and Materials for Food Technology Instruction (PR No. 202</t>
  </si>
  <si>
    <t>Imp. of Multi-Purpose Hall</t>
  </si>
  <si>
    <t>PROCUREMENT OF THREE HUNDRED (300) TRUCKLOAD FILLING MATERIALS INCLUDING FUEL, OIL AND RIGHTS FOR ROAD MAINTENANCE AT EL SALVADOR CITY</t>
  </si>
  <si>
    <t>Construction of Ramp and Other PWD Requirements (Various Public Schools and Public Buildings), located at Makati City</t>
  </si>
  <si>
    <t>Supply and Delivery of Office Equipment (PR No. 2020-02-0311, 2020-02-0380, 2020-02-0273, 2020-01-0141)</t>
  </si>
  <si>
    <t>Renovation and Improvement of Pitogo Community Complex located at Cebu St. Cor. Luzon St., Brgy. Pitogo, Makati City</t>
  </si>
  <si>
    <t>Supply and Installation of Audio-Visual Equipment</t>
  </si>
  <si>
    <t>Rehabilitation, Repair, Renovation and Repainting of Cembo Talipapa located at Narra St. Brgy. Cembo, Makati City</t>
  </si>
  <si>
    <t>20AB0123: CONSTRUCTION OF ONE (1) STOREY - FOUR (4) CLASSROOM SCHOOL BUILDING, (100241) DON MARIANO MEMORIAL SCHOOL, PINILI, ILOCOS NORTE</t>
  </si>
  <si>
    <t>20G00114 - Construction of River bank protection works along Kalibo River, Kalibo Bridge III, Tigayon, Kalibo Section, Aklan</t>
  </si>
  <si>
    <t>20G00115 - Construction of River Bank Protection Works along Kalibo River, Kalibo Bridge III, Mina, Lezo Section, Aklan</t>
  </si>
  <si>
    <t>Proposed Construction of Police Headquarters, Mapsa Headquarters &amp; Cental Fire Station, located at Malugay Street, Brgy. San Antonio, Makati City</t>
  </si>
  <si>
    <t>Lot 2: Supply and Delivery of Laboratory Supplies for Garments Technology Instruction (PR No. 2020-02-0285)</t>
  </si>
  <si>
    <t>ITB20-7(infra)</t>
  </si>
  <si>
    <t>HAND TRUCK / PLATFORM TRUCK AND ELECTRIC SHOWER HEATER OF PHARMACY SECTION</t>
  </si>
  <si>
    <t>Supply and Delivery of IT Parts and Accessories (PR No. 2020-02-0120, 2020-02-0312, 2020-02-0203, 2020-02-0337, 2020-01-0034, 2020-01-0053, 2020-02-0225, 2020-02-0271, 2020-02-0308, 2020-02-0329, 2020</t>
  </si>
  <si>
    <t>20CSKA0001 Conduct of Soil Testing/Exploration for F.Y. 2021 Projects Malaybalay City</t>
  </si>
  <si>
    <t>PROJECT 6 - PROCUREMENT AND DELIVERY OF VARIOUS LABORATORY EQUIPMENT FOR LGU HOSPITALS IN ILOCOS REGION</t>
  </si>
  <si>
    <t>PROJECT 3 - PROCUREMENT AND DELIVERY OF VARIOUS LABORATORY EQUIPMENT FOR THE USE OF DISTRICT 2 OF LINGAYEN PANGASINAN</t>
  </si>
  <si>
    <t>Purchase of Various Fertilizers-Tobacco Farmers (MAO)</t>
  </si>
  <si>
    <t>PROJECT 2 - PROCUREMENT AND DELIVERY OF VARIOUS MEDICAL EQUIPMENT FOR THE USE OF DISTRICT 2 OF LINGAYEN PANGASINAN</t>
  </si>
  <si>
    <t>PROJECT 1 - PROCUREMENT AND DELIVERY OF VARIOUS HOSPITAL FIXTURE FOR THE USE OF DISTRICT 2 OF LINGAYEN PANGASINAN</t>
  </si>
  <si>
    <t>PROJECT 5 -  PROCUREMENT AND DELIVERY OF VARIOUS MEDICAL EQUIPMENT FOR LGU HOSPITALS IN ILOCOS REGION</t>
  </si>
  <si>
    <t>ITB No. GOP/20-DSWD-028-B - Supply and Delivery of Stretch Film to be used for the Production of Family Food Packs for CY 2020 Through Framework Agreement</t>
  </si>
  <si>
    <t>PROJECT 4 -  PROCUREMENT AND DELIVERY OF VARIOUS EQUIPMENT FOR THE USE OF DISTRICT 2 OF LINGAYEN PANGASINAN</t>
  </si>
  <si>
    <t>Construction of Multi-Purpose Bldg. (Phase 2) in Brgy. San Jose, Dulag, Leyte, ABC PHP2,988,619.00</t>
  </si>
  <si>
    <t>Supply and Delivery of Multimedia Projectors (PR No. 2020-02-0185, 2020-02-0299, 2020-02-0152, 2020-02-0339, 2020-02-0270, 2020-02-0299, 2020-02-0261)</t>
  </si>
  <si>
    <t>PROCUREMENT OF 1 UNIT REFRIGERATED VAN (BRAND NEW), MINI ALUMINUM VAN (RECONDITIONED) AND 11 UNITS MOTORCYCLES (BY LOT) LGU, MALAYBALAY CITY.</t>
  </si>
  <si>
    <t>Proposed Rehabilitation and Upgrading of Existing Streetlighting along Antipolo Street (Phase 1 and 2) located at Barangay Poblacion/Valenzuela, Makati City</t>
  </si>
  <si>
    <t>PROJECT 8 - PROCUREMENT AND DELIVERY OF VARIOUS MEDICAL EQUIPMENT FOR BARANGAY HEALTH STATION (BHS) IN ILOCOS REGION</t>
  </si>
  <si>
    <t>Construction of Perimeter Fence of Sports Complex Phase I at Poblacion III, Carcar City, Cebu</t>
  </si>
  <si>
    <t>Proposed Perimeter Fence along Residential Area at Makati Homes-I, located at H. Santos Street, Brgy. Tejeros, Makati City</t>
  </si>
  <si>
    <t>Proposed Entry Landmark in Various Locations at Makati City</t>
  </si>
  <si>
    <t>PROCUREMENT OF PLASTIC PALLET IB NO. 2020-232</t>
  </si>
  <si>
    <t>Procurement of Internet Access Subscription (IAS2) (Main, Visayas, Mindanao) (100, 20, 20 Mbps)</t>
  </si>
  <si>
    <t>INVITATION TO BID FOR THE SALE OF VARIOUS UNSERVICEABLE PROPERTIES ON “AS IS, WHERE IS” BASIS</t>
  </si>
  <si>
    <t>Construction of Multi-Purpose Bldg. (Phase 2) in Brgy. Paghudlan, Burauen, Leyte ABC PHP2,588,734.33</t>
  </si>
  <si>
    <t>CONSTRUCTION OF DRAINAGE SYSTEM AT TAMBALING 2, PEDRO SA BACULIO, EL SALVADOR CITY</t>
  </si>
  <si>
    <t>INVITATION TO BID - 3.) Purchase of 132 units All-In-One Ink Tank Printers &amp; 1 Unit Multifunction Printer (High End)</t>
  </si>
  <si>
    <t>Procurement of Security Services (For the Energy Regulatory Commission’s Main Office, Visayas Area Operations Division, and Mindanao Area Operations Division)</t>
  </si>
  <si>
    <t>HO-UAR20-005 - Supply and Delivery of  Various Construction Materials</t>
  </si>
  <si>
    <t>ITB-2020-08-056 PROCUREMENT OF GROCERY ITEMS FOR BANGUN IMPLEMENTATION IN BASILAN PROVINCE</t>
  </si>
  <si>
    <t>ITB-2020-08-061 PROCUREMENT OF PERISHABLE ITEMS FOR BANGUN IMPLEMENTATION IN SULU PROVINCE</t>
  </si>
  <si>
    <t>Supply, Handling, Transport, and  Delivery of Livestock</t>
  </si>
  <si>
    <t>Supply and Delivery of 1666 Units Android Tablets for use of the students for the new normal delivery of Basic Education</t>
  </si>
  <si>
    <t>SUPPLY AND DELIVERY OF VARIOUS DRUGS AND MEDICINES FOR THE BOTIKA ON WHEELS PROGRAM OF THE PROVINCIAL GOVERNMENT OF CAVITE</t>
  </si>
  <si>
    <t>SUPPLY AND DELIVERY OF SODIUM ASCORBATE (VITAMIN C) FOR THE BOTIKA ON WHEELS PROGRAM OF THE PROVINCIAL GOVERNMENT OF CAVITE</t>
  </si>
  <si>
    <t>REPRODUCTION AND DOOR TO DOOR DELIVERY TO SCHOOLS DIVISION OFFICES OF REGION VII OF SELF-LEARNING MODULES PROVIDED BY THE DEPED CENTRAL OFFICE FOR QUARTER I</t>
  </si>
  <si>
    <t>PURCHASE/INSTALLATION OF SUBMERSIBLE PUMP- BRGY. PUTINGBUHANGIN</t>
  </si>
  <si>
    <t>brand new concrete mixer</t>
  </si>
  <si>
    <t>PURCHASE/INSTALLATION OF SUBMERSIBLE PUMP- SITIO CARUFF, BRGY. SAMPIRO</t>
  </si>
  <si>
    <t>PURCHASE/INSTALLATION OF SUBMERSIBLE PUMP- SITIO BAGONG POOK, BRGY. SAPANGAN</t>
  </si>
  <si>
    <t>CONSTRUCTION OF WATERWORKS SYSTEM AT RELOCATION SITE, LINABO, COGON, EL SALVADOR CITY</t>
  </si>
  <si>
    <t>INVITATION TO BID - 1.) Purchase of 10 Units High-End Laptop and 104 units Regular Laptop</t>
  </si>
  <si>
    <t>INVITATION TO BID - 2.) Supply and Delivery of 90 units Document Scanner &amp; 2 Units Projector</t>
  </si>
  <si>
    <t>Procurement of One Lot Office Equipment 2020-03</t>
  </si>
  <si>
    <t>PURCHASE/INSTALLATION OF SUBMERSIBLE PUMP- BRGY. LIBATO</t>
  </si>
  <si>
    <t>SUPPLY, AND DELIVERY OF BROTHER TONER, TN-3448 (ORIGINAL) COMPATIBLE WITH  HL-L6400DW HIGH VOLUME MONOCHROME LASER PRINTER</t>
  </si>
  <si>
    <t>PURCHASE/INSTALLATION OF SUBMERSIBLE PUMP- SITIO NIUGAN, BRGY. SAPANGAN</t>
  </si>
  <si>
    <t>ITB-2020-08-060 PROCUREMENT OF SEMI-PERISHABLE ITEMS FOR BANGUN IMPLEMENTATION IN TAWI-TAWI PROVINCE</t>
  </si>
  <si>
    <t>ITB-2020-08-063 PROCUREMENT OF SEMI-PERISHABLE ITEMS FOR BANGUN IMPLEMENTATION IN SULU PROVINCE</t>
  </si>
  <si>
    <t>Reinsurance of the Industrial All Risk Insurance of the Department of Transportation – Metro Rail Transit 3 (DOTr-MRT3)</t>
  </si>
  <si>
    <t>ITB-2020-08-057 PROCUREMENT OF SEMI-PERISHABLE ITEMS FOR BANGUN IMPLEMENTATION IN BASILAN PROVINCE</t>
  </si>
  <si>
    <t>ITB-2020-08-062 PROCUREMENT OF GROCERY ITEMS FOR BANGUN IMPLEMENTATION IN SULU PROVINCE</t>
  </si>
  <si>
    <t>SUPPLY &amp; DELIVERY OF LIVESTOCK AND OTHER VARIOUS MATERIALS FOR ICFP PROGRAM</t>
  </si>
  <si>
    <t>ITB-2020-08-059 PROCUREMENT OF GROCERY ITEMS FOR BANGUN IMPLEMENTATION IN TAWI-TAWI PROVINCE</t>
  </si>
  <si>
    <t>PURCHASE/INSTALLATION OF SUBMERSIBLE PUMP- BRGY. ESCRIBANO</t>
  </si>
  <si>
    <t>Brangay Operation Monitoring System (BOMS)</t>
  </si>
  <si>
    <t>PB INFRA 20-047_Construction of Two (2) Lane RCDG Bridge, Manobo, Magpet, Cotabato</t>
  </si>
  <si>
    <t>Door to Door Campaign on Waste Segregation</t>
  </si>
  <si>
    <t>Computer Literacy Program</t>
  </si>
  <si>
    <t>Procurement of Goods for Fish Production-Related Program in Support to Bayanihan to Heal as One Act</t>
  </si>
  <si>
    <t>Construction of  Irrigation Facilities/CABTRIS 20</t>
  </si>
  <si>
    <t>GOV-20-0942-B Purchase of DIESEL FUEL</t>
  </si>
  <si>
    <t>Procurement of Desktop Computers for Various Offices and Campuses in Batangas State University</t>
  </si>
  <si>
    <t>Concreting of Station Driveway (BFP-2020)</t>
  </si>
  <si>
    <t>Purchase of Risograph needed by the Ajuy National High School and Luca Junior High School for the reproduction of their educational materials</t>
  </si>
  <si>
    <t>PURCHASE OF BRAND NEW SHUTTLE BUS FOR USE AS SHUTTLE SERVICE OF THE PROVINCIAL CAPITOL EMPLOYEES</t>
  </si>
  <si>
    <t>SUPPLY AND DELIVERY OF CONSOLIDATED OFFICE SUPPLIES FOR USE OF PROVINCIAL HOSPITAL/SATELLITE HOSPITALS AND CCMH</t>
  </si>
  <si>
    <t>PURCHASE OF BRAND NEW JET SKI WITH TRAILER FOR USE IN PEACE AND ORDER PROGRAM OF THE PROVINCIAL GOVERNMENT</t>
  </si>
  <si>
    <t>PURCHASE OF HIGH PRESSURE VEHICLE EXTRICATION KIT AND DRONE FOR USE IN DISASTER PREPAREDNESS PROGRAMS FOR CY 2020</t>
  </si>
  <si>
    <t>SUPPLY AND DELIVERY OF CONSOLIDATED JANITORIAL SUPPLIES FOR USE OF PROVINCIAL HOSPITAL/SATELLITE HOSPITALS AND CCMH</t>
  </si>
  <si>
    <t>Concreting of Barangay Street (Materials Only)</t>
  </si>
  <si>
    <t>Supply, Delivery, Installation, Configuration, Migration, and Testing of Additional Servers for BTMS Infrastructure</t>
  </si>
  <si>
    <t>SUPPLY AND DELIVERY OF VARIOUS SUPPLIES FOR USE IN THE REPAIR/TROUBLESHOOTING/ MAINTENANCE OF IT EQUIPMENT OF DIFFERENT OFFICES OF THE PROVINCIAL GOVERNMENT OF CAVITE</t>
  </si>
  <si>
    <t>Supply, Handling, Transport, and  Delivery of Coconut Coir Based Organic Fertilizer</t>
  </si>
  <si>
    <t>PROJECT 9 – PROCUREMENT AND DELIVERY OF MEDICAL EQUIPMENT FOR THE USE OF VARIOUS FACILITIES IN REGION I</t>
  </si>
  <si>
    <t>Supply, Handling, Transport, and  Delivery of Various Fertilizer</t>
  </si>
  <si>
    <t>Urban Greening</t>
  </si>
  <si>
    <t>One (1) Lot Supply and Installation of Additional Security Fence and Gate at Gate 2, BSP Quezon City, as per BSP Scope of Work and Specifications and Plans/Drawings</t>
  </si>
  <si>
    <t>Fencing of Multi-Purpose Bldg./Covered Court</t>
  </si>
  <si>
    <t>CP 2020-51 BIDDING FOR THE SUPPLY AND DELIVERY OF VARIOUS TIRES C/O GSO</t>
  </si>
  <si>
    <t>CP 2020-50 BIDDING FOR THE SUPPLY, DELIVERY AND INSTALLATION OF FILE COMPACTOR C/O LCR</t>
  </si>
  <si>
    <t>CP 2020-49 BIDDING FOR JANITORIAL SERVICES FOR THE PERIOD OCTOBER 01, 2020 TO SEPTEMBER 30, 2023</t>
  </si>
  <si>
    <t>20AD0098 : Construction of Candon Sports Complex, Phase I, Bagani Campo, Candon City, Ilocos Sur</t>
  </si>
  <si>
    <t>20AD0097 : Construction of Candon Sports Complex, Phase II, Bagani Campo, Candon City, Ilocos Sur</t>
  </si>
  <si>
    <t>CP 2020-52 BIDDING FOR THE SUPPLY AND DELIVERY OF ONE (1) UNIT INSULATED MANLIFT TRUCK C/O CEO</t>
  </si>
  <si>
    <t>Procurement of Various Agricultural Machineries/ Farm Equipment under CRFPS program of DAR-Laguna</t>
  </si>
  <si>
    <t>Drilling of Exploratory Well on Various Areas of Calamba City, Laguna</t>
  </si>
  <si>
    <t>Repair/Maintenance of DPWH Building Staffhouse/Multi-Purpose Building, Isabela City, Basilan</t>
  </si>
  <si>
    <t>HO-ESD20-003 - Supply and Delivery of Toner Cartridge, Telephone &amp; Power Strip Extension Outlet</t>
  </si>
  <si>
    <t>CP 2020-45 BIDDING FOR THE SUPPLY,DELIVERY AND INSTALLATION OF STRAWBERRY GREENHOUSES AND OTHERS INCLUDING TRAINING C/O CVAO</t>
  </si>
  <si>
    <t>PURCHASE AND DELIVERY OF MATERIALS FOR THE CONSTRUCTION OF CAN-AVID MARKER AT CAN-AVID GREAT PARK, Brgy. 7 Poblacion, Can-avid Eastern Samar</t>
  </si>
  <si>
    <t>Contract for the Supply of Various Spare Parts (Kit Mimic Panel HMI, Fuse 200A, Fuse 10A, etc.) under PR No. RS-0620-008 and ITB No. 2007-038-01</t>
  </si>
  <si>
    <t>Ref. No. 2020-022 Procurement of Additional Fully Developed Lots and Completed Housing Units Under NHA's Yolanda Permanent Housing Program - Coron Residences, Coron, Palawan</t>
  </si>
  <si>
    <t>Procurement of Technical Assistance for the Evaluation and Approval of the Price Determination Methodology (PDM) of the Wholesale Electricity Spot Market (WESM)</t>
  </si>
  <si>
    <t>SUPPLY OF DIESOLINE AND SPL GAS FOR THE  CONSUMPTION OF THE DIFFERENT VEHICLE/OFFICES  OF LGU-MOLAVE, ZDS</t>
  </si>
  <si>
    <t>Procurement of Consulting Services for the Technical Review and Audit of the Net Settlement Surplus (NSS) Allocation of the Wholesale Electricity Spot Market (WESM)</t>
  </si>
  <si>
    <t>:  Supply and Delivery of Food Items (1 lot) for the Supplementary Feeding Program for the 10th cycle implementation CY 2020</t>
  </si>
  <si>
    <t>20GEF013 Cluster VII – 1. Supply and Delivery of Office equipment for use in the Office of the District Engineer 2. Supply and Delivery of Semi-Expendable Furniture &amp; Fixtures and Furniture &amp; Fixtures</t>
  </si>
  <si>
    <t>Consulting Services For The  Revenue and Finance Operation Modernization Project</t>
  </si>
  <si>
    <t>20CSCN02 -Consulting Services for the Concept Study of Baler By-Pass Road, Baler, Aurora</t>
  </si>
  <si>
    <t>REHABILITATION OF  MULTI PURPOSE  BUILDING- Barangay  Dalnac, Paracale,Camarines  Norte</t>
  </si>
  <si>
    <t>Rehabilitation of  Multi  Purpose  Building-Barangay  Palanas, Paracale  Camarines  Norte</t>
  </si>
  <si>
    <t>Stack Emission Test of 450kW FG Wilson Engines for CALAYAN DPP</t>
  </si>
  <si>
    <t>Improvement of Barangay Road</t>
  </si>
  <si>
    <t>Purchase and Delivery of Desktop Computer Set Use for Universal Health Care Implementation of RHU-Orion, Bataan</t>
  </si>
  <si>
    <t>Ref. No. 2020-021 Procurement of Additional Fully Developed Lots and Completed Housing Units Under NHA's Yolanda Permanent Housing Program - Coron Heights, Coron, Palawan</t>
  </si>
  <si>
    <t>20CSKG03 - Conduct of Preliminary Detailed Engineering (PDE) Activities for the Project : Construction of Multi-purpose Building (Performance Arts Center) at Kapatagan National High School,Kapatagan,</t>
  </si>
  <si>
    <t>Ref. No. 2020-024 Procurement of Additional Fully Developed Lots and Completed Housing Units Under NHA's Yolanda Permanent Housing Program - Burauen, Leyte (Re-Bid)</t>
  </si>
  <si>
    <t>Supply of fuels for the proposed road rehabilitation/crowning and compaction of various barangay roads of different barangays (Perez, Poblacion, San Isidro, San Roque,  Sibawan) all of Kidapawan City</t>
  </si>
  <si>
    <t>Proposed Construction of open canal (Installation RCP 24”Ø (32pcs) / Open Canal Equiv. 24” RCP (L-208 mtrs.)) at Sinsuat Street (from Petron – Perez St. Section), Brgy. Poblacion, Kidapawan City</t>
  </si>
  <si>
    <t>Construction of Lined Canal within Barangay Malalag</t>
  </si>
  <si>
    <t>Supply of fuels for the proposed road rehabilitation/crowning and compaction of various barangay roads of different barangays (Sikitan, Singao, Sto.Niño, Sudapin, Sumbac) all of Kidapawan City</t>
  </si>
  <si>
    <t>Procurement  of   Diesel, Gasoline, Oil and  Lubricants  for  the month of  July  to  September 2020</t>
  </si>
  <si>
    <t>CONSTRUCTION OF DRAINAGE SYSTEM ALONG BURGOS STREET, CORNER VALOIS STREET TO SAN AGUSTIN STREET, LA CARLOTA CITY</t>
  </si>
  <si>
    <t>Supply and Materials for the Conduct of Recruitment for Officers and EP Pre-Entry Trainees</t>
  </si>
  <si>
    <t>SUPPLY AND DELIVERY OF CONSERVATION, PRESERVATION AND EXHIBITION MATERIALS FOR THE NATIONAL LIBRARY OF THE PHILIPPINES</t>
  </si>
  <si>
    <t>Supplies/Material for CCIE Mobstock for Reservist</t>
  </si>
  <si>
    <t>Supply and Delivery of Sailor Battle Dress Uniform (SBDU) with Herring Bone Twill (HBT) Cap (FRAMEWORK AGREEMENT)</t>
  </si>
  <si>
    <t>Invitation to Bid for the Installation of Fiber Optic, CCTV, Early Warning System, and other Paraphernalia for Central Command Center</t>
  </si>
  <si>
    <t>PROCUREMENT/SUPPLY OF TECHNICAL ASSISTANCE FOR MARKETING OF RICE COMMODITY OF VETREBUNS ARC CLUSTER UNDER PROJECT CONVERGE</t>
  </si>
  <si>
    <t>Ref. No. 2020-028 Procurement of Additional Fully Developed Lots and Completed Housing Units Under NHA's Yolanda Permanent Housing Program - Sta. Fe Residences, Pandan, Antique (Re-Bid)</t>
  </si>
  <si>
    <t>REPAIR OF DRAINAGE CANAL AT URIARTE SUBDIVISION, BARANGAY III,  LA CARLOTA CITY</t>
  </si>
  <si>
    <t>Invitation to Bid for the Construction of “Ang Lumang Gapan Project”</t>
  </si>
  <si>
    <t>Negotiated Procurement of Supply and Delivery of Office Supplies</t>
  </si>
  <si>
    <t>Rescue vehicle (Brandnew)</t>
  </si>
  <si>
    <t>Ref. No. 2020-026 Procurement of Additional Fully Developed Lots and Completed Housing Units Under NHA's Yolanda Permanent Housing Program - Prime Town IV, Tanauan, Leyte (Re-Bid)</t>
  </si>
  <si>
    <t>Ref. No. 2020-025 Procurement of Additional Fully Developed Lots and Completed Housing Units Under NHA's Yolanda Permanent Housing Program - Our Lady of Assumption, Tanauan, Leyte (Re-Bid)</t>
  </si>
  <si>
    <t>Invitation to Bid (Baler, Aurora)(Imus City, Cavite)</t>
  </si>
  <si>
    <t>PURCHASE AND DELIVERY OF OFFICE EQUIPMENTS, RHU, Can-avid Eastern Samar</t>
  </si>
  <si>
    <t>HO-EMA20-015 - Supply and Delivery of Carbon Brush for Staplex Air Sampler</t>
  </si>
  <si>
    <t>Supply and Delivery of Parts for KM Trucks</t>
  </si>
  <si>
    <t>PB INFRA 20-058_Concreting of New Leon - Luanan Road, Aleosan, Cotabato</t>
  </si>
  <si>
    <t>PB INFRA 20-057_Concreting of Busaon  Road, Banisilan, Cotabato</t>
  </si>
  <si>
    <t>PB INFRA 20-055_Concreting of Presbitero - Tigbawan Road, Pigcawayan, Cotabato</t>
  </si>
  <si>
    <t>PB INFRA 20-053_Concreting of Saguing - Libertad Road, Makilala, Catabato</t>
  </si>
  <si>
    <t>PR-2020-06-132 Campus Road Improvement Project</t>
  </si>
  <si>
    <t xml:space="preserve">20GEF011 (Re-bid 1) Supply and Delivery of IT equipment, Parts Tools and Software for Installation and Configuration of Communication Networking Equipment including System Integration of DPWH Palawan </t>
  </si>
  <si>
    <t>Goods 2020-018 Supply and Delivery of  Computer Equipment (Laptop and Printer)  and Nine (9) units Office Equipment (aircondition)</t>
  </si>
  <si>
    <t>Supply and Delivery of Light Rescue 4x4 Vehicle</t>
  </si>
  <si>
    <t>uplb-rq-7-088-20 goods (Medicine for CVM)</t>
  </si>
  <si>
    <t>Ref. No. 2020-027 Procurement of Additional Fully Developed Lots and Completed Housing Units Under NHA's Yolanda Permanent Housing Program - Kawayan, Biliran (Re-Bid)</t>
  </si>
  <si>
    <t>Training of Trainers on the NTP Manual of Procedure, 6th Edition</t>
  </si>
  <si>
    <t>PUBLIC BIDDING / PR 19-11-1191 Re-Bid / BRAND NEW 4x2 6 WHEELER CAB</t>
  </si>
  <si>
    <t>PUBLIC BIDDING / PR 20-06-1410  / LICENSES,NETWORK ACCESS CONTROL (NAC) APPLAINCE</t>
  </si>
  <si>
    <t>One (1) Year Garbage Collection, Transport and Disposal Services (2nd Posting)</t>
  </si>
  <si>
    <t>uplb-rq-7-089-20 goods (Furniture for CVM)</t>
  </si>
  <si>
    <t>Concreting of Brgy. Road in Barangay Salvacion</t>
  </si>
  <si>
    <t>Procurement of Security Services for Batangas State University</t>
  </si>
  <si>
    <t>Concreting of Local Core Road at Sitio Balot 2</t>
  </si>
  <si>
    <t>Concreting of Farm-To-Market Road (San Roque)</t>
  </si>
  <si>
    <t>Concreting of Farm-To-Market Road (Sitio Baybayabas, Balbalungao))</t>
  </si>
  <si>
    <t>uplb-rq-7-087-20 goods (Laboratory supplies for CVM)</t>
  </si>
  <si>
    <t>Supply, Delivery and Commissioning of Submersible Pumps and Motors, Motor Controller (VFD) and Accessories for PS No. 8</t>
  </si>
  <si>
    <t>Concreting of Farm-To-Market Road (Agupalo Este Road)</t>
  </si>
  <si>
    <t>Construction of Pantry and tiling of PE Office ( RFQ 2020-4235)</t>
  </si>
  <si>
    <t>(SBMA-BAC-CONS-RFEI-20-03) CONSULTANCY SERVICES FOR THE PREPARATION OF DETAILED ENGINEERING DESIGN FOR THE REHABILITATION OF SHIP REPAIR FACILITIES (SRF) PIER AND WHARVES PROJECT</t>
  </si>
  <si>
    <t>Purchase of Materials for the Fabrication of Wooden windows Mosquito Net Frame at Bryg. Poblacion, San Andres, Quezon</t>
  </si>
  <si>
    <t>Supply and Delivery of Various I.T Equipment of Different Departments</t>
  </si>
  <si>
    <t>PURCHASE OF MEDICAL, DENTAL &amp; LABORATORY SUPPLIES ALLOCATION FOR 2020 FOR RHU 2 FOR MINGLANILLA, CEBU</t>
  </si>
  <si>
    <t>Contract for One (1) Lot Cloud Storage, 20TB under P.R. No. KMT-2002-008 and ITB No. 2006-029-10</t>
  </si>
  <si>
    <t>PURCHASE OF MEDICAL, DENTAL &amp; LABORATORY SUPPLIES ALLOCATION FOR 2020 FOR RHU 1 FOR MINGLANILLA, CEBU</t>
  </si>
  <si>
    <t>IMPROVEMENT  OF BRGY. LINAO COVERED COURT/ MULTI-PURPOSE HALL AT LINAO, MINGLANILLA, CEBU</t>
  </si>
  <si>
    <t>Contract ID No. 19CSK00056 – Consulting Services for the Conduct of Soil Testing/Exploration for Bridge Projects - Geotechnical Investigation - Construction of Bridge, Cagayan de Oro Diversion Road, J</t>
  </si>
  <si>
    <t>PROCUREMENT  OF  MEDICINES  AND  SUPPLIES  FOR  MUNICIPAL  HEALTH OFFICE - RHU1 AND RHU 11- 3RD AND 4TH QUARTER</t>
  </si>
  <si>
    <t>Contract ID No. 19CSK00053 – Consulting Services for the Conduct of Soil Testing/Exploration for Bridge Projects - Geotechnical Investigation - Construction of Pigsuotan Bridge, Brgy. Mandulog, Iligan</t>
  </si>
  <si>
    <t>CONSTRUCTION OF MULTI-PURPOSE BUILDING (BODEGA) (8000-2-2-15) MABILA, SARANGANI, DAVAO OCCIDENTAL</t>
  </si>
  <si>
    <t>Procurement of Books PR # 2020-07-20-266</t>
  </si>
  <si>
    <t>Supply and Delivery of Assorted Materials for the Establishment of District Metering Area</t>
  </si>
  <si>
    <t>Procurement of Hardware Supplies PR # 2020-07-17-250, 2020-07-17-253, 2020-07-17-254, 2020-07-17-255-A, 2020-07-17-256</t>
  </si>
  <si>
    <t>IMPROVEMENT/ CONSTRUCTION OF DRAINAGE SYSTEM AT BRGY. TULAY, MINGLANILLA, CEBU</t>
  </si>
  <si>
    <t>Ref. No. 2020-023 Procurement of Additional Fully Developed Lots and Completed Housing Units Under NHA's Yolanda Permanent Housing Program - Tabontabon, Leyte (Re-Bid)</t>
  </si>
  <si>
    <t>CONSTRUCTION MATERIALS</t>
  </si>
  <si>
    <t>B-045-2020 UPGRADING THE OFFICE EQUIPMENT AND FACILITIES AND ACCESSORIES OF THE CFFS</t>
  </si>
  <si>
    <t>Negotiation due to Two Failed Biddings for Various Drugs and Medicines</t>
  </si>
  <si>
    <t>B-044-2020 PROCUREMENT OF 1 LOT VARIOUS MEDICAL and DENTAL SUPPLIES</t>
  </si>
  <si>
    <t>Supply and Delivery of Remote Sensing Software License CY 2020 IB NO: BSWM-2020-07-010</t>
  </si>
  <si>
    <t>IMPROVEMENT  OF BRGY. WARD I COVERED COURT/ MULTI-PURPOSE BUILDING (PHASE III) AT BRGY. WARD I, MINGLANILLA, CEBU</t>
  </si>
  <si>
    <t>(SBMA-BAC-INFRA-IB-07-20) PROPOSED CONSTRUCTION OF STORAGE FACILITY FOR HAZARDOUS MATERIALS</t>
  </si>
  <si>
    <t>B-043-2020 CONTINUOUS SUBSCRIPTION TO E-JOURNAL &amp; E-BOOKS AND SUBSCRIPTION OF E-LEARNING RESOURCES</t>
  </si>
  <si>
    <t>ITB-GS-20200611-01 - Supply and Delivery of Additional 120 Units for Existing Cisco ISR 4221 Routers</t>
  </si>
  <si>
    <t>Bidding for Supply &amp; Delivery of Medical Supplies – Face Mask</t>
  </si>
  <si>
    <t>UPLB-S-048-08-20, SUPPLY AND DELIVERY OF BRANDED AND BRAND NEW CHEMICALS AND CHEMICAL PRODUCTS FOR BIOTECH</t>
  </si>
  <si>
    <t>Contract for the Supply of Various Spare Parts (Static Inverter IGBT, Static Inverter Gate Drive Unit, and SIV Fuse) under P.R. No. RS-0720-010 and ITB No.2007-037-01</t>
  </si>
  <si>
    <t>(SBMA-BAC-INFRA-IB-08-20) REHABILITATION OF MT. STA. RITA COMMUNICATION FACILITY</t>
  </si>
  <si>
    <t xml:space="preserve">REQUEST FOR EXPRESSION OF INTEREST FOR THE PROCUREMENT OF CONSULTING SERVICES TO DEVELOP THE COMMISSION ON HUMAN RIGHTS ORGANIZATIONAL STRUCTURE AND STAFFING PATTERN AND PREPARATION FOR LEVEL 2 PRIME </t>
  </si>
  <si>
    <t>FOD-C-20-2963: Procurement of 753 bags of Chicken Dung</t>
  </si>
  <si>
    <t>CONCRETING OF TACTAC-ATBU ROAD</t>
  </si>
  <si>
    <t>UPLB-S-049-08-20, PROCUREMENT FOR THE REHABILITATION/UPGRADE OF INTERNET CONNECTION FOR BAC SECRETARIAT OFFICE</t>
  </si>
  <si>
    <t>SUPPLY AND DELIVERY OF FOUR (4) UNITS BRANDNEW MOTOR VEHICLE</t>
  </si>
  <si>
    <t>PR-2020-03-060 Supply &amp; Delivery of Reference Books for the Library</t>
  </si>
  <si>
    <t>One (1) Lot Replacement of Twelve (12) sets Roll-Up Doors at the Cash Loading Bay, Bldg. D, BSP-SPC, as per BSP Scope of Works and Specifications and Plan/Drawing</t>
  </si>
  <si>
    <t>Contract ID No. 19CSK00055 – Consulting Services for the Conduct of Soil Testing/Exploration for Bridge Projects - Geotechnical Investigation - Construction of Concrete Bridge, Impasug-ong Bdry. Bukid</t>
  </si>
  <si>
    <t>Contract ID No. 19CSK00054 – Consulting Services for the Conduct of Soil Testing/Exploration for Bridge Projects - Geotechnical Investigation - Construction of Concrete Bridge, Magsaysay-Butuan City C</t>
  </si>
  <si>
    <t>Procurement of Floating Ball Buoy</t>
  </si>
  <si>
    <t>PR-2020-03-071 Upgrading of Internet Infrastructure</t>
  </si>
  <si>
    <t>Rescue Boat- MDRRMO</t>
  </si>
  <si>
    <t>SUPPLY AND DELIVERY OF IT EQUIPMENT FOR CULTURAL HERITAGE CENTER EQUIPMENT, MSU MAIN CAMPUS, MARAWI CITY</t>
  </si>
  <si>
    <t>Supply and Delivery various Agricultural Inputs for CY 2020 IB NO: BSWM-2020-07-011</t>
  </si>
  <si>
    <t>SUPPLY AND DELIVERY OF BIOTECH LABORATORY EQUIPMENT FOR CULTURAL HERITAGE CENTER EQUIPMENT, MSU MAIN CAMPUS, MARAWI CITY</t>
  </si>
  <si>
    <t>SUPPLY AND DELIVERY OF AUDIO &amp; VISUAL EQUIPMENT  FOR CULTURAL HERITAGE CENTER, MSU MAIN CAMPUS, MARAWI CITY</t>
  </si>
  <si>
    <t>IMPROVEMENT OF BASKETBALL COURT AND CONSTRUCTION OF CONCRETE BENCH, BARANGAY MABINI, BURDEOS, QUEZON</t>
  </si>
  <si>
    <t>Purchase of LED Emergency Lighting with Battery Pack for NAIA</t>
  </si>
  <si>
    <t>Procurement of Mini Dump Truck</t>
  </si>
  <si>
    <t>Consulting Service for the Support and Maintenance of the Business Name Registration System Next Generation (BNRSNextGEN)</t>
  </si>
  <si>
    <t>DIS-20-0817-B - Purchase of Medical &amp; Laboratory Supplies</t>
  </si>
  <si>
    <t>Procurement of SECURITY Services for One (1) Year Contract</t>
  </si>
  <si>
    <t>UPLB-IF-005-08-20 REBID, COMPLETION OF TECHNOLOGY HUB SND ONE STOP SHOP, MARIANO M. MONDOÑEDO AVE., UPLB, COLLEGE, LAGUNA</t>
  </si>
  <si>
    <t>Purchase of Protective Clothing (Bunker Suit)</t>
  </si>
  <si>
    <t>SUPPLY AND DELIVERY OF APPLIANCES FOR CULTURAL HERITAGE CENTER  MSU MAIN CAMPUS, MARAWI CITY</t>
  </si>
  <si>
    <t>PROCUREMENT  OF TWO (2) UNITS  BRAND NEW MEDICAL AMBULANCE</t>
  </si>
  <si>
    <t>Supply &amp; Delivery of Agricultural Products for urban gardening and vegetable production program (OCAS).</t>
  </si>
  <si>
    <t>Supply and Delivery of Laptop Computers for the Department of Trade &amp; Industry (DTI)</t>
  </si>
  <si>
    <t>Procurement &amp; Delivery of Medical Supplies</t>
  </si>
  <si>
    <t>Construction of PGLDN Butterfly House.</t>
  </si>
  <si>
    <t>Contraction of Evacuation Center Phase 3</t>
  </si>
  <si>
    <t>Supply and Delivery of Assorted Service Connection Materials</t>
  </si>
  <si>
    <t>Conduct of Preliminary and Detailed Engineering (Sub-Soil Exploration) of Proposed Various Projects FY-2021 Batch 1 Pampanga 2nd  District</t>
  </si>
  <si>
    <t>Pag-IBIG Fund CHQ (Supply, Delivery and Implementation of Various Network Equipment and Structured Fiber-Optic Network Backbone Cabling)</t>
  </si>
  <si>
    <t>Conduct of Preliminary and Detailed Engineering (Sub-Soil Exploration) of Proposed Various Projects FY-2021 Batch 2 Pampanga 2nd  District</t>
  </si>
  <si>
    <t>VARIOUS LABORATORY SUPPLIES</t>
  </si>
  <si>
    <t>IMPROVEMENT OF BACOLOD ARTS CENTER, BCNHS CPD., BRGY. TACULING, BACOLOD CITY</t>
  </si>
  <si>
    <t>Construction of MCC-HOTEL WAREHOUSE BUILDING</t>
  </si>
  <si>
    <t>CONSTRUCTION OF DRUG REHABILITATION CENTER BRGY. ALIJIS, BACOLOD CITY</t>
  </si>
  <si>
    <t>CONSTRUCTION/REHABILITATION/ IMPROVEMENT OF DRAINAGE SYSTEM @ BRGY. 27</t>
  </si>
  <si>
    <t>One (1) lot New Air Conditioning Units at Reception Area, Building A-Annex, BSP Quezon City</t>
  </si>
  <si>
    <t>Conduct Feasibility/Pre-Feasibility Study/Preliminary Detailed Engineering (Parcellary Survey) of DPWH Projects - Angeles-Porac-Floridablanca- Dinalupihan Road K0100+000 – K0105+000, JASA K0089+000 –</t>
  </si>
  <si>
    <t>Supply of materials for renovation/rehabilitation/improvement of Multi-Purpose Hall</t>
  </si>
  <si>
    <t>SUPPLY AND DELIVERY OF FURNITURE &amp; FIXTURE FOR CULTURAL HERITAGE CENTER EQUIPMENT, MSU MAIN CAMPUS, MARAWI CITY</t>
  </si>
  <si>
    <t>B-046-2020 UPGRADE OF MARITIME EDUCATION LABORATORIES AND EQUIPMENT</t>
  </si>
  <si>
    <t>Proposed Flu Vaccine for Wellness Enhancement Program (Libreng Bakuna sa Dasma)</t>
  </si>
  <si>
    <t>PURCHASE OF MATERIALS FOR THE ROAD IMPROVEMENT AT JUNCTION BURGOS AND SAN JUAN STREETS (SAN JUAN TO RECLAMATION AREA) (BURGOS TO BRIDGE)</t>
  </si>
  <si>
    <t>20CSDD04 - Consultancy Services for the Conduct of Geotechnical Investigation/Soil Exploration, Tanauan - Talisay - Tagaytay Road, K0082+250 - K0082+255 (L/S), K0083+209 - K0083+268 (R/S), K0083+287 -</t>
  </si>
  <si>
    <t>Re-bidding: PR No. 2020-02-0267-MAIN-Supply and Delivery of Cosmetology Equipment for the Cosmetology Technology Laboratory of CTAS</t>
  </si>
  <si>
    <t>20CSDD03 - Consultancy Services for the Conduct of Pavement Core Test of the following road sections namely: 1. Daang Maharlika (LZ) – 12.605 km.; 2. Manila – Batangas Road – 11.193 km.; 3. Banay-Bana</t>
  </si>
  <si>
    <t>Re-bidding: PR No. 2020-02-0252-MAIN-Supply and Delivery of RFID Library Security System</t>
  </si>
  <si>
    <t>One (1) Lot Supply of Labor, Tools, Equipment, Materials and Supplies, including Supervision for Janitorial, Hauling, Landscaping and Other Related Services for BSPRO Davao (1 Year Contract), as per B</t>
  </si>
  <si>
    <t>Proposed Slope Protection at Purok 6, Brgy. Dila</t>
  </si>
  <si>
    <t>Continuation of Drainage Improvement at Don Jose Zavalla Subd., Brgy. Pooc</t>
  </si>
  <si>
    <t>PR No. 2020-03-0432-MAIN - Supply and Delivery of Mechanical Technology Laboratory Equipment for CTAS</t>
  </si>
  <si>
    <t>Improvement/Rehabilitation of Drainage Canal at Dr. Zavalla St., Brgy. Kanluran</t>
  </si>
  <si>
    <t>Construction/Rehabilitation of Drainage System at Purok 1, Bgy. Balibago Besides Tram Plaza</t>
  </si>
  <si>
    <t>PURCHASE OF MATERIALS FOR THE ROAD IMPROVEMENT AT SAN SEBASTIAN ST. (DAWIS), BRGY. 13 (SAN JUAN ST. TO PALANCA ST.)</t>
  </si>
  <si>
    <t>Rehabilitation/Improvement of Canal in Front of Nissan at Brgy. Pulong Santa Cruz</t>
  </si>
  <si>
    <t>Supply and Delivery of Various Printing Requirements of the Corporate Affairs Office, as per BSP Production Specifications</t>
  </si>
  <si>
    <t>Improvement of Drainage System at Purok 4, Brgy. Malitlit</t>
  </si>
  <si>
    <t>Construction/Rehabilitation of Curbs/Gutter and Sidewalk at Brgy. Kanluran</t>
  </si>
  <si>
    <t>PURCHASE OF MATERIALS FOR THE CONCRETING OF ROAD AT FORTUNE TOWNE, 5TH ROAD, BRGY. ESTEFANIA</t>
  </si>
  <si>
    <t>Pag-IBIG Fund CHQ (SUPPLY AND DELIVERY OF THE Y2020 PAG-IBIG FUND CORPORATE GIVEAWAYS)</t>
  </si>
  <si>
    <t>20LB0191 - Road Widening along Davao City Div Rd - K1511 + 535 –  K1513 +700, K1514 + 100 - K1514 + 581, K1514 + 646 –  K1515 + 000</t>
  </si>
  <si>
    <t>CONSTRUCTION OF MATERIALS RECOVERY FACILITY, MERCED, BANATE, ILOILO</t>
  </si>
  <si>
    <t>Rehabilitation/Improvement and Finishing of Barangay Labas Traditional Complementary and Alternative Medicine (TCAM) Center, Brgy. Labas</t>
  </si>
  <si>
    <t>Pag-IBIG Fund CHQ (PROVISION OF A QUANTITATIVE SURVEY ON LEVELS OF AWARENESS  AND PREFERENCE ON PAG-IBIG FUND PRODUCTS)</t>
  </si>
  <si>
    <t>Supply and delivery of One unit Brandnew Ambulance for PGLDN covid-19 response use.</t>
  </si>
  <si>
    <t>20EB0094: Construction of Balibago Bridge, Brgy. Payompon, Mamburao, Occidental Mindoro</t>
  </si>
  <si>
    <t>CONTRACT FOR THE SUPPLY AND DELIVERY OF ONE (1) ASSEMBLY MOULDED  CASE CIRCUIT BREAKER AND ONE (1) ASSEMBLY AUTOMATIC TRANSFER  SWITCH (ATS)  INCLUDING INSTALLATION, TESTING, AND COMMISSIONING</t>
  </si>
  <si>
    <t>One  (1)  Lot  Engagement  of  Consultant  for  the  Assessment  of  Enterprise  Risk,  Business  Continuity  Management  Frameworks  and  Development  of  Compliance  Management  Framework and Progra</t>
  </si>
  <si>
    <t>SUPPLY AND DELIVERY OF SERVICE/GARDENING TOOLS FOR CULTURAL HERITAGE CENTER EQUIPMENT, MSU MAIN CAMPUS, MARAWI CITY</t>
  </si>
  <si>
    <t>Procurement of One (1) unit service vehicle for PVO field operation.</t>
  </si>
  <si>
    <t>Procurement of various drugs and medicines for provision of commodities and supplies for the continuation of PGLDN Covid-19 response.</t>
  </si>
  <si>
    <t>SUPPLY OF LABOR AND MATERIALS FOR THE REPAIR AND IMPROVEMENT OF NSQCS BUILDING, REGION III, NUEVA ECIJA</t>
  </si>
  <si>
    <t>Construction of Power House in Batangas State University - Balayan</t>
  </si>
  <si>
    <t>INVITATION TO BID FOR THE SUPPLY AND DELIVERY OF FORTY-NINE (49) UNITS CELLPHONE</t>
  </si>
  <si>
    <t>Three (3) units Suction Machine</t>
  </si>
  <si>
    <t>RE-BID FOR THE SUPPLY OF LABOR SERVICE, SUPPLIES, AND MATERIALS FOR THE ESTABLISHMENT OF 20KW GRID-TIED SOLAR PV ENERGY SYSTEM FOR TISSUE CULTURE LABORATORY OF BPI-DNCRDPSC, BAGO OSHIRO, DAVAO CITY</t>
  </si>
  <si>
    <t>Detailed Architectural Engineering Design for the UP Visayas Watersports Training Facility, UPV Miag-ao Campus (ITB 2020-013)</t>
  </si>
  <si>
    <t>Supply of Laboratory Furniture for PGC Visayas Genomics Laboratory and Bioinformatics Laboratory (ITB 2020-012)</t>
  </si>
  <si>
    <t>Supply of Materials, Labor, Tools, Equipment, Consumables, Technical Supervision and Other Services necessary for the Repair of various Architectural Finishes at the BSP Head Office</t>
  </si>
  <si>
    <t>Supply, Delivery, Installation and Commissioning of 24 Units Solar Powered Pumps</t>
  </si>
  <si>
    <t>One (1) Unit Radiant Warmer</t>
  </si>
  <si>
    <t>Construction of the Proposed Administration Services Building Phase I, UPV Iloilo City Campus”;(ITB 2020-010)</t>
  </si>
  <si>
    <t>Supply of Security Services for UP Visayas Miag-ao and Iloilo City Campuses to include: Brackishwater Aquaculture Station Marine Biological Station	 Batan Mariculture Station( ITB 2020-009)</t>
  </si>
  <si>
    <t>Three (3) unit Fetal Monitor</t>
  </si>
  <si>
    <t>Supply and Delivery of One (1) Unit Portable 2D Echo Machine</t>
  </si>
  <si>
    <t>Procurement of Consulting Services for the Design and Development of Intramuros Administration Integrated Information System (Re-bid)</t>
  </si>
  <si>
    <t>Proposed Purchase of Various Items for Communication Equipment</t>
  </si>
  <si>
    <t>Contract ID No. 20NC0137 - Construction of Legislative Building, Sta. Josefa, Agusan del Sur</t>
  </si>
  <si>
    <t>Construction of Rural Access Road of Various Sitios (Barangay Tambaliza)</t>
  </si>
  <si>
    <t>Supply and Delivery of One (1) Unit Mid to High Range</t>
  </si>
  <si>
    <t>SUPPLY AND DELIVERY OF OFFICE SUPPLIES FOR CULTURAL HERITAGE CENTER EQUIPMENT, MSU MAIN CAMPUS, MARAWI CITY</t>
  </si>
  <si>
    <t>SUPPLY AND DELIVERY OF BRANDNEW GENERATOR SET WITH MOBILE TRAILER WEATHER &amp; SOUNDPROOF ENCLOSURE</t>
  </si>
  <si>
    <t>ITB - One (1) Lot Wireless Retrofit Direct Radiography System with PACS and RIS (P.R. No. 20-05-70501)</t>
  </si>
  <si>
    <t>ITB - One (1) Job One (1) Year Hauling of Non-infectious (Wet &amp; Dry) Waste from Corazon Locsin Montelibano Memorial Regional Hospital (CLMMRH) to the Authorized /Designated City Dumpsite (P.R. No. 20-</t>
  </si>
  <si>
    <t>SUPPLY, DELIVERY AND INSTALLATION OF KITCHEN EQUIPMENT   (PROJECT REF. No.: CSU2020-07-008-HOTEL)</t>
  </si>
  <si>
    <t>Contract ID No. 20NC0138 - Construction of Two-Storey Municipal Operation Center at LGU Trento Municipal Complex Area, Trento, Agusan del Sur</t>
  </si>
  <si>
    <t>ITB - Arterial Blood Gas Reagent (P.R. No. 20-06-70506)</t>
  </si>
  <si>
    <t>PURCHASE OF MATERIALS FOR IMPROVEMENT OF FACILITIES AT SOCIAL DEVELOPMENT CENTER, BRGY. SINGCANG-AIRPORT, BACOLOD CITY</t>
  </si>
  <si>
    <t>Supply and Delivery of Construction Materials for the Roads, Solid Waste Disposal, and Water Disposal Treatment of Site Development – Resettlement Area NIAR6-JRMPII-GS01-20</t>
  </si>
  <si>
    <t>REQUEST FOR EXPRESSION OF INTEREST FOR THE Procurement of a Consultancy Service Provider (CSP) for the Review and Design of PDIC’s Organizational Structure and Staffing Pattern(OSSP)</t>
  </si>
  <si>
    <t>THE PURCHASE OF MATERIALS FOR THE ROAD IMPROVEMENT OF STA. ANA ST., BRGY. 30 &amp; 31 (FROM EXISTING PAVEMENT-LUZURIAGA ST.)</t>
  </si>
  <si>
    <t>Procurement of supply and delivery of  Mechanical Corn sheller</t>
  </si>
  <si>
    <t>Supply and Delivery of Various Supplies to be used by the Field Election Officers for the 2020 Resumption of the Continuing Registration of Voters in connection with 2022 NLE &amp; BSKE, Lots 1 and 5 – 2n</t>
  </si>
  <si>
    <t>Supply and Delivery of HD Webcam for  Various Field Offices of the Commission</t>
  </si>
  <si>
    <t>PB20-021-1: Construction of New Clark City Connecting Road Package 1</t>
  </si>
  <si>
    <t>Procurement of Hardware Supplies PR # 2020-07-10-236</t>
  </si>
  <si>
    <t>20KA0101(Readvertisement) - Cluster 2 1.) Construction of Flood Control Structure along Malaybalay -Gingoog Road (Kulaman Br.), Malaybalay City, Bukidnon 2.) Construction of Flood Control Structure al</t>
  </si>
  <si>
    <t>Supply and Delivery of Various IT Equipment for the Educating Science Teachers for All (ESTA) Project</t>
  </si>
  <si>
    <t>CONSTRUCTION OF STREET LIGHT, BARANGAY PROPER OF MABINI, BURDEOS, QUEZON</t>
  </si>
  <si>
    <t>VARIOUS LABORATORY SUPPLIES/CONSUMABLES</t>
  </si>
  <si>
    <t>Supply and Delivery of Brand-New Desktop Computers for Issuance/Replacement of Defective/Beyond Economic Repair of Voter Registration Machines in Various Field Offices of the Commission</t>
  </si>
  <si>
    <t>SUPPLY AND DELIVERY OF KITCHEN WARES AND TOOLS FOR THE CSU HOTEL (PROJECT REF. No.: CSU2020-07-007- SUPPLIES)</t>
  </si>
  <si>
    <t>Construction of Reinforced Concrete Slope Protection for CY 2020</t>
  </si>
  <si>
    <t>vehicle service</t>
  </si>
  <si>
    <t>Supply and Delivery of Brother HL-L5100DN Toner Cartridges to be used for the Overseas Registration Period</t>
  </si>
  <si>
    <t>ITB - Various CSSD Supplies (P.R. No.  20-06-70631)</t>
  </si>
  <si>
    <t>ITB - Various CSSD Supplies (P.R. No.  20-06-70581)</t>
  </si>
  <si>
    <t>ITB - Various CSSD Supplies (P.R. No.  20-06-70579)</t>
  </si>
  <si>
    <t>ITB - Various CSSD Supplies (P.R. No.  20-06-70578)</t>
  </si>
  <si>
    <t>ITB - Various CSSD Supplies (P.R. No.  20-06-70569)</t>
  </si>
  <si>
    <t>ITB - Rice (White Special Rice 50kg per sack) (P.R. No. 20-06-70545)</t>
  </si>
  <si>
    <t>ITB - Various CSSD Supplies (P.R. No.  20-06-70544)</t>
  </si>
  <si>
    <t>PROVISION OF ADDITIONAL FISHING GEARS AS AN ALTERNATIVE LIVELIHOOD TO MUNICIPAL MODIFIED DANISH SEINE (HULBOT – HULBOT DE MANO)</t>
  </si>
  <si>
    <t>ITB - Various CSSD Supplies (P.R. No.  20-06-70564)</t>
  </si>
  <si>
    <t>ITB - Various CSSD Supplies (P.R. No.  20-06-70563)</t>
  </si>
  <si>
    <t>ITB - Various CSSD Supplies (P.R. No.  20-06-70515)</t>
  </si>
  <si>
    <t>ITB - Various CSSD Supplies (P.R. No.  20-06-70507)</t>
  </si>
  <si>
    <t>ITB - Various CSSD Supplies (P.R. No.  20-06-70509)</t>
  </si>
  <si>
    <t>ITB - Various CSSD Supplies (P.R. No.  20-06-70548)</t>
  </si>
  <si>
    <t>ITB - Various Housekeeping Supplies (P.R. No.  20-06-70574)</t>
  </si>
  <si>
    <t>ITB - Various CSSD Supplies (P.R. No.  20-07-70639)</t>
  </si>
  <si>
    <t>ITB - One (1) Lot CT Scan Machine (At least 64-slice) (P.R. No. 20-04-70407)</t>
  </si>
  <si>
    <t>HO-FAU20-003 - Supply and Delivery of Scanner/Printer, Camera Digital &amp; Shredder Paper</t>
  </si>
  <si>
    <t>ITB - Various CSSD Supplies (P.R. No.  20-06-70513)</t>
  </si>
  <si>
    <t>UPLB-S-047-08-20, SUPPLY AND DELIVERY OF BRANDED AND BRAND NEW VARIOUS INFORMATION TECHNOLOGY, PARTS &amp; ACCESSORIES &amp; PERIPHERALS</t>
  </si>
  <si>
    <t>ITB - Various Housekeeping Supplies (P.R. No.  20-06-70573)</t>
  </si>
  <si>
    <t>PROCUREMENT OF STENO WRITER/MACHINE</t>
  </si>
  <si>
    <t>RJO FABRICATION, REPAIR AND SERVICING- FURNISHING OF LABOR, TOOLS AND EQUIPMENT CONSUMABLES AND EXPERTISE FOR THE REPAIR AND REPLACEMENT OF HEAVILY CORRODED AND LEAKING PENSTOCK</t>
  </si>
  <si>
    <t>ITB - One Lot Integrated Hospital Information System (P.R. No. 20-06-70580)</t>
  </si>
  <si>
    <t>ITB - Bond Paper (Long and Short) (P.R. No.  20-07-70670)</t>
  </si>
  <si>
    <t>WELDING ROD</t>
  </si>
  <si>
    <t>ITB - Various Medical Oxygen (P.R. No.  20-07-70685)</t>
  </si>
  <si>
    <t>ITB - Laboratory Supplies and Reagents (Clinical Microscopy Section) (P.R. No. 20-06-70584)</t>
  </si>
  <si>
    <t>ITB - Laboratory Supplies and Reagents (Histopathology Section) (P.R. No. 20-06-70522)</t>
  </si>
  <si>
    <t>ITB - Drugs and Medicines (P.R. No. 20-06-70123)</t>
  </si>
  <si>
    <t>Supply and Delivery Consumables with free use Monochrome Photocopier Machine and other items.</t>
  </si>
  <si>
    <t>ITB - Laboratory Supplies and Reagents (Histopathology Section) (P.R. No. 20-06-70521)</t>
  </si>
  <si>
    <t>ITB - Drugs and Medicines (P.R. No. 20-06-70541)</t>
  </si>
  <si>
    <t>ITB - Laboratory Supplies and Reagents (Clinical Microscopy Section) (P.R. No. 20-06-70524)</t>
  </si>
  <si>
    <t>ITB - Laboratory Supplies and Reagents (Histopathology Section) (P.R. No. 20-06-70523)</t>
  </si>
  <si>
    <t>ITB - Laboratory Supplies and Reagents (Bacteriology Section) (P.R. No. 20-06-70503)</t>
  </si>
  <si>
    <t>ITB - Laboratory Supplies and Reagents (Bacteriology Section) (P.R. No. 20-06-70505)</t>
  </si>
  <si>
    <t>ITB - Laboratory Supplies and Reagents (Clinical Chemistry Section) (P.R. No. 20-06-70526)</t>
  </si>
  <si>
    <t>ITB - Laboratory Supplies and Reagents (Bacteriology Section) (P.R. No. 20-06-70504)</t>
  </si>
  <si>
    <t>ITB - Various Operating Room Instruments (P.R. No. 20-06-70514)</t>
  </si>
  <si>
    <t>ITB - One (1) Lot Hazardous Waste Transport and Treatment (P.R. No. 20-02-70191)</t>
  </si>
  <si>
    <t>ITB - Five (5) units Defibrillator (P.R. No. 20-06-70549)</t>
  </si>
  <si>
    <t>ITB - Various CSSD Supplies (P.R. No.  20-07-70640)</t>
  </si>
  <si>
    <t>ITB - Laboratory Supplies and Reagents (Histopathology Section) (P.R. No. 20-06-70519)</t>
  </si>
  <si>
    <t>REPAIR OF BUTTERFLY VALVE LIGHTING SYSTEM</t>
  </si>
  <si>
    <t>Modern Audio Visual Room at Laboratory High School (LHS) I-2020-17</t>
  </si>
  <si>
    <t>ITB - Laboratory Supplies and Reagents (Blood Bank Section) (P.R. No. 20-06-70528)</t>
  </si>
  <si>
    <t>Supply, Delivery and Commissioning of Submersible Pumps and Motors with Accessories for PS No. 4, PS N0. 9 and PS No. 9A</t>
  </si>
  <si>
    <t>Invitation to Bid for the Supply and Delivery of Branded and Brand New Printers and Consumables</t>
  </si>
  <si>
    <t>ITB -Four (4) Units of Biological Refrigerator-Double Door (P.R. No. 20-06-70649)</t>
  </si>
  <si>
    <t>ITB - Laboratory Supplies and Reagents (Histopathology Section) (P.R. No. 20-06-70520)</t>
  </si>
  <si>
    <t>SUPPLY OF LABOR AND MATERIALS FOR THE REHABILITATION OF ADMINISTRATION BUILDING (PHASE I) OF BPI-BNCRDPSC, GUISAD, BAGUIO CITY</t>
  </si>
  <si>
    <t>ITB - Various CSSD Supplies (P.R. No.  20-07-70643)</t>
  </si>
  <si>
    <t>PARTIAL REPLACEMENT OF 3-SET CIRCUIT BREAKERS FOR LOW VOLTAGE SWITCHGEAR (LVS) AT POWER SUBSTATION # 1 (ATS AND STANDARD CONFIGURATION)</t>
  </si>
  <si>
    <t>Construction of Five (5) Storey Higher Education Building in Batangas State University - JPLPC - Malvar (Phase I)</t>
  </si>
  <si>
    <t>B20200263 - DIESEL AND GASOLINE FOR REHAB. OF JCT. HWAY CANATAN-DONA ANDREA, ASUNCION, DDN</t>
  </si>
  <si>
    <t>YELLOW PLASTIC BAG FOR HOUSEKEEPING SECTION</t>
  </si>
  <si>
    <t>ITB - Drugs and Medicines (P.R. No. 20-06-70559)</t>
  </si>
  <si>
    <t>Supply &amp; Delivery of Various Agricultural &amp; Marine Supplies use for Environment Management Program 2020 for 3rd quarter, Himamaylan City</t>
  </si>
  <si>
    <t>ITB - Drugs and Medicines (P.R. No. 20-06-70558)</t>
  </si>
  <si>
    <t>ITB - Various Operating Room Instruments (P.R. No. 20-06-70593)</t>
  </si>
  <si>
    <t>ITB - Drugs and Medicines (P.R. No. 20-06-70555)</t>
  </si>
  <si>
    <t>ITB - Laboratory Supplies and Reagents (Blood Bank Section) (P.R. No. 20-06-70531)</t>
  </si>
  <si>
    <t>ITB - Drugs and Medicines (P.R. No. 20-06-70554)</t>
  </si>
  <si>
    <t>ITB - Laboratory Supplies and Reagents (Blood Bank Section) (P.R. No. 20-06-70529)</t>
  </si>
  <si>
    <t>ITB - Laboratory Supplies and Reagents (Blood Bank Section) (P.R. No. 20-06-70527)</t>
  </si>
  <si>
    <t>Supply, Delivery and Commissioning of Submersible Pumps and Motors, Motor Controller (VFD) and Accessories for PS No. 7</t>
  </si>
  <si>
    <t>ITB NO. 2020-0015 Supply, Delivery, Design and Retrofitting of the Quezon City TV Broadcast Transmitter Tower including Rehabilitation of Building/Transmitter Shelter, Grounding and Lightning Protecti</t>
  </si>
  <si>
    <t>ITB - Laboratory Supplies and Reagents (Blood Bank Section) (P.R. No. 20-06-70530)</t>
  </si>
  <si>
    <t>Construction of Four (4) Storey Student Services Center Building in Batangas State University, ARASOF-Nasugbu (Phase I)</t>
  </si>
  <si>
    <t>ITB - Drugs and Medicines (P.R. No. 20-06-70553)</t>
  </si>
  <si>
    <t>Concreting of Farm-To-Market Road (San-Isidro Mapangpang Road)</t>
  </si>
  <si>
    <t>ITB - Drugs and Medicines (P.R. No. 20-06-70546)</t>
  </si>
  <si>
    <t>I.T. EQUIPMENT AND SOFTWARE-ACC-20-0918-B</t>
  </si>
  <si>
    <t>ITB - Laboratory Supplies and Reagents (Blood Bank Section) (P.R. No. 20-06-70532)</t>
  </si>
  <si>
    <t>Concreting of Farm-To-Market Road (San Isidro)</t>
  </si>
  <si>
    <t>brand new generator set, DIESEL</t>
  </si>
  <si>
    <t>Purchase of Various Fertilizers-Other than Tobacco Farmers (MAO)</t>
  </si>
  <si>
    <t>Supply and Delivery of Laptops (PR No. 2020-02-0226, 2020-02-0210, 2020-02-0280)</t>
  </si>
  <si>
    <t>PROJECT 7 -PROCUREMENT AND DELIVERY OF VARIOUS MEDICAL EQUIPMENT FOR RURAL HEALTH UNIT (RHU) IN ILOCOS REGION</t>
  </si>
  <si>
    <t>RE-BIDDING- Procurement of IT Equipment -MEO,Lopez Jaena</t>
  </si>
  <si>
    <t>CONCRETING OF BRGY. ROAD</t>
  </si>
  <si>
    <t>Supply and Delivery of Printers and Scanner (PR No. 2020-06-0593, 2020-05-0507, 2020-02-0243, 2020-02-0308, 2020-02-0210, 2020-03-0462, 2020-02-0314, 2020-01-0052, 2020-02-0260, 2020-02-0120, 2020-02-</t>
  </si>
  <si>
    <t>Construction of COVID-19 Isolation Facility</t>
  </si>
  <si>
    <t>Supply and Delivery of Desktop Computers (PR No. 2020-01-0054, 2020-02-0308, 2020-02-0204, 2020-06-0563)</t>
  </si>
  <si>
    <t>PURCHASE OF MDRRM VEHICLE</t>
  </si>
  <si>
    <t>ITB-2020-08-058 PROCUREMENT OF PERISHABLE ITEMS FOR BANGUN IMPLEMENTATION IN TAWI-TAWI PROVINCE</t>
  </si>
  <si>
    <t>HO-ESD20-002 - Supply and Delivery of Date and Time Stamping Machine</t>
  </si>
  <si>
    <t>Construction of Drainage @ Brgy. Talaga Proper, Mabini, Batangas</t>
  </si>
  <si>
    <t>HO-CRT20-003 - Supply and Delivery of Automatic Dater</t>
  </si>
  <si>
    <t>Proposed Improvement of STP at Makati Homes-I located at H. Santos Street, Barangay Tejeros, Makati City</t>
  </si>
  <si>
    <t>Installation of CCTV at Brgy. Ligaya, Mabini, Batangas</t>
  </si>
  <si>
    <t>WIDENING OF BARANGAY ROAD @ SITIO LIWANAG BRGY. ESTRELLA, MABINI, BATANGAS</t>
  </si>
  <si>
    <t>'PB Infra 20-071_Concreting of Carmen - Maridagao Road, Carmen, Cotabato</t>
  </si>
  <si>
    <t>ITB-GS-20200609-01(2) - Online Competency Assessment</t>
  </si>
  <si>
    <t>Supply &amp; Delivery of TV for CFMS &amp; Admin</t>
  </si>
  <si>
    <t>Re-bidding: Supply and Delivery of Hotel Property Management System (PMS) Software (PR No. 2020-03-0474)</t>
  </si>
  <si>
    <t>Supply and Delivery of 80,260 bags Urea Fertilizer (Granular) for use under National Rice Program 2020 FLR</t>
  </si>
  <si>
    <t>Supply &amp; Delivery of Printers for Different Departments</t>
  </si>
  <si>
    <t>ITB NO. GOP/20-DSWD-044 - Supply, Delivery and Installation of Office Furniture for the DSWD Central Office - Malasakit Building</t>
  </si>
  <si>
    <t>HO-OMR20-006 - Supply and Delivery of  Various Vehicle Parts</t>
  </si>
  <si>
    <t>Rocket, 2.75 Inch, HE with Mod 4 and M229 Warhead</t>
  </si>
  <si>
    <t>Purchase of 2 UNITS OF RISOGRAPH</t>
  </si>
  <si>
    <t>SUPPLY AND DELIVERY OF RICE FOR USE IN COUNTER INSURGENCY AND TERRORISM</t>
  </si>
  <si>
    <t>Signage for Provincial Fisheries Office of Surigao Del Sur And Provincial Fisheries Office of Agusan Del Sur</t>
  </si>
  <si>
    <t>Proposed Rehabilitation and Upgrading of Existing Streetlighting along H. Santos Street located at Barangay Tejeros, Makati City</t>
  </si>
  <si>
    <t>Rocket, 2.75 inch, Inert Mod 1</t>
  </si>
  <si>
    <t>PB INFRA 20-072_Concreting of Mateo - Linangkob - San Roque Road, Kidapawan City</t>
  </si>
  <si>
    <t>LOT 2 Project No.: GOODS-2020-08-003 INVITATION TO BID Provision of Supply and Delivery of Printing Materials for the Reproduction of Self-Learning Materials for Kinder to Grade 11</t>
  </si>
  <si>
    <t>Catbalogan Airport Development Project C.Y. 2020-(Construction of Terminal Area, Apron and Taxiway)</t>
  </si>
  <si>
    <t>Rehabilitation of Hanging Bridge in Brgy. Libertad, Abuyog, Leyte, ABC PHP1,385,962.99</t>
  </si>
  <si>
    <t>Supply &amp; Delivery of Desktop Computers for CFMS, CTAS, NSTP, Library &amp; CADS</t>
  </si>
  <si>
    <t>Improvement of Alinanag-Banneng FMR-Comadam, Calaccad</t>
  </si>
  <si>
    <t>Improvement of Multi-Purpose Bldg. in Brgy. Bito, Abuyog, Leyte, ABC PHP1,829,770.53</t>
  </si>
  <si>
    <t>Improvement of Road @ Purok 5, San Julian</t>
  </si>
  <si>
    <t>Improvement of Road @ Purok 1 &amp; 2, San Juan</t>
  </si>
  <si>
    <t>Installation of Solar Street Lights in Brgy. Dumarag, Pastrana, Leyte, ABC PHP1,847,565.32</t>
  </si>
  <si>
    <t>CONSTRUCTION OF COVERED COURT PHASE 1</t>
  </si>
  <si>
    <t>CONSTRUCTION OF EVACUATION CENTER BUILDING</t>
  </si>
  <si>
    <t>REHABILITATION/IMPROVEMENT OF LEVEL III WATER SYSTEM IN BRGY. SAN RAFAEL</t>
  </si>
  <si>
    <t>Procurement of Groundwood Paper (A3)</t>
  </si>
  <si>
    <t>Construction of Multi-Purpose Bldg. (Phase 1) in Brgy. Malaguinabot, San Miguel, Leyte, ABC PHP2,458,693.79</t>
  </si>
  <si>
    <t>IMPROVEMENT OF LABANGON RIVER UPSTREAM @ SITIO LABANGON, BRGY. BAWOD, SAN ISIDRO, LEYTE</t>
  </si>
  <si>
    <t>Installation of Pipe Culvert (Purok 1, Songgoy, San Pablo, ZDS.)</t>
  </si>
  <si>
    <t>Improvement of Water System in Brgy. Antipolo, Albuera, Leyte, ABC PHP2,469,208.94</t>
  </si>
  <si>
    <t>CONSTRUCTION OF NCDC BUIDING</t>
  </si>
  <si>
    <t>Concreting Of Municipal Road</t>
  </si>
  <si>
    <t>Completion of Barangay Health Facitility (To served as Covid-19 Isolation Facility) Brgy. Maungib, Pura, Tarlac</t>
  </si>
  <si>
    <t>Repair and Maintenance of Road Safety Facilities within the District</t>
  </si>
  <si>
    <t>CONSTRUCTION OF CLUSTER MATERIAL RECOVERY FACILITIES(MRF)</t>
  </si>
  <si>
    <t>Procurement of One (1) Unit Passenger Van in Batangas State University, JPLPC – Malvar</t>
  </si>
  <si>
    <t>Installation of Solar Street Lights Additional (All Sitio's)</t>
  </si>
  <si>
    <t>CONSTRUCTION OF RESERVOIR</t>
  </si>
  <si>
    <t>Concreting of Road in Brgy. Hitomnog, Dagami, Leyte, ABC PHP2,438,095.62</t>
  </si>
  <si>
    <t>CONSTRUCTION OF BRGY TUNGA-TUNGA MULTI-PURPOSE CENTER(Phase II)</t>
  </si>
  <si>
    <t>Construction of Comfort Room in Libacao Public Market, Brgy. Poblacion, Libacao, Aklan</t>
  </si>
  <si>
    <t>Proposed Upgrading and Expansion of Calatrava District Hospital, Calatrava, Neg. Occ. / PEO-2020-0072</t>
  </si>
  <si>
    <t>2020 25TH PUBLIC BIDDING PROCUREMENT OF HOUSEKEEPING AND LINEN AND LAUNDRY SUPPLIES FOR 2020 2ND SEMESTER CONSUMPTION</t>
  </si>
  <si>
    <t>Group Personal Accident with Health Insurance of the ASTHRDP, NCGSME, ERDT, HRDP and Strand Scholars</t>
  </si>
  <si>
    <t>PBD 20-096 HIGH PERFORMANCE COMPUTING (HPC) SYSTEM</t>
  </si>
  <si>
    <t>Construction of Single-Detached Isolation Housing Facility for COVID-19</t>
  </si>
  <si>
    <t>Procurement of Medicines for use of Romblon Provincial Hospital, Odiongan, Romblon</t>
  </si>
  <si>
    <t>Procurement of ICT Devices and Software, Installation, Configuration and Operationalization of Motor Vehicle Recognition and Enforcement System (MVRES)</t>
  </si>
  <si>
    <t>20GMH073 - SUPPLY/DELIVERYOFONE(1)UNITGENERATOR SET,DIESELENGINEANDSUPPLY/INSTALLATIONOF ONE(1)AUTOMATICTRANSFERSWITCH(ATS)FOR USEOFSULTANKUDARAT2NDDISTRICT ENGINEERING OFFICE</t>
  </si>
  <si>
    <t>Supply and delivery of Influenza Polyvalent Vaccine</t>
  </si>
  <si>
    <t>Pag-IBIG Fund CHQ (Engagement of Manpower Service Provider for Lot II - Accounting/Loans Support Assistant Services for Y2020 to Y2022))</t>
  </si>
  <si>
    <t>SVP PUR20-05-0386 Procurement of Patslide Patient Transfer for OR Complex, PGH</t>
  </si>
  <si>
    <t>Pag-IBIG Fund CHQ (Engagement of Manpower Service Provider for Lot I - Clerical and Administrative Support Assistant Services for Y2020 to Y2022))</t>
  </si>
  <si>
    <t>PROCUREMENT OF MULTI-BAND NETWORK SCANNING RECEIVER AND POST PROCESSING TOOL</t>
  </si>
  <si>
    <t>REI, TOR &amp; Bid Docs for CONTRACT ID NO.:	     20CSC003   Procurement of Consulting Services for the Feasibility Study of Tarlac River Right Dike Bypass Road, Tarlac and EGSA and Ala-Uli Flyovers, Bata</t>
  </si>
  <si>
    <t>REI, TOR &amp; Bid Docs for CONTRACT ID NO.:	     20CSC001   Procurement of Consulting Services for the Feasibility Study of San Ildefonso-Candaba Bypass Road and Balagtas Bypass Road</t>
  </si>
  <si>
    <t>MEDICAL, DENTAL AND LABORATORY SUPPLIES EXPENSES</t>
  </si>
  <si>
    <t>CONSTRUCTION OF DRAINAGE CANAL AT SAN MARIANO</t>
  </si>
  <si>
    <t>SUPPLY OF LABOR AND MATERIALS FOR THE REPAIR AND ALIGNMENT OF THE OPERABLE WALL PARTITION AT SUMMIT HALL</t>
  </si>
  <si>
    <t>SUPPLY, DELIVERY AND INSTALLATION OF RACKS FOR  THE STORAGE PANTRY</t>
  </si>
  <si>
    <t>20-06-239 SUPPLY AND DELIVERY OF  SIX (6) UNITS OF VAN AND  TWO (2) UNITS OF MULTI PURPOSE VAN</t>
  </si>
  <si>
    <t>PB Supply, Delivery, and Testing &amp; Commissioning of Digital Mobile C-Arm (Image Intensifier), Dept. of Orthopedics, PGH</t>
  </si>
  <si>
    <t>PB PUR19-09-1140 Supply and Delivery of Over Bed Table, Bedside Cabinet and Chair Convertible to Bed for Dept. of Pay Patient Services,PGH</t>
  </si>
  <si>
    <t>PB PUR19-12-1459 Supply, Delivery, Testing &amp; Commissioning of One (1) Operating Microscope for the Department of Otorhinolaryngology, PGH</t>
  </si>
  <si>
    <t>Pag-IBIG Fund CHQ (Engagement of Manpower Service Provider for Lot IV - Management/Technical Support Assistant Services for Y2020 to Y2022))</t>
  </si>
  <si>
    <t xml:space="preserve">REI, TOR &amp; Bid Docs for CONTRACT ID NO.:	  20CSC002   Procurement of Consulting Services for the Feasibility Study of Sto. Tomas-Arayat Bypass Road and Arayat-Magalang-Sta. Ana-Mexico Circumferential </t>
  </si>
  <si>
    <t>Pag-IBIG Fund CHQ (Engagement of Manpower Service Provider for Lot V - IT Support Assistant Services for Y2020 to Y2022))</t>
  </si>
  <si>
    <t>Supply and Delivery of Janitorial and Garbage Collection Services at Naval Base Rafael Ramos (NBRR)</t>
  </si>
  <si>
    <t>PB BAC1-20-013 SUPPLY AND DELIVERY OF CHEMICALS AND REAGENTS FOR 2020</t>
  </si>
  <si>
    <t>PB BAC1-20-004 SUPPLY AND DELIVERY OF CHEMICALS AND REAGENTS – REAL TIME POLYMERASE CHAIN REACTION (RT-PCR) REAGENTS - CY 2020</t>
  </si>
  <si>
    <t>ITB No. FB20-03-007COR SUPPLY, FABRICATION AND DELIVERY OF STEEL GATE AND WINDOW GLASS FOR THE REHABILITATION AND IMPROVEMENT OF ANTIPOLO REPEATER TOWER</t>
  </si>
  <si>
    <t>Labor for the Installation of Fishery Product Technology Center at Pawa, Tabaco City</t>
  </si>
  <si>
    <t>Supply and Delivery of Medical Supplies and Materials for use of MNH</t>
  </si>
  <si>
    <t>SUPPLY, DELIVERY, INSTALLATION AND CONFIGURATION OF ADDITIONAL ACCESS POINT WITH FIBER OPTICS, CAT6 CABLE AND ACCESSORIES</t>
  </si>
  <si>
    <t>Construction/Maintenance of Flood Mitigation Structures and Drainage Systems – Construction of Slope Protection along Porac River (Upstream), Valdez, Floridablanca, Pampanga</t>
  </si>
  <si>
    <t>SVP PUR20-07-0568 Procurement of Alcohol Lamp, etc. for Microbiology Div., Dept. of Labs., PGH</t>
  </si>
  <si>
    <t>SUPPLY AND DELIVERY OF PARTS AND ACCESSORIES INTENDED FOR SYNCHRONIZING AND PARALLEL OPERATION OF MASBATE MINI GRID PLANTS</t>
  </si>
  <si>
    <t>Invitation to Apply for Eligibility and to Bid For the Software update and Maintenance of a Cloud-Based Geographic Information System (GIS)</t>
  </si>
  <si>
    <t>PROCUREMENT OF GEODETIC SERVICES FOR THE RELOCATION SURVEY OF THE PNR PROPERTY LOCATED AT BRGY. SAN ISIDRO, IRIGA CITY, CAMARINES SUR (IRIGA BALLAST PIT)</t>
  </si>
  <si>
    <t>Pag-IBIG Fund CHQ (Engagement of Manpower Service Provider for Lot III - Marketing/Customer Support Assistant Services for Y2020 to Y2022))</t>
  </si>
  <si>
    <t>HO-FAU20-002 - Supply and Delivery of Hiking Shoes and Luggage Bag</t>
  </si>
  <si>
    <t>Contract ID No. 20GZ00004-Supply and Delivery of Six (6) Units Ground Penetrating Radar (GPR) for the Use of DPWH Regional Offices FY 2020</t>
  </si>
  <si>
    <t>Supply and Delivery of Drugs and Medicines for Pharmaceutical Services of MNH</t>
  </si>
  <si>
    <t>SUPPLY AND DELIVERY OF 2 UNITS CASSAVA GRANULATOR</t>
  </si>
  <si>
    <t>Contract ID No. 20GZ00002- Supply and Delivery of Six (6) Units 24-Channel Seismograph for the Use of DPWH Regional Offices FY 2020</t>
  </si>
  <si>
    <t>SUPPLY AND DELIVERY OF 20 PIECES OFFICE CHAIR FOR OFFICIAL USE OF AMAD</t>
  </si>
  <si>
    <t>SUPPLY OF LABOR AND MATERIALS FOR THE CORRECTIVE/REPAIR WORKS OF FIRE ENGINE PUMP AND ITS CONTROL SYSTEM AT POWERHOUSE</t>
  </si>
  <si>
    <t>Supply and Delivery of Construction Materials for the Enhancement of Storage Facility at NSFA</t>
  </si>
  <si>
    <t>SUPPLY AND DELIVERY OF PARTS AND ACCESSORIES INTENDED FOR SYNCHRONIZING AND PARALLEL OPERATION OF BURIAS ISLAND MINI GRID</t>
  </si>
  <si>
    <t>Supply and Delivery of Labor and Materials for the Repair/Rehabilitation of NLC Electrical Distribution System and Electrical Layouts and Flooring of Warehouse Nr 8</t>
  </si>
  <si>
    <t>Supply and Delivery of Materials for the Sustainment of Unit/Office Daily Operations LOT 1 and Sustainment of Daily Shipboard Operations of BRP TARLAC (LD601) and BRP DAVAO DEL SUR (LD602) LOT 2</t>
  </si>
  <si>
    <t>FILM</t>
  </si>
  <si>
    <t>Supply and Delivery of Construction Materials for the Enhancement of Storage Facility at NSJM</t>
  </si>
  <si>
    <t>Contract ID No. 20GZ00015- Supply, Delivery, Installation and Commissioning of Centrally-Managed Wireless Access Points (WAP)</t>
  </si>
  <si>
    <t>RFQ / PR 20-05-1394 / PROCUREMENT OF CONSTRUCTION MATERIALS FOR THE REPAINTING OF NEB POWER HOUSE EXTERIOR WALLS AND WATER TANK HOUSE EXTERIOR WALLS</t>
  </si>
  <si>
    <t>Supply and Delivery of Various Vehicles for Resource Generation and Management Service (RGMS)</t>
  </si>
  <si>
    <t>Procurement of Janitorial Services Provider CY 2020 (Contract No. RO-PG2020-003)</t>
  </si>
  <si>
    <t>ITB-GS-20200311-01 - One (1) Lot Supply, Delivery and Installation of Office Furniture at LANBBANK Buendia Branch</t>
  </si>
  <si>
    <t>Supply and Delivery of Gold Ring as token for GSIS Employees with 35 years of service</t>
  </si>
  <si>
    <t>One (1) Lot Structural Engineering Audit/Investigation and Design Consultancy Services for the Proposed BSP Museum at PICC Project, as per BSP Terms of Reference</t>
  </si>
  <si>
    <t>ITB-GS-20200413-01 - Three (3) Years Subscription for Web Security Protection for LANDBANK Branches (700 Users)</t>
  </si>
  <si>
    <t>Provision of Security Services for a Period of One (1) Year in the DOLE Central Office from October 2020 to October 2021</t>
  </si>
  <si>
    <t>Procurement of supply and delivery of NATIVE CHICKEN</t>
  </si>
  <si>
    <t>Supply and Delivery of Global Navigation Satellite System (GNSS) Equipment for Use of Various District Engineering Offices (CY 2020)</t>
  </si>
  <si>
    <t>Procurement of Construction Materials</t>
  </si>
  <si>
    <t>PROCUREMENT OF ONE (1) UNIT MOTOR VEHICLE</t>
  </si>
  <si>
    <t>Supply &amp; Delivery of Thirty (30) sets Solar Kit for Donations to Various Schools, Himamaylan City</t>
  </si>
  <si>
    <t>Feasibility Study for Ihaon RIP</t>
  </si>
  <si>
    <t>ACCOUNT ADMINISTRATION AND MANAGEMENT OF NHA NCR-NORTH SECTOR OFFICE’S VARIOUS PROJECTS UNDER SERVICE PROVIDER</t>
  </si>
  <si>
    <t>20DN0145 - CONSTRUCTION OF PEDESTRIAN OVERPASS, MAMBUGAN, ANTIPOLO CITY, RIZAL</t>
  </si>
  <si>
    <t>ITB-GS-20200608-01 - Two (2) Years Subscription of Dark Fiber Facility</t>
  </si>
  <si>
    <t>Contract ID No. 20FA0061: CLUSTER 34 - CONSTRUCTION OF 2-STOREY SCHOOL BUILDINGS UNDER DEPED CY 2020 BEFF IN THE FIRST DISTRICT OF ALBAY</t>
  </si>
  <si>
    <t>Supply of Labor and Materials for the Replacement of Two (2) Units Four (4) MVA 4160/440 Oil Type Transformer, Main Electrical Room NAIA Terminal 1</t>
  </si>
  <si>
    <t>Public Bidding re: Procurement of Anti-Virus Software (AVS) Licenses Renewal for 1,500 Workstations  at the CSC Central and Regional Offices</t>
  </si>
  <si>
    <t>SVP PUR19-10-1204 SUPPLY,DELIVERY,TESTING AND COMMISSIONING OF VARIOUS ORTHOPEDIC EQUIPMENT FOR THE PGH</t>
  </si>
  <si>
    <t>PROCUREMENT OF DRUGS AND MEDICINES FOR CHO USE</t>
  </si>
  <si>
    <t>Public Bidding re: Procurement of CSC Central Office Primary Internet Services Leased Line</t>
  </si>
  <si>
    <t>20DN0161 - CONSTRUCTION OF PEDESTRIAN OVERPASS, SUN VALLEY (BARANGAY BAGONG NAYON TO DELA PAZ), ANTIPOLO CITY</t>
  </si>
  <si>
    <t>One (1) Lot Supply of Labor and Materials for the Construction of PCMC's New Building (Phase 2)</t>
  </si>
  <si>
    <t>20DN0160 - CONSTRUCTION OF MULTI - PURPOSE BUILDING, SITIO PINAGMISAHAN, BARANGAY DELA PAZ, ANTIPOLO CITY</t>
  </si>
  <si>
    <t>MG-TSE20-018..METER MULTIFUNCTION</t>
  </si>
  <si>
    <t>20DN0149 - REHABILITATION OF ROAD WITH DRAINAGE, CAROLINA VILLAGE, STA. CRUZ, ANTIPOLO CITY, RIZAL</t>
  </si>
  <si>
    <t>20DN0157 - IMPROVEMENT/ CONSTRUCTION OF FLOOD CONTROL STRUCTURES OF KAMIAS CREEK (COGEO GATE 1), ANTIPOLO CITY, RIZAL</t>
  </si>
  <si>
    <t>20DN0150 - ASPHALT OVERLAY, PINAGMISAHAN ST., BRGY. DELA PAZ, ANTIPOLO CITY</t>
  </si>
  <si>
    <t>20DN0168 - CONSTRUCTION OF FLOODGATE, CAINTA RIVER, SAN FRANCISCO, MANGGAHAN FLOODWAY, BRGY. SAN JUAN (PHASE 2), CAINTA, RIZAL</t>
  </si>
  <si>
    <t>20CN0066 - Construction of Slope Protection along Madela – Dinadiawan Road, K0410+100 – K0410+146, Aurora</t>
  </si>
  <si>
    <t>20DQ0128 - LOCAL PROGRAM – Construction / Repair / Rehabilitation / Improvement of Various Infrastructure including Local Projects – Flood Control and Drainage – Flood Control Structures/Facilities –</t>
  </si>
  <si>
    <t>20DQ0121 - LOCAL PROGRAM – Local Infrastructure Program – Local Roads and Bridges – Local Roads – Widening of Congressional Avenue, GMA, Cavite</t>
  </si>
  <si>
    <t>PROCUREMENT OF GEODETIC SERVICES FOR THE RELOCATION SURVEY OF THE PNR PROPERTY LOCATED AT EDSA MANDALUYONG METRO MANILA</t>
  </si>
  <si>
    <t>Procurement of Wheelchair &amp; Reading Glasses PR # 2020-06-23-209</t>
  </si>
  <si>
    <t>Procurement of Medicines &amp; Medical Supplies PR # 2020-06-15-193</t>
  </si>
  <si>
    <t>Rehabilitation/Extension of MIAA Buildings (MIAA Records Center, PMD Office, T3 Satellite Office) NAIA Complex, Pasay City</t>
  </si>
  <si>
    <t>20DN0148 - REHABILITATION OF ROAD WITH DRAINAGE, ORCHID ST., BRGY. MAYAMOT, ANTIPOLO CITY</t>
  </si>
  <si>
    <t>Public Bidding re: Procurement of Laptops and Printers</t>
  </si>
  <si>
    <t>20LB0206 - Construction of Pedestrian Overpass along Davao City Diversion Road, Davao City</t>
  </si>
  <si>
    <t>20CN0071 - Construction of Slope Protection Along Baler – Casiguran Road (Dinadiawan – Casiguran Section), (K0302+490 – K0302+570), Casiguran, Aurora</t>
  </si>
  <si>
    <t>20CN0070 - Construction of Slope Protection Along Baler – Casiguran Road (Dinadiawan – Casiguran Section), K0292+910 – K0292+988, Aurora</t>
  </si>
  <si>
    <t>Supply and Delivery of Various ICT Equipment to Support the Command, Control, and Communications Information System (C3IS)</t>
  </si>
  <si>
    <t>SUPPLY, DELIVERY, INSTALLATION INTO OPERATIONAL STATE, AND MAINTENANCE OF AN INVESTMENT MANAGEMENT SYSTEM (IMS) (RE-ADVERTISEMENT)</t>
  </si>
  <si>
    <t>20CN0069 - Construction of Slope Protection Along Baler – Casiguran Road (Baler – Dinadiawan Section), (K0259+735 – K0259+775), Casiguran, Aurora</t>
  </si>
  <si>
    <t>20CN0068 - Construction of Slope Protection Along A. Castañeda – Ma. Aurora San Luis Road, (K0211+175 – K0211+310), Aurora</t>
  </si>
  <si>
    <t>SUPPLY AND DELIVERY OF GPE ITEMS FOR THE OPERATION OF NARO DPP</t>
  </si>
  <si>
    <t>Procurement of Supply and Delivery of Office  Supplies &amp; Equipment</t>
  </si>
  <si>
    <t>20CN0072 - Construction of Slope Protection along Nueva Ecija – Aurora Road, K0171+150 – K0171+195.52, Aurora</t>
  </si>
  <si>
    <t>20CN0067 - Construction of Slope Protection Along A. Castañeda – Ma. Aurora San Luis Road, (K0198+120 – K0198+171.84), Aurora</t>
  </si>
  <si>
    <t>Procurement of Security Services for CSC RO IV Located at 139 Panay Ave., Barangay South Triangle, Quezon City</t>
  </si>
  <si>
    <t>20DN0169 - CONSTRUCTION OF FLOODGATE, CAINTA RIVER, SAN FRANCISCO MANGGAHAN FLOODWAY, PHASE 3, BRGY. SAN JUAN, CAINTA, RIZAL</t>
  </si>
  <si>
    <t>ITB No. 19-DSWD-059-A - Supply and Delivery of Workstation Computer for DSWD-UCT NPMO</t>
  </si>
  <si>
    <t>PB BAC1-20-007 SUPPLY AND DELIVERY OF VARIOUS CONSTRUCTION SUPPLIES - CARPENTRY –  FOR 2020</t>
  </si>
  <si>
    <t>20CN0126 - Slope Protection along Nueva Ecija – Aurora Road, (K0190+740 – K0190+890), (K0191+211 – K0191+260)</t>
  </si>
  <si>
    <t>20CN0125 - Slope Protection along Nueva Ecija – Aurora Road, K0184+800 – K0184+880, K0184+980 – K0185+090</t>
  </si>
  <si>
    <t>20CN0124 - Slope Protection along Nueva Ecija – Aurora Road, K0176+200 – K0176+360</t>
  </si>
  <si>
    <t>20CN0123 - Construction of Slope Protection along Baler - Casiguran Road (Dinadiawan-Casiguran Section), K0297+060 – K0297+143, K0297+190 – K0297+300, Casigura, Aurora</t>
  </si>
  <si>
    <t>20CN0075 - Construction of Slope Protection along Nueva Ecija – Aurora Road, K0204+325 – K0204+386, Aurora</t>
  </si>
  <si>
    <t>20CN0073 - Construction of Slope Protection along Nueva Ecija – Aurora Road, K0212+155 – K0212+203, Aurora</t>
  </si>
  <si>
    <t>PB BAC1-20-014 SUPPLY AND DELIVERY OF VARIOUS CONSTRUCTION SUPPLIES –  TRANSPORTATION - FOR 2020</t>
  </si>
  <si>
    <t>TRANSFORMER OIL</t>
  </si>
  <si>
    <t>PB BAC1-20-008 SUPPLY AND DELIVERY OF VARIOUS CONSTRUCTION SUPPLIES - PAINTING  FOR 2020</t>
  </si>
  <si>
    <t>Improvement Kolambugan Level III Water System Project</t>
  </si>
  <si>
    <t>PB BAC1-20-010 SUPPLY AND DELIVERY OF VARIOUS CONSTRUCTION SUPPLIES – MECHANICAL/CMGVS - FOR 2020</t>
  </si>
  <si>
    <t>PB BAC1-20-005 SUPPLY AND DELIVERY OF VARIOUS CONSTRUCTION SUPPLIES - BIOMEDICAL –  FOR 2020</t>
  </si>
  <si>
    <t>Supply and Delivery of Shredder Machine</t>
  </si>
  <si>
    <t>20CN0074 - Construction of Slope Protection along Nueva Ecija – Aurora Road, K0196+230 – K0196+277, Aurora</t>
  </si>
  <si>
    <t>20DN0130 (Re-Schedule) - REHABILITATION OF ROAD WITH DRAINAGE AT ORCHID ST., GREENHEIGHTS SUBD., MAYAMOT , ANTIPOLO CITY, RIZAL</t>
  </si>
  <si>
    <t>Contract ID No. 19CSK00041 – Consultancy Services for the Conduct of Geotechnical &amp; Geological Investigation and Survey Works for the Proposed Construction of Sabo Dam on Upper and Lower Dinanggasan R</t>
  </si>
  <si>
    <t>Supply &amp; Delivery of Seven (7) units Motorcycles use for Mayor's Office &amp; Barangay Buenavista, Himamaylan City</t>
  </si>
  <si>
    <t>20DN0140 (Re-Schedule) - CONSTRUCTION OF PEDESTRIAN OVERPASS, BRGY. STA. CRUZ, ANTIPOLO CITY</t>
  </si>
  <si>
    <t>PB BAC1-20-006 SUPPLY AND DELIVERY OF VARIOUS CONSTRUCTION SUPPLIES - PABX –  FOR 2020</t>
  </si>
  <si>
    <t>20DN0139 (Re-Schedule) - CONSTRUCTION OF PEDESTRIAN OVERPASS, BRGY. DELA PAZ, ANTIPOLO CITY</t>
  </si>
  <si>
    <t>20DN0137 (Re-Schedule) - CONSTRUCTION/ IMPROVEMENT OF CLIFFSIDE AND ROAD WIDENING WITH DRAINAGE SYSTEM, BRGY. MACAMOT, BINANGONAN, RIZAL</t>
  </si>
  <si>
    <t>PB BAC1-20-011 Supply and Delivery of Various Construction Supplies  PLUMBING - for 2020</t>
  </si>
  <si>
    <t>20DN0144 (Re-Schedule) - CONSTRUCTION OF PEDESTRIAN OVERPASS, BRGY. MAMBUGAN, ANTIPOLO CITY</t>
  </si>
  <si>
    <t>ITB-GS-20200313-01 - Supply and Delivery of 11,360 bundles Clear Plastic Jacket for Savings, Signature Card  and 10,400 reams Whitewove Paper Mimeo</t>
  </si>
  <si>
    <t>20FN0102 Local Program – Building and Other Structures – Multipurpose/Facilities – Local Infrastructure Program Construction of Multi-Purpose Covered Court at San Ramon Elementary School Compound, San</t>
  </si>
  <si>
    <t>PB BAC1-20-009 SUPPLY AND DELIVERY OF VARIOUS CONSTRUCTION SUPPLIES - ELECTRICAL FOR 2020</t>
  </si>
  <si>
    <t>20KB0174   Construction of Multi-Purpose Building (Kibawe Sports Complex), Brgy. East Kibawe, Kibawe, Bukidnon</t>
  </si>
  <si>
    <t>20EI0182 - Construction of Evacuation Center, Barangay San Juan,  Bongabong, Oriental Mindoro_063</t>
  </si>
  <si>
    <t>20DN0138 (Re-Schedule) - REHABILITATION OF ROAD AND DRAINAGE SYSTEM AT BROOKSIDE HILLS, BRGY. SAN JUAN, CAINTA, RIZAL</t>
  </si>
  <si>
    <t>20DN0174 - REHABILITATION OF NHA ROAD WITH DRAINAGE, BRGY. SAN ISIDRO, ANTIPOLO CITY</t>
  </si>
  <si>
    <t>20DN0141 (Re-Schedule) - ASPHALT OVERLAY, BRGY.MAYAMOT, ANTIPOLO CITY</t>
  </si>
  <si>
    <t>C-2020-01: ENGAGEMENT OF AN ADVERTSING /DESIGN AGENCY FOR THE DESIGN, CONTENT DEVELOPMENT, PRINTING AND DELIVERY OF THE 2019 ANNUAL REPORT OF THE DEVELOPMENT BANK OF THE PHILIPPINES (DBP)</t>
  </si>
  <si>
    <t xml:space="preserve">20FN0100 Construction/Repair/Rehabilitation/Improvement of Various Infrastructure including Local Projects – Construction of Flood Control (Slope Protection, Rip-Rap) Project, Brgy. La Medalla, Baao, </t>
  </si>
  <si>
    <t>INVITATION TO RE-BID FOR THE  SUPPLY AND DELIVERY OF GIS DESKTOP SOFTWARE PR No. 27611-001</t>
  </si>
  <si>
    <t>20KB0168   Construction of Multi-Purpose Building (Kibawe Sports Complex) Brgy. East Kibawe, Kibawe, Bukidnon</t>
  </si>
  <si>
    <t>20DN0173 - CONSTRUCTION OF SPORTS FACILITY BUILDING AT BLUEBELLS, BRGY. MAYAMOT, ANTIPOLO CITY, RIZAL</t>
  </si>
  <si>
    <t>20KA0141 Paving of Unpaved Roads with Construction of Road Slope Protection Structure along Jct SH Aglayan-Zamboanguita Rd (S00631MN) - K1569 + 187 - K1570 + 092 (Package 2 - K1569 + 607 - K1570 + 092</t>
  </si>
  <si>
    <t>20DN0131 (Re-Schedule) - REHABILITATION OF ROAD AND DRAINAGE SYSTEM, ANTIPOLO HILLS MUNICIPAL ROAD, BRGY. SAN LUIS, ANTIPOLO CITY</t>
  </si>
  <si>
    <t>20KA0140 Paving of Unpaved Roads with Construction of Road Slope Protection Structure along Kapalong-Talaingod-Valencia (Bukidnon) Rd (S00641MN) -  K1582 + 587 - K1582 + 734 (Package 2 - K1582 + 587 -</t>
  </si>
  <si>
    <t>20KA0137 Paving of Unpaved Roads with Construction of Road Slope Protection Structure along Jct SH Aglayan-Zamboanguita Rd (S00631MN) - K1569 + 187 - K1570 + 092 (Package 1 - K1569 + 187 - K1569 + 607</t>
  </si>
  <si>
    <t>20KA0136 Paving of Unpaved Roads with Construction of Road Slope Protection Structure along Kapalong-Talaingod-Valencia (Bukidnon) Rd (S00641MN) -  K1582 + 587 - K1582 + 734 (Package 1 - K1582 + 680 -</t>
  </si>
  <si>
    <t>REPAIR OF PHYTON CAGE</t>
  </si>
  <si>
    <t>20DN0170 - REHABILITATION OF MULTI - PURPOSE BUILDING (ANTIPOLO SPORTS HUB), SITIO ORETA, BARANGAY SAN ISIDRO, ANTIPOLO CITY</t>
  </si>
  <si>
    <t>ITB-GS-20200407-01 - Supply, Delivery, Installation &amp; Configuration of Privileged Access Management (PAM) Solution  with Hardware Appliance with Three (3) Years Warranty</t>
  </si>
  <si>
    <t>20KA0138 Construction of Multi Purpose Building - Construction of Multi-Purpose  Building, Brgy. Iba, Cabanglasan, Bukidnon (Phase I) Cabanglasan, Bukidnon</t>
  </si>
  <si>
    <t>ITB-GS-20200323-01 - 1 Lot Supply, Delivery and Installation of Systems Furniture for LANDBANK Malolos Highway Office Building</t>
  </si>
  <si>
    <t>20KA0135 Road Widening along Jct SH Aglayan-Zamboanguita Rd (S00631MN) - K1523 + 850 - K1525 + 500 (Package 1 - K1523 + 850 - K1525 + 340) Malaybalay City, Bukidnon</t>
  </si>
  <si>
    <t>20FN0089 Local Program - Building and Other Structures - Multipurpose/Facilities - Local Infrastructure Program -Construction of Multi-Purpose Building, Baao Community College, Brgy. San Juan, Baao, C</t>
  </si>
  <si>
    <t>PB BAC1-20-012 FOR THE SUPPLY AND DELIVERY OF VARIOUS CONSTRUCTION SUPPLIES –  REFRIGERATION &amp; AIRCON - FOR 2020</t>
  </si>
  <si>
    <t>20FN0094 Construction/Repair/Rehabilitation/Improvement of Various Infrastructure including Local Projects – Flood Control Structure/Facilities – Improvement of Flood Control, Sulong Creek, San Franci</t>
  </si>
  <si>
    <t>20KA0142 Construction of Multi Purpose Building - Construction of Multi-Purpose  Building, Brgy. Iba, Cabanglasan, Bukidnon (Phase II) Cabanglasan, Bukidnon</t>
  </si>
  <si>
    <t>MPG-B1-2020-002 - SUPPLY AND DELIVERY OF FOURTEEN (14) SETS BRAND NEW TRACKASSY (T130) FOR M113 APC OF THE PHILIPPINE ARMY (PA)</t>
  </si>
  <si>
    <t>20KB0167   Construction of Multi-Purpose Building (Municipal Risk Reduction Management Office), Maramag, Bukidnon</t>
  </si>
  <si>
    <t xml:space="preserve">20FN0092 Construction/Repair/Rehabilitation/Improvement of Various Infrastructure including Local Project – Local Roads Concreting Neighborhood Bacolod – San Vicente Road, Barangay San Vicente, Bato, </t>
  </si>
  <si>
    <t>ITB-GS-20200212-01 - Supply and Delivery of 600 Units Passbook Printer</t>
  </si>
  <si>
    <t>ITB-GS-20191202-01 - Additional License for the Existing Solarwinds Servers, Networks, Database and Application Monitoring Tool</t>
  </si>
  <si>
    <t>ITB-GS-20200305-03 - Supply &amp; Delivery of 4,300 Pcs. Ribbon for EPSON Printer FX2190 &amp; 440 Pcs.  Genuine Burroughs Black Multiline Print Inkjet Cartridge</t>
  </si>
  <si>
    <t>CONSTRUCTION REHAB PROVISION OF AMENTIES OF DETENTION CELL</t>
  </si>
  <si>
    <t>GPG-B2-2020-103 2nd Rebid - Design and Build of Pagadian City and Navotas City Fire Stations for thBureau of Fire Protection – National Headquarters (BFP-NHQ)</t>
  </si>
  <si>
    <t>PROVISION OF WATCHMAN SERVICES FROM MARCH 1-DECEMBER 31, 2020</t>
  </si>
  <si>
    <t>ITB and Bid Docs for Procurement ID/Contract ID:    20C00042 - Local Program-Construction/Repair/Rehabilitation/Improvement of various Infrastructure including Local Projects – Flood Control &amp; Drainag</t>
  </si>
  <si>
    <t>Supply and Delivery of FRP Materials, Underwater Fittings and Marine Engine</t>
  </si>
  <si>
    <t>BIDDING FOR THE PROCUREMENT OF ONE (1) LOT INTEGRATED SECURITY SUITE FOR TWO (2) YEARS</t>
  </si>
  <si>
    <t>Installation of CCTV's in Various Barangays</t>
  </si>
  <si>
    <t>ITB-GS-20190703-01 (2) - One (1) Lot Supply, Delivery, Installation, Testing and Commissioning of Variable Refrigerant Flow (VRF) Air-Conditioning Units at LANDBANK Sta. Cruz Office Building</t>
  </si>
  <si>
    <t>GPG-B1-2020-220-3RD REBID-SUPPLY, DELIVERY, INSTALLATION, TESTING &amp; COMMISSIONING OF ONE (1) LOT BRAND NEW AIR-CONDITIONING UNITS FOR THE NATIONAL BUREAU OF INVESTIGATION (NBI)</t>
  </si>
  <si>
    <t>Upgrading of Desktop Computer</t>
  </si>
  <si>
    <t>RFQ-HARDWARE AND CONSTRUCTION SUPPLY PR#20-02-0028</t>
  </si>
  <si>
    <t>RFQ-3D PRINTING SUPPLY AND CONSUMABLES</t>
  </si>
  <si>
    <t>20M00079- Construction/Improvement of Various Infrastructure in Support of National Security – Construction of SK Pendatun Municipal Police Station Building, Gen. Salipada SK Pendatun, Maguindanao</t>
  </si>
  <si>
    <t>MPG-BI 2020-318 4th Rebid SUPPLY AND DELIVERY OF BRAND NEW 2,031 PIECES MILITARY BINOCULAR, COMPACT, MODEL 1 FOR THE PHILIPPINE ARMY (PA)</t>
  </si>
  <si>
    <t>MA-A2H20-006..BATTERY BANK, STATION BATTERY, AGUS 1 HEP</t>
  </si>
  <si>
    <t>MPG-B1-2020-231 Rebid - SUPPLY AND DELIVERY OF ONE LOT BRAND NEW OPHTHALMIC OPERATING MICROSCOPE AND BRAND NEW OPHTHALMIC CHAIR AND STAND FOR THE  PHILIPPINE ARMY (PA)</t>
  </si>
  <si>
    <t>RFQ-STEEL CABINET PR#20-03-0040</t>
  </si>
  <si>
    <t>RFQ-SPORTS EQUIPMENT PR#20-01-0012</t>
  </si>
  <si>
    <t>RFQ-HANDHELD PRINTER PR#20-03-0043</t>
  </si>
  <si>
    <t>RFQ-HARDWARE MATERIALS AND CONSUMABLES PR#20-03-0044</t>
  </si>
  <si>
    <t>RFQ-PRINTER TONER PR#20-02-0029</t>
  </si>
  <si>
    <t>Contract I.D. No. 20OE0091 - Construction of Retention Basin at Estero de Sampaloc, Manila City</t>
  </si>
  <si>
    <t>CONSTRUCTION OF WINGS OF MULTI-PURPOSE BUILDING AT BRGY. TELBANG, CITY OF ALAMINOS, PANGASINAN</t>
  </si>
  <si>
    <t>RFQ-PAPERS-PRINTING SUPPLY AND CONSUMABLES PR#20-02-0026</t>
  </si>
  <si>
    <t>Procurement of supply and delivery of flour mill</t>
  </si>
  <si>
    <t xml:space="preserve">20FN0077 Concreting of La Purisima to Inoyonan, Barangay La Purisima, Bula, Camarines Sur Section A – Sta. 2+300.00 – Sta. 3+320.00 Section B – Sta. 3+600.00 – Sta. 3+820.00 Section C – Sta. 4+025.00 </t>
  </si>
  <si>
    <t>RFQ-PAPERS AND CONSUMABLES PR#20-02-0030</t>
  </si>
  <si>
    <t>INVITATION TO BID to the 4th Public Bidding of the Procurement for the Site Development Works for the NDC Industrial Estate (NDCIE)Project in Brgy. Langkaan, Dasmariñas City, Cavite</t>
  </si>
  <si>
    <t>GPG-B2-2020-272 2nd Rebid - RENOVATION OF VARIOUS LABORATORIES AND TRAINING FACILITIES OF THE UNIVERSITY OF THE PHILIPPINES LOS BAÑOS – COLLEGE OF VETERINARY MEDICINE (UPLB – CVM)</t>
  </si>
  <si>
    <t>Procurement of Repair and Rehabilitation of Various School Building (Repair of 11 Classrooms) in Sinaloc Elementary School, Project 2020-03-0023</t>
  </si>
  <si>
    <t>MPG-B1-2020-415 - SUPPLY AND DELIVERY OF BRAND NEW 3,552 PAIRS TANKER SUIT, PHILARPAT FOR THE PHILIPPINE ARMY (PA)</t>
  </si>
  <si>
    <t>Contract ID No. 20FA0048: CLUSTER 27 CONSTRUCTION OF WATER SYSTEM IN THE FIRST DISTRICT OF ALBAY</t>
  </si>
  <si>
    <t>Contract ID No. 20FA0047: CLUSTER 26 WIDENING AND CONCRETING OF BANAO-BICAL ROAD, BACACAY AND STO. DOMINGO, ALBAY AND REHABILITATION OF PAWA-TULIW-LABNIG-ESTANCIA-PARAPUTO ROAD, MALINAO AND TABACO CIT</t>
  </si>
  <si>
    <t>CONSTRUCTION OF MULTI-PURPOSE BUILDING AT BRGY. TANGCARANG, CITY OF ALAMINOS, PANGASINAN</t>
  </si>
  <si>
    <t>Procurement for the Repair of Classrooms at Lanao del Norte Provincial Science and Technology High School under CY 2020 BEFF - Lot 6 (Rebid)</t>
  </si>
  <si>
    <t>Supply of various requirements relative to the conduct of upcoming Gender Sensitivity Training (PR#20-02-0205)</t>
  </si>
  <si>
    <t>20HD0058 - Construction and/or Repair/Rehabilitation of Multi-Purpose Building, Brgy. Lawis, San Remigio, Cebu</t>
  </si>
  <si>
    <t>MPG-B1-2019-562 3rd Rebid - SUPPLY AND DELIVERY OF BRAND NEW KM 500 TIRE 11.00-20, 16PR   (LUG TRACTION DESIGN) FOR THE PHILIPPINE NAVY (PN)</t>
  </si>
  <si>
    <t>MPG-B1-2020-250 - SUPPLY AND DELIVERY OF BRAND NEW 14,871 SETS TOWEL BATH AND FACE, MICROFIBER OD FOR THE PHILIPPINE ARMY (PA)</t>
  </si>
  <si>
    <t>CID No. 20OD0128 - Construction of Flood Control Gravity Wall along the Banks of Creeks in Brgy. 186, Caloocan City</t>
  </si>
  <si>
    <t>20HD0067 - Construction of Multi-Purpose Building, Brgy. Gibitngil, Medellin, Cebu</t>
  </si>
  <si>
    <t>20HD061 - Construction and/or Repair/Rehabilitation of Multi-Purpose Building, Brgy. Ticad, Bantayan, Cebu</t>
  </si>
  <si>
    <t>Contract I.D. No. 20OE0173 - Rehabilitation / Reconstruction / Improvement of Multi-purpose Building, Brgy. 152, Tondo, Manila</t>
  </si>
  <si>
    <t>EXTENSION OF MULTI-PURPOSE BUILDING AT BRGY. MACATIW, CITY OF ALAMINOS, PANGASINAN</t>
  </si>
  <si>
    <t>PB No. 19-341-7 Engineering, Procurement, Construction and Commissioning (EPCC) Contract for the Subic-Clark Railway Project for the Department of Transportation (DOTr)</t>
  </si>
  <si>
    <t>20JE0080 Construction and/or Repair/Rehabilitation of Multi-Purpose Building, Brgy. San Francisco Pagadian City, Zamboanga del Sur</t>
  </si>
  <si>
    <t>ITB-GS-20200402-01 - Supply and Delivery of 250 Units Gigabit Ethernet Switch</t>
  </si>
  <si>
    <t>20JE0070 Construction of Multi-Purpose Building Tambulig, Zamboanga del Sur</t>
  </si>
  <si>
    <t>20JE0069 Construction of Multi-Purpose Building (Organic Building) Dumingag, Zamboanga del Sur</t>
  </si>
  <si>
    <t>20JE0067 Construction (Completion) of Multi-Purpose Building Barangay Upper Salug Daku, Mahayag, Zamboanga del Sur</t>
  </si>
  <si>
    <t>Construction of Drainage Facility</t>
  </si>
  <si>
    <t>Contract ID No. 20FA0040: CLUSTER 22 - REHABILITATION/CONSTRUCTION/IMPROVEMENT OF VARIOUS RIVER CONTROL AT STO. DOMINGO, MALINAO AND MALILIPOT, ALBAY</t>
  </si>
  <si>
    <t>GPG-B1-2020-011-SUPPLY &amp; DELIVERY OF VARIOUS MEDICAL EQPT OF THE DEPT. OF HEALTH–CENTER FOR HEALTH  DEV'T 1 (DOH-CHD1)</t>
  </si>
  <si>
    <t>20KA0139 Road Widening along Jct SH Aglayan-Zamboanguita Rd (S00631MN) - K1523 + 850 - K1525 + 500 (Package 2 - K1525 + 340 - K1525 + 500) Malaybalay City, Bukidnon</t>
  </si>
  <si>
    <t>20JE0079 Construction/Completion of 3 units Multi-Purpose Building Pagadian City, Zamboanga del Sur</t>
  </si>
  <si>
    <t>MPG-B1-2020-054 - SUPPLY AND DELIVERY OF BRAND NEW 17,059 PAIRS PHILIPPINE ARMY RUBBER SHOES BLACK FOR THE PHILIPPINE ARMY (PA)</t>
  </si>
  <si>
    <t>GPG-B2-2020-282 2nd Rebid - REPAIR/RENOVATION OF DEPARTMENT OF HEALTH (DOH) BUILDING NO. 1</t>
  </si>
  <si>
    <t>CID No. 20OD0127 - Construction of Flood Control Wall along the Bank of Creeks in Brgy. 177, Caloocan City</t>
  </si>
  <si>
    <t>REHABILITATION / UPGRADING OF FARM TO MARKET ROAD (SABANGAN PORTION) AT BRGY. SABANGAN, CITY OF ALAMINOS, PANGASINAN</t>
  </si>
  <si>
    <t>GPG-B1-2020-010-SUPPLY &amp; DELIVERY OF VARIOUS BRAND NEW MEDICAL EQPT FOR THE DEPT. OF HEALTH–CENTER FOR HEALTH DEVT I (DOH–CHD I)</t>
  </si>
  <si>
    <t>Contract ID No. 20FA0050: REHABILITATION/RECONSTRUCTION OF NATIONAL ROADS W/SLIPS, SLOPE COLLAPSE AND LANDSLIDE-SECONDARY ROADS, DM JCT-LEGAZPI-STO. DOMINGO-TABACO-CAMARINES SUR BDRY. RD- K0582+330-K0</t>
  </si>
  <si>
    <t>Construction of Sta. Barbara Arena, Phase I under Design and Build Scheme</t>
  </si>
  <si>
    <t>MPG-B1-2019-416 - SUPPLY AND DELIVERY OF 9,615 BRAND NEW INDIVIDUAL FIRST AID KITS FOR THE PHILIPPINE ARMY (PA)</t>
  </si>
  <si>
    <t>Contract ID No. 20FA0049: REPLACEMENT AND CONCRETING OF TRAMO BRIDGE WHICH CONNECTS BRGYS. STO. CRISTO AND SAN ROQUE TO BRGY. TAGAS AND NEIGHBORING BARANGAYS IN TABACO CITY, ALBAY</t>
  </si>
  <si>
    <t>Contract I.D. No. 20OE0190 - Continuation of Multi – Purpose Building, Brgy. 259, Tondo, Manila</t>
  </si>
  <si>
    <t>Supply and Delivery of Seaweed Propagules/Seedlings intended for the Fisherfolks in the Province of Masbate</t>
  </si>
  <si>
    <t>20FN0081 Construction/Repair/Rehabilitation/Improvement of various Infrastructure including Local Projects Flood Control Structures/ Facilities - Rehabilitation/Improvement of Balayan Creek San Nicola</t>
  </si>
  <si>
    <t>RFQ / 20-05-0245 / PROCUREMENT OF TIRES AND BATTERY-MAINTENANCE</t>
  </si>
  <si>
    <t>DATA BACKUP STORAGE NETWORK ATTACHED STORAGE (NAS)/DISK STATION, RAID</t>
  </si>
  <si>
    <t>INFR-20-016– CONSTRUCTION OF HIMLAYANG GENERAL TRIAS ANNEX (PHASE II) AT BARANGAY BUENAVISTA III, CITY OF GEN. TRIAS, CAVITE</t>
  </si>
  <si>
    <t>Improvement of Public Plaza</t>
  </si>
  <si>
    <t>ITB and Bid Docs for Procurement ID/Contract ID:    20C00036  Contract Name:      Local Program – Local Infrastructure Program – Buildings and Other Structures – Multi Purpose Facilities – Constructio</t>
  </si>
  <si>
    <t>REMOVAL OF WATERLILIES &amp; OTHER DEBRIS AT THE APPROACH CHANNEL OF AGUS 6 POWER INTAKE</t>
  </si>
  <si>
    <t>MPG-B2-2020-310 Nego - SUPPLY OF LABOR AND MATERIALS FOR THE REPAIR AND IMPROVEMENT OF GEN. RICARTE SHRINE GROUNDS AND ATTENDANT PARKS OF THE PHILIPPINE VETERANS AFFAIRS OFFICE (PVAO)</t>
  </si>
  <si>
    <t>INVITATION TO RE-BID FOR THE  SUPPLY, DELIVERY, AND INSTALLATION OF FIRE SUPRESSION SYSTEM PR No. 27388-001</t>
  </si>
  <si>
    <t>Supply of printer, voice recorder and external hdd (PR#20-02-0213; 20-02-0213; 20-01-0060)</t>
  </si>
  <si>
    <t>FOD-C-20-1802: Procurement of 1 unit Generator Set</t>
  </si>
  <si>
    <t>INVITATION TO RE-BID FOR THE  SUPPLY, DELIVERY, AND INSTALLATION OF LOCAL AREA NETWORK (LAN) STRUCTURED CABLING IN THE NEW MSSD BUILDING, TALAMBAN, CEBU CITY PR No. 27608-001</t>
  </si>
  <si>
    <t>20-DO-0079:LOCAL PROGRAM - Local Infrastructure Program - Building and Other Structures - Multipurpose/Facilities - Construction of Multi-Purpose Building and Facilities, San Francisco St., Brgy. Patu</t>
  </si>
  <si>
    <t>DOCUMENT SCANNER AUTO DOCUMENT FEEDER</t>
  </si>
  <si>
    <t>INVITATION TO RE-BID FOR THE  SUPPLY AND DELIVERY OF COMPUTER NOTEBOOK PR Nos. 27619-001 to 27619-003</t>
  </si>
  <si>
    <t>Apayao</t>
  </si>
  <si>
    <t>Catanduanes</t>
  </si>
  <si>
    <t>Negros Occidental</t>
  </si>
  <si>
    <t>La Union</t>
  </si>
  <si>
    <t>Sultan Kudarat</t>
  </si>
  <si>
    <t>Agusan Del Sur</t>
  </si>
  <si>
    <t>Bohol</t>
  </si>
  <si>
    <t>Metro Manila</t>
  </si>
  <si>
    <t>Misamis Oriental</t>
  </si>
  <si>
    <t>Pangasinan</t>
  </si>
  <si>
    <t>Abra,Negros Occidental</t>
  </si>
  <si>
    <t>Zamboanga Del Norte</t>
  </si>
  <si>
    <t>Tawi-Tawi</t>
  </si>
  <si>
    <t>Pampanga</t>
  </si>
  <si>
    <t>Samar</t>
  </si>
  <si>
    <t>Tarlac</t>
  </si>
  <si>
    <t>Cotabato</t>
  </si>
  <si>
    <t>Bukidnon</t>
  </si>
  <si>
    <t>Laguna</t>
  </si>
  <si>
    <t>Ilocos Norte</t>
  </si>
  <si>
    <t>Leyte</t>
  </si>
  <si>
    <t>Batangas</t>
  </si>
  <si>
    <t>Iloilo</t>
  </si>
  <si>
    <t>Nueva Vizcaya</t>
  </si>
  <si>
    <t>Quezon</t>
  </si>
  <si>
    <t>Cebu</t>
  </si>
  <si>
    <t>Agusan Del Norte</t>
  </si>
  <si>
    <t>Antique</t>
  </si>
  <si>
    <t>Albay</t>
  </si>
  <si>
    <t>Sorsogon</t>
  </si>
  <si>
    <t>Camarines Sur</t>
  </si>
  <si>
    <t>Sarangani</t>
  </si>
  <si>
    <t>Southern Leyte</t>
  </si>
  <si>
    <t>Isabela</t>
  </si>
  <si>
    <t>Siquijor</t>
  </si>
  <si>
    <t>Biliran</t>
  </si>
  <si>
    <t>Davao Del Sur</t>
  </si>
  <si>
    <t>Palawan</t>
  </si>
  <si>
    <t>Cagayan</t>
  </si>
  <si>
    <t>Davao Del Norte</t>
  </si>
  <si>
    <t>Davao Occidental</t>
  </si>
  <si>
    <t>Surigao Del Sur</t>
  </si>
  <si>
    <t>Cavite</t>
  </si>
  <si>
    <t>Bataan</t>
  </si>
  <si>
    <t>Davao Oriental</t>
  </si>
  <si>
    <t>Aklan</t>
  </si>
  <si>
    <t>Ifugao</t>
  </si>
  <si>
    <t>Camarines Norte</t>
  </si>
  <si>
    <t>Zamboanga Sibugay</t>
  </si>
  <si>
    <t>Marinduque</t>
  </si>
  <si>
    <t>Lanao Del Norte</t>
  </si>
  <si>
    <t>Nueva Ecija</t>
  </si>
  <si>
    <t>Negros Oriental</t>
  </si>
  <si>
    <t>Zamboanga Del Sur</t>
  </si>
  <si>
    <t>Benguet</t>
  </si>
  <si>
    <t>Rizal</t>
  </si>
  <si>
    <t>Misamis Occidental</t>
  </si>
  <si>
    <t>Compostela Valley</t>
  </si>
  <si>
    <t>Oriental Mindoro</t>
  </si>
  <si>
    <t>Guimaras</t>
  </si>
  <si>
    <t>Romblon</t>
  </si>
  <si>
    <t>Quirino</t>
  </si>
  <si>
    <t>Aurora</t>
  </si>
  <si>
    <t>South Cotabato</t>
  </si>
  <si>
    <t>Northern Samar</t>
  </si>
  <si>
    <t>Capiz</t>
  </si>
  <si>
    <t>Dinagat Island</t>
  </si>
  <si>
    <t>(Independent City)</t>
  </si>
  <si>
    <t>Occidental Mindoro</t>
  </si>
  <si>
    <t>Abra</t>
  </si>
  <si>
    <t>Ilocos Sur</t>
  </si>
  <si>
    <t>Surigao Del Norte</t>
  </si>
  <si>
    <t>Bulacan</t>
  </si>
  <si>
    <t>Batanes</t>
  </si>
  <si>
    <t>Maguindanao</t>
  </si>
  <si>
    <t>Zambales</t>
  </si>
  <si>
    <t>Cavite,Cebu</t>
  </si>
  <si>
    <t>Eastern Samar</t>
  </si>
  <si>
    <t>Lanao Del Sur</t>
  </si>
  <si>
    <t>Camiguin</t>
  </si>
  <si>
    <t>Basilan</t>
  </si>
  <si>
    <t>Masbate</t>
  </si>
  <si>
    <t>Mountain Province</t>
  </si>
  <si>
    <t>Philippines</t>
  </si>
  <si>
    <t>Kalinga</t>
  </si>
  <si>
    <t>Nueva Ecija,Pampanga</t>
  </si>
  <si>
    <t>Sulu</t>
  </si>
  <si>
    <t>Biliran,Eastern Samar,Leyte,Northern Samar,Samar</t>
  </si>
  <si>
    <t>Basilan,Iloilo</t>
  </si>
  <si>
    <t>Leyte,Samar</t>
  </si>
  <si>
    <t>Zamboanga Del Sur,Zamboanga Sibugay</t>
  </si>
  <si>
    <t>Maguindanao,Marinduque,Masbate</t>
  </si>
  <si>
    <t>Metro Manila,Nueva Ecija</t>
  </si>
  <si>
    <t>Camarines Norte,Camarines Sur,Catanduanes,Sorsogon</t>
  </si>
  <si>
    <t>Camarines Norte,Camarines Sur</t>
  </si>
  <si>
    <t>Cavite,Laguna,Quezon</t>
  </si>
  <si>
    <t>Agusan Del Sur,Surigao Del Sur</t>
  </si>
  <si>
    <t>Aklan,Antique,Capiz,Iloilo</t>
  </si>
  <si>
    <t>Davao Del Norte,Davao Del Sur,Davao Occidental</t>
  </si>
  <si>
    <t>Biliran,Leyte,Samar,Southern Leyte</t>
  </si>
  <si>
    <t>Aklan,Antique,Capiz,Guimaras,Iloilo,Negros Occidental</t>
  </si>
  <si>
    <t>Albay,Camarines Norte,Camarines Sur,Masbate,Sorsogon</t>
  </si>
  <si>
    <t>Negros Occidental,Negros Oriental</t>
  </si>
  <si>
    <t>Eastern Samar,Leyte,Northern Samar,Samar,Southern Leyte</t>
  </si>
  <si>
    <t>Cagayan,Camarines Norte</t>
  </si>
  <si>
    <t>Abra,(Independent City)</t>
  </si>
  <si>
    <t>Abra,Albay</t>
  </si>
  <si>
    <t>Antique,Negros Occidental</t>
  </si>
  <si>
    <t>Albay,Camarines Sur,Masbate,Sorsogon</t>
  </si>
  <si>
    <t>01-2020-07-01</t>
  </si>
  <si>
    <t>005</t>
  </si>
  <si>
    <t>021-2020</t>
  </si>
  <si>
    <t>057-2020</t>
  </si>
  <si>
    <t>058-2020</t>
  </si>
  <si>
    <t>PB20-07-036COR</t>
  </si>
  <si>
    <t>01-2020 7-02</t>
  </si>
  <si>
    <t>055-2020</t>
  </si>
  <si>
    <t>2020-07-10</t>
  </si>
  <si>
    <t>GOODS2020-56</t>
  </si>
  <si>
    <t>054-2020</t>
  </si>
  <si>
    <t>PB_SKPEO-2020-01</t>
  </si>
  <si>
    <t>70010916090</t>
  </si>
  <si>
    <t>1646-08-20</t>
  </si>
  <si>
    <t>baa - 20 - 07 - 005</t>
  </si>
  <si>
    <t>127945-2020-01</t>
  </si>
  <si>
    <t>LGU-POZ-2020-0077</t>
  </si>
  <si>
    <t>059-2020</t>
  </si>
  <si>
    <t>LGU-POZ-2020-0076</t>
  </si>
  <si>
    <t>INFRA-20-08-0909</t>
  </si>
  <si>
    <t>LGU-POZ-2020-0080</t>
  </si>
  <si>
    <t>LGU-POZ-2020-0079</t>
  </si>
  <si>
    <t>LGU-POZ-2020-0078</t>
  </si>
  <si>
    <t>2020-G-138</t>
  </si>
  <si>
    <t>2020-CW-025</t>
  </si>
  <si>
    <t>2020-08-09</t>
  </si>
  <si>
    <t>Barangay Darahuway Gote-004-2020</t>
  </si>
  <si>
    <t>20-1890</t>
  </si>
  <si>
    <t>Barangay Pangdan-002-2020</t>
  </si>
  <si>
    <t>Goods 2020-015</t>
  </si>
  <si>
    <t>001-2020</t>
  </si>
  <si>
    <t>2020-Barangay Bangon-003</t>
  </si>
  <si>
    <t>08-001-2020</t>
  </si>
  <si>
    <t>20K00366</t>
  </si>
  <si>
    <t>G-2020-547</t>
  </si>
  <si>
    <t>G-2020-294</t>
  </si>
  <si>
    <t>IN-BAC-2020-08-072</t>
  </si>
  <si>
    <t>IN-BAC-2020-08-071</t>
  </si>
  <si>
    <t>2020-009</t>
  </si>
  <si>
    <t>sj 2020 b sep 005</t>
  </si>
  <si>
    <t>B-2020-042</t>
  </si>
  <si>
    <t>B-2020-041</t>
  </si>
  <si>
    <t>B-2020-040</t>
  </si>
  <si>
    <t>2020-07-010</t>
  </si>
  <si>
    <t>IN-BAC-2020-08-070</t>
  </si>
  <si>
    <t>SEF-0934</t>
  </si>
  <si>
    <t>SF-G-DF-2020-23</t>
  </si>
  <si>
    <t>040-08-2020</t>
  </si>
  <si>
    <t>20-02-0370</t>
  </si>
  <si>
    <t>JO # 20-03-0060</t>
  </si>
  <si>
    <t>2020-001</t>
  </si>
  <si>
    <t>Goods 2020-016</t>
  </si>
  <si>
    <t>PB-2020-001</t>
  </si>
  <si>
    <t>NTC-PB-2020-08-03</t>
  </si>
  <si>
    <t>NTC-PB-2020-08-02</t>
  </si>
  <si>
    <t>PGL 20-114</t>
  </si>
  <si>
    <t>2020-08-28</t>
  </si>
  <si>
    <t>PGL 20-113</t>
  </si>
  <si>
    <t>100-20-08-0906</t>
  </si>
  <si>
    <t>NTC-PB-2020-08-01</t>
  </si>
  <si>
    <t>100-20-08-0908</t>
  </si>
  <si>
    <t>056-2020</t>
  </si>
  <si>
    <t>PGL 20-111</t>
  </si>
  <si>
    <t>100-20-08-0885</t>
  </si>
  <si>
    <t>PB-GB1-2020-29</t>
  </si>
  <si>
    <t>IN-BAC-2020-08-069</t>
  </si>
  <si>
    <t>LGUBTA 20-092</t>
  </si>
  <si>
    <t>INFRA 2020-010</t>
  </si>
  <si>
    <t>RFQ NO. LARISIP-2020-038</t>
  </si>
  <si>
    <t>PB-GE2-2020-30</t>
  </si>
  <si>
    <t>Mkna-GSO-20-355</t>
  </si>
  <si>
    <t>PRJECT REF#50-2020-AUG-GOODS</t>
  </si>
  <si>
    <t>20GIL0057</t>
  </si>
  <si>
    <t>Carisquis, Luna, LU 2020-08-01</t>
  </si>
  <si>
    <t>PB-08252020-2</t>
  </si>
  <si>
    <t>PB-08252020-1</t>
  </si>
  <si>
    <t>Mkna-GSO-20-356</t>
  </si>
  <si>
    <t>PR # 20-08-0282</t>
  </si>
  <si>
    <t>2020-07-21C</t>
  </si>
  <si>
    <t>PB - 2020 -01</t>
  </si>
  <si>
    <t>PGL 20-112</t>
  </si>
  <si>
    <t>JO # 20-08-0174</t>
  </si>
  <si>
    <t>2020-330</t>
  </si>
  <si>
    <t>2020-08-033</t>
  </si>
  <si>
    <t>2020-174</t>
  </si>
  <si>
    <t>2020-08-034</t>
  </si>
  <si>
    <t>2020-08-032</t>
  </si>
  <si>
    <t>2020-93</t>
  </si>
  <si>
    <t>20-01-0010</t>
  </si>
  <si>
    <t>RFQ NO. LARISIP-2020-037</t>
  </si>
  <si>
    <t>2020-234</t>
  </si>
  <si>
    <t>GOODS-01-2020</t>
  </si>
  <si>
    <t>AMP-RFQ-2020-142</t>
  </si>
  <si>
    <t>2020-08-25</t>
  </si>
  <si>
    <t>PANG-2020-1045</t>
  </si>
  <si>
    <t>2020-08-031</t>
  </si>
  <si>
    <t>PB-CIT-2020-11</t>
  </si>
  <si>
    <t>20-08-00491</t>
  </si>
  <si>
    <t>PANG-2020-1052</t>
  </si>
  <si>
    <t>08250001</t>
  </si>
  <si>
    <t>PANG-2020-1055</t>
  </si>
  <si>
    <t>19GF00032</t>
  </si>
  <si>
    <t>PANG-2020-1054</t>
  </si>
  <si>
    <t>PANG-2020-1053</t>
  </si>
  <si>
    <t>PANG-2020-1051</t>
  </si>
  <si>
    <t>PANG-2020-1050</t>
  </si>
  <si>
    <t>20-1983</t>
  </si>
  <si>
    <t>PANG-2020-1049</t>
  </si>
  <si>
    <t>RFQ No. 2020-08-066</t>
  </si>
  <si>
    <t>PANG-2020-1048</t>
  </si>
  <si>
    <t>LOS BANOS-20-67</t>
  </si>
  <si>
    <t>20-2002</t>
  </si>
  <si>
    <t>20-1998</t>
  </si>
  <si>
    <t>20-1989</t>
  </si>
  <si>
    <t>LOS BANOS-20-68</t>
  </si>
  <si>
    <t>N 37 C 2020</t>
  </si>
  <si>
    <t>N 38 C 2020</t>
  </si>
  <si>
    <t>PANG-2020-1044</t>
  </si>
  <si>
    <t>sj 2020 b sep 006</t>
  </si>
  <si>
    <t>n 39 C 2020</t>
  </si>
  <si>
    <t>2020-09-15-059CW</t>
  </si>
  <si>
    <t>PR 1-20-08-0975 - CEMO</t>
  </si>
  <si>
    <t>PR 1-20-07-0894 - OHRM (REBIDDING)</t>
  </si>
  <si>
    <t>WPU-2020-018</t>
  </si>
  <si>
    <t>2020-Barangay new mahayag-04</t>
  </si>
  <si>
    <t>PR 1-20-08-0984 - CEMO</t>
  </si>
  <si>
    <t>2020-01-034</t>
  </si>
  <si>
    <t>PR 1-20-08-0977 - ASSESSORS</t>
  </si>
  <si>
    <t>PANG-2020-1065</t>
  </si>
  <si>
    <t>PANG-2020-1064</t>
  </si>
  <si>
    <t>LOS BANOS-20-70</t>
  </si>
  <si>
    <t>PR 1-20-06-0758 - CED (REBIDDING)</t>
  </si>
  <si>
    <t>BAC-SN-2020-01</t>
  </si>
  <si>
    <t>PANG-2020-1060</t>
  </si>
  <si>
    <t>PANG-2020-1059</t>
  </si>
  <si>
    <t>PANG-2020-1057</t>
  </si>
  <si>
    <t>PANG-2020-1056</t>
  </si>
  <si>
    <t>2020-08-030</t>
  </si>
  <si>
    <t>2020-005</t>
  </si>
  <si>
    <t>MAWADWORKS#2, S. 2020</t>
  </si>
  <si>
    <t>INFRA 2020-011</t>
  </si>
  <si>
    <t>PANG-2020-1063</t>
  </si>
  <si>
    <t>PGL 20-116</t>
  </si>
  <si>
    <t>PANG-2020-1058</t>
  </si>
  <si>
    <t>R2008-575</t>
  </si>
  <si>
    <t>20-1561</t>
  </si>
  <si>
    <t>100-20-08-1036</t>
  </si>
  <si>
    <t>PB-OJIS-2020-13</t>
  </si>
  <si>
    <t>PGL 20-118</t>
  </si>
  <si>
    <t>08202020A</t>
  </si>
  <si>
    <t>08-2020-0319</t>
  </si>
  <si>
    <t>GF-20-03-00499</t>
  </si>
  <si>
    <t>GF-20-03-00479</t>
  </si>
  <si>
    <t>2020-08-10B</t>
  </si>
  <si>
    <t>2020-08-014</t>
  </si>
  <si>
    <t>PR20-020</t>
  </si>
  <si>
    <t>PNPTR-OTCDS-DP-20-09</t>
  </si>
  <si>
    <t>08202020C</t>
  </si>
  <si>
    <t>PR 1-20-08-1011 - AGRI</t>
  </si>
  <si>
    <t>PB-US-2020-12</t>
  </si>
  <si>
    <t>PGL 20-115</t>
  </si>
  <si>
    <t>IB NO. 2020– 073/ JJL</t>
  </si>
  <si>
    <t>PR 1320-20</t>
  </si>
  <si>
    <t>08202020B</t>
  </si>
  <si>
    <t>PGL 20-117</t>
  </si>
  <si>
    <t>PR 1297-20</t>
  </si>
  <si>
    <t>PR 1-20-08-0997 - CEMO</t>
  </si>
  <si>
    <t>Various PR's</t>
  </si>
  <si>
    <t>IB NO. 2020– 072/ JJL</t>
  </si>
  <si>
    <t>PR 1338-20</t>
  </si>
  <si>
    <t>PR 1096-20</t>
  </si>
  <si>
    <t>ITB-2020-001</t>
  </si>
  <si>
    <t>PR 1342-20</t>
  </si>
  <si>
    <t>PR 1323-20</t>
  </si>
  <si>
    <t>GFP100-2020-08-097</t>
  </si>
  <si>
    <t>mariafe_2020-08-002</t>
  </si>
  <si>
    <t>PR 1-20-08-0995 - CED</t>
  </si>
  <si>
    <t>RFQ-AL-N-SV-2020-03</t>
  </si>
  <si>
    <t>RFQ-AL-SHb-2020-01</t>
  </si>
  <si>
    <t>PR 1-20-08-0992 - GSD</t>
  </si>
  <si>
    <t>TAG20-08-060</t>
  </si>
  <si>
    <t>GFP100-2020-08-095</t>
  </si>
  <si>
    <t>20200820</t>
  </si>
  <si>
    <t>PANG-2020-1061</t>
  </si>
  <si>
    <t>2020-08-01</t>
  </si>
  <si>
    <t>G-2020-555</t>
  </si>
  <si>
    <t>G-2020-549</t>
  </si>
  <si>
    <t>baa - 20 - 08 - 009</t>
  </si>
  <si>
    <t>PR 1124-20</t>
  </si>
  <si>
    <t>PR 1-20-08-0991 - AIAS</t>
  </si>
  <si>
    <t>Malanday 2020-012</t>
  </si>
  <si>
    <t>G-2020-554</t>
  </si>
  <si>
    <t>20GA0001CS</t>
  </si>
  <si>
    <t>GF-20-02-00317C</t>
  </si>
  <si>
    <t>PANG-2020-1062</t>
  </si>
  <si>
    <t>IB NO. 2020 – 074/RBT</t>
  </si>
  <si>
    <t>GF-20-06-00876</t>
  </si>
  <si>
    <t>GF-20-06-00937</t>
  </si>
  <si>
    <t>GF-20-03-00497</t>
  </si>
  <si>
    <t>G-2020-085</t>
  </si>
  <si>
    <t>G-2020-084</t>
  </si>
  <si>
    <t>G-2020-082</t>
  </si>
  <si>
    <t>G-2020-081</t>
  </si>
  <si>
    <t>PR 1321-20</t>
  </si>
  <si>
    <t>BIDSTAC # NP-SVP 018-(2)-2020</t>
  </si>
  <si>
    <t>G-2020-086</t>
  </si>
  <si>
    <t>BIDSTAC # SB 045-2020</t>
  </si>
  <si>
    <t>BIDSTAC # NP-SVP 172-2020</t>
  </si>
  <si>
    <t>G-2020-083</t>
  </si>
  <si>
    <t>20200003</t>
  </si>
  <si>
    <t>RFQ-20-14</t>
  </si>
  <si>
    <t>BIDSTAC # NP-SVP 171-2020</t>
  </si>
  <si>
    <t>BIDSTAC # SB 046-2020</t>
  </si>
  <si>
    <t>BIDSTAC # NP-SVP 099-(3)-2020</t>
  </si>
  <si>
    <t>08212001</t>
  </si>
  <si>
    <t>2020-08</t>
  </si>
  <si>
    <t>2020-07</t>
  </si>
  <si>
    <t>2020-08-006</t>
  </si>
  <si>
    <t>2020-08-05</t>
  </si>
  <si>
    <t>2020-08-04</t>
  </si>
  <si>
    <t>2020-08-001</t>
  </si>
  <si>
    <t>2020-08-08</t>
  </si>
  <si>
    <t>2020-08-07</t>
  </si>
  <si>
    <t>2020-08-06</t>
  </si>
  <si>
    <t>V01-Aug-20</t>
  </si>
  <si>
    <t>PBQ-0001</t>
  </si>
  <si>
    <t>BIDSTAC # NP-SVP 161-(1)-2020</t>
  </si>
  <si>
    <t>BIDSTAC # NP-SVP 160-(1)-2020</t>
  </si>
  <si>
    <t>GS 2020-008-029</t>
  </si>
  <si>
    <t>IB No. 001-20</t>
  </si>
  <si>
    <t>ITB No. GOP/20-DSWD-046</t>
  </si>
  <si>
    <t>2020-08-10</t>
  </si>
  <si>
    <t>2020-09</t>
  </si>
  <si>
    <t>PoW01-082420</t>
  </si>
  <si>
    <t>G-2020-080</t>
  </si>
  <si>
    <t>2020-07-07</t>
  </si>
  <si>
    <t>2020-08-23-009</t>
  </si>
  <si>
    <t>2020-14-07</t>
  </si>
  <si>
    <t>shop1</t>
  </si>
  <si>
    <t>2020-08-23-007</t>
  </si>
  <si>
    <t>2020-G-095</t>
  </si>
  <si>
    <t>2020127</t>
  </si>
  <si>
    <t>2020-036</t>
  </si>
  <si>
    <t>2020-08-23-008</t>
  </si>
  <si>
    <t>Project Reference No. 2020-11-CW</t>
  </si>
  <si>
    <t>Poject Reference No. 2020-11-CW</t>
  </si>
  <si>
    <t>2020-G-120</t>
  </si>
  <si>
    <t>2020-G-124</t>
  </si>
  <si>
    <t>2020126</t>
  </si>
  <si>
    <t>202008240001</t>
  </si>
  <si>
    <t>nego2</t>
  </si>
  <si>
    <t>202008240003</t>
  </si>
  <si>
    <t>202008240002</t>
  </si>
  <si>
    <t>PoW03-082420</t>
  </si>
  <si>
    <t>shop2</t>
  </si>
  <si>
    <t>32IB-2020-08-27</t>
  </si>
  <si>
    <t>BIDSTAC # NP-SVP 104-(3)-2020</t>
  </si>
  <si>
    <t>nego1</t>
  </si>
  <si>
    <t>11ID-2020-11</t>
  </si>
  <si>
    <t>shop4</t>
  </si>
  <si>
    <t>0020-20 INFRA</t>
  </si>
  <si>
    <t>202008240004</t>
  </si>
  <si>
    <t>0021-20 INFRA</t>
  </si>
  <si>
    <t>2020-004</t>
  </si>
  <si>
    <t>0019-20 INFRA</t>
  </si>
  <si>
    <t>2020-11</t>
  </si>
  <si>
    <t>ITB 04-2020</t>
  </si>
  <si>
    <t>0016</t>
  </si>
  <si>
    <t>00015</t>
  </si>
  <si>
    <t>8FAB-2020-21</t>
  </si>
  <si>
    <t>ITB 03-2020</t>
  </si>
  <si>
    <t>brgy 2020 -</t>
  </si>
  <si>
    <t>0018-20 INFRA</t>
  </si>
  <si>
    <t>ALA-002</t>
  </si>
  <si>
    <t>Project Refence No. 2020-11-CW</t>
  </si>
  <si>
    <t>2020-08-02</t>
  </si>
  <si>
    <t>2020-451</t>
  </si>
  <si>
    <t>2020-003</t>
  </si>
  <si>
    <t>2020-481</t>
  </si>
  <si>
    <t>brgy-2020-01</t>
  </si>
  <si>
    <t>2020-465</t>
  </si>
  <si>
    <t>ITB 02-2020</t>
  </si>
  <si>
    <t>2020-453</t>
  </si>
  <si>
    <t>2020-19</t>
  </si>
  <si>
    <t>20-08-044</t>
  </si>
  <si>
    <t>2020-08-011</t>
  </si>
  <si>
    <t>2020-457</t>
  </si>
  <si>
    <t>2020-17</t>
  </si>
  <si>
    <t>shop3</t>
  </si>
  <si>
    <t>2020-462</t>
  </si>
  <si>
    <t>2SFBN-2020-07-021</t>
  </si>
  <si>
    <t>2020-008-001</t>
  </si>
  <si>
    <t>VAWCIII-08242020</t>
  </si>
  <si>
    <t>6SFBN-2020-028</t>
  </si>
  <si>
    <t>078</t>
  </si>
  <si>
    <t>LOS BANOS-20-71</t>
  </si>
  <si>
    <t>2SFBN-2020-07-018</t>
  </si>
  <si>
    <t>2020-008</t>
  </si>
  <si>
    <t>20-08-043</t>
  </si>
  <si>
    <t>2020-484</t>
  </si>
  <si>
    <t>ITB-2020-PR1414</t>
  </si>
  <si>
    <t>RFQ0312</t>
  </si>
  <si>
    <t>PoW02-082420</t>
  </si>
  <si>
    <t>54E-ESC-19-2020</t>
  </si>
  <si>
    <t>2020-0110</t>
  </si>
  <si>
    <t>2020-013</t>
  </si>
  <si>
    <t>Cellphone</t>
  </si>
  <si>
    <t>Barangay Anahaw 2020-08-2</t>
  </si>
  <si>
    <t>2020-474</t>
  </si>
  <si>
    <t>2020-18</t>
  </si>
  <si>
    <t>2020-467</t>
  </si>
  <si>
    <t>20-08-0019</t>
  </si>
  <si>
    <t>2020-0824001</t>
  </si>
  <si>
    <t>ITB-2020-PR1413</t>
  </si>
  <si>
    <t>2020-475</t>
  </si>
  <si>
    <t>2020-473</t>
  </si>
  <si>
    <t>2020-071</t>
  </si>
  <si>
    <t>2020-08-056</t>
  </si>
  <si>
    <t>RFQ-2020-08-026</t>
  </si>
  <si>
    <t>HBAC-A2-2020-08-1019</t>
  </si>
  <si>
    <t>2020-010</t>
  </si>
  <si>
    <t>2020-489</t>
  </si>
  <si>
    <t>2020-0111</t>
  </si>
  <si>
    <t>Barangay Anahaw 2020-08</t>
  </si>
  <si>
    <t>RFQ200812</t>
  </si>
  <si>
    <t>2020-08-191</t>
  </si>
  <si>
    <t>mos-20-0356</t>
  </si>
  <si>
    <t>2020-487</t>
  </si>
  <si>
    <t>2020-464</t>
  </si>
  <si>
    <t>ITB-2020-PR1490</t>
  </si>
  <si>
    <t>PB045-20</t>
  </si>
  <si>
    <t>ITB-2020-PR1419</t>
  </si>
  <si>
    <t>ITB-2020-PR1416</t>
  </si>
  <si>
    <t>200-08-20-00006</t>
  </si>
  <si>
    <t>DDN_08/27/2019</t>
  </si>
  <si>
    <t>2020-490</t>
  </si>
  <si>
    <t>PB046-20</t>
  </si>
  <si>
    <t>RFQ0313</t>
  </si>
  <si>
    <t>ITB-2020-PR1418</t>
  </si>
  <si>
    <t>20-08-0042</t>
  </si>
  <si>
    <t>0027-0013-1430-2020</t>
  </si>
  <si>
    <t>20-230</t>
  </si>
  <si>
    <t>GOODS-2020-NPSVP-034</t>
  </si>
  <si>
    <t>2020-2578</t>
  </si>
  <si>
    <t>ITB No 2020-11</t>
  </si>
  <si>
    <t>BMC-N-20-337</t>
  </si>
  <si>
    <t>2020-492</t>
  </si>
  <si>
    <t>2020-0120</t>
  </si>
  <si>
    <t>2020-491</t>
  </si>
  <si>
    <t>LINGI-ON ES</t>
  </si>
  <si>
    <t>NV 2020-051</t>
  </si>
  <si>
    <t>Invitation to Bid 20-48</t>
  </si>
  <si>
    <t>mos-20-0357</t>
  </si>
  <si>
    <t>2020-0113</t>
  </si>
  <si>
    <t>ALA-003</t>
  </si>
  <si>
    <t>100-04-493</t>
  </si>
  <si>
    <t>2020-038</t>
  </si>
  <si>
    <t>2020-0112</t>
  </si>
  <si>
    <t>2020-486</t>
  </si>
  <si>
    <t>2020-2813</t>
  </si>
  <si>
    <t>2020-454</t>
  </si>
  <si>
    <t>20-369</t>
  </si>
  <si>
    <t>IIRUP-08-03-2020</t>
  </si>
  <si>
    <t>20-0074</t>
  </si>
  <si>
    <t>2020-493</t>
  </si>
  <si>
    <t>GF-724</t>
  </si>
  <si>
    <t>20-08-0014</t>
  </si>
  <si>
    <t>2020-10</t>
  </si>
  <si>
    <t>2020-08-057</t>
  </si>
  <si>
    <t>20-08-306</t>
  </si>
  <si>
    <t>CG-RFQ-174-2020</t>
  </si>
  <si>
    <t>542</t>
  </si>
  <si>
    <t>BMC-N-20-345</t>
  </si>
  <si>
    <t>2020-494</t>
  </si>
  <si>
    <t>2020-495</t>
  </si>
  <si>
    <t>Budget Certificate No. 348-2020</t>
  </si>
  <si>
    <t>2020-INFRA-32A</t>
  </si>
  <si>
    <t>RFQ 2020-08-0225</t>
  </si>
  <si>
    <t>BSU Project No. 2020-310</t>
  </si>
  <si>
    <t>RFQ NO. 548</t>
  </si>
  <si>
    <t>2020-06-215</t>
  </si>
  <si>
    <t>Invitation to Bid 20-49</t>
  </si>
  <si>
    <t>08202013</t>
  </si>
  <si>
    <t>BLGU-KATIPUNAN-AL-01-2020</t>
  </si>
  <si>
    <t>PR#502</t>
  </si>
  <si>
    <t>2020-pb-gd-048</t>
  </si>
  <si>
    <t>NS-08-25-20-01-R4</t>
  </si>
  <si>
    <t>RFQ 168-08-2020</t>
  </si>
  <si>
    <t>CG-RFQ-176-2020</t>
  </si>
  <si>
    <t>RFQ2020-154</t>
  </si>
  <si>
    <t>2020-2927</t>
  </si>
  <si>
    <t>NV 2020-052</t>
  </si>
  <si>
    <t>SN 2020-001</t>
  </si>
  <si>
    <t>2020-496</t>
  </si>
  <si>
    <t>CG-RFQ-175-2020</t>
  </si>
  <si>
    <t>RFQ 2020-08-0226</t>
  </si>
  <si>
    <t>20200824-025</t>
  </si>
  <si>
    <t>20208184</t>
  </si>
  <si>
    <t>NV 2020-053</t>
  </si>
  <si>
    <t>CG-RFQ-177-2020</t>
  </si>
  <si>
    <t>Budget Certificate No. 325-2020</t>
  </si>
  <si>
    <t>ORM#2020-02-018, TAG#20-08-039 &amp; DUM#20-08-042</t>
  </si>
  <si>
    <t>20-08-0026</t>
  </si>
  <si>
    <t>20-06-0646</t>
  </si>
  <si>
    <t>2020 - 37</t>
  </si>
  <si>
    <t>101-2020-08-0488</t>
  </si>
  <si>
    <t>2020-08-140</t>
  </si>
  <si>
    <t>2020-499</t>
  </si>
  <si>
    <t>208073</t>
  </si>
  <si>
    <t>BLGU-PBD-Hubo-2020-40</t>
  </si>
  <si>
    <t>101-2020-08-0487</t>
  </si>
  <si>
    <t>0412020</t>
  </si>
  <si>
    <t>INFRA-2020-62</t>
  </si>
  <si>
    <t>PR#500</t>
  </si>
  <si>
    <t>101-2020-08-0489</t>
  </si>
  <si>
    <t>100(01)20-07-405(O)</t>
  </si>
  <si>
    <t>GOODS 2020-276(SVP)</t>
  </si>
  <si>
    <t>UPR No 3RCDG-MO3-2020-013</t>
  </si>
  <si>
    <t>HCC2020020</t>
  </si>
  <si>
    <t>VMC-2020-084</t>
  </si>
  <si>
    <t>2020-503</t>
  </si>
  <si>
    <t>INFRA-2020-61</t>
  </si>
  <si>
    <t>RFQ2020-156</t>
  </si>
  <si>
    <t>2020-504</t>
  </si>
  <si>
    <t>CS-1507-20</t>
  </si>
  <si>
    <t>2020 - 101</t>
  </si>
  <si>
    <t>2020-08-24-01</t>
  </si>
  <si>
    <t>001</t>
  </si>
  <si>
    <t>PR 2020-008-01 (SAN LUIS INTEGRATED SCHOOL)</t>
  </si>
  <si>
    <t>2020-08-0001 TDG</t>
  </si>
  <si>
    <t>GOODS 20-08-13</t>
  </si>
  <si>
    <t>INFRA-2020-63</t>
  </si>
  <si>
    <t>20-08-0037</t>
  </si>
  <si>
    <t>2020-G-BRGY PARAISO</t>
  </si>
  <si>
    <t>ALA-004</t>
  </si>
  <si>
    <t>2020-08-25-01</t>
  </si>
  <si>
    <t>95</t>
  </si>
  <si>
    <t>20-06-0660</t>
  </si>
  <si>
    <t>2020-08-0097</t>
  </si>
  <si>
    <t>CG-RFQ-178-2020</t>
  </si>
  <si>
    <t>Budget Certificate No. 337 - 2020</t>
  </si>
  <si>
    <t>101-2020-08-0477</t>
  </si>
  <si>
    <t>2020-08-536</t>
  </si>
  <si>
    <t>2020-498</t>
  </si>
  <si>
    <t>RFQ 165-08-2020</t>
  </si>
  <si>
    <t>RFQ-2020-08-168</t>
  </si>
  <si>
    <t>042</t>
  </si>
  <si>
    <t>BM-2020-001</t>
  </si>
  <si>
    <t>NP-SVP(A)-2020-014-MWC</t>
  </si>
  <si>
    <t>ITB No. 2020 – 86</t>
  </si>
  <si>
    <t>PANG-2020-1066</t>
  </si>
  <si>
    <t>RFQ-2020-08-169</t>
  </si>
  <si>
    <t>2020-0121</t>
  </si>
  <si>
    <t>2020-497</t>
  </si>
  <si>
    <t>2020-SVP-369</t>
  </si>
  <si>
    <t>LGU-ROX-73-2020</t>
  </si>
  <si>
    <t>SVP 20-0598</t>
  </si>
  <si>
    <t>CG-RFQ-179-2020</t>
  </si>
  <si>
    <t>mos-20-0358</t>
  </si>
  <si>
    <t>96</t>
  </si>
  <si>
    <t>100(01)20-07-404(O)</t>
  </si>
  <si>
    <t>GS-2020-061</t>
  </si>
  <si>
    <t>Y20-08-007</t>
  </si>
  <si>
    <t>SJ-20-238</t>
  </si>
  <si>
    <t>PB047-20</t>
  </si>
  <si>
    <t>038-2020</t>
  </si>
  <si>
    <t>002</t>
  </si>
  <si>
    <t>101-2020-08-0479</t>
  </si>
  <si>
    <t>76-20-08-094</t>
  </si>
  <si>
    <t>2020-RSP-001</t>
  </si>
  <si>
    <t>BLGU-LARAY-AL-01-2020</t>
  </si>
  <si>
    <t>PR. No. 2020-08-207</t>
  </si>
  <si>
    <t>SJ-20-239</t>
  </si>
  <si>
    <t>2020-SVP-08-010</t>
  </si>
  <si>
    <t>BLGU-PBD-Pili-2020-41</t>
  </si>
  <si>
    <t>20-08-797</t>
  </si>
  <si>
    <t>RFQ 729</t>
  </si>
  <si>
    <t>2020 Malibatuan</t>
  </si>
  <si>
    <t>GoodsSVP-72-2020</t>
  </si>
  <si>
    <t>PR NO. 2k20-061</t>
  </si>
  <si>
    <t>004-2020</t>
  </si>
  <si>
    <t>044</t>
  </si>
  <si>
    <t>101-2020-08-0478</t>
  </si>
  <si>
    <t>0308-2020</t>
  </si>
  <si>
    <t>NF 2008-0338</t>
  </si>
  <si>
    <t>100-2002-137-GF</t>
  </si>
  <si>
    <t>RFQ NO. SVP-054-2020</t>
  </si>
  <si>
    <t>G402-20</t>
  </si>
  <si>
    <t>QSU-BAC-H-25A-2020</t>
  </si>
  <si>
    <t>101-2020-08-0480</t>
  </si>
  <si>
    <t>NLC-SDD-20-07-046</t>
  </si>
  <si>
    <t>ATI2020-08-288</t>
  </si>
  <si>
    <t>RFQ No. 277</t>
  </si>
  <si>
    <t>208074</t>
  </si>
  <si>
    <t>2020.24.012</t>
  </si>
  <si>
    <t>20-02-00125</t>
  </si>
  <si>
    <t>itb09242020</t>
  </si>
  <si>
    <t>050</t>
  </si>
  <si>
    <t>001-09-2020</t>
  </si>
  <si>
    <t>RFQ-2020-08-170</t>
  </si>
  <si>
    <t>101-2020-08-0476</t>
  </si>
  <si>
    <t>0309-2020</t>
  </si>
  <si>
    <t>SJ-20-240</t>
  </si>
  <si>
    <t>100-08-492</t>
  </si>
  <si>
    <t>ailigan01</t>
  </si>
  <si>
    <t>NLC-SDD-20-07-048</t>
  </si>
  <si>
    <t>2020-Aggay-002</t>
  </si>
  <si>
    <t>20-08-0038</t>
  </si>
  <si>
    <t>2020-06-001</t>
  </si>
  <si>
    <t>RFQ 731</t>
  </si>
  <si>
    <t>PANG-2020-1068</t>
  </si>
  <si>
    <t>SS-1461-20</t>
  </si>
  <si>
    <t>2020-08-0049</t>
  </si>
  <si>
    <t>8242020-1</t>
  </si>
  <si>
    <t>OMM-LSB-2020-02</t>
  </si>
  <si>
    <t>NLC-SDD-07-20-067</t>
  </si>
  <si>
    <t>PR No. 2K20-062</t>
  </si>
  <si>
    <t>20-08-799</t>
  </si>
  <si>
    <t>NS-08-25-20-02</t>
  </si>
  <si>
    <t>NLC-SDD-20-07-047</t>
  </si>
  <si>
    <t>PANG-2020-1069</t>
  </si>
  <si>
    <t>NLC-SDD-07-20-066</t>
  </si>
  <si>
    <t>RFQ-2020-08-171</t>
  </si>
  <si>
    <t>SVP 20-08-176</t>
  </si>
  <si>
    <t>20-06-0675</t>
  </si>
  <si>
    <t>AAE AUG24-2020(1)</t>
  </si>
  <si>
    <t>GHQPC-OJ3-RMB-11750-20</t>
  </si>
  <si>
    <t>08242020</t>
  </si>
  <si>
    <t>GS-2020-062</t>
  </si>
  <si>
    <t>20-07-0756</t>
  </si>
  <si>
    <t>PR2020-135</t>
  </si>
  <si>
    <t>2020-05-015</t>
  </si>
  <si>
    <t>BM-2020-002</t>
  </si>
  <si>
    <t>NLC-SDD-07-20-071</t>
  </si>
  <si>
    <t>20Adambuk20</t>
  </si>
  <si>
    <t>B-038-2020</t>
  </si>
  <si>
    <t>LGU-BALINGASAG-9005-20-095</t>
  </si>
  <si>
    <t>20-08-0234</t>
  </si>
  <si>
    <t>2020-041J</t>
  </si>
  <si>
    <t>8-20</t>
  </si>
  <si>
    <t>2020-08-0103</t>
  </si>
  <si>
    <t>SS-1503-20</t>
  </si>
  <si>
    <t>NLC-SDD-07-20-069</t>
  </si>
  <si>
    <t>20-07-0763</t>
  </si>
  <si>
    <t>RFQ 2020-08-02</t>
  </si>
  <si>
    <t>2020-0484</t>
  </si>
  <si>
    <t>2020-24-08-45</t>
  </si>
  <si>
    <t>8/18/2020</t>
  </si>
  <si>
    <t>SJ-20-242</t>
  </si>
  <si>
    <t>2020-08-PR061</t>
  </si>
  <si>
    <t>PANG-2020-1070</t>
  </si>
  <si>
    <t>ITB_30072020</t>
  </si>
  <si>
    <t>PANG-2020-1071</t>
  </si>
  <si>
    <t>PR# 20-08-0811</t>
  </si>
  <si>
    <t>20-03-281a_repost</t>
  </si>
  <si>
    <t>2020-02-0168</t>
  </si>
  <si>
    <t>20-06-00412</t>
  </si>
  <si>
    <t>0311-2020</t>
  </si>
  <si>
    <t>NLC-SDD-20-08-001</t>
  </si>
  <si>
    <t>21Adambuk20</t>
  </si>
  <si>
    <t>ITB 20-169</t>
  </si>
  <si>
    <t>20-08-0729</t>
  </si>
  <si>
    <t>RFQ NO. 2020-0370</t>
  </si>
  <si>
    <t>20-07-0765</t>
  </si>
  <si>
    <t>2020-08-3095</t>
  </si>
  <si>
    <t>mos-20-0359</t>
  </si>
  <si>
    <t>PANG-2020-1072</t>
  </si>
  <si>
    <t>CG-1-180-2020</t>
  </si>
  <si>
    <t>2020-08-008</t>
  </si>
  <si>
    <t>045</t>
  </si>
  <si>
    <t>RFQ 2020-08-0227</t>
  </si>
  <si>
    <t>015</t>
  </si>
  <si>
    <t>2020-08-1310</t>
  </si>
  <si>
    <t>0310-2020</t>
  </si>
  <si>
    <t>POB- 01- 2020</t>
  </si>
  <si>
    <t>2020-08-007</t>
  </si>
  <si>
    <t>RFQ-2020-08-172</t>
  </si>
  <si>
    <t>SS-1484-20</t>
  </si>
  <si>
    <t>2020-08-151</t>
  </si>
  <si>
    <t>2020-824-1</t>
  </si>
  <si>
    <t>20-07-0733</t>
  </si>
  <si>
    <t>PLAWD 2020-08-062</t>
  </si>
  <si>
    <t>NLC-SDD-07-20-068</t>
  </si>
  <si>
    <t>208075</t>
  </si>
  <si>
    <t>20-08-082</t>
  </si>
  <si>
    <t>8-26</t>
  </si>
  <si>
    <t>100-08-20-02240</t>
  </si>
  <si>
    <t>2020-08-19</t>
  </si>
  <si>
    <t>SJ-20-241</t>
  </si>
  <si>
    <t>20-006</t>
  </si>
  <si>
    <t>PANG-2020-1067</t>
  </si>
  <si>
    <t>0307-2020</t>
  </si>
  <si>
    <t>20-08-001</t>
  </si>
  <si>
    <t>237-20</t>
  </si>
  <si>
    <t>INFRA-2020-64</t>
  </si>
  <si>
    <t>2020-002</t>
  </si>
  <si>
    <t>2020 - 38</t>
  </si>
  <si>
    <t>100-20-08-218</t>
  </si>
  <si>
    <t>RFQ-TFB-16-2020</t>
  </si>
  <si>
    <t>PB-SK2020-08-017</t>
  </si>
  <si>
    <t>PANAMAON GOODS_24082020</t>
  </si>
  <si>
    <t>08242020A</t>
  </si>
  <si>
    <t>Goods-2020-209</t>
  </si>
  <si>
    <t>20-715</t>
  </si>
  <si>
    <t>PZDS-2020-08-028-RFQ</t>
  </si>
  <si>
    <t>20-07-0757</t>
  </si>
  <si>
    <t>SS-1491-20</t>
  </si>
  <si>
    <t>2020-08-415-37</t>
  </si>
  <si>
    <t>2020-0010</t>
  </si>
  <si>
    <t>PANG-2020-1073</t>
  </si>
  <si>
    <t>2020-08-24-02</t>
  </si>
  <si>
    <t>2020-0556</t>
  </si>
  <si>
    <t>005-2020</t>
  </si>
  <si>
    <t>G-012-2020</t>
  </si>
  <si>
    <t>PBHS-007-08-2020</t>
  </si>
  <si>
    <t>20GDQ0027</t>
  </si>
  <si>
    <t>BAC2020-09</t>
  </si>
  <si>
    <t>2020 Anapolon</t>
  </si>
  <si>
    <t>NLC-SDD-20-08-002</t>
  </si>
  <si>
    <t>20-07-0767</t>
  </si>
  <si>
    <t>NLC-SDD-20-08-004</t>
  </si>
  <si>
    <t>2020-8-7067</t>
  </si>
  <si>
    <t>GoodsSVP-73-2020</t>
  </si>
  <si>
    <t>NF 2008-0325</t>
  </si>
  <si>
    <t>RFQ-Goods-145-2020</t>
  </si>
  <si>
    <t>0072-20</t>
  </si>
  <si>
    <t>PANG-2020-1074</t>
  </si>
  <si>
    <t>RFQ 2020-08-0228</t>
  </si>
  <si>
    <t>20-08-0772</t>
  </si>
  <si>
    <t>NLC-SDD-20-08-005</t>
  </si>
  <si>
    <t>GSE-2020-063</t>
  </si>
  <si>
    <t>SS-1490-20</t>
  </si>
  <si>
    <t>2020-08-147</t>
  </si>
  <si>
    <t>CG-1-181-2020</t>
  </si>
  <si>
    <t>ITB-002</t>
  </si>
  <si>
    <t>21CSIA004 (Re-advertisement) Conduct of Soil Explo</t>
  </si>
  <si>
    <t>SS-1492-20</t>
  </si>
  <si>
    <t>100-20-08-219</t>
  </si>
  <si>
    <t>NS-08-25-20-03</t>
  </si>
  <si>
    <t>brgy 20 0008</t>
  </si>
  <si>
    <t>8-27</t>
  </si>
  <si>
    <t>PBI-2020-48</t>
  </si>
  <si>
    <t>NLC-SDD-20-08-031</t>
  </si>
  <si>
    <t>2020 Dallag</t>
  </si>
  <si>
    <t>S 72-2020</t>
  </si>
  <si>
    <t>101-20-08-197</t>
  </si>
  <si>
    <t>NLC-SDD-20-08-003</t>
  </si>
  <si>
    <t>B2 PEO 300-20-08-10028</t>
  </si>
  <si>
    <t>2020-08-0008</t>
  </si>
  <si>
    <t>20-724</t>
  </si>
  <si>
    <t>PANG-2020-1075</t>
  </si>
  <si>
    <t>0312-2020</t>
  </si>
  <si>
    <t>8-17</t>
  </si>
  <si>
    <t>GFP100-2020-08-094</t>
  </si>
  <si>
    <t>NLC-SDD-20-08-034</t>
  </si>
  <si>
    <t>20-08-0778</t>
  </si>
  <si>
    <t>082020-0201</t>
  </si>
  <si>
    <t>NLC-SDD-20-08-032</t>
  </si>
  <si>
    <t>100-2007-579-GF</t>
  </si>
  <si>
    <t>NLC-SDD-20-08-035</t>
  </si>
  <si>
    <t>brgy 20 0009</t>
  </si>
  <si>
    <t>PANG-2020-1076</t>
  </si>
  <si>
    <t>pgeps#381-2020</t>
  </si>
  <si>
    <t>0339-20</t>
  </si>
  <si>
    <t>046</t>
  </si>
  <si>
    <t>08242020-2</t>
  </si>
  <si>
    <t>LGU Nasipit-2020-084</t>
  </si>
  <si>
    <t>20-GOODS-02</t>
  </si>
  <si>
    <t>RFQ 2020-08-0229</t>
  </si>
  <si>
    <t>RFQ NO. 2020-0371</t>
  </si>
  <si>
    <t>P.R NO. 100-2020-08-0428</t>
  </si>
  <si>
    <t>2020-0011</t>
  </si>
  <si>
    <t>3252</t>
  </si>
  <si>
    <t>PHILGEPS 2020-08-83</t>
  </si>
  <si>
    <t>145-2020-A</t>
  </si>
  <si>
    <t>NLC-SDD-20-08-033</t>
  </si>
  <si>
    <t>20-07-032</t>
  </si>
  <si>
    <t>QTN#0502; PR#0428 SCG-2020</t>
  </si>
  <si>
    <t>P-0906</t>
  </si>
  <si>
    <t>GEPS-24-2020</t>
  </si>
  <si>
    <t>08252020</t>
  </si>
  <si>
    <t>2020-08-0039</t>
  </si>
  <si>
    <t>mos-20-0364</t>
  </si>
  <si>
    <t>RFQ#211-2020</t>
  </si>
  <si>
    <t>20-08-492</t>
  </si>
  <si>
    <t>2020-131</t>
  </si>
  <si>
    <t>2020 Badiangon</t>
  </si>
  <si>
    <t>002-09-2020</t>
  </si>
  <si>
    <t>20-167a</t>
  </si>
  <si>
    <t>08-25-03</t>
  </si>
  <si>
    <t>20080701</t>
  </si>
  <si>
    <t>2020-08-020</t>
  </si>
  <si>
    <t>B-18-20-001</t>
  </si>
  <si>
    <t>PSB-2020-0041</t>
  </si>
  <si>
    <t>082520203</t>
  </si>
  <si>
    <t>20200826 01</t>
  </si>
  <si>
    <t>BAGO-BAC-2020-0190</t>
  </si>
  <si>
    <t>BAC3-CAS-PR11450</t>
  </si>
  <si>
    <t>0322-2020</t>
  </si>
  <si>
    <t>SF-GOOD - 012-020</t>
  </si>
  <si>
    <t>RFQ # 20-0562</t>
  </si>
  <si>
    <t>0026-08-2020</t>
  </si>
  <si>
    <t>B20-27-01</t>
  </si>
  <si>
    <t>20080708-0715</t>
  </si>
  <si>
    <t>PR NO. 20-08-093</t>
  </si>
  <si>
    <t>G-08252020-Procurement Multi-function Copier Machi</t>
  </si>
  <si>
    <t>2020.08.670</t>
  </si>
  <si>
    <t>ITB 2020 - 094</t>
  </si>
  <si>
    <t>CG-NEGO-51-2020</t>
  </si>
  <si>
    <t>2020-0102</t>
  </si>
  <si>
    <t>RFQ-225-2020</t>
  </si>
  <si>
    <t>2020-08-639</t>
  </si>
  <si>
    <t>20-08-122-A</t>
  </si>
  <si>
    <t>20080712</t>
  </si>
  <si>
    <t>2020-08-002</t>
  </si>
  <si>
    <t>2020-0101</t>
  </si>
  <si>
    <t>PB20-07-038COR</t>
  </si>
  <si>
    <t>ITB 2019 - 096</t>
  </si>
  <si>
    <t>PB-0820-61</t>
  </si>
  <si>
    <t>100(18)20-08-1701</t>
  </si>
  <si>
    <t>RFQ # 20-0574</t>
  </si>
  <si>
    <t>2020-08-0067</t>
  </si>
  <si>
    <t>08-25-05</t>
  </si>
  <si>
    <t>20DE0160</t>
  </si>
  <si>
    <t>2020-171</t>
  </si>
  <si>
    <t>20DE0159</t>
  </si>
  <si>
    <t>RFQ 45-2020</t>
  </si>
  <si>
    <t>QN-200703-12/ MS-20-0760</t>
  </si>
  <si>
    <t>MOOE20203RDQUARTER</t>
  </si>
  <si>
    <t>20-01 goods Nangalisan</t>
  </si>
  <si>
    <t>MAM-2020-0196</t>
  </si>
  <si>
    <t>2020-0103</t>
  </si>
  <si>
    <t>2020-8-10-73</t>
  </si>
  <si>
    <t>BAGO-BAC-2020-0192</t>
  </si>
  <si>
    <t>SHS office supplies</t>
  </si>
  <si>
    <t>2008003</t>
  </si>
  <si>
    <t>BAYLE0820AMP0817</t>
  </si>
  <si>
    <t>vinya0626</t>
  </si>
  <si>
    <t>2020-08-003</t>
  </si>
  <si>
    <t>20-8-002</t>
  </si>
  <si>
    <t>2020-08-029</t>
  </si>
  <si>
    <t>20-08-022</t>
  </si>
  <si>
    <t>RFQ NO. 20-08-218</t>
  </si>
  <si>
    <t>2020-0817-17Infra</t>
  </si>
  <si>
    <t>2020-041</t>
  </si>
  <si>
    <t>GO-20-08-058</t>
  </si>
  <si>
    <t>2020-134</t>
  </si>
  <si>
    <t>3254</t>
  </si>
  <si>
    <t>PB-0720-58</t>
  </si>
  <si>
    <t>Brgy. Anulid - 2020 - 049</t>
  </si>
  <si>
    <t>CP 2020-43 RB</t>
  </si>
  <si>
    <t>20-08-495</t>
  </si>
  <si>
    <t>2020-08-004</t>
  </si>
  <si>
    <t>0018-08-2020</t>
  </si>
  <si>
    <t>PB-0720-57</t>
  </si>
  <si>
    <t>20-08-050</t>
  </si>
  <si>
    <t>20080700</t>
  </si>
  <si>
    <t>20-0095</t>
  </si>
  <si>
    <t>RFQ # 20-0529</t>
  </si>
  <si>
    <t>ITB 2020 - 097</t>
  </si>
  <si>
    <t>VGAT-2020-0070-0071, PIS-2020-0023, IAD-2020-0097</t>
  </si>
  <si>
    <t>BLGU-PBD-Biton-2020-42</t>
  </si>
  <si>
    <t>2020-08-25-03</t>
  </si>
  <si>
    <t>CG-NEGO-56-2020</t>
  </si>
  <si>
    <t>CG-NEGO-54-2020</t>
  </si>
  <si>
    <t>Rfq-2020-020</t>
  </si>
  <si>
    <t>20-08-221</t>
  </si>
  <si>
    <t>2020-287</t>
  </si>
  <si>
    <t>2020-132</t>
  </si>
  <si>
    <t>PR# 2020 - 001</t>
  </si>
  <si>
    <t>2020-286</t>
  </si>
  <si>
    <t>RFQ # 20-0566</t>
  </si>
  <si>
    <t>RFQ NO. 20-08-222</t>
  </si>
  <si>
    <t>PR No. 2020-PDS-08-002</t>
  </si>
  <si>
    <t>08-90-2020</t>
  </si>
  <si>
    <t>2020-825-4</t>
  </si>
  <si>
    <t>DAM-2020-08B</t>
  </si>
  <si>
    <t>20201863</t>
  </si>
  <si>
    <t>2020-0105</t>
  </si>
  <si>
    <t>mos-20-0366</t>
  </si>
  <si>
    <t>557-2020</t>
  </si>
  <si>
    <t>3255</t>
  </si>
  <si>
    <t>037-20</t>
  </si>
  <si>
    <t>SNESRFQ2020-022</t>
  </si>
  <si>
    <t>20084782</t>
  </si>
  <si>
    <t>2020_08_25</t>
  </si>
  <si>
    <t>2020-GOODS-30A</t>
  </si>
  <si>
    <t>08-25-08</t>
  </si>
  <si>
    <t>P-0908</t>
  </si>
  <si>
    <t>RFQ # 20-0564</t>
  </si>
  <si>
    <t>20-08-222</t>
  </si>
  <si>
    <t>ITB No. 2020-05</t>
  </si>
  <si>
    <t>PB 2020-054</t>
  </si>
  <si>
    <t>2020-08-464</t>
  </si>
  <si>
    <t>GEPS-2020-0024</t>
  </si>
  <si>
    <t>RFQ 2020-109</t>
  </si>
  <si>
    <t>EBMS 0464-20</t>
  </si>
  <si>
    <t>20-08-575</t>
  </si>
  <si>
    <t>2020-0106</t>
  </si>
  <si>
    <t>20-19</t>
  </si>
  <si>
    <t>Brgy. Poblacion East - 2020 - 050</t>
  </si>
  <si>
    <t>2020-0104</t>
  </si>
  <si>
    <t>20084734</t>
  </si>
  <si>
    <t>G08262020</t>
  </si>
  <si>
    <t>20-08-028B</t>
  </si>
  <si>
    <t>J08-2020-009</t>
  </si>
  <si>
    <t>VET-2020-0458</t>
  </si>
  <si>
    <t>20-0097</t>
  </si>
  <si>
    <t>P-0907</t>
  </si>
  <si>
    <t>GEPS-2020-0023</t>
  </si>
  <si>
    <t>08-25-06</t>
  </si>
  <si>
    <t>2020-825-3</t>
  </si>
  <si>
    <t>08-25-07</t>
  </si>
  <si>
    <t>BAYLE0820AMP0818</t>
  </si>
  <si>
    <t>mda132</t>
  </si>
  <si>
    <t>ITB-001-2020</t>
  </si>
  <si>
    <t>RFQ-2020-07-0033</t>
  </si>
  <si>
    <t>3253</t>
  </si>
  <si>
    <t>P-0909</t>
  </si>
  <si>
    <t>mos-20-0365</t>
  </si>
  <si>
    <t>20-08-223</t>
  </si>
  <si>
    <t>2020-135</t>
  </si>
  <si>
    <t>20-036</t>
  </si>
  <si>
    <t>2020-08-005</t>
  </si>
  <si>
    <t>20-037</t>
  </si>
  <si>
    <t>08-91-2020</t>
  </si>
  <si>
    <t>DEPED-BOHOL-2020-08-121</t>
  </si>
  <si>
    <t>PHO-2020-0269, PEO-2020-0945 – 0574</t>
  </si>
  <si>
    <t>H4ID-14559</t>
  </si>
  <si>
    <t>20-08-021</t>
  </si>
  <si>
    <t>20-08-0405</t>
  </si>
  <si>
    <t>2020-G-85</t>
  </si>
  <si>
    <t>PR 172-2020</t>
  </si>
  <si>
    <t>2020-0108</t>
  </si>
  <si>
    <t>B-08-34-20</t>
  </si>
  <si>
    <t>20074233</t>
  </si>
  <si>
    <t>Brgy. Kisikis - 2020 - 051</t>
  </si>
  <si>
    <t>BLGU-PBD-Lapinig-2020-43</t>
  </si>
  <si>
    <t>2020-042</t>
  </si>
  <si>
    <t>GOODS 2020-028</t>
  </si>
  <si>
    <t>PR-20-07-349/ RSQ-20-08-029</t>
  </si>
  <si>
    <t>20-05-84</t>
  </si>
  <si>
    <t>2020-09-001</t>
  </si>
  <si>
    <t>837</t>
  </si>
  <si>
    <t>UPLB-RQ-8-188-20-I CONSTRUCTION MATERIALS &amp; SUPPLI</t>
  </si>
  <si>
    <t>2020</t>
  </si>
  <si>
    <t>20-08-029B</t>
  </si>
  <si>
    <t>20-182</t>
  </si>
  <si>
    <t>TCI001</t>
  </si>
  <si>
    <t>CP 2020-46 RB</t>
  </si>
  <si>
    <t>100-2008-633-GF</t>
  </si>
  <si>
    <t>2020-06-002</t>
  </si>
  <si>
    <t>20064101</t>
  </si>
  <si>
    <t>20074249</t>
  </si>
  <si>
    <t>Barangay San Andres Labak Atimonan, Quezon 2020-</t>
  </si>
  <si>
    <t>BAC3-PO-PR10654</t>
  </si>
  <si>
    <t>20-08-142</t>
  </si>
  <si>
    <t>GSO-2020-0049 &amp; 0050</t>
  </si>
  <si>
    <t>kilim-02</t>
  </si>
  <si>
    <t>Barangay San Andres Bundok Atimonan, Quezon 2020-</t>
  </si>
  <si>
    <t>20-08-224</t>
  </si>
  <si>
    <t>INFRA 20-13-40: PACKAGE 20-40</t>
  </si>
  <si>
    <t>S002-2020</t>
  </si>
  <si>
    <t>CP 2020-54 RB</t>
  </si>
  <si>
    <t>RFQ#212-2020</t>
  </si>
  <si>
    <t>2020-99</t>
  </si>
  <si>
    <t>DSWD7-20-0770</t>
  </si>
  <si>
    <t>C-158-2020</t>
  </si>
  <si>
    <t>CGT- Goods- 2020-00160</t>
  </si>
  <si>
    <t>INFRA 20-13-39: PACKAGE 20-39</t>
  </si>
  <si>
    <t>OPA-2020-0388</t>
  </si>
  <si>
    <t>20064100</t>
  </si>
  <si>
    <t>Bid No. 2020-031</t>
  </si>
  <si>
    <t>2020-8-10</t>
  </si>
  <si>
    <t>DA3-2020-08-10-64</t>
  </si>
  <si>
    <t>2020-08-0494</t>
  </si>
  <si>
    <t>20-08-143</t>
  </si>
  <si>
    <t>PB20-07-040COR - PROCUREMENT OF FOUR (4) LOTS SUBS</t>
  </si>
  <si>
    <t>PG-RFQ-2020-05</t>
  </si>
  <si>
    <t>FCP-L-20-08-003</t>
  </si>
  <si>
    <t>8721-019</t>
  </si>
  <si>
    <t>07-124-2020</t>
  </si>
  <si>
    <t>H-006-0565-20</t>
  </si>
  <si>
    <t>GEPS-2020-0026</t>
  </si>
  <si>
    <t>836</t>
  </si>
  <si>
    <t>20-MC-MOOE-4</t>
  </si>
  <si>
    <t>BAC2020-23A</t>
  </si>
  <si>
    <t>20-038</t>
  </si>
  <si>
    <t>2020-66</t>
  </si>
  <si>
    <t>Brgy. Kisikis - 2020 - 052</t>
  </si>
  <si>
    <t>DA7-08-AMAD-20-3186</t>
  </si>
  <si>
    <t>20-0096</t>
  </si>
  <si>
    <t>2020-INFRA-3D</t>
  </si>
  <si>
    <t>ADS-1914-20</t>
  </si>
  <si>
    <t>EBMS 1478-20</t>
  </si>
  <si>
    <t>2020-08-0147</t>
  </si>
  <si>
    <t>2020-08-0493</t>
  </si>
  <si>
    <t>838</t>
  </si>
  <si>
    <t>08-25-09</t>
  </si>
  <si>
    <t>20074342</t>
  </si>
  <si>
    <t>2020-0824-18Infra</t>
  </si>
  <si>
    <t>2020-0107</t>
  </si>
  <si>
    <t>2020-350</t>
  </si>
  <si>
    <t>20-08-382</t>
  </si>
  <si>
    <t>ITB 2020 - 095</t>
  </si>
  <si>
    <t>Brgy. Pindangan Centro - 2020 - 048</t>
  </si>
  <si>
    <t>2020-58</t>
  </si>
  <si>
    <t>20CSFC02</t>
  </si>
  <si>
    <t>EBMS 0398-20</t>
  </si>
  <si>
    <t>20-035</t>
  </si>
  <si>
    <t>BAC2020-28</t>
  </si>
  <si>
    <t>ALLANG 2020-002</t>
  </si>
  <si>
    <t>100-2020-08-0157</t>
  </si>
  <si>
    <t>20074242</t>
  </si>
  <si>
    <t>GEPS-2020-0027</t>
  </si>
  <si>
    <t>20-INFRA-01</t>
  </si>
  <si>
    <t>LGU-TAN-GOODS-2020-109</t>
  </si>
  <si>
    <t>2020-INFRA- 25A</t>
  </si>
  <si>
    <t>GEPS-2020-0025</t>
  </si>
  <si>
    <t>UPLB-RQ-8-189-20-RES CHEMICALS &amp; CHEMICAL PRODUCTS</t>
  </si>
  <si>
    <t>20gso_594</t>
  </si>
  <si>
    <t>2020-825-5</t>
  </si>
  <si>
    <t>20080743</t>
  </si>
  <si>
    <t>20-08-225</t>
  </si>
  <si>
    <t>PEO-2020-1110</t>
  </si>
  <si>
    <t>ITB-GOODS-2020-08-047</t>
  </si>
  <si>
    <t>INFRA-20-59</t>
  </si>
  <si>
    <t>20CSFC03</t>
  </si>
  <si>
    <t>PG-RFQ-2020-06</t>
  </si>
  <si>
    <t>20064093</t>
  </si>
  <si>
    <t>B-08-35-20</t>
  </si>
  <si>
    <t>GEPS-2020-0028</t>
  </si>
  <si>
    <t>2020-08-27</t>
  </si>
  <si>
    <t>POBWEST ITB 2020-02</t>
  </si>
  <si>
    <t>2020-0009-0001</t>
  </si>
  <si>
    <t>BAC2020-29</t>
  </si>
  <si>
    <t>FCP-L-20-08-004</t>
  </si>
  <si>
    <t>Bid No. 2020-032</t>
  </si>
  <si>
    <t>2020-36</t>
  </si>
  <si>
    <t>2020-35</t>
  </si>
  <si>
    <t>BARANGAY PONTOD -4</t>
  </si>
  <si>
    <t>2020-0001</t>
  </si>
  <si>
    <t>08-25-04</t>
  </si>
  <si>
    <t>004</t>
  </si>
  <si>
    <t>2020-06-311</t>
  </si>
  <si>
    <t>2020-020-RFQ</t>
  </si>
  <si>
    <t>20-07-030L</t>
  </si>
  <si>
    <t>20G040</t>
  </si>
  <si>
    <t>POW - 8751 - 2020 - SHN - 03</t>
  </si>
  <si>
    <t>08-04-2020</t>
  </si>
  <si>
    <t>117222Mansalanao E/S</t>
  </si>
  <si>
    <t>QN-2020-07-029</t>
  </si>
  <si>
    <t>MATAMIS202001</t>
  </si>
  <si>
    <t>NOLI-2020-0199, 0206 &amp; PSWD-2020-0206</t>
  </si>
  <si>
    <t>20074241</t>
  </si>
  <si>
    <t>202063</t>
  </si>
  <si>
    <t>20-08-25</t>
  </si>
  <si>
    <t>ITB No. (GDS) 2020-08-021 PROCUREMENT OF GOODS, Pr</t>
  </si>
  <si>
    <t>08-25-2020</t>
  </si>
  <si>
    <t>2020825</t>
  </si>
  <si>
    <t>Replacement of Toilet Bowls with Flush and Constru</t>
  </si>
  <si>
    <t>HILONGOS 2020-257</t>
  </si>
  <si>
    <t>FCP-L-20-08-002</t>
  </si>
  <si>
    <t>Aklan BAC RFQ 517 Series of 2020</t>
  </si>
  <si>
    <t>SVP-2020-08-25-01</t>
  </si>
  <si>
    <t>20074237</t>
  </si>
  <si>
    <t>2020-08-0547 PPD ICTMS</t>
  </si>
  <si>
    <t>SF-2020-068</t>
  </si>
  <si>
    <t>OS-2020-08-265</t>
  </si>
  <si>
    <t>VET-2020-0425</t>
  </si>
  <si>
    <t>2020-0819-19Infra</t>
  </si>
  <si>
    <t>Invitation to Bid 20-50</t>
  </si>
  <si>
    <t>SVP-2020-08-25-02</t>
  </si>
  <si>
    <t>AMP-G-2020-006</t>
  </si>
  <si>
    <t>20-08-226</t>
  </si>
  <si>
    <t>PR-20-08-356/ RSQ-20-08-031</t>
  </si>
  <si>
    <t>28-Goods-2020</t>
  </si>
  <si>
    <t>BARANGAY KANGHAAS -4</t>
  </si>
  <si>
    <t>2020-082501</t>
  </si>
  <si>
    <t>CGT- Goods- 2020-00161</t>
  </si>
  <si>
    <t>PR 325-20</t>
  </si>
  <si>
    <t>11</t>
  </si>
  <si>
    <t>082520B</t>
  </si>
  <si>
    <t>AMP-G-002-2020</t>
  </si>
  <si>
    <t>003</t>
  </si>
  <si>
    <t>20080720</t>
  </si>
  <si>
    <t>NFBC-2020-0029</t>
  </si>
  <si>
    <t>SVP-2020-08-25-03</t>
  </si>
  <si>
    <t>P.R. No. 2020-08-017</t>
  </si>
  <si>
    <t>PENRO-BUK.-20-051</t>
  </si>
  <si>
    <t>SF-2020-059</t>
  </si>
  <si>
    <t>101-20-06-044</t>
  </si>
  <si>
    <t>2020-06-313</t>
  </si>
  <si>
    <t>DepEd LU 022-2020</t>
  </si>
  <si>
    <t>VET-20220-0046</t>
  </si>
  <si>
    <t>08-05-2020</t>
  </si>
  <si>
    <t>2020-07-163</t>
  </si>
  <si>
    <t>SVP-121-2020</t>
  </si>
  <si>
    <t>20-08-002</t>
  </si>
  <si>
    <t>2020-08-91</t>
  </si>
  <si>
    <t>19-09-1180</t>
  </si>
  <si>
    <t>20OG0109</t>
  </si>
  <si>
    <t>2020-0009-0002</t>
  </si>
  <si>
    <t>20074247</t>
  </si>
  <si>
    <t>SF-2020-067</t>
  </si>
  <si>
    <t>86</t>
  </si>
  <si>
    <t>TJPH-2020-0157</t>
  </si>
  <si>
    <t>EBMS 1475-20</t>
  </si>
  <si>
    <t>INFRA 2020-14.3</t>
  </si>
  <si>
    <t>SF-2020-069</t>
  </si>
  <si>
    <t>2020086</t>
  </si>
  <si>
    <t>2020-53</t>
  </si>
  <si>
    <t>2020-08-013</t>
  </si>
  <si>
    <t>20-0548</t>
  </si>
  <si>
    <t>RFQ NO. EMB-PROP.-SHOPPING-G-128-8-24-2020</t>
  </si>
  <si>
    <t>SVP No. 2020-0005</t>
  </si>
  <si>
    <t>082520C</t>
  </si>
  <si>
    <t>14A:BAC: ESD 20-004</t>
  </si>
  <si>
    <t>B20-27-02</t>
  </si>
  <si>
    <t>2020-08-90</t>
  </si>
  <si>
    <t>Job Order No. CBIMO-IAAPIS-20-08-0549.</t>
  </si>
  <si>
    <t>10RCDG-14564</t>
  </si>
  <si>
    <t>20-0551</t>
  </si>
  <si>
    <t>PR 2020-07-158</t>
  </si>
  <si>
    <t>CB(B)20-O32(CMO-ICDRRMO)</t>
  </si>
  <si>
    <t>ITB20OA0083</t>
  </si>
  <si>
    <t>EBMS 1476-20</t>
  </si>
  <si>
    <t>2020-01</t>
  </si>
  <si>
    <t>202008001</t>
  </si>
  <si>
    <t>2020-018</t>
  </si>
  <si>
    <t>20-0546</t>
  </si>
  <si>
    <t>SK BALEYADAAN -2020-08-001</t>
  </si>
  <si>
    <t>20OG0110</t>
  </si>
  <si>
    <t>20-0550</t>
  </si>
  <si>
    <t>BMB 20-060</t>
  </si>
  <si>
    <t>SK SAN JOSE-2020-08-001</t>
  </si>
  <si>
    <t>2020-022</t>
  </si>
  <si>
    <t>B088-2020</t>
  </si>
  <si>
    <t>Banb2020-001</t>
  </si>
  <si>
    <t>CB(B)20-033(CMO-ICDRRMO)</t>
  </si>
  <si>
    <t>0820-020</t>
  </si>
  <si>
    <t>DANG-20-026</t>
  </si>
  <si>
    <t>01-08-25-2020</t>
  </si>
  <si>
    <t>2020-126</t>
  </si>
  <si>
    <t>2020-08-16</t>
  </si>
  <si>
    <t>2020-02-232</t>
  </si>
  <si>
    <t>082520D</t>
  </si>
  <si>
    <t>RFQ2020-07-001</t>
  </si>
  <si>
    <t>EBMS 1479-20</t>
  </si>
  <si>
    <t>EBMS 1480-20</t>
  </si>
  <si>
    <t>2020-08-1347</t>
  </si>
  <si>
    <t>2020-432</t>
  </si>
  <si>
    <t>Ban2020-002</t>
  </si>
  <si>
    <t>2020-082502</t>
  </si>
  <si>
    <t>20OG0111</t>
  </si>
  <si>
    <t>202008080</t>
  </si>
  <si>
    <t>QSU-BAC-H-50-2020</t>
  </si>
  <si>
    <t>DSWD7-2020-0866</t>
  </si>
  <si>
    <t>RFQ-233-2020</t>
  </si>
  <si>
    <t>INVITATION TO BID  2020</t>
  </si>
  <si>
    <t>401-080 DATED 7-27-2020</t>
  </si>
  <si>
    <t>2020 - 104</t>
  </si>
  <si>
    <t>B090-2020</t>
  </si>
  <si>
    <t>B091-2020</t>
  </si>
  <si>
    <t>202-CW015</t>
  </si>
  <si>
    <t>000323</t>
  </si>
  <si>
    <t>2020-08-633</t>
  </si>
  <si>
    <t>B085-2020</t>
  </si>
  <si>
    <t>B20-27-03</t>
  </si>
  <si>
    <t>B092-2020</t>
  </si>
  <si>
    <t>2020.08.25.01</t>
  </si>
  <si>
    <t>NP-SVC-2008-073</t>
  </si>
  <si>
    <t>CLS - 2020 - 08 - 181</t>
  </si>
  <si>
    <t>2020-37</t>
  </si>
  <si>
    <t>PR# 2020-08.0439</t>
  </si>
  <si>
    <t>A2-2020-0861</t>
  </si>
  <si>
    <t>117111-01</t>
  </si>
  <si>
    <t>ITB20OA0085</t>
  </si>
  <si>
    <t>SV-0966-2020</t>
  </si>
  <si>
    <t>B094-2020</t>
  </si>
  <si>
    <t>ITB NO. 08-20-08</t>
  </si>
  <si>
    <t>2020-08-018</t>
  </si>
  <si>
    <t>ibaan 2020-015</t>
  </si>
  <si>
    <t>2020-08-1346</t>
  </si>
  <si>
    <t>DANG-20-027</t>
  </si>
  <si>
    <t>ITB No. 2020-06</t>
  </si>
  <si>
    <t>082020107</t>
  </si>
  <si>
    <t>RFQ-2020-06-0808R</t>
  </si>
  <si>
    <t>2020-08-623</t>
  </si>
  <si>
    <t>PR-2020-07-913</t>
  </si>
  <si>
    <t>20-101-069</t>
  </si>
  <si>
    <t>FLGU-G-2020-41</t>
  </si>
  <si>
    <t>ibaan 2020-016</t>
  </si>
  <si>
    <t>49-2020</t>
  </si>
  <si>
    <t>RFQ-2020-07-0931R</t>
  </si>
  <si>
    <t>B20-27-04</t>
  </si>
  <si>
    <t>AGINF2020-0826</t>
  </si>
  <si>
    <t>20-08-009</t>
  </si>
  <si>
    <t>200-2020-08-014</t>
  </si>
  <si>
    <t>RFQ#213-2020</t>
  </si>
  <si>
    <t>PR-ESSS02-20-07-00012</t>
  </si>
  <si>
    <t>20-0549</t>
  </si>
  <si>
    <t>713-2020</t>
  </si>
  <si>
    <t>6074</t>
  </si>
  <si>
    <t>RFQ-2020-08-015</t>
  </si>
  <si>
    <t>AS-2020-08-260</t>
  </si>
  <si>
    <t>EMBR02-SVP-GOODS-MIS2020-000906</t>
  </si>
  <si>
    <t>PR-2020</t>
  </si>
  <si>
    <t>101-314 dated 8-11-2020</t>
  </si>
  <si>
    <t>ITB NO. 08-20-09</t>
  </si>
  <si>
    <t>2020-39</t>
  </si>
  <si>
    <t>JHS-2ND-2020</t>
  </si>
  <si>
    <t>C-157-2020</t>
  </si>
  <si>
    <t>EBMS 1489-20</t>
  </si>
  <si>
    <t>RFQ-F&amp;F-2008-46</t>
  </si>
  <si>
    <t>2020-08-0003</t>
  </si>
  <si>
    <t>20-101-070</t>
  </si>
  <si>
    <t>2020-CW016</t>
  </si>
  <si>
    <t>GS-2020-15</t>
  </si>
  <si>
    <t>BAC-HOJ-007-20</t>
  </si>
  <si>
    <t>B093-2020</t>
  </si>
  <si>
    <t>UPLB-RQ-8-190-20 RES VETERINARY SUPPLIES</t>
  </si>
  <si>
    <t>100-1011-2020-008-754</t>
  </si>
  <si>
    <t>2020-08-1355</t>
  </si>
  <si>
    <t>2020-PR-138-CAR</t>
  </si>
  <si>
    <t>20-08-008</t>
  </si>
  <si>
    <t>101-315 dated 8-11-2020</t>
  </si>
  <si>
    <t>105TH-14512-86IB-2020</t>
  </si>
  <si>
    <t>010-08-020</t>
  </si>
  <si>
    <t>2020-CW017</t>
  </si>
  <si>
    <t>BGH - 08 - 0146</t>
  </si>
  <si>
    <t>Aklan BAC ITB 518 Series of 2020</t>
  </si>
  <si>
    <t>GEPS-2020-0029</t>
  </si>
  <si>
    <t>EBMS 0502-20</t>
  </si>
  <si>
    <t>PB-0820-66</t>
  </si>
  <si>
    <t>2020-08-099</t>
  </si>
  <si>
    <t>BIMO-GOODS-SVP2020-OE-P5</t>
  </si>
  <si>
    <t>DVO-200903-15</t>
  </si>
  <si>
    <t>ITB NO. 08-20-10</t>
  </si>
  <si>
    <t>46</t>
  </si>
  <si>
    <t>PR-2008-893</t>
  </si>
  <si>
    <t>RFQ NO. 20-08-223</t>
  </si>
  <si>
    <t>B20-27-05</t>
  </si>
  <si>
    <t>BGH - 08 - 0147</t>
  </si>
  <si>
    <t>20PA0139</t>
  </si>
  <si>
    <t>2020-08-019</t>
  </si>
  <si>
    <t>2020-779-08</t>
  </si>
  <si>
    <t>1</t>
  </si>
  <si>
    <t>2020-08-1353</t>
  </si>
  <si>
    <t>432678</t>
  </si>
  <si>
    <t>BACSVP-15-2020</t>
  </si>
  <si>
    <t>100-08-504</t>
  </si>
  <si>
    <t>RFQ-20-08-0696</t>
  </si>
  <si>
    <t>G-2020-009</t>
  </si>
  <si>
    <t>2020-08-479</t>
  </si>
  <si>
    <t>2020-GOODS-375</t>
  </si>
  <si>
    <t>BIMO-GOODS-SVP2020-OE-P6</t>
  </si>
  <si>
    <t>RFQ-20-08-0694</t>
  </si>
  <si>
    <t>2020-08-0004</t>
  </si>
  <si>
    <t>EBMS 1477-20</t>
  </si>
  <si>
    <t>GOODS 2020-09-0011</t>
  </si>
  <si>
    <t>BAC HO GS No 2020-0392</t>
  </si>
  <si>
    <t>C-150-2020</t>
  </si>
  <si>
    <t>PR-2020-06-2021</t>
  </si>
  <si>
    <t>PUR20-02-0136</t>
  </si>
  <si>
    <t>282-2020-001</t>
  </si>
  <si>
    <t>20-045</t>
  </si>
  <si>
    <t>BGH - 08 - 0148</t>
  </si>
  <si>
    <t>2020-0825INSET-092</t>
  </si>
  <si>
    <t>100-1011-2020-008-755</t>
  </si>
  <si>
    <t>B7-20-30</t>
  </si>
  <si>
    <t>2020-07-522</t>
  </si>
  <si>
    <t>168-2020-001</t>
  </si>
  <si>
    <t>DVO-200903-16</t>
  </si>
  <si>
    <t>2020-CW018</t>
  </si>
  <si>
    <t>20-08260</t>
  </si>
  <si>
    <t>ITB NO. 08-20-11</t>
  </si>
  <si>
    <t>ITB No. 020-2020</t>
  </si>
  <si>
    <t>J08-2020-010</t>
  </si>
  <si>
    <t>2020-08-012</t>
  </si>
  <si>
    <t>2020-31n</t>
  </si>
  <si>
    <t>2020-INFRA-24A</t>
  </si>
  <si>
    <t>200-2020-08-013</t>
  </si>
  <si>
    <t>RFQ NO. EMB-EEID-SHOPPING-G-130-8-25-2020 2020-076</t>
  </si>
  <si>
    <t>DOJ ITB 2020-08-66</t>
  </si>
  <si>
    <t>NCR-2008-006</t>
  </si>
  <si>
    <t>RFQ-20-08-0695</t>
  </si>
  <si>
    <t>2020-020</t>
  </si>
  <si>
    <t>2020-08-573</t>
  </si>
  <si>
    <t>2020-08-015</t>
  </si>
  <si>
    <t>657479</t>
  </si>
  <si>
    <t>RFQ 2020-030</t>
  </si>
  <si>
    <t>2020-32n</t>
  </si>
  <si>
    <t>RB20-18-01</t>
  </si>
  <si>
    <t>00001897</t>
  </si>
  <si>
    <t>RFQ NO. 513</t>
  </si>
  <si>
    <t>001 HCLDM</t>
  </si>
  <si>
    <t>2020-INFRA-9C</t>
  </si>
  <si>
    <t>PR NO. 20-08-096</t>
  </si>
  <si>
    <t>HILONGOS 2020-258</t>
  </si>
  <si>
    <t>20S037</t>
  </si>
  <si>
    <t>20PA0140</t>
  </si>
  <si>
    <t>CLS - 2020 - 08 - 182</t>
  </si>
  <si>
    <t>2020-08-624</t>
  </si>
  <si>
    <t>2020-288</t>
  </si>
  <si>
    <t>GF-2020-14</t>
  </si>
  <si>
    <t>2020-08-31-01</t>
  </si>
  <si>
    <t>20200825-01-G</t>
  </si>
  <si>
    <t>RFQ-232-2020</t>
  </si>
  <si>
    <t>AMP-G-2020-007</t>
  </si>
  <si>
    <t>64-2020 RFQ</t>
  </si>
  <si>
    <t>B089-2020</t>
  </si>
  <si>
    <t>RO-2020-08-176</t>
  </si>
  <si>
    <t>PB 08-04-2020</t>
  </si>
  <si>
    <t>BAC HO GS No 2020-0545</t>
  </si>
  <si>
    <t>BAC-2020-08-015</t>
  </si>
  <si>
    <t>ITB20OA0084</t>
  </si>
  <si>
    <t>RFQ NO. 20-08-220</t>
  </si>
  <si>
    <t>ITB NO. 08-20-12</t>
  </si>
  <si>
    <t>PUR20-03-0243</t>
  </si>
  <si>
    <t>2020-GOODS-005NP-02-0826</t>
  </si>
  <si>
    <t>PR-2020-1617</t>
  </si>
  <si>
    <t>POW-1041-2019-SHL-07B</t>
  </si>
  <si>
    <t>Job Order No. CBIMO-MPIS-20-08-0546</t>
  </si>
  <si>
    <t>BAC-2020-08-016</t>
  </si>
  <si>
    <t>2020-0824MOOE-REG-090</t>
  </si>
  <si>
    <t>AMP-G-2020-008</t>
  </si>
  <si>
    <t>20-47080</t>
  </si>
  <si>
    <t>PR-2020-08-1079</t>
  </si>
  <si>
    <t>RFQ 738</t>
  </si>
  <si>
    <t>47</t>
  </si>
  <si>
    <t>RFQ-2020-262</t>
  </si>
  <si>
    <t>cb-20-08-c-01</t>
  </si>
  <si>
    <t>ITB No. 2020-07</t>
  </si>
  <si>
    <t>2020-CW019</t>
  </si>
  <si>
    <t>20GIJ-0004</t>
  </si>
  <si>
    <t>2020-07-436</t>
  </si>
  <si>
    <t>proc123</t>
  </si>
  <si>
    <t>DVO-200903-18</t>
  </si>
  <si>
    <t>NWD-2020-023</t>
  </si>
  <si>
    <t>2020-08-025</t>
  </si>
  <si>
    <t>BCS-2020-0314</t>
  </si>
  <si>
    <t>2020-778-08</t>
  </si>
  <si>
    <t>03-2020</t>
  </si>
  <si>
    <t>DVO-200903-17</t>
  </si>
  <si>
    <t>560-2020</t>
  </si>
  <si>
    <t>2020-08-0005</t>
  </si>
  <si>
    <t>00001973</t>
  </si>
  <si>
    <t>2020-130</t>
  </si>
  <si>
    <t>SPPF-2020-PR.233</t>
  </si>
  <si>
    <t>AMP-G-2020-009</t>
  </si>
  <si>
    <t>2020-08-626</t>
  </si>
  <si>
    <t>DAR-2020-17</t>
  </si>
  <si>
    <t>AMP-G-003-2020</t>
  </si>
  <si>
    <t>2020-017</t>
  </si>
  <si>
    <t>2020-INFRA-5D</t>
  </si>
  <si>
    <t>2020-02-0384-MAIN</t>
  </si>
  <si>
    <t>POW-1041-2020-SHN-07B</t>
  </si>
  <si>
    <t>Goods-2020-213</t>
  </si>
  <si>
    <t>CLS - 2020 - 08 - 188</t>
  </si>
  <si>
    <t>08-020-549-20</t>
  </si>
  <si>
    <t>BMB 20-061</t>
  </si>
  <si>
    <t>01587</t>
  </si>
  <si>
    <t>2020-08-575</t>
  </si>
  <si>
    <t>BAC-2020-08-239</t>
  </si>
  <si>
    <t>48</t>
  </si>
  <si>
    <t>CB(B)20-022(CMO-ICDRRMO)</t>
  </si>
  <si>
    <t>100-08-20-02274</t>
  </si>
  <si>
    <t>559-2020</t>
  </si>
  <si>
    <t>AMP-G-005-2020</t>
  </si>
  <si>
    <t>2020-08-0495</t>
  </si>
  <si>
    <t>DVO-200903-20</t>
  </si>
  <si>
    <t>97</t>
  </si>
  <si>
    <t>CLS - 2020 - 08 - 183</t>
  </si>
  <si>
    <t>PR-2008-952</t>
  </si>
  <si>
    <t>20-0094</t>
  </si>
  <si>
    <t>DVO-200903-19</t>
  </si>
  <si>
    <t>Job Order No. CBIMO-MPIS-20-08-0547</t>
  </si>
  <si>
    <t>BAC-2020-08-240</t>
  </si>
  <si>
    <t>2020-057</t>
  </si>
  <si>
    <t>0</t>
  </si>
  <si>
    <t>HILONGOS 2020-259</t>
  </si>
  <si>
    <t>2</t>
  </si>
  <si>
    <t>2020-08-009</t>
  </si>
  <si>
    <t>Goods-2020-214</t>
  </si>
  <si>
    <t>DTI-ZAMB-2020-0006</t>
  </si>
  <si>
    <t>POW-1041-2020-SHN-06B</t>
  </si>
  <si>
    <t>Steel Rack and Filing Cabinet for Iloilo Provincia</t>
  </si>
  <si>
    <t>2003-016-10</t>
  </si>
  <si>
    <t>AMP-G-2020-011</t>
  </si>
  <si>
    <t>UPB2020.066</t>
  </si>
  <si>
    <t>00001955</t>
  </si>
  <si>
    <t>49</t>
  </si>
  <si>
    <t>2020-08-589</t>
  </si>
  <si>
    <t>561-2020</t>
  </si>
  <si>
    <t>GOODS AUGUST 2020-002</t>
  </si>
  <si>
    <t>AMP-G-2020-010</t>
  </si>
  <si>
    <t>2020.08.25.02</t>
  </si>
  <si>
    <t>N-I-2020-0040</t>
  </si>
  <si>
    <t>DANG-20-028</t>
  </si>
  <si>
    <t>2020-07-1441</t>
  </si>
  <si>
    <t>2020-08-152</t>
  </si>
  <si>
    <t>2020-021</t>
  </si>
  <si>
    <t>2020-CW020</t>
  </si>
  <si>
    <t>3</t>
  </si>
  <si>
    <t>SVP-20-08-C-21</t>
  </si>
  <si>
    <t>RFQ NO. EMB-OD-SHOPPING-G-131-8-25-2020 2020-0786</t>
  </si>
  <si>
    <t>2020-08-1984</t>
  </si>
  <si>
    <t>DepEd2020-08-030</t>
  </si>
  <si>
    <t>20-08-15</t>
  </si>
  <si>
    <t>AMP-G-004-2020</t>
  </si>
  <si>
    <t>2020-08-617</t>
  </si>
  <si>
    <t>8252020-051</t>
  </si>
  <si>
    <t>2020-056</t>
  </si>
  <si>
    <t>G-2020-04</t>
  </si>
  <si>
    <t>RFQ-NP-SVP-a388-2020</t>
  </si>
  <si>
    <t>012-20PB</t>
  </si>
  <si>
    <t>PR-2020-07-1036</t>
  </si>
  <si>
    <t>117116-01</t>
  </si>
  <si>
    <t>BAC-2020-08-241</t>
  </si>
  <si>
    <t>C-148-2020</t>
  </si>
  <si>
    <t>082520-TFB1</t>
  </si>
  <si>
    <t>DENR XII-SP-39-2020</t>
  </si>
  <si>
    <t>2020-08-0033</t>
  </si>
  <si>
    <t>98</t>
  </si>
  <si>
    <t>20-08-047</t>
  </si>
  <si>
    <t>00001858</t>
  </si>
  <si>
    <t>08-002</t>
  </si>
  <si>
    <t>20-08259</t>
  </si>
  <si>
    <t>PR-2008-918</t>
  </si>
  <si>
    <t>117110-01</t>
  </si>
  <si>
    <t>20-08-108-A</t>
  </si>
  <si>
    <t>SVP-20-003</t>
  </si>
  <si>
    <t>SVP-122-2020</t>
  </si>
  <si>
    <t>B087-2020</t>
  </si>
  <si>
    <t>2020-08-398-RFQ</t>
  </si>
  <si>
    <t>PR-20-08-374 / RSQ-20-08-032</t>
  </si>
  <si>
    <t>01-2020</t>
  </si>
  <si>
    <t>B084-2020</t>
  </si>
  <si>
    <t>2020-INFRA-2D</t>
  </si>
  <si>
    <t>TWDPR 2020-08-06</t>
  </si>
  <si>
    <t>4ATG-14561</t>
  </si>
  <si>
    <t>Aklan BAC ITB 519 Series of 2020</t>
  </si>
  <si>
    <t>20-0547</t>
  </si>
  <si>
    <t>4ATG-14560</t>
  </si>
  <si>
    <t>LGA-PhilGEPS 2019-08-046</t>
  </si>
  <si>
    <t>GSO-20-08-0389</t>
  </si>
  <si>
    <t>PROJECT ID NO. G-2020-006</t>
  </si>
  <si>
    <t>GS-2020-16</t>
  </si>
  <si>
    <t>BAC-2020-08-243</t>
  </si>
  <si>
    <t>2020-54</t>
  </si>
  <si>
    <t>B086-2020</t>
  </si>
  <si>
    <t>2020-08-153</t>
  </si>
  <si>
    <t>3256</t>
  </si>
  <si>
    <t>IPW 2020-07-01</t>
  </si>
  <si>
    <t>PALG-11-2020</t>
  </si>
  <si>
    <t>POW-1041-2020-SHN-02B</t>
  </si>
  <si>
    <t>101</t>
  </si>
  <si>
    <t>99</t>
  </si>
  <si>
    <t>2020-075</t>
  </si>
  <si>
    <t>2020-08-0496</t>
  </si>
  <si>
    <t>20-08-048</t>
  </si>
  <si>
    <t>OMSC RFQ 20-017</t>
  </si>
  <si>
    <t>RO9-INFRA-2020-H-001</t>
  </si>
  <si>
    <t>20-08-12</t>
  </si>
  <si>
    <t>401-2-20-08-RFQ1086</t>
  </si>
  <si>
    <t>DVO-200903-21</t>
  </si>
  <si>
    <t>PR-2020-08-1078</t>
  </si>
  <si>
    <t>ITB-2020-03</t>
  </si>
  <si>
    <t>100</t>
  </si>
  <si>
    <t>100200801230</t>
  </si>
  <si>
    <t>20FO0112</t>
  </si>
  <si>
    <t>BAC 1-2020-08-088</t>
  </si>
  <si>
    <t>4</t>
  </si>
  <si>
    <t>BAC-2020-08-242</t>
  </si>
  <si>
    <t>HCC2020021</t>
  </si>
  <si>
    <t>08-92-2020</t>
  </si>
  <si>
    <t>DVO-200903-22</t>
  </si>
  <si>
    <t>PR-20-07-282/ RSQ-20-08-036</t>
  </si>
  <si>
    <t>P.R. No. 2020-08-215</t>
  </si>
  <si>
    <t>PR-2020-06-797</t>
  </si>
  <si>
    <t>UPB2020.067</t>
  </si>
  <si>
    <t>LGU-215-2020</t>
  </si>
  <si>
    <t>2020-08-0282</t>
  </si>
  <si>
    <t>20-08-1236</t>
  </si>
  <si>
    <t>OE-104-8-19-20</t>
  </si>
  <si>
    <t>G2020-08-018E</t>
  </si>
  <si>
    <t>ITB No. GOODS-20-136</t>
  </si>
  <si>
    <t>DVO-200903-23</t>
  </si>
  <si>
    <t>BAC 1-2020-08-089</t>
  </si>
  <si>
    <t>AMP-RFQ 2020-092</t>
  </si>
  <si>
    <t>100-20-08-1083</t>
  </si>
  <si>
    <t>08-02-20</t>
  </si>
  <si>
    <t>20-08-383</t>
  </si>
  <si>
    <t>BAC-2020-08-244</t>
  </si>
  <si>
    <t>20-08-003-GD</t>
  </si>
  <si>
    <t>8252020</t>
  </si>
  <si>
    <t>20-040</t>
  </si>
  <si>
    <t>2020-289</t>
  </si>
  <si>
    <t>105TH-14049-17IB-2020</t>
  </si>
  <si>
    <t>2020-50604040 99-247</t>
  </si>
  <si>
    <t>82520201</t>
  </si>
  <si>
    <t>5</t>
  </si>
  <si>
    <t>AMP-G-006-2020</t>
  </si>
  <si>
    <t>PB20-08-042COR</t>
  </si>
  <si>
    <t>0323-2020</t>
  </si>
  <si>
    <t>2020-014</t>
  </si>
  <si>
    <t>100200801188</t>
  </si>
  <si>
    <t>0342020</t>
  </si>
  <si>
    <t>LGU-216-2020</t>
  </si>
  <si>
    <t>TAS20-07-186</t>
  </si>
  <si>
    <t>PENRO ROMBLON-2020-020</t>
  </si>
  <si>
    <t>20-CRG-20-08-1304</t>
  </si>
  <si>
    <t>POW-1041-2020-SHN-04B</t>
  </si>
  <si>
    <t>PR NO. 2020-08-109</t>
  </si>
  <si>
    <t>CGWCEISC 20-06-009</t>
  </si>
  <si>
    <t>ZN20-08-009</t>
  </si>
  <si>
    <t>S00377-2020</t>
  </si>
  <si>
    <t>20-47073</t>
  </si>
  <si>
    <t>HILONGOS 2020-260</t>
  </si>
  <si>
    <t>08252001</t>
  </si>
  <si>
    <t>AMP-RFP-2020-007</t>
  </si>
  <si>
    <t>20-08-0071</t>
  </si>
  <si>
    <t>BAGO-BAC-RFQ-20-1322</t>
  </si>
  <si>
    <t>2020-007</t>
  </si>
  <si>
    <t>IPW 2020-07-02</t>
  </si>
  <si>
    <t>0352020</t>
  </si>
  <si>
    <t>2020-08-0034</t>
  </si>
  <si>
    <t>20-041</t>
  </si>
  <si>
    <t>BAC-A-2020-08-005</t>
  </si>
  <si>
    <t>2020-08-03</t>
  </si>
  <si>
    <t>82520202</t>
  </si>
  <si>
    <t>ELEC 2020 - REGION II - CITY OF ILAGAN - 002</t>
  </si>
  <si>
    <t>2020-07-223</t>
  </si>
  <si>
    <t>DARFO2.CVRC.115.REC.2020-08-1085.00</t>
  </si>
  <si>
    <t>ITB NO: 2020-009-046</t>
  </si>
  <si>
    <t>AMP-RFQ 2020-093</t>
  </si>
  <si>
    <t>193-2020</t>
  </si>
  <si>
    <t>20-08-010</t>
  </si>
  <si>
    <t>PR-2020-08-1077</t>
  </si>
  <si>
    <t>20-08-094A</t>
  </si>
  <si>
    <t>2020-08-026</t>
  </si>
  <si>
    <t>2020-076</t>
  </si>
  <si>
    <t>PR No. 20-07-204</t>
  </si>
  <si>
    <t>0614-001</t>
  </si>
  <si>
    <t>2020-50604040 99-248</t>
  </si>
  <si>
    <t>10390520</t>
  </si>
  <si>
    <t>401-20-08-RFQ1087</t>
  </si>
  <si>
    <t>20-03-036</t>
  </si>
  <si>
    <t>2020-08-021</t>
  </si>
  <si>
    <t>SN 2020-002</t>
  </si>
  <si>
    <t>BAC-2020-08-245</t>
  </si>
  <si>
    <t>082520-TFB2</t>
  </si>
  <si>
    <t>31-Goods-2020</t>
  </si>
  <si>
    <t>PR 2020-08-02</t>
  </si>
  <si>
    <t>LGU-BALINGASAG-9005-20-096</t>
  </si>
  <si>
    <t>PB048-20</t>
  </si>
  <si>
    <t>NS-08-26-20-R2</t>
  </si>
  <si>
    <t>AMP-RFQ 2020-094</t>
  </si>
  <si>
    <t>MAM-2020-0203</t>
  </si>
  <si>
    <t>Invitation to Bid 20-51</t>
  </si>
  <si>
    <t>2020-019</t>
  </si>
  <si>
    <t>2020-08-695</t>
  </si>
  <si>
    <t>G-2020-006</t>
  </si>
  <si>
    <t>20-0544</t>
  </si>
  <si>
    <t>EBMS 1482-20</t>
  </si>
  <si>
    <t>20EHPCL001</t>
  </si>
  <si>
    <t>AMP-RFQ 2020-095</t>
  </si>
  <si>
    <t>AMP-G-2020-012</t>
  </si>
  <si>
    <t>202008079</t>
  </si>
  <si>
    <t>BAC-2020-08-246</t>
  </si>
  <si>
    <t>CGWCEISC 20-07-010</t>
  </si>
  <si>
    <t>PR-2020-06-2022</t>
  </si>
  <si>
    <t>2020-CW021</t>
  </si>
  <si>
    <t>100-2020-INFRA-398</t>
  </si>
  <si>
    <t>PR-269-100-2020</t>
  </si>
  <si>
    <t>100-1011-2020-08-756</t>
  </si>
  <si>
    <t>20-08-0065</t>
  </si>
  <si>
    <t>NP NO:2020-08-06</t>
  </si>
  <si>
    <t>SVP-124-2020</t>
  </si>
  <si>
    <t>NNP-2020-IX-01-04-CONSTRUCTION MATERIALS (VILLAFON</t>
  </si>
  <si>
    <t>202008028</t>
  </si>
  <si>
    <t>2020-07-244</t>
  </si>
  <si>
    <t>IPW 2020-07-03</t>
  </si>
  <si>
    <t>GOODS2020-076</t>
  </si>
  <si>
    <t>2020-048</t>
  </si>
  <si>
    <t>SF LABOR NO.79(8-25-20)</t>
  </si>
  <si>
    <t>DRR-1584-20</t>
  </si>
  <si>
    <t>2020-CW022</t>
  </si>
  <si>
    <t>20-08-0068</t>
  </si>
  <si>
    <t>RFQ NO. EMB-EEID-SHOPPING-G-129-8-25-2020 2020-060</t>
  </si>
  <si>
    <t>PNPTR-DIDM-DP-20-06</t>
  </si>
  <si>
    <t>08-20-57</t>
  </si>
  <si>
    <t>ITB No. GOODS-20-137</t>
  </si>
  <si>
    <t>PR No: 2020-07-107</t>
  </si>
  <si>
    <t>117110-02</t>
  </si>
  <si>
    <t>PR-2020-07-1055</t>
  </si>
  <si>
    <t>SS-1390-20</t>
  </si>
  <si>
    <t>20-08-0069</t>
  </si>
  <si>
    <t>101-20-08-RFQ1085</t>
  </si>
  <si>
    <t>238-20</t>
  </si>
  <si>
    <t>2020-047</t>
  </si>
  <si>
    <t>PB-LAP-2020-103</t>
  </si>
  <si>
    <t>101-20-08-RFQ1084</t>
  </si>
  <si>
    <t>2020-08-2619</t>
  </si>
  <si>
    <t>HERRERA 2020-002</t>
  </si>
  <si>
    <t>20GG0073-G</t>
  </si>
  <si>
    <t>ITB No. GOODS-20-138</t>
  </si>
  <si>
    <t>20GHI0032</t>
  </si>
  <si>
    <t>20-08-156</t>
  </si>
  <si>
    <t>COVIDBAT-020-2020</t>
  </si>
  <si>
    <t>2020-04</t>
  </si>
  <si>
    <t>Goods-2020-215</t>
  </si>
  <si>
    <t>RFQ NO. EMB-AFMD-082-8-25-20-</t>
  </si>
  <si>
    <t>2020-08-2625</t>
  </si>
  <si>
    <t>BAC-2020-08-247</t>
  </si>
  <si>
    <t>ITB 2020-023</t>
  </si>
  <si>
    <t>100-20-08-1084</t>
  </si>
  <si>
    <t>GOODS-2020-08-116</t>
  </si>
  <si>
    <t>PR No. 2008-192</t>
  </si>
  <si>
    <t>GOODS-08-25-2020-01</t>
  </si>
  <si>
    <t>NNP-2020-IX-01-05 CONSTRUCTION MATERIALS (SITIO KA</t>
  </si>
  <si>
    <t>BAC-2020-08-248</t>
  </si>
  <si>
    <t>G-2020-007</t>
  </si>
  <si>
    <t>SS-1597-20</t>
  </si>
  <si>
    <t>PR-2020-07-972</t>
  </si>
  <si>
    <t>IB No. B-2020-006</t>
  </si>
  <si>
    <t>2020-08-586</t>
  </si>
  <si>
    <t>2020-08-1561</t>
  </si>
  <si>
    <t>BAC-2020-08-249</t>
  </si>
  <si>
    <t>130-2020</t>
  </si>
  <si>
    <t>2020-06-0173</t>
  </si>
  <si>
    <t>NNP-2020-IX-01-07 CONSTRUCTION MATERIALS (BULULACA</t>
  </si>
  <si>
    <t>RFQ NO. 2020-08-100</t>
  </si>
  <si>
    <t>2020-I-22</t>
  </si>
  <si>
    <t>ITB No. GOODS-20-139</t>
  </si>
  <si>
    <t>2020-03-066(9)</t>
  </si>
  <si>
    <t>2020-120</t>
  </si>
  <si>
    <t>08-20-58</t>
  </si>
  <si>
    <t>SVP-123-2020</t>
  </si>
  <si>
    <t>SS-1570-20</t>
  </si>
  <si>
    <t>cb-infra-2020-03</t>
  </si>
  <si>
    <t>OMSC RFQ  20-024</t>
  </si>
  <si>
    <t>O-020-016</t>
  </si>
  <si>
    <t>LGU-BALINGASAG-9005-20-097</t>
  </si>
  <si>
    <t>2020-08-0035</t>
  </si>
  <si>
    <t>2020-8-RFQ07</t>
  </si>
  <si>
    <t>DENR-PENRO SC-2020-08-05</t>
  </si>
  <si>
    <t>107889-08-027</t>
  </si>
  <si>
    <t>BFP Caraga 2020-08-018</t>
  </si>
  <si>
    <t>2020-08-010PB</t>
  </si>
  <si>
    <t>20-08-567</t>
  </si>
  <si>
    <t>2020-06-382</t>
  </si>
  <si>
    <t>ITB No. GOODS-20-140</t>
  </si>
  <si>
    <t>2020-CW024</t>
  </si>
  <si>
    <t>SS-1599-20</t>
  </si>
  <si>
    <t>DRM-1586-20</t>
  </si>
  <si>
    <t>ZONE4202001</t>
  </si>
  <si>
    <t>IB-2020-IX-14-01-CONSTRUCTION OF DRAINAGE CANAL</t>
  </si>
  <si>
    <t>2020-08-241</t>
  </si>
  <si>
    <t>CEB-Q-2020-23</t>
  </si>
  <si>
    <t>GOODS2020-077</t>
  </si>
  <si>
    <t>2020-08-3173</t>
  </si>
  <si>
    <t>2020-16</t>
  </si>
  <si>
    <t>PR0057-20 MotorPool NEGO</t>
  </si>
  <si>
    <t>2020-08-063</t>
  </si>
  <si>
    <t>2020-07-143</t>
  </si>
  <si>
    <t>PR No. 2008-193</t>
  </si>
  <si>
    <t>2020-08-0092</t>
  </si>
  <si>
    <t>ITT 2020-024</t>
  </si>
  <si>
    <t>BAC-2020-08-250</t>
  </si>
  <si>
    <t>2020-SGOD-08-034</t>
  </si>
  <si>
    <t>2020-08-022</t>
  </si>
  <si>
    <t>100-20-08-1085</t>
  </si>
  <si>
    <t>IB No. B-2020-007</t>
  </si>
  <si>
    <t>BMB 20-063</t>
  </si>
  <si>
    <t>ITB-TIRE PATH-20-08-001</t>
  </si>
  <si>
    <t>2020-03-066(4)</t>
  </si>
  <si>
    <t>S00378-2020</t>
  </si>
  <si>
    <t>20EHPCL002</t>
  </si>
  <si>
    <t>LGU-BALINGASAG-9005-20-098</t>
  </si>
  <si>
    <t>202008153</t>
  </si>
  <si>
    <t>NP 20-0898</t>
  </si>
  <si>
    <t>BMB 20-062</t>
  </si>
  <si>
    <t>2020-08-620</t>
  </si>
  <si>
    <t>cb-good-2020-05</t>
  </si>
  <si>
    <t>Posting-017-20</t>
  </si>
  <si>
    <t>20-08-0073</t>
  </si>
  <si>
    <t>G-2020-008</t>
  </si>
  <si>
    <t>PR No. 2008-186</t>
  </si>
  <si>
    <t>ITB No. GOODS-20-141</t>
  </si>
  <si>
    <t>6</t>
  </si>
  <si>
    <t>SV-0975-2020</t>
  </si>
  <si>
    <t>2020-08-25a</t>
  </si>
  <si>
    <t>IB No. B-2020-008</t>
  </si>
  <si>
    <t>20-02-00162</t>
  </si>
  <si>
    <t>20-07-17</t>
  </si>
  <si>
    <t>CS 0910-20</t>
  </si>
  <si>
    <t>CSI-2020-033</t>
  </si>
  <si>
    <t>EBMS 1514-20</t>
  </si>
  <si>
    <t>GOODS-2020-08-117</t>
  </si>
  <si>
    <t>20-08-0074</t>
  </si>
  <si>
    <t>2020-CW023</t>
  </si>
  <si>
    <t>AMP-G-007-2020</t>
  </si>
  <si>
    <t>27884-001</t>
  </si>
  <si>
    <t>O-020-017</t>
  </si>
  <si>
    <t>PR-2020-1484</t>
  </si>
  <si>
    <t>2020-08-25b</t>
  </si>
  <si>
    <t>SS-1598-20</t>
  </si>
  <si>
    <t>2020-06-324</t>
  </si>
  <si>
    <t>20-02-003</t>
  </si>
  <si>
    <t>AMP-G-2020-013</t>
  </si>
  <si>
    <t>RB20-18-02</t>
  </si>
  <si>
    <t>PR #00870</t>
  </si>
  <si>
    <t>BAC-2020-08-251</t>
  </si>
  <si>
    <t>07-116-2020</t>
  </si>
  <si>
    <t>20-08-00500</t>
  </si>
  <si>
    <t>IB-2020-IX-14-02- CLOSURE OF OLD DUMPSITE</t>
  </si>
  <si>
    <t>2020-08-2657</t>
  </si>
  <si>
    <t>798</t>
  </si>
  <si>
    <t>2020-082503</t>
  </si>
  <si>
    <t>2020-08-064</t>
  </si>
  <si>
    <t>PR0008-20 MotorPool NEGO</t>
  </si>
  <si>
    <t>MBHTE-BARMM-B061-2020</t>
  </si>
  <si>
    <t>20-00056</t>
  </si>
  <si>
    <t>102</t>
  </si>
  <si>
    <t>SVP018-2020</t>
  </si>
  <si>
    <t>08-25-2020-344</t>
  </si>
  <si>
    <t>EBMS 1616-20</t>
  </si>
  <si>
    <t>IB No. B-2020-005</t>
  </si>
  <si>
    <t>SS-1569-20</t>
  </si>
  <si>
    <t>20-08-0075</t>
  </si>
  <si>
    <t>MDRRMO-2020-08-25-001</t>
  </si>
  <si>
    <t>2020-290</t>
  </si>
  <si>
    <t>2020-08-0036</t>
  </si>
  <si>
    <t>SVP-2020-08-25-04</t>
  </si>
  <si>
    <t>107889-08-028</t>
  </si>
  <si>
    <t>20-007-007</t>
  </si>
  <si>
    <t>2020-08-065</t>
  </si>
  <si>
    <t>ITB No. GOODS-20-142</t>
  </si>
  <si>
    <t>2020-05-109</t>
  </si>
  <si>
    <t>G419-20</t>
  </si>
  <si>
    <t>20-08-0076</t>
  </si>
  <si>
    <t>103</t>
  </si>
  <si>
    <t>PR-2020-08-1086</t>
  </si>
  <si>
    <t>RB20-18-03</t>
  </si>
  <si>
    <t>BAC-2020-08-252</t>
  </si>
  <si>
    <t>INFRA-2020-011</t>
  </si>
  <si>
    <t>20-08-097</t>
  </si>
  <si>
    <t>B-G-2020-121</t>
  </si>
  <si>
    <t>EBMS 1618-20</t>
  </si>
  <si>
    <t>SV-1005-2020</t>
  </si>
  <si>
    <t>SV-0970-2020</t>
  </si>
  <si>
    <t>2020-08-061</t>
  </si>
  <si>
    <t>799</t>
  </si>
  <si>
    <t>100-08-20-02278</t>
  </si>
  <si>
    <t>BGH - 08 - 0149</t>
  </si>
  <si>
    <t>CY2020-GOODS-008</t>
  </si>
  <si>
    <t>AMP-G-008-2020</t>
  </si>
  <si>
    <t>20GBC0014</t>
  </si>
  <si>
    <t>DIN-INF-08-25-2020</t>
  </si>
  <si>
    <t>RFQ 185-2020</t>
  </si>
  <si>
    <t>2020-08-0109</t>
  </si>
  <si>
    <t>PR 0036-20/0077-20 PAGRO NEGO</t>
  </si>
  <si>
    <t>2020-08-611</t>
  </si>
  <si>
    <t>PR #00869</t>
  </si>
  <si>
    <t>2020-1021-60</t>
  </si>
  <si>
    <t>2020-291</t>
  </si>
  <si>
    <t>20200825 01</t>
  </si>
  <si>
    <t>20053357</t>
  </si>
  <si>
    <t>3257</t>
  </si>
  <si>
    <t>2020-08-616</t>
  </si>
  <si>
    <t>2020-082504</t>
  </si>
  <si>
    <t>SS-1568-20</t>
  </si>
  <si>
    <t>2020-LGU-Cuenca-071</t>
  </si>
  <si>
    <t>PR #00818</t>
  </si>
  <si>
    <t>EBMS 1619-20</t>
  </si>
  <si>
    <t>GFP100-2020-08-098</t>
  </si>
  <si>
    <t>2020-08-252</t>
  </si>
  <si>
    <t>2020-8711-061</t>
  </si>
  <si>
    <t>BGH - 08 - 0150</t>
  </si>
  <si>
    <t>RFQ-2020-263</t>
  </si>
  <si>
    <t>DIM 1613-20</t>
  </si>
  <si>
    <t>PR-11217</t>
  </si>
  <si>
    <t>20-07-0055</t>
  </si>
  <si>
    <t>387</t>
  </si>
  <si>
    <t>2020-INFRA-25A</t>
  </si>
  <si>
    <t>CSI-2020-034</t>
  </si>
  <si>
    <t>EBMS 1620-20</t>
  </si>
  <si>
    <t>2020-08-066</t>
  </si>
  <si>
    <t>MOV-G-2020-015</t>
  </si>
  <si>
    <t>139</t>
  </si>
  <si>
    <t>20-08-0078</t>
  </si>
  <si>
    <t>RFQ 187-2020</t>
  </si>
  <si>
    <t>AMP-G-2020-014</t>
  </si>
  <si>
    <t>DRM-1567-20</t>
  </si>
  <si>
    <t>PR #00867</t>
  </si>
  <si>
    <t>RB20-18-04</t>
  </si>
  <si>
    <t>2020-03-066(3)</t>
  </si>
  <si>
    <t>PR-2008-882</t>
  </si>
  <si>
    <t>ITB 2020-025</t>
  </si>
  <si>
    <t>RFQ 188-2020</t>
  </si>
  <si>
    <t>EBMS 1621-20</t>
  </si>
  <si>
    <t>BOC-GOODS-RFQ-85-2020</t>
  </si>
  <si>
    <t>RFQ 20-776</t>
  </si>
  <si>
    <t>082520-B1</t>
  </si>
  <si>
    <t>082520-B2</t>
  </si>
  <si>
    <t>COA-RO1-2020-08-0011</t>
  </si>
  <si>
    <t>20-181</t>
  </si>
  <si>
    <t>SVP-2020-08-25-05</t>
  </si>
  <si>
    <t>RFQ-2020-314</t>
  </si>
  <si>
    <t>RFQ 186-2020</t>
  </si>
  <si>
    <t>RFQ 189-2020</t>
  </si>
  <si>
    <t>2020-082506</t>
  </si>
  <si>
    <t>2020-GOODS-376</t>
  </si>
  <si>
    <t>SVP019-2020</t>
  </si>
  <si>
    <t>DA 8 SVP Goods 2020-08-0130 (SAAD 20-07-22-0236)</t>
  </si>
  <si>
    <t>SP(SEC)-20-146(NP/SV)</t>
  </si>
  <si>
    <t>2009-002</t>
  </si>
  <si>
    <t>JHS 082020-03</t>
  </si>
  <si>
    <t>2020-0137</t>
  </si>
  <si>
    <t>DRM-1564-20</t>
  </si>
  <si>
    <t>RFQ 190-2020</t>
  </si>
  <si>
    <t>558-2020</t>
  </si>
  <si>
    <t>PR-2007-846</t>
  </si>
  <si>
    <t>2020-04-227</t>
  </si>
  <si>
    <t>AMP-G-010-2020</t>
  </si>
  <si>
    <t>BAC RESOLUTION NO. 08-11 SERIES OF 2020</t>
  </si>
  <si>
    <t>BAC-PG-003-20</t>
  </si>
  <si>
    <t>B-130-2020</t>
  </si>
  <si>
    <t>RFQ 2020-0053</t>
  </si>
  <si>
    <t>RB20-18-05</t>
  </si>
  <si>
    <t>S00379-2020</t>
  </si>
  <si>
    <t>20-18-08-1078-A</t>
  </si>
  <si>
    <t>RFQ-2020-264</t>
  </si>
  <si>
    <t>396439</t>
  </si>
  <si>
    <t>DBM-2020-0147</t>
  </si>
  <si>
    <t>LGUTMO BAC 2020-1523</t>
  </si>
  <si>
    <t>2020-08-RFQ09</t>
  </si>
  <si>
    <t>B-G-2020-122</t>
  </si>
  <si>
    <t>B-132-2020</t>
  </si>
  <si>
    <t>2020-035</t>
  </si>
  <si>
    <t>20-08-00501</t>
  </si>
  <si>
    <t>10120200808</t>
  </si>
  <si>
    <t>LGU-RFQ-2020-84</t>
  </si>
  <si>
    <t>CMO(RM-HE)20-007(NP/SV)</t>
  </si>
  <si>
    <t>SVP-2020-082</t>
  </si>
  <si>
    <t>2020-430</t>
  </si>
  <si>
    <t>Goods 2020-082</t>
  </si>
  <si>
    <t>2020-072</t>
  </si>
  <si>
    <t>RFQ NO. 2020-08-101</t>
  </si>
  <si>
    <t>2020-08-046</t>
  </si>
  <si>
    <t>BAC-SI-2020-08-12</t>
  </si>
  <si>
    <t>SV-0950-2020</t>
  </si>
  <si>
    <t>20-308</t>
  </si>
  <si>
    <t>101-20-08-RFQ1083</t>
  </si>
  <si>
    <t>GFP100-2020-08-099</t>
  </si>
  <si>
    <t>DTI XII 20-08-24-003</t>
  </si>
  <si>
    <t>20-0852-8751</t>
  </si>
  <si>
    <t>SV-0994-2020</t>
  </si>
  <si>
    <t>RFQ No.092-2020</t>
  </si>
  <si>
    <t>RFQ 2020-094</t>
  </si>
  <si>
    <t>20-08-0061</t>
  </si>
  <si>
    <t>CS 1404-20</t>
  </si>
  <si>
    <t>SVP 20-0732</t>
  </si>
  <si>
    <t>20-08-259</t>
  </si>
  <si>
    <t>PR-2008-944</t>
  </si>
  <si>
    <t>Goods 2020-083</t>
  </si>
  <si>
    <t>DOH-MMCHD 2020-08-288</t>
  </si>
  <si>
    <t>BAC-SI-2020-08-14</t>
  </si>
  <si>
    <t>101-20-08-RFQ1082</t>
  </si>
  <si>
    <t>RFQ 2020-08-0231</t>
  </si>
  <si>
    <t>RFQ-2020-265</t>
  </si>
  <si>
    <t>Lim2020-001</t>
  </si>
  <si>
    <t>PB-LAP-2020-104</t>
  </si>
  <si>
    <t>3259</t>
  </si>
  <si>
    <t>2020-02-73</t>
  </si>
  <si>
    <t>NS 1605-20</t>
  </si>
  <si>
    <t>20-08-0059</t>
  </si>
  <si>
    <t>IAEB NO. 2020-014</t>
  </si>
  <si>
    <t>20-08-10</t>
  </si>
  <si>
    <t>RFQ 2020-095</t>
  </si>
  <si>
    <t>Quotation No. 20-07-0418A</t>
  </si>
  <si>
    <t>PR-2020-07-970</t>
  </si>
  <si>
    <t>006-09-2020</t>
  </si>
  <si>
    <t>08252002</t>
  </si>
  <si>
    <t>2020-040</t>
  </si>
  <si>
    <t>RFQ NO. 2020-08-248</t>
  </si>
  <si>
    <t>2020-392</t>
  </si>
  <si>
    <t xml:space="preserve">20CB-GSC-543	PURCHASE OF DRONE WITH GPS FOR CENRO </t>
  </si>
  <si>
    <t>3260</t>
  </si>
  <si>
    <t>20-179</t>
  </si>
  <si>
    <t>1402</t>
  </si>
  <si>
    <t>082520-TFB3</t>
  </si>
  <si>
    <t>20-04-68</t>
  </si>
  <si>
    <t>20-08-0044</t>
  </si>
  <si>
    <t>188-08-20</t>
  </si>
  <si>
    <t>BAC-SI-2020-08-16</t>
  </si>
  <si>
    <t>RB20-18-06</t>
  </si>
  <si>
    <t>AMP2020-149</t>
  </si>
  <si>
    <t>BAC-SI-2020-08-09</t>
  </si>
  <si>
    <t>2020-08-0002</t>
  </si>
  <si>
    <t>B-131-2020</t>
  </si>
  <si>
    <t>2020-08-023</t>
  </si>
  <si>
    <t>Aklan BAC RFQ 520 Series of 2020</t>
  </si>
  <si>
    <t>CSI-2020-035</t>
  </si>
  <si>
    <t>B-G-2020-123</t>
  </si>
  <si>
    <t>DA RFO-1-2020-GOODS-040</t>
  </si>
  <si>
    <t>LGUTMO BAC 2020-1637</t>
  </si>
  <si>
    <t>SV-0951-2020</t>
  </si>
  <si>
    <t>2020-1011-062</t>
  </si>
  <si>
    <t>EBMS 1615-20</t>
  </si>
  <si>
    <t>BMB 20-064</t>
  </si>
  <si>
    <t>20-24-08-1088</t>
  </si>
  <si>
    <t>2020-08-091</t>
  </si>
  <si>
    <t>PUR20-02-0071 &amp; PUR20-02-0159</t>
  </si>
  <si>
    <t>RFQ-023-2020</t>
  </si>
  <si>
    <t>RFQ 20-777</t>
  </si>
  <si>
    <t>2020-07-529</t>
  </si>
  <si>
    <t>Lim2020-002</t>
  </si>
  <si>
    <t>20-08-0064</t>
  </si>
  <si>
    <t>NS 1610-20</t>
  </si>
  <si>
    <t>AMP2020-150</t>
  </si>
  <si>
    <t>DTI-3-2020-014</t>
  </si>
  <si>
    <t>ITB GOODS 2020-08-56</t>
  </si>
  <si>
    <t>BIDSPPF2020-PR.224</t>
  </si>
  <si>
    <t>NS 1578-20</t>
  </si>
  <si>
    <t>135-2020</t>
  </si>
  <si>
    <t>CMO(RM-HE)20-014(NP/SV)</t>
  </si>
  <si>
    <t>2020-GOODS-6C</t>
  </si>
  <si>
    <t>2020-AM-0744</t>
  </si>
  <si>
    <t>DRM-1566-20</t>
  </si>
  <si>
    <t>101-20-08-RFQ1081</t>
  </si>
  <si>
    <t>20.07.0127-a</t>
  </si>
  <si>
    <t>RFQ 2020-096</t>
  </si>
  <si>
    <t>BAC-SI-2020-08-17</t>
  </si>
  <si>
    <t>P-0911</t>
  </si>
  <si>
    <t>3258</t>
  </si>
  <si>
    <t>2020-08-118</t>
  </si>
  <si>
    <t>NS 1496-20</t>
  </si>
  <si>
    <t>RFQ 2020-097</t>
  </si>
  <si>
    <t>DFPPURCH20-065</t>
  </si>
  <si>
    <t>20GGI0044</t>
  </si>
  <si>
    <t>2020-192</t>
  </si>
  <si>
    <t>456710</t>
  </si>
  <si>
    <t>RFQ 192-2020</t>
  </si>
  <si>
    <t>ITB 2020-026</t>
  </si>
  <si>
    <t>08-093P-E / 101P-C / 106P-D</t>
  </si>
  <si>
    <t>2020-100-07-450</t>
  </si>
  <si>
    <t>10120200809</t>
  </si>
  <si>
    <t>20CB-GSC-544	PURCHASE OF ENGINE OIL FOR VET (RE-BI</t>
  </si>
  <si>
    <t>2020-07-31-01</t>
  </si>
  <si>
    <t>Maganhan-01</t>
  </si>
  <si>
    <t>BMB 20-065</t>
  </si>
  <si>
    <t>20-08-378</t>
  </si>
  <si>
    <t>2020-55</t>
  </si>
  <si>
    <t>JHS 082020-02</t>
  </si>
  <si>
    <t>DTI XIII 20-08-24-002</t>
  </si>
  <si>
    <t>2020-08-355</t>
  </si>
  <si>
    <t>RFQ 191-2020</t>
  </si>
  <si>
    <t>2020-03-158</t>
  </si>
  <si>
    <t>HILONGOS 2020-261</t>
  </si>
  <si>
    <t>20-08-00499</t>
  </si>
  <si>
    <t>20-24-08-1086</t>
  </si>
  <si>
    <t>2020-05</t>
  </si>
  <si>
    <t>AMP-G-009-2020</t>
  </si>
  <si>
    <t>CWD 43-2020</t>
  </si>
  <si>
    <t>BAC 2-2020-08-90</t>
  </si>
  <si>
    <t>082620</t>
  </si>
  <si>
    <t>2020-431</t>
  </si>
  <si>
    <t>000325</t>
  </si>
  <si>
    <t>20-0760-8732</t>
  </si>
  <si>
    <t>100-2008-670-GF</t>
  </si>
  <si>
    <t>CMO-ALTF-20-008(SHOPPING)</t>
  </si>
  <si>
    <t>20-0837-4421</t>
  </si>
  <si>
    <t>LG2020MP</t>
  </si>
  <si>
    <t>07-119-2020</t>
  </si>
  <si>
    <t>Goods 2020-08-025</t>
  </si>
  <si>
    <t>PR-2020-07-968</t>
  </si>
  <si>
    <t>DENR XII No. 127-SMD-SCS /FY2020</t>
  </si>
  <si>
    <t>PN 13-2020</t>
  </si>
  <si>
    <t>BARANGAY WESTERN POB. -6</t>
  </si>
  <si>
    <t>goods 233-2020</t>
  </si>
  <si>
    <t>ADS-1913-20</t>
  </si>
  <si>
    <t>082520E</t>
  </si>
  <si>
    <t xml:space="preserve">TPB-PR 2020.08.238 SHUTTLE SERVICES FOR THE MONTH </t>
  </si>
  <si>
    <t>2020-08-0037</t>
  </si>
  <si>
    <t>RB20-18-07</t>
  </si>
  <si>
    <t>20-0856-8732</t>
  </si>
  <si>
    <t>DTI-IX-2020-08-02 (F24)</t>
  </si>
  <si>
    <t>NS 1603-20</t>
  </si>
  <si>
    <t>2020-06-256</t>
  </si>
  <si>
    <t>ITB # 2020-55</t>
  </si>
  <si>
    <t>PR-2008-923</t>
  </si>
  <si>
    <t>20CB-GSC-547 PURCHASE OF DIESEL AND GAASOLINE (RE-</t>
  </si>
  <si>
    <t>BACII-2020-17</t>
  </si>
  <si>
    <t>oshc2020ECD_03</t>
  </si>
  <si>
    <t>2020-08-0046</t>
  </si>
  <si>
    <t>2020-08-117</t>
  </si>
  <si>
    <t>20-08-003</t>
  </si>
  <si>
    <t>Goods 2020-08-026</t>
  </si>
  <si>
    <t>smwd08252020-7199935</t>
  </si>
  <si>
    <t>BAC 2-2020-08-091</t>
  </si>
  <si>
    <t>2020-06</t>
  </si>
  <si>
    <t>100-20-08-075</t>
  </si>
  <si>
    <t>GOODS2020-078</t>
  </si>
  <si>
    <t>RFQ 193-2020</t>
  </si>
  <si>
    <t>ITB2020-08-07</t>
  </si>
  <si>
    <t>SVP No. 2020-0008</t>
  </si>
  <si>
    <t>105</t>
  </si>
  <si>
    <t>PRN 052</t>
  </si>
  <si>
    <t>RFQ 20-789</t>
  </si>
  <si>
    <t>CAM-2020-08-01</t>
  </si>
  <si>
    <t>R3-BANE-GAA-2020-BANE IMO-68</t>
  </si>
  <si>
    <t>RB20-18-08</t>
  </si>
  <si>
    <t>OMSC RFQ 20-028</t>
  </si>
  <si>
    <t>MinSCAT RFQ 2020-55</t>
  </si>
  <si>
    <t>20-08-377</t>
  </si>
  <si>
    <t>20CB-GSC-545	PURCHASE OF GENERAL MERCHANDISE (RE-B</t>
  </si>
  <si>
    <t>CSC 2020-08-015</t>
  </si>
  <si>
    <t>2020-08-0038</t>
  </si>
  <si>
    <t>104</t>
  </si>
  <si>
    <t>202008152</t>
  </si>
  <si>
    <t>ITB 2020-08-045(GOODS)</t>
  </si>
  <si>
    <t>300-20-08-007</t>
  </si>
  <si>
    <t>RFQ NO. 2020-08-247</t>
  </si>
  <si>
    <t>AMP2020-151</t>
  </si>
  <si>
    <t>ITB No. 056-2020 GQ</t>
  </si>
  <si>
    <t>PR-2020-07-967</t>
  </si>
  <si>
    <t>RO3-2020-08-005</t>
  </si>
  <si>
    <t>Goods 2020-08-027</t>
  </si>
  <si>
    <t>BTG3-2020-17</t>
  </si>
  <si>
    <t>DENR XII No. 128-SMD-SCS /FY2020</t>
  </si>
  <si>
    <t>RO3-2020-08-004</t>
  </si>
  <si>
    <t>20-08-0072</t>
  </si>
  <si>
    <t>lgm</t>
  </si>
  <si>
    <t>1358</t>
  </si>
  <si>
    <t>106</t>
  </si>
  <si>
    <t>PR-2020-07-969</t>
  </si>
  <si>
    <t>2020-790-08</t>
  </si>
  <si>
    <t>20CB-GSC-546	INSTALLATION OF CCTV CAMERA (TRUST FU</t>
  </si>
  <si>
    <t>2020-D. LEAÑO-010</t>
  </si>
  <si>
    <t>BAYLE0820AMP0820</t>
  </si>
  <si>
    <t>NIAR3-TARZAM-2020-52-CASTILLO CIS</t>
  </si>
  <si>
    <t>RB20-18-09</t>
  </si>
  <si>
    <t>2020-PR20-1120-263</t>
  </si>
  <si>
    <t>RFQ-2020-G-258</t>
  </si>
  <si>
    <t>3261</t>
  </si>
  <si>
    <t>PR No. 20081564</t>
  </si>
  <si>
    <t>SVP No. 2020-0009</t>
  </si>
  <si>
    <t>BAC 08/25/20-01</t>
  </si>
  <si>
    <t>NCMBCOPP-08-003-20</t>
  </si>
  <si>
    <t>BARANGAY WESTERN POB. - 7</t>
  </si>
  <si>
    <t>NRCP-Goods 20-34</t>
  </si>
  <si>
    <t>BARANGAY WESTERN POB. -8</t>
  </si>
  <si>
    <t>PR No. 020-08-080</t>
  </si>
  <si>
    <t>2020-08-731</t>
  </si>
  <si>
    <t>20-07-00471</t>
  </si>
  <si>
    <t>107</t>
  </si>
  <si>
    <t>PR. 20-02-127 (i. 1-2,4,6-7) (2020-08-301)</t>
  </si>
  <si>
    <t>PB-LAP-2020-105</t>
  </si>
  <si>
    <t>Kiburiao C/S -QUEZON III subsidy</t>
  </si>
  <si>
    <t>20GGI0045</t>
  </si>
  <si>
    <t>G-2020-25</t>
  </si>
  <si>
    <t>100-08-20-02276</t>
  </si>
  <si>
    <t>BAC 2-2020-08-092</t>
  </si>
  <si>
    <t>2020-08-116</t>
  </si>
  <si>
    <t>S-20-009</t>
  </si>
  <si>
    <t>Goods2020</t>
  </si>
  <si>
    <t>20GG0074-G</t>
  </si>
  <si>
    <t>ITB No. 055-2020 GQ</t>
  </si>
  <si>
    <t>2020-006</t>
  </si>
  <si>
    <t>SJ-20-243</t>
  </si>
  <si>
    <t>DFPPURCH20-066</t>
  </si>
  <si>
    <t>2020-08-0040</t>
  </si>
  <si>
    <t>ITB # 2020-56</t>
  </si>
  <si>
    <t>RFQ 2020-021</t>
  </si>
  <si>
    <t>PR 2020-08-2234</t>
  </si>
  <si>
    <t>AMP2020-153</t>
  </si>
  <si>
    <t>108</t>
  </si>
  <si>
    <t>PR11214</t>
  </si>
  <si>
    <t>2020-08-0041</t>
  </si>
  <si>
    <t>NCMBCOPP-08-004-20</t>
  </si>
  <si>
    <t>202008154</t>
  </si>
  <si>
    <t>082520-D01</t>
  </si>
  <si>
    <t>DPWH-SK2DEO-20GMH076</t>
  </si>
  <si>
    <t>AMP2020-152</t>
  </si>
  <si>
    <t>RFQ NO. 2020-09-73</t>
  </si>
  <si>
    <t>NS 1604-20</t>
  </si>
  <si>
    <t>CHED-08-010-2020</t>
  </si>
  <si>
    <t>SVP No. 2020-0010</t>
  </si>
  <si>
    <t>2020-GOODS-27A</t>
  </si>
  <si>
    <t>ITB GOODS 2020-08-57</t>
  </si>
  <si>
    <t>PR-2020-07-966</t>
  </si>
  <si>
    <t>TSHI 8-25-2020</t>
  </si>
  <si>
    <t>2020-0138</t>
  </si>
  <si>
    <t>105TH-13651-86IB-2020</t>
  </si>
  <si>
    <t>Ibaan/2020/262</t>
  </si>
  <si>
    <t>POG-06-2020</t>
  </si>
  <si>
    <t>GF 622</t>
  </si>
  <si>
    <t>DRM-1565-20</t>
  </si>
  <si>
    <t>NS 1549-20</t>
  </si>
  <si>
    <t>2020-08-0042</t>
  </si>
  <si>
    <t>2020-PR20-1129-264</t>
  </si>
  <si>
    <t>G-20-06</t>
  </si>
  <si>
    <t>BAC 08/25/20-02</t>
  </si>
  <si>
    <t>20GG0075-G</t>
  </si>
  <si>
    <t>PR 2020-08-2236</t>
  </si>
  <si>
    <t>3-01-001-20-131A (Re-bidding)</t>
  </si>
  <si>
    <t>2020-08-032 Provision of Maternal Package for Preg</t>
  </si>
  <si>
    <t>ITB 2020-08-047 (GOODS)</t>
  </si>
  <si>
    <t>depedvigancity-2020-013</t>
  </si>
  <si>
    <t>PRNo: 2020-08-136</t>
  </si>
  <si>
    <t>BG2020-14-815</t>
  </si>
  <si>
    <t>IB 2020-004</t>
  </si>
  <si>
    <t>109</t>
  </si>
  <si>
    <t>gf-20-0539</t>
  </si>
  <si>
    <t>RFQ-05-2020</t>
  </si>
  <si>
    <t>PR-2020-07-995</t>
  </si>
  <si>
    <t>ITB NO. 04-08-2020</t>
  </si>
  <si>
    <t>BSU Project No. 2020-314</t>
  </si>
  <si>
    <t>LGUPROC 2020 - 207N</t>
  </si>
  <si>
    <t>BAC 2-2020-08-093</t>
  </si>
  <si>
    <t>100-2020-0273, 0918, 0921, 0923 &amp; 0925</t>
  </si>
  <si>
    <t>854, 854-A</t>
  </si>
  <si>
    <t>BP-20-045</t>
  </si>
  <si>
    <t>08-PR-2020-0051</t>
  </si>
  <si>
    <t>SJ-20-244</t>
  </si>
  <si>
    <t>2020-08-0043</t>
  </si>
  <si>
    <t>PR-2020-07-971</t>
  </si>
  <si>
    <t>BP-20-044</t>
  </si>
  <si>
    <t>ITB 2020-08-001</t>
  </si>
  <si>
    <t>ITB 2020-112</t>
  </si>
  <si>
    <t>2020-SVP-374</t>
  </si>
  <si>
    <t>8-20-08</t>
  </si>
  <si>
    <t>PRNo: 2020-08-137</t>
  </si>
  <si>
    <t>DPWH-SK2DEO-20GMH077</t>
  </si>
  <si>
    <t>2020-0139</t>
  </si>
  <si>
    <t>2020-003-RFQ</t>
  </si>
  <si>
    <t>NS 1548-20</t>
  </si>
  <si>
    <t>2020-SVP-375</t>
  </si>
  <si>
    <t>20GLC0009</t>
  </si>
  <si>
    <t>BAC 08/25/20-03</t>
  </si>
  <si>
    <t>AMP2020-154</t>
  </si>
  <si>
    <t>2020-0140</t>
  </si>
  <si>
    <t>20-05-00373</t>
  </si>
  <si>
    <t>2020-SVP-376</t>
  </si>
  <si>
    <t>ITB 2020-03 Procurement of Aircon with Installatio</t>
  </si>
  <si>
    <t>PR#2020-08-PR133</t>
  </si>
  <si>
    <t>20-08085</t>
  </si>
  <si>
    <t>BAY-STF-2020-08-864</t>
  </si>
  <si>
    <t>AMP2020-155</t>
  </si>
  <si>
    <t>DSWD7-20-0905</t>
  </si>
  <si>
    <t>2020-PR20-1102-1107-265</t>
  </si>
  <si>
    <t>2020-08-3134</t>
  </si>
  <si>
    <t>2020-0142</t>
  </si>
  <si>
    <t>NS 1545-20</t>
  </si>
  <si>
    <t>BAY-TF-2020-068-875</t>
  </si>
  <si>
    <t>2020-02-0190-MAIN</t>
  </si>
  <si>
    <t>02-2020</t>
  </si>
  <si>
    <t>2020-0141</t>
  </si>
  <si>
    <t>082520-H02</t>
  </si>
  <si>
    <t>388</t>
  </si>
  <si>
    <t>DPWH-SK2DEO-20GMH078</t>
  </si>
  <si>
    <t>G2020-08-04</t>
  </si>
  <si>
    <t>HPMA-2020-08-0450</t>
  </si>
  <si>
    <t>BSU Project No. 2020-315</t>
  </si>
  <si>
    <t>2020-0143</t>
  </si>
  <si>
    <t>100-2020-0636, 0640, 0867 &amp; 1048</t>
  </si>
  <si>
    <t>SOLANO 021-AMP</t>
  </si>
  <si>
    <t>2020-56</t>
  </si>
  <si>
    <t>2020-114</t>
  </si>
  <si>
    <t>08-PR-2020-0052</t>
  </si>
  <si>
    <t>NS 1546-20</t>
  </si>
  <si>
    <t>HPMA-2020-07-0430</t>
  </si>
  <si>
    <t>GOODS-2020-08-118</t>
  </si>
  <si>
    <t>NS 1602-20</t>
  </si>
  <si>
    <t>BAY-STF-2020-08-839</t>
  </si>
  <si>
    <t>PSA-NCR-RO-20-32</t>
  </si>
  <si>
    <t>BAY-TF-2020-08-892</t>
  </si>
  <si>
    <t>RFQ 2020-022</t>
  </si>
  <si>
    <t>BP-INFRA-2020-005</t>
  </si>
  <si>
    <t>PR No. 2020-08-001</t>
  </si>
  <si>
    <t>bac-azds-rfq-033-2020</t>
  </si>
  <si>
    <t>SHA-2020-101-023</t>
  </si>
  <si>
    <t>LTFRT-008-041</t>
  </si>
  <si>
    <t>PB-G-20-007</t>
  </si>
  <si>
    <t>082520-D02</t>
  </si>
  <si>
    <t>142020</t>
  </si>
  <si>
    <t>SV-2020-161-064</t>
  </si>
  <si>
    <t>082520-H01</t>
  </si>
  <si>
    <t>20JAGS0014</t>
  </si>
  <si>
    <t>GEPS-017-2020</t>
  </si>
  <si>
    <t>082520-H03</t>
  </si>
  <si>
    <t>20-08-076</t>
  </si>
  <si>
    <t>IB No. 2020-09-15 (17)</t>
  </si>
  <si>
    <t>20-08-080</t>
  </si>
  <si>
    <t>100-2020-0772, 0917, 0922 &amp; 0924</t>
  </si>
  <si>
    <t>BFAR IV-A.PR20-0454</t>
  </si>
  <si>
    <t>20-08-021 to 025</t>
  </si>
  <si>
    <t>BAY-TF-2020-08-894</t>
  </si>
  <si>
    <t>2020-SVP-377</t>
  </si>
  <si>
    <t>2020-0144</t>
  </si>
  <si>
    <t>BINALONAN-2020-083</t>
  </si>
  <si>
    <t>2020-0145</t>
  </si>
  <si>
    <t>2020-08-030-101</t>
  </si>
  <si>
    <t>2008-0842-AVRC</t>
  </si>
  <si>
    <t>RFQ 2020-023</t>
  </si>
  <si>
    <t>GOODS-2020-08-119</t>
  </si>
  <si>
    <t>RFQ#214-2020</t>
  </si>
  <si>
    <t>2020-08-121</t>
  </si>
  <si>
    <t>B2020-107-A</t>
  </si>
  <si>
    <t>101-020-008-089</t>
  </si>
  <si>
    <t>SV20-08-026COR</t>
  </si>
  <si>
    <t>BAY-TF-2020-08-903</t>
  </si>
  <si>
    <t>562-2020</t>
  </si>
  <si>
    <t>P320-08-72</t>
  </si>
  <si>
    <t>RFQ-2020-G-059</t>
  </si>
  <si>
    <t>BCS-2020-0308</t>
  </si>
  <si>
    <t>082520-H04</t>
  </si>
  <si>
    <t>PR11206</t>
  </si>
  <si>
    <t>NS 1544-20</t>
  </si>
  <si>
    <t>SV-2020-184-065</t>
  </si>
  <si>
    <t>PPC-BAC-2020-08</t>
  </si>
  <si>
    <t>2020-0146</t>
  </si>
  <si>
    <t>BSU Project No. 2020-316</t>
  </si>
  <si>
    <t>2020-SVP-378</t>
  </si>
  <si>
    <t>NS 1547-20</t>
  </si>
  <si>
    <t>RFQ-2020-08-00016</t>
  </si>
  <si>
    <t>BCS-2020-0309</t>
  </si>
  <si>
    <t>2020-058</t>
  </si>
  <si>
    <t>PN 2020-20</t>
  </si>
  <si>
    <t>1-0038-20</t>
  </si>
  <si>
    <t>BAY-TF-2020-08-915</t>
  </si>
  <si>
    <t>ENG-03-20</t>
  </si>
  <si>
    <t>BPB 2020-037</t>
  </si>
  <si>
    <t>CYN-BAC-SVP-2020-154</t>
  </si>
  <si>
    <t>BCS-2020-0310</t>
  </si>
  <si>
    <t>100-2020-0846, 0847a &amp; 0847b</t>
  </si>
  <si>
    <t>DA3-2020-08-17-122</t>
  </si>
  <si>
    <t>116-20</t>
  </si>
  <si>
    <t>PR#2020-08-PR125</t>
  </si>
  <si>
    <t>2020-08-506</t>
  </si>
  <si>
    <t>NNP 2020-038</t>
  </si>
  <si>
    <t>MPQ-082520-035</t>
  </si>
  <si>
    <t>BCS-2020-0312</t>
  </si>
  <si>
    <t>2020-08-482</t>
  </si>
  <si>
    <t>101-020-008-090</t>
  </si>
  <si>
    <t>NS 1606-20</t>
  </si>
  <si>
    <t>2020-08-467</t>
  </si>
  <si>
    <t>2020 INFRA 040</t>
  </si>
  <si>
    <t>PCMT 2020 - 091</t>
  </si>
  <si>
    <t>NS 1607-20</t>
  </si>
  <si>
    <t>MLGOO-101-2020-07-344</t>
  </si>
  <si>
    <t>PB-G-20-008</t>
  </si>
  <si>
    <t>SPC PR No. 2000005475</t>
  </si>
  <si>
    <t>PRDP-RPCO-08-24-2020-59</t>
  </si>
  <si>
    <t>08252003</t>
  </si>
  <si>
    <t>BCS-2020-0311</t>
  </si>
  <si>
    <t>JR NO. 23635</t>
  </si>
  <si>
    <t>573-08/24/2020</t>
  </si>
  <si>
    <t>1091-101-2020-07-342</t>
  </si>
  <si>
    <t>2020 INFRA 041</t>
  </si>
  <si>
    <t>MDRRM-101-2020-07-292</t>
  </si>
  <si>
    <t>2020-02-0147</t>
  </si>
  <si>
    <t>ITB 07-006-20</t>
  </si>
  <si>
    <t>BCS-2020-0313</t>
  </si>
  <si>
    <t>FS 2020-06-079</t>
  </si>
  <si>
    <t>NS 1497-20</t>
  </si>
  <si>
    <t>2020-57</t>
  </si>
  <si>
    <t>NS 1608-20</t>
  </si>
  <si>
    <t>MGB V 086-08</t>
  </si>
  <si>
    <t>BAC 1-2020-08-094</t>
  </si>
  <si>
    <t>1000033879</t>
  </si>
  <si>
    <t>2508200358</t>
  </si>
  <si>
    <t>2020 INFRA 045</t>
  </si>
  <si>
    <t>2020-08-122</t>
  </si>
  <si>
    <t>20-08-307</t>
  </si>
  <si>
    <t>PSLM-08-25-2020</t>
  </si>
  <si>
    <t>MGB V 057-06</t>
  </si>
  <si>
    <t>2020 INFRA 044</t>
  </si>
  <si>
    <t>MPQ-082520-036</t>
  </si>
  <si>
    <t>2020-08-0142</t>
  </si>
  <si>
    <t>20GDF0026</t>
  </si>
  <si>
    <t>2020-LUZON-010</t>
  </si>
  <si>
    <t>Goods-2020-04</t>
  </si>
  <si>
    <t>2508200357</t>
  </si>
  <si>
    <t>2020-0123</t>
  </si>
  <si>
    <t>2020-08-119</t>
  </si>
  <si>
    <t>NS 1609-20</t>
  </si>
  <si>
    <t>20GO0107</t>
  </si>
  <si>
    <t>2020 INFRA 043</t>
  </si>
  <si>
    <t>JSJI 2020-01</t>
  </si>
  <si>
    <t>2020 INFRA 042</t>
  </si>
  <si>
    <t>RFQ 2020-024</t>
  </si>
  <si>
    <t>BAC1-20-003</t>
  </si>
  <si>
    <t>2508200359</t>
  </si>
  <si>
    <t>Ibaan/2020/263</t>
  </si>
  <si>
    <t>578-08/24/2020</t>
  </si>
  <si>
    <t>PR NO. 92414</t>
  </si>
  <si>
    <t>IMPROVEMENT OF PLACER PORT</t>
  </si>
  <si>
    <t>PPC-BAC-2020-09</t>
  </si>
  <si>
    <t>PPC-BAC-2020-20</t>
  </si>
  <si>
    <t>mooe-05</t>
  </si>
  <si>
    <t>BSU Project No. 2020-317</t>
  </si>
  <si>
    <t>2020-050</t>
  </si>
  <si>
    <t>100-2020-0848</t>
  </si>
  <si>
    <t>2020-08-0143</t>
  </si>
  <si>
    <t>RB20-18-10</t>
  </si>
  <si>
    <t>RFQ NO. 2008-136</t>
  </si>
  <si>
    <t>0820013</t>
  </si>
  <si>
    <t>MGB V 086 A-08</t>
  </si>
  <si>
    <t>2020-08-123</t>
  </si>
  <si>
    <t>2020mts</t>
  </si>
  <si>
    <t>20-06-028</t>
  </si>
  <si>
    <t>CAM-2020-08-02</t>
  </si>
  <si>
    <t>INFRA 2K20-67</t>
  </si>
  <si>
    <t>N-08-001</t>
  </si>
  <si>
    <t>2020-08-31</t>
  </si>
  <si>
    <t>BELCPFY2020L2</t>
  </si>
  <si>
    <t>100-2020-01000</t>
  </si>
  <si>
    <t>20-07-249</t>
  </si>
  <si>
    <t>BELCPFY2020L1</t>
  </si>
  <si>
    <t>R6-D2-2020-08-150</t>
  </si>
  <si>
    <t>2020-67</t>
  </si>
  <si>
    <t>2020-08-29</t>
  </si>
  <si>
    <t>100-2020-1013</t>
  </si>
  <si>
    <t>700925</t>
  </si>
  <si>
    <t>INFRA 2K20-68</t>
  </si>
  <si>
    <t>100-2020-01001 &amp; 1012</t>
  </si>
  <si>
    <t>101-1011-2020-03-80</t>
  </si>
  <si>
    <t>MPQ-082520-039</t>
  </si>
  <si>
    <t>2020-MUN-GF-GOODS-029</t>
  </si>
  <si>
    <t>2020-0007</t>
  </si>
  <si>
    <t>RFQ NO. 2008-139</t>
  </si>
  <si>
    <t>MPQ-082520-040</t>
  </si>
  <si>
    <t>INFRA 2K20-70</t>
  </si>
  <si>
    <t>MPQ-082520-038</t>
  </si>
  <si>
    <t>2020-004-RFQ</t>
  </si>
  <si>
    <t>ITB-2019-01Linabo</t>
  </si>
  <si>
    <t>0820014</t>
  </si>
  <si>
    <t>INFRA 2K20-69</t>
  </si>
  <si>
    <t>100-2020-1053</t>
  </si>
  <si>
    <t>CAM-2020-08-03</t>
  </si>
  <si>
    <t>BELCPFY2020L3</t>
  </si>
  <si>
    <t>MPQ-082520-037</t>
  </si>
  <si>
    <t>BAC 2020-G10</t>
  </si>
  <si>
    <t>092-20</t>
  </si>
  <si>
    <t>G-2020-313</t>
  </si>
  <si>
    <t>PUR20-03-0241</t>
  </si>
  <si>
    <t>INFRA-2020-08-10</t>
  </si>
  <si>
    <t>082520201</t>
  </si>
  <si>
    <t>MKWD-BAC-2020-059</t>
  </si>
  <si>
    <t>LIBJO PORT IMPROVEMENT PROJECT</t>
  </si>
  <si>
    <t>I-2020-025</t>
  </si>
  <si>
    <t>100-2020-1021</t>
  </si>
  <si>
    <t>MAGSAYSAY PORT IMPROVEMENT PROJECT</t>
  </si>
  <si>
    <t>BELCPFY2020L5</t>
  </si>
  <si>
    <t>700926</t>
  </si>
  <si>
    <t>GOODS-2020-183</t>
  </si>
  <si>
    <t>BELCPFY2020L4</t>
  </si>
  <si>
    <t>I-2020-026</t>
  </si>
  <si>
    <t>NAUWA-08/25/20</t>
  </si>
  <si>
    <t>I-2020-024</t>
  </si>
  <si>
    <t>ECA-20-08-0703</t>
  </si>
  <si>
    <t>20-07-233-B</t>
  </si>
  <si>
    <t>2020-07-099</t>
  </si>
  <si>
    <t>INFRA 2K20-71</t>
  </si>
  <si>
    <t>GOODS-2020-185</t>
  </si>
  <si>
    <t>GOODS-2020-182</t>
  </si>
  <si>
    <t>2020-021-RFQ</t>
  </si>
  <si>
    <t>MPQ-082520-041</t>
  </si>
  <si>
    <t>M-2020-0048</t>
  </si>
  <si>
    <t>CB(B)-19-097(CMO-OSCA)</t>
  </si>
  <si>
    <t>101-8917-2020-08-10</t>
  </si>
  <si>
    <t>200826</t>
  </si>
  <si>
    <t>2020-0008</t>
  </si>
  <si>
    <t>RFQ-ATI-RTC4A-2020-08-097</t>
  </si>
  <si>
    <t>BP-082520-042</t>
  </si>
  <si>
    <t>GOODS-2020-186</t>
  </si>
  <si>
    <t>MJES-0825-2020</t>
  </si>
  <si>
    <t>ITB-2020-003</t>
  </si>
  <si>
    <t>2020-187-I</t>
  </si>
  <si>
    <t>20200825</t>
  </si>
  <si>
    <t>RFQ No. 2020-08-046</t>
  </si>
  <si>
    <t>BP-082520-041</t>
  </si>
  <si>
    <t>RFQ-TPB-PR.2020.08.240</t>
  </si>
  <si>
    <t>CAG-19-002(CB)</t>
  </si>
  <si>
    <t>2020-066</t>
  </si>
  <si>
    <t>NP-2020-01</t>
  </si>
  <si>
    <t>NP 116-20</t>
  </si>
  <si>
    <t>PR20-DEPED-2528AUGRFQ001</t>
  </si>
  <si>
    <t>2020 - 10</t>
  </si>
  <si>
    <t>CES 2020-008-002</t>
  </si>
  <si>
    <t>PEZA-MEZ-2020-011</t>
  </si>
  <si>
    <t>MALIBONG08-2020-02</t>
  </si>
  <si>
    <t>20-08-178</t>
  </si>
  <si>
    <t>2020-RBAC-REGIII-026</t>
  </si>
  <si>
    <t>BELCPFY2020L6</t>
  </si>
  <si>
    <t>0026-S-2020</t>
  </si>
  <si>
    <t>CB(B)-20-003(CMO-TOURISM)</t>
  </si>
  <si>
    <t>GOODS-2020-187</t>
  </si>
  <si>
    <t>SRAVIS 20-08-354</t>
  </si>
  <si>
    <t>RFQ-TPB-PR.2020.08.239</t>
  </si>
  <si>
    <t>ESD Mine3 20-016</t>
  </si>
  <si>
    <t>PRRI-2020-049</t>
  </si>
  <si>
    <t>GOODS-2020-184</t>
  </si>
  <si>
    <t>BUGC-2020-009</t>
  </si>
  <si>
    <t>RGAO-PR-11278 (2)</t>
  </si>
  <si>
    <t>2020-08-0006</t>
  </si>
  <si>
    <t>NICTC-0820-257</t>
  </si>
  <si>
    <t>B6-20-112</t>
  </si>
  <si>
    <t>LGU-2020-049</t>
  </si>
  <si>
    <t>N-08-002</t>
  </si>
  <si>
    <t>N-08-003</t>
  </si>
  <si>
    <t>RGAO-PR-11279 (2)</t>
  </si>
  <si>
    <t>2020-024</t>
  </si>
  <si>
    <t>PR20-DEPED-2528AUGRFQ002</t>
  </si>
  <si>
    <t>20-08-11</t>
  </si>
  <si>
    <t>20NF0082</t>
  </si>
  <si>
    <t>PRDP-RPCO3-08-24-2020-60</t>
  </si>
  <si>
    <t>ITB NO. 016 OF 2020</t>
  </si>
  <si>
    <t>PR20-DEPED-2528AUGRFQ003</t>
  </si>
  <si>
    <t>CB(B)-20-024 (GTLMH)</t>
  </si>
  <si>
    <t>DTI-MP-LSPNSB-0001</t>
  </si>
  <si>
    <t>CB(B)-20-013(ICWS)</t>
  </si>
  <si>
    <t>PRDP-RPCO3-08-24-2020-61</t>
  </si>
  <si>
    <t>20FC0134</t>
  </si>
  <si>
    <t>2020-025</t>
  </si>
  <si>
    <t>20FC0135</t>
  </si>
  <si>
    <t>DEPED-RO6-D1-REPRODUCTION(BE-LCP)-068-2020</t>
  </si>
  <si>
    <t>MODULE REPRODUCTION QUARTER 1 UPPER CARMEN ES (cen</t>
  </si>
  <si>
    <t>CB(B)-20-025 (GTLMH)</t>
  </si>
  <si>
    <t>PF-0820-799</t>
  </si>
  <si>
    <t>GTLMH-TF-20-010</t>
  </si>
  <si>
    <t>RFQ No. 2020-08-01</t>
  </si>
  <si>
    <t>RFQ-DVO-PR.NO. 2002185 CAT. TIRE, BATTERIES AND AC</t>
  </si>
  <si>
    <t>NFA-2020-RBAC-REGIII-029A</t>
  </si>
  <si>
    <t>RFQ-INTERNET SUBSCRIPTION PR#20-08-0060</t>
  </si>
  <si>
    <t>ITB NO. 015 of 2020</t>
  </si>
  <si>
    <t>UPPER CARMEN ES MOOE FUNDS</t>
  </si>
  <si>
    <t>T-0720-201</t>
  </si>
  <si>
    <t>ITB Brgy101</t>
  </si>
  <si>
    <t xml:space="preserve">RFQ-DVO-PR.NO. 2002281 CAT. 10 COMPUTER EQUIPMENT </t>
  </si>
  <si>
    <t>UPB-BID-2020-07</t>
  </si>
  <si>
    <t>20FC0136</t>
  </si>
  <si>
    <t>PRDP-RPCO3-08-24-2020-62</t>
  </si>
  <si>
    <t>PF-0320-264</t>
  </si>
  <si>
    <t>T-0720-203</t>
  </si>
  <si>
    <t>RFQ No.018-2020</t>
  </si>
  <si>
    <t>BALULANG ES MOOE- SUPPLIES</t>
  </si>
  <si>
    <t>PB-20-447</t>
  </si>
  <si>
    <t>ITB NO. 017 OF 2020</t>
  </si>
  <si>
    <t>101-1011-2020-03-79</t>
  </si>
  <si>
    <t>PMS-BAC_2020 PROCUREMENT OF 100 LICENSES FOR GOOGL</t>
  </si>
  <si>
    <t>0826202001</t>
  </si>
  <si>
    <t>2020-026</t>
  </si>
  <si>
    <t>GOODS 2020-10(PB)</t>
  </si>
  <si>
    <t>RFQ No.042 -2020</t>
  </si>
  <si>
    <t>QM PABAC 030-20</t>
  </si>
  <si>
    <t>PQ# 065-2020 New Tires and Batteries for GSD servi</t>
  </si>
  <si>
    <t>PB-20-448</t>
  </si>
  <si>
    <t>F-0820-208</t>
  </si>
  <si>
    <t>sjom-goods-0020-2020</t>
  </si>
  <si>
    <t>PB-20-427</t>
  </si>
  <si>
    <t>BSU Malvar-Project No. 2020-020</t>
  </si>
  <si>
    <t>sjom-infra-0020-2020</t>
  </si>
  <si>
    <t>PG-20-08-019</t>
  </si>
  <si>
    <t>ITB GOODS 2020 08-58</t>
  </si>
  <si>
    <t>sjom-goods-0021-2020</t>
  </si>
  <si>
    <t>CHO-20-103</t>
  </si>
  <si>
    <t>20O00069</t>
  </si>
  <si>
    <t xml:space="preserve">PROCUREMENT OF SUPPLIES MOOE SUBSIDY FOR KIBURIAO </t>
  </si>
  <si>
    <t>20-08-540</t>
  </si>
  <si>
    <t>PG-20-08-020</t>
  </si>
  <si>
    <t>PB-20-451</t>
  </si>
  <si>
    <t>2020-POBSK-006</t>
  </si>
  <si>
    <t>CAB-2020-008-001</t>
  </si>
  <si>
    <t>PR-2020-8-138</t>
  </si>
  <si>
    <t>PB-20-449</t>
  </si>
  <si>
    <t>082520-B3</t>
  </si>
  <si>
    <t>ORD PABAC 005-06-20</t>
  </si>
  <si>
    <t>2020-08-14</t>
  </si>
  <si>
    <t>PR-2020-8-136</t>
  </si>
  <si>
    <t>GOODS 2020-11(PB)</t>
  </si>
  <si>
    <t>PB-20-450</t>
  </si>
  <si>
    <t>092-GOODS2020-038</t>
  </si>
  <si>
    <t>101-1011-2020-08-225</t>
  </si>
  <si>
    <t>CAB-2020-008-003</t>
  </si>
  <si>
    <t>101-1011-2020-08-226</t>
  </si>
  <si>
    <t>sjom-infra-0022-2020</t>
  </si>
  <si>
    <t>SC 2020-08-02</t>
  </si>
  <si>
    <t>SH-029-2020</t>
  </si>
  <si>
    <t>RFQ No.045 -2020</t>
  </si>
  <si>
    <t>ORD PABAC 007-06-20</t>
  </si>
  <si>
    <t>20200825B</t>
  </si>
  <si>
    <t>PB-20-469</t>
  </si>
  <si>
    <t>PR-2020-8-139</t>
  </si>
  <si>
    <t>2020-POBSK-007</t>
  </si>
  <si>
    <t>RFQ-HARDWARE &amp; CONSTRUCTION SUPPLY-BATANGAS PR#20-</t>
  </si>
  <si>
    <t>092-GOODS2020-039</t>
  </si>
  <si>
    <t>PB-20-467</t>
  </si>
  <si>
    <t>101-1011-2020-08-209</t>
  </si>
  <si>
    <t>20-08-388</t>
  </si>
  <si>
    <t>8252020-3</t>
  </si>
  <si>
    <t>20O00025</t>
  </si>
  <si>
    <t>PR#20-547</t>
  </si>
  <si>
    <t>GOODS 2020-12(PB)</t>
  </si>
  <si>
    <t>sjom-infra-0023-2020</t>
  </si>
  <si>
    <t>TCMO 20-290</t>
  </si>
  <si>
    <t>260820-11-20</t>
  </si>
  <si>
    <t>PB 003-08-2020</t>
  </si>
  <si>
    <t>sjom-goods-0022-2020</t>
  </si>
  <si>
    <t>NICTC-0820-056</t>
  </si>
  <si>
    <t>RFQ 2020-08-027</t>
  </si>
  <si>
    <t>63829</t>
  </si>
  <si>
    <t>PB 002-08-2020</t>
  </si>
  <si>
    <t>ITB No. PB20-08-009ANG</t>
  </si>
  <si>
    <t>20-08-389</t>
  </si>
  <si>
    <t>2020-08-024</t>
  </si>
  <si>
    <t>2020-INFRA-001</t>
  </si>
  <si>
    <t>PR RTC 086-20</t>
  </si>
  <si>
    <t>2020- 8 -26</t>
  </si>
  <si>
    <t>3nin2020</t>
  </si>
  <si>
    <t>IGACOS-CAM-01</t>
  </si>
  <si>
    <t>20GAA0148</t>
  </si>
  <si>
    <t>doc1</t>
  </si>
  <si>
    <t>20-GDO-0004</t>
  </si>
  <si>
    <t>2020-08-442</t>
  </si>
  <si>
    <t>DELOS-2020-008-02</t>
  </si>
  <si>
    <t>BASC2020-08-058</t>
  </si>
  <si>
    <t>ITB GOODS 2020-08-59</t>
  </si>
  <si>
    <t>PB-20-471</t>
  </si>
  <si>
    <t>20-08-390</t>
  </si>
  <si>
    <t>20GAA0171</t>
  </si>
  <si>
    <t>PR20-MOC-2528AUGRFQ001</t>
  </si>
  <si>
    <t>PB-20-468</t>
  </si>
  <si>
    <t>KAL-CAN 2020 -01</t>
  </si>
  <si>
    <t>2020-POBSK-008</t>
  </si>
  <si>
    <t>202008250001</t>
  </si>
  <si>
    <t>2020-08-453</t>
  </si>
  <si>
    <t>20GAA0150</t>
  </si>
  <si>
    <t>2020-08-456</t>
  </si>
  <si>
    <t>20-GDO-0006</t>
  </si>
  <si>
    <t>7959</t>
  </si>
  <si>
    <t>20GAA0149</t>
  </si>
  <si>
    <t>48927</t>
  </si>
  <si>
    <t>GTLMH-20-149</t>
  </si>
  <si>
    <t>20GM00193</t>
  </si>
  <si>
    <t>ITB NO. 2020-06-2559A</t>
  </si>
  <si>
    <t>INFRA 2020-49</t>
  </si>
  <si>
    <t>20GAA0151</t>
  </si>
  <si>
    <t>20GM00192</t>
  </si>
  <si>
    <t>ITB 2020-04 Procurement of ICT Equipment for Quali</t>
  </si>
  <si>
    <t>2020-POBSK-009</t>
  </si>
  <si>
    <t>20GM00191</t>
  </si>
  <si>
    <t>20GM00190</t>
  </si>
  <si>
    <t>20-GDO-0005</t>
  </si>
  <si>
    <t>20GM00189</t>
  </si>
  <si>
    <t>NFA-RBACXII-2020-H-072</t>
  </si>
  <si>
    <t>ITB NO. 2020-06-2550A</t>
  </si>
  <si>
    <t>202008250002</t>
  </si>
  <si>
    <t>ITB NO. 2020-06-2558A</t>
  </si>
  <si>
    <t>20GAA0177</t>
  </si>
  <si>
    <t>MAFAR-08-227-2020</t>
  </si>
  <si>
    <t>20GAA0176</t>
  </si>
  <si>
    <t>MAFAR-08-226-2020</t>
  </si>
  <si>
    <t>CENRO 20-019</t>
  </si>
  <si>
    <t>DELOS-2020-008-03</t>
  </si>
  <si>
    <t>20-PR-156</t>
  </si>
  <si>
    <t>74929</t>
  </si>
  <si>
    <t>20-08-131</t>
  </si>
  <si>
    <t>MAFAR-08-228-2020</t>
  </si>
  <si>
    <t>20207297</t>
  </si>
  <si>
    <t>8252020-2</t>
  </si>
  <si>
    <t>20GM00194</t>
  </si>
  <si>
    <t>GTLMH-TF-20-007 M</t>
  </si>
  <si>
    <t>GOODS 2020-13(PB)</t>
  </si>
  <si>
    <t>202007296</t>
  </si>
  <si>
    <t>MAFAR-08-233-2020</t>
  </si>
  <si>
    <t>ITB GOODS 2020-08-61</t>
  </si>
  <si>
    <t>MAFAR-08-231-2020</t>
  </si>
  <si>
    <t>MAFAR-08-229-2020</t>
  </si>
  <si>
    <t>MAFAR-08-230-2020</t>
  </si>
  <si>
    <t>ITB NO. 2020-06-2556A</t>
  </si>
  <si>
    <t>MAFAR-08-232-2020</t>
  </si>
  <si>
    <t>SKC-002-08-20</t>
  </si>
  <si>
    <t>202008250003</t>
  </si>
  <si>
    <t>LB-2020 DF-04</t>
  </si>
  <si>
    <t>ITB NO. 2020-06-2555A</t>
  </si>
  <si>
    <t>LB-SB-2020a</t>
  </si>
  <si>
    <t>LB-2020 DF-06</t>
  </si>
  <si>
    <t>ITB GOODS 2020-08-60</t>
  </si>
  <si>
    <t>MAFAR-08-242-2020</t>
  </si>
  <si>
    <t>UPLB-S-057-09-20</t>
  </si>
  <si>
    <t>Supply of Materials for the Fabrication of Signage</t>
  </si>
  <si>
    <t>SF-08-01</t>
  </si>
  <si>
    <t>MAFAR-08-243-2020</t>
  </si>
  <si>
    <t>MAFAR-08-238-2020</t>
  </si>
  <si>
    <t>202007298</t>
  </si>
  <si>
    <t>MAFAR-08-237-2020</t>
  </si>
  <si>
    <t>MAFAR-08-241-2020</t>
  </si>
  <si>
    <t>MAFAR-08-240-2020</t>
  </si>
  <si>
    <t>MAFAR-08-244-2020</t>
  </si>
  <si>
    <t>MAFAR-08-247-2020</t>
  </si>
  <si>
    <t>MAFAR-08-236-2020</t>
  </si>
  <si>
    <t>MAFAR-08-246-2020</t>
  </si>
  <si>
    <t>MAFAR-08-245-2020</t>
  </si>
  <si>
    <t>LB-2020 DF-05</t>
  </si>
  <si>
    <t>MAFAR-08-239-2020</t>
  </si>
  <si>
    <t>ITB GOODS 2020-08-62</t>
  </si>
  <si>
    <t>MAFAR-08-234-2020</t>
  </si>
  <si>
    <t>PR#20-546</t>
  </si>
  <si>
    <t>PB-20-470</t>
  </si>
  <si>
    <t>8252020-1</t>
  </si>
  <si>
    <t>021-2020 Improvement of Hand Washing Facility</t>
  </si>
  <si>
    <t>SH-032-2020</t>
  </si>
  <si>
    <t>PB-20-453</t>
  </si>
  <si>
    <t>MAFAR-08-235-2020</t>
  </si>
  <si>
    <t>SC 2020-08-04</t>
  </si>
  <si>
    <t>20O00068</t>
  </si>
  <si>
    <t>SH-030-2020</t>
  </si>
  <si>
    <t>LB-2020-MSWMO</t>
  </si>
  <si>
    <t>LB-2020-INFRA</t>
  </si>
  <si>
    <t>PB-20-452</t>
  </si>
  <si>
    <t>ORD PABAC 006-06-20</t>
  </si>
  <si>
    <t>sjom-infra-0021-2020</t>
  </si>
  <si>
    <t>dpwh-c2-deo 20GSHE0001</t>
  </si>
  <si>
    <t>SQ 2020-08-01</t>
  </si>
  <si>
    <t>2019-10-785</t>
  </si>
  <si>
    <t>goods 216A-2020</t>
  </si>
  <si>
    <t>101-20-08-194</t>
  </si>
  <si>
    <t>Sip-2020-120</t>
  </si>
  <si>
    <t>100-20-07-186</t>
  </si>
  <si>
    <t>0073-20</t>
  </si>
  <si>
    <t>Lab LESD</t>
  </si>
  <si>
    <t>2020-06-356-SB</t>
  </si>
  <si>
    <t>M-20-016</t>
  </si>
  <si>
    <t>B2 PEO 300-20-08-10030</t>
  </si>
  <si>
    <t>0313-2020</t>
  </si>
  <si>
    <t>PG-0007-20</t>
  </si>
  <si>
    <t>PR 168-2020</t>
  </si>
  <si>
    <t>100-20-08-0195</t>
  </si>
  <si>
    <t>021</t>
  </si>
  <si>
    <t>blgualuyon-2019</t>
  </si>
  <si>
    <t>ITB 20-167b</t>
  </si>
  <si>
    <t>ATI2020-08-289</t>
  </si>
  <si>
    <t>08242020-3</t>
  </si>
  <si>
    <t>PR 337-020</t>
  </si>
  <si>
    <t>PANG-2020-1077</t>
  </si>
  <si>
    <t>RFQ No. 1172-20</t>
  </si>
  <si>
    <t>2020-08-0013</t>
  </si>
  <si>
    <t>2020-08-393-RFQ</t>
  </si>
  <si>
    <t>0020-0279-1299-2020</t>
  </si>
  <si>
    <t>2020-08-392-RFQ</t>
  </si>
  <si>
    <t>08242020-1</t>
  </si>
  <si>
    <t>20-06-434</t>
  </si>
  <si>
    <t>100-08-10-20-105</t>
  </si>
  <si>
    <t>SS-1493-20</t>
  </si>
  <si>
    <t>SS-1494-20</t>
  </si>
  <si>
    <t>2020-037</t>
  </si>
  <si>
    <t>NF 2007-0296</t>
  </si>
  <si>
    <t>2020-G-141</t>
  </si>
  <si>
    <t>2020-08-096(07308603)</t>
  </si>
  <si>
    <t>BOCPOI-RFQ-2020-08-033</t>
  </si>
  <si>
    <t>00187-2020</t>
  </si>
  <si>
    <t>B2 PEO 300-20-08-10034</t>
  </si>
  <si>
    <t>goods 217A-2020</t>
  </si>
  <si>
    <t>0020-0314-1422C2020</t>
  </si>
  <si>
    <t>QN2020-09-073D</t>
  </si>
  <si>
    <t>0292-20</t>
  </si>
  <si>
    <t>RFQ No. 1171-20</t>
  </si>
  <si>
    <t>nego3</t>
  </si>
  <si>
    <t>105TH-14215-2020</t>
  </si>
  <si>
    <t>2020-8-7066</t>
  </si>
  <si>
    <t>20OF0335</t>
  </si>
  <si>
    <t>00010374</t>
  </si>
  <si>
    <t>Sip-2020-121</t>
  </si>
  <si>
    <t>2020-08-24-04</t>
  </si>
  <si>
    <t>20-07-00462</t>
  </si>
  <si>
    <t>2020-08-416-38</t>
  </si>
  <si>
    <t>DM-BAC-2020-0080</t>
  </si>
  <si>
    <t>ITB NO. 20-0004</t>
  </si>
  <si>
    <t>NS-08-25-20-04</t>
  </si>
  <si>
    <t>2020-0246</t>
  </si>
  <si>
    <t>mnto 20 0020</t>
  </si>
  <si>
    <t>RFQ No. 1169-20</t>
  </si>
  <si>
    <t>100-20-08-221</t>
  </si>
  <si>
    <t>08242020-4</t>
  </si>
  <si>
    <t>2020-8-7068</t>
  </si>
  <si>
    <t>RFQ No. 1168-20</t>
  </si>
  <si>
    <t>137</t>
  </si>
  <si>
    <t>ITB 20-168a</t>
  </si>
  <si>
    <t>ITB NO.20-00005</t>
  </si>
  <si>
    <t>PRDP-IR-R04B-MAR-002-000-000-2015</t>
  </si>
  <si>
    <t>BACGbtn-Q-2008-1018</t>
  </si>
  <si>
    <t>DAR-2020-16</t>
  </si>
  <si>
    <t>S 74-2020</t>
  </si>
  <si>
    <t>S 75-2020</t>
  </si>
  <si>
    <t>DOH-MMCHD 2020-08-275-G</t>
  </si>
  <si>
    <t>136</t>
  </si>
  <si>
    <t>2020-61</t>
  </si>
  <si>
    <t>SVP-2020-08-195</t>
  </si>
  <si>
    <t>SGLU-N-2020-08-018</t>
  </si>
  <si>
    <t>RFQ-Goods-146-2020</t>
  </si>
  <si>
    <t>100-20-08-215</t>
  </si>
  <si>
    <t>2020-23</t>
  </si>
  <si>
    <t>20-08-679</t>
  </si>
  <si>
    <t>29-Goods-2020</t>
  </si>
  <si>
    <t>DA 8 SVP Goods 2020-08-0127 (Rice 20-08-20-1055)</t>
  </si>
  <si>
    <t>RFQ No. 1167-20</t>
  </si>
  <si>
    <t>SS-1504-20</t>
  </si>
  <si>
    <t>RFQ-2020-036 JHS</t>
  </si>
  <si>
    <t>Goods-2020-210</t>
  </si>
  <si>
    <t>2020-08-Cantibas</t>
  </si>
  <si>
    <t>RFQ No. 1165-20</t>
  </si>
  <si>
    <t>2020 INFRA - 09</t>
  </si>
  <si>
    <t>2020-08-289</t>
  </si>
  <si>
    <t>08242020C</t>
  </si>
  <si>
    <t>08242020B</t>
  </si>
  <si>
    <t>100-20-08-0051</t>
  </si>
  <si>
    <t>2020-08-514</t>
  </si>
  <si>
    <t>003-09-2020</t>
  </si>
  <si>
    <t>nego4</t>
  </si>
  <si>
    <t>2020-G-83</t>
  </si>
  <si>
    <t>2020-117</t>
  </si>
  <si>
    <t>Sip-2020-122</t>
  </si>
  <si>
    <t>SVP 1296-2020</t>
  </si>
  <si>
    <t>UPR No TRADOC-OG4-MO3-T156-2020</t>
  </si>
  <si>
    <t>SVP2020-44</t>
  </si>
  <si>
    <t>0018-0013-1358-2020</t>
  </si>
  <si>
    <t>NS-08-25-20-05</t>
  </si>
  <si>
    <t>2020 Ma. Caridad</t>
  </si>
  <si>
    <t>2020-08-134</t>
  </si>
  <si>
    <t>00010399</t>
  </si>
  <si>
    <t>20200824-027</t>
  </si>
  <si>
    <t>2020infra-08-001</t>
  </si>
  <si>
    <t>ITB 20-168b</t>
  </si>
  <si>
    <t>047</t>
  </si>
  <si>
    <t>0314-2020</t>
  </si>
  <si>
    <t>2020-08-24a</t>
  </si>
  <si>
    <t>2020-08-417-39</t>
  </si>
  <si>
    <t>CGIASTP0820-004</t>
  </si>
  <si>
    <t>2020-08-092</t>
  </si>
  <si>
    <t>GS-GF-2020-0385</t>
  </si>
  <si>
    <t>2020-118</t>
  </si>
  <si>
    <t>28</t>
  </si>
  <si>
    <t>NF 2008-0334</t>
  </si>
  <si>
    <t>HILONGOS 2020-254</t>
  </si>
  <si>
    <t>2020-INFRA-23C</t>
  </si>
  <si>
    <t>2020-003 (Brgy. Kauswagan)</t>
  </si>
  <si>
    <t>SVP-2020-08-196</t>
  </si>
  <si>
    <t>08282020-130</t>
  </si>
  <si>
    <t>DA3-2020-08-17-393</t>
  </si>
  <si>
    <t>GS-GF-2020-0384</t>
  </si>
  <si>
    <t>nego5</t>
  </si>
  <si>
    <t>100-20-08-0192</t>
  </si>
  <si>
    <t>2020-08-135</t>
  </si>
  <si>
    <t>2020-62</t>
  </si>
  <si>
    <t>BAC-P2020-08-01</t>
  </si>
  <si>
    <t>DOH-MMCHD 2020-08-276-G</t>
  </si>
  <si>
    <t>2020-08-136</t>
  </si>
  <si>
    <t>2020-07-2930</t>
  </si>
  <si>
    <t>100-20-08-0187</t>
  </si>
  <si>
    <t>2020-824-2</t>
  </si>
  <si>
    <t>825</t>
  </si>
  <si>
    <t>1823-20BAC</t>
  </si>
  <si>
    <t>POCW-09-2020</t>
  </si>
  <si>
    <t>401-2020-08-0475</t>
  </si>
  <si>
    <t>00010396</t>
  </si>
  <si>
    <t>LGUBTA 20-094</t>
  </si>
  <si>
    <t>INFR-20-025</t>
  </si>
  <si>
    <t>2020-08-396-RFQ</t>
  </si>
  <si>
    <t>UPR No TRADOC-OG4-MO3-T150-2020</t>
  </si>
  <si>
    <t>2020-08-137</t>
  </si>
  <si>
    <t>LGUBTA 20-095</t>
  </si>
  <si>
    <t>DA7-08-20-STO-20-3094</t>
  </si>
  <si>
    <t>RFQ NO. 2020-0372</t>
  </si>
  <si>
    <t>PROJECT ID NO. G-2020-005</t>
  </si>
  <si>
    <t>20-08-801</t>
  </si>
  <si>
    <t>29</t>
  </si>
  <si>
    <t>GOODS 2020-277(SVP)</t>
  </si>
  <si>
    <t>SVP2020-45</t>
  </si>
  <si>
    <t>2020-07-001</t>
  </si>
  <si>
    <t>2020_005_JHS</t>
  </si>
  <si>
    <t>RFQ No. 2020-042</t>
  </si>
  <si>
    <t>DA7-08-GASS-H-20-3056</t>
  </si>
  <si>
    <t>RFQ-2020-037 JHS</t>
  </si>
  <si>
    <t>2020-08-382</t>
  </si>
  <si>
    <t>0330-20</t>
  </si>
  <si>
    <t>2020-08-027</t>
  </si>
  <si>
    <t>2020-824-3</t>
  </si>
  <si>
    <t>2020-08-635</t>
  </si>
  <si>
    <t>2020-0824-0014</t>
  </si>
  <si>
    <t>MOB-BAC-2020-08-028-INFRA</t>
  </si>
  <si>
    <t>La Paz 2020-007</t>
  </si>
  <si>
    <t>RFQ No. 2020 TFB-5</t>
  </si>
  <si>
    <t>2020goods-08-002</t>
  </si>
  <si>
    <t>048</t>
  </si>
  <si>
    <t>0334-20</t>
  </si>
  <si>
    <t>DA 8 SVP Goods 2020-08-0128 (FMR 20-08-19-0051)</t>
  </si>
  <si>
    <t>DDOP-20-C0782</t>
  </si>
  <si>
    <t>BP-082420-037</t>
  </si>
  <si>
    <t>RFQ 2020-08-01</t>
  </si>
  <si>
    <t>PR # 20-08-264</t>
  </si>
  <si>
    <t>mnto 20 0021</t>
  </si>
  <si>
    <t>SVP-2020-09-197</t>
  </si>
  <si>
    <t>PR NO. 20200832</t>
  </si>
  <si>
    <t>SVP 300-2020</t>
  </si>
  <si>
    <t>2020goods-08-001</t>
  </si>
  <si>
    <t>2020-08-Luca</t>
  </si>
  <si>
    <t>SVP 1301-2020</t>
  </si>
  <si>
    <t>MEO-2020-08-24-001</t>
  </si>
  <si>
    <t>2020-001 (BARANGAY BULAWON)</t>
  </si>
  <si>
    <t>0308-20</t>
  </si>
  <si>
    <t>Sip-2020-124</t>
  </si>
  <si>
    <t>1641-20BAC</t>
  </si>
  <si>
    <t>POCW-10-2020</t>
  </si>
  <si>
    <t>BAC-PG-00207-20</t>
  </si>
  <si>
    <t>GO-13(ReAd)</t>
  </si>
  <si>
    <t>2020-08-106</t>
  </si>
  <si>
    <t>cgb2020-337</t>
  </si>
  <si>
    <t>20-08-488</t>
  </si>
  <si>
    <t>2020 Caib 160</t>
  </si>
  <si>
    <t>RFQ 2020-027</t>
  </si>
  <si>
    <t>BAC 2020-G-08-011</t>
  </si>
  <si>
    <t>nego6</t>
  </si>
  <si>
    <t>DepEd-SJDMCS-G-S-011-2020</t>
  </si>
  <si>
    <t>Sip-2020-123</t>
  </si>
  <si>
    <t>2020-082402</t>
  </si>
  <si>
    <t>RFQ 2020-0052</t>
  </si>
  <si>
    <t>POG-11-2020</t>
  </si>
  <si>
    <t>2020-08-24-204</t>
  </si>
  <si>
    <t>Goods-2020-211</t>
  </si>
  <si>
    <t>100(01)20-05-022(AA)</t>
  </si>
  <si>
    <t>2020-082401</t>
  </si>
  <si>
    <t>2020-08-399-RFQ</t>
  </si>
  <si>
    <t>nego7</t>
  </si>
  <si>
    <t>SFNHS-2020-08-006</t>
  </si>
  <si>
    <t>2020-824-4</t>
  </si>
  <si>
    <t>BP-082420-038</t>
  </si>
  <si>
    <t>2020-08-060</t>
  </si>
  <si>
    <t>2020_004_SHS</t>
  </si>
  <si>
    <t>PB-02-2020</t>
  </si>
  <si>
    <t>2020-0122</t>
  </si>
  <si>
    <t>100-20-06-801</t>
  </si>
  <si>
    <t>08282020-131</t>
  </si>
  <si>
    <t>infra2020016</t>
  </si>
  <si>
    <t>20-251</t>
  </si>
  <si>
    <t>00010395</t>
  </si>
  <si>
    <t>SVP 1246-2020</t>
  </si>
  <si>
    <t>2020-082404</t>
  </si>
  <si>
    <t>DA3-2020-08-18-139</t>
  </si>
  <si>
    <t>2020-082403</t>
  </si>
  <si>
    <t>100-20-08-0513b</t>
  </si>
  <si>
    <t>DDOP-20-5492</t>
  </si>
  <si>
    <t>105TH-13782-HOSP-2020</t>
  </si>
  <si>
    <t>PANG-2020-1078</t>
  </si>
  <si>
    <t>RSPQ NO. 2020-03-023</t>
  </si>
  <si>
    <t>ITD 20-02-144</t>
  </si>
  <si>
    <t>2020-08-418-40</t>
  </si>
  <si>
    <t>IB-2020-63</t>
  </si>
  <si>
    <t>BAC 2020-I04</t>
  </si>
  <si>
    <t>SVP2020-46</t>
  </si>
  <si>
    <t>2020-08-181</t>
  </si>
  <si>
    <t>2020-271</t>
  </si>
  <si>
    <t>30</t>
  </si>
  <si>
    <t>RFQ-Goods-147-2020</t>
  </si>
  <si>
    <t>NAA1-2020-010</t>
  </si>
  <si>
    <t>RFQ-GS-20200720-06</t>
  </si>
  <si>
    <t>2020-037-SVP</t>
  </si>
  <si>
    <t>2020-G1-017</t>
  </si>
  <si>
    <t>5154899</t>
  </si>
  <si>
    <t>RFQ 2020-146</t>
  </si>
  <si>
    <t>07012007</t>
  </si>
  <si>
    <t>2020-082405</t>
  </si>
  <si>
    <t>0600-20</t>
  </si>
  <si>
    <t>2020-08-062</t>
  </si>
  <si>
    <t>2020-0824002</t>
  </si>
  <si>
    <t>MinSCAT RFQ 2020-58</t>
  </si>
  <si>
    <t>20GBI024</t>
  </si>
  <si>
    <t>J-2020</t>
  </si>
  <si>
    <t>NP 558-2020</t>
  </si>
  <si>
    <t>63-2020</t>
  </si>
  <si>
    <t>SVP2020-47</t>
  </si>
  <si>
    <t>2020-08-178</t>
  </si>
  <si>
    <t>16570628</t>
  </si>
  <si>
    <t>40-2020</t>
  </si>
  <si>
    <t>0598-20</t>
  </si>
  <si>
    <t>20GBI025</t>
  </si>
  <si>
    <t>0548</t>
  </si>
  <si>
    <t>20-08-189</t>
  </si>
  <si>
    <t>BAC-AS-2020-08-030</t>
  </si>
  <si>
    <t>RFQ 2020-093</t>
  </si>
  <si>
    <t>NF 2008-0319</t>
  </si>
  <si>
    <t>RFQ-2020-08-173</t>
  </si>
  <si>
    <t>GS RX-2020-006</t>
  </si>
  <si>
    <t>2020-082406</t>
  </si>
  <si>
    <t>SVP2020-48</t>
  </si>
  <si>
    <t>bes117068-2020-001</t>
  </si>
  <si>
    <t>2020-011-GD-RFQ-006</t>
  </si>
  <si>
    <t>2020-07-597</t>
  </si>
  <si>
    <t>DENR N.Ecija-2020-058</t>
  </si>
  <si>
    <t>SEC PB No. 2020-022</t>
  </si>
  <si>
    <t>20-08-190</t>
  </si>
  <si>
    <t>2020-08-290</t>
  </si>
  <si>
    <t>2020-08-631</t>
  </si>
  <si>
    <t>0596-20</t>
  </si>
  <si>
    <t>000010405</t>
  </si>
  <si>
    <t>NP 560-2020</t>
  </si>
  <si>
    <t>2020-082407</t>
  </si>
  <si>
    <t>2020-A-08-159</t>
  </si>
  <si>
    <t>RFQ # 2020-08-20214</t>
  </si>
  <si>
    <t>2020-08-383</t>
  </si>
  <si>
    <t>PR#20-08-0516</t>
  </si>
  <si>
    <t>2020-082408</t>
  </si>
  <si>
    <t>0601-20</t>
  </si>
  <si>
    <t>2020-08-0093</t>
  </si>
  <si>
    <t>SCM 0824-01-2020</t>
  </si>
  <si>
    <t>051</t>
  </si>
  <si>
    <t>0549</t>
  </si>
  <si>
    <t>mnto 20 0022</t>
  </si>
  <si>
    <t>GOODS-2020-NPSVP-035</t>
  </si>
  <si>
    <t>082420-H01</t>
  </si>
  <si>
    <t>45542</t>
  </si>
  <si>
    <t>00010404</t>
  </si>
  <si>
    <t>RFQ-2020-45</t>
  </si>
  <si>
    <t>TFW-2020-08-020R</t>
  </si>
  <si>
    <t>00019</t>
  </si>
  <si>
    <t>2020-02-0095, 2020-02-0096, 2020-02-0200, 2020-02-</t>
  </si>
  <si>
    <t>100-20-08-0511b</t>
  </si>
  <si>
    <t>IB-2020-64</t>
  </si>
  <si>
    <t>S2-VMT20-006</t>
  </si>
  <si>
    <t>S2-VMT20-008</t>
  </si>
  <si>
    <t>RFQ-2020-08-174</t>
  </si>
  <si>
    <t>2020-07-424</t>
  </si>
  <si>
    <t>UPM CAD2020-24</t>
  </si>
  <si>
    <t>20-08-004</t>
  </si>
  <si>
    <t>2020-240</t>
  </si>
  <si>
    <t>RFQ 2020-002</t>
  </si>
  <si>
    <t>DA3-2020-08-17-392</t>
  </si>
  <si>
    <t>INFRA 2020-08-001</t>
  </si>
  <si>
    <t>2020-082409</t>
  </si>
  <si>
    <t>00010353</t>
  </si>
  <si>
    <t>1267152020</t>
  </si>
  <si>
    <t>DOH-MMCHD 2020-08-277-G</t>
  </si>
  <si>
    <t>2020-08-016</t>
  </si>
  <si>
    <t>10</t>
  </si>
  <si>
    <t>20-08-192</t>
  </si>
  <si>
    <t>2020bid001</t>
  </si>
  <si>
    <t>101-2020-08-0474</t>
  </si>
  <si>
    <t>2020-CW-057</t>
  </si>
  <si>
    <t>2020-243</t>
  </si>
  <si>
    <t>NP 561-2020</t>
  </si>
  <si>
    <t>2020-082411</t>
  </si>
  <si>
    <t>2020-242</t>
  </si>
  <si>
    <t>GOODS 2020-08-001</t>
  </si>
  <si>
    <t>2020-082410</t>
  </si>
  <si>
    <t>0820012</t>
  </si>
  <si>
    <t>2020-107</t>
  </si>
  <si>
    <t>101-2020-07-0372</t>
  </si>
  <si>
    <t>Civil Works 01</t>
  </si>
  <si>
    <t>S 61-2020</t>
  </si>
  <si>
    <t>00010385</t>
  </si>
  <si>
    <t>INFRA 2020-08-002</t>
  </si>
  <si>
    <t>SVP 1303-2020</t>
  </si>
  <si>
    <t>2020-08-085</t>
  </si>
  <si>
    <t>Barangay Bantigue 2020 - 05</t>
  </si>
  <si>
    <t>PR-2020-2022</t>
  </si>
  <si>
    <t>2020-245</t>
  </si>
  <si>
    <t>GSO-20-08-0383</t>
  </si>
  <si>
    <t>INFRA 2020-08-005</t>
  </si>
  <si>
    <t>PR-2020-2327</t>
  </si>
  <si>
    <t>DOH-MMCHD 2020-08-278-G</t>
  </si>
  <si>
    <t>pr# 2020-08-202</t>
  </si>
  <si>
    <t>INFRA 2020-08-004</t>
  </si>
  <si>
    <t>2020-241</t>
  </si>
  <si>
    <t>GSO-20-08-0382</t>
  </si>
  <si>
    <t>RFQ – 2020 – 023</t>
  </si>
  <si>
    <t>PANG-2020-1079</t>
  </si>
  <si>
    <t>Goods 2020-47</t>
  </si>
  <si>
    <t>BR-066-20</t>
  </si>
  <si>
    <t>2020-244</t>
  </si>
  <si>
    <t>RFQ-2020-260</t>
  </si>
  <si>
    <t>PR-2020-2275</t>
  </si>
  <si>
    <t>GOODS-PROJECT REF. NO. 49-2020-AUG</t>
  </si>
  <si>
    <t>2020-01-0029, 2020-02-0178, 2020-02-0168, 2020-02-</t>
  </si>
  <si>
    <t>GSO-20-08-0384</t>
  </si>
  <si>
    <t>PBI-2020-50</t>
  </si>
  <si>
    <t>NFWM-20-07-122</t>
  </si>
  <si>
    <t>S 56-2020</t>
  </si>
  <si>
    <t>S 55-2020</t>
  </si>
  <si>
    <t>2020-247</t>
  </si>
  <si>
    <t>2020-246</t>
  </si>
  <si>
    <t>SAR-GOODS-08-055-2020</t>
  </si>
  <si>
    <t>2020-248</t>
  </si>
  <si>
    <t>PANG-2020-1082</t>
  </si>
  <si>
    <t>DAVOR-G-2020-22</t>
  </si>
  <si>
    <t>S 89-2020</t>
  </si>
  <si>
    <t>20-07SF</t>
  </si>
  <si>
    <t>200866</t>
  </si>
  <si>
    <t>GOODS 2020-278(SVP)</t>
  </si>
  <si>
    <t>PANG-2020-1081</t>
  </si>
  <si>
    <t>2020-06-0593, 2020-06-0563, 2020-05-0507, 2020-05-</t>
  </si>
  <si>
    <t>INFRA 2020-08-006</t>
  </si>
  <si>
    <t>GSO-20-08-0385</t>
  </si>
  <si>
    <t>UCNHS-2020-08-01</t>
  </si>
  <si>
    <t>2020-08-004SHS</t>
  </si>
  <si>
    <t>100-20-08-216</t>
  </si>
  <si>
    <t>S 90-2020</t>
  </si>
  <si>
    <t>PANG-2020-1083</t>
  </si>
  <si>
    <t>DOH-MMCHD 2020-08-280-G</t>
  </si>
  <si>
    <t>2020-249</t>
  </si>
  <si>
    <t>2020-250</t>
  </si>
  <si>
    <t>2020-125</t>
  </si>
  <si>
    <t>2020-0109-034</t>
  </si>
  <si>
    <t>GSO-20-08-0386</t>
  </si>
  <si>
    <t>NOFWM-20-04-032</t>
  </si>
  <si>
    <t>PR No. 100-20-08-235</t>
  </si>
  <si>
    <t>PR-2020-2071</t>
  </si>
  <si>
    <t>020-008-002</t>
  </si>
  <si>
    <t>2020-77</t>
  </si>
  <si>
    <t>2020-GOODS-NP-91</t>
  </si>
  <si>
    <t>100-20-08-1019</t>
  </si>
  <si>
    <t>DOH-MMCHD 2020-08-281-G</t>
  </si>
  <si>
    <t>PR#20-07-0432</t>
  </si>
  <si>
    <t>2020-30</t>
  </si>
  <si>
    <t>20-08-03</t>
  </si>
  <si>
    <t>08-0071-20</t>
  </si>
  <si>
    <t>NOFWM-20-04-033</t>
  </si>
  <si>
    <t>PR2020-08-0067</t>
  </si>
  <si>
    <t>100-20-08-1021</t>
  </si>
  <si>
    <t>BAC-2020-546</t>
  </si>
  <si>
    <t>S 91-2020</t>
  </si>
  <si>
    <t>PANG-2020-1084</t>
  </si>
  <si>
    <t>ITB-2020-054</t>
  </si>
  <si>
    <t>BFAR5BAC-2020-155</t>
  </si>
  <si>
    <t>S 104-2020</t>
  </si>
  <si>
    <t>107-2020</t>
  </si>
  <si>
    <t>111-2020</t>
  </si>
  <si>
    <t>DOH-MMCHD 2020-08-282-G</t>
  </si>
  <si>
    <t>LGUPROC 2020 -199N</t>
  </si>
  <si>
    <t>0020-0314-1422-2020</t>
  </si>
  <si>
    <t>SHO-09-08-2020-Goods</t>
  </si>
  <si>
    <t>2020-127</t>
  </si>
  <si>
    <t>100820</t>
  </si>
  <si>
    <t>100-20-06-220</t>
  </si>
  <si>
    <t>2020-251</t>
  </si>
  <si>
    <t>ITB 20-100</t>
  </si>
  <si>
    <t>2020-07-448</t>
  </si>
  <si>
    <t>20-08-995</t>
  </si>
  <si>
    <t>WGS-20-023</t>
  </si>
  <si>
    <t>RFQ-2020-0046</t>
  </si>
  <si>
    <t>2020-08-</t>
  </si>
  <si>
    <t>RFQ 2020-339</t>
  </si>
  <si>
    <t>DOH-MMCHD 2020-08-279-G</t>
  </si>
  <si>
    <t>20-CRG-20-08-1303</t>
  </si>
  <si>
    <t>2020-08-1164</t>
  </si>
  <si>
    <t>08-0096-20</t>
  </si>
  <si>
    <t>HILONGOS 2020-255</t>
  </si>
  <si>
    <t>GOODS 2020-279(SVP)</t>
  </si>
  <si>
    <t>LGUPROC 2020 - 200N</t>
  </si>
  <si>
    <t>ITB 20-101</t>
  </si>
  <si>
    <t>RFQ-NP-SVP-re362-2020</t>
  </si>
  <si>
    <t>RFQ NO. 20-08-485</t>
  </si>
  <si>
    <t>20081011</t>
  </si>
  <si>
    <t>PB -2020-0001-08</t>
  </si>
  <si>
    <t>110-2020</t>
  </si>
  <si>
    <t>2020-08-1977</t>
  </si>
  <si>
    <t>029-ECE20</t>
  </si>
  <si>
    <t>8-24-20</t>
  </si>
  <si>
    <t>100-20-07-188</t>
  </si>
  <si>
    <t>2020-08-0382</t>
  </si>
  <si>
    <t>S2-VMT20-005</t>
  </si>
  <si>
    <t>BAC-2020-550</t>
  </si>
  <si>
    <t>20-012</t>
  </si>
  <si>
    <t>0020-0314-1422A2020</t>
  </si>
  <si>
    <t>BFAR5BAC-2020-156</t>
  </si>
  <si>
    <t>082420-B1</t>
  </si>
  <si>
    <t>BAC-2020-536</t>
  </si>
  <si>
    <t>WES 20 - 021</t>
  </si>
  <si>
    <t>PANG-2020-1085</t>
  </si>
  <si>
    <t>2020-78</t>
  </si>
  <si>
    <t>2020-08-419-41</t>
  </si>
  <si>
    <t>082420-B2</t>
  </si>
  <si>
    <t>20-0830-4421-1</t>
  </si>
  <si>
    <t>CONTRACT ID: 20-08 - 115</t>
  </si>
  <si>
    <t>LGUPROC 2020 - 201N</t>
  </si>
  <si>
    <t>RFQ-2020-08-1031</t>
  </si>
  <si>
    <t>WGS 20 - 022</t>
  </si>
  <si>
    <t>20-20-08-245</t>
  </si>
  <si>
    <t>GF-20-040</t>
  </si>
  <si>
    <t>LGU-213-2020</t>
  </si>
  <si>
    <t>pr 2020-08-25</t>
  </si>
  <si>
    <t>PR No. 2020-08-256</t>
  </si>
  <si>
    <t>Quotation No.20-08-440</t>
  </si>
  <si>
    <t>Alaminos City</t>
  </si>
  <si>
    <t>20-0831-4411</t>
  </si>
  <si>
    <t>20GFO0037</t>
  </si>
  <si>
    <t>LHR-20-070</t>
  </si>
  <si>
    <t>BAC-2020-533</t>
  </si>
  <si>
    <t>20-0835-7611</t>
  </si>
  <si>
    <t>GS-GF-2020-0386</t>
  </si>
  <si>
    <t>100-20-07-200</t>
  </si>
  <si>
    <t>2020-505</t>
  </si>
  <si>
    <t>RFQ-2020-05-0720R</t>
  </si>
  <si>
    <t>PANG-2020-1086</t>
  </si>
  <si>
    <t>depedilocossur-2020-08-023</t>
  </si>
  <si>
    <t>20-0832-1011-3</t>
  </si>
  <si>
    <t>DCS-2020-20</t>
  </si>
  <si>
    <t>00016-20-0302-0180</t>
  </si>
  <si>
    <t>PR 2020-08-20</t>
  </si>
  <si>
    <t>RFQ-Goods-148-2020</t>
  </si>
  <si>
    <t>TF-20-08-106(M)</t>
  </si>
  <si>
    <t>20LC0112</t>
  </si>
  <si>
    <t>17202008080</t>
  </si>
  <si>
    <t>20-011</t>
  </si>
  <si>
    <t>RFQ2020-07-0226 (PR#1011-20-07-0313)</t>
  </si>
  <si>
    <t>DA3-2020-08-17-390</t>
  </si>
  <si>
    <t>INFRA-08-24-2020-01</t>
  </si>
  <si>
    <t>PANG-2020-1088</t>
  </si>
  <si>
    <t>HILONGOS 2020-256</t>
  </si>
  <si>
    <t>2008-0787-RRCY</t>
  </si>
  <si>
    <t>200(01)20-08-494(A)</t>
  </si>
  <si>
    <t>SEC PB No. 2020-021</t>
  </si>
  <si>
    <t>2020-09-15-462PG</t>
  </si>
  <si>
    <t>VW1-20-08-028</t>
  </si>
  <si>
    <t>2020-08-12</t>
  </si>
  <si>
    <t>RFQ No. JP 20-026</t>
  </si>
  <si>
    <t>RFQ-2020-08-1027</t>
  </si>
  <si>
    <t>S 106-2020</t>
  </si>
  <si>
    <t>0315-2020</t>
  </si>
  <si>
    <t>PANG-2020-1087</t>
  </si>
  <si>
    <t>2020-G-139</t>
  </si>
  <si>
    <t>100(01)20-07-412(A)</t>
  </si>
  <si>
    <t>2020 - 08 - 021</t>
  </si>
  <si>
    <t>2008122</t>
  </si>
  <si>
    <t>INFRA-08-24-2020-02</t>
  </si>
  <si>
    <t>NOFWM-20-04-031</t>
  </si>
  <si>
    <t>082420-B3</t>
  </si>
  <si>
    <t>S2-VOD20-013</t>
  </si>
  <si>
    <t>Infra-2020-212</t>
  </si>
  <si>
    <t>20-013</t>
  </si>
  <si>
    <t>EBMS 1466-20</t>
  </si>
  <si>
    <t>GF-20-02-00305C</t>
  </si>
  <si>
    <t>INFRA-2020-36-2ND</t>
  </si>
  <si>
    <t>2020-24</t>
  </si>
  <si>
    <t>BAC-0063-2020</t>
  </si>
  <si>
    <t>14-08-006</t>
  </si>
  <si>
    <t>20-20-01-002</t>
  </si>
  <si>
    <t>G20-67</t>
  </si>
  <si>
    <t>TFW-2020-08-021R</t>
  </si>
  <si>
    <t>IB-2020-022-OAGMFA</t>
  </si>
  <si>
    <t>2008-0786-RRCY</t>
  </si>
  <si>
    <t>20FD0075</t>
  </si>
  <si>
    <t>GOODS 2020-280(SVP)</t>
  </si>
  <si>
    <t>20-08-1005</t>
  </si>
  <si>
    <t>LES-20-069</t>
  </si>
  <si>
    <t>SFRA-NAF-48-2020</t>
  </si>
  <si>
    <t>20-07-012</t>
  </si>
  <si>
    <t>ADS-1906-20</t>
  </si>
  <si>
    <t>S 114-2020</t>
  </si>
  <si>
    <t>2020-08-07B</t>
  </si>
  <si>
    <t>2020-08-420-42</t>
  </si>
  <si>
    <t>2008134</t>
  </si>
  <si>
    <t>17202008081</t>
  </si>
  <si>
    <t>gf-20-052</t>
  </si>
  <si>
    <t>2020-08-04B</t>
  </si>
  <si>
    <t>2020-devmh-130</t>
  </si>
  <si>
    <t>20LC0165</t>
  </si>
  <si>
    <t>PANG-2020-1089</t>
  </si>
  <si>
    <t>20-07-085</t>
  </si>
  <si>
    <t>2020-79</t>
  </si>
  <si>
    <t>DOH-MMCHD 2020-08-283-G</t>
  </si>
  <si>
    <t>2020-08-694</t>
  </si>
  <si>
    <t>EBMS 1465-20</t>
  </si>
  <si>
    <t>505-2020</t>
  </si>
  <si>
    <t>PANG-2020-1090</t>
  </si>
  <si>
    <t>082420-B4</t>
  </si>
  <si>
    <t>200(01)20-08-495(A)</t>
  </si>
  <si>
    <t>20-034</t>
  </si>
  <si>
    <t>S 120-2020</t>
  </si>
  <si>
    <t>GF-20-05-00735C</t>
  </si>
  <si>
    <t>2020-0247</t>
  </si>
  <si>
    <t>S2-VOD20-019</t>
  </si>
  <si>
    <t>BLGU Kapatagan 2020-09</t>
  </si>
  <si>
    <t>2020-09-15-463PG</t>
  </si>
  <si>
    <t>2020-08-0491</t>
  </si>
  <si>
    <t>PANG-2020-1091</t>
  </si>
  <si>
    <t>200(01)20-08-497(A)</t>
  </si>
  <si>
    <t>2020-507</t>
  </si>
  <si>
    <t>BFAR5BAC-2020-157</t>
  </si>
  <si>
    <t>S 121-2020</t>
  </si>
  <si>
    <t>001-08-24-2020</t>
  </si>
  <si>
    <t>RPQ for Paper, Multi-Purpose Copy A4, 70 gsm</t>
  </si>
  <si>
    <t>2020-0191-PR2020-0545 Rebid</t>
  </si>
  <si>
    <t>GOODS2020-58</t>
  </si>
  <si>
    <t>PR No. 2020-08-0084</t>
  </si>
  <si>
    <t>GOODS 2020-281(SVP)</t>
  </si>
  <si>
    <t>08-0100-20</t>
  </si>
  <si>
    <t>RFQ-2020-08-175</t>
  </si>
  <si>
    <t>SFRA-NAF-49-2020</t>
  </si>
  <si>
    <t>S2-VOD20-015</t>
  </si>
  <si>
    <t>S 107-2020</t>
  </si>
  <si>
    <t>S 129-2020</t>
  </si>
  <si>
    <t>RFQ 2020-008-052</t>
  </si>
  <si>
    <t>PR NO. 2020-08-083</t>
  </si>
  <si>
    <t>INFRA-2020-46-2nd</t>
  </si>
  <si>
    <t>2020-08-0951 TDG</t>
  </si>
  <si>
    <t>GOODS 2020-282(SVP)</t>
  </si>
  <si>
    <t>contract1</t>
  </si>
  <si>
    <t>GOODS 2020-13</t>
  </si>
  <si>
    <t>PR2020-558</t>
  </si>
  <si>
    <t>EBMS 1468-20</t>
  </si>
  <si>
    <t>silangan 1-2020-002</t>
  </si>
  <si>
    <t>S 123-2020</t>
  </si>
  <si>
    <t>2020-508</t>
  </si>
  <si>
    <t>2020-082412</t>
  </si>
  <si>
    <t>200(01)20-08-496(A)</t>
  </si>
  <si>
    <t>ITB 20-170</t>
  </si>
  <si>
    <t>EBMS 1467-20</t>
  </si>
  <si>
    <t>RFQ 20-744</t>
  </si>
  <si>
    <t>08-1-20</t>
  </si>
  <si>
    <t>RFQ NO. 2020-0373</t>
  </si>
  <si>
    <t>11-08-005</t>
  </si>
  <si>
    <t>2020-506</t>
  </si>
  <si>
    <t>ITB 20-099</t>
  </si>
  <si>
    <t>200867</t>
  </si>
  <si>
    <t>S2-WVO20-007</t>
  </si>
  <si>
    <t>2020-0114</t>
  </si>
  <si>
    <t>PANG-2020-1092</t>
  </si>
  <si>
    <t>BAC -PAS-2020-001</t>
  </si>
  <si>
    <t>DOH-MMCHD 2020-08-284-G</t>
  </si>
  <si>
    <t>2020-0824-1</t>
  </si>
  <si>
    <t>08-0048-20</t>
  </si>
  <si>
    <t>100-20-06-113</t>
  </si>
  <si>
    <t>549-2020</t>
  </si>
  <si>
    <t>RFQ-2020-08-1038</t>
  </si>
  <si>
    <t>200(01)20-08-489(A)</t>
  </si>
  <si>
    <t>0316-2020</t>
  </si>
  <si>
    <t>2020-0824-2</t>
  </si>
  <si>
    <t>2020-08-0950 TDG</t>
  </si>
  <si>
    <t>GOODS-2020-70</t>
  </si>
  <si>
    <t>infra1</t>
  </si>
  <si>
    <t>2020-08-71</t>
  </si>
  <si>
    <t>200(01)20-08-584(O)</t>
  </si>
  <si>
    <t>EBMS 1397-20</t>
  </si>
  <si>
    <t>2020-08-0268</t>
  </si>
  <si>
    <t>092-Goods2020-037</t>
  </si>
  <si>
    <t>2020-devmh-131</t>
  </si>
  <si>
    <t>GOODS 2020-283(SVP)</t>
  </si>
  <si>
    <t>20CG0274</t>
  </si>
  <si>
    <t>0281-082020</t>
  </si>
  <si>
    <t>ADS-1903-20</t>
  </si>
  <si>
    <t>SDO-Abra-019</t>
  </si>
  <si>
    <t>lgu-es-20-08-205</t>
  </si>
  <si>
    <t>RFQ-2020-08-176</t>
  </si>
  <si>
    <t>MGB4B-RFQ-013-08-2020</t>
  </si>
  <si>
    <t>GOODS 2020-284(SVP)</t>
  </si>
  <si>
    <t>2020-511</t>
  </si>
  <si>
    <t>2020-INFRA-22D</t>
  </si>
  <si>
    <t>S 143-2020</t>
  </si>
  <si>
    <t>RFQ-2020-06-0809R</t>
  </si>
  <si>
    <t>SFRA-NAF-69-2020</t>
  </si>
  <si>
    <t>20CG0275</t>
  </si>
  <si>
    <t>2020-509</t>
  </si>
  <si>
    <t>2020-08-058</t>
  </si>
  <si>
    <t>PANG-2020-1093</t>
  </si>
  <si>
    <t>RFQ-2020-08-177</t>
  </si>
  <si>
    <t>DF 2020-08</t>
  </si>
  <si>
    <t>300(01)20-08-047(AA)</t>
  </si>
  <si>
    <t>SVP 1309-2020</t>
  </si>
  <si>
    <t>2020-07-12</t>
  </si>
  <si>
    <t>MAR-00053GSV-2020</t>
  </si>
  <si>
    <t>2020-09-15-464PG</t>
  </si>
  <si>
    <t>ROSAL-0484-2020</t>
  </si>
  <si>
    <t>20CG0273</t>
  </si>
  <si>
    <t>contract2</t>
  </si>
  <si>
    <t>2020-08-0510 &amp; 2020-08-0511</t>
  </si>
  <si>
    <t>2020-045</t>
  </si>
  <si>
    <t>PANG-2020-1080</t>
  </si>
  <si>
    <t>2020-08-70</t>
  </si>
  <si>
    <t>20-08-151</t>
  </si>
  <si>
    <t>550-2020</t>
  </si>
  <si>
    <t>2020-08-367</t>
  </si>
  <si>
    <t>baa 20 - 08 - 010</t>
  </si>
  <si>
    <t>S 87-2020</t>
  </si>
  <si>
    <t>PBI-2020-51</t>
  </si>
  <si>
    <t>2020-GOODS-048</t>
  </si>
  <si>
    <t>PR-2020-2039</t>
  </si>
  <si>
    <t>RFQ-2020-261</t>
  </si>
  <si>
    <t>2020-106</t>
  </si>
  <si>
    <t>SAR-GOODS-08-051-2020</t>
  </si>
  <si>
    <t>2020-510</t>
  </si>
  <si>
    <t>DA3-2020-08-17-391</t>
  </si>
  <si>
    <t>NP 559-2020</t>
  </si>
  <si>
    <t>Sip-2020-126</t>
  </si>
  <si>
    <t>EBMS 0257-20</t>
  </si>
  <si>
    <t>2020-08-0492</t>
  </si>
  <si>
    <t>2020-08-421-43</t>
  </si>
  <si>
    <t>200(01)20-08-046(AA)</t>
  </si>
  <si>
    <t>janiuay-2020-38</t>
  </si>
  <si>
    <t>CN-2020-08-298</t>
  </si>
  <si>
    <t>2020-512</t>
  </si>
  <si>
    <t>100-20-07-182</t>
  </si>
  <si>
    <t>RFQ-2020-08-178</t>
  </si>
  <si>
    <t>200(01)20-08-107(M)</t>
  </si>
  <si>
    <t>SVP 1308-2020</t>
  </si>
  <si>
    <t>PR No. 2020-08-0086</t>
  </si>
  <si>
    <t>BAC A1-2020-08-4236</t>
  </si>
  <si>
    <t>PR No. 2020-08-0085</t>
  </si>
  <si>
    <t>PG-ITB-2020-11</t>
  </si>
  <si>
    <t>2020-02-13</t>
  </si>
  <si>
    <t>08-0047-20</t>
  </si>
  <si>
    <t>AMP-RFQ-2020-144</t>
  </si>
  <si>
    <t>5CEISG-07-2020-035</t>
  </si>
  <si>
    <t>GOODS2020-59</t>
  </si>
  <si>
    <t>2008269</t>
  </si>
  <si>
    <t>RFQ-2020-08-1041</t>
  </si>
  <si>
    <t>RFQ-2020-08-1045</t>
  </si>
  <si>
    <t>200(01)20-08-491(O)</t>
  </si>
  <si>
    <t>PANG-2020-1094</t>
  </si>
  <si>
    <t>RFQ20-8-57 Renovation of ARD Cottage Phase II</t>
  </si>
  <si>
    <t>00188-2020</t>
  </si>
  <si>
    <t>2020-589-07</t>
  </si>
  <si>
    <t>SFRA-NAF-70-2020</t>
  </si>
  <si>
    <t>ATI-RTC3-2020-0115</t>
  </si>
  <si>
    <t>200(01)20-08-475(O)</t>
  </si>
  <si>
    <t>P.R. 20-08-255</t>
  </si>
  <si>
    <t>08-0103-20</t>
  </si>
  <si>
    <t>PR No. 2020-08-0087</t>
  </si>
  <si>
    <t>2020-8-2211</t>
  </si>
  <si>
    <t>silangan 2-2020-002</t>
  </si>
  <si>
    <t>PR 4-20-07-0917 - CWD (REBIDDING)</t>
  </si>
  <si>
    <t>8-23</t>
  </si>
  <si>
    <t>DES 0358-20</t>
  </si>
  <si>
    <t>RFQ-2020-08-1040</t>
  </si>
  <si>
    <t>100-20-07-183</t>
  </si>
  <si>
    <t>AMP-RFQ 2020-087</t>
  </si>
  <si>
    <t>MAR-0080RFQ-2020</t>
  </si>
  <si>
    <t>GOODS2020-60</t>
  </si>
  <si>
    <t>2020-devmh-132</t>
  </si>
  <si>
    <t>20-08-075</t>
  </si>
  <si>
    <t xml:space="preserve">RFQ No. 20-135 Supply and Delivery of Eleven (11) </t>
  </si>
  <si>
    <t>20-08-038</t>
  </si>
  <si>
    <t>nego13</t>
  </si>
  <si>
    <t>2020-07-1421</t>
  </si>
  <si>
    <t>2020-513</t>
  </si>
  <si>
    <t>0296-082020</t>
  </si>
  <si>
    <t>SHS - 015</t>
  </si>
  <si>
    <t>20-05-0012</t>
  </si>
  <si>
    <t>514-2020</t>
  </si>
  <si>
    <t>002-08-24-2020</t>
  </si>
  <si>
    <t>VMC-2020-085</t>
  </si>
  <si>
    <t>2020-09-15-465PG</t>
  </si>
  <si>
    <t>PR No. 2020-08-0088</t>
  </si>
  <si>
    <t>2020-08-422-44</t>
  </si>
  <si>
    <t>2020-08-15</t>
  </si>
  <si>
    <t>SFRA-NAF-71-2020</t>
  </si>
  <si>
    <t>2020008005</t>
  </si>
  <si>
    <t>PR 9-20-07-0926 - CITY HOSPITAL (REBIDDING)</t>
  </si>
  <si>
    <t>PRRI-2020-048</t>
  </si>
  <si>
    <t>LGU LAUREL 20-08-006</t>
  </si>
  <si>
    <t>2020-08-114</t>
  </si>
  <si>
    <t>LAM-20-066/LES-20-067/068</t>
  </si>
  <si>
    <t>2020-515</t>
  </si>
  <si>
    <t>RDD CW-2020-25</t>
  </si>
  <si>
    <t>2020008004</t>
  </si>
  <si>
    <t>7FSSU-2020-0043</t>
  </si>
  <si>
    <t>PANG-2020-1095</t>
  </si>
  <si>
    <t>PIA 2020-06</t>
  </si>
  <si>
    <t>SFRA-NAF-73-2020</t>
  </si>
  <si>
    <t>2020-133</t>
  </si>
  <si>
    <t>08-0102-20</t>
  </si>
  <si>
    <t>200(01)20-08-045(AA)</t>
  </si>
  <si>
    <t>2020-514</t>
  </si>
  <si>
    <t>2020-08-728</t>
  </si>
  <si>
    <t>PR 9-20-08-0962 - CITY HOSPITAL</t>
  </si>
  <si>
    <t>2020-08-399</t>
  </si>
  <si>
    <t>554-2020</t>
  </si>
  <si>
    <t>AMP-RFQ 2020-088</t>
  </si>
  <si>
    <t>PANG-2020-1096</t>
  </si>
  <si>
    <t>EBMS 1488-20</t>
  </si>
  <si>
    <t>QSU-BAC-H-44-2020 01D CO</t>
  </si>
  <si>
    <t>200(01)20-08-472(O)</t>
  </si>
  <si>
    <t>2020-0190-PR2020-0544 Rebid</t>
  </si>
  <si>
    <t>janiuay-2020-39</t>
  </si>
  <si>
    <t>20080991</t>
  </si>
  <si>
    <t>20201825</t>
  </si>
  <si>
    <t>08-0104-20</t>
  </si>
  <si>
    <t>2020-08-0529</t>
  </si>
  <si>
    <t>2020-08-423-45</t>
  </si>
  <si>
    <t>0297-082020</t>
  </si>
  <si>
    <t>SH 053-20</t>
  </si>
  <si>
    <t>PR 18-20-07-0927 - CWD (REBIDDING)</t>
  </si>
  <si>
    <t>20FG0103</t>
  </si>
  <si>
    <t>2020-08-234</t>
  </si>
  <si>
    <t>200(01)20-08-522(O)</t>
  </si>
  <si>
    <t>prs#8928</t>
  </si>
  <si>
    <t>2020 INFRA 001</t>
  </si>
  <si>
    <t>BCS-2020-0305</t>
  </si>
  <si>
    <t>2020-52</t>
  </si>
  <si>
    <t>HPN-0720-312</t>
  </si>
  <si>
    <t>GOODSBAT-2020-013</t>
  </si>
  <si>
    <t>RDD-GO 2020-18</t>
  </si>
  <si>
    <t>2020-08-0164</t>
  </si>
  <si>
    <t>2020-27</t>
  </si>
  <si>
    <t>SVP2020-49</t>
  </si>
  <si>
    <t>SFRA-NAF-74-2020</t>
  </si>
  <si>
    <t>2020-07-062</t>
  </si>
  <si>
    <t>mabpang-0824-2020-MO</t>
  </si>
  <si>
    <t>200(01)20-08-523(O)</t>
  </si>
  <si>
    <t>2020008006</t>
  </si>
  <si>
    <t>AMP-RFQ 2020-089</t>
  </si>
  <si>
    <t>08250002</t>
  </si>
  <si>
    <t>08-24-2020-343</t>
  </si>
  <si>
    <t>ITB No. 2020-08-07</t>
  </si>
  <si>
    <t>20-095-A</t>
  </si>
  <si>
    <t>DF 2020-09</t>
  </si>
  <si>
    <t>PR#2020-07-075-GS</t>
  </si>
  <si>
    <t>2020-08-790</t>
  </si>
  <si>
    <t>CW2020-44</t>
  </si>
  <si>
    <t>200(01)20-08-044(AA)</t>
  </si>
  <si>
    <t>GOODS-2020-08-24-CF</t>
  </si>
  <si>
    <t>2020-0115</t>
  </si>
  <si>
    <t>RFQ 20-759</t>
  </si>
  <si>
    <t>29dambuk20</t>
  </si>
  <si>
    <t>20BA0055</t>
  </si>
  <si>
    <t>20-08-115</t>
  </si>
  <si>
    <t>PANG-2020-1097</t>
  </si>
  <si>
    <t>2020-08-0165</t>
  </si>
  <si>
    <t>R6-D2-2020-08-145</t>
  </si>
  <si>
    <t>2020-RFQ-032</t>
  </si>
  <si>
    <t>GOODS-2020-08-010</t>
  </si>
  <si>
    <t>SDO-Abra-020</t>
  </si>
  <si>
    <t>09-2020-01</t>
  </si>
  <si>
    <t>20BA0056</t>
  </si>
  <si>
    <t>2020-08-394</t>
  </si>
  <si>
    <t>2020-08-0166</t>
  </si>
  <si>
    <t>TM-20-08-0069</t>
  </si>
  <si>
    <t>PR#20-08-188</t>
  </si>
  <si>
    <t>200(01)20-08-109(M)</t>
  </si>
  <si>
    <t>PR #00862</t>
  </si>
  <si>
    <t>PR No. 2020-08-007</t>
  </si>
  <si>
    <t>2020-0085</t>
  </si>
  <si>
    <t>BCS-2020-0306</t>
  </si>
  <si>
    <t>DOH-MMCHD 2020-08-285-G</t>
  </si>
  <si>
    <t>2020-08-086</t>
  </si>
  <si>
    <t>SFRA-NAF-79-2020</t>
  </si>
  <si>
    <t>20-06-020</t>
  </si>
  <si>
    <t>08-0050-20</t>
  </si>
  <si>
    <t>20-07-067-048</t>
  </si>
  <si>
    <t>P-0898</t>
  </si>
  <si>
    <t>RFQ 2020-08-0230</t>
  </si>
  <si>
    <t>5CEISG-07-20-036</t>
  </si>
  <si>
    <t>sanjoaquin-2020-002</t>
  </si>
  <si>
    <t>SHS-2020-003</t>
  </si>
  <si>
    <t>2020-08-793</t>
  </si>
  <si>
    <t>PANG-2020-0042</t>
  </si>
  <si>
    <t>PB-LAP-2020-102</t>
  </si>
  <si>
    <t>2020-08-0167</t>
  </si>
  <si>
    <t>bcwd-2020-076</t>
  </si>
  <si>
    <t>2020-08-697</t>
  </si>
  <si>
    <t>RFQ No. 2020-044</t>
  </si>
  <si>
    <t>INFRA-20-55</t>
  </si>
  <si>
    <t>2020-088</t>
  </si>
  <si>
    <t>SVP-2020-081</t>
  </si>
  <si>
    <t>P-0899</t>
  </si>
  <si>
    <t>SJPES-RQF 08-24-2020</t>
  </si>
  <si>
    <t>TF-20-08-111(M)</t>
  </si>
  <si>
    <t>EBMS 1474-20</t>
  </si>
  <si>
    <t>BAC-BLE-2020-08-038</t>
  </si>
  <si>
    <t>20201501</t>
  </si>
  <si>
    <t>300(01)20-08-043(AA)</t>
  </si>
  <si>
    <t>2020-08-424-46</t>
  </si>
  <si>
    <t>08-0046-20</t>
  </si>
  <si>
    <t>PIA 2020-21</t>
  </si>
  <si>
    <t>INFRA-20-58</t>
  </si>
  <si>
    <t>GOODS 2020-285(SVP)</t>
  </si>
  <si>
    <t>Aklan BAC RFQ 514 Series of 2020</t>
  </si>
  <si>
    <t>BFAR5BAC-2020-158</t>
  </si>
  <si>
    <t>2020-magcalape01</t>
  </si>
  <si>
    <t>AMP-RFQ 2020-090</t>
  </si>
  <si>
    <t>RFQ C20-007-08</t>
  </si>
  <si>
    <t>ITB 008-064-2020</t>
  </si>
  <si>
    <t>GOODS-2020-08-093</t>
  </si>
  <si>
    <t>2020-08-72</t>
  </si>
  <si>
    <t>DOH-MMCHD 2020-08-286-G</t>
  </si>
  <si>
    <t>PIA 2020-22</t>
  </si>
  <si>
    <t>POG DDO 2020-SP-004</t>
  </si>
  <si>
    <t>2020-08-0138</t>
  </si>
  <si>
    <t>PANG-2020-1099</t>
  </si>
  <si>
    <t>2020-0086</t>
  </si>
  <si>
    <t>GOODS-08-24-2020-01</t>
  </si>
  <si>
    <t>ITB 20-171</t>
  </si>
  <si>
    <t>2020-08-242</t>
  </si>
  <si>
    <t>20-08-040</t>
  </si>
  <si>
    <t>2020-08-083</t>
  </si>
  <si>
    <t>2020-08-52</t>
  </si>
  <si>
    <t>T/R-2020-08-469</t>
  </si>
  <si>
    <t>20-08-0495</t>
  </si>
  <si>
    <t>BCS-2020-0307</t>
  </si>
  <si>
    <t>TOW-WEST-20-08-0093</t>
  </si>
  <si>
    <t>RFQ 20-773</t>
  </si>
  <si>
    <t>2020-08-84</t>
  </si>
  <si>
    <t>2020-038-RFQ</t>
  </si>
  <si>
    <t>2020-INFRA-10C</t>
  </si>
  <si>
    <t>817</t>
  </si>
  <si>
    <t>SFS-NAF-7-20</t>
  </si>
  <si>
    <t>DOH-MMCHD 2020-08-287-G</t>
  </si>
  <si>
    <t>2020-042J</t>
  </si>
  <si>
    <t>UPR No ARMOR-OG4-MOOE3-028-2020</t>
  </si>
  <si>
    <t>SFS-SFRA-NAF-6-2020</t>
  </si>
  <si>
    <t>2020-08-0155</t>
  </si>
  <si>
    <t>082420-e01</t>
  </si>
  <si>
    <t>ITB No. 2020-17</t>
  </si>
  <si>
    <t>20-08-116</t>
  </si>
  <si>
    <t>202008075</t>
  </si>
  <si>
    <t>GOODS-08-24-2020-02</t>
  </si>
  <si>
    <t>NP-ITSUPPLIES</t>
  </si>
  <si>
    <t>RFQ-SVP-2020-017</t>
  </si>
  <si>
    <t>EBMS 1481-20</t>
  </si>
  <si>
    <t>101-2020-08-471</t>
  </si>
  <si>
    <t>VILLAMAGASO202001</t>
  </si>
  <si>
    <t>CGIASTP0820-005</t>
  </si>
  <si>
    <t>P-0901</t>
  </si>
  <si>
    <t>RFQ No. 2020-005</t>
  </si>
  <si>
    <t>0317-2020</t>
  </si>
  <si>
    <t>2020-07-432</t>
  </si>
  <si>
    <t>MBHTE-BARMM-T058-2020</t>
  </si>
  <si>
    <t>08-017-20</t>
  </si>
  <si>
    <t>GOODS 2020-286(SVP)</t>
  </si>
  <si>
    <t>2020-03-0175</t>
  </si>
  <si>
    <t>RFQ-20-08-0685</t>
  </si>
  <si>
    <t>832</t>
  </si>
  <si>
    <t>PANG-2020-1100</t>
  </si>
  <si>
    <t>2020-07-063</t>
  </si>
  <si>
    <t>PRDP-IR-R012-SOC-007-000-000-2018-n</t>
  </si>
  <si>
    <t>2020-08-24</t>
  </si>
  <si>
    <t>2020-08-425-47</t>
  </si>
  <si>
    <t>2020-09-125</t>
  </si>
  <si>
    <t>DARFO2.CVRC.115.REC.2020-07-978.00</t>
  </si>
  <si>
    <t>20-30</t>
  </si>
  <si>
    <t>VILLAMAGASO202002</t>
  </si>
  <si>
    <t>POB 2020-001</t>
  </si>
  <si>
    <t>831</t>
  </si>
  <si>
    <t>HPN-0720-299</t>
  </si>
  <si>
    <t>2020-02-135</t>
  </si>
  <si>
    <t>2020-08-87</t>
  </si>
  <si>
    <t>LGUPROC 2020 - 197B</t>
  </si>
  <si>
    <t>101-2020-08-478</t>
  </si>
  <si>
    <t>2020-08-426-48</t>
  </si>
  <si>
    <t>cal08242020-01</t>
  </si>
  <si>
    <t>BTN-DVOOR-2020-20</t>
  </si>
  <si>
    <t>2020-08-098bid</t>
  </si>
  <si>
    <t>RFQ NO. 20-131</t>
  </si>
  <si>
    <t>01467</t>
  </si>
  <si>
    <t>DA 8 SVP Goods 2020-08-0129 (Consol 20-08-24-0046)</t>
  </si>
  <si>
    <t>1877-20BAC</t>
  </si>
  <si>
    <t>2020-08-395</t>
  </si>
  <si>
    <t>2020-08-098</t>
  </si>
  <si>
    <t>2020-08-138</t>
  </si>
  <si>
    <t>RFQ-2020-181-GOODS</t>
  </si>
  <si>
    <t>RFQ 2020-178</t>
  </si>
  <si>
    <t>NP468-GADOFFICE|SUPPLIES</t>
  </si>
  <si>
    <t>ITB 20-172 R20-165</t>
  </si>
  <si>
    <t>MBHTE-BARMM-SUPPLY-B059-2020</t>
  </si>
  <si>
    <t>08-24-2020</t>
  </si>
  <si>
    <t>2020-0087</t>
  </si>
  <si>
    <t>20-08-117</t>
  </si>
  <si>
    <t>HPN-0720-313</t>
  </si>
  <si>
    <t>2020-PLA-090</t>
  </si>
  <si>
    <t>SVP 2020-077-PFRAVE</t>
  </si>
  <si>
    <t>833</t>
  </si>
  <si>
    <t>100-20-06-0617</t>
  </si>
  <si>
    <t>GF-20-06-00894</t>
  </si>
  <si>
    <t>TOW-WEST-20-08-0094</t>
  </si>
  <si>
    <t>20CSAJ04</t>
  </si>
  <si>
    <t>LGU Valencia, Bohol 2020 - 077</t>
  </si>
  <si>
    <t>PANG-2020-1101</t>
  </si>
  <si>
    <t>GOODS-08-24-2020-03</t>
  </si>
  <si>
    <t>2020-08-0139</t>
  </si>
  <si>
    <t>2020-08-427-48</t>
  </si>
  <si>
    <t>SHOP GOODS 2020-08-19</t>
  </si>
  <si>
    <t>2020-08-1299</t>
  </si>
  <si>
    <t>GOODS 2020-287(SVP)</t>
  </si>
  <si>
    <t>20-026</t>
  </si>
  <si>
    <t>CGS-2020-236</t>
  </si>
  <si>
    <t>HPN-0720-304</t>
  </si>
  <si>
    <t>DUM-20-06-033</t>
  </si>
  <si>
    <t>SVP 2020-078-Chem</t>
  </si>
  <si>
    <t>2020-07-064</t>
  </si>
  <si>
    <t>JO No. 2020-188</t>
  </si>
  <si>
    <t>LGUPROC 2020 - 198B</t>
  </si>
  <si>
    <t>PR 169-2020</t>
  </si>
  <si>
    <t>ITB 20-173 R20-166</t>
  </si>
  <si>
    <t>108-2020</t>
  </si>
  <si>
    <t>2020-03</t>
  </si>
  <si>
    <t>PANG-2020-1102</t>
  </si>
  <si>
    <t>TOW-WEST-20-08-0095</t>
  </si>
  <si>
    <t>2020-08-88</t>
  </si>
  <si>
    <t>GAAS202003</t>
  </si>
  <si>
    <t>SANTIAGO, I. SUR 20-078</t>
  </si>
  <si>
    <t>00001823</t>
  </si>
  <si>
    <t>ITB2020-08-123-I.T</t>
  </si>
  <si>
    <t>LTOR1-2020-013</t>
  </si>
  <si>
    <t>2020-0089</t>
  </si>
  <si>
    <t>SVP 2020-079-AC</t>
  </si>
  <si>
    <t>RFQ-20-08-0691</t>
  </si>
  <si>
    <t>2020-08-028</t>
  </si>
  <si>
    <t>20200824-01-G</t>
  </si>
  <si>
    <t>PB2020-09-124</t>
  </si>
  <si>
    <t>RFQ - 2020-08-108</t>
  </si>
  <si>
    <t>2020-1011-059</t>
  </si>
  <si>
    <t>101-2020-08-457,473,474,475,,477</t>
  </si>
  <si>
    <t>4260</t>
  </si>
  <si>
    <t>SF-20-19</t>
  </si>
  <si>
    <t>2020-08-087</t>
  </si>
  <si>
    <t>101-2020-08-479</t>
  </si>
  <si>
    <t>CGS-2020-0237</t>
  </si>
  <si>
    <t>cal08242020-02</t>
  </si>
  <si>
    <t>009</t>
  </si>
  <si>
    <t>TOW-WEST-20-08-0096</t>
  </si>
  <si>
    <t>Aklan BAC ITB 515 Series of 2020</t>
  </si>
  <si>
    <t>2020-08-099bid</t>
  </si>
  <si>
    <t>20-08-371</t>
  </si>
  <si>
    <t>ATI-RTC3-2020-0116</t>
  </si>
  <si>
    <t>2020-8-24</t>
  </si>
  <si>
    <t>CA-BAC-PB-2020-08-02</t>
  </si>
  <si>
    <t>RFQ-NP-SVP-385-2020</t>
  </si>
  <si>
    <t>BASC2020-08-059</t>
  </si>
  <si>
    <t>PR 170-2020</t>
  </si>
  <si>
    <t>2020-08-0140</t>
  </si>
  <si>
    <t>SVP 2020-081-Furn</t>
  </si>
  <si>
    <t>SVP 2020-080-VOS</t>
  </si>
  <si>
    <t>LCSO2019-11-45/LCSO2020-03-15/LCSO2020-03-12</t>
  </si>
  <si>
    <t>SANIWAD -2020- 016</t>
  </si>
  <si>
    <t>RFQ-007</t>
  </si>
  <si>
    <t>202008023</t>
  </si>
  <si>
    <t>PSU ITB 2003-085</t>
  </si>
  <si>
    <t>DOSTR01-RFQ2020-36</t>
  </si>
  <si>
    <t>BW 2020-07-03</t>
  </si>
  <si>
    <t>Educational Materials &amp; Supplies for the Reproduct</t>
  </si>
  <si>
    <t>LGU Valencia, Bohol 2020 - 078</t>
  </si>
  <si>
    <t>200(01)20-08-110(M)</t>
  </si>
  <si>
    <t>EBMS 1483-20</t>
  </si>
  <si>
    <t>2020-08-113</t>
  </si>
  <si>
    <t>00001821</t>
  </si>
  <si>
    <t>100-20-08-2022</t>
  </si>
  <si>
    <t>BMC-N-20-346</t>
  </si>
  <si>
    <t>2020-520</t>
  </si>
  <si>
    <t>2020-34-08-20-AIP</t>
  </si>
  <si>
    <t>08-24-202008003</t>
  </si>
  <si>
    <t>BR308D</t>
  </si>
  <si>
    <t>RFQ 2020-0824-107 PIMO</t>
  </si>
  <si>
    <t>1BCT-NAF-02-2020</t>
  </si>
  <si>
    <t>LGUPROC 2020 - 202N</t>
  </si>
  <si>
    <t>SVP 2020-082-AdCl</t>
  </si>
  <si>
    <t>NFWM-20-07-124</t>
  </si>
  <si>
    <t>2020-169</t>
  </si>
  <si>
    <t>20-014</t>
  </si>
  <si>
    <t>TOW-WEST-20-08-0078</t>
  </si>
  <si>
    <t>2020-INFRA-13B</t>
  </si>
  <si>
    <t>300(01)20-08-123(Q)</t>
  </si>
  <si>
    <t>2020-08-539</t>
  </si>
  <si>
    <t>20-092-B</t>
  </si>
  <si>
    <t>ERDB PR#  CN CRERDEC</t>
  </si>
  <si>
    <t>CAL-2020-01-006</t>
  </si>
  <si>
    <t>PANG-2020-1103</t>
  </si>
  <si>
    <t>POG/CO-70</t>
  </si>
  <si>
    <t>RFQ-NP-SVP-384-2020</t>
  </si>
  <si>
    <t>2020-08-1186</t>
  </si>
  <si>
    <t>20200824-02-G</t>
  </si>
  <si>
    <t>20-023a</t>
  </si>
  <si>
    <t>ITB 20-174</t>
  </si>
  <si>
    <t>PR No. 2020-07-160</t>
  </si>
  <si>
    <t>PR NO. 906</t>
  </si>
  <si>
    <t>LGUPORC 2020 - 203N</t>
  </si>
  <si>
    <t>2020-0039</t>
  </si>
  <si>
    <t>EBMS 1473-20</t>
  </si>
  <si>
    <t>cal08242020-03</t>
  </si>
  <si>
    <t>2020-604-042</t>
  </si>
  <si>
    <t>2020-08-0022</t>
  </si>
  <si>
    <t>CGS-2020-0238</t>
  </si>
  <si>
    <t>CA-BAC-PB-2020-08-03</t>
  </si>
  <si>
    <t>7-57</t>
  </si>
  <si>
    <t>100-08-20-003</t>
  </si>
  <si>
    <t>BAC-PG-00208-20</t>
  </si>
  <si>
    <t>2020-170</t>
  </si>
  <si>
    <t>GOODS 2020-288(SVP)</t>
  </si>
  <si>
    <t>CGN08D</t>
  </si>
  <si>
    <t>202062</t>
  </si>
  <si>
    <t>CA-20-08-71</t>
  </si>
  <si>
    <t>2020-25-08</t>
  </si>
  <si>
    <t>KB-IP-GOODS-2020-01</t>
  </si>
  <si>
    <t>2020-08-30</t>
  </si>
  <si>
    <t>PR-MS-2020-08-19</t>
  </si>
  <si>
    <t>2020-08-330</t>
  </si>
  <si>
    <t>AAR-NAF-76-20</t>
  </si>
  <si>
    <t>RFQ-2020-162</t>
  </si>
  <si>
    <t>2020-NCOT-020CW</t>
  </si>
  <si>
    <t>CGS-2020-0239</t>
  </si>
  <si>
    <t>sfbac2020</t>
  </si>
  <si>
    <t>GOODS 2020-289(SVP)</t>
  </si>
  <si>
    <t>SANTIAGO, I. SUR 20-079</t>
  </si>
  <si>
    <t>RFQ2020-31</t>
  </si>
  <si>
    <t>08-013-20</t>
  </si>
  <si>
    <t>0020-0286-1313.2020</t>
  </si>
  <si>
    <t>BGHMCSVP-2020-08-045</t>
  </si>
  <si>
    <t>100(01)20-07-433(O)</t>
  </si>
  <si>
    <t>PR NO. 282-S</t>
  </si>
  <si>
    <t>CGN08D02</t>
  </si>
  <si>
    <t>ADS-1902-20</t>
  </si>
  <si>
    <t>38-08-20-8811</t>
  </si>
  <si>
    <t>RFQ-NP-SVP-387-2020</t>
  </si>
  <si>
    <t>2020-485</t>
  </si>
  <si>
    <t>08-0108-20</t>
  </si>
  <si>
    <t>ATI-RTC3-2020-0117</t>
  </si>
  <si>
    <t>VMC-2020-086</t>
  </si>
  <si>
    <t>2020-G-BARANGAY TALISAY</t>
  </si>
  <si>
    <t>MNP-GOODS-157-2020</t>
  </si>
  <si>
    <t>IB-0824 #1 Package 64</t>
  </si>
  <si>
    <t>GOODS 2020-290(SVP)</t>
  </si>
  <si>
    <t>202008076</t>
  </si>
  <si>
    <t>GEPS.026.20- ITB.026.20 - 1 unit  Brand New Ambula</t>
  </si>
  <si>
    <t>20-093-B</t>
  </si>
  <si>
    <t>2020-SVP-08-05-0112</t>
  </si>
  <si>
    <t>2020-08-3170</t>
  </si>
  <si>
    <t>PR-mS-2020-08-18, Lot 2</t>
  </si>
  <si>
    <t>2020-NCOT-021GOODS</t>
  </si>
  <si>
    <t>Aklan BAC ITB 516 Series of 2020</t>
  </si>
  <si>
    <t>POG/CO-67</t>
  </si>
  <si>
    <t>2020-GGSS-BRGY CARRETUNAN</t>
  </si>
  <si>
    <t>LGUPROC 2020 - 204N</t>
  </si>
  <si>
    <t>08242020-5</t>
  </si>
  <si>
    <t>PR No. 1373 - 20</t>
  </si>
  <si>
    <t>2020-08-039</t>
  </si>
  <si>
    <t>EQPT-2020-23</t>
  </si>
  <si>
    <t>TF-20-07-024(R)</t>
  </si>
  <si>
    <t>100(01)20-07-090(M)</t>
  </si>
  <si>
    <t>2020-08-112</t>
  </si>
  <si>
    <t>CGB-2020-08-012</t>
  </si>
  <si>
    <t>PR NO. 845</t>
  </si>
  <si>
    <t>100(01)20-07-1556</t>
  </si>
  <si>
    <t>E20082401</t>
  </si>
  <si>
    <t>PR No. 2020-08-205</t>
  </si>
  <si>
    <t>PR No. 07-128</t>
  </si>
  <si>
    <t>00010293</t>
  </si>
  <si>
    <t>ADS-1904-20</t>
  </si>
  <si>
    <t>797</t>
  </si>
  <si>
    <t>GOODS 2020-291(SVP)</t>
  </si>
  <si>
    <t>Q-75</t>
  </si>
  <si>
    <t>20-094-B</t>
  </si>
  <si>
    <t>08-24-202007036</t>
  </si>
  <si>
    <t>08-02</t>
  </si>
  <si>
    <t>LGU-TAN-INFRA-2020-108</t>
  </si>
  <si>
    <t>BANNA-RFQ-92(GASOLINE)-2020</t>
  </si>
  <si>
    <t>101-020-008-088</t>
  </si>
  <si>
    <t>100(01)20-02-023(Q)</t>
  </si>
  <si>
    <t>2020-0026</t>
  </si>
  <si>
    <t>LGUPROC 2020 - 205N</t>
  </si>
  <si>
    <t>CGS-2020-0240</t>
  </si>
  <si>
    <t>POG-001-2020</t>
  </si>
  <si>
    <t>RO4-INFR-2020-08</t>
  </si>
  <si>
    <t>20200824 01</t>
  </si>
  <si>
    <t>0020-0278-1291.2020</t>
  </si>
  <si>
    <t>MAL-2020-001</t>
  </si>
  <si>
    <t>2020-G-147</t>
  </si>
  <si>
    <t>ADS-1908-20</t>
  </si>
  <si>
    <t>100(01)20-01-017(Q)</t>
  </si>
  <si>
    <t>2020-186-I</t>
  </si>
  <si>
    <t>ITB GS-02-2020</t>
  </si>
  <si>
    <t>2020-0376</t>
  </si>
  <si>
    <t>2020-08-170</t>
  </si>
  <si>
    <t>HCGDSV-0820-003</t>
  </si>
  <si>
    <t>2020-NCOT-022GOODS</t>
  </si>
  <si>
    <t>0318-2020</t>
  </si>
  <si>
    <t>PR NO. 916</t>
  </si>
  <si>
    <t>IB-0824 #2 Package 65</t>
  </si>
  <si>
    <t>PR NO. 873</t>
  </si>
  <si>
    <t>2020-027</t>
  </si>
  <si>
    <t>PR-MS-2020-08-18, Lot 2</t>
  </si>
  <si>
    <t>2020-08-215 E</t>
  </si>
  <si>
    <t>20-08-24</t>
  </si>
  <si>
    <t>Q-76</t>
  </si>
  <si>
    <t>RFQ-2020-07-120</t>
  </si>
  <si>
    <t>20-08-0239</t>
  </si>
  <si>
    <t>GF-20-02-00332</t>
  </si>
  <si>
    <t>PANG-2020-1104</t>
  </si>
  <si>
    <t>LTFRB-008-038</t>
  </si>
  <si>
    <t>2020-488</t>
  </si>
  <si>
    <t>BASC2020-08-061</t>
  </si>
  <si>
    <t>OR 1402-20</t>
  </si>
  <si>
    <t>2020-08-1232</t>
  </si>
  <si>
    <t>RFQ-2020-048</t>
  </si>
  <si>
    <t>BW 2020-07-01</t>
  </si>
  <si>
    <t>PR-20-0413</t>
  </si>
  <si>
    <t>EQPT-2020-25</t>
  </si>
  <si>
    <t>2020-G-BRGY. TANAGAN</t>
  </si>
  <si>
    <t>RO4-INFR-2020-09</t>
  </si>
  <si>
    <t>B2020-106-A</t>
  </si>
  <si>
    <t>08-24-202002002</t>
  </si>
  <si>
    <t>ADS-1909-20</t>
  </si>
  <si>
    <t>100(18)20-08-1699</t>
  </si>
  <si>
    <t>LTFRB-008-039</t>
  </si>
  <si>
    <t>Project Reference No. 2020-413-RFQ</t>
  </si>
  <si>
    <t>QSU-BAC-H-48-2020 05D Sower</t>
  </si>
  <si>
    <t>2020-08-0004 DepEd</t>
  </si>
  <si>
    <t>RCP20-08-0170</t>
  </si>
  <si>
    <t>POG-002-2020</t>
  </si>
  <si>
    <t>2020-NCOT-023GOODS</t>
  </si>
  <si>
    <t>PR NO. 695</t>
  </si>
  <si>
    <t>20-08-118</t>
  </si>
  <si>
    <t>2020-INFRA-4G</t>
  </si>
  <si>
    <t>Q-78</t>
  </si>
  <si>
    <t>POG/VWS/-68</t>
  </si>
  <si>
    <t>EQPT-2020-26</t>
  </si>
  <si>
    <t>2020-07-065</t>
  </si>
  <si>
    <t>PANG-2020-1106</t>
  </si>
  <si>
    <t>30-Goods-2020</t>
  </si>
  <si>
    <t>BW 2020-07-02</t>
  </si>
  <si>
    <t>NWD-2020-022</t>
  </si>
  <si>
    <t>APR No. 100-20-08-529</t>
  </si>
  <si>
    <t>CGS-2020-0242</t>
  </si>
  <si>
    <t>BSU Project No. 2020-311</t>
  </si>
  <si>
    <t>EQPT-2020-27</t>
  </si>
  <si>
    <t>SVP 20-0761</t>
  </si>
  <si>
    <t>SVP 20-0499</t>
  </si>
  <si>
    <t>202008151</t>
  </si>
  <si>
    <t>PB20200824-053</t>
  </si>
  <si>
    <t>EARIST-PQ-2020-053</t>
  </si>
  <si>
    <t>8/20/2020</t>
  </si>
  <si>
    <t>APR No. 100-20-08-555</t>
  </si>
  <si>
    <t>BAC-20-0095</t>
  </si>
  <si>
    <t>08-0054-20</t>
  </si>
  <si>
    <t>SVP GOODS 2020-021</t>
  </si>
  <si>
    <t>1000033813</t>
  </si>
  <si>
    <t>SVP 20-0761.1</t>
  </si>
  <si>
    <t>POG-03-2020</t>
  </si>
  <si>
    <t>RFQ NO. 2020-08-051</t>
  </si>
  <si>
    <t>004-09-2020</t>
  </si>
  <si>
    <t>20-08-0240</t>
  </si>
  <si>
    <t>PR NO.02020-08-005</t>
  </si>
  <si>
    <t>NP (G)-2020-001</t>
  </si>
  <si>
    <t>2020-08-1159</t>
  </si>
  <si>
    <t>PANG-2020-1107</t>
  </si>
  <si>
    <t>20GJF0154</t>
  </si>
  <si>
    <t>BGRY-2020-001</t>
  </si>
  <si>
    <t>138</t>
  </si>
  <si>
    <t>2020-07-066</t>
  </si>
  <si>
    <t>BANNA-RFQ-93(SMART TABLET)-2020</t>
  </si>
  <si>
    <t>IB-0824 #3 Package 66</t>
  </si>
  <si>
    <t>COA-RO1-2020-08-0009</t>
  </si>
  <si>
    <t>2020-08-224</t>
  </si>
  <si>
    <t>RFQ-2020-08-49</t>
  </si>
  <si>
    <t>PR NO. 844</t>
  </si>
  <si>
    <t>2020-08-089</t>
  </si>
  <si>
    <t>NCR 20-08-133</t>
  </si>
  <si>
    <t>BAC-20-0128 &amp; 0130</t>
  </si>
  <si>
    <t>IB-0824 #4 Package 67</t>
  </si>
  <si>
    <t>20GJF0155</t>
  </si>
  <si>
    <t>P.R. No. X2-20-08-379</t>
  </si>
  <si>
    <t>APR No. 100-20-08-538/04-273</t>
  </si>
  <si>
    <t>2020-8-2202</t>
  </si>
  <si>
    <t>20200824-03-G</t>
  </si>
  <si>
    <t>08-0055-20</t>
  </si>
  <si>
    <t>DA3-2020-08-17-124</t>
  </si>
  <si>
    <t>RFQ 2020-335</t>
  </si>
  <si>
    <t>IB-0824 #5 Package 68</t>
  </si>
  <si>
    <t>RFQ NO. 2020-08-052</t>
  </si>
  <si>
    <t>RFQ-2020-049</t>
  </si>
  <si>
    <t>3CEISG-1ST-02-20RMICTE</t>
  </si>
  <si>
    <t>20M0056</t>
  </si>
  <si>
    <t>POG-04-2020</t>
  </si>
  <si>
    <t>BB 2020-07-01</t>
  </si>
  <si>
    <t>OR 1360-20</t>
  </si>
  <si>
    <t>PRDP-IR-R012-SAR-004-000-000-2018-d /INFRA-2020-60</t>
  </si>
  <si>
    <t>RFQ 20-636A</t>
  </si>
  <si>
    <t>SANTIAGO, I. SUR 20-081</t>
  </si>
  <si>
    <t>RFQ # 20-05-050 (Goods)</t>
  </si>
  <si>
    <t>2020G -20-825</t>
  </si>
  <si>
    <t>19LG0122</t>
  </si>
  <si>
    <t>080-20</t>
  </si>
  <si>
    <t>2020-105</t>
  </si>
  <si>
    <t>DARFO2.CVRC.115.REC.2020-08-1041.00</t>
  </si>
  <si>
    <t>OR 1363-20</t>
  </si>
  <si>
    <t>cal08242020-04</t>
  </si>
  <si>
    <t>BANNA-RFQ-94(GASOLINE FOR MUN. VEHICLE)-2020</t>
  </si>
  <si>
    <t>RFQ 20-760</t>
  </si>
  <si>
    <t>APR No. 100-20-06-419</t>
  </si>
  <si>
    <t>BUHIGOODS202008-008</t>
  </si>
  <si>
    <t>ITB-2020-010 GOODS</t>
  </si>
  <si>
    <t>08-0056-20</t>
  </si>
  <si>
    <t>2020-07-1030</t>
  </si>
  <si>
    <t>P.R. No. X2-20-08-375</t>
  </si>
  <si>
    <t>CAL-2020-01-004</t>
  </si>
  <si>
    <t>08-PR-2020-0050</t>
  </si>
  <si>
    <t>20-08-187</t>
  </si>
  <si>
    <t>PANG-2020-1108</t>
  </si>
  <si>
    <t>SD-Engineering2020-060</t>
  </si>
  <si>
    <t>HPN-0820-321</t>
  </si>
  <si>
    <t>GF-20-03-00542</t>
  </si>
  <si>
    <t>LCWD-2020-006 Provision of Accredited Certifying B</t>
  </si>
  <si>
    <t>GOODS 2020-292(SVP)</t>
  </si>
  <si>
    <t>RFQ 2020-08-010</t>
  </si>
  <si>
    <t>Quotation No. 20-07-0441</t>
  </si>
  <si>
    <t>100-2008-852</t>
  </si>
  <si>
    <t>RFQ # 20-05-049 (Goods)</t>
  </si>
  <si>
    <t>ITB-GOODS-2020-08-046</t>
  </si>
  <si>
    <t>RFQ # 20-05-048 (Goods)</t>
  </si>
  <si>
    <t>BUHIGOODS202008-009</t>
  </si>
  <si>
    <t>IB-0824 #6 Package 69</t>
  </si>
  <si>
    <t>RFQ 20-775</t>
  </si>
  <si>
    <t>ITB-2020-011 GOODS</t>
  </si>
  <si>
    <t>2020C - 21-825</t>
  </si>
  <si>
    <t>20M0055</t>
  </si>
  <si>
    <t>2019-8-425</t>
  </si>
  <si>
    <t>ITB No. 2020-04(01)</t>
  </si>
  <si>
    <t>PANG-2020-1109</t>
  </si>
  <si>
    <t>PANG-2020-1110</t>
  </si>
  <si>
    <t>32-06-20-705-14IB</t>
  </si>
  <si>
    <t>PANG-2020-1111</t>
  </si>
  <si>
    <t>2020-GOODS-372</t>
  </si>
  <si>
    <t>OR 1356-20</t>
  </si>
  <si>
    <t>2020 ITB - 040</t>
  </si>
  <si>
    <t>20-07-078</t>
  </si>
  <si>
    <t>100-2008-911</t>
  </si>
  <si>
    <t>100-2008-910</t>
  </si>
  <si>
    <t>GOODS 2020-294(SVP)</t>
  </si>
  <si>
    <t>172.2020</t>
  </si>
  <si>
    <t>BRGY_CAIGANGAN01</t>
  </si>
  <si>
    <t>Quotation No. 20-07-0443</t>
  </si>
  <si>
    <t>Quotation No. 20-07-0446</t>
  </si>
  <si>
    <t>PANG-2020-1112</t>
  </si>
  <si>
    <t>20200015</t>
  </si>
  <si>
    <t>GSO-20-08-0387</t>
  </si>
  <si>
    <t>2020 - 09 - 001 (149 - Shopping)</t>
  </si>
  <si>
    <t>BUHIGOODS202008-012</t>
  </si>
  <si>
    <t>GOODS 2020-293(SVP)</t>
  </si>
  <si>
    <t>RFQ2020-08-0292 (PR#300-20-08-0395)</t>
  </si>
  <si>
    <t>BUHIGOODS202008-011</t>
  </si>
  <si>
    <t>BXU-2020-39</t>
  </si>
  <si>
    <t>Quotation No. 20-07-0444</t>
  </si>
  <si>
    <t>3CEISG-1ST-03-20RMOS</t>
  </si>
  <si>
    <t>GF-20-06-00935</t>
  </si>
  <si>
    <t>08-20-0553</t>
  </si>
  <si>
    <t>Quotation No. 20-07-0445</t>
  </si>
  <si>
    <t>BUHIGOODS202008-010</t>
  </si>
  <si>
    <t>08-20-0555</t>
  </si>
  <si>
    <t>RFQ-8-24-2020-03</t>
  </si>
  <si>
    <t>RFQ 20-782</t>
  </si>
  <si>
    <t>HPN-0720-264</t>
  </si>
  <si>
    <t>2020-GOODS-373</t>
  </si>
  <si>
    <t>P.R. No. X2-20-08-372</t>
  </si>
  <si>
    <t>2020-02-0082</t>
  </si>
  <si>
    <t>2020-02-0083</t>
  </si>
  <si>
    <t>2020-08-490</t>
  </si>
  <si>
    <t>SP 2020-08-02</t>
  </si>
  <si>
    <t>PBgoods026-2020</t>
  </si>
  <si>
    <t>IB NO. PB-2020-08-26</t>
  </si>
  <si>
    <t>N 40 C 2020</t>
  </si>
  <si>
    <t>20-08-680</t>
  </si>
  <si>
    <t>Quotation No. 20-07-0449</t>
  </si>
  <si>
    <t>2020-infra-003</t>
  </si>
  <si>
    <t>AMP-RFQ 2020-091</t>
  </si>
  <si>
    <t>2020-205</t>
  </si>
  <si>
    <t>2020-08-13-0171</t>
  </si>
  <si>
    <t>2020-08-029-101</t>
  </si>
  <si>
    <t>RFQ-081-2020-SVP</t>
  </si>
  <si>
    <t>RFQ-GOODS-2020-102</t>
  </si>
  <si>
    <t>HPN-0720-262</t>
  </si>
  <si>
    <t>PR-2020-4000004614</t>
  </si>
  <si>
    <t>RFQ-2020-42</t>
  </si>
  <si>
    <t>PANG-2020-1114</t>
  </si>
  <si>
    <t>Quotation No. 20-07-0451</t>
  </si>
  <si>
    <t>20GAJ0007</t>
  </si>
  <si>
    <t>RFQ-2020-43</t>
  </si>
  <si>
    <t>2020 - 09 - 001 (151 - Shopping)</t>
  </si>
  <si>
    <t>08-20-0569</t>
  </si>
  <si>
    <t>GOODS 2020-295(SVP)</t>
  </si>
  <si>
    <t>2020C -23-285</t>
  </si>
  <si>
    <t>1000200801247</t>
  </si>
  <si>
    <t>GOODS-2020-08-16</t>
  </si>
  <si>
    <t>1000033814</t>
  </si>
  <si>
    <t>3CEISG-1ST-04-20RMBLDG</t>
  </si>
  <si>
    <t>Quotation No. 20-07-0442</t>
  </si>
  <si>
    <t>Quotation No. 20-07-0450</t>
  </si>
  <si>
    <t>2020C - 22-825</t>
  </si>
  <si>
    <t>RPQ 2020-08-111</t>
  </si>
  <si>
    <t>2020-206</t>
  </si>
  <si>
    <t>Quotation No. 20-07-0447</t>
  </si>
  <si>
    <t>2020-GOODS-374</t>
  </si>
  <si>
    <t>PANG-2020-1113</t>
  </si>
  <si>
    <t>IAEB NO. 2020-016</t>
  </si>
  <si>
    <t>RFQ for RM Building &amp; Other Structures</t>
  </si>
  <si>
    <t>BSU Project No. 2020-312</t>
  </si>
  <si>
    <t>2020 - 09 - 001 (150 - Shopping)</t>
  </si>
  <si>
    <t>0881</t>
  </si>
  <si>
    <t>PR 2020-07-0280 A</t>
  </si>
  <si>
    <t>CONTRACT ID #: 20-08-113</t>
  </si>
  <si>
    <t>GF-20-05-00820</t>
  </si>
  <si>
    <t>Quotation No. 20-07-0454</t>
  </si>
  <si>
    <t>ITB 20-0080</t>
  </si>
  <si>
    <t>Quotation No. 20-07-0448</t>
  </si>
  <si>
    <t>2020 - 09 - 001 (152 - Shopping)</t>
  </si>
  <si>
    <t>2020-163</t>
  </si>
  <si>
    <t>2020-G-253</t>
  </si>
  <si>
    <t>APR No. 100-20-08-539</t>
  </si>
  <si>
    <t>GSO-20-08-0388</t>
  </si>
  <si>
    <t>2020-212</t>
  </si>
  <si>
    <t>Quotation No. 20-07-0453</t>
  </si>
  <si>
    <t>ATI-RTC3-2020-0118</t>
  </si>
  <si>
    <t>2020-406</t>
  </si>
  <si>
    <t>PR-11235</t>
  </si>
  <si>
    <t>LANGUB ITB 2020-02</t>
  </si>
  <si>
    <t>MO-005</t>
  </si>
  <si>
    <t>P-RFQ No. 2020-019</t>
  </si>
  <si>
    <t>DARFO2.CVRC.115.REC.2020-08-1040.00</t>
  </si>
  <si>
    <t>Quotation No. 20-07-0455</t>
  </si>
  <si>
    <t>BP-082420-039</t>
  </si>
  <si>
    <t>2020-08-120</t>
  </si>
  <si>
    <t>2020-09-15-466PG</t>
  </si>
  <si>
    <t>Quotation No. 20-07-0458</t>
  </si>
  <si>
    <t>Tadian LGU 2020 -05</t>
  </si>
  <si>
    <t>SANTIAGO, I. SUR 20-083</t>
  </si>
  <si>
    <t>R4-ORD-ARDMS-ADM-20-07-452</t>
  </si>
  <si>
    <t>2020-211</t>
  </si>
  <si>
    <t>ITB No. 2020-04(02)</t>
  </si>
  <si>
    <t>2020-G-022</t>
  </si>
  <si>
    <t>147</t>
  </si>
  <si>
    <t>Quotation No. 20-07-0457</t>
  </si>
  <si>
    <t>SVP 20-0733</t>
  </si>
  <si>
    <t>44</t>
  </si>
  <si>
    <t>1000033815</t>
  </si>
  <si>
    <t>PR0145-20 PGO</t>
  </si>
  <si>
    <t>Quotation No. 20-07-0460</t>
  </si>
  <si>
    <t>2020-08-0141</t>
  </si>
  <si>
    <t>ITB 2020-08-0002</t>
  </si>
  <si>
    <t>0700-2020-08-047</t>
  </si>
  <si>
    <t>RFQ2020-08-0294 (PR#1011-20-08-0400)</t>
  </si>
  <si>
    <t>ITB No. 2020-04(03)</t>
  </si>
  <si>
    <t>07-20-0542</t>
  </si>
  <si>
    <t>2020-G-001</t>
  </si>
  <si>
    <t>BAC-PG-00209-20</t>
  </si>
  <si>
    <t>GF-20-02-00060</t>
  </si>
  <si>
    <t>0820-691-102</t>
  </si>
  <si>
    <t>LGU BASILISA - 2020 - 0159</t>
  </si>
  <si>
    <t>2020-07-1140</t>
  </si>
  <si>
    <t>2020-213</t>
  </si>
  <si>
    <t>CONTRACT ID: 20-08-114</t>
  </si>
  <si>
    <t>2020-01 (Brgy. Tamlangon)</t>
  </si>
  <si>
    <t>RFQ2020-08-0293 (PR#8980-20-08-0396)</t>
  </si>
  <si>
    <t>2020-02 (Brgy. Tamlangon)</t>
  </si>
  <si>
    <t>AMP NO. 2020-05</t>
  </si>
  <si>
    <t>20-08-252</t>
  </si>
  <si>
    <t>IB-0824 #7 Package 70</t>
  </si>
  <si>
    <t>ITB NO. 2020-04(04)</t>
  </si>
  <si>
    <t>GF-20-03-00505</t>
  </si>
  <si>
    <t>pal-20-08-026</t>
  </si>
  <si>
    <t>BAC 2020-024</t>
  </si>
  <si>
    <t>Quotation No. 20-07-0459</t>
  </si>
  <si>
    <t>BP-082420-040</t>
  </si>
  <si>
    <t>2020-08-0163</t>
  </si>
  <si>
    <t>100-2020-07-882</t>
  </si>
  <si>
    <t>SDO-RFQ20-042</t>
  </si>
  <si>
    <t>1000033817</t>
  </si>
  <si>
    <t>mal-PB-2020-003</t>
  </si>
  <si>
    <t>53E4-056-20</t>
  </si>
  <si>
    <t>2020-09-15-467PG</t>
  </si>
  <si>
    <t>ITB14-GOODS-RESCUEVEHICLE</t>
  </si>
  <si>
    <t>100-2020-07-881</t>
  </si>
  <si>
    <t>2020ALISHS-06-19</t>
  </si>
  <si>
    <t>HPN-0720-261</t>
  </si>
  <si>
    <t>42</t>
  </si>
  <si>
    <t>GOODS-2020-053</t>
  </si>
  <si>
    <t>GF-20-03-00565</t>
  </si>
  <si>
    <t>RFQDepEdCabCity-09-2020</t>
  </si>
  <si>
    <t>0598</t>
  </si>
  <si>
    <t>2020-8-7070</t>
  </si>
  <si>
    <t>20-08-30</t>
  </si>
  <si>
    <t>BAC 2020-025</t>
  </si>
  <si>
    <t>PR202008-0009</t>
  </si>
  <si>
    <t>NICTC-0820-055</t>
  </si>
  <si>
    <t>Infra-2020-12</t>
  </si>
  <si>
    <t>20GCK0048</t>
  </si>
  <si>
    <t>41</t>
  </si>
  <si>
    <t>PO20-08-0409</t>
  </si>
  <si>
    <t>NICTC-0820-054</t>
  </si>
  <si>
    <t>2020-devmh-134</t>
  </si>
  <si>
    <t>2020-09-15-468PG</t>
  </si>
  <si>
    <t>HPN-0620-0278</t>
  </si>
  <si>
    <t>WPU-2020-057</t>
  </si>
  <si>
    <t>HPN-0720-314</t>
  </si>
  <si>
    <t>BAC 2020-027</t>
  </si>
  <si>
    <t>100-2020-07-878</t>
  </si>
  <si>
    <t>T-0720-200</t>
  </si>
  <si>
    <t>2020-08-069</t>
  </si>
  <si>
    <t>800</t>
  </si>
  <si>
    <t>2020-devmh-133</t>
  </si>
  <si>
    <t>HPN-720-311</t>
  </si>
  <si>
    <t>40</t>
  </si>
  <si>
    <t>2020-09-15-469PG</t>
  </si>
  <si>
    <t>100-2020-07-880</t>
  </si>
  <si>
    <t>2020-06-007</t>
  </si>
  <si>
    <t>R-2020-08-RTF-ELCAC</t>
  </si>
  <si>
    <t>RFQ-8-24-2020</t>
  </si>
  <si>
    <t>BAC 2020-026</t>
  </si>
  <si>
    <t>RFQ No. 2020-045</t>
  </si>
  <si>
    <t>100-2020-07-879</t>
  </si>
  <si>
    <t>072020-0185</t>
  </si>
  <si>
    <t>2020-08-067</t>
  </si>
  <si>
    <t>INFRA RX-2020-001</t>
  </si>
  <si>
    <t>WPU-2020-056</t>
  </si>
  <si>
    <t>011a-G-2020 (GF)</t>
  </si>
  <si>
    <t>409THCO-GHQ&amp;HSC-RMMV-181-20</t>
  </si>
  <si>
    <t>PO20-08-0408</t>
  </si>
  <si>
    <t>ATI-RTC3-2020-0121</t>
  </si>
  <si>
    <t>35-2020</t>
  </si>
  <si>
    <t>CSI-2020-032</t>
  </si>
  <si>
    <t>2020-0611</t>
  </si>
  <si>
    <t>LGU Nasipit-2020-076</t>
  </si>
  <si>
    <t>ATI-RTC3-2020-0120</t>
  </si>
  <si>
    <t>BAC EP 2020-003A Rebidding</t>
  </si>
  <si>
    <t>RFQ No. 2020- 15</t>
  </si>
  <si>
    <t>Y-0820-213</t>
  </si>
  <si>
    <t>PR 2020-08-0337</t>
  </si>
  <si>
    <t>20-08-031</t>
  </si>
  <si>
    <t>2020ALISHS-06-20</t>
  </si>
  <si>
    <t>ANTI-32-20</t>
  </si>
  <si>
    <t>3CEISG-2ND-01-20RMICTE</t>
  </si>
  <si>
    <t>PF-0720-711</t>
  </si>
  <si>
    <t>SVP2020-211</t>
  </si>
  <si>
    <t>RFQ2020-08-0268 (PR#3323-20-07-0375)</t>
  </si>
  <si>
    <t>N-10-2020</t>
  </si>
  <si>
    <t>GOODS-PB-2020-010</t>
  </si>
  <si>
    <t>2020-08-316</t>
  </si>
  <si>
    <t>100-2020-05-708</t>
  </si>
  <si>
    <t>CS 08-001-20</t>
  </si>
  <si>
    <t>100-2020-08-961</t>
  </si>
  <si>
    <t>PF-0820-790</t>
  </si>
  <si>
    <t>2020-08-115</t>
  </si>
  <si>
    <t>ANTI-34-20</t>
  </si>
  <si>
    <t>HPN-0820-320</t>
  </si>
  <si>
    <t>nsqcsreg032020-010</t>
  </si>
  <si>
    <t>2020-G-023 LOT 01</t>
  </si>
  <si>
    <t>19LG0123</t>
  </si>
  <si>
    <t>2020-07-11</t>
  </si>
  <si>
    <t>PR202-559</t>
  </si>
  <si>
    <t>20-08-148-01</t>
  </si>
  <si>
    <t>2020-08-068</t>
  </si>
  <si>
    <t>RFQ 109-2020</t>
  </si>
  <si>
    <t>SINS-Inf-2020-06</t>
  </si>
  <si>
    <t>0025-S-2020</t>
  </si>
  <si>
    <t>3LSSM2020A-209</t>
  </si>
  <si>
    <t>PR 2020-575</t>
  </si>
  <si>
    <t>ANTI-38-20</t>
  </si>
  <si>
    <t>3LSSM2020A-208</t>
  </si>
  <si>
    <t>30-20</t>
  </si>
  <si>
    <t>082420-87</t>
  </si>
  <si>
    <t>3LSSM2020A-210</t>
  </si>
  <si>
    <t>PF-0820-795</t>
  </si>
  <si>
    <t>PF-0820-793</t>
  </si>
  <si>
    <t>PF-0820-791</t>
  </si>
  <si>
    <t>PF-0820-797</t>
  </si>
  <si>
    <t>2020-G-024</t>
  </si>
  <si>
    <t>R4B-GS-2020-03</t>
  </si>
  <si>
    <t>2020-G-023 LOT 2</t>
  </si>
  <si>
    <t>2020-08-010</t>
  </si>
  <si>
    <t>100-2020-08-953</t>
  </si>
  <si>
    <t>RFQ2020-07-0258 (PR#1091-20-07-0356)</t>
  </si>
  <si>
    <t>ANTI-36-20</t>
  </si>
  <si>
    <t>3LSSM2020A-217</t>
  </si>
  <si>
    <t>2020-08-317</t>
  </si>
  <si>
    <t>2020-08-318</t>
  </si>
  <si>
    <t>RFQ No. 2020-08-006</t>
  </si>
  <si>
    <t>3LSSM2020A-216</t>
  </si>
  <si>
    <t>RFQ2020-07-0206 (PR#1071-20-06-0292)</t>
  </si>
  <si>
    <t>08242020D</t>
  </si>
  <si>
    <t>3LSSM2020A-214</t>
  </si>
  <si>
    <t>082420-88</t>
  </si>
  <si>
    <t>3LSSM2020A-213</t>
  </si>
  <si>
    <t>3LSSM2020A-212</t>
  </si>
  <si>
    <t>56,300.00</t>
  </si>
  <si>
    <t>CWD 42-2020</t>
  </si>
  <si>
    <t>2020-08-017</t>
  </si>
  <si>
    <t>3LSSM2020A-211</t>
  </si>
  <si>
    <t>R4B-GS-2020-04</t>
  </si>
  <si>
    <t>3LSSM2020A-215</t>
  </si>
  <si>
    <t>011</t>
  </si>
  <si>
    <t>SPC PR No. 4000004523</t>
  </si>
  <si>
    <t>DepED-RO6-D1-2020BEFFGABALDONREPAIR-057-2020</t>
  </si>
  <si>
    <t>2020-08-37</t>
  </si>
  <si>
    <t>3LSSM2020A-196</t>
  </si>
  <si>
    <t>3LSSM2020A-195</t>
  </si>
  <si>
    <t>2020ALISHS-06-21</t>
  </si>
  <si>
    <t>GF-20-02-00306B</t>
  </si>
  <si>
    <t>2020-44</t>
  </si>
  <si>
    <t>01-20</t>
  </si>
  <si>
    <t>2020-033g (Reposting)</t>
  </si>
  <si>
    <t>DepED-RO6-D1-2020QRF(REPAIR)REBID-C5-062-2020</t>
  </si>
  <si>
    <t>PB 2020-INFRA-002</t>
  </si>
  <si>
    <t>3LSSM2020A-199</t>
  </si>
  <si>
    <t>RFQ-2020-014 SHS</t>
  </si>
  <si>
    <t>3LSSM2020A-184</t>
  </si>
  <si>
    <t>DepED-RO6-D1-2020QRF(REPAIR)REBID-C4-061-2020</t>
  </si>
  <si>
    <t>PR2020-557</t>
  </si>
  <si>
    <t>DepED-RO6-D1-2020QRF(REPAIR)REBID-C3-060-2020</t>
  </si>
  <si>
    <t>20GFC0062</t>
  </si>
  <si>
    <t>2020-08-38</t>
  </si>
  <si>
    <t>0518</t>
  </si>
  <si>
    <t>20GFC0061</t>
  </si>
  <si>
    <t>IB NO. 2020-08-57 R Procurement of AUTOCLAVE MACHI</t>
  </si>
  <si>
    <t>3LSSM2020A-186</t>
  </si>
  <si>
    <t>19LD0133</t>
  </si>
  <si>
    <t>20-08-02-24</t>
  </si>
  <si>
    <t>2020-033</t>
  </si>
  <si>
    <t>3LSSM2020A-203</t>
  </si>
  <si>
    <t>3LSSM2020A-202</t>
  </si>
  <si>
    <t>GF-20-03-00406B</t>
  </si>
  <si>
    <t>RFQ-2020-015 SHS</t>
  </si>
  <si>
    <t>DepED-RO6-D1-2020QRF(REPAIR)REBID-C7-064-2020</t>
  </si>
  <si>
    <t>DepED-RO6-D1-2020QRF(REPAIR)REBID-C8-065-2020</t>
  </si>
  <si>
    <t>0882</t>
  </si>
  <si>
    <t>real08-2020-02</t>
  </si>
  <si>
    <t>3LSSM2020A-198</t>
  </si>
  <si>
    <t>20E00103-R1</t>
  </si>
  <si>
    <t>DepED-RO6-D1-2020QRF(REPAIR)REBID-C6-063-2020</t>
  </si>
  <si>
    <t>3LSSM2020A-188</t>
  </si>
  <si>
    <t>3LSSM2020A-206</t>
  </si>
  <si>
    <t>RFQ INFRA 01-2020</t>
  </si>
  <si>
    <t>80-20-08-108</t>
  </si>
  <si>
    <t>0921</t>
  </si>
  <si>
    <t>G-BRGY-Improvement of Barangay Health Center - Brg</t>
  </si>
  <si>
    <t>PB 2020-INFRA-003</t>
  </si>
  <si>
    <t>PF-0720-713</t>
  </si>
  <si>
    <t>20-08-03-25</t>
  </si>
  <si>
    <t>2020-35g (Reposting)</t>
  </si>
  <si>
    <t>ITB# 49-2020 Medical, Dental &amp; Laboratory Supplies</t>
  </si>
  <si>
    <t>IB NO. 2020-08-58 Procurement of 2D ECHOCARDIOGRAM</t>
  </si>
  <si>
    <t>SEF-20-02-00376B</t>
  </si>
  <si>
    <t>3LSSM2020A-205</t>
  </si>
  <si>
    <t>50-20-06-051</t>
  </si>
  <si>
    <t>80-20-07-101</t>
  </si>
  <si>
    <t>real08-2020-03</t>
  </si>
  <si>
    <t>08-24-20</t>
  </si>
  <si>
    <t>ITB# 48-2020 Medical, Dental &amp; Laboratory Supplies</t>
  </si>
  <si>
    <t>3LSSM2020A-207</t>
  </si>
  <si>
    <t>3LSSM2020A-190</t>
  </si>
  <si>
    <t>1265-20BAC</t>
  </si>
  <si>
    <t>3LSSM2020A-189</t>
  </si>
  <si>
    <t>SINS-Inf-2020-07</t>
  </si>
  <si>
    <t>20BD0015</t>
  </si>
  <si>
    <t>1022-2020-0039</t>
  </si>
  <si>
    <t>DepED-RO6-D1-2020QRF(REPAIR)REBID-C9-066-2020</t>
  </si>
  <si>
    <t>DepED-RO6-D1-2020QRF(REPAIR)REBID-C10-067-2020</t>
  </si>
  <si>
    <t>20E00104-R1</t>
  </si>
  <si>
    <t>30-20-07-081</t>
  </si>
  <si>
    <t>3LSSM2020A-201</t>
  </si>
  <si>
    <t>GLQ-2020-17</t>
  </si>
  <si>
    <t>0967</t>
  </si>
  <si>
    <t>RFQ-2020-016 SHS</t>
  </si>
  <si>
    <t>AMP SVP-S NO: 20-08-0431A</t>
  </si>
  <si>
    <t>3LSSM2020A-185</t>
  </si>
  <si>
    <t>20E00105-R1</t>
  </si>
  <si>
    <t>IB No. 002-20</t>
  </si>
  <si>
    <t>3LSSM2020A-192</t>
  </si>
  <si>
    <t>GF-20-02-00196B</t>
  </si>
  <si>
    <t>2020-INFRA-064</t>
  </si>
  <si>
    <t>3LSSM2020A-187</t>
  </si>
  <si>
    <t>SH 003-20 (SBAC)</t>
  </si>
  <si>
    <t>08-005</t>
  </si>
  <si>
    <t>PANG-2020-1118</t>
  </si>
  <si>
    <t>3LSSM2020A-204</t>
  </si>
  <si>
    <t>IB No. 003-20</t>
  </si>
  <si>
    <t>1042-2020-0021</t>
  </si>
  <si>
    <t>2020-039-RFQ</t>
  </si>
  <si>
    <t>3LSSM2020A-193</t>
  </si>
  <si>
    <t>2020-INFRA-063</t>
  </si>
  <si>
    <t>2020-41g</t>
  </si>
  <si>
    <t>20E00106-R1</t>
  </si>
  <si>
    <t>0968</t>
  </si>
  <si>
    <t>sawat08-2020</t>
  </si>
  <si>
    <t>1016-2020-0028</t>
  </si>
  <si>
    <t>2020-034</t>
  </si>
  <si>
    <t>20E00108-R1</t>
  </si>
  <si>
    <t>2020-08-BLGUC-TF-0033</t>
  </si>
  <si>
    <t>MAINT 2020-08-0039</t>
  </si>
  <si>
    <t>1016-2020-0022</t>
  </si>
  <si>
    <t>20E00107-R1</t>
  </si>
  <si>
    <t>SH 054-20</t>
  </si>
  <si>
    <t>WOR 20-005</t>
  </si>
  <si>
    <t>PANG-2020-1138</t>
  </si>
  <si>
    <t>IB NO. 2020-08-60 Procurement of NASAL HIGH FLOW M</t>
  </si>
  <si>
    <t>poblacion08-2020</t>
  </si>
  <si>
    <t>pisuac08-2020-01</t>
  </si>
  <si>
    <t>DA3-2020-08-18-132</t>
  </si>
  <si>
    <t>IB No. AA-2020-005</t>
  </si>
  <si>
    <t>PANG-2020-1117</t>
  </si>
  <si>
    <t>2020-032</t>
  </si>
  <si>
    <t>INFRA 20-003</t>
  </si>
  <si>
    <t>19E00067</t>
  </si>
  <si>
    <t>IB NO. 2020-08-59 R Procurement of VARIOUS I.T. EQ</t>
  </si>
  <si>
    <t>IB No. 004-20</t>
  </si>
  <si>
    <t>19E00066</t>
  </si>
  <si>
    <t>PUR20-06-0560, 0551,0521, 0522,  0729, 0758</t>
  </si>
  <si>
    <t>AMP SVP-D NO: 20-08-0391C</t>
  </si>
  <si>
    <t>PANG-2020-1163</t>
  </si>
  <si>
    <t>camanbugan08-2020</t>
  </si>
  <si>
    <t>NEG. PROC. 53.10 U-2020-08-007</t>
  </si>
  <si>
    <t>SW-1008-2020-0124</t>
  </si>
  <si>
    <t>IB NO. 2020-08-61 R Procurement of TRANSPORT STRET</t>
  </si>
  <si>
    <t>pasibiwest082020</t>
  </si>
  <si>
    <t>1012-2020-0062</t>
  </si>
  <si>
    <t>poblacion08-2020-02</t>
  </si>
  <si>
    <t>SW-1008-2020-0123</t>
  </si>
  <si>
    <t>IB No. K-2020-005</t>
  </si>
  <si>
    <t>pr 2020-08-088</t>
  </si>
  <si>
    <t>1012-2020-0070</t>
  </si>
  <si>
    <t>AMP SVP-D NO: 20-08-0328C</t>
  </si>
  <si>
    <t>Budget Certificate No. 350-2020</t>
  </si>
  <si>
    <t>BAC GS Nos. 2020-0335 and -0342 04 August 2020</t>
  </si>
  <si>
    <t>1012-2020-0042</t>
  </si>
  <si>
    <t>2020 - 010</t>
  </si>
  <si>
    <t>08240003</t>
  </si>
  <si>
    <t>PIN2020-098</t>
  </si>
  <si>
    <t>2020-039</t>
  </si>
  <si>
    <t>IB. NO. K-2020-102(SC)</t>
  </si>
  <si>
    <t>IB. NO. K-2020-101(SC)</t>
  </si>
  <si>
    <t>IB NO. 2020-08-62 R Procurement of OPERATING TABLE</t>
  </si>
  <si>
    <t>ECC-Supply 2020-08-030</t>
  </si>
  <si>
    <t>RFQ 2020-63</t>
  </si>
  <si>
    <t>benticayan2020-001</t>
  </si>
  <si>
    <t>IB. NO. K-2020-100(SC)</t>
  </si>
  <si>
    <t>2020-08-142</t>
  </si>
  <si>
    <t>IB No. K-2020-004</t>
  </si>
  <si>
    <t>AMP SVP-D NO: 20-08-0342D</t>
  </si>
  <si>
    <t>MPG-B1-2020-349</t>
  </si>
  <si>
    <t>PIN2020-097</t>
  </si>
  <si>
    <t>Budget Certificate No. 354-2020</t>
  </si>
  <si>
    <t>1012-2020-0038</t>
  </si>
  <si>
    <t>dpwh-c2-deo 20GSHE0018</t>
  </si>
  <si>
    <t>MROD PR No. 1000033229</t>
  </si>
  <si>
    <t>SW-1008-2020-0125</t>
  </si>
  <si>
    <t>RFQ 2020-62</t>
  </si>
  <si>
    <t>RFQ 2020-65</t>
  </si>
  <si>
    <t>AMP SVP-D NO: 20-08-0273B</t>
  </si>
  <si>
    <t>1012-2020-0061</t>
  </si>
  <si>
    <t>RFQ 08-20-109</t>
  </si>
  <si>
    <t>ana-2020-004</t>
  </si>
  <si>
    <t>1029-2020-0019</t>
  </si>
  <si>
    <t>ITB No. 2020-INFRA-9(01)</t>
  </si>
  <si>
    <t>2020-08-144</t>
  </si>
  <si>
    <t>2020-08-143</t>
  </si>
  <si>
    <t>AMP SVP-D NO: 20-08-0242C</t>
  </si>
  <si>
    <t>RFQ 2020-66</t>
  </si>
  <si>
    <t xml:space="preserve">IB NO. 2020-08-63 R Procurement of INFANT RADIANT </t>
  </si>
  <si>
    <t>ITB No. 2020-GOODS-9(01)</t>
  </si>
  <si>
    <t>1029-2020-0018</t>
  </si>
  <si>
    <t>PANG-2020-1160</t>
  </si>
  <si>
    <t>2020-08-145</t>
  </si>
  <si>
    <t>2020-INFRA-065</t>
  </si>
  <si>
    <t>0974</t>
  </si>
  <si>
    <t>RFQ 2020-64</t>
  </si>
  <si>
    <t>PANG-2020-1137</t>
  </si>
  <si>
    <t>BOC-GOODS-RFQ-84-2020</t>
  </si>
  <si>
    <t>IB No. 005-20</t>
  </si>
  <si>
    <t>dpwh-c2-deo 20GSHE0017</t>
  </si>
  <si>
    <t>1016-2020-0020</t>
  </si>
  <si>
    <t>3LSSM2020A-194</t>
  </si>
  <si>
    <t>MAINT 2020-07-0036</t>
  </si>
  <si>
    <t>3LSSM2020A-191</t>
  </si>
  <si>
    <t>MAINT 2020-07-0030</t>
  </si>
  <si>
    <t>PANG-2020-1116</t>
  </si>
  <si>
    <t>AMP SVP-D NO: 20-08-0210C</t>
  </si>
  <si>
    <t>RFQ 2020-69</t>
  </si>
  <si>
    <t>H02-Sept-20</t>
  </si>
  <si>
    <t>2020129</t>
  </si>
  <si>
    <t>2020-PB-SS-AGUS5-025-02</t>
  </si>
  <si>
    <t>malibong08-2020</t>
  </si>
  <si>
    <t>RFQ 2020-68</t>
  </si>
  <si>
    <t>2020128</t>
  </si>
  <si>
    <t>1012-2020-0044</t>
  </si>
  <si>
    <t>1016-2020-0026</t>
  </si>
  <si>
    <t>2847</t>
  </si>
  <si>
    <t>RFQ 08-20-110</t>
  </si>
  <si>
    <t>POW-038-2020</t>
  </si>
  <si>
    <t>RFQ 2020-67</t>
  </si>
  <si>
    <t>2020-1509-019</t>
  </si>
  <si>
    <t>PUR20-08-0699</t>
  </si>
  <si>
    <t>RFQ No. 2020 TFB-7</t>
  </si>
  <si>
    <t>2020-08-148</t>
  </si>
  <si>
    <t>PZDS-2020-08-062-IB</t>
  </si>
  <si>
    <t>POW-040-2020</t>
  </si>
  <si>
    <t>geps-2020-003</t>
  </si>
  <si>
    <t>RFQ 2020-71</t>
  </si>
  <si>
    <t>2839</t>
  </si>
  <si>
    <t>2020-08-146</t>
  </si>
  <si>
    <t>1012-2020-0037</t>
  </si>
  <si>
    <t>RFQ 2020-70</t>
  </si>
  <si>
    <t>2020131</t>
  </si>
  <si>
    <t>KAES - 2020 - 08 - 007</t>
  </si>
  <si>
    <t>H04-Sept-20</t>
  </si>
  <si>
    <t>RFQ 2020-73</t>
  </si>
  <si>
    <t>RFQ No. 2020 TFB-6</t>
  </si>
  <si>
    <t>RFQ 2020-08-0732</t>
  </si>
  <si>
    <t>1012-2020-0073</t>
  </si>
  <si>
    <t>INFRA2020-053</t>
  </si>
  <si>
    <t>RFQ 2020-72</t>
  </si>
  <si>
    <t>UPLB-S-055-09-20</t>
  </si>
  <si>
    <t>SR-2020-07-071</t>
  </si>
  <si>
    <t>ana-2020-003</t>
  </si>
  <si>
    <t>V06-Sept-20</t>
  </si>
  <si>
    <t>V07-Sept-20</t>
  </si>
  <si>
    <t>RFQ No. 2020 Shopping-99</t>
  </si>
  <si>
    <t>UPLB-S-056-09-20</t>
  </si>
  <si>
    <t>AMP SVP-D NO: 20-08-0292A</t>
  </si>
  <si>
    <t>2020-12-202A</t>
  </si>
  <si>
    <t>RFQ 2020-77</t>
  </si>
  <si>
    <t>002-20</t>
  </si>
  <si>
    <t>R3-BANE-GAA-2019-AU-137</t>
  </si>
  <si>
    <t>2020-07-0072</t>
  </si>
  <si>
    <t>2020-PB-SS-AGUS6/7-026-02</t>
  </si>
  <si>
    <t>RFQ 2020-76</t>
  </si>
  <si>
    <t>00227-2019</t>
  </si>
  <si>
    <t>1012-2020-0040</t>
  </si>
  <si>
    <t>ITB-2020-01</t>
  </si>
  <si>
    <t>MODULE REPRODUCTION QUARTER 1 BALULANG ES</t>
  </si>
  <si>
    <t>RFQ 2020-75</t>
  </si>
  <si>
    <t>SB4 POP 200-20-08-10021</t>
  </si>
  <si>
    <t>SB4 AMH 200-20-08-10460</t>
  </si>
  <si>
    <t>RFQ 2020-74</t>
  </si>
  <si>
    <t>20-08-119</t>
  </si>
  <si>
    <t>20-07-113</t>
  </si>
  <si>
    <t>AMP SVP-D NO: 20-08-0300D</t>
  </si>
  <si>
    <t>AMP SVP-S NO: 20-08-0228D</t>
  </si>
  <si>
    <t>V05-Sept-20</t>
  </si>
  <si>
    <t>RFQ No. 2020 TFB-8</t>
  </si>
  <si>
    <t>1012-2020-0045</t>
  </si>
  <si>
    <t>MAFAR-08-216-2020</t>
  </si>
  <si>
    <t>BFP BAC IB No. 003 (G) s. 2020</t>
  </si>
  <si>
    <t>GS 2020-008-030</t>
  </si>
  <si>
    <t>MAFAR-08-215-2020</t>
  </si>
  <si>
    <t>SINS-Inf-2020-08</t>
  </si>
  <si>
    <t>FB20-02-005CORb-03</t>
  </si>
  <si>
    <t>2838</t>
  </si>
  <si>
    <t>MAFAR-08-214-2020</t>
  </si>
  <si>
    <t>009-20</t>
  </si>
  <si>
    <t>AMP SVP-D NO: 20-08-0248D</t>
  </si>
  <si>
    <t>MAFAR-08-212-2020</t>
  </si>
  <si>
    <t>010-20</t>
  </si>
  <si>
    <t>2020-08-80I</t>
  </si>
  <si>
    <t>08-25-2020-01</t>
  </si>
  <si>
    <t>MAFAR-08-210-2020</t>
  </si>
  <si>
    <t>MAFAR-08-217-2020</t>
  </si>
  <si>
    <t>MAFAR-08-211-2020</t>
  </si>
  <si>
    <t>220 - 2020</t>
  </si>
  <si>
    <t>RFQ 2020-06-014</t>
  </si>
  <si>
    <t>MAFAR-08-213-2020</t>
  </si>
  <si>
    <t>PR No. 08-144</t>
  </si>
  <si>
    <t>SPC PR No. BSPD-2020-0004</t>
  </si>
  <si>
    <t>MAFAR-08-219-2020</t>
  </si>
  <si>
    <t>RFQ20-27-Ref-Mit-Paj-SCA-508</t>
  </si>
  <si>
    <t>218 - 2020</t>
  </si>
  <si>
    <t>219 - 2020</t>
  </si>
  <si>
    <t>MAFAR-08-218-2020</t>
  </si>
  <si>
    <t>San Pedro 01-02-2020</t>
  </si>
  <si>
    <t>210</t>
  </si>
  <si>
    <t>SINS-Inf-2020-09</t>
  </si>
  <si>
    <t>2020 15</t>
  </si>
  <si>
    <t>Goods2020-54</t>
  </si>
  <si>
    <t>MAFAR-08-209-2020</t>
  </si>
  <si>
    <t>2020-INFRA-002</t>
  </si>
  <si>
    <t>08-25-2020-02</t>
  </si>
  <si>
    <t>2020130</t>
  </si>
  <si>
    <t>2020-S34</t>
  </si>
  <si>
    <t>2836</t>
  </si>
  <si>
    <t>1012-2020-0043</t>
  </si>
  <si>
    <t>geps-2020-002</t>
  </si>
  <si>
    <t>H03-Sept-20</t>
  </si>
  <si>
    <t>08-25-2020-04</t>
  </si>
  <si>
    <t>RFQ20-32-4PC-Corei7</t>
  </si>
  <si>
    <t>388548501</t>
  </si>
  <si>
    <t>46-2020</t>
  </si>
  <si>
    <t>47-2020</t>
  </si>
  <si>
    <t>POW-039-2020</t>
  </si>
  <si>
    <t>PGC-RFQ-20200824-1</t>
  </si>
  <si>
    <t>24 August 2020</t>
  </si>
  <si>
    <t>074</t>
  </si>
  <si>
    <t>2020--07-0186</t>
  </si>
  <si>
    <t>388548500</t>
  </si>
  <si>
    <t>SINS-Inf-2020-10</t>
  </si>
  <si>
    <t>2020-08-0185</t>
  </si>
  <si>
    <t>MAFAR-08-222-2020</t>
  </si>
  <si>
    <t>47399</t>
  </si>
  <si>
    <t>455</t>
  </si>
  <si>
    <t>388548502</t>
  </si>
  <si>
    <t>344</t>
  </si>
  <si>
    <t>MAFAR-08-223-2020</t>
  </si>
  <si>
    <t>PZDS-2020-08-061-IB</t>
  </si>
  <si>
    <t>V01-Sept-20</t>
  </si>
  <si>
    <t>MAFAR-08-220-2020</t>
  </si>
  <si>
    <t>08-25-2020-03</t>
  </si>
  <si>
    <t>0827</t>
  </si>
  <si>
    <t>3LSSM2020A-200</t>
  </si>
  <si>
    <t>GF-20-03-00496</t>
  </si>
  <si>
    <t>DepED-RO6-D1-2020QRF(REPAIR)REBID-C2-059-2020</t>
  </si>
  <si>
    <t>20E00102-R1</t>
  </si>
  <si>
    <t>20GFC0060</t>
  </si>
  <si>
    <t>IB NO. 2020-08-56 Procurement of BIOSAFETY CABINET</t>
  </si>
  <si>
    <t>PR No. 08-145</t>
  </si>
  <si>
    <t>3LSSM2020A-197</t>
  </si>
  <si>
    <t>0883</t>
  </si>
  <si>
    <t>3LSSM2020A-220</t>
  </si>
  <si>
    <t>3LSSM2020A-219</t>
  </si>
  <si>
    <t>BNS-0620-090</t>
  </si>
  <si>
    <t>MAFAR-08-221-2020</t>
  </si>
  <si>
    <t>2020-13</t>
  </si>
  <si>
    <t>DepED-RO6-D1-2020QRF(REPAIR)REBID-C1-058-2020</t>
  </si>
  <si>
    <t>CW 2020-008-028</t>
  </si>
  <si>
    <t>ITB No. 2020-08-06</t>
  </si>
  <si>
    <t>07-135</t>
  </si>
  <si>
    <t>252-878-056-000</t>
  </si>
  <si>
    <t>720-2020-01</t>
  </si>
  <si>
    <t>GF-20-02-00366B</t>
  </si>
  <si>
    <t>VILLAPAN-2020-006</t>
  </si>
  <si>
    <t>AMP SVP-D NO: 20-08-0442 One (1) Lot Centrifugal V</t>
  </si>
  <si>
    <t>MAFAR-08-225-2020</t>
  </si>
  <si>
    <t>388548504</t>
  </si>
  <si>
    <t>MAFAR-08-224-2020</t>
  </si>
  <si>
    <t>2020-08-0001</t>
  </si>
  <si>
    <t>SINS-Inf-2020-11</t>
  </si>
  <si>
    <t>PR-2020-08-001</t>
  </si>
  <si>
    <t>3LSSM2020A-218</t>
  </si>
  <si>
    <t>75</t>
  </si>
  <si>
    <t>PR-2020-08-007</t>
  </si>
  <si>
    <t>2020-016</t>
  </si>
  <si>
    <t>20-08-05-P101</t>
  </si>
  <si>
    <t>20-08-32</t>
  </si>
  <si>
    <t>F-0720-190</t>
  </si>
  <si>
    <t>CAB-2020-008-002</t>
  </si>
  <si>
    <t>2020-43</t>
  </si>
  <si>
    <t>NMF GOODS 2020-11</t>
  </si>
  <si>
    <t>PSA-RSSO6-2020-154</t>
  </si>
  <si>
    <t>ATI-RTC3-2020-0122</t>
  </si>
  <si>
    <t>ANTI-30-20</t>
  </si>
  <si>
    <t>GOODS-PB-2020-009</t>
  </si>
  <si>
    <t>122-2020</t>
  </si>
  <si>
    <t>RFQ 2020-08-0736</t>
  </si>
  <si>
    <t>388548503</t>
  </si>
  <si>
    <t>RFQ 108-2020</t>
  </si>
  <si>
    <t>2020-015</t>
  </si>
  <si>
    <t>121-2020</t>
  </si>
  <si>
    <t>120-2020</t>
  </si>
  <si>
    <t>119-2020</t>
  </si>
  <si>
    <t>118-2020</t>
  </si>
  <si>
    <t>117-2020</t>
  </si>
  <si>
    <t>116-2020</t>
  </si>
  <si>
    <t>115-2020</t>
  </si>
  <si>
    <t>0011</t>
  </si>
  <si>
    <t>2020-08-18-01</t>
  </si>
  <si>
    <t>123-2020</t>
  </si>
  <si>
    <t>2020-08-19-01</t>
  </si>
  <si>
    <t>09142020-125</t>
  </si>
  <si>
    <t>104-2020</t>
  </si>
  <si>
    <t>CRN 2020-09</t>
  </si>
  <si>
    <t>msj-2020-33</t>
  </si>
  <si>
    <t>CRN 2020-06</t>
  </si>
  <si>
    <t>ECV-20EE0145</t>
  </si>
  <si>
    <t>ECV-20EE0144</t>
  </si>
  <si>
    <t>000408</t>
  </si>
  <si>
    <t>000473</t>
  </si>
  <si>
    <t>000450</t>
  </si>
  <si>
    <t>000465</t>
  </si>
  <si>
    <t>0000454</t>
  </si>
  <si>
    <t>CRN-PB-027-GOODS-2020</t>
  </si>
  <si>
    <t>125-2020</t>
  </si>
  <si>
    <t>124-2020</t>
  </si>
  <si>
    <t>BAC SVP 2020-56</t>
  </si>
  <si>
    <t>2020-CW-028</t>
  </si>
  <si>
    <t>2020-CW-026</t>
  </si>
  <si>
    <t>20-08-31</t>
  </si>
  <si>
    <t>011-20</t>
  </si>
  <si>
    <t>F-0720-177</t>
  </si>
  <si>
    <t>ATI-RTC3-2020-0119</t>
  </si>
  <si>
    <t>ITB 20-0079</t>
  </si>
  <si>
    <t>2020-Brgy. Bagongon-004</t>
  </si>
  <si>
    <t>SVP2020-210</t>
  </si>
  <si>
    <t>N 41 C 2020</t>
  </si>
  <si>
    <t>ECV-20EE0143</t>
  </si>
  <si>
    <t>3CEISG-1ST-07-20RMOE</t>
  </si>
  <si>
    <t>DENR N.Ecija-2020-059</t>
  </si>
  <si>
    <t>ITB13-GOODS-AMBULANCE</t>
  </si>
  <si>
    <t>Caluangan 20 -01</t>
  </si>
  <si>
    <t>2020MC-SVP085</t>
  </si>
  <si>
    <t>GOODS PROC 014-2020</t>
  </si>
  <si>
    <t>DCWD BID 012-2020</t>
  </si>
  <si>
    <t>2020MC-SVP082</t>
  </si>
  <si>
    <t>PR2020-556</t>
  </si>
  <si>
    <t>2020MC-SVP081</t>
  </si>
  <si>
    <t>8-17-20-ID18</t>
  </si>
  <si>
    <t>8-21-20-ID1</t>
  </si>
  <si>
    <t>Quotation No. 20-07-0456</t>
  </si>
  <si>
    <t>2020MC-SVP084</t>
  </si>
  <si>
    <t>2020-08-630</t>
  </si>
  <si>
    <t>2020MC-SVP083</t>
  </si>
  <si>
    <t>PROC-GOODS-012-2020</t>
  </si>
  <si>
    <t>123456</t>
  </si>
  <si>
    <t>105-2020</t>
  </si>
  <si>
    <t>PROC-012-2020</t>
  </si>
  <si>
    <t>PR 2020-0473</t>
  </si>
  <si>
    <t>P.R. No. 2020-08-0063</t>
  </si>
  <si>
    <t>2020-07-504</t>
  </si>
  <si>
    <t>P.R. No. 2020-08-0060</t>
  </si>
  <si>
    <t>SVP 2020-187</t>
  </si>
  <si>
    <t>WPU-2020-015</t>
  </si>
  <si>
    <t>106-2020</t>
  </si>
  <si>
    <t>cgb2020-321</t>
  </si>
  <si>
    <t>2020-09-15-470PG</t>
  </si>
  <si>
    <t>PB-CW-2020-001</t>
  </si>
  <si>
    <t>cgb2020-676</t>
  </si>
  <si>
    <t>BAC-2020-910</t>
  </si>
  <si>
    <t>WPU-2020-016</t>
  </si>
  <si>
    <t>2020-08-070</t>
  </si>
  <si>
    <t>G-CONSO-090-20</t>
  </si>
  <si>
    <t>proc-20-SUPPLY &amp; INSTALLATION  OF ATM CLADDING (WA</t>
  </si>
  <si>
    <t>20-07-63</t>
  </si>
  <si>
    <t>P.R. No. X1-20-07-307</t>
  </si>
  <si>
    <t>08202020</t>
  </si>
  <si>
    <t>P.R. No. X4-20-07-291</t>
  </si>
  <si>
    <t>ROSAL 0477-2020</t>
  </si>
  <si>
    <t>cgb2020-322</t>
  </si>
  <si>
    <t>INFRA 2020-009</t>
  </si>
  <si>
    <t>WPU-2020-014</t>
  </si>
  <si>
    <t>2020-08-028-101</t>
  </si>
  <si>
    <t>SAR-GOODS-08-036-2020</t>
  </si>
  <si>
    <t>2008-0734-SFP</t>
  </si>
  <si>
    <t>P.R. No. X11-20-07-336</t>
  </si>
  <si>
    <t>PB2020-14</t>
  </si>
  <si>
    <t>2020MC-SVP088</t>
  </si>
  <si>
    <t>RFQ No. 20-08-68</t>
  </si>
  <si>
    <t>2020MC-SVP087</t>
  </si>
  <si>
    <t>2020MC-SVP086</t>
  </si>
  <si>
    <t>DCWD-BID 013-2020</t>
  </si>
  <si>
    <t>DCWD-BID 014-2020</t>
  </si>
  <si>
    <t>G-CONSO-091-20</t>
  </si>
  <si>
    <t>12345</t>
  </si>
  <si>
    <t>100200801248</t>
  </si>
  <si>
    <t>2020-08-401-RFQ</t>
  </si>
  <si>
    <t>Quotation No. 20-07-0452</t>
  </si>
  <si>
    <t>008</t>
  </si>
  <si>
    <t>SV-68-G-2020</t>
  </si>
  <si>
    <t>cgb2020-329</t>
  </si>
  <si>
    <t>2020-06-413</t>
  </si>
  <si>
    <t>cgb2020-328</t>
  </si>
  <si>
    <t>cgb2020-327</t>
  </si>
  <si>
    <t>PANG-2020-1115</t>
  </si>
  <si>
    <t>2020-0818REGMOOE-087</t>
  </si>
  <si>
    <t>G-CONSO-093-20</t>
  </si>
  <si>
    <t>SV-69-G-2020</t>
  </si>
  <si>
    <t>ITB PR NO. 20-08-124</t>
  </si>
  <si>
    <t>P-0895</t>
  </si>
  <si>
    <t>Mkna-GSO-20-345</t>
  </si>
  <si>
    <t>2020-0819MOOE-088</t>
  </si>
  <si>
    <t>SAR-GOODS-08-059-2020</t>
  </si>
  <si>
    <t>GOODS-2020-052</t>
  </si>
  <si>
    <t>SV-67-G-2020</t>
  </si>
  <si>
    <t>ITB (CW-08-2020-024) 19DD0544</t>
  </si>
  <si>
    <t>cgb2020-336</t>
  </si>
  <si>
    <t>ITB (CW-08-2020-024) 19DD0535</t>
  </si>
  <si>
    <t>cgb2020-326</t>
  </si>
  <si>
    <t>ITB (CW-08-2020-024) 19DD0541</t>
  </si>
  <si>
    <t>ITB (CW-08-2020-024) 19DD0540</t>
  </si>
  <si>
    <t>G-MDH-092-20</t>
  </si>
  <si>
    <t>cgb2020-325</t>
  </si>
  <si>
    <t>cgb2020-335</t>
  </si>
  <si>
    <t>ITB (CW-08-2020-024) 19DD0542</t>
  </si>
  <si>
    <t>cgb2020-334</t>
  </si>
  <si>
    <t>ITB (CW-08-2020-024) 19DD0538</t>
  </si>
  <si>
    <t>cgb2020-332</t>
  </si>
  <si>
    <t>ITB (CW-08-2020-024) 19DD0537</t>
  </si>
  <si>
    <t>127-2020</t>
  </si>
  <si>
    <t>cgb2020-333</t>
  </si>
  <si>
    <t>RFQ 2020-028</t>
  </si>
  <si>
    <t>ITB (CW-08-2020-024) 19DD0539</t>
  </si>
  <si>
    <t>ITB-2020-005</t>
  </si>
  <si>
    <t>RFQ No. 135-2020-G</t>
  </si>
  <si>
    <t>RFQ No. 134-2020-G</t>
  </si>
  <si>
    <t>ITB (CW-08-2020-024) 19DD0536</t>
  </si>
  <si>
    <t>RFQ No. 130-2020-G</t>
  </si>
  <si>
    <t>SV-70-G-2020</t>
  </si>
  <si>
    <t>PBI-2020-47</t>
  </si>
  <si>
    <t>LGU Nasipit-2020-032</t>
  </si>
  <si>
    <t>CW20-06</t>
  </si>
  <si>
    <t>PBI-2020-52</t>
  </si>
  <si>
    <t>RFQ-GOODS-2020-101</t>
  </si>
  <si>
    <t>cgb2020-331</t>
  </si>
  <si>
    <t>PBI-2020-49</t>
  </si>
  <si>
    <t>2020-07-460</t>
  </si>
  <si>
    <t>CMOG-PN-031-20</t>
  </si>
  <si>
    <t>2020-08-1230</t>
  </si>
  <si>
    <t>CW20-07</t>
  </si>
  <si>
    <t>PBI-2020-44</t>
  </si>
  <si>
    <t>CMOG-PN-032-20</t>
  </si>
  <si>
    <t>PBI-2020-41</t>
  </si>
  <si>
    <t>CW2020-55</t>
  </si>
  <si>
    <t>2008006</t>
  </si>
  <si>
    <t>17202008079</t>
  </si>
  <si>
    <t>PBI-2020-38</t>
  </si>
  <si>
    <t>2020-162</t>
  </si>
  <si>
    <t>ITB (CW-08-2020-024) 19DD0543</t>
  </si>
  <si>
    <t>PBI-2020-37</t>
  </si>
  <si>
    <t>2020-08-08B</t>
  </si>
  <si>
    <t>2020-161</t>
  </si>
  <si>
    <t>20-1454</t>
  </si>
  <si>
    <t>PBI-2020-35</t>
  </si>
  <si>
    <t>2020-0-0011</t>
  </si>
  <si>
    <t>PR No. 20-08-235</t>
  </si>
  <si>
    <t>20-1987</t>
  </si>
  <si>
    <t>20-08-0022</t>
  </si>
  <si>
    <t>PBI-2020-36</t>
  </si>
  <si>
    <t>AMP2020-146</t>
  </si>
  <si>
    <t>20NC0142</t>
  </si>
  <si>
    <t>PBI-2020-39</t>
  </si>
  <si>
    <t>102CO-2020-328</t>
  </si>
  <si>
    <t>2020 13</t>
  </si>
  <si>
    <t>0820-084</t>
  </si>
  <si>
    <t>2020 12</t>
  </si>
  <si>
    <t>Mkna-GSO-20-346</t>
  </si>
  <si>
    <t>129-2020</t>
  </si>
  <si>
    <t>AMP2020-147</t>
  </si>
  <si>
    <t>0010820</t>
  </si>
  <si>
    <t>BAC-2020-919</t>
  </si>
  <si>
    <t>PR-2020-1878</t>
  </si>
  <si>
    <t>2020-08-390-RFQ</t>
  </si>
  <si>
    <t>PMC-020-204</t>
  </si>
  <si>
    <t>PR-2020-1936</t>
  </si>
  <si>
    <t>102CO-2020-329</t>
  </si>
  <si>
    <t>PBI-2020-40</t>
  </si>
  <si>
    <t>PMC-020-206</t>
  </si>
  <si>
    <t>VIN BAC 060-2020</t>
  </si>
  <si>
    <t>PBI-2020-42</t>
  </si>
  <si>
    <t>AMP2020-148</t>
  </si>
  <si>
    <t>2020-08-1254</t>
  </si>
  <si>
    <t>PMC-020-233</t>
  </si>
  <si>
    <t>2020 14</t>
  </si>
  <si>
    <t>PMC-020-201</t>
  </si>
  <si>
    <t>20-07-0020</t>
  </si>
  <si>
    <t>0820-083</t>
  </si>
  <si>
    <t>CGSSF-CTR-20-08-001</t>
  </si>
  <si>
    <t>2020-08-1231</t>
  </si>
  <si>
    <t>cgb2020-330</t>
  </si>
  <si>
    <t>126-2020</t>
  </si>
  <si>
    <t>0820-082</t>
  </si>
  <si>
    <t>GOODS 2020-296(SVP)</t>
  </si>
  <si>
    <t>07-20-0534</t>
  </si>
  <si>
    <t>128-2020</t>
  </si>
  <si>
    <t>MUNPINCE-2008-154</t>
  </si>
  <si>
    <t>cgb2020-324</t>
  </si>
  <si>
    <t>PBI-2020-43</t>
  </si>
  <si>
    <t>RE-IB-2020-020-GOODS-FCSMO</t>
  </si>
  <si>
    <t>WPU-2020-017</t>
  </si>
  <si>
    <t>PR-2020-2138</t>
  </si>
  <si>
    <t>20-43</t>
  </si>
  <si>
    <t>CGSSF-20-08-002</t>
  </si>
  <si>
    <t>BAC-2020-925</t>
  </si>
  <si>
    <t>2020-0397 and 2020-0472</t>
  </si>
  <si>
    <t>BAC-2020-924</t>
  </si>
  <si>
    <t>BAC-2020-922</t>
  </si>
  <si>
    <t>2008-0733 SFP</t>
  </si>
  <si>
    <t>HB 2007-029</t>
  </si>
  <si>
    <t>PR-2020-1285</t>
  </si>
  <si>
    <t>IB-2020-021-GOODS-PRFS</t>
  </si>
  <si>
    <t>LGU-RFQ-2020-82</t>
  </si>
  <si>
    <t>2020-01-002</t>
  </si>
  <si>
    <t>PR-2020-2169</t>
  </si>
  <si>
    <t>MUNPINCE-2008-156</t>
  </si>
  <si>
    <t>102CO-2020-330</t>
  </si>
  <si>
    <t>202008013</t>
  </si>
  <si>
    <t>VIN BAC 062-2020</t>
  </si>
  <si>
    <t>20-08-0052</t>
  </si>
  <si>
    <t>RFQ NO. 545</t>
  </si>
  <si>
    <t>CGSSF-WO-20-08-002</t>
  </si>
  <si>
    <t>200056</t>
  </si>
  <si>
    <t>2020 03</t>
  </si>
  <si>
    <t>Barangay Silanganan -08-01,2020</t>
  </si>
  <si>
    <t>2020 16</t>
  </si>
  <si>
    <t>MUNPINCE-2008-155</t>
  </si>
  <si>
    <t>PR2020-08-24-117</t>
  </si>
  <si>
    <t>POG/VWS-69</t>
  </si>
  <si>
    <t>RFQ 20-130: Supply and Delivery of Chemical, Labor</t>
  </si>
  <si>
    <t>20-0542</t>
  </si>
  <si>
    <t>VIN BAC 061-2020</t>
  </si>
  <si>
    <t>B2020-105-A</t>
  </si>
  <si>
    <t>ITB 2020-030</t>
  </si>
  <si>
    <t>JH2020-08-0004</t>
  </si>
  <si>
    <t>2020-PR20-1114-262</t>
  </si>
  <si>
    <t>102CO-2020-331</t>
  </si>
  <si>
    <t>ITB 2020-031</t>
  </si>
  <si>
    <t>144</t>
  </si>
  <si>
    <t>142</t>
  </si>
  <si>
    <t>2008-0737 SFP</t>
  </si>
  <si>
    <t>ITB 2020-029</t>
  </si>
  <si>
    <t>HB 2007-033</t>
  </si>
  <si>
    <t>2020-PR20-927-261</t>
  </si>
  <si>
    <t>PR #2020-08-139</t>
  </si>
  <si>
    <t>20-44</t>
  </si>
  <si>
    <t>PR No. 20081552</t>
  </si>
  <si>
    <t>143</t>
  </si>
  <si>
    <t>PR No. 20081543</t>
  </si>
  <si>
    <t>146</t>
  </si>
  <si>
    <t>PR No. 20081537</t>
  </si>
  <si>
    <t>102CO-2020-333</t>
  </si>
  <si>
    <t>2020-0820REGMOOE-089</t>
  </si>
  <si>
    <t>PR No. 20081531</t>
  </si>
  <si>
    <t>20-0541</t>
  </si>
  <si>
    <t>PR No. 20081530</t>
  </si>
  <si>
    <t>PR No. 20081551</t>
  </si>
  <si>
    <t>20-0729</t>
  </si>
  <si>
    <t>2008-0736 SFP</t>
  </si>
  <si>
    <t>PR-2020-1480</t>
  </si>
  <si>
    <t>202008G</t>
  </si>
  <si>
    <t>2008-0735 SFP</t>
  </si>
  <si>
    <t>145</t>
  </si>
  <si>
    <t>2020-08-504</t>
  </si>
  <si>
    <t>20-0535</t>
  </si>
  <si>
    <t>2020-AMP-099</t>
  </si>
  <si>
    <t>2008-0740 SFP</t>
  </si>
  <si>
    <t>PR 2020-08-349</t>
  </si>
  <si>
    <t>102CO-2020-334</t>
  </si>
  <si>
    <t>PR No. 20081540</t>
  </si>
  <si>
    <t>BAYLE0820AMP0816</t>
  </si>
  <si>
    <t>20-0534</t>
  </si>
  <si>
    <t>2020-08-09B</t>
  </si>
  <si>
    <t>PR No. 20081542</t>
  </si>
  <si>
    <t>2020-08-502</t>
  </si>
  <si>
    <t>20-08-129</t>
  </si>
  <si>
    <t>006</t>
  </si>
  <si>
    <t>COB BAC Goods 2020-016-02</t>
  </si>
  <si>
    <t>COB BAC Goods 2020-016-01</t>
  </si>
  <si>
    <t>PR No. 20081539</t>
  </si>
  <si>
    <t>2020-08-11B</t>
  </si>
  <si>
    <t>PR # 2020-08-139</t>
  </si>
  <si>
    <t>2008-0738 SFP</t>
  </si>
  <si>
    <t>BAC 2020-G07 RE-BIDDING</t>
  </si>
  <si>
    <t>2020-08-1180</t>
  </si>
  <si>
    <t>2008-0739 SFP</t>
  </si>
  <si>
    <t>BAC 2020-G06 REBIDDING</t>
  </si>
  <si>
    <t>BAC-2020-923</t>
  </si>
  <si>
    <t>Mkna-GSO-19-232</t>
  </si>
  <si>
    <t>102CO-2020-335</t>
  </si>
  <si>
    <t>PR No. 20081554</t>
  </si>
  <si>
    <t>BAYLE0820AMP0813</t>
  </si>
  <si>
    <t>2020-786-104</t>
  </si>
  <si>
    <t>PR No. 20081527</t>
  </si>
  <si>
    <t>PR2020-08-24-116</t>
  </si>
  <si>
    <t>SV-71-G-2020</t>
  </si>
  <si>
    <t>ADS-1910-20</t>
  </si>
  <si>
    <t>20-0744</t>
  </si>
  <si>
    <t>P.R. No. X6-20-06-257</t>
  </si>
  <si>
    <t>20-08-133</t>
  </si>
  <si>
    <t>2020-NCOT-024GOODS</t>
  </si>
  <si>
    <t>tapulao_infras2020-08-003</t>
  </si>
  <si>
    <t>BAYLE0820AMP0814</t>
  </si>
  <si>
    <t>ITB-2020-08-001</t>
  </si>
  <si>
    <t>102CO-2020-332</t>
  </si>
  <si>
    <t>Baramgay Zpme III-Poblacion 2020-08-013</t>
  </si>
  <si>
    <t>20-bdd-08-076</t>
  </si>
  <si>
    <t>PR 2020-08-04</t>
  </si>
  <si>
    <t>002-2020</t>
  </si>
  <si>
    <t>PR 2020-08-03</t>
  </si>
  <si>
    <t>SVP 2020-151</t>
  </si>
  <si>
    <t>2020-08-17</t>
  </si>
  <si>
    <t>20-07-0719</t>
  </si>
  <si>
    <t>P.R. No. X6-20-07-312</t>
  </si>
  <si>
    <t>Barangay Malusak 2020-08-0016</t>
  </si>
  <si>
    <t>P.R. No. X6-20-07-328</t>
  </si>
  <si>
    <t>Request for quotation</t>
  </si>
  <si>
    <t>P.R. No. X7-20-08-350</t>
  </si>
  <si>
    <t>BAC-2020-946</t>
  </si>
  <si>
    <t>PR 2020-08-4238</t>
  </si>
  <si>
    <t>PB2020-15</t>
  </si>
  <si>
    <t>P.R. No. X6-20-07-311</t>
  </si>
  <si>
    <t>PR # 2020-08-140</t>
  </si>
  <si>
    <t>PR # 2020-08- 140</t>
  </si>
  <si>
    <t>INFRA 2020-08-21</t>
  </si>
  <si>
    <t>2020-Buquig-01</t>
  </si>
  <si>
    <t>2008-0820-AVRC</t>
  </si>
  <si>
    <t>kal-2020-08-60</t>
  </si>
  <si>
    <t>PR 2020-08-05</t>
  </si>
  <si>
    <t>kal-2020-08-55</t>
  </si>
  <si>
    <t>tapulao_infras2020-08-002</t>
  </si>
  <si>
    <t>SK-FVL3-2020</t>
  </si>
  <si>
    <t>Infra GF 10-2020</t>
  </si>
  <si>
    <t>Infra EDF 15-2020</t>
  </si>
  <si>
    <t>PB2020-17</t>
  </si>
  <si>
    <t>20200818</t>
  </si>
  <si>
    <t>PR #2020-08-141</t>
  </si>
  <si>
    <t>gsis/npsvp-262-20</t>
  </si>
  <si>
    <t>08212020</t>
  </si>
  <si>
    <t>2020-</t>
  </si>
  <si>
    <t>pb2020-16</t>
  </si>
  <si>
    <t>PR#2020-08-141</t>
  </si>
  <si>
    <t>08-01-2020</t>
  </si>
  <si>
    <t>PB2020-18</t>
  </si>
  <si>
    <t>VILLAPAN-2020-007</t>
  </si>
  <si>
    <t>Civil Works 04</t>
  </si>
  <si>
    <t>PB2020-21</t>
  </si>
  <si>
    <t>20M0054</t>
  </si>
  <si>
    <t>BAC-2020-938</t>
  </si>
  <si>
    <t>LC-20-01</t>
  </si>
  <si>
    <t>2020ALISHS-06-18</t>
  </si>
  <si>
    <t>GF-20-03-00452</t>
  </si>
  <si>
    <t>2020-G-BRGY TANAGAN</t>
  </si>
  <si>
    <t>20NMSC30-G</t>
  </si>
  <si>
    <t>08-0053-20</t>
  </si>
  <si>
    <t>2020-08-170A</t>
  </si>
  <si>
    <t>PANG-2020-1105</t>
  </si>
  <si>
    <t>2020-08-088</t>
  </si>
  <si>
    <t>Project Reference No. 2020-415-RFQ</t>
  </si>
  <si>
    <t>APR No. 100-20-08-561</t>
  </si>
  <si>
    <t>PR0101-20 DOPH LUPON</t>
  </si>
  <si>
    <t>SANTIAGO, I. SUR 20-080</t>
  </si>
  <si>
    <t>2020-07-145</t>
  </si>
  <si>
    <t>LGUPROC 2020 - 206N</t>
  </si>
  <si>
    <t>TAS20-08-246</t>
  </si>
  <si>
    <t>PRDP-IR-R012-SAR-003-000-000-2017-a /INFRA-2020-59</t>
  </si>
  <si>
    <t>CGS-2020-0241</t>
  </si>
  <si>
    <t>EBMS 1501-20</t>
  </si>
  <si>
    <t>2020-0821</t>
  </si>
  <si>
    <t>100(01)20-06-095(Q)</t>
  </si>
  <si>
    <t>2020-08-040</t>
  </si>
  <si>
    <t>P-0902</t>
  </si>
  <si>
    <t>PR 2020-08-4237</t>
  </si>
  <si>
    <t>SHOP GOODS 2020-08-20</t>
  </si>
  <si>
    <t>AVRC -2020-08-0327</t>
  </si>
  <si>
    <t>08-01</t>
  </si>
  <si>
    <t>2020-08-292</t>
  </si>
  <si>
    <t>8-24</t>
  </si>
  <si>
    <t>703BDE-NAF-7-2020</t>
  </si>
  <si>
    <t>BGH - 08 -0145</t>
  </si>
  <si>
    <t>OR 1359-20</t>
  </si>
  <si>
    <t>2020-07-1773</t>
  </si>
  <si>
    <t>TALB-09-04-2020</t>
  </si>
  <si>
    <t>SVP 20-0797</t>
  </si>
  <si>
    <t>PG-RFQ-2020-08-02</t>
  </si>
  <si>
    <t>2020-SVP-360</t>
  </si>
  <si>
    <t>TALB-09-03-2020</t>
  </si>
  <si>
    <t>PB2020-20</t>
  </si>
  <si>
    <t>PB2020-19</t>
  </si>
  <si>
    <t>EQPT-2020-24</t>
  </si>
  <si>
    <t>2020-SVP-357</t>
  </si>
  <si>
    <t>2020-043J</t>
  </si>
  <si>
    <t>TALB-09-02-2020</t>
  </si>
  <si>
    <t>2020-SVP-364</t>
  </si>
  <si>
    <t>2020-SVP-362</t>
  </si>
  <si>
    <t>PG-RFQ-2020-08-03</t>
  </si>
  <si>
    <t>2020-08-0023</t>
  </si>
  <si>
    <t>2020-SVP-361</t>
  </si>
  <si>
    <t>10111002018001</t>
  </si>
  <si>
    <t>2020-SVP-356</t>
  </si>
  <si>
    <t>TALB-09-01-2020</t>
  </si>
  <si>
    <t>2020-SVP-365</t>
  </si>
  <si>
    <t>kal-2020-08-61</t>
  </si>
  <si>
    <t>2020-SVP-363</t>
  </si>
  <si>
    <t>R3-2020-G-03</t>
  </si>
  <si>
    <t>WWRDEC Vehicle Rent</t>
  </si>
  <si>
    <t>2020-SVP-367</t>
  </si>
  <si>
    <t>TALB-09-06-2020</t>
  </si>
  <si>
    <t>RIZAL-15SEPTEMBER2020-6</t>
  </si>
  <si>
    <t>RIZAL-15SEPTEMBER2020-5</t>
  </si>
  <si>
    <t>PG-RFQ-2020-08-01</t>
  </si>
  <si>
    <t>RIZAL-15SEPTEMBER2020-3</t>
  </si>
  <si>
    <t>2020-SVP-368</t>
  </si>
  <si>
    <t>R3-2020-G-05</t>
  </si>
  <si>
    <t>RIZAL-15SEPTEMBER2020-2</t>
  </si>
  <si>
    <t>R3-2020-G-04</t>
  </si>
  <si>
    <t>RIZAL-15SEPTEMBER2020-1</t>
  </si>
  <si>
    <t>109903-08-2020</t>
  </si>
  <si>
    <t>TALB-09-05-2020</t>
  </si>
  <si>
    <t>3041051</t>
  </si>
  <si>
    <t>RIZAL-15SEPTEMBER2020-8</t>
  </si>
  <si>
    <t>BPB 2020-032</t>
  </si>
  <si>
    <t>PG-RFQ-2020-08-04</t>
  </si>
  <si>
    <t>2020-SVP-366</t>
  </si>
  <si>
    <t>RIZAL-15SEPTEMBER2020-4</t>
  </si>
  <si>
    <t>RIZAL-15SEPTEMBER2020-23</t>
  </si>
  <si>
    <t>RIZAL-15SEPTEMBER2020-20</t>
  </si>
  <si>
    <t>RIZAL-15SEPTEMBER2020-19</t>
  </si>
  <si>
    <t>RGL2020-015</t>
  </si>
  <si>
    <t>RIZAL-15SEPTEMBER2020-17</t>
  </si>
  <si>
    <t>RIZAL-15SEPTEMBER2020-24</t>
  </si>
  <si>
    <t>RIZAL-15SEPTEMBER2020-16</t>
  </si>
  <si>
    <t>RIZAL-15SEPTEMBER2020-21</t>
  </si>
  <si>
    <t>RIZAL-15SEPTEMBER2020-18</t>
  </si>
  <si>
    <t>RIZAL-15SEPTEMBER2020-14</t>
  </si>
  <si>
    <t>IB NO. 2020-047</t>
  </si>
  <si>
    <t>IB NO. 2020-058</t>
  </si>
  <si>
    <t>RIZAL-15SEPTEMBER2020-22</t>
  </si>
  <si>
    <t>RIZAL-15SEPTEMBER2020-7</t>
  </si>
  <si>
    <t>RIZAL-15SEPTEMBER2020-15</t>
  </si>
  <si>
    <t>IB NO. 2020-054</t>
  </si>
  <si>
    <t>IB NO. 2020-056</t>
  </si>
  <si>
    <t>IB NO. 2020-046</t>
  </si>
  <si>
    <t>IB NO. 2020-057</t>
  </si>
  <si>
    <t>IB NO. 2020-043</t>
  </si>
  <si>
    <t>R3-2020-G-06</t>
  </si>
  <si>
    <t>08-001-20</t>
  </si>
  <si>
    <t>SVP 2020-08-477</t>
  </si>
  <si>
    <t>IB NO. 2020-045</t>
  </si>
  <si>
    <t>2020-08-22</t>
  </si>
  <si>
    <t>PRN 2020-08-010</t>
  </si>
  <si>
    <t>IB 2020-22</t>
  </si>
  <si>
    <t>ITB-2020-002</t>
  </si>
  <si>
    <t>2020-2</t>
  </si>
  <si>
    <t>8222020</t>
  </si>
  <si>
    <t>001-020</t>
  </si>
  <si>
    <t>BAC-PG-002-20</t>
  </si>
  <si>
    <t>IB NO. 2020-055</t>
  </si>
  <si>
    <t>PR#20-08-0090</t>
  </si>
  <si>
    <t>PR2020-08-0003</t>
  </si>
  <si>
    <t>20-08-139</t>
  </si>
  <si>
    <t>PGL-20 NEGO-44-08</t>
  </si>
  <si>
    <t>08-002-20</t>
  </si>
  <si>
    <t>IB NO. 2020-061</t>
  </si>
  <si>
    <t>PR2020-08-0002</t>
  </si>
  <si>
    <t>IB NO. 2020-060</t>
  </si>
  <si>
    <t>RIZAL-15SEPTEMBER2020-25</t>
  </si>
  <si>
    <t>IB NO. 2020-059</t>
  </si>
  <si>
    <t>G-2020-26</t>
  </si>
  <si>
    <t>IB NO. 2020-062</t>
  </si>
  <si>
    <t>RIZAL-15SEPTEMBER2020-27</t>
  </si>
  <si>
    <t>2020-07-02</t>
  </si>
  <si>
    <t>RIZAL-15SEPTEMBER2020-26</t>
  </si>
  <si>
    <t>M-001-2020</t>
  </si>
  <si>
    <t>G-2020-27</t>
  </si>
  <si>
    <t>RIZAL-15SEPTEMBER2020-12</t>
  </si>
  <si>
    <t>RIZAL-15SEPTEMBER2020-11</t>
  </si>
  <si>
    <t>RIZAL-15SEPTEMBER2020-28</t>
  </si>
  <si>
    <t>PR# 20-08-1459</t>
  </si>
  <si>
    <t>IB NO. 2020-042</t>
  </si>
  <si>
    <t>BPB 2020-036</t>
  </si>
  <si>
    <t>CYN-BAC-SVP-2020-153</t>
  </si>
  <si>
    <t>EMB-R4B-35-20</t>
  </si>
  <si>
    <t>CYN-BAC-SVP-2020-152</t>
  </si>
  <si>
    <t>SVP 20-0396</t>
  </si>
  <si>
    <t>SVP 2020-08-479</t>
  </si>
  <si>
    <t>SVP 20-0386</t>
  </si>
  <si>
    <t>BPB 2020-035</t>
  </si>
  <si>
    <t>RIZAL-15SEPTEMBER2020-13</t>
  </si>
  <si>
    <t>RIZAL-15SEPTEMBER2020-29</t>
  </si>
  <si>
    <t>PSYS-20-07-034</t>
  </si>
  <si>
    <t>SVP 20-0382</t>
  </si>
  <si>
    <t>SVP 20-0388</t>
  </si>
  <si>
    <t>2020-06-006PR</t>
  </si>
  <si>
    <t>PR-ESSS00-20-07-00003</t>
  </si>
  <si>
    <t>SVP 20-0384</t>
  </si>
  <si>
    <t>BPB 2020-033</t>
  </si>
  <si>
    <t>RIZAL-15SEPTEMBER2020-10</t>
  </si>
  <si>
    <t>SVP 20-0383</t>
  </si>
  <si>
    <t>PB 2020-002</t>
  </si>
  <si>
    <t>R3-2020-G-07</t>
  </si>
  <si>
    <t>RIZAL-15SEPTEMBER2020-9</t>
  </si>
  <si>
    <t>2020-08-2</t>
  </si>
  <si>
    <t>BPB 2020-034</t>
  </si>
  <si>
    <t>2020-GD-08-03</t>
  </si>
  <si>
    <t>2020-GD-08-02</t>
  </si>
  <si>
    <t>SVP 2020-08-481</t>
  </si>
  <si>
    <t>SVP 2020-08-483</t>
  </si>
  <si>
    <t>SVP 2020-08-482</t>
  </si>
  <si>
    <t>2020-GD-08-04</t>
  </si>
  <si>
    <t>R3-2020-G-08</t>
  </si>
  <si>
    <t>PB-2020-GDS-028</t>
  </si>
  <si>
    <t>SVP 2020-008-484</t>
  </si>
  <si>
    <t>2020-08-22-01</t>
  </si>
  <si>
    <t>2020-CW-08-04</t>
  </si>
  <si>
    <t>2020-046</t>
  </si>
  <si>
    <t>NP2020-08-487</t>
  </si>
  <si>
    <t>2020-044</t>
  </si>
  <si>
    <t>2020-043</t>
  </si>
  <si>
    <t>2020-22-01</t>
  </si>
  <si>
    <t>2020-052</t>
  </si>
  <si>
    <t>2020-CW-08-03</t>
  </si>
  <si>
    <t>NP2020-05-257</t>
  </si>
  <si>
    <t>2020-049</t>
  </si>
  <si>
    <t>TINOC-2020-10-GOODS</t>
  </si>
  <si>
    <t>NP2020-08-496</t>
  </si>
  <si>
    <t>2020-051</t>
  </si>
  <si>
    <t>202024</t>
  </si>
  <si>
    <t>202023</t>
  </si>
  <si>
    <t>NP2020-08-491</t>
  </si>
  <si>
    <t>2020-055</t>
  </si>
  <si>
    <t>202029</t>
  </si>
  <si>
    <t>DANGGO-2020-02</t>
  </si>
  <si>
    <t>galarin08-2020</t>
  </si>
  <si>
    <t>bituag08-2020</t>
  </si>
  <si>
    <t>NP2020-08-493</t>
  </si>
  <si>
    <t>2020822</t>
  </si>
  <si>
    <t>202025</t>
  </si>
  <si>
    <t>UPLB-I-026-09-20 SUPPLY, DELIVERY, AND INSTALLATIO</t>
  </si>
  <si>
    <t>DANGGO-2020-03</t>
  </si>
  <si>
    <t>2020-GOODS-RFQ-106</t>
  </si>
  <si>
    <t>DANGGO-2020-01</t>
  </si>
  <si>
    <t>2020-GOODS-RFQ-105</t>
  </si>
  <si>
    <t>08-02-2020</t>
  </si>
  <si>
    <t>2020-0811-01</t>
  </si>
  <si>
    <t>2020-053</t>
  </si>
  <si>
    <t>PB-2020-GDS-029</t>
  </si>
  <si>
    <t>2020-08-0062</t>
  </si>
  <si>
    <t>DDN_08/27/2020</t>
  </si>
  <si>
    <t>2020-05-0063</t>
  </si>
  <si>
    <t>BINABLAYAN-2020-01</t>
  </si>
  <si>
    <t>AHIN-2020-02</t>
  </si>
  <si>
    <t>Poblacion-2020-06</t>
  </si>
  <si>
    <t>2020-GOODS-RFQ-104</t>
  </si>
  <si>
    <t>AP-APID-2020-01</t>
  </si>
  <si>
    <t>PB-2020-GDS-030</t>
  </si>
  <si>
    <t>PBS 20-099</t>
  </si>
  <si>
    <t>20082304</t>
  </si>
  <si>
    <t>S-2020-08-156</t>
  </si>
  <si>
    <t>S-2020-08-155</t>
  </si>
  <si>
    <t>2020-02-0158</t>
  </si>
  <si>
    <t>2020-02-0161</t>
  </si>
  <si>
    <t>RFQ-029-2020</t>
  </si>
  <si>
    <t>RFQ-028-2020</t>
  </si>
  <si>
    <t>SVP 2020-008-485</t>
  </si>
  <si>
    <t>2020-02-0156</t>
  </si>
  <si>
    <t>2020-3Q-001</t>
  </si>
  <si>
    <t>2020-GOODS-RFQ-108</t>
  </si>
  <si>
    <t>2020-02-0153</t>
  </si>
  <si>
    <t>AHIN-2020-01</t>
  </si>
  <si>
    <t>2020-GOODS-RFQ-107</t>
  </si>
  <si>
    <t>SDOCoM-PR# 2020-08-039 (ICT Supplies &amp; Equipment)</t>
  </si>
  <si>
    <t>LGU-2020-217</t>
  </si>
  <si>
    <t>030</t>
  </si>
  <si>
    <t>20-08-14</t>
  </si>
  <si>
    <t>029</t>
  </si>
  <si>
    <t>028</t>
  </si>
  <si>
    <t>kal-2020-08-62</t>
  </si>
  <si>
    <t>R4A-LC-2020-19</t>
  </si>
  <si>
    <t>RFQ 2020-09</t>
  </si>
  <si>
    <t>08232020001</t>
  </si>
  <si>
    <t>ITDI-200500_REBID</t>
  </si>
  <si>
    <t>2020-GOODS-RFQ-110</t>
  </si>
  <si>
    <t>2020-GOODS-RFQ-109</t>
  </si>
  <si>
    <t>SVP2020-41</t>
  </si>
  <si>
    <t>ITDI-200509_REBID</t>
  </si>
  <si>
    <t>R4A-LC-2020-18</t>
  </si>
  <si>
    <t>SVP2020-40</t>
  </si>
  <si>
    <t>ppn-157-2020</t>
  </si>
  <si>
    <t>2020-054</t>
  </si>
  <si>
    <t>R4A-LC-2020-15</t>
  </si>
  <si>
    <t>R4A-LC-2020-17</t>
  </si>
  <si>
    <t>20-07-027</t>
  </si>
  <si>
    <t>CAD(ICTC)-20-002</t>
  </si>
  <si>
    <t>R4A-LC-2020-16</t>
  </si>
  <si>
    <t>5-88</t>
  </si>
  <si>
    <t>RFQ 2020-0364</t>
  </si>
  <si>
    <t>DepEd 020-2020</t>
  </si>
  <si>
    <t>ITDI-200305_REBID</t>
  </si>
  <si>
    <t>R4A-LC-2020-22</t>
  </si>
  <si>
    <t>ITDI-200507_REBID</t>
  </si>
  <si>
    <t>R4A-LC-2020-21</t>
  </si>
  <si>
    <t>CMGP-02-2020 REPOST</t>
  </si>
  <si>
    <t>ITDI-200219_REBID</t>
  </si>
  <si>
    <t>CMGP-01-2020 REPOST</t>
  </si>
  <si>
    <t>ITDI-200510_REBID</t>
  </si>
  <si>
    <t>R4A-LC-2020-20</t>
  </si>
  <si>
    <t>SVP2020-042</t>
  </si>
  <si>
    <t>ITDI-200486_REBID</t>
  </si>
  <si>
    <t>ITDI-200499</t>
  </si>
  <si>
    <t>MA-A2T20-007</t>
  </si>
  <si>
    <t>2020-08-0683</t>
  </si>
  <si>
    <t>MA-A2M20-056</t>
  </si>
  <si>
    <t>MA-A2O20-011</t>
  </si>
  <si>
    <t>OFFICE-2020-03</t>
  </si>
  <si>
    <t>CHO-20-096</t>
  </si>
  <si>
    <t>ppn-158-2020</t>
  </si>
  <si>
    <t>MA-A2M20-068</t>
  </si>
  <si>
    <t>MA-A2M20-028</t>
  </si>
  <si>
    <t>R4A-LC-2020-23</t>
  </si>
  <si>
    <t>MA-A2O20-010</t>
  </si>
  <si>
    <t>2020-08-0682</t>
  </si>
  <si>
    <t>2020-83</t>
  </si>
  <si>
    <t>MA-A2M20-040</t>
  </si>
  <si>
    <t>MA-A2M20-065</t>
  </si>
  <si>
    <t>2020-08-23</t>
  </si>
  <si>
    <t>05-20 cap</t>
  </si>
  <si>
    <t>20-08-13</t>
  </si>
  <si>
    <t>2020-08-0680</t>
  </si>
  <si>
    <t>PR No. 20-08-16</t>
  </si>
  <si>
    <t>MA-A2T20-006</t>
  </si>
  <si>
    <t>08-004</t>
  </si>
  <si>
    <t>MA-A2M20-061</t>
  </si>
  <si>
    <t>RFQ 2020-0368</t>
  </si>
  <si>
    <t>08-2-20</t>
  </si>
  <si>
    <t>08-23-20</t>
  </si>
  <si>
    <t>DepEd LU021-2020</t>
  </si>
  <si>
    <t>MA-A2M20-060</t>
  </si>
  <si>
    <t>NIFW-08-170-20</t>
  </si>
  <si>
    <t>MA-A2M20-055</t>
  </si>
  <si>
    <t>2020-08PP-18</t>
  </si>
  <si>
    <t>NIFW-08-169-20</t>
  </si>
  <si>
    <t>08-2020-28</t>
  </si>
  <si>
    <t>MZDS-BAC-G-2020-06</t>
  </si>
  <si>
    <t>NIFW-08-167-20</t>
  </si>
  <si>
    <t>LANDBANK LOAN-02-20</t>
  </si>
  <si>
    <t>2020-08PP-17</t>
  </si>
  <si>
    <t>LANDBANK LOAN-01-20</t>
  </si>
  <si>
    <t>GTLMH-TF-20-029 DM</t>
  </si>
  <si>
    <t>LGU-Banayoyo, ISur 2020-08-076</t>
  </si>
  <si>
    <t>MZDS-BAC-CW-2020-10</t>
  </si>
  <si>
    <t>R4A-LC-2020-26</t>
  </si>
  <si>
    <t>20-08-015</t>
  </si>
  <si>
    <t>BPOB-BAC-2020-08</t>
  </si>
  <si>
    <t>2020-02</t>
  </si>
  <si>
    <t>RFQ042d</t>
  </si>
  <si>
    <t>NIFW-08-166-20</t>
  </si>
  <si>
    <t>NIFW-08-168-20</t>
  </si>
  <si>
    <t>BPOB-BAC-2020-07</t>
  </si>
  <si>
    <t>DEPED-NE-INFRA-004-2020</t>
  </si>
  <si>
    <t>2020-GOODS-368</t>
  </si>
  <si>
    <t>DEPED-NE-GOODS-2020-022</t>
  </si>
  <si>
    <t>2020-GOODS-367</t>
  </si>
  <si>
    <t>Barangay Tibongbong 2020-001</t>
  </si>
  <si>
    <t>DEPED-NE-GOODS-2020-021</t>
  </si>
  <si>
    <t>2020-GOODS-365</t>
  </si>
  <si>
    <t>TAS-2020-08-001A</t>
  </si>
  <si>
    <t>2020-GOODS-369</t>
  </si>
  <si>
    <t>2020-GOODS-363</t>
  </si>
  <si>
    <t>NIW-08-171-20</t>
  </si>
  <si>
    <t>NwdBAC2020-008</t>
  </si>
  <si>
    <t>R4-LC-2020-24</t>
  </si>
  <si>
    <t>2020-GOODS-366</t>
  </si>
  <si>
    <t>2020-GOODS-364</t>
  </si>
  <si>
    <t>2020-GOODS-362</t>
  </si>
  <si>
    <t>20-08-04</t>
  </si>
  <si>
    <t>LGU-2020-216</t>
  </si>
  <si>
    <t>SVP2020-39</t>
  </si>
  <si>
    <t>2020-02-0127</t>
  </si>
  <si>
    <t>LGU-2020-215</t>
  </si>
  <si>
    <t>RFQ20-MBL20-0021</t>
  </si>
  <si>
    <t>027</t>
  </si>
  <si>
    <t>SES 2020_020</t>
  </si>
  <si>
    <t>ITDI-200504_REBID</t>
  </si>
  <si>
    <t>SVP2020-043</t>
  </si>
  <si>
    <t>NEGO UPGRADING OF POWER SYSTEM AT GENERAL SANTOS A</t>
  </si>
  <si>
    <t>SEHS 2020_020</t>
  </si>
  <si>
    <t>CRN-PB-028-GOODS-2020</t>
  </si>
  <si>
    <t>SF-GOODS:2020-008-006A</t>
  </si>
  <si>
    <t>APPD20-005SVP</t>
  </si>
  <si>
    <t>20-08-017</t>
  </si>
  <si>
    <t>SES 2020_021</t>
  </si>
  <si>
    <t>20-06-427</t>
  </si>
  <si>
    <t>20-14 infra</t>
  </si>
  <si>
    <t>20-0002</t>
  </si>
  <si>
    <t>20-08-563</t>
  </si>
  <si>
    <t>SES 2020_019</t>
  </si>
  <si>
    <t>CGSOF 08-20-015</t>
  </si>
  <si>
    <t>CGSOF 08-20-014</t>
  </si>
  <si>
    <t>20-08-645</t>
  </si>
  <si>
    <t>ImpvtMPB2020-823-2</t>
  </si>
  <si>
    <t>pr 2020-08-09</t>
  </si>
  <si>
    <t>106CO-38IB-2020-664</t>
  </si>
  <si>
    <t>RFQ-2020-108</t>
  </si>
  <si>
    <t>RFQ-2020-107</t>
  </si>
  <si>
    <t>RFQ-2020-106</t>
  </si>
  <si>
    <t>20-06-351</t>
  </si>
  <si>
    <t>RFQ-2020-104</t>
  </si>
  <si>
    <t>ITB-132.2020</t>
  </si>
  <si>
    <t>2020-604-041</t>
  </si>
  <si>
    <t>REI No. 2020-012</t>
  </si>
  <si>
    <t>20-41 goods</t>
  </si>
  <si>
    <t>20-08-385</t>
  </si>
  <si>
    <t>2020-08-0681</t>
  </si>
  <si>
    <t>JASHS-GO0208SH-012</t>
  </si>
  <si>
    <t>20-08-384</t>
  </si>
  <si>
    <t>0700-2020-08-046</t>
  </si>
  <si>
    <t>ECC-Supply 2020-08-029</t>
  </si>
  <si>
    <t>2020-06-0018</t>
  </si>
  <si>
    <t>RFQ-2020-105</t>
  </si>
  <si>
    <t>2020-06-0017</t>
  </si>
  <si>
    <t>2020-06-0075/76</t>
  </si>
  <si>
    <t>20-40 goods</t>
  </si>
  <si>
    <t>007238-2020-01</t>
  </si>
  <si>
    <t>R4A-LC-2020-25</t>
  </si>
  <si>
    <t>2020-06-0019</t>
  </si>
  <si>
    <t>(2FB)N20-08-100 PURCHASE OF DIESEL AND GASOLINE FO</t>
  </si>
  <si>
    <t>20-07-540</t>
  </si>
  <si>
    <t>20-39 goods</t>
  </si>
  <si>
    <t>ITB-131-2020</t>
  </si>
  <si>
    <t>ITDI-200586</t>
  </si>
  <si>
    <t>Brgy Caridad Ibaba</t>
  </si>
  <si>
    <t>ITDI-200585</t>
  </si>
  <si>
    <t>ITDI-200592</t>
  </si>
  <si>
    <t>ITDI-200584</t>
  </si>
  <si>
    <t>2020-20</t>
  </si>
  <si>
    <t>TESDA PR-0316</t>
  </si>
  <si>
    <t>ITDI-200589</t>
  </si>
  <si>
    <t>2020-08-0071</t>
  </si>
  <si>
    <t>ITDI-200590</t>
  </si>
  <si>
    <t>RFQ-2020-063</t>
  </si>
  <si>
    <t>R3-BANE-GAA-2020-Bustos Dam CCTV-67</t>
  </si>
  <si>
    <t>DGPD2020-RFQ08-002-G</t>
  </si>
  <si>
    <t>202001</t>
  </si>
  <si>
    <t>RFQ061</t>
  </si>
  <si>
    <t>SVP-20-0679</t>
  </si>
  <si>
    <t>SVP-20-0678</t>
  </si>
  <si>
    <t>SVP-20-0674</t>
  </si>
  <si>
    <t>SVP-20-0672</t>
  </si>
  <si>
    <t>SVP-20-0671</t>
  </si>
  <si>
    <t>SVP-20-0616</t>
  </si>
  <si>
    <t>SVP-20-0600</t>
  </si>
  <si>
    <t>SVP-20-0549</t>
  </si>
  <si>
    <t>SM-20-034</t>
  </si>
  <si>
    <t>MS-20-011</t>
  </si>
  <si>
    <t>3539-20</t>
  </si>
  <si>
    <t>3531-20</t>
  </si>
  <si>
    <t>3362-20</t>
  </si>
  <si>
    <t>3831-20</t>
  </si>
  <si>
    <t>3828-20</t>
  </si>
  <si>
    <t>3744-20</t>
  </si>
  <si>
    <t>3545-20</t>
  </si>
  <si>
    <t>20CSM007</t>
  </si>
  <si>
    <t>20CSOC01</t>
  </si>
  <si>
    <t>SKC-001-08-20</t>
  </si>
  <si>
    <t>7240-0000-00</t>
  </si>
  <si>
    <t>2020-07-03</t>
  </si>
  <si>
    <t>ITDI-200583</t>
  </si>
  <si>
    <t>MG-A5M20-074</t>
  </si>
  <si>
    <t>08222001</t>
  </si>
  <si>
    <t>ITDI-200594</t>
  </si>
  <si>
    <t>ITDI-200581</t>
  </si>
  <si>
    <t>343</t>
  </si>
  <si>
    <t>2020-07-0080</t>
  </si>
  <si>
    <t>2020-06-0080</t>
  </si>
  <si>
    <t>3847-20</t>
  </si>
  <si>
    <t>G20-08-3092</t>
  </si>
  <si>
    <t>G20-08-3091</t>
  </si>
  <si>
    <t>3798-20</t>
  </si>
  <si>
    <t>ITDI-200593</t>
  </si>
  <si>
    <t>PIKCOT-SUPP-002020-00183</t>
  </si>
  <si>
    <t>ITDI-200580</t>
  </si>
  <si>
    <t>PIKCOT-SUPP-002020-00182</t>
  </si>
  <si>
    <t>PIKCOT-SUPP-002020-00181</t>
  </si>
  <si>
    <t>PIKCOT-SUPP-002020-00179</t>
  </si>
  <si>
    <t>PIKCOT-SUPP-002020-00178</t>
  </si>
  <si>
    <t>MG-PLM20-095..400KVA DIESEL GENSET AT PH</t>
  </si>
  <si>
    <t>20200002</t>
  </si>
  <si>
    <t>MG-PLM20-152..maint. of Transformer(Shell DB) Reha</t>
  </si>
  <si>
    <t>03</t>
  </si>
  <si>
    <t>3878-20</t>
  </si>
  <si>
    <t>3797-20</t>
  </si>
  <si>
    <t>SVP-20-0677</t>
  </si>
  <si>
    <t>Bac-Pg-001-20</t>
  </si>
  <si>
    <t>RFQ-2020-067</t>
  </si>
  <si>
    <t>SES 2020_022</t>
  </si>
  <si>
    <t>3876-20</t>
  </si>
  <si>
    <t>20-08-016</t>
  </si>
  <si>
    <t>3875-20</t>
  </si>
  <si>
    <t>TAS-2020-08-001B</t>
  </si>
  <si>
    <t>MG-PAT20-016.SUPPLY AND DELIVERY OF GOVERNOR OIL P</t>
  </si>
  <si>
    <t>2020-GOODS-370</t>
  </si>
  <si>
    <t>2020-08PP-15</t>
  </si>
  <si>
    <t>PIKCOT-SUPP-002020-00180</t>
  </si>
  <si>
    <t>ITDI-200588</t>
  </si>
  <si>
    <t>UVLIGHT-082020</t>
  </si>
  <si>
    <t>GHQPC-OTQMG-OTSM-1748-2020</t>
  </si>
  <si>
    <t>2020-GOODS-371</t>
  </si>
  <si>
    <t>RFQ-2020-061</t>
  </si>
  <si>
    <t>BCS-2020-0304</t>
  </si>
  <si>
    <t>20MC-GOODS-047</t>
  </si>
  <si>
    <t>2020-08-I14</t>
  </si>
  <si>
    <t>20MC-GOODS-044</t>
  </si>
  <si>
    <t>20MC-INFRA-042</t>
  </si>
  <si>
    <t>S2-ANT20-006</t>
  </si>
  <si>
    <t>20MC-GOODS-048</t>
  </si>
  <si>
    <t>S2-ANT20-001</t>
  </si>
  <si>
    <t>PB-20-17</t>
  </si>
  <si>
    <t>OSSSM-RMB-1746-20</t>
  </si>
  <si>
    <t>20MC-GOODS-046</t>
  </si>
  <si>
    <t>WC-2020-08-284</t>
  </si>
  <si>
    <t>20MC-GOODS-045</t>
  </si>
  <si>
    <t>20MC-INFRA-043</t>
  </si>
  <si>
    <t>GHS0006-2020</t>
  </si>
  <si>
    <t>GHS0005-2020</t>
  </si>
  <si>
    <t>GHQPC-OJ5-SEMECE-1747-20</t>
  </si>
  <si>
    <t>S2-ALD20-002</t>
  </si>
  <si>
    <t>OSSSM-SEB-1745-20</t>
  </si>
  <si>
    <t>WC-2020-08-283</t>
  </si>
  <si>
    <t>21 August 2020</t>
  </si>
  <si>
    <t>2020-9</t>
  </si>
  <si>
    <t>PR-08-06-2020</t>
  </si>
  <si>
    <t>CSC CAR PR NO 2020-012</t>
  </si>
  <si>
    <t>PR-08-05-2020</t>
  </si>
  <si>
    <t>20GPB0004</t>
  </si>
  <si>
    <t>08-2020-01I</t>
  </si>
  <si>
    <t>2020-8</t>
  </si>
  <si>
    <t>DOH/CHD12/GOODS/2020-08-006 VAN RENTAL (DATRC)</t>
  </si>
  <si>
    <t>20 August 2020</t>
  </si>
  <si>
    <t>DOH/CHD12/GOODS/2020-08-006 VAN RENTAL</t>
  </si>
  <si>
    <t>DOH/CHD12/GOODS/2020-08-006 OFFICE SUPPLIES</t>
  </si>
  <si>
    <t>B-050-2020</t>
  </si>
  <si>
    <t>20-08-640</t>
  </si>
  <si>
    <t>DOH/CHD12/GOODS/2020-08-006 MEDICAL SUPPLIES</t>
  </si>
  <si>
    <t>20-08-641</t>
  </si>
  <si>
    <t>DOH/CHD12/GOODS/2020-08-006 DRUGS AND MEDICINES</t>
  </si>
  <si>
    <t>20DJ0113</t>
  </si>
  <si>
    <t>2020-INFRA-009</t>
  </si>
  <si>
    <t>VCWD-2020-019</t>
  </si>
  <si>
    <t>VCWD-2020-018</t>
  </si>
  <si>
    <t>20GPB0006</t>
  </si>
  <si>
    <t>PR# 20-08-1072</t>
  </si>
  <si>
    <t>S2-CAP20-005</t>
  </si>
  <si>
    <t>G-20-13</t>
  </si>
  <si>
    <t>20GPB0005</t>
  </si>
  <si>
    <t>RFQ 008-066-2020</t>
  </si>
  <si>
    <t>S2-CAP20-004</t>
  </si>
  <si>
    <t>TB DRUGS (RE-BID)</t>
  </si>
  <si>
    <t>CERAMIC TOILET BOWL (RE-BID)</t>
  </si>
  <si>
    <t>VCWD-2020-020</t>
  </si>
  <si>
    <t>FIRE EXTINGUISHER RE-BID</t>
  </si>
  <si>
    <t>DOH/CHD12/GOODS/2020-08-006 IT SUPPLIES</t>
  </si>
  <si>
    <t>DOH/CHD12/GOODS/2020-08-006 MEDICAL EQUIPMENTS</t>
  </si>
  <si>
    <t>RFQ NO. EMB-SVP-ERLSD-ECMU ION CHROMATOGRAPH PM 20</t>
  </si>
  <si>
    <t>ITB 008-065-2020</t>
  </si>
  <si>
    <t>MID-RANGE SERVER (RAID-TYPE) (TOWER SERVER) (iHOMI</t>
  </si>
  <si>
    <t>S2-MGA20-019</t>
  </si>
  <si>
    <t>08-21-20</t>
  </si>
  <si>
    <t>RE-ITBF-2020-04INFRA</t>
  </si>
  <si>
    <t>RQ 08-241</t>
  </si>
  <si>
    <t>H-044-0608-20</t>
  </si>
  <si>
    <t>RQ 08-240</t>
  </si>
  <si>
    <t>MEDICAL EQUIPMENT SGH (RE-BID)</t>
  </si>
  <si>
    <t>H-041-0605-20</t>
  </si>
  <si>
    <t>H-026-0590-20</t>
  </si>
  <si>
    <t>GHQPC-OTQMG-DME-1749-2020</t>
  </si>
  <si>
    <t>S2-MGA20-017</t>
  </si>
  <si>
    <t>211592</t>
  </si>
  <si>
    <t>211591</t>
  </si>
  <si>
    <t>211590</t>
  </si>
  <si>
    <t>211589</t>
  </si>
  <si>
    <t>RCDC-07252020</t>
  </si>
  <si>
    <t>211588</t>
  </si>
  <si>
    <t>RQ 08-030A</t>
  </si>
  <si>
    <t>RQ 08-249</t>
  </si>
  <si>
    <t>RQ 08-246</t>
  </si>
  <si>
    <t>RQ 08-242</t>
  </si>
  <si>
    <t>PR. 20-02-085 (i. 1-13) (2020-08-302)</t>
  </si>
  <si>
    <t>SVP 2020-043</t>
  </si>
  <si>
    <t>S2-MGA20-021</t>
  </si>
  <si>
    <t>BP-082120-036</t>
  </si>
  <si>
    <t>RQ 08-208</t>
  </si>
  <si>
    <t>S2-CMD20-001</t>
  </si>
  <si>
    <t>2020-GOODS-101</t>
  </si>
  <si>
    <t>S2-SND20-023</t>
  </si>
  <si>
    <t>08202018</t>
  </si>
  <si>
    <t>DRUGS AND MEDICINES (RE-BIDDING)</t>
  </si>
  <si>
    <t>211602</t>
  </si>
  <si>
    <t>72671</t>
  </si>
  <si>
    <t>2020-GOODS-100</t>
  </si>
  <si>
    <t>211601</t>
  </si>
  <si>
    <t>211603</t>
  </si>
  <si>
    <t>211598</t>
  </si>
  <si>
    <t>ITB 2020-08</t>
  </si>
  <si>
    <t>RFQ NO. EMB-ERLSD-ELSS-SHOPPING-0036-7-22-2020</t>
  </si>
  <si>
    <t>S2-MGS20-011</t>
  </si>
  <si>
    <t>211595</t>
  </si>
  <si>
    <t>211594</t>
  </si>
  <si>
    <t>211593</t>
  </si>
  <si>
    <t>2020-INFRA-010</t>
  </si>
  <si>
    <t>211597</t>
  </si>
  <si>
    <t>211600</t>
  </si>
  <si>
    <t>CS 2020-02</t>
  </si>
  <si>
    <t>211599</t>
  </si>
  <si>
    <t>S2-SND20-022</t>
  </si>
  <si>
    <t>S2-SND20-004</t>
  </si>
  <si>
    <t>LGU-2020-207</t>
  </si>
  <si>
    <t>LGU-2020-206</t>
  </si>
  <si>
    <t>2020-CENTRO 8-008</t>
  </si>
  <si>
    <t>S2-SND20-003</t>
  </si>
  <si>
    <t>H-025-0589-20</t>
  </si>
  <si>
    <t>LGU-2020-205</t>
  </si>
  <si>
    <t>LGU-2020-209</t>
  </si>
  <si>
    <t>2020-GOODS-102</t>
  </si>
  <si>
    <t>08212018</t>
  </si>
  <si>
    <t>2020 - 2</t>
  </si>
  <si>
    <t>GOODS-SPS-01-2020</t>
  </si>
  <si>
    <t>63939</t>
  </si>
  <si>
    <t>DOH/CHD12/GOODS/2020-08-006 RENTAL OF WINGED VAN T</t>
  </si>
  <si>
    <t>BA 2020-11</t>
  </si>
  <si>
    <t>S2-MGS20-009</t>
  </si>
  <si>
    <t>4000004621</t>
  </si>
  <si>
    <t>Dagnawan-INB-2020-002</t>
  </si>
  <si>
    <t>2020-GOODS-103</t>
  </si>
  <si>
    <t>S2-BIR20-016</t>
  </si>
  <si>
    <t>S2-TAG20-017</t>
  </si>
  <si>
    <t>LGU-2020-212</t>
  </si>
  <si>
    <t>20-07-0399</t>
  </si>
  <si>
    <t>20-07-0430</t>
  </si>
  <si>
    <t>20-07-0431</t>
  </si>
  <si>
    <t>geps-2020-004</t>
  </si>
  <si>
    <t>LGU-2020-210</t>
  </si>
  <si>
    <t>001-01-2020</t>
  </si>
  <si>
    <t>S2-TAG20-016</t>
  </si>
  <si>
    <t>LGU-2020-213</t>
  </si>
  <si>
    <t>RFQ-2020-04</t>
  </si>
  <si>
    <t>S2-TAG20-011</t>
  </si>
  <si>
    <t>20-08-0447</t>
  </si>
  <si>
    <t>ITB 2020-09-001</t>
  </si>
  <si>
    <t>LGU-2020-211</t>
  </si>
  <si>
    <t>LGU-2020-214</t>
  </si>
  <si>
    <t>S2-TAG20-012</t>
  </si>
  <si>
    <t>20-06-0376</t>
  </si>
  <si>
    <t>211596</t>
  </si>
  <si>
    <t>20200821</t>
  </si>
  <si>
    <t>2020-INFRA-012</t>
  </si>
  <si>
    <t>BM-005-2020</t>
  </si>
  <si>
    <t>geps-2020-001</t>
  </si>
  <si>
    <t>2020-INFRA-011</t>
  </si>
  <si>
    <t>BP-082020-035</t>
  </si>
  <si>
    <t>RFQ NO. 2020-0479-EMB-S-ERLSD-ELSS BOD INCUBATOR (</t>
  </si>
  <si>
    <t>RFQ NO. 2020-0648-EMB-SVP-ERLSD-ECMU ECD DETECTORS</t>
  </si>
  <si>
    <t>RFQ NO. 2020-0675-EMB-S-ERLSD-ELSS METAL STANDARDS</t>
  </si>
  <si>
    <t>2020.08.001</t>
  </si>
  <si>
    <t>RFQ NO. 2020-0531-EMB-S-ERLSD-ELSS LABORATORY CONS</t>
  </si>
  <si>
    <t>88000</t>
  </si>
  <si>
    <t>geps-2020-007</t>
  </si>
  <si>
    <t>RFQ NO. 2020-0475-EMB-SVP-ERLSD-ECMU SMART-N SERIE</t>
  </si>
  <si>
    <t>ITB - Goods - 2020 - 08-008</t>
  </si>
  <si>
    <t>RFQ NO. EMB-SVP-ERLSD-ECMU ADCS PM 2020-0466(3rd)</t>
  </si>
  <si>
    <t>RFQ NO. 2020-0502-EMB-SVP-ERLSD-ECMU ANALYTIC JENA</t>
  </si>
  <si>
    <t>2020-08-21-203</t>
  </si>
  <si>
    <t>BM-002-2020</t>
  </si>
  <si>
    <t>itb20-08-033B</t>
  </si>
  <si>
    <t>CW-001-2020</t>
  </si>
  <si>
    <t>RFQ NO. EMB-S-ERLSD-ELSS LABORATORY CONSUMABLES 20</t>
  </si>
  <si>
    <t>ITDI-200587</t>
  </si>
  <si>
    <t>BS-008-2020</t>
  </si>
  <si>
    <t>LGU-COR.-2020-95</t>
  </si>
  <si>
    <t>itb20-08-033A</t>
  </si>
  <si>
    <t>RFQ No. SJADS SVP 2020-27</t>
  </si>
  <si>
    <t>itb20-08-033C</t>
  </si>
  <si>
    <t>SKP-2020-08-003</t>
  </si>
  <si>
    <t>BSS-001-2020</t>
  </si>
  <si>
    <t>2020 - 08 - 031 (148 - Shopping)</t>
  </si>
  <si>
    <t>SKpuspus-001-20</t>
  </si>
  <si>
    <t>RFQ NO. 2020-0673-EMB-S-ERLSD-ELSS DIGITAL BAROMET</t>
  </si>
  <si>
    <t>08212020-1</t>
  </si>
  <si>
    <t>PCADG-08-21-2020</t>
  </si>
  <si>
    <t>SKP-2020-08-002</t>
  </si>
  <si>
    <t>BMN-2020-CDC-PB005</t>
  </si>
  <si>
    <t>ITB-DARFO12-2020-0721</t>
  </si>
  <si>
    <t>RFQ No. SJADS SVP 2020-26</t>
  </si>
  <si>
    <t>ppn-156-2020</t>
  </si>
  <si>
    <t>JJWC-NNP-20-017</t>
  </si>
  <si>
    <t>B2020-08-217 (G)</t>
  </si>
  <si>
    <t>ITB-DARFO12-2020-0720</t>
  </si>
  <si>
    <t>2020-08-SJC-RFQ-001</t>
  </si>
  <si>
    <t>IB_Goods_2020-08-047</t>
  </si>
  <si>
    <t>BAC-HO GS No. 2020-0561 dated 05 August 2020  (FME</t>
  </si>
  <si>
    <t>2020-184-I</t>
  </si>
  <si>
    <t>RFQ NO. 2020-0257-EMB-S-ERLSD-ELSS CONSUMABLES(3rd</t>
  </si>
  <si>
    <t>20OH0162</t>
  </si>
  <si>
    <t>SKP-2020-08-004</t>
  </si>
  <si>
    <t>PR 2020-07-0044</t>
  </si>
  <si>
    <t>2020-SVP-359</t>
  </si>
  <si>
    <t>SF-G-MTO-2020-33</t>
  </si>
  <si>
    <t>PR 2020-08-0053</t>
  </si>
  <si>
    <t>2020-08-SJC-RFQ-002</t>
  </si>
  <si>
    <t>08212020-2</t>
  </si>
  <si>
    <t>BAC-HO GS No. 2020-0233</t>
  </si>
  <si>
    <t>PR 2020-07-0043</t>
  </si>
  <si>
    <t>RFQ NO. 2020-0489-EMB-S-ERLSD-ELSS AIR ANALYSES ST</t>
  </si>
  <si>
    <t>PR 2020-07-0042</t>
  </si>
  <si>
    <t>SF-G- MDRRMO/GADF-2020-37</t>
  </si>
  <si>
    <t>G-082020-00893</t>
  </si>
  <si>
    <t>20CSZ021</t>
  </si>
  <si>
    <t>BangUN-2020-06-0240</t>
  </si>
  <si>
    <t>itb20-08-033E</t>
  </si>
  <si>
    <t>PB20-07-039COR</t>
  </si>
  <si>
    <t>itb20-08-033D</t>
  </si>
  <si>
    <t>20CSZ018</t>
  </si>
  <si>
    <t>20CSZ022</t>
  </si>
  <si>
    <t>20CSZ020</t>
  </si>
  <si>
    <t>20CSZ007</t>
  </si>
  <si>
    <t>BangUN-2020-06-0238</t>
  </si>
  <si>
    <t>2020-08-053</t>
  </si>
  <si>
    <t>GSIS LAU/SVP/TYRES</t>
  </si>
  <si>
    <t>SF-G- MDRRMO-2020-38</t>
  </si>
  <si>
    <t>RFQ-2020-007</t>
  </si>
  <si>
    <t>BBG-WV#028-2020</t>
  </si>
  <si>
    <t>2020-08-052</t>
  </si>
  <si>
    <t>BangUN-2020-06-0239</t>
  </si>
  <si>
    <t>Tubod-20-08-001</t>
  </si>
  <si>
    <t>2020-08-051</t>
  </si>
  <si>
    <t>20-DSWDFO1-003</t>
  </si>
  <si>
    <t>2020-08-01B</t>
  </si>
  <si>
    <t>20ABBAG002</t>
  </si>
  <si>
    <t>DA7-09-20-STO-U-20-3083</t>
  </si>
  <si>
    <t>20ABBAG001</t>
  </si>
  <si>
    <t>20GOI0001</t>
  </si>
  <si>
    <t>concreting2020-2</t>
  </si>
  <si>
    <t>RFQ-2020-006</t>
  </si>
  <si>
    <t>007264-2020-01</t>
  </si>
  <si>
    <t>Mal-PB-2020-002</t>
  </si>
  <si>
    <t>ITB No. Goods-2020-26</t>
  </si>
  <si>
    <t>PCDP-2020-08-0321</t>
  </si>
  <si>
    <t>ITB 001</t>
  </si>
  <si>
    <t>2020-023</t>
  </si>
  <si>
    <t>ITB-N-2020-08-001</t>
  </si>
  <si>
    <t>INFRA-2020-06</t>
  </si>
  <si>
    <t>DA7-09-SAAD-20-1237 (2 Failed Bidding)</t>
  </si>
  <si>
    <t>20POBSUR001</t>
  </si>
  <si>
    <t>2020-08-02B</t>
  </si>
  <si>
    <t>LGU-Sagay-4769</t>
  </si>
  <si>
    <t>DA7-09-20-STO-U-20-3084</t>
  </si>
  <si>
    <t>20SANDIO005</t>
  </si>
  <si>
    <t>IB-2020-096</t>
  </si>
  <si>
    <t>08-19-2020-332</t>
  </si>
  <si>
    <t>BBG - WV#038 - 2020</t>
  </si>
  <si>
    <t>08-19-2020-330</t>
  </si>
  <si>
    <t>G-2020- 03</t>
  </si>
  <si>
    <t>BBG - WV#037 - 2020</t>
  </si>
  <si>
    <t>08-19-2020-331</t>
  </si>
  <si>
    <t>2020-08-03B</t>
  </si>
  <si>
    <t>CAR-ADN-2020-103</t>
  </si>
  <si>
    <t>LGU-Sagay-4773</t>
  </si>
  <si>
    <t>LGU-Sagay-4772</t>
  </si>
  <si>
    <t>LGU-Sagay-4771</t>
  </si>
  <si>
    <t>2020-321</t>
  </si>
  <si>
    <t>200005</t>
  </si>
  <si>
    <t>CAR-ADN-2020-105</t>
  </si>
  <si>
    <t>GSO-20-0923-B</t>
  </si>
  <si>
    <t>2020-324</t>
  </si>
  <si>
    <t>BFAR5BAC-2020-154</t>
  </si>
  <si>
    <t>2020-297</t>
  </si>
  <si>
    <t>20FF0096 (Re-Ad)</t>
  </si>
  <si>
    <t>2020-323</t>
  </si>
  <si>
    <t>BFAR5BAC-2020-153</t>
  </si>
  <si>
    <t>20GIB0044</t>
  </si>
  <si>
    <t>2020-322</t>
  </si>
  <si>
    <t>08-19-2020-335</t>
  </si>
  <si>
    <t>08-19-2020-334</t>
  </si>
  <si>
    <t>LGU-Sagay-4774</t>
  </si>
  <si>
    <t>2020-POBLACION-062</t>
  </si>
  <si>
    <t>NONE</t>
  </si>
  <si>
    <t>2020-KHS-CP-001</t>
  </si>
  <si>
    <t>doc 2</t>
  </si>
  <si>
    <t>RFQ NO. 01 08/19/20</t>
  </si>
  <si>
    <t>LES2016</t>
  </si>
  <si>
    <t>SF-INFRA-2020-0015</t>
  </si>
  <si>
    <t>2020-08-05B</t>
  </si>
  <si>
    <t>2020-08-06B</t>
  </si>
  <si>
    <t>33-GOODS-HVCDP-2020</t>
  </si>
  <si>
    <t>32-GOODS-CORN-2020</t>
  </si>
  <si>
    <t>ITB-2020-08-002</t>
  </si>
  <si>
    <t>20-07-57</t>
  </si>
  <si>
    <t>20-08-585</t>
  </si>
  <si>
    <t>20-07-555</t>
  </si>
  <si>
    <t>20-08-580</t>
  </si>
  <si>
    <t>2020-07-0279a</t>
  </si>
  <si>
    <t>6073</t>
  </si>
  <si>
    <t>2020-03-01</t>
  </si>
  <si>
    <t>PR 20-08-9A</t>
  </si>
  <si>
    <t>2020-08-0183</t>
  </si>
  <si>
    <t>lgu sta. Barbara</t>
  </si>
  <si>
    <t>117226</t>
  </si>
  <si>
    <t>20-06-466</t>
  </si>
  <si>
    <t>2020-DAO-002</t>
  </si>
  <si>
    <t>BBG - WV 036 - 2020</t>
  </si>
  <si>
    <t>20-08-596</t>
  </si>
  <si>
    <t>092-Goods2020-036</t>
  </si>
  <si>
    <t>20-08-20-024</t>
  </si>
  <si>
    <t>2020-DAO-001</t>
  </si>
  <si>
    <t>burgos-2020-218-067</t>
  </si>
  <si>
    <t>2020 Caib 157</t>
  </si>
  <si>
    <t>burgos-2020-216-065</t>
  </si>
  <si>
    <t>ITB5</t>
  </si>
  <si>
    <t>burgos-2020-222-071</t>
  </si>
  <si>
    <t>DA7-2020-08-PhilRice-20-3171</t>
  </si>
  <si>
    <t>PAPC-AGH_HHSG-2020-11350-5340</t>
  </si>
  <si>
    <t>08-066-20</t>
  </si>
  <si>
    <t>CB-GOODS-001</t>
  </si>
  <si>
    <t>LGU - Quirino INFRA 2020 - 011</t>
  </si>
  <si>
    <t>burgos-2020-221-070</t>
  </si>
  <si>
    <t>08-20-004</t>
  </si>
  <si>
    <t>DA7-09-20-STO-U-20-3082</t>
  </si>
  <si>
    <t>2020 Caib 158</t>
  </si>
  <si>
    <t>burgos-2020-217-066</t>
  </si>
  <si>
    <t>silangan1-bdf2020</t>
  </si>
  <si>
    <t>DA7-2020-08-ILD-20-2344(R1)</t>
  </si>
  <si>
    <t>08202009</t>
  </si>
  <si>
    <t>burgos-2020-219-068</t>
  </si>
  <si>
    <t>BMC -N-20-0331</t>
  </si>
  <si>
    <t>burgos-2020-220-069</t>
  </si>
  <si>
    <t>2020-32</t>
  </si>
  <si>
    <t>RFQ-226-2020</t>
  </si>
  <si>
    <t>RFQ-223-2020</t>
  </si>
  <si>
    <t>INFRA 2020-001</t>
  </si>
  <si>
    <t>JHS-2020-08-0061</t>
  </si>
  <si>
    <t>08-065-20</t>
  </si>
  <si>
    <t>064-2020</t>
  </si>
  <si>
    <t>BAYLEGOOD0820084</t>
  </si>
  <si>
    <t>burgos-2020-227-073</t>
  </si>
  <si>
    <t>BAYLEGOOD0620074 (RE-BID)</t>
  </si>
  <si>
    <t>008-032-2020</t>
  </si>
  <si>
    <t>ITB Brgy. Canlumampao</t>
  </si>
  <si>
    <t>RFQ-228-2020</t>
  </si>
  <si>
    <t>SVP 57</t>
  </si>
  <si>
    <t>2020-08-20-42</t>
  </si>
  <si>
    <t>RFQ no. 2020-604</t>
  </si>
  <si>
    <t>2020-065</t>
  </si>
  <si>
    <t>002/06/2020</t>
  </si>
  <si>
    <t>BMC-N-20-333</t>
  </si>
  <si>
    <t>SVP 58</t>
  </si>
  <si>
    <t>BAYLECON0820085</t>
  </si>
  <si>
    <t>RFQ-GOODS-2020-024</t>
  </si>
  <si>
    <t>GOODS 2020-027</t>
  </si>
  <si>
    <t>2020-GOODS-11</t>
  </si>
  <si>
    <t>RFQ-227-2020</t>
  </si>
  <si>
    <t>ITB7</t>
  </si>
  <si>
    <t>PAPC-SBn_LSG_ASCOM-2020-10990-5133</t>
  </si>
  <si>
    <t>2020-08-20-43</t>
  </si>
  <si>
    <t>GOODS-2020-24</t>
  </si>
  <si>
    <t>2020 INFRA C-02</t>
  </si>
  <si>
    <t>LPZ - 2020 - 011</t>
  </si>
  <si>
    <t>BMC-N-20-330</t>
  </si>
  <si>
    <t>dalanguiring08-2020</t>
  </si>
  <si>
    <t>RFQ-DVO-PR.NO. 2008118 CAT. 49 PRINTED FORMS AND P</t>
  </si>
  <si>
    <t>BAYLEGOOD0820086</t>
  </si>
  <si>
    <t>RFQ-DVO-PR.NO. 2008093 CAT. 80 FUEL, OIL, LUBRICAN</t>
  </si>
  <si>
    <t>08202012</t>
  </si>
  <si>
    <t>BC-2020-I01</t>
  </si>
  <si>
    <t>Bid No. 20-0412</t>
  </si>
  <si>
    <t>20-730</t>
  </si>
  <si>
    <t>RFQ-40</t>
  </si>
  <si>
    <t>RFQ-229-2020</t>
  </si>
  <si>
    <t>RFQ-DVO-PR.NO. 2008094 CAT. 801 FUEL, OIL, LUBRICA</t>
  </si>
  <si>
    <t>04-2020_G</t>
  </si>
  <si>
    <t>RFQ No. 20-08-093</t>
  </si>
  <si>
    <t>RFQ-231-2020</t>
  </si>
  <si>
    <t>DARFO2.CVRC.115.REC.2020-08-1103.00</t>
  </si>
  <si>
    <t>GOODS-2020-16</t>
  </si>
  <si>
    <t>20-728</t>
  </si>
  <si>
    <t>BMC-N-20-336</t>
  </si>
  <si>
    <t>DA7-2020-08-CPAR-20-3148</t>
  </si>
  <si>
    <t>REBIDDING REPAIR OF CONFERENCE ROOM, STAFFHOUSE, E</t>
  </si>
  <si>
    <t>Bid No. 20-0413</t>
  </si>
  <si>
    <t>PANG-2020-1031</t>
  </si>
  <si>
    <t>DM-BAC-2020-0079</t>
  </si>
  <si>
    <t>082020-R1</t>
  </si>
  <si>
    <t>LPZ - 2020 - 010</t>
  </si>
  <si>
    <t>RFQ NO. 20-08-095</t>
  </si>
  <si>
    <t>PR2020-104</t>
  </si>
  <si>
    <t>00001</t>
  </si>
  <si>
    <t>00004-20-0604-0244</t>
  </si>
  <si>
    <t>RFQ-42</t>
  </si>
  <si>
    <t>BMC-N-20-335</t>
  </si>
  <si>
    <t>PANG-2020-1032</t>
  </si>
  <si>
    <t>BAYLECON0820087</t>
  </si>
  <si>
    <t>065-2020</t>
  </si>
  <si>
    <t>RFQ-DVO-PR.NO. 2008060 CAT. 80 FUEL, OIL, LUBRICAN</t>
  </si>
  <si>
    <t>KABUNGAAN202001</t>
  </si>
  <si>
    <t>20-729</t>
  </si>
  <si>
    <t>Bid No. 20-0414</t>
  </si>
  <si>
    <t>pgeps#380-2020</t>
  </si>
  <si>
    <t>RFQ-DVO-PR.NO. 2008058 CAT. 56 SPARE PARTS FOR LIG</t>
  </si>
  <si>
    <t>2020-08-119-A</t>
  </si>
  <si>
    <t>2020-08-050</t>
  </si>
  <si>
    <t>PANG-2020-1033</t>
  </si>
  <si>
    <t>2020 AUG -001</t>
  </si>
  <si>
    <t>8-20-20</t>
  </si>
  <si>
    <t>275-2020</t>
  </si>
  <si>
    <t>GOODS 2020-12</t>
  </si>
  <si>
    <t>BMC-N-20-338</t>
  </si>
  <si>
    <t>TUGBAS-0001I-2020</t>
  </si>
  <si>
    <t>RFQ-43</t>
  </si>
  <si>
    <t>2020-1</t>
  </si>
  <si>
    <t>20-07-14-23c</t>
  </si>
  <si>
    <t>a.20.08.23</t>
  </si>
  <si>
    <t>Bid No. 20-0415</t>
  </si>
  <si>
    <t>BMC-N-20-339</t>
  </si>
  <si>
    <t>PR0143-20 PGO</t>
  </si>
  <si>
    <t>IB-2020-090</t>
  </si>
  <si>
    <t>2019-002</t>
  </si>
  <si>
    <t>2020-INFRA-01</t>
  </si>
  <si>
    <t>GOODS-2020-25</t>
  </si>
  <si>
    <t>RFQ 0820-12</t>
  </si>
  <si>
    <t>PR2020-157</t>
  </si>
  <si>
    <t>CAR-ADN-2020-106</t>
  </si>
  <si>
    <t>PANG-2020-1034</t>
  </si>
  <si>
    <t>IB-2020-089</t>
  </si>
  <si>
    <t>BMC-N-20-343</t>
  </si>
  <si>
    <t>2020-0242</t>
  </si>
  <si>
    <t>PR# 20-08-1020</t>
  </si>
  <si>
    <t>20PL0126</t>
  </si>
  <si>
    <t>Bid No. 20-0416</t>
  </si>
  <si>
    <t>2020-08-038</t>
  </si>
  <si>
    <t>2020-119</t>
  </si>
  <si>
    <t>27</t>
  </si>
  <si>
    <t>penrneg2020-gs23</t>
  </si>
  <si>
    <t>2020-0243</t>
  </si>
  <si>
    <t>PR2020-180</t>
  </si>
  <si>
    <t>PANG-2020-1035</t>
  </si>
  <si>
    <t>RFQ T-12-20A</t>
  </si>
  <si>
    <t>00010256</t>
  </si>
  <si>
    <t>SUC 2020-08-005</t>
  </si>
  <si>
    <t>PR0123-20 PEO</t>
  </si>
  <si>
    <t>DA 8 SVP Goods 2020-08-0126 (Rice 20-08--18-1045)</t>
  </si>
  <si>
    <t>PR # 300-2020-08-0007</t>
  </si>
  <si>
    <t>20-08-110</t>
  </si>
  <si>
    <t>00010246</t>
  </si>
  <si>
    <t>lgumambu_brgybungsi_cw_aug_2020_001</t>
  </si>
  <si>
    <t>PANG-2020-1037</t>
  </si>
  <si>
    <t>00002</t>
  </si>
  <si>
    <t>1000033273</t>
  </si>
  <si>
    <t>GOODS-ITB 2020-08-016</t>
  </si>
  <si>
    <t>103-2020</t>
  </si>
  <si>
    <t>Bid No. 20-0417</t>
  </si>
  <si>
    <t>2020-08-073</t>
  </si>
  <si>
    <t>8-21-2020</t>
  </si>
  <si>
    <t>ITB Brgy. Poblacion</t>
  </si>
  <si>
    <t>PURCHASE REQUEST NO. 2020-PR-171</t>
  </si>
  <si>
    <t>JR # 20-275-CANOPY FOR NISSAN NAVARRA</t>
  </si>
  <si>
    <t>PR2020-185</t>
  </si>
  <si>
    <t>PRN-2020-08-001</t>
  </si>
  <si>
    <t>2020-0801</t>
  </si>
  <si>
    <t>PR # 300-2020-08-0006</t>
  </si>
  <si>
    <t>PANG-2020-1036</t>
  </si>
  <si>
    <t>RFQ 0820-14</t>
  </si>
  <si>
    <t>PR2020-184</t>
  </si>
  <si>
    <t>2020-121</t>
  </si>
  <si>
    <t>RFQ-2020-08A</t>
  </si>
  <si>
    <t>20GGH0033</t>
  </si>
  <si>
    <t>34-2020</t>
  </si>
  <si>
    <t>20CSN020</t>
  </si>
  <si>
    <t>PANG-2020-1038</t>
  </si>
  <si>
    <t>PR No. 2020-8-2157</t>
  </si>
  <si>
    <t>20-06-465</t>
  </si>
  <si>
    <t>PURCHASE REQUEST NO. 2020-PR-180</t>
  </si>
  <si>
    <t>S-0269</t>
  </si>
  <si>
    <t>Bid No. 20-0418</t>
  </si>
  <si>
    <t>ESD Mine3 20-011</t>
  </si>
  <si>
    <t>20GDK0047</t>
  </si>
  <si>
    <t>20FF0103</t>
  </si>
  <si>
    <t>GOODS-2020-40</t>
  </si>
  <si>
    <t>Goods-2020-002</t>
  </si>
  <si>
    <t>101-20-08-RFQ1052</t>
  </si>
  <si>
    <t>80020022020</t>
  </si>
  <si>
    <t>20-08-01</t>
  </si>
  <si>
    <t>PURCHASE REQUEST NO. 2020-PR-200</t>
  </si>
  <si>
    <t>PANG-2020-1039</t>
  </si>
  <si>
    <t>20GGH0034</t>
  </si>
  <si>
    <t>OCDROIII-2020-08-001</t>
  </si>
  <si>
    <t>PR2020-187</t>
  </si>
  <si>
    <t>20-08-111</t>
  </si>
  <si>
    <t>8202020</t>
  </si>
  <si>
    <t>PURCHASE REQUEST NO. 2020-PR-198</t>
  </si>
  <si>
    <t>Supplies 321-2020</t>
  </si>
  <si>
    <t>2020-07-00618</t>
  </si>
  <si>
    <t>2020-028</t>
  </si>
  <si>
    <t>PR2020-191</t>
  </si>
  <si>
    <t>2020-527</t>
  </si>
  <si>
    <t>20CSN021</t>
  </si>
  <si>
    <t>20GGH0035</t>
  </si>
  <si>
    <t>ITB No. 20-31</t>
  </si>
  <si>
    <t>08-20-2020-338</t>
  </si>
  <si>
    <t>TMG08C</t>
  </si>
  <si>
    <t>PURCHASE REQUEST NO. 2020-PR-205</t>
  </si>
  <si>
    <t>80020032020</t>
  </si>
  <si>
    <t>PANG-2020-1040</t>
  </si>
  <si>
    <t>80020012020</t>
  </si>
  <si>
    <t>101-20-08-RFQ1056</t>
  </si>
  <si>
    <t>ITB No. SJdB-2020-009</t>
  </si>
  <si>
    <t>AWANG 2020-001</t>
  </si>
  <si>
    <t>ITB No. (INF) 2020-08-119 FISH AND MARINE SANCTUAR</t>
  </si>
  <si>
    <t>2020-283</t>
  </si>
  <si>
    <t>101-20-08-RFQ1055</t>
  </si>
  <si>
    <t>S-0261</t>
  </si>
  <si>
    <t>PR# 20-08-1023</t>
  </si>
  <si>
    <t>INFRA-2020-002</t>
  </si>
  <si>
    <t>PR0152-20 DOPHGG</t>
  </si>
  <si>
    <t>TMG08C02</t>
  </si>
  <si>
    <t>2020-039J</t>
  </si>
  <si>
    <t>RFQ-DVO-PR.NO. 2008049 CAT. 56 SPARE PARTS FOR LIG</t>
  </si>
  <si>
    <t>PR0275-20 DOPMC</t>
  </si>
  <si>
    <t>20KE0066</t>
  </si>
  <si>
    <t>RFQ-230-2020</t>
  </si>
  <si>
    <t>2020-33</t>
  </si>
  <si>
    <t>BAYLEGOOD0820087</t>
  </si>
  <si>
    <t>IB-2020-088</t>
  </si>
  <si>
    <t>BMC-N-20-334</t>
  </si>
  <si>
    <t>CAND-A-0001G-2020</t>
  </si>
  <si>
    <t>GS-2020-14</t>
  </si>
  <si>
    <t>REBIDDING REPAIR OF COA OFFICE</t>
  </si>
  <si>
    <t>20CSN022</t>
  </si>
  <si>
    <t>RFQ-41</t>
  </si>
  <si>
    <t>2020-08-20-44</t>
  </si>
  <si>
    <t>JHS-2020-08-0060</t>
  </si>
  <si>
    <t>burgos-2020-223-224-225-072</t>
  </si>
  <si>
    <t>2020-09-022</t>
  </si>
  <si>
    <t>PAPC-OG4_ASCOM-2020-11424-5357</t>
  </si>
  <si>
    <t>20-08-20-023</t>
  </si>
  <si>
    <t>BMC -N-20-0332</t>
  </si>
  <si>
    <t>BMC-N-20-0341</t>
  </si>
  <si>
    <t>ITB No. SJdB-2020-008</t>
  </si>
  <si>
    <t>NP/PB 20-0940</t>
  </si>
  <si>
    <t>ISC-20-0340-B</t>
  </si>
  <si>
    <t>1021-20-08-004</t>
  </si>
  <si>
    <t>DA7-2020-08-AMIA-20-3092</t>
  </si>
  <si>
    <t>BFAR5BAC-2020-152</t>
  </si>
  <si>
    <t>RFQ - 2020-08-070</t>
  </si>
  <si>
    <t>SJN08C</t>
  </si>
  <si>
    <t>PURCHASE REQUEST NO. 2020-PR-211</t>
  </si>
  <si>
    <t>101-20-08-RFQ1053</t>
  </si>
  <si>
    <t>RFQ-DVO-PR.NO. 2007193 CAT. 13 COMPUTER SUPPLIES A</t>
  </si>
  <si>
    <t>PANG-2020-1041</t>
  </si>
  <si>
    <t>BCS-2020-0299</t>
  </si>
  <si>
    <t>2020-27B</t>
  </si>
  <si>
    <t>B-129-2020</t>
  </si>
  <si>
    <t>00010397</t>
  </si>
  <si>
    <t>RFQ-224-2020</t>
  </si>
  <si>
    <t>20DB0143</t>
  </si>
  <si>
    <t>20-47052</t>
  </si>
  <si>
    <t>RFQ-DVO-PR.NO. 2008055 CAT. 14 CONSTRUCTION SUPPLI</t>
  </si>
  <si>
    <t>PR 75009</t>
  </si>
  <si>
    <t>GOODS-2020-26</t>
  </si>
  <si>
    <t>2020-101-076</t>
  </si>
  <si>
    <t>RFQ - 2020-08-072</t>
  </si>
  <si>
    <t>20-08-112</t>
  </si>
  <si>
    <t>BINAN-PB-072-2020</t>
  </si>
  <si>
    <t>S5-20-1662</t>
  </si>
  <si>
    <t>01-05-2020-08-840</t>
  </si>
  <si>
    <t>20GDK0049</t>
  </si>
  <si>
    <t>PR No. 2020-8-2204</t>
  </si>
  <si>
    <t>RFQ - 2020-08-071</t>
  </si>
  <si>
    <t>SV20-06-002BACa-08</t>
  </si>
  <si>
    <t>20DB0144</t>
  </si>
  <si>
    <t>Goods-2020-03</t>
  </si>
  <si>
    <t>S-0268</t>
  </si>
  <si>
    <t>100-2008-1572</t>
  </si>
  <si>
    <t>08-19-2020-333</t>
  </si>
  <si>
    <t>PANG-2020-1030</t>
  </si>
  <si>
    <t>20CSN023</t>
  </si>
  <si>
    <t>SUP-08-2020</t>
  </si>
  <si>
    <t>08202001</t>
  </si>
  <si>
    <t>27-2020</t>
  </si>
  <si>
    <t>2020-08-11</t>
  </si>
  <si>
    <t>Awang202-002</t>
  </si>
  <si>
    <t>CA-20-08-70</t>
  </si>
  <si>
    <t>BINAN-PB-071-2020</t>
  </si>
  <si>
    <t>101-20-08-RFQ1051</t>
  </si>
  <si>
    <t>2008-08-040</t>
  </si>
  <si>
    <t>Cebulan-GOODS-003-2020</t>
  </si>
  <si>
    <t>20-08-113</t>
  </si>
  <si>
    <t>2020-12</t>
  </si>
  <si>
    <t>RFQ-DVO-PR.NO. 2008130 CAT. JANITORIAL SUPPLIES AN</t>
  </si>
  <si>
    <t>20DB0147</t>
  </si>
  <si>
    <t>20HC0191</t>
  </si>
  <si>
    <t>BOC-INFRA-2020-01</t>
  </si>
  <si>
    <t>2020-GH-001</t>
  </si>
  <si>
    <t>DTI-Pangkabuhayan sa pagBangon at Ginhawa (DTI-PBG</t>
  </si>
  <si>
    <t>2020-122</t>
  </si>
  <si>
    <t>144-2020-RQ</t>
  </si>
  <si>
    <t>PANG-2020-1161</t>
  </si>
  <si>
    <t>RFQ-DVO-PR.NO. 2008065 CAT. 39 MEDICAL SUPPLIES AN</t>
  </si>
  <si>
    <t>MJJLECG013-2020-01</t>
  </si>
  <si>
    <t>2020-284</t>
  </si>
  <si>
    <t>LCWD-2020-025 Various Fittings - Regular Stocks (R</t>
  </si>
  <si>
    <t>Brgy Suso-2020-002</t>
  </si>
  <si>
    <t>20-015</t>
  </si>
  <si>
    <t>LGU_Piddig_2020_054</t>
  </si>
  <si>
    <t>BMC-N-20-0329</t>
  </si>
  <si>
    <t>ITB-2020-08-003</t>
  </si>
  <si>
    <t>2020-08-0161</t>
  </si>
  <si>
    <t>Brgy Suso-2020-001</t>
  </si>
  <si>
    <t>20-08-114</t>
  </si>
  <si>
    <t>2020-0018</t>
  </si>
  <si>
    <t>2020-RFQ-041 "PURCHASE OF LAPTOP AND DESKTOP COMPU</t>
  </si>
  <si>
    <t>PIS 2020 002</t>
  </si>
  <si>
    <t>2020-SN-001</t>
  </si>
  <si>
    <t>CAR-ADN-2020-107</t>
  </si>
  <si>
    <t>2020-08-20-01</t>
  </si>
  <si>
    <t>20-09-20</t>
  </si>
  <si>
    <t>PR 74918</t>
  </si>
  <si>
    <t>CIVIL-2020-8</t>
  </si>
  <si>
    <t>0008-2020</t>
  </si>
  <si>
    <t>RFQ-DVO-PR.NO. 2008027 CAT. 14 CONSTRUCTION SUPPLI</t>
  </si>
  <si>
    <t>S3-DIN20-034</t>
  </si>
  <si>
    <t>2020-08-0016</t>
  </si>
  <si>
    <t>101-20-08-RFQ1054</t>
  </si>
  <si>
    <t>RFQ - 2020-08-069</t>
  </si>
  <si>
    <t>20DB0142</t>
  </si>
  <si>
    <t>TMG08C03</t>
  </si>
  <si>
    <t>2020-POBLACION-061</t>
  </si>
  <si>
    <t>2020-101-077</t>
  </si>
  <si>
    <t>20DB0145</t>
  </si>
  <si>
    <t>LGU-Sagay-4770</t>
  </si>
  <si>
    <t>2020_GOODS_022</t>
  </si>
  <si>
    <t>20-08-027B</t>
  </si>
  <si>
    <t>DA7-09-20-FOD-C-20-3130</t>
  </si>
  <si>
    <t>20SANDIO003</t>
  </si>
  <si>
    <t>Gumaoc-01-2020</t>
  </si>
  <si>
    <t>2020-185-I</t>
  </si>
  <si>
    <t>UPLB-I-025-09-20 SUPPLY AND DELIVERY OF CONSTRUCTI</t>
  </si>
  <si>
    <t>20GDK0048</t>
  </si>
  <si>
    <t>PR No. 2020-8-2203</t>
  </si>
  <si>
    <t>20SANDIO004</t>
  </si>
  <si>
    <t>INIMO-S20-08-011</t>
  </si>
  <si>
    <t>BMC-N-20-0340</t>
  </si>
  <si>
    <t>Brgy Suso-2020-003</t>
  </si>
  <si>
    <t>LGU_Piddig_2020_055</t>
  </si>
  <si>
    <t>2020-08-0162</t>
  </si>
  <si>
    <t>CEMO-20-86(NP/SV)</t>
  </si>
  <si>
    <t>RFQ-2020-178-GOODS</t>
  </si>
  <si>
    <t>20-09-002</t>
  </si>
  <si>
    <t>RFQ-2020-175-GOODS</t>
  </si>
  <si>
    <t>CMO(ADM)-20-030(SHOPPING)</t>
  </si>
  <si>
    <t>PANG-2020-1042</t>
  </si>
  <si>
    <t>08202020-B</t>
  </si>
  <si>
    <t>CMO(HEALTH)20-001(NP/SV)</t>
  </si>
  <si>
    <t>PANG-2020-1162</t>
  </si>
  <si>
    <t>SP(SO-ONG)-20-007(NP/SV)</t>
  </si>
  <si>
    <t>SP(SO-ONG)-20-012(NP/SV)</t>
  </si>
  <si>
    <t>2020-264</t>
  </si>
  <si>
    <t>BAC 08/20/20-01</t>
  </si>
  <si>
    <t>01-2020-0039</t>
  </si>
  <si>
    <t>RFQ No. 20-08-297</t>
  </si>
  <si>
    <t>20-378</t>
  </si>
  <si>
    <t>CVO-20-030(NP/SV)</t>
  </si>
  <si>
    <t>INFRA-2020-07</t>
  </si>
  <si>
    <t>MOB-BAC-2020-08-008-GOODS</t>
  </si>
  <si>
    <t>ITB No. 2020-34</t>
  </si>
  <si>
    <t>LGU_Piddig_2020_057</t>
  </si>
  <si>
    <t>mabpang-0820-2020-RHU</t>
  </si>
  <si>
    <t>20CB-GSC-541	PURCHASE OF AGRICULTURAL SUPPLIES (TR</t>
  </si>
  <si>
    <t>CMO(ADM)-20-234(SHOPPING)</t>
  </si>
  <si>
    <t>20AI0190</t>
  </si>
  <si>
    <t>MAFAR-08-171-2020</t>
  </si>
  <si>
    <t>01-2020-0038</t>
  </si>
  <si>
    <t>RFQ-2020-174-GOODS</t>
  </si>
  <si>
    <t>MAFAR-08-170-2020</t>
  </si>
  <si>
    <t>20-012-01</t>
  </si>
  <si>
    <t>GOODS-2020-27</t>
  </si>
  <si>
    <t>20CSNE0002</t>
  </si>
  <si>
    <t>LGU_Piddig_2020_056</t>
  </si>
  <si>
    <t>2020-AM-0745</t>
  </si>
  <si>
    <t>20AI0189</t>
  </si>
  <si>
    <t>SV-0977-2020</t>
  </si>
  <si>
    <t>SV-0976-2020</t>
  </si>
  <si>
    <t>FS 2020-08-094</t>
  </si>
  <si>
    <t>MOD-SHS-08-2020</t>
  </si>
  <si>
    <t>20-09-21</t>
  </si>
  <si>
    <t>101010</t>
  </si>
  <si>
    <t>GOODS-2020-28</t>
  </si>
  <si>
    <t>RFQ-2020-08B</t>
  </si>
  <si>
    <t>2001-08M01</t>
  </si>
  <si>
    <t>ITB-2020-47</t>
  </si>
  <si>
    <t>DA8-Goods-TFB-2020-2 (PR NO. RICE 20-02-19-0514)Re</t>
  </si>
  <si>
    <t>SJC-2020-08-ITB--001</t>
  </si>
  <si>
    <t>RFQ-J2020-08-001</t>
  </si>
  <si>
    <t>2020-160</t>
  </si>
  <si>
    <t>SV-0942-2020</t>
  </si>
  <si>
    <t>20CB-GSC-542	PURCHASE OF CONSTRUCTION MATERIALS (T</t>
  </si>
  <si>
    <t>MOD-JHS-08-2020</t>
  </si>
  <si>
    <t>S-0255</t>
  </si>
  <si>
    <t>MAFAR-08-173-2020</t>
  </si>
  <si>
    <t>ITB Health Care Supplies</t>
  </si>
  <si>
    <t>IB-2020-093</t>
  </si>
  <si>
    <t>PR No.: 100-20-08-024</t>
  </si>
  <si>
    <t>MAFAR-08-176-2020</t>
  </si>
  <si>
    <t>BAC-0062-2020</t>
  </si>
  <si>
    <t>2020-08-0170</t>
  </si>
  <si>
    <t>066-2020</t>
  </si>
  <si>
    <t>IB-2020-092</t>
  </si>
  <si>
    <t>20ED0139</t>
  </si>
  <si>
    <t>0820-005</t>
  </si>
  <si>
    <t>044-RFQ-2020 (OMAG)</t>
  </si>
  <si>
    <t>RFQ 2020-08-05</t>
  </si>
  <si>
    <t>08202020-A</t>
  </si>
  <si>
    <t>MAFAR-08-180-2020</t>
  </si>
  <si>
    <t>Tubod 2020-08-004</t>
  </si>
  <si>
    <t>MAFAR-08-181-2020</t>
  </si>
  <si>
    <t>Tubod 2020-06-003</t>
  </si>
  <si>
    <t>IB-2020-098</t>
  </si>
  <si>
    <t>ITB-2020-48</t>
  </si>
  <si>
    <t>S-0262</t>
  </si>
  <si>
    <t>S2-BH220-001</t>
  </si>
  <si>
    <t>LGU-MOALBOAL2020-0809</t>
  </si>
  <si>
    <t>SJ-20-235</t>
  </si>
  <si>
    <t>RFQ-GOODS-2020-025</t>
  </si>
  <si>
    <t>MAFAR-08-174-2020</t>
  </si>
  <si>
    <t>INFRA-2020- 011</t>
  </si>
  <si>
    <t>20-03-029</t>
  </si>
  <si>
    <t>IB-2020-097</t>
  </si>
  <si>
    <t>MAFAR-08-178-2020</t>
  </si>
  <si>
    <t>IB-2020-094</t>
  </si>
  <si>
    <t>ASF 2020-07-055</t>
  </si>
  <si>
    <t>MAFAR-08-177-2020</t>
  </si>
  <si>
    <t>MAFAR-08-179-2020</t>
  </si>
  <si>
    <t>MAFAR-08-175-2020</t>
  </si>
  <si>
    <t>PR No 2020-72</t>
  </si>
  <si>
    <t>IB-2020-091</t>
  </si>
  <si>
    <t>MAFAR-08-172-2020</t>
  </si>
  <si>
    <t>004990978</t>
  </si>
  <si>
    <t>047-2020</t>
  </si>
  <si>
    <t>Reference No.: DA8-Goods-TFB-2020-3 (PR NO. NLP 20</t>
  </si>
  <si>
    <t>pontevedra-20-G030</t>
  </si>
  <si>
    <t>067-2020</t>
  </si>
  <si>
    <t>14-2020</t>
  </si>
  <si>
    <t>0820-004</t>
  </si>
  <si>
    <t>MAFAR-08-184-2020</t>
  </si>
  <si>
    <t>nlontoc-RFQ-220-2020</t>
  </si>
  <si>
    <t>IB-2020-095</t>
  </si>
  <si>
    <t>P.O.W. 2020-07-278</t>
  </si>
  <si>
    <t>S-0770</t>
  </si>
  <si>
    <t>20-06-66-A</t>
  </si>
  <si>
    <t>MAFAR-08-183-2020</t>
  </si>
  <si>
    <t>20CI0107</t>
  </si>
  <si>
    <t>20-03-031</t>
  </si>
  <si>
    <t>P.R NO 0810 SERIES 2020</t>
  </si>
  <si>
    <t>pontevedra-20-G029</t>
  </si>
  <si>
    <t>2020-RFQ-040G</t>
  </si>
  <si>
    <t>MAFAR-08-185-2020</t>
  </si>
  <si>
    <t>20-03-030</t>
  </si>
  <si>
    <t>19DP0090</t>
  </si>
  <si>
    <t>2020-08-0485</t>
  </si>
  <si>
    <t>RFQ20-166</t>
  </si>
  <si>
    <t>BFPRHQSR4A-083</t>
  </si>
  <si>
    <t>nlontoc-RFQ-219-2020</t>
  </si>
  <si>
    <t>2020-RFQ-042G</t>
  </si>
  <si>
    <t>pontevedra-20-G033</t>
  </si>
  <si>
    <t>Brgy Suso-2020-004</t>
  </si>
  <si>
    <t>Office Equipment/Supply - Php  47,800.00</t>
  </si>
  <si>
    <t>GDS-430-2020</t>
  </si>
  <si>
    <t>ITB-2020-49</t>
  </si>
  <si>
    <t>S-0267</t>
  </si>
  <si>
    <t>2020-08-0487</t>
  </si>
  <si>
    <t>2020-81</t>
  </si>
  <si>
    <t>2020-28B</t>
  </si>
  <si>
    <t>pontevedra-20-G032</t>
  </si>
  <si>
    <t>20-06-63-A</t>
  </si>
  <si>
    <t>1011-20-08-22</t>
  </si>
  <si>
    <t>SJ-20-236</t>
  </si>
  <si>
    <t>2020-80</t>
  </si>
  <si>
    <t>2020-07-01</t>
  </si>
  <si>
    <t>pontevedra-20-G031</t>
  </si>
  <si>
    <t>20-03-032</t>
  </si>
  <si>
    <t>2020-08-0486</t>
  </si>
  <si>
    <t>SHOPPING AUGUST 2020-001</t>
  </si>
  <si>
    <t>20-08-00496</t>
  </si>
  <si>
    <t>BCS-2020-0302</t>
  </si>
  <si>
    <t>2020-08-20</t>
  </si>
  <si>
    <t>GS No. 2020-0085</t>
  </si>
  <si>
    <t>20J00218</t>
  </si>
  <si>
    <t>2020-011</t>
  </si>
  <si>
    <t>BCS-2020-0301</t>
  </si>
  <si>
    <t>2020-08-7E</t>
  </si>
  <si>
    <t>SJ-20-237</t>
  </si>
  <si>
    <t>RFQ-2020-09</t>
  </si>
  <si>
    <t>1011-20-08-45</t>
  </si>
  <si>
    <t>RFQ-NP-SVP-378-2020</t>
  </si>
  <si>
    <t>2020-012</t>
  </si>
  <si>
    <t>OD-2020-08-001</t>
  </si>
  <si>
    <t>20-07-001</t>
  </si>
  <si>
    <t>PB 2020-01 BGY. NEW PANAY</t>
  </si>
  <si>
    <t>PR-2020-1223</t>
  </si>
  <si>
    <t>08-2020</t>
  </si>
  <si>
    <t>202008D</t>
  </si>
  <si>
    <t>050-20</t>
  </si>
  <si>
    <t>RFQ-2020-256</t>
  </si>
  <si>
    <t>2020-08-0489</t>
  </si>
  <si>
    <t>BCS-2020-0303</t>
  </si>
  <si>
    <t>20-08-220</t>
  </si>
  <si>
    <t>RFQ20-154</t>
  </si>
  <si>
    <t>20J00219</t>
  </si>
  <si>
    <t>PR-2020-1221</t>
  </si>
  <si>
    <t>20GIK0012</t>
  </si>
  <si>
    <t>GD36-2020</t>
  </si>
  <si>
    <t>2020-08-0490</t>
  </si>
  <si>
    <t>OD-2020-07-004</t>
  </si>
  <si>
    <t>BAC-08-1116</t>
  </si>
  <si>
    <t>20GMC0233</t>
  </si>
  <si>
    <t>INFRA AUGUST 2020-001</t>
  </si>
  <si>
    <t>ITB-2020-50</t>
  </si>
  <si>
    <t>20-209</t>
  </si>
  <si>
    <t>BS 20-08-GR004</t>
  </si>
  <si>
    <t>NV 2020-266</t>
  </si>
  <si>
    <t>INFRA2020-RDW-023 Rehabilitation of Piezometers at</t>
  </si>
  <si>
    <t>20-210</t>
  </si>
  <si>
    <t>20J00223</t>
  </si>
  <si>
    <t>OD-2020-07-03</t>
  </si>
  <si>
    <t>20J00220</t>
  </si>
  <si>
    <t>342613</t>
  </si>
  <si>
    <t>202008F</t>
  </si>
  <si>
    <t>2020-08-511</t>
  </si>
  <si>
    <t>202008E</t>
  </si>
  <si>
    <t>08-20-30</t>
  </si>
  <si>
    <t>BIMO-GOODS-SVP2020-IDS-P4</t>
  </si>
  <si>
    <t>RFQ-2020-257</t>
  </si>
  <si>
    <t>GD37-2020</t>
  </si>
  <si>
    <t>20-08-032</t>
  </si>
  <si>
    <t>2020-08-0262</t>
  </si>
  <si>
    <t>AKLAN BAC ITB 502 SERIES 2020</t>
  </si>
  <si>
    <t>20-212</t>
  </si>
  <si>
    <t xml:space="preserve">INFRA2020-PUL-020 Fabrication and Installation of </t>
  </si>
  <si>
    <t>20-08-103</t>
  </si>
  <si>
    <t>BAC PGCS-042-2020</t>
  </si>
  <si>
    <t>20FK0066</t>
  </si>
  <si>
    <t>2020-45</t>
  </si>
  <si>
    <t>2020-0244</t>
  </si>
  <si>
    <t>20-03-034</t>
  </si>
  <si>
    <t>20-211</t>
  </si>
  <si>
    <t>08-20-32</t>
  </si>
  <si>
    <t>ICRFQ08202020A</t>
  </si>
  <si>
    <t>20GMC0234</t>
  </si>
  <si>
    <t>mabpang-0820-2020-01</t>
  </si>
  <si>
    <t>GD38-2020</t>
  </si>
  <si>
    <t>BAC-PGCS-006-2020</t>
  </si>
  <si>
    <t>08-20-31</t>
  </si>
  <si>
    <t>20J00222</t>
  </si>
  <si>
    <t>1011-20-08-540</t>
  </si>
  <si>
    <t>08-20-29</t>
  </si>
  <si>
    <t>BS 20-08-0856</t>
  </si>
  <si>
    <t>2020-85</t>
  </si>
  <si>
    <t>08-20-34</t>
  </si>
  <si>
    <t>RFQ-2020-258</t>
  </si>
  <si>
    <t>2020-46</t>
  </si>
  <si>
    <t>BS 20-08-0867</t>
  </si>
  <si>
    <t>ITB-2020-51</t>
  </si>
  <si>
    <t>20-213</t>
  </si>
  <si>
    <t>08-20-33</t>
  </si>
  <si>
    <t>ITB No. I30-03-2020</t>
  </si>
  <si>
    <t>20-03-033</t>
  </si>
  <si>
    <t>2020-PBDD-WCSC-08-20-054A</t>
  </si>
  <si>
    <t>20J00221</t>
  </si>
  <si>
    <t>Bid No. 20-0419</t>
  </si>
  <si>
    <t>2020-87</t>
  </si>
  <si>
    <t>OD-2020-07-007</t>
  </si>
  <si>
    <t>Bid No. 20-0421</t>
  </si>
  <si>
    <t>TAS 20-08-122</t>
  </si>
  <si>
    <t>NV 2020-269</t>
  </si>
  <si>
    <t>2020-47</t>
  </si>
  <si>
    <t>PUR20-08-0691 PUR20-08-0690</t>
  </si>
  <si>
    <t>2020-08-0357</t>
  </si>
  <si>
    <t>BAC PGCS-045-2020</t>
  </si>
  <si>
    <t>20-08-033</t>
  </si>
  <si>
    <t>NV 2020-268</t>
  </si>
  <si>
    <t>08-20-35</t>
  </si>
  <si>
    <t>ICRFQ08202020B</t>
  </si>
  <si>
    <t>2020-86</t>
  </si>
  <si>
    <t>Bid No. 20-0420</t>
  </si>
  <si>
    <t>BAC PGCS-181-2020</t>
  </si>
  <si>
    <t>BS 20-08-0866</t>
  </si>
  <si>
    <t>20-003</t>
  </si>
  <si>
    <t>INFRA2020-AG5-017 AG5 Construction of Secondary Co</t>
  </si>
  <si>
    <t>08-20-37</t>
  </si>
  <si>
    <t>2020-09-02-030</t>
  </si>
  <si>
    <t>Bid No. 20-0422</t>
  </si>
  <si>
    <t>100-20-08-99</t>
  </si>
  <si>
    <t>BAC PGCS-185-2020</t>
  </si>
  <si>
    <t>BS 20-08-0852</t>
  </si>
  <si>
    <t>BS 20-08-0855</t>
  </si>
  <si>
    <t>2020-29</t>
  </si>
  <si>
    <t>2020-01-001</t>
  </si>
  <si>
    <t>08-20-36</t>
  </si>
  <si>
    <t>mabpang-0820-2020-02</t>
  </si>
  <si>
    <t>BS 20-08-0865</t>
  </si>
  <si>
    <t>BS 20-08-0846</t>
  </si>
  <si>
    <t>RFQ-2020-259</t>
  </si>
  <si>
    <t>08-20-2020-339</t>
  </si>
  <si>
    <t>20-03-035</t>
  </si>
  <si>
    <t>2020-V007</t>
  </si>
  <si>
    <t>OD-2020-07-005</t>
  </si>
  <si>
    <t>2020-313- Plastic pail @ 100 liters</t>
  </si>
  <si>
    <t>2020-008-044</t>
  </si>
  <si>
    <t>mnto 20 0019</t>
  </si>
  <si>
    <t>PR-2019-017</t>
  </si>
  <si>
    <t>Bid No. 20-0423</t>
  </si>
  <si>
    <t>08-20-39</t>
  </si>
  <si>
    <t>RFQ-GOODS-ISAIMO-08-20</t>
  </si>
  <si>
    <t>LTO-SU-20-073</t>
  </si>
  <si>
    <t>mabpang-0820-2020-03</t>
  </si>
  <si>
    <t>2020-08-0351</t>
  </si>
  <si>
    <t>2020-129</t>
  </si>
  <si>
    <t>S2-BH220-003</t>
  </si>
  <si>
    <t>2020-PR-134</t>
  </si>
  <si>
    <t>20-214</t>
  </si>
  <si>
    <t>08-20-38</t>
  </si>
  <si>
    <t>2020-08-0349</t>
  </si>
  <si>
    <t>ITB No. I39-03-2020</t>
  </si>
  <si>
    <t>LTO-SU-20-075</t>
  </si>
  <si>
    <t>2020-008-045</t>
  </si>
  <si>
    <t>20-215</t>
  </si>
  <si>
    <t>08-20-41</t>
  </si>
  <si>
    <t>2020-08-0296</t>
  </si>
  <si>
    <t>BS 20-08-0851</t>
  </si>
  <si>
    <t>08-20-40</t>
  </si>
  <si>
    <t>2020-361 rice bran @ 40kg</t>
  </si>
  <si>
    <t>Bid No. 20-0425</t>
  </si>
  <si>
    <t>2020-08-3122</t>
  </si>
  <si>
    <t>20-08-20</t>
  </si>
  <si>
    <t>069-2020</t>
  </si>
  <si>
    <t>LTO-SU-20-074</t>
  </si>
  <si>
    <t>20GFB06</t>
  </si>
  <si>
    <t>RFQ-GOODS-ISAIMO-07-20</t>
  </si>
  <si>
    <t>Bid No. 20-0424</t>
  </si>
  <si>
    <t>2020-07-34</t>
  </si>
  <si>
    <t>RFQ-DVO-PR.NO. 2007176 CAT. 56 SPARE PARTS FOR LIG</t>
  </si>
  <si>
    <t>LTO-SU-20-076</t>
  </si>
  <si>
    <t>20NA0080</t>
  </si>
  <si>
    <t>LGU-AL-35-2020</t>
  </si>
  <si>
    <t>08-20-45</t>
  </si>
  <si>
    <t>2020-08-515</t>
  </si>
  <si>
    <t>CENG-GDS2020-051</t>
  </si>
  <si>
    <t>08-20-44</t>
  </si>
  <si>
    <t>2175</t>
  </si>
  <si>
    <t>2020-07-0799,2020-07-0801,2020-07-0809 etc</t>
  </si>
  <si>
    <t>2020-48</t>
  </si>
  <si>
    <t>MDF2019-008/08-19-2020</t>
  </si>
  <si>
    <t>08-20-43</t>
  </si>
  <si>
    <t>LCWD-2020-048 Mechanical Gate VAlves and Universal</t>
  </si>
  <si>
    <t>BS 20-08-0853</t>
  </si>
  <si>
    <t>Bidding-06-August2020</t>
  </si>
  <si>
    <t>PNU2020-0080</t>
  </si>
  <si>
    <t>PR-2020-1337</t>
  </si>
  <si>
    <t>08-20-42</t>
  </si>
  <si>
    <t>PR 2020-07-0092</t>
  </si>
  <si>
    <t>ITB No. Goods-2020-25</t>
  </si>
  <si>
    <t>P.R. No. 2020-08-0126</t>
  </si>
  <si>
    <t>PG-2020-071</t>
  </si>
  <si>
    <t>PSA-NCR-RO-20-30</t>
  </si>
  <si>
    <t>08-20-47</t>
  </si>
  <si>
    <t>mabpang-0820-2020-MO</t>
  </si>
  <si>
    <t>20-08-084</t>
  </si>
  <si>
    <t>20MGU-080</t>
  </si>
  <si>
    <t>2020-0245</t>
  </si>
  <si>
    <t>2020-08-512</t>
  </si>
  <si>
    <t>RFQ-1</t>
  </si>
  <si>
    <t>2020-08-082</t>
  </si>
  <si>
    <t>20FO0109</t>
  </si>
  <si>
    <t>LTO-SU-20-077</t>
  </si>
  <si>
    <t>RFQ-DVO-PR.NO. 2007305 CAT. 56 SPARE PARTS FOR LIG</t>
  </si>
  <si>
    <t>RFQ-DVO-PR.NO. 2007181 CAT. 56 SPARE PARTS FOR LIG</t>
  </si>
  <si>
    <t>20-08-083</t>
  </si>
  <si>
    <t>ITB-2020-025</t>
  </si>
  <si>
    <t>NV 2020-265</t>
  </si>
  <si>
    <t>08-20-46</t>
  </si>
  <si>
    <t>2020-PR-135</t>
  </si>
  <si>
    <t>RFQ NO.:20-08-91</t>
  </si>
  <si>
    <t>2020-07-35</t>
  </si>
  <si>
    <t>Bid No. 20-0428</t>
  </si>
  <si>
    <t>LTO-SU-20-079</t>
  </si>
  <si>
    <t>2133</t>
  </si>
  <si>
    <t>Bid No. 20-0427</t>
  </si>
  <si>
    <t>08-20-49</t>
  </si>
  <si>
    <t>20FO0110</t>
  </si>
  <si>
    <t>2020-RFQ "PURCHASE OF LET REVIEWER FOR THE COLLEGE</t>
  </si>
  <si>
    <t>Bid No. 20-0426</t>
  </si>
  <si>
    <t>2020-08-0398</t>
  </si>
  <si>
    <t>2020-337 various fertilizer</t>
  </si>
  <si>
    <t>P.R. No. 2020-08-0127</t>
  </si>
  <si>
    <t>08-20-48</t>
  </si>
  <si>
    <t>LSPU-LBC2020-028</t>
  </si>
  <si>
    <t>GOODS-NP-2020-018</t>
  </si>
  <si>
    <t>20-08-085</t>
  </si>
  <si>
    <t>I4-20-1682</t>
  </si>
  <si>
    <t>20-08-0326</t>
  </si>
  <si>
    <t>0891</t>
  </si>
  <si>
    <t>GOODS-NP-2020-019</t>
  </si>
  <si>
    <t>2020-08-00699</t>
  </si>
  <si>
    <t>08-20-52</t>
  </si>
  <si>
    <t>ABS-02-08-20-GOODS</t>
  </si>
  <si>
    <t>DWD#2020- 044</t>
  </si>
  <si>
    <t>mabpang-0820-2020-ME</t>
  </si>
  <si>
    <t>20FO0111</t>
  </si>
  <si>
    <t>2020-08-102</t>
  </si>
  <si>
    <t>8-06</t>
  </si>
  <si>
    <t>20-08-0194H</t>
  </si>
  <si>
    <t>08-20-51</t>
  </si>
  <si>
    <t>RFQ-2</t>
  </si>
  <si>
    <t>20GAF0064SVP</t>
  </si>
  <si>
    <t>041</t>
  </si>
  <si>
    <t>ITB-2020-026</t>
  </si>
  <si>
    <t>GOOD20200701</t>
  </si>
  <si>
    <t>LSPU-LBC2020-029</t>
  </si>
  <si>
    <t>GOODS-NP-2020-120</t>
  </si>
  <si>
    <t>08-20-55</t>
  </si>
  <si>
    <t>1011-20-08-542</t>
  </si>
  <si>
    <t>ATI-RTC3-2020-0114</t>
  </si>
  <si>
    <t>08-20-54</t>
  </si>
  <si>
    <t>O1-20-1676</t>
  </si>
  <si>
    <t>Bid No. 20-0429</t>
  </si>
  <si>
    <t>2020-08-081</t>
  </si>
  <si>
    <t>216 - 2020</t>
  </si>
  <si>
    <t>08-20-53</t>
  </si>
  <si>
    <t>331</t>
  </si>
  <si>
    <t>20GAF0063SVP</t>
  </si>
  <si>
    <t>20-08-489</t>
  </si>
  <si>
    <t>RFQ 2020-137</t>
  </si>
  <si>
    <t>GOODS-ITB 2020-08-001</t>
  </si>
  <si>
    <t>PRRI-2020ISA-053</t>
  </si>
  <si>
    <t>NP-SVP-431-2020</t>
  </si>
  <si>
    <t>BAYLE0820AMP0815</t>
  </si>
  <si>
    <t>LSPU-LBC2020-030</t>
  </si>
  <si>
    <t>2020-08-100</t>
  </si>
  <si>
    <t>2020-21</t>
  </si>
  <si>
    <t>215 - 2020</t>
  </si>
  <si>
    <t>NP-SVP-433-2020</t>
  </si>
  <si>
    <t>043</t>
  </si>
  <si>
    <t>M7-20-1683</t>
  </si>
  <si>
    <t>2020-50</t>
  </si>
  <si>
    <t>RFQ 2020-139</t>
  </si>
  <si>
    <t>0944</t>
  </si>
  <si>
    <t>20KE0067</t>
  </si>
  <si>
    <t>NP-SVP-432-2020</t>
  </si>
  <si>
    <t>BAC-PG-00199-20</t>
  </si>
  <si>
    <t>8-01</t>
  </si>
  <si>
    <t>SVP-G-2020-020</t>
  </si>
  <si>
    <t>RFQ 2020-142</t>
  </si>
  <si>
    <t>RFQ-NP-SVP-379-2020</t>
  </si>
  <si>
    <t>RFQ20-167</t>
  </si>
  <si>
    <t>0938</t>
  </si>
  <si>
    <t>GOOD20200002(a)</t>
  </si>
  <si>
    <t>20-08-020</t>
  </si>
  <si>
    <t>2020-0382 and 2020-0555</t>
  </si>
  <si>
    <t>dpwh-c2-deo 20HE0122</t>
  </si>
  <si>
    <t>2020-040J</t>
  </si>
  <si>
    <t>RFQ 2020-141</t>
  </si>
  <si>
    <t>BARBARANGAY-ITB-1(PATHWAY)-2020</t>
  </si>
  <si>
    <t>BAC-PG-00201-20</t>
  </si>
  <si>
    <t>S-436-2020</t>
  </si>
  <si>
    <t>0940</t>
  </si>
  <si>
    <t>NP-SVP-435-2020</t>
  </si>
  <si>
    <t>2020-08-003 Lepanto ES</t>
  </si>
  <si>
    <t>RFQ 2020-140</t>
  </si>
  <si>
    <t>doletac8-2020-22</t>
  </si>
  <si>
    <t>217 - 2020</t>
  </si>
  <si>
    <t>BAC-PG-00200-20</t>
  </si>
  <si>
    <t>ITB-2020-023</t>
  </si>
  <si>
    <t>RFQ 2020-138</t>
  </si>
  <si>
    <t>0941</t>
  </si>
  <si>
    <t>mabpang-0820-2020-RHU2</t>
  </si>
  <si>
    <t>SVP-G-2020-019</t>
  </si>
  <si>
    <t>19LG0118</t>
  </si>
  <si>
    <t>214 - 2020</t>
  </si>
  <si>
    <t>001-08-20-2020</t>
  </si>
  <si>
    <t>162-08-2020</t>
  </si>
  <si>
    <t>GOODS-NP-2020-121</t>
  </si>
  <si>
    <t>oshc2020FAD_010</t>
  </si>
  <si>
    <t>20-231</t>
  </si>
  <si>
    <t>08-20-50</t>
  </si>
  <si>
    <t>309</t>
  </si>
  <si>
    <t>LTO-SU-20-078</t>
  </si>
  <si>
    <t>2020 - 08 - 028 (146 - Shopping)</t>
  </si>
  <si>
    <t>GD35-2020</t>
  </si>
  <si>
    <t>1011-20-08-541</t>
  </si>
  <si>
    <t>NV 2020-264</t>
  </si>
  <si>
    <t>proc.123</t>
  </si>
  <si>
    <t>2020-0802</t>
  </si>
  <si>
    <t>S2-B1620-021</t>
  </si>
  <si>
    <t>SMV AUGUST 2020-003</t>
  </si>
  <si>
    <t>2020-543</t>
  </si>
  <si>
    <t>BCS-2020-0300</t>
  </si>
  <si>
    <t>mnto 20 0018</t>
  </si>
  <si>
    <t>0820-021</t>
  </si>
  <si>
    <t>2020-RFQ-041G</t>
  </si>
  <si>
    <t>2020-7-01</t>
  </si>
  <si>
    <t>INFRA2020-RDW-022 Supply and Installation of Piezo</t>
  </si>
  <si>
    <t>100-04-076-17-755</t>
  </si>
  <si>
    <t>SUPPLY AND DELIVERY OF CORPORATION COCK (RE-BIDDIN</t>
  </si>
  <si>
    <t>2020-07-022</t>
  </si>
  <si>
    <t>2020-0820-0015</t>
  </si>
  <si>
    <t>BAC-PG-00202-20</t>
  </si>
  <si>
    <t>20IJ-0093</t>
  </si>
  <si>
    <t>2020-08-0488</t>
  </si>
  <si>
    <t>068-2020</t>
  </si>
  <si>
    <t>EMB-R4B-34-20</t>
  </si>
  <si>
    <t>S-0265</t>
  </si>
  <si>
    <t>316</t>
  </si>
  <si>
    <t>Manila202009</t>
  </si>
  <si>
    <t>BAC-PG-00203-20</t>
  </si>
  <si>
    <t>0939</t>
  </si>
  <si>
    <t>PR # 100-2020-08-0142</t>
  </si>
  <si>
    <t>2020-13G</t>
  </si>
  <si>
    <t>2020-51</t>
  </si>
  <si>
    <t>RFQ 2020-147</t>
  </si>
  <si>
    <t>20-08-3191</t>
  </si>
  <si>
    <t>IV-08-2020-04</t>
  </si>
  <si>
    <t>BAC-PG-00204-20</t>
  </si>
  <si>
    <t>100-20-02-74</t>
  </si>
  <si>
    <t>100-2020-08-001</t>
  </si>
  <si>
    <t>0950</t>
  </si>
  <si>
    <t>LGU-Camalig-Goods-41</t>
  </si>
  <si>
    <t>2020-AM-0749</t>
  </si>
  <si>
    <t>100-20-08-531</t>
  </si>
  <si>
    <t>19C00095</t>
  </si>
  <si>
    <t>SHOPPING AUGUST 2020-002</t>
  </si>
  <si>
    <t>405-202</t>
  </si>
  <si>
    <t>BAC-SBSL-MEO-2020-16</t>
  </si>
  <si>
    <t>SVP-G-2020-021</t>
  </si>
  <si>
    <t>SHOPPING AUGUST 2020-003</t>
  </si>
  <si>
    <t>C-025-20</t>
  </si>
  <si>
    <t>RFQ NO. 2020-191</t>
  </si>
  <si>
    <t>RFQ NO. DVO-2020-08-044</t>
  </si>
  <si>
    <t>20-08-002-RFQ</t>
  </si>
  <si>
    <t>DOST XI 2020-051</t>
  </si>
  <si>
    <t>0971</t>
  </si>
  <si>
    <t>JHS - 2020 - 008 - 0040</t>
  </si>
  <si>
    <t>100-20-08-528</t>
  </si>
  <si>
    <t>20DM0072</t>
  </si>
  <si>
    <t>0951</t>
  </si>
  <si>
    <t>2020 - 08 - 028 (147 - Shopping)</t>
  </si>
  <si>
    <t>08-2020-0320</t>
  </si>
  <si>
    <t>19LG0119</t>
  </si>
  <si>
    <t>20-08-001-RFQ</t>
  </si>
  <si>
    <t>07-2020-0300</t>
  </si>
  <si>
    <t>0942</t>
  </si>
  <si>
    <t>PUR20-05-0392</t>
  </si>
  <si>
    <t>20DM0071</t>
  </si>
  <si>
    <t>20CRN008</t>
  </si>
  <si>
    <t>PRRI-2020-045</t>
  </si>
  <si>
    <t>BS-005-2020</t>
  </si>
  <si>
    <t>RFQ NO. SVP-049-2020</t>
  </si>
  <si>
    <t>03-2020-0146</t>
  </si>
  <si>
    <t>014</t>
  </si>
  <si>
    <t>6907446</t>
  </si>
  <si>
    <t>0935</t>
  </si>
  <si>
    <t>19DM0121</t>
  </si>
  <si>
    <t>SUPPLY OF LABOR, EQUIPMENT AND RESTORATION MATERIA</t>
  </si>
  <si>
    <t>19DM0122</t>
  </si>
  <si>
    <t>PA202008002</t>
  </si>
  <si>
    <t>19LD0132</t>
  </si>
  <si>
    <t>0981</t>
  </si>
  <si>
    <t>20DM0073</t>
  </si>
  <si>
    <t>02-2020-0137</t>
  </si>
  <si>
    <t>20CSE015</t>
  </si>
  <si>
    <t>BAC-PG-00206-20</t>
  </si>
  <si>
    <t>2020-Barangay Cabugawan-004</t>
  </si>
  <si>
    <t>SVP-G-2020-022</t>
  </si>
  <si>
    <t>PA202008001</t>
  </si>
  <si>
    <t>PRRI-PB-2020-044</t>
  </si>
  <si>
    <t>dpwh-c2-deo 20HE0123</t>
  </si>
  <si>
    <t>20AD0115</t>
  </si>
  <si>
    <t>Pagcolbon202009</t>
  </si>
  <si>
    <t>RFQ 2020-145</t>
  </si>
  <si>
    <t>320</t>
  </si>
  <si>
    <t>C-026-20</t>
  </si>
  <si>
    <t>2020-14G</t>
  </si>
  <si>
    <t>MAFAR-08-182-2020</t>
  </si>
  <si>
    <t>S-0771</t>
  </si>
  <si>
    <t>20-08-3187</t>
  </si>
  <si>
    <t>PRRI-2020-046</t>
  </si>
  <si>
    <t>RFQ-NP-SVP-380-2020</t>
  </si>
  <si>
    <t>DOST XI 2020-053</t>
  </si>
  <si>
    <t>INVITATION TO BID No. 2020-08-007</t>
  </si>
  <si>
    <t>19DP0089</t>
  </si>
  <si>
    <t>PRRI-2020-047</t>
  </si>
  <si>
    <t>ITB - 06 AUGUST 2020</t>
  </si>
  <si>
    <t>ITB - 07 AUGUST 2020</t>
  </si>
  <si>
    <t>2020-010-PBi</t>
  </si>
  <si>
    <t>200-2008-004-SEF</t>
  </si>
  <si>
    <t>IB No. 2020-36</t>
  </si>
  <si>
    <t>RFQ NO. SVP-050-2020</t>
  </si>
  <si>
    <t>2020-009-PBi</t>
  </si>
  <si>
    <t>0110-2020</t>
  </si>
  <si>
    <t>PUR20-08-0673 PUR20-08-0711, and PUR20-08-0712</t>
  </si>
  <si>
    <t>20FK0067</t>
  </si>
  <si>
    <t>RFQ 2020-148</t>
  </si>
  <si>
    <t>PUR20-05-0443</t>
  </si>
  <si>
    <t>BAC 2020-023</t>
  </si>
  <si>
    <t>EXTENSION /EXPANSION OF LIBRARY / TECH 4ED CENTER/</t>
  </si>
  <si>
    <t>2020-012-PBi</t>
  </si>
  <si>
    <t>2020-25 fimc projector</t>
  </si>
  <si>
    <t>DOST XI 2020-055</t>
  </si>
  <si>
    <t>RFQ NO. SVP-051-2020</t>
  </si>
  <si>
    <t>161-08-2020</t>
  </si>
  <si>
    <t>FY2019DILG-AM-04</t>
  </si>
  <si>
    <t>CID No. 20GLE0104 PR 20-03-0096 PR 20-03-0100</t>
  </si>
  <si>
    <t>RFQ 08-114-2020</t>
  </si>
  <si>
    <t>RFQ 08-116-2020</t>
  </si>
  <si>
    <t>2020-011-PBi</t>
  </si>
  <si>
    <t>RFQ 2020-151</t>
  </si>
  <si>
    <t>163-08-2020</t>
  </si>
  <si>
    <t>2020-MUN-GF-GOODS-028</t>
  </si>
  <si>
    <t>ITB - 08 AUGUST 2020</t>
  </si>
  <si>
    <t>2020- NFA-RBAC8-INFR- 26</t>
  </si>
  <si>
    <t>DOST XI 2020-056</t>
  </si>
  <si>
    <t>091-20</t>
  </si>
  <si>
    <t>DOST XI 2020-054</t>
  </si>
  <si>
    <t>RGL2020-014</t>
  </si>
  <si>
    <t>PR No. 2020-08  and 2020-09</t>
  </si>
  <si>
    <t>RFQ 088</t>
  </si>
  <si>
    <t>MAFAR-08-188-2020</t>
  </si>
  <si>
    <t>2020-015-PBi</t>
  </si>
  <si>
    <t>ITB No. SJdB-2020-010</t>
  </si>
  <si>
    <t>PR No. 2020-05</t>
  </si>
  <si>
    <t>2020-MUN-GF-GOODS-027</t>
  </si>
  <si>
    <t>ITB No. SJdB-2020-011</t>
  </si>
  <si>
    <t>2020-0041</t>
  </si>
  <si>
    <t>MAFAR-08-189-2020</t>
  </si>
  <si>
    <t>RFQ 087</t>
  </si>
  <si>
    <t>PR No. 0817 SERIES 2020</t>
  </si>
  <si>
    <t>2020-08-BD</t>
  </si>
  <si>
    <t>MAFAR-08-187-2020</t>
  </si>
  <si>
    <t>090-20</t>
  </si>
  <si>
    <t>2020-014-PBi</t>
  </si>
  <si>
    <t>20DL0237</t>
  </si>
  <si>
    <t>20DL0236</t>
  </si>
  <si>
    <t>2020-PLA-089</t>
  </si>
  <si>
    <t>2020-016-PBi</t>
  </si>
  <si>
    <t>20DL0235</t>
  </si>
  <si>
    <t>RFQ 092</t>
  </si>
  <si>
    <t>20DL0238</t>
  </si>
  <si>
    <t>DOST XI 2020-052</t>
  </si>
  <si>
    <t>BAC-CO-GS-2020-06</t>
  </si>
  <si>
    <t>20DB0146</t>
  </si>
  <si>
    <t>ITB No. SJdB-2020-012</t>
  </si>
  <si>
    <t>20IC0087</t>
  </si>
  <si>
    <t>010</t>
  </si>
  <si>
    <t>2020-08-179</t>
  </si>
  <si>
    <t>RFQ 091</t>
  </si>
  <si>
    <t>19LG0120</t>
  </si>
  <si>
    <t>20MGU-081</t>
  </si>
  <si>
    <t>2020-018-PBi</t>
  </si>
  <si>
    <t>2020-019-PBi</t>
  </si>
  <si>
    <t>Goods2020-050</t>
  </si>
  <si>
    <t>P-20200820</t>
  </si>
  <si>
    <t>RFQ NO. SVP-053-2020</t>
  </si>
  <si>
    <t>2020-017-PBi</t>
  </si>
  <si>
    <t>ITB No. SJdB-2019-013</t>
  </si>
  <si>
    <t>SDO-Marikina-ITB 2020 - 022</t>
  </si>
  <si>
    <t>RFQ 2020-78</t>
  </si>
  <si>
    <t>MAFAR-08-169-2020</t>
  </si>
  <si>
    <t>ITB-2020-095</t>
  </si>
  <si>
    <t>08-0051-20</t>
  </si>
  <si>
    <t>4000004622</t>
  </si>
  <si>
    <t>ITB No. SJdB-2020-015</t>
  </si>
  <si>
    <t>2020-022-PBi</t>
  </si>
  <si>
    <t>gsis/npsvp-261-20</t>
  </si>
  <si>
    <t>IAEB 2020-013</t>
  </si>
  <si>
    <t>2020-006-003</t>
  </si>
  <si>
    <t>2020-006-006</t>
  </si>
  <si>
    <t>19LG0121</t>
  </si>
  <si>
    <t>20-07-0762</t>
  </si>
  <si>
    <t>NMF INFRA 2020-39</t>
  </si>
  <si>
    <t>ITB No. SJdB-2020-014</t>
  </si>
  <si>
    <t>20FN0113</t>
  </si>
  <si>
    <t>NMF INFRA 2020-41</t>
  </si>
  <si>
    <t>1001-2020</t>
  </si>
  <si>
    <t>20FN0112</t>
  </si>
  <si>
    <t>NMF INFRA 2020-40</t>
  </si>
  <si>
    <t>NMF INFRA 2020-37</t>
  </si>
  <si>
    <t>2020-006-005</t>
  </si>
  <si>
    <t>2020-006-002</t>
  </si>
  <si>
    <t>NMF INFRA 2020-38</t>
  </si>
  <si>
    <t>08-0052-20</t>
  </si>
  <si>
    <t>2020-021-PBi</t>
  </si>
  <si>
    <t>Goods2020-051</t>
  </si>
  <si>
    <t>20-216</t>
  </si>
  <si>
    <t>NMF GOODS 2020-10</t>
  </si>
  <si>
    <t>ITB 2020-08-015</t>
  </si>
  <si>
    <t>2020-006-004</t>
  </si>
  <si>
    <t>ITB No. SJdB-2020-016</t>
  </si>
  <si>
    <t>IAEB 2020-011</t>
  </si>
  <si>
    <t>20-CS-DO-03</t>
  </si>
  <si>
    <t>2020-006-012</t>
  </si>
  <si>
    <t>2020-006-011</t>
  </si>
  <si>
    <t>ITB No. SJdB-2020-018</t>
  </si>
  <si>
    <t>RFQ-DESKTOP AND PERIPHERALS PR#20-02-0035</t>
  </si>
  <si>
    <t>10220820</t>
  </si>
  <si>
    <t>2020-006-010</t>
  </si>
  <si>
    <t>IAEB 2020-015</t>
  </si>
  <si>
    <t>2020-PB-003</t>
  </si>
  <si>
    <t>2020-006-009</t>
  </si>
  <si>
    <t>IAEB 2020-012</t>
  </si>
  <si>
    <t>4000004624</t>
  </si>
  <si>
    <t>2020-006-007</t>
  </si>
  <si>
    <t>ITB No. SJdB-2020-017</t>
  </si>
  <si>
    <t>SPC PR No. 2000005501</t>
  </si>
  <si>
    <t>19DL0219</t>
  </si>
  <si>
    <t>2020-26 fimc data center</t>
  </si>
  <si>
    <t>20DL0240</t>
  </si>
  <si>
    <t>2020-006-008</t>
  </si>
  <si>
    <t>57-2020</t>
  </si>
  <si>
    <t>DM2020-08-034</t>
  </si>
  <si>
    <t>RFQ 090</t>
  </si>
  <si>
    <t>202008073</t>
  </si>
  <si>
    <t>GEPS2020</t>
  </si>
  <si>
    <t>INF 2020-08-14</t>
  </si>
  <si>
    <t>PB0057</t>
  </si>
  <si>
    <t>2020-006-001</t>
  </si>
  <si>
    <t>19FB0262</t>
  </si>
  <si>
    <t>19FB0261</t>
  </si>
  <si>
    <t>19FB0260</t>
  </si>
  <si>
    <t>20-CS-DO-04</t>
  </si>
  <si>
    <t>PB0014</t>
  </si>
  <si>
    <t>MAFAR-08-190-2020</t>
  </si>
  <si>
    <t>ITB No. GOP-20-DSWD-2020-08-05</t>
  </si>
  <si>
    <t>RFQ 089</t>
  </si>
  <si>
    <t>19FB0258</t>
  </si>
  <si>
    <t>Ibaan/2020/261</t>
  </si>
  <si>
    <t>19FB0259</t>
  </si>
  <si>
    <t>RFQ-REFILL of FIRE EXTINGUISHER</t>
  </si>
  <si>
    <t>PB0032</t>
  </si>
  <si>
    <t>2020-07-0014</t>
  </si>
  <si>
    <t>20-08-201</t>
  </si>
  <si>
    <t>MAFAR-08-195-2020</t>
  </si>
  <si>
    <t>2020-15-A (Rebidding)</t>
  </si>
  <si>
    <t>ITB No. SJdB-2020-022</t>
  </si>
  <si>
    <t>ITB No. SJdB-2020-019</t>
  </si>
  <si>
    <t>MAFAR-08-193-2020</t>
  </si>
  <si>
    <t>MAFAR-08-192-2020</t>
  </si>
  <si>
    <t>MAFAR-08-194-2020</t>
  </si>
  <si>
    <t>PB0031</t>
  </si>
  <si>
    <t>ITB No. SJdB-2020-020</t>
  </si>
  <si>
    <t>PB0058</t>
  </si>
  <si>
    <t>MAFAR-08-191-2020</t>
  </si>
  <si>
    <t>RFQ 2020-150</t>
  </si>
  <si>
    <t>20072802</t>
  </si>
  <si>
    <t>19FB0263</t>
  </si>
  <si>
    <t>2020-06-01</t>
  </si>
  <si>
    <t>2020-0377</t>
  </si>
  <si>
    <t>3016931</t>
  </si>
  <si>
    <t>20DL0239</t>
  </si>
  <si>
    <t>20-005-03</t>
  </si>
  <si>
    <t>CSC CAR PR NO 2020-013</t>
  </si>
  <si>
    <t>SVP-2020-08-006</t>
  </si>
  <si>
    <t>4000004626</t>
  </si>
  <si>
    <t>CDSJI 2020-01</t>
  </si>
  <si>
    <t>20072701</t>
  </si>
  <si>
    <t>01</t>
  </si>
  <si>
    <t>2020-020-PBi</t>
  </si>
  <si>
    <t>NV 2020-043</t>
  </si>
  <si>
    <t>ITB No. SJdB-2020-023</t>
  </si>
  <si>
    <t>100 - 2020</t>
  </si>
  <si>
    <t>2020-062</t>
  </si>
  <si>
    <t>4000004623</t>
  </si>
  <si>
    <t>BAGO-02-20</t>
  </si>
  <si>
    <t>NV 2020-042</t>
  </si>
  <si>
    <t>PBD 20-026A</t>
  </si>
  <si>
    <t>B-8661-20-18</t>
  </si>
  <si>
    <t>08-11-20-004</t>
  </si>
  <si>
    <t>0815202001</t>
  </si>
  <si>
    <t>20-1682</t>
  </si>
  <si>
    <t>20-1717</t>
  </si>
  <si>
    <t>20-1884</t>
  </si>
  <si>
    <t>20-1886</t>
  </si>
  <si>
    <t>20-1897</t>
  </si>
  <si>
    <t>20-1942</t>
  </si>
  <si>
    <t>202-001</t>
  </si>
  <si>
    <t>MAFAR-08-200-2020</t>
  </si>
  <si>
    <t>20-1900</t>
  </si>
  <si>
    <t>20K00365</t>
  </si>
  <si>
    <t>PEO-20-0989-B</t>
  </si>
  <si>
    <t>20K00363</t>
  </si>
  <si>
    <t>20K00361</t>
  </si>
  <si>
    <t>NV 2020-044</t>
  </si>
  <si>
    <t>20K00364</t>
  </si>
  <si>
    <t>20K00362</t>
  </si>
  <si>
    <t>ITB No. 20-08-21</t>
  </si>
  <si>
    <t>CONSTRUCTION OF VARIOUS INFRASTRUCTURE PROJECTS FO</t>
  </si>
  <si>
    <t>20-1899</t>
  </si>
  <si>
    <t>2020-PCOO-I-002</t>
  </si>
  <si>
    <t>MAFAR-08-198-2020</t>
  </si>
  <si>
    <t>MAFAR-08-197-2020</t>
  </si>
  <si>
    <t>20-1915</t>
  </si>
  <si>
    <t>PB-Goods-17-2020</t>
  </si>
  <si>
    <t>401-20-07-438</t>
  </si>
  <si>
    <t>Carmen Maritime</t>
  </si>
  <si>
    <t>PB-INFRA-06-2020</t>
  </si>
  <si>
    <t>ITB No. SJdB-2020-021</t>
  </si>
  <si>
    <t>20-06-05A-0031</t>
  </si>
  <si>
    <t>20-07-0298</t>
  </si>
  <si>
    <t>20-07-0291</t>
  </si>
  <si>
    <t>MAFAR-08-199-2020</t>
  </si>
  <si>
    <t>20-1937</t>
  </si>
  <si>
    <t>PGR-GOODS-22-2020</t>
  </si>
  <si>
    <t>PGR-INFRA-2020-03-04</t>
  </si>
  <si>
    <t>20SANPEDRO003</t>
  </si>
  <si>
    <t>PGR-INFRA-2020-03-01</t>
  </si>
  <si>
    <t>VET-20-0888-B</t>
  </si>
  <si>
    <t>BGHMCPB-2020-30-001</t>
  </si>
  <si>
    <t>MAFAR-08-196-2020</t>
  </si>
  <si>
    <t>PB-Goods-15-2020</t>
  </si>
  <si>
    <t>PB-Goods-19-2020</t>
  </si>
  <si>
    <t>20-06-0228</t>
  </si>
  <si>
    <t>PB-Goods-18-2020</t>
  </si>
  <si>
    <t>PB-Goods-20-2020</t>
  </si>
  <si>
    <t>CONSTRUCTION OF NAVO RESCUE CENTER AT C-3 ROAD COR</t>
  </si>
  <si>
    <t>IN-BAC-2020-08-065</t>
  </si>
  <si>
    <t>Barangay Albalate-03-2020</t>
  </si>
  <si>
    <t>PGR-GOODS-06-2018</t>
  </si>
  <si>
    <t>097 (A) - 2020</t>
  </si>
  <si>
    <t>20-07-0286</t>
  </si>
  <si>
    <t>20FL0090</t>
  </si>
  <si>
    <t>PGR-INFRA-2020-08-02</t>
  </si>
  <si>
    <t>191 - 2020</t>
  </si>
  <si>
    <t>BMC-N-20-328</t>
  </si>
  <si>
    <t>20-1634</t>
  </si>
  <si>
    <t>20DIVSUR001</t>
  </si>
  <si>
    <t>193 - 2020</t>
  </si>
  <si>
    <t>PB-Goods-22-2020</t>
  </si>
  <si>
    <t>PGR-INFRA-2020-08-03</t>
  </si>
  <si>
    <t>IN-BAC-2020-08-066</t>
  </si>
  <si>
    <t>PGR-INFRA-2020-07-3</t>
  </si>
  <si>
    <t>PB-Goods-21-2020</t>
  </si>
  <si>
    <t>ITB  No 2020-10</t>
  </si>
  <si>
    <t>IB 2020 – 065</t>
  </si>
  <si>
    <t>IB 2020 – 063</t>
  </si>
  <si>
    <t>IB 2020 – 062</t>
  </si>
  <si>
    <t>SanJoseBatsAeb2020-151</t>
  </si>
  <si>
    <t>IN-BAC-2020-08-067</t>
  </si>
  <si>
    <t>B-2020-039</t>
  </si>
  <si>
    <t>IB 2020 – 068</t>
  </si>
  <si>
    <t>IB 2020 – 067</t>
  </si>
  <si>
    <t>20SANSAL003</t>
  </si>
  <si>
    <t>IB 2020 – 061</t>
  </si>
  <si>
    <t>IB 2020 – 069</t>
  </si>
  <si>
    <t>IB 2020 – 060</t>
  </si>
  <si>
    <t>IB 2020 – 064</t>
  </si>
  <si>
    <t>ITB-20-0715-219</t>
  </si>
  <si>
    <t>IB 2020 – 071</t>
  </si>
  <si>
    <t>IB 2020 – 070</t>
  </si>
  <si>
    <t>IB 2020 – 077</t>
  </si>
  <si>
    <t>IB 2020 – 066</t>
  </si>
  <si>
    <t>SanJoseBatsAeb2020-155</t>
  </si>
  <si>
    <t>SanJoseBatsAeb2020-114</t>
  </si>
  <si>
    <t>SanJoseBatsAeb2020-153</t>
  </si>
  <si>
    <t>20-183</t>
  </si>
  <si>
    <t>IB 2020 – 078</t>
  </si>
  <si>
    <t>20ME0147</t>
  </si>
  <si>
    <t>IB 2020 – 075</t>
  </si>
  <si>
    <t>20ME0146</t>
  </si>
  <si>
    <t>SanJoseBatsAeb2020-152</t>
  </si>
  <si>
    <t>IB 2020 – 074</t>
  </si>
  <si>
    <t>ITB No. 2020-33</t>
  </si>
  <si>
    <t>2020-07-1405</t>
  </si>
  <si>
    <t>20-186</t>
  </si>
  <si>
    <t>20-177</t>
  </si>
  <si>
    <t>700-2020</t>
  </si>
  <si>
    <t>673-2020</t>
  </si>
  <si>
    <t>IB 2020 – 076</t>
  </si>
  <si>
    <t>20-187</t>
  </si>
  <si>
    <t>20POBNOR003</t>
  </si>
  <si>
    <t>IB 2020 – 080</t>
  </si>
  <si>
    <t>ITB-20-0812-249</t>
  </si>
  <si>
    <t>NDP08-18</t>
  </si>
  <si>
    <t>20-185</t>
  </si>
  <si>
    <t>SanJoseBatsAeb2020-154</t>
  </si>
  <si>
    <t>ITB-20-0812-250</t>
  </si>
  <si>
    <t>20-176</t>
  </si>
  <si>
    <t>20VILSUR006</t>
  </si>
  <si>
    <t>NEG. PROC. 53.10 N-2020-08-058</t>
  </si>
  <si>
    <t>20VILSUR005</t>
  </si>
  <si>
    <t>202238</t>
  </si>
  <si>
    <t>20-188</t>
  </si>
  <si>
    <t>PGR-INFRA-2020-08-01</t>
  </si>
  <si>
    <t>ITB-20-0812-247</t>
  </si>
  <si>
    <t>202296</t>
  </si>
  <si>
    <t>P. R. No. 2020-0624</t>
  </si>
  <si>
    <t>202247</t>
  </si>
  <si>
    <t>202315</t>
  </si>
  <si>
    <t>008-2020</t>
  </si>
  <si>
    <t>08-020-532-20</t>
  </si>
  <si>
    <t>SVP No. C-2020-08-006</t>
  </si>
  <si>
    <t>202286</t>
  </si>
  <si>
    <t>NP/PB 20-0972</t>
  </si>
  <si>
    <t>20VILSUR004</t>
  </si>
  <si>
    <t>12-2020</t>
  </si>
  <si>
    <t>ITB INFRA-036-2020</t>
  </si>
  <si>
    <t>20200818 01</t>
  </si>
  <si>
    <t>11-2020</t>
  </si>
  <si>
    <t>INFRA-08-18-2020-01</t>
  </si>
  <si>
    <t>PR 2020-08-125</t>
  </si>
  <si>
    <t>13-2020</t>
  </si>
  <si>
    <t>IB No. LL-2020-002</t>
  </si>
  <si>
    <t>GOODS-08-18-2020-01</t>
  </si>
  <si>
    <t>TAL-08-54-2020</t>
  </si>
  <si>
    <t>SN-2020-08-024</t>
  </si>
  <si>
    <t>IB 2020-01</t>
  </si>
  <si>
    <t>20PD0128</t>
  </si>
  <si>
    <t>PR 2020-08-127</t>
  </si>
  <si>
    <t>SVP No. T-2020-08-012</t>
  </si>
  <si>
    <t>2020-09-01</t>
  </si>
  <si>
    <t>B-8661-20-21</t>
  </si>
  <si>
    <t>2020-08-481</t>
  </si>
  <si>
    <t>IB No. N-2020-005</t>
  </si>
  <si>
    <t>LGU Nasipit-2020-089</t>
  </si>
  <si>
    <t>ITB INFRA-035-2020</t>
  </si>
  <si>
    <t>ITB-20-0507-114</t>
  </si>
  <si>
    <t>GOODS-08-18-2020-02</t>
  </si>
  <si>
    <t>20-184</t>
  </si>
  <si>
    <t>20GDB0030</t>
  </si>
  <si>
    <t>ITB-20-0812-251</t>
  </si>
  <si>
    <t>IB 2020 – 073</t>
  </si>
  <si>
    <t>SanJoseBatsAeb2020-137</t>
  </si>
  <si>
    <t>INFRA-08-18-2020-02</t>
  </si>
  <si>
    <t>2020-002I</t>
  </si>
  <si>
    <t>20 – 0039 – S</t>
  </si>
  <si>
    <t>20GDB0043</t>
  </si>
  <si>
    <t>20 – 0044– S</t>
  </si>
  <si>
    <t>20 – 0042 – S</t>
  </si>
  <si>
    <t>IB 2020 – 072</t>
  </si>
  <si>
    <t>20 – 0041– S</t>
  </si>
  <si>
    <t>202359</t>
  </si>
  <si>
    <t>20 – 0038 – S</t>
  </si>
  <si>
    <t>20 – 0043– S</t>
  </si>
  <si>
    <t>20 – 0040 – S</t>
  </si>
  <si>
    <t>INFRA-08-18-2020-04</t>
  </si>
  <si>
    <t>INFRA-08-18-2020-03</t>
  </si>
  <si>
    <t>ITB No. 2020-019-A</t>
  </si>
  <si>
    <t>msj-2020-32</t>
  </si>
  <si>
    <t>INFRA-08-18-2020-05</t>
  </si>
  <si>
    <t>LGU Nasipit-2020-090</t>
  </si>
  <si>
    <t>20VILSUR003</t>
  </si>
  <si>
    <t>ITB#26 - 2020</t>
  </si>
  <si>
    <t>20 – 0046 – S</t>
  </si>
  <si>
    <t>100-08-485</t>
  </si>
  <si>
    <t>PR# 20-08-1046</t>
  </si>
  <si>
    <t>13ads20</t>
  </si>
  <si>
    <t>20 – 0045 – S</t>
  </si>
  <si>
    <t>AVRC-2020-08-0319</t>
  </si>
  <si>
    <t>barangay 2020-2</t>
  </si>
  <si>
    <t>AVRC-2020-08-0320</t>
  </si>
  <si>
    <t>2020-190</t>
  </si>
  <si>
    <t>20CSEF10</t>
  </si>
  <si>
    <t>0036-S-2020</t>
  </si>
  <si>
    <t>20CSEF09</t>
  </si>
  <si>
    <t>2020-088-snq</t>
  </si>
  <si>
    <t>0035-S-2020</t>
  </si>
  <si>
    <t>EN 200-20-08-09774</t>
  </si>
  <si>
    <t>epslingayen2020-97</t>
  </si>
  <si>
    <t>DA7-2020-08-SAAD-20-3159</t>
  </si>
  <si>
    <t>LGU-MOALBOAL2020-0804</t>
  </si>
  <si>
    <t>PB NO:2020-08-30</t>
  </si>
  <si>
    <t>DPP 200-20-06-07635</t>
  </si>
  <si>
    <t>30-20-03-034</t>
  </si>
  <si>
    <t>19EB0157</t>
  </si>
  <si>
    <t>20201802</t>
  </si>
  <si>
    <t>2020-CW014</t>
  </si>
  <si>
    <t>0890</t>
  </si>
  <si>
    <t>30-20-02-021</t>
  </si>
  <si>
    <t>20201808</t>
  </si>
  <si>
    <t>LGU-MOALBOAL2020-0803</t>
  </si>
  <si>
    <t>LGU-MOALBOAL2020-0802</t>
  </si>
  <si>
    <t>Competitive Bidding 2020-27</t>
  </si>
  <si>
    <t>LGU-MOALBOAL2020-0805</t>
  </si>
  <si>
    <t>SB4 PADAP 200-20-07-08943</t>
  </si>
  <si>
    <t>DA7-2020-08-SAAD-20-3158</t>
  </si>
  <si>
    <t>SOLANO 102-2020</t>
  </si>
  <si>
    <t>MJJLECINFRA002-2020-02</t>
  </si>
  <si>
    <t>Bid No. 20-0399</t>
  </si>
  <si>
    <t>100-08-20-02169</t>
  </si>
  <si>
    <t>lgu-es-20-08-201</t>
  </si>
  <si>
    <t>PG-2020-068</t>
  </si>
  <si>
    <t>016</t>
  </si>
  <si>
    <t>PSA-RSSO6-2020-151</t>
  </si>
  <si>
    <t>PB NO:2020-08-31</t>
  </si>
  <si>
    <t>2020-08-13</t>
  </si>
  <si>
    <t>P.R. # 20-08-099</t>
  </si>
  <si>
    <t>BKP 200-20-05-05226</t>
  </si>
  <si>
    <t>AGR 200-20-06-06765</t>
  </si>
  <si>
    <t>Competitive Bidding 2020-26</t>
  </si>
  <si>
    <t>LWC 200-20-05-05178</t>
  </si>
  <si>
    <t>PADAP 200-20-07-09631</t>
  </si>
  <si>
    <t>LM 200-20-07-08288</t>
  </si>
  <si>
    <t>PR 172-08-2020</t>
  </si>
  <si>
    <t>0037-S-2020</t>
  </si>
  <si>
    <t>2020-Barangay new mahayag-oo3</t>
  </si>
  <si>
    <t>20G038</t>
  </si>
  <si>
    <t>MPDAC 200-20-07-08093</t>
  </si>
  <si>
    <t>pontevedra-20-G027</t>
  </si>
  <si>
    <t>SOLANO 103-2020</t>
  </si>
  <si>
    <t>MEDS-19</t>
  </si>
  <si>
    <t>NEDA-CAR 2020-08-7</t>
  </si>
  <si>
    <t>NMPBAC-RFQ-08-01</t>
  </si>
  <si>
    <t>2020-08-19 BRGY. SAN RAFAEL</t>
  </si>
  <si>
    <t>SUBM#2020 -08 - 13</t>
  </si>
  <si>
    <t>RFQ-20-08106</t>
  </si>
  <si>
    <t>20G037</t>
  </si>
  <si>
    <t>CG-2-69-2020</t>
  </si>
  <si>
    <t>pontevedra-20-G028</t>
  </si>
  <si>
    <t>SOLANO 104-2020</t>
  </si>
  <si>
    <t>DA7-2020-08-AMIA-20-3091</t>
  </si>
  <si>
    <t>20G039</t>
  </si>
  <si>
    <t>LGU-MOALBOAL2020-0806</t>
  </si>
  <si>
    <t>Kibaning Goods 2020-08-001</t>
  </si>
  <si>
    <t>Ninoy Aquino Infra 2020-08-006</t>
  </si>
  <si>
    <t>200-20-08-0156</t>
  </si>
  <si>
    <t>2020-63</t>
  </si>
  <si>
    <t>20-0202</t>
  </si>
  <si>
    <t>2020-08-0015</t>
  </si>
  <si>
    <t>PR 179-08-2020</t>
  </si>
  <si>
    <t>P.R. # 20-06-082</t>
  </si>
  <si>
    <t>2020-Barangay new mahayag-003</t>
  </si>
  <si>
    <t>lgu padada -0036-08-19-2020</t>
  </si>
  <si>
    <t>Competitive Bidding 2020-28</t>
  </si>
  <si>
    <t>PB NO:2020-08-32</t>
  </si>
  <si>
    <t>0000000</t>
  </si>
  <si>
    <t>20-0204</t>
  </si>
  <si>
    <t>Infra-056-2020</t>
  </si>
  <si>
    <t>Infra-057-2020</t>
  </si>
  <si>
    <t>P.R. # 20-07-097</t>
  </si>
  <si>
    <t>0020-0277-1287A2020</t>
  </si>
  <si>
    <t>NEDA-CAR 2020-08-8</t>
  </si>
  <si>
    <t>Ninoy Aquino Infra 2020-08-007</t>
  </si>
  <si>
    <t>INFRA -01- 2020</t>
  </si>
  <si>
    <t>PR 20-08-0323</t>
  </si>
  <si>
    <t>G-BRGY-08192020-Barangay Multi-Purpose Improvement</t>
  </si>
  <si>
    <t>LGU-MOALBOAL2020-0807</t>
  </si>
  <si>
    <t>CG-2-70-2020</t>
  </si>
  <si>
    <t>STC-GOOD- NO. 2020-0055</t>
  </si>
  <si>
    <t>2020-081901</t>
  </si>
  <si>
    <t>RFQ 2020-08-0223</t>
  </si>
  <si>
    <t>20-059</t>
  </si>
  <si>
    <t>19082020</t>
  </si>
  <si>
    <t>RFQ 2020-175</t>
  </si>
  <si>
    <t>ITB 27-2020</t>
  </si>
  <si>
    <t>RFQ 2020-176</t>
  </si>
  <si>
    <t>08192020</t>
  </si>
  <si>
    <t>545-08/17/2020</t>
  </si>
  <si>
    <t>Goods 2020-01 (Repost)</t>
  </si>
  <si>
    <t>2020-043-GDS</t>
  </si>
  <si>
    <t>2020-113</t>
  </si>
  <si>
    <t>GOODS-NP-2020-106</t>
  </si>
  <si>
    <t>2020-070</t>
  </si>
  <si>
    <t>Infra-058-2020</t>
  </si>
  <si>
    <t>SUBM#2020 -08 - 15</t>
  </si>
  <si>
    <t>G20-62</t>
  </si>
  <si>
    <t>08192020GOODSVEHICLES</t>
  </si>
  <si>
    <t>PR#20-08-047</t>
  </si>
  <si>
    <t>Solicitation No. Goods 20-0820-0061R</t>
  </si>
  <si>
    <t>2020-08-483</t>
  </si>
  <si>
    <t>2020-94</t>
  </si>
  <si>
    <t>libsongeast2020-02</t>
  </si>
  <si>
    <t>nlontoc-RFQ-215-2020</t>
  </si>
  <si>
    <t>20-46874</t>
  </si>
  <si>
    <t>Competitive Bidding 2020-29</t>
  </si>
  <si>
    <t>ITB-KOR: 20-08-0767 CEO</t>
  </si>
  <si>
    <t>20-0517</t>
  </si>
  <si>
    <t>nlontoc-RFQ-216-2020</t>
  </si>
  <si>
    <t>mabpang-0819-2020-ME</t>
  </si>
  <si>
    <t>Solicitation No. Goods 20-0820-0064R</t>
  </si>
  <si>
    <t>MMWD-0029-2020</t>
  </si>
  <si>
    <t>PR2020-160</t>
  </si>
  <si>
    <t>CG-RFQ-171-2020</t>
  </si>
  <si>
    <t>08-012-20</t>
  </si>
  <si>
    <t>2020-081902</t>
  </si>
  <si>
    <t>RFQ 2020-08-0224</t>
  </si>
  <si>
    <t>20-0520</t>
  </si>
  <si>
    <t>2020-037-GDS</t>
  </si>
  <si>
    <t>MP-081920-082</t>
  </si>
  <si>
    <t>547-08/17/2020</t>
  </si>
  <si>
    <t>100-2003-284-GF</t>
  </si>
  <si>
    <t>ITB NO. 2020-08-012</t>
  </si>
  <si>
    <t>2020-SM-001</t>
  </si>
  <si>
    <t>20-0160</t>
  </si>
  <si>
    <t>LGTMO-2020-19</t>
  </si>
  <si>
    <t>P.R. # 20-06-083</t>
  </si>
  <si>
    <t>G20-63</t>
  </si>
  <si>
    <t>Quotation No. 20-07-0439</t>
  </si>
  <si>
    <t>2020-042-INF</t>
  </si>
  <si>
    <t>Binmisor 026-2020</t>
  </si>
  <si>
    <t>Bid No. 20-0400</t>
  </si>
  <si>
    <t>ATI-RTC 2020-0056</t>
  </si>
  <si>
    <t>Solicitation No. Goods 20-0820-0041R</t>
  </si>
  <si>
    <t>IB-2020-IX-08-01</t>
  </si>
  <si>
    <t>20-0522</t>
  </si>
  <si>
    <t>AB-2020-0031</t>
  </si>
  <si>
    <t>AB-2020-0032</t>
  </si>
  <si>
    <t>RFQ2020-08-09</t>
  </si>
  <si>
    <t>Solicitation No. Goods 20-0820-0084</t>
  </si>
  <si>
    <t>PB 2020-INFRA-001</t>
  </si>
  <si>
    <t>ITB14</t>
  </si>
  <si>
    <t>nlontoc-RFQ-217-2020</t>
  </si>
  <si>
    <t>SN-2020-08-025</t>
  </si>
  <si>
    <t>SUBM#2020 -08 - 14</t>
  </si>
  <si>
    <t>20-0518</t>
  </si>
  <si>
    <t>A46</t>
  </si>
  <si>
    <t>CG-RFQ-172-2020</t>
  </si>
  <si>
    <t>100(08-27-2020)</t>
  </si>
  <si>
    <t>2020-030</t>
  </si>
  <si>
    <t>LGTMO-2020-20</t>
  </si>
  <si>
    <t>AB-2020-0033</t>
  </si>
  <si>
    <t>100(08-27-2020)1</t>
  </si>
  <si>
    <t>ITB-KOR: 20-08-0768 CEO</t>
  </si>
  <si>
    <t>PR-2020-1339</t>
  </si>
  <si>
    <t>796</t>
  </si>
  <si>
    <t>2020-08-508</t>
  </si>
  <si>
    <t>LGU-208-2020</t>
  </si>
  <si>
    <t>PR 18-20-07-0954 - CED</t>
  </si>
  <si>
    <t>AB-2020-0036</t>
  </si>
  <si>
    <t>08-20-A148</t>
  </si>
  <si>
    <t>2020-073</t>
  </si>
  <si>
    <t>PCDP-2020-08-0322</t>
  </si>
  <si>
    <t>85</t>
  </si>
  <si>
    <t>CG-RFQ-173-2020</t>
  </si>
  <si>
    <t>ITB-0037</t>
  </si>
  <si>
    <t>2020-074</t>
  </si>
  <si>
    <t>100-2006-474-GF</t>
  </si>
  <si>
    <t>20GKG0038</t>
  </si>
  <si>
    <t>2020-031</t>
  </si>
  <si>
    <t>2020-08-097bid</t>
  </si>
  <si>
    <t>2020- NFA-RBAC8-INFR- 25</t>
  </si>
  <si>
    <t>20-0708</t>
  </si>
  <si>
    <t>Binmisor 027-2020</t>
  </si>
  <si>
    <t>ITB2020801</t>
  </si>
  <si>
    <t>08-20-A147</t>
  </si>
  <si>
    <t>12042019A</t>
  </si>
  <si>
    <t>2020 ITB - 038</t>
  </si>
  <si>
    <t>PR-2020-1338</t>
  </si>
  <si>
    <t>Bid No. 20-0401</t>
  </si>
  <si>
    <t>ATI-RTC 2020-0057</t>
  </si>
  <si>
    <t>20-0526</t>
  </si>
  <si>
    <t>LGU-MOALBOAL2020-0808</t>
  </si>
  <si>
    <t>SF-2020-065</t>
  </si>
  <si>
    <t>2020-08-498</t>
  </si>
  <si>
    <t>AB-2020-0037</t>
  </si>
  <si>
    <t>PRDP-2020-0480</t>
  </si>
  <si>
    <t>PB 2020-12</t>
  </si>
  <si>
    <t>B-ITB-55-2020</t>
  </si>
  <si>
    <t>2020-08-81</t>
  </si>
  <si>
    <t>100(08-27-2020)2</t>
  </si>
  <si>
    <t>Bid No. 20-0402</t>
  </si>
  <si>
    <t>LGU-209-2020</t>
  </si>
  <si>
    <t>RFQ-2020-07-002</t>
  </si>
  <si>
    <t>DA7-2020-08-CPAR-20-3149</t>
  </si>
  <si>
    <t>RFQ # 20-08-087 (Goods)</t>
  </si>
  <si>
    <t>GFP100-2020-08-084</t>
  </si>
  <si>
    <t>100-20-08-0310</t>
  </si>
  <si>
    <t>100(08-27-2020)3</t>
  </si>
  <si>
    <t>2020-077</t>
  </si>
  <si>
    <t>PR# 2020-08-0437</t>
  </si>
  <si>
    <t>202008-004</t>
  </si>
  <si>
    <t>Grants-20-08-60</t>
  </si>
  <si>
    <t>ITB-KOR: 20-08-0769 CEO</t>
  </si>
  <si>
    <t>09264780482</t>
  </si>
  <si>
    <t>20-189</t>
  </si>
  <si>
    <t>20201818</t>
  </si>
  <si>
    <t>RFQ # 20-08-088 (Goods)</t>
  </si>
  <si>
    <t>20-0525</t>
  </si>
  <si>
    <t>RFQ NO. 547</t>
  </si>
  <si>
    <t>villa sol</t>
  </si>
  <si>
    <t>2020-08-500</t>
  </si>
  <si>
    <t>20-08-256</t>
  </si>
  <si>
    <t>Infra 2020-02</t>
  </si>
  <si>
    <t>20-5283</t>
  </si>
  <si>
    <t>AB-2020-0038</t>
  </si>
  <si>
    <t>bac-20-0819b</t>
  </si>
  <si>
    <t>2020-078</t>
  </si>
  <si>
    <t>PR 20-06-0175</t>
  </si>
  <si>
    <t>2020-PBINFRA-08-001</t>
  </si>
  <si>
    <t>2020-31</t>
  </si>
  <si>
    <t>20-0519</t>
  </si>
  <si>
    <t>RFQ No. 270</t>
  </si>
  <si>
    <t>bacgal-63-2020</t>
  </si>
  <si>
    <t>2020-038-GDS</t>
  </si>
  <si>
    <t>Product ID No. Goods-2020-007</t>
  </si>
  <si>
    <t>048-08-2020</t>
  </si>
  <si>
    <t>ITB-GS-20200305-01</t>
  </si>
  <si>
    <t>ITB 2020-0025</t>
  </si>
  <si>
    <t>20-0523</t>
  </si>
  <si>
    <t>DBM-NCR-2020-011</t>
  </si>
  <si>
    <t>RFQ No. 271</t>
  </si>
  <si>
    <t>HFE-2020-07-0281</t>
  </si>
  <si>
    <t>Barangay Bulu-an-004-2020</t>
  </si>
  <si>
    <t>P-RFQ No. 2020-015B</t>
  </si>
  <si>
    <t>NCM-017-20</t>
  </si>
  <si>
    <t>2020-080</t>
  </si>
  <si>
    <t>2020-081</t>
  </si>
  <si>
    <t>HFE-2020-06-0207</t>
  </si>
  <si>
    <t>ITB-GS-20200605-01</t>
  </si>
  <si>
    <t>AB-2020-0035</t>
  </si>
  <si>
    <t>M003-2020</t>
  </si>
  <si>
    <t>NIAR3-2020-BULO SRIP-AUTOCAD-G4</t>
  </si>
  <si>
    <t>2020-079</t>
  </si>
  <si>
    <t>20GKI0038</t>
  </si>
  <si>
    <t>GEPS-015-2020</t>
  </si>
  <si>
    <t>20-032</t>
  </si>
  <si>
    <t>20GKI0031</t>
  </si>
  <si>
    <t>20GKI0041</t>
  </si>
  <si>
    <t>SF-GOODS NO. 78-(08-20-20)</t>
  </si>
  <si>
    <t>2020-082</t>
  </si>
  <si>
    <t>DA7-2020-08-SAAD-20-3157</t>
  </si>
  <si>
    <t>RFQ-DARFO12-2020-0713</t>
  </si>
  <si>
    <t>bac-20-0819c</t>
  </si>
  <si>
    <t>PR 1000033484</t>
  </si>
  <si>
    <t>PR 20-08-0333</t>
  </si>
  <si>
    <t>RFQ-DARFO12-2020-0712</t>
  </si>
  <si>
    <t>2020-GOODS-026</t>
  </si>
  <si>
    <t>BACRFQ2020-111</t>
  </si>
  <si>
    <t>P-RFQ No. 2020-018</t>
  </si>
  <si>
    <t>20200819</t>
  </si>
  <si>
    <t>LGU-Las Navas:001-08-2020</t>
  </si>
  <si>
    <t>G-20-05</t>
  </si>
  <si>
    <t>RFQ-DARFO12-2020-0714</t>
  </si>
  <si>
    <t>PR-2020-0820</t>
  </si>
  <si>
    <t>08-19-01</t>
  </si>
  <si>
    <t>MAFAR-08-138-2020</t>
  </si>
  <si>
    <t>AB-2020-0034</t>
  </si>
  <si>
    <t>G-2020-044</t>
  </si>
  <si>
    <t>2020 - SAN - 0003</t>
  </si>
  <si>
    <t>08-19-04</t>
  </si>
  <si>
    <t>2020-08-097</t>
  </si>
  <si>
    <t>RFQ-DARFO12-2020-0716</t>
  </si>
  <si>
    <t>NCM-018-20</t>
  </si>
  <si>
    <t>RFQ 08-20-108</t>
  </si>
  <si>
    <t>ITB8</t>
  </si>
  <si>
    <t>20GGL0010</t>
  </si>
  <si>
    <t>08-19-03</t>
  </si>
  <si>
    <t>2020-G-55</t>
  </si>
  <si>
    <t>ITB No. Goods-2020-18</t>
  </si>
  <si>
    <t>bac-20-0819a</t>
  </si>
  <si>
    <t>2020-039-GDS</t>
  </si>
  <si>
    <t>B-20-37</t>
  </si>
  <si>
    <t>PRDP-2020-0457</t>
  </si>
  <si>
    <t>006-20</t>
  </si>
  <si>
    <t>2020-08-096</t>
  </si>
  <si>
    <t>KC-2020-08-0323</t>
  </si>
  <si>
    <t>Competitive Bidding 2020-30</t>
  </si>
  <si>
    <t>NCM-020-20</t>
  </si>
  <si>
    <t>2020-G-56</t>
  </si>
  <si>
    <t>500</t>
  </si>
  <si>
    <t>04</t>
  </si>
  <si>
    <t>2020-0053</t>
  </si>
  <si>
    <t>2020-08-486</t>
  </si>
  <si>
    <t>ITB-KOR: 20-08-0770 CEO</t>
  </si>
  <si>
    <t>2020-084</t>
  </si>
  <si>
    <t>NCM=019-20</t>
  </si>
  <si>
    <t>bac-20-0819d</t>
  </si>
  <si>
    <t>PR-2020-1435</t>
  </si>
  <si>
    <t>DBM-NCR-2020-012</t>
  </si>
  <si>
    <t>45-2020</t>
  </si>
  <si>
    <t>POW-1041-2020-PCO-05B</t>
  </si>
  <si>
    <t>BAC 2020-46</t>
  </si>
  <si>
    <t>PBD-20-08-008</t>
  </si>
  <si>
    <t>20IL0153 (REINVITATION)</t>
  </si>
  <si>
    <t>CBAA2020-08-09</t>
  </si>
  <si>
    <t>2020-086</t>
  </si>
  <si>
    <t>PR-20-08-0184</t>
  </si>
  <si>
    <t>20-0167</t>
  </si>
  <si>
    <t>2020-087</t>
  </si>
  <si>
    <t>NCM-021-20</t>
  </si>
  <si>
    <t>ITB-2020-45</t>
  </si>
  <si>
    <t>2020-08-488</t>
  </si>
  <si>
    <t>2020-6B-06</t>
  </si>
  <si>
    <t>NV 2020-046</t>
  </si>
  <si>
    <t>PR-2020-1389</t>
  </si>
  <si>
    <t>NV 2020-047</t>
  </si>
  <si>
    <t>goods2020_43</t>
  </si>
  <si>
    <t>ITB-2020-46</t>
  </si>
  <si>
    <t>PBD-20-08-009</t>
  </si>
  <si>
    <t>ICT-20-0756-NP2 (SV)</t>
  </si>
  <si>
    <t>2020-08 - 001</t>
  </si>
  <si>
    <t>ITB 2020-34</t>
  </si>
  <si>
    <t>SK MASALONG 001-2020</t>
  </si>
  <si>
    <t>2020-001I</t>
  </si>
  <si>
    <t>masalong 08-2020</t>
  </si>
  <si>
    <t>NV 2020-049</t>
  </si>
  <si>
    <t>Pob 02</t>
  </si>
  <si>
    <t>NV 2020-050</t>
  </si>
  <si>
    <t>08-26-20</t>
  </si>
  <si>
    <t>C-PEO-060-20</t>
  </si>
  <si>
    <t>PR-2020-1358</t>
  </si>
  <si>
    <t>2020-08-487</t>
  </si>
  <si>
    <t>LSPU-LBC2020-027</t>
  </si>
  <si>
    <t>GEPS – 2020 – 88</t>
  </si>
  <si>
    <t>RFQ-2020-252</t>
  </si>
  <si>
    <t>2020-08-130</t>
  </si>
  <si>
    <t>INFRA-2020-38</t>
  </si>
  <si>
    <t>none</t>
  </si>
  <si>
    <t>2020-0075</t>
  </si>
  <si>
    <t>2020-60</t>
  </si>
  <si>
    <t>PB20200819-052</t>
  </si>
  <si>
    <t>NV 2020-045</t>
  </si>
  <si>
    <t>0020-0310-1408-2020</t>
  </si>
  <si>
    <t>GFP100-2020-08-081</t>
  </si>
  <si>
    <t>BALANAC 2020-001</t>
  </si>
  <si>
    <t>RFQ-2020-251</t>
  </si>
  <si>
    <t>20GCE0034</t>
  </si>
  <si>
    <t>20-0166</t>
  </si>
  <si>
    <t>goods2020_42</t>
  </si>
  <si>
    <t>PR NO. 2020-08-027</t>
  </si>
  <si>
    <t>GHQBAC1-PB-014-GHQ-20</t>
  </si>
  <si>
    <t>NV 2020-048</t>
  </si>
  <si>
    <t>20IL0114 (REINVITATION)</t>
  </si>
  <si>
    <t>20201091</t>
  </si>
  <si>
    <t>BULAWEN-01-2020</t>
  </si>
  <si>
    <t>2020-59</t>
  </si>
  <si>
    <t>0023-0102-1393-2020</t>
  </si>
  <si>
    <t>ITBO9-SERVICES-PUBLICATION</t>
  </si>
  <si>
    <t>546-2020 Bidding</t>
  </si>
  <si>
    <t>0008-0004-1373-2020</t>
  </si>
  <si>
    <t>birthingProgEste</t>
  </si>
  <si>
    <t>GEPS – 2020 – 89</t>
  </si>
  <si>
    <t>2020-2459</t>
  </si>
  <si>
    <t>GOODS-2020-39</t>
  </si>
  <si>
    <t>2020-111</t>
  </si>
  <si>
    <t>2020-07-020-101</t>
  </si>
  <si>
    <t>0020-0290-1332.2020</t>
  </si>
  <si>
    <t>477-2020 Bidding</t>
  </si>
  <si>
    <t>PR-2020-1488</t>
  </si>
  <si>
    <t>0031-0005-1399-2020</t>
  </si>
  <si>
    <t>CHU-14-19</t>
  </si>
  <si>
    <t>RFQ-DARFO12-2020-0717</t>
  </si>
  <si>
    <t>RFQ-2020-253</t>
  </si>
  <si>
    <t>20-08-08-0066</t>
  </si>
  <si>
    <t>2020-0333</t>
  </si>
  <si>
    <t>2020-085</t>
  </si>
  <si>
    <t>RFQ20-164</t>
  </si>
  <si>
    <t>08-19-2020-336</t>
  </si>
  <si>
    <t>ICRFQ08192020A</t>
  </si>
  <si>
    <t>2020-POBLACION-056</t>
  </si>
  <si>
    <t>B-20-002-B</t>
  </si>
  <si>
    <t>2020-041-INF</t>
  </si>
  <si>
    <t>R1-675-2020</t>
  </si>
  <si>
    <t>20GP0075</t>
  </si>
  <si>
    <t>2020-0239</t>
  </si>
  <si>
    <t>0007-2020</t>
  </si>
  <si>
    <t>GSD-A-20-412</t>
  </si>
  <si>
    <t>B-20-36</t>
  </si>
  <si>
    <t>2020-083</t>
  </si>
  <si>
    <t>2020-05-044</t>
  </si>
  <si>
    <t>bac-20-0819e</t>
  </si>
  <si>
    <t>08-19-02</t>
  </si>
  <si>
    <t>545-2020 Bidding</t>
  </si>
  <si>
    <t>20081903</t>
  </si>
  <si>
    <t>PSO-VIS-SIC-005-20</t>
  </si>
  <si>
    <t>GDS-429-2020</t>
  </si>
  <si>
    <t>2020-08-0946 TDG</t>
  </si>
  <si>
    <t>20-08-0103</t>
  </si>
  <si>
    <t>08-19-08</t>
  </si>
  <si>
    <t>141-2020-RQ</t>
  </si>
  <si>
    <t>08-19-2020-337</t>
  </si>
  <si>
    <t>CA100-2020-08-007</t>
  </si>
  <si>
    <t>2020-101</t>
  </si>
  <si>
    <t>CSI-2020-030</t>
  </si>
  <si>
    <t>20-07-05A-0047</t>
  </si>
  <si>
    <t>20AD0114</t>
  </si>
  <si>
    <t>GPG-B2-2020-382</t>
  </si>
  <si>
    <t>2020-08-0941 TDG</t>
  </si>
  <si>
    <t>Goods-158-2020</t>
  </si>
  <si>
    <t>2020-POBLACION-058</t>
  </si>
  <si>
    <t>TEJ-009</t>
  </si>
  <si>
    <t>090-08-2020</t>
  </si>
  <si>
    <t>2020-34</t>
  </si>
  <si>
    <t>08-19-10</t>
  </si>
  <si>
    <t>ITB No. 2020-03-G</t>
  </si>
  <si>
    <t>2020-8-19-1</t>
  </si>
  <si>
    <t>Goods-159-2020</t>
  </si>
  <si>
    <t>08-19-09</t>
  </si>
  <si>
    <t>epslingayen2020-98</t>
  </si>
  <si>
    <t>2020-08-0939 TDG</t>
  </si>
  <si>
    <t>2020-POBLACION-057</t>
  </si>
  <si>
    <t>Goods-157-2020</t>
  </si>
  <si>
    <t>20-08-04-0096</t>
  </si>
  <si>
    <t>BACSVP-14-2020</t>
  </si>
  <si>
    <t>050-2020</t>
  </si>
  <si>
    <t>TEJ-011</t>
  </si>
  <si>
    <t>2020-02-134</t>
  </si>
  <si>
    <t>100-08-489</t>
  </si>
  <si>
    <t>2020-08-00043</t>
  </si>
  <si>
    <t>2020-07-075b</t>
  </si>
  <si>
    <t>TEJ-010</t>
  </si>
  <si>
    <t>INFRA-001-2020</t>
  </si>
  <si>
    <t>ITB NO. 2020-08-013</t>
  </si>
  <si>
    <t>RFQ-08-009</t>
  </si>
  <si>
    <t>ITB No. Goods-2020-22</t>
  </si>
  <si>
    <t>sanpascual-1908-1</t>
  </si>
  <si>
    <t>20AI0188</t>
  </si>
  <si>
    <t>2020-POBLACION-059</t>
  </si>
  <si>
    <t>20AI0187</t>
  </si>
  <si>
    <t>ICITB08192020B</t>
  </si>
  <si>
    <t>2020-08-0936 TDG</t>
  </si>
  <si>
    <t>2020-08-0947 TDG</t>
  </si>
  <si>
    <t>TEJ-012</t>
  </si>
  <si>
    <t>Infra 2020-01</t>
  </si>
  <si>
    <t>pogoruac-0819-1</t>
  </si>
  <si>
    <t>goods2020_44</t>
  </si>
  <si>
    <t>2020-8-19-2</t>
  </si>
  <si>
    <t>050-FTC 2020</t>
  </si>
  <si>
    <t>202008-005</t>
  </si>
  <si>
    <t>2020-08-0945 TDG</t>
  </si>
  <si>
    <t>2020-POBLACION-060</t>
  </si>
  <si>
    <t>135000</t>
  </si>
  <si>
    <t>2020-07-076b</t>
  </si>
  <si>
    <t>2020-08-0937 TDG</t>
  </si>
  <si>
    <t>20M00081</t>
  </si>
  <si>
    <t>PR NO. 004-08-20</t>
  </si>
  <si>
    <t>2020-2468</t>
  </si>
  <si>
    <t>rehabmunroad</t>
  </si>
  <si>
    <t>337</t>
  </si>
  <si>
    <t>PR NO. 028-06-20</t>
  </si>
  <si>
    <t>19G00109</t>
  </si>
  <si>
    <t>DENR10 2020-08-0430</t>
  </si>
  <si>
    <t>20-265</t>
  </si>
  <si>
    <t>2020-08-0931 TDG</t>
  </si>
  <si>
    <t>PNPTR-DO-DP-20-08</t>
  </si>
  <si>
    <t>2020-063</t>
  </si>
  <si>
    <t>2020 ITB - 039</t>
  </si>
  <si>
    <t>005-2020-001</t>
  </si>
  <si>
    <t>P-0893</t>
  </si>
  <si>
    <t>RFQ20-165</t>
  </si>
  <si>
    <t>2020-8-19-3</t>
  </si>
  <si>
    <t>G-BRGY-08192020-Concreting of Barangay Road - Brgy</t>
  </si>
  <si>
    <t>2020-2876</t>
  </si>
  <si>
    <t>19G00111</t>
  </si>
  <si>
    <t>2020-08-0927 TDG</t>
  </si>
  <si>
    <t>20-03-0102</t>
  </si>
  <si>
    <t>342</t>
  </si>
  <si>
    <t>338</t>
  </si>
  <si>
    <t>2020-08-0070</t>
  </si>
  <si>
    <t>2020-8-19-4</t>
  </si>
  <si>
    <t>2020-0240</t>
  </si>
  <si>
    <t>2020-08-0934 TDG</t>
  </si>
  <si>
    <t>2020-08-379</t>
  </si>
  <si>
    <t>19G00110</t>
  </si>
  <si>
    <t>IPG 20-07-0008</t>
  </si>
  <si>
    <t>2020-8-19-5</t>
  </si>
  <si>
    <t>303948 JHS</t>
  </si>
  <si>
    <t>ITB 2020-33</t>
  </si>
  <si>
    <t>P-0894</t>
  </si>
  <si>
    <t>INF2020-08-032</t>
  </si>
  <si>
    <t>BAC 2-2020-08-088</t>
  </si>
  <si>
    <t>PR 20-07-0093</t>
  </si>
  <si>
    <t>INFRASIB-2020-22</t>
  </si>
  <si>
    <t>PR NO. 300-1192-3-20-07-0802</t>
  </si>
  <si>
    <t>PR 20-07-0082</t>
  </si>
  <si>
    <t>2020-056R</t>
  </si>
  <si>
    <t>ITB (GS-08-2020-01) 20GDD0001</t>
  </si>
  <si>
    <t>2020-057R</t>
  </si>
  <si>
    <t>2020-08-0928 TDG</t>
  </si>
  <si>
    <t>077-2020</t>
  </si>
  <si>
    <t>2020-08-00042</t>
  </si>
  <si>
    <t>guincam2020-08-001</t>
  </si>
  <si>
    <t>2020-232</t>
  </si>
  <si>
    <t>078-2020</t>
  </si>
  <si>
    <t>ITB NO. 2020-08-014</t>
  </si>
  <si>
    <t>ITB10-INFRA-REHAB|BALAISILANGAN</t>
  </si>
  <si>
    <t>005-2020-002</t>
  </si>
  <si>
    <t>2020-08-0932 TDG</t>
  </si>
  <si>
    <t>2020-0241</t>
  </si>
  <si>
    <t>076-2020</t>
  </si>
  <si>
    <t>07-012-474-20</t>
  </si>
  <si>
    <t>20-08-05A-0055</t>
  </si>
  <si>
    <t>2020-08-0292</t>
  </si>
  <si>
    <t>2040-S3C01</t>
  </si>
  <si>
    <t>005-2020-003</t>
  </si>
  <si>
    <t>bac-20-0819q</t>
  </si>
  <si>
    <t>20-08-08-0061</t>
  </si>
  <si>
    <t>20CSI0002.</t>
  </si>
  <si>
    <t>2040-S3M01</t>
  </si>
  <si>
    <t>2020-PB-MSBP-043-01</t>
  </si>
  <si>
    <t>2020-POBLACION-063</t>
  </si>
  <si>
    <t>HILONGOS 2020-251</t>
  </si>
  <si>
    <t>079-2020</t>
  </si>
  <si>
    <t>INFRASIB-2020-23</t>
  </si>
  <si>
    <t>2020-08-0917 TDG</t>
  </si>
  <si>
    <t>GOODS-NP-2020-008</t>
  </si>
  <si>
    <t>2020 DHVSU - 042</t>
  </si>
  <si>
    <t>INF-SFO-14-20</t>
  </si>
  <si>
    <t>INF-SFO-15-20</t>
  </si>
  <si>
    <t>20-07-07-0250</t>
  </si>
  <si>
    <t>101-2020-08-279</t>
  </si>
  <si>
    <t>2020-058R</t>
  </si>
  <si>
    <t>300-20-07-0110</t>
  </si>
  <si>
    <t>HW-2020-08-0324</t>
  </si>
  <si>
    <t>ITB-2020-022</t>
  </si>
  <si>
    <t>20GDB0044</t>
  </si>
  <si>
    <t>8-19-20</t>
  </si>
  <si>
    <t>INF-SFO-16-20</t>
  </si>
  <si>
    <t>081920-R1</t>
  </si>
  <si>
    <t>2040-S3M03</t>
  </si>
  <si>
    <t>BGH - 08 - 0142</t>
  </si>
  <si>
    <t>20EH0086</t>
  </si>
  <si>
    <t>099-20</t>
  </si>
  <si>
    <t>INFRASIB-2020-24</t>
  </si>
  <si>
    <t>Paper&amp;InksLCP-082020</t>
  </si>
  <si>
    <t>SMV AUGUST 2020-002</t>
  </si>
  <si>
    <t>105-20</t>
  </si>
  <si>
    <t>LGU-SIN-2020-08-225</t>
  </si>
  <si>
    <t>HILONGOS 2020-252</t>
  </si>
  <si>
    <t>081920-R2</t>
  </si>
  <si>
    <t>PR-2020-08-0044</t>
  </si>
  <si>
    <t>020-0920-CP</t>
  </si>
  <si>
    <t>2020-1-06-07-020-220</t>
  </si>
  <si>
    <t>LGU-SIN-2020-08-226</t>
  </si>
  <si>
    <t>CAL-3812-20</t>
  </si>
  <si>
    <t>2020-08-380</t>
  </si>
  <si>
    <t>MTO-2020-08-19-001</t>
  </si>
  <si>
    <t>PIKCOT-002020-022</t>
  </si>
  <si>
    <t>INFRA 20-08-002</t>
  </si>
  <si>
    <t>upi_2020_023</t>
  </si>
  <si>
    <t>LGU-SIN-2020-08-227</t>
  </si>
  <si>
    <t>PROCUREMENT OF MEDICINES, MEDICAL, LABORATORY AND</t>
  </si>
  <si>
    <t>philgeps08192020b</t>
  </si>
  <si>
    <t>20HA0130</t>
  </si>
  <si>
    <t>2020-14 (20DI0160)</t>
  </si>
  <si>
    <t>2020-08-461</t>
  </si>
  <si>
    <t>2020-POBLACION-064</t>
  </si>
  <si>
    <t>GOODS-ETG-20-08-018</t>
  </si>
  <si>
    <t>P.R. No.:DARFO2.QES.115.20-08-060</t>
  </si>
  <si>
    <t>2008-0724-SFP</t>
  </si>
  <si>
    <t>GS-2020-13</t>
  </si>
  <si>
    <t>2020-50203130 00-222</t>
  </si>
  <si>
    <t>106-20</t>
  </si>
  <si>
    <t>philgeps08192020</t>
  </si>
  <si>
    <t>INFRA-2020-029</t>
  </si>
  <si>
    <t>2008-0725-SFP</t>
  </si>
  <si>
    <t>SAM-2020-31</t>
  </si>
  <si>
    <t>081920-R3</t>
  </si>
  <si>
    <t>2020-08-0541 HRMDD</t>
  </si>
  <si>
    <t>2020-08-283</t>
  </si>
  <si>
    <t>SEF-BSNHS2020-107-04-010</t>
  </si>
  <si>
    <t>2020 Caib 153</t>
  </si>
  <si>
    <t>2020-14 (20DI0162)</t>
  </si>
  <si>
    <t>HILONGOS 2020-253</t>
  </si>
  <si>
    <t>GFP100-2020-08-082</t>
  </si>
  <si>
    <t>2020-1-06-07-020-028</t>
  </si>
  <si>
    <t>2020bid002</t>
  </si>
  <si>
    <t>2020-14 (20DI0161)</t>
  </si>
  <si>
    <t>221-2020-08-01-060</t>
  </si>
  <si>
    <t>2020-08-0285</t>
  </si>
  <si>
    <t>Pampango - 05</t>
  </si>
  <si>
    <t>2020-14 (20DI0163)</t>
  </si>
  <si>
    <t>081920-R4</t>
  </si>
  <si>
    <t>INFRA-2020-030</t>
  </si>
  <si>
    <t>2020-08-0544</t>
  </si>
  <si>
    <t>2020-25</t>
  </si>
  <si>
    <t>INFRASIB-2020-25</t>
  </si>
  <si>
    <t>2020-26</t>
  </si>
  <si>
    <t>Pampango - 06</t>
  </si>
  <si>
    <t>PR # 100-2020-07-0194</t>
  </si>
  <si>
    <t>2020-50203080 00-223</t>
  </si>
  <si>
    <t>2020-059R</t>
  </si>
  <si>
    <t>DM-BAC-2020-0077</t>
  </si>
  <si>
    <t>F501-RO-063-20</t>
  </si>
  <si>
    <t>epslingayen2020-99</t>
  </si>
  <si>
    <t>2020-49</t>
  </si>
  <si>
    <t>CP 2020-59 B</t>
  </si>
  <si>
    <t>SDH-20-0959-B</t>
  </si>
  <si>
    <t>RQ 08-029A</t>
  </si>
  <si>
    <t>RFQ No. 20-08-028</t>
  </si>
  <si>
    <t>RFQ 2020-177</t>
  </si>
  <si>
    <t>2020-08-378</t>
  </si>
  <si>
    <t>PRDP-RPCOXI-017-2020</t>
  </si>
  <si>
    <t>081920-R5</t>
  </si>
  <si>
    <t>SDH-20-0988-B</t>
  </si>
  <si>
    <t>20EH0087</t>
  </si>
  <si>
    <t>2008-0726-SFP</t>
  </si>
  <si>
    <t>philgeps 08192020c</t>
  </si>
  <si>
    <t>N20-MSWD-128</t>
  </si>
  <si>
    <t>SDH-20-0960-B</t>
  </si>
  <si>
    <t>Publication No. 39-2020- G (Second Publication)</t>
  </si>
  <si>
    <t>CAD-2020-08-0363</t>
  </si>
  <si>
    <t>20-46353</t>
  </si>
  <si>
    <t>CP 2020-60 B</t>
  </si>
  <si>
    <t>PR No. 20-08-263</t>
  </si>
  <si>
    <t>H-036-0600-20</t>
  </si>
  <si>
    <t>RFQ-GS-20200805-01</t>
  </si>
  <si>
    <t>upi_2020_024</t>
  </si>
  <si>
    <t>RFQ-GS-20200721-04</t>
  </si>
  <si>
    <t>2020-903-001</t>
  </si>
  <si>
    <t>CP 2020-61 B</t>
  </si>
  <si>
    <t>2020-08-0061</t>
  </si>
  <si>
    <t>20-46393</t>
  </si>
  <si>
    <t>NTH-20-0810-B</t>
  </si>
  <si>
    <t>OC-78(CMO-06) 20 GD</t>
  </si>
  <si>
    <t>CW-2020-007</t>
  </si>
  <si>
    <t>001(A) - GUILANG-GUILANG - 2020</t>
  </si>
  <si>
    <t>CAD-2020-08-0334</t>
  </si>
  <si>
    <t>LGUCQ-G-2020-08-0020</t>
  </si>
  <si>
    <t>Publication No. 41-2020- G (First Publication)</t>
  </si>
  <si>
    <t>2020 Caib 154</t>
  </si>
  <si>
    <t>2020-102</t>
  </si>
  <si>
    <t>OC-79(GSO-05) 20 GD</t>
  </si>
  <si>
    <t>Publication No. 40-2020- G (Second Publication)</t>
  </si>
  <si>
    <t>RFQ-GS-20200817-04</t>
  </si>
  <si>
    <t>G2020-08-004</t>
  </si>
  <si>
    <t>2020-90</t>
  </si>
  <si>
    <t>2020-28</t>
  </si>
  <si>
    <t>20GCJ0064</t>
  </si>
  <si>
    <t>2020-POBLACION-065</t>
  </si>
  <si>
    <t>LGUCQ-G-2020-08-0022</t>
  </si>
  <si>
    <t>IB No. 2020-030</t>
  </si>
  <si>
    <t>20201822</t>
  </si>
  <si>
    <t>Publication No. 42-2020- G (First Publication)</t>
  </si>
  <si>
    <t>ITB-2020-08-015</t>
  </si>
  <si>
    <t>CW-2020-008</t>
  </si>
  <si>
    <t>2020-POBLACION-066</t>
  </si>
  <si>
    <t>OC-80(CMO-07) 20 GD</t>
  </si>
  <si>
    <t>AL-LFP-008-2020RFQ</t>
  </si>
  <si>
    <t>RFQ-GS-20200806-01</t>
  </si>
  <si>
    <t>AREA V- 2020-SVP-041</t>
  </si>
  <si>
    <t>ITB # 2020-53</t>
  </si>
  <si>
    <t>0866620</t>
  </si>
  <si>
    <t>Publication No. 44-2020- G (First Publication)</t>
  </si>
  <si>
    <t>107-09-010</t>
  </si>
  <si>
    <t>2008-0728-SFP</t>
  </si>
  <si>
    <t>UPLB-RES-040-09-20 CHEMICALS AND CHEMICAL PRODUCTS</t>
  </si>
  <si>
    <t>20201821</t>
  </si>
  <si>
    <t>20-028</t>
  </si>
  <si>
    <t>PR NO. 2020-08-025</t>
  </si>
  <si>
    <t>INFRA 20-12-38: PACKAGE 20-38</t>
  </si>
  <si>
    <t>2020-91</t>
  </si>
  <si>
    <t>G-008-2020</t>
  </si>
  <si>
    <t>LGUCQ-G-2020-08-0021</t>
  </si>
  <si>
    <t>2008-0727-SFP</t>
  </si>
  <si>
    <t>Publication No. 43-2020- G (First Publication)</t>
  </si>
  <si>
    <t>8000-3-01-010-009-001-011</t>
  </si>
  <si>
    <t>2020 ITB - 041</t>
  </si>
  <si>
    <t>PROCUREMENT OF I.C.T. EQUIPMENT FOR THE USE OF SCH</t>
  </si>
  <si>
    <t>Publication No. 46-2020- G (First Publication)</t>
  </si>
  <si>
    <t>Publication No. 45-2020- G (First Publication)</t>
  </si>
  <si>
    <t>00007-20-0713-0295</t>
  </si>
  <si>
    <t>PR. 20-08-305 (2020-08-299)</t>
  </si>
  <si>
    <t>CW-2020-009</t>
  </si>
  <si>
    <t>GOODS-20-44</t>
  </si>
  <si>
    <t>bac-20-0819s</t>
  </si>
  <si>
    <t>ITB No. Goods-2020-08-009</t>
  </si>
  <si>
    <t>2020 Caib 155</t>
  </si>
  <si>
    <t>Publication No. 47-2020- G (First Publication)</t>
  </si>
  <si>
    <t>20-08-14-156</t>
  </si>
  <si>
    <t>20-0056-08</t>
  </si>
  <si>
    <t>PR NO. 100-1192-3-20-03-0359</t>
  </si>
  <si>
    <t>19C00094</t>
  </si>
  <si>
    <t>80019012020</t>
  </si>
  <si>
    <t>20-029</t>
  </si>
  <si>
    <t>20NA0079</t>
  </si>
  <si>
    <t>2008-0729-SFP</t>
  </si>
  <si>
    <t>AL-LFP-009-2020RFQ</t>
  </si>
  <si>
    <t>08068120</t>
  </si>
  <si>
    <t>GPG-B1-2020-085-ASIAN UTILITY VEHICLE</t>
  </si>
  <si>
    <t>Publication No. 48-2020- G (First Publication)</t>
  </si>
  <si>
    <t>IB No. 2020-031-I</t>
  </si>
  <si>
    <t>064-20</t>
  </si>
  <si>
    <t>PRN 2020-029</t>
  </si>
  <si>
    <t>ITB # 2020-54</t>
  </si>
  <si>
    <t>211-2020</t>
  </si>
  <si>
    <t>20-08-065</t>
  </si>
  <si>
    <t>2008-0730-SFP</t>
  </si>
  <si>
    <t>BAC2020-27</t>
  </si>
  <si>
    <t>PR 175-08-2020</t>
  </si>
  <si>
    <t>Publication No. 50-2020- G (First Publication)</t>
  </si>
  <si>
    <t>2020-08-108</t>
  </si>
  <si>
    <t>20-07-0343</t>
  </si>
  <si>
    <t>212-2020</t>
  </si>
  <si>
    <t>AL-LFP-010-2020RFQ</t>
  </si>
  <si>
    <t>NCIP-2020-08-029</t>
  </si>
  <si>
    <t>ITB No. Goods-2020-23</t>
  </si>
  <si>
    <t>RFQ-NP-SVP-366-2020</t>
  </si>
  <si>
    <t>AREA V- 2020-SVP-042</t>
  </si>
  <si>
    <t>08066720</t>
  </si>
  <si>
    <t>20-030</t>
  </si>
  <si>
    <t>naguelguel2020-02</t>
  </si>
  <si>
    <t>Publication No. 49-2020- G (First Publication)</t>
  </si>
  <si>
    <t>20-444</t>
  </si>
  <si>
    <t>2020 ITB - 042</t>
  </si>
  <si>
    <t>RFQ-NP-SVP-373-2020</t>
  </si>
  <si>
    <t>20CB-GSC-540	PURCHASE OF SPARE PARTS FOR HEAVY EQU</t>
  </si>
  <si>
    <t>NCIP-2020-08-030</t>
  </si>
  <si>
    <t>20IH0113</t>
  </si>
  <si>
    <t>80019022020</t>
  </si>
  <si>
    <t>2020-008-002</t>
  </si>
  <si>
    <t>2020 - 08 - 027 (144 - Shopping)</t>
  </si>
  <si>
    <t>AL-LFP-011-2020RFQ</t>
  </si>
  <si>
    <t>CNU Procurement for Tables with Drawer No.20-08-26</t>
  </si>
  <si>
    <t>CW 20-08</t>
  </si>
  <si>
    <t>20IH0114</t>
  </si>
  <si>
    <t>80019032020</t>
  </si>
  <si>
    <t>PRN 2020-030</t>
  </si>
  <si>
    <t>2008-0732-SFP</t>
  </si>
  <si>
    <t>20IH0116</t>
  </si>
  <si>
    <t>2020 - 08 - 027 (145 - Shopping)</t>
  </si>
  <si>
    <t>0402020</t>
  </si>
  <si>
    <t>LGUCQ-G-2020-08-0023</t>
  </si>
  <si>
    <t>202150</t>
  </si>
  <si>
    <t>2020 Caib 156</t>
  </si>
  <si>
    <t>MAGSALANGI-INFR-2020-08-01</t>
  </si>
  <si>
    <t>202008081</t>
  </si>
  <si>
    <t>20CSEB06</t>
  </si>
  <si>
    <t>RFQ-NP-SVP-1re242-2020</t>
  </si>
  <si>
    <t>2020237</t>
  </si>
  <si>
    <t>CW 20-09</t>
  </si>
  <si>
    <t>NCIP-2020-08-031</t>
  </si>
  <si>
    <t>GEPS-01-2020</t>
  </si>
  <si>
    <t>20GP00131</t>
  </si>
  <si>
    <t>SDO GOODS 2020-046</t>
  </si>
  <si>
    <t>NCIP-2020-08-032</t>
  </si>
  <si>
    <t>20IH0115</t>
  </si>
  <si>
    <t>PAPC-OG4_ASCOM-2020-11485-5376</t>
  </si>
  <si>
    <t>213-2020</t>
  </si>
  <si>
    <t>2020-08-005-03</t>
  </si>
  <si>
    <t>STLU-028-2020</t>
  </si>
  <si>
    <t>ITB11-INFRA-LEGISLATIVE BUILDING</t>
  </si>
  <si>
    <t>UPLB-RES-041-09-20 GENOTYPING-BY-SEQUENCING FOR IP</t>
  </si>
  <si>
    <t>21CSGI0002</t>
  </si>
  <si>
    <t>8192020-1</t>
  </si>
  <si>
    <t>RFQ-007-2020</t>
  </si>
  <si>
    <t>MinSCAT ITB 2020-11</t>
  </si>
  <si>
    <t>08192020-2</t>
  </si>
  <si>
    <t>BCD-2020-059</t>
  </si>
  <si>
    <t>NCIP-2020-08-033</t>
  </si>
  <si>
    <t>19-11-1126 Re-bid</t>
  </si>
  <si>
    <t>WOR 20-006</t>
  </si>
  <si>
    <t>OMSC RFQ 20-038</t>
  </si>
  <si>
    <t>08-2020-TF544</t>
  </si>
  <si>
    <t>2020 - 08 - 027 (143 - Shopping)</t>
  </si>
  <si>
    <t>2020240</t>
  </si>
  <si>
    <t>NCIP-2020-08-034</t>
  </si>
  <si>
    <t>PAPC-GSU_ASCOM-2020-11402-5377</t>
  </si>
  <si>
    <t>P.R NO 0796 SERIES 2020</t>
  </si>
  <si>
    <t>2020-62-05</t>
  </si>
  <si>
    <t>RFQ-008-2020</t>
  </si>
  <si>
    <t>8192020-4</t>
  </si>
  <si>
    <t>RFQ-009-2020</t>
  </si>
  <si>
    <t>20-02-0073 Re-Bid</t>
  </si>
  <si>
    <t>WOR 20-007</t>
  </si>
  <si>
    <t>2020243</t>
  </si>
  <si>
    <t>2020-08-005-01</t>
  </si>
  <si>
    <t>2020242</t>
  </si>
  <si>
    <t>20-08-379</t>
  </si>
  <si>
    <t>2020-3Q058</t>
  </si>
  <si>
    <t>2020246</t>
  </si>
  <si>
    <t>BACONG 003-2020</t>
  </si>
  <si>
    <t>20-04-0206</t>
  </si>
  <si>
    <t>P.R NO 0803 SERIES 2020</t>
  </si>
  <si>
    <t>Infra GF 09-2020</t>
  </si>
  <si>
    <t>20-01-0143</t>
  </si>
  <si>
    <t>38-2020</t>
  </si>
  <si>
    <t>RFQ 2020-590</t>
  </si>
  <si>
    <t>20-08-0163</t>
  </si>
  <si>
    <t>ITB12-GOODS-WHEEL LOADER</t>
  </si>
  <si>
    <t>ITB No. Goods-2020-7</t>
  </si>
  <si>
    <t>08-88-2020</t>
  </si>
  <si>
    <t>SVP 2020-22</t>
  </si>
  <si>
    <t>RFQ No. 2020-08-044</t>
  </si>
  <si>
    <t>2020245</t>
  </si>
  <si>
    <t>20-08-0275</t>
  </si>
  <si>
    <t>BAC-IB NO. 2020-35</t>
  </si>
  <si>
    <t>2020-008-018</t>
  </si>
  <si>
    <t>2020248</t>
  </si>
  <si>
    <t>2020-008-017</t>
  </si>
  <si>
    <t>SF-GOODS-2020-0011</t>
  </si>
  <si>
    <t>BACGbtn-S-2008-514</t>
  </si>
  <si>
    <t>2020-07-089</t>
  </si>
  <si>
    <t>ITB 2020-04</t>
  </si>
  <si>
    <t>SVP-2020-08-190</t>
  </si>
  <si>
    <t>SVP-2020-08-189</t>
  </si>
  <si>
    <t>20-08-0272</t>
  </si>
  <si>
    <t>20-08-0273</t>
  </si>
  <si>
    <t>08-89-2020</t>
  </si>
  <si>
    <t>P.R NO 0804 SERIES 2020</t>
  </si>
  <si>
    <t>PB 2020-21</t>
  </si>
  <si>
    <t>RFQ-010-2020</t>
  </si>
  <si>
    <t>2020-08-104</t>
  </si>
  <si>
    <t>2020244</t>
  </si>
  <si>
    <t>PAPC-AGH_HHSG-2020-11501-5378</t>
  </si>
  <si>
    <t>PRN 2020-032</t>
  </si>
  <si>
    <t>37-2020</t>
  </si>
  <si>
    <t>20-07-0417</t>
  </si>
  <si>
    <t>LGU-Camalig-Goods-39</t>
  </si>
  <si>
    <t>202008082</t>
  </si>
  <si>
    <t>2020-08-041</t>
  </si>
  <si>
    <t>21CSGI0003</t>
  </si>
  <si>
    <t>SVP 2020-20</t>
  </si>
  <si>
    <t>2020241</t>
  </si>
  <si>
    <t>CAL-0001I-2020</t>
  </si>
  <si>
    <t>2020239</t>
  </si>
  <si>
    <t>PRN 2020-031</t>
  </si>
  <si>
    <t>20-08-0162</t>
  </si>
  <si>
    <t>RFQ-NP-SVP-re357-2020</t>
  </si>
  <si>
    <t>SVP-2020-08-188</t>
  </si>
  <si>
    <t>2020 DTI-OTOP Next Gen Fabrication of Frame and Co</t>
  </si>
  <si>
    <t>2020247</t>
  </si>
  <si>
    <t>SVP-2020-08-191</t>
  </si>
  <si>
    <t>IPH-20-0687-B</t>
  </si>
  <si>
    <t>IPH-20-0715-B</t>
  </si>
  <si>
    <t>ITB-048-2020</t>
  </si>
  <si>
    <t>OMSC RFQ 20-037</t>
  </si>
  <si>
    <t>2020-75</t>
  </si>
  <si>
    <t>2020-TIGASAO-GOOD-05</t>
  </si>
  <si>
    <t>20-08-0278</t>
  </si>
  <si>
    <t>2020250</t>
  </si>
  <si>
    <t>0101-2020</t>
  </si>
  <si>
    <t>2020249</t>
  </si>
  <si>
    <t>P.R NO 0808 SERIES 2020</t>
  </si>
  <si>
    <t>2020-B6-05</t>
  </si>
  <si>
    <t>2020251</t>
  </si>
  <si>
    <t>2020-76</t>
  </si>
  <si>
    <t>BAC-IB NO. 2020-36</t>
  </si>
  <si>
    <t>IPH-20-0374-B</t>
  </si>
  <si>
    <t>2020-008-019</t>
  </si>
  <si>
    <t>2020-B6-04</t>
  </si>
  <si>
    <t>300-07-011</t>
  </si>
  <si>
    <t>100-08-449</t>
  </si>
  <si>
    <t>2020-B6-10</t>
  </si>
  <si>
    <t>2020-B6-09</t>
  </si>
  <si>
    <t>ITB 2020-DSWD-CAR-19</t>
  </si>
  <si>
    <t>2020-B6-08</t>
  </si>
  <si>
    <t>2020-B6-02</t>
  </si>
  <si>
    <t>2020-105-101</t>
  </si>
  <si>
    <t>788-20</t>
  </si>
  <si>
    <t>20GOE0033</t>
  </si>
  <si>
    <t>2020-B6-06</t>
  </si>
  <si>
    <t>2020-B6-11</t>
  </si>
  <si>
    <t>Invitation to Bid No. 2020-06</t>
  </si>
  <si>
    <t>P.R NO 0807 SERIES 2020</t>
  </si>
  <si>
    <t>2020-B6-01</t>
  </si>
  <si>
    <t>2020-B6-13</t>
  </si>
  <si>
    <t>2020-B6-03</t>
  </si>
  <si>
    <t>1024-20</t>
  </si>
  <si>
    <t>2020-B6-12</t>
  </si>
  <si>
    <t>1052-20</t>
  </si>
  <si>
    <t>OC-84(CEO-26) 20 CW</t>
  </si>
  <si>
    <t>082020</t>
  </si>
  <si>
    <t>2020-S033</t>
  </si>
  <si>
    <t>Kiling-2020-08-001</t>
  </si>
  <si>
    <t>PR20-DEPED01-2026AUGSEP08</t>
  </si>
  <si>
    <t>787-20</t>
  </si>
  <si>
    <t>Maribi-2020-08-001</t>
  </si>
  <si>
    <t>ITB 2020-DSWD-CAR-20</t>
  </si>
  <si>
    <t>OC-85(CEO-27) 20 CW</t>
  </si>
  <si>
    <t>PR20-DEPED02-2026AUGSEP08</t>
  </si>
  <si>
    <t>IB-08192020</t>
  </si>
  <si>
    <t>08-20-2020-01</t>
  </si>
  <si>
    <t>2020-GOODS-01</t>
  </si>
  <si>
    <t>G2020-08-01</t>
  </si>
  <si>
    <t>08-20-2020-02</t>
  </si>
  <si>
    <t>NPSVP-2020-93</t>
  </si>
  <si>
    <t>1042-20</t>
  </si>
  <si>
    <t>2020-020-A</t>
  </si>
  <si>
    <t>RFQ-DARFO12-2020-0718</t>
  </si>
  <si>
    <t>2020-08-19-A</t>
  </si>
  <si>
    <t>AGINF2020-0820C</t>
  </si>
  <si>
    <t>LGU-Valencia, Bohol 2020-076</t>
  </si>
  <si>
    <t>2020-B6-07</t>
  </si>
  <si>
    <t>AGINF2020-0820A</t>
  </si>
  <si>
    <t>AGINF2020-0820B</t>
  </si>
  <si>
    <t>CSAT 2020</t>
  </si>
  <si>
    <t>2020-786-102</t>
  </si>
  <si>
    <t>OC-81(CEO-23) 20 CW</t>
  </si>
  <si>
    <t>ITB No. DSWD7-PB-2020-29</t>
  </si>
  <si>
    <t>G2020-08-03</t>
  </si>
  <si>
    <t>2020-842-040</t>
  </si>
  <si>
    <t>PUBLIC BIDDING PR NO. 126-2020</t>
  </si>
  <si>
    <t>2020-0080 dated 10 August 2020</t>
  </si>
  <si>
    <t>2020-002-Alibago</t>
  </si>
  <si>
    <t>NPSVP-2020-95</t>
  </si>
  <si>
    <t>ITB No. DSWD7-PB-2020-30</t>
  </si>
  <si>
    <t>2020-8-19-6</t>
  </si>
  <si>
    <t>08-20-2020-05</t>
  </si>
  <si>
    <t>PR20-MOC002-2027AUG08SEP</t>
  </si>
  <si>
    <t>PR20-MOC003-2027AUG08SEP</t>
  </si>
  <si>
    <t>Invitation to Bid (IB2020-067)</t>
  </si>
  <si>
    <t>ML-2020-02-20</t>
  </si>
  <si>
    <t>MG-PLM20-088 (RE-BID)</t>
  </si>
  <si>
    <t>2020-08-19-D</t>
  </si>
  <si>
    <t>08-20-2020-06</t>
  </si>
  <si>
    <t>2020-08-19-C</t>
  </si>
  <si>
    <t>ML-2020-02-19</t>
  </si>
  <si>
    <t>2020-08-19-B</t>
  </si>
  <si>
    <t>1524168</t>
  </si>
  <si>
    <t>2020-94-103</t>
  </si>
  <si>
    <t>08-20-2020-04</t>
  </si>
  <si>
    <t>NPSVP-2020-94</t>
  </si>
  <si>
    <t>20M00193</t>
  </si>
  <si>
    <t>ML-2020-02-21</t>
  </si>
  <si>
    <t>ML-2020-04-23</t>
  </si>
  <si>
    <t>08-20-2020-03</t>
  </si>
  <si>
    <t>ML-2020-04-22</t>
  </si>
  <si>
    <t>20CSGH02</t>
  </si>
  <si>
    <t>ITB No. 2020-32</t>
  </si>
  <si>
    <t>DEPED-BEFF2020F-TAGUM CITY</t>
  </si>
  <si>
    <t>INFRA-CNO-20-0012</t>
  </si>
  <si>
    <t>PR#20-08-1045</t>
  </si>
  <si>
    <t>INFRA-CNO-20-0011</t>
  </si>
  <si>
    <t>2020-15</t>
  </si>
  <si>
    <t>2020-08-80</t>
  </si>
  <si>
    <t>Barangay Erenas Payao-003-2020</t>
  </si>
  <si>
    <t>JR# 020-0077</t>
  </si>
  <si>
    <t>08-20-2020-07</t>
  </si>
  <si>
    <t>ITB NO: 2020-008-042</t>
  </si>
  <si>
    <t>TAL-09-01-2020</t>
  </si>
  <si>
    <t>INFRA-CNO-20-0010</t>
  </si>
  <si>
    <t>GOV-20-0377-B</t>
  </si>
  <si>
    <t>CRN-PB-026-GOODS-2020</t>
  </si>
  <si>
    <t>NFA-R02-BAC-H-01</t>
  </si>
  <si>
    <t>19CSF009</t>
  </si>
  <si>
    <t>CRN-PB-0011-GOODS-2020</t>
  </si>
  <si>
    <t>BLGU-SL-2020-01</t>
  </si>
  <si>
    <t>19K00474</t>
  </si>
  <si>
    <t>19K00473</t>
  </si>
  <si>
    <t>020-05-16</t>
  </si>
  <si>
    <t>020-05-17</t>
  </si>
  <si>
    <t>20CSF002</t>
  </si>
  <si>
    <t>ITB NO: 2020-008-043</t>
  </si>
  <si>
    <t>ITB NO. 2020-008-040</t>
  </si>
  <si>
    <t>2020-Barangay Darahuway daco</t>
  </si>
  <si>
    <t>20-07-06</t>
  </si>
  <si>
    <t>ITB 2020-08-01</t>
  </si>
  <si>
    <t>B18-3</t>
  </si>
  <si>
    <t>200-20-08-0882</t>
  </si>
  <si>
    <t>B18-2</t>
  </si>
  <si>
    <t>2020-143</t>
  </si>
  <si>
    <t>2020-142</t>
  </si>
  <si>
    <t>20200819b</t>
  </si>
  <si>
    <t>17202008074</t>
  </si>
  <si>
    <t>2020-140</t>
  </si>
  <si>
    <t>100-20-08--0842</t>
  </si>
  <si>
    <t>100-20-08-0888</t>
  </si>
  <si>
    <t>20200819a</t>
  </si>
  <si>
    <t>100-20-07-0774</t>
  </si>
  <si>
    <t>100-07-445</t>
  </si>
  <si>
    <t>100-20-07-0822</t>
  </si>
  <si>
    <t>CRN-PB-025-GOODS-2020</t>
  </si>
  <si>
    <t>SP3001-04</t>
  </si>
  <si>
    <t>17202008076</t>
  </si>
  <si>
    <t>17202008075</t>
  </si>
  <si>
    <t>SW-1008-2020-0112</t>
  </si>
  <si>
    <t>2020-141</t>
  </si>
  <si>
    <t>ITB-20-054</t>
  </si>
  <si>
    <t>ITB-20-060</t>
  </si>
  <si>
    <t>2020-Barangay Old mahayag-003</t>
  </si>
  <si>
    <t>ITB-20-059</t>
  </si>
  <si>
    <t>20-1679</t>
  </si>
  <si>
    <t>INFRA-20-08-0898</t>
  </si>
  <si>
    <t>PRDP-IB-R007-SIQ-002-000-000-2017-AF-R1</t>
  </si>
  <si>
    <t>ITB-20-056</t>
  </si>
  <si>
    <t>B18-6</t>
  </si>
  <si>
    <t>17202008077</t>
  </si>
  <si>
    <t>ITB-20-058</t>
  </si>
  <si>
    <t>B18-5</t>
  </si>
  <si>
    <t>LLFC-GAP-20-001</t>
  </si>
  <si>
    <t>ITB No. Goods-2020-24</t>
  </si>
  <si>
    <t>200(01)20-08-122(Q)</t>
  </si>
  <si>
    <t>G-2020-544</t>
  </si>
  <si>
    <t>5842-clsu-2020</t>
  </si>
  <si>
    <t>ITB-20-057</t>
  </si>
  <si>
    <t>G-2020-497</t>
  </si>
  <si>
    <t>ADH-20-0958-B</t>
  </si>
  <si>
    <t>G-2020-488</t>
  </si>
  <si>
    <t>ITB-20-052</t>
  </si>
  <si>
    <t>BQ-Goods-2020-015</t>
  </si>
  <si>
    <t>BQ-Goods-2020-014</t>
  </si>
  <si>
    <t>BQ-Goods-2020-013</t>
  </si>
  <si>
    <t>G-2020-535</t>
  </si>
  <si>
    <t>ITB-20-069</t>
  </si>
  <si>
    <t>ITB-20-068</t>
  </si>
  <si>
    <t>ITB-20-067</t>
  </si>
  <si>
    <t>G-2020-534</t>
  </si>
  <si>
    <t>ITB-20-066</t>
  </si>
  <si>
    <t>G-2020-541</t>
  </si>
  <si>
    <t>100-20-07-0028</t>
  </si>
  <si>
    <t>ITB-20-055</t>
  </si>
  <si>
    <t>ITB-20-070</t>
  </si>
  <si>
    <t>2020-693-07</t>
  </si>
  <si>
    <t>20GF00003</t>
  </si>
  <si>
    <t>2020-727-08</t>
  </si>
  <si>
    <t>2020-PB-11</t>
  </si>
  <si>
    <t>24-2020_INFR</t>
  </si>
  <si>
    <t>ROSAL-0462-2020</t>
  </si>
  <si>
    <t>20-08-0183</t>
  </si>
  <si>
    <t>PR2020</t>
  </si>
  <si>
    <t>20PE0003(G)</t>
  </si>
  <si>
    <t>I-2020-021</t>
  </si>
  <si>
    <t>G-2020-516</t>
  </si>
  <si>
    <t>G-2020-543</t>
  </si>
  <si>
    <t>100-20-07-0135</t>
  </si>
  <si>
    <t>2020-PB-10</t>
  </si>
  <si>
    <t>BP 200-20-07-08434</t>
  </si>
  <si>
    <t>BQ-Goods-2020-012</t>
  </si>
  <si>
    <t>B18-8</t>
  </si>
  <si>
    <t>202008-003</t>
  </si>
  <si>
    <t>B18-7</t>
  </si>
  <si>
    <t>G-2020-517</t>
  </si>
  <si>
    <t>BAC-GS-001-2020-B</t>
  </si>
  <si>
    <t>PPC-BAC-2020-07</t>
  </si>
  <si>
    <t>100-20-07-0829</t>
  </si>
  <si>
    <t>2020-03-5</t>
  </si>
  <si>
    <t>PPC-BAC-2020-06</t>
  </si>
  <si>
    <t>2020-03-3</t>
  </si>
  <si>
    <t>2020-023-II</t>
  </si>
  <si>
    <t>2020-743-08</t>
  </si>
  <si>
    <t>2020-751-08</t>
  </si>
  <si>
    <t>B2820-0817 itb</t>
  </si>
  <si>
    <t>G-2020-542</t>
  </si>
  <si>
    <t>JR2020-08-00011</t>
  </si>
  <si>
    <t>PEPO 200-20-08-10020</t>
  </si>
  <si>
    <t>2020-03-1</t>
  </si>
  <si>
    <t>ITB-20-063</t>
  </si>
  <si>
    <t>G-2020-545</t>
  </si>
  <si>
    <t>ITB-20-062</t>
  </si>
  <si>
    <t>ITB-20-061</t>
  </si>
  <si>
    <t>2020-03-2</t>
  </si>
  <si>
    <t>200(01)20-08-468(A)</t>
  </si>
  <si>
    <t>JCH-20-0230-B(RE-BID2)</t>
  </si>
  <si>
    <t>100-20-07-0819</t>
  </si>
  <si>
    <t>100(18)20-08-535(O)</t>
  </si>
  <si>
    <t>JCH-20-0690-B</t>
  </si>
  <si>
    <t>ITB-20-064</t>
  </si>
  <si>
    <t>200(18)20-07-468(O)</t>
  </si>
  <si>
    <t>100-20-08-0859</t>
  </si>
  <si>
    <t>B18-16</t>
  </si>
  <si>
    <t>ITB-20-065</t>
  </si>
  <si>
    <t>JCH-20-0174-B(RE-BID2)</t>
  </si>
  <si>
    <t>B18-15</t>
  </si>
  <si>
    <t>lgualtavasaklan2020-16</t>
  </si>
  <si>
    <t>B18-11</t>
  </si>
  <si>
    <t>B18-12</t>
  </si>
  <si>
    <t>2020-07-61-02</t>
  </si>
  <si>
    <t>B18-14</t>
  </si>
  <si>
    <t>2020-755-08</t>
  </si>
  <si>
    <t>20-8-92-POS-IMSD</t>
  </si>
  <si>
    <t>2020-750-08</t>
  </si>
  <si>
    <t>20-08-0001</t>
  </si>
  <si>
    <t>RTH-20-0181-B(RE-BID2)</t>
  </si>
  <si>
    <t>PB-INF-001-2020</t>
  </si>
  <si>
    <t>RTH-20-0177-B(RE-BID2)</t>
  </si>
  <si>
    <t>RTH-20-0180-B(RE-BID2)</t>
  </si>
  <si>
    <t>2020-760-08</t>
  </si>
  <si>
    <t>PPC-BAC-2020-05</t>
  </si>
  <si>
    <t>PB NO. 2020-053</t>
  </si>
  <si>
    <t>RE-ITB 2020-001 ROAD NETWORKS</t>
  </si>
  <si>
    <t>RTH-20-0214-B(RE-BID)</t>
  </si>
  <si>
    <t>RTH-20-0709-B</t>
  </si>
  <si>
    <t>B18-10</t>
  </si>
  <si>
    <t>C-066-2020</t>
  </si>
  <si>
    <t>PPC-BAC-2020-04</t>
  </si>
  <si>
    <t>RTH-20-0371-B</t>
  </si>
  <si>
    <t>ITB # 2020-029</t>
  </si>
  <si>
    <t>C-062-2020</t>
  </si>
  <si>
    <t>C-065-2020</t>
  </si>
  <si>
    <t>C-064-2020</t>
  </si>
  <si>
    <t>C-061-2020</t>
  </si>
  <si>
    <t>C-063-2020</t>
  </si>
  <si>
    <t>20-03-0188</t>
  </si>
  <si>
    <t>RFQ NO. 2020-08-070</t>
  </si>
  <si>
    <t>RTH-20-0369-B</t>
  </si>
  <si>
    <t>DOST XII 2020-003</t>
  </si>
  <si>
    <t>2020-PBCW-07</t>
  </si>
  <si>
    <t>20-08-014</t>
  </si>
  <si>
    <t>190 - 2020</t>
  </si>
  <si>
    <t>PB-CW-2020-08-47</t>
  </si>
  <si>
    <t>11131983</t>
  </si>
  <si>
    <t>RFQ - 2020-08-063</t>
  </si>
  <si>
    <t>GOODS-2020-010</t>
  </si>
  <si>
    <t>2020-03-4</t>
  </si>
  <si>
    <t>100-20-08-0833</t>
  </si>
  <si>
    <t>RFQ - 2020-08-062</t>
  </si>
  <si>
    <t>6911-04-911-20</t>
  </si>
  <si>
    <t>20GII0011</t>
  </si>
  <si>
    <t>PREDP 200-20-07-08432</t>
  </si>
  <si>
    <t>RTH-20-0974-B</t>
  </si>
  <si>
    <t>RTH-20-0368-B</t>
  </si>
  <si>
    <t>BUNGAHAN 2020-08-006</t>
  </si>
  <si>
    <t>CBGAD 200-20-07-08696</t>
  </si>
  <si>
    <t>BUNGAHAN 2020-08-005</t>
  </si>
  <si>
    <t>6911-13-859-20</t>
  </si>
  <si>
    <t>PR-2020-05-115</t>
  </si>
  <si>
    <t>POBLACION 5 2020-08-001</t>
  </si>
  <si>
    <t>CRN-PB-005-GOODS-2020</t>
  </si>
  <si>
    <t>LNO 200-20-07-08704</t>
  </si>
  <si>
    <t>C-068-2020</t>
  </si>
  <si>
    <t>6911-04-1198-20</t>
  </si>
  <si>
    <t>BAC-ITIO GS No. 2020-0086</t>
  </si>
  <si>
    <t>ITB No. 20-083</t>
  </si>
  <si>
    <t>C-069-2020</t>
  </si>
  <si>
    <t>080120A</t>
  </si>
  <si>
    <t>C-067-2020</t>
  </si>
  <si>
    <t>POBSF-CW-ES-2020-03</t>
  </si>
  <si>
    <t>6911-12-760-20</t>
  </si>
  <si>
    <t>6911-05-1237-19</t>
  </si>
  <si>
    <t>USF-G-PDAF/BLGU-2020-01</t>
  </si>
  <si>
    <t>8918-5-1632-20 LDF-2020</t>
  </si>
  <si>
    <t>6911-03-574-19</t>
  </si>
  <si>
    <t>DON JUAN 2020-08-001</t>
  </si>
  <si>
    <t>8918-03-3424-19</t>
  </si>
  <si>
    <t>8911-04-1936-20</t>
  </si>
  <si>
    <t>7077147</t>
  </si>
  <si>
    <t>PIKCOT-002020-021</t>
  </si>
  <si>
    <t>B-ITB-32-2020-I</t>
  </si>
  <si>
    <t>RFQ NO. 2020-08-069</t>
  </si>
  <si>
    <t>8918-03-3288-19</t>
  </si>
  <si>
    <t>OSMEÑA 03-2020 - Installation of Solar-Powered LED</t>
  </si>
  <si>
    <t>0020-0277-1287D2020</t>
  </si>
  <si>
    <t>2008-0700-SFP</t>
  </si>
  <si>
    <t xml:space="preserve">AMALBALAN 02-2020 - INSTALLATION OF SOLAR-POWERED </t>
  </si>
  <si>
    <t>2008-0699-SFP</t>
  </si>
  <si>
    <t>20FK0065</t>
  </si>
  <si>
    <t>LINGI-ON ES MOOE</t>
  </si>
  <si>
    <t>08-19-2020-01</t>
  </si>
  <si>
    <t>7076771</t>
  </si>
  <si>
    <t>8751-5-02-13-030</t>
  </si>
  <si>
    <t>ITB2020-022</t>
  </si>
  <si>
    <t>ITB No. 20-081 SUPPLY AND DELIVERY OF NINE THOUSAN</t>
  </si>
  <si>
    <t>DARAKLAN20-050</t>
  </si>
  <si>
    <t>08182020-1</t>
  </si>
  <si>
    <t>2020-08-0913 TGD</t>
  </si>
  <si>
    <t>PR2020-08-11-108</t>
  </si>
  <si>
    <t>2008-0703-SFP</t>
  </si>
  <si>
    <t>2020-PBCW-08</t>
  </si>
  <si>
    <t>PB-CW-2020-08-48</t>
  </si>
  <si>
    <t>08182020GOODSWINDOWBLINDS</t>
  </si>
  <si>
    <t>SanIsidro2020Goods001</t>
  </si>
  <si>
    <t>2020-0818-1</t>
  </si>
  <si>
    <t>RFQ NO. 2020-08-71</t>
  </si>
  <si>
    <t>2008-0702-SFP</t>
  </si>
  <si>
    <t>ITB 2020-08-003</t>
  </si>
  <si>
    <t>08182020-A</t>
  </si>
  <si>
    <t>2008-0701-SFP</t>
  </si>
  <si>
    <t>8918-04-2885-20</t>
  </si>
  <si>
    <t>3918-03-543-19 2019 DF</t>
  </si>
  <si>
    <t>C-054-2020</t>
  </si>
  <si>
    <t>JCH-20-0231-B(RE-BID)</t>
  </si>
  <si>
    <t>RTH-20-0218-B(RE-BID)</t>
  </si>
  <si>
    <t>6911-03-1054-19</t>
  </si>
  <si>
    <t>2020-08-0479</t>
  </si>
  <si>
    <t>Supply of Materials for the Installation of Tempor</t>
  </si>
  <si>
    <t>msj-2020-31</t>
  </si>
  <si>
    <t>ISPSC-2020-G-J001</t>
  </si>
  <si>
    <t>H-2020-08-11</t>
  </si>
  <si>
    <t>20GG0066-G</t>
  </si>
  <si>
    <t>PR2020-08-11-109</t>
  </si>
  <si>
    <t>RFQ-210-2020</t>
  </si>
  <si>
    <t>PR2020-08-11-107</t>
  </si>
  <si>
    <t>2020-PBG-62</t>
  </si>
  <si>
    <t>2020-08-0918 TDG</t>
  </si>
  <si>
    <t>SanIsidro2020Goods002</t>
  </si>
  <si>
    <t>2008-0704-SFP</t>
  </si>
  <si>
    <t>0067-0014-1286-2020</t>
  </si>
  <si>
    <t>2008-0707-SFP</t>
  </si>
  <si>
    <t>Barangay Guio-ang-2020-08-01</t>
  </si>
  <si>
    <t>RFQ-214-2020</t>
  </si>
  <si>
    <t>PR2020-08-11-110</t>
  </si>
  <si>
    <t>20-229</t>
  </si>
  <si>
    <t>RFQ NO. 2020-08-72</t>
  </si>
  <si>
    <t>220-021</t>
  </si>
  <si>
    <t>220-022</t>
  </si>
  <si>
    <t>2020-472</t>
  </si>
  <si>
    <t>220-020</t>
  </si>
  <si>
    <t>20-07-08-115</t>
  </si>
  <si>
    <t>RFQ-212-2020</t>
  </si>
  <si>
    <t>RFQ-213-2020</t>
  </si>
  <si>
    <t>2020-08-0480</t>
  </si>
  <si>
    <t>2008-0706-SFP</t>
  </si>
  <si>
    <t>2020-08-463</t>
  </si>
  <si>
    <t>mda131</t>
  </si>
  <si>
    <t>RFQ-211-2020</t>
  </si>
  <si>
    <t>B18-9</t>
  </si>
  <si>
    <t>GEPS – 2020 – 83</t>
  </si>
  <si>
    <t>BAGOGOODS2020-02</t>
  </si>
  <si>
    <t>GEPS – 2020 – 82</t>
  </si>
  <si>
    <t>B18-4</t>
  </si>
  <si>
    <t>19CSK00060</t>
  </si>
  <si>
    <t>2020-08-0478</t>
  </si>
  <si>
    <t>GO-20-08-059</t>
  </si>
  <si>
    <t>GEPS – 2020 – 84</t>
  </si>
  <si>
    <t>PR. NO. 2020-07-020</t>
  </si>
  <si>
    <t>2020-08-413-35</t>
  </si>
  <si>
    <t>2020-08-0481</t>
  </si>
  <si>
    <t>2020-764-08</t>
  </si>
  <si>
    <t>RFQ-215-2020</t>
  </si>
  <si>
    <t>DOST1PB2020-02</t>
  </si>
  <si>
    <t>20CN0100</t>
  </si>
  <si>
    <t>2020-08-0482</t>
  </si>
  <si>
    <t>LGU-ROX-CWC-28-2020</t>
  </si>
  <si>
    <t>GO-20-08-060</t>
  </si>
  <si>
    <t>RFQ-216-2020</t>
  </si>
  <si>
    <t>ITB No. 019-2020</t>
  </si>
  <si>
    <t>2020-08-34</t>
  </si>
  <si>
    <t>I-2020-08-001</t>
  </si>
  <si>
    <t>2020-08-469</t>
  </si>
  <si>
    <t>PR2020-08-11-111</t>
  </si>
  <si>
    <t>GA-BAC-2020DP-13</t>
  </si>
  <si>
    <t>BACNAMPICUAN2020-040</t>
  </si>
  <si>
    <t>H-008-0567-20</t>
  </si>
  <si>
    <t>LGU-ROX-CWC-29-2020</t>
  </si>
  <si>
    <t>20CN0157 9RE-ADV.)</t>
  </si>
  <si>
    <t>2008-0708-SFP</t>
  </si>
  <si>
    <t>PR20-08-67</t>
  </si>
  <si>
    <t>15-08-2020</t>
  </si>
  <si>
    <t>SF-20-18</t>
  </si>
  <si>
    <t>01A-2020</t>
  </si>
  <si>
    <t>2020-08-094bid</t>
  </si>
  <si>
    <t>2020-008-006</t>
  </si>
  <si>
    <t>08-06-20-1041</t>
  </si>
  <si>
    <t>2020-08-18-02</t>
  </si>
  <si>
    <t>T-2020-06-15-038</t>
  </si>
  <si>
    <t>H-011-0570-20</t>
  </si>
  <si>
    <t>20GG0067-G</t>
  </si>
  <si>
    <t>ITB No. GOODS-20-133</t>
  </si>
  <si>
    <t>14-08-2020</t>
  </si>
  <si>
    <t>PBD-20-08-007</t>
  </si>
  <si>
    <t>H-007-0566-20</t>
  </si>
  <si>
    <t>2008-0780-SFP</t>
  </si>
  <si>
    <t>BRGY 016-2020</t>
  </si>
  <si>
    <t>LGU-ROX-CWC-30-2020</t>
  </si>
  <si>
    <t>4411-101-2020-08-370</t>
  </si>
  <si>
    <t>ITB No. GOODS-20-134</t>
  </si>
  <si>
    <t>ITB No. GOODS-20-135</t>
  </si>
  <si>
    <t>H-021-0585-20</t>
  </si>
  <si>
    <t>16-08-2020</t>
  </si>
  <si>
    <t>PB 08-03-2020</t>
  </si>
  <si>
    <t>RFQ 2020-05</t>
  </si>
  <si>
    <t>POG DDO 2020-SP-003</t>
  </si>
  <si>
    <t>GA-BAC-2019C-DP-22</t>
  </si>
  <si>
    <t>2020-08-2016</t>
  </si>
  <si>
    <t>2020-08-095bid</t>
  </si>
  <si>
    <t>8-56-20</t>
  </si>
  <si>
    <t>2020-0237</t>
  </si>
  <si>
    <t>2020-08-0098</t>
  </si>
  <si>
    <t>20-227</t>
  </si>
  <si>
    <t>lam-bac-288-020</t>
  </si>
  <si>
    <t>RB-17-2020-I</t>
  </si>
  <si>
    <t>2020-08-18-50</t>
  </si>
  <si>
    <t>O-020-015</t>
  </si>
  <si>
    <t>INFR-20-024</t>
  </si>
  <si>
    <t>0045/August/2020</t>
  </si>
  <si>
    <t>2020-08-0283</t>
  </si>
  <si>
    <t>RFQ 2020-174</t>
  </si>
  <si>
    <t>2020-08-472</t>
  </si>
  <si>
    <t>CW -20-0819-035-1</t>
  </si>
  <si>
    <t>01-01-2020-08-876</t>
  </si>
  <si>
    <t>20-07-0018</t>
  </si>
  <si>
    <t>2020-08-044</t>
  </si>
  <si>
    <t>2020-08-0010</t>
  </si>
  <si>
    <t>lam-bac-289-020</t>
  </si>
  <si>
    <t>20-08-287</t>
  </si>
  <si>
    <t>BLGUBALLUYAN-CW-004</t>
  </si>
  <si>
    <t>lam-bac-290-020</t>
  </si>
  <si>
    <t>CW -20-0819-047</t>
  </si>
  <si>
    <t>2020-07-214</t>
  </si>
  <si>
    <t>BAC2020-08-039</t>
  </si>
  <si>
    <t>20-07-0460</t>
  </si>
  <si>
    <t>2020-08-0284</t>
  </si>
  <si>
    <t>CW -20-0819-048</t>
  </si>
  <si>
    <t>2020-100-08-029</t>
  </si>
  <si>
    <t>DA7-2020-08-CPAR-20-3140</t>
  </si>
  <si>
    <t>2020-08-414-36</t>
  </si>
  <si>
    <t>2020-SHPNG-104</t>
  </si>
  <si>
    <t>2020-08-35</t>
  </si>
  <si>
    <t>CW -20-0819-046</t>
  </si>
  <si>
    <t>02B-2020</t>
  </si>
  <si>
    <t>ITB-20-08087</t>
  </si>
  <si>
    <t>CW -20-0819-044</t>
  </si>
  <si>
    <t>01-01-2020-08-874</t>
  </si>
  <si>
    <t>202001011</t>
  </si>
  <si>
    <t>MIL-GOODS-2020-08-01</t>
  </si>
  <si>
    <t>2020-0238</t>
  </si>
  <si>
    <t>20-297</t>
  </si>
  <si>
    <t>2020-08-462</t>
  </si>
  <si>
    <t>20GBJ0003</t>
  </si>
  <si>
    <t>20-07-0459</t>
  </si>
  <si>
    <t>100-08-483</t>
  </si>
  <si>
    <t>RFQ.2020.012</t>
  </si>
  <si>
    <t>20-08-0483</t>
  </si>
  <si>
    <t>01N-2020</t>
  </si>
  <si>
    <t>2020-98</t>
  </si>
  <si>
    <t>ITB No. Infra-2020-01</t>
  </si>
  <si>
    <t>MGCP-20G-610A</t>
  </si>
  <si>
    <t>CW -20-0819-051</t>
  </si>
  <si>
    <t>CW -20-0819-049</t>
  </si>
  <si>
    <t>2020-08-125</t>
  </si>
  <si>
    <t>Sip-2020-119</t>
  </si>
  <si>
    <t>CW -20-0819-054</t>
  </si>
  <si>
    <t>PNUNL GD 2020-08-18</t>
  </si>
  <si>
    <t>CW -20-0819-052</t>
  </si>
  <si>
    <t>20-08277</t>
  </si>
  <si>
    <t>045-FTC 2020</t>
  </si>
  <si>
    <t>2020-08-126</t>
  </si>
  <si>
    <t>H-2020-08-12</t>
  </si>
  <si>
    <t>SB-258-C-2020</t>
  </si>
  <si>
    <t>BDM-BAC-2020-009</t>
  </si>
  <si>
    <t>CW -20-0819-058</t>
  </si>
  <si>
    <t>INFR 2020-05</t>
  </si>
  <si>
    <t>SF Infra 2020-23</t>
  </si>
  <si>
    <t>MGCP-20G-604B</t>
  </si>
  <si>
    <t>AMBACAN202002</t>
  </si>
  <si>
    <t>2020-08-127</t>
  </si>
  <si>
    <t>SF Infra 2020-24</t>
  </si>
  <si>
    <t>046-FTC 2020</t>
  </si>
  <si>
    <t>DA7-2020-08-CPAR-20-3137</t>
  </si>
  <si>
    <t>LGU-ROX-SDG-08-2020</t>
  </si>
  <si>
    <t>RFQ - 2020-08-064</t>
  </si>
  <si>
    <t>20-298</t>
  </si>
  <si>
    <t>PR2020-08-18-115</t>
  </si>
  <si>
    <t>AMBACAN202001</t>
  </si>
  <si>
    <t>Adv. 20-021</t>
  </si>
  <si>
    <t>20-07-019</t>
  </si>
  <si>
    <t>20EG0094</t>
  </si>
  <si>
    <t>20-01-05</t>
  </si>
  <si>
    <t>GoodsSVP-71-2020</t>
  </si>
  <si>
    <t>2020-08-131</t>
  </si>
  <si>
    <t>IABE 319-20</t>
  </si>
  <si>
    <t>PR082000658</t>
  </si>
  <si>
    <t>2020-08-0190</t>
  </si>
  <si>
    <t>08182020A</t>
  </si>
  <si>
    <t>SV-0965-2020</t>
  </si>
  <si>
    <t>SF Infra 2020-22</t>
  </si>
  <si>
    <t>HILONGOS 2020-247</t>
  </si>
  <si>
    <t>IB NO. 2020-18</t>
  </si>
  <si>
    <t>RFQ - 2020-08-067</t>
  </si>
  <si>
    <t>GoodsSVP-70-2020</t>
  </si>
  <si>
    <t>MGCP-20G-588B</t>
  </si>
  <si>
    <t>SV-0964-2020</t>
  </si>
  <si>
    <t>RFQ - 2020-08-066</t>
  </si>
  <si>
    <t>20EG0092</t>
  </si>
  <si>
    <t>MGCP-20G-612A</t>
  </si>
  <si>
    <t>2020-AP-08-44</t>
  </si>
  <si>
    <t>PB2020-08-121G</t>
  </si>
  <si>
    <t>20EG0093</t>
  </si>
  <si>
    <t>20-08280</t>
  </si>
  <si>
    <t>6ID SBAC-01-2020</t>
  </si>
  <si>
    <t>BLGU201920%DFCW-005: Extension of Concreting abd C</t>
  </si>
  <si>
    <t>2020-282</t>
  </si>
  <si>
    <t>2020-755</t>
  </si>
  <si>
    <t>VMC2020-08002</t>
  </si>
  <si>
    <t>VMC2020-08001</t>
  </si>
  <si>
    <t>PB2020-08-120G</t>
  </si>
  <si>
    <t>PB2020-08-116G</t>
  </si>
  <si>
    <t>20200818-1</t>
  </si>
  <si>
    <t>000496</t>
  </si>
  <si>
    <t>PR No. 2020-08-019</t>
  </si>
  <si>
    <t>PB2020-08-119G</t>
  </si>
  <si>
    <t>2020-08-124</t>
  </si>
  <si>
    <t>CG-RFQ-170-2020</t>
  </si>
  <si>
    <t>2020-020-smb</t>
  </si>
  <si>
    <t>2020-08-034_MEO</t>
  </si>
  <si>
    <t>2020-01ITB</t>
  </si>
  <si>
    <t>20GJF0149</t>
  </si>
  <si>
    <t>007263-2020-01</t>
  </si>
  <si>
    <t>HILONGOS 2020-248</t>
  </si>
  <si>
    <t>PB2020-08-122G</t>
  </si>
  <si>
    <t>300(01)20-08-008(I)</t>
  </si>
  <si>
    <t>047-FTC 2020</t>
  </si>
  <si>
    <t>200(01)20-08-011(C)</t>
  </si>
  <si>
    <t>Procurement and Delivery of Supplies for the In-Ho</t>
  </si>
  <si>
    <t>20200818-3</t>
  </si>
  <si>
    <t>17NG0090</t>
  </si>
  <si>
    <t>INFRA 01-2020</t>
  </si>
  <si>
    <t>200(01)20-08-096(M)</t>
  </si>
  <si>
    <t>HILONGOS 2020-249</t>
  </si>
  <si>
    <t>048-FTC 2020</t>
  </si>
  <si>
    <t>100(01)20-08-007(AH)</t>
  </si>
  <si>
    <t>007265-0000-00</t>
  </si>
  <si>
    <t>08-19-2020-02</t>
  </si>
  <si>
    <t>20NG0100</t>
  </si>
  <si>
    <t>200(01)20-08-014(E)</t>
  </si>
  <si>
    <t>08182020B</t>
  </si>
  <si>
    <t>17NG0091</t>
  </si>
  <si>
    <t>20-08-484</t>
  </si>
  <si>
    <t>100(18)20-08-525(O)</t>
  </si>
  <si>
    <t>LGU-100-2020-08-860</t>
  </si>
  <si>
    <t>049-FTC 2020</t>
  </si>
  <si>
    <t>20-0071</t>
  </si>
  <si>
    <t>20-08-483</t>
  </si>
  <si>
    <t>100(200)20-08-534(O)</t>
  </si>
  <si>
    <t>chs-2020-08-003a</t>
  </si>
  <si>
    <t>2020-08-031 Purchase of Medicines and Medical Supp</t>
  </si>
  <si>
    <t>2020-004-08</t>
  </si>
  <si>
    <t>SEF2020-502-03-010</t>
  </si>
  <si>
    <t>2020-LGU-08-020</t>
  </si>
  <si>
    <t>Aklan BAC ITB 506 Series of 2020</t>
  </si>
  <si>
    <t>20200818-2</t>
  </si>
  <si>
    <t>HS-5020308000-090-2020</t>
  </si>
  <si>
    <t>BRGY. BALOYBOAN 05</t>
  </si>
  <si>
    <t>MP-081820-081</t>
  </si>
  <si>
    <t>NPSVP-2020-80</t>
  </si>
  <si>
    <t>20GL0098</t>
  </si>
  <si>
    <t>17NG0092</t>
  </si>
  <si>
    <t>17NG0093</t>
  </si>
  <si>
    <t>20-08281</t>
  </si>
  <si>
    <t>100(18)20-07-397(O)</t>
  </si>
  <si>
    <t>GDS-419-2020</t>
  </si>
  <si>
    <t>20NF-GOODS-02</t>
  </si>
  <si>
    <t>PB2020-062</t>
  </si>
  <si>
    <t>umcbac20-19</t>
  </si>
  <si>
    <t>HS-5020399000-091-2020</t>
  </si>
  <si>
    <t>20FH0102</t>
  </si>
  <si>
    <t>HS-5020308000-092-2020</t>
  </si>
  <si>
    <t>DA7-2020-08-CPAR-20-3139</t>
  </si>
  <si>
    <t>MNE-I-2020-08-012</t>
  </si>
  <si>
    <t>MNE-I-2020-08-013</t>
  </si>
  <si>
    <t>20FH0103</t>
  </si>
  <si>
    <t>20CSCM06</t>
  </si>
  <si>
    <t>1-8-182020</t>
  </si>
  <si>
    <t>20-07-07-0236 Re-canvass</t>
  </si>
  <si>
    <t>cw-2020-020</t>
  </si>
  <si>
    <t>200(01)20-08-112(M)</t>
  </si>
  <si>
    <t>PR No. 2020 07 0086</t>
  </si>
  <si>
    <t>GDS-420-2020</t>
  </si>
  <si>
    <t>20200818-6</t>
  </si>
  <si>
    <t>2020-Barangay Cawayan-002</t>
  </si>
  <si>
    <t>Aklan BAC ITB 507 Series of 2020</t>
  </si>
  <si>
    <t>300(01)20-08-519(O)</t>
  </si>
  <si>
    <t>08-25-20</t>
  </si>
  <si>
    <t>100(01)20-08-537(O)</t>
  </si>
  <si>
    <t>2020-08-0484</t>
  </si>
  <si>
    <t>S3-SPUGWM20-003 (NP5)</t>
  </si>
  <si>
    <t>20FH0104</t>
  </si>
  <si>
    <t>2020-476</t>
  </si>
  <si>
    <t>NORS-2020-006</t>
  </si>
  <si>
    <t>CID No. 20GLE0099 PR 20-08-0153</t>
  </si>
  <si>
    <t>2020-420</t>
  </si>
  <si>
    <t>BCS-2020-0297</t>
  </si>
  <si>
    <t>20-08-1341</t>
  </si>
  <si>
    <t>MNE-I-2020-08-014</t>
  </si>
  <si>
    <t>BRGY3</t>
  </si>
  <si>
    <t>2-08182020</t>
  </si>
  <si>
    <t>10705020</t>
  </si>
  <si>
    <t>G-2020-025</t>
  </si>
  <si>
    <t>CANDADAM202001</t>
  </si>
  <si>
    <t>20200818-7</t>
  </si>
  <si>
    <t>5-02-03-070-1-3</t>
  </si>
  <si>
    <t>20-08-0023</t>
  </si>
  <si>
    <t>3-08182020</t>
  </si>
  <si>
    <t>17-2020</t>
  </si>
  <si>
    <t>BQ-Goods-2020-016</t>
  </si>
  <si>
    <t>MNE-I-2020-08-009</t>
  </si>
  <si>
    <t>20200818-8</t>
  </si>
  <si>
    <t>20-07-1025-EXE2</t>
  </si>
  <si>
    <t>20FH0105</t>
  </si>
  <si>
    <t>BCS-2020-0298</t>
  </si>
  <si>
    <t>PB2020-064</t>
  </si>
  <si>
    <t>5-02-03-080-2-1-3</t>
  </si>
  <si>
    <t>CANDADAM202002</t>
  </si>
  <si>
    <t>G-2020-06</t>
  </si>
  <si>
    <t>BEFF-2020-Repair-B1-L4</t>
  </si>
  <si>
    <t>CID No. 20CSIO14</t>
  </si>
  <si>
    <t>Bac-Pg-003-20</t>
  </si>
  <si>
    <t>081820-B1</t>
  </si>
  <si>
    <t>GDS-421-2020</t>
  </si>
  <si>
    <t>PB2020-061</t>
  </si>
  <si>
    <t>cw-2020-021</t>
  </si>
  <si>
    <t>300-20-08-0301</t>
  </si>
  <si>
    <t>S3-JOL20-017 (NP5)</t>
  </si>
  <si>
    <t>25</t>
  </si>
  <si>
    <t>PB2020-063</t>
  </si>
  <si>
    <t>20200818-5</t>
  </si>
  <si>
    <t>PB2020-08-064I</t>
  </si>
  <si>
    <t>NPSVP-2020-82</t>
  </si>
  <si>
    <t>MNE-I-2020-08-010</t>
  </si>
  <si>
    <t>BLGU Doña Josefa 2020-010-021</t>
  </si>
  <si>
    <t>SF-G-DF-2020-24</t>
  </si>
  <si>
    <t>202008180001</t>
  </si>
  <si>
    <t>21A00007</t>
  </si>
  <si>
    <t>50203070</t>
  </si>
  <si>
    <t>ATI-RTC 2020-0052</t>
  </si>
  <si>
    <t>20NG0101</t>
  </si>
  <si>
    <t>Bidding-05-August2020</t>
  </si>
  <si>
    <t>S3-B1920-009 (NP-3)</t>
  </si>
  <si>
    <t>20-0072</t>
  </si>
  <si>
    <t>20FH0106</t>
  </si>
  <si>
    <t>S3-BAI20-018 (NP-2)</t>
  </si>
  <si>
    <t>INFRA-21-01</t>
  </si>
  <si>
    <t>21A00010</t>
  </si>
  <si>
    <t>CID No. 20GLE0101 PR 20-08-0155</t>
  </si>
  <si>
    <t>20-08268</t>
  </si>
  <si>
    <t>21A00006</t>
  </si>
  <si>
    <t>MNE-I-2020-08-011</t>
  </si>
  <si>
    <t>ITB 2020-001</t>
  </si>
  <si>
    <t>21A00009</t>
  </si>
  <si>
    <t>2020-477</t>
  </si>
  <si>
    <t>BAC-HOJ-006-20</t>
  </si>
  <si>
    <t>20NG0102</t>
  </si>
  <si>
    <t>NPSVP-2020-81</t>
  </si>
  <si>
    <t>21A00008</t>
  </si>
  <si>
    <t>ANAJAO ITB 2020-01</t>
  </si>
  <si>
    <t>cw-001-2020</t>
  </si>
  <si>
    <t>EMBR02-PB-CONSULTINGSERVICES- EMED022020-066</t>
  </si>
  <si>
    <t>ITB-2020-15</t>
  </si>
  <si>
    <t>INFRA 02-2020</t>
  </si>
  <si>
    <t>CID No. 20GLE0100 PR 20-08-0154</t>
  </si>
  <si>
    <t>BLGU Doña Josefa 2020-010-019</t>
  </si>
  <si>
    <t>2020-08-133</t>
  </si>
  <si>
    <t>PB2020-066</t>
  </si>
  <si>
    <t>GOODS-2020-01</t>
  </si>
  <si>
    <t>001-08-2020</t>
  </si>
  <si>
    <t>NPSVP-2020-83</t>
  </si>
  <si>
    <t>80018022020</t>
  </si>
  <si>
    <t>20200818-9</t>
  </si>
  <si>
    <t>PEO-20-0927-B (REBID)</t>
  </si>
  <si>
    <t>PRDP-IR-RO12-NCO-007-PIG-001-2019-a</t>
  </si>
  <si>
    <t>20GA00005</t>
  </si>
  <si>
    <t>GUADALUPE202002</t>
  </si>
  <si>
    <t>CID No. 20GLE0102 PR 20-08-0156</t>
  </si>
  <si>
    <t>100-2020-06-064</t>
  </si>
  <si>
    <t>RFQ2020-03-052</t>
  </si>
  <si>
    <t>PR2020-08-18-004</t>
  </si>
  <si>
    <t>2020-08-059</t>
  </si>
  <si>
    <t>BFPX 2020-10</t>
  </si>
  <si>
    <t>2020-479</t>
  </si>
  <si>
    <t>NPSVP-2020-84</t>
  </si>
  <si>
    <t>DA7-2020-08-CPAR-20-3138</t>
  </si>
  <si>
    <t>PB2020-067</t>
  </si>
  <si>
    <t>003-2020</t>
  </si>
  <si>
    <t>PB2020-08-117G</t>
  </si>
  <si>
    <t>PoW01-081820</t>
  </si>
  <si>
    <t>CID No. 20GLE0103 PR 20-08-0157</t>
  </si>
  <si>
    <t>100-2020-06-008A</t>
  </si>
  <si>
    <t>2020-08-2574</t>
  </si>
  <si>
    <t>PB2020-069</t>
  </si>
  <si>
    <t>2020-08-2581</t>
  </si>
  <si>
    <t>20GGI0038</t>
  </si>
  <si>
    <t>20GGI0025</t>
  </si>
  <si>
    <t>005-infra-2020</t>
  </si>
  <si>
    <t>PB2020-08-118G</t>
  </si>
  <si>
    <t>081820-B2</t>
  </si>
  <si>
    <t>LANGUB ITB 2020-01</t>
  </si>
  <si>
    <t>002-08-2020</t>
  </si>
  <si>
    <t>18082020</t>
  </si>
  <si>
    <t>SJ-20-233</t>
  </si>
  <si>
    <t>08-18-2020-A</t>
  </si>
  <si>
    <t>PB2020-070</t>
  </si>
  <si>
    <t>UPLB-S-054-09-20</t>
  </si>
  <si>
    <t>081820-B3</t>
  </si>
  <si>
    <t>OPA-FISHERIES-2020-0193 Rebidding</t>
  </si>
  <si>
    <t>20-06-00397</t>
  </si>
  <si>
    <t>San Vicente-2020-03</t>
  </si>
  <si>
    <t>20-04-00317</t>
  </si>
  <si>
    <t>AKLAN BAC ITB 429 SERIES 2020</t>
  </si>
  <si>
    <t>20GPG0003</t>
  </si>
  <si>
    <t>NPSVP-2020-87</t>
  </si>
  <si>
    <t>20-02-00171</t>
  </si>
  <si>
    <t>20-07-00456</t>
  </si>
  <si>
    <t>20FH0108</t>
  </si>
  <si>
    <t>003-08-2020</t>
  </si>
  <si>
    <t>20-05-00366</t>
  </si>
  <si>
    <t>AKLAN BAC ITB 409 SERIES 2020</t>
  </si>
  <si>
    <t>003/8/2020</t>
  </si>
  <si>
    <t>PR082000660</t>
  </si>
  <si>
    <t>RFQ2020-08-079</t>
  </si>
  <si>
    <t>PB2020-08-124G</t>
  </si>
  <si>
    <t>20-06-00424</t>
  </si>
  <si>
    <t>20FH0107</t>
  </si>
  <si>
    <t>PoW02-081820</t>
  </si>
  <si>
    <t>PB2020-08-123G</t>
  </si>
  <si>
    <t>147-2020-A</t>
  </si>
  <si>
    <t>100-2020-07-115A</t>
  </si>
  <si>
    <t>PB-2020-08-008</t>
  </si>
  <si>
    <t>2020-07-101</t>
  </si>
  <si>
    <t>NPSVP-2020-86</t>
  </si>
  <si>
    <t>PR2020-08-17-006</t>
  </si>
  <si>
    <t>6523-2020-049</t>
  </si>
  <si>
    <t>PUR20-08-0697 &amp; PUR20-08-0707</t>
  </si>
  <si>
    <t>ITB No. UATLMC2020-101-03-005L3</t>
  </si>
  <si>
    <t>IV-08-2020-03</t>
  </si>
  <si>
    <t>20GEG0006</t>
  </si>
  <si>
    <t>BD20-08-002</t>
  </si>
  <si>
    <t>08182020</t>
  </si>
  <si>
    <t>PR082000659</t>
  </si>
  <si>
    <t>ITB No. 04-CW-2020</t>
  </si>
  <si>
    <t>tgs 20-20</t>
  </si>
  <si>
    <t>SJ-20-234</t>
  </si>
  <si>
    <t>35-07-20-AIP</t>
  </si>
  <si>
    <t>36-08-20-AIP</t>
  </si>
  <si>
    <t>8182020-049</t>
  </si>
  <si>
    <t>2020-482</t>
  </si>
  <si>
    <t>Tadian LGU 2020 -04</t>
  </si>
  <si>
    <t>2020-009 BAC I</t>
  </si>
  <si>
    <t>100-2020-07-174</t>
  </si>
  <si>
    <t>ITB No. UATLMC2020-101-08-006</t>
  </si>
  <si>
    <t>NPSVP-2020-90</t>
  </si>
  <si>
    <t>LLFC-GAP-20-002</t>
  </si>
  <si>
    <t>100-2020-08-020B</t>
  </si>
  <si>
    <t>ITB-2020-04</t>
  </si>
  <si>
    <t>uplb-rq-8-100-20 goods (Laboratory supplies for CV</t>
  </si>
  <si>
    <t>PB2020-071</t>
  </si>
  <si>
    <t>53-202205-20</t>
  </si>
  <si>
    <t>DA7-2020-08-SAAD-20-3160</t>
  </si>
  <si>
    <t>PoW03-081820</t>
  </si>
  <si>
    <t>52-200410-20</t>
  </si>
  <si>
    <t>NPSVP-2020-88</t>
  </si>
  <si>
    <t>AKLAN BAC ITB 411 SERIES 2020</t>
  </si>
  <si>
    <t>57-08-20-1061</t>
  </si>
  <si>
    <t>Aklan BAC ITB 500 Series of 2020</t>
  </si>
  <si>
    <t>BP-081820-034</t>
  </si>
  <si>
    <t>PR-2020-05-101</t>
  </si>
  <si>
    <t>GOOD 24-2020</t>
  </si>
  <si>
    <t>NPSVP-2020-89</t>
  </si>
  <si>
    <t>51-201706-20</t>
  </si>
  <si>
    <t>78-08-20-4411</t>
  </si>
  <si>
    <t>54-202034-20</t>
  </si>
  <si>
    <t>NPSVP-2020-85</t>
  </si>
  <si>
    <t>Aklan BAC ITB 508 Series of 2020</t>
  </si>
  <si>
    <t>795</t>
  </si>
  <si>
    <t>NPSVP-2020-91</t>
  </si>
  <si>
    <t>AKLAN BAC ITB 413 SERIES 2020</t>
  </si>
  <si>
    <t>100-2020-07-190</t>
  </si>
  <si>
    <t>BD20-08-003</t>
  </si>
  <si>
    <t>08-18-2020-B</t>
  </si>
  <si>
    <t>20GEG0007</t>
  </si>
  <si>
    <t>20GG0068-G</t>
  </si>
  <si>
    <t>300(01)20-08-543(O)</t>
  </si>
  <si>
    <t>20-08-054</t>
  </si>
  <si>
    <t>6523-2020-050</t>
  </si>
  <si>
    <t>ISAT U GOODS-2020-07-10</t>
  </si>
  <si>
    <t>LTOR1-2020-012</t>
  </si>
  <si>
    <t>BEMO-2020-0196 Rebidding</t>
  </si>
  <si>
    <t>RFQ2020-03-051</t>
  </si>
  <si>
    <t>CDRRMO-2020-02</t>
  </si>
  <si>
    <t>PB2020-068</t>
  </si>
  <si>
    <t>JGE2020-032</t>
  </si>
  <si>
    <t>SVP-099-2020</t>
  </si>
  <si>
    <t>146-2020-A</t>
  </si>
  <si>
    <t>55-202245-20</t>
  </si>
  <si>
    <t>RIX&amp;BARMM-GOODS-2020-005</t>
  </si>
  <si>
    <t>2020-480</t>
  </si>
  <si>
    <t>JOR 20-08-169</t>
  </si>
  <si>
    <t>PEO-20-0898-B (REBID)</t>
  </si>
  <si>
    <t>20GAB0005</t>
  </si>
  <si>
    <t>GOODS#0160, ITB#0163,  PR#0528: SCG-2020</t>
  </si>
  <si>
    <t>80018032020</t>
  </si>
  <si>
    <t>ITB No. UATLMC2020-101-03-005L5</t>
  </si>
  <si>
    <t>POW - 8751 - 2020 - PCO - 13</t>
  </si>
  <si>
    <t>RFQ-GOODS-2020-099</t>
  </si>
  <si>
    <t>ITB-MPR-Goods-2020-029</t>
  </si>
  <si>
    <t>CW-07-2020</t>
  </si>
  <si>
    <t>INFRA-ETG-20-07-014</t>
  </si>
  <si>
    <t>NPSVP-2020-92</t>
  </si>
  <si>
    <t>049-20</t>
  </si>
  <si>
    <t>UPLB-S-053-09-20</t>
  </si>
  <si>
    <t>300-08-20-0019</t>
  </si>
  <si>
    <t>SVP-0100-2020</t>
  </si>
  <si>
    <t>mwd_2020-08-01A</t>
  </si>
  <si>
    <t>SEF-I-74-2020</t>
  </si>
  <si>
    <t>2020-717-08</t>
  </si>
  <si>
    <t>21A00011</t>
  </si>
  <si>
    <t>081820201</t>
  </si>
  <si>
    <t>300(200)20-08-506(O)</t>
  </si>
  <si>
    <t>80018012020</t>
  </si>
  <si>
    <t>HILONGOS 2020-250</t>
  </si>
  <si>
    <t>INFRA-ST02-2020</t>
  </si>
  <si>
    <t>POB-07-2020</t>
  </si>
  <si>
    <t>ATI-RTC 2020-0053</t>
  </si>
  <si>
    <t>MR20-07-066</t>
  </si>
  <si>
    <t>batgoods 2020-08-020</t>
  </si>
  <si>
    <t>POW - 8751 - 2020 - PCO - 07</t>
  </si>
  <si>
    <t>PESO-2020-04</t>
  </si>
  <si>
    <t>PJMD 200-20-07-08156</t>
  </si>
  <si>
    <t>2020-483</t>
  </si>
  <si>
    <t>PR2020-07-02G RE-CANVASS</t>
  </si>
  <si>
    <t>BD20-08-004</t>
  </si>
  <si>
    <t>08-18-2020-C</t>
  </si>
  <si>
    <t>uplb-rq-8-102-20 goods (Dental supplies for UHS)</t>
  </si>
  <si>
    <t>SVP-0101-2020</t>
  </si>
  <si>
    <t>41-2020</t>
  </si>
  <si>
    <t>SVP 2020-430</t>
  </si>
  <si>
    <t>0046/August/2020</t>
  </si>
  <si>
    <t>CLI-20-0355-B(REBID2)</t>
  </si>
  <si>
    <t>051-20</t>
  </si>
  <si>
    <t>EMB-R4A-018-20</t>
  </si>
  <si>
    <t>20-0070</t>
  </si>
  <si>
    <t>LGUCQ-I-2020-08-0012</t>
  </si>
  <si>
    <t>RFQ-GOODS-2020-100</t>
  </si>
  <si>
    <t>2020-07-1197</t>
  </si>
  <si>
    <t>18-08-2020</t>
  </si>
  <si>
    <t>POW - 8751 - 2020 - ALA - 02</t>
  </si>
  <si>
    <t>20GBC0012</t>
  </si>
  <si>
    <t>42-2020</t>
  </si>
  <si>
    <t>BRGY 08-02-2020</t>
  </si>
  <si>
    <t>darposoleyte_2020-01-0025</t>
  </si>
  <si>
    <t>GOODS#0161, ITB#0164,  PR#0529: SCG-2020</t>
  </si>
  <si>
    <t>20EA0059</t>
  </si>
  <si>
    <t>HOBO-10-11</t>
  </si>
  <si>
    <t>POW - 8751 - 2020 - TWG - 02</t>
  </si>
  <si>
    <t>PILAR-20-08-005</t>
  </si>
  <si>
    <t>2020 - 08 - 026 (142 - Shopping)</t>
  </si>
  <si>
    <t>PR 1285-20</t>
  </si>
  <si>
    <t>SVP 2020-429</t>
  </si>
  <si>
    <t>002/august/2020</t>
  </si>
  <si>
    <t>20GBC0013</t>
  </si>
  <si>
    <t>20CB-GSC-528	PURCHASE FURNITURE AND FIXTURE (TRUST</t>
  </si>
  <si>
    <t>LGUCQ-I-2020-08-0016</t>
  </si>
  <si>
    <t>INFRA-PB-2020-020</t>
  </si>
  <si>
    <t>LGUCQ-I-2020-08-0015</t>
  </si>
  <si>
    <t>POW - 8751 - 2020 - PBN - 06</t>
  </si>
  <si>
    <t>20CB-GSC-529	PURCHASE OF OFFICE EQUIPMENT (TRUST F</t>
  </si>
  <si>
    <t>8182020-050</t>
  </si>
  <si>
    <t>BD20-08-005</t>
  </si>
  <si>
    <t>POW - 8751 - 2020 - BKL - 05</t>
  </si>
  <si>
    <t>200053</t>
  </si>
  <si>
    <t>2020 - 08 - 026 (141 - Shopping)</t>
  </si>
  <si>
    <t>6523-2020-051</t>
  </si>
  <si>
    <t>LGUCQ-I-2020-08-0013</t>
  </si>
  <si>
    <t>BAC 1-2020-08-87</t>
  </si>
  <si>
    <t>ITB No. 06-Goods-2020</t>
  </si>
  <si>
    <t>Bid No. 20-0394</t>
  </si>
  <si>
    <t>GF-G-83-2020</t>
  </si>
  <si>
    <t>LGUCQ-I-2020-08-0014</t>
  </si>
  <si>
    <t>DEPED-BOHOL-2020-08-119</t>
  </si>
  <si>
    <t>08-18-2020-D</t>
  </si>
  <si>
    <t>POW - 8751 - 2020 - PCO - 08</t>
  </si>
  <si>
    <t>VIN BAC 058-2020</t>
  </si>
  <si>
    <t>07.2020.0189</t>
  </si>
  <si>
    <t>SVP 2020-428</t>
  </si>
  <si>
    <t>POW - 8751 - 2020 - ALN - 04</t>
  </si>
  <si>
    <t>2020-735-08</t>
  </si>
  <si>
    <t>202008048</t>
  </si>
  <si>
    <t>LGUCQ-I-2020-08-0017</t>
  </si>
  <si>
    <t>2020-NFA- RBAC8-INFR- 23</t>
  </si>
  <si>
    <t>TFB 2020-006 Recanvass</t>
  </si>
  <si>
    <t>2020 INFRA 039</t>
  </si>
  <si>
    <t>CW-08-2020</t>
  </si>
  <si>
    <t>ITB No. 2020-08-061</t>
  </si>
  <si>
    <t>2020-039g</t>
  </si>
  <si>
    <t>6523-2020-052</t>
  </si>
  <si>
    <t>G-135-20</t>
  </si>
  <si>
    <t>IB-2020-07-06-106</t>
  </si>
  <si>
    <t>20CB-GSC-535	PURCHASE OF VARIOUS OFFICE EQUIPMENT(</t>
  </si>
  <si>
    <t>BAC PB 2020-20</t>
  </si>
  <si>
    <t>2020 Goods 002</t>
  </si>
  <si>
    <t>BCS-2020-0296</t>
  </si>
  <si>
    <t>20GKE0008 Lot1</t>
  </si>
  <si>
    <t>POW - 8751 - 2020 - PCO - 09</t>
  </si>
  <si>
    <t>BALSF-G-PDAF-2020-02</t>
  </si>
  <si>
    <t>100-07-20-01720</t>
  </si>
  <si>
    <t>PR#20-08-0491</t>
  </si>
  <si>
    <t>INFRA-PB-2020-021</t>
  </si>
  <si>
    <t>BAC-OSEC-2020-08-036</t>
  </si>
  <si>
    <t>DENR-MRQ-2020-006-SVP</t>
  </si>
  <si>
    <t>LGUCQ-I-2020-08-0019</t>
  </si>
  <si>
    <t>02.2020.0103</t>
  </si>
  <si>
    <t>20DJ0110</t>
  </si>
  <si>
    <t>Bid No. 20-0398</t>
  </si>
  <si>
    <t>DOST IX-20-0004</t>
  </si>
  <si>
    <t>CRN-PB-010-GOODS-2020</t>
  </si>
  <si>
    <t>20GKE0008 Lot 2</t>
  </si>
  <si>
    <t>20CSPJ03</t>
  </si>
  <si>
    <t>IPH-20-0685-B</t>
  </si>
  <si>
    <t>2020-08-096bid</t>
  </si>
  <si>
    <t>POB-08-2020</t>
  </si>
  <si>
    <t>IPH-20-0170-B(REBID)</t>
  </si>
  <si>
    <t>8182020</t>
  </si>
  <si>
    <t>MRH-012-2020</t>
  </si>
  <si>
    <t>SFS-17-20</t>
  </si>
  <si>
    <t>2020-0321</t>
  </si>
  <si>
    <t>Bid No. 20-0395</t>
  </si>
  <si>
    <t>2020-ODY-08-268</t>
  </si>
  <si>
    <t>20CSDN02</t>
  </si>
  <si>
    <t>TFB 2020-007 Recanvass</t>
  </si>
  <si>
    <t>20DJ0111</t>
  </si>
  <si>
    <t>20CSDN03</t>
  </si>
  <si>
    <t>IB No. 2020-33</t>
  </si>
  <si>
    <t>SFS-15-20</t>
  </si>
  <si>
    <t>INFRA-PB-2020-022</t>
  </si>
  <si>
    <t>Goods-2020-003</t>
  </si>
  <si>
    <t>LGUCQ-I-2020-08-0018</t>
  </si>
  <si>
    <t>08-18-2020-E</t>
  </si>
  <si>
    <t>20DJ0112</t>
  </si>
  <si>
    <t>02.2020.0101</t>
  </si>
  <si>
    <t>2020-040g</t>
  </si>
  <si>
    <t>2020-ODY-08-269</t>
  </si>
  <si>
    <t>2020-ODY-08-273</t>
  </si>
  <si>
    <t>SEIA-LIBANG-RIP-001-RO</t>
  </si>
  <si>
    <t>IPH-20-0375-B</t>
  </si>
  <si>
    <t>RFQ-23-2020 (LOT 2)</t>
  </si>
  <si>
    <t>IB No. 2020-34</t>
  </si>
  <si>
    <t>2020-ODY-08-272</t>
  </si>
  <si>
    <t>RFQ-23-2020 (LOT 1)</t>
  </si>
  <si>
    <t>IPH-20-0717-B</t>
  </si>
  <si>
    <t>IPH-20-0684-B</t>
  </si>
  <si>
    <t>20GG0072-G</t>
  </si>
  <si>
    <t>ITB-2020-44</t>
  </si>
  <si>
    <t>2020-ODY-08-267</t>
  </si>
  <si>
    <t>3LSSM2020A-155</t>
  </si>
  <si>
    <t>SVP 2020-427</t>
  </si>
  <si>
    <t>CGB-2020-08-010</t>
  </si>
  <si>
    <t>26</t>
  </si>
  <si>
    <t>3LSSM2020A-154</t>
  </si>
  <si>
    <t>3LSSM2020A-153</t>
  </si>
  <si>
    <t>GPG-B2-2020-320 3rd Rebid</t>
  </si>
  <si>
    <t>PR No. 1746 -20BAC</t>
  </si>
  <si>
    <t>PCMT 2020 - 085</t>
  </si>
  <si>
    <t>BAC-OSEC-2020-08-041</t>
  </si>
  <si>
    <t>3LSSM2020A-157</t>
  </si>
  <si>
    <t>CGB-2020-08-011</t>
  </si>
  <si>
    <t>DOST-CO-PB NO. 2020-08-005</t>
  </si>
  <si>
    <t>PB-G-2020-1</t>
  </si>
  <si>
    <t>DOST-CO-PB NO. 2020-08-006</t>
  </si>
  <si>
    <t>2020235</t>
  </si>
  <si>
    <t>IB No. 2020-35</t>
  </si>
  <si>
    <t>3LSSM2020A-166</t>
  </si>
  <si>
    <t>3LSSM2020A-167</t>
  </si>
  <si>
    <t>TFB 2020-008 Recanvass</t>
  </si>
  <si>
    <t>BAC-OSEC-2020-07-023</t>
  </si>
  <si>
    <t>PR No. 1756 -20BAC</t>
  </si>
  <si>
    <t>CEZRFQ 2020-02-010</t>
  </si>
  <si>
    <t>3LSSM2020A-165</t>
  </si>
  <si>
    <t>3LSSM2020A-164</t>
  </si>
  <si>
    <t>SVP-20-002</t>
  </si>
  <si>
    <t>IB NO. 041-20</t>
  </si>
  <si>
    <t>3LSSM2020A-163</t>
  </si>
  <si>
    <t>20FC0082</t>
  </si>
  <si>
    <t>3LSSM2020A-160</t>
  </si>
  <si>
    <t>3LSSM2020A-158</t>
  </si>
  <si>
    <t>3LSSM2020A-161</t>
  </si>
  <si>
    <t>2020-ODY-08-271</t>
  </si>
  <si>
    <t>2020-ODY-08-270</t>
  </si>
  <si>
    <t>Bid No. 20-0397</t>
  </si>
  <si>
    <t>3LSSM2020A-159</t>
  </si>
  <si>
    <t>3LSSM2020A-162</t>
  </si>
  <si>
    <t>PRDP-GEF-MPA-001</t>
  </si>
  <si>
    <t>3LSSM2020A-168</t>
  </si>
  <si>
    <t>3LSSM2020A-176</t>
  </si>
  <si>
    <t>20CB-GSC-534	PURCHASE OF FURNITURE AND FIXTURES (R</t>
  </si>
  <si>
    <t>CW 2020-008-026</t>
  </si>
  <si>
    <t>3LSSM2020A-178</t>
  </si>
  <si>
    <t>3LSSM2020A-177</t>
  </si>
  <si>
    <t>20GG0071-G</t>
  </si>
  <si>
    <t>3LSSM2020A-175</t>
  </si>
  <si>
    <t>2020-08-47</t>
  </si>
  <si>
    <t>uplb-rq-8-103-20 goods (Packaging mtls for RMO)</t>
  </si>
  <si>
    <t>6072</t>
  </si>
  <si>
    <t>3LSSM2020A-171</t>
  </si>
  <si>
    <t>3LSSM2020A-179</t>
  </si>
  <si>
    <t>3LSSM2020A-172</t>
  </si>
  <si>
    <t>3LSSM2020A-170</t>
  </si>
  <si>
    <t>3LSSM2020A-156</t>
  </si>
  <si>
    <t>PB-OCM-MOOE2020-01-REBID</t>
  </si>
  <si>
    <t>PRDP-GEF-MPA-002</t>
  </si>
  <si>
    <t>3LSSM2020A-173</t>
  </si>
  <si>
    <t>20FC0085</t>
  </si>
  <si>
    <t>2020-NFA -RBAC8-INFR- 24</t>
  </si>
  <si>
    <t>20200818-4</t>
  </si>
  <si>
    <t>08182020C</t>
  </si>
  <si>
    <t>INFRA-12-2020</t>
  </si>
  <si>
    <t>3LSSM2020A-174</t>
  </si>
  <si>
    <t>Supply, Delivery and Assistance on the Installatio</t>
  </si>
  <si>
    <t>20GIL0052</t>
  </si>
  <si>
    <t>2020-Barangay Bangon-004</t>
  </si>
  <si>
    <t>PR No. 2020 07 0085</t>
  </si>
  <si>
    <t>008-036-2020</t>
  </si>
  <si>
    <t>6071</t>
  </si>
  <si>
    <t>3LSSM2020A-180</t>
  </si>
  <si>
    <t>2020-08-1017</t>
  </si>
  <si>
    <t>015-2020</t>
  </si>
  <si>
    <t>60</t>
  </si>
  <si>
    <t>016-2020</t>
  </si>
  <si>
    <t>IB NO. 2020-17</t>
  </si>
  <si>
    <t>008-035-2020</t>
  </si>
  <si>
    <t>200(01)20-08-095(M)</t>
  </si>
  <si>
    <t>2020-GOODS-008</t>
  </si>
  <si>
    <t>BAC-BLE-2020-08-039</t>
  </si>
  <si>
    <t>15th Batch 2020</t>
  </si>
  <si>
    <t>20GM00187</t>
  </si>
  <si>
    <t>3LSSM2020A-169</t>
  </si>
  <si>
    <t>UPC PB2020-08-05</t>
  </si>
  <si>
    <t>007</t>
  </si>
  <si>
    <t>20GM00186</t>
  </si>
  <si>
    <t>31-2020</t>
  </si>
  <si>
    <t>ITB No. EMB-GOODS-NCB-2020-0009</t>
  </si>
  <si>
    <t>29-2020</t>
  </si>
  <si>
    <t>BAC-AS-2020-08-035</t>
  </si>
  <si>
    <t>300(01)20-08-030(V)</t>
  </si>
  <si>
    <t>30-2020</t>
  </si>
  <si>
    <t>ITB No. EMB-GOODS-NCB-2020-0012</t>
  </si>
  <si>
    <t>2020-08-49</t>
  </si>
  <si>
    <t>ITA-06-2020</t>
  </si>
  <si>
    <t>ITA-05-2020</t>
  </si>
  <si>
    <t>32-2020</t>
  </si>
  <si>
    <t>2020-08-48</t>
  </si>
  <si>
    <t>Public Bidding Pr no. 159-2020</t>
  </si>
  <si>
    <t>008-033-2020</t>
  </si>
  <si>
    <t>SN 2020-08-03</t>
  </si>
  <si>
    <t>62</t>
  </si>
  <si>
    <t>3LSSM2020A-181</t>
  </si>
  <si>
    <t>202081</t>
  </si>
  <si>
    <t>3LSSM2020A-182</t>
  </si>
  <si>
    <t>nlontoc-ITB075-2020</t>
  </si>
  <si>
    <t>008-034-2020</t>
  </si>
  <si>
    <t>ITB No. EMB-GOODS-NCB-2020-0011</t>
  </si>
  <si>
    <t>3LSSM2020A-183</t>
  </si>
  <si>
    <t>33-2020</t>
  </si>
  <si>
    <t>SN 2020-08-01</t>
  </si>
  <si>
    <t>MAFAR-08-152-2020</t>
  </si>
  <si>
    <t>20EA0060</t>
  </si>
  <si>
    <t>PPNSSK-08-001</t>
  </si>
  <si>
    <t>MAFAR-08-150-2020</t>
  </si>
  <si>
    <t>MAFAR-08-151-2020</t>
  </si>
  <si>
    <t>55-2020</t>
  </si>
  <si>
    <t>2020-42-098</t>
  </si>
  <si>
    <t>20GM00188</t>
  </si>
  <si>
    <t>N20-NWS-121</t>
  </si>
  <si>
    <t>20EA0061</t>
  </si>
  <si>
    <t>MAFAR-08-156-2020</t>
  </si>
  <si>
    <t>BAC-BLR-2020-08-037</t>
  </si>
  <si>
    <t>20EA0062</t>
  </si>
  <si>
    <t>MAFAR-08-154-2020</t>
  </si>
  <si>
    <t>N20-LDRRM-123</t>
  </si>
  <si>
    <t>BAC PB 2020-27</t>
  </si>
  <si>
    <t>N20-LDF-125</t>
  </si>
  <si>
    <t>MAFAR-08-155-2020</t>
  </si>
  <si>
    <t>56-2020</t>
  </si>
  <si>
    <t>081820-H01</t>
  </si>
  <si>
    <t>ITB No. EMB-GOODS-NCB-2020-0010</t>
  </si>
  <si>
    <t>GS 2020-008-027</t>
  </si>
  <si>
    <t>2020-315-100</t>
  </si>
  <si>
    <t>N20-MSWD-122</t>
  </si>
  <si>
    <t>20-08-00492</t>
  </si>
  <si>
    <t>08-19-2020-03</t>
  </si>
  <si>
    <t>2020-08-188</t>
  </si>
  <si>
    <t>Catigbi-an-2020-08-001</t>
  </si>
  <si>
    <t>nlontoc-ITB076-2020</t>
  </si>
  <si>
    <t>PB-20-462</t>
  </si>
  <si>
    <t>PB-20-436</t>
  </si>
  <si>
    <t>N20-LDF-127</t>
  </si>
  <si>
    <t>N20-LDRRM-124</t>
  </si>
  <si>
    <t>081820-H03</t>
  </si>
  <si>
    <t>PB-20-434</t>
  </si>
  <si>
    <t>PB-20-429</t>
  </si>
  <si>
    <t>PB-20-445</t>
  </si>
  <si>
    <t>PB-20-435</t>
  </si>
  <si>
    <t>2020-380-099</t>
  </si>
  <si>
    <t>PB-20-464</t>
  </si>
  <si>
    <t>081820-H04</t>
  </si>
  <si>
    <t>MAFAR-08-153-2020</t>
  </si>
  <si>
    <t>08-19-2020-04</t>
  </si>
  <si>
    <t>2020-G-142</t>
  </si>
  <si>
    <t>DJRHD 200-20-08-10023</t>
  </si>
  <si>
    <t>PB-20-466</t>
  </si>
  <si>
    <t>PNHS 026-08-2020</t>
  </si>
  <si>
    <t>081820-H02</t>
  </si>
  <si>
    <t>MAFAR-08-157-2020</t>
  </si>
  <si>
    <t>081820-H05</t>
  </si>
  <si>
    <t>081820-H08</t>
  </si>
  <si>
    <t>PADAP 200-20-06-07420</t>
  </si>
  <si>
    <t>ITB No. Goods-2020-17</t>
  </si>
  <si>
    <t>PB-20-465</t>
  </si>
  <si>
    <t>MAFAR-08-163-2020</t>
  </si>
  <si>
    <t>PB-20-463</t>
  </si>
  <si>
    <t>MAFAR-08-164-2020</t>
  </si>
  <si>
    <t>MAFAR-08-162-2020</t>
  </si>
  <si>
    <t>08-19-2020-05</t>
  </si>
  <si>
    <t>PB-20-374</t>
  </si>
  <si>
    <t>081820-H07</t>
  </si>
  <si>
    <t>MAFAR-08-160-2020</t>
  </si>
  <si>
    <t>081820-H06</t>
  </si>
  <si>
    <t>N20-LDF-126</t>
  </si>
  <si>
    <t>DOSTXI-PB-2020-08-003</t>
  </si>
  <si>
    <t>MAFAR-08-161-2020</t>
  </si>
  <si>
    <t>MAFAR-08-158-2020</t>
  </si>
  <si>
    <t>MAFAR-08-165-2020</t>
  </si>
  <si>
    <t>20CSNC0004</t>
  </si>
  <si>
    <t>BDN-09-07-2020</t>
  </si>
  <si>
    <t>MAFAR-08-159-2020</t>
  </si>
  <si>
    <t>MAFAR-08-168-2020</t>
  </si>
  <si>
    <t>CRN-PB-009-GOODS-2020</t>
  </si>
  <si>
    <t>100-2020-07-851</t>
  </si>
  <si>
    <t>100-2020-07-854</t>
  </si>
  <si>
    <t>100-2020-07-847</t>
  </si>
  <si>
    <t>2020-08-049</t>
  </si>
  <si>
    <t>PCAG 200-20-03-02274</t>
  </si>
  <si>
    <t>100-2020-05-704</t>
  </si>
  <si>
    <t>MAFAR-08-167-2020</t>
  </si>
  <si>
    <t>100-2020-07-853</t>
  </si>
  <si>
    <t>100-2020-07-855</t>
  </si>
  <si>
    <t>ADS-1862-20</t>
  </si>
  <si>
    <t>ITB No. 20-08-20</t>
  </si>
  <si>
    <t>ADS-1799-20</t>
  </si>
  <si>
    <t>313357</t>
  </si>
  <si>
    <t>ADS-1926-20</t>
  </si>
  <si>
    <t>20GFL0007</t>
  </si>
  <si>
    <t>MRH-010-2020</t>
  </si>
  <si>
    <t>ADS-1798-20</t>
  </si>
  <si>
    <t>20-07-08</t>
  </si>
  <si>
    <t>ITB-20-0623-198</t>
  </si>
  <si>
    <t>ADS-1784-20</t>
  </si>
  <si>
    <t>20-010-01</t>
  </si>
  <si>
    <t>100-20-07-0818</t>
  </si>
  <si>
    <t>2008-0716-SFP</t>
  </si>
  <si>
    <t>G-PEO-078-20</t>
  </si>
  <si>
    <t>2008-0715-SFP</t>
  </si>
  <si>
    <t>100-20-08-0877</t>
  </si>
  <si>
    <t>G-PAGRO-074-20</t>
  </si>
  <si>
    <t>2008-0710-SFP</t>
  </si>
  <si>
    <t>300-20-07-0815</t>
  </si>
  <si>
    <t>2020-137</t>
  </si>
  <si>
    <t>100-20-08-0878</t>
  </si>
  <si>
    <t>2020-136</t>
  </si>
  <si>
    <t>100-20-08-0876</t>
  </si>
  <si>
    <t>100-20-07-0828</t>
  </si>
  <si>
    <t>2020-ADM-08-002</t>
  </si>
  <si>
    <t>SMB-20I050-0807</t>
  </si>
  <si>
    <t>ADS-1863-20</t>
  </si>
  <si>
    <t>100-20-05-0560</t>
  </si>
  <si>
    <t>100-20-08-0850</t>
  </si>
  <si>
    <t>20EB0144</t>
  </si>
  <si>
    <t>ADS-1864-20</t>
  </si>
  <si>
    <t>SMB-20G013-0807</t>
  </si>
  <si>
    <t>20EB0145</t>
  </si>
  <si>
    <t>101-8918-08-25-2020</t>
  </si>
  <si>
    <t>20EB0143</t>
  </si>
  <si>
    <t>2020-082-20-24</t>
  </si>
  <si>
    <t>19FA0099</t>
  </si>
  <si>
    <t>20CSNC0005</t>
  </si>
  <si>
    <t>CNSCPLAGIARISM2020</t>
  </si>
  <si>
    <t>PR#2020-08-070</t>
  </si>
  <si>
    <t>101-8911-08-24-2020</t>
  </si>
  <si>
    <t>200-20-08-0875</t>
  </si>
  <si>
    <t>ITB INFRA-034-2020</t>
  </si>
  <si>
    <t>CW-BKVC-2020-04</t>
  </si>
  <si>
    <t>200-20-08-0881</t>
  </si>
  <si>
    <t>2020-138</t>
  </si>
  <si>
    <t>SMB-20G011-0807</t>
  </si>
  <si>
    <t>CW-BKVC-2020-03</t>
  </si>
  <si>
    <t>2020-08-184</t>
  </si>
  <si>
    <t>2008-0723-SFP</t>
  </si>
  <si>
    <t>2008-0722-SFP</t>
  </si>
  <si>
    <t>SMB-20G012-0807</t>
  </si>
  <si>
    <t>2008-0719-SFP</t>
  </si>
  <si>
    <t>2020-PB-033</t>
  </si>
  <si>
    <t>GOODS-PB-2020-007</t>
  </si>
  <si>
    <t>20IE0118</t>
  </si>
  <si>
    <t>2020-025R</t>
  </si>
  <si>
    <t>2020-024R</t>
  </si>
  <si>
    <t>2020-139</t>
  </si>
  <si>
    <t>2020-023R</t>
  </si>
  <si>
    <t>20GSDG0028</t>
  </si>
  <si>
    <t>2020-08-195</t>
  </si>
  <si>
    <t>20IE0117</t>
  </si>
  <si>
    <t>2020-08-192</t>
  </si>
  <si>
    <t>2020-08-196</t>
  </si>
  <si>
    <t>2020-08-193</t>
  </si>
  <si>
    <t>ITB No. 2020-034</t>
  </si>
  <si>
    <t>ITB No. 2020-033</t>
  </si>
  <si>
    <t>2020-07-0010</t>
  </si>
  <si>
    <t>2020-07-0011</t>
  </si>
  <si>
    <t>2020-07-0008</t>
  </si>
  <si>
    <t>INF 2020-08-12</t>
  </si>
  <si>
    <t>2020-07-009</t>
  </si>
  <si>
    <t>ITB No. 2020-035</t>
  </si>
  <si>
    <t>INF 2020-08-10</t>
  </si>
  <si>
    <t>CY2020-GOODS-007</t>
  </si>
  <si>
    <t>BTG3-2020-0223</t>
  </si>
  <si>
    <t>BTG3-2020-0221</t>
  </si>
  <si>
    <t>RO4 20-273A</t>
  </si>
  <si>
    <t>ITB No. 2020-036</t>
  </si>
  <si>
    <t>BTG3-2020-0222</t>
  </si>
  <si>
    <t>INF 2020-08-11</t>
  </si>
  <si>
    <t>20GEB0057</t>
  </si>
  <si>
    <t>2020-08-194</t>
  </si>
  <si>
    <t>2020-082-20-29</t>
  </si>
  <si>
    <t>RO4 20-274</t>
  </si>
  <si>
    <t>2020-082-20-28</t>
  </si>
  <si>
    <t>DA7-2020-08-ILD-20-3132</t>
  </si>
  <si>
    <t>KB-IP-GOODS-2020-02</t>
  </si>
  <si>
    <t>AGR-19-1176-B</t>
  </si>
  <si>
    <t>2020-082-20-27</t>
  </si>
  <si>
    <t>2020-082-20-26</t>
  </si>
  <si>
    <t>CW2020-32</t>
  </si>
  <si>
    <t>DV -2020-G14</t>
  </si>
  <si>
    <t>2020-082-20-34</t>
  </si>
  <si>
    <t>031-20</t>
  </si>
  <si>
    <t>PB-GOODS-SEPTEMBER 08, 2020-01</t>
  </si>
  <si>
    <t>2020-PB-030</t>
  </si>
  <si>
    <t>PB-2019-B-01</t>
  </si>
  <si>
    <t>333</t>
  </si>
  <si>
    <t>PR# 20-08-0329</t>
  </si>
  <si>
    <t>2020-082-20-25</t>
  </si>
  <si>
    <t>2020-082-20-31</t>
  </si>
  <si>
    <t>2020-082-20-33</t>
  </si>
  <si>
    <t>19B00062</t>
  </si>
  <si>
    <t>2020-082-20-30</t>
  </si>
  <si>
    <t>2020-PB-031</t>
  </si>
  <si>
    <t>20GEB0073</t>
  </si>
  <si>
    <t>ITB No. 2020-041</t>
  </si>
  <si>
    <t>RFQ-2020-08-054</t>
  </si>
  <si>
    <t>200-20-08-0874</t>
  </si>
  <si>
    <t>ITB No. 2020-039</t>
  </si>
  <si>
    <t>ITB-2020-09</t>
  </si>
  <si>
    <t>2020-08-0907 TDG</t>
  </si>
  <si>
    <t>2020-082-20-32</t>
  </si>
  <si>
    <t>B2 PEO 300-20-08-10035</t>
  </si>
  <si>
    <t>IB No. 2020-029-I</t>
  </si>
  <si>
    <t>B2 PEO 300-20-08-10036</t>
  </si>
  <si>
    <t>034-20</t>
  </si>
  <si>
    <t>DA7-2020-08-R&amp;D-20-3066</t>
  </si>
  <si>
    <t>PR No. 2020-08-009</t>
  </si>
  <si>
    <t>DA7-2020-08-R&amp;D-20-3064</t>
  </si>
  <si>
    <t>ITB No. 2020-040</t>
  </si>
  <si>
    <t>2020-G-53</t>
  </si>
  <si>
    <t>ITB No. 2020-038</t>
  </si>
  <si>
    <t>033-20</t>
  </si>
  <si>
    <t>2020-08-0661</t>
  </si>
  <si>
    <t>2020-08-011 (Re-bid)</t>
  </si>
  <si>
    <t>B2 PEO 300-20-08-10029</t>
  </si>
  <si>
    <t>ITB No. 08-INFRA-2020</t>
  </si>
  <si>
    <t>2020-08-0318</t>
  </si>
  <si>
    <t>2020-08-0475</t>
  </si>
  <si>
    <t>306489</t>
  </si>
  <si>
    <t>ADS-0732-20</t>
  </si>
  <si>
    <t>BAC-ITIO GS No. 2020-0084 dated 10 August 2020</t>
  </si>
  <si>
    <t>pal-20-08-024</t>
  </si>
  <si>
    <t>PB No. 2020-004</t>
  </si>
  <si>
    <t>itb08172020</t>
  </si>
  <si>
    <t>008-2020-I</t>
  </si>
  <si>
    <t>20GLH00020 - (P.R. 2020-08-049 dated 08/10/2020)</t>
  </si>
  <si>
    <t>salbac 2020 33</t>
  </si>
  <si>
    <t>036-20</t>
  </si>
  <si>
    <t>Mkna-GSO-20-340</t>
  </si>
  <si>
    <t>B2 SB1 PEO19 300-20-08-09854</t>
  </si>
  <si>
    <t>2020-082-20-36</t>
  </si>
  <si>
    <t>INFRA-13-20-04</t>
  </si>
  <si>
    <t>2020-06-0550</t>
  </si>
  <si>
    <t>2020-082-20-35</t>
  </si>
  <si>
    <t>B2 PEO 300-20-08-10031</t>
  </si>
  <si>
    <t>2020-08-0373</t>
  </si>
  <si>
    <t>GD-PB-2020-08-0345</t>
  </si>
  <si>
    <t>DV -2020-G22</t>
  </si>
  <si>
    <t>RFQ - 2020-08-056</t>
  </si>
  <si>
    <t>B2 SB2 POP19 300-20-03-02966</t>
  </si>
  <si>
    <t>ADS-1801-20</t>
  </si>
  <si>
    <t>ADS-1927-20</t>
  </si>
  <si>
    <t>MEO-INFRA-CONT'.LEGISLATIVE BLDG.-1PB</t>
  </si>
  <si>
    <t>RCJ2020-008</t>
  </si>
  <si>
    <t>ITB - 01 AUGUST 2020</t>
  </si>
  <si>
    <t>2020-0817-1</t>
  </si>
  <si>
    <t>LUT-GOODS-08-001-2020</t>
  </si>
  <si>
    <t>2020-08-0384</t>
  </si>
  <si>
    <t>20FL0088</t>
  </si>
  <si>
    <t>GD-PB-2020-08-0346</t>
  </si>
  <si>
    <t>DA7-2020-08-AMIA-20-3089</t>
  </si>
  <si>
    <t>SB4 PDRRMO 200-20-06-07780</t>
  </si>
  <si>
    <t>WDP 200-20-06-07623</t>
  </si>
  <si>
    <t>DV -2020-G20</t>
  </si>
  <si>
    <t>LGU-AL-G-24-2020</t>
  </si>
  <si>
    <t>ITB 2020-027</t>
  </si>
  <si>
    <t>04-267-2020</t>
  </si>
  <si>
    <t>SB4 WDP 200-20-07-09104</t>
  </si>
  <si>
    <t>RFQ.2020-012</t>
  </si>
  <si>
    <t>00041-20-0603-0239</t>
  </si>
  <si>
    <t>PR082000657</t>
  </si>
  <si>
    <t>ICTMU-2020-08-0318</t>
  </si>
  <si>
    <t>ITB 2020-028</t>
  </si>
  <si>
    <t>M-13-20</t>
  </si>
  <si>
    <t>2020-09-026</t>
  </si>
  <si>
    <t>2020-082-20-37</t>
  </si>
  <si>
    <t>2020-082-20-38</t>
  </si>
  <si>
    <t>2020-082-20-39</t>
  </si>
  <si>
    <t>Supplies 317-2020</t>
  </si>
  <si>
    <t>2020-019-smb</t>
  </si>
  <si>
    <t>ITB 20-004</t>
  </si>
  <si>
    <t>2020-082-20-40</t>
  </si>
  <si>
    <t>B2 SB2 POP19 300-20-03-02965</t>
  </si>
  <si>
    <t>Supplies 319-2020</t>
  </si>
  <si>
    <t>20-00055</t>
  </si>
  <si>
    <t>blgupoblacion-2019</t>
  </si>
  <si>
    <t>Supplies 318-2020</t>
  </si>
  <si>
    <t>DA7-2020-08-AMIA-20-3085</t>
  </si>
  <si>
    <t>2020-0817-4</t>
  </si>
  <si>
    <t>2020-0817-5</t>
  </si>
  <si>
    <t>20-08-011</t>
  </si>
  <si>
    <t>2020-0817-3</t>
  </si>
  <si>
    <t>2020-0817-2</t>
  </si>
  <si>
    <t>20HJ0125</t>
  </si>
  <si>
    <t>B2 PEO 300-20-08-10037</t>
  </si>
  <si>
    <t>2020-112</t>
  </si>
  <si>
    <t>ITB No. 2020-037</t>
  </si>
  <si>
    <t>BQ-Infra-2020-023</t>
  </si>
  <si>
    <t>TIN-2020-03</t>
  </si>
  <si>
    <t>032-20</t>
  </si>
  <si>
    <t>BQ-Infra-2020-006</t>
  </si>
  <si>
    <t>2020-08-0184</t>
  </si>
  <si>
    <t>2020-08-010 (Re-bid)</t>
  </si>
  <si>
    <t>2020-0817-9</t>
  </si>
  <si>
    <t>2020-08-0910 TDG</t>
  </si>
  <si>
    <t>ITB No. 2020-04-027 SG RE-BID</t>
  </si>
  <si>
    <t>ADS-1803-20</t>
  </si>
  <si>
    <t>SJ-20-225</t>
  </si>
  <si>
    <t>2020-082-20-43</t>
  </si>
  <si>
    <t>2020-0817-8</t>
  </si>
  <si>
    <t>2020-14-042-INFRA</t>
  </si>
  <si>
    <t>20FL0089</t>
  </si>
  <si>
    <t>2020-0817-7</t>
  </si>
  <si>
    <t>DV -2020-G21</t>
  </si>
  <si>
    <t>2020-14-041-INFRA</t>
  </si>
  <si>
    <t>2020-08-36</t>
  </si>
  <si>
    <t>2020-0817-6</t>
  </si>
  <si>
    <t>035-20</t>
  </si>
  <si>
    <t>2020-082-20-42</t>
  </si>
  <si>
    <t>GOODS 2020-36</t>
  </si>
  <si>
    <t>2020-08-0187</t>
  </si>
  <si>
    <t>M-20-27</t>
  </si>
  <si>
    <t>2020-082-19-41</t>
  </si>
  <si>
    <t>SJ-20-226</t>
  </si>
  <si>
    <t>SF-20-16</t>
  </si>
  <si>
    <t>DV -2020-G15</t>
  </si>
  <si>
    <t>2020-POBLACION-049</t>
  </si>
  <si>
    <t>2020-0817-11</t>
  </si>
  <si>
    <t>BLGU-AL-ALANGILAN-01-2020</t>
  </si>
  <si>
    <t>2020-082-20-45</t>
  </si>
  <si>
    <t>2020-082-20-44</t>
  </si>
  <si>
    <t>BQ-Infra-2020-005</t>
  </si>
  <si>
    <t>BAC -2020-08-08</t>
  </si>
  <si>
    <t>2020-08-190</t>
  </si>
  <si>
    <t>2020-08-189</t>
  </si>
  <si>
    <t>GOODS-PB-2020-008</t>
  </si>
  <si>
    <t>2020-08-187</t>
  </si>
  <si>
    <t>2020-08-185</t>
  </si>
  <si>
    <t>2020-0817-10</t>
  </si>
  <si>
    <t>2008-0718-SFP</t>
  </si>
  <si>
    <t>PR # 100-2020-08-0016</t>
  </si>
  <si>
    <t>ANHSM 2020-08-001</t>
  </si>
  <si>
    <t>PGL 20-110</t>
  </si>
  <si>
    <t>2020-GOODS-357</t>
  </si>
  <si>
    <t>PR-2020-7611-0046</t>
  </si>
  <si>
    <t>M-14-20</t>
  </si>
  <si>
    <t>ITB NO 20-015</t>
  </si>
  <si>
    <t>20CSNC0008</t>
  </si>
  <si>
    <t>20CSNC0006</t>
  </si>
  <si>
    <t>2020-08-186</t>
  </si>
  <si>
    <t>081820-H09</t>
  </si>
  <si>
    <t>100-2020-07-845</t>
  </si>
  <si>
    <t>20CSNC0007</t>
  </si>
  <si>
    <t>S3-LGY20-019</t>
  </si>
  <si>
    <t>MAFAR-08-166-2020</t>
  </si>
  <si>
    <t>20CSNC0009</t>
  </si>
  <si>
    <t>ITB NO. SV20-08-005ANG PROCUREMENT OF SERVICE PROV</t>
  </si>
  <si>
    <t>20-31</t>
  </si>
  <si>
    <t>PR No. 1000033479 - Supply and Delivery of Automat</t>
  </si>
  <si>
    <t>PGL 20-109</t>
  </si>
  <si>
    <t>BLGU Sisimon 2020-003</t>
  </si>
  <si>
    <t>G42-2020</t>
  </si>
  <si>
    <t>2020-276</t>
  </si>
  <si>
    <t>MG-TSE20-032...REHAB/REPAIR OF VARIOUS DEFECTIVE V</t>
  </si>
  <si>
    <t>2020-080-Cantuod</t>
  </si>
  <si>
    <t>BFPX 2020-08</t>
  </si>
  <si>
    <t>MH-INFRA-BULWANGAN-MPC-2020060</t>
  </si>
  <si>
    <t>DA7-2020-08-HALAL-20-2849</t>
  </si>
  <si>
    <t>Infra-20-002</t>
  </si>
  <si>
    <t>RNS-2020-08-016</t>
  </si>
  <si>
    <t>Aklan BAC ITB 458 Series of 2020</t>
  </si>
  <si>
    <t>038-20</t>
  </si>
  <si>
    <t>MG-CEN20-001..RADIAL DRILL, 2500MM</t>
  </si>
  <si>
    <t>CID NO. 20IF0143</t>
  </si>
  <si>
    <t>CID NO. 20IF0144</t>
  </si>
  <si>
    <t>RFQ - 2020-08-058</t>
  </si>
  <si>
    <t>2020-POBLACION-050</t>
  </si>
  <si>
    <t>LGU-SIN-2020-08-224</t>
  </si>
  <si>
    <t>2020-363</t>
  </si>
  <si>
    <t>00</t>
  </si>
  <si>
    <t>GOODSZAM-2020-008</t>
  </si>
  <si>
    <t>RNS-2020-08-015</t>
  </si>
  <si>
    <t>PSHSCLC_TAKEOVERASTBP1REBID</t>
  </si>
  <si>
    <t>2020-377</t>
  </si>
  <si>
    <t>RFQ - 2020-08-057</t>
  </si>
  <si>
    <t>RNS-2020-08-017</t>
  </si>
  <si>
    <t>GOODS 2020-40</t>
  </si>
  <si>
    <t>SJ-20-227</t>
  </si>
  <si>
    <t>Invitation to Bid 12-2020</t>
  </si>
  <si>
    <t>2020-03-0185</t>
  </si>
  <si>
    <t>B-ITB-31-2020-I</t>
  </si>
  <si>
    <t>100(18)20-07-396(O)</t>
  </si>
  <si>
    <t>Infra-20-003</t>
  </si>
  <si>
    <t>Aklan BAC ITB 459 Series of 2020</t>
  </si>
  <si>
    <t>RB-16-2020-M</t>
  </si>
  <si>
    <t>MG-A5M20-090..CONVEYOR</t>
  </si>
  <si>
    <t>039-20</t>
  </si>
  <si>
    <t>MH-INFRA-MEO-CEMETERY-NICHES-1038</t>
  </si>
  <si>
    <t>MMIPII-S-2020-02</t>
  </si>
  <si>
    <t>02</t>
  </si>
  <si>
    <t>2020-POBLACION-051</t>
  </si>
  <si>
    <t>No. 01-2020</t>
  </si>
  <si>
    <t>00044-20-0526-0232</t>
  </si>
  <si>
    <t>2020-0817-12</t>
  </si>
  <si>
    <t>PB-INFRA-SEPTEMBER 08, 2020-01</t>
  </si>
  <si>
    <t>Infra-20-004</t>
  </si>
  <si>
    <t>GLQ-2020-1.3</t>
  </si>
  <si>
    <t>ITB 2020-0023</t>
  </si>
  <si>
    <t>2020-07-0310</t>
  </si>
  <si>
    <t>300(18)20-08-474(A)</t>
  </si>
  <si>
    <t>20-08-28</t>
  </si>
  <si>
    <t>BoxCulvertBaito</t>
  </si>
  <si>
    <t>PB-INFRA-SEPTEMBER 08, 2020-02</t>
  </si>
  <si>
    <t>LGUPROC 2020 - 177B</t>
  </si>
  <si>
    <t>Goods-ETG -20-08-016</t>
  </si>
  <si>
    <t>Infra-20-005</t>
  </si>
  <si>
    <t>2020-22</t>
  </si>
  <si>
    <t>IB NO. 2020-09-09 (11) Goods</t>
  </si>
  <si>
    <t>2020-APP-BOOKS-NCSM-001-NEGO</t>
  </si>
  <si>
    <t>2020-POBLACION-052</t>
  </si>
  <si>
    <t>2020-08-0386</t>
  </si>
  <si>
    <t>20-355</t>
  </si>
  <si>
    <t>08-17-20</t>
  </si>
  <si>
    <t>Goods-ETG -20-08-017</t>
  </si>
  <si>
    <t>LGUPROC 2020 -178B</t>
  </si>
  <si>
    <t>DV-2020-I14</t>
  </si>
  <si>
    <t>20-002</t>
  </si>
  <si>
    <t>ITB 2020-0024</t>
  </si>
  <si>
    <t>PR20-08-056</t>
  </si>
  <si>
    <t>9-aballa-2020</t>
  </si>
  <si>
    <t>MH-INFRA-MEO-ROAD-REHABILITATION-865</t>
  </si>
  <si>
    <t>IB. NO. K-2020-095(SC)</t>
  </si>
  <si>
    <t>Infra-20-007</t>
  </si>
  <si>
    <t>IB. NO. K-2020-096(SC)</t>
  </si>
  <si>
    <t>081720</t>
  </si>
  <si>
    <t>LGUPROC 2020 - 180B</t>
  </si>
  <si>
    <t>IB. NO. K-2020-093(SC)</t>
  </si>
  <si>
    <t>Infra-20-006</t>
  </si>
  <si>
    <t>INFRA 2020-52</t>
  </si>
  <si>
    <t>LGUPROC 2020 - 183B</t>
  </si>
  <si>
    <t>INFRA 2020-54</t>
  </si>
  <si>
    <t>04-2020</t>
  </si>
  <si>
    <t>2020 - 06</t>
  </si>
  <si>
    <t>PBG-2020-33</t>
  </si>
  <si>
    <t>INFRA 2020-53</t>
  </si>
  <si>
    <t>DV-2020-I13</t>
  </si>
  <si>
    <t>2020-POBLACION-053</t>
  </si>
  <si>
    <t>IB. NO. K-2020-098(SC)</t>
  </si>
  <si>
    <t>BAC 2020-E02 REBIDDING</t>
  </si>
  <si>
    <t>LGUPROC 2020 - 176B</t>
  </si>
  <si>
    <t>DM-BAC-2020-0075</t>
  </si>
  <si>
    <t>PB-2020-G-10</t>
  </si>
  <si>
    <t>LGUPROC 2020 -158B</t>
  </si>
  <si>
    <t>2020-08-65-20DF20 (INFRA)</t>
  </si>
  <si>
    <t>PR No.  	:	20-VII-03</t>
  </si>
  <si>
    <t>Goods-20-017</t>
  </si>
  <si>
    <t>INFRA 2020-55</t>
  </si>
  <si>
    <t>IB. NO. K-2020-097(SC)</t>
  </si>
  <si>
    <t>Aklan BAC ITB 501 Series of 2020</t>
  </si>
  <si>
    <t>ITB No. 2020-08-009</t>
  </si>
  <si>
    <t>2020-POBLACION-054</t>
  </si>
  <si>
    <t>LGUPROC 2020 - 182B</t>
  </si>
  <si>
    <t>2008-0697-SFP</t>
  </si>
  <si>
    <t>INFRA 2020-05</t>
  </si>
  <si>
    <t>2020-08-72-CMGP20 (INFRA)</t>
  </si>
  <si>
    <t>SF-20-17</t>
  </si>
  <si>
    <t>2008-0698-SFP</t>
  </si>
  <si>
    <t>LGYPROC 2020 - 181B</t>
  </si>
  <si>
    <t>ITB NO. 20-082</t>
  </si>
  <si>
    <t>INFRA 2020-15</t>
  </si>
  <si>
    <t>LGUPROC 2020 - 187B</t>
  </si>
  <si>
    <t>DAPA-093-2020</t>
  </si>
  <si>
    <t>2020-MACALIBRE-01</t>
  </si>
  <si>
    <t>20NA0077</t>
  </si>
  <si>
    <t>LGUPROC 2020 - 184B</t>
  </si>
  <si>
    <t>08-18-2020-01</t>
  </si>
  <si>
    <t>DOJPPAXII-20-08-11</t>
  </si>
  <si>
    <t>ITB2020-08-01</t>
  </si>
  <si>
    <t>20GDE0002</t>
  </si>
  <si>
    <t>2020-38</t>
  </si>
  <si>
    <t>20GGJ0063</t>
  </si>
  <si>
    <t>DAPA-092-2020</t>
  </si>
  <si>
    <t>Goods-20-016</t>
  </si>
  <si>
    <t>ADS-1335-20</t>
  </si>
  <si>
    <t>SJ-20-232</t>
  </si>
  <si>
    <t>ITB NO. PRO IX 2020 - 004 (OFFICE EQUIPMENT-REBIDD</t>
  </si>
  <si>
    <t>cabusao-2020-018</t>
  </si>
  <si>
    <t>2020-08-17-01</t>
  </si>
  <si>
    <t>2020-003-IPIL</t>
  </si>
  <si>
    <t>20GGJ0062</t>
  </si>
  <si>
    <t>INFRA 2020-57</t>
  </si>
  <si>
    <t>AREA V- 2020-SVP-040</t>
  </si>
  <si>
    <t>20-08-3182</t>
  </si>
  <si>
    <t>LGUPROC 2020 - 189B</t>
  </si>
  <si>
    <t>CBSUA-SIP-GOODS-09-2020</t>
  </si>
  <si>
    <t>2020-40</t>
  </si>
  <si>
    <t>2008-0696-SFP</t>
  </si>
  <si>
    <t>PROCUREMENT OF VARIOUS OFFICE SUPPLIES (1st and 2n</t>
  </si>
  <si>
    <t>1011-20-08-16</t>
  </si>
  <si>
    <t>RFQ-INF-2020-038</t>
  </si>
  <si>
    <t>08-01 (08-063-20)</t>
  </si>
  <si>
    <t>20-08-3181</t>
  </si>
  <si>
    <t>LGUPROC 2020 - 188B</t>
  </si>
  <si>
    <t>100-202007-01079</t>
  </si>
  <si>
    <t>LGUPROC 2020 - 191B</t>
  </si>
  <si>
    <t>INFRA 2020-56</t>
  </si>
  <si>
    <t>2008-0695-SFP</t>
  </si>
  <si>
    <t>ITB - 02 AUGUST 2020</t>
  </si>
  <si>
    <t>PB-G-2020-008</t>
  </si>
  <si>
    <t>1914,1756</t>
  </si>
  <si>
    <t>20DJ0108</t>
  </si>
  <si>
    <t>2020-42</t>
  </si>
  <si>
    <t>08-01094</t>
  </si>
  <si>
    <t>DAPA-095-2020</t>
  </si>
  <si>
    <t>LGUPROC 2020 - 193B</t>
  </si>
  <si>
    <t>PB-G-2020-010</t>
  </si>
  <si>
    <t>DAPA-094-2020</t>
  </si>
  <si>
    <t>CENTROWEST-002</t>
  </si>
  <si>
    <t>LGU-ROX-CWC-25-2020</t>
  </si>
  <si>
    <t>INFRA 2020-58</t>
  </si>
  <si>
    <t>consulting services 001-2020</t>
  </si>
  <si>
    <t>LGUPROC 2020 - 186B</t>
  </si>
  <si>
    <t>Calaca 2020-063</t>
  </si>
  <si>
    <t>2008-0694-SFP</t>
  </si>
  <si>
    <t>2008-0689-SFP</t>
  </si>
  <si>
    <t>30-31</t>
  </si>
  <si>
    <t>MEO-2020-08-17-001</t>
  </si>
  <si>
    <t>PB-G-2020-009</t>
  </si>
  <si>
    <t>DA8-Goods-2020-52 (PR No. CORN 20-08-14-0232)</t>
  </si>
  <si>
    <t>2020-08-107</t>
  </si>
  <si>
    <t>2020-PBG-65</t>
  </si>
  <si>
    <t>ITB No. 20-080  ONE (1) LOT SUPPLY, DELIVERY, INST</t>
  </si>
  <si>
    <t>2008-0692-SFP</t>
  </si>
  <si>
    <t>LES-20-039 to 055</t>
  </si>
  <si>
    <t>MBO-012A-2020,ACCTG-019A-2020</t>
  </si>
  <si>
    <t>RFQ NO. 20-08-211</t>
  </si>
  <si>
    <t>CWD-08-2020-Infra01</t>
  </si>
  <si>
    <t>CATCAM-2020-27</t>
  </si>
  <si>
    <t>08172020</t>
  </si>
  <si>
    <t>SUPPLY AND DELIVERY OF VARIOUS SIZES CI SADDLE CLA</t>
  </si>
  <si>
    <t>FB20-03-006CORa-8</t>
  </si>
  <si>
    <t>2020-08-204</t>
  </si>
  <si>
    <t>GPG-B1-2020-440-CONSULTING SERVICES FOR A FULL BUI</t>
  </si>
  <si>
    <t>LGU-ROX-CWC-27-2020</t>
  </si>
  <si>
    <t>TAL-09-05-2020</t>
  </si>
  <si>
    <t>2020-PBG-64</t>
  </si>
  <si>
    <t>2008-0690-SFP</t>
  </si>
  <si>
    <t>2020-POBLACION-055</t>
  </si>
  <si>
    <t>RFQ No. 20-08-210</t>
  </si>
  <si>
    <t>1738</t>
  </si>
  <si>
    <t>0820-012</t>
  </si>
  <si>
    <t>cabusao-2020-019</t>
  </si>
  <si>
    <t>20NA0078</t>
  </si>
  <si>
    <t>DPWH-SK2DEO-20MH0114</t>
  </si>
  <si>
    <t>'031</t>
  </si>
  <si>
    <t>blgumabini-2019</t>
  </si>
  <si>
    <t>TAL-09-04-2020</t>
  </si>
  <si>
    <t>CB(B)-20-034(CMO-ICDRRMO)</t>
  </si>
  <si>
    <t>MP-081720-079</t>
  </si>
  <si>
    <t>2020-07-0853 and 2020-07-0854</t>
  </si>
  <si>
    <t>2020-02-133</t>
  </si>
  <si>
    <t>Calaca 2020-064</t>
  </si>
  <si>
    <t>DPWH-SK2DEO-20MH0113</t>
  </si>
  <si>
    <t>RFQ - 2020-08-061</t>
  </si>
  <si>
    <t>'030</t>
  </si>
  <si>
    <t>BARANGAY UTANAN</t>
  </si>
  <si>
    <t>LGUPROC 2020 - 194B</t>
  </si>
  <si>
    <t>ITB - 03 AUGUST 2020</t>
  </si>
  <si>
    <t>LGU-ROX-CWC-26-2020</t>
  </si>
  <si>
    <t>MH-GOODS-MO-MULTI-PURPOSE-TRUCK-2099</t>
  </si>
  <si>
    <t>GOODS-2020-173</t>
  </si>
  <si>
    <t>2020-469</t>
  </si>
  <si>
    <t>DPWH-SK2DEO-20MH0118</t>
  </si>
  <si>
    <t>RFQ 2020-02F</t>
  </si>
  <si>
    <t>S1-BAS20-012</t>
  </si>
  <si>
    <t>gas-2003-slmslot1</t>
  </si>
  <si>
    <t>PR0126-20 + 0127-20 PEO</t>
  </si>
  <si>
    <t>Calaca 2020-065</t>
  </si>
  <si>
    <t>2020-468</t>
  </si>
  <si>
    <t>DPWH-SK2DEO-20MH0117</t>
  </si>
  <si>
    <t>2020 Caib 151</t>
  </si>
  <si>
    <t>CATCAM-2020-28</t>
  </si>
  <si>
    <t>DPWH-SK2DEO-20MH0119</t>
  </si>
  <si>
    <t>gas-2003-slmslot4</t>
  </si>
  <si>
    <t>LGUPROX 2020 - 192B</t>
  </si>
  <si>
    <t>DPWH-SK2DEO-20MH0116</t>
  </si>
  <si>
    <t>2020-471</t>
  </si>
  <si>
    <t>BAC-HO GS No. 2020-0493 and 0494</t>
  </si>
  <si>
    <t>pal-20-08-025</t>
  </si>
  <si>
    <t>ITB No. 20-079  ONE (1) LOT SUPPLY AND DELIVERY OF</t>
  </si>
  <si>
    <t>gas-2003-slmslot3</t>
  </si>
  <si>
    <t>2008-0688-SFP</t>
  </si>
  <si>
    <t>2020-470</t>
  </si>
  <si>
    <t>GOODS-2020-174</t>
  </si>
  <si>
    <t>Calaca 2020-066</t>
  </si>
  <si>
    <t>DPWH-SK2DEO-20MH0120</t>
  </si>
  <si>
    <t>LGUPROC 2020 - 196N</t>
  </si>
  <si>
    <t>LGUPROC 2020 -195B</t>
  </si>
  <si>
    <t>2008-0691-SFP</t>
  </si>
  <si>
    <t>S1-OMS20-002</t>
  </si>
  <si>
    <t>GOODS-20-43</t>
  </si>
  <si>
    <t>2020-04-2131</t>
  </si>
  <si>
    <t>1-08172020</t>
  </si>
  <si>
    <t>ITB - 04 AUGUST 2020</t>
  </si>
  <si>
    <t>Calaca 2020-067</t>
  </si>
  <si>
    <t>BAC-PG-00196-20</t>
  </si>
  <si>
    <t>CATCAM-2020-30</t>
  </si>
  <si>
    <t>CSFLU-GOODS-001-2020</t>
  </si>
  <si>
    <t>BAC-PG-00198-20</t>
  </si>
  <si>
    <t>UPLB-S-051-09-20</t>
  </si>
  <si>
    <t>BAC-PG-00197-20</t>
  </si>
  <si>
    <t>09-200</t>
  </si>
  <si>
    <t>rebidtruckscale</t>
  </si>
  <si>
    <t>2020-08-3040</t>
  </si>
  <si>
    <t>Calaca 2020-070</t>
  </si>
  <si>
    <t>CATCAM-2020-31</t>
  </si>
  <si>
    <t>CATCAM-2020-29</t>
  </si>
  <si>
    <t>20DJ0109</t>
  </si>
  <si>
    <t>Calaca 2020-069</t>
  </si>
  <si>
    <t>Goods 0051-2020</t>
  </si>
  <si>
    <t>2020-06-2661</t>
  </si>
  <si>
    <t>ITB - 05 AUGUST 2020</t>
  </si>
  <si>
    <t>Goods 0049-2020</t>
  </si>
  <si>
    <t>LGU-2020-193</t>
  </si>
  <si>
    <t>2020-PBINFRA-08-008</t>
  </si>
  <si>
    <t>LGU-2020-194</t>
  </si>
  <si>
    <t>Goods 0050-2020</t>
  </si>
  <si>
    <t>20HD0100</t>
  </si>
  <si>
    <t>GOODS-2020-178</t>
  </si>
  <si>
    <t>LGU-2020-197</t>
  </si>
  <si>
    <t>2020-03-1593</t>
  </si>
  <si>
    <t>GOODS-2020-179</t>
  </si>
  <si>
    <t>BAC 2020-022</t>
  </si>
  <si>
    <t>NCB Publication No. 2020- 34</t>
  </si>
  <si>
    <t>GOODS-2020-176</t>
  </si>
  <si>
    <t>LGU-2020-196</t>
  </si>
  <si>
    <t>20PD0088</t>
  </si>
  <si>
    <t>gas-2003-slmslot9</t>
  </si>
  <si>
    <t>2020-03-2030</t>
  </si>
  <si>
    <t>Calaca 2020-072</t>
  </si>
  <si>
    <t>gas-2003-slmslot8</t>
  </si>
  <si>
    <t>2020-BULAG-02</t>
  </si>
  <si>
    <t>GOODS-2020-177</t>
  </si>
  <si>
    <t>gas-2003-slmslot7</t>
  </si>
  <si>
    <t>20-2013</t>
  </si>
  <si>
    <t>gas-2003-slmslot6</t>
  </si>
  <si>
    <t>LGU-2020-200</t>
  </si>
  <si>
    <t>20MB0046</t>
  </si>
  <si>
    <t>2020-07-2852</t>
  </si>
  <si>
    <t>04213531</t>
  </si>
  <si>
    <t>2020-06-2516</t>
  </si>
  <si>
    <t>20PD0102</t>
  </si>
  <si>
    <t>2020-04-2179</t>
  </si>
  <si>
    <t>010-2020-017</t>
  </si>
  <si>
    <t>LGU-2020-198</t>
  </si>
  <si>
    <t>GOODS-2020-181</t>
  </si>
  <si>
    <t>LGU-2020-199</t>
  </si>
  <si>
    <t>GOODS-2020-180</t>
  </si>
  <si>
    <t>BAC-PG-00195-20</t>
  </si>
  <si>
    <t>20MB0156</t>
  </si>
  <si>
    <t>19OD0324</t>
  </si>
  <si>
    <t>gas-2003-slmslot15</t>
  </si>
  <si>
    <t>LGU-2020-201</t>
  </si>
  <si>
    <t>LGU-2020-203</t>
  </si>
  <si>
    <t>20MB0138</t>
  </si>
  <si>
    <t>gas-2003-slmslot13</t>
  </si>
  <si>
    <t>CMC GOODS 20-08-008</t>
  </si>
  <si>
    <t>RO4-GOODS-2020-02-A</t>
  </si>
  <si>
    <t>ITB220011</t>
  </si>
  <si>
    <t>2020-SAGNEB-03</t>
  </si>
  <si>
    <t>gas-2003-slmslot12</t>
  </si>
  <si>
    <t>gas-2003-slmslot14</t>
  </si>
  <si>
    <t>gas-2003-slmslot11</t>
  </si>
  <si>
    <t>2020-SAGNEB-04</t>
  </si>
  <si>
    <t>INIMO-2020-08-042</t>
  </si>
  <si>
    <t>2020-08-3060</t>
  </si>
  <si>
    <t>2020-LINGSAT-08</t>
  </si>
  <si>
    <t>20MB0047</t>
  </si>
  <si>
    <t>LGU-2020-202</t>
  </si>
  <si>
    <t>ITB 08-020-2020</t>
  </si>
  <si>
    <t>gas-2003-slmslot21</t>
  </si>
  <si>
    <t>ROSS PR Nos. 1000032416 and 1000033046</t>
  </si>
  <si>
    <t>PROJECT # 20-078</t>
  </si>
  <si>
    <t>gas-2003-slmslot23</t>
  </si>
  <si>
    <t>gas-2003-slmslot22</t>
  </si>
  <si>
    <t>PB-PAFBAC-181-20</t>
  </si>
  <si>
    <t>2020231</t>
  </si>
  <si>
    <t>58</t>
  </si>
  <si>
    <t>PROJECT # 20-032</t>
  </si>
  <si>
    <t>PB-PAFBAC-180-20</t>
  </si>
  <si>
    <t>PROJECT # 20-077</t>
  </si>
  <si>
    <t>PROJECT # 20-065</t>
  </si>
  <si>
    <t>ADS II GOODS-020-04</t>
  </si>
  <si>
    <t>59</t>
  </si>
  <si>
    <t>RFQ2020-08-019 GAA</t>
  </si>
  <si>
    <t>PROJECT # 20-056</t>
  </si>
  <si>
    <t>gas-2003-slmslot20</t>
  </si>
  <si>
    <t>2020230</t>
  </si>
  <si>
    <t>gas-2003-slmslot19</t>
  </si>
  <si>
    <t>PROJECT # 20-064</t>
  </si>
  <si>
    <t>2020232</t>
  </si>
  <si>
    <t>20MB0157</t>
  </si>
  <si>
    <t>RFQ2020-08-018 GAA</t>
  </si>
  <si>
    <t>PB-PAFBAC-186-20</t>
  </si>
  <si>
    <t>PROJECT # 20-037</t>
  </si>
  <si>
    <t>PB-PAFBAC-184-20</t>
  </si>
  <si>
    <t>SA-GS-2020-08-0010</t>
  </si>
  <si>
    <t>2020-PB-046</t>
  </si>
  <si>
    <t>PB-PAFBAC-183-20</t>
  </si>
  <si>
    <t>2020233</t>
  </si>
  <si>
    <t>ENG'G PASBAC 006-20 Supply and Delivery of One (1)</t>
  </si>
  <si>
    <t>ENG'G 007-20 Supply and Delivery of  Four (4) Unit</t>
  </si>
  <si>
    <t>PB-2020-08-015</t>
  </si>
  <si>
    <t>pitogo 2020-08-09</t>
  </si>
  <si>
    <t>2020234</t>
  </si>
  <si>
    <t>pitogo 2020-08-07</t>
  </si>
  <si>
    <t>Pitogo 2020-08-06</t>
  </si>
  <si>
    <t>Bid Reference No.: GPG-B1-2020-395 – REBID -PROCUR</t>
  </si>
  <si>
    <t>Pitogo 2020-08-05</t>
  </si>
  <si>
    <t>gas-2004-slms2</t>
  </si>
  <si>
    <t>pitogo 2020-08-08</t>
  </si>
  <si>
    <t>PB-PAFBAC-187-20</t>
  </si>
  <si>
    <t>07710</t>
  </si>
  <si>
    <t>PB-PAFBAC-185-20</t>
  </si>
  <si>
    <t>20%EDF2020G2</t>
  </si>
  <si>
    <t>BAC-ITIO GS No. 2020-0075 dated 10 August 2020</t>
  </si>
  <si>
    <t>PR0087-20 MOTORPOOL</t>
  </si>
  <si>
    <t>2020LGUMROFDL052</t>
  </si>
  <si>
    <t>2020-GOODS-057</t>
  </si>
  <si>
    <t>ENG'G 008-20 Supply and Delivery of  Seven (7) Uni</t>
  </si>
  <si>
    <t>PR0026-20 ENRO</t>
  </si>
  <si>
    <t>PR0025-20 ENRO</t>
  </si>
  <si>
    <t>PAPC-OACS_HHSG-2020-11370-5374</t>
  </si>
  <si>
    <t>2020-GOODS-055</t>
  </si>
  <si>
    <t>2020LGUMROFDL050</t>
  </si>
  <si>
    <t>2020-GOODS-056</t>
  </si>
  <si>
    <t>EN 200-20-07-08291</t>
  </si>
  <si>
    <t>20%EDF2020G1</t>
  </si>
  <si>
    <t>PR0111-20 VGO</t>
  </si>
  <si>
    <t>13-aballa-2020</t>
  </si>
  <si>
    <t>20GGD0004</t>
  </si>
  <si>
    <t>UPLB-S-052-09-20</t>
  </si>
  <si>
    <t>14-aballa-2020</t>
  </si>
  <si>
    <t>2020-001-AN</t>
  </si>
  <si>
    <t>12-aballa-2020</t>
  </si>
  <si>
    <t>PR0071-20 MotorPool REBID</t>
  </si>
  <si>
    <t>PR0040-20 PVET REBID</t>
  </si>
  <si>
    <t>2020-08-39</t>
  </si>
  <si>
    <t>20GD0115</t>
  </si>
  <si>
    <t>PR0088-20 MOTORPOOL</t>
  </si>
  <si>
    <t>20GD0114</t>
  </si>
  <si>
    <t>2020c-DRRMS(005)-BI-CB-004</t>
  </si>
  <si>
    <t>2020-GOODS-054</t>
  </si>
  <si>
    <t>10-aballa-2020</t>
  </si>
  <si>
    <t>PR0062-20 TOURISM REBID</t>
  </si>
  <si>
    <t>DepEd-OccMdo-2020-02</t>
  </si>
  <si>
    <t>2020032</t>
  </si>
  <si>
    <t>2020-08-40</t>
  </si>
  <si>
    <t>11-aballa-2020</t>
  </si>
  <si>
    <t>388548494</t>
  </si>
  <si>
    <t>ITB No. EMB-GOODS-NCB-2020-0024</t>
  </si>
  <si>
    <t>BQ-Infra-2020-024</t>
  </si>
  <si>
    <t>2020c-BLSS2(001)-BI-CB-003</t>
  </si>
  <si>
    <t>PB-PAFBAC-188-20</t>
  </si>
  <si>
    <t>Matiao - 001-20</t>
  </si>
  <si>
    <t>ITB 06-2020</t>
  </si>
  <si>
    <t>PB-PAFBAC-182-20</t>
  </si>
  <si>
    <t>NIAREG9-08172020-698</t>
  </si>
  <si>
    <t>ITB 05-2020</t>
  </si>
  <si>
    <t>gas-2003-slmslot18</t>
  </si>
  <si>
    <t>PROJECT # 20-080</t>
  </si>
  <si>
    <t>037-08-2020</t>
  </si>
  <si>
    <t>gas-2003-slmslot16</t>
  </si>
  <si>
    <t>PROJECT # 20-015</t>
  </si>
  <si>
    <t>NCB Publication No. 2020- 33</t>
  </si>
  <si>
    <t>gas-2003-slmslot10</t>
  </si>
  <si>
    <t>20MB0158</t>
  </si>
  <si>
    <t>SA-GOODS-2020-08-0008</t>
  </si>
  <si>
    <t>gas-2003-slmslot17</t>
  </si>
  <si>
    <t>PHO-20-0921-B</t>
  </si>
  <si>
    <t>20-25 INFRA</t>
  </si>
  <si>
    <t>2020-LINGSAT-07</t>
  </si>
  <si>
    <t>CONTRACT ID: 19-12 - 273 2ND REBID</t>
  </si>
  <si>
    <t>8000-2-2-16</t>
  </si>
  <si>
    <t>ITB-OVERFLOW BRIDGE-20-08-01</t>
  </si>
  <si>
    <t>2020-391</t>
  </si>
  <si>
    <t>PSU ITB 2008-109</t>
  </si>
  <si>
    <t>Calaca 2020-071</t>
  </si>
  <si>
    <t>INFRA-2020-31</t>
  </si>
  <si>
    <t>CONTRACT ID: 20-08-111</t>
  </si>
  <si>
    <t>17202008073</t>
  </si>
  <si>
    <t>LGU-Sagay-4767</t>
  </si>
  <si>
    <t>2020-08-33</t>
  </si>
  <si>
    <t>ITB No. 2019-11-008</t>
  </si>
  <si>
    <t>BAC 2020-021</t>
  </si>
  <si>
    <t>LGU-2020-195</t>
  </si>
  <si>
    <t>Calaca 2020-068</t>
  </si>
  <si>
    <t>gas-2003-slmslot5</t>
  </si>
  <si>
    <t>LGU-020-192</t>
  </si>
  <si>
    <t>PR0097-20 MOTORPOOL</t>
  </si>
  <si>
    <t>LGU-2020-204</t>
  </si>
  <si>
    <t>BAC-PG-00194-20</t>
  </si>
  <si>
    <t>GOODS-2020-175</t>
  </si>
  <si>
    <t>RFQ 2020-05F</t>
  </si>
  <si>
    <t>8000-2-2-17</t>
  </si>
  <si>
    <t>TAL-08-53-2020</t>
  </si>
  <si>
    <t>2020-PBG-63</t>
  </si>
  <si>
    <t>MP-081720-080</t>
  </si>
  <si>
    <t>19C00092</t>
  </si>
  <si>
    <t>2008-0693-SFP</t>
  </si>
  <si>
    <t>DPWH-SK2DEO-20MH0115</t>
  </si>
  <si>
    <t>20CB-GSC-524 REPAIR OF MOTOR VEHICLE MITSUBISHI GR</t>
  </si>
  <si>
    <t>2020-08-205</t>
  </si>
  <si>
    <t>2020-PBG-61</t>
  </si>
  <si>
    <t>LGUPROC 2020 - 179B</t>
  </si>
  <si>
    <t>20-26 INFRA</t>
  </si>
  <si>
    <t>gas-2003-slmslot2</t>
  </si>
  <si>
    <t>BAC-PG-00185-20</t>
  </si>
  <si>
    <t>20-30 INFRA</t>
  </si>
  <si>
    <t>2020LGU016</t>
  </si>
  <si>
    <t>PB INFRA 20-069</t>
  </si>
  <si>
    <t>DDO-20-5709</t>
  </si>
  <si>
    <t>2020-41</t>
  </si>
  <si>
    <t>6-15-20-ID6</t>
  </si>
  <si>
    <t>20-27 INFRA</t>
  </si>
  <si>
    <t>sj 2020 b sep 003</t>
  </si>
  <si>
    <t>sj 2020 b sep 002</t>
  </si>
  <si>
    <t>PWR-03-017</t>
  </si>
  <si>
    <t>LGUPROC 2020 - 190B</t>
  </si>
  <si>
    <t>20-29 INFRA</t>
  </si>
  <si>
    <t>G-PGO-073-20</t>
  </si>
  <si>
    <t>PB INFRA 20-070</t>
  </si>
  <si>
    <t>20-28 INFRA</t>
  </si>
  <si>
    <t>ITB-2020-08</t>
  </si>
  <si>
    <t>DDO-20-5598</t>
  </si>
  <si>
    <t>2020-AP-08-43</t>
  </si>
  <si>
    <t>ITB No. 2020-08-044</t>
  </si>
  <si>
    <t>ITB-2020-07</t>
  </si>
  <si>
    <t>sj 2020 b sep 004</t>
  </si>
  <si>
    <t>PB20200813-050</t>
  </si>
  <si>
    <t>pmma-IB-13-20</t>
  </si>
  <si>
    <t>ID NO. TPDF-MAL-SDN-11-20</t>
  </si>
  <si>
    <t>20-07-05</t>
  </si>
  <si>
    <t>cal08122020-05</t>
  </si>
  <si>
    <t>GOODS 2020-021</t>
  </si>
  <si>
    <t>B-ITB-49-G-2020</t>
  </si>
  <si>
    <t>SDH-20-0848-B</t>
  </si>
  <si>
    <t>GS-2020-056</t>
  </si>
  <si>
    <t>SDH-20-0978-B</t>
  </si>
  <si>
    <t>SDH-20-0975-B</t>
  </si>
  <si>
    <t>cal08122020-03</t>
  </si>
  <si>
    <t>SDH-20-0977-B</t>
  </si>
  <si>
    <t>ITB No. 115-Infra-2020</t>
  </si>
  <si>
    <t>ITB No. 119-Infra-2020</t>
  </si>
  <si>
    <t>PR NO. 100-8751-20-08-0824</t>
  </si>
  <si>
    <t>SDH-20-0976-B</t>
  </si>
  <si>
    <t>SDH-20-0444-B (RE-BID)</t>
  </si>
  <si>
    <t>DTI8REGRO.20.08118</t>
  </si>
  <si>
    <t>SDH-20-0363-B (RE-BID)</t>
  </si>
  <si>
    <t>SDH-20-0448-B (RE-BID)</t>
  </si>
  <si>
    <t>SDH-20-0273-B (RE-BID)</t>
  </si>
  <si>
    <t>CG-2-86-2020</t>
  </si>
  <si>
    <t>SDH-20-0708-B</t>
  </si>
  <si>
    <t>PB-0820-62</t>
  </si>
  <si>
    <t>2020-20% EDF - 31 - 3000-3-01-011-001-00-16</t>
  </si>
  <si>
    <t>PR-2020-2139</t>
  </si>
  <si>
    <t>PR-2020-1605</t>
  </si>
  <si>
    <t>ITB No. 120-Infra-2020</t>
  </si>
  <si>
    <t>RIZAL-04SEPTEMBER2020-1</t>
  </si>
  <si>
    <t>BG-2020-17</t>
  </si>
  <si>
    <t>PR-2020-2103</t>
  </si>
  <si>
    <t>GOODS-039-2020</t>
  </si>
  <si>
    <t>PR-2020-1293</t>
  </si>
  <si>
    <t>SRBC2020-002</t>
  </si>
  <si>
    <t>2020-GSIS-PB-036</t>
  </si>
  <si>
    <t>PB20200813-051</t>
  </si>
  <si>
    <t>20GIL0055</t>
  </si>
  <si>
    <t>PEO-20-0926-B</t>
  </si>
  <si>
    <t>20-08-045</t>
  </si>
  <si>
    <t>MOP-2020-01</t>
  </si>
  <si>
    <t>Infra-2020-11</t>
  </si>
  <si>
    <t>DA8-Goods-2020-51 (PR No. RICE 20-07-30-0969)</t>
  </si>
  <si>
    <t>2020-407</t>
  </si>
  <si>
    <t>2020-20% EDF - 32 - 3000-3-01-011-001-001-0-2</t>
  </si>
  <si>
    <t>CONTRACT ID: 20-08-112</t>
  </si>
  <si>
    <t>PR-2020-1441</t>
  </si>
  <si>
    <t>20-08-046</t>
  </si>
  <si>
    <t>MOP-2020-02</t>
  </si>
  <si>
    <t>MEO-2020-08-14-001</t>
  </si>
  <si>
    <t>033-2020</t>
  </si>
  <si>
    <t>BG-2020-18</t>
  </si>
  <si>
    <t>GOV-20-0477-B</t>
  </si>
  <si>
    <t>PEO-20-0963-B</t>
  </si>
  <si>
    <t>PEO-20-0961-B</t>
  </si>
  <si>
    <t>LGU-BLU-20-08-067</t>
  </si>
  <si>
    <t>GOV-20-0990-B</t>
  </si>
  <si>
    <t>LGU-BLU-20-08-069</t>
  </si>
  <si>
    <t>LGU-BLU-20-08-066</t>
  </si>
  <si>
    <t>AGR-20-0992-B</t>
  </si>
  <si>
    <t>18-10.A-4</t>
  </si>
  <si>
    <t>LGU-BLU-08-070</t>
  </si>
  <si>
    <t>MOP-2020-03</t>
  </si>
  <si>
    <t>LGU-BLU-20-08-068</t>
  </si>
  <si>
    <t>20KG0100</t>
  </si>
  <si>
    <t>2020-409</t>
  </si>
  <si>
    <t>2020-159</t>
  </si>
  <si>
    <t>20KG0102</t>
  </si>
  <si>
    <t>PR-2020-07-988</t>
  </si>
  <si>
    <t>PR-2020-05-647</t>
  </si>
  <si>
    <t>ITB No. 20-076   RE-BIDDING FOR ONE (1) LOT SUPPLY</t>
  </si>
  <si>
    <t>20KG0101</t>
  </si>
  <si>
    <t>PR-2020-02-211</t>
  </si>
  <si>
    <t>PR11081</t>
  </si>
  <si>
    <t>PPD-20-0957-B</t>
  </si>
  <si>
    <t>AGR-20-0994-B</t>
  </si>
  <si>
    <t>20KG0099</t>
  </si>
  <si>
    <t>2020-408</t>
  </si>
  <si>
    <t>ITB No. (INF) 2020-08-117 CONSTRUCTION OF NEW CAPI</t>
  </si>
  <si>
    <t>PR-2020-07-1003</t>
  </si>
  <si>
    <t>PEO-20-0962-B</t>
  </si>
  <si>
    <t>034-2020</t>
  </si>
  <si>
    <t>AGR-20-0995-B</t>
  </si>
  <si>
    <t>PB-2020-08-002</t>
  </si>
  <si>
    <t>PB-2020-08-001</t>
  </si>
  <si>
    <t>ISPSC-2020-G-K018</t>
  </si>
  <si>
    <t>MUNPINCE-2008-147</t>
  </si>
  <si>
    <t>2020-92 (GAS)</t>
  </si>
  <si>
    <t>PR-2020-07-1004</t>
  </si>
  <si>
    <t>2020-94 (GAS)</t>
  </si>
  <si>
    <t>2020-93 (GAS)</t>
  </si>
  <si>
    <t>np 2020-25 (GAS)</t>
  </si>
  <si>
    <t>BAC-LGU-TADS-2020-17</t>
  </si>
  <si>
    <t>MUNPINCE-2008-148</t>
  </si>
  <si>
    <t>sdn-2020-08-048</t>
  </si>
  <si>
    <t>DO-CSFP-2020-007</t>
  </si>
  <si>
    <t>BAC-LGU-TADS-2020-16</t>
  </si>
  <si>
    <t>16-2020</t>
  </si>
  <si>
    <t>INFRA-2020-16</t>
  </si>
  <si>
    <t>2020-91 (GAS)</t>
  </si>
  <si>
    <t>RIZAL-04SEPTEMBER2020-1a</t>
  </si>
  <si>
    <t>Infra GF 08-2020</t>
  </si>
  <si>
    <t>BAC-HO-GS No. 2020-0369 dated 29 July 2020 (FMED)</t>
  </si>
  <si>
    <t>GOODS-2020-18</t>
  </si>
  <si>
    <t>INFRA-2020-17</t>
  </si>
  <si>
    <t>GOODS-2020-20</t>
  </si>
  <si>
    <t>RIZAL-04SEPTEMBER2020-3</t>
  </si>
  <si>
    <t>GOODS-2020-19</t>
  </si>
  <si>
    <t>INFRA-2020-22</t>
  </si>
  <si>
    <t>RIZAL-04SEPTEMBER2020-2</t>
  </si>
  <si>
    <t>UPLB-NP-IF-001-09-20</t>
  </si>
  <si>
    <t>INFRA-2020-18</t>
  </si>
  <si>
    <t>RIZAL-04SEPTEMBER2020-6</t>
  </si>
  <si>
    <t>RIZAL-04SEPTEMBER2020-4</t>
  </si>
  <si>
    <t>INFRA-2020-20</t>
  </si>
  <si>
    <t>04SEPTEMBER2020-16</t>
  </si>
  <si>
    <t>RIZAL-04SEPTEMBER2020-15</t>
  </si>
  <si>
    <t>RIZAL-04SEPTEMBER2020-13</t>
  </si>
  <si>
    <t>INFRA-2020-21</t>
  </si>
  <si>
    <t>RIZAL-04SEPTEMBER2020-22</t>
  </si>
  <si>
    <t>RIZAL-04SEPTEMBER2020-17</t>
  </si>
  <si>
    <t>RIZAL-04SEPTEMBER2020-14</t>
  </si>
  <si>
    <t>RIZAL-04SEPTEMBER2020-18</t>
  </si>
  <si>
    <t>RIZAL-04SEPTEMBER2020-19</t>
  </si>
  <si>
    <t>RIZAL-04SEPTEMBER2020-12</t>
  </si>
  <si>
    <t>RIZAL-04SEPTEMBER2020-11</t>
  </si>
  <si>
    <t>RIZAL-04SEPTEMBER2020-5</t>
  </si>
  <si>
    <t>RIZAL-04SEPTEMBER2020-10</t>
  </si>
  <si>
    <t>RIZAL-04SEPTEMBER2020-21</t>
  </si>
  <si>
    <t>RIZAL-04SEPTEMBER2020-20</t>
  </si>
  <si>
    <t>RIZAL-04SEPTEMBER2020-7</t>
  </si>
  <si>
    <t>PB - 2020 -13</t>
  </si>
  <si>
    <t>PB - 2020 -12</t>
  </si>
  <si>
    <t>RIZAL-04SEPTEMBER2020-9</t>
  </si>
  <si>
    <t>2020-07-006</t>
  </si>
  <si>
    <t>INFRA-2020-19</t>
  </si>
  <si>
    <t>PB - 2020 -10</t>
  </si>
  <si>
    <t>2020-GOODS-005</t>
  </si>
  <si>
    <t>PB - 2020 -11</t>
  </si>
  <si>
    <t>Lgn1 - 20-DH-0099</t>
  </si>
  <si>
    <t>RIZAL-04SEPTEMBER2020-30</t>
  </si>
  <si>
    <t>RIZAL-04SEPTEMBER2020-29</t>
  </si>
  <si>
    <t>RIZAL-04SEPTEMBER2020-28</t>
  </si>
  <si>
    <t>Cogon-2020-08-001</t>
  </si>
  <si>
    <t>BAL-08-07-2020 Construction of RHU-Birthing Center</t>
  </si>
  <si>
    <t>20PBTNMSC13 - G</t>
  </si>
  <si>
    <t>2020-G005</t>
  </si>
  <si>
    <t>Repair and Maintenance of existing Small Water Imp</t>
  </si>
  <si>
    <t>Lgn1 - 20-DH-0098</t>
  </si>
  <si>
    <t>Supply and Delivery of various Chemicals and Labor</t>
  </si>
  <si>
    <t>2020-CW-027</t>
  </si>
  <si>
    <t>PB - 2020 -14</t>
  </si>
  <si>
    <t>2020-CW-019</t>
  </si>
  <si>
    <t>B-G-2020-118</t>
  </si>
  <si>
    <t>EARIST-2020-BID-010</t>
  </si>
  <si>
    <t>Rehabilitation of BSWM Hitachi Elevators CY 2020 I</t>
  </si>
  <si>
    <t>B-G-2020-120</t>
  </si>
  <si>
    <t>B-G-2020-119</t>
  </si>
  <si>
    <t>BCS-2020-0291</t>
  </si>
  <si>
    <t>BCS-2020-0290</t>
  </si>
  <si>
    <t>Picas-2020-08-001</t>
  </si>
  <si>
    <t>DOC1</t>
  </si>
  <si>
    <t>2020-GSIS-PB-002</t>
  </si>
  <si>
    <t>RIZAL-04SEPTEMBER2020-26</t>
  </si>
  <si>
    <t>RIZAL-04SEPTEMBER2020-27</t>
  </si>
  <si>
    <t>PEO-20-068-B (Re-Bid)</t>
  </si>
  <si>
    <t>BAL-08-07-2020 Construction of Executive Complex D</t>
  </si>
  <si>
    <t>BAL-08-07-2020 Concreting of 250 meters "Access Ro</t>
  </si>
  <si>
    <t>20O00065</t>
  </si>
  <si>
    <t>PBI-2020-45</t>
  </si>
  <si>
    <t>RIZAL-04SEPTEMBER2020-23</t>
  </si>
  <si>
    <t>20O00066</t>
  </si>
  <si>
    <t>MG-PLM20-122</t>
  </si>
  <si>
    <t>infra2020</t>
  </si>
  <si>
    <t>RIZAL-04SEPTEMBER2020-24</t>
  </si>
  <si>
    <t>RIZAL-04SEPTEMBER2020-8</t>
  </si>
  <si>
    <t>ITB No. 2020-08-060</t>
  </si>
  <si>
    <t>20O00064</t>
  </si>
  <si>
    <t>BCS-2020-0292</t>
  </si>
  <si>
    <t>20GO00001</t>
  </si>
  <si>
    <t>8162020-4</t>
  </si>
  <si>
    <t>MG-PLM20-102</t>
  </si>
  <si>
    <t>MG-PLM20-121</t>
  </si>
  <si>
    <t>doc 1</t>
  </si>
  <si>
    <t>BAL-08-07-2020 Construction of Foot Bridge at Brgy</t>
  </si>
  <si>
    <t>BAL-08-07-2020 Construction of Additional Material</t>
  </si>
  <si>
    <t>20GFC0056</t>
  </si>
  <si>
    <t>20GFC0055</t>
  </si>
  <si>
    <t>RIZAL-04SEPTEMBER2020-25</t>
  </si>
  <si>
    <t>2020-C-001</t>
  </si>
  <si>
    <t>MA-A2H20-014</t>
  </si>
  <si>
    <t>MG-PLM20-086</t>
  </si>
  <si>
    <t>MA-A2M20-043</t>
  </si>
  <si>
    <t>8162020-3</t>
  </si>
  <si>
    <t>MA-A2M20-048</t>
  </si>
  <si>
    <t>BAL-08-07-2020 Repair and Rehabilitation of 2 unit</t>
  </si>
  <si>
    <t>MA-A2M20-053</t>
  </si>
  <si>
    <t>MA-A2M20-018</t>
  </si>
  <si>
    <t>20O00067</t>
  </si>
  <si>
    <t>20KC0127</t>
  </si>
  <si>
    <t>DTI PB-20-015</t>
  </si>
  <si>
    <t>ITA-04-2020</t>
  </si>
  <si>
    <t>MA-A2H20-015</t>
  </si>
  <si>
    <t>20GFC0058</t>
  </si>
  <si>
    <t>8162020-2</t>
  </si>
  <si>
    <t>08172020- A</t>
  </si>
  <si>
    <t>MA-A2M20-004</t>
  </si>
  <si>
    <t>Expansion of Evacuation Center Phase V</t>
  </si>
  <si>
    <t>08172020-Rebid A</t>
  </si>
  <si>
    <t>MA-A2M20-045</t>
  </si>
  <si>
    <t>BAC-HO GS No. 2020-0487 dated 27 July 2020 (FMED)</t>
  </si>
  <si>
    <t>08172020- D</t>
  </si>
  <si>
    <t>20-08-0117</t>
  </si>
  <si>
    <t>DA3-2020-07-23-232</t>
  </si>
  <si>
    <t>20GFC0059</t>
  </si>
  <si>
    <t>08172020- B</t>
  </si>
  <si>
    <t>20GFC0057</t>
  </si>
  <si>
    <t>BFP NCR IB No. 001 s. 2020s</t>
  </si>
  <si>
    <t>SVP No. 2020-043</t>
  </si>
  <si>
    <t>08172020-Rebid B</t>
  </si>
  <si>
    <t>PB INFRA 20-074</t>
  </si>
  <si>
    <t>PB08-001</t>
  </si>
  <si>
    <t>08172020- C</t>
  </si>
  <si>
    <t>PB INFRA 20-073</t>
  </si>
  <si>
    <t>BAC-HO-GS No. 2020-0429 dated 03 July 2020 (ASD)</t>
  </si>
  <si>
    <t>PB INFRA 20-068</t>
  </si>
  <si>
    <t>PB08-002</t>
  </si>
  <si>
    <t>08172020- E</t>
  </si>
  <si>
    <t>QNV-028-2020</t>
  </si>
  <si>
    <t>PB INFRA 20-066</t>
  </si>
  <si>
    <t>DA3-2020-07-08-102</t>
  </si>
  <si>
    <t>QNV-033-2020</t>
  </si>
  <si>
    <t>PB INFRA 20-067</t>
  </si>
  <si>
    <t>BAC-HO GS NO. 2020-0441 dated 09 July 2020 (ASD)</t>
  </si>
  <si>
    <t>INFRA-13-20-03</t>
  </si>
  <si>
    <t>0863</t>
  </si>
  <si>
    <t>QNV-031-2020</t>
  </si>
  <si>
    <t>20GMC0222(Equipment Rental Only)</t>
  </si>
  <si>
    <t>0870</t>
  </si>
  <si>
    <t>20GMC0220 (Equipment Rental Only)</t>
  </si>
  <si>
    <t>20GMC0219 (Equipment Rental Only)</t>
  </si>
  <si>
    <t>20GMC0218 (Equipment Rental Only)</t>
  </si>
  <si>
    <t>20GMC0217 (Equipment Rental Only)</t>
  </si>
  <si>
    <t>20GMC0216 (Equipment Rental Only)</t>
  </si>
  <si>
    <t>20GMC0215 (Equipment Rental Only)</t>
  </si>
  <si>
    <t>2020-PH-001</t>
  </si>
  <si>
    <t>DTIR01-2020-010</t>
  </si>
  <si>
    <t>20GMC0221 (Equipment Rental Only)</t>
  </si>
  <si>
    <t>QNV-037-2020</t>
  </si>
  <si>
    <t>MAYOR-2020-69</t>
  </si>
  <si>
    <t>INFRA-13-20-02</t>
  </si>
  <si>
    <t>2020-PH-002</t>
  </si>
  <si>
    <t>PB-20-446</t>
  </si>
  <si>
    <t>8-20-07</t>
  </si>
  <si>
    <t>PB-20-414</t>
  </si>
  <si>
    <t>MG-PAT20-040</t>
  </si>
  <si>
    <t>MG-PAT20-043</t>
  </si>
  <si>
    <t>INFRA-13-20-01</t>
  </si>
  <si>
    <t>PB-20-415</t>
  </si>
  <si>
    <t>AMP SVP-D NO: 20-08-0433 One (1) Lot Boxes for Mer</t>
  </si>
  <si>
    <t>BFP NCR IB No. 002 s. 2020s</t>
  </si>
  <si>
    <t>20GMC0232 (Equiptment Rental Only)</t>
  </si>
  <si>
    <t>Job Order No.CBIMO-SPIS-20-07-0496.</t>
  </si>
  <si>
    <t>20GMC0231 (Equiptment Rental Only)</t>
  </si>
  <si>
    <t>CULABA 2020-07</t>
  </si>
  <si>
    <t>20GMC0230 (Equiptment Rental Only)</t>
  </si>
  <si>
    <t>126</t>
  </si>
  <si>
    <t>LGU GUA 33-20</t>
  </si>
  <si>
    <t>20CSF003</t>
  </si>
  <si>
    <t>G-03-2020</t>
  </si>
  <si>
    <t>20GMC0229 (Equiptment Rental Only)</t>
  </si>
  <si>
    <t>G-04-2020</t>
  </si>
  <si>
    <t>CW-04-2020</t>
  </si>
  <si>
    <t>125</t>
  </si>
  <si>
    <t>BASICEdLCP-082020</t>
  </si>
  <si>
    <t>2020-SRV-017</t>
  </si>
  <si>
    <t>CULABA 2020-10</t>
  </si>
  <si>
    <t>2020-SRV-016</t>
  </si>
  <si>
    <t>CULABA 2020-11</t>
  </si>
  <si>
    <t>CULABA 2020-08</t>
  </si>
  <si>
    <t>20GMC0228 (Equiptment Rental Only)</t>
  </si>
  <si>
    <t>20GMC0227 (Equiptment Rental Only)</t>
  </si>
  <si>
    <t>LGU GUA 32-20</t>
  </si>
  <si>
    <t>20GMC0226 (Equiptment Rental Only)</t>
  </si>
  <si>
    <t>20GMC0225 (Equiptment Rental Only)</t>
  </si>
  <si>
    <t>20GMC0224 (Equiptment Rental Only)</t>
  </si>
  <si>
    <t>20GMC0223(Equipment Rental Only)</t>
  </si>
  <si>
    <t>I.T.B-2020-01</t>
  </si>
  <si>
    <t>MG-PAT20-045</t>
  </si>
  <si>
    <t>MG-PAT20-048</t>
  </si>
  <si>
    <t>CULABA 2020-09</t>
  </si>
  <si>
    <t>PRO 11 2020-07</t>
  </si>
  <si>
    <t>LGU GUA 34-20</t>
  </si>
  <si>
    <t>2020-CW-51</t>
  </si>
  <si>
    <t>B-08-33-20</t>
  </si>
  <si>
    <t>ITB No. 2020-03(01)</t>
  </si>
  <si>
    <t>2020-08-13-002</t>
  </si>
  <si>
    <t>2020-08-13-001</t>
  </si>
  <si>
    <t>IB 2020-13</t>
  </si>
  <si>
    <t>CW-2020-020</t>
  </si>
  <si>
    <t>2020-461</t>
  </si>
  <si>
    <t>08-13-20</t>
  </si>
  <si>
    <t>2020-460</t>
  </si>
  <si>
    <t>GGSS-2020-006</t>
  </si>
  <si>
    <t>CW-2020-021</t>
  </si>
  <si>
    <t>2020-CW-50</t>
  </si>
  <si>
    <t>GGSS-2020-007</t>
  </si>
  <si>
    <t>ITB No. 2020-03(04)</t>
  </si>
  <si>
    <t>ITB No. (INF) 2020-08-018 FISH AND MARINE SANCTUAR</t>
  </si>
  <si>
    <t>ITB No. 2020-03(07)</t>
  </si>
  <si>
    <t>ITB No. 2020-03(08)</t>
  </si>
  <si>
    <t>CEO-2018-C29</t>
  </si>
  <si>
    <t>ITB No. 2020-03(05)</t>
  </si>
  <si>
    <t>ITB No. 2020-03(02)</t>
  </si>
  <si>
    <t>CW-2020-022</t>
  </si>
  <si>
    <t>MG-A7M20-131</t>
  </si>
  <si>
    <t>MJJLECG010-2020-01</t>
  </si>
  <si>
    <t>2020-187</t>
  </si>
  <si>
    <t>SN-2020-11</t>
  </si>
  <si>
    <t>TC-NPGDS-2020-02</t>
  </si>
  <si>
    <t>MG-A7O20-017</t>
  </si>
  <si>
    <t>PGBH-C-2020-023 PR2020-154</t>
  </si>
  <si>
    <t>ITB No. 2020-G-07-01</t>
  </si>
  <si>
    <t>2020-08-0027</t>
  </si>
  <si>
    <t>2020-188</t>
  </si>
  <si>
    <t>405-2020</t>
  </si>
  <si>
    <t>ITB No. 2020-03(06)</t>
  </si>
  <si>
    <t>MG-PAT20-041</t>
  </si>
  <si>
    <t>PGBH-C-2020-024 PR2020-155</t>
  </si>
  <si>
    <t>PGBH-C-2020-021 PR2020-152</t>
  </si>
  <si>
    <t>ITB No. 2020-03(09)</t>
  </si>
  <si>
    <t>2020-CW-52</t>
  </si>
  <si>
    <t>08-14-20</t>
  </si>
  <si>
    <t>20-228</t>
  </si>
  <si>
    <t>200814</t>
  </si>
  <si>
    <t>Procurement of Printing and Binding of Self Learni</t>
  </si>
  <si>
    <t>20-08-062</t>
  </si>
  <si>
    <t>IB-2020-IX-07-01</t>
  </si>
  <si>
    <t>Procurement of Printing and Binding of Self-Learni</t>
  </si>
  <si>
    <t>PR2020-07-05</t>
  </si>
  <si>
    <t>20CSKE01</t>
  </si>
  <si>
    <t>ITB No. 2020-16</t>
  </si>
  <si>
    <t>20GKF0052</t>
  </si>
  <si>
    <t>2020-191</t>
  </si>
  <si>
    <t>2020 - 153</t>
  </si>
  <si>
    <t>2020-06-113(05206441)</t>
  </si>
  <si>
    <t>PR-2020-06-035</t>
  </si>
  <si>
    <t>20-08-121</t>
  </si>
  <si>
    <t>20GKF0053</t>
  </si>
  <si>
    <t>20JB0088</t>
  </si>
  <si>
    <t>PGBH-C-2020-022 PR2020-153</t>
  </si>
  <si>
    <t>2020-07-122(05206441)</t>
  </si>
  <si>
    <t>COB BAC Goods 2020-015-03</t>
  </si>
  <si>
    <t>COB BAC Goods 2020-015-01</t>
  </si>
  <si>
    <t>IB 2020-14</t>
  </si>
  <si>
    <t>099-2020</t>
  </si>
  <si>
    <t>ITB No. 03-CW-2020</t>
  </si>
  <si>
    <t>PR-2020-07-036</t>
  </si>
  <si>
    <t>COB BAC Goods 2020-015-02</t>
  </si>
  <si>
    <t>101-2020-08-448</t>
  </si>
  <si>
    <t>20FK0064</t>
  </si>
  <si>
    <t>101-2020-07-432</t>
  </si>
  <si>
    <t>2020 - 21</t>
  </si>
  <si>
    <t>20FK0063</t>
  </si>
  <si>
    <t>DEP-ED-2019-01 (LOT-3)</t>
  </si>
  <si>
    <t>08-14-07</t>
  </si>
  <si>
    <t>08-14-05</t>
  </si>
  <si>
    <t>2020-07-141(05206441)</t>
  </si>
  <si>
    <t>0119-2020</t>
  </si>
  <si>
    <t>08-14-06</t>
  </si>
  <si>
    <t>2020-018-smb</t>
  </si>
  <si>
    <t>528-2020 Bidding</t>
  </si>
  <si>
    <t>2020-3</t>
  </si>
  <si>
    <t>08-14-04</t>
  </si>
  <si>
    <t>lgumambu_brgyburias_cw_aug_2020_001</t>
  </si>
  <si>
    <t>024-2020</t>
  </si>
  <si>
    <t>PR No. 300-20-08-387</t>
  </si>
  <si>
    <t>ITB 2020-32</t>
  </si>
  <si>
    <t>lgumambu_brgybalatan_cw_aug_2020_001</t>
  </si>
  <si>
    <t>2020-082-20-6</t>
  </si>
  <si>
    <t>GHQBAC1-PB-018-GHQ-20</t>
  </si>
  <si>
    <t>geps(carangian) 2020-08-005</t>
  </si>
  <si>
    <t>101-2020-08-450,451,453,454,455,464</t>
  </si>
  <si>
    <t>2020-082-20-5</t>
  </si>
  <si>
    <t>PB NO. 2020-052</t>
  </si>
  <si>
    <t>2020-082-20-4</t>
  </si>
  <si>
    <t>2020-082-20-3</t>
  </si>
  <si>
    <t>08-14-08</t>
  </si>
  <si>
    <t>ITB No. 2020-G-08-01</t>
  </si>
  <si>
    <t>BAC2020-021</t>
  </si>
  <si>
    <t>529-2020 Bidding</t>
  </si>
  <si>
    <t>ITB No. 2020-G-09-01</t>
  </si>
  <si>
    <t>ITB-20-08-006</t>
  </si>
  <si>
    <t>BacongRFQ 2020-14</t>
  </si>
  <si>
    <t>2020-06-10</t>
  </si>
  <si>
    <t>BS 20-08-0833</t>
  </si>
  <si>
    <t>BS 20-08-OE010</t>
  </si>
  <si>
    <t>BacongRFQ 2020-15</t>
  </si>
  <si>
    <t>2020-082-20-11</t>
  </si>
  <si>
    <t>2020-082-20-10</t>
  </si>
  <si>
    <t>20-08-120</t>
  </si>
  <si>
    <t>2020-082-20-13</t>
  </si>
  <si>
    <t>2020-082-20-9</t>
  </si>
  <si>
    <t>2020-082-20-12</t>
  </si>
  <si>
    <t>BacongRFQ 2020-12</t>
  </si>
  <si>
    <t>BS 20-08-0836</t>
  </si>
  <si>
    <t>2020-082-20-8</t>
  </si>
  <si>
    <t>BS 20-08-0835</t>
  </si>
  <si>
    <t>2020-082-20-1</t>
  </si>
  <si>
    <t>2020-07-123(05206441)</t>
  </si>
  <si>
    <t>20-08-421</t>
  </si>
  <si>
    <t>CB(B)-20-019(CEO)</t>
  </si>
  <si>
    <t>SCM 0814-01-2020</t>
  </si>
  <si>
    <t>2020-082-20-7</t>
  </si>
  <si>
    <t>2020-082-20-2</t>
  </si>
  <si>
    <t>2020-082-20-14</t>
  </si>
  <si>
    <t>BAC2020-023</t>
  </si>
  <si>
    <t>20LC0043</t>
  </si>
  <si>
    <t>2020-082-20-15</t>
  </si>
  <si>
    <t>ITB. No. 20-18-02</t>
  </si>
  <si>
    <t>UBAUB ITB 02-2020</t>
  </si>
  <si>
    <t>20LC0111</t>
  </si>
  <si>
    <t>LGU-PI-2020-08-19PB</t>
  </si>
  <si>
    <t>BS 20-08-0847</t>
  </si>
  <si>
    <t>CB(B)-20-029(LSB-DEPED)</t>
  </si>
  <si>
    <t>2020-082-20-16</t>
  </si>
  <si>
    <t>VMC-2020-081</t>
  </si>
  <si>
    <t>BS 20-08-0850</t>
  </si>
  <si>
    <t>20JB0089</t>
  </si>
  <si>
    <t>20LC0044</t>
  </si>
  <si>
    <t>ITB-KOR: 20-08-0766 CIO</t>
  </si>
  <si>
    <t>BAC2020-022</t>
  </si>
  <si>
    <t>BacongRFQ 2020-13</t>
  </si>
  <si>
    <t>2020-082-20-17</t>
  </si>
  <si>
    <t>2020-082-20-18</t>
  </si>
  <si>
    <t>20LC0171</t>
  </si>
  <si>
    <t>20LC0042</t>
  </si>
  <si>
    <t>08142020</t>
  </si>
  <si>
    <t>BAC2020-024</t>
  </si>
  <si>
    <t>2020-082-20-19</t>
  </si>
  <si>
    <t>7176811</t>
  </si>
  <si>
    <t>20IJ-0092</t>
  </si>
  <si>
    <t>2020-082-20-23</t>
  </si>
  <si>
    <t>20IJ-0091</t>
  </si>
  <si>
    <t>03-2020-429</t>
  </si>
  <si>
    <t>7176810</t>
  </si>
  <si>
    <t>2020-082-20-22</t>
  </si>
  <si>
    <t>20IJ-0090</t>
  </si>
  <si>
    <t>2020-082-20-21</t>
  </si>
  <si>
    <t>BAC2020-026</t>
  </si>
  <si>
    <t>ITB No. 2020-03(10)</t>
  </si>
  <si>
    <t>Public Bidding No. 2019-007-G</t>
  </si>
  <si>
    <t>24</t>
  </si>
  <si>
    <t>007-2020-I</t>
  </si>
  <si>
    <t>PURCHASE REQUEST NO. 2020-08-010</t>
  </si>
  <si>
    <t>20-08276</t>
  </si>
  <si>
    <t>BAC2020-028</t>
  </si>
  <si>
    <t>DAR-ADS PB-2020-C-06-050</t>
  </si>
  <si>
    <t>ITB-KOR: 20-08-0764 BFP</t>
  </si>
  <si>
    <t>BAC2020-027</t>
  </si>
  <si>
    <t>20-08-0176</t>
  </si>
  <si>
    <t>PBD No. 2020-08-0060</t>
  </si>
  <si>
    <t>2020-082-20-20</t>
  </si>
  <si>
    <t>ITB-KOR: 20-08-0765 CHO</t>
  </si>
  <si>
    <t>ASTCIVILGOODS814</t>
  </si>
  <si>
    <t>20-08-313</t>
  </si>
  <si>
    <t>22</t>
  </si>
  <si>
    <t>20-08-312</t>
  </si>
  <si>
    <t>BAC2020-025</t>
  </si>
  <si>
    <t>20-08-311</t>
  </si>
  <si>
    <t>08152020</t>
  </si>
  <si>
    <t>20-08-310</t>
  </si>
  <si>
    <t>G-134-20C</t>
  </si>
  <si>
    <t>23</t>
  </si>
  <si>
    <t>20CSIL0001</t>
  </si>
  <si>
    <t>ASTGOODS31</t>
  </si>
  <si>
    <t>BB-2020-05</t>
  </si>
  <si>
    <t>2020-0025</t>
  </si>
  <si>
    <t>GOODS #2020-4 (2ND NOTICE)</t>
  </si>
  <si>
    <t>2020-042-I</t>
  </si>
  <si>
    <t>SPC PR No. 1000033314</t>
  </si>
  <si>
    <t>itb20-08032B</t>
  </si>
  <si>
    <t>itb20-08-032A</t>
  </si>
  <si>
    <t>001-Goods-2020</t>
  </si>
  <si>
    <t>PB-2020-0814-05</t>
  </si>
  <si>
    <t>skbangkal-003</t>
  </si>
  <si>
    <t>20-107</t>
  </si>
  <si>
    <t>2020DBSHS 08-14</t>
  </si>
  <si>
    <t>20CSOA001</t>
  </si>
  <si>
    <t>DAR-ADS PB-2020-OS-05-122B</t>
  </si>
  <si>
    <t>skbangkal-004</t>
  </si>
  <si>
    <t>skbangkal-002</t>
  </si>
  <si>
    <t>012-08142020</t>
  </si>
  <si>
    <t>015-08142020</t>
  </si>
  <si>
    <t>011-08142020</t>
  </si>
  <si>
    <t>010-08142020</t>
  </si>
  <si>
    <t>008-08142020</t>
  </si>
  <si>
    <t>007-08142020</t>
  </si>
  <si>
    <t>006-08142020</t>
  </si>
  <si>
    <t>013-08142020</t>
  </si>
  <si>
    <t>004-08142020</t>
  </si>
  <si>
    <t>2020-4</t>
  </si>
  <si>
    <t>014-08142020</t>
  </si>
  <si>
    <t>002-08142020</t>
  </si>
  <si>
    <t>G-133-20</t>
  </si>
  <si>
    <t>001-08142020</t>
  </si>
  <si>
    <t>016-08142020</t>
  </si>
  <si>
    <t>005-08142020</t>
  </si>
  <si>
    <t>003-08142020</t>
  </si>
  <si>
    <t>030-08142020</t>
  </si>
  <si>
    <t>027-08142020</t>
  </si>
  <si>
    <t>031-08142020</t>
  </si>
  <si>
    <t>026-08142020</t>
  </si>
  <si>
    <t>025-08142020</t>
  </si>
  <si>
    <t>029-08142020</t>
  </si>
  <si>
    <t>STLU - 025 - 2020</t>
  </si>
  <si>
    <t>009-08142020</t>
  </si>
  <si>
    <t>024-08142020</t>
  </si>
  <si>
    <t>STLU - 023 - 2020</t>
  </si>
  <si>
    <t>028-08142020</t>
  </si>
  <si>
    <t>023-08142020</t>
  </si>
  <si>
    <t>019-08142020</t>
  </si>
  <si>
    <t>20200801</t>
  </si>
  <si>
    <t>018-08142020</t>
  </si>
  <si>
    <t>020-08142020</t>
  </si>
  <si>
    <t>20CSCM05</t>
  </si>
  <si>
    <t>20-002-08 DELTA (RE-POST)</t>
  </si>
  <si>
    <t>AMP-20-07-052</t>
  </si>
  <si>
    <t>Rebidding for the Supply and Delivery of One (1) U</t>
  </si>
  <si>
    <t>022-08142020</t>
  </si>
  <si>
    <t>017-08142020</t>
  </si>
  <si>
    <t>20-003-08 DELTA (RE-POST)</t>
  </si>
  <si>
    <t>MKWD2020-012</t>
  </si>
  <si>
    <t>20-08-012</t>
  </si>
  <si>
    <t>2020-08-79</t>
  </si>
  <si>
    <t>021-08142020</t>
  </si>
  <si>
    <t>C10-20-1655</t>
  </si>
  <si>
    <t>040-08142020</t>
  </si>
  <si>
    <t>ITB No. 20-08-19</t>
  </si>
  <si>
    <t>032-08142020</t>
  </si>
  <si>
    <t>038-08142020</t>
  </si>
  <si>
    <t>TCW-2020-08-06-046</t>
  </si>
  <si>
    <t>048-08142020</t>
  </si>
  <si>
    <t>036-08142020</t>
  </si>
  <si>
    <t>045-08142020</t>
  </si>
  <si>
    <t>046-08142020</t>
  </si>
  <si>
    <t>039-08142020</t>
  </si>
  <si>
    <t>044-08142020</t>
  </si>
  <si>
    <t>041-08142020</t>
  </si>
  <si>
    <t>047-08142020</t>
  </si>
  <si>
    <t>037-08142020</t>
  </si>
  <si>
    <t>035-08142020</t>
  </si>
  <si>
    <t>034-08142020</t>
  </si>
  <si>
    <t>050-08142020</t>
  </si>
  <si>
    <t>BAC-2020-0019</t>
  </si>
  <si>
    <t>PRDP-IR-R008-NOS-001-000-000-2014</t>
  </si>
  <si>
    <t>043-08142020</t>
  </si>
  <si>
    <t>20E00110</t>
  </si>
  <si>
    <t>08-12-2020</t>
  </si>
  <si>
    <t>LAR-18</t>
  </si>
  <si>
    <t>013-2020</t>
  </si>
  <si>
    <t>033-08142020</t>
  </si>
  <si>
    <t>GO-2020-08-167</t>
  </si>
  <si>
    <t>STLU - 024 - 2020</t>
  </si>
  <si>
    <t>GO-2020-08-159</t>
  </si>
  <si>
    <t>GO-2020-08-165</t>
  </si>
  <si>
    <t>053-08142020</t>
  </si>
  <si>
    <t>GO-2020-08-158</t>
  </si>
  <si>
    <t>BAC 2020-08-59</t>
  </si>
  <si>
    <t>00008310</t>
  </si>
  <si>
    <t>562020a</t>
  </si>
  <si>
    <t>592020a</t>
  </si>
  <si>
    <t>602020a</t>
  </si>
  <si>
    <t>582020a</t>
  </si>
  <si>
    <t>572020a</t>
  </si>
  <si>
    <t>goods 1 2020</t>
  </si>
  <si>
    <t>GO-2020-08-166</t>
  </si>
  <si>
    <t>LGU-PI-2020-08-17PB</t>
  </si>
  <si>
    <t>BGHMCPB-2020-29-001</t>
  </si>
  <si>
    <t>2020-0812-001</t>
  </si>
  <si>
    <t>LGU-PI-2020-08-16PB</t>
  </si>
  <si>
    <t>21CSIA002 Conduct of Soil Exploration for the Reha</t>
  </si>
  <si>
    <t>20IK0100</t>
  </si>
  <si>
    <t>20063938</t>
  </si>
  <si>
    <t>BAC 2020-08-61</t>
  </si>
  <si>
    <t>07-2020-1238</t>
  </si>
  <si>
    <t>STLU - 027 - 2020</t>
  </si>
  <si>
    <t>STLU - 026 - 2020</t>
  </si>
  <si>
    <t>051-08142020</t>
  </si>
  <si>
    <t>BMC-N-20-0315</t>
  </si>
  <si>
    <t>GO-2020-08-160</t>
  </si>
  <si>
    <t>BAC 2020-08-60</t>
  </si>
  <si>
    <t>bacgal-59-2020</t>
  </si>
  <si>
    <t>2020LGU014</t>
  </si>
  <si>
    <t>INFRA-03-2019 (REPOST)</t>
  </si>
  <si>
    <t>HILONGOS 2020-245</t>
  </si>
  <si>
    <t>2008-0709-SFP</t>
  </si>
  <si>
    <t>20063680</t>
  </si>
  <si>
    <t>PB042-20</t>
  </si>
  <si>
    <t>20-323</t>
  </si>
  <si>
    <t>21CSIA003 Consultancy Services for the conduct of</t>
  </si>
  <si>
    <t>bacgal-60-2020</t>
  </si>
  <si>
    <t>20074549</t>
  </si>
  <si>
    <t>20-08-0386</t>
  </si>
  <si>
    <t>doc</t>
  </si>
  <si>
    <t>20074266</t>
  </si>
  <si>
    <t>042-08142020</t>
  </si>
  <si>
    <t>20074482</t>
  </si>
  <si>
    <t>2008-0767-RICTMS</t>
  </si>
  <si>
    <t>612020a</t>
  </si>
  <si>
    <t>PRs 0086-20 +0094-20 MOTORPOOL</t>
  </si>
  <si>
    <t>20074610</t>
  </si>
  <si>
    <t>PB043-20</t>
  </si>
  <si>
    <t>2020-0006</t>
  </si>
  <si>
    <t>052-08142020</t>
  </si>
  <si>
    <t>20-08-035</t>
  </si>
  <si>
    <t>20074548</t>
  </si>
  <si>
    <t>2020-08-077</t>
  </si>
  <si>
    <t>2008-0768-RICTMS</t>
  </si>
  <si>
    <t>2020LGU015</t>
  </si>
  <si>
    <t>100-1011-2020-07-581</t>
  </si>
  <si>
    <t>20IB0146</t>
  </si>
  <si>
    <t>PB044-20</t>
  </si>
  <si>
    <t>20FK0061</t>
  </si>
  <si>
    <t>2020-06-052-D</t>
  </si>
  <si>
    <t>20074447</t>
  </si>
  <si>
    <t>20-08-034</t>
  </si>
  <si>
    <t>20064161</t>
  </si>
  <si>
    <t>LGULILA-05-2020</t>
  </si>
  <si>
    <t>Competitive Bidding 2020-25</t>
  </si>
  <si>
    <t>20074341</t>
  </si>
  <si>
    <t>BFAR5BAC-2020-151</t>
  </si>
  <si>
    <t>GOODS 2020-11</t>
  </si>
  <si>
    <t>Bidding-04-August2020</t>
  </si>
  <si>
    <t>IB-07-2020</t>
  </si>
  <si>
    <t>philgeps08132020</t>
  </si>
  <si>
    <t>philgeps08132020b</t>
  </si>
  <si>
    <t>sdn-2020-08-047</t>
  </si>
  <si>
    <t>320200602623</t>
  </si>
  <si>
    <t>2020-031-PB</t>
  </si>
  <si>
    <t>20063908</t>
  </si>
  <si>
    <t>ITB # 2020 - 052</t>
  </si>
  <si>
    <t>2020-A1</t>
  </si>
  <si>
    <t>20063902</t>
  </si>
  <si>
    <t>PRs 0095-20 +0096-20 MOTORPOOL</t>
  </si>
  <si>
    <t>20074613</t>
  </si>
  <si>
    <t>MP-081320-078</t>
  </si>
  <si>
    <t>FLGU-CW-2020-27</t>
  </si>
  <si>
    <t>001/august/2020</t>
  </si>
  <si>
    <t>2020-08-043</t>
  </si>
  <si>
    <t>2020-08-045</t>
  </si>
  <si>
    <t>PANG-2020-1016</t>
  </si>
  <si>
    <t>IB-08-2020</t>
  </si>
  <si>
    <t>Goods-2020-16</t>
  </si>
  <si>
    <t>PANG-2020-1015</t>
  </si>
  <si>
    <t>lgu padada 0032-08-13-2020</t>
  </si>
  <si>
    <t>GOODS 2020-06.2</t>
  </si>
  <si>
    <t>CID NO. 20GIF0003</t>
  </si>
  <si>
    <t>PANG-2020-1018</t>
  </si>
  <si>
    <t>20GH0131</t>
  </si>
  <si>
    <t>2020-08-069-D</t>
  </si>
  <si>
    <t>133</t>
  </si>
  <si>
    <t>2020-123</t>
  </si>
  <si>
    <t>PANG-2020-1014</t>
  </si>
  <si>
    <t>LGUBaras-2020-0059</t>
  </si>
  <si>
    <t>IB-09-2020</t>
  </si>
  <si>
    <t>Supplies 316-2020</t>
  </si>
  <si>
    <t>132</t>
  </si>
  <si>
    <t>Bidding-01-Apang-August2020</t>
  </si>
  <si>
    <t>0041/August/2020</t>
  </si>
  <si>
    <t>PANG-2020-1017</t>
  </si>
  <si>
    <t>IB-2020-62</t>
  </si>
  <si>
    <t>ITB2020-01</t>
  </si>
  <si>
    <t>lgu padada -0033-08-13-2020</t>
  </si>
  <si>
    <t>20-226</t>
  </si>
  <si>
    <t>LGUBaras-2020-0060</t>
  </si>
  <si>
    <t>ITB No. 2020-31</t>
  </si>
  <si>
    <t>IB-2020-61</t>
  </si>
  <si>
    <t>2020-10%-11</t>
  </si>
  <si>
    <t>2020-08-094</t>
  </si>
  <si>
    <t>Civil Works 029-2020</t>
  </si>
  <si>
    <t>ITB NO. 08-20-01</t>
  </si>
  <si>
    <t>Project No.: SDCV-02-2020</t>
  </si>
  <si>
    <t>01-2020-0037</t>
  </si>
  <si>
    <t>OGDS 08-13-20</t>
  </si>
  <si>
    <t>GDS-407-2020</t>
  </si>
  <si>
    <t>01-08142020</t>
  </si>
  <si>
    <t>epslingayen2020-89</t>
  </si>
  <si>
    <t>0042/August/2020</t>
  </si>
  <si>
    <t>BARANGAY HIMO-AW 5</t>
  </si>
  <si>
    <t>ITB2020-02</t>
  </si>
  <si>
    <t>508-2020 Bidding</t>
  </si>
  <si>
    <t>524-2020 Bidding</t>
  </si>
  <si>
    <t>ITB NO. 08-20-02</t>
  </si>
  <si>
    <t>0043/August/2020</t>
  </si>
  <si>
    <t>ITB NO. 08-20-03</t>
  </si>
  <si>
    <t>Goods 2020-004</t>
  </si>
  <si>
    <t>Goods 2020-005</t>
  </si>
  <si>
    <t>LGU-192-2020</t>
  </si>
  <si>
    <t>ITB NO. 08-20-04</t>
  </si>
  <si>
    <t>ITB NO. 08-20-06</t>
  </si>
  <si>
    <t>cal08122020-04</t>
  </si>
  <si>
    <t>200-20-08-0873</t>
  </si>
  <si>
    <t>BMC-N-20-316</t>
  </si>
  <si>
    <t>2020-14</t>
  </si>
  <si>
    <t>08132020001</t>
  </si>
  <si>
    <t>2020-08-471</t>
  </si>
  <si>
    <t>ITB NO. 08-20-07</t>
  </si>
  <si>
    <t>20-08-02</t>
  </si>
  <si>
    <t>SDCV-001-2020</t>
  </si>
  <si>
    <t>ITB No. G11-03-2020</t>
  </si>
  <si>
    <t>20FH0101</t>
  </si>
  <si>
    <t>PRDP-RPCO 1-2020-028</t>
  </si>
  <si>
    <t>brgy.zone 15</t>
  </si>
  <si>
    <t>516-2020 Bidding</t>
  </si>
  <si>
    <t>LGU-194-2020</t>
  </si>
  <si>
    <t>INFRA2020-001</t>
  </si>
  <si>
    <t>2020-02-15</t>
  </si>
  <si>
    <t>20-164-058</t>
  </si>
  <si>
    <t>2020-08 BARANGAY BANILAD, MANDAUE CITY</t>
  </si>
  <si>
    <t>DAR-2020-14</t>
  </si>
  <si>
    <t>LGU-193-2020</t>
  </si>
  <si>
    <t>2008-0721-SFP</t>
  </si>
  <si>
    <t>2008-0712-SFP</t>
  </si>
  <si>
    <t>20-08-0560</t>
  </si>
  <si>
    <t>IB No. 20-08-08</t>
  </si>
  <si>
    <t>GDS-2020-006</t>
  </si>
  <si>
    <t>20GH0130</t>
  </si>
  <si>
    <t>lam-bac-273-020</t>
  </si>
  <si>
    <t>LGU-196-2020</t>
  </si>
  <si>
    <t>ITB No. DC-20-31</t>
  </si>
  <si>
    <t>LGU-195-2020</t>
  </si>
  <si>
    <t>080022020</t>
  </si>
  <si>
    <t>2008-0711-SFP</t>
  </si>
  <si>
    <t>ITB No. DC-20-30</t>
  </si>
  <si>
    <t>MANDUS-002-03-2020</t>
  </si>
  <si>
    <t>BP-2020-01</t>
  </si>
  <si>
    <t>BUENAVISTA202002</t>
  </si>
  <si>
    <t>LGU-198-2020</t>
  </si>
  <si>
    <t>IB No. 20-08-09</t>
  </si>
  <si>
    <t>2020-186A</t>
  </si>
  <si>
    <t>ITB NO. 08-20-05</t>
  </si>
  <si>
    <t>LGU-197-2020</t>
  </si>
  <si>
    <t>2020-POBSK-005</t>
  </si>
  <si>
    <t>2008-0720-SFP</t>
  </si>
  <si>
    <t>20MC0116</t>
  </si>
  <si>
    <t>ITB No. DC-20-32</t>
  </si>
  <si>
    <t>08132020</t>
  </si>
  <si>
    <t>202058</t>
  </si>
  <si>
    <t>OSG PR No. 020-08-088</t>
  </si>
  <si>
    <t>2020.08.13</t>
  </si>
  <si>
    <t>ITB No. DC-20-33</t>
  </si>
  <si>
    <t>MPF-PLW-02-2020</t>
  </si>
  <si>
    <t>08132020332</t>
  </si>
  <si>
    <t>089-20</t>
  </si>
  <si>
    <t>09438</t>
  </si>
  <si>
    <t>2008-0714-SFP</t>
  </si>
  <si>
    <t>2020-187A</t>
  </si>
  <si>
    <t>20CSGK02</t>
  </si>
  <si>
    <t>2020-459</t>
  </si>
  <si>
    <t>20GI0066</t>
  </si>
  <si>
    <t>PCA-2020-08-007</t>
  </si>
  <si>
    <t>IT-Danao Laptop</t>
  </si>
  <si>
    <t>20-02-131</t>
  </si>
  <si>
    <t>009-2020</t>
  </si>
  <si>
    <t>epslingayen2020-91</t>
  </si>
  <si>
    <t>20CSGK01</t>
  </si>
  <si>
    <t>IB No. 20-08-10</t>
  </si>
  <si>
    <t>0044/August/2020</t>
  </si>
  <si>
    <t>ITB No. G12-03-2020</t>
  </si>
  <si>
    <t>BGHMCTFD-2020-08-043</t>
  </si>
  <si>
    <t>INFRA 20-22A GENERAL FUND</t>
  </si>
  <si>
    <t>RFQ 0820-010</t>
  </si>
  <si>
    <t>1-08132020</t>
  </si>
  <si>
    <t>20GHF0009</t>
  </si>
  <si>
    <t>ITB 22-2020</t>
  </si>
  <si>
    <t>PANG-2020-1029</t>
  </si>
  <si>
    <t>JIAB-2020-40A</t>
  </si>
  <si>
    <t>PR NO.2020-02</t>
  </si>
  <si>
    <t>ITB 2020-09</t>
  </si>
  <si>
    <t>RFQ 0820-008</t>
  </si>
  <si>
    <t>20CSGK05</t>
  </si>
  <si>
    <t>MPF-PLW-01-2020</t>
  </si>
  <si>
    <t>1624-19</t>
  </si>
  <si>
    <t>070-2020</t>
  </si>
  <si>
    <t>20CSGK06</t>
  </si>
  <si>
    <t>SCM 0813-02-2020</t>
  </si>
  <si>
    <t>JIAB-2020-42A</t>
  </si>
  <si>
    <t>20CSGK04</t>
  </si>
  <si>
    <t>DS-LR-2020</t>
  </si>
  <si>
    <t>20IG0072</t>
  </si>
  <si>
    <t>5-08132020</t>
  </si>
  <si>
    <t>CSJ-2020-039</t>
  </si>
  <si>
    <t>8-2020-1275</t>
  </si>
  <si>
    <t>20FK0062</t>
  </si>
  <si>
    <t>09-01</t>
  </si>
  <si>
    <t>20IG0073</t>
  </si>
  <si>
    <t>RB2020-08-263</t>
  </si>
  <si>
    <t>CSJ-2020-038</t>
  </si>
  <si>
    <t>ISAT U GOODS-2020-08-11</t>
  </si>
  <si>
    <t>401/1011-20-08-502</t>
  </si>
  <si>
    <t>INFRA 20-27A GENERAL FUND</t>
  </si>
  <si>
    <t>20-1016</t>
  </si>
  <si>
    <t>ISAT U INFRA-2020-08-03</t>
  </si>
  <si>
    <t>PB-PAFBAC-179-20</t>
  </si>
  <si>
    <t>PB-PAFBAC-177-20</t>
  </si>
  <si>
    <t>PB-PAFBAC-176-20</t>
  </si>
  <si>
    <t>3-08132020</t>
  </si>
  <si>
    <t>PB-PAFBAC-175-20</t>
  </si>
  <si>
    <t>29-20</t>
  </si>
  <si>
    <t>SJMC-2020-008</t>
  </si>
  <si>
    <t>PB-PAFBAC-172-20</t>
  </si>
  <si>
    <t>28-20</t>
  </si>
  <si>
    <t>PB-PAFBAC-178-20</t>
  </si>
  <si>
    <t>CSJ-2020-040</t>
  </si>
  <si>
    <t>20BK0151</t>
  </si>
  <si>
    <t>BAG-1-2020-058</t>
  </si>
  <si>
    <t>JIAB-2020-41A</t>
  </si>
  <si>
    <t>PB-PAFBAC-174-20</t>
  </si>
  <si>
    <t>RFQ 0820-007</t>
  </si>
  <si>
    <t>2008001</t>
  </si>
  <si>
    <t>20-1015</t>
  </si>
  <si>
    <t>epslingayen2020-90</t>
  </si>
  <si>
    <t>PB 20-03-24</t>
  </si>
  <si>
    <t>2-08132020</t>
  </si>
  <si>
    <t>PB-PAFBAC-173-20</t>
  </si>
  <si>
    <t>Goods 0047-2020</t>
  </si>
  <si>
    <t>20CSGK03</t>
  </si>
  <si>
    <t>BAC-IB NO. 2020-34</t>
  </si>
  <si>
    <t>Goods 0046-2020</t>
  </si>
  <si>
    <t>20PD0079</t>
  </si>
  <si>
    <t>Goods 0045-2020</t>
  </si>
  <si>
    <t>ITB 2020-DSWD-CAR-18</t>
  </si>
  <si>
    <t>NCRPO BAC 08-2020-11</t>
  </si>
  <si>
    <t>Goods 0048-2020</t>
  </si>
  <si>
    <t>PB 20-03-25</t>
  </si>
  <si>
    <t>20GFC0053</t>
  </si>
  <si>
    <t>20GFC0050</t>
  </si>
  <si>
    <t>20GFC0052</t>
  </si>
  <si>
    <t>INFRA 20-29A SEF</t>
  </si>
  <si>
    <t>INFRA 20-28 A SEF__________</t>
  </si>
  <si>
    <t>20PD0110</t>
  </si>
  <si>
    <t>ITB-13-crps-ds-2020</t>
  </si>
  <si>
    <t>BCS-2020-0289</t>
  </si>
  <si>
    <t>INFRA 20-30A SEF</t>
  </si>
  <si>
    <t>INFRA 20-32A GENERAL FUND</t>
  </si>
  <si>
    <t>CID-SARO-2020-08-065</t>
  </si>
  <si>
    <t>2020-32cw</t>
  </si>
  <si>
    <t>001-20</t>
  </si>
  <si>
    <t>20GFC0051</t>
  </si>
  <si>
    <t>INFRA 20-31A DEVELOPMENT</t>
  </si>
  <si>
    <t>G20-04</t>
  </si>
  <si>
    <t>INFRA 20-33A GENERAL FUND</t>
  </si>
  <si>
    <t>100-20-08-071</t>
  </si>
  <si>
    <t>TAYSAN2020-093</t>
  </si>
  <si>
    <t>8-13-2020</t>
  </si>
  <si>
    <t>20-07-1416</t>
  </si>
  <si>
    <t>20GFE0019</t>
  </si>
  <si>
    <t>PCMT 2020 - 083</t>
  </si>
  <si>
    <t>100-20-07-061</t>
  </si>
  <si>
    <t>itb 2020-46</t>
  </si>
  <si>
    <t>2020-08-0313</t>
  </si>
  <si>
    <t>Ada-2020-08-001</t>
  </si>
  <si>
    <t>20GIB0042</t>
  </si>
  <si>
    <t>itb 2020-48</t>
  </si>
  <si>
    <t>itb 2020-47</t>
  </si>
  <si>
    <t>20GFC0054</t>
  </si>
  <si>
    <t>2020-5</t>
  </si>
  <si>
    <t>BAC-GS 2020-100; BAC-GS 2020-101</t>
  </si>
  <si>
    <t>RB2020-08-266</t>
  </si>
  <si>
    <t>RB2020-08-265</t>
  </si>
  <si>
    <t xml:space="preserve">PR No. 1000033260 - Supply and Delivery of 1 Unit </t>
  </si>
  <si>
    <t>RB2020-08-264</t>
  </si>
  <si>
    <t>ITB-2020-05-GOODS</t>
  </si>
  <si>
    <t>RB2020-08-267</t>
  </si>
  <si>
    <t>PR 2020 – 02 – 064</t>
  </si>
  <si>
    <t>2020 Goods 001</t>
  </si>
  <si>
    <t>IB NO. 043-20</t>
  </si>
  <si>
    <t>101-020-008-084</t>
  </si>
  <si>
    <t>2020-6</t>
  </si>
  <si>
    <t>50</t>
  </si>
  <si>
    <t>PCMT 2020 - 084</t>
  </si>
  <si>
    <t>MKWD2020-068</t>
  </si>
  <si>
    <t>206 - 2020</t>
  </si>
  <si>
    <t>205 - 2020</t>
  </si>
  <si>
    <t>20GIB0043</t>
  </si>
  <si>
    <t>204 - 2020</t>
  </si>
  <si>
    <t>203 - 2020</t>
  </si>
  <si>
    <t>202 - 2020</t>
  </si>
  <si>
    <t>201 - 2020</t>
  </si>
  <si>
    <t>207 - 2020</t>
  </si>
  <si>
    <t>209 - 2020</t>
  </si>
  <si>
    <t>208 - 2020</t>
  </si>
  <si>
    <t>ITB# 135-2020 Repair &amp; Maintenance IT Equipment &amp;</t>
  </si>
  <si>
    <t>GOODS 2020-001</t>
  </si>
  <si>
    <t>000001-20</t>
  </si>
  <si>
    <t>COB BAC Goods 2020-014-02</t>
  </si>
  <si>
    <t>COB BAC Good 2020-014-01</t>
  </si>
  <si>
    <t>ADS-1812-20</t>
  </si>
  <si>
    <t>PRDP-IR-RCAR-IFU-001-000-000-2015-R1</t>
  </si>
  <si>
    <t>ADS-1811-20</t>
  </si>
  <si>
    <t>ADS-1804-20</t>
  </si>
  <si>
    <t>ADS-1813-20</t>
  </si>
  <si>
    <t>100-20-07-0825</t>
  </si>
  <si>
    <t>ADS-1805-20</t>
  </si>
  <si>
    <t>ADS-1810-20</t>
  </si>
  <si>
    <t>DA8-Infra-2020-14 (PR No. QRF URSULA 20-08-06-0018</t>
  </si>
  <si>
    <t>20200813a</t>
  </si>
  <si>
    <t>H-28-20</t>
  </si>
  <si>
    <t>000002-20</t>
  </si>
  <si>
    <t>20200813b</t>
  </si>
  <si>
    <t>PBD 20-097</t>
  </si>
  <si>
    <t>08-01053</t>
  </si>
  <si>
    <t>PBD 20-098</t>
  </si>
  <si>
    <t>ADS-1807-20</t>
  </si>
  <si>
    <t>DA8-Goods-2020-49 (PR No. SAAD 20-07-27-0241)</t>
  </si>
  <si>
    <t>20-06-0247</t>
  </si>
  <si>
    <t>POW-1041-2020-BAL-11B</t>
  </si>
  <si>
    <t>BAC-LGU-TADS-2020-15</t>
  </si>
  <si>
    <t>20PI0092</t>
  </si>
  <si>
    <t>ADS-1806-20</t>
  </si>
  <si>
    <t>Infra 2020-016</t>
  </si>
  <si>
    <t>PBD 20-086A</t>
  </si>
  <si>
    <t>Infra 2020-015</t>
  </si>
  <si>
    <t>2020-005 LGUSJ-G</t>
  </si>
  <si>
    <t>PIP 11-2020</t>
  </si>
  <si>
    <t>2020-AP-08-36</t>
  </si>
  <si>
    <t>POW-1041-2020-BAL-08B</t>
  </si>
  <si>
    <t>100-07-20-01868</t>
  </si>
  <si>
    <t>20-08-0305</t>
  </si>
  <si>
    <t>Infra 2020-017</t>
  </si>
  <si>
    <t>POW-1041-2020-BAL-10B</t>
  </si>
  <si>
    <t>100-08-470</t>
  </si>
  <si>
    <t>infra 20-013</t>
  </si>
  <si>
    <t>POW-1041-2020-BAL-04B</t>
  </si>
  <si>
    <t>goods_20-012</t>
  </si>
  <si>
    <t>infra 20_010</t>
  </si>
  <si>
    <t>20-07-0294</t>
  </si>
  <si>
    <t>BOOKS-01-20</t>
  </si>
  <si>
    <t>ICWS-16-001(CB)</t>
  </si>
  <si>
    <t>INFRA-2020-08-002</t>
  </si>
  <si>
    <t>BMC-N-20-312</t>
  </si>
  <si>
    <t>177 - 2020</t>
  </si>
  <si>
    <t>B-122-2020</t>
  </si>
  <si>
    <t>infra 20-011</t>
  </si>
  <si>
    <t>ICT-01-20</t>
  </si>
  <si>
    <t>0820-121</t>
  </si>
  <si>
    <t>188 - 2020</t>
  </si>
  <si>
    <t>0820-116</t>
  </si>
  <si>
    <t>170a - 2020</t>
  </si>
  <si>
    <t>2020-GSIS-PB-072</t>
  </si>
  <si>
    <t>155-2020</t>
  </si>
  <si>
    <t>0820-120</t>
  </si>
  <si>
    <t>ADS-1808-20</t>
  </si>
  <si>
    <t>ADS-1809-20</t>
  </si>
  <si>
    <t>PIP 12-2020</t>
  </si>
  <si>
    <t>0820-117</t>
  </si>
  <si>
    <t>20-00008</t>
  </si>
  <si>
    <t>2020-042 Tires</t>
  </si>
  <si>
    <t>SN-2020-8</t>
  </si>
  <si>
    <t>027-ECE20</t>
  </si>
  <si>
    <t>20ITB-INF-03-00060</t>
  </si>
  <si>
    <t>PBDD-PR-2020-07-011</t>
  </si>
  <si>
    <t>CA100-2020-07-006</t>
  </si>
  <si>
    <t>PBDD-PR-2020-07-013</t>
  </si>
  <si>
    <t>2020-02-131</t>
  </si>
  <si>
    <t>IB No. N-2020-004</t>
  </si>
  <si>
    <t>20GPG0002</t>
  </si>
  <si>
    <t>C10-20-1592</t>
  </si>
  <si>
    <t>PBDD-PR-2020-07-012</t>
  </si>
  <si>
    <t>SN-2020-9</t>
  </si>
  <si>
    <t>GOODS-042-2020</t>
  </si>
  <si>
    <t>BID20-024</t>
  </si>
  <si>
    <t>ADS-1815-20</t>
  </si>
  <si>
    <t>200(01)20-08-474(O)</t>
  </si>
  <si>
    <t>202008-002</t>
  </si>
  <si>
    <t>Barangay San Rafael Atimonan, Quezon 2020-</t>
  </si>
  <si>
    <t>202008120001</t>
  </si>
  <si>
    <t>FRT-19-1689-B(REBID)</t>
  </si>
  <si>
    <t>PAR INF-2020-05</t>
  </si>
  <si>
    <t>BRGY. WESTERN POB. 2020-6</t>
  </si>
  <si>
    <t>2020-02-132</t>
  </si>
  <si>
    <t>ITB-20-08049</t>
  </si>
  <si>
    <t>PBDD-PR-2020-07-010</t>
  </si>
  <si>
    <t>PBDD-PR-2020-07-009</t>
  </si>
  <si>
    <t>028-ECE20</t>
  </si>
  <si>
    <t>ITB (CW-08-2020-023) 20DD0383</t>
  </si>
  <si>
    <t>Invitation to Bid 20-46</t>
  </si>
  <si>
    <t>2020-007 LGUSJ-G</t>
  </si>
  <si>
    <t>Q-125-20</t>
  </si>
  <si>
    <t>BID20-025</t>
  </si>
  <si>
    <t>BCS-2020-0284</t>
  </si>
  <si>
    <t>ITB-2020-JDL-018 Re-Bid</t>
  </si>
  <si>
    <t>PB-INF-005-2020</t>
  </si>
  <si>
    <t>PB-INF-004-2020</t>
  </si>
  <si>
    <t>PB-INF-003-2020</t>
  </si>
  <si>
    <t>ITB 20-03</t>
  </si>
  <si>
    <t>Bidding No. 04A-09-01-2020</t>
  </si>
  <si>
    <t>PBDD-PR-2020-07-003</t>
  </si>
  <si>
    <t>PBDD-PR-2020-07-002</t>
  </si>
  <si>
    <t>Bidding No. 04D-09-01-2020</t>
  </si>
  <si>
    <t>Bidding No. 04B-09-01-2020</t>
  </si>
  <si>
    <t>2020-235</t>
  </si>
  <si>
    <t>20OI0132</t>
  </si>
  <si>
    <t>ITB (CW-08-2020-023) 20DD0384</t>
  </si>
  <si>
    <t>Aklan BAC ITB 451 Series of 2020</t>
  </si>
  <si>
    <t>RFQ # 20-08-082 (Goods)</t>
  </si>
  <si>
    <t>TINOC-2020-09-GOODS (2nd Publication)</t>
  </si>
  <si>
    <t>118-20</t>
  </si>
  <si>
    <t>035-2020</t>
  </si>
  <si>
    <t>117-20</t>
  </si>
  <si>
    <t>Bidding No. 04C-09-01-2020</t>
  </si>
  <si>
    <t>RFQ # 20-08-084 (Goods)</t>
  </si>
  <si>
    <t>BAC-SBSL-MDRRMO-2020-015A</t>
  </si>
  <si>
    <t>RFQ # 20-08-083 (Goods)</t>
  </si>
  <si>
    <t>RFQ # 20-08-085 (Goods)</t>
  </si>
  <si>
    <t>BBN-20-01</t>
  </si>
  <si>
    <t>RFQ # 20-08-081 (Goods)</t>
  </si>
  <si>
    <t>2008128</t>
  </si>
  <si>
    <t>2020-030-PB</t>
  </si>
  <si>
    <t>20OI0135</t>
  </si>
  <si>
    <t>PB-2020-08-46</t>
  </si>
  <si>
    <t>120-20</t>
  </si>
  <si>
    <t>PR-2020-1869</t>
  </si>
  <si>
    <t>11AUGUST2020</t>
  </si>
  <si>
    <t>RFQ # 20-08-079 (Goods)</t>
  </si>
  <si>
    <t>20-00012</t>
  </si>
  <si>
    <t>BMG-20-01</t>
  </si>
  <si>
    <t>2020-00-04</t>
  </si>
  <si>
    <t>20OI0133</t>
  </si>
  <si>
    <t>2020-029-PB</t>
  </si>
  <si>
    <t>GOODSIB-2020-08</t>
  </si>
  <si>
    <t>20OI0134</t>
  </si>
  <si>
    <t>20-08-248</t>
  </si>
  <si>
    <t>Bidding No. 04E-09-01-2020</t>
  </si>
  <si>
    <t>Invitation to Bid 20-47</t>
  </si>
  <si>
    <t>20-00009</t>
  </si>
  <si>
    <t>08-12-20</t>
  </si>
  <si>
    <t>20-00010</t>
  </si>
  <si>
    <t>2008130</t>
  </si>
  <si>
    <t>PBDD-PR-2020-07-001</t>
  </si>
  <si>
    <t>INFRA-11-2020</t>
  </si>
  <si>
    <t>DD-2020-08-05</t>
  </si>
  <si>
    <t>ITB No. 2020-INFRA-8(01) BRGY. BALIRONG</t>
  </si>
  <si>
    <t>INFRA-2020-23</t>
  </si>
  <si>
    <t>SF-20-15</t>
  </si>
  <si>
    <t>PGC-ITB-20200812-1</t>
  </si>
  <si>
    <t>PR-2020-2006</t>
  </si>
  <si>
    <t>20-00011</t>
  </si>
  <si>
    <t>RFQ # 20-08-080 (Goods)</t>
  </si>
  <si>
    <t>PR-2020-1593</t>
  </si>
  <si>
    <t>2020-AP-08-37</t>
  </si>
  <si>
    <t>BACNAMPICUAN2020-035</t>
  </si>
  <si>
    <t>PR-2020-1356</t>
  </si>
  <si>
    <t>121-20</t>
  </si>
  <si>
    <t>DVO-200903-04</t>
  </si>
  <si>
    <t>20OI0136</t>
  </si>
  <si>
    <t>INFRA-03-2020</t>
  </si>
  <si>
    <t>20-08-08</t>
  </si>
  <si>
    <t>119-20</t>
  </si>
  <si>
    <t>BAC 2020-44</t>
  </si>
  <si>
    <t>BAG-1-2020-057</t>
  </si>
  <si>
    <t>125-20</t>
  </si>
  <si>
    <t>DVO-200903-01</t>
  </si>
  <si>
    <t>122-20</t>
  </si>
  <si>
    <t>20BBGOODS-001</t>
  </si>
  <si>
    <t>05-20 p</t>
  </si>
  <si>
    <t>BUG-OT ITB 2020-02</t>
  </si>
  <si>
    <t>04-20p</t>
  </si>
  <si>
    <t>124-20</t>
  </si>
  <si>
    <t>123</t>
  </si>
  <si>
    <t>RI-675-2020</t>
  </si>
  <si>
    <t>BGH - 08 - 0136</t>
  </si>
  <si>
    <t>DVO-200903-08</t>
  </si>
  <si>
    <t>128-20</t>
  </si>
  <si>
    <t>DVO-200903-07</t>
  </si>
  <si>
    <t>DVO-200903-02</t>
  </si>
  <si>
    <t>20IC0081</t>
  </si>
  <si>
    <t>DVO-200903-06</t>
  </si>
  <si>
    <t>DVO-200903-05</t>
  </si>
  <si>
    <t>ITB No. 01-CW-2020</t>
  </si>
  <si>
    <t>DVO-200903-03</t>
  </si>
  <si>
    <t>BS 20-08-0831</t>
  </si>
  <si>
    <t>2020081201</t>
  </si>
  <si>
    <t>20FB0164</t>
  </si>
  <si>
    <t>127-20</t>
  </si>
  <si>
    <t>RFQ NO. 76</t>
  </si>
  <si>
    <t>2050-01c01-02</t>
  </si>
  <si>
    <t>BGH - 0135</t>
  </si>
  <si>
    <t>20IC0086</t>
  </si>
  <si>
    <t>DVO-200903-10</t>
  </si>
  <si>
    <t>20IC0084</t>
  </si>
  <si>
    <t>20IC0080</t>
  </si>
  <si>
    <t>RFQ.2020-011</t>
  </si>
  <si>
    <t>DVO-200903-09</t>
  </si>
  <si>
    <t>20IC0083</t>
  </si>
  <si>
    <t>IB No. 2020-042</t>
  </si>
  <si>
    <t>DVO-200903-12</t>
  </si>
  <si>
    <t>20IC0085</t>
  </si>
  <si>
    <t>2020-012-1</t>
  </si>
  <si>
    <t>Goods-001-2020</t>
  </si>
  <si>
    <t>0033-05-2020-B</t>
  </si>
  <si>
    <t>20FB0165</t>
  </si>
  <si>
    <t>DVO-200903-11</t>
  </si>
  <si>
    <t>2020-0083</t>
  </si>
  <si>
    <t>100-2008-853</t>
  </si>
  <si>
    <t>DVO-200903-14</t>
  </si>
  <si>
    <t>HILONGOS 2020-243</t>
  </si>
  <si>
    <t>6-07122020</t>
  </si>
  <si>
    <t>20A00214 (Rebid)</t>
  </si>
  <si>
    <t>2020-08-12-01</t>
  </si>
  <si>
    <t>ITB No. 02-CW-2020</t>
  </si>
  <si>
    <t>2020-GEN. FUND-ITB-015</t>
  </si>
  <si>
    <t>BS 20-08-TM01</t>
  </si>
  <si>
    <t>Binmisor 025-2020</t>
  </si>
  <si>
    <t>ITB. Brgy. Biga</t>
  </si>
  <si>
    <t>7-07122020</t>
  </si>
  <si>
    <t>02-010-2020</t>
  </si>
  <si>
    <t>INFRASIB-2020-19</t>
  </si>
  <si>
    <t>BS 20-08-0834</t>
  </si>
  <si>
    <t>BS 20-08-PR006</t>
  </si>
  <si>
    <t>20-203</t>
  </si>
  <si>
    <t>2020-013-1</t>
  </si>
  <si>
    <t>GOODS#2020-5</t>
  </si>
  <si>
    <t>20FB0166</t>
  </si>
  <si>
    <t>20ED0137</t>
  </si>
  <si>
    <t>TAL-08-34-2020</t>
  </si>
  <si>
    <t>20ED0138</t>
  </si>
  <si>
    <t>BFPX 2020-09</t>
  </si>
  <si>
    <t>2020-GEN. FUND-ITB-014</t>
  </si>
  <si>
    <t>GS-2020-11</t>
  </si>
  <si>
    <t>2020-015-1</t>
  </si>
  <si>
    <t>2020-07-105</t>
  </si>
  <si>
    <t>211586</t>
  </si>
  <si>
    <t>TAL-08-35-2020</t>
  </si>
  <si>
    <t>8-07122020</t>
  </si>
  <si>
    <t>INFRASIB-2020-20</t>
  </si>
  <si>
    <t>MNDEO-PUBLIC BIDDING-014-2020</t>
  </si>
  <si>
    <t>200048</t>
  </si>
  <si>
    <t>211585</t>
  </si>
  <si>
    <t>20CB-GSC-517	PURCHAS OF DIESEL FOR WMO</t>
  </si>
  <si>
    <t>BS 20-08-0829</t>
  </si>
  <si>
    <t>LGU-BALINGASAG-9005-20-092</t>
  </si>
  <si>
    <t>10-07122020</t>
  </si>
  <si>
    <t>BS 20-08-0828</t>
  </si>
  <si>
    <t>200049</t>
  </si>
  <si>
    <t>211584</t>
  </si>
  <si>
    <t>B-127-2020</t>
  </si>
  <si>
    <t>BS 20-07-0728-1</t>
  </si>
  <si>
    <t>2020-014-1</t>
  </si>
  <si>
    <t>ITB 2020-08-052</t>
  </si>
  <si>
    <t>REF #051-08-2020</t>
  </si>
  <si>
    <t>BS 20-08-0832</t>
  </si>
  <si>
    <t>2020815</t>
  </si>
  <si>
    <t>19MG0175</t>
  </si>
  <si>
    <t>BS 20-08-0830</t>
  </si>
  <si>
    <t>INFR-2020-12</t>
  </si>
  <si>
    <t>20CG0271</t>
  </si>
  <si>
    <t>100-20-08-426</t>
  </si>
  <si>
    <t>20CG0270</t>
  </si>
  <si>
    <t>20CG0269</t>
  </si>
  <si>
    <t>20-07-026</t>
  </si>
  <si>
    <t>1168-20</t>
  </si>
  <si>
    <t>2020-374</t>
  </si>
  <si>
    <t>BS 20-07-0722-1</t>
  </si>
  <si>
    <t>08-12-01</t>
  </si>
  <si>
    <t>IB No. 2020-043</t>
  </si>
  <si>
    <t>2020-017-1</t>
  </si>
  <si>
    <t>G3-20-1634</t>
  </si>
  <si>
    <t>PB-2020-164-022</t>
  </si>
  <si>
    <t>2020-018-1</t>
  </si>
  <si>
    <t>20CG0268</t>
  </si>
  <si>
    <t>0820-118</t>
  </si>
  <si>
    <t>20CG0272</t>
  </si>
  <si>
    <t>2020-08-266</t>
  </si>
  <si>
    <t>INF-ITB 20-041</t>
  </si>
  <si>
    <t>202008120002</t>
  </si>
  <si>
    <t>20GA00003</t>
  </si>
  <si>
    <t>G3-20-1633</t>
  </si>
  <si>
    <t>ITB No.10.August 10,2020.GSO.LGU.Lugait</t>
  </si>
  <si>
    <t>RFQ NO. 81</t>
  </si>
  <si>
    <t>0820-119</t>
  </si>
  <si>
    <t>Goods 01</t>
  </si>
  <si>
    <t>PB-2020-184-013</t>
  </si>
  <si>
    <t>20M00191</t>
  </si>
  <si>
    <t>20PD0084</t>
  </si>
  <si>
    <t>C10-20-1629</t>
  </si>
  <si>
    <t>PR082000656</t>
  </si>
  <si>
    <t>20PD0130</t>
  </si>
  <si>
    <t>19MG0176</t>
  </si>
  <si>
    <t>RFQ NO. 83</t>
  </si>
  <si>
    <t>ITB-2020-PW-12- Macatunao</t>
  </si>
  <si>
    <t>C10-20-1628</t>
  </si>
  <si>
    <t>INFR-2020-10</t>
  </si>
  <si>
    <t>ITB 2020-08-051</t>
  </si>
  <si>
    <t>010-2020</t>
  </si>
  <si>
    <t>2020-0084</t>
  </si>
  <si>
    <t>CDC 62-08-2020</t>
  </si>
  <si>
    <t>011-2020</t>
  </si>
  <si>
    <t>B2020-104-A</t>
  </si>
  <si>
    <t>Electrification/Modernization of Electrical System</t>
  </si>
  <si>
    <t>ITB2020-09-01 MEDICINES</t>
  </si>
  <si>
    <t>129-20</t>
  </si>
  <si>
    <t>2020-06-005</t>
  </si>
  <si>
    <t>2020-07-018</t>
  </si>
  <si>
    <t>20M00192</t>
  </si>
  <si>
    <t>CW-BUK-RESTO-NIS-TALAKAG IP-2020</t>
  </si>
  <si>
    <t>102-2020</t>
  </si>
  <si>
    <t>2020-08-89</t>
  </si>
  <si>
    <t>2020-08-32</t>
  </si>
  <si>
    <t>20GA00004</t>
  </si>
  <si>
    <t>2020-08-267</t>
  </si>
  <si>
    <t>ITB No. (INF) 2020-08-116 IMPROVEMENT OF LEGISLATI</t>
  </si>
  <si>
    <t>IB No. 2020-236</t>
  </si>
  <si>
    <t>2020-08-86</t>
  </si>
  <si>
    <t>INF-ITB 20-042</t>
  </si>
  <si>
    <t>211587</t>
  </si>
  <si>
    <t>PR 2020-07-156</t>
  </si>
  <si>
    <t>RP-37-2020</t>
  </si>
  <si>
    <t>9-07122020</t>
  </si>
  <si>
    <t>1167-20</t>
  </si>
  <si>
    <t>INFRASIB-2020-21</t>
  </si>
  <si>
    <t>BAC-GS 2020-215 (MROD PR No. 1000032999)</t>
  </si>
  <si>
    <t>34</t>
  </si>
  <si>
    <t>RB-09032020-A</t>
  </si>
  <si>
    <t>LGULILA-08-2020</t>
  </si>
  <si>
    <t>QES-08-012-20</t>
  </si>
  <si>
    <t>20AJ0101 (Republish)</t>
  </si>
  <si>
    <t>2020-30g</t>
  </si>
  <si>
    <t>PGR-GOODS-12-2020</t>
  </si>
  <si>
    <t>GOODS-20-42</t>
  </si>
  <si>
    <t>2020-016-1</t>
  </si>
  <si>
    <t>GPG-B1-2020-358-3RD REBID-25 UNITS BRAND NEW TRACT</t>
  </si>
  <si>
    <t>ATI-RTC3-2020-0106</t>
  </si>
  <si>
    <t>ATI-RTC3-2020-0105</t>
  </si>
  <si>
    <t>ITB No.12.August 10,2020.GSO.LGU.Lugait</t>
  </si>
  <si>
    <t>INFR-2020-13</t>
  </si>
  <si>
    <t>GPG-B1-2020-357-REBID-BRAND NEW TRACTORS (90HP)</t>
  </si>
  <si>
    <t>ITB No.13.August 10,2020.GSO.LGU.Lugait</t>
  </si>
  <si>
    <t>ITB2020-09-02</t>
  </si>
  <si>
    <t>IB-2020-110-INFRA</t>
  </si>
  <si>
    <t>ITB2020-09-04</t>
  </si>
  <si>
    <t>RGAO-PR-11276</t>
  </si>
  <si>
    <t>ITB No.11.August 10,2020.GSO.LGU.Lugait</t>
  </si>
  <si>
    <t>2020-179-I</t>
  </si>
  <si>
    <t>4PS-2020-06-0248</t>
  </si>
  <si>
    <t>2020-07-268</t>
  </si>
  <si>
    <t>27-20 cw</t>
  </si>
  <si>
    <t>4PS-2020-06-0229</t>
  </si>
  <si>
    <t>ITB 2020-195</t>
  </si>
  <si>
    <t>ITB 2020-197</t>
  </si>
  <si>
    <t>ITB2020-09-03</t>
  </si>
  <si>
    <t>PR NO. 100-8751-20-08-0821</t>
  </si>
  <si>
    <t>OfficeSupplies-02</t>
  </si>
  <si>
    <t>ITB 2020-024</t>
  </si>
  <si>
    <t>101-2020-08-223-057</t>
  </si>
  <si>
    <t>IB-2020-116-INFRA</t>
  </si>
  <si>
    <t>IB-2020-115-INFRA</t>
  </si>
  <si>
    <t>080</t>
  </si>
  <si>
    <t>101-2020-08-222-056</t>
  </si>
  <si>
    <t>IB-2020-114-INFRA</t>
  </si>
  <si>
    <t>2020-181-I</t>
  </si>
  <si>
    <t>B20-26-01</t>
  </si>
  <si>
    <t>B20-26-02</t>
  </si>
  <si>
    <t>G-2020-032</t>
  </si>
  <si>
    <t>2020-180-I</t>
  </si>
  <si>
    <t>PEZA-HO-2020-003</t>
  </si>
  <si>
    <t>IB-2020-112-INFRA</t>
  </si>
  <si>
    <t>300-20-08-013</t>
  </si>
  <si>
    <t>2019-003</t>
  </si>
  <si>
    <t>20-DO-0090</t>
  </si>
  <si>
    <t>INFRA 2020-06</t>
  </si>
  <si>
    <t>20-DO-0089</t>
  </si>
  <si>
    <t>IB-2020-117-INFRA</t>
  </si>
  <si>
    <t>BCS-2020-0288</t>
  </si>
  <si>
    <t>2020-0002</t>
  </si>
  <si>
    <t>G-2020-034</t>
  </si>
  <si>
    <t>BCS-2020-0286</t>
  </si>
  <si>
    <t>INFRA 2020-07</t>
  </si>
  <si>
    <t>IB-2020-121-INFRA</t>
  </si>
  <si>
    <t>EMB-R4B-32-20</t>
  </si>
  <si>
    <t>EMB-R4B-31-20</t>
  </si>
  <si>
    <t>G-2020-033</t>
  </si>
  <si>
    <t>015-20</t>
  </si>
  <si>
    <t>IB-2020-119-INFRA</t>
  </si>
  <si>
    <t>20-DO-0091</t>
  </si>
  <si>
    <t>2020-0378</t>
  </si>
  <si>
    <t>INFR-2020-039</t>
  </si>
  <si>
    <t>193559</t>
  </si>
  <si>
    <t>IB-2020-120-INFRA</t>
  </si>
  <si>
    <t>101-2020-08-224-058</t>
  </si>
  <si>
    <t>ITB 2020-011</t>
  </si>
  <si>
    <t>20CSFI03</t>
  </si>
  <si>
    <t>BCS-2020-0285</t>
  </si>
  <si>
    <t>INFR-2020-040</t>
  </si>
  <si>
    <t>DBS-007-2020</t>
  </si>
  <si>
    <t>BCS-2020-0287</t>
  </si>
  <si>
    <t>DTP-CY20-GOODS-005</t>
  </si>
  <si>
    <t>2020-0250</t>
  </si>
  <si>
    <t>2020-0429</t>
  </si>
  <si>
    <t>RFQ NO. SVP-048-2020</t>
  </si>
  <si>
    <t>INFR-2020-038</t>
  </si>
  <si>
    <t>20S035</t>
  </si>
  <si>
    <t>G-2020-035</t>
  </si>
  <si>
    <t>PZDS-2020-08-060-IB</t>
  </si>
  <si>
    <t>IB No. GS-2020 – 098</t>
  </si>
  <si>
    <t>2020-08-0012</t>
  </si>
  <si>
    <t>ICT-02</t>
  </si>
  <si>
    <t>GOODS-041-2020</t>
  </si>
  <si>
    <t>20F00128</t>
  </si>
  <si>
    <t>20F00115</t>
  </si>
  <si>
    <t>ADH-20-0948-B</t>
  </si>
  <si>
    <t>GOODS2020-09-01</t>
  </si>
  <si>
    <t>CRN-PB-024-GOODS-2020</t>
  </si>
  <si>
    <t>I-20-08-017</t>
  </si>
  <si>
    <t>ITB-2020-62</t>
  </si>
  <si>
    <t>ITB-2020-59</t>
  </si>
  <si>
    <t>RFQ-2020-61</t>
  </si>
  <si>
    <t>300(01)20-07-445(O)</t>
  </si>
  <si>
    <t>MG-A7M20-116</t>
  </si>
  <si>
    <t>2020-07-462</t>
  </si>
  <si>
    <t>RMP-09312020-MAT-MAG-BARMM</t>
  </si>
  <si>
    <t>2020-010H</t>
  </si>
  <si>
    <t>ICR-20GEE0052</t>
  </si>
  <si>
    <t>0368</t>
  </si>
  <si>
    <t>2020-628-07</t>
  </si>
  <si>
    <t>2020-07-459</t>
  </si>
  <si>
    <t>JIAB-2020-38A</t>
  </si>
  <si>
    <t>2020-009H</t>
  </si>
  <si>
    <t>JIAB-2020-37A</t>
  </si>
  <si>
    <t>nlp2020-23</t>
  </si>
  <si>
    <t>JIAB-2020-35A</t>
  </si>
  <si>
    <t>20GSK00017</t>
  </si>
  <si>
    <t>20GSK00009 - Re-ITB</t>
  </si>
  <si>
    <t>JIAB-2020-39A</t>
  </si>
  <si>
    <t>IB-2020-113-INFRA</t>
  </si>
  <si>
    <t>2020-08-448</t>
  </si>
  <si>
    <t>JIAB-2020-36A</t>
  </si>
  <si>
    <t>IB No. GS-2020 – 097</t>
  </si>
  <si>
    <t>2020-08-13-20DF20 (INFRA)</t>
  </si>
  <si>
    <t>IB2020-005I</t>
  </si>
  <si>
    <t>M-20-24</t>
  </si>
  <si>
    <t>IB2020-005H</t>
  </si>
  <si>
    <t>IB2020-005G</t>
  </si>
  <si>
    <t>IB2020-005F</t>
  </si>
  <si>
    <t>IB2020-005J</t>
  </si>
  <si>
    <t>IB2020-005E</t>
  </si>
  <si>
    <t>G2020-08-003</t>
  </si>
  <si>
    <t>2020-08-447</t>
  </si>
  <si>
    <t>LGU-BLU-20-08-065</t>
  </si>
  <si>
    <t>20GSK00018</t>
  </si>
  <si>
    <t>2020-109</t>
  </si>
  <si>
    <t>CB(B)-20-026(LSB-DEPED)</t>
  </si>
  <si>
    <t>2020-108</t>
  </si>
  <si>
    <t>IB2020-005C</t>
  </si>
  <si>
    <t>IB2020-005A</t>
  </si>
  <si>
    <t>IB2020-004</t>
  </si>
  <si>
    <t>SEHS 2020_017</t>
  </si>
  <si>
    <t>ITB-2020-60</t>
  </si>
  <si>
    <t>ITB No. 2020-02(4)</t>
  </si>
  <si>
    <t>ITB No. 2020-02(3)</t>
  </si>
  <si>
    <t>AVRC-2020-04-0150</t>
  </si>
  <si>
    <t>ITB No. 2020-02(1)</t>
  </si>
  <si>
    <t>SEHS 2020_021</t>
  </si>
  <si>
    <t>ITB No. 2020-01(4)</t>
  </si>
  <si>
    <t>ITB No. 2020-01(2)</t>
  </si>
  <si>
    <t>DA7-08-FOD-L-20-2347</t>
  </si>
  <si>
    <t>IB2020-005D</t>
  </si>
  <si>
    <t>Tanudan005</t>
  </si>
  <si>
    <t>ITB No. 2020-01(3)</t>
  </si>
  <si>
    <t>infra 058-2020</t>
  </si>
  <si>
    <t>ITB No. 2020-08-003</t>
  </si>
  <si>
    <t>BAC-SBSL-MEO-2020-14A</t>
  </si>
  <si>
    <t>2020-07-30009</t>
  </si>
  <si>
    <t>SVP-VJLN-2020-07-0737 GAA</t>
  </si>
  <si>
    <t>Expansion, Repair &amp; Maintenance of Production Cent</t>
  </si>
  <si>
    <t>20GKJ0006</t>
  </si>
  <si>
    <t>Const.Repair,DecloggingDrainageCanalBrgy.SnRoque,T</t>
  </si>
  <si>
    <t>IB2020-005B</t>
  </si>
  <si>
    <t>2020-08-0878 TDG</t>
  </si>
  <si>
    <t>SANTIAGO, I. SUR 20-077</t>
  </si>
  <si>
    <t>BINALONAN-2020-79</t>
  </si>
  <si>
    <t>SF-G-SB-2020-22</t>
  </si>
  <si>
    <t>August 11, 2020</t>
  </si>
  <si>
    <t>SANTIAGO, I. SUR 20-076</t>
  </si>
  <si>
    <t>2020-08-09-20DF20 (INFRA)</t>
  </si>
  <si>
    <t>infra 059-2020</t>
  </si>
  <si>
    <t>KABATUAN202001</t>
  </si>
  <si>
    <t>ITB No. 2020-02(2)</t>
  </si>
  <si>
    <t>infra 057-2020</t>
  </si>
  <si>
    <t>ITB GOODS 2020-08-55</t>
  </si>
  <si>
    <t>SANTIAGO, I. SUR 20-075</t>
  </si>
  <si>
    <t>Supplies 313-2020</t>
  </si>
  <si>
    <t>20-024</t>
  </si>
  <si>
    <t>20-025</t>
  </si>
  <si>
    <t>056-LGU-LAOANG-2020</t>
  </si>
  <si>
    <t>RR-2019-L31(savings)</t>
  </si>
  <si>
    <t>RR-2019-L1</t>
  </si>
  <si>
    <t>infra 062-2020</t>
  </si>
  <si>
    <t>2020-08-0007</t>
  </si>
  <si>
    <t>2020-06-102</t>
  </si>
  <si>
    <t>TINOC-2020-08-GOODS</t>
  </si>
  <si>
    <t>20DN0182</t>
  </si>
  <si>
    <t>2020-08-59-20DF20(INFRA)</t>
  </si>
  <si>
    <t>2020-06-101</t>
  </si>
  <si>
    <t>infra 061-2020</t>
  </si>
  <si>
    <t>Goods-038-2020</t>
  </si>
  <si>
    <t>IB2020-005N</t>
  </si>
  <si>
    <t>20-027</t>
  </si>
  <si>
    <t>INFRA 2020-008</t>
  </si>
  <si>
    <t>20DN0181</t>
  </si>
  <si>
    <t>infra 060-2020</t>
  </si>
  <si>
    <t>2020-08-35-GF19(INFRA)</t>
  </si>
  <si>
    <t>Aboitiz-2020-L17</t>
  </si>
  <si>
    <t>Goods-2020-PB-O1</t>
  </si>
  <si>
    <t>2020-08-051-20DF20(INFRA)</t>
  </si>
  <si>
    <t>IB2020-005M</t>
  </si>
  <si>
    <t>2020-08-43-20DF20 (INFRA)</t>
  </si>
  <si>
    <t>INFRA 2K20-55</t>
  </si>
  <si>
    <t>IB2020-005K</t>
  </si>
  <si>
    <t>NP-08-43-20</t>
  </si>
  <si>
    <t>INFRA-PRO1-06-2020</t>
  </si>
  <si>
    <t>8112020-047</t>
  </si>
  <si>
    <t>IB2020-005L</t>
  </si>
  <si>
    <t>20HN0117</t>
  </si>
  <si>
    <t>20DN0184</t>
  </si>
  <si>
    <t>ITB 100-2020-08-02</t>
  </si>
  <si>
    <t>2020-08-35-GF18(INFRA)</t>
  </si>
  <si>
    <t>LGU-ROX-CWC-24-2020</t>
  </si>
  <si>
    <t>KADIWA-2020-003</t>
  </si>
  <si>
    <t>20200811</t>
  </si>
  <si>
    <t>20DN0183</t>
  </si>
  <si>
    <t>PB 08-02-2020</t>
  </si>
  <si>
    <t>CMC GOODS 20-08-007</t>
  </si>
  <si>
    <t>300(18)20-08-483(O)</t>
  </si>
  <si>
    <t>Goods-039-2020</t>
  </si>
  <si>
    <t>002116</t>
  </si>
  <si>
    <t>20DN0186</t>
  </si>
  <si>
    <t>ITB 100-2020-08-01</t>
  </si>
  <si>
    <t>2020-07-0306</t>
  </si>
  <si>
    <t>2020-08-46-20DF20(INFRA)</t>
  </si>
  <si>
    <t>3-01-001-20-070A (Re-bidding)</t>
  </si>
  <si>
    <t>G-2020-08-017 GF2020</t>
  </si>
  <si>
    <t>2020-003-08</t>
  </si>
  <si>
    <t>2020-07-160</t>
  </si>
  <si>
    <t>ITB No. 2020-01(1)</t>
  </si>
  <si>
    <t>20HN0118</t>
  </si>
  <si>
    <t>SOLANO 097-2020</t>
  </si>
  <si>
    <t>08-11-02</t>
  </si>
  <si>
    <t>HFW-2020-06-0214</t>
  </si>
  <si>
    <t>PROJECT ID NO. I-2020-017</t>
  </si>
  <si>
    <t>2020-08-10-20DF20(INFRA)</t>
  </si>
  <si>
    <t>G-2020-07-021-GF SB3</t>
  </si>
  <si>
    <t>2020-08-0877 TDG</t>
  </si>
  <si>
    <t>2020-07-161</t>
  </si>
  <si>
    <t>Goods-2020-015 - Rebid</t>
  </si>
  <si>
    <t>SOLANO 096-2020</t>
  </si>
  <si>
    <t>20DN0185</t>
  </si>
  <si>
    <t>PB 2020-011</t>
  </si>
  <si>
    <t>PB-G-001-2020</t>
  </si>
  <si>
    <t>20DN0187</t>
  </si>
  <si>
    <t>20-07-0413</t>
  </si>
  <si>
    <t>2020-08-015-016</t>
  </si>
  <si>
    <t>20B00024 (re-ad)</t>
  </si>
  <si>
    <t>2020-07-146</t>
  </si>
  <si>
    <t>MGPQ-BN-JCS-2020-08-001 (2)</t>
  </si>
  <si>
    <t>20-MDF-07</t>
  </si>
  <si>
    <t>2020-02-INFRA-AUGUST-06</t>
  </si>
  <si>
    <t>100-20-08-95</t>
  </si>
  <si>
    <t>2020-00-03</t>
  </si>
  <si>
    <t>08-11-01</t>
  </si>
  <si>
    <t>IB No. GS-2020 – 099</t>
  </si>
  <si>
    <t>SF-G-MEO-CO-2020-21</t>
  </si>
  <si>
    <t>081120-H01</t>
  </si>
  <si>
    <t>ITB 2020-005</t>
  </si>
  <si>
    <t>ITB 2020-31</t>
  </si>
  <si>
    <t>2020-08-013-014</t>
  </si>
  <si>
    <t>2020-02-INFRA-AUGUST-08</t>
  </si>
  <si>
    <t>2020-041 Face Shields</t>
  </si>
  <si>
    <t>SOLANO 099-2020</t>
  </si>
  <si>
    <t>V08112020-221</t>
  </si>
  <si>
    <t>001-08-11-2020</t>
  </si>
  <si>
    <t>20-SEF-001</t>
  </si>
  <si>
    <t>PGBH-2020-0199 PR2020-0581</t>
  </si>
  <si>
    <t>202008110001</t>
  </si>
  <si>
    <t>GOOD-2020-005</t>
  </si>
  <si>
    <t>PB-INF-002-2020</t>
  </si>
  <si>
    <t>DTI8.REGRO.20-08112</t>
  </si>
  <si>
    <t>PB-GS-2020-014</t>
  </si>
  <si>
    <t>20GM0084</t>
  </si>
  <si>
    <t>SN20-07-726</t>
  </si>
  <si>
    <t>081120-B1</t>
  </si>
  <si>
    <t>GDS-406-2020</t>
  </si>
  <si>
    <t>GOOD-2020-008</t>
  </si>
  <si>
    <t>GOOD-2020-007</t>
  </si>
  <si>
    <t>20GP00088</t>
  </si>
  <si>
    <t>BAC-BLE-2020-07-025</t>
  </si>
  <si>
    <t>BAC-HO GS No. 2020-0501 dated 30 July 2020</t>
  </si>
  <si>
    <t>PB-GS-2020-016</t>
  </si>
  <si>
    <t>019-2020</t>
  </si>
  <si>
    <t>2020-PLA-086</t>
  </si>
  <si>
    <t>2020-08-0338</t>
  </si>
  <si>
    <t>PEO-2020-0200 PR2020-0582</t>
  </si>
  <si>
    <t>SJ-20-223</t>
  </si>
  <si>
    <t>2020-029</t>
  </si>
  <si>
    <t>2020-06-119</t>
  </si>
  <si>
    <t>20-08-0178</t>
  </si>
  <si>
    <t>SOLANO 098-2020</t>
  </si>
  <si>
    <t>CONTRACT ID: 20-03-070 REBID</t>
  </si>
  <si>
    <t>GOOD-2020-006</t>
  </si>
  <si>
    <t>2020-02-INFRA-AUGUST-07</t>
  </si>
  <si>
    <t>PB-GS-2020-015</t>
  </si>
  <si>
    <t>2020-07-164</t>
  </si>
  <si>
    <t>IB-2020-118-INFRA</t>
  </si>
  <si>
    <t>08-11-03</t>
  </si>
  <si>
    <t>IB-2020-111-INFRA</t>
  </si>
  <si>
    <t>ITB2020-09-05</t>
  </si>
  <si>
    <t>2020-08-449</t>
  </si>
  <si>
    <t>ITB 2020-012</t>
  </si>
  <si>
    <t>IB NO. PB-2020-08-25</t>
  </si>
  <si>
    <t>PR No:2020-06-186</t>
  </si>
  <si>
    <t>MKWD2020-065</t>
  </si>
  <si>
    <t>GOOD-2020-012</t>
  </si>
  <si>
    <t>2020-08-0173</t>
  </si>
  <si>
    <t>GOOD-2020-011</t>
  </si>
  <si>
    <t>BARANGAY PANDAN-2020-08-001</t>
  </si>
  <si>
    <t>SVP 2020-422</t>
  </si>
  <si>
    <t>20GDQ0026</t>
  </si>
  <si>
    <t>GOOD-2020-010</t>
  </si>
  <si>
    <t>DOLO-2020-08-001</t>
  </si>
  <si>
    <t>B083-2020</t>
  </si>
  <si>
    <t>INFRA-2020-242</t>
  </si>
  <si>
    <t>infra-2020-005</t>
  </si>
  <si>
    <t>ABC20-07-002</t>
  </si>
  <si>
    <t>20-08-0177</t>
  </si>
  <si>
    <t>GOOD-2020-014</t>
  </si>
  <si>
    <t>IB-0811 #1 Package 61</t>
  </si>
  <si>
    <t>R3-2020-CS-01</t>
  </si>
  <si>
    <t>2020-03-0096</t>
  </si>
  <si>
    <t>211571</t>
  </si>
  <si>
    <t>ITB-2020-006</t>
  </si>
  <si>
    <t>2020-08-450</t>
  </si>
  <si>
    <t>211570</t>
  </si>
  <si>
    <t>Infra-2020-14</t>
  </si>
  <si>
    <t>026-2020-PB</t>
  </si>
  <si>
    <t>FY2019DILG-AM-03</t>
  </si>
  <si>
    <t>PRN 055</t>
  </si>
  <si>
    <t>ITB No. 2020-028</t>
  </si>
  <si>
    <t>PSAPSOISUR-2020-003</t>
  </si>
  <si>
    <t>AGGDS2020-0812</t>
  </si>
  <si>
    <t>211569</t>
  </si>
  <si>
    <t>ITB No. GOODS-20-132</t>
  </si>
  <si>
    <t>infra-2020-006</t>
  </si>
  <si>
    <t>GOOD-2020-013</t>
  </si>
  <si>
    <t>SN20-04-412</t>
  </si>
  <si>
    <t>UBAUB ITB 01-2020</t>
  </si>
  <si>
    <t>INFRA-CB-2020-07-006</t>
  </si>
  <si>
    <t>DTI8.REGRO.20-08114</t>
  </si>
  <si>
    <t>KAP-20-21</t>
  </si>
  <si>
    <t>27921-001, 27919-001</t>
  </si>
  <si>
    <t>025-2020-PB</t>
  </si>
  <si>
    <t>081120-B2</t>
  </si>
  <si>
    <t>GOOD-2020-009</t>
  </si>
  <si>
    <t>2020-08-0339</t>
  </si>
  <si>
    <t>PRN 054</t>
  </si>
  <si>
    <t>G2020-006</t>
  </si>
  <si>
    <t>211579</t>
  </si>
  <si>
    <t>HFW-2020-06-0218</t>
  </si>
  <si>
    <t>2020-31G</t>
  </si>
  <si>
    <t>211580</t>
  </si>
  <si>
    <t>ITB No. 2020-01(5)</t>
  </si>
  <si>
    <t>211576</t>
  </si>
  <si>
    <t>2020-293</t>
  </si>
  <si>
    <t>2020-GOODS-002NP-02-0812</t>
  </si>
  <si>
    <t>211577</t>
  </si>
  <si>
    <t>ABC20-07-001</t>
  </si>
  <si>
    <t>211573</t>
  </si>
  <si>
    <t>20-08-0174</t>
  </si>
  <si>
    <t>B-CW-2020-038</t>
  </si>
  <si>
    <t>BGHMCPB-2020-28-001</t>
  </si>
  <si>
    <t>211575</t>
  </si>
  <si>
    <t>211574</t>
  </si>
  <si>
    <t>2020-74</t>
  </si>
  <si>
    <t>SAN-ADN-EQUIPMENT-2020-02</t>
  </si>
  <si>
    <t>R3-2020-CS-03</t>
  </si>
  <si>
    <t>20GM0083</t>
  </si>
  <si>
    <t>IB-0811 #2 Package 62</t>
  </si>
  <si>
    <t>2020-292</t>
  </si>
  <si>
    <t>211578</t>
  </si>
  <si>
    <t>HFW-2020-06-0217</t>
  </si>
  <si>
    <t>lgu-2020-034</t>
  </si>
  <si>
    <t>B-G-2020-116</t>
  </si>
  <si>
    <t>211583</t>
  </si>
  <si>
    <t>LDF20-08-034</t>
  </si>
  <si>
    <t>2020-08-70-20DF20 (INFRA)</t>
  </si>
  <si>
    <t>LDF20-08-035</t>
  </si>
  <si>
    <t>5827-clsu-2020</t>
  </si>
  <si>
    <t>CW-ALPIP-02-2020</t>
  </si>
  <si>
    <t>20GBC0010</t>
  </si>
  <si>
    <t>ITB 20-08-010</t>
  </si>
  <si>
    <t>2020-08-0072</t>
  </si>
  <si>
    <t>LDF20-08-031</t>
  </si>
  <si>
    <t>ITB No. 2020-04-004</t>
  </si>
  <si>
    <t>20GB00029 (re-ad)</t>
  </si>
  <si>
    <t>IB-0811 #3 Package 63</t>
  </si>
  <si>
    <t>ITB2020-09-01 BUGA-BUGA</t>
  </si>
  <si>
    <t>PSAPSOISUR-2020-005</t>
  </si>
  <si>
    <t>I-2020-3</t>
  </si>
  <si>
    <t>B-125-2020</t>
  </si>
  <si>
    <t>PB-2020-08-45</t>
  </si>
  <si>
    <t>ADS II GOODS -020-03</t>
  </si>
  <si>
    <t>B-124-2020</t>
  </si>
  <si>
    <t>SJ 2020-02-INFRA</t>
  </si>
  <si>
    <t>ITB-DARFO12-2020-0685</t>
  </si>
  <si>
    <t>PSAPSOISUR-2020-006</t>
  </si>
  <si>
    <t>2020-08-71-20DF20(INFRA)</t>
  </si>
  <si>
    <t>BARANGAY HIMO-AW 1</t>
  </si>
  <si>
    <t>08112001</t>
  </si>
  <si>
    <t>ITB-DARFO12-2020-0686</t>
  </si>
  <si>
    <t>CW-ALPIP-03-2020</t>
  </si>
  <si>
    <t>PB-2020-08-43</t>
  </si>
  <si>
    <t>R3-2020-CS-05</t>
  </si>
  <si>
    <t>5828-clsu-2020</t>
  </si>
  <si>
    <t>20-08-659</t>
  </si>
  <si>
    <t>INFRA-2020-36</t>
  </si>
  <si>
    <t>R3-2020-CS-07</t>
  </si>
  <si>
    <t>BAC-NP NO. 2020-07</t>
  </si>
  <si>
    <t>2020-08-0179</t>
  </si>
  <si>
    <t>2020-08-0171</t>
  </si>
  <si>
    <t>B-G-2020-048</t>
  </si>
  <si>
    <t>R3-2020-CS-10</t>
  </si>
  <si>
    <t>ITB-DARFO12-2020-0688</t>
  </si>
  <si>
    <t>ITB-DARFO12-2020-0689</t>
  </si>
  <si>
    <t>PB 20-03-20</t>
  </si>
  <si>
    <t>PB-2020-08-44</t>
  </si>
  <si>
    <t>2020-02-130</t>
  </si>
  <si>
    <t>INFRA-2020-35</t>
  </si>
  <si>
    <t>2020-08-54-20DF20(INFRA)</t>
  </si>
  <si>
    <t>B-123-2020</t>
  </si>
  <si>
    <t>SJ 2020-12-INFRA</t>
  </si>
  <si>
    <t>CDC 61-08-2020</t>
  </si>
  <si>
    <t>ITB2020-09-01 BALITE</t>
  </si>
  <si>
    <t>ITB No. 20-078: Supply and Delivery of Three Hundr</t>
  </si>
  <si>
    <t>20-08-0175</t>
  </si>
  <si>
    <t>ITB-DARFO12-2020-0687</t>
  </si>
  <si>
    <t>LDF20-08-036</t>
  </si>
  <si>
    <t>20NI0086</t>
  </si>
  <si>
    <t>R3-2020-CS-02</t>
  </si>
  <si>
    <t>INFRA-2020-243</t>
  </si>
  <si>
    <t>INFRA-CB-2020-07-007</t>
  </si>
  <si>
    <t>2020-08-0172</t>
  </si>
  <si>
    <t>027-2020-PB</t>
  </si>
  <si>
    <t>211572</t>
  </si>
  <si>
    <t>079</t>
  </si>
  <si>
    <t>211582</t>
  </si>
  <si>
    <t>20GBC0011</t>
  </si>
  <si>
    <t>211581</t>
  </si>
  <si>
    <t>GOODS20-08-055</t>
  </si>
  <si>
    <t>20K00358</t>
  </si>
  <si>
    <t>GF-20-02-00229B</t>
  </si>
  <si>
    <t>GF-20-03-00482</t>
  </si>
  <si>
    <t>GF-20-07-01052</t>
  </si>
  <si>
    <t>ITB-DARFO12-2020-0692</t>
  </si>
  <si>
    <t>PSAPSOISUR-2020-007</t>
  </si>
  <si>
    <t>MG-A7T20-062</t>
  </si>
  <si>
    <t>GF-20-05-00719</t>
  </si>
  <si>
    <t>IB No. 2020-028-I</t>
  </si>
  <si>
    <t>GF-20-09-3C-QCU</t>
  </si>
  <si>
    <t>BARANGAY HIMO-AW 4</t>
  </si>
  <si>
    <t>MG-A7T20-066</t>
  </si>
  <si>
    <t>GF-20-05-00718</t>
  </si>
  <si>
    <t>ANTIPOLO-01SEPTEMBER2020-01</t>
  </si>
  <si>
    <t>ITB-DARFO12-2020-0690</t>
  </si>
  <si>
    <t>PR NO. 020-05-20</t>
  </si>
  <si>
    <t>08-01059</t>
  </si>
  <si>
    <t>NIAR3-2020-BULO SRIP-G3</t>
  </si>
  <si>
    <t>RB-09032020-B</t>
  </si>
  <si>
    <t>08-01051</t>
  </si>
  <si>
    <t>20BF0067</t>
  </si>
  <si>
    <t>ITB-INFRA-2020-08-005</t>
  </si>
  <si>
    <t>2020-GOODS-05</t>
  </si>
  <si>
    <t>BAC 2020-G09</t>
  </si>
  <si>
    <t>20CB-GSC-515	PURCHASE OF TOKENS  FOR MILESTONES AN</t>
  </si>
  <si>
    <t>PB 20-03-21</t>
  </si>
  <si>
    <t>CW2020-03</t>
  </si>
  <si>
    <t>20-204</t>
  </si>
  <si>
    <t>20K00360</t>
  </si>
  <si>
    <t>20CB-GSC-516	PURCHASE OF SPAREPARTS FOR HEAVY EQUI</t>
  </si>
  <si>
    <t>GF-20-05-00710</t>
  </si>
  <si>
    <t>20-08-0392</t>
  </si>
  <si>
    <t>PSAPSOISUR-2020-010</t>
  </si>
  <si>
    <t>PB 20-03-23</t>
  </si>
  <si>
    <t>ITB No. 2020 –MECH VENT–110</t>
  </si>
  <si>
    <t>20K00359</t>
  </si>
  <si>
    <t>ITB No. 2020-INFANT VENT-100</t>
  </si>
  <si>
    <t>INFRA20-08-061</t>
  </si>
  <si>
    <t>SEF-20-08-01196</t>
  </si>
  <si>
    <t>LGU-BALINGASAG-9005-20-091</t>
  </si>
  <si>
    <t>PSAPSOISUR-2020-009</t>
  </si>
  <si>
    <t>R1-ISIMO-20-08-030</t>
  </si>
  <si>
    <t>GOODS-2020-165</t>
  </si>
  <si>
    <t>BID20-23</t>
  </si>
  <si>
    <t>20GO0106</t>
  </si>
  <si>
    <t>PSAPSOISUR-2020-014</t>
  </si>
  <si>
    <t>PSAPSOISUR-2020-012</t>
  </si>
  <si>
    <t>INFRA 2K20-59</t>
  </si>
  <si>
    <t>ITB No. 2020-XRAY-109</t>
  </si>
  <si>
    <t>PR082000653</t>
  </si>
  <si>
    <t>20K00357</t>
  </si>
  <si>
    <t>SM2020-08-015</t>
  </si>
  <si>
    <t>GOODS-2020-172</t>
  </si>
  <si>
    <t>PB 20-03-22</t>
  </si>
  <si>
    <t>20-03-043</t>
  </si>
  <si>
    <t>20MGU-072</t>
  </si>
  <si>
    <t>GO-20-08-057</t>
  </si>
  <si>
    <t>SM2020-08-016</t>
  </si>
  <si>
    <t>PR20-014</t>
  </si>
  <si>
    <t>PENRO-2020-15</t>
  </si>
  <si>
    <t>PSAPSOISUR-2020-017</t>
  </si>
  <si>
    <t>PSAPSOISUR-2020-019</t>
  </si>
  <si>
    <t>GOODS-2020-160</t>
  </si>
  <si>
    <t>GOODS-2020-169</t>
  </si>
  <si>
    <t>GOODS-2020-168</t>
  </si>
  <si>
    <t>GF-20-05-00713</t>
  </si>
  <si>
    <t>PSAPSOISUR-2020-016</t>
  </si>
  <si>
    <t>PSAPSOISUR-2020-015</t>
  </si>
  <si>
    <t>02-20</t>
  </si>
  <si>
    <t>INFR-2020-047</t>
  </si>
  <si>
    <t>INFR-2020-046</t>
  </si>
  <si>
    <t>CID No. 20IO0095</t>
  </si>
  <si>
    <t>INFR-2020-045</t>
  </si>
  <si>
    <t>CW53-2020</t>
  </si>
  <si>
    <t>C-024-20</t>
  </si>
  <si>
    <t>20MGU-078</t>
  </si>
  <si>
    <t>INFR-2020-041</t>
  </si>
  <si>
    <t>PSAPSOISUR-2020-018</t>
  </si>
  <si>
    <t>20MGU-077</t>
  </si>
  <si>
    <t>C-023-20</t>
  </si>
  <si>
    <t>20MGU-079</t>
  </si>
  <si>
    <t>INFR-2020-043</t>
  </si>
  <si>
    <t>SM2020-08-017</t>
  </si>
  <si>
    <t>20MGU-075</t>
  </si>
  <si>
    <t>20MGU-074</t>
  </si>
  <si>
    <t>G41-2020</t>
  </si>
  <si>
    <t>PSAPSOISUR-2020-020</t>
  </si>
  <si>
    <t>20MGU-076</t>
  </si>
  <si>
    <t>20MGU-073</t>
  </si>
  <si>
    <t>PSAPSOISUR-2020-011</t>
  </si>
  <si>
    <t>SM2020-08-014</t>
  </si>
  <si>
    <t>20GO0105</t>
  </si>
  <si>
    <t>INFR-2020-042</t>
  </si>
  <si>
    <t>GOODS-2020-166</t>
  </si>
  <si>
    <t>INFRA-2020-08-51</t>
  </si>
  <si>
    <t>20-07-00457</t>
  </si>
  <si>
    <t>GF-20-03-00494</t>
  </si>
  <si>
    <t>R1-ISIMO-20-08-029</t>
  </si>
  <si>
    <t>GOODS-2020-171</t>
  </si>
  <si>
    <t>2020-08-0181</t>
  </si>
  <si>
    <t>R1-ISIMO-20-08-028</t>
  </si>
  <si>
    <t>DVO-200903-13</t>
  </si>
  <si>
    <t>2020-231</t>
  </si>
  <si>
    <t>20IC0082</t>
  </si>
  <si>
    <t>20FB0163</t>
  </si>
  <si>
    <t>GF-20-05-00787</t>
  </si>
  <si>
    <t>ITB-2020-08-010</t>
  </si>
  <si>
    <t>20IC0079</t>
  </si>
  <si>
    <t>2020-08-465</t>
  </si>
  <si>
    <t>RFQ NO. 77</t>
  </si>
  <si>
    <t>ITB No. Poblacion</t>
  </si>
  <si>
    <t>20-07-009-A-PO</t>
  </si>
  <si>
    <t>NAPASET LUNA,LU 2020-08-01</t>
  </si>
  <si>
    <t>126-20</t>
  </si>
  <si>
    <t>2020-236</t>
  </si>
  <si>
    <t>PR 4-20-07-0878 - CWD</t>
  </si>
  <si>
    <t>Aklan BAC ITB 450 Series of 2020</t>
  </si>
  <si>
    <t>PSAPSOISUR-2020-008</t>
  </si>
  <si>
    <t>GOODS-2020-167</t>
  </si>
  <si>
    <t>G2020-007</t>
  </si>
  <si>
    <t>GOODS-2020-37</t>
  </si>
  <si>
    <t>INFR-2020-048</t>
  </si>
  <si>
    <t>2020-003-2</t>
  </si>
  <si>
    <t>2020-002-2</t>
  </si>
  <si>
    <t>CID No. 20IO0097</t>
  </si>
  <si>
    <t>130-20</t>
  </si>
  <si>
    <t>2020-004-2</t>
  </si>
  <si>
    <t>CID No. 20IO0096</t>
  </si>
  <si>
    <t>2020-SIB-11</t>
  </si>
  <si>
    <t>2020-007-2</t>
  </si>
  <si>
    <t>TIEZA-83-2020</t>
  </si>
  <si>
    <t>2020-010-2</t>
  </si>
  <si>
    <t>CB(B)-20-026 (GTLMH)</t>
  </si>
  <si>
    <t>2020-005-2</t>
  </si>
  <si>
    <t>Sahud -Ulan 2020-02</t>
  </si>
  <si>
    <t>2020-SIB-12</t>
  </si>
  <si>
    <t>2020-008-2</t>
  </si>
  <si>
    <t>CB(B)-20-020 (GTLMH)</t>
  </si>
  <si>
    <t>017</t>
  </si>
  <si>
    <t>2020-SIB-14</t>
  </si>
  <si>
    <t>20CW-GSC-028</t>
  </si>
  <si>
    <t>20CW-GSC-027</t>
  </si>
  <si>
    <t>2020-SIB-13</t>
  </si>
  <si>
    <t>20CW-GSC-026</t>
  </si>
  <si>
    <t>Invititation to Bid-2020-002</t>
  </si>
  <si>
    <t>ITB 2020-08-012</t>
  </si>
  <si>
    <t>2020-SIB-17</t>
  </si>
  <si>
    <t>CB(B)-20-027 (CHO)</t>
  </si>
  <si>
    <t>20CW-GSC-029</t>
  </si>
  <si>
    <t>LIN-LDN-08-11-20</t>
  </si>
  <si>
    <t>2020-006-2</t>
  </si>
  <si>
    <t>20O00063</t>
  </si>
  <si>
    <t>2020-SIB-15</t>
  </si>
  <si>
    <t>20CW-GSC-025</t>
  </si>
  <si>
    <t>2020-011-2</t>
  </si>
  <si>
    <t>CB(B)-20-023 (GTLMH)</t>
  </si>
  <si>
    <t>2020-SIB-16</t>
  </si>
  <si>
    <t>ITB 2020-196</t>
  </si>
  <si>
    <t>20O00019</t>
  </si>
  <si>
    <t>PHILGEPS-2020-21</t>
  </si>
  <si>
    <t>20DG0052</t>
  </si>
  <si>
    <t>ITA-03-2020</t>
  </si>
  <si>
    <t>20CW-GSC-030</t>
  </si>
  <si>
    <t>GOODS</t>
  </si>
  <si>
    <t>CB(B)-20-021 (GTLMH)</t>
  </si>
  <si>
    <t>2020-009-2</t>
  </si>
  <si>
    <t>PB-20-402</t>
  </si>
  <si>
    <t>IB NO. CW-2020-001</t>
  </si>
  <si>
    <t>PHILGEPS-2020-22</t>
  </si>
  <si>
    <t>PROJECT REF. NO. 08-01-2020-INFRA-DATAL BILA</t>
  </si>
  <si>
    <t>PB-20-086</t>
  </si>
  <si>
    <t>PB-20-400</t>
  </si>
  <si>
    <t>20O00028</t>
  </si>
  <si>
    <t>LIN-LDN-08-11-20A</t>
  </si>
  <si>
    <t>PB-20-404</t>
  </si>
  <si>
    <t>20DG0054</t>
  </si>
  <si>
    <t>20DG0053</t>
  </si>
  <si>
    <t>PB-20-403</t>
  </si>
  <si>
    <t>PB-20-401</t>
  </si>
  <si>
    <t>11 August 2020</t>
  </si>
  <si>
    <t>PB-20-413</t>
  </si>
  <si>
    <t>fm-pcc-clsu</t>
  </si>
  <si>
    <t>fm-pcc-usf</t>
  </si>
  <si>
    <t>SLM-Quarter02</t>
  </si>
  <si>
    <t>PHILGEPS-2020-23</t>
  </si>
  <si>
    <t>fm-pcc-mlpc</t>
  </si>
  <si>
    <t>1011-20-08-06</t>
  </si>
  <si>
    <t>fm-gene pool</t>
  </si>
  <si>
    <t>PB-20-405</t>
  </si>
  <si>
    <t>fm-pcc-uplb</t>
  </si>
  <si>
    <t>SF Infra 2020-20</t>
  </si>
  <si>
    <t>SEF-0678, 0677, 0676, 0679-072020</t>
  </si>
  <si>
    <t>SF Infra 2020-21</t>
  </si>
  <si>
    <t>2020-E002</t>
  </si>
  <si>
    <t>17202008072</t>
  </si>
  <si>
    <t>17202008071</t>
  </si>
  <si>
    <t>fm-pcc-lcsf</t>
  </si>
  <si>
    <t>SF Infra 2020-19</t>
  </si>
  <si>
    <t>2020-0024</t>
  </si>
  <si>
    <t>BAC-IB-2020-007</t>
  </si>
  <si>
    <t>fm-pcc-wvsu</t>
  </si>
  <si>
    <t>fm-pcc-mmsu</t>
  </si>
  <si>
    <t>07-02-2020-08-835</t>
  </si>
  <si>
    <t>PGL 20-106</t>
  </si>
  <si>
    <t>PGL 20-105</t>
  </si>
  <si>
    <t>INFRA-3-2020-12</t>
  </si>
  <si>
    <t>PGL 20-103</t>
  </si>
  <si>
    <t>PGL 20-102</t>
  </si>
  <si>
    <t>PGL 20-101</t>
  </si>
  <si>
    <t>MS2020-08-037.7</t>
  </si>
  <si>
    <t>MS2020-08-037.6</t>
  </si>
  <si>
    <t>PGL 20-104</t>
  </si>
  <si>
    <t>MS2020-08-037.4</t>
  </si>
  <si>
    <t>MS2020-08-037.5</t>
  </si>
  <si>
    <t>MS2020-08-037.2</t>
  </si>
  <si>
    <t>PGL 20-107</t>
  </si>
  <si>
    <t>MS2020-08-037.8</t>
  </si>
  <si>
    <t>MS2020-08-037.3</t>
  </si>
  <si>
    <t>PGL 20-108</t>
  </si>
  <si>
    <t>DOT-BAC-IB NO. 2020-008</t>
  </si>
  <si>
    <t>276</t>
  </si>
  <si>
    <t>2020-CW-08-02</t>
  </si>
  <si>
    <t>2020-CW-08-01</t>
  </si>
  <si>
    <t>PB-08112020-2</t>
  </si>
  <si>
    <t>MS2020-08-037.9</t>
  </si>
  <si>
    <t>MS2020-08-037.1</t>
  </si>
  <si>
    <t>MDF CY 18 to 20 - 03</t>
  </si>
  <si>
    <t>PR#20-08-076</t>
  </si>
  <si>
    <t>2020-INFRA-348</t>
  </si>
  <si>
    <t>ITB-INFRA-PROPOSED REHABILITATION OF MULTI-PURPOSE</t>
  </si>
  <si>
    <t>KB-INFRA-2020-08</t>
  </si>
  <si>
    <t>OGDS 08-10-20</t>
  </si>
  <si>
    <t>DCWD2020 - BID 011</t>
  </si>
  <si>
    <t>081020-H01</t>
  </si>
  <si>
    <t>MS2020-08-037.12</t>
  </si>
  <si>
    <t>MG-A7M20-123</t>
  </si>
  <si>
    <t>MS2020-08-037.11</t>
  </si>
  <si>
    <t>20-293</t>
  </si>
  <si>
    <t>ITB No. 0111-Infra-2020</t>
  </si>
  <si>
    <t>LGU-AL-34-2020</t>
  </si>
  <si>
    <t>MS2020-08-037.10</t>
  </si>
  <si>
    <t>R3-2020-07-009</t>
  </si>
  <si>
    <t>2020-INFRA-349</t>
  </si>
  <si>
    <t>20GGK0009</t>
  </si>
  <si>
    <t>INFRA-2020-47</t>
  </si>
  <si>
    <t>Goods-037-2020</t>
  </si>
  <si>
    <t>BB-01-08-2020-GOODS</t>
  </si>
  <si>
    <t>20-06-0121</t>
  </si>
  <si>
    <t>MOP-2019-10</t>
  </si>
  <si>
    <t>PR# 20-08-0774</t>
  </si>
  <si>
    <t>2020-INFRA-350</t>
  </si>
  <si>
    <t>INFRA-2020-48</t>
  </si>
  <si>
    <t>2020-07-002</t>
  </si>
  <si>
    <t>M-20-26</t>
  </si>
  <si>
    <t>08-01061</t>
  </si>
  <si>
    <t>INFRA-2020-50</t>
  </si>
  <si>
    <t>135</t>
  </si>
  <si>
    <t>HOD-2020-0783</t>
  </si>
  <si>
    <t>MDF 2020 - 04</t>
  </si>
  <si>
    <t>B070-2020</t>
  </si>
  <si>
    <t>BAYLEGOOD0820079</t>
  </si>
  <si>
    <t>2020-548</t>
  </si>
  <si>
    <t>PB20200810-047</t>
  </si>
  <si>
    <t>BAYLECON0820081</t>
  </si>
  <si>
    <t>CGS-2020-021 (RE-BID)</t>
  </si>
  <si>
    <t>BAYLECON0820080</t>
  </si>
  <si>
    <t>ITB 2020 - 092</t>
  </si>
  <si>
    <t>ITB 2020 - 091</t>
  </si>
  <si>
    <t>B071-2020</t>
  </si>
  <si>
    <t>B069-2020</t>
  </si>
  <si>
    <t>CB(B)-20-027(LSB-DEPED)</t>
  </si>
  <si>
    <t>INFRA-2020-51</t>
  </si>
  <si>
    <t>GUA-2020-08-001</t>
  </si>
  <si>
    <t>06-01-2020-08-836</t>
  </si>
  <si>
    <t>PGL INFRA 20-059</t>
  </si>
  <si>
    <t>PB20200810-049</t>
  </si>
  <si>
    <t>2020-08-109A</t>
  </si>
  <si>
    <t>PGL INFRA 20-057</t>
  </si>
  <si>
    <t>2020-08-265</t>
  </si>
  <si>
    <t>221-20-7-07</t>
  </si>
  <si>
    <t>B073-2020</t>
  </si>
  <si>
    <t>07-SND-LDN-10-2020</t>
  </si>
  <si>
    <t>134</t>
  </si>
  <si>
    <t>LGU - Quirino GOODS 2020 - 005</t>
  </si>
  <si>
    <t>G-2020-33</t>
  </si>
  <si>
    <t>PGL INFRA 20-058</t>
  </si>
  <si>
    <t>BAYLECON0820083</t>
  </si>
  <si>
    <t>B072-2020</t>
  </si>
  <si>
    <t>BAYLEGOOD0820082</t>
  </si>
  <si>
    <t>PB20200810-048</t>
  </si>
  <si>
    <t>2020-GOODS-44</t>
  </si>
  <si>
    <t>07-01036</t>
  </si>
  <si>
    <t>00167-2020</t>
  </si>
  <si>
    <t>2020-03-005_TAGAPUA</t>
  </si>
  <si>
    <t>B079-2020</t>
  </si>
  <si>
    <t>ITB No. 054-2020 GQ</t>
  </si>
  <si>
    <t>B078-2020</t>
  </si>
  <si>
    <t>2020-GOODS-43</t>
  </si>
  <si>
    <t>INF-2020-005</t>
  </si>
  <si>
    <t>019-0920-CP</t>
  </si>
  <si>
    <t>B076-2020</t>
  </si>
  <si>
    <t>2020-06-421</t>
  </si>
  <si>
    <t>2020-infralom-001</t>
  </si>
  <si>
    <t>B077-2020</t>
  </si>
  <si>
    <t>2020-09-01-459PG</t>
  </si>
  <si>
    <t>2020-08-023-PB</t>
  </si>
  <si>
    <t>B075-2020</t>
  </si>
  <si>
    <t>12-08-2020</t>
  </si>
  <si>
    <t>2020-09-01-457PG</t>
  </si>
  <si>
    <t>01-05-2020-08-837</t>
  </si>
  <si>
    <t>2020-09-01-458PG</t>
  </si>
  <si>
    <t>2020-09-01-456PG</t>
  </si>
  <si>
    <t>2020-GOODS-33</t>
  </si>
  <si>
    <t>20KK0133</t>
  </si>
  <si>
    <t>ITB-0810 Package 60</t>
  </si>
  <si>
    <t>2020-09-01-455PG</t>
  </si>
  <si>
    <t>B082-2020</t>
  </si>
  <si>
    <t>sj 2020 b sep 001</t>
  </si>
  <si>
    <t>00168-2020</t>
  </si>
  <si>
    <t>101-2020-07-408,413,414,416</t>
  </si>
  <si>
    <t>BAC-LOC-01-2020</t>
  </si>
  <si>
    <t>2020- 8- 10</t>
  </si>
  <si>
    <t>0810202001</t>
  </si>
  <si>
    <t>B2 PEO 200-20-08-09850</t>
  </si>
  <si>
    <t>101-2020-07-436</t>
  </si>
  <si>
    <t>INFRA-2020-49</t>
  </si>
  <si>
    <t>2020-06-0585</t>
  </si>
  <si>
    <t>2020-POBLACION-045</t>
  </si>
  <si>
    <t>2020-01-0042</t>
  </si>
  <si>
    <t>101-2020-07-435</t>
  </si>
  <si>
    <t>20MADD0038</t>
  </si>
  <si>
    <t>LGU-ROX-CWC-19-2020</t>
  </si>
  <si>
    <t>MNE-G-2020-08-015</t>
  </si>
  <si>
    <t>RRECIS20-CS-032-20</t>
  </si>
  <si>
    <t>08-110-2020</t>
  </si>
  <si>
    <t>20MADD0037</t>
  </si>
  <si>
    <t>ITB GOODS 20-08-015</t>
  </si>
  <si>
    <t>AMH 300-20-07-09513</t>
  </si>
  <si>
    <t>PB20-07-003BACa-08 Lot 2</t>
  </si>
  <si>
    <t>BAC INFRA 2020-09-001</t>
  </si>
  <si>
    <t>BAC INFRA 2020-09-002</t>
  </si>
  <si>
    <t>20MADD0036</t>
  </si>
  <si>
    <t>EGPIP20-CS-006-19-2</t>
  </si>
  <si>
    <t>ADS-1802-20</t>
  </si>
  <si>
    <t>PB20-07-003BACa-08 Lot 1</t>
  </si>
  <si>
    <t>2020-02-0241, 2020-02-0386, 2020-03-0450</t>
  </si>
  <si>
    <t>0388</t>
  </si>
  <si>
    <t>20MADD0035</t>
  </si>
  <si>
    <t>2020-02-0143, 2020-02-0168</t>
  </si>
  <si>
    <t>LAMISCA IMO 08-10-2020 GOODS</t>
  </si>
  <si>
    <t>C.Y. 2020 Basic Educational Facilities Fund (BEFF)</t>
  </si>
  <si>
    <t>B081-2020</t>
  </si>
  <si>
    <t>B080-2020</t>
  </si>
  <si>
    <t>MEDICINE 2020-07-0001</t>
  </si>
  <si>
    <t>08102020-A</t>
  </si>
  <si>
    <t>B074-2020</t>
  </si>
  <si>
    <t>BLGUMALAYUGAN-CW-2020-003</t>
  </si>
  <si>
    <t>101-2020-07-404,405,406</t>
  </si>
  <si>
    <t>2020810</t>
  </si>
  <si>
    <t>28-2020</t>
  </si>
  <si>
    <t>PGL INFRA 20-060</t>
  </si>
  <si>
    <t>SJ-20-220</t>
  </si>
  <si>
    <t>I-2020-023</t>
  </si>
  <si>
    <t>LGU-ROX-CWC-20-2020</t>
  </si>
  <si>
    <t>MNE-G-2020-08-016</t>
  </si>
  <si>
    <t>ITB-20-08048</t>
  </si>
  <si>
    <t>2020-110</t>
  </si>
  <si>
    <t>Mkna-GSO-20-338</t>
  </si>
  <si>
    <t>2020-GOODS-347</t>
  </si>
  <si>
    <t>S2-DOO20-011</t>
  </si>
  <si>
    <t>01-05-2020-08-838</t>
  </si>
  <si>
    <t>ADS-1800-20</t>
  </si>
  <si>
    <t>LGU-ROX-CWC-22-2020</t>
  </si>
  <si>
    <t>RRENIS20-CS-LCPIS-038-20</t>
  </si>
  <si>
    <t>08-210-2020</t>
  </si>
  <si>
    <t>2020-07-437,2020-07-435,2020-07-438</t>
  </si>
  <si>
    <t>LGU-ROX-CWC-21-2020</t>
  </si>
  <si>
    <t>PGR-INFRA-2020-07-11</t>
  </si>
  <si>
    <t>300-20-07-0826</t>
  </si>
  <si>
    <t>BS 20-07-0810</t>
  </si>
  <si>
    <t>ITB GOODS 20-08-016</t>
  </si>
  <si>
    <t>2020-07-505</t>
  </si>
  <si>
    <t>PEPO 200-20-07-09514</t>
  </si>
  <si>
    <t>ITB GOODS 20-08-017</t>
  </si>
  <si>
    <t>20MADD0039</t>
  </si>
  <si>
    <t>TNHS PR-2020-07-039</t>
  </si>
  <si>
    <t>BS 20-07-0811</t>
  </si>
  <si>
    <t>B2020-100-A</t>
  </si>
  <si>
    <t>2020-09-01-460PG</t>
  </si>
  <si>
    <t>2020-06-445</t>
  </si>
  <si>
    <t>G-2020-293</t>
  </si>
  <si>
    <t>CONTRACT ID # 20-08-109</t>
  </si>
  <si>
    <t>2020-POBLACION-046</t>
  </si>
  <si>
    <t>081020-H03</t>
  </si>
  <si>
    <t>BS 20-07-0813</t>
  </si>
  <si>
    <t>sfbac2020-</t>
  </si>
  <si>
    <t>BS 20-07-0814</t>
  </si>
  <si>
    <t>081020-H02</t>
  </si>
  <si>
    <t>B2020-103-A</t>
  </si>
  <si>
    <t>B2020-101-A</t>
  </si>
  <si>
    <t>B2020-102-A</t>
  </si>
  <si>
    <t>ITB 008-055-2020</t>
  </si>
  <si>
    <t>BS 20-07-0815</t>
  </si>
  <si>
    <t>msj-2020-29</t>
  </si>
  <si>
    <t>sfbac2020- SAIP NO. 5 CY-2019 1000-8</t>
  </si>
  <si>
    <t>INFRA 2020-19</t>
  </si>
  <si>
    <t>2020-POBLACION-047</t>
  </si>
  <si>
    <t>BAC 2020-G08</t>
  </si>
  <si>
    <t>08-310-2020</t>
  </si>
  <si>
    <t>2020-09-01-461PG</t>
  </si>
  <si>
    <t>033-2020 PES Purchase of Various Office Supplies a</t>
  </si>
  <si>
    <t>BS 20-07-0816</t>
  </si>
  <si>
    <t>31</t>
  </si>
  <si>
    <t>32</t>
  </si>
  <si>
    <t>BS 20-07-0818</t>
  </si>
  <si>
    <t>ITB2020010</t>
  </si>
  <si>
    <t>PR No. 20-1250</t>
  </si>
  <si>
    <t>2020118</t>
  </si>
  <si>
    <t>23-01-2020-08-841</t>
  </si>
  <si>
    <t>2020119</t>
  </si>
  <si>
    <t>388548488</t>
  </si>
  <si>
    <t>ITB 21-2020</t>
  </si>
  <si>
    <t>2020-176-I</t>
  </si>
  <si>
    <t>2020-02-004</t>
  </si>
  <si>
    <t>08-10-20-01</t>
  </si>
  <si>
    <t>BS 20-07-0817</t>
  </si>
  <si>
    <t>S2-VOD20-028</t>
  </si>
  <si>
    <t>S2-VOD20-030</t>
  </si>
  <si>
    <t>IB No. K-2020-094(SC)</t>
  </si>
  <si>
    <t>LGU-BLU-20-08-064</t>
  </si>
  <si>
    <t>2020-POBLACION-048</t>
  </si>
  <si>
    <t>CONTRACT ID # 20-08-110</t>
  </si>
  <si>
    <t>ITB # 2020-44</t>
  </si>
  <si>
    <t>081020-H04</t>
  </si>
  <si>
    <t>IB No. K-2020-086(SC)</t>
  </si>
  <si>
    <t>LGU-ROX-CWC-23-2020</t>
  </si>
  <si>
    <t>sfbac2020 AP NO. 02 S. 2020</t>
  </si>
  <si>
    <t>ITB # 2020-45</t>
  </si>
  <si>
    <t>IB-2020-10-42</t>
  </si>
  <si>
    <t>IB No. K-2020-091(SC)</t>
  </si>
  <si>
    <t>ITB # 2020-46</t>
  </si>
  <si>
    <t>sfbac2020-AP NO.03 S.2020</t>
  </si>
  <si>
    <t>2020-269</t>
  </si>
  <si>
    <t>57</t>
  </si>
  <si>
    <t>LGU-BLU-20-08-063</t>
  </si>
  <si>
    <t>IB No. K-2020-092(SC)</t>
  </si>
  <si>
    <t>IB-2020-10-41</t>
  </si>
  <si>
    <t>08102020001</t>
  </si>
  <si>
    <t>BAC-GS-2020-08-015</t>
  </si>
  <si>
    <t>IB No. OE-2020-001</t>
  </si>
  <si>
    <t>BCS-2020-0280</t>
  </si>
  <si>
    <t>IB No. DE-2020-012</t>
  </si>
  <si>
    <t>2020-02-006</t>
  </si>
  <si>
    <t>IB-2020-10-45</t>
  </si>
  <si>
    <t>IB-2020-10-48</t>
  </si>
  <si>
    <t>IB-2020-10-44</t>
  </si>
  <si>
    <t>G-2020-292</t>
  </si>
  <si>
    <t>PR No. 14279 - 072120</t>
  </si>
  <si>
    <t>ITB # 2020-48</t>
  </si>
  <si>
    <t>IB-2020-10-49</t>
  </si>
  <si>
    <t>IB-2020-10-47</t>
  </si>
  <si>
    <t>IB-2020-10-46</t>
  </si>
  <si>
    <t>BCS-2020-0281</t>
  </si>
  <si>
    <t>ITB # 2020-47</t>
  </si>
  <si>
    <t>QM PABAC 033-20</t>
  </si>
  <si>
    <t>GS-P17-2020-09-02</t>
  </si>
  <si>
    <t>IB-2020-10-43</t>
  </si>
  <si>
    <t>2020-03-PR024A</t>
  </si>
  <si>
    <t>20-08-0814</t>
  </si>
  <si>
    <t>GOODS20-08-053</t>
  </si>
  <si>
    <t>DTI PB-20-014</t>
  </si>
  <si>
    <t>POCW-07-2020</t>
  </si>
  <si>
    <t>20J00217</t>
  </si>
  <si>
    <t>IB No. MM-2020-031</t>
  </si>
  <si>
    <t>POCW-08-2020</t>
  </si>
  <si>
    <t>MNP-GOODS-148-2020</t>
  </si>
  <si>
    <t>BAC-GS 2020-234 (PR No. 1000032853)</t>
  </si>
  <si>
    <t>ITB No. 20 - 30</t>
  </si>
  <si>
    <t>IB No. K-2020-083(SC)</t>
  </si>
  <si>
    <t>sfbac2020 AP NO.03 S. 2020</t>
  </si>
  <si>
    <t>PCHT PABAC2 001-20 LOT 1</t>
  </si>
  <si>
    <t>MDF 2020 - 05</t>
  </si>
  <si>
    <t>. 2020-06-446</t>
  </si>
  <si>
    <t>101-20-08-001</t>
  </si>
  <si>
    <t>ITB # 2020-49</t>
  </si>
  <si>
    <t>2020-06-025</t>
  </si>
  <si>
    <t>SM-2020-02</t>
  </si>
  <si>
    <t>NCB Publication No. 2020- 32</t>
  </si>
  <si>
    <t>1011-20-08-09</t>
  </si>
  <si>
    <t>BCS-2020-0282</t>
  </si>
  <si>
    <t>2020 INFRA 033</t>
  </si>
  <si>
    <t>2020-02-003</t>
  </si>
  <si>
    <t>2020 INFRA 035</t>
  </si>
  <si>
    <t>003-infra-2020</t>
  </si>
  <si>
    <t>20GKD0004</t>
  </si>
  <si>
    <t>GOODS20-08-054</t>
  </si>
  <si>
    <t>NCB Publication No. 2020- 31</t>
  </si>
  <si>
    <t>20MF0091</t>
  </si>
  <si>
    <t>20MF0090</t>
  </si>
  <si>
    <t>20GFE0018</t>
  </si>
  <si>
    <t>PB 2020-047</t>
  </si>
  <si>
    <t>PCHT PABAC2 001-20 LOT 3</t>
  </si>
  <si>
    <t>PCHT PABAC2 001-20 LOT 2</t>
  </si>
  <si>
    <t>LGU-Banayoyo, ISur-2020-08-066</t>
  </si>
  <si>
    <t>IB NO. 038-20</t>
  </si>
  <si>
    <t>ITB 74</t>
  </si>
  <si>
    <t>ITB 2020-017</t>
  </si>
  <si>
    <t>BAC-HO GS No. 2020-0362 dated 18 June 2020</t>
  </si>
  <si>
    <t>20-05-3125</t>
  </si>
  <si>
    <t>20GD00007</t>
  </si>
  <si>
    <t>INFRA20–08–060</t>
  </si>
  <si>
    <t>IB 2020-19</t>
  </si>
  <si>
    <t>LGU-Banayoyo, ISur 2020-08-068</t>
  </si>
  <si>
    <t>SF Infra 2020-15</t>
  </si>
  <si>
    <t>CA Procurement of Laptops -2020 - 004</t>
  </si>
  <si>
    <t>20MF0092</t>
  </si>
  <si>
    <t>angel127</t>
  </si>
  <si>
    <t>20-001</t>
  </si>
  <si>
    <t>2020-09-01-063CW</t>
  </si>
  <si>
    <t>ITB No. 20-08-18</t>
  </si>
  <si>
    <t>PB2020-06</t>
  </si>
  <si>
    <t>PB2020-05</t>
  </si>
  <si>
    <t>004-infra-2020</t>
  </si>
  <si>
    <t>LGU-Banayoyo, ISur 2020-08-070</t>
  </si>
  <si>
    <t>LGU-Banayoyo, ISur 2020-08-069</t>
  </si>
  <si>
    <t>033-08-2020</t>
  </si>
  <si>
    <t>LGU-Banayoyo, ISur 2020-08-067</t>
  </si>
  <si>
    <t>2020-07-22</t>
  </si>
  <si>
    <t>Goods-036A-2020</t>
  </si>
  <si>
    <t>TUPBACEQ-PB-07-CBP-F164-20-G</t>
  </si>
  <si>
    <t>2020-07-132(06207512)</t>
  </si>
  <si>
    <t>Goods-036B-2020</t>
  </si>
  <si>
    <t>2020-07-0376</t>
  </si>
  <si>
    <t>INFRA-2020-026</t>
  </si>
  <si>
    <t>INFRA-2020-025</t>
  </si>
  <si>
    <t>LGU-Banayoyo, ISur 2020-08-065</t>
  </si>
  <si>
    <t>cal08042020-06</t>
  </si>
  <si>
    <t>BCS-2020-0283</t>
  </si>
  <si>
    <t>8-10-20-ID3</t>
  </si>
  <si>
    <t>20CSAI003</t>
  </si>
  <si>
    <t>POW-2020-01</t>
  </si>
  <si>
    <t>CAR-ADN-2020-102</t>
  </si>
  <si>
    <t>PSU ITB 2007-102</t>
  </si>
  <si>
    <t>B-8661-20-19</t>
  </si>
  <si>
    <t>TINOC-2020-07-GOODS</t>
  </si>
  <si>
    <t>SF Goods 005</t>
  </si>
  <si>
    <t>PB-INF 2020-004</t>
  </si>
  <si>
    <t>20AA0345</t>
  </si>
  <si>
    <t>ITB 20-0077</t>
  </si>
  <si>
    <t>2020-0100</t>
  </si>
  <si>
    <t>Goods-036C-2020</t>
  </si>
  <si>
    <t>ITB 20-0076</t>
  </si>
  <si>
    <t>2008-0685-RICTMS</t>
  </si>
  <si>
    <t>PR No. 2020-07-285</t>
  </si>
  <si>
    <t>INFRA-2020-027</t>
  </si>
  <si>
    <t>792</t>
  </si>
  <si>
    <t>IP-2020-06</t>
  </si>
  <si>
    <t>20CSBF0004</t>
  </si>
  <si>
    <t>cgb2020-311</t>
  </si>
  <si>
    <t>STC-INFRA-008-2020</t>
  </si>
  <si>
    <t>REPAIRREGLPROVLOFFICELEGAZPI</t>
  </si>
  <si>
    <t>Aklan BAC ITB 444 Series of 2020</t>
  </si>
  <si>
    <t>INFRA-2020-028</t>
  </si>
  <si>
    <t>PBG-2020-34</t>
  </si>
  <si>
    <t>GDS-397-2020</t>
  </si>
  <si>
    <t>20GFH0025</t>
  </si>
  <si>
    <t>793</t>
  </si>
  <si>
    <t>TALB-08-11-2020</t>
  </si>
  <si>
    <t>B-G-2020-114</t>
  </si>
  <si>
    <t>202055</t>
  </si>
  <si>
    <t>GDS-398-2020</t>
  </si>
  <si>
    <t>B-G-2020-113</t>
  </si>
  <si>
    <t>20N00116</t>
  </si>
  <si>
    <t>08312020-119</t>
  </si>
  <si>
    <t>2020-09-11</t>
  </si>
  <si>
    <t>CP 2020-58 B</t>
  </si>
  <si>
    <t>ITB INFRA-033-2020</t>
  </si>
  <si>
    <t>SF Infra 2020-18</t>
  </si>
  <si>
    <t>3QOS-07-20</t>
  </si>
  <si>
    <t>ITB2020-010</t>
  </si>
  <si>
    <t>ITB2020-009</t>
  </si>
  <si>
    <t>BARASRIZAL2020-035</t>
  </si>
  <si>
    <t>INFRA2020-CMD-021 Construction of Fire Hydrant Sys</t>
  </si>
  <si>
    <t>MOP-2020-11</t>
  </si>
  <si>
    <t>MUNPINCE-2008-146</t>
  </si>
  <si>
    <t>MOP-2020-06</t>
  </si>
  <si>
    <t>MOP-2020-09</t>
  </si>
  <si>
    <t>08072020</t>
  </si>
  <si>
    <t>MOP-2020-04</t>
  </si>
  <si>
    <t>B-G-2020-112</t>
  </si>
  <si>
    <t>MOP-2020-07</t>
  </si>
  <si>
    <t xml:space="preserve">CW-APAYAO-L-01-2020/ NABUANGAN - CUPIZ  MAGLANGAT </t>
  </si>
  <si>
    <t>CY 2020-08-G001</t>
  </si>
  <si>
    <t>2020-G03</t>
  </si>
  <si>
    <t>MOP-2020-05</t>
  </si>
  <si>
    <t>CW-ALPIP-05-2020</t>
  </si>
  <si>
    <t>LGU-100-2020-08-857</t>
  </si>
  <si>
    <t>07-2020-1084</t>
  </si>
  <si>
    <t>2020-FOL-3Q</t>
  </si>
  <si>
    <t>LGU-100-2020-08-G-855</t>
  </si>
  <si>
    <t>2020-FOL-LANDFILL-001</t>
  </si>
  <si>
    <t>CGB-2020-08-004</t>
  </si>
  <si>
    <t>PB No. 20-025-1</t>
  </si>
  <si>
    <t>LGU-100-2020-08-858</t>
  </si>
  <si>
    <t>IB-2020-IX-01-01 CONSTRUCTION OF FEEDMILL</t>
  </si>
  <si>
    <t>20-07-597</t>
  </si>
  <si>
    <t>MP-080920-076</t>
  </si>
  <si>
    <t>8-20-02</t>
  </si>
  <si>
    <t>MP-080920-075</t>
  </si>
  <si>
    <t>2020-068</t>
  </si>
  <si>
    <t>ITB-2020-081</t>
  </si>
  <si>
    <t>DOH4A-ITB-2020-GS-009C-1 HFEP EQUIPMENT PACKAGE 3</t>
  </si>
  <si>
    <t>ITB NO. 2020-0019</t>
  </si>
  <si>
    <t>PB20200807-046</t>
  </si>
  <si>
    <t>MNE-G-2020-08-21</t>
  </si>
  <si>
    <t>ITB No. 20-29</t>
  </si>
  <si>
    <t>DA3-2020-08-04-22</t>
  </si>
  <si>
    <t>PB-CW-2020-036</t>
  </si>
  <si>
    <t>20gm0013</t>
  </si>
  <si>
    <t>jayon-Bac-B-08-15-2020</t>
  </si>
  <si>
    <t>jayon-Bac-B-08-14-2020</t>
  </si>
  <si>
    <t>20gm0012</t>
  </si>
  <si>
    <t>ITB-2020-107</t>
  </si>
  <si>
    <t>20GM0011</t>
  </si>
  <si>
    <t>20GM0008(RE-BID)</t>
  </si>
  <si>
    <t>jayon-B-08-13-2020</t>
  </si>
  <si>
    <t>CNU 20-08-247</t>
  </si>
  <si>
    <t>PB-2020-184-021</t>
  </si>
  <si>
    <t>PB-CW-2020-040</t>
  </si>
  <si>
    <t>DA3-2020-08-04-23</t>
  </si>
  <si>
    <t>ITB NO. 014 OF 2020</t>
  </si>
  <si>
    <t>MP-080820-058</t>
  </si>
  <si>
    <t>20PE0091</t>
  </si>
  <si>
    <t>100-20-08-93</t>
  </si>
  <si>
    <t>Bmadasigon 2020-08</t>
  </si>
  <si>
    <t>LIMAO-BAC-15-20 (2)</t>
  </si>
  <si>
    <t>20GFL0006</t>
  </si>
  <si>
    <t>SVP No. 2020-038</t>
  </si>
  <si>
    <t>LGU-2020-047</t>
  </si>
  <si>
    <t>vict-eps20-044</t>
  </si>
  <si>
    <t>vict-eps20-041</t>
  </si>
  <si>
    <t>vict-eps20-039</t>
  </si>
  <si>
    <t>vict-eps20-042</t>
  </si>
  <si>
    <t>PB-CW-2020-041</t>
  </si>
  <si>
    <t>vict-eps20-043</t>
  </si>
  <si>
    <t>vict-eps20-040</t>
  </si>
  <si>
    <t>PB-CW-2020-039</t>
  </si>
  <si>
    <t>20OC0123</t>
  </si>
  <si>
    <t>BAC-AS-2020-07-27</t>
  </si>
  <si>
    <t>GS-2020-09</t>
  </si>
  <si>
    <t>SDOCoM-Project No. 2020-001-G (Reproduction of Gr4</t>
  </si>
  <si>
    <t>00166-2020</t>
  </si>
  <si>
    <t>MUNPINCE-2008-145</t>
  </si>
  <si>
    <t>2020-541</t>
  </si>
  <si>
    <t>20OC0117</t>
  </si>
  <si>
    <t>LGU-BALINGASAG-9005-20-087</t>
  </si>
  <si>
    <t>20OC0122</t>
  </si>
  <si>
    <t>197-2020</t>
  </si>
  <si>
    <t>LIMAO-BAC-14-20 (2)</t>
  </si>
  <si>
    <t>2020080701</t>
  </si>
  <si>
    <t>20OC0121</t>
  </si>
  <si>
    <t>196-2020</t>
  </si>
  <si>
    <t>20OC00118</t>
  </si>
  <si>
    <t>SVP-VJLN-2020-07-0785 GAA</t>
  </si>
  <si>
    <t>BAC-PGCS-019-2020</t>
  </si>
  <si>
    <t>ITB-20-06-003</t>
  </si>
  <si>
    <t>20-387</t>
  </si>
  <si>
    <t>20-441</t>
  </si>
  <si>
    <t>SOLANO 095-2020</t>
  </si>
  <si>
    <t>GDS-2020-16</t>
  </si>
  <si>
    <t>OMM-2020-02</t>
  </si>
  <si>
    <t>InTB-PGAPEO2020OIP-CW3</t>
  </si>
  <si>
    <t>nlp2020-22</t>
  </si>
  <si>
    <t>20-389</t>
  </si>
  <si>
    <t>100-1011-2020-07-578</t>
  </si>
  <si>
    <t>CATCAM-2020-25</t>
  </si>
  <si>
    <t>100-1011-2020-07-577</t>
  </si>
  <si>
    <t>CATCAM-2020-24</t>
  </si>
  <si>
    <t>100-1011-2020-07-576</t>
  </si>
  <si>
    <t>cb-infra-2020-08</t>
  </si>
  <si>
    <t>20PE0092</t>
  </si>
  <si>
    <t>100-1011-2020-07-575</t>
  </si>
  <si>
    <t>SJADS GOODS 20-14</t>
  </si>
  <si>
    <t>2020-040 Risograph Machine</t>
  </si>
  <si>
    <t>ITB No. GOP/20-DSWD-045-A</t>
  </si>
  <si>
    <t>2020-278</t>
  </si>
  <si>
    <t>20H00082</t>
  </si>
  <si>
    <t>20GH00003</t>
  </si>
  <si>
    <t>POD20-121</t>
  </si>
  <si>
    <t>S2-CMD20-002</t>
  </si>
  <si>
    <t>MG-A7T20-064</t>
  </si>
  <si>
    <t>20HC0190</t>
  </si>
  <si>
    <t>20CC0214</t>
  </si>
  <si>
    <t>MG-A7M20-119</t>
  </si>
  <si>
    <t>202008044</t>
  </si>
  <si>
    <t>S2-BIR20-011</t>
  </si>
  <si>
    <t>IB-GOODS-2020-04A Procurement of Medical, Dental a</t>
  </si>
  <si>
    <t>S2-SVP20-012</t>
  </si>
  <si>
    <t>014-20</t>
  </si>
  <si>
    <t>rpy2020-08-01</t>
  </si>
  <si>
    <t>SGLU-B-2020-08-026</t>
  </si>
  <si>
    <t>POD20-127</t>
  </si>
  <si>
    <t>IB No. 2020-08</t>
  </si>
  <si>
    <t>MG-A7M20-122</t>
  </si>
  <si>
    <t>SGLU-B-2020-08-025</t>
  </si>
  <si>
    <t>2020LGU-08-68</t>
  </si>
  <si>
    <t>PGLDN 101-20-06 1233</t>
  </si>
  <si>
    <t>S2-GIG20-008</t>
  </si>
  <si>
    <t>S2-BH220-006</t>
  </si>
  <si>
    <t>POD20-131</t>
  </si>
  <si>
    <t>POD20-129</t>
  </si>
  <si>
    <t>S2-MPP20-018</t>
  </si>
  <si>
    <t>SUPPLY AND DELIVERY OF VARIOUS ELECTRICAL SPARE PA</t>
  </si>
  <si>
    <t>LGU-100-2020-08-856</t>
  </si>
  <si>
    <t>SGLU-B-2020-08-024</t>
  </si>
  <si>
    <t>POD20-134</t>
  </si>
  <si>
    <t>20HL0115</t>
  </si>
  <si>
    <t>PGLDN 101-20-07-1284</t>
  </si>
  <si>
    <t>20-07-150</t>
  </si>
  <si>
    <t>S2-GUI20-012</t>
  </si>
  <si>
    <t>S2-GIG20-011</t>
  </si>
  <si>
    <t>2020-142-2</t>
  </si>
  <si>
    <t>G3-20-1522</t>
  </si>
  <si>
    <t>S2-CAL20-016</t>
  </si>
  <si>
    <t>2020-0096</t>
  </si>
  <si>
    <t>PGLDN 101-20-01-0223</t>
  </si>
  <si>
    <t>MPG-B1-2020-373 2nd Rebid</t>
  </si>
  <si>
    <t>SJADS INFRA 20-10</t>
  </si>
  <si>
    <t>PB-2020-002</t>
  </si>
  <si>
    <t>20HL0114</t>
  </si>
  <si>
    <t>BAC3-NIH-IMBB-PR10759</t>
  </si>
  <si>
    <t>ITB-SSS-GOODS-2020-024</t>
  </si>
  <si>
    <t>POD20-139</t>
  </si>
  <si>
    <t>SUPPLY AND DELIVERY OF VARIOUS SIZES HDPE PIPE</t>
  </si>
  <si>
    <t>20HH0150</t>
  </si>
  <si>
    <t>POD20-145</t>
  </si>
  <si>
    <t>20HH0149</t>
  </si>
  <si>
    <t>20DQ0132</t>
  </si>
  <si>
    <t>20-07-152</t>
  </si>
  <si>
    <t>20DQ0134</t>
  </si>
  <si>
    <t>MPG-B1-2020-244</t>
  </si>
  <si>
    <t>2020-B1-06-023</t>
  </si>
  <si>
    <t>2020-B1-03-009</t>
  </si>
  <si>
    <t>20-07-151</t>
  </si>
  <si>
    <t>2020-B1-02</t>
  </si>
  <si>
    <t>IB No. 2020-09</t>
  </si>
  <si>
    <t>2020-B1-07-027</t>
  </si>
  <si>
    <t>2020-B1-06-022</t>
  </si>
  <si>
    <t>2020-B2-07-025</t>
  </si>
  <si>
    <t>2020-B1-07-026</t>
  </si>
  <si>
    <t>2020-221</t>
  </si>
  <si>
    <t>GEPS-21-2020</t>
  </si>
  <si>
    <t>2020-B2-07-024</t>
  </si>
  <si>
    <t xml:space="preserve">AMP SVP-S NO: 20-08-0430 One (1) Lot Managed WiFi </t>
  </si>
  <si>
    <t>G002-08-2020</t>
  </si>
  <si>
    <t>CDH-20-0823-B</t>
  </si>
  <si>
    <t>23-2020_INFR</t>
  </si>
  <si>
    <t>CDH-20-0826-B</t>
  </si>
  <si>
    <t>15-2020_INFR</t>
  </si>
  <si>
    <t>20DB0141</t>
  </si>
  <si>
    <t>IB NO. CW 2020 - 082-B</t>
  </si>
  <si>
    <t>IB NO. CW 2020 - 113-A</t>
  </si>
  <si>
    <t>20DQ0133</t>
  </si>
  <si>
    <t>GEPS-23-2020</t>
  </si>
  <si>
    <t>IB NO. CW 2020 - 112-A</t>
  </si>
  <si>
    <t>2020-07-110</t>
  </si>
  <si>
    <t>IB NO. CW 2020 - 109-A</t>
  </si>
  <si>
    <t>IB NO. CW 2020 –  110-A</t>
  </si>
  <si>
    <t>IB NO. CW 2020 - 111-A</t>
  </si>
  <si>
    <t>20DB0140</t>
  </si>
  <si>
    <t>2020-08-28-062CW</t>
  </si>
  <si>
    <t>2020-08-28-060CW</t>
  </si>
  <si>
    <t>TCW-2020-08-03-043</t>
  </si>
  <si>
    <t>ITB-2020-08-009</t>
  </si>
  <si>
    <t>ITB-2020-08-008</t>
  </si>
  <si>
    <t>GEPS-22-2020</t>
  </si>
  <si>
    <t>20-07-0761</t>
  </si>
  <si>
    <t>2020-Goods-003</t>
  </si>
  <si>
    <t>20GD0113</t>
  </si>
  <si>
    <t>IB NO. CW 2020 - 108-A</t>
  </si>
  <si>
    <t>MPG-B1-2020-344</t>
  </si>
  <si>
    <t>2020-08-28-061CW</t>
  </si>
  <si>
    <t>PGLDN 101-20-07-1409</t>
  </si>
  <si>
    <t>2020-08-264</t>
  </si>
  <si>
    <t>06-2020-INFRA</t>
  </si>
  <si>
    <t>S2-MPP20-017</t>
  </si>
  <si>
    <t>BCS-2020-0275</t>
  </si>
  <si>
    <t>S2-TAG20-010</t>
  </si>
  <si>
    <t>100-1011-2020-07-579</t>
  </si>
  <si>
    <t>cb-infra-2020-09</t>
  </si>
  <si>
    <t>2020-3199</t>
  </si>
  <si>
    <t>20GD0112</t>
  </si>
  <si>
    <t>SJADS GOODS 20-13</t>
  </si>
  <si>
    <t>BAC PGCS-027-2020</t>
  </si>
  <si>
    <t>GS-P16-2020-09-02</t>
  </si>
  <si>
    <t>cb-infra-2020-10</t>
  </si>
  <si>
    <t>ITB 2020-47</t>
  </si>
  <si>
    <t>SF Infra 2020-13</t>
  </si>
  <si>
    <t>B-047-2020</t>
  </si>
  <si>
    <t>20FN0109</t>
  </si>
  <si>
    <t>20HL0113</t>
  </si>
  <si>
    <t>MA-A2M20-003..REHAB OF GANTRY CRANE, AGUS 1 HEP</t>
  </si>
  <si>
    <t>ITB No. 20-056 Supply and Delivery of Various Labo</t>
  </si>
  <si>
    <t xml:space="preserve">MG-A5C20-002..SUBMERSIBLE PUMP FOR POTABLE WATER, </t>
  </si>
  <si>
    <t>MG-TSE20-031..INST. OF ELECT'L. PANEL, CIRCUIT BRE</t>
  </si>
  <si>
    <t xml:space="preserve">MG-A7C20-027..FILTER GOVERNOR, UNITS 3, 4 &amp; 5 FOR </t>
  </si>
  <si>
    <t>AIP2020-DAG-2020(014)</t>
  </si>
  <si>
    <t>CAR-ADN-2020-099</t>
  </si>
  <si>
    <t>CAR-ADN-2020-097</t>
  </si>
  <si>
    <t>SF Infra 2020-12</t>
  </si>
  <si>
    <t>POD20-132</t>
  </si>
  <si>
    <t>2020-08-05-02</t>
  </si>
  <si>
    <t>MA-A2H20-019..TRANSDUCER KW MULTI PROGRAMMABLE</t>
  </si>
  <si>
    <t>SF Infra 2020-11</t>
  </si>
  <si>
    <t>MG-A5M20-071..RE-TUBING OF 7 SETS AIR COOLER AG4</t>
  </si>
  <si>
    <t>PR NO.2020-02-0001</t>
  </si>
  <si>
    <t>CAR-ADN-2020-098</t>
  </si>
  <si>
    <t>2020-08-05-03</t>
  </si>
  <si>
    <t>BSU - PROJECT NO. 2020- 292</t>
  </si>
  <si>
    <t>INFRA 2020-43</t>
  </si>
  <si>
    <t>006-08-2020</t>
  </si>
  <si>
    <t>COB BAC Goods 2020-013-01</t>
  </si>
  <si>
    <t>INFRA 2020-42</t>
  </si>
  <si>
    <t>COB BAC Goods 2020-013-02</t>
  </si>
  <si>
    <t>20-03-0163</t>
  </si>
  <si>
    <t>20HK0116</t>
  </si>
  <si>
    <t>QNV-043-2020</t>
  </si>
  <si>
    <t>20L00174</t>
  </si>
  <si>
    <t>MAR-00042I-2020</t>
  </si>
  <si>
    <t>20-08-0385</t>
  </si>
  <si>
    <t>08202002</t>
  </si>
  <si>
    <t>QNV-041-2020</t>
  </si>
  <si>
    <t>2020-2708-018</t>
  </si>
  <si>
    <t>INFRA 2020-44</t>
  </si>
  <si>
    <t>QNV-039-2020</t>
  </si>
  <si>
    <t>100-20-01-001</t>
  </si>
  <si>
    <t>ITB No. 20-074   RE-BIDDING OF ONE (1) LOT SUPPLY</t>
  </si>
  <si>
    <t>300-20-08-002</t>
  </si>
  <si>
    <t>ITB 20-08-13</t>
  </si>
  <si>
    <t>LF 2020-002</t>
  </si>
  <si>
    <t>20-07-1191-SEF</t>
  </si>
  <si>
    <t>20-07-373</t>
  </si>
  <si>
    <t>100-20-07-204</t>
  </si>
  <si>
    <t>19-12-0532</t>
  </si>
  <si>
    <t>100-20-07-206</t>
  </si>
  <si>
    <t>20MADD0034</t>
  </si>
  <si>
    <t>100-20-08-0948</t>
  </si>
  <si>
    <t>CDH-20-0824-B</t>
  </si>
  <si>
    <t>2020-02-129</t>
  </si>
  <si>
    <t>INFR-2020-11</t>
  </si>
  <si>
    <t>20HK0112</t>
  </si>
  <si>
    <t>20GOC0011</t>
  </si>
  <si>
    <t>SF Infra 2020-14</t>
  </si>
  <si>
    <t>PR0053-20 PSWDO</t>
  </si>
  <si>
    <t>103-20</t>
  </si>
  <si>
    <t>2020GUADALUPE001</t>
  </si>
  <si>
    <t>ITB NO. 013 OF 2020</t>
  </si>
  <si>
    <t>08-107-2020</t>
  </si>
  <si>
    <t>15</t>
  </si>
  <si>
    <t>2020-255-2</t>
  </si>
  <si>
    <t>PB-GS-2020-012</t>
  </si>
  <si>
    <t>PB-GS-2020-013</t>
  </si>
  <si>
    <t>infra 2020-08-001</t>
  </si>
  <si>
    <t>104-20</t>
  </si>
  <si>
    <t>PB20200807-045</t>
  </si>
  <si>
    <t>2020-02-0075</t>
  </si>
  <si>
    <t>2020-07-017</t>
  </si>
  <si>
    <t>20HK0113</t>
  </si>
  <si>
    <t>SSU-20-08-09</t>
  </si>
  <si>
    <t>2020-82</t>
  </si>
  <si>
    <t>PB-2020-184-020</t>
  </si>
  <si>
    <t>SSU-20-08-08</t>
  </si>
  <si>
    <t>MP-080920-073</t>
  </si>
  <si>
    <t>ITB-2020-08-04 CW</t>
  </si>
  <si>
    <t>ITB-2020-08-03 bayambang</t>
  </si>
  <si>
    <t>202057</t>
  </si>
  <si>
    <t>19-11-033</t>
  </si>
  <si>
    <t>MP-080920-074</t>
  </si>
  <si>
    <t>LGUBS-CW-20-1376</t>
  </si>
  <si>
    <t>Infra Projects 24-2020</t>
  </si>
  <si>
    <t>bir pb 2020-32</t>
  </si>
  <si>
    <t>ITB2020-007</t>
  </si>
  <si>
    <t>2008-002</t>
  </si>
  <si>
    <t>CW20-21</t>
  </si>
  <si>
    <t>ITB2020-006</t>
  </si>
  <si>
    <t>TALB-08-12-2020</t>
  </si>
  <si>
    <t>20HK0114</t>
  </si>
  <si>
    <t>GOODS-2020-12</t>
  </si>
  <si>
    <t>BARASRIZAL2020-034</t>
  </si>
  <si>
    <t>6000840</t>
  </si>
  <si>
    <t>2020-07-0290</t>
  </si>
  <si>
    <t>INFRA 2020-46</t>
  </si>
  <si>
    <t>goods 2020-08-001</t>
  </si>
  <si>
    <t>RFQ-060</t>
  </si>
  <si>
    <t>INFRA 2020-45</t>
  </si>
  <si>
    <t>2020 Caib 136</t>
  </si>
  <si>
    <t>08-06-2020-312</t>
  </si>
  <si>
    <t>08-06-2020-314</t>
  </si>
  <si>
    <t>08-06-2020-311</t>
  </si>
  <si>
    <t>20-09-052</t>
  </si>
  <si>
    <t>2020-128</t>
  </si>
  <si>
    <t>20GFI0003</t>
  </si>
  <si>
    <t>SD-Engineering2020-055</t>
  </si>
  <si>
    <t>2020-08-28-451PG</t>
  </si>
  <si>
    <t>SD-Engineering2019-054</t>
  </si>
  <si>
    <t>MAR-00044I-2020</t>
  </si>
  <si>
    <t>PPS-2020-0161</t>
  </si>
  <si>
    <t>INFRA 2020-48</t>
  </si>
  <si>
    <t xml:space="preserve">ITB No. 20-075  RE-BIDDING OF DESIGN AND BUILD OF </t>
  </si>
  <si>
    <t>08-06-2020-313</t>
  </si>
  <si>
    <t>08-06-2020-317</t>
  </si>
  <si>
    <t>20GFO0026</t>
  </si>
  <si>
    <t>INFRA 2020-47</t>
  </si>
  <si>
    <t>08-06-2020-316</t>
  </si>
  <si>
    <t>2020-08-28-454PG</t>
  </si>
  <si>
    <t>BGHMCPB-2020-26-001</t>
  </si>
  <si>
    <t>ITB-Goods-2020-08-041</t>
  </si>
  <si>
    <t>20200806-2</t>
  </si>
  <si>
    <t>20200806-3</t>
  </si>
  <si>
    <t>2020-08-054</t>
  </si>
  <si>
    <t>AMP SVP-D NO: 20-08-0378C</t>
  </si>
  <si>
    <t>MAR-00046I-2020</t>
  </si>
  <si>
    <t>SH-027-2020</t>
  </si>
  <si>
    <t>BS20-07-0800</t>
  </si>
  <si>
    <t>2020-08-28-452PG</t>
  </si>
  <si>
    <t>BGHMCPB-2020-26-002</t>
  </si>
  <si>
    <t>BS20-08-ME04</t>
  </si>
  <si>
    <t>BS20-08-ME05</t>
  </si>
  <si>
    <t>100-2020-goods-501</t>
  </si>
  <si>
    <t>ITB-2020-37</t>
  </si>
  <si>
    <t>20200806-4</t>
  </si>
  <si>
    <t>PEO-2020-1327</t>
  </si>
  <si>
    <t>2020-0427 dated 03 July 2020</t>
  </si>
  <si>
    <t>BS20-07-0799</t>
  </si>
  <si>
    <t>BS20-07-0808</t>
  </si>
  <si>
    <t>BPB 2020-029</t>
  </si>
  <si>
    <t>20-08-056</t>
  </si>
  <si>
    <t>BAC-HOJ-005-21</t>
  </si>
  <si>
    <t>20GCH0023</t>
  </si>
  <si>
    <t>SN-2020-08-018</t>
  </si>
  <si>
    <t>GOODS-2020-13</t>
  </si>
  <si>
    <t>20CSHJ01</t>
  </si>
  <si>
    <t>ITB 20CL0089</t>
  </si>
  <si>
    <t>20-08-053</t>
  </si>
  <si>
    <t>20200806-1</t>
  </si>
  <si>
    <t>SD-Engineering2020-056</t>
  </si>
  <si>
    <t>MAR-00045I-2020</t>
  </si>
  <si>
    <t>QNV-044-2020</t>
  </si>
  <si>
    <t>08-06-2020-315</t>
  </si>
  <si>
    <t>202056</t>
  </si>
  <si>
    <t>2020-07-0328</t>
  </si>
  <si>
    <t>ITB 05-002-20</t>
  </si>
  <si>
    <t>2020-005G</t>
  </si>
  <si>
    <t>MAR-00043I-2020</t>
  </si>
  <si>
    <t>LGU ORANI 2020-08-004</t>
  </si>
  <si>
    <t>RFQ-061</t>
  </si>
  <si>
    <t>B-G-2020-115</t>
  </si>
  <si>
    <t>INFRA 2020-18</t>
  </si>
  <si>
    <t>TCW-2020-08-05-045</t>
  </si>
  <si>
    <t>INFRA 2020-08A</t>
  </si>
  <si>
    <t>2020-G-49</t>
  </si>
  <si>
    <t>023-2020</t>
  </si>
  <si>
    <t>RFQ.2020-010</t>
  </si>
  <si>
    <t>San Jose 2020-01</t>
  </si>
  <si>
    <t>INFRA 2020-08</t>
  </si>
  <si>
    <t>PR20-08-050</t>
  </si>
  <si>
    <t>Goods-036D-2020</t>
  </si>
  <si>
    <t>SF Infra 2020-17</t>
  </si>
  <si>
    <t>2020.08.07</t>
  </si>
  <si>
    <t>Aklan BAC ITB 426 Series of 2020</t>
  </si>
  <si>
    <t>ITB 20-0078</t>
  </si>
  <si>
    <t>HS-5020308000-088-2020</t>
  </si>
  <si>
    <t>SA-INF-2020-08-0007</t>
  </si>
  <si>
    <t>2020.08.07.1</t>
  </si>
  <si>
    <t>20200721</t>
  </si>
  <si>
    <t>HS-5020308000-087-2020</t>
  </si>
  <si>
    <t>HS-5020308000-089-2020</t>
  </si>
  <si>
    <t>LDN-CMGP-01</t>
  </si>
  <si>
    <t>20BD0139</t>
  </si>
  <si>
    <t>LDN-2020-13</t>
  </si>
  <si>
    <t>SF Infra 2020-16</t>
  </si>
  <si>
    <t>2020-07-0519 DRMD</t>
  </si>
  <si>
    <t>BGHMCPB-2020-26-003</t>
  </si>
  <si>
    <t>101-2020</t>
  </si>
  <si>
    <t>BS20-07-0796</t>
  </si>
  <si>
    <t>Publication No. 2020-08</t>
  </si>
  <si>
    <t>BGHMCPB-2020-26-004</t>
  </si>
  <si>
    <t>bacgal-58-2020</t>
  </si>
  <si>
    <t>Goods-035A-2020</t>
  </si>
  <si>
    <t>PB-CW-2020-030</t>
  </si>
  <si>
    <t>GOODS 2020-10</t>
  </si>
  <si>
    <t>2020-06-164-B</t>
  </si>
  <si>
    <t>pb-gd-2020-046</t>
  </si>
  <si>
    <t>SB-2020-029</t>
  </si>
  <si>
    <t>20BD0138</t>
  </si>
  <si>
    <t>20NH0094</t>
  </si>
  <si>
    <t>INFRA-2020-05</t>
  </si>
  <si>
    <t>20CH0081</t>
  </si>
  <si>
    <t>23-d-2020-08-829</t>
  </si>
  <si>
    <t>BS20-07-0807</t>
  </si>
  <si>
    <t>BS20-08-0822</t>
  </si>
  <si>
    <t>20KE0065</t>
  </si>
  <si>
    <t>ITB-2020-38</t>
  </si>
  <si>
    <t>ITB No. (INF) 2020-08-115 CONSTRUCTION OF MULTI-PU</t>
  </si>
  <si>
    <t>2020-07-0323</t>
  </si>
  <si>
    <t>09-2020-INFRA</t>
  </si>
  <si>
    <t>ITB NO. 2020-08-042</t>
  </si>
  <si>
    <t>Goods-035D-2020</t>
  </si>
  <si>
    <t>Goods-035B-2020</t>
  </si>
  <si>
    <t>19GG00099</t>
  </si>
  <si>
    <t>Goods-035C-2020</t>
  </si>
  <si>
    <t>INFR-20-019</t>
  </si>
  <si>
    <t>2020-07-0332</t>
  </si>
  <si>
    <t>BS20-08-OE008</t>
  </si>
  <si>
    <t>SB-2020-032</t>
  </si>
  <si>
    <t>ITB No. (INF) 2020-08-114 RENOVATION OF QUINAPONDA</t>
  </si>
  <si>
    <t>20CH0080</t>
  </si>
  <si>
    <t>2020-08-28-455PG</t>
  </si>
  <si>
    <t>PB-CW-2020-031</t>
  </si>
  <si>
    <t>INFR-20-016</t>
  </si>
  <si>
    <t>20-022-3</t>
  </si>
  <si>
    <t>PB-CW-2020-034</t>
  </si>
  <si>
    <t>20FD0074</t>
  </si>
  <si>
    <t>ITB-2020-41</t>
  </si>
  <si>
    <t>HILONGOS 2020-239</t>
  </si>
  <si>
    <t>20B00064</t>
  </si>
  <si>
    <t>ITB 20-31</t>
  </si>
  <si>
    <t>PB-CW-2020-033</t>
  </si>
  <si>
    <t>MAR-00047G-2020</t>
  </si>
  <si>
    <t>001-08-06-2020</t>
  </si>
  <si>
    <t>ITB 2020-010</t>
  </si>
  <si>
    <t xml:space="preserve">ITB No. (GDS) 2020-08-020  PROCUREMENT OF MEDICAL </t>
  </si>
  <si>
    <t>SB-2020-034</t>
  </si>
  <si>
    <t>12-01-2020-08-825</t>
  </si>
  <si>
    <t>HILONGOS 2020-241</t>
  </si>
  <si>
    <t>PB-CW-2020-035</t>
  </si>
  <si>
    <t>2020080602</t>
  </si>
  <si>
    <t>SB-2020-036</t>
  </si>
  <si>
    <t>ITB-2020-42</t>
  </si>
  <si>
    <t>08202003</t>
  </si>
  <si>
    <t>IB-04-2020</t>
  </si>
  <si>
    <t>HILONGOS 2020-240</t>
  </si>
  <si>
    <t>2020080601</t>
  </si>
  <si>
    <t>9</t>
  </si>
  <si>
    <t>POD20-014</t>
  </si>
  <si>
    <t>20HK0117</t>
  </si>
  <si>
    <t>IB-03-2020</t>
  </si>
  <si>
    <t>SB-2020-035</t>
  </si>
  <si>
    <t>SB-2020-033</t>
  </si>
  <si>
    <t>LDN-CMGP-02</t>
  </si>
  <si>
    <t>PR NO. MG-IPP20-002, FUSER ASSEMBLY &amp; 3 OTHER ITEM</t>
  </si>
  <si>
    <t>ITB-2020-40</t>
  </si>
  <si>
    <t>DM-BAC-2020-0061</t>
  </si>
  <si>
    <t>ITB-2020-39</t>
  </si>
  <si>
    <t>2020-08-055</t>
  </si>
  <si>
    <t>BS20-07-0790</t>
  </si>
  <si>
    <t>2020-08-28-453PG</t>
  </si>
  <si>
    <t>BS20-07-0791</t>
  </si>
  <si>
    <t>2020080603</t>
  </si>
  <si>
    <t>IB-05-2020</t>
  </si>
  <si>
    <t>BAC-GS-2020-07-014</t>
  </si>
  <si>
    <t>IB No. GS-2020 – 075-A</t>
  </si>
  <si>
    <t>PVAO-ITB-09-MSBREPAIR-2020</t>
  </si>
  <si>
    <t>IB-06-2020</t>
  </si>
  <si>
    <t>GOODS-082620-046</t>
  </si>
  <si>
    <t>2020080606</t>
  </si>
  <si>
    <t>IB No. GS-2020 – 093</t>
  </si>
  <si>
    <t>TCW-2020-08-04-044</t>
  </si>
  <si>
    <t>Kapalong2020152</t>
  </si>
  <si>
    <t>2020080605</t>
  </si>
  <si>
    <t>ITB 2020-08-043</t>
  </si>
  <si>
    <t>IB No. GS-2020 – 094</t>
  </si>
  <si>
    <t>GOODS-082620-047</t>
  </si>
  <si>
    <t>2020080604</t>
  </si>
  <si>
    <t>DRD-GOODS-CO-2-2020</t>
  </si>
  <si>
    <t>IB No. GS-2020 – 092</t>
  </si>
  <si>
    <t>20IH0109</t>
  </si>
  <si>
    <t>2020-SBO-001</t>
  </si>
  <si>
    <t>20HK0115</t>
  </si>
  <si>
    <t>20IH0110</t>
  </si>
  <si>
    <t>20064159</t>
  </si>
  <si>
    <t>ITBPG2020-08-01</t>
  </si>
  <si>
    <t>IB No. GS-2020 – 100</t>
  </si>
  <si>
    <t>IB No. GS-2020 – 096</t>
  </si>
  <si>
    <t>20IH0108</t>
  </si>
  <si>
    <t>IB No. GS-2020 – 095</t>
  </si>
  <si>
    <t>12-01-2020-08-835</t>
  </si>
  <si>
    <t>BACNAMPICUAN2020-029</t>
  </si>
  <si>
    <t>20JA0094</t>
  </si>
  <si>
    <t>INFR-20-017</t>
  </si>
  <si>
    <t>20CG0267</t>
  </si>
  <si>
    <t>GOODS-082620-048</t>
  </si>
  <si>
    <t>BAC-2020-020</t>
  </si>
  <si>
    <t>GOODS-082620-050</t>
  </si>
  <si>
    <t>ANTIPOLO-27AUGUST2020-02</t>
  </si>
  <si>
    <t>RFQ No. 2020-99</t>
  </si>
  <si>
    <t>20074536</t>
  </si>
  <si>
    <t>SVCS-082620-049</t>
  </si>
  <si>
    <t>ITB-2020-004</t>
  </si>
  <si>
    <t>20074571</t>
  </si>
  <si>
    <t>PhilGEPS 2020-08-040</t>
  </si>
  <si>
    <t>ANTIPOLO-27AUGUST2020-04</t>
  </si>
  <si>
    <t>PR No. 142</t>
  </si>
  <si>
    <t>20074603</t>
  </si>
  <si>
    <t>20074310</t>
  </si>
  <si>
    <t>20FN0110</t>
  </si>
  <si>
    <t>ANTIPOLO-27AUGUST2020-05</t>
  </si>
  <si>
    <t>20GL0095</t>
  </si>
  <si>
    <t>20HA0136</t>
  </si>
  <si>
    <t>ANTIPOLO-27AUGUST2020-07</t>
  </si>
  <si>
    <t>Oogong-INFRA-003-2020</t>
  </si>
  <si>
    <t>ANTIPOLO-27AUGUST2020-03</t>
  </si>
  <si>
    <t>20IH0111</t>
  </si>
  <si>
    <t>ANTIPOLO-27AUGUST2020-01</t>
  </si>
  <si>
    <t>20HA0137</t>
  </si>
  <si>
    <t>ITB-GS-20200210-01</t>
  </si>
  <si>
    <t>Nasugbu ITB 20-13</t>
  </si>
  <si>
    <t>TAL-08-24-2020</t>
  </si>
  <si>
    <t>ITBPG2020-08-02</t>
  </si>
  <si>
    <t>ANTIPOLO-27AUGUST2020-06</t>
  </si>
  <si>
    <t>GOODS-082620-051</t>
  </si>
  <si>
    <t>20HA0135</t>
  </si>
  <si>
    <t>20GL0096</t>
  </si>
  <si>
    <t>ENG' 6ID, SBAC 02-2020</t>
  </si>
  <si>
    <t>20074462</t>
  </si>
  <si>
    <t>ASTGOODS30</t>
  </si>
  <si>
    <t>ITB No. 2020-001</t>
  </si>
  <si>
    <t>DRD-GOODS-CO-3-2020</t>
  </si>
  <si>
    <t>ITBPG2020-08-03</t>
  </si>
  <si>
    <t>TAL-08-25-2020</t>
  </si>
  <si>
    <t>20IH0112</t>
  </si>
  <si>
    <t>20GIB0041</t>
  </si>
  <si>
    <t>ITB 2020-0012</t>
  </si>
  <si>
    <t>DRD-GOODS-CO-4-2020</t>
  </si>
  <si>
    <t>20HA0138</t>
  </si>
  <si>
    <t>20GFN0014</t>
  </si>
  <si>
    <t>GOODS-ETG-20-08-015</t>
  </si>
  <si>
    <t>2008-0680-UCT</t>
  </si>
  <si>
    <t>tag-11-20</t>
  </si>
  <si>
    <t>20GL0097</t>
  </si>
  <si>
    <t>ITB 2020-46</t>
  </si>
  <si>
    <t>ITB-GS-20200605-02</t>
  </si>
  <si>
    <t>009-08-2020</t>
  </si>
  <si>
    <t>ITB-GS-20200326-01</t>
  </si>
  <si>
    <t>010-08-2020</t>
  </si>
  <si>
    <t>TAL-08-26-2020</t>
  </si>
  <si>
    <t>ITB 08-002-20</t>
  </si>
  <si>
    <t>Oogong-INFRA-004-2020</t>
  </si>
  <si>
    <t>PBD-2020-03_security-personnel.doc.repost</t>
  </si>
  <si>
    <t>2008-0682-PP</t>
  </si>
  <si>
    <t>2007-0677-NHTS</t>
  </si>
  <si>
    <t>2008-0687-RICTMS</t>
  </si>
  <si>
    <t>2008-0684-RICTMS</t>
  </si>
  <si>
    <t>DRD-GOODS-CO-1-2020</t>
  </si>
  <si>
    <t>BCS-2020-0271</t>
  </si>
  <si>
    <t>BCS-2020-0270</t>
  </si>
  <si>
    <t>GOODS-20-41</t>
  </si>
  <si>
    <t>2020-222</t>
  </si>
  <si>
    <t>RFQ No. 2020-100</t>
  </si>
  <si>
    <t>20GIH0017</t>
  </si>
  <si>
    <t>20-08-3174</t>
  </si>
  <si>
    <t>PhilGEPS 2020-08-041</t>
  </si>
  <si>
    <t>TAL-08-29-2020</t>
  </si>
  <si>
    <t>20GI0099</t>
  </si>
  <si>
    <t>20GFC0044</t>
  </si>
  <si>
    <t>PhilGEPS 2020-08-042</t>
  </si>
  <si>
    <t>20GBF0003</t>
  </si>
  <si>
    <t>TAL-08-30-2020</t>
  </si>
  <si>
    <t>MPG-B1-2020-418</t>
  </si>
  <si>
    <t>20GFC0045</t>
  </si>
  <si>
    <t>BCS-2020-0269</t>
  </si>
  <si>
    <t>TAL-08-28-2020</t>
  </si>
  <si>
    <t>2020-06-09B</t>
  </si>
  <si>
    <t>TAL-08-27-2020</t>
  </si>
  <si>
    <t>BCS-2020-0272</t>
  </si>
  <si>
    <t>ITB-GS-20200629-01</t>
  </si>
  <si>
    <t>PB.No. 2020-08-0053</t>
  </si>
  <si>
    <t>TAL-08-31-2020</t>
  </si>
  <si>
    <t>20GFC0048</t>
  </si>
  <si>
    <t>TAL-08-33-2020</t>
  </si>
  <si>
    <t>TAL-08-32-2020</t>
  </si>
  <si>
    <t>20GFC0049</t>
  </si>
  <si>
    <t>PBINFRA-20-001</t>
  </si>
  <si>
    <t>IB No. 2020-234</t>
  </si>
  <si>
    <t>20GFC0046</t>
  </si>
  <si>
    <t>2020-PB-014</t>
  </si>
  <si>
    <t>IB No. 2020-233</t>
  </si>
  <si>
    <t>20GFE0017</t>
  </si>
  <si>
    <t>INFRA-2020-08-07</t>
  </si>
  <si>
    <t>ITB No. 2020-03-02</t>
  </si>
  <si>
    <t>ITB No. 2020-03-01</t>
  </si>
  <si>
    <t>2020-B01</t>
  </si>
  <si>
    <t>MIDSBAC(ARMOR)-PB-007-20 Procurement of Nine (9) s</t>
  </si>
  <si>
    <t>MIDSBAC(ARMOR)-008-20 Procurement of Tires for SFV</t>
  </si>
  <si>
    <t>20GD0111</t>
  </si>
  <si>
    <t>20OH0159</t>
  </si>
  <si>
    <t>20OH0158</t>
  </si>
  <si>
    <t>20GFC0047</t>
  </si>
  <si>
    <t>PEO-2020-1043</t>
  </si>
  <si>
    <t>BCS-2020-0274</t>
  </si>
  <si>
    <t>20OH0160</t>
  </si>
  <si>
    <t>OPA-2020-0516</t>
  </si>
  <si>
    <t>BMadasigon 2020-08</t>
  </si>
  <si>
    <t>2020-08-26 (17)</t>
  </si>
  <si>
    <t>20OH0156</t>
  </si>
  <si>
    <t>DPWH-SK2DEO-20GMH075</t>
  </si>
  <si>
    <t>DPWH-SK2DEO-20GMH074</t>
  </si>
  <si>
    <t>BCS-2020-0273</t>
  </si>
  <si>
    <t>2020-07-30-008</t>
  </si>
  <si>
    <t>2020-07-30-007</t>
  </si>
  <si>
    <t>2020-B2-</t>
  </si>
  <si>
    <t>G-2020-077</t>
  </si>
  <si>
    <t>MRH-009-2020</t>
  </si>
  <si>
    <t>2020-07-055</t>
  </si>
  <si>
    <t>G-2020-078</t>
  </si>
  <si>
    <t>GOODS-040-2020</t>
  </si>
  <si>
    <t>2020-08-CW</t>
  </si>
  <si>
    <t>2020-08-28-456PG</t>
  </si>
  <si>
    <t>G-2020-079</t>
  </si>
  <si>
    <t>20OH0157</t>
  </si>
  <si>
    <t>2020-07-30-009</t>
  </si>
  <si>
    <t>20-07-0284</t>
  </si>
  <si>
    <t>107-0793</t>
  </si>
  <si>
    <t>G-2020-076</t>
  </si>
  <si>
    <t>183 - 2020</t>
  </si>
  <si>
    <t>20DPTN006</t>
  </si>
  <si>
    <t>LL-28-20</t>
  </si>
  <si>
    <t>20-07-0296</t>
  </si>
  <si>
    <t>20DPTN005</t>
  </si>
  <si>
    <t>186 - 2020</t>
  </si>
  <si>
    <t>187 - 2020</t>
  </si>
  <si>
    <t>PBD 20-093</t>
  </si>
  <si>
    <t>07-01002</t>
  </si>
  <si>
    <t>07-00981</t>
  </si>
  <si>
    <t>07-00977</t>
  </si>
  <si>
    <t>185 - 2020</t>
  </si>
  <si>
    <t>20BERNABE002</t>
  </si>
  <si>
    <t>20BERNABE001</t>
  </si>
  <si>
    <t>20DIVNORTE001</t>
  </si>
  <si>
    <t>PEO-2020-0065</t>
  </si>
  <si>
    <t>IB NO. 2020-190</t>
  </si>
  <si>
    <t>20-169</t>
  </si>
  <si>
    <t>20DPTN004</t>
  </si>
  <si>
    <t>PGR-GOODS-16-2020</t>
  </si>
  <si>
    <t>RB-08062020</t>
  </si>
  <si>
    <t>PBD 20-095</t>
  </si>
  <si>
    <t>PBD 20-094</t>
  </si>
  <si>
    <t>2020-536</t>
  </si>
  <si>
    <t>20-173</t>
  </si>
  <si>
    <t>BS-2020-01</t>
  </si>
  <si>
    <t>20-172</t>
  </si>
  <si>
    <t>LL-29-20</t>
  </si>
  <si>
    <t>20-174</t>
  </si>
  <si>
    <t>180 - 2020</t>
  </si>
  <si>
    <t>184 - 2020</t>
  </si>
  <si>
    <t>179 - 2020</t>
  </si>
  <si>
    <t>178 - 2020</t>
  </si>
  <si>
    <t>181 - 2020</t>
  </si>
  <si>
    <t>20-170</t>
  </si>
  <si>
    <t>2020-08-04 INFRA</t>
  </si>
  <si>
    <t>182 - 2020</t>
  </si>
  <si>
    <t>07-00983</t>
  </si>
  <si>
    <t>PGR-GOODS-17-2020</t>
  </si>
  <si>
    <t>2020-08-07 INFRA</t>
  </si>
  <si>
    <t>HILONGOS 2020-237</t>
  </si>
  <si>
    <t>HILONGOS 2020-236</t>
  </si>
  <si>
    <t>2020-08-06 INFRA</t>
  </si>
  <si>
    <t>2020-08-05 INFRA</t>
  </si>
  <si>
    <t>2020-10-CW</t>
  </si>
  <si>
    <t>20-171</t>
  </si>
  <si>
    <t>HILONGOS 2020-238</t>
  </si>
  <si>
    <t>2020-08-02 INFRA</t>
  </si>
  <si>
    <t>ITB 20-30</t>
  </si>
  <si>
    <t>2020-08-03 INFRA</t>
  </si>
  <si>
    <t>ITB-2020-08-21</t>
  </si>
  <si>
    <t>19CSN019</t>
  </si>
  <si>
    <t>174 - 2020</t>
  </si>
  <si>
    <t>2020-082-19-23</t>
  </si>
  <si>
    <t>20CSN018</t>
  </si>
  <si>
    <t>bacgal-57-2020</t>
  </si>
  <si>
    <t>202053</t>
  </si>
  <si>
    <t>2020-08-08 INFRA</t>
  </si>
  <si>
    <t>HILONGOS 2020-235</t>
  </si>
  <si>
    <t>2020LGU-08-65</t>
  </si>
  <si>
    <t>211549</t>
  </si>
  <si>
    <t>2020-082-19-21</t>
  </si>
  <si>
    <t>211548</t>
  </si>
  <si>
    <t>2020-082-19-26</t>
  </si>
  <si>
    <t>2020-082-19-25</t>
  </si>
  <si>
    <t>PR# 016</t>
  </si>
  <si>
    <t>2020-082-19-24</t>
  </si>
  <si>
    <t>211547</t>
  </si>
  <si>
    <t>AUGUST52020-3</t>
  </si>
  <si>
    <t>2020-082-19-22</t>
  </si>
  <si>
    <t>20GB00032</t>
  </si>
  <si>
    <t>2020-082-19-29</t>
  </si>
  <si>
    <t>211554</t>
  </si>
  <si>
    <t>2020-09-CW</t>
  </si>
  <si>
    <t>172 - 2020</t>
  </si>
  <si>
    <t>ppn-147-2020</t>
  </si>
  <si>
    <t>2020-082-19-27</t>
  </si>
  <si>
    <t>BALZN9-2019</t>
  </si>
  <si>
    <t>211555</t>
  </si>
  <si>
    <t>2020-082-19-28</t>
  </si>
  <si>
    <t>211551</t>
  </si>
  <si>
    <t>211552</t>
  </si>
  <si>
    <t>IntBLGU201820%DFGoods-003</t>
  </si>
  <si>
    <t>2020LGU012</t>
  </si>
  <si>
    <t>GOODS-2020-08-003 LT1</t>
  </si>
  <si>
    <t>elec2020batch2a</t>
  </si>
  <si>
    <t>8005012020</t>
  </si>
  <si>
    <t>IL-2020-B-30</t>
  </si>
  <si>
    <t>ppn-149-2020</t>
  </si>
  <si>
    <t>elec2020c2a</t>
  </si>
  <si>
    <t>elec2020c1a</t>
  </si>
  <si>
    <t>2020-082-19-36</t>
  </si>
  <si>
    <t>2020-082-19-33</t>
  </si>
  <si>
    <t>2020-082-19-34</t>
  </si>
  <si>
    <t>ITB No. 2020-08-007</t>
  </si>
  <si>
    <t>ITB No. 2020-30</t>
  </si>
  <si>
    <t>UPLB-RES-037-08-20 REAL TIME PCR FOR IPB</t>
  </si>
  <si>
    <t>CP 2020-56 B</t>
  </si>
  <si>
    <t>105-07-20-TRUST FUND</t>
  </si>
  <si>
    <t>211553</t>
  </si>
  <si>
    <t>CP 2020-55 B</t>
  </si>
  <si>
    <t>2020-082-19-35</t>
  </si>
  <si>
    <t>GOODS-2020-08-003 LT4</t>
  </si>
  <si>
    <t>Bid Reference No. 2020-012; PR # 2020-07-0220</t>
  </si>
  <si>
    <t>Aklan BAC ITB 430 Series of 2020</t>
  </si>
  <si>
    <t>2020LGU-08-66</t>
  </si>
  <si>
    <t>2050-01C01-01</t>
  </si>
  <si>
    <t>2020-DRD-INF-05</t>
  </si>
  <si>
    <t>SWEP-PNBAC1-2020-03</t>
  </si>
  <si>
    <t>25-2020</t>
  </si>
  <si>
    <t>106-07-20-TRUST FUND</t>
  </si>
  <si>
    <t>INF2020-08-029</t>
  </si>
  <si>
    <t>2020-ANT-INFRA-0011</t>
  </si>
  <si>
    <t>DWD-04-2020</t>
  </si>
  <si>
    <t>lgu-es-20-191</t>
  </si>
  <si>
    <t>SWEP-PNBAC1-2020-05</t>
  </si>
  <si>
    <t>20NC0140</t>
  </si>
  <si>
    <t>2020-0198-PR2020-0580</t>
  </si>
  <si>
    <t>CP 2020-57 B</t>
  </si>
  <si>
    <t>ITB-2020-015</t>
  </si>
  <si>
    <t>ITB 20-040</t>
  </si>
  <si>
    <t>100-2020-008-027</t>
  </si>
  <si>
    <t>nlontoc-ITB073-2020</t>
  </si>
  <si>
    <t>2020-069</t>
  </si>
  <si>
    <t>PR NO. 100-8811-20-07-0807</t>
  </si>
  <si>
    <t>Aklan BAC ITB 433 Series of 2020</t>
  </si>
  <si>
    <t>GOODS-2020-08-003 LT3</t>
  </si>
  <si>
    <t>BCS-2020-0265</t>
  </si>
  <si>
    <t>SF Infra 2020-07</t>
  </si>
  <si>
    <t>BMC-N-20-0298</t>
  </si>
  <si>
    <t>BARANGAY PROTECCION 2</t>
  </si>
  <si>
    <t>UPLB-RES-039-08-20 LAB SUPPLIES AND EQUIIP FOR MNH</t>
  </si>
  <si>
    <t>ITB-199</t>
  </si>
  <si>
    <t>SAN-ADN-INFRA-2020-05</t>
  </si>
  <si>
    <t>AC-PNBAC1-2020-12</t>
  </si>
  <si>
    <t>BCS-2020-0263</t>
  </si>
  <si>
    <t>ITB-197</t>
  </si>
  <si>
    <t>nlontoc-ITB074-2020</t>
  </si>
  <si>
    <t>ITB-196</t>
  </si>
  <si>
    <t>ITB 20-2020</t>
  </si>
  <si>
    <t>26-2020</t>
  </si>
  <si>
    <t>SF Infra 2020-09</t>
  </si>
  <si>
    <t>SAN-ADN-INFRA-2020-04</t>
  </si>
  <si>
    <t>BCS-2020-0264</t>
  </si>
  <si>
    <t>RP-36-2020</t>
  </si>
  <si>
    <t>BAC164-SEDANNEX2BLDG-2020</t>
  </si>
  <si>
    <t>21A00004</t>
  </si>
  <si>
    <t>1011-20-08-04</t>
  </si>
  <si>
    <t>21A00003</t>
  </si>
  <si>
    <t>MR-PNBAC1-2020-27</t>
  </si>
  <si>
    <t>21A00002</t>
  </si>
  <si>
    <t>20GIB0038</t>
  </si>
  <si>
    <t>21A00001</t>
  </si>
  <si>
    <t>2020-104</t>
  </si>
  <si>
    <t>PG-20-70</t>
  </si>
  <si>
    <t>RCEF Goods 20-07-05A</t>
  </si>
  <si>
    <t>BAC-2020-17</t>
  </si>
  <si>
    <t>ENG'G PASBAC 001-20</t>
  </si>
  <si>
    <t>PRN-632-2019</t>
  </si>
  <si>
    <t>SOLANO 090-2020</t>
  </si>
  <si>
    <t>PRN-488-2019</t>
  </si>
  <si>
    <t>PG-20-73</t>
  </si>
  <si>
    <t>2008-001</t>
  </si>
  <si>
    <t>20GGJ0061</t>
  </si>
  <si>
    <t>MR-PNBAC1-2020-36</t>
  </si>
  <si>
    <t>INVITATION TO BID No. 2020-08-005</t>
  </si>
  <si>
    <t>20GIB0039</t>
  </si>
  <si>
    <t>BCS-2020-0267</t>
  </si>
  <si>
    <t>DA3-2020-06-10-131</t>
  </si>
  <si>
    <t>MR-PNBAC1-2020-35</t>
  </si>
  <si>
    <t>20NPNMSC12 - C</t>
  </si>
  <si>
    <t>INVITATION TO BID No. 2020-08-006</t>
  </si>
  <si>
    <t>MR-PNBAC1-2020-34</t>
  </si>
  <si>
    <t>GB2-PB-02-20</t>
  </si>
  <si>
    <t>SOLANO 092-2020</t>
  </si>
  <si>
    <t>SOLANO 094-2020</t>
  </si>
  <si>
    <t>ITB-198</t>
  </si>
  <si>
    <t>PG-20-71</t>
  </si>
  <si>
    <t>PRN-617-2020</t>
  </si>
  <si>
    <t>ITB No. 2020 – 85</t>
  </si>
  <si>
    <t>PRN-497-2019</t>
  </si>
  <si>
    <t>SOLANO 091-2020</t>
  </si>
  <si>
    <t>PG-20-74</t>
  </si>
  <si>
    <t>MR-PNBAC1-2020-33</t>
  </si>
  <si>
    <t>MR-PNBAC1-2020-28</t>
  </si>
  <si>
    <t>PRN-659-2019</t>
  </si>
  <si>
    <t>BCS-2020-0266</t>
  </si>
  <si>
    <t>SVP No. 2020-044</t>
  </si>
  <si>
    <t>SF Infra 2020-10</t>
  </si>
  <si>
    <t>PR-2020-1160</t>
  </si>
  <si>
    <t>CHMSC 20-024-0805-I</t>
  </si>
  <si>
    <t>SF Infra 2020-08</t>
  </si>
  <si>
    <t>PG-20-72</t>
  </si>
  <si>
    <t>21A00005</t>
  </si>
  <si>
    <t>2021-S1-01M05</t>
  </si>
  <si>
    <t>20-13 GOODS</t>
  </si>
  <si>
    <t>2020-0040</t>
  </si>
  <si>
    <t>CHMSC 20-025-0805-I</t>
  </si>
  <si>
    <t>AC-PNBAC1-2020-15</t>
  </si>
  <si>
    <t>100-20-04-0057</t>
  </si>
  <si>
    <t>B-8661-20-14</t>
  </si>
  <si>
    <t>ITB 2020-08-040</t>
  </si>
  <si>
    <t>IB-ATI-RTC02-2020-08-02</t>
  </si>
  <si>
    <t>20AF0080</t>
  </si>
  <si>
    <t>INF 20-01</t>
  </si>
  <si>
    <t>ITB 2020-08-039</t>
  </si>
  <si>
    <t>AC-PNBAC1-2020-10</t>
  </si>
  <si>
    <t>BAC-ITIO GS No. 2020-0056 dated 09 June 2020</t>
  </si>
  <si>
    <t>DSWD 4B 2020-013</t>
  </si>
  <si>
    <t>Infra-01</t>
  </si>
  <si>
    <t>PB-PAFBAC-162-20</t>
  </si>
  <si>
    <t>AMP SVP-D NO: 20-08-0082C</t>
  </si>
  <si>
    <t>PB-PAFBAC-163-20</t>
  </si>
  <si>
    <t>ITB 2020-08-041</t>
  </si>
  <si>
    <t>ITB 2020-08-048</t>
  </si>
  <si>
    <t>ITB 2020-08-050</t>
  </si>
  <si>
    <t>ITB 2020-08-046</t>
  </si>
  <si>
    <t>PB-PAFBAC-161-20</t>
  </si>
  <si>
    <t>PW-20-19</t>
  </si>
  <si>
    <t>ITB 2020-08-044</t>
  </si>
  <si>
    <t>ENG'G PASBAC 002-20 Supply and Delivery of Three (</t>
  </si>
  <si>
    <t>ENG'G PASBAC 014-20  Supply and Delivery of Materi</t>
  </si>
  <si>
    <t>PB-PAFBAC-222-19</t>
  </si>
  <si>
    <t>20GAF0004</t>
  </si>
  <si>
    <t>MR-PNBAC1-2020-37</t>
  </si>
  <si>
    <t>Grants-20-06-39</t>
  </si>
  <si>
    <t>GOODS-2020-081</t>
  </si>
  <si>
    <t>53-2020</t>
  </si>
  <si>
    <t>194-2020</t>
  </si>
  <si>
    <t>PB-PAFBAC-081-20</t>
  </si>
  <si>
    <t>ENG'G PASBAC 012-20  Supply and Delivery of Materi</t>
  </si>
  <si>
    <t>PB-PAFBAC-166-20</t>
  </si>
  <si>
    <t>ITB 2020-08-049</t>
  </si>
  <si>
    <t>PB-PAFBAC-165-20</t>
  </si>
  <si>
    <t>DEPED-BOHOL-2020-08-108</t>
  </si>
  <si>
    <t>DEPED-BOHOL-2020-08-107</t>
  </si>
  <si>
    <t>2020-PB-002</t>
  </si>
  <si>
    <t>20CSKC0003</t>
  </si>
  <si>
    <t>SINS-G-2020-10</t>
  </si>
  <si>
    <t>20GFE0015</t>
  </si>
  <si>
    <t>ITB-2020-91</t>
  </si>
  <si>
    <t>ITB 2020-08-042</t>
  </si>
  <si>
    <t>SINS-Inf-2019-12</t>
  </si>
  <si>
    <t>GOODS-2020-079</t>
  </si>
  <si>
    <t>PB-PAFBAC-167-20</t>
  </si>
  <si>
    <t>SINS-Inf-2020-05</t>
  </si>
  <si>
    <t>GB2-PB-01-20</t>
  </si>
  <si>
    <t>PB-PAFBAC-164-20</t>
  </si>
  <si>
    <t>CGB-2020-08-002</t>
  </si>
  <si>
    <t>ITB No. 2020-08-008</t>
  </si>
  <si>
    <t>20GIB0040</t>
  </si>
  <si>
    <t>GOODS-2020-080</t>
  </si>
  <si>
    <t>DRL-20-0326-B</t>
  </si>
  <si>
    <t>BCS-2020-0268</t>
  </si>
  <si>
    <t>PB-PAFBAC-160-20</t>
  </si>
  <si>
    <t>DRL-20-0743-B</t>
  </si>
  <si>
    <t>DRL-20-0723-B</t>
  </si>
  <si>
    <t>DRL-20-0745-B</t>
  </si>
  <si>
    <t>PB2020-07-043I</t>
  </si>
  <si>
    <t>DRL-20-0744-B</t>
  </si>
  <si>
    <t>DRL-20-0327-B</t>
  </si>
  <si>
    <t>DRL-20-0721-B</t>
  </si>
  <si>
    <t>ITB2020-15</t>
  </si>
  <si>
    <t>DENR-ORMIN-031-2020</t>
  </si>
  <si>
    <t>DRL-20-0722-B</t>
  </si>
  <si>
    <t>B-8661-20-20</t>
  </si>
  <si>
    <t>PB-PAFBAC-171-20</t>
  </si>
  <si>
    <t>1918-23-13-20</t>
  </si>
  <si>
    <t>ML-2020-04-18</t>
  </si>
  <si>
    <t>ITB 051-2020</t>
  </si>
  <si>
    <t>22-2020</t>
  </si>
  <si>
    <t>PB2020-08-109G</t>
  </si>
  <si>
    <t>ITB 2020-08-047</t>
  </si>
  <si>
    <t>060</t>
  </si>
  <si>
    <t>2019-12-1246</t>
  </si>
  <si>
    <t>2020-07-999</t>
  </si>
  <si>
    <t>BFAR5BAC-2020-147</t>
  </si>
  <si>
    <t>Goods 2020-011</t>
  </si>
  <si>
    <t>SanJoseBatsAeb2020-134</t>
  </si>
  <si>
    <t>SanJoseBatsAeb2020-133</t>
  </si>
  <si>
    <t>2020-05-693</t>
  </si>
  <si>
    <t>2020-07-931</t>
  </si>
  <si>
    <t>SanJoseBatsAeb2020-136</t>
  </si>
  <si>
    <t>21-2020</t>
  </si>
  <si>
    <t>ITB No. 2020-15</t>
  </si>
  <si>
    <t>Mabuhay 2020-08-002</t>
  </si>
  <si>
    <t>nin brgy -1</t>
  </si>
  <si>
    <t>EMAN 2020-008-002</t>
  </si>
  <si>
    <t>IB 2020-59</t>
  </si>
  <si>
    <t>8918-23-3-S20</t>
  </si>
  <si>
    <t>ITB GOODS 2020-08-52</t>
  </si>
  <si>
    <t>062</t>
  </si>
  <si>
    <t>BAC2020-08-037</t>
  </si>
  <si>
    <t>ITB GOODS 2020-08-53</t>
  </si>
  <si>
    <t>2020-08-0854 TDG</t>
  </si>
  <si>
    <t>UPLB-S-030-08-20 REBID</t>
  </si>
  <si>
    <t>ITB GOODS 2020-08-54</t>
  </si>
  <si>
    <t>PR 2020-07-046</t>
  </si>
  <si>
    <t>IB 2020-58</t>
  </si>
  <si>
    <t>NS-08-05-20-01</t>
  </si>
  <si>
    <t>2020- 07-1116</t>
  </si>
  <si>
    <t>2020-082-19-5</t>
  </si>
  <si>
    <t>2020-082-19-4</t>
  </si>
  <si>
    <t>2020-082-19-2</t>
  </si>
  <si>
    <t>24-2020</t>
  </si>
  <si>
    <t>DOH4A-ITB-2020-GS-010</t>
  </si>
  <si>
    <t>2020-082-19-3</t>
  </si>
  <si>
    <t>23-2020</t>
  </si>
  <si>
    <t>Mabuhay 2020-08-003</t>
  </si>
  <si>
    <t>IB 2020-060</t>
  </si>
  <si>
    <t>Consulting Services-2020-01</t>
  </si>
  <si>
    <t>UPLB-S-050-08-20</t>
  </si>
  <si>
    <t>20CSKG04</t>
  </si>
  <si>
    <t>IB GOP/2020-DSWD-16</t>
  </si>
  <si>
    <t>2020-GOODS-014R-01-0805</t>
  </si>
  <si>
    <t>2020-082-19-11</t>
  </si>
  <si>
    <t>20CSKC0004</t>
  </si>
  <si>
    <t>2020-534</t>
  </si>
  <si>
    <t>2020-07-1004</t>
  </si>
  <si>
    <t>2020-082-19-10</t>
  </si>
  <si>
    <t>B-ITB-30-2020-I</t>
  </si>
  <si>
    <t>2020-082-19-8</t>
  </si>
  <si>
    <t>MG-A7M20-010..REPLACEMENT OF STOP LOGS IN THE TAIL</t>
  </si>
  <si>
    <t>2020-082-19-9</t>
  </si>
  <si>
    <t>20GGJ0059</t>
  </si>
  <si>
    <t>20GGJ0060</t>
  </si>
  <si>
    <t>2020-082-19-6</t>
  </si>
  <si>
    <t>2020-RP-34</t>
  </si>
  <si>
    <t>2020-08-0839 TDG</t>
  </si>
  <si>
    <t>2020-08-0840 TDG</t>
  </si>
  <si>
    <t>2020-535</t>
  </si>
  <si>
    <t>2020-082-19-13</t>
  </si>
  <si>
    <t>2007-0666-NHTS</t>
  </si>
  <si>
    <t>SanJoseBatsAeb2020-129</t>
  </si>
  <si>
    <t>SanJoseBatsAeb2020-132</t>
  </si>
  <si>
    <t>SanJoseBatsAeb2020-111</t>
  </si>
  <si>
    <t>CONVERGE-2020-0903-P-1</t>
  </si>
  <si>
    <t>2020-082-19-1</t>
  </si>
  <si>
    <t>SanJoseBatsAeb2020-131</t>
  </si>
  <si>
    <t>PB-PAFBAC-170-20</t>
  </si>
  <si>
    <t>061</t>
  </si>
  <si>
    <t>CABANCALAN-01-2020</t>
  </si>
  <si>
    <t>2020-GOODS-016-01-0805</t>
  </si>
  <si>
    <t>SanJoseBatsAeb2020-130</t>
  </si>
  <si>
    <t>GOODS 2020- 07</t>
  </si>
  <si>
    <t>09-G-2020 (SEF)</t>
  </si>
  <si>
    <t>BAS-2020-02</t>
  </si>
  <si>
    <t>PB2020-08-110G</t>
  </si>
  <si>
    <t>PR No. 20-05-162 (Re-bidding)</t>
  </si>
  <si>
    <t>2020-082-19-17</t>
  </si>
  <si>
    <t>010-G-2020 (SEF)</t>
  </si>
  <si>
    <t>2020-082-19-16</t>
  </si>
  <si>
    <t>MG-A5C20-011..BATTAERY BANK, 125VDC INDUSTRIAL LEA</t>
  </si>
  <si>
    <t>2020-082-19-15</t>
  </si>
  <si>
    <t>doletac8-2020-20</t>
  </si>
  <si>
    <t>2020-89 (GAS)</t>
  </si>
  <si>
    <t>MG-A7M20-006..FABRICATION OF TRASH RACKS AT AGUS 6</t>
  </si>
  <si>
    <t>03b-G-2020 (SB)</t>
  </si>
  <si>
    <t>2020-082-19-14</t>
  </si>
  <si>
    <t>B2020-099-A</t>
  </si>
  <si>
    <t>2020-90 (GAS)</t>
  </si>
  <si>
    <t>20CG0262</t>
  </si>
  <si>
    <t>PGSO-2020-0194 PR2020-0561</t>
  </si>
  <si>
    <t>B-CW-2020-037</t>
  </si>
  <si>
    <t>B-CW-2020-036</t>
  </si>
  <si>
    <t>BSJ2020-02</t>
  </si>
  <si>
    <t>PEO-2020-0195 PR2020-0562</t>
  </si>
  <si>
    <t>B-CW-2020-035</t>
  </si>
  <si>
    <t>BSJ2020-01</t>
  </si>
  <si>
    <t>B-CW-2020-034</t>
  </si>
  <si>
    <t>20-07-143</t>
  </si>
  <si>
    <t>2020-07-935</t>
  </si>
  <si>
    <t>Consulting Services-2020-02</t>
  </si>
  <si>
    <t>BCS-2020-0253</t>
  </si>
  <si>
    <t>PEO-2020-0197 PR2020-0575</t>
  </si>
  <si>
    <t>ITB-2020-08-055</t>
  </si>
  <si>
    <t>300</t>
  </si>
  <si>
    <t>MG-A7M20-106</t>
  </si>
  <si>
    <t>CB(B)-20-031(CMO)</t>
  </si>
  <si>
    <t>20-516</t>
  </si>
  <si>
    <t>MG-A5C20-021..BUCHHOLZ RELAY, AGUS 5 HEP</t>
  </si>
  <si>
    <t>CRN-PB-021-GOODS-2020</t>
  </si>
  <si>
    <t>MG-A7M20-115</t>
  </si>
  <si>
    <t>MG-A7C20-033</t>
  </si>
  <si>
    <t>ITB No. 2020-023</t>
  </si>
  <si>
    <t>20GFL0005</t>
  </si>
  <si>
    <t>BSU - PROJECT NO. 2020- 285</t>
  </si>
  <si>
    <t>MG-A7O20-012</t>
  </si>
  <si>
    <t>MG-A7M20-099</t>
  </si>
  <si>
    <t>2020-02-0376, 2020-02-0240, 2020-02-0371</t>
  </si>
  <si>
    <t>BCS-2020-0259</t>
  </si>
  <si>
    <t>2020-GOODS-41</t>
  </si>
  <si>
    <t>BSU - PROJECT NO. 2020- 286</t>
  </si>
  <si>
    <t>2020-06-0584</t>
  </si>
  <si>
    <t>2020-02-0292, 2020-02-0291</t>
  </si>
  <si>
    <t>lgu-es-20-08-185</t>
  </si>
  <si>
    <t>BS20-07-0777</t>
  </si>
  <si>
    <t>2020-02-0311, 2020-02-0380, 2020-02-0273, 2020-01-</t>
  </si>
  <si>
    <t>BS20-07-0775</t>
  </si>
  <si>
    <t>CDC 59-08-2020</t>
  </si>
  <si>
    <t>BS20-07-0776</t>
  </si>
  <si>
    <t>20AB0123</t>
  </si>
  <si>
    <t>20G00114</t>
  </si>
  <si>
    <t>20G00115</t>
  </si>
  <si>
    <t>BS20-07-0788</t>
  </si>
  <si>
    <t>2020-02-0285</t>
  </si>
  <si>
    <t>NP-SVP-20-068</t>
  </si>
  <si>
    <t>2020-02-0120, 2020-02-0312, 2020-02-0203, 2020-02-</t>
  </si>
  <si>
    <t>20CSKA0001</t>
  </si>
  <si>
    <t>IB-2020-09-37</t>
  </si>
  <si>
    <t>IB-2020-09-34</t>
  </si>
  <si>
    <t>IB-2020-09-33</t>
  </si>
  <si>
    <t>IB-2020-09-32</t>
  </si>
  <si>
    <t>IB-2020-09-36</t>
  </si>
  <si>
    <t>ITB No. GOP/20-DSWD-028-B</t>
  </si>
  <si>
    <t>IB-2020-09-35</t>
  </si>
  <si>
    <t>2020-082-19-7</t>
  </si>
  <si>
    <t>2020-02-0185, 2020-02-0299, 2020-02-0152, 2020-02-</t>
  </si>
  <si>
    <t>BS20-07-0782/0783</t>
  </si>
  <si>
    <t>IB-2020-09-39</t>
  </si>
  <si>
    <t>BS20-07-0787</t>
  </si>
  <si>
    <t>80</t>
  </si>
  <si>
    <t>BS20-07-0778</t>
  </si>
  <si>
    <t>IB NO. 2020-232</t>
  </si>
  <si>
    <t>ITB 20-29</t>
  </si>
  <si>
    <t>2020-082-19-12</t>
  </si>
  <si>
    <t>lgu-es-20-08-188</t>
  </si>
  <si>
    <t>DOJ ITB 2020-08-004</t>
  </si>
  <si>
    <t>BCS-2020-0258</t>
  </si>
  <si>
    <t>ITB-2020-08-056</t>
  </si>
  <si>
    <t>ITB-2020-08-061</t>
  </si>
  <si>
    <t>2008152</t>
  </si>
  <si>
    <t>MGCP-20G-605A</t>
  </si>
  <si>
    <t>nlontoc-ITB065-2020</t>
  </si>
  <si>
    <t>nlontoc-ITB064-2020</t>
  </si>
  <si>
    <t>2020-08-03a</t>
  </si>
  <si>
    <t>sj 2020 b aug 013</t>
  </si>
  <si>
    <t>B-08-30-20</t>
  </si>
  <si>
    <t>sj 2020 b aug 015</t>
  </si>
  <si>
    <t>sj 2020 b aug 011</t>
  </si>
  <si>
    <t>lgu-es-20-08-189</t>
  </si>
  <si>
    <t>DOJ ITB 2020-08-002</t>
  </si>
  <si>
    <t>DOJ ITB 2020-08-003</t>
  </si>
  <si>
    <t>G2020-03</t>
  </si>
  <si>
    <t>sj 2020 b aug 014</t>
  </si>
  <si>
    <t>ITB NO. 2020-18</t>
  </si>
  <si>
    <t>sj 2020 b aug 010</t>
  </si>
  <si>
    <t>ITB-2020-08-060</t>
  </si>
  <si>
    <t>ITB-2020-08-063</t>
  </si>
  <si>
    <t>2020-GIBAC-PB-022</t>
  </si>
  <si>
    <t>ITB-2020-08-057</t>
  </si>
  <si>
    <t>ITB-2020-08-062</t>
  </si>
  <si>
    <t>CRN-PB-018-GOODS-2020</t>
  </si>
  <si>
    <t>ITB-2020-08-059</t>
  </si>
  <si>
    <t>sj 2020 b aug 012</t>
  </si>
  <si>
    <t>PB INFRA 20-047</t>
  </si>
  <si>
    <t>ITB202009</t>
  </si>
  <si>
    <t>ITB-ASDI-ADN-2018-20</t>
  </si>
  <si>
    <t>GOV-20-0942-B</t>
  </si>
  <si>
    <t>BSU - PROJECT NO. 2020- 280</t>
  </si>
  <si>
    <t>PR. NO. 2020-07-000020</t>
  </si>
  <si>
    <t>PR. NO. 2020-07-000014</t>
  </si>
  <si>
    <t>nlontoc-ITB071-2020</t>
  </si>
  <si>
    <t>nlontoc-ITB070-2020</t>
  </si>
  <si>
    <t>nlontoc-ITB068-2020</t>
  </si>
  <si>
    <t>nlontoc-ITB067-2020</t>
  </si>
  <si>
    <t>nlontoc-ITB069-2020</t>
  </si>
  <si>
    <t>nlontoc-ITB066-2020</t>
  </si>
  <si>
    <t>2007128</t>
  </si>
  <si>
    <t>IB-2020-09-40</t>
  </si>
  <si>
    <t>2007126</t>
  </si>
  <si>
    <t>BAC GS No. 2020-128/DGS PR No. 2000005421</t>
  </si>
  <si>
    <t>CP 2020-51 B</t>
  </si>
  <si>
    <t>CP 2020-50 B</t>
  </si>
  <si>
    <t>CP 2020-49 B</t>
  </si>
  <si>
    <t>20AD0098</t>
  </si>
  <si>
    <t>20AD0097</t>
  </si>
  <si>
    <t>CP 2020-52 B</t>
  </si>
  <si>
    <t>ITB-TASS-07-09-2020</t>
  </si>
  <si>
    <t>CWD 35-2020</t>
  </si>
  <si>
    <t>Contract ID 20JH0066</t>
  </si>
  <si>
    <t>BCS-2020-0252</t>
  </si>
  <si>
    <t>CP 2020-45 B</t>
  </si>
  <si>
    <t>07-130-2020</t>
  </si>
  <si>
    <t>2007-038-01</t>
  </si>
  <si>
    <t>GOODS PROC 011-2020</t>
  </si>
  <si>
    <t>20GEF013</t>
  </si>
  <si>
    <t>EOI 08-01-2020</t>
  </si>
  <si>
    <t>20CSCN02</t>
  </si>
  <si>
    <t>INFRA-44-2020</t>
  </si>
  <si>
    <t>infra-45-2020</t>
  </si>
  <si>
    <t>RFQ-2020-094</t>
  </si>
  <si>
    <t>20ITB-G-03-00053</t>
  </si>
  <si>
    <t>20CSKG03</t>
  </si>
  <si>
    <t>PB2020-08-108G</t>
  </si>
  <si>
    <t>PB2020-05-029I</t>
  </si>
  <si>
    <t>401-20-07-582</t>
  </si>
  <si>
    <t>PB2020-08-107G</t>
  </si>
  <si>
    <t>pr#101-20-07-521,522,523,524,525,526,527,528,529</t>
  </si>
  <si>
    <t>2020-0036</t>
  </si>
  <si>
    <t>GS-PNBAC2-2020-32</t>
  </si>
  <si>
    <t>nlp2020-20</t>
  </si>
  <si>
    <t>GS-PNBAC2-2020-36</t>
  </si>
  <si>
    <t>GS-PNBAC2-2020-35</t>
  </si>
  <si>
    <t>Infra-05-2020</t>
  </si>
  <si>
    <t>DAR-ADS PB-2020-OS-07-216</t>
  </si>
  <si>
    <t>2020-0037</t>
  </si>
  <si>
    <t>Infra-04-2020</t>
  </si>
  <si>
    <t>2019-PCOO-I-004a</t>
  </si>
  <si>
    <t>OGDS 07-30-20</t>
  </si>
  <si>
    <t>BAC-HOJ-005-20</t>
  </si>
  <si>
    <t>07-231-2020</t>
  </si>
  <si>
    <t>BCS-2020-0251</t>
  </si>
  <si>
    <t>GMRS-PNBAC2-2020-05</t>
  </si>
  <si>
    <t>PB INFRA 20-058</t>
  </si>
  <si>
    <t>PB INFRA 20-057</t>
  </si>
  <si>
    <t>PB INFRA 20-055</t>
  </si>
  <si>
    <t>PB INFRA 20-053</t>
  </si>
  <si>
    <t>PR-2020-06-132</t>
  </si>
  <si>
    <t>20GEF011 (Re-bid 1)</t>
  </si>
  <si>
    <t>gOODS 2020-018</t>
  </si>
  <si>
    <t>CB(B)-20-022(CMO-ICDRRMO)</t>
  </si>
  <si>
    <t>07-0126-20</t>
  </si>
  <si>
    <t>19-11-1191 Re-Bid</t>
  </si>
  <si>
    <t>20-06-1410</t>
  </si>
  <si>
    <t>ITB no. 20-004</t>
  </si>
  <si>
    <t>BSU - PROJECT NO. 2020- 279</t>
  </si>
  <si>
    <t>uplb-rq-7-087-20 goods (Laboratory suppplies for C</t>
  </si>
  <si>
    <t>2003-34</t>
  </si>
  <si>
    <t>RFQ 2020-4235</t>
  </si>
  <si>
    <t>SBMA-BAC-CONS-RFEI-20-03</t>
  </si>
  <si>
    <t>CWD 36-2020</t>
  </si>
  <si>
    <t>PB-2020-06-046</t>
  </si>
  <si>
    <t>2006-029-10</t>
  </si>
  <si>
    <t>PB-2020-06-045</t>
  </si>
  <si>
    <t>PB-2020-06-043</t>
  </si>
  <si>
    <t>19CSK00056</t>
  </si>
  <si>
    <t>PR# 10-20-06-453,454,455,456,457,458,459,460,461,4</t>
  </si>
  <si>
    <t>19CSK00053</t>
  </si>
  <si>
    <t>8000-2-2-15</t>
  </si>
  <si>
    <t>2020212</t>
  </si>
  <si>
    <t>2002-93</t>
  </si>
  <si>
    <t>2020209</t>
  </si>
  <si>
    <t>PB-2020-06-042</t>
  </si>
  <si>
    <t>ROSAL 0424-2020</t>
  </si>
  <si>
    <t>B-045-2020</t>
  </si>
  <si>
    <t>A6-2020-002</t>
  </si>
  <si>
    <t>B-044-2020</t>
  </si>
  <si>
    <t>Supply and Delivery of Remote Sensing Software Lic</t>
  </si>
  <si>
    <t>PB-2020-06-044</t>
  </si>
  <si>
    <t>00016-20-0629-0286</t>
  </si>
  <si>
    <t>B-043-2020</t>
  </si>
  <si>
    <t>ITB-GS-20200611-01</t>
  </si>
  <si>
    <t>A6-2020-001</t>
  </si>
  <si>
    <t>UPLB-S-048-08-20, SUPPLY AND DELIVERY OF BRANDED A</t>
  </si>
  <si>
    <t>2007-037-01</t>
  </si>
  <si>
    <t>00051-20-0713-0296</t>
  </si>
  <si>
    <t>2020-07-050</t>
  </si>
  <si>
    <t>DA7-07-FOD-C-20-2963</t>
  </si>
  <si>
    <t>SF-CW-LGSF-FA-2020-15</t>
  </si>
  <si>
    <t>UPLB-S-049-08-20, PROCUREMENT FOR THE REHABILITATI</t>
  </si>
  <si>
    <t>20-0003</t>
  </si>
  <si>
    <t>PR-2020-03-060</t>
  </si>
  <si>
    <t>BAC GS No. 2020-183/DGS PR No. 2000005511</t>
  </si>
  <si>
    <t>SB4 ASA 300-20-05-05805</t>
  </si>
  <si>
    <t>19CSK00055</t>
  </si>
  <si>
    <t>19CSK00054</t>
  </si>
  <si>
    <t>MBC 200-20-07-08692</t>
  </si>
  <si>
    <t>PR-2020-03-071</t>
  </si>
  <si>
    <t>072720-76</t>
  </si>
  <si>
    <t>07242020E</t>
  </si>
  <si>
    <t>Supply and Delivery various Agricultural Inputs fo</t>
  </si>
  <si>
    <t>07242020C</t>
  </si>
  <si>
    <t>07242020B</t>
  </si>
  <si>
    <t>20-82-024</t>
  </si>
  <si>
    <t>PGSO 300-20-01-00299</t>
  </si>
  <si>
    <t>DTI-BAC-20-10A</t>
  </si>
  <si>
    <t>DIS-20-0817-B</t>
  </si>
  <si>
    <t>MCS-20-07-002</t>
  </si>
  <si>
    <t>UPLB-IF-005-08-20 REBID</t>
  </si>
  <si>
    <t>19-92-027</t>
  </si>
  <si>
    <t>07242020A</t>
  </si>
  <si>
    <t>GS 2020-007-025</t>
  </si>
  <si>
    <t>2020-07-0309</t>
  </si>
  <si>
    <t>DTI-BAC-20-013</t>
  </si>
  <si>
    <t>MCS-20-07-001</t>
  </si>
  <si>
    <t>PGLDN PENRO 2020-01</t>
  </si>
  <si>
    <t>2002-21-20-37-31</t>
  </si>
  <si>
    <t>20CSCH0003</t>
  </si>
  <si>
    <t>BAC-ITR-2020-07-002</t>
  </si>
  <si>
    <t>20CSCH0004</t>
  </si>
  <si>
    <t>VARIOUS LAB. SUPPLIES-AMMONIUM ETC..</t>
  </si>
  <si>
    <t>WOR-0017</t>
  </si>
  <si>
    <t>PGLDNMCC HOTEL 2020-01</t>
  </si>
  <si>
    <t>WOR-0006</t>
  </si>
  <si>
    <t>WOR-0028</t>
  </si>
  <si>
    <t>SPC PR No. 2000005534</t>
  </si>
  <si>
    <t>20CSCH0002</t>
  </si>
  <si>
    <t>2020-snv-007</t>
  </si>
  <si>
    <t>07242020D</t>
  </si>
  <si>
    <t>B-046-2020</t>
  </si>
  <si>
    <t>20-07-025</t>
  </si>
  <si>
    <t>20A-03-0013I</t>
  </si>
  <si>
    <t>BTG3-2020-CS04</t>
  </si>
  <si>
    <t>2020-02-0267-MAIN</t>
  </si>
  <si>
    <t>BTG3-2020-CS03</t>
  </si>
  <si>
    <t>2020-02-0252-MAIN</t>
  </si>
  <si>
    <t>PR No. 4000004556 dtd. 7/1/2020</t>
  </si>
  <si>
    <t>I-2020-022</t>
  </si>
  <si>
    <t>I-2020-019</t>
  </si>
  <si>
    <t>2020-03-0432-MAIN</t>
  </si>
  <si>
    <t>I-2020-018</t>
  </si>
  <si>
    <t>I-2020-017</t>
  </si>
  <si>
    <t>20A-03-0011I</t>
  </si>
  <si>
    <t>I-2020-016</t>
  </si>
  <si>
    <t>2020-0292, 2020-0293, 2020-0294, 2020-0298</t>
  </si>
  <si>
    <t>I-2020-020</t>
  </si>
  <si>
    <t>I-2020-015</t>
  </si>
  <si>
    <t>20A-03-0014I</t>
  </si>
  <si>
    <t>BAC-GS-2020-07-012</t>
  </si>
  <si>
    <t>20LB0191</t>
  </si>
  <si>
    <t>20200724-023</t>
  </si>
  <si>
    <t>BAC-GS-2020-07-013</t>
  </si>
  <si>
    <t>PGLDN 101-20-07-1414</t>
  </si>
  <si>
    <t>20EB0094</t>
  </si>
  <si>
    <t>ITB 070-2020</t>
  </si>
  <si>
    <t>BAC-HO CS 2020-0471</t>
  </si>
  <si>
    <t>07272020G</t>
  </si>
  <si>
    <t>PGLDN 101-20-01-0208</t>
  </si>
  <si>
    <t>PGLDN 101-20-07 1388</t>
  </si>
  <si>
    <t>ITB PR No.: 1564-20BAC</t>
  </si>
  <si>
    <t>BSU - PROJECT NO. 2020- 262</t>
  </si>
  <si>
    <t>7212020</t>
  </si>
  <si>
    <t>IB-2020-086</t>
  </si>
  <si>
    <t>ITB PR No.: 3310-19BAC</t>
  </si>
  <si>
    <t>ITB 2020-013</t>
  </si>
  <si>
    <t>IN No. 2020-0039</t>
  </si>
  <si>
    <t>NIAR6-GAA-SOLAR-GS03-20</t>
  </si>
  <si>
    <t>IB-2020-083</t>
  </si>
  <si>
    <t>ITB 2020-009</t>
  </si>
  <si>
    <t>IB-2020-087</t>
  </si>
  <si>
    <t>IB 2020-084</t>
  </si>
  <si>
    <t>IA-P-2020-02</t>
  </si>
  <si>
    <t>20-07-030</t>
  </si>
  <si>
    <t>20NC0137</t>
  </si>
  <si>
    <t>IB 2020-085</t>
  </si>
  <si>
    <t>07272020F</t>
  </si>
  <si>
    <t>20-0201</t>
  </si>
  <si>
    <t>PB 03-2020 - 07</t>
  </si>
  <si>
    <t>PB 03-2020 - 06</t>
  </si>
  <si>
    <t>CSU2020-07-008-HOTEL</t>
  </si>
  <si>
    <t>20NC0138</t>
  </si>
  <si>
    <t>PB 03-2020 - 02</t>
  </si>
  <si>
    <t>20A-02-0073</t>
  </si>
  <si>
    <t>NIAR6-JRMPII-GS01-20</t>
  </si>
  <si>
    <t>20A-03-0015I</t>
  </si>
  <si>
    <t>SVP 2020-401</t>
  </si>
  <si>
    <t>BAC Ref No. 01-2020VS (2nd Bidding)</t>
  </si>
  <si>
    <t>BAC Ref No. 06-2020</t>
  </si>
  <si>
    <t>PB20-021-1</t>
  </si>
  <si>
    <t>2020203</t>
  </si>
  <si>
    <t>20KA0101 (Readvertisement)</t>
  </si>
  <si>
    <t>GD 2020-07-023</t>
  </si>
  <si>
    <t>PR # 20-07-995/994/996</t>
  </si>
  <si>
    <t>BAC Ref No. 07-2020DC</t>
  </si>
  <si>
    <t>CSU2020-07-007-HOTEL</t>
  </si>
  <si>
    <t>2020-07-20</t>
  </si>
  <si>
    <t>BAC Ref No. 08-2020BTC</t>
  </si>
  <si>
    <t>PB 03-2020-27</t>
  </si>
  <si>
    <t>PB 03-2020-25</t>
  </si>
  <si>
    <t>PB 03-2020-24</t>
  </si>
  <si>
    <t>PB 03-2020-23</t>
  </si>
  <si>
    <t>PB 03-2020-22</t>
  </si>
  <si>
    <t>PB 03-2020 - 01</t>
  </si>
  <si>
    <t>PB 03-2020-18</t>
  </si>
  <si>
    <t>20200724-024</t>
  </si>
  <si>
    <t>PB 03-2020-21</t>
  </si>
  <si>
    <t>PB 03-2020-20</t>
  </si>
  <si>
    <t>PB 03-2020-17</t>
  </si>
  <si>
    <t>PB 03-2020-14</t>
  </si>
  <si>
    <t>PB 03-2020-15</t>
  </si>
  <si>
    <t>PB 03-2020-19</t>
  </si>
  <si>
    <t>PB 03-2020-12</t>
  </si>
  <si>
    <t>PB 03-2020-28</t>
  </si>
  <si>
    <t>PB 03-2020 - 09</t>
  </si>
  <si>
    <t>BCS-2020-0223</t>
  </si>
  <si>
    <t>PB 03-2020-16</t>
  </si>
  <si>
    <t>UPLB-S-047-08-20</t>
  </si>
  <si>
    <t>PB 03-2020-11</t>
  </si>
  <si>
    <t>ITB-2020-07-20</t>
  </si>
  <si>
    <t>MG-A7M20-101</t>
  </si>
  <si>
    <t>PB 03-2020 - 08</t>
  </si>
  <si>
    <t>PB 03-2020-13</t>
  </si>
  <si>
    <t>MG-A7M20-111</t>
  </si>
  <si>
    <t>PB 03-2020 - 10</t>
  </si>
  <si>
    <t>PB 03-2020-46</t>
  </si>
  <si>
    <t>PB 03-2020-43</t>
  </si>
  <si>
    <t>PB 03-2020-53</t>
  </si>
  <si>
    <t>20-07-00452</t>
  </si>
  <si>
    <t>PB 03-2020-42</t>
  </si>
  <si>
    <t>PB 03-2020- 54</t>
  </si>
  <si>
    <t>PB 03-2020-45</t>
  </si>
  <si>
    <t>PB 03-2020-44</t>
  </si>
  <si>
    <t>PB 03-2020-37</t>
  </si>
  <si>
    <t>PB 03-2020-39</t>
  </si>
  <si>
    <t>PB 03-2020-47</t>
  </si>
  <si>
    <t>PB 03-2020-38</t>
  </si>
  <si>
    <t>PB 03-2020-32</t>
  </si>
  <si>
    <t>PB 03-202 - 03</t>
  </si>
  <si>
    <t>PB 03-2020-31</t>
  </si>
  <si>
    <t>PB 03-2020-29</t>
  </si>
  <si>
    <t>PB 03-2020-40</t>
  </si>
  <si>
    <t>MG-A7M20-113</t>
  </si>
  <si>
    <t>PB 03-2020-36</t>
  </si>
  <si>
    <t>2003-51</t>
  </si>
  <si>
    <t>PR2007264</t>
  </si>
  <si>
    <t>PB 03-2020-34</t>
  </si>
  <si>
    <t>PB 03-2020-41</t>
  </si>
  <si>
    <t>ITB PR NO.: 1562-20BAC</t>
  </si>
  <si>
    <t>PB 03-2020-30</t>
  </si>
  <si>
    <t>ITB-SSS-GOODS-2020-022</t>
  </si>
  <si>
    <t>BSU - PROJECT NO. 2020- 261</t>
  </si>
  <si>
    <t>20063984</t>
  </si>
  <si>
    <t>NP-SVP-20-058</t>
  </si>
  <si>
    <t>PB 03-2020-60</t>
  </si>
  <si>
    <t>07-00947</t>
  </si>
  <si>
    <t>PB 03-2020-59</t>
  </si>
  <si>
    <t>PB 03-2020-33</t>
  </si>
  <si>
    <t>PB 03-2020-58</t>
  </si>
  <si>
    <t>PB 03-2020-51</t>
  </si>
  <si>
    <t>PB 03-2020-57</t>
  </si>
  <si>
    <t>PB 03-2020-49</t>
  </si>
  <si>
    <t>PB 03-2020-48</t>
  </si>
  <si>
    <t>2005-24</t>
  </si>
  <si>
    <t>ITB NO. 2020-0015</t>
  </si>
  <si>
    <t>PB 03-2020-50</t>
  </si>
  <si>
    <t>BSU - PROJECT NO. 2020- 260</t>
  </si>
  <si>
    <t>PB 03-2020- 56</t>
  </si>
  <si>
    <t>PB 03-2020- 55</t>
  </si>
  <si>
    <t>ACC-20-0918-B</t>
  </si>
  <si>
    <t>PB 03-2020-52</t>
  </si>
  <si>
    <t>B-08-31-20</t>
  </si>
  <si>
    <t>2020-02-0226, 2020-02-0210, 2020-02-0280</t>
  </si>
  <si>
    <t>IB-2020-09-38</t>
  </si>
  <si>
    <t>20-286</t>
  </si>
  <si>
    <t>LGU LAUREL 20-08-002</t>
  </si>
  <si>
    <t>2020-06-0593, 2020-05-0507, 2020-02-0243, 2020-02-</t>
  </si>
  <si>
    <t>429-2020</t>
  </si>
  <si>
    <t>2020-01-0054, 2020-02-0308, 2020-02-0204, 2020-06-</t>
  </si>
  <si>
    <t>SB6 HDMP19 300-20-06-06236</t>
  </si>
  <si>
    <t>TLU-010720G</t>
  </si>
  <si>
    <t>ITB-2020-08-058</t>
  </si>
  <si>
    <t>BCS-2020-0254</t>
  </si>
  <si>
    <t>BCS-2020-0255</t>
  </si>
  <si>
    <t>BS20-07-0779</t>
  </si>
  <si>
    <t>PB INFRA 20-071</t>
  </si>
  <si>
    <t>ITB-GS-20200609-01(2)</t>
  </si>
  <si>
    <t>20-07-142</t>
  </si>
  <si>
    <t>2020-03-0474</t>
  </si>
  <si>
    <t>2020-RP-35</t>
  </si>
  <si>
    <t>20-07-139</t>
  </si>
  <si>
    <t>ITB NO. GOP/20-DSWD-044</t>
  </si>
  <si>
    <t>BCS-2020-0257</t>
  </si>
  <si>
    <t>PB-PAFBAC-169-20</t>
  </si>
  <si>
    <t>032-2020</t>
  </si>
  <si>
    <t>nlontoc-ITB072-2020</t>
  </si>
  <si>
    <t>087-20</t>
  </si>
  <si>
    <t>BS20-07-0780</t>
  </si>
  <si>
    <t>PB-PAFBAC-168-20</t>
  </si>
  <si>
    <t>PB INFRA 20-072</t>
  </si>
  <si>
    <t>GOODS-2020-08-003 LT2</t>
  </si>
  <si>
    <t>I.D. NO. –Aug.4-2020-486</t>
  </si>
  <si>
    <t>2020-082-19-32</t>
  </si>
  <si>
    <t>20-07-141</t>
  </si>
  <si>
    <t>211557</t>
  </si>
  <si>
    <t>2020-082-19-31</t>
  </si>
  <si>
    <t>211556</t>
  </si>
  <si>
    <t>211550</t>
  </si>
  <si>
    <t>2020-082-19-30</t>
  </si>
  <si>
    <t>2020-08-26</t>
  </si>
  <si>
    <t>99-2020</t>
  </si>
  <si>
    <t>2020-082-19-19</t>
  </si>
  <si>
    <t>ppn-148-2020</t>
  </si>
  <si>
    <t>2020-082-19-18</t>
  </si>
  <si>
    <t>202054</t>
  </si>
  <si>
    <t>20BH0161</t>
  </si>
  <si>
    <t>2020-08-01 INFRA</t>
  </si>
  <si>
    <t>BSU - PROJECT NO. 2020- 287</t>
  </si>
  <si>
    <t>Infra-02</t>
  </si>
  <si>
    <t>2020-082-19-20</t>
  </si>
  <si>
    <t>2020-08-09 INFRA</t>
  </si>
  <si>
    <t>2020LGU013</t>
  </si>
  <si>
    <t>PEO-2020-0072</t>
  </si>
  <si>
    <t>BGHMCPB-2020-25-001</t>
  </si>
  <si>
    <t>2020-PB-015</t>
  </si>
  <si>
    <t>PBD 20-096</t>
  </si>
  <si>
    <t>PR. NO. 2020-07-000035</t>
  </si>
  <si>
    <t>PGR-GOODS-20-2020</t>
  </si>
  <si>
    <t>BAC-PROP-2020-06</t>
  </si>
  <si>
    <t>DPWH-SK2DEO-20GMH073</t>
  </si>
  <si>
    <t>R20-288</t>
  </si>
  <si>
    <t>BAC-GS-2020-07-006</t>
  </si>
  <si>
    <t>PUR20-05-0386</t>
  </si>
  <si>
    <t>BAC-GS-2020-07-005</t>
  </si>
  <si>
    <t>NTC RIV-A 2020-07-002</t>
  </si>
  <si>
    <t>20CSC003</t>
  </si>
  <si>
    <t>20CSC001</t>
  </si>
  <si>
    <t>01-05-2020-07-733</t>
  </si>
  <si>
    <t>ITB 2020-0022</t>
  </si>
  <si>
    <t>23-20</t>
  </si>
  <si>
    <t>22-20</t>
  </si>
  <si>
    <t>20-06-239</t>
  </si>
  <si>
    <t>PUR20-02-0068</t>
  </si>
  <si>
    <t>PUR19-09-1140</t>
  </si>
  <si>
    <t>PUR19-12-1459</t>
  </si>
  <si>
    <t>BAC-GS-2020-07-008</t>
  </si>
  <si>
    <t>20CSC002</t>
  </si>
  <si>
    <t>BAC-GS-2020-07-009</t>
  </si>
  <si>
    <t>C-0900-0045-20</t>
  </si>
  <si>
    <t>GS-PNBAC2-2020-21</t>
  </si>
  <si>
    <t>BAC1-20-013</t>
  </si>
  <si>
    <t>BAC1-20-004</t>
  </si>
  <si>
    <t>ITB No. FB20-03-007COR</t>
  </si>
  <si>
    <t>BFAR5BAC-2020-125</t>
  </si>
  <si>
    <t>GS-PNBAC2-2020-34</t>
  </si>
  <si>
    <t>25-20</t>
  </si>
  <si>
    <t>20CH0077</t>
  </si>
  <si>
    <t>PUR20-07-0568</t>
  </si>
  <si>
    <t>S1-MMG20-015</t>
  </si>
  <si>
    <t>Contract No. 04-2020</t>
  </si>
  <si>
    <t>RFQ NO. SVP-037-2020</t>
  </si>
  <si>
    <t>BAC-GS-2020-07-007</t>
  </si>
  <si>
    <t>BCS-2020-0171</t>
  </si>
  <si>
    <t>20GZ00004</t>
  </si>
  <si>
    <t>GS-PNBAC2-2020-33</t>
  </si>
  <si>
    <t>SVP 20-1151</t>
  </si>
  <si>
    <t>20GZ00002</t>
  </si>
  <si>
    <t>SVP 20-1217</t>
  </si>
  <si>
    <t>24-20</t>
  </si>
  <si>
    <t>INFRA-PNBAC2-2020-15</t>
  </si>
  <si>
    <t>S1-BIM20-015</t>
  </si>
  <si>
    <t>INFRA-PNBAC2-2020-14</t>
  </si>
  <si>
    <t>GS-PNBAC2-2020-24</t>
  </si>
  <si>
    <t>MG-A7M20-088</t>
  </si>
  <si>
    <t>INFRA-PNBAC2-2020-16</t>
  </si>
  <si>
    <t>20GZ00015</t>
  </si>
  <si>
    <t>20-05-1394</t>
  </si>
  <si>
    <t>DTI PB-20-012</t>
  </si>
  <si>
    <t>RO-PG2020-003</t>
  </si>
  <si>
    <t>ITB-GS-20200311-01</t>
  </si>
  <si>
    <t>2020-GSIS-PB-083</t>
  </si>
  <si>
    <t>2020-0055 dated 19 June 2020</t>
  </si>
  <si>
    <t>ITB-GS-20200413-01</t>
  </si>
  <si>
    <t>BAC-AS-2020-06-019</t>
  </si>
  <si>
    <t>SVP 2020-383</t>
  </si>
  <si>
    <t>20GZ00001</t>
  </si>
  <si>
    <t>ITB-2020-001Lumintao</t>
  </si>
  <si>
    <t>NTC RIV-A 2020-07-001</t>
  </si>
  <si>
    <t>05-00694</t>
  </si>
  <si>
    <t>FS-2020-IHAOAN-RIP-001-RO</t>
  </si>
  <si>
    <t>2020-NSC-002</t>
  </si>
  <si>
    <t>20DN0145</t>
  </si>
  <si>
    <t>ITB-GS-20200608-01</t>
  </si>
  <si>
    <t>20FA0061</t>
  </si>
  <si>
    <t>2020-twg1-005 with RIS No.19-82-025</t>
  </si>
  <si>
    <t>CSC-ITB No. 2020-09 (Proc. of AVS Licenses)</t>
  </si>
  <si>
    <t>PUR19-10-1204</t>
  </si>
  <si>
    <t>20-07-115</t>
  </si>
  <si>
    <t>CSC-ITB No. 2020-10  (Proc. of Primary Internet Se</t>
  </si>
  <si>
    <t>20DN0161</t>
  </si>
  <si>
    <t>IB-2020-078</t>
  </si>
  <si>
    <t>20DN0160</t>
  </si>
  <si>
    <t>MG-TSE20-018..METER, MULTIFUNCTION</t>
  </si>
  <si>
    <t>20DN0149</t>
  </si>
  <si>
    <t>20DN0157</t>
  </si>
  <si>
    <t>20DN0150</t>
  </si>
  <si>
    <t>20DN0168</t>
  </si>
  <si>
    <t>20CN0066</t>
  </si>
  <si>
    <t>20DQ0128</t>
  </si>
  <si>
    <t>20DQ0121</t>
  </si>
  <si>
    <t>RFQ NO. SVP-022-2020</t>
  </si>
  <si>
    <t>2020170</t>
  </si>
  <si>
    <t>2020168</t>
  </si>
  <si>
    <t>2020-twg1-006 with RIS No.19-82-025</t>
  </si>
  <si>
    <t>20DN0148</t>
  </si>
  <si>
    <t>CSC-ITB No. 2020-08 (Proc. of Laptops &amp; Printers</t>
  </si>
  <si>
    <t>20LB0206</t>
  </si>
  <si>
    <t>20CN0071</t>
  </si>
  <si>
    <t>20CN0070</t>
  </si>
  <si>
    <t>ITB NO. OCD 2020-11</t>
  </si>
  <si>
    <t>ITB-SSS-GOODS-2020-018</t>
  </si>
  <si>
    <t>20CN0069</t>
  </si>
  <si>
    <t>20CN0068</t>
  </si>
  <si>
    <t>S1-NDP20-008</t>
  </si>
  <si>
    <t>SVP 2020-373</t>
  </si>
  <si>
    <t>20CN0072</t>
  </si>
  <si>
    <t>20CN0067</t>
  </si>
  <si>
    <t>CSC 2020-06-013</t>
  </si>
  <si>
    <t>20DN0169</t>
  </si>
  <si>
    <t>ITB No. GOP/19-DSWD-059-A</t>
  </si>
  <si>
    <t>BAC1-20-007</t>
  </si>
  <si>
    <t>20CN0126</t>
  </si>
  <si>
    <t>20CN0125</t>
  </si>
  <si>
    <t>20CN0124</t>
  </si>
  <si>
    <t>20CN0123</t>
  </si>
  <si>
    <t>20CN0075</t>
  </si>
  <si>
    <t>20CN0073</t>
  </si>
  <si>
    <t>BAC1-20-014</t>
  </si>
  <si>
    <t>MG-A7O20-005</t>
  </si>
  <si>
    <t>BAC1-20-008</t>
  </si>
  <si>
    <t>6222020</t>
  </si>
  <si>
    <t>BAC1-20-010</t>
  </si>
  <si>
    <t>BAC1-20-005</t>
  </si>
  <si>
    <t>SVP 20-710-2</t>
  </si>
  <si>
    <t>20CN0074</t>
  </si>
  <si>
    <t>20DN0130</t>
  </si>
  <si>
    <t>19CSK00041</t>
  </si>
  <si>
    <t>06-00723</t>
  </si>
  <si>
    <t>20DN0140</t>
  </si>
  <si>
    <t>BAC1-20-006</t>
  </si>
  <si>
    <t>20DN0139</t>
  </si>
  <si>
    <t>20DN0137</t>
  </si>
  <si>
    <t>BAC1-20-011</t>
  </si>
  <si>
    <t>20DN0144</t>
  </si>
  <si>
    <t>ITB-GS-20200313-01</t>
  </si>
  <si>
    <t>20FN0102</t>
  </si>
  <si>
    <t>BAC1-20-009</t>
  </si>
  <si>
    <t>20KB0174</t>
  </si>
  <si>
    <t>063</t>
  </si>
  <si>
    <t>20DN0138</t>
  </si>
  <si>
    <t>20DN0174</t>
  </si>
  <si>
    <t>20DN0141</t>
  </si>
  <si>
    <t>C-2020-01</t>
  </si>
  <si>
    <t>20FN0100</t>
  </si>
  <si>
    <t>27611-001</t>
  </si>
  <si>
    <t>20KB0168</t>
  </si>
  <si>
    <t>20DN0173</t>
  </si>
  <si>
    <t>20KA0141</t>
  </si>
  <si>
    <t>20DN0131</t>
  </si>
  <si>
    <t>20KA0140</t>
  </si>
  <si>
    <t>20KA0137</t>
  </si>
  <si>
    <t>20KA0136</t>
  </si>
  <si>
    <t>MG-A7C20-023</t>
  </si>
  <si>
    <t>20DN0170</t>
  </si>
  <si>
    <t>ITB-GS-20200407-01</t>
  </si>
  <si>
    <t>20KA0138</t>
  </si>
  <si>
    <t>ITB-GS-20200323-01</t>
  </si>
  <si>
    <t>20KA0135</t>
  </si>
  <si>
    <t>20FN0089</t>
  </si>
  <si>
    <t>BAC1-20-012</t>
  </si>
  <si>
    <t>20FN0094</t>
  </si>
  <si>
    <t>20KA0142</t>
  </si>
  <si>
    <t>MPG-B1-2020-002</t>
  </si>
  <si>
    <t>20KB0167</t>
  </si>
  <si>
    <t>20FN0092</t>
  </si>
  <si>
    <t>ITB-GS-20200212-01</t>
  </si>
  <si>
    <t>ITB-GS-20191202-01</t>
  </si>
  <si>
    <t>ITB-GS-20200305-03</t>
  </si>
  <si>
    <t>TAL-06-03-2020</t>
  </si>
  <si>
    <t>GPG-B2-2020-103 2nd Rebid</t>
  </si>
  <si>
    <t>20C00042</t>
  </si>
  <si>
    <t>BFAR5BAC-2020-077</t>
  </si>
  <si>
    <t>ISS 2020-008-IT</t>
  </si>
  <si>
    <t>2020-05-06a</t>
  </si>
  <si>
    <t>ITB-GS-20190703-01(2)</t>
  </si>
  <si>
    <t>GPG-B1-2020-220-3RD REBID-AIR-CONDITIONING UNITS</t>
  </si>
  <si>
    <t>BFAR5BAC-2020-036</t>
  </si>
  <si>
    <t>RFQ-3D PRINTING CONSUMABLES PR#20-02-0027</t>
  </si>
  <si>
    <t>20M00079</t>
  </si>
  <si>
    <t>MPG-BI 2020-318 4th Rebid SUPPLY AND DELIVERY OF B</t>
  </si>
  <si>
    <t>MA-A2H20-006..BATTERY BANK, STATION BATTERY, AGUS</t>
  </si>
  <si>
    <t>MPG-B1-2020-231 Rebid</t>
  </si>
  <si>
    <t>RFQ-HARDWARE MATERIALS AND CONSUMABLES PR#20-03-00</t>
  </si>
  <si>
    <t>20OE0091</t>
  </si>
  <si>
    <t>RFQ-PAPERS-PRINTING SUPPLY AND CONSUMABLES PR#20-0</t>
  </si>
  <si>
    <t>SVP 2020-12</t>
  </si>
  <si>
    <t>20FN0077</t>
  </si>
  <si>
    <t>BAC19-001-004</t>
  </si>
  <si>
    <t>GPG-B2-2020-272  2nd Rebid</t>
  </si>
  <si>
    <t>2020-03-0023</t>
  </si>
  <si>
    <t>MPG-B1-2020-415</t>
  </si>
  <si>
    <t>20FA0048</t>
  </si>
  <si>
    <t>20FA0047</t>
  </si>
  <si>
    <t>2020-02 Infra (Rebid 2020 BEFF Lot 6)</t>
  </si>
  <si>
    <t>2020-013-RFQ</t>
  </si>
  <si>
    <t>20HD0058</t>
  </si>
  <si>
    <t>MPG-B1-2019-562 3rd Rebid</t>
  </si>
  <si>
    <t>MPG-B1-2020-250</t>
  </si>
  <si>
    <t>20OD0128</t>
  </si>
  <si>
    <t>20HD0068</t>
  </si>
  <si>
    <t>20HD0061</t>
  </si>
  <si>
    <t>20OE0173</t>
  </si>
  <si>
    <t>PB No. 19-341-7</t>
  </si>
  <si>
    <t>20JE0080</t>
  </si>
  <si>
    <t>ITB-GS-20200402-01</t>
  </si>
  <si>
    <t>20JE0070</t>
  </si>
  <si>
    <t>20JE0069</t>
  </si>
  <si>
    <t>20JE0067</t>
  </si>
  <si>
    <t>CAT-2020-001</t>
  </si>
  <si>
    <t>20FA0040</t>
  </si>
  <si>
    <t>GPG-B1-2020-011-MEDICAL EQUIPMENT</t>
  </si>
  <si>
    <t>20KA0139</t>
  </si>
  <si>
    <t>20JE0079</t>
  </si>
  <si>
    <t>MPG-B1-2020-054</t>
  </si>
  <si>
    <t>GPG-B2-2020-282 2nd Rebid</t>
  </si>
  <si>
    <t>20OD0127</t>
  </si>
  <si>
    <t>GPG-B1-2020-010-MEDICAL EQPT</t>
  </si>
  <si>
    <t>20FA0050</t>
  </si>
  <si>
    <t>PB 20-16</t>
  </si>
  <si>
    <t>MPG-B1-2019-416</t>
  </si>
  <si>
    <t>20FA0049</t>
  </si>
  <si>
    <t>20OE0190</t>
  </si>
  <si>
    <t>BFAR5BAC-2020-081</t>
  </si>
  <si>
    <t>20FN0081</t>
  </si>
  <si>
    <t>20-05-0245</t>
  </si>
  <si>
    <t>MG-A7C20-020</t>
  </si>
  <si>
    <t>PB 20-15</t>
  </si>
  <si>
    <t>20C00036</t>
  </si>
  <si>
    <t>MG-A7M20-030</t>
  </si>
  <si>
    <t>MPG-B2-2020-310 Nego</t>
  </si>
  <si>
    <t>27388-001</t>
  </si>
  <si>
    <t>DA7-FOD-C-20-1802</t>
  </si>
  <si>
    <t>27608-001</t>
  </si>
  <si>
    <t>20-DO-0079</t>
  </si>
  <si>
    <t>MG-A7A20-007</t>
  </si>
  <si>
    <t>27619-001 to 27619-003</t>
  </si>
  <si>
    <t>Implementing Rules and Regulations</t>
  </si>
  <si>
    <t>Others</t>
  </si>
  <si>
    <t>ADB Procurement Guidelines</t>
  </si>
  <si>
    <t>WB Procurement Guidelines</t>
  </si>
  <si>
    <t>International / Executive Agreement</t>
  </si>
  <si>
    <t>ADB Guidelines on the use of Consultants</t>
  </si>
  <si>
    <t>WB Guidelines on the use of Consultants</t>
  </si>
  <si>
    <t>Public Bidding</t>
  </si>
  <si>
    <t>Negotiated Procurement - Small Value Procurement (Sec. 53.9)</t>
  </si>
  <si>
    <t>Negotiated Procurement - Two Failed Biddings (Sec. 53.1)</t>
  </si>
  <si>
    <t>International Competitive Bidding</t>
  </si>
  <si>
    <t>Shopping - Ordinary/Regular Office Supplies &amp; Equipment (Sec. 52.1.b)</t>
  </si>
  <si>
    <t>National Competitive Bidding</t>
  </si>
  <si>
    <t>Shopping</t>
  </si>
  <si>
    <t>Selection based on Consultants Qualification</t>
  </si>
  <si>
    <t>Negotiated Procurement - NGO Participation (Sec. 53.11)</t>
  </si>
  <si>
    <t>Limited Source Bidding (Sec. 49)</t>
  </si>
  <si>
    <t>Civil Works</t>
  </si>
  <si>
    <t>Goods - General Support Services</t>
  </si>
  <si>
    <t>Consulting Services</t>
  </si>
  <si>
    <t>Water Service Connection Materials/Fittings</t>
  </si>
  <si>
    <t>Cargo Forwarding and Hauling Services</t>
  </si>
  <si>
    <t>Security Services</t>
  </si>
  <si>
    <t>Fuels/Fuel Additives &amp; Lubricants &amp; Anti Corrosive</t>
  </si>
  <si>
    <t>Computer Furniture</t>
  </si>
  <si>
    <t>Hardware and Construction Supplies</t>
  </si>
  <si>
    <t>Fire Fighting &amp; Rescue and Safety Equipment</t>
  </si>
  <si>
    <t>Medical Supplies and Laboratory Instrument</t>
  </si>
  <si>
    <t>Airconditioning and Airconditioning Systems</t>
  </si>
  <si>
    <t>Agricultural Machinery and Equipment</t>
  </si>
  <si>
    <t>Sporting Goods</t>
  </si>
  <si>
    <t>Textiles</t>
  </si>
  <si>
    <t>Laboratory Supplies and Equipment</t>
  </si>
  <si>
    <t>Pest Control Services</t>
  </si>
  <si>
    <t>Information Technology</t>
  </si>
  <si>
    <t>Internet Services</t>
  </si>
  <si>
    <t>Arts and Crafts Accessories and Supplies</t>
  </si>
  <si>
    <t>Transmission and Distribution Lines</t>
  </si>
  <si>
    <t>Audio and Visual Equipment</t>
  </si>
  <si>
    <t>Industrial pumps and compressors</t>
  </si>
  <si>
    <t>Appliances</t>
  </si>
  <si>
    <t>Waste Management and Recycling</t>
  </si>
  <si>
    <t>Fixtures</t>
  </si>
  <si>
    <t>Well Drilling and Construction Services</t>
  </si>
  <si>
    <t>Agricultural Products (Seeds, Seedlings, Plants..)</t>
  </si>
  <si>
    <t>IT Broadcasting and Telecommunications</t>
  </si>
  <si>
    <t>Services</t>
  </si>
  <si>
    <t>Hospital / Medical Equipment Services</t>
  </si>
  <si>
    <t>Fertilizers</t>
  </si>
  <si>
    <t>Medical and Dental Equipment</t>
  </si>
  <si>
    <t>Security Surveillance and Detection Equipment</t>
  </si>
  <si>
    <t>Water and Waste Water Treatment Supply &amp; Disposal</t>
  </si>
  <si>
    <t>Printing Supplies</t>
  </si>
  <si>
    <t>General Contractor</t>
  </si>
  <si>
    <t>Live Animals (Livestock, Birds, Live fish &amp; etc..)</t>
  </si>
  <si>
    <t>Electrical Systems and Lighting Components</t>
  </si>
  <si>
    <t>Hospital / Medical Equipment</t>
  </si>
  <si>
    <t>Environmental Health/Safety Equipment</t>
  </si>
  <si>
    <t>Construction Equipment</t>
  </si>
  <si>
    <t>Kitchenware</t>
  </si>
  <si>
    <t>Funeral and Associated Services</t>
  </si>
  <si>
    <t>Timepieces and Jewelry and Gemstone Products</t>
  </si>
  <si>
    <t>Bedclothes, Linens and Towels</t>
  </si>
  <si>
    <t>Transportation and Communications Services</t>
  </si>
  <si>
    <t>Musical Instrument Parts and Accesories</t>
  </si>
  <si>
    <t>Signage and Accessories</t>
  </si>
  <si>
    <t>Navigation Equipment</t>
  </si>
  <si>
    <t>Communication Equipment &amp; Parts and Accessories</t>
  </si>
  <si>
    <t>Financial and Insurance Services</t>
  </si>
  <si>
    <t>General Repair and Maintenance Services</t>
  </si>
  <si>
    <t>Hotel and Lodging and Meeting Facilities</t>
  </si>
  <si>
    <t>Machine Tools</t>
  </si>
  <si>
    <t>Tokens and Awards</t>
  </si>
  <si>
    <t>Meteorological Equipments and Instruments</t>
  </si>
  <si>
    <t>Veterinary Products and Supplies</t>
  </si>
  <si>
    <t>Books, Maps and Other Publications</t>
  </si>
  <si>
    <t>Oil/Heat Chemical Resistant Rubber</t>
  </si>
  <si>
    <t>General Engineering Services</t>
  </si>
  <si>
    <t>Photography Services</t>
  </si>
  <si>
    <t>Maritime Spare Parts</t>
  </si>
  <si>
    <t>Power Generation and Distribution Machinery</t>
  </si>
  <si>
    <t>Personal Care Products</t>
  </si>
  <si>
    <t>Dairy Products</t>
  </si>
  <si>
    <t>Lease and Rental of Property or Building</t>
  </si>
  <si>
    <t>Airconditioning Maintenance Services</t>
  </si>
  <si>
    <t>Chemicals and Chemical Products</t>
  </si>
  <si>
    <t>Telecommunications Provider</t>
  </si>
  <si>
    <t>Reproduction Services</t>
  </si>
  <si>
    <t>Paper Materials and Products</t>
  </si>
  <si>
    <t>Systems Integration</t>
  </si>
  <si>
    <t>Agricultural Chemicals</t>
  </si>
  <si>
    <t>Ammunitions and Explosives</t>
  </si>
  <si>
    <t>Musical Instruments</t>
  </si>
  <si>
    <t>Rice Milling Services</t>
  </si>
  <si>
    <t>Corporate Giveaways</t>
  </si>
  <si>
    <t>Automation Equipment</t>
  </si>
  <si>
    <t>Lifting equipment and accessories</t>
  </si>
  <si>
    <t>Chemical Detergents</t>
  </si>
  <si>
    <t>Janitorial Equipment</t>
  </si>
  <si>
    <t>Surveying Services</t>
  </si>
  <si>
    <t>Food Processing Equipment</t>
  </si>
  <si>
    <t>Video Production Services</t>
  </si>
  <si>
    <t>Industrial Safety Equipment</t>
  </si>
  <si>
    <t>Construction Management Services</t>
  </si>
  <si>
    <t>Plastic Products</t>
  </si>
  <si>
    <t>Photographic Equipment</t>
  </si>
  <si>
    <t>Furniture Parts and Accessories</t>
  </si>
  <si>
    <t>Diagnostic and Laboratory Services</t>
  </si>
  <si>
    <t>Engineering and Laboratory Testing Equipment</t>
  </si>
  <si>
    <t>Packaging Supplies and Materials</t>
  </si>
  <si>
    <t>Quartermaster Items</t>
  </si>
  <si>
    <t>Beverages</t>
  </si>
  <si>
    <t>Surveying Instruments</t>
  </si>
  <si>
    <t>Architectural Design</t>
  </si>
  <si>
    <t>Guns and Weapons</t>
  </si>
  <si>
    <t>Events Management</t>
  </si>
  <si>
    <t>Market Research Services</t>
  </si>
  <si>
    <t>Newspapers</t>
  </si>
  <si>
    <t>Travel, Food, Lodging and Entertainment Services</t>
  </si>
  <si>
    <t>Gaming Equipment and Paraphernalia</t>
  </si>
  <si>
    <t>Mail and Cargo Transport Services</t>
  </si>
  <si>
    <t>Photographic Parts, Supplies and Accessories</t>
  </si>
  <si>
    <t>Sub-station Contractors</t>
  </si>
  <si>
    <t>Flags</t>
  </si>
  <si>
    <t>Education and Training Services</t>
  </si>
  <si>
    <t>Laundry Services</t>
  </si>
  <si>
    <t>Metal Fabrication</t>
  </si>
  <si>
    <t>Advertising Agency Services</t>
  </si>
  <si>
    <t>Packed Food Distributor</t>
  </si>
  <si>
    <t>Traffic Control Systems</t>
  </si>
  <si>
    <t>Public Relations Programs or Services</t>
  </si>
  <si>
    <t>Marine Transport</t>
  </si>
  <si>
    <t>Pest Control Products</t>
  </si>
  <si>
    <t>Purses, handbags and bags</t>
  </si>
  <si>
    <t>Microfilm Equipment - Supplies and Accesories</t>
  </si>
  <si>
    <t>Freight Forwarder Services</t>
  </si>
  <si>
    <t>Structured Cabling</t>
  </si>
  <si>
    <t>Aircraft Spare Parts</t>
  </si>
  <si>
    <t>Investigative Equipment</t>
  </si>
  <si>
    <t>Aviation Products</t>
  </si>
  <si>
    <t>Geotechnical Instrumentation</t>
  </si>
  <si>
    <t>Landscaping Services</t>
  </si>
  <si>
    <t>Ordnance Products</t>
  </si>
  <si>
    <t>Hydrological Instruments</t>
  </si>
  <si>
    <t>Telecommunications Engineering</t>
  </si>
  <si>
    <t>104,698.12</t>
  </si>
  <si>
    <t>80,000.00</t>
  </si>
  <si>
    <t>20,400.00</t>
  </si>
  <si>
    <t>3,600.00</t>
  </si>
  <si>
    <t>9,750.00</t>
  </si>
  <si>
    <t>6,000,000.00</t>
  </si>
  <si>
    <t>258,600.20</t>
  </si>
  <si>
    <t>8,078.00</t>
  </si>
  <si>
    <t>900,000.00</t>
  </si>
  <si>
    <t>316,765.55</t>
  </si>
  <si>
    <t>11,550.00</t>
  </si>
  <si>
    <t>112,582,061.00</t>
  </si>
  <si>
    <t>125,400.00</t>
  </si>
  <si>
    <t>93,600.00</t>
  </si>
  <si>
    <t>150,000.00</t>
  </si>
  <si>
    <t>59,085.00</t>
  </si>
  <si>
    <t>1,500,000.00</t>
  </si>
  <si>
    <t>5,270.89</t>
  </si>
  <si>
    <t>3,500,000.00</t>
  </si>
  <si>
    <t>500,000.00</t>
  </si>
  <si>
    <t>1,080,805.00</t>
  </si>
  <si>
    <t>1,000,000.00</t>
  </si>
  <si>
    <t>321,300.00</t>
  </si>
  <si>
    <t>4,572,428.58</t>
  </si>
  <si>
    <t>726,000.00</t>
  </si>
  <si>
    <t>190,000.00</t>
  </si>
  <si>
    <t>146,000.00</t>
  </si>
  <si>
    <t>300,000.00</t>
  </si>
  <si>
    <t>1,885,000.00</t>
  </si>
  <si>
    <t>2,180,200.00</t>
  </si>
  <si>
    <t>120,000.00</t>
  </si>
  <si>
    <t>570,000.00</t>
  </si>
  <si>
    <t>45,000,000.00</t>
  </si>
  <si>
    <t>325,000.00</t>
  </si>
  <si>
    <t>548,784.00</t>
  </si>
  <si>
    <t>19,267,557.99</t>
  </si>
  <si>
    <t>5,415.67</t>
  </si>
  <si>
    <t>5,955,040.55</t>
  </si>
  <si>
    <t>200,000.00</t>
  </si>
  <si>
    <t>810,000.00</t>
  </si>
  <si>
    <t>4,750,260.64</t>
  </si>
  <si>
    <t>999,985.59</t>
  </si>
  <si>
    <t>999,980.11</t>
  </si>
  <si>
    <t>25,000.00</t>
  </si>
  <si>
    <t>2,000,000.00</t>
  </si>
  <si>
    <t>15,000,000.00</t>
  </si>
  <si>
    <t>284,190.00</t>
  </si>
  <si>
    <t>630,000.00</t>
  </si>
  <si>
    <t>180,000.00</t>
  </si>
  <si>
    <t>151,500.00</t>
  </si>
  <si>
    <t>179,600.00</t>
  </si>
  <si>
    <t>1,304,902.00</t>
  </si>
  <si>
    <t>945,457.00</t>
  </si>
  <si>
    <t>300,041.96</t>
  </si>
  <si>
    <t>151,200.00</t>
  </si>
  <si>
    <t>3,197,760.00</t>
  </si>
  <si>
    <t>227,976.62</t>
  </si>
  <si>
    <t>3,623,192.00</t>
  </si>
  <si>
    <t>74,801.00</t>
  </si>
  <si>
    <t>691,920.90</t>
  </si>
  <si>
    <t>24,000.00</t>
  </si>
  <si>
    <t>11,380,963.00</t>
  </si>
  <si>
    <t>50,000.00</t>
  </si>
  <si>
    <t>4,052,800.76</t>
  </si>
  <si>
    <t>2,865,983.73</t>
  </si>
  <si>
    <t>76,960.00</t>
  </si>
  <si>
    <t>1,567,784.00</t>
  </si>
  <si>
    <t>376,010.00</t>
  </si>
  <si>
    <t>1,637,500.00</t>
  </si>
  <si>
    <t>140,000.00</t>
  </si>
  <si>
    <t>3,000,000.00</t>
  </si>
  <si>
    <t>709,175.00</t>
  </si>
  <si>
    <t>1,454,423.40</t>
  </si>
  <si>
    <t>980,000.00</t>
  </si>
  <si>
    <t>380,000.00</t>
  </si>
  <si>
    <t>1,908,060.00</t>
  </si>
  <si>
    <t>9,835,013.75</t>
  </si>
  <si>
    <t>255,000.00</t>
  </si>
  <si>
    <t>169,900.00</t>
  </si>
  <si>
    <t>2,500,000.00</t>
  </si>
  <si>
    <t>1,474,532.00</t>
  </si>
  <si>
    <t>2,600,000.00</t>
  </si>
  <si>
    <t>450,000.00</t>
  </si>
  <si>
    <t>148,749.00</t>
  </si>
  <si>
    <t>24,999,300.00</t>
  </si>
  <si>
    <t>1,368,598.00</t>
  </si>
  <si>
    <t>186,282.00</t>
  </si>
  <si>
    <t>269,284.00</t>
  </si>
  <si>
    <t>214,907.00</t>
  </si>
  <si>
    <t>10,670.00</t>
  </si>
  <si>
    <t>975,000.00</t>
  </si>
  <si>
    <t>4,275,000.00</t>
  </si>
  <si>
    <t>389,697.00</t>
  </si>
  <si>
    <t>309,151.68</t>
  </si>
  <si>
    <t>51,500.00</t>
  </si>
  <si>
    <t>383,138.40</t>
  </si>
  <si>
    <t>4,998,000.00</t>
  </si>
  <si>
    <t>129,380.00</t>
  </si>
  <si>
    <t>295,396.00</t>
  </si>
  <si>
    <t>665,000.00</t>
  </si>
  <si>
    <t>787,500.00</t>
  </si>
  <si>
    <t>52,200.00</t>
  </si>
  <si>
    <t>275,000.00</t>
  </si>
  <si>
    <t>149,000.00</t>
  </si>
  <si>
    <t>244,740.00</t>
  </si>
  <si>
    <t>7,400,000.00</t>
  </si>
  <si>
    <t>1,906,787.00</t>
  </si>
  <si>
    <t>499,960.00</t>
  </si>
  <si>
    <t>55,600.00</t>
  </si>
  <si>
    <t>1,800,000.00</t>
  </si>
  <si>
    <t>1,300,000.00</t>
  </si>
  <si>
    <t>195,767.00</t>
  </si>
  <si>
    <t>1,394,000.00</t>
  </si>
  <si>
    <t>1,369,476.88</t>
  </si>
  <si>
    <t>487,300.00</t>
  </si>
  <si>
    <t>166,000.00</t>
  </si>
  <si>
    <t>831,321.00</t>
  </si>
  <si>
    <t>90,000.00</t>
  </si>
  <si>
    <t>50,400.00</t>
  </si>
  <si>
    <t>78,390.00</t>
  </si>
  <si>
    <t>342,000.00</t>
  </si>
  <si>
    <t>542,300.00</t>
  </si>
  <si>
    <t>654,419.96</t>
  </si>
  <si>
    <t>355,000.00</t>
  </si>
  <si>
    <t>199,200.00</t>
  </si>
  <si>
    <t>317,200.00</t>
  </si>
  <si>
    <t>305,539.00</t>
  </si>
  <si>
    <t>490,450.00</t>
  </si>
  <si>
    <t>1,165,000.00</t>
  </si>
  <si>
    <t>294,047.50</t>
  </si>
  <si>
    <t>2,810,247.30</t>
  </si>
  <si>
    <t>10,800,902.98</t>
  </si>
  <si>
    <t>83,612.70</t>
  </si>
  <si>
    <t>2,482,230.61</t>
  </si>
  <si>
    <t>75,000.00</t>
  </si>
  <si>
    <t>123,500.00</t>
  </si>
  <si>
    <t>200,757.00</t>
  </si>
  <si>
    <t>1,999,977.70</t>
  </si>
  <si>
    <t>5,162,922.74</t>
  </si>
  <si>
    <t>288,317.00</t>
  </si>
  <si>
    <t>360,375.00</t>
  </si>
  <si>
    <t>737,658.00</t>
  </si>
  <si>
    <t>3,300,000.00</t>
  </si>
  <si>
    <t>1,295,044.21</t>
  </si>
  <si>
    <t>576,716.25</t>
  </si>
  <si>
    <t>1,838,296.62</t>
  </si>
  <si>
    <t>60,800.00</t>
  </si>
  <si>
    <t>344,680.00</t>
  </si>
  <si>
    <t>3,043,564.80</t>
  </si>
  <si>
    <t>5,171,000.00</t>
  </si>
  <si>
    <t>388,063.00</t>
  </si>
  <si>
    <t>4,707,961.36</t>
  </si>
  <si>
    <t>2,324,978.00</t>
  </si>
  <si>
    <t>276,611.17</t>
  </si>
  <si>
    <t>183,369.00</t>
  </si>
  <si>
    <t>2,226,000.00</t>
  </si>
  <si>
    <t>33,809.00</t>
  </si>
  <si>
    <t>516,970.00</t>
  </si>
  <si>
    <t>24,223,000.00</t>
  </si>
  <si>
    <t>1,928,013.00</t>
  </si>
  <si>
    <t>75,548.00</t>
  </si>
  <si>
    <t>78,309.00</t>
  </si>
  <si>
    <t>40,000.00</t>
  </si>
  <si>
    <t>108,000.00</t>
  </si>
  <si>
    <t>99,931.13</t>
  </si>
  <si>
    <t>193,649.00</t>
  </si>
  <si>
    <t>193,051.00</t>
  </si>
  <si>
    <t>119,130.00</t>
  </si>
  <si>
    <t>271,438.00</t>
  </si>
  <si>
    <t>600,000.00</t>
  </si>
  <si>
    <t>428,620.50</t>
  </si>
  <si>
    <t>1,968,925.00</t>
  </si>
  <si>
    <t>250,000.00</t>
  </si>
  <si>
    <t>498,960.00</t>
  </si>
  <si>
    <t>99,264.60</t>
  </si>
  <si>
    <t>220,000.00</t>
  </si>
  <si>
    <t>71,500.00</t>
  </si>
  <si>
    <t>1,310,000.00</t>
  </si>
  <si>
    <t>826,650.00</t>
  </si>
  <si>
    <t>1,712,980.06</t>
  </si>
  <si>
    <t>166,969.65</t>
  </si>
  <si>
    <t>343,826.00</t>
  </si>
  <si>
    <t>2,881,700.00</t>
  </si>
  <si>
    <t>111,780.00</t>
  </si>
  <si>
    <t>35,750.00</t>
  </si>
  <si>
    <t>214,000.00</t>
  </si>
  <si>
    <t>152,513.00</t>
  </si>
  <si>
    <t>95,876.00</t>
  </si>
  <si>
    <t>81,867.00</t>
  </si>
  <si>
    <t>145,106.00</t>
  </si>
  <si>
    <t>144,775.00</t>
  </si>
  <si>
    <t>95,081.00</t>
  </si>
  <si>
    <t>421,000.00</t>
  </si>
  <si>
    <t>158,693.00</t>
  </si>
  <si>
    <t>960,000.00</t>
  </si>
  <si>
    <t>114,509.00</t>
  </si>
  <si>
    <t>67,400.00</t>
  </si>
  <si>
    <t>544,560.00</t>
  </si>
  <si>
    <t>60,000.00</t>
  </si>
  <si>
    <t>950,000.00</t>
  </si>
  <si>
    <t>15,000.00</t>
  </si>
  <si>
    <t>483,658.47</t>
  </si>
  <si>
    <t>46,800.00</t>
  </si>
  <si>
    <t>290,993.33</t>
  </si>
  <si>
    <t>179,020.00</t>
  </si>
  <si>
    <t>218,000.00</t>
  </si>
  <si>
    <t>16,000.00</t>
  </si>
  <si>
    <t>7,000.00</t>
  </si>
  <si>
    <t>48,375,874.28</t>
  </si>
  <si>
    <t>12,017,592.26</t>
  </si>
  <si>
    <t>79,743.00</t>
  </si>
  <si>
    <t>60,300.00</t>
  </si>
  <si>
    <t>45,000.00</t>
  </si>
  <si>
    <t>5,580,805.00</t>
  </si>
  <si>
    <t>73,460,000.00</t>
  </si>
  <si>
    <t>35,125.30</t>
  </si>
  <si>
    <t>125,000.00</t>
  </si>
  <si>
    <t>948,427.39</t>
  </si>
  <si>
    <t>113,000.00</t>
  </si>
  <si>
    <t>62,375.00</t>
  </si>
  <si>
    <t>213,000.00</t>
  </si>
  <si>
    <t>86,807.25</t>
  </si>
  <si>
    <t>10,000.00</t>
  </si>
  <si>
    <t>21,310.00</t>
  </si>
  <si>
    <t>155,000.00</t>
  </si>
  <si>
    <t>2,824,434.50</t>
  </si>
  <si>
    <t>20,000.00</t>
  </si>
  <si>
    <t>200,002.16</t>
  </si>
  <si>
    <t>180,984.00</t>
  </si>
  <si>
    <t>435,000.00</t>
  </si>
  <si>
    <t>100,000.00</t>
  </si>
  <si>
    <t>8,550.00</t>
  </si>
  <si>
    <t>5,652,651.00</t>
  </si>
  <si>
    <t>7,518,497.40</t>
  </si>
  <si>
    <t>284,130.00</t>
  </si>
  <si>
    <t>241,790.00</t>
  </si>
  <si>
    <t>436,493.00</t>
  </si>
  <si>
    <t>19,999,173.60</t>
  </si>
  <si>
    <t>157,452.50</t>
  </si>
  <si>
    <t>305,000.00</t>
  </si>
  <si>
    <t>127,102.50</t>
  </si>
  <si>
    <t>368,376.00</t>
  </si>
  <si>
    <t>80,306.00</t>
  </si>
  <si>
    <t>1,552,938.07</t>
  </si>
  <si>
    <t>170,000.00</t>
  </si>
  <si>
    <t>449,611.79</t>
  </si>
  <si>
    <t>601,735.00</t>
  </si>
  <si>
    <t>998,416.60</t>
  </si>
  <si>
    <t>70,000.00</t>
  </si>
  <si>
    <t>307,710.98</t>
  </si>
  <si>
    <t>77,000.00</t>
  </si>
  <si>
    <t>34,000.00</t>
  </si>
  <si>
    <t>52,265.02</t>
  </si>
  <si>
    <t>994,881.84</t>
  </si>
  <si>
    <t>292,505.00</t>
  </si>
  <si>
    <t>191,892.43</t>
  </si>
  <si>
    <t>112,494.00</t>
  </si>
  <si>
    <t>1,090,710.00</t>
  </si>
  <si>
    <t>85,000.00</t>
  </si>
  <si>
    <t>1,336,464.00</t>
  </si>
  <si>
    <t>75,803.02</t>
  </si>
  <si>
    <t>1,380,000.00</t>
  </si>
  <si>
    <t>465,165.00</t>
  </si>
  <si>
    <t>84,800.00</t>
  </si>
  <si>
    <t>554,900.33</t>
  </si>
  <si>
    <t>2,200,000.00</t>
  </si>
  <si>
    <t>67,875.00</t>
  </si>
  <si>
    <t>335,578.00</t>
  </si>
  <si>
    <t>249,000.00</t>
  </si>
  <si>
    <t>576,300.00</t>
  </si>
  <si>
    <t>591,362.80</t>
  </si>
  <si>
    <t>280,000.00</t>
  </si>
  <si>
    <t>205,565.00</t>
  </si>
  <si>
    <t>124,000.00</t>
  </si>
  <si>
    <t>17,000.00</t>
  </si>
  <si>
    <t>24,702.00</t>
  </si>
  <si>
    <t>65,695.00</t>
  </si>
  <si>
    <t>264,736.00</t>
  </si>
  <si>
    <t>6,204,000.00</t>
  </si>
  <si>
    <t>87,000.00</t>
  </si>
  <si>
    <t>954,577.08</t>
  </si>
  <si>
    <t>156,545.00</t>
  </si>
  <si>
    <t>29,985.00</t>
  </si>
  <si>
    <t>65,000.00</t>
  </si>
  <si>
    <t>105,535.00</t>
  </si>
  <si>
    <t>4,300,000.00</t>
  </si>
  <si>
    <t>275,625.00</t>
  </si>
  <si>
    <t>192,000.00</t>
  </si>
  <si>
    <t>10,000,000.00</t>
  </si>
  <si>
    <t>141,129.00</t>
  </si>
  <si>
    <t>180,630.00</t>
  </si>
  <si>
    <t>56,500.00</t>
  </si>
  <si>
    <t>1,600,000.00</t>
  </si>
  <si>
    <t>121,500.00</t>
  </si>
  <si>
    <t>36,010.00</t>
  </si>
  <si>
    <t>19,490.00</t>
  </si>
  <si>
    <t>216,000.00</t>
  </si>
  <si>
    <t>63,550.00</t>
  </si>
  <si>
    <t>866,250.00</t>
  </si>
  <si>
    <t>382,800.00</t>
  </si>
  <si>
    <t>750,000.00</t>
  </si>
  <si>
    <t>265,200.00</t>
  </si>
  <si>
    <t>878,000.00</t>
  </si>
  <si>
    <t>3,155,000.00</t>
  </si>
  <si>
    <t>649,500.00</t>
  </si>
  <si>
    <t>12,100,000.00</t>
  </si>
  <si>
    <t>4,191,000.00</t>
  </si>
  <si>
    <t>63,556.00</t>
  </si>
  <si>
    <t>551,015.00</t>
  </si>
  <si>
    <t>360,000.00</t>
  </si>
  <si>
    <t>324,500.00</t>
  </si>
  <si>
    <t>84,000.00</t>
  </si>
  <si>
    <t>5,750,000.00</t>
  </si>
  <si>
    <t>65,794.00</t>
  </si>
  <si>
    <t>18,023.50</t>
  </si>
  <si>
    <t>1,009,864.00</t>
  </si>
  <si>
    <t>61,200.00</t>
  </si>
  <si>
    <t>136,000.00</t>
  </si>
  <si>
    <t>652,609.00</t>
  </si>
  <si>
    <t>247,250.00</t>
  </si>
  <si>
    <t>5,000,000.00</t>
  </si>
  <si>
    <t>99,899.77</t>
  </si>
  <si>
    <t>73,725.00</t>
  </si>
  <si>
    <t>2,850,000.00</t>
  </si>
  <si>
    <t>54,000.00</t>
  </si>
  <si>
    <t>221,425.00</t>
  </si>
  <si>
    <t>89,835.00</t>
  </si>
  <si>
    <t>149,914.46</t>
  </si>
  <si>
    <t>840,000.00</t>
  </si>
  <si>
    <t>96,800.00</t>
  </si>
  <si>
    <t>51,800.00</t>
  </si>
  <si>
    <t>5,885,000.00</t>
  </si>
  <si>
    <t>8,000.00</t>
  </si>
  <si>
    <t>92,000.00</t>
  </si>
  <si>
    <t>171,295.00</t>
  </si>
  <si>
    <t>8,590.00</t>
  </si>
  <si>
    <t>67,500.00</t>
  </si>
  <si>
    <t>730,000.00</t>
  </si>
  <si>
    <t>53,160.00</t>
  </si>
  <si>
    <t>10,454,464.40</t>
  </si>
  <si>
    <t>128,250.00</t>
  </si>
  <si>
    <t>66,000.00</t>
  </si>
  <si>
    <t>567,000.00</t>
  </si>
  <si>
    <t>936,000.00</t>
  </si>
  <si>
    <t>50,300.00</t>
  </si>
  <si>
    <t>692,567.45</t>
  </si>
  <si>
    <t>53,600.00</t>
  </si>
  <si>
    <t>381,841.44</t>
  </si>
  <si>
    <t>470,000.00</t>
  </si>
  <si>
    <t>1,880,250.00</t>
  </si>
  <si>
    <t>2,299,927.79</t>
  </si>
  <si>
    <t>400,000.00</t>
  </si>
  <si>
    <t>240,000.00</t>
  </si>
  <si>
    <t>298,907.91</t>
  </si>
  <si>
    <t>94,000.00</t>
  </si>
  <si>
    <t>139,600.00</t>
  </si>
  <si>
    <t>135,300.00</t>
  </si>
  <si>
    <t>59,954.00</t>
  </si>
  <si>
    <t>22,740.00</t>
  </si>
  <si>
    <t>864,000.00</t>
  </si>
  <si>
    <t>49,000.00</t>
  </si>
  <si>
    <t>98,475.00</t>
  </si>
  <si>
    <t>270,000.00</t>
  </si>
  <si>
    <t>134,690.00</t>
  </si>
  <si>
    <t>152,000.00</t>
  </si>
  <si>
    <t>16,290.00</t>
  </si>
  <si>
    <t>91,250.00</t>
  </si>
  <si>
    <t>51,900.00</t>
  </si>
  <si>
    <t>115,000.00</t>
  </si>
  <si>
    <t>123,000.00</t>
  </si>
  <si>
    <t>78,400.00</t>
  </si>
  <si>
    <t>55,450.00</t>
  </si>
  <si>
    <t>720,000.00</t>
  </si>
  <si>
    <t>91,700.00</t>
  </si>
  <si>
    <t>88,000.00</t>
  </si>
  <si>
    <t>59,990.00</t>
  </si>
  <si>
    <t>33,046,786.00</t>
  </si>
  <si>
    <t>3,480,575.00</t>
  </si>
  <si>
    <t>169,500.00</t>
  </si>
  <si>
    <t>112,480.00</t>
  </si>
  <si>
    <t>57,500.00</t>
  </si>
  <si>
    <t>114,386.90</t>
  </si>
  <si>
    <t>104,457.00</t>
  </si>
  <si>
    <t>234,870.00</t>
  </si>
  <si>
    <t>112,461.00</t>
  </si>
  <si>
    <t>649,000.00</t>
  </si>
  <si>
    <t>98,390.00</t>
  </si>
  <si>
    <t>96,775.00</t>
  </si>
  <si>
    <t>200,300.00</t>
  </si>
  <si>
    <t>99,985.00</t>
  </si>
  <si>
    <t>818,419.77</t>
  </si>
  <si>
    <t>4,397.86</t>
  </si>
  <si>
    <t>135,600.00</t>
  </si>
  <si>
    <t>132,572.00</t>
  </si>
  <si>
    <t>86,730.00</t>
  </si>
  <si>
    <t>60,700.00</t>
  </si>
  <si>
    <t>122,000.00</t>
  </si>
  <si>
    <t>56,000.00</t>
  </si>
  <si>
    <t>50,500.00</t>
  </si>
  <si>
    <t>3,999,926.45</t>
  </si>
  <si>
    <t>99,900.00</t>
  </si>
  <si>
    <t>680,000.00</t>
  </si>
  <si>
    <t>299,431.85</t>
  </si>
  <si>
    <t>199,806.00</t>
  </si>
  <si>
    <t>132,000.00</t>
  </si>
  <si>
    <t>63,650.00</t>
  </si>
  <si>
    <t>247,500.00</t>
  </si>
  <si>
    <t>345,000.00</t>
  </si>
  <si>
    <t>247,000.00</t>
  </si>
  <si>
    <t>184,500.00</t>
  </si>
  <si>
    <t>7,500.00</t>
  </si>
  <si>
    <t>245,490.00</t>
  </si>
  <si>
    <t>713,350.00</t>
  </si>
  <si>
    <t>199,563.42</t>
  </si>
  <si>
    <t>587,000.00</t>
  </si>
  <si>
    <t>668,700.00</t>
  </si>
  <si>
    <t>96,000.00</t>
  </si>
  <si>
    <t>53,400.00</t>
  </si>
  <si>
    <t>86,000.00</t>
  </si>
  <si>
    <t>171,000.00</t>
  </si>
  <si>
    <t>582,000.00</t>
  </si>
  <si>
    <t>54,219.00</t>
  </si>
  <si>
    <t>489,500.00</t>
  </si>
  <si>
    <t>184,000.00</t>
  </si>
  <si>
    <t>3,419,999.99</t>
  </si>
  <si>
    <t>182,160.00</t>
  </si>
  <si>
    <t>235,480.00</t>
  </si>
  <si>
    <t>300,970.00</t>
  </si>
  <si>
    <t>57,393.00</t>
  </si>
  <si>
    <t>212,018.00</t>
  </si>
  <si>
    <t>230,060.00</t>
  </si>
  <si>
    <t>795,743.00</t>
  </si>
  <si>
    <t>20,250.00</t>
  </si>
  <si>
    <t>81,120.00</t>
  </si>
  <si>
    <t>69,480.00</t>
  </si>
  <si>
    <t>84,600.00</t>
  </si>
  <si>
    <t>30,809.00</t>
  </si>
  <si>
    <t>502,174.79</t>
  </si>
  <si>
    <t>165,000.00</t>
  </si>
  <si>
    <t>3,800,000.00</t>
  </si>
  <si>
    <t>73,531.74</t>
  </si>
  <si>
    <t>166,845.00</t>
  </si>
  <si>
    <t>80,765.00</t>
  </si>
  <si>
    <t>77,521.50</t>
  </si>
  <si>
    <t>130,000.00</t>
  </si>
  <si>
    <t>2,340.00</t>
  </si>
  <si>
    <t>269,155.49</t>
  </si>
  <si>
    <t>56,700.00</t>
  </si>
  <si>
    <t>938,000.85</t>
  </si>
  <si>
    <t>17,440.00</t>
  </si>
  <si>
    <t>50,009.04</t>
  </si>
  <si>
    <t>66,278.00</t>
  </si>
  <si>
    <t>133,400.00</t>
  </si>
  <si>
    <t>149,970.00</t>
  </si>
  <si>
    <t>57,850.00</t>
  </si>
  <si>
    <t>443,000.00</t>
  </si>
  <si>
    <t>396,148.00</t>
  </si>
  <si>
    <t>460,343.00</t>
  </si>
  <si>
    <t>119,991.00</t>
  </si>
  <si>
    <t>30,990.00</t>
  </si>
  <si>
    <t>993,000.00</t>
  </si>
  <si>
    <t>59,395.00</t>
  </si>
  <si>
    <t>144,750.00</t>
  </si>
  <si>
    <t>237,915.00</t>
  </si>
  <si>
    <t>187,500.00</t>
  </si>
  <si>
    <t>880,682.00</t>
  </si>
  <si>
    <t>51,124,800.00</t>
  </si>
  <si>
    <t>366,500.00</t>
  </si>
  <si>
    <t>288,000.00</t>
  </si>
  <si>
    <t>541,280.00</t>
  </si>
  <si>
    <t>63,000.00</t>
  </si>
  <si>
    <t>13,966.50</t>
  </si>
  <si>
    <t>349,916.00</t>
  </si>
  <si>
    <t>192,800.00</t>
  </si>
  <si>
    <t>18,000.00</t>
  </si>
  <si>
    <t>4,448,281.51</t>
  </si>
  <si>
    <t>99,000.00</t>
  </si>
  <si>
    <t>174,000.00</t>
  </si>
  <si>
    <t>386,757.50</t>
  </si>
  <si>
    <t>749,100.00</t>
  </si>
  <si>
    <t>1,700,000.00</t>
  </si>
  <si>
    <t>302,945.00</t>
  </si>
  <si>
    <t>143,060.00</t>
  </si>
  <si>
    <t>64,164.57</t>
  </si>
  <si>
    <t>607,762.00</t>
  </si>
  <si>
    <t>295,200.00</t>
  </si>
  <si>
    <t>20,031.80</t>
  </si>
  <si>
    <t>838,524.00</t>
  </si>
  <si>
    <t>69,950.00</t>
  </si>
  <si>
    <t>164,000.00</t>
  </si>
  <si>
    <t>224,678.60</t>
  </si>
  <si>
    <t>68,640.00</t>
  </si>
  <si>
    <t>96,600.00</t>
  </si>
  <si>
    <t>22,800.00</t>
  </si>
  <si>
    <t>949,250.00</t>
  </si>
  <si>
    <t>490,000.00</t>
  </si>
  <si>
    <t>6,999,801.25</t>
  </si>
  <si>
    <t>129,944.00</t>
  </si>
  <si>
    <t>27,466.00</t>
  </si>
  <si>
    <t>61,280.00</t>
  </si>
  <si>
    <t>195,000.00</t>
  </si>
  <si>
    <t>399,130.00</t>
  </si>
  <si>
    <t>42,343.30</t>
  </si>
  <si>
    <t>184,300.00</t>
  </si>
  <si>
    <t>675,000.00</t>
  </si>
  <si>
    <t>881,197.00</t>
  </si>
  <si>
    <t>5,000.00</t>
  </si>
  <si>
    <t>55,510.00</t>
  </si>
  <si>
    <t>388,000.00</t>
  </si>
  <si>
    <t>52,820.00</t>
  </si>
  <si>
    <t>132,458.00</t>
  </si>
  <si>
    <t>18,080.00</t>
  </si>
  <si>
    <t>350,000.00</t>
  </si>
  <si>
    <t>56,408.00</t>
  </si>
  <si>
    <t>83,843.00</t>
  </si>
  <si>
    <t>163,000.00</t>
  </si>
  <si>
    <t>261,567.88</t>
  </si>
  <si>
    <t>1,645,710.00</t>
  </si>
  <si>
    <t>1,550,000.00</t>
  </si>
  <si>
    <t>2,804,760.00</t>
  </si>
  <si>
    <t>140,020.00</t>
  </si>
  <si>
    <t>19,000.00</t>
  </si>
  <si>
    <t>2,400,000.00</t>
  </si>
  <si>
    <t>160,000.00</t>
  </si>
  <si>
    <t>99,851.01</t>
  </si>
  <si>
    <t>115,500.00</t>
  </si>
  <si>
    <t>76,270.00</t>
  </si>
  <si>
    <t>75,590.00</t>
  </si>
  <si>
    <t>56,265.00</t>
  </si>
  <si>
    <t>1,406,000.00</t>
  </si>
  <si>
    <t>189,975.00</t>
  </si>
  <si>
    <t>815,230.00</t>
  </si>
  <si>
    <t>444,363.00</t>
  </si>
  <si>
    <t>539,168.00</t>
  </si>
  <si>
    <t>298,800.00</t>
  </si>
  <si>
    <t>103,340.00</t>
  </si>
  <si>
    <t>53,475.00</t>
  </si>
  <si>
    <t>98,000.00</t>
  </si>
  <si>
    <t>387,600.00</t>
  </si>
  <si>
    <t>56,805.20</t>
  </si>
  <si>
    <t>55,000.00</t>
  </si>
  <si>
    <t>466,287.00</t>
  </si>
  <si>
    <t>449,500.00</t>
  </si>
  <si>
    <t>231,693.87</t>
  </si>
  <si>
    <t>89,298.00</t>
  </si>
  <si>
    <t>592,250.00</t>
  </si>
  <si>
    <t>67,300.00</t>
  </si>
  <si>
    <t>81,319.72</t>
  </si>
  <si>
    <t>12,000.00</t>
  </si>
  <si>
    <t>602,957.00</t>
  </si>
  <si>
    <t>501,250.00</t>
  </si>
  <si>
    <t>95,000.00</t>
  </si>
  <si>
    <t>2,497,936.88</t>
  </si>
  <si>
    <t>628,986.00</t>
  </si>
  <si>
    <t>85,400.00</t>
  </si>
  <si>
    <t>81,470.00</t>
  </si>
  <si>
    <t>79,693.00</t>
  </si>
  <si>
    <t>849,341.00</t>
  </si>
  <si>
    <t>10,215,663.47</t>
  </si>
  <si>
    <t>77,310.00</t>
  </si>
  <si>
    <t>774,200.00</t>
  </si>
  <si>
    <t>175,770.00</t>
  </si>
  <si>
    <t>641,050.00</t>
  </si>
  <si>
    <t>348,495.00</t>
  </si>
  <si>
    <t>338,930.00</t>
  </si>
  <si>
    <t>749,589.00</t>
  </si>
  <si>
    <t>62,000.00</t>
  </si>
  <si>
    <t>449,929.00</t>
  </si>
  <si>
    <t>410,062.00</t>
  </si>
  <si>
    <t>820,500.00</t>
  </si>
  <si>
    <t>208,010.00</t>
  </si>
  <si>
    <t>109,645.00</t>
  </si>
  <si>
    <t>299,999.99</t>
  </si>
  <si>
    <t>830,250.00</t>
  </si>
  <si>
    <t>153,000.00</t>
  </si>
  <si>
    <t>193,500.00</t>
  </si>
  <si>
    <t>83,004.61</t>
  </si>
  <si>
    <t>179,639.75</t>
  </si>
  <si>
    <t>256,800.00</t>
  </si>
  <si>
    <t>1,974,823.20</t>
  </si>
  <si>
    <t>137,240.00</t>
  </si>
  <si>
    <t>1,150,000.00</t>
  </si>
  <si>
    <t>349,740.00</t>
  </si>
  <si>
    <t>233,331.00</t>
  </si>
  <si>
    <t>223,400.00</t>
  </si>
  <si>
    <t>56,953.00</t>
  </si>
  <si>
    <t>2,420,000.00</t>
  </si>
  <si>
    <t>50,931.00</t>
  </si>
  <si>
    <t>553,215.00</t>
  </si>
  <si>
    <t>137,200.00</t>
  </si>
  <si>
    <t>57,000.00</t>
  </si>
  <si>
    <t>58,385.00</t>
  </si>
  <si>
    <t>992,100.00</t>
  </si>
  <si>
    <t>2,833.00</t>
  </si>
  <si>
    <t>124,024.69</t>
  </si>
  <si>
    <t>1,999,962.85</t>
  </si>
  <si>
    <t>1,499,415.81</t>
  </si>
  <si>
    <t>999,050.00</t>
  </si>
  <si>
    <t>70,390.00</t>
  </si>
  <si>
    <t>1,626,566.00</t>
  </si>
  <si>
    <t>1,980,000.00</t>
  </si>
  <si>
    <t>711,000.00</t>
  </si>
  <si>
    <t>2,429,325.00</t>
  </si>
  <si>
    <t>56,442.50</t>
  </si>
  <si>
    <t>51,150.00</t>
  </si>
  <si>
    <t>161,967.56</t>
  </si>
  <si>
    <t>67,075.00</t>
  </si>
  <si>
    <t>1,217,850.00</t>
  </si>
  <si>
    <t>73,590.00</t>
  </si>
  <si>
    <t>475,000.00</t>
  </si>
  <si>
    <t>291,220.00</t>
  </si>
  <si>
    <t>104,000.00</t>
  </si>
  <si>
    <t>210,000.00</t>
  </si>
  <si>
    <t>130,610.00</t>
  </si>
  <si>
    <t>810,785.00</t>
  </si>
  <si>
    <t>233,844.00</t>
  </si>
  <si>
    <t>316,500.00</t>
  </si>
  <si>
    <t>119,962.03</t>
  </si>
  <si>
    <t>22,950.00</t>
  </si>
  <si>
    <t>1,930,000.00</t>
  </si>
  <si>
    <t>144,632.00</t>
  </si>
  <si>
    <t>279,600.00</t>
  </si>
  <si>
    <t>197,205.00</t>
  </si>
  <si>
    <t>179,200.00</t>
  </si>
  <si>
    <t>101,898.60</t>
  </si>
  <si>
    <t>59,959.00</t>
  </si>
  <si>
    <t>999,950.00</t>
  </si>
  <si>
    <t>87,950.00</t>
  </si>
  <si>
    <t>498,450.00</t>
  </si>
  <si>
    <t>138,000.00</t>
  </si>
  <si>
    <t>12,204,000.00</t>
  </si>
  <si>
    <t>8,000,000.00</t>
  </si>
  <si>
    <t>1,105,000.00</t>
  </si>
  <si>
    <t>434,100.00</t>
  </si>
  <si>
    <t>650,000.00</t>
  </si>
  <si>
    <t>481,310.00</t>
  </si>
  <si>
    <t>49,900.00</t>
  </si>
  <si>
    <t>1,095,000.00</t>
  </si>
  <si>
    <t>219,657.00</t>
  </si>
  <si>
    <t>726,240.00</t>
  </si>
  <si>
    <t>146,170.00</t>
  </si>
  <si>
    <t>267,355.00</t>
  </si>
  <si>
    <t>137,222.80</t>
  </si>
  <si>
    <t>50,406.00</t>
  </si>
  <si>
    <t>2,649,900.00</t>
  </si>
  <si>
    <t>604,300.00</t>
  </si>
  <si>
    <t>106,010.00</t>
  </si>
  <si>
    <t>292,587.00</t>
  </si>
  <si>
    <t>250,953.00</t>
  </si>
  <si>
    <t>72,600.00</t>
  </si>
  <si>
    <t>58,960.00</t>
  </si>
  <si>
    <t>3,941,299.00</t>
  </si>
  <si>
    <t>333,000.00</t>
  </si>
  <si>
    <t>64,000.00</t>
  </si>
  <si>
    <t>761,000.00</t>
  </si>
  <si>
    <t>523,385.00</t>
  </si>
  <si>
    <t>92,816.53</t>
  </si>
  <si>
    <t>149,482.00</t>
  </si>
  <si>
    <t>69,952.00</t>
  </si>
  <si>
    <t>6,200.00</t>
  </si>
  <si>
    <t>956,330.00</t>
  </si>
  <si>
    <t>90,100.00</t>
  </si>
  <si>
    <t>59,560.00</t>
  </si>
  <si>
    <t>56,671.50</t>
  </si>
  <si>
    <t>2,660,150.80</t>
  </si>
  <si>
    <t>99,500.00</t>
  </si>
  <si>
    <t>691,880.00</t>
  </si>
  <si>
    <t>28,324.98</t>
  </si>
  <si>
    <t>74,204.00</t>
  </si>
  <si>
    <t>24,698.00</t>
  </si>
  <si>
    <t>3,400,000.00</t>
  </si>
  <si>
    <t>1,199,896.27</t>
  </si>
  <si>
    <t>170,780.00</t>
  </si>
  <si>
    <t>103,785.00</t>
  </si>
  <si>
    <t>3,950.00</t>
  </si>
  <si>
    <t>119,500.00</t>
  </si>
  <si>
    <t>79,200.00</t>
  </si>
  <si>
    <t>157,990.58</t>
  </si>
  <si>
    <t>1,099,199.70</t>
  </si>
  <si>
    <t>199,180.00</t>
  </si>
  <si>
    <t>78,262.00</t>
  </si>
  <si>
    <t>449,700.00</t>
  </si>
  <si>
    <t>194,929.05</t>
  </si>
  <si>
    <t>138,423.22</t>
  </si>
  <si>
    <t>153,490.00</t>
  </si>
  <si>
    <t>5,282,500.00</t>
  </si>
  <si>
    <t>144,930.00</t>
  </si>
  <si>
    <t>92,935.25</t>
  </si>
  <si>
    <t>598,000.00</t>
  </si>
  <si>
    <t>147,618.00</t>
  </si>
  <si>
    <t>110,000.00</t>
  </si>
  <si>
    <t>621,482.00</t>
  </si>
  <si>
    <t>293,273.87</t>
  </si>
  <si>
    <t>128,150.00</t>
  </si>
  <si>
    <t>1,708,280.00</t>
  </si>
  <si>
    <t>498,280.00</t>
  </si>
  <si>
    <t>158,750.00</t>
  </si>
  <si>
    <t>741,898.00</t>
  </si>
  <si>
    <t>800,000.00</t>
  </si>
  <si>
    <t>99,845.00</t>
  </si>
  <si>
    <t>51,618.00</t>
  </si>
  <si>
    <t>372,590.00</t>
  </si>
  <si>
    <t>10.00</t>
  </si>
  <si>
    <t>13,326,000.00</t>
  </si>
  <si>
    <t>171,500.00</t>
  </si>
  <si>
    <t>393,830.00</t>
  </si>
  <si>
    <t>414,820.00</t>
  </si>
  <si>
    <t>21,790.00</t>
  </si>
  <si>
    <t>709,000.00</t>
  </si>
  <si>
    <t>445,000.00</t>
  </si>
  <si>
    <t>16,500.00</t>
  </si>
  <si>
    <t>51,585.00</t>
  </si>
  <si>
    <t>24,399.94</t>
  </si>
  <si>
    <t>2,137,205.99</t>
  </si>
  <si>
    <t>349,848.00</t>
  </si>
  <si>
    <t>862,500.00</t>
  </si>
  <si>
    <t>90,767.25</t>
  </si>
  <si>
    <t>73,735.00</t>
  </si>
  <si>
    <t>144,800.00</t>
  </si>
  <si>
    <t>790,752.97</t>
  </si>
  <si>
    <t>6,276,638.66</t>
  </si>
  <si>
    <t>5,495,237.70</t>
  </si>
  <si>
    <t>499,750.00</t>
  </si>
  <si>
    <t>91,300.00</t>
  </si>
  <si>
    <t>107,010.23</t>
  </si>
  <si>
    <t>503,912.75</t>
  </si>
  <si>
    <t>86,950.00</t>
  </si>
  <si>
    <t>38,000,000.00</t>
  </si>
  <si>
    <t>196,524.00</t>
  </si>
  <si>
    <t>71,202.25</t>
  </si>
  <si>
    <t>1,462,500.00</t>
  </si>
  <si>
    <t>56,100.00</t>
  </si>
  <si>
    <t>1,234,306.87</t>
  </si>
  <si>
    <t>181,680.00</t>
  </si>
  <si>
    <t>81,070.00</t>
  </si>
  <si>
    <t>495,264.72</t>
  </si>
  <si>
    <t>67,102.20</t>
  </si>
  <si>
    <t>1,465,065.55</t>
  </si>
  <si>
    <t>816,091.00</t>
  </si>
  <si>
    <t>354,521.00</t>
  </si>
  <si>
    <t>184,680.00</t>
  </si>
  <si>
    <t>154,660.00</t>
  </si>
  <si>
    <t>25,535.00</t>
  </si>
  <si>
    <t>2,499,999.75</t>
  </si>
  <si>
    <t>736,659.95</t>
  </si>
  <si>
    <t>106,136.00</t>
  </si>
  <si>
    <t>193,240.00</t>
  </si>
  <si>
    <t>45,560.00</t>
  </si>
  <si>
    <t>898,390.00</t>
  </si>
  <si>
    <t>98,970.00</t>
  </si>
  <si>
    <t>2,999,970.24</t>
  </si>
  <si>
    <t>14,280.00</t>
  </si>
  <si>
    <t>254,000.00</t>
  </si>
  <si>
    <t>252,000.00</t>
  </si>
  <si>
    <t>173,353.00</t>
  </si>
  <si>
    <t>85,500.00</t>
  </si>
  <si>
    <t>309,560.00</t>
  </si>
  <si>
    <t>107,745.00</t>
  </si>
  <si>
    <t>227,647.78</t>
  </si>
  <si>
    <t>1,462,284.22</t>
  </si>
  <si>
    <t>111,020.00</t>
  </si>
  <si>
    <t>172,150.00</t>
  </si>
  <si>
    <t>100,500.00</t>
  </si>
  <si>
    <t>14,887,673.64</t>
  </si>
  <si>
    <t>503,200.00</t>
  </si>
  <si>
    <t>176,010.00</t>
  </si>
  <si>
    <t>497,686.00</t>
  </si>
  <si>
    <t>27,480.00</t>
  </si>
  <si>
    <t>390,850.00</t>
  </si>
  <si>
    <t>52,800.00</t>
  </si>
  <si>
    <t>106,390.00</t>
  </si>
  <si>
    <t>168,930.84</t>
  </si>
  <si>
    <t>389,011.00</t>
  </si>
  <si>
    <t>348,860.00</t>
  </si>
  <si>
    <t>1,191,650.25</t>
  </si>
  <si>
    <t>30,000.00</t>
  </si>
  <si>
    <t>99,833.50</t>
  </si>
  <si>
    <t>223,430.00</t>
  </si>
  <si>
    <t>700,000.00</t>
  </si>
  <si>
    <t>731,808.00</t>
  </si>
  <si>
    <t>130,955.00</t>
  </si>
  <si>
    <t>63,417.50</t>
  </si>
  <si>
    <t>420,000.00</t>
  </si>
  <si>
    <t>212,717.00</t>
  </si>
  <si>
    <t>481,420.00</t>
  </si>
  <si>
    <t>499,225.41</t>
  </si>
  <si>
    <t>21,000.00</t>
  </si>
  <si>
    <t>178,815.00</t>
  </si>
  <si>
    <t>168,000.00</t>
  </si>
  <si>
    <t>91,548.00</t>
  </si>
  <si>
    <t>153,500.00</t>
  </si>
  <si>
    <t>106,031.80</t>
  </si>
  <si>
    <t>626,467.55</t>
  </si>
  <si>
    <t>490,305.00</t>
  </si>
  <si>
    <t>3,000,570.00</t>
  </si>
  <si>
    <t>59,220.00</t>
  </si>
  <si>
    <t>58,970.00</t>
  </si>
  <si>
    <t>87,897.78</t>
  </si>
  <si>
    <t>244,515.00</t>
  </si>
  <si>
    <t>84,700.00</t>
  </si>
  <si>
    <t>52,000.00</t>
  </si>
  <si>
    <t>411,945.00</t>
  </si>
  <si>
    <t>190,400.00</t>
  </si>
  <si>
    <t>4,334,000.00</t>
  </si>
  <si>
    <t>78,000.00</t>
  </si>
  <si>
    <t>179,948.00</t>
  </si>
  <si>
    <t>353,920.00</t>
  </si>
  <si>
    <t>1,519,128.73</t>
  </si>
  <si>
    <t>111,570.00</t>
  </si>
  <si>
    <t>42,525.00</t>
  </si>
  <si>
    <t>245,000.00</t>
  </si>
  <si>
    <t>4,619.40</t>
  </si>
  <si>
    <t>19,960.00</t>
  </si>
  <si>
    <t>185,000.00</t>
  </si>
  <si>
    <t>291,200.00</t>
  </si>
  <si>
    <t>57,341.20</t>
  </si>
  <si>
    <t>493,420.00</t>
  </si>
  <si>
    <t>865,000.00</t>
  </si>
  <si>
    <t>105,000.00</t>
  </si>
  <si>
    <t>70,500.00</t>
  </si>
  <si>
    <t>59,693,210.15</t>
  </si>
  <si>
    <t>910,000.00</t>
  </si>
  <si>
    <t>999,398.37</t>
  </si>
  <si>
    <t>556,500.00</t>
  </si>
  <si>
    <t>299,950.00</t>
  </si>
  <si>
    <t>121,800.00</t>
  </si>
  <si>
    <t>139,334.00</t>
  </si>
  <si>
    <t>850,000.00</t>
  </si>
  <si>
    <t>19,798,913.46</t>
  </si>
  <si>
    <t>309,794.00</t>
  </si>
  <si>
    <t>398,570.00</t>
  </si>
  <si>
    <t>80,870.00</t>
  </si>
  <si>
    <t>48,662.50</t>
  </si>
  <si>
    <t>171,122.40</t>
  </si>
  <si>
    <t>79,035.00</t>
  </si>
  <si>
    <t>112,500.00</t>
  </si>
  <si>
    <t>260,000.00</t>
  </si>
  <si>
    <t>513,375.00</t>
  </si>
  <si>
    <t>387,707.48</t>
  </si>
  <si>
    <t>440,000.00</t>
  </si>
  <si>
    <t>73,950.00</t>
  </si>
  <si>
    <t>65,740.00</t>
  </si>
  <si>
    <t>758,927.12</t>
  </si>
  <si>
    <t>337,500.00</t>
  </si>
  <si>
    <t>648,000.00</t>
  </si>
  <si>
    <t>77,683.45</t>
  </si>
  <si>
    <t>147,000.00</t>
  </si>
  <si>
    <t>1,900,000.00</t>
  </si>
  <si>
    <t>107,796.00</t>
  </si>
  <si>
    <t>97,343.40</t>
  </si>
  <si>
    <t>77,137.50</t>
  </si>
  <si>
    <t>24,436,733.24</t>
  </si>
  <si>
    <t>96,846.00</t>
  </si>
  <si>
    <t>199,996.80</t>
  </si>
  <si>
    <t>1,959,787.00</t>
  </si>
  <si>
    <t>556,271.10</t>
  </si>
  <si>
    <t>1,201,500.00</t>
  </si>
  <si>
    <t>335,000.00</t>
  </si>
  <si>
    <t>29,698,414.92</t>
  </si>
  <si>
    <t>363,000.00</t>
  </si>
  <si>
    <t>11,695.00</t>
  </si>
  <si>
    <t>6,861,000.00</t>
  </si>
  <si>
    <t>4,557,516.77</t>
  </si>
  <si>
    <t>62,860.00</t>
  </si>
  <si>
    <t>407,500.00</t>
  </si>
  <si>
    <t>12,648,026.99</t>
  </si>
  <si>
    <t>9,000,000.00</t>
  </si>
  <si>
    <t>971,346.00</t>
  </si>
  <si>
    <t>174,500.00</t>
  </si>
  <si>
    <t>99,760.00</t>
  </si>
  <si>
    <t>104,900.00</t>
  </si>
  <si>
    <t>86,454.00</t>
  </si>
  <si>
    <t>112,400.00</t>
  </si>
  <si>
    <t>210,376.06</t>
  </si>
  <si>
    <t>58,050.00</t>
  </si>
  <si>
    <t>892,000.00</t>
  </si>
  <si>
    <t>25,608.00</t>
  </si>
  <si>
    <t>960,960.00</t>
  </si>
  <si>
    <t>398,000.00</t>
  </si>
  <si>
    <t>66,500.00</t>
  </si>
  <si>
    <t>72,374,666.50</t>
  </si>
  <si>
    <t>477,230.00</t>
  </si>
  <si>
    <t>106,850.00</t>
  </si>
  <si>
    <t>203,250.00</t>
  </si>
  <si>
    <t>117,638.00</t>
  </si>
  <si>
    <t>939,646.00</t>
  </si>
  <si>
    <t>2,566,817.52</t>
  </si>
  <si>
    <t>128,723.70</t>
  </si>
  <si>
    <t>2,595,167.22</t>
  </si>
  <si>
    <t>2,598,499.23</t>
  </si>
  <si>
    <t>1,499,474.66</t>
  </si>
  <si>
    <t>78,740.00</t>
  </si>
  <si>
    <t>2,393,160.85</t>
  </si>
  <si>
    <t>240,500.00</t>
  </si>
  <si>
    <t>576,678.00</t>
  </si>
  <si>
    <t>144,000.00</t>
  </si>
  <si>
    <t>84,871.00</t>
  </si>
  <si>
    <t>108,820.00</t>
  </si>
  <si>
    <t>783,707.73</t>
  </si>
  <si>
    <t>135,000.00</t>
  </si>
  <si>
    <t>2,981,150.08</t>
  </si>
  <si>
    <t>1,554,580.20</t>
  </si>
  <si>
    <t>1,498,845.60</t>
  </si>
  <si>
    <t>24,620.00</t>
  </si>
  <si>
    <t>1,276,011.25</t>
  </si>
  <si>
    <t>3,337,400.00</t>
  </si>
  <si>
    <t>209,800.00</t>
  </si>
  <si>
    <t>144,500.00</t>
  </si>
  <si>
    <t>586,788.00</t>
  </si>
  <si>
    <t>457,150.00</t>
  </si>
  <si>
    <t>3,295,908.00</t>
  </si>
  <si>
    <t>1,944,526.00</t>
  </si>
  <si>
    <t>234,000.00</t>
  </si>
  <si>
    <t>143,290.00</t>
  </si>
  <si>
    <t>13,699.13</t>
  </si>
  <si>
    <t>38,783,694.16</t>
  </si>
  <si>
    <t>198,000.00</t>
  </si>
  <si>
    <t>323,000.00</t>
  </si>
  <si>
    <t>35,000.00</t>
  </si>
  <si>
    <t>128,400.00</t>
  </si>
  <si>
    <t>95,200.00</t>
  </si>
  <si>
    <t>76,598.00</t>
  </si>
  <si>
    <t>669,200.00</t>
  </si>
  <si>
    <t>75,885.00</t>
  </si>
  <si>
    <t>634,581.00</t>
  </si>
  <si>
    <t>42,710.00</t>
  </si>
  <si>
    <t>61,900.00</t>
  </si>
  <si>
    <t>89,000.00</t>
  </si>
  <si>
    <t>7,777,000.00</t>
  </si>
  <si>
    <t>18,577,412.50</t>
  </si>
  <si>
    <t>2,997,131.29</t>
  </si>
  <si>
    <t>1,871,081.50</t>
  </si>
  <si>
    <t>630,200.00</t>
  </si>
  <si>
    <t>355,130.00</t>
  </si>
  <si>
    <t>1,440,000.00</t>
  </si>
  <si>
    <t>63,834.00</t>
  </si>
  <si>
    <t>59,400.00</t>
  </si>
  <si>
    <t>170,960.00</t>
  </si>
  <si>
    <t>6,414,047.73</t>
  </si>
  <si>
    <t>1,189,000.00</t>
  </si>
  <si>
    <t>910,560.00</t>
  </si>
  <si>
    <t>39,000.00</t>
  </si>
  <si>
    <t>198,500.00</t>
  </si>
  <si>
    <t>1,499,780.00</t>
  </si>
  <si>
    <t>5,500.00</t>
  </si>
  <si>
    <t>403,380.00</t>
  </si>
  <si>
    <t>253,500.00</t>
  </si>
  <si>
    <t>29,640.00</t>
  </si>
  <si>
    <t>166,330.00</t>
  </si>
  <si>
    <t>4,199,519.58</t>
  </si>
  <si>
    <t>199,270.00</t>
  </si>
  <si>
    <t>79,619.00</t>
  </si>
  <si>
    <t>226,000.00</t>
  </si>
  <si>
    <t>56,950.00</t>
  </si>
  <si>
    <t>457,800.00</t>
  </si>
  <si>
    <t>52,950.00</t>
  </si>
  <si>
    <t>1,228,644.00</t>
  </si>
  <si>
    <t>899,785.64</t>
  </si>
  <si>
    <t>425,500.11</t>
  </si>
  <si>
    <t>941,501.00</t>
  </si>
  <si>
    <t>52,595.00</t>
  </si>
  <si>
    <t>571,428.57</t>
  </si>
  <si>
    <t>86,696.50</t>
  </si>
  <si>
    <t>392,096.00</t>
  </si>
  <si>
    <t>532,000.00</t>
  </si>
  <si>
    <t>58,500.00</t>
  </si>
  <si>
    <t>63,046.00</t>
  </si>
  <si>
    <t>1,300.00</t>
  </si>
  <si>
    <t>261,134.73</t>
  </si>
  <si>
    <t>104,850.00</t>
  </si>
  <si>
    <t>1,722,625.88</t>
  </si>
  <si>
    <t>335,275.00</t>
  </si>
  <si>
    <t>354,280.00</t>
  </si>
  <si>
    <t>700,138.01</t>
  </si>
  <si>
    <t>9,385,650.00</t>
  </si>
  <si>
    <t>525,832.00</t>
  </si>
  <si>
    <t>277,000.00</t>
  </si>
  <si>
    <t>98,957.50</t>
  </si>
  <si>
    <t>256,400.00</t>
  </si>
  <si>
    <t>1,969,687.62</t>
  </si>
  <si>
    <t>553,780.00</t>
  </si>
  <si>
    <t>284,000.00</t>
  </si>
  <si>
    <t>54,300.00</t>
  </si>
  <si>
    <t>22,000,000.00</t>
  </si>
  <si>
    <t>3,850,000.00</t>
  </si>
  <si>
    <t>67,557.00</t>
  </si>
  <si>
    <t>117,710.00</t>
  </si>
  <si>
    <t>460,000.00</t>
  </si>
  <si>
    <t>428,000.00</t>
  </si>
  <si>
    <t>389,523.23</t>
  </si>
  <si>
    <t>1,473,165.08</t>
  </si>
  <si>
    <t>121,850.00</t>
  </si>
  <si>
    <t>59,808.00</t>
  </si>
  <si>
    <t>90,040.00</t>
  </si>
  <si>
    <t>4,999,870.92</t>
  </si>
  <si>
    <t>139,500.00</t>
  </si>
  <si>
    <t>65,675.00</t>
  </si>
  <si>
    <t>175,000.00</t>
  </si>
  <si>
    <t>61,770.00</t>
  </si>
  <si>
    <t>1,750,000.00</t>
  </si>
  <si>
    <t>86,710.00</t>
  </si>
  <si>
    <t>135,250.00</t>
  </si>
  <si>
    <t>379,260.00</t>
  </si>
  <si>
    <t>198,667.00</t>
  </si>
  <si>
    <t>1,998,456.78</t>
  </si>
  <si>
    <t>151,850.00</t>
  </si>
  <si>
    <t>2,300,000.00</t>
  </si>
  <si>
    <t>717,336.00</t>
  </si>
  <si>
    <t>4,899,104.59</t>
  </si>
  <si>
    <t>168,500.00</t>
  </si>
  <si>
    <t>1,631,471.22</t>
  </si>
  <si>
    <t>259,451.81</t>
  </si>
  <si>
    <t>64,700.00</t>
  </si>
  <si>
    <t>368,000.00</t>
  </si>
  <si>
    <t>9,723,672.00</t>
  </si>
  <si>
    <t>156,340.50</t>
  </si>
  <si>
    <t>134,000.00</t>
  </si>
  <si>
    <t>1,093,400.00</t>
  </si>
  <si>
    <t>46,644.00</t>
  </si>
  <si>
    <t>13,000.00</t>
  </si>
  <si>
    <t>990,000.00</t>
  </si>
  <si>
    <t>115,920.00</t>
  </si>
  <si>
    <t>108,085.00</t>
  </si>
  <si>
    <t>998,950.00</t>
  </si>
  <si>
    <t>412,500.00</t>
  </si>
  <si>
    <t>2,515,000.00</t>
  </si>
  <si>
    <t>1,357,773.30</t>
  </si>
  <si>
    <t>110,685.50</t>
  </si>
  <si>
    <t>2,582,450.00</t>
  </si>
  <si>
    <t>283,000.00</t>
  </si>
  <si>
    <t>749,000.00</t>
  </si>
  <si>
    <t>23,150.00</t>
  </si>
  <si>
    <t>62,500.00</t>
  </si>
  <si>
    <t>471,880.00</t>
  </si>
  <si>
    <t>458,581.00</t>
  </si>
  <si>
    <t>885,120.00</t>
  </si>
  <si>
    <t>399,200.00</t>
  </si>
  <si>
    <t>224,225.00</t>
  </si>
  <si>
    <t>77,350.00</t>
  </si>
  <si>
    <t>54,187.50</t>
  </si>
  <si>
    <t>167,400.00</t>
  </si>
  <si>
    <t>455,000.00</t>
  </si>
  <si>
    <t>98,560.00</t>
  </si>
  <si>
    <t>155,680.00</t>
  </si>
  <si>
    <t>207,690.00</t>
  </si>
  <si>
    <t>127,000.00</t>
  </si>
  <si>
    <t>2,395,000.00</t>
  </si>
  <si>
    <t>498,788.90</t>
  </si>
  <si>
    <t>1,125,271.40</t>
  </si>
  <si>
    <t>660,000.00</t>
  </si>
  <si>
    <t>141,178.96</t>
  </si>
  <si>
    <t>740,000.00</t>
  </si>
  <si>
    <t>82,682.00</t>
  </si>
  <si>
    <t>3,700,000.00</t>
  </si>
  <si>
    <t>20,665.00</t>
  </si>
  <si>
    <t>333,529.00</t>
  </si>
  <si>
    <t>388,290.00</t>
  </si>
  <si>
    <t>93,252.50</t>
  </si>
  <si>
    <t>382,789.66</t>
  </si>
  <si>
    <t>2,378,880.00</t>
  </si>
  <si>
    <t>393,500.00</t>
  </si>
  <si>
    <t>651,274.85</t>
  </si>
  <si>
    <t>60,923.00</t>
  </si>
  <si>
    <t>65,770.00</t>
  </si>
  <si>
    <t>176,925.74</t>
  </si>
  <si>
    <t>378,000.00</t>
  </si>
  <si>
    <t>50,776.20</t>
  </si>
  <si>
    <t>109,000.00</t>
  </si>
  <si>
    <t>143,794.00</t>
  </si>
  <si>
    <t>242,000.00</t>
  </si>
  <si>
    <t>484,000.00</t>
  </si>
  <si>
    <t>410,000.00</t>
  </si>
  <si>
    <t>1,605,000.00</t>
  </si>
  <si>
    <t>426,957.30</t>
  </si>
  <si>
    <t>68,355.68</t>
  </si>
  <si>
    <t>720,633.12</t>
  </si>
  <si>
    <t>93,145.00</t>
  </si>
  <si>
    <t>36,200.00</t>
  </si>
  <si>
    <t>17,000,000.00</t>
  </si>
  <si>
    <t>3,000.00</t>
  </si>
  <si>
    <t>28,000.00</t>
  </si>
  <si>
    <t>304,720.00</t>
  </si>
  <si>
    <t>148,068.00</t>
  </si>
  <si>
    <t>34,500.00</t>
  </si>
  <si>
    <t>422,500.00</t>
  </si>
  <si>
    <t>999,600.00</t>
  </si>
  <si>
    <t>106,400.00</t>
  </si>
  <si>
    <t>531,849.13</t>
  </si>
  <si>
    <t>1,090,000.00</t>
  </si>
  <si>
    <t>51,600.00</t>
  </si>
  <si>
    <t>74,596.20</t>
  </si>
  <si>
    <t>35,600.00</t>
  </si>
  <si>
    <t>560,000.00</t>
  </si>
  <si>
    <t>983,000.00</t>
  </si>
  <si>
    <t>55,300.00</t>
  </si>
  <si>
    <t>3,100,000.00</t>
  </si>
  <si>
    <t>149,972.00</t>
  </si>
  <si>
    <t>102,000.00</t>
  </si>
  <si>
    <t>834,000.00</t>
  </si>
  <si>
    <t>142,884.00</t>
  </si>
  <si>
    <t>75,020.00</t>
  </si>
  <si>
    <t>515,670.00</t>
  </si>
  <si>
    <t>61,000.00</t>
  </si>
  <si>
    <t>1,999,983.98</t>
  </si>
  <si>
    <t>179,840.50</t>
  </si>
  <si>
    <t>2,735,287.34</t>
  </si>
  <si>
    <t>5,264,852.27</t>
  </si>
  <si>
    <t>170,393.00</t>
  </si>
  <si>
    <t>53,000.00</t>
  </si>
  <si>
    <t>906,740.00</t>
  </si>
  <si>
    <t>540,000.00</t>
  </si>
  <si>
    <t>209,500.00</t>
  </si>
  <si>
    <t>37,260.00</t>
  </si>
  <si>
    <t>98,950.00</t>
  </si>
  <si>
    <t>5,499,993.89</t>
  </si>
  <si>
    <t>36,460.00</t>
  </si>
  <si>
    <t>199,009.00</t>
  </si>
  <si>
    <t>141,178.94</t>
  </si>
  <si>
    <t>198,600.00</t>
  </si>
  <si>
    <t>101,000.00</t>
  </si>
  <si>
    <t>4,900,000.00</t>
  </si>
  <si>
    <t>71,904.00</t>
  </si>
  <si>
    <t>2,072,432.03</t>
  </si>
  <si>
    <t>508,985.19</t>
  </si>
  <si>
    <t>435,351.00</t>
  </si>
  <si>
    <t>342,300.00</t>
  </si>
  <si>
    <t>415,730.00</t>
  </si>
  <si>
    <t>672,000.00</t>
  </si>
  <si>
    <t>199,990.00</t>
  </si>
  <si>
    <t>17,783,025.00</t>
  </si>
  <si>
    <t>50,250.00</t>
  </si>
  <si>
    <t>31,410.00</t>
  </si>
  <si>
    <t>3,500.00</t>
  </si>
  <si>
    <t>52,307.00</t>
  </si>
  <si>
    <t>507,500.00</t>
  </si>
  <si>
    <t>66,094.40</t>
  </si>
  <si>
    <t>723,276.00</t>
  </si>
  <si>
    <t>93,930.00</t>
  </si>
  <si>
    <t>372,637.20</t>
  </si>
  <si>
    <t>105,300.00</t>
  </si>
  <si>
    <t>71,473.00</t>
  </si>
  <si>
    <t>760,000.00</t>
  </si>
  <si>
    <t>667,925.00</t>
  </si>
  <si>
    <t>321,200.00</t>
  </si>
  <si>
    <t>174,928.50</t>
  </si>
  <si>
    <t>1,856,846.42</t>
  </si>
  <si>
    <t>72,000.00</t>
  </si>
  <si>
    <t>74,875.00</t>
  </si>
  <si>
    <t>244,280.00</t>
  </si>
  <si>
    <t>1,280,000.00</t>
  </si>
  <si>
    <t>5,918,026.71</t>
  </si>
  <si>
    <t>390,958.03</t>
  </si>
  <si>
    <t>632,523.05</t>
  </si>
  <si>
    <t>29,500.00</t>
  </si>
  <si>
    <t>141,220.00</t>
  </si>
  <si>
    <t>31,481,675.07</t>
  </si>
  <si>
    <t>26,242.00</t>
  </si>
  <si>
    <t>137,440.00</t>
  </si>
  <si>
    <t>928,600.00</t>
  </si>
  <si>
    <t>1,705,000.00</t>
  </si>
  <si>
    <t>199,978.00</t>
  </si>
  <si>
    <t>68,406.00</t>
  </si>
  <si>
    <t>310,000.00</t>
  </si>
  <si>
    <t>482,900.00</t>
  </si>
  <si>
    <t>64,188.00</t>
  </si>
  <si>
    <t>122,232.00</t>
  </si>
  <si>
    <t>392,000.00</t>
  </si>
  <si>
    <t>401,970.32</t>
  </si>
  <si>
    <t>74,000.00</t>
  </si>
  <si>
    <t>98,800.00</t>
  </si>
  <si>
    <t>2,167,667.19</t>
  </si>
  <si>
    <t>698,964.52</t>
  </si>
  <si>
    <t>86,620.00</t>
  </si>
  <si>
    <t>146,150.00</t>
  </si>
  <si>
    <t>392,285.00</t>
  </si>
  <si>
    <t>53,782.00</t>
  </si>
  <si>
    <t>224,000.00</t>
  </si>
  <si>
    <t>862,351.50</t>
  </si>
  <si>
    <t>143,185.00</t>
  </si>
  <si>
    <t>35,000,000.00</t>
  </si>
  <si>
    <t>106,023.00</t>
  </si>
  <si>
    <t>168,750.00</t>
  </si>
  <si>
    <t>91,990.00</t>
  </si>
  <si>
    <t>2,800,000.00</t>
  </si>
  <si>
    <t>5,163,900.00</t>
  </si>
  <si>
    <t>330,000.00</t>
  </si>
  <si>
    <t>146,829.64</t>
  </si>
  <si>
    <t>1,906,845.00</t>
  </si>
  <si>
    <t>552,888.00</t>
  </si>
  <si>
    <t>4,200,000.00</t>
  </si>
  <si>
    <t>118,500.00</t>
  </si>
  <si>
    <t>1,135,060.00</t>
  </si>
  <si>
    <t>193,506.84</t>
  </si>
  <si>
    <t>173,800.00</t>
  </si>
  <si>
    <t>499,925.00</t>
  </si>
  <si>
    <t>2,002,500.00</t>
  </si>
  <si>
    <t>763,888.50</t>
  </si>
  <si>
    <t>88,500.00</t>
  </si>
  <si>
    <t>35,975.00</t>
  </si>
  <si>
    <t>495,961.95</t>
  </si>
  <si>
    <t>97,600.00</t>
  </si>
  <si>
    <t>100,025.00</t>
  </si>
  <si>
    <t>1,484,906.06</t>
  </si>
  <si>
    <t>526,147.16</t>
  </si>
  <si>
    <t>97,500.00</t>
  </si>
  <si>
    <t>340,700.00</t>
  </si>
  <si>
    <t>82,800.00</t>
  </si>
  <si>
    <t>181,800.00</t>
  </si>
  <si>
    <t>1,373,452.35</t>
  </si>
  <si>
    <t>183,750.00</t>
  </si>
  <si>
    <t>68,210.00</t>
  </si>
  <si>
    <t>196,420.00</t>
  </si>
  <si>
    <t>55,880.00</t>
  </si>
  <si>
    <t>23,243.44</t>
  </si>
  <si>
    <t>84,400.00</t>
  </si>
  <si>
    <t>11,462,000.00</t>
  </si>
  <si>
    <t>807,470.00</t>
  </si>
  <si>
    <t>734,500.00</t>
  </si>
  <si>
    <t>179,273.00</t>
  </si>
  <si>
    <t>111,114.00</t>
  </si>
  <si>
    <t>206,288.88</t>
  </si>
  <si>
    <t>18,840.00</t>
  </si>
  <si>
    <t>66,200.00</t>
  </si>
  <si>
    <t>69,000.00</t>
  </si>
  <si>
    <t>376,000.00</t>
  </si>
  <si>
    <t>90,650.00</t>
  </si>
  <si>
    <t>214,588.46</t>
  </si>
  <si>
    <t>127,655.00</t>
  </si>
  <si>
    <t>1,686,417.00</t>
  </si>
  <si>
    <t>372,000.00</t>
  </si>
  <si>
    <t>62,335.00</t>
  </si>
  <si>
    <t>116,180.00</t>
  </si>
  <si>
    <t>148,055.04</t>
  </si>
  <si>
    <t>80,360.00</t>
  </si>
  <si>
    <t>52,900.00</t>
  </si>
  <si>
    <t>32,000.00</t>
  </si>
  <si>
    <t>97,117.00</t>
  </si>
  <si>
    <t>766,831.00</t>
  </si>
  <si>
    <t>72,800.00</t>
  </si>
  <si>
    <t>43,500.00</t>
  </si>
  <si>
    <t>1,494,450.00</t>
  </si>
  <si>
    <t>14,214.00</t>
  </si>
  <si>
    <t>780,112.09</t>
  </si>
  <si>
    <t>320,000.00</t>
  </si>
  <si>
    <t>89,400.00</t>
  </si>
  <si>
    <t>132,460.00</t>
  </si>
  <si>
    <t>1,566,384.85</t>
  </si>
  <si>
    <t>262,800.00</t>
  </si>
  <si>
    <t>182,300.00</t>
  </si>
  <si>
    <t>126,000.00</t>
  </si>
  <si>
    <t>593,116.49</t>
  </si>
  <si>
    <t>120,227.15</t>
  </si>
  <si>
    <t>289,000.00</t>
  </si>
  <si>
    <t>970,000.00</t>
  </si>
  <si>
    <t>113,900.00</t>
  </si>
  <si>
    <t>249,284.00</t>
  </si>
  <si>
    <t>61,179.06</t>
  </si>
  <si>
    <t>460,794.59</t>
  </si>
  <si>
    <t>58,858.00</t>
  </si>
  <si>
    <t>671,790.00</t>
  </si>
  <si>
    <t>180,475.00</t>
  </si>
  <si>
    <t>271,800.00</t>
  </si>
  <si>
    <t>208,416.50</t>
  </si>
  <si>
    <t>9,120.00</t>
  </si>
  <si>
    <t>59,305.00</t>
  </si>
  <si>
    <t>516,000.00</t>
  </si>
  <si>
    <t>26,394.78</t>
  </si>
  <si>
    <t>23,400.00</t>
  </si>
  <si>
    <t>196,000.00</t>
  </si>
  <si>
    <t>582,892.00</t>
  </si>
  <si>
    <t>16,910.00</t>
  </si>
  <si>
    <t>320,125.00</t>
  </si>
  <si>
    <t>111,110.00</t>
  </si>
  <si>
    <t>77,900.00</t>
  </si>
  <si>
    <t>218,700.00</t>
  </si>
  <si>
    <t>114,930.00</t>
  </si>
  <si>
    <t>54,660.00</t>
  </si>
  <si>
    <t>999,961.50</t>
  </si>
  <si>
    <t>157,193.45</t>
  </si>
  <si>
    <t>51,847.00</t>
  </si>
  <si>
    <t>101,250.00</t>
  </si>
  <si>
    <t>36,150.00</t>
  </si>
  <si>
    <t>369,160.00</t>
  </si>
  <si>
    <t>58,000.00</t>
  </si>
  <si>
    <t>4,944,500.00</t>
  </si>
  <si>
    <t>208,000.00</t>
  </si>
  <si>
    <t>56,644.90</t>
  </si>
  <si>
    <t>205,000.00</t>
  </si>
  <si>
    <t>277,296.00</t>
  </si>
  <si>
    <t>695,000.00</t>
  </si>
  <si>
    <t>7,284,000.00</t>
  </si>
  <si>
    <t>158,600.00</t>
  </si>
  <si>
    <t>183,000.00</t>
  </si>
  <si>
    <t>312,000.00</t>
  </si>
  <si>
    <t>88,400.00</t>
  </si>
  <si>
    <t>758,153.00</t>
  </si>
  <si>
    <t>989,919.36</t>
  </si>
  <si>
    <t>71,000.00</t>
  </si>
  <si>
    <t>999,800.00</t>
  </si>
  <si>
    <t>200,200.00</t>
  </si>
  <si>
    <t>128,350.00</t>
  </si>
  <si>
    <t>19,840.00</t>
  </si>
  <si>
    <t>69,750.00</t>
  </si>
  <si>
    <t>767,150.50</t>
  </si>
  <si>
    <t>3,720,000.00</t>
  </si>
  <si>
    <t>1,340,000.00</t>
  </si>
  <si>
    <t>239,937.05</t>
  </si>
  <si>
    <t>11,500.00</t>
  </si>
  <si>
    <t>63,265.75</t>
  </si>
  <si>
    <t>625,000.00</t>
  </si>
  <si>
    <t>151,800.00</t>
  </si>
  <si>
    <t>336,202.20</t>
  </si>
  <si>
    <t>52,120.00</t>
  </si>
  <si>
    <t>57,750.00</t>
  </si>
  <si>
    <t>75,093.18</t>
  </si>
  <si>
    <t>249,610.00</t>
  </si>
  <si>
    <t>483,312.00</t>
  </si>
  <si>
    <t>390,714.00</t>
  </si>
  <si>
    <t>4,500.00</t>
  </si>
  <si>
    <t>9,000.00</t>
  </si>
  <si>
    <t>9,500.00</t>
  </si>
  <si>
    <t>164,600.00</t>
  </si>
  <si>
    <t>473,276.46</t>
  </si>
  <si>
    <t>257,375.00</t>
  </si>
  <si>
    <t>201,850.00</t>
  </si>
  <si>
    <t>162,000.00</t>
  </si>
  <si>
    <t>161,000.00</t>
  </si>
  <si>
    <t>34,830.00</t>
  </si>
  <si>
    <t>57,192.60</t>
  </si>
  <si>
    <t>85,900.00</t>
  </si>
  <si>
    <t>237,050.00</t>
  </si>
  <si>
    <t>122,500.00</t>
  </si>
  <si>
    <t>68,790.00</t>
  </si>
  <si>
    <t>64,350.00</t>
  </si>
  <si>
    <t>230,000.00</t>
  </si>
  <si>
    <t>1,699,977.90</t>
  </si>
  <si>
    <t>528,275.00</t>
  </si>
  <si>
    <t>302,765.00</t>
  </si>
  <si>
    <t>66,300.00</t>
  </si>
  <si>
    <t>103,800.00</t>
  </si>
  <si>
    <t>110,355.00</t>
  </si>
  <si>
    <t>139,694.80</t>
  </si>
  <si>
    <t>146,875.00</t>
  </si>
  <si>
    <t>2,620,000.00</t>
  </si>
  <si>
    <t>4,491,600.00</t>
  </si>
  <si>
    <t>449,550.00</t>
  </si>
  <si>
    <t>815,067.15</t>
  </si>
  <si>
    <t>519,900.00</t>
  </si>
  <si>
    <t>8,050,200.00</t>
  </si>
  <si>
    <t>62,046.00</t>
  </si>
  <si>
    <t>1,415,524.00</t>
  </si>
  <si>
    <t>76,000.00</t>
  </si>
  <si>
    <t>80,855.00</t>
  </si>
  <si>
    <t>26,000.00</t>
  </si>
  <si>
    <t>499,988.39</t>
  </si>
  <si>
    <t>375,000.00</t>
  </si>
  <si>
    <t>83,810.00</t>
  </si>
  <si>
    <t>2,928,588.81</t>
  </si>
  <si>
    <t>1,387,000.00</t>
  </si>
  <si>
    <t>123,934.00</t>
  </si>
  <si>
    <t>116,632.50</t>
  </si>
  <si>
    <t>75,750.00</t>
  </si>
  <si>
    <t>996,413.12</t>
  </si>
  <si>
    <t>112,805.07</t>
  </si>
  <si>
    <t>137,300.00</t>
  </si>
  <si>
    <t>41,500.00</t>
  </si>
  <si>
    <t>2,700,000.00</t>
  </si>
  <si>
    <t>225,000.00</t>
  </si>
  <si>
    <t>649,103.52</t>
  </si>
  <si>
    <t>178,201.84</t>
  </si>
  <si>
    <t>243,609.90</t>
  </si>
  <si>
    <t>587,065.00</t>
  </si>
  <si>
    <t>51,000.00</t>
  </si>
  <si>
    <t>99,755.35</t>
  </si>
  <si>
    <t>266,750.00</t>
  </si>
  <si>
    <t>275,029.44</t>
  </si>
  <si>
    <t>465,710.60</t>
  </si>
  <si>
    <t>1,200,000.00</t>
  </si>
  <si>
    <t>486,000.00</t>
  </si>
  <si>
    <t>74,100.00</t>
  </si>
  <si>
    <t>85,050.00</t>
  </si>
  <si>
    <t>308,390.75</t>
  </si>
  <si>
    <t>16,372.00</t>
  </si>
  <si>
    <t>931,560.00</t>
  </si>
  <si>
    <t>113,045.00</t>
  </si>
  <si>
    <t>69,991.00</t>
  </si>
  <si>
    <t>998,387.57</t>
  </si>
  <si>
    <t>143,085.72</t>
  </si>
  <si>
    <t>84,792.00</t>
  </si>
  <si>
    <t>334,200.00</t>
  </si>
  <si>
    <t>705,627.75</t>
  </si>
  <si>
    <t>252,550.00</t>
  </si>
  <si>
    <t>995,000.00</t>
  </si>
  <si>
    <t>50,900.00</t>
  </si>
  <si>
    <t>90,800.00</t>
  </si>
  <si>
    <t>22,881,378.00</t>
  </si>
  <si>
    <t>999,921.22</t>
  </si>
  <si>
    <t>234,790.74</t>
  </si>
  <si>
    <t>468,000.00</t>
  </si>
  <si>
    <t>89,040.00</t>
  </si>
  <si>
    <t>187,320.00</t>
  </si>
  <si>
    <t>95,206.00</t>
  </si>
  <si>
    <t>57,060.00</t>
  </si>
  <si>
    <t>57,905.00</t>
  </si>
  <si>
    <t>498,000.00</t>
  </si>
  <si>
    <t>128,100.00</t>
  </si>
  <si>
    <t>84,641.00</t>
  </si>
  <si>
    <t>1,960,000.00</t>
  </si>
  <si>
    <t>199,885.00</t>
  </si>
  <si>
    <t>52,450.00</t>
  </si>
  <si>
    <t>71,863.76</t>
  </si>
  <si>
    <t>74,750.00</t>
  </si>
  <si>
    <t>409,500.00</t>
  </si>
  <si>
    <t>145,440.00</t>
  </si>
  <si>
    <t>4,637,433.10</t>
  </si>
  <si>
    <t>2,940,000.00</t>
  </si>
  <si>
    <t>202,480.00</t>
  </si>
  <si>
    <t>502,160.00</t>
  </si>
  <si>
    <t>51,065.00</t>
  </si>
  <si>
    <t>77,958.00</t>
  </si>
  <si>
    <t>1,487,021.90</t>
  </si>
  <si>
    <t>17,850,000.00</t>
  </si>
  <si>
    <t>152,057.60</t>
  </si>
  <si>
    <t>6,909,616.37</t>
  </si>
  <si>
    <t>442,240.00</t>
  </si>
  <si>
    <t>80,500.00</t>
  </si>
  <si>
    <t>12,500.00</t>
  </si>
  <si>
    <t>56,905.80</t>
  </si>
  <si>
    <t>11,000.00</t>
  </si>
  <si>
    <t>146,600.00</t>
  </si>
  <si>
    <t>80,574.00</t>
  </si>
  <si>
    <t>54,600.00</t>
  </si>
  <si>
    <t>728,200.00</t>
  </si>
  <si>
    <t>96,323.00</t>
  </si>
  <si>
    <t>54,400.00</t>
  </si>
  <si>
    <t>145,352.00</t>
  </si>
  <si>
    <t>233,505.00</t>
  </si>
  <si>
    <t>118,000.00</t>
  </si>
  <si>
    <t>9,522,444.80</t>
  </si>
  <si>
    <t>81,000.00</t>
  </si>
  <si>
    <t>1,800.00</t>
  </si>
  <si>
    <t>545,592.05</t>
  </si>
  <si>
    <t>1,686,117.00</t>
  </si>
  <si>
    <t>95,940.00</t>
  </si>
  <si>
    <t>416,445.00</t>
  </si>
  <si>
    <t>114,000.00</t>
  </si>
  <si>
    <t>104,826.00</t>
  </si>
  <si>
    <t>1,250,000.00</t>
  </si>
  <si>
    <t>116,190.00</t>
  </si>
  <si>
    <t>993,250.00</t>
  </si>
  <si>
    <t>159,600.00</t>
  </si>
  <si>
    <t>126,730.00</t>
  </si>
  <si>
    <t>66,561.12</t>
  </si>
  <si>
    <t>189,173.50</t>
  </si>
  <si>
    <t>340,000.00</t>
  </si>
  <si>
    <t>3,430,000.00</t>
  </si>
  <si>
    <t>550,000.00</t>
  </si>
  <si>
    <t>99,960.00</t>
  </si>
  <si>
    <t>1,983,745.50</t>
  </si>
  <si>
    <t>5,000,100.00</t>
  </si>
  <si>
    <t>157,500.00</t>
  </si>
  <si>
    <t>64,290.00</t>
  </si>
  <si>
    <t>103,700.00</t>
  </si>
  <si>
    <t>7,167,583.18</t>
  </si>
  <si>
    <t>146,161.00</t>
  </si>
  <si>
    <t>449,322.38</t>
  </si>
  <si>
    <t>373,610.00</t>
  </si>
  <si>
    <t>223,580.00</t>
  </si>
  <si>
    <t>139,125.00</t>
  </si>
  <si>
    <t>254,247.91</t>
  </si>
  <si>
    <t>184,265.00</t>
  </si>
  <si>
    <t>43,578.00</t>
  </si>
  <si>
    <t>345,750.00</t>
  </si>
  <si>
    <t>79,996.50</t>
  </si>
  <si>
    <t>955,070.00</t>
  </si>
  <si>
    <t>66,540.00</t>
  </si>
  <si>
    <t>71,690.00</t>
  </si>
  <si>
    <t>67,600.00</t>
  </si>
  <si>
    <t>126,075.40</t>
  </si>
  <si>
    <t>63,353.00</t>
  </si>
  <si>
    <t>163,393.00</t>
  </si>
  <si>
    <t>29,363.68</t>
  </si>
  <si>
    <t>102,848.00</t>
  </si>
  <si>
    <t>604,775.00</t>
  </si>
  <si>
    <t>1,475,000.00</t>
  </si>
  <si>
    <t>120,216.00</t>
  </si>
  <si>
    <t>213,330.00</t>
  </si>
  <si>
    <t>295,000.00</t>
  </si>
  <si>
    <t>160,600.00</t>
  </si>
  <si>
    <t>107,300.00</t>
  </si>
  <si>
    <t>494,963.00</t>
  </si>
  <si>
    <t>699,000.00</t>
  </si>
  <si>
    <t>1,072,345.00</t>
  </si>
  <si>
    <t>61,425.00</t>
  </si>
  <si>
    <t>5,374,400.00</t>
  </si>
  <si>
    <t>20,000,000.00</t>
  </si>
  <si>
    <t>74,520.00</t>
  </si>
  <si>
    <t>450,314.60</t>
  </si>
  <si>
    <t>799,225.74</t>
  </si>
  <si>
    <t>2,107,991.40</t>
  </si>
  <si>
    <t>17,820.00</t>
  </si>
  <si>
    <t>195,500.00</t>
  </si>
  <si>
    <t>325,880.00</t>
  </si>
  <si>
    <t>184,184.00</t>
  </si>
  <si>
    <t>193,000.00</t>
  </si>
  <si>
    <t>999,000.00</t>
  </si>
  <si>
    <t>20,344,449.25</t>
  </si>
  <si>
    <t>722,500.00</t>
  </si>
  <si>
    <t>123,300.00</t>
  </si>
  <si>
    <t>794,440.00</t>
  </si>
  <si>
    <t>5,334,337.62</t>
  </si>
  <si>
    <t>107,869.60</t>
  </si>
  <si>
    <t>258,160.00</t>
  </si>
  <si>
    <t>5,500,000.00</t>
  </si>
  <si>
    <t>6,950.00</t>
  </si>
  <si>
    <t>474,090.00</t>
  </si>
  <si>
    <t>102,880.00</t>
  </si>
  <si>
    <t>907,000.00</t>
  </si>
  <si>
    <t>346,750.00</t>
  </si>
  <si>
    <t>70,304.00</t>
  </si>
  <si>
    <t>10,498,598.40</t>
  </si>
  <si>
    <t>206,165.00</t>
  </si>
  <si>
    <t>179,050.00</t>
  </si>
  <si>
    <t>57,610.00</t>
  </si>
  <si>
    <t>1,486,437.00</t>
  </si>
  <si>
    <t>75,018.20</t>
  </si>
  <si>
    <t>999,446.00</t>
  </si>
  <si>
    <t>3,335,400.00</t>
  </si>
  <si>
    <t>963,600.00</t>
  </si>
  <si>
    <t>20,420.00</t>
  </si>
  <si>
    <t>172,021.50</t>
  </si>
  <si>
    <t>4,000.00</t>
  </si>
  <si>
    <t>62,720.00</t>
  </si>
  <si>
    <t>798,875.34</t>
  </si>
  <si>
    <t>275,706.00</t>
  </si>
  <si>
    <t>120,500.00</t>
  </si>
  <si>
    <t>82,841.50</t>
  </si>
  <si>
    <t>630,425.61</t>
  </si>
  <si>
    <t>674,828.00</t>
  </si>
  <si>
    <t>90,927.00</t>
  </si>
  <si>
    <t>22,532,084.00</t>
  </si>
  <si>
    <t>213,250.70</t>
  </si>
  <si>
    <t>405,000.00</t>
  </si>
  <si>
    <t>86,100.00</t>
  </si>
  <si>
    <t>12,928.00</t>
  </si>
  <si>
    <t>272,357.02</t>
  </si>
  <si>
    <t>217,228.04</t>
  </si>
  <si>
    <t>134,178.19</t>
  </si>
  <si>
    <t>3,660,000.00</t>
  </si>
  <si>
    <t>167,500.00</t>
  </si>
  <si>
    <t>579,635.00</t>
  </si>
  <si>
    <t>1,624,840.00</t>
  </si>
  <si>
    <t>1,090,578.75</t>
  </si>
  <si>
    <t>59,750.00</t>
  </si>
  <si>
    <t>6,567,000.00</t>
  </si>
  <si>
    <t>173,000.00</t>
  </si>
  <si>
    <t>1,476,294.00</t>
  </si>
  <si>
    <t>239,120.00</t>
  </si>
  <si>
    <t>18,558,115.64</t>
  </si>
  <si>
    <t>39,945.00</t>
  </si>
  <si>
    <t>200,415.00</t>
  </si>
  <si>
    <t>58,515.00</t>
  </si>
  <si>
    <t>384,940.00</t>
  </si>
  <si>
    <t>709,830.00</t>
  </si>
  <si>
    <t>87,500.00</t>
  </si>
  <si>
    <t>3,200.00</t>
  </si>
  <si>
    <t>244,475.00</t>
  </si>
  <si>
    <t>131,010.00</t>
  </si>
  <si>
    <t>125,254.95</t>
  </si>
  <si>
    <t>999,810.00</t>
  </si>
  <si>
    <t>68,000.00</t>
  </si>
  <si>
    <t>499,600.00</t>
  </si>
  <si>
    <t>474,307.21</t>
  </si>
  <si>
    <t>143,315.00</t>
  </si>
  <si>
    <t>467,617.75</t>
  </si>
  <si>
    <t>195,160.00</t>
  </si>
  <si>
    <t>61,800.00</t>
  </si>
  <si>
    <t>1,096,660.00</t>
  </si>
  <si>
    <t>149,990.00</t>
  </si>
  <si>
    <t>70,132.00</t>
  </si>
  <si>
    <t>90,133.00</t>
  </si>
  <si>
    <t>840,412.12</t>
  </si>
  <si>
    <t>436,000.00</t>
  </si>
  <si>
    <t>1,862,160.00</t>
  </si>
  <si>
    <t>83,700.00</t>
  </si>
  <si>
    <t>999,980.85</t>
  </si>
  <si>
    <t>214,170.00</t>
  </si>
  <si>
    <t>101,270.00</t>
  </si>
  <si>
    <t>799,278.81</t>
  </si>
  <si>
    <t>1,677,014.00</t>
  </si>
  <si>
    <t>214,027.70</t>
  </si>
  <si>
    <t>960.00</t>
  </si>
  <si>
    <t>776,816.40</t>
  </si>
  <si>
    <t>715,000.00</t>
  </si>
  <si>
    <t>510,050.00</t>
  </si>
  <si>
    <t>34,200.00</t>
  </si>
  <si>
    <t>798,128.40</t>
  </si>
  <si>
    <t>2,480,000.00</t>
  </si>
  <si>
    <t>999,979.79</t>
  </si>
  <si>
    <t>135,170.00</t>
  </si>
  <si>
    <t>154,800.00</t>
  </si>
  <si>
    <t>276,800.00</t>
  </si>
  <si>
    <t>29,396,588.00</t>
  </si>
  <si>
    <t>1,189,100.00</t>
  </si>
  <si>
    <t>35,775.00</t>
  </si>
  <si>
    <t>18,384,500.00</t>
  </si>
  <si>
    <t>422,439.50</t>
  </si>
  <si>
    <t>157,440.00</t>
  </si>
  <si>
    <t>30,956.00</t>
  </si>
  <si>
    <t>239,408.50</t>
  </si>
  <si>
    <t>966,000.00</t>
  </si>
  <si>
    <t>611,064.00</t>
  </si>
  <si>
    <t>4,995,000.00</t>
  </si>
  <si>
    <t>741,495.00</t>
  </si>
  <si>
    <t>924,670.00</t>
  </si>
  <si>
    <t>130,450.00</t>
  </si>
  <si>
    <t>51,367.00</t>
  </si>
  <si>
    <t>364,675.00</t>
  </si>
  <si>
    <t>148,565.00</t>
  </si>
  <si>
    <t>112,327.42</t>
  </si>
  <si>
    <t>397,000.00</t>
  </si>
  <si>
    <t>122,320.00</t>
  </si>
  <si>
    <t>117,290.00</t>
  </si>
  <si>
    <t>2,539,000.00</t>
  </si>
  <si>
    <t>77,250.00</t>
  </si>
  <si>
    <t>80,670.00</t>
  </si>
  <si>
    <t>67,700.00</t>
  </si>
  <si>
    <t>945,000.00</t>
  </si>
  <si>
    <t>76,789.50</t>
  </si>
  <si>
    <t>61,823.00</t>
  </si>
  <si>
    <t>231,000.00</t>
  </si>
  <si>
    <t>17,333,112.00</t>
  </si>
  <si>
    <t>142,470.00</t>
  </si>
  <si>
    <t>105,210.00</t>
  </si>
  <si>
    <t>452,400.00</t>
  </si>
  <si>
    <t>408,738.00</t>
  </si>
  <si>
    <t>797,635.20</t>
  </si>
  <si>
    <t>383,904.00</t>
  </si>
  <si>
    <t>192,900.00</t>
  </si>
  <si>
    <t>366,761.00</t>
  </si>
  <si>
    <t>1,879,924.00</t>
  </si>
  <si>
    <t>164,174.30</t>
  </si>
  <si>
    <t>349,739.30</t>
  </si>
  <si>
    <t>635,000.00</t>
  </si>
  <si>
    <t>2,941,600.00</t>
  </si>
  <si>
    <t>81,750.00</t>
  </si>
  <si>
    <t>767,975.00</t>
  </si>
  <si>
    <t>145,740.00</t>
  </si>
  <si>
    <t>206,950.00</t>
  </si>
  <si>
    <t>195,600.00</t>
  </si>
  <si>
    <t>106,000.00</t>
  </si>
  <si>
    <t>76,980.00</t>
  </si>
  <si>
    <t>107,140.00</t>
  </si>
  <si>
    <t>1,824,900.00</t>
  </si>
  <si>
    <t>73,100.00</t>
  </si>
  <si>
    <t>57,100.00</t>
  </si>
  <si>
    <t>500,438.00</t>
  </si>
  <si>
    <t>106,250.00</t>
  </si>
  <si>
    <t>1,080,000.00</t>
  </si>
  <si>
    <t>62,550.00</t>
  </si>
  <si>
    <t>780,000.00</t>
  </si>
  <si>
    <t>1,756,800.00</t>
  </si>
  <si>
    <t>150,369.00</t>
  </si>
  <si>
    <t>592,379.08</t>
  </si>
  <si>
    <t>217,000.00</t>
  </si>
  <si>
    <t>37,000.00</t>
  </si>
  <si>
    <t>355,987.94</t>
  </si>
  <si>
    <t>2,373,000.00</t>
  </si>
  <si>
    <t>177,040.00</t>
  </si>
  <si>
    <t>1,964,578.80</t>
  </si>
  <si>
    <t>127,600.00</t>
  </si>
  <si>
    <t>315,200.00</t>
  </si>
  <si>
    <t>74,900.00</t>
  </si>
  <si>
    <t>8,954,574.75</t>
  </si>
  <si>
    <t>78,650.00</t>
  </si>
  <si>
    <t>1,243,000.00</t>
  </si>
  <si>
    <t>661,820.00</t>
  </si>
  <si>
    <t>201,904.52</t>
  </si>
  <si>
    <t>163,425.00</t>
  </si>
  <si>
    <t>2,921,357.00</t>
  </si>
  <si>
    <t>4,800,000.00</t>
  </si>
  <si>
    <t>137,600.00</t>
  </si>
  <si>
    <t>485,000.00</t>
  </si>
  <si>
    <t>499,994.00</t>
  </si>
  <si>
    <t>4,500,000.00</t>
  </si>
  <si>
    <t>151,950.00</t>
  </si>
  <si>
    <t>2,372,000.00</t>
  </si>
  <si>
    <t>731,590.00</t>
  </si>
  <si>
    <t>198,100.00</t>
  </si>
  <si>
    <t>133,870.00</t>
  </si>
  <si>
    <t>56,177.00</t>
  </si>
  <si>
    <t>1,363,400.00</t>
  </si>
  <si>
    <t>2,206,000.00</t>
  </si>
  <si>
    <t>434,200.00</t>
  </si>
  <si>
    <t>143,750.00</t>
  </si>
  <si>
    <t>474,490.00</t>
  </si>
  <si>
    <t>215,525.00</t>
  </si>
  <si>
    <t>6,946,000.00</t>
  </si>
  <si>
    <t>100,450.00</t>
  </si>
  <si>
    <t>133,809.00</t>
  </si>
  <si>
    <t>92,500.00</t>
  </si>
  <si>
    <t>145,500.00</t>
  </si>
  <si>
    <t>92,136.00</t>
  </si>
  <si>
    <t>99,983.00</t>
  </si>
  <si>
    <t>9,505,936.88</t>
  </si>
  <si>
    <t>142,725.00</t>
  </si>
  <si>
    <t>142,853.00</t>
  </si>
  <si>
    <t>225,400.00</t>
  </si>
  <si>
    <t>52,110,000.00</t>
  </si>
  <si>
    <t>78,047.00</t>
  </si>
  <si>
    <t>122,740.00</t>
  </si>
  <si>
    <t>1,581,917.69</t>
  </si>
  <si>
    <t>61,995.00</t>
  </si>
  <si>
    <t>845,250.00</t>
  </si>
  <si>
    <t>3,200,000.00</t>
  </si>
  <si>
    <t>6,277,792.35</t>
  </si>
  <si>
    <t>651,393.16</t>
  </si>
  <si>
    <t>234,900.00</t>
  </si>
  <si>
    <t>1,934,152.00</t>
  </si>
  <si>
    <t>702,000.00</t>
  </si>
  <si>
    <t>76,375.00</t>
  </si>
  <si>
    <t>381,400.00</t>
  </si>
  <si>
    <t>64,250.00</t>
  </si>
  <si>
    <t>499,786.04</t>
  </si>
  <si>
    <t>218,600.00</t>
  </si>
  <si>
    <t>9,550,000.00</t>
  </si>
  <si>
    <t>79,559.00</t>
  </si>
  <si>
    <t>525,000.00</t>
  </si>
  <si>
    <t>71,120.00</t>
  </si>
  <si>
    <t>4,333,640.00</t>
  </si>
  <si>
    <t>114.00</t>
  </si>
  <si>
    <t>435,375.00</t>
  </si>
  <si>
    <t>156,600.00</t>
  </si>
  <si>
    <t>2,165,985.00</t>
  </si>
  <si>
    <t>282,000.00</t>
  </si>
  <si>
    <t>88,592.00</t>
  </si>
  <si>
    <t>269,000.00</t>
  </si>
  <si>
    <t>58,200.00</t>
  </si>
  <si>
    <t>0.00</t>
  </si>
  <si>
    <t>290,000.00</t>
  </si>
  <si>
    <t>191,605.00</t>
  </si>
  <si>
    <t>149,848.00</t>
  </si>
  <si>
    <t>43,520.00</t>
  </si>
  <si>
    <t>150,650.00</t>
  </si>
  <si>
    <t>73,255.00</t>
  </si>
  <si>
    <t>37,897.00</t>
  </si>
  <si>
    <t>4,332,000.00</t>
  </si>
  <si>
    <t>164,905.00</t>
  </si>
  <si>
    <t>1,152,000.00</t>
  </si>
  <si>
    <t>148,752.50</t>
  </si>
  <si>
    <t>161,297,535.00</t>
  </si>
  <si>
    <t>3,718,048.00</t>
  </si>
  <si>
    <t>574,403.12</t>
  </si>
  <si>
    <t>257,639.27</t>
  </si>
  <si>
    <t>85,879,110.00</t>
  </si>
  <si>
    <t>47,882,041.79</t>
  </si>
  <si>
    <t>5,997,878.06</t>
  </si>
  <si>
    <t>9,292,995.67</t>
  </si>
  <si>
    <t>3,152,000.00</t>
  </si>
  <si>
    <t>1,600,162.60</t>
  </si>
  <si>
    <t>4,332,001.00</t>
  </si>
  <si>
    <t>4,876,188.43</t>
  </si>
  <si>
    <t>8,498,722.19</t>
  </si>
  <si>
    <t>321,600.00</t>
  </si>
  <si>
    <t>499,651.00</t>
  </si>
  <si>
    <t>68,136.00</t>
  </si>
  <si>
    <t>5,499,868.40</t>
  </si>
  <si>
    <t>17,499,913.00</t>
  </si>
  <si>
    <t>62,730.00</t>
  </si>
  <si>
    <t>2,579,557.00</t>
  </si>
  <si>
    <t>74,200.00</t>
  </si>
  <si>
    <t>6,000,182.50</t>
  </si>
  <si>
    <t>1,130,000.00</t>
  </si>
  <si>
    <t>6,244,339.14</t>
  </si>
  <si>
    <t>717,220.00</t>
  </si>
  <si>
    <t>126,775.00</t>
  </si>
  <si>
    <t>14,000.00</t>
  </si>
  <si>
    <t>1,119,645.00</t>
  </si>
  <si>
    <t>83,800.00</t>
  </si>
  <si>
    <t>151,785.00</t>
  </si>
  <si>
    <t>359,780.00</t>
  </si>
  <si>
    <t>730,700.00</t>
  </si>
  <si>
    <t>2,570,629.00</t>
  </si>
  <si>
    <t>20,132,028.00</t>
  </si>
  <si>
    <t>591,938.00</t>
  </si>
  <si>
    <t>3,110,000.00</t>
  </si>
  <si>
    <t>53,325.00</t>
  </si>
  <si>
    <t>3,819,994.85</t>
  </si>
  <si>
    <t>327,500.00</t>
  </si>
  <si>
    <t>188,540.00</t>
  </si>
  <si>
    <t>75,269.87</t>
  </si>
  <si>
    <t>985,384.00</t>
  </si>
  <si>
    <t>95,700.00</t>
  </si>
  <si>
    <t>37,415,685.87</t>
  </si>
  <si>
    <t>495,000.00</t>
  </si>
  <si>
    <t>815,000.00</t>
  </si>
  <si>
    <t>134,530.00</t>
  </si>
  <si>
    <t>97,021.30</t>
  </si>
  <si>
    <t>20,946,740.00</t>
  </si>
  <si>
    <t>57,600.00</t>
  </si>
  <si>
    <t>685,827.50</t>
  </si>
  <si>
    <t>96,335.00</t>
  </si>
  <si>
    <t>364,730.00</t>
  </si>
  <si>
    <t>502,013.00</t>
  </si>
  <si>
    <t>132,450.00</t>
  </si>
  <si>
    <t>57,899,702.47</t>
  </si>
  <si>
    <t>3,900,000.00</t>
  </si>
  <si>
    <t>28,949,789.77</t>
  </si>
  <si>
    <t>11,660,510.92</t>
  </si>
  <si>
    <t>154,635.00</t>
  </si>
  <si>
    <t>2,250,000.00</t>
  </si>
  <si>
    <t>893,465.00</t>
  </si>
  <si>
    <t>457,632.00</t>
  </si>
  <si>
    <t>20,800.00</t>
  </si>
  <si>
    <t>9,928,656.00</t>
  </si>
  <si>
    <t>73,700.00</t>
  </si>
  <si>
    <t>512,296.00</t>
  </si>
  <si>
    <t>89,635.00</t>
  </si>
  <si>
    <t>168,142.00</t>
  </si>
  <si>
    <t>517,000.00</t>
  </si>
  <si>
    <t>205,388.00</t>
  </si>
  <si>
    <t>3,757,772.00</t>
  </si>
  <si>
    <t>4,824,140.22</t>
  </si>
  <si>
    <t>995,170.00</t>
  </si>
  <si>
    <t>601,136.00</t>
  </si>
  <si>
    <t>107,117.00</t>
  </si>
  <si>
    <t>2,310,000.00</t>
  </si>
  <si>
    <t>790,000.00</t>
  </si>
  <si>
    <t>198,400.00</t>
  </si>
  <si>
    <t>1,440,115.00</t>
  </si>
  <si>
    <t>2,257,000.00</t>
  </si>
  <si>
    <t>1,530,000.00</t>
  </si>
  <si>
    <t>3,281,640.00</t>
  </si>
  <si>
    <t>3,150,000.00</t>
  </si>
  <si>
    <t>199,968.60</t>
  </si>
  <si>
    <t>306,320.00</t>
  </si>
  <si>
    <t>7,120,000.00</t>
  </si>
  <si>
    <t>99,626.65</t>
  </si>
  <si>
    <t>228,054.00</t>
  </si>
  <si>
    <t>58,820.00</t>
  </si>
  <si>
    <t>1,400,000.00</t>
  </si>
  <si>
    <t>94,791.18</t>
  </si>
  <si>
    <t>2,220,750.00</t>
  </si>
  <si>
    <t>377,143.40</t>
  </si>
  <si>
    <t>219,826,085.10</t>
  </si>
  <si>
    <t>116,497.72</t>
  </si>
  <si>
    <t>795,000.00</t>
  </si>
  <si>
    <t>372,600.00</t>
  </si>
  <si>
    <t>74,035.00</t>
  </si>
  <si>
    <t>6,431,000.00</t>
  </si>
  <si>
    <t>2,325,670.00</t>
  </si>
  <si>
    <t>30,212,649.08</t>
  </si>
  <si>
    <t>574,536.00</t>
  </si>
  <si>
    <t>371,496.11</t>
  </si>
  <si>
    <t>3,340,000.00</t>
  </si>
  <si>
    <t>6,560,000.00</t>
  </si>
  <si>
    <t>500,224.00</t>
  </si>
  <si>
    <t>87,590.00</t>
  </si>
  <si>
    <t>96,732.00</t>
  </si>
  <si>
    <t>86,470.00</t>
  </si>
  <si>
    <t>11,572,687.14</t>
  </si>
  <si>
    <t>41,250.00</t>
  </si>
  <si>
    <t>122,493.00</t>
  </si>
  <si>
    <t>40,927,337.04</t>
  </si>
  <si>
    <t>186,689.00</t>
  </si>
  <si>
    <t>480,240.00</t>
  </si>
  <si>
    <t>121,946.00</t>
  </si>
  <si>
    <t>141,102.00</t>
  </si>
  <si>
    <t>546,000.00</t>
  </si>
  <si>
    <t>8,182,000.00</t>
  </si>
  <si>
    <t>193,520.00</t>
  </si>
  <si>
    <t>73,561.00</t>
  </si>
  <si>
    <t>385,998,652.16</t>
  </si>
  <si>
    <t>199,000.00</t>
  </si>
  <si>
    <t>3,860,000.00</t>
  </si>
  <si>
    <t>76,389.00</t>
  </si>
  <si>
    <t>997,991.25</t>
  </si>
  <si>
    <t>729,755.25</t>
  </si>
  <si>
    <t>1,227,571.50</t>
  </si>
  <si>
    <t>117,050.00</t>
  </si>
  <si>
    <t>135,525.00</t>
  </si>
  <si>
    <t>635,332.48</t>
  </si>
  <si>
    <t>1,995,570.00</t>
  </si>
  <si>
    <t>121,600.00</t>
  </si>
  <si>
    <t>1,294,200.00</t>
  </si>
  <si>
    <t>387,526.10</t>
  </si>
  <si>
    <t>1,037,706.40</t>
  </si>
  <si>
    <t>145,552.00</t>
  </si>
  <si>
    <t>1,196,400.00</t>
  </si>
  <si>
    <t>2,100,150.00</t>
  </si>
  <si>
    <t>2,997,300.00</t>
  </si>
  <si>
    <t>85,720.00</t>
  </si>
  <si>
    <t>313,340.53</t>
  </si>
  <si>
    <t>1,215,000.00</t>
  </si>
  <si>
    <t>6,500.00</t>
  </si>
  <si>
    <t>110,250.00</t>
  </si>
  <si>
    <t>2,997,554.00</t>
  </si>
  <si>
    <t>112,080.00</t>
  </si>
  <si>
    <t>162,180.00</t>
  </si>
  <si>
    <t>70,200.00</t>
  </si>
  <si>
    <t>176,095.35</t>
  </si>
  <si>
    <t>1,050,000.00</t>
  </si>
  <si>
    <t>11,750.00</t>
  </si>
  <si>
    <t>226,200.00</t>
  </si>
  <si>
    <t>391,903.50</t>
  </si>
  <si>
    <t>783,775.00</t>
  </si>
  <si>
    <t>589,650.00</t>
  </si>
  <si>
    <t>258,000.00</t>
  </si>
  <si>
    <t>74,110.95</t>
  </si>
  <si>
    <t>2,399,905.00</t>
  </si>
  <si>
    <t>492,312.80</t>
  </si>
  <si>
    <t>2,451,182.00</t>
  </si>
  <si>
    <t>25,343.38</t>
  </si>
  <si>
    <t>260,816.75</t>
  </si>
  <si>
    <t>1,999,912.50</t>
  </si>
  <si>
    <t>32,255.33</t>
  </si>
  <si>
    <t>1,100,000.00</t>
  </si>
  <si>
    <t>32,255.21</t>
  </si>
  <si>
    <t>145,000.00</t>
  </si>
  <si>
    <t>2,998,535.00</t>
  </si>
  <si>
    <t>10,500,000.00</t>
  </si>
  <si>
    <t>633,016.90</t>
  </si>
  <si>
    <t>662,589.00</t>
  </si>
  <si>
    <t>9,122,000.00</t>
  </si>
  <si>
    <t>189,000.00</t>
  </si>
  <si>
    <t>129,000.00</t>
  </si>
  <si>
    <t>348,000.00</t>
  </si>
  <si>
    <t>119,211.00</t>
  </si>
  <si>
    <t>21,185.00</t>
  </si>
  <si>
    <t>937,300.00</t>
  </si>
  <si>
    <t>126,100.00</t>
  </si>
  <si>
    <t>128,000.00</t>
  </si>
  <si>
    <t>807,489.00</t>
  </si>
  <si>
    <t>89,378.56</t>
  </si>
  <si>
    <t>32,255.31</t>
  </si>
  <si>
    <t>115,467.00</t>
  </si>
  <si>
    <t>52,500.00</t>
  </si>
  <si>
    <t>3,269,125.00</t>
  </si>
  <si>
    <t>1,389,376.66</t>
  </si>
  <si>
    <t>120,720.00</t>
  </si>
  <si>
    <t>357,621.50</t>
  </si>
  <si>
    <t>457,000.00</t>
  </si>
  <si>
    <t>158,150.00</t>
  </si>
  <si>
    <t>1,674,353.40</t>
  </si>
  <si>
    <t>906,307.76</t>
  </si>
  <si>
    <t>197,888.00</t>
  </si>
  <si>
    <t>710,000.00</t>
  </si>
  <si>
    <t>264,444.00</t>
  </si>
  <si>
    <t>125,730.00</t>
  </si>
  <si>
    <t>136,325.00</t>
  </si>
  <si>
    <t>639,582.58</t>
  </si>
  <si>
    <t>1,192,427.00</t>
  </si>
  <si>
    <t>367,044.24</t>
  </si>
  <si>
    <t>178,040.00</t>
  </si>
  <si>
    <t>710,465.00</t>
  </si>
  <si>
    <t>195,300.00</t>
  </si>
  <si>
    <t>2,999,170.00</t>
  </si>
  <si>
    <t>198,192.00</t>
  </si>
  <si>
    <t>480,000.00</t>
  </si>
  <si>
    <t>1,975,000.00</t>
  </si>
  <si>
    <t>92,946,348.54</t>
  </si>
  <si>
    <t>206,120.20</t>
  </si>
  <si>
    <t>104,993.00</t>
  </si>
  <si>
    <t>558,960.00</t>
  </si>
  <si>
    <t>2,262,000.00</t>
  </si>
  <si>
    <t>28,514,399.55</t>
  </si>
  <si>
    <t>5,100,000.00</t>
  </si>
  <si>
    <t>156,745.00</t>
  </si>
  <si>
    <t>1,650,000.00</t>
  </si>
  <si>
    <t>799,869.25</t>
  </si>
  <si>
    <t>204,754.00</t>
  </si>
  <si>
    <t>99,571.00</t>
  </si>
  <si>
    <t>18,500.00</t>
  </si>
  <si>
    <t>168,226.00</t>
  </si>
  <si>
    <t>5,250,000.00</t>
  </si>
  <si>
    <t>176,000.00</t>
  </si>
  <si>
    <t>25,831.00</t>
  </si>
  <si>
    <t>151,900.00</t>
  </si>
  <si>
    <t>38,000.00</t>
  </si>
  <si>
    <t>22,600.00</t>
  </si>
  <si>
    <t>65,600.00</t>
  </si>
  <si>
    <t>181,496.00</t>
  </si>
  <si>
    <t>755,200.00</t>
  </si>
  <si>
    <t>117,699.40</t>
  </si>
  <si>
    <t>70,940.00</t>
  </si>
  <si>
    <t>232,050.00</t>
  </si>
  <si>
    <t>45,200.00</t>
  </si>
  <si>
    <t>84,052.36</t>
  </si>
  <si>
    <t>87,760.74</t>
  </si>
  <si>
    <t>199,350.00</t>
  </si>
  <si>
    <t>119,339.88</t>
  </si>
  <si>
    <t>967,500.00</t>
  </si>
  <si>
    <t>114,150.00</t>
  </si>
  <si>
    <t>5,800,000.00</t>
  </si>
  <si>
    <t>645,600.00</t>
  </si>
  <si>
    <t>50,580.00</t>
  </si>
  <si>
    <t>83,155.00</t>
  </si>
  <si>
    <t>2,203,210.00</t>
  </si>
  <si>
    <t>535,000.00</t>
  </si>
  <si>
    <t>77,950.00</t>
  </si>
  <si>
    <t>114,829.00</t>
  </si>
  <si>
    <t>11,781,000.00</t>
  </si>
  <si>
    <t>335,380.00</t>
  </si>
  <si>
    <t>810,785.50</t>
  </si>
  <si>
    <t>83,000.00</t>
  </si>
  <si>
    <t>245,467.00</t>
  </si>
  <si>
    <t>75,353.00</t>
  </si>
  <si>
    <t>1,415,654.63</t>
  </si>
  <si>
    <t>399,960.00</t>
  </si>
  <si>
    <t>373,398.00</t>
  </si>
  <si>
    <t>408,000.00</t>
  </si>
  <si>
    <t>316,491.67</t>
  </si>
  <si>
    <t>246,000.00</t>
  </si>
  <si>
    <t>95,250.00</t>
  </si>
  <si>
    <t>284,380.00</t>
  </si>
  <si>
    <t>330,200.00</t>
  </si>
  <si>
    <t>369,195.10</t>
  </si>
  <si>
    <t>29,998.00</t>
  </si>
  <si>
    <t>118,855.00</t>
  </si>
  <si>
    <t>96,700.00</t>
  </si>
  <si>
    <t>77,810.00</t>
  </si>
  <si>
    <t>14,996,141.44</t>
  </si>
  <si>
    <t>3,960,000.00</t>
  </si>
  <si>
    <t>954,488.80</t>
  </si>
  <si>
    <t>67,135.00</t>
  </si>
  <si>
    <t>384,976.55</t>
  </si>
  <si>
    <t>98,520.00</t>
  </si>
  <si>
    <t>447,400.00</t>
  </si>
  <si>
    <t>36,250.00</t>
  </si>
  <si>
    <t>137,000.00</t>
  </si>
  <si>
    <t>135,260.00</t>
  </si>
  <si>
    <t>64,800.00</t>
  </si>
  <si>
    <t>374,112.45</t>
  </si>
  <si>
    <t>299,992.94</t>
  </si>
  <si>
    <t>67,950.00</t>
  </si>
  <si>
    <t>1,482,178.00</t>
  </si>
  <si>
    <t>73,676.25</t>
  </si>
  <si>
    <t>139,650.00</t>
  </si>
  <si>
    <t>1,230,000.00</t>
  </si>
  <si>
    <t>132,913.47</t>
  </si>
  <si>
    <t>161,990.00</t>
  </si>
  <si>
    <t>78,500.00</t>
  </si>
  <si>
    <t>74,920.00</t>
  </si>
  <si>
    <t>3,162,186.00</t>
  </si>
  <si>
    <t>100,850.00</t>
  </si>
  <si>
    <t>620,031.00</t>
  </si>
  <si>
    <t>93,731.00</t>
  </si>
  <si>
    <t>276,706.50</t>
  </si>
  <si>
    <t>864,300.70</t>
  </si>
  <si>
    <t>282,389.00</t>
  </si>
  <si>
    <t>54,690.00</t>
  </si>
  <si>
    <t>20,950.00</t>
  </si>
  <si>
    <t>82,100.00</t>
  </si>
  <si>
    <t>183,568.00</t>
  </si>
  <si>
    <t>112,290.00</t>
  </si>
  <si>
    <t>911,346.26</t>
  </si>
  <si>
    <t>503,224.00</t>
  </si>
  <si>
    <t>957,104.53</t>
  </si>
  <si>
    <t>724,228.00</t>
  </si>
  <si>
    <t>199,150.00</t>
  </si>
  <si>
    <t>131,000.00</t>
  </si>
  <si>
    <t>2,031,385.25</t>
  </si>
  <si>
    <t>61,300.00</t>
  </si>
  <si>
    <t>97,937.98</t>
  </si>
  <si>
    <t>99,880.00</t>
  </si>
  <si>
    <t>150,165.00</t>
  </si>
  <si>
    <t>144,832.80</t>
  </si>
  <si>
    <t>999,941.70</t>
  </si>
  <si>
    <t>61,600.00</t>
  </si>
  <si>
    <t>59,999.00</t>
  </si>
  <si>
    <t>223,870.88</t>
  </si>
  <si>
    <t>250,280.00</t>
  </si>
  <si>
    <t>190,450.00</t>
  </si>
  <si>
    <t>80,099.00</t>
  </si>
  <si>
    <t>50,001.00</t>
  </si>
  <si>
    <t>73,900.00</t>
  </si>
  <si>
    <t>58,608.80</t>
  </si>
  <si>
    <t>375,030.00</t>
  </si>
  <si>
    <t>2,499,999.34</t>
  </si>
  <si>
    <t>198,110.00</t>
  </si>
  <si>
    <t>1,009,129.00</t>
  </si>
  <si>
    <t>536,910.00</t>
  </si>
  <si>
    <t>449,999.99</t>
  </si>
  <si>
    <t>228,425.30</t>
  </si>
  <si>
    <t>62,100.00</t>
  </si>
  <si>
    <t>72,667.00</t>
  </si>
  <si>
    <t>76,525.00</t>
  </si>
  <si>
    <t>26,000,000.00</t>
  </si>
  <si>
    <t>124,376.00</t>
  </si>
  <si>
    <t>56,914.00</t>
  </si>
  <si>
    <t>24,245.00</t>
  </si>
  <si>
    <t>84,940.00</t>
  </si>
  <si>
    <t>251,355.00</t>
  </si>
  <si>
    <t>123,372.00</t>
  </si>
  <si>
    <t>148,700.00</t>
  </si>
  <si>
    <t>275,337.95</t>
  </si>
  <si>
    <t>199,960.00</t>
  </si>
  <si>
    <t>83,100.00</t>
  </si>
  <si>
    <t>2,499,660.00</t>
  </si>
  <si>
    <t>2,448,580.00</t>
  </si>
  <si>
    <t>188,335.75</t>
  </si>
  <si>
    <t>118,350.00</t>
  </si>
  <si>
    <t>117,480.00</t>
  </si>
  <si>
    <t>983,400.00</t>
  </si>
  <si>
    <t>199,800.00</t>
  </si>
  <si>
    <t>69,360.00</t>
  </si>
  <si>
    <t>118,840.00</t>
  </si>
  <si>
    <t>90,140.00</t>
  </si>
  <si>
    <t>5,525.00</t>
  </si>
  <si>
    <t>499,800.00</t>
  </si>
  <si>
    <t>714,000.00</t>
  </si>
  <si>
    <t>138,669.00</t>
  </si>
  <si>
    <t>55,580.00</t>
  </si>
  <si>
    <t>799,816.00</t>
  </si>
  <si>
    <t>56,640.00</t>
  </si>
  <si>
    <t>72,300.00</t>
  </si>
  <si>
    <t>138,752.00</t>
  </si>
  <si>
    <t>12,000.01</t>
  </si>
  <si>
    <t>775,810.00</t>
  </si>
  <si>
    <t>11,563,551.75</t>
  </si>
  <si>
    <t>93,200.00</t>
  </si>
  <si>
    <t>68,908.00</t>
  </si>
  <si>
    <t>282,240.00</t>
  </si>
  <si>
    <t>115,300.00</t>
  </si>
  <si>
    <t>798,575.00</t>
  </si>
  <si>
    <t>109,875.00</t>
  </si>
  <si>
    <t>123,247.00</t>
  </si>
  <si>
    <t>545,500.00</t>
  </si>
  <si>
    <t>384,875.20</t>
  </si>
  <si>
    <t>960,055.00</t>
  </si>
  <si>
    <t>150,150.00</t>
  </si>
  <si>
    <t>8,907,708.21</t>
  </si>
  <si>
    <t>113,370.00</t>
  </si>
  <si>
    <t>417,500.00</t>
  </si>
  <si>
    <t>95,500.00</t>
  </si>
  <si>
    <t>90,312.50</t>
  </si>
  <si>
    <t>658,031.00</t>
  </si>
  <si>
    <t>350,750.00</t>
  </si>
  <si>
    <t>576,700.00</t>
  </si>
  <si>
    <t>617,000.00</t>
  </si>
  <si>
    <t>68,500.00</t>
  </si>
  <si>
    <t>430,000.00</t>
  </si>
  <si>
    <t>68,880.00</t>
  </si>
  <si>
    <t>425,000.00</t>
  </si>
  <si>
    <t>799,994.14</t>
  </si>
  <si>
    <t>299,999.85</t>
  </si>
  <si>
    <t>119,250.00</t>
  </si>
  <si>
    <t>165,706.28</t>
  </si>
  <si>
    <t>1,499,997.84</t>
  </si>
  <si>
    <t>160,500.00</t>
  </si>
  <si>
    <t>133,040.00</t>
  </si>
  <si>
    <t>240,300.00</t>
  </si>
  <si>
    <t>75,500.00</t>
  </si>
  <si>
    <t>231,251.60</t>
  </si>
  <si>
    <t>84,232.50</t>
  </si>
  <si>
    <t>116,864.00</t>
  </si>
  <si>
    <t>186,100.00</t>
  </si>
  <si>
    <t>72,565.63</t>
  </si>
  <si>
    <t>163,536.00</t>
  </si>
  <si>
    <t>106,450.00</t>
  </si>
  <si>
    <t>178,150.00</t>
  </si>
  <si>
    <t>12,000,000.00</t>
  </si>
  <si>
    <t>314,792.41</t>
  </si>
  <si>
    <t>77,200.00</t>
  </si>
  <si>
    <t>151,400.00</t>
  </si>
  <si>
    <t>124,308.80</t>
  </si>
  <si>
    <t>80,240.00</t>
  </si>
  <si>
    <t>131,376.00</t>
  </si>
  <si>
    <t>326,400.00</t>
  </si>
  <si>
    <t>264,800.00</t>
  </si>
  <si>
    <t>95,098.00</t>
  </si>
  <si>
    <t>86,500.00</t>
  </si>
  <si>
    <t>78,600.00</t>
  </si>
  <si>
    <t>1,104,884.88</t>
  </si>
  <si>
    <t>118,529.00</t>
  </si>
  <si>
    <t>644,824.00</t>
  </si>
  <si>
    <t>72,950.00</t>
  </si>
  <si>
    <t>72,383.90</t>
  </si>
  <si>
    <t>253,935.00</t>
  </si>
  <si>
    <t>121,095.00</t>
  </si>
  <si>
    <t>567,964.80</t>
  </si>
  <si>
    <t>327,167.00</t>
  </si>
  <si>
    <t>183,500.00</t>
  </si>
  <si>
    <t>137,495.00</t>
  </si>
  <si>
    <t>139,626.90</t>
  </si>
  <si>
    <t>372,173.03</t>
  </si>
  <si>
    <t>269,321.84</t>
  </si>
  <si>
    <t>144,200.00</t>
  </si>
  <si>
    <t>249,994.66</t>
  </si>
  <si>
    <t>78,543.50</t>
  </si>
  <si>
    <t>178,430.00</t>
  </si>
  <si>
    <t>93,000.00</t>
  </si>
  <si>
    <t>59,287.50</t>
  </si>
  <si>
    <t>451,035.00</t>
  </si>
  <si>
    <t>221,650.00</t>
  </si>
  <si>
    <t>467,080.00</t>
  </si>
  <si>
    <t>87,336.00</t>
  </si>
  <si>
    <t>59,850.00</t>
  </si>
  <si>
    <t>2,726,971.20</t>
  </si>
  <si>
    <t>112,220.00</t>
  </si>
  <si>
    <t>220,254.64</t>
  </si>
  <si>
    <t>52,139.00</t>
  </si>
  <si>
    <t>51,152.00</t>
  </si>
  <si>
    <t>81,800.00</t>
  </si>
  <si>
    <t>356,255.00</t>
  </si>
  <si>
    <t>122,025.00</t>
  </si>
  <si>
    <t>26,780.00</t>
  </si>
  <si>
    <t>249,446.40</t>
  </si>
  <si>
    <t>99,975.00</t>
  </si>
  <si>
    <t>7,800.00</t>
  </si>
  <si>
    <t>98,500.00</t>
  </si>
  <si>
    <t>140,600.00</t>
  </si>
  <si>
    <t>54,810.00</t>
  </si>
  <si>
    <t>499,720.00</t>
  </si>
  <si>
    <t>50,560.00</t>
  </si>
  <si>
    <t>31,440.00</t>
  </si>
  <si>
    <t>1,999,886.44</t>
  </si>
  <si>
    <t>61,590.00</t>
  </si>
  <si>
    <t>55,582.00</t>
  </si>
  <si>
    <t>59,531.00</t>
  </si>
  <si>
    <t>3,300.00</t>
  </si>
  <si>
    <t>99,750.00</t>
  </si>
  <si>
    <t>108,750.00</t>
  </si>
  <si>
    <t>76,681.84</t>
  </si>
  <si>
    <t>592,027.45</t>
  </si>
  <si>
    <t>19,600.00</t>
  </si>
  <si>
    <t>285,200.00</t>
  </si>
  <si>
    <t>165,850.00</t>
  </si>
  <si>
    <t>238,998.00</t>
  </si>
  <si>
    <t>107,750.00</t>
  </si>
  <si>
    <t>24,200.00</t>
  </si>
  <si>
    <t>237,000.00</t>
  </si>
  <si>
    <t>63,797.40</t>
  </si>
  <si>
    <t>800,400.00</t>
  </si>
  <si>
    <t>104,600.00</t>
  </si>
  <si>
    <t>101,800.00</t>
  </si>
  <si>
    <t>190,725.00</t>
  </si>
  <si>
    <t>97,012.30</t>
  </si>
  <si>
    <t>24,400.00</t>
  </si>
  <si>
    <t>462,000.00</t>
  </si>
  <si>
    <t>459,000.00</t>
  </si>
  <si>
    <t>218,810.00</t>
  </si>
  <si>
    <t>479,766.00</t>
  </si>
  <si>
    <t>119,700.00</t>
  </si>
  <si>
    <t>269,249.67</t>
  </si>
  <si>
    <t>211,350.00</t>
  </si>
  <si>
    <t>54,500.00</t>
  </si>
  <si>
    <t>288,640.00</t>
  </si>
  <si>
    <t>65,996.00</t>
  </si>
  <si>
    <t>408,240.00</t>
  </si>
  <si>
    <t>198,520.00</t>
  </si>
  <si>
    <t>377,050.00</t>
  </si>
  <si>
    <t>152,945.00</t>
  </si>
  <si>
    <t>129,700.00</t>
  </si>
  <si>
    <t>349,388.39</t>
  </si>
  <si>
    <t>99,975,609.96</t>
  </si>
  <si>
    <t>63,486.49</t>
  </si>
  <si>
    <t>87,106.00</t>
  </si>
  <si>
    <t>61,650.00</t>
  </si>
  <si>
    <t>591,400.00</t>
  </si>
  <si>
    <t>133,800.00</t>
  </si>
  <si>
    <t>20,700.00</t>
  </si>
  <si>
    <t>394,218.33</t>
  </si>
  <si>
    <t>240,985.00</t>
  </si>
  <si>
    <t>73,960.00</t>
  </si>
  <si>
    <t>179,000.00</t>
  </si>
  <si>
    <t>218,850.00</t>
  </si>
  <si>
    <t>49,500.00</t>
  </si>
  <si>
    <t>361,900.00</t>
  </si>
  <si>
    <t>504,184.31</t>
  </si>
  <si>
    <t>494,908.17</t>
  </si>
  <si>
    <t>27,500.00</t>
  </si>
  <si>
    <t>184,748.00</t>
  </si>
  <si>
    <t>979,000.00</t>
  </si>
  <si>
    <t>73,600.00</t>
  </si>
  <si>
    <t>19,850.00</t>
  </si>
  <si>
    <t>50,360.00</t>
  </si>
  <si>
    <t>32,510.00</t>
  </si>
  <si>
    <t>1,251,423.00</t>
  </si>
  <si>
    <t>127,331.00</t>
  </si>
  <si>
    <t>99,965.00</t>
  </si>
  <si>
    <t>193,890.00</t>
  </si>
  <si>
    <t>47,742.80</t>
  </si>
  <si>
    <t>45,300.00</t>
  </si>
  <si>
    <t>99,972.00</t>
  </si>
  <si>
    <t>80,565.00</t>
  </si>
  <si>
    <t>154,178.64</t>
  </si>
  <si>
    <t>85,280.00</t>
  </si>
  <si>
    <t>59,200.00</t>
  </si>
  <si>
    <t>68,266.75</t>
  </si>
  <si>
    <t>789,852.00</t>
  </si>
  <si>
    <t>3,874,896.42</t>
  </si>
  <si>
    <t>77,100.00</t>
  </si>
  <si>
    <t>430,714.84</t>
  </si>
  <si>
    <t>107,024.00</t>
  </si>
  <si>
    <t>130,250.00</t>
  </si>
  <si>
    <t>925,000.00</t>
  </si>
  <si>
    <t>232,715.00</t>
  </si>
  <si>
    <t>86,550.00</t>
  </si>
  <si>
    <t>94,755.00</t>
  </si>
  <si>
    <t>6,122.50</t>
  </si>
  <si>
    <t>8,920.00</t>
  </si>
  <si>
    <t>634,792.60</t>
  </si>
  <si>
    <t>109,603.00</t>
  </si>
  <si>
    <t>1,921,752.00</t>
  </si>
  <si>
    <t>343,980.00</t>
  </si>
  <si>
    <t>61,410.00</t>
  </si>
  <si>
    <t>71,250.00</t>
  </si>
  <si>
    <t>177,500.00</t>
  </si>
  <si>
    <t>26,180.00</t>
  </si>
  <si>
    <t>987,895.00</t>
  </si>
  <si>
    <t>275,910.00</t>
  </si>
  <si>
    <t>221,690.00</t>
  </si>
  <si>
    <t>494,000.00</t>
  </si>
  <si>
    <t>792,518.00</t>
  </si>
  <si>
    <t>94,038.00</t>
  </si>
  <si>
    <t>16,300.00</t>
  </si>
  <si>
    <t>79,785.00</t>
  </si>
  <si>
    <t>149,569.65</t>
  </si>
  <si>
    <t>145,384.00</t>
  </si>
  <si>
    <t>11,940,000.00</t>
  </si>
  <si>
    <t>17,750.00</t>
  </si>
  <si>
    <t>778,000.00</t>
  </si>
  <si>
    <t>699,773.11</t>
  </si>
  <si>
    <t>991,750.00</t>
  </si>
  <si>
    <t>110,600.00</t>
  </si>
  <si>
    <t>98,700.00</t>
  </si>
  <si>
    <t>816,000.00</t>
  </si>
  <si>
    <t>344,500.00</t>
  </si>
  <si>
    <t>3,886,000.00</t>
  </si>
  <si>
    <t>316,997.00</t>
  </si>
  <si>
    <t>100,830.24</t>
  </si>
  <si>
    <t>169,345.00</t>
  </si>
  <si>
    <t>75,680.00</t>
  </si>
  <si>
    <t>60,368.60</t>
  </si>
  <si>
    <t>585,000.00</t>
  </si>
  <si>
    <t>412,620.00</t>
  </si>
  <si>
    <t>196,900.00</t>
  </si>
  <si>
    <t>86,099.69</t>
  </si>
  <si>
    <t>139,760.00</t>
  </si>
  <si>
    <t>999,826.03</t>
  </si>
  <si>
    <t>166,880.00</t>
  </si>
  <si>
    <t>499,992.36</t>
  </si>
  <si>
    <t>999,982.13</t>
  </si>
  <si>
    <t>195,369.00</t>
  </si>
  <si>
    <t>536,307.90</t>
  </si>
  <si>
    <t>139,923.15</t>
  </si>
  <si>
    <t>49,949,088.00</t>
  </si>
  <si>
    <t>2,449,962.14</t>
  </si>
  <si>
    <t>58,800.00</t>
  </si>
  <si>
    <t>665,216.00</t>
  </si>
  <si>
    <t>60,128.00</t>
  </si>
  <si>
    <t>1,418.00</t>
  </si>
  <si>
    <t>12,573,536.00</t>
  </si>
  <si>
    <t>250,500.00</t>
  </si>
  <si>
    <t>497,880.00</t>
  </si>
  <si>
    <t>318,776.09</t>
  </si>
  <si>
    <t>1,526,000.00</t>
  </si>
  <si>
    <t>2,625,437.00</t>
  </si>
  <si>
    <t>46,368.00</t>
  </si>
  <si>
    <t>178,145.55</t>
  </si>
  <si>
    <t>142,500.00</t>
  </si>
  <si>
    <t>4,349,529.46</t>
  </si>
  <si>
    <t>316,000.00</t>
  </si>
  <si>
    <t>52,371.00</t>
  </si>
  <si>
    <t>14,999.00</t>
  </si>
  <si>
    <t>143,000.00</t>
  </si>
  <si>
    <t>3,700.00</t>
  </si>
  <si>
    <t>287,423.00</t>
  </si>
  <si>
    <t>70,954.00</t>
  </si>
  <si>
    <t>66,600.00</t>
  </si>
  <si>
    <t>55,887.50</t>
  </si>
  <si>
    <t>142,547.29</t>
  </si>
  <si>
    <t>9,600.00</t>
  </si>
  <si>
    <t>980,392.00</t>
  </si>
  <si>
    <t>178,213.04</t>
  </si>
  <si>
    <t>1,078,000.00</t>
  </si>
  <si>
    <t>1,187,500.00</t>
  </si>
  <si>
    <t>90,015.00</t>
  </si>
  <si>
    <t>64,775.00</t>
  </si>
  <si>
    <t>186,312.50</t>
  </si>
  <si>
    <t>811,590.00</t>
  </si>
  <si>
    <t>223,446.64</t>
  </si>
  <si>
    <t>60,992.00</t>
  </si>
  <si>
    <t>130,240.00</t>
  </si>
  <si>
    <t>1,963,966.27</t>
  </si>
  <si>
    <t>99,811.70</t>
  </si>
  <si>
    <t>2,100,000.00</t>
  </si>
  <si>
    <t>345,455.00</t>
  </si>
  <si>
    <t>42,000.00</t>
  </si>
  <si>
    <t>279,945.00</t>
  </si>
  <si>
    <t>88,748.00</t>
  </si>
  <si>
    <t>950,380.00</t>
  </si>
  <si>
    <t>206,653.00</t>
  </si>
  <si>
    <t>4,800.00</t>
  </si>
  <si>
    <t>229,000.00</t>
  </si>
  <si>
    <t>284,600.00</t>
  </si>
  <si>
    <t>614,773.12</t>
  </si>
  <si>
    <t>403,200.00</t>
  </si>
  <si>
    <t>975,390.00</t>
  </si>
  <si>
    <t>113,910.00</t>
  </si>
  <si>
    <t>57,866.11</t>
  </si>
  <si>
    <t>68,250.00</t>
  </si>
  <si>
    <t>887,040.00</t>
  </si>
  <si>
    <t>596,200.00</t>
  </si>
  <si>
    <t>321,000.00</t>
  </si>
  <si>
    <t>778,568.25</t>
  </si>
  <si>
    <t>175,696.00</t>
  </si>
  <si>
    <t>66,100.00</t>
  </si>
  <si>
    <t>1,223,050.00</t>
  </si>
  <si>
    <t>209,725.89</t>
  </si>
  <si>
    <t>129,371.00</t>
  </si>
  <si>
    <t>13,650.00</t>
  </si>
  <si>
    <t>292,995.00</t>
  </si>
  <si>
    <t>217,633.37</t>
  </si>
  <si>
    <t>81,900.00</t>
  </si>
  <si>
    <t>90,720.00</t>
  </si>
  <si>
    <t>403,312.00</t>
  </si>
  <si>
    <t>299,714.00</t>
  </si>
  <si>
    <t>127,500.00</t>
  </si>
  <si>
    <t>134,085.00</t>
  </si>
  <si>
    <t>158,160.00</t>
  </si>
  <si>
    <t>310,300.00</t>
  </si>
  <si>
    <t>969,138.00</t>
  </si>
  <si>
    <t>495,073.55</t>
  </si>
  <si>
    <t>94,093.00</t>
  </si>
  <si>
    <t>962,885.00</t>
  </si>
  <si>
    <t>2,020,000.00</t>
  </si>
  <si>
    <t>60,397.50</t>
  </si>
  <si>
    <t>81,628.05</t>
  </si>
  <si>
    <t>195,280.00</t>
  </si>
  <si>
    <t>46,000.00</t>
  </si>
  <si>
    <t>2,000.00</t>
  </si>
  <si>
    <t>97,200.00</t>
  </si>
  <si>
    <t>22,400.00</t>
  </si>
  <si>
    <t>199,997.00</t>
  </si>
  <si>
    <t>1,160.00</t>
  </si>
  <si>
    <t>209,765.00</t>
  </si>
  <si>
    <t>654,113.00</t>
  </si>
  <si>
    <t>17,019,992.00</t>
  </si>
  <si>
    <t>21,125.00</t>
  </si>
  <si>
    <t>201,400.00</t>
  </si>
  <si>
    <t>59,034.00</t>
  </si>
  <si>
    <t>1,499,651.48</t>
  </si>
  <si>
    <t>64,720.00</t>
  </si>
  <si>
    <t>67,000.00</t>
  </si>
  <si>
    <t>16,875.00</t>
  </si>
  <si>
    <t>131,183.00</t>
  </si>
  <si>
    <t>875,350.00</t>
  </si>
  <si>
    <t>154,440.00</t>
  </si>
  <si>
    <t>54,323.00</t>
  </si>
  <si>
    <t>142,630.00</t>
  </si>
  <si>
    <t>62,200.00</t>
  </si>
  <si>
    <t>151,000.00</t>
  </si>
  <si>
    <t>687,500.00</t>
  </si>
  <si>
    <t>5,865.00</t>
  </si>
  <si>
    <t>195,877.70</t>
  </si>
  <si>
    <t>99,600.00</t>
  </si>
  <si>
    <t>740,552.00</t>
  </si>
  <si>
    <t>154,300.00</t>
  </si>
  <si>
    <t>173,980.00</t>
  </si>
  <si>
    <t>908,180.00</t>
  </si>
  <si>
    <t>409,280.00</t>
  </si>
  <si>
    <t>318,079.68</t>
  </si>
  <si>
    <t>141,009.00</t>
  </si>
  <si>
    <t>996,600.00</t>
  </si>
  <si>
    <t>259,501.91</t>
  </si>
  <si>
    <t>809,480.00</t>
  </si>
  <si>
    <t>541,500.00</t>
  </si>
  <si>
    <t>98,900.00</t>
  </si>
  <si>
    <t>351,120.00</t>
  </si>
  <si>
    <t>63,845.00</t>
  </si>
  <si>
    <t>7,300.00</t>
  </si>
  <si>
    <t>60,886.88</t>
  </si>
  <si>
    <t>5,880.00</t>
  </si>
  <si>
    <t>48,000.00</t>
  </si>
  <si>
    <t>127,700.00</t>
  </si>
  <si>
    <t>329,613.00</t>
  </si>
  <si>
    <t>766,541.88</t>
  </si>
  <si>
    <t>709,500.00</t>
  </si>
  <si>
    <t>80,280.00</t>
  </si>
  <si>
    <t>97,000.00</t>
  </si>
  <si>
    <t>997,970.00</t>
  </si>
  <si>
    <t>207,495.00</t>
  </si>
  <si>
    <t>2,187,000.00</t>
  </si>
  <si>
    <t>63,750.00</t>
  </si>
  <si>
    <t>166,231.00</t>
  </si>
  <si>
    <t>591,093.75</t>
  </si>
  <si>
    <t>130,994.00</t>
  </si>
  <si>
    <t>64,680.00</t>
  </si>
  <si>
    <t>98,392.00</t>
  </si>
  <si>
    <t>1,225,000.00</t>
  </si>
  <si>
    <t>301,800.00</t>
  </si>
  <si>
    <t>5,850,000.00</t>
  </si>
  <si>
    <t>852,500.00</t>
  </si>
  <si>
    <t>73,150.00</t>
  </si>
  <si>
    <t>259,250.00</t>
  </si>
  <si>
    <t>107,299.50</t>
  </si>
  <si>
    <t>471,930.00</t>
  </si>
  <si>
    <t>390,500.00</t>
  </si>
  <si>
    <t>74,990.00</t>
  </si>
  <si>
    <t>53,725.00</t>
  </si>
  <si>
    <t>150,070.00</t>
  </si>
  <si>
    <t>394,250.00</t>
  </si>
  <si>
    <t>86,430.00</t>
  </si>
  <si>
    <t>998,000.00</t>
  </si>
  <si>
    <t>93,300.00</t>
  </si>
  <si>
    <t>143,913.00</t>
  </si>
  <si>
    <t>115,975.00</t>
  </si>
  <si>
    <t>340,207.00</t>
  </si>
  <si>
    <t>7,060.00</t>
  </si>
  <si>
    <t>1,212,500.00</t>
  </si>
  <si>
    <t>533,575.00</t>
  </si>
  <si>
    <t>113,070.00</t>
  </si>
  <si>
    <t>66,525.00</t>
  </si>
  <si>
    <t>62,930.00</t>
  </si>
  <si>
    <t>12,437,500.00</t>
  </si>
  <si>
    <t>1,750.00</t>
  </si>
  <si>
    <t>175,500.00</t>
  </si>
  <si>
    <t>281,960.00</t>
  </si>
  <si>
    <t>247,850.00</t>
  </si>
  <si>
    <t>965,900.00</t>
  </si>
  <si>
    <t>68,050.00</t>
  </si>
  <si>
    <t>670,000.00</t>
  </si>
  <si>
    <t>76,500.00</t>
  </si>
  <si>
    <t>145,309.21</t>
  </si>
  <si>
    <t>303,700.00</t>
  </si>
  <si>
    <t>102,100.00</t>
  </si>
  <si>
    <t>59,500.00</t>
  </si>
  <si>
    <t>146,850,000.00</t>
  </si>
  <si>
    <t>37,742.80</t>
  </si>
  <si>
    <t>90,665.00</t>
  </si>
  <si>
    <t>407,550.00</t>
  </si>
  <si>
    <t>57,800.00</t>
  </si>
  <si>
    <t>160,334.00</t>
  </si>
  <si>
    <t>200,150.00</t>
  </si>
  <si>
    <t>440,330.00</t>
  </si>
  <si>
    <t>4,975,000.00</t>
  </si>
  <si>
    <t>950,979.00</t>
  </si>
  <si>
    <t>520,300.00</t>
  </si>
  <si>
    <t>56,440.00</t>
  </si>
  <si>
    <t>69,300.00</t>
  </si>
  <si>
    <t>51,380.00</t>
  </si>
  <si>
    <t>965,375.14</t>
  </si>
  <si>
    <t>353,864.00</t>
  </si>
  <si>
    <t>299,971.88</t>
  </si>
  <si>
    <t>9,950,000.00</t>
  </si>
  <si>
    <t>99,990.00</t>
  </si>
  <si>
    <t>184,547.00</t>
  </si>
  <si>
    <t>553,160.00</t>
  </si>
  <si>
    <t>245,021.43</t>
  </si>
  <si>
    <t>13,500.00</t>
  </si>
  <si>
    <t>878,209.00</t>
  </si>
  <si>
    <t>84,898.00</t>
  </si>
  <si>
    <t>66,995.00</t>
  </si>
  <si>
    <t>172,500.00</t>
  </si>
  <si>
    <t>6,000.00</t>
  </si>
  <si>
    <t>119,810.00</t>
  </si>
  <si>
    <t>75,375.00</t>
  </si>
  <si>
    <t>179,540.00</t>
  </si>
  <si>
    <t>130,500.00</t>
  </si>
  <si>
    <t>65,290.00</t>
  </si>
  <si>
    <t>113,087.00</t>
  </si>
  <si>
    <t>124,565.00</t>
  </si>
  <si>
    <t>154,435.00</t>
  </si>
  <si>
    <t>103,860.00</t>
  </si>
  <si>
    <t>75,688.00</t>
  </si>
  <si>
    <t>56,940.00</t>
  </si>
  <si>
    <t>641,000.00</t>
  </si>
  <si>
    <t>467,261.76</t>
  </si>
  <si>
    <t>124,176.25</t>
  </si>
  <si>
    <t>11,960.00</t>
  </si>
  <si>
    <t>28,800.00</t>
  </si>
  <si>
    <t>65,532.00</t>
  </si>
  <si>
    <t>145,258.54</t>
  </si>
  <si>
    <t>416,000.00</t>
  </si>
  <si>
    <t>56,080.00</t>
  </si>
  <si>
    <t>59,625.00</t>
  </si>
  <si>
    <t>89,586.00</t>
  </si>
  <si>
    <t>993,940.00</t>
  </si>
  <si>
    <t>29,600,000.00</t>
  </si>
  <si>
    <t>133,796.50</t>
  </si>
  <si>
    <t>257,922.00</t>
  </si>
  <si>
    <t>84,640.00</t>
  </si>
  <si>
    <t>159,500.00</t>
  </si>
  <si>
    <t>69,050.00</t>
  </si>
  <si>
    <t>116,800.00</t>
  </si>
  <si>
    <t>933,911.00</t>
  </si>
  <si>
    <t>995,570.00</t>
  </si>
  <si>
    <t>199,295.00</t>
  </si>
  <si>
    <t>62,575.00</t>
  </si>
  <si>
    <t>108,600.00</t>
  </si>
  <si>
    <t>63,400.00</t>
  </si>
  <si>
    <t>163,300.00</t>
  </si>
  <si>
    <t>433,000.00</t>
  </si>
  <si>
    <t>1,922,201.02</t>
  </si>
  <si>
    <t>133,440.00</t>
  </si>
  <si>
    <t>237,261.00</t>
  </si>
  <si>
    <t>86,400.00</t>
  </si>
  <si>
    <t>70,600.00</t>
  </si>
  <si>
    <t>115,745.00</t>
  </si>
  <si>
    <t>67,190.00</t>
  </si>
  <si>
    <t>693,445.00</t>
  </si>
  <si>
    <t>284,800.00</t>
  </si>
  <si>
    <t>105,606.00</t>
  </si>
  <si>
    <t>53,327.68</t>
  </si>
  <si>
    <t>2,600.00</t>
  </si>
  <si>
    <t>46,500.00</t>
  </si>
  <si>
    <t>50,314.92</t>
  </si>
  <si>
    <t>749,987.00</t>
  </si>
  <si>
    <t>55,750.00</t>
  </si>
  <si>
    <t>352,250.00</t>
  </si>
  <si>
    <t>117,600.00</t>
  </si>
  <si>
    <t>2,688,000.00</t>
  </si>
  <si>
    <t>131,300.00</t>
  </si>
  <si>
    <t>1,417,970.00</t>
  </si>
  <si>
    <t>878,568.00</t>
  </si>
  <si>
    <t>4,000,000.00</t>
  </si>
  <si>
    <t>89,491.34</t>
  </si>
  <si>
    <t>60,400.00</t>
  </si>
  <si>
    <t>322,987.00</t>
  </si>
  <si>
    <t>99,899.62</t>
  </si>
  <si>
    <t>199,500.00</t>
  </si>
  <si>
    <t>489,900.00</t>
  </si>
  <si>
    <t>4,100,902.00</t>
  </si>
  <si>
    <t>418,210.00</t>
  </si>
  <si>
    <t>274,600.00</t>
  </si>
  <si>
    <t>98,595.00</t>
  </si>
  <si>
    <t>2,199,200.00</t>
  </si>
  <si>
    <t>281,790.00</t>
  </si>
  <si>
    <t>15,540.00</t>
  </si>
  <si>
    <t>492,962.00</t>
  </si>
  <si>
    <t>57,109.48</t>
  </si>
  <si>
    <t>208,080.00</t>
  </si>
  <si>
    <t>67,525.00</t>
  </si>
  <si>
    <t>207,600.00</t>
  </si>
  <si>
    <t>97,854.00</t>
  </si>
  <si>
    <t>576,576.00</t>
  </si>
  <si>
    <t>153,099.00</t>
  </si>
  <si>
    <t>214,180.00</t>
  </si>
  <si>
    <t>69,600.00</t>
  </si>
  <si>
    <t>218,500.00</t>
  </si>
  <si>
    <t>425,247.50</t>
  </si>
  <si>
    <t>198,470.00</t>
  </si>
  <si>
    <t>504,283.00</t>
  </si>
  <si>
    <t>404,012.20</t>
  </si>
  <si>
    <t>992,343.00</t>
  </si>
  <si>
    <t>166,510.00</t>
  </si>
  <si>
    <t>223,300.00</t>
  </si>
  <si>
    <t>61,500.00</t>
  </si>
  <si>
    <t>98,600.00</t>
  </si>
  <si>
    <t>19,334.50</t>
  </si>
  <si>
    <t>69,920.50</t>
  </si>
  <si>
    <t>460,474.31</t>
  </si>
  <si>
    <t>136,311.00</t>
  </si>
  <si>
    <t>197,800.00</t>
  </si>
  <si>
    <t>858,000.00</t>
  </si>
  <si>
    <t>78,399.00</t>
  </si>
  <si>
    <t>5,952,020.00</t>
  </si>
  <si>
    <t>199,959.00</t>
  </si>
  <si>
    <t>81,600.00</t>
  </si>
  <si>
    <t>51,785.29</t>
  </si>
  <si>
    <t>1,042,845.00</t>
  </si>
  <si>
    <t>79,250.00</t>
  </si>
  <si>
    <t>289,630.55</t>
  </si>
  <si>
    <t>136,143.00</t>
  </si>
  <si>
    <t>88,800.00</t>
  </si>
  <si>
    <t>115,461.55</t>
  </si>
  <si>
    <t>387,717.60</t>
  </si>
  <si>
    <t>553,750.00</t>
  </si>
  <si>
    <t>59,450.00</t>
  </si>
  <si>
    <t>212,745.00</t>
  </si>
  <si>
    <t>68,200.00</t>
  </si>
  <si>
    <t>100,250.00</t>
  </si>
  <si>
    <t>1,057,100.00</t>
  </si>
  <si>
    <t>54,900.00</t>
  </si>
  <si>
    <t>520,000.00</t>
  </si>
  <si>
    <t>31,000,000.00</t>
  </si>
  <si>
    <t>165,502.00</t>
  </si>
  <si>
    <t>97,980.00</t>
  </si>
  <si>
    <t>543,166.41</t>
  </si>
  <si>
    <t>340,957.50</t>
  </si>
  <si>
    <t>157,720.00</t>
  </si>
  <si>
    <t>9,900.00</t>
  </si>
  <si>
    <t>1,560,000.00</t>
  </si>
  <si>
    <t>812,080.00</t>
  </si>
  <si>
    <t>389,870.00</t>
  </si>
  <si>
    <t>3,800.00</t>
  </si>
  <si>
    <t>188,363.00</t>
  </si>
  <si>
    <t>448,066.00</t>
  </si>
  <si>
    <t>864,925.20</t>
  </si>
  <si>
    <t>69,380.00</t>
  </si>
  <si>
    <t>290,297.00</t>
  </si>
  <si>
    <t>252,125.00</t>
  </si>
  <si>
    <t>606,046.09</t>
  </si>
  <si>
    <t>205,240.00</t>
  </si>
  <si>
    <t>505,372.00</t>
  </si>
  <si>
    <t>204,000.00</t>
  </si>
  <si>
    <t>1,497,396.51</t>
  </si>
  <si>
    <t>181,100.00</t>
  </si>
  <si>
    <t>530,500.00</t>
  </si>
  <si>
    <t>289,246.43</t>
  </si>
  <si>
    <t>144,419.00</t>
  </si>
  <si>
    <t>356,150.00</t>
  </si>
  <si>
    <t>78,520.00</t>
  </si>
  <si>
    <t>269,784.00</t>
  </si>
  <si>
    <t>261,000.00</t>
  </si>
  <si>
    <t>16,100.00</t>
  </si>
  <si>
    <t>557,985.30</t>
  </si>
  <si>
    <t>59,000.00</t>
  </si>
  <si>
    <t>73,905.00</t>
  </si>
  <si>
    <t>154,286.00</t>
  </si>
  <si>
    <t>695,420.00</t>
  </si>
  <si>
    <t>355,200.00</t>
  </si>
  <si>
    <t>593,130.00</t>
  </si>
  <si>
    <t>89,170.00</t>
  </si>
  <si>
    <t>1,710,000.00</t>
  </si>
  <si>
    <t>94,725.00</t>
  </si>
  <si>
    <t>83,920.00</t>
  </si>
  <si>
    <t>99,661.16</t>
  </si>
  <si>
    <t>199,875.00</t>
  </si>
  <si>
    <t>16,960.00</t>
  </si>
  <si>
    <t>79,400.00</t>
  </si>
  <si>
    <t>60,310.00</t>
  </si>
  <si>
    <t>100,550.00</t>
  </si>
  <si>
    <t>58,850.00</t>
  </si>
  <si>
    <t>663,000.00</t>
  </si>
  <si>
    <t>83,900.00</t>
  </si>
  <si>
    <t>191,160.00</t>
  </si>
  <si>
    <t>196,040.00</t>
  </si>
  <si>
    <t>60,492.00</t>
  </si>
  <si>
    <t>199,735.84</t>
  </si>
  <si>
    <t>823,124.00</t>
  </si>
  <si>
    <t>209,600.00</t>
  </si>
  <si>
    <t>199,143.70</t>
  </si>
  <si>
    <t>613,780.00</t>
  </si>
  <si>
    <t>103,000.00</t>
  </si>
  <si>
    <t>149,236.80</t>
  </si>
  <si>
    <t>107,030.00</t>
  </si>
  <si>
    <t>600,100.00</t>
  </si>
  <si>
    <t>1,554,121.55</t>
  </si>
  <si>
    <t>133,976.00</t>
  </si>
  <si>
    <t>88,060.00</t>
  </si>
  <si>
    <t>120,240.20</t>
  </si>
  <si>
    <t>262,575.00</t>
  </si>
  <si>
    <t>156,020.00</t>
  </si>
  <si>
    <t>1,010,500.00</t>
  </si>
  <si>
    <t>346,980.00</t>
  </si>
  <si>
    <t>868,370.00</t>
  </si>
  <si>
    <t>53,500.00</t>
  </si>
  <si>
    <t>889,200.00</t>
  </si>
  <si>
    <t>578,276.55</t>
  </si>
  <si>
    <t>69,580.00</t>
  </si>
  <si>
    <t>186,560.00</t>
  </si>
  <si>
    <t>98,563.00</t>
  </si>
  <si>
    <t>51,078.00</t>
  </si>
  <si>
    <t>999,652.00</t>
  </si>
  <si>
    <t>33,200.00</t>
  </si>
  <si>
    <t>76,053.60</t>
  </si>
  <si>
    <t>3,610,000.00</t>
  </si>
  <si>
    <t>126,845.00</t>
  </si>
  <si>
    <t>810,749.00</t>
  </si>
  <si>
    <t>198,440.00</t>
  </si>
  <si>
    <t>56,780.00</t>
  </si>
  <si>
    <t>51,603.00</t>
  </si>
  <si>
    <t>21,960.00</t>
  </si>
  <si>
    <t>255,650.00</t>
  </si>
  <si>
    <t>511,494.00</t>
  </si>
  <si>
    <t>953,861.16</t>
  </si>
  <si>
    <t>2,500.00</t>
  </si>
  <si>
    <t>446,800.00</t>
  </si>
  <si>
    <t>370,332.50</t>
  </si>
  <si>
    <t>66,038,400.00</t>
  </si>
  <si>
    <t>1,186,305.40</t>
  </si>
  <si>
    <t>2,610.00</t>
  </si>
  <si>
    <t>3,290.00</t>
  </si>
  <si>
    <t>52,143.00</t>
  </si>
  <si>
    <t>69,890.00</t>
  </si>
  <si>
    <t>611,335.00</t>
  </si>
  <si>
    <t>942,480.00</t>
  </si>
  <si>
    <t>78,750.00</t>
  </si>
  <si>
    <t>403,000.00</t>
  </si>
  <si>
    <t>999,985.00</t>
  </si>
  <si>
    <t>194,400.00</t>
  </si>
  <si>
    <t>9,172,049.00</t>
  </si>
  <si>
    <t>488,192.00</t>
  </si>
  <si>
    <t>477,000.00</t>
  </si>
  <si>
    <t>151,450.00</t>
  </si>
  <si>
    <t>299,630.00</t>
  </si>
  <si>
    <t>735,000.00</t>
  </si>
  <si>
    <t>75,650.00</t>
  </si>
  <si>
    <t>36,000.00</t>
  </si>
  <si>
    <t>126,012.50</t>
  </si>
  <si>
    <t>229,690.00</t>
  </si>
  <si>
    <t>2,629,320.00</t>
  </si>
  <si>
    <t>157,000.00</t>
  </si>
  <si>
    <t>248,000.00</t>
  </si>
  <si>
    <t>722,276.00</t>
  </si>
  <si>
    <t>1,648,148.00</t>
  </si>
  <si>
    <t>97,750.00</t>
  </si>
  <si>
    <t>9,946,500.00</t>
  </si>
  <si>
    <t>71,900.00</t>
  </si>
  <si>
    <t>142,800.00</t>
  </si>
  <si>
    <t>506,506.00</t>
  </si>
  <si>
    <t>499,969.63</t>
  </si>
  <si>
    <t>60,070.00</t>
  </si>
  <si>
    <t>476,540.00</t>
  </si>
  <si>
    <t>129,180.00</t>
  </si>
  <si>
    <t>996,511.43</t>
  </si>
  <si>
    <t>49,800.00</t>
  </si>
  <si>
    <t>71,550.00</t>
  </si>
  <si>
    <t>69,500.00</t>
  </si>
  <si>
    <t>90,750.00</t>
  </si>
  <si>
    <t>349,350.00</t>
  </si>
  <si>
    <t>202,800.00</t>
  </si>
  <si>
    <t>6,100.00</t>
  </si>
  <si>
    <t>77,800.00</t>
  </si>
  <si>
    <t>147,600.00</t>
  </si>
  <si>
    <t>277,925.00</t>
  </si>
  <si>
    <t>118,400.00</t>
  </si>
  <si>
    <t>88,292.00</t>
  </si>
  <si>
    <t>926,713.33</t>
  </si>
  <si>
    <t>84,781.00</t>
  </si>
  <si>
    <t>87,150.00</t>
  </si>
  <si>
    <t>47,900.00</t>
  </si>
  <si>
    <t>399,600.00</t>
  </si>
  <si>
    <t>310,739.78</t>
  </si>
  <si>
    <t>177,000.00</t>
  </si>
  <si>
    <t>156,000.00</t>
  </si>
  <si>
    <t>4,598.00</t>
  </si>
  <si>
    <t>56,437.50</t>
  </si>
  <si>
    <t>103,680.00</t>
  </si>
  <si>
    <t>65,854.46</t>
  </si>
  <si>
    <t>9,510.00</t>
  </si>
  <si>
    <t>3,210,510.00</t>
  </si>
  <si>
    <t>187,480.40</t>
  </si>
  <si>
    <t>1,374,848.00</t>
  </si>
  <si>
    <t>73,920.00</t>
  </si>
  <si>
    <t>119,340.00</t>
  </si>
  <si>
    <t>124,500.00</t>
  </si>
  <si>
    <t>51,300.00</t>
  </si>
  <si>
    <t>188,000.00</t>
  </si>
  <si>
    <t>7,914,000.00</t>
  </si>
  <si>
    <t>112,322.00</t>
  </si>
  <si>
    <t>112,000.00</t>
  </si>
  <si>
    <t>63,775.00</t>
  </si>
  <si>
    <t>269,500.00</t>
  </si>
  <si>
    <t>96,992.00</t>
  </si>
  <si>
    <t>259,000.00</t>
  </si>
  <si>
    <t>585,214.00</t>
  </si>
  <si>
    <t>560,045.00</t>
  </si>
  <si>
    <t>101,500.00</t>
  </si>
  <si>
    <t>61,960.00</t>
  </si>
  <si>
    <t>417,800.00</t>
  </si>
  <si>
    <t>166,167.00</t>
  </si>
  <si>
    <t>327,200.00</t>
  </si>
  <si>
    <t>110,985.00</t>
  </si>
  <si>
    <t>721,283.78</t>
  </si>
  <si>
    <t>711,610.00</t>
  </si>
  <si>
    <t>74,725.00</t>
  </si>
  <si>
    <t>42,749,500.00</t>
  </si>
  <si>
    <t>104,848.00</t>
  </si>
  <si>
    <t>236,480.00</t>
  </si>
  <si>
    <t>54,800.00</t>
  </si>
  <si>
    <t>417,120.00</t>
  </si>
  <si>
    <t>685,196.61</t>
  </si>
  <si>
    <t>13,750.00</t>
  </si>
  <si>
    <t>189,055.00</t>
  </si>
  <si>
    <t>34,106.00</t>
  </si>
  <si>
    <t>87,750.00</t>
  </si>
  <si>
    <t>69,104.25</t>
  </si>
  <si>
    <t>57,474.96</t>
  </si>
  <si>
    <t>238,950.00</t>
  </si>
  <si>
    <t>60,550.00</t>
  </si>
  <si>
    <t>57,259.54</t>
  </si>
  <si>
    <t>102,979.80</t>
  </si>
  <si>
    <t>285,750.00</t>
  </si>
  <si>
    <t>687,232.26</t>
  </si>
  <si>
    <t>106,200.00</t>
  </si>
  <si>
    <t>6,250.00</t>
  </si>
  <si>
    <t>114,617.25</t>
  </si>
  <si>
    <t>185,260.00</t>
  </si>
  <si>
    <t>3,689,125.00</t>
  </si>
  <si>
    <t>3,396,857.85</t>
  </si>
  <si>
    <t>654,925.40</t>
  </si>
  <si>
    <t>306,000.00</t>
  </si>
  <si>
    <t>318,000.00</t>
  </si>
  <si>
    <t>285,649.12</t>
  </si>
  <si>
    <t>7,849,984.99</t>
  </si>
  <si>
    <t>617,430.00</t>
  </si>
  <si>
    <t>276,370.00</t>
  </si>
  <si>
    <t>198,246.00</t>
  </si>
  <si>
    <t>445,500.00</t>
  </si>
  <si>
    <t>33,500.00</t>
  </si>
  <si>
    <t>95,850.70</t>
  </si>
  <si>
    <t>64,920.00</t>
  </si>
  <si>
    <t>57,348.00</t>
  </si>
  <si>
    <t>194,760.00</t>
  </si>
  <si>
    <t>52,080.00</t>
  </si>
  <si>
    <t>31,500.00</t>
  </si>
  <si>
    <t>454,574.72</t>
  </si>
  <si>
    <t>172,400.00</t>
  </si>
  <si>
    <t>150,125.00</t>
  </si>
  <si>
    <t>146,750.00</t>
  </si>
  <si>
    <t>96,500.00</t>
  </si>
  <si>
    <t>539,000.00</t>
  </si>
  <si>
    <t>1,425,000.00</t>
  </si>
  <si>
    <t>127,480.00</t>
  </si>
  <si>
    <t>7,519,000.00</t>
  </si>
  <si>
    <t>8,727,000.00</t>
  </si>
  <si>
    <t>3,974,829.60</t>
  </si>
  <si>
    <t>128,067.00</t>
  </si>
  <si>
    <t>44,000.00</t>
  </si>
  <si>
    <t>166,465.00</t>
  </si>
  <si>
    <t>66,691.31</t>
  </si>
  <si>
    <t>2,268,105.10</t>
  </si>
  <si>
    <t>90,713.14</t>
  </si>
  <si>
    <t>205,576.00</t>
  </si>
  <si>
    <t>91,366.00</t>
  </si>
  <si>
    <t>12,758,839.00</t>
  </si>
  <si>
    <t>79,474.00</t>
  </si>
  <si>
    <t>100,900.00</t>
  </si>
  <si>
    <t>40,250.00</t>
  </si>
  <si>
    <t>801,999.86</t>
  </si>
  <si>
    <t>465,000.00</t>
  </si>
  <si>
    <t>92,400.00</t>
  </si>
  <si>
    <t>2,982,000.00</t>
  </si>
  <si>
    <t>699,300.00</t>
  </si>
  <si>
    <t>983,340.00</t>
  </si>
  <si>
    <t>52,436.00</t>
  </si>
  <si>
    <t>71,346.00</t>
  </si>
  <si>
    <t>43,000.00</t>
  </si>
  <si>
    <t>2,502,000.00</t>
  </si>
  <si>
    <t>137,980.00</t>
  </si>
  <si>
    <t>143,600.00</t>
  </si>
  <si>
    <t>746,400.00</t>
  </si>
  <si>
    <t>24,990.00</t>
  </si>
  <si>
    <t>233,307.00</t>
  </si>
  <si>
    <t>118,750.00</t>
  </si>
  <si>
    <t>161,213.00</t>
  </si>
  <si>
    <t>199,920.00</t>
  </si>
  <si>
    <t>107,464.00</t>
  </si>
  <si>
    <t>22,500.00</t>
  </si>
  <si>
    <t>481,342.00</t>
  </si>
  <si>
    <t>62,975.50</t>
  </si>
  <si>
    <t>5,309,107.12</t>
  </si>
  <si>
    <t>1,395,000.00</t>
  </si>
  <si>
    <t>3,834,888.00</t>
  </si>
  <si>
    <t>3,025,000.00</t>
  </si>
  <si>
    <t>471,710.00</t>
  </si>
  <si>
    <t>194,370.00</t>
  </si>
  <si>
    <t>139,700.00</t>
  </si>
  <si>
    <t>170,600.00</t>
  </si>
  <si>
    <t>167,118.00</t>
  </si>
  <si>
    <t>4,640,077.50</t>
  </si>
  <si>
    <t>21,600.00</t>
  </si>
  <si>
    <t>2,998,122.51</t>
  </si>
  <si>
    <t>96,300.00</t>
  </si>
  <si>
    <t>2,643,448.45</t>
  </si>
  <si>
    <t>1,679,794.00</t>
  </si>
  <si>
    <t>2,488,260.93</t>
  </si>
  <si>
    <t>71,125.00</t>
  </si>
  <si>
    <t>2,513,621.14</t>
  </si>
  <si>
    <t>113,120.00</t>
  </si>
  <si>
    <t>158,062.67</t>
  </si>
  <si>
    <t>142,856.00</t>
  </si>
  <si>
    <t>177,987.00</t>
  </si>
  <si>
    <t>232,650.00</t>
  </si>
  <si>
    <t>1,197,300.00</t>
  </si>
  <si>
    <t>2,649,175.00</t>
  </si>
  <si>
    <t>438,000.00</t>
  </si>
  <si>
    <t>22,000.00</t>
  </si>
  <si>
    <t>249,740.00</t>
  </si>
  <si>
    <t>5,455,368.08</t>
  </si>
  <si>
    <t>979,200.00</t>
  </si>
  <si>
    <t>347,415.00</t>
  </si>
  <si>
    <t>52,790.00</t>
  </si>
  <si>
    <t>2,882,880.00</t>
  </si>
  <si>
    <t>1,500.00</t>
  </si>
  <si>
    <t>487,733.00</t>
  </si>
  <si>
    <t>102,690.00</t>
  </si>
  <si>
    <t>67,749.00</t>
  </si>
  <si>
    <t>107,000.00</t>
  </si>
  <si>
    <t>796,500.00</t>
  </si>
  <si>
    <t>99,355.00</t>
  </si>
  <si>
    <t>308,160.00</t>
  </si>
  <si>
    <t>243,094.22</t>
  </si>
  <si>
    <t>1,206,000.00</t>
  </si>
  <si>
    <t>74,477.00</t>
  </si>
  <si>
    <t>581,582.00</t>
  </si>
  <si>
    <t>31,000.00</t>
  </si>
  <si>
    <t>1,271,204.05</t>
  </si>
  <si>
    <t>123,064.00</t>
  </si>
  <si>
    <t>291,503.08</t>
  </si>
  <si>
    <t>17,593,000.00</t>
  </si>
  <si>
    <t>594,261.93</t>
  </si>
  <si>
    <t>972,060.00</t>
  </si>
  <si>
    <t>188,334.00</t>
  </si>
  <si>
    <t>1,950,000.00</t>
  </si>
  <si>
    <t>190,860.00</t>
  </si>
  <si>
    <t>113,300.00</t>
  </si>
  <si>
    <t>232,200.00</t>
  </si>
  <si>
    <t>540,258.11</t>
  </si>
  <si>
    <t>1,560,735.00</t>
  </si>
  <si>
    <t>3,769,234.00</t>
  </si>
  <si>
    <t>615,183.00</t>
  </si>
  <si>
    <t>3,887,100.00</t>
  </si>
  <si>
    <t>73,200.00</t>
  </si>
  <si>
    <t>253,126.84</t>
  </si>
  <si>
    <t>775,849.09</t>
  </si>
  <si>
    <t>525,523.10</t>
  </si>
  <si>
    <t>7,540,000.00</t>
  </si>
  <si>
    <t>168,400.00</t>
  </si>
  <si>
    <t>175,281.00</t>
  </si>
  <si>
    <t>129,000.78</t>
  </si>
  <si>
    <t>265,000.00</t>
  </si>
  <si>
    <t>275,560.00</t>
  </si>
  <si>
    <t>8,682,933.16</t>
  </si>
  <si>
    <t>500,002.00</t>
  </si>
  <si>
    <t>4,546,552.74</t>
  </si>
  <si>
    <t>365,595.00</t>
  </si>
  <si>
    <t>63,140.00</t>
  </si>
  <si>
    <t>958,750.00</t>
  </si>
  <si>
    <t>19,803.00</t>
  </si>
  <si>
    <t>4,387,679.07</t>
  </si>
  <si>
    <t>87,932.00</t>
  </si>
  <si>
    <t>683,380.51</t>
  </si>
  <si>
    <t>8,300,000.00</t>
  </si>
  <si>
    <t>87,038.00</t>
  </si>
  <si>
    <t>367,550.00</t>
  </si>
  <si>
    <t>1,461,679.39</t>
  </si>
  <si>
    <t>66,700.00</t>
  </si>
  <si>
    <t>1,823,695.40</t>
  </si>
  <si>
    <t>17,949,000.00</t>
  </si>
  <si>
    <t>263,800.00</t>
  </si>
  <si>
    <t>86,720.00</t>
  </si>
  <si>
    <t>829,850.00</t>
  </si>
  <si>
    <t>2,999,538.00</t>
  </si>
  <si>
    <t>315,000.00</t>
  </si>
  <si>
    <t>998,410.74</t>
  </si>
  <si>
    <t>286,080.00</t>
  </si>
  <si>
    <t>850,629.95</t>
  </si>
  <si>
    <t>286,000.00</t>
  </si>
  <si>
    <t>573,791.50</t>
  </si>
  <si>
    <t>74,950.00</t>
  </si>
  <si>
    <t>414,700.00</t>
  </si>
  <si>
    <t>70,683.00</t>
  </si>
  <si>
    <t>1,376,000.00</t>
  </si>
  <si>
    <t>579,223.00</t>
  </si>
  <si>
    <t>1,310,468.00</t>
  </si>
  <si>
    <t>227,568.00</t>
  </si>
  <si>
    <t>425,691.44</t>
  </si>
  <si>
    <t>117,508.00</t>
  </si>
  <si>
    <t>697,500.00</t>
  </si>
  <si>
    <t>75,800.00</t>
  </si>
  <si>
    <t>2,001,706.85</t>
  </si>
  <si>
    <t>819,239.95</t>
  </si>
  <si>
    <t>41,400.00</t>
  </si>
  <si>
    <t>610,000.00</t>
  </si>
  <si>
    <t>464,600.00</t>
  </si>
  <si>
    <t>275,730.00</t>
  </si>
  <si>
    <t>387,940.00</t>
  </si>
  <si>
    <t>10,667,813.80</t>
  </si>
  <si>
    <t>6,238,558.58</t>
  </si>
  <si>
    <t>4,470,000.00</t>
  </si>
  <si>
    <t>2,070,000.00</t>
  </si>
  <si>
    <t>4,236,042.00</t>
  </si>
  <si>
    <t>70,875.00</t>
  </si>
  <si>
    <t>5,208,747.32</t>
  </si>
  <si>
    <t>26,478,190.16</t>
  </si>
  <si>
    <t>2,052,493.65</t>
  </si>
  <si>
    <t>25,794.00</t>
  </si>
  <si>
    <t>1,357,361.25</t>
  </si>
  <si>
    <t>5,281,296.37</t>
  </si>
  <si>
    <t>880,670.00</t>
  </si>
  <si>
    <t>5,512,710.48</t>
  </si>
  <si>
    <t>499,999.10</t>
  </si>
  <si>
    <t>2,623,000.00</t>
  </si>
  <si>
    <t>242,100.00</t>
  </si>
  <si>
    <t>1,198,690.28</t>
  </si>
  <si>
    <t>19,300,000.00</t>
  </si>
  <si>
    <t>575,904.63</t>
  </si>
  <si>
    <t>166,666.66</t>
  </si>
  <si>
    <t>4,818,353.86</t>
  </si>
  <si>
    <t>5,460,034.56</t>
  </si>
  <si>
    <t>28,957.00</t>
  </si>
  <si>
    <t>68,052.00</t>
  </si>
  <si>
    <t>5,334,246.31</t>
  </si>
  <si>
    <t>4,970,047.55</t>
  </si>
  <si>
    <t>1,493,094.22</t>
  </si>
  <si>
    <t>2,397,380.56</t>
  </si>
  <si>
    <t>154,394,824.91</t>
  </si>
  <si>
    <t>4,899,985.12</t>
  </si>
  <si>
    <t>1,370,381.40</t>
  </si>
  <si>
    <t>65,003.00</t>
  </si>
  <si>
    <t>20,678,326.00</t>
  </si>
  <si>
    <t>910,164.00</t>
  </si>
  <si>
    <t>218,520.50</t>
  </si>
  <si>
    <t>62,402.19</t>
  </si>
  <si>
    <t>666,666.67</t>
  </si>
  <si>
    <t>386,688.00</t>
  </si>
  <si>
    <t>4,328,822.89</t>
  </si>
  <si>
    <t>1,350,000.00</t>
  </si>
  <si>
    <t>2,290,000.00</t>
  </si>
  <si>
    <t>3,350,000.00</t>
  </si>
  <si>
    <t>1,066,679.88</t>
  </si>
  <si>
    <t>2,449,905.64</t>
  </si>
  <si>
    <t>166,666.67</t>
  </si>
  <si>
    <t>50,711.00</t>
  </si>
  <si>
    <t>5,195,655.66</t>
  </si>
  <si>
    <t>5,526,062.92</t>
  </si>
  <si>
    <t>149,570,068.63</t>
  </si>
  <si>
    <t>3,860,003.10</t>
  </si>
  <si>
    <t>699,985.39</t>
  </si>
  <si>
    <t>504,475.00</t>
  </si>
  <si>
    <t>535,914.78</t>
  </si>
  <si>
    <t>17,500.00</t>
  </si>
  <si>
    <t>23,031.40</t>
  </si>
  <si>
    <t>1,145,044.17</t>
  </si>
  <si>
    <t>115,796,570.69</t>
  </si>
  <si>
    <t>3,319,920.00</t>
  </si>
  <si>
    <t>1,110,000.00</t>
  </si>
  <si>
    <t>25,300.00</t>
  </si>
  <si>
    <t>978,547.79</t>
  </si>
  <si>
    <t>3,485,142.13</t>
  </si>
  <si>
    <t>1,015,664.00</t>
  </si>
  <si>
    <t>1,033,333.33</t>
  </si>
  <si>
    <t>307,046.80</t>
  </si>
  <si>
    <t>131,500.00</t>
  </si>
  <si>
    <t>276,955.00</t>
  </si>
  <si>
    <t>2,352,875.00</t>
  </si>
  <si>
    <t>2,000,100.00</t>
  </si>
  <si>
    <t>1,308,722.58</t>
  </si>
  <si>
    <t>3,889,785.00</t>
  </si>
  <si>
    <t>142,195,926.80</t>
  </si>
  <si>
    <t>125,280.00</t>
  </si>
  <si>
    <t>102,949,715.43</t>
  </si>
  <si>
    <t>13,000,000.00</t>
  </si>
  <si>
    <t>39,400.00</t>
  </si>
  <si>
    <t>997,972.50</t>
  </si>
  <si>
    <t>182,384,015.40</t>
  </si>
  <si>
    <t>752,000.00</t>
  </si>
  <si>
    <t>335,713.00</t>
  </si>
  <si>
    <t>207,607.00</t>
  </si>
  <si>
    <t>40,000,000.00</t>
  </si>
  <si>
    <t>54,081,935.00</t>
  </si>
  <si>
    <t>168,874,154.35</t>
  </si>
  <si>
    <t>1,029,641.00</t>
  </si>
  <si>
    <t>168,874,268.79</t>
  </si>
  <si>
    <t>6,359,475.00</t>
  </si>
  <si>
    <t>245,500.00</t>
  </si>
  <si>
    <t>138,600.00</t>
  </si>
  <si>
    <t>996,000.00</t>
  </si>
  <si>
    <t>7,000,000.00</t>
  </si>
  <si>
    <t>427,278.84</t>
  </si>
  <si>
    <t>190,320.00</t>
  </si>
  <si>
    <t>452,600.00</t>
  </si>
  <si>
    <t>227,500.00</t>
  </si>
  <si>
    <t>1,001,000.00</t>
  </si>
  <si>
    <t>8,756,000.00</t>
  </si>
  <si>
    <t>120,776.00</t>
  </si>
  <si>
    <t>180,500.00</t>
  </si>
  <si>
    <t>168,510.00</t>
  </si>
  <si>
    <t>378,380.52</t>
  </si>
  <si>
    <t>976,099.26</t>
  </si>
  <si>
    <t>57,810.00</t>
  </si>
  <si>
    <t>67,955.00</t>
  </si>
  <si>
    <t>1,457,474.44</t>
  </si>
  <si>
    <t>364,000.00</t>
  </si>
  <si>
    <t>998,616.00</t>
  </si>
  <si>
    <t>282,700.00</t>
  </si>
  <si>
    <t>26,370,481.41</t>
  </si>
  <si>
    <t>77,049.50</t>
  </si>
  <si>
    <t>1,287,655.00</t>
  </si>
  <si>
    <t>182,400.00</t>
  </si>
  <si>
    <t>872,697.84</t>
  </si>
  <si>
    <t>872,000.00</t>
  </si>
  <si>
    <t>54,125.99</t>
  </si>
  <si>
    <t>141,750.00</t>
  </si>
  <si>
    <t>307,155.00</t>
  </si>
  <si>
    <t>84,100.00</t>
  </si>
  <si>
    <t>380,948.40</t>
  </si>
  <si>
    <t>54,656.00</t>
  </si>
  <si>
    <t>223,200.00</t>
  </si>
  <si>
    <t>83,125.00</t>
  </si>
  <si>
    <t>5,402,250.00</t>
  </si>
  <si>
    <t>102,975.00</t>
  </si>
  <si>
    <t>687,335.00</t>
  </si>
  <si>
    <t>1,480,500.00</t>
  </si>
  <si>
    <t>125,190.00</t>
  </si>
  <si>
    <t>186,000.00</t>
  </si>
  <si>
    <t>137,088.00</t>
  </si>
  <si>
    <t>4,272,480.00</t>
  </si>
  <si>
    <t>219,999.75</t>
  </si>
  <si>
    <t>1,116,159.38</t>
  </si>
  <si>
    <t>988,560.30</t>
  </si>
  <si>
    <t>1,180,000.00</t>
  </si>
  <si>
    <t>305,550.00</t>
  </si>
  <si>
    <t>438,600.00</t>
  </si>
  <si>
    <t>365,728.00</t>
  </si>
  <si>
    <t>97,045.00</t>
  </si>
  <si>
    <t>499,833.25</t>
  </si>
  <si>
    <t>194,246.51</t>
  </si>
  <si>
    <t>10,540,000.00</t>
  </si>
  <si>
    <t>69,800.00</t>
  </si>
  <si>
    <t>195,473.53</t>
  </si>
  <si>
    <t>403,696.00</t>
  </si>
  <si>
    <t>575,741.17</t>
  </si>
  <si>
    <t>785,000.00</t>
  </si>
  <si>
    <t>97,820.00</t>
  </si>
  <si>
    <t>278,000.00</t>
  </si>
  <si>
    <t>278,250.00</t>
  </si>
  <si>
    <t>1,087,250.00</t>
  </si>
  <si>
    <t>150,606.00</t>
  </si>
  <si>
    <t>127,492.00</t>
  </si>
  <si>
    <t>82,000.00</t>
  </si>
  <si>
    <t>398,200.00</t>
  </si>
  <si>
    <t>106,835.00</t>
  </si>
  <si>
    <t>58,620.00</t>
  </si>
  <si>
    <t>599,344.34</t>
  </si>
  <si>
    <t>248,930.31</t>
  </si>
  <si>
    <t>1,117,208.28</t>
  </si>
  <si>
    <t>499,609.41</t>
  </si>
  <si>
    <t>89,070.00</t>
  </si>
  <si>
    <t>220,900.00</t>
  </si>
  <si>
    <t>78,098.00</t>
  </si>
  <si>
    <t>478,503.61</t>
  </si>
  <si>
    <t>185,965.00</t>
  </si>
  <si>
    <t>331,500.00</t>
  </si>
  <si>
    <t>299,919.01</t>
  </si>
  <si>
    <t>999,846.31</t>
  </si>
  <si>
    <t>412,249.21</t>
  </si>
  <si>
    <t>789,900.00</t>
  </si>
  <si>
    <t>185,192.00</t>
  </si>
  <si>
    <t>93,500.00</t>
  </si>
  <si>
    <t>21,245.00</t>
  </si>
  <si>
    <t>15,950,000.00</t>
  </si>
  <si>
    <t>201,988.60</t>
  </si>
  <si>
    <t>339,795.00</t>
  </si>
  <si>
    <t>319,995.00</t>
  </si>
  <si>
    <t>545,075.00</t>
  </si>
  <si>
    <t>1,610,700.00</t>
  </si>
  <si>
    <t>254,070.00</t>
  </si>
  <si>
    <t>89,600.00</t>
  </si>
  <si>
    <t>109,850.00</t>
  </si>
  <si>
    <t>399,935.76</t>
  </si>
  <si>
    <t>2,093,117.11</t>
  </si>
  <si>
    <t>999,840.00</t>
  </si>
  <si>
    <t>1,499,661.39</t>
  </si>
  <si>
    <t>977,742.84</t>
  </si>
  <si>
    <t>955,000.00</t>
  </si>
  <si>
    <t>432,000.00</t>
  </si>
  <si>
    <t>397,600.00</t>
  </si>
  <si>
    <t>336,147.66</t>
  </si>
  <si>
    <t>50,120.00</t>
  </si>
  <si>
    <t>4,426,656.75</t>
  </si>
  <si>
    <t>149,087.00</t>
  </si>
  <si>
    <t>223,100.00</t>
  </si>
  <si>
    <t>22,050.00</t>
  </si>
  <si>
    <t>153,653.00</t>
  </si>
  <si>
    <t>3,062,400,000.00</t>
  </si>
  <si>
    <t>932,175.60</t>
  </si>
  <si>
    <t>256,000.00</t>
  </si>
  <si>
    <t>166,345.82</t>
  </si>
  <si>
    <t>599,713.33</t>
  </si>
  <si>
    <t>327,747.05</t>
  </si>
  <si>
    <t>847,665.00</t>
  </si>
  <si>
    <t>1,714,903.23</t>
  </si>
  <si>
    <t>193,801.46</t>
  </si>
  <si>
    <t>538,800.00</t>
  </si>
  <si>
    <t>64,445.00</t>
  </si>
  <si>
    <t>499,902.51</t>
  </si>
  <si>
    <t>337,722.77</t>
  </si>
  <si>
    <t>985,000.00</t>
  </si>
  <si>
    <t>93,750.00</t>
  </si>
  <si>
    <t>1,260,000.00</t>
  </si>
  <si>
    <t>579,879.22</t>
  </si>
  <si>
    <t>78,700.00</t>
  </si>
  <si>
    <t>1,392,000.00</t>
  </si>
  <si>
    <t>107,500.00</t>
  </si>
  <si>
    <t>399,597.40</t>
  </si>
  <si>
    <t>3,812,953.94</t>
  </si>
  <si>
    <t>12,550.00</t>
  </si>
  <si>
    <t>2,520,000.00</t>
  </si>
  <si>
    <t>5,243,622.52</t>
  </si>
  <si>
    <t>154,393,805.22</t>
  </si>
  <si>
    <t>161,681.40</t>
  </si>
  <si>
    <t>998,755.45</t>
  </si>
  <si>
    <t>1,707,650.00</t>
  </si>
  <si>
    <t>4,805,880.00</t>
  </si>
  <si>
    <t>7,880.00</t>
  </si>
  <si>
    <t>242,416.66</t>
  </si>
  <si>
    <t>762,075.00</t>
  </si>
  <si>
    <t>168,876.36</t>
  </si>
  <si>
    <t>4,997,738.08</t>
  </si>
  <si>
    <t>5,825,000.00</t>
  </si>
  <si>
    <t>319,997,700.00</t>
  </si>
  <si>
    <t>390,000.00</t>
  </si>
  <si>
    <t>52,750.00</t>
  </si>
  <si>
    <t>22,180.00</t>
  </si>
  <si>
    <t>112,590.00</t>
  </si>
  <si>
    <t>58,310.00</t>
  </si>
  <si>
    <t>315,449.00</t>
  </si>
  <si>
    <t>533,941.73</t>
  </si>
  <si>
    <t>8,400.00</t>
  </si>
  <si>
    <t>51,305.00</t>
  </si>
  <si>
    <t>88,953.51</t>
  </si>
  <si>
    <t>597,240.00</t>
  </si>
  <si>
    <t>505,200.00</t>
  </si>
  <si>
    <t>35,500.00</t>
  </si>
  <si>
    <t>63,710.00</t>
  </si>
  <si>
    <t>368,400.00</t>
  </si>
  <si>
    <t>2,357,394.26</t>
  </si>
  <si>
    <t>115,105.00</t>
  </si>
  <si>
    <t>201,900.00</t>
  </si>
  <si>
    <t>887,000.00</t>
  </si>
  <si>
    <t>493,568.00</t>
  </si>
  <si>
    <t>484,967.11</t>
  </si>
  <si>
    <t>484,789.37</t>
  </si>
  <si>
    <t>969,914.78</t>
  </si>
  <si>
    <t>2,483,592.85</t>
  </si>
  <si>
    <t>4,999,975.58</t>
  </si>
  <si>
    <t>5,736,987.48</t>
  </si>
  <si>
    <t>1,126,170.50</t>
  </si>
  <si>
    <t>969,983.03</t>
  </si>
  <si>
    <t>6,455,887.38</t>
  </si>
  <si>
    <t>1,653,857.99</t>
  </si>
  <si>
    <t>53,300.00</t>
  </si>
  <si>
    <t>639,988.00</t>
  </si>
  <si>
    <t>243,110.00</t>
  </si>
  <si>
    <t>343,032.00</t>
  </si>
  <si>
    <t>2,206,255.31</t>
  </si>
  <si>
    <t>12,437,438.68</t>
  </si>
  <si>
    <t>125,125.00</t>
  </si>
  <si>
    <t>575,436.41</t>
  </si>
  <si>
    <t>297,070.00</t>
  </si>
  <si>
    <t>71,750.00</t>
  </si>
  <si>
    <t>290,896.28</t>
  </si>
  <si>
    <t>338,896.98</t>
  </si>
  <si>
    <t>144,507.00</t>
  </si>
  <si>
    <t>10,385,055.14</t>
  </si>
  <si>
    <t>4,827,239.14</t>
  </si>
  <si>
    <t>551,880.00</t>
  </si>
  <si>
    <t>192,500.00</t>
  </si>
  <si>
    <t>181,500.00</t>
  </si>
  <si>
    <t>241,577.00</t>
  </si>
  <si>
    <t>12,437,481.18</t>
  </si>
  <si>
    <t>55,584.25</t>
  </si>
  <si>
    <t>65,900.00</t>
  </si>
  <si>
    <t>322,800.00</t>
  </si>
  <si>
    <t>1,909,005.00</t>
  </si>
  <si>
    <t>295,775.60</t>
  </si>
  <si>
    <t>581,771.50</t>
  </si>
  <si>
    <t>595,760.20</t>
  </si>
  <si>
    <t>299,902.93</t>
  </si>
  <si>
    <t>499,484.60</t>
  </si>
  <si>
    <t>575,200.00</t>
  </si>
  <si>
    <t>127,308.00</t>
  </si>
  <si>
    <t>374,000.00</t>
  </si>
  <si>
    <t>16,900,000.00</t>
  </si>
  <si>
    <t>142,000.00</t>
  </si>
  <si>
    <t>378,371.50</t>
  </si>
  <si>
    <t>175,820.00</t>
  </si>
  <si>
    <t>159,960.00</t>
  </si>
  <si>
    <t>198,920.00</t>
  </si>
  <si>
    <t>393,958.08</t>
  </si>
  <si>
    <t>718,163.00</t>
  </si>
  <si>
    <t>590,000.00</t>
  </si>
  <si>
    <t>136,500.00</t>
  </si>
  <si>
    <t>1,676,400.00</t>
  </si>
  <si>
    <t>98,873.62</t>
  </si>
  <si>
    <t>127,743.00</t>
  </si>
  <si>
    <t>2,992,047.30</t>
  </si>
  <si>
    <t>185,150.00</t>
  </si>
  <si>
    <t>124,400.00</t>
  </si>
  <si>
    <t>104,500.00</t>
  </si>
  <si>
    <t>81,044.33</t>
  </si>
  <si>
    <t>82,880.00</t>
  </si>
  <si>
    <t>176,675.00</t>
  </si>
  <si>
    <t>7,641,538.08</t>
  </si>
  <si>
    <t>1,833,018.00</t>
  </si>
  <si>
    <t>301,543.00</t>
  </si>
  <si>
    <t>148,480.00</t>
  </si>
  <si>
    <t>756,000.00</t>
  </si>
  <si>
    <t>1,201,315.30</t>
  </si>
  <si>
    <t>198,900.00</t>
  </si>
  <si>
    <t>299,815.00</t>
  </si>
  <si>
    <t>485,650.00</t>
  </si>
  <si>
    <t>1,202,494.94</t>
  </si>
  <si>
    <t>565,580.00</t>
  </si>
  <si>
    <t>3,998,981.84</t>
  </si>
  <si>
    <t>91,500.00</t>
  </si>
  <si>
    <t>258,857.00</t>
  </si>
  <si>
    <t>68,437.50</t>
  </si>
  <si>
    <t>21,740.00</t>
  </si>
  <si>
    <t>2,700.00</t>
  </si>
  <si>
    <t>780.00</t>
  </si>
  <si>
    <t>143,016.00</t>
  </si>
  <si>
    <t>11,395.00</t>
  </si>
  <si>
    <t>496,776.00</t>
  </si>
  <si>
    <t>50,934.00</t>
  </si>
  <si>
    <t>831,158.00</t>
  </si>
  <si>
    <t>104,998.30</t>
  </si>
  <si>
    <t>1,424,400.00</t>
  </si>
  <si>
    <t>147,449.00</t>
  </si>
  <si>
    <t>38,700.00</t>
  </si>
  <si>
    <t>1,239,560.00</t>
  </si>
  <si>
    <t>485,327.92</t>
  </si>
  <si>
    <t>75,318,250.00</t>
  </si>
  <si>
    <t>150.00</t>
  </si>
  <si>
    <t>4,825,000.00</t>
  </si>
  <si>
    <t>92,976.00</t>
  </si>
  <si>
    <t>14,475,000.00</t>
  </si>
  <si>
    <t>25,040.00</t>
  </si>
  <si>
    <t>72,375,000.00</t>
  </si>
  <si>
    <t>1,298,464.00</t>
  </si>
  <si>
    <t>3,140.00</t>
  </si>
  <si>
    <t>136,080.00</t>
  </si>
  <si>
    <t>704,000.00</t>
  </si>
  <si>
    <t>228,700.00</t>
  </si>
  <si>
    <t>415,550.00</t>
  </si>
  <si>
    <t>73,775.00</t>
  </si>
  <si>
    <t>1,613,199.60</t>
  </si>
  <si>
    <t>8,902,288.50</t>
  </si>
  <si>
    <t>199,985.00</t>
  </si>
  <si>
    <t>2,999,508.75</t>
  </si>
  <si>
    <t>1,549,696.00</t>
  </si>
  <si>
    <t>767,812.60</t>
  </si>
  <si>
    <t>1,549,413.20</t>
  </si>
  <si>
    <t>64,995.00</t>
  </si>
  <si>
    <t>999,809.34</t>
  </si>
  <si>
    <t>50,100.00</t>
  </si>
  <si>
    <t>499,959.79</t>
  </si>
  <si>
    <t>1,381,260.00</t>
  </si>
  <si>
    <t>84,490.00</t>
  </si>
  <si>
    <t>71,490.00</t>
  </si>
  <si>
    <t>91,000.00</t>
  </si>
  <si>
    <t>316,276.05</t>
  </si>
  <si>
    <t>2,300,723.85</t>
  </si>
  <si>
    <t>270,551.70</t>
  </si>
  <si>
    <t>59,905.00</t>
  </si>
  <si>
    <t>24,875,000.00</t>
  </si>
  <si>
    <t>89,537.50</t>
  </si>
  <si>
    <t>314,922.00</t>
  </si>
  <si>
    <t>81,540.00</t>
  </si>
  <si>
    <t>171,075.00</t>
  </si>
  <si>
    <t>55,250.00</t>
  </si>
  <si>
    <t>793,017.50</t>
  </si>
  <si>
    <t>4,144,000.00</t>
  </si>
  <si>
    <t>133,900.00</t>
  </si>
  <si>
    <t>2,624,000.00</t>
  </si>
  <si>
    <t>409,000.00</t>
  </si>
  <si>
    <t>945,360.70</t>
  </si>
  <si>
    <t>93,960.00</t>
  </si>
  <si>
    <t>898,600.00</t>
  </si>
  <si>
    <t>621,150.00</t>
  </si>
  <si>
    <t>594,450.00</t>
  </si>
  <si>
    <t>324,960.00</t>
  </si>
  <si>
    <t>842,820.00</t>
  </si>
  <si>
    <t>620,625.00</t>
  </si>
  <si>
    <t>9,703.00</t>
  </si>
  <si>
    <t>59,885.00</t>
  </si>
  <si>
    <t>154,000.00</t>
  </si>
  <si>
    <t>84,050.00</t>
  </si>
  <si>
    <t>8,200.00</t>
  </si>
  <si>
    <t>981,723.89</t>
  </si>
  <si>
    <t>195,780.00</t>
  </si>
  <si>
    <t>87,220.00</t>
  </si>
  <si>
    <t>90,400.00</t>
  </si>
  <si>
    <t>187,424.00</t>
  </si>
  <si>
    <t>228,000.00</t>
  </si>
  <si>
    <t>1,654,055.00</t>
  </si>
  <si>
    <t>620,000.00</t>
  </si>
  <si>
    <t>1,243,469.00</t>
  </si>
  <si>
    <t>732,500.00</t>
  </si>
  <si>
    <t>143,032.18</t>
  </si>
  <si>
    <t>1,520,000.00</t>
  </si>
  <si>
    <t>111,269.60</t>
  </si>
  <si>
    <t>122,400.00</t>
  </si>
  <si>
    <t>99,992.00</t>
  </si>
  <si>
    <t>554,200.00</t>
  </si>
  <si>
    <t>656,000.00</t>
  </si>
  <si>
    <t>345,544.00</t>
  </si>
  <si>
    <t>256,212.00</t>
  </si>
  <si>
    <t>882,700.00</t>
  </si>
  <si>
    <t>165,710.00</t>
  </si>
  <si>
    <t>8,359.00</t>
  </si>
  <si>
    <t>175,061.60</t>
  </si>
  <si>
    <t>71,564.00</t>
  </si>
  <si>
    <t>8,085,000.00</t>
  </si>
  <si>
    <t>68,873.84</t>
  </si>
  <si>
    <t>617,800.00</t>
  </si>
  <si>
    <t>564,100.00</t>
  </si>
  <si>
    <t>172,800.00</t>
  </si>
  <si>
    <t>365,083.50</t>
  </si>
  <si>
    <t>2,360,000.00</t>
  </si>
  <si>
    <t>249,450.00</t>
  </si>
  <si>
    <t>999,900.00</t>
  </si>
  <si>
    <t>247,317.00</t>
  </si>
  <si>
    <t>79,145.00</t>
  </si>
  <si>
    <t>781,000.00</t>
  </si>
  <si>
    <t>326,324.00</t>
  </si>
  <si>
    <t>908,240.00</t>
  </si>
  <si>
    <t>239,647.00</t>
  </si>
  <si>
    <t>123,200.00</t>
  </si>
  <si>
    <t>129,705.00</t>
  </si>
  <si>
    <t>66,159.72</t>
  </si>
  <si>
    <t>66,729.72</t>
  </si>
  <si>
    <t>594,000.00</t>
  </si>
  <si>
    <t>2,290,500.00</t>
  </si>
  <si>
    <t>497,500.00</t>
  </si>
  <si>
    <t>193,750.00</t>
  </si>
  <si>
    <t>52,400.00</t>
  </si>
  <si>
    <t>320,100.00</t>
  </si>
  <si>
    <t>560,900.00</t>
  </si>
  <si>
    <t>241,550.00</t>
  </si>
  <si>
    <t>66,840.00</t>
  </si>
  <si>
    <t>250,150.00</t>
  </si>
  <si>
    <t>529,281.19</t>
  </si>
  <si>
    <t>4,225,321.00</t>
  </si>
  <si>
    <t>645,000.00</t>
  </si>
  <si>
    <t>141,680.00</t>
  </si>
  <si>
    <t>123,183.00</t>
  </si>
  <si>
    <t>106,512.00</t>
  </si>
  <si>
    <t>2,688,300.00</t>
  </si>
  <si>
    <t>1,011,375.00</t>
  </si>
  <si>
    <t>4,998,486.10</t>
  </si>
  <si>
    <t>310,350.00</t>
  </si>
  <si>
    <t>196,844.00</t>
  </si>
  <si>
    <t>87,885.00</t>
  </si>
  <si>
    <t>127,760.00</t>
  </si>
  <si>
    <t>69,719.00</t>
  </si>
  <si>
    <t>848,000.00</t>
  </si>
  <si>
    <t>464,149.00</t>
  </si>
  <si>
    <t>585,861.00</t>
  </si>
  <si>
    <t>354,100.00</t>
  </si>
  <si>
    <t>937,700.00</t>
  </si>
  <si>
    <t>99,848.45</t>
  </si>
  <si>
    <t>496,850.00</t>
  </si>
  <si>
    <t>99,885.00</t>
  </si>
  <si>
    <t>65,170.00</t>
  </si>
  <si>
    <t>63,275.00</t>
  </si>
  <si>
    <t>1,183,280.00</t>
  </si>
  <si>
    <t>156,390.00</t>
  </si>
  <si>
    <t>23,000.00</t>
  </si>
  <si>
    <t>180,010.00</t>
  </si>
  <si>
    <t>112,260.00</t>
  </si>
  <si>
    <t>981,336.12</t>
  </si>
  <si>
    <t>67,150.00</t>
  </si>
  <si>
    <t>290,610.00</t>
  </si>
  <si>
    <t>391,780.00</t>
  </si>
  <si>
    <t>68,696.00</t>
  </si>
  <si>
    <t>120,774.00</t>
  </si>
  <si>
    <t>134,340.20</t>
  </si>
  <si>
    <t>99,789.38</t>
  </si>
  <si>
    <t>214,450.00</t>
  </si>
  <si>
    <t>107,856.00</t>
  </si>
  <si>
    <t>228,790.00</t>
  </si>
  <si>
    <t>258,623.00</t>
  </si>
  <si>
    <t>1,435,256.85</t>
  </si>
  <si>
    <t>153,091.00</t>
  </si>
  <si>
    <t>3,600,000.00</t>
  </si>
  <si>
    <t>254,960.00</t>
  </si>
  <si>
    <t>77,798.00</t>
  </si>
  <si>
    <t>1,136,850.00</t>
  </si>
  <si>
    <t>124,135.00</t>
  </si>
  <si>
    <t>312,500.00</t>
  </si>
  <si>
    <t>183,700.00</t>
  </si>
  <si>
    <t>251,900.00</t>
  </si>
  <si>
    <t>61,665.00</t>
  </si>
  <si>
    <t>98,870.00</t>
  </si>
  <si>
    <t>543,593.51</t>
  </si>
  <si>
    <t>2,065,079.54</t>
  </si>
  <si>
    <t>3,280,000.00</t>
  </si>
  <si>
    <t>9,610,000.00</t>
  </si>
  <si>
    <t>450,690.00</t>
  </si>
  <si>
    <t>35,760.00</t>
  </si>
  <si>
    <t>294,491.70</t>
  </si>
  <si>
    <t>277,156.33</t>
  </si>
  <si>
    <t>114,300.00</t>
  </si>
  <si>
    <t>63,600.00</t>
  </si>
  <si>
    <t>111,804.00</t>
  </si>
  <si>
    <t>327,060.00</t>
  </si>
  <si>
    <t>74,854.00</t>
  </si>
  <si>
    <t>193,820.00</t>
  </si>
  <si>
    <t>290,300.00</t>
  </si>
  <si>
    <t>257,895.00</t>
  </si>
  <si>
    <t>626,000.00</t>
  </si>
  <si>
    <t>157,100.00</t>
  </si>
  <si>
    <t>575,835.00</t>
  </si>
  <si>
    <t>780,400.00</t>
  </si>
  <si>
    <t>199,094.90</t>
  </si>
  <si>
    <t>643,100.00</t>
  </si>
  <si>
    <t>136,850.00</t>
  </si>
  <si>
    <t>787,280.00</t>
  </si>
  <si>
    <t>402,013.70</t>
  </si>
  <si>
    <t>86,215.00</t>
  </si>
  <si>
    <t>971,376.80</t>
  </si>
  <si>
    <t>264,000.00</t>
  </si>
  <si>
    <t>102,220.00</t>
  </si>
  <si>
    <t>178,800.00</t>
  </si>
  <si>
    <t>870,131.46</t>
  </si>
  <si>
    <t>2,028,439.60</t>
  </si>
  <si>
    <t>924,578.06</t>
  </si>
  <si>
    <t>134,594.87</t>
  </si>
  <si>
    <t>3,386,673.04</t>
  </si>
  <si>
    <t>842,999.00</t>
  </si>
  <si>
    <t>884,648.86</t>
  </si>
  <si>
    <t>29,000.00</t>
  </si>
  <si>
    <t>164,962.00</t>
  </si>
  <si>
    <t>152,500.00</t>
  </si>
  <si>
    <t>942,245.58</t>
  </si>
  <si>
    <t>65,200.00</t>
  </si>
  <si>
    <t>744,100.00</t>
  </si>
  <si>
    <t>6,521,140.30</t>
  </si>
  <si>
    <t>1,380,489.30</t>
  </si>
  <si>
    <t>873,275.81</t>
  </si>
  <si>
    <t>873,275.78</t>
  </si>
  <si>
    <t>2,357,400.00</t>
  </si>
  <si>
    <t>569,039.68</t>
  </si>
  <si>
    <t>988,209.58</t>
  </si>
  <si>
    <t>940,026.76</t>
  </si>
  <si>
    <t>4,238,963.33</t>
  </si>
  <si>
    <t>913,962.03</t>
  </si>
  <si>
    <t>1,921,467.68</t>
  </si>
  <si>
    <t>1,240,000.00</t>
  </si>
  <si>
    <t>3,542,000.00</t>
  </si>
  <si>
    <t>3,309,793.40</t>
  </si>
  <si>
    <t>2,837,504.71</t>
  </si>
  <si>
    <t>13,000,000.77</t>
  </si>
  <si>
    <t>2,204,985.50</t>
  </si>
  <si>
    <t>667,500.00</t>
  </si>
  <si>
    <t>203,000.00</t>
  </si>
  <si>
    <t>202,200.00</t>
  </si>
  <si>
    <t>387,500.00</t>
  </si>
  <si>
    <t>215,000.00</t>
  </si>
  <si>
    <t>242,399.98</t>
  </si>
  <si>
    <t>1,135,131.20</t>
  </si>
  <si>
    <t>85,262.00</t>
  </si>
  <si>
    <t>120,630.00</t>
  </si>
  <si>
    <t>111,604.00</t>
  </si>
  <si>
    <t>1,382,450.00</t>
  </si>
  <si>
    <t>17,670,079.00</t>
  </si>
  <si>
    <t>26,990.00</t>
  </si>
  <si>
    <t>87,760.00</t>
  </si>
  <si>
    <t>150,056.79</t>
  </si>
  <si>
    <t>261,500.00</t>
  </si>
  <si>
    <t>336,000.00</t>
  </si>
  <si>
    <t>43,359.66</t>
  </si>
  <si>
    <t>1,813,224.00</t>
  </si>
  <si>
    <t>149,900.00</t>
  </si>
  <si>
    <t>165,080.00</t>
  </si>
  <si>
    <t>981,681.11</t>
  </si>
  <si>
    <t>383,200.00</t>
  </si>
  <si>
    <t>1,425,566.04</t>
  </si>
  <si>
    <t>90,999.85</t>
  </si>
  <si>
    <t>6,499,640.45</t>
  </si>
  <si>
    <t>927,822.89</t>
  </si>
  <si>
    <t>1,947,846.89</t>
  </si>
  <si>
    <t>13,166,680.00</t>
  </si>
  <si>
    <t>860,000.00</t>
  </si>
  <si>
    <t>154,360.00</t>
  </si>
  <si>
    <t>54,100.00</t>
  </si>
  <si>
    <t>132,100.00</t>
  </si>
  <si>
    <t>51,160.00</t>
  </si>
  <si>
    <t>49,817.00</t>
  </si>
  <si>
    <t>4,941,039.14</t>
  </si>
  <si>
    <t>2,064,987.88</t>
  </si>
  <si>
    <t>14,950.00</t>
  </si>
  <si>
    <t>168,300.00</t>
  </si>
  <si>
    <t>124,326.00</t>
  </si>
  <si>
    <t>141,200.00</t>
  </si>
  <si>
    <t>999,974.00</t>
  </si>
  <si>
    <t>2,786,792.80</t>
  </si>
  <si>
    <t>2,086,197.12</t>
  </si>
  <si>
    <t>146,375.44</t>
  </si>
  <si>
    <t>299,984.19</t>
  </si>
  <si>
    <t>97,866.00</t>
  </si>
  <si>
    <t>153,022.50</t>
  </si>
  <si>
    <t>212,316.00</t>
  </si>
  <si>
    <t>793,250.00</t>
  </si>
  <si>
    <t>145,450.00</t>
  </si>
  <si>
    <t>129,991.00</t>
  </si>
  <si>
    <t>71,234.00</t>
  </si>
  <si>
    <t>117,725.00</t>
  </si>
  <si>
    <t>2,499,954.00</t>
  </si>
  <si>
    <t>826,148.96</t>
  </si>
  <si>
    <t>999,728.72</t>
  </si>
  <si>
    <t>399,760.00</t>
  </si>
  <si>
    <t>996,807.26</t>
  </si>
  <si>
    <t>311,081.14</t>
  </si>
  <si>
    <t>57,375.00</t>
  </si>
  <si>
    <t>649,162.24</t>
  </si>
  <si>
    <t>999,295.50</t>
  </si>
  <si>
    <t>124,111.00</t>
  </si>
  <si>
    <t>599,535.56</t>
  </si>
  <si>
    <t>402,783.61</t>
  </si>
  <si>
    <t>381,603.80</t>
  </si>
  <si>
    <t>1,177,825.00</t>
  </si>
  <si>
    <t>130,388.50</t>
  </si>
  <si>
    <t>499,923.38</t>
  </si>
  <si>
    <t>744,143.14</t>
  </si>
  <si>
    <t>331,723.00</t>
  </si>
  <si>
    <t>89,080.00</t>
  </si>
  <si>
    <t>999,059.91</t>
  </si>
  <si>
    <t>247,459.91</t>
  </si>
  <si>
    <t>117,926.00</t>
  </si>
  <si>
    <t>334,540.00</t>
  </si>
  <si>
    <t>258,309.75</t>
  </si>
  <si>
    <t>249,939.22</t>
  </si>
  <si>
    <t>258,670.22</t>
  </si>
  <si>
    <t>244,342.00</t>
  </si>
  <si>
    <t>464,702.00</t>
  </si>
  <si>
    <t>1,209,628.13</t>
  </si>
  <si>
    <t>499,675.97</t>
  </si>
  <si>
    <t>333,500.00</t>
  </si>
  <si>
    <t>109,500.00</t>
  </si>
  <si>
    <t>870,000.00</t>
  </si>
  <si>
    <t>51,040.00</t>
  </si>
  <si>
    <t>396,824.25</t>
  </si>
  <si>
    <t>199,152.55</t>
  </si>
  <si>
    <t>197,513.40</t>
  </si>
  <si>
    <t>79,632.00</t>
  </si>
  <si>
    <t>84,312.95</t>
  </si>
  <si>
    <t>96,524.50</t>
  </si>
  <si>
    <t>162,213.00</t>
  </si>
  <si>
    <t>92,401.00</t>
  </si>
  <si>
    <t>199,966.25</t>
  </si>
  <si>
    <t>51,050.00</t>
  </si>
  <si>
    <t>153,600.00</t>
  </si>
  <si>
    <t>40,756.00</t>
  </si>
  <si>
    <t>43,340.00</t>
  </si>
  <si>
    <t>58,900.00</t>
  </si>
  <si>
    <t>110,400.00</t>
  </si>
  <si>
    <t>198,963.60</t>
  </si>
  <si>
    <t>64,860.00</t>
  </si>
  <si>
    <t>208,821.04</t>
  </si>
  <si>
    <t>678,000.00</t>
  </si>
  <si>
    <t>248,400.00</t>
  </si>
  <si>
    <t>969,050.00</t>
  </si>
  <si>
    <t>418,200.00</t>
  </si>
  <si>
    <t>3,643,772.25</t>
  </si>
  <si>
    <t>119,715.00</t>
  </si>
  <si>
    <t>96,096.00</t>
  </si>
  <si>
    <t>144,475.00</t>
  </si>
  <si>
    <t>1,703,411.82</t>
  </si>
  <si>
    <t>130,470.00</t>
  </si>
  <si>
    <t>785,092.88</t>
  </si>
  <si>
    <t>1,397,580.18</t>
  </si>
  <si>
    <t>4,995,246.78</t>
  </si>
  <si>
    <t>15,600.00</t>
  </si>
  <si>
    <t>1,273,543.28</t>
  </si>
  <si>
    <t>199,630.00</t>
  </si>
  <si>
    <t>4,682,040.00</t>
  </si>
  <si>
    <t>4,986,898.68</t>
  </si>
  <si>
    <t>3,772,261.70</t>
  </si>
  <si>
    <t>58,373,168.00</t>
  </si>
  <si>
    <t>2,933,557.21</t>
  </si>
  <si>
    <t>146,630.00</t>
  </si>
  <si>
    <t>384,732.00</t>
  </si>
  <si>
    <t>199,995.87</t>
  </si>
  <si>
    <t>133,000.00</t>
  </si>
  <si>
    <t>219,748.46</t>
  </si>
  <si>
    <t>580,013.41</t>
  </si>
  <si>
    <t>165,750.00</t>
  </si>
  <si>
    <t>451,380.00</t>
  </si>
  <si>
    <t>235,000.00</t>
  </si>
  <si>
    <t>150,250.00</t>
  </si>
  <si>
    <t>936,335.94</t>
  </si>
  <si>
    <t>272,720.18</t>
  </si>
  <si>
    <t>99,090.00</t>
  </si>
  <si>
    <t>57,250.00</t>
  </si>
  <si>
    <t>466,500.00</t>
  </si>
  <si>
    <t>176,300.00</t>
  </si>
  <si>
    <t>3,925,000.00</t>
  </si>
  <si>
    <t>470,320.00</t>
  </si>
  <si>
    <t>2,629,800.00</t>
  </si>
  <si>
    <t>77,110.00</t>
  </si>
  <si>
    <t>1,515,600.00</t>
  </si>
  <si>
    <t>340,178.40</t>
  </si>
  <si>
    <t>24,017,339.00</t>
  </si>
  <si>
    <t>30,000,000.00</t>
  </si>
  <si>
    <t>379,600.00</t>
  </si>
  <si>
    <t>2,950,801.45</t>
  </si>
  <si>
    <t>11,500,000.00</t>
  </si>
  <si>
    <t>2,005,355.46</t>
  </si>
  <si>
    <t>226,500.00</t>
  </si>
  <si>
    <t>133,750.00</t>
  </si>
  <si>
    <t>997,844.83</t>
  </si>
  <si>
    <t>376,975.00</t>
  </si>
  <si>
    <t>177,800.00</t>
  </si>
  <si>
    <t>103,926.10</t>
  </si>
  <si>
    <t>89,520.00</t>
  </si>
  <si>
    <t>183,996.00</t>
  </si>
  <si>
    <t>259,815.24</t>
  </si>
  <si>
    <t>835,000.00</t>
  </si>
  <si>
    <t>60,332.00</t>
  </si>
  <si>
    <t>7,319,452.61</t>
  </si>
  <si>
    <t>6,101,652.46</t>
  </si>
  <si>
    <t>811,869.00</t>
  </si>
  <si>
    <t>624,991.30</t>
  </si>
  <si>
    <t>190,950.00</t>
  </si>
  <si>
    <t>193,598.13</t>
  </si>
  <si>
    <t>158,989.00</t>
  </si>
  <si>
    <t>191,000.00</t>
  </si>
  <si>
    <t>121,302.00</t>
  </si>
  <si>
    <t>512,000.00</t>
  </si>
  <si>
    <t>81,220.00</t>
  </si>
  <si>
    <t>98,800,000.00</t>
  </si>
  <si>
    <t>321,930.00</t>
  </si>
  <si>
    <t>73,000.00</t>
  </si>
  <si>
    <t>726,580.00</t>
  </si>
  <si>
    <t>80,600.00</t>
  </si>
  <si>
    <t>99,902.88</t>
  </si>
  <si>
    <t>123,825.00</t>
  </si>
  <si>
    <t>299,600.00</t>
  </si>
  <si>
    <t>13,950.00</t>
  </si>
  <si>
    <t>71,400.00</t>
  </si>
  <si>
    <t>1,296,750.00</t>
  </si>
  <si>
    <t>217,859.25</t>
  </si>
  <si>
    <t>998,450.00</t>
  </si>
  <si>
    <t>159,425.20</t>
  </si>
  <si>
    <t>995,155.00</t>
  </si>
  <si>
    <t>11,383,323.00</t>
  </si>
  <si>
    <t>68,208.00</t>
  </si>
  <si>
    <t>98,338.00</t>
  </si>
  <si>
    <t>53,665.00</t>
  </si>
  <si>
    <t>52,700.00</t>
  </si>
  <si>
    <t>99,825.00</t>
  </si>
  <si>
    <t>9,801,000.00</t>
  </si>
  <si>
    <t>567,500.00</t>
  </si>
  <si>
    <t>1,068,000.00</t>
  </si>
  <si>
    <t>51,932.00</t>
  </si>
  <si>
    <t>1,250,400.00</t>
  </si>
  <si>
    <t>188,854.00</t>
  </si>
  <si>
    <t>41,650.00</t>
  </si>
  <si>
    <t>167,000.00</t>
  </si>
  <si>
    <t>652,585.40</t>
  </si>
  <si>
    <t>497,000.00</t>
  </si>
  <si>
    <t>403,600.00</t>
  </si>
  <si>
    <t>59,075.00</t>
  </si>
  <si>
    <t>1,024,240.46</t>
  </si>
  <si>
    <t>222,810.00</t>
  </si>
  <si>
    <t>189,589.14</t>
  </si>
  <si>
    <t>390,380.00</t>
  </si>
  <si>
    <t>176,971.00</t>
  </si>
  <si>
    <t>90,225.00</t>
  </si>
  <si>
    <t>3,920,000.00</t>
  </si>
  <si>
    <t>955,233.45</t>
  </si>
  <si>
    <t>758,740.00</t>
  </si>
  <si>
    <t>163,427.51</t>
  </si>
  <si>
    <t>550,297.10</t>
  </si>
  <si>
    <t>114,750.00</t>
  </si>
  <si>
    <t>199,940.00</t>
  </si>
  <si>
    <t>399,998.22</t>
  </si>
  <si>
    <t>420,240.00</t>
  </si>
  <si>
    <t>153,479.50</t>
  </si>
  <si>
    <t>114,506.00</t>
  </si>
  <si>
    <t>58,650.00</t>
  </si>
  <si>
    <t>99,930.00</t>
  </si>
  <si>
    <t>141,556.00</t>
  </si>
  <si>
    <t>4,863,314.19</t>
  </si>
  <si>
    <t>3,675,000.00</t>
  </si>
  <si>
    <t>399,750.00</t>
  </si>
  <si>
    <t>29,370.60</t>
  </si>
  <si>
    <t>395,000.00</t>
  </si>
  <si>
    <t>71,728.64</t>
  </si>
  <si>
    <t>103,353.92</t>
  </si>
  <si>
    <t>998,707.52</t>
  </si>
  <si>
    <t>1,090,916.25</t>
  </si>
  <si>
    <t>405,335.00</t>
  </si>
  <si>
    <t>526,426.00</t>
  </si>
  <si>
    <t>268,000.00</t>
  </si>
  <si>
    <t>61,250.00</t>
  </si>
  <si>
    <t>74,895.00</t>
  </si>
  <si>
    <t>77,450.00</t>
  </si>
  <si>
    <t>757,000.00</t>
  </si>
  <si>
    <t>72,580.00</t>
  </si>
  <si>
    <t>169,800.00</t>
  </si>
  <si>
    <t>350,340.00</t>
  </si>
  <si>
    <t>101,190.60</t>
  </si>
  <si>
    <t>186,220.00</t>
  </si>
  <si>
    <t>299,999.04</t>
  </si>
  <si>
    <t>186,535.00</t>
  </si>
  <si>
    <t>863,200.00</t>
  </si>
  <si>
    <t>6,400,000.00</t>
  </si>
  <si>
    <t>300,741.00</t>
  </si>
  <si>
    <t>19,500.00</t>
  </si>
  <si>
    <t>162,400.00</t>
  </si>
  <si>
    <t>394,200.00</t>
  </si>
  <si>
    <t>7,500,000.00</t>
  </si>
  <si>
    <t>7,760,150.00</t>
  </si>
  <si>
    <t>215,360.00</t>
  </si>
  <si>
    <t>933,395.40</t>
  </si>
  <si>
    <t>9,500,000.00</t>
  </si>
  <si>
    <t>671,416.00</t>
  </si>
  <si>
    <t>595,900.00</t>
  </si>
  <si>
    <t>102,250.00</t>
  </si>
  <si>
    <t>198,537.50</t>
  </si>
  <si>
    <t>199,250.00</t>
  </si>
  <si>
    <t>4,999,500.00</t>
  </si>
  <si>
    <t>160,180.00</t>
  </si>
  <si>
    <t>138,500.00</t>
  </si>
  <si>
    <t>85,600.00</t>
  </si>
  <si>
    <t>660,900.00</t>
  </si>
  <si>
    <t>65,750.00</t>
  </si>
  <si>
    <t>87,661.00</t>
  </si>
  <si>
    <t>73,550.00</t>
  </si>
  <si>
    <t>3,168,000.00</t>
  </si>
  <si>
    <t>1,066,502.54</t>
  </si>
  <si>
    <t>1,166,904.01</t>
  </si>
  <si>
    <t>1,399,277.01</t>
  </si>
  <si>
    <t>29,650.00</t>
  </si>
  <si>
    <t>135,397.42</t>
  </si>
  <si>
    <t>348,337.00</t>
  </si>
  <si>
    <t>1,288,821.02</t>
  </si>
  <si>
    <t>472,080.21</t>
  </si>
  <si>
    <t>4,718,800.00</t>
  </si>
  <si>
    <t>300,604.00</t>
  </si>
  <si>
    <t>377,578.00</t>
  </si>
  <si>
    <t>25,248,950.65</t>
  </si>
  <si>
    <t>400,900.00</t>
  </si>
  <si>
    <t>770,200.00</t>
  </si>
  <si>
    <t>125,450,000.00</t>
  </si>
  <si>
    <t>40,800.00</t>
  </si>
  <si>
    <t>1,265,858.20</t>
  </si>
  <si>
    <t>188,700.00</t>
  </si>
  <si>
    <t>397,122.00</t>
  </si>
  <si>
    <t>173,398.00</t>
  </si>
  <si>
    <t>1,870,600.00</t>
  </si>
  <si>
    <t>115,760.00</t>
  </si>
  <si>
    <t>497,381.00</t>
  </si>
  <si>
    <t>128,850.00</t>
  </si>
  <si>
    <t>18,900.00</t>
  </si>
  <si>
    <t>2,117,500.00</t>
  </si>
  <si>
    <t>1,850,000.00</t>
  </si>
  <si>
    <t>66,914.00</t>
  </si>
  <si>
    <t>222,527.50</t>
  </si>
  <si>
    <t>121,950.00</t>
  </si>
  <si>
    <t>67,338,862.49</t>
  </si>
  <si>
    <t>39,999,286.09</t>
  </si>
  <si>
    <t>1,232,430.16</t>
  </si>
  <si>
    <t>862,990.00</t>
  </si>
  <si>
    <t>182,370.00</t>
  </si>
  <si>
    <t>55,800.00</t>
  </si>
  <si>
    <t>707,662.00</t>
  </si>
  <si>
    <t>215,250.00</t>
  </si>
  <si>
    <t>149,158.00</t>
  </si>
  <si>
    <t>359,600.00</t>
  </si>
  <si>
    <t>160,895.00</t>
  </si>
  <si>
    <t>881,807.00</t>
  </si>
  <si>
    <t>376,080.00</t>
  </si>
  <si>
    <t>832,521.25</t>
  </si>
  <si>
    <t>117,750.00</t>
  </si>
  <si>
    <t>869,444.00</t>
  </si>
  <si>
    <t>137,865.00</t>
  </si>
  <si>
    <t>157,300.00</t>
  </si>
  <si>
    <t>2,971,560.00</t>
  </si>
  <si>
    <t>1,657,350.10</t>
  </si>
  <si>
    <t>317,110.01</t>
  </si>
  <si>
    <t>5,200,000.00</t>
  </si>
  <si>
    <t>513,000.00</t>
  </si>
  <si>
    <t>786,450.00</t>
  </si>
  <si>
    <t>292,749.00</t>
  </si>
  <si>
    <t>173,160.00</t>
  </si>
  <si>
    <t>714,937.34</t>
  </si>
  <si>
    <t>64,252.00</t>
  </si>
  <si>
    <t>69,240.00</t>
  </si>
  <si>
    <t>693,200.00</t>
  </si>
  <si>
    <t>522,030.00</t>
  </si>
  <si>
    <t>88,020.00</t>
  </si>
  <si>
    <t>120,850.00</t>
  </si>
  <si>
    <t>204,400.00</t>
  </si>
  <si>
    <t>319,000.00</t>
  </si>
  <si>
    <t>11,292.60</t>
  </si>
  <si>
    <t>2,953,913.99</t>
  </si>
  <si>
    <t>785,539.91</t>
  </si>
  <si>
    <t>855,000.00</t>
  </si>
  <si>
    <t>504,913.00</t>
  </si>
  <si>
    <t>439,000.00</t>
  </si>
  <si>
    <t>21,430.00</t>
  </si>
  <si>
    <t>251,100.00</t>
  </si>
  <si>
    <t>593,486.00</t>
  </si>
  <si>
    <t>115,380.00</t>
  </si>
  <si>
    <t>136,580.00</t>
  </si>
  <si>
    <t>64,760.00</t>
  </si>
  <si>
    <t>258,320.00</t>
  </si>
  <si>
    <t>442,938.00</t>
  </si>
  <si>
    <t>171,790.00</t>
  </si>
  <si>
    <t>97,210.00</t>
  </si>
  <si>
    <t>129,800.00</t>
  </si>
  <si>
    <t>999,164.00</t>
  </si>
  <si>
    <t>82,485.00</t>
  </si>
  <si>
    <t>999,522.00</t>
  </si>
  <si>
    <t>83,350.00</t>
  </si>
  <si>
    <t>322,983.01</t>
  </si>
  <si>
    <t>136,648.00</t>
  </si>
  <si>
    <t>239,675.00</t>
  </si>
  <si>
    <t>63,035.00</t>
  </si>
  <si>
    <t>89,380.00</t>
  </si>
  <si>
    <t>812,079.12</t>
  </si>
  <si>
    <t>318,682.00</t>
  </si>
  <si>
    <t>61,450.00</t>
  </si>
  <si>
    <t>940,000.00</t>
  </si>
  <si>
    <t>202,500.00</t>
  </si>
  <si>
    <t>80,050.00</t>
  </si>
  <si>
    <t>682,000.00</t>
  </si>
  <si>
    <t>90,336.00</t>
  </si>
  <si>
    <t>85,065.00</t>
  </si>
  <si>
    <t>148,250.00</t>
  </si>
  <si>
    <t>59,360.00</t>
  </si>
  <si>
    <t>150,384.00</t>
  </si>
  <si>
    <t>203,150.00</t>
  </si>
  <si>
    <t>16,337,566.00</t>
  </si>
  <si>
    <t>14,900.00</t>
  </si>
  <si>
    <t>3,050,000.00</t>
  </si>
  <si>
    <t>19,976,684.69</t>
  </si>
  <si>
    <t>11,611,136.41</t>
  </si>
  <si>
    <t>78,380.00</t>
  </si>
  <si>
    <t>7,968,152.80</t>
  </si>
  <si>
    <t>351,310.40</t>
  </si>
  <si>
    <t>501,700.00</t>
  </si>
  <si>
    <t>111,082.27</t>
  </si>
  <si>
    <t>114,435.00</t>
  </si>
  <si>
    <t>62,507,200.00</t>
  </si>
  <si>
    <t>387,431.25</t>
  </si>
  <si>
    <t>241,200.00</t>
  </si>
  <si>
    <t>436,724.90</t>
  </si>
  <si>
    <t>937,645.23</t>
  </si>
  <si>
    <t>301,560.20</t>
  </si>
  <si>
    <t>448,434.11</t>
  </si>
  <si>
    <t>894,181.87</t>
  </si>
  <si>
    <t>58,618,000.00</t>
  </si>
  <si>
    <t>420,100.00</t>
  </si>
  <si>
    <t>413,458.00</t>
  </si>
  <si>
    <t>379,900.00</t>
  </si>
  <si>
    <t>321,571.59</t>
  </si>
  <si>
    <t>132,010.00</t>
  </si>
  <si>
    <t>15,823,455.00</t>
  </si>
  <si>
    <t>308,000.00</t>
  </si>
  <si>
    <t>19,299,918.99</t>
  </si>
  <si>
    <t>58,250.00</t>
  </si>
  <si>
    <t>527,607.80</t>
  </si>
  <si>
    <t>59,800.00</t>
  </si>
  <si>
    <t>86,800.00</t>
  </si>
  <si>
    <t>133,698.00</t>
  </si>
  <si>
    <t>288,871.32</t>
  </si>
  <si>
    <t>81,025.03</t>
  </si>
  <si>
    <t>581,511.30</t>
  </si>
  <si>
    <t>101,514.00</t>
  </si>
  <si>
    <t>247,351.00</t>
  </si>
  <si>
    <t>199,932.80</t>
  </si>
  <si>
    <t>224,217.88</t>
  </si>
  <si>
    <t>192,816.00</t>
  </si>
  <si>
    <t>514,661.32</t>
  </si>
  <si>
    <t>748,260.00</t>
  </si>
  <si>
    <t>549,705.00</t>
  </si>
  <si>
    <t>103,090,000.00</t>
  </si>
  <si>
    <t>163,990.00</t>
  </si>
  <si>
    <t>1,242,306.65</t>
  </si>
  <si>
    <t>972,999.00</t>
  </si>
  <si>
    <t>71,606.34</t>
  </si>
  <si>
    <t>2,656,208.00</t>
  </si>
  <si>
    <t>61,800,000.00</t>
  </si>
  <si>
    <t>102,910,000.00</t>
  </si>
  <si>
    <t>40,140,000.00</t>
  </si>
  <si>
    <t>149,979,138.00</t>
  </si>
  <si>
    <t>64,390.00</t>
  </si>
  <si>
    <t>63,148.54</t>
  </si>
  <si>
    <t>78,710.00</t>
  </si>
  <si>
    <t>283,315.00</t>
  </si>
  <si>
    <t>214,970.00</t>
  </si>
  <si>
    <t>299,923.46</t>
  </si>
  <si>
    <t>8,280,000.00</t>
  </si>
  <si>
    <t>434,500.00</t>
  </si>
  <si>
    <t>105,978.00</t>
  </si>
  <si>
    <t>1,050,450.00</t>
  </si>
  <si>
    <t>199,750.00</t>
  </si>
  <si>
    <t>3,837,420.00</t>
  </si>
  <si>
    <t>463,370.00</t>
  </si>
  <si>
    <t>153,200.00</t>
  </si>
  <si>
    <t>607,510.00</t>
  </si>
  <si>
    <t>399,500.00</t>
  </si>
  <si>
    <t>148,100.00</t>
  </si>
  <si>
    <t>13,001,850.00</t>
  </si>
  <si>
    <t>75,994.00</t>
  </si>
  <si>
    <t>221,875.00</t>
  </si>
  <si>
    <t>297,400.00</t>
  </si>
  <si>
    <t>2,860,000.00</t>
  </si>
  <si>
    <t>226,935.73</t>
  </si>
  <si>
    <t>921,300.00</t>
  </si>
  <si>
    <t>4,874,570.07</t>
  </si>
  <si>
    <t>2,538,450.57</t>
  </si>
  <si>
    <t>810,803.60</t>
  </si>
  <si>
    <t>1,540,000.00</t>
  </si>
  <si>
    <t>2,442,153.59</t>
  </si>
  <si>
    <t>451,940.00</t>
  </si>
  <si>
    <t>380,475.00</t>
  </si>
  <si>
    <t>2,028,250.00</t>
  </si>
  <si>
    <t>394,904.66</t>
  </si>
  <si>
    <t>6,004,766.25</t>
  </si>
  <si>
    <t>621,350.00</t>
  </si>
  <si>
    <t>221,702.66</t>
  </si>
  <si>
    <t>1,162,560.00</t>
  </si>
  <si>
    <t>229,920.00</t>
  </si>
  <si>
    <t>4,454,985.06</t>
  </si>
  <si>
    <t>186,850.00</t>
  </si>
  <si>
    <t>499,400.00</t>
  </si>
  <si>
    <t>141,300.00</t>
  </si>
  <si>
    <t>3,181,219.62</t>
  </si>
  <si>
    <t>3,002,552.09</t>
  </si>
  <si>
    <t>245,651.00</t>
  </si>
  <si>
    <t>72,897.33</t>
  </si>
  <si>
    <t>179,675.88</t>
  </si>
  <si>
    <t>191,822.62</t>
  </si>
  <si>
    <t>175,360.85</t>
  </si>
  <si>
    <t>360,660.00</t>
  </si>
  <si>
    <t>18,433,661.59</t>
  </si>
  <si>
    <t>156,250.00</t>
  </si>
  <si>
    <t>94,735.00</t>
  </si>
  <si>
    <t>168,035.00</t>
  </si>
  <si>
    <t>99,988.00</t>
  </si>
  <si>
    <t>12,350.00</t>
  </si>
  <si>
    <t>55,060.00</t>
  </si>
  <si>
    <t>76,803.75</t>
  </si>
  <si>
    <t>83,022.00</t>
  </si>
  <si>
    <t>119,783.00</t>
  </si>
  <si>
    <t>967,945.00</t>
  </si>
  <si>
    <t>393,855.00</t>
  </si>
  <si>
    <t>118,879.20</t>
  </si>
  <si>
    <t>50,430.00</t>
  </si>
  <si>
    <t>14,687.50</t>
  </si>
  <si>
    <t>81,200.00</t>
  </si>
  <si>
    <t>273,048.01</t>
  </si>
  <si>
    <t>112,766.00</t>
  </si>
  <si>
    <t>106,760.50</t>
  </si>
  <si>
    <t>830,000.00</t>
  </si>
  <si>
    <t>4,127,600.00</t>
  </si>
  <si>
    <t>116,290.00</t>
  </si>
  <si>
    <t>244,000.00</t>
  </si>
  <si>
    <t>134,428.00</t>
  </si>
  <si>
    <t>212,487.00</t>
  </si>
  <si>
    <t>80,136.15</t>
  </si>
  <si>
    <t>346,500.00</t>
  </si>
  <si>
    <t>198,495.00</t>
  </si>
  <si>
    <t>61,475.00</t>
  </si>
  <si>
    <t>54,340.00</t>
  </si>
  <si>
    <t>184,800.00</t>
  </si>
  <si>
    <t>102,918.98</t>
  </si>
  <si>
    <t>101,529.80</t>
  </si>
  <si>
    <t>77,550.00</t>
  </si>
  <si>
    <t>80,045.94</t>
  </si>
  <si>
    <t>339,697.20</t>
  </si>
  <si>
    <t>17,804.00</t>
  </si>
  <si>
    <t>191,400.00</t>
  </si>
  <si>
    <t>101,210.00</t>
  </si>
  <si>
    <t>2,750,000.00</t>
  </si>
  <si>
    <t>553,918.08</t>
  </si>
  <si>
    <t>221,130.04</t>
  </si>
  <si>
    <t>1,913,690.00</t>
  </si>
  <si>
    <t>210,362.31</t>
  </si>
  <si>
    <t>1,071,622.85</t>
  </si>
  <si>
    <t>479,980.00</t>
  </si>
  <si>
    <t>68,448.00</t>
  </si>
  <si>
    <t>74,565.00</t>
  </si>
  <si>
    <t>947,430.00</t>
  </si>
  <si>
    <t>58,462.51</t>
  </si>
  <si>
    <t>2,179,808.00</t>
  </si>
  <si>
    <t>105,445.00</t>
  </si>
  <si>
    <t>449,000.00</t>
  </si>
  <si>
    <t>535,488.60</t>
  </si>
  <si>
    <t>212,000.00</t>
  </si>
  <si>
    <t>100,036.64</t>
  </si>
  <si>
    <t>94,794.00</t>
  </si>
  <si>
    <t>714,500.00</t>
  </si>
  <si>
    <t>415,715.00</t>
  </si>
  <si>
    <t>3,506,480.00</t>
  </si>
  <si>
    <t>83,915.00</t>
  </si>
  <si>
    <t>816,856.00</t>
  </si>
  <si>
    <t>75,900.00</t>
  </si>
  <si>
    <t>357,750.00</t>
  </si>
  <si>
    <t>2,523,495.00</t>
  </si>
  <si>
    <t>95,085.82</t>
  </si>
  <si>
    <t>59,963.98</t>
  </si>
  <si>
    <t>62,270.00</t>
  </si>
  <si>
    <t>3,580,995.00</t>
  </si>
  <si>
    <t>252,408.00</t>
  </si>
  <si>
    <t>284,972.00</t>
  </si>
  <si>
    <t>242,970.00</t>
  </si>
  <si>
    <t>58,373.00</t>
  </si>
  <si>
    <t>107,380.00</t>
  </si>
  <si>
    <t>483,000.00</t>
  </si>
  <si>
    <t>3,556,991.00</t>
  </si>
  <si>
    <t>1,039,000.00</t>
  </si>
  <si>
    <t>80,662.28</t>
  </si>
  <si>
    <t>81,365.00</t>
  </si>
  <si>
    <t>64,080.00</t>
  </si>
  <si>
    <t>68,720.00</t>
  </si>
  <si>
    <t>78,800.00</t>
  </si>
  <si>
    <t>129,950.00</t>
  </si>
  <si>
    <t>37,110,900.06</t>
  </si>
  <si>
    <t>265,832.58</t>
  </si>
  <si>
    <t>45,500.00</t>
  </si>
  <si>
    <t>661,000.00</t>
  </si>
  <si>
    <t>2,596,032.00</t>
  </si>
  <si>
    <t>775,800.00</t>
  </si>
  <si>
    <t>108,720.00</t>
  </si>
  <si>
    <t>55,280.00</t>
  </si>
  <si>
    <t>11,072,763.24</t>
  </si>
  <si>
    <t>19,250.00</t>
  </si>
  <si>
    <t>225,026.00</t>
  </si>
  <si>
    <t>53,280.00</t>
  </si>
  <si>
    <t>76,560.00</t>
  </si>
  <si>
    <t>281,000.00</t>
  </si>
  <si>
    <t>65,260.00</t>
  </si>
  <si>
    <t>2,129,432.00</t>
  </si>
  <si>
    <t>89,550.00</t>
  </si>
  <si>
    <t>908,000.00</t>
  </si>
  <si>
    <t>518,795.10</t>
  </si>
  <si>
    <t>140,628.00</t>
  </si>
  <si>
    <t>111,452.00</t>
  </si>
  <si>
    <t>337,770.00</t>
  </si>
  <si>
    <t>337,485.45</t>
  </si>
  <si>
    <t>1,249,901.00</t>
  </si>
  <si>
    <t>58,450.00</t>
  </si>
  <si>
    <t>43,610,000.00</t>
  </si>
  <si>
    <t>136,940.00</t>
  </si>
  <si>
    <t>73,995.00</t>
  </si>
  <si>
    <t>99,419.00</t>
  </si>
  <si>
    <t>134,100.00</t>
  </si>
  <si>
    <t>440,129.76</t>
  </si>
  <si>
    <t>1,199,747.00</t>
  </si>
  <si>
    <t>240,400.00</t>
  </si>
  <si>
    <t>187,400.00</t>
  </si>
  <si>
    <t>989,400.00</t>
  </si>
  <si>
    <t>652,915.03</t>
  </si>
  <si>
    <t>633,668.51</t>
  </si>
  <si>
    <t>153,270.00</t>
  </si>
  <si>
    <t>104,865.00</t>
  </si>
  <si>
    <t>1,080,830.90</t>
  </si>
  <si>
    <t>70,290.00</t>
  </si>
  <si>
    <t>52,340.00</t>
  </si>
  <si>
    <t>428,200.00</t>
  </si>
  <si>
    <t>2,707,015.00</t>
  </si>
  <si>
    <t>121,000.00</t>
  </si>
  <si>
    <t>122,850.00</t>
  </si>
  <si>
    <t>105,373.00</t>
  </si>
  <si>
    <t>52,970.00</t>
  </si>
  <si>
    <t>2,315.00</t>
  </si>
  <si>
    <t>232,000.00</t>
  </si>
  <si>
    <t>63,818.00</t>
  </si>
  <si>
    <t>8,818,028.00</t>
  </si>
  <si>
    <t>999,850.00</t>
  </si>
  <si>
    <t>51,786.73</t>
  </si>
  <si>
    <t>54,525.34</t>
  </si>
  <si>
    <t>147,800.00</t>
  </si>
  <si>
    <t>432,674.07</t>
  </si>
  <si>
    <t>160,900.00</t>
  </si>
  <si>
    <t>999,220.00</t>
  </si>
  <si>
    <t>15,629,027.00</t>
  </si>
  <si>
    <t>179,629.75</t>
  </si>
  <si>
    <t>99,772.33</t>
  </si>
  <si>
    <t>102,726.60</t>
  </si>
  <si>
    <t>201,600.00</t>
  </si>
  <si>
    <t>125,689.00</t>
  </si>
  <si>
    <t>92,585.50</t>
  </si>
  <si>
    <t>2,045,535.00</t>
  </si>
  <si>
    <t>69,023.00</t>
  </si>
  <si>
    <t>296,000.00</t>
  </si>
  <si>
    <t>152,563.00</t>
  </si>
  <si>
    <t>99,954.41</t>
  </si>
  <si>
    <t>117,070.00</t>
  </si>
  <si>
    <t>203,350.00</t>
  </si>
  <si>
    <t>308,442.00</t>
  </si>
  <si>
    <t>124,249.00</t>
  </si>
  <si>
    <t>496,400.00</t>
  </si>
  <si>
    <t>477,740.00</t>
  </si>
  <si>
    <t>84,553.75</t>
  </si>
  <si>
    <t>5,400,000.00</t>
  </si>
  <si>
    <t>452,200.00</t>
  </si>
  <si>
    <t>393,987.61</t>
  </si>
  <si>
    <t>1,309,428.32</t>
  </si>
  <si>
    <t>210,105.00</t>
  </si>
  <si>
    <t>227,673.00</t>
  </si>
  <si>
    <t>95,095.00</t>
  </si>
  <si>
    <t>202,294.00</t>
  </si>
  <si>
    <t>459,300.00</t>
  </si>
  <si>
    <t>57,469.77</t>
  </si>
  <si>
    <t>159,125.00</t>
  </si>
  <si>
    <t>4,512,604.00</t>
  </si>
  <si>
    <t>296,900.00</t>
  </si>
  <si>
    <t>1,117,000.00</t>
  </si>
  <si>
    <t>3,688,800.00</t>
  </si>
  <si>
    <t>154,845.00</t>
  </si>
  <si>
    <t>59,216.00</t>
  </si>
  <si>
    <t>7,842,789.50</t>
  </si>
  <si>
    <t>930,000.00</t>
  </si>
  <si>
    <t>4,948,860.00</t>
  </si>
  <si>
    <t>961,150.00</t>
  </si>
  <si>
    <t>967,120.00</t>
  </si>
  <si>
    <t>18,998.00</t>
  </si>
  <si>
    <t>1,999,286.73</t>
  </si>
  <si>
    <t>51,700.00</t>
  </si>
  <si>
    <t>100,800.00</t>
  </si>
  <si>
    <t>9,898,860.00</t>
  </si>
  <si>
    <t>162,270.00</t>
  </si>
  <si>
    <t>53,712.50</t>
  </si>
  <si>
    <t>6,810,324.33</t>
  </si>
  <si>
    <t>414,000.00</t>
  </si>
  <si>
    <t>80,649.00</t>
  </si>
  <si>
    <t>14,982,500.00</t>
  </si>
  <si>
    <t>765,160.22</t>
  </si>
  <si>
    <t>594,413.00</t>
  </si>
  <si>
    <t>29,776,100.00</t>
  </si>
  <si>
    <t>1,118,842.95</t>
  </si>
  <si>
    <t>158,353.00</t>
  </si>
  <si>
    <t>117,515.00</t>
  </si>
  <si>
    <t>145,240.00</t>
  </si>
  <si>
    <t>154,450.00</t>
  </si>
  <si>
    <t>2,768,650.00</t>
  </si>
  <si>
    <t>216,344.00</t>
  </si>
  <si>
    <t>136,450.00</t>
  </si>
  <si>
    <t>179,400.00</t>
  </si>
  <si>
    <t>430,358.40</t>
  </si>
  <si>
    <t>70,050.00</t>
  </si>
  <si>
    <t>20,694,730.00</t>
  </si>
  <si>
    <t>112,408.50</t>
  </si>
  <si>
    <t>1,348,812.05</t>
  </si>
  <si>
    <t>4,875,000.00</t>
  </si>
  <si>
    <t>1,621,106.11</t>
  </si>
  <si>
    <t>119,055.00</t>
  </si>
  <si>
    <t>67,900.00</t>
  </si>
  <si>
    <t>1,217,043.00</t>
  </si>
  <si>
    <t>165,230.00</t>
  </si>
  <si>
    <t>734,000.00</t>
  </si>
  <si>
    <t>114,723.00</t>
  </si>
  <si>
    <t>132,279.20</t>
  </si>
  <si>
    <t>938,932.00</t>
  </si>
  <si>
    <t>101,976.00</t>
  </si>
  <si>
    <t>453,820.00</t>
  </si>
  <si>
    <t>89,700.00</t>
  </si>
  <si>
    <t>759,500.00</t>
  </si>
  <si>
    <t>3,989,950.43</t>
  </si>
  <si>
    <t>59,568.00</t>
  </si>
  <si>
    <t>478,332.84</t>
  </si>
  <si>
    <t>1,499,589.11</t>
  </si>
  <si>
    <t>115,602.00</t>
  </si>
  <si>
    <t>17,400.00</t>
  </si>
  <si>
    <t>375,500.00</t>
  </si>
  <si>
    <t>4,950,000.00</t>
  </si>
  <si>
    <t>76,471.34</t>
  </si>
  <si>
    <t>19,798,860.00</t>
  </si>
  <si>
    <t>291,170.00</t>
  </si>
  <si>
    <t>212,950.00</t>
  </si>
  <si>
    <t>149,425.00</t>
  </si>
  <si>
    <t>342,081.63</t>
  </si>
  <si>
    <t>1,836,000.00</t>
  </si>
  <si>
    <t>58,351.00</t>
  </si>
  <si>
    <t>3,581,480.68</t>
  </si>
  <si>
    <t>4,553,485.00</t>
  </si>
  <si>
    <t>220,270.00</t>
  </si>
  <si>
    <t>72,910.00</t>
  </si>
  <si>
    <t>77,750.00</t>
  </si>
  <si>
    <t>164,313.96</t>
  </si>
  <si>
    <t>332,886.92</t>
  </si>
  <si>
    <t>109,005.00</t>
  </si>
  <si>
    <t>488,460.00</t>
  </si>
  <si>
    <t>72,500.00</t>
  </si>
  <si>
    <t>1,551,480.00</t>
  </si>
  <si>
    <t>199,851.00</t>
  </si>
  <si>
    <t>482,000.00</t>
  </si>
  <si>
    <t>2,999,430.00</t>
  </si>
  <si>
    <t>369,600.00</t>
  </si>
  <si>
    <t>106,546.40</t>
  </si>
  <si>
    <t>239,661.50</t>
  </si>
  <si>
    <t>72,260.00</t>
  </si>
  <si>
    <t>972,840.00</t>
  </si>
  <si>
    <t>286,504.00</t>
  </si>
  <si>
    <t>10,450,000.00</t>
  </si>
  <si>
    <t>88,888.00</t>
  </si>
  <si>
    <t>51,826.00</t>
  </si>
  <si>
    <t>262,400.00</t>
  </si>
  <si>
    <t>1,592,936.00</t>
  </si>
  <si>
    <t>81,858.00</t>
  </si>
  <si>
    <t>650,792.00</t>
  </si>
  <si>
    <t>80,675.00</t>
  </si>
  <si>
    <t>146,681.00</t>
  </si>
  <si>
    <t>173,402.00</t>
  </si>
  <si>
    <t>247,720.00</t>
  </si>
  <si>
    <t>291,360.00</t>
  </si>
  <si>
    <t>194,645.00</t>
  </si>
  <si>
    <t>174,795.00</t>
  </si>
  <si>
    <t>68,150.00</t>
  </si>
  <si>
    <t>3,615,260.12</t>
  </si>
  <si>
    <t>1,050,474.00</t>
  </si>
  <si>
    <t>7,740,000.00</t>
  </si>
  <si>
    <t>3,198,503.00</t>
  </si>
  <si>
    <t>381,080.00</t>
  </si>
  <si>
    <t>106,830.00</t>
  </si>
  <si>
    <t>185,853.47</t>
  </si>
  <si>
    <t>257,160.00</t>
  </si>
  <si>
    <t>60,760.00</t>
  </si>
  <si>
    <t>80,202.00</t>
  </si>
  <si>
    <t>19,988,736.00</t>
  </si>
  <si>
    <t>88,040.00</t>
  </si>
  <si>
    <t>57,960.00</t>
  </si>
  <si>
    <t>1,270,399.21</t>
  </si>
  <si>
    <t>89,250.00</t>
  </si>
  <si>
    <t>183,100.00</t>
  </si>
  <si>
    <t>116,000.00</t>
  </si>
  <si>
    <t>239,341.50</t>
  </si>
  <si>
    <t>3,499,774.74</t>
  </si>
  <si>
    <t>68,840.00</t>
  </si>
  <si>
    <t>536,094.00</t>
  </si>
  <si>
    <t>149,155.00</t>
  </si>
  <si>
    <t>98,590.00</t>
  </si>
  <si>
    <t>419,373.50</t>
  </si>
  <si>
    <t>443,014.50</t>
  </si>
  <si>
    <t>178,000.00</t>
  </si>
  <si>
    <t>448,965.00</t>
  </si>
  <si>
    <t>71,835.00</t>
  </si>
  <si>
    <t>163,785.00</t>
  </si>
  <si>
    <t>1,461,300.00</t>
  </si>
  <si>
    <t>125,095.00</t>
  </si>
  <si>
    <t>110,240.00</t>
  </si>
  <si>
    <t>86,051.00</t>
  </si>
  <si>
    <t>238,680.00</t>
  </si>
  <si>
    <t>423,400.00</t>
  </si>
  <si>
    <t>96,873.58</t>
  </si>
  <si>
    <t>19,299,742.25</t>
  </si>
  <si>
    <t>140,580.00</t>
  </si>
  <si>
    <t>210,500.00</t>
  </si>
  <si>
    <t>637,781.00</t>
  </si>
  <si>
    <t>86,850,000.00</t>
  </si>
  <si>
    <t>434,995.30</t>
  </si>
  <si>
    <t>7,320,968.00</t>
  </si>
  <si>
    <t>72,744.00</t>
  </si>
  <si>
    <t>290,502.00</t>
  </si>
  <si>
    <t>47,800.00</t>
  </si>
  <si>
    <t>4,391,435.00</t>
  </si>
  <si>
    <t>315,302.30</t>
  </si>
  <si>
    <t>71,150.00</t>
  </si>
  <si>
    <t>115,350.00</t>
  </si>
  <si>
    <t>119,840.00</t>
  </si>
  <si>
    <t>1,668,600.00</t>
  </si>
  <si>
    <t>68,098.40</t>
  </si>
  <si>
    <t>5,586,080.96</t>
  </si>
  <si>
    <t>199,400.50</t>
  </si>
  <si>
    <t>114,576.50</t>
  </si>
  <si>
    <t>363,895.00</t>
  </si>
  <si>
    <t>71,663.35</t>
  </si>
  <si>
    <t>52,360.00</t>
  </si>
  <si>
    <t>25,230.00</t>
  </si>
  <si>
    <t>41,000.00</t>
  </si>
  <si>
    <t>501,729.80</t>
  </si>
  <si>
    <t>335,060.00</t>
  </si>
  <si>
    <t>34,689,351.93</t>
  </si>
  <si>
    <t>353,729.42</t>
  </si>
  <si>
    <t>295,246.00</t>
  </si>
  <si>
    <t>61,509.00</t>
  </si>
  <si>
    <t>113,100.00</t>
  </si>
  <si>
    <t>107,070.00</t>
  </si>
  <si>
    <t>700,277.00</t>
  </si>
  <si>
    <t>673,500.00</t>
  </si>
  <si>
    <t>74,969.00</t>
  </si>
  <si>
    <t>276,440.00</t>
  </si>
  <si>
    <t>70,525.25</t>
  </si>
  <si>
    <t>514,600.00</t>
  </si>
  <si>
    <t>237,200.00</t>
  </si>
  <si>
    <t>172,296.00</t>
  </si>
  <si>
    <t>911,000.00</t>
  </si>
  <si>
    <t>288,550.00</t>
  </si>
  <si>
    <t>999,467.50</t>
  </si>
  <si>
    <t>331,002.00</t>
  </si>
  <si>
    <t>748,724.00</t>
  </si>
  <si>
    <t>20,120.00</t>
  </si>
  <si>
    <t>640,000.00</t>
  </si>
  <si>
    <t>597,135.00</t>
  </si>
  <si>
    <t>57,180.00</t>
  </si>
  <si>
    <t>263,843.00</t>
  </si>
  <si>
    <t>940,125.00</t>
  </si>
  <si>
    <t>93,555.00</t>
  </si>
  <si>
    <t>2,183,565.13</t>
  </si>
  <si>
    <t>126,805.50</t>
  </si>
  <si>
    <t>990,691.80</t>
  </si>
  <si>
    <t>39,000,000.00</t>
  </si>
  <si>
    <t>201,536.33</t>
  </si>
  <si>
    <t>250,750.00</t>
  </si>
  <si>
    <t>588,000.00</t>
  </si>
  <si>
    <t>355,835.00</t>
  </si>
  <si>
    <t>74,680.59</t>
  </si>
  <si>
    <t>279,375.00</t>
  </si>
  <si>
    <t>648,620.00</t>
  </si>
  <si>
    <t>230,177.00</t>
  </si>
  <si>
    <t>225,000,000.00</t>
  </si>
  <si>
    <t>51,010.00</t>
  </si>
  <si>
    <t>219,950.00</t>
  </si>
  <si>
    <t>205,350.00</t>
  </si>
  <si>
    <t>346,263.00</t>
  </si>
  <si>
    <t>151,070.00</t>
  </si>
  <si>
    <t>591,283.04</t>
  </si>
  <si>
    <t>2,650,000.00</t>
  </si>
  <si>
    <t>301,200.00</t>
  </si>
  <si>
    <t>106,875.00</t>
  </si>
  <si>
    <t>1,750,349.32</t>
  </si>
  <si>
    <t>1,141,934.50</t>
  </si>
  <si>
    <t>665,750.00</t>
  </si>
  <si>
    <t>9,995.00</t>
  </si>
  <si>
    <t>38,250,000.00</t>
  </si>
  <si>
    <t>82,500.00</t>
  </si>
  <si>
    <t>375,000,000.00</t>
  </si>
  <si>
    <t>20,100.00</t>
  </si>
  <si>
    <t>148,745.00</t>
  </si>
  <si>
    <t>109,655.44</t>
  </si>
  <si>
    <t>569,000.00</t>
  </si>
  <si>
    <t>17,796,244.00</t>
  </si>
  <si>
    <t>203,078.00</t>
  </si>
  <si>
    <t>87,690.00</t>
  </si>
  <si>
    <t>299,220.66</t>
  </si>
  <si>
    <t>1,940,123.50</t>
  </si>
  <si>
    <t>1,740,000.00</t>
  </si>
  <si>
    <t>167,612.00</t>
  </si>
  <si>
    <t>10,800,000.00</t>
  </si>
  <si>
    <t>1,987,535.40</t>
  </si>
  <si>
    <t>334,124.49</t>
  </si>
  <si>
    <t>1,878,440.00</t>
  </si>
  <si>
    <t>63,450.00</t>
  </si>
  <si>
    <t>1,865.00</t>
  </si>
  <si>
    <t>628,000.00</t>
  </si>
  <si>
    <t>28,560.00</t>
  </si>
  <si>
    <t>736,939.56</t>
  </si>
  <si>
    <t>379,230.00</t>
  </si>
  <si>
    <t>668,068.31</t>
  </si>
  <si>
    <t>218,400.00</t>
  </si>
  <si>
    <t>5,904,178.86</t>
  </si>
  <si>
    <t>35,640.00</t>
  </si>
  <si>
    <t>485,600.00</t>
  </si>
  <si>
    <t>117,000.00</t>
  </si>
  <si>
    <t>3,136,254.00</t>
  </si>
  <si>
    <t>217,275.00</t>
  </si>
  <si>
    <t>18,235.00</t>
  </si>
  <si>
    <t>534,555.00</t>
  </si>
  <si>
    <t>303,242.80</t>
  </si>
  <si>
    <t>10,558,200.00</t>
  </si>
  <si>
    <t>878,162.40</t>
  </si>
  <si>
    <t>464,436.00</t>
  </si>
  <si>
    <t>25,000,000.00</t>
  </si>
  <si>
    <t>365,000.00</t>
  </si>
  <si>
    <t>164,570.00</t>
  </si>
  <si>
    <t>64,260.00</t>
  </si>
  <si>
    <t>81,850.00</t>
  </si>
  <si>
    <t>163,180.00</t>
  </si>
  <si>
    <t>308,587.00</t>
  </si>
  <si>
    <t>10,614,920.00</t>
  </si>
  <si>
    <t>886,613.00</t>
  </si>
  <si>
    <t>367,530.00</t>
  </si>
  <si>
    <t>88,250.00</t>
  </si>
  <si>
    <t>272,320.00</t>
  </si>
  <si>
    <t>145,200.00</t>
  </si>
  <si>
    <t>202,643.25</t>
  </si>
  <si>
    <t>75,295.00</t>
  </si>
  <si>
    <t>371,467.64</t>
  </si>
  <si>
    <t>141,381.00</t>
  </si>
  <si>
    <t>67,200.00</t>
  </si>
  <si>
    <t>298,460.00</t>
  </si>
  <si>
    <t>236,942.00</t>
  </si>
  <si>
    <t>818,890.00</t>
  </si>
  <si>
    <t>214,865.00</t>
  </si>
  <si>
    <t>26,458,000.00</t>
  </si>
  <si>
    <t>71,700.00</t>
  </si>
  <si>
    <t>68,900.00</t>
  </si>
  <si>
    <t>122,497.00</t>
  </si>
  <si>
    <t>680,622.00</t>
  </si>
  <si>
    <t>8,465.00</t>
  </si>
  <si>
    <t>75,475.00</t>
  </si>
  <si>
    <t>65,720.00</t>
  </si>
  <si>
    <t>8,770.00</t>
  </si>
  <si>
    <t>247,393.60</t>
  </si>
  <si>
    <t>471,500.00</t>
  </si>
  <si>
    <t>12,955.00</t>
  </si>
  <si>
    <t>148,354.00</t>
  </si>
  <si>
    <t>197,000.00</t>
  </si>
  <si>
    <t>456,500.00</t>
  </si>
  <si>
    <t>90,381.00</t>
  </si>
  <si>
    <t>349,076.00</t>
  </si>
  <si>
    <t>65,550.00</t>
  </si>
  <si>
    <t>164,650.00</t>
  </si>
  <si>
    <t>1,575,000.00</t>
  </si>
  <si>
    <t>332,954.00</t>
  </si>
  <si>
    <t>1,448,750.00</t>
  </si>
  <si>
    <t>76,550.00</t>
  </si>
  <si>
    <t>58,500,000.00</t>
  </si>
  <si>
    <t>22,665,000.00</t>
  </si>
  <si>
    <t>396,645.00</t>
  </si>
  <si>
    <t>2,682,231.00</t>
  </si>
  <si>
    <t>5,974,000.00</t>
  </si>
  <si>
    <t>492,130.00</t>
  </si>
  <si>
    <t>403,564.00</t>
  </si>
  <si>
    <t>64,912.50</t>
  </si>
  <si>
    <t>175,090.00</t>
  </si>
  <si>
    <t>751,130.00</t>
  </si>
  <si>
    <t>492,150.00</t>
  </si>
  <si>
    <t>15,053.00</t>
  </si>
  <si>
    <t>9,254,000.00</t>
  </si>
  <si>
    <t>346,822.00</t>
  </si>
  <si>
    <t>449,999.68</t>
  </si>
  <si>
    <t>109,800.00</t>
  </si>
  <si>
    <t>211,219.00</t>
  </si>
  <si>
    <t>86,640.00</t>
  </si>
  <si>
    <t>59,926.00</t>
  </si>
  <si>
    <t>35,246.00</t>
  </si>
  <si>
    <t>545,342.72</t>
  </si>
  <si>
    <t>408,400.00</t>
  </si>
  <si>
    <t>731,648.25</t>
  </si>
  <si>
    <t>146,190.00</t>
  </si>
  <si>
    <t>245,760.00</t>
  </si>
  <si>
    <t>447,543.75</t>
  </si>
  <si>
    <t>4,499,999.25</t>
  </si>
  <si>
    <t>130,090.00</t>
  </si>
  <si>
    <t>11,200.00</t>
  </si>
  <si>
    <t>4,999,999.92</t>
  </si>
  <si>
    <t>808,300.00</t>
  </si>
  <si>
    <t>109,599.00</t>
  </si>
  <si>
    <t>321,030.00</t>
  </si>
  <si>
    <t>13,996.00</t>
  </si>
  <si>
    <t>2,060,000.00</t>
  </si>
  <si>
    <t>989,411.75</t>
  </si>
  <si>
    <t>41,533,268.55</t>
  </si>
  <si>
    <t>505,745.00</t>
  </si>
  <si>
    <t>326,800.00</t>
  </si>
  <si>
    <t>283,600.00</t>
  </si>
  <si>
    <t>192,600.00</t>
  </si>
  <si>
    <t>492,367.00</t>
  </si>
  <si>
    <t>206,100.00</t>
  </si>
  <si>
    <t>204,532.00</t>
  </si>
  <si>
    <t>1,285,316.30</t>
  </si>
  <si>
    <t>2,998,644.00</t>
  </si>
  <si>
    <t>108,400.00</t>
  </si>
  <si>
    <t>930,060.00</t>
  </si>
  <si>
    <t>498,240.00</t>
  </si>
  <si>
    <t>499,985.00</t>
  </si>
  <si>
    <t>90,600.00</t>
  </si>
  <si>
    <t>64,825.00</t>
  </si>
  <si>
    <t>297,912.00</t>
  </si>
  <si>
    <t>260,400.00</t>
  </si>
  <si>
    <t>73,400.00</t>
  </si>
  <si>
    <t>348,800.00</t>
  </si>
  <si>
    <t>151,772.50</t>
  </si>
  <si>
    <t>39,996.00</t>
  </si>
  <si>
    <t>83,575.00</t>
  </si>
  <si>
    <t>145,280.00</t>
  </si>
  <si>
    <t>557,000.00</t>
  </si>
  <si>
    <t>128,800.00</t>
  </si>
  <si>
    <t>76,700.00</t>
  </si>
  <si>
    <t>85,362.00</t>
  </si>
  <si>
    <t>1,380,640.00</t>
  </si>
  <si>
    <t>387,875.00</t>
  </si>
  <si>
    <t>43,550.00</t>
  </si>
  <si>
    <t>620,516.40</t>
  </si>
  <si>
    <t>103,950.00</t>
  </si>
  <si>
    <t>292,118.40</t>
  </si>
  <si>
    <t>125,978.58</t>
  </si>
  <si>
    <t>499,963.00</t>
  </si>
  <si>
    <t>369,270.00</t>
  </si>
  <si>
    <t>1,515,000.00</t>
  </si>
  <si>
    <t>420,010.00</t>
  </si>
  <si>
    <t>1,037,568.00</t>
  </si>
  <si>
    <t>325,265.00</t>
  </si>
  <si>
    <t>96,493,175.75</t>
  </si>
  <si>
    <t>91,919.00</t>
  </si>
  <si>
    <t>74,995.00</t>
  </si>
  <si>
    <t>11,207,000.00</t>
  </si>
  <si>
    <t>82,653.00</t>
  </si>
  <si>
    <t>106,500.00</t>
  </si>
  <si>
    <t>62,410.00</t>
  </si>
  <si>
    <t>999,432.40</t>
  </si>
  <si>
    <t>53,120.00</t>
  </si>
  <si>
    <t>957,600.00</t>
  </si>
  <si>
    <t>623,500.00</t>
  </si>
  <si>
    <t>11,097,500.00</t>
  </si>
  <si>
    <t>29,990.00</t>
  </si>
  <si>
    <t>147,741.00</t>
  </si>
  <si>
    <t>1,499,998.94</t>
  </si>
  <si>
    <t>109,739.44</t>
  </si>
  <si>
    <t>10,661,000.00</t>
  </si>
  <si>
    <t>55,400.00</t>
  </si>
  <si>
    <t>49,860.00</t>
  </si>
  <si>
    <t>48,248,165.59</t>
  </si>
  <si>
    <t>2,094,148.91</t>
  </si>
  <si>
    <t>9,649,659.30</t>
  </si>
  <si>
    <t>243,899.40</t>
  </si>
  <si>
    <t>28,950,000.00</t>
  </si>
  <si>
    <t>3,780,998.87</t>
  </si>
  <si>
    <t>79,330.00</t>
  </si>
  <si>
    <t>1,006,490.54</t>
  </si>
  <si>
    <t>1,353,056.60</t>
  </si>
  <si>
    <t>87,780.00</t>
  </si>
  <si>
    <t>1,997,000.00</t>
  </si>
  <si>
    <t>25,939,596.51</t>
  </si>
  <si>
    <t>2,988,661.22</t>
  </si>
  <si>
    <t>84,259.00</t>
  </si>
  <si>
    <t>116,150.00</t>
  </si>
  <si>
    <t>1,450,000.00</t>
  </si>
  <si>
    <t>445,005.00</t>
  </si>
  <si>
    <t>764,150.00</t>
  </si>
  <si>
    <t>130,070.90</t>
  </si>
  <si>
    <t>135,150.00</t>
  </si>
  <si>
    <t>355,311.00</t>
  </si>
  <si>
    <t>1,813,410.00</t>
  </si>
  <si>
    <t>749,462.46</t>
  </si>
  <si>
    <t>237,307.00</t>
  </si>
  <si>
    <t>149,250.00</t>
  </si>
  <si>
    <t>1,979,100.00</t>
  </si>
  <si>
    <t>486,216.93</t>
  </si>
  <si>
    <t>31,210,250.00</t>
  </si>
  <si>
    <t>3,195,185.81</t>
  </si>
  <si>
    <t>30,600.00</t>
  </si>
  <si>
    <t>483,051.45</t>
  </si>
  <si>
    <t>68,250,000.00</t>
  </si>
  <si>
    <t>173,820.00</t>
  </si>
  <si>
    <t>113,674.00</t>
  </si>
  <si>
    <t>627,583.00</t>
  </si>
  <si>
    <t>521,072.38</t>
  </si>
  <si>
    <t>3,210,000.00</t>
  </si>
  <si>
    <t>32,800.00</t>
  </si>
  <si>
    <t>259,652.37</t>
  </si>
  <si>
    <t>2,162,000.00</t>
  </si>
  <si>
    <t>974,402.63</t>
  </si>
  <si>
    <t>72,940.00</t>
  </si>
  <si>
    <t>51,615.00</t>
  </si>
  <si>
    <t>1,542,839.00</t>
  </si>
  <si>
    <t>6,966,992.70</t>
  </si>
  <si>
    <t>125,262.00</t>
  </si>
  <si>
    <t>73,125.00</t>
  </si>
  <si>
    <t>575,400.00</t>
  </si>
  <si>
    <t>159,000.00</t>
  </si>
  <si>
    <t>67,704.00</t>
  </si>
  <si>
    <t>206,706.15</t>
  </si>
  <si>
    <t>1,169,240.63</t>
  </si>
  <si>
    <t>981,100.00</t>
  </si>
  <si>
    <t>209,686.75</t>
  </si>
  <si>
    <t>8,941,922.70</t>
  </si>
  <si>
    <t>1,947,074.06</t>
  </si>
  <si>
    <t>29,400,000.00</t>
  </si>
  <si>
    <t>7,931,939.92</t>
  </si>
  <si>
    <t>39,200,000.00</t>
  </si>
  <si>
    <t>707,100.00</t>
  </si>
  <si>
    <t>6,142,123.62</t>
  </si>
  <si>
    <t>19,800,000.00</t>
  </si>
  <si>
    <t>200,700.00</t>
  </si>
  <si>
    <t>160,660.00</t>
  </si>
  <si>
    <t>22,291,500.00</t>
  </si>
  <si>
    <t>232,217.53</t>
  </si>
  <si>
    <t>2,338,311.25</t>
  </si>
  <si>
    <t>120,989.00</t>
  </si>
  <si>
    <t>84,975.00</t>
  </si>
  <si>
    <t>2,172,439.50</t>
  </si>
  <si>
    <t>1,196,034.00</t>
  </si>
  <si>
    <t>80,105.00</t>
  </si>
  <si>
    <t>6,500,000.00</t>
  </si>
  <si>
    <t>7,800,000.00</t>
  </si>
  <si>
    <t>724,500.00</t>
  </si>
  <si>
    <t>742,500.00</t>
  </si>
  <si>
    <t>14,500,000.00</t>
  </si>
  <si>
    <t>8,500,000.00</t>
  </si>
  <si>
    <t>37,599.00</t>
  </si>
  <si>
    <t>11,205,859.88</t>
  </si>
  <si>
    <t>174,630.00</t>
  </si>
  <si>
    <t>221,220.00</t>
  </si>
  <si>
    <t>21,712,500.00</t>
  </si>
  <si>
    <t>1,731,900.00</t>
  </si>
  <si>
    <t>202,000.00</t>
  </si>
  <si>
    <t>218,990.00</t>
  </si>
  <si>
    <t>42,621,480.00</t>
  </si>
  <si>
    <t>775,000.00</t>
  </si>
  <si>
    <t>213,180.00</t>
  </si>
  <si>
    <t>263,130.00</t>
  </si>
  <si>
    <t>403,077.00</t>
  </si>
  <si>
    <t>1,133,300.00</t>
  </si>
  <si>
    <t>386,820.00</t>
  </si>
  <si>
    <t>980,532.15</t>
  </si>
  <si>
    <t>5,435,528.31</t>
  </si>
  <si>
    <t>183,065.00</t>
  </si>
  <si>
    <t>405,844.00</t>
  </si>
  <si>
    <t>219,375.00</t>
  </si>
  <si>
    <t>3,507,080.37</t>
  </si>
  <si>
    <t>3,209,463.00</t>
  </si>
  <si>
    <t>107,390.00</t>
  </si>
  <si>
    <t>897,800.99</t>
  </si>
  <si>
    <t>907,500.00</t>
  </si>
  <si>
    <t>220,847.00</t>
  </si>
  <si>
    <t>1,070,000.00</t>
  </si>
  <si>
    <t>163,957,910.41</t>
  </si>
  <si>
    <t>192,610.00</t>
  </si>
  <si>
    <t>8,754.00</t>
  </si>
  <si>
    <t>416,491.75</t>
  </si>
  <si>
    <t>64,827.00</t>
  </si>
  <si>
    <t>211,823.28</t>
  </si>
  <si>
    <t>1,149,802.42</t>
  </si>
  <si>
    <t>91,674,981.18</t>
  </si>
  <si>
    <t>48,249,993.47</t>
  </si>
  <si>
    <t>9,644,197.77</t>
  </si>
  <si>
    <t>4,585,598.86</t>
  </si>
  <si>
    <t>1,249,250.00</t>
  </si>
  <si>
    <t>47,279,251.22</t>
  </si>
  <si>
    <t>49,209,233.59</t>
  </si>
  <si>
    <t>396,600.00</t>
  </si>
  <si>
    <t>83,615.80</t>
  </si>
  <si>
    <t>5,321,000.00</t>
  </si>
  <si>
    <t>399,880.00</t>
  </si>
  <si>
    <t>172,000.00</t>
  </si>
  <si>
    <t>43,424,970.90</t>
  </si>
  <si>
    <t>478,857.88</t>
  </si>
  <si>
    <t>100,102.22</t>
  </si>
  <si>
    <t>484,750.00</t>
  </si>
  <si>
    <t>511,000.00</t>
  </si>
  <si>
    <t>324,708.00</t>
  </si>
  <si>
    <t>172,467.50</t>
  </si>
  <si>
    <t>507,000.00</t>
  </si>
  <si>
    <t>72,490.00</t>
  </si>
  <si>
    <t>365,248.20</t>
  </si>
  <si>
    <t>171,193.00</t>
  </si>
  <si>
    <t>603,801.00</t>
  </si>
  <si>
    <t>255,323.00</t>
  </si>
  <si>
    <t>52,940.00</t>
  </si>
  <si>
    <t>134,861.50</t>
  </si>
  <si>
    <t>466,683.00</t>
  </si>
  <si>
    <t>69,730.00</t>
  </si>
  <si>
    <t>566,690.60</t>
  </si>
  <si>
    <t>171,191.50</t>
  </si>
  <si>
    <t>12,500,000.00</t>
  </si>
  <si>
    <t>3,293,713.00</t>
  </si>
  <si>
    <t>69,650.00</t>
  </si>
  <si>
    <t>4,791,750.00</t>
  </si>
  <si>
    <t>15,282,099.00</t>
  </si>
  <si>
    <t>915,112.00</t>
  </si>
  <si>
    <t>9,034,000.00</t>
  </si>
  <si>
    <t>256,845.96</t>
  </si>
  <si>
    <t>5,558,600.00</t>
  </si>
  <si>
    <t>712,939.98</t>
  </si>
  <si>
    <t>709,510.00</t>
  </si>
  <si>
    <t>199,201.60</t>
  </si>
  <si>
    <t>1,955,021.25</t>
  </si>
  <si>
    <t>83,691.00</t>
  </si>
  <si>
    <t>976,237.50</t>
  </si>
  <si>
    <t>3,228,255.00</t>
  </si>
  <si>
    <t>307,451.00</t>
  </si>
  <si>
    <t>1,380,200.00</t>
  </si>
  <si>
    <t>2,193,751.00</t>
  </si>
  <si>
    <t>1,999,419.80</t>
  </si>
  <si>
    <t>3,862,063.38</t>
  </si>
  <si>
    <t>393,375.00</t>
  </si>
  <si>
    <t>319,981.92</t>
  </si>
  <si>
    <t>21,262,675.97</t>
  </si>
  <si>
    <t>998,865.00</t>
  </si>
  <si>
    <t>204,639.81</t>
  </si>
  <si>
    <t>107,720.00</t>
  </si>
  <si>
    <t>321,923.31</t>
  </si>
  <si>
    <t>254,049.00</t>
  </si>
  <si>
    <t>2,999,456.25</t>
  </si>
  <si>
    <t>48,155,555.52</t>
  </si>
  <si>
    <t>499,240.88</t>
  </si>
  <si>
    <t>1,332,000.00</t>
  </si>
  <si>
    <t>2,714,000.00</t>
  </si>
  <si>
    <t>407,409.00</t>
  </si>
  <si>
    <t>24,171,930.42</t>
  </si>
  <si>
    <t>2,808,960.00</t>
  </si>
  <si>
    <t>65,890.00</t>
  </si>
  <si>
    <t>1,020,000.00</t>
  </si>
  <si>
    <t>2,556,800.00</t>
  </si>
  <si>
    <t>3,815,375.00</t>
  </si>
  <si>
    <t>2,706,480.00</t>
  </si>
  <si>
    <t>21,452,600.00</t>
  </si>
  <si>
    <t>5,680,000.00</t>
  </si>
  <si>
    <t>141,600.00</t>
  </si>
  <si>
    <t>4,209,000.00</t>
  </si>
  <si>
    <t>2,292,500.00</t>
  </si>
  <si>
    <t>397,702.86</t>
  </si>
  <si>
    <t>997,415.96</t>
  </si>
  <si>
    <t>127,382,400.00</t>
  </si>
  <si>
    <t>4,060,500.00</t>
  </si>
  <si>
    <t>3,917,175.00</t>
  </si>
  <si>
    <t>12,935,000.00</t>
  </si>
  <si>
    <t>596,884.99</t>
  </si>
  <si>
    <t>1,107,492.00</t>
  </si>
  <si>
    <t>868,500.00</t>
  </si>
  <si>
    <t>2,355,244.18</t>
  </si>
  <si>
    <t>1,650,607.00</t>
  </si>
  <si>
    <t>5,478,200.00</t>
  </si>
  <si>
    <t>23,000,000.00</t>
  </si>
  <si>
    <t>117,796.40</t>
  </si>
  <si>
    <t>50,000,000.00</t>
  </si>
  <si>
    <t>77,728.13</t>
  </si>
  <si>
    <t>2,701,061.00</t>
  </si>
  <si>
    <t>497,293.93</t>
  </si>
  <si>
    <t>159,518.75</t>
  </si>
  <si>
    <t>116,580.00</t>
  </si>
  <si>
    <t>107,690.00</t>
  </si>
  <si>
    <t>236,400.00</t>
  </si>
  <si>
    <t>912,587.81</t>
  </si>
  <si>
    <t>399,100.00</t>
  </si>
  <si>
    <t>999,500.00</t>
  </si>
  <si>
    <t>450,630.00</t>
  </si>
  <si>
    <t>765,500.00</t>
  </si>
  <si>
    <t>1,480,000.00</t>
  </si>
  <si>
    <t>244,290.00</t>
  </si>
  <si>
    <t>7,700,000.00</t>
  </si>
  <si>
    <t>247,800.00</t>
  </si>
  <si>
    <t>918,099.00</t>
  </si>
  <si>
    <t>2,379,300.00</t>
  </si>
  <si>
    <t>78,174.00</t>
  </si>
  <si>
    <t>2,999,988.60</t>
  </si>
  <si>
    <t>1,246,945.70</t>
  </si>
  <si>
    <t>427,500.00</t>
  </si>
  <si>
    <t>1,499,739.73</t>
  </si>
  <si>
    <t>155,350.00</t>
  </si>
  <si>
    <t>112,143.00</t>
  </si>
  <si>
    <t>704,976.48</t>
  </si>
  <si>
    <t>296,400.00</t>
  </si>
  <si>
    <t>75,286.00</t>
  </si>
  <si>
    <t>1,618,960.00</t>
  </si>
  <si>
    <t>224,553.00</t>
  </si>
  <si>
    <t>385,000.00</t>
  </si>
  <si>
    <t>2,599,670.06</t>
  </si>
  <si>
    <t>281,406.25</t>
  </si>
  <si>
    <t>323,912.50</t>
  </si>
  <si>
    <t>1,461,072.16</t>
  </si>
  <si>
    <t>965,695.17</t>
  </si>
  <si>
    <t>824,932.29</t>
  </si>
  <si>
    <t>2,447,000.00</t>
  </si>
  <si>
    <t>64,400.00</t>
  </si>
  <si>
    <t>1,255,065.00</t>
  </si>
  <si>
    <t>145,550.00</t>
  </si>
  <si>
    <t>593,050.00</t>
  </si>
  <si>
    <t>160,480.00</t>
  </si>
  <si>
    <t>305,600.00</t>
  </si>
  <si>
    <t>299,977.14</t>
  </si>
  <si>
    <t>499,926.26</t>
  </si>
  <si>
    <t>852,475.50</t>
  </si>
  <si>
    <t>199,939.61</t>
  </si>
  <si>
    <t>598,821.27</t>
  </si>
  <si>
    <t>98,987.00</t>
  </si>
  <si>
    <t>16,150,014.78</t>
  </si>
  <si>
    <t>1,959,665.39</t>
  </si>
  <si>
    <t>472,250.00</t>
  </si>
  <si>
    <t>280,760.00</t>
  </si>
  <si>
    <t>30,543,229.53</t>
  </si>
  <si>
    <t>868,300.00</t>
  </si>
  <si>
    <t>599,300.00</t>
  </si>
  <si>
    <t>157,495.00</t>
  </si>
  <si>
    <t>130,909.00</t>
  </si>
  <si>
    <t>1,988,179.70</t>
  </si>
  <si>
    <t>689,465.59</t>
  </si>
  <si>
    <t>486,819.98</t>
  </si>
  <si>
    <t>10,285,000.00</t>
  </si>
  <si>
    <t>129,985.00</t>
  </si>
  <si>
    <t>12,028,000.00</t>
  </si>
  <si>
    <t>131,250.00</t>
  </si>
  <si>
    <t>164,200.00</t>
  </si>
  <si>
    <t>972,164.97</t>
  </si>
  <si>
    <t>17,742.00</t>
  </si>
  <si>
    <t>363,500.00</t>
  </si>
  <si>
    <t>299,865.00</t>
  </si>
  <si>
    <t>8,323,000.00</t>
  </si>
  <si>
    <t>299,880.00</t>
  </si>
  <si>
    <t>96,500,000.00</t>
  </si>
  <si>
    <t>499,999.80</t>
  </si>
  <si>
    <t>121,558.00</t>
  </si>
  <si>
    <t>53,765.02</t>
  </si>
  <si>
    <t>549,996.70</t>
  </si>
  <si>
    <t>399,025.00</t>
  </si>
  <si>
    <t>2,329,000.00</t>
  </si>
  <si>
    <t>1,545,000.00</t>
  </si>
  <si>
    <t>54,050.00</t>
  </si>
  <si>
    <t>4,565,773.70</t>
  </si>
  <si>
    <t>323,318.00</t>
  </si>
  <si>
    <t>348,750.00</t>
  </si>
  <si>
    <t>322,445.00</t>
  </si>
  <si>
    <t>79,800.00</t>
  </si>
  <si>
    <t>651,538.00</t>
  </si>
  <si>
    <t>99,991.70</t>
  </si>
  <si>
    <t>359,740.00</t>
  </si>
  <si>
    <t>160,740.00</t>
  </si>
  <si>
    <t>967,995.41</t>
  </si>
  <si>
    <t>199,620.00</t>
  </si>
  <si>
    <t>97,030.62</t>
  </si>
  <si>
    <t>190,900.00</t>
  </si>
  <si>
    <t>221,300.00</t>
  </si>
  <si>
    <t>279,000.00</t>
  </si>
  <si>
    <t>2,499,684.74</t>
  </si>
  <si>
    <t>479,213.00</t>
  </si>
  <si>
    <t>358,250.00</t>
  </si>
  <si>
    <t>569,550.00</t>
  </si>
  <si>
    <t>206,081.50</t>
  </si>
  <si>
    <t>200,280.00</t>
  </si>
  <si>
    <t>418,339.97</t>
  </si>
  <si>
    <t>90,679.00</t>
  </si>
  <si>
    <t>165,840.00</t>
  </si>
  <si>
    <t>198,549.50</t>
  </si>
  <si>
    <t>99,904.44</t>
  </si>
  <si>
    <t>118,267.65</t>
  </si>
  <si>
    <t>115,174.35</t>
  </si>
  <si>
    <t>324,226.18</t>
  </si>
  <si>
    <t>93,370.00</t>
  </si>
  <si>
    <t>174,819.00</t>
  </si>
  <si>
    <t>881,966.00</t>
  </si>
  <si>
    <t>232,100.00</t>
  </si>
  <si>
    <t>770,367.00</t>
  </si>
  <si>
    <t>135,351.51</t>
  </si>
  <si>
    <t>2,999,977.10</t>
  </si>
  <si>
    <t>605,155.00</t>
  </si>
  <si>
    <t>396,448.85</t>
  </si>
  <si>
    <t>4,899,942.08</t>
  </si>
  <si>
    <t>14,999,984.68</t>
  </si>
  <si>
    <t>11,249.00</t>
  </si>
  <si>
    <t>53,582.00</t>
  </si>
  <si>
    <t>77,500.00</t>
  </si>
  <si>
    <t>87,548.15</t>
  </si>
  <si>
    <t>200,324.50</t>
  </si>
  <si>
    <t>210,910.00</t>
  </si>
  <si>
    <t>768,455.19</t>
  </si>
  <si>
    <t>245,088.00</t>
  </si>
  <si>
    <t>422,520.00</t>
  </si>
  <si>
    <t>799,500.00</t>
  </si>
  <si>
    <t>406,100.00</t>
  </si>
  <si>
    <t>97,125.21</t>
  </si>
  <si>
    <t>124,936.00</t>
  </si>
  <si>
    <t>99,485.00</t>
  </si>
  <si>
    <t>104,975.00</t>
  </si>
  <si>
    <t>476,400.00</t>
  </si>
  <si>
    <t>2,641,250.00</t>
  </si>
  <si>
    <t>207,682.76</t>
  </si>
  <si>
    <t>985,315.00</t>
  </si>
  <si>
    <t>2,746,999.96</t>
  </si>
  <si>
    <t>94,695.00</t>
  </si>
  <si>
    <t>79,999,967.34</t>
  </si>
  <si>
    <t>155,600.00</t>
  </si>
  <si>
    <t>56,231.00</t>
  </si>
  <si>
    <t>491,361.00</t>
  </si>
  <si>
    <t>67,264.00</t>
  </si>
  <si>
    <t>999,716.00</t>
  </si>
  <si>
    <t>3,968,096.34</t>
  </si>
  <si>
    <t>1,922,000.00</t>
  </si>
  <si>
    <t>120,870.00</t>
  </si>
  <si>
    <t>140,918.00</t>
  </si>
  <si>
    <t>115,598.85</t>
  </si>
  <si>
    <t>202,684.34</t>
  </si>
  <si>
    <t>663,637.50</t>
  </si>
  <si>
    <t>669,282.26</t>
  </si>
  <si>
    <t>986,000.00</t>
  </si>
  <si>
    <t>5,580.00</t>
  </si>
  <si>
    <t>444,350.00</t>
  </si>
  <si>
    <t>218,515.00</t>
  </si>
  <si>
    <t>3,650,340.00</t>
  </si>
  <si>
    <t>306,020.00</t>
  </si>
  <si>
    <t>971,394.00</t>
  </si>
  <si>
    <t>206,000.00</t>
  </si>
  <si>
    <t>1,044,200.00</t>
  </si>
  <si>
    <t>1,799,426.00</t>
  </si>
  <si>
    <t>105,950.00</t>
  </si>
  <si>
    <t>34,328.66</t>
  </si>
  <si>
    <t>3,499,999.20</t>
  </si>
  <si>
    <t>69,968.05</t>
  </si>
  <si>
    <t>82,440.00</t>
  </si>
  <si>
    <t>663,050.00</t>
  </si>
  <si>
    <t>37,993.00</t>
  </si>
  <si>
    <t>321,783.00</t>
  </si>
  <si>
    <t>69,810.00</t>
  </si>
  <si>
    <t>85,330.00</t>
  </si>
  <si>
    <t>2,618,799.34</t>
  </si>
  <si>
    <t>149,400.00</t>
  </si>
  <si>
    <t>76,045.00</t>
  </si>
  <si>
    <t>79,005.00</t>
  </si>
  <si>
    <t>1,240,784.24</t>
  </si>
  <si>
    <t>817,000.00</t>
  </si>
  <si>
    <t>55,834.00</t>
  </si>
  <si>
    <t>1,731,845.00</t>
  </si>
  <si>
    <t>100,591.00</t>
  </si>
  <si>
    <t>112,858.63</t>
  </si>
  <si>
    <t>14,924,898.93</t>
  </si>
  <si>
    <t>94,995.00</t>
  </si>
  <si>
    <t>3,327,057.00</t>
  </si>
  <si>
    <t>242,550.00</t>
  </si>
  <si>
    <t>1,049,534.81</t>
  </si>
  <si>
    <t>3,130.00</t>
  </si>
  <si>
    <t>51,450.00</t>
  </si>
  <si>
    <t>78,320.00</t>
  </si>
  <si>
    <t>222,270.00</t>
  </si>
  <si>
    <t>890,000.00</t>
  </si>
  <si>
    <t>1,225,790.50</t>
  </si>
  <si>
    <t>75,929.00</t>
  </si>
  <si>
    <t>105,715.30</t>
  </si>
  <si>
    <t>3,944,935.72</t>
  </si>
  <si>
    <t>140,200.00</t>
  </si>
  <si>
    <t>86,130.00</t>
  </si>
  <si>
    <t>213,563.00</t>
  </si>
  <si>
    <t>599,750.00</t>
  </si>
  <si>
    <t>226,997.00</t>
  </si>
  <si>
    <t>238,200.00</t>
  </si>
  <si>
    <t>335,310.00</t>
  </si>
  <si>
    <t>422,889.00</t>
  </si>
  <si>
    <t>492,135.56</t>
  </si>
  <si>
    <t>357,050.00</t>
  </si>
  <si>
    <t>3,736,000.00</t>
  </si>
  <si>
    <t>947,375.00</t>
  </si>
  <si>
    <t>1,232,205.00</t>
  </si>
  <si>
    <t>3,619,500.00</t>
  </si>
  <si>
    <t>499,275.00</t>
  </si>
  <si>
    <t>79,256.00</t>
  </si>
  <si>
    <t>53,130.00</t>
  </si>
  <si>
    <t>351,000.00</t>
  </si>
  <si>
    <t>4,710.00</t>
  </si>
  <si>
    <t>4,311,500.00</t>
  </si>
  <si>
    <t>1,474,597.38</t>
  </si>
  <si>
    <t>191,069.90</t>
  </si>
  <si>
    <t>133,320.00</t>
  </si>
  <si>
    <t>62,400.00</t>
  </si>
  <si>
    <t>340,200.00</t>
  </si>
  <si>
    <t>164,050.00</t>
  </si>
  <si>
    <t>91,270.00</t>
  </si>
  <si>
    <t>249,996.00</t>
  </si>
  <si>
    <t>13,501,798.81</t>
  </si>
  <si>
    <t>17,500,000.00</t>
  </si>
  <si>
    <t>966,517.07</t>
  </si>
  <si>
    <t>499,380.00</t>
  </si>
  <si>
    <t>52,385.00</t>
  </si>
  <si>
    <t>96,000.60</t>
  </si>
  <si>
    <t>96,725.00</t>
  </si>
  <si>
    <t>99,941.82</t>
  </si>
  <si>
    <t>462,599.99</t>
  </si>
  <si>
    <t>3,954,136.55</t>
  </si>
  <si>
    <t>331,845.70</t>
  </si>
  <si>
    <t>7,311,500.00</t>
  </si>
  <si>
    <t>179,920.00</t>
  </si>
  <si>
    <t>62,672.00</t>
  </si>
  <si>
    <t>336,950.00</t>
  </si>
  <si>
    <t>379,126.50</t>
  </si>
  <si>
    <t>386,100.00</t>
  </si>
  <si>
    <t>190,100.00</t>
  </si>
  <si>
    <t>1,457,317.00</t>
  </si>
  <si>
    <t>2,900,000.00</t>
  </si>
  <si>
    <t>499,250.00</t>
  </si>
  <si>
    <t>252,876.25</t>
  </si>
  <si>
    <t>153,102.00</t>
  </si>
  <si>
    <t>104,715.00</t>
  </si>
  <si>
    <t>94,176.00</t>
  </si>
  <si>
    <t>108,405.00</t>
  </si>
  <si>
    <t>4,960,000.00</t>
  </si>
  <si>
    <t>499,149.00</t>
  </si>
  <si>
    <t>90,760.00</t>
  </si>
  <si>
    <t>1,476,000.00</t>
  </si>
  <si>
    <t>139,000.00</t>
  </si>
  <si>
    <t>747,700.00</t>
  </si>
  <si>
    <t>229,900.00</t>
  </si>
  <si>
    <t>1,135,053.00</t>
  </si>
  <si>
    <t>8,600,000.00</t>
  </si>
  <si>
    <t>653,167.00</t>
  </si>
  <si>
    <t>177,700.00</t>
  </si>
  <si>
    <t>2,671,660.00</t>
  </si>
  <si>
    <t>89,050.00</t>
  </si>
  <si>
    <t>55,648.00</t>
  </si>
  <si>
    <t>168,547.19</t>
  </si>
  <si>
    <t>2,107,870.16</t>
  </si>
  <si>
    <t>550,430.00</t>
  </si>
  <si>
    <t>14,996,100.00</t>
  </si>
  <si>
    <t>506,848.13</t>
  </si>
  <si>
    <t>90,300.00</t>
  </si>
  <si>
    <t>2,150,000.00</t>
  </si>
  <si>
    <t>450,700.00</t>
  </si>
  <si>
    <t>100,100.00</t>
  </si>
  <si>
    <t>132,800.00</t>
  </si>
  <si>
    <t>895,900.00</t>
  </si>
  <si>
    <t>204,820.00</t>
  </si>
  <si>
    <t>210,620.00</t>
  </si>
  <si>
    <t>156,712.30</t>
  </si>
  <si>
    <t>1,110,400.00</t>
  </si>
  <si>
    <t>400,200.00</t>
  </si>
  <si>
    <t>1,571,392.00</t>
  </si>
  <si>
    <t>359,640.00</t>
  </si>
  <si>
    <t>529,000.00</t>
  </si>
  <si>
    <t>172,275.80</t>
  </si>
  <si>
    <t>326,000.00</t>
  </si>
  <si>
    <t>1,122,359.00</t>
  </si>
  <si>
    <t>144,017.88</t>
  </si>
  <si>
    <t>3,313,254.53</t>
  </si>
  <si>
    <t>9,872,594.54</t>
  </si>
  <si>
    <t>10,434,652.00</t>
  </si>
  <si>
    <t>532,575.00</t>
  </si>
  <si>
    <t>6,800,000.00</t>
  </si>
  <si>
    <t>69,300,000.00</t>
  </si>
  <si>
    <t>426,000.00</t>
  </si>
  <si>
    <t>74,192.00</t>
  </si>
  <si>
    <t>1,199,617.00</t>
  </si>
  <si>
    <t>4,992,808.58</t>
  </si>
  <si>
    <t>192,338.00</t>
  </si>
  <si>
    <t>729,100.00</t>
  </si>
  <si>
    <t>373,117.80</t>
  </si>
  <si>
    <t>1,499.00</t>
  </si>
  <si>
    <t>142,600.00</t>
  </si>
  <si>
    <t>642,000.00</t>
  </si>
  <si>
    <t>3,060,000.00</t>
  </si>
  <si>
    <t>381,320.00</t>
  </si>
  <si>
    <t>10,108.83</t>
  </si>
  <si>
    <t>21,700.00</t>
  </si>
  <si>
    <t>158,560.00</t>
  </si>
  <si>
    <t>1,489,480.70</t>
  </si>
  <si>
    <t>323,372.00</t>
  </si>
  <si>
    <t>200,000,000.00</t>
  </si>
  <si>
    <t>227,238.50</t>
  </si>
  <si>
    <t>2,341,569.20</t>
  </si>
  <si>
    <t>3,239,993.00</t>
  </si>
  <si>
    <t>304,666.32</t>
  </si>
  <si>
    <t>973,500.00</t>
  </si>
  <si>
    <t>699,999.30</t>
  </si>
  <si>
    <t>1,320,000.00</t>
  </si>
  <si>
    <t>178,797.50</t>
  </si>
  <si>
    <t>80,496.00</t>
  </si>
  <si>
    <t>46,852.71</t>
  </si>
  <si>
    <t>1,166,717.62</t>
  </si>
  <si>
    <t>172,972.00</t>
  </si>
  <si>
    <t>411,057.60</t>
  </si>
  <si>
    <t>2,175,940.00</t>
  </si>
  <si>
    <t>80,102.00</t>
  </si>
  <si>
    <t>51,546.00</t>
  </si>
  <si>
    <t>649,740.00</t>
  </si>
  <si>
    <t>68,005.00</t>
  </si>
  <si>
    <t>141,000.00</t>
  </si>
  <si>
    <t>6,188,397.69</t>
  </si>
  <si>
    <t>37,167,480.00</t>
  </si>
  <si>
    <t>92,769.00</t>
  </si>
  <si>
    <t>3,942,539.19</t>
  </si>
  <si>
    <t>1,690,000.00</t>
  </si>
  <si>
    <t>699,611.66</t>
  </si>
  <si>
    <t>90,168.00</t>
  </si>
  <si>
    <t>921,900.00</t>
  </si>
  <si>
    <t>751,513.00</t>
  </si>
  <si>
    <t>85,351.45</t>
  </si>
  <si>
    <t>83,262.00</t>
  </si>
  <si>
    <t>1,032,013.75</t>
  </si>
  <si>
    <t>1,780,000.00</t>
  </si>
  <si>
    <t>4,450,000.00</t>
  </si>
  <si>
    <t>224,471.30</t>
  </si>
  <si>
    <t>363,186.17</t>
  </si>
  <si>
    <t>180,745.43</t>
  </si>
  <si>
    <t>566,643.01</t>
  </si>
  <si>
    <t>14,377,115.64</t>
  </si>
  <si>
    <t>208,364.95</t>
  </si>
  <si>
    <t>10,065,984.46</t>
  </si>
  <si>
    <t>447,143.00</t>
  </si>
  <si>
    <t>2,499,656.01</t>
  </si>
  <si>
    <t>129,270.00</t>
  </si>
  <si>
    <t>75,040.00</t>
  </si>
  <si>
    <t>2,949,463.74</t>
  </si>
  <si>
    <t>165,864.00</t>
  </si>
  <si>
    <t>10,247,985.56</t>
  </si>
  <si>
    <t>124,800.00</t>
  </si>
  <si>
    <t>624,340.00</t>
  </si>
  <si>
    <t>9,782,715.22</t>
  </si>
  <si>
    <t>547,100.00</t>
  </si>
  <si>
    <t>1,272,160.00</t>
  </si>
  <si>
    <t>5,202,234.31</t>
  </si>
  <si>
    <t>68,600.00</t>
  </si>
  <si>
    <t>978,284.92</t>
  </si>
  <si>
    <t>1,478,528.00</t>
  </si>
  <si>
    <t>776,917.00</t>
  </si>
  <si>
    <t>351,209.29</t>
  </si>
  <si>
    <t>499,992.94</t>
  </si>
  <si>
    <t>71,350.00</t>
  </si>
  <si>
    <t>214,156.60</t>
  </si>
  <si>
    <t>50,600.00</t>
  </si>
  <si>
    <t>999,997.68</t>
  </si>
  <si>
    <t>338,360,907.55</t>
  </si>
  <si>
    <t>13,037.00</t>
  </si>
  <si>
    <t>75,830.00</t>
  </si>
  <si>
    <t>465,840.00</t>
  </si>
  <si>
    <t>474,742.35</t>
  </si>
  <si>
    <t>597,000.00</t>
  </si>
  <si>
    <t>4,868,956.99</t>
  </si>
  <si>
    <t>51,030.80</t>
  </si>
  <si>
    <t>533,000.00</t>
  </si>
  <si>
    <t>119,800.00</t>
  </si>
  <si>
    <t>38,364.00</t>
  </si>
  <si>
    <t>9,106,562.40</t>
  </si>
  <si>
    <t>101,050.00</t>
  </si>
  <si>
    <t>99,300.00</t>
  </si>
  <si>
    <t>243,078.92</t>
  </si>
  <si>
    <t>110,300.00</t>
  </si>
  <si>
    <t>69,768.84</t>
  </si>
  <si>
    <t>510,361.41</t>
  </si>
  <si>
    <t>39,590.00</t>
  </si>
  <si>
    <t>405,053.35</t>
  </si>
  <si>
    <t>226,436.00</t>
  </si>
  <si>
    <t>115,560.00</t>
  </si>
  <si>
    <t>180,402.00</t>
  </si>
  <si>
    <t>209,390.00</t>
  </si>
  <si>
    <t>315,519.51</t>
  </si>
  <si>
    <t>141,885.00</t>
  </si>
  <si>
    <t>195,739.00</t>
  </si>
  <si>
    <t>14,026,016.30</t>
  </si>
  <si>
    <t>499,866.57</t>
  </si>
  <si>
    <t>7,296,651.75</t>
  </si>
  <si>
    <t>137,769.50</t>
  </si>
  <si>
    <t>96,320.00</t>
  </si>
  <si>
    <t>1,747,050.81</t>
  </si>
  <si>
    <t>302,495.00</t>
  </si>
  <si>
    <t>1,399,823.92</t>
  </si>
  <si>
    <t>399,435.34</t>
  </si>
  <si>
    <t>255,160.15</t>
  </si>
  <si>
    <t>87,926,635.06</t>
  </si>
  <si>
    <t>9,864,352.69</t>
  </si>
  <si>
    <t>741,307.95</t>
  </si>
  <si>
    <t>7,867,100.00</t>
  </si>
  <si>
    <t>9,773,470.05</t>
  </si>
  <si>
    <t>399,938.44</t>
  </si>
  <si>
    <t>241,363.00</t>
  </si>
  <si>
    <t>51,348.00</t>
  </si>
  <si>
    <t>109,162.85</t>
  </si>
  <si>
    <t>259,190.00</t>
  </si>
  <si>
    <t>90,710,000.00</t>
  </si>
  <si>
    <t>94,800.00</t>
  </si>
  <si>
    <t>56,600.00</t>
  </si>
  <si>
    <t>28,915,416.00</t>
  </si>
  <si>
    <t>250,875.15</t>
  </si>
  <si>
    <t>231,572.00</t>
  </si>
  <si>
    <t>1,933,000.00</t>
  </si>
  <si>
    <t>304,195.00</t>
  </si>
  <si>
    <t>59,700,000.00</t>
  </si>
  <si>
    <t>58,683,352.00</t>
  </si>
  <si>
    <t>998,668.88</t>
  </si>
  <si>
    <t>1,844,700.00</t>
  </si>
  <si>
    <t>553,365.35</t>
  </si>
  <si>
    <t>432,973.15</t>
  </si>
  <si>
    <t>2,329,876.00</t>
  </si>
  <si>
    <t>102,827.50</t>
  </si>
  <si>
    <t>17,572,490.66</t>
  </si>
  <si>
    <t>416,250.00</t>
  </si>
  <si>
    <t>92,837.00</t>
  </si>
  <si>
    <t>219,550.00</t>
  </si>
  <si>
    <t>3,000,324.53</t>
  </si>
  <si>
    <t>179,906.00</t>
  </si>
  <si>
    <t>155,989.00</t>
  </si>
  <si>
    <t>9,897,724.77</t>
  </si>
  <si>
    <t>944,052.00</t>
  </si>
  <si>
    <t>342,655.23</t>
  </si>
  <si>
    <t>217,257.00</t>
  </si>
  <si>
    <t>378,780.00</t>
  </si>
  <si>
    <t>2,906,518.13</t>
  </si>
  <si>
    <t>253,000.00</t>
  </si>
  <si>
    <t>1,213,686.00</t>
  </si>
  <si>
    <t>9,919,082.61</t>
  </si>
  <si>
    <t>4,908,960.67</t>
  </si>
  <si>
    <t>33,000,000.00</t>
  </si>
  <si>
    <t>4,055,000.00</t>
  </si>
  <si>
    <t>157,996.00</t>
  </si>
  <si>
    <t>221,740.00</t>
  </si>
  <si>
    <t>2,616,312.00</t>
  </si>
  <si>
    <t>193,050.00</t>
  </si>
  <si>
    <t>142,300.00</t>
  </si>
  <si>
    <t>8,840,548.65</t>
  </si>
  <si>
    <t>8,685,493.82</t>
  </si>
  <si>
    <t>200,479.00</t>
  </si>
  <si>
    <t>341,280.00</t>
  </si>
  <si>
    <t>132,628.00</t>
  </si>
  <si>
    <t>11,939,999.69</t>
  </si>
  <si>
    <t>199,997.06</t>
  </si>
  <si>
    <t>1,268,980.00</t>
  </si>
  <si>
    <t>1,193,462.20</t>
  </si>
  <si>
    <t>157,156.00</t>
  </si>
  <si>
    <t>158,910.00</t>
  </si>
  <si>
    <t>796,465.71</t>
  </si>
  <si>
    <t>336,408.00</t>
  </si>
  <si>
    <t>187,990.00</t>
  </si>
  <si>
    <t>374,130.00</t>
  </si>
  <si>
    <t>449,965.34</t>
  </si>
  <si>
    <t>3,162,964.40</t>
  </si>
  <si>
    <t>442,000.00</t>
  </si>
  <si>
    <t>34,650,000.00</t>
  </si>
  <si>
    <t>198,500.40</t>
  </si>
  <si>
    <t>179,924.80</t>
  </si>
  <si>
    <t>128,027.46</t>
  </si>
  <si>
    <t>167,095.00</t>
  </si>
  <si>
    <t>12,304.00</t>
  </si>
  <si>
    <t>73,317.00</t>
  </si>
  <si>
    <t>249,775.00</t>
  </si>
  <si>
    <t>1,059,000.00</t>
  </si>
  <si>
    <t>184,637.72</t>
  </si>
  <si>
    <t>1,427,519.10</t>
  </si>
  <si>
    <t>95,265.00</t>
  </si>
  <si>
    <t>55,785.00</t>
  </si>
  <si>
    <t>9,055,000.00</t>
  </si>
  <si>
    <t>999,400.00</t>
  </si>
  <si>
    <t>41,700.00</t>
  </si>
  <si>
    <t>121,860.00</t>
  </si>
  <si>
    <t>6,580,781.76</t>
  </si>
  <si>
    <t>2,962,000.00</t>
  </si>
  <si>
    <t>169,730.00</t>
  </si>
  <si>
    <t>2,735,000.00</t>
  </si>
  <si>
    <t>6,792,000.00</t>
  </si>
  <si>
    <t>33,800.00</t>
  </si>
  <si>
    <t>166,300.00</t>
  </si>
  <si>
    <t>173,209.00</t>
  </si>
  <si>
    <t>1,087,500.00</t>
  </si>
  <si>
    <t>933,300.00</t>
  </si>
  <si>
    <t>61,962.50</t>
  </si>
  <si>
    <t>12,437,499.80</t>
  </si>
  <si>
    <t>4,905,000.00</t>
  </si>
  <si>
    <t>107,800.00</t>
  </si>
  <si>
    <t>2,640,000.00</t>
  </si>
  <si>
    <t>29,198,600.00</t>
  </si>
  <si>
    <t>50,980.00</t>
  </si>
  <si>
    <t>627,710.00</t>
  </si>
  <si>
    <t>75,460.00</t>
  </si>
  <si>
    <t>833,000.00</t>
  </si>
  <si>
    <t>245,714.00</t>
  </si>
  <si>
    <t>6,986,000.00</t>
  </si>
  <si>
    <t>24,778,151.41</t>
  </si>
  <si>
    <t>1,369,995.64</t>
  </si>
  <si>
    <t>700,200.00</t>
  </si>
  <si>
    <t>359,268.00</t>
  </si>
  <si>
    <t>396,650.00</t>
  </si>
  <si>
    <t>5,700,000.00</t>
  </si>
  <si>
    <t>408,218.00</t>
  </si>
  <si>
    <t>926,755.00</t>
  </si>
  <si>
    <t>399,297.00</t>
  </si>
  <si>
    <t>59,940.00</t>
  </si>
  <si>
    <t>823,436.11</t>
  </si>
  <si>
    <t>999,993.75</t>
  </si>
  <si>
    <t>289,357.00</t>
  </si>
  <si>
    <t>12,772,870.00</t>
  </si>
  <si>
    <t>53,640.00</t>
  </si>
  <si>
    <t>222,303.46</t>
  </si>
  <si>
    <t>4,985,147.00</t>
  </si>
  <si>
    <t>95,484.66</t>
  </si>
  <si>
    <t>472,333.94</t>
  </si>
  <si>
    <t>276,074.15</t>
  </si>
  <si>
    <t>883,490.00</t>
  </si>
  <si>
    <t>552,000.00</t>
  </si>
  <si>
    <t>149,850.00</t>
  </si>
  <si>
    <t>371,365.40</t>
  </si>
  <si>
    <t>344,967.28</t>
  </si>
  <si>
    <t>411,100.00</t>
  </si>
  <si>
    <t>1,412,500.00</t>
  </si>
  <si>
    <t>134,220.00</t>
  </si>
  <si>
    <t>505,390.00</t>
  </si>
  <si>
    <t>6,783,900.00</t>
  </si>
  <si>
    <t>149,700.00</t>
  </si>
  <si>
    <t>18,985,000.00</t>
  </si>
  <si>
    <t>774,000.00</t>
  </si>
  <si>
    <t>595,500.00</t>
  </si>
  <si>
    <t>789,079.20</t>
  </si>
  <si>
    <t>8,982,000.00</t>
  </si>
  <si>
    <t>798,113.89</t>
  </si>
  <si>
    <t>1,350,330.29</t>
  </si>
  <si>
    <t>7,298,257.20</t>
  </si>
  <si>
    <t>468,250.00</t>
  </si>
  <si>
    <t>2,997,328.59</t>
  </si>
  <si>
    <t>634,350.62</t>
  </si>
  <si>
    <t>4,128,401.86</t>
  </si>
  <si>
    <t>9,788,660.00</t>
  </si>
  <si>
    <t>496,685.80</t>
  </si>
  <si>
    <t>92,310.00</t>
  </si>
  <si>
    <t>844,168.20</t>
  </si>
  <si>
    <t>322,000.00</t>
  </si>
  <si>
    <t>346,600.00</t>
  </si>
  <si>
    <t>96,499,105.44</t>
  </si>
  <si>
    <t>172,750.00</t>
  </si>
  <si>
    <t>19,600,000.00</t>
  </si>
  <si>
    <t>132,330.00</t>
  </si>
  <si>
    <t>328,300.00</t>
  </si>
  <si>
    <t>182,500.00</t>
  </si>
  <si>
    <t>1,247,155.00</t>
  </si>
  <si>
    <t>6,091,000.00</t>
  </si>
  <si>
    <t>348,583.00</t>
  </si>
  <si>
    <t>113,855.00</t>
  </si>
  <si>
    <t>796,307.00</t>
  </si>
  <si>
    <t>379,196.00</t>
  </si>
  <si>
    <t>399,918.00</t>
  </si>
  <si>
    <t>329,025.00</t>
  </si>
  <si>
    <t>76,930.00</t>
  </si>
  <si>
    <t>24,727,673.71</t>
  </si>
  <si>
    <t>504,673.00</t>
  </si>
  <si>
    <t>538,000.00</t>
  </si>
  <si>
    <t>72,830.00</t>
  </si>
  <si>
    <t>478,940.00</t>
  </si>
  <si>
    <t>142,888.00</t>
  </si>
  <si>
    <t>144,398.00</t>
  </si>
  <si>
    <t>323,200.00</t>
  </si>
  <si>
    <t>1,413,742.88</t>
  </si>
  <si>
    <t>176,425.00</t>
  </si>
  <si>
    <t>227,000.00</t>
  </si>
  <si>
    <t>241,810.40</t>
  </si>
  <si>
    <t>1,008,400.00</t>
  </si>
  <si>
    <t>312,100.00</t>
  </si>
  <si>
    <t>2,474,677.39</t>
  </si>
  <si>
    <t>499,998.54</t>
  </si>
  <si>
    <t>199,005.60</t>
  </si>
  <si>
    <t>989,987.10</t>
  </si>
  <si>
    <t>114,795.00</t>
  </si>
  <si>
    <t>24,874,969.69</t>
  </si>
  <si>
    <t>159,930.00</t>
  </si>
  <si>
    <t>99,325.00</t>
  </si>
  <si>
    <t>1,615,000.00</t>
  </si>
  <si>
    <t>1,292,950.00</t>
  </si>
  <si>
    <t>99,949.00</t>
  </si>
  <si>
    <t>149,999.45</t>
  </si>
  <si>
    <t>133,200.00</t>
  </si>
  <si>
    <t>1,577,781.69</t>
  </si>
  <si>
    <t>1,515,966.44</t>
  </si>
  <si>
    <t>1,218,000.00</t>
  </si>
  <si>
    <t>113,400.00</t>
  </si>
  <si>
    <t>296,987.63</t>
  </si>
  <si>
    <t>313,741.60</t>
  </si>
  <si>
    <t>86,711.00</t>
  </si>
  <si>
    <t>80,510.00</t>
  </si>
  <si>
    <t>9,700,000.00</t>
  </si>
  <si>
    <t>1,040,000.00</t>
  </si>
  <si>
    <t>77,375.00</t>
  </si>
  <si>
    <t>218,214.60</t>
  </si>
  <si>
    <t>59,780.00</t>
  </si>
  <si>
    <t>18,076,928.17</t>
  </si>
  <si>
    <t>136,925.00</t>
  </si>
  <si>
    <t>2,050,094.00</t>
  </si>
  <si>
    <t>141,067.50</t>
  </si>
  <si>
    <t>9,654,869.08</t>
  </si>
  <si>
    <t>261,242.00</t>
  </si>
  <si>
    <t>99,999.00</t>
  </si>
  <si>
    <t>999,300.00</t>
  </si>
  <si>
    <t>228,320.00</t>
  </si>
  <si>
    <t>201,927.00</t>
  </si>
  <si>
    <t>550,202.50</t>
  </si>
  <si>
    <t>47,446,663.10</t>
  </si>
  <si>
    <t>381,000.00</t>
  </si>
  <si>
    <t>5,980.00</t>
  </si>
  <si>
    <t>10,213,564.00</t>
  </si>
  <si>
    <t>26,950.00</t>
  </si>
  <si>
    <t>55,726.00</t>
  </si>
  <si>
    <t>376,500.00</t>
  </si>
  <si>
    <t>170,526.00</t>
  </si>
  <si>
    <t>476,000.00</t>
  </si>
  <si>
    <t>969,500.00</t>
  </si>
  <si>
    <t>9,946,937.75</t>
  </si>
  <si>
    <t>2,999,150.00</t>
  </si>
  <si>
    <t>133,340.00</t>
  </si>
  <si>
    <t>383,960.00</t>
  </si>
  <si>
    <t>132,750.00</t>
  </si>
  <si>
    <t>5,995,000.00</t>
  </si>
  <si>
    <t>74,080.50</t>
  </si>
  <si>
    <t>66,580.00</t>
  </si>
  <si>
    <t>70,100.00</t>
  </si>
  <si>
    <t>229,473.75</t>
  </si>
  <si>
    <t>49,999.00</t>
  </si>
  <si>
    <t>568,400.00</t>
  </si>
  <si>
    <t>1,920,076.00</t>
  </si>
  <si>
    <t>1,365,000.00</t>
  </si>
  <si>
    <t>18,300.00</t>
  </si>
  <si>
    <t>273,217.20</t>
  </si>
  <si>
    <t>322,015.00</t>
  </si>
  <si>
    <t>57,540.00</t>
  </si>
  <si>
    <t>637,150.66</t>
  </si>
  <si>
    <t>103,625.00</t>
  </si>
  <si>
    <t>177,779.50</t>
  </si>
  <si>
    <t>314,985.00</t>
  </si>
  <si>
    <t>279,333.77</t>
  </si>
  <si>
    <t>73,655.00</t>
  </si>
  <si>
    <t>789,264.00</t>
  </si>
  <si>
    <t>343,907.00</t>
  </si>
  <si>
    <t>968,600.00</t>
  </si>
  <si>
    <t>187,445.00</t>
  </si>
  <si>
    <t>106,578.30</t>
  </si>
  <si>
    <t>250,997.46</t>
  </si>
  <si>
    <t>664,000.00</t>
  </si>
  <si>
    <t>3,719,100.00</t>
  </si>
  <si>
    <t>676,704.70</t>
  </si>
  <si>
    <t>23,800.00</t>
  </si>
  <si>
    <t>1,934,206.80</t>
  </si>
  <si>
    <t>239,275.00</t>
  </si>
  <si>
    <t>53,450.00</t>
  </si>
  <si>
    <t>147,767.00</t>
  </si>
  <si>
    <t>773,400.00</t>
  </si>
  <si>
    <t>513,900.00</t>
  </si>
  <si>
    <t>1,746,800.00</t>
  </si>
  <si>
    <t>159,588.00</t>
  </si>
  <si>
    <t>362,000.00</t>
  </si>
  <si>
    <t>1,034,500.00</t>
  </si>
  <si>
    <t>1,511,000.00</t>
  </si>
  <si>
    <t>5,372,600.00</t>
  </si>
  <si>
    <t>11,396,500.00</t>
  </si>
  <si>
    <t>1,065,400.00</t>
  </si>
  <si>
    <t>2,297,364.00</t>
  </si>
  <si>
    <t>749,994.62</t>
  </si>
  <si>
    <t>99,772.25</t>
  </si>
  <si>
    <t>73,391.20</t>
  </si>
  <si>
    <t>409,239.00</t>
  </si>
  <si>
    <t>807,000.00</t>
  </si>
  <si>
    <t>1,018,762.49</t>
  </si>
  <si>
    <t>199,885.73</t>
  </si>
  <si>
    <t>1,366,500.00</t>
  </si>
  <si>
    <t>18,350,632.00</t>
  </si>
  <si>
    <t>65,000,000.00</t>
  </si>
  <si>
    <t>1,598,612.71</t>
  </si>
  <si>
    <t>123,500,000.00</t>
  </si>
  <si>
    <t>384,088.50</t>
  </si>
  <si>
    <t>94,940.00</t>
  </si>
  <si>
    <t>436,800.00</t>
  </si>
  <si>
    <t>817,858.40</t>
  </si>
  <si>
    <t>249,990.00</t>
  </si>
  <si>
    <t>920,000.00</t>
  </si>
  <si>
    <t>135,330.00</t>
  </si>
  <si>
    <t>495,560.00</t>
  </si>
  <si>
    <t>1,246,972.75</t>
  </si>
  <si>
    <t>1,991,411.55</t>
  </si>
  <si>
    <t>866,000.00</t>
  </si>
  <si>
    <t>361,800.00</t>
  </si>
  <si>
    <t>60,000,000.00</t>
  </si>
  <si>
    <t>2,482,516.45</t>
  </si>
  <si>
    <t>2,481,584.29</t>
  </si>
  <si>
    <t>170,460.00</t>
  </si>
  <si>
    <t>122,256.00</t>
  </si>
  <si>
    <t>117,492.00</t>
  </si>
  <si>
    <t>83,883.00</t>
  </si>
  <si>
    <t>194,184.00</t>
  </si>
  <si>
    <t>118,442.00</t>
  </si>
  <si>
    <t>143,857.28</t>
  </si>
  <si>
    <t>4,969,962.45</t>
  </si>
  <si>
    <t>1,285,792.00</t>
  </si>
  <si>
    <t>152,451.80</t>
  </si>
  <si>
    <t>3,550,000.00</t>
  </si>
  <si>
    <t>7,625,907.88</t>
  </si>
  <si>
    <t>1,725,000.00</t>
  </si>
  <si>
    <t>1,979,988.69</t>
  </si>
  <si>
    <t>1,114,745.00</t>
  </si>
  <si>
    <t>4,049,928.90</t>
  </si>
  <si>
    <t>1,538,745.00</t>
  </si>
  <si>
    <t>1,498,150.00</t>
  </si>
  <si>
    <t>324,000.00</t>
  </si>
  <si>
    <t>1,394,918.00</t>
  </si>
  <si>
    <t>131,894.90</t>
  </si>
  <si>
    <t>1,115,000.00</t>
  </si>
  <si>
    <t>100.00</t>
  </si>
  <si>
    <t>3,619,773.96</t>
  </si>
  <si>
    <t>4,660,332.58</t>
  </si>
  <si>
    <t>143,255.00</t>
  </si>
  <si>
    <t>3,813,800.00</t>
  </si>
  <si>
    <t>1,105,120.59</t>
  </si>
  <si>
    <t>41,528,992.96</t>
  </si>
  <si>
    <t>697,323.98</t>
  </si>
  <si>
    <t>16,555,565.09</t>
  </si>
  <si>
    <t>1,884,609.00</t>
  </si>
  <si>
    <t>496,620.00</t>
  </si>
  <si>
    <t>2,082,620.00</t>
  </si>
  <si>
    <t>2,999,988.86</t>
  </si>
  <si>
    <t>29,999,547.53</t>
  </si>
  <si>
    <t>74,740.00</t>
  </si>
  <si>
    <t>258,936.60</t>
  </si>
  <si>
    <t>100,000,000.00</t>
  </si>
  <si>
    <t>199,874.00</t>
  </si>
  <si>
    <t>83,905.00</t>
  </si>
  <si>
    <t>12,598,763.32</t>
  </si>
  <si>
    <t>594,511.80</t>
  </si>
  <si>
    <t>2,895,000.00</t>
  </si>
  <si>
    <t>14,523,031.52</t>
  </si>
  <si>
    <t>576,000.00</t>
  </si>
  <si>
    <t>2,024,947.20</t>
  </si>
  <si>
    <t>1,909,653.00</t>
  </si>
  <si>
    <t>9,951,965.80</t>
  </si>
  <si>
    <t>6,696,860.00</t>
  </si>
  <si>
    <t>85,200.00</t>
  </si>
  <si>
    <t>508,340,279.03</t>
  </si>
  <si>
    <t>723,730.00</t>
  </si>
  <si>
    <t>499,949.80</t>
  </si>
  <si>
    <t>212,795.63</t>
  </si>
  <si>
    <t>690,000.00</t>
  </si>
  <si>
    <t>1,203,000.00</t>
  </si>
  <si>
    <t>22,750,000.00</t>
  </si>
  <si>
    <t>1,126,392.33</t>
  </si>
  <si>
    <t>1,448,120.05</t>
  </si>
  <si>
    <t>249,500.00</t>
  </si>
  <si>
    <t>30,855,000.00</t>
  </si>
  <si>
    <t>15,384.00</t>
  </si>
  <si>
    <t>2,609,750.00</t>
  </si>
  <si>
    <t>32,000,000.00</t>
  </si>
  <si>
    <t>613,575.00</t>
  </si>
  <si>
    <t>3,394,120.00</t>
  </si>
  <si>
    <t>1,490,400.00</t>
  </si>
  <si>
    <t>2,381,190.94</t>
  </si>
  <si>
    <t>3,265,950.00</t>
  </si>
  <si>
    <t>1,562,042.40</t>
  </si>
  <si>
    <t>501,000.00</t>
  </si>
  <si>
    <t>1,769,700.00</t>
  </si>
  <si>
    <t>33,328,000.00</t>
  </si>
  <si>
    <t>624,932.00</t>
  </si>
  <si>
    <t>1,092,000.00</t>
  </si>
  <si>
    <t>1,519,897.25</t>
  </si>
  <si>
    <t>2,967,886.56</t>
  </si>
  <si>
    <t>1,475,984.99</t>
  </si>
  <si>
    <t>1,656,000.00</t>
  </si>
  <si>
    <t>3,370,509.49</t>
  </si>
  <si>
    <t>10,586,268.00</t>
  </si>
  <si>
    <t>211,000.00</t>
  </si>
  <si>
    <t>11,560,000.00</t>
  </si>
  <si>
    <t>1,469,756.67</t>
  </si>
  <si>
    <t>177,080.00</t>
  </si>
  <si>
    <t>5,381,560.00</t>
  </si>
  <si>
    <t>169,400.00</t>
  </si>
  <si>
    <t>499,989.75</t>
  </si>
  <si>
    <t>6,020,110.00</t>
  </si>
  <si>
    <t>99,980.00</t>
  </si>
  <si>
    <t>3,690,299.00</t>
  </si>
  <si>
    <t>14,999,440.95</t>
  </si>
  <si>
    <t>18,273,300.00</t>
  </si>
  <si>
    <t>14,274,240.00</t>
  </si>
  <si>
    <t>1,836,120.00</t>
  </si>
  <si>
    <t>2,021,684.70</t>
  </si>
  <si>
    <t>745,987.00</t>
  </si>
  <si>
    <t>333,300.00</t>
  </si>
  <si>
    <t>41,087.00</t>
  </si>
  <si>
    <t>2,481,810.00</t>
  </si>
  <si>
    <t>169,201.19</t>
  </si>
  <si>
    <t>893,933.56</t>
  </si>
  <si>
    <t>254,500.00</t>
  </si>
  <si>
    <t>1,228,982.78</t>
  </si>
  <si>
    <t>1,510,769.54</t>
  </si>
  <si>
    <t>562,815.00</t>
  </si>
  <si>
    <t>3,499,978.49</t>
  </si>
  <si>
    <t>218,531.00</t>
  </si>
  <si>
    <t>374,537.00</t>
  </si>
  <si>
    <t>138,469.40</t>
  </si>
  <si>
    <t>13,078,557.00</t>
  </si>
  <si>
    <t>911,740.50</t>
  </si>
  <si>
    <t>305,750.00</t>
  </si>
  <si>
    <t>4,210,797.42</t>
  </si>
  <si>
    <t>1,723,056.00</t>
  </si>
  <si>
    <t>41,791,579.83</t>
  </si>
  <si>
    <t>4,149,200.00</t>
  </si>
  <si>
    <t>685,600.00</t>
  </si>
  <si>
    <t>133,940.00</t>
  </si>
  <si>
    <t>936,544.00</t>
  </si>
  <si>
    <t>2,370,060.00</t>
  </si>
  <si>
    <t>105,240.00</t>
  </si>
  <si>
    <t>3,025,731.98</t>
  </si>
  <si>
    <t>2,925,000.00</t>
  </si>
  <si>
    <t>1,822,444.88</t>
  </si>
  <si>
    <t>52,449.00</t>
  </si>
  <si>
    <t>42,210.00</t>
  </si>
  <si>
    <t>679,000.00</t>
  </si>
  <si>
    <t>354,045.66</t>
  </si>
  <si>
    <t>24,950.00</t>
  </si>
  <si>
    <t>339,120.00</t>
  </si>
  <si>
    <t>152,335.26</t>
  </si>
  <si>
    <t>79,000.00</t>
  </si>
  <si>
    <t>3,613,296.00</t>
  </si>
  <si>
    <t>330,050.00</t>
  </si>
  <si>
    <t>721,127.80</t>
  </si>
  <si>
    <t>215,500.00</t>
  </si>
  <si>
    <t>657,950.00</t>
  </si>
  <si>
    <t>296,875.00</t>
  </si>
  <si>
    <t>7,165,007.50</t>
  </si>
  <si>
    <t>157,175.00</t>
  </si>
  <si>
    <t>123,600.00</t>
  </si>
  <si>
    <t>9,821,801.28</t>
  </si>
  <si>
    <t>26,700,000.00</t>
  </si>
  <si>
    <t>96,030.00</t>
  </si>
  <si>
    <t>1,940,247.82</t>
  </si>
  <si>
    <t>1,282,378.80</t>
  </si>
  <si>
    <t>1,997,966.25</t>
  </si>
  <si>
    <t>9,402,168.45</t>
  </si>
  <si>
    <t>2,734,458.54</t>
  </si>
  <si>
    <t>2,998,317.84</t>
  </si>
  <si>
    <t>94,503.25</t>
  </si>
  <si>
    <t>173,400.00</t>
  </si>
  <si>
    <t>5,909,230.00</t>
  </si>
  <si>
    <t>494,505.00</t>
  </si>
  <si>
    <t>2,364,327.21</t>
  </si>
  <si>
    <t>772,423.55</t>
  </si>
  <si>
    <t>102,755.00</t>
  </si>
  <si>
    <t>51,680.00</t>
  </si>
  <si>
    <t>327,650.00</t>
  </si>
  <si>
    <t>524,403.00</t>
  </si>
  <si>
    <t>198,899.74</t>
  </si>
  <si>
    <t>1,052,500.00</t>
  </si>
  <si>
    <t>50,036.00</t>
  </si>
  <si>
    <t>207,000.00</t>
  </si>
  <si>
    <t>261,140.00</t>
  </si>
  <si>
    <t>122,660.15</t>
  </si>
  <si>
    <t>49,752.90</t>
  </si>
  <si>
    <t>249,948.00</t>
  </si>
  <si>
    <t>115,379.10</t>
  </si>
  <si>
    <t>197,679.12</t>
  </si>
  <si>
    <t>580,000.00</t>
  </si>
  <si>
    <t>45,975.27</t>
  </si>
  <si>
    <t>80,890.00</t>
  </si>
  <si>
    <t>157,499.65</t>
  </si>
  <si>
    <t>6,171,000.00</t>
  </si>
  <si>
    <t>188,500.00</t>
  </si>
  <si>
    <t>98,614.68</t>
  </si>
  <si>
    <t>24,000,000.00</t>
  </si>
  <si>
    <t>5,900,000.00</t>
  </si>
  <si>
    <t>537,000.00</t>
  </si>
  <si>
    <t>1,329,639.58</t>
  </si>
  <si>
    <t>148,476.75</t>
  </si>
  <si>
    <t>98,842.83</t>
  </si>
  <si>
    <t>491,287.23</t>
  </si>
  <si>
    <t>197,994.14</t>
  </si>
  <si>
    <t>367,450.99</t>
  </si>
  <si>
    <t>148,353.06</t>
  </si>
  <si>
    <t>198,435.00</t>
  </si>
  <si>
    <t>1,310,400.00</t>
  </si>
  <si>
    <t>10,205,788.44</t>
  </si>
  <si>
    <t>88,770.00</t>
  </si>
  <si>
    <t>98,958.86</t>
  </si>
  <si>
    <t>36,068.00</t>
  </si>
  <si>
    <t>478,800.00</t>
  </si>
  <si>
    <t>990,107.00</t>
  </si>
  <si>
    <t>89,440.00</t>
  </si>
  <si>
    <t>8,962,790.00</t>
  </si>
  <si>
    <t>208,410.00</t>
  </si>
  <si>
    <t>7,350,600.00</t>
  </si>
  <si>
    <t>918,000.00</t>
  </si>
  <si>
    <t>100,990.00</t>
  </si>
  <si>
    <t>148,488.36</t>
  </si>
  <si>
    <t>58,140.00</t>
  </si>
  <si>
    <t>65,264.00</t>
  </si>
  <si>
    <t>488,865.00</t>
  </si>
  <si>
    <t>965,025.17</t>
  </si>
  <si>
    <t>254,375.00</t>
  </si>
  <si>
    <t>143,410.00</t>
  </si>
  <si>
    <t>186,250.00</t>
  </si>
  <si>
    <t>71,425.00</t>
  </si>
  <si>
    <t>203,438.16</t>
  </si>
  <si>
    <t>277,596.25</t>
  </si>
  <si>
    <t>99,066.84</t>
  </si>
  <si>
    <t>98,684.98</t>
  </si>
  <si>
    <t>1,099,028.56</t>
  </si>
  <si>
    <t>40,526.00</t>
  </si>
  <si>
    <t>1,165,188.00</t>
  </si>
  <si>
    <t>148,658.94</t>
  </si>
  <si>
    <t>133,439.25</t>
  </si>
  <si>
    <t>250,825.00</t>
  </si>
  <si>
    <t>71,810.00</t>
  </si>
  <si>
    <t>102,816.00</t>
  </si>
  <si>
    <t>5,486,456.02</t>
  </si>
  <si>
    <t>183,672.67</t>
  </si>
  <si>
    <t>208,250.00</t>
  </si>
  <si>
    <t>178,927.00</t>
  </si>
  <si>
    <t>495,123.00</t>
  </si>
  <si>
    <t>603,000.00</t>
  </si>
  <si>
    <t>497,255.00</t>
  </si>
  <si>
    <t>91,479.00</t>
  </si>
  <si>
    <t>438,880.00</t>
  </si>
  <si>
    <t>688,065.23</t>
  </si>
  <si>
    <t>15,647.00</t>
  </si>
  <si>
    <t>76,958.00</t>
  </si>
  <si>
    <t>1,890,000.00</t>
  </si>
  <si>
    <t>2,456,551.00</t>
  </si>
  <si>
    <t>524,000.00</t>
  </si>
  <si>
    <t>16,984.00</t>
  </si>
  <si>
    <t>1,099,337.40</t>
  </si>
  <si>
    <t>76,200.00</t>
  </si>
  <si>
    <t>1,046,956.05</t>
  </si>
  <si>
    <t>337,850.00</t>
  </si>
  <si>
    <t>6,970,868.31</t>
  </si>
  <si>
    <t>669,398.31</t>
  </si>
  <si>
    <t>399,000.00</t>
  </si>
  <si>
    <t>459,680.00</t>
  </si>
  <si>
    <t>1,499,220.00</t>
  </si>
  <si>
    <t>223,509.02</t>
  </si>
  <si>
    <t>1,722,142.00</t>
  </si>
  <si>
    <t>1,276,500.00</t>
  </si>
  <si>
    <t>9,800,000.00</t>
  </si>
  <si>
    <t>1,258,220.00</t>
  </si>
  <si>
    <t>718,000.00</t>
  </si>
  <si>
    <t>2,383,935.95</t>
  </si>
  <si>
    <t>96,900.00</t>
  </si>
  <si>
    <t>33,960,000.00</t>
  </si>
  <si>
    <t>328,940.00</t>
  </si>
  <si>
    <t>233,452,146.19</t>
  </si>
  <si>
    <t>1,028,764.00</t>
  </si>
  <si>
    <t>1,365,550.00</t>
  </si>
  <si>
    <t>2,277,400.00</t>
  </si>
  <si>
    <t>5,512,200.00</t>
  </si>
  <si>
    <t>686,354.79</t>
  </si>
  <si>
    <t>100,350.00</t>
  </si>
  <si>
    <t>1,169,620.00</t>
  </si>
  <si>
    <t>520,030.11</t>
  </si>
  <si>
    <t>99,995.70</t>
  </si>
  <si>
    <t>2,280,208.44</t>
  </si>
  <si>
    <t>6,024,315.54</t>
  </si>
  <si>
    <t>536,800.00</t>
  </si>
  <si>
    <t>11,050,000.00</t>
  </si>
  <si>
    <t>205,684.04</t>
  </si>
  <si>
    <t>248,462.50</t>
  </si>
  <si>
    <t>220,242.00</t>
  </si>
  <si>
    <t>140,598.96</t>
  </si>
  <si>
    <t>871,000.00</t>
  </si>
  <si>
    <t>4,970,000.00</t>
  </si>
  <si>
    <t>59,973,000.00</t>
  </si>
  <si>
    <t>3,147,025.32</t>
  </si>
  <si>
    <t>788,000.00</t>
  </si>
  <si>
    <t>884,307.00</t>
  </si>
  <si>
    <t>99,905.82</t>
  </si>
  <si>
    <t>60,375.00</t>
  </si>
  <si>
    <t>5,144,094.42</t>
  </si>
  <si>
    <t>170,555.50</t>
  </si>
  <si>
    <t>245,037.00</t>
  </si>
  <si>
    <t>1,235,000.00</t>
  </si>
  <si>
    <t>1,585,000.00</t>
  </si>
  <si>
    <t>42,473.00</t>
  </si>
  <si>
    <t>4,633,000.00</t>
  </si>
  <si>
    <t>142,950.00</t>
  </si>
  <si>
    <t>1,580,000.00</t>
  </si>
  <si>
    <t>446,040.00</t>
  </si>
  <si>
    <t>2,694,500.00</t>
  </si>
  <si>
    <t>560,200.00</t>
  </si>
  <si>
    <t>1,260,485.90</t>
  </si>
  <si>
    <t>999,884.09</t>
  </si>
  <si>
    <t>593,820.00</t>
  </si>
  <si>
    <t>146,998.00</t>
  </si>
  <si>
    <t>647,500.00</t>
  </si>
  <si>
    <t>2,118,000.00</t>
  </si>
  <si>
    <t>28,400.00</t>
  </si>
  <si>
    <t>108,500.00</t>
  </si>
  <si>
    <t>2,448,494.00</t>
  </si>
  <si>
    <t>117,798.20</t>
  </si>
  <si>
    <t>7,648,452.00</t>
  </si>
  <si>
    <t>856,972.90</t>
  </si>
  <si>
    <t>1,316,000.00</t>
  </si>
  <si>
    <t>563,755.20</t>
  </si>
  <si>
    <t>143,940.00</t>
  </si>
  <si>
    <t>230,776.00</t>
  </si>
  <si>
    <t>3,288,000.00</t>
  </si>
  <si>
    <t>1,920,784.07</t>
  </si>
  <si>
    <t>2,550,000.00</t>
  </si>
  <si>
    <t>1,724,000.00</t>
  </si>
  <si>
    <t>14,368,584.80</t>
  </si>
  <si>
    <t>125,788.00</t>
  </si>
  <si>
    <t>797,126.29</t>
  </si>
  <si>
    <t>54,018.00</t>
  </si>
  <si>
    <t>877,500.00</t>
  </si>
  <si>
    <t>4,290,000.00</t>
  </si>
  <si>
    <t>80,164.00</t>
  </si>
  <si>
    <t>2,104,990.08</t>
  </si>
  <si>
    <t>67,360.00</t>
  </si>
  <si>
    <t>318,853.00</t>
  </si>
  <si>
    <t>1,312,723.54</t>
  </si>
  <si>
    <t>220,770.00</t>
  </si>
  <si>
    <t>447,990.00</t>
  </si>
  <si>
    <t>6,300,000.00</t>
  </si>
  <si>
    <t>473,585.00</t>
  </si>
  <si>
    <t>2,015,000.00</t>
  </si>
  <si>
    <t>2,308,002.81</t>
  </si>
  <si>
    <t>5,480,000.00</t>
  </si>
  <si>
    <t>1,921,369.00</t>
  </si>
  <si>
    <t>968,791.12</t>
  </si>
  <si>
    <t>58,130.00</t>
  </si>
  <si>
    <t>648,066.75</t>
  </si>
  <si>
    <t>784,000.00</t>
  </si>
  <si>
    <t>2,491,599.83</t>
  </si>
  <si>
    <t>358,920.00</t>
  </si>
  <si>
    <t>465,211.00</t>
  </si>
  <si>
    <t>1,999,979.63</t>
  </si>
  <si>
    <t>77,959.00</t>
  </si>
  <si>
    <t>521,000.00</t>
  </si>
  <si>
    <t>52,064,315.86</t>
  </si>
  <si>
    <t>2,007,000.00</t>
  </si>
  <si>
    <t>2,305,689.58</t>
  </si>
  <si>
    <t>56,800.00</t>
  </si>
  <si>
    <t>565,600.00</t>
  </si>
  <si>
    <t>209,486.00</t>
  </si>
  <si>
    <t>296,864.68</t>
  </si>
  <si>
    <t>126,245.00</t>
  </si>
  <si>
    <t>163,400.00</t>
  </si>
  <si>
    <t>2,319,300.00</t>
  </si>
  <si>
    <t>614,600.00</t>
  </si>
  <si>
    <t>203,329.00</t>
  </si>
  <si>
    <t>794,200.00</t>
  </si>
  <si>
    <t>29,944,565.00</t>
  </si>
  <si>
    <t>198,151.80</t>
  </si>
  <si>
    <t>158,705.00</t>
  </si>
  <si>
    <t>239,298.00</t>
  </si>
  <si>
    <t>169,000.00</t>
  </si>
  <si>
    <t>432,240.00</t>
  </si>
  <si>
    <t>80,466.00</t>
  </si>
  <si>
    <t>397,555.00</t>
  </si>
  <si>
    <t>2,649,351.75</t>
  </si>
  <si>
    <t>140,500.00</t>
  </si>
  <si>
    <t>56,870.00</t>
  </si>
  <si>
    <t>81,055.00</t>
  </si>
  <si>
    <t>393,964.29</t>
  </si>
  <si>
    <t>1,799,116.33</t>
  </si>
  <si>
    <t>406,984.00</t>
  </si>
  <si>
    <t>200,090.00</t>
  </si>
  <si>
    <t>1,732,309.40</t>
  </si>
  <si>
    <t>1,175,000.00</t>
  </si>
  <si>
    <t>303,692.63</t>
  </si>
  <si>
    <t>8,850.00</t>
  </si>
  <si>
    <t>10,468,576.50</t>
  </si>
  <si>
    <t>997,050.00</t>
  </si>
  <si>
    <t>34,740,151.61</t>
  </si>
  <si>
    <t>725,000.00</t>
  </si>
  <si>
    <t>298,000.00</t>
  </si>
  <si>
    <t>15,900.00</t>
  </si>
  <si>
    <t>703,000.00</t>
  </si>
  <si>
    <t>17,487,536.51</t>
  </si>
  <si>
    <t>598,701.62</t>
  </si>
  <si>
    <t>25,178,813.24</t>
  </si>
  <si>
    <t>112,100.00</t>
  </si>
  <si>
    <t>499,997.00</t>
  </si>
  <si>
    <t>344,139.00</t>
  </si>
  <si>
    <t>287,544.00</t>
  </si>
  <si>
    <t>3,832.50</t>
  </si>
  <si>
    <t>1,797,975.00</t>
  </si>
  <si>
    <t>1,477,936.00</t>
  </si>
  <si>
    <t>358,563.00</t>
  </si>
  <si>
    <t>150,440.00</t>
  </si>
  <si>
    <t>249,631.85</t>
  </si>
  <si>
    <t>457,732.00</t>
  </si>
  <si>
    <t>187,703.96</t>
  </si>
  <si>
    <t>299,568.89</t>
  </si>
  <si>
    <t>5,392,731.23</t>
  </si>
  <si>
    <t>16,249,511.91</t>
  </si>
  <si>
    <t>9,589,070.04</t>
  </si>
  <si>
    <t>174,209.86</t>
  </si>
  <si>
    <t>400,397.00</t>
  </si>
  <si>
    <t>980,600.00</t>
  </si>
  <si>
    <t>168,092.99</t>
  </si>
  <si>
    <t>977,450.00</t>
  </si>
  <si>
    <t>1,689,600.00</t>
  </si>
  <si>
    <t>2,502,494.00</t>
  </si>
  <si>
    <t>1,683,230.00</t>
  </si>
  <si>
    <t>12,436,240.93</t>
  </si>
  <si>
    <t>114,480.88</t>
  </si>
  <si>
    <t>125,700.00</t>
  </si>
  <si>
    <t>1,597,444.25</t>
  </si>
  <si>
    <t>299,957.44</t>
  </si>
  <si>
    <t>12,436,251.13</t>
  </si>
  <si>
    <t>3,678,470.31</t>
  </si>
  <si>
    <t>141,876.40</t>
  </si>
  <si>
    <t>119,902.66</t>
  </si>
  <si>
    <t>53,900.00</t>
  </si>
  <si>
    <t>85,530.00</t>
  </si>
  <si>
    <t>18,450.00</t>
  </si>
  <si>
    <t>3,136,000.00</t>
  </si>
  <si>
    <t>838,070.50</t>
  </si>
  <si>
    <t>203,610.00</t>
  </si>
  <si>
    <t>194,000.00</t>
  </si>
  <si>
    <t>5,815.00</t>
  </si>
  <si>
    <t>147,682.50</t>
  </si>
  <si>
    <t>466,787.00</t>
  </si>
  <si>
    <t>645,309.00</t>
  </si>
  <si>
    <t>5,641,859.95</t>
  </si>
  <si>
    <t>999,977.50</t>
  </si>
  <si>
    <t>221,611.00</t>
  </si>
  <si>
    <t>282,197.00</t>
  </si>
  <si>
    <t>232,010.75</t>
  </si>
  <si>
    <t>350,494.18</t>
  </si>
  <si>
    <t>328,208.00</t>
  </si>
  <si>
    <t>849,676.47</t>
  </si>
  <si>
    <t>75,326.75</t>
  </si>
  <si>
    <t>344,912.06</t>
  </si>
  <si>
    <t>359,599.00</t>
  </si>
  <si>
    <t>499,840.00</t>
  </si>
  <si>
    <t>795,655.00</t>
  </si>
  <si>
    <t>498,363.46</t>
  </si>
  <si>
    <t>254,193.25</t>
  </si>
  <si>
    <t>1,248,627.37</t>
  </si>
  <si>
    <t>10,900,000.00</t>
  </si>
  <si>
    <t>1,287,176.39</t>
  </si>
  <si>
    <t>373,000.00</t>
  </si>
  <si>
    <t>10,915,040.55</t>
  </si>
  <si>
    <t>1,721,828.17</t>
  </si>
  <si>
    <t>18,688,421.22</t>
  </si>
  <si>
    <t>127,170.00</t>
  </si>
  <si>
    <t>298,720.90</t>
  </si>
  <si>
    <t>217,194.89</t>
  </si>
  <si>
    <t>155,609.00</t>
  </si>
  <si>
    <t>1,726,418.00</t>
  </si>
  <si>
    <t>139,475.00</t>
  </si>
  <si>
    <t>422,972.50</t>
  </si>
  <si>
    <t>1,732,267.50</t>
  </si>
  <si>
    <t>244,550.00</t>
  </si>
  <si>
    <t>144,600.00</t>
  </si>
  <si>
    <t>199,981.07</t>
  </si>
  <si>
    <t>60,750.00</t>
  </si>
  <si>
    <t>1,499,956.66</t>
  </si>
  <si>
    <t>85,490.00</t>
  </si>
  <si>
    <t>2,050,000.00</t>
  </si>
  <si>
    <t>498,150.00</t>
  </si>
  <si>
    <t>14,471,948.85</t>
  </si>
  <si>
    <t>498,560.20</t>
  </si>
  <si>
    <t>226,300.00</t>
  </si>
  <si>
    <t>1,239,287.70</t>
  </si>
  <si>
    <t>341,000.00</t>
  </si>
  <si>
    <t>17,370,000.00</t>
  </si>
  <si>
    <t>911,320.00</t>
  </si>
  <si>
    <t>2,509,000.00</t>
  </si>
  <si>
    <t>799,265.29</t>
  </si>
  <si>
    <t>15,922,500.00</t>
  </si>
  <si>
    <t>351,380.00</t>
  </si>
  <si>
    <t>9,869,160.00</t>
  </si>
  <si>
    <t>6,975,400.03</t>
  </si>
  <si>
    <t>249,168.00</t>
  </si>
  <si>
    <t>1,002,000.00</t>
  </si>
  <si>
    <t>353,726.00</t>
  </si>
  <si>
    <t>129,384.00</t>
  </si>
  <si>
    <t>155,720.00</t>
  </si>
  <si>
    <t>228,405.00</t>
  </si>
  <si>
    <t>771,464.00</t>
  </si>
  <si>
    <t>599,917.48</t>
  </si>
  <si>
    <t>115,729.40</t>
  </si>
  <si>
    <t>70,620.00</t>
  </si>
  <si>
    <t>236,150.00</t>
  </si>
  <si>
    <t>459,292.00</t>
  </si>
  <si>
    <t>3,447,000.00</t>
  </si>
  <si>
    <t>140,000,000.00</t>
  </si>
  <si>
    <t>84,500.00</t>
  </si>
  <si>
    <t>7,320,968.20</t>
  </si>
  <si>
    <t>1,192,320.00</t>
  </si>
  <si>
    <t>212,567.00</t>
  </si>
  <si>
    <t>1,334,004.20</t>
  </si>
  <si>
    <t>415,149.00</t>
  </si>
  <si>
    <t>390,150.00</t>
  </si>
  <si>
    <t>45,980.00</t>
  </si>
  <si>
    <t>205,479.45</t>
  </si>
  <si>
    <t>30,500.00</t>
  </si>
  <si>
    <t>1,419,148.36</t>
  </si>
  <si>
    <t>1,529,500.00</t>
  </si>
  <si>
    <t>591,460.00</t>
  </si>
  <si>
    <t>1,135,680.00</t>
  </si>
  <si>
    <t>2,636,425.00</t>
  </si>
  <si>
    <t>2,932,508.14</t>
  </si>
  <si>
    <t>330,229.00</t>
  </si>
  <si>
    <t>1,923,600.00</t>
  </si>
  <si>
    <t>40,500,000.00</t>
  </si>
  <si>
    <t>801,805.13</t>
  </si>
  <si>
    <t>6,242,125.00</t>
  </si>
  <si>
    <t>6,846,012.16</t>
  </si>
  <si>
    <t>67,392.00</t>
  </si>
  <si>
    <t>770,618.90</t>
  </si>
  <si>
    <t>7,889,227.20</t>
  </si>
  <si>
    <t>1,847,820.00</t>
  </si>
  <si>
    <t>1,178,400.78</t>
  </si>
  <si>
    <t>379,965.19</t>
  </si>
  <si>
    <t>568,000.00</t>
  </si>
  <si>
    <t>370,000.00</t>
  </si>
  <si>
    <t>154,500.00</t>
  </si>
  <si>
    <t>9,068,510.00</t>
  </si>
  <si>
    <t>507,715.00</t>
  </si>
  <si>
    <t>612,500.00</t>
  </si>
  <si>
    <t>528,470.00</t>
  </si>
  <si>
    <t>122,744.48</t>
  </si>
  <si>
    <t>22,478,764.00</t>
  </si>
  <si>
    <t>48,292.13</t>
  </si>
  <si>
    <t>66,605.00</t>
  </si>
  <si>
    <t>113,206.30</t>
  </si>
  <si>
    <t>359,236.03</t>
  </si>
  <si>
    <t>1,282,557.98</t>
  </si>
  <si>
    <t>4,036,798.41</t>
  </si>
  <si>
    <t>3,404,000.00</t>
  </si>
  <si>
    <t>4,753,920.00</t>
  </si>
  <si>
    <t>339,280.00</t>
  </si>
  <si>
    <t>2,210,000.00</t>
  </si>
  <si>
    <t>147,950.00</t>
  </si>
  <si>
    <t>11,840,000.00</t>
  </si>
  <si>
    <t>738,000.00</t>
  </si>
  <si>
    <t>257,010.00</t>
  </si>
  <si>
    <t>2,329,751.00</t>
  </si>
  <si>
    <t>952,353.97</t>
  </si>
  <si>
    <t>192,750.00</t>
  </si>
  <si>
    <t>4,891,673.83</t>
  </si>
  <si>
    <t>60,824.00</t>
  </si>
  <si>
    <t>225,250.00</t>
  </si>
  <si>
    <t>546,301.00</t>
  </si>
  <si>
    <t>19,290,559.20</t>
  </si>
  <si>
    <t>1,319,980.00</t>
  </si>
  <si>
    <t>68,850.00</t>
  </si>
  <si>
    <t>601,154.00</t>
  </si>
  <si>
    <t>1,954,938.12</t>
  </si>
  <si>
    <t>1,977,546.00</t>
  </si>
  <si>
    <t>30,338,025.00</t>
  </si>
  <si>
    <t>147,482.80</t>
  </si>
  <si>
    <t>1,019,261.50</t>
  </si>
  <si>
    <t>175,390.00</t>
  </si>
  <si>
    <t>1,253,070.01</t>
  </si>
  <si>
    <t>102,680.00</t>
  </si>
  <si>
    <t>32,500,000.00</t>
  </si>
  <si>
    <t>19,398,345.13</t>
  </si>
  <si>
    <t>764,086.98</t>
  </si>
  <si>
    <t>399,800.00</t>
  </si>
  <si>
    <t>875,000.00</t>
  </si>
  <si>
    <t>2,835,000.00</t>
  </si>
  <si>
    <t>56,610.00</t>
  </si>
  <si>
    <t>455,500.00</t>
  </si>
  <si>
    <t>591,192.00</t>
  </si>
  <si>
    <t>1,863,594.00</t>
  </si>
  <si>
    <t>270,400.00</t>
  </si>
  <si>
    <t>3,750,000.00</t>
  </si>
  <si>
    <t>299,999.88</t>
  </si>
  <si>
    <t>4,532,851.00</t>
  </si>
  <si>
    <t>1,544,581.52</t>
  </si>
  <si>
    <t>2,030,000.00</t>
  </si>
  <si>
    <t>11,537,620.58</t>
  </si>
  <si>
    <t>2,148,095.00</t>
  </si>
  <si>
    <t>568,500.00</t>
  </si>
  <si>
    <t>2,711,125.00</t>
  </si>
  <si>
    <t>145,586.00</t>
  </si>
  <si>
    <t>638,865.38</t>
  </si>
  <si>
    <t>2,557,387.76</t>
  </si>
  <si>
    <t>12,545,000.00</t>
  </si>
  <si>
    <t>75,734.00</t>
  </si>
  <si>
    <t>54,693.00</t>
  </si>
  <si>
    <t>160,336.95</t>
  </si>
  <si>
    <t>59,300.00</t>
  </si>
  <si>
    <t>368,938.08</t>
  </si>
  <si>
    <t>394,635.00</t>
  </si>
  <si>
    <t>749,997.91</t>
  </si>
  <si>
    <t>4,999,789.00</t>
  </si>
  <si>
    <t>5,967,000.00</t>
  </si>
  <si>
    <t>407,773.00</t>
  </si>
  <si>
    <t>607,000.00</t>
  </si>
  <si>
    <t>3,049,305.00</t>
  </si>
  <si>
    <t>101,360.00</t>
  </si>
  <si>
    <t>1,896,090.38</t>
  </si>
  <si>
    <t>760,136.00</t>
  </si>
  <si>
    <t>2,988,146.00</t>
  </si>
  <si>
    <t>153,920.00</t>
  </si>
  <si>
    <t>180,460.00</t>
  </si>
  <si>
    <t>576,976.00</t>
  </si>
  <si>
    <t>299,935.40</t>
  </si>
  <si>
    <t>120,200.00</t>
  </si>
  <si>
    <t>154,340.00</t>
  </si>
  <si>
    <t>8,348,486.59</t>
  </si>
  <si>
    <t>999,998.12</t>
  </si>
  <si>
    <t>1,270,500.00</t>
  </si>
  <si>
    <t>487,590.00</t>
  </si>
  <si>
    <t>60,107,688.67</t>
  </si>
  <si>
    <t>861,200.00</t>
  </si>
  <si>
    <t>979,880.00</t>
  </si>
  <si>
    <t>49,498,000.00</t>
  </si>
  <si>
    <t>174,008.85</t>
  </si>
  <si>
    <t>1,499,986.61</t>
  </si>
  <si>
    <t>503,250.00</t>
  </si>
  <si>
    <t>265,810.00</t>
  </si>
  <si>
    <t>103,716.00</t>
  </si>
  <si>
    <t>2,464,880.00</t>
  </si>
  <si>
    <t>178,245.05</t>
  </si>
  <si>
    <t>1,276,275.00</t>
  </si>
  <si>
    <t>352,400.00</t>
  </si>
  <si>
    <t>479,320.00</t>
  </si>
  <si>
    <t>2,265,662.24</t>
  </si>
  <si>
    <t>999,974.99</t>
  </si>
  <si>
    <t>353,000.00</t>
  </si>
  <si>
    <t>868,830.00</t>
  </si>
  <si>
    <t>299,209.61</t>
  </si>
  <si>
    <t>3,999,997.60</t>
  </si>
  <si>
    <t>298,532.20</t>
  </si>
  <si>
    <t>30,240.00</t>
  </si>
  <si>
    <t>724,832.49</t>
  </si>
  <si>
    <t>891,264.71</t>
  </si>
  <si>
    <t>441,000.00</t>
  </si>
  <si>
    <t>42,009,209.94</t>
  </si>
  <si>
    <t>2,407,837.76</t>
  </si>
  <si>
    <t>79,520.00</t>
  </si>
  <si>
    <t>796,073.00</t>
  </si>
  <si>
    <t>345,700.00</t>
  </si>
  <si>
    <t>99,950.00</t>
  </si>
  <si>
    <t>391,000.00</t>
  </si>
  <si>
    <t>239,503.10</t>
  </si>
  <si>
    <t>696,671.67</t>
  </si>
  <si>
    <t>585,732.00</t>
  </si>
  <si>
    <t>899,686.00</t>
  </si>
  <si>
    <t>2,353,026.23</t>
  </si>
  <si>
    <t>150,800.00</t>
  </si>
  <si>
    <t>13,600.00</t>
  </si>
  <si>
    <t>652,100.00</t>
  </si>
  <si>
    <t>1,490,511.62</t>
  </si>
  <si>
    <t>255,945.50</t>
  </si>
  <si>
    <t>5,854,728.63</t>
  </si>
  <si>
    <t>3,657,910.00</t>
  </si>
  <si>
    <t>1,007,698.90</t>
  </si>
  <si>
    <t>1,999,999.75</t>
  </si>
  <si>
    <t>60,199.50</t>
  </si>
  <si>
    <t>1,916,720.00</t>
  </si>
  <si>
    <t>805,000.00</t>
  </si>
  <si>
    <t>134,300.00</t>
  </si>
  <si>
    <t>410,600.00</t>
  </si>
  <si>
    <t>384,200.00</t>
  </si>
  <si>
    <t>11,994,400.00</t>
  </si>
  <si>
    <t>2,205.00</t>
  </si>
  <si>
    <t>880,000.00</t>
  </si>
  <si>
    <t>5,180,068.00</t>
  </si>
  <si>
    <t>1,345,107.30</t>
  </si>
  <si>
    <t>2,998,917.46</t>
  </si>
  <si>
    <t>51,485.00</t>
  </si>
  <si>
    <t>2,549,720.40</t>
  </si>
  <si>
    <t>719,232.28</t>
  </si>
  <si>
    <t>89,098.10</t>
  </si>
  <si>
    <t>1,623,527.65</t>
  </si>
  <si>
    <t>687,895.00</t>
  </si>
  <si>
    <t>3,046,849.18</t>
  </si>
  <si>
    <t>752,270.00</t>
  </si>
  <si>
    <t>11,875,000.00</t>
  </si>
  <si>
    <t>4,132,040.00</t>
  </si>
  <si>
    <t>8,543,527.13</t>
  </si>
  <si>
    <t>1,197,915.00</t>
  </si>
  <si>
    <t>23,002,000.00</t>
  </si>
  <si>
    <t>414,300.00</t>
  </si>
  <si>
    <t>950,279.60</t>
  </si>
  <si>
    <t>110,491.00</t>
  </si>
  <si>
    <t>4,071,013.14</t>
  </si>
  <si>
    <t>31,591.00</t>
  </si>
  <si>
    <t>1,552,266.00</t>
  </si>
  <si>
    <t>1,579,632.47</t>
  </si>
  <si>
    <t>31,320.00</t>
  </si>
  <si>
    <t>3,322,000.00</t>
  </si>
  <si>
    <t>856,790.00</t>
  </si>
  <si>
    <t>487,129.13</t>
  </si>
  <si>
    <t>3,487,253.30</t>
  </si>
  <si>
    <t>30,974.00</t>
  </si>
  <si>
    <t>650,290.00</t>
  </si>
  <si>
    <t>47,500.00</t>
  </si>
  <si>
    <t>58,863.11</t>
  </si>
  <si>
    <t>1,475,364.75</t>
  </si>
  <si>
    <t>137,900.00</t>
  </si>
  <si>
    <t>16,231,791.78</t>
  </si>
  <si>
    <t>657,014.00</t>
  </si>
  <si>
    <t>511,300.00</t>
  </si>
  <si>
    <t>596,787,801.78</t>
  </si>
  <si>
    <t>59,060.00</t>
  </si>
  <si>
    <t>8,350,629.20</t>
  </si>
  <si>
    <t>299,500.00</t>
  </si>
  <si>
    <t>668,614.66</t>
  </si>
  <si>
    <t>85,990.00</t>
  </si>
  <si>
    <t>1,501,000.00</t>
  </si>
  <si>
    <t>232,741.30</t>
  </si>
  <si>
    <t>394,500.00</t>
  </si>
  <si>
    <t>893,650.00</t>
  </si>
  <si>
    <t>734,698.99</t>
  </si>
  <si>
    <t>19,799,957.27</t>
  </si>
  <si>
    <t>610,700.00</t>
  </si>
  <si>
    <t>4,904,000.00</t>
  </si>
  <si>
    <t>826,111.89</t>
  </si>
  <si>
    <t>560,850.00</t>
  </si>
  <si>
    <t>924,999.00</t>
  </si>
  <si>
    <t>3,307,070.00</t>
  </si>
  <si>
    <t>31,200.00</t>
  </si>
  <si>
    <t>30,795.00</t>
  </si>
  <si>
    <t>257,333.33</t>
  </si>
  <si>
    <t>776,994.96</t>
  </si>
  <si>
    <t>348,435.66</t>
  </si>
  <si>
    <t>572,690.70</t>
  </si>
  <si>
    <t>821,166.47</t>
  </si>
  <si>
    <t>245,646.00</t>
  </si>
  <si>
    <t>820,992.90</t>
  </si>
  <si>
    <t>58,204.65</t>
  </si>
  <si>
    <t>905,850.00</t>
  </si>
  <si>
    <t>298,400.00</t>
  </si>
  <si>
    <t>62,900.00</t>
  </si>
  <si>
    <t>999,440.89</t>
  </si>
  <si>
    <t>475,500.00</t>
  </si>
  <si>
    <t>362,613.92</t>
  </si>
  <si>
    <t>755,000.00</t>
  </si>
  <si>
    <t>130,333.00</t>
  </si>
  <si>
    <t>24,499,747.37</t>
  </si>
  <si>
    <t>748,247.68</t>
  </si>
  <si>
    <t>684,058.00</t>
  </si>
  <si>
    <t>477,923.15</t>
  </si>
  <si>
    <t>4,344,000.00</t>
  </si>
  <si>
    <t>2,036,650.00</t>
  </si>
  <si>
    <t>1,299,400.00</t>
  </si>
  <si>
    <t>255,264.00</t>
  </si>
  <si>
    <t>5,521,599.78</t>
  </si>
  <si>
    <t>2,585,000.00</t>
  </si>
  <si>
    <t>18,552,287.75</t>
  </si>
  <si>
    <t>153,826.00</t>
  </si>
  <si>
    <t>2,123,656.20</t>
  </si>
  <si>
    <t>201,554.00</t>
  </si>
  <si>
    <t>518,100.07</t>
  </si>
  <si>
    <t>15,200.00</t>
  </si>
  <si>
    <t>1,219,726.25</t>
  </si>
  <si>
    <t>57,335,843.09</t>
  </si>
  <si>
    <t>712,520.00</t>
  </si>
  <si>
    <t>428,843.00</t>
  </si>
  <si>
    <t>410,900.00</t>
  </si>
  <si>
    <t>104,160.00</t>
  </si>
  <si>
    <t>289,022.00</t>
  </si>
  <si>
    <t>725,475.33</t>
  </si>
  <si>
    <t>1,112,200.00</t>
  </si>
  <si>
    <t>857,564.00</t>
  </si>
  <si>
    <t>3,080,000.00</t>
  </si>
  <si>
    <t>664,693.02</t>
  </si>
  <si>
    <t>97,770.00</t>
  </si>
  <si>
    <t>76,670.00</t>
  </si>
  <si>
    <t>288,300.00</t>
  </si>
  <si>
    <t>5,052,190.68</t>
  </si>
  <si>
    <t>499,991.02</t>
  </si>
  <si>
    <t>774,995.30</t>
  </si>
  <si>
    <t>436,263.46</t>
  </si>
  <si>
    <t>89,775.00</t>
  </si>
  <si>
    <t>980,040.00</t>
  </si>
  <si>
    <t>20,221,215.50</t>
  </si>
  <si>
    <t>13,888,712.94</t>
  </si>
  <si>
    <t>1,306,250.00</t>
  </si>
  <si>
    <t>144,931.50</t>
  </si>
  <si>
    <t>260,616.30</t>
  </si>
  <si>
    <t>9,898,000.00</t>
  </si>
  <si>
    <t>156,216.00</t>
  </si>
  <si>
    <t>198,522.20</t>
  </si>
  <si>
    <t>251,095.46</t>
  </si>
  <si>
    <t>796,827.00</t>
  </si>
  <si>
    <t>8,500.00</t>
  </si>
  <si>
    <t>190,992.00</t>
  </si>
  <si>
    <t>12,435,500.00</t>
  </si>
  <si>
    <t>609,092.56</t>
  </si>
  <si>
    <t>3,628,800.00</t>
  </si>
  <si>
    <t>5,222,964.30</t>
  </si>
  <si>
    <t>495,800.68</t>
  </si>
  <si>
    <t>138,900.00</t>
  </si>
  <si>
    <t>1,522,000.00</t>
  </si>
  <si>
    <t>275,575.00</t>
  </si>
  <si>
    <t>3,361,824.30</t>
  </si>
  <si>
    <t>4,998,800.00</t>
  </si>
  <si>
    <t>290,155.00</t>
  </si>
  <si>
    <t>60,497.80</t>
  </si>
  <si>
    <t>1,233,520.00</t>
  </si>
  <si>
    <t>4,527,118.50</t>
  </si>
  <si>
    <t>7,307,162.50</t>
  </si>
  <si>
    <t>170,857.75</t>
  </si>
  <si>
    <t>2,346,000.00</t>
  </si>
  <si>
    <t>799,958.38</t>
  </si>
  <si>
    <t>923,500.00</t>
  </si>
  <si>
    <t>1,018,181.00</t>
  </si>
  <si>
    <t>558,050.00</t>
  </si>
  <si>
    <t>14,000,000.00</t>
  </si>
  <si>
    <t>125,300.00</t>
  </si>
  <si>
    <t>12,623,006.00</t>
  </si>
  <si>
    <t>602,145.00</t>
  </si>
  <si>
    <t>279,500.00</t>
  </si>
  <si>
    <t>377,750.00</t>
  </si>
  <si>
    <t>373,526.20</t>
  </si>
  <si>
    <t>8,097,954.85</t>
  </si>
  <si>
    <t>184,430.00</t>
  </si>
  <si>
    <t>234,250.00</t>
  </si>
  <si>
    <t>540,420.00</t>
  </si>
  <si>
    <t>254,673.78</t>
  </si>
  <si>
    <t>299,065.00</t>
  </si>
  <si>
    <t>265,935.00</t>
  </si>
  <si>
    <t>1,217,668.50</t>
  </si>
  <si>
    <t>1,495,000.00</t>
  </si>
  <si>
    <t>403,300.00</t>
  </si>
  <si>
    <t>199,190.00</t>
  </si>
  <si>
    <t>3,907,807.40</t>
  </si>
  <si>
    <t>980,460.00</t>
  </si>
  <si>
    <t>132,680.00</t>
  </si>
  <si>
    <t>1,305,940.30</t>
  </si>
  <si>
    <t>958,501.36</t>
  </si>
  <si>
    <t>302,250.00</t>
  </si>
  <si>
    <t>3,431,418.49</t>
  </si>
  <si>
    <t>6,095,603.50</t>
  </si>
  <si>
    <t>1,968,068.73</t>
  </si>
  <si>
    <t>67,645.00</t>
  </si>
  <si>
    <t>1,259,881.00</t>
  </si>
  <si>
    <t>4,166,230.50</t>
  </si>
  <si>
    <t>6,919,147.00</t>
  </si>
  <si>
    <t>4,499,017.58</t>
  </si>
  <si>
    <t>2,225,800.00</t>
  </si>
  <si>
    <t>14,074,906.68</t>
  </si>
  <si>
    <t>2,154,470.00</t>
  </si>
  <si>
    <t>10,501,539.00</t>
  </si>
  <si>
    <t>174,445.00</t>
  </si>
  <si>
    <t>129,256.00</t>
  </si>
  <si>
    <t>1,991,404.00</t>
  </si>
  <si>
    <t>104,875.00</t>
  </si>
  <si>
    <t>1,869,255.00</t>
  </si>
  <si>
    <t>2,880,000.00</t>
  </si>
  <si>
    <t>684,000.00</t>
  </si>
  <si>
    <t>54,700.00</t>
  </si>
  <si>
    <t>2,334,171.20</t>
  </si>
  <si>
    <t>1,517,150.00</t>
  </si>
  <si>
    <t>4,152,108.00</t>
  </si>
  <si>
    <t>31,500,000.00</t>
  </si>
  <si>
    <t>375,086.00</t>
  </si>
  <si>
    <t>2,175,000.00</t>
  </si>
  <si>
    <t>454,778.82</t>
  </si>
  <si>
    <t>599,560.00</t>
  </si>
  <si>
    <t>52,720.00</t>
  </si>
  <si>
    <t>64,600.00</t>
  </si>
  <si>
    <t>1,227,901.92</t>
  </si>
  <si>
    <t>1,955,000.00</t>
  </si>
  <si>
    <t>864,232.88</t>
  </si>
  <si>
    <t>1,660,784.00</t>
  </si>
  <si>
    <t>1,388,565.18</t>
  </si>
  <si>
    <t>3,206,094.34</t>
  </si>
  <si>
    <t>117,637,059.72</t>
  </si>
  <si>
    <t>1,046,656.26</t>
  </si>
  <si>
    <t>895,000.00</t>
  </si>
  <si>
    <t>8,618,850.00</t>
  </si>
  <si>
    <t>5,349,999.94</t>
  </si>
  <si>
    <t>1,033,920.15</t>
  </si>
  <si>
    <t>28,500,000.00</t>
  </si>
  <si>
    <t>1,170,000.00</t>
  </si>
  <si>
    <t>4,600,000.00</t>
  </si>
  <si>
    <t>558,000.00</t>
  </si>
  <si>
    <t>1,982,699.64</t>
  </si>
  <si>
    <t>11,939,955.07</t>
  </si>
  <si>
    <t>898,890.00</t>
  </si>
  <si>
    <t>2,504,544.28</t>
  </si>
  <si>
    <t>1,169,041.00</t>
  </si>
  <si>
    <t>304,500.00</t>
  </si>
  <si>
    <t>341,843.60</t>
  </si>
  <si>
    <t>12,934,995.63</t>
  </si>
  <si>
    <t>211,970.00</t>
  </si>
  <si>
    <t>1,357,500.00</t>
  </si>
  <si>
    <t>1,806,701.00</t>
  </si>
  <si>
    <t>599,954.71</t>
  </si>
  <si>
    <t>499,999.92</t>
  </si>
  <si>
    <t>1,320.00</t>
  </si>
  <si>
    <t>1,600.00</t>
  </si>
  <si>
    <t>1,700.00</t>
  </si>
  <si>
    <t>999,930.27</t>
  </si>
  <si>
    <t>14,085,000.00</t>
  </si>
  <si>
    <t>1,555,800.38</t>
  </si>
  <si>
    <t>211,500.00</t>
  </si>
  <si>
    <t>2,499,134.05</t>
  </si>
  <si>
    <t>2,585,810.74</t>
  </si>
  <si>
    <t>78,300.00</t>
  </si>
  <si>
    <t>198,381.00</t>
  </si>
  <si>
    <t>2,639,851.62</t>
  </si>
  <si>
    <t>2,662,217.28</t>
  </si>
  <si>
    <t>2,008,946.72</t>
  </si>
  <si>
    <t>5,866,430.00</t>
  </si>
  <si>
    <t>1,520,934.10</t>
  </si>
  <si>
    <t>92,900.00</t>
  </si>
  <si>
    <t>1,600,650.00</t>
  </si>
  <si>
    <t>59,600.00</t>
  </si>
  <si>
    <t>237,295.00</t>
  </si>
  <si>
    <t>2,884,283.42</t>
  </si>
  <si>
    <t>2,435,464.09</t>
  </si>
  <si>
    <t>2,051,036.76</t>
  </si>
  <si>
    <t>115,942,029.01</t>
  </si>
  <si>
    <t>2,495,627.56</t>
  </si>
  <si>
    <t>2,183,301.86</t>
  </si>
  <si>
    <t>522,108.00</t>
  </si>
  <si>
    <t>12,649,948.12</t>
  </si>
  <si>
    <t>349,395.00</t>
  </si>
  <si>
    <t>3,999,944.20</t>
  </si>
  <si>
    <t>107,883.00</t>
  </si>
  <si>
    <t>2,367,340.51</t>
  </si>
  <si>
    <t>3,272,000.00</t>
  </si>
  <si>
    <t>135,700.00</t>
  </si>
  <si>
    <t>142,938.00</t>
  </si>
  <si>
    <t>199,825.00</t>
  </si>
  <si>
    <t>384,000.00</t>
  </si>
  <si>
    <t>79,675.00</t>
  </si>
  <si>
    <t>85,409.00</t>
  </si>
  <si>
    <t>427,150.00</t>
  </si>
  <si>
    <t>1,744,669.00</t>
  </si>
  <si>
    <t>741,176.00</t>
  </si>
  <si>
    <t>510,000.00</t>
  </si>
  <si>
    <t>1,720,300.00</t>
  </si>
  <si>
    <t>12,120,000.00</t>
  </si>
  <si>
    <t>794,115.79</t>
  </si>
  <si>
    <t>1,221,250.00</t>
  </si>
  <si>
    <t>386,900.00</t>
  </si>
  <si>
    <t>5,653,114.60</t>
  </si>
  <si>
    <t>1,323,450.00</t>
  </si>
  <si>
    <t>1,967,967.81</t>
  </si>
  <si>
    <t>3,620,000.00</t>
  </si>
  <si>
    <t>2,790,554.75</t>
  </si>
  <si>
    <t>1,995,573.92</t>
  </si>
  <si>
    <t>446,100.00</t>
  </si>
  <si>
    <t>1,996,389.20</t>
  </si>
  <si>
    <t>3,950,000.00</t>
  </si>
  <si>
    <t>1,411,900.00</t>
  </si>
  <si>
    <t>655,000.00</t>
  </si>
  <si>
    <t>2,999,999.24</t>
  </si>
  <si>
    <t>3,318,300.00</t>
  </si>
  <si>
    <t>1,508,662.20</t>
  </si>
  <si>
    <t>2,499,999.93</t>
  </si>
  <si>
    <t>5,637,000.00</t>
  </si>
  <si>
    <t>998,353.13</t>
  </si>
  <si>
    <t>139,223.00</t>
  </si>
  <si>
    <t>626,847.00</t>
  </si>
  <si>
    <t>6,233,346.72</t>
  </si>
  <si>
    <t>89,935.00</t>
  </si>
  <si>
    <t>1,999,941.00</t>
  </si>
  <si>
    <t>4,299,914.70</t>
  </si>
  <si>
    <t>595,000.00</t>
  </si>
  <si>
    <t>3,499,958.44</t>
  </si>
  <si>
    <t>141,645.00</t>
  </si>
  <si>
    <t>5,999,961.80</t>
  </si>
  <si>
    <t>4,989,341.83</t>
  </si>
  <si>
    <t>73,080.00</t>
  </si>
  <si>
    <t>430,188.00</t>
  </si>
  <si>
    <t>2,299,913.44</t>
  </si>
  <si>
    <t>730,339.90</t>
  </si>
  <si>
    <t>67,670.00</t>
  </si>
  <si>
    <t>2,560,000.00</t>
  </si>
  <si>
    <t>1,913,208.95</t>
  </si>
  <si>
    <t>359,863.00</t>
  </si>
  <si>
    <t>1,827,523.52</t>
  </si>
  <si>
    <t>1,787,190.91</t>
  </si>
  <si>
    <t>126,500.00</t>
  </si>
  <si>
    <t>772,045.00</t>
  </si>
  <si>
    <t>94,312,923.00</t>
  </si>
  <si>
    <t>1,727,015.66</t>
  </si>
  <si>
    <t>420,700.00</t>
  </si>
  <si>
    <t>164,360.00</t>
  </si>
  <si>
    <t>331,281.94</t>
  </si>
  <si>
    <t>354,706.00</t>
  </si>
  <si>
    <t>227,325.00</t>
  </si>
  <si>
    <t>50,780.00</t>
  </si>
  <si>
    <t>241,757.60</t>
  </si>
  <si>
    <t>123,410.20</t>
  </si>
  <si>
    <t>907,254.00</t>
  </si>
  <si>
    <t>297,428.00</t>
  </si>
  <si>
    <t>14,460,000.00</t>
  </si>
  <si>
    <t>4,564,400.00</t>
  </si>
  <si>
    <t>999,975.59</t>
  </si>
  <si>
    <t>546,290.24</t>
  </si>
  <si>
    <t>11,250,000.00</t>
  </si>
  <si>
    <t>19,920,658.80</t>
  </si>
  <si>
    <t>1,204,800.00</t>
  </si>
  <si>
    <t>1,499,030.95</t>
  </si>
  <si>
    <t>1,089,415.24</t>
  </si>
  <si>
    <t>143,191.68</t>
  </si>
  <si>
    <t>69,928.00</t>
  </si>
  <si>
    <t>799,850.59</t>
  </si>
  <si>
    <t>23,698,676.00</t>
  </si>
  <si>
    <t>3,074,953.33</t>
  </si>
  <si>
    <t>3,520,000.00</t>
  </si>
  <si>
    <t>253,375.80</t>
  </si>
  <si>
    <t>227,017.08</t>
  </si>
  <si>
    <t>449,100.00</t>
  </si>
  <si>
    <t>566,000.00</t>
  </si>
  <si>
    <t>788,476.73</t>
  </si>
  <si>
    <t>1,211,100.32</t>
  </si>
  <si>
    <t>500,739.00</t>
  </si>
  <si>
    <t>1,374,028.70</t>
  </si>
  <si>
    <t>515,890.00</t>
  </si>
  <si>
    <t>127,555.00</t>
  </si>
  <si>
    <t>51,045.80</t>
  </si>
  <si>
    <t>128,585.00</t>
  </si>
  <si>
    <t>1,003,356.32</t>
  </si>
  <si>
    <t>1,029,031.90</t>
  </si>
  <si>
    <t>423,500.00</t>
  </si>
  <si>
    <t>670,994.00</t>
  </si>
  <si>
    <t>688,959.60</t>
  </si>
  <si>
    <t>104,075.20</t>
  </si>
  <si>
    <t>666,000.00</t>
  </si>
  <si>
    <t>130,576.00</t>
  </si>
  <si>
    <t>157,415.40</t>
  </si>
  <si>
    <t>3,218,515.88</t>
  </si>
  <si>
    <t>11,610,000.00</t>
  </si>
  <si>
    <t>1,490,000.00</t>
  </si>
  <si>
    <t>338,147.00</t>
  </si>
  <si>
    <t>3,684,476.80</t>
  </si>
  <si>
    <t>1,498,938.72</t>
  </si>
  <si>
    <t>2,499,999.82</t>
  </si>
  <si>
    <t>1,399,181.23</t>
  </si>
  <si>
    <t>211,475.00</t>
  </si>
  <si>
    <t>1,476,616.57</t>
  </si>
  <si>
    <t>1,072,705.61</t>
  </si>
  <si>
    <t>555,000.00</t>
  </si>
  <si>
    <t>1,352,541.85</t>
  </si>
  <si>
    <t>402,708.00</t>
  </si>
  <si>
    <t>1,470,339.00</t>
  </si>
  <si>
    <t>111,471,160.00</t>
  </si>
  <si>
    <t>3,559,910.00</t>
  </si>
  <si>
    <t>234,194.00</t>
  </si>
  <si>
    <t>141,183.00</t>
  </si>
  <si>
    <t>1,021,500.00</t>
  </si>
  <si>
    <t>1,087,499.20</t>
  </si>
  <si>
    <t>1,009,245.00</t>
  </si>
  <si>
    <t>9,998,800.00</t>
  </si>
  <si>
    <t>1,998,000.00</t>
  </si>
  <si>
    <t>689,461.60</t>
  </si>
  <si>
    <t>72,447.00</t>
  </si>
  <si>
    <t>9,649,699.63</t>
  </si>
  <si>
    <t>9,649,378.99</t>
  </si>
  <si>
    <t>515,710.00</t>
  </si>
  <si>
    <t>463,440.00</t>
  </si>
  <si>
    <t>52,674.67</t>
  </si>
  <si>
    <t>133,220.00</t>
  </si>
  <si>
    <t>43,779,916.26</t>
  </si>
  <si>
    <t>486,725.71</t>
  </si>
  <si>
    <t>312,793.59</t>
  </si>
  <si>
    <t>572,000.00</t>
  </si>
  <si>
    <t>1,374,189.00</t>
  </si>
  <si>
    <t>636,000.00</t>
  </si>
  <si>
    <t>998,400.67</t>
  </si>
  <si>
    <t>1,316,400.00</t>
  </si>
  <si>
    <t>8,996,660.12</t>
  </si>
  <si>
    <t>605,000.00</t>
  </si>
  <si>
    <t>299,650.00</t>
  </si>
  <si>
    <t>270,694.97</t>
  </si>
  <si>
    <t>3,430,280.00</t>
  </si>
  <si>
    <t>1,576,453.05</t>
  </si>
  <si>
    <t>6,705,961.00</t>
  </si>
  <si>
    <t>226,999.00</t>
  </si>
  <si>
    <t>45,040.00</t>
  </si>
  <si>
    <t>249,901.09</t>
  </si>
  <si>
    <t>605,200.00</t>
  </si>
  <si>
    <t>9,999,998.40</t>
  </si>
  <si>
    <t>4,999,000.00</t>
  </si>
  <si>
    <t>128,829.00</t>
  </si>
  <si>
    <t>1,267,470.16</t>
  </si>
  <si>
    <t>59,433,227.18</t>
  </si>
  <si>
    <t>1,556,250.00</t>
  </si>
  <si>
    <t>499,500.78</t>
  </si>
  <si>
    <t>1,997,510.60</t>
  </si>
  <si>
    <t>47,425,000.00</t>
  </si>
  <si>
    <t>4,998,950.00</t>
  </si>
  <si>
    <t>2,998,500.00</t>
  </si>
  <si>
    <t>2,155,669.80</t>
  </si>
  <si>
    <t>2,485,785.00</t>
  </si>
  <si>
    <t>41,075.00</t>
  </si>
  <si>
    <t>1,029,514.00</t>
  </si>
  <si>
    <t>5,003,520.00</t>
  </si>
  <si>
    <t>223,478.00</t>
  </si>
  <si>
    <t>197,450.00</t>
  </si>
  <si>
    <t>15,450,074.50</t>
  </si>
  <si>
    <t>9,872,500.00</t>
  </si>
  <si>
    <t>164,295.40</t>
  </si>
  <si>
    <t>2,193,590.69</t>
  </si>
  <si>
    <t>89,990.00</t>
  </si>
  <si>
    <t>173,440.00</t>
  </si>
  <si>
    <t>2,206,010.87</t>
  </si>
  <si>
    <t>1,288,407.49</t>
  </si>
  <si>
    <t>304,000.00</t>
  </si>
  <si>
    <t>1,457,617.88</t>
  </si>
  <si>
    <t>1,942,446.72</t>
  </si>
  <si>
    <t>64,224.00</t>
  </si>
  <si>
    <t>3,528,737.37</t>
  </si>
  <si>
    <t>1,460,435.01</t>
  </si>
  <si>
    <t>310,275.00</t>
  </si>
  <si>
    <t>1,999,500.00</t>
  </si>
  <si>
    <t>88,956,213.96</t>
  </si>
  <si>
    <t>262,450.00</t>
  </si>
  <si>
    <t>620,720.00</t>
  </si>
  <si>
    <t>73,857.00</t>
  </si>
  <si>
    <t>5,010,010.00</t>
  </si>
  <si>
    <t>1,999,885.99</t>
  </si>
  <si>
    <t>15,400,000.00</t>
  </si>
  <si>
    <t>589,369.20</t>
  </si>
  <si>
    <t>300,105.00</t>
  </si>
  <si>
    <t>260,255.33</t>
  </si>
  <si>
    <t>1,931,941.95</t>
  </si>
  <si>
    <t>110,000,000.00</t>
  </si>
  <si>
    <t>332,000.00</t>
  </si>
  <si>
    <t>1,970,000.00</t>
  </si>
  <si>
    <t>776,376.32</t>
  </si>
  <si>
    <t>1,616,375.00</t>
  </si>
  <si>
    <t>2,461,462.99</t>
  </si>
  <si>
    <t>70,190.00</t>
  </si>
  <si>
    <t>306,890.00</t>
  </si>
  <si>
    <t>120,799.37</t>
  </si>
  <si>
    <t>366,000.00</t>
  </si>
  <si>
    <t>126,564.00</t>
  </si>
  <si>
    <t>361,000.00</t>
  </si>
  <si>
    <t>42,276,050.00</t>
  </si>
  <si>
    <t>1,375,100.00</t>
  </si>
  <si>
    <t>102,996.75</t>
  </si>
  <si>
    <t>1,012,290.00</t>
  </si>
  <si>
    <t>250,954.75</t>
  </si>
  <si>
    <t>8,230,244.62</t>
  </si>
  <si>
    <t>940,500.00</t>
  </si>
  <si>
    <t>3,322,212.51</t>
  </si>
  <si>
    <t>133,132.00</t>
  </si>
  <si>
    <t>141,775.20</t>
  </si>
  <si>
    <t>114,542.00</t>
  </si>
  <si>
    <t>497,161.00</t>
  </si>
  <si>
    <t>788,445.00</t>
  </si>
  <si>
    <t>224,341.52</t>
  </si>
  <si>
    <t>1,106,000.00</t>
  </si>
  <si>
    <t>1,488,450.00</t>
  </si>
  <si>
    <t>1,083,940.00</t>
  </si>
  <si>
    <t>240,580.00</t>
  </si>
  <si>
    <t>115,174.00</t>
  </si>
  <si>
    <t>396,000.00</t>
  </si>
  <si>
    <t>1,102,881.65</t>
  </si>
  <si>
    <t>700,600.00</t>
  </si>
  <si>
    <t>1,605,384.44</t>
  </si>
  <si>
    <t>589,000.00</t>
  </si>
  <si>
    <t>2,643,960.34</t>
  </si>
  <si>
    <t>1,704,061.00</t>
  </si>
  <si>
    <t>484,315.86</t>
  </si>
  <si>
    <t>306,280.00</t>
  </si>
  <si>
    <t>14,850,000.00</t>
  </si>
  <si>
    <t>199,933.60</t>
  </si>
  <si>
    <t>711,055.50</t>
  </si>
  <si>
    <t>138,915.00</t>
  </si>
  <si>
    <t>229,451.18</t>
  </si>
  <si>
    <t>909,587.90</t>
  </si>
  <si>
    <t>66,745.00</t>
  </si>
  <si>
    <t>2,168,000.00</t>
  </si>
  <si>
    <t>111,300.00</t>
  </si>
  <si>
    <t>1,131,000.00</t>
  </si>
  <si>
    <t>423,606.49</t>
  </si>
  <si>
    <t>205,421.00</t>
  </si>
  <si>
    <t>333,700.00</t>
  </si>
  <si>
    <t>16,320,281.96</t>
  </si>
  <si>
    <t>5,789,746.00</t>
  </si>
  <si>
    <t>1,262,454.59</t>
  </si>
  <si>
    <t>3,572,715.00</t>
  </si>
  <si>
    <t>995,393.36</t>
  </si>
  <si>
    <t>272,000.00</t>
  </si>
  <si>
    <t>1,620,000.00</t>
  </si>
  <si>
    <t>8,700,000.00</t>
  </si>
  <si>
    <t>3,602,500.00</t>
  </si>
  <si>
    <t>557,657.63</t>
  </si>
  <si>
    <t>53,606.00</t>
  </si>
  <si>
    <t>520,708.00</t>
  </si>
  <si>
    <t>192,352.00</t>
  </si>
  <si>
    <t>363,203.98</t>
  </si>
  <si>
    <t>75,405.00</t>
  </si>
  <si>
    <t>2,134,160.00</t>
  </si>
  <si>
    <t>148,000.00</t>
  </si>
  <si>
    <t>1,484,000.00</t>
  </si>
  <si>
    <t>2,870,000.00</t>
  </si>
  <si>
    <t>38,220,000.00</t>
  </si>
  <si>
    <t>497,341.75</t>
  </si>
  <si>
    <t>6,240.00</t>
  </si>
  <si>
    <t>768,964.53</t>
  </si>
  <si>
    <t>955,900.00</t>
  </si>
  <si>
    <t>999,895.00</t>
  </si>
  <si>
    <t>788,800.00</t>
  </si>
  <si>
    <t>108,100.00</t>
  </si>
  <si>
    <t>54,260.00</t>
  </si>
  <si>
    <t>9,231,362.00</t>
  </si>
  <si>
    <t>44,776,000.00</t>
  </si>
  <si>
    <t>377,274.00</t>
  </si>
  <si>
    <t>224,500.00</t>
  </si>
  <si>
    <t>6,279,000.00</t>
  </si>
  <si>
    <t>248,227.75</t>
  </si>
  <si>
    <t>191,340.00</t>
  </si>
  <si>
    <t>30,415.00</t>
  </si>
  <si>
    <t>991,370.00</t>
  </si>
  <si>
    <t>2,344,069.35</t>
  </si>
  <si>
    <t>29,537,024.80</t>
  </si>
  <si>
    <t>1,875,510.45</t>
  </si>
  <si>
    <t>1,453,540.91</t>
  </si>
  <si>
    <t>3,415,500.00</t>
  </si>
  <si>
    <t>1,077,719.51</t>
  </si>
  <si>
    <t>949,000.00</t>
  </si>
  <si>
    <t>3,140,280.00</t>
  </si>
  <si>
    <t>289,551.00</t>
  </si>
  <si>
    <t>3,329,250.00</t>
  </si>
  <si>
    <t>670,577.88</t>
  </si>
  <si>
    <t>4,057,200.00</t>
  </si>
  <si>
    <t>2,067,720.00</t>
  </si>
  <si>
    <t>2,704,800.00</t>
  </si>
  <si>
    <t>217,145.00</t>
  </si>
  <si>
    <t>1,527,600.00</t>
  </si>
  <si>
    <t>1,470,636.43</t>
  </si>
  <si>
    <t>822,900.00</t>
  </si>
  <si>
    <t>137,500.00</t>
  </si>
  <si>
    <t>840,376.81</t>
  </si>
  <si>
    <t>9,198,777.00</t>
  </si>
  <si>
    <t>3,381,000.00</t>
  </si>
  <si>
    <t>283,671.15</t>
  </si>
  <si>
    <t>522,000.00</t>
  </si>
  <si>
    <t>4,678,435.00</t>
  </si>
  <si>
    <t>4,921,560.00</t>
  </si>
  <si>
    <t>2,946,195.24</t>
  </si>
  <si>
    <t>1,447,996.00</t>
  </si>
  <si>
    <t>9,059,139.00</t>
  </si>
  <si>
    <t>1,201,840.00</t>
  </si>
  <si>
    <t>999,655.00</t>
  </si>
  <si>
    <t>3,532,430.34</t>
  </si>
  <si>
    <t>1,699,300.00</t>
  </si>
  <si>
    <t>1,994,328.13</t>
  </si>
  <si>
    <t>1,292,500.00</t>
  </si>
  <si>
    <t>9,966,078.53</t>
  </si>
  <si>
    <t>4,818,240.00</t>
  </si>
  <si>
    <t>1,058,364.88</t>
  </si>
  <si>
    <t>2,130,960.00</t>
  </si>
  <si>
    <t>987,036.12</t>
  </si>
  <si>
    <t>1,899,685.00</t>
  </si>
  <si>
    <t>9,900,000.00</t>
  </si>
  <si>
    <t>2,185,662.00</t>
  </si>
  <si>
    <t>365,376.92</t>
  </si>
  <si>
    <t>2,797,650.00</t>
  </si>
  <si>
    <t>1,921,000.00</t>
  </si>
  <si>
    <t>1,828,008.00</t>
  </si>
  <si>
    <t>1,965,762.71</t>
  </si>
  <si>
    <t>1,488,000.00</t>
  </si>
  <si>
    <t>48,250,000.00</t>
  </si>
  <si>
    <t>2,275,000.00</t>
  </si>
  <si>
    <t>1,039,080.40</t>
  </si>
  <si>
    <t>841,386.00</t>
  </si>
  <si>
    <t>1,545,491.66</t>
  </si>
  <si>
    <t>944,640.00</t>
  </si>
  <si>
    <t>9,960,000.00</t>
  </si>
  <si>
    <t>1,868,360.00</t>
  </si>
  <si>
    <t>885,913.25</t>
  </si>
  <si>
    <t>1,370,499.00</t>
  </si>
  <si>
    <t>2,659,620.00</t>
  </si>
  <si>
    <t>266,201.13</t>
  </si>
  <si>
    <t>2,016,700.00</t>
  </si>
  <si>
    <t>2,773,497.92</t>
  </si>
  <si>
    <t>1,633,600.00</t>
  </si>
  <si>
    <t>29,700,000.00</t>
  </si>
  <si>
    <t>120,000,000.00</t>
  </si>
  <si>
    <t>19,759,781.29</t>
  </si>
  <si>
    <t>246,000,000.00</t>
  </si>
  <si>
    <t>2,754,950.00</t>
  </si>
  <si>
    <t>1,544,752.00</t>
  </si>
  <si>
    <t>212,679,527.62</t>
  </si>
  <si>
    <t>1,169,700.00</t>
  </si>
  <si>
    <t>1,145,000.00</t>
  </si>
  <si>
    <t>2,475,000.00</t>
  </si>
  <si>
    <t>1,353,440.00</t>
  </si>
  <si>
    <t>1,284,560.00</t>
  </si>
  <si>
    <t>1,909,040.00</t>
  </si>
  <si>
    <t>62,232.40</t>
  </si>
  <si>
    <t>2,923,290.45</t>
  </si>
  <si>
    <t>1,533,186.04</t>
  </si>
  <si>
    <t>1,273,975.00</t>
  </si>
  <si>
    <t>3,279,774.80</t>
  </si>
  <si>
    <t>1,843,300.00</t>
  </si>
  <si>
    <t>2,670,000.00</t>
  </si>
  <si>
    <t>1,839,126.29</t>
  </si>
  <si>
    <t>1,894,080.00</t>
  </si>
  <si>
    <t>1,358,095.00</t>
  </si>
  <si>
    <t>67,883.95</t>
  </si>
  <si>
    <t>2,704,164.03</t>
  </si>
  <si>
    <t>3,408,750.00</t>
  </si>
  <si>
    <t>1,400,511.95</t>
  </si>
  <si>
    <t>1,320,371.20</t>
  </si>
  <si>
    <t>1,991,135.32</t>
  </si>
  <si>
    <t>1,999,704.65</t>
  </si>
  <si>
    <t>3,290,374.08</t>
  </si>
  <si>
    <t>402,000.00</t>
  </si>
  <si>
    <t>1,688,000.00</t>
  </si>
  <si>
    <t>1,131,895.87</t>
  </si>
  <si>
    <t>12,933.33</t>
  </si>
  <si>
    <t>2,379,960.27</t>
  </si>
  <si>
    <t>1,373,780.00</t>
  </si>
  <si>
    <t>2,999,622.50</t>
  </si>
  <si>
    <t>100,196.00</t>
  </si>
  <si>
    <t>2,208,540.48</t>
  </si>
  <si>
    <t>3,336,547.00</t>
  </si>
  <si>
    <t>1,428,228.40</t>
  </si>
  <si>
    <t>3,999,978.44</t>
  </si>
  <si>
    <t>250,000,000.00</t>
  </si>
  <si>
    <t>1,441,439.83</t>
  </si>
  <si>
    <t>998,537.50</t>
  </si>
  <si>
    <t>1,420,000.00</t>
  </si>
  <si>
    <t>2,993,590.35</t>
  </si>
  <si>
    <t>11,641,443.54</t>
  </si>
  <si>
    <t>3,820,840.00</t>
  </si>
  <si>
    <t>6,567,225.00</t>
  </si>
  <si>
    <t>3,415,929.00</t>
  </si>
  <si>
    <t>138,290.00</t>
  </si>
  <si>
    <t>998,900.00</t>
  </si>
  <si>
    <t>2,470,000.00</t>
  </si>
  <si>
    <t>319,954.70</t>
  </si>
  <si>
    <t>74,610.00</t>
  </si>
  <si>
    <t>199,988.00</t>
  </si>
  <si>
    <t>846,000.00</t>
  </si>
  <si>
    <t>676,525.00</t>
  </si>
  <si>
    <t>2,188,133.74</t>
  </si>
  <si>
    <t>74,065.00</t>
  </si>
  <si>
    <t>74,164.00</t>
  </si>
  <si>
    <t>151,631.00</t>
  </si>
  <si>
    <t>8,321,764.83</t>
  </si>
  <si>
    <t>72,450.00</t>
  </si>
  <si>
    <t>1,921,500.00</t>
  </si>
  <si>
    <t>3,691,143.00</t>
  </si>
  <si>
    <t>75,023.00</t>
  </si>
  <si>
    <t>4,181,511.86</t>
  </si>
  <si>
    <t>419,000.00</t>
  </si>
  <si>
    <t>1,781,400.00</t>
  </si>
  <si>
    <t>571,949,316.04</t>
  </si>
  <si>
    <t>3,015,000.00</t>
  </si>
  <si>
    <t>2,558,600.00</t>
  </si>
  <si>
    <t>899,370.00</t>
  </si>
  <si>
    <t>1,754,536.00</t>
  </si>
  <si>
    <t>9,250,000.00</t>
  </si>
  <si>
    <t>8,430,062.01</t>
  </si>
  <si>
    <t>28,369,518.41</t>
  </si>
  <si>
    <t>1,766,320.00</t>
  </si>
  <si>
    <t>2,849,945.90</t>
  </si>
  <si>
    <t>1,333,100.00</t>
  </si>
  <si>
    <t>1,810,431.53</t>
  </si>
  <si>
    <t>1,778,099.33</t>
  </si>
  <si>
    <t>1,500,880.00</t>
  </si>
  <si>
    <t>7,425,000.00</t>
  </si>
  <si>
    <t>1,639,220.00</t>
  </si>
  <si>
    <t>1,019,300.00</t>
  </si>
  <si>
    <t>10,205,218.32</t>
  </si>
  <si>
    <t>131,060.20</t>
  </si>
  <si>
    <t>1,614,999.40</t>
  </si>
  <si>
    <t>186,301.00</t>
  </si>
  <si>
    <t>8,980,000.00</t>
  </si>
  <si>
    <t>3,486,284.63</t>
  </si>
  <si>
    <t>301,148.00</t>
  </si>
  <si>
    <t>19,542,956.62</t>
  </si>
  <si>
    <t>2,027,772.00</t>
  </si>
  <si>
    <t>765,000.00</t>
  </si>
  <si>
    <t>2,078,280.00</t>
  </si>
  <si>
    <t>2,219,748.00</t>
  </si>
  <si>
    <t>2,010,859.56</t>
  </si>
  <si>
    <t>1,327,559.00</t>
  </si>
  <si>
    <t>8,967,344.00</t>
  </si>
  <si>
    <t>1,990,740.00</t>
  </si>
  <si>
    <t>991,335.00</t>
  </si>
  <si>
    <t>1,600,514.50</t>
  </si>
  <si>
    <t>1,324,500.34</t>
  </si>
  <si>
    <t>686,932.00</t>
  </si>
  <si>
    <t>228,500.00</t>
  </si>
  <si>
    <t>28,945,994.31</t>
  </si>
  <si>
    <t>34,398,000.00</t>
  </si>
  <si>
    <t>112,523.80</t>
  </si>
  <si>
    <t>1,061,219.63</t>
  </si>
  <si>
    <t>194,024.00</t>
  </si>
  <si>
    <t>4,223,150.00</t>
  </si>
  <si>
    <t>9,997,104.51</t>
  </si>
  <si>
    <t>308,276.00</t>
  </si>
  <si>
    <t>1,001,020.00</t>
  </si>
  <si>
    <t>3,484,254.50</t>
  </si>
  <si>
    <t>3,886,565.35</t>
  </si>
  <si>
    <t>1,025,801.70</t>
  </si>
  <si>
    <t>999,999.95</t>
  </si>
  <si>
    <t>1,329,750.00</t>
  </si>
  <si>
    <t>105,469.75</t>
  </si>
  <si>
    <t>9,992,996.76</t>
  </si>
  <si>
    <t>1,799,168.88</t>
  </si>
  <si>
    <t>4,966,355.56</t>
  </si>
  <si>
    <t>2,496,016.25</t>
  </si>
  <si>
    <t>2,610,000.00</t>
  </si>
  <si>
    <t>4,749,885.43</t>
  </si>
  <si>
    <t>1,648,945.15</t>
  </si>
  <si>
    <t>1,999,998.90</t>
  </si>
  <si>
    <t>2,929,889.57</t>
  </si>
  <si>
    <t>1,531,920.00</t>
  </si>
  <si>
    <t>905,000.00</t>
  </si>
  <si>
    <t>3,732,500.00</t>
  </si>
  <si>
    <t>3,367,457.00</t>
  </si>
  <si>
    <t>2,346,956.44</t>
  </si>
  <si>
    <t>2,295,000.00</t>
  </si>
  <si>
    <t>4,420,350.00</t>
  </si>
  <si>
    <t>3,009,960.88</t>
  </si>
  <si>
    <t>499,970.00</t>
  </si>
  <si>
    <t>2,499,114.17</t>
  </si>
  <si>
    <t>397,662.50</t>
  </si>
  <si>
    <t>77,620.00</t>
  </si>
  <si>
    <t>4,947,300.00</t>
  </si>
  <si>
    <t>219,000.00</t>
  </si>
  <si>
    <t>29,600.00</t>
  </si>
  <si>
    <t>459,984.00</t>
  </si>
  <si>
    <t>204,750.00</t>
  </si>
  <si>
    <t>1,707,000.00</t>
  </si>
  <si>
    <t>1,757,545.15</t>
  </si>
  <si>
    <t>99,999.02</t>
  </si>
  <si>
    <t>350,100.00</t>
  </si>
  <si>
    <t>78,913,607.91</t>
  </si>
  <si>
    <t>1,460,000.00</t>
  </si>
  <si>
    <t>875,205.00</t>
  </si>
  <si>
    <t>1,573,907.89</t>
  </si>
  <si>
    <t>48,834,478.00</t>
  </si>
  <si>
    <t>400,015.80</t>
  </si>
  <si>
    <t>1,368,500.00</t>
  </si>
  <si>
    <t>833,400.00</t>
  </si>
  <si>
    <t>69,110.00</t>
  </si>
  <si>
    <t>1,040,500.00</t>
  </si>
  <si>
    <t>12,299,000.00</t>
  </si>
  <si>
    <t>52,950,000.00</t>
  </si>
  <si>
    <t>33,140.00</t>
  </si>
  <si>
    <t>99,993.82</t>
  </si>
  <si>
    <t>1,047,832.39</t>
  </si>
  <si>
    <t>39,039.00</t>
  </si>
  <si>
    <t>449,695.00</t>
  </si>
  <si>
    <t>528,293.00</t>
  </si>
  <si>
    <t>6,289,939.00</t>
  </si>
  <si>
    <t>183,650.00</t>
  </si>
  <si>
    <t>420,840.00</t>
  </si>
  <si>
    <t>63,960.00</t>
  </si>
  <si>
    <t>201,750.00</t>
  </si>
  <si>
    <t>623,700.00</t>
  </si>
  <si>
    <t>4,342,581.45</t>
  </si>
  <si>
    <t>1,247,400.00</t>
  </si>
  <si>
    <t>3,435,575.34</t>
  </si>
  <si>
    <t>11,000,000.00</t>
  </si>
  <si>
    <t>1,140,000.00</t>
  </si>
  <si>
    <t>3,444,063.93</t>
  </si>
  <si>
    <t>1,399,000.00</t>
  </si>
  <si>
    <t>1,267,500.00</t>
  </si>
  <si>
    <t>91,985.00</t>
  </si>
  <si>
    <t>1,993,000.00</t>
  </si>
  <si>
    <t>2,694,921.30</t>
  </si>
  <si>
    <t>1,322,500.00</t>
  </si>
  <si>
    <t>5,493,862.52</t>
  </si>
  <si>
    <t>983,888.54</t>
  </si>
  <si>
    <t>2,254,000.00</t>
  </si>
  <si>
    <t>316,700.00</t>
  </si>
  <si>
    <t>903,137.48</t>
  </si>
  <si>
    <t>26,700.00</t>
  </si>
  <si>
    <t>399,660.19</t>
  </si>
  <si>
    <t>2,704,500.00</t>
  </si>
  <si>
    <t>1,621,200.00</t>
  </si>
  <si>
    <t>1,120,000.00</t>
  </si>
  <si>
    <t>2,261,000.00</t>
  </si>
  <si>
    <t>1,444,705.00</t>
  </si>
  <si>
    <t>2,557,350.00</t>
  </si>
  <si>
    <t>38,665,818.78</t>
  </si>
  <si>
    <t>1,391,440.00</t>
  </si>
  <si>
    <t>3,139,660.03</t>
  </si>
  <si>
    <t>7,527,000.00</t>
  </si>
  <si>
    <t>11,670,000.00</t>
  </si>
  <si>
    <t>1,572,480.00</t>
  </si>
  <si>
    <t>835,531.26</t>
  </si>
  <si>
    <t>2,450,000.00</t>
  </si>
  <si>
    <t>1,090,089.24</t>
  </si>
  <si>
    <t>21,272,727.27</t>
  </si>
  <si>
    <t>3,236,490.27</t>
  </si>
  <si>
    <t>1,148,182.28</t>
  </si>
  <si>
    <t>918,613.42</t>
  </si>
  <si>
    <t>881,150.90</t>
  </si>
  <si>
    <t>2,292,341.35</t>
  </si>
  <si>
    <t>877,213.40</t>
  </si>
  <si>
    <t>1,973,457.78</t>
  </si>
  <si>
    <t>881,931.00</t>
  </si>
  <si>
    <t>876,819.61</t>
  </si>
  <si>
    <t>873,275.79</t>
  </si>
  <si>
    <t>990,516.90</t>
  </si>
  <si>
    <t>2,699,950.83</t>
  </si>
  <si>
    <t>3,666,270.01</t>
  </si>
  <si>
    <t>1,349,547.39</t>
  </si>
  <si>
    <t>919,946.82</t>
  </si>
  <si>
    <t>919,946.97</t>
  </si>
  <si>
    <t>949,465.95</t>
  </si>
  <si>
    <t>2,999,999.52</t>
  </si>
  <si>
    <t>789,074.50</t>
  </si>
  <si>
    <t>2,768,316.35</t>
  </si>
  <si>
    <t>499,990.36</t>
  </si>
  <si>
    <t>291,000.00</t>
  </si>
  <si>
    <t>999,999.41</t>
  </si>
  <si>
    <t>37,679,378.11</t>
  </si>
  <si>
    <t>839,481.89</t>
  </si>
  <si>
    <t>1,016,849.75</t>
  </si>
  <si>
    <t>1,799,042.60</t>
  </si>
  <si>
    <t>350,581.44</t>
  </si>
  <si>
    <t>2,352,000.00</t>
  </si>
  <si>
    <t>1,627,780.00</t>
  </si>
  <si>
    <t>4,088,815.72</t>
  </si>
  <si>
    <t>2,537,041.00</t>
  </si>
  <si>
    <t>2,422,768.79</t>
  </si>
  <si>
    <t>499,985.07</t>
  </si>
  <si>
    <t>6,443,090.67</t>
  </si>
  <si>
    <t>1,006,128.00</t>
  </si>
  <si>
    <t>1,807,593.86</t>
  </si>
  <si>
    <t>1,615,500.50</t>
  </si>
  <si>
    <t>8,696,000.00</t>
  </si>
  <si>
    <t>9,727,000.00</t>
  </si>
  <si>
    <t>198,362.31</t>
  </si>
  <si>
    <t>2,680,293.87</t>
  </si>
  <si>
    <t>2,496,821.36</t>
  </si>
  <si>
    <t>150,000,000.00</t>
  </si>
  <si>
    <t>96,704,328.39</t>
  </si>
  <si>
    <t>3,999,430.23</t>
  </si>
  <si>
    <t>1,798,682.48</t>
  </si>
  <si>
    <t>93,564,041.87</t>
  </si>
  <si>
    <t>3,606,537.66</t>
  </si>
  <si>
    <t>1,149,463.67</t>
  </si>
  <si>
    <t>5,063,862.19</t>
  </si>
  <si>
    <t>83,018,588.15</t>
  </si>
  <si>
    <t>2,892,100.00</t>
  </si>
  <si>
    <t>10,364,584.68</t>
  </si>
  <si>
    <t>677,855.95</t>
  </si>
  <si>
    <t>212,600.00</t>
  </si>
  <si>
    <t>599,799.50</t>
  </si>
  <si>
    <t>991,914.00</t>
  </si>
  <si>
    <t>1,858,698.78</t>
  </si>
  <si>
    <t>660,562.03</t>
  </si>
  <si>
    <t>110,999.25</t>
  </si>
  <si>
    <t>698,890.03</t>
  </si>
  <si>
    <t>999,993.23</t>
  </si>
  <si>
    <t>1,123,490.29</t>
  </si>
  <si>
    <t>1,453,474.00</t>
  </si>
  <si>
    <t>292,000.00</t>
  </si>
  <si>
    <t>5,178,173.00</t>
  </si>
  <si>
    <t>349,852.96</t>
  </si>
  <si>
    <t>103,200.00</t>
  </si>
  <si>
    <t>7,627,865.04</t>
  </si>
  <si>
    <t>949,999.31</t>
  </si>
  <si>
    <t>5,923,000.00</t>
  </si>
  <si>
    <t>1,218,397.23</t>
  </si>
  <si>
    <t>249,359.25</t>
  </si>
  <si>
    <t>3,040,000.00</t>
  </si>
  <si>
    <t>1,173,065.20</t>
  </si>
  <si>
    <t>4,804,100.00</t>
  </si>
  <si>
    <t>898,440.72</t>
  </si>
  <si>
    <t>9,536,175.00</t>
  </si>
  <si>
    <t>825,613.53</t>
  </si>
  <si>
    <t>2,399,950.00</t>
  </si>
  <si>
    <t>860,310.00</t>
  </si>
  <si>
    <t>7,107,340.00</t>
  </si>
  <si>
    <t>3,926,262.00</t>
  </si>
  <si>
    <t>4,402,466.00</t>
  </si>
  <si>
    <t>1,174,618.30</t>
  </si>
  <si>
    <t>35,513.56</t>
  </si>
  <si>
    <t>100,302.00</t>
  </si>
  <si>
    <t>46,391.04</t>
  </si>
  <si>
    <t>51,201.61</t>
  </si>
  <si>
    <t>61,346.00</t>
  </si>
  <si>
    <t>16,758,776.00</t>
  </si>
  <si>
    <t>519,167.28</t>
  </si>
  <si>
    <t>1,498,321.00</t>
  </si>
  <si>
    <t>16,717,400.00</t>
  </si>
  <si>
    <t>318,354.00</t>
  </si>
  <si>
    <t>51,016.00</t>
  </si>
  <si>
    <t>456,038.00</t>
  </si>
  <si>
    <t>375,396.40</t>
  </si>
  <si>
    <t>72,595.00</t>
  </si>
  <si>
    <t>1,766,850.00</t>
  </si>
  <si>
    <t>120,612.50</t>
  </si>
  <si>
    <t>77,777.20</t>
  </si>
  <si>
    <t>1,621,400.00</t>
  </si>
  <si>
    <t>25,828.04</t>
  </si>
  <si>
    <t>528,650.00</t>
  </si>
  <si>
    <t>698,621.63</t>
  </si>
  <si>
    <t>55,856.30</t>
  </si>
  <si>
    <t>835,200.00</t>
  </si>
  <si>
    <t>1,449,645.00</t>
  </si>
  <si>
    <t>1,339,740.85</t>
  </si>
  <si>
    <t>683,915.00</t>
  </si>
  <si>
    <t>42,268.17</t>
  </si>
  <si>
    <t>16,000,000.00</t>
  </si>
  <si>
    <t>302,445.00</t>
  </si>
  <si>
    <t>12,008,975.50</t>
  </si>
  <si>
    <t>336,279.50</t>
  </si>
  <si>
    <t>1,365,392.00</t>
  </si>
  <si>
    <t>67,063.00</t>
  </si>
  <si>
    <t>219,537.00</t>
  </si>
  <si>
    <t>8,859,665.00</t>
  </si>
  <si>
    <t>1,280,090.00</t>
  </si>
  <si>
    <t>2,760,000.00</t>
  </si>
  <si>
    <t>244,529.15</t>
  </si>
  <si>
    <t>76,014.00</t>
  </si>
  <si>
    <t>1,841,391.85</t>
  </si>
  <si>
    <t>322,054.40</t>
  </si>
  <si>
    <t>1,318,854.00</t>
  </si>
  <si>
    <t>5,284,000.00</t>
  </si>
  <si>
    <t>4,520,025.00</t>
  </si>
  <si>
    <t>3,281,552.00</t>
  </si>
  <si>
    <t>2,770,000.00</t>
  </si>
  <si>
    <t>232,835.95</t>
  </si>
  <si>
    <t>364,888.00</t>
  </si>
  <si>
    <t>1,680,000.00</t>
  </si>
  <si>
    <t>4,999,944.00</t>
  </si>
  <si>
    <t>3,298,000.00</t>
  </si>
  <si>
    <t>322,035.00</t>
  </si>
  <si>
    <t>5,552,599.98</t>
  </si>
  <si>
    <t>13,050,000.00</t>
  </si>
  <si>
    <t>480,516.64</t>
  </si>
  <si>
    <t>108,346.47</t>
  </si>
  <si>
    <t>1,601,505.55</t>
  </si>
  <si>
    <t>4,764,570.00</t>
  </si>
  <si>
    <t>962,500.00</t>
  </si>
  <si>
    <t>2,146,800.00</t>
  </si>
  <si>
    <t>11,623,000.00</t>
  </si>
  <si>
    <t>137,457.00</t>
  </si>
  <si>
    <t>54,435,000.00</t>
  </si>
  <si>
    <t>7,402,083.75</t>
  </si>
  <si>
    <t>1,129,350.00</t>
  </si>
  <si>
    <t>747,840.00</t>
  </si>
  <si>
    <t>1,601,545.94</t>
  </si>
  <si>
    <t>6,117,813.75</t>
  </si>
  <si>
    <t>325,705.61</t>
  </si>
  <si>
    <t>1,001,263.61</t>
  </si>
  <si>
    <t>1,199,550.18</t>
  </si>
  <si>
    <t>890,300.00</t>
  </si>
  <si>
    <t>1,601,566.12</t>
  </si>
  <si>
    <t>1,859,280.00</t>
  </si>
  <si>
    <t>1,516,323.00</t>
  </si>
  <si>
    <t>174,651.40</t>
  </si>
  <si>
    <t>904,575.00</t>
  </si>
  <si>
    <t>11,352,474.25</t>
  </si>
  <si>
    <t>1,962,550.00</t>
  </si>
  <si>
    <t>4,567,758.81</t>
  </si>
  <si>
    <t>2,256,000.00</t>
  </si>
  <si>
    <t>1,139,850.00</t>
  </si>
  <si>
    <t>6,469,000.00</t>
  </si>
  <si>
    <t>1,035,000.00</t>
  </si>
  <si>
    <t>931,000.00</t>
  </si>
  <si>
    <t>83,500.00</t>
  </si>
  <si>
    <t>87,928.50</t>
  </si>
  <si>
    <t>266,475.00</t>
  </si>
  <si>
    <t>13,500,000.00</t>
  </si>
  <si>
    <t>58,842.00</t>
  </si>
  <si>
    <t>5,296,975.47</t>
  </si>
  <si>
    <t>214,290.00</t>
  </si>
  <si>
    <t>245,150.00</t>
  </si>
  <si>
    <t>1,607,816.27</t>
  </si>
  <si>
    <t>671,500.00</t>
  </si>
  <si>
    <t>950,777.00</t>
  </si>
  <si>
    <t>1,266,731.00</t>
  </si>
  <si>
    <t>62,526.00</t>
  </si>
  <si>
    <t>3,456,000.00</t>
  </si>
  <si>
    <t>674,400.00</t>
  </si>
  <si>
    <t>162,645.00</t>
  </si>
  <si>
    <t>10,100,000.00</t>
  </si>
  <si>
    <t>24,480,484.80</t>
  </si>
  <si>
    <t>309,203.66</t>
  </si>
  <si>
    <t>9,668,224.92</t>
  </si>
  <si>
    <t>5,085,742.23</t>
  </si>
  <si>
    <t>194,045.17</t>
  </si>
  <si>
    <t>7,671,240.00</t>
  </si>
  <si>
    <t>3,766,250.00</t>
  </si>
  <si>
    <t>170,850.00</t>
  </si>
  <si>
    <t>7,693,395.00</t>
  </si>
  <si>
    <t>3,518,694.74</t>
  </si>
  <si>
    <t>1,243,666.80</t>
  </si>
  <si>
    <t>4,009,000.00</t>
  </si>
  <si>
    <t>14,226,948.00</t>
  </si>
  <si>
    <t>108,250.00</t>
  </si>
  <si>
    <t>204,858.00</t>
  </si>
  <si>
    <t>1,678,900.00</t>
  </si>
  <si>
    <t>14,856,470.00</t>
  </si>
  <si>
    <t>9,643,992.00</t>
  </si>
  <si>
    <t>15,558,119.00</t>
  </si>
  <si>
    <t>4,234,000.00</t>
  </si>
  <si>
    <t>18,016,110.00</t>
  </si>
  <si>
    <t>397,488.00</t>
  </si>
  <si>
    <t>4,035,000.00</t>
  </si>
  <si>
    <t>5,126,925.60</t>
  </si>
  <si>
    <t>2,095,000.00</t>
  </si>
  <si>
    <t>1,947,626.00</t>
  </si>
  <si>
    <t>2,988,800.00</t>
  </si>
  <si>
    <t>525,429.00</t>
  </si>
  <si>
    <t>412,000.00</t>
  </si>
  <si>
    <t>4,369,513.00</t>
  </si>
  <si>
    <t>727,692.00</t>
  </si>
  <si>
    <t>166,725.00</t>
  </si>
  <si>
    <t>9,969,583.12</t>
  </si>
  <si>
    <t>9,999,195.07</t>
  </si>
  <si>
    <t>90.00</t>
  </si>
  <si>
    <t>9,999,401.02</t>
  </si>
  <si>
    <t>8,593,283.28</t>
  </si>
  <si>
    <t>369,760.00</t>
  </si>
  <si>
    <t>66,682,522.00</t>
  </si>
  <si>
    <t>4,697,000.00</t>
  </si>
  <si>
    <t>13,489,034.00</t>
  </si>
  <si>
    <t>683,000.00</t>
  </si>
  <si>
    <t>14,178,693.00</t>
  </si>
  <si>
    <t>19,200,292.68</t>
  </si>
  <si>
    <t>1,319,500.00</t>
  </si>
  <si>
    <t>404,000.00</t>
  </si>
  <si>
    <t>13,600,482.00</t>
  </si>
  <si>
    <t>18,155,489.00</t>
  </si>
  <si>
    <t>5,023,746.01</t>
  </si>
  <si>
    <t>1,470,000.00</t>
  </si>
  <si>
    <t>5,000,787.37</t>
  </si>
  <si>
    <t>224,401.00</t>
  </si>
  <si>
    <t>315,003.00</t>
  </si>
  <si>
    <t>7,560,000.00</t>
  </si>
  <si>
    <t>6,840,000.00</t>
  </si>
  <si>
    <t>4,999,986.85</t>
  </si>
  <si>
    <t>1,339,050.00</t>
  </si>
  <si>
    <t>914,500.00</t>
  </si>
  <si>
    <t>523,384.00</t>
  </si>
  <si>
    <t>4,997,817.18</t>
  </si>
  <si>
    <t>4,908,541.77</t>
  </si>
  <si>
    <t>1,776,000.00</t>
  </si>
  <si>
    <t>4,213,020.00</t>
  </si>
  <si>
    <t>684,806.00</t>
  </si>
  <si>
    <t>3,899,090.61</t>
  </si>
  <si>
    <t>1,284,624.52</t>
  </si>
  <si>
    <t>3,432,345.02</t>
  </si>
  <si>
    <t>3,506,084.15</t>
  </si>
  <si>
    <t>2,245,180.00</t>
  </si>
  <si>
    <t>3,517,944.70</t>
  </si>
  <si>
    <t>260,744.00</t>
  </si>
  <si>
    <t>522,551.99</t>
  </si>
  <si>
    <t>2,304,055.00</t>
  </si>
  <si>
    <t>584,000.00</t>
  </si>
  <si>
    <t>174,278.00</t>
  </si>
  <si>
    <t>1,303,816.03</t>
  </si>
  <si>
    <t>6,125,000.00</t>
  </si>
  <si>
    <t>513,496.00</t>
  </si>
  <si>
    <t>11,259,952.89</t>
  </si>
  <si>
    <t>3,668,808.81</t>
  </si>
  <si>
    <t>410,250.00</t>
  </si>
  <si>
    <t>171,172.00</t>
  </si>
  <si>
    <t>249,600.00</t>
  </si>
  <si>
    <t>474,750.00</t>
  </si>
  <si>
    <t>1,485,000.00</t>
  </si>
  <si>
    <t>72,740.00</t>
  </si>
  <si>
    <t>97,124.00</t>
  </si>
  <si>
    <t>134,937.00</t>
  </si>
  <si>
    <t>812,500.00</t>
  </si>
  <si>
    <t>139,649.00</t>
  </si>
  <si>
    <t>3,450,000.00</t>
  </si>
  <si>
    <t>399,400.00</t>
  </si>
  <si>
    <t>47,000,000.00</t>
  </si>
  <si>
    <t>12,879,658.73</t>
  </si>
  <si>
    <t>2,157,036.00</t>
  </si>
  <si>
    <t>49,998,586.64</t>
  </si>
  <si>
    <t>49,998,936.33</t>
  </si>
  <si>
    <t>530,598.20</t>
  </si>
  <si>
    <t>69,149.58</t>
  </si>
  <si>
    <t>8,302,800.00</t>
  </si>
  <si>
    <t>31,600.00</t>
  </si>
  <si>
    <t>114,400.00</t>
  </si>
  <si>
    <t>22,905.00</t>
  </si>
  <si>
    <t>32,436.00</t>
  </si>
  <si>
    <t>9,592.50</t>
  </si>
  <si>
    <t>84,440.00</t>
  </si>
  <si>
    <t>28,520.00</t>
  </si>
  <si>
    <t>154,010.00</t>
  </si>
  <si>
    <t>99,200.00</t>
  </si>
  <si>
    <t>584,845.00</t>
  </si>
  <si>
    <t>510,289.51</t>
  </si>
  <si>
    <t>168,600.00</t>
  </si>
  <si>
    <t>110,640.00</t>
  </si>
  <si>
    <t>136,352.00</t>
  </si>
  <si>
    <t>12,522.00</t>
  </si>
  <si>
    <t>18,050.00</t>
  </si>
  <si>
    <t>106,950.00</t>
  </si>
  <si>
    <t>65,053.96</t>
  </si>
  <si>
    <t>4,200.00</t>
  </si>
  <si>
    <t>10,065.00</t>
  </si>
  <si>
    <t>22,845.00</t>
  </si>
  <si>
    <t>37,499.68</t>
  </si>
  <si>
    <t>5,623,000.00</t>
  </si>
  <si>
    <t>54,021.00</t>
  </si>
  <si>
    <t>34,164.00</t>
  </si>
  <si>
    <t>9,722.00</t>
  </si>
  <si>
    <t>8,133.00</t>
  </si>
  <si>
    <t>115,381.67</t>
  </si>
  <si>
    <t>8,750.00</t>
  </si>
  <si>
    <t>8,320.00</t>
  </si>
  <si>
    <t>5,481,424.47</t>
  </si>
  <si>
    <t>168,900,000.00</t>
  </si>
  <si>
    <t>326,074.96</t>
  </si>
  <si>
    <t>26,500.00</t>
  </si>
  <si>
    <t>19,182.25</t>
  </si>
  <si>
    <t>829,262,933.13</t>
  </si>
  <si>
    <t>701,500.00</t>
  </si>
  <si>
    <t>91,600.00</t>
  </si>
  <si>
    <t>25,285.00</t>
  </si>
  <si>
    <t>1,815,738.95</t>
  </si>
  <si>
    <t>241,930.00</t>
  </si>
  <si>
    <t>41,002.00</t>
  </si>
  <si>
    <t>4,130.00</t>
  </si>
  <si>
    <t>9,635.00</t>
  </si>
  <si>
    <t>39,600.00</t>
  </si>
  <si>
    <t>25,070.00</t>
  </si>
  <si>
    <t>93,100.00</t>
  </si>
  <si>
    <t>19,825.00</t>
  </si>
  <si>
    <t>26,520.00</t>
  </si>
  <si>
    <t>214,800.00</t>
  </si>
  <si>
    <t>1,413,564.00</t>
  </si>
  <si>
    <t>173,698,928.03</t>
  </si>
  <si>
    <t>4,260.00</t>
  </si>
  <si>
    <t>605,420.42</t>
  </si>
  <si>
    <t>6,156,615.94</t>
  </si>
  <si>
    <t>7,830.00</t>
  </si>
  <si>
    <t>218,844.00</t>
  </si>
  <si>
    <t>6,583,850.56</t>
  </si>
  <si>
    <t>274,300.00</t>
  </si>
  <si>
    <t>751,432.00</t>
  </si>
  <si>
    <t>499,998.38</t>
  </si>
  <si>
    <t>1,696,000.00</t>
  </si>
  <si>
    <t>456,750.00</t>
  </si>
  <si>
    <t>705,000.00</t>
  </si>
  <si>
    <t>13,346.00</t>
  </si>
  <si>
    <t>987,000.00</t>
  </si>
  <si>
    <t>356,800.00</t>
  </si>
  <si>
    <t>462,620.27</t>
  </si>
  <si>
    <t>1,999,387.76</t>
  </si>
  <si>
    <t>431,565.00</t>
  </si>
  <si>
    <t>1,217,345.00</t>
  </si>
  <si>
    <t>1,748,510.00</t>
  </si>
  <si>
    <t>499,989.85</t>
  </si>
  <si>
    <t>2,397,536.00</t>
  </si>
  <si>
    <t>448,229.80</t>
  </si>
  <si>
    <t>1,900.00</t>
  </si>
  <si>
    <t>3,602,559.60</t>
  </si>
  <si>
    <t>1,027,040.00</t>
  </si>
  <si>
    <t>617,815.00</t>
  </si>
  <si>
    <t>7,665,000.00</t>
  </si>
  <si>
    <t>546,344.20</t>
  </si>
  <si>
    <t>119,995.00</t>
  </si>
  <si>
    <t>308,520.00</t>
  </si>
  <si>
    <t>1,490,546.65</t>
  </si>
  <si>
    <t>36,023,346.59</t>
  </si>
  <si>
    <t>298,670.00</t>
  </si>
  <si>
    <t>499,899.50</t>
  </si>
  <si>
    <t>424,000.00</t>
  </si>
  <si>
    <t>120,962.00</t>
  </si>
  <si>
    <t>489,999.50</t>
  </si>
  <si>
    <t>1,832,076.00</t>
  </si>
  <si>
    <t>776,000.00</t>
  </si>
  <si>
    <t>1,494,157.89</t>
  </si>
  <si>
    <t>544,100.00</t>
  </si>
  <si>
    <t>1,034,010.00</t>
  </si>
  <si>
    <t>587,500.00</t>
  </si>
  <si>
    <t>269,350.00</t>
  </si>
  <si>
    <t>799,376.92</t>
  </si>
  <si>
    <t>597,030.00</t>
  </si>
  <si>
    <t>1,562,595.65</t>
  </si>
  <si>
    <t>5,980,000.00</t>
  </si>
  <si>
    <t>1,234,250.00</t>
  </si>
  <si>
    <t>821,000.00</t>
  </si>
  <si>
    <t>690,272.00</t>
  </si>
  <si>
    <t>4,277,000.00</t>
  </si>
  <si>
    <t>2,514,255.00</t>
  </si>
  <si>
    <t>360,990.00</t>
  </si>
  <si>
    <t>17,172,494.60</t>
  </si>
  <si>
    <t>1,429,083.60</t>
  </si>
  <si>
    <t>7,238,009.72</t>
  </si>
  <si>
    <t>23,332,746.00</t>
  </si>
  <si>
    <t>112,709.91</t>
  </si>
  <si>
    <t>3,692,498.28</t>
  </si>
  <si>
    <t>673,555.00</t>
  </si>
  <si>
    <t>162,810.00</t>
  </si>
  <si>
    <t>245,900.00</t>
  </si>
  <si>
    <t>2,370,000.00</t>
  </si>
  <si>
    <t>139,294.90</t>
  </si>
  <si>
    <t>4,665,000.00</t>
  </si>
  <si>
    <t>784,800.00</t>
  </si>
  <si>
    <t>6,523,580.00</t>
  </si>
  <si>
    <t>664,189.76</t>
  </si>
  <si>
    <t>15,108,800.00</t>
  </si>
  <si>
    <t>72,109,870.00</t>
  </si>
  <si>
    <t>205,024.00</t>
  </si>
  <si>
    <t>1,054,635.50</t>
  </si>
  <si>
    <t>525,349.15</t>
  </si>
  <si>
    <t>890,950.58</t>
  </si>
  <si>
    <t>220,345.00</t>
  </si>
  <si>
    <t>107,691.60</t>
  </si>
  <si>
    <t>1,524,994.00</t>
  </si>
  <si>
    <t>2,055,130.90</t>
  </si>
  <si>
    <t>1,383,670.00</t>
  </si>
  <si>
    <t>2,326,575.00</t>
  </si>
  <si>
    <t>252,077.50</t>
  </si>
  <si>
    <t>1,480,450.00</t>
  </si>
  <si>
    <t>1,159,389.75</t>
  </si>
  <si>
    <t>1,995,000.00</t>
  </si>
  <si>
    <t>2,177,447.50</t>
  </si>
  <si>
    <t>5,358,000.00</t>
  </si>
  <si>
    <t>999,383.49</t>
  </si>
  <si>
    <t>1,291,566.28</t>
  </si>
  <si>
    <t>155,330.16</t>
  </si>
  <si>
    <t>339,300.00</t>
  </si>
  <si>
    <t>165,075.00</t>
  </si>
  <si>
    <t>1,347,566.94</t>
  </si>
  <si>
    <t>10,283,752.00</t>
  </si>
  <si>
    <t>214,400.00</t>
  </si>
  <si>
    <t>1,999,967.42</t>
  </si>
  <si>
    <t>103,480.00</t>
  </si>
  <si>
    <t>2,685,000.00</t>
  </si>
  <si>
    <t>2,950,000.00</t>
  </si>
  <si>
    <t>1,095,953.20</t>
  </si>
  <si>
    <t>1,048,084.00</t>
  </si>
  <si>
    <t>1,195,753.00</t>
  </si>
  <si>
    <t>972,694.00</t>
  </si>
  <si>
    <t>31,200,000.00</t>
  </si>
  <si>
    <t>133,594.00</t>
  </si>
  <si>
    <t>2,499,650.00</t>
  </si>
  <si>
    <t>3,493,585.09</t>
  </si>
  <si>
    <t>1,613,508.00</t>
  </si>
  <si>
    <t>7,173,021.24</t>
  </si>
  <si>
    <t>323,852.00</t>
  </si>
  <si>
    <t>100,007.55</t>
  </si>
  <si>
    <t>3,780,600.00</t>
  </si>
  <si>
    <t>648,427.00</t>
  </si>
  <si>
    <t>38,600,000.00</t>
  </si>
  <si>
    <t>1,241,651.52</t>
  </si>
  <si>
    <t>3,314,398.00</t>
  </si>
  <si>
    <t>932,891.20</t>
  </si>
  <si>
    <t>1,839,181.00</t>
  </si>
  <si>
    <t>245,664.20</t>
  </si>
  <si>
    <t>381,812.04</t>
  </si>
  <si>
    <t>2,970,000.00</t>
  </si>
  <si>
    <t>6,712,935.00</t>
  </si>
  <si>
    <t>144,427.10</t>
  </si>
  <si>
    <t>873,858.47</t>
  </si>
  <si>
    <t>1,591,781.13</t>
  </si>
  <si>
    <t>113,800.00</t>
  </si>
  <si>
    <t>1,153,554.00</t>
  </si>
  <si>
    <t>1,375,000.00</t>
  </si>
  <si>
    <t>1,499,955.00</t>
  </si>
  <si>
    <t>4,939,323.67</t>
  </si>
  <si>
    <t>1,713,910.00</t>
  </si>
  <si>
    <t>8,972,476.65</t>
  </si>
  <si>
    <t>223,809.60</t>
  </si>
  <si>
    <t>1,268,822.00</t>
  </si>
  <si>
    <t>6,344,000.00</t>
  </si>
  <si>
    <t>1,295,956.50</t>
  </si>
  <si>
    <t>1,801,440.61</t>
  </si>
  <si>
    <t>4,678,574.00</t>
  </si>
  <si>
    <t>670,989.08</t>
  </si>
  <si>
    <t>329,378.40</t>
  </si>
  <si>
    <t>4,148,339.00</t>
  </si>
  <si>
    <t>1,954,158.82</t>
  </si>
  <si>
    <t>1,434,250.00</t>
  </si>
  <si>
    <t>505,000.00</t>
  </si>
  <si>
    <t>27,529,342.00</t>
  </si>
  <si>
    <t>96,130.72</t>
  </si>
  <si>
    <t>12,223,657.63</t>
  </si>
  <si>
    <t>313,350.00</t>
  </si>
  <si>
    <t>9,557,596.77</t>
  </si>
  <si>
    <t>2,581,431.31</t>
  </si>
  <si>
    <t>990,695.00</t>
  </si>
  <si>
    <t>35,558,483.96</t>
  </si>
  <si>
    <t>34,714,623.84</t>
  </si>
  <si>
    <t>34,000,000.00</t>
  </si>
  <si>
    <t>9,276,000.00</t>
  </si>
  <si>
    <t>2,457,518.52</t>
  </si>
  <si>
    <t>4,116,300.00</t>
  </si>
  <si>
    <t>63,578,000.00</t>
  </si>
  <si>
    <t>3,384,000.00</t>
  </si>
  <si>
    <t>8,424,000.00</t>
  </si>
  <si>
    <t>5,999,991.50</t>
  </si>
  <si>
    <t>2,412,500.00</t>
  </si>
  <si>
    <t>13,345,000.00</t>
  </si>
  <si>
    <t>638,000.00</t>
  </si>
  <si>
    <t>165,884.00</t>
  </si>
  <si>
    <t>5,268,255.83</t>
  </si>
  <si>
    <t>106,988.60</t>
  </si>
  <si>
    <t>499,559.00</t>
  </si>
  <si>
    <t>2,608,572.00</t>
  </si>
  <si>
    <t>3,947,470.24</t>
  </si>
  <si>
    <t>4,598,000.00</t>
  </si>
  <si>
    <t>2,240,000.00</t>
  </si>
  <si>
    <t>1,445,000.00</t>
  </si>
  <si>
    <t>1,249,413.50</t>
  </si>
  <si>
    <t>1,987,500.00</t>
  </si>
  <si>
    <t>3,765,000.00</t>
  </si>
  <si>
    <t>1,346,063.84</t>
  </si>
  <si>
    <t>998,660.00</t>
  </si>
  <si>
    <t>999,976.64</t>
  </si>
  <si>
    <t>999,913.75</t>
  </si>
  <si>
    <t>6,099,011.00</t>
  </si>
  <si>
    <t>9,733,206.00</t>
  </si>
  <si>
    <t>11,962,332.64</t>
  </si>
  <si>
    <t>79,989,302.00</t>
  </si>
  <si>
    <t>827,236.00</t>
  </si>
  <si>
    <t>2,984,100.00</t>
  </si>
  <si>
    <t>1,850,725.34</t>
  </si>
  <si>
    <t>113,600.00</t>
  </si>
  <si>
    <t>5,995,774.00</t>
  </si>
  <si>
    <t>1,252,206.15</t>
  </si>
  <si>
    <t>510,590.00</t>
  </si>
  <si>
    <t>420,642.06</t>
  </si>
  <si>
    <t>2,613,430.00</t>
  </si>
  <si>
    <t>286,100.00</t>
  </si>
  <si>
    <t>390,750.00</t>
  </si>
  <si>
    <t>4,195,895.51</t>
  </si>
  <si>
    <t>697,920.00</t>
  </si>
  <si>
    <t>92,954,350.00</t>
  </si>
  <si>
    <t>981,721.00</t>
  </si>
  <si>
    <t>4,866,185.52</t>
  </si>
  <si>
    <t>799,470.00</t>
  </si>
  <si>
    <t>1,895,200.00</t>
  </si>
  <si>
    <t>3,041,500.00</t>
  </si>
  <si>
    <t>591,770.00</t>
  </si>
  <si>
    <t>332,894.00</t>
  </si>
  <si>
    <t>231,680.00</t>
  </si>
  <si>
    <t>559,840.24</t>
  </si>
  <si>
    <t>74,630.00</t>
  </si>
  <si>
    <t>139,410.00</t>
  </si>
  <si>
    <t>475,702.00</t>
  </si>
  <si>
    <t>5,348,211.96</t>
  </si>
  <si>
    <t>2,458,327.20</t>
  </si>
  <si>
    <t>2,398,742.06</t>
  </si>
  <si>
    <t>1,171,313.70</t>
  </si>
  <si>
    <t>3,346,541.52</t>
  </si>
  <si>
    <t>2,306,206.88</t>
  </si>
  <si>
    <t>73,138.00</t>
  </si>
  <si>
    <t>3,649,936.50</t>
  </si>
  <si>
    <t>4,219,680.94</t>
  </si>
  <si>
    <t>7,999,322.02</t>
  </si>
  <si>
    <t>888,674.43</t>
  </si>
  <si>
    <t>3,599,810.16</t>
  </si>
  <si>
    <t>3,950,021.25</t>
  </si>
  <si>
    <t>100,200.00</t>
  </si>
  <si>
    <t>2,795,331.75</t>
  </si>
  <si>
    <t>235,807.50</t>
  </si>
  <si>
    <t>286,600.00</t>
  </si>
  <si>
    <t>95,595.35</t>
  </si>
  <si>
    <t>2,105,850.00</t>
  </si>
  <si>
    <t>1,364,000.00</t>
  </si>
  <si>
    <t>9,986,985.16</t>
  </si>
  <si>
    <t>1,861,500.00</t>
  </si>
  <si>
    <t>64,773,952.98</t>
  </si>
  <si>
    <t>2,183,400.00</t>
  </si>
  <si>
    <t>16,997,022.12</t>
  </si>
  <si>
    <t>358,500.00</t>
  </si>
  <si>
    <t>2,580,000.00</t>
  </si>
  <si>
    <t>1,496,750.00</t>
  </si>
  <si>
    <t>658,640.00</t>
  </si>
  <si>
    <t>9,899,999.50</t>
  </si>
  <si>
    <t>120,765.84</t>
  </si>
  <si>
    <t>1,049,937.50</t>
  </si>
  <si>
    <t>296,217.51</t>
  </si>
  <si>
    <t>5,780,000.00</t>
  </si>
  <si>
    <t>586,390.25</t>
  </si>
  <si>
    <t>61,784.80</t>
  </si>
  <si>
    <t>2,220,660.00</t>
  </si>
  <si>
    <t>339,187.50</t>
  </si>
  <si>
    <t>4,799,000.00</t>
  </si>
  <si>
    <t>1,173,908.43</t>
  </si>
  <si>
    <t>279,191.00</t>
  </si>
  <si>
    <t>365,930.00</t>
  </si>
  <si>
    <t>7,900,000.00</t>
  </si>
  <si>
    <t>495,720.00</t>
  </si>
  <si>
    <t>2,994,648.50</t>
  </si>
  <si>
    <t>1,879,888.00</t>
  </si>
  <si>
    <t>1,497,686.35</t>
  </si>
  <si>
    <t>7,988,776.00</t>
  </si>
  <si>
    <t>22,698,800.00</t>
  </si>
  <si>
    <t>257,579.90</t>
  </si>
  <si>
    <t>206,999.95</t>
  </si>
  <si>
    <t>617,574.00</t>
  </si>
  <si>
    <t>14,901,585.49</t>
  </si>
  <si>
    <t>681,000.00</t>
  </si>
  <si>
    <t>207,110.00</t>
  </si>
  <si>
    <t>762,171.00</t>
  </si>
  <si>
    <t>1,935,700.00</t>
  </si>
  <si>
    <t>116,175.00</t>
  </si>
  <si>
    <t>828,931.00</t>
  </si>
  <si>
    <t>499,597.67</t>
  </si>
  <si>
    <t>1,399,099.00</t>
  </si>
  <si>
    <t>225,494.00</t>
  </si>
  <si>
    <t>3,247,500.00</t>
  </si>
  <si>
    <t>1,049,633.00</t>
  </si>
  <si>
    <t>5,505,100.00</t>
  </si>
  <si>
    <t>1,040,982.00</t>
  </si>
  <si>
    <t>338,452.60</t>
  </si>
  <si>
    <t>85,804.57</t>
  </si>
  <si>
    <t>233,425.00</t>
  </si>
  <si>
    <t>409,100.00</t>
  </si>
  <si>
    <t>54,954.00</t>
  </si>
  <si>
    <t>842,700.00</t>
  </si>
  <si>
    <t>54,987.00</t>
  </si>
  <si>
    <t>9,064,000.00</t>
  </si>
  <si>
    <t>718,057.00</t>
  </si>
  <si>
    <t>249,375.00</t>
  </si>
  <si>
    <t>999,100.00</t>
  </si>
  <si>
    <t>772,000.00</t>
  </si>
  <si>
    <t>392,500.00</t>
  </si>
  <si>
    <t>499,000.00</t>
  </si>
  <si>
    <t>8,305,663.00</t>
  </si>
  <si>
    <t>1,699,500.00</t>
  </si>
  <si>
    <t>2,789,862.92</t>
  </si>
  <si>
    <t>649,930.00</t>
  </si>
  <si>
    <t>6,329,446.00</t>
  </si>
  <si>
    <t>194,062.24</t>
  </si>
  <si>
    <t>407,902.24</t>
  </si>
  <si>
    <t>1,312,420.00</t>
  </si>
  <si>
    <t>3,180,000.00</t>
  </si>
  <si>
    <t>3,780,000.00</t>
  </si>
  <si>
    <t>970,858.00</t>
  </si>
  <si>
    <t>489,904.92</t>
  </si>
  <si>
    <t>6,579,616.88</t>
  </si>
  <si>
    <t>18,451,200.00</t>
  </si>
  <si>
    <t>99,800.00</t>
  </si>
  <si>
    <t>193,192.02</t>
  </si>
  <si>
    <t>1,371,789.00</t>
  </si>
  <si>
    <t>94,757.00</t>
  </si>
  <si>
    <t>367,855.00</t>
  </si>
  <si>
    <t>297,120.00</t>
  </si>
  <si>
    <t>153,883.34</t>
  </si>
  <si>
    <t>272,460.00</t>
  </si>
  <si>
    <t>227,050.00</t>
  </si>
  <si>
    <t>322,600.00</t>
  </si>
  <si>
    <t>666,686.88</t>
  </si>
  <si>
    <t>1,689,000.00</t>
  </si>
  <si>
    <t>14,849,999.18</t>
  </si>
  <si>
    <t>368,585.00</t>
  </si>
  <si>
    <t>257,500.00</t>
  </si>
  <si>
    <t>84,450.00</t>
  </si>
  <si>
    <t>23,891,452.64</t>
  </si>
  <si>
    <t>1,272,736.78</t>
  </si>
  <si>
    <t>4,620,000.00</t>
  </si>
  <si>
    <t>587,837.26</t>
  </si>
  <si>
    <t>4,920,263.00</t>
  </si>
  <si>
    <t>322,678.36</t>
  </si>
  <si>
    <t>4,899,999.72</t>
  </si>
  <si>
    <t>1,132,000.00</t>
  </si>
  <si>
    <t>110,164.00</t>
  </si>
  <si>
    <t>18,595,690.58</t>
  </si>
  <si>
    <t>19,477,238.20</t>
  </si>
  <si>
    <t>470,872.08</t>
  </si>
  <si>
    <t>609,787.50</t>
  </si>
  <si>
    <t>8,264,591.00</t>
  </si>
  <si>
    <t>386,113.24</t>
  </si>
  <si>
    <t>1,057,536.00</t>
  </si>
  <si>
    <t>21,788,912.73</t>
  </si>
  <si>
    <t>279,550.00</t>
  </si>
  <si>
    <t>2,012,724.00</t>
  </si>
  <si>
    <t>595,400.00</t>
  </si>
  <si>
    <t>2,105,682.90</t>
  </si>
  <si>
    <t>442,365.00</t>
  </si>
  <si>
    <t>3,859,766.11</t>
  </si>
  <si>
    <t>38,190.00</t>
  </si>
  <si>
    <t>2,436,878.00</t>
  </si>
  <si>
    <t>170,273.00</t>
  </si>
  <si>
    <t>64,699.39</t>
  </si>
  <si>
    <t>167,200.00</t>
  </si>
  <si>
    <t>178,050.00</t>
  </si>
  <si>
    <t>1,960,850.00</t>
  </si>
  <si>
    <t>1,833,989.88</t>
  </si>
  <si>
    <t>1,551,813.61</t>
  </si>
  <si>
    <t>45,100.00</t>
  </si>
  <si>
    <t>1,060,000.00</t>
  </si>
  <si>
    <t>3,175,120.00</t>
  </si>
  <si>
    <t>18,678,000.00</t>
  </si>
  <si>
    <t>2,190,000.00</t>
  </si>
  <si>
    <t>11,440,479.89</t>
  </si>
  <si>
    <t>24,822,386.60</t>
  </si>
  <si>
    <t>37,410.00</t>
  </si>
  <si>
    <t>183,659.00</t>
  </si>
  <si>
    <t>99,968.00</t>
  </si>
  <si>
    <t>6,518,468.56</t>
  </si>
  <si>
    <t>1,107,500.00</t>
  </si>
  <si>
    <t>14,404,483.72</t>
  </si>
  <si>
    <t>247,678.00</t>
  </si>
  <si>
    <t>1,101,645.40</t>
  </si>
  <si>
    <t>8,611,601.97</t>
  </si>
  <si>
    <t>1,879,175.00</t>
  </si>
  <si>
    <t>23,613,951.60</t>
  </si>
  <si>
    <t>20,272,436.57</t>
  </si>
  <si>
    <t>6,103,250.00</t>
  </si>
  <si>
    <t>1,987,726.12</t>
  </si>
  <si>
    <t>1,380,303.36</t>
  </si>
  <si>
    <t>1,238,588.75</t>
  </si>
  <si>
    <t>499,820.00</t>
  </si>
  <si>
    <t>6,916,562.18</t>
  </si>
  <si>
    <t>31,520,000.00</t>
  </si>
  <si>
    <t>16,835,329.75</t>
  </si>
  <si>
    <t>4,240,000.00</t>
  </si>
  <si>
    <t>4,750,000.00</t>
  </si>
  <si>
    <t>439,694.00</t>
  </si>
  <si>
    <t>383,730.98</t>
  </si>
  <si>
    <t>4,892,696.66</t>
  </si>
  <si>
    <t>360,000,000.00</t>
  </si>
  <si>
    <t>760,529.00</t>
  </si>
  <si>
    <t>140,223.00</t>
  </si>
  <si>
    <t>1,217,540.00</t>
  </si>
  <si>
    <t>41,552,576.50</t>
  </si>
  <si>
    <t>12,437,499.98</t>
  </si>
  <si>
    <t>18,404.00</t>
  </si>
  <si>
    <t>12,437,499.97</t>
  </si>
  <si>
    <t>1,199,800.00</t>
  </si>
  <si>
    <t>43,095.00</t>
  </si>
  <si>
    <t>172,664.00</t>
  </si>
  <si>
    <t>5,399,400.00</t>
  </si>
  <si>
    <t>11,020.00</t>
  </si>
  <si>
    <t>714,393.45</t>
  </si>
  <si>
    <t>1,918,710.00</t>
  </si>
  <si>
    <t>2,200,500.00</t>
  </si>
  <si>
    <t>696,666.13</t>
  </si>
  <si>
    <t>1,670,000.00</t>
  </si>
  <si>
    <t>74,910.00</t>
  </si>
  <si>
    <t>1,946,874.86</t>
  </si>
  <si>
    <t>208,800.00</t>
  </si>
  <si>
    <t>205,960.00</t>
  </si>
  <si>
    <t>68,985.00</t>
  </si>
  <si>
    <t>2,156,218.80</t>
  </si>
  <si>
    <t>649,528.00</t>
  </si>
  <si>
    <t>10,059,818.10</t>
  </si>
  <si>
    <t>2,270,000.00</t>
  </si>
  <si>
    <t>191,509.00</t>
  </si>
  <si>
    <t>7,950,000.00</t>
  </si>
  <si>
    <t>14,722,151.13</t>
  </si>
  <si>
    <t>2,034,911.75</t>
  </si>
  <si>
    <t>1,990,000.00</t>
  </si>
  <si>
    <t>1,805,200.00</t>
  </si>
  <si>
    <t>60,500.00</t>
  </si>
  <si>
    <t>4,080.00</t>
  </si>
  <si>
    <t>4,999,973.79</t>
  </si>
  <si>
    <t>383,770.00</t>
  </si>
  <si>
    <t>1,388,800.00</t>
  </si>
  <si>
    <t>1,239,075.00</t>
  </si>
  <si>
    <t>399,995.00</t>
  </si>
  <si>
    <t>1,584,912.00</t>
  </si>
  <si>
    <t>14,997,612.51</t>
  </si>
  <si>
    <t>5,999,955.20</t>
  </si>
  <si>
    <t>3,452,141.92</t>
  </si>
  <si>
    <t>1,311,075.00</t>
  </si>
  <si>
    <t>3,965,253.00</t>
  </si>
  <si>
    <t>52,390.00</t>
  </si>
  <si>
    <t>830,845.00</t>
  </si>
  <si>
    <t>1,694,826.00</t>
  </si>
  <si>
    <t>722,598.60</t>
  </si>
  <si>
    <t>3,654,945.25</t>
  </si>
  <si>
    <t>1,968,932.00</t>
  </si>
  <si>
    <t>119,170.00</t>
  </si>
  <si>
    <t>199,890.00</t>
  </si>
  <si>
    <t>5,488,000.00</t>
  </si>
  <si>
    <t>4,918,543.01</t>
  </si>
  <si>
    <t>140,540.00</t>
  </si>
  <si>
    <t>867,822.63</t>
  </si>
  <si>
    <t>596,343.33</t>
  </si>
  <si>
    <t>2,418,000.00</t>
  </si>
  <si>
    <t>989,800.00</t>
  </si>
  <si>
    <t>1,049,590.00</t>
  </si>
  <si>
    <t>3,055,920.00</t>
  </si>
  <si>
    <t>576,427.56</t>
  </si>
  <si>
    <t>762,910.00</t>
  </si>
  <si>
    <t>4,684,897.73</t>
  </si>
  <si>
    <t>140,900.00</t>
  </si>
  <si>
    <t>6,450.00</t>
  </si>
  <si>
    <t>286,500.00</t>
  </si>
  <si>
    <t>2,058,649.56</t>
  </si>
  <si>
    <t>328,547.79</t>
  </si>
  <si>
    <t>2,430,682.39</t>
  </si>
  <si>
    <t>6,100,000.00</t>
  </si>
  <si>
    <t>7,374,083.23</t>
  </si>
  <si>
    <t>348,200.00</t>
  </si>
  <si>
    <t>2,542,300.16</t>
  </si>
  <si>
    <t>120,352.00</t>
  </si>
  <si>
    <t>674,900.00</t>
  </si>
  <si>
    <t>1,053,378.48</t>
  </si>
  <si>
    <t>2,125,000.00</t>
  </si>
  <si>
    <t>2,375,363.15</t>
  </si>
  <si>
    <t>6,629,657.19</t>
  </si>
  <si>
    <t>3,064,494.24</t>
  </si>
  <si>
    <t>1,211,000.00</t>
  </si>
  <si>
    <t>921,349.42</t>
  </si>
  <si>
    <t>5,460,000.00</t>
  </si>
  <si>
    <t>622,975.00</t>
  </si>
  <si>
    <t>999,084.84</t>
  </si>
  <si>
    <t>2,067,127.13</t>
  </si>
  <si>
    <t>1,513,635.95</t>
  </si>
  <si>
    <t>4,157,965.00</t>
  </si>
  <si>
    <t>18,925,955.32</t>
  </si>
  <si>
    <t>122,360.00</t>
  </si>
  <si>
    <t>1,915,920.00</t>
  </si>
  <si>
    <t>477,941.00</t>
  </si>
  <si>
    <t>2,066,666.66</t>
  </si>
  <si>
    <t>73,750,000.00</t>
  </si>
  <si>
    <t>3,436,307.10</t>
  </si>
  <si>
    <t>71,594,427.24</t>
  </si>
  <si>
    <t>9,989,628.95</t>
  </si>
  <si>
    <t>3,924,000.00</t>
  </si>
  <si>
    <t>281,800.00</t>
  </si>
  <si>
    <t>241,000.00</t>
  </si>
  <si>
    <t>1,471,311.82</t>
  </si>
  <si>
    <t>300,190.00</t>
  </si>
  <si>
    <t>2,798,883.20</t>
  </si>
  <si>
    <t>575,548.00</t>
  </si>
  <si>
    <t>1,999,700.00</t>
  </si>
  <si>
    <t>9,989,991.61</t>
  </si>
  <si>
    <t>13,498,947.66</t>
  </si>
  <si>
    <t>18,262,675.97</t>
  </si>
  <si>
    <t>19,989,280.19</t>
  </si>
  <si>
    <t>23,429,440.00</t>
  </si>
  <si>
    <t>2,235,970.29</t>
  </si>
  <si>
    <t>1,689,750.86</t>
  </si>
  <si>
    <t>809,395.00</t>
  </si>
  <si>
    <t>57,505,020.25</t>
  </si>
  <si>
    <t>13,498,761.29</t>
  </si>
  <si>
    <t>5,472,500.00</t>
  </si>
  <si>
    <t>1,306,969.00</t>
  </si>
  <si>
    <t>499,989.60</t>
  </si>
  <si>
    <t>9,989,944.42</t>
  </si>
  <si>
    <t>10,326,000.00</t>
  </si>
  <si>
    <t>51,671.15</t>
  </si>
  <si>
    <t>1,125,000.00</t>
  </si>
  <si>
    <t>433,870.00</t>
  </si>
  <si>
    <t>4,167,040.00</t>
  </si>
  <si>
    <t>3,638,636.00</t>
  </si>
  <si>
    <t>29,926,761.12</t>
  </si>
  <si>
    <t>2,047,000.00</t>
  </si>
  <si>
    <t>2,397,100.00</t>
  </si>
  <si>
    <t>23,498,615.31</t>
  </si>
  <si>
    <t>9,949,867.43</t>
  </si>
  <si>
    <t>132,051.55</t>
  </si>
  <si>
    <t>4,988,355.68</t>
  </si>
  <si>
    <t>572,132.92</t>
  </si>
  <si>
    <t>40,200,000.00</t>
  </si>
  <si>
    <t>4,560,000.00</t>
  </si>
  <si>
    <t>43,165,099.00</t>
  </si>
  <si>
    <t>932,646.94</t>
  </si>
  <si>
    <t>51,594.00</t>
  </si>
  <si>
    <t>399,998.00</t>
  </si>
  <si>
    <t>2,145,000.00</t>
  </si>
  <si>
    <t>2,169,240.00</t>
  </si>
  <si>
    <t>276,800.79</t>
  </si>
  <si>
    <t>2,990,513.24</t>
  </si>
  <si>
    <t>2,218,500.00</t>
  </si>
  <si>
    <t>663,500.00</t>
  </si>
  <si>
    <t>3,731,282.91</t>
  </si>
  <si>
    <t>86,849,365.36</t>
  </si>
  <si>
    <t>271,000.00</t>
  </si>
  <si>
    <t>109,392.00</t>
  </si>
  <si>
    <t>618,500.00</t>
  </si>
  <si>
    <t>448,639.00</t>
  </si>
  <si>
    <t>1,428,122.39</t>
  </si>
  <si>
    <t>2,849,753.60</t>
  </si>
  <si>
    <t>3,503,000.00</t>
  </si>
  <si>
    <t>13,395,618.00</t>
  </si>
  <si>
    <t>1,699,944.40</t>
  </si>
  <si>
    <t>1,391,283.56</t>
  </si>
  <si>
    <t>2,104,000.00</t>
  </si>
  <si>
    <t>2,799,280.13</t>
  </si>
  <si>
    <t>99,730.00</t>
  </si>
  <si>
    <t>26,391,987.00</t>
  </si>
  <si>
    <t>16,300,000.00</t>
  </si>
  <si>
    <t>7,093,250.00</t>
  </si>
  <si>
    <t>1,324,915.00</t>
  </si>
  <si>
    <t>18,498,923.87</t>
  </si>
  <si>
    <t>1,274,900.00</t>
  </si>
  <si>
    <t>386,326.00</t>
  </si>
  <si>
    <t>153,220.37</t>
  </si>
  <si>
    <t>744,505.75</t>
  </si>
  <si>
    <t>70,900.00</t>
  </si>
  <si>
    <t>7,450,000.00</t>
  </si>
  <si>
    <t>1,668,928.09</t>
  </si>
  <si>
    <t>505,500.00</t>
  </si>
  <si>
    <t>2,335,200.00</t>
  </si>
  <si>
    <t>10,500.00</t>
  </si>
  <si>
    <t>1,989,920.00</t>
  </si>
  <si>
    <t>882,000.00</t>
  </si>
  <si>
    <t>3,699,330.00</t>
  </si>
  <si>
    <t>1,098,520.00</t>
  </si>
  <si>
    <t>3,611,025.00</t>
  </si>
  <si>
    <t>8,309,345.00</t>
  </si>
  <si>
    <t>769,250.00</t>
  </si>
  <si>
    <t>10,092,675.00</t>
  </si>
  <si>
    <t>8,061,500.00</t>
  </si>
  <si>
    <t>1,199,479.11</t>
  </si>
  <si>
    <t>21,980,347.12</t>
  </si>
  <si>
    <t>130,269.00</t>
  </si>
  <si>
    <t>4,452,500.00</t>
  </si>
  <si>
    <t>524,400.00</t>
  </si>
  <si>
    <t>1,244,011.76</t>
  </si>
  <si>
    <t>3,008,000.00</t>
  </si>
  <si>
    <t>4,010,000.00</t>
  </si>
  <si>
    <t>1,852,000.00</t>
  </si>
  <si>
    <t>11,722,100.90</t>
  </si>
  <si>
    <t>299,893.19</t>
  </si>
  <si>
    <t>1,499,792.82</t>
  </si>
  <si>
    <t>1,189,845.00</t>
  </si>
  <si>
    <t>1,033,402.77</t>
  </si>
  <si>
    <t>564,400.00</t>
  </si>
  <si>
    <t>18,030.00</t>
  </si>
  <si>
    <t>1,153,600.00</t>
  </si>
  <si>
    <t>2,281,991.16</t>
  </si>
  <si>
    <t>2,756,221.65</t>
  </si>
  <si>
    <t>5,999,999.99</t>
  </si>
  <si>
    <t>1,123,900.00</t>
  </si>
  <si>
    <t>531,675.00</t>
  </si>
  <si>
    <t>881,627.21</t>
  </si>
  <si>
    <t>2,395,590.44</t>
  </si>
  <si>
    <t>1,494,025.00</t>
  </si>
  <si>
    <t>94,790.00</t>
  </si>
  <si>
    <t>839,340.00</t>
  </si>
  <si>
    <t>2,837,547.19</t>
  </si>
  <si>
    <t>27,834.00</t>
  </si>
  <si>
    <t>1,999,110.06</t>
  </si>
  <si>
    <t>3,400.00</t>
  </si>
  <si>
    <t>1,403,800.00</t>
  </si>
  <si>
    <t>4,801.00</t>
  </si>
  <si>
    <t>495,387.61</t>
  </si>
  <si>
    <t>170,585.00</t>
  </si>
  <si>
    <t>211,977.50</t>
  </si>
  <si>
    <t>28,000,000.00</t>
  </si>
  <si>
    <t>1,341,000.00</t>
  </si>
  <si>
    <t>2,499,912.79</t>
  </si>
  <si>
    <t>38,626.00</t>
  </si>
  <si>
    <t>1,071,595.00</t>
  </si>
  <si>
    <t>12,540,223.61</t>
  </si>
  <si>
    <t>4,150,000.00</t>
  </si>
  <si>
    <t>530,400.00</t>
  </si>
  <si>
    <t>1,120,284.00</t>
  </si>
  <si>
    <t>1,315,320.00</t>
  </si>
  <si>
    <t>340,328.00</t>
  </si>
  <si>
    <t>3,184,980.29</t>
  </si>
  <si>
    <t>405,160.00</t>
  </si>
  <si>
    <t>142,835.00</t>
  </si>
  <si>
    <t>7,600.00</t>
  </si>
  <si>
    <t>8,043,897.00</t>
  </si>
  <si>
    <t>2,569,939.87</t>
  </si>
  <si>
    <t>660,047.00</t>
  </si>
  <si>
    <t>2,570,934.00</t>
  </si>
  <si>
    <t>1,865,387.00</t>
  </si>
  <si>
    <t>26,859,098.35</t>
  </si>
  <si>
    <t>689,040.00</t>
  </si>
  <si>
    <t>764,700.00</t>
  </si>
  <si>
    <t>2,376,000.00</t>
  </si>
  <si>
    <t>4,484,116.07</t>
  </si>
  <si>
    <t>457,100.00</t>
  </si>
  <si>
    <t>15,866,110.00</t>
  </si>
  <si>
    <t>1,424,377.53</t>
  </si>
  <si>
    <t>102,530.00</t>
  </si>
  <si>
    <t>173,782.00</t>
  </si>
  <si>
    <t>156,400.00</t>
  </si>
  <si>
    <t>802,620.00</t>
  </si>
  <si>
    <t>680,839.96</t>
  </si>
  <si>
    <t>1,306,469.00</t>
  </si>
  <si>
    <t>54,870,484.93</t>
  </si>
  <si>
    <t>30,014,557.00</t>
  </si>
  <si>
    <t>22,982,342.32</t>
  </si>
  <si>
    <t>969,192,253.28</t>
  </si>
  <si>
    <t>522,236.00</t>
  </si>
  <si>
    <t>169,079.00</t>
  </si>
  <si>
    <t>19,504,099.08</t>
  </si>
  <si>
    <t>4,003,000.00</t>
  </si>
  <si>
    <t>7,339,637.00</t>
  </si>
  <si>
    <t>5,630.00</t>
  </si>
  <si>
    <t>2,874,050.00</t>
  </si>
  <si>
    <t>533,800.00</t>
  </si>
  <si>
    <t>2,870,725.77</t>
  </si>
  <si>
    <t>3,674,633.38</t>
  </si>
  <si>
    <t>1,825,000.00</t>
  </si>
  <si>
    <t>923,300.54</t>
  </si>
  <si>
    <t>324,457.00</t>
  </si>
  <si>
    <t>13,997,851.78</t>
  </si>
  <si>
    <t>9,892,910.65</t>
  </si>
  <si>
    <t>1,996,120.07</t>
  </si>
  <si>
    <t>2,219,921.25</t>
  </si>
  <si>
    <t>498,295.24</t>
  </si>
  <si>
    <t>1,299,225.83</t>
  </si>
  <si>
    <t>2,451,809.46</t>
  </si>
  <si>
    <t>7,037.56</t>
  </si>
  <si>
    <t>999,940.92</t>
  </si>
  <si>
    <t>8,477,465.59</t>
  </si>
  <si>
    <t>309,960.00</t>
  </si>
  <si>
    <t>254,650.00</t>
  </si>
  <si>
    <t>153,345.50</t>
  </si>
  <si>
    <t>290,764.53</t>
  </si>
  <si>
    <t>5,160,000.00</t>
  </si>
  <si>
    <t>1,932,500.00</t>
  </si>
  <si>
    <t>49,712.42</t>
  </si>
  <si>
    <t>1,875.00</t>
  </si>
  <si>
    <t>1,536,488.00</t>
  </si>
  <si>
    <t>747,000.00</t>
  </si>
  <si>
    <t>24,370,608.75</t>
  </si>
  <si>
    <t>3,359,844.01</t>
  </si>
  <si>
    <t>4,797,600.00</t>
  </si>
  <si>
    <t>2,908,567.71</t>
  </si>
  <si>
    <t>39,915,000.00</t>
  </si>
  <si>
    <t>3,293,890.49</t>
  </si>
  <si>
    <t>260,145.00</t>
  </si>
  <si>
    <t>1,373,648.00</t>
  </si>
  <si>
    <t>2,422,035.00</t>
  </si>
  <si>
    <t>1,497,603.02</t>
  </si>
  <si>
    <t>295,940.00</t>
  </si>
  <si>
    <t>29,829,594.62</t>
  </si>
  <si>
    <t>16,544,063.00</t>
  </si>
  <si>
    <t>1,910,968.25</t>
  </si>
  <si>
    <t>1,567,362.00</t>
  </si>
  <si>
    <t>108,900.00</t>
  </si>
  <si>
    <t>170,530.00</t>
  </si>
  <si>
    <t>1,954,920.00</t>
  </si>
  <si>
    <t>133,500.00</t>
  </si>
  <si>
    <t>549,250.00</t>
  </si>
  <si>
    <t>23,498,754.17</t>
  </si>
  <si>
    <t>885,645.18</t>
  </si>
  <si>
    <t>8,498,977.00</t>
  </si>
  <si>
    <t>99,721.00</t>
  </si>
  <si>
    <t>1,049,663.84</t>
  </si>
  <si>
    <t>4,015,000.00</t>
  </si>
  <si>
    <t>230,281.00</t>
  </si>
  <si>
    <t>101,031.00</t>
  </si>
  <si>
    <t>4,165,008.50</t>
  </si>
  <si>
    <t>6,880.00</t>
  </si>
  <si>
    <t>5,423,000.00</t>
  </si>
  <si>
    <t>749,500.00</t>
  </si>
  <si>
    <t>9,687,288.00</t>
  </si>
  <si>
    <t>922,500.00</t>
  </si>
  <si>
    <t>103,300.00</t>
  </si>
  <si>
    <t>278,828.00</t>
  </si>
  <si>
    <t>499,060.00</t>
  </si>
  <si>
    <t>847,849.16</t>
  </si>
  <si>
    <t>1,520,155.25</t>
  </si>
  <si>
    <t>8,837,271.00</t>
  </si>
  <si>
    <t>445,750.00</t>
  </si>
  <si>
    <t>258,218.85</t>
  </si>
  <si>
    <t>1,954,434.20</t>
  </si>
  <si>
    <t>30,260.00</t>
  </si>
  <si>
    <t>3,515,680.00</t>
  </si>
  <si>
    <t>2,224,953.16</t>
  </si>
  <si>
    <t>1,454,903.00</t>
  </si>
  <si>
    <t>318,500.00</t>
  </si>
  <si>
    <t>194,040.00</t>
  </si>
  <si>
    <t>1,306,800.00</t>
  </si>
  <si>
    <t>1,162,729.00</t>
  </si>
  <si>
    <t>964,775.00</t>
  </si>
  <si>
    <t>1,647,000.00</t>
  </si>
  <si>
    <t>5,665,000.00</t>
  </si>
  <si>
    <t>37,189,353.60</t>
  </si>
  <si>
    <t>4,381,000.00</t>
  </si>
  <si>
    <t>14,635,243.25</t>
  </si>
  <si>
    <t>18,000,000.00</t>
  </si>
  <si>
    <t>2,717,138.12</t>
  </si>
  <si>
    <t>997,200.00</t>
  </si>
  <si>
    <t>180,450.00</t>
  </si>
  <si>
    <t>2,380,100.00</t>
  </si>
  <si>
    <t>157,645.00</t>
  </si>
  <si>
    <t>4,260,904.70</t>
  </si>
  <si>
    <t>5,794,468.94</t>
  </si>
  <si>
    <t>624,549.00</t>
  </si>
  <si>
    <t>2,635,098.50</t>
  </si>
  <si>
    <t>3,598,275.16</t>
  </si>
  <si>
    <t>11,707,000.00</t>
  </si>
  <si>
    <t>812,000.00</t>
  </si>
  <si>
    <t>9,650,000.00</t>
  </si>
  <si>
    <t>2,695,900.00</t>
  </si>
  <si>
    <t>2,905,260.68</t>
  </si>
  <si>
    <t>483,100.00</t>
  </si>
  <si>
    <t>1,699,926.34</t>
  </si>
  <si>
    <t>14,032,792.87</t>
  </si>
  <si>
    <t>98,059,056.03</t>
  </si>
  <si>
    <t>1,559,250.00</t>
  </si>
  <si>
    <t>1,870,652.64</t>
  </si>
  <si>
    <t>130,000,000.00</t>
  </si>
  <si>
    <t>503,400.00</t>
  </si>
  <si>
    <t>1,948,821.87</t>
  </si>
  <si>
    <t>128,520.00</t>
  </si>
  <si>
    <t>6,867,227.35</t>
  </si>
  <si>
    <t>1,387,233.53</t>
  </si>
  <si>
    <t>1,160,655.00</t>
  </si>
  <si>
    <t>6.80</t>
  </si>
  <si>
    <t>1,452,393.56</t>
  </si>
  <si>
    <t>1,220,686.00</t>
  </si>
  <si>
    <t>379,000.00</t>
  </si>
  <si>
    <t>637,186.26</t>
  </si>
  <si>
    <t>242,520.00</t>
  </si>
  <si>
    <t>66,850.00</t>
  </si>
  <si>
    <t>1,220,000.00</t>
  </si>
  <si>
    <t>81,935,712.21</t>
  </si>
  <si>
    <t>1,014,761.57</t>
  </si>
  <si>
    <t>1,301,182.00</t>
  </si>
  <si>
    <t>1,465,492.00</t>
  </si>
  <si>
    <t>1,944,000.00</t>
  </si>
  <si>
    <t>1,464,000.00</t>
  </si>
  <si>
    <t>2,072,200.00</t>
  </si>
  <si>
    <t>2,501,035.10</t>
  </si>
  <si>
    <t>6,250,000.00</t>
  </si>
  <si>
    <t>3,053,932.61</t>
  </si>
  <si>
    <t>1,040,490.50</t>
  </si>
  <si>
    <t>290,770.79</t>
  </si>
  <si>
    <t>7,511,740.64</t>
  </si>
  <si>
    <t>8,684,000.00</t>
  </si>
  <si>
    <t>1,800,500.00</t>
  </si>
  <si>
    <t>3,439,930.00</t>
  </si>
  <si>
    <t>24,874,833.46</t>
  </si>
  <si>
    <t>1,947,000.00</t>
  </si>
  <si>
    <t>1,020,500.00</t>
  </si>
  <si>
    <t>19,999,901.41</t>
  </si>
  <si>
    <t>16,165,000.00</t>
  </si>
  <si>
    <t>1,944,724.00</t>
  </si>
  <si>
    <t>26,013,000.00</t>
  </si>
  <si>
    <t>997,920.00</t>
  </si>
  <si>
    <t>2,503,000.00</t>
  </si>
  <si>
    <t>5,714,000.00</t>
  </si>
  <si>
    <t>1,074,310.50</t>
  </si>
  <si>
    <t>8,682,198.00</t>
  </si>
  <si>
    <t>1,147,365.00</t>
  </si>
  <si>
    <t>21,000,000.00</t>
  </si>
  <si>
    <t>2,592,000.00</t>
  </si>
  <si>
    <t>12,050.00</t>
  </si>
  <si>
    <t>63,840.00</t>
  </si>
  <si>
    <t>357,143.00</t>
  </si>
  <si>
    <t>5,053,660.00</t>
  </si>
  <si>
    <t>2,917,000.00</t>
  </si>
  <si>
    <t>115,910,000.00</t>
  </si>
  <si>
    <t>1,367,650.00</t>
  </si>
  <si>
    <t>2,244,963.00</t>
  </si>
  <si>
    <t>1,964,757.60</t>
  </si>
  <si>
    <t>683,935.20</t>
  </si>
  <si>
    <t>209,100,060.00</t>
  </si>
  <si>
    <t>4,475,000.00</t>
  </si>
  <si>
    <t>3,965,000.00</t>
  </si>
  <si>
    <t>2,883,890.00</t>
  </si>
  <si>
    <t>3,071,468.00</t>
  </si>
  <si>
    <t>319,500.00</t>
  </si>
  <si>
    <t>3,420,000.00</t>
  </si>
  <si>
    <t>14,430,220.00</t>
  </si>
  <si>
    <t>877,133.22</t>
  </si>
  <si>
    <t>170,400.00</t>
  </si>
  <si>
    <t>1,704,873.60</t>
  </si>
  <si>
    <t>4,143,951.74</t>
  </si>
  <si>
    <t>124,548,000.00</t>
  </si>
  <si>
    <t>102,900.00</t>
  </si>
  <si>
    <t>4,725,476.99</t>
  </si>
  <si>
    <t>4,677,750.00</t>
  </si>
  <si>
    <t>6,450,000.00</t>
  </si>
  <si>
    <t>77,700.00</t>
  </si>
  <si>
    <t>55,200.00</t>
  </si>
  <si>
    <t>2,542,065.00</t>
  </si>
  <si>
    <t>178,731.00</t>
  </si>
  <si>
    <t>4,141,400.00</t>
  </si>
  <si>
    <t>1,225,725.61</t>
  </si>
  <si>
    <t>253,812.73</t>
  </si>
  <si>
    <t>2,913,090.23</t>
  </si>
  <si>
    <t>1,942,500.00</t>
  </si>
  <si>
    <t>8,334,400.00</t>
  </si>
  <si>
    <t>4,796,235.00</t>
  </si>
  <si>
    <t>9,100,000.00</t>
  </si>
  <si>
    <t>1,197,202.95</t>
  </si>
  <si>
    <t>2,230,890.00</t>
  </si>
  <si>
    <t>140,994.00</t>
  </si>
  <si>
    <t>2,996,811.52</t>
  </si>
  <si>
    <t>1,998,689.26</t>
  </si>
  <si>
    <t>144,599,917.30</t>
  </si>
  <si>
    <t>998,184.07</t>
  </si>
  <si>
    <t>293,115.45</t>
  </si>
  <si>
    <t>1,495,273.52</t>
  </si>
  <si>
    <t>82,080.00</t>
  </si>
  <si>
    <t>297,477.57</t>
  </si>
  <si>
    <t>469,216.00</t>
  </si>
  <si>
    <t>2,997,825.42</t>
  </si>
  <si>
    <t>211,875.00</t>
  </si>
  <si>
    <t>390,414.68</t>
  </si>
  <si>
    <t>486,995.28</t>
  </si>
  <si>
    <t>145,140.00</t>
  </si>
  <si>
    <t>291,392.18</t>
  </si>
  <si>
    <t>481,901.51</t>
  </si>
  <si>
    <t>88,920.00</t>
  </si>
  <si>
    <t>461,275.25</t>
  </si>
  <si>
    <t>2,337,750.00</t>
  </si>
  <si>
    <t>3,999,774.84</t>
  </si>
  <si>
    <t>55,120,000.00</t>
  </si>
  <si>
    <t>3,848,000.00</t>
  </si>
  <si>
    <t>7,136,587.63</t>
  </si>
  <si>
    <t>12,469,506.72</t>
  </si>
  <si>
    <t>3,008,067.00</t>
  </si>
  <si>
    <t>1,018,000.00</t>
  </si>
  <si>
    <t>17,121,438.57</t>
  </si>
  <si>
    <t>449,980.00</t>
  </si>
  <si>
    <t>36,180.00</t>
  </si>
  <si>
    <t>2,742,160.00</t>
  </si>
  <si>
    <t>2,166,712.41</t>
  </si>
  <si>
    <t>2,449,619.90</t>
  </si>
  <si>
    <t>7,239,000.00</t>
  </si>
  <si>
    <t>431,240.00</t>
  </si>
  <si>
    <t>5,990,507.45</t>
  </si>
  <si>
    <t>324,255.61</t>
  </si>
  <si>
    <t>41,306,086.00</t>
  </si>
  <si>
    <t>19,279,915.24</t>
  </si>
  <si>
    <t>205,654.05</t>
  </si>
  <si>
    <t>405,001.80</t>
  </si>
  <si>
    <t>1,980,500.00</t>
  </si>
  <si>
    <t>1,236,602.21</t>
  </si>
  <si>
    <t>408,025.80</t>
  </si>
  <si>
    <t>1,994,475.00</t>
  </si>
  <si>
    <t>1,999,170.15</t>
  </si>
  <si>
    <t>1,472,765.45</t>
  </si>
  <si>
    <t>6,999,969.36</t>
  </si>
  <si>
    <t>339,998.40</t>
  </si>
  <si>
    <t>17,326,560.00</t>
  </si>
  <si>
    <t>1,014,150.00</t>
  </si>
  <si>
    <t>19,188,990.87</t>
  </si>
  <si>
    <t>323,010.00</t>
  </si>
  <si>
    <t>94,660,943.58</t>
  </si>
  <si>
    <t>16,980,758.64</t>
  </si>
  <si>
    <t>548,159.49</t>
  </si>
  <si>
    <t>1,132,470.00</t>
  </si>
  <si>
    <t>39,568,922.00</t>
  </si>
  <si>
    <t>1,098,865.00</t>
  </si>
  <si>
    <t>11,939,991.48</t>
  </si>
  <si>
    <t>4,337,409.94</t>
  </si>
  <si>
    <t>694,000.00</t>
  </si>
  <si>
    <t>1,499,415.00</t>
  </si>
  <si>
    <t>506,987.25</t>
  </si>
  <si>
    <t>4,999,964.40</t>
  </si>
  <si>
    <t>972,000.00</t>
  </si>
  <si>
    <t>8,431,250.00</t>
  </si>
  <si>
    <t>144,748,970.31</t>
  </si>
  <si>
    <t>816,597.50</t>
  </si>
  <si>
    <t>1,999,999.60</t>
  </si>
  <si>
    <t>7,981,000.00</t>
  </si>
  <si>
    <t>2,886,000.00</t>
  </si>
  <si>
    <t>3,250,000.00</t>
  </si>
  <si>
    <t>32,499,415.20</t>
  </si>
  <si>
    <t>5,235,000.00</t>
  </si>
  <si>
    <t>5,563,000.00</t>
  </si>
  <si>
    <t>4,333,333.20</t>
  </si>
  <si>
    <t>2,755,000.00</t>
  </si>
  <si>
    <t>1,360,000.00</t>
  </si>
  <si>
    <t>8,915,000.00</t>
  </si>
  <si>
    <t>2,133,291.20</t>
  </si>
  <si>
    <t>11,700,000.00</t>
  </si>
  <si>
    <t>6,454,000.00</t>
  </si>
  <si>
    <t>3,694,592.05</t>
  </si>
  <si>
    <t>4,160,000.00</t>
  </si>
  <si>
    <t>15,722,750.00</t>
  </si>
  <si>
    <t>20,145,000.00</t>
  </si>
  <si>
    <t>6,333,333.21</t>
  </si>
  <si>
    <t>3,470,000.00</t>
  </si>
  <si>
    <t>2,903,050.00</t>
  </si>
  <si>
    <t>1,676,000.00</t>
  </si>
  <si>
    <t>24,500,000.00</t>
  </si>
  <si>
    <t>9,227,522.72</t>
  </si>
  <si>
    <t>36,658,308.00</t>
  </si>
  <si>
    <t>1,054,100.00</t>
  </si>
  <si>
    <t>1,085,683.80</t>
  </si>
  <si>
    <t>1,530,731.00</t>
  </si>
  <si>
    <t>7,399,575.00</t>
  </si>
  <si>
    <t>5,400.00</t>
  </si>
  <si>
    <t>112,840.00</t>
  </si>
  <si>
    <t>1,413,980.00</t>
  </si>
  <si>
    <t>255,606.00</t>
  </si>
  <si>
    <t>54,580.00</t>
  </si>
  <si>
    <t>108,390.00</t>
  </si>
  <si>
    <t>1,133,335.20</t>
  </si>
  <si>
    <t>1,889,194.00</t>
  </si>
  <si>
    <t>1,163,617.62</t>
  </si>
  <si>
    <t>146,544.00</t>
  </si>
  <si>
    <t>10,476,876.75</t>
  </si>
  <si>
    <t>2,945,000.00</t>
  </si>
  <si>
    <t>299,563.00</t>
  </si>
  <si>
    <t>199,754.00</t>
  </si>
  <si>
    <t>9,644,000.00</t>
  </si>
  <si>
    <t>4,025,000.00</t>
  </si>
  <si>
    <t>2,972,801.48</t>
  </si>
  <si>
    <t>131,355.00</t>
  </si>
  <si>
    <t>469,705.50</t>
  </si>
  <si>
    <t>80,161.31</t>
  </si>
  <si>
    <t>3,341,218.35</t>
  </si>
  <si>
    <t>164,400.00</t>
  </si>
  <si>
    <t>220,750.00</t>
  </si>
  <si>
    <t>2,177,777.48</t>
  </si>
  <si>
    <t>112,740.00</t>
  </si>
  <si>
    <t>3,367,020.00</t>
  </si>
  <si>
    <t>16,750.00</t>
  </si>
  <si>
    <t>2,437,600.00</t>
  </si>
  <si>
    <t>2,415,601.10</t>
  </si>
  <si>
    <t>1,499,972.32</t>
  </si>
  <si>
    <t>3,942,852.45</t>
  </si>
  <si>
    <t>2,769,629.08</t>
  </si>
  <si>
    <t>2,975,000.00</t>
  </si>
  <si>
    <t>2,591,000.00</t>
  </si>
  <si>
    <t>82,400.00</t>
  </si>
  <si>
    <t>493,737.66</t>
  </si>
  <si>
    <t>3,775,000.00</t>
  </si>
  <si>
    <t>2,098,750.00</t>
  </si>
  <si>
    <t>1,999,760.68</t>
  </si>
  <si>
    <t>14,954,075.29</t>
  </si>
  <si>
    <t>607,150.00</t>
  </si>
  <si>
    <t>185,500.00</t>
  </si>
  <si>
    <t>1,820,000.00</t>
  </si>
  <si>
    <t>1,001,436.00</t>
  </si>
  <si>
    <t>1,006,760.00</t>
  </si>
  <si>
    <t>4,499,847.97</t>
  </si>
  <si>
    <t>2,483,389.37</t>
  </si>
  <si>
    <t>9,338,800.00</t>
  </si>
  <si>
    <t>213,386.25</t>
  </si>
  <si>
    <t>1,748,327.43</t>
  </si>
  <si>
    <t>12,400,000.00</t>
  </si>
  <si>
    <t>3,505,500.00</t>
  </si>
  <si>
    <t>3,019,109.57</t>
  </si>
  <si>
    <t>666,959.85</t>
  </si>
  <si>
    <t>1,748,135.87</t>
  </si>
  <si>
    <t>35,200,000.00</t>
  </si>
  <si>
    <t>2,999,903.85</t>
  </si>
  <si>
    <t>14,567,308.00</t>
  </si>
  <si>
    <t>1,498,829.75</t>
  </si>
  <si>
    <t>3,605,000.00</t>
  </si>
  <si>
    <t>786,965.00</t>
  </si>
  <si>
    <t>1,880,916.80</t>
  </si>
  <si>
    <t>289,879.20</t>
  </si>
  <si>
    <t>369,999.98</t>
  </si>
  <si>
    <t>195,120.00</t>
  </si>
  <si>
    <t>2,993,145.18</t>
  </si>
  <si>
    <t>2,469,000.00</t>
  </si>
  <si>
    <t>2,989,822.02</t>
  </si>
  <si>
    <t>1,168,851.00</t>
  </si>
  <si>
    <t>12,173,292.48</t>
  </si>
  <si>
    <t>12,335,000.00</t>
  </si>
  <si>
    <t>4,196,785.21</t>
  </si>
  <si>
    <t>323,956.40</t>
  </si>
  <si>
    <t>25,125,383.59</t>
  </si>
  <si>
    <t>3,254,400.00</t>
  </si>
  <si>
    <t>3,080,395.03</t>
  </si>
  <si>
    <t>2,188,800.00</t>
  </si>
  <si>
    <t>1,417,080.00</t>
  </si>
  <si>
    <t>56,400.00</t>
  </si>
  <si>
    <t>1,771,406.00</t>
  </si>
  <si>
    <t>83,300,000.00</t>
  </si>
  <si>
    <t>52,850.00</t>
  </si>
  <si>
    <t>303,000.00</t>
  </si>
  <si>
    <t>287,064.00</t>
  </si>
  <si>
    <t>379,819.84</t>
  </si>
  <si>
    <t>1,283,910.50</t>
  </si>
  <si>
    <t>182,586.00</t>
  </si>
  <si>
    <t>150,048.00</t>
  </si>
  <si>
    <t>126,510.00</t>
  </si>
  <si>
    <t>1,521,340.00</t>
  </si>
  <si>
    <t>543,471.00</t>
  </si>
  <si>
    <t>4,384,780.00</t>
  </si>
  <si>
    <t>118,900.00</t>
  </si>
  <si>
    <t>161,753.00</t>
  </si>
  <si>
    <t>2,268,836.25</t>
  </si>
  <si>
    <t>9,661,900.00</t>
  </si>
  <si>
    <t>701,490.00</t>
  </si>
  <si>
    <t>1,142,539.48</t>
  </si>
  <si>
    <t>2,077,773.82</t>
  </si>
  <si>
    <t>1,405,837.43</t>
  </si>
  <si>
    <t>1,418,936.76</t>
  </si>
  <si>
    <t>1,047,670.50</t>
  </si>
  <si>
    <t>1,952,530.00</t>
  </si>
  <si>
    <t>1,857,000.00</t>
  </si>
  <si>
    <t>2,106,952.00</t>
  </si>
  <si>
    <t>478,000.00</t>
  </si>
  <si>
    <t>3,960,458.10</t>
  </si>
  <si>
    <t>4,173,208.10</t>
  </si>
  <si>
    <t>9,699,606.89</t>
  </si>
  <si>
    <t>3,999,033.56</t>
  </si>
  <si>
    <t>1,617,000.00</t>
  </si>
  <si>
    <t>3,094,397.64</t>
  </si>
  <si>
    <t>249,998.52</t>
  </si>
  <si>
    <t>154,932.90</t>
  </si>
  <si>
    <t>231,025.00</t>
  </si>
  <si>
    <t>3,116,882.20</t>
  </si>
  <si>
    <t>480,926.00</t>
  </si>
  <si>
    <t>499,934.57</t>
  </si>
  <si>
    <t>5,998,601.59</t>
  </si>
  <si>
    <t>2,805,000.00</t>
  </si>
  <si>
    <t>549,925.00</t>
  </si>
  <si>
    <t>3,675,037.85</t>
  </si>
  <si>
    <t>6,307,500.00</t>
  </si>
  <si>
    <t>930,974.00</t>
  </si>
  <si>
    <t>2,196,000.00</t>
  </si>
  <si>
    <t>5,720,000.00</t>
  </si>
  <si>
    <t>2,334,000.00</t>
  </si>
  <si>
    <t>4,624,105.00</t>
  </si>
  <si>
    <t>2,476,500.00</t>
  </si>
  <si>
    <t>5,768,094.12</t>
  </si>
  <si>
    <t>2,249,988.80</t>
  </si>
  <si>
    <t>467,313.00</t>
  </si>
  <si>
    <t>1,716,609.88</t>
  </si>
  <si>
    <t>2,799,417.50</t>
  </si>
  <si>
    <t>1,953,850.00</t>
  </si>
  <si>
    <t>1,245,344.00</t>
  </si>
  <si>
    <t>3,180,978.17</t>
  </si>
  <si>
    <t>680,720.00</t>
  </si>
  <si>
    <t>3,190,000.00</t>
  </si>
  <si>
    <t>2,927,710.59</t>
  </si>
  <si>
    <t>250,100.00</t>
  </si>
  <si>
    <t>1,272,000.00</t>
  </si>
  <si>
    <t>989,999.81</t>
  </si>
  <si>
    <t>709,560.73</t>
  </si>
  <si>
    <t>1,601,605.00</t>
  </si>
  <si>
    <t>7,040,000.00</t>
  </si>
  <si>
    <t>2,530,000.00</t>
  </si>
  <si>
    <t>370,520.00</t>
  </si>
  <si>
    <t>1,861,988.46</t>
  </si>
  <si>
    <t>1,959,988.08</t>
  </si>
  <si>
    <t>1,959,989.07</t>
  </si>
  <si>
    <t>6,396,696.10</t>
  </si>
  <si>
    <t>30,600,000.00</t>
  </si>
  <si>
    <t>26,441,000.00</t>
  </si>
  <si>
    <t>315,100.00</t>
  </si>
  <si>
    <t>249,057.04</t>
  </si>
  <si>
    <t>177,149.59</t>
  </si>
  <si>
    <t>54,400,000.00</t>
  </si>
  <si>
    <t>4,842,637.00</t>
  </si>
  <si>
    <t>12,865,492.97</t>
  </si>
  <si>
    <t>899,850.00</t>
  </si>
  <si>
    <t>4,920,898.91</t>
  </si>
  <si>
    <t>885,000.00</t>
  </si>
  <si>
    <t>496,859.28</t>
  </si>
  <si>
    <t>3,506,350.00</t>
  </si>
  <si>
    <t>8,033,000.00</t>
  </si>
  <si>
    <t>3,742,800.60</t>
  </si>
  <si>
    <t>2,920,000.00</t>
  </si>
  <si>
    <t>26,451,550.00</t>
  </si>
  <si>
    <t>99,358.00</t>
  </si>
  <si>
    <t>1,476,338.10</t>
  </si>
  <si>
    <t>125,077.75</t>
  </si>
  <si>
    <t>2,474,058.86</t>
  </si>
  <si>
    <t>238,800.00</t>
  </si>
  <si>
    <t>1,488,905.00</t>
  </si>
  <si>
    <t>1,966,053.60</t>
  </si>
  <si>
    <t>4,605,848.20</t>
  </si>
  <si>
    <t>9,257,000.00</t>
  </si>
  <si>
    <t>1,124,835.01</t>
  </si>
  <si>
    <t>1,944,258.55</t>
  </si>
  <si>
    <t>1,956,675.30</t>
  </si>
  <si>
    <t>4,207,064.03</t>
  </si>
  <si>
    <t>333,200.00</t>
  </si>
  <si>
    <t>9,015,325.00</t>
  </si>
  <si>
    <t>1,658,200.00</t>
  </si>
  <si>
    <t>8,610,800.00</t>
  </si>
  <si>
    <t>3,943,105.90</t>
  </si>
  <si>
    <t>3,417,357.88</t>
  </si>
  <si>
    <t>3,305,218.50</t>
  </si>
  <si>
    <t>5,512,300.00</t>
  </si>
  <si>
    <t>5,164,079.00</t>
  </si>
  <si>
    <t>3,475,516.00</t>
  </si>
  <si>
    <t>1,454,395.37</t>
  </si>
  <si>
    <t>2,933,582.00</t>
  </si>
  <si>
    <t>42,875,000.00</t>
  </si>
  <si>
    <t>1,625,000.00</t>
  </si>
  <si>
    <t>14,715,000.00</t>
  </si>
  <si>
    <t>2,217,982.28</t>
  </si>
  <si>
    <t>1,999,728.00</t>
  </si>
  <si>
    <t>2,358,000.00</t>
  </si>
  <si>
    <t>10,498,214.00</t>
  </si>
  <si>
    <t>2,955,000.42</t>
  </si>
  <si>
    <t>1,245,000.00</t>
  </si>
  <si>
    <t>2,362,972.19</t>
  </si>
  <si>
    <t>594,927.38</t>
  </si>
  <si>
    <t>1,017,125.79</t>
  </si>
  <si>
    <t>66,350.00</t>
  </si>
  <si>
    <t>4,869,000.00</t>
  </si>
  <si>
    <t>1,930,679.60</t>
  </si>
  <si>
    <t>499,434.80</t>
  </si>
  <si>
    <t>2,492,058.95</t>
  </si>
  <si>
    <t>12,916,488.52</t>
  </si>
  <si>
    <t>11,929,824.83</t>
  </si>
  <si>
    <t>9,631,000.00</t>
  </si>
  <si>
    <t>3,933,000.00</t>
  </si>
  <si>
    <t>2,349,000.00</t>
  </si>
  <si>
    <t>1,971,676.88</t>
  </si>
  <si>
    <t>2,397,000.00</t>
  </si>
  <si>
    <t>5,499,372.18</t>
  </si>
  <si>
    <t>2,107,838.00</t>
  </si>
  <si>
    <t>88,815.50</t>
  </si>
  <si>
    <t>152,942.35</t>
  </si>
  <si>
    <t>7,918,710.00</t>
  </si>
  <si>
    <t>5,376,427.46</t>
  </si>
  <si>
    <t>688,008.40</t>
  </si>
  <si>
    <t>4,108,000.00</t>
  </si>
  <si>
    <t>1,999,510.08</t>
  </si>
  <si>
    <t>268,279.13</t>
  </si>
  <si>
    <t>179,216.00</t>
  </si>
  <si>
    <t>91,942,758.00</t>
  </si>
  <si>
    <t>620,289.80</t>
  </si>
  <si>
    <t>973,003.68</t>
  </si>
  <si>
    <t>89,900,000.00</t>
  </si>
  <si>
    <t>494,433.02</t>
  </si>
  <si>
    <t>1,991,253.64</t>
  </si>
  <si>
    <t>982,823.83</t>
  </si>
  <si>
    <t>6,564,793.00</t>
  </si>
  <si>
    <t>10,492,000.00</t>
  </si>
  <si>
    <t>47,000.00</t>
  </si>
  <si>
    <t>5,509,207.60</t>
  </si>
  <si>
    <t>992,912.62</t>
  </si>
  <si>
    <t>853,295.23</t>
  </si>
  <si>
    <t>998,039.46</t>
  </si>
  <si>
    <t>1,671,855.00</t>
  </si>
  <si>
    <t>196,649.00</t>
  </si>
  <si>
    <t>986,400.00</t>
  </si>
  <si>
    <t>1,135,694.00</t>
  </si>
  <si>
    <t>11,939,801.35</t>
  </si>
  <si>
    <t>1,709,880.00</t>
  </si>
  <si>
    <t>2,297,700.00</t>
  </si>
  <si>
    <t>1,687,476.00</t>
  </si>
  <si>
    <t>419,972.00</t>
  </si>
  <si>
    <t>151,199.04</t>
  </si>
  <si>
    <t>4,700,000.00</t>
  </si>
  <si>
    <t>5,835,603.83</t>
  </si>
  <si>
    <t>12,640,297.18</t>
  </si>
  <si>
    <t>1,938,420.00</t>
  </si>
  <si>
    <t>1,499,381.61</t>
  </si>
  <si>
    <t>1,540,494.04</t>
  </si>
  <si>
    <t>1,008,000.00</t>
  </si>
  <si>
    <t>999,605.00</t>
  </si>
  <si>
    <t>4,820,230.80</t>
  </si>
  <si>
    <t>1,047,700.00</t>
  </si>
  <si>
    <t>1,212,037.50</t>
  </si>
  <si>
    <t>562,545.43</t>
  </si>
  <si>
    <t>11,955,820.00</t>
  </si>
  <si>
    <t>5,695,000.00</t>
  </si>
  <si>
    <t>776,147.58</t>
  </si>
  <si>
    <t>1,174,750.00</t>
  </si>
  <si>
    <t>30,811,650.66</t>
  </si>
  <si>
    <t>428,730.00</t>
  </si>
  <si>
    <t>450,825.00</t>
  </si>
  <si>
    <t>370,250.00</t>
  </si>
  <si>
    <t>1,906,705.00</t>
  </si>
  <si>
    <t>2,900,205.23</t>
  </si>
  <si>
    <t>2,499,440.35</t>
  </si>
  <si>
    <t>2,090,632.90</t>
  </si>
  <si>
    <t>1,254,925.00</t>
  </si>
  <si>
    <t>66,179,377.17</t>
  </si>
  <si>
    <t>21,043,701.12</t>
  </si>
  <si>
    <t>38,256,994.18</t>
  </si>
  <si>
    <t>8,071,500.00</t>
  </si>
  <si>
    <t>39,937,968.35</t>
  </si>
  <si>
    <t>568,147.00</t>
  </si>
  <si>
    <t>1,850.00</t>
  </si>
  <si>
    <t>1,921,440.00</t>
  </si>
  <si>
    <t>1,847,420.00</t>
  </si>
  <si>
    <t>150,615,900.00</t>
  </si>
  <si>
    <t>4,641,000.00</t>
  </si>
  <si>
    <t>499,989.49</t>
  </si>
  <si>
    <t>8,999,637.00</t>
  </si>
  <si>
    <t>469,250.00</t>
  </si>
  <si>
    <t>1,424,161.00</t>
  </si>
  <si>
    <t>4,521,500.00</t>
  </si>
  <si>
    <t>16,913,371.44</t>
  </si>
  <si>
    <t>9,825,540.00</t>
  </si>
  <si>
    <t>238,585.00</t>
  </si>
  <si>
    <t>999,634.93</t>
  </si>
  <si>
    <t>214,668.00</t>
  </si>
  <si>
    <t>121,690.00</t>
  </si>
  <si>
    <t>2,593,831.00</t>
  </si>
  <si>
    <t>996,817.14</t>
  </si>
  <si>
    <t>110,316,600.00</t>
  </si>
  <si>
    <t>988,800.00</t>
  </si>
  <si>
    <t>4,303,340.00</t>
  </si>
  <si>
    <t>1,027,744.20</t>
  </si>
  <si>
    <t>8,539,825.00</t>
  </si>
  <si>
    <t>1,253,378.12</t>
  </si>
  <si>
    <t>7,531,757.77</t>
  </si>
  <si>
    <t>14,331,000.00</t>
  </si>
  <si>
    <t>903,650.00</t>
  </si>
  <si>
    <t>3,790,000.00</t>
  </si>
  <si>
    <t>50,733,000.00</t>
  </si>
  <si>
    <t>29,392,133.43</t>
  </si>
  <si>
    <t>1,186,200.00</t>
  </si>
  <si>
    <t>1,399,391.00</t>
  </si>
  <si>
    <t>1,162,108.04</t>
  </si>
  <si>
    <t>275,920.00</t>
  </si>
  <si>
    <t>444,428.86</t>
  </si>
  <si>
    <t>2,542,408.00</t>
  </si>
  <si>
    <t>1,209,940.00</t>
  </si>
  <si>
    <t>1,040,245.74</t>
  </si>
  <si>
    <t>997,771.86</t>
  </si>
  <si>
    <t>2,373,892.22</t>
  </si>
  <si>
    <t>1,685,850.00</t>
  </si>
  <si>
    <t>10,290,000.00</t>
  </si>
  <si>
    <t>1,469,937.00</t>
  </si>
  <si>
    <t>1,074,766.00</t>
  </si>
  <si>
    <t>268,563.00</t>
  </si>
  <si>
    <t>171,561.00</t>
  </si>
  <si>
    <t>9,304,120.00</t>
  </si>
  <si>
    <t>304,587.66</t>
  </si>
  <si>
    <t>1,783,798.00</t>
  </si>
  <si>
    <t>67,170,451.01</t>
  </si>
  <si>
    <t>28,957,357.98</t>
  </si>
  <si>
    <t>2,289,893.63</t>
  </si>
  <si>
    <t>21,949,000.00</t>
  </si>
  <si>
    <t>11,300,000.00</t>
  </si>
  <si>
    <t>530,000.00</t>
  </si>
  <si>
    <t>15,101,040.08</t>
  </si>
  <si>
    <t>12,374,955.73</t>
  </si>
  <si>
    <t>228,080.00</t>
  </si>
  <si>
    <t>3,496,407.84</t>
  </si>
  <si>
    <t>34,739,798.04</t>
  </si>
  <si>
    <t>477,850.00</t>
  </si>
  <si>
    <t>1,236,000.00</t>
  </si>
  <si>
    <t>2,211,300.00</t>
  </si>
  <si>
    <t>239,645.00</t>
  </si>
  <si>
    <t>253,640.00</t>
  </si>
  <si>
    <t>135,100,000.00</t>
  </si>
  <si>
    <t>1,440,764.00</t>
  </si>
  <si>
    <t>252,684.00</t>
  </si>
  <si>
    <t>335,760.00</t>
  </si>
  <si>
    <t>4,086,775.00</t>
  </si>
  <si>
    <t>29,699,919.87</t>
  </si>
  <si>
    <t>2,387,050.00</t>
  </si>
  <si>
    <t>631,700.00</t>
  </si>
  <si>
    <t>2,639,938.80</t>
  </si>
  <si>
    <t>490,041.00</t>
  </si>
  <si>
    <t>209,634.00</t>
  </si>
  <si>
    <t>228,280.00</t>
  </si>
  <si>
    <t>2,194,341.37</t>
  </si>
  <si>
    <t>5,800,390.27</t>
  </si>
  <si>
    <t>83,250.00</t>
  </si>
  <si>
    <t>374,044.35</t>
  </si>
  <si>
    <t>6,758,993.64</t>
  </si>
  <si>
    <t>410,735.00</t>
  </si>
  <si>
    <t>686,081.00</t>
  </si>
  <si>
    <t>99,020.00</t>
  </si>
  <si>
    <t>56,513.00</t>
  </si>
  <si>
    <t>298,631.00</t>
  </si>
  <si>
    <t>244,148.00</t>
  </si>
  <si>
    <t>870,113.00</t>
  </si>
  <si>
    <t>488,165.74</t>
  </si>
  <si>
    <t>219,990.00</t>
  </si>
  <si>
    <t>23,330,353.39</t>
  </si>
  <si>
    <t>1,290,000.00</t>
  </si>
  <si>
    <t>371,723.00</t>
  </si>
  <si>
    <t>280,678.00</t>
  </si>
  <si>
    <t>1,352,850.00</t>
  </si>
  <si>
    <t>251,236.00</t>
  </si>
  <si>
    <t>26,983,875.00</t>
  </si>
  <si>
    <t>2,560,754.81</t>
  </si>
  <si>
    <t>3,966,521.06</t>
  </si>
  <si>
    <t>373,215.00</t>
  </si>
  <si>
    <t>278,120.00</t>
  </si>
  <si>
    <t>12,409,167.63</t>
  </si>
  <si>
    <t>841,471.40</t>
  </si>
  <si>
    <t>168,941.00</t>
  </si>
  <si>
    <t>14,925,000.00</t>
  </si>
  <si>
    <t>1,653,930.00</t>
  </si>
  <si>
    <t>1,470,810.00</t>
  </si>
  <si>
    <t>281,532.00</t>
  </si>
  <si>
    <t>11,939,996.04</t>
  </si>
  <si>
    <t>30,722,615.00</t>
  </si>
  <si>
    <t>17,441,308.10</t>
  </si>
  <si>
    <t>444,311.00</t>
  </si>
  <si>
    <t>1,880,000.00</t>
  </si>
  <si>
    <t>232,367.25</t>
  </si>
  <si>
    <t>579,110.00</t>
  </si>
  <si>
    <t>74,020.00</t>
  </si>
  <si>
    <t>294,750.00</t>
  </si>
  <si>
    <t>23,218,435.00</t>
  </si>
  <si>
    <t>27,000,000.00</t>
  </si>
  <si>
    <t>745,000.00</t>
  </si>
  <si>
    <t>79,682.00</t>
  </si>
  <si>
    <t>258,870.00</t>
  </si>
  <si>
    <t>2,179,610.00</t>
  </si>
  <si>
    <t>3,041,181.44</t>
  </si>
  <si>
    <t>3,999,991.73</t>
  </si>
  <si>
    <t>1,992,119.67</t>
  </si>
  <si>
    <t>4,975,137.16</t>
  </si>
  <si>
    <t>24,874,958.84</t>
  </si>
  <si>
    <t>9,468,545.00</t>
  </si>
  <si>
    <t>4,950,757.92</t>
  </si>
  <si>
    <t>853,500.00</t>
  </si>
  <si>
    <t>1,383,770.34</t>
  </si>
  <si>
    <t>2,488,981.47</t>
  </si>
  <si>
    <t>1,494,032.95</t>
  </si>
  <si>
    <t>2,040,691.32</t>
  </si>
  <si>
    <t>2,720,921.76</t>
  </si>
  <si>
    <t>778,905.89</t>
  </si>
  <si>
    <t>1,084,519.00</t>
  </si>
  <si>
    <t>7,668,000.00</t>
  </si>
  <si>
    <t>23,142,452.40</t>
  </si>
  <si>
    <t>14,049,626.56</t>
  </si>
  <si>
    <t>1,957,586.58</t>
  </si>
  <si>
    <t>200,533,128.58</t>
  </si>
  <si>
    <t>340,506.90</t>
  </si>
  <si>
    <t>378,629.00</t>
  </si>
  <si>
    <t>921,672,000.00</t>
  </si>
  <si>
    <t>458,129.00</t>
  </si>
  <si>
    <t>1,552,820.00</t>
  </si>
  <si>
    <t>1,443,985.00</t>
  </si>
  <si>
    <t>16,897,796.72</t>
  </si>
  <si>
    <t>480,000,000.00</t>
  </si>
  <si>
    <t>5,880,000.00</t>
  </si>
  <si>
    <t>4,599,987.58</t>
  </si>
  <si>
    <t>722,491.15</t>
  </si>
  <si>
    <t>15,052,718.36</t>
  </si>
  <si>
    <t>4,944,000.00</t>
  </si>
  <si>
    <t>3,437,884.82</t>
  </si>
  <si>
    <t>858,250.00</t>
  </si>
  <si>
    <t>515,383.00</t>
  </si>
  <si>
    <t>1,988,993.45</t>
  </si>
  <si>
    <t>452,996.51</t>
  </si>
  <si>
    <t>140,182.00</t>
  </si>
  <si>
    <t>2,648,054.43</t>
  </si>
  <si>
    <t>14,915,128.72</t>
  </si>
  <si>
    <t>92,150.00</t>
  </si>
  <si>
    <t>46,108,275.00</t>
  </si>
  <si>
    <t>1,981,009.32</t>
  </si>
  <si>
    <t>215,888.32</t>
  </si>
  <si>
    <t>3,994,518.51</t>
  </si>
  <si>
    <t>2,218,000.00</t>
  </si>
  <si>
    <t>968,716.23</t>
  </si>
  <si>
    <t>4,190,000.00</t>
  </si>
  <si>
    <t>19,100.00</t>
  </si>
  <si>
    <t>6,488,000.00</t>
  </si>
  <si>
    <t>372,120.00</t>
  </si>
  <si>
    <t>980,297.06</t>
  </si>
  <si>
    <t>4,592,000.00</t>
  </si>
  <si>
    <t>261,300.00</t>
  </si>
  <si>
    <t>180,793,360.00</t>
  </si>
  <si>
    <t>381,641.57</t>
  </si>
  <si>
    <t>222,000.00</t>
  </si>
  <si>
    <t>984,624.00</t>
  </si>
  <si>
    <t>318,661.00</t>
  </si>
  <si>
    <t>1,820,162.66</t>
  </si>
  <si>
    <t>432,045.00</t>
  </si>
  <si>
    <t>1,612,350.00</t>
  </si>
  <si>
    <t>5,472,675.73</t>
  </si>
  <si>
    <t>10,370,000.00</t>
  </si>
  <si>
    <t>1,918,705.00</t>
  </si>
  <si>
    <t>1,920,690.00</t>
  </si>
  <si>
    <t>98,346.45</t>
  </si>
  <si>
    <t>155,800.00</t>
  </si>
  <si>
    <t>1,999,945.21</t>
  </si>
  <si>
    <t>3,061,800.00</t>
  </si>
  <si>
    <t>4,990,000.00</t>
  </si>
  <si>
    <t>38,578,938.14</t>
  </si>
  <si>
    <t>184,557.10</t>
  </si>
  <si>
    <t>393,923.74</t>
  </si>
  <si>
    <t>69,113,158.67</t>
  </si>
  <si>
    <t>28,682,972.77</t>
  </si>
  <si>
    <t>55,786.50</t>
  </si>
  <si>
    <t>968,520.00</t>
  </si>
  <si>
    <t>1,077,500.00</t>
  </si>
  <si>
    <t>453,714.98</t>
  </si>
  <si>
    <t>1,599,530.00</t>
  </si>
  <si>
    <t>2,798,715.00</t>
  </si>
  <si>
    <t>25,961,000.00</t>
  </si>
  <si>
    <t>88,575,976.55</t>
  </si>
  <si>
    <t>3,315,878.87</t>
  </si>
  <si>
    <t>9,101,220.53</t>
  </si>
  <si>
    <t>1,999,024.84</t>
  </si>
  <si>
    <t>1,497,374.36</t>
  </si>
  <si>
    <t>3,067,162.51</t>
  </si>
  <si>
    <t>23,040,759.00</t>
  </si>
  <si>
    <t>2,922,476.93</t>
  </si>
  <si>
    <t>1,405,385.00</t>
  </si>
  <si>
    <t>3,017,500.00</t>
  </si>
  <si>
    <t>3,613,520.00</t>
  </si>
  <si>
    <t>627,000.00</t>
  </si>
  <si>
    <t>9,862,000.00</t>
  </si>
  <si>
    <t>613,765.50</t>
  </si>
  <si>
    <t>27,800,000.00</t>
  </si>
  <si>
    <t>10,997,261.58</t>
  </si>
  <si>
    <t>28,947,700.00</t>
  </si>
  <si>
    <t>29,963,594.00</t>
  </si>
  <si>
    <t>2,549,300.00</t>
  </si>
  <si>
    <t>2,225,385.75</t>
  </si>
  <si>
    <t>4,986,967.86</t>
  </si>
  <si>
    <t>7,392,907.70</t>
  </si>
  <si>
    <t>1,163,000.00</t>
  </si>
  <si>
    <t>1,270,755.00</t>
  </si>
  <si>
    <t>5,851,000.00</t>
  </si>
  <si>
    <t>376,755.00</t>
  </si>
  <si>
    <t>3,013,300.00</t>
  </si>
  <si>
    <t>2,208,000.00</t>
  </si>
  <si>
    <t>84,780.00</t>
  </si>
  <si>
    <t>275,500.00</t>
  </si>
  <si>
    <t>334,400.00</t>
  </si>
  <si>
    <t>6,900,000.00</t>
  </si>
  <si>
    <t>7,030,600.00</t>
  </si>
  <si>
    <t>537,850.00</t>
  </si>
  <si>
    <t>699,676.69</t>
  </si>
  <si>
    <t>1,795,080.00</t>
  </si>
  <si>
    <t>767,922.50</t>
  </si>
  <si>
    <t>3,289,000.00</t>
  </si>
  <si>
    <t>5,749,935.67</t>
  </si>
  <si>
    <t>1,409,850.00</t>
  </si>
  <si>
    <t>2,431,781.81</t>
  </si>
  <si>
    <t>1,640,000.00</t>
  </si>
  <si>
    <t>470,500.00</t>
  </si>
  <si>
    <t>3,940,305.57</t>
  </si>
  <si>
    <t>356,283.00</t>
  </si>
  <si>
    <t>33,665,939.00</t>
  </si>
  <si>
    <t>5,600.00</t>
  </si>
  <si>
    <t>211,285.86</t>
  </si>
  <si>
    <t>166,920.00</t>
  </si>
  <si>
    <t>71,295.00</t>
  </si>
  <si>
    <t>1,400,000,000.00</t>
  </si>
  <si>
    <t>548,589.21</t>
  </si>
  <si>
    <t>14,400,000.00</t>
  </si>
  <si>
    <t>951,159.00</t>
  </si>
  <si>
    <t>4,999,923.15</t>
  </si>
  <si>
    <t>76,195.15</t>
  </si>
  <si>
    <t>50,775.00</t>
  </si>
  <si>
    <t>410,130.00</t>
  </si>
  <si>
    <t>1,648,307.43</t>
  </si>
  <si>
    <t>19,700.00</t>
  </si>
  <si>
    <t>2,646,621.00</t>
  </si>
  <si>
    <t>1,364,800.00</t>
  </si>
  <si>
    <t>25,534,500.00</t>
  </si>
  <si>
    <t>2,655,167.60</t>
  </si>
  <si>
    <t>66,289.49</t>
  </si>
  <si>
    <t>819,770.02</t>
  </si>
  <si>
    <t>2,549,928.00</t>
  </si>
  <si>
    <t>39,393,660.00</t>
  </si>
  <si>
    <t>15,150,000.00</t>
  </si>
  <si>
    <t>3,094,320.00</t>
  </si>
  <si>
    <t>403,680.78</t>
  </si>
  <si>
    <t>2,825,000.00</t>
  </si>
  <si>
    <t>201,491.25</t>
  </si>
  <si>
    <t>8,410,856.44</t>
  </si>
  <si>
    <t>1,934,767.06</t>
  </si>
  <si>
    <t>2,980,000.00</t>
  </si>
  <si>
    <t>30,150,000.00</t>
  </si>
  <si>
    <t>13,781,062.34</t>
  </si>
  <si>
    <t>4,580,000.00</t>
  </si>
  <si>
    <t>12,934,585.53</t>
  </si>
  <si>
    <t>339,000.00</t>
  </si>
  <si>
    <t>1,345,640.00</t>
  </si>
  <si>
    <t>9,985,917.62</t>
  </si>
  <si>
    <t>2,281,600.00</t>
  </si>
  <si>
    <t>9,999,964.13</t>
  </si>
  <si>
    <t>9,048,518.04</t>
  </si>
  <si>
    <t>2,857,010.10</t>
  </si>
  <si>
    <t>153,378.00</t>
  </si>
  <si>
    <t>1,581,927.00</t>
  </si>
  <si>
    <t>4,168,934.90</t>
  </si>
  <si>
    <t>3,824,648.00</t>
  </si>
  <si>
    <t>499,450.00</t>
  </si>
  <si>
    <t>871,600.00</t>
  </si>
  <si>
    <t>754,865.10</t>
  </si>
  <si>
    <t>11,939,640.78</t>
  </si>
  <si>
    <t>796,002.00</t>
  </si>
  <si>
    <t>3,794,521.30</t>
  </si>
  <si>
    <t>6,288,708.14</t>
  </si>
  <si>
    <t>1,591,850,199.91</t>
  </si>
  <si>
    <t>3,997,769.12</t>
  </si>
  <si>
    <t>2,999,322.02</t>
  </si>
  <si>
    <t>595,045.00</t>
  </si>
  <si>
    <t>174,200.00</t>
  </si>
  <si>
    <t>356,053.50</t>
  </si>
  <si>
    <t>47,953,816.00</t>
  </si>
  <si>
    <t>1,999,800.00</t>
  </si>
  <si>
    <t>2,323,432.77</t>
  </si>
  <si>
    <t>183,214.00</t>
  </si>
  <si>
    <t>6,610,000.00</t>
  </si>
  <si>
    <t>1,798,000.00</t>
  </si>
  <si>
    <t>3,441,241.55</t>
  </si>
  <si>
    <t>248,800.00</t>
  </si>
  <si>
    <t>245,530.13</t>
  </si>
  <si>
    <t>124,930.00</t>
  </si>
  <si>
    <t>22,440,000.00</t>
  </si>
  <si>
    <t>1,578,900.00</t>
  </si>
  <si>
    <t>1,845,000.00</t>
  </si>
  <si>
    <t>2,593,488.11</t>
  </si>
  <si>
    <t>86,530.00</t>
  </si>
  <si>
    <t>52,050.00</t>
  </si>
  <si>
    <t>9,976,912.00</t>
  </si>
  <si>
    <t>746,380.31</t>
  </si>
  <si>
    <t>1,078,896.00</t>
  </si>
  <si>
    <t>82,000,000.00</t>
  </si>
  <si>
    <t>8,971,878.01</t>
  </si>
  <si>
    <t>30,700,000.00</t>
  </si>
  <si>
    <t>999,754.06</t>
  </si>
  <si>
    <t>39,375,835.95</t>
  </si>
  <si>
    <t>2,022,250.00</t>
  </si>
  <si>
    <t>23,511,064.00</t>
  </si>
  <si>
    <t>4,360,000.00</t>
  </si>
  <si>
    <t>1,372,256.00</t>
  </si>
  <si>
    <t>1,323,135.00</t>
  </si>
  <si>
    <t>1,157,408.00</t>
  </si>
  <si>
    <t>1,499,903.33</t>
  </si>
  <si>
    <t>20,428,800.00</t>
  </si>
  <si>
    <t>1,360,548.00</t>
  </si>
  <si>
    <t>1,337,692.00</t>
  </si>
  <si>
    <t>4,934,159.54</t>
  </si>
  <si>
    <t>150,780.00</t>
  </si>
  <si>
    <t>384,182.60</t>
  </si>
  <si>
    <t>1,599,902.00</t>
  </si>
  <si>
    <t>5,156,133.50</t>
  </si>
  <si>
    <t>1,388,640.00</t>
  </si>
  <si>
    <t>349,359.74</t>
  </si>
  <si>
    <t>16,778,600.85</t>
  </si>
  <si>
    <t>4,378,433.00</t>
  </si>
  <si>
    <t>328,200.00</t>
  </si>
  <si>
    <t>8,136,467.00</t>
  </si>
  <si>
    <t>1,004,682.35</t>
  </si>
  <si>
    <t>199,332.97</t>
  </si>
  <si>
    <t>1,098,293.00</t>
  </si>
  <si>
    <t>2,197,942.77</t>
  </si>
  <si>
    <t>699,191.00</t>
  </si>
  <si>
    <t>305,350.00</t>
  </si>
  <si>
    <t>27,400,091.58</t>
  </si>
  <si>
    <t>653,934.01</t>
  </si>
  <si>
    <t>99,000,000.00</t>
  </si>
  <si>
    <t>4,368,026.00</t>
  </si>
  <si>
    <t>1,135,710.00</t>
  </si>
  <si>
    <t>362,500.00</t>
  </si>
  <si>
    <t>2,626,600.00</t>
  </si>
  <si>
    <t>5,986,381.32</t>
  </si>
  <si>
    <t>908,600.00</t>
  </si>
  <si>
    <t>13,170,852.72</t>
  </si>
  <si>
    <t>819,126.00</t>
  </si>
  <si>
    <t>267,000.00</t>
  </si>
  <si>
    <t>2,262,600.00</t>
  </si>
  <si>
    <t>3,074,400.00</t>
  </si>
  <si>
    <t>820,000.00</t>
  </si>
  <si>
    <t>522,131.33</t>
  </si>
  <si>
    <t>28,320,000.00</t>
  </si>
  <si>
    <t>8,399,942.74</t>
  </si>
  <si>
    <t>2,959,494.00</t>
  </si>
  <si>
    <t>10,793,455.00</t>
  </si>
  <si>
    <t>2,357,966.40</t>
  </si>
  <si>
    <t>9,610.00</t>
  </si>
  <si>
    <t>2,558,484.00</t>
  </si>
  <si>
    <t>23,524,500.00</t>
  </si>
  <si>
    <t>57,086,240.00</t>
  </si>
  <si>
    <t>3,411,360.00</t>
  </si>
  <si>
    <t>616,051.00</t>
  </si>
  <si>
    <t>591,150.00</t>
  </si>
  <si>
    <t>269,539.20</t>
  </si>
  <si>
    <t>214,600.00</t>
  </si>
  <si>
    <t>2,461,584.20</t>
  </si>
  <si>
    <t>99,996.00</t>
  </si>
  <si>
    <t>10,247,486.31</t>
  </si>
  <si>
    <t>796,812.80</t>
  </si>
  <si>
    <t>20,300.00</t>
  </si>
  <si>
    <t>787,299.00</t>
  </si>
  <si>
    <t>192,792.00</t>
  </si>
  <si>
    <t>103,897.95</t>
  </si>
  <si>
    <t>28,102,650.00</t>
  </si>
  <si>
    <t>501,901.50</t>
  </si>
  <si>
    <t>1,110,640.00</t>
  </si>
  <si>
    <t>16,200,000.00</t>
  </si>
  <si>
    <t>251,079.00</t>
  </si>
  <si>
    <t>21,470,820.00</t>
  </si>
  <si>
    <t>3,021,974.61</t>
  </si>
  <si>
    <t>76,997.00</t>
  </si>
  <si>
    <t>65,497.00</t>
  </si>
  <si>
    <t>84,197.00</t>
  </si>
  <si>
    <t>1,118,000.00</t>
  </si>
  <si>
    <t>2,368,000.00</t>
  </si>
  <si>
    <t>6,977,180.80</t>
  </si>
  <si>
    <t>1,160,000.00</t>
  </si>
  <si>
    <t>2,458,000.00</t>
  </si>
  <si>
    <t>4,550.00</t>
  </si>
  <si>
    <t>4,685,699.56</t>
  </si>
  <si>
    <t>650,704.16</t>
  </si>
  <si>
    <t>2,133,980.00</t>
  </si>
  <si>
    <t>7,205.00</t>
  </si>
  <si>
    <t>175,037,000.00</t>
  </si>
  <si>
    <t>1,699,991.00</t>
  </si>
  <si>
    <t>9,407.00</t>
  </si>
  <si>
    <t>2,098,000.00</t>
  </si>
  <si>
    <t>3,246,600.00</t>
  </si>
  <si>
    <t>4,940.00</t>
  </si>
  <si>
    <t>44,881,000.00</t>
  </si>
  <si>
    <t>216,000,000.00</t>
  </si>
  <si>
    <t>1,247,500.00</t>
  </si>
  <si>
    <t>354,030.00</t>
  </si>
  <si>
    <t>1,800,950.27</t>
  </si>
  <si>
    <t>4,950.00</t>
  </si>
  <si>
    <t>1,630,000.00</t>
  </si>
  <si>
    <t>10,725.00</t>
  </si>
  <si>
    <t>999,980.00</t>
  </si>
  <si>
    <t>9,103,056.31</t>
  </si>
  <si>
    <t>1,799,147.50</t>
  </si>
  <si>
    <t>3,685,500.00</t>
  </si>
  <si>
    <t>1,302,714.56</t>
  </si>
  <si>
    <t>1,545,025.00</t>
  </si>
  <si>
    <t>1,935,733.70</t>
  </si>
  <si>
    <t>393,408.07</t>
  </si>
  <si>
    <t>29,999,997.00</t>
  </si>
  <si>
    <t>1,499,500.00</t>
  </si>
  <si>
    <t>97,087,243.85</t>
  </si>
  <si>
    <t>77,669,588.16</t>
  </si>
  <si>
    <t>1,498,970.40</t>
  </si>
  <si>
    <t>9,234,385.88</t>
  </si>
  <si>
    <t>43,689,051.17</t>
  </si>
  <si>
    <t>2,299,767.76</t>
  </si>
  <si>
    <t>501,047.00</t>
  </si>
  <si>
    <t>1,792,000.00</t>
  </si>
  <si>
    <t>594,958.72</t>
  </si>
  <si>
    <t>289,781.11</t>
  </si>
  <si>
    <t>139,310.00</t>
  </si>
  <si>
    <t>5,931,220.00</t>
  </si>
  <si>
    <t>16,053,593.05</t>
  </si>
  <si>
    <t>133,195.00</t>
  </si>
  <si>
    <t>36,500.00</t>
  </si>
  <si>
    <t>3,775,973.45</t>
  </si>
  <si>
    <t>183,263.60</t>
  </si>
  <si>
    <t>1,498,500.00</t>
  </si>
  <si>
    <t>12,778,800.00</t>
  </si>
  <si>
    <t>174,403.30</t>
  </si>
  <si>
    <t>2,999,999.78</t>
  </si>
  <si>
    <t>259,065.00</t>
  </si>
  <si>
    <t>3,500,465.00</t>
  </si>
  <si>
    <t>126,744.50</t>
  </si>
  <si>
    <t>1,499,999.53</t>
  </si>
  <si>
    <t>2,999,999.48</t>
  </si>
  <si>
    <t>1,596,476.00</t>
  </si>
  <si>
    <t>4,967,212.63</t>
  </si>
  <si>
    <t>4,969,876.86</t>
  </si>
  <si>
    <t>4,923,096.75</t>
  </si>
  <si>
    <t>4,999,999.98</t>
  </si>
  <si>
    <t>1,027,965.00</t>
  </si>
  <si>
    <t>398,863.54</t>
  </si>
  <si>
    <t>117,805.30</t>
  </si>
  <si>
    <t>129,967.05</t>
  </si>
  <si>
    <t>777,275.00</t>
  </si>
  <si>
    <t>1,331,043.50</t>
  </si>
  <si>
    <t>1,017,000.00</t>
  </si>
  <si>
    <t>19,000,000.00</t>
  </si>
  <si>
    <t>15,500,000.00</t>
  </si>
  <si>
    <t>9,999,999.70</t>
  </si>
  <si>
    <t>9,999,999.99</t>
  </si>
  <si>
    <t>3,999,999.67</t>
  </si>
  <si>
    <t>9,999,999.75</t>
  </si>
  <si>
    <t>3,499,997.79</t>
  </si>
  <si>
    <t>2,968,500.00</t>
  </si>
  <si>
    <t>4,999,997.89</t>
  </si>
  <si>
    <t>1,971,063.90</t>
  </si>
  <si>
    <t>2,266,745.40</t>
  </si>
  <si>
    <t>1,982,686.63</t>
  </si>
  <si>
    <t>2,967,250.53</t>
  </si>
  <si>
    <t>2,976,277.66</t>
  </si>
  <si>
    <t>1,440,850.57</t>
  </si>
  <si>
    <t>1,474,675.14</t>
  </si>
  <si>
    <t>1,137,350.00</t>
  </si>
  <si>
    <t>5,314,900.60</t>
  </si>
  <si>
    <t>6,461,970.00</t>
  </si>
  <si>
    <t>15,900,000.00</t>
  </si>
  <si>
    <t>1,311,000.00</t>
  </si>
  <si>
    <t>2,495,540.62</t>
  </si>
  <si>
    <t>801,230.00</t>
  </si>
  <si>
    <t>1,485,202.18</t>
  </si>
  <si>
    <t>1,516,600.00</t>
  </si>
  <si>
    <t>2,104,761.77</t>
  </si>
  <si>
    <t>1,944,317.51</t>
  </si>
  <si>
    <t>1,981,179.50</t>
  </si>
  <si>
    <t>1,992,757.62</t>
  </si>
  <si>
    <t>1,415,008.59</t>
  </si>
  <si>
    <t>2,098,233.12</t>
  </si>
  <si>
    <t>1,891,500.00</t>
  </si>
  <si>
    <t>62,722.00</t>
  </si>
  <si>
    <t>1,889,328.91</t>
  </si>
  <si>
    <t>2,999,853.16</t>
  </si>
  <si>
    <t>2,996,484.00</t>
  </si>
  <si>
    <t>1,920,650.19</t>
  </si>
  <si>
    <t>12,202,742.94</t>
  </si>
  <si>
    <t>559,814.16</t>
  </si>
  <si>
    <t>12,116,000.00</t>
  </si>
  <si>
    <t>1,882,118.05</t>
  </si>
  <si>
    <t>1,533,600.00</t>
  </si>
  <si>
    <t>8,257,000.00</t>
  </si>
  <si>
    <t>2,931,138.81</t>
  </si>
  <si>
    <t>1,731,191.68</t>
  </si>
  <si>
    <t>1,004,238.07</t>
  </si>
  <si>
    <t>1,315,784.28</t>
  </si>
  <si>
    <t>1,241,627.40</t>
  </si>
  <si>
    <t>1,945,000.00</t>
  </si>
  <si>
    <t>5,338,750.00</t>
  </si>
  <si>
    <t>5,897,000.00</t>
  </si>
  <si>
    <t>1,155,333.86</t>
  </si>
  <si>
    <t>39,046,000.00</t>
  </si>
  <si>
    <t>3,654,365.00</t>
  </si>
  <si>
    <t>2,176,071.00</t>
  </si>
  <si>
    <t>6,372,886.70</t>
  </si>
  <si>
    <t>2,837,286.14</t>
  </si>
  <si>
    <t>14,956,500.00</t>
  </si>
  <si>
    <t>94,500.00</t>
  </si>
  <si>
    <t>1,270,392.81</t>
  </si>
  <si>
    <t>3,036,658.62</t>
  </si>
  <si>
    <t>30,505,440.00</t>
  </si>
  <si>
    <t>2,927,757.86</t>
  </si>
  <si>
    <t>21,968,337.39</t>
  </si>
  <si>
    <t>1,439,200.00</t>
  </si>
  <si>
    <t>13,800,000.00</t>
  </si>
  <si>
    <t>14,714,672.46</t>
  </si>
  <si>
    <t>2,666,630.44</t>
  </si>
  <si>
    <t>51,502,780.52</t>
  </si>
  <si>
    <t>1,545,940.00</t>
  </si>
  <si>
    <t>305,410.00</t>
  </si>
  <si>
    <t>1,239,109.80</t>
  </si>
  <si>
    <t>2,715,800.00</t>
  </si>
  <si>
    <t>36,455,000.00</t>
  </si>
  <si>
    <t>30,386,000.00</t>
  </si>
  <si>
    <t>205,400.00</t>
  </si>
  <si>
    <t>702,500.00</t>
  </si>
  <si>
    <t>82,264,892.00</t>
  </si>
  <si>
    <t>1,458,000.00</t>
  </si>
  <si>
    <t>39,001,000.00</t>
  </si>
  <si>
    <t>1,363,894.00</t>
  </si>
  <si>
    <t>29,767,749.00</t>
  </si>
  <si>
    <t>483,714.00</t>
  </si>
  <si>
    <t>504,932.90</t>
  </si>
  <si>
    <t>14,690,000.00</t>
  </si>
  <si>
    <t>19,295,000.00</t>
  </si>
  <si>
    <t>1,805,000.00</t>
  </si>
  <si>
    <t>10,525,280.00</t>
  </si>
  <si>
    <t>56,452,500.00</t>
  </si>
  <si>
    <t>1,393,116.00</t>
  </si>
  <si>
    <t>101,325,000.00</t>
  </si>
  <si>
    <t>5,039,460.00</t>
  </si>
  <si>
    <t>36,187,500.00</t>
  </si>
  <si>
    <t>1,998,182.00</t>
  </si>
  <si>
    <t>806,065.44</t>
  </si>
  <si>
    <t>483,695.00</t>
  </si>
  <si>
    <t>695,320.78</t>
  </si>
  <si>
    <t>3,325,000.00</t>
  </si>
  <si>
    <t>822,535.80</t>
  </si>
  <si>
    <t>575,500.00</t>
  </si>
  <si>
    <t>108,807.28</t>
  </si>
  <si>
    <t>139,873,620.50</t>
  </si>
  <si>
    <t>4,233,776.00</t>
  </si>
  <si>
    <t>8,751,688.00</t>
  </si>
  <si>
    <t>5,381,908.82</t>
  </si>
  <si>
    <t>13,823,000.00</t>
  </si>
  <si>
    <t>1,130,080.00</t>
  </si>
  <si>
    <t>201,885.50</t>
  </si>
  <si>
    <t>4,761,710.68</t>
  </si>
  <si>
    <t>2,046,000.00</t>
  </si>
  <si>
    <t>148,520.00</t>
  </si>
  <si>
    <t>824,920.00</t>
  </si>
  <si>
    <t>499,190.00</t>
  </si>
  <si>
    <t>719,446.15</t>
  </si>
  <si>
    <t>1,216,000.00</t>
  </si>
  <si>
    <t>12,636,697.05</t>
  </si>
  <si>
    <t>3,385,000.00</t>
  </si>
  <si>
    <t>631,271.00</t>
  </si>
  <si>
    <t>6,342,600.00</t>
  </si>
  <si>
    <t>1,456,200.00</t>
  </si>
  <si>
    <t>289,200.00</t>
  </si>
  <si>
    <t>1,083,189.96</t>
  </si>
  <si>
    <t>2,656,000.00</t>
  </si>
  <si>
    <t>106,150,000.00</t>
  </si>
  <si>
    <t>80,760.42</t>
  </si>
  <si>
    <t>75,000,000.00</t>
  </si>
  <si>
    <t>29,000,500.00</t>
  </si>
  <si>
    <t>2,882,760.84</t>
  </si>
  <si>
    <t>16,032,600.00</t>
  </si>
  <si>
    <t>22,443,749.00</t>
  </si>
  <si>
    <t>12,174,040.00</t>
  </si>
  <si>
    <t>7,200,000.00</t>
  </si>
  <si>
    <t>1,691,600.00</t>
  </si>
  <si>
    <t>551,477.00</t>
  </si>
  <si>
    <t>303,269.96</t>
  </si>
  <si>
    <t>3,107,663.00</t>
  </si>
  <si>
    <t>934,663.24</t>
  </si>
  <si>
    <t>1,870,985.00</t>
  </si>
  <si>
    <t>257,000.00</t>
  </si>
  <si>
    <t>2,626,751.73</t>
  </si>
  <si>
    <t>4,881,000.00</t>
  </si>
  <si>
    <t>4,770,000.00</t>
  </si>
  <si>
    <t>13,914,060.00</t>
  </si>
  <si>
    <t>2,447,144.52</t>
  </si>
  <si>
    <t>1,954,783.71</t>
  </si>
  <si>
    <t>13,444,400.00</t>
  </si>
  <si>
    <t>28,341,000.00</t>
  </si>
  <si>
    <t>58,863,945.00</t>
  </si>
  <si>
    <t>6,557,430.00</t>
  </si>
  <si>
    <t>6,195,742.00</t>
  </si>
  <si>
    <t>782,857.75</t>
  </si>
  <si>
    <t>2,552,964.50</t>
  </si>
  <si>
    <t>199,781.10</t>
  </si>
  <si>
    <t>4,159,645.60</t>
  </si>
  <si>
    <t>20,513,600.00</t>
  </si>
  <si>
    <t>1,199,889.56</t>
  </si>
  <si>
    <t>3,161,600.00</t>
  </si>
  <si>
    <t>246,451,000.00</t>
  </si>
  <si>
    <t>2,112,000.00</t>
  </si>
  <si>
    <t>30,259,611.00</t>
  </si>
  <si>
    <t>7,765,163.56</t>
  </si>
  <si>
    <t>126,185,000.00</t>
  </si>
  <si>
    <t>30,170,809.50</t>
  </si>
  <si>
    <t>11,897,000.00</t>
  </si>
  <si>
    <t>3,955,500.00</t>
  </si>
  <si>
    <t>68,695,360.00</t>
  </si>
  <si>
    <t>1,960,683.27</t>
  </si>
  <si>
    <t>2,654,691.83</t>
  </si>
  <si>
    <t>1,052,000.00</t>
  </si>
  <si>
    <t>1,520,937.73</t>
  </si>
  <si>
    <t>2,611,524.28</t>
  </si>
  <si>
    <t>3,996,500.00</t>
  </si>
  <si>
    <t>479,855.70</t>
  </si>
  <si>
    <t>296,120.14</t>
  </si>
  <si>
    <t>1,973,611.00</t>
  </si>
  <si>
    <t>298,534.90</t>
  </si>
  <si>
    <t>15,599,936.92</t>
  </si>
  <si>
    <t>110,025.00</t>
  </si>
  <si>
    <t>4,524,041.08</t>
  </si>
  <si>
    <t>396,357.00</t>
  </si>
  <si>
    <t>130,410.00</t>
  </si>
  <si>
    <t>248,657.00</t>
  </si>
  <si>
    <t>1,954,865.60</t>
  </si>
  <si>
    <t>1,027,500.00</t>
  </si>
  <si>
    <t>121,035.00</t>
  </si>
  <si>
    <t>2,975,668.00</t>
  </si>
  <si>
    <t>154,404.75</t>
  </si>
  <si>
    <t>1,576,152.00</t>
  </si>
  <si>
    <t>9,514,000.00</t>
  </si>
  <si>
    <t>3,264,650.15</t>
  </si>
  <si>
    <t>3,315,231.96</t>
  </si>
  <si>
    <t>1,642,635.00</t>
  </si>
  <si>
    <t>4,278,091.47</t>
  </si>
  <si>
    <t>1,241,200.00</t>
  </si>
  <si>
    <t>3,637,869.68</t>
  </si>
  <si>
    <t>112,885.00</t>
  </si>
  <si>
    <t>918,620.00</t>
  </si>
  <si>
    <t>5,760,000.00</t>
  </si>
  <si>
    <t>2,742,350.00</t>
  </si>
  <si>
    <t>2,604,216.30</t>
  </si>
  <si>
    <t>469,714.65</t>
  </si>
  <si>
    <t>3,973,680.90</t>
  </si>
  <si>
    <t>2,639,337.41</t>
  </si>
  <si>
    <t>2,708,641.31</t>
  </si>
  <si>
    <t>2,646,574.12</t>
  </si>
  <si>
    <t>59,815.00</t>
  </si>
  <si>
    <t>3,134,682.45</t>
  </si>
  <si>
    <t>122,960,000.00</t>
  </si>
  <si>
    <t>1,610,000.00</t>
  </si>
  <si>
    <t>1,655,000.00</t>
  </si>
  <si>
    <t>2,584,238.36</t>
  </si>
  <si>
    <t>514,000.00</t>
  </si>
  <si>
    <t>499,480.19</t>
  </si>
  <si>
    <t>299,798.87</t>
  </si>
  <si>
    <t>4,989,598.41</t>
  </si>
  <si>
    <t>841,234.53</t>
  </si>
  <si>
    <t>56,353,280.00</t>
  </si>
  <si>
    <t>125,661.00</t>
  </si>
  <si>
    <t>1,349,427.18</t>
  </si>
  <si>
    <t>1,432,000.00</t>
  </si>
  <si>
    <t>1,384,718.00</t>
  </si>
  <si>
    <t>5,782,204.56</t>
  </si>
  <si>
    <t>2,495,607.20</t>
  </si>
  <si>
    <t>2,500,185.19</t>
  </si>
  <si>
    <t>2,516,977.72</t>
  </si>
  <si>
    <t>2,544,437.45</t>
  </si>
  <si>
    <t>45,700,700.00</t>
  </si>
  <si>
    <t>2,450,987.95</t>
  </si>
  <si>
    <t>14,689,176.00</t>
  </si>
  <si>
    <t>194,117.41</t>
  </si>
  <si>
    <t>1,153,565.00</t>
  </si>
  <si>
    <t>41,405,626.00</t>
  </si>
  <si>
    <t>47,347,902.00</t>
  </si>
  <si>
    <t>222,123.00</t>
  </si>
  <si>
    <t>15,456,000.00</t>
  </si>
  <si>
    <t>3,077,874.05</t>
  </si>
  <si>
    <t>5,679,740.00</t>
  </si>
  <si>
    <t>1,182,426.00</t>
  </si>
  <si>
    <t>1,481,955.00</t>
  </si>
  <si>
    <t>372,950.00</t>
  </si>
  <si>
    <t>4,899,960.00</t>
  </si>
  <si>
    <t>106,710.00</t>
  </si>
  <si>
    <t>7,318,500.00</t>
  </si>
  <si>
    <t>1,242,000.00</t>
  </si>
  <si>
    <t>63,159.17</t>
  </si>
  <si>
    <t>41,200.00</t>
  </si>
  <si>
    <t>2,125,170.00</t>
  </si>
  <si>
    <t>6,558,859.00</t>
  </si>
  <si>
    <t>175,100.00</t>
  </si>
  <si>
    <t>91,376.76</t>
  </si>
  <si>
    <t>8,590,816.00</t>
  </si>
  <si>
    <t>8,912,982.47</t>
  </si>
  <si>
    <t>366,340,000.00</t>
  </si>
  <si>
    <t>202,600.00</t>
  </si>
  <si>
    <t>87,396.46</t>
  </si>
  <si>
    <t>3,359,892.00</t>
  </si>
  <si>
    <t>1,535,480.00</t>
  </si>
  <si>
    <t>937,000.00</t>
  </si>
  <si>
    <t>1,031,000.00</t>
  </si>
  <si>
    <t>5,340,500.00</t>
  </si>
  <si>
    <t>1,557,600.00</t>
  </si>
  <si>
    <t>2,959,200.00</t>
  </si>
  <si>
    <t>2,988,619.00</t>
  </si>
  <si>
    <t>395,800.00</t>
  </si>
  <si>
    <t>4,415,000.00</t>
  </si>
  <si>
    <t>3,969,013.00</t>
  </si>
  <si>
    <t>2,213,100.00</t>
  </si>
  <si>
    <t>9,999,991.29</t>
  </si>
  <si>
    <t>7,749,000.00</t>
  </si>
  <si>
    <t>1,333,333.33</t>
  </si>
  <si>
    <t>1,760,880.25</t>
  </si>
  <si>
    <t>2,588,734.33</t>
  </si>
  <si>
    <t>1,499,035.38</t>
  </si>
  <si>
    <t>1,762,648.00</t>
  </si>
  <si>
    <t>4,381,666.67</t>
  </si>
  <si>
    <t>23,486.00</t>
  </si>
  <si>
    <t>3,408,935.00</t>
  </si>
  <si>
    <t>6,474,240.00</t>
  </si>
  <si>
    <t>9,996,000.00</t>
  </si>
  <si>
    <t>7,337,052.00</t>
  </si>
  <si>
    <t>5,000,170.00</t>
  </si>
  <si>
    <t>17,152,000.00</t>
  </si>
  <si>
    <t>1,144,601.03</t>
  </si>
  <si>
    <t>1,116,650.03</t>
  </si>
  <si>
    <t>768,452.77</t>
  </si>
  <si>
    <t>1,941,255.51</t>
  </si>
  <si>
    <t>6,248,000.00</t>
  </si>
  <si>
    <t>4,080,000.00</t>
  </si>
  <si>
    <t>7,707,642.50</t>
  </si>
  <si>
    <t>1,356,151.98</t>
  </si>
  <si>
    <t>730,909.49</t>
  </si>
  <si>
    <t>6,580,675.00</t>
  </si>
  <si>
    <t>5,099,585.00</t>
  </si>
  <si>
    <t>102,870,291.41</t>
  </si>
  <si>
    <t>6,409,325.00</t>
  </si>
  <si>
    <t>4,410,284.00</t>
  </si>
  <si>
    <t>3,067,400.00</t>
  </si>
  <si>
    <t>3,349,185.00</t>
  </si>
  <si>
    <t>1,377,155.23</t>
  </si>
  <si>
    <t>21,999,999.98</t>
  </si>
  <si>
    <t>6,970,000.00</t>
  </si>
  <si>
    <t>2,871,852.97</t>
  </si>
  <si>
    <t>1,799,800.00</t>
  </si>
  <si>
    <t>6,989,380.00</t>
  </si>
  <si>
    <t>249,964.58</t>
  </si>
  <si>
    <t>19,170,000.00</t>
  </si>
  <si>
    <t>3,542,510.00</t>
  </si>
  <si>
    <t>3,320,000.00</t>
  </si>
  <si>
    <t>1,697,371.00</t>
  </si>
  <si>
    <t>68,464.00</t>
  </si>
  <si>
    <t>118,500,000.00</t>
  </si>
  <si>
    <t>1,791,252.00</t>
  </si>
  <si>
    <t>1,197,000.00</t>
  </si>
  <si>
    <t>7,313,370.00</t>
  </si>
  <si>
    <t>114,545.00</t>
  </si>
  <si>
    <t>1,794,000.00</t>
  </si>
  <si>
    <t>416,984.10</t>
  </si>
  <si>
    <t>44,100,000.00</t>
  </si>
  <si>
    <t>11,407,000.00</t>
  </si>
  <si>
    <t>24,140,550.00</t>
  </si>
  <si>
    <t>34,743.00</t>
  </si>
  <si>
    <t>185,704.47</t>
  </si>
  <si>
    <t>1,590,500.00</t>
  </si>
  <si>
    <t>579,573,600.00</t>
  </si>
  <si>
    <t>1,998,027.95</t>
  </si>
  <si>
    <t>90,659,650.00</t>
  </si>
  <si>
    <t>410,830.00</t>
  </si>
  <si>
    <t>3,588,712.50</t>
  </si>
  <si>
    <t>245,620.00</t>
  </si>
  <si>
    <t>1,635,000.00</t>
  </si>
  <si>
    <t>709,977,660.00</t>
  </si>
  <si>
    <t>255,369,933.76</t>
  </si>
  <si>
    <t>1,518,480.00</t>
  </si>
  <si>
    <t>1,035,059.69</t>
  </si>
  <si>
    <t>1,517,400.00</t>
  </si>
  <si>
    <t>576,880.00</t>
  </si>
  <si>
    <t>1,531,480.00</t>
  </si>
  <si>
    <t>4,691,080.00</t>
  </si>
  <si>
    <t>931,500.00</t>
  </si>
  <si>
    <t>56,365,200.00</t>
  </si>
  <si>
    <t>88,000,000.00</t>
  </si>
  <si>
    <t>136,893,553.40</t>
  </si>
  <si>
    <t>1,066,450.00</t>
  </si>
  <si>
    <t>3,701,455.50</t>
  </si>
  <si>
    <t>100,336,108.59</t>
  </si>
  <si>
    <t>110,898,926.55</t>
  </si>
  <si>
    <t>57,168,899.44</t>
  </si>
  <si>
    <t>206,482.88</t>
  </si>
  <si>
    <t>23,100.00</t>
  </si>
  <si>
    <t>33,976,343.26</t>
  </si>
  <si>
    <t>7,196,800.00</t>
  </si>
  <si>
    <t>1,335,747.00</t>
  </si>
  <si>
    <t>1,385,940.00</t>
  </si>
  <si>
    <t>255,826,933.76</t>
  </si>
  <si>
    <t>137,400.00</t>
  </si>
  <si>
    <t>2,233,333.40</t>
  </si>
  <si>
    <t>6,815,000.00</t>
  </si>
  <si>
    <t>34,919,435.71</t>
  </si>
  <si>
    <t>63,925.00</t>
  </si>
  <si>
    <t>1,506,000.00</t>
  </si>
  <si>
    <t>362,758.88</t>
  </si>
  <si>
    <t>26,850,000.00</t>
  </si>
  <si>
    <t>56,735.00</t>
  </si>
  <si>
    <t>1,664,380.00</t>
  </si>
  <si>
    <t>2,957,125.00</t>
  </si>
  <si>
    <t>1,081,000.00</t>
  </si>
  <si>
    <t>3,002,671.00</t>
  </si>
  <si>
    <t>2,321,536.00</t>
  </si>
  <si>
    <t>1,094,201.17</t>
  </si>
  <si>
    <t>1,122,015.00</t>
  </si>
  <si>
    <t>1,489,429.78</t>
  </si>
  <si>
    <t>895,854.76</t>
  </si>
  <si>
    <t>3,489,088.72</t>
  </si>
  <si>
    <t>287,723,710.80</t>
  </si>
  <si>
    <t>199,030.00</t>
  </si>
  <si>
    <t>15,853,442.30</t>
  </si>
  <si>
    <t>246,450.00</t>
  </si>
  <si>
    <t>2,998,042.27</t>
  </si>
  <si>
    <t>31,405,000.00</t>
  </si>
  <si>
    <t>7,644,000.00</t>
  </si>
  <si>
    <t>2,972,323.98</t>
  </si>
  <si>
    <t>7,313,160.00</t>
  </si>
  <si>
    <t>6,570,000.00</t>
  </si>
  <si>
    <t>112,950.00</t>
  </si>
  <si>
    <t>9,995,922.70</t>
  </si>
  <si>
    <t>868,280.00</t>
  </si>
  <si>
    <t>283,224.00</t>
  </si>
  <si>
    <t>2,045,000.00</t>
  </si>
  <si>
    <t>1,836,196.10</t>
  </si>
  <si>
    <t>6,255,165.71</t>
  </si>
  <si>
    <t>1,449,000.00</t>
  </si>
  <si>
    <t>1,896,000.00</t>
  </si>
  <si>
    <t>231,391.60</t>
  </si>
  <si>
    <t>8,159,603.00</t>
  </si>
  <si>
    <t>1,545,939.00</t>
  </si>
  <si>
    <t>7,437,529.50</t>
  </si>
  <si>
    <t>1,799,500.00</t>
  </si>
  <si>
    <t>2,524,100.00</t>
  </si>
  <si>
    <t>1,625,400.00</t>
  </si>
  <si>
    <t>1,598,000.00</t>
  </si>
  <si>
    <t>3,378,668.40</t>
  </si>
  <si>
    <t>6,757,122.34</t>
  </si>
  <si>
    <t>3,696,000.00</t>
  </si>
  <si>
    <t>2,953,330.00</t>
  </si>
  <si>
    <t>4,400,000.00</t>
  </si>
  <si>
    <t>199,514.00</t>
  </si>
  <si>
    <t>26,159,744.00</t>
  </si>
  <si>
    <t>11,833,900.00</t>
  </si>
  <si>
    <t>777,775.42</t>
  </si>
  <si>
    <t>382,829.13</t>
  </si>
  <si>
    <t>764,525.00</t>
  </si>
  <si>
    <t>2,782,029.00</t>
  </si>
  <si>
    <t>39,800,000.00</t>
  </si>
  <si>
    <t>2,479,408.50</t>
  </si>
  <si>
    <t>263,587.20</t>
  </si>
  <si>
    <t>9,755,869.03</t>
  </si>
  <si>
    <t>5,038,142.11</t>
  </si>
  <si>
    <t>19,605,746.50</t>
  </si>
  <si>
    <t>5,431,530.33</t>
  </si>
  <si>
    <t>1,192,492.00</t>
  </si>
  <si>
    <t>3,600,075.00</t>
  </si>
  <si>
    <t>8,264,855.00</t>
  </si>
  <si>
    <t>162,500.00</t>
  </si>
  <si>
    <t>1,617,624.00</t>
  </si>
  <si>
    <t>1,592,600.00</t>
  </si>
  <si>
    <t>4,650,000.00</t>
  </si>
  <si>
    <t>4,775,446.00</t>
  </si>
  <si>
    <t>1,997,946.72</t>
  </si>
  <si>
    <t>1,999,992.32</t>
  </si>
  <si>
    <t>11,210,000.00</t>
  </si>
  <si>
    <t>2,983,716.46</t>
  </si>
  <si>
    <t>3,447,914.58</t>
  </si>
  <si>
    <t>1,844,995.00</t>
  </si>
  <si>
    <t>3,999,325.73</t>
  </si>
  <si>
    <t>9,810,000.00</t>
  </si>
  <si>
    <t>1,999,947.33</t>
  </si>
  <si>
    <t>6,999,992.86</t>
  </si>
  <si>
    <t>1,475,945.00</t>
  </si>
  <si>
    <t>12,266,855.00</t>
  </si>
  <si>
    <t>40,917,940.00</t>
  </si>
  <si>
    <t>1,999,490.59</t>
  </si>
  <si>
    <t>27,196,400.00</t>
  </si>
  <si>
    <t>169,997.00</t>
  </si>
  <si>
    <t>2,999,997.56</t>
  </si>
  <si>
    <t>1,226,300.00</t>
  </si>
  <si>
    <t>4,170,600.00</t>
  </si>
  <si>
    <t>5,969,777.71</t>
  </si>
  <si>
    <t>4,047,778.35</t>
  </si>
  <si>
    <t>50,400,000.00</t>
  </si>
  <si>
    <t>20,620,287.00</t>
  </si>
  <si>
    <t>749,040.00</t>
  </si>
  <si>
    <t>14,057,904.00</t>
  </si>
  <si>
    <t>11,880,000.00</t>
  </si>
  <si>
    <t>6,700,000.00</t>
  </si>
  <si>
    <t>687,000.00</t>
  </si>
  <si>
    <t>7,720,700.00</t>
  </si>
  <si>
    <t>1,259,968.50</t>
  </si>
  <si>
    <t>1,303,926.00</t>
  </si>
  <si>
    <t>11,387,814.00</t>
  </si>
  <si>
    <t>1,642,960.00</t>
  </si>
  <si>
    <t>935,000.00</t>
  </si>
  <si>
    <t>11,372,015.00</t>
  </si>
  <si>
    <t>1,913,678.00</t>
  </si>
  <si>
    <t>1,205,444,643.31</t>
  </si>
  <si>
    <t>133,650,000.00</t>
  </si>
  <si>
    <t>1,349,955.00</t>
  </si>
  <si>
    <t>113,342.00</t>
  </si>
  <si>
    <t>377,152.00</t>
  </si>
  <si>
    <t>20,419,962.00</t>
  </si>
  <si>
    <t>2,859,300.00</t>
  </si>
  <si>
    <t>7,228,882.95</t>
  </si>
  <si>
    <t>1,716,800.00</t>
  </si>
  <si>
    <t>1,936,500.00</t>
  </si>
  <si>
    <t>6,964,400.00</t>
  </si>
  <si>
    <t>3,533,250.00</t>
  </si>
  <si>
    <t>10,051,800.00</t>
  </si>
  <si>
    <t>1,381,380.00</t>
  </si>
  <si>
    <t>4,914,800.00</t>
  </si>
  <si>
    <t>2,080,000.00</t>
  </si>
  <si>
    <t>1,581,250.00</t>
  </si>
  <si>
    <t>1,665,000.00</t>
  </si>
  <si>
    <t>2,855,000.00</t>
  </si>
  <si>
    <t>5,723,650.00</t>
  </si>
  <si>
    <t>2,567,900.00</t>
  </si>
  <si>
    <t>1,431,430.00</t>
  </si>
  <si>
    <t>1,691,500.00</t>
  </si>
  <si>
    <t>1,356,724.00</t>
  </si>
  <si>
    <t>2,658,675.84</t>
  </si>
  <si>
    <t>1,570,000.00</t>
  </si>
  <si>
    <t>294,500.00</t>
  </si>
  <si>
    <t>5,520,000.00</t>
  </si>
  <si>
    <t>98,755.00</t>
  </si>
  <si>
    <t>9,619,205.00</t>
  </si>
  <si>
    <t>7,660,000.00</t>
  </si>
  <si>
    <t>243,000.00</t>
  </si>
  <si>
    <t>4,199,656.00</t>
  </si>
  <si>
    <t>427,580.00</t>
  </si>
  <si>
    <t>482,400.00</t>
  </si>
  <si>
    <t>494,128.95</t>
  </si>
  <si>
    <t>312,900.00</t>
  </si>
  <si>
    <t>158,410.00</t>
  </si>
  <si>
    <t>1,245,400.00</t>
  </si>
  <si>
    <t>12,154,375.00</t>
  </si>
  <si>
    <t>895,450.00</t>
  </si>
  <si>
    <t>914,740.00</t>
  </si>
  <si>
    <t>4,122,637.22</t>
  </si>
  <si>
    <t>1,018,800.00</t>
  </si>
  <si>
    <t>2,635,000.00</t>
  </si>
  <si>
    <t>745,600.00</t>
  </si>
  <si>
    <t>100,171,100.00</t>
  </si>
  <si>
    <t>1,676,020.00</t>
  </si>
  <si>
    <t>1,887,175.00</t>
  </si>
  <si>
    <t>2,623,214.00</t>
  </si>
  <si>
    <t>2,126,600.00</t>
  </si>
  <si>
    <t>1,801,079.00</t>
  </si>
  <si>
    <t>507,300.00</t>
  </si>
  <si>
    <t>2,753,813.00</t>
  </si>
  <si>
    <t>2,999,000.00</t>
  </si>
  <si>
    <t>1,045,500.00</t>
  </si>
  <si>
    <t>1,565,500.00</t>
  </si>
  <si>
    <t>66,500,000.00</t>
  </si>
  <si>
    <t>124,998,300.00</t>
  </si>
  <si>
    <t>5,484,741.60</t>
  </si>
  <si>
    <t>4,215,062.00</t>
  </si>
  <si>
    <t>175,650.00</t>
  </si>
  <si>
    <t>3,267,000.00</t>
  </si>
  <si>
    <t>3,613,385.00</t>
  </si>
  <si>
    <t>498,380.00</t>
  </si>
  <si>
    <t>1,282,000.00</t>
  </si>
  <si>
    <t>149,846.00</t>
  </si>
  <si>
    <t>1,499,958.05</t>
  </si>
  <si>
    <t>1,131,110.82</t>
  </si>
  <si>
    <t>359,940.00</t>
  </si>
  <si>
    <t>1,144,196.52</t>
  </si>
  <si>
    <t>5,568,140.00</t>
  </si>
  <si>
    <t>2,696,000.00</t>
  </si>
  <si>
    <t>369,134.80</t>
  </si>
  <si>
    <t>53,624,696.00</t>
  </si>
  <si>
    <t>104,470.00</t>
  </si>
  <si>
    <t>96,312,000.00</t>
  </si>
  <si>
    <t>9,599,850.00</t>
  </si>
  <si>
    <t>108,000,000.00</t>
  </si>
  <si>
    <t>2,498,400.00</t>
  </si>
  <si>
    <t>122,800.00</t>
  </si>
  <si>
    <t>3,744,500.00</t>
  </si>
  <si>
    <t>59,160,000.00</t>
  </si>
  <si>
    <t>69,199,706.91</t>
  </si>
  <si>
    <t>10,845,000.00</t>
  </si>
  <si>
    <t>259,292.27</t>
  </si>
  <si>
    <t>241,409,480.57</t>
  </si>
  <si>
    <t>1,385,962.99</t>
  </si>
  <si>
    <t>1,829,770.53</t>
  </si>
  <si>
    <t>1,847,565.32</t>
  </si>
  <si>
    <t>999,831.00</t>
  </si>
  <si>
    <t>1,561,000.00</t>
  </si>
  <si>
    <t>2,458,693.79</t>
  </si>
  <si>
    <t>2,469,208.94</t>
  </si>
  <si>
    <t>4,649,000.00</t>
  </si>
  <si>
    <t>2,982,752.64</t>
  </si>
  <si>
    <t>408,890.00</t>
  </si>
  <si>
    <t>2,438,095.62</t>
  </si>
  <si>
    <t>2,982,443.90</t>
  </si>
  <si>
    <t>643,992.23</t>
  </si>
  <si>
    <t>4,708,406.88</t>
  </si>
  <si>
    <t>5,837,400.00</t>
  </si>
  <si>
    <t>12,676,930.00</t>
  </si>
  <si>
    <t>6,482,094.40</t>
  </si>
  <si>
    <t>750,000,000.00</t>
  </si>
  <si>
    <t>1,818,330,567.90</t>
  </si>
  <si>
    <t>682,094,848.60</t>
  </si>
  <si>
    <t>29,321,010.00</t>
  </si>
  <si>
    <t>11,285,302.50</t>
  </si>
  <si>
    <t>2,775,806.72</t>
  </si>
  <si>
    <t>5,137,756.10</t>
  </si>
  <si>
    <t>15,700,000.00</t>
  </si>
  <si>
    <t>2,178,000.00</t>
  </si>
  <si>
    <t>247,243,547.36</t>
  </si>
  <si>
    <t>50,929,710.00</t>
  </si>
  <si>
    <t>54,636,112.96</t>
  </si>
  <si>
    <t>7,287,140.93</t>
  </si>
  <si>
    <t>98,618.00</t>
  </si>
  <si>
    <t>117,474.35</t>
  </si>
  <si>
    <t>4,399,423.00</t>
  </si>
  <si>
    <t>5,877,120.00</t>
  </si>
  <si>
    <t>14,699,923.84</t>
  </si>
  <si>
    <t>243,984.00</t>
  </si>
  <si>
    <t>900,300.00</t>
  </si>
  <si>
    <t>358,142.40</t>
  </si>
  <si>
    <t>1,687,566,270.50</t>
  </si>
  <si>
    <t>37,500.00</t>
  </si>
  <si>
    <t>40,654,602.00</t>
  </si>
  <si>
    <t>4,742,979.00</t>
  </si>
  <si>
    <t>35,010,000.00</t>
  </si>
  <si>
    <t>9,274,085.20</t>
  </si>
  <si>
    <t>992,000.00</t>
  </si>
  <si>
    <t>5,768,372.88</t>
  </si>
  <si>
    <t>9,776,567.52</t>
  </si>
  <si>
    <t>3,865,000.00</t>
  </si>
  <si>
    <t>47,975.00</t>
  </si>
  <si>
    <t>41,086,000.00</t>
  </si>
  <si>
    <t>1,653,000.00</t>
  </si>
  <si>
    <t>1,077,000.00</t>
  </si>
  <si>
    <t>7,620,000.00</t>
  </si>
  <si>
    <t>2,386,800.00</t>
  </si>
  <si>
    <t>17,211,176.79</t>
  </si>
  <si>
    <t>149,833,333.54</t>
  </si>
  <si>
    <t>24,271,844.65</t>
  </si>
  <si>
    <t>23,600,000.00</t>
  </si>
  <si>
    <t>20,580,000.00</t>
  </si>
  <si>
    <t>6,820,000.00</t>
  </si>
  <si>
    <t>47,753,184.80</t>
  </si>
  <si>
    <t>18,149,874.36</t>
  </si>
  <si>
    <t>491,000.00</t>
  </si>
  <si>
    <t>542,966.50</t>
  </si>
  <si>
    <t>40,180,000.00</t>
  </si>
  <si>
    <t>496,000,000.00</t>
  </si>
  <si>
    <t>12,740,000.00</t>
  </si>
  <si>
    <t>76,255,265.00</t>
  </si>
  <si>
    <t>85,312,920.00</t>
  </si>
  <si>
    <t>96,499,979.16</t>
  </si>
  <si>
    <t>19,799,977.04</t>
  </si>
  <si>
    <t>161,900.00</t>
  </si>
  <si>
    <t>4,062,628.26</t>
  </si>
  <si>
    <t>18,949,654.50</t>
  </si>
  <si>
    <t>58,657,553.00</t>
  </si>
  <si>
    <t>66,400,000.00</t>
  </si>
  <si>
    <t>196,643.00</t>
  </si>
  <si>
    <t>49,000,000.00</t>
  </si>
  <si>
    <t>4,667,948.40</t>
  </si>
  <si>
    <t>53,075,000.00</t>
  </si>
  <si>
    <t>220,884.00</t>
  </si>
  <si>
    <t>351,495.00</t>
  </si>
  <si>
    <t>847,425.00</t>
  </si>
  <si>
    <t>3,032,123.00</t>
  </si>
  <si>
    <t>2,853,955.24</t>
  </si>
  <si>
    <t>25,456.00</t>
  </si>
  <si>
    <t>5,326,937.40</t>
  </si>
  <si>
    <t>720,328.00</t>
  </si>
  <si>
    <t>904,830.00</t>
  </si>
  <si>
    <t>4,181,955.90</t>
  </si>
  <si>
    <t>4,224,800.00</t>
  </si>
  <si>
    <t>2,513,150.00</t>
  </si>
  <si>
    <t>34,740,000.00</t>
  </si>
  <si>
    <t>13,720,000.00</t>
  </si>
  <si>
    <t>7,350,000.00</t>
  </si>
  <si>
    <t>724,000.00</t>
  </si>
  <si>
    <t>49,500,000.00</t>
  </si>
  <si>
    <t>12,034,400.00</t>
  </si>
  <si>
    <t>16,258,200.00</t>
  </si>
  <si>
    <t>27,165,600.00</t>
  </si>
  <si>
    <t>4,321,800.00</t>
  </si>
  <si>
    <t>11,760,000.00</t>
  </si>
  <si>
    <t>27,355,000.00</t>
  </si>
  <si>
    <t>5,317,000.00</t>
  </si>
  <si>
    <t>1,144,590.90</t>
  </si>
  <si>
    <t>12,870,000.00</t>
  </si>
  <si>
    <t>10,769,230.64</t>
  </si>
  <si>
    <t>4,250,000.00</t>
  </si>
  <si>
    <t>2,281,000.00</t>
  </si>
  <si>
    <t>37,356,955.00</t>
  </si>
  <si>
    <t>144,747,335.55</t>
  </si>
  <si>
    <t>371,700.00</t>
  </si>
  <si>
    <t>28,916,667.00</t>
  </si>
  <si>
    <t>10,622,795.00</t>
  </si>
  <si>
    <t>4,401,855.00</t>
  </si>
  <si>
    <t>100,020.00</t>
  </si>
  <si>
    <t>6,717,365.00</t>
  </si>
  <si>
    <t>39,192,410.10</t>
  </si>
  <si>
    <t>2,887,499.99</t>
  </si>
  <si>
    <t>83,600.00</t>
  </si>
  <si>
    <t>48,999,866.87</t>
  </si>
  <si>
    <t>1,749,074.98</t>
  </si>
  <si>
    <t>123,403.00</t>
  </si>
  <si>
    <t>190,375,000.00</t>
  </si>
  <si>
    <t>31,608,310.40</t>
  </si>
  <si>
    <t>5,475,268.70</t>
  </si>
  <si>
    <t>9,615,264.00</t>
  </si>
  <si>
    <t>15,344,856.27</t>
  </si>
  <si>
    <t>29,699,973.77</t>
  </si>
  <si>
    <t>2,521,768.78</t>
  </si>
  <si>
    <t>3,759,553.34</t>
  </si>
  <si>
    <t>242,010.00</t>
  </si>
  <si>
    <t>4,615,374.36</t>
  </si>
  <si>
    <t>8,579,377.32</t>
  </si>
  <si>
    <t>48,999,781.25</t>
  </si>
  <si>
    <t>14,849,946.31</t>
  </si>
  <si>
    <t>774,559.72</t>
  </si>
  <si>
    <t>45,361,366,040.29</t>
  </si>
  <si>
    <t>1,083,290.12</t>
  </si>
  <si>
    <t>59,399,994.70</t>
  </si>
  <si>
    <t>8,180,000.00</t>
  </si>
  <si>
    <t>62,631,947.91</t>
  </si>
  <si>
    <t>10,118,081.88</t>
  </si>
  <si>
    <t>48,997,713.24</t>
  </si>
  <si>
    <t>5,870,000.00</t>
  </si>
  <si>
    <t>106,149,995.59</t>
  </si>
  <si>
    <t>80,000,000.00</t>
  </si>
  <si>
    <t>36,663,533.40</t>
  </si>
  <si>
    <t>29,699,982.26</t>
  </si>
  <si>
    <t>14,849,659.73</t>
  </si>
  <si>
    <t>72,863.22</t>
  </si>
  <si>
    <t>19,999,159.36</t>
  </si>
  <si>
    <t>5,938,259.14</t>
  </si>
  <si>
    <t>1,542,307.69</t>
  </si>
  <si>
    <t>968,400.00</t>
  </si>
  <si>
    <t>496,500.00</t>
  </si>
  <si>
    <t>10 Day/s</t>
  </si>
  <si>
    <t>15 Day/s</t>
  </si>
  <si>
    <t>0 Day/s</t>
  </si>
  <si>
    <t>1 Day/s</t>
  </si>
  <si>
    <t>2 Year/s</t>
  </si>
  <si>
    <t>20 Day/s</t>
  </si>
  <si>
    <t>477 Day/s</t>
  </si>
  <si>
    <t>3 Day/s</t>
  </si>
  <si>
    <t>7 Day/s</t>
  </si>
  <si>
    <t>30 Day/s</t>
  </si>
  <si>
    <t>5 Day/s</t>
  </si>
  <si>
    <t>181 Day/s</t>
  </si>
  <si>
    <t>100 Day/s</t>
  </si>
  <si>
    <t>13 Day/s</t>
  </si>
  <si>
    <t>60 Day/s</t>
  </si>
  <si>
    <t>8 Day/s</t>
  </si>
  <si>
    <t>14 Day/s</t>
  </si>
  <si>
    <t>45 Day/s</t>
  </si>
  <si>
    <t>58 Day/s</t>
  </si>
  <si>
    <t>48 Day/s</t>
  </si>
  <si>
    <t>225 Day/s</t>
  </si>
  <si>
    <t>65 Day/s</t>
  </si>
  <si>
    <t>3 Year/s</t>
  </si>
  <si>
    <t>150 Day/s</t>
  </si>
  <si>
    <t>120 Day/s</t>
  </si>
  <si>
    <t>66 Day/s</t>
  </si>
  <si>
    <t>90 Day/s</t>
  </si>
  <si>
    <t>80 Day/s</t>
  </si>
  <si>
    <t>360 Day/s</t>
  </si>
  <si>
    <t>240 Day/s</t>
  </si>
  <si>
    <t>385 Day/s</t>
  </si>
  <si>
    <t>63 Day/s</t>
  </si>
  <si>
    <t>11 Day/s</t>
  </si>
  <si>
    <t>77 Day/s</t>
  </si>
  <si>
    <t>140 Day/s</t>
  </si>
  <si>
    <t>32 Day/s</t>
  </si>
  <si>
    <t>102 Day/s</t>
  </si>
  <si>
    <t>215 Day/s</t>
  </si>
  <si>
    <t>98 Day/s</t>
  </si>
  <si>
    <t>18 Day/s</t>
  </si>
  <si>
    <t>37 Day/s</t>
  </si>
  <si>
    <t>2 Day/s</t>
  </si>
  <si>
    <t>1 Month/s</t>
  </si>
  <si>
    <t>1 Year/s</t>
  </si>
  <si>
    <t>21 Day/s</t>
  </si>
  <si>
    <t>89 Day/s</t>
  </si>
  <si>
    <t>28 Day/s</t>
  </si>
  <si>
    <t>121 Day/s</t>
  </si>
  <si>
    <t>112 Day/s</t>
  </si>
  <si>
    <t>72 Day/s</t>
  </si>
  <si>
    <t>44 Day/s</t>
  </si>
  <si>
    <t>49 Day/s</t>
  </si>
  <si>
    <t>4 Day/s</t>
  </si>
  <si>
    <t>35 Day/s</t>
  </si>
  <si>
    <t>105 Day/s</t>
  </si>
  <si>
    <t>25 Day/s</t>
  </si>
  <si>
    <t>9 Day/s</t>
  </si>
  <si>
    <t>6 Month/s</t>
  </si>
  <si>
    <t>270 Day/s</t>
  </si>
  <si>
    <t>6 Day/s</t>
  </si>
  <si>
    <t>75 Day/s</t>
  </si>
  <si>
    <t>210 Day/s</t>
  </si>
  <si>
    <t>12 Day/s</t>
  </si>
  <si>
    <t>92 Day/s</t>
  </si>
  <si>
    <t>46 Day/s</t>
  </si>
  <si>
    <t>123 Day/s</t>
  </si>
  <si>
    <t>3 Month/s</t>
  </si>
  <si>
    <t>16 Day/s</t>
  </si>
  <si>
    <t>152 Day/s</t>
  </si>
  <si>
    <t>109 Day/s</t>
  </si>
  <si>
    <t>62 Day/s</t>
  </si>
  <si>
    <t>31 Day/s</t>
  </si>
  <si>
    <t>40 Day/s</t>
  </si>
  <si>
    <t>24 Day/s</t>
  </si>
  <si>
    <t>971 Day/s</t>
  </si>
  <si>
    <t>50 Day/s</t>
  </si>
  <si>
    <t>29 Day/s</t>
  </si>
  <si>
    <t>83 Day/s</t>
  </si>
  <si>
    <t>76 Day/s</t>
  </si>
  <si>
    <t>185 Day/s</t>
  </si>
  <si>
    <t>217 Day/s</t>
  </si>
  <si>
    <t>10 Month/s</t>
  </si>
  <si>
    <t>198 Day/s</t>
  </si>
  <si>
    <t>396 Day/s</t>
  </si>
  <si>
    <t>85 Day/s</t>
  </si>
  <si>
    <t>365 Day/s</t>
  </si>
  <si>
    <t>96 Day/s</t>
  </si>
  <si>
    <t>67 Day/s</t>
  </si>
  <si>
    <t>30 Month/s</t>
  </si>
  <si>
    <t>104 Day/s</t>
  </si>
  <si>
    <t>180 Day/s</t>
  </si>
  <si>
    <t>712 Day/s</t>
  </si>
  <si>
    <t>4 Month/s</t>
  </si>
  <si>
    <t>61 Day/s</t>
  </si>
  <si>
    <t>101 Day/s</t>
  </si>
  <si>
    <t>42 Day/s</t>
  </si>
  <si>
    <t>55 Day/s</t>
  </si>
  <si>
    <t>70 Day/s</t>
  </si>
  <si>
    <t>86 Day/s</t>
  </si>
  <si>
    <t>33 Day/s</t>
  </si>
  <si>
    <t>110 Day/s</t>
  </si>
  <si>
    <t>193 Day/s</t>
  </si>
  <si>
    <t>208 Day/s</t>
  </si>
  <si>
    <t>205 Day/s</t>
  </si>
  <si>
    <t>81 Day/s</t>
  </si>
  <si>
    <t>138 Day/s</t>
  </si>
  <si>
    <t>211 Day/s</t>
  </si>
  <si>
    <t>172 Day/s</t>
  </si>
  <si>
    <t>71 Day/s</t>
  </si>
  <si>
    <t>300 Day/s</t>
  </si>
  <si>
    <t>720 Day/s</t>
  </si>
  <si>
    <t>8 Month/s</t>
  </si>
  <si>
    <t>244 Day/s</t>
  </si>
  <si>
    <t>124 Day/s</t>
  </si>
  <si>
    <t>47 Day/s</t>
  </si>
  <si>
    <t>43 Day/s</t>
  </si>
  <si>
    <t>23 Day/s</t>
  </si>
  <si>
    <t>235 Day/s</t>
  </si>
  <si>
    <t>41 Day/s</t>
  </si>
  <si>
    <t>114 Day/s</t>
  </si>
  <si>
    <t>330 Day/s</t>
  </si>
  <si>
    <t>95 Day/s</t>
  </si>
  <si>
    <t>130 Day/s</t>
  </si>
  <si>
    <t>17 Day/s</t>
  </si>
  <si>
    <t>143 Day/s</t>
  </si>
  <si>
    <t>303 Day/s</t>
  </si>
  <si>
    <t>36 Day/s</t>
  </si>
  <si>
    <t>22 Day/s</t>
  </si>
  <si>
    <t>53 Day/s</t>
  </si>
  <si>
    <t>5 Month/s</t>
  </si>
  <si>
    <t>160 Day/s</t>
  </si>
  <si>
    <t>103 Day/s</t>
  </si>
  <si>
    <t>224 Day/s</t>
  </si>
  <si>
    <t>283 Day/s</t>
  </si>
  <si>
    <t>184 Day/s</t>
  </si>
  <si>
    <t>2 Month/s</t>
  </si>
  <si>
    <t>830 Day/s</t>
  </si>
  <si>
    <t>26 Day/s</t>
  </si>
  <si>
    <t>54 Day/s</t>
  </si>
  <si>
    <t>108 Day/s</t>
  </si>
  <si>
    <t>207 Day/s</t>
  </si>
  <si>
    <t>260 Day/s</t>
  </si>
  <si>
    <t>27 Day/s</t>
  </si>
  <si>
    <t>4 Year/s</t>
  </si>
  <si>
    <t>290 Day/s</t>
  </si>
  <si>
    <t>51 Day/s</t>
  </si>
  <si>
    <t>200 Day/s</t>
  </si>
  <si>
    <t>163 Day/s</t>
  </si>
  <si>
    <t>64 Day/s</t>
  </si>
  <si>
    <t>136 Day/s</t>
  </si>
  <si>
    <t>164 Day/s</t>
  </si>
  <si>
    <t>52 Day/s</t>
  </si>
  <si>
    <t>129 Day/s</t>
  </si>
  <si>
    <t>250 Day/s</t>
  </si>
  <si>
    <t>97 Day/s</t>
  </si>
  <si>
    <t>115 Day/s</t>
  </si>
  <si>
    <t>56 Day/s</t>
  </si>
  <si>
    <t>245 Day/s</t>
  </si>
  <si>
    <t>156 Day/s</t>
  </si>
  <si>
    <t>94 Day/s</t>
  </si>
  <si>
    <t>31 Month/s</t>
  </si>
  <si>
    <t>12 Month/s</t>
  </si>
  <si>
    <t>145 Day/s</t>
  </si>
  <si>
    <t>19 Day/s</t>
  </si>
  <si>
    <t>82 Day/s</t>
  </si>
  <si>
    <t>137 Day/s</t>
  </si>
  <si>
    <t>420 Day/s</t>
  </si>
  <si>
    <t>0 Month/s</t>
  </si>
  <si>
    <t>271 Day/s</t>
  </si>
  <si>
    <t>34 Day/s</t>
  </si>
  <si>
    <t>39 Day/s</t>
  </si>
  <si>
    <t>57 Day/s</t>
  </si>
  <si>
    <t>203 Day/s</t>
  </si>
  <si>
    <t>122 Day/s</t>
  </si>
  <si>
    <t>87 Day/s</t>
  </si>
  <si>
    <t>231 Day/s</t>
  </si>
  <si>
    <t>84 Day/s</t>
  </si>
  <si>
    <t>255 Day/s</t>
  </si>
  <si>
    <t>91 Day/s</t>
  </si>
  <si>
    <t>248 Day/s</t>
  </si>
  <si>
    <t>192 Day/s</t>
  </si>
  <si>
    <t>237 Day/s</t>
  </si>
  <si>
    <t>162 Day/s</t>
  </si>
  <si>
    <t>252 Day/s</t>
  </si>
  <si>
    <t>276 Day/s</t>
  </si>
  <si>
    <t>157 Day/s</t>
  </si>
  <si>
    <t>189 Day/s</t>
  </si>
  <si>
    <t>135 Day/s</t>
  </si>
  <si>
    <t>229 Day/s</t>
  </si>
  <si>
    <t>79 Day/s</t>
  </si>
  <si>
    <t>315 Day/s</t>
  </si>
  <si>
    <t>328 Day/s</t>
  </si>
  <si>
    <t>78 Day/s</t>
  </si>
  <si>
    <t>142 Day/s</t>
  </si>
  <si>
    <t>68 Day/s</t>
  </si>
  <si>
    <t>60 Month/s</t>
  </si>
  <si>
    <t>73 Day/s</t>
  </si>
  <si>
    <t>540 Day/s</t>
  </si>
  <si>
    <t>220 Day/s</t>
  </si>
  <si>
    <t>119 Day/s</t>
  </si>
  <si>
    <t>171 Day/s</t>
  </si>
  <si>
    <t>343 Day/s</t>
  </si>
  <si>
    <t>188 Day/s</t>
  </si>
  <si>
    <t>146 Day/s</t>
  </si>
  <si>
    <t>132 Day/s</t>
  </si>
  <si>
    <t>296 Day/s</t>
  </si>
  <si>
    <t>38 Day/s</t>
  </si>
  <si>
    <t>202 Day/s</t>
  </si>
  <si>
    <t>149 Day/s</t>
  </si>
  <si>
    <t>74 Day/s</t>
  </si>
  <si>
    <t>450 Day/s</t>
  </si>
  <si>
    <t>190 Day/s</t>
  </si>
  <si>
    <t>170 Day/s</t>
  </si>
  <si>
    <t>201 Day/s</t>
  </si>
  <si>
    <t>404 Day/s</t>
  </si>
  <si>
    <t>59 Day/s</t>
  </si>
  <si>
    <t>107 Day/s</t>
  </si>
  <si>
    <t>118 Day/s</t>
  </si>
  <si>
    <t>128 Day/s</t>
  </si>
  <si>
    <t>390 Day/s</t>
  </si>
  <si>
    <t>209 Day/s</t>
  </si>
  <si>
    <t>320 Day/s</t>
  </si>
  <si>
    <t>111 Day/s</t>
  </si>
  <si>
    <t>214 Day/s</t>
  </si>
  <si>
    <t>178 Day/s</t>
  </si>
  <si>
    <t>106 Day/s</t>
  </si>
  <si>
    <t>288 Day/s</t>
  </si>
  <si>
    <t>355 Day/s</t>
  </si>
  <si>
    <t>350 Day/s</t>
  </si>
  <si>
    <t>187 Day/s</t>
  </si>
  <si>
    <t>206 Day/s</t>
  </si>
  <si>
    <t>221 Day/s</t>
  </si>
  <si>
    <t>173 Day/s</t>
  </si>
  <si>
    <t>24 Month/s</t>
  </si>
  <si>
    <t>165 Day/s</t>
  </si>
  <si>
    <t>182 Day/s</t>
  </si>
  <si>
    <t>1186 Day/s</t>
  </si>
  <si>
    <t>88 Day/s</t>
  </si>
  <si>
    <t>1036 Day/s</t>
  </si>
  <si>
    <t>11 Month/s</t>
  </si>
  <si>
    <t>730 Day/s</t>
  </si>
  <si>
    <t>99 Day/s</t>
  </si>
  <si>
    <t>241 Day/s</t>
  </si>
  <si>
    <t>233 Day/s</t>
  </si>
  <si>
    <t>161 Day/s</t>
  </si>
  <si>
    <t>195 Day/s</t>
  </si>
  <si>
    <t>243 Day/s</t>
  </si>
  <si>
    <t>93 Day/s</t>
  </si>
  <si>
    <t>226 Day/s</t>
  </si>
  <si>
    <t>125 Day/s</t>
  </si>
  <si>
    <t>166 Day/s</t>
  </si>
  <si>
    <t>633 Day/s</t>
  </si>
  <si>
    <t>1343 Day/s</t>
  </si>
  <si>
    <t>175 Day/s</t>
  </si>
  <si>
    <t>168 Day/s</t>
  </si>
  <si>
    <t>1200 Day/s</t>
  </si>
  <si>
    <t>127 Day/s</t>
  </si>
  <si>
    <t>177 Day/s</t>
  </si>
  <si>
    <t>266 Day/s</t>
  </si>
  <si>
    <t>372 Day/s</t>
  </si>
  <si>
    <t>676 Day/s</t>
  </si>
  <si>
    <t>310 Day/s</t>
  </si>
  <si>
    <t>285 Day/s</t>
  </si>
  <si>
    <t>660 Day/s</t>
  </si>
  <si>
    <t>228 Day/s</t>
  </si>
  <si>
    <t>7 Month/s</t>
  </si>
  <si>
    <t>280 Day/s</t>
  </si>
  <si>
    <t>232 Day/s</t>
  </si>
  <si>
    <t>356 Day/s</t>
  </si>
  <si>
    <t>197 Day/s</t>
  </si>
  <si>
    <t>212 Day/s</t>
  </si>
  <si>
    <t>295 Day/s</t>
  </si>
  <si>
    <t>69 Day/s</t>
  </si>
  <si>
    <t>405 Day/s</t>
  </si>
  <si>
    <t>345 Day/s</t>
  </si>
  <si>
    <t>366 Day/s</t>
  </si>
  <si>
    <t>299 Day/s</t>
  </si>
  <si>
    <t>256 Day/s</t>
  </si>
  <si>
    <t>222 Day/s</t>
  </si>
  <si>
    <t>141 Day/s</t>
  </si>
  <si>
    <t>259 Day/s</t>
  </si>
  <si>
    <t>134 Day/s</t>
  </si>
  <si>
    <t>340 Day/s</t>
  </si>
  <si>
    <t>650 Day/s</t>
  </si>
  <si>
    <t>675 Day/s</t>
  </si>
  <si>
    <t>500 Day/s</t>
  </si>
  <si>
    <t>167 Day/s</t>
  </si>
  <si>
    <t>395 Day/s</t>
  </si>
  <si>
    <t>553 Day/s</t>
  </si>
  <si>
    <t>9 Month/s</t>
  </si>
  <si>
    <t>131 Day/s</t>
  </si>
  <si>
    <t>284 Day/s</t>
  </si>
  <si>
    <t>570 Day/s</t>
  </si>
  <si>
    <t>249 Day/s</t>
  </si>
  <si>
    <t>116 Day/s</t>
  </si>
  <si>
    <t>213 Day/s</t>
  </si>
  <si>
    <t>186 Day/s</t>
  </si>
  <si>
    <t>174 Day/s</t>
  </si>
  <si>
    <t>293 Day/s</t>
  </si>
  <si>
    <t>Crisostomo Bulut</t>
  </si>
  <si>
    <t>Beverly Patron Tolentino</t>
  </si>
  <si>
    <t>Thea Joy Tabanao Conrada</t>
  </si>
  <si>
    <t>RM ASES AZUELO ORTEGA</t>
  </si>
  <si>
    <t>Melda Buelva Peñaredondo</t>
  </si>
  <si>
    <t>Crescencio, Jr. Valles Deligero</t>
  </si>
  <si>
    <t>AICEL NECY F MARTINEZ</t>
  </si>
  <si>
    <t>Norodin L Ambolodto</t>
  </si>
  <si>
    <t>EDITH BILLONES ORCULLO</t>
  </si>
  <si>
    <t>Antonio, Jr. Sarigumba Acuña</t>
  </si>
  <si>
    <t>Ramon M De Leon</t>
  </si>
  <si>
    <t>ROMUALDO PASAYON BAHALA</t>
  </si>
  <si>
    <t>Shiela Narbarte Domondon</t>
  </si>
  <si>
    <t>JHOANNA RATIFICAR YANGCO</t>
  </si>
  <si>
    <t>Jeffreylhada Muallil Noor</t>
  </si>
  <si>
    <t>Enjill Grace R. Subillaga</t>
  </si>
  <si>
    <t>Rita De Leon Cunanan</t>
  </si>
  <si>
    <t>Celso V. Labian</t>
  </si>
  <si>
    <t>Joy Abonitalla Adecer</t>
  </si>
  <si>
    <t>Ernesto L. Obingayan</t>
  </si>
  <si>
    <t>Jhoanne Ayen A Jimenez</t>
  </si>
  <si>
    <t>GOSPEL LUHONG</t>
  </si>
  <si>
    <t>JONEFE GOMEZ OCASLA</t>
  </si>
  <si>
    <t>Dave Braian Legaspi Sambilay</t>
  </si>
  <si>
    <t>Jever Catalan Vargas</t>
  </si>
  <si>
    <t>Fatima M. Ombawa</t>
  </si>
  <si>
    <t>ATTY. YVETTE N. CONVENTO-LEYNES</t>
  </si>
  <si>
    <t>Christopher L Abadiano</t>
  </si>
  <si>
    <t>Marissa G. Quijano</t>
  </si>
  <si>
    <t>Diosdada V. Vito</t>
  </si>
  <si>
    <t>Zaldy Estandarte Basio</t>
  </si>
  <si>
    <t>Giovanni Y. Tianero</t>
  </si>
  <si>
    <t>Melanie Obillo Manipon</t>
  </si>
  <si>
    <t>Maricel Balmes Recio</t>
  </si>
  <si>
    <t xml:space="preserve">Lee  Anthony Arriesgado </t>
  </si>
  <si>
    <t>Floresa Pizarro Suarez</t>
  </si>
  <si>
    <t>BERNARDO AZUCENA</t>
  </si>
  <si>
    <t>Gerardo B. Beluan</t>
  </si>
  <si>
    <t>Blas Bogoy Rubrico</t>
  </si>
  <si>
    <t>National Telecommunications Commission</t>
  </si>
  <si>
    <t>Samuel Albino Fuertes</t>
  </si>
  <si>
    <t>JOSEPHINE G PEREA</t>
  </si>
  <si>
    <t>Engr. Arnulfo F. Tena</t>
  </si>
  <si>
    <t>Eden Rose V. Calo</t>
  </si>
  <si>
    <t>Jon Louie A. Sanchez</t>
  </si>
  <si>
    <t>JOSELITO CRUZ MERCADO</t>
  </si>
  <si>
    <t>Edgardo G Pamute</t>
  </si>
  <si>
    <t>Maria Teresa Hilado Tapil</t>
  </si>
  <si>
    <t>LINDALE PEPINO SAAVEDRA</t>
  </si>
  <si>
    <t>ROBERT  T.  ORPIA</t>
  </si>
  <si>
    <t>LGU TANGUB</t>
  </si>
  <si>
    <t>Arnie Atienza Riomalos</t>
  </si>
  <si>
    <t>SHEILA B DE LEON</t>
  </si>
  <si>
    <t>Andro L. Colacion</t>
  </si>
  <si>
    <t>Sean Mart Arayan Morales</t>
  </si>
  <si>
    <t>Jelyn Futol Sta Ana</t>
  </si>
  <si>
    <t>ENRIQUE A. SILVINO</t>
  </si>
  <si>
    <t>Edwin B Mendoza</t>
  </si>
  <si>
    <t>Melissa Tabal Menisterio</t>
  </si>
  <si>
    <t>ROY BERNALES PELEN</t>
  </si>
  <si>
    <t>Mae Lyn Garcia Altarejos</t>
  </si>
  <si>
    <t>Percy Gonzales Salazar</t>
  </si>
  <si>
    <t>Marivic Yorong Morales</t>
  </si>
  <si>
    <t>Joyce Ann Mae L Del Valle</t>
  </si>
  <si>
    <t>Archie Mateo Tumnog</t>
  </si>
  <si>
    <t>Scarlet Sualog Villanueva</t>
  </si>
  <si>
    <t>Jesse R. Quilantang</t>
  </si>
  <si>
    <t>Carmilo E Monterona</t>
  </si>
  <si>
    <t>Michael E Pamado</t>
  </si>
  <si>
    <t>Manuel Dacuma</t>
  </si>
  <si>
    <t>Judy Caliguiran Bautista</t>
  </si>
  <si>
    <t>Carmencita D. Sacarri</t>
  </si>
  <si>
    <t>Marlon L. Eslopor</t>
  </si>
  <si>
    <t>Violeta O Garcia</t>
  </si>
  <si>
    <t>KATE A. PARULAN</t>
  </si>
  <si>
    <t>Kristine Meneses Torres</t>
  </si>
  <si>
    <t>Miriam C. Jabagat</t>
  </si>
  <si>
    <t>Merlina Tunggala Macararanga</t>
  </si>
  <si>
    <t>Winilyn Nipales De Leon</t>
  </si>
  <si>
    <t>Mary Jane Elegio Malbas</t>
  </si>
  <si>
    <t>Francis Kenneth Hernandez</t>
  </si>
  <si>
    <t>Andrea Ladores</t>
  </si>
  <si>
    <t>Nharciso Jhoel S Santos</t>
  </si>
  <si>
    <t>Luz S. Liloc</t>
  </si>
  <si>
    <t>Gemema Paclibar Robles</t>
  </si>
  <si>
    <t>VICENTE  JR. GARCENILA ANATAN</t>
  </si>
  <si>
    <t>Estrella Ageas Maata</t>
  </si>
  <si>
    <t>JACKIE LOU V. BAUTISTA</t>
  </si>
  <si>
    <t>Annie Nakar Ihapon</t>
  </si>
  <si>
    <t>VEMIE MONTEJO ESTOLOGA</t>
  </si>
  <si>
    <t>Ariel Siano Ferrando</t>
  </si>
  <si>
    <t>Jinalyn Tandoy Magarzo</t>
  </si>
  <si>
    <t>Luciano Nievarez Aborde ,  Jr.</t>
  </si>
  <si>
    <t>Giorja Jaya Pimentel Ty</t>
  </si>
  <si>
    <t>JohnEryl Ramos Templonuevo</t>
  </si>
  <si>
    <t>Lenie Morales Adriano</t>
  </si>
  <si>
    <t>SUSAN SANTOS TAMBALONG</t>
  </si>
  <si>
    <t>WANNY MAY JOCSON PASTORES</t>
  </si>
  <si>
    <t>PAULA MARCELO RADA</t>
  </si>
  <si>
    <t>Redentor Curate</t>
  </si>
  <si>
    <t>VIOLETA MIGUEL DUMAYAG</t>
  </si>
  <si>
    <t>Anwar  Allado Casimra</t>
  </si>
  <si>
    <t>Jeziel Jordan C. Genita</t>
  </si>
  <si>
    <t>Doyle Edradan Delantar</t>
  </si>
  <si>
    <t>ALEJANDRIA C. TAPPOL</t>
  </si>
  <si>
    <t>Reynaldo Salaan Galzote</t>
  </si>
  <si>
    <t>Victoriano Benedicto Lagazo Castillo</t>
  </si>
  <si>
    <t>Juanito, Jr. Balmores Antonio</t>
  </si>
  <si>
    <t>CRISTINA PENOLIO FRESNOZA</t>
  </si>
  <si>
    <t>Emmanuel De Belen Garcia</t>
  </si>
  <si>
    <t>NANCY CABALLERO</t>
  </si>
  <si>
    <t>Emer - Rose Asug</t>
  </si>
  <si>
    <t>Ramon Jr. M. Villareal</t>
  </si>
  <si>
    <t>Enrique Jr Cariaga Garaño</t>
  </si>
  <si>
    <t>Enrique Guzman Respondo</t>
  </si>
  <si>
    <t>Nerio D Fragata</t>
  </si>
  <si>
    <t>Gerald Batan Cudal</t>
  </si>
  <si>
    <t>Marites Fariñas Alnas</t>
  </si>
  <si>
    <t>Carmelita Batuyong Tagavilla</t>
  </si>
  <si>
    <t>Eduardo Vila Visitacion</t>
  </si>
  <si>
    <t>Jackie Agliam Barangay</t>
  </si>
  <si>
    <t>Reggie C Placido</t>
  </si>
  <si>
    <t>Jerry Rumbaoa Balmores</t>
  </si>
  <si>
    <t>ROSARIO TAGAYO TILLAY</t>
  </si>
  <si>
    <t>reynaldo L. Icaro</t>
  </si>
  <si>
    <t>arnel mendones moreno</t>
  </si>
  <si>
    <t>Charlton  Hocamis  Teo</t>
  </si>
  <si>
    <t>RESORRECION MUHI ORTIZ</t>
  </si>
  <si>
    <t>ALBERT GEÑOSO ADLAON</t>
  </si>
  <si>
    <t>EVELYN EVIDIENTES GUINTU</t>
  </si>
  <si>
    <t>Eva Marie Maglunsod Gapulan</t>
  </si>
  <si>
    <t>Gilbert Perez Ubera</t>
  </si>
  <si>
    <t>Michelle Co Rubino</t>
  </si>
  <si>
    <t>ILUMINADA BASCO REGIO</t>
  </si>
  <si>
    <t>Levy S. Zarcauga</t>
  </si>
  <si>
    <t>Romeo Cardeño Domiquel</t>
  </si>
  <si>
    <t>ALEXANDER  BAYACA  AVENUE</t>
  </si>
  <si>
    <t>Donabel C. Fabre</t>
  </si>
  <si>
    <t>Maricel S.  Uchi</t>
  </si>
  <si>
    <t>Edmund Pitas Aleste</t>
  </si>
  <si>
    <t>ABDULLAH GUYO ARAGON</t>
  </si>
  <si>
    <t>Marilou Cheryl Andres Naval</t>
  </si>
  <si>
    <t>Mhark Winston D Origenes</t>
  </si>
  <si>
    <t>Jaypee Sorillo Colis</t>
  </si>
  <si>
    <t>Gregorio Balbido Estabillo, Jr.</t>
  </si>
  <si>
    <t>Mr. Sharold B Magallones</t>
  </si>
  <si>
    <t>Philip Mulingtapang</t>
  </si>
  <si>
    <t>MERCEDES M. ALFUERTE</t>
  </si>
  <si>
    <t>Jose Alcantara Clarion, Jr.</t>
  </si>
  <si>
    <t>Geminina Callada Fernando</t>
  </si>
  <si>
    <t>Eduardo Sanchez</t>
  </si>
  <si>
    <t>Josephine Villas Pontillas</t>
  </si>
  <si>
    <t>Miguel Capiones</t>
  </si>
  <si>
    <t>Marino Merano Silagan Jr.</t>
  </si>
  <si>
    <t>Liza Roque Leaño</t>
  </si>
  <si>
    <t>Ma. Delia Ong - Manca</t>
  </si>
  <si>
    <t>Cuajotor Toledo Albert</t>
  </si>
  <si>
    <t>RUFO SOTELO SOTELO Jr.</t>
  </si>
  <si>
    <t>MAURIELE DASMARIÑAS</t>
  </si>
  <si>
    <t>Ricky Dejapa Buenvenida</t>
  </si>
  <si>
    <t>Janny M Pacleb</t>
  </si>
  <si>
    <t>Joseph Aldrin De Silva Magtanong</t>
  </si>
  <si>
    <t>Felipe M Hutalla</t>
  </si>
  <si>
    <t>Jezryl M. Lobaton</t>
  </si>
  <si>
    <t>Eleuterio L Blasco</t>
  </si>
  <si>
    <t>Ma. Emelene P. Coquilla</t>
  </si>
  <si>
    <t>ALVIN L. TABELINO</t>
  </si>
  <si>
    <t>Azucena O Gonzales</t>
  </si>
  <si>
    <t>Christopher M. Edjic</t>
  </si>
  <si>
    <t>Benito C. Procia</t>
  </si>
  <si>
    <t>Nikkolo Marco Aurelio V. Cortes</t>
  </si>
  <si>
    <t>Herma Taghap Paragsa</t>
  </si>
  <si>
    <t>ROSALIE N. MORALDE</t>
  </si>
  <si>
    <t>Corazon Martinez Fronda</t>
  </si>
  <si>
    <t>Glyza  Ampo  Landar</t>
  </si>
  <si>
    <t>MONALINA GEBONGA BAINGAN</t>
  </si>
  <si>
    <t>Vicente Hotchkiss Pimentel, III</t>
  </si>
  <si>
    <t>SHEELA P. BADIANG</t>
  </si>
  <si>
    <t>Roberto Racasa Cada</t>
  </si>
  <si>
    <t>Maria Lourdes Galanida Roldan</t>
  </si>
  <si>
    <t>Tess b. Cruzado</t>
  </si>
  <si>
    <t>Annie Naldo Tagongtong</t>
  </si>
  <si>
    <t>Roderick Trangia Songahid</t>
  </si>
  <si>
    <t>Dina V. Panganiban</t>
  </si>
  <si>
    <t>Irwin M Fonbuena</t>
  </si>
  <si>
    <t>Emilyn Galicia Magracia</t>
  </si>
  <si>
    <t>VICTOR LUZA LAGUNA</t>
  </si>
  <si>
    <t>Edralin B. Baingan</t>
  </si>
  <si>
    <t>Marites S Penosa</t>
  </si>
  <si>
    <t>VALENTE MICLAT HALILI</t>
  </si>
  <si>
    <t>Poliver L  Tumaneng</t>
  </si>
  <si>
    <t>Cynthia De Chavez Perez</t>
  </si>
  <si>
    <t>Enrico Magboo Dalangin</t>
  </si>
  <si>
    <t>VOLTAIRE S EGNORA, MD.</t>
  </si>
  <si>
    <t>JUNE DE LEON ESPINOSA</t>
  </si>
  <si>
    <t>VICTOR ANANA ANOS</t>
  </si>
  <si>
    <t>Sammy Asna Nicolas</t>
  </si>
  <si>
    <t>Beverly O. Sabdani</t>
  </si>
  <si>
    <t>Aida L Cerudo</t>
  </si>
  <si>
    <t>Oliver Ted Castillo Orsolino</t>
  </si>
  <si>
    <t>RAMER M RAMOS</t>
  </si>
  <si>
    <t>Nestor Corpuz Guillermo</t>
  </si>
  <si>
    <t>Julius R Ramones</t>
  </si>
  <si>
    <t>Reinerio Boglosa</t>
  </si>
  <si>
    <t>Zilah May Badajos Nortega</t>
  </si>
  <si>
    <t>Israel Pilarca Quinco</t>
  </si>
  <si>
    <t>Rene Mantiquilla FORMACION</t>
  </si>
  <si>
    <t>Nerissa Nedic Calimbo</t>
  </si>
  <si>
    <t>Sheila Mondas Lopiga</t>
  </si>
  <si>
    <t>LORENA BUDIONGAN AMBA</t>
  </si>
  <si>
    <t>Romarico J. Deona</t>
  </si>
  <si>
    <t>John Michael G Garcia</t>
  </si>
  <si>
    <t>Delmor De Vera Pascual</t>
  </si>
  <si>
    <t>Levy H. Lagutin, Jr.</t>
  </si>
  <si>
    <t>Aimee Antonio Jimeno</t>
  </si>
  <si>
    <t>MICHAEL P DUQUEZ</t>
  </si>
  <si>
    <t>Emmanuel Edquilang Gulay</t>
  </si>
  <si>
    <t xml:space="preserve">KRISTINE  MANUEL   </t>
  </si>
  <si>
    <t>Rose Golpio Dela Cruz</t>
  </si>
  <si>
    <t>venus Torres Palciso</t>
  </si>
  <si>
    <t>FLORANTE MADRIAGA TAGUBA</t>
  </si>
  <si>
    <t>Ricky T. Lamer</t>
  </si>
  <si>
    <t>ALBERT CUDIA BAUTISTA</t>
  </si>
  <si>
    <t>Hilarion A. Eno, Jr.</t>
  </si>
  <si>
    <t>Hope S Macusi</t>
  </si>
  <si>
    <t>JUAN AUSTRIA</t>
  </si>
  <si>
    <t>MARILOU ACOSTA MARBELLA</t>
  </si>
  <si>
    <t>Cecille  Agpalo</t>
  </si>
  <si>
    <t>Edison Salawad Morales</t>
  </si>
  <si>
    <t>Avelino Guerrero Abello</t>
  </si>
  <si>
    <t>LENI ROCHA RIOFLORIDO</t>
  </si>
  <si>
    <t>ENGR. GREGORIO VALENCIA BALUYUT</t>
  </si>
  <si>
    <t>Veronica Vergara De Jesus</t>
  </si>
  <si>
    <t>Eutropio Simbajon Jayectin, M.M.</t>
  </si>
  <si>
    <t>Marilyn Cruz Santella</t>
  </si>
  <si>
    <t>NOEL RYAN H. UY</t>
  </si>
  <si>
    <t>Jennifer Ducusin Flores</t>
  </si>
  <si>
    <t>JONATHAN JOSE CERENO CALDERON</t>
  </si>
  <si>
    <t>Antonio Lucero Cañada</t>
  </si>
  <si>
    <t>Jose, Jr. Ban-ao Balajo</t>
  </si>
  <si>
    <t>Angeline A Logatiman</t>
  </si>
  <si>
    <t>Joyce Ann L. Lawas</t>
  </si>
  <si>
    <t>Noel A Tubac</t>
  </si>
  <si>
    <t>Dane C Dizon</t>
  </si>
  <si>
    <t>Reynaldo B. Bangayan</t>
  </si>
  <si>
    <t>Maria Morena Santos</t>
  </si>
  <si>
    <t>Anatoly Leones Flores</t>
  </si>
  <si>
    <t>GAD HECALE EMIDO</t>
  </si>
  <si>
    <t>Mark Jenar A. Marquez</t>
  </si>
  <si>
    <t>Nonito Cervancia</t>
  </si>
  <si>
    <t>Shirley L De Guzman</t>
  </si>
  <si>
    <t>Jocelyn Laayon Mauting</t>
  </si>
  <si>
    <t>Gretchen Q. Nim</t>
  </si>
  <si>
    <t>Ivy Joy L. Castro</t>
  </si>
  <si>
    <t>DOMINGO MIJORADA PACARDO</t>
  </si>
  <si>
    <t>CRESENTE J. PIÑOL</t>
  </si>
  <si>
    <t>Reymar Constantino Razon</t>
  </si>
  <si>
    <t>Eva D. Bañares</t>
  </si>
  <si>
    <t>Mark Anthony Cuison Lopez</t>
  </si>
  <si>
    <t>Maria Teresa Ocong Bucio</t>
  </si>
  <si>
    <t>Christopher q cargo</t>
  </si>
  <si>
    <t>MARIELLE GRACE ANDRIN ROMAREZ</t>
  </si>
  <si>
    <t>John Moses Bulahan Aposaga</t>
  </si>
  <si>
    <t>FRANCISCO ROMULUS C. VILLANUEVA</t>
  </si>
  <si>
    <t>Vicente Fermin</t>
  </si>
  <si>
    <t>Arturo Bordeos Timog</t>
  </si>
  <si>
    <t>Ernie Deduro Pedregosa</t>
  </si>
  <si>
    <t>Bacilisa Cuento de Castro</t>
  </si>
  <si>
    <t>Jellyby M Manlin</t>
  </si>
  <si>
    <t>Adelyn D. Iligan</t>
  </si>
  <si>
    <t>Helen Grace Cortez Pilotin</t>
  </si>
  <si>
    <t>ANGELA C JESALVA</t>
  </si>
  <si>
    <t>RUFINO MACAPAGAL</t>
  </si>
  <si>
    <t>Mervin Fuentes Baula</t>
  </si>
  <si>
    <t>joy ogarte rodriguez</t>
  </si>
  <si>
    <t>JANE P. CLARAVALL</t>
  </si>
  <si>
    <t>Rodel Gullon Chavez</t>
  </si>
  <si>
    <t>Jingle Repollo Saloma</t>
  </si>
  <si>
    <t>Judito Oposa Pegarro</t>
  </si>
  <si>
    <t>Rainer Mansion Padilla</t>
  </si>
  <si>
    <t>WENIFREDO B. ARGATE</t>
  </si>
  <si>
    <t>Lenard Tabil</t>
  </si>
  <si>
    <t>Josephine Mamites Cabardo</t>
  </si>
  <si>
    <t>Jose Garing Orzal</t>
  </si>
  <si>
    <t>JAIME G. JALON</t>
  </si>
  <si>
    <t>Virgilio Bullen Damasing</t>
  </si>
  <si>
    <t>EMILIANA D. RUSTIA</t>
  </si>
  <si>
    <t>JOVYLYN P LUCAS</t>
  </si>
  <si>
    <t>EDISON ALPARAN LORIAGA</t>
  </si>
  <si>
    <t>Marlene Pis-an Aragones</t>
  </si>
  <si>
    <t>Reniza L Abellera</t>
  </si>
  <si>
    <t>Steve Nichols S. Dionaldo</t>
  </si>
  <si>
    <t>Airen  Abejuro Delfin</t>
  </si>
  <si>
    <t>Marie Angelie Fabello Moreno</t>
  </si>
  <si>
    <t>Procurement Management Unit DBP - Head Office</t>
  </si>
  <si>
    <t>Daril Estaniel G. Dimaangay</t>
  </si>
  <si>
    <t>Joel B. Elloso</t>
  </si>
  <si>
    <t>NORMAN CORNELIO EBALLE</t>
  </si>
  <si>
    <t>CARLOS JAY ALIOCOD SANTILLAN</t>
  </si>
  <si>
    <t>Jeffrey B. Rafil</t>
  </si>
  <si>
    <t>KARLEEN R. DESTURA</t>
  </si>
  <si>
    <t>Mary Eunice  Parocha  Caimoy</t>
  </si>
  <si>
    <t>Joel D. Friginal</t>
  </si>
  <si>
    <t>Howard A Uy</t>
  </si>
  <si>
    <t>Tito Mabborang Andrada</t>
  </si>
  <si>
    <t>Quintin Albarico Lim, JR</t>
  </si>
  <si>
    <t>Doreen A. Lugo</t>
  </si>
  <si>
    <t>Jenifer Garcia Irao</t>
  </si>
  <si>
    <t>Janice Sainz Collado</t>
  </si>
  <si>
    <t>Edwin Delos Santos Maliksi</t>
  </si>
  <si>
    <t>Jim Benzon R. Talavera</t>
  </si>
  <si>
    <t>Ronald Merin</t>
  </si>
  <si>
    <t>Socorro Serrano Tayag</t>
  </si>
  <si>
    <t>Cumeganda F Merilles</t>
  </si>
  <si>
    <t>Jomarilyn Francisco Estolano</t>
  </si>
  <si>
    <t>Archie Val Lucero Madamba</t>
  </si>
  <si>
    <t>CYNTHIA C CENTENO</t>
  </si>
  <si>
    <t>ROSALINO S. VALENCIA</t>
  </si>
  <si>
    <t>Rommel Geraldizo Bendicion</t>
  </si>
  <si>
    <t>MOHAMMAD USOP SANGACALA</t>
  </si>
  <si>
    <t>Rowena Gascon Abad</t>
  </si>
  <si>
    <t>Jeffrey T. Calma</t>
  </si>
  <si>
    <t>Joy Mae R. Cordova</t>
  </si>
  <si>
    <t>Juneil L. Amarela</t>
  </si>
  <si>
    <t>Noemi Dizon Bolinas</t>
  </si>
  <si>
    <t>Gregorio Reyes Wapelle Jr</t>
  </si>
  <si>
    <t>Mario V. Abad</t>
  </si>
  <si>
    <t>Felicimo M. Manobo</t>
  </si>
  <si>
    <t>Ruel Capucao de Loyola</t>
  </si>
  <si>
    <t xml:space="preserve"> Lorie Michelle  Sambo  Austria</t>
  </si>
  <si>
    <t>Ramil L. Juliano</t>
  </si>
  <si>
    <t>Raul Casurra Micompal</t>
  </si>
  <si>
    <t>Lilibeth c. Locario</t>
  </si>
  <si>
    <t>Elmer G Canios</t>
  </si>
  <si>
    <t>Rodel Carmelo Mabination</t>
  </si>
  <si>
    <t>Luzviminda Mariano Calape</t>
  </si>
  <si>
    <t>SALVADOR , JR. GRANADOS REGIS</t>
  </si>
  <si>
    <t>Ariel Ardales Buiza</t>
  </si>
  <si>
    <t>Ma. Asherine Noscal Atienza</t>
  </si>
  <si>
    <t>Jomar Alfaro Diama</t>
  </si>
  <si>
    <t>EDGAR C. NAJERA</t>
  </si>
  <si>
    <t>Noelle Grace Bandonill Rillon</t>
  </si>
  <si>
    <t>Angelina R Villanoy</t>
  </si>
  <si>
    <t>Vincent Jake E. Castillo</t>
  </si>
  <si>
    <t>Ritchie Canlas Lapuz</t>
  </si>
  <si>
    <t>ARNEL EVIOTA  PACHECO</t>
  </si>
  <si>
    <t>Dhonna Faith Miguel Legaspi</t>
  </si>
  <si>
    <t>JERRY R CENTRO</t>
  </si>
  <si>
    <t>John Amatorio Calumpiano</t>
  </si>
  <si>
    <t>Rogel Canico Lopez</t>
  </si>
  <si>
    <t>Ma. Nenet A Realista</t>
  </si>
  <si>
    <t>Jenelyn Capilitan Soria</t>
  </si>
  <si>
    <t>Earl Dompales Nalzaro</t>
  </si>
  <si>
    <t>JUDITH B. JOMADIAO</t>
  </si>
  <si>
    <t>DANILO T VILLANUEVA</t>
  </si>
  <si>
    <t>Francisco R Cordero</t>
  </si>
  <si>
    <t>Apollo Gamboa Gariando</t>
  </si>
  <si>
    <t>REMELITO B ESTROLOGO</t>
  </si>
  <si>
    <t>Katrine Natanauan Martinez</t>
  </si>
  <si>
    <t>BAC HINUNDAYAN LGU-Hinundayan, So. Leyte</t>
  </si>
  <si>
    <t>Datumalao Eting Saikol</t>
  </si>
  <si>
    <t>VIRGIN GANIR MALICAD</t>
  </si>
  <si>
    <t>MARIBEL A. CEREZO</t>
  </si>
  <si>
    <t>Nenita Aguirre Badol</t>
  </si>
  <si>
    <t>COLEEN C LOMOLJO</t>
  </si>
  <si>
    <t>Cecilia O. Delos Reyes</t>
  </si>
  <si>
    <t>Wilson C. Rosario</t>
  </si>
  <si>
    <t>Nessa Esporma Acolentaba</t>
  </si>
  <si>
    <t>Ma.Kriselda Madriaga Magallano</t>
  </si>
  <si>
    <t>June   C.  Caberoy</t>
  </si>
  <si>
    <t>OWEN DISPO OLBA</t>
  </si>
  <si>
    <t>Armont C Pecina</t>
  </si>
  <si>
    <t>Ma. Elma Solangon Alapre</t>
  </si>
  <si>
    <t>Cesar B. Presas</t>
  </si>
  <si>
    <t>Miladilla Santiago</t>
  </si>
  <si>
    <t>Ruby M Subiate</t>
  </si>
  <si>
    <t>DUSTIN PADILLA FORMALEJO</t>
  </si>
  <si>
    <t>Rodney Joy Villagracia Iyoy</t>
  </si>
  <si>
    <t>Pilar Balbuena Quinico</t>
  </si>
  <si>
    <t>Paterno A Unajan</t>
  </si>
  <si>
    <t>JEAN ALLEN PECHAYCO ALEJANDRO</t>
  </si>
  <si>
    <t>Edmundo Alonzo Escape</t>
  </si>
  <si>
    <t>Consuelo L. Tubis</t>
  </si>
  <si>
    <t>Gil Banal Salen</t>
  </si>
  <si>
    <t>Michelle Escalada Monteclaro</t>
  </si>
  <si>
    <t>Marjorie Guiao Vitug</t>
  </si>
  <si>
    <t>Mary Ann J Chavez</t>
  </si>
  <si>
    <t>Mark Lawrence Hiceta Pleyto</t>
  </si>
  <si>
    <t>Dante Brutas Baclao</t>
  </si>
  <si>
    <t>Fermin F Sapuras</t>
  </si>
  <si>
    <t>GRETHEN G. TUAZON</t>
  </si>
  <si>
    <t>Marites Cueto Borbon</t>
  </si>
  <si>
    <t>REINALYN M. DE VERA</t>
  </si>
  <si>
    <t>Juliet Franesa S Aton</t>
  </si>
  <si>
    <t>Michelle M Marcos</t>
  </si>
  <si>
    <t>JOSE CABASAGAN CHAN</t>
  </si>
  <si>
    <t>EVELYN DELGADO CATIPAY</t>
  </si>
  <si>
    <t>Emmanuel Ablang</t>
  </si>
  <si>
    <t>Nina Lacson Magat</t>
  </si>
  <si>
    <t>Marybeth Bandiola Quidato</t>
  </si>
  <si>
    <t>Benjamin P. Companes</t>
  </si>
  <si>
    <t>Marivic Masbad Managbanag</t>
  </si>
  <si>
    <t>Gigi Niog Fatingana</t>
  </si>
  <si>
    <t>Hejara M Mangotara</t>
  </si>
  <si>
    <t>APRIL JOY L. VILLA</t>
  </si>
  <si>
    <t>Brendhel P. Awa-ao</t>
  </si>
  <si>
    <t>EMMA SALTIGA ROSALES</t>
  </si>
  <si>
    <t>ERNESTO KIM BALANI TORREFRANCA</t>
  </si>
  <si>
    <t>Jose Ramirez Hainto Jr.</t>
  </si>
  <si>
    <t>Vincent A Isip</t>
  </si>
  <si>
    <t>Maria Agnes Gonzales Tacadena</t>
  </si>
  <si>
    <t>Leticia O. Clemente</t>
  </si>
  <si>
    <t>Rizza Mae Etulle Perges</t>
  </si>
  <si>
    <t>Sonia Badilla</t>
  </si>
  <si>
    <t>Grace Bucod Florentino</t>
  </si>
  <si>
    <t>Dante P. Cabillo</t>
  </si>
  <si>
    <t>Danilo D. Pazcoguin</t>
  </si>
  <si>
    <t>Freddie B. Caday</t>
  </si>
  <si>
    <t>ATTY. AIKO ELENI NARIDA PALER</t>
  </si>
  <si>
    <t>PRICILLA C CABUSAS</t>
  </si>
  <si>
    <t>Andrea L Catapat</t>
  </si>
  <si>
    <t>EDMUND PAPEL SOMORAY</t>
  </si>
  <si>
    <t>Josephine L Mananquil</t>
  </si>
  <si>
    <t>Karla A. Gencianos</t>
  </si>
  <si>
    <t>Laila M Robosa</t>
  </si>
  <si>
    <t>Rodrhon Michael Espartero Melgar</t>
  </si>
  <si>
    <t>Mario Louie Famulag Nievares</t>
  </si>
  <si>
    <t>ADORACION A VALDERRAMA</t>
  </si>
  <si>
    <t>Raymund Espino Garrido</t>
  </si>
  <si>
    <t>Judeth M. Madelo</t>
  </si>
  <si>
    <t>Ruth Glifonia Belmes</t>
  </si>
  <si>
    <t>MARIA ROSARIO D. BALBOA</t>
  </si>
  <si>
    <t>VENUS ESCOBAR TORRES</t>
  </si>
  <si>
    <t>Florencio Formaran Parcarey</t>
  </si>
  <si>
    <t>RENATO TANGUNAN SAMBRANO</t>
  </si>
  <si>
    <t>Minrad Quinto Tigno</t>
  </si>
  <si>
    <t>Jay Legaspi Cabiles</t>
  </si>
  <si>
    <t>Daisy A. Fabileña</t>
  </si>
  <si>
    <t>CHERRY SALARZON RAMOS</t>
  </si>
  <si>
    <t>Mary Ann Jacaba Hambre</t>
  </si>
  <si>
    <t>Marsal Cajatol Chiong</t>
  </si>
  <si>
    <t>Glenda Villanueva Pilarca</t>
  </si>
  <si>
    <t>Emilia Sales Quilet</t>
  </si>
  <si>
    <t>Casey Ronquillo Arcega</t>
  </si>
  <si>
    <t>ALIHAR A. MAMA</t>
  </si>
  <si>
    <t>Ma. Socorro Lacambra Domingo</t>
  </si>
  <si>
    <t>Wee Villaver</t>
  </si>
  <si>
    <t>MOISES L PECAYO</t>
  </si>
  <si>
    <t>Ana Suzette Limguis Moreño</t>
  </si>
  <si>
    <t>Michael Aquino Abar</t>
  </si>
  <si>
    <t>Montano J. Alob</t>
  </si>
  <si>
    <t>JULIE P. TABCAO</t>
  </si>
  <si>
    <t>Jomar Alagos Rubino</t>
  </si>
  <si>
    <t>Rhodeliza De Villa Penarroyo</t>
  </si>
  <si>
    <t>Eisen Rommel Razon</t>
  </si>
  <si>
    <t>Mary Cor R. Calizo</t>
  </si>
  <si>
    <t>Noel C. Mangkikis</t>
  </si>
  <si>
    <t>Willbert D Hosme</t>
  </si>
  <si>
    <t>MEDEL ABENES DELOS REYES</t>
  </si>
  <si>
    <t>ANSARY BARODI SANGCOPAN</t>
  </si>
  <si>
    <t>Dominga Repaldo Duran</t>
  </si>
  <si>
    <t>Myrna Eugenio</t>
  </si>
  <si>
    <t>Ma. Edna Cequena Flores</t>
  </si>
  <si>
    <t>Elnora Toledo Lariza</t>
  </si>
  <si>
    <t>ANGELINA M. ESTARDO</t>
  </si>
  <si>
    <t>JAIME ALBANO DOMINGUEZ</t>
  </si>
  <si>
    <t>Nelia Manayan Mabuti</t>
  </si>
  <si>
    <t>BAC SECRETARIAT, LGU-SANTIAGO CITY</t>
  </si>
  <si>
    <t>Ma. Gemma Flores Emborgo</t>
  </si>
  <si>
    <t>Dennis G Varon</t>
  </si>
  <si>
    <t>Aileen G. Cuevas</t>
  </si>
  <si>
    <t>Adrian Magcamit Aguilar</t>
  </si>
  <si>
    <t>VINOSA LAT ROBLES</t>
  </si>
  <si>
    <t>Romer Pacpaco Regucera</t>
  </si>
  <si>
    <t>SEBASTIAN AMODIA SALCEDO</t>
  </si>
  <si>
    <t>Zaldy C Domalina</t>
  </si>
  <si>
    <t>Edwin Agdon Raymundo</t>
  </si>
  <si>
    <t>Precious D Yco</t>
  </si>
  <si>
    <t>Pedrito Mojica Serra</t>
  </si>
  <si>
    <t>Marlo L Gonzales</t>
  </si>
  <si>
    <t>Nancylita Constantino Cubol</t>
  </si>
  <si>
    <t>Rizalino Jr. Araza Panes</t>
  </si>
  <si>
    <t>FELIMON CAUILAN PAMITTAN</t>
  </si>
  <si>
    <t>Rustico B Badilla</t>
  </si>
  <si>
    <t>Richard Dean B. Dagpin</t>
  </si>
  <si>
    <t>PADILLA A. MACAWADIB</t>
  </si>
  <si>
    <t>Lucille Manapsal Teves</t>
  </si>
  <si>
    <t>Miguelito A. Ogania</t>
  </si>
  <si>
    <t>WILBERTO O. CASTILLO</t>
  </si>
  <si>
    <t>Cecille Angeline 09171477690 Lipardo</t>
  </si>
  <si>
    <t>Jessica R. Narit/ Julia Marie L. Abarca/ Erwin S. Aban</t>
  </si>
  <si>
    <t>Dindo Hicap Caliwanagan</t>
  </si>
  <si>
    <t>Juanito Gacanes Domingo</t>
  </si>
  <si>
    <t>OLIVIA BERINGUEL ASEJO</t>
  </si>
  <si>
    <t>Felyn Fille Paco</t>
  </si>
  <si>
    <t>ELMER CEZAR ASPE ZALETA</t>
  </si>
  <si>
    <t>MARLON  DUMANOG</t>
  </si>
  <si>
    <t>zailene Gonzalgo Langahin</t>
  </si>
  <si>
    <t>NICEFORO S. LIBERATO</t>
  </si>
  <si>
    <t>Shajid Peter Sales Salih</t>
  </si>
  <si>
    <t>Ma. Maida Casas Campilan</t>
  </si>
  <si>
    <t>Pat Andrew B. Barrientos</t>
  </si>
  <si>
    <t>Levie Agcaoili Talub</t>
  </si>
  <si>
    <t>Fernando De Guzman Cruz</t>
  </si>
  <si>
    <t>Romel Malsi Tarun</t>
  </si>
  <si>
    <t>SOTERO JR. FAVILA LOMIGO</t>
  </si>
  <si>
    <t>Mila Damasco Boron</t>
  </si>
  <si>
    <t>Wilbert Eusebio Jose</t>
  </si>
  <si>
    <t>Cecilia R. Amorin</t>
  </si>
  <si>
    <t>APRIL ANNE JAVIER VALENZUELA</t>
  </si>
  <si>
    <t>Sara B Orzal</t>
  </si>
  <si>
    <t>Ruben P. Salac Jr.</t>
  </si>
  <si>
    <t>CHARONE MICHAL GUERRERO DE CASTRO</t>
  </si>
  <si>
    <t>Lito Amoguis Estoria</t>
  </si>
  <si>
    <t>Edward Miguel Juanito</t>
  </si>
  <si>
    <t>GLICERIA DAYANDAYAN RODRIGUEZ</t>
  </si>
  <si>
    <t>Ma. Corazon Borja Orence</t>
  </si>
  <si>
    <t>Kristoffer Callangan Mangussad</t>
  </si>
  <si>
    <t>ESTERLINA N. PEROS</t>
  </si>
  <si>
    <t>Armando Masan Notarte</t>
  </si>
  <si>
    <t>Estrella Bacaling Abapo</t>
  </si>
  <si>
    <t>JOSE VICENTE RAYMUNDO MONTALLANA OPINION</t>
  </si>
  <si>
    <t>Aaron M. Neri, Sr.</t>
  </si>
  <si>
    <t>Helen Apostol Calatrava</t>
  </si>
  <si>
    <t>Luna  Luz Bajamunde Racho</t>
  </si>
  <si>
    <t>Danica Armela Lleno Tubig</t>
  </si>
  <si>
    <t>ANGELINA RALLOS SOLIANO</t>
  </si>
  <si>
    <t>Marilou Sampaton Bernas</t>
  </si>
  <si>
    <t>Romeo Jr. S Yacan</t>
  </si>
  <si>
    <t>CEZARIO JOEL C ESPEJO</t>
  </si>
  <si>
    <t>Irene Sy Banzuelo</t>
  </si>
  <si>
    <t>Alden Marcos Tansingco</t>
  </si>
  <si>
    <t>Niña Grace Tolentino Aquino</t>
  </si>
  <si>
    <t>Ernesto Garcia Escoto</t>
  </si>
  <si>
    <t>Julius  Urgel  Retulla</t>
  </si>
  <si>
    <t>Mariza O Nallana</t>
  </si>
  <si>
    <t>LIZA SANGUENZA VILLAMOR</t>
  </si>
  <si>
    <t>Nestor Manaog Trinidad</t>
  </si>
  <si>
    <t>Joel B Sumugat</t>
  </si>
  <si>
    <t>Roberto P. Ventura</t>
  </si>
  <si>
    <t>Annabella I Curatcho</t>
  </si>
  <si>
    <t>Winston Martinez Makilan</t>
  </si>
  <si>
    <t>Romeo Magallanes Taclindo</t>
  </si>
  <si>
    <t>Ian Lemuel Bandoy Felix</t>
  </si>
  <si>
    <t>Ma. Leilani S Cortez</t>
  </si>
  <si>
    <t>Jerl Oyangoren Procurement Officer</t>
  </si>
  <si>
    <t>ROSAVILLA  COLANGCO  BALAZO</t>
  </si>
  <si>
    <t>REYNALDO Q. CHING</t>
  </si>
  <si>
    <t>Celina L. Padchanan</t>
  </si>
  <si>
    <t>Caysie Bagsit</t>
  </si>
  <si>
    <t>CIRILO BAUI AZURIN</t>
  </si>
  <si>
    <t>Jonathan Marquez Buraga</t>
  </si>
  <si>
    <t>LUZ  CUDAl DURANO</t>
  </si>
  <si>
    <t>Salome  D. Salasac</t>
  </si>
  <si>
    <t>MA. ANTONIA GATIL RAFALES</t>
  </si>
  <si>
    <t>JOCELYN JAVIER</t>
  </si>
  <si>
    <t>Vicente B. Calag</t>
  </si>
  <si>
    <t>DARIO RIOJA GACU</t>
  </si>
  <si>
    <t>Eric Albert M Arroyo</t>
  </si>
  <si>
    <t>MA. VICTORIA  CALAUNAN  TOPINIO</t>
  </si>
  <si>
    <t>ROY BATUBATAN ACABO</t>
  </si>
  <si>
    <t>Francis Ian L Tan</t>
  </si>
  <si>
    <t>SHERLITA ABAYAN DEL MUNDO</t>
  </si>
  <si>
    <t>Benhur V. Malana</t>
  </si>
  <si>
    <t>Melissa N Galvez</t>
  </si>
  <si>
    <t>Francisco Romy Chua Milado</t>
  </si>
  <si>
    <t>Elisa Lucero Lite</t>
  </si>
  <si>
    <t>GEFFREY BACHAR CATULIN</t>
  </si>
  <si>
    <t>Verlene Layaoen Melendez</t>
  </si>
  <si>
    <t>Raidah Mercado Muñasque</t>
  </si>
  <si>
    <t>Rony  Hopeman  De Leon</t>
  </si>
  <si>
    <t>Emerlynda Castro Villaruel</t>
  </si>
  <si>
    <t>MARILYN MOJICA LINANTUD</t>
  </si>
  <si>
    <t>Janelyn Ortegn Salvan</t>
  </si>
  <si>
    <t>ROWENA MIRARAN MONTALBO</t>
  </si>
  <si>
    <t>Daven O. Herodias</t>
  </si>
  <si>
    <t>Merlita B Montalbo</t>
  </si>
  <si>
    <t>DIANA SHIN VENTURA</t>
  </si>
  <si>
    <t>JOY MAAN BAEZA MIRA</t>
  </si>
  <si>
    <t>PRINCESS NIKKA  N. MAGNO</t>
  </si>
  <si>
    <t>Ian Luis C Aguila</t>
  </si>
  <si>
    <t>RICHARD GUINATARAN BALLESTEROS SR.</t>
  </si>
  <si>
    <t>Hardeley B. Aday</t>
  </si>
  <si>
    <t>MARITES GONZALES BALDOMAN</t>
  </si>
  <si>
    <t>Joan V. Cortero</t>
  </si>
  <si>
    <t>Sheryl  Puyong  Dalgo</t>
  </si>
  <si>
    <t>Melanio B. De vera</t>
  </si>
  <si>
    <t>PILAR RABINO VITTO</t>
  </si>
  <si>
    <t>Mae Dangatan</t>
  </si>
  <si>
    <t>NOE MORALES HERMOSILLA</t>
  </si>
  <si>
    <t>Jessica Arias Tisado</t>
  </si>
  <si>
    <t>Jacqueline F Terrado</t>
  </si>
  <si>
    <t>Rosemarie P. Palma</t>
  </si>
  <si>
    <t>Niñojomar S Cablay</t>
  </si>
  <si>
    <t>Kristine Joy Apostol Castillo</t>
  </si>
  <si>
    <t>Danny Familaran Baladjay</t>
  </si>
  <si>
    <t>LUIS ILABAN MAVUGAY</t>
  </si>
  <si>
    <t>Marinel Guillermo  Salmorin</t>
  </si>
  <si>
    <t>Sandae B. Lico</t>
  </si>
  <si>
    <t>Teresita  Jaudian  Lacorte</t>
  </si>
  <si>
    <t>Noli P Apostol</t>
  </si>
  <si>
    <t>Jerry A Bernadas</t>
  </si>
  <si>
    <t>Alma Vina Sarne Tela</t>
  </si>
  <si>
    <t>Nellie B Chian</t>
  </si>
  <si>
    <t>Vina Liza Ruth Cabrera</t>
  </si>
  <si>
    <t>ALADIN MABBORANG PASCUAL</t>
  </si>
  <si>
    <t>Lemuel Bagalayos Mañibo</t>
  </si>
  <si>
    <t>Mary Grace Sta. Elena</t>
  </si>
  <si>
    <t>JOSEPHINE BUENAFE MONOTILLA</t>
  </si>
  <si>
    <t>WILFREDO M. WAQUIZ</t>
  </si>
  <si>
    <t>Lalen Clet Salagubang</t>
  </si>
  <si>
    <t>Modesto Tolentino Garcia I</t>
  </si>
  <si>
    <t>Roy Santos Estrobo</t>
  </si>
  <si>
    <t>Clarence C Morales</t>
  </si>
  <si>
    <t>Ariel Dela Cruz de Borja</t>
  </si>
  <si>
    <t>Julieta Ilama Sabdani</t>
  </si>
  <si>
    <t>FREDERICK MELENDREZ PENEYRA</t>
  </si>
  <si>
    <t>Mitchel E Zambrano</t>
  </si>
  <si>
    <t>Darlin Paropaldin Macahilig</t>
  </si>
  <si>
    <t>Joseph R. Sermonia</t>
  </si>
  <si>
    <t>Dominic Babaran Calimag</t>
  </si>
  <si>
    <t>Victoria Carcamo Santos</t>
  </si>
  <si>
    <t>Allen Mar P Antalan</t>
  </si>
  <si>
    <t>Andrew Ian Bulda Dormitorio</t>
  </si>
  <si>
    <t>Arturo Magallon Palencia</t>
  </si>
  <si>
    <t>Jonas G. Guevarra</t>
  </si>
  <si>
    <t>RUEL B. CUBERO</t>
  </si>
  <si>
    <t>Angelyn Sotoya</t>
  </si>
  <si>
    <t>JULIETA MANONG SABLAON</t>
  </si>
  <si>
    <t>Ester C Catalan</t>
  </si>
  <si>
    <t>JESUS O OLAY  SALAGUBANG</t>
  </si>
  <si>
    <t>Marina Ingoy Balicoco</t>
  </si>
  <si>
    <t>ROSELLER DIZON SASIS</t>
  </si>
  <si>
    <t>NESTOR MALASIG UY</t>
  </si>
  <si>
    <t>DELMA C FERNANDEZ</t>
  </si>
  <si>
    <t>Rosevie Tallera Bartolome</t>
  </si>
  <si>
    <t>Rosalie A Gaspay</t>
  </si>
  <si>
    <t>Noriel G. Sanson</t>
  </si>
  <si>
    <t>Rodolfo Bitaga Gaboten</t>
  </si>
  <si>
    <t>Johannah Descargar Bantas</t>
  </si>
  <si>
    <t>Belna M Acobo</t>
  </si>
  <si>
    <t>Carmelita Seto Bangayan</t>
  </si>
  <si>
    <t>ROMELYN GERALLA YEE</t>
  </si>
  <si>
    <t>ADELFA RICO BELLO</t>
  </si>
  <si>
    <t>JOSELITO T ARAO</t>
  </si>
  <si>
    <t>GODWIN XAVIER F. NUÑEZ</t>
  </si>
  <si>
    <t>AMOR  MICULOB  ROMA</t>
  </si>
  <si>
    <t>ERNIE C VILLALUZ</t>
  </si>
  <si>
    <t>Vlademer Villalba Brit</t>
  </si>
  <si>
    <t>Edzrael L. Mohammad</t>
  </si>
  <si>
    <t>Judea Micah Dialco Carbajosa</t>
  </si>
  <si>
    <t>Ma. Revienna P Sosa</t>
  </si>
  <si>
    <t>Alejandrino Delantar Llave</t>
  </si>
  <si>
    <t>MIRIAM CAHAPAY OLAYVAR</t>
  </si>
  <si>
    <t>Reynilo D Garcia</t>
  </si>
  <si>
    <t>Cherryl Roque Diaz</t>
  </si>
  <si>
    <t>Steven Yap</t>
  </si>
  <si>
    <t>Ma. Isabel M Mirano</t>
  </si>
  <si>
    <t>Venancio Amogues Casaba</t>
  </si>
  <si>
    <t>RAQUEL MANABAT MARTIN</t>
  </si>
  <si>
    <t>Guy Perez</t>
  </si>
  <si>
    <t>Virginia D. Balderas</t>
  </si>
  <si>
    <t>Angelita Lado Santos</t>
  </si>
  <si>
    <t>Almond Garalde Leaño</t>
  </si>
  <si>
    <t>Narciso Bagiwa Bagawi</t>
  </si>
  <si>
    <t>Rogie Majadas Montiveros</t>
  </si>
  <si>
    <t>Editha D. Cruz</t>
  </si>
  <si>
    <t>Jerve Cullat</t>
  </si>
  <si>
    <t>Marylee Bello Felisilda</t>
  </si>
  <si>
    <t>Nelson A. Solano</t>
  </si>
  <si>
    <t>Resette Hernandez Razon</t>
  </si>
  <si>
    <t>Ma Ruby S Carmona</t>
  </si>
  <si>
    <t>Analiza Camsa Lomedeg</t>
  </si>
  <si>
    <t>EDITHA M. RAMOLETE</t>
  </si>
  <si>
    <t>JESUS S. PUNZALAN</t>
  </si>
  <si>
    <t>MARILOU SAGABAEN BASAT</t>
  </si>
  <si>
    <t>Greta Catamio Sumagui</t>
  </si>
  <si>
    <t>Bernard Bordon Delos Reyes</t>
  </si>
  <si>
    <t>Fernando Boricano Mercene</t>
  </si>
  <si>
    <t>JAMES EMMANUEL ARAULA CARLOTA</t>
  </si>
  <si>
    <t>Herbert Bodoso</t>
  </si>
  <si>
    <t>Edison M. Rugayan</t>
  </si>
  <si>
    <t>Agravante B Rodrigo</t>
  </si>
  <si>
    <t>CLARENCE C. MORALES</t>
  </si>
  <si>
    <t>Jacob Gupana Racho</t>
  </si>
  <si>
    <t>Jeffrey Camilo Maslag</t>
  </si>
  <si>
    <t>Lea Ann M. Gamban</t>
  </si>
  <si>
    <t>Evangeline S. Zapata</t>
  </si>
  <si>
    <t>Glenda Labitigan Goti-ay</t>
  </si>
  <si>
    <t>Paul Michael M Cuadra</t>
  </si>
  <si>
    <t>Richard Pornorlles Say-a</t>
  </si>
  <si>
    <t>Rico Atega Ygbuhay</t>
  </si>
  <si>
    <t>Eustila Furog Evangelista</t>
  </si>
  <si>
    <t>JENNY C. SIGNEY</t>
  </si>
  <si>
    <t>Aida Colima Duran</t>
  </si>
  <si>
    <t>Raniel R Cabasisi</t>
  </si>
  <si>
    <t>Noel I Yatco</t>
  </si>
  <si>
    <t>Melvin Apas Longakit</t>
  </si>
  <si>
    <t>RUDY S DACULAN</t>
  </si>
  <si>
    <t>ROSALINA  LLAPITAN TOBIAS</t>
  </si>
  <si>
    <t>Ruben Fabrigas</t>
  </si>
  <si>
    <t>Cecile M. Dicen</t>
  </si>
  <si>
    <t>Fernando  S.  Talana</t>
  </si>
  <si>
    <t>Jenifer C. Alcain</t>
  </si>
  <si>
    <t>Editha Ignacio De Lemos</t>
  </si>
  <si>
    <t>NOEL ZAPARITA OJASCASTRO</t>
  </si>
  <si>
    <t>Albert Donato Martin</t>
  </si>
  <si>
    <t>Allen Castillo Sacamos</t>
  </si>
  <si>
    <t>MELODY ARTAGAME TANGONAN</t>
  </si>
  <si>
    <t>ALEXIS PETER BELLO DE LA CRUZ</t>
  </si>
  <si>
    <t>Maria Fe Able Ballescas</t>
  </si>
  <si>
    <t>Lucila D De Roxas</t>
  </si>
  <si>
    <t>JAMES BENEDICT E. BAGSIC</t>
  </si>
  <si>
    <t>Cario Abag Baskial</t>
  </si>
  <si>
    <t>Engr. Rodolfo Santos Nidoy, Jr.</t>
  </si>
  <si>
    <t>Otilia Obaob Misagal</t>
  </si>
  <si>
    <t>CLARO SENTINA SERVENTO</t>
  </si>
  <si>
    <t>Engr. DOMINADOR DOMINGO DIZON</t>
  </si>
  <si>
    <t>Christopher Dave Baldedara Musa</t>
  </si>
  <si>
    <t>Rowena Belloso Divina</t>
  </si>
  <si>
    <t>EDWARD A. ROA</t>
  </si>
  <si>
    <t>Roseanne Venessa J Ratunil</t>
  </si>
  <si>
    <t>Joel P Rosario</t>
  </si>
  <si>
    <t>Melanie Alabat Jalover</t>
  </si>
  <si>
    <t>Mercy Vargas</t>
  </si>
  <si>
    <t>Rosemary Pillar Cuaresma</t>
  </si>
  <si>
    <t>LYNE ACOSTA PAILANAN</t>
  </si>
  <si>
    <t>JONJON COLORADO MANALESE</t>
  </si>
  <si>
    <t>JESUS S. BOJA</t>
  </si>
  <si>
    <t>Cherry Rafael Perez</t>
  </si>
  <si>
    <t>Lilibeth G. Santiago</t>
  </si>
  <si>
    <t>Evelyn Polo Manaog</t>
  </si>
  <si>
    <t>NENITA GEMINA VASQUEZ</t>
  </si>
  <si>
    <t>SALVACION LORA ABIAS DELEÑA</t>
  </si>
  <si>
    <t>Mary Anne Garcia Tanazana</t>
  </si>
  <si>
    <t>NENITA D. EMANO</t>
  </si>
  <si>
    <t>Feliciano Jr. Maddawin Galupo</t>
  </si>
  <si>
    <t>Edgardo S. Flor</t>
  </si>
  <si>
    <t>BAC Secretariat     Tel: 634-19-06</t>
  </si>
  <si>
    <t>Celia M Perez</t>
  </si>
  <si>
    <t>BRIGETTE JOY PUNZALAN ILAGAN</t>
  </si>
  <si>
    <t>EMMANUEL SABORNIDO NIERRAS</t>
  </si>
  <si>
    <t>Daisy D Bautista</t>
  </si>
  <si>
    <t>Mark Joseph Pitpit Dilan</t>
  </si>
  <si>
    <t>Aileene T Dagos</t>
  </si>
  <si>
    <t>Angelica Manzano Pellien</t>
  </si>
  <si>
    <t>Faustina T Guzman</t>
  </si>
  <si>
    <t>Jennita V Garcia</t>
  </si>
  <si>
    <t>Rolinda Macario De Julian</t>
  </si>
  <si>
    <t>Irene  Romero Arevalo</t>
  </si>
  <si>
    <t>Carl Melvin Tillano Galin</t>
  </si>
  <si>
    <t>Mary Catherine Ibanez</t>
  </si>
  <si>
    <t>SAMUEL S. FERNANDEZ</t>
  </si>
  <si>
    <t>Edna C. Padayao</t>
  </si>
  <si>
    <t>KARYL MAIDY B. LORENZO</t>
  </si>
  <si>
    <t>Mayla Joi Villote Manigo</t>
  </si>
  <si>
    <t>ISAGANI REYES CONCEPCION</t>
  </si>
  <si>
    <t>Chito de Leon Riego de Dios</t>
  </si>
  <si>
    <t>Robert A Santillano</t>
  </si>
  <si>
    <t>Arlene N Nufuar</t>
  </si>
  <si>
    <t>JOSEPH LARIOSA FORTO</t>
  </si>
  <si>
    <t>Glenn A. Lamag</t>
  </si>
  <si>
    <t>Ofelia Respicio Mercado</t>
  </si>
  <si>
    <t>Leah Kierulf De Paz</t>
  </si>
  <si>
    <t>EnP Arlet E. Legaspi</t>
  </si>
  <si>
    <t>Jocelyn O Dangle</t>
  </si>
  <si>
    <t>Maria Lourdes Atanacio Angeles</t>
  </si>
  <si>
    <t>Leonor Estrella  Balcos</t>
  </si>
  <si>
    <t>Leah Bueno Apao</t>
  </si>
  <si>
    <t>RANDELYN MAGLASANG BISQUERA</t>
  </si>
  <si>
    <t>MALVIN R. ROCERO</t>
  </si>
  <si>
    <t>Ramil Mendez Taculod</t>
  </si>
  <si>
    <t>Geozele Orden Baltazar</t>
  </si>
  <si>
    <t>PHILIP NERI B GUIRIBA</t>
  </si>
  <si>
    <t>Edgardo Suasula Cabalida</t>
  </si>
  <si>
    <t>Ian Luis Cabauatan Aguila</t>
  </si>
  <si>
    <t>Editha V. Aguinaldo, MPA, MBA</t>
  </si>
  <si>
    <t>Gianina Punzalan Agir</t>
  </si>
  <si>
    <t>RIZALDY L. MENDOZA</t>
  </si>
  <si>
    <t>Melca P. Jayona</t>
  </si>
  <si>
    <t>FRANCO  RUELO PRIOL</t>
  </si>
  <si>
    <t>Jhunrey C Ordioso</t>
  </si>
  <si>
    <t>Ma. Marites A Cabral</t>
  </si>
  <si>
    <t>Laurence Bryan R. Malana</t>
  </si>
  <si>
    <t>Tolentino Almedilla  Bellezas</t>
  </si>
  <si>
    <t>Margie Butuan Galang</t>
  </si>
  <si>
    <t>ADELAIDA M. DELA ROSA</t>
  </si>
  <si>
    <t>BAC SECRETARIAT STAFF</t>
  </si>
  <si>
    <t>Claren Adolfo Maristela</t>
  </si>
  <si>
    <t>Margret H. Reyna</t>
  </si>
  <si>
    <t>JAIME CASIMIRO SALVADOR</t>
  </si>
  <si>
    <t>Jeroen G Resus</t>
  </si>
  <si>
    <t>GRACE OCZON SALIBIO</t>
  </si>
  <si>
    <t>Maximo D. Asuncio</t>
  </si>
  <si>
    <t>Krizza Mapalad Payonga</t>
  </si>
  <si>
    <t>Carlito M Montemayor</t>
  </si>
  <si>
    <t>Rizza Villena Dalisay</t>
  </si>
  <si>
    <t>Ma. Cristina L Garcia</t>
  </si>
  <si>
    <t>ROSELLER CABATINGAN AMOR</t>
  </si>
  <si>
    <t>Lyra RJ Cubos Carolino</t>
  </si>
  <si>
    <t>JENNY BEE HERBILLA RIVERA</t>
  </si>
  <si>
    <t>Emerito L. Rojas</t>
  </si>
  <si>
    <t>Blesilda R. Domagas</t>
  </si>
  <si>
    <t>Cecille A. Briones</t>
  </si>
  <si>
    <t>Mario Jennifer Rosco Orion</t>
  </si>
  <si>
    <t>Erlinda Awing Gregorio</t>
  </si>
  <si>
    <t>REGIE PATAGOC</t>
  </si>
  <si>
    <t>Shaira Glee</t>
  </si>
  <si>
    <t>RICARDO, JR. ABABOL IMBING</t>
  </si>
  <si>
    <t>Florante O. Enriquez</t>
  </si>
  <si>
    <t xml:space="preserve"> ROSEMARIE PEDRAJETA</t>
  </si>
  <si>
    <t>DANIEL, JR. ALBERTO BAUTISTA</t>
  </si>
  <si>
    <t>Veronica  Ponce  Paradiang</t>
  </si>
  <si>
    <t>RANDY G TAGAAN</t>
  </si>
  <si>
    <t>VINCENT ANTHONY A NAGUIT</t>
  </si>
  <si>
    <t>Ferdinand Aquino Ibanez</t>
  </si>
  <si>
    <t>ELEANOR YANTO CABANGON</t>
  </si>
  <si>
    <t>RAY PAROJINOG VIRTUDEZ</t>
  </si>
  <si>
    <t>THEODORE MAZO ROJAS</t>
  </si>
  <si>
    <t>Enrico Papag Limjuico</t>
  </si>
  <si>
    <t>Liberty Cepeda Omadio</t>
  </si>
  <si>
    <t>Gaudencio Quiaoit Orpiano, Jr</t>
  </si>
  <si>
    <t>Erick Jeffen Orense Estrella</t>
  </si>
  <si>
    <t>Rommel Pacaoncis Masongsong</t>
  </si>
  <si>
    <t>Ma. Charissa V. Legaspi</t>
  </si>
  <si>
    <t>MARIVIC BINAG CORTEZ</t>
  </si>
  <si>
    <t>Mhelda Grace Leyma</t>
  </si>
  <si>
    <t>ROSLYN D RUIZ</t>
  </si>
  <si>
    <t>GILDA LADIAO BAGA</t>
  </si>
  <si>
    <t>Jonas Santos Escobar</t>
  </si>
  <si>
    <t>REY GONZALES BAUTISTA</t>
  </si>
  <si>
    <t>EDSON III CASTRO TANDOC</t>
  </si>
  <si>
    <t>PHILIP L. SIU</t>
  </si>
  <si>
    <t>Ely Garcillano Ramos</t>
  </si>
  <si>
    <t>Josephine Garrido Abarintos</t>
  </si>
  <si>
    <t>Rodrigo Domingo Diego, Jr.</t>
  </si>
  <si>
    <t>Zenaida Layno Castaneda</t>
  </si>
  <si>
    <t>Raquel Ramos Nala</t>
  </si>
  <si>
    <t>FREDDIE C. BENDULO</t>
  </si>
  <si>
    <t>Jessie P. dela Rosa</t>
  </si>
  <si>
    <t>Jacklyn Delos santos Manalo</t>
  </si>
  <si>
    <t>Maita Marasigan Lazares</t>
  </si>
  <si>
    <t>Eddie Crisologo</t>
  </si>
  <si>
    <t>JOAN PACALIOGA ABEJUELA</t>
  </si>
  <si>
    <t>Ameelyn Rivera Coca</t>
  </si>
  <si>
    <t>Lucil I Montermoso</t>
  </si>
  <si>
    <t>Marcela Hernandez</t>
  </si>
  <si>
    <t>Angelica Santayana Asiao</t>
  </si>
  <si>
    <t>Phyl Andre Cruz</t>
  </si>
  <si>
    <t>PERICLES CUIZON SOLLANO</t>
  </si>
  <si>
    <t>Carlo Fernando G. Logarta</t>
  </si>
  <si>
    <t>NORBERTO , JR LUCASAN TALIDONG</t>
  </si>
  <si>
    <t>Mobarak Patungcal Pandi</t>
  </si>
  <si>
    <t>CLEANTH REYES GOROSPE</t>
  </si>
  <si>
    <t>Elton Gurro Panulaya</t>
  </si>
  <si>
    <t>BAC ILOCOS SUR</t>
  </si>
  <si>
    <t>Danny Clamor Flores</t>
  </si>
  <si>
    <t>JOB ALSAGA FERRER</t>
  </si>
  <si>
    <t>Melody Geronimo Monses</t>
  </si>
  <si>
    <t>GINA LACSARON SERVANO</t>
  </si>
  <si>
    <t>Alicia A. Cruz</t>
  </si>
  <si>
    <t>Portinto Ochigue Dally</t>
  </si>
  <si>
    <t>ALEX M. ALANO</t>
  </si>
  <si>
    <t>Julian Orcino Castro</t>
  </si>
  <si>
    <t>MERLITA  T.  SUMAWANG</t>
  </si>
  <si>
    <t>JESUS JONJIE ADELANTAR VENTURANZA</t>
  </si>
  <si>
    <t>Gian Carlo Rodriguez</t>
  </si>
  <si>
    <t>Procurement Unit</t>
  </si>
  <si>
    <t>Aprilla M Camilot</t>
  </si>
  <si>
    <t>Mary Kristine Lawenko Besayte</t>
  </si>
  <si>
    <t>Jay-R Palines Carpio</t>
  </si>
  <si>
    <t>Mary Ann G Garcia</t>
  </si>
  <si>
    <t>Lunrey B. Bagor</t>
  </si>
  <si>
    <t>Anna Lou Elaba Roales</t>
  </si>
  <si>
    <t>Lea E Barcebal</t>
  </si>
  <si>
    <t>RANDY R. LIGSANAN</t>
  </si>
  <si>
    <t>Marilou Candelaria Mendoza</t>
  </si>
  <si>
    <t>Candelaria Tamera Motin</t>
  </si>
  <si>
    <t>Nolita Laberinto Acero</t>
  </si>
  <si>
    <t>Raquel Gonzales De Jesus</t>
  </si>
  <si>
    <t>Debielyn B. Santos</t>
  </si>
  <si>
    <t>Brenda Genarao Garcellano</t>
  </si>
  <si>
    <t>Lovely Shirley Meguines Algodon</t>
  </si>
  <si>
    <t>Amalia C. Aquino</t>
  </si>
  <si>
    <t>elsie C Agustin</t>
  </si>
  <si>
    <t>Irna Nadayag Mallari</t>
  </si>
  <si>
    <t>Melanie R Interino</t>
  </si>
  <si>
    <t>JONATHAN MARCOS CELESTINO</t>
  </si>
  <si>
    <t>Marilyn  Labrador Garcia</t>
  </si>
  <si>
    <t>Brendalyn Ungajan Fernando</t>
  </si>
  <si>
    <t>Julia Untiveros Lizada</t>
  </si>
  <si>
    <t>Geoffrey P. Villahermosa</t>
  </si>
  <si>
    <t>Nerissa Raymundo Quintinio</t>
  </si>
  <si>
    <t>Victoria Josol Piodos</t>
  </si>
  <si>
    <t>BUENAVENTURA ALEJANDRO GALINDO</t>
  </si>
  <si>
    <t>Kevin Barcarse Sambrano</t>
  </si>
  <si>
    <t>Rafael C Salles</t>
  </si>
  <si>
    <t>GENE ACHAS BACULPO</t>
  </si>
  <si>
    <t>JASMIN R LACUNA</t>
  </si>
  <si>
    <t>Jan Mae Dayanghirang Llavore</t>
  </si>
  <si>
    <t>Ernesto E Tañada</t>
  </si>
  <si>
    <t>Ignacio, Jr. G Gelacio</t>
  </si>
  <si>
    <t>Asuncion Asuncion Padre</t>
  </si>
  <si>
    <t>MA. CRISTINA  B. AYUCAN</t>
  </si>
  <si>
    <t>Ermintrude Diaz Gonzales</t>
  </si>
  <si>
    <t>Brielgo Ochavillo Pagaran</t>
  </si>
  <si>
    <t>Anselmo Baldoza Mano</t>
  </si>
  <si>
    <t>NONIELYN CABRERA RONQUILLO</t>
  </si>
  <si>
    <t>Roxanne O. Valenzuela</t>
  </si>
  <si>
    <t>Romeo Dumadaug Palmares</t>
  </si>
  <si>
    <t>Emerson John Exclamado Fernandez</t>
  </si>
  <si>
    <t>VICENTE  DELOS REYES PENA</t>
  </si>
  <si>
    <t>Erwin Mendoza Punzalan</t>
  </si>
  <si>
    <t>Eny Bargo Ferriol</t>
  </si>
  <si>
    <t>Aldwin A. Alojipan</t>
  </si>
  <si>
    <t>Jennifer Loquillano Mayang-Aligado</t>
  </si>
  <si>
    <t>Dudeo C. Galeon</t>
  </si>
  <si>
    <t>Ma. Cecilia  A.  Cedro</t>
  </si>
  <si>
    <t>DOWIE JOY RODIS</t>
  </si>
  <si>
    <t>MARCOS M. KUSAIN, JD, MPA</t>
  </si>
  <si>
    <t>Michael Angelo San Pedro BAC Secretariat</t>
  </si>
  <si>
    <t>Lea Ordinario Abando</t>
  </si>
  <si>
    <t>ARLENE  ASICO  SAN PABLO</t>
  </si>
  <si>
    <t>Mamerto Alcanzarin Portillo</t>
  </si>
  <si>
    <t>Christian Garganza Ortega</t>
  </si>
  <si>
    <t>AISA ROSARIO  BIANG</t>
  </si>
  <si>
    <t>JOVITA M. DATUIN, Ph.D.</t>
  </si>
  <si>
    <t>Jake Malnegro Maglahus</t>
  </si>
  <si>
    <t>Lolita Alvarez</t>
  </si>
  <si>
    <t>RADNEY CARBONEL MIRANDA</t>
  </si>
  <si>
    <t>Ma. Providencia P Dizon</t>
  </si>
  <si>
    <t>CANDIDO ALFRED II AZARES BANCORO</t>
  </si>
  <si>
    <t>Jesus, Jr. Urieta</t>
  </si>
  <si>
    <t>JOHN CHRISTIAN MANAGAD SIOCO</t>
  </si>
  <si>
    <t>Danielle Mark Medrano Adeva</t>
  </si>
  <si>
    <t>Gerardo Jr. Valdez Bocalan</t>
  </si>
  <si>
    <t>Loraine Rangcudo  Delleva</t>
  </si>
  <si>
    <t>GABRIEL  COLLADO  LEGASPI</t>
  </si>
  <si>
    <t>Amancio S. Dongcoy</t>
  </si>
  <si>
    <t>Leonardo Loñosa Guerrero</t>
  </si>
  <si>
    <t>GEMMA H TAMAGOS</t>
  </si>
  <si>
    <t>Mary Grace L. Baarde</t>
  </si>
  <si>
    <t>Ma. Luisa C Tenedero</t>
  </si>
  <si>
    <t>Daphne Tolentino Campano</t>
  </si>
  <si>
    <t>JOHN RAUL NATABIO CABACUNGAN</t>
  </si>
  <si>
    <t>RENATO P. MAGAN</t>
  </si>
  <si>
    <t>Ludivino Jone Egagamao</t>
  </si>
  <si>
    <t>Christopher D. Badayos</t>
  </si>
  <si>
    <t>Ronnie Gecolea Sierva</t>
  </si>
  <si>
    <t>Michael Calura Salazar</t>
  </si>
  <si>
    <t>EDGARDO A. VALDEZ</t>
  </si>
  <si>
    <t>Maria Jessica Dulce Gumban</t>
  </si>
  <si>
    <t>Baimona Batugan Macabago</t>
  </si>
  <si>
    <t>AGOSTO BELINO BAOBAOEN</t>
  </si>
  <si>
    <t>MELODINA  LORA</t>
  </si>
  <si>
    <t>Rene P Quezada</t>
  </si>
  <si>
    <t>Carlito Basilio Vergara</t>
  </si>
  <si>
    <t>Genesis Weiyn  Blando  Lee</t>
  </si>
  <si>
    <t>Nerissa M. Tan</t>
  </si>
  <si>
    <t>Marifel Arroyo Astillo</t>
  </si>
  <si>
    <t>Jacqueline U Bucayu</t>
  </si>
  <si>
    <t>Josephine C Tamayo</t>
  </si>
  <si>
    <t>NARITA T. PADUA</t>
  </si>
  <si>
    <t>WILSON HELOM INDING</t>
  </si>
  <si>
    <t>Carolina Castillo Moraleda</t>
  </si>
  <si>
    <t>Bonifacio R. Fabre</t>
  </si>
  <si>
    <t>RUBY FERNANDEZ PERASOL</t>
  </si>
  <si>
    <t>Erlie A. Mallari</t>
  </si>
  <si>
    <t>Ricardo Peteros Omapas</t>
  </si>
  <si>
    <t>JUANITO C. VALONES</t>
  </si>
  <si>
    <t>Nemesio H Davalos</t>
  </si>
  <si>
    <t>HAZEL JANE M. PANGAN</t>
  </si>
  <si>
    <t>WENDA PEDEROSO</t>
  </si>
  <si>
    <t>Jackson L. Pasamic</t>
  </si>
  <si>
    <t>Russell C Narte</t>
  </si>
  <si>
    <t>Philippides B. Zamar</t>
  </si>
  <si>
    <t>Aiza Montecer Engasa</t>
  </si>
  <si>
    <t>Jessie Bagtang Addag</t>
  </si>
  <si>
    <t>MINERVA DE LEON PUZON</t>
  </si>
  <si>
    <t>Tessie C. Tanglao</t>
  </si>
  <si>
    <t>JOVITA MALICDEM DATUIN, Ph.D.</t>
  </si>
  <si>
    <t>Lani Pabalan Magno</t>
  </si>
  <si>
    <t>Eden F Borja</t>
  </si>
  <si>
    <t>Anthony A. Ferrolino</t>
  </si>
  <si>
    <t>Erika Bernice C Ocampo</t>
  </si>
  <si>
    <t>Sarlyn H Robledo</t>
  </si>
  <si>
    <t>Gloria L. Duga</t>
  </si>
  <si>
    <t>Jamaica B. Balubal</t>
  </si>
  <si>
    <t>FETZCY JOY  ORONG MOMO</t>
  </si>
  <si>
    <t>FELICIANO L. AGSAOAY JR.</t>
  </si>
  <si>
    <t>Ma. Corazon V. Tadena</t>
  </si>
  <si>
    <t>FRITZIE FLORENOSOS JUSTOL</t>
  </si>
  <si>
    <t>Hayvi Suarez Mercado</t>
  </si>
  <si>
    <t>GIE-ANN HUBAHIB</t>
  </si>
  <si>
    <t>DAYANARA TOMAS ABALUS</t>
  </si>
  <si>
    <t>Francorival Castanares Lorizo</t>
  </si>
  <si>
    <t>Jay Loienie Crispo Duplito</t>
  </si>
  <si>
    <t>Cliftone Kiteng Bangse-il</t>
  </si>
  <si>
    <t>PAQUITO MAGTIBAY BARTE</t>
  </si>
  <si>
    <t>HERIBERTO AROCENA TOMAS</t>
  </si>
  <si>
    <t>Atilano Alinarte Abilay</t>
  </si>
  <si>
    <t>RANDY DUENAS DE TORRES</t>
  </si>
  <si>
    <t>Leopoldo  C Sanchez Jr.</t>
  </si>
  <si>
    <t>Meynard Jerel Tremor Luczon</t>
  </si>
  <si>
    <t>Vicenta M. Natividad</t>
  </si>
  <si>
    <t>EMMANUEL B. SARMIENTO</t>
  </si>
  <si>
    <t>larry fabian dasalla</t>
  </si>
  <si>
    <t>Celia Burgos Cabillan</t>
  </si>
  <si>
    <t>IMELDA RIVAS TABILLA</t>
  </si>
  <si>
    <t>FLERINE JAY RELATIVO SANDOT</t>
  </si>
  <si>
    <t>GERALD AL P MENDOZA</t>
  </si>
  <si>
    <t>Marilyn Lontoc</t>
  </si>
  <si>
    <t>Jordan Ravanzo Sipsip</t>
  </si>
  <si>
    <t>ALLAN JAY BICOS DE CASTRO</t>
  </si>
  <si>
    <t>PHILLIP C. ADVIENTO</t>
  </si>
  <si>
    <t>Arlene M Kaalim</t>
  </si>
  <si>
    <t>Catherine C Padin</t>
  </si>
  <si>
    <t>Sunny Ray F Amit</t>
  </si>
  <si>
    <t>Araceli V Domagas</t>
  </si>
  <si>
    <t>LILIA BALDON SEDEÑO</t>
  </si>
  <si>
    <t>ALLAN B. MATIN-AW</t>
  </si>
  <si>
    <t>Ralph Angelo Montederamos Aparis</t>
  </si>
  <si>
    <t>Ma. Rosa  D.  Del Rio</t>
  </si>
  <si>
    <t>Michelle Joy M. GOM-OS</t>
  </si>
  <si>
    <t>Joy M Rivera</t>
  </si>
  <si>
    <t>Marilyn T Inong</t>
  </si>
  <si>
    <t>Gerald Miron Morada</t>
  </si>
  <si>
    <t>Glenda C. Concepcion</t>
  </si>
  <si>
    <t>BERNIE C. DESPABILADERO</t>
  </si>
  <si>
    <t>FLORELYN BUOT LACHARON</t>
  </si>
  <si>
    <t>Renato S. Galang</t>
  </si>
  <si>
    <t>Evelyn G Orcajada</t>
  </si>
  <si>
    <t>MANUEL TEGIO CATUDAY</t>
  </si>
  <si>
    <t>Marlon F. Rebabcos</t>
  </si>
  <si>
    <t>Honey Sahara Bautista Aleman</t>
  </si>
  <si>
    <t>Kapelhoff Arcangel Quidang</t>
  </si>
  <si>
    <t>JENELYN DALANGIN</t>
  </si>
  <si>
    <t>Hermosa G. Ramirez</t>
  </si>
  <si>
    <t>ARBEN P. BUSTILLO</t>
  </si>
  <si>
    <t>Janet D Flores</t>
  </si>
  <si>
    <t>Cynthia Cortes Gabayoyo</t>
  </si>
  <si>
    <t>Gene Eslava De Guzman</t>
  </si>
  <si>
    <t>Sheila mae  Alpon  Carpentero</t>
  </si>
  <si>
    <t>Cesarina Sico Macuha</t>
  </si>
  <si>
    <t>DIOMEDES V BONALOS</t>
  </si>
  <si>
    <t>Mark Ronald Santos Wong</t>
  </si>
  <si>
    <t>Kenneth Coilan Luma-ang</t>
  </si>
  <si>
    <t>MARIE JOY A. ALVIAR</t>
  </si>
  <si>
    <t>Noel P Baldueza</t>
  </si>
  <si>
    <t>Maribel Lopez Bongar</t>
  </si>
  <si>
    <t>Jocelyn Talanay Pantaleon</t>
  </si>
  <si>
    <t>Edwin O Estorninos</t>
  </si>
  <si>
    <t>Renel E. Forio</t>
  </si>
  <si>
    <t>Rolando Veronilla Pe</t>
  </si>
  <si>
    <t>Desiree L. Zoleta</t>
  </si>
  <si>
    <t>Arnaldo G Liansing</t>
  </si>
  <si>
    <t>DENNIS MARTILLANO JAMBALOS</t>
  </si>
  <si>
    <t>Edwina C. Carriedo</t>
  </si>
  <si>
    <t>Jovina Corrales Orias</t>
  </si>
  <si>
    <t>Nenita Crisostomo Flores</t>
  </si>
  <si>
    <t>Rosanna P. Lucero</t>
  </si>
  <si>
    <t>Kim M. Moral</t>
  </si>
  <si>
    <t>Annalee Alarcon Aguilar</t>
  </si>
  <si>
    <t>DENNIS BAYUWAN BAGYON</t>
  </si>
  <si>
    <t>Lauren Christine B. La'O</t>
  </si>
  <si>
    <t>Norina L. David</t>
  </si>
  <si>
    <t>AIZA PAUL CALIAO</t>
  </si>
  <si>
    <t>ORLANDO FESICO PAN</t>
  </si>
  <si>
    <t>Maria Juliana A. Toribio</t>
  </si>
  <si>
    <t>Lolita M. Jumalon</t>
  </si>
  <si>
    <t>Margarita Alvaro Chico</t>
  </si>
  <si>
    <t>Gianelle Jaymalin Fojas</t>
  </si>
  <si>
    <t>Conrado Bandoquillo Ragay</t>
  </si>
  <si>
    <t>Claire M Bacala</t>
  </si>
  <si>
    <t>MELDY PATAN-AO VENIGAS</t>
  </si>
  <si>
    <t>Robert Garcia Sapong</t>
  </si>
  <si>
    <t>MA. ANALYN  M. GUNO</t>
  </si>
  <si>
    <t>Franklin Aquino Salcedo</t>
  </si>
  <si>
    <t>Reynante Bayungan Salazar Sr.</t>
  </si>
  <si>
    <t>JOCELYN MENOR TOMON</t>
  </si>
  <si>
    <t>VIOLETA V JAVAR</t>
  </si>
  <si>
    <t>Helen  Senosa  Esperancilla</t>
  </si>
  <si>
    <t>ESTRELLA  SEMOLAVA SERVANO</t>
  </si>
  <si>
    <t>Carmencita R Lisondra</t>
  </si>
  <si>
    <t>Reno John S. Tuale Sindingan Tuale</t>
  </si>
  <si>
    <t>JOFEL DE LA PENA ENTERINA</t>
  </si>
  <si>
    <t>Jennifer Hao Angco</t>
  </si>
  <si>
    <t>Angeline Victoria Acosta Madrona</t>
  </si>
  <si>
    <t>Catalina Jaylo</t>
  </si>
  <si>
    <t>Myles M Sayre</t>
  </si>
  <si>
    <t>Eric Torres Tejada</t>
  </si>
  <si>
    <t>Alexander Jr. Vito Agawin</t>
  </si>
  <si>
    <t>ALVIN CABASAG LAMOSTE</t>
  </si>
  <si>
    <t>Renato Seso Cagomoc</t>
  </si>
  <si>
    <t>JESSICA ACOLENTAVA OTIC</t>
  </si>
  <si>
    <t>Rubygene E. Jauculan</t>
  </si>
  <si>
    <t>Gregg P. Agravante</t>
  </si>
  <si>
    <t>OLIVER ORBIZO OLIVO</t>
  </si>
  <si>
    <t>ELVEN AWATIN ORABA</t>
  </si>
  <si>
    <t>Jaynalyn E Amparo</t>
  </si>
  <si>
    <t>Ma. Lynbert D. Dulpina Dominos Dulpina</t>
  </si>
  <si>
    <t>Maria Fe Dela Cruz Perez</t>
  </si>
  <si>
    <t xml:space="preserve">Editha  Malabosa </t>
  </si>
  <si>
    <t>Karen Naz Dellosa</t>
  </si>
  <si>
    <t>Restituto Busbos Bautista</t>
  </si>
  <si>
    <t>Erlwin S. Andres</t>
  </si>
  <si>
    <t>Abner  R.  Formento</t>
  </si>
  <si>
    <t>RAMIL A. CONDEZ</t>
  </si>
  <si>
    <t>DARYL JON  ACENAS  OBEDENCIO</t>
  </si>
  <si>
    <t>Edgardo Suidad Abante</t>
  </si>
  <si>
    <t>Dennis H. Dino</t>
  </si>
  <si>
    <t>Irish Hiangan Vios</t>
  </si>
  <si>
    <t>MAY LYDIA REY LAGADIA</t>
  </si>
  <si>
    <t>ZANDRA ANCIANO QUIRANTE</t>
  </si>
  <si>
    <t>Lea Echavez Sabaduquia</t>
  </si>
  <si>
    <t>ronvie pangilinan masangya</t>
  </si>
  <si>
    <t>Jaypee Villanueva Patricio</t>
  </si>
  <si>
    <t>Develyn C. Condez</t>
  </si>
  <si>
    <t>Vicky O. Abestros</t>
  </si>
  <si>
    <t>Ma. Rachel Diana S Mesias</t>
  </si>
  <si>
    <t>JANICE MAY ARCONES SERASPE</t>
  </si>
  <si>
    <t>Remcy Bacani Ferrer</t>
  </si>
  <si>
    <t>Criselda D. Bacatano</t>
  </si>
  <si>
    <t>Christian  Salcedo  Serrano</t>
  </si>
  <si>
    <t>Ma. Chona Roa Fabia</t>
  </si>
  <si>
    <t>Ursino C. Pascua</t>
  </si>
  <si>
    <t>Sharon Rose P. Portillo</t>
  </si>
  <si>
    <t>Melinda D Deyto</t>
  </si>
  <si>
    <t>CAROLINA C. UMIPIG</t>
  </si>
  <si>
    <t>Arlu Awacay Jucal</t>
  </si>
  <si>
    <t>WILMA PILAR ROSAL</t>
  </si>
  <si>
    <t>IRIS MARIE J. HOLASCA</t>
  </si>
  <si>
    <t>WINEFREDA SISON GARCIA</t>
  </si>
  <si>
    <t>Analiza C. Chua</t>
  </si>
  <si>
    <t>Cecilia E. Taguiam</t>
  </si>
  <si>
    <t>ronald ryan v silva</t>
  </si>
  <si>
    <t>Maria Lucia Sanchez</t>
  </si>
  <si>
    <t>Shella Marie Ilig De Vera</t>
  </si>
  <si>
    <t>Clarivel Ordonia Seguritan</t>
  </si>
  <si>
    <t>TERESITA  L.  PELARADA</t>
  </si>
  <si>
    <t>Ernalyn D. Diaz</t>
  </si>
  <si>
    <t>Vicky D. Galvan</t>
  </si>
  <si>
    <t>ROBY JAMES FABRE DAZA</t>
  </si>
  <si>
    <t>APOSTOL LARGADO DANILO</t>
  </si>
  <si>
    <t>Helen Grace P. Hilario</t>
  </si>
  <si>
    <t>Cristina Amparo M Linan</t>
  </si>
  <si>
    <t>MA. CONCEPCION U. RUBIO</t>
  </si>
  <si>
    <t>RENATO TRANATE YUZON</t>
  </si>
  <si>
    <t>FEDERICO J. GOTICO III</t>
  </si>
  <si>
    <t>Freddie Remolado Sumangit</t>
  </si>
  <si>
    <t xml:space="preserve">JULIET  P. LUCAS </t>
  </si>
  <si>
    <t>Ritchie De La Cuesta Barrun</t>
  </si>
  <si>
    <t>JOSE NIRO R NILLASCA</t>
  </si>
  <si>
    <t>LEONORA S ALINSUB</t>
  </si>
  <si>
    <t>Lady Dawn Gallego Salise</t>
  </si>
  <si>
    <t>RUEL B. AGGABAO</t>
  </si>
  <si>
    <t>Lily Opano Tuiza</t>
  </si>
  <si>
    <t>Melarnie Ann Palencia Gequilan</t>
  </si>
  <si>
    <t>SHAIRA LOPEZ JOHNSON</t>
  </si>
  <si>
    <t>Irene Enriquez</t>
  </si>
  <si>
    <t>ENGR. DOMINGO, JR. S. DOYONGAN</t>
  </si>
  <si>
    <t>Luchie Sarangaya-Agustin</t>
  </si>
  <si>
    <t>Michelle A Supena</t>
  </si>
  <si>
    <t>Julius C. Cerbo</t>
  </si>
  <si>
    <t>Triumpo Jr Neypes Cantillo</t>
  </si>
  <si>
    <t>Ana Marie  A.  Medina</t>
  </si>
  <si>
    <t>LYNN GOZAR MENDOZA</t>
  </si>
  <si>
    <t>EMILY D UGAY</t>
  </si>
  <si>
    <t>Jose Ryan F Galon</t>
  </si>
  <si>
    <t>Maureen Suayan Orlina</t>
  </si>
  <si>
    <t>Rox E. Tarranza</t>
  </si>
  <si>
    <t>Gilbert Cuaresma</t>
  </si>
  <si>
    <t>ALEXANDER LOZANO CUBILLAS</t>
  </si>
  <si>
    <t>JULLIAN KYLE GONZAGA SAN MATEO</t>
  </si>
  <si>
    <t>Merlinda Saligumba Baliong</t>
  </si>
  <si>
    <t>FRANCIS E MAURICIO</t>
  </si>
  <si>
    <t>Audrey Rose J Delos Reyes</t>
  </si>
  <si>
    <t>Leilani Lucero</t>
  </si>
  <si>
    <t>JASMINE I. GAOGAO</t>
  </si>
  <si>
    <t>Graceli De Leon</t>
  </si>
  <si>
    <t>Lea Balawing De Castro</t>
  </si>
  <si>
    <t>Christopher V. Morales</t>
  </si>
  <si>
    <t>Romeo L Estember</t>
  </si>
  <si>
    <t>MARIE CAROLYN B VERANO</t>
  </si>
  <si>
    <t>Celestino D. Boldo</t>
  </si>
  <si>
    <t>MA ROWENA REGALARIO TURNO</t>
  </si>
  <si>
    <t>Jasmine O Miro</t>
  </si>
  <si>
    <t>Emmalyn magadia Bagsit</t>
  </si>
  <si>
    <t>Maricel S. Yu</t>
  </si>
  <si>
    <t>Anna Michelle Icasiano Africa</t>
  </si>
  <si>
    <t>Gerard Randy S. Bobis</t>
  </si>
  <si>
    <t>MARCELINO JR. L. PONIPON</t>
  </si>
  <si>
    <t>FREDERICK TADIFA JUDILLA</t>
  </si>
  <si>
    <t>Jose Pagdato Gallan</t>
  </si>
  <si>
    <t>Niño Azague Aballa</t>
  </si>
  <si>
    <t>DINDO CABUNILAS PARANGAN</t>
  </si>
  <si>
    <t>JAMES REYES DOLOROSO</t>
  </si>
  <si>
    <t>Saturnino Napa Magmanlac, Jr.</t>
  </si>
  <si>
    <t>Liza Panganiban Defeo</t>
  </si>
  <si>
    <t>Ronnie R. Calanno</t>
  </si>
  <si>
    <t>Villa Antonia F Lustre</t>
  </si>
  <si>
    <t>NIMFA S DUMAGUIT</t>
  </si>
  <si>
    <t>Guilberto M Villacorte</t>
  </si>
  <si>
    <t>ANTONIO  C.  VALE</t>
  </si>
  <si>
    <t>Nina A. Federis</t>
  </si>
  <si>
    <t>ALMA PERANDOS BISNAR</t>
  </si>
  <si>
    <t>Angelie Galang Babao</t>
  </si>
  <si>
    <t>Jesusa Bagnol Jalad</t>
  </si>
  <si>
    <t>Blesilda V Martinez</t>
  </si>
  <si>
    <t>Gerlie Perlas Paloma</t>
  </si>
  <si>
    <t>Hamza M. Boloto</t>
  </si>
  <si>
    <t>Krystal Eleni Bulatete Tabernero</t>
  </si>
  <si>
    <t>Lorna S. Pucut</t>
  </si>
  <si>
    <t>Nydia R. Magallon</t>
  </si>
  <si>
    <t>JARRATUL  SABARA  RADJID</t>
  </si>
  <si>
    <t>RENATO SUPAN PACHECO</t>
  </si>
  <si>
    <t>Mercedes F. Daroy</t>
  </si>
  <si>
    <t>JOHN REY JERAO PEREZ</t>
  </si>
  <si>
    <t>Levie Pacuri Diaz</t>
  </si>
  <si>
    <t>Ralph Ceasar Balane Vallar</t>
  </si>
  <si>
    <t>Miguela Banuelos Apao</t>
  </si>
  <si>
    <t>Rogene Natad Celebrado</t>
  </si>
  <si>
    <t>Erosbon Layugan Sabedo</t>
  </si>
  <si>
    <t>Elenita Ladao Rara</t>
  </si>
  <si>
    <t>Judith Domingo Unson</t>
  </si>
  <si>
    <t>NOEL ARLEGUI GOHETIA</t>
  </si>
  <si>
    <t>Cecil D. Gajolen</t>
  </si>
  <si>
    <t>Mark Daruca Petran</t>
  </si>
  <si>
    <t>Roderick Alvarez</t>
  </si>
  <si>
    <t>Francisco M. Almarez</t>
  </si>
  <si>
    <t>Jingkie L. Abelgas</t>
  </si>
  <si>
    <t>AURORA CUDAL CUARESMA</t>
  </si>
  <si>
    <t>MARIAN JOY ABENDANIO CUNANAN</t>
  </si>
  <si>
    <t>LAARNI PEREZ ALINSOD</t>
  </si>
  <si>
    <t>Francisco A. Genora</t>
  </si>
  <si>
    <t>Constancia  C.  Broñozo</t>
  </si>
  <si>
    <t>Rosario D Antenor</t>
  </si>
  <si>
    <t>JHON ALBERT I. NUÑEZ</t>
  </si>
  <si>
    <t>Harold Repollo Jabel</t>
  </si>
  <si>
    <t>Emperatriz Tablizo Ayuso</t>
  </si>
  <si>
    <t>Gilmore Ray Lopez Saniel</t>
  </si>
  <si>
    <t>Ma. Czarina Aguil Subillaga</t>
  </si>
  <si>
    <t>Florencia-Jennifer Ortiz Cobico</t>
  </si>
  <si>
    <t>Constante C. Sabalburo</t>
  </si>
  <si>
    <t>Veronica Samsam Macadangdang</t>
  </si>
  <si>
    <t>Su Sherrie Farren</t>
  </si>
  <si>
    <t>MERIAM R. BENDOY</t>
  </si>
  <si>
    <t>Bebina B Pacamo</t>
  </si>
  <si>
    <t>Alvin B De Roxas</t>
  </si>
  <si>
    <t>MARGARITA LAGUADOR PLACINO</t>
  </si>
  <si>
    <t>Emily Ong Benitez</t>
  </si>
  <si>
    <t>Shiedhe Kembuan Bangen</t>
  </si>
  <si>
    <t>FELIPE C BETINOL</t>
  </si>
  <si>
    <t>Ervin C. San Jose</t>
  </si>
  <si>
    <t>Joseph Villanueva Emboltorio</t>
  </si>
  <si>
    <t>Catherine Reyes Gano</t>
  </si>
  <si>
    <t>JOANA MANATLAO LIMOS, M.D</t>
  </si>
  <si>
    <t>Mia Marinelle Ramos Labuguen</t>
  </si>
  <si>
    <t>Michael Subagan Dulay</t>
  </si>
  <si>
    <t>Amador Baldos Diaz</t>
  </si>
  <si>
    <t>Lourfe S. Rondina</t>
  </si>
  <si>
    <t>Luzviminda Sace Seño</t>
  </si>
  <si>
    <t>artillo pacquiao requizo</t>
  </si>
  <si>
    <t>Ray Retarino Ruiz</t>
  </si>
  <si>
    <t>CLEO D. SABADO-ANDRADA</t>
  </si>
  <si>
    <t>Jhuna C. Casillano</t>
  </si>
  <si>
    <t>Helen Pulmano Mabini</t>
  </si>
  <si>
    <t>FREDERICK ORTEZA DELA CRUZ</t>
  </si>
  <si>
    <t>ABSOLON BRUNO PASICOLAN</t>
  </si>
  <si>
    <t>LILANIE T.   PECONCILLO</t>
  </si>
  <si>
    <t>Ruben Comission Anarna</t>
  </si>
  <si>
    <t>Allan C Medico</t>
  </si>
  <si>
    <t>EDELYN JIMENEZ IGLESIA</t>
  </si>
  <si>
    <t>Raquel Comaling</t>
  </si>
  <si>
    <t>Eugenio Aguilar Mayormita</t>
  </si>
  <si>
    <t>Jannette Rojas Raganit</t>
  </si>
  <si>
    <t>Claire Degamo Selloria</t>
  </si>
  <si>
    <t>WILMA AURELIO IBEA</t>
  </si>
  <si>
    <t>Dencio A Pagbilao</t>
  </si>
  <si>
    <t>Lurline Merencillo Tongco</t>
  </si>
  <si>
    <t>Mary Joy Cortes Quano</t>
  </si>
  <si>
    <t>SHINNY FRISH  CAINTOY SALAS</t>
  </si>
  <si>
    <t>Jorge A. Albinda</t>
  </si>
  <si>
    <t>Darryl Christian Rigos</t>
  </si>
  <si>
    <t>Nelson Miranda Bautista</t>
  </si>
  <si>
    <t>SINSP ALAN GARANCHON GATUNGAY</t>
  </si>
  <si>
    <t>Mila Creencia</t>
  </si>
  <si>
    <t>Jerry  E. Rotas</t>
  </si>
  <si>
    <t>Grace T. Palahang</t>
  </si>
  <si>
    <t>Alicia Bagalay Belen</t>
  </si>
  <si>
    <t>REGNER MEL BALAGOT</t>
  </si>
  <si>
    <t>Manuel Perez Delica</t>
  </si>
  <si>
    <t>Noel D. Ejercito</t>
  </si>
  <si>
    <t>PAUL BANTUGAN CUARTERO</t>
  </si>
  <si>
    <t>Ferdinand Oliva Concepcion</t>
  </si>
  <si>
    <t>Leila  Clarete   De Guzman</t>
  </si>
  <si>
    <t>Ruel D Hermosa</t>
  </si>
  <si>
    <t>LORNA B. OBIAS</t>
  </si>
  <si>
    <t>ARCELI ALLONES TIMOGTIMOG</t>
  </si>
  <si>
    <t>Jolieme A. Tapangan</t>
  </si>
  <si>
    <t>Shirley O. Chatto</t>
  </si>
  <si>
    <t>Miguel Abobo Gorgonio</t>
  </si>
  <si>
    <t>ANGELITA B ROBIN</t>
  </si>
  <si>
    <t>guillermo supilanas ardillo</t>
  </si>
  <si>
    <t>FAIZAH  B.  MUSTAPHA</t>
  </si>
  <si>
    <t>Edgar M Mendoza</t>
  </si>
  <si>
    <t>Marissa D Guadez</t>
  </si>
  <si>
    <t>Feoridin Jason Lazaga Elumbaring</t>
  </si>
  <si>
    <t>CHAVELLE FERRAREN ALONSO</t>
  </si>
  <si>
    <t>Teofilo, Jr. Rostata Gervacio</t>
  </si>
  <si>
    <t>Danilo Rutaquio Almacen</t>
  </si>
  <si>
    <t>Felibert  Ramos Salvador</t>
  </si>
  <si>
    <t>Julieta Yaco Balita</t>
  </si>
  <si>
    <t>Ebenezer Presentacion Presentacion</t>
  </si>
  <si>
    <t>Jocelyn  M. Corpuz</t>
  </si>
  <si>
    <t>Riza Ortez Muanag</t>
  </si>
  <si>
    <t>Rommel Maximo Deyta</t>
  </si>
  <si>
    <t>Felizardo M. Bangan</t>
  </si>
  <si>
    <t>Arvin S De Guzman</t>
  </si>
  <si>
    <t>CHARITY L HILARIA</t>
  </si>
  <si>
    <t>Corazon S Aquino</t>
  </si>
  <si>
    <t>Prospero Solidum Tolosa</t>
  </si>
  <si>
    <t>Ian Herodito Sy Gutierrez</t>
  </si>
  <si>
    <t>Venus V Timpug</t>
  </si>
  <si>
    <t>Magna Ramos Macalma</t>
  </si>
  <si>
    <t>PRECIL PASCUAL EVANGELISTA</t>
  </si>
  <si>
    <t>Kay Pagutayao Dadulo</t>
  </si>
  <si>
    <t>Ruby S Cortez</t>
  </si>
  <si>
    <t>DONNA M PADUA</t>
  </si>
  <si>
    <t>Mary Jane B Chiyawan</t>
  </si>
  <si>
    <t>Joel Embalsado Alvarado</t>
  </si>
  <si>
    <t>Gil C. Suratos</t>
  </si>
  <si>
    <t>Zeus  Alcala  Balbaguio</t>
  </si>
  <si>
    <t>Rebecca Dampil Subillaga</t>
  </si>
  <si>
    <t>REYNALDO PARTIDO SANTOS</t>
  </si>
  <si>
    <t>Phibely Pudico Nisperos</t>
  </si>
  <si>
    <t>Leo D Barbarona</t>
  </si>
  <si>
    <t>Colleen  Ferrer  Dilla</t>
  </si>
  <si>
    <t>Lourdes Macabulos</t>
  </si>
  <si>
    <t>Laurence Sevilla Antivo</t>
  </si>
  <si>
    <t>LORNA A BUGAIS</t>
  </si>
  <si>
    <t>ARLAN CALUMA MAANDIG</t>
  </si>
  <si>
    <t>Arlette Estonina Taquiso</t>
  </si>
  <si>
    <t>Peter J. Galimba</t>
  </si>
  <si>
    <t>Leonardo S. Maningas, Jr.</t>
  </si>
  <si>
    <t>Christian Noel D. Castillo</t>
  </si>
  <si>
    <t>Aldren Galido Madelozo</t>
  </si>
  <si>
    <t>JESSELL S. PACTURAN</t>
  </si>
  <si>
    <t>Demetria O Cabilin</t>
  </si>
  <si>
    <t>Josephine  B. Sabando</t>
  </si>
  <si>
    <t>FE O NEGRITE</t>
  </si>
  <si>
    <t>Arnel M Ruz</t>
  </si>
  <si>
    <t>Lovelyn Bautista Puyong</t>
  </si>
  <si>
    <t>LEONA PEREZ PUSTA</t>
  </si>
  <si>
    <t>Jerson R.  Zulueta</t>
  </si>
  <si>
    <t>kethlyn franco villar</t>
  </si>
  <si>
    <t>HENY JANE VISEN JABONETE</t>
  </si>
  <si>
    <t>MICHELLE ZAMAR LIM</t>
  </si>
  <si>
    <t>Duannie Chico Gonzales</t>
  </si>
  <si>
    <t>Maria Cecilia Bangalan De Leon</t>
  </si>
  <si>
    <t>Elizabeth B. Del Fin</t>
  </si>
  <si>
    <t>BELEN BANDADA PARAÑAQUE</t>
  </si>
  <si>
    <t>Mariano Mahinay Gabule</t>
  </si>
  <si>
    <t>IVAN JOE PINLAC LAGERA</t>
  </si>
  <si>
    <t>Lorena Narvasa Igcalinos</t>
  </si>
  <si>
    <t>Henjie Albete Ramirez</t>
  </si>
  <si>
    <t>OVICINIA PABLO BERNARDO</t>
  </si>
  <si>
    <t>Emma Llamoso</t>
  </si>
  <si>
    <t>MARK P BAUA</t>
  </si>
  <si>
    <t>ROSEMARIE PAGGAO MAGAOAY</t>
  </si>
  <si>
    <t>Cherry Mae Molijon Cañete</t>
  </si>
  <si>
    <t>Imelda Cataniag Gonzales</t>
  </si>
  <si>
    <t>ALICIA RENTILLO JUGADO</t>
  </si>
  <si>
    <t>Nena Baco Osares</t>
  </si>
  <si>
    <t>Maria Theresa Estella Caasi</t>
  </si>
  <si>
    <t>Rodulfo C. Jundis</t>
  </si>
  <si>
    <t>PINKY ROSE PARUNQUIN GATCHALIAN</t>
  </si>
  <si>
    <t>Cirio Dela Cruz Pangan</t>
  </si>
  <si>
    <t>Marjorie Munar Cabacungan</t>
  </si>
  <si>
    <t>Josephine Pura Cochico</t>
  </si>
  <si>
    <t>Martin C Lagmay</t>
  </si>
  <si>
    <t>Annabelle Canonigo Husain</t>
  </si>
  <si>
    <t>Jianel Ugbog Masinadiong</t>
  </si>
  <si>
    <t>Reynaldo C Bautista</t>
  </si>
  <si>
    <t>Chona Salonga Dizon</t>
  </si>
  <si>
    <t>SATURNINA   MADELO AGMATA</t>
  </si>
  <si>
    <t>Edelina Baruso Espejo</t>
  </si>
  <si>
    <t>Corazon Espiritu Melano</t>
  </si>
  <si>
    <t>NOELITO ARELLANO PANGANIBAN</t>
  </si>
  <si>
    <t>INES BENITO REUYAN</t>
  </si>
  <si>
    <t>Jose Felix Arsenal Pasay</t>
  </si>
  <si>
    <t>ISAGANI ARBOLEDA JAENA</t>
  </si>
  <si>
    <t>Brgy Mungayang</t>
  </si>
  <si>
    <t>Ranie Javar Babiera</t>
  </si>
  <si>
    <t>Barangay III</t>
  </si>
  <si>
    <t>Mercedes Inway Luto</t>
  </si>
  <si>
    <t>Marites A. Bermal</t>
  </si>
  <si>
    <t>PATRICIA TAN MARA</t>
  </si>
  <si>
    <t>Jesus Rey Serna Cavalida</t>
  </si>
  <si>
    <t>Babe Charity S Enerio</t>
  </si>
  <si>
    <t>Marivic Torres Pagala</t>
  </si>
  <si>
    <t>Lolito Pesidas Campos</t>
  </si>
  <si>
    <t>Aries C. Tang</t>
  </si>
  <si>
    <t>THERESA CLAVESILLAS IBARRA</t>
  </si>
  <si>
    <t>Zenaida M Formentera</t>
  </si>
  <si>
    <t>Alberto V. Cainglet</t>
  </si>
  <si>
    <t>Miguel Jr. D. Tolentino</t>
  </si>
  <si>
    <t>RENATO JR. Q. FAJARDO</t>
  </si>
  <si>
    <t>Ronald D. Elnar</t>
  </si>
  <si>
    <t>Beulah Leah Libertad Pailagao</t>
  </si>
  <si>
    <t>Rogelio J. Villaqa</t>
  </si>
  <si>
    <t>George Sacdalan Mendoza</t>
  </si>
  <si>
    <t>Emelita I. Garcia</t>
  </si>
  <si>
    <t>Anna Bel Manrique Ranara</t>
  </si>
  <si>
    <t>Maredith H. Julve</t>
  </si>
  <si>
    <t>NIDA BLASCO MIÑOZA</t>
  </si>
  <si>
    <t>Lot Morales Villanueva</t>
  </si>
  <si>
    <t>RICHELLE L. MOROTA</t>
  </si>
  <si>
    <t>Jannes Detablan Cantones</t>
  </si>
  <si>
    <t>Remia Ventura Tiongco</t>
  </si>
  <si>
    <t>Drafino Jr Ramos Arocena</t>
  </si>
  <si>
    <t>Michael Imperial Fabros</t>
  </si>
  <si>
    <t>Ehdison San Juan Masculino</t>
  </si>
  <si>
    <t>MARITESS CAYACO MARCOS</t>
  </si>
  <si>
    <t>LIZA PAMA GUMBAN</t>
  </si>
  <si>
    <t>Krizza Joy De La Cerna Tomugdan</t>
  </si>
  <si>
    <t>Gilbert B. Trinidad</t>
  </si>
  <si>
    <t>Christy Pelimiano Collano</t>
  </si>
  <si>
    <t>Marjorie  Catinoy  Panaligan</t>
  </si>
  <si>
    <t>Eric G Vergara</t>
  </si>
  <si>
    <t>Macinole Manalo Domopoy</t>
  </si>
  <si>
    <t>Benson Empalmado</t>
  </si>
  <si>
    <t>Paulo Sherwin Duman</t>
  </si>
  <si>
    <t>Leo Marcial Hernandez</t>
  </si>
  <si>
    <t>Nestor Cuenta Herana</t>
  </si>
  <si>
    <t>Roland Pangilinan Soriano</t>
  </si>
  <si>
    <t>Carol Flores Diwa</t>
  </si>
  <si>
    <t>Joseph Catarin</t>
  </si>
  <si>
    <t>LEVY H. LAGUTIN, JR.</t>
  </si>
  <si>
    <t>Albert Lee Basuel Cabanting</t>
  </si>
  <si>
    <t>Paulo F. Tagsip</t>
  </si>
  <si>
    <t>Ma. Yvonne  Domanais/ C Shalie  Coralde</t>
  </si>
  <si>
    <t>Marilyn Gonzales</t>
  </si>
  <si>
    <t>ERLINDA DOMINGUEZ LANTIN</t>
  </si>
  <si>
    <t>JACQUELINE CANLAS TUAZON</t>
  </si>
  <si>
    <t>J. JEFFREY E. PERTIERRA</t>
  </si>
  <si>
    <t>Jason Villafuerte Maravilla</t>
  </si>
  <si>
    <t>Luzviminda A. Baro</t>
  </si>
  <si>
    <t>Pedro L. Jalandoni</t>
  </si>
  <si>
    <t>Vladimir Prado Torres</t>
  </si>
  <si>
    <t>Catalino Arado Sumaylo</t>
  </si>
  <si>
    <t>Mylene Alba</t>
  </si>
  <si>
    <t>Maria Rachel Panti Gonzales</t>
  </si>
  <si>
    <t>Helen Antiporda Sumague</t>
  </si>
  <si>
    <t>Jojie Ann Oliva Watin</t>
  </si>
  <si>
    <t>Hurdy F Denosta</t>
  </si>
  <si>
    <t>MARIA LUCIA RANIN REQUEJO</t>
  </si>
  <si>
    <t>Allison Graza Nudo</t>
  </si>
  <si>
    <t>Elisheba Pocong Sabandal</t>
  </si>
  <si>
    <t>Agripina F Ceremones</t>
  </si>
  <si>
    <t>Robert Tuscano</t>
  </si>
  <si>
    <t>Ma.Gemma C. Lasala</t>
  </si>
  <si>
    <t>Joseph Roy Quezon Suhayon</t>
  </si>
  <si>
    <t>MODESTA BALAJADIA ENRIQUEZ</t>
  </si>
  <si>
    <t>Mary Ann O. Manimtim</t>
  </si>
  <si>
    <t>APRIL DAWN CABRILLOS PABELIC</t>
  </si>
  <si>
    <t>Felton Xenox T. Inting</t>
  </si>
  <si>
    <t>Roderick D. Diputado</t>
  </si>
  <si>
    <t>JERUEL ICALLA VARQUEZ</t>
  </si>
  <si>
    <t>Roqueza S. Palmes</t>
  </si>
  <si>
    <t>Aldy B Novo</t>
  </si>
  <si>
    <t>Leo Villena Factora</t>
  </si>
  <si>
    <t>Edison Mangulabnan Mina</t>
  </si>
  <si>
    <t>John Reil Lomerio Gutierrez</t>
  </si>
  <si>
    <t>FREDERICK OCZON SALUDO</t>
  </si>
  <si>
    <t>Joy Cordis Sabben</t>
  </si>
  <si>
    <t>Jocelyn D Melandres</t>
  </si>
  <si>
    <t>Raquel Dela Cruz Reontoy</t>
  </si>
  <si>
    <t>NEOPOLO JR. LACSON MANALOTO</t>
  </si>
  <si>
    <t>Julius Asuit Arcinas</t>
  </si>
  <si>
    <t>Riza E. Peralta</t>
  </si>
  <si>
    <t>Nolly Adrian B. Gabule</t>
  </si>
  <si>
    <t>Jay V Villafranca</t>
  </si>
  <si>
    <t>Deniel Salvador Bentoy Morillo</t>
  </si>
  <si>
    <t>MERCEDITA DIWA</t>
  </si>
  <si>
    <t>Jonathan Bondad Ramirez</t>
  </si>
  <si>
    <t>Joel M Ariones</t>
  </si>
  <si>
    <t>Paul Francis Sarmiento Tomimbang</t>
  </si>
  <si>
    <t>Rachelle De Guzman Agpoon</t>
  </si>
  <si>
    <t>Eduardo Maquilang Pablo</t>
  </si>
  <si>
    <t>Richard A. Guiragay</t>
  </si>
  <si>
    <t>Oliver M. Canay</t>
  </si>
  <si>
    <t>Marck Tristan B. Martin</t>
  </si>
  <si>
    <t>Paul Laday Olanday</t>
  </si>
  <si>
    <t>Mary Ann Corpuz Lazo</t>
  </si>
  <si>
    <t>JHONDY GASPAR TALLOD</t>
  </si>
  <si>
    <t>Conchita Maicong Pacis</t>
  </si>
  <si>
    <t>Helen A. Cabarles</t>
  </si>
  <si>
    <t>Jennyfer Villarias Parame</t>
  </si>
  <si>
    <t>TITO JR LUCES AYCARDO</t>
  </si>
  <si>
    <t>NOVER M. BATE</t>
  </si>
  <si>
    <t>JAYVEE BRYAN GALVEZ CARILLO</t>
  </si>
  <si>
    <t>ROGELIO KENTILITISCA PANGAN</t>
  </si>
  <si>
    <t>Mary Ginete Guelos Daquila</t>
  </si>
  <si>
    <t>Janilyn Mae Roque Tahimic</t>
  </si>
  <si>
    <t>Raymart   S.  Adonis</t>
  </si>
  <si>
    <t>Lourdes M. Ng</t>
  </si>
  <si>
    <t>John Edward Patiño Degamon</t>
  </si>
  <si>
    <t>Frederick Y Simbol</t>
  </si>
  <si>
    <t>May  Villanueva  Mendoza</t>
  </si>
  <si>
    <t>MILAGROS LELINA LIGOT PASCUA</t>
  </si>
  <si>
    <t>JOEL MERCADO MALIGAYA</t>
  </si>
  <si>
    <t>Ma. Leticia C Salcedo</t>
  </si>
  <si>
    <t>ERNESTO AQUINO MANEGDEG</t>
  </si>
  <si>
    <t>Cheryl Ann Galeon Ombina</t>
  </si>
  <si>
    <t>Edwin L Diesto</t>
  </si>
  <si>
    <t>GRACE ABANTU RAMIREZ</t>
  </si>
  <si>
    <t>Maribeth Velasco</t>
  </si>
  <si>
    <t>Myline A. Dilla</t>
  </si>
  <si>
    <t>Sharon Obias Dancalan</t>
  </si>
  <si>
    <t>WALTER L. RUIZO</t>
  </si>
  <si>
    <t>cecilia mata pinpin</t>
  </si>
  <si>
    <t>Rogelio G. Macasinag, Jr.</t>
  </si>
  <si>
    <t>RANDY ALLEN LAYAGUIN</t>
  </si>
  <si>
    <t>MICHAEL ANDREW QUIROGA FRIAS</t>
  </si>
  <si>
    <t>ARNEL M MALLARI</t>
  </si>
  <si>
    <t>Jovito Bron Coderis, Jr.</t>
  </si>
  <si>
    <t>Christian Quitoriano Doria</t>
  </si>
  <si>
    <t>ESTELA  B  TUSE</t>
  </si>
  <si>
    <t>Michael Angelo San Pedro</t>
  </si>
  <si>
    <t>Virgie N Bibat</t>
  </si>
  <si>
    <t>EDILBERTA M. HARA</t>
  </si>
  <si>
    <t>Christine C. Santos</t>
  </si>
  <si>
    <t>Abdulnasser M Kali</t>
  </si>
  <si>
    <t>Sweden Mangaran Dela Cruz</t>
  </si>
  <si>
    <t>Elmer Foronda Acoba</t>
  </si>
  <si>
    <t>Oliver F Borja</t>
  </si>
  <si>
    <t>Chari Rose Mozol Apit</t>
  </si>
  <si>
    <t>Belen Serenio Dela Peña</t>
  </si>
  <si>
    <t>Mark Lester Guillano Sim</t>
  </si>
  <si>
    <t>Oscar Aguinaldo Domingo</t>
  </si>
  <si>
    <t>Charlemagne Fetil Fortu</t>
  </si>
  <si>
    <t>Reynaldo Catubig Misa</t>
  </si>
  <si>
    <t>Al G Adla-on</t>
  </si>
  <si>
    <t>DOREEN ENGRACIA DEGUIA</t>
  </si>
  <si>
    <t>Edna Pamaos Malaran</t>
  </si>
  <si>
    <t>MELISSA DELA ROSA AMADA</t>
  </si>
  <si>
    <t>May Rose Dejaro  Denolang</t>
  </si>
  <si>
    <t>Alex Catandihan Esver</t>
  </si>
  <si>
    <t>MIRASOL JUSTINIANI GONZALEZ</t>
  </si>
  <si>
    <t>Nilo N. Sarmiento</t>
  </si>
  <si>
    <t>Josephine Dela Vida Castaños</t>
  </si>
  <si>
    <t>Jeannette Pedernal Galura</t>
  </si>
  <si>
    <t>Anselmo L Sang Tian</t>
  </si>
  <si>
    <t>Florian Faith Jr. Paghubasan Bayawa</t>
  </si>
  <si>
    <t>Maribel Castillo Botavara</t>
  </si>
  <si>
    <t>MARIE ROSE AGUILAR DELOS REYES</t>
  </si>
  <si>
    <t>Liberty C Angeles</t>
  </si>
  <si>
    <t>Maria Bella Tura Trocio</t>
  </si>
  <si>
    <t>Rosario Lastrella Hermosura</t>
  </si>
  <si>
    <t>Bernadette Manggol Sapungan</t>
  </si>
  <si>
    <t>Felicisimo Villarico Wenceslao Jr.</t>
  </si>
  <si>
    <t>ALEX A. MERLIN</t>
  </si>
  <si>
    <t>EMMANUEL OBINA</t>
  </si>
  <si>
    <t>Marilyn Ulep Tolentino</t>
  </si>
  <si>
    <t>Nelson Bonifacio Villaluna</t>
  </si>
  <si>
    <t>Ma Claire Potenciando Olofernes</t>
  </si>
  <si>
    <t>Freddie Oben Tomines</t>
  </si>
  <si>
    <t>Lordino Guillermo Antonio</t>
  </si>
  <si>
    <t>Rosella Daraog Darcera</t>
  </si>
  <si>
    <t>Ma. Ellaine G. Barongan</t>
  </si>
  <si>
    <t>Philip P. Garcia</t>
  </si>
  <si>
    <t>Mellany Millano Amaranto</t>
  </si>
  <si>
    <t>Purificasion Quirante Barasi</t>
  </si>
  <si>
    <t>GINA BATALLER LABE</t>
  </si>
  <si>
    <t>Evelyn C. Padayhag</t>
  </si>
  <si>
    <t>JOY C. VITUALLA</t>
  </si>
  <si>
    <t>Maricel Catubig Untalan</t>
  </si>
  <si>
    <t>ARMANDO E. SUETOS</t>
  </si>
  <si>
    <t>John B Magbanua</t>
  </si>
  <si>
    <t>Jocena Barcenas Dismaya</t>
  </si>
  <si>
    <t>Evelyn Valenzuela Manuguid</t>
  </si>
  <si>
    <t>Angeli Cabug Labarda</t>
  </si>
  <si>
    <t>Judith D. Alde</t>
  </si>
  <si>
    <t>CELSO A. MATIAS</t>
  </si>
  <si>
    <t>RAMON, JR. CARIÑO PABICO</t>
  </si>
  <si>
    <t>Floro M Butulan</t>
  </si>
  <si>
    <t>Edwin P. Marcelo</t>
  </si>
  <si>
    <t>Marvin Francis U Apale</t>
  </si>
  <si>
    <t>Mary Jane J. Achas</t>
  </si>
  <si>
    <t>Aida M. Cinco</t>
  </si>
  <si>
    <t>Neri Tadeo Beley</t>
  </si>
  <si>
    <t>Harvey C Jumawan</t>
  </si>
  <si>
    <t>Shiela Rose Vicente Vicente</t>
  </si>
  <si>
    <t>Dominic Adriano</t>
  </si>
  <si>
    <t>Ariel Molejon Rondina</t>
  </si>
  <si>
    <t>Consuelo Javier Cruz</t>
  </si>
  <si>
    <t>NIÑO BALISTOY SALVACION</t>
  </si>
  <si>
    <t>AUGIE SHELDON  REALIZAN</t>
  </si>
  <si>
    <t>Leizle B. Anongos</t>
  </si>
  <si>
    <t>Nadel S. Denapo</t>
  </si>
  <si>
    <t>Roderick Taguinod Alipio</t>
  </si>
  <si>
    <t>Ma. Teresa  D. Rodriguez</t>
  </si>
  <si>
    <t>Joseph Cosina Bernales</t>
  </si>
  <si>
    <t>Leda Penarubia Redoble</t>
  </si>
  <si>
    <t>Mellany  Tierra Rivera</t>
  </si>
  <si>
    <t>FERNANDO ORACION</t>
  </si>
  <si>
    <t>Nestor, Jr. C Peralta</t>
  </si>
  <si>
    <t>Katherine Liwanag Pangilinan</t>
  </si>
  <si>
    <t>Memory Calima Leonzon</t>
  </si>
  <si>
    <t>Bienvenido Villaflores Aldaba Jr.</t>
  </si>
  <si>
    <t>Chona M. Halili</t>
  </si>
  <si>
    <t>Mildred Jalipa Padilla</t>
  </si>
  <si>
    <t>Ma. Emidith Vivian Cabsaba Joseph</t>
  </si>
  <si>
    <t>Norman Jacob Gordonas</t>
  </si>
  <si>
    <t>Welia  Caagbay Mundin</t>
  </si>
  <si>
    <t>Mila Jihan GIBA</t>
  </si>
  <si>
    <t>Moises Cedeno Jimenez</t>
  </si>
  <si>
    <t>Joseph  Caraan  Jaro</t>
  </si>
  <si>
    <t>Marites Regalado Gonzales</t>
  </si>
  <si>
    <t>Nenita Roxas  Capuno</t>
  </si>
  <si>
    <t>Thelma Ylanan Booc</t>
  </si>
  <si>
    <t>Jhonna Salve Janer Buenaflor</t>
  </si>
  <si>
    <t>MARY ANN C. BELEN</t>
  </si>
  <si>
    <t>Mario Sorote Gregorio</t>
  </si>
  <si>
    <t>LIEZEL BALISTOY SALVACION</t>
  </si>
  <si>
    <t>Nida Tordesillas Tuason</t>
  </si>
  <si>
    <t>Antonio Manlapig Cruz</t>
  </si>
  <si>
    <t>Arnel Delos Santos  Delo Santos  Arcena</t>
  </si>
  <si>
    <t>Teresita Bravo Guiang</t>
  </si>
  <si>
    <t>ENGR. EPIFANIO CAGANDE BAGHUCAN</t>
  </si>
  <si>
    <t>Josephie Oliver Acoba</t>
  </si>
  <si>
    <t>Ramel Sanorjo</t>
  </si>
  <si>
    <t>Fulton Mario Canoy Anoba</t>
  </si>
  <si>
    <t>Ferdinand Fadriquelan Falceso</t>
  </si>
  <si>
    <t>Zaldy Omisol Dequito</t>
  </si>
  <si>
    <t>Carolyne Santiago</t>
  </si>
  <si>
    <t>MA. RIZZA M ASIS</t>
  </si>
  <si>
    <t>Haniya Mussoh Elo</t>
  </si>
  <si>
    <t>Alexander A Balmes</t>
  </si>
  <si>
    <t>Teresita   Montes  Maratas</t>
  </si>
  <si>
    <t>Ma.  Erowena V Soriano</t>
  </si>
  <si>
    <t>Bernaldo Malalis Jr.</t>
  </si>
  <si>
    <t>Samson Barcellano Gonzales</t>
  </si>
  <si>
    <t>FRANK FALANGAN FANGED</t>
  </si>
  <si>
    <t>Leah Mary Grace Flores Sanga</t>
  </si>
  <si>
    <t>Mark Jerome Abalos Adaya</t>
  </si>
  <si>
    <t>Aleli Arconado Locsin</t>
  </si>
  <si>
    <t>Lito I Balarbar</t>
  </si>
  <si>
    <t>HAZEL C. ARTIEDA</t>
  </si>
  <si>
    <t>Edwin G. Yuson</t>
  </si>
  <si>
    <t>Dondon Bacuyag Castillo</t>
  </si>
  <si>
    <t>Sharon  G.  Umbaad</t>
  </si>
  <si>
    <t>ANGELITA BAUTISTA DAYEGO</t>
  </si>
  <si>
    <t>MARIVIC M. GARIN</t>
  </si>
  <si>
    <t>Maiden P. Cortez</t>
  </si>
  <si>
    <t>Marilou A. Gecosala</t>
  </si>
  <si>
    <t>Rachelle Henson Cortez</t>
  </si>
  <si>
    <t>Jose B Abrenio Jr.</t>
  </si>
  <si>
    <t>ALFRED TAGUIBAO ABENA</t>
  </si>
  <si>
    <t>Ester C. Layam</t>
  </si>
  <si>
    <t>ENGELBERT AGBUYA CACHO</t>
  </si>
  <si>
    <t>Roxanne Lagnason Manoos</t>
  </si>
  <si>
    <t>Venus Cocson Flojo</t>
  </si>
  <si>
    <t>Jonathan Regachuelo Jaluague</t>
  </si>
  <si>
    <t>MELAGROS  K.  FIDEL</t>
  </si>
  <si>
    <t>Rosalina Ecuan Bayaona</t>
  </si>
  <si>
    <t>Emely Pajara Ocoy</t>
  </si>
  <si>
    <t>Editha A Albano</t>
  </si>
  <si>
    <t>Ruel Cole Armodia</t>
  </si>
  <si>
    <t>MERVYN OLAER DOCALLOS</t>
  </si>
  <si>
    <t>Noel V. Alcain</t>
  </si>
  <si>
    <t>Fernando B. Rulete</t>
  </si>
  <si>
    <t>Abdulrakman Mokamad</t>
  </si>
  <si>
    <t>Genalyn T Vallejera</t>
  </si>
  <si>
    <t>Allan G. Farnazo</t>
  </si>
  <si>
    <t>JOHN KENNETH J CORDEZ</t>
  </si>
  <si>
    <t>Julito Bojo Gumapac</t>
  </si>
  <si>
    <t>Remigio Lago Blanco</t>
  </si>
  <si>
    <t>CARMELA SALES FANOGA</t>
  </si>
  <si>
    <t>ROLAND MAYOL PEREZ</t>
  </si>
  <si>
    <t>Julie Anne Canzon Valencia</t>
  </si>
  <si>
    <t>Pascual Raguindin Mendoza</t>
  </si>
  <si>
    <t>Shoraida Titiban Renabor</t>
  </si>
  <si>
    <t>Ma. Lina Villegas Sereneo</t>
  </si>
  <si>
    <t>Jimmy Cunanan Dancel</t>
  </si>
  <si>
    <t>Joseph Ramos Anania</t>
  </si>
  <si>
    <t>ADRIANO CABRAL JR.</t>
  </si>
  <si>
    <t>Gideon Flores dela Cruz</t>
  </si>
  <si>
    <t>Paquito Joel Alferez Arocha</t>
  </si>
  <si>
    <t>Jocelyn Diaz Sagang</t>
  </si>
  <si>
    <t>Angela Eduvala Dagsaan</t>
  </si>
  <si>
    <t>Jose R Cornelio, Jr.</t>
  </si>
  <si>
    <t>Ken Lois N. Olayres</t>
  </si>
  <si>
    <t>Jose Jacinto B Antonio</t>
  </si>
  <si>
    <t>MARIA TERESA HOCSON MIRABUENO</t>
  </si>
  <si>
    <t>George Vincent O Macrohon</t>
  </si>
  <si>
    <t>SIMEON A LAURONAL</t>
  </si>
  <si>
    <t>Rolando F. Zapata</t>
  </si>
  <si>
    <t>JOBELYN TACUBAN MALUBAG</t>
  </si>
  <si>
    <t>Danilo, Jr. Gemarino Lumasag</t>
  </si>
  <si>
    <t>EDEN MADERA REAL</t>
  </si>
  <si>
    <t>Richard Vintero Barcarse</t>
  </si>
  <si>
    <t>Wilma G. Udalve</t>
  </si>
  <si>
    <t>Joselito Mallillin Bugayong</t>
  </si>
  <si>
    <t>Jose B. Patalinjug III</t>
  </si>
  <si>
    <t>Gladys Angit Abarabar</t>
  </si>
  <si>
    <t>Junel Tantoy Mirontos</t>
  </si>
  <si>
    <t>Malou Atuelan Salvador</t>
  </si>
  <si>
    <t>Melinda Dizon</t>
  </si>
  <si>
    <t>Ronald Allan V Ole</t>
  </si>
  <si>
    <t>Rusell Gattu Lozano</t>
  </si>
  <si>
    <t>Maria Umambac Floren</t>
  </si>
  <si>
    <t>Teofilo B. Ferolin, Sr.</t>
  </si>
  <si>
    <t>Eugenio T. Rosete</t>
  </si>
  <si>
    <t>Rosemary R. Juan</t>
  </si>
  <si>
    <t>LEO GAMMAD LIGGAYU</t>
  </si>
  <si>
    <t>Vincent C. Dasmariñas</t>
  </si>
  <si>
    <t>Johnny Agurita Valiente</t>
  </si>
  <si>
    <t>Lucita B. Macoy</t>
  </si>
  <si>
    <t>ROEL F FLAMIANO</t>
  </si>
  <si>
    <t>Rodrigo Lagliba Bugawan</t>
  </si>
  <si>
    <t>Lilane Mejillano Nuñez</t>
  </si>
  <si>
    <t>CORNELIO CHITO M. DELA PENA</t>
  </si>
  <si>
    <t>Hermenigilda A. Aposaga</t>
  </si>
  <si>
    <t>Mary Grace Pasiona Señar</t>
  </si>
  <si>
    <t>Josephine Gozon Madlangsakay</t>
  </si>
  <si>
    <t>Roberto Besarino Lucaban</t>
  </si>
  <si>
    <t>Desiderio Estillore Gudia Jr.</t>
  </si>
  <si>
    <t>Sofronio Doloritos Hontanosas</t>
  </si>
  <si>
    <t>ROBELINA V. LAZARO</t>
  </si>
  <si>
    <t>Roel Galang Villanueva</t>
  </si>
  <si>
    <t>Francis Alfred Calo Bokingo</t>
  </si>
  <si>
    <t>Bill V. Segui</t>
  </si>
  <si>
    <t>Milagros M. Perez</t>
  </si>
  <si>
    <t>ROSA DALAGUETE MANUEL</t>
  </si>
  <si>
    <t>Joyce Valencia Magtolis</t>
  </si>
  <si>
    <t>Elmer O Macalma</t>
  </si>
  <si>
    <t>Jorgen H. Buzon</t>
  </si>
  <si>
    <t>Norma Mingo Monisit</t>
  </si>
  <si>
    <t>Alexander M. Almario</t>
  </si>
  <si>
    <t xml:space="preserve">GLYNIS CONCEPCION  D.  TAN </t>
  </si>
  <si>
    <t>Jessa Marie Parre</t>
  </si>
  <si>
    <t>FRANCISCO MISA DIOLA</t>
  </si>
  <si>
    <t>Norjanna M. Camaguin</t>
  </si>
  <si>
    <t>Paula Bianca de Mesa</t>
  </si>
  <si>
    <t>Eunice Faith Panganiban Castillo</t>
  </si>
  <si>
    <t>Glenn Infante Lansangan</t>
  </si>
  <si>
    <t>Ian H. Orendain</t>
  </si>
  <si>
    <t>Jocelyn B. Manait</t>
  </si>
  <si>
    <t>Leah Magtanong</t>
  </si>
  <si>
    <t>Charito Santos Fernando</t>
  </si>
  <si>
    <t>Lynden Alipen Aracyang</t>
  </si>
  <si>
    <t>John Jose T Tabligan</t>
  </si>
  <si>
    <t>Heizel Causaren Almanon</t>
  </si>
  <si>
    <t>Cayylord D. Niala</t>
  </si>
  <si>
    <t>Rosario Corazon  Sison  Abara</t>
  </si>
  <si>
    <t>Bernadette A Susvilla, Ed. D. CESO VI</t>
  </si>
  <si>
    <t>Ma. Victoria Tejedor</t>
  </si>
  <si>
    <t>RUBY JANE C. CRUZ</t>
  </si>
  <si>
    <t>Sylvia P. Obera</t>
  </si>
  <si>
    <t>CHARISMA ALLAPITAN BARUT</t>
  </si>
  <si>
    <t>Lauri Rose Salazar Coquia</t>
  </si>
  <si>
    <t>Felisa Villaluna</t>
  </si>
  <si>
    <t>ROLANDO A SAMSON</t>
  </si>
  <si>
    <t>Cris T Zita</t>
  </si>
  <si>
    <t>Lea L. Lizada</t>
  </si>
  <si>
    <t>Jasmine Deguito</t>
  </si>
  <si>
    <t>Joey Vincent P. Rabanal</t>
  </si>
  <si>
    <t>Noel D Logronio</t>
  </si>
  <si>
    <t>Michael Escobillo</t>
  </si>
  <si>
    <t>MA. ESTRELLA MALAZA DAWAL</t>
  </si>
  <si>
    <t>Ever M Samson</t>
  </si>
  <si>
    <t>LEANDRO C. CANLAS</t>
  </si>
  <si>
    <t>Merlin Paala</t>
  </si>
  <si>
    <t>Fe Emelda Capule Academia</t>
  </si>
  <si>
    <t>ELVIS ACENA DEL CASTILLO</t>
  </si>
  <si>
    <t>Cynthia Faustino Delgado</t>
  </si>
  <si>
    <t>ANGELINA CAPISTRANO RIGOS</t>
  </si>
  <si>
    <t>Erwin Domingo Salvador</t>
  </si>
  <si>
    <t>NOEL ODICTA</t>
  </si>
  <si>
    <t>Leopoldo S Escala</t>
  </si>
  <si>
    <t>RIZZA VILLAROSA YADAO</t>
  </si>
  <si>
    <t>George Anthony V Peña</t>
  </si>
  <si>
    <t>Ma. Twinkle G Mercader</t>
  </si>
  <si>
    <t>JOCELYN A. FERNANDO, MPMG</t>
  </si>
  <si>
    <t>Renie Muñoz Dumangas</t>
  </si>
  <si>
    <t>Rizaldy Colon Mercadal</t>
  </si>
  <si>
    <t>Ray Gregory Fecas Jaranilla</t>
  </si>
  <si>
    <t>Julie G Salvador</t>
  </si>
  <si>
    <t>Adriel S. Dacara</t>
  </si>
  <si>
    <t>SUSAN QUITLONG SISON</t>
  </si>
  <si>
    <t>Elaine Bumanghat Immotna</t>
  </si>
  <si>
    <t>DON PATRICK TIONGSON SALAMAT</t>
  </si>
  <si>
    <t>NATHANIEL B. GERTOS</t>
  </si>
  <si>
    <t>Patrick A. Panaligan</t>
  </si>
  <si>
    <t>Amabe Amanse Dela Cruz</t>
  </si>
  <si>
    <t>Merriam Dainata Sarmiento</t>
  </si>
  <si>
    <t>DANICA LEAH CASTRO CORPUZ</t>
  </si>
  <si>
    <t>Ma. Cristina Piñero Olivera</t>
  </si>
  <si>
    <t>Julita B Embajador</t>
  </si>
  <si>
    <t>Zaiton Navarro Sumpo</t>
  </si>
  <si>
    <t>NIÑO L. SUSA</t>
  </si>
  <si>
    <t>Diana Cantiga Balunan</t>
  </si>
  <si>
    <t>Roberto III Almazan Mirando</t>
  </si>
  <si>
    <t>Lyndon Imperial Ballesteros</t>
  </si>
  <si>
    <t>james berlin H. escaner</t>
  </si>
  <si>
    <t>Eric G Limpin</t>
  </si>
  <si>
    <t>ANALIZA MEDINA</t>
  </si>
  <si>
    <t>ROMEO ARELLANO SOLIS</t>
  </si>
  <si>
    <t>ELIZA GARDOZE SABADO</t>
  </si>
  <si>
    <t>MARIA TERESA ANGELA BUENAFE SALVADOR</t>
  </si>
  <si>
    <t>Mary Rose Capanzana Occidental</t>
  </si>
  <si>
    <t>Eric P Cabauatan</t>
  </si>
  <si>
    <t>Mario Sordilla</t>
  </si>
  <si>
    <t>lyre dela cruz guevarra</t>
  </si>
  <si>
    <t>Christine Bernadette Jimenez Biteño</t>
  </si>
  <si>
    <t>Marina Limson Am-is</t>
  </si>
  <si>
    <t>Belarmina Lanna</t>
  </si>
  <si>
    <t>Olivia B. Lim-ang</t>
  </si>
  <si>
    <t>Ernesto Dela Cruz Ylasco</t>
  </si>
  <si>
    <t>Alain Richard Diaz Rosales</t>
  </si>
  <si>
    <t>Zammuel Arellano Bernales</t>
  </si>
  <si>
    <t>Vanessa Degolacion Arellano</t>
  </si>
  <si>
    <t>Ernesto Luceño Tan</t>
  </si>
  <si>
    <t>BESILDA P. BALLESTEROS</t>
  </si>
  <si>
    <t>Amerhussien Basher Panganting</t>
  </si>
  <si>
    <t>MAJ GABRIEL D TAYKO (CE) PA</t>
  </si>
  <si>
    <t>CLIFTON GARETH NGODCHO FANG-ASAN</t>
  </si>
  <si>
    <t>Eugene Paul Gundaya</t>
  </si>
  <si>
    <t>Nestor Jr. V. Marquez</t>
  </si>
  <si>
    <t>Charo R Arugay</t>
  </si>
  <si>
    <t>Jocelyn Cornel Viernes</t>
  </si>
  <si>
    <t>REDEMCION M. DE LEON</t>
  </si>
  <si>
    <t>MERLINDA OLIVAR RESPICIO</t>
  </si>
  <si>
    <t>Sherwin Torrila Matias</t>
  </si>
  <si>
    <t>Rachel Jabol Rafols</t>
  </si>
  <si>
    <t>Ivan Cruz</t>
  </si>
  <si>
    <t>Marvin Januario Muceros</t>
  </si>
  <si>
    <t>Jennifer g Tan</t>
  </si>
  <si>
    <t>Roberto  Poyaoan  Gonzales</t>
  </si>
  <si>
    <t>LORNA ALUNAN DELA PEÑA</t>
  </si>
  <si>
    <t>Robert Floyd Nangkil Salise</t>
  </si>
  <si>
    <t>Christian Peña</t>
  </si>
  <si>
    <t>Florante Uy Zurbito</t>
  </si>
  <si>
    <t>Eugene R. Geñoso</t>
  </si>
  <si>
    <t>JEFFREY F. MONDERO</t>
  </si>
  <si>
    <t>Maria Lorena Magana Ferrer</t>
  </si>
  <si>
    <t>Abigail P Beltran</t>
  </si>
  <si>
    <t>Manuel M. Andes</t>
  </si>
  <si>
    <t>Vanessa A Dela Torre</t>
  </si>
  <si>
    <t>VICTOR PAULINO CAMITAN</t>
  </si>
  <si>
    <t>CHERRY CASTANEDA</t>
  </si>
  <si>
    <t>Emily C. Lubong</t>
  </si>
  <si>
    <t>BERNARDO JR. LACUESTA GANOTICE</t>
  </si>
  <si>
    <t>Melanie D. Calajate</t>
  </si>
  <si>
    <t>Gilbert R Casaul</t>
  </si>
  <si>
    <t>Engr. Noel Galacgac Coloma</t>
  </si>
  <si>
    <t>Cecilia Maningo Fuentes</t>
  </si>
  <si>
    <t>ABNER ALPAS ESPARTERO</t>
  </si>
  <si>
    <t>Yolanda Caronan Pagulayan</t>
  </si>
  <si>
    <t>Elvis Rodriguez Torrente</t>
  </si>
  <si>
    <t>Jayson Barbara Florendo</t>
  </si>
  <si>
    <t>Jane Cuatriz Arcilla</t>
  </si>
  <si>
    <t>Abigail Tabadero Alemania</t>
  </si>
  <si>
    <t>Geraldine L Arrieta</t>
  </si>
  <si>
    <t>JAIME CABAÑAS REGATO</t>
  </si>
  <si>
    <t>Annavie Bacomo Lapitan</t>
  </si>
  <si>
    <t>Elma Peralta Ragonton</t>
  </si>
  <si>
    <t>Juliet H. Melo</t>
  </si>
  <si>
    <t>Penarando Surquia</t>
  </si>
  <si>
    <t>Leonard E. Marquez</t>
  </si>
  <si>
    <t>SOLEDAD L.  SANCHEZ</t>
  </si>
  <si>
    <t>Avin  Vargas  Surban</t>
  </si>
  <si>
    <t>Marissa Tolentino Garcia</t>
  </si>
  <si>
    <t>EUGENIA DE LEON CRUZADO</t>
  </si>
  <si>
    <t>WILMA C. BUMAGAT</t>
  </si>
  <si>
    <t>ROSELYN ANN R. BAGASOL</t>
  </si>
  <si>
    <t>Aurora G Galicha</t>
  </si>
  <si>
    <t>Eriberto A Taban-ud Jr.</t>
  </si>
  <si>
    <t>Cesah Jane Pillodar Napalla</t>
  </si>
  <si>
    <t>Melchor Pabona Ubal</t>
  </si>
  <si>
    <t>Hanjin Echin Cortes</t>
  </si>
  <si>
    <t>JENNY F OASAY</t>
  </si>
  <si>
    <t>Jimcel O. Besa</t>
  </si>
  <si>
    <t>Fernando Ragos Carolino</t>
  </si>
  <si>
    <t>Mark Jason F. Malgapo</t>
  </si>
  <si>
    <t>CRISALDO T MERCADER</t>
  </si>
  <si>
    <t>Aurora Batoctoy</t>
  </si>
  <si>
    <t>Geremie Noble Tajada</t>
  </si>
  <si>
    <t>Norman Casiple Ardina</t>
  </si>
  <si>
    <t>MARIBETH SAJORDA LONGATANG</t>
  </si>
  <si>
    <t>lucito Dela Cruz Lozano II</t>
  </si>
  <si>
    <t>Ernesto Ariola Serante</t>
  </si>
  <si>
    <t>Mildred v. Fernando</t>
  </si>
  <si>
    <t>Avel Villamor Nunez</t>
  </si>
  <si>
    <t>Gerlyn M Pabilona</t>
  </si>
  <si>
    <t>Michelle Zuniega Sales</t>
  </si>
  <si>
    <t>Mark Jason F Malgapo</t>
  </si>
  <si>
    <t>SATUR CALUBANDI PAYANGDO</t>
  </si>
  <si>
    <t>Rex Aquiatan Agustin</t>
  </si>
  <si>
    <t>Eric Conrado B. Lumague</t>
  </si>
  <si>
    <t>Justin O. Luna</t>
  </si>
  <si>
    <t xml:space="preserve">MYLEN  LEGASPINA  GONZAGA </t>
  </si>
  <si>
    <t>Robert M Valles</t>
  </si>
  <si>
    <t>Arsenio P. Curameng II</t>
  </si>
  <si>
    <t>MARIA EULALIA CAMITAN SANTIAGO</t>
  </si>
  <si>
    <t>ALLAN QUILOP YAMSON</t>
  </si>
  <si>
    <t>Mascardo Asistores</t>
  </si>
  <si>
    <t>Jowarsky Lagua</t>
  </si>
  <si>
    <t>Gina Llanes Aguitez</t>
  </si>
  <si>
    <t>Felicidad Andaya Manaois</t>
  </si>
  <si>
    <t>ZOSIMO JR. ZETA  ISANAN</t>
  </si>
  <si>
    <t>Edito Suyom Macasait</t>
  </si>
  <si>
    <t>Rosalie C Obena</t>
  </si>
  <si>
    <t>DELFINA PAMUGAS AMBALI</t>
  </si>
  <si>
    <t>LEA LUCION</t>
  </si>
  <si>
    <t>JESSON NIALA LABRADOR</t>
  </si>
  <si>
    <t>ROSEMARIE E CAMPOS</t>
  </si>
  <si>
    <t>Nemesio M. Frigillana</t>
  </si>
  <si>
    <t>Miguel Sequio Gallego</t>
  </si>
  <si>
    <t>LEAH ABORDO OBLIAN</t>
  </si>
  <si>
    <t>Nemensio T Benoza</t>
  </si>
  <si>
    <t>John Rey Arota Tomines</t>
  </si>
  <si>
    <t>Franklin Tubiera Toledana</t>
  </si>
  <si>
    <t>Jaime B Merquita Jr.</t>
  </si>
  <si>
    <t>IRVIN CAYAON ROLLUQUI</t>
  </si>
  <si>
    <t>KAREN SOSMEÑA TENEBRO</t>
  </si>
  <si>
    <t>ARLYN TABARRA</t>
  </si>
  <si>
    <t>HILARION TACAISAN DUBRIA, JR.</t>
  </si>
  <si>
    <t>Brgy. 09 Catbalogan</t>
  </si>
  <si>
    <t>Jecelyn Castillo Dimailig</t>
  </si>
  <si>
    <t>Isaias, Sr. Tulio Bigol</t>
  </si>
  <si>
    <t>PROCESO M. KADAVERO</t>
  </si>
  <si>
    <t>Jonathan H Loresca</t>
  </si>
  <si>
    <t>Ailleen Melody Enguerra Alya-On</t>
  </si>
  <si>
    <t>Vivianne Desalisa Lasay</t>
  </si>
  <si>
    <t>Agnes Padro Tampico</t>
  </si>
  <si>
    <t>Richard Angel M. Arboleda</t>
  </si>
  <si>
    <t>Danilo Ragudo Rafanan</t>
  </si>
  <si>
    <t>LEONILYN MACATANGAY NOCHE</t>
  </si>
  <si>
    <t>LEA AMERICA AUMENTADO</t>
  </si>
  <si>
    <t>Louie O Canlas</t>
  </si>
  <si>
    <t>MELCHOR JR. P. DEJANO</t>
  </si>
  <si>
    <t>Alberto E. Sarinas Jr.</t>
  </si>
  <si>
    <t>Alfeo  Ayupan</t>
  </si>
  <si>
    <t>Lilia O Licera</t>
  </si>
  <si>
    <t>Herminigilda L. Sonson</t>
  </si>
  <si>
    <t>ALVIN  L  ESTRADA.</t>
  </si>
  <si>
    <t>Mark Joseph Roque Dampil</t>
  </si>
  <si>
    <t>Rolando Uy</t>
  </si>
  <si>
    <t>Shiela Marie Pama Franco</t>
  </si>
  <si>
    <t>Antoinette F. Fernandez</t>
  </si>
  <si>
    <t>Susan Tiamzon Frias</t>
  </si>
  <si>
    <t>Maxelinda Dela Cruz Serrana</t>
  </si>
  <si>
    <t>LEO S. MATIAS</t>
  </si>
  <si>
    <t>Elvisa Japay Villar</t>
  </si>
  <si>
    <t>Arundale Gum-u Immoliap Bunnag</t>
  </si>
  <si>
    <t>Mary Joy S Altarez</t>
  </si>
  <si>
    <t>Cheenie D. Botones</t>
  </si>
  <si>
    <t>Perfecto Suladay Balasote</t>
  </si>
  <si>
    <t>Lilioso Morgia Nunag</t>
  </si>
  <si>
    <t>EUGENE IGNACIO</t>
  </si>
  <si>
    <t>Elenita Barredo Bañares</t>
  </si>
  <si>
    <t>Carlo Nilo Obrero</t>
  </si>
  <si>
    <t>EMERSON R LARUA</t>
  </si>
  <si>
    <t>Teddy Bantolo</t>
  </si>
  <si>
    <t>LIBRADO M LAWIG</t>
  </si>
  <si>
    <t>Jocelyn M Romero</t>
  </si>
  <si>
    <t>Ferdinand Dumaboc Dipaling</t>
  </si>
  <si>
    <t>Marilyn De Paz Robedillo</t>
  </si>
  <si>
    <t>Pancho Galeos Ramirez, Sr.</t>
  </si>
  <si>
    <t>Michael Andrew Q Frias</t>
  </si>
  <si>
    <t>Vilma Capistrano Globio</t>
  </si>
  <si>
    <t>EDGAR LORENZO R VOLFANGO</t>
  </si>
  <si>
    <t>Jerry O prias</t>
  </si>
  <si>
    <t>Aileen L Bonghanoy</t>
  </si>
  <si>
    <t>Rosario Y. Baldonado</t>
  </si>
  <si>
    <t>AMADEO P CARDONA</t>
  </si>
  <si>
    <t>Rodolfo R David</t>
  </si>
  <si>
    <t>Aubrey George Tamargo Corpuz</t>
  </si>
  <si>
    <t>Candido Matutina Dichosa, Jr.</t>
  </si>
  <si>
    <t>NELBERTH DE LA VEGA MAGBANUA</t>
  </si>
  <si>
    <t>Khristine Aquino Balagtas</t>
  </si>
  <si>
    <t>Zotico L. Pastelero</t>
  </si>
  <si>
    <t>Mercy Bedona</t>
  </si>
  <si>
    <t>Randy Miranda Matibag</t>
  </si>
  <si>
    <t>Joeper Hamlag Mendoza</t>
  </si>
  <si>
    <t>Arjomae Penuela Jacob</t>
  </si>
  <si>
    <t>Joan Margarette A Yap</t>
  </si>
  <si>
    <t>MILA   M.  VISTO</t>
  </si>
  <si>
    <t>ERLINDA F. MANIPON</t>
  </si>
  <si>
    <t>ELAINE JUBAILYN MAGARANG MOCSANAT</t>
  </si>
  <si>
    <t>Nobernia Ondos MAGPATOC</t>
  </si>
  <si>
    <t>JAYCIBETH TUNAC RAMIREZ</t>
  </si>
  <si>
    <t>Renel M. Malacapo</t>
  </si>
  <si>
    <t>Michael Angelo Agoto Samonte</t>
  </si>
  <si>
    <t>IMELDA ANANO ALBUTRA</t>
  </si>
  <si>
    <t>Mark Joseph Zulita  Lloren</t>
  </si>
  <si>
    <t>JHERICH AN JOHN CAALIM YBAÑEZ</t>
  </si>
  <si>
    <t>Natalie Tinao Caparas</t>
  </si>
  <si>
    <t>GUIA S. LAGUITAO</t>
  </si>
  <si>
    <t>Renato C. De Pedro</t>
  </si>
  <si>
    <t>Marwin Francisco Paming</t>
  </si>
  <si>
    <t>ROSE ANN A. CRUZ</t>
  </si>
  <si>
    <t>OMAR MORILLA ESPERA</t>
  </si>
  <si>
    <t>Frazali  Sala Siega</t>
  </si>
  <si>
    <t>Marivic Santander Saniel</t>
  </si>
  <si>
    <t>Maricris S. Cabanayan</t>
  </si>
  <si>
    <t>Arlina O. Maravilla</t>
  </si>
  <si>
    <t>Samuel Delfin Doronio</t>
  </si>
  <si>
    <t>Cynthia Virtucio Hernandez</t>
  </si>
  <si>
    <t>Cleofe A Amores</t>
  </si>
  <si>
    <t>Cleofe Pealane Dimaunahan</t>
  </si>
  <si>
    <t>GLICEL KARUNUNGAN SALVADOR</t>
  </si>
  <si>
    <t>AIDA BUTIHIN MENDOZA</t>
  </si>
  <si>
    <t>EMILIANO SALVACION SARCILLA</t>
  </si>
  <si>
    <t>Roger Mappala</t>
  </si>
  <si>
    <t>Sergio Martinez Brillantes</t>
  </si>
  <si>
    <t>Joey  L.  Reyes</t>
  </si>
  <si>
    <t>LYDIA GAÑA HERRERA</t>
  </si>
  <si>
    <t>Laurence Joseph R. Tadiar</t>
  </si>
  <si>
    <t>Camille Ann Medina Dela Cruz</t>
  </si>
  <si>
    <t>Lagundrina R. Mendoza</t>
  </si>
  <si>
    <t>Marifi Esturas Jordas</t>
  </si>
  <si>
    <t>Daniel Jr. B. Esplanada</t>
  </si>
  <si>
    <t>ROSEMARIE MAGPANTAY JOLONGBAYAN</t>
  </si>
  <si>
    <t>Richly A. Tagbacaula</t>
  </si>
  <si>
    <t>Julita Alvarez Ragandang</t>
  </si>
  <si>
    <t>BERNADETH PAHAGANAS MERCADER</t>
  </si>
  <si>
    <t>HAYDIE PAMILLARAN LAPRICO</t>
  </si>
  <si>
    <t>Xanthi Romeilla Jalon Vallicer</t>
  </si>
  <si>
    <t>ABDULRAHMAN MACASILANG ULAMA</t>
  </si>
  <si>
    <t>ALEXANDER VENTERO PIDOR</t>
  </si>
  <si>
    <t>Rene Sobremonte</t>
  </si>
  <si>
    <t>Ireneo Subia Calumpit</t>
  </si>
  <si>
    <t>OFELIA TAMAYO SUSI</t>
  </si>
  <si>
    <t>michelle ramos salamat</t>
  </si>
  <si>
    <t>Alvin Disonglo Sta. Maria</t>
  </si>
  <si>
    <t>MARINELLE SIENA MARMOL</t>
  </si>
  <si>
    <t>cherlita mancao quijano</t>
  </si>
  <si>
    <t>JAIME G. CRUZ, JR</t>
  </si>
  <si>
    <t>EDNA B. LACSON</t>
  </si>
  <si>
    <t>Edilberto Yara Felizarte</t>
  </si>
  <si>
    <t>Jesusa Agustin</t>
  </si>
  <si>
    <t>Ma. Liza Candelaria Ortiz</t>
  </si>
  <si>
    <t>ALLAN GARCILLAN SUELA</t>
  </si>
  <si>
    <t>Oliver  L. Gonzaga</t>
  </si>
  <si>
    <t>RENATO D. MADRIAGA</t>
  </si>
  <si>
    <t>RONA ALDAY CHAVEZ</t>
  </si>
  <si>
    <t>JEANY LOPEZ</t>
  </si>
  <si>
    <t>Nonito Comeros Modequillo</t>
  </si>
  <si>
    <t>Arsenio Alvarez Singson</t>
  </si>
  <si>
    <t>Norma La Madrid Requino</t>
  </si>
  <si>
    <t>Gerald Campos Tabac</t>
  </si>
  <si>
    <t>Joel Liban Dubla</t>
  </si>
  <si>
    <t>Jacquelyn F. Samino</t>
  </si>
  <si>
    <t>Christyn Joy Montaño Salva</t>
  </si>
  <si>
    <t>Juanita  Nabo Morato</t>
  </si>
  <si>
    <t>Gerry Rioja Fernandez</t>
  </si>
  <si>
    <t>JENNON DE BODA ANDAYA</t>
  </si>
  <si>
    <t>MAXIMO MAGBANUA</t>
  </si>
  <si>
    <t>EVA LEE KRISHNA M. SANTOS</t>
  </si>
  <si>
    <t>Leonito  De Leon Villanueva</t>
  </si>
  <si>
    <t>Rowena Fontilo Gutierrez</t>
  </si>
  <si>
    <t>Andy V. Claridad Visca Clarida</t>
  </si>
  <si>
    <t>Agnes Badilla Martino</t>
  </si>
  <si>
    <t>JOENIME B KAPINA</t>
  </si>
  <si>
    <t>Janet A. Pumalo</t>
  </si>
  <si>
    <t>Aaron Ace Gadiano Obedoza</t>
  </si>
  <si>
    <t>ISABELITA MILLO AMBROSIO</t>
  </si>
  <si>
    <t>Orea Attiwan</t>
  </si>
  <si>
    <t>Leslie A. Aguilar</t>
  </si>
  <si>
    <t>fe servigon tolentino</t>
  </si>
  <si>
    <t>Helen Germono Palisoc</t>
  </si>
  <si>
    <t>MARILYN J. PATALOD</t>
  </si>
  <si>
    <t>Mercy Gladys Santiago Cuenca</t>
  </si>
  <si>
    <t>Rogerio Cagas Acle</t>
  </si>
  <si>
    <t>Jojie B. Rabina</t>
  </si>
  <si>
    <t>Rowena Sanchez Ibis</t>
  </si>
  <si>
    <t>Mae Ann Olasiman Cutamora</t>
  </si>
  <si>
    <t>Lotes  N.  Flores</t>
  </si>
  <si>
    <t>Tranquiel Renan C Sabido</t>
  </si>
  <si>
    <t>mercy narvas</t>
  </si>
  <si>
    <t>RONALDO AFABLE TORRES</t>
  </si>
  <si>
    <t>JULIET VILLAR VALDEZ</t>
  </si>
  <si>
    <t>JULIETA VILLAR VALDEZ</t>
  </si>
  <si>
    <t>Jeffrey F Zamora</t>
  </si>
  <si>
    <t>SARAH T. TRINIDAD</t>
  </si>
  <si>
    <t>Angelina M De Vera</t>
  </si>
  <si>
    <t>Ronnie B. Alarte</t>
  </si>
  <si>
    <t>Johanna C. Bergonio</t>
  </si>
  <si>
    <t>Amador M. Leaño, Jr.</t>
  </si>
  <si>
    <t>Rowena A. Bañaga</t>
  </si>
  <si>
    <t>Merlita Mangalonzo Regonda</t>
  </si>
  <si>
    <t>Danilo Anggot Taucan</t>
  </si>
  <si>
    <t>Diogenes Laban Baniqued Posadas</t>
  </si>
  <si>
    <t>Mary Grace Garcia Soriano</t>
  </si>
  <si>
    <t>HENRY B CALUDUCAN</t>
  </si>
  <si>
    <t>HENRY C. DE GUZMAN</t>
  </si>
  <si>
    <t>Roy Alaon</t>
  </si>
  <si>
    <t>Mohmina P. Tanua</t>
  </si>
  <si>
    <t>WILLIAM UBA VALDE</t>
  </si>
  <si>
    <t>Alien Belleza Empaces</t>
  </si>
  <si>
    <t>Armando A Diada</t>
  </si>
  <si>
    <t>Ronald B. Muñez</t>
  </si>
  <si>
    <t>Marites F Ferrer</t>
  </si>
  <si>
    <t>MARY JANE AUSTRIA DE GALICIA</t>
  </si>
  <si>
    <t>Evelyn Villareal Palicpic</t>
  </si>
  <si>
    <t>Jormina M. Limoso</t>
  </si>
  <si>
    <t>DANIEL ORANI MENDOZA</t>
  </si>
  <si>
    <t>Julie Ann A Adap</t>
  </si>
  <si>
    <t>Rene E Maning</t>
  </si>
  <si>
    <t>Janet Bali Santua</t>
  </si>
  <si>
    <t>Engr. Roberto M Digay</t>
  </si>
  <si>
    <t>Dennis Ramos Delos Reyes</t>
  </si>
  <si>
    <t>Mark Adrian M. Rabara</t>
  </si>
  <si>
    <t>Annabelle V Ordonio</t>
  </si>
  <si>
    <t>Norlito Suba Atienza</t>
  </si>
  <si>
    <t>Paul De Guzman Salcedo</t>
  </si>
  <si>
    <t>Cynthia O Mones</t>
  </si>
  <si>
    <t>Imelda Quirante Gatdula</t>
  </si>
  <si>
    <t>Renoir A. Aguila</t>
  </si>
  <si>
    <t>Edna Cabunoc Sison</t>
  </si>
  <si>
    <t>SHIELLA MAY MANGOBA CORDOVA</t>
  </si>
  <si>
    <t>Dennis Sael Vibar</t>
  </si>
  <si>
    <t>Alver Abaya Mijares</t>
  </si>
  <si>
    <t>Sonny T. Villabert</t>
  </si>
  <si>
    <t>Apolinario Bautista Manibo</t>
  </si>
  <si>
    <t>Karol Kay T Amacio</t>
  </si>
  <si>
    <t>Ana Marie B. Piaoan</t>
  </si>
  <si>
    <t>Awhali Lacaya Arcega</t>
  </si>
  <si>
    <t>Roy Mercado Capupus</t>
  </si>
  <si>
    <t>Benito Soriano Andaya</t>
  </si>
  <si>
    <t>MC APRIL EULOGIO NAGARES</t>
  </si>
  <si>
    <t>Clarisa  T.  Gomez</t>
  </si>
  <si>
    <t>Marilyn Castro Corod</t>
  </si>
  <si>
    <t>EVA MADRIÑAN</t>
  </si>
  <si>
    <t>JAMES CINO ESTOYA</t>
  </si>
  <si>
    <t>Editha N. Agbayani</t>
  </si>
  <si>
    <t>Irene Nabor Medallada</t>
  </si>
  <si>
    <t>Edvil Urbiztondo Trillanes</t>
  </si>
  <si>
    <t>Carmelita S. Ramos</t>
  </si>
  <si>
    <t>Celine  A.  Velasco</t>
  </si>
  <si>
    <t>JANE MARIE KAREN LAMIGO CASINILLO</t>
  </si>
  <si>
    <t>Robert P. Velasquez</t>
  </si>
  <si>
    <t>Roden D. Bartolo</t>
  </si>
  <si>
    <t>TERESITA  BARCENA  PEÑALOSA</t>
  </si>
  <si>
    <t>MARIBEL  LAMIRE TOMINES</t>
  </si>
  <si>
    <t>Clark Lorenz Tomagan Victorino</t>
  </si>
  <si>
    <t>Jubeth Mico Gipatalagan</t>
  </si>
  <si>
    <t>Noel P. Patulot</t>
  </si>
  <si>
    <t>ALLAN ANGELES</t>
  </si>
  <si>
    <t xml:space="preserve">Julieth  Valladarez Acuna </t>
  </si>
  <si>
    <t>MERIAM B. DIMAILIG</t>
  </si>
  <si>
    <t>Benazir Lim Alam</t>
  </si>
  <si>
    <t>MARIA GRACIA  PATRON  DELA RAMA</t>
  </si>
  <si>
    <t>Lilybeth Duldulao Sagmaquen</t>
  </si>
  <si>
    <t>ANNE MARIE  P. PACATANG</t>
  </si>
  <si>
    <t>Rosemia R. Alama-Saliwato</t>
  </si>
  <si>
    <t>Dindo Bautista Gonzales</t>
  </si>
  <si>
    <t>rosena dimaculangan talavera</t>
  </si>
  <si>
    <t>DARIO K WAYAGWAG</t>
  </si>
  <si>
    <t>MARICHELLE FERRER</t>
  </si>
  <si>
    <t>ALEX HILARIO BALAAN</t>
  </si>
  <si>
    <t>Raymunda P. Espiritu</t>
  </si>
  <si>
    <t>Charlene Jumawan Oberes</t>
  </si>
  <si>
    <t>Ma. Charissa D. Abragan</t>
  </si>
  <si>
    <t>Robert De MesA</t>
  </si>
  <si>
    <t>Allan R. Guintapan</t>
  </si>
  <si>
    <t>Engr. Nashra Dalandangan Misquinan</t>
  </si>
  <si>
    <t>Lea Celemen Belen</t>
  </si>
  <si>
    <t>Jaime G. BAUTISTA</t>
  </si>
  <si>
    <t>ESTELITO PANGANIBAN GUALBERTO</t>
  </si>
  <si>
    <t>Maresol Cena Jacob</t>
  </si>
  <si>
    <t>CYNTHIA MARIE DE SAGUN</t>
  </si>
  <si>
    <t>Ma. Luz Irene Orbe</t>
  </si>
  <si>
    <t>Sharon Madamba Agbayani</t>
  </si>
  <si>
    <t>Editha P. Conejos</t>
  </si>
  <si>
    <t>Cristita Raquiza Grefiel</t>
  </si>
  <si>
    <t>LUCKY B. REMIGIO</t>
  </si>
  <si>
    <t>Glen Pampola Espirituo</t>
  </si>
  <si>
    <t>Hayley Adorna Acaso</t>
  </si>
  <si>
    <t>Cornelia Menao Rillera</t>
  </si>
  <si>
    <t>LEA C. BARASI</t>
  </si>
  <si>
    <t>Gorgonio Almanzor Atienza</t>
  </si>
  <si>
    <t>Nimfa Mendoza Derada</t>
  </si>
  <si>
    <t>LINO CORNELIO CECILIO TRIUNFO BASCUG</t>
  </si>
  <si>
    <t>Flora  Olermo</t>
  </si>
  <si>
    <t>Rowena Arcon Plando</t>
  </si>
  <si>
    <t>Cristine Joy V.  Lancheta</t>
  </si>
  <si>
    <t>Teodoro Cabrera Orlanes</t>
  </si>
  <si>
    <t>Angelita Serna Reveldez</t>
  </si>
  <si>
    <t>Cyriel Cabanero Calugas</t>
  </si>
  <si>
    <t>Marilou DC Garcia</t>
  </si>
  <si>
    <t>ROWEN BACUD TAPEC</t>
  </si>
  <si>
    <t>Agnes Lara Gabriel</t>
  </si>
  <si>
    <t>MARIA PAMELA TOLENTINO BACTOL</t>
  </si>
  <si>
    <t>Angelita Edoloverio Ocan</t>
  </si>
  <si>
    <t>Noryn B. Bagano</t>
  </si>
  <si>
    <t>donnalyn bautista padilla</t>
  </si>
  <si>
    <t>Cipriano Indencia Osunero</t>
  </si>
  <si>
    <t>James Michael L. Oro</t>
  </si>
  <si>
    <t>Alberto R. Madriaga</t>
  </si>
  <si>
    <t>LEVITA BAGASOL</t>
  </si>
  <si>
    <t>marcelino jr. viernes ramos</t>
  </si>
  <si>
    <t>ROMEO JARON ALVAREZ</t>
  </si>
  <si>
    <t>Jaycee Parungao Orcine</t>
  </si>
  <si>
    <t>LORNA ORIT ROA</t>
  </si>
  <si>
    <t>Gemma Del Mundo Nicolas</t>
  </si>
  <si>
    <t>Danilo  Melleza</t>
  </si>
  <si>
    <t>GERALD ZUNIEGA FLORES</t>
  </si>
  <si>
    <t>Ivy C. Huertas</t>
  </si>
  <si>
    <t>GLENDA SUBRASTAS GONZALES</t>
  </si>
  <si>
    <t>John Rey Doblon Gayoso</t>
  </si>
  <si>
    <t>MARILOU VILLANUEVA CALVO</t>
  </si>
  <si>
    <t>Marielle de leon</t>
  </si>
  <si>
    <t>ESTILITA QUINOS DELA CERNA</t>
  </si>
  <si>
    <t>GREENGEL A. CORPUZ</t>
  </si>
  <si>
    <t>GENELYN DYANCO POPA</t>
  </si>
  <si>
    <t>CELIA Manlangit OMALAY</t>
  </si>
  <si>
    <t>SALOME LUMABI SOLIVERES</t>
  </si>
  <si>
    <t>Christine G. Lopez</t>
  </si>
  <si>
    <t>Lea Callos</t>
  </si>
  <si>
    <t>Libner Evangelista</t>
  </si>
  <si>
    <t>Evelyn G Llamera</t>
  </si>
  <si>
    <t>Consorcio Manlangit Ferrer</t>
  </si>
  <si>
    <t>EDITHA DIZA GAUDIA</t>
  </si>
  <si>
    <t>SEVERINO TAMAYO TACAS, JR.</t>
  </si>
  <si>
    <t>Edwin Vergel De Dios David</t>
  </si>
  <si>
    <t>Dante Gardaya Dumlao Sr.</t>
  </si>
  <si>
    <t>Christian Macasaquit Colindres</t>
  </si>
  <si>
    <t>Juvylyn Viajar Bitang</t>
  </si>
  <si>
    <t>KEITH PARDIÑAN DIAZ</t>
  </si>
  <si>
    <t>Razel Mae Jucar Balcita</t>
  </si>
  <si>
    <t>Juvelyn  Caipan  Laguyan</t>
  </si>
  <si>
    <t>Josephine Escol Avenido</t>
  </si>
  <si>
    <t>Brian Dandan Sinalan</t>
  </si>
  <si>
    <t>Lorna P. Vilbar</t>
  </si>
  <si>
    <t>MARL PHILIP YAMSUAN CACHERO</t>
  </si>
  <si>
    <t>Maricel G. Serquiña</t>
  </si>
  <si>
    <t>Nelson B Denamarquez</t>
  </si>
  <si>
    <t>JONAS FELICIANO C. DOMINGO</t>
  </si>
  <si>
    <t>RONALDO B. DALUPING</t>
  </si>
  <si>
    <t>Nica Louise Quirante Eleazar</t>
  </si>
  <si>
    <t>Marife Moron Jabon</t>
  </si>
  <si>
    <t>Sukarno J. Minsuarez</t>
  </si>
  <si>
    <t>Zenaida Guimbaolibot Cotin</t>
  </si>
  <si>
    <t>AVA V. CADIMAS</t>
  </si>
  <si>
    <t>Joel A Tupaz</t>
  </si>
  <si>
    <t xml:space="preserve">Mario  Suriben  Bucsit </t>
  </si>
  <si>
    <t>Eric DM. Magpantay</t>
  </si>
  <si>
    <t>Arlene Seno Padilla</t>
  </si>
  <si>
    <t>Gloria Alberto</t>
  </si>
  <si>
    <t>ROCKY  Rodriguez LUPO</t>
  </si>
  <si>
    <t>Ma. Sandy M. Abutanmo</t>
  </si>
  <si>
    <t>DAHLEAH SOTTO REYES</t>
  </si>
  <si>
    <t>Jeanette M. Buera</t>
  </si>
  <si>
    <t>Jesse Belle Temporosa Lirazan</t>
  </si>
  <si>
    <t>CHRISTIAN CANO BENDECIO</t>
  </si>
  <si>
    <t>Edgar Funda Bandal</t>
  </si>
  <si>
    <t>Jessie Laguc Esteves</t>
  </si>
  <si>
    <t>Jeramel  Janohan Ladroma</t>
  </si>
  <si>
    <t>ELMER GATOC SILAO</t>
  </si>
  <si>
    <t>Judy Ann T Natividad</t>
  </si>
  <si>
    <t>Ronald M. Luntok</t>
  </si>
  <si>
    <t>KIM DELIZON MARQUITA</t>
  </si>
  <si>
    <t>Simplicio Bania Velitario</t>
  </si>
  <si>
    <t>Vincent Murillo Caang</t>
  </si>
  <si>
    <t>Rodolfo G. Reyes</t>
  </si>
  <si>
    <t>BENEDICTO ALTIS</t>
  </si>
  <si>
    <t>Duaymelin Marin Bardago</t>
  </si>
  <si>
    <t>Juanita Gadiano Tiaño</t>
  </si>
  <si>
    <t>Ryan Ibrado Bonghanoy</t>
  </si>
  <si>
    <t>Prospero Andres Bartolome</t>
  </si>
  <si>
    <t>CRISTINA Milante Ledesma</t>
  </si>
  <si>
    <t>Joan DM Vendiola</t>
  </si>
  <si>
    <t>Margeline Daladag</t>
  </si>
  <si>
    <t>MARIA CECILLE JAMITO MADERA</t>
  </si>
  <si>
    <t>Lailane L. Palustre</t>
  </si>
  <si>
    <t>Ruby E De Jong</t>
  </si>
  <si>
    <t>NIEL CARO ROSALES</t>
  </si>
  <si>
    <t>DEBBIE HERRAS ESCURO</t>
  </si>
  <si>
    <t>Nanette Mirasol Dulfo</t>
  </si>
  <si>
    <t>ANABELLE CHARLON NAILGA</t>
  </si>
  <si>
    <t>Alexander G. Diez</t>
  </si>
  <si>
    <t xml:space="preserve">Willy Acedilla  Clemente </t>
  </si>
  <si>
    <t>Anacleto Morideo Isla</t>
  </si>
  <si>
    <t>KENLEE-BERTH DALAWRAW PALMA</t>
  </si>
  <si>
    <t>DINA LUNA ESCALADA</t>
  </si>
  <si>
    <t>VIRGINIA ORTEGA BAGACAY</t>
  </si>
  <si>
    <t>Nim Rod Esguerra Bautista</t>
  </si>
  <si>
    <t>Mark Nikko Badiola</t>
  </si>
  <si>
    <t>Jaine Laid Savillaga</t>
  </si>
  <si>
    <t>ROLANDO NANTES EGOT</t>
  </si>
  <si>
    <t>Maria Teresa M. Silva</t>
  </si>
  <si>
    <t>Haziel Joy Adriano</t>
  </si>
  <si>
    <t>Jeffrey Celis Magadan</t>
  </si>
  <si>
    <t>Lovilla Breboneria Bisenio</t>
  </si>
  <si>
    <t>MARIO C. CAJARA</t>
  </si>
  <si>
    <t>Vee Marie Malmis Lusica</t>
  </si>
  <si>
    <t>IAN LLOYD REDONDO  TABAT</t>
  </si>
  <si>
    <t>Jerry R. de Guzman</t>
  </si>
  <si>
    <t>TINA JIMENEZ</t>
  </si>
  <si>
    <t>Ruth Saladar Macuja</t>
  </si>
  <si>
    <t>WILLY BILL ARBADO LABRADOR</t>
  </si>
  <si>
    <t>Romeo Malari Salvador</t>
  </si>
  <si>
    <t>Cheryl Mansaloon Mampalawod</t>
  </si>
  <si>
    <t>Vicente Raiz Velasco</t>
  </si>
  <si>
    <t>Jonas A Tesoro</t>
  </si>
  <si>
    <t>Myla Tualla Marana</t>
  </si>
  <si>
    <t>Adelfa Tiongco Lamangin</t>
  </si>
  <si>
    <t>JOEL A. ELUMBA</t>
  </si>
  <si>
    <t>John Salvacion Sambajon</t>
  </si>
  <si>
    <t>LAILANIE DE LEON CUARTO</t>
  </si>
  <si>
    <t>MARIO ABANTO TALLEDO</t>
  </si>
  <si>
    <t>Danilo Cornelia Montecino</t>
  </si>
  <si>
    <t>Marcus Andico Cupino</t>
  </si>
  <si>
    <t>Jocelyn Ebio Andes</t>
  </si>
  <si>
    <t>Helen Grace Tagas Rimando</t>
  </si>
  <si>
    <t>EYMARD CAPERIÑA ANGULO</t>
  </si>
  <si>
    <t>BERNARDO  RAMOS</t>
  </si>
  <si>
    <t>Emma Fernandez Sotto</t>
  </si>
  <si>
    <t>Telesforo Aguilar Mortega</t>
  </si>
  <si>
    <t>Ruben Dagayloan Barrios</t>
  </si>
  <si>
    <t>Andy Ralfh Villafuerte Conocono</t>
  </si>
  <si>
    <t>Florinda Z Babilonia</t>
  </si>
  <si>
    <t>Sonia Tomas Pasian</t>
  </si>
  <si>
    <t>Ma. Gemma Lasala</t>
  </si>
  <si>
    <t>Kristine Faith Bagoy Santillan</t>
  </si>
  <si>
    <t>Jennylyn Pelaez Vidaja</t>
  </si>
  <si>
    <t>Blas V. Lamug Jr.</t>
  </si>
  <si>
    <t>Angelico Daniel Moralita</t>
  </si>
  <si>
    <t>Lea Medina Caponpon</t>
  </si>
  <si>
    <t>EDGARDO CARFIN MONSERATE</t>
  </si>
  <si>
    <t>Marie Juvy Lalin Alera</t>
  </si>
  <si>
    <t>Rosalina Baniqued Belen</t>
  </si>
  <si>
    <t>Teodoro B. Camoc</t>
  </si>
  <si>
    <t>LOUIS SAGRADO BOLLOZOS</t>
  </si>
  <si>
    <t>Irene Bea Faustino</t>
  </si>
  <si>
    <t>Monalisa Umali Domen</t>
  </si>
  <si>
    <t>John Paolo Lanuza Vere</t>
  </si>
  <si>
    <t>PATRICIA HAGUPIT GRAGEDA</t>
  </si>
  <si>
    <t>PLGU Nueva Vizcaya (2nd Account)</t>
  </si>
  <si>
    <t>Nicasio Jr. Gallardo Barrios</t>
  </si>
  <si>
    <t>GERONIMO P. CASIL</t>
  </si>
  <si>
    <t>Alejandro Baes De Guzman</t>
  </si>
  <si>
    <t>Joel Guilao Bucao</t>
  </si>
  <si>
    <t>Delia Allaba Cagmat</t>
  </si>
  <si>
    <t>Barangay Poblacion</t>
  </si>
  <si>
    <t>Gilbert Dador Solidum</t>
  </si>
  <si>
    <t>Juliet Elaine Acuna</t>
  </si>
  <si>
    <t>Jackielyn Macahilo Marcelino</t>
  </si>
  <si>
    <t>Roger Bation Amantiad</t>
  </si>
  <si>
    <t>DANILO DE GUIA SIMON</t>
  </si>
  <si>
    <t>Nome R. Ricalde</t>
  </si>
  <si>
    <t>GERALYN CAÑAS</t>
  </si>
  <si>
    <t>Christine D. Batallones</t>
  </si>
  <si>
    <t>Evelyn Nava Pulvera</t>
  </si>
  <si>
    <t>Mary Dumangeng Baguilat</t>
  </si>
  <si>
    <t>Pinky Edna Anne Batuigas Mayola</t>
  </si>
  <si>
    <t>Jeaz Dela Cruz Campano</t>
  </si>
  <si>
    <t>Janice Luayon Montenegro</t>
  </si>
  <si>
    <t>Emilio G. Quanico</t>
  </si>
  <si>
    <t>Mary Ann N. Escoto</t>
  </si>
  <si>
    <t>Lynnette L. Vanzuela</t>
  </si>
  <si>
    <t>Ines Goden Lanzaderas</t>
  </si>
  <si>
    <t>Norlita A. Dela Cruz.</t>
  </si>
  <si>
    <t>Anesito Villamor Pestaño</t>
  </si>
  <si>
    <t>Bernardina Menzon Juarez</t>
  </si>
  <si>
    <t>Ma. Glysa Frias Rico</t>
  </si>
  <si>
    <t>Melvin Ortega Cejas</t>
  </si>
  <si>
    <t>Mary Ann Dique Manocdoc</t>
  </si>
  <si>
    <t>Jeric Edem Menoy</t>
  </si>
  <si>
    <t>Cecilia Besa Benavidez</t>
  </si>
  <si>
    <t>Geronimo Galang Greganda</t>
  </si>
  <si>
    <t>Marissa S Lauresta</t>
  </si>
  <si>
    <t>RONIL BALLENER TUPAS</t>
  </si>
  <si>
    <t>Ormil D.  Go</t>
  </si>
  <si>
    <t>Ann F. Encarnacion</t>
  </si>
  <si>
    <t>GRACE PONCE ARELLANO</t>
  </si>
  <si>
    <t>Reynaldo C. Deopido</t>
  </si>
  <si>
    <t>Felicisima Capistrano Balasabas</t>
  </si>
  <si>
    <t>BERNARDITHA BOLINA MILLETE</t>
  </si>
  <si>
    <t>Raquel Manlimos Cero</t>
  </si>
  <si>
    <t>Camille Obcena Idio</t>
  </si>
  <si>
    <t>Racquel Araña Catalan</t>
  </si>
  <si>
    <t>ALLAN P. RAMBANO</t>
  </si>
  <si>
    <t>Rebecca N. Tanate</t>
  </si>
  <si>
    <t>EDISON OMELES MANALO</t>
  </si>
  <si>
    <t>Roda Simbillo Dizon</t>
  </si>
  <si>
    <t>Norma C. Sarigumba</t>
  </si>
  <si>
    <t>Jocelyn M. Dano</t>
  </si>
  <si>
    <t>CINSP JERICKSON PATRIARCA MIRAFLOR</t>
  </si>
  <si>
    <t>Asnawi Ramos Dalidig</t>
  </si>
  <si>
    <t>Ryan Kake Baa</t>
  </si>
  <si>
    <t>EDUARDO EBANA JAQUILMAC</t>
  </si>
  <si>
    <t>Kim James Ferolino Sombilon</t>
  </si>
  <si>
    <t>Lynfe Marie Abrogar Serania</t>
  </si>
  <si>
    <t>Venus Enoc Daigan</t>
  </si>
  <si>
    <t>EDGIE SIMON DIMALANTA</t>
  </si>
  <si>
    <t>EMELDA DALING</t>
  </si>
  <si>
    <t>Vincent A. Tan</t>
  </si>
  <si>
    <t>Lorna Novero Riego</t>
  </si>
  <si>
    <t>Renejene M. Umali</t>
  </si>
  <si>
    <t>MARIE JANE ABING CLAVERO</t>
  </si>
  <si>
    <t>Wilson Garagan Viloria II</t>
  </si>
  <si>
    <t>Vivienne P. Belizario</t>
  </si>
  <si>
    <t>Maria Viña Ocampo Navarro</t>
  </si>
  <si>
    <t>Emelito Salvador Dela Cruz</t>
  </si>
  <si>
    <t>GERMAN M. DELA CRUZ</t>
  </si>
  <si>
    <t>Aldino Ariola Bazar</t>
  </si>
  <si>
    <t>Jeffrey  Sibobo</t>
  </si>
  <si>
    <t>Louven L. Matib</t>
  </si>
  <si>
    <t>Jocelyn  Gargar Caballero</t>
  </si>
  <si>
    <t>ISAGANI B. TIMTIM</t>
  </si>
  <si>
    <t>Mark Jayson R. Carabido</t>
  </si>
  <si>
    <t>Michelle Badong Solano</t>
  </si>
  <si>
    <t>Flordeliza Madamba Limon</t>
  </si>
  <si>
    <t>Margarita Mendoza Hipolito</t>
  </si>
  <si>
    <t>Ria Maris Alaiza Caterial</t>
  </si>
  <si>
    <t>RAIMUNDA MATUOD LUMANTAS</t>
  </si>
  <si>
    <t>Delia  R  Banico</t>
  </si>
  <si>
    <t>Maria Comia Barbachano</t>
  </si>
  <si>
    <t>Karleen G. Ramos</t>
  </si>
  <si>
    <t>Delfin Jr. P Aledro</t>
  </si>
  <si>
    <t>Maricel Vitasa Granada</t>
  </si>
  <si>
    <t>HEBER DELA TORRE CARIAGA</t>
  </si>
  <si>
    <t>Mila Rabe Asuncion</t>
  </si>
  <si>
    <t>Belen Bolalin Amata</t>
  </si>
  <si>
    <t>Bobster A. Paraiso</t>
  </si>
  <si>
    <t>Marion M. Navarez</t>
  </si>
  <si>
    <t>Zenaida Sahagun</t>
  </si>
  <si>
    <t>Mary Jean De Guzman Lozada</t>
  </si>
  <si>
    <t>JOCELYN AN VERDADERO</t>
  </si>
  <si>
    <t>Pedro Po Chong</t>
  </si>
  <si>
    <t>Marilyn P. Duran</t>
  </si>
  <si>
    <t>Daryl Baptista Daodaoang</t>
  </si>
  <si>
    <t>Darius Brod Delalamon Pelismino</t>
  </si>
  <si>
    <t>ROBERTO A CRISTOBAL</t>
  </si>
  <si>
    <t>MARIO LONTOC GUTIERREZ</t>
  </si>
  <si>
    <t>Lyn Grace Dotong Abanador</t>
  </si>
  <si>
    <t>Mark Neil Ansagay Recaido</t>
  </si>
  <si>
    <t>Rex J. Teves</t>
  </si>
  <si>
    <t>Jonathan Layson Altura</t>
  </si>
  <si>
    <t>Joel Aguanta Molde</t>
  </si>
  <si>
    <t>Mirasol Macaranas Rosano</t>
  </si>
  <si>
    <t>Joyce De Vera</t>
  </si>
  <si>
    <t>LEONARDO D AMORES</t>
  </si>
  <si>
    <t>Elizabeth M. Ragaza</t>
  </si>
  <si>
    <t>Josafat Lindong Caipang</t>
  </si>
  <si>
    <t>Bernardo Jr Natividad Nasis</t>
  </si>
  <si>
    <t>ANECITO A GRADO</t>
  </si>
  <si>
    <t>Dante Jr . Panes Luces</t>
  </si>
  <si>
    <t>Jacinto Guerta Ederosas</t>
  </si>
  <si>
    <t xml:space="preserve">Denver  Mirabueno  Pante </t>
  </si>
  <si>
    <t>NORBERTO EUGENIO DE LEON</t>
  </si>
  <si>
    <t>JACKELINE CAGAS PARAISO</t>
  </si>
  <si>
    <t>Sheila A. Naig</t>
  </si>
  <si>
    <t>Enrique Nochebuena Mocling</t>
  </si>
  <si>
    <t>Reynaldo Perez Raymundo</t>
  </si>
  <si>
    <t>Sherelyn Trias Laquindanum</t>
  </si>
  <si>
    <t>Ariel Mission Gallego</t>
  </si>
  <si>
    <t>Susan Dela Cruz</t>
  </si>
  <si>
    <t>Agnes Mendoza Bueno</t>
  </si>
  <si>
    <t>Grace G Asis</t>
  </si>
  <si>
    <t>MARIGOLD RIGUER GODOY</t>
  </si>
  <si>
    <t>Policarpio Eli Fontanilla Jr.</t>
  </si>
  <si>
    <t>Raul Antonio B Soniega</t>
  </si>
  <si>
    <t>LENI BUENSALIDA SABEROLA</t>
  </si>
  <si>
    <t>ROLAND  E.  PARINA</t>
  </si>
  <si>
    <t>Julieta   Nobo  Ayoc</t>
  </si>
  <si>
    <t>LEOD MARTIN BALAWANG PRESADO</t>
  </si>
  <si>
    <t>Leah S Osorio</t>
  </si>
  <si>
    <t>JEREMIAS RAÑOLA TUMAMAK</t>
  </si>
  <si>
    <t>Mamerto Soriano Olpindo Jr.</t>
  </si>
  <si>
    <t>JERELA BIELLE AMERNA AUSTRIA</t>
  </si>
  <si>
    <t>Demetrio Crudua Maligro</t>
  </si>
  <si>
    <t>Glenn Centino Quinto</t>
  </si>
  <si>
    <t>Barangay Baguinge</t>
  </si>
  <si>
    <t>MARISSA PANLILIO ORTIZ</t>
  </si>
  <si>
    <t>MARIJO M CAUINIAN</t>
  </si>
  <si>
    <t>Jay  Solima Subac</t>
  </si>
  <si>
    <t>Aldwin  Alcantara  Carandang</t>
  </si>
  <si>
    <t>Paolo Crispino Casiñas Sucalit</t>
  </si>
  <si>
    <t>Roda Dolores Franco</t>
  </si>
  <si>
    <t>Ruel Robina Ragas</t>
  </si>
  <si>
    <t>SANTEE C ESPARES</t>
  </si>
  <si>
    <t>FRANK F. FANGED</t>
  </si>
  <si>
    <t>Bernadette Llacer Belleza</t>
  </si>
  <si>
    <t>Romel Tupil Sabat</t>
  </si>
  <si>
    <t>Amorie Michele Marba Janubas</t>
  </si>
  <si>
    <t>Nuepe Junior Guyon Manuel</t>
  </si>
  <si>
    <t>Teresa A. Macapanas</t>
  </si>
  <si>
    <t>Virgie N Bartonico</t>
  </si>
  <si>
    <t>Mary Joy Olandria Hofana</t>
  </si>
  <si>
    <t>Alejandro Comprado Cuenca</t>
  </si>
  <si>
    <t>Melany Trinanes</t>
  </si>
  <si>
    <t>Juanito Barroga  Andres</t>
  </si>
  <si>
    <t>Jasmen Joguilon Pablo</t>
  </si>
  <si>
    <t>Sofia Faith Aboboto Andreo</t>
  </si>
  <si>
    <t>Joanne R. Marcial</t>
  </si>
  <si>
    <t>Joan macasaya magadia</t>
  </si>
  <si>
    <t>Lilibeth Sorio Tolentino</t>
  </si>
  <si>
    <t>Paterno O Hempeso</t>
  </si>
  <si>
    <t>Janine V. Baldovino</t>
  </si>
  <si>
    <t>Ronnie D. Morante</t>
  </si>
  <si>
    <t>Rowena Agrito Mongoso</t>
  </si>
  <si>
    <t>Victoria Gabieta Tille</t>
  </si>
  <si>
    <t>ROGELIO PAGAS LAQUINTA</t>
  </si>
  <si>
    <t>Jerome Bardoquillo Ramirez</t>
  </si>
  <si>
    <t>Rommel Aristotle Paraiso Varias</t>
  </si>
  <si>
    <t>JERRY S. ROSARIO</t>
  </si>
  <si>
    <t>Abigail Chiara Catalla Muñoz</t>
  </si>
  <si>
    <t>Marilou Yu Macapil</t>
  </si>
  <si>
    <t>Maila Rangga Cataylo</t>
  </si>
  <si>
    <t>Frazier L. Quinesio</t>
  </si>
  <si>
    <t>RONALDO BARUT</t>
  </si>
  <si>
    <t>ABETH JOSE BUENTIPO BARBA</t>
  </si>
  <si>
    <t>Lolita D Solis</t>
  </si>
  <si>
    <t>MERLA ARAMBURO REVECHE</t>
  </si>
  <si>
    <t>HAIDEE PEÑAMANTE AVELLANO</t>
  </si>
  <si>
    <t>Noel A Sillan</t>
  </si>
  <si>
    <t>Marissa M de la Cruz</t>
  </si>
  <si>
    <t>Arsenia Morcoso Ordiales</t>
  </si>
  <si>
    <t>Lindy Mendez Lojeco</t>
  </si>
  <si>
    <t>darlene anicia bautista galicia</t>
  </si>
  <si>
    <t>LILYBETH QUILLO ARIZALA</t>
  </si>
  <si>
    <t>Brenjune Bliss Gerong Calapre</t>
  </si>
  <si>
    <t>Debie Gildore Tan</t>
  </si>
  <si>
    <t>Caroline Tubongbanua Bucita</t>
  </si>
  <si>
    <t>Oliver Magtoto Layug</t>
  </si>
  <si>
    <t>LEILANI REQUINTA GUINTO</t>
  </si>
  <si>
    <t>Precila Gutierrez</t>
  </si>
  <si>
    <t>HERMILA D LAMBAN</t>
  </si>
  <si>
    <t>Jonathan Ramos Viernes</t>
  </si>
  <si>
    <t>Stanley Castro Ramirez</t>
  </si>
  <si>
    <t>MARIA CECILIA MENDOZA BERMAS</t>
  </si>
  <si>
    <t>Roel Pantullano Alulino</t>
  </si>
  <si>
    <t>ELMAR PASCUA PAGADUAN</t>
  </si>
  <si>
    <t>Nellie A Francisco</t>
  </si>
  <si>
    <t>Josephine Luya Aala</t>
  </si>
  <si>
    <t>Gil Bagares Llosa</t>
  </si>
  <si>
    <t>MARY FE L. MONTANO</t>
  </si>
  <si>
    <t>Jamaica Gruesco Ebrada</t>
  </si>
  <si>
    <t>MA. BELLA SUNGA FAJARDO</t>
  </si>
  <si>
    <t>Edgardo  E.  Dancel</t>
  </si>
  <si>
    <t>Ninez B. Regalado</t>
  </si>
  <si>
    <t>Jennifer C. Surilla</t>
  </si>
  <si>
    <t>LUCY FE M ELLAR</t>
  </si>
  <si>
    <t>Rosevida Y. Cadag</t>
  </si>
  <si>
    <t>Teresita O. Jasmin</t>
  </si>
  <si>
    <t>TEDDY C. BERNABE</t>
  </si>
  <si>
    <t>Dennis Tono Ventilacion</t>
  </si>
  <si>
    <t>Robert Pineda Lucero</t>
  </si>
  <si>
    <t>Ryan Anthony Agay Olalia</t>
  </si>
  <si>
    <t>NICKY JONNA P. PITALLANO</t>
  </si>
  <si>
    <t>Jayson Sierra Andaya</t>
  </si>
  <si>
    <t>Delberlyn V. Punzalan</t>
  </si>
  <si>
    <t>Bernadette Sanchez Ragay</t>
  </si>
  <si>
    <t>RAQUEL DAROY ATIENZAR</t>
  </si>
  <si>
    <t>Carol S Coloma</t>
  </si>
  <si>
    <t>Edgar Banzuela Balidoy</t>
  </si>
  <si>
    <t>Emily B. Mazon</t>
  </si>
  <si>
    <t>GLORIA SORIANO</t>
  </si>
  <si>
    <t>Ma. Celyn Noya Padpad</t>
  </si>
  <si>
    <t>CYNTHIA BACONGA PECORE</t>
  </si>
  <si>
    <t>Rojedy Arroyo Castro</t>
  </si>
  <si>
    <t>ANITA domingo TANDANG</t>
  </si>
  <si>
    <t>Maricel Iglesia Panistante</t>
  </si>
  <si>
    <t>Paul Brix P Advincula</t>
  </si>
  <si>
    <t>RIZALITO DELA CRUZ VERGARA</t>
  </si>
  <si>
    <t>Rosalie Galang Calma</t>
  </si>
  <si>
    <t>RAUL PANELO GALI</t>
  </si>
  <si>
    <t>KARL JOHN LAPASCUA</t>
  </si>
  <si>
    <t>Amuel Paul Dionisio Mallari</t>
  </si>
  <si>
    <t>Engr. Fernando B. Sarile Jr.</t>
  </si>
  <si>
    <t>Winibeth Rocamora Bonachita</t>
  </si>
  <si>
    <t>CERIACA E. DELMONTE</t>
  </si>
  <si>
    <t>Eddie cabacungan Acosta</t>
  </si>
  <si>
    <t>Lyzander Cedric D. Maandig</t>
  </si>
  <si>
    <t>Teresita Aquino Pabalan</t>
  </si>
  <si>
    <t>Nanette Villanueva Carlos</t>
  </si>
  <si>
    <t>Flordelis Ceniza</t>
  </si>
  <si>
    <t>Arnold Lucaben Paleng</t>
  </si>
  <si>
    <t>Zelina G Dela Cruz</t>
  </si>
  <si>
    <t>Ma. Vicenta To Malana</t>
  </si>
  <si>
    <t>Jessie Yanga Cabug</t>
  </si>
  <si>
    <t>Carolina D Uy</t>
  </si>
  <si>
    <t>RAMON ANSELMO CARBONERA CALAGOS</t>
  </si>
  <si>
    <t>Joseph Villa Echalas</t>
  </si>
  <si>
    <t>Jundel John Benavidez Cabanela</t>
  </si>
  <si>
    <t>Katherine B Ramos</t>
  </si>
  <si>
    <t>Mercy Gavino Valgomera</t>
  </si>
  <si>
    <t>Wulfranie Jr. M. Pascua</t>
  </si>
  <si>
    <t>Precilda Tagros Isidro</t>
  </si>
  <si>
    <t>Jubet N. Gnilo</t>
  </si>
  <si>
    <t>Ana Marie L. Tayag</t>
  </si>
  <si>
    <t>ARLENE BAUTISTA CASIPIT</t>
  </si>
  <si>
    <t>Rosalie Plaza Espinoza</t>
  </si>
  <si>
    <t>Sostenes M. Palero</t>
  </si>
  <si>
    <t>Gypsy Jennsen Arquio</t>
  </si>
  <si>
    <t>Mary Joy Ignas Pedrero</t>
  </si>
  <si>
    <t>DIOSCORO PAMAUS MAHINAY</t>
  </si>
  <si>
    <t>Dan T Tayo</t>
  </si>
  <si>
    <t>Alvin P. Justo</t>
  </si>
  <si>
    <t>Jessa Marie Trasmonte Ducay</t>
  </si>
  <si>
    <t>FERDINAND YU RICABLANCA</t>
  </si>
  <si>
    <t>Normita P. Tria</t>
  </si>
  <si>
    <t>Office of the Presidential Adviser on the Peace Process</t>
  </si>
  <si>
    <t>Raymundo H. Magsino</t>
  </si>
  <si>
    <t>Marichu Lachica Villa-real</t>
  </si>
  <si>
    <t>Lorna  M.  Basal</t>
  </si>
  <si>
    <t>Susan Marzan Casilang</t>
  </si>
  <si>
    <t>MELANIE GAMILDE GACUSAN</t>
  </si>
  <si>
    <t>Maribe Ballaran Diwata</t>
  </si>
  <si>
    <t>Joobe Rama Punay</t>
  </si>
  <si>
    <t>TRIPON MERCADO CONDEZA</t>
  </si>
  <si>
    <t>Petronio  C.  Tolentino</t>
  </si>
  <si>
    <t>Vanezza Blanche F Agbayani</t>
  </si>
  <si>
    <t>Rowena M. Torreflores</t>
  </si>
  <si>
    <t>JANET ARELLANO MONTEVERDE</t>
  </si>
  <si>
    <t>Camilo R. Ranosa</t>
  </si>
  <si>
    <t>Sheila Riva B. Soriaga</t>
  </si>
  <si>
    <t>GENEROSO P DORO</t>
  </si>
  <si>
    <t>Leo Tagalog Pardillo</t>
  </si>
  <si>
    <t>James Robert Maruya Firman</t>
  </si>
  <si>
    <t>CLINIA C EUSORES</t>
  </si>
  <si>
    <t>ROY LOPEZ ANOYA</t>
  </si>
  <si>
    <t>JESUS AGNOTE BALIDOY</t>
  </si>
  <si>
    <t>Regina S. Valdez</t>
  </si>
  <si>
    <t>Emma A. Jasmin</t>
  </si>
  <si>
    <t>Delia Cristobal Martin</t>
  </si>
  <si>
    <t>Ernesto Aranza Rivera</t>
  </si>
  <si>
    <t>Joy Andrade Salpin</t>
  </si>
  <si>
    <t>Melinda R Abanilla</t>
  </si>
  <si>
    <t>Armi Cecillia L. Dela Cruz</t>
  </si>
  <si>
    <t>Winifredo V. Duavis</t>
  </si>
  <si>
    <t>Marcial C. Comeros</t>
  </si>
  <si>
    <t>Donell Mark  Francisco Baranda</t>
  </si>
  <si>
    <t>FRANZE BETH S. NERI</t>
  </si>
  <si>
    <t>ruth villasana cumagun</t>
  </si>
  <si>
    <t>LEILANI NACIS VILLANUEVA</t>
  </si>
  <si>
    <t>Liwayway De Guzman Pangilinan</t>
  </si>
  <si>
    <t>Jonathan J. Bayona</t>
  </si>
  <si>
    <t>Hanz Cecilio Bernardo</t>
  </si>
  <si>
    <t>Marialyn Planes Utana</t>
  </si>
  <si>
    <t>RUEL M. CURTOM</t>
  </si>
  <si>
    <t>Reynaldo Ninon Manaog</t>
  </si>
  <si>
    <t>MA. SHELLA BOLALIN SUNAS</t>
  </si>
  <si>
    <t>CHRISTIANE JAYSON  CUIZON  PARAS</t>
  </si>
  <si>
    <t>MARVE MAHUSAY POSTERO</t>
  </si>
  <si>
    <t>Paulino Canoy</t>
  </si>
  <si>
    <t>Arlene Pobre Coloma</t>
  </si>
  <si>
    <t>Elmera Zabate Ebrada</t>
  </si>
  <si>
    <t>Marjune C. Vito</t>
  </si>
  <si>
    <t>GLENN H. TIANGHA</t>
  </si>
  <si>
    <t>Clemence  D.  Pobre</t>
  </si>
  <si>
    <t>LISETTE MILAGROSO ADRIANO</t>
  </si>
  <si>
    <t>GIRLIE SAZON MAUNDO</t>
  </si>
  <si>
    <t>LOUGEN SIQUIJOR SARITA</t>
  </si>
  <si>
    <t>Cesario R Bahalla</t>
  </si>
  <si>
    <t>ADA VERONICA C. GRECIA</t>
  </si>
  <si>
    <t>EDEM D. ABONITALLA</t>
  </si>
  <si>
    <t>JERUFFABELLE ARZADON BAUYON</t>
  </si>
  <si>
    <t>MARIA LUISA OFIAZA</t>
  </si>
  <si>
    <t>REBECCA CALUAG LOPEZ</t>
  </si>
  <si>
    <t>LUTGARDA SARABIA JUANICH</t>
  </si>
  <si>
    <t>Jennybeb Bedejo</t>
  </si>
  <si>
    <t>Arlene De Rama Manjares</t>
  </si>
  <si>
    <t>Antonio Alain Sarabia Espalabra</t>
  </si>
  <si>
    <t>Daniel Manrique Martinez</t>
  </si>
  <si>
    <t>Christelyn A. Aguro</t>
  </si>
  <si>
    <t>DIOSDADO A. PAULE</t>
  </si>
  <si>
    <t>Terso O. Abrantes</t>
  </si>
  <si>
    <t>Ademar R de Castro</t>
  </si>
  <si>
    <t>Rizalina Fernando Bueno</t>
  </si>
  <si>
    <t>JOEL CASTRO MORATA</t>
  </si>
  <si>
    <t>Nestor c Cayabyab Joves</t>
  </si>
  <si>
    <t>MARK JOSEPH CASTILLO FERNANDEZ</t>
  </si>
  <si>
    <t>Gracianito Lara Lucero</t>
  </si>
  <si>
    <t>ROMER LOREZCA</t>
  </si>
  <si>
    <t>Mariko C Iwaki</t>
  </si>
  <si>
    <t>Ruel Defensor Embuerga</t>
  </si>
  <si>
    <t>Gorgonio S. Cabañero Jr.</t>
  </si>
  <si>
    <t>ANTONIETO F PACAYRA</t>
  </si>
  <si>
    <t>Justine Nicole Concepcion Belen</t>
  </si>
  <si>
    <t>CONSUELO R. GEDUSPAN</t>
  </si>
  <si>
    <t>Reynald Garma Ramos</t>
  </si>
  <si>
    <t>Rotessa Vicedo Alipio</t>
  </si>
  <si>
    <t>Gerardo L. Dacles</t>
  </si>
  <si>
    <t>Glenn L Enesio</t>
  </si>
  <si>
    <t>Emilyn Gallegos Salvador</t>
  </si>
  <si>
    <t>MARICRIS PEDIDA MENDUA</t>
  </si>
  <si>
    <t>EDRALPH PANTALEON RAMOS</t>
  </si>
  <si>
    <t>Ma. Rossana Cabigting Fariñas</t>
  </si>
  <si>
    <t>Elsa Garcia Cancaida</t>
  </si>
  <si>
    <t>REGIE BAES AGNO</t>
  </si>
  <si>
    <t>Tirzo Esteban Valdez</t>
  </si>
  <si>
    <t>Gretchen V Papa</t>
  </si>
  <si>
    <t>ROMEO TORRICO OJAS JR.</t>
  </si>
  <si>
    <t>Edward Doctor Carillo</t>
  </si>
  <si>
    <t>ABRAHAM R BARROGA</t>
  </si>
  <si>
    <t>jerlyn reyes tabornal</t>
  </si>
  <si>
    <t>Noli D. Padagdag</t>
  </si>
  <si>
    <t>Rogelio T. Tuppil</t>
  </si>
  <si>
    <t>Letecia Arevalo Peñalosa</t>
  </si>
  <si>
    <t>Roy Ian A Resplandor</t>
  </si>
  <si>
    <t>NIÑO ROSANA TIAMA</t>
  </si>
  <si>
    <t>Relanie T Esta</t>
  </si>
  <si>
    <t>Cheriebelle T. Devaras</t>
  </si>
  <si>
    <t>Paulo D. Cagara</t>
  </si>
  <si>
    <t>Marmie Ann R. Garcia</t>
  </si>
  <si>
    <t>Ivylea Cantago</t>
  </si>
  <si>
    <t>Lynneth Bitchayda Peralta</t>
  </si>
  <si>
    <t>Reynaldo J Santiago</t>
  </si>
  <si>
    <t>Monico Sujide Sutacio</t>
  </si>
  <si>
    <t>Tedler Jr. H. Depaynos</t>
  </si>
  <si>
    <t>Leandro Ilagan</t>
  </si>
  <si>
    <t>JUSTINO MANAYAN DELA CRUZ</t>
  </si>
  <si>
    <t>JOVITA M. ESCASA</t>
  </si>
  <si>
    <t>Eleanor C. Laylo</t>
  </si>
  <si>
    <t>MELLY S. MALUNES</t>
  </si>
  <si>
    <t>Mariane B. Tingchuy</t>
  </si>
  <si>
    <t>Celestial S Flancia</t>
  </si>
  <si>
    <t>Dennis L Lim</t>
  </si>
  <si>
    <t>Rustom F. Abierra</t>
  </si>
  <si>
    <t>CLEOFE TUBA Polido</t>
  </si>
  <si>
    <t>Arnel Caparros Portales</t>
  </si>
  <si>
    <t>Edgar SJ Cruz</t>
  </si>
  <si>
    <t>MILDRED AUSA DELOS SANTOS</t>
  </si>
  <si>
    <t>Albert  Clarito  Calambro</t>
  </si>
  <si>
    <t>Cheryl Articona Cepriano</t>
  </si>
  <si>
    <t>ALVIN MAMONONG SEGUNDO</t>
  </si>
  <si>
    <t>Alfredo M. Alim</t>
  </si>
  <si>
    <t>Marvin T. Mosteiro</t>
  </si>
  <si>
    <t>JOAN JUDE R. LOPEZ</t>
  </si>
  <si>
    <t>GERARDO DALINOC CLEMENTE</t>
  </si>
  <si>
    <t>Epelita Mumar Andoy</t>
  </si>
  <si>
    <t>Nerisa Reyes Udani</t>
  </si>
  <si>
    <t>Lolito B. Aboy</t>
  </si>
  <si>
    <t>Belinda Abu</t>
  </si>
  <si>
    <t>Fedelina C. Libatique</t>
  </si>
  <si>
    <t>NIRO ROTE NINIANO</t>
  </si>
  <si>
    <t>Arlene A Amen</t>
  </si>
  <si>
    <t>Eustaquio Ligutan</t>
  </si>
  <si>
    <t>Martin A Telan</t>
  </si>
  <si>
    <t>Miriam Banaga Nohay</t>
  </si>
  <si>
    <t>Barangay Bokiawan Bokiawan</t>
  </si>
  <si>
    <t>Carmen Pingiton Pavon</t>
  </si>
  <si>
    <t>Carlo Niel P. Barangtay</t>
  </si>
  <si>
    <t>Warren Lorbis Rodriguez</t>
  </si>
  <si>
    <t xml:space="preserve">Glory June Tongson  Maravilla </t>
  </si>
  <si>
    <t>Merla A. Monje</t>
  </si>
  <si>
    <t>Lusdoc, Jr. Peliño Atanacio</t>
  </si>
  <si>
    <t>JOEL T. DAVID</t>
  </si>
  <si>
    <t>ROSE HABANA MARTINEZ</t>
  </si>
  <si>
    <t>ENGR. EDUARDO SALVADOR MANGOBA JR.</t>
  </si>
  <si>
    <t>Jay Francis Ibanez Dela Victoria</t>
  </si>
  <si>
    <t>Elmer Ventura Gallino</t>
  </si>
  <si>
    <t>Pedro F Caminero Jr.</t>
  </si>
  <si>
    <t>Barangay Ambabag</t>
  </si>
  <si>
    <t>Marben Mondoy Baker</t>
  </si>
  <si>
    <t>Mary Jane G Barrio</t>
  </si>
  <si>
    <t>Roberto Sr. M. Solito</t>
  </si>
  <si>
    <t>Warlito Yuson Suan</t>
  </si>
  <si>
    <t>Sweet L. Malima</t>
  </si>
  <si>
    <t>Ma. Lourdes P San Miguel</t>
  </si>
  <si>
    <t>EDELBERTO R. FRANCISCO</t>
  </si>
  <si>
    <t>Maricar Sangalang Eguia</t>
  </si>
  <si>
    <t>Jeffrey Asuncion Rabanal</t>
  </si>
  <si>
    <t>Perfecto Manabat Domingo Jr.</t>
  </si>
  <si>
    <t>Catherine Arguilles Bayron</t>
  </si>
  <si>
    <t>Corazon Parido Plameras</t>
  </si>
  <si>
    <t>Remegio Lao Saniel</t>
  </si>
  <si>
    <t>Darmo Sumat Ganiban</t>
  </si>
  <si>
    <t>Wilogine Taba Sarona</t>
  </si>
  <si>
    <t>Perfecto B Taduran</t>
  </si>
  <si>
    <t>ESTRELLA E. VINO</t>
  </si>
  <si>
    <t>Juliet N Siao</t>
  </si>
  <si>
    <t>Ma. Rolynda Basuil Manongas</t>
  </si>
  <si>
    <t>Anna Mae B. Elemia</t>
  </si>
  <si>
    <t>ELA PABLEO PAVILANDO</t>
  </si>
  <si>
    <t>DENNIS E DE GUZMAN</t>
  </si>
  <si>
    <t>Niña Aniñon Asis</t>
  </si>
  <si>
    <t>ATTY. CHRISTY JOY S SOLLESTA</t>
  </si>
  <si>
    <t>Joey Calimpusan Tonzo</t>
  </si>
  <si>
    <t>Jennibeth Ablong Dagodog</t>
  </si>
  <si>
    <t>Charito  G.  Caballero</t>
  </si>
  <si>
    <t>Gregoria De Castro Lalong-Isip</t>
  </si>
  <si>
    <t>Lilibeth Caudor Benedicto</t>
  </si>
  <si>
    <t>Pia B Abengoza</t>
  </si>
  <si>
    <t>SHIRNEY GAID LAROSA</t>
  </si>
  <si>
    <t>Wayne Oresco Calibayan</t>
  </si>
  <si>
    <t>Debbie Hibionada Lacsama</t>
  </si>
  <si>
    <t>Marlon Sibal Danao</t>
  </si>
  <si>
    <t>Rolando V. Miguel</t>
  </si>
  <si>
    <t>Prescilla Villar Libunao</t>
  </si>
  <si>
    <t>CIELO A URAGA</t>
  </si>
  <si>
    <t>Elsie N Almozara</t>
  </si>
  <si>
    <t>Timoteo, Sr. R Rey</t>
  </si>
  <si>
    <t>Gabriel Cardona Tilde</t>
  </si>
  <si>
    <t>Engr Renie R Albarina</t>
  </si>
  <si>
    <t>Hilaria S. Abonita</t>
  </si>
  <si>
    <t>Nelia Verano Alguno</t>
  </si>
  <si>
    <t>Rebecca Marcilla Agbay</t>
  </si>
  <si>
    <t>Annabelle De Vera Quiñones</t>
  </si>
  <si>
    <t>Reynal U Alvior</t>
  </si>
  <si>
    <t>Cynthia Balidoy Balin</t>
  </si>
  <si>
    <t>John Ian Silpa Rabe</t>
  </si>
  <si>
    <t>JHON HALLY SIMON ABAYA</t>
  </si>
  <si>
    <t>Cristina Rico Tabunda</t>
  </si>
  <si>
    <t>Ciscil B. Montemayor</t>
  </si>
  <si>
    <t>Arceli Magtanong Samson</t>
  </si>
  <si>
    <t>Martina Fe Acenas ARABIANA</t>
  </si>
  <si>
    <t>Donnalynn Waje Mercado</t>
  </si>
  <si>
    <t>Jezereel Esteban</t>
  </si>
  <si>
    <t>ATTY. EDGARDO J. GIL</t>
  </si>
  <si>
    <t>Maximo Jr. Pejo Magana</t>
  </si>
  <si>
    <t>Evelina Balaoro Ajero</t>
  </si>
  <si>
    <t>jennilyn dupiano Inway</t>
  </si>
  <si>
    <t>ERLINDA T. LABEÑA</t>
  </si>
  <si>
    <t>Romulo Junasa Galleto, Jr.</t>
  </si>
  <si>
    <t>Jojo T De Castro</t>
  </si>
  <si>
    <t>Gomer Liwanag Dado</t>
  </si>
  <si>
    <t>Dominador A Bucalbos</t>
  </si>
  <si>
    <t>Maria Elena B Pagay</t>
  </si>
  <si>
    <t>Abner Escobar Guilambo</t>
  </si>
  <si>
    <t>Elvis Ragadio Soria</t>
  </si>
  <si>
    <t>Angel Shieldon C Agan</t>
  </si>
  <si>
    <t>JANICE F.  PINEDA</t>
  </si>
  <si>
    <t>Rebecca O. Canes</t>
  </si>
  <si>
    <t>JIBBER  S.  SESUELOS</t>
  </si>
  <si>
    <t>LILIA DIAZ DE GUZMAN</t>
  </si>
  <si>
    <t>Madonna R. Pantoja</t>
  </si>
  <si>
    <t>Rogelio Jr. Dumlao Velasco</t>
  </si>
  <si>
    <t>Georgie  Lamparas Ruelan</t>
  </si>
  <si>
    <t>Delna Safulno Portillo</t>
  </si>
  <si>
    <t>Achiles Bermiso Lagao</t>
  </si>
  <si>
    <t>Evelyn Bengco Sibal</t>
  </si>
  <si>
    <t>JENNY TAMON CABALLERO</t>
  </si>
  <si>
    <t>RODELIZA ARTICULO ABAINZA</t>
  </si>
  <si>
    <t>Leomar Jepollo Orsolino</t>
  </si>
  <si>
    <t>NICANOR ARTIZA ORALIZA, JR.</t>
  </si>
  <si>
    <t>Amelia Aquino Malacaman</t>
  </si>
  <si>
    <t>Edsel Evangelista Espino</t>
  </si>
  <si>
    <t>Eusebia Sylvia Capina Calleja</t>
  </si>
  <si>
    <t>DIEGO EBRADA BAYONITO</t>
  </si>
  <si>
    <t>MA. VICTORIA LOPEZ CASTAÑEDA</t>
  </si>
  <si>
    <t>GENALIN DIAZ BIBOSO</t>
  </si>
  <si>
    <t>TIFFANY VIOLENTA LUMPAS</t>
  </si>
  <si>
    <t>Marilyn Anay Mojello</t>
  </si>
  <si>
    <t>Christopher Lacea Malayan</t>
  </si>
  <si>
    <t>Francisco Jr. Flores Bonifacio</t>
  </si>
  <si>
    <t>RICARDO  FLORENDO</t>
  </si>
  <si>
    <t>FERNANDO S PALITAYAN</t>
  </si>
  <si>
    <t>Dan Rommel Tonquin Gastala</t>
  </si>
  <si>
    <t>Sio King Sy Aurea</t>
  </si>
  <si>
    <t>Maricor Melorin Carbonilla</t>
  </si>
  <si>
    <t>Elmer Nev C Valenzuela</t>
  </si>
  <si>
    <t>RONNEL B GUNDOY</t>
  </si>
  <si>
    <t>Rosalie  A. Pelle</t>
  </si>
  <si>
    <t>Shirley Bruca Tadeo</t>
  </si>
  <si>
    <t>Gernar P Aviñante</t>
  </si>
  <si>
    <t>TEODOLFO MACDON NABOS</t>
  </si>
  <si>
    <t>Sally Malicay</t>
  </si>
  <si>
    <t>carmelo G. lingao</t>
  </si>
  <si>
    <t>Desiree B. Macamay</t>
  </si>
  <si>
    <t>Reynaldo Sumagaysay Belgira</t>
  </si>
  <si>
    <t>ROBERTO FLOGENCIO LUCAS</t>
  </si>
  <si>
    <t>Julie Ann Dizon Malig</t>
  </si>
  <si>
    <t>Imelda B. Palad</t>
  </si>
  <si>
    <t>Mharjelyn  Cagulada  Requino</t>
  </si>
  <si>
    <t>Ronnie B. Besa</t>
  </si>
  <si>
    <t>Joshua Abejero Adanza</t>
  </si>
  <si>
    <t>Peter Elvis Limpot Galleto</t>
  </si>
  <si>
    <t>Eric A. Amistad</t>
  </si>
  <si>
    <t>Gina  G.  Balaso</t>
  </si>
  <si>
    <t>CECIL  ORTIOLA</t>
  </si>
  <si>
    <t>Brian M. Luancing</t>
  </si>
  <si>
    <t>Samira Guimba Pagayao</t>
  </si>
  <si>
    <t>Jun Pajarillo  Vana</t>
  </si>
  <si>
    <t>Reno C Salazar</t>
  </si>
  <si>
    <t>Loy Joseph I Quitain</t>
  </si>
  <si>
    <t>RUEL ESTEPA BAUTISTA</t>
  </si>
  <si>
    <t>JONNA APOSTOL EDQUILA</t>
  </si>
  <si>
    <t>PHET E CALINGASAN</t>
  </si>
  <si>
    <t>Christie Magdalene J Pedroza</t>
  </si>
  <si>
    <t>Jessie Gutierrez Empis</t>
  </si>
  <si>
    <t>TERESITA FELICIDAD SACAYLE LUCAGBO</t>
  </si>
  <si>
    <t>Paulino V. Querubin</t>
  </si>
  <si>
    <t>CRISELDA MOSCA</t>
  </si>
  <si>
    <t>Cheryl Escoro Ortiz</t>
  </si>
  <si>
    <t>Lonaly Guardario Giray</t>
  </si>
  <si>
    <t>RONALD  RIVERA</t>
  </si>
  <si>
    <t>Gertrudes A Obedoza</t>
  </si>
  <si>
    <t>Edgardo M. De Leon</t>
  </si>
  <si>
    <t>Rosalie  Demontaño De Justo</t>
  </si>
  <si>
    <t>Luis Ferma</t>
  </si>
  <si>
    <t>Ma. Theresa Garcia Labo</t>
  </si>
  <si>
    <t>Jenn Glaiza Gallego</t>
  </si>
  <si>
    <t>Jose Albert A Barrogo</t>
  </si>
  <si>
    <t>KRISTOFFER JOHN GALVAN AMBUEGUIA</t>
  </si>
  <si>
    <t>MILROSE  L OMADLE</t>
  </si>
  <si>
    <t>Melchor O Quinto</t>
  </si>
  <si>
    <t>JULIE Q. ECONAR</t>
  </si>
  <si>
    <t>Editha M. Labaguis</t>
  </si>
  <si>
    <t>GREGORIO M ORDAS</t>
  </si>
  <si>
    <t>Teresita de la Torre Obin</t>
  </si>
  <si>
    <t>Myra Cabales Oriel</t>
  </si>
  <si>
    <t>Dave Renand Guimod</t>
  </si>
  <si>
    <t>Manuel Melis Ignacio</t>
  </si>
  <si>
    <t>Ma. Laiza AMor Espina Celmar</t>
  </si>
  <si>
    <t>MERIAM GALLO RAMOS</t>
  </si>
  <si>
    <t>PEREGRINA ERONICO CAROSUS</t>
  </si>
  <si>
    <t>Grecilda Dausen Marcelo</t>
  </si>
  <si>
    <t>Peachy Gom-os</t>
  </si>
  <si>
    <t>Fredie Ballesteros Ruiz</t>
  </si>
  <si>
    <t>Eliza Alvarez Quiambao</t>
  </si>
  <si>
    <t>SOLEDAD SEVILLA ESEQUE</t>
  </si>
  <si>
    <t>Rowena  C. Armado</t>
  </si>
  <si>
    <t>Percival Alferos Bonilla</t>
  </si>
  <si>
    <t>Brenda R. Morales</t>
  </si>
  <si>
    <t>Reynaldo Sagala Obrador</t>
  </si>
  <si>
    <t>ELLEN BARCENA ABELLA</t>
  </si>
  <si>
    <t>Isidro Lopez Tapar</t>
  </si>
  <si>
    <t>Rolly Ultra Cervantes</t>
  </si>
  <si>
    <t>Joly Comendador Barbarona</t>
  </si>
  <si>
    <t>Reynaldo V Pioquinto</t>
  </si>
  <si>
    <t>Karla Shane Ramos Patega</t>
  </si>
  <si>
    <t>Rizalyn M. Rivera</t>
  </si>
  <si>
    <t>Mary Melisande Jamoyot Andaya</t>
  </si>
  <si>
    <t>Rogelito Dumaicos Urbiztondo</t>
  </si>
  <si>
    <t>Maria Rosario Pernia Piodos</t>
  </si>
  <si>
    <t>Myrna Pascual Cabico</t>
  </si>
  <si>
    <t>Arnold Alba Perez</t>
  </si>
  <si>
    <t>PAQUITO  LOPEZ</t>
  </si>
  <si>
    <t>Carina Lucero Abrea</t>
  </si>
  <si>
    <t>Mary Grace  E.  Lumabi</t>
  </si>
  <si>
    <t>Ruben M. Ollete</t>
  </si>
  <si>
    <t>Rodrigo V. Custodio</t>
  </si>
  <si>
    <t>Edwardford Najera Dagatan</t>
  </si>
  <si>
    <t>Arben  Bulasa  Pamolarcano</t>
  </si>
  <si>
    <t>Jannette L. Fronda</t>
  </si>
  <si>
    <t>MARY FE GRACE MERCADO BENITO</t>
  </si>
  <si>
    <t>Franklin J. Legaspi</t>
  </si>
  <si>
    <t>ALMIRA PINOL LAPASARAN</t>
  </si>
  <si>
    <t>SANDRA TORAYNO UDANG</t>
  </si>
  <si>
    <t>Elmer A. Bajado</t>
  </si>
  <si>
    <t>Joshua John M. Carlos</t>
  </si>
  <si>
    <t>MARIBEL MOLINA REGASPI</t>
  </si>
  <si>
    <t>Jaynorin S Kalilangan</t>
  </si>
  <si>
    <t>Annielyn N JAVIER</t>
  </si>
  <si>
    <t>RICHARD PEREZ</t>
  </si>
  <si>
    <t>Chito M. Reporen</t>
  </si>
  <si>
    <t>Antonio Bartolo Mercado</t>
  </si>
  <si>
    <t>MERLINDA M. ANG</t>
  </si>
  <si>
    <t>Perlita Senarillos Pabillaran</t>
  </si>
  <si>
    <t>Felizardo  R.  Canama</t>
  </si>
  <si>
    <t>RAYMUND M. DIAZ</t>
  </si>
  <si>
    <t>CORSINO MALUBAY VASQUEZ</t>
  </si>
  <si>
    <t>KAREN JOY NAVARRO CARREON</t>
  </si>
  <si>
    <t>Haide D. Daclan</t>
  </si>
  <si>
    <t>HANILYN R AQUINO</t>
  </si>
  <si>
    <t>Celestial Galivo Alag</t>
  </si>
  <si>
    <t>Amalia Acay Ibarra</t>
  </si>
  <si>
    <t>Analita Ombay Cinco</t>
  </si>
  <si>
    <t>Bernie C Malinao</t>
  </si>
  <si>
    <t>Marlene  Castro  Sabado</t>
  </si>
  <si>
    <t>Samson Gavasan Gilo, Jr.</t>
  </si>
  <si>
    <t>Randy L Lubis</t>
  </si>
  <si>
    <t>ROMEL BARIA BALISANG</t>
  </si>
  <si>
    <t>Merlie Estolloso Maghari</t>
  </si>
  <si>
    <t>Francisco Salibongcogon Bulawit Jr.</t>
  </si>
  <si>
    <t>Hanz Willbur Domondon Quebral</t>
  </si>
  <si>
    <t>Francis Antonio Legaspi Flores</t>
  </si>
  <si>
    <t>Revine Claire S. Cantil</t>
  </si>
  <si>
    <t>Carlos L. Taguba</t>
  </si>
  <si>
    <t>Rose S. Sucgang</t>
  </si>
  <si>
    <t>Gerald B Alvaro</t>
  </si>
  <si>
    <t>Rainero Elmer Dingal Gerzon</t>
  </si>
  <si>
    <t>Flora May Sanchez Cabatana</t>
  </si>
  <si>
    <t>JOSEPHINE G. RECILLAS</t>
  </si>
  <si>
    <t>Edmar Tenio Tambis</t>
  </si>
  <si>
    <t>Allan Zonio Francisco</t>
  </si>
  <si>
    <t>JUNE IVY CIELOS MENDEZ</t>
  </si>
  <si>
    <t>Alvin R. San Pascual</t>
  </si>
  <si>
    <t>Pamela Sosa</t>
  </si>
  <si>
    <t>Roland Cuenca Grijalvo</t>
  </si>
  <si>
    <t>Ma. Annalyn S. Nolasco</t>
  </si>
  <si>
    <t>Aida Aquino Legaspi</t>
  </si>
  <si>
    <t>Evangeline Balan Lorenzo</t>
  </si>
  <si>
    <t>MARIA CONCEPCION ANTONIO DALERE</t>
  </si>
  <si>
    <t>Marvin Morallos</t>
  </si>
  <si>
    <t>Maria Teresa Silva Balunsay</t>
  </si>
  <si>
    <t>Ryan Chester G. Fong</t>
  </si>
  <si>
    <t>Enrique Bondoc Gonzales</t>
  </si>
  <si>
    <t>Florentino Rapliza Santos, Jr.</t>
  </si>
  <si>
    <t>Hilario Pacardo Gorgonia</t>
  </si>
  <si>
    <t>Cynthia Macenas Tumanut</t>
  </si>
  <si>
    <t>Jaqueline Pangilinan Dayao</t>
  </si>
  <si>
    <t>TITO CUERING TICTIC</t>
  </si>
  <si>
    <t>Andres Guillermo</t>
  </si>
  <si>
    <t>RENATO D. IGNACIO</t>
  </si>
  <si>
    <t>Rosella Alojado Villegas</t>
  </si>
  <si>
    <t>Federico III Daleno Rivero</t>
  </si>
  <si>
    <t>Isabel Grace Sosmeña Sambajon</t>
  </si>
  <si>
    <t>Atty. Anna Rosario P. Reyes</t>
  </si>
  <si>
    <t xml:space="preserve"> Elino  Mandia Marquez</t>
  </si>
  <si>
    <t>Toni Marc L Dargantes</t>
  </si>
  <si>
    <t>Wilson Merle Lopez</t>
  </si>
  <si>
    <t>Corazon A. Yamit Abao Yamit</t>
  </si>
  <si>
    <t>Eris Jay Agbas Gregana</t>
  </si>
  <si>
    <t>Ana De Guzman Asprec</t>
  </si>
  <si>
    <t>MARCHETA CALAMBA BRINA</t>
  </si>
  <si>
    <t>Jeffrey M. Paclibon</t>
  </si>
  <si>
    <t>Mirasol Hortelano Suan</t>
  </si>
  <si>
    <t>Gen Anderson Gonzales Tanhueco</t>
  </si>
  <si>
    <t>Romel C. Jardinaso</t>
  </si>
  <si>
    <t>Diosdado B Ceniza</t>
  </si>
  <si>
    <t>MARIVIC M MAMRIL</t>
  </si>
  <si>
    <t>Warlie Mangunay Gregorio</t>
  </si>
  <si>
    <t>Filomena S Acidera</t>
  </si>
  <si>
    <t>GIANNA J. ABRES</t>
  </si>
  <si>
    <t>Dennis Bandal Dalucapas</t>
  </si>
  <si>
    <t>Florencia Ang Arcillas</t>
  </si>
  <si>
    <t>Cecille T Sally</t>
  </si>
  <si>
    <t>ASISSA JOYMAE EDEM</t>
  </si>
  <si>
    <t>ANDREA A. FACUNLA</t>
  </si>
  <si>
    <t>Cecilia Notario Jumawan</t>
  </si>
  <si>
    <t>Augustus Abril U Turin</t>
  </si>
  <si>
    <t>Rosa Frades Camigao</t>
  </si>
  <si>
    <t>Charles  C. Sokoken</t>
  </si>
  <si>
    <t>Cynthia Eleonor Guno Manalo</t>
  </si>
  <si>
    <t>JED ARIES FAJARDO CASTRO</t>
  </si>
  <si>
    <t>Roel Basi Lachica</t>
  </si>
  <si>
    <t>Procopio Jr. Comendador Rule</t>
  </si>
  <si>
    <t>Ligaya M Antiola</t>
  </si>
  <si>
    <t>Mario E. Campilla</t>
  </si>
  <si>
    <t>Arnulfo A. Adana</t>
  </si>
  <si>
    <t>Evelyn  E.  Magno</t>
  </si>
  <si>
    <t>Erwin Garcia Catacutan</t>
  </si>
  <si>
    <t>MARK JAYSON LOMBOY FELIPE</t>
  </si>
  <si>
    <t>EDGAR RINGAD</t>
  </si>
  <si>
    <t>Noreen Lagahit</t>
  </si>
  <si>
    <t>Arnel Villamor Esller</t>
  </si>
  <si>
    <t>DANTE M. PALCUTO</t>
  </si>
  <si>
    <t>FELMA M. DEZA</t>
  </si>
  <si>
    <t>Mae Marie E Hernandez</t>
  </si>
  <si>
    <t>Efren Tanista Guanzon</t>
  </si>
  <si>
    <t>Magdalena Abenojar Ballesteros</t>
  </si>
  <si>
    <t>John Edmar Galang Barairo</t>
  </si>
  <si>
    <t>ROSEJOY TUAPEN MONTEJO</t>
  </si>
  <si>
    <t>EDITA DE VEYRA</t>
  </si>
  <si>
    <t>Wealtha Sanguenza Gomisong</t>
  </si>
  <si>
    <t>ROSA PASILIAO UNTALAN</t>
  </si>
  <si>
    <t>Susan Siacor Arsenio</t>
  </si>
  <si>
    <t>Roberto De Guzman Estrella</t>
  </si>
  <si>
    <t>Priscilla A Hernandez</t>
  </si>
  <si>
    <t>PRUDENCE ALENTON CATERIAL</t>
  </si>
  <si>
    <t>Imelda Ulita Matias</t>
  </si>
  <si>
    <t>LUEL JANE  G. SANTILLAN</t>
  </si>
  <si>
    <t>Betty Lou Gornez</t>
  </si>
  <si>
    <t>Sarah Katrina U. Clavero</t>
  </si>
  <si>
    <t>Leonila G. Lapada</t>
  </si>
  <si>
    <t>ELENITA REYES</t>
  </si>
  <si>
    <t>Stanley B Uriarte</t>
  </si>
  <si>
    <t>Enrico S Lazaro</t>
  </si>
  <si>
    <t>ROMEL RECTO PANSOY</t>
  </si>
  <si>
    <t>Enrique, Sr. Modesto Capilo</t>
  </si>
  <si>
    <t>Jesus, Jr. Anselmo Almaden</t>
  </si>
  <si>
    <t>Joseph  Mangco  Soriano</t>
  </si>
  <si>
    <t>Carmelita Calabia Argosino</t>
  </si>
  <si>
    <t>Antonio Mendoza Bautista</t>
  </si>
  <si>
    <t>Cenon Diaz Albina</t>
  </si>
  <si>
    <t>Rogelio Loy Magdaug, Jr.</t>
  </si>
  <si>
    <t>Miangelle A. Lacson</t>
  </si>
  <si>
    <t>Ariel E Fangonilo</t>
  </si>
  <si>
    <t>Elena Belacaol</t>
  </si>
  <si>
    <t>Solomon  Polancos Conejos</t>
  </si>
  <si>
    <t>Rizza C. Dela Cruz</t>
  </si>
  <si>
    <t>Renato Indiongco Santos</t>
  </si>
  <si>
    <t>Celso Retiro Esteban</t>
  </si>
  <si>
    <t>PAMELA AMOR ACTUB RAMOS</t>
  </si>
  <si>
    <t>Renz Michael Pabrua Salaguban</t>
  </si>
  <si>
    <t>Federico  D.  Almirol</t>
  </si>
  <si>
    <t>Edwin Francisco Argonza</t>
  </si>
  <si>
    <t>Fidelino R Alegre</t>
  </si>
  <si>
    <t>Verisima Sarigumba Calipusan</t>
  </si>
  <si>
    <t>Bryan Molina Mondejar</t>
  </si>
  <si>
    <t>Lorenzo Verzano</t>
  </si>
  <si>
    <t>Malvaro Gonzales</t>
  </si>
  <si>
    <t>Baby Jeany Abines Orendain</t>
  </si>
  <si>
    <t>HONEY MAE ALMAZAN MIRANDO</t>
  </si>
  <si>
    <t>CHRISTINE CACDAC BAGACAY</t>
  </si>
  <si>
    <t>Marichelle Ferrer</t>
  </si>
  <si>
    <t>MARIA SOL FABELLA CASUNCAD</t>
  </si>
  <si>
    <t>MYRA MUÑOZ MEDIANA</t>
  </si>
  <si>
    <t>FRANCIS ELLORIMO</t>
  </si>
  <si>
    <t>Fernando Cabasing Doinog Jr.</t>
  </si>
  <si>
    <t>RODNEY LABRADOR NABALONA</t>
  </si>
  <si>
    <t>Dianne April S Pangan</t>
  </si>
  <si>
    <t>Mavic Azuran</t>
  </si>
  <si>
    <t>Merlita L. Persia</t>
  </si>
  <si>
    <t>William Dizon Porcadilla</t>
  </si>
  <si>
    <t>Ramil Villaruel</t>
  </si>
  <si>
    <t>Epifanio D. Villasorca</t>
  </si>
  <si>
    <t>VANESSA JANE CEBALLOS LIM</t>
  </si>
  <si>
    <t>RUBY JEAN ESTRELLITA MARIÑO BIDAURE</t>
  </si>
  <si>
    <t>GERALD E FULAY</t>
  </si>
  <si>
    <t>Glenn Salac Sarador</t>
  </si>
  <si>
    <t>Nivea Kaye T. Reyes</t>
  </si>
  <si>
    <t>ANALYN BOGOY QUILANG</t>
  </si>
  <si>
    <t>Luxmay P Aleria</t>
  </si>
  <si>
    <t>Juliet Cabanlit Bagotchay</t>
  </si>
  <si>
    <t>Joselia Sapul Garcia</t>
  </si>
  <si>
    <t>Levy H. Lagutin Jr.</t>
  </si>
  <si>
    <t>Ronnie L Gutierrez</t>
  </si>
  <si>
    <t>Alfonso R Zara III</t>
  </si>
  <si>
    <t>Cecilia Ilao Pureza</t>
  </si>
  <si>
    <t>Liza Garcia Abrasado</t>
  </si>
  <si>
    <t>Christine Manulat Malagapo</t>
  </si>
  <si>
    <t>FEDERLY GARCIA FERRER</t>
  </si>
  <si>
    <t>Marlon Naoe Rimando</t>
  </si>
  <si>
    <t>Zenaida Aborot Veniegas</t>
  </si>
  <si>
    <t>BAC Secretariat II</t>
  </si>
  <si>
    <t>Renie R. Agbunag</t>
  </si>
  <si>
    <t>Jose Alvin Sumpay Mijares</t>
  </si>
  <si>
    <t>Jose Mario C Viernes</t>
  </si>
  <si>
    <t>Suezanie Ofalla Isonza</t>
  </si>
  <si>
    <t>Brigeda J. Alama</t>
  </si>
  <si>
    <t>Vincyl L. Solitario</t>
  </si>
  <si>
    <t>Kimberly Baring Alesna</t>
  </si>
  <si>
    <t>Rico C. Baccay</t>
  </si>
  <si>
    <t>Andrew Lim Pagayatan</t>
  </si>
  <si>
    <t>Zeus Sumaylo Lumancas</t>
  </si>
  <si>
    <t>Marion Acolentaba Balasa</t>
  </si>
  <si>
    <t>Wilna Obnimaga Redillas</t>
  </si>
  <si>
    <t>Abdulfatah Hadjiraof Mala-amama</t>
  </si>
  <si>
    <t>Noli T. Gandamon</t>
  </si>
  <si>
    <t>Roberto Alngag Chulsi</t>
  </si>
  <si>
    <t>JOEY EVANGELIO CORIMAO</t>
  </si>
  <si>
    <t>Marlon Salutan Dubla</t>
  </si>
  <si>
    <t>Jenny Lopez Castro</t>
  </si>
  <si>
    <t>JUDY MAE  GUINONTAO  ABUNDA</t>
  </si>
  <si>
    <t>JOSELYN D. DALISAY</t>
  </si>
  <si>
    <t>Rebecca Cequiña Remulta</t>
  </si>
  <si>
    <t>EUGENIA L. SALTOC</t>
  </si>
  <si>
    <t>Elena Nasiad Meralles</t>
  </si>
  <si>
    <t>ANGEL ARMENTA</t>
  </si>
  <si>
    <t>Hermie A Villa Jr.</t>
  </si>
  <si>
    <t>Neil Patrick Y. Cruz</t>
  </si>
  <si>
    <t>JOEL B. IDIOSOLO</t>
  </si>
  <si>
    <t>Erlan T. Guevara</t>
  </si>
  <si>
    <t>Emily E. Garcia</t>
  </si>
  <si>
    <t>rey b catchonite</t>
  </si>
  <si>
    <t>jemelda v dianton</t>
  </si>
  <si>
    <t>ARLENE TIBANG CUEVAS</t>
  </si>
  <si>
    <t>Marjolyn Valera</t>
  </si>
  <si>
    <t>Fidencio Cañete Paranas Jr.</t>
  </si>
  <si>
    <t>Sergio De Guzman Ramirez</t>
  </si>
  <si>
    <t>Melecio Cervantes Ubilas Jr.</t>
  </si>
  <si>
    <t>Leosald Briz</t>
  </si>
  <si>
    <t>ILLAN A. NAVAL</t>
  </si>
  <si>
    <t>Amelia Norada Villasanta</t>
  </si>
  <si>
    <t>Leila A Carpizo</t>
  </si>
  <si>
    <t>Joan M. dela Cruz</t>
  </si>
  <si>
    <t>Gladys Ramirez Montesa</t>
  </si>
  <si>
    <t>Marlone Templeton Buen</t>
  </si>
  <si>
    <t>Evangeline Cantal Del Rosario</t>
  </si>
  <si>
    <t>CLARIZA PELINO COBARRUBIAS</t>
  </si>
  <si>
    <t>Imelda "Imee" B. Guanzon</t>
  </si>
  <si>
    <t>Renato Leones Diaz</t>
  </si>
  <si>
    <t>AUSTOLIA CUBIAN LAWAG</t>
  </si>
  <si>
    <t>Charity A Ponteres</t>
  </si>
  <si>
    <t>Janine   Rabe  Sotelo</t>
  </si>
  <si>
    <t>PEDRO E. DE GUZMAN</t>
  </si>
  <si>
    <t>rhodora pelonia tan</t>
  </si>
  <si>
    <t>Flora Soy-a Garcia</t>
  </si>
  <si>
    <t>Marino Juera Malupa</t>
  </si>
  <si>
    <t>IVY COSTALES VALENCIA</t>
  </si>
  <si>
    <t>Imelou C. Asugui</t>
  </si>
  <si>
    <t>Riza Rizala Ladon</t>
  </si>
  <si>
    <t>Freddie Uraga Villajuan</t>
  </si>
  <si>
    <t>Shirley B. Zipagan</t>
  </si>
  <si>
    <t>Roweena G. Basa</t>
  </si>
  <si>
    <t>VICTOR M BUENO</t>
  </si>
  <si>
    <t>Tirso Endaya</t>
  </si>
  <si>
    <t>Ivy M. Rillera</t>
  </si>
  <si>
    <t>Jetriel Louie Albay Fenol</t>
  </si>
  <si>
    <t>Yolanda Cabana Estampa</t>
  </si>
  <si>
    <t>RANDY P. PALENCIA</t>
  </si>
  <si>
    <t>Arturo Santos Francisco</t>
  </si>
  <si>
    <t>Maricel Lagumbay Rubio</t>
  </si>
  <si>
    <t>Danilo Armacion Laguitan</t>
  </si>
  <si>
    <t>Mary Grace Buncaras</t>
  </si>
  <si>
    <t>Barbara Baylosis Sinco</t>
  </si>
  <si>
    <t>Nemia Barradas Monzones</t>
  </si>
  <si>
    <t>JULY REYES SUING</t>
  </si>
  <si>
    <t>Mars Z Julian</t>
  </si>
  <si>
    <t>ELISA VERGARA BORSIL</t>
  </si>
  <si>
    <t>ELVIRA VILLARIZ CAMACHO</t>
  </si>
  <si>
    <t>Ronald Nacario Villanueva</t>
  </si>
  <si>
    <t>Ireene Garcia Igot</t>
  </si>
  <si>
    <t>Sheila May Caceres Barilea</t>
  </si>
  <si>
    <t>AISHA APIAG DAGADAS</t>
  </si>
  <si>
    <t>Alfredo P. Pedrola</t>
  </si>
  <si>
    <t>JESSIE B COROTAN</t>
  </si>
  <si>
    <t>Dolrech Macrohon Albano</t>
  </si>
  <si>
    <t>EMELITO M YURO</t>
  </si>
  <si>
    <t>Edmer S. Polloso</t>
  </si>
  <si>
    <t>Sonny Boy Bautista Berbano</t>
  </si>
  <si>
    <t>Marfel Nonato Casanova Solidum</t>
  </si>
  <si>
    <t>MARIVIC CALABIO PRADO</t>
  </si>
  <si>
    <t>Wilfredo G Ocampo</t>
  </si>
  <si>
    <t>Carmen B. Cortes</t>
  </si>
  <si>
    <t>LEONIDO PAL-ING CATIEL</t>
  </si>
  <si>
    <t>Corazon O. Julian</t>
  </si>
  <si>
    <t>ALAN P. REMOT</t>
  </si>
  <si>
    <t>MARVIN E. LUCENA</t>
  </si>
  <si>
    <t>FELIX P ZIPAGAN</t>
  </si>
  <si>
    <t>Blesilda Virtucio Erejer</t>
  </si>
  <si>
    <t>Petronilo Rosello Arandia</t>
  </si>
  <si>
    <t>Manolito Monterde Corpuz</t>
  </si>
  <si>
    <t>JUNAR ESTA SIRIT</t>
  </si>
  <si>
    <t>OFELIA S. LEBARESOS</t>
  </si>
  <si>
    <t>VENN WEIR SIPALAY AÑONUEVO</t>
  </si>
  <si>
    <t>Kristina Omapas Racuya</t>
  </si>
  <si>
    <t>Michael A. Piodena</t>
  </si>
  <si>
    <t>Nymia T. Chavez</t>
  </si>
  <si>
    <t>Christine Joy Benin Anonuevo</t>
  </si>
  <si>
    <t>ROY DOLINO BENDANILLO</t>
  </si>
  <si>
    <t>Jaime Dapula Omaña</t>
  </si>
  <si>
    <t>DON BATOON SMITH</t>
  </si>
  <si>
    <t>ATTY. MARIA JONIKA GONZAGA ROMANO</t>
  </si>
  <si>
    <t>Joanna R. Hernandez</t>
  </si>
  <si>
    <t>Jorge Olaer Madrona</t>
  </si>
  <si>
    <t>NANCY GRACE FLORES RAFOLS</t>
  </si>
  <si>
    <t>Edgar B. Pedronan</t>
  </si>
  <si>
    <t>Imelda Rogelio</t>
  </si>
  <si>
    <t>KASIM AJALAL HASANIN</t>
  </si>
  <si>
    <t>Lily Saltarin Hermogino</t>
  </si>
  <si>
    <t>WINNIE FREDO MONES SONGCUAN</t>
  </si>
  <si>
    <t>Eloisa G Manabat</t>
  </si>
  <si>
    <t>CHARLIE  INALDO  VILLANUEVA</t>
  </si>
  <si>
    <t>Fernando Rendon Uy</t>
  </si>
  <si>
    <t>Samuel Cimeni Penales</t>
  </si>
  <si>
    <t>Jessie Canama Paquibo</t>
  </si>
  <si>
    <t>Melbur N. Melgazo</t>
  </si>
  <si>
    <t>MA. GINA LABASTIDA LESACA</t>
  </si>
  <si>
    <t>Elvina M Dotimas</t>
  </si>
  <si>
    <t>Merrynette Atanante Abella</t>
  </si>
  <si>
    <t>Marites Cabagyo Aldovino</t>
  </si>
  <si>
    <t>Arnel Tumbagahan Casimero</t>
  </si>
  <si>
    <t>Percival Ricafrente Taniegra</t>
  </si>
  <si>
    <t>MOHAMMAD JEBRAN MONTEROSO ESMAIL</t>
  </si>
  <si>
    <t>Joshua Roco Bello</t>
  </si>
  <si>
    <t>DIOSDADO PASCUAL</t>
  </si>
  <si>
    <t>Don-Don Macalalad</t>
  </si>
  <si>
    <t>RUBIE TAUTUAN QUIJANO</t>
  </si>
  <si>
    <t>Karen Lisette Trinidad Molas</t>
  </si>
  <si>
    <t>Julius Luis Juanito</t>
  </si>
  <si>
    <t>MARIA CRISTIE VARGAS BALMADRID</t>
  </si>
  <si>
    <t>DANILO B. MANUEL</t>
  </si>
  <si>
    <t>Melotina P. Cadiz</t>
  </si>
  <si>
    <t>Victor Alberca Asentista</t>
  </si>
  <si>
    <t>JOEL DALMACIA SUMAWANG</t>
  </si>
  <si>
    <t>Edgardo Pacay</t>
  </si>
  <si>
    <t>Rowen Asinas</t>
  </si>
  <si>
    <t>Kristel Capundan Rosello</t>
  </si>
  <si>
    <t>Grace Sumatra Orilla</t>
  </si>
  <si>
    <t>Lerma I. Matildo</t>
  </si>
  <si>
    <t>YUSOP ARBISON WEE</t>
  </si>
  <si>
    <t>Vivian Somoza</t>
  </si>
  <si>
    <t>Gertrude T. Daguio</t>
  </si>
  <si>
    <t>ROGELIO A. SON Sr.</t>
  </si>
  <si>
    <t>Arjay Louie Eu B. Cuanan</t>
  </si>
  <si>
    <t>JULIET BARING MONTEBON</t>
  </si>
  <si>
    <t>Ma. Rita Fallorina Ongbit</t>
  </si>
  <si>
    <t>EDNA QUINIO</t>
  </si>
  <si>
    <t>Grace P Hainto</t>
  </si>
  <si>
    <t>Imelda Sunico Alvarez</t>
  </si>
  <si>
    <t>Jesse II R Initan</t>
  </si>
  <si>
    <t>Gerry G Jucar</t>
  </si>
  <si>
    <t>Anellyn Montemayor Quiros</t>
  </si>
  <si>
    <t>Arsenia Legaspi Bayawa</t>
  </si>
  <si>
    <t>lea nugao de torres</t>
  </si>
  <si>
    <t>Geraldine Albeos Albero</t>
  </si>
  <si>
    <t>Rowena Dollente Dongsao</t>
  </si>
  <si>
    <t>Helen T Inutan</t>
  </si>
  <si>
    <t>Marilyn F. Chavez</t>
  </si>
  <si>
    <t>Tito Lolo Jusay</t>
  </si>
  <si>
    <t>Jose Galario Fernando</t>
  </si>
  <si>
    <t>MANUEL GACUTAN</t>
  </si>
  <si>
    <t>Charity Belacaol Evangelista</t>
  </si>
  <si>
    <t>Dahlia Amante Paragas</t>
  </si>
  <si>
    <t>ME LODINA JOHNSON SALAMANIA</t>
  </si>
  <si>
    <t>Ruth Embate Agustin</t>
  </si>
  <si>
    <t>JOSE PARALLAG TATTAO</t>
  </si>
  <si>
    <t>NORBEL SOBRADO SAA</t>
  </si>
  <si>
    <t>LOUISE GWEN ADVINCULA TABORETE</t>
  </si>
  <si>
    <t>Mechelle Ejandra</t>
  </si>
  <si>
    <t>MARIO G. GALIGAO</t>
  </si>
  <si>
    <t>FOR. ROMERO F NAVAJA, MGA, REB.</t>
  </si>
  <si>
    <t>Ariel C. Hiquiana</t>
  </si>
  <si>
    <t>cheryl pacit namo</t>
  </si>
  <si>
    <t>Monica A. Tuguinay</t>
  </si>
  <si>
    <t>Cecilia  Pelare  Osmena</t>
  </si>
  <si>
    <t>Ely S Ciasico</t>
  </si>
  <si>
    <t>CHARYMELLE O FORONDA</t>
  </si>
  <si>
    <t>Naomi Asendiente Bajao</t>
  </si>
  <si>
    <t>Dexter Risma Sarcon</t>
  </si>
  <si>
    <t>Elma Seraphelle Magdaug Bulagao</t>
  </si>
  <si>
    <t>Haze Berlene Portugal Puno</t>
  </si>
  <si>
    <t>Datuali Talembo</t>
  </si>
  <si>
    <t>Salome D. Diel</t>
  </si>
  <si>
    <t>Xavier Bugaoan Viloria</t>
  </si>
  <si>
    <t>Emmanuel D Salomes</t>
  </si>
  <si>
    <t>Abdullah M. Dipatuan</t>
  </si>
  <si>
    <t>Leo F. Ferraris</t>
  </si>
  <si>
    <t>Arnold Villanueva Dao</t>
  </si>
  <si>
    <t>PABLO PAMINTUAN BASCO</t>
  </si>
  <si>
    <t>Caren N. Songcuya</t>
  </si>
  <si>
    <t>SCHERJAN MOOSA C. IBRAHIM</t>
  </si>
  <si>
    <t>Julius Gali Estacio</t>
  </si>
  <si>
    <t>JOSE TEPPANG GALACINAO</t>
  </si>
  <si>
    <t>John Louie G. Rebollos</t>
  </si>
  <si>
    <t>NORMA  TONGUIA  SEPRIA</t>
  </si>
  <si>
    <t>Ramon Gamboa Burgos</t>
  </si>
  <si>
    <t>Mary Grace B. Dulnuan</t>
  </si>
  <si>
    <t>JANE KULPO LIKIGAN</t>
  </si>
  <si>
    <t>Donato Panaligan</t>
  </si>
  <si>
    <t>Josephine Caadlawon Miñoza</t>
  </si>
  <si>
    <t>KATRINA ATIENZO TULIAO</t>
  </si>
  <si>
    <t>MARIA LOURDES PEREA TIANGCO</t>
  </si>
  <si>
    <t>CAMALIGAN BARANGAYS</t>
  </si>
  <si>
    <t>EUGENE ZAMUDIO PIOQUINTO</t>
  </si>
  <si>
    <t>Rowena R. Roseos</t>
  </si>
  <si>
    <t>ELVIRA GERVACIO MALIMATA</t>
  </si>
  <si>
    <t>Servando Lonzon Amparo Jr.</t>
  </si>
  <si>
    <t>Cerespink Alcantara Aguila</t>
  </si>
  <si>
    <t>GINA D. ABENIO</t>
  </si>
  <si>
    <t>Peter  S.  Sobrevega</t>
  </si>
  <si>
    <t>Melicita T Capulong</t>
  </si>
  <si>
    <t>Vivian Macaraig Santos</t>
  </si>
  <si>
    <t>Eugene Jr. I. Macahis</t>
  </si>
  <si>
    <t>Queenzel Dela Cruz Obregon</t>
  </si>
  <si>
    <t>Julito Monteclaro Maglacas</t>
  </si>
  <si>
    <t>LINA COLMINAS ZARCO</t>
  </si>
  <si>
    <t>INOCENCIA AREVALO DELES</t>
  </si>
  <si>
    <t>Marivic  Niere  Villamero</t>
  </si>
  <si>
    <t>Rainie John B. Tubigan</t>
  </si>
  <si>
    <t>Joan Carillo Adolfo</t>
  </si>
  <si>
    <t>Herbie B De Lemios</t>
  </si>
  <si>
    <t>PEDERITO BERSABE GUIANAN</t>
  </si>
  <si>
    <t>Anabelle T. Abana</t>
  </si>
  <si>
    <t>MARTINA B. ROSALES</t>
  </si>
  <si>
    <t>Cynthia Urubio Lozano</t>
  </si>
  <si>
    <t>EDWARD ALIGUYON CARIÑO</t>
  </si>
  <si>
    <t>RAFAEL CAÑETE JR</t>
  </si>
  <si>
    <t>Victor O Nuico</t>
  </si>
  <si>
    <t>Norbert C Sotoya II</t>
  </si>
  <si>
    <t>Nelia B. Mejia</t>
  </si>
  <si>
    <t>Al Rasheed Olivo Sapto</t>
  </si>
  <si>
    <t>Sandra Caturan Dagani</t>
  </si>
  <si>
    <t>Wilfredo U. Salvador</t>
  </si>
  <si>
    <t>Roweiji F. Bautista</t>
  </si>
  <si>
    <t>Richard Pandita Sanlocan</t>
  </si>
  <si>
    <t>Marilyn N. Ontolan</t>
  </si>
  <si>
    <t>MA. VICTORIA ROMERO GABA</t>
  </si>
  <si>
    <t>SHERLITA ARIÑO PALMA</t>
  </si>
  <si>
    <t>Vergie Ramos Vergara</t>
  </si>
  <si>
    <t>SALVADOR P ACEBUCHE</t>
  </si>
  <si>
    <t>Vizenn Tumasis Tomesa</t>
  </si>
  <si>
    <t>Alan Beltran Lejarde</t>
  </si>
  <si>
    <t>KEN EMERY B. MARTINEZ</t>
  </si>
  <si>
    <t>Ma. Stineli B Magdadaro</t>
  </si>
  <si>
    <t>Carmelita V. Correos</t>
  </si>
  <si>
    <t>Atty. Aime R. Rodaje</t>
  </si>
  <si>
    <t>JOHN HORCASITAS GAMAD</t>
  </si>
  <si>
    <t>Edgar Ramirez Bompat</t>
  </si>
  <si>
    <t>Rose C Aliño</t>
  </si>
  <si>
    <t>Rhodora Francisco Tradio</t>
  </si>
  <si>
    <t>Alma de las alas Lafuente</t>
  </si>
  <si>
    <t>Roselle  P. Ponte</t>
  </si>
  <si>
    <t>VIOLA  P.  MONTILLA</t>
  </si>
  <si>
    <t>JOEMAR ARANDELA NAIFE</t>
  </si>
  <si>
    <t>Romeo Payumo</t>
  </si>
  <si>
    <t>emiliano jimenez</t>
  </si>
  <si>
    <t>Sherra Gutierrez Espina</t>
  </si>
  <si>
    <t>PEDRITO BALANO TOLIBAS</t>
  </si>
  <si>
    <t>Noel Bigayan</t>
  </si>
  <si>
    <t>ANABELLE CELESTE WANIA</t>
  </si>
  <si>
    <t>James Beltran</t>
  </si>
  <si>
    <t>Cheri May Nazareno Tila</t>
  </si>
  <si>
    <t>Jennifer Baguio Ganancial</t>
  </si>
  <si>
    <t>Lorelie Geronimo Pacquiao</t>
  </si>
  <si>
    <t>Rosa Katherine J. Angeles</t>
  </si>
  <si>
    <t>Donald Glenn M Lanzado</t>
  </si>
  <si>
    <t>Carmen Formaran Valdoria</t>
  </si>
  <si>
    <t>cyril villareal saragosala</t>
  </si>
  <si>
    <t>Ernesto Pahayac Salinasal</t>
  </si>
  <si>
    <t>Remedios Dela Luz</t>
  </si>
  <si>
    <t>FELY CACALDO VILLO</t>
  </si>
  <si>
    <t>RODELIO ALDAY BERNARDO</t>
  </si>
  <si>
    <t>EDGAR  B. CAÑADA</t>
  </si>
  <si>
    <t>FERILYN OLHACHAN MARCELO</t>
  </si>
  <si>
    <t>Helen  A.  Cleofas</t>
  </si>
  <si>
    <t>Antonio T Chan</t>
  </si>
  <si>
    <t>Rosana Tee Rogando</t>
  </si>
  <si>
    <t>Evangeline L Sarlon</t>
  </si>
  <si>
    <t>Ronie S. Dela Calzada</t>
  </si>
  <si>
    <t>Leizel  O.  Hernando</t>
  </si>
  <si>
    <t>Arlene Radam Ureta</t>
  </si>
  <si>
    <t>Vivencia Lelis</t>
  </si>
  <si>
    <t>Ferdinand B Caberoy</t>
  </si>
  <si>
    <t>Edwin Sapa Jomao-as</t>
  </si>
  <si>
    <t>Christopher Mabulay Rizo</t>
  </si>
  <si>
    <t>Igmedio Santiago Casticon, CESE</t>
  </si>
  <si>
    <t>Danilo B. Solis</t>
  </si>
  <si>
    <t>Mario Malelang Llanes</t>
  </si>
  <si>
    <t>Balligi Wandas Quitor</t>
  </si>
  <si>
    <t>Jossy  B.  Jasmin</t>
  </si>
  <si>
    <t>WILFREDO DUQUE TORRADO</t>
  </si>
  <si>
    <t>ELVIS R. CUIZON</t>
  </si>
  <si>
    <t>Angelu  Ternida  Literal</t>
  </si>
  <si>
    <t>Jocelyn C Fantional</t>
  </si>
  <si>
    <t>Liza Ebora Roxas</t>
  </si>
  <si>
    <t>Yondre Jaen Yonder</t>
  </si>
  <si>
    <t>Hilario Yoshy Casem</t>
  </si>
  <si>
    <t>Erlindo Jr. Cabug</t>
  </si>
  <si>
    <t>IRISH LUMANLANG INAANURAN</t>
  </si>
  <si>
    <t>Lenyln M. Pagay</t>
  </si>
  <si>
    <t>NOEL C. MANGKIKIS</t>
  </si>
  <si>
    <t>Aracel Santos</t>
  </si>
  <si>
    <t>Helen B. Olaer</t>
  </si>
  <si>
    <t>Jacquiline Lanutan Tagaca</t>
  </si>
  <si>
    <t>Ana Lorraine Endaya Ellarina</t>
  </si>
  <si>
    <t>REA AXALAN RAMOS</t>
  </si>
  <si>
    <t>Victorio J Jimenez</t>
  </si>
  <si>
    <t>Canuto, Jr Adalin Paluga</t>
  </si>
  <si>
    <t>MACRINA A DECANO</t>
  </si>
  <si>
    <t>Gerardo Jr. V Viloria</t>
  </si>
  <si>
    <t>Dennis Juabot Mangubat</t>
  </si>
  <si>
    <t>Adelaida Tosing Diega</t>
  </si>
  <si>
    <t>Ruby L. Nicolas</t>
  </si>
  <si>
    <t>BOYET BANDOJA ALUAN</t>
  </si>
  <si>
    <t>Renalin Serame</t>
  </si>
  <si>
    <t>Vivian Ploteña</t>
  </si>
  <si>
    <t>Gerard  Masalig Morales</t>
  </si>
  <si>
    <t>Norberto San Antonio Corpuz Jr.</t>
  </si>
  <si>
    <t>Nelson C Alcantara</t>
  </si>
  <si>
    <t>DOLMAR Q. ACERO</t>
  </si>
  <si>
    <t>SOFRONIO B. DACILLO, JR.</t>
  </si>
  <si>
    <t>Erasto A Llagas</t>
  </si>
  <si>
    <t>JEMSEL  Sr. DETALO VALDEZ</t>
  </si>
  <si>
    <t>CIRILA BAGUIO ARRIESGADO</t>
  </si>
  <si>
    <t>Maria Victoria S Aquino</t>
  </si>
  <si>
    <t>Romy Alusen Bucalen</t>
  </si>
  <si>
    <t>Imelda Benigno Agbayani</t>
  </si>
  <si>
    <t>CHRISTOPER G BLANCO</t>
  </si>
  <si>
    <t>Luis, Jr. Artieda Albacete</t>
  </si>
  <si>
    <t>Mark Paul Dayaguit Risos</t>
  </si>
  <si>
    <t>MELINDA VERDADERO CLARO</t>
  </si>
  <si>
    <t>Raphael  V  Siojo</t>
  </si>
  <si>
    <t>RICARDO CERIALES PATULA</t>
  </si>
  <si>
    <t>Ferdinand G. Razonable</t>
  </si>
  <si>
    <t>Jomar Beltran Torres</t>
  </si>
  <si>
    <t>Leon P Atienza</t>
  </si>
  <si>
    <t>Ceferino C. Oryan</t>
  </si>
  <si>
    <t>Gracita Roma Baguion</t>
  </si>
  <si>
    <t>Estanislao V. Cayanan</t>
  </si>
  <si>
    <t>Lani Maog Tumbaga</t>
  </si>
  <si>
    <t>AMADOR III CUPIDO PORTAJADA</t>
  </si>
  <si>
    <t>Candelaria Ubana Estremos</t>
  </si>
  <si>
    <t>Amy Dulig Dacumos</t>
  </si>
  <si>
    <t>Christopher Salamanca Cristobal</t>
  </si>
  <si>
    <t>Elmer Gumpad Manzano</t>
  </si>
  <si>
    <t>Emmalyn Telamo</t>
  </si>
  <si>
    <t>April Joy R Tambis</t>
  </si>
  <si>
    <t>Violy Jane Jalandoni Flores</t>
  </si>
  <si>
    <t>Valerio Dalmacio Baban</t>
  </si>
  <si>
    <t>Ricardo M Tupaz</t>
  </si>
  <si>
    <t>ANDREA CRISTINE PERFIÑAN</t>
  </si>
  <si>
    <t>Christopher Bañez Asuncion</t>
  </si>
  <si>
    <t>Ma. Soledad F Baquiran</t>
  </si>
  <si>
    <t>Marylee Enriquez De Castro</t>
  </si>
  <si>
    <t>Felicilda F Sano</t>
  </si>
  <si>
    <t>Morena Corcuera Mendoza</t>
  </si>
  <si>
    <t>Mary Grace Siducon Taugan</t>
  </si>
  <si>
    <t>Alicia Bravo</t>
  </si>
  <si>
    <t>DENIS BALAYO INGARAN</t>
  </si>
  <si>
    <t>Marfen Guinmapang Corvera</t>
  </si>
  <si>
    <t>ANTONIETA  T.  PIE</t>
  </si>
  <si>
    <t>Oliver Nobles Casincad</t>
  </si>
  <si>
    <t>Maximo H Salvatierra</t>
  </si>
  <si>
    <t>Roland S Antonio</t>
  </si>
  <si>
    <t>Ryan Delos Reyes</t>
  </si>
  <si>
    <t>DANILO B DALISAY</t>
  </si>
  <si>
    <t>GIEBERT GORDUIZ OLAIS</t>
  </si>
  <si>
    <t>Jasmin R. Rio</t>
  </si>
  <si>
    <t>GERALDINE O AGRAVANTE</t>
  </si>
  <si>
    <t>Gilbert Paul F Platon</t>
  </si>
  <si>
    <t>ESTRELLA T. SAPURAS</t>
  </si>
  <si>
    <t>NESTOR DAING QUIROG</t>
  </si>
  <si>
    <t>RUBEN F MABALOT</t>
  </si>
  <si>
    <t>Riavida Macalolot Soriaga</t>
  </si>
  <si>
    <t>Karen Rose Uy Flores</t>
  </si>
  <si>
    <t>Annette Francisco Virtudazo</t>
  </si>
  <si>
    <t>MARIA SALOME CHAN JUMANG-IT</t>
  </si>
  <si>
    <t>Susan Balasta Basbas</t>
  </si>
  <si>
    <t>Vicente Garzon Sabino</t>
  </si>
  <si>
    <t>Isidra E. Tumale</t>
  </si>
  <si>
    <t>Nenita Roña Andres</t>
  </si>
  <si>
    <t>Monera Ferrer Pramis</t>
  </si>
  <si>
    <t>Juliet Corregidor Custodio</t>
  </si>
  <si>
    <t>Gilbert C. Colegado</t>
  </si>
  <si>
    <t>PERPETUA MACABABBAD ONATE</t>
  </si>
  <si>
    <t>Joemel Bolongaita Recamara</t>
  </si>
  <si>
    <t>ALVIN ANTHONY REQUINA ABUCEJO</t>
  </si>
  <si>
    <t>JOMAR JACOBO</t>
  </si>
  <si>
    <t>BIENVENIDO ALMAZAN MARTINEZ</t>
  </si>
  <si>
    <t>ERNEL PRAVA MAYONGUE</t>
  </si>
  <si>
    <t>Erwin Fronda Torida</t>
  </si>
  <si>
    <t>Eunice Pilapil Narbonita</t>
  </si>
  <si>
    <t>Gloria S Dungo</t>
  </si>
  <si>
    <t>Arturieto P Ramigoso</t>
  </si>
  <si>
    <t>Helen Capuyan Suico</t>
  </si>
  <si>
    <t>Ma. Wiena Lofranco Saguid</t>
  </si>
  <si>
    <t>Mary Joy P Lachica</t>
  </si>
  <si>
    <t>Bevs A Santino</t>
  </si>
  <si>
    <t>Leonora Lumayag Ofredo</t>
  </si>
  <si>
    <t>Amelita Miras Mercado</t>
  </si>
  <si>
    <t>Domingo Dela Cruz Parong</t>
  </si>
  <si>
    <t>JUBERT  D.  TUTOR</t>
  </si>
  <si>
    <t>Joel  Ecat  Malatag</t>
  </si>
  <si>
    <t>Arjean Villacorta Jumamoy</t>
  </si>
  <si>
    <t>Delfin Delinea</t>
  </si>
  <si>
    <t>Joel Aculan Zartiga</t>
  </si>
  <si>
    <t>Ma. Isabel N. Argueza</t>
  </si>
  <si>
    <t>Sheree Graycochea Carino</t>
  </si>
  <si>
    <t>ELI PAUL PERANTE RAYMUNDO</t>
  </si>
  <si>
    <t>Abner H Labaniego</t>
  </si>
  <si>
    <t>Jocelyn Mosqueda Abaya</t>
  </si>
  <si>
    <t>LINA PESCADOR DORAL</t>
  </si>
  <si>
    <t>MA. THERESA REMOROFF BARROSO</t>
  </si>
  <si>
    <t>Angelito Leccio Estrada</t>
  </si>
  <si>
    <t>Salvacion Cericos Rangasa</t>
  </si>
  <si>
    <t>Angelie  Pacunla Dela Torre</t>
  </si>
  <si>
    <t>Richard Cammayo Malayao</t>
  </si>
  <si>
    <t>Ian Cris Latonio Cadile</t>
  </si>
  <si>
    <t>Mylene Pabo Barroga</t>
  </si>
  <si>
    <t>Fe Hesita Lopez</t>
  </si>
  <si>
    <t>Randy C. Brandino</t>
  </si>
  <si>
    <t>Raul Tampus Lumbatan</t>
  </si>
  <si>
    <t>MA. CECILIA REYES POTESTADES</t>
  </si>
  <si>
    <t>RAYMOORE A ARTATES</t>
  </si>
  <si>
    <t>MAYLA J MAGTIBAY</t>
  </si>
  <si>
    <t>DANTE OBEDENCIO CABARON</t>
  </si>
  <si>
    <t>Beatriz Dumapay Pascual</t>
  </si>
  <si>
    <t>HILARIO, JR. NAGUIT MALIWAT</t>
  </si>
  <si>
    <t>ERWIN A CRUZADA</t>
  </si>
  <si>
    <t>Ouija Soberon Brillo</t>
  </si>
  <si>
    <t>Ives M Ebrada</t>
  </si>
  <si>
    <t>Vivian Enriquez Villanueva</t>
  </si>
  <si>
    <t>MARK WILLIAM BIGORNIA OSANA</t>
  </si>
  <si>
    <t>Necitas V Perez</t>
  </si>
  <si>
    <t>NOEL AZARCON AGOR</t>
  </si>
  <si>
    <t>Honorio L. Cascolan</t>
  </si>
  <si>
    <t>Lorena Baltazar Copon</t>
  </si>
  <si>
    <t>ANTONIO JR FREIRES FECUNDO</t>
  </si>
  <si>
    <t>Christa Ocampo Nicolas</t>
  </si>
  <si>
    <t>EDISON TANALIGA GUTIERREZ</t>
  </si>
  <si>
    <t>ZALDY RADOMES PACAYRA</t>
  </si>
  <si>
    <t>Generoso Padilla</t>
  </si>
  <si>
    <t>RONNIE P. VALERA</t>
  </si>
  <si>
    <t>Jose Marie Ortiz Canlapan</t>
  </si>
  <si>
    <t>WILSON NARVAIS CABRALES</t>
  </si>
  <si>
    <t>Rafael J Oreta</t>
  </si>
  <si>
    <t>Conrado Samar Sabater Jr.</t>
  </si>
  <si>
    <t>Laica Datu Nayre</t>
  </si>
  <si>
    <t>Sarah Cortes Cudera</t>
  </si>
  <si>
    <t>Joann Joy Aseniero Vargas</t>
  </si>
  <si>
    <t>MICHAEL D. MUNAR</t>
  </si>
  <si>
    <t>Arlene Salongcay</t>
  </si>
  <si>
    <t>Aser G Sadava</t>
  </si>
  <si>
    <t>Bernard Sepe Magbanua</t>
  </si>
  <si>
    <t>ELIZABETH  PAGULONG  ESCOZA</t>
  </si>
  <si>
    <t>Noel Bañas Nanquil</t>
  </si>
  <si>
    <t>FELIX SARACANLAO DOREZA</t>
  </si>
  <si>
    <t>Victor Ariong Aglipay</t>
  </si>
  <si>
    <t>Melvin B. Arevalo</t>
  </si>
  <si>
    <t>Michael P Arayan</t>
  </si>
  <si>
    <t>Mary Jane Rabaya Santiago</t>
  </si>
  <si>
    <t>Virginia Jimenez Nicolas</t>
  </si>
  <si>
    <t>Cristina Tamayao</t>
  </si>
  <si>
    <t>HELEN JON  SORROSA ALFARAS ALFARAS</t>
  </si>
  <si>
    <t>Romel Barbas Bermejo</t>
  </si>
  <si>
    <t>Julita A. Santos</t>
  </si>
  <si>
    <t>Ricarte De Guzman Tadeja</t>
  </si>
  <si>
    <t>Nestor Angel L. Salazar</t>
  </si>
  <si>
    <t>Josephine Taruc Ocampo</t>
  </si>
  <si>
    <t>LEMUEL ESPINA AN</t>
  </si>
  <si>
    <t>GIRLIE MENOSO DIESMA</t>
  </si>
  <si>
    <t>Kris Kringle Tamayo Lopez</t>
  </si>
  <si>
    <t>Dr. Peter S. Sobrevega</t>
  </si>
  <si>
    <t>Lucio Berong Cortes</t>
  </si>
  <si>
    <t>LAILA FUERTES DANAQUE</t>
  </si>
  <si>
    <t>Ariel Manarang Escoto</t>
  </si>
  <si>
    <t>CHARITO POBLETE CHAVEZ</t>
  </si>
  <si>
    <t>Marnell Carreon Ubaldo</t>
  </si>
  <si>
    <t>Rhea G Aquino</t>
  </si>
  <si>
    <t>Asunypel Tandug Julao</t>
  </si>
  <si>
    <t>EDITHA LOPEZ LARON</t>
  </si>
  <si>
    <t>RICARDO MENIANO YAMON</t>
  </si>
  <si>
    <t>Abdul Rahman Coliling Palao</t>
  </si>
  <si>
    <t>Melanie Sergio Pili</t>
  </si>
  <si>
    <t>France Josephine Camua Bautista</t>
  </si>
  <si>
    <t>ROMMEL Tangpuz COSTINIANO</t>
  </si>
  <si>
    <t>AURORA MARGARET D. DIEZA</t>
  </si>
  <si>
    <t>ANTHONY  ARTHUR D. FERNANDEZ</t>
  </si>
  <si>
    <t>Corazon J. Garcillas</t>
  </si>
  <si>
    <t>felicidad bernardino tiaga</t>
  </si>
  <si>
    <t>CHARLENE DE NAVA ALDEA</t>
  </si>
  <si>
    <t>Elenito  Domingo  Dela Cruz</t>
  </si>
  <si>
    <t>ROBERT M. VALLES</t>
  </si>
  <si>
    <t>Camille L Maraviles</t>
  </si>
  <si>
    <t>Tita L. Capcap</t>
  </si>
  <si>
    <t>Juliana Marcelo Reyes, MD, MHA</t>
  </si>
  <si>
    <t>TEODORO A. QUINTANA, JR.</t>
  </si>
  <si>
    <t>Vincent Ian Mejia Malijan</t>
  </si>
  <si>
    <t>Rommel Rebucas Jandayan</t>
  </si>
  <si>
    <t>Clark Wendell P Lising</t>
  </si>
  <si>
    <t>MARIA SHEILA HERMANO SUMILANG</t>
  </si>
  <si>
    <t>Arra B Alpajaro</t>
  </si>
  <si>
    <t>Jan Carlo Bucayan Palugod</t>
  </si>
  <si>
    <t>ANA LOU A. CHUA</t>
  </si>
  <si>
    <t>Julius Caducano Bartolome</t>
  </si>
  <si>
    <t>MELICIA MANALO BALAHIBO</t>
  </si>
  <si>
    <t xml:space="preserve">ROWENA FLOR  M.  AGLUBAT </t>
  </si>
  <si>
    <t>Victor Destacamento Detera</t>
  </si>
  <si>
    <t>LEONARDO MADEJA, JR.</t>
  </si>
  <si>
    <t>Josefa Lagaya</t>
  </si>
  <si>
    <t>Francisco D. Diaz</t>
  </si>
  <si>
    <t>Michelle Marantal Lacar</t>
  </si>
  <si>
    <t>EDDIE RELUYA ANTISODA</t>
  </si>
  <si>
    <t>Roy Villamor De Chavez</t>
  </si>
  <si>
    <t>Reynaldo Chavez Taladtad</t>
  </si>
  <si>
    <t>Bryan S. Javier</t>
  </si>
  <si>
    <t>RAY-JAY LANZARROTE EMBOLTORIO</t>
  </si>
  <si>
    <t>JOHN REFUERZO PILOT</t>
  </si>
  <si>
    <t>Jeffrey Almanzor II</t>
  </si>
  <si>
    <t>SHIELA MARIE MACAUYAG CABAHUG</t>
  </si>
  <si>
    <t>Eloida L Samonte</t>
  </si>
  <si>
    <t>GENARO M MERINO</t>
  </si>
  <si>
    <t>George uy So</t>
  </si>
  <si>
    <t>Loue Ayag Bernales</t>
  </si>
  <si>
    <t>MARISTELA SIMBAJON CAMAONGAY</t>
  </si>
  <si>
    <t>Rosalinda Cortez Jabonillo</t>
  </si>
  <si>
    <t>MARIA ROSARIO DURAN BALBOA</t>
  </si>
  <si>
    <t>JOENAR VARGAS AGRAVANTE</t>
  </si>
  <si>
    <t>IAN M. LLLONA</t>
  </si>
  <si>
    <t>SETTE HANNAH D. DAKULA</t>
  </si>
  <si>
    <t>Giovanne Tan  Lim</t>
  </si>
  <si>
    <t>JOEBAEL D MOHAMAD</t>
  </si>
  <si>
    <t>Rey R. Fausto</t>
  </si>
  <si>
    <t>Myra Cecilia Donila Grata</t>
  </si>
  <si>
    <t>MIA ENRIQUE BALAT</t>
  </si>
  <si>
    <t>Pete Jorrel P. Mendoza</t>
  </si>
  <si>
    <t>Angel D. Pundao</t>
  </si>
  <si>
    <t>Gredalie Rivera Acopio</t>
  </si>
  <si>
    <t>NELSON YBAÑEZ GABAYAN</t>
  </si>
  <si>
    <t>Mario Rey Bernales Donadillo</t>
  </si>
  <si>
    <t>Rolando C. Lumboy</t>
  </si>
  <si>
    <t>Sherwin S. Gagatiga</t>
  </si>
  <si>
    <t>Clarito Blanche Cadiz</t>
  </si>
  <si>
    <t>Azor B Quijano</t>
  </si>
  <si>
    <t>MARICAR H DIPUTADO</t>
  </si>
  <si>
    <t>BENZON TENORIO GERMAN</t>
  </si>
  <si>
    <t>Sukarno M Hadjinor</t>
  </si>
  <si>
    <t>Bienvenido Capilitan Barrera, Jr.</t>
  </si>
  <si>
    <t>MARINELO F EMRALINO</t>
  </si>
  <si>
    <t>Elizabeth Valdemoro Cruz</t>
  </si>
  <si>
    <t>Danilo R. Corpuz</t>
  </si>
  <si>
    <t>Eliseo Martin Catubag</t>
  </si>
  <si>
    <t>Almar Cagas Acevedo</t>
  </si>
  <si>
    <t>Mary Jean Garrido Demonteverde</t>
  </si>
  <si>
    <t>Ralph Martin Romero Roque</t>
  </si>
  <si>
    <t>Nilo Eduarte Diesta</t>
  </si>
  <si>
    <t>Elvie Villanueva Diaz</t>
  </si>
  <si>
    <t>BERNARDINO DELA CRUZ ANDRES</t>
  </si>
  <si>
    <t>Rommel S Santos</t>
  </si>
  <si>
    <t>Rodolfo L Bautista</t>
  </si>
  <si>
    <t>EVELYN COLUMBRES MALIGAD</t>
  </si>
  <si>
    <t>Theresa Legaspi</t>
  </si>
  <si>
    <t>Frederick Misamis Docdoc</t>
  </si>
  <si>
    <t>Cecilia Ledesma  Cain</t>
  </si>
  <si>
    <t>RENANTE LAUNIO LEONARDO</t>
  </si>
  <si>
    <t>Angel, Jr. S. Ramos</t>
  </si>
  <si>
    <t>CHARLTON LIU UY</t>
  </si>
  <si>
    <t>Paul Cornejo Matienzo</t>
  </si>
  <si>
    <t>mary ann corpuz paguio</t>
  </si>
  <si>
    <t>Maria Liezl Clam Gutang</t>
  </si>
  <si>
    <t>Vicente Dellatan Alcoriza</t>
  </si>
  <si>
    <t>Maribeth Berug</t>
  </si>
  <si>
    <t>LEILANI BACALE CASIMPAN</t>
  </si>
  <si>
    <t>Antonio Geyrozaga Daugdaug</t>
  </si>
  <si>
    <t>MARY ANN SARTORIO BAENA</t>
  </si>
  <si>
    <t>RANNIER JOHN C. FAJARDO</t>
  </si>
  <si>
    <t>Donnabel Manzano Justo</t>
  </si>
  <si>
    <t>LANNIE MAE C DINGAL</t>
  </si>
  <si>
    <t>VILMA N FLORES</t>
  </si>
  <si>
    <t>MARIE ANN V. SISON</t>
  </si>
  <si>
    <t>Mansueto Ibale Diangco</t>
  </si>
  <si>
    <t>Arni Nidoy Abad</t>
  </si>
  <si>
    <t>Rodrigo, Jr. Nacaya Valmoria</t>
  </si>
  <si>
    <t>Ellyne Marie Kee Aligarbes</t>
  </si>
  <si>
    <t>GIGI FLORES CORONEL</t>
  </si>
  <si>
    <t>JERRY SOLONIA SENOC</t>
  </si>
  <si>
    <t>Ramon Jacinto M Rodrigo</t>
  </si>
  <si>
    <t>Julius Dapitilla Palma</t>
  </si>
  <si>
    <t>Jovanie Lucero Culintas</t>
  </si>
  <si>
    <t>HON. JOHN ABAO</t>
  </si>
  <si>
    <t>MARIA KRISHEA ALCALA DE LIMA</t>
  </si>
  <si>
    <t>Criselle Mhae Hilario Rele</t>
  </si>
  <si>
    <t>Eduviges A. Pajimna</t>
  </si>
  <si>
    <t>NOEL RENDON BUSCA</t>
  </si>
  <si>
    <t>Jonathan Factolerin Trinidad</t>
  </si>
  <si>
    <t>MARGARITA B. QUILALANG</t>
  </si>
  <si>
    <t>Lara Joy Diaz Vasquez</t>
  </si>
  <si>
    <t>Iris Gelbolingo Ortega</t>
  </si>
  <si>
    <t>Adam  V. Ramilo</t>
  </si>
  <si>
    <t>ANNA LHE BOLIVAR TULIO</t>
  </si>
  <si>
    <t>Jeffrey Ross Mendoza Navarro</t>
  </si>
  <si>
    <t>Robert John Donesa</t>
  </si>
  <si>
    <t>Romeo L Tuddao</t>
  </si>
  <si>
    <t>Veronica Manzano Rodriguez</t>
  </si>
  <si>
    <t>Mercedita Delantar Villarubia</t>
  </si>
  <si>
    <t>Raul B. Jacela</t>
  </si>
  <si>
    <t>MARY JOY BUCCAHAN SORIANO</t>
  </si>
  <si>
    <t>MA. NEOFITA S. TUAZON</t>
  </si>
  <si>
    <t>Marivic Melencion Macuha</t>
  </si>
  <si>
    <t>Raymund  D. Sandoval</t>
  </si>
  <si>
    <t>Andrea R Gaddi</t>
  </si>
  <si>
    <t>Iñigo Lesaca Sugalan</t>
  </si>
  <si>
    <t>Manolito Magkilat Silagan</t>
  </si>
  <si>
    <t>Marcelo D. Aparicio Jr.</t>
  </si>
  <si>
    <t>Rebecca Enierga Valenzuela</t>
  </si>
  <si>
    <t>Abigae Villa  Celo</t>
  </si>
  <si>
    <t>Alvin Putulan Aceret</t>
  </si>
  <si>
    <t>Rubelyn Pacot Acaso</t>
  </si>
  <si>
    <t>Epifania Garcia Garcia</t>
  </si>
  <si>
    <t>TEOFILO I CALUYA</t>
  </si>
  <si>
    <t>Lily May T. Julao</t>
  </si>
  <si>
    <t>Annabelle M Pameron</t>
  </si>
  <si>
    <t>Ivy Dela Cruz Rugas</t>
  </si>
  <si>
    <t>Daisy M. Batoon</t>
  </si>
  <si>
    <t>Reynaldo F. Margelino Jr.</t>
  </si>
  <si>
    <t>Mario Salanap Amaca</t>
  </si>
  <si>
    <t>lina P. Cotero</t>
  </si>
  <si>
    <t>Concordia Tantio Supangan</t>
  </si>
  <si>
    <t>RICHARD E JOSEPH</t>
  </si>
  <si>
    <t>MAYLIEN H VILLEJO</t>
  </si>
  <si>
    <t>Glenn C. Cabaya</t>
  </si>
  <si>
    <t>Mercy Magdalaga Tudtud</t>
  </si>
  <si>
    <t>ERLINDA FONTANOS MANIPON</t>
  </si>
  <si>
    <t>MARIFE CADILIG ESTOMAGULANG</t>
  </si>
  <si>
    <t>ROBERT A. CAYONE</t>
  </si>
  <si>
    <t>Sammy A. Facun</t>
  </si>
  <si>
    <t>JOVITO VISTAL TOLARESA</t>
  </si>
  <si>
    <t>DARIO SUSON TARRIMAN</t>
  </si>
  <si>
    <t>JULIUS B. UNDAR</t>
  </si>
  <si>
    <t>Marites Moldez Pacal</t>
  </si>
  <si>
    <t>Marites Palacio Ebdani</t>
  </si>
  <si>
    <t>LORENA L SUMILHIG</t>
  </si>
  <si>
    <t>Virgilita lacuna Arayani</t>
  </si>
  <si>
    <t>MARVEN OPENIANO PEDRERO</t>
  </si>
  <si>
    <t>Dino R. Mirasol</t>
  </si>
  <si>
    <t>RANDE M. POLO</t>
  </si>
  <si>
    <t>Charito G Yulo</t>
  </si>
  <si>
    <t>Emmyrose Refil Madrona</t>
  </si>
  <si>
    <t>Peachy Natividad E. Chatto</t>
  </si>
  <si>
    <t>Manuel T Barit</t>
  </si>
  <si>
    <t>Marilou Tamayo Quitlong</t>
  </si>
  <si>
    <t>CHRISTIAN D. BUAT</t>
  </si>
  <si>
    <t>Rhodora Dela Peña Amador</t>
  </si>
  <si>
    <t>Diane Ellisson Monteclaro  Aguinaldo</t>
  </si>
  <si>
    <t>Wilfredo Ramos Ognilla</t>
  </si>
  <si>
    <t>Jaime S.J. Javellana</t>
  </si>
  <si>
    <t>Josefina C. Opleda</t>
  </si>
  <si>
    <t>Edward Rumohr</t>
  </si>
  <si>
    <t>Valeriano Doroon</t>
  </si>
  <si>
    <t>David Sismundo Luna</t>
  </si>
  <si>
    <t>DENNIS  TUMULAK  BENAVIDES</t>
  </si>
  <si>
    <t>Dhalie Dicen Almirol</t>
  </si>
  <si>
    <t>FRANCISCO , JR. YGRUBAY LABRAGUE</t>
  </si>
  <si>
    <t>Calixto Galawen Francisco</t>
  </si>
  <si>
    <t>Ricardo V Nuñez</t>
  </si>
  <si>
    <t>Inocencio Cordero Mana-ay</t>
  </si>
  <si>
    <t>Hazel Bancale Dacillo</t>
  </si>
  <si>
    <t>Marc Louis B. Sampilo</t>
  </si>
  <si>
    <t>Rose Andrea V. Milaor</t>
  </si>
  <si>
    <t>Miraflor Catig Molde</t>
  </si>
  <si>
    <t>Atty. Raymundo Badang Bautista Jr.</t>
  </si>
  <si>
    <t>Amador Eusebio Judan</t>
  </si>
  <si>
    <t>JENELYN OLIVERA</t>
  </si>
  <si>
    <t>Geovanni Alfon Hera</t>
  </si>
  <si>
    <t>Jose Jacob Siriban Medinaceli</t>
  </si>
  <si>
    <t>Grace S Villaroman</t>
  </si>
  <si>
    <t>Chito B Castor</t>
  </si>
  <si>
    <t>Danilo S. Sanchez Petalino, Ph.D</t>
  </si>
  <si>
    <t>Carmelino Paculan Bernadas</t>
  </si>
  <si>
    <t>Ramon Christopher Alon</t>
  </si>
  <si>
    <t>Jonas Fajardo Tinamisan</t>
  </si>
  <si>
    <t>margie celemen africa</t>
  </si>
  <si>
    <t>MAURO R. LOPEZ</t>
  </si>
  <si>
    <t>Patricia Kaye Lorio Amate</t>
  </si>
  <si>
    <t>MAILYN CORDEZ HERNANDEZ</t>
  </si>
  <si>
    <t>Rosemarie Martinez Paguia</t>
  </si>
  <si>
    <t>Rryam Ansing Jaralve</t>
  </si>
  <si>
    <t>ELSA IBERO VILLAMOR</t>
  </si>
  <si>
    <t>Menardo Tejones Toriana</t>
  </si>
  <si>
    <t>Genalyn dionesio panuncio</t>
  </si>
  <si>
    <t>Rhea Valmadrid</t>
  </si>
  <si>
    <t>Janice Paladin Suboc</t>
  </si>
  <si>
    <t>NELIA CENAL</t>
  </si>
  <si>
    <t>CHANTAL MAE V. SIMON</t>
  </si>
  <si>
    <t>Letecia  Capilitan  Tresplacios</t>
  </si>
  <si>
    <t>Alex Rivas Literato</t>
  </si>
  <si>
    <t>Nedencio T. Macles and Rebecca M. Gadayan</t>
  </si>
  <si>
    <t>Renelyn Langaoen Fernandez</t>
  </si>
  <si>
    <t>Randolph R Maguigad</t>
  </si>
  <si>
    <t>Lemuel R Sumagaysay</t>
  </si>
  <si>
    <t>LEONARDO ANGELO CUARESMA</t>
  </si>
  <si>
    <t>DARIEL VILLANUEVA RICARTO</t>
  </si>
  <si>
    <t>WILLIAM C. COPSIYAN</t>
  </si>
  <si>
    <t>Cyril D. Valencerina</t>
  </si>
  <si>
    <t>HELEN IGUANA EDULLANTES</t>
  </si>
  <si>
    <t>Nestor Acol Almaite</t>
  </si>
  <si>
    <t>DINDO BABATIO CONGE</t>
  </si>
  <si>
    <t>YASHIER MASDAL YAIL</t>
  </si>
  <si>
    <t>LORADEL BALDEVIA ROMANO</t>
  </si>
  <si>
    <t>Maria Teresa Diamante Balbedo</t>
  </si>
  <si>
    <t>Jerome Duenas Malapit</t>
  </si>
  <si>
    <t>Dominic Bolos Garcia</t>
  </si>
  <si>
    <t>Allan L Mariano</t>
  </si>
  <si>
    <t>ELMER HAINTO DOMASIG</t>
  </si>
  <si>
    <t>ANACLETA  ABASUG</t>
  </si>
  <si>
    <t>Andres R Avorque</t>
  </si>
  <si>
    <t>Grace Alejandro Alejandro</t>
  </si>
  <si>
    <t>Marchelyn Pareja Ganit</t>
  </si>
  <si>
    <t>Monalyn Lomibao Moulic</t>
  </si>
  <si>
    <t>Isabelito Francia Aguda</t>
  </si>
  <si>
    <t>Artemio Amilagan Archibido</t>
  </si>
  <si>
    <t>Teresita M. Anzia</t>
  </si>
  <si>
    <t>ENGR. ALEX O. CALINAO</t>
  </si>
  <si>
    <t>JHORRY SANICO CANTA</t>
  </si>
  <si>
    <t>DORINA MELAD</t>
  </si>
  <si>
    <t>Jelenita D Limot</t>
  </si>
  <si>
    <t>Aladin Calesterio Advincula</t>
  </si>
  <si>
    <t>Alexander L Ulep</t>
  </si>
  <si>
    <t>Maria Fe L Torrecampo</t>
  </si>
  <si>
    <t>LORETA CAYABYAB MARIÑAS</t>
  </si>
  <si>
    <t>rodrigo burio olano</t>
  </si>
  <si>
    <t>Godofredo Apprecio Corsino</t>
  </si>
  <si>
    <t>VILMA  BASALO</t>
  </si>
  <si>
    <t>Engr. MARINA Y. ARCENAL</t>
  </si>
  <si>
    <t>JOFERNANDO AROCHA TAGAUNSOD</t>
  </si>
  <si>
    <t>ELIZALDE P. TABON</t>
  </si>
  <si>
    <t>Francisco Escape Oliva, Jr.</t>
  </si>
  <si>
    <t>Emie Rose Francisco</t>
  </si>
  <si>
    <t>Eliseo G. Lanticse</t>
  </si>
  <si>
    <t>PRUDENCIO L VARELA</t>
  </si>
  <si>
    <t>Criszen Baluyot BAUTISTA</t>
  </si>
  <si>
    <t>Madrigal B. Larang</t>
  </si>
  <si>
    <t>CONNIE C. CENTINO</t>
  </si>
  <si>
    <t>LORETO LUCERO LORENZO</t>
  </si>
  <si>
    <t>JES JOMAR MAGADAN CAINGLES</t>
  </si>
  <si>
    <t>Zandro Chan Go</t>
  </si>
  <si>
    <t>Arnolfo Celso Aguirre</t>
  </si>
  <si>
    <t>MANUEL CLEMENTE,JR.</t>
  </si>
  <si>
    <t>Manuel, Jr. A Palasi</t>
  </si>
  <si>
    <t>Enrique Briones Estrada</t>
  </si>
  <si>
    <t>Ricardo Bantog Talbos</t>
  </si>
  <si>
    <t>KAREEN A. ORDOÑA</t>
  </si>
  <si>
    <t>Pilar Manzano Ollet</t>
  </si>
  <si>
    <t>JONATHAN R. HIJADA</t>
  </si>
  <si>
    <t>Jerwen Pulohanan Portullano</t>
  </si>
  <si>
    <t>Hannah F Artil</t>
  </si>
  <si>
    <t>Marisa P Las</t>
  </si>
  <si>
    <t>Magnolia T Flores</t>
  </si>
  <si>
    <t>Ana Liza Calma Zablan</t>
  </si>
  <si>
    <t>Alicia Adonis Kintana</t>
  </si>
  <si>
    <t>Danna Marie B. Asentista</t>
  </si>
  <si>
    <t>Jennifer Mindanao Cruz</t>
  </si>
  <si>
    <t>AMALIA GENOVIA ATIENDA</t>
  </si>
  <si>
    <t>FERNAND CLARIDAD UBALDO</t>
  </si>
  <si>
    <t>RAMIE FELARCA DETARO</t>
  </si>
  <si>
    <t>Jared  Regonios Milar</t>
  </si>
  <si>
    <t>Lealoraine A. Gomez</t>
  </si>
  <si>
    <t>Jerome B. Sison</t>
  </si>
  <si>
    <t>Ricky Canobas Canobas</t>
  </si>
  <si>
    <t>ORLANDO LIBORES ROMERO</t>
  </si>
  <si>
    <t>GEORGIE FRUGALIDAD CORNELIO</t>
  </si>
  <si>
    <t>Ray John Habig</t>
  </si>
  <si>
    <t>Revilito B Raman</t>
  </si>
  <si>
    <t>Janet M Pasamba</t>
  </si>
  <si>
    <t>Rhyla Bibas Supnet</t>
  </si>
  <si>
    <t>Sheila Paraiso Estrellanes</t>
  </si>
  <si>
    <t>Milagros A Agustin</t>
  </si>
  <si>
    <t>Lorenzo B Gahoy</t>
  </si>
  <si>
    <t>ELIZABETH TRINIDAD BELLO</t>
  </si>
  <si>
    <t>Jesamine M. Mendi</t>
  </si>
  <si>
    <t>marilou into cabeguin</t>
  </si>
  <si>
    <t>CHRISTIE ANN GELVEZON ORTIZ</t>
  </si>
  <si>
    <t>Joy Melga Buendia Olazo</t>
  </si>
  <si>
    <t>Marinelle Marquez Rubico</t>
  </si>
  <si>
    <t>Nilda Lumapak</t>
  </si>
  <si>
    <t>Roger Pabilona Aguacito</t>
  </si>
  <si>
    <t>Maria Gina Rosales Carino</t>
  </si>
  <si>
    <t>Christopher Dave A. Calimlim</t>
  </si>
  <si>
    <t>EUGENIANO SAWALI</t>
  </si>
  <si>
    <t>argie acedre magallanes</t>
  </si>
  <si>
    <t>Lourvelyn Sicat Lacson</t>
  </si>
  <si>
    <t>MARIADELIA BUBA AVE</t>
  </si>
  <si>
    <t>Rey Torres Nuique</t>
  </si>
  <si>
    <t>Roselma Catherine Garrote Cantos</t>
  </si>
  <si>
    <t>MARIA ARRA PAZ G. SELLAR</t>
  </si>
  <si>
    <t>JAN RAE MIJARES CANABANO</t>
  </si>
  <si>
    <t>ROSEMARIE QUILATAN ESTEBAN</t>
  </si>
  <si>
    <t>Mariz  Lapid  Onchengco</t>
  </si>
  <si>
    <t>Rogelio P. Hera</t>
  </si>
  <si>
    <t>Arlaine M De Vera</t>
  </si>
  <si>
    <t>Mokamad Musa Solaiman</t>
  </si>
  <si>
    <t>gina murillo</t>
  </si>
  <si>
    <t>Arnel B. Javier</t>
  </si>
  <si>
    <t>Larry Pelaez Olvina</t>
  </si>
  <si>
    <t>Arielyn L. Fernandez</t>
  </si>
  <si>
    <t>Ma. Veronica Mahilum De Guzman</t>
  </si>
  <si>
    <t>EXUPERIA B. SABALBERINO</t>
  </si>
  <si>
    <t>Renzjay Antonio Linsangan</t>
  </si>
  <si>
    <t>GERALDINE N. RANARA</t>
  </si>
  <si>
    <t>Rogel M De la Cuesta</t>
  </si>
  <si>
    <t>Donato Silvano Advincula</t>
  </si>
  <si>
    <t>Sofronia Ceniza Uy</t>
  </si>
  <si>
    <t>Arsenio T. Cornites, Jr.</t>
  </si>
  <si>
    <t>Pablito R Rosales</t>
  </si>
  <si>
    <t>MIRAFLOR G. SABANDO</t>
  </si>
  <si>
    <t>Lourdes Salvacion Extra</t>
  </si>
  <si>
    <t>Ernesto Loyao Menoza</t>
  </si>
  <si>
    <t>CHRISTOPHER CATALINO REBUJIO</t>
  </si>
  <si>
    <t>Dario Sarabusing Jr.</t>
  </si>
  <si>
    <t>Lilybeth Delfin Langomez</t>
  </si>
  <si>
    <t>Felicisimo T. Lazo</t>
  </si>
  <si>
    <t>Jaime Hervilla Mahimpit</t>
  </si>
  <si>
    <t>CELESTE GIE T. DELA CRUZ</t>
  </si>
  <si>
    <t>Daisy Fallore</t>
  </si>
  <si>
    <t>Margarito Materum</t>
  </si>
  <si>
    <t>Aaron Robert Anza Binarao</t>
  </si>
  <si>
    <t>Angela Estribor Rodrigo</t>
  </si>
  <si>
    <t>Eugene Raro Luces</t>
  </si>
  <si>
    <t>Chinalyn Dakiwag Rivera</t>
  </si>
  <si>
    <t>Norma Lim Go</t>
  </si>
  <si>
    <t>Marietta Abuan Graciano</t>
  </si>
  <si>
    <t>Remigio L. Jamilan</t>
  </si>
  <si>
    <t>Sylvia Maquilan Caratao</t>
  </si>
  <si>
    <t>Corazon Barrientos Pagayona</t>
  </si>
  <si>
    <t>Vanessa T. Alcuizar</t>
  </si>
  <si>
    <t>Zaldy D Almoite</t>
  </si>
  <si>
    <t>Samuel Canaya</t>
  </si>
  <si>
    <t>MARIA LIZA GENADA RULL</t>
  </si>
  <si>
    <t>Vanesa C. Cutanda</t>
  </si>
  <si>
    <t>Mylene Boots Sinogbuhan Lamac</t>
  </si>
  <si>
    <t>Alvi R Valle</t>
  </si>
  <si>
    <t>MARINA B. WAHAB</t>
  </si>
  <si>
    <t>Diosdado Regino Domingo</t>
  </si>
  <si>
    <t>Estella B. Agustin</t>
  </si>
  <si>
    <t>Manulito S Rodriguez</t>
  </si>
  <si>
    <t>Liezel Cornitez Patron</t>
  </si>
  <si>
    <t>Cherielou Mae Cal Bulotano</t>
  </si>
  <si>
    <t>Renante Umipig Ramiscal</t>
  </si>
  <si>
    <t>ARNULFO ALAO SARCO</t>
  </si>
  <si>
    <t>ENGR. NORMAN DIMATATAC</t>
  </si>
  <si>
    <t>Ma. Emilyn Sweetie Leonor Protacio</t>
  </si>
  <si>
    <t>VICENTE L LABADOR</t>
  </si>
  <si>
    <t>BERNARDO C. POJAS</t>
  </si>
  <si>
    <t>Ma. Ruth Viñas Bandales</t>
  </si>
  <si>
    <t>REYNOR RAQUEL FERNANDO</t>
  </si>
  <si>
    <t>JANEL BALATAN BORJA</t>
  </si>
  <si>
    <t>Joybeth Delfin Sabino</t>
  </si>
  <si>
    <t>jennifer empleo rondina</t>
  </si>
  <si>
    <t>GEORGANN G. CARIASO</t>
  </si>
  <si>
    <t>Norielle Ann P. Vergara</t>
  </si>
  <si>
    <t>James R. Zubiri</t>
  </si>
  <si>
    <t>Dominador M Tinosa, Jr.</t>
  </si>
  <si>
    <t>Primrose Bayani Manalo</t>
  </si>
  <si>
    <t>Frencis Panganiban Tiu Rivera</t>
  </si>
  <si>
    <t>CHRISTINE AGUILAR PAQUIBOT</t>
  </si>
  <si>
    <t>Maricel A Sanchez</t>
  </si>
  <si>
    <t>Renato Operario Paligutan</t>
  </si>
  <si>
    <t>arni nidoy abad</t>
  </si>
  <si>
    <t>CRESENCIANO SALUDES PLACINO</t>
  </si>
  <si>
    <t>Giena G. Ramos</t>
  </si>
  <si>
    <t>Rosanna Maratas Siega</t>
  </si>
  <si>
    <t>ATTY. ADELITO M. SOLIBAGA, JR.</t>
  </si>
  <si>
    <t>Salem Torres Cervantes</t>
  </si>
  <si>
    <t>Aileen C. Cula</t>
  </si>
  <si>
    <t>Maritez Galban</t>
  </si>
  <si>
    <t>Romeo Emmanuel II C. Yarcia</t>
  </si>
  <si>
    <t>Carolyn Rebortura Guadalquiver</t>
  </si>
  <si>
    <t>Arthur Olandria Yana</t>
  </si>
  <si>
    <t>Jessie L. Amin</t>
  </si>
  <si>
    <t>Evangeline Wong</t>
  </si>
  <si>
    <t>Frances Lily Corazon Cabaddu</t>
  </si>
  <si>
    <t>Kaicelyn Dizon Gallano</t>
  </si>
  <si>
    <t>JAY MENDOZA  PERALTA</t>
  </si>
  <si>
    <t>GONZALO P COCON</t>
  </si>
  <si>
    <t>ANWAR KENNY ANDREW FRANCISCO AMILASAN</t>
  </si>
  <si>
    <t>Sunshine Rhina R Caunin</t>
  </si>
  <si>
    <t>DOMINADOR V. DILLERA</t>
  </si>
  <si>
    <t>Khalaf Odin Cariga</t>
  </si>
  <si>
    <t>Alver P Lamoste, CPA</t>
  </si>
  <si>
    <t>Donabel De La Torre Orcullo</t>
  </si>
  <si>
    <t>EVAN V. PUYOS</t>
  </si>
  <si>
    <t>RENY ACERO CELESPARA</t>
  </si>
  <si>
    <t>Lara Mae Dente Pares</t>
  </si>
  <si>
    <t>NOEMI V. BALAIS</t>
  </si>
  <si>
    <t>Renel Jay Agno Quirit</t>
  </si>
  <si>
    <t>Cristina Duca Manalang</t>
  </si>
  <si>
    <t>Reynaldo Collado Floria</t>
  </si>
  <si>
    <t>Norjannah P Lucman</t>
  </si>
  <si>
    <t>EDGAR L. MARTINEZ</t>
  </si>
  <si>
    <t>Val Raymund Cristobal Cervantes</t>
  </si>
  <si>
    <t>Jose Forawit Lampesa</t>
  </si>
  <si>
    <t>Rhoda Apalla Viterbo</t>
  </si>
  <si>
    <t>LOUIGIE  AVENTUNA  RALLOS</t>
  </si>
  <si>
    <t>Carol Villareal Reyes</t>
  </si>
  <si>
    <t>Salvacion Buen Serrano</t>
  </si>
  <si>
    <t>Wennie S. Angit</t>
  </si>
  <si>
    <t>Madona Mea Alforque Atienda</t>
  </si>
  <si>
    <t>Jean Lacorte Gazar</t>
  </si>
  <si>
    <t>CECILIA NAVARRO CALDERON</t>
  </si>
  <si>
    <t>Florence D. Gonzales</t>
  </si>
  <si>
    <t>Erwin Galamiton Ludevese</t>
  </si>
  <si>
    <t>Juffa Panaguiton Estrada</t>
  </si>
  <si>
    <t>Sharon S. Gupalor</t>
  </si>
  <si>
    <t>Loubelo Jabines Polo</t>
  </si>
  <si>
    <t>Ma. Felicidad Rebong Payba</t>
  </si>
  <si>
    <t>Arlyn Autencio Romaquin</t>
  </si>
  <si>
    <t>ARVIN B BELARDO</t>
  </si>
  <si>
    <t>Celia N. Respueto</t>
  </si>
  <si>
    <t>Marcelina Jumawan Oguis</t>
  </si>
  <si>
    <t>JOY LAWAS</t>
  </si>
  <si>
    <t>Fernando Nalica Ramirez</t>
  </si>
  <si>
    <t>fred catahum jetulle</t>
  </si>
  <si>
    <t>FRANCISCO I. CORPUZ, JR.</t>
  </si>
  <si>
    <t>ariel beltran araneta</t>
  </si>
  <si>
    <t>Rosendo Senior Caro Lascano</t>
  </si>
  <si>
    <t>SUSANA  CABIGAO DELA ROSA</t>
  </si>
  <si>
    <t>Eden Ropa Fernando</t>
  </si>
  <si>
    <t>Florante Tomas Ruiz</t>
  </si>
  <si>
    <t>Sonny Miranda Naing</t>
  </si>
  <si>
    <t>JOSEPH HERBON BUSA</t>
  </si>
  <si>
    <t>Maria Andrea Carvajal Tiong</t>
  </si>
  <si>
    <t>RICHARD ANDAYA FERNANDEZ</t>
  </si>
  <si>
    <t>Joselyn S. Vivares</t>
  </si>
  <si>
    <t>JOSE R TOLENTINO</t>
  </si>
  <si>
    <t>Hazelyn Gellangarin</t>
  </si>
  <si>
    <t>WILFREDO SERDAN ILANO</t>
  </si>
  <si>
    <t>Ramil Custodio Martinez</t>
  </si>
  <si>
    <t>Lorena Obsiquo Escaro</t>
  </si>
  <si>
    <t>Janely Porras Ansoyon</t>
  </si>
  <si>
    <t>FRANCISCO D. GUINAYON</t>
  </si>
  <si>
    <t>Ilarde Constantino Viernes</t>
  </si>
  <si>
    <t>Nolan A Tocao</t>
  </si>
  <si>
    <t>Mylene Giselle C. Catbagan</t>
  </si>
  <si>
    <t>Cristina Olvido Gutierrez</t>
  </si>
  <si>
    <t>Mark Alvin Hernandez Gatus</t>
  </si>
  <si>
    <t>Rhonna Regina  Puno</t>
  </si>
  <si>
    <t>Kristine Gomez Contreras</t>
  </si>
  <si>
    <t>Leonard D Danao</t>
  </si>
  <si>
    <t>Florenda Inutan Carballo</t>
  </si>
  <si>
    <t>Merlinda Sotto Terez</t>
  </si>
  <si>
    <t>Cristito I. Gonzales</t>
  </si>
  <si>
    <t>Vivian M. Cuizon</t>
  </si>
  <si>
    <t>JUANITO, JR. SALDO CASIA</t>
  </si>
  <si>
    <t>ANALISA FUASO GUILLARDE</t>
  </si>
  <si>
    <t>DOLORES JAVIER GOTICO</t>
  </si>
  <si>
    <t>Geronimo  Jr. B. Alcaraz</t>
  </si>
  <si>
    <t>JOSE TOMINES CAMPOS</t>
  </si>
  <si>
    <t>Albern B Alcantara</t>
  </si>
  <si>
    <t>Consuelo Irish Batula</t>
  </si>
  <si>
    <t>JAIME L. COTALES</t>
  </si>
  <si>
    <t>Arlene Longno Opeño</t>
  </si>
  <si>
    <t>Baivy Leen Mendoza Reyes</t>
  </si>
  <si>
    <t>Rowena M Mirhan</t>
  </si>
  <si>
    <t>angelito quilaton cuyno</t>
  </si>
  <si>
    <t>ALEJANDRO N GELA,JR</t>
  </si>
  <si>
    <t>ARCANGEL TARALA RODRIGUEZ</t>
  </si>
  <si>
    <t>Angelo Arca dela Rosa</t>
  </si>
  <si>
    <t>CHARITO TACTAC YANGAT</t>
  </si>
  <si>
    <t>PRISCILLA SOTELO BATOR</t>
  </si>
  <si>
    <t>Ellen Espiritu Tividad</t>
  </si>
  <si>
    <t>Wencislao Jr. Calimlim Cagalitan</t>
  </si>
  <si>
    <t>Linda Bautista Nalayog</t>
  </si>
  <si>
    <t>Liezel J Supremo</t>
  </si>
  <si>
    <t>Vito Gammad Auayang</t>
  </si>
  <si>
    <t>RICKY CRUIZ POCON</t>
  </si>
  <si>
    <t>Gina Francisco Placido</t>
  </si>
  <si>
    <t>Pablo, Jr. M Magpily</t>
  </si>
  <si>
    <t>SEAN ARCE ELAD</t>
  </si>
  <si>
    <t>Precious Padayao Rumbaoa</t>
  </si>
  <si>
    <t>Lolita M. Fullante</t>
  </si>
  <si>
    <t>Marilyn Ordillo Guerrero</t>
  </si>
  <si>
    <t>Jerrico A. Benzon</t>
  </si>
  <si>
    <t>Lorelei A. Masias</t>
  </si>
  <si>
    <t>Kaloudyne D. Rigos</t>
  </si>
  <si>
    <t>Nikko C. Valenzona</t>
  </si>
  <si>
    <t>JOY ANGELINE   R.  VILLACILLO</t>
  </si>
  <si>
    <t>fredericka F. ferriol</t>
  </si>
  <si>
    <t>rejulio jacildo bruno</t>
  </si>
  <si>
    <t>Anna Karla Mae Postor Grindulo</t>
  </si>
  <si>
    <t>Claress Montojo</t>
  </si>
  <si>
    <t>Josefina M Ayon</t>
  </si>
  <si>
    <t>Ann S Ancajas</t>
  </si>
  <si>
    <t>Evan Irish L Acas</t>
  </si>
  <si>
    <t>Rhoderick T. Haban</t>
  </si>
  <si>
    <t>Nelson Suson Templa</t>
  </si>
  <si>
    <t>Marcelino Jr. R. Bebanco</t>
  </si>
  <si>
    <t>Pablo L Nabong</t>
  </si>
  <si>
    <t>Mary Ann A. Lazo</t>
  </si>
  <si>
    <t>JERRY DIMLA CRUZ</t>
  </si>
  <si>
    <t>John Paulo Telmo Purino</t>
  </si>
  <si>
    <t>Zandra Canon Pia</t>
  </si>
  <si>
    <t>Expedito Magluyan Villaruz</t>
  </si>
  <si>
    <t>Marvin T. Dimasaca</t>
  </si>
  <si>
    <t>Ricardo A. Negado</t>
  </si>
  <si>
    <t>Randolf B.  Dimal</t>
  </si>
  <si>
    <t>Ma. Anelyn Cubias</t>
  </si>
  <si>
    <t>Romel Olmedo Gelilang</t>
  </si>
  <si>
    <t>Rosemary Terez Gepte</t>
  </si>
  <si>
    <t>Renato E. Masculino</t>
  </si>
  <si>
    <t>Maria Magnaye Matawaran</t>
  </si>
  <si>
    <t>Ma. Socorro C Tabang</t>
  </si>
  <si>
    <t>LILYBETH  COYMO  QUINTAR</t>
  </si>
  <si>
    <t>Noel B. Maducdoc</t>
  </si>
  <si>
    <t>Vilma B. Ballan</t>
  </si>
  <si>
    <t>Herma Aratan Seruela</t>
  </si>
  <si>
    <t>Renee  Salomon  Davad</t>
  </si>
  <si>
    <t>Ronville Mejica Muego</t>
  </si>
  <si>
    <t>Quin Geraldine Flores Lee</t>
  </si>
  <si>
    <t>SIGHLIE MANLOGON REGODON</t>
  </si>
  <si>
    <t>ROSALYN AZUL CONDAT</t>
  </si>
  <si>
    <t>RAYMUND R. MATEO</t>
  </si>
  <si>
    <t>Albert C. Villamor</t>
  </si>
  <si>
    <t>Elnera Ching</t>
  </si>
  <si>
    <t>Judilyn Tampepe Natabio</t>
  </si>
  <si>
    <t>CHRISTIAN  HILUANO  BOKINGO</t>
  </si>
  <si>
    <t>Evangeline C Bongcac</t>
  </si>
  <si>
    <t>Shiela Cueto Zulueta</t>
  </si>
  <si>
    <t>Elmira Momo</t>
  </si>
  <si>
    <t>DERRICK ENCARNACION MAYOR</t>
  </si>
  <si>
    <t>Lorie Emmanuel B. Arago</t>
  </si>
  <si>
    <t>IMELDA  C.  DELLORO</t>
  </si>
  <si>
    <t>ELVIRA LAGDAMEN POLINES</t>
  </si>
  <si>
    <t>Myrna Valencia Villarin</t>
  </si>
  <si>
    <t>Charito Tinio Mertens</t>
  </si>
  <si>
    <t>Christopher Bataller Villafria</t>
  </si>
  <si>
    <t>Arlene Caliente Tagra</t>
  </si>
  <si>
    <t>Madelyn Delbo Betic</t>
  </si>
  <si>
    <t>Ma. Leah Linda Susada Tan</t>
  </si>
  <si>
    <t>Shirley Vegiga Turla</t>
  </si>
  <si>
    <t>THERESA ZANARIAS ZAQUITA</t>
  </si>
  <si>
    <t>Merma Lea R. Abalos</t>
  </si>
  <si>
    <t>JOVELYN SIRIBAN CUBANO</t>
  </si>
  <si>
    <t>Erwin L. Tepace</t>
  </si>
  <si>
    <t>Lydia A. Gonzales</t>
  </si>
  <si>
    <t>Ria C. Agbulos</t>
  </si>
  <si>
    <t>Amelita Q. Tuyak</t>
  </si>
  <si>
    <t>PRUDENCIO EGSAN NOCELO, JR.</t>
  </si>
  <si>
    <t>Mariel De Vera Mohammad-Sali</t>
  </si>
  <si>
    <t>Godofredo P Lubat  Jr.</t>
  </si>
  <si>
    <t>Janine M. Balilia</t>
  </si>
  <si>
    <t>CYLENE VILLAR PUGUON</t>
  </si>
  <si>
    <t>ROLITO CABULAY BARCARSE</t>
  </si>
  <si>
    <t>John David E Bonifacio</t>
  </si>
  <si>
    <t>Angelo Aniar Sabaybay</t>
  </si>
  <si>
    <t>Rojie Lynn "Tata" Quirante Martizano</t>
  </si>
  <si>
    <t>Kimberly Englis Templado</t>
  </si>
  <si>
    <t>Ambrocio Zapata Azares</t>
  </si>
  <si>
    <t>Lourdes F Arinduque</t>
  </si>
  <si>
    <t>Hilda Ramirez</t>
  </si>
  <si>
    <t>Ruby Anna S. Benamir</t>
  </si>
  <si>
    <t>Jeanecel Sacel Semellano</t>
  </si>
  <si>
    <t>EDUARDO C ONG</t>
  </si>
  <si>
    <t>Calixto J. Quiros</t>
  </si>
  <si>
    <t>Genalyn Alvarez Tablatin</t>
  </si>
  <si>
    <t>ELVIRA D. VERZOLA</t>
  </si>
  <si>
    <t>Donald De la Cruz Landero</t>
  </si>
  <si>
    <t>Anjie P. Ytac</t>
  </si>
  <si>
    <t>LEAH BANARES TUBID</t>
  </si>
  <si>
    <t>LEOREYSALDIE NAPATA SALANATIN</t>
  </si>
  <si>
    <t>Lorna Colob Lustria</t>
  </si>
  <si>
    <t>Rosemarie  N.  Andulan</t>
  </si>
  <si>
    <t>MARIA ELIZA SANTANA SILLESA</t>
  </si>
  <si>
    <t>JEANNE V. BAUZON</t>
  </si>
  <si>
    <t>Diomedes C Palor</t>
  </si>
  <si>
    <t>Jovit  Villareal</t>
  </si>
  <si>
    <t>Danilo P Polestico</t>
  </si>
  <si>
    <t>MARICHU HUERTA JIMENEZ</t>
  </si>
  <si>
    <t>Jemar Olavides Bolando</t>
  </si>
  <si>
    <t>Sherryl Dumaicos Sampalucia</t>
  </si>
  <si>
    <t>Cholie M. Roble</t>
  </si>
  <si>
    <t>Ma. Luisa Tumala Dela Rosa</t>
  </si>
  <si>
    <t>Mellanie  Caisip  Dulay</t>
  </si>
  <si>
    <t>Patrocinia Sanigan Kalaw</t>
  </si>
  <si>
    <t>Diana D. Ermita</t>
  </si>
  <si>
    <t>FLORENCIO, JR. CARANZA CABALBAG</t>
  </si>
  <si>
    <t>Fatima Primaylon</t>
  </si>
  <si>
    <t>GEMMA JABAYBAY DOLOROSA</t>
  </si>
  <si>
    <t>Mae Valledor</t>
  </si>
  <si>
    <t>Erlinda S Pesado</t>
  </si>
  <si>
    <t>BERNADETH REAL GULBEN</t>
  </si>
  <si>
    <t>Lazaro Buluran Pascual</t>
  </si>
  <si>
    <t>Rhandy D. Domingo</t>
  </si>
  <si>
    <t>JANE L. ABDUL</t>
  </si>
  <si>
    <t>Joan J. Sadaba</t>
  </si>
  <si>
    <t>ZORAIDA CORTINA COLLERA</t>
  </si>
  <si>
    <t>Riza Tan Bautista</t>
  </si>
  <si>
    <t>Julie Ann Hallare Boaquiña</t>
  </si>
  <si>
    <t>Edmar C Rivera</t>
  </si>
  <si>
    <t>JONALYN AGARPAO DE LEON</t>
  </si>
  <si>
    <t>MARCIANA CANCEJO MAXIMO</t>
  </si>
  <si>
    <t>ARCELI ESTANISLAO CORPUZ</t>
  </si>
  <si>
    <t>ROWENA LEONES ROSETE</t>
  </si>
  <si>
    <t>Jose Asis Malab</t>
  </si>
  <si>
    <t>MARICRIS G. DIAZ</t>
  </si>
  <si>
    <t>Louie Baler Estrella</t>
  </si>
  <si>
    <t>Clarence Lumot Nicolas</t>
  </si>
  <si>
    <t>Carmela Panganiban Valencia</t>
  </si>
  <si>
    <t>Dawnavi Lae Valle Lacsado</t>
  </si>
  <si>
    <t>BELEN CEPRES CHUCA</t>
  </si>
  <si>
    <t>Luzviminda S. Reyes</t>
  </si>
  <si>
    <t>EDWARD SULIMA MAHINAY</t>
  </si>
  <si>
    <t>RODRIGO, Sr. DE OCAMPO MORALES</t>
  </si>
  <si>
    <t>Jane Verceles Talento</t>
  </si>
  <si>
    <t>ALEX ROMMEL VELARDE ROMANO</t>
  </si>
  <si>
    <t>Leoje Sulla Tagle</t>
  </si>
  <si>
    <t>RONALD Q. PAJARILLO</t>
  </si>
  <si>
    <t>RAUL DOBLERO GRANADA</t>
  </si>
  <si>
    <t>Fercilyn E Grospe</t>
  </si>
  <si>
    <t>ELISEO C AGTUCA</t>
  </si>
  <si>
    <t>Rodelito La Fuente Dacup</t>
  </si>
  <si>
    <t>Eulogeo Notarte Leonor</t>
  </si>
  <si>
    <t>Virginia Punay</t>
  </si>
  <si>
    <t>Wilfredo R Bartolini</t>
  </si>
  <si>
    <t>Dolly Caparro Calvez</t>
  </si>
  <si>
    <t>Hope Jaravata Relayson</t>
  </si>
  <si>
    <t>Dan Kenneth Taguinin Viernes</t>
  </si>
  <si>
    <t>LCDR RAYMOND A ROLDAN PN</t>
  </si>
  <si>
    <t>Hilarry Amigable Singalivo</t>
  </si>
  <si>
    <t>ROMULO JR DISPO</t>
  </si>
  <si>
    <t>Jose Ferdinand Laloy Gabrido</t>
  </si>
  <si>
    <t>RACHELLE ALANO CRON</t>
  </si>
  <si>
    <t>Hilma Caalim Notarte</t>
  </si>
  <si>
    <t>ENGR. JERICK D. ORLANES</t>
  </si>
  <si>
    <t>Divina Gracia Binuya</t>
  </si>
  <si>
    <t>Necerio Lazarte</t>
  </si>
  <si>
    <t>Michael T Orencia</t>
  </si>
  <si>
    <t>Ma. Kristina Goylos Medalla</t>
  </si>
  <si>
    <t>Janice L Sta. Cruz</t>
  </si>
  <si>
    <t>Imelda Mariano Guillermo</t>
  </si>
  <si>
    <t>Harvy B. Calabio</t>
  </si>
  <si>
    <t>Eva Bayog Napinas</t>
  </si>
  <si>
    <t>Leomar Bayod Balod</t>
  </si>
  <si>
    <t>JOEY C. PACQUING</t>
  </si>
  <si>
    <t>Herbert Bernadas</t>
  </si>
  <si>
    <t>JEZREEL JOHN MANALO MATRE</t>
  </si>
  <si>
    <t>MARJORIE ALVAREZ DELA CRUZ</t>
  </si>
  <si>
    <t>Illuminada N Saburao</t>
  </si>
  <si>
    <t>Eugene Canonigo Bagasbas</t>
  </si>
  <si>
    <t>RONILO INTERO LAO</t>
  </si>
  <si>
    <t>Mirco Melendrez</t>
  </si>
  <si>
    <t>Alma A. Permejo</t>
  </si>
  <si>
    <t>ROSALIE  RECTO DELGADO</t>
  </si>
  <si>
    <t>Jerome Arroyo Agustin</t>
  </si>
  <si>
    <t>Jocelyn Castro Ballesteros</t>
  </si>
  <si>
    <t>Diana E Orcine</t>
  </si>
  <si>
    <t>JUDITH PATRIARCA MANTOS</t>
  </si>
  <si>
    <t>Jahnson Salidaga Yap</t>
  </si>
  <si>
    <t>Ma. A. Marietta Real Dulong</t>
  </si>
  <si>
    <t>Linell Fulleros Montuerto</t>
  </si>
  <si>
    <t>Teodoro Andig Culpa</t>
  </si>
  <si>
    <t>XANTHI ROMEILLA J VALLECER</t>
  </si>
  <si>
    <t>Filma Tulen Maghinay</t>
  </si>
  <si>
    <t>GERARDO ULEP GARMA</t>
  </si>
  <si>
    <t>David Bonifacio</t>
  </si>
  <si>
    <t>Catherine Juntarciego Nomananap</t>
  </si>
  <si>
    <t>Tony B. Evangelista Jr.</t>
  </si>
  <si>
    <t>ROSMENDO CARDINEZ BONGOCAN, JR.</t>
  </si>
  <si>
    <t>Arjay Caballero Dimafelix</t>
  </si>
  <si>
    <t>Jimmy M Magnaye</t>
  </si>
  <si>
    <t>EVELYN EVANGELISTA OCAMPO</t>
  </si>
  <si>
    <t>KAREN  M. MAGSALIN</t>
  </si>
  <si>
    <t>Patrick Orines Gonzales</t>
  </si>
  <si>
    <t>MA LOURDES BONOTAN DANGGA</t>
  </si>
  <si>
    <t>Jocelyn Maalat Torda</t>
  </si>
  <si>
    <t>Clemen Gio Reagan</t>
  </si>
  <si>
    <t>Larina Esquibel Lopez</t>
  </si>
  <si>
    <t>Eduardo Agpalza Abiva</t>
  </si>
  <si>
    <t>Eduardo M. Doria</t>
  </si>
  <si>
    <t>VINCENT RON B BACOL</t>
  </si>
  <si>
    <t>TRIPON  MERCADO  CONDEZA</t>
  </si>
  <si>
    <t>Teodoro Alo Jabahab</t>
  </si>
  <si>
    <t>Nelson Moskito Merculio</t>
  </si>
  <si>
    <t>Marc P Salaguban</t>
  </si>
  <si>
    <t>Rico Basilio Macabare</t>
  </si>
  <si>
    <t>Jose Antonio Gorordo Flores</t>
  </si>
  <si>
    <t>Myrna Badilles Belgado</t>
  </si>
  <si>
    <t>Esterlina I. Gamez</t>
  </si>
  <si>
    <t>Cezar Kuan Paronda</t>
  </si>
  <si>
    <t>Ederlita Cena</t>
  </si>
  <si>
    <t>Charlotte R. Zacarias</t>
  </si>
  <si>
    <t>Baby Catherine B Cruz</t>
  </si>
  <si>
    <t>JENALYN MADOLID NEBRIDA</t>
  </si>
  <si>
    <t>Rodrigo S Baid</t>
  </si>
  <si>
    <t>ERIKA R. DURAN</t>
  </si>
  <si>
    <t>Lou Wendell C San Jose</t>
  </si>
  <si>
    <t>RHODORA PAYAO MAGNO</t>
  </si>
  <si>
    <t>ezekiel gacias tangaro</t>
  </si>
  <si>
    <t>Gilda Filoteo Lluisma</t>
  </si>
  <si>
    <t>Dindo Cornejo Montablan</t>
  </si>
  <si>
    <t>GLENN PAULINO GADIA</t>
  </si>
  <si>
    <t>Michele Solon Mapalo</t>
  </si>
  <si>
    <t>MA. GLORIA GELI SORRERA</t>
  </si>
  <si>
    <t>Mila Rodrin Creencia 2</t>
  </si>
  <si>
    <t>Ruby Anne M. Escandor</t>
  </si>
  <si>
    <t>Ralph Rhomar Morales Buenaventura</t>
  </si>
  <si>
    <t>Liza Labog Enicola</t>
  </si>
  <si>
    <t>Jerona M. Silagan</t>
  </si>
  <si>
    <t>Lailani S Hernandez</t>
  </si>
  <si>
    <t>Ma. Christina C. Pabicon</t>
  </si>
  <si>
    <t>Allan C. Cauilan</t>
  </si>
  <si>
    <t>MARIVIC V MAKILAN</t>
  </si>
  <si>
    <t>Roderick I. Mendoza</t>
  </si>
  <si>
    <t>Vincent Joseph D. Disu</t>
  </si>
  <si>
    <t>Anna May Laulita Martinez</t>
  </si>
  <si>
    <t>Kelly Sajo</t>
  </si>
  <si>
    <t>Anne Camille Carlos Bautista</t>
  </si>
  <si>
    <t>Victor Y Romano</t>
  </si>
  <si>
    <t>JOHN ANTHONY ASPURIA</t>
  </si>
  <si>
    <t>Ruben M.  Villanueva</t>
  </si>
  <si>
    <t>Numeriano D. Mendoza</t>
  </si>
  <si>
    <t>Gina R Concon</t>
  </si>
  <si>
    <t>Angelita Flores Villanueva</t>
  </si>
  <si>
    <t>ROCHELLE LAMADORA GENORING</t>
  </si>
  <si>
    <t>Levi P. Baldonado</t>
  </si>
  <si>
    <t>Rita A. Del Mundo</t>
  </si>
  <si>
    <t>Jaime Arnado Marcera</t>
  </si>
  <si>
    <t>Mahalia Nery De Jesus</t>
  </si>
  <si>
    <t>BIDS And Awards Committee</t>
  </si>
  <si>
    <t>JENNIFER MARQUEZ</t>
  </si>
  <si>
    <t>Ladislao  Gumboc  Flores</t>
  </si>
  <si>
    <t>Wilfredo V Alcoriza</t>
  </si>
  <si>
    <t>Rosario Marina Mendoza de Castro</t>
  </si>
  <si>
    <t>Janelle Dela Cruz</t>
  </si>
  <si>
    <t>Oscar Jr. Martin Reyes</t>
  </si>
  <si>
    <t>Leonilo Lota Laborte</t>
  </si>
  <si>
    <t>Rheajane Chu Saavedra</t>
  </si>
  <si>
    <t>Ranjev M Garcia</t>
  </si>
  <si>
    <t>Rosanna Tan Andal</t>
  </si>
  <si>
    <t>Chona Perez</t>
  </si>
  <si>
    <t>Lubelle B. Lumabas</t>
  </si>
  <si>
    <t>Karen Wright Ramirez</t>
  </si>
  <si>
    <t>Presentacion "Glenda" Medenilla Gajes</t>
  </si>
  <si>
    <t>ALLEN M FORTES</t>
  </si>
  <si>
    <t>Juvy  Fugnit  Paulican</t>
  </si>
  <si>
    <t>Alan C. Santos</t>
  </si>
  <si>
    <t>ABNER VILLAFLOR DE LA CRUZ</t>
  </si>
  <si>
    <t>Niño G. Mascareñas</t>
  </si>
  <si>
    <t>Ray-Ann Sorilla</t>
  </si>
  <si>
    <t>miguel cosep baya</t>
  </si>
  <si>
    <t>Noel  Alcabaza</t>
  </si>
  <si>
    <t>Active</t>
  </si>
  <si>
    <t>Order</t>
  </si>
  <si>
    <t>25/08/2020</t>
  </si>
  <si>
    <t>26/08/2020</t>
  </si>
  <si>
    <t>24/08/2020</t>
  </si>
  <si>
    <t>23/08/2020</t>
  </si>
  <si>
    <t>22/08/2020</t>
  </si>
  <si>
    <t>21/08/2020</t>
  </si>
  <si>
    <t>20/08/2020</t>
  </si>
  <si>
    <t>19/08/2020</t>
  </si>
  <si>
    <t>18/08/2020</t>
  </si>
  <si>
    <t>17/08/2020</t>
  </si>
  <si>
    <t>16/08/2020</t>
  </si>
  <si>
    <t>15/08/2020</t>
  </si>
  <si>
    <t>14/08/2020</t>
  </si>
  <si>
    <t>13/08/2020</t>
  </si>
  <si>
    <t>12/08/2020</t>
  </si>
  <si>
    <t>11/08/2020</t>
  </si>
  <si>
    <t>10/08/2020</t>
  </si>
  <si>
    <t>09/08/2020</t>
  </si>
  <si>
    <t>08/08/2020</t>
  </si>
  <si>
    <t>07/08/2020</t>
  </si>
  <si>
    <t>06/08/2020</t>
  </si>
  <si>
    <t>05/08/2020</t>
  </si>
  <si>
    <t>04/08/2020</t>
  </si>
  <si>
    <t>03/08/2020</t>
  </si>
  <si>
    <t>31/07/2020</t>
  </si>
  <si>
    <t>01/08/2020</t>
  </si>
  <si>
    <t>30/07/2020</t>
  </si>
  <si>
    <t>29/07/2020</t>
  </si>
  <si>
    <t>28/07/2020</t>
  </si>
  <si>
    <t>27/07/2020</t>
  </si>
  <si>
    <t>25/07/2020</t>
  </si>
  <si>
    <t>24/07/2020</t>
  </si>
  <si>
    <t>22/07/2020</t>
  </si>
  <si>
    <t>23/07/2020</t>
  </si>
  <si>
    <t>21/07/2020</t>
  </si>
  <si>
    <t>20/07/2020</t>
  </si>
  <si>
    <t>17/07/2020</t>
  </si>
  <si>
    <t>18/07/2020</t>
  </si>
  <si>
    <t>19/07/2020</t>
  </si>
  <si>
    <t>16/07/2020</t>
  </si>
  <si>
    <t>15/07/2020</t>
  </si>
  <si>
    <t>11/07/2020</t>
  </si>
  <si>
    <t>12/07/2020</t>
  </si>
  <si>
    <t>14/07/2020</t>
  </si>
  <si>
    <t>10/07/2020</t>
  </si>
  <si>
    <t>06/07/2020</t>
  </si>
  <si>
    <t>07/07/2020</t>
  </si>
  <si>
    <t>09/07/2020</t>
  </si>
  <si>
    <t>08/07/2020</t>
  </si>
  <si>
    <t>03/07/2020</t>
  </si>
  <si>
    <t>30/06/2020</t>
  </si>
  <si>
    <t>01/07/2020</t>
  </si>
  <si>
    <t>02/07/2020</t>
  </si>
  <si>
    <t>24/06/2020</t>
  </si>
  <si>
    <t>27/06/2020</t>
  </si>
  <si>
    <t>28/06/2020</t>
  </si>
  <si>
    <t>25/06/2020</t>
  </si>
  <si>
    <t>26/06/2020</t>
  </si>
  <si>
    <t>29/06/2020</t>
  </si>
  <si>
    <t>23/06/2020</t>
  </si>
  <si>
    <t>21/06/2020</t>
  </si>
  <si>
    <t>17/06/2020</t>
  </si>
  <si>
    <t>20/06/2020</t>
  </si>
  <si>
    <t>10/06/2020</t>
  </si>
  <si>
    <t>12/06/2020</t>
  </si>
  <si>
    <t>11/06/2020</t>
  </si>
  <si>
    <t>06/06/2020</t>
  </si>
  <si>
    <t>30/05/2020</t>
  </si>
  <si>
    <t>02/06/2020</t>
  </si>
  <si>
    <t>03/06/2020</t>
  </si>
  <si>
    <t>04/06/2020</t>
  </si>
  <si>
    <t>20/03/2020</t>
  </si>
  <si>
    <t>01/04/2020</t>
  </si>
  <si>
    <t>17/04/2020</t>
  </si>
  <si>
    <t>27/04/2020</t>
  </si>
  <si>
    <t>23/03/2020</t>
  </si>
  <si>
    <t>06/04/2020</t>
  </si>
  <si>
    <t>07/05/2020</t>
  </si>
  <si>
    <t>30/04/2020</t>
  </si>
  <si>
    <t>10/03/2020</t>
  </si>
  <si>
    <t>22/04/2020</t>
  </si>
  <si>
    <t>12/03/2020</t>
  </si>
  <si>
    <t>13/03/2020</t>
  </si>
  <si>
    <t>04/03/2020</t>
  </si>
  <si>
    <t>26/02/2020</t>
  </si>
  <si>
    <t>29/02/2020</t>
  </si>
  <si>
    <t>27/02/2020</t>
  </si>
  <si>
    <t>03/03/2020</t>
  </si>
  <si>
    <t>16/03/2020</t>
  </si>
  <si>
    <t>25/02/2020</t>
  </si>
  <si>
    <t>30/01/2020</t>
  </si>
  <si>
    <t>28/02/2020</t>
  </si>
  <si>
    <t>24/01/2020</t>
  </si>
  <si>
    <t>06/02/2020</t>
  </si>
  <si>
    <t>20/12/2019</t>
  </si>
  <si>
    <t>12/02/2020</t>
  </si>
  <si>
    <t>15/02/2020</t>
  </si>
  <si>
    <t>20/02/2020</t>
  </si>
  <si>
    <t>21/02/2020</t>
  </si>
  <si>
    <t>05/03/2020</t>
  </si>
  <si>
    <t>17/03/2020</t>
  </si>
  <si>
    <t>14/02/2020</t>
  </si>
  <si>
    <t>14/05/2020</t>
  </si>
  <si>
    <t>07/03/2020</t>
  </si>
  <si>
    <t>22/05/2020</t>
  </si>
  <si>
    <t>28/05/2020</t>
  </si>
  <si>
    <t>06/03/2020</t>
  </si>
  <si>
    <t>29/05/2020</t>
  </si>
  <si>
    <t>25/08/2020 12:00 AM</t>
  </si>
  <si>
    <t>25/08/2020 11:10 AM</t>
  </si>
  <si>
    <t>26/08/2020 12:00 AM</t>
  </si>
  <si>
    <t>25/08/2020 8:32 AM</t>
  </si>
  <si>
    <t>25/08/2020 3:07 PM</t>
  </si>
  <si>
    <t>25/08/2020 3:04 PM</t>
  </si>
  <si>
    <t>25/08/2020 8:53 AM</t>
  </si>
  <si>
    <t>25/08/2020 8:55 AM</t>
  </si>
  <si>
    <t>25/08/2020 11:54 AM</t>
  </si>
  <si>
    <t>25/08/2020 4:38 PM</t>
  </si>
  <si>
    <t>25/08/2020 4:23 PM</t>
  </si>
  <si>
    <t>25/08/2020 3:57 PM</t>
  </si>
  <si>
    <t>25/08/2020 10:35 AM</t>
  </si>
  <si>
    <t>25/08/2020 7:44 PM</t>
  </si>
  <si>
    <t>25/08/2020 9:26 PM</t>
  </si>
  <si>
    <t>24/08/2020 12:00 AM</t>
  </si>
  <si>
    <t>24/08/2020 8:55 AM</t>
  </si>
  <si>
    <t>25/08/2020 3:26 PM</t>
  </si>
  <si>
    <t>23/08/2020 12:00 AM</t>
  </si>
  <si>
    <t>24/08/2020 7:28 PM</t>
  </si>
  <si>
    <t>25/08/2020 11:24 PM</t>
  </si>
  <si>
    <t>22/08/2020 12:00 AM</t>
  </si>
  <si>
    <t>22/08/2020 2:03 AM</t>
  </si>
  <si>
    <t>24/08/2020 10:18 AM</t>
  </si>
  <si>
    <t>25/08/2020 4:59 PM</t>
  </si>
  <si>
    <t>25/08/2020 1:14 PM</t>
  </si>
  <si>
    <t>25/08/2020 1:12 PM</t>
  </si>
  <si>
    <t>24/08/2020 6:37 PM</t>
  </si>
  <si>
    <t>25/08/2020 5:06 PM</t>
  </si>
  <si>
    <t>21/08/2020 12:00 AM</t>
  </si>
  <si>
    <t>25/08/2020 11:31 AM</t>
  </si>
  <si>
    <t>25/08/2020 7:59 PM</t>
  </si>
  <si>
    <t>25/08/2020 12:50 PM</t>
  </si>
  <si>
    <t>24/08/2020 10:11 AM</t>
  </si>
  <si>
    <t>25/08/2020 12:21 PM</t>
  </si>
  <si>
    <t>24/08/2020 4:25 PM</t>
  </si>
  <si>
    <t>24/08/2020 5:12 PM</t>
  </si>
  <si>
    <t>25/08/2020 5:12 PM</t>
  </si>
  <si>
    <t>25/08/2020 5:08 PM</t>
  </si>
  <si>
    <t>24/08/2020 5:10 PM</t>
  </si>
  <si>
    <t>24/08/2020 11:29 AM</t>
  </si>
  <si>
    <t>25/08/2020 12:06 PM</t>
  </si>
  <si>
    <t>24/08/2020 12:45 PM</t>
  </si>
  <si>
    <t>25/08/2020 12:09 PM</t>
  </si>
  <si>
    <t>25/08/2020 9:57 AM</t>
  </si>
  <si>
    <t>24/08/2020 4:01 PM</t>
  </si>
  <si>
    <t>24/08/2020 5:11 PM</t>
  </si>
  <si>
    <t>24/08/2020 5:08 PM</t>
  </si>
  <si>
    <t>25/08/2020 5:01 PM</t>
  </si>
  <si>
    <t>25/08/2020 12:45 PM</t>
  </si>
  <si>
    <t>25/08/2020 10:48 AM</t>
  </si>
  <si>
    <t>25/08/2020 1:20 PM</t>
  </si>
  <si>
    <t>25/08/2020 5:13 PM</t>
  </si>
  <si>
    <t>25/08/2020 1:42 PM</t>
  </si>
  <si>
    <t>24/08/2020 12:04 PM</t>
  </si>
  <si>
    <t>25/08/2020 5:18 PM</t>
  </si>
  <si>
    <t>25/08/2020 5:16 PM</t>
  </si>
  <si>
    <t>25/08/2020 5:25 PM</t>
  </si>
  <si>
    <t>25/08/2020 5:20 PM</t>
  </si>
  <si>
    <t>25/08/2020 5:14 PM</t>
  </si>
  <si>
    <t>25/08/2020 5:23 PM</t>
  </si>
  <si>
    <t>25/08/2020 11:16 AM</t>
  </si>
  <si>
    <t>22/08/2020 2:12 PM</t>
  </si>
  <si>
    <t>25/08/2020 4:11 PM</t>
  </si>
  <si>
    <t>21/08/2020 4:21 PM</t>
  </si>
  <si>
    <t>25/08/2020 8:42 AM</t>
  </si>
  <si>
    <t>21/08/2020 5:13 PM</t>
  </si>
  <si>
    <t>21/08/2020 4:35 PM</t>
  </si>
  <si>
    <t>21/08/2020 5:00 PM</t>
  </si>
  <si>
    <t>21/08/2020 4:47 PM</t>
  </si>
  <si>
    <t>25/08/2020 9:10 AM</t>
  </si>
  <si>
    <t>25/08/2020 8:08 AM</t>
  </si>
  <si>
    <t>25/08/2020 2:33 PM</t>
  </si>
  <si>
    <t>24/08/2020 1:58 PM</t>
  </si>
  <si>
    <t>25/08/2020 4:55 PM</t>
  </si>
  <si>
    <t>20/08/2020 12:00 AM</t>
  </si>
  <si>
    <t>20/08/2020 9:12 PM</t>
  </si>
  <si>
    <t>20/08/2020 9:08 PM</t>
  </si>
  <si>
    <t>20/08/2020 9:05 PM</t>
  </si>
  <si>
    <t>20/08/2020 9:11 PM</t>
  </si>
  <si>
    <t>20/08/2020 3:54 PM</t>
  </si>
  <si>
    <t>25/08/2020 3:44 PM</t>
  </si>
  <si>
    <t>25/08/2020 11:49 AM</t>
  </si>
  <si>
    <t>25/08/2020 11:47 AM</t>
  </si>
  <si>
    <t>25/08/2020 8:34 AM</t>
  </si>
  <si>
    <t>24/08/2020 6:08 PM</t>
  </si>
  <si>
    <t>24/08/2020 10:20 PM</t>
  </si>
  <si>
    <t>25/08/2020 11:33 AM</t>
  </si>
  <si>
    <t>25/08/2020 11:37 AM</t>
  </si>
  <si>
    <t>25/08/2020 11:41 AM</t>
  </si>
  <si>
    <t>24/08/2020 3:00 PM</t>
  </si>
  <si>
    <t>25/08/2020 11:46 AM</t>
  </si>
  <si>
    <t>24/08/2020 4:52 PM</t>
  </si>
  <si>
    <t>25/08/2020 4:06 PM</t>
  </si>
  <si>
    <t>25/08/2020 4:54 PM</t>
  </si>
  <si>
    <t>20/08/2020 1:35 PM</t>
  </si>
  <si>
    <t>20/08/2020 1:37 PM</t>
  </si>
  <si>
    <t>24/08/2020 2:24 PM</t>
  </si>
  <si>
    <t>25/08/2020 11:48 AM</t>
  </si>
  <si>
    <t>20/08/2020 2:18 PM</t>
  </si>
  <si>
    <t>20/08/2020 10:00 AM</t>
  </si>
  <si>
    <t>24/08/2020 4:02 PM</t>
  </si>
  <si>
    <t>25/08/2020 1:16 PM</t>
  </si>
  <si>
    <t>25/08/2020 4:18 PM</t>
  </si>
  <si>
    <t>25/08/2020 4:26 PM</t>
  </si>
  <si>
    <t>25/08/2020 4:42 PM</t>
  </si>
  <si>
    <t>25/08/2020 12:11 PM</t>
  </si>
  <si>
    <t>20/08/2020 2:28 PM</t>
  </si>
  <si>
    <t>20/08/2020 10:19 AM</t>
  </si>
  <si>
    <t>25/08/2020 12:14 PM</t>
  </si>
  <si>
    <t>25/08/2020 12:17 PM</t>
  </si>
  <si>
    <t>25/08/2020 12:39 PM</t>
  </si>
  <si>
    <t>24/08/2020 4:43 PM</t>
  </si>
  <si>
    <t>25/08/2020 5:05 PM</t>
  </si>
  <si>
    <t>24/08/2020 5:31 PM</t>
  </si>
  <si>
    <t>25/08/2020 12:36 PM</t>
  </si>
  <si>
    <t>24/08/2020 5:28 PM</t>
  </si>
  <si>
    <t>24/08/2020 4:45 PM</t>
  </si>
  <si>
    <t>25/08/2020 12:26 PM</t>
  </si>
  <si>
    <t>25/08/2020 10:27 PM</t>
  </si>
  <si>
    <t>25/08/2020 12:24 PM</t>
  </si>
  <si>
    <t>19/08/2020 12:00 AM</t>
  </si>
  <si>
    <t>25/08/2020 5:27 PM</t>
  </si>
  <si>
    <t>25/08/2020 9:49 AM</t>
  </si>
  <si>
    <t>20/08/2020 9:03 PM</t>
  </si>
  <si>
    <t>20/08/2020 9:02 PM</t>
  </si>
  <si>
    <t>20/08/2020 9:06 AM</t>
  </si>
  <si>
    <t>20/08/2020 11:19 AM</t>
  </si>
  <si>
    <t>20/08/2020 1:50 PM</t>
  </si>
  <si>
    <t>20/08/2020 11:23 AM</t>
  </si>
  <si>
    <t>20/08/2020 1:48 PM</t>
  </si>
  <si>
    <t>20/08/2020 1:41 PM</t>
  </si>
  <si>
    <t>20/08/2020 1:46 PM</t>
  </si>
  <si>
    <t>20/08/2020 11:14 AM</t>
  </si>
  <si>
    <t>20/08/2020 11:10 AM</t>
  </si>
  <si>
    <t>20/08/2020 1:49 PM</t>
  </si>
  <si>
    <t>22/08/2020 11:35 PM</t>
  </si>
  <si>
    <t>22/08/2020 11:39 PM</t>
  </si>
  <si>
    <t>20/08/2020 8:57 AM</t>
  </si>
  <si>
    <t>25/08/2020 9:19 PM</t>
  </si>
  <si>
    <t>25/08/2020 9:17 PM</t>
  </si>
  <si>
    <t>25/08/2020 9:24 PM</t>
  </si>
  <si>
    <t>25/08/2020 9:21 PM</t>
  </si>
  <si>
    <t>25/08/2020 9:28 PM</t>
  </si>
  <si>
    <t>25/08/2020 9:32 PM</t>
  </si>
  <si>
    <t>25/08/2020 9:30 PM</t>
  </si>
  <si>
    <t>25/08/2020 9:34 PM</t>
  </si>
  <si>
    <t>19/08/2020 10:33 AM</t>
  </si>
  <si>
    <t>19/08/2020 1:24 PM</t>
  </si>
  <si>
    <t>25/08/2020 9:44 AM</t>
  </si>
  <si>
    <t>25/08/2020 9:36 PM</t>
  </si>
  <si>
    <t>19/08/2020 11:44 AM</t>
  </si>
  <si>
    <t>25/08/2020 5:34 PM</t>
  </si>
  <si>
    <t>23/08/2020 6:11 PM</t>
  </si>
  <si>
    <t>25/08/2020 1:45 PM</t>
  </si>
  <si>
    <t>25/08/2020 1:54 PM</t>
  </si>
  <si>
    <t>19/08/2020 9:15 AM</t>
  </si>
  <si>
    <t>25/08/2020 10:58 AM</t>
  </si>
  <si>
    <t>19/08/2020 9:26 AM</t>
  </si>
  <si>
    <t>24/08/2020 7:05 PM</t>
  </si>
  <si>
    <t>25/08/2020 1:48 PM</t>
  </si>
  <si>
    <t>25/08/2020 3:18 PM</t>
  </si>
  <si>
    <t>23/08/2020 6:12 PM</t>
  </si>
  <si>
    <t>24/08/2020 9:13 AM</t>
  </si>
  <si>
    <t>25/08/2020 11:00 AM</t>
  </si>
  <si>
    <t>19/08/2020 4:11 PM</t>
  </si>
  <si>
    <t>19/08/2020 8:44 AM</t>
  </si>
  <si>
    <t>20/08/2020 2:42 PM</t>
  </si>
  <si>
    <t>24/08/2020 6:58 PM</t>
  </si>
  <si>
    <t>19/08/2020 8:46 AM</t>
  </si>
  <si>
    <t>25/08/2020 11:08 AM</t>
  </si>
  <si>
    <t>25/08/2020 11:03 AM</t>
  </si>
  <si>
    <t>25/08/2020 7:02 PM</t>
  </si>
  <si>
    <t>25/08/2020 4:29 PM</t>
  </si>
  <si>
    <t>20/08/2020 11:44 AM</t>
  </si>
  <si>
    <t>25/08/2020 11:06 AM</t>
  </si>
  <si>
    <t>19/08/2020 10:16 AM</t>
  </si>
  <si>
    <t>24/08/2020 3:50 PM</t>
  </si>
  <si>
    <t>24/08/2020 3:45 PM</t>
  </si>
  <si>
    <t>24/08/2020 2:29 PM</t>
  </si>
  <si>
    <t>25/08/2020 12:34 PM</t>
  </si>
  <si>
    <t>24/08/2020 3:54 PM</t>
  </si>
  <si>
    <t>18/08/2020 12:00 AM</t>
  </si>
  <si>
    <t>25/08/2020 2:46 PM</t>
  </si>
  <si>
    <t>21/08/2020 3:08 PM</t>
  </si>
  <si>
    <t>21/08/2020 3:13 PM</t>
  </si>
  <si>
    <t>25/08/2020 2:51 PM</t>
  </si>
  <si>
    <t>25/08/2020 2:45 PM</t>
  </si>
  <si>
    <t>21/08/2020 2:57 PM</t>
  </si>
  <si>
    <t>25/08/2020 2:47 PM</t>
  </si>
  <si>
    <t>25/08/2020 2:49 PM</t>
  </si>
  <si>
    <t>25/08/2020 2:52 PM</t>
  </si>
  <si>
    <t>25/08/2020 2:43 PM</t>
  </si>
  <si>
    <t>25/08/2020 2:39 PM</t>
  </si>
  <si>
    <t>25/08/2020 2:42 PM</t>
  </si>
  <si>
    <t>25/08/2020 2:36 PM</t>
  </si>
  <si>
    <t>25/08/2020 2:37 PM</t>
  </si>
  <si>
    <t>21/08/2020 2:59 PM</t>
  </si>
  <si>
    <t>21/08/2020 3:16 PM</t>
  </si>
  <si>
    <t>21/08/2020 3:06 PM</t>
  </si>
  <si>
    <t>24/08/2020 2:52 PM</t>
  </si>
  <si>
    <t>24/08/2020 2:51 PM</t>
  </si>
  <si>
    <t>24/08/2020 2:50 PM</t>
  </si>
  <si>
    <t>19/08/2020 9:03 AM</t>
  </si>
  <si>
    <t>19/08/2020 8:57 AM</t>
  </si>
  <si>
    <t>19/08/2020 8:59 AM</t>
  </si>
  <si>
    <t>25/08/2020 2:35 PM</t>
  </si>
  <si>
    <t>20/08/2020 9:25 PM</t>
  </si>
  <si>
    <t>20/08/2020 1:24 PM</t>
  </si>
  <si>
    <t>19/08/2020 1:55 PM</t>
  </si>
  <si>
    <t>20/08/2020 10:38 AM</t>
  </si>
  <si>
    <t>20/08/2020 2:52 PM</t>
  </si>
  <si>
    <t>25/08/2020 11:34 AM</t>
  </si>
  <si>
    <t>20/08/2020 2:59 PM</t>
  </si>
  <si>
    <t>20/08/2020 2:56 PM</t>
  </si>
  <si>
    <t>19/08/2020 1:40 PM</t>
  </si>
  <si>
    <t>24/08/2020 1:22 PM</t>
  </si>
  <si>
    <t>20/08/2020 2:45 PM</t>
  </si>
  <si>
    <t>21/08/2020 3:11 PM</t>
  </si>
  <si>
    <t>25/08/2020 9:05 AM</t>
  </si>
  <si>
    <t>24/08/2020 6:56 AM</t>
  </si>
  <si>
    <t>25/08/2020 3:32 PM</t>
  </si>
  <si>
    <t>20/08/2020 9:07 AM</t>
  </si>
  <si>
    <t>25/08/2020 3:24 PM</t>
  </si>
  <si>
    <t>19/08/2020 9:10 AM</t>
  </si>
  <si>
    <t>24/08/2020 11:58 PM</t>
  </si>
  <si>
    <t>24/08/2020 11:55 PM</t>
  </si>
  <si>
    <t>25/08/2020 9:19 AM</t>
  </si>
  <si>
    <t>25/08/2020 6:10 PM</t>
  </si>
  <si>
    <t>25/08/2020 12:02 AM</t>
  </si>
  <si>
    <t>25/08/2020 2:01 PM</t>
  </si>
  <si>
    <t>25/08/2020 12:03 AM</t>
  </si>
  <si>
    <t>25/08/2020 12:05 AM</t>
  </si>
  <si>
    <t>25/08/2020 12:07 AM</t>
  </si>
  <si>
    <t>21/08/2020 12:28 PM</t>
  </si>
  <si>
    <t>25/08/2020 3:56 PM</t>
  </si>
  <si>
    <t>25/08/2020 12:09 AM</t>
  </si>
  <si>
    <t>18/08/2020 9:40 AM</t>
  </si>
  <si>
    <t>25/08/2020 12:13 AM</t>
  </si>
  <si>
    <t>25/08/2020 9:15 PM</t>
  </si>
  <si>
    <t>20/08/2020 7:52 PM</t>
  </si>
  <si>
    <t>19/08/2020 4:44 PM</t>
  </si>
  <si>
    <t>18/08/2020 7:19 PM</t>
  </si>
  <si>
    <t>25/08/2020 3:51 PM</t>
  </si>
  <si>
    <t>25/08/2020 8:56 PM</t>
  </si>
  <si>
    <t>25/08/2020 10:14 AM</t>
  </si>
  <si>
    <t>19/08/2020 12:36 PM</t>
  </si>
  <si>
    <t>24/08/2020 10:04 PM</t>
  </si>
  <si>
    <t>24/08/2020 9:33 AM</t>
  </si>
  <si>
    <t>24/08/2020 9:48 PM</t>
  </si>
  <si>
    <t>19/08/2020 3:43 PM</t>
  </si>
  <si>
    <t>17/08/2020 12:00 AM</t>
  </si>
  <si>
    <t>20/08/2020 7:45 PM</t>
  </si>
  <si>
    <t>18/08/2020 1:49 PM</t>
  </si>
  <si>
    <t>25/08/2020 12:15 AM</t>
  </si>
  <si>
    <t>24/08/2020 3:18 PM</t>
  </si>
  <si>
    <t>18/08/2020 9:42 AM</t>
  </si>
  <si>
    <t>25/08/2020 3:25 PM</t>
  </si>
  <si>
    <t>20/08/2020 2:00 PM</t>
  </si>
  <si>
    <t>17/08/2020 4:58 PM</t>
  </si>
  <si>
    <t>20/08/2020 3:35 PM</t>
  </si>
  <si>
    <t>17/08/2020 9:20 AM</t>
  </si>
  <si>
    <t>17/08/2020 9:18 AM</t>
  </si>
  <si>
    <t>17/08/2020 9:13 AM</t>
  </si>
  <si>
    <t>17/08/2020 9:16 AM</t>
  </si>
  <si>
    <t>17/08/2020 9:21 AM</t>
  </si>
  <si>
    <t>21/08/2020 11:26 AM</t>
  </si>
  <si>
    <t>24/08/2020 6:50 PM</t>
  </si>
  <si>
    <t>24/08/2020 11:06 AM</t>
  </si>
  <si>
    <t>24/08/2020 11:05 AM</t>
  </si>
  <si>
    <t>24/08/2020 11:04 AM</t>
  </si>
  <si>
    <t>25/08/2020 10:03 PM</t>
  </si>
  <si>
    <t>25/08/2020 10:07 PM</t>
  </si>
  <si>
    <t>18/08/2020 10:31 AM</t>
  </si>
  <si>
    <t>25/08/2020 9:44 PM</t>
  </si>
  <si>
    <t>24/08/2020 3:55 PM</t>
  </si>
  <si>
    <t>21/08/2020 8:38 PM</t>
  </si>
  <si>
    <t>24/08/2020 5:35 PM</t>
  </si>
  <si>
    <t>21/08/2020 2:11 PM</t>
  </si>
  <si>
    <t>18/08/2020 10:38 AM</t>
  </si>
  <si>
    <t>21/08/2020 8:36 PM</t>
  </si>
  <si>
    <t>25/08/2020 5:58 PM</t>
  </si>
  <si>
    <t>21/08/2020 8:31 PM</t>
  </si>
  <si>
    <t>20/08/2020 2:31 PM</t>
  </si>
  <si>
    <t>20/08/2020 2:14 PM</t>
  </si>
  <si>
    <t>20/08/2020 2:34 PM</t>
  </si>
  <si>
    <t>25/08/2020 10:54 AM</t>
  </si>
  <si>
    <t>25/08/2020 3:28 PM</t>
  </si>
  <si>
    <t>20/08/2020 2:32 PM</t>
  </si>
  <si>
    <t>24/08/2020 10:37 PM</t>
  </si>
  <si>
    <t>20/08/2020 2:29 PM</t>
  </si>
  <si>
    <t>20/08/2020 2:33 PM</t>
  </si>
  <si>
    <t>20/08/2020 2:35 PM</t>
  </si>
  <si>
    <t>25/08/2020 9:07 PM</t>
  </si>
  <si>
    <t>16/08/2020 12:00 AM</t>
  </si>
  <si>
    <t>18/08/2020 11:06 AM</t>
  </si>
  <si>
    <t>18/08/2020 10:56 AM</t>
  </si>
  <si>
    <t>24/08/2020 12:00 PM</t>
  </si>
  <si>
    <t>15/08/2020 12:00 AM</t>
  </si>
  <si>
    <t>24/08/2020 7:36 PM</t>
  </si>
  <si>
    <t>20/08/2020 4:23 PM</t>
  </si>
  <si>
    <t>18/08/2020 10:52 AM</t>
  </si>
  <si>
    <t>18/08/2020 10:42 AM</t>
  </si>
  <si>
    <t>24/08/2020 3:05 PM</t>
  </si>
  <si>
    <t>25/08/2020 10:01 AM</t>
  </si>
  <si>
    <t>25/08/2020 12:22 PM</t>
  </si>
  <si>
    <t>18/08/2020 11:03 AM</t>
  </si>
  <si>
    <t>24/08/2020 7:37 PM</t>
  </si>
  <si>
    <t>24/08/2020 9:48 AM</t>
  </si>
  <si>
    <t>20/08/2020 1:22 PM</t>
  </si>
  <si>
    <t>25/08/2020 2:11 PM</t>
  </si>
  <si>
    <t>18/08/2020 1:48 PM</t>
  </si>
  <si>
    <t>24/08/2020 2:58 PM</t>
  </si>
  <si>
    <t>18/08/2020 4:51 PM</t>
  </si>
  <si>
    <t>20/08/2020 1:18 PM</t>
  </si>
  <si>
    <t>25/08/2020 10:19 AM</t>
  </si>
  <si>
    <t>25/08/2020 10:23 AM</t>
  </si>
  <si>
    <t>18/08/2020 10:35 AM</t>
  </si>
  <si>
    <t>18/08/2020 10:40 AM</t>
  </si>
  <si>
    <t>18/08/2020 10:18 AM</t>
  </si>
  <si>
    <t>18/08/2020 10:01 AM</t>
  </si>
  <si>
    <t>18/08/2020 3:23 PM</t>
  </si>
  <si>
    <t>14/08/2020 12:00 AM</t>
  </si>
  <si>
    <t>20/08/2020 5:40 PM</t>
  </si>
  <si>
    <t>20/08/2020 8:06 PM</t>
  </si>
  <si>
    <t>24/08/2020 6:38 PM</t>
  </si>
  <si>
    <t>24/08/2020 2:09 PM</t>
  </si>
  <si>
    <t>25/08/2020 9:55 AM</t>
  </si>
  <si>
    <t>24/08/2020 10:09 AM</t>
  </si>
  <si>
    <t>19/08/2020 9:00 AM</t>
  </si>
  <si>
    <t>18/08/2020 2:02 PM</t>
  </si>
  <si>
    <t>25/08/2020 12:02 PM</t>
  </si>
  <si>
    <t>18/08/2020 2:03 PM</t>
  </si>
  <si>
    <t>25/08/2020 12:00 PM</t>
  </si>
  <si>
    <t>18/08/2020 2:45 PM</t>
  </si>
  <si>
    <t>20/08/2020 9:45 AM</t>
  </si>
  <si>
    <t>18/08/2020 9:49 AM</t>
  </si>
  <si>
    <t>20/08/2020 11:59 PM</t>
  </si>
  <si>
    <t>25/08/2020 11:58 AM</t>
  </si>
  <si>
    <t>24/08/2020 3:36 PM</t>
  </si>
  <si>
    <t>18/08/2020 9:15 AM</t>
  </si>
  <si>
    <t>17/08/2020 4:18 PM</t>
  </si>
  <si>
    <t>17/08/2020 4:26 PM</t>
  </si>
  <si>
    <t>19/08/2020 2:23 PM</t>
  </si>
  <si>
    <t>19/08/2020 9:04 AM</t>
  </si>
  <si>
    <t>24/08/2020 10:20 AM</t>
  </si>
  <si>
    <t>19/08/2020 11:48 AM</t>
  </si>
  <si>
    <t>24/08/2020 11:34 AM</t>
  </si>
  <si>
    <t>19/08/2020 3:34 PM</t>
  </si>
  <si>
    <t>20/08/2020 3:48 PM</t>
  </si>
  <si>
    <t>19/08/2020 9:06 AM</t>
  </si>
  <si>
    <t>19/08/2020 8:47 AM</t>
  </si>
  <si>
    <t>18/08/2020 9:17 AM</t>
  </si>
  <si>
    <t>14/08/2020 2:07 PM</t>
  </si>
  <si>
    <t>19/08/2020 8:39 AM</t>
  </si>
  <si>
    <t>19/08/2020 8:49 AM</t>
  </si>
  <si>
    <t>25/08/2020 10:36 PM</t>
  </si>
  <si>
    <t>24/08/2020 9:57 AM</t>
  </si>
  <si>
    <t>24/08/2020 7:19 AM</t>
  </si>
  <si>
    <t>25/08/2020 9:48 AM</t>
  </si>
  <si>
    <t>19/08/2020 8:51 AM</t>
  </si>
  <si>
    <t>25/08/2020 1:53 PM</t>
  </si>
  <si>
    <t>25/08/2020 2:29 PM</t>
  </si>
  <si>
    <t>18/08/2020 3:46 PM</t>
  </si>
  <si>
    <t>20/08/2020 9:12 AM</t>
  </si>
  <si>
    <t>17/08/2020 11:07 AM</t>
  </si>
  <si>
    <t>20/08/2020 4:37 PM</t>
  </si>
  <si>
    <t>20/08/2020 4:34 PM</t>
  </si>
  <si>
    <t>24/08/2020 7:08 PM</t>
  </si>
  <si>
    <t>18/08/2020 3:54 PM</t>
  </si>
  <si>
    <t>24/08/2020 7:06 PM</t>
  </si>
  <si>
    <t>20/08/2020 10:36 PM</t>
  </si>
  <si>
    <t>20/08/2020 10:34 PM</t>
  </si>
  <si>
    <t>20/08/2020 10:32 PM</t>
  </si>
  <si>
    <t>20/08/2020 10:30 PM</t>
  </si>
  <si>
    <t>20/08/2020 10:26 PM</t>
  </si>
  <si>
    <t>20/08/2020 10:35 PM</t>
  </si>
  <si>
    <t>20/08/2020 10:29 PM</t>
  </si>
  <si>
    <t>20/08/2020 10:27 PM</t>
  </si>
  <si>
    <t>25/08/2020 6:13 PM</t>
  </si>
  <si>
    <t>17/08/2020 6:07 PM</t>
  </si>
  <si>
    <t>21/08/2020 4:10 PM</t>
  </si>
  <si>
    <t>18/08/2020 4:03 PM</t>
  </si>
  <si>
    <t>18/08/2020 3:58 PM</t>
  </si>
  <si>
    <t>17/08/2020 6:19 PM</t>
  </si>
  <si>
    <t>19/08/2020 6:39 PM</t>
  </si>
  <si>
    <t>18/08/2020 4:08 PM</t>
  </si>
  <si>
    <t>18/08/2020 4:14 PM</t>
  </si>
  <si>
    <t>18/08/2020 4:11 PM</t>
  </si>
  <si>
    <t>18/08/2020 4:17 PM</t>
  </si>
  <si>
    <t>17/08/2020 10:13 AM</t>
  </si>
  <si>
    <t>24/08/2020 8:07 AM</t>
  </si>
  <si>
    <t>25/08/2020 4:19 PM</t>
  </si>
  <si>
    <t>25/08/2020 10:46 AM</t>
  </si>
  <si>
    <t>25/08/2020 9:13 AM</t>
  </si>
  <si>
    <t>17/08/2020 12:06 PM</t>
  </si>
  <si>
    <t>24/08/2020 4:40 PM</t>
  </si>
  <si>
    <t>25/08/2020 4:27 PM</t>
  </si>
  <si>
    <t>20/08/2020 3:40 PM</t>
  </si>
  <si>
    <t>13/08/2020 12:00 AM</t>
  </si>
  <si>
    <t>25/08/2020 9:59 AM</t>
  </si>
  <si>
    <t>24/08/2020 1:19 PM</t>
  </si>
  <si>
    <t>19/08/2020 4:36 PM</t>
  </si>
  <si>
    <t>25/08/2020 1:39 PM</t>
  </si>
  <si>
    <t>24/08/2020 8:45 AM</t>
  </si>
  <si>
    <t>19/08/2020 4:37 PM</t>
  </si>
  <si>
    <t>24/08/2020 8:48 AM</t>
  </si>
  <si>
    <t>18/08/2020 3:39 PM</t>
  </si>
  <si>
    <t>25/08/2020 9:24 AM</t>
  </si>
  <si>
    <t>20/08/2020 7:21 PM</t>
  </si>
  <si>
    <t>24/08/2020 10:14 AM</t>
  </si>
  <si>
    <t>19/08/2020 9:31 AM</t>
  </si>
  <si>
    <t>18/08/2020 1:39 PM</t>
  </si>
  <si>
    <t>19/08/2020 9:25 AM</t>
  </si>
  <si>
    <t>18/08/2020 1:41 PM</t>
  </si>
  <si>
    <t>18/08/2020 1:40 PM</t>
  </si>
  <si>
    <t>19/08/2020 11:45 AM</t>
  </si>
  <si>
    <t>19/08/2020 3:48 PM</t>
  </si>
  <si>
    <t>18/08/2020 1:38 PM</t>
  </si>
  <si>
    <t>18/08/2020 1:37 PM</t>
  </si>
  <si>
    <t>17/08/2020 8:22 PM</t>
  </si>
  <si>
    <t>24/08/2020 10:34 AM</t>
  </si>
  <si>
    <t>20/08/2020 8:04 AM</t>
  </si>
  <si>
    <t>20/08/2020 4:32 PM</t>
  </si>
  <si>
    <t>18/08/2020 1:36 PM</t>
  </si>
  <si>
    <t>18/08/2020 1:35 PM</t>
  </si>
  <si>
    <t>18/08/2020 10:10 AM</t>
  </si>
  <si>
    <t>17/08/2020 10:48 PM</t>
  </si>
  <si>
    <t>18/08/2020 9:47 AM</t>
  </si>
  <si>
    <t>18/08/2020 10:00 AM</t>
  </si>
  <si>
    <t>18/08/2020 10:16 AM</t>
  </si>
  <si>
    <t>18/08/2020 10:36 AM</t>
  </si>
  <si>
    <t>18/08/2020 10:29 AM</t>
  </si>
  <si>
    <t>19/08/2020 3:45 PM</t>
  </si>
  <si>
    <t>24/08/2020 1:13 PM</t>
  </si>
  <si>
    <t>18/08/2020 1:32 PM</t>
  </si>
  <si>
    <t>25/08/2020 3:34 PM</t>
  </si>
  <si>
    <t>18/08/2020 10:21 AM</t>
  </si>
  <si>
    <t>25/08/2020 5:50 PM</t>
  </si>
  <si>
    <t>13/08/2020 10:17 AM</t>
  </si>
  <si>
    <t>20/08/2020 3:21 PM</t>
  </si>
  <si>
    <t>20/08/2020 5:21 PM</t>
  </si>
  <si>
    <t>13/08/2020 11:41 AM</t>
  </si>
  <si>
    <t>25/08/2020 5:51 PM</t>
  </si>
  <si>
    <t>23/08/2020 1:08 PM</t>
  </si>
  <si>
    <t>25/08/2020 5:38 PM</t>
  </si>
  <si>
    <t>20/08/2020 5:18 PM</t>
  </si>
  <si>
    <t>25/08/2020 5:52 PM</t>
  </si>
  <si>
    <t>17/08/2020 3:47 PM</t>
  </si>
  <si>
    <t>19/08/2020 3:44 PM</t>
  </si>
  <si>
    <t>17/08/2020 4:35 PM</t>
  </si>
  <si>
    <t>25/08/2020 5:53 PM</t>
  </si>
  <si>
    <t>19/08/2020 3:42 PM</t>
  </si>
  <si>
    <t>19/08/2020 9:32 AM</t>
  </si>
  <si>
    <t>25/08/2020 5:56 PM</t>
  </si>
  <si>
    <t>13/08/2020 9:51 AM</t>
  </si>
  <si>
    <t>19/08/2020 4:05 PM</t>
  </si>
  <si>
    <t>13/08/2020 3:49 PM</t>
  </si>
  <si>
    <t>13/08/2020 3:48 PM</t>
  </si>
  <si>
    <t>13/08/2020 3:47 PM</t>
  </si>
  <si>
    <t>24/08/2020 12:53 PM</t>
  </si>
  <si>
    <t>25/08/2020 4:03 PM</t>
  </si>
  <si>
    <t>13/08/2020 2:13 PM</t>
  </si>
  <si>
    <t>13/08/2020 3:46 PM</t>
  </si>
  <si>
    <t>13/08/2020 3:51 PM</t>
  </si>
  <si>
    <t>25/08/2020 11:22 AM</t>
  </si>
  <si>
    <t>25/08/2020 4:43 PM</t>
  </si>
  <si>
    <t>20/08/2020 11:41 AM</t>
  </si>
  <si>
    <t>13/08/2020 2:15 PM</t>
  </si>
  <si>
    <t>19/08/2020 10:25 AM</t>
  </si>
  <si>
    <t>18/08/2020 4:20 PM</t>
  </si>
  <si>
    <t>18/08/2020 9:54 AM</t>
  </si>
  <si>
    <t>19/08/2020 3:25 PM</t>
  </si>
  <si>
    <t>25/08/2020 11:38 AM</t>
  </si>
  <si>
    <t>19/08/2020 3:40 PM</t>
  </si>
  <si>
    <t>25/08/2020 5:55 PM</t>
  </si>
  <si>
    <t>24/08/2020 3:30 PM</t>
  </si>
  <si>
    <t>19/08/2020 5:18 PM</t>
  </si>
  <si>
    <t>19/08/2020 5:27 PM</t>
  </si>
  <si>
    <t>24/08/2020 7:55 PM</t>
  </si>
  <si>
    <t>18/08/2020 5:19 PM</t>
  </si>
  <si>
    <t>18/08/2020 11:27 AM</t>
  </si>
  <si>
    <t>18/08/2020 5:13 PM</t>
  </si>
  <si>
    <t>20/08/2020 5:56 PM</t>
  </si>
  <si>
    <t>20/08/2020 5:44 PM</t>
  </si>
  <si>
    <t>19/08/2020 9:56 AM</t>
  </si>
  <si>
    <t>18/08/2020 2:32 PM</t>
  </si>
  <si>
    <t>25/08/2020 4:46 PM</t>
  </si>
  <si>
    <t>25/08/2020 6:20 PM</t>
  </si>
  <si>
    <t>17/08/2020 12:25 PM</t>
  </si>
  <si>
    <t>17/08/2020 12:26 PM</t>
  </si>
  <si>
    <t>24/08/2020 4:17 PM</t>
  </si>
  <si>
    <t>25/08/2020 6:41 PM</t>
  </si>
  <si>
    <t>24/08/2020 11:49 AM</t>
  </si>
  <si>
    <t>21/08/2020 2:45 PM</t>
  </si>
  <si>
    <t>21/08/2020 2:40 PM</t>
  </si>
  <si>
    <t>13/08/2020 1:46 PM</t>
  </si>
  <si>
    <t>20/08/2020 8:05 AM</t>
  </si>
  <si>
    <t>25/08/2020 2:02 PM</t>
  </si>
  <si>
    <t>25/08/2020 1:13 PM</t>
  </si>
  <si>
    <t>19/08/2020 11:35 AM</t>
  </si>
  <si>
    <t>21/08/2020 2:47 PM</t>
  </si>
  <si>
    <t>19/08/2020 3:27 PM</t>
  </si>
  <si>
    <t>12/08/2020 12:00 AM</t>
  </si>
  <si>
    <t>20/08/2020 1:51 PM</t>
  </si>
  <si>
    <t>24/08/2020 3:27 PM</t>
  </si>
  <si>
    <t>13/08/2020 9:17 PM</t>
  </si>
  <si>
    <t>20/08/2020 9:19 PM</t>
  </si>
  <si>
    <t>25/08/2020 11:12 AM</t>
  </si>
  <si>
    <t>19/08/2020 3:29 PM</t>
  </si>
  <si>
    <t>18/08/2020 2:43 PM</t>
  </si>
  <si>
    <t>24/08/2020 10:45 PM</t>
  </si>
  <si>
    <t>19/08/2020 9:51 AM</t>
  </si>
  <si>
    <t>12/08/2020 1:20 PM</t>
  </si>
  <si>
    <t>24/08/2020 10:17 AM</t>
  </si>
  <si>
    <t>24/08/2020 10:15 AM</t>
  </si>
  <si>
    <t>24/08/2020 4:59 PM</t>
  </si>
  <si>
    <t>20/08/2020 2:41 PM</t>
  </si>
  <si>
    <t>20/08/2020 2:38 PM</t>
  </si>
  <si>
    <t>25/08/2020 9:01 AM</t>
  </si>
  <si>
    <t>19/08/2020 3:47 PM</t>
  </si>
  <si>
    <t>18/08/2020 4:16 PM</t>
  </si>
  <si>
    <t>13/08/2020 11:01 AM</t>
  </si>
  <si>
    <t>24/08/2020 11:14 AM</t>
  </si>
  <si>
    <t>24/08/2020 3:02 PM</t>
  </si>
  <si>
    <t>20/08/2020 1:56 PM</t>
  </si>
  <si>
    <t>24/08/2020 11:12 AM</t>
  </si>
  <si>
    <t>24/08/2020 11:10 AM</t>
  </si>
  <si>
    <t>12/08/2020 9:23 AM</t>
  </si>
  <si>
    <t>20/08/2020 8:15 PM</t>
  </si>
  <si>
    <t>20/08/2020 8:17 PM</t>
  </si>
  <si>
    <t>19/08/2020 11:17 AM</t>
  </si>
  <si>
    <t>24/08/2020 9:34 AM</t>
  </si>
  <si>
    <t>19/08/2020 11:57 AM</t>
  </si>
  <si>
    <t>24/08/2020 8:31 AM</t>
  </si>
  <si>
    <t>19/08/2020 9:49 AM</t>
  </si>
  <si>
    <t>24/08/2020 9:41 AM</t>
  </si>
  <si>
    <t>20/08/2020 8:32 PM</t>
  </si>
  <si>
    <t>25/08/2020 11:50 AM</t>
  </si>
  <si>
    <t>20/08/2020 8:36 PM</t>
  </si>
  <si>
    <t>24/08/2020 9:39 AM</t>
  </si>
  <si>
    <t>24/08/2020 9:46 AM</t>
  </si>
  <si>
    <t>20/08/2020 8:19 PM</t>
  </si>
  <si>
    <t>19/08/2020 12:00 PM</t>
  </si>
  <si>
    <t>20/08/2020 4:50 PM</t>
  </si>
  <si>
    <t>24/08/2020 9:56 AM</t>
  </si>
  <si>
    <t>24/08/2020 4:00 PM</t>
  </si>
  <si>
    <t>24/08/2020 10:16 AM</t>
  </si>
  <si>
    <t>20/08/2020 8:41 PM</t>
  </si>
  <si>
    <t>21/08/2020 11:31 AM</t>
  </si>
  <si>
    <t>24/08/2020 10:12 AM</t>
  </si>
  <si>
    <t>20/08/2020 8:39 PM</t>
  </si>
  <si>
    <t>19/08/2020 9:55 AM</t>
  </si>
  <si>
    <t>20/08/2020 4:24 PM</t>
  </si>
  <si>
    <t>24/08/2020 5:02 PM</t>
  </si>
  <si>
    <t>24/08/2020 1:35 PM</t>
  </si>
  <si>
    <t>19/08/2020 9:50 AM</t>
  </si>
  <si>
    <t>25/08/2020 1:05 PM</t>
  </si>
  <si>
    <t>24/08/2020 12:48 PM</t>
  </si>
  <si>
    <t>25/08/2020 4:24 PM</t>
  </si>
  <si>
    <t>19/08/2020 3:58 PM</t>
  </si>
  <si>
    <t>20/08/2020 4:48 PM</t>
  </si>
  <si>
    <t>25/08/2020 11:51 AM</t>
  </si>
  <si>
    <t>24/08/2020 4:55 PM</t>
  </si>
  <si>
    <t>24/08/2020 1:24 PM</t>
  </si>
  <si>
    <t>24/08/2020 12:50 PM</t>
  </si>
  <si>
    <t>25/08/2020 1:06 PM</t>
  </si>
  <si>
    <t>17/08/2020 9:00 AM</t>
  </si>
  <si>
    <t>25/08/2020 8:24 AM</t>
  </si>
  <si>
    <t>17/08/2020 5:23 PM</t>
  </si>
  <si>
    <t>17/08/2020 1:57 PM</t>
  </si>
  <si>
    <t>12/08/2020 3:23 PM</t>
  </si>
  <si>
    <t>20/08/2020 8:16 AM</t>
  </si>
  <si>
    <t>25/08/2020 2:10 PM</t>
  </si>
  <si>
    <t>12/08/2020 1:41 PM</t>
  </si>
  <si>
    <t>25/08/2020 2:20 PM</t>
  </si>
  <si>
    <t>12/08/2020 1:43 PM</t>
  </si>
  <si>
    <t>20/08/2020 4:30 PM</t>
  </si>
  <si>
    <t>24/08/2020 12:51 PM</t>
  </si>
  <si>
    <t>25/08/2020 8:21 AM</t>
  </si>
  <si>
    <t>13/08/2020 1:17 PM</t>
  </si>
  <si>
    <t>24/08/2020 12:52 PM</t>
  </si>
  <si>
    <t>12/08/2020 1:48 PM</t>
  </si>
  <si>
    <t>12/08/2020 1:47 PM</t>
  </si>
  <si>
    <t>20/08/2020 3:26 PM</t>
  </si>
  <si>
    <t>24/08/2020 12:49 PM</t>
  </si>
  <si>
    <t>19/08/2020 4:53 PM</t>
  </si>
  <si>
    <t>18/08/2020 3:40 PM</t>
  </si>
  <si>
    <t>17/08/2020 5:27 PM</t>
  </si>
  <si>
    <t>20/08/2020 8:59 PM</t>
  </si>
  <si>
    <t>12/08/2020 3:08 PM</t>
  </si>
  <si>
    <t>19/08/2020 4:59 PM</t>
  </si>
  <si>
    <t>25/08/2020 2:38 PM</t>
  </si>
  <si>
    <t>12/08/2020 1:21 PM</t>
  </si>
  <si>
    <t>12/08/2020 1:50 PM</t>
  </si>
  <si>
    <t>18/08/2020 3:42 PM</t>
  </si>
  <si>
    <t>19/08/2020 1:44 PM</t>
  </si>
  <si>
    <t>25/08/2020 10:45 AM</t>
  </si>
  <si>
    <t>24/08/2020 8:12 PM</t>
  </si>
  <si>
    <t>25/08/2020 5:54 PM</t>
  </si>
  <si>
    <t>20/08/2020 9:00 PM</t>
  </si>
  <si>
    <t>24/08/2020 9:50 AM</t>
  </si>
  <si>
    <t>25/08/2020 4:01 PM</t>
  </si>
  <si>
    <t>25/08/2020 7:09 PM</t>
  </si>
  <si>
    <t>24/08/2020 11:50 AM</t>
  </si>
  <si>
    <t>25/08/2020 7:10 PM</t>
  </si>
  <si>
    <t>25/08/2020 3:59 PM</t>
  </si>
  <si>
    <t>17/08/2020 2:33 PM</t>
  </si>
  <si>
    <t>24/08/2020 8:00 PM</t>
  </si>
  <si>
    <t>18/08/2020 2:56 PM</t>
  </si>
  <si>
    <t>24/08/2020 8:02 PM</t>
  </si>
  <si>
    <t>12/08/2020 10:20 AM</t>
  </si>
  <si>
    <t>25/08/2020 4:13 PM</t>
  </si>
  <si>
    <t>25/08/2020 7:07 PM</t>
  </si>
  <si>
    <t>20/08/2020 8:58 PM</t>
  </si>
  <si>
    <t>18/08/2020 3:15 PM</t>
  </si>
  <si>
    <t>25/08/2020 3:45 PM</t>
  </si>
  <si>
    <t>25/08/2020 4:16 PM</t>
  </si>
  <si>
    <t>25/08/2020 4:21 PM</t>
  </si>
  <si>
    <t>18/08/2020 2:52 PM</t>
  </si>
  <si>
    <t>18/08/2020 3:11 PM</t>
  </si>
  <si>
    <t>18/08/2020 2:19 PM</t>
  </si>
  <si>
    <t>18/08/2020 3:08 PM</t>
  </si>
  <si>
    <t>25/08/2020 4:15 PM</t>
  </si>
  <si>
    <t>19/08/2020 3:15 PM</t>
  </si>
  <si>
    <t>19/08/2020 3:17 PM</t>
  </si>
  <si>
    <t>19/08/2020 3:19 PM</t>
  </si>
  <si>
    <t>19/08/2020 3:24 PM</t>
  </si>
  <si>
    <t>25/08/2020 4:20 PM</t>
  </si>
  <si>
    <t>19/08/2020 3:20 PM</t>
  </si>
  <si>
    <t>25/08/2020 4:09 PM</t>
  </si>
  <si>
    <t>25/08/2020 9:02 AM</t>
  </si>
  <si>
    <t>19/08/2020 3:22 PM</t>
  </si>
  <si>
    <t>18/08/2020 2:59 PM</t>
  </si>
  <si>
    <t>12/08/2020 1:51 PM</t>
  </si>
  <si>
    <t>17/08/2020 2:29 PM</t>
  </si>
  <si>
    <t>18/08/2020 3:13 PM</t>
  </si>
  <si>
    <t>17/08/2020 2:23 PM</t>
  </si>
  <si>
    <t>19/08/2020 10:00 AM</t>
  </si>
  <si>
    <t>24/08/2020 5:43 PM</t>
  </si>
  <si>
    <t>18/08/2020 3:01 PM</t>
  </si>
  <si>
    <t>21/08/2020 11:49 PM</t>
  </si>
  <si>
    <t>19/08/2020 3:14 PM</t>
  </si>
  <si>
    <t>13/08/2020 4:15 PM</t>
  </si>
  <si>
    <t>25/08/2020 6:53 PM</t>
  </si>
  <si>
    <t>21/08/2020 3:01 PM</t>
  </si>
  <si>
    <t>21/08/2020 3:04 PM</t>
  </si>
  <si>
    <t>22/08/2020 8:44 PM</t>
  </si>
  <si>
    <t>21/08/2020 3:14 PM</t>
  </si>
  <si>
    <t>21/08/2020 3:24 PM</t>
  </si>
  <si>
    <t>21/08/2020 3:18 PM</t>
  </si>
  <si>
    <t>21/08/2020 3:21 PM</t>
  </si>
  <si>
    <t>20/08/2020 6:21 PM</t>
  </si>
  <si>
    <t>19/08/2020 4:04 PM</t>
  </si>
  <si>
    <t>12/08/2020 8:10 AM</t>
  </si>
  <si>
    <t>20/08/2020 9:14 AM</t>
  </si>
  <si>
    <t>19/08/2020 4:00 PM</t>
  </si>
  <si>
    <t>11/08/2020 12:00 AM</t>
  </si>
  <si>
    <t>12/08/2020 8:07 AM</t>
  </si>
  <si>
    <t>20/08/2020 2:27 PM</t>
  </si>
  <si>
    <t>20/08/2020 2:26 PM</t>
  </si>
  <si>
    <t>20/08/2020 2:30 PM</t>
  </si>
  <si>
    <t>20/08/2020 5:30 PM</t>
  </si>
  <si>
    <t>24/08/2020 3:19 PM</t>
  </si>
  <si>
    <t>19/08/2020 3:06 PM</t>
  </si>
  <si>
    <t>24/08/2020 2:25 PM</t>
  </si>
  <si>
    <t>22/08/2020 8:47 AM</t>
  </si>
  <si>
    <t>24/08/2020 4:50 PM</t>
  </si>
  <si>
    <t>14/08/2020 11:13 AM</t>
  </si>
  <si>
    <t>19/08/2020 4:07 PM</t>
  </si>
  <si>
    <t>20/08/2020 10:32 AM</t>
  </si>
  <si>
    <t>12/08/2020 9:53 AM</t>
  </si>
  <si>
    <t>19/08/2020 2:47 PM</t>
  </si>
  <si>
    <t>19/08/2020 2:36 PM</t>
  </si>
  <si>
    <t>25/08/2020 8:57 AM</t>
  </si>
  <si>
    <t>20/08/2020 3:02 PM</t>
  </si>
  <si>
    <t>19/08/2020 2:56 PM</t>
  </si>
  <si>
    <t>25/08/2020 8:51 AM</t>
  </si>
  <si>
    <t>12/08/2020 11:40 AM</t>
  </si>
  <si>
    <t>12/08/2020 10:00 AM</t>
  </si>
  <si>
    <t>25/08/2020 9:45 AM</t>
  </si>
  <si>
    <t>20/08/2020 3:58 PM</t>
  </si>
  <si>
    <t>12/08/2020 9:44 AM</t>
  </si>
  <si>
    <t>19/08/2020 5:41 PM</t>
  </si>
  <si>
    <t>19/08/2020 3:02 PM</t>
  </si>
  <si>
    <t>17/08/2020 3:59 PM</t>
  </si>
  <si>
    <t>12/08/2020 10:15 AM</t>
  </si>
  <si>
    <t>14/08/2020 4:23 PM</t>
  </si>
  <si>
    <t>25/08/2020 3:41 PM</t>
  </si>
  <si>
    <t>12/08/2020 10:03 AM</t>
  </si>
  <si>
    <t>22/08/2020 8:56 AM</t>
  </si>
  <si>
    <t>25/08/2020 9:00 AM</t>
  </si>
  <si>
    <t>21/08/2020 9:37 PM</t>
  </si>
  <si>
    <t>18/08/2020 11:05 AM</t>
  </si>
  <si>
    <t>19/08/2020 3:30 PM</t>
  </si>
  <si>
    <t>20/08/2020 5:01 PM</t>
  </si>
  <si>
    <t>12/08/2020 12:46 PM</t>
  </si>
  <si>
    <t>25/08/2020 3:46 PM</t>
  </si>
  <si>
    <t>12/08/2020 4:27 PM</t>
  </si>
  <si>
    <t>19/08/2020 11:26 AM</t>
  </si>
  <si>
    <t>12/08/2020 11:43 AM</t>
  </si>
  <si>
    <t>18/08/2020 11:15 AM</t>
  </si>
  <si>
    <t>19/08/2020 3:36 PM</t>
  </si>
  <si>
    <t>13/08/2020 2:56 PM</t>
  </si>
  <si>
    <t>24/08/2020 4:47 PM</t>
  </si>
  <si>
    <t>25/08/2020 9:37 AM</t>
  </si>
  <si>
    <t>19/08/2020 7:00 AM</t>
  </si>
  <si>
    <t>21/08/2020 10:54 PM</t>
  </si>
  <si>
    <t>20/08/2020 4:21 PM</t>
  </si>
  <si>
    <t>20/08/2020 2:15 PM</t>
  </si>
  <si>
    <t>24/08/2020 4:11 PM</t>
  </si>
  <si>
    <t>25/08/2020 10:16 AM</t>
  </si>
  <si>
    <t>24/08/2020 4:10 PM</t>
  </si>
  <si>
    <t>24/08/2020 4:22 PM</t>
  </si>
  <si>
    <t>24/08/2020 4:13 PM</t>
  </si>
  <si>
    <t>24/08/2020 4:12 PM</t>
  </si>
  <si>
    <t>19/08/2020 3:32 PM</t>
  </si>
  <si>
    <t>19/08/2020 11:37 AM</t>
  </si>
  <si>
    <t>19/08/2020 3:51 PM</t>
  </si>
  <si>
    <t>24/08/2020 4:18 PM</t>
  </si>
  <si>
    <t>24/08/2020 4:15 PM</t>
  </si>
  <si>
    <t>24/08/2020 4:14 PM</t>
  </si>
  <si>
    <t>19/08/2020 2:39 PM</t>
  </si>
  <si>
    <t>19/08/2020 7:24 PM</t>
  </si>
  <si>
    <t>24/08/2020 4:32 PM</t>
  </si>
  <si>
    <t>24/08/2020 4:29 PM</t>
  </si>
  <si>
    <t>20/08/2020 11:46 PM</t>
  </si>
  <si>
    <t>12/08/2020 11:46 AM</t>
  </si>
  <si>
    <t>19/08/2020 2:43 PM</t>
  </si>
  <si>
    <t>24/08/2020 5:05 PM</t>
  </si>
  <si>
    <t>17/08/2020 1:56 PM</t>
  </si>
  <si>
    <t>17/08/2020 1:59 PM</t>
  </si>
  <si>
    <t>19/08/2020 2:49 PM</t>
  </si>
  <si>
    <t>25/08/2020 5:39 PM</t>
  </si>
  <si>
    <t>13/08/2020 11:59 AM</t>
  </si>
  <si>
    <t>13/08/2020 11:55 AM</t>
  </si>
  <si>
    <t>25/08/2020 5:44 PM</t>
  </si>
  <si>
    <t>25/08/2020 9:50 PM</t>
  </si>
  <si>
    <t>19/08/2020 2:27 PM</t>
  </si>
  <si>
    <t>21/08/2020 2:13 PM</t>
  </si>
  <si>
    <t>25/08/2020 3:16 PM</t>
  </si>
  <si>
    <t>25/08/2020 2:50 PM</t>
  </si>
  <si>
    <t>10/08/2020 12:00 AM</t>
  </si>
  <si>
    <t>25/08/2020 9:42 AM</t>
  </si>
  <si>
    <t>24/08/2020 7:34 PM</t>
  </si>
  <si>
    <t>25/08/2020 11:25 AM</t>
  </si>
  <si>
    <t>24/08/2020 1:39 PM</t>
  </si>
  <si>
    <t>24/08/2020 5:25 PM</t>
  </si>
  <si>
    <t>24/08/2020 2:43 PM</t>
  </si>
  <si>
    <t>18/08/2020 1:59 PM</t>
  </si>
  <si>
    <t>25/08/2020 3:29 PM</t>
  </si>
  <si>
    <t>24/08/2020 2:54 PM</t>
  </si>
  <si>
    <t>25/08/2020 9:11 AM</t>
  </si>
  <si>
    <t>10/08/2020 1:53 PM</t>
  </si>
  <si>
    <t>19/08/2020 9:54 PM</t>
  </si>
  <si>
    <t>24/08/2020 5:21 PM</t>
  </si>
  <si>
    <t>24/08/2020 5:23 PM</t>
  </si>
  <si>
    <t>19/08/2020 2:38 PM</t>
  </si>
  <si>
    <t>20/08/2020 5:05 PM</t>
  </si>
  <si>
    <t>20/08/2020 4:59 PM</t>
  </si>
  <si>
    <t>20/08/2020 5:04 PM</t>
  </si>
  <si>
    <t>20/08/2020 4:49 PM</t>
  </si>
  <si>
    <t>11/08/2020 2:08 PM</t>
  </si>
  <si>
    <t>24/08/2020 9:53 PM</t>
  </si>
  <si>
    <t>25/08/2020 4:12 PM</t>
  </si>
  <si>
    <t>18/08/2020 2:26 PM</t>
  </si>
  <si>
    <t>09/08/2020 12:00 AM</t>
  </si>
  <si>
    <t>24/08/2020 8:44 PM</t>
  </si>
  <si>
    <t>08/08/2020 12:00 AM</t>
  </si>
  <si>
    <t>23/08/2020 12:01 PM</t>
  </si>
  <si>
    <t>18/08/2020 9:26 AM</t>
  </si>
  <si>
    <t>11/08/2020 6:27 PM</t>
  </si>
  <si>
    <t>11/08/2020 6:32 PM</t>
  </si>
  <si>
    <t>11/08/2020 6:35 PM</t>
  </si>
  <si>
    <t>18/08/2020 9:22 AM</t>
  </si>
  <si>
    <t>22/08/2020 2:10 PM</t>
  </si>
  <si>
    <t>25/08/2020 3:48 PM</t>
  </si>
  <si>
    <t>24/08/2020 3:59 PM</t>
  </si>
  <si>
    <t>19/08/2020 3:55 PM</t>
  </si>
  <si>
    <t>18/08/2020 4:13 PM</t>
  </si>
  <si>
    <t>20/08/2020 4:47 PM</t>
  </si>
  <si>
    <t>18/08/2020 9:25 AM</t>
  </si>
  <si>
    <t>25/08/2020 6:06 PM</t>
  </si>
  <si>
    <t>18/08/2020 9:24 AM</t>
  </si>
  <si>
    <t>20/08/2020 12:32 PM</t>
  </si>
  <si>
    <t>25/08/2020 5:30 PM</t>
  </si>
  <si>
    <t>13/08/2020 8:39 AM</t>
  </si>
  <si>
    <t>13/08/2020 8:46 AM</t>
  </si>
  <si>
    <t>14/08/2020 11:15 AM</t>
  </si>
  <si>
    <t>19/08/2020 3:28 PM</t>
  </si>
  <si>
    <t>14/08/2020 11:14 AM</t>
  </si>
  <si>
    <t>17/08/2020 4:48 PM</t>
  </si>
  <si>
    <t>25/08/2020 4:57 PM</t>
  </si>
  <si>
    <t>24/08/2020 5:13 PM</t>
  </si>
  <si>
    <t>24/08/2020 5:16 PM</t>
  </si>
  <si>
    <t>24/08/2020 5:15 PM</t>
  </si>
  <si>
    <t>25/08/2020 9:12 PM</t>
  </si>
  <si>
    <t>25/08/2020 5:42 PM</t>
  </si>
  <si>
    <t>20/08/2020 2:46 PM</t>
  </si>
  <si>
    <t>24/08/2020 5:18 PM</t>
  </si>
  <si>
    <t>20/08/2020 4:35 PM</t>
  </si>
  <si>
    <t>07/08/2020 12:00 AM</t>
  </si>
  <si>
    <t>24/08/2020 2:30 PM</t>
  </si>
  <si>
    <t>20/08/2020 3:53 PM</t>
  </si>
  <si>
    <t>20/08/2020 3:55 PM</t>
  </si>
  <si>
    <t>17/08/2020 8:41 AM</t>
  </si>
  <si>
    <t>19/08/2020 11:25 AM</t>
  </si>
  <si>
    <t>13/08/2020 2:28 PM</t>
  </si>
  <si>
    <t>25/08/2020 3:47 PM</t>
  </si>
  <si>
    <t>13/08/2020 2:25 PM</t>
  </si>
  <si>
    <t>21/08/2020 7:44 PM</t>
  </si>
  <si>
    <t>18/08/2020 1:33 PM</t>
  </si>
  <si>
    <t>25/08/2020 7:30 AM</t>
  </si>
  <si>
    <t>17/08/2020 4:24 PM</t>
  </si>
  <si>
    <t>17/08/2020 4:27 PM</t>
  </si>
  <si>
    <t>17/08/2020 4:25 PM</t>
  </si>
  <si>
    <t>17/08/2020 4:22 PM</t>
  </si>
  <si>
    <t>17/08/2020 4:29 PM</t>
  </si>
  <si>
    <t>25/08/2020 7:16 PM</t>
  </si>
  <si>
    <t>18/08/2020 8:48 AM</t>
  </si>
  <si>
    <t>18/08/2020 8:44 AM</t>
  </si>
  <si>
    <t>17/08/2020 4:13 PM</t>
  </si>
  <si>
    <t>18/08/2020 7:37 AM</t>
  </si>
  <si>
    <t>17/08/2020 3:33 PM</t>
  </si>
  <si>
    <t>20/08/2020 8:26 AM</t>
  </si>
  <si>
    <t>18/08/2020 2:40 PM</t>
  </si>
  <si>
    <t>20/08/2020 3:51 PM</t>
  </si>
  <si>
    <t>20/08/2020 8:23 AM</t>
  </si>
  <si>
    <t>11/08/2020 10:26 AM</t>
  </si>
  <si>
    <t>24/08/2020 5:14 PM</t>
  </si>
  <si>
    <t>11/08/2020 2:06 PM</t>
  </si>
  <si>
    <t>12/08/2020 12:15 PM</t>
  </si>
  <si>
    <t>20/08/2020 4:38 PM</t>
  </si>
  <si>
    <t>11/08/2020 11:58 AM</t>
  </si>
  <si>
    <t>25/08/2020 6:17 AM</t>
  </si>
  <si>
    <t>25/08/2020 9:22 AM</t>
  </si>
  <si>
    <t>24/08/2020 5:24 PM</t>
  </si>
  <si>
    <t>11/08/2020 10:39 AM</t>
  </si>
  <si>
    <t>25/08/2020 3:49 PM</t>
  </si>
  <si>
    <t>18/08/2020 4:19 PM</t>
  </si>
  <si>
    <t>24/08/2020 12:34 PM</t>
  </si>
  <si>
    <t>19/08/2020 4:23 PM</t>
  </si>
  <si>
    <t>18/08/2020 4:07 PM</t>
  </si>
  <si>
    <t>24/08/2020 10:35 AM</t>
  </si>
  <si>
    <t>24/08/2020 10:33 AM</t>
  </si>
  <si>
    <t>24/08/2020 12:31 PM</t>
  </si>
  <si>
    <t>24/08/2020 1:16 PM</t>
  </si>
  <si>
    <t>24/08/2020 11:57 AM</t>
  </si>
  <si>
    <t>13/08/2020 1:53 PM</t>
  </si>
  <si>
    <t>13/08/2020 8:02 PM</t>
  </si>
  <si>
    <t>22/08/2020 3:49 PM</t>
  </si>
  <si>
    <t>24/08/2020 10:59 AM</t>
  </si>
  <si>
    <t>24/08/2020 8:27 AM</t>
  </si>
  <si>
    <t>11/08/2020 11:54 AM</t>
  </si>
  <si>
    <t>18/08/2020 9:12 AM</t>
  </si>
  <si>
    <t>24/08/2020 2:45 PM</t>
  </si>
  <si>
    <t>10/08/2020 2:13 PM</t>
  </si>
  <si>
    <t>25/08/2020 11:26 AM</t>
  </si>
  <si>
    <t>19/08/2020 1:45 PM</t>
  </si>
  <si>
    <t>11/08/2020 9:54 AM</t>
  </si>
  <si>
    <t>13/08/2020 1:54 PM</t>
  </si>
  <si>
    <t>20/08/2020 1:55 PM</t>
  </si>
  <si>
    <t>19/08/2020 4:34 PM</t>
  </si>
  <si>
    <t>19/08/2020 12:04 PM</t>
  </si>
  <si>
    <t>25/08/2020 2:25 PM</t>
  </si>
  <si>
    <t>20/08/2020 8:24 PM</t>
  </si>
  <si>
    <t>18/08/2020 8:40 AM</t>
  </si>
  <si>
    <t>13/08/2020 1:58 PM</t>
  </si>
  <si>
    <t>24/08/2020 9:06 AM</t>
  </si>
  <si>
    <t>25/08/2020 10:44 AM</t>
  </si>
  <si>
    <t>23/08/2020 9:33 PM</t>
  </si>
  <si>
    <t>21/08/2020 10:39 AM</t>
  </si>
  <si>
    <t>19/08/2020 1:03 PM</t>
  </si>
  <si>
    <t>13/08/2020 1:59 PM</t>
  </si>
  <si>
    <t>20/08/2020 11:51 AM</t>
  </si>
  <si>
    <t>20/08/2020 8:16 PM</t>
  </si>
  <si>
    <t>24/08/2020 5:07 PM</t>
  </si>
  <si>
    <t>11/08/2020 10:49 AM</t>
  </si>
  <si>
    <t>19/08/2020 9:01 AM</t>
  </si>
  <si>
    <t>20/08/2020 8:14 PM</t>
  </si>
  <si>
    <t>13/08/2020 1:57 PM</t>
  </si>
  <si>
    <t>13/08/2020 1:55 PM</t>
  </si>
  <si>
    <t>24/08/2020 12:38 PM</t>
  </si>
  <si>
    <t>24/08/2020 12:59 PM</t>
  </si>
  <si>
    <t>21/08/2020 10:53 AM</t>
  </si>
  <si>
    <t>10/08/2020 8:36 AM</t>
  </si>
  <si>
    <t>11/08/2020 11:01 AM</t>
  </si>
  <si>
    <t>20/08/2020 12:36 PM</t>
  </si>
  <si>
    <t>24/08/2020 2:47 PM</t>
  </si>
  <si>
    <t>25/08/2020 7:31 AM</t>
  </si>
  <si>
    <t>20/08/2020 8:47 PM</t>
  </si>
  <si>
    <t>19/08/2020 2:34 PM</t>
  </si>
  <si>
    <t>20/08/2020 6:16 PM</t>
  </si>
  <si>
    <t>20/08/2020 2:58 PM</t>
  </si>
  <si>
    <t>19/08/2020 9:41 AM</t>
  </si>
  <si>
    <t>20/08/2020 9:18 AM</t>
  </si>
  <si>
    <t>19/08/2020 12:47 PM</t>
  </si>
  <si>
    <t>11/08/2020 4:13 PM</t>
  </si>
  <si>
    <t>25/08/2020 8:16 AM</t>
  </si>
  <si>
    <t>20/08/2020 6:17 PM</t>
  </si>
  <si>
    <t>20/08/2020 6:20 PM</t>
  </si>
  <si>
    <t>25/08/2020 11:56 AM</t>
  </si>
  <si>
    <t>07/08/2020 5:08 PM</t>
  </si>
  <si>
    <t>07/08/2020 5:07 PM</t>
  </si>
  <si>
    <t>18/08/2020 1:56 PM</t>
  </si>
  <si>
    <t>19/08/2020 10:14 AM</t>
  </si>
  <si>
    <t>20/08/2020 12:27 PM</t>
  </si>
  <si>
    <t>19/08/2020 8:56 PM</t>
  </si>
  <si>
    <t>18/08/2020 8:10 AM</t>
  </si>
  <si>
    <t>07/08/2020 5:06 PM</t>
  </si>
  <si>
    <t>12/08/2020 5:23 PM</t>
  </si>
  <si>
    <t>07/08/2020 5:11 PM</t>
  </si>
  <si>
    <t>20/08/2020 6:22 PM</t>
  </si>
  <si>
    <t>24/08/2020 2:16 PM</t>
  </si>
  <si>
    <t>18/08/2020 2:49 PM</t>
  </si>
  <si>
    <t>19/08/2020 11:28 PM</t>
  </si>
  <si>
    <t>14/08/2020 2:21 PM</t>
  </si>
  <si>
    <t>19/08/2020 11:32 PM</t>
  </si>
  <si>
    <t>13/08/2020 6:03 PM</t>
  </si>
  <si>
    <t>12/08/2020 5:15 PM</t>
  </si>
  <si>
    <t>18/08/2020 3:19 PM</t>
  </si>
  <si>
    <t>18/08/2020 3:00 PM</t>
  </si>
  <si>
    <t>13/08/2020 2:31 PM</t>
  </si>
  <si>
    <t>24/08/2020 10:41 PM</t>
  </si>
  <si>
    <t>24/08/2020 10:38 PM</t>
  </si>
  <si>
    <t>13/08/2020 4:16 PM</t>
  </si>
  <si>
    <t>18/08/2020 3:27 PM</t>
  </si>
  <si>
    <t>24/08/2020 10:43 PM</t>
  </si>
  <si>
    <t>13/08/2020 2:00 PM</t>
  </si>
  <si>
    <t>19/08/2020 7:11 PM</t>
  </si>
  <si>
    <t>13/08/2020 9:52 PM</t>
  </si>
  <si>
    <t>18/08/2020 5:42 PM</t>
  </si>
  <si>
    <t>06/08/2020 12:00 AM</t>
  </si>
  <si>
    <t>14/08/2020 3:56 PM</t>
  </si>
  <si>
    <t>13/08/2020 9:54 PM</t>
  </si>
  <si>
    <t>20/08/2020 12:39 PM</t>
  </si>
  <si>
    <t>25/08/2020 2:40 PM</t>
  </si>
  <si>
    <t>20/08/2020 4:52 PM</t>
  </si>
  <si>
    <t>22/08/2020 10:01 PM</t>
  </si>
  <si>
    <t>13/08/2020 4:25 PM</t>
  </si>
  <si>
    <t>20/08/2020 3:06 PM</t>
  </si>
  <si>
    <t>14/08/2020 11:08 AM</t>
  </si>
  <si>
    <t>18/08/2020 9:28 PM</t>
  </si>
  <si>
    <t>20/08/2020 4:54 PM</t>
  </si>
  <si>
    <t>20/08/2020 4:53 PM</t>
  </si>
  <si>
    <t>19/08/2020 2:12 PM</t>
  </si>
  <si>
    <t>14/08/2020 11:11 AM</t>
  </si>
  <si>
    <t>23/08/2020 9:38 PM</t>
  </si>
  <si>
    <t>06/08/2020 1:22 PM</t>
  </si>
  <si>
    <t>14/08/2020 3:49 PM</t>
  </si>
  <si>
    <t>24/08/2020 1:49 PM</t>
  </si>
  <si>
    <t>23/08/2020 6:04 PM</t>
  </si>
  <si>
    <t>24/08/2020 1:54 PM</t>
  </si>
  <si>
    <t>24/08/2020 1:52 PM</t>
  </si>
  <si>
    <t>20/08/2020 3:23 PM</t>
  </si>
  <si>
    <t>25/08/2020 1:34 PM</t>
  </si>
  <si>
    <t>14/08/2020 4:19 PM</t>
  </si>
  <si>
    <t>25/08/2020 4:33 PM</t>
  </si>
  <si>
    <t>17/08/2020 5:00 PM</t>
  </si>
  <si>
    <t>24/08/2020 5:47 PM</t>
  </si>
  <si>
    <t>18/08/2020 4:22 PM</t>
  </si>
  <si>
    <t>24/08/2020 5:45 PM</t>
  </si>
  <si>
    <t>24/08/2020 3:20 PM</t>
  </si>
  <si>
    <t>24/08/2020 5:42 PM</t>
  </si>
  <si>
    <t>09/08/2020 10:20 PM</t>
  </si>
  <si>
    <t>14/08/2020 4:08 PM</t>
  </si>
  <si>
    <t>20/08/2020 8:15 AM</t>
  </si>
  <si>
    <t>24/08/2020 10:23 AM</t>
  </si>
  <si>
    <t>25/08/2020 1:32 PM</t>
  </si>
  <si>
    <t>25/08/2020 8:44 AM</t>
  </si>
  <si>
    <t>13/08/2020 9:21 PM</t>
  </si>
  <si>
    <t>09/08/2020 10:21 PM</t>
  </si>
  <si>
    <t>07/08/2020 5:12 PM</t>
  </si>
  <si>
    <t>24/08/2020 2:15 PM</t>
  </si>
  <si>
    <t>20/08/2020 11:20 AM</t>
  </si>
  <si>
    <t>25/08/2020 8:52 AM</t>
  </si>
  <si>
    <t>17/08/2020 3:14 PM</t>
  </si>
  <si>
    <t>18/08/2020 10:54 AM</t>
  </si>
  <si>
    <t>10/08/2020 12:07 PM</t>
  </si>
  <si>
    <t>25/08/2020 9:15 AM</t>
  </si>
  <si>
    <t>20/08/2020 5:02 PM</t>
  </si>
  <si>
    <t>11/08/2020 11:16 PM</t>
  </si>
  <si>
    <t>18/08/2020 9:28 AM</t>
  </si>
  <si>
    <t>12/08/2020 3:58 PM</t>
  </si>
  <si>
    <t>25/08/2020 9:07 AM</t>
  </si>
  <si>
    <t>20/08/2020 5:06 PM</t>
  </si>
  <si>
    <t>25/08/2020 9:04 AM</t>
  </si>
  <si>
    <t>18/08/2020 5:36 PM</t>
  </si>
  <si>
    <t>14/08/2020 8:56 AM</t>
  </si>
  <si>
    <t>25/08/2020 8:59 AM</t>
  </si>
  <si>
    <t>25/08/2020 8:56 AM</t>
  </si>
  <si>
    <t>20/08/2020 2:07 PM</t>
  </si>
  <si>
    <t>11/08/2020 11:13 PM</t>
  </si>
  <si>
    <t>23/08/2020 3:13 AM</t>
  </si>
  <si>
    <t>13/08/2020 12:46 PM</t>
  </si>
  <si>
    <t>25/08/2020 8:48 AM</t>
  </si>
  <si>
    <t>25/08/2020 8:39 AM</t>
  </si>
  <si>
    <t>20/08/2020 8:50 AM</t>
  </si>
  <si>
    <t>20/08/2020 10:44 PM</t>
  </si>
  <si>
    <t>19/08/2020 5:10 PM</t>
  </si>
  <si>
    <t>24/08/2020 11:55 AM</t>
  </si>
  <si>
    <t>20/08/2020 10:47 PM</t>
  </si>
  <si>
    <t>20/08/2020 10:41 PM</t>
  </si>
  <si>
    <t>10/08/2020 12:13 PM</t>
  </si>
  <si>
    <t>10/08/2020 12:17 PM</t>
  </si>
  <si>
    <t>20/08/2020 10:43 PM</t>
  </si>
  <si>
    <t>06/08/2020 2:38 PM</t>
  </si>
  <si>
    <t>25/08/2020 9:21 AM</t>
  </si>
  <si>
    <t>20/08/2020 10:49 PM</t>
  </si>
  <si>
    <t>10/08/2020 12:19 PM</t>
  </si>
  <si>
    <t>20/08/2020 10:58 PM</t>
  </si>
  <si>
    <t>20/08/2020 10:56 PM</t>
  </si>
  <si>
    <t>19/08/2020 8:54 PM</t>
  </si>
  <si>
    <t>19/08/2020 8:45 PM</t>
  </si>
  <si>
    <t>18/08/2020 10:43 PM</t>
  </si>
  <si>
    <t>20/08/2020 10:59 PM</t>
  </si>
  <si>
    <t>18/08/2020 5:39 PM</t>
  </si>
  <si>
    <t>20/08/2020 10:52 PM</t>
  </si>
  <si>
    <t>17/08/2020 3:52 PM</t>
  </si>
  <si>
    <t>07/08/2020 10:54 AM</t>
  </si>
  <si>
    <t>17/08/2020 10:05 AM</t>
  </si>
  <si>
    <t>11/08/2020 11:15 PM</t>
  </si>
  <si>
    <t>20/08/2020 10:51 PM</t>
  </si>
  <si>
    <t>05/08/2020 12:00 AM</t>
  </si>
  <si>
    <t>19/08/2020 5:25 PM</t>
  </si>
  <si>
    <t>19/08/2020 5:29 PM</t>
  </si>
  <si>
    <t>19/08/2020 5:33 PM</t>
  </si>
  <si>
    <t>19/08/2020 5:21 PM</t>
  </si>
  <si>
    <t>23/08/2020 8:27 PM</t>
  </si>
  <si>
    <t>25/08/2020 10:34 AM</t>
  </si>
  <si>
    <t>18/08/2020 11:48 AM</t>
  </si>
  <si>
    <t>20/08/2020 11:07 PM</t>
  </si>
  <si>
    <t>17/08/2020 11:26 AM</t>
  </si>
  <si>
    <t>17/08/2020 10:04 AM</t>
  </si>
  <si>
    <t>25/08/2020 4:28 PM</t>
  </si>
  <si>
    <t>18/08/2020 9:46 AM</t>
  </si>
  <si>
    <t>14/08/2020 2:15 PM</t>
  </si>
  <si>
    <t>25/08/2020 4:30 PM</t>
  </si>
  <si>
    <t>24/08/2020 5:27 PM</t>
  </si>
  <si>
    <t>13/08/2020 3:16 PM</t>
  </si>
  <si>
    <t>18/08/2020 1:18 PM</t>
  </si>
  <si>
    <t>20/08/2020 11:28 AM</t>
  </si>
  <si>
    <t>17/08/2020 3:24 PM</t>
  </si>
  <si>
    <t>19/08/2020 5:40 PM</t>
  </si>
  <si>
    <t>25/08/2020 11:44 AM</t>
  </si>
  <si>
    <t>20/08/2020 11:06 PM</t>
  </si>
  <si>
    <t>18/08/2020 3:48 PM</t>
  </si>
  <si>
    <t>14/08/2020 1:21 PM</t>
  </si>
  <si>
    <t>19/08/2020 4:10 PM</t>
  </si>
  <si>
    <t>17/08/2020 2:20 PM</t>
  </si>
  <si>
    <t>17/08/2020 2:21 PM</t>
  </si>
  <si>
    <t>14/08/2020 1:48 PM</t>
  </si>
  <si>
    <t>25/08/2020 8:50 AM</t>
  </si>
  <si>
    <t>04/08/2020 12:00 AM</t>
  </si>
  <si>
    <t>14/08/2020 11:20 AM</t>
  </si>
  <si>
    <t>17/08/2020 2:18 PM</t>
  </si>
  <si>
    <t>14/08/2020 11:18 AM</t>
  </si>
  <si>
    <t>20/08/2020 5:31 PM</t>
  </si>
  <si>
    <t>25/08/2020 3:13 PM</t>
  </si>
  <si>
    <t>14/08/2020 11:19 AM</t>
  </si>
  <si>
    <t>13/08/2020 1:35 PM</t>
  </si>
  <si>
    <t>24/08/2020 4:07 PM</t>
  </si>
  <si>
    <t>11/08/2020 4:10 PM</t>
  </si>
  <si>
    <t>25/08/2020 3:06 PM</t>
  </si>
  <si>
    <t>20/08/2020 3:08 PM</t>
  </si>
  <si>
    <t>19/08/2020 8:52 PM</t>
  </si>
  <si>
    <t>19/08/2020 9:43 PM</t>
  </si>
  <si>
    <t>22/08/2020 10:43 AM</t>
  </si>
  <si>
    <t>18/08/2020 3:56 PM</t>
  </si>
  <si>
    <t>18/08/2020 3:53 PM</t>
  </si>
  <si>
    <t>18/08/2020 3:52 PM</t>
  </si>
  <si>
    <t>18/08/2020 3:51 PM</t>
  </si>
  <si>
    <t>18/08/2020 3:55 PM</t>
  </si>
  <si>
    <t>12/08/2020 6:12 PM</t>
  </si>
  <si>
    <t>18/08/2020 3:57 PM</t>
  </si>
  <si>
    <t>24/08/2020 10:44 PM</t>
  </si>
  <si>
    <t>20/08/2020 8:21 PM</t>
  </si>
  <si>
    <t>23/08/2020 9:40 PM</t>
  </si>
  <si>
    <t>19/08/2020 8:42 AM</t>
  </si>
  <si>
    <t>24/08/2020 4:04 PM</t>
  </si>
  <si>
    <t>25/08/2020 1:07 PM</t>
  </si>
  <si>
    <t>17/08/2020 3:53 PM</t>
  </si>
  <si>
    <t>20/08/2020 7:48 PM</t>
  </si>
  <si>
    <t>24/08/2020 6:21 PM</t>
  </si>
  <si>
    <t>17/08/2020 10:14 PM</t>
  </si>
  <si>
    <t>03/08/2020 12:00 AM</t>
  </si>
  <si>
    <t>19/08/2020 3:31 PM</t>
  </si>
  <si>
    <t>25/08/2020 12:56 PM</t>
  </si>
  <si>
    <t>11/08/2020 4:22 PM</t>
  </si>
  <si>
    <t>25/08/2020 5:47 AM</t>
  </si>
  <si>
    <t>25/08/2020 1:52 PM</t>
  </si>
  <si>
    <t>25/08/2020 1:49 PM</t>
  </si>
  <si>
    <t>19/08/2020 9:09 PM</t>
  </si>
  <si>
    <t>25/08/2020 1:59 PM</t>
  </si>
  <si>
    <t>19/08/2020 12:11 AM</t>
  </si>
  <si>
    <t>25/08/2020 1:28 PM</t>
  </si>
  <si>
    <t>09/08/2020 10:31 PM</t>
  </si>
  <si>
    <t>09/08/2020 10:27 PM</t>
  </si>
  <si>
    <t>09/08/2020 10:18 PM</t>
  </si>
  <si>
    <t>18/08/2020 4:54 PM</t>
  </si>
  <si>
    <t>20/08/2020 9:54 PM</t>
  </si>
  <si>
    <t>20/08/2020 8:50 PM</t>
  </si>
  <si>
    <t>09/08/2020 10:05 PM</t>
  </si>
  <si>
    <t>09/08/2020 10:04 PM</t>
  </si>
  <si>
    <t>09/08/2020 10:02 PM</t>
  </si>
  <si>
    <t>09/08/2020 10:01 PM</t>
  </si>
  <si>
    <t>09/08/2020 10:03 PM</t>
  </si>
  <si>
    <t>18/08/2020 8:21 AM</t>
  </si>
  <si>
    <t>09/08/2020 10:00 PM</t>
  </si>
  <si>
    <t>17/08/2020 3:56 PM</t>
  </si>
  <si>
    <t>17/08/2020 4:41 PM</t>
  </si>
  <si>
    <t>09/08/2020 10:24 PM</t>
  </si>
  <si>
    <t>20/08/2020 11:35 PM</t>
  </si>
  <si>
    <t>13/08/2020 12:51 PM</t>
  </si>
  <si>
    <t>13/08/2020 12:50 PM</t>
  </si>
  <si>
    <t>13/08/2020 12:48 PM</t>
  </si>
  <si>
    <t>31/07/2020 12:00 AM</t>
  </si>
  <si>
    <t>13/08/2020 12:53 PM</t>
  </si>
  <si>
    <t>17/08/2020 2:08 PM</t>
  </si>
  <si>
    <t>24/08/2020 4:33 PM</t>
  </si>
  <si>
    <t>16/08/2020 10:04 PM</t>
  </si>
  <si>
    <t>13/08/2020 12:47 PM</t>
  </si>
  <si>
    <t>21/08/2020 12:58 AM</t>
  </si>
  <si>
    <t>17/08/2020 9:51 AM</t>
  </si>
  <si>
    <t>17/08/2020 9:54 AM</t>
  </si>
  <si>
    <t>18/08/2020 2:12 PM</t>
  </si>
  <si>
    <t>19/08/2020 11:21 AM</t>
  </si>
  <si>
    <t>17/08/2020 2:52 PM</t>
  </si>
  <si>
    <t>30/07/2020 12:00 AM</t>
  </si>
  <si>
    <t>05/08/2020 11:37 AM</t>
  </si>
  <si>
    <t>24/08/2020 5:17 PM</t>
  </si>
  <si>
    <t>19/08/2020 6:25 PM</t>
  </si>
  <si>
    <t>24/08/2020 5:22 PM</t>
  </si>
  <si>
    <t>24/08/2020 5:19 PM</t>
  </si>
  <si>
    <t>25/08/2020 3:37 PM</t>
  </si>
  <si>
    <t>18/08/2020 5:05 PM</t>
  </si>
  <si>
    <t>21/08/2020 6:39 PM</t>
  </si>
  <si>
    <t>24/08/2020 11:42 AM</t>
  </si>
  <si>
    <t>24/08/2020 5:09 PM</t>
  </si>
  <si>
    <t>19/08/2020 11:24 AM</t>
  </si>
  <si>
    <t>17/08/2020 6:12 PM</t>
  </si>
  <si>
    <t>25/08/2020 10:56 AM</t>
  </si>
  <si>
    <t>12/08/2020 3:00 PM</t>
  </si>
  <si>
    <t>12/08/2020 2:59 PM</t>
  </si>
  <si>
    <t>19/08/2020 12:06 PM</t>
  </si>
  <si>
    <t>25/08/2020 10:57 AM</t>
  </si>
  <si>
    <t>20/08/2020 8:29 PM</t>
  </si>
  <si>
    <t>11/08/2020 10:35 AM</t>
  </si>
  <si>
    <t>25/08/2020 10:55 AM</t>
  </si>
  <si>
    <t>19/08/2020 7:13 PM</t>
  </si>
  <si>
    <t>11/08/2020 10:04 AM</t>
  </si>
  <si>
    <t>04/08/2020 3:48 PM</t>
  </si>
  <si>
    <t>29/07/2020 12:00 AM</t>
  </si>
  <si>
    <t>04/08/2020 8:48 PM</t>
  </si>
  <si>
    <t>03/08/2020 6:07 PM</t>
  </si>
  <si>
    <t>21/08/2020 1:12 AM</t>
  </si>
  <si>
    <t>03/08/2020 6:06 PM</t>
  </si>
  <si>
    <t>03/08/2020 5:38 PM</t>
  </si>
  <si>
    <t>20/08/2020 8:32 AM</t>
  </si>
  <si>
    <t>18/08/2020 5:55 PM</t>
  </si>
  <si>
    <t>19/08/2020 7:22 PM</t>
  </si>
  <si>
    <t>18/08/2020 6:00 PM</t>
  </si>
  <si>
    <t>03/08/2020 5:35 PM</t>
  </si>
  <si>
    <t>12/08/2020 9:33 PM</t>
  </si>
  <si>
    <t>03/08/2020 9:00 PM</t>
  </si>
  <si>
    <t>12/08/2020 9:32 PM</t>
  </si>
  <si>
    <t>03/08/2020 6:03 PM</t>
  </si>
  <si>
    <t>12/08/2020 9:28 PM</t>
  </si>
  <si>
    <t>14/08/2020 9:01 PM</t>
  </si>
  <si>
    <t>26/08/2020 12:49 AM</t>
  </si>
  <si>
    <t>07/08/2020 12:06 PM</t>
  </si>
  <si>
    <t>21/08/2020 1:27 AM</t>
  </si>
  <si>
    <t>25/08/2020 4:56 PM</t>
  </si>
  <si>
    <t>18/08/2020 5:26 PM</t>
  </si>
  <si>
    <t>20/08/2020 9:39 AM</t>
  </si>
  <si>
    <t>07/08/2020 12:12 PM</t>
  </si>
  <si>
    <t>17/08/2020 6:20 PM</t>
  </si>
  <si>
    <t>28/07/2020 12:00 AM</t>
  </si>
  <si>
    <t>14/08/2020 11:01 PM</t>
  </si>
  <si>
    <t>10/08/2020 4:50 PM</t>
  </si>
  <si>
    <t>20/08/2020 8:29 AM</t>
  </si>
  <si>
    <t>20/08/2020 8:27 AM</t>
  </si>
  <si>
    <t>10/08/2020 4:42 PM</t>
  </si>
  <si>
    <t>27/07/2020 12:00 AM</t>
  </si>
  <si>
    <t>14/08/2020 6:34 AM</t>
  </si>
  <si>
    <t>14/08/2020 6:20 AM</t>
  </si>
  <si>
    <t>14/08/2020 6:29 AM</t>
  </si>
  <si>
    <t>24/08/2020 11:33 AM</t>
  </si>
  <si>
    <t>04/08/2020 3:07 PM</t>
  </si>
  <si>
    <t>10/08/2020 4:43 PM</t>
  </si>
  <si>
    <t>18/08/2020 6:56 PM</t>
  </si>
  <si>
    <t>12/08/2020 5:26 PM</t>
  </si>
  <si>
    <t>24/08/2020 3:26 PM</t>
  </si>
  <si>
    <t>21/08/2020 10:29 AM</t>
  </si>
  <si>
    <t>04/08/2020 3:05 PM</t>
  </si>
  <si>
    <t>14/08/2020 6:30 AM</t>
  </si>
  <si>
    <t>06/08/2020 11:03 AM</t>
  </si>
  <si>
    <t>18/08/2020 6:53 PM</t>
  </si>
  <si>
    <t>24/08/2020 3:14 PM</t>
  </si>
  <si>
    <t>17/08/2020 7:54 PM</t>
  </si>
  <si>
    <t>24/07/2020 12:00 AM</t>
  </si>
  <si>
    <t>19/08/2020 7:20 PM</t>
  </si>
  <si>
    <t>18/08/2020 7:34 AM</t>
  </si>
  <si>
    <t>25/08/2020 1:24 PM</t>
  </si>
  <si>
    <t>18/08/2020 7:36 AM</t>
  </si>
  <si>
    <t>20/08/2020 1:57 PM</t>
  </si>
  <si>
    <t>17/08/2020 1:11 PM</t>
  </si>
  <si>
    <t>17/08/2020 1:14 PM</t>
  </si>
  <si>
    <t>17/08/2020 1:12 PM</t>
  </si>
  <si>
    <t>25/08/2020 3:54 PM</t>
  </si>
  <si>
    <t>18/08/2020 7:32 AM</t>
  </si>
  <si>
    <t>14/08/2020 6:32 AM</t>
  </si>
  <si>
    <t>12/08/2020 9:36 PM</t>
  </si>
  <si>
    <t>13/08/2020 9:41 AM</t>
  </si>
  <si>
    <t>17/08/2020 1:07 PM</t>
  </si>
  <si>
    <t>17/08/2020 2:12 PM</t>
  </si>
  <si>
    <t>11/08/2020 5:22 PM</t>
  </si>
  <si>
    <t>17/08/2020 2:11 PM</t>
  </si>
  <si>
    <t>11/08/2020 5:19 PM</t>
  </si>
  <si>
    <t>11/08/2020 5:24 PM</t>
  </si>
  <si>
    <t>25/08/2020 4:52 PM</t>
  </si>
  <si>
    <t>25/08/2020 4:49 PM</t>
  </si>
  <si>
    <t>17/08/2020 1:08 PM</t>
  </si>
  <si>
    <t>25/08/2020 4:45 PM</t>
  </si>
  <si>
    <t>09/08/2020 10:17 PM</t>
  </si>
  <si>
    <t>25/08/2020 5:00 PM</t>
  </si>
  <si>
    <t>25/08/2020 4:40 PM</t>
  </si>
  <si>
    <t>17/08/2020 1:15 PM</t>
  </si>
  <si>
    <t>18/08/2020 3:45 PM</t>
  </si>
  <si>
    <t>25/07/2020 12:00 AM</t>
  </si>
  <si>
    <t>25/08/2020 5:02 PM</t>
  </si>
  <si>
    <t>18/08/2020 3:50 PM</t>
  </si>
  <si>
    <t>19/08/2020 8:48 AM</t>
  </si>
  <si>
    <t>21/08/2020 10:18 PM</t>
  </si>
  <si>
    <t>06/08/2020 11:02 AM</t>
  </si>
  <si>
    <t>14/08/2020 1:17 PM</t>
  </si>
  <si>
    <t>14/08/2020 6:37 AM</t>
  </si>
  <si>
    <t>17/08/2020 7:52 PM</t>
  </si>
  <si>
    <t>17/08/2020 7:55 PM</t>
  </si>
  <si>
    <t>08/08/2020 2:06 PM</t>
  </si>
  <si>
    <t>20/08/2020 5:08 PM</t>
  </si>
  <si>
    <t>26/07/2020 7:59 PM</t>
  </si>
  <si>
    <t>05/08/2020 10:27 PM</t>
  </si>
  <si>
    <t>05/08/2020 10:14 PM</t>
  </si>
  <si>
    <t>20/08/2020 9:52 AM</t>
  </si>
  <si>
    <t>20/08/2020 7:17 AM</t>
  </si>
  <si>
    <t>03/08/2020 5:23 PM</t>
  </si>
  <si>
    <t>12/08/2020 1:17 PM</t>
  </si>
  <si>
    <t>11/08/2020 9:11 PM</t>
  </si>
  <si>
    <t>20/08/2020 5:14 PM</t>
  </si>
  <si>
    <t>20/08/2020 4:39 PM</t>
  </si>
  <si>
    <t>21/08/2020 3:12 PM</t>
  </si>
  <si>
    <t>13/08/2020 9:42 AM</t>
  </si>
  <si>
    <t>24/08/2020 1:10 PM</t>
  </si>
  <si>
    <t>20/08/2020 4:46 PM</t>
  </si>
  <si>
    <t>13/08/2020 2:26 PM</t>
  </si>
  <si>
    <t>20/08/2020 12:46 PM</t>
  </si>
  <si>
    <t>20/08/2020 12:42 PM</t>
  </si>
  <si>
    <t>25/08/2020 2:28 PM</t>
  </si>
  <si>
    <t>20/08/2020 12:37 PM</t>
  </si>
  <si>
    <t>17/08/2020 12:57 PM</t>
  </si>
  <si>
    <t>25/08/2020 9:20 PM</t>
  </si>
  <si>
    <t>20/07/2020 2:36 PM</t>
  </si>
  <si>
    <t>17/08/2020 1:01 PM</t>
  </si>
  <si>
    <t>24/08/2020 2:00 PM</t>
  </si>
  <si>
    <t>24/08/2020 10:41 AM</t>
  </si>
  <si>
    <t>25/08/2020 6:08 PM</t>
  </si>
  <si>
    <t>18/08/2020 5:49 PM</t>
  </si>
  <si>
    <t>07/08/2020 2:10 PM</t>
  </si>
  <si>
    <t>18/08/2020 3:04 PM</t>
  </si>
  <si>
    <t>17/08/2020 4:32 PM</t>
  </si>
  <si>
    <t>25/08/2020 2:30 PM</t>
  </si>
  <si>
    <t>12/08/2020 4:13 PM</t>
  </si>
  <si>
    <t>24/08/2020 10:39 AM</t>
  </si>
  <si>
    <t>20/08/2020 1:12 PM</t>
  </si>
  <si>
    <t>20/08/2020 1:08 PM</t>
  </si>
  <si>
    <t>20/08/2020 1:07 PM</t>
  </si>
  <si>
    <t>20/08/2020 1:06 PM</t>
  </si>
  <si>
    <t>20/08/2020 1:04 PM</t>
  </si>
  <si>
    <t>20/08/2020 12:30 PM</t>
  </si>
  <si>
    <t>20/08/2020 1:00 PM</t>
  </si>
  <si>
    <t>20/08/2020 1:03 PM</t>
  </si>
  <si>
    <t>20/08/2020 1:02 PM</t>
  </si>
  <si>
    <t>20/08/2020 12:59 PM</t>
  </si>
  <si>
    <t>20/08/2020 12:56 PM</t>
  </si>
  <si>
    <t>20/08/2020 12:57 PM</t>
  </si>
  <si>
    <t>20/08/2020 1:01 PM</t>
  </si>
  <si>
    <t>20/08/2020 12:53 PM</t>
  </si>
  <si>
    <t>24/08/2020 3:57 PM</t>
  </si>
  <si>
    <t>20/08/2020 12:50 PM</t>
  </si>
  <si>
    <t>14/08/2020 8:55 AM</t>
  </si>
  <si>
    <t>07/08/2020 11:54 AM</t>
  </si>
  <si>
    <t>24/08/2020 3:06 PM</t>
  </si>
  <si>
    <t>20/08/2020 12:48 PM</t>
  </si>
  <si>
    <t>20/08/2020 12:55 PM</t>
  </si>
  <si>
    <t>20/08/2020 12:51 PM</t>
  </si>
  <si>
    <t>20/08/2020 3:17 PM</t>
  </si>
  <si>
    <t>20/08/2020 3:28 PM</t>
  </si>
  <si>
    <t>19/08/2020 2:35 PM</t>
  </si>
  <si>
    <t>20/08/2020 3:16 PM</t>
  </si>
  <si>
    <t>20/08/2020 3:29 PM</t>
  </si>
  <si>
    <t>20/08/2020 3:20 PM</t>
  </si>
  <si>
    <t>20/08/2020 3:18 PM</t>
  </si>
  <si>
    <t>20/08/2020 2:37 PM</t>
  </si>
  <si>
    <t>20/08/2020 2:40 PM</t>
  </si>
  <si>
    <t>20/08/2020 3:22 PM</t>
  </si>
  <si>
    <t>20/08/2020 2:39 PM</t>
  </si>
  <si>
    <t>20/08/2020 1:14 PM</t>
  </si>
  <si>
    <t>24/08/2020 3:07 PM</t>
  </si>
  <si>
    <t>20/08/2020 4:33 PM</t>
  </si>
  <si>
    <t>20/08/2020 2:36 PM</t>
  </si>
  <si>
    <t>19/08/2020 7:17 PM</t>
  </si>
  <si>
    <t>22/08/2020 10:14 PM</t>
  </si>
  <si>
    <t>20/08/2020 3:14 PM</t>
  </si>
  <si>
    <t>13/08/2020 2:01 PM</t>
  </si>
  <si>
    <t>20/08/2020 1:15 PM</t>
  </si>
  <si>
    <t>18/08/2020 9:35 PM</t>
  </si>
  <si>
    <t>14/08/2020 6:09 PM</t>
  </si>
  <si>
    <t>18/07/2020 12:00 AM</t>
  </si>
  <si>
    <t>20/08/2020 1:40 PM</t>
  </si>
  <si>
    <t>20/08/2020 3:39 PM</t>
  </si>
  <si>
    <t>04/08/2020 9:58 AM</t>
  </si>
  <si>
    <t>20/08/2020 3:37 PM</t>
  </si>
  <si>
    <t>20/08/2020 3:25 PM</t>
  </si>
  <si>
    <t>20/08/2020 3:32 PM</t>
  </si>
  <si>
    <t>19/08/2020 7:04 PM</t>
  </si>
  <si>
    <t>20/08/2020 7:47 PM</t>
  </si>
  <si>
    <t>20/08/2020 3:24 PM</t>
  </si>
  <si>
    <t>20/08/2020 11:55 AM</t>
  </si>
  <si>
    <t>20/08/2020 3:31 PM</t>
  </si>
  <si>
    <t>11/08/2020 10:11 AM</t>
  </si>
  <si>
    <t>20/08/2020 3:30 PM</t>
  </si>
  <si>
    <t>14/08/2020 8:52 AM</t>
  </si>
  <si>
    <t>11/08/2020 9:31 AM</t>
  </si>
  <si>
    <t>17/08/2020 2:16 PM</t>
  </si>
  <si>
    <t>17/08/2020 11:17 AM</t>
  </si>
  <si>
    <t>25/08/2020 12:48 PM</t>
  </si>
  <si>
    <t>25/08/2020 8:46 AM</t>
  </si>
  <si>
    <t>19/08/2020 5:07 PM</t>
  </si>
  <si>
    <t>24/08/2020 9:47 AM</t>
  </si>
  <si>
    <t>11/08/2020 4:03 PM</t>
  </si>
  <si>
    <t>18/08/2020 6:48 PM</t>
  </si>
  <si>
    <t>24/08/2020 4:09 PM</t>
  </si>
  <si>
    <t>20/08/2020 11:04 PM</t>
  </si>
  <si>
    <t>09/08/2020 10:19 PM</t>
  </si>
  <si>
    <t>24/08/2020 7:21 AM</t>
  </si>
  <si>
    <t>20/08/2020 11:02 PM</t>
  </si>
  <si>
    <t>14/08/2020 4:00 PM</t>
  </si>
  <si>
    <t>23/08/2020 6:06 PM</t>
  </si>
  <si>
    <t>11/08/2020 3:50 PM</t>
  </si>
  <si>
    <t>13/08/2020 8:45 AM</t>
  </si>
  <si>
    <t>25/08/2020 3:12 PM</t>
  </si>
  <si>
    <t>13/08/2020 4:21 PM</t>
  </si>
  <si>
    <t>14/08/2020 2:23 PM</t>
  </si>
  <si>
    <t>20/08/2020 4:55 PM</t>
  </si>
  <si>
    <t>10/08/2020 1:58 PM</t>
  </si>
  <si>
    <t>25/08/2020 4:34 PM</t>
  </si>
  <si>
    <t>25/08/2020 1:15 PM</t>
  </si>
  <si>
    <t>07/08/2020 10:53 AM</t>
  </si>
  <si>
    <t>15/08/2020 9:58 AM</t>
  </si>
  <si>
    <t>15/08/2020 10:21 AM</t>
  </si>
  <si>
    <t>10/08/2020 2:12 PM</t>
  </si>
  <si>
    <t>16/07/2020 12:00 AM</t>
  </si>
  <si>
    <t>25/08/2020 2:04 PM</t>
  </si>
  <si>
    <t>03/08/2020 2:50 PM</t>
  </si>
  <si>
    <t>12/08/2020 12:55 PM</t>
  </si>
  <si>
    <t>12/08/2020 12:57 PM</t>
  </si>
  <si>
    <t>12/08/2020 12:50 PM</t>
  </si>
  <si>
    <t>25/08/2020 4:41 PM</t>
  </si>
  <si>
    <t>14/08/2020 10:16 PM</t>
  </si>
  <si>
    <t>25/08/2020 4:44 PM</t>
  </si>
  <si>
    <t>20/08/2020 8:14 AM</t>
  </si>
  <si>
    <t>24/08/2020 4:51 PM</t>
  </si>
  <si>
    <t>12/08/2020 6:38 PM</t>
  </si>
  <si>
    <t>12/08/2020 1:06 PM</t>
  </si>
  <si>
    <t>25/08/2020 8:54 AM</t>
  </si>
  <si>
    <t>17/08/2020 3:48 PM</t>
  </si>
  <si>
    <t>25/08/2020 1:01 PM</t>
  </si>
  <si>
    <t>17/08/2020 4:52 PM</t>
  </si>
  <si>
    <t>10/07/2020 12:00 AM</t>
  </si>
  <si>
    <t>20/08/2020 7:31 PM</t>
  </si>
  <si>
    <t>25/08/2020 4:37 PM</t>
  </si>
  <si>
    <t>24/08/2020 3:23 PM</t>
  </si>
  <si>
    <t>20/08/2020 9:10 PM</t>
  </si>
  <si>
    <t>20/08/2020 1:34 PM</t>
  </si>
  <si>
    <t>20/08/2020 8:20 AM</t>
  </si>
  <si>
    <t>25/08/2020 2:09 PM</t>
  </si>
  <si>
    <t>24/08/2020 4:56 PM</t>
  </si>
  <si>
    <t>24/08/2020 3:15 PM</t>
  </si>
  <si>
    <t>19/08/2020 2:15 PM</t>
  </si>
  <si>
    <t>18/08/2020 6:59 PM</t>
  </si>
  <si>
    <t>28/07/2020 7:23 PM</t>
  </si>
  <si>
    <t>19/08/2020 5:11 PM</t>
  </si>
  <si>
    <t>07/08/2020 7:00 PM</t>
  </si>
  <si>
    <t>14/08/2020 9:07 PM</t>
  </si>
  <si>
    <t>19/08/2020 4:24 PM</t>
  </si>
  <si>
    <t>09/07/2020 12:00 AM</t>
  </si>
  <si>
    <t>19/08/2020 7:48 AM</t>
  </si>
  <si>
    <t>04/08/2020 10:04 AM</t>
  </si>
  <si>
    <t>22/08/2020 5:28 PM</t>
  </si>
  <si>
    <t>10/08/2020 10:05 AM</t>
  </si>
  <si>
    <t>14/08/2020 9:15 PM</t>
  </si>
  <si>
    <t>11/08/2020 1:25 PM</t>
  </si>
  <si>
    <t>04/08/2020 2:02 PM</t>
  </si>
  <si>
    <t>24/08/2020 11:47 AM</t>
  </si>
  <si>
    <t>24/08/2020 1:32 PM</t>
  </si>
  <si>
    <t>10/08/2020 9:56 AM</t>
  </si>
  <si>
    <t>10/08/2020 9:58 AM</t>
  </si>
  <si>
    <t>10/08/2020 10:03 AM</t>
  </si>
  <si>
    <t>10/08/2020 9:59 AM</t>
  </si>
  <si>
    <t>10/08/2020 10:00 AM</t>
  </si>
  <si>
    <t>10/08/2020 9:55 AM</t>
  </si>
  <si>
    <t>06/08/2020 10:06 AM</t>
  </si>
  <si>
    <t>20/08/2020 9:27 AM</t>
  </si>
  <si>
    <t>20/08/2020 9:24 AM</t>
  </si>
  <si>
    <t>20/08/2020 7:32 PM</t>
  </si>
  <si>
    <t>18/08/2020 5:46 PM</t>
  </si>
  <si>
    <t>18/08/2020 5:41 PM</t>
  </si>
  <si>
    <t>19/08/2020 4:28 PM</t>
  </si>
  <si>
    <t>10/08/2020 10:04 AM</t>
  </si>
  <si>
    <t>24/08/2020 11:41 AM</t>
  </si>
  <si>
    <t>06/08/2020 10:55 AM</t>
  </si>
  <si>
    <t>06/08/2020 10:53 AM</t>
  </si>
  <si>
    <t>18/08/2020 5:06 PM</t>
  </si>
  <si>
    <t>18/08/2020 9:39 PM</t>
  </si>
  <si>
    <t>06/08/2020 10:12 AM</t>
  </si>
  <si>
    <t>06/08/2020 10:10 AM</t>
  </si>
  <si>
    <t>19/08/2020 11:02 AM</t>
  </si>
  <si>
    <t>06/08/2020 11:01 AM</t>
  </si>
  <si>
    <t>06/08/2020 10:09 AM</t>
  </si>
  <si>
    <t>10/08/2020 9:54 AM</t>
  </si>
  <si>
    <t>17/08/2020 3:01 PM</t>
  </si>
  <si>
    <t>25/08/2020 6:17 PM</t>
  </si>
  <si>
    <t>06/08/2020 11:20 AM</t>
  </si>
  <si>
    <t>06/08/2020 11:18 AM</t>
  </si>
  <si>
    <t>06/08/2020 10:19 AM</t>
  </si>
  <si>
    <t>06/08/2020 11:15 AM</t>
  </si>
  <si>
    <t>06/08/2020 11:13 AM</t>
  </si>
  <si>
    <t>25/08/2020 3:22 PM</t>
  </si>
  <si>
    <t>25/08/2020 6:15 PM</t>
  </si>
  <si>
    <t>25/08/2020 6:14 PM</t>
  </si>
  <si>
    <t>20/08/2020 1:43 PM</t>
  </si>
  <si>
    <t>06/08/2020 11:11 AM</t>
  </si>
  <si>
    <t>24/08/2020 10:04 AM</t>
  </si>
  <si>
    <t>20/08/2020 1:59 PM</t>
  </si>
  <si>
    <t>04/08/2020 10:06 AM</t>
  </si>
  <si>
    <t>24/08/2020 10:19 AM</t>
  </si>
  <si>
    <t>25/08/2020 6:19 PM</t>
  </si>
  <si>
    <t>25/08/2020 6:05 PM</t>
  </si>
  <si>
    <t>24/08/2020 10:26 AM</t>
  </si>
  <si>
    <t>20/08/2020 6:24 PM</t>
  </si>
  <si>
    <t>25/08/2020 8:20 AM</t>
  </si>
  <si>
    <t>20/08/2020 3:15 PM</t>
  </si>
  <si>
    <t>06/08/2020 11:50 AM</t>
  </si>
  <si>
    <t>24/08/2020 10:10 AM</t>
  </si>
  <si>
    <t>24/08/2020 10:21 AM</t>
  </si>
  <si>
    <t>03/08/2020 3:48 PM</t>
  </si>
  <si>
    <t>25/08/2020 7:59 AM</t>
  </si>
  <si>
    <t>30/07/2020 10:00 PM</t>
  </si>
  <si>
    <t>20/08/2020 3:11 PM</t>
  </si>
  <si>
    <t>24/08/2020 10:08 AM</t>
  </si>
  <si>
    <t>30/07/2020 10:26 AM</t>
  </si>
  <si>
    <t>24/08/2020 10:05 AM</t>
  </si>
  <si>
    <t>30/07/2020 10:24 AM</t>
  </si>
  <si>
    <t>12/08/2020 3:28 PM</t>
  </si>
  <si>
    <t>12/08/2020 3:27 PM</t>
  </si>
  <si>
    <t>24/08/2020 3:09 PM</t>
  </si>
  <si>
    <t>24/08/2020 10:07 AM</t>
  </si>
  <si>
    <t>19/08/2020 5:20 PM</t>
  </si>
  <si>
    <t>12/08/2020 3:29 PM</t>
  </si>
  <si>
    <t>20/08/2020 6:27 PM</t>
  </si>
  <si>
    <t>12/08/2020 3:26 PM</t>
  </si>
  <si>
    <t>25/08/2020 8:14 AM</t>
  </si>
  <si>
    <t>25/08/2020 6:12 PM</t>
  </si>
  <si>
    <t>25/08/2020 8:18 AM</t>
  </si>
  <si>
    <t>30/07/2020 9:34 AM</t>
  </si>
  <si>
    <t>18/08/2020 12:32 PM</t>
  </si>
  <si>
    <t>25/08/2020 8:09 AM</t>
  </si>
  <si>
    <t>14/08/2020 9:36 PM</t>
  </si>
  <si>
    <t>14/08/2020 9:22 PM</t>
  </si>
  <si>
    <t>27/04/2020 12:00 AM</t>
  </si>
  <si>
    <t>18/08/2020 2:42 PM</t>
  </si>
  <si>
    <t>06/04/2020 12:00 AM</t>
  </si>
  <si>
    <t>12/08/2020 3:33 PM</t>
  </si>
  <si>
    <t>25/08/2020 9:23 AM</t>
  </si>
  <si>
    <t>19/05/2020 6:10 PM</t>
  </si>
  <si>
    <t>29/05/2020 4:05 PM</t>
  </si>
  <si>
    <t>14/08/2020 9:26 PM</t>
  </si>
  <si>
    <t>14/08/2020 3:17 PM</t>
  </si>
  <si>
    <t>25/08/2020 9:06 AM</t>
  </si>
  <si>
    <t>25/08/2020 8:49 PM</t>
  </si>
  <si>
    <t>25/08/2020 8:48 PM</t>
  </si>
  <si>
    <t>25/08/2020 9:41 AM</t>
  </si>
  <si>
    <t>21/08/2020 7:12 AM</t>
  </si>
  <si>
    <t>17/08/2020 4:40 PM</t>
  </si>
  <si>
    <t>18/08/2020 6:20 PM</t>
  </si>
  <si>
    <t>20/08/2020 10:22 PM</t>
  </si>
  <si>
    <t>25/08/2020 8:43 PM</t>
  </si>
  <si>
    <t>25/08/2020 8:52 PM</t>
  </si>
  <si>
    <t>25/08/2020 9:16 PM</t>
  </si>
  <si>
    <t>25/08/2020 8:39 PM</t>
  </si>
  <si>
    <t>03/08/2020 3:59 PM</t>
  </si>
  <si>
    <t>12/08/2020 10:50 AM</t>
  </si>
  <si>
    <t>25/08/2020 8:46 PM</t>
  </si>
  <si>
    <t>19/08/2020 4:27 PM</t>
  </si>
  <si>
    <t>25/08/2020 8:03 AM</t>
  </si>
  <si>
    <t>25/08/2020 8:36 PM</t>
  </si>
  <si>
    <t>09/07/2020 11:12 AM</t>
  </si>
  <si>
    <t>20/08/2020 6:12 PM</t>
  </si>
  <si>
    <t>20/08/2020 4:43 PM</t>
  </si>
  <si>
    <t>24/08/2020 8:04 PM</t>
  </si>
  <si>
    <t>11/08/2020 1:05 PM</t>
  </si>
  <si>
    <t>11/08/2020 12:59 PM</t>
  </si>
  <si>
    <t>12/08/2020 10:47 AM</t>
  </si>
  <si>
    <t>12/08/2020 10:51 PM</t>
  </si>
  <si>
    <t>25/08/2020 6:11 PM</t>
  </si>
  <si>
    <t>21/08/2020 7:25 PM</t>
  </si>
  <si>
    <t>18/08/2020 2:48 PM</t>
  </si>
  <si>
    <t>07/08/2020 5:32 PM</t>
  </si>
  <si>
    <t>20/08/2020 6:36 PM</t>
  </si>
  <si>
    <t>21/08/2020 7:30 PM</t>
  </si>
  <si>
    <t>21/08/2020 7:28 PM</t>
  </si>
  <si>
    <t>03/08/2020 4:01 PM</t>
  </si>
  <si>
    <t>12/08/2020 10:44 AM</t>
  </si>
  <si>
    <t>06/08/2020 2:47 PM</t>
  </si>
  <si>
    <t>24/08/2020 2:40 PM</t>
  </si>
  <si>
    <t>24/08/2020 2:20 PM</t>
  </si>
  <si>
    <t>24/08/2020 2:10 PM</t>
  </si>
  <si>
    <t>24/08/2020 1:53 PM</t>
  </si>
  <si>
    <t>28/02/2020 2:06 PM</t>
  </si>
  <si>
    <t>11/08/2020 12:54 PM</t>
  </si>
  <si>
    <t>25/08/2020 6:58 PM</t>
  </si>
  <si>
    <t>30/07/2020 10:11 AM</t>
  </si>
  <si>
    <t>20/08/2020 4:29 PM</t>
  </si>
  <si>
    <t>24/08/2020 3:47 PM</t>
  </si>
  <si>
    <t>20/08/2020 6:34 PM</t>
  </si>
  <si>
    <t>12/08/2020 10:40 AM</t>
  </si>
  <si>
    <t>24/08/2020 5:57 PM</t>
  </si>
  <si>
    <t>11/08/2020 1:15 PM</t>
  </si>
  <si>
    <t>16/07/2020 3:54 PM</t>
  </si>
  <si>
    <t>23/08/2020 3:10 PM</t>
  </si>
  <si>
    <t>11/08/2020 1:10 PM</t>
  </si>
  <si>
    <t>03/08/2020 4:00 PM</t>
  </si>
  <si>
    <t>25/08/2020 9:40 AM</t>
  </si>
  <si>
    <t>25/08/2020 8:05 AM</t>
  </si>
  <si>
    <t>20/08/2020 1:31 PM</t>
  </si>
  <si>
    <t>25/08/2020 3:21 PM</t>
  </si>
  <si>
    <t>12/08/2020 3:36 PM</t>
  </si>
  <si>
    <t>05/08/2020 4:35 PM</t>
  </si>
  <si>
    <t>30/07/2020 10:03 PM</t>
  </si>
  <si>
    <t>20/08/2020 9:49 AM</t>
  </si>
  <si>
    <t>30/07/2020 10:02 PM</t>
  </si>
  <si>
    <t>17/08/2020 9:15 PM</t>
  </si>
  <si>
    <t>25/08/2020 3:20 PM</t>
  </si>
  <si>
    <t>30/07/2020 10:04 PM</t>
  </si>
  <si>
    <t>03/09/2020 5:05 PM</t>
  </si>
  <si>
    <t>09/09/2020 1:00 PM</t>
  </si>
  <si>
    <t>02/09/2020 9:00 AM</t>
  </si>
  <si>
    <t>31/08/2020 8:00 AM</t>
  </si>
  <si>
    <t>14/09/2020 10:00 AM</t>
  </si>
  <si>
    <t>03/09/2020 1:05 PM</t>
  </si>
  <si>
    <t>31/08/2020 1:00 AM</t>
  </si>
  <si>
    <t>01/09/2020 1:00 AM</t>
  </si>
  <si>
    <t>01/09/2020 8:00 AM</t>
  </si>
  <si>
    <t>15/09/2020 12:00 PM</t>
  </si>
  <si>
    <t>28/08/2020 1:00 AM</t>
  </si>
  <si>
    <t>28/08/2020 10:00 AM</t>
  </si>
  <si>
    <t>17/09/2020 3:00 PM</t>
  </si>
  <si>
    <t>01/09/2020 3:00 PM</t>
  </si>
  <si>
    <t>15/09/2020 2:00 PM</t>
  </si>
  <si>
    <t>03/09/2020 1:59 PM</t>
  </si>
  <si>
    <t>15/09/2020 1:30 PM</t>
  </si>
  <si>
    <t>01/09/2020 10:00 AM</t>
  </si>
  <si>
    <t>01/09/2020 2:00 PM</t>
  </si>
  <si>
    <t>01/09/2020 5:00 PM</t>
  </si>
  <si>
    <t>04/09/2020 10:00 AM</t>
  </si>
  <si>
    <t>14/09/2020 2:00 PM</t>
  </si>
  <si>
    <t>15/09/2020 10:30 AM</t>
  </si>
  <si>
    <t>04/09/2020 9:00 AM</t>
  </si>
  <si>
    <t>17/09/2020 1:00 AM</t>
  </si>
  <si>
    <t>02/09/2020 9:30 AM</t>
  </si>
  <si>
    <t>15/09/2020 9:00 AM</t>
  </si>
  <si>
    <t>02/09/2020 10:00 AM</t>
  </si>
  <si>
    <t>28/08/2020 8:00 AM</t>
  </si>
  <si>
    <t>27/08/2020 10:00 AM</t>
  </si>
  <si>
    <t>15/09/2020 3:00 PM</t>
  </si>
  <si>
    <t>27/08/2020 3:00 PM</t>
  </si>
  <si>
    <t>16/09/2020 10:00 AM</t>
  </si>
  <si>
    <t>01/09/2020 1:00 PM</t>
  </si>
  <si>
    <t>01/09/2020 2:30 PM</t>
  </si>
  <si>
    <t>28/08/2020 9:00 AM</t>
  </si>
  <si>
    <t>14/09/2020 1:30 PM</t>
  </si>
  <si>
    <t>28/08/2020 10:30 AM</t>
  </si>
  <si>
    <t>07/09/2020 5:00 PM</t>
  </si>
  <si>
    <t>15/09/2020 10:00 AM</t>
  </si>
  <si>
    <t>14/09/2020 9:00 AM</t>
  </si>
  <si>
    <t>28/08/2020 1:00 PM</t>
  </si>
  <si>
    <t>01/09/2020 9:30 AM</t>
  </si>
  <si>
    <t>28/08/2020 9:30 AM</t>
  </si>
  <si>
    <t>14/09/2020 5:00 PM</t>
  </si>
  <si>
    <t>28/08/2020 5:00 PM</t>
  </si>
  <si>
    <t>31/08/2020 9:00 AM</t>
  </si>
  <si>
    <t>02/09/2020 1:00 PM</t>
  </si>
  <si>
    <t>02/09/2020 2:00 PM</t>
  </si>
  <si>
    <t>01/09/2020 1:30 PM</t>
  </si>
  <si>
    <t>28/08/2020 3:00 PM</t>
  </si>
  <si>
    <t>26/08/2020 2:00 PM</t>
  </si>
  <si>
    <t>14/09/2020 8:15 AM</t>
  </si>
  <si>
    <t>28/08/2020 11:59 PM</t>
  </si>
  <si>
    <t>01/09/2020 9:00 AM</t>
  </si>
  <si>
    <t>14/09/2020 1:00 PM</t>
  </si>
  <si>
    <t>14/09/2020 10:30 AM</t>
  </si>
  <si>
    <t>16/10/2020 10:00 AM</t>
  </si>
  <si>
    <t>14/09/2020 2:30 PM</t>
  </si>
  <si>
    <t>02/09/2020 1:00 AM</t>
  </si>
  <si>
    <t>14/09/2020 8:30 AM</t>
  </si>
  <si>
    <t>07/09/2020 5:00 AM</t>
  </si>
  <si>
    <t>15/09/2020 1:00 PM</t>
  </si>
  <si>
    <t>14/09/2020 12:00 PM</t>
  </si>
  <si>
    <t>16/09/2020 9:00 AM</t>
  </si>
  <si>
    <t>15/09/2020 8:59 AM</t>
  </si>
  <si>
    <t>09/09/2020 11:00 AM</t>
  </si>
  <si>
    <t>07/09/2020 12:00 PM</t>
  </si>
  <si>
    <t>09/09/2020 10:00 AM</t>
  </si>
  <si>
    <t>28/08/2020 9:15 AM</t>
  </si>
  <si>
    <t>11/09/2020 1:00 AM</t>
  </si>
  <si>
    <t>08/09/2020 2:00 PM</t>
  </si>
  <si>
    <t>02/09/2020 5:00 PM</t>
  </si>
  <si>
    <t>28/08/2020 7:00 AM</t>
  </si>
  <si>
    <t>28/08/2020 9:45 AM</t>
  </si>
  <si>
    <t>26/08/2020 8:16 AM</t>
  </si>
  <si>
    <t>28/08/2020 10:15 AM</t>
  </si>
  <si>
    <t>26/08/2020 8:09 AM</t>
  </si>
  <si>
    <t>27/08/2020 8:00 AM</t>
  </si>
  <si>
    <t>14/09/2020 9:30 AM</t>
  </si>
  <si>
    <t>01/09/2020 2:09 PM</t>
  </si>
  <si>
    <t>28/08/2020 2:00 PM</t>
  </si>
  <si>
    <t>26/08/2020 8:24 AM</t>
  </si>
  <si>
    <t>07/09/2020 9:00 AM</t>
  </si>
  <si>
    <t>27/08/2020 9:00 AM</t>
  </si>
  <si>
    <t>26/08/2020 8:22 AM</t>
  </si>
  <si>
    <t>17/09/2020 2:00 PM</t>
  </si>
  <si>
    <t>14/09/2020 11:00 AM</t>
  </si>
  <si>
    <t>09/09/2020 2:00 PM</t>
  </si>
  <si>
    <t>01/09/2020 2:08 PM</t>
  </si>
  <si>
    <t>15/09/2020 1:00 AM</t>
  </si>
  <si>
    <t>01/09/2020 8:30 AM</t>
  </si>
  <si>
    <t>28/08/2020 12:00 PM</t>
  </si>
  <si>
    <t>28/08/2020 4:00 PM</t>
  </si>
  <si>
    <t>11/09/2020 5:00 PM</t>
  </si>
  <si>
    <t>10/09/2020 2:00 PM</t>
  </si>
  <si>
    <t>03/09/2020 9:00 AM</t>
  </si>
  <si>
    <t>07/09/2020 2:00 PM</t>
  </si>
  <si>
    <t>28/08/2020 1:30 PM</t>
  </si>
  <si>
    <t>27/08/2020 2:00 PM</t>
  </si>
  <si>
    <t>15/09/2020 8:00 AM</t>
  </si>
  <si>
    <t>27/08/2020 4:30 PM</t>
  </si>
  <si>
    <t>26/08/2020 9:00 AM</t>
  </si>
  <si>
    <t>27/08/2020 1:00 AM</t>
  </si>
  <si>
    <t>11/09/2020 9:00 AM</t>
  </si>
  <si>
    <t>15/09/2020 11:00 AM</t>
  </si>
  <si>
    <t>08/09/2020 10:00 AM</t>
  </si>
  <si>
    <t>31/08/2020 2:00 PM</t>
  </si>
  <si>
    <t>09/09/2020 9:30 AM</t>
  </si>
  <si>
    <t>27/08/2020 9:25 AM</t>
  </si>
  <si>
    <t>16/09/2020 1:00 AM</t>
  </si>
  <si>
    <t>11/09/2020 10:00 AM</t>
  </si>
  <si>
    <t>03/09/2020 2:00 PM</t>
  </si>
  <si>
    <t>15/09/2020 5:00 PM</t>
  </si>
  <si>
    <t>26/08/2020 1:00 AM</t>
  </si>
  <si>
    <t>04/09/2020 2:00 PM</t>
  </si>
  <si>
    <t>09/09/2020 4:00 PM</t>
  </si>
  <si>
    <t>10/09/2020 9:00 AM</t>
  </si>
  <si>
    <t>31/08/2020 10:00 AM</t>
  </si>
  <si>
    <t>01/09/2020 4:00 PM</t>
  </si>
  <si>
    <t>28/08/2020 1:04 PM</t>
  </si>
  <si>
    <t>01/09/2020 1:09 AM</t>
  </si>
  <si>
    <t>28/08/2020 1:10 AM</t>
  </si>
  <si>
    <t>02/09/2020 4:00 PM</t>
  </si>
  <si>
    <t>31/08/2020 12:00 PM</t>
  </si>
  <si>
    <t>16/09/2020 2:00 PM</t>
  </si>
  <si>
    <t>27/08/2020 1:30 PM</t>
  </si>
  <si>
    <t>04/09/2020 1:00 AM</t>
  </si>
  <si>
    <t>11/09/2020 11:00 AM</t>
  </si>
  <si>
    <t>03/09/2020 1:00 AM</t>
  </si>
  <si>
    <t>07/09/2020 1:00 PM</t>
  </si>
  <si>
    <t>31/08/2020 1:00 PM</t>
  </si>
  <si>
    <t>02/09/2020 8:00 AM</t>
  </si>
  <si>
    <t>31/08/2020 10:30 AM</t>
  </si>
  <si>
    <t>03/09/2020 9:30 AM</t>
  </si>
  <si>
    <t>04/09/2020 1:00 PM</t>
  </si>
  <si>
    <t>02/09/2020 11:55 AM</t>
  </si>
  <si>
    <t>04/09/2020 1:30 PM</t>
  </si>
  <si>
    <t>03/09/2020 10:00 AM</t>
  </si>
  <si>
    <t>31/08/2020 5:00 PM</t>
  </si>
  <si>
    <t>07/09/2020 11:00 AM</t>
  </si>
  <si>
    <t>18/09/2020 9:00 AM</t>
  </si>
  <si>
    <t>10/09/2020 10:00 AM</t>
  </si>
  <si>
    <t>04/09/2020 2:30 PM</t>
  </si>
  <si>
    <t>09/09/2020 11:55 AM</t>
  </si>
  <si>
    <t>31/08/2020 6:00 PM</t>
  </si>
  <si>
    <t>17/09/2020 9:00 AM</t>
  </si>
  <si>
    <t>03/09/2020 1:00 PM</t>
  </si>
  <si>
    <t>31/08/2020 1:30 PM</t>
  </si>
  <si>
    <t>14/09/2020 8:00 AM</t>
  </si>
  <si>
    <t>08/09/2020 12:00 PM</t>
  </si>
  <si>
    <t>03/09/2020 4:00 PM</t>
  </si>
  <si>
    <t>17/09/2020 10:00 AM</t>
  </si>
  <si>
    <t>22/09/2020 9:00 AM</t>
  </si>
  <si>
    <t>28/08/2020 4:30 PM</t>
  </si>
  <si>
    <t>04/09/2020 8:00 AM</t>
  </si>
  <si>
    <t>31/08/2020 1:15 PM</t>
  </si>
  <si>
    <t>31/08/2020 1:45 PM</t>
  </si>
  <si>
    <t>04/09/2020 3:00 PM</t>
  </si>
  <si>
    <t>21/09/2020 8:30 AM</t>
  </si>
  <si>
    <t>08/09/2020 1:30 PM</t>
  </si>
  <si>
    <t>04/09/2020 3:30 PM</t>
  </si>
  <si>
    <t>02/09/2020 12:00 AM</t>
  </si>
  <si>
    <t>04/09/2020 4:00 PM</t>
  </si>
  <si>
    <t>15/09/2020 9:30 AM</t>
  </si>
  <si>
    <t>22/09/2020 10:00 AM</t>
  </si>
  <si>
    <t>01/09/2020 10:30 AM</t>
  </si>
  <si>
    <t>21/09/2020 10:00 AM</t>
  </si>
  <si>
    <t>31/08/2020 4:30 PM</t>
  </si>
  <si>
    <t>09/09/2020 2:30 PM</t>
  </si>
  <si>
    <t>21/09/2020 1:00 AM</t>
  </si>
  <si>
    <t>07/09/2020 10:00 AM</t>
  </si>
  <si>
    <t>23/09/2020 1:00 AM</t>
  </si>
  <si>
    <t>16/09/2020 11:30 AM</t>
  </si>
  <si>
    <t>28/08/2020 1:08 AM</t>
  </si>
  <si>
    <t>04/09/2020 5:00 PM</t>
  </si>
  <si>
    <t>23/09/2020 2:00 PM</t>
  </si>
  <si>
    <t>11/09/2020 2:00 PM</t>
  </si>
  <si>
    <t>09/09/2020 3:00 PM</t>
  </si>
  <si>
    <t>07/09/2020 1:00 AM</t>
  </si>
  <si>
    <t>03/09/2020 3:00 PM</t>
  </si>
  <si>
    <t>31/08/2020 4:00 PM</t>
  </si>
  <si>
    <t>01/09/2020 8:05 AM</t>
  </si>
  <si>
    <t>16/09/2020 5:00 PM</t>
  </si>
  <si>
    <t>16/09/2020 9:30 AM</t>
  </si>
  <si>
    <t>21/09/2020 9:00 AM</t>
  </si>
  <si>
    <t>16/09/2020 1:00 PM</t>
  </si>
  <si>
    <t>07/09/2020 8:30 AM</t>
  </si>
  <si>
    <t>09/09/2020 9:00 AM</t>
  </si>
  <si>
    <t>02/09/2020 3:00 PM</t>
  </si>
  <si>
    <t>18/09/2020 1:00 PM</t>
  </si>
  <si>
    <t>01/09/2020 11:00 AM</t>
  </si>
  <si>
    <t>16/09/2020 10:30 AM</t>
  </si>
  <si>
    <t>03/09/2020 5:00 PM</t>
  </si>
  <si>
    <t>03/09/2020 12:00 PM</t>
  </si>
  <si>
    <t>31/08/2020 12:00 AM</t>
  </si>
  <si>
    <t>27/08/2020 5:00 PM</t>
  </si>
  <si>
    <t>14/09/2020 10:15 AM</t>
  </si>
  <si>
    <t>02/09/2020 8:30 AM</t>
  </si>
  <si>
    <t>04/09/2020 1:08 AM</t>
  </si>
  <si>
    <t>03/09/2020 8:00 AM</t>
  </si>
  <si>
    <t>07/09/2020 1:30 PM</t>
  </si>
  <si>
    <t>09/09/2020 1:00 AM</t>
  </si>
  <si>
    <t>17/09/2020 9:30 AM</t>
  </si>
  <si>
    <t>15/09/2020 4:00 PM</t>
  </si>
  <si>
    <t>18/09/2020 1:00 AM</t>
  </si>
  <si>
    <t>01/09/2020 12:00 PM</t>
  </si>
  <si>
    <t>28/08/2020 2:00 AM</t>
  </si>
  <si>
    <t>01/09/2020 8:15 AM</t>
  </si>
  <si>
    <t>31/08/2020 8:30 AM</t>
  </si>
  <si>
    <t>01/09/2020 8:10 AM</t>
  </si>
  <si>
    <t>03/09/2020 11:00 AM</t>
  </si>
  <si>
    <t>05/10/2020 5:00 PM</t>
  </si>
  <si>
    <t>23/09/2020 10:00 AM</t>
  </si>
  <si>
    <t>17/09/2020 12:00 PM</t>
  </si>
  <si>
    <t>02/09/2020 1:30 PM</t>
  </si>
  <si>
    <t>01/09/2020 4:30 PM</t>
  </si>
  <si>
    <t>01/09/2020 5:00 AM</t>
  </si>
  <si>
    <t>01/09/2020 8:00 PM</t>
  </si>
  <si>
    <t>03/09/2020 1:30 PM</t>
  </si>
  <si>
    <t>09/09/2020 1:30 PM</t>
  </si>
  <si>
    <t>14/09/2020 3:00 PM</t>
  </si>
  <si>
    <t>31/08/2020 5:00 AM</t>
  </si>
  <si>
    <t>02/09/2020 4:30 PM</t>
  </si>
  <si>
    <t>14/09/2020 1:00 AM</t>
  </si>
  <si>
    <t>02/09/2020 6:00 PM</t>
  </si>
  <si>
    <t>11/09/2020 1:00 PM</t>
  </si>
  <si>
    <t>28/08/2020 11:00 AM</t>
  </si>
  <si>
    <t>08/09/2020 1:00 AM</t>
  </si>
  <si>
    <t>08/09/2020 8:30 AM</t>
  </si>
  <si>
    <t>01/09/2020 1:10 AM</t>
  </si>
  <si>
    <t>31/08/2020 3:00 PM</t>
  </si>
  <si>
    <t>02/09/2020 11:58 PM</t>
  </si>
  <si>
    <t>03/09/2020 10:10 AM</t>
  </si>
  <si>
    <t>11/09/2020 1:30 PM</t>
  </si>
  <si>
    <t>31/08/2020 10:00 PM</t>
  </si>
  <si>
    <t>15/09/2020 8:30 AM</t>
  </si>
  <si>
    <t>28/08/2020 5:00 AM</t>
  </si>
  <si>
    <t>23/09/2020 9:00 AM</t>
  </si>
  <si>
    <t>01/10/2020 10:30 AM</t>
  </si>
  <si>
    <t>02/09/2020 11:59 PM</t>
  </si>
  <si>
    <t>31/08/2020 7:00 AM</t>
  </si>
  <si>
    <t>14/09/2020 10:00 PM</t>
  </si>
  <si>
    <t>15/09/2020 9:45 AM</t>
  </si>
  <si>
    <t>02/09/2020 10:30 AM</t>
  </si>
  <si>
    <t>15/09/2020 9:01 AM</t>
  </si>
  <si>
    <t>02/09/2020 11:00 AM</t>
  </si>
  <si>
    <t>28/08/2020 5:29 PM</t>
  </si>
  <si>
    <t>25/09/2020 1:00 AM</t>
  </si>
  <si>
    <t>24/09/2020 9:00 AM</t>
  </si>
  <si>
    <t>02/09/2020 12:00 PM</t>
  </si>
  <si>
    <t>31/08/2020 2:02 AM</t>
  </si>
  <si>
    <t>27/08/2020 12:00 PM</t>
  </si>
  <si>
    <t>15/09/2020 2:00 AM</t>
  </si>
  <si>
    <t>03/09/2020 10:30 AM</t>
  </si>
  <si>
    <t>03/09/2020 3:00 AM</t>
  </si>
  <si>
    <t>02/09/2020 10:10 AM</t>
  </si>
  <si>
    <t>28/08/2020 9:10 AM</t>
  </si>
  <si>
    <t>02/09/2020 9:20 AM</t>
  </si>
  <si>
    <t>02/09/2020 11:20 AM</t>
  </si>
  <si>
    <t>15/09/2020 2:15 PM</t>
  </si>
  <si>
    <t>15/09/2020 2:30 PM</t>
  </si>
  <si>
    <t>18/09/2020 1:30 PM</t>
  </si>
  <si>
    <t>18/09/2020 9:30 AM</t>
  </si>
  <si>
    <t>17/09/2020 1:00 PM</t>
  </si>
  <si>
    <t>08/09/2020 9:00 AM</t>
  </si>
  <si>
    <t>01/09/2020 11:59 PM</t>
  </si>
  <si>
    <t>15/09/2020 3:30 PM</t>
  </si>
  <si>
    <t>31/08/2020 11:00 AM</t>
  </si>
  <si>
    <t>02/09/2020 3:30 PM</t>
  </si>
  <si>
    <t>16/09/2020 1:15 PM</t>
  </si>
  <si>
    <t>08/09/2020 1:00 PM</t>
  </si>
  <si>
    <t>01/09/2020 1:12 PM</t>
  </si>
  <si>
    <t>28/08/2020 8:30 AM</t>
  </si>
  <si>
    <t>02/09/2020 8:59 AM</t>
  </si>
  <si>
    <t>31/08/2020 1:05 PM</t>
  </si>
  <si>
    <t>11/09/2020 4:00 PM</t>
  </si>
  <si>
    <t>21/09/2020 2:00 PM</t>
  </si>
  <si>
    <t>01/09/2020 1:11 AM</t>
  </si>
  <si>
    <t>28/09/2020 1:30 PM</t>
  </si>
  <si>
    <t>28/09/2020 10:00 AM</t>
  </si>
  <si>
    <t>03/09/2020 6:00 AM</t>
  </si>
  <si>
    <t>08/09/2020 3:00 PM</t>
  </si>
  <si>
    <t>14/09/2020 2:00 AM</t>
  </si>
  <si>
    <t>28/08/2020 2:30 PM</t>
  </si>
  <si>
    <t>28/08/2020 11:30 AM</t>
  </si>
  <si>
    <t>27/08/2020 11:42 AM</t>
  </si>
  <si>
    <t>27/08/2020 9:30 AM</t>
  </si>
  <si>
    <t>27/08/2020 1:00 PM</t>
  </si>
  <si>
    <t>16/09/2020 1:30 PM</t>
  </si>
  <si>
    <t>11/09/2020 3:00 PM</t>
  </si>
  <si>
    <t>02/09/2020 9:59 AM</t>
  </si>
  <si>
    <t>10/09/2020 5:00 PM</t>
  </si>
  <si>
    <t>17/09/2020 4:00 PM</t>
  </si>
  <si>
    <t>27/08/2020 11:00 AM</t>
  </si>
  <si>
    <t>02/10/2020 5:00 PM</t>
  </si>
  <si>
    <t>28/08/2020 12:00 AM</t>
  </si>
  <si>
    <t>18/09/2020 10:00 AM</t>
  </si>
  <si>
    <t>26/08/2020 11:00 AM</t>
  </si>
  <si>
    <t>26/08/2020 10:00 AM</t>
  </si>
  <si>
    <t>26/08/2020 5:00 PM</t>
  </si>
  <si>
    <t>28/08/2020 2:30 AM</t>
  </si>
  <si>
    <t>28/08/2020 1:15 PM</t>
  </si>
  <si>
    <t>10/09/2020 1:00 PM</t>
  </si>
  <si>
    <t>01/09/2020 3:00 AM</t>
  </si>
  <si>
    <t>28/08/2020 8:10 AM</t>
  </si>
  <si>
    <t>22/09/2020 1:00 AM</t>
  </si>
  <si>
    <t>28/08/2020 11:00 PM</t>
  </si>
  <si>
    <t>28/08/2020 3:00 AM</t>
  </si>
  <si>
    <t>01/09/2020 12:00 AM</t>
  </si>
  <si>
    <t>04/09/2020 12:00 PM</t>
  </si>
  <si>
    <t>28/08/2020 1:28 AM</t>
  </si>
  <si>
    <t>14/09/2020 4:00 PM</t>
  </si>
  <si>
    <t>03/09/2020 11:30 AM</t>
  </si>
  <si>
    <t>05/10/2020 1:30 PM</t>
  </si>
  <si>
    <t>01/09/2020 10:00 PM</t>
  </si>
  <si>
    <t>14/09/2020 9:45 AM</t>
  </si>
  <si>
    <t>10/09/2020 12:00 PM</t>
  </si>
  <si>
    <t>07/09/2020 3:00 PM</t>
  </si>
  <si>
    <t>16/09/2020 12:30 PM</t>
  </si>
  <si>
    <t>02/09/2020 11:30 AM</t>
  </si>
  <si>
    <t>28/08/2020 9:09 AM</t>
  </si>
  <si>
    <t>07/09/2020 9:30 AM</t>
  </si>
  <si>
    <t>28/08/2020 6:00 AM</t>
  </si>
  <si>
    <t>14/09/2020 12:30 PM</t>
  </si>
  <si>
    <t>22/09/2020 2:00 PM</t>
  </si>
  <si>
    <t>14/09/2020 3:30 PM</t>
  </si>
  <si>
    <t>25/09/2020 10:00 AM</t>
  </si>
  <si>
    <t>14/09/2020 4:30 PM</t>
  </si>
  <si>
    <t>25/09/2020 2:00 PM</t>
  </si>
  <si>
    <t>02/09/2020 1:45 PM</t>
  </si>
  <si>
    <t>09/09/2020 8:00 AM</t>
  </si>
  <si>
    <t>27/08/2020 8:03 AM</t>
  </si>
  <si>
    <t>16/09/2020 8:00 AM</t>
  </si>
  <si>
    <t>27/08/2020 8:01 AM</t>
  </si>
  <si>
    <t>17/09/2020 1:15 PM</t>
  </si>
  <si>
    <t>11/09/2020 9:30 AM</t>
  </si>
  <si>
    <t>25/09/2020 9:00 AM</t>
  </si>
  <si>
    <t>16/09/2020 12:00 PM</t>
  </si>
  <si>
    <t>27/08/2020 8:05 AM</t>
  </si>
  <si>
    <t>27/08/2020 8:15 AM</t>
  </si>
  <si>
    <t>21/09/2020 1:00 PM</t>
  </si>
  <si>
    <t>26/08/2020 3:00 PM</t>
  </si>
  <si>
    <t>02/09/2020 8:05 PM</t>
  </si>
  <si>
    <t>02/09/2020 8:15 AM</t>
  </si>
  <si>
    <t>27/08/2020 10:10 AM</t>
  </si>
  <si>
    <t>26/08/2020 1:00 PM</t>
  </si>
  <si>
    <t>28/08/2020 4:20 PM</t>
  </si>
  <si>
    <t>28/08/2020 1:45 PM</t>
  </si>
  <si>
    <t>28/08/2020 3:03 PM</t>
  </si>
  <si>
    <t>27/08/2020 5:00 AM</t>
  </si>
  <si>
    <t>08/09/2020 11:00 AM</t>
  </si>
  <si>
    <t>08/09/2020 4:00 PM</t>
  </si>
  <si>
    <t>21/09/2020 12:00 PM</t>
  </si>
  <si>
    <t>27/08/2020 10:01 AM</t>
  </si>
  <si>
    <t>09/09/2020 5:00 PM</t>
  </si>
  <si>
    <t>03/09/2020 8:30 AM</t>
  </si>
  <si>
    <t>04/09/2020 9:30 AM</t>
  </si>
  <si>
    <t>27/08/2020 4:00 PM</t>
  </si>
  <si>
    <t>05/10/2020 12:00 PM</t>
  </si>
  <si>
    <t>11/09/2020 8:00 AM</t>
  </si>
  <si>
    <t>26/08/2020 8:00 AM</t>
  </si>
  <si>
    <t>26/08/2020 12:00 PM</t>
  </si>
  <si>
    <t>31/08/2020 3:30 PM</t>
  </si>
  <si>
    <t>26/08/2020 9:10 AM</t>
  </si>
  <si>
    <t>07/09/2020 8:00 AM</t>
  </si>
  <si>
    <t>26/08/2020 9:15 AM</t>
  </si>
  <si>
    <t>10/09/2020 8:00 AM</t>
  </si>
  <si>
    <t>26/08/2020 1:01 PM</t>
  </si>
  <si>
    <t>04/09/2020 10:15 AM</t>
  </si>
  <si>
    <t>26/08/2020 8:30 AM</t>
  </si>
  <si>
    <t>28/08/2020 6:00 PM</t>
  </si>
  <si>
    <t>08/09/2020 8:00 AM</t>
  </si>
  <si>
    <t>10/09/2020 8:15 AM</t>
  </si>
  <si>
    <t>28/08/2020 1:01 AM</t>
  </si>
  <si>
    <t>28/08/2020 9:13 AM</t>
  </si>
  <si>
    <t>21/09/2020 9:30 AM</t>
  </si>
  <si>
    <t>26/08/2020 4:00 PM</t>
  </si>
  <si>
    <t>26/08/2020 9:30 AM</t>
  </si>
  <si>
    <t>04/09/2020 11:00 AM</t>
  </si>
  <si>
    <t>10/09/2020 9:30 AM</t>
  </si>
  <si>
    <t>27/08/2020 8:30 AM</t>
  </si>
  <si>
    <t>10/09/2020 1:00 AM</t>
  </si>
  <si>
    <t>09/09/2020 1:15 PM</t>
  </si>
  <si>
    <t>27/08/2020 12:00 AM</t>
  </si>
  <si>
    <t>14/09/2020 11:59 PM</t>
  </si>
  <si>
    <t>10/09/2020 1:30 PM</t>
  </si>
  <si>
    <t>07/09/2020 11:30 AM</t>
  </si>
  <si>
    <t>10/09/2020 11:00 AM</t>
  </si>
  <si>
    <t>11/09/2020 10:30 AM</t>
  </si>
  <si>
    <t>26/08/2020 11:30 AM</t>
  </si>
  <si>
    <t>10/09/2020 2:30 PM</t>
  </si>
  <si>
    <t>09/09/2020 12:00 AM</t>
  </si>
  <si>
    <t>31/08/2020 6:00 AM</t>
  </si>
  <si>
    <t>26/08/2020 4:30 PM</t>
  </si>
  <si>
    <t>08/09/2020 5:00 PM</t>
  </si>
  <si>
    <t>18/09/2020 2:10 PM</t>
  </si>
  <si>
    <t>27/08/2020 11:30 AM</t>
  </si>
  <si>
    <t>09/09/2020 10:30 AM</t>
  </si>
  <si>
    <t>10/09/2020 8:30 AM</t>
  </si>
  <si>
    <t>15/09/2020 12:30 PM</t>
  </si>
  <si>
    <t>15/09/2020 11:00 PM</t>
  </si>
  <si>
    <t>27/08/2020 6:00 PM</t>
  </si>
  <si>
    <t>26/08/2020 3:00 AM</t>
  </si>
  <si>
    <t>26/08/2020 1:30 PM</t>
  </si>
  <si>
    <t>26/08/2020 5:00 AM</t>
  </si>
  <si>
    <t>02/09/2020 10:00 PM</t>
  </si>
  <si>
    <t>31/08/2020 1:01 PM</t>
  </si>
  <si>
    <t>11/09/2020 12:00 PM</t>
  </si>
  <si>
    <t>01/09/2020 2:10 PM</t>
  </si>
  <si>
    <t>08/09/2020 11:30 AM</t>
  </si>
  <si>
    <t>27/08/2020 12:59 PM</t>
  </si>
  <si>
    <t>26/08/2020 12:55 PM</t>
  </si>
  <si>
    <t>08/09/2020 12:59 PM</t>
  </si>
  <si>
    <t>27/08/2020 10:00 PM</t>
  </si>
  <si>
    <t>26/08/2020 10:30 AM</t>
  </si>
  <si>
    <t>08/09/2020 2:05 PM</t>
  </si>
  <si>
    <t>28/08/2020 3:14 PM</t>
  </si>
  <si>
    <t>27/08/2020 11:59 PM</t>
  </si>
  <si>
    <t>08/09/2020 11:00 PM</t>
  </si>
  <si>
    <t>07/09/2020 10:30 AM</t>
  </si>
  <si>
    <t>08/09/2020 9:30 AM</t>
  </si>
  <si>
    <t>04/09/2020 1:02 PM</t>
  </si>
  <si>
    <t>27/08/2020 2:00 AM</t>
  </si>
  <si>
    <t>14/10/2020 10:00 AM</t>
  </si>
  <si>
    <t>26/08/2020 1:15 PM</t>
  </si>
  <si>
    <t>10/09/2020 10:30 AM</t>
  </si>
  <si>
    <t>14/09/2020 9:50 AM</t>
  </si>
  <si>
    <t>24/09/2020 1:00 PM</t>
  </si>
  <si>
    <t>03/09/2020 3:01 PM</t>
  </si>
  <si>
    <t>26/08/2020 10:15 AM</t>
  </si>
  <si>
    <t>09/09/2020 12:00 PM</t>
  </si>
  <si>
    <t>10/09/2020 1:15 PM</t>
  </si>
  <si>
    <t>09/09/2020 8:59 AM</t>
  </si>
  <si>
    <t>27/08/2020 1:10 AM</t>
  </si>
  <si>
    <t>01/09/2020 1:30 AM</t>
  </si>
  <si>
    <t>27/08/2020 10:15 AM</t>
  </si>
  <si>
    <t>08/09/2020 10:30 AM</t>
  </si>
  <si>
    <t>22/09/2020 1:30 PM</t>
  </si>
  <si>
    <t>27/08/2020 1:01 AM</t>
  </si>
  <si>
    <t>08/09/2020 9:59 AM</t>
  </si>
  <si>
    <t>03/09/2020 7:00 AM</t>
  </si>
  <si>
    <t>08/09/2020 2:01 PM</t>
  </si>
  <si>
    <t>07/09/2020 12:01 PM</t>
  </si>
  <si>
    <t>08/09/2020 9:50 AM</t>
  </si>
  <si>
    <t>26/08/2020 7:00 AM</t>
  </si>
  <si>
    <t>05/10/2020 10:00 AM</t>
  </si>
  <si>
    <t>08/09/2020 9:45 AM</t>
  </si>
  <si>
    <t>26/08/2020 11:00 PM</t>
  </si>
  <si>
    <t>08/09/2020 2:00 AM</t>
  </si>
  <si>
    <t>26/08/2020 10:10 AM</t>
  </si>
  <si>
    <t>09/09/2020 10:10 AM</t>
  </si>
  <si>
    <t>26/08/2020 1:08 PM</t>
  </si>
  <si>
    <t>26/08/2020 2:30 PM</t>
  </si>
  <si>
    <t>09/09/2020 8:30 AM</t>
  </si>
  <si>
    <t>08/09/2020 8:59 AM</t>
  </si>
  <si>
    <t>08/09/2020 9:01 AM</t>
  </si>
  <si>
    <t>18/09/2020 5:00 PM</t>
  </si>
  <si>
    <t>28/08/2020 11:30 PM</t>
  </si>
  <si>
    <t>02/09/2020 7:00 AM</t>
  </si>
  <si>
    <t>07/09/2020 4:00 PM</t>
  </si>
  <si>
    <t>17/09/2020 11:00 AM</t>
  </si>
  <si>
    <t>27/08/2020 12:05 PM</t>
  </si>
  <si>
    <t>10/09/2020 2:02 PM</t>
  </si>
  <si>
    <t>08/09/2020 1:29 PM</t>
  </si>
  <si>
    <t>09/09/2020 9:59 AM</t>
  </si>
  <si>
    <t>08/09/2020 2:30 PM</t>
  </si>
  <si>
    <t>09/09/2020 1:45 PM</t>
  </si>
  <si>
    <t>08/09/2020 2:02 PM</t>
  </si>
  <si>
    <t>08/09/2020 6:00 PM</t>
  </si>
  <si>
    <t>09/09/2020 11:30 AM</t>
  </si>
  <si>
    <t>07/09/2020 12:59 PM</t>
  </si>
  <si>
    <t>27/08/2020 2:30 PM</t>
  </si>
  <si>
    <t>29/09/2020 1:00 PM</t>
  </si>
  <si>
    <t>08/09/2020 8:50 AM</t>
  </si>
  <si>
    <t>08/09/2020 10:50 AM</t>
  </si>
  <si>
    <t>27/08/2020 1:59 PM</t>
  </si>
  <si>
    <t>08/09/2020 1:10 AM</t>
  </si>
  <si>
    <t>04/09/2020 10:30 AM</t>
  </si>
  <si>
    <t>07/09/2020 2:00 AM</t>
  </si>
  <si>
    <t>07/09/2020 3:30 PM</t>
  </si>
  <si>
    <t>07/09/2020 2:30 PM</t>
  </si>
  <si>
    <t>01/09/2020 2:00 AM</t>
  </si>
  <si>
    <t>20/10/2020 3:00 PM</t>
  </si>
  <si>
    <t>26/08/2020 4:20 PM</t>
  </si>
  <si>
    <t>07/09/2020 9:15 AM</t>
  </si>
  <si>
    <t>09/09/2020 2:00 AM</t>
  </si>
  <si>
    <t>24/09/2020 1:00 AM</t>
  </si>
  <si>
    <t>08/09/2020 1:30 AM</t>
  </si>
  <si>
    <t>27/08/2020 8:05 PM</t>
  </si>
  <si>
    <t>09/10/2020 2:00 PM</t>
  </si>
  <si>
    <t>07/09/2020 2:01 PM</t>
  </si>
  <si>
    <t>31/08/2020 11:59 PM</t>
  </si>
  <si>
    <t>01/09/2020 10:01 AM</t>
  </si>
  <si>
    <t>01/09/2020 3:01 PM</t>
  </si>
  <si>
    <t>02/09/2020 1:01 PM</t>
  </si>
  <si>
    <t>07/09/2020 9:45 AM</t>
  </si>
  <si>
    <t>01/09/2020 12:12 PM</t>
  </si>
  <si>
    <t>18/09/2020 11:00 AM</t>
  </si>
  <si>
    <t>03/09/2020 9:15 AM</t>
  </si>
  <si>
    <t>17/09/2020 8:30 AM</t>
  </si>
  <si>
    <t>18/09/2020 12:00 PM</t>
  </si>
  <si>
    <t>02/09/2020 9:15 AM</t>
  </si>
  <si>
    <t>02/09/2020 12:59 PM</t>
  </si>
  <si>
    <t>01/09/2020 11:30 AM</t>
  </si>
  <si>
    <t>01/09/2020 1:45 PM</t>
  </si>
  <si>
    <t>02/09/2020 2:00 AM</t>
  </si>
  <si>
    <t>27/08/2020 11:55 AM</t>
  </si>
  <si>
    <t>01/09/2020 7:00 AM</t>
  </si>
  <si>
    <t>03/09/2020 2:30 PM</t>
  </si>
  <si>
    <t>01/09/2020 12:59 PM</t>
  </si>
  <si>
    <t>26/08/2020 12:12 PM</t>
  </si>
  <si>
    <t>01/09/2020 10:15 AM</t>
  </si>
  <si>
    <t>03/09/2020 9:30 PM</t>
  </si>
  <si>
    <t>01/09/2020 8:45 AM</t>
  </si>
  <si>
    <t>01/09/2020 12:30 AM</t>
  </si>
  <si>
    <t>21/09/2020 1:30 PM</t>
  </si>
  <si>
    <t>31/08/2020 9:30 AM</t>
  </si>
  <si>
    <t>08/09/2020 12:30 PM</t>
  </si>
  <si>
    <t>11/09/2020 1:45 PM</t>
  </si>
  <si>
    <t>31/08/2020 1:07 PM</t>
  </si>
  <si>
    <t>01/09/2020 9:45 AM</t>
  </si>
  <si>
    <t>26/08/2020 11:59 PM</t>
  </si>
  <si>
    <t>01/09/2020 10:10 AM</t>
  </si>
  <si>
    <t>02/09/2020 12:30 PM</t>
  </si>
  <si>
    <t>31/08/2020 10:10 AM</t>
  </si>
  <si>
    <t>10/09/2020 1:45 PM</t>
  </si>
  <si>
    <t>01/09/2020 8:20 AM</t>
  </si>
  <si>
    <t>03/09/2020 10:01 AM</t>
  </si>
  <si>
    <t>03/09/2020 2:00 AM</t>
  </si>
  <si>
    <t>26/08/2020 1:45 PM</t>
  </si>
  <si>
    <t>31/08/2020 8:59 AM</t>
  </si>
  <si>
    <t>27/08/2020 10:30 AM</t>
  </si>
  <si>
    <t>07/09/2020 1:45 PM</t>
  </si>
  <si>
    <t>08/09/2020 1:45 PM</t>
  </si>
  <si>
    <t>01/09/2020 9:03 AM</t>
  </si>
  <si>
    <t>01/09/2020 2:02 PM</t>
  </si>
  <si>
    <t>27/08/2020 10:20 AM</t>
  </si>
  <si>
    <t>01/09/2020 1:59 PM</t>
  </si>
  <si>
    <t>22/09/2020 9:30 AM</t>
  </si>
  <si>
    <t>26/08/2020 9:59 AM</t>
  </si>
  <si>
    <t>26/08/2020 12:59 PM</t>
  </si>
  <si>
    <t>28/08/2020 9:00 PM</t>
  </si>
  <si>
    <t>31/08/2020 2:01 PM</t>
  </si>
  <si>
    <t>26/08/2020 9:30 PM</t>
  </si>
  <si>
    <t>27/08/2020 1:15 PM</t>
  </si>
  <si>
    <t>03/09/2020 9:45 AM</t>
  </si>
  <si>
    <t>27/08/2020 1:15 AM</t>
  </si>
  <si>
    <t>04/09/2020 9:45 AM</t>
  </si>
  <si>
    <t>04/09/2020 1:45 PM</t>
  </si>
  <si>
    <t>03/09/2020 1:45 PM</t>
  </si>
  <si>
    <t>26/08/2020 10:02 AM</t>
  </si>
  <si>
    <t>25/09/2020 12:00 PM</t>
  </si>
  <si>
    <t>02/09/2020 1:15 PM</t>
  </si>
  <si>
    <t>01/09/2020 2:01 PM</t>
  </si>
  <si>
    <t>02/09/2020 1:30 AM</t>
  </si>
  <si>
    <t>26/08/2020 12:45 PM</t>
  </si>
  <si>
    <t>26/08/2020 10:00 PM</t>
  </si>
  <si>
    <t>26/08/2020 8:45 AM</t>
  </si>
  <si>
    <t>30/09/2020 12:00 AM</t>
  </si>
  <si>
    <t>25/09/2020 8:30 AM</t>
  </si>
  <si>
    <t>26/08/2020 2:01 PM</t>
  </si>
  <si>
    <t>28/08/2020 1:28 PM</t>
  </si>
  <si>
    <t>30/09/2020 10:00 AM</t>
  </si>
  <si>
    <t>09/09/2020 9:20 AM</t>
  </si>
  <si>
    <t>03/09/2020 9:20 AM</t>
  </si>
  <si>
    <t>15/09/2020 2:45 PM</t>
  </si>
  <si>
    <t>03/09/2020 12:30 PM</t>
  </si>
  <si>
    <t>27/08/2020 9:30 PM</t>
  </si>
  <si>
    <t>18/09/2020 2:00 PM</t>
  </si>
  <si>
    <t>24/09/2020 10:00 AM</t>
  </si>
  <si>
    <t>04/09/2020 10:45 AM</t>
  </si>
  <si>
    <t>04/09/2020 8:30 AM</t>
  </si>
  <si>
    <t>01/09/2020 12:30 PM</t>
  </si>
  <si>
    <t>31/08/2020 11:30 AM</t>
  </si>
  <si>
    <t>25/09/2020 1:00 PM</t>
  </si>
  <si>
    <t>07/10/2020 10:00 AM</t>
  </si>
  <si>
    <t>31/12/2020 1:00 AM</t>
  </si>
  <si>
    <t>31/12/2020 9:00 AM</t>
  </si>
  <si>
    <t>05/10/2020 9:30 AM</t>
  </si>
  <si>
    <t xml:space="preserve"> 37 Bags Portland Cement 21 pcs. 36"RCPC Pipes</t>
  </si>
  <si>
    <t xml:space="preserve"> Embankment Protection with Grouted RipRap</t>
  </si>
  <si>
    <t xml:space="preserve"> Installation of Hand washing Facility</t>
  </si>
  <si>
    <t xml:space="preserve"> see attach file</t>
  </si>
  <si>
    <t xml:space="preserve"> SEE ATTACH FILE</t>
  </si>
  <si>
    <t xml:space="preserve"> INVITATION TO BID FOR THE PROCUREMENT OF TWO (2) YEAR SEA-FREIGHT SERVICES under ITB No. PB20-07-036COR  The Philippine Amusement and Gaming Corporation (PAGCOR) is inviting all interested bidders in its forthcoming public bidding for the Procurement of T</t>
  </si>
  <si>
    <t xml:space="preserve"> 1	50	Kls.	asstd. Nails 2	90	sq.m.	0.50 mm thk pre-painted roofing 3	40	in.m.	prepainted 0.50mm gutter 4	1,500	pcs.	Tekscrew 5	5	litrs.	vulcaseal 6	36	sq.m.	spandrel ceiling with metal frame &amp; complete acc. 7	20	pcs.	1/4'' Fiber Cement Board 8	5	set	Roller</t>
  </si>
  <si>
    <t xml:space="preserve"> 1    LICENSED SECURITY GUARDS, 24 HOURS SHIFT, 2 GUARDS 2    LICENSED SECURITY GUARD, 12 HOURS DUTY, 1 GUARD</t>
  </si>
  <si>
    <t xml:space="preserve"> REPLACEMENT OF ROTTEN TRANSFORMER</t>
  </si>
  <si>
    <t xml:space="preserve"> INVITATION TO BID The Provincial Government of Sultan Kudarat (PGSK) has received a grant from the DILG-LGSF Conditional Matching Grant to Provinces (CMGP) for the road repair/rehabilitation and improvement for CY 2020.  The Bids and Awards Committee (BAC</t>
  </si>
  <si>
    <t xml:space="preserve"> For reproduction of learning materials</t>
  </si>
  <si>
    <t xml:space="preserve"> 2080 L DIESEL</t>
  </si>
  <si>
    <t xml:space="preserve"> Description   INVITATION TO BID FOR THE SUPPLY &amp; DELIVERY OF (3) UNITS COMPUTER DESKTOP WITH ACCESSORIES 1. The Barangay Ayala Alabang, through its 2020 continuing appropriation Budget, intends to apply the sum of One Hundred Fifty Thousand Pesos (P150,00</t>
  </si>
  <si>
    <t xml:space="preserve"> Please see attached particulars on these educational supplies needed.</t>
  </si>
  <si>
    <t xml:space="preserve"> Republic of the Philippines Province of Pangasinan MUNICIPALITY OF POZORRUBIO -o0o- 							 INVITATION TO BID FOR  CONTINUATION OF SCHOOL BUILDING SECOND FLOOR (PHASE II) AT ROSARIO ELEMENTARY SCHOOL, BARANGAY ROSARIO, POZORRUBIO, PANGASINAN 1.	The Munici</t>
  </si>
  <si>
    <t xml:space="preserve"> Republic of the Philippines Province of Pangasinan MUNICIPALITY OF POZORRUBIO -o0o- 							 INVITATION TO BID FOR  CONTINUATION OF SCHOOL BUILDING SECOND FLOOR (PHASE II) AT AMA-TALO ELEMENTARY SCHOOL, BARANGAY AMAGBAGAN, POZORRUBIO, PANGASINAN 1.	The Mun</t>
  </si>
  <si>
    <t xml:space="preserve"> Const. of Sub-Station Bldg at Brgy. Cogon etc. NOTE:To all suppliers bid documents and BAC Resolution 2020-029 are available at BAC Office and LGU website.</t>
  </si>
  <si>
    <t xml:space="preserve"> Republic of the Philippines Province of Pangasinan MUNICIPALITY OF POZORRUBIO -o0o- 							 INVITATION TO BID FOR  CONSTRUCTION OF MULTI-PURPOSE HALL (PHASE II),  AT BARANGAY TULNAC, POZORRUBIO, PANGASINAN 1.	The Municipality of Pozorrubio, through the Lo</t>
  </si>
  <si>
    <t xml:space="preserve"> Republic of the Philippines Province of Pangasinan MUNICIPALITY OF POZORRUBIO -o0o- 							 INVITATION TO BID FOR  ROAD CONCRETING (PHASE II) AT BARANGAY MANAOL,  POZORRUBIO, PANGASINAN 1.	The Municipality of Pozorrubio, through the LGSF-AM intends to app</t>
  </si>
  <si>
    <t xml:space="preserve"> Republic of the Philippines Province of Pangasinan MUNICIPALITY OF POZORRUBIO -o0o- 							 INVITATION TO BID FOR  ROAD CONCRETING AT BARANGAY LAOAC,  POZORRUBIO, PANGASINAN 1.	The Municipality of Pozorrubio, through the Local Fund intends to apply the su</t>
  </si>
  <si>
    <t xml:space="preserve"> 1. The Mindanao State University - Tawi-Tawi College of Technology and Oceanography (MSU-TCTO), through the GAA 2020, intends to apply the sum of Three Hundred Twenty-One Thousand Three Hundred Pesos Only(PHP 321,300.00) being Approved Budget of Contract </t>
  </si>
  <si>
    <t xml:space="preserve"> Republic of the Philippines CITY OF TACURONG OFFICE OF THE CITY MAYOR INVITATION TO BID FOR CONSTRUCTION OF FUEL DEPOT (Contract ID No: 2020-CW-025) The City Government of Tacurong, through Continuing 2019 – Locally Funded 2020 to apply the sum stated bel</t>
  </si>
  <si>
    <t xml:space="preserve"> For JHS and SHS students 1,536,508 pages (front and back)</t>
  </si>
  <si>
    <t xml:space="preserve"> Construction of of Basketball Court Fence</t>
  </si>
  <si>
    <t xml:space="preserve"> Please see RFQ Attachments</t>
  </si>
  <si>
    <t xml:space="preserve"> Construction of Toilet Facilities &amp; Water Facilities</t>
  </si>
  <si>
    <t xml:space="preserve"> Supply and Delivery of Pneumococcal Vaccine  Invitation to Bid No. 2020-015 1.	The Tarlac State University, through the Special Budget (SB) Fund intends to apply the sum of One Million Eight Hundred Eighty Five Thousand Pesos (P 1,885,000.00) being the Ap</t>
  </si>
  <si>
    <t xml:space="preserve"> 5 Kwp roof-mounted grid-tie solar PV system inclusive of design, installation and commissioning with the technical specifications summarized below. 	 SYSTEM TYPE AND SIZE System Type                  :           Hybrid System, Single Phase System Size(kWp</t>
  </si>
  <si>
    <t xml:space="preserve"> Rehabilitation of Brgy street light</t>
  </si>
  <si>
    <t xml:space="preserve"> Purchase of Brgy. Rescue Patrol Bidding Documents Fee: P 1,000.00 Bidding Location:  Barangay Hall of San Miguel Calumpit,Bulacan Bidding Date:  September 4,2020 10:00am Issuance of Bidding Documents: August 25-September 3,2020 Submission of Bids: From Au</t>
  </si>
  <si>
    <t xml:space="preserve"> Contract ID No.: 20K00366 Contract Name: Cluster "RO-03" Construction of Various Road Projects in Bukidnon 1. Construction of Southern Bukidnon Agri-Industrial Economic Zone Road Network Development Project (Don Carlos Section), Don Carlos, Bukidnon = Php</t>
  </si>
  <si>
    <t xml:space="preserve"> 1. The City Government of Calamba through the General Fund intends to apply the sum of Php 325,000.00 being the Approved Budget for the Contract (ABC) to payments under the contract for G-2020-547 Supply and Delivery of Office Equipment, City College of C</t>
  </si>
  <si>
    <t xml:space="preserve"> 1. The City Government of Calamba through the General Fund intends to apply the sum of Php 548,784.00 being the Approved Budget for the Contract (ABC) to payments under the contract for G-2020-294 Supply and Delivery of Flower Wreath, Office of the City M</t>
  </si>
  <si>
    <t xml:space="preserve"> 1.	The Provincial Government of Ilocos Norte, through the General Fund  intends to apply the sum of Nineteen Million Two Hundred Sixty Seven Thousand Five Hundred Fifty Seven Pesos and Ninety Nine Centavos   (Php 19,267,557.99                   ) being th</t>
  </si>
  <si>
    <t xml:space="preserve"> see attach file/ contact the email below</t>
  </si>
  <si>
    <t xml:space="preserve"> 1.	The Provincial Government of Ilocos Norte, through the General Fund  intends to apply the sum of Five Million Nine Hundred Fifty Five Thousand Forty Pesos and Fifty Five Centavos   (Php 5,955,040.55                  ) being the Approved Budget for the </t>
  </si>
  <si>
    <t xml:space="preserve"> 2 Unit Split Type Aircon 2.5 Hp</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</si>
  <si>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</si>
  <si>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Republic of the Philippines Province of Batangas MUNICIPALITY OF LEMERY INVITATION TO BID FOR Construction/Improvement of existing Sanitary Landfill including its expansion to continue the proper waste disposal system (Barangay Niogan, Lemery, Batangas) 1</t>
  </si>
  <si>
    <t xml:space="preserve"> Republic of the Philippines Province of Batangas MUNICIPALITY OF LEMERY INVITATION TO BID FOR Construction/Improvement/Rehabilitation of drainage canal at Barangay Sinisian East, Lemery, Batangas 1.	The MUNICIPALITY OF LEMERY through the Annual Budget CY </t>
  </si>
  <si>
    <t xml:space="preserve"> Republic of the Philippines Province of Batangas MUNICIPALITY OF LEMERY INVITATION TO BID FOR Improvement/Rehabilitation of climate change resilient roads (Municipal/Provincial) at Barangay Sangalang, Lemery, Batangas 1.	The MUNICIPALITY OF LEMERY through</t>
  </si>
  <si>
    <t xml:space="preserve"> office supplies purchased</t>
  </si>
  <si>
    <t xml:space="preserve"> 1.	The Provincial Government of Ilocos Norte, through the RA 7171 Fund  intends to apply the sum of Two Million Pesos                     (Php  2,000,000.00                      ) being the Approved Budget for the Contract (ABC) to payments under the cont</t>
  </si>
  <si>
    <t xml:space="preserve"> INVITATION TO BID FOR THE Supply and Delivery of  Early Learning Hands on Activities  for Kindergarten (SEF-0934) 1.	The City Government of Mandaue, through the Special Education Fund – 1-07-05-14 Kindergarten (Educational Toys &amp; Materials) Approved by th</t>
  </si>
  <si>
    <t xml:space="preserve"> The Local Government Unit of Santa Fe, Nueva Vizcaya, through its Bids &amp; Awards Committee invites contractors to bid for the following project: Contract Name: 	SUPPLY &amp; DELIVERY OF CONSTRUCTION MATERIALS (CONSTRUCTION OF HANGING BRIDGE) Contract Location:</t>
  </si>
  <si>
    <t xml:space="preserve"> see attached ITB</t>
  </si>
  <si>
    <t xml:space="preserve"> SUPPLY AND DELIVERY		 Motorized treadmill Key features: Motor:                                2.75 HP Speed range:                    0.5-12 MPH (1-16 KPH) Incline range:                    15levels Workout programs:           Manual and 24 Pre-set progra</t>
  </si>
  <si>
    <t xml:space="preserve"> Tailoring includes labor and materials for the 101 sets of ethnic uniforms With approved design from the IPCB</t>
  </si>
  <si>
    <t xml:space="preserve"> 1.	The Barangay Local Government Unit of Ibuan, through the Budget for the contract approved by the respective Sanggunian (BDF) intends to apply the sum of One Hundred Seventy Nine Thousand Six Hundred Pesos (Php 179,600.00) being the Approved Budget for </t>
  </si>
  <si>
    <t xml:space="preserve"> Supply and Delivery of Various Laboratory Supplies and Materials (APP 2020), Rebid Invitation to Bid No. 2020-016 1.	The Tarlac State University, through the General Appropriations Act (GAA 2020) intends to apply the sum of One Million Three Hundred Four </t>
  </si>
  <si>
    <t xml:space="preserve"> Clearing and Grubbing, Subgrade Preparation, Aggregate Base course, Portland Cement Concrete Pavement (200mm PCCP), Construction Safety and Health, Technical Supervisor, Technical Engineer, Material testing, Hand tools, Oblisk marker, Community Sub-projec</t>
  </si>
  <si>
    <t xml:space="preserve"> Item Description	Quantity TERMITE TREATMENT      Two ( 2) two Storey Building      Two (1) one Storey Building       Lot area (approximately 4,970 sq. m.)	1 lot</t>
  </si>
  <si>
    <t xml:space="preserve"> Item Description	Quantity ANTIVIRUS         Multi Device (21 computers)	21 pcs OS        Windows Server	1 pc MS Office (latest)	21 pcs</t>
  </si>
  <si>
    <t xml:space="preserve"> INVITATION TO BID     20-114 Name of Project	:	Furniture, Appliances and Office Equipment for LPH-San Pedro District Hospital  Location	:	San Pedro City, Laguna Brief Description	:	Various Furniture, Appliances and Office Equipment  Approved Budget For th</t>
  </si>
  <si>
    <t xml:space="preserve"> Assorted office supplies</t>
  </si>
  <si>
    <t xml:space="preserve"> INVITATION TO BID     20-113 Name of Project	:	Laboratory Supplies for LPH-Dr. J.P. Rizal Memorial District Hospital  Location	:	Calamba City, Laguna Brief Description	:	Various Laboratory Supplies  Approved Budget For the Contract	:	3,623,192.00 Delivery</t>
  </si>
  <si>
    <t xml:space="preserve"> Rice, white etc.  NOTE:To all suppliers bid documents and BAC Resolution 2020-029 are available at BAC Office and LGU website.</t>
  </si>
  <si>
    <t xml:space="preserve"> Item Description	Quantity Laptop           Intel Core i7 (1.8 GHz) 10th Gen          8GB RAM          1 TB SSD          With video card          With  mouse and carrying bag          Windows 10 Home or latest          At least 1 year warranty	3 units Lapt</t>
  </si>
  <si>
    <t xml:space="preserve"> Gill Nets etc NOTE:To all suppliers bid documents and BAC Resolution 2020-029 are available at BAC Office and LGU website.</t>
  </si>
  <si>
    <t xml:space="preserve"> see attach</t>
  </si>
  <si>
    <t xml:space="preserve"> INVITATION TO BID      20-111 Name of Project	:	Laboratory Supplies for Laguna Medical Center  Location	:	Sta. Cruz, Laguna Brief Description	:	Various Laboratory Supplies Approved Budget For the Contract	:	11,380,963.00 Delivery Period 	:	10 Calendar Day</t>
  </si>
  <si>
    <t xml:space="preserve"> 2" Plastic Ribbons etc. NOTE:To all suppliers bid documents and BAC Resolution 2020-029 are available at BAC Office and LGU website.</t>
  </si>
  <si>
    <t xml:space="preserve"> INVITATION TO BID IB No.29. S. 2020 The Municipality of General Nakar, Quezon through the Approved Appropriation Ordinance No. 2019-29  appropriating funds for the Annual Budget CY 2020 intends to apply the sum of One Million Pesos (PhP1,000,000.00) being</t>
  </si>
  <si>
    <t xml:space="preserve"> 1.	The Provincial Government of Ilocos Norte, through the General Fund  intends to apply the sum of Four Million Fifty Two Thousand Eight Hundred Pesos and Seventy Six Centavos   (Php 4,052,800.76                 ) being the Approved Budget for the Contra</t>
  </si>
  <si>
    <t xml:space="preserve"> 165 kl. Pork boneless 200 kl. Chicken (choice cuts) 30 kl. Ground lean pork 10 sack Rice 50kls 40 kl. Fish 8 kl. Hotdog 10 pack Tocino roll 10 doz. Chorizo 10 pack Longanisa 5 kl. Dried fish (pinikas) 5 kl. Dried fish (bolinao) 1 case Sardines 100's 20 pa</t>
  </si>
  <si>
    <t xml:space="preserve"> Item No.            Description               Quantity                  Unit 1	FURNISHING OF LABOR AND MATERIALS FOR THE INSTALLATION OF DISTRIBUTION LINE AT ZONE 5 LIBIS, BARANGAY STA. LUCIA TO STO. TOMAS MAGARAO, CAMARINES SUR          1     LOT								</t>
  </si>
  <si>
    <t xml:space="preserve"> Republic of the Philippines National Irrigation Administration Lower Agno River Irrigation System Improvement Project REQUEST FOR QUOTATION (RFQ NO. LARISIP-2020-038) The National Irrigation Administration – Lower Agno River Irrigation System Improvement </t>
  </si>
  <si>
    <t xml:space="preserve"> INVITATION TO BID IB No.30. S. 2020 The Municipality of General Nakar, Quezon through the Approved Appropriation Ordinance No. 2019-29  appropriating funds for the Annual Budget CY 2020 intends to apply the sum of  Five Hundred Thousand  Pesos (PhP500,000</t>
  </si>
  <si>
    <t xml:space="preserve"> 8 core Optic Cable Single Mode, SFP Module, Optical Pigtail, Optical Cassette,12 port optical patch panel, 12 ports SFP, 4 ports gigabit RJ 45 switch, 16 POE Ports gigabit, 2SFP switch, Cat5A, Wifi 802.11ac long range, Unifi AP w/ Omni Directional (2.4g/5</t>
  </si>
  <si>
    <t xml:space="preserve"> 1. Presunos Air10 Powered Speaker - 2 units 2. Speaker Brocket - 2 units 3.Pro Stax dual wireless microphone ud 8301 - 7sets 4. Eneloop Rechargable AA battery with charger - 7pack 5. Patching Cable- 1 roll 6. Royal cord number 16 - 1roll 7. Rack Case for </t>
  </si>
  <si>
    <t xml:space="preserve"> Asphalt cement penetration 60/70 - 45drums; Cationic-Bitumin Emulsion (SS-IH) - 10drums; Airblown cement asphalt - 150bags</t>
  </si>
  <si>
    <t xml:space="preserve"> Republic of the Philippines Province of La Union Municipality of Luna BARANGAY CARISQUIS Bids and Awards Committee INVITATION TO BID FOR PURCHASE OF THREE-WHEEL MOTORCYCLE (GARBAGE COLLECTOR) 1.	The Barangay Government of Carisquis, Luna, La Union through</t>
  </si>
  <si>
    <t xml:space="preserve"> Item I	-1.00 lot Removal of Structure and Obstruction Item II	-39.97 cu.m. Structures Excavation Item III	-29.20 cu.m. Embankment Item IV	-69.87 cu.m. Concrete Works Item V	-2,769.61 kgs. Reinforcing Steel Item VI	-11,710.11 kgs. Metal Structure Item VII	</t>
  </si>
  <si>
    <t xml:space="preserve"> Materials for Concrete works (9.495 cu.m.) 96 bags Cement 7 cu.m. Sand 9 cu.m. Crushed gravel ¾”Ø 33 pcs. 12mmØ DSB 20 pcs. 10mmØ DSB 10 kls. #16 Tie wire 5 kls. CWN #4 5 kls. CWN #3 3 kls. CWN #1 60 bd.ft. 18 pcs.-2x2x10’ Coco lumber 2 pcs. Hacksaw blade</t>
  </si>
  <si>
    <t xml:space="preserve"> Ilang-Ilang 12-15ft, African Tulip 12-15ft, Golden Shower 12-15ft, Alibangbang 12-15ft, Fire Tree, Root Conditioner 500ml/btl, Bamboo Poles (Fencing &amp; Tree), Organic Fertilizer 50kgs/sack, Small Shovel, Big Shovel</t>
  </si>
  <si>
    <t xml:space="preserve"> 1 SET   Submersible Motor with accessories               Specs:                   60Hp, 460V, 3 phase, 3450rpm, 80.5 amp (full load current),                   91 Amp (maximum load current)               accessories:                    2 electrical tape, </t>
  </si>
  <si>
    <t xml:space="preserve"> Supply and Delivery of 2 Tri-cab LGU Sta. Magdalena, Sorsogon Engine Type: 4Stroke DTSI FI  Engine Capacity: 98.88cm3 Bore: 63.5 Storke:62.8 Spark Plug: 2Nos. (Champion-RG6HCC I BOSHCHI-UR6CC) Compression Ration: 97±:1 Idling rpm: 1400± 100 Cooling: Force</t>
  </si>
  <si>
    <t xml:space="preserve"> INVITATION TO BID FOR: ENVIRONMENTAL PROTECTION THROUGH COMMUNITY-MANAGED CONSTRUCTION OF SEAWALL AT BRGY. IDIACACAN, PANDAN, ANTIQUE The BARANGAY LOCAL GOVERNMENT UNIT OF IDIACACAN, PANDAN, ANTIQUE, through the DSWD KALAHI-CIDSS: KKB intends to apply the</t>
  </si>
  <si>
    <t xml:space="preserve"> INVITATION TO BID      20-112 Name of Project	:	Medical Supplies for Laguna Medical Center  Location	:	Sta. Cruz, Laguna Brief Description	:	Various Medical Supplies Approved Budget For the Contract	:	9,835,013.75 Delivery Period 	:	10 Calendar Days The P</t>
  </si>
  <si>
    <t xml:space="preserve"> With the following scope of work of the Certifying Body and term of references to wit: 1.	The quoted amount in the RFQ must be fixed within the term of the contract; attachment of complete and updated business permit and documents; 2.	The contract shall b</t>
  </si>
  <si>
    <t xml:space="preserve"> ITEM #	QUANTITY			ITEM &amp; DESCRIPTION					 									 1	40	boxes	Bond Paper Sub 20 (70 GSM), Short  8.5" x 11", 5 reams/box						 2	50	boxes	Bond Paper Sub 20 (70 GSM), Long 8.5" x 13", 5 reams/box						 3	50	boxes	Bond Paper Sub 20 (70 GSM), A4 210mm x 297</t>
  </si>
  <si>
    <t xml:space="preserve"> Scope of Work: I. MOBILIZATION AND DEMOBILIZATION II. CONCRETE WORKS</t>
  </si>
  <si>
    <t xml:space="preserve"> ITEM #	QUANTITY			ITEM &amp; DESCRIPTION					 									 1	25	units		Desktop Computer					 				System Unit:					 				Processor: Core i5-9400					 				GPU model: GT1030 w/ 2GB of GDDR5					 				RAM: 8GB DDR4, 2666 MHz UDIMM up to 32GB of Dual channel DDR4 2666M</t>
  </si>
  <si>
    <t xml:space="preserve"> Scope of Work: I. GENERAL REQUIREMENTS II. DEMOLITION WORKS III. CONCRETE WORKS IV. MASONRY WORKS V. PAINTING WORKS VI. CEILING WORKS &amp; ROLL-UP DOORS VII. TILE WORKS VIII. ROOFING WORKS IX. ELECTRICAL WORKS</t>
  </si>
  <si>
    <t xml:space="preserve"> Scope of Work: I. GENERAL REQUIREMENTS II. EMBANKMENT III. CONCRETE WORKS IV. PAINTING WORKS</t>
  </si>
  <si>
    <t xml:space="preserve"> ITEM #	QUANTITY			ITEM &amp; DESCRIPTION					 									 1	1	unit	Refrigerator, 5.8 cu.ft						 2	2	units	Airconditioner, 1 HP, Split Type, Inverter w/ installation						 			Desktop Computer						 3	1	unit	System Unit :						 			          Processor : i3-9100		</t>
  </si>
  <si>
    <t xml:space="preserve"> TRANSFER/DISPOSAL OF RESIDUAL WASTES                                              18,518    TONS A.	Hauling of Lapu-Lapu  City waste from temporary transfer station at controlled dumpsite to an accredited sanitary landfill. TERMS AND CONDITIONS: *Weighing</t>
  </si>
  <si>
    <t xml:space="preserve"> Republic of the Philippines National Irrigation Administration Lower Agno River Irrigation System Improvement Project REQUEST FOR QUOTATION (RFQ NO. LARISIP-2020-037) The National Irrigation Administration – Lower Agno River Irrigation System Improvement </t>
  </si>
  <si>
    <t xml:space="preserve"> ITEM #	QUANTITY			ITEM &amp; DESCRIPTION					 									 1	2	per/meter	Venetian Blinds (39mm x 98.5mm)						 2	3	per/meter	Venetian Blinds (38.25mm x 98mm)						 3	1	per/meter	Venetian Blinds (87mm x 52mm)						 4	2	per/meter	Venetian Blinds (71.5mm x 52mm)			</t>
  </si>
  <si>
    <t xml:space="preserve"> 3 cu.m. Limestone 117 bags Cement 7.1 cu.m. Black River Sand 30 bags Screened Sand 6.4 cu.m. Gravel (crushed stones, white) 68 length 10mm Ø Deformed Bars 27 length 12mmØ Deformed Bars 10 kgs G.I. Tie Wire #16 845 pcs 4” CHB 3 sheet Ordinary Plywood, 1/4”</t>
  </si>
  <si>
    <t xml:space="preserve"> PR NO. 2020-08-0931 1 lot Conference Room •	43.50”W x 103.00”H =31.11 •	45.00”W x 103.00”H = 32.19 •	45.50”W x 103.00”H = 32.55 •	45.00”W x 103.00”H = 32.19 Office  •	43.50”W x 103.00”H =31.11 •	45.00”W x 103.00”H = 32.19 •	45.50”W x 103.00”H = 32.55 •	43</t>
  </si>
  <si>
    <t xml:space="preserve"> 1.) 2	pcs	Portable Bar 395-400mm black light 30cm UV LED Blacklight	 @ P800.00 / pc  		Specifications:			 		Super bright and lightweight / Plug-and-Play			 		Type: Effect Light Fixture / Lighting Effects: Beam 			 		Light color: UV / Product length: 30cm(</t>
  </si>
  <si>
    <t xml:space="preserve"> NOTICE OF NEGOTIATED PROCUREMENT (Small Value Procurement) Project:	Purchase of 1,300 boxes Disposable Face mask, earloop, 3 ply 50’s  		(PR#2020-08-6244) Location: 	Pangasinan Provincial Hospital 	        San Carlos City, Pangasinan Approved Budget for 	</t>
  </si>
  <si>
    <t xml:space="preserve"> Scope of Work: I. GENERAL REQUIREMENTS II. EARTHWORKS III. CONCRETE WORKS IV. MASONRY WORKS V. ROOFING &amp; STEEL WORKS VI. TINSMITHING WORKS VII. CEILING WORKS VIII. TILE WORKS IX. ELECTRICAL WORKS X. DOORS AND WINDOWS XI. PAINTING WORKS</t>
  </si>
  <si>
    <t xml:space="preserve"> INVITATION TO BID IB No. 11, S. 2020 The Municipality of General Nakar, Quezon through the Approved  Purchase Request amounting to Three Hundred Ninety Eight  Thousand Six Hundred Ninety Seven Pesos (PhP398,697.00) being the Approved Budget for the Contra</t>
  </si>
  <si>
    <t xml:space="preserve"> Other Supplies &amp; Materials  Expenses- Programs &amp; Other Activities</t>
  </si>
  <si>
    <t xml:space="preserve"> NOTICE OF NEGOTIATED PROCUREMENT (Small Value Procurement) Project:	Purchase of Medical Supplies  		(PR#2020-07-6223) 100	pc.	Soluset 5	box	Insulin Syringe 10	pc.	Epidural Set 100	pc.	Nebulizing Kit 72	pc.	Vicryl 0 Round 72	pc.	Vicryl 1 Round 72	pc.	Vicry</t>
  </si>
  <si>
    <t xml:space="preserve"> 200 reams A4 70 gsm</t>
  </si>
  <si>
    <t xml:space="preserve"> NOTICE OF NEGOTIATED PROCUREMENT (Small Value Procurement) Project:	Purchase of Medical Supplies  		(PR#2020-06-5987) 120	pc.	Silk 2.0 (round) 360	pc.	Silk 3.0 (strands) 420	pc.	Silk 3.0 (round) 480	pc.	Vicryl 2.0 (round) Location: 	Pangasinan Provincial </t>
  </si>
  <si>
    <t xml:space="preserve"> Procurement of Dredge 10-4 Parts and Accessories, Automatic Voltage Regulator, etc. (PR No. 2020-07-159 dated 7/22/2020), EMD, DPWH, Region V, Legazpi City</t>
  </si>
  <si>
    <t xml:space="preserve"> NOTICE OF NEGOTIATED PROCUREMENT (Small Value Procurement) Project:	Purchase of Medical Supplies  		(PR#2020-06-5709) 10	pc.	Suction Catheter f.14 25	box	Syringe 1cc 80	box	Syringe 3cc 10	pc.	Surgical Gauze 30	pc.	Foley Catheter Two Way f.18 50	pc.	Foley </t>
  </si>
  <si>
    <t xml:space="preserve"> NOTICE OF NEGOTIATED PROCUREMENT (Small Value Procurement) Project:	Purchase of Medical Supplies  		(PR#2020-06-5625) 50	box	Examination Gloves, blue, 7.5 50	box	Examination Gloves, blue, 7 50	box	Micro pore 1” 50	box	Surgical Gloves 7.0 3	pc.	Stetoscope </t>
  </si>
  <si>
    <t xml:space="preserve"> NOTICE OF NEGOTIATED PROCUREMENT (Small Value Procurement) Project:	Purchase of 5,000 IV Catheter g.22 and 2,000 pcs. IV Catheter g.18 		(PR#2020-06-5901) Location: 	Pangasinan Provincial Hospital 	        San Carlos City, Pangasinan Approved Budget for 	</t>
  </si>
  <si>
    <t xml:space="preserve"> NOTICE OF NEGOTIATED PROCUREMENT (Small Value Procurement) Project:	Purchase of 1,500 boxes Examining Gloves M/L 		(PR#2020-06-5776) Location: 	Provincial Health Office 	        Lingayen, Pangasinan Approved Budget for 	 the Contract (ABC):	P 787,500.00 A</t>
  </si>
  <si>
    <t xml:space="preserve"> Please see attached RFQ</t>
  </si>
  <si>
    <t xml:space="preserve"> NOTICE OF NEGOTIATED PROCUREMENT (Small Value Procurement) Project:	Purchase of 50 kits Acid Fast Stain (Hot Method)  		(PR#2020-07-6166) Location: 	Provincial Health Office 	        Lingayen, Pangasinan Approved Budget for 	 the Contract (ABC):	P 275,000</t>
  </si>
  <si>
    <t xml:space="preserve"> KANAFLEX HOSE- 180 AR VACUUM HOSE 8" DIA. = 2 PCS.     ID X 7.40FT PART No. 680-0016 KANAFLEX HOSE CLAMPS PART NO. 680-0016 = 4 PCS.</t>
  </si>
  <si>
    <t xml:space="preserve"> NOTICE OF NEGOTIATED PROCUREMENT (Small Value Procurement) Project:	Purchase of Medical/Laboratory Supplies  		(PR#2020-07-6274) 60	bot.	Urine Strip, 4 parameter 20	pack	EDTA Tube 2ml, 100’s 15	pack	Mini Collect Violet, 0.5ml 100’s/microtainer 20	boxes	Sy</t>
  </si>
  <si>
    <t xml:space="preserve"> I	Engine Type: YD25 DDTi 4-Cylinder In-Line DOHC 16 valves,	4	unit	 	Variable Turbocharger (VGS)			 	Displacement: 2,488 cc			 	Max. Power: 129/3200 rpm			 	Max. Torque: 356/1400-2000 rpm			 	Fuel Type: Diesel			 	Fuel System: Common Rail Direct Injection</t>
  </si>
  <si>
    <t xml:space="preserve"> Republic of the Philippines Province of Antique Municipality of Pandan Barangay Mag-aba INVITATION TO BID FOR: ENVIRONMENTAL PROTECTION THROUGH COMMUNITY MANAGED CONSTRUCTION OF SEAWALL AT BARANGAY, MAG-ABA, PANDAN, ANTIQUE The BARANGAY LOCAL GOVERNMENT U</t>
  </si>
  <si>
    <t xml:space="preserve"> Please see  attached RFQ</t>
  </si>
  <si>
    <t xml:space="preserve"> I	BOARD ROOM TABLE (8 SEATER)	5	sets 	MFC Board Laminated 		 	Powder Coated Metal Legs		 	with Second Layer (Shelves underneath)		 	Accessories: Modesty Holder		 	Adjustable Glider, Grommet		 	Dimension: W=5.5MX D=0.60MX H=0.75M		 	Finish Customer's Choic</t>
  </si>
  <si>
    <t xml:space="preserve"> Invitation to Bid for Construction of Community Activity  Brgy. Pucio, Libertad, Antique The Local Government of Libertad, Antique, through the MDF 2019 intends to apply the sum of One Million Eight Hundred Thousand Pesos (PhP 1,800,000.00) being the Appr</t>
  </si>
  <si>
    <t xml:space="preserve"> Invitation to Bid for Construction/Improvement of Drainage System of Libertad Public Market (Re-Bid)  Libertad, Antique The Local Government of Libertad, Antique, through the MDF 2019 intends to apply the sum of One Million Three Hundred Thousand Pesos (P</t>
  </si>
  <si>
    <t xml:space="preserve"> NOTICE OF NEGOTIATED PROCUREMENT (Small Value Procurement) Project:	Purchase of 268 cyls. Medical Oxygen and 11 cyls. Medical Oxygen (Flask Type)  		(PR#2020-07-6222) Location: 	Bayambang District Hospital 	        Bayambang, Pangasinan Approved Budget fo</t>
  </si>
  <si>
    <t xml:space="preserve"> Invitation to Bid for The Construction of 1 Unit Residual Containment Facility (Re-Bid) Eco Park, Brgy. Barusbus, Libertad, Antique The Local Government of Libertad, Antique, through the MDF 2020 intends to apply the sum of Five Hundred Thousand Pesos (Ph</t>
  </si>
  <si>
    <t xml:space="preserve"> Republic of the Philippines PROVINCE OF SOUTHERN LEYTE Maasin City Invitation to Bid for the Construction of  Pigpen Barangay Buenavista, Bontoc, Southern Leyte Contact ID # - 2020-09-15-059CW 1.	The Provincial Government of Southern Leyte, through the Ca</t>
  </si>
  <si>
    <t xml:space="preserve"> Republic of the Philippines													 City of San Carlos													 Negros Occidental													 													 INVITATION TO BID											FOR SALE	 			PURCHASE REQUEST NO: 1-20-08-0975				P 500.00	 Sealed bids for quotation of prices will be recei</t>
  </si>
  <si>
    <t xml:space="preserve"> Republic of the Philippines													 City of San Carlos													 Negros Occidental													 										               	        	REBIDDING	 INVITATION TO BID											FOR SALE	 			PURCHASE REQUEST NO: 1-20-07-0894				P 300.00	 Sealed bids for q</t>
  </si>
  <si>
    <t xml:space="preserve"> Republic of the Philippines WESTERN PHILIPPINES UNIVERSITY          A STRONG PARTNER FOR SUSTAINABLE DEVELOPMENT BIDS AND AWARDS COMMITTEE Invitation to Bid for Supply and Delivery of various construction supplies and materials for the repair and maintena</t>
  </si>
  <si>
    <t xml:space="preserve"> Construction of sanitary toilet facilities &amp; water facilities</t>
  </si>
  <si>
    <t xml:space="preserve"> Republic of the Philippines													 City of San Carlos													 Negros Occidental													 													 INVITATION TO BID											FOR SALE	 			PURCHASE REQUEST NO: 1-20-08-0984				P 150.00	 Sealed bids for quotation of prices will be recei</t>
  </si>
  <si>
    <t xml:space="preserve"> Pag-IBIG FUND Tuguegarao Branch Office Editha Tuddao Bldg., Balzain Road, Tuguegarao City, Cagayan REQUEST FOR QUOTATION SUPPLY AND DELIVERY OF 11 PCS TONERS WITH FREEUSE OF ONE (1) UNIT BRAND NEW 3-IN-1 PRINTER FOR Pag-IBIG FUND, TUGUEGARAO HUB   The Pag</t>
  </si>
  <si>
    <t xml:space="preserve"> Republic of the Philippines													 City of San Carlos													 Negros Occidental													 													 INVITATION TO BID											FOR SALE	 			PURCHASE REQUEST NO: 1-20-08-0977				P 150.00	 Sealed bids for quotation of prices will be recei</t>
  </si>
  <si>
    <t xml:space="preserve"> NOTICE OF NEGOTIATED PROCUREMENT (Small Value Procurement) Project:	Purchase of 720 pcs. Novosyn Quick 2-0 		(PR#2020-06-5900) Location: 	Pangasinan Provincial Hospital 	        San Carlos City, Pangasinan Approved Budget for 	 the Contract (ABC):	P 342,0</t>
  </si>
  <si>
    <t xml:space="preserve"> NOTICE OF NEGOTIATED PROCUREMENT (Small Value Procurement) Project:	Purchase of Drugs and Medicines  		(PR#2020-06-5899) 5000	amp.	Tramadol 50mg/ml, 1ml 5000	amp.	Furosemide 10mg/ml, 2ml Location: 	Pangasinan Provincial Hospital 	San Carlos City, Pangasin</t>
  </si>
  <si>
    <t xml:space="preserve"> I	GENERAL EXPENSES		 	MOBILIZATION ON SITE SAFETY	1	LOT 	REQUIREMENTS, RENOVATION, SMOKE 		 	TESTER PERMIT AND CLEARANCE (BFP)		 	SIGNED AND SEALED FDAS PLAN TOOLS		 	MACHINE AND EQUIPMENTS.		 			 II	FIRE DETECTION &amp; ALARM SYSTEM (FDAS)		 	1xf8-99 8zone f</t>
  </si>
  <si>
    <t xml:space="preserve"> Republic of the Philippines													 City of San Carlos													 Negros Occidental													 									                			REBIDDING	 INVITATION TO BID											FOR SALE	 			PURCHASE REQUEST NO: 1-20-06-0758				P 500.00	 Sealed bids for quotatio</t>
  </si>
  <si>
    <t xml:space="preserve"> Purchase, fabrication of basketball steel goal and installation of fiberglass at Brgy. Sto. Niño, San Isidro, Davao del Norte</t>
  </si>
  <si>
    <t xml:space="preserve"> NOTICE OF NEGOTIATED PROCUREMENT (Small Value Procurement) Project:	Purchase of 50 vials Human Albumin 		(PR#2020-07-6151) Location: 	Pangasinan Provincial Hospital 	        San Carlos City, Pangasinan Approved Budget for 	 the Contract (ABC):		P 199,200.</t>
  </si>
  <si>
    <t xml:space="preserve"> NOTICE OF NEGOTIATED PROCUREMENT (Small Value Procurement) Project:	Purchase of Medical Supplies  		(PR#2020-07-6109) 3000	pc.	Urine Bag 500	pc.	Disposable Syringe 20cc 200	pc.	Nasogastric Tube Fr. 8 500	pc.	Nasogastric Tube Fr. 16 100	pc.	Nasogastric Tub</t>
  </si>
  <si>
    <t xml:space="preserve"> NOTICE OF NEGOTIATED PROCUREMENT (Small Value Procurement) Project:	Purchase of Medical Supplies  		(PR#2020-06-5710) 20	box	Disposable Needle G.26 10	box	IV Catheter g.18 (x 100’s) 10	box	IV Catheter g.24 (x 100’s) 10	box	IV Catheter g.26 (x 100’s)  20	r</t>
  </si>
  <si>
    <t xml:space="preserve"> NOTICE OF NEGOTIATED PROCUREMENT (Small Value Procurement) Project:	Purchase of Medical Supplies  		(PR#2020-06-5952) 100	pc.	Elastic Bandage, 6” 500	pc.	Urine Bag, adult 3000	pc. 	Syringe 1cc 7000	pc. 	Syringe 3cc 7000	pc. 	Syringe 5cc 6000	pc. 	Syringe </t>
  </si>
  <si>
    <t xml:space="preserve"> Scope of Work: I. CONCRETE WORKS E.  PAINTING WORKS IV. ROOFING &amp; TINSMITHING WORKS</t>
  </si>
  <si>
    <t xml:space="preserve"> Republic of the Philippines Province of Leyte Municipality of La Paz OFFICE OF THE BIDS AND AWARDS COMMITTEE INVITATION TO BID (ITB) – NO. : 2020 – 005 Procuring Entity : Municipality of La Paz, Leyte Title of Project : PURCHASE OF VARIOUS PARTS &amp; MATERIA</t>
  </si>
  <si>
    <t xml:space="preserve"> WORK ITEM	QTY.	UNIT 		 1	Mobilization  of equipment including drilling machine	1	No. 2	Preparation of site	1	No. 3	Drilling of pilot hole  200mm-Ø from ground surface to 102 meters depth	100	Meter 4	Logging of pilot hole	1	Meter 5	Reaming of pilot hole fr</t>
  </si>
  <si>
    <t xml:space="preserve"> Item No.       Description       Quantity         Unit 1	SUPPLY AND DELIVERY OF MATERIALS AND FURNISHING OF LABOR FOR THE DRILLING OF STA LUCIA II, PACOL IV AND PACOL V PRODUCTION WELL AT BGY. STA LUCIA, MAGARAO AND BARANGAY PACOL, NAGA CITY          1   </t>
  </si>
  <si>
    <t xml:space="preserve"> NOTICE OF NEGOTIATED PROCUREMENT (Small Value Procurement) Project:	Purchase of Drugs and Medicines  		(PR#2020-07-6238) 600	tab.	Allupurinol 300mg 500	tab.	Aluminum + Magnesium Tab. 100	amp.	Aminophylline 25mg/ml 30	bot.	Amoxicillin 125mg/5ml 500	tab.	Am</t>
  </si>
  <si>
    <t xml:space="preserve"> INVITATION TO BID     20-116 Name of Project	:	Medicines for LPH-San Pablo City District Hospital  Location	:	San Pablo City, Laguna Brief Description	:	Various Medicines  Approved Budget For the Contract	:	2,482,230.61 Delivery Period 	:	10 Calendar Days</t>
  </si>
  <si>
    <t xml:space="preserve"> NOTICE OF NEGOTIATED PROCUREMENT (Small Value Procurement) Project:	Purchase of 5,000 amp. Tranexamic Acid 100mg/ml, 5ml 		(PR#2020-07-6113) Location: 	Pangasinan Provincial Hospital 	        San Carlos City, Pangasinan Approved Budget for 	 the Contract </t>
  </si>
  <si>
    <t xml:space="preserve"> VARIOUS AGRI. SUPPLIES pls. see attached file.</t>
  </si>
  <si>
    <t xml:space="preserve"> labor and materials for the installation of 13 airconditioning units Panasonic Hi Wall Inverter  Note: Excess ft. and charges included</t>
  </si>
  <si>
    <t xml:space="preserve"> INVITATION TO BID IB No. 13, S. 2020 The Municipality of General Nakar, Quezon through the Approved  Purchase Request amounting to Two Hundred Thousand Seven Hundred Fifty Seven Pesos (PhP200,757.00) being the Approved Budget for the Contract (ABC) to pay</t>
  </si>
  <si>
    <t xml:space="preserve"> INVITATION TO BID     20-118 Name of Project	:	Medicines for LPH-Dr. J.P. Rizal Memorial District Hospital  Location	:	Calamba City, Laguna Brief Description	:	Various Medicines Approved Budget For the Contract	:	1,999,977.70 Delivery Period 	:	10 Calenda</t>
  </si>
  <si>
    <t xml:space="preserve"> Brief Description		:   		Structure Excavation, Gravel Bedding, Backfill and Embankment, Concreting of footing, tie beam, wall footing, slab, column, beam, roof beam, canopy, stairs, lintel beam /window and door jamb &amp; flooring (inner side only), Masonry W</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</si>
  <si>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</si>
  <si>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RESOLUTION ON PRIOR APPROVAL NO. 08-123                   Series of 2020 		 RESOLUTION RECOMMENDING THE USE OF ALTERNATIVE METHOD OF PROCUREMENT FOR  THE ACQUISITION OF GOODS AND SERVICES WHEREAS, various departments/offices submitted Purchase Requests wi</t>
  </si>
  <si>
    <t xml:space="preserve"> Republic of the Philippines                                        Province of Leyte                            MUNICIPALITY OF ALBUERA                     OFFICE OF THE MUNICIPAL MAYOR OFFICE OF THE BIDS AND AWARDS COMMITTEE INVITATION TO BID 	The Local </t>
  </si>
  <si>
    <t xml:space="preserve"> Printing of modules for Grade 11 and Grade 12</t>
  </si>
  <si>
    <t xml:space="preserve"> 1.The Anti-Money Laundering Council (AMLC), through the Maintenance and Other Operating Expenses (MOOE) Fund intends to apply the sum of PHP1,295,044.21 being the Approved Budget for the Contract (ABC) for Oracle License. Bids received in excess of the AB</t>
  </si>
  <si>
    <t xml:space="preserve"> See attached details</t>
  </si>
  <si>
    <t xml:space="preserve"> Brief Description		:   		Clearing and Grubbing, Structure Excavation, Gravel Bedding and Construction of 90 l.m. stone masonry riprap with concrete footing and 0.05 m thk. Concrete pouring at top, construction of cofferdamming. And hauling of materials fr</t>
  </si>
  <si>
    <t xml:space="preserve"> Republic of the Philippines													 City of San Carlos													 Negros Occidental													 													 INVITATION TO BID											FOR SALE	 			PURCHASE REQUEST NO: 1-20-08-1011				P 150.00	 Sealed bids for quotation of prices will be recei</t>
  </si>
  <si>
    <t xml:space="preserve"> IB No. 12, S. 2020 The Municipality of General Nakar, Quezon through the Approved  Purchase Request amounting to Three Hundred Forty Four Thousand Six Hundred Eighty Pesos (PhP344,680.00) being the Approved Budget for the Contract (ABC) to payment under t</t>
  </si>
  <si>
    <t xml:space="preserve"> INVITATION TO BID     20-115 Name of Project	:	Preventive Maintenance Service of Laguna Medical Center CT Scan Machine SN: 50586YC7  Location	:	Sta. Cruz, Laguna Brief Description	:	Maintenance Service Approved Budget For the Contract	:	3,043,564.80 The P</t>
  </si>
  <si>
    <t xml:space="preserve"> INVITATION TO BID IB NO. 2020– 073/ JJL SUPPLY AND DELIVERY OF VARIOUS INORGANIC FERTILIZERS 		 1.	Department of Agriculture, Regional Field Office-10, through the Rice Program Funds CY 2020 intends to apply the sum of  Five Million One Hundred Seventy On</t>
  </si>
  <si>
    <t xml:space="preserve"> Republic of the Philippines                 CITY GOVERNMENT OF TACURONG Alunan Highway, Tacurong City Sultan Kudarat BIDS AND AWARDS COMMITTEE                       Tel nos. (064) 562-0128 / Telefax no. (064) 477 - 0138                 www.tacurong.gov.ph</t>
  </si>
  <si>
    <t xml:space="preserve"> Brief Description		:   		Removal/Demolition of Existing Structure, Structure Excavation, Backfilling and Gravel Bedding, Reinforced Concrete Works, Fabrication and Installation of Roof Framing of Main Building, Installation of gutter frame, Installation o</t>
  </si>
  <si>
    <t xml:space="preserve"> INVITATION TO BID     20-117 Name of Project	:	I.V. Fluids for Laguna Medical Center  Location	:	Sta. Cruz, Laguna Brief Description	:	Various I.V. Fluids Approved Budget For the Contract	:	2,324,978.00 Delivery Period 	:	10 Calendar Days The Provincial G</t>
  </si>
  <si>
    <t xml:space="preserve"> Republic of the Philippines													 City of San Carlos													 Negros Occidental													 													 INVITATION TO BID											FOR SALE	 			PURCHASE REQUEST NO: 1-20-08-0997				P 150.00	 Sealed bids for quotation of prices will be recei</t>
  </si>
  <si>
    <t xml:space="preserve"> Republic of the Philippines                CITY GOVERNMENT OF TACURONG Alunan Highway, Tacurong City Sultan Kudarat BIDS AND AWARDS COMMITTEE                  Tel nos. (064) 562-0128 / Telefax no. (064) 477 - 0138      www.tacurong.gov.ph                 </t>
  </si>
  <si>
    <t xml:space="preserve"> INVITATION TO BID IB NO. 2020– 072/ JJL SUPPLY AND DELIVERY OF INORGANIC FERTILIZERS 		 1.	Department of Agriculture, Regional Field Office-10, through the Rice Program Funds CY 2020 intends to apply the sum of  Bid Lot 1: Twenty Four Million Two Hundred </t>
  </si>
  <si>
    <t xml:space="preserve"> PR NO. 1338 - 20                 CITY GOVERNMENT OF TACURONG                                             Alunan Highway, Tacurong City Sultan Kudarat                                      BIDS AND AWARDS COMMITTEE                                           </t>
  </si>
  <si>
    <t xml:space="preserve"> INVITATION TO BID ITB-2020-No. 001 The Barangay Cabariuan, Sibalom, Antique through its Bids &amp; Awards Committee (BAC), invites bidders/contractors to apply for eligibility and to bid for the hereunder project. Project				:	IMPROVEMENT OF BARANGAY ACCESS R</t>
  </si>
  <si>
    <t xml:space="preserve"> Republic of the Philippines         CITY GOVERNMENT OF TACURONG Alunan Highway, Tacurong City Sultan Kudarat BIDS AND AWARDS COMMITTEE                  Tel nos. (064) 562-0128 / Telefax no. (064) 477 - 0138         www.tacurong.gov.ph                     </t>
  </si>
  <si>
    <t xml:space="preserve"> PR NO. 1342 - 20                 CITY GOVERNMENT OF TACURONG                                             Alunan Highway, Tacurong City Sultan Kudarat                                      BIDS AND AWARDS COMMITTEE                                           </t>
  </si>
  <si>
    <t xml:space="preserve"> PR NO. 1323 - 20                 CITY GOVERNMENT OF TACURONG                                             Alunan Highway, Tacurong City Sultan Kudarat                                      BIDS AND AWARDS COMMITTEE                                           </t>
  </si>
  <si>
    <t xml:space="preserve"> Republic of the Philippines PROVINCE OF ZAMBOANGA DEL NORTE Municipality of Sibutad BIDS AND AWARDS COMMITTEE AUGUST 25, 2020 INVITATION TO BID The Local Government Unit of Sibutad, Zamboanga del Norte under P.R. No. GFP100-2020-08-097 dated AUGUST 19, 20</t>
  </si>
  <si>
    <t xml:space="preserve"> 1. EXCAVATION WORKS 2. MASONRY WORKS 3. STEEL WORKS</t>
  </si>
  <si>
    <t xml:space="preserve"> Republic of the Philippines													 City of San Carlos													 Negros Occidental													 													 INVITATION TO BID											FOR SALE	 			PURCHASE REQUEST NO: 1-20-08-0995				P 300.00	 Sealed bids for quotation of prices will be recei</t>
  </si>
  <si>
    <t xml:space="preserve"> Please submit your quotation on or before 2:30pm of  September 01, 2020  at the Office BAC Secretariat, 2F Mun. Building, General Nakar, Quezon</t>
  </si>
  <si>
    <t xml:space="preserve"> Republic of the Philippines													 City of San Carlos													 Negros Occidental													 													 INVITATION TO BID											FOR SALE	 			PURCHASE REQUEST NO: 1-20-08-0992				P 300.00	 Sealed bids for quotation of prices will be recei</t>
  </si>
  <si>
    <t xml:space="preserve"> INVITATION TO BID SUPPLY, DELIVERY, INSTALLATION AND COMMISSIONING OF GENERATOR SET AT PAG-IBIG FUND TAGUM BRANCH  The Pag-IBIG Fund TAS-Southern and South-Western Mindanao, through its Bids and Awards Committee – Goods and Services (BAC-GS) intends to ap</t>
  </si>
  <si>
    <t xml:space="preserve"> Republic of the Philippines PROVINCE OF ZAMBOANGA DEL NORTE Municipality of Sibutad BIDS AND AWARDS COMMITTEE AUGUST 25, 2020 INVITATION TO BID The Local Government Unit of Sibutad, Zamboanga del Norte under P.R. No. GFP100-2020-08-095 dated AUGUST 18, 20</t>
  </si>
  <si>
    <t xml:space="preserve"> Construction of Landmark at Barangay Baculin, Baganga, Davao Oriental</t>
  </si>
  <si>
    <t xml:space="preserve"> NOTICE OF NEGOTIATED PROCUREMENT (Small Value Procurement) Project:	Purchase of Drugs and Medicines  		(PR#2020-07-6112) 550	amp.	Ketorolac 30mg/ml, 1ml 500	vial	Omeprazole 40mg 200	oxytocin 10IU/ml, 1ml 500	amp.	Paracetamol 150mg/ml, 2ml 100	tab.	Clopido</t>
  </si>
  <si>
    <t xml:space="preserve"> Section I. Invitation to Bid  Republic of the Philippines Province of Antique Municipality of Pandan BARANGAY JINALINAN INVITATION TO BID FOR: IMPROVING COMMUNITY ACCESS THROUGH COMMUNITY- MANAGED IMPROVEMENT OF BRGY. ROAD,  BRGY JINALINAN, PANDAN ANTIQUE</t>
  </si>
  <si>
    <t xml:space="preserve"> Bond Paper for Printing of Learning Modules</t>
  </si>
  <si>
    <t xml:space="preserve"> 1. The City Government of Calamba through the General Fund intends to apply the sum of Php 498,960.00 being the Approved Budget for the Contract (ABC) to payments under the contract for G-2020-555 Supply and Delivery of Rice, Office of the City Mayor/City</t>
  </si>
  <si>
    <t xml:space="preserve"> 1. The City Government of Calamba through the General Fund intends to apply the sum of Php 99,264.60 being the Approved Budget for the Contract (ABC) to payments under the contract for G-2020-549 Supply and Delivery of Office &amp; Janitorial Supplies, City T</t>
  </si>
  <si>
    <t xml:space="preserve"> INVITATION TO BID FOR THE CONCRETING BARANGAY ROAD GOING TO BARANGAY AYALA ALABANG OFFICE 1. The Barangay Ayala Alabang, through its 2020 continuing appropriation Budget, intends to apply the sum of One Million Pesos Only (P1,000,000.00) being the Approve</t>
  </si>
  <si>
    <t xml:space="preserve"> PR NO. 1124 - 20                 CITY GOVERNMENT OF TACURONG                                             Alunan Highway, Tacurong City Sultan Kudarat                                      BIDS AND AWARDS COMMITTEE                                           </t>
  </si>
  <si>
    <t xml:space="preserve"> Republic of the Philippines													 City of San Carlos													 Negros Occidental													 													 INVITATION TO BID											FOR SALE	 			PURCHASE REQUEST NO: 1-20-08-0991				P 150.00	 Sealed bids for quotation of prices will be recei</t>
  </si>
  <si>
    <t xml:space="preserve"> Specifications: Seating: 12 seats Transmission Type: Manual Engine 799 cc Power: 96 hp The top variant of carry is powered by the Utility Van 799 cc, 4 cylinder Diesel engine that fires 96 hp of power and 135 Nm torque. The 12 seater Carry Utility Van 5 s</t>
  </si>
  <si>
    <t xml:space="preserve"> 1. The City Government of Calamba through the General Fund intends to apply the sum of Php 826,650.00 being the Approved Budget for the Contract (ABC) to payments under the contract for G-2020-554 Supply and Installation of Airconditioning Unit, City Coll</t>
  </si>
  <si>
    <t xml:space="preserve"> Republic of the Philippines DEPARTMENT OF PUBLIC WORKS AND HIGHWAYS OFFICE OF THE DISTRICT ENGINEER Aklan District Engineering Office Toting Reyes St., Kalibo, Aklan REQUEST FOR EXPRESSION OF INTEREST (REOI)  FOR CONTRACT ID: 20GA0001CS                   </t>
  </si>
  <si>
    <t xml:space="preserve"> RESOLUTION ON PRIOR APPROVAL NO. 07-111                   Series of 2020 		 RESOLUTION RECOMMENDING THE USE OF ALTERNATIVE METHOD OF PROCUREMENT FOR  THE ACQUISITION OF GOODS AND SERVICES WHEREAS, various departments/offices submitted Purchase Requests wi</t>
  </si>
  <si>
    <t xml:space="preserve"> NOTICE OF NEGOTIATED PROCUREMENT (Small Value Procurement) Project:	Purchase of Drugs and Medicines  		(PR#2020-07-6150) 500	tab.	Atorvastatin 40mg 2000	tab.	Atorvastatin 20mg 1000	tab.	Betahistine 16mg 1000	tab.	Betahistine 24mg 144	bot.	Aluminum Hydroxi</t>
  </si>
  <si>
    <t xml:space="preserve"> INVITATION TO BID IB NO. 2020 – 074/RBT SUPPLY AND DELIVERY OF VARIOUS FEEDS 		 1.	The Department of Agriculture, Regional Field Office-10, through the  Livestock Program Funds CY 2020 intends to apply the sum of Two Million Eight Hundred Eighty One Thous</t>
  </si>
  <si>
    <t xml:space="preserve"> RESOLUTION ON PRIOR APPROVAL NO. 08-124                   Series of 2020 		 RESOLUTION RECOMMENDING THE USE OF ALTERNATIVE METHOD OF PROCUREMENT FOR  THE ACQUISITION OF GOODS AND SERVICES   WHEREAS, various departments/offices submitted Purchase Requests </t>
  </si>
  <si>
    <t xml:space="preserve"> Republic of the Philippines Province of Cagayan Municipality of Baggao INVITATION TO BID FOR THE PROCUREMENT OF GOODS The Barangay Mocag, Baggao, Cagayan, through the 20% BDF CY 2020 intends to apply the sum of One Hundred Fifty Two Thousand Five Hundred </t>
  </si>
  <si>
    <t xml:space="preserve"> Republic of the Philippines Province of Cagayan Municipality of Baggao INVITATION TO BID FOR THE PROCUREMENT OF GOODS The Barangay Barsat West, Baggao, Cagayan, through the 20% BDF CY 2016 &amp; 2019  intends to apply the sum of  Ninety Five Thousand Eight Hu</t>
  </si>
  <si>
    <t xml:space="preserve"> Republic of the Philippines Province of Cagayan Municipality of Baggao INVITATION TO BID FOR THE PROCUREMENT OF GOODS The Barangay Bagunot, Baggao, Cagayan, through the 20% BDF CY 2020 intends to apply the sum of Eight One Thousand Eight Hundred Sixty Sev</t>
  </si>
  <si>
    <t xml:space="preserve"> Republic of the Philippines Province of Cagayan Municipality of Baggao INVITATION TO BID FOR THE PROCUREMENT OF GOODS The Barangay Bagunot, Baggao, Cagayan, through the 20% BDF CY 2020 intends to apply the sum of One Hundred Forty Five Thousand One Hundre</t>
  </si>
  <si>
    <t xml:space="preserve"> PR NO. 1321 - 20                 CITY GOVERNMENT OF TACURONG                                             Alunan Highway, Tacurong City Sultan Kudarat                                      BIDS AND AWARDS COMMITTEE                                           </t>
  </si>
  <si>
    <t xml:space="preserve"> Republika ng Pilipinas PAMAHALAANG LUNGSOD NG TACLOBAN (City Government of Tacloban) Kanhuraw Hill, Tacloban City 6500 Bids and Awards Committee INVITATION TO SUBMIT PRICE QUOTATIONS FOR THE NEGOTIATED PROCUREMENT (Small Value Procurement) OF FOOD STUFF B</t>
  </si>
  <si>
    <t xml:space="preserve"> Republic of the Philippines Province of Cagayan Municipality of Baggao INVITATION TO BID FOR THE PROCUREMENT OF GOODS The Barangay Hacienda-Intal, Baggao, Cagayan, through the 20% Barangay Development Road CY 2020 intends to apply the sum of  One Hundred </t>
  </si>
  <si>
    <t xml:space="preserve"> Republika ng Pilipinas PAMAHALAANG LUNGSOD NG TACLOBAN (City Government of Tacloban) Kanhuraw Hill, Tacloban City 6500 Tel. Nos.  325-4053 BIDS AND AWARDS COMMITTEE 	INVITATION TO SUBMIT PRICE QUOTATIONS 1st Posting BIDSTAC # SB 045-2020 (7193837). 	     </t>
  </si>
  <si>
    <t xml:space="preserve"> Republika ng Pilipinas PAMAHALAANG LUNGSOD NG TACLOBAN (City Government of Tacloban) Kanhuraw Hill, Tacloban City 6500 Bids and Awards Committee INVITATION TO SUBMIT PRICE QUOTATIONS FOR THE NEGOTIATED PROCUREMENT (Small Value Procurement) OF SAFETY AND O</t>
  </si>
  <si>
    <t xml:space="preserve"> Republic of the Philippines Province of Cagayan Municipality of Baggao INVITATION TO BID FOR THE PROCUREMENT OF GOODS The Barangay Mocag, Baggao, Cagayan, through the 20% BDF CY 2020 intends to apply the sum of One Hundred Fifty Eight Thousand Six Hundred</t>
  </si>
  <si>
    <t xml:space="preserve"> Republic of the Philippines Bangsamoro Autonomous Region in Muslim Mindanao (BARMM) Bangsamoro Planning &amp; Development Authority Bangsamoro Government Center, Cotabato City Tel No. (064) 527-2795 - - - - - - - - - - - - - - - - - - - - - - - - - - - - - - </t>
  </si>
  <si>
    <t xml:space="preserve"> 1 lot	ICT Equipments and consumables 3      bot	Epson Ink #001  C13T03Y100 for L6170-Black , 127mL 2      bot	Epson Ink #001  C13T03Y200 for L6170-Cyan , 70mL  2      bot	Epson Ink #001  C13T03Y300 for L6170-Magenta, 70mL  2      bot	Epson Ink #001  C13T0</t>
  </si>
  <si>
    <t xml:space="preserve"> Republika ng Pilipinas PAMAHALAANG LUNGSOD NG TACLOBAN (City Government of Tacloban) Kanhuraw Hill, Tacloban City 6500 Bids and Awards Committee INVITATION TO SUBMIT PRICE QUOTATIONS FOR THE NEGOTIATED PROCUREMENT (Small Value Procurement) OF WATER SUPPLY</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</si>
  <si>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</si>
  <si>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Republika ng Pilipinas PAMAHALAANG LUNGSOD NG TACLOBAN (City Government of Tacloban) Kanhuraw Hill, Tacloban City 6500 Bids and Awards Committee INVITATION TO SUBMIT PRICE QUOTATIONS FOR THE NEGOTIATED PROCUREMENT (Small Value Procurement) OF INDUSTRIAL M</t>
  </si>
  <si>
    <t xml:space="preserve"> Please see attached. Due to pandemic we prefer to email or fax your quotations.</t>
  </si>
  <si>
    <t xml:space="preserve"> Republic of the Philippines Office of the Punong Barangay BIDS AND AWARDS COMMITTEE Barangay #09 Susugaen, Pasuquin, Ilocos Norte INVITATION TO BID FOR  PURCHASE OF OFFICE EQUIPMENT  1.	The BARANGAY SUSUGAEN-PASUQUIN, through the AO2020-02, SAVING OF 2019</t>
  </si>
  <si>
    <t xml:space="preserve"> Republic of the Philippines Office of the Punong Barangay BIDS AND AWARDS COMMITTEE Barangay #09 Susugaen, Pasuquin, Ilocos Norte REQUEST FOR QUOTATIONS  Purchase of Furniture 1.	The BARANGAY SUSUGAEN-PASUQUIN, through the BARANGAY FUND CY 2020  intends t</t>
  </si>
  <si>
    <t xml:space="preserve"> Republic of the Philippines Office of the Punong Barangay BIDS AND AWARDS COMMITTEE Barangay #07 Caruan, Pasuquin, Ilocos Norte INVITATION TO BID FOR  PURCHASE OF MATERIALS FOR THE BARANGAY VARIOUS PROJECTS  1.	The CARUAN-PASUQUIN, through the EDF CY 2018</t>
  </si>
  <si>
    <t xml:space="preserve"> Republic of the Philippines Office of the Punong Barangay BIDS AND AWARDS COMMITTEE Barangay #06 Dilavo, Pasuquin, Ilocos Norte REQUEST FOR QUOTATIONS  Purchase of Materials for the Rehabilitation of Potable Water System 1.	The BARANGAY DILAVO-PASUQUIN, t</t>
  </si>
  <si>
    <t xml:space="preserve"> Republic of the Philippines Office of the Punong Barangay BIDS AND AWARDS COMMITTEE Barangay #21 Dadaeman, Pasuquin, Ilocos Norte   INVITATION TO BID FOR  Road Concreting 1.	The BARANGAY DADAEMAN-PASUQUIN, through the AO NO. 2020-01, 20% ECONOMIC DEVELOPM</t>
  </si>
  <si>
    <t xml:space="preserve"> To be used for Self-Learning Materials and Worksheets Printing</t>
  </si>
  <si>
    <t xml:space="preserve"> Republic of the Philippines Office of the Punong Barangay BIDS AND AWARDS COMMITTEE Barangay #21 Dadaeman, Pasuquin, Ilocos Norte   INVITATION TO BID FOR  Purchase of Office Equipment 1.	The BARANGAY DADAEMAN-PASUQUIN, through the AO2020-03, SAVING OF 201</t>
  </si>
  <si>
    <t xml:space="preserve"> Republic of the Philippines Office of the Punong Barangay BIDS AND AWARDS COMMITTEE Barangay #21 Dadaeman, Pasuquin, Ilocos Norte REQUEST FOR QUOTATIONS  Purchase of Furniture 1.	The BARANGAY DADAEMAN-PASUQUIN, through the AO2020-03, SAVING OF 2019 FROM T</t>
  </si>
  <si>
    <t xml:space="preserve"> Republic of the Philippines Office of the Punong Barangay BIDS AND AWARDS COMMITTEE Barangay #21 Dadaeman, Pasuquin, Ilocos Norte REQUEST FOR QUOTATIONS  Purchase of Office Supplies 1.	The BARANGAY DADAEMAN-PASUQUIN, through the AO2020-03, SAVING OF 2019 </t>
  </si>
  <si>
    <t xml:space="preserve"> ITEM OF WORKS: I   - GENERAL REQUIREMENTS II  - AIR CONDITIONING EQUIPMENT INCLUDING ELECTRICAL WORKS III - VENTILATING EQUIPMENT INCLUDING ELECTRICAL WORKS IV  - VENTILATING DUCT WORKS V   - AIR CONDITIONING WORKS VI  - CHILLED WATER PIPING AND ACCESSORI</t>
  </si>
  <si>
    <t xml:space="preserve"> INVITATION TO APPLY FOR ELIGIBILITY AND TO BID 	The Local Government Unit of Quezon, Nueva Ecija, through its Bids and Awards Committee(BAC), invites contractors/suppliers/manufacturers/distributors to apply for eligibility and to bid for the hereunder pr</t>
  </si>
  <si>
    <t xml:space="preserve"> Republika ng Pilipinas PAMAHALAANG LUNGSOD NG TACLOBAN (City Government of Tacloban) Kanhuraw Hill, Tacloban City 6500 Bids and Awards Committee INVITATION TO SUBMIT PRICE QUOTATIONS FOR THE NEGOTIATED PROCUREMENT (Small Value Procurement) OF AIRCONDITION</t>
  </si>
  <si>
    <t xml:space="preserve"> Republika ng Pilipinas PAMAHALAANG LUNGSOD NG TACLOBAN (City Government of Tacloban) Kanhuraw Hill, Tacloban City 6500 Bids and Awards Committee INVITATION TO SUBMIT PRICE QUOTATIONS FOR THE NEGOTIATED PROCUREMENT (Small Value Procurement) OF OFFICE EQUIP</t>
  </si>
  <si>
    <t xml:space="preserve"> Republic of the Philippines Office of the Punong Barangay BIDS AND AWARDS COMMITTEE Barangay #06 Dilavo, Pasuquin, Ilocos Norte REQUEST FOR QUOTATIONS  Purchase of Furniture 1.	The BARANGAY DILAVO-PASUQUIN, through the AO2020-03, SAVING OF 2019 FROM THE 1</t>
  </si>
  <si>
    <t xml:space="preserve"> INVITATION TO BID  SUPPLY AND DELIVERY OF LEARNING  SUPPLIES AND EQUIPMENT  FOR THE CITY DEP-ED GS 2020 -008-029 1.	The City Government of Sorsogon    intends to apply the sum of   Five   Million   Five  Hundred  Eighty   Thousand   Eight  Hundred  Five  </t>
  </si>
  <si>
    <t xml:space="preserve"> Supply and Delivery of One (1) Unit of Brand New Air-Conditioned Motor Vehicle for the Bureau of Agricultural and Fisheries Engineering</t>
  </si>
  <si>
    <t xml:space="preserve"> INVITATION TO BID FOR SUPPLY AND DELIVERY OF DESKTOP AND LAPTOP COMPUTERS FOR DSWD CENTRAL OFFICE AND FIELD OFFICES —  ITB NO. GOP/20-DSWD-047 — (PR NOS. 01-20001-PR-2020-06-00022) 1. The Department of Social Welfare and Development (DSWD), through the DS</t>
  </si>
  <si>
    <t xml:space="preserve"> Republic of the Philippines Office of the Punong Barangay BIDS AND AWARDS COMMITTEE Barangay #26 Salpad, Pasuquin, Ilocos Norte INVITATION TO BID FOR  Purchase of Office Equipment 1.	The BARANGAY SALPAD-PASUQUIN, through the AO2020-02, SAVING OF 2019 FROM</t>
  </si>
  <si>
    <t xml:space="preserve"> Republic of the Philippines Office of the Punong Barangay BIDS AND AWARDS COMMITTEE Barangay #06 Dilavo, Pasuquin, Ilocos Norte REQUEST FOR QUOTATIONS  Purchase of Relief Goods for Stock Filling 1.	The BARANGAY DILAVO-PASUQUIN, through the AO NO. 04-2020 </t>
  </si>
  <si>
    <t xml:space="preserve"> Republic of the Philippines Office of the Punong Barangay BIDS AND AWARDS COMMITTEE Barangay #10 Estancia, Pasuquin, Ilocos Norte INVITATION TO BID FOR Purchase of Office Equipment 1. The BARANGAY ESTANCIA-PASUQUIN, through the AO2020-02, SAVING OF 2019 F</t>
  </si>
  <si>
    <t xml:space="preserve"> For further details, please see attached Program of Works in the associated components.</t>
  </si>
  <si>
    <t xml:space="preserve"> Republic of the Philippines Province of Cagayan Municipality of Baggao INVITATION TO BID FOR THE PROCUREMENT OF GOODS The Barangay Taguing, Baggao, Cagayan, through the 20% BDF Continuing Appropriations   intends to apply the sum of One Hundred Thirteen T</t>
  </si>
  <si>
    <t xml:space="preserve"> Republic of the Philippines Office of the Punong Barangay BIDS AND AWARDS COMMITTEE Barangay #25 Pragata, Pasuquin, Ilocos Norte INVITATION TO BID FOR Purchase of Office Equipment 1. The BARANGAY PRAGATA-PASUQUIN, through the AO2020-02, SAVING OF 2019 FRO</t>
  </si>
  <si>
    <t xml:space="preserve"> Republic of the Philippines OFFICE OF THE PUNONG BARANGAY Barangay #02 Poblacion, Pasuquin, Ilocos Norte INVITATION TO BID FOR  PURCHASE OF FURNITURE  1.	The BARANGAY #02 POBLACION -PASUQUIN, through the AO2020-03, SAVING OF 2019 FROM THE 10% SK SURPLUS F</t>
  </si>
  <si>
    <t xml:space="preserve"> Republic of the Philippines Office of the Punong Barangay BIDS AND AWARDS COMMITTEE Barangay #14 Binsang, Pasuquin, Ilocos Norte INVITATION TO BID FOR Purchase of Office Equipment 1. The BARANGAY BINSANG -PASUQUIN, through the AO#002-2020, SAVING OF 2019 </t>
  </si>
  <si>
    <t xml:space="preserve"> Republic of the Philippines Office of the Punong Barangay BIDS AND AWARDS COMMITTEE Barangay #28 Surong, Pasuquin, Ilocos Norte Invitation to Bid for PURCHASE OF OFFICE EQUIPMENT 1.	The BARANGAY #28 SURONG -PASUQUIN, through the AO2020-02, SAVING OF 2019 </t>
  </si>
  <si>
    <t xml:space="preserve"> Cadiz City SF-GOOD-60 Standard Form Title: Request for Quotation 										_______________ 					             ______________________ ______________________ 	Please quote your lowest price on the items listed below, subject to the General Conditions on the </t>
  </si>
  <si>
    <t xml:space="preserve"> Republic of the Philippines Office of the Punong Barangay BIDS AND AWARDS COMMITTEE Barangay #28 Surong, Pasuquin, Ilocos Norte REQUEST FOR QUOTATIONS  Purchase of Office Supplies 1.	The BARANGAY SURONG-PASUQUIN, through the AO2020-02, SAVING OF 2019 FROM</t>
  </si>
  <si>
    <t xml:space="preserve"> Republic of the Philippines Office of the Punong Barangay BIDS AND AWARDS COMMITTEE Barangay #02 Poblacion, Pasuquin, Ilocos Norte REQUEST FOR QUOTATIONS Purchase of Office Supplies 1.	The BARANGAY #02 POBLACION -PASUQUIN, through the AO2020-03, SAVING OF</t>
  </si>
  <si>
    <t xml:space="preserve"> Republic of the Philippines Office of the Punong Barangay BIDS AND AWARDS COMMITTEE Barangay #06 Dilavo, Pasuquin, Ilocos Norte Invitation to Bid for Purchase of Office Equipment 1.	The BARANGAY DILAVO-PASUQUIN, through the AO2020-03, SAVING OF 2019 FROM </t>
  </si>
  <si>
    <t xml:space="preserve"> Republic of the Philippines Office of the Punong Barangay BIDS AND AWARDS COMMITTEE Barangay #08 Sulongan, Pasuquin, Ilocos Norte INVITATION TO BID FOR Purchase of Office Equipment 1. The BARANGAY SULONGAN-PASUQUIN, through the AO2020-02, SAVING OF 2019 F</t>
  </si>
  <si>
    <t xml:space="preserve"> 1. The Mindanao State University-Tawi-Tawi College of Technology and Oceanography (MSU-TCTO), through the MSU-TCTO Trust Fund, intends to apply the sum of TWO MILLION EIGHT HUNDRED TWENTY-FOUR THOUSAND FOUR HUNDRED THIRTY-FOUR PESOS AND 50/100 (PHP 2,824,</t>
  </si>
  <si>
    <t xml:space="preserve"> Republic of the Philippines Office of the Punong Barangay BIDS AND AWARDS COMMITTEE Barangay #28 Surong, Pasuquin, Ilocos Norte REQUEST FOR QUOTATIONS  Purchase of Office Furniture (Computer Table) 1.	The BARANGAY SURONG-PASUQUIN, through the AO2020-02, S</t>
  </si>
  <si>
    <t xml:space="preserve"> Republic of the Philippines Office of the Punong Barangay BIDS AND AWARDS COMMITTEE Barangay #21 Dadaeman, Pasuquin, Ilocos Norte   INVITATION TO BID FOR  Canal Lining 1.	The BARANGAY DADAEMAN-PASUQUIN, through the AO NO. 2020-01, 20% ECONOMIC DEVELOPMENT</t>
  </si>
  <si>
    <t xml:space="preserve"> 2000 tablets coAmoxiclav 625 mg 2000 tablets Cefixime Capsule 2000 tablets Cefuroxime Capsule 100  boxes paracetamol 500 mg x 100 488 bottles paracetamol 250 mg x 5 ml 488 bottles paracetamol drops</t>
  </si>
  <si>
    <t xml:space="preserve"> Republic of the Philippines BARANGAY MABINI BIDS AND AWARDS COMMITTEE INVITATION TO BID The Barangay Government of BARANGAY MABINI through its Bids and Awards Committee (BAC), invites suppliers/manufacturers/distributors to bid for the hereunder project: </t>
  </si>
  <si>
    <t xml:space="preserve"> Republic of the Philippines OFFICE OF THE PUNONG BARANGAY Barangay #02 Poblacion, Pasuquin, Ilocos Norte INVITATION TO BID FOR  PURCHASE OF OFFICE EQUIPMENT  1.	The BARANGAY #02 POBLACION -PASUQUIN, through the AO2020-03, SAVING OF 2019 FROM THE 10% SK SU</t>
  </si>
  <si>
    <t xml:space="preserve"> Concreting of 3.0 m x 4 x 4"Local Road with riprap at Purok 3, Barangay Borabod, Daet, Camarines Norte ,</t>
  </si>
  <si>
    <t xml:space="preserve"> Construction of Manpower Development Center/Day Care Center Phase 3-Wall Finish, Doors and Windows, Barangay Cobangbang, Daet, Camarines Norte</t>
  </si>
  <si>
    <t xml:space="preserve"> Republic of the Philippines Office of the Punong Barangay BIDS AND AWARDS COMMITTEE Barangay #06 Dilavo, Pasuquin, Ilocos Norte REQUEST FOR QUOTATIONS  Purchase of Office Supplies 1.	The BARANGAY DILAVO-PASUQUIN, through the AO2020-03, SAVING OF 2019 FROM</t>
  </si>
  <si>
    <t xml:space="preserve"> 1. The Mindanao State University-Tawi-Tawi College of Technology and Oceanography (MSU-TCTO), through the MSU-TCTO Trust Fund, intends to apply the sum of FIVE MILLION SIX HUNDRED FIFTY-TWO THOUSAND SIX HUNDRED FIFTY-ONE PESOS AND 00/100 (PHP 5,652,651.00</t>
  </si>
  <si>
    <t xml:space="preserve"> 1. The Mindanao State University-Tawi-Tawi College of Technology and Oceanography (MSU-TCTO), through the MSU-TCTO Trust Fund, intends to apply the sum of SEVEN MILLION FIVE HUNDRED EIGHTEEN THOUSAND FOUR HUNDRED NINETY-SEVEN  PESOS AND 40/100 (PHP 7,518,</t>
  </si>
  <si>
    <t xml:space="preserve"> 32	UNITS	EPSON 3110 PRINTER 1	unit	PRINTER - BROTHER DCP L -2540DW 61	bottles	EPSON INK NO. 003</t>
  </si>
  <si>
    <t xml:space="preserve"> The Bids &amp; Awards Committee (BAC) of Barangay Bala-as, Argao, Cebu, invites all interested suppliers/manufacturers/distributors/contractors/consultants to apply for eligibility and to submit bids for the following: DIRECT COST: A. Materials:      40.00   </t>
  </si>
  <si>
    <t xml:space="preserve"> INVITATION TO BID The Barangay Government of Andres Bonifacio, San Narciso, Quezon through its Bids and Award Committee (BAC), invites registered suppliers with DTI, Mayor’s Permit and PhilGEPS registered, if found eligible, to bid for the hereunder contr</t>
  </si>
  <si>
    <t xml:space="preserve"> The Bids &amp; Awards Committee (BAC) of Barangay Gutlang, Argao, Cebu, invites all interested suppliers/manufacturers/distributors/contractors/consultants to apply for eligibility and to submit bids for the following: I. CONCRETE WORKS: Class “A” Mix A. MATE</t>
  </si>
  <si>
    <t xml:space="preserve"> The Bids &amp; Awards Committee (BAC) of Barangay Gutlang, Argao, Cebu, invites all interested suppliers/manufacturers/distributors/contractors/consultants to apply for eligibility and to submit bids for the following: A. MATERIALS:      20        Sets       </t>
  </si>
  <si>
    <t xml:space="preserve"> Land Development and House Construction of Dupax del Norte IP Housing Project at Barangay Belance, Dupax del Norte, Nueva Vizcaya. For further details, please see attached Program of Works in the associated components.</t>
  </si>
  <si>
    <t xml:space="preserve"> Cadiz City SF-GOOD-60 Standard Form Title: Request for Quotation 										_______________ 									             ______________________ ______________________ 	Please quote your lowest price on the items listed below, subject to the General Conditions on </t>
  </si>
  <si>
    <t xml:space="preserve"> please submit price quotation as per attached RFQ</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</si>
  <si>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</si>
  <si>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please submit price quotation as per attached rfq</t>
  </si>
  <si>
    <t xml:space="preserve"> Cadiz City SF-GOOD-60 Standard Form Title: Request for Quotation 										_______________ 									             ______________________ ______________________ 	 Please quote your lowest price on the items listed below, subject to the General Conditions on</t>
  </si>
  <si>
    <t xml:space="preserve"> Please see attached file..</t>
  </si>
  <si>
    <t xml:space="preserve"> The Bids &amp; Awards Committee (BAC) of Barangay Gutlang, Argao, Cebu, invites all interested suppliers/manufacturers/distributors/contractors/consultants to apply for eligibility and to submit bids for the following: DIRECT COST: A. MATERIALS:      32.00   </t>
  </si>
  <si>
    <t xml:space="preserve"> Office Supplies, School Supplies and Module Reproduction Supplies</t>
  </si>
  <si>
    <t xml:space="preserve"> additionsl of 15posts at Zone 3 and 4</t>
  </si>
  <si>
    <t xml:space="preserve"> Republic of the Philippines Province of Cagayan Municipality Of Ballesteros BARANGAY MABUTTAL EAST INVITATION TO BID FOR “Procurement of Various Materials for the Construction of Sangguniang Kabataan Hall” 1.	The Barangay Government of Mabuttal East, Ball</t>
  </si>
  <si>
    <t xml:space="preserve"> 77,000 reproduction of modules SHS</t>
  </si>
  <si>
    <t xml:space="preserve"> Supplies for JHS teachers for the reproduction of modules</t>
  </si>
  <si>
    <t xml:space="preserve"> STREETLIGHT Location: Duang Niog, Lib. Cam. Sur Appropriation: P200,000.00 Source of Fund: 20% DEVELOPMENT FUND 2020 Description: LED Streetlights = 13 units ; Distance in b/w Poles = 30m Scope of Works: I- Excavation works; Estmd. Qty.= 3.05 cu.m II- Con</t>
  </si>
  <si>
    <t xml:space="preserve"> Republic of the Philippines Province of Cagayan Municipality Of Ballesteros BARANGAY MABUTTAL EAST INVITATION TO BID FOR “Procurement of Various Materials for the Construction of Solar Dryer @ Zone 1” 1.	The Barangay Government of Mabuttal East, Ballester</t>
  </si>
  <si>
    <t xml:space="preserve"> Labor anf Materials</t>
  </si>
  <si>
    <t xml:space="preserve"> NOTICE TO BIDDERS 2 units Motorcycle DH-150 E3 ns1 Engine type: 4 stroke single cylinder bore &amp; shore: 61x49.5 discplacement: 150cc compresion ratio 9:1 fuel system: carburator cooling system-air transmission: 5 speed frame type: business front suspension</t>
  </si>
  <si>
    <t xml:space="preserve"> Construction of Multi-Purpose Bldg., Phase II, Ground Floor, Cement Floor, Purok 4, Barangay Mambalite, Daet, Camarines Norte</t>
  </si>
  <si>
    <t xml:space="preserve"> Purchased Of School and Office Supplies for the month of April May and June</t>
  </si>
  <si>
    <t xml:space="preserve"> QUANTITY	UNIT	ARTICLES				 1	unit	Laptop				 		specifications:				 		Processor : core -i7 -10510U 1.8Ghz quadcore with turbo boost(upto				 		                    4.9Ghz) and 8Mb Cache				 		Graphics : GeForce MX250 				 		Video Memory : 2GB GDDR5 VRAM				</t>
  </si>
  <si>
    <t xml:space="preserve"> Invitation to Bid for Concreting  No. 2020-003 1. The Barangay Valle Cruz, through the Annual Budget 2020(General Fund) Approved by the Sanggunian intends to apply the sum of Two Hundred Thousand Pesos  (Php200,000.00 ) being the Approved Budget for the C</t>
  </si>
  <si>
    <t xml:space="preserve"> QUANTITY	UNIT	ARTICLES				 8	Units	Air Conditioning Unit, Inverter-Type, 2.5HP, Wall-Mounted				 5	Units	Air Conditioning Unit, Inverter-Type, 2.0HP, Wall-Mounted				 1	Unit	Air Conditioning Unit, Inverter-Type, 1.5HP, Wall-Mounted				 1	Unit	Air Conditio</t>
  </si>
  <si>
    <t xml:space="preserve"> labor ang materials</t>
  </si>
  <si>
    <t xml:space="preserve"> QUANTITY	UNIT	ARTICLES				 24	units	Laptop Computers				 		Model : Aspire A315-56-596K				 		Color: Charcoal Black				 		Processor : i5-1035G1				 		RAM: 4GB				 		Storage: 1TB HDD + 256 SSD				 		Operating System: Windows 10				 		Screen Size : 15.6"				</t>
  </si>
  <si>
    <t xml:space="preserve"> Republic of the Philippines Province of Cagayan Municipality Of Ballesteros BARANGAY FUGU INVITATION TO BID FOR “Procurement of Various Materials for the Improvement/Rehabilitation of Barangay Auditorium” 1.	The Barangay Government of Fugu Ballesteros, th</t>
  </si>
  <si>
    <t xml:space="preserve"> QUANTITY	UNIT	ARTICLES				 1	unit	Large Format Printer				 		Model : PZR3204-KM512i(10ft) PZR -KV-3208				 		Print Technology : Piezo Continuous Drop on Demand				 		Print Head : PZ3204-KV-1/4x PZ3200- KV-1.8X				 		Max Resolution : 360 x 1140 / 720 x 108</t>
  </si>
  <si>
    <t xml:space="preserve"> Procurement of Seedling (Reforestation and Urban Greening Program)</t>
  </si>
  <si>
    <t xml:space="preserve"> Tires, 185R14, 8 Ply, Steel Belted, 2020 Manufactured Year 16 pieces *Including tire mounting and replacement of 4 pieces tire valves ** List of Vehicles SKE193, Mitsubishi Adventure SKE203, Mitsubishi Adventure SKE213, Mitsubishi Adventure SKE242, Mitsub</t>
  </si>
  <si>
    <t xml:space="preserve"> OTHER GENERAL REQUIREMENTS 1 ea Project Billboard/SignBoard 1 l.s. Occupational Safety and Health Program 1 l.s. Mobilization and Demobilization 1 l.s. Removal of Structures/Demolition EARTH WORKS 32.52 cu.m. Structure Excavation 11.97 cu.m. Embankment Fr</t>
  </si>
  <si>
    <t xml:space="preserve"> QUANTITY	UNIT	ARTICLES				 20	Units	Solar Street Lights 100 watts				 20	Pcs	Galvanized Iron Pipe 1 1/2" sch 40 				 2	Cans	Epoxy Primer with catalyst, Gallon				 		*****END*****</t>
  </si>
  <si>
    <t xml:space="preserve"> Rehabilitation of Lindongan Road</t>
  </si>
  <si>
    <t xml:space="preserve"> QUANTITY	UNIT	ARTICLES				 15	Rolls	THHN Copper Wire, 3.5mm				 200	Pcs	Mercury, E40, 250 watts				 20	Sets	Photo Cell, 10 amp				 15	Pcs	Circuit Breaker, 30 amp				 300	Pcs	Bulb, LED, 11 watts				 15	Sets	Contactor, SC-5-1				 10	Pcs	Bulb, Tube, LED, 40w</t>
  </si>
  <si>
    <t xml:space="preserve"> PLEASE SUBMIT PRICE QUOTATION AS PER ATTACHED RFQ</t>
  </si>
  <si>
    <t xml:space="preserve"> The bid and awards committee of Dangcagan NHS-Main (Junior High School) approved to purchase the following supplies &amp; materials for reproduction of modules through shopping. Paper, Multi-Purpose (Copy) A4, 70 gsm	                                         1</t>
  </si>
  <si>
    <t xml:space="preserve"> Ligaya, Gabaldon, Nueva Ecija							Contract reference number:  								 	Name of the Contract: Purchase of  Construction  Materials Standard Form Number: SF-GOOD-05				     		 Location of the Contract: Brgy. Ligaya, Gabaldon, Nueva Ecija Revised on: May </t>
  </si>
  <si>
    <t xml:space="preserve"> see attached specifications for details</t>
  </si>
  <si>
    <t xml:space="preserve"> I	BRICK BED INSTALLATION		 	Portland cement	9	bags 	CHB #5	100	pcs 	rebar 10mm dia	1	pc 	sand, s-1	0.5	cu.m 	gravel, 3/4"	1	cu.m 	concrete bricks	137	sq.m 	terra cotta bricks (lining)	13	sq.m 	gravel, 1" (subbase, 0.075m thk)	12	cu.m 	white sand (base cou</t>
  </si>
  <si>
    <t xml:space="preserve"> Purchased of School and Office Supplies for the month of April,May and June</t>
  </si>
  <si>
    <t xml:space="preserve"> 2	pc	Marine Plywood 3/4x4x8 (original) 12	pc	Marine Plywood 1/4x4x8 (original) 30	pc	Good Lumber 2x2x12 30	pc	Good Lumber 1/2x2x12 (keen dry)</t>
  </si>
  <si>
    <t xml:space="preserve"> Second Rebidding for the Supply of labor and parts for the repair of one (1) unit 2009 Toyota Avanza (SKW585) Scope of Work: 1. Remove and replace throttle body assembly (original) / 22210-BZ081 2. Remove and replace air filter element (original), 17801-B</t>
  </si>
  <si>
    <t xml:space="preserve"> QUANTITY	UNIT	ARTICLES				 32	unit	DOME				 		1/2 7" , 2Megapixel , CMOS 25/30 Fps @1080, 25/30/60FPS @ 720P				 		ICR,OSD, 3.6mm fixed Lens (2.8mm,6mm optional) Max IR distance				 		40m(131ft) Smart IR CVI/TV/AHD/CVBS output switchable DC12V,IP67				 2	</t>
  </si>
  <si>
    <t xml:space="preserve"> Invitation to Bid for PR No. 20071414 – Supply and Delivery of Transducer (2D Echo) and 2 others for CNPH Use 	 1.	The Provincial Government of Camarines Norte, through the DBP Loan intends to apply the sum of Six Million Two Hundred Four ThousandPesos (P</t>
  </si>
  <si>
    <t xml:space="preserve"> Please see attached file in Associated Components.</t>
  </si>
  <si>
    <t xml:space="preserve"> Construction of Multi-Purpose Building (Phase II) at Barangay Oyao, Dupax del Norte, Nueva Vizcaya. For further details, please see attached Program of Works in the associated components.</t>
  </si>
  <si>
    <t xml:space="preserve"> 3 pcs Single Deck Bedframe (36 x 75) 6 pcs. Double Deck Bedframe (36x36x75) 15 pcs Foam (2x36x75) 5 pcs. Folding Bed 4 pcs. Spin Mop 1 pcs. Single Electric Stove 1 pcs. Microwave Oven 1 pcs. 5.6kls Rice Cooker 8 pcs. 16" Stand Fan 10 pcs. UFO Lamp LED 20 </t>
  </si>
  <si>
    <t xml:space="preserve"> 30	meter Speaker Wire #16 (pure copper)	 1	pc.	 H-20 20" Horn Speaker with transformer	 1	pc.	 PA Power Amplifier	 		 450W to 500W Power Amplifier	 		 4 to 16 Ohms with 70V and 100V Line Output	 		 XLR Input and Output	 1	pc.	 Desktop Microphone with powe</t>
  </si>
  <si>
    <t xml:space="preserve"> NETWORK	Technology GSM / CDMA / HSPA / LTE / 5G 		 LAUNCH	Announced 2020, April 23 	Status Available. Released 2020, April 28 BODY	Dimensions 160.6 x 74.3 x 8 mm (6.32 x 2.93 x 0.31 in) 	Weight 180 g (6.35 oz) 	SIM Single SIM (Nano-SIM) or Dual SIM (Nano-</t>
  </si>
  <si>
    <t xml:space="preserve"> Republic of the Philippines Province of Leyte Municipality of Hindang Barangay Anahaw INVITATION TO BID FOR THE PURCHASE OF EQUIPMENT 1. The Barangay Anahaw of Hindang, Leyte , through Brgy. Counterpart, Provincial Aassitance and LGU Counterpart intends t</t>
  </si>
  <si>
    <t xml:space="preserve"> QUANTITY	UNIT	ARTICLES				 90	bag/s	Cement				 10	pc/s	Cutting Disc				 100	pc/s	Reinforcing Steel Bar 10mm				 10	cu.m/s	Gravel				 20	pc/s	Steel Matting				 35	pc/s	Good Lumber 2x2x10				 10	pc/s	Kiln Dried  Lumber 2x3x10				 10	pc/s	Kiln Dried  Lumber </t>
  </si>
  <si>
    <t xml:space="preserve"> Rehabilitation of Poblacion to Taporug Road</t>
  </si>
  <si>
    <t xml:space="preserve"> QUANTITY	UNIT	ARTICLES				 42	Licensed	Windows Pro 10, Single Upgrade OLP NL Academic (Digital Licensed)</t>
  </si>
  <si>
    <t xml:space="preserve"> Sound System Rental</t>
  </si>
  <si>
    <t xml:space="preserve"> LIWAD is in need of 2 units of Air Conditioning Unit for its Warehouse building. Specification are stated in the RFQ Form attached to this post.</t>
  </si>
  <si>
    <t xml:space="preserve"> Invitation to Bid for PR No. 20071413 – Supply and Delivery of Bacteriology Equipment for CNPH Microbiology Laboratory Use 	 1.	The Provincial Government of Camarines Norte, through the DBP Loanintends to apply the sum of Ten MillionPesos (P10,000,000.00)</t>
  </si>
  <si>
    <t xml:space="preserve"> QUANTITY	UNIT	ARTICLES				 20	pail/s	Plexibond				 25	bag/s	Cement				 12	piece/s	Steel Brush and Paint Brush #3				 3	meter/s	Sanding Paper #100				 80	bag/s	Tile Adhesive				 30	kilo/s	\Tile Grout, Light blue				 4	gallon/s	Muriatic Acid				 4	piece/s	S</t>
  </si>
  <si>
    <t xml:space="preserve"> QUANTITY	UNIT	ARTICLES				 16	pcs	ACU Outlet				 18	pcs	Floor Mounted Outlet  3 Gang				 80	pcs	Junction Box with Cover				 15	pcs	PVC Molding 3/4				 5	pcs	AMCO Box				 4	rolls	Flexible Hose 100m/rolls				 30	pcs	PVC Pipe 1/2				 30	pcs	Utility Box				 2</t>
  </si>
  <si>
    <t xml:space="preserve"> Republic of the Philippines Office of the Punong Barangay BIDS AND AWARDS COMMITTEE Barangay #06 Dilavo, Pasuquin, Ilocos Norte Invitation to Bid for Purchase of Disaster Equipment and Paraphernalia 1.	The BARANGAY DILAVO-PASUQUIN, through the AO NO. 04-2</t>
  </si>
  <si>
    <t xml:space="preserve"> 1.	The Southern Leyte State University Main Campus through its Internally Generated Fund intends to apply the sum of ONE MILLION SIX HUNDRED PESOS only (₱1,600,000.00) being the Approved Budget for the Contract (ABC) to payments under the contract of Acqu</t>
  </si>
  <si>
    <t xml:space="preserve"> Republic of the Philippines Province of Zamboanga del Sur MUNICIPALITY OF LAKE WOOD BIDS AND AWARDS COMMITTEE Invitation to Bid for Procurement of Meals and Snacks use for Araw ng Zamboanga del Sur    1.	The Local Government Unit of Lake Wood, Zamboanga d</t>
  </si>
  <si>
    <t xml:space="preserve"> Please quote your lowest price inclusive of tax to this Office on the items listed below and submit your quotation in a SIGNED AND SEALED envelope not later than SEPTEMBER 1, 2020 addressed to: RUFO S. SOTELO, JR. Head, BAC SECRETARIAT Department of Infor</t>
  </si>
  <si>
    <t xml:space="preserve"> 1	Lot	 Supply of labor and materials for the repair of one (1) unit Ultra Surgical Cusa Excel 9 SN: HGM1701504IE at Main Operating Room Replacement of 90 Degrees Tee, Hose Barb &amp; Siphon valve stainless steel.	 Php36,010.00 per lot</t>
  </si>
  <si>
    <t xml:space="preserve"> 2	pc	Thermal Scanner / Thermo Gun / Infrared Thermometer 		Big Screen (Backlight LCD digital display Fever Alarm 		 4	pc	Glucometer with test strips</t>
  </si>
  <si>
    <t xml:space="preserve"> QUANTITY	UNIT	ARTICLES				 3	Units	Laptop Computer				 		Model: Nitro 5				 		Processor: Core i5-9300H				 		Display: 15.6" FHD IPS				 		Memory: 4GB DDR4				 		Graphics: GTX 1660Ti 6GB GDRR5 VRAM				 		Storage: Hard Disk Drive, 1TB, 5400rpm, 256GB PCIE S</t>
  </si>
  <si>
    <t xml:space="preserve"> 10 pcs. Wall Fan 16" 15 pcs. Stand Fan 16" 18 pcs. Trash Can 4 pcs. Folding Bed 2 pcs. Plastic Table 6 seater 10 pcs. Plastic Chairs w/o Arms</t>
  </si>
  <si>
    <t xml:space="preserve"> Republic of the Philippines Province of Leyte Municipality of Hindang Barangay Anahaw INVITATION TO RE-BID FOR THE PROCUREMENT OF MATERIALS FOR CONSTRUCTION OF BRGY. ROAD PAVEMENT  1. The Barangay Anahaw of Hindang, Leyte , through Brgy. Counterpart, Prov</t>
  </si>
  <si>
    <t xml:space="preserve"> Printing and Delivery of Junior High School Modules for Quarter-1</t>
  </si>
  <si>
    <t xml:space="preserve"> 2500	packs	Give-away for Summer Day-Off 		  Content: 		Packaging: Small pouch bag, made from synthetic leather 		Alcohol, 120ml. 		Finger nails &amp; toe nails cutter with leather case 		Facial Tissue-25 swipes 		Soap-100grams 		Cologne-120ml.</t>
  </si>
  <si>
    <t xml:space="preserve"> Purchase of Office Devices for Different Offices  @ Samal, Bataan 8 pcs - Air Purifier</t>
  </si>
  <si>
    <t xml:space="preserve"> QUANTITY	UNIT	ARTICLES				 17	Kits	Virus RNA/DNA Extraction Kit				 		*****END*****</t>
  </si>
  <si>
    <t xml:space="preserve"> QUANTITY	UNIT	ARTICLES				 2400	students	Learning Management System(LMS)				 		Features				 		Administrators can create virtual copy of the school in minutes by creating				 		classrooms, mapping  teachers and students				 		teachers can create lessons fr</t>
  </si>
  <si>
    <t xml:space="preserve"> Invitation to Bid for PR No. 20081490 – Supply and Delivery of UPS 3 Phase 80KVA and Laryngoscope,  fiber opticfor CNPH Use 	 1.	The Provincial Government of Camarines Norte, through the DBP Loanintends to apply the sum of Three MillionOne Hundred Fifty-F</t>
  </si>
  <si>
    <t xml:space="preserve"> Construction of Multi-Purpose Hall Begy. Budget Amount: 200,000.00 Location: Barangay Malaruhatan, Lian, Batangas</t>
  </si>
  <si>
    <t xml:space="preserve"> Duplicator 2 Units Master Duplicator 10pcs  Duplicator Ink 15 pcs Printer (4n1) 5 pcs Printer Ink   20 pcs Photocopier Machine  1 unit Photocopier Ink 8 pcs LAptop 4 units</t>
  </si>
  <si>
    <t xml:space="preserve"> Invitation to Bid for PR No. 20071419 – Supply and Delivery of Electrosurgical Generator, heavy duty with vessel sealing technology and Mechanical Ventilator for CNPH Operating Room &amp; ICU Use 	 1.	The Provincial Government of Camarines Norte, through the </t>
  </si>
  <si>
    <t xml:space="preserve"> Invitation to Bid for PR No. 20071416 – Supply and Delivery of Pediatric Bed and 4 others for CNPH Use 	 1.	The Provincial Government of Camarines Norte, through the DBP Loanintends to apply the sum of Four Million One Hundred Ninety-One ThousandPesos (P4</t>
  </si>
  <si>
    <t xml:space="preserve"> STAINLESS WATER TANK FOR USE IN THE IMPROVEMENT OF TUTABANG ALTO ELEMENTARY SCHOOL WATER SYSTEM @ TUYABANG ALTO, OROQUIETA CITY.</t>
  </si>
  <si>
    <t xml:space="preserve"> 1 150 PCS ATROPINE SULFATE 250MCG/ML AMPULE  2 135 PCS ADRENALINE AMPULE  5 25 BOT ASCORBIC ACID + TAURINE + LYSINE SYRUP 60ML  6 36 BOT BUTAMIRATE CITRATE 7.5MG/5ML SYRUP 60ML  7 50 PCS CEFIXIME 400MG CAPSULE  8 400 PCS CLONIDINE 25MG TABLET  9 150 BOT C</t>
  </si>
  <si>
    <t xml:space="preserve"> QUANTITY	UNIT	ARTICLES				 5	Unit	Laptop Computer				 		Model: Nitro 5				 		Processor: Core i5-9300H				 		Display: 15.6" FHD IPS				 		Memory: 4GB DDR4				 		Graphics: GTX 1660Ti 6GB GDRR5 VRAM				 		Storage: Hard Disk Drive, 1TB, 5400rpm, 256GB PCIE So</t>
  </si>
  <si>
    <t xml:space="preserve"> 115 Reams   Bookpaper A4 1206 Reams  Bookpaper  Long</t>
  </si>
  <si>
    <t xml:space="preserve"> Invitation to Bid for PR No. 20071418 – Supply and Delivery of Anesthesia Machine, heavy duty  and 2 othersfor CNPH Use 	 1.	The Provincial Government of Camarines Norte, through the DBP Loanintends to apply the sum of Five MillionSeven Hundred Fifty Thou</t>
  </si>
  <si>
    <t xml:space="preserve"> Republic of the Philippines											 Province of Cebu											 											 BIDS and AWARDS COMMITTEE											 Cebu Capitol, Cebu City											 											 MODE OF PROCUREMENT :				NEGOTIATED 53.9							 							Control No.              	20-0340		Da</t>
  </si>
  <si>
    <t xml:space="preserve"> 1. 4 case Tomato sauce, 115ml, 48 pcs/case 2. 950 pcs Egg, large 3. 147 flat oil 4. 50 kgs Lean Meat pork 5. 75 kgs S-cut pork 6. 65 kgs Ground Pork 7. 14 kgs Atsal 8. 35 kgs Carrots 9. 35 kgs patatas 10. 45 pack pechay, small pack 11. 150 sachet ground p</t>
  </si>
  <si>
    <t xml:space="preserve"> 100	 btl	Alcohol 500 ml. 23	box	Face Mask (3 ply)</t>
  </si>
  <si>
    <t xml:space="preserve"> Republic of the Philippines Province of Davao de Oro Municipality of Monkayo -o0o- INVITATION TO BID FOR THE PROCUREMENT OF SUPPLIES FOR REPRODUCTION OF MODULE (HIGH SCHOOL AND ELEMENTARY)  The Municipality of Monkayo, through the SPECIAL EDUCATIONAL FUND</t>
  </si>
  <si>
    <t xml:space="preserve"> Please quote your lowest price inclusive of VAT on the item/s listed below, subject to the Terms and Conditions of this RFQ, and submit your quotation duly signed by your representative not later than August  28, 2020 at Bids and Awards Committee LGU-Capo</t>
  </si>
  <si>
    <t xml:space="preserve"> Description Please quote your price inclusive of VAT on the item/s listed below, subject to the Terms and conditions of the RFQ, and submit your quotation duly signed by your representative not later than September 01, 2020 at CGSO for Goods. Upon receipt</t>
  </si>
  <si>
    <t xml:space="preserve"> Description 1. Name of Project: Supply and Delivery of materials for the Water System Location: Yapu, Bugasong, Antique 2. The supplier/s must possess the experience and proven capability on the requirements of the particular contract. 3. Schedule of Acti</t>
  </si>
  <si>
    <t xml:space="preserve"> Shopping . . . .</t>
  </si>
  <si>
    <t xml:space="preserve"> Temporary Facilities 1.00 LS Mobilization/Demobilization 1.00 LS Amenities 1.00 LS Health &amp; Sanitary Facilities 1.00 LS Plumbing Works 1.00 LS Masonry Works 72.00 m² Fab. Materials and Hardware 1.00 LS Structural Steel (Trusses) 12,240.06 Kgs Fabricated M</t>
  </si>
  <si>
    <t xml:space="preserve"> PROCUREMENT OF MOOE OF LINGI-ON ES</t>
  </si>
  <si>
    <t xml:space="preserve"> Materials</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</si>
  <si>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</si>
  <si>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Purchase of Handpumps for Different Barangays @ Samal, Bataan 15 pcs - Hand Pump</t>
  </si>
  <si>
    <t xml:space="preserve"> i unit Camcorder</t>
  </si>
  <si>
    <t xml:space="preserve"> BGY. ALACALIAN PROJECT: CONCRETING OF ROAD ABC: Php221,425.00</t>
  </si>
  <si>
    <t xml:space="preserve"> 6 pcs. Lug tire 9.00x20</t>
  </si>
  <si>
    <t xml:space="preserve"> Nema 3R	71	set Elabow 1/2	306	pcs Entrance Cap 1/2	144	pcs Adaptor b1/2	158	pcs THNN #10	5	box G.I Clamp 1/2	200	pcs PVC Pipe 1/2	58	pcs Concrete Nail 1/2	2.5	kg THNN #12	3	box  Cable Tie	1	packs THNN #12	20	mtrs Electrical Tape	10	pcs</t>
  </si>
  <si>
    <t xml:space="preserve"> I. Roofing Works  QTY : 151.20 sq.m. II. Carpentry Works QTY. 1.o Lot</t>
  </si>
  <si>
    <t xml:space="preserve"> QUANTITY	UNIT	ARTICLES				 7	Kits	Real-Time PCR Kit/Detection Kit, Path-NCOV-(CE-IVD Kit)				 		with Mastermix (96 Tests Per Kit)				 		***END***</t>
  </si>
  <si>
    <t xml:space="preserve"> for quarry extraction fee of mountain mixed gravel for road surfacing of BAcay ROads</t>
  </si>
  <si>
    <t xml:space="preserve"> INVITATION TO BID                                                                    ITB NO. 20-16 	The Lung Center of the Philippines (LCP), through its Bids and Awards Committee (BAC), invites eligible bidders to bid for the : “PROCUREMENT OF VARIOUS ME</t>
  </si>
  <si>
    <t xml:space="preserve"> 1 lot Disposal of  Unserviceable Furniture, Dismantled Corrugated Sheets and Other Waste Materials</t>
  </si>
  <si>
    <t xml:space="preserve"> Please see attached Invitation to Bid and Technical Specification</t>
  </si>
  <si>
    <t xml:space="preserve"> Procurement of Foodstuff Php 171,295.00</t>
  </si>
  <si>
    <t xml:space="preserve"> Purchased Of School and Office Supplies for the month of April,May and June</t>
  </si>
  <si>
    <t xml:space="preserve"> Laptop, External and Printer</t>
  </si>
  <si>
    <t xml:space="preserve"> REPUBLIC OF THE PHILIPPINES PROVINCE OF LA UNION MUNICIPALITY OF CABA BIDS AND AWARDS COMMITTEE INVITATION TO BID FOR THE PURCHASE OF MOBILE PHONES/OFFICE SUPPLIES   	   The Local Government Unit of Caba, La Union, through the Capital Outlay/MOOE    inten</t>
  </si>
  <si>
    <t xml:space="preserve"> Mun. Government of Alcantara, Romblon 				                     2020-036 Repair and Maintenance-Transportation Equipment Office of the MDRRM     Alcantara, Rombon Standard Form Number: SF-GOOD-60 Revised on: May 24, 2004 Standard Form Title: Request for Qu</t>
  </si>
  <si>
    <t xml:space="preserve"> Republic of the Philippines Province of Zamboanga del Sur MUNICIPALITY OF LAKE WOOD BIDS AND AWARDS COMMITTEE Invitation to Bid for Procurement of Contract Package use for Araw ng Zamboanga del Sur    1.	The Local Government Unit of Lake Wood, Zamboanga d</t>
  </si>
  <si>
    <t xml:space="preserve"> The Municipality of Malangas, through the Bids and Award Committee (BAC), invites suppliers/manufactures/distributors/contractors to bid for the hereunder contract: Name of Project	: RENOVATION/RETROFITTING OF PUBLIC MARKET BUILDING- DESIGN AND BUILD Proj</t>
  </si>
  <si>
    <t xml:space="preserve"> Please see attached PR for specification</t>
  </si>
  <si>
    <t xml:space="preserve"> Republic of the Philippines					 MUNICIPALITY OF MARIHATAG					 SURIGAO DEL SUR					 	oOo-				 Bids and Awards Committee					 					 REQUEST FOR QUOTATION					 					 		       Date: August 24, 2020			 		       Quotation No.543-2020			 ______________________</t>
  </si>
  <si>
    <t xml:space="preserve"> Small Value Procurement . . .</t>
  </si>
  <si>
    <t xml:space="preserve"> QUANTITY	UNIT	ARTICLES				 13	Unit	Laptop Computer				 		Model: Nitro 5				 		Processor: Core i5-9300H				 		Display: 15.6" FHD IPS				 		Memory: 4GB DDR4				 		Graphics: GTX 1660Ti 6GB GDRR5 VRAM				 		Storage: Hard Disk Drive, 1TB, 5400rpm, 256GB PCIE S</t>
  </si>
  <si>
    <t xml:space="preserve"> Purchase and delivery of Printed forms for business permit application and printed forms for RCD to be used in the Municipal of the Treasurer, Concepcion, Tarlac Approved Budget for the Contract : P 50,300.00 Source of Fund : MOOE 2020 - Mun. Treasurer's </t>
  </si>
  <si>
    <t xml:space="preserve"> PART B OTHER GENERAL REQUIREMENTS B.5 PROJECT BILLBOARD/SIGNBOARD 1 LOT PART A EARTHWORK 803(1)A&amp;B STRUCTURE EXCAVATION 94.50 CU.M PART B PLAIN AND REINFORCED CONCRETE WORKS 900(1) STRUCTURAL CONCRETE 21.80 CU.M PART C FINISHING 1046(2)A CHB NON LOAD BEAR</t>
  </si>
  <si>
    <t xml:space="preserve"> August 24, 2020 REQUEST FOR QUOTATION (RFQ) HEPARIN (UNFRACTIONATED BOVIRINE ORIGIN) (AS SODIUM SALT) 1000IU/ML 5ML (IV INFUSION, SC) 1.	The Batangas Medical Center hereinafter referred to as the “Purchaser” now request for submission of price proposal fo</t>
  </si>
  <si>
    <t xml:space="preserve"> Republic of the Philippines BATANGAS STATE UNIVERSITY Batangas City REQUEST FOR QUOTATION "Procurement of Ink and Toners for various offices of the University"  1. The Batangas State University (BatState U) through the Bids and Awards Committee invites in</t>
  </si>
  <si>
    <t xml:space="preserve"> Item No.	Description	Qty.	Unit 1	Portable Heavy Duty Suction Machine with Accessories 	2	Unit 	Purpose of Use Clinical or other purpose: Drive medical suction machine is a lightweight, suction pump used to remove secretions from the mouth and throat. This</t>
  </si>
  <si>
    <t xml:space="preserve"> Supply, Delivery, and Installation of Typhoon-Resilient Vertical Indoor Farming System at Bazal Campus Stock No.	1 Lot/ Set CONTAINER VAN FOR HYDROPONICS WITH GLASS-MADE ROOF	Quantity	Estimated Price	Price	 1	40 ft Container Van (repainted and insulated) </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</si>
  <si>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</si>
  <si>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Republic of the Philippines Province of Bohol MUNICIPALITY OF GETAFE BIDS AND AWARDS COMMITTEE ________________________________________ INVITATION TO BID FOR PURCHASE OF COMPUTER PRINTER FOR GETAFE DISTRICT SCHOOLS 	The  Municipality of Getafe,  Bohol thr</t>
  </si>
  <si>
    <t xml:space="preserve"> SCOPE OF WORK:\ EARTHWORKS- 55.00 CU.M PCCP- 33.00N CU.M</t>
  </si>
  <si>
    <t xml:space="preserve"> IQ 2000 WSSV Detection &amp; Prevention System Test Kit including DNA Extraction Kit; 200rxns/set			1	Kit	 120,000.00  	IQ 2000 APHND/EMS Toxin 1 Test Kit Detection &amp; Prevention System including DNA Extraction Kit; 200rxns/box			1	Kit	 120,000.00  	x-x-x-x-x-</t>
  </si>
  <si>
    <t xml:space="preserve"> 1 unit 2.5HP window type aircon 2 units 2.0HP window type aircon</t>
  </si>
  <si>
    <t xml:space="preserve"> Republic of the Philippines PROVINCE OF NORTHERN SAMAR BIDS AND AWARDS COMMITTEE Catarman Invitation to Bid NS-08-25-20-01-R4 Construction of River Landing Brgy. Matelarag, Las Navas Northern Samar 1.	The Provincial Government of Northern Samar, through S</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</si>
  <si>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</si>
  <si>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Fuel for CENRO Laoag RP vehicles and generator set for the period covering September 1, 2020 to December 30, 2020</t>
  </si>
  <si>
    <t xml:space="preserve"> delivery of solar lights</t>
  </si>
  <si>
    <t xml:space="preserve"> QUANTITY	UNIT	ARTICLES				 12	Unit	Laptop Computer				 		Model: Nitro 5				 		Processor: Core i5-9300H				 		Display: 15.6" FHD IPS				 		Memory: 4GB DDR4				 		Graphics: GTX 1660Ti 6GB GDRR5 VRAM				 		Storage: Hard Disk Drive, 1TB, 5400rpm, 256GB PCIE S</t>
  </si>
  <si>
    <t xml:space="preserve"> August 24, 2020 REQUEST FOR QUOTATION (RFQ) SUCTION MACHINE, PORTABLE 1.	The Batangas Medical Center hereinafter referred to as the “Purchaser” now request for submission of price proposal for the procurement of the aforesaid item described in the Technic</t>
  </si>
  <si>
    <t xml:space="preserve"> PURCHASE OF DIESEL, OIL &amp; FUEL FOR ROAD IMPROVEMENT OF BRGY. CARMELO (SITIO BANTUD), BANATE, ILOILO</t>
  </si>
  <si>
    <t xml:space="preserve"> 14K Gold - 10 pcs</t>
  </si>
  <si>
    <t xml:space="preserve"> Purchased of Office and School Supplies for April,May and June</t>
  </si>
  <si>
    <t xml:space="preserve"> Purchase and delivery of Garbage Bags used in the Municipal General Services Office, Concepcion, Tarlac Approved budget for the Contract : P 91,250.00 Source of Fund :MOOE 2020 -  Mun. General Services Office Deadline for submission, receipt and opening o</t>
  </si>
  <si>
    <t xml:space="preserve"> 3300 pcs. Printing of Certification of Employer's Registration                 For Ormoc Branch - 1,600 pcs.                 For Dumaguete Branch - 400 pcs.                 For Tagbilaran Branch - 1,300 pcs.   x-x-x-x-x-x-xnothingfollowsx-x-x-x-x-x-x-x-x-</t>
  </si>
  <si>
    <t xml:space="preserve"> Please see attached RFQ.</t>
  </si>
  <si>
    <t xml:space="preserve"> Motorcycle 120-155 cc Engine-Single Cylinder, liquid Cooled 4-stroke SOHC 4 Valves No. of Cylinder- 1 Maximum Power-15 PS @8000 rpm Maximum Torque- 14.4 NM @ 6000 rpm *compact &amp; sporty, ABS as Standard w/ 230mmm front &amp; rear discs, spacious interior w/ pl</t>
  </si>
  <si>
    <t xml:space="preserve"> Furnishing/ delivering of medicines ***** Nothing follows *****</t>
  </si>
  <si>
    <t xml:space="preserve"> For Awuyon Community Municipal Hospital use.</t>
  </si>
  <si>
    <t xml:space="preserve"> 2 units 1HP Split type Air Conditioning Unit</t>
  </si>
  <si>
    <t xml:space="preserve"> QUANTITY	UNIT	ARTICLES				 10	Unit	Laptop Computer				 		Model: Nitro 5				 		Processor: Core i5-9300H				 		Display: 15.6" FHD IPS				 		Memory: 4GB DDR4				 		Graphics: GTX 1660Ti 6GB GDRR5 VRAM				 		Storage: Hard Disk Drive, 1TB, 5400rpm, 256GB PCIE S</t>
  </si>
  <si>
    <t xml:space="preserve"> 1. Tubeless Tire log ( 215/75R 17.5 ) - pcs. 6 2. Oil Filter ( P550520 )- pcs. - 2 3. Wiper Blade ( 24 inch ) - pcs. - 2</t>
  </si>
  <si>
    <t xml:space="preserve"> This project entails labor and materials for the construction of 1.0m x 1m x 81m concrete pathway of Brgy. Hubo, Magallanes, Sorsogon.</t>
  </si>
  <si>
    <t xml:space="preserve"> For Municipal Engineering Office use.</t>
  </si>
  <si>
    <t xml:space="preserve"> Various medicine supplies</t>
  </si>
  <si>
    <t xml:space="preserve"> CONSTRUCTION OF TWO (2) STOREY OFFICE AND  WATCH TOWER Capitol Compound, Alabel, Sarangani Province (Contract No. INFRA 2020-62) August 25, 2020 1.	The Provincial Government of Sarangani, through AIP 2020/AB 2020 intends to apply the sum of Three Million </t>
  </si>
  <si>
    <t xml:space="preserve"> Consumables for Preventive Maintenance for UltraPure Water System MilliQ Direct 16			1	Pack	 94,000.00  	INCLUSIONS:					 	1. Polishing Cartridge (Item Code: QPAKK00TEX)					 	2. PE Tank Millipak Filter (Item Code: TANKMPK02					 	3. Progard T3 Cartridge </t>
  </si>
  <si>
    <t xml:space="preserve"> For the Repair/Rehab of IPMR Office, Baganga, Davao Oriental</t>
  </si>
  <si>
    <t xml:space="preserve"> To our Suppliers, Request for Quotation forms are available at BAC Secretariat.</t>
  </si>
  <si>
    <t xml:space="preserve"> Office Equipment</t>
  </si>
  <si>
    <t xml:space="preserve"> 120 bags Cement and 28 Others L/I</t>
  </si>
  <si>
    <t xml:space="preserve"> LGU - Padre Burgos, Southern Leyte INVITATION TO BID FOR  Procurement of Soil Cover for Waste Management Padre Burgos, Southern Leyte 1.	The LGU Padre Burgos, Southern Leyte through the 20% EDF, CY 2020  intends to apply the sum of Three Hundred Thousand </t>
  </si>
  <si>
    <t xml:space="preserve"> PR# 20-08-801					 					 STOCK/ PROPERTY NO.	UNIT	ITEM DESCRIPTION	QTY.	UNIT COST	TOTAL COST 					 1	roll	Acetate, transparent, thickness (min): 0.08mm, width (min): 1.20m, length (min): 50m/roll, shall be wound on a core of hard kraft paper board	30	1,01</t>
  </si>
  <si>
    <t xml:space="preserve"> QUANTITY	UNIT	ARTICLES				 50	ream	Accounting Form Daily time Record 500's				 50	pc	Archfile folder 3"				 3	box	Ballpen Black 12's				 2	box	Ballpen Blue 12's				 2	box	Ballpen RED 12's				 10	pack	Battery AA				 10	pack	Battery AAA				 50	pc	Binder Cli</t>
  </si>
  <si>
    <t xml:space="preserve"> CONSTRUCTION OF FOOTBRIDGE AT LAMLUNAY RESEARCH AND LEARNING CENTER Upo, Maitum, Sarangani Province (Contract No. INFRA 2020-61) August 25, 2020 1.	The Provincial Government of Sarangani, through AIP 2020/AB 2020 intends to apply the sum of Two Million Pe</t>
  </si>
  <si>
    <t xml:space="preserve"> 13 units Memory: 8gB RAM + 128 ROM Camera: 48 MP with handheld super night mode Battery: 4200mAh OS: Android 10 4units Memory: 3gB RAM + 32 ROM Camera: 13MP Battery: 4000 mAh OS: Android 9</t>
  </si>
  <si>
    <t xml:space="preserve"> QUANTITY	UNIT	ARTICLES				 5	pcs	Air Frshener Spray Lemon Scent 320 ml				 5	pcs	Air Freshener spray orange scent  320ml				 5	pcs	Air freshener spray lavande scent 320ml				 20	bttls	Alcohol  isoprophyl 70% 1 gallon				 30	bttls	All purpose Cleaner  Liqu</t>
  </si>
  <si>
    <t xml:space="preserve"> EFFERVESCENT DISINFECTANT TABLET (PRESEPT) For the use of Nursing Unit/Centralization.  REQUESTED BY: C, NS Fax your Price Quotation at Telefax 927-6426 local 2561 Please indicate the brand name, complete specifications.</t>
  </si>
  <si>
    <t xml:space="preserve"> Office Supplies of Barangay Cotta, Lucena City</t>
  </si>
  <si>
    <t xml:space="preserve"> UNIT                     QUANTITY              DESCRIPTION PACK                          5                       FOLDER A4 PACK                          5                       FOLDER LEGAL JAR                            20                      GLUE PIECE</t>
  </si>
  <si>
    <t xml:space="preserve"> purchased and delivery of tire</t>
  </si>
  <si>
    <t xml:space="preserve"> SUPPLIES FOR REPRODUCTION OF LEARNING MATERIALS A4 BOND PAPER 553 REAMS @ PHP 175.00 ABC: 96,775.00</t>
  </si>
  <si>
    <t xml:space="preserve"> Construction Materials &amp; Supplies-Gravel Mixed,Cement,Screened GRavel,Screened Sand</t>
  </si>
  <si>
    <t xml:space="preserve"> FOOD AND MICRONUTRIENT SUPPLEMENTATION OF NUTRITIONALLY AT RISK 0-59 MONTHS OLD CHILDREN OF THE MUNICIPALITY OF SUDIPEN, LA UNION</t>
  </si>
  <si>
    <t xml:space="preserve"> CONSTRUCTION OF DAY CARE CENTER, SITIO TANGIS,  DATAL ANGGAS, ALABEL Alabel, Sarangani Province (Contract No. INFRA 2020-63) August 25, 2020 1.	The Provincial Government of Sarangani, through SB#1, CY 2019 intends to apply the sum of Eight Hundred Eightee</t>
  </si>
  <si>
    <t xml:space="preserve"> various Office Supplies</t>
  </si>
  <si>
    <t xml:space="preserve"> Purchase of Barangay Officials Uniform</t>
  </si>
  <si>
    <t xml:space="preserve"> BGY. ALACALIAN PROJECT: CONCRETING OF ROAD ABC: Php 135,600.00</t>
  </si>
  <si>
    <t xml:space="preserve"> Unit	             Description	                          Quantity  reams	     Bondpaper-a4 Subs 20	               508  bottles          EPSON Printer ink- (black)	         12  bottles	     EPSON Printer ink- (magenta)	 12  bottles	     EPSON Printer ink-  </t>
  </si>
  <si>
    <t xml:space="preserve"> 20-10990</t>
  </si>
  <si>
    <t xml:space="preserve"> Office Equipment- Purchase of One (1) unit of Photocopier machine	1	Unit Specifications: copy, print, Scan and send (fax, email) colored &amp; black/white paper copies paper capacities (feeder options): 550 sheets (80gsm) paper sizes A4, 85, A5, A5R, Legal si</t>
  </si>
  <si>
    <t xml:space="preserve"> Supply and Delivery of Gloves, Nitrile Examination, large, disposable, powder free, ambidextrous, Powder Free, non sterile Gloves, Nitrile Examination, large, disposable, powder free, ambidextrous, Powder Free, non sterile, 100pcs/box	box	450	200	90,000.0</t>
  </si>
  <si>
    <t xml:space="preserve"> Purchase and delivery of Agricultural Supplies to be used in the Municipal Agriculture Office, Concepcion, Tarlac Approved budget for the Contract : P 60,700.00 Source of Fund : MOOE 2020 -  Mun. Agriculture Office Deadline for submission, receipt and ope</t>
  </si>
  <si>
    <t xml:space="preserve"> Procurement of One (1) unit Motorcycle 125cc</t>
  </si>
  <si>
    <t xml:space="preserve"> Rehabilitation of Road From Sitio Tambinasan to Sitio Magtunod to Sitio Danao, Brgy. Mikit, Baganga, Davao Oriental</t>
  </si>
  <si>
    <t xml:space="preserve"> Additional Information Information Education  Campaign Materials to be Used in 2020 Census of  Population and Housing (CPH) Foldable Umbrella with 2020 CPH Logo    - manual, 3 folds, color navy blue Thermos Bottle with 2020 CPH Logo   - for hot and cold d</t>
  </si>
  <si>
    <t xml:space="preserve"> Gooseneck microphone -black TR307 Printer T310</t>
  </si>
  <si>
    <t xml:space="preserve"> UNIT	                DESCRIPTION		                               QUANTITY 	CONCRETING &amp; MASONRY WORKS		 cu.m	        Cement		                                                 619 cu.m	        Sand 		                                                 48 cu.m	</t>
  </si>
  <si>
    <t xml:space="preserve"> Republic of the Philippines Province of Davao de Oro MUNICIPALITY OF MONTEVISTA BARANGAY MAYAON BIDS AND AWARDS COMMITTEE 		 Reference No:  BM-2020-001 INVITATION TO BID FOR PROCUREMENT OF PORTLAND CEMENT 1. 	The Barangay Mayaon of  Montevista, through it</t>
  </si>
  <si>
    <t xml:space="preserve"> Vehicle Rental RFO XII Approved Budget for the Contract = Php100,000.00 Vehicle Rental RFO XII Please see attached document file for the Item Description / Specification, Unit and Required Quantities. Please see attached document file for the Item Descrip</t>
  </si>
  <si>
    <t xml:space="preserve"> ITB No. 2020-86 August 25, 2020 Republic of the Philippines Province of Davao Oriental CITY OF MATI INVITATION TO BID CONSTRUCTION OF DRAINAGE SYSTEM AT NHA, BRGY. DAHICAN Name of Project 1.	The City Government of Mati, through the 20% Local Development F</t>
  </si>
  <si>
    <t xml:space="preserve"> NOTICE OF NEGOTIATED PROCUREMENT (Small Value Procurement) Project:	Purchase of 1,000 vials Dobutamine 50mg/ml, 5ml 		(PR#2020-06-5986) Location: 	Pangasinan Provincial Hospital 	        San Carlos City, Pangasinan Approved Budget for 	 the Contract (ABC)</t>
  </si>
  <si>
    <t xml:space="preserve"> Oven Duo Ruler Kitchen aid mixer Plantsa GAsul</t>
  </si>
  <si>
    <t xml:space="preserve"> Angle Bar (2"x2"x1/4" thk.) 30 pcs Flat Bar (2"x3/8" thk.) 10 pcs Welding Rod 75 kls Cut-off Wheel 14" 35 pcs Grinding Disk 4" 15 pcs Scaffolding 37 set Pre-Painted Roofing sheets 20 m² Blind Rivets 4 box Tekscrew 750 pcs Vulcaseal 2 lts Embankment (25% S</t>
  </si>
  <si>
    <t xml:space="preserve"> 1800 pcs ECCD Leaflets cover: soft/colored and gloss lamination  11.2x8 inches with 32 pages interior paper weight: 70 text interior paper coating: uncoated</t>
  </si>
  <si>
    <t xml:space="preserve"> Rehabilitation of Slaughterhouse Roofing</t>
  </si>
  <si>
    <t xml:space="preserve"> REQUEST FOR QUOTATION										 										 RFQ No.		SVP 20-0598			Date				20-May-20	 PR Reference		100-20-05-0105			Implementing Office				CMO	 Closing Date and Time										 Designated Places of Submission (Bid Box Designated Locations)					1. BAC Ofice</t>
  </si>
  <si>
    <t xml:space="preserve"> Procurement of 1-unit brand new kawasaki barako motorcyle for rescue and patrolling purposes.</t>
  </si>
  <si>
    <t xml:space="preserve"> Please see attached PR for specificaions</t>
  </si>
  <si>
    <t xml:space="preserve"> Purchase of Safety Equipment for Utility Personnel at the Municipality  @ Samal, Bataan 40 pcs - Raincoat</t>
  </si>
  <si>
    <t xml:space="preserve"> 20-10994</t>
  </si>
  <si>
    <t xml:space="preserve"> 1. Name of Project: PROCUREMENT FOR DISINFECTION OF SCHOOL BUILDING AND FACILITY 2. ABC: Php 247,000.00 3. Source of Funds: FY 2020 DRRM/CCA/EIE Funds 4. Delivery Period: 10 CD after receipt of P.O. 5. Requirements: (updated)  a. Mayor's/Business Permit b</t>
  </si>
  <si>
    <t xml:space="preserve"> Please see attached RFQ. Quotations higher than the ABC will be disqualified. Free delivery of the units. Warranty of 1year on parts and services. Kindly submit technical and financial documents together with your quotations to: Ms. Joyce Ann Lawas Admini</t>
  </si>
  <si>
    <t xml:space="preserve"> Item No.	Unit	DESCRIPTION				Qty 						 1	Pcs.	Bondpaper Long (Subs 24 80 gsm)				15 2	Pcs.	Bondpaper Short (Subs 24 80 gsm)				10</t>
  </si>
  <si>
    <t xml:space="preserve"> Materials for the Improvement of Municipal Gymnisium Perimeter Area.</t>
  </si>
  <si>
    <t xml:space="preserve"> PURCHASE AND DELIVERY OF MATERIALS FOR THE IMPROVEMENT OF MUNICIPAL CEMETERY (LIGHTINGS AND PATHWAYS), BRGY. TANGHAWAN DINGLE, ILOILO</t>
  </si>
  <si>
    <t xml:space="preserve"> The Barangay Malummin, Tuao Cagayan through its 20% Barangay Dev't Fund intends to apply the sum of Php 199,563.42 being the Approved Budget for the Contract (ABC) to payments under the contract for Installation of Street Lights (SOLAR). Bids received in </t>
  </si>
  <si>
    <t xml:space="preserve"> Rehabilitation of Road From Sitio Dawis, Brgy. Central to Sitio Mercedes, Brgy. Mahan-ub, Baganga, Davao Oriental</t>
  </si>
  <si>
    <t xml:space="preserve"> Please the attached document.</t>
  </si>
  <si>
    <t xml:space="preserve"> 29.39m X 4m X .20m, 20.40m X 2.85m X .20m, 28.20m X 5m X .20m, PCCP and 11.00lm Perimeter Fence</t>
  </si>
  <si>
    <t xml:space="preserve"> SCOPE OF WORK: CLEARING AND GRUBBING -160.00 SQ.M EARTHWORKS- 10.00 CU.M PORTLAND CEMENT CO.C PAVEMENT- 80.00 SQ.M</t>
  </si>
  <si>
    <t xml:space="preserve"> Please download RFQ.</t>
  </si>
  <si>
    <t xml:space="preserve"> Item No.	Unit	DESCRIPTION				Qty 						 1	Units	Office Table				3 2	Units	Ceiling Fan ''16				2 3	Units	Steel Filing Cabinet				2</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</si>
  <si>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</si>
  <si>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Thisproject entails labor and materials for the rehabilitation of Brgy. Water System of Brgy. Pili, Magallanes, Sorsogon funded of BDF 2020.</t>
  </si>
  <si>
    <t xml:space="preserve"> Official ceetificate for the entry in the union for placing on the market of fishery products					 German			40	pads	26,000.00 French			10	pads	29,000.00 Italian			10	pads	29,000.00 Spanish			10	pads	29,000.00 Dutch			10	pads	29,000.00 Portugues			10	pads	</t>
  </si>
  <si>
    <t xml:space="preserve"> 2 sets Banduria with case 1 set Octavina with hard case 1 set Laud with hard case</t>
  </si>
  <si>
    <t xml:space="preserve"> Republic of the Philippines Province of Cotabato Municipality of Arakan Barangay Malibatuan BIDS AND AWARDS COMMITTEE INVITATION TO BID FOR  Ri Bid for Purchase of Rescue Vehicle    1.	The Barangay Government Unit of Malibatuan, through the TRUST      FUN</t>
  </si>
  <si>
    <t xml:space="preserve"> Republic of the Philippines						 	Province of Nueva Ecija						 	CITY OF GAPAN						 	Km.92, Maharlika Highway, Bayanihan, Gapan City						 	 - - - - o0o - - - - 						 	BIDS AND AWARDS COMMITTEE						 							 	REQUEST FOR QUOTATION						 							 	The Ci</t>
  </si>
  <si>
    <t xml:space="preserve"> PAPERS-REPRODUCTION OF MODULKES 1,900	reams		Paper, Multi-Purpose , Legal 70 gsm    100	reams		Paper, Multicopy, A4 80gsm</t>
  </si>
  <si>
    <t xml:space="preserve"> Request for Quotation Date : August 24, 2020 Quotation No. : 004- 2020 Mode of Procurement : Small Value Procurement To all Eligible Suppliers: I. Please quote your lowest price inclusive of VAT on the item/s listed below, subject to the Terms and Conditi</t>
  </si>
  <si>
    <t xml:space="preserve"> UNIT	                DESCRIPTION		                                  QUANTITY 105	Subgrade Preparation		 	A = 500m x 4m		 	Qty.= 2600 sq.m		 I- Equipment Rental:			 	1 Road Grader  for 9 hours		 	1 Road Roller   for 9 hours		 			 II- Labor:			 	1 Foreman  </t>
  </si>
  <si>
    <t xml:space="preserve"> Rehabilitation of Road From Proper Brgy. Batiano to Sitio Guicob, Baganga, Davao Oriental</t>
  </si>
  <si>
    <t xml:space="preserve"> Grasscutters 4 Stoke with disk</t>
  </si>
  <si>
    <t xml:space="preserve"> Supply and Delivery of T-shirts for residents of HFWG 180	pcs	Round Neck T-Shirt for Ladies Red (XS-40pcs, S-40pcs, M-40pcs, L-40pcs &amp; XL-20pcs) 180	pcs	Round Neck T-Shirt for Ladies Pink (XS-40pcs, S-40pcs, M-40pcs, L-40pcs &amp; XL-20pcs) 180	pcs	Round Neck</t>
  </si>
  <si>
    <t xml:space="preserve"> 7	Pcs	Retirement Ring (18k-Gold-10 grams) 		 		 		 		Requirements: 		1. Mayor’s/Business Permit 		2. PhilGEPS Registration Number 		3.  Income/Business Tax return 		4.  Omnibus Sworn Statement</t>
  </si>
  <si>
    <t xml:space="preserve"> Request for Quotation RFQ No.		SVP-054-2020 MR. No.		10829 Requisition No.	CN-20-21 Posting Date:         	August 25, 2020 Deadline for Submission:		August 28, 2020 at 9:00 AM Opening Date:	August 28, 2020 at 10:00 AM TO:	Name of Supplier:________________</t>
  </si>
  <si>
    <t xml:space="preserve"> Supply and Delivery of Vehicle Lubricants  ,Filter and Accessories</t>
  </si>
  <si>
    <t xml:space="preserve"> Supply &amp; Delivery of Office Supplies for 07D Projects H25A-2020 Kindly see attached file. Thank you!</t>
  </si>
  <si>
    <t xml:space="preserve"> Repair/Rehab. of Bobonao CDC at Bobonao, Baganga, Davao Oriental</t>
  </si>
  <si>
    <t xml:space="preserve"> Republic of the Philippines Province of Cotabato Municipality of Arakan Barangay Malibatuan BIDS AND AWARDS COMMITTEE INVITATION TO BID FOR  Ri Bid for Construction of Multi-Purpose Bldg.    1.	The Barangay Government Unit of Malibatuan, through the TRUST</t>
  </si>
  <si>
    <t xml:space="preserve"> LO FILTER (MAIN) (PMS) &amp; 9 OTHER L/I</t>
  </si>
  <si>
    <t xml:space="preserve"> The AGRICULTURAL TRAINING INSTITUTE-REGIONAL TRAINING CENTER (ATI-RTC) X, through the 2020 General Appropriations Act intends to apply the sum of Twenty Thousand Two Hundred Fifty Pesos (P 20,250.00) being the Approved Budget for the Contract (ABC) to pay</t>
  </si>
  <si>
    <t xml:space="preserve"> ITEM NO.	ITEM &amp; DESCRIPTION	 BRAND	UOM	QTY. 1	Tires for T King Mini dump 750 R 16		Pcs	8</t>
  </si>
  <si>
    <t xml:space="preserve"> 1. Tubeless Tire ( 185 R14C  ) - pcs. - 10  2. Oil Filter ( DC 306 ) - pcs. - 4 3. Wiper Blade ( 15 inch - pcs. -6</t>
  </si>
  <si>
    <t xml:space="preserve"> Specifications:  Maximum weight capacity: 100kg 320mm Chromed steel 5 prong starbase and nylon casters Features Tilt-lock function Pneumatic height adjustment 360 degrees swivel function Ergonomic and dynamic which will provide comfort and durability Thic</t>
  </si>
  <si>
    <t xml:space="preserve"> The Barangay San Juan, Tuao Cagayan through its MUNICIPAL AID Fund intends to apply the sum of Php 100,000.00 being the Approved Budget for the Contract (ABC) to payments under the contract for Purchased of Motorcycle with Sidecar (Kulung-Kulung). Bids re</t>
  </si>
  <si>
    <t xml:space="preserve"> Office use for Official Transactions</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</si>
  <si>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</si>
  <si>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SEE IN THE ATTACHED RFQ.</t>
  </si>
  <si>
    <t xml:space="preserve"> 1 pc cadaver bag 10 pcs flash light 10 pairs rain boots 10 pcs raincoat 1 unit tent</t>
  </si>
  <si>
    <t xml:space="preserve"> Republic of the Philippines PROVINCE OF ZAMBOANGA SIBUGAY Municipality of Buug Barangay Guitom BIDS AND AWARDS COMMITTEE Invitation to Bid for Rehabilitation of  Barangay Road(Guitom) 1.	The Baarangay Guitom of Buug, through the 20% Development Fund of 20</t>
  </si>
  <si>
    <t xml:space="preserve"> Projector Resolution: 1280 x 800 pixels Max. Brightness 3000ANSI Aspect Ratio 16:10 Features: Full HD and 3D support Connectivity 1 HDMI 2 USB VGA LAN WIFI w/ projector screen</t>
  </si>
  <si>
    <t xml:space="preserve"> Coastal Protection at Sunrise Boulevard, Sitio Tuajon, Barangay Dapnan, Baganga, Davao Oriental</t>
  </si>
  <si>
    <t xml:space="preserve"> Desktop Computer i7, 8700 3.2Ghz, 12MB Processor 16GB RAM, 22 inch Screen w/ Keyboard, mouse &amp; UPS Printer 16hz-1.5Ghz up to 600 x 300 dpi up to 8ppm</t>
  </si>
  <si>
    <t xml:space="preserve"> Item No.	Unit	DESCRIPTION				Qty 						 1	Unit	Laptop PC				1 		Intel Core i5-10300H				 		15.6'' HD IPS Display				 		8GB DDR4 Memory				 		1TB HDD + 256GB SSD				 		4GB NVIDIA GTX1650ti</t>
  </si>
  <si>
    <t xml:space="preserve"> Installation of Street light from crossing Victoria to Purisima Road section with center island  Contract duration: 150 days Contract Amount: 3.8 million Specific details will be given upon payment of the bidding documents</t>
  </si>
  <si>
    <t xml:space="preserve"> Improvement of Child Development Center Lot 1- Supplies &amp; Materials					         ABC 			   P 58,625.00 Description					                        Quantity			   Unit Floor tiles (0.60mx 0.60m)					        200				   140 pcs. Adhesive Cement						        260			</t>
  </si>
  <si>
    <t xml:space="preserve"> FACE MASK N95 ANTI-VIRUS &amp; 7 OTHER L/I</t>
  </si>
  <si>
    <t xml:space="preserve"> The LOCAL BARANGAY GOVERNMENT UNIT of Barangay Aggay, intends to apply the sum above-stated being the Approved Budget for the Contract (ABC) to payments under the contract for CONSTRUCTION OF DRAINAGE CANAL, specified hereunder: MATERIALS COST:     44,995</t>
  </si>
  <si>
    <t xml:space="preserve"> The Barangay San Juan, Tuao Cagayan through its 20% Barangay Dev't Fund intends to apply the sum of             Php 77,521.50  being the Approved Budget for the Contract (ABC) to payments under the contract for  Installation of Water Tank with Line &amp; Elec</t>
  </si>
  <si>
    <t xml:space="preserve"> May we invite your company to quote for the lowest price/s VAT included on the item/s listed hereunder. PRINTING OF  150 COPIES OF THE  SUPPLEMENTAL READING OF THE TOURISM GUIDEBOOKS FOR LGUs  Specs:  	Size: 210 x 297 or A4  	Cover: C2S 140  	Inside pages</t>
  </si>
  <si>
    <t xml:space="preserve"> Retractable Ballpen</t>
  </si>
  <si>
    <t xml:space="preserve"> SEE ATTACHED DOCUMENT</t>
  </si>
  <si>
    <t xml:space="preserve"> 5 pieces Benguet Attire (Kuval) assorted colors 5 set Benguet Attire (Kambal-Blouse Aten, Divet-Skirt) 5 piece Benguet Head Cloth (Panglet) 5 set Clay Pot (Banga) 7 pieces per set 10 piece Mountain Province Head Dress (Fallake) 1 piece Solibao 7 set Feath</t>
  </si>
  <si>
    <t xml:space="preserve"> NOTICE OF NEGOTIATED PROCUREMENT (Small Value Procurement) Project:	Purchase of Drugs and Medicines (Regulated) (for use of government hospitals – EPDH, MDH, UDH, ACH, DCH, MAnCH, MapCH, PCH, UCH) 		(PR#2020-07-6051) 650	amp.	Adrenalin/epinephrine 80	amp.</t>
  </si>
  <si>
    <t xml:space="preserve"> For DMD-CV-LAB use</t>
  </si>
  <si>
    <t xml:space="preserve"> The Barangay San Juan, Tuao Cagayan through its 20% Barangay Dev't Fund intends to apply the sum of             Php 58,448.00  being the Approved Budget for the Contract (ABC) to payments under the contract for  Installation/Maintenance of Street Lights. </t>
  </si>
  <si>
    <t xml:space="preserve"> Procurement of 60 units Smart pocket WIFI for use during the conduct of Blended Training via Zoom Application: Training of Trainers on Production of High Quality Inbred Rice and Seeds and Farm Mechanization on September 8-23, 2020.</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</si>
  <si>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</si>
  <si>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Purchase of 580 reams of A4 size (Hard Copy) bond paper to be used for the reproduction of modules</t>
  </si>
  <si>
    <t xml:space="preserve"> BATTERY, TRIPLE A MAX ALKALINE 24'S/PK &amp; 10 OTHER L/I</t>
  </si>
  <si>
    <t xml:space="preserve"> GESTETNER INK AND MASTER PAPER 60	tubes         Gestetner Ink, No. CP110 10	rolls		Gestetner Master Paper, No. CPMT21</t>
  </si>
  <si>
    <t xml:space="preserve"> Hot and Cold Water Dispenser			3	Unit	44,850.00 Specification:					 - bottom loading					 - tri dispense (hot, room temperature, and cold)					 - water tank capacity (1L hot/3L cold)					 					 Rice Cooker			2	Unit	13,000.00 Specification:					 - 10 cups </t>
  </si>
  <si>
    <t xml:space="preserve"> Republic of the Philippines PROVINCE OF NORTHERN SAMAR BIDS AND AWARDS COMMITTEE Catarman Purchase of other Equipment and Machinery for Different Departments and Offices Province of Northern Samar NS-08-25-20-02 1.	The Provincial Government of Northern Sa</t>
  </si>
  <si>
    <t xml:space="preserve"> INK BROTHER LC535XL (M/C/Y) &amp; 11 OTHER L/I</t>
  </si>
  <si>
    <t xml:space="preserve"> NOTICE OF NEGOTIATED PROCUREMENT (Small Value Procurement) Project:	Purchase of Drugs and Medicines  		(PR#2020-07-6149) 288	bot.	Lactulose 120ml 1000	tab.	Lagundi 600mg 3000	tab.	Multivitamins + Iron 72	bot.	Multivitamins Drops 1000	tab.	Metronidazole 50</t>
  </si>
  <si>
    <t xml:space="preserve"> INK, HP C8728A #28 TRI COLOR &amp; 6 OTHER L/I</t>
  </si>
  <si>
    <t xml:space="preserve"> METAL SIGNAGE</t>
  </si>
  <si>
    <t xml:space="preserve"> 1	20	pack	Gauze 4 x 4 Non-sterile 100pcs./pack 2	5	pack	Silk sature 3.0 pack of 12's 3	5	pack	Silk sature 2.0 pack of 12's 4	10	box	Syringe 3cc. 5	10	box	Syringe 1cc. 6	50	piece	Cord Clamp 7	5	tube	Erythromycin Eye Ointment 8	30	piece	Oxytocin Ampule 9	20</t>
  </si>
  <si>
    <t xml:space="preserve"> DESKTOP PC	2	UNITS Spec; 9400fF INTEL 15-9400F 2 9GHZ/4,1GHZ 6 CORE THREADS 9MB CACHE LGA 1151 H310DDR4 MS1 8GB DDR4 RAM 2666Mhz ITB HDD 3.5 DVDODD 19.5" LED Monitor CVS Casing w/ Power Supply 600w Keyboard and Optical Mouse 650 VA UPS Win 1 0 Professiona</t>
  </si>
  <si>
    <t xml:space="preserve"> Various Projects</t>
  </si>
  <si>
    <t xml:space="preserve"> Repair &amp; Maintenance of Buildings</t>
  </si>
  <si>
    <t xml:space="preserve"> Republic of the Philippines Province of Cotabato Municipality of Arakan Barangay Malibatuan BIDS AND AWARDS COMMITTEE INVITATION TO BID FOR  Ri Bid for Additional Material for Construction of Multi-Purpose Bldg.    1.	The Barangay Government Unit of Malib</t>
  </si>
  <si>
    <t xml:space="preserve"> Wheel barrow	4	unit Grass cutter	2	unit Sharp bolo (sundang)	20	pcs Sprinkler	20	pcs Dull bolo (guna)	25	pcs Garden rake	15	pcs Shovel 	15	pcs Hand trowel 	25	pcs Knapsack sprayer	10	unit Pruning shears	25	pcs Grass scissor	20	pcs Pick mattock	15	pcs Step</t>
  </si>
  <si>
    <t xml:space="preserve"> 1. Name of Project: PROCUREMENT OF SUPPLIES FOR DIVISION OFFICE USE 2. ABC: Php 237,915.00 3. Source of Funds: Division MOOE 4. Delivery Period: 10CD after receipt of P.O. (free delivery) 5. Requirements: a. Mayor's/Business permit b. PhilGEPS certificate</t>
  </si>
  <si>
    <t xml:space="preserve"> The Barangay Bugnay, Tuao Cagayan through its Supplemental Budget intends to apply the sum of                     Php 300,000.00  being the Approved Budget for the Contract (ABC) to payments under the contract for  Purchased and Delivery of 1 Unit Multica</t>
  </si>
  <si>
    <t xml:space="preserve"> Automatic Voltage Regulator	25	unit</t>
  </si>
  <si>
    <t xml:space="preserve"> Laptop, Multimedia Projector, External hard drive, Flash drive</t>
  </si>
  <si>
    <t xml:space="preserve"> SEE ATTACHED FILE.</t>
  </si>
  <si>
    <t xml:space="preserve"> Republic of the Philippines Province of Davao de Oro MUNICIPALITY OF MONTEVISTA BARANGAY MAYAON BIDS AND AWARDS COMMITTEE 		 Reference No:  BM-2020-002 INVITATION TO BID FOR PROCUREMENT OF PORTLAND CEMENT 1. 	The Barangay Mayaon of  Montevista, through it</t>
  </si>
  <si>
    <t xml:space="preserve"> ALCOHOL ISOPROPHYL  RUBBING &amp; 28 OTHER L/I</t>
  </si>
  <si>
    <t xml:space="preserve"> Republic of the Philippines Province of Bukidnon Municipality of Damulog OFFICE OF THE BIDS AND AWARD COMMITTEE Invitation to Bid for the Supply and Delivery of Office Equipment  The Local Government Unit of Damulog, through the 1011-200 Capital Outlay fu</t>
  </si>
  <si>
    <t xml:space="preserve"> The Zamboanga State College of Marine Sciences and Technology (ZSCMST), through its Bids and Awards Committee, is inviting PhilGeps registered suppliers to apply for eligibility and to submit bids for the items mentioned hereunder: B-038-2020 PROCUREMENT </t>
  </si>
  <si>
    <t xml:space="preserve"> PROCUREMENT AND DELIVERY OF RAPID TESTING KITS AND MEDICAL SUPPLIES LOCATION: RHU-BALINGASAG, WATERFALL, BALINGASAG, MISAMIS ORIENTAL</t>
  </si>
  <si>
    <t xml:space="preserve"> Republic of the Philippines Department of Health Center for Health Development EASTERN VISAYAS REGIONAL MEDICAL CENTER Tacloban City REQUEST FOR QUOTATION RFQ No: 2020-08-SVP-00___     August 25, 2020 The EVRMC, Tacloban City, through the Bids &amp; Awards Co</t>
  </si>
  <si>
    <t xml:space="preserve"> QTY.	UNIT	DESCRIPTION 6	units	Face Recognition Terminal with body 		temperature measurement and time 		and attendance recording 		Specifications, features &amp; requirements 		Vanadium Oxide uncooled sensor to  		measures target's temperature 		Recognition di</t>
  </si>
  <si>
    <t xml:space="preserve"> Procurement of Laboratory Supplies</t>
  </si>
  <si>
    <t xml:space="preserve"> Supply and Delivery of Various Sizes for Catheter, Umbilical catheter Catheter, Umbilical catheter, radio opaque or transparent PVC, with distance markings every centimeter, open and smooth distal tip, fr 4	piece	315	100	31,500.00 Catheter, Umbilical cath</t>
  </si>
  <si>
    <t xml:space="preserve"> For DRR use</t>
  </si>
  <si>
    <t xml:space="preserve"> ENVELOPE, MAILING W/ 3 STAR &amp; 7 OTHER L/I</t>
  </si>
  <si>
    <t xml:space="preserve"> Conference Table with Melamine Board 25mm thick        	5	pcs -	Dimension: 220 x 90 x 75cm -	Capacity 6 to 8 persons -	Color: Walnut</t>
  </si>
  <si>
    <t xml:space="preserve"> 1 Security Guard for Daytime Shift 1 Security Guard for Nighttime Shift</t>
  </si>
  <si>
    <t xml:space="preserve"> A.	M3	Earth Filling of Old Site	677.00 B.	M3	Establishment of Drainage System	4,340.00 C.	Lot	Construction of Residual Containment Building	1 D.	Lot	Construction of Septic Vault (Special Wate)	1 E.	lot	Establishment of Water System Facility	1 Project Desc</t>
  </si>
  <si>
    <t xml:space="preserve"> Lot.</t>
  </si>
  <si>
    <t xml:space="preserve"> Supply of 10,000 liters of Diesel</t>
  </si>
  <si>
    <t xml:space="preserve"> Item No.	Unit	DESCRIPTION				Qty 						 1	Unit	LAPTOP				3 		14'' FHD RYZEN 5.3500U				 		14'' FHD DISPLAY				 		4GB DDR4 MEMORY				 		1TB HDD + 256GB SSD				 		CARD READER/ WIFI/WEBCAM				 		48 WH LI-ION BATTERY				 		WINDOWS 10 HOME SL</t>
  </si>
  <si>
    <t xml:space="preserve"> The PHILIPPINE SCIENCE HIGH SCHOOL - MIMAROPA REGION CAMPUS (PSHS-MRC) intends to apply the sum of ONE HUNDRED SEVENTY-FOUR THOUSAND PESOS ONLY (PhP174,000.00) being the Approved Budget for the Contract (ABC) to pay for the contract for the Project: SUPPL</t>
  </si>
  <si>
    <t xml:space="preserve"> NOTICE OF NEGOTIATED PROCUREMENT (Small Value Procurement) Project:	Purchase of Drugs and Medicines  		(PR#2020-06-5740) 2000	pc.	Ascorbic 500mg tablet 200	pc.	Azithromycin 50mg tablet 4000	pc.	Amlodipine 5mg tablet 200	pc.	Aspirin 80mg tablet 1000	pc.	Ci</t>
  </si>
  <si>
    <t xml:space="preserve"> OFFICE SUPPLIES  ABC:749,100.00 DESCRIPTION                                     QTY           UNIT  PRICE              TOTAL AMOUNT COMPUPRINT  SP40 RIBBON              300PCS           726.00                       217,800.00 COMPUPRINT  SP40 PLUS RIBBON </t>
  </si>
  <si>
    <t xml:space="preserve"> Commnuter Van 3.0L DSL MT Engine Model : 1KD FTV Engine Technology : Direct Injection Four Stroke Common Rail Diesel (D-4D) Engine Type : 3.0 Liter, Diesel, 4 Cylinder, Inline 16V, DOHZ, Double Overhead Camshaft (DOHZ) Turbo Charger Displacement : 2,982cc</t>
  </si>
  <si>
    <t xml:space="preserve"> NOTICE OF NEGOTIATED PROCUREMENT (Small Value Procurement) Project:	Purchase of Drugs and Medicines  		(PR#2020-06-5940) 50	vial	Dobutamine 250mg/20ml 30	bot.	Human Albumin 20	amp.	Atracurium Besilate 10mg/ml 30	amp.	Amiodarone HCl 50mg/ml 60	pref.syr. En</t>
  </si>
  <si>
    <t xml:space="preserve"> 120	pcs	Elastic Bandage 4x5 10	bot	Lysol Spray 590g 3	gal	Lysol Solution 5	pcs	Plaster 1.5 100	bot	Alcohol 70% 500ml 100	box	Surgical Mask 3	gal	Povidone Iodine 50	box	Nitrile/Non-Sterile Gloves s/c: Medium/VB 100	pcs	Face Shield 1	cont.	Chlorine 20	box	G</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</si>
  <si>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</si>
  <si>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Barangay Lawaan, Municipality of Dumanjug, Cebu, through its Bids and Awards Committee (BAC), invites qualified contractors to apply for eligibility and to bid for the WATER SYSTEM. Approved Budget for the Contract: Php 607,762.00 1.	A complete set of Bid</t>
  </si>
  <si>
    <t xml:space="preserve"> ITEM NO.	Unit of issue	ITEM &amp;DESCRIPTION	Brand &amp; Model	QTY.	 1	set	Computer Set		1	 		Specifications:			 		Computer monitor: 20" screen with 1600x1200 resolution			 		CPU: Core i5, 3.5 GHZ			 		USB: 3.0			 		RAM: DDR4 4GB, 1 TB HDD			 		OS: Windows 10 Hom</t>
  </si>
  <si>
    <t xml:space="preserve"> For the use of Guba Community Hospital</t>
  </si>
  <si>
    <t xml:space="preserve"> AM Snacks (buffet/3 days) Lunch (buffet/ 3 days)</t>
  </si>
  <si>
    <t xml:space="preserve"> INK, EPSON L3110 (M/B/Y/C) 4btl &amp; 9 other l/i</t>
  </si>
  <si>
    <t xml:space="preserve"> Republic of the Philippines Province of Bukidnon Municipality of Damulog OFFICE OF THE BIDS AND AWARD COMMITTEE Invitation to Bid for the Supply and Delivery of Food Stuff  The Local Government Unit of Damulog, through the 7611-200 LCPC funding intends to</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</si>
  <si>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</si>
  <si>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Please quote your lowest price inclusive of VAT on the services listed below, subject to the Terms and Conditions of this RFQ, and submit your quotation duly signed by your representative not later than August 28, 2020 at Bids and Awards Committee of BFAR</t>
  </si>
  <si>
    <t xml:space="preserve"> REQUEST FOR QUOTATION RFQ No. 2020-0370 The CITY GOVERNMENT OF CABANATUAN through its Bid and Awards Committee (BAC), will undertake Small Value Procurement for the Supply and Delivery of Office Equipment (CDRRMO) in accordance with Section 53.9 of the Re</t>
  </si>
  <si>
    <t xml:space="preserve"> LAPTOP	1	UNIT CPU: Core i7 PROCESSOR MODEL: i7-7700HQ PROCESSOR SPEED: 2.8 GHz CPU CACHE: 8M TURBOBOOSTSPEED: 3.8 GHz CHIPSET: Intel HM175 GPU MODEL: NVIDIA Geforce GTX 1050 Ti with 4GB of dedicated GDDRS VRAM RAM: 4GB, 32GB MEMORY TYPE: DDR3L, DDR4 MEMOR</t>
  </si>
  <si>
    <t xml:space="preserve"> For complete specification, please see attached for quotation at the associate components link or request.</t>
  </si>
  <si>
    <t xml:space="preserve"> Foods to be Consumed in the Census for Population and Housing Seminar  @ Samal, Bataan 300 pcs - Bottled Water 300 pcs - Sandwich 300 pcs - Pancit</t>
  </si>
  <si>
    <t xml:space="preserve"> NOTICE OF NEGOTIATED PROCUREMENT (Small Value Procurement) Project:	Purchase of 1800 pax Snacks – AM &amp; PM,  600 pax Meals – Breakfast, 30 pax Meals – Breakfast, 2267 pax Meals – Lunch, 150 pax Meals – Lunch and 600 pax Meals – Dinner (for various sports a</t>
  </si>
  <si>
    <t xml:space="preserve"> IMPROVEMENT OF BTR RO XII PERIMETER FENCE (FRONT)		 (Installation of Lighting Fixtures)		 		 Scope of Work:		 a. Lay-out of PVC pipes(to include cutting of concrete slab/floor, walls and posts);		 b. Pay-out of wires;		 c. Installation of utility and junc</t>
  </si>
  <si>
    <t xml:space="preserve"> UNIT	         DESCRIPTION		                                      QUANTITY 	CONCRETING &amp; MASONRY WORKS		 cu.m	Cement		2775 cu.m	Sand 		190 cu.m	Gravel		189 pc (s)	10mm Dia x 6.0m Corrugated Round Bar		4283 pc (s)	12mm Dia x 6.0m Corrugated Round Bar		502 p</t>
  </si>
  <si>
    <t xml:space="preserve"> August 24, 2020 REQUEST FOR QUOTATION (RFQ) MEALS OF PATIENTS FOR THE PERIOD OF SEPTEMBER 1 – 15, 2020 1.	The Batangas Medical Center hereinafter referred to as the “Purchaser” now request for submission of price proposal for the procurement of the afores</t>
  </si>
  <si>
    <t xml:space="preserve"> purchased and delivery of Epson photocopier</t>
  </si>
  <si>
    <t xml:space="preserve"> BAYBAY CITY WATER DISTRICT								 119 E. Jacinto St., Baybay City, Leyte								 FAX No.(053)-563-9478								 								                                                                   R E Q U E S T   F O R   Q U O T A T I O N							RFQ No.:2020-08-234	</t>
  </si>
  <si>
    <t xml:space="preserve"> unit	Laptop	4	75,000.00	300,000.00</t>
  </si>
  <si>
    <t xml:space="preserve"> Laptop  i5, 1TB 8GB Dual HD w/ Mouse and bag 16 inch display</t>
  </si>
  <si>
    <t xml:space="preserve"> DELIVERY OF VARIOUS MATERIALS FOR REPAIR/RENOVATION OF BARANGAY HALL</t>
  </si>
  <si>
    <t xml:space="preserve"> Transfer of BTr RO XII Manual Transfer Switch(MTS)	 	 Scope of Work:		 a. Pull-out of the MTS from old location;		 b. Pull-out of old pipe lines and layout of new PVC pipes to the new location;		 c. Pay-out of wires;		 d. Installation of pull box for term</t>
  </si>
  <si>
    <t xml:space="preserve"> INSURANCE PREMIUM, PREMIER PLATINUM, BRONZE</t>
  </si>
  <si>
    <t xml:space="preserve"> FOR REPLENISHMENT OF STOCKS. GOOD FOR THREE MONTHS CONSUMPTION.</t>
  </si>
  <si>
    <t xml:space="preserve"> 1 unit Desktop          Intel core i7-9700k          24gb ddr ram          1 tb ssd          palit rtx 2070 8gb          Monitor 25inch 144hz 1 unit Printer A3+ color Ink tank System 1 pc   16g ram 1 pc   External 1tb ssg         x-x-x-x-x-x-x-x-x-x-x-x-x</t>
  </si>
  <si>
    <t xml:space="preserve"> 35	SETS	PORTABLE HANDHELD RADIO: FREQ: 403-474 MHZ- 		16 CHANNEL , SENSITIVITY 70DB/ 65DB, BATTERY NI-MH 		15MAH CAPACITY, ACCESSORIES: 1 PC RECHARGEABLE 		BATTERY PACKKNB - 45L, 1 PC. BELT CLIP, 1 PC 		HELIFLEX ANTENNA, 1 PC. DESKTOP RAPID CHARGER 		KSC </t>
  </si>
  <si>
    <t xml:space="preserve"> Premium Grade Rice 50kg	200	sacks</t>
  </si>
  <si>
    <t xml:space="preserve"> PR No. 				CD 2020-08-008							 											 	Please quote your lowest price on the item/s listed below, subject to the General Conditions, 										 stating the shortest time of delivery and submit your quotation duly signed by  your authorized 								</t>
  </si>
  <si>
    <t xml:space="preserve"> PAINT, REDUCER BRONCO &amp; 6 OTHER L/I</t>
  </si>
  <si>
    <t xml:space="preserve"> 1. Bond Paper Long - ream - 10  2. Bond Paper Short - ream - 10  3. Correction Tape - pcs. - 8  4. Paper Fastener - boxes - 1  5. Double Sided Tape - rolls - 5  6. Expanding Envelope With Garter Green - pcs. -  8  7. Staple Wire # 10 -boxes - 8</t>
  </si>
  <si>
    <t xml:space="preserve"> Supply &amp; Delivery of Office Supplies and Devices</t>
  </si>
  <si>
    <t xml:space="preserve"> Procurement of Laboratory Reagents</t>
  </si>
  <si>
    <t xml:space="preserve"> 2 PCS. TIRE, 165 X 80 R 13 FOR REPLACEMENT OF WORN-OUT PARTS OF THE FOLLOWING EQUIPMENT ITEM #1 FOR MULTICAB SGC-784, ITEM #2  FOR ISUZU FORWARD DUMP TRUCK DID - 731.</t>
  </si>
  <si>
    <t xml:space="preserve"> Please see attached approved Request for Quotation.</t>
  </si>
  <si>
    <t xml:space="preserve"> Item No.	Unit	DESCRIPTION				Qty 						 1	Ream	Bond Paper (Long)				15 2	Ream	Bond Paper (A4)				15 3	Dozen	Expanded Brown Envelope (Long)				15 4	Dozen	White folder (Long)				20 5	Pcs.	Stapler (#35)				4 6	Pcs.	Puncher (Big-2 Hole)				2 7	Unit	Calculator</t>
  </si>
  <si>
    <t xml:space="preserve"> MATERIALS 2.8-3.6 1080 40 MTRS IR COLORVU HD CCTV BULLET HKVISION/DAHUA COLORED DAY AND NIGHT-SET 16 CHANNEL 4MP ULTRA HD DVR CLOUD VIEWING HKVISION / DAHUA - SET 1TB SEAGATE HARD DISK DRIVE MEDIA CONVERTER 4 CH AND/IVI/CVI SINGLE MADE FIBER BOX-PCS SIAME</t>
  </si>
  <si>
    <t xml:space="preserve"> NOTICE OF NEGOTIATED PROCUREMENT (Small Value Procurement) Project:	Purchase of Drugs and Medicines  		(PR#2020-05-4175) 500	vial	Paracetamol IV 10mg/ml, 100ml 30	bot.	Hydroxyethyl starch 6% sol’n 500ml bot. 2000	sachet	Acetylcysteine Sachet 600mg Locatio</t>
  </si>
  <si>
    <t xml:space="preserve"> Universal Serial Bus (USB) 16gb-36gb Portable/Compact Flash Drive</t>
  </si>
  <si>
    <t xml:space="preserve"> to purchase office and janitorial supplies for different offices</t>
  </si>
  <si>
    <t xml:space="preserve"> BIDS AND AWARDS COMMITTEE Dated: August 24, 2020 REQUEST FOR QUOTATION The Municipality of Sison, through the Municipal Bids and Awards Committee, now invites sealed Bids from eligible Bidders for the project; Purchase of materials for the repair and repa</t>
  </si>
  <si>
    <t xml:space="preserve"> EXPANSION OF LEVEL III-DEEP WELL WATER SYSTEM Kabatiol, Maasim, Sarangani Province (Contract No. INFRA 2020-64) August 25, 2020 1.	The Provincial Government of Sarangani, through AIP 2020/AB 2020 intends to apply the sum of Two Million Pesos (₱2,000,000.0</t>
  </si>
  <si>
    <t xml:space="preserve"> PROCUREMENT OF OFFICE SUPPLIES FOR THE MONTH OF SEPTEMBER, 2020</t>
  </si>
  <si>
    <t xml:space="preserve"> Furnishing/ delivering of office supplies and devices 1. 23 units - printer 2. 1 pc. - External hard drive Storage 3. 100 rems - Bond paper (Subs. 20) long 4. 5 reams - Bond paper (Subs. 20) short ***** Nothing follows *****</t>
  </si>
  <si>
    <t xml:space="preserve"> 80 pax for Morning snacks Menu: bodbod pilit          Hot Chocolate 80 pax for LUNCH Menu: Rice           Chicken Tinola (native)           Grilled Bangus            Fish kinilaw (barilis)           Banana (lakatan)           Softdrinks 80 pax Afternoon s</t>
  </si>
  <si>
    <t xml:space="preserve"> RFQ-TFB-16-2020 Republic of the Philippines Province of Davao Oriental CITY OF MATI BIDS AND AWARDS COMMITTEE (Local Funding Source) REQUEST FOR QUOTATION (Negotiated Procurement – Two Failed Biddings) 		 Name of Company:	 Address:	 Telephone No.:	 Please</t>
  </si>
  <si>
    <t xml:space="preserve"> Description: Republic of the Philippines Bangsamoro Autonomous Region in Muslim Mindanao Province of Maguindanao MUNICIPLAITY OF SULTAN KUDARAT Tel. No.: (064) 429-0060/ (064) 429-0079, Fax No. (064) 429-0081 INVITATION TO BID FOR: PB-SK2020-08-017 The Lo</t>
  </si>
  <si>
    <t xml:space="preserve"> ITEM I - DEMOLITION/CHIPPING WORKS ITEM II- EVACUATION WORKS ITEM III- EMBANKMENT WORKS ITEM IV- REINFORCING STEEL ITEM V- FORM WORKS ITEM VI - CONCRETE WORKS ITEM VII- MASONRY WORKS ITEM VIII-METAL WORKS ITEM IX - ROOFING WORKS ITEM X- PAINT WORKS ITEM X</t>
  </si>
  <si>
    <t xml:space="preserve"> 1. The Local Government Unit of Amulung, Cagayan through the Special Education  Fund  intends to apply the sum of Php 2,804,760 being the Approved Budget for the Contract (ABC) to payments under the contract for Supply &amp; Delivery of Forty-Nine (49) Brand </t>
  </si>
  <si>
    <t xml:space="preserve"> Purchase of IT Equipment for the use of Provincial Information Office</t>
  </si>
  <si>
    <t xml:space="preserve"> REQUEST FOR QUOTATION (RFQ) The MSWDO  through the Bids and Awards Committee (BAC) of the Municipality of Banaybanay, Davao Oriental hereby notifies and invites you to submit your quotation/bid for the hereunder proposed project/request, viz: FOR QUARTERL</t>
  </si>
  <si>
    <t xml:space="preserve"> Purchase of 4 Channel Surveillance Kit (CCTV Kit) with Installation ABC: Php 19,000.00 4 Channel Surveillance Kit (CCTV Kit) with Installation</t>
  </si>
  <si>
    <t xml:space="preserve"> City Government of Manila INVITATION TO BID NO. 2020-08-122 Procurement of Food and Drinks 1.	The City Government of Manila, through the General Fund CY 2020 – Representation Expenses intends to apply the sum of Two Million Four Hundred Thousand Pesos Onl</t>
  </si>
  <si>
    <t xml:space="preserve"> Vacutainer Tube EDTA 3ml	200	100s/box</t>
  </si>
  <si>
    <t xml:space="preserve"> Room Accommodation				 4	Room	Deluxe Double (2 heads/room x 5 days), ABC 10,000.00/room 2	Room	Deluxe Double Twin (2 heads/room x 5 days), ABC 12,500.00/room 1	Room	Deluxe Double Twin (2 heads/room x 2 days), ABC 5,500.00/room 1	Room	Barkada Room (5 heads</t>
  </si>
  <si>
    <t xml:space="preserve"> The Barangay Mungo, Tuao Cagayan through its Barangay Dev't Fund intends to apply the sum of Php 76,270.00 being the Approved Budget for the Contract (ABC) to payments under the contract for Procurement of Materials for the Installation of Street Lights (</t>
  </si>
  <si>
    <t xml:space="preserve"> 1/4" ordinary plywood 10 pcs cocolumber 74 pcs 10mm dia RSB 74 pcs Tie wire 5 kls Portland Cement 93 bags Sand mixed 2 TL CHB #4 1336 pcs CWN Assorted sizes 7 kls</t>
  </si>
  <si>
    <t xml:space="preserve"> NOTICE OF NEGOTIATED PROCUREMENT (Small Value Procurement) Project:	Purchase of 150 pax Meals – Lunch with Free Flowing Coffee (to be served during the Provincial Development Council Full Meeting) 		(PR#2020-06-5995) Location: 	Provincial Planning &amp; Dev’t</t>
  </si>
  <si>
    <t xml:space="preserve"> UNIT                    QUANTITY           ITEM DESCRIPTION PACK                        5                     FOLDER A4 PACK                        5                      FOLDER WITH TAB LEGAL JARS                        9                       GLUE PIECE</t>
  </si>
  <si>
    <t xml:space="preserve"> B.5	Unit	Project Billboard/Signage	2 B.9	I.s	Mobilization/Demobilization	1 103(6)	Cu.m	Pipes Culverts, Drain Excavation	316 104(1)a	Cu.m	Embankment	2620 500(1)a3	I.m	Pipes Culverts (36” diam)	16 Project Description: Embankment of 2560 cu.m boulders &amp; grav</t>
  </si>
  <si>
    <t xml:space="preserve"> Request for Quotation Date : August 24, 2020 Quotation No. : 005- 2020 Mode of Procurement : Small Value Procurement To all Eligible Suppliers: I. Please quote your lowest price inclusive of VAT on the item/s listed below, subject to the Terms and Conditi</t>
  </si>
  <si>
    <t xml:space="preserve"> MEALS FOR LSI, VOLUNTEERS AND FRONTLINERS</t>
  </si>
  <si>
    <t xml:space="preserve"> LATEX PAINT GLOSS-12- TIN QDE WHITE ENAMEL-5-GAL TILE RED LATEX-6- GAL 2X2X12 KD S4S-35-PC 3/4 PLYBOARD-10-PC 1X3X12 KD-20-PC ROLLER BRUSH #7- 5-PC PAINT THINNER-1-GAL CALSOMINE-2 PC</t>
  </si>
  <si>
    <t xml:space="preserve"> INVITATION TO BID The Department of Public Works and Highways, Cavite 3rd District Engineering Office, through its Bids and Awards Committee (BAC), invites suppliers to submit bids for the following Contract:  1.  Contract ID No.	 : 	20GDQ0027 Contract Na</t>
  </si>
  <si>
    <t xml:space="preserve"> 2.	The LGU-ALEGRIA] now invites bids for: Item No.	Quantity	Unit	Item Description I.	552.00	Sq. m	Removable of damage Tiles II.	93.00	sq.m.	Demolition of existing CHB partition 405	31.00	Cu.m	Structural Concrete 404	355.25	Kgs	        Reinforcing Steel II</t>
  </si>
  <si>
    <t xml:space="preserve"> Province of Cotabato Municipality of Arakan Barangay Anapolon BIDS AND AWARDS COMMITTEE Invitation for Negotiated Procurement Supply of Materials for Concrete Perimeter Fence Multi-purpose Bldg. 	In view of the two (2) failed public bidding the Barangay G</t>
  </si>
  <si>
    <t xml:space="preserve"> 10/100 mbps Internet Adapter &amp; 18 other L/I</t>
  </si>
  <si>
    <t xml:space="preserve"> BIOSAFETY CABINET        1	Set Serve as means to protect the laboratory worker &amp; the surrounding environment from pathogens. All exhaust air is HEPA-filtered as it exits the biosafety cabinet removing harmful bacteria &amp; viruses.	 SPECIFICATIONS: *Working </t>
  </si>
  <si>
    <t xml:space="preserve"> TISSUE, PAPER FACIAL SOFT (SCENTED) 30 X 16 (24'S)/BX</t>
  </si>
  <si>
    <t xml:space="preserve"> MEDICAL DENTAL AND LAB SUPPLIES EXPENSE(SETS OF PPE's)	464	SET Face mask, 30 per person		 Face shield, 1 per person		 Alcohol, 1 per person 70% with moisturizer 500ml		 Gloves, 30 per person		 xxxxxxxxxxxxxxxxxxxxxxxxxxxxxxxxxxxxxxxxxxxxx</t>
  </si>
  <si>
    <t xml:space="preserve"> FOR THE USE AND IMPLEMENTATION OF LISTAHANAN VALIDATION	 15	bottle    Anti-bacterial Liquid Hand Soap, Pump Cap 750ml					 900	bottle    Isopropyl Alcohol 70%, 500ml, antiseptic/disenfectant					 5	pcs        Disinfecting Mat with Tray Foot Bath Sanitatio</t>
  </si>
  <si>
    <t xml:space="preserve"> This project is by lot, partial bid is not accepted LOT AGRICULTURAL PRODUCTS 1 HERBICIDES *Post-emergence herbicide, upland UNIT: GALLON, QUANTITY: 2 INSECTICIDES *Lanate methomyl, broad spectrum carbonate, 425g per pack UNIT: PACK, QUANTITY: 3 PLASTIC M</t>
  </si>
  <si>
    <t xml:space="preserve"> LAPTOP PRINTER 5 in 1</t>
  </si>
  <si>
    <t xml:space="preserve"> NOTICE OF NEGOTIATED PROCUREMENT (Small Value Procurement) Project:	Purchase of 25 pax Meals – Breakfast (VIP’s), 40 pax Meals – Breakfast, 560 pax Snacks – AM, 25 pax Snacks – AM (VIP’s), 560 pax Snacks – PM, 685  pax Meals – Lunch (VIP’s) and 560 pax Me</t>
  </si>
  <si>
    <t xml:space="preserve"> FUJI M455df Toner	10	pcs</t>
  </si>
  <si>
    <t xml:space="preserve"> SUSPENSION BUSHING &amp; 11 OTHER L/I</t>
  </si>
  <si>
    <t xml:space="preserve"> 1. Name of Project: PROCUREMENT OF TABLET AS COMMUNICATION DEVICE TO KEY PERSONNEL FOR EFFECTIVE DELIVERY OF SERVICES 2. ABC: Php 449,500.00 3. Source of Funds: Division MOOE 4. Quantity: 31 units Tablet with S Pen 5. Specifications:  OS ver: Android 9.0 </t>
  </si>
  <si>
    <t xml:space="preserve"> 1		pc	  Battery,charger			 12		pcs	  Battery,rechargeable (AAA)			 12		pcs	  Battery,rechargeable (AA)			 12		pcs	  Box Clip			 7		units	  Calculator 12digits			 6		pcs	  Cutter			 6		pcs	  Flash Drive,16GB			 250		pcs	  Folder,pressboard,long (assorted c</t>
  </si>
  <si>
    <t xml:space="preserve"> Construction Materials &amp; Supplies Maeterials: Aluminum Frame Sliding Door with Installatioon 1 unit, Glass (1/4”) (48” x 72”) 9 pcs., Aluminum Frame (2” x 4” x 6m) 9 pcs., Silicon Sealant 8 pcs., Sliding Door Jamb 1 unit, Header 1 unit, Frame Seal 1 unit,</t>
  </si>
  <si>
    <t xml:space="preserve"> REQUEST FOR EXPRESSION OF INTEREST (REOI) (Consulting Services) August 24, 2020 Contract ID:  21CSIA004 – (Re-advertisement) Conduct of Soil Exploration for the        following Flood Control Projects under FY 2021 Infrastructure Program 1.	Construction o</t>
  </si>
  <si>
    <t xml:space="preserve"> 1 unit Visitor Chair SPECIFICATION: Model #6503 Seat Thickness : 1.3 mm Condition: NEW MOQ: 1 set Metal Type: stainless steel Specification: 1750X680X780mm Beam thickness: 1.5 mm Office Usage Seat width : 50 cm weight: 27.5 kg.</t>
  </si>
  <si>
    <t xml:space="preserve"> Republic of the Philippines PROVINCE OF NORTHERN SAMAR BIDS AND AWARDS COMMITTEE Catarman Purchase of Cleaning Supplies and Materials for NSPH and Allen District Hospital Province of Northern Samar  NS-08-25-20-03 1.	The Provincial Government of Northern </t>
  </si>
  <si>
    <t xml:space="preserve"> Supply and Delivery of Construction Materials intended for Various Infrastructure Projects Cluster 1 at Brgy Nagotgot</t>
  </si>
  <si>
    <t xml:space="preserve"> Procurement of Heparin 5000iu/vial</t>
  </si>
  <si>
    <t xml:space="preserve"> I. Project Billboard II. Mobilizaiton III. CSHP IV. Drilling V. Plumbing Works VI. Water Pump Installation VII. Steel Works VIII. Masonry Works IX. Electrical Works Labor</t>
  </si>
  <si>
    <t xml:space="preserve"> INK, BROTHER LC539XL (BLACK)  &amp;  12 OTHER L/I</t>
  </si>
  <si>
    <t xml:space="preserve"> Republic of the Philippines Province of Cotabato Municipality of Arakan Barangay Dallag BIDS AND AWARDS COMMITTEE INVITATION TO BID FOR  Ri Bid Purchase of P.E Pipes for Sitio Panipasan Santol 1.	The Barangay Government Unit of Dallag, through the Trust  </t>
  </si>
  <si>
    <t xml:space="preserve"> SUPPLY &amp; DELIVERY OF OIL &amp; LUBRICANTS FOR MAINTENANCE OF HEAVY EQUIPMENTS  The Local Government Unit of Lianga will purchase OIL &amp; LUBRICANTS for the maintenance of Heavy Equipments ,  through General Fund 2020, intends to apply the amount of  Eighty One </t>
  </si>
  <si>
    <t xml:space="preserve"> Please see attached</t>
  </si>
  <si>
    <t xml:space="preserve"> Please see attached File</t>
  </si>
  <si>
    <t xml:space="preserve"> BAG, RESEALABLE PLASTIC AXA 100PC  65MMX120MM &amp; 9 OTHER L/I</t>
  </si>
  <si>
    <t xml:space="preserve"> INVITATION TO BID FOR THE  CONCRETING OF PULOT SHORE PROVINCIAL ROAD (SOFRONIO, ESPAÑOLA, PALAWAN) 1.	The Provincial Government of Palawan, through its 20% Development Fund (OBR No. 300-20-08-10028)  intends to apply the sum of Ten Million Two Hundred Fif</t>
  </si>
  <si>
    <t xml:space="preserve"> gravel/sand/soil/cement/hollow block/tiles/toilet bowl set/deformed round bar/flush doors and knobs : should be in dumptruck :quick dry cement : hollow blocks #4 : tiles 60X60/40X40 : 10 mm round bar</t>
  </si>
  <si>
    <t xml:space="preserve"> REQUEST FOR QUOTATION (RFQ) The MSWDO  through the Bids and Awards Committee (BAC) of the Municipality of Banaybanay, Davao Oriental hereby notifies and invites you to submit your quotation/bid for the hereunder proposed project/request, viz: ENRICHED PAR</t>
  </si>
  <si>
    <t xml:space="preserve"> NOTICE OF NEGOTIATED PROCUREMENT (Small Value Procurement) Project:	Purchase of 400 pax Meals – Breakfast, 1540 pax Snacks – AM, 21540 pax Snacks – PM, 560 pax Snacks – PM, 1190  pax Meals – Lunch, 100 pax Heavy Snacks and 190 pax Meal – Dinner (for vario</t>
  </si>
  <si>
    <t xml:space="preserve"> Ecofit LED Tube Set (16Wts) Ecofit LED Tubes only (16Wts) High Lumen LED Bulb (14.5Wts) Essential LED Bulb (11Wts) #10 PDX Wire #16 Flat Cord 30 Amp ACU Breaker 60 Amp Circuit Breaker 30 Amp Circuit Breaker (built 1.0)</t>
  </si>
  <si>
    <t xml:space="preserve"> Republic of the Philippines Province of Zambales MUNICIPALITY OF CANDELARIA BIDS AND AWARDS COMMITTEE INVITATION TO BID 1.The Municipal Government of Candelaria, Zambales, through the Department of Labor &amp; Employment (DOLE) Fund for CY 2018 intends to app</t>
  </si>
  <si>
    <t xml:space="preserve"> Procurement of Medical Supplies</t>
  </si>
  <si>
    <t xml:space="preserve"> Republic of the Philippines PROVINCE OF Zamboanga del Norte Municipality of Sibutad BIDS AND AWARDS COMMITTEE Date: AUGUST 25, 2020 Project Reference No. GFP100-2020-08-094 DATED: AUGUST 18, 2020 Name of the Project: PROCUREMENT OF MEAL AND SNACKS FOR FIN</t>
  </si>
  <si>
    <t xml:space="preserve"> AIR FRESHENER SPRAY &amp; 9 OTHER L/I</t>
  </si>
  <si>
    <t xml:space="preserve"> LAPTOP	1	PC. SPECIFICATIONS: CPU: 10TH  Generation Intel Core i7-1065G7 Processor 8MB Smart Catche,, up to 3.9 GHz. Graphics: Intel Iris Plus Graphics SOFTWARE: Window 10 Homes 64-bit license, English MEMORY: 16GB, 3733MHz LPDDR4x Memory Onboard STORAGE: </t>
  </si>
  <si>
    <t xml:space="preserve"> The Bids and Awards Committee of the Environmental Management Bureau-IX now invites eligible bidders to submit their quotations for Office Furnitures and Fixtures In Pagadian City  All quotations must be typed or written and duly signed by the authorized </t>
  </si>
  <si>
    <t xml:space="preserve"> ALCOHOL &amp; 10 OTHER L/I</t>
  </si>
  <si>
    <t xml:space="preserve"> 100	Pcs	Bed sheets with pillow case (single) 		 100	Pcs	Blanket (single) 		 100	Pcs	Bath towel 		 		 		 		 		Requirements: 		1. Mayor’s/Business Permit 		2. PhilGEPS Registration Number</t>
  </si>
  <si>
    <t xml:space="preserve"> CLEANER SPRAY CARPET &amp; 18 OTHER L/I</t>
  </si>
  <si>
    <t xml:space="preserve"> Supply and Delivery of Construction Materials intended for Various Infrastructure Projects Cluster 2 at Brgy Nagotgot</t>
  </si>
  <si>
    <t xml:space="preserve"> NOTICE OF NEGOTIATED PROCUREMENT (Small Value Procurement) Project:	Purchase of 1,550 pax Snacks – AM and 2,940 pax Meals – Lunch (for various events/activities in the province) 		(PR#2020-01-0395) Location: 	General Services Office 	        Lingayen, Pan</t>
  </si>
  <si>
    <t xml:space="preserve"> LOT A  :  ABC - Php186,120.00			 Pack Meals and Snacks during the conduct of Cultural				 			Mapping &amp; profiling of Surigao City's Culture and Heritage				 			Assets in the Mainland Barangays with venue.				 1	16	PAX	Day 1 - September 1, 2020				 			Break</t>
  </si>
  <si>
    <t xml:space="preserve"> UNIT	  DESCRIPTION		QUANTITY	UNIT COST SPL-1	CLEARING/DECLOGGING			 	Qty.: - 64.00 l.m			 				 I.	Minor Tools/Equipment Rental			 	Minor Hand Tools, Concrete Cutter Rental incl.			 lot	other Concrete Materials for Restoration		1	  				 II.	Excavation / La</t>
  </si>
  <si>
    <t xml:space="preserve"> I. One Job Order for the Repair and Maintenance of PQS Building to Include Labor and Materials of the following: A. Removal of Damaged Ceiling, Gutter, Roofing and Floor Tiles:    1 lot Ceiling, Gutter and Floor Tiles    Labor B. Installation of Ceiling B</t>
  </si>
  <si>
    <t xml:space="preserve"> OFFICE SUPPLIES ABC:153,000.00   DESCRIPTION:PHILIPPINES FLAG  QTY:600 UNIT:PC Please be guided the following: 1 Price quotation must be based on the term of Reference (TOR) / Scope work /service (SOW)/ technical Specification (TS) as applicable and must </t>
  </si>
  <si>
    <t xml:space="preserve"> Republic of the Philippines Province of Agusan del Norte Municipality of Nasipit BIDS AND AWARDS COMMITTEE REQUEST for QUOTATION The Local Government Unit of Nasipit, through its Bids and Awards Committee (BAC) will undertake a Small Value Procurement in </t>
  </si>
  <si>
    <t xml:space="preserve"> SUPPLY AND DELIVERY OF MATERIALS FOR THE REPLACEMENT AND INSTALLATION OF CEILING (MULTI-PURPOSE HALL)  Brgy Hall, Bambang Los Baños, Laguna 1.	The BARANGAY BAMBANG of LOS BAÑOS, LAGUNA, through the 20% BDF  intends to apply the sum of EIGHTY THREE THOUSAN</t>
  </si>
  <si>
    <t xml:space="preserve"> REQUEST FOR QUOTATION RFQ No. 2020-0371 The CITY GOVERNMENT OF CABANATUAN through its Bid and Awards Committee (BAC), will undertake Small Value Procurement for the Supply and Delivery of Retractable Tent (CDRRMO) in accordance with Section 53.9 of the Re</t>
  </si>
  <si>
    <t xml:space="preserve"> 15 ROLLS INTERLINK WIRE #6 35 PCS G.I PIPE #2 35 PCS RSB 10MM 20 KG WELFING ROD 2.5 MM</t>
  </si>
  <si>
    <t xml:space="preserve"> - BUILDING - SITIO HILLSIDE, POBLACION, SIAYAN, ZAMBOANGA DEL NORTE</t>
  </si>
  <si>
    <t xml:space="preserve"> Planning and Infrastructure Management (101) Construction Supply</t>
  </si>
  <si>
    <t xml:space="preserve"> 2nd Posting. Please download PDF @ associated components for more information.</t>
  </si>
  <si>
    <t xml:space="preserve"> JACKET, BLACK &amp; 3 OTHER L/I</t>
  </si>
  <si>
    <t xml:space="preserve"> CLARK DEVELOPMENT CORPORATION														 Clark Freeport Zone, Philippines														 														 REQUEST FOR QUOTATION														 														 The Clark Development Corporation, through its Purchasing Division(PD), invites suppliers/								</t>
  </si>
  <si>
    <t xml:space="preserve"> Construction Materials and Supplies</t>
  </si>
  <si>
    <t xml:space="preserve"> Procurement of 7 Ea RAM &amp; 4 LI</t>
  </si>
  <si>
    <t xml:space="preserve"> 1. 6 WHEELER 4x2 Mounted with High Side Garbage Compactor Body ..................................................................1 UNIT SPECIFICATIONS: GVW:		7,800kg Dimension: 	6,630 x 2,000 x 2,270 (L x W x H) Payload:	5,048kg  Engine:		D4GA15, 4 Stoke-</t>
  </si>
  <si>
    <t xml:space="preserve"> 10 le. 12mmØ x 6.0m RSB 7 le. 10mm Ø x 6.0 RSB 3 kgs. G.I Tie Wire # 16 2 pcs. Hacksaw Blade  17 bags Portland cement 1 cu.m. Washed Sand 2 cu.m. Gravel ¾ Ø – 1” screened 44 pcs. 2” x2”x10 ‘coco lumber 38 pcs. 2” x2”x12’ coco lumber 46 pcs. 2”x2”x 8’ coco</t>
  </si>
  <si>
    <t xml:space="preserve"> Men's Watch Specification: Case size: 44 mm Case Thickness: 11 mm Case Materials: Stainless Steel Case shape: Round Case Back: Solid Band Type: Bracelet Band Materials: Stainless Steel Band Color: Two-Tone (Silver-tone and Gold PVD) Band width: 20 mm Clas</t>
  </si>
  <si>
    <t xml:space="preserve"> Purchase of Safety Equipment for Utility Personnel at the Municipality  @ Samal, Bataan 80 pcs - Raincoat</t>
  </si>
  <si>
    <t xml:space="preserve"> Supply &amp; delivery: 1	6	pcs	Angle Valve (1/2" x 1/2") 2	10	pcs	Flexible Hose Supply Pipe 1/2" 3	10	pcs	GI Faucets 1/2" 4	40	pcs	PPR Elbow 1/2" Plain 90° 5	20	pcs	PPR Male Adaptor 1/2" 6	20	pcs	PPR Female Adaptor 1/2" 7	5	pcs	PE Tee 1' x 1/2" 8	8	pcs	PE Elb</t>
  </si>
  <si>
    <t xml:space="preserve"> Please see attached file.</t>
  </si>
  <si>
    <t xml:space="preserve"> Invitation to Bid for PROPER FOOD PREPARATIONS AND HANDLING  1.	The Local Government Unit of Las Nieves, through the Budget for the Contract Approved by the Sanggunian intends to apply the sum of Fifty Seven Thousand Pesos (Php 57,000.00), being the Appro</t>
  </si>
  <si>
    <t xml:space="preserve"> Republic of the Philippines Province of Cotabato Municipality of Arakan Barangay Badiangon PBIDS AND AWARDS COMMITTEE INVITATION TO BID FOR  Ri Bid Rehabilitation of Multi-purpose Bldg. For Children @ So. Upper Tiwayan   1.	The Barangay Local Government U</t>
  </si>
  <si>
    <t xml:space="preserve"> Republic of the Philippines PROVINCE OF ZAMBOANGA SIBUGAY Municipality of Buug BIDS AND AWARDS COMMITTEE Invitation to Bid for Procurement of ICT Equipment and Accessories 1.	The Local Government Unit of Buug, through the  Generall Fund  of 2020 intends t</t>
  </si>
  <si>
    <t xml:space="preserve"> Gasoline and Diesel</t>
  </si>
  <si>
    <t xml:space="preserve"> Project Reference Number ______________	 Quotation No.  ________				Name of Project:	 				Location  of the Project _____________	 	                                                                                                                            </t>
  </si>
  <si>
    <t xml:space="preserve"> One-Job Contract Furnishing Medicine</t>
  </si>
  <si>
    <t xml:space="preserve"> Republic of the Philippines Province of Cavite City of General Trias BARANGAY JAVALERA Invitation to Bid for  Project Reference No. B-18-20-001 – CONSTRUCTION OF EVACUATION CENTER AND IMPROVEMENT OF STAGE AT BARANGAY JAVALERA, GEN. TRIAS, CAVITE 1.	The Ci</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</si>
  <si>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</si>
  <si>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PAPER LONG, BACK TO BACK</t>
  </si>
  <si>
    <t xml:space="preserve"> INVITATION TO BID FOR PURCHASE OF VARIOUS PPEs INTENDED FOR THE LISTAHANAN STAFF FOR THE CONTINUATION OF HOUSEHOLD ASSESSMENT AND VALIDATION PHASE CY 2020   1.	The DEPARTMENT OF SOCIAL WELFARE AND DEVELOPMENT FIELD OFFICE III through its Bids and Awards C</t>
  </si>
  <si>
    <t xml:space="preserve"> LOT - I Auto Diesel 36,000	liters	Auto Diesel 		Total of Lot - I  P1,548,000.00 		 		LOT - II  Premium Gasoline 8,000	liter	Premium Gasoline 		Total of Lot - II  P432,000.00 		GRAND TOTAL AMOUNT  P1,980,000.00</t>
  </si>
  <si>
    <t xml:space="preserve"> To purchase for supplies for brgy. use.</t>
  </si>
  <si>
    <t xml:space="preserve"> REQUEST FOR QUOTATION The University of the Philippines Manila through its Bids and Awards Committee 3 will be undertaking procurement for the hereunder project: 	Name of Project:  Supply of IT Equipment and Services for Remote Instructions. 	Requesting U</t>
  </si>
  <si>
    <t xml:space="preserve"> Laptop i7, 15.6" 5th Gen 1TB w/ Accessories (bag &amp; mouse) 3 in 1 Printer Continous Ink</t>
  </si>
  <si>
    <t xml:space="preserve"> AMPALAYA EGGPLANT OKRA SITAW PATOLA</t>
  </si>
  <si>
    <t xml:space="preserve"> RFQ NO. 20-0562 PHILGEPS REFERENCE NO: _______________ REQUEST FOR QUOTATION NO. 20-0562 The Department of Health Center for Health Development Bicol (DOH CHD Bicol) through its Bids and Awards Committee will undertake an Alternative Method of Procurement</t>
  </si>
  <si>
    <t xml:space="preserve"> OFFICE: MUNICIPAL AGRICULTURE PURPOSE: FOR POULTRY PRODUCTION-EGG TYPE FEED MAINTENANCE ABC: 51,150.00 ITEM DESCRIPTION 31 BAG LAYER CRUMBLE/MASH (PREMIUM)</t>
  </si>
  <si>
    <t xml:space="preserve"> INVITATION TO BID The LOCAL GOVERNMENT UNIT OF SANTO TOMAS,  through its Bids and Awards Committee (BAC), invites suppliers/ manufacturers/distributors/ contractors to apply for eligibility and to bid for the hereunder projects to be undertaken on  Septem</t>
  </si>
  <si>
    <t xml:space="preserve"> SUPPLY AND DELIVERY OF SIGNAGES &amp; ACCESSORIES for use in the fabrication of bridge load limit signs. For the implementation of Maintenance of National Roads and Bridges.</t>
  </si>
  <si>
    <t xml:space="preserve"> LGU – Sierra Bullones     					  Contractor Reference Number 	                                                                                             		                                                                                  								        </t>
  </si>
  <si>
    <t xml:space="preserve"> REFER TO ATTACH</t>
  </si>
  <si>
    <t xml:space="preserve"> 1.	The Local Government Unit (LGU) of Aroroy, through its Supplemental Budget No. 05-2020 to apply the sum of Php 475,000.00 being the Approved Budget for the Contract (ABC) to payments under the contract for Supply and Delivery of Various Seedlings for L</t>
  </si>
  <si>
    <t xml:space="preserve"> Please see attached BAC Resolution</t>
  </si>
  <si>
    <t xml:space="preserve"> Republic of the Philippines Province of Cotabato Municipality of Arakan BIDS AND AWARDS COMMITTEE REQUEST FOR QUOTATION  	SUPPLY OF ORDINARY RICE The Local Government Unit of Arakan is inviting interested suppliers to submit price quotation to the followi</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</si>
  <si>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</si>
  <si>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1.Laptop - 1 unit     Processor - Intel Core i5     Memory - 8GB DDR4     Storage - 256GB SSD + 1TB HDD      Display - 15.6" LED      OS - Windows 10 Home      with carrying bag 2.Desktop Computer with Printer - 2 units     Intel core i5     Asus Motherbo</t>
  </si>
  <si>
    <t xml:space="preserve"> Republic of the Philippines  ANGELES CITY WATER DISTRICT  Angeles City  REQUEST FOR QUOTATIONS  SUPPLIER: P.R No.: 20-08-122-A ADDRESS: DATE:  CONTACT NOS.: ________________________________  Please submit your quotations for the following items on or befo</t>
  </si>
  <si>
    <t xml:space="preserve"> To purcahse supplies for brgy. use.</t>
  </si>
  <si>
    <t xml:space="preserve"> Republic of the Philippines Province of Cotabato Municipality of Arakan BIDS AND AWARDS COMMITTEE REQUEST FOR QUOTATION  	SUPPLY OF MEALS &amp;SNACKS FOR YDP The Local Government Unit of Arakan is inviting interested suppliers to submit price quotation to the</t>
  </si>
  <si>
    <t xml:space="preserve"> INVITATION TO BID FOR THE PROCUREMENT OF THREE (3) LOTS MAINTENANCE AGREEMENT OF STORAGE, SERVERS AND UPGRADE OF HYPERVISOR SOFTWARE FOR A PERIOD OF TWO (2) YEARS under ITB No. PB20-07-038COR The Philippine Amusement and Gaming Corporation (PAGCOR) is inv</t>
  </si>
  <si>
    <t xml:space="preserve"> 1.	The Local Government Unit (LGU) of Aroroy, through its Annual Budget 2020 to apply the sum of Php 233,844.00 being the Approved Budget for the Contract (ABC) to payments under the contract for Supply and Delivery of Drugs and Medicines (4th Quarter) fo</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</si>
  <si>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</si>
  <si>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please see attached document</t>
  </si>
  <si>
    <t xml:space="preserve"> Request for Quotation			Date:		 			Quotation No.:		 2020-08-076-Aug  Company Name 					 					 Address					 					 	Please quote your lowest price on the items listed below, subject to the General Conditions ln the last				 page stating the shortest time of</t>
  </si>
  <si>
    <t xml:space="preserve"> Republic of the Philippines					 	Department of Health					 	Center For Health Development - Bicol					 	Legazpi City					 	                                                Trunk line (052) 483-5659, 483-5656 local 553 or 554 742-1728 FAX local no. 104				</t>
  </si>
  <si>
    <t xml:space="preserve"> Please quote your lowest price on the job/items listed (please use attached Request for Quotation and send it back to us), subject to the Specifications and Terms and Conditions provided herein, stating the shortest time of delivery and submit your quotat</t>
  </si>
  <si>
    <t xml:space="preserve"> Veterinary Medicines</t>
  </si>
  <si>
    <t xml:space="preserve"> Republic of the Philippines DEPARTMENT OF PUBLIC WORKS AND HIGHWAYS BATANGAS II  DISTRICT ENGINEERING OFFICE REGIONAL OFFICE IV-A Kumintang Ilaya, Batangas City INVITATION TO BID For Construction of Road, Brgy. Locloc, Bauan, Batangas  1.	The Department o</t>
  </si>
  <si>
    <t xml:space="preserve"> UNIT         DESCRIPTION                                             QUANTITY reams	Bond Paper (Long)	                                  30 reams	Bond Paper (A4)	                                  20 reams	Bond Paper (Short)	                                </t>
  </si>
  <si>
    <t xml:space="preserve"> Republic of the Philippines						 Province of Misamis Oriental						 MUNICIPALITY OF VILLANUEVA						 REQUEST FOR QUOTATION						 Quotation No. 2020- ____________						 ________________________						                                                        </t>
  </si>
  <si>
    <t xml:space="preserve"> Republic of the Philippines DEPARTMENT OF PUBLIC WORKS AND HIGHWAYS BATANGAS II  DISTRICT ENGINEERING OFFICE REGIONAL OFFICE IV-A Kumintang Ilaya, Batangas City INVITATION TO BID For Construction of Road, Brgy. San Vicente, Bauan, Batangas  1.	The Departm</t>
  </si>
  <si>
    <t xml:space="preserve"> Purchase and Delivery of Materials for the Construction of 3m x 6m Rice Shed</t>
  </si>
  <si>
    <t xml:space="preserve"> Please see attached RFQ for the full description of the items and for terms and conditions. Please submit your quotation on or before the closing date in our office or thru email at nmmcprocurement.rfq@gmail.com.</t>
  </si>
  <si>
    <t xml:space="preserve"> OFFICE SUPPLIES AND DEVICES</t>
  </si>
  <si>
    <t xml:space="preserve"> Purchase of Construction Materials &amp; Supplies-Nangalisan</t>
  </si>
  <si>
    <t xml:space="preserve"> Republic of the Philippines Province of Cotabato Municipality of Arakan BIDS AND AWARDS COMMITTEE REQUEST FOR QUOTATION  	SUPPLY OF  1 UNIT DRONE WITH COMPLETE ACCESSORIES  The Local Government Unit of Arakan is inviting interested suppliers to submit pri</t>
  </si>
  <si>
    <t xml:space="preserve"> The Department of Agriculture-RFO 3, invites interested suppliers to submit quotations/proposals for the hereunder requirement, to wit: ITEM NO.	QTY.	UNIT	ITEMS &amp; DESCRIPTION		UNIT PRICE	TOTAL AMOUNT	BRAND/MODEL 							 	7	bottle	RNAse Away Surface Decont</t>
  </si>
  <si>
    <t xml:space="preserve"> PACKAGE: MEALS AND SNACKS WITH ACCOMMODATION GOOD FOR FIVE (5) DAYS. ( Day One) - 25 pax 2 meals and 2 snacks for 25 pax w/ accomodation. Meal menu: Lunch Rice  Mixed Vegetable Fish Tinola Drinks Fruits Meal menu:  Dinner Rice Beef Steak Vegetable Drinks </t>
  </si>
  <si>
    <t xml:space="preserve"> 254	pcs	PAANO MAGPAKATAO 5 WT K-12' 18 255	pcs	PAANO MAGPAKATAO 6 WT K-12' 18 128	pcs	PAANO MAGPAKATAO 8 WT' 2019 128	pcs	E-MATH 8 WT' 2019 ED 128	pcs	SCIENCE LINKS 8 WT K-12 ED'20 128	pcs	KALINANGAN 8 WT K-12 2019 128	pcs	KAYAMANAN: KASAYSAYAN NG DAIGDIG</t>
  </si>
  <si>
    <t xml:space="preserve"> various ink and paper long</t>
  </si>
  <si>
    <t xml:space="preserve"> 1900		reams		Bond Paper; A4, 70 gsm. 3300		pcs		Expanded Envelope, Long 50		bottles		Ink; Brother, Black, Dye, Refill 15		bottle		Ink; Brother, Cyan, Dye, Refill 15		bottle		Ink; Brother, Magenta, Dye, Refill 15		bottle		Ink; Brother, Yellow, Dye, Refill </t>
  </si>
  <si>
    <t xml:space="preserve"> various items</t>
  </si>
  <si>
    <t xml:space="preserve"> Laptop Computers (HP Pavillion core i5, 14 inch monitor, windows 10) Voice Recorder (Record in MP3/LPCM with a high sensitivity S-Microphone Focus and wide microphone modes to suit lectures or meetings) Digital Camera (Small form factor DSLR weighing  400</t>
  </si>
  <si>
    <t xml:space="preserve"> To purchase supplies for brgy. use.</t>
  </si>
  <si>
    <t xml:space="preserve"> Please provide the following documents: 1. Recent Business Permit 2. DTI Permit 3. Philgeps Registration Please see attached Documents</t>
  </si>
  <si>
    <t xml:space="preserve"> One-Job Contract Furnishing Supplies</t>
  </si>
  <si>
    <t xml:space="preserve"> Corazon Locsin Montelibano Memorial Regional Hospital, through its Bids and Awards Committee, intends to procure TWO (2) SETS OF COMPUTER UNIT, TWO (2) UNITS OF UPS FOR DESKTOP COMPUTER, TWO (2) UNITS OF AUTOMATIC VOLTAGE REGULATOR (AVR), TWO (2) UNITS OF</t>
  </si>
  <si>
    <t xml:space="preserve"> 1. 24 piece Powder laundry soap (1 kilo per pack) 2. 24 bottle Fabric conditioner (800ml/bottle) 3. 12 piece Insect killer, spray (medium size) 4. 12 piece Disinfectant spray, big 5. 24 gallon Bleach  6. 12 piece Microfiber towel 7. 12 bag Toilet paper (1</t>
  </si>
  <si>
    <t xml:space="preserve"> BIDS AND AWARDS COMMITTEE INVITATION TO BID The  Municipal Government of Labason, Zamboanga del Norte, through its Bids and Awards Committee (BAC), invites eligible suppliers/contractors to bid for the hereunder project: Name of Project and Description : </t>
  </si>
  <si>
    <t xml:space="preserve"> Materials OTHER GENERAL REQUIREMENTS: TEMPORARY FACILITY -Temporary facilities, and construction safety and health program OTHER GENERAL REQUIREMENTS: PROJECT BILLBOARD/ SIGNBOARDS -labor construction foreman unskilled laborer -materials tarpaulin barce C</t>
  </si>
  <si>
    <t xml:space="preserve"> 1   UNIT	MULTI-PURPOSE VEHICLE 		 		Specification: 		 - Multi-purpose vehicle type with fully or partially 		enclosed four-wheel general purpose utility with  		two (2) compartments: (i) front cabin/cab with 2 		side doors seating 3 passengers including t</t>
  </si>
  <si>
    <t xml:space="preserve"> Procurement of Allopurinol, Captopril, Levothyroxine, etc. (see attached Purchase Request for more detailed information)</t>
  </si>
  <si>
    <t xml:space="preserve"> - THE PROCURING ENTITY IS BARANGAY MACASING - BAC LGU SIAYAN HAS NO LIABILITY FOR THE FOREGOING PROCESS OF PROCUREMENT</t>
  </si>
  <si>
    <t xml:space="preserve"> Republic of the Philippines Municipality of Taytay Taytay, Palawan NOTICE TO BIDDERS Item # Qty Unit Description Amount 1. 1 lots Animals Feeds &amp; Other Supplies The two envelope system of procurement shall be observed, Bidding documents shall be available</t>
  </si>
  <si>
    <t xml:space="preserve"> Installation of Street Lights</t>
  </si>
  <si>
    <t xml:space="preserve"> Republic of the Philippines										 BIDS AND AWARDS COMMITTEE										 Baguio City										 (074) 300-6537/ (074)442-8795										 BID FORM										 CP No. 2020-43 Re-Bidding										August 25, 2020 Circular Proposal No.										Date Prepared The </t>
  </si>
  <si>
    <t xml:space="preserve"> Please see attached file</t>
  </si>
  <si>
    <t xml:space="preserve"> OFFICE: MUNICIPAL MAYORS OFFICE PURPOSE: TO SUPPORT IN THE ERADICATION OF ILLEGAL DRUGS  ABC: 56,000.00 ITEM DESCRIPTION  1 UNIT COMPUTER DESKTOP   INTEL CORE i5-8400 UP TO 4.0G, CACHE HARD DISK : 1TB VIDEO CARD : 2GB MONITOR 18.5 INCH LED RAM: 8GB DDRM4 </t>
  </si>
  <si>
    <t xml:space="preserve"> Republic of the Philippines Municipality of Taytay Taytay, Palawan NOTICE TO BIDDERS Item # Qty Unit Description Amount 1. 3003 pcs Rubber/Plastic Pots 2. 200 bags Organic Fertilizer 3. 50 pcs Empty Drum (150 lits, W/Cover and Lock) 4. 20 rolls Black Scre</t>
  </si>
  <si>
    <t xml:space="preserve"> PURCHASE REQUEST					 					 Barangay:		ALEJAL		P.R. No.         20-08-050	 City/Municipal:_________/ CARMEN					 					 REQUISITION					 					 Item	Qty.	Unit of	Item Description	Estimated Unit	Estimated Number		Issue		Cost	Amount 1	10	Pcs. 	Infrared Thermo</t>
  </si>
  <si>
    <t xml:space="preserve"> 20-0095 Procurement of Corrugated Boxes</t>
  </si>
  <si>
    <t xml:space="preserve"> Republic of the Philippines						 	Department of Health						 	Center For Health Development - Bicol						 	Legazpi City						 	                                                Trunk line (052) 483-5659, 483-5656 local 553 or 554 742-1728 FAX local no. 104</t>
  </si>
  <si>
    <t xml:space="preserve"> 2 lengths	25x50x1.5mm rectangular pipe		 2 lengths	25x25x1.5mm square pipe(sq.tube)		 2 lengths	25x25x3.0mm angle bar		 1 lengths	1/8"x1/2" flat bar/(12mmx3mm)		 2 lengths	Ø10mm plain round bar		 12 pcs	5/16"x1" ordinary bolt		 12 pcs	5/16"(hexagon) nut		</t>
  </si>
  <si>
    <t xml:space="preserve"> 1.	The Local Government Unit (LGU) of Aroroy, through its Annual Budget 2020 to apply the sum of Php 2,649,900.00 being the Approved Budget for the Contract (ABC) to payments under the contract for Supply and Delivery of Materials for the Repair and rehab</t>
  </si>
  <si>
    <t xml:space="preserve"> This project entails labor and materials for the construction of  12 span (3m x 1.965m) fence at Brgy. Biton, Magallanes,Sorsogon funded out BDF 2020.</t>
  </si>
  <si>
    <t xml:space="preserve"> Electrical Supplies.</t>
  </si>
  <si>
    <t xml:space="preserve"> Please DOWNLOAD attached file/s for Specifications. NOTE: Please communicate with the Contact Person indicated in this Bid Notice Abstract for any clarification/s regarding the downloaded documents. Thank you.</t>
  </si>
  <si>
    <t xml:space="preserve"> Processor Motherboard RAM Solid State Drive Casing Led Monitor Keyboard &amp; Mouse Webcam AVR Office Chair</t>
  </si>
  <si>
    <t xml:space="preserve"> Procurement of tires, Brake pads, Break pad rear, Engine oil, Oil filter</t>
  </si>
  <si>
    <t xml:space="preserve"> Title: Procurement of Services under P.R Nos. 2906-2020 (City Procurement Management Services Office),2909-2020(SP Unay-Committee on Ways and Means), 2910-2020 (SP Unay- Committee on Franchise and Licenses),2918-2020  (Communication Development Program), </t>
  </si>
  <si>
    <t xml:space="preserve"> Invitation to Bid for PROTECTION AGAINST SPECIAL DISEASES - MALARIA (CATERING)  1.	The Local Government Unit of Las Nieves, through the Budget for the Contract Approved by the Sanggunian intends to apply the sum of Sixty Four Thousand Pesos (Php 64,000.00</t>
  </si>
  <si>
    <t xml:space="preserve"> Republic of the Philippines Province of Agusan del Sur Municipality of Trento BARANGAY SAN ROQUE BIDS &amp; AWARDS COMMITTEE INVITATION TO BID  FOR THE CONCRETING OF BARANGAY STREET 1.	The BLGU-San Roque, through the Municipal Aide &amp; 20% Barangay Fund 2020 in</t>
  </si>
  <si>
    <t xml:space="preserve"> Title:Procurement of 2 Roll Electrocut Film(Red), etc. under P.R No. 3022-2020- Enforcement of Traffic Laws Totat ABC: Php 523,385.00 (INSTRUCTION AS TO THE REQUIRED FORM: For your price quotation, please use the attached Request for Quotation (RFQ) Form </t>
  </si>
  <si>
    <t xml:space="preserve"> (FORM NO. 014- INVITATION TO APPLY FOR ELIGIBILITY AND TO BID) Republic of the Philippines Sangguniang Barangay of Bigo Barangay Bigo, Pagbilao, Quezon INVITATION TO APPLY FOR ELIGIBILITY AND TO BID Date:  August 25, 2020 The  Sangguniang Barangay Bigo, P</t>
  </si>
  <si>
    <t xml:space="preserve"> 1. 50 liter Oil 40, ordinary 2. 50 liter Oil 40, special blue 3. 50 liter Oil 40, special yellow 4. 25 liter Oil 90 (gear oil) 5. 50 liter Oil 140 (gear oil) 6. 50 liter Oil 30, ordinary 7. 25 gallon Oil 10 8. 25 liter Coolant 9. 25 liter A.T.F 10. 25 can</t>
  </si>
  <si>
    <t xml:space="preserve"> Please quote your lowest price on the item(s) listed below, subject to the Terms and Conditions stated below and submit your quotation duly signed by your representative not later than 2:00 P.M. of ________________ in the return envelope attached herewith</t>
  </si>
  <si>
    <t xml:space="preserve"> Republic of the Philippines PROVINCE OF BUKIDNON Municipality of Don Carlos BIDS AND AWARDS COMMITTEE REQUEST FOR QUOATATION 									 							      Date:  							RFQ No.											    	Name of Project: 	Repair and Improvement of School Building of San Nic</t>
  </si>
  <si>
    <t xml:space="preserve"> Republic of the Philippines Province of Cavite CITY OF IMUS ooOoo BIDS AND AWARDS COMMITTEE ________________________________________ INVITATION TO BID The City Government of Imus, Province of Cavite through its Bid and Awards Committee (BAC) invites bidde</t>
  </si>
  <si>
    <t xml:space="preserve"> Republic of the Philippines Province of Leyte MUNICIPALITY OF ALBUERA BARANGAY DAMULAAN BIDS AND AWARDS COMMITTEE INVITATION TO BID  1.	The LGU, Barangay Damulaan, Albuera, Leyte, through the Budget Approved by the Sanggunian under the CY 2020 5% LDRRM Fu</t>
  </si>
  <si>
    <t xml:space="preserve"> 1 pc Supermicro Entry Tower Server with monitor, mouse &amp; keyboard 1 pc Scanner</t>
  </si>
  <si>
    <t xml:space="preserve"> Republic of the Philippines Province of Cotabato Municipality of Arakan BIDS AND AWARDS COMMITTEE REQUEST FOR QUOTATION  	SUPPLY OF  FUEL FOR CBRF The Local Government Unit of Arakan is inviting interested suppliers to submit price quotation to the follow</t>
  </si>
  <si>
    <t xml:space="preserve"> Purchase of Office Equipment for Mayors Office @ Samal, Bataan 1 unit - Industrial Fan</t>
  </si>
  <si>
    <t xml:space="preserve"> Republic of the Philippines														 Province of Occidental Mindoro														 Mamburao, Occidental Mindoro														 REQUEST FOR QUOTATION														 Date of Posting:	August 25, 2020					Ref. No.		RN 557-2020						 						PR No.		1021-2020-</t>
  </si>
  <si>
    <t xml:space="preserve"> - THE PROCURING ENTITY IS BARANGAY GUIBO - BAC LGU SIAYAN HAS NO LIABILITY FOR THE FOREGOING PROCESS OF PROCUREMENT</t>
  </si>
  <si>
    <t xml:space="preserve"> Fuel and Oil for Allah Valley Airport</t>
  </si>
  <si>
    <t xml:space="preserve"> 38 reams PAPER, MULTICOPY, 80gsm, size: 210mm x 297mm 3 pcs RECORD BOOK, 300 PAGES, size: 214mm x 278mm min 2 pcs RECORD BOOK, 500 PAGES, size: 214mm x 278mm min GLUE, all purpose, gross weight: 200 grams min 2 jars STAPLE WIRE, for heavy duty staplers, (</t>
  </si>
  <si>
    <t xml:space="preserve"> ***********************************************APPROVED BUDGET 1. 2,000 PIECE DVD RECORDABLE DISC, speed: 16x min, Php 120,000.00 4.7GB Specifications: DVD- Recordable disc &gt; Speed: 16x min. 4.75GB &gt; Packaging : preferably individually packed and sealed i</t>
  </si>
  <si>
    <t xml:space="preserve"> 1.	The Provincial Government of Davao del Norte, through CY 2020 Annual Budget Fund hereby invites all interested PhilGEPS registered suppliers to submit bids for the procurement of goods. Bids received in excess of the ABC shall be automatically rejected</t>
  </si>
  <si>
    <t xml:space="preserve"> MEDICAL SUPPLIES</t>
  </si>
  <si>
    <t xml:space="preserve"> m # 4 ACSR,AWG insulated Conductor 700 m # 1/0 ACSR,AWG insulated Conductor 2300 pcs. Wire Rack w/ 2-spool Insulator 5 pcs. 5/8"x 12" Eye Bolt w/ locknut and hole washer 44 pcs. 5/8"x 12" Eye Bolt 44 pcs. Secondary Swinging Clevis 44 pcs. 1-3/4" Spool Ins</t>
  </si>
  <si>
    <t xml:space="preserve"> One (1) Unit Desktop with Complete Accessories</t>
  </si>
  <si>
    <t xml:space="preserve"> Procurement of Biscuits 200g (12pcs) &amp; 8 LI</t>
  </si>
  <si>
    <t xml:space="preserve"> Repair &amp; Maintenance of RP vehicle SCK 567 (fuego)</t>
  </si>
  <si>
    <t xml:space="preserve"> INVITATION TO BID PROCUREMENT OF SEAT TYPE, PORCELAIN TOILET BOWLS IB NO. 2020-05 1.	The Department of Health-Eastern Visayas Center for Health Development through the Bids and Awards Committee (BAC) invites suppliers to bid for Procurement of Seat Type, </t>
  </si>
  <si>
    <t xml:space="preserve"> Project Billboard 1.00 lot CSHP 1.00 l.s. Concrete Footing 2.00 cu.m. Concrete Columns 2.40 cu.m. Concrete Tie beams 2.33 cu.m. Concrete roof beams 3.50 cu.m. Concrete flooring 55.40 sq.m. Form works 1.00 l.s. backfill 19.20 cu.m. Masonry works (CHB walls</t>
  </si>
  <si>
    <t xml:space="preserve"> 261 bags Cement 14.5 cu.m. Sand  29 cu.m. Gravel  40 pieces 10 mm RSB 6 kilos GI Tie Wire Ga. #16 6 pieces Ordinary Plywood 1/2" x 4' x 8' 40 pieces Cocolumber 2" x 3 x 12 10 pieces Cocolumber 2" x 6 x 12 6 kilos Assorted CWN</t>
  </si>
  <si>
    <t xml:space="preserve"> ITEM NO.	ITEM &amp; DESCRIPTION	QTY	UNIT  1	Portland Cement 40kg	134	bags 2	Washed Sand	20	cum. 3	Selected Gravel Crushed/round 1" dia max	10	cum. 4	10mm RSB	199	length 5	CHB 4"x8"16"	1,300	pcs. 6	No. 16 Tie Wire	15	kilos 7	CWN#4	7	kilos 8	CWN#3	7	kilos 9	CWN</t>
  </si>
  <si>
    <t xml:space="preserve"> Treasury Office Quantity	Unit of Issue	Item Description 1	unit	Desktop Computer -	LED monitor display: 21.5” -	Processor: Intel Core i5-9400 2.9-4.1GHZ -	Optical Drive: DVD Writer -	Memory: 8GB DOR4 -	Hard Drive: ITB HDD + 128GB SSD -	Video Graphics: Nvid</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</si>
  <si>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</si>
  <si>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UNIT            DESCRIPTION         QUANTITY kls	           Powdered Soap 	20 bars         	Bar Soap	               12 gals	       Fabric Conditioner 	5 gals  	Chlorox    	              15 pcs	      Broomstick           	15 pcs	     Broom (tambo)	      15</t>
  </si>
  <si>
    <t xml:space="preserve"> Republic of the Philippines Province of Cotabato Municipality of Arakan BIDS AND AWARDS COMMITTEE REQUEST FOR QUOTATION  	Republic of the Philippines Province of Cotabato Municipality of Arakan BIDS AND AWARDS COMMITTEE REQUEST FOR QUOTATION  	SUPPLY OF  </t>
  </si>
  <si>
    <t xml:space="preserve"> FOR OFFICIAL USE OF CENR OFFICE, OLONGAPO CITY</t>
  </si>
  <si>
    <t xml:space="preserve"> Photographic Services for SK Personnel</t>
  </si>
  <si>
    <t xml:space="preserve"> Republic of the Philippines Province of Cotabato Municipality of Arakan BIDS AND AWARDS COMMITTEE REQUEST FOR QUOTATION  	SUPPLY OF  LAPTOP &amp; DESKTOP WITH PRINTER &amp; PORTABLE SPEAKER The Local Government Unit of Arakan is inviting interested suppliers to s</t>
  </si>
  <si>
    <t xml:space="preserve"> REQUEST FOR QUOTATION Procurement Entity	:	Department of Education 				        Schools Division of Santiago City Title	                        :	Procurement of PPE’s, Medical &amp; Dental Operational Supplies for the Implementation of                         </t>
  </si>
  <si>
    <t xml:space="preserve"> Interested bidders may obtain further information of the bidding documents from the BAC Secretariat of Barangay Tagpu-an, Tubungan, Iloilo during working days starting August 26 - September 1, 2020 from 8:00 a.m. to 5:00 p.m.</t>
  </si>
  <si>
    <t xml:space="preserve"> INVITATION TO BID FOR Procurement of IT Equipment for Reproduction of Modules Date: August 2020 1.	The Local Government Unit of Jimenez, Misamis Occidental thru its Special Education Fund,  intends to apply the sum of Four Hundred Forty Nine Thousand Seve</t>
  </si>
  <si>
    <t xml:space="preserve"> POST-IT FLAG; STICK-ON NOTE PAD</t>
  </si>
  <si>
    <t xml:space="preserve"> Procurement of 19 can Canned Goods. Corned Tuna 180g &amp; 13 LI</t>
  </si>
  <si>
    <t xml:space="preserve"> ITEM NO.	ITEM &amp; DESCRIPTION	QTY	UNIT  1	1.20m x 1,35m Window	6	Sets 2	1.20m x 2.00m Window	1	Set 3	1.20m x 2.1m Sliding Door w/ Installation	1	Set 4	Partition Swing Door using 1/4 Tinted Glass on Analok with Aluminum Frame	3	Sets 5	Partition Fix Glass 48x</t>
  </si>
  <si>
    <t xml:space="preserve"> Fishing Accessories</t>
  </si>
  <si>
    <t xml:space="preserve"> Seeds for ICFP 2016 Communal Gardening</t>
  </si>
  <si>
    <t xml:space="preserve"> Various items</t>
  </si>
  <si>
    <t xml:space="preserve"> Place Delivery of Delivery: Municipal Agriculturist Office, Poblacion 4, Moncada, Tarlac Minimum Requirement(Specification) Seeds Specs/Features: 1. Germination: not less than 85% 2. Moisture content: 14% min. 3. Impurities: 10% max 4. Approx: 9-10kgs ( 7</t>
  </si>
  <si>
    <t xml:space="preserve"> Invitation to Bid for the Purchase of Various Medicines for the use of Sangguniang Kabataan Brgy. Tabangao Ambulong Batangas City.</t>
  </si>
  <si>
    <t xml:space="preserve"> Republic of the Philippines													 DEPARTMENT OF PUBLIC WORKS AND HIGHWAYS													 Sultan Kudarat 1st													 District Engineering Office													 REGIONAL OFFICE XII													 Isulan, Sultan Kudarat													 													 Name </t>
  </si>
  <si>
    <t xml:space="preserve"> - BUILDING - SITIO CALACAS, POBLACION, SIAYAN, ZAMBOANGA DEL NORTE</t>
  </si>
  <si>
    <t xml:space="preserve"> Procurement of 50 Box Biscuits 200g (12pcs) &amp; 10 LI</t>
  </si>
  <si>
    <t xml:space="preserve"> Purchase of Office Equipment Parts for MHO @ Samal, Bataan 1 pc - Image Runner 2004 Drum Roll Unit Set</t>
  </si>
  <si>
    <t xml:space="preserve"> Printing and Binding of Annual Report 2019</t>
  </si>
  <si>
    <t xml:space="preserve"> Procurement of Hepatitis B Vaccine Recombinant 20mcg/ml/vial</t>
  </si>
  <si>
    <t xml:space="preserve"> RFQ# 20-08-0316 PR# 2020-07-0913 Items: 1. Face shield - 200	pcs Minimum Requirements:  made from PVC ,the raised nasal attachment gives ample separation between nose and face which can be worn comfortably with or without prescription eyeglasses or sun gl</t>
  </si>
  <si>
    <t xml:space="preserve"> To purchase for brgy. use.</t>
  </si>
  <si>
    <t xml:space="preserve"> RFQ# 20-08-0331 PR# 2020-08-0972 Items: 1.	Alcohol, 70% ethyl, 100ml	-	600	btls 2.	Disposable Face Mask (50pcs/box)	-	100	boxes 3.	Disposable Gloves (100pcs/box)	-	20	boxes 4.	Laminating Film (100mm x 150mm) 250microsns, 100pcs/box	-	10	boxes Total Approv</t>
  </si>
  <si>
    <t xml:space="preserve"> Republic of the Philippines PROVINCE OF BUKIDNON Municipality of Don Carlos BIDS AND AWARDS COMMITTEE REQUEST FOR QUOATATION 									 							Date:  							RFQ No.											    Name of Project:  									 							End User:  Name of Company: ______________</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</si>
  <si>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</si>
  <si>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please submit your quotations based on RFQ terms &amp; conditions</t>
  </si>
  <si>
    <t xml:space="preserve"> Corazon Locsin Montelibano Memorial Regional Hospital, through its Bids and Awards Committee, intends to procure OUTSOURCE PREVENTIVE MAINTENANCE AND CALIBRATION OF EXTRACORPOREAL SHOCKWAVE LITHOTRIPSY SYSTEM, which will be undertaken in accordance with S</t>
  </si>
  <si>
    <t xml:space="preserve"> rolls	11	P.E. Pipes 2" Ø, I.S.O SDR 11	 128,150.00</t>
  </si>
  <si>
    <t xml:space="preserve"> See the attached PR</t>
  </si>
  <si>
    <t xml:space="preserve"> 500 boxes. Condom</t>
  </si>
  <si>
    <t xml:space="preserve"> Republic of the Philippines Province of Cotabato Municipality of Arakan BIDS AND AWARDS COMMITTEE REQUEST FOR QUOTATION  	SUPPLY OF  LAPTOP WITH PRINTER The Local Government Unit of Arakan is inviting interested suppliers to submit price quotation to the </t>
  </si>
  <si>
    <t xml:space="preserve"> Specifications: ENGINE:		      Type: 4-cylinder Turbo Intercooler, Common-Rail		               Direct Injection, Diesel Engine		               Bore and Stroke (mm): 95.4 x 104.9		               Displacement (cc): 2,999		               Max Power (Kw (PS)/r</t>
  </si>
  <si>
    <t xml:space="preserve"> IMPROVEMENT OF BARANGAY ROAD (FTMR) (NEW PLAZA ROAD AND ALAGOS STREET), BRGY. CUYAPIAO, PATNONGON, ANTIQUE</t>
  </si>
  <si>
    <t xml:space="preserve"> 1 unit Motorcycle</t>
  </si>
  <si>
    <t xml:space="preserve"> This project entails labor and materials for the construction  o f 1.0 m x 1m x 170m concrete pathway at Brgy. Lapinig, Magallanes, Sorsogon funded of BDF 2020.</t>
  </si>
  <si>
    <t xml:space="preserve"> Location: Brgy. Tayong Occidental, Loay, Bohol Materials: Trusses and steel beam -angular bar -cutting desk -welding rod</t>
  </si>
  <si>
    <t xml:space="preserve"> Republic of the Philippines Province of Oriental Mindoro MUNICIPALITY OF NAUJAN BIDS AND AWARDS COMMITTEE INVITATION TO BID SUPPLY AND DELIVERY OF OFFICE AND JANITORIAL SUPPLIES TO BE USED IN DIFFERENT OFFICE, NAUJAN, ORIENTAL MINDORO 1.	The Municipal Gov</t>
  </si>
  <si>
    <t xml:space="preserve"> TOTAL APPROVED BUDGET PHP 800,000.00 10 UNITS OF COMPUTER, LAPTOP / NOTEBOOK COMPUTER, LAPTOP / NOTEBOOK  Specifications: - Processor: At least 9th Generation 2.60GHz, 12 Mb Cache up to 4.50GHz 6 Cores, 12 Threads  - Memory: 16GB DDR4 SDRAM  - Storage: 25</t>
  </si>
  <si>
    <t xml:space="preserve"> Procurement of Equipment Calibration and Repair to be used at the IFSU Eye Center</t>
  </si>
  <si>
    <t xml:space="preserve"> construction materials</t>
  </si>
  <si>
    <t xml:space="preserve"> REPUBLIC OF THE PHILIPPINES																																							 Province of Davao del Sur																																							 MUNICIPALITY OF SANTA CRUZ																																							 -- oOo --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</si>
  <si>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</si>
  <si>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I. MANUAL CONCRETE MIXER MACHINE</t>
  </si>
  <si>
    <t xml:space="preserve"> Interested bidders may obtain further information of the bidding documents from the BAC Secretariat of Barangay Teniente Benito, Tubungan, Iloilo during working days starting August 26 - September 1, 2020 from 8:00 a.m. to 5:00 p.m. or thru 09991512635</t>
  </si>
  <si>
    <t xml:space="preserve"> The Department of Information and Communications Technology (DICT-MC3), through its disposal											 committee, invites all intersted parties to participate in the bidding for one (1) lot of various unserviceable 												 computers, electronic &amp; co</t>
  </si>
  <si>
    <t xml:space="preserve"> Invitation to Apply for Eligibility and to Bid The barangay Ticala Island, San Pablo, Zamboanga del Sur, through its Bids &amp; Awards Committee (BAC) invites suppliers to apply and to bid for the hereunder project: Name of Project: Construction of 3 units Pu</t>
  </si>
  <si>
    <t xml:space="preserve"> Republic of the Philippines										 BIDS AND AWARDS COMMITTEE										 Baguio City										 (074) 300-6537/ (074)442-8795										 BID FORM										 CP No. 2020-46 Re-Bidding									August 25, 2020	 Circular Proposal No.									Date Prepared	 				</t>
  </si>
  <si>
    <t xml:space="preserve"> 1	unit			Vehicle, brand new pick-up truck type 						Specifications: 						Displacement – Not less than 2400 cc 						Number of cylinders – 4 						Number of valves – 16 						Transmission category – at least 6 speed automatic 						Drivetrain – Four-whee</t>
  </si>
  <si>
    <t xml:space="preserve"> 1. School Need - 4,900 pcs of tote bag with school logo 2. Technical Specifications of tote bag Material - heavy canvass Size - 14.5" x 12" x 3" Design - with sublimated school logo 3. Approved Budget for the Contract - Php 171,500.00 4. Contract Duration</t>
  </si>
  <si>
    <t xml:space="preserve"> Republic of the Philippines Province of Quezon Municipality of Atimonan Barangay San Andres Labak  Project Reference No:  2020- Name of the Project:  CONSTRUCTION OF LOCAL ACCESS ROAD Location of the Project: Barangay San Andres Labak Atimonan, Quezon REQ</t>
  </si>
  <si>
    <t xml:space="preserve"> Supply of Crossover Utility Vehicle (CUV) (Rebid) -	Size: •	Seating Capacity – 8 •	Fuel – Gas -	Engine: •	Engine Type – 4 Cylinder •	Engine Displacement (cc) – 2.0 •	Fuel Capacity (L) – 55 -	Transmission: •	Power Transmission – 5-Speed M/T •	Front Brake/R</t>
  </si>
  <si>
    <t xml:space="preserve"> Please see attached RFQ in Associated Component or Link Below. …</t>
  </si>
  <si>
    <t xml:space="preserve"> Republic of the Philippines Province of Quezon Municipality of Atimonan Barangay San Andres Bundok Project Reference No:  2020- Name of the Project: Purchase of Rice for Senior Citizen Location of the Project: Barangay San Andres Bundok  Atimonan, Quezon </t>
  </si>
  <si>
    <t xml:space="preserve"> Procurement of various supplies and materials for the rehabilitation of ASDS office</t>
  </si>
  <si>
    <t xml:space="preserve"> Procurement of Various Office Supplies</t>
  </si>
  <si>
    <t xml:space="preserve"> Invitation to Bid for  PACKAGE 20-40:  ROAD SAFETY AND TRAFFIC MANAGEMENT 1.	The Bids and Awards Committee of the Local Government Unit of Santiago City, through the Economic Development Fund intends to apply the sum of Two Million One Hundred Thirty Seve</t>
  </si>
  <si>
    <t xml:space="preserve"> Paper multipurpose Copy A4, 70gsm at 900 reams Paper multipurpose  copy legal, 70 GSM at 680 reams</t>
  </si>
  <si>
    <t xml:space="preserve"> Republic of the Philippines										 BIDS AND AWARDS COMMITTEE										 Baguio City										 (074) 300-6537/ (074)442-8795										 BID FORM										 CP No. 2020-54 Re-Bidding									August 25, 2020	 Circular Proposal No.									Date Prepared	 				</t>
  </si>
  <si>
    <t xml:space="preserve"> Supply of: 1	5000	ltrs	Diesoline 			xxxxxx</t>
  </si>
  <si>
    <t xml:space="preserve"> Republic of the Philippines								 Province of Negros Occidental								 Municipality of La Castellana								 Bids and Awards Committee								 								 INVITATION TO APPLY FOR ELIGIBILITY AND TO BID								 								 Name of Project: 		CONSTRUCTION OF A</t>
  </si>
  <si>
    <t xml:space="preserve"> 1	1	Lot	Supply &amp; Delivery of Office Supplies 			 			Item Description:			 	40	Pcs	SIGN PEN, BLACK, liquid/gel ink, 0.5mm needle tip			 	10	Boxes	PAPER CLIP, vinyl/plastic coat, length: 32mm min			 	10	Roll	TAPE, TRANSPARENT, width: 24mm(1mm)			 	5	Pcs	STAP</t>
  </si>
  <si>
    <t xml:space="preserve"> 1      set     Hydraulic cylinder packing seal 3     pcs      Hydraulic hose 10   pcs      Bucket center tooth 20   sets     Plough bolt with  nut and washer 1    pc        exhaust mainfold gasket 1    lot      Labor pulldown and install hydraulic        </t>
  </si>
  <si>
    <t xml:space="preserve"> 1.	The Local Government Unit of Lianga intends to apply the sum of Seven  Hundred Ninety Thousand Seven Hundred Fifty Two and 97/100 (PhP 790,752.97) being the Approved Budget for the Contract (ABC) to payments under the contract for the “PACKAGE D” REPAI</t>
  </si>
  <si>
    <t xml:space="preserve"> Invitation to Bid for  PACKAGE 20-39:  CITY WASTE MANAGEMENT DISPOSAL  FACILITY DEVELOPMENT 1.	The Bids and Awards Committee of the Local Government Unit of Santiago City, through the Economic Development Fund intends to apply the sum of Six Million Two H</t>
  </si>
  <si>
    <t xml:space="preserve"> Construction of Water Impounding Dam- Brgy. Baliw I.	Dredging II.	Clearing &amp; Grubbing III.	Demolition of Structure IV.	Excavation V.	Reinforced Concrete Works VI.	Construction of Safety and Health Road Opening at Sitio Bacsil- Brgy. Jordan 105	Sub Grade P</t>
  </si>
  <si>
    <t xml:space="preserve"> Improvement of Multi-Purpose Pavement,Brgy. Ulay-Bugang,Alimodian Iloilo</t>
  </si>
  <si>
    <t xml:space="preserve"> Republic of the Philippines Province of Guimaras Municipality of Sibunag INVITATION TO BID FOR  Bid No. 2020-031, Duplicator Machine The Municipality of Sibunag through the  MSB Resolution No. 02-20 SEF (Support to Modular Instruction for the Delivery of </t>
  </si>
  <si>
    <t xml:space="preserve"> Purchase of consumables</t>
  </si>
  <si>
    <t xml:space="preserve"> The Department of Agriculture-RFO 3, invites interested suppliers to submit quotations/proposals for the hereunder requirement, to wit: SUPPLY OF LABOR, MATERIALS AND INSTALLATION OF SOLAR STREETLIGHTS LOCATED AT DA-ESLLLA, SAN MARCELINO, ZAMBALES I.     </t>
  </si>
  <si>
    <t xml:space="preserve"> 1.	1,285	box/es	Maternal Milk - 375 grams</t>
  </si>
  <si>
    <t xml:space="preserve"> INVITATION TO BID FOR THE PROCUREMENT OF FOUR (4) LOTS SUBSCRIPTION UPDATES FOR EXISTING SECURITY SOLUTIONS under ITB No. PB20-07-040COR The Philippine Amusement and Gaming Corporation (PAGCOR) is inviting all interested bidders in its forthcoming public </t>
  </si>
  <si>
    <t xml:space="preserve"> Purchase of Various Office Supplies</t>
  </si>
  <si>
    <t xml:space="preserve"> Face Mask Sanitize Liquid Soap</t>
  </si>
  <si>
    <t xml:space="preserve"> Construction of 2 Units Dug well/ Pump well Located at Sitio Bigao and Nalimattan, Barangay Minanga, San Mariano, Isabela</t>
  </si>
  <si>
    <t xml:space="preserve"> 1	18	bags	Dog food, 20 kg/bag 2	5	bottles	Daily vitamin, 180tabs/bottles 3	4	boxes	Tick and flea control, 3 pcs/box 4	3	boxes	Heartworm prevention, 6pcs/box 5	5	packs	Dewormer, 40tabs/pack 6	6	bottles	Dog soap/shampoo 			x-x-x-x-x</t>
  </si>
  <si>
    <t xml:space="preserve"> 2 units of Computer Set 							 Specs:  								 	 Processor: Inter Core i7 6th Gen. 								 	 Motherboard: with HDMI port 								 	 SSD: 120gb  								 	 HHD: 1TB 								 	 8gb RAM 								 	 2gb Video Card 								 	 Monitor 23" Widescreen LCD w/ Di</t>
  </si>
  <si>
    <t xml:space="preserve"> Please see attached Invitation to Bid</t>
  </si>
  <si>
    <t xml:space="preserve"> ITEM NO.	ITEM &amp; DESCRIPTION	QTY	UNIT  1	Portland Cement 40kg	20	lengths 2	Washed Sand	55	lengths 3	Selected Gravel Crushed/Round1" dia max	30	disc 4	10mm RSB	6	boxes 5	CHB 4"x8"xl6"	25	lengths 6	No. 16 Tie Wire	8	pcs 7	CWN#4	4	qrts 8	CWN#3	4	gallons 9	CWN</t>
  </si>
  <si>
    <t xml:space="preserve"> I. WALL FLOATING SHELF</t>
  </si>
  <si>
    <t xml:space="preserve"> INVITATION TO BID Supply &amp; Delivery of Construction Materials for Renovation of City Treasurer’s Office (One Stop Shop) City Hall Complex, Marawi City Contract ID No. 20-MC-MOOE-4 ABC: Php 1,234,206.87 August 26, 2020 1. The City Government of Marawi, int</t>
  </si>
  <si>
    <t xml:space="preserve"> 1. The [Local Government Unit of Inopacan, Leyte], through the [Approved 2020 General Fund Annual Budget under the 20% Development Fund as per Appropriation Ordinance No. 20-01 by the 14th Sangguniang Bayan of Inopacan, Leyte] intends to apply the sum of </t>
  </si>
  <si>
    <t xml:space="preserve"> RFQ# 20-08-0334 PR# 2020-07-0897 Items: 1.	Disposable Face Mask (50 pcs/box)		100	boxes 2.	Alcohol, 70%, ethyl, 500ml		70	btls 3.	Alcohol, 70%, ethyl, 250ml		70	btls 4.	Disposable Gloves (100 pcs/box)		10	boxes 5.	Scissors 6"		20	pcs 6.	Face Shield		500	p</t>
  </si>
  <si>
    <t xml:space="preserve"> ITEM No.	QNTY	UNIT OF ISSUE	ITEM DESCRIPTION  1	50	Bots	        Co-amoxilav 250mg/Suspension 2	20	Boxes	Co-amoxilav 650mg/Tab 3	70	Bots	        Amoxicillin  Drop 4	70	Bots	        Amoxicillin 125MG/Suspension 5	70	Bots	        Amoxicillin 250mg/Suspension</t>
  </si>
  <si>
    <t xml:space="preserve"> 1 set Close Circuit Camera</t>
  </si>
  <si>
    <t xml:space="preserve"> IMPROVEMENT OF BARANGAY ROAD (FTMR) (PUROK 1), BRGY. CUYAPIAO, PATNONGON, ANTIQUE</t>
  </si>
  <si>
    <t xml:space="preserve"> Request for Quotation for the Supply of Labor &amp; Materials for the Construction of KADIWA Agri-Cart 1.	The Department of Agriculture-Regional Field Office 7 (DA-RFO 7), through the General Appropriation Act for CY 2020 intends to apply the sum of Four Hund</t>
  </si>
  <si>
    <t xml:space="preserve"> ENVELOPE, DOCUMENTARY; ENVELOPE, EXPANDING KRAFT BOARD</t>
  </si>
  <si>
    <t xml:space="preserve"> 1. CONSTRUCTION OF STAIR B.5 PROJECT BILLBOARD/SIGNBOARD 1 LOT 101(1) REMOVAL OF STRUCTURE AND OBSTRUCTION 1 LUMPSUM 803(1)A EXCAVATION 12 CU.M 804(1)B EMBANKMENT 30 CU.M 900(1)A2 STRUCTURAL CONCRETE 9.50 CU.M 1046(2)A CHB NON LOAD BEARING(ICLUDING REINFO</t>
  </si>
  <si>
    <t xml:space="preserve"> EQUIPMENT RENTAL OF ROAD AND REPAIR &amp; MAINTENANCE UNDER THE FOLLOWING AREA: - NRJ (TRENTO) KAPATUNGA-PAG ASA-TAPAZ, STA. JOSEFA ROAD - NRJ ( TRENTO) POBLACION-TUDELA-STA.MARIA CIRCUMFERENTIAL ROAD - NRJ (TRENTO) POBLACION-LOWER LUCAD-AURORA, STA JOSEFA RO</t>
  </si>
  <si>
    <t xml:space="preserve"> PURPOSE: FOR MAINTENANCE USE OF AC/REF UNIT. (SEMI-ANNUAL FOR THE MONTH OF JULY-DEC., 2020) Fax your Price Quotation at Tel. Fax#: 426-30-45 / 927-64-26 local 2561 or Email at bacveterans@gmail.com. Please indicate the brand name and complete specificatio</t>
  </si>
  <si>
    <t xml:space="preserve"> The San Francisco Water District through its Bid and Award Committee invite suppliers to quote for:</t>
  </si>
  <si>
    <t xml:space="preserve"> 1.	80	ream/s	US Bond Paper Long subs. 20 2.	40	ream/s	US Bond Paper Short subs. 20 3.	50	ream/s	A4 Bond Paper 4.	20	ream/s	Mimeo short subs. 18 5.	10	ream/s	Bond Paper short (pink) 6.	200	piece/s	Folder White long 7.	40	piece/s	Folder White short 8.	200	p</t>
  </si>
  <si>
    <t xml:space="preserve"> Waterworks Materials to be used for raw materials for Organic Production</t>
  </si>
  <si>
    <t xml:space="preserve"> BIDS AND AWARDS COMMITTEE INVITATION TO BID The  Municipal Government of Labason, Zamboanga del Norte, through its Bids and Awards Committee (BAC), invites eligible suppliers/contractors to bid for the hereunder project: Name of Project and Description: C</t>
  </si>
  <si>
    <t xml:space="preserve"> Republic of the Philippines Province of Cotabato Municipality of Arakan BIDS AND AWARDS COMMITTEE REQUEST FOR QUOTATION  	SUPPLY OF  CONSTRUCTION MATERIALS FOR DONATION The Local Government Unit of Arakan is inviting interested suppliers to submit price q</t>
  </si>
  <si>
    <t xml:space="preserve"> Bids will be opened and tabulated in the presence of the bidders/suppliers on September 1, 2020 – 10:00 AM. Sealed bids submitted after 9:30 AM on September 1, 2020 shall not be accepted. Submit your quotation duly signed by you or your duly representativ</t>
  </si>
  <si>
    <t xml:space="preserve"> MATERIALS FOR THE IMPROVENENT OF WATER SUPPLY (IGNATO MAIN RESERVOIR)</t>
  </si>
  <si>
    <t xml:space="preserve"> 68	bots	    Hand sanitizer, 100ml		 68	bots      Alcohol, isop/ethyl,  100ml		 68	pcs	    face shield with eye glass frame 		 1020	pcs	    ****Vitamin C, tablet		 68	bots      handsoap, liquid  100ml		 68	pcs	    Medicine kit, bag (plastic) for TESDA API </t>
  </si>
  <si>
    <t xml:space="preserve"> REQUEST FOR QUOTATION Please quote your lowest price on the item/s listed below, subject to the conditions also listed below, stating the shortest time of delivery and submit your quotation duly signed by your representative not later than 5:00 P.M. of Se</t>
  </si>
  <si>
    <t xml:space="preserve"> 1.	The Local Government Unit (LGU) of Aroroy, through its Annual Budget 2020 to apply the sum of Php 898,390.00 being the Approved Budget for the Contract (ABC) to payments under the contract for Supply and Delivery of Drugs and Medicines (4th Quarter) fo</t>
  </si>
  <si>
    <t xml:space="preserve"> Various Drugs And Medicines</t>
  </si>
  <si>
    <t xml:space="preserve"> Supply and Delivery of Office Supplies</t>
  </si>
  <si>
    <t xml:space="preserve"> Republic of the Philippines DEPARTMENT OF PUBLIC WORKS AND HIGHWAYS CAMARINES NORTE  DISTRICT ENGINEERING OFFICE REGIONAL OFFICE V Daet, Camarines Norte REQUEST FOR EXPRESSION OF INTEREST (REOI) Contract ID		: 20CSFC02 Contract Name	: CONDUCT OF GEOTECHNI</t>
  </si>
  <si>
    <t xml:space="preserve"> PURPOSE: FOR USE IN DRM Fax your Price Quotation at Tel. Fax#: 426-30-45 / 927-64-26 local 2561 or Email at bacveterans@gmail.com. Please indicate the brand name and complete specifications.</t>
  </si>
  <si>
    <t xml:space="preserve"> RFQ# 20-08-0330 PR# 2020-08-0971 Items: 1.	Washable Face Mask (w/ DSWD/Listahanan Print and Water Resistant)	-	800	pcs 2.	ID Lace with Listahanan Print -		500	pcs 3.	Insulated Tumbler with DSWD and Listahanan Logo	-	500	pcs 	***see attached sample picture</t>
  </si>
  <si>
    <t xml:space="preserve"> 1. The [Local Government Unit of Inopacan, Leyte], through the [Approved 2020 General Fund Annual Budget under the amended and reprogrammed 5% Local Disaster Risk Reduction &amp; Management Fund Investment Program (LDRRMFIP) as per Sangguniang Bayan Resolutio</t>
  </si>
  <si>
    <t xml:space="preserve"> SUPPLY OF MATERIALS</t>
  </si>
  <si>
    <t xml:space="preserve"> For Orientation on Reporting System and Prevention Program on Ederly Abused Cases ReSPPEC Project at New Barili, Maco, Davao de Oro</t>
  </si>
  <si>
    <t xml:space="preserve"> ITEM NO.	ITEM &amp; DESCRIPTION	QTY	UNIT  1	Portland Cement	222	bags 2	Sand	20	cum.  3	Gravel	15	cum. 4	10mm dia RSB	85	length 5	#16 Tie Wire	10	kls. 6	#6" CHB	700	pcs.</t>
  </si>
  <si>
    <t xml:space="preserve"> CONSTRUCTION OF MRF  Brgy Hall, Bambang Los Baños, Laguna 1.	The BARANGAY BAMBANG of LOS BAÑOS, LAGUNA, through the 20% BDF  intends to apply the sum of TWO HUNDRED TWENTY SEVEN THOUSAND SIX HUNDRED FORTY SEVEN PESOS  AND 78/100 (₱227,647.78) being the Ap</t>
  </si>
  <si>
    <t xml:space="preserve"> INVITATION TO BID FOR THE PURCHASE OF LAPTOP OF MTO; TO WIT: PLEASE SEE ATTACHED SPECIFICATIONS: 1. The Local Government Unit of Tanauan, Leyte through General Fund intends to apply the sum of FIFTY THOUSAND  PESOS ONLY (P50,000.00), inclusive of all appl</t>
  </si>
  <si>
    <t xml:space="preserve"> 800(1) CLEARING AND GRUBBING 280 SQ.M 803(1) STRUCTURE EXCAVATION (UNCLASSIFIED) 210 CU.M 505(5) GROUTED RIPRAP (CLASS A) 301.35 CU.M 900(1)B4 PLAIN AND REINFORCED CONCRETE WORKS 32.20 CU.M B.5 PROJECT SIGN BOARD 1 LOT</t>
  </si>
  <si>
    <t xml:space="preserve"> ITEM NO.	ITEM &amp; DESCRIPTION	QTY	UNIT  1	1.5mm x2"x4"x6.0m Rec. Tube Top, Bot. &amp; Web member	20	lengths 2	1.2mm x 2"x3"x4.0m CEE Purlins	55	lengths 3	Steel Cutting Disc	30	disc 4	Welding Electrodes (tiny)	6	boxes 5	12mm dia x 6.0m Plain Bar (Sagrod &amp; Cross </t>
  </si>
  <si>
    <t xml:space="preserve"> THE OFFICE OF THE CITY SOCIAL WELFARE &amp; DEVELOPMENT OFFICER, SAN CARLOS CITY, PANGASINAN IS IN NEED OF THE FOLLOWING PRINTED FORMS: 1000 PCS PURCHASE BOOKLET (MEDICINES) SENIOR CITIZEN 1500 PCS PURCHASE BOOKLET (GROCERY) SENIOR CITIZEN 1500 PCS SENIOR CIT</t>
  </si>
  <si>
    <t xml:space="preserve"> Republic of the Philippines Province of Cavite CITY OF IMUS ooOoo 	BIDS AND AWARDS COMMITTEE			 ________________________________________ 	 INVITATION TO BID The City Government of Imus, Province of Cavite through its Bid and Awards Committee (BAC) invites</t>
  </si>
  <si>
    <t xml:space="preserve"> Tablet (10 inches, 3g ram) Pocket Wifi</t>
  </si>
  <si>
    <t xml:space="preserve"> Agricultural Training Institute Regional Training Center, MiMaRoPa (ATI-RTC-MiMaRoPa) invites interested bidders/suppliers to submit quotation/proposals for the here under requirement: Expansion of Meat Processing Hub ATI-RTC-MIMAROPA Barcenaga, Naujan, O</t>
  </si>
  <si>
    <t xml:space="preserve"> Procurement of Office Supplies</t>
  </si>
  <si>
    <t xml:space="preserve"> Republic of the Philippines Province of Cagayan Municipality of Sta. Praxedes BIDS AND AWARDS COMMITTEE	 Invitation to Bid Supply and Delivery of Construction Materials of 3 Units Picnic Shed @ Portabaga Falls Park &amp; Resort ITB – Goods – 2020 -08-047 1.	T</t>
  </si>
  <si>
    <t xml:space="preserve"> Renovation of Central MRF and Assemble of Several Signages Barangay Matictic, Norzagaray, Bulacan</t>
  </si>
  <si>
    <t xml:space="preserve"> Tubular Pipe 1"x1"x20 schedule 40 Stainless Shoptin 1"O Stainless Shoptin 1/2" O Cylindrical Hinges 1.5"O Stainless Welding Rod Angle Bar 1/4" 1.5x1.5"20 Flat Bar 1/4"x2"x20 Welding Rod Roller Brush 2" Epoxy Reducer  Epoxy Primer</t>
  </si>
  <si>
    <t xml:space="preserve"> Specifications: ENGINE:		 Engine Technology	: Direct Injection Four-Stroke Common Rail Diesel (D4D) Type		            : 2.4L Diesel, 4-Cylinder, 16-Valve DOHC Variable Nozzle 		             Turbo with Front Mounted Intercooler Displacement		: 2.4L  Maximu</t>
  </si>
  <si>
    <t xml:space="preserve"> UNIT                  QUANTITY                 DESCRIPTION REAM                 198                           A4 BOND PAPER, SUBSTANCE 20 SETS                  11                            003 PRINTER INK</t>
  </si>
  <si>
    <t xml:space="preserve"> ITEM NO.	ITEM &amp; DESCRIPTION	QTY	UNIT  1	Portland Cement	40	Bags 2	Washed Sand	5	Cum. 3	Selected Gravel crushed/round l" dia max	5	Cum. 4	CHB 0.1x0.2x0.4m	560	Pcs 5	10mm RSB	30	Length 6	12mm RSB	10	Length 7	No. 16 Tie Wire	4	Kilos 8	5mm Ord. Plywood	2	Shee</t>
  </si>
  <si>
    <t xml:space="preserve"> PURCHASE OF VARIOUS CONSTRUCTION MATERIALS AND LABOR OF DAY CARE CENTER ,POB.WEST, OTON,ILOILO</t>
  </si>
  <si>
    <t xml:space="preserve"> SUPPLY AND DELIVERY OF VARIOUS MEDICAL SUPPLIES AND EQUIPMENTS AT THE RURAL HEALTH UNIT OF THIS MUNICIPALITY</t>
  </si>
  <si>
    <t xml:space="preserve"> Construction of Level II Spring Development located at Sitio Villa Ancheta, Diviguen, Nalimattan, Barangay Minanga, San Mariano, Isabela</t>
  </si>
  <si>
    <t xml:space="preserve"> Republic of the Philippines Province of Guimaras Municipality of Sibunag INVITATION TO BID FOR  Bid No. 2020-032, Provision of Furnitures and Fixtures and Construction of Kitchen and Barracks for Sibunag Police Station The Municipality of Sibunag through </t>
  </si>
  <si>
    <t xml:space="preserve"> Republic of the Philippines Province of Cotabato Municipality of Arakan BIDS AND AWARDS COMMITTEE  Invitation to Bid  CONSTRUCTION OF GENDERIZED TOILET FOR DCC OF ( 7) DIFFERENT BARANGAY  1.	The Local Government Unit of Arakan, through the GENERAL FUND  i</t>
  </si>
  <si>
    <t xml:space="preserve"> Republic of the Philippines Province of Cotabato Municipality of Arakan BIDS AND AWARDS COMMITTEE RE BID FOR SUPPLY OF FUEL &amp; LUBRICANTS FOR SITE DEVELOPMENT OF RELOCATION SITE  OF BRGY. GANATAN &amp; LIBERTAD 1.	The Local Government Unit of Arakan, through t</t>
  </si>
  <si>
    <t xml:space="preserve"> Republic of the Philippines Province of Leyte Municipality of Hilongos Barangay PONTOD REQUEST FOR QUOTATION ________________ DATE _____________________ _____________________ .        Please quote your lowest price on the items/listed below for theProcure</t>
  </si>
  <si>
    <t xml:space="preserve"> Technical Specifications                                       Properties	Printer (Procured/ Supplier 		                                       Paper Size	8.25x10.75		                                       Paper Tickness	48.8 gsm		                         </t>
  </si>
  <si>
    <t xml:space="preserve"> Purchase of Plastic Envelope</t>
  </si>
  <si>
    <t xml:space="preserve"> Construction Materials for the construction of Footbridge (Brgy. Cabulihan)</t>
  </si>
  <si>
    <t xml:space="preserve"> SCHOOL AND OFFICE SUPPLIES FOR THIRD QUARTER</t>
  </si>
  <si>
    <t xml:space="preserve"> Republic of the Philippines LOCAL GOVERNMENT OF MACALELON Macalelon, Quezon OFFICE OF THE BIDS AND AWARDS COMMITTEE INVITATION TO BID The municipality of Macalelon, Quezon through its Bids and Awards Committee (BAC) invites interested bidders/suppliers to</t>
  </si>
  <si>
    <t xml:space="preserve"> Filing Cabinet and 6-Panel Divider (PR#20-01-0045) A) 3-Drawers Vertical Filing Cabinet with anti-tilted lock/KD with steel handle and hanging A4, FC, letter and legal size file B) 6- Panel Divider dimension: L70" x H70.25" material: wood Color: colorful </t>
  </si>
  <si>
    <t xml:space="preserve"> UNIT  ITEM/DESCRIPTION    QTY ream   Paper multicopy 80gsm size 210 mm 297mm (A4)   500</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</si>
  <si>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</si>
  <si>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INVITATION TO BID The Municipal Government of La Trinidad through the Bids and Awards Committee (BAC) invites contractors to bid for the hereunder project: Contract Reference No.: POW - 8751 - 2020 - SHN - 03 Name of Project: Construction of Shilan-Jappa-</t>
  </si>
  <si>
    <t xml:space="preserve"> 1   lot   Local Area Network for the new Tuy Water District Building</t>
  </si>
  <si>
    <t xml:space="preserve"> Office Supply  :   Php 91, 548.00</t>
  </si>
  <si>
    <t xml:space="preserve"> The Cagayan State University is pleased to invite you to quote your lowest price on the item/s listed below, stating the shortest time of delivery and submit your quotation duly signed by you, or by your authorized representative not later than 3 days in </t>
  </si>
  <si>
    <t xml:space="preserve"> Project Description Length 250 In. mtrs. Thickness 100 mm. Width 0.6 mtrs. Estimates I. Preparation of Base II. Concrete Pavement</t>
  </si>
  <si>
    <t xml:space="preserve"> Republic of the Philippines PROVINCE OF SOUTHERN LEYTE Municipality of Hinunangan REQUEST FOR QUOTATION The Municipality of Hinunangan, through the Bids and Awards Committee will undertake a Small Value Procurement for the Supply and Delivery of Medicines</t>
  </si>
  <si>
    <t xml:space="preserve"> Republic of the Philippines				 Province of Lanao del Norte				 Municipality of Lala				 Office of the Municipal General Services				 				 				Date CANVASS				 				 				 	Sir/Madam:			 	Please quote your lowest price for the following materials/articles f</t>
  </si>
  <si>
    <t xml:space="preserve"> Republic of the Philippines PROVINCIAL GOVERNMENT OF EASTERN SAMAR Capitol Building, Borongan, Eastern Samar, 6800 Tel No. (055)-560-8312 E-mail Address: esamar.bac@gmail.com BIDS AND AWARDS COMMITTEE (BAC) INVITATION TO BID FOR THE  PROCUREMENT OF GOODS </t>
  </si>
  <si>
    <t xml:space="preserve"> Construction of Materials Recovery Facility (MRF)</t>
  </si>
  <si>
    <t xml:space="preserve"> Negotiated Procurement For the meals for Family Day Cum Clean-up/Disinfecting the Municipal Hall building including offices and it's surroundings in connection with the Philippine Civil Service month Celebration on September.</t>
  </si>
  <si>
    <t xml:space="preserve"> ELECTRICAL SUPPLIES</t>
  </si>
  <si>
    <t xml:space="preserve"> Replacement of Toilet Bowls with Flush and Construction of Washing Facility (Labor and Materials) 87,897.78 pls. see attached PR and POW. for inquiries, pls. contact the proponent, Ms. Cynthia T. Montañez at 299-7313</t>
  </si>
  <si>
    <t xml:space="preserve"> Republic of the Philippines Province of Leyte Municipality of Hilongos INVITATION TO RE-BID FOR THE PROCUREMENT OF OFFICE SUPPLIES 1.  The Local Government Unit of Hilongos, through GENERAL FUND-CURRENT APPROPRIATION- intends to apply the sum TWENTY THOUS</t>
  </si>
  <si>
    <t xml:space="preserve"> Repair of Multi-Purpose Hall at Sitio Bigao, Barangay Minanga, San Mariano, Isabela</t>
  </si>
  <si>
    <t xml:space="preserve"> 1.	20 bots. – Disinfectant Spray 510g 2.	20 pcs. – Hand towel 26 x 11 3.	100 pcs. – Garbage bag yellow 25 x 50 4.	100 pcs. - Garbage bag green 25 x 50 5.	1,000 pcs - Garbage bag black 11 x 11 x 24 6.	100 pcs - Garbage bag black 18 x 18 x 33 7.	5 gal. – Di</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</si>
  <si>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</si>
  <si>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Information and Communication Technology Repair and Maintenance - Other Structure for Field Office 12      -unit Repair and Maintenance Structural Scope	 	 Structured Cabling for PABX Telephone System	 Specification:	 IO Data Port	    -30 Patch 1M	       </t>
  </si>
  <si>
    <t xml:space="preserve"> Republic of the Philippines PROVINCE OF ROMBLON Municipality of San Fernando Invitation to Bid for  EXPANSION OF POTABLE WATER SUPPLY SYSTEM LEVEL III IN BRGY. AZAGRA, BRGY. CAMPALINGO, BRGY. PANANGCALAN AND BRGY. PILI The Local Government Unit of San Fer</t>
  </si>
  <si>
    <t xml:space="preserve"> 2 units      Lateral Cabinet, 3 layers     Specification:      1.	Steel, Gauge 22      2.	Plain finish, Color – Gray 2 units      Filing Cabinet, 4 drawers     Specification:      1.	Anti-Tilt Mechanism and Gen. Locking System      2.	Duplicate Keys      </t>
  </si>
  <si>
    <t xml:space="preserve"> pc	Brown envelope		                                       7000 pc	black ballpen (HBW)		                               7000 pc	Rechargeable Energizer Battery AAA (Max)		36 pc	Rechargeable Energizer Battery AA		        12 pc	Correction tape		               </t>
  </si>
  <si>
    <t xml:space="preserve"> BIDS AND AWARDS COMMITTEE INVITATION TO BID The  Municipal Government of Labason, Zamboanga del Norte, through its Bids and Awards Committee (BAC), invites eligible suppliers/contractors to bid for the hereunder project: Name of Project and Description:Co</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</si>
  <si>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</si>
  <si>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Flower wreath</t>
  </si>
  <si>
    <t xml:space="preserve"> Procurement of Meals during the CHS activities</t>
  </si>
  <si>
    <t xml:space="preserve"> TOTAL APPROVED BUDGET PHP 150,000.00 One (1) unit DOCUMENT SCANNER, High Speed, Heavy Duty Flatbed Document Scanner with High Speed Duplex Automatic Document Feeder (ADF) * At least A3 Colour Scanner speed up to 80 ipm * At least 600 DPI scanning * Easy F</t>
  </si>
  <si>
    <t xml:space="preserve"> Republic of the Philippines Province of Davao del Sur MUNICIPALITY OF STA.CRUZ INVITATION TO BID  PROCUREMENT OF COMPUTERS, PRINTERS AND FILING CABINETS FOR OFFICE USE - 2ND POSTING (ITB No. 28-Goods-2020) 1.	The Local Government Unit of Sta. Cruz, Davao </t>
  </si>
  <si>
    <t xml:space="preserve"> 10 rolls  Trapal  4  rolls  Acetate  54 pcs  Bamboo Pole  12.5 kls  Assorted Common Nails   10 rolls  Scotch Tape (big)</t>
  </si>
  <si>
    <t xml:space="preserve"> As per attached documents</t>
  </si>
  <si>
    <t xml:space="preserve"> Household disinfectant, Powder Soap, Big Drum, Water Pail, Water Dipper, Brush with handle, Water hose, Personal Protective Suit, Wooden Push Cart, Power Spray</t>
  </si>
  <si>
    <t xml:space="preserve"> 2     units      Photo copier</t>
  </si>
  <si>
    <t xml:space="preserve"> 182 lengths uPVC Pipes #100mm dia (4" dia) x 6m (S-10) x-x-x-x-x nothing follows x-x-x-x-x-x</t>
  </si>
  <si>
    <t xml:space="preserve"> GRADE                            ENROLMENT              NO. OF COPIES       TOTAL NO OF COPIES      AMOUNT        K                                        93                                48                    4 464  X .70  =            3 124.80     1   </t>
  </si>
  <si>
    <t xml:space="preserve"> TECHNOLOGICAL UNIVERSITY OF THE PHILIPPINES  VISAYAS				 Capt. Sabi St., City of Talisay, Negros Occidental				 				       PROCUREMENT OFFICE				 				 REQUEST FOR QUOTATION				 				 			August 24, 2020	 __________________________________  				             </t>
  </si>
  <si>
    <t xml:space="preserve"> Various Fuels</t>
  </si>
  <si>
    <t xml:space="preserve"> Purchase of Additional CCTV Camera</t>
  </si>
  <si>
    <t xml:space="preserve"> Agricultural Training Institute Regional Training Center, MiMaRoPa (ATI-RTC-MiMaRoPa) invites interested bidders/suppliers to submit quotation/proposals for the here under requirement: Training on Animal Health Care and Management for BAHW Brooke's Point,</t>
  </si>
  <si>
    <t xml:space="preserve"> Water Meter 1/2, plus 1/2 Brass Check Valve (Swing Type) Brass Body, Class B, with tail piece, anti-magnetic device with strainer at inlet. Shall conform with the requirements of ISO 4064 and LWUA specifications. With official accuracy test certificates a</t>
  </si>
  <si>
    <t xml:space="preserve"> Quantity	Unit of Issue	Item Description		Stock No.	Estimated Unit Cost	TOTAL 		Labor and Materials				 1	Unit	Aluminum  for 6 Sliding window Using Clear acrylic plastic with complete accessories		1	22,000.00	22,000.00 1	unit	Upholstery Chair		2	3,500.00	3</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</si>
  <si>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</si>
  <si>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Improvement/Widening of Jordan-Cabulalaan FMR- Brgy. Jordan 	IMPROVEMENT OF FMR 101	Removal of Structures &amp; Obstruction (Removal of Existing Pavement) 103	Structure Excavation 506	Stone Masonry 500	Pipe Culverts &amp; Storm Drains 201	Aggregate Base Course 31</t>
  </si>
  <si>
    <t xml:space="preserve"> Republic of the Philippines Province of Surigao del Sur MUNICIPALITY OF LANUZA REQUEST FOR EXPRESSION OF INTEREST FOR Conduct Ground Delineation Survey of Community Protected Areas at Barangay Nurcia, Sibahay,Zone III, Mampi and Pakwan. The Municipality o</t>
  </si>
  <si>
    <t xml:space="preserve"> Republic of the Philippines LOCAL GOVERNMENT OF MACALELON Macalelon, Quezon          OFFICE OF THE BIDS AND AWARDS COMMITTEE INVITATION TO BID The municipality of Macalelon, Quezon through its Bids and Awards Committee (BAC) invites interested bidders/sup</t>
  </si>
  <si>
    <t xml:space="preserve"> Pls see Attached</t>
  </si>
  <si>
    <t xml:space="preserve"> 1    lot       Telephone Connection for the New Tuy Water District Building</t>
  </si>
  <si>
    <t xml:space="preserve"> Foam with matress 36"x75"x4" Heavy Duty</t>
  </si>
  <si>
    <t xml:space="preserve"> 1	1	Job	Printing &amp; Delivery of NIA Primer &amp; Flyer			 			Description:			 	10000	Pcs	NIA PRIMER 2020 11 5/8" x 16 1/2" (A3) two folds Color: Full colors 4/4 Paper: Chromecote or equivalent C2S 100# Process: Offset Printing With Layout 			 	10000	Pcs	NIA FLY</t>
  </si>
  <si>
    <t xml:space="preserve"> Republic of the Philippines OFFICE OF THE PUNONG BARANGAY Barangay LOCSOON Province of Misamis Occidental INVITATION TO BID The Office of the Punong Barangay of Barangay Locsoon through its Bids and Awards Committee [BAC], invites supplier/s registered wi</t>
  </si>
  <si>
    <t xml:space="preserve"> I.    MOB. / DEMOB.        -          1.00     L.S. II.   PCCP                       -         13.50    CU.M.</t>
  </si>
  <si>
    <t xml:space="preserve"> Please see the attached ITB for the specifications of the item.</t>
  </si>
  <si>
    <t xml:space="preserve"> Procurement of Various Air-conditioning Unit. Interested bidders can download the attached file for complete specifications and requirements. Please send your quotation thru this email: caysiebagsit.ritm@gmail.com Note: Kindly make our PR# as a subject of</t>
  </si>
  <si>
    <t xml:space="preserve"> Construction of Multi-Purpose Building</t>
  </si>
  <si>
    <t xml:space="preserve"> SUPPLY AND DELIVERY OF VARIOUS MEDICINES</t>
  </si>
  <si>
    <t xml:space="preserve"> 140 reams Bondpaper, A4 28 box Fastener Metal 230 pcs Plastic Envelop, Expanding 9 pcs Tape, Transparent 10 box Staple Wire, Standard 40 bottle Ink T664(Black) 15 bottle Ink T664(Cyan) 15 bottle Ink T664(Magenta) 15 bottle Ink T664(Yellow)</t>
  </si>
  <si>
    <t xml:space="preserve"> REQUEST FOR QUOTATION -Supply, Delivery, Wiring and Installation of One (1) Unit Automatic Transfer Switch                                           for 80KVACummins Genset Area of Delivery 	:	 DBP Ipil Branch Building, Poblacion, Ipil, Zamboanga Sibugay </t>
  </si>
  <si>
    <t xml:space="preserve"> PURPOSE: FOR MAINTENANCE USE OF AC/REF. UNIT. (SEMI-ANNUAL FOR THE MONTH OF JULY-DEC., 2020) Fax your Price Quotation at Tel. Fax#: 426-30-45 / 927-64-26 local 2561 or Email at bacveterans@gmail.com. Please indicate the brand name and complete specificati</t>
  </si>
  <si>
    <t xml:space="preserve"> 500 REAMS COUPON BOND 70GSM (LEGAL SIZE)</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</si>
  <si>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</si>
  <si>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***see attached document***</t>
  </si>
  <si>
    <t xml:space="preserve"> Item #	UNIT	ITEM &amp; DESCRIPTION			QTY. 1	pc 	12-DIGIT NUMBERING STAMP			4 2	cn 	AIR FRESHENER, aerosol, 280ml/150g min			6 3	btl 	ALCOHOL, ethyl, 68%-70%, scented, 500ml (-5ml)			46 4	pc 	BALLPEN, BP-S, Fine, Blue			28 5	pc 	BATTERY, 9V			3 6	pck 	Battery,</t>
  </si>
  <si>
    <t xml:space="preserve"> Purchase of Office Equipment for Office Modernization of Office of Sangguniang Bayan, LGU San Andres, Romblon 	The Municipal Government of San Andres, Romblon through Capital Outlay (Regular Budget 2020) intends to apply the sum of Three Hundred Thousand </t>
  </si>
  <si>
    <t xml:space="preserve"> ACUs for the newly-renovated areas, including freight, installation, electrical wiring connections and electrical supplies, masonry materials, and labor (to be installed at the CSC Regional Office V, Rawis, Legazpi City)</t>
  </si>
  <si>
    <t xml:space="preserve"> UNIT                         QUANTITY                               DESCRIPTION     REAM                              273                                       A4 BOND PAPER SUBSTANCE 20 CART                                52                              </t>
  </si>
  <si>
    <t xml:space="preserve"> Bond paper (long)                      95        22,800.00 Bond paper (short)                     25          5,250.00 Genuine Ink (refill)                     40        15,800.00 Staple Wire                                 4              220.00 Paper Fas</t>
  </si>
  <si>
    <t xml:space="preserve"> 10,000 pieces Specimen container for stool with screen cap, disposable plastic with spoon, sterile 5,000 pieces Specimen container for urine with screen cap, disposable with calibration, sterile</t>
  </si>
  <si>
    <t xml:space="preserve"> REQUEST FOR QUOTATION (RFQ) PRINTING OF GHG COMMUNITY LEVEL GHG INVENTORY MANUAL UNDER EMB-CCD RFQ NO. EMB-PROP.-SHOPPING-G-128-8-24-2020  1.	The Department of Environment and Natural Resources – Environmental Management Bureau (DENR-EMB) hereinafter refe</t>
  </si>
  <si>
    <t xml:space="preserve"> Purchase of:  -	Ten (10) units Storage Steel Rack   	Five (5) layers 	Adjustable 	Heavy duty loading capacity up to 100kg per layer 	Size: H2100mm x W1250mm x D450mm 	Color: white -	One (1) unit 4-Step Aluminum Folding 	4- step ladder 	Heavy duty </t>
  </si>
  <si>
    <t xml:space="preserve"> Procurement of 1 unit Land Search and Rescue Vehicle, Talalora, Samar The Municipality Of Talalora, through its Bids and Awards Committee (BAC), invites interested bidders to apply for eligibility and to bid for the hereunder Contact: Name of Contract: Pr</t>
  </si>
  <si>
    <t xml:space="preserve"> PNOC Exploration Corporation (PNOC EC), through its 2020 Corporate Budget, has an Approved Budget for the Contract (ABC) of Six Hundred Forty Eight Thousand Pesos (Php648,000.00), inclusive of all applicable taxes and other charges, for the Servicing of T</t>
  </si>
  <si>
    <t xml:space="preserve"> INVITATION TO BID The LOCAL GOVERNMENT UNIT OF SANTO TOMAS,  through its Bids and Awards Committee (BAC), invites suppliers/ manufacturers/distributors/ contractors to apply for eligibility and to bid for the hereunder projects/goods to be undertaken on  </t>
  </si>
  <si>
    <t xml:space="preserve"> Please see the attached ITB for the specifications of the item</t>
  </si>
  <si>
    <t xml:space="preserve"> 1.	The National Irrigation Administration – Cagayan-Batanes Irrigation Management Office, through the OMNISPIS of 2020 intends to apply the sum of One Million Nine Hundred Thousand Pesos (P1,900,000.00) being the Approved Budget for the Contract (ABC) to </t>
  </si>
  <si>
    <t xml:space="preserve"> Please submit your quotations based on RFQ Terms &amp; Conditions</t>
  </si>
  <si>
    <t xml:space="preserve"> 300 rolls Autoclave Tape 3/4 diameter lead free indicator tape for steam sterilization</t>
  </si>
  <si>
    <t xml:space="preserve"> Equipment Rental</t>
  </si>
  <si>
    <t xml:space="preserve"> Procurement of 1 unit Sea Search and Rescue Vehicle, Talalora, Samar The Municipality Of Talalora, through its Bids and Awards Committee (BAC), invites interested bidders to apply for eligibility and to bid for the hereunder Contact: Name of Contract: Pro</t>
  </si>
  <si>
    <t xml:space="preserve"> INVITATION TO BID The Iligan City Government Bids and Awards Committee (BAC), through General Fund-Proper CY 2016 intends to apply the sum of  P 3,000,000.00 being the Approved Budget for the Contract (ABC) to payments under the Contract for Supply and De</t>
  </si>
  <si>
    <t xml:space="preserve"> UNIT            QUANTITY            DESCRIPTION REAM           128                      BOND PAPER, A4, SUBSTANCE 20 SETS            30                       INK PIECE           6                        STAPLER, STANDARD TYPE BOX             5            </t>
  </si>
  <si>
    <t xml:space="preserve"> Rehabilitation/Improvement of drainage</t>
  </si>
  <si>
    <t xml:space="preserve"> PURPOSE: FOR MAINTENANCE USE IN AC/REF. UNIT (SEMI-ANNUAL FOR THE MONTH OF JULY-DEC., 2020) Fax your Price Quotation at Tel. Fax#: 426-30-45 / 927-64-26 local 2561 or Email at bacveterans@gmail.com. Please indicate the brand name and complete specificatio</t>
  </si>
  <si>
    <t xml:space="preserve"> PROJECT INCLUDES: CONCRETE WORKS Volume 7.73 cum Area 6.5x8.5 = 55.25 sq m Materials 71 bags - Portland cement 7 cu m. Gravel 5 cu m white sand 15 pcs 12mm x 6m def RSB 80.1 kls 61 pcs 10mmo x 6m def RSB 225.7 kls 5kls - #16 tie wire 5 pcs 1/4 /4 x 8 mari</t>
  </si>
  <si>
    <t xml:space="preserve"> 1. Structural Excavation 2. Sub Grade Preparation 3. Aggregate Sub Base Course 4. Aggregate Base Course 5. Portland Cement Concrete Pavement (150 mm PCCP) 6. Grouted Riprap 7. Road Monument/Project Marker 8. Project Site Supervisor 9. Construction Safety </t>
  </si>
  <si>
    <t xml:space="preserve"> MINALABAC NATIONAL HIGH SCHOOL								 REQUEST FOR QUOTATIONS (RFQ)								 								 					Date:	8/26/2020		 				Quotation No.:		2020-08-01		 								 								 (Name of Supplier)								 								 	Please quote your lowest price on the item/s listed below, </t>
  </si>
  <si>
    <t xml:space="preserve"> Tomato Ketchup –Original Blend in a bottle                                   567 g	bottle	801 Powdered Milk for Adult (Plain Flavor)                                           300 g	pack	801 Crackers in a Tub (Plain)                                        </t>
  </si>
  <si>
    <t xml:space="preserve"> 3000 pieces FBC Fr 16-2 way</t>
  </si>
  <si>
    <t xml:space="preserve"> 6  units        LAPTOP, CORE i5 7200U	                                                                      13.3 inch diagonal FHD UWWA		 ultra slim, touch screen (1920 x 1080)		 with corning gorilla glass		  2.5 ghz, 2 cores		 256 GB SATA-3 TLC solid sta</t>
  </si>
  <si>
    <t xml:space="preserve"> for the use of the Sangguniang Kabataan  5 reams     Long bond paper s-20 3 reams      A-4 20 pieces    Long folder 1   piece      H.D. puncher 2    pieces   Stapler with remover 1   box        Staple wire #35 2  boxes      1 1/4" Binder clip</t>
  </si>
  <si>
    <t xml:space="preserve"> 30 pieces Breathing Circuit w/ water traps plus nebkit neonate- disposable respirator tubing for                     neonate with nebulizer &amp; vapor trap</t>
  </si>
  <si>
    <t xml:space="preserve"> Senior Executive High Back Chair	30 Pcs. - Smooth twins disc caster, five prong nylon chair-base, imported gaslift pnuematic height adjustment, swivel and tilting mechanism, fully upholstered with  imported leather highback ergonomically  designed, high d</t>
  </si>
  <si>
    <t xml:space="preserve"> For the use of Sangguniang Kabataan of Barangay San Jose    5 reams long bond paper 3 pieces  desk organizer 1 bottles  EPSON T664  black 3 bottles  EPSON T664 tricolor 1 bottle   BROTHER bLACK 3 bottles  BROTHER TRICOLOR 10 pieces GELPEn 0.50 black10 p 5</t>
  </si>
  <si>
    <t xml:space="preserve"> Lot 1	PROVISION OF PRIMARY INTERNET ACCESS SERVICE with bundled LEASED-LINE COMMUNICATION LINK for MSU-ILIGAN INSTITUTE OF TECHNOLOGY Iligan City      Services Needed for the Provision of MSU-IIT Primary Internet Backbone Gateway: 1.5Gbps Internet Leased </t>
  </si>
  <si>
    <t xml:space="preserve"> Republic of the Philippines Province of Cagayan Tuguegarao City Invitation to Bid for  Cluster 3  Concreting of Farm to Market Road Purok Bangag Solana, Cagayan, Concreting of Road Leading to Municipal Sanitary Landfill Liwan Sur, Enrile, Cagayan, Concret</t>
  </si>
  <si>
    <t xml:space="preserve"> Republic of the Philippines Municipality of Taytay Barangay Banbanan NOTICE TO BIDDERS 1.	Expansion of Boat Landing Item#	Description			QTY.		UNIT	 1.	Portland Cement			45		bags 2.	12mm dia.x6.0m RSB		88		pcs 3.	10mm dia.x6.0m RSB		80		pcs 4.	Tie wire				</t>
  </si>
  <si>
    <t xml:space="preserve"> 1 set - Submersible Pump &amp; Motor Submersible Motor 6" • 60HP; 460V; 3 Phase; 3450 RPM; 60Hz Submersible Pump 6" • 60HP; Stages: 7; H: 414 ft.; H/Max: 704 ft.; Q: 500GPM Notes: • F.O.B. Dumaguete City Water District   (Price includes freight and handling e</t>
  </si>
  <si>
    <t xml:space="preserve"> 1. 1 LOT - LIMESTONE - 12,648,026.99 INCLUDING: i. Rental of Ten Wheeler unit for Hauling ii. Rental of Dumptruck Unit for Hauling iii. Drivers for Ten Wheeler and Dumptruck The Complete Schedule of Activities are Listed as Fallows: 1. Submission of Lette</t>
  </si>
  <si>
    <t xml:space="preserve"> Proposed Construction of Prefabricated MLWD Warehouse at Brgy. Tibig, Lipa City ABC:  Php 9,000,000.00 Project Duration : 105 calendar days</t>
  </si>
  <si>
    <t xml:space="preserve"> 1. Structural Excavation 2. Sub Grade Preparation 3. Aggregate Sub Base Course 4. Aggregate Base Course 5. PCCP 6. Grouted Riprap 7. Road Monument/Marker 8. Project Site Supervisor 9. Construction Safety &amp; Health (Covid-19 Safety Protocol) 10. Billboard 1</t>
  </si>
  <si>
    <t xml:space="preserve"> Rehabilitation/Maintenance of Jetmatic at Municipal Building, Calasiao, Pangasinan</t>
  </si>
  <si>
    <t xml:space="preserve"> 203rd Brigade Bansud Oriental Mindoro</t>
  </si>
  <si>
    <t xml:space="preserve"> Activity Title: Skills Training on Video Production Venue: Baguio City Participants: 40 pax</t>
  </si>
  <si>
    <t xml:space="preserve"> Please see attached purchase order for details.</t>
  </si>
  <si>
    <t xml:space="preserve"> Pls. see attached file</t>
  </si>
  <si>
    <t xml:space="preserve"> PURPOSE: FOR MAINTENANCE USE OF ELECTRICAL UNIT. (SEMI-ANNUAL FOR THE MONTH OF JULY-DEC., 2020) Fax your Price Quotation at Tel. Fax#: 426-30-45 / 927-64-26 local 2561 or Email at bacveterans@gmail.com. Please indicate the brand name and complete specific</t>
  </si>
  <si>
    <t xml:space="preserve"> 1. Fifty Six Thousand (56,000) kgs. of Sodium Hypochlorite Specs: Na0Cl  7-8% conc. 2. Delivery: 7,000 kgs. per delivery twice a month from September to December 2020 3. Method of delivery: In bulk via truck lorry Note: Prices are VAT inclusive</t>
  </si>
  <si>
    <t xml:space="preserve"> PURPOSE: FOR MAINTENANCE USE OF PLUMBING UNIT. (SEMI-ANNUAL FOR THE MONTH OF JULY-DEC., 2020) Fax your Price Quotation at Tel. Fax#: 426-30-45 / 927-64-26 local 2561 or Email at bacveterans@gmail.com. Please indicate the brand name and complete specificat</t>
  </si>
  <si>
    <t xml:space="preserve"> kit	HCV Ag-Ab, CMIA/CLIA, 100 tests	21	45,760.00	960,960.00 Note: Winning Bidder must provide fully automated Chemiluminescent microparticle immunoassay (CMIA) machine capable of simultaneous detection of the tests with valid FDA CPR, 100% Sensitivity bas</t>
  </si>
  <si>
    <t xml:space="preserve"> REQUEST FOR QUOTATION Procurement of Goods [Neutral Disinfectant Cleaner] The   City Government of Tagbilaran, through its Bids and Awards Committee (BAC) intends to apply the sum of Three Hundred Ninety-Eight Thousand (P398,000.00) pesos onlybeing the Ap</t>
  </si>
  <si>
    <t xml:space="preserve"> Republic of the Philippines Municipality of Taytay Barangay Banbanan NOTICE TO BIDDERS 2.	Rehabilitation of Water System Item#	Description		QTY.		UNIT	 1.	Portland Cement		10		bags 2.	Hose #2				15		roll 3.	Coupling #2			20		pcs The two envelope system of</t>
  </si>
  <si>
    <t xml:space="preserve"> Various furniture, fixture &amp; equipment ( Semi-FFE) for 3rd &amp; 4th quarter of 2020 :\ 1    set   Sun Breaker 20 pcs.  Rectangular tables 2   set    Sofa, 3 seaters 6 pcs      gang chairs, steel, 4 seaters 1  set      Cork Board with stand and glass cover 5 </t>
  </si>
  <si>
    <t xml:space="preserve"> Completion of Other Building</t>
  </si>
  <si>
    <t xml:space="preserve"> PROCUREMENT OF OFFICE SUPPLIES (BOND PAPER, RISO INK &amp; MASTEROLL, PRINTER INK AND ENVELOPES - SALAY NATIONAL HIGH SCHOOL 2000 REAMS PAPER, MULTI-PURPOSE (COPY) A4 SIZE, 70GSM 50 TUBE RISO INK (CV BLK) 25 ROLL RISO MASTER ROLL 30 CART. PRINTER INK, BLACK 3</t>
  </si>
  <si>
    <t xml:space="preserve"> Supply &amp; Delivery of Piggery feeds for September 2020 H50-2020 Kindly see attached file. Thank you!</t>
  </si>
  <si>
    <t xml:space="preserve"> Please see attached Request for Quotation.</t>
  </si>
  <si>
    <t xml:space="preserve"> 100 PAX	 Meals for 4 days training om retooling of farmers/ AEWs on Cultural Management Practices for Corn production (25pax X 4days)</t>
  </si>
  <si>
    <t xml:space="preserve"> PROVINCE OF CAGAYAN Municipality of Claveria Barangay MAGDALENA INVITATION TO BID 									August 25, 2020 Barangay Magdalena, Claveria, Cagayan intends to apply the sum of ONE HUNDRED SEVENTEEN THOUSAND SIX HUNDRED THIRTY EIGHT PESOS ONLY (117,638.00)  b</t>
  </si>
  <si>
    <t xml:space="preserve"> 1. Clearing and Grubbing 2. Structural Excavation 3. Gabion and Mattres 4. Monument and Marker 5. Rechanneling 6. Technical Supervision 7. Construction Safety and Health (Covid-19 Safety Protocol) 8. Hand Tools 9. Contractors Profit 10. Taxes 11. Billboar</t>
  </si>
  <si>
    <t xml:space="preserve"> Republika ng Pilipinas                                                                BAYAN NG CORTES                                                                  Surigao del Sur                                                     BIDS AND AWARDS COMM</t>
  </si>
  <si>
    <t xml:space="preserve"> Various Supplies for Calamity Preparedness of Barangay 3, Lucena City</t>
  </si>
  <si>
    <t xml:space="preserve"> Republic of the Philippines Province of Cagayan Tuguegarao City Invitation to Bid for  Cluster 11 Concreting of Barangay Road Alonzo Street Purok 5 Bauan East, Solana, Cagayan, Concreting of Barangay Road Natazzan Iguig, Cagayan, Concreting of Barangay Ce</t>
  </si>
  <si>
    <t xml:space="preserve"> Republic of the Philippines Province of Cagayan Tuguegarao City Invitation to Bid for Cluster 15 Repair and Rehabilitation of Claveria Public Market at Centro 04 Claveria, Cagayan, Improvement of Municipal Gymnasium Barangay Centro Uno, Sta. Praxedes, Cag</t>
  </si>
  <si>
    <t xml:space="preserve"> 1.	The Local Government Unit of Sta. Teresita, through the 20% DEVELOPMENT FUND 2020  intends to apply the sum of FIVE HUNDRED THOUSAND &amp; 00/100 (PHP500,000.00) ONLY being the Approved Budget for the Contract (ABC) to payments under the contract for the C</t>
  </si>
  <si>
    <t xml:space="preserve"> 120 pair Chlorine Dioxide A and B (kindly see attached request for quotation)</t>
  </si>
  <si>
    <t xml:space="preserve"> EPSON Printer         14            98,000.00 Total:                                     98,000.00</t>
  </si>
  <si>
    <t xml:space="preserve"> Item no. 1 -  10 pieces - Ring, gold, 10 carat, with DA design</t>
  </si>
  <si>
    <t xml:space="preserve"> Republic of the Philippines Province of Cagayan Tuguegarao City Invitation to Bid for  Cluster 14 Covered Walkway for Bukig National Agricultural and Technical School Bukig, Aparri, Cagayan, Construction of Covered Tricycle Bay (TODA Terminal) Lasam, Publ</t>
  </si>
  <si>
    <t xml:space="preserve"> Republic of the Philippines Province of Cagayan Tuguegarao City Invitation to Bid for Improvement of Multi – Purpose Building at Nassiping, Gattaran, Cagayan 1.	The Provincial Government of Cagayan, through the SB #1 CY 2019 intends to apply the sum of  P</t>
  </si>
  <si>
    <t xml:space="preserve"> From: 	The Bids and Awards Committee 	        Poblacion, Bokod, Benguet Date:  August 25, 2020 A PROPOSAL FOR NEGOTIATED PROCUREMENT DIRECTED TO:    POLO ENGINEERING &amp; CONSTRUCTION 	SHERFELIAS CONSTRUCTION 	        AG CHUNGALAN CONSTRUCTION Reference No.:</t>
  </si>
  <si>
    <t xml:space="preserve"> Procurement for the Disinfection Services of IPOPHL: 1 LOT Technical Requirements: Scope of Work: 1. Disinfection throughout the premises of the IPOPHL (5,091 sqm.) located at IP Center #28 Upper McKinley Road, McKinley Hill Town Center, Bgy. Pinagsama, T</t>
  </si>
  <si>
    <t xml:space="preserve"> 96-well PCR plates                10 PACK low profile, unskirted, clear, Pkg of 25, clear PCR plate   PCR plate sealing film             1 PACK adhesive, optical, Pkg of 100, optically clear seal for PCR PLEASE ATTACH THE FOLLOWING DOCUMENTS: 1. PHILGEPS </t>
  </si>
  <si>
    <t xml:space="preserve"> Republic of the Philippines Province of Cotabato Municipality of Arakan BIDS AND AWARDS COMMITTEE SUPPLY OF SPARE PARTS OF  MUNICIPAL  HEAVY EQUIPMENT  1.	The Local Government Unit of Arakan, through the GENERAL  FUND  intends to apply the sum of Php 576,</t>
  </si>
  <si>
    <t xml:space="preserve"> SEE ATTACHED RFQ</t>
  </si>
  <si>
    <t xml:space="preserve"> See attached Request for Quotation (RFQ)_dbc</t>
  </si>
  <si>
    <t xml:space="preserve"> Bond Paper Subs 20 Long	 		350 	ream Bond Paper Subs 20 Short			50 	ream Plastic Envelope Long	         		350 	pc Epson Genuine Ink	         		50 	bot. Assorted Ink Refill	        		12 	liter</t>
  </si>
  <si>
    <t xml:space="preserve"> Road Re-blocking</t>
  </si>
  <si>
    <t xml:space="preserve"> 3 set Desktop Computer BPENRO</t>
  </si>
  <si>
    <t xml:space="preserve"> Republic of the Philippines Province of Cagayan Tuguegarao City Invitation to Bid for Construction of Check Dam for the Creeks Inside the Camping Area Gattaran, Cagayan  1.	The Provincial Government of Cagayan, through the General Fund CY2019 intends to a</t>
  </si>
  <si>
    <t xml:space="preserve"> INVITATION TO BID FOR SUPPLY AND DELIVERY OF ELECTRICAL POWER SUPPLY FOR LIGTAS COVID CENTER 1.	The Bids and Awards Committee of the Local Government Unit of Santiago City through the General Fund intends to apply the sum of One Million Five Hundred Fifty</t>
  </si>
  <si>
    <t xml:space="preserve"> Procurement of cleaning materials to distribute in the community</t>
  </si>
  <si>
    <t xml:space="preserve"> Republic of the Philippines MUNICIPALITY OF IBAAN Batangas INVITATION TO BID The Municipal Government of Ibaan, Batangas through the Budget for the Contract approved by the Sangguniang Bayan, invites suppliers/manufacturers/distributors/contractors to app</t>
  </si>
  <si>
    <t xml:space="preserve"> 15 pcs	MAT JUMBO					 15 pcs	BLANKET					 10 pcs	PILLOW					 10 pcs	GULOK</t>
  </si>
  <si>
    <t xml:space="preserve"> kit	D-Dimer	30	10,000.00	300,000.00 10 tests per kit The winning supplier must provide an automated immunoassay analyzer that utilizes whole blood sample. - Provide valid FDA CPR - longer expiry - must have passed the end-user's evaluation</t>
  </si>
  <si>
    <t xml:space="preserve"> 1. 1 LOT - AGGREGATES 3/4 GRAVEL (RIVER QUARRY) AND LIMESTONE - 1,276,011.25 INCLUDING: i. Rental of Ten Wheeler unit for Hauling ii. Rental of Dumptruck Unit for Hauling iii. Drivers for Ten Wheeler and Dumptruck The Complete Schedule of Activities are L</t>
  </si>
  <si>
    <t xml:space="preserve"> INVITATION TO BID PROCUREMENT FOR THE REPRODUCTION OF INFORMATION, EDUCATION AND COMMUNICATION (IEC) MATERIALS IB NO. 2020-06 1.	The Department of Health-Eastern Visayas Center for Health Development through the Bids and Awards Committee (BAC) invites sup</t>
  </si>
  <si>
    <t xml:space="preserve"> Medical Dental Supplies Kindly see attached RFQ.</t>
  </si>
  <si>
    <t xml:space="preserve"> REQUEST FOR QUOTATION Please quote your lowest price (price must be inclusive of tax) for the item/s listed below, subject to the General Conditions, stating the shortest time of delivery. Submit your quotation duly signed by your representative and prope</t>
  </si>
  <si>
    <t xml:space="preserve"> Item no. 1  - 1  set - Steering rock assembly  -   P   35,000.00              2  - 1 set  - Turbo Charger corekit    -        35,000.00              3  - 1 set  - Timing belt                    -        15,000.00</t>
  </si>
  <si>
    <t xml:space="preserve"> The City Government of Malolos, through its BIDS and AWARDS COMMITTEE (BAC) Invites Suppliers/Manufacturers/Distributors to Bid for hereunder procurement:  PR No. : GSO-2020-07-913 Name of Project : PURCHASE OF 12 UNITS DESKTOP COMPUTER AND PRINTER Reques</t>
  </si>
  <si>
    <t xml:space="preserve"> Important Notice for Bidders: 1.	Bidders shall pay the nonrefundable fee for the Bidding Documents not later than the submission of their bids to the Basilan State College Cashier or you may deposit your payment through our Landbank account. BASILAN STATE</t>
  </si>
  <si>
    <t xml:space="preserve"> INSTALLATION &amp; COMMISSIONING OF MANAGEMENT INFORMATION SYSTEM AT THE MAYOR'S OFFICE, FLORA, APAYAO</t>
  </si>
  <si>
    <t xml:space="preserve"> 4 units WATER PURIFIER					 - eliminates contaminants					 - kills 99.99% bacteria and viruses					 - retains beneficial minerals					 - environmental friendly					 - 4 stages filtration					 - internationally certified					 - economical					 - portable		</t>
  </si>
  <si>
    <t xml:space="preserve"> 1. PCCP Removal 2. Sub Grade Preparation 3. Aggregate Base Course 4. Concrete Pavement (150 mm PCCP) 5. Road Monument/Marker 6. Project Site Supervisor 7. Construction Safety and Health (Covid-19 Safety Protocol) 8. Billboard 9. Contractors Profit 10. Tax</t>
  </si>
  <si>
    <t xml:space="preserve"> pc	Ascorbic acid 500mg  (Sodium Ascorbate) 100s		260</t>
  </si>
  <si>
    <t xml:space="preserve"> (see bidding documents and supporting papers in the associated component for further project details)</t>
  </si>
  <si>
    <t xml:space="preserve"> Regravelling of Farm to Market Road - Barangay IV, Enrile, Cagayan Aggregate Base Course: 450 cu.m. Closing Date: August 28, 2020/4:30 PM</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</si>
  <si>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</si>
  <si>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Job Order: 1	1	lot	Body Repair (include labor &amp; materials) 2	1	lot	Painting (include labor &amp; materials) 			xxxxxx</t>
  </si>
  <si>
    <t xml:space="preserve"> Republic of the Philippines Province of Cotabato Municipality of Arakan BIDS AND AWARDS COMMITTEE SUPPLY OF RADIO BASE WITH COMPLETE  ACCESSORIES &amp; HANDHELD RADIO   1.	The Local Government Unit of Arakan, through the GENERAL  FUND  intends to apply the su</t>
  </si>
  <si>
    <t xml:space="preserve"> see associated component</t>
  </si>
  <si>
    <t xml:space="preserve"> 160 tube Plaster- Hospital Size, superior adhesive quality</t>
  </si>
  <si>
    <t xml:space="preserve"> INVITATION TO BID (713-2020) Procurement of Food for Meals and Snacks The LGU Surallah through the Bids and Awards Committee (BAC) is inviting suppliers to bid for the supply and delivery of GOODS/INFRASTRUCTURE/SERVICES with the following details: TITLE </t>
  </si>
  <si>
    <t xml:space="preserve"> Republic of the Philippines								 Province of Cebu								 Municipality of Alcantara								 								 								 Standard Form Number:			SF-INFR-05					 Revised on:								 								 INVITATION TO APPLY FOR ELIGIBILITY AND TO BID								 								 The Munic</t>
  </si>
  <si>
    <t xml:space="preserve"> Item no.	Qty.	Unit	ARTICLES 			 #1	200	pc	N95 Mask 			Self-inhilation filter type particles respirator 			95% filter efficiency level 			Effective against particulate aerosols free oil 			Note: subject for evaluation of quality; supplier must submit 			IS</t>
  </si>
  <si>
    <t xml:space="preserve"> 1 lot   -   Supply, Delivery and Installation of CCTV for Three (3) units Elevator Car installed at DOLE Main Bldg.   1 unit  -  16-ch 1080p 1U H. 265 DVR 3 unit  -  1080p Dome Camera 2 roll   -  Cord 1 unit  -  4 Tera 3 unit  -  Power Supply, 12V-2a 2 un</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</si>
  <si>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</si>
  <si>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Materials for the Improvement of Health Center</t>
  </si>
  <si>
    <t xml:space="preserve"> Republika ng Pilipinas                                                                    BAYAN NG CORTES                                                                       Surigao del Sur                                                          BIDS A</t>
  </si>
  <si>
    <t xml:space="preserve"> INVITATION TO BID FOR SUPPLY AND DELIVERY OF MOSQUITO CONTROL PESTICIDE FOR DENGUE CONTROL AND PREVENTION 1.	The Bids and Awards Committee of the Local Government Unit of Santiago City through the General Fund intends to apply the sum of Three Million Thr</t>
  </si>
  <si>
    <t xml:space="preserve"> Republic of the Philippines Province of Cotabato Municipality of Arakan BIDS AND AWARDS COMMITTEE SUPPLY OF POLICE &amp; MILITARY SUPPLIES  1.	The Local Government Unit of Arakan, through the GENERAL  FUND  intends to apply the sum of Php 669,200.00 being the</t>
  </si>
  <si>
    <t xml:space="preserve"> ALCOHOL, SANITIZER AND OTHER COVID-19 RESPONSE RELATED MATERIALS</t>
  </si>
  <si>
    <t xml:space="preserve"> 1	1	Lot	Supply &amp; Delivery of I.T. Equipment			 			Item Description:			 	15	Units	Colored Printer (latest edition) 180 nozzles Black, 59 nozzles each colour 5760 x 1440 dpi Maximum Print Resolution Bi directional printing Up to 33 ppm / 15 ppm printing spe</t>
  </si>
  <si>
    <t xml:space="preserve"> PURPOSE: FOR MAINTENANCE USE OF ELECTRICAL UNIT. (SEMI-ANNUAL FIR THE MONTH OF JULY-DEC., 2020) Fax your Price Quotation at Tel. Fax#: 426-30-45 / 927-64-26 local 2561 or Email at bacveterans@gmail.com. Please indicate the brand name and complete specific</t>
  </si>
  <si>
    <t xml:space="preserve"> 5 units Office table, alfie oddie black walnut 1 unit Telephone table-cube low book case</t>
  </si>
  <si>
    <t xml:space="preserve"> 300	pcs	        Eggs, large 25	cans	        Evaporated Milk 30	bars	        Butter 30	kgs	        Sugar REFINED white 30	kgs	        Bread Flour 25	kgs	        Shortening 25	boxes        Peotraco, Powdered Sugar 30	packs        peanut 24s 20	btls	        </t>
  </si>
  <si>
    <t xml:space="preserve"> 1.	The Local Government Unit of Sta. Teresita, through the 20% DEVELOPMENT FUND 2020  intends to apply the sum of TWO HUNDRED FORTY THOUSAND &amp; 00/100 (PHP240,000.00) ONLY being the Approved Budget for the Contract (ABC) to payments under the contract for </t>
  </si>
  <si>
    <t xml:space="preserve"> Invitation to Bid for the Procurement of Farm Machineries, Equipments and Materials for the Farm Mechanization Program of Tagudin, Ilocos Sur 1.	The Local Government Unit of Tagudin, Ilocos Sur, thru its Bids and Awards Committee intends to apply the sum </t>
  </si>
  <si>
    <t xml:space="preserve"> The Supreme Court of the Philippines, through the Bids &amp; Awards Committee for the Halls of Justice, invites bids for the supply, delivery, and installation of Office Furniture for the Halls of Justice in Calamba City, Laguna and Pili, Camarines Sure (PLEA</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</si>
  <si>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</si>
  <si>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See attached Program of Works</t>
  </si>
  <si>
    <t xml:space="preserve"> box PCR tubes 0.1ml, strip of 8 tubes 202 2,600.00 525,200.00 with single attached caps, transparent, 25 strips/box rack Pipette filter tips, 20ul 105 1,000.00 105,000.00 Note: All above items must be aerosol-resistant, racked sterile, nuclease free, in c</t>
  </si>
  <si>
    <t xml:space="preserve"> Laboratory &amp; Clinic Supplies</t>
  </si>
  <si>
    <t xml:space="preserve"> Re-gravelling of Farm to Market Road - Lemu Sur, Enrile, Cagayan Aggregate Base Course: 550 cu.m. Closing Date: August 28, 2020/4:30 PM</t>
  </si>
  <si>
    <t xml:space="preserve"> Republika ng Pilipinas                                                                BAYAN NG CORTES                                                                   Surigao del Sur                                                       BIDS AND AWARDS C</t>
  </si>
  <si>
    <t xml:space="preserve"> 598 PCS CELLCARD 100 AND 1 OTHER LINE ITEMS</t>
  </si>
  <si>
    <t xml:space="preserve"> Supply and Delivery of Uniform for OJT of Batch 17 Scholars                The Technical Education and Skills Development Authority (TESDA), through the Supply Unit/FASD , will undertake a Small Value Procurement (53.9) for Supply and Delivery of Uniform </t>
  </si>
  <si>
    <t xml:space="preserve"> Line Bidding	 			 1	Unit	"Water Dispenser                                                                                   Description: Free standing water dispenser Hot and cold Compressor type cooling With mini storage cabinet 420W | (L-12″ W-12″ H-34.</t>
  </si>
  <si>
    <t xml:space="preserve"> PROCUREMENT OF DRUGS &amp; MEDICINES FOR FY 2020</t>
  </si>
  <si>
    <t xml:space="preserve"> 1. 35 Pairs – Safety Shoes Water-Resistant Performance Anti-Slip Resistant, Anti-puncture &amp; breathable, Lace up boots with Side-zips Upper Material: Genuine Cow Leather 1.4-1.6mm thickness &amp; 1200D nylon fabric Lining Material: Cotton Fabric Insole Materia</t>
  </si>
  <si>
    <t xml:space="preserve"> Section I. Invitation to Bid SUPPLY AND DELIVERY OF MATERIALS FOR THE INSTALLATION OF SOLAR POWERED STREET LIGHTS TO 7 BARANGAYS (DALADAP, DUKAY, GUIAMALIA, ILIAN, MAGSAYSAY, NEW PANAY &amp; PAITAN) GEPS-2020-0029 									 August 26, 2020 The Municipal Gover</t>
  </si>
  <si>
    <t xml:space="preserve"> PURPOSE: FOR USE IN PATH WALK RESTOTATION NEAR CHAPEL, OPD AND COBALT Fax your Price Quotation at Tel. Fax#: 426-30-45 / 927-64-26 local 2561 or Email at bacveterans@gmail.com. Please indicate the brand name and complete specifications.</t>
  </si>
  <si>
    <t xml:space="preserve"> Republic of the Philippines Municipality of Taytay Taytay, Palawan NOTICE TO BIDDERS Item # Qty Unit Description Amount 			WHEEL EXCAVATOR (DOOSAN DX55W) 1.	5	pcs	Tire (Tubeless) #2276-9054 (12 x 16.5) 12 P.R. /L2 Load Range F 2.	1	pc	Rim #278-000968 (16.</t>
  </si>
  <si>
    <t xml:space="preserve"> 90 Pcs Alcohol 90 Pcs Surgical Mask 90 Gal Disinfectant Solution 10 Set Coverall (Washable) Polycotton 10 Pair Rubber Boots (PVC Material) 10 Pcs Standard Safety Googles (Reusable) 4 Pcs Gloves (Latex) 10 Pcs Knapsack, 16-18L, 3 kg</t>
  </si>
  <si>
    <t xml:space="preserve"> Date:	 					 COMPANY NAME: _________________________________					 LOCATION: _______________________________________					 					 					 REQUEST FOR QUOTATION					 					 Gentlemen/Madam:					 					      Please quote your lowest price on the item/s listed belo</t>
  </si>
  <si>
    <t xml:space="preserve"> CADAC 1 Unit Motor Vehicle (4-Wheels) Transmission: 5 speed manual, Engine Size: 1.3L, Displacement: 1,329cc, Number of Cylinder: 4, Number of Valves: 16, Drivetrain: Rear-Wheel Drive, Max Output (HP): 95 hp @6,000 rpm, Max Torque (nm): 121Nm @4,200 rpm, </t>
  </si>
  <si>
    <t xml:space="preserve"> INVITATION TO BID FOR PROCUREMENT OF SOLID WASTE MANAGEMENT LEARNER'S MANUAL 1.	The Bids and Awards Committee of the Local Government Unit of Santiago City through the General Fund intends to apply the sum of One Million Four Hundred Ninety Nine Thousand </t>
  </si>
  <si>
    <t xml:space="preserve"> GLobe and Smart Prepaid</t>
  </si>
  <si>
    <t xml:space="preserve"> INVITATION TO BID #- 2008-027  Supply and delivery of Fuel:  1. 8,300 ltrs. Diesel Fuel</t>
  </si>
  <si>
    <t xml:space="preserve"> 1. 6 set Tire 14.00 x 24 x 16 with tube and flap (Grader)</t>
  </si>
  <si>
    <t xml:space="preserve"> Line Bidding	 			 2	unit	"Refrigerator 4.8 cu ft                                                                                   Description: Double door Top mounted fridge Mechanical temperature control Adjustable leg Energy Saving"	 29,980.00  5	unit	</t>
  </si>
  <si>
    <t xml:space="preserve"> REPAIR/ MAINTENANCE OF DND – PHILIPPINE ARMY  BUILDINGS Contract Location:                    a.) Fitness Center, Lagangilang, Abra;                                               b.) Officer’s Mess  Hall, Lagangilang, Abra;                                </t>
  </si>
  <si>
    <t xml:space="preserve"> Conduct ON LINE seminar &amp; workshop on awareness on the effects of Global Warning; Imposition of the reduce, reuse  and recycle system to eliminate or lessen waste and pollution; Procurement of trash bin for waste segregation</t>
  </si>
  <si>
    <t xml:space="preserve"> 1.	The Provincial Government of Batanes, through the Provincial Appropriations Ordinance No. 03 series of 2019 intends to apply the sum of One Hundred Ninety-Nine Thousand Two Hundred Seventy Pesos Only (₱ 199,270.00), being the Approved Budget for the Co</t>
  </si>
  <si>
    <t xml:space="preserve"> RFQ  for Lot 1(common Supplies)</t>
  </si>
  <si>
    <t xml:space="preserve"> kit Prothrombin time reagent, 10x4mL, 2 45,500.00 91,000.00 400-500 tests/kit kit aPTT reagent, 10x5mL, 1 45,500.00 45,500.00 1000-1500 tests/kit  pack Reaction tube, 3000-3500/pack  1 36,500.00 36,500.00 kit Control level 1,2,3    2 22,500 45,000.00 kit </t>
  </si>
  <si>
    <t xml:space="preserve"> 1. 63 BAGS CEMENT 2. 7 CU. M WASHED SAND 3. 7 CU. M GRAVEL 4. 7 PCS 10MM DIA. DSB 5. 120 BD. FT 2 X6 X 12 MAT WOOD 6. 3 KGS 3'' CWN</t>
  </si>
  <si>
    <t xml:space="preserve"> The Procuring Entity: LGU-INOPACAN, LEYTE Project Reference Number: MMO-100-200-20-07-136 Name of Project: PURCHASE OF WATER PUMP Location of Project: POBLACION, INOPACAN, LEYTE Standard Form Number: SF-GOOD-60 Standard Form Title: REQUEST FOR QUOTATION C</t>
  </si>
  <si>
    <t xml:space="preserve"> Purchase of various vehicle parts with an ABC of 457,800 Full description of items will be given upon payment of bidding documents</t>
  </si>
  <si>
    <t xml:space="preserve"> 30 Bags Chick Grower Mash 3 Bags Chick Booster Mash (Inclusive of fare to Provincial Multiplier Farm, Barangay Ipil, Surigao City PLEASE SEE ATTACHED RFQ. QUOTE YOUR PRICE AND SUBMIT TO THE BAC SECRETARIAT, PROVINCIAL GENERAL SERVICES OFFICE, MAIN CAPITOL</t>
  </si>
  <si>
    <t xml:space="preserve"> MUNICIPALITY OF PANIQUI Province of Tarlac 	Project Reference Number : G-2020-009 Name of the Project           : Supply &amp; Delivery of Various Office Supplies  Location of the Project     :  LGU-Paniqui, Tarlac Standard Form Number: SF-GOOD-05 Revised on:</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</si>
  <si>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</si>
  <si>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40 Pax Meals (Lunch) for 12 meetings July to December Menu: Rice, Fish fillet, Beef or Pork Steak, Special Chopsuey, Softdrinks PLEASE SEE ATTACHED RFQ. QUOTE YOUR PRICE AND SUBMIT TO THE BAC SECRETARIAT, PROVINCIAL GENERAL SERVICES OFFICE, MAIN CAPITOL B</t>
  </si>
  <si>
    <t xml:space="preserve"> 30	bars  	butter 30	btls   	Cooking Oil, 1 liter Minola 25	btls   	Mayonnaise 350ml 10	blts   	Soy Sauce 200 1/2 gal 30	cans  	Evaporated Milk 370ml 15	cans  	Fruit Cocktail 20	cans  	Margarine 30	kgs   	Beef Striploin 35	kgs   	Beef Tenderloin 35	kgs   	</t>
  </si>
  <si>
    <t xml:space="preserve"> Municipality of Dumanjug, Cebu through the SB Resolution No. 2018-136 Series of 2018  intends to apply the sum of FIVE HUNDRED SEVENTY-ONE THOUSAND FOUR HUNDRED TWENTY-EIGHT PESOS AND FIFTY-SEVEN CENTAVOS ONLY (Php 571, 428.57) being the Approved Budget f</t>
  </si>
  <si>
    <t xml:space="preserve"> Supply and Delivery of Special Supplies, as per BSP specifications: ISupply and Delivery of Special Supplies, as per BSP specifications: Supply and Delivery of Special Supplies, as per BSP specifications: Item Qty	Unit	Item Desxription 1	10	pc	Adaptor, 3 </t>
  </si>
  <si>
    <t xml:space="preserve"> Qperimeter fence    85.00 x 1.80 Q steel gate              4.00 x 1.80</t>
  </si>
  <si>
    <t xml:space="preserve"> 1	1	Lot	Supply &amp; Delivery of Disinfection Supplies			 			Item Description:			 	100	Bottles	Hand Sanitizing Gel 500ml per bottle			 	100	Gallon	Isopropyl Alcohol w/ Moisturizer 1gallon			 	75	Bottles	Antibacterial Liquid Hand Soap 500ml per bottle			 	75	B</t>
  </si>
  <si>
    <t xml:space="preserve"> (1) Laptop Specifications:  Processors: Intel Core i7-8550u Memory: 8GB DDR4 Storage: 1TB HDD 256 SSD 15.6" HD Screen 2GB Video Card DVD Writer O.S Windows 10 Home</t>
  </si>
  <si>
    <t xml:space="preserve"> NOTICE TO THE PUBLIC REQUEST FOR PROPOSAL Purchase Request No: PUR20-02-0136 The Philippine General Hospital hereby informs the public that it will be procuring the following item/s through Small Value Procurement: 1. 20 pcs. BATTERY for TRANSPORT INCUBAT</t>
  </si>
  <si>
    <t xml:space="preserve"> Republic of the Philippines 				 						City of Manila				 						BARANGAY 282, ZONE 26, DISTRICT III				 						BIDS AND AWARDS COMMITTEE				 										 										Aug. 26, 2020 										D A T E 						INVITATION TO BID 				 										 BARANGAY 282, ZONE 26,</t>
  </si>
  <si>
    <t xml:space="preserve"> 234	 pax 	 Meal of Participants (Municipal Officials, Local &amp; National  		  Employees, Job Orders) for the 159th Founding Anniversary  		  of San Luis</t>
  </si>
  <si>
    <t xml:space="preserve"> Line Bidding	 			 6	cum	River Sand	 13,350.00  132	pcs	30 x 30 Ceramic Tile, color:white	 10,560.00  5	pcs	25mm dia Stainless Pipe x 6 mtrs.	 2,700.00  2,500	pcs	Metal Screw	 2	sets	Water Closet-flush type valve with lavatory, ceramic tissue holder, soap </t>
  </si>
  <si>
    <t xml:space="preserve"> Quantity   Unit of Issue     Item Description     Estimated unit Cost     Estimated Total Cost AM snacks 10 pax  1 meat roll and juice in can                    70.00    700.00 PM snacks  10 pax 2 torta espesyal, juice in can                   60.00    60</t>
  </si>
  <si>
    <t xml:space="preserve"> Printing of Learning Modules</t>
  </si>
  <si>
    <t xml:space="preserve"> Procurement of 233 gallon of ALCOHOL (ETHYL 70% SOLUTION)</t>
  </si>
  <si>
    <t xml:space="preserve"> 1.The Municipal Government of El Nido, through the General Fund intends to apply the sum of One Million Seven Hundred Twenty Two Thousand Six Hundred Twenty Five Pesos and Eighty Eight Centavos (₱1,722,625.88) being the Approved Budget for the Contract (A</t>
  </si>
  <si>
    <t xml:space="preserve"> Republic of the Philippines 				 						City of Manila				 						BARANGAY 168, ZONE 15, DISTRICT II				 						BIDS AND AWARDS COMMITTEE				 										 										Aug. 26, 2020 										D A T E 						INVITATION TO BID 				 										 BARANGAY 168, ZONE 15, </t>
  </si>
  <si>
    <t xml:space="preserve"> CENRO VARIOUS TIRES AND BATTERIES Please see attached file/document on associated components or BAC website www.davaocityportal.com (BAC posting) for the complete descriptions, terms of conditions and terms of references. Bidding will be conducted through</t>
  </si>
  <si>
    <t xml:space="preserve"> Various Agricultural Supplies, Materials and Equipment for the use of Municipal Agriculture Office</t>
  </si>
  <si>
    <t xml:space="preserve"> INVITATION TO BID FOR SUPPLY AND DELIVERY OF VARIOUS SUPPLIES FOR CITY GENERAL SERVICES OFFICE USE 1.	The Bids and Awards Committee of the Local Government Unit of Santiago City through the General Fund intends to apply the sum of Nine Million Three Hundr</t>
  </si>
  <si>
    <t xml:space="preserve"> Republic of the Philippines Province of Ifugao Municipality of Hingyon  Bids and Awards Committee  INVITATION TO BID Publication No. 020– 2020 (FIRST POSTING – SUPPLY AND DELIVERY OF MEDICAL SUPPLIES AND RAPID DIAGNOSTIC TEST FOR COVID-19 OF LGU-HINGYON, </t>
  </si>
  <si>
    <t xml:space="preserve"> INVITATION TO BID FOR Procurement of Machinery Equipment for the Implementation of the Project “Technology Upgrading relating to manufacturing efficiency for Rural Improvement Club-Malibacsan Inc. (TURMERIC-Malibacsan) Date: August 2020 1.	The Local Gover</t>
  </si>
  <si>
    <t xml:space="preserve"> Specification:		 Size: A4		 Paper Requirement: Standard 		 Basis Weight: 48.8 gsm, +/-5% Tolerance		 Brightness: 55% +/-3% Tolerance		 Opacity: 85% +/- 5% Tolerance		 Front and Back Color: 1 color black		 Front and Back Paper: Bond Paper subs 20		 Inside </t>
  </si>
  <si>
    <t xml:space="preserve"> Province of Cotabato Municipality of Arakan BIDS AND AWARDS COMMITTEE Invitation for Negotiated Procurement SUPPLY OF MEDICINE &amp; MEDICAL SUPPLIES FOR WALK IN CLIENT 	In view of the two (2) failed public bidding the Local Government of Arakan Bids and Awar</t>
  </si>
  <si>
    <t xml:space="preserve"> PART B OTHER GENERAL REQUIREMENTS B.5 PROJECT BILLBOARD/SIGNBOARD 1 LOT PART A EARTHWORK 803(1) A EXCAVATION 310 CU.M PART B PLAIN AND REINFORCED CONCRETE WORKS 900(1) A2 STRUCTURAL CONCRETE (SLAB ON GRADE AND BOX- SIDINGS) 26.85 CU.M 900(1) B5 STRUCTURAL</t>
  </si>
  <si>
    <t xml:space="preserve"> REQUEST FOR QUOTATION (RFQ) SUPPLY AND DELIVERY OF BAMBOO FACESHIELD WITH DENR LOGO UNDER EMB-EEID RFQ NO. EMB-EEID-SHOPPING-G-130-8-25-2020 2020-0760 1.	The Department of Environment and Natural Resources – Environmental Management Bureau (DENR-EMB) here</t>
  </si>
  <si>
    <t xml:space="preserve"> INVITATION TO BID   (2020-08-06) The Department of Justice (DOJ), through the Bids and Awards Committee (BAC) is inviting interested parties to bid the hereunder project:                 Name of Project	:	Purchase of Various Office Furniture and Fixtures </t>
  </si>
  <si>
    <t xml:space="preserve"> NCR-2008-006: PROCUREMENT OF PREVENTIVE AND REPAIR MAINTENANCE OF AIRCONDITIONING SYSTEM OF PRO NCR •	Quotations must be addressed to Ms. Angellyn B. Dionisio, Procurement Unit Head •	Deadline for the submission of quotations shall be on or before Aug 31,</t>
  </si>
  <si>
    <t xml:space="preserve"> 50 Reams Substance 20 (bond paper) Legal, 70gsm 50 Reams Substance 20 (bond paper) A4, 70gsm 16 Pcs Ink Cartridge, 810 (black) 5 Bundle Folder, Fancy, for A4 size documents 5 Bundle Folder, Fancy, for legal size documents 5 Pcs Computer Ink Magenta T664 (</t>
  </si>
  <si>
    <t xml:space="preserve"> The AGENCY shall provide the Procuring Entity with Ninety (90) security guards which includes three (3) Shift Supervisors or Shift-In-Charge (SICs), for 24 hours a day, 7 days a week, including Saturdays, Sundays and Holidays. The guards shall be licensed</t>
  </si>
  <si>
    <t xml:space="preserve"> 1.The Municipal Government of El Nido, through the Water and Septage Fund Supplemental # 1 2020 intends to apply the sum of Three Million Eight Hundred Fifty Thousand Pesos (₱ 3,850,000.00) being the Approved Budget for the Contract (ABC) to payments for </t>
  </si>
  <si>
    <t xml:space="preserve"> 1. 2 PCS 1/4'' THK MARINE PLYWOOD 2. 360 BD. FT 2 X 2 X 12 MAT WOOD 3. 2 KGS 3'' COMMON NAIL 4. 1 KGS TIE WIRE 5. 2 CU. M SAND 6. 1 CU. M GRAVEL 7. 9 BAGS CEMENT 8. 6 PCS STEEL MATTING HD 9. 3 PCS 2'' DIA. G.I PIPE #40 10. 4 PCS 1'' DIA. G.I PIPE #40 11. </t>
  </si>
  <si>
    <t xml:space="preserve"> Personalized Acrylic Face Shield  Specifications: -	2mm acrylic (A4 Size) -	Heat Resistant -	Headband type with thick garter -	Customized with POPCOM logo and          Message on Family Planning placed          nside the shield -	Individually wrapped</t>
  </si>
  <si>
    <t xml:space="preserve"> INVITATION TO BID 1.	The Barangay San Fernando, Prieto Diaz, Sorsogon, through the 20% Barangay Development Fund-CY 2020  intends to apply the sum of  One Hundred Seventeen Thousand Seven Hundred Ten Pesos Only (PhP 117,710.00) being the Approved Budget f</t>
  </si>
  <si>
    <t xml:space="preserve"> Province of Cotabato Municipality of Arakan BIDS AND AWARDS COMMITTEE Invitation for Negotiated Procurement SUPPLY OF UNIFORM FOR BPAT &amp; TRAFFIC ENFORCER 	In view of the two (2) failed public bidding the Local Government of Arakan Bids and Awards Committe</t>
  </si>
  <si>
    <t xml:space="preserve"> PLEASE SEE ATTACHED FILE REQUEST FOR QUOTATION (RFQ)</t>
  </si>
  <si>
    <t xml:space="preserve"> Item No.	Description	Qty.	Unit 1	Aneroid Sphygmomanometer/Floor Standing (Adult) 	6	Unit 	Purpose of use: Department: Hospital Technical Characteristics  Detailed Requirements: Characteristics  Type: aneroid Configuration: floor-standing  Description Prod</t>
  </si>
  <si>
    <t xml:space="preserve"> Supply and Delivery of Medicine Drugs and Medical Supplies for Regular Health Services Kinoguitan, Mis. Or. ABC = 389,523.23</t>
  </si>
  <si>
    <t xml:space="preserve"> 100(3)A INDIVIDUAL REMOVAL OF TREES 48 EACH 801(1) REMOVAL OF STRUCTURES 1 LOT 102(1) SURPLUS COMMON EXCAVATION 1,665 CU.M 500(1)A1 RCPC(12"DIAM) 15 LN.M 104(1)A EMBANKMENT 630 CU.M 300(1) GRAVEL SURFACE COURSE (UNCRUSHED) 375 CU.M 1002(4) PLUMBING WORKS </t>
  </si>
  <si>
    <t xml:space="preserve"> Supply and delivery of construction materials and supplies for use in the Implementation of the Maintenance of National Roads and bridges under 41x Emergency Project (Rep./Maint. of Mabaha Bridge -Abutment B) Brgy. Mayaposi, Mabinay, Negros Oriental. 1. P</t>
  </si>
  <si>
    <t xml:space="preserve"> Republic of the Philippines Province of Leyte MUNICIPALITY OF HILONGOS REQUEST FOR QUOTATIONS 					 				________________                                                                                                                                       </t>
  </si>
  <si>
    <t xml:space="preserve"> Supply and Delivery of Office Medical Supplies: 1. (340) bottles Alcohol: Php 40,800.00 2. (190) boxes Disposable Mask: : Php 38,000.00 3. (10) galoon Disinfectant / Clorox: Php 2,990.00 4. (110) boxes Face Shield: Php 8,250.00 TOTAL AMOUNT: Php 90,040.00</t>
  </si>
  <si>
    <t xml:space="preserve"> REPAIR/ MAINTENANCE OF DND/DILG BUILDINGS Contract Location:                a.) Community Defense Center Building, Camp Juan Villamor, Calaba, Bangued, Abra;                                           b.) PNP Quarters Building, Camp Juan Villamor, Calaba, </t>
  </si>
  <si>
    <t xml:space="preserve"> 15 mL Conical Bottomed Tube with cap          10 PACK Racked, assembled, pre-sterilized; 50/pack   MBP Snaplock microtubes, 1.5ml, nuclease-free, 500pcs/pack      150 PACK PLEASE ATTACH THE FOLLOWING DOCUMENT: 1. MAYOR'S PERMIT 2. PHILGEPS CERTIFICATE 3. </t>
  </si>
  <si>
    <t xml:space="preserve"> LABOR: Item no. 1  - 1 lot - EGR Cleaning &amp; Intake Manifold cleaning  -     P  4,700.00              2  - 1 lot  - Replace AUX FAN and Condenser Assembly -     1,550.00              3 - 1 lot  - Freon Charging                                         -    </t>
  </si>
  <si>
    <t xml:space="preserve"> fruiting bags (oyster mushroom) 5,000 bags ABC: P175,000.00</t>
  </si>
  <si>
    <t xml:space="preserve"> Title:Procurement of Vehicle Parts and Accessories under P.R Nos. 2204-2020-Sangguniang Panglungsod and 2222-2020 City Human Resource Management Office-1Lot. Total ABC: Php 61,770.00 (INSTRUCTION AS TO THE REQUIRED FORM: For your price quotation, please u</t>
  </si>
  <si>
    <t xml:space="preserve"> PROCUREMENT OF ONE (1) UNIT ANESTHESIA MACHINE FOR MCH MCH, San Carlos, Mexico, Pampanga BAC Activities Schedule 1. Submission of Request for Expression of Interest and Eligibility Requirements	August 26-September 2, 2020 2.  Pre-bid Conference	September </t>
  </si>
  <si>
    <t xml:space="preserve"> Unit 	        Quantity                         Item Description		 			 Reams	336                   PAPER,MULTI-PURPOSE(COPY) A4		 BOT	        16                     INK CART,EPSONC13T664300(T6642), Cyan		 BOT	        16                     INK CART,EPSONC1</t>
  </si>
  <si>
    <t xml:space="preserve"> ITEM DESCRIPTION									 									 	1   set   8ch turbo HD DVR H265+8x full color big bullet camera 108 op 40m 							 	            2TB surveillance hard disk drive								 	            8ch centralize power supply 16x								 	            BNC connector 8</t>
  </si>
  <si>
    <t xml:space="preserve"> SUZUKI-GOK-455 (RHU 1)		 5	PC	TIRE 175 R13		 5	PC	TIRE VALVE		 				 		SUZUKI GOK-650 (RHU 2)		 4	PC	TIRE VALVE		 				 		NU 350 F2L745 (PNP)		 4	PC	TIRE 195 R15		 4	PC	TIRE VALVE		 5	PC	MAG WHEEL WEIGHTS		 				 		NU350 F1Q171 (M.O) &amp; GOK-559 (CITY SPORTS)	</t>
  </si>
  <si>
    <t xml:space="preserve"> Renovation of Regional Executive Director’s Office (STIARC Compound Brgy. Marawoy, Lipa City, Batangas)</t>
  </si>
  <si>
    <t xml:space="preserve"> Tarpaulin</t>
  </si>
  <si>
    <t xml:space="preserve"> Republic of the Philippines							 Province of Occidental Mindoro							 Municipality of STA. CRUZ							 							 REQUEST FOR QUOTATION							 Date:	Tuesday, August 25, 2020				                          PR No.: 		 08-25-20-64  					                       </t>
  </si>
  <si>
    <t xml:space="preserve"> Republic of the Philippines Province of Cagayan Tuguegarao City Invitation to Bid for  Cluster 9 Construction FMR Road Canal Lining Temblique Baggao Cagayan, Concreting of Road going to Pallagao Elementary School Pallagao Baggao, Cagayan and Concreting of</t>
  </si>
  <si>
    <t xml:space="preserve"> REQUEST FOR QUOTATION									 				                                                                              Date: _______________________ ‘_______________________________ Name Of Dealer ‘_______________________________ 	 Address GENTLEMEN: Please quo</t>
  </si>
  <si>
    <t xml:space="preserve"> Municipality of Looc Invitation to Bid for Rehabilitation/Backfilling/Improvement of Seawall in Brgy. Guitna 1.	The Municipality of Looc, through the LDF intends to apply the sum of Php 2,300,000.00 being the Approved Budget for the Contract (ABC) to paym</t>
  </si>
  <si>
    <t xml:space="preserve"> Supply and Delivery of 19 units Single-Function Standard Sheet-Fed (Desktop) Scanner, as per BSP Technical Specifications</t>
  </si>
  <si>
    <t xml:space="preserve"> PLEASE SEE ATTACHED RFQ.</t>
  </si>
  <si>
    <t xml:space="preserve"> Improvement of drainage structures</t>
  </si>
  <si>
    <t xml:space="preserve"> 1. 10 set Tire 10.00 x 20 x 16 with tube and flap</t>
  </si>
  <si>
    <t xml:space="preserve"> INVITATION TO BID FOR SUPPLY AND DELIVERY OF VARIOUS OFFICE, JANITORIAL AND OTHER SUPPLIES FOR CVMO,CTFRB AND SP SEC 1.	The Bids and Awards Committee of the Local Government Unit of Santiago City through the General Fund intends to apply the sum of One Mi</t>
  </si>
  <si>
    <t xml:space="preserve"> NOTICE TO THE PUBLIC REQUEST FOR PROPOSAL Purchase Request No: PUR20-03-0243 The Philippine General Hospital hereby informs the public that it will be procuring the following item/s through Small Value Procurement: Supply, Delivery and Installation: 1. 1 </t>
  </si>
  <si>
    <t xml:space="preserve"> Line Bidding.... 40	unit	Monoblock Chairs with back rest	 48,000.00  12	unit	"Plastic Table, Dimensions:Width: 36 in Length: 36 in Height: 28 in Gross Weight: 7.21 kgs"	 10,200.00  4	unit	Water Container for water dispenser 5 Gallon Round, color: blue 	 1</t>
  </si>
  <si>
    <t xml:space="preserve"> PROCUREMENT OF OFFICE EQUIPMENTS</t>
  </si>
  <si>
    <t xml:space="preserve"> LABORATORY REAGENTS										 LB00133	Bacitracin Powder	Bacitracin Powder	Bacitracin Powder	Bacitracin Powder	 100g/bot 	2	bot	 bot 	 9,600.00 	 19,200.00  LB0552	Hydrogen Peroxide	Hydrogen Peroxide	Hydrogen Peroxide	Hydrogen Peroxide	Concentrated, 500 mL</t>
  </si>
  <si>
    <t xml:space="preserve"> Provincial Social Welfare Development Office Agusan del Norte</t>
  </si>
  <si>
    <t xml:space="preserve"> A. Site Works B. Steel Works C. Concrete/ Masonry Works D.Grouted Riprap</t>
  </si>
  <si>
    <t xml:space="preserve"> 1.	The National Irrigation Administration – Cagayan-Batanes Irrigation Management Office, through the OMNISPIS of 2020 intends to apply the sum of One Million Ninety Three Thousand Four Hundred Pesos (P1,093,400.00) being the Approved Budget for the Contr</t>
  </si>
  <si>
    <t xml:space="preserve"> Qty. Unit of Issue    Item Description     Estimated Unit Cost    Estimated Total Cost 1   unit   Printer (Scan, Copy, Print, Fax) can copy ADF up to legal Size, refillable ink tank wireless all in one printer   13,000.00   13,000.00 nothing follows.....</t>
  </si>
  <si>
    <t xml:space="preserve"> Food Stuff</t>
  </si>
  <si>
    <t xml:space="preserve"> Please refer to the attached document in the associated component section.</t>
  </si>
  <si>
    <t xml:space="preserve"> First Aid Kit</t>
  </si>
  <si>
    <t xml:space="preserve"> JOB ORDER: To provide services through "Piecework (Pakyaw) System" as Site Engineer under Regional Agricultural Engineering Division (RAED) for the month of September 2020 to December 2020 QUALIFICATIONS: 1. A licensed Civil/Agricultural Engineer. 2. Has </t>
  </si>
  <si>
    <t xml:space="preserve"> The City Government of Malolos, through its BIDS and AWARDS COMMITTEE (BAC) Invites Suppliers/Manufacturers/Distributors to Bid for hereunder procurement:  PR No. : GSO-2020-08-1079 Name of Project : PURCHASE OF 2 UNITS DESKTOP COMPUTER AND PRINTER Reques</t>
  </si>
  <si>
    <t xml:space="preserve"> 1	unit	Clarinet: key of Bb locally made"	 12,995.00  1	unit	Soprano Saxophone: vandoren made of Wood consumable/disposable"	 5,900.00  1	unit	"Alto Saxophone: Vandoren made of Wood consumable/disposable"	 5,900.00  1	unit	"Tenor Saxophone: Vandoren made o</t>
  </si>
  <si>
    <t xml:space="preserve"> materials for fence nails</t>
  </si>
  <si>
    <t xml:space="preserve"> RFQ-2020-262		 			 1.	12	rolls	#14 Electrical Wire 2.	10	rolls	#12 Electrical Wire 3.	50	rolls	Electrical tape 4.	30	rolls	#16 electrical Wire 5.	720	pcs	Bulb 6.	720	pcs	Socket 7.	2200	pcs	Christmas Lights (22Trees x 100 Christmas Light each) 8.	240	pcs	L</t>
  </si>
  <si>
    <t xml:space="preserve"> 1st BATCH	5 days		CATERING SERVICES (WORKSHOP) 1	20	participants	  * 3 viands (3 meals: am, noon, pm) 2	5	facilitator	  *  rice 			  *  softdrinks and dessert 			  *  Snacks (morning &amp; afternoon) 2nd BATCH	5 days		 1	20	participants	  * 3 viands (3 meals:</t>
  </si>
  <si>
    <t xml:space="preserve"> INVITATION TO BID PROCUREMENT OF WATER SANITATION AND HYGIENE (WASH) SUPPLIES IB NO. 2020-07 1.	The Department of Health-Eastern Visayas Center for Health Development through the Bids and Awards Committee (BAC) invites suppliers to bid for the hereunder p</t>
  </si>
  <si>
    <t xml:space="preserve"> Acquisition of refill fire extinguisher</t>
  </si>
  <si>
    <t xml:space="preserve"> Department of Public Works and Highways SAMAR FIRST DISTRICT ENGINEERING OFFICE OFFICE OF THE DISTRICT ENGINEER Calbayog City INVITATION TO BID  1.	The DPWH-Samar First District Engineering Office, Calbayog City , through the Sub-Allotment Advice No. SR20</t>
  </si>
  <si>
    <t xml:space="preserve"> LAPTOP AND USB PRINTER</t>
  </si>
  <si>
    <t xml:space="preserve"> 1.The Municipal Government of El Nido, through the General Fund intends to apply the sum of Two Million Five Hundred Thousand Pesos (P 2,500,000.00) being the Approved Budget for the Contract (ABC) to payments for the Construction of Road at So. Caalan, B</t>
  </si>
  <si>
    <t xml:space="preserve"> 280 boxes Ascorbic Acid Tab.</t>
  </si>
  <si>
    <t xml:space="preserve"> VARIOUS ELECTRICAL EQUIPMENT AND APPLIANCES - A Please see attached file/document on associated components or BAC website www.davaocityportal.com (BAC posting) for the complete descriptions, terms of conditions and terms of references. Bidding will be con</t>
  </si>
  <si>
    <t xml:space="preserve"> see attachd file</t>
  </si>
  <si>
    <t xml:space="preserve"> EXCAVATION FOR STRUCTURE EMBANKMENT (from Borrow) STRUCTURAL CONCRETE REINFORCING STEEL FORMWORKS AND FALSEWORKS PLUMBING WORKS WOODEN DOOR CEMENT PLASTER FINISH PVC DOORS AND FRAMES MASONRY WORKS METAL STRUCTURES CORRUGATED METAL ROOFING &amp; ACCESSORIES RA</t>
  </si>
  <si>
    <t xml:space="preserve"> REQUEST FOR QUOTATION Please quote your lowest price on the item/s listed below, subject to the conditions also listed below, stating the shortest time of delivery and submit your quotation duly signed by your representative not later than  5:00 P.M. of S</t>
  </si>
  <si>
    <t xml:space="preserve"> REQUEST FOR QUOTATION TERMS OF PAYMENT:   30 DAYS PRICE VALIDITY:        120 DAYS</t>
  </si>
  <si>
    <t xml:space="preserve"> 1.	The Provincial Government of Batanes, through the Provincial Appropriations Ordinance No. 03 series of 2019 (20% Development Fund) intends to apply the sum of Four Hundred Seventy-One Thousand Eight Hundred Eighty Pesos Only (₱ 471,880.00), being the A</t>
  </si>
  <si>
    <t xml:space="preserve"> Quantity	              Description of Articles 	  515 reams      Paper, Multi-Purpose (copy) A4, 70gsm	  100 cart.	      Ink Cart, Epson C13T664100	  16 cart.	      Ink Cart, Epson C13T664200	  16 cart.	      Ink Cart, Epson C13T664300	  16 cart.	      In</t>
  </si>
  <si>
    <t xml:space="preserve"> CITC 1 LOT Subscription, Installation, and Testing of Internet Protocol Virtual Private Network (IPVPN) Layer 3 VPN based on Multi- Protocol Label Switching (MPLS) Technology with Free usage of modem and router connectivity equipment Please see attached f</t>
  </si>
  <si>
    <t xml:space="preserve"> Republic of the Philippines														 Province of Occidental Mindoro														 Mamburao, Occidental Mindoro														 REQUEST FOR QUOTATION														 Date of Posting:	August 25, 2020					Ref. No.		RN 560-2020						 						PR No.		1021-2020-</t>
  </si>
  <si>
    <t xml:space="preserve"> 1	Unit	Smart TV 55" 3	Unit	Desktop w/ Peripherals, 4GB memory, Wifi Lan, Corei7 1	Pc	Stapler for book binding 1	Pc	Sharpener 10	Pcs	Magazine File Long Horizontal-(Close) Black 1	Pc	3-1 Heavy Duty Puncher</t>
  </si>
  <si>
    <t xml:space="preserve"> SERIES	DESCRIPTION	QTY	UNIT	 UNIT COST 	 AMOUNT  1	2" X 3" X 10' LUMBER STAGING	312	BD FT	 52.50 	 16,380.00  2	1/4" THICK MARINE PLYWOOD	10	PCS	 470.00 	 4,700.00  3	ASSORTED COMMON NAILS	7	KGS	 90.00 	 630.00  4	10 MM DIAM. RSB (GRADE 40)	348.64	KGS	 50</t>
  </si>
  <si>
    <t xml:space="preserve"> UNIT                    QUANTITY                                  DESCRIPTION       box                            33                                   A4 Bond Paper subs 20       bot                            30                                    printe</t>
  </si>
  <si>
    <t xml:space="preserve"> “SUPPLY AND DELIVERY OF PETROLEUM, OIL &amp; LUBRICANTS FOR SPPF GOVERNMENT VEHICLES FOR THE MONTH OF SEPTEMBER 2020 – 1 LOT” Date: ____________________ RFQ No: SPPF2020-PR.233			 Name of Company: ______________________________________________________________</t>
  </si>
  <si>
    <t xml:space="preserve"> Flower Wreath</t>
  </si>
  <si>
    <t xml:space="preserve"> Item no. 1 - 1 pc. - EGR Assembly replacement -     P   15,860.00              2 - 1 lot - Shop Supplies Charge          -              100.00              3 - 2 pcs. - Parts Cleaner Spray          -              640.00              4 - 1 lot - EGR Tube P</t>
  </si>
  <si>
    <t xml:space="preserve"> Molasses									kg	120 Trapal (s400 Pgflex Lona, 9ft x 12 ft)									piece	1 Trapal (Brown/Orange Lona)									meter	10 Double Braided Nylon Rope #20									meter	30 Seedling Tray (104 holes/tray)									piece	100 Fruitfly Attractant									set	30 V</t>
  </si>
  <si>
    <t xml:space="preserve"> Diesel</t>
  </si>
  <si>
    <t xml:space="preserve"> 100 UNITS WATER METER</t>
  </si>
  <si>
    <t xml:space="preserve"> 1	SCOPE OF WORK TO BE DONE I.	SPECIAL ITEM: a.	 Project  Billboard b.	Temporary Facility c.	Safety and Health II.	EARTHWORKS: a.  Site Clearing, excavation, backfilling and other necessary works III.	FORMWORKS AND SCAFFOLDINGS: IV.	REINFORCED CONCRETE WOR</t>
  </si>
  <si>
    <t xml:space="preserve"> 103(1)A STRUCTURE EXCAVATION 178.56 CU.M 506 STONE MASONRY 99.58 CU.M 104(1) EMBANKMENT 48 CU.M B.5 PROJECT BILLBOARD 1 EACH</t>
  </si>
  <si>
    <t xml:space="preserve"> Installation of street solar light in major streets in the Barangay</t>
  </si>
  <si>
    <t xml:space="preserve"> Republic of the Philippines BOHOL ISLAND STATE UNIVERSITY Main Campus, Tagbilaran City INVITATION TO BID FOR RE-BIDDING:PR NO. 2020-02-0384-MAIN-SUPPLY AND DELIVERY OF CHEQUE PAPER FOR REGISTRAR’S OFFICE 1.	The Bohol Island State University – Main Campus,</t>
  </si>
  <si>
    <t xml:space="preserve"> A. Signs &amp; Manual Hauling B. Site Works C. Concrete Works</t>
  </si>
  <si>
    <t xml:space="preserve"> Purchase of Information Communication Equipment for the use of Provincial Disaster Risk Reduction and Management Office</t>
  </si>
  <si>
    <t xml:space="preserve"> NITRILE DISPOSABLE GLOVES     300 BOX Powder Free, LARGE, 100/box NITRILE DISPOSABLE GLOVES    500 BOX Powder Free, MEDIUM, 100/box NITRILE DISPOSABLE GLOVES     300 BOX Powder Free, Small, 100/boxc 70% alcohol                               1,500 BOTTLE 1</t>
  </si>
  <si>
    <t xml:space="preserve"> ITEM NO.	ITEM &amp; DESCRIPTION				UNIT	QTY. 1	2"x16x12' S4S Lumber (2 pcs)				bd.ft	24 2	2"x3"x10' S4S Lumber (16 pcs)				bd.ft	80 3	2"x2"x10' S4S Lumber (21 pcs)				bd.ft	70 4	Fascia Board (1x12"x12')				pcs	6 5	#26x12 (0.40MM) Corrugated GI Sheet				pcs	30</t>
  </si>
  <si>
    <t xml:space="preserve"> Isoprophyl Alcohol	1,600 70% Solution	bottles 500 ml	 Bottle with pump	 	 	 	 	 	 	 	 	 	 	 Bidders must submit the following requirements:	           1. DTI/SEC Registration Certificate	           2. Mayor's Permit	           3. PHILGEPS Certificate of R</t>
  </si>
  <si>
    <t xml:space="preserve"> 1.The Municipal Government of El Nido, through the MMO-OTHER OBLIGATION SUPPLEMENTAL NO. 3 2020 intends to apply the sum of Three Million Seven Hundred  Thousand Pesos (₱ 3,700,000.00) being the Approved Budget for the Contract (ABC) to payments for the P</t>
  </si>
  <si>
    <t xml:space="preserve"> PLEASE SEE ATTACHED RFQ AND SPECS</t>
  </si>
  <si>
    <t xml:space="preserve"> bondpaper epson ink folders</t>
  </si>
  <si>
    <t xml:space="preserve"> INVITATION TO BID The Iligan City Government Bids and Awards Committee (BAC), through 2016 GENERAL FUND - PROPER intends to apply the sum of P 3,300,000.00 being the Approved Budget for the Contract (ABC) to payments under the Contract for Supply and Deli</t>
  </si>
  <si>
    <t xml:space="preserve"> 2 UNITS VAN RENTAL FOR 15 DAYS, TO FERRY AND FETCH THE LSI AND ROF.</t>
  </si>
  <si>
    <t xml:space="preserve"> Republic of the Philippines														 Province of Occidental Mindoro														 Mamburao, Occidental Mindoro														 REQUEST FOR QUOTATION														 Date of Posting:	August 25, 2020					Ref. No.		RN 559-2020						 						PR No.		1021-2020-</t>
  </si>
  <si>
    <t xml:space="preserve"> Rice Sinandomeng, 160</t>
  </si>
  <si>
    <t xml:space="preserve"> GAD TRAINING I. FOODSTUFF</t>
  </si>
  <si>
    <t xml:space="preserve"> 1.	1	unit/s	Desktop Computer (ThinkCentre) Intel Core TWQ370 			Intel Core i7-9700/4GB/ 1TB+512 SSD/ Win 10 Pro/ No RDVD  			2GB VCARD DVD Room 2.	1	unit/s	21.5" FHD Monitor 3.	1	unit/s	1 Keyboard and Mouse Nanno MK240 4.	2	unit/s	APC Back-UPS 1400VA, 230</t>
  </si>
  <si>
    <t xml:space="preserve"> CENRO VARIOUS SPARE PARTS For the three (3) units Isuzu CYZ Please see attached file/document on associated components or BAC website www.davaocityportal.com (BAC posting) for the complete descriptions, terms of conditions and terms of references. Bidding</t>
  </si>
  <si>
    <t xml:space="preserve"> 20-10976</t>
  </si>
  <si>
    <t xml:space="preserve"> Microcentrifuge Tube 1.5ml, sterile, nuclease-free 500/pack     150 PACK   Microcentrifuge Tube 2ml, sterile, nuclease-free 500/pack        75 PACK PLEASE ATTACH THE FOLLOWING DOCUMENT: 1. MAYOR'S PERMIT 2. PHILGEPS CERTIFICATE 3. DTI/SEC CERTIFICATE 4. U</t>
  </si>
  <si>
    <t xml:space="preserve"> INVITATION TO BID: ITB-NO. 2008-029 Repair of Hon. Bernie F. Abasques Multi-Purpose Building ( Phase 11) Municipal Hall Compound, Mlang, Cot.</t>
  </si>
  <si>
    <t xml:space="preserve"> 20-0094 Procurement of Correction Pen, Eraser</t>
  </si>
  <si>
    <t xml:space="preserve"> LOCAL SCHOOL BOARD 1 UNIT 2 Digital Single Lens Reflex Camera with 2 TRIPODs (carbon fiber tripod kit) 24.2 megapixel resolution Max ISO 25,600 expands to ISO 51,200 Optical viewfinder with 9-point autofocus Live view with dual pixel CMOS AF 5 fps continu</t>
  </si>
  <si>
    <t xml:space="preserve"> 1.	The National Irrigation Administration – Cagayan-Batanes Irrigation Management Office, through the OMNISPIS of 2020 intends to apply the sum of Two Million Five Hundred Thousand Pesos (P2,500,000.00) being the Approved Budget for the Contract (ABC) to </t>
  </si>
  <si>
    <t xml:space="preserve"> PLEASE SEE ATTACHED RFQ</t>
  </si>
  <si>
    <t xml:space="preserve"> 13 units - Beds with Foam 2 sets - Portable Toilets (Portalet) 13 units - Electric Fan (Stand Fan)</t>
  </si>
  <si>
    <t xml:space="preserve"> Please "Associated Components"</t>
  </si>
  <si>
    <t xml:space="preserve"> Republic of the Philippines Province of Leyte Municipality of Hilongos INVITATION TO BID FOR THE PURCHASE OF TWO (2) UNITS DESKTOP COMPUTER WITH 3 IN 1 INK PRINTER 1.  The Local Government Unit of Hilongos, through GENERAL FUND-CURRENT APPROPRIATION- inte</t>
  </si>
  <si>
    <t xml:space="preserve"> RFQ for Riso</t>
  </si>
  <si>
    <t xml:space="preserve"> Parts and labor for the replacement of four (4) pcs tire 255/60 R18 for Nissan Navara OV8024 PEO owned by the Provincial Government of Bataan</t>
  </si>
  <si>
    <t xml:space="preserve"> Please refer to the attached RFQ</t>
  </si>
  <si>
    <t xml:space="preserve"> 5 unit Steel Rack (5 Layers) 2 unit Filing Cabinet (2 Drawers)</t>
  </si>
  <si>
    <t xml:space="preserve"> Procurement of LAN Cable Lay out for TMSCD Office Computers under PR No. FROG-0220-007 and  ITB No. 2003-016-10 Please quote your lowest price on the item/s listed below, subject to the Terms and Conditions set forth hereunder, stating among others the sh</t>
  </si>
  <si>
    <t xml:space="preserve"> REQUEST FOR QUOTATION SHOPPING OF ALCOHOL, ALCOGEL, VITAMIN C, ORAL ANTISEPTIC, FACE SHIELD	 &amp;BLEACH GERMICIDAL CLEANER  RFQ No. 2020-08-011 The Obando Water District (OWD), through its Bids and Awards Committee (BAC), invites reputable supplier to submit</t>
  </si>
  <si>
    <t xml:space="preserve"> UNIVERSITY OF THE PHILIPPINES BAGUIO											 Governor Pack Road, Baguio City, Benguet, CAR											 VAT Reg. TIN: 000-864-006-00007											 Telephone No. 074.442.3484											 Email Address: spmo.upbaguio@up.edu.ph											 											 REQUEST</t>
  </si>
  <si>
    <t xml:space="preserve"> lawn mower labor gasoline</t>
  </si>
  <si>
    <t xml:space="preserve"> 1.The Municipal Government of El Nido, through the SPECIAL EDUCATION FUND intends to apply the sum of Two Million Two Hundred  Thousand Pesos (₱ 2,200,000.00) being the Approved Budget for the Contract (ABC) to payments for the Procurement and Delivery of</t>
  </si>
  <si>
    <t xml:space="preserve"> Republic of the Philippines														 Province of Occidental Mindoro														 Mamburao, Occidental Mindoro														 REQUEST FOR QUOTATION														 Date of Posting:	August 25, 2020					Ref. No.		RN 561-2020						 						PR No.		1021-2020-</t>
  </si>
  <si>
    <t xml:space="preserve"> Four (4) Units Heavy Duty Digital Duplicator with Computer Interface: Specifications: BPS-150, First copy time 18 seconds; Speed 130ppm printing; Image Quality 300dpix400dpi; Easy-to-use one touch operation panel; Convenient Usb PC Connectivity; Print spe</t>
  </si>
  <si>
    <t xml:space="preserve"> Stickers</t>
  </si>
  <si>
    <t xml:space="preserve"> INVITATION TO BID FOR PROCUREMENT OF MICRO-INFRA PROJECTS CLUSTER 10-2020, (MDF)                                                                         BOKOD, BENGUET 1.	The MUNICIPALITY OF BOKOD, through the MDF intends to apply the sum of   One Million</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</si>
  <si>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</si>
  <si>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The work includes repair of spring box 1, construction of spring box 2 and intake box. it also include installation of 12 ln.m.-3" dia P.E. pipe, SDR 11 as per approved plans and POW</t>
  </si>
  <si>
    <t xml:space="preserve"> 1. 1 LOT - CONSTRUCTION SUPPLIES - 720,633.12 The Complete Schedule of Activities are Listed as Fallows: 1. Submission of Letter of Intent, September 2-8, 2020 @ 08:00a.m @ Mun. Conference Room, Mun. Hall Dangcagan, Bukidnon 2. Issuance of Bid Documents -</t>
  </si>
  <si>
    <t xml:space="preserve"> Standard Form Number: SF-GOOD-60 Date: 08/25/2020 Quotation No.2020-08-002-the contemporary EASTERN VISAYAS STATE UNIVERSITY – CARIGARA CAMPUS Carigara, Leyte Please quote your lowest price on the item/s listed below, subject to the General Conditions on </t>
  </si>
  <si>
    <t xml:space="preserve"> 2 pcs Shock Absorber Front 2 pcs Shock Absorber Rear 2 pcs Stabilizer Link Front 1 pc Stabilizer Bar Bushing Front 4 pcs Tire 65R 17 1 pc Fan Belt 1 set Disc Pad 2 gallon Oil 15W40 1 pc Air Cleaner 1 pc Oil FIlter DC-306 1 pc Battery 3SM 1 pc Fuel Filter</t>
  </si>
  <si>
    <t xml:space="preserve"> See attached RFQ</t>
  </si>
  <si>
    <t xml:space="preserve"> 1	Project Title: 	Furnishing of labor, supplies and equipment for Janitorial Services for maintenance of MSU-IIT Buildings &amp; Facilities and Grounds for the period January 1, 2021 to December 31, 2021. Scope of Work The Scope of Work shall consist of the f</t>
  </si>
  <si>
    <t xml:space="preserve"> RFQ FOR OFFICE EQUIPMENT</t>
  </si>
  <si>
    <t xml:space="preserve"> pls see attached docs</t>
  </si>
  <si>
    <t xml:space="preserve"> REQUEST FOR QUOTATION (RFQ) SUPPLY AND DELIVERY OF PRINTER SCANNER UNDER EMB-OD RFQ NO. EMB-OD-SHOPPING-G-131-8-25-2020 2020-0786 1.	The Department of Environment and Natural Resources – Environmental Management Bureau (DENR-EMB) hereinafter referred to a</t>
  </si>
  <si>
    <t xml:space="preserve"> Annual PMS of Caterpillar Genset Battery Scope of Works: 1. Perform pressure on radiator, drain, and flush cooling system. 2. Fine tuning wood work. 3. Replacement of batteries. Specs of Parts to be Supplied: 2 units - Battery, 9X-9720B</t>
  </si>
  <si>
    <t xml:space="preserve"> Unit 	Item Description	Quantity 		 		 Pcs	Data File Box Big	6 Pcs	Double Sided Tape 1 inch	12     Ream 	Multi Purpose Paper A4	20 Pcs	Duct Tape	300 Ream 	Acetate	220 Box	Staple wire 23/13	12 Bag	Tissue Paper	12     Unit 	Aircon 1/2 hp.	1 		 Pcs	Tarpaulin </t>
  </si>
  <si>
    <t xml:space="preserve"> https://drive.google.com/file/d/1eb405PD_O6iweoLabTP-FpwkjRWgCnBW/view?usp=drivesdk</t>
  </si>
  <si>
    <t xml:space="preserve"> Various Fuel (Diesel, Unleaded, Premium)</t>
  </si>
  <si>
    <t xml:space="preserve"> 1.The Municipal Government of El Nido, through the SPECIAL EDUCATION FUND intends to apply the sum of One Million Eight Hundred  Thousand Pesos (₱ 1,800,000.00) being the Approved Budget for the Contract (ABC) to payments for the Procurement and Delivery </t>
  </si>
  <si>
    <t xml:space="preserve"> 300 kls. Ginger</t>
  </si>
  <si>
    <t xml:space="preserve"> INVITATION TO BID Bid Reference No.  ____________ SUPPLY AND DELIVERY OF WIFI MODEM (DepEd) (Rebidding) Approved Budget for the Contract (ABC):  Php 422,500.00 1.	The Municipal Government Unit of Initao, Misamis Oriental intends to apply the sum of: Four </t>
  </si>
  <si>
    <t xml:space="preserve"> 833 vials - Anti-Rabies Vaccine</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</si>
  <si>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</si>
  <si>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Please download associated components</t>
  </si>
  <si>
    <t xml:space="preserve"> Consulting Services (Conduct of Borehole Drilling etc.)</t>
  </si>
  <si>
    <t xml:space="preserve"> Lot 1 1.1 Catering Services (2 days training on Duck Raising and Management) 1.2 Catering Services (1 day training on Operation and maintenance of equipments and orientation on record keeping) Lot 2 2.1 Duck (Male 1-1.5kls) - 200 heads 2.2 Duck Female (1-</t>
  </si>
  <si>
    <t xml:space="preserve"> The City Government of Malolos, through its BIDS and AWARDS COMMITTEE (BAC) Invites Suppliers/Manufacturers/Distributors to Bid for hereunder procurement:  PR No. : GSO-2020-07-1036 Name of Project : PURCHASE OF 1 UNIT LAPTOP Requesting Office : BUDGET OF</t>
  </si>
  <si>
    <t xml:space="preserve"> BOND PAPER LEGAL S16     305 ream ASSORTED INK REFILL          16 liter PLASTIC LONG ENVELOPE    348 pc DUCT TAPE                            50 pc STAPLE WIRE #35                  30 box HANDSOAP BIG                     2 bottle ALCOHOL                   </t>
  </si>
  <si>
    <t xml:space="preserve"> 1	1	Lot	Supply &amp; Delivery of I.T. Equipment			 			Item Description:			 	1	Unit	MULTIFUNCTION PRINTER (color)   Print, copy, scan 180 Nozzles Black, 59 nozzles each colour, 5760 x 1440 dpi maximun print resolution Bi directional printing Up to 33 ppm/15 pr</t>
  </si>
  <si>
    <t xml:space="preserve"> Republic of the Philippines Province of Nueva Vizcaya BIDS AND AWARDS COMMITTTEE (GOODS) BAC OFFICE, Provincial Capitol, Bayombong, Nueva Vizcaya 	 		 3rd REQUEST FOR QUOTATION (RFQ) For the Procurement 1 unit Desktop Computer For the Provincial General S</t>
  </si>
  <si>
    <t xml:space="preserve"> •	Consultancy Services for the formulation of     -     1 Service         Mangrove Ecotourism Plan in Alabel.</t>
  </si>
  <si>
    <t xml:space="preserve"> Republic of the Philippines DEPARTMENT OF PUBLIC WORKS AND HIGHWAYS DAVAO DEL NORTE DISTRICT ENGINEERING OFFICE Region XI Tagum City NOTICE OF PROCUREMENT OF GOODS THROUGH ALTERNATIVE METHOD OF PROCUREMENT  (Goods)        No. 2020-0004  Date :  August 26,</t>
  </si>
  <si>
    <t xml:space="preserve"> 20-10851</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</si>
  <si>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</si>
  <si>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GAD TRAINING I. UNIFORMS II. TRAINING MATERIALS</t>
  </si>
  <si>
    <t xml:space="preserve"> Delivery should be made on or before September 15, 2020 at Dr. Maria D. Pastrana NHS</t>
  </si>
  <si>
    <t xml:space="preserve"> Procurement of Construction Materials Requested by the different barangays of the municipality during the conduct of the Bisita sa Barangay</t>
  </si>
  <si>
    <t xml:space="preserve"> Request for Quotation: RFQ-2008-772  1. 567  serves Meals and Snacks</t>
  </si>
  <si>
    <t xml:space="preserve"> EPSON INK 664 ASSORTED                64 bottles BOND PAPER LONG                            198 reams PLASTIC ENVELOPE                            250 pieces STAPLE WIRE                                    18 boxes CALCULATOR                                </t>
  </si>
  <si>
    <t xml:space="preserve"> Republic of the Philippines  ANGELES CITY WATER DISTRICT  Angeles City  REQUEST FOR QUOTATIONS  SUPPLIER: P.R No.: 20-08-108-A ADDRESS: DATE:  CONTACT NOS.: ________________________________  Please submit your quotations for the following items on or befo</t>
  </si>
  <si>
    <t xml:space="preserve"> Republic of the Philippines										 Department of Public Works and Highways										 OFFICE OF THE DISTRICT ENGINEER										 Camarines Sur  2ND District Engineering Office										 Name of Procuring Entity: DPWH-CAM.SUR 2				                        </t>
  </si>
  <si>
    <t xml:space="preserve"> 1	1	Job	Supply, Delivery &amp; Installation of Air Conditioning Unit			 			Description:			 	1	Lot	Supply, Delivery, Installation and testing of Split Type Air Conditioning Unit (ACU) with the following specifications : a) Type   Wall Mounted Inverter with rem</t>
  </si>
  <si>
    <t xml:space="preserve"> Republic of the Philippines Province of Cagayan Tuguegarao City Invitation to Bid for Cluster 18 Construction of Fencing at Nabiallan Elem. School, Amulung, Cagayan, Construction of Waiting Shed (24 spans) at Annafatan, Amulung, Cagayan, Construction of C</t>
  </si>
  <si>
    <t xml:space="preserve"> See associated components for complete details</t>
  </si>
  <si>
    <t xml:space="preserve"> TOTAL APPROVED BUDGET PHP. 500,000.00 TEN (10) UNITS OF COMPUTER LAPTOP Technical Specifications: Processor: Equivalent to 10th Generation 1.8 GHZ 4 Cores 8 Thread Processor with 8 MB cache Memory: 16GB DDR4 Storage/Hard Disk: 256GB SSD + 1TB SATA HDD Fro</t>
  </si>
  <si>
    <t xml:space="preserve"> INVITATION TO BID 1.	The Barangay Rizal, Prieto Diaz, Sorsogon, through the 20% Barangay Development Fund-CY 2020  intends to apply the sum of  Eighty Thousand Pesos Only (PhP 80,000.00) being the Approved Budget for the Contract (ABC) to payments under t</t>
  </si>
  <si>
    <t xml:space="preserve"> Republic of the Philippines Province of Cagayan Tuguegarao City Invitation to Bid for  Cluster 17 Construction of Covered Court at Mabitbitnong, Sto. Niño, Cagayan (from Grid Line 1-4A-B), Improvement of Daycare Center at Niug Sur, Sto.Niño, Cagayan, Inst</t>
  </si>
  <si>
    <t xml:space="preserve"> A. CONCRETE PAVEMENT 100(3)A INDIVIDUAL REMOVAL OF TREES 40 EACH 102(2)B SURPLUS COMMON EXCAVATION 1,001.25 CU.M 104(1)B EMBANKMENT 300.38 CU.M 105(1) SUB GRADE PREPARATION 2,803.50 SQ.M 300(1) AGGREGATED SURFACE COURSE (UNCRASHED) 360.45 CU.M 311(1)B POR</t>
  </si>
  <si>
    <t xml:space="preserve"> Request for Quotation The Tumauini Water District (TWD) is pleased to invite you to quote your lowest price on the item/s described in the attached file subject to the terms and conditions therein. Submit your quotation duly signed by you or your authoriz</t>
  </si>
  <si>
    <t xml:space="preserve"> Please refer to attached Request for Quotation.</t>
  </si>
  <si>
    <t xml:space="preserve"> 1. 15780 ltr - Diesel 2. 1000 ltr - Gasoline 3. 20 ltr - Hydraulic oil 10w 4. 100 ltr - Engine oil 15w-40  5. 40 ltr - Engine Oil 40 6. 20 ltr - Gear Oil #90 7. 20 ltr - Gear Oil #140 8. 20 ltr - ATF 9. 20 ltr - Break Fluid 10. 20 kg - Grease</t>
  </si>
  <si>
    <t xml:space="preserve"> 1 unit Aircon Carrier 2HP or its equivalent (Manual)</t>
  </si>
  <si>
    <t xml:space="preserve"> 4,500 pieces Needleless Split Septum Device</t>
  </si>
  <si>
    <t xml:space="preserve"> Please see attached file in the associated component for the Official Bid Form</t>
  </si>
  <si>
    <t xml:space="preserve"> 10,000.00 pcs Bottled Water 350ml</t>
  </si>
  <si>
    <t xml:space="preserve"> ALCOHOL 250ML HAND SANITIZER 100ML HAND SOAP 175GRAMS ECOBAG WASHABLE FACE MASK STICKER PAPER/VELUM BOARD</t>
  </si>
  <si>
    <t xml:space="preserve"> Invitation to Bid for the Procurement of Communication Equipment for Disaster Preparedness and Rescue Use of the Forty Three (43) Barangays of Tagudin, Ilocos Sur 1.	The Local Government Unit of Tagudin, Ilocos Sur, thru its Bids and Awards Committee inte</t>
  </si>
  <si>
    <t xml:space="preserve"> Purchase of Materials for Construction of Bantay Dagat Outpost and Signages for San Andres Fish Sanctuary, Mabini, San Andres, Romblon 	The Municipal Government of San Andres, Romblon through 20% Development Fund (2019) intends to apply the sum of Ninety </t>
  </si>
  <si>
    <t xml:space="preserve"> Republic of the Philippines Province of Cagayan Tuguegarao City Invitation to Bid for  Cluster 16 Repair/ Improvement of CRAB Hotel Centro Buguey Cagayan, Continuation of the Extension of the Camalaniugan Multi – Purpose Building Centro Sur Camalanuigan, </t>
  </si>
  <si>
    <t xml:space="preserve"> - SUPPLY &amp; DELIVERY OF FITNESS GYM EQUIPMENTS &amp; ACCESSORIES - ORIENTATION &amp; INSTALLATION</t>
  </si>
  <si>
    <t xml:space="preserve"> BIDS AND AWARDS COMMITTEE INVITATION TO BID (ITB) The LOCAL GOVERNMENT UNIT OF BILIRAN, through its BIDS AND AWARDS COMMITTEE (BAC) invites Bidders/Suppliers to bid for the Construction of the following: 1.	CONCRETING OF PATHWAY SITIO CAIMITO, BRGY JULITA</t>
  </si>
  <si>
    <t xml:space="preserve"> Republic of the Philippines											 Province of Zambales											 MUNICIPALITY OF PALAUIG											 											 						Name of Project: Purchase &amp; Delivery of Dental Supplies and Equipment					 						Project Ref. No./Purchase Request No. :  100-2020-</t>
  </si>
  <si>
    <t xml:space="preserve"> A. Site Works &amp; Signs B. Concret Works C. Steel Works</t>
  </si>
  <si>
    <t xml:space="preserve"> 20-10895</t>
  </si>
  <si>
    <t xml:space="preserve"> 20-10884</t>
  </si>
  <si>
    <t xml:space="preserve"> Date: August 25, 2020  Quotation No.: 2020-075 REQUEST FOR QUOTATION The Municipal Government of Victoria, through the Bids and Awards Committee, will undertake Small Value Procurement for the “Procurement of feeds for Swine Breeding Station at Agricultur</t>
  </si>
  <si>
    <t xml:space="preserve"> 1.	1	unit/s	Desktop Computer 			PC No. 1 Motherboard : ATX Motherboard 			Processor: Intel core i5- (8gen processor) 			Hardisk: 1000GB Hardisk, ODD: DVD-RW   			Memory: 8GB Video Memory: 2GB Graphics Card 			PSU: 700 watts power supply, Monitor: 21" LED </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</si>
  <si>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</si>
  <si>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*Note: Please download the Bidding Documents, Bill of Quantities and Plans/Drawings from the associated components found in this notice. INVITATION TO NEGOTIATE (TWO (2) FAILED BIDDINGS)   REPAIR/IMPROVEMENT OF NFA PROVINCIAL OFFICE INCLUDING CONSTRUCTION</t>
  </si>
  <si>
    <t xml:space="preserve"> Republic of the Philippines Province of Ilocos Sur MUNICIPALITY OF MAGSINGAL Office of the Bids and Awards    Committee INVITATION TO BID FOR THE IMPROVEMENT OF KASAMAKAN PATONG FMR PHASE III The Municipality of Magsingal, through its Bids and Awards Comm</t>
  </si>
  <si>
    <t xml:space="preserve"> 1 BOX BALLPEN - BLACK ORDINARY 50'S 5 2 REAM/S PAPER - BOND,PG,LEGAL,216MMX330MM(8-1/2"X13") 70 GSM 10 3 REAM/S PAPER - BOND,PG,A4,210MMX297MM,70GSM. 5 4 REAM/S PAPER - BOND,PG,SHORT 8 1/2X11" 10 5 BOX/S CLIP BACKFOLD - 19MM 5 6 PC/S CORRECTION TAPE - W/ </t>
  </si>
  <si>
    <t xml:space="preserve"> VARIOUS CONSTRUCTION SUPPLIES AND MATERIALS Please see attached file/document on associated components or BAC website www.davaocityportal.com (BAC posting) for the complete descriptions, terms of conditions and terms of references. Bidding will be conduct</t>
  </si>
  <si>
    <t xml:space="preserve"> The City Government of Malolos, through its BIDS and AWARDS COMMITTEE (BAC) Invites Suppliers/Manufacturers/Distributors to Bid for hereunder procurement:  PR No. : GSO-2020-08-1078 Name of Project : PURCHASE OF FIREFIGHTER BOOTS, GLOVES AND AIR PURIFYING</t>
  </si>
  <si>
    <t xml:space="preserve"> Cement Coco Lumber 2"x4"x12' Mixing Water Sand Gravel Common Nails</t>
  </si>
  <si>
    <t xml:space="preserve"> 20-10889</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</si>
  <si>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</si>
  <si>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ALBAY 3RD DISTRICT ENGINEERING OFFICE																											 Paulog, Ligao City																											 																											 																											 INVITATION TO BID																											 																											 The DPWH - Alba</t>
  </si>
  <si>
    <t xml:space="preserve"> (PLEASE SEE ATTACHED ASSOCIATED COMPONENTS) please send Request for Quotation - msbslh14@gmail.com Quotation must be submitted with company’s letter head. Stating Specification, unit cost and total amount offer. Contact Person:	MHELET BEÑALES (711-69-73) </t>
  </si>
  <si>
    <t xml:space="preserve"> RFQ FOR LOT 4</t>
  </si>
  <si>
    <t xml:space="preserve"> See attached file.</t>
  </si>
  <si>
    <t xml:space="preserve"> LGU - Padre Burgos, Southern Leyte INVITATION TO BID FOR  Procurement of Furniture’s and Fixtures Padre Burgos, Southern Leyte 1.	The LGU Padre Burgos, Southern Leyte through the MDFO  intends to apply the sum of Two Million Pesos (P 2,000,000.00), being </t>
  </si>
  <si>
    <t xml:space="preserve"> Republic of the Philippines PROVINCE OF BUKIDNON Municipality of Don Carlos   BIDS AND AWARDS COMMITTEE REQUEST FOR QUOTATION 									 									Date:  									RFQ No.											   		Name of Project: Supply &amp; Delivery  									of Two Units of Computer S</t>
  </si>
  <si>
    <t xml:space="preserve"> CMO/CENTRAL 911 Please see attached file/document on associated components or BAC website www.davaocityportal.com (BAC posting) for the complete descriptions, terms of conditions and terms of references. Bidding will be conducted through open competitive </t>
  </si>
  <si>
    <t xml:space="preserve"> TOTAL APPROVED BUDGET PHP 500,000.00 SUPPLY OF VIDEO CONFERENCE SOLUTION FOR 50 USERS FOR ONE YEAR SUBSCRIPTION  WITH THE FOLLOWING SPECIFICATIONS:      The proposed solution must be able to provide “Personal Room” and able to customize personal room vide</t>
  </si>
  <si>
    <t xml:space="preserve"> The City Government of Malolos, through its BIDS and AWARDS COMMITTEE (BAC) Invites Suppliers/Manufacturers/Distributors to Bid for hereunder procurement:  PR No. : GSO-2020-06-797 Name of Project : SUPPLY AND DELIVERY OF PORTABLE INTERNET BROADBAND Reque</t>
  </si>
  <si>
    <t xml:space="preserve"> I. REINFORCING STEEL II. CONCRETE WORKS SPL FORM LUMBERS SPL. CONSTRUCTION SAFETY &amp; HEALTH</t>
  </si>
  <si>
    <t xml:space="preserve"> Purchase of Gasoline for the month of September 1-30, 2020.</t>
  </si>
  <si>
    <t xml:space="preserve"> INVITATION TO BID ITB NO. 2020-08-0282 The Procuring Entity through its Bids and Awards Committee (BAC), invites eligible Construction suppliers to apply for eligibility and to bid for the hereunder project: Name of Project: Equipment for New Admin Buildi</t>
  </si>
  <si>
    <t xml:space="preserve"> Item No. Qty. Unit of Issue Item Description 1 77 bag Cement 2 1714 piece Hollow Blocks #4 3 84 length 9MM RSB 4 24 length 10MM RSB 5 7160 cu.m Sand and Gravel 6 2 kilogram Nails 7 6 kilogram Tie Wire 8 10 piece Cutting Disc</t>
  </si>
  <si>
    <t xml:space="preserve"> Supply and Delivery of the following IT Equipment; IT EQUIPMENTS 1 unit       DJI Mavic 2 Zoom Drone with the following Inclusions: Remote Controller, Intelligent Flight Battery, Battery Charger for Mavic 2, Power Cable, 3pair Low-Noise Propellers, RC Cab</t>
  </si>
  <si>
    <t xml:space="preserve"> 1.     1,000 PIECES MEDICAL PROTECTIVE COVERALL, DISPOSABLE         SIZES: MEDIUM = 400 ; LARGE = 600</t>
  </si>
  <si>
    <t xml:space="preserve"> See attached documents, print Bid Notice Abstract and download ITB No. GOODS-20-136.</t>
  </si>
  <si>
    <t xml:space="preserve"> SANGGUNIANG PANLUNGSOD VARIOUS JANITORIAL SUPPLIES AND MATERIALS Please see attached file/document on associated components or BAC website www.davaocityportal.com (BAC posting) for the complete descriptions, terms of conditions and terms of references. Bi</t>
  </si>
  <si>
    <t xml:space="preserve"> (PLEASE SEE ATTACHED ASSOCIATED COMPONENTS) Contact Person:	FREDERICK VILLAS (711-69-73) please send Request for Quotation - msbslh14@gmail.com Quotation must be submitted with company’s letter head. Stating Specification, unit cost and total amount offer</t>
  </si>
  <si>
    <t xml:space="preserve"> supply and delivery of hardware materials</t>
  </si>
  <si>
    <t xml:space="preserve"> 1 unit Submersible pump capacity : 1 HP - 2 HP; sludge type with accessories</t>
  </si>
  <si>
    <t xml:space="preserve"> SEE BIDDING DOCUMENTS</t>
  </si>
  <si>
    <t xml:space="preserve"> SEE ATTACHED BILL OF QUANTITIES.</t>
  </si>
  <si>
    <t xml:space="preserve"> UNIT                    QUANTITY                         DESCRIPTION REAMS                  245                                  A4 BOND PAPER SUBSTANCE 20 BOTTLES                   7                                  EPSON BLACK INK #003 BOTTLES          </t>
  </si>
  <si>
    <t xml:space="preserve"> see attached Invitation to Bid &amp; Bid Documents</t>
  </si>
  <si>
    <t xml:space="preserve"> Item No.    ITEM (Scope of Work)    Qty.    Unit  Total Estimated Cost  SPL-1 Mobilization / Demobilization 1.00 l.s  SPL-2 Occupational Safety &amp; Health 4.00 Months  SPL-3 Project Billboard 1.00 l.s  803 Structural Excavation 35.35 Cu.m  804(4) Gravel Fil</t>
  </si>
  <si>
    <t xml:space="preserve"> RFQ# 20-08-0336 PR# 2020-08-0970 Items: 1.	G.I. pipe 1 1/2" sch. 20 x 6m	-	30	pcs 2.	G.I. pipe 1/2" sch. 20 x 6m	 -	40	pcs 3.	Bolt &amp; Nuts 5/16" x 3" w/ washer -		20	sets 4.	Metal Cutting Disc 4"	-	25	pcs 	 Total Approved Budget = P 63,000.00		 Notes: 				</t>
  </si>
  <si>
    <t xml:space="preserve"> Title:Procurement of General Merchandise under P.R Nos. 0198-2020(Operational Support to Maritime Police),0889-2020(Support to Task Force Bantay Butuan),3019-2020(Sangguniang Panglungsod),3020-2020 (Sangguniang Panglungsod),3068-2020 (Office of the City A</t>
  </si>
  <si>
    <t xml:space="preserve"> 500 PCS GLOBE CELLCARDS AND 1 OTHER LINE ITEMS</t>
  </si>
  <si>
    <t xml:space="preserve"> Construction of Greenhouse (Straight Contract) Please see attach -- Request for Quotation and Invitation Letter</t>
  </si>
  <si>
    <t xml:space="preserve"> Item No.    ITEM (Scope of Work)    Qty.    Unit  Total Estimated Cost  Spl 1 Project Steel Billboard 1.00 Unit  803 Excavation 15.68 Cu.m  900 Reinforced Concrete 11.51 Cu.m  903 Form Works 384.00 Bd.ft  1046 Masonry Works 224.28 Sq.m  1027(1) Cement Pla</t>
  </si>
  <si>
    <t xml:space="preserve"> RFQ FOR OTHER EQUIPMENT</t>
  </si>
  <si>
    <t xml:space="preserve"> Various General Merchandise</t>
  </si>
  <si>
    <t xml:space="preserve"> PHILIPPINE BIDDING DOCUMENTS (As Harmonized with Development Partners) THREE (3) LOTS PROCUREMENT OF REPAIR SERVICES FOR EXISTING LOGISTICS MANAGEMENT DEPARTMENT  (LMD) MOTOR VEHICLES UNDER ITB NO. PB20-08-042COR Philippine Amusement and Gaming Corporatio</t>
  </si>
  <si>
    <t xml:space="preserve"> CONSTRUCTION OF MULTI-PURPOSE PAVEMENT- Brgy. Ubbog I	Base Preparation II	PCCP III	Construction Safety and Health CONSTRUCTION OF MULTI-PURPOSE PAVEMENT- Brgy. Baliw I	Base Preparation II	PCCP III	Construction Safety and Health CONSTRUCTION OF MULTI-PURPO</t>
  </si>
  <si>
    <t xml:space="preserve"> Outlet 3 Gang Flash Type 3 Pin Gang Box Royal Cord 14/3 Copper Stranded Wire #10/7 THHN EMT Tubing 1/2 EMT Coupling 1/2 EMT Male Adaptor 1/2 Insulator Staple Wire #1 Square Box PVC Moulding #1 Tox #6 Metal Screw #1 Electrical Tape Big Flexible Hose 1/2</t>
  </si>
  <si>
    <t xml:space="preserve"> Desktop Computer i7-8700 3.2Ghz 1151 12MB Processort 16GB RAM 22inch Screen with Keyboard and Mouse with UPS</t>
  </si>
  <si>
    <t xml:space="preserve"> SEE REMARKS</t>
  </si>
  <si>
    <t xml:space="preserve"> Request for Quotation Date	               : August 25, 2020 Quotation No.             : 034- 2020 Mode of Procurement : Small Value Procurement 	 To all Eligible Suppliers: I.	Please quote your lowest price inclusive of VAT on the item/s listed below, sub</t>
  </si>
  <si>
    <t xml:space="preserve"> Installation of Solar Streetlights at Zone 1 to Zone 7 of Brgy. Calepaan, Asingan, Pangasinan.</t>
  </si>
  <si>
    <t xml:space="preserve"> Rebidding for the supply and delivery of:								 										 1	unit 	Aircon, Portable, Heavy Duty, 1.5hp						Php__________		Php___________ 		Specifications:								 		-Power: 220V,60Hz								 		-Weight: at least 60Kg								 		-Convinient digital contro</t>
  </si>
  <si>
    <t xml:space="preserve"> DEMARCATION OF MT GUITING-GUITING NATURAL PARK IN SIBUYAN ISLAND, ROMBLON AS LEGISLATED TERRESTRIAL PROTECTED AREA UNDER THE NIPAS Establish 86 out of 132 Corners Establish 48 Signage of Along the Demarcated Area</t>
  </si>
  <si>
    <t xml:space="preserve"> TERMS AND CONDITION: 1.	With chauffeur driver or self drive 2.	Price quotation includes fuel and driver (if chauffeur) 3.	Billing statement is based on per kilometer 4.	The computed distance in only one way  More than 200 kilometer 	Drop-off / pick-up, P</t>
  </si>
  <si>
    <t xml:space="preserve"> A. Signs &amp; Manual Hauling of Materials B. Site Works C. Concrete Works</t>
  </si>
  <si>
    <t xml:space="preserve"> Purchase/delivery of one (1) set Main Bearing, etc.</t>
  </si>
  <si>
    <t xml:space="preserve"> See the attachment</t>
  </si>
  <si>
    <t xml:space="preserve"> Reproduction of learning modules.</t>
  </si>
  <si>
    <t xml:space="preserve"> Republic of the Philippines							 PROVINCE OF CAGAYAN							 Tuguegarao City							 							 REQUEST FOR QUOTATION							 							 Company Name: 			Quotation No.				 Address:			Date				 TIN Number: 			PR No.				 Tel/Fax: 			Mode of Procurement:				 E-mail </t>
  </si>
  <si>
    <t xml:space="preserve"> IMPROVEMENT OF SABIAN CONCRETE FOOTRAIL					 SERIES	DESCRIPTION	QTY	UNIT	 UNIT COST 	 AMOUNT  1	PORTLAND CEMENT	76	BAGS	 314.00 	 23,864.00  2	SAND	4	CUM	 2,434.00 	 9,736.00  3	GRAVEL	9	CUM	 2,455.00 	 22,095.00  4	ASSORTED NAILS	3	KGS	 81.00 	 243.00  5</t>
  </si>
  <si>
    <t xml:space="preserve"> Republic of the Philippines Province of Leyte Municipality of Hilongos INVITATION TO BID FOR THE PURCHASE OF 1 (ONE) UNIT DESKTOP COMPUTER WITH CONTINUOUS INK PRINTER 1.  The Local Government Unit of Hilongos, through GENERAL FUND-CURRENT APPROPRIATION- i</t>
  </si>
  <si>
    <t xml:space="preserve"> see attached Terms of Reference</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</si>
  <si>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</si>
  <si>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LOT I-MATERIALS		 2.56M WIDTH,0.60M DEEP,2.89M HEIGHT BUILT-IN CABINET	1 SET	 FOR CITY MAYOR'S OFFICE WITH FF. SPECIFICATIONS AS PER 		 APPROVED PLAN:MIRROR INNER WALL AND SIDE WALL		 CABINET DOOR FOR GLASS		 1"X2" ANALOK FRAME (BACK AND SIDE FRAMES SHOUL</t>
  </si>
  <si>
    <t xml:space="preserve"> 1.  2000 pcs.To go Lace customize with Tibagan High School Logo with color coding by grade level 2. 2000 pcs. Body Bags with Tibagan high School for Container of Modules</t>
  </si>
  <si>
    <t xml:space="preserve"> BIDS AND AWARDS COMMITTEE INVITATION TO BID (ITB) The LOCAL GOVERNMENT UNIT OF BILIRAN, through its BIDS AND AWARDS COMMITTEE (BAC) invites Bidders/Suppliers to bid for the Construction of the following: 1.	REHABILITATION OF HERITAGE BUILDING REAL ST, SAN</t>
  </si>
  <si>
    <t xml:space="preserve"> Request for Quotation Date	               : August 25, 2020 Quotation No.             : 035- 2020 Mode of Procurement : Small Value Procurement 	 To all Eligible Suppliers: I.	Please quote your lowest price inclusive of VAT on the item/s listed below, sub</t>
  </si>
  <si>
    <t xml:space="preserve"> RFQ# 20-08-0326 PR# 2020-08-0969 Items: 1.	Analok Partition w/ Analok Swing Door, Bronze Glass (H-2.205m x L-4.375m)	-	1	set 2.	Analok Awning Window 	-	1	set 	**see plans for details**			 	 Total Approved Budget = P 74,000.00			 Notes: 							 *This can b</t>
  </si>
  <si>
    <t xml:space="preserve"> CAGAYAN STATE UNIVERSITY Aparri, Cagayan REQUEST FOR QUOTATION RIV No.		SO-A-2020-08-007											 Date: 		AUGUST 24, 2020	 					    Gentlemen: 	Please quote your government price, taxes included, FBO 		 stating the shortest time for delivery on the item</t>
  </si>
  <si>
    <t xml:space="preserve"> Acquisition of 1 unit Power Generator, Talalora, Samar The Municipality Of Talalora, through its Bids and Awards Committee (BAC), invites interested bidders to apply for eligibility and to bid for the hereunder Contact: Name of Contract: Acquisition of 1 </t>
  </si>
  <si>
    <t xml:space="preserve"> Item No.    ITEM (Scope of Work)    Qty.    Unit  Total Estimated Cost  SPL-1 Mobilization/Demobilization 1   SPL-2 Frontage Area Development 1   Spl-3 Project Billboard 1   1002(4) Plumbing Fixtures 1   1002(27) Steel Window and Door Grills 1.00   1003(1</t>
  </si>
  <si>
    <t xml:space="preserve"> Licensed Contractor of the Philippine Contractors Accreditation Board (PCAB) with registration particulars SP-EE (Electrical Work) Minimum Category A</t>
  </si>
  <si>
    <t xml:space="preserve"> PURCHASE OF VARIOUS SUPPLIES, CMO, CALBAYOG CITY</t>
  </si>
  <si>
    <t xml:space="preserve"> 31 bottle Niclosamide 500ml 10 bottles Fenoxaprop-p-ethyl 500ml 10 bottles Penoxsulam+Cyhalopof butyl 500ml 40 bags Urea (46-0-0) 50kgs/bag 40 bags Complete fertilizer (14-14-14) 50kgs/bag 40 bags Organic fertilizer 10 kgs Copper Hydroxide NOTE: PLEASE AT</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</si>
  <si>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</si>
  <si>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5   pcs   clutch disk assy</t>
  </si>
  <si>
    <t xml:space="preserve"> Please see the attached documents.</t>
  </si>
  <si>
    <t xml:space="preserve"> EQUIPMENT SPECIFICATION                                                                                            QUANTITY 1. BAG FILLING MACHINE (DOUBLE CYLINDER)                                                                       1     DIMENSION: L 1</t>
  </si>
  <si>
    <t xml:space="preserve"> The City Government of Malolos, through its BIDS and AWARDS COMMITTEE (BAC) Invites Suppliers/Manufacturers/Distributors to Bid for hereunder procurement:  PR No. : GSO-2020-08-1077 Name of Project : PURCHASE OF 300 PCS TWO WAY HANDHELD RADIO Requesting O</t>
  </si>
  <si>
    <t xml:space="preserve"> The Department of Science and Technology- Central Office, through its Bids and Awards Committee (BAC), requests qualified bidders to submit their lowest price on the ff:</t>
  </si>
  <si>
    <t xml:space="preserve"> INVITATION TO BID SUPPLY AND DELIVERY OF HARDWARE SUPPLIES AND MATERIALS FOR THE MAINTENANCE OF GOVERNMENT FACILITIES 1.	The Local Government Unit of Cabadbaran City through the GENERAL FUND intends to apply the sum of EIGHT HUNDRED SIXTY-TWO THOUSAND THR</t>
  </si>
  <si>
    <t xml:space="preserve"> Date: August 25, 2020  Quotation No.: 2020-076 REQUEST FOR QUOTATION The Municipal Government of Victoria, through the Bids and Awards Committee, will undertake Small Value Procurement for the “Procurement of Construction Materials and Supplies for the co</t>
  </si>
  <si>
    <t xml:space="preserve"> 250mm dia. x 150m Exploratory/Production Well.... 3,500,000.00</t>
  </si>
  <si>
    <t xml:space="preserve"> Invitation to Bid to all Supplier/Contractr duly accredited by the City Cpuncil of Manila to supply and deliver the following items provided hereunder, to wit; Item	 	Qty.	 	Unit	 	 	 	DESCRIPTION 1	 	1	 	Set	CCTV CAMERA	 	 	 	 	   	 	 	 	 	(Cameras, DVR,</t>
  </si>
  <si>
    <t xml:space="preserve"> Specifications: Intel core i7 9700 F Processor B365/8360 Motherboard 8GB 2666MHz-DDR4 RAM MS1 GT710 2 GB GDDR3 CPU 256 GB SATA III SSD SEAGATE BARRACUDA ITB HDD TEWARE ALPHA M WHITE COOLERMASTER MWE 550 W 80+ keyboard and MOuse BENQ Monitor- 24"</t>
  </si>
  <si>
    <t xml:space="preserve"> Repair of Sub-Station Accessories (Straight Contract) Please see attach -- Request for Quotation and Invitation Letter</t>
  </si>
  <si>
    <t xml:space="preserve"> The Department of Environment and Natural Resources, PENRO, Ipil, Zamboanga Sibugay through its Bids and Awards Committee, intends to procure IT Equipment for the Foreshore Management Unit and CENRO Office of CENRO Zamboanga City. Please submit your quota</t>
  </si>
  <si>
    <t xml:space="preserve"> 1 PC/S AIRCRAFT MONITOR - .  - SCREEN SIZE: 6.26 INCHES, FHD+2,340X1, 080 PIXELS - BATTERY CAPACITY: 5000MAH - STORAGE: 8GB RAM + 128 GB ROM - REAR CAMERA: 48MP( F/1.8 APERTURE AF)+ 16 M(F/2.2 APERTURE FF)+2M(F 2.4 APERTURE FF)+ 2M(F2.4 APERTURE FF) SUPPO</t>
  </si>
  <si>
    <t xml:space="preserve"> NBC-0820-202</t>
  </si>
  <si>
    <t xml:space="preserve"> REPUBLIC OF THE PHILIPPINES TECHNOLOGICAL UNIVERSITY OF THE PHILIPPINES VISAYAS Capt. Sabi  Street, City of Talisay, Negros Occidental, Philippines Tel. Nos. (034) 445-2177; 445-9498 http://www.tupvisayas.edu.ph  Email address: visayas@tup.edu.ph   INVITA</t>
  </si>
  <si>
    <t xml:space="preserve"> PLEASE SEE ATTACHMENTS TAKE NOTE: *ONLY those who have purchased the bidding documents will be able to attend and participate the Pre-Bid Conference.           The Schedule of BAC activities are as follows:								 								 BAC Activities					Schedule			 </t>
  </si>
  <si>
    <t xml:space="preserve"> Database management initiative of the barangay to enhance service delivery</t>
  </si>
  <si>
    <t xml:space="preserve"> Republic of the Philippines Province of Nueva Vizcaya BIDS AND AWARDS COMMITTTEE (GOODS) BAC OFFICE, Provincial Capitol, Bayombong, Nueva Vizcaya 	 		 2nd REQUEST FOR QUOTATION (RFQ) For the Procurement of Vehicle Parts  For the Provincial Engineering Off</t>
  </si>
  <si>
    <t xml:space="preserve"> Republic of the Philippines Province of Davao del Sur MUNICIPALITY OF STA.CRUZ INVITATION TO BID  PROCUREMENT OF MOBILE COMMAND VEHICLE WITH COMMUNICATION AND MONITORING EQUIPMENT FOR MDRRMC OPERATIONS AND SPECIAL EVENTS - 1ST POSTING (ITB No. 31-Goods-20</t>
  </si>
  <si>
    <t xml:space="preserve"> Supply and Delivery of Meals and Snacks Breakfast A.M. Snacks Lunch P.M. Snacks Dinner</t>
  </si>
  <si>
    <t xml:space="preserve"> Procurement and Delivery of Construction Supplies and Materials for the Resettlement Site Development of IP Village-NHA Equity LOCATION: SITIO EVA, SAMAY, BALINGASAG, MISAMIS ORIENTAL</t>
  </si>
  <si>
    <t xml:space="preserve"> For the Public Market Operation Monitoring of the Municipality of Magpet</t>
  </si>
  <si>
    <t xml:space="preserve"> Republic of the Philippines PROVINCE OF NORTHERN SAMAR BIDS AND AWARDS COMMITTEE Catarman Invitation to Bid NS-08-26-20-R2 Improvement of Provincial Agriculture’s Office for Farmer’s Information Training Center, Brgy. Dalakit, Catarman, Northern Samar 1.	</t>
  </si>
  <si>
    <t xml:space="preserve"> 2   units   typewriter</t>
  </si>
  <si>
    <t xml:space="preserve"> Province of Negros Occidental Bids &amp; Awards Committee Bacolod City INVITATION TO BID  The Provincial Government of Negros Occidental through its Bids and Awards Committee [BAC] invites interested bidders to apply for eligibility and to bid, for the follow</t>
  </si>
  <si>
    <t xml:space="preserve"> 1.	Rice (50 kgs) Specifications: Variety Code	:160 Grading Quality	: 90% Head 10% broken Milling Degree	: Well-Milled, Grain, Locally milled Type	: Long Grain Color	: White Age	: New (Bago) Milled within 3 months Weight	: 50 kgs. Net (2 sacks@25kg./sack) </t>
  </si>
  <si>
    <t xml:space="preserve"> 1.The Municipal Government of El Nido, through the Special Education Fund intends to apply the sum of Seven Hundred Sixty Three Thousand Eight Hundred Eighty Eight Pesos and Fifty Centavos     (₱ 763,888.50) being the Approved Budget for the Contract (ABC</t>
  </si>
  <si>
    <t xml:space="preserve"> 1,100 sacks Commercial Rice (shall be fresh, clean and free from any abnormal flavour, odour or colour and free of visible yeast and mold (fungus) Prospective Bidders should have experience in undertaking a similar project within the last 2 years with an </t>
  </si>
  <si>
    <t xml:space="preserve"> 600 pieces Absorbable monofilament natural 2-0 with 30 mm round needle, 75 cm</t>
  </si>
  <si>
    <t xml:space="preserve"> Please see attached file . . . .</t>
  </si>
  <si>
    <t xml:space="preserve"> 305   bags   cement</t>
  </si>
  <si>
    <t xml:space="preserve"> Petroleum Gas</t>
  </si>
  <si>
    <t xml:space="preserve"> PROCUREMENT OF PRINTER(ALL IN ONE-LEGAL) AND INKS - STA ANA NATIONAL HIGH SCHOOL STA ANA, TAGOLOAN, MIS OR 2 UNITS PRINTER, ALL IN ONE - LEGAL 120 BOTTLES INK, BLACK L5190 15 BOTTLES INK BLACK L3110 15 BOTTLES INK BLUE L3110 15 BOTTLES INK YELLOW L3110 CO</t>
  </si>
  <si>
    <t xml:space="preserve"> Standard Form Number: SF-GOOD-60 Date: 08/25/2020 Quotation No.2020-08-003-computer EASTERN VISAYAS STATE UNIVERSITY – CARIGARA CAMPUS Carigara, Leyte Please quote your lowest price on the item/s listed below, subject to the General Conditions on the last</t>
  </si>
  <si>
    <t xml:space="preserve"> (1) UNIT PROJECTOR Display Type: 3LCD Original resolution: XGA,1024 x 768, 4:3 Resolution Support: Full HD Brightness: 3500 Lumens Contrast Ratio: 15,000 : 1 Discard Ration: 1.48 - 1.77 : 1 Projection Distance: 0.89 - 10.95m Image size: 30 - 300 centimete</t>
  </si>
  <si>
    <t xml:space="preserve"> I.    SIGNAGE II.   DISCHARGE PIPELINES AND APPURTENANCES III.  REHABILITATION OF WATER DISTRIBUTION PIPELINES SYSTEM INCLUDING FLUSHING AND          DISINFECTION</t>
  </si>
  <si>
    <t xml:space="preserve"> Republic of the Philippines PROVINCE OF ZAMBOANGA DEL SUR Municipality of Dimataling BIDS AND AWARD COMMITTEE Reference Number : PR-269-100-2020 Date: August 11, 2020 Project Title/P.R. # :PROCUREMENT OF T-SHIRT AND GROCERY ITEM (SENIOR CITIZEN AND PWD JO</t>
  </si>
  <si>
    <t xml:space="preserve"> -Digital copier with Network Printing, Color scanning and Network Fax -21 characters x 5 lines with back-light -Copy and print speed of 45 copies per minute,A4 -Scan speed of 60 images per minute on monochrome and 40 images per minute on color at 300dpi, </t>
  </si>
  <si>
    <t xml:space="preserve"> Negotiated Procurement shall be on September 2,2020 @1:00pm at Municipal,Building Anda,Pangasinan.</t>
  </si>
  <si>
    <t xml:space="preserve"> 1	1	Job	SUPPLY, DELIVERY AND INSTALLATION OF TEMPERED GLASS PARTITION			 			Description:			 	1	Lot	TEMPERED GLASS PARTITION WITH FROSTED FILM SWING GLASS DOOR TO WIT:12.0 MM THK. CLEAR TEMPERED FRAMELESS GLASS PARTITION WITH FROSTED FILM AND SINGLE SWING </t>
  </si>
  <si>
    <t xml:space="preserve"> -oOo-								 BIDS AND AWARS COMMITTEE								 INVITATION TO PARTICIPATE IN THE ALTERNATIVE MODE OF PROCUREMENT								 								 NNP-2020-IX-01-04								 Small Value Procurement								 								 Project	Name:  Construction Materials (Villafont)							 Ap</t>
  </si>
  <si>
    <t xml:space="preserve"> 300 pieces Flash Drives 16 Gigabytes  with logo and text with case Please see attached approved design number 2 &amp; 3.</t>
  </si>
  <si>
    <t xml:space="preserve"> PURCHASE OF AIRCON, CSWMO, CALBAYOG CITY</t>
  </si>
  <si>
    <t xml:space="preserve"> NBC-0820-197</t>
  </si>
  <si>
    <t xml:space="preserve"> BIDS AND AWARDS COMMITTEE INVITATION TO BID (ITB) The LOCAL GOVERNMENT UNIT OF BILIRAN, through its BIDS AND AWARDS COMMITTEE (BAC) invites Bidders/Suppliers to bid for the Construction of the following: 1.	CONSTRUCTION/REHABILITATION OF DRAINAGE SYSTEM S</t>
  </si>
  <si>
    <t xml:space="preserve"> Republic of the Philippines					 Province of Pangasinan 					 Municipality of Bolinao					 					 REQUEST FOR QUOTATION (RFQ)					 					 Company Name:  				Date:	 					 Address:					 					       Please quote your lowest price on the item/s listed below, su</t>
  </si>
  <si>
    <t xml:space="preserve"> PURCHASE OF DIESEL, GASOLINE &amp; LUBRICANTS</t>
  </si>
  <si>
    <t xml:space="preserve"> 19" Inch LED Monitor Keyboard Mouse Printer Ink Tank (No Scanner and Not Cartridge) System Unit - Specs CPU AMD - RYZEN3 22006 Motherboard - Gigabyte AM4 Socket RAM-8GB DDR4 PSU + Case 1TB Seagate HDD Outdoor UTP CAT 5 Router 4 Ports Switch 24 Ports Pass </t>
  </si>
  <si>
    <t xml:space="preserve"> For use of DRR</t>
  </si>
  <si>
    <t xml:space="preserve"> REQUEST FOR QUOTATION (RFQ) PRINTING OF CHILDREN’S STORYBOOK/COLORING BOOK UNDER EMB-EEID RFQ NO. EMB-EEID-SHOPPING-G-129-8-25-2020 2020-0607 1.	The Department of Environment and Natural Resources – Environmental Management Bureau (DENR-EMB) hereinafter r</t>
  </si>
  <si>
    <t xml:space="preserve"> The City Government of Santiago invites interested parties to submit price quotation for the “SUPPLY AND DELIVERY OF GROCERY ITEMS FOR DISASTER PREPAREDNESS STOCKPILE“ City Hall, Santiago City, details as follows: ABC: Php  807,470.00 Contract Duration: 1</t>
  </si>
  <si>
    <t xml:space="preserve"> See attached documents, print Bid Notice Abstract and download ITB No. GOODS-20-137.</t>
  </si>
  <si>
    <t xml:space="preserve"> TERMS AND CONDITIONS:						 1.   All entries must be typewritten or legibly written						 2.   Delivery period within  fifteen (15) working days  upon receipt of the approved						       funded Purchase Order (P.O.) Administrative penalties pursuant to Se</t>
  </si>
  <si>
    <t xml:space="preserve"> marine plywood   8 lgth CHB                    712 pcs cement                160 bags sand                    18 cum crashed stones    8 cum round bar 10mm   113 lgth 1x2x9                    45pcs tie wire                   5.5kg latex white             </t>
  </si>
  <si>
    <t xml:space="preserve"> The City Government of Malolos, through its BIDS and AWARDS COMMITTEE (BAC) Invites Suppliers/Manufacturers/Distributors to Bid for hereunder procurement:  PR No. : GSO-2020-08-1055 Name of Project : SUPPLY AND LABOR OF MATERIALS FOR THE CONSTRUCTION OF B</t>
  </si>
  <si>
    <t xml:space="preserve"> For Directors Office (QAU)</t>
  </si>
  <si>
    <t xml:space="preserve"> 1 PC/S TEFLON - 1/2" 9 2 PC/S FLEXIBLE HOSE - 1/2x3/4 ( Lavatory ) 3 3 SET/S FITTINGS - for water closet 10 4 PC/S URINAL BOTTOM FLUSH - . 2 5 PC/S FAUCET - Lavatory Standard 10 6 PC/S PVC COUPLING - Eslon Blue 1/2" 10 7 PC/S PVC ELBOW - Eslon Blue 1/2" 1</t>
  </si>
  <si>
    <t xml:space="preserve"> Medical Equipment for Covid-19</t>
  </si>
  <si>
    <t xml:space="preserve"> BIDS AND AWARDS COMMITTEE Dated: August 25, 2020 REQUEST FOR QUOTATION The Municipality of Sison, through the Municipal Bids and Awards Committee, now invites sealed Bids from eligible Bidders for the project; Necrological Service @ Sison, Surigao del Nor</t>
  </si>
  <si>
    <t xml:space="preserve"> Rental of the following equipment for four (4) months 1. LED TV 82 inches Quantity: 1 ABC per item: 266,000.00 Size: 82" 4K UHD Processor Dynamic crystal color Resolution: 3,840 x 2,160 Connection: Wireless, bluetooth, USB, HDMI with wall bracket 2. Lapto</t>
  </si>
  <si>
    <t xml:space="preserve"> SUPPLY AND DELIVERY OF THE IMPROVEMENTS OF KABUHAYAN CENTER BUILDING</t>
  </si>
  <si>
    <t xml:space="preserve"> 1 LOT MODULAR PLAY SYSTEM ( TYPE A ) - With Free Delivery and Installation at the Specific Site  2 LOT MODULAR PLAY SYSTEM ( TYPE B ) - With Free Delivery and Installation at the Specific Site</t>
  </si>
  <si>
    <t xml:space="preserve"> City Engineer's Office P.R. No. : 2020-08-3117 Date: 08/17/2020 1 80 bags Portland Cement 25,088.00 2 6 cu m Washed Coarse Sand 7,200.00 3 8 cu m Washed Gravel 10,400.00 4 17 lengths 12mm dia. Deformed Bar 3,916.80 5 103 lengths 10mm dia. Deformed Bar 16,</t>
  </si>
  <si>
    <t xml:space="preserve"> Procurement of Fuel – Diesel for Use of Service Vehicle assigned to Quality Assurance Section and Planning and Design Section and Fuel – Gasoline for Use of Various Basic Highway Maintenance Equipment Assigned for the  Repair and Maintenance of National R</t>
  </si>
  <si>
    <t xml:space="preserve"> See attached documents, print Bid Notice Abstract and download ITB No. GOODS-20-138.</t>
  </si>
  <si>
    <t xml:space="preserve"> For use in repair and maintenance of JMC pick-up with plate no. GAE-6724.</t>
  </si>
  <si>
    <t xml:space="preserve"> 4, 300 pcs expanding plastic envelope size: 8-1/2 × 13 color: clear gauge: 14</t>
  </si>
  <si>
    <t xml:space="preserve"> Supply and Delivery of One (1) Lot Supplies for Risograph Machine 100 Tubes - CPI 7 Ink (Black) 6 Rolls - CPMTI 5 Master</t>
  </si>
  <si>
    <t xml:space="preserve"> 105 	 pcs. 	 Water Jugs 2 	 sacks 	 Brown Sugar 9 	 cans 	 Cooking Oil (est. 18 liters) 6 	 boxes 	 Sardines 420 	 ballots 	 Pancit Canton Noodles 105 	 packs 	 Milo  (300 grams) 105 	 pcs 	 Quaker Oats (200 grams)</t>
  </si>
  <si>
    <t xml:space="preserve"> Compact design with handle; light weight for east transport; deliver rate: 1-1000ml/hr, 0.1-999.9ml/hr; delivery limit range: 0.1-9999ml; volume to be infused: 0.1-9999ml; pumping mechanism: linear peristaltic finger; accuracy: ±5 (ml/h control mode/with </t>
  </si>
  <si>
    <t xml:space="preserve"> Purchase of consumables office supplies for the use of Orani District Hospital</t>
  </si>
  <si>
    <t xml:space="preserve"> REQUEST FOR QUOTATION (RFQ) REPAIR AND MAINTENANCE FOR THE INSTALLATION OF CANOPY FOR AFMD SERVICE VEHICLE TOYOTA HI-LUX WITH C.C. #P6-J365 -2nd posting RFQ NO. EMB-AFMD-082-8-25-20-  1.	The Department of Environment and Natural Resources – Environmental </t>
  </si>
  <si>
    <t xml:space="preserve"> CMO-City Disaster Risk and P.R. No. : Reduction Management Council 2020-07-2930 Date: 07/15/2020 160,000.00 Jack Hammer/Demolition Hammer breaker 15 kg, 1500 watts, with complete parts and accessories and types of chisels, Made in Japan 2 unit 1</t>
  </si>
  <si>
    <t xml:space="preserve"> PLEASE SEE ATTACHED RFQ AND SPECS.</t>
  </si>
  <si>
    <t xml:space="preserve"> Repair of Ceiling, Repainting, Electrical Works &amp; Installation of Doors</t>
  </si>
  <si>
    <t xml:space="preserve"> 1 unit chainsaw; blade size "24 &amp; up; good quality</t>
  </si>
  <si>
    <t xml:space="preserve"> Bids and Awards Committee							 REQUEST FOR QUOTATION							         The City Government of Pagadian, through its Bids and Awards Committee (BAC), invites suppliers/manufacturers/distributors to bid for the hereunder supplies/goods, charged to 1011-200-5</t>
  </si>
  <si>
    <t xml:space="preserve"> PUBLIC BIDDING The municipal government of Romblon through its Bids and Awards Committee (BAC) invites PhilGEPS registered suppliers to apply to bid for the Materials for Solid Waste Management Program &amp; Activities.</t>
  </si>
  <si>
    <t xml:space="preserve"> 1,500 PCS. --- FACE SHIELD --- PHP 67,500.00</t>
  </si>
  <si>
    <t xml:space="preserve"> Republic of the Philippines								 Province of Antique								 Municipality of Sibalom								 -oOo-								 BIDS AND AWARS COMMITTEE								 INVITATION TO PARTICIPATE IN THE ALTERNATIVE MODE OF PROCUREMENT								 								 NNP-2020-IX-01-05								 Smal</t>
  </si>
  <si>
    <t xml:space="preserve"> 615 boxes Fortified Powdered Milk Drink, 330g, 30's Prospective Bidders should have experience in undertaking a similar project within the last 2 years with an amount of at least 50% of the proposed project for bidding.  The Eligibility / Screening as wel</t>
  </si>
  <si>
    <t xml:space="preserve"> FOR REPLENISHMENT OF STOCKS. GOOD FOR THREE (3) MONTHS CONSUMPTION</t>
  </si>
  <si>
    <t xml:space="preserve"> The City Government of Malolos, through its BIDS and AWARDS COMMITTEE (BAC) Invites Suppliers/Manufacturers/Distributors to Bid for hereunder procurement:  PR No. : GSO-2020-07-972 Name of Project : SUPPLY OF LABOR MATERIALS FOR THE CONCRETING OF ROAD AT </t>
  </si>
  <si>
    <t xml:space="preserve"> Please see attached docs.</t>
  </si>
  <si>
    <t xml:space="preserve"> 1.The Municipal Government of El Nido, through the Special Education Fund intends to apply the sum of Three Hundred Twenty Thousand Pesos (₱ 320,000.00) being the Approved Budget for the Contract (ABC) to payments for the Procurement and Delivery of Two (</t>
  </si>
  <si>
    <t xml:space="preserve"> 6 pcs Tire 7.50/16 LT, V-Lug, Exterior and Interior</t>
  </si>
  <si>
    <t xml:space="preserve"> Supply and delivery of various office supplies and equipments not available at PS DBM For the first quarter 2020 For details see section 1 of the bidding documents</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</si>
  <si>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</si>
  <si>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-oOo-								 BIDS AND AWARS COMMITTEE								 INVITATION TO PARTICIPATE IN THE ALTERNATIVE MODE OF PROCUREMENT								 								 NNP-2020-IX-01-07								 Small Value Procurement								 								 Project	Name:  Construcrtion Materials							 Approved Budg</t>
  </si>
  <si>
    <t xml:space="preserve"> Purchase and delivery of 9 units mountain bikes to be used for Barangay Fitness and Wellness Program</t>
  </si>
  <si>
    <t xml:space="preserve"> REQUEST FOR QUOTATION  2020-08-100 The Rizal Medical Center (Rizal Med) through its Bids and Awards Committee-B (BAC– B), hereby invites all interested suppliers or distributors registered with the Philippine Government Electronic Procurement System (Phil</t>
  </si>
  <si>
    <t xml:space="preserve"> See attached documents, print Bid Notice Abstract and download ITB No. GOODS-20-139.</t>
  </si>
  <si>
    <t xml:space="preserve"> PURCHASE OF RABBIES VACCINES, CITY VETERINARIAN OFFICE, CALBAYOG CITY</t>
  </si>
  <si>
    <t xml:space="preserve"> Medicines for RHU Consultation LGU Cabagan Cabagan, Isabela</t>
  </si>
  <si>
    <t xml:space="preserve"> The City Government of Santiago invites interested parties to submit price quotation for the “SUPPLY AND DELIVERY OF T-SHIRT AND PLASTIC BAG FOR DUGONG BUHAY DUGTONG BUHAY ACTIVITY“ City Hall, Santiago City, details as follows: ABC: Php  113,900.00 Contra</t>
  </si>
  <si>
    <t xml:space="preserve"> 1	1	Lot	Supply &amp; Delivery of Construction Materials			 			Description:			 	12	Boxes	ACOUSTIC CEILING BOARD (18MM X 600MM X 1200MM)			 	65	Pcs	ALUMINUM WHITE CELING T RUNNER X 12			 	120	Pcs	ALUMINUM WHITE CEILING X TEE X 2			 	35	Pcs	2 CM X 2 CM X 12'WHIT</t>
  </si>
  <si>
    <t xml:space="preserve"> Invitation to Bid for   Supply of Labor &amp; Materials  For the Proposed Construction of Drainage Canal located  at Brgy. Latag taal Batangas    CB-INFRA-2020-03 1.The Municipal Government of Taal, through the General Fund intends to apply the sum of  Four H</t>
  </si>
  <si>
    <t xml:space="preserve"> To purchase supplies &amp; materials for rehabilitation of street lights in Barangay Oranbo, Pasig City</t>
  </si>
  <si>
    <t xml:space="preserve"> Procurement and Delivery of Construction Supplies and Materials for the Installation of Gate and Additional Fencing of Dumpsite Location:Landfill, Blanco, Balingasag, Misamis Oriental</t>
  </si>
  <si>
    <t xml:space="preserve"> Procurement of Office Supplies and Equipment for Project Monitoring and Documentation Use of the Municipal Engineering Office, LGU, Tagudin, Ilocos Sur Attachment: Request for quotation, Purchase Request</t>
  </si>
  <si>
    <t xml:space="preserve"> Spare parts &amp; labor for garbage trucks of the CGC</t>
  </si>
  <si>
    <t xml:space="preserve"> ELECTRICAL SUPPLIES AND MATERIALS FOR THE REWIRING OF PENR OFFICE EXPANSION BUILDING</t>
  </si>
  <si>
    <t xml:space="preserve"> delivery dates on Sept 11, 2020</t>
  </si>
  <si>
    <t xml:space="preserve"> Isuzu Crosswind with Plate Number SLD 539				 SCOPE OF WORKS/Materials				 Engine Tune-up				 Pull down fuel tank for cleaning				 Pull down injector				 Replacement of fuel filter				 Drain water side meter				 Pull down injector pump and installation			</t>
  </si>
  <si>
    <t xml:space="preserve"> 1.	The Municipality of Tayug, Pangasinan through the Bids and Awards Committee intends to apply the sum of Five Hundred Sixteen Thousand Pesos Php516,000.00) being the Approved Budget for the Contract (ABC) to payments under the contract for Supply and De</t>
  </si>
  <si>
    <t xml:space="preserve"> 1.The Municipal Government of El Nido, through the General Fund intends to apply the sum of Two Hundred Fifty Thousand Pesos (₱ 250,000.00) being the Approved Budget for the Contract (ABC) to payments for the Procurement and Delivery of Rice for Municipal</t>
  </si>
  <si>
    <t xml:space="preserve"> See attached documents, print Bid Notice Abstract and download ITB No. GOODS-20-140.</t>
  </si>
  <si>
    <t xml:space="preserve"> Standard Form Number: SF-GOOD-60 Date: 08/25/2020 Quotation No.2020-08-004-air EASTERN VISAYAS STATE UNIVERSITY – CARIGARA CAMPUS Carigara, Leyte Please quote your lowest price on the item/s listed below, subject to the General Conditions on the last page</t>
  </si>
  <si>
    <t xml:space="preserve"> DRM - INDELIBLE PENCIL, 12PCS/BOX DRM - SANDING DRUM 749F6 DRM - BLADE, SURFOAM, FLAT DRM - BLADE, SURFOAM, HALF ROUND For use in the fabrication and repair of orthotic and prosthetic appliances. REQUSTED BY: H, DRM Fax your Price Quotation at Telefax 927</t>
  </si>
  <si>
    <t xml:space="preserve"> Estimates I. PCCP 3m wide, 13m long, 0.15m thk with Embankment, Masonry Wall</t>
  </si>
  <si>
    <t xml:space="preserve"> Alcohol, ethyl, 70% with moisturizer, 250 ml</t>
  </si>
  <si>
    <t xml:space="preserve"> INVITATION TO BID No. IB-2020-IX-14-01 The Municipality of Sibalom through its Bids &amp; Awards Committee (BAC), invites bidders/contractors to apply for eligibility and to bid for the hereunder project: Project           	 		:	CONSTRUCTION OF DRAINAGE CANAL</t>
  </si>
  <si>
    <t xml:space="preserve"> Item No.	Description	Unit	Quantity 1	Ballpen black @ 12's	Box	6 2	Ballpen Red @ 12's	Box	3 3	Correction Tape gear type length: 8m, width:5mm  	Pcs	20 4	Tape Transparent, width: 24mm	Rolls	5 5	Tape Masking, width: 24mm	Rolls	5 6	Staple Wire # 35	Box	10 7	 </t>
  </si>
  <si>
    <t xml:space="preserve"> Various office supplies. Please submit three original-signed quotation, updated and certified true copy of PhilGEPs Certificate, BIR Tax Certificate and Business Permit</t>
  </si>
  <si>
    <t xml:space="preserve"> One-day Catering Services during CY 2020 DENR-LGU-PO Summit for the Enhanced National Greening Program   on September 3, 2020 95 AM Snacks 95 Lunch 95 PM Snacks</t>
  </si>
  <si>
    <t xml:space="preserve"> Invitation to Bid to all Supplier/Contractr duly accredited by the City Cpuncil of Manila to supply and deliver the following items provided hereunder, to wit; Item	Qty.	 	Unit	 	 	 	DESCRIPTION	 	 	  1	 	330	 	Pcs	Laptop Table	 	 	 	 	 	 	 	  2	 	450	 	P</t>
  </si>
  <si>
    <t xml:space="preserve"> Construction Materials: 1. Cement - 261 bags 2, SAG - 45 cu.m 3. Coco lumber - 20 pcs -2"x4"x12' 4. CW Nail Assorted - 4 kilos</t>
  </si>
  <si>
    <t xml:space="preserve"> 1.)	4	pcs	Tires A/T (tubeless) size: 265/70 R17 2.)	29	pcs	Stick-on bar type # ½ (for wheel balancing)</t>
  </si>
  <si>
    <t xml:space="preserve"> Republic of the Philippines Province of Pangasinan MUNICIPALITY OF AGNO THE BIDS AND AWARDS COMMITTEE Invitation to Bid for CONSTRUCTION OF PCCP AT PUROK NAMNAMA ROAD, BARANGAY MAGSAYSAY 1.	The Municipality of Agno, Pangasinan, through the Annual Budget C</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</si>
  <si>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</si>
  <si>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SHOPPING The municipal government of Romblon through its Bids and Awards Committee (BAC) invites PhilGEPS registered suppliers to request for quotation for the Materials for the Construction of Multi-Purpose Hall Bldg., Phase III at Brgy. Capaclan.</t>
  </si>
  <si>
    <t xml:space="preserve"> Supply and Delivery of Barcode Sticker and Ribbon BARCODE STICKER &amp; RIBBON	set	675	150	101,250.00 ------------------------------------------------------------------------------------------------------------------------------- **Please submit the following</t>
  </si>
  <si>
    <t xml:space="preserve"> CONSTRUCTION OF 4 X 120 X 0.15 ACCESS ROAD</t>
  </si>
  <si>
    <t xml:space="preserve"> Please see attached associated components.</t>
  </si>
  <si>
    <t xml:space="preserve"> To assist the community in the care of its elderly and those with physical and mental disabilities, to enhance their active participation in society and their social development and self-reliance; procurement of hygiene kit</t>
  </si>
  <si>
    <t xml:space="preserve"> 2 units mistblower specifications: displacement: 56.55 cc gasoline output power: 2.5 KW/3.3 HP container capacity : 13 Liter weight : 11kg sound pressure level: 101 sound power level :114 vibration level : 2.3 m/s s2 right engine: 2- mix fuel capacity: 1.</t>
  </si>
  <si>
    <t xml:space="preserve"> 1	Custom Polo Shirt	80 Pcs. 	Embroidered logo	 	Black with gray collar and lining (honey comb)	 	Brand: Dannon or equivalent	 	Sizes:   XS - 10	 	              S - 15	 	              M - 20	 	              L - 20	 	             XL - 10	 	            XXL -</t>
  </si>
  <si>
    <t xml:space="preserve"> Republic of the Philippines PROVINCE OF NUEVA VIZCAYA Municipality of Aritao BARANGAY BETI BIDS AND AWARDS COMMITTEE ITB-TIRE PATH-20-08-001 INVITATION TO BID FOR CONSTRUCTION OF TIRE PATH @ Domingo Dela Cruz St., Purok 1, Beti,  Aritao, Nueva Vizcaya The</t>
  </si>
  <si>
    <t xml:space="preserve"> PURCHASE OF ANTI-RABBIES VACCINES (ACTIVE &amp; PASSIVE), CHO, CALBAYOG CITY</t>
  </si>
  <si>
    <t xml:space="preserve"> Please see attached file . . .</t>
  </si>
  <si>
    <t xml:space="preserve"> Procurement and Delivery of Office Equipment's Location: Balingasag South District, Baliwagan, Balingasag, Misamis Oriental</t>
  </si>
  <si>
    <t xml:space="preserve"> Please download ITB in the Associated Components</t>
  </si>
  <si>
    <t xml:space="preserve"> "PRICE PROPOSAL FORM (This Form must be used in Submitting Supplier's Quotations) "											 											 RFQ No.		NP 20-0898(Bayanihan to Heal as One Act)				Date				28-Jun-20	 PR Reference		100-20-07-048				Implementing Office				CGSO	 Closing Date and</t>
  </si>
  <si>
    <t xml:space="preserve"> Printing of the ff:	 1	Caves Poster Series (4 kinds, 300 pcs./kind)	1,200 Cps. 	Stock: C2S 220	 	Size: 18" x 24"	 	Color: Full color	 	Pages: 1 leaves per poster	 	Finish: UV lamination	 	Other: Offset printing	 		 2	Cave Brochures	300 Cps. 	Stock: C2S 22</t>
  </si>
  <si>
    <t xml:space="preserve"> 1.The Municipal Government of El Nido, through the Special Education Fund intends to apply the sum of Three Hundred Twelve Thousand Pesos (₱ 312,000.00) being the Approved Budget for the Contract (ABC) to payments for the Procurement and Delivery of Two (</t>
  </si>
  <si>
    <t xml:space="preserve"> Medical and Dental Supplies</t>
  </si>
  <si>
    <t xml:space="preserve"> Invitation to Bid for Supply and Delivery of Medicine  for the use of Rural Health Unit CB-GOOD-2020-05 1.The Municipal Government of Taal, through the GENERAL FUND intends to apply the sum of Seven hundred Fifty-Eight Thousand One Hundred Fifty-Three Pes</t>
  </si>
  <si>
    <t xml:space="preserve"> The Supreme Court, through the Procurement Section, invites interested suppliers to quote for the refurbishment of lease property at Dinalupihan Bataan for the use of newly created Regional Trial Court Br. 96 and Regional Trial Court - Office of the Clerk</t>
  </si>
  <si>
    <t xml:space="preserve"> 2	bxs		METOCLOPRAMIDE SYRUP 60 ml / 144	 100	bxs		AMOXICILLIN 500 mg CAP 100's	 150	bxs		CLOXACILLIN 500 mg CAP 100's	 100	bxs		CEFALEXIN 500 mg CAP 100's	 10	bxs		CEFALEXIN 250 mg SYRUP 60 ml / 144	 5	bxs		DICYCLOVERINE SYRUP 60 ml / 144	 20	bxs		DICYCLO</t>
  </si>
  <si>
    <t xml:space="preserve"> PUBLIC BIDDING The municipal government of Romblon through its Bids and Awards committee (BAC) invites PhilGEPS registered suppliers to apply for bid for the Medicines for MGAP 1st &amp; 2nd Quarter.</t>
  </si>
  <si>
    <t xml:space="preserve"> See attached documents, print Bid Notice Abstract and download ITB No. GOODS-20-141.</t>
  </si>
  <si>
    <t xml:space="preserve"> RFQ FOR LOT 6</t>
  </si>
  <si>
    <t xml:space="preserve"> 90 panels Curtains PTO</t>
  </si>
  <si>
    <t xml:space="preserve"> please refer to RFQ</t>
  </si>
  <si>
    <t xml:space="preserve"> For DWUP various seminars and trainings.</t>
  </si>
  <si>
    <t xml:space="preserve"> Republic of the Philippines BARANGAY UNO Lipa City OFFICE OF THE PUNONG BARANGAY BIDS AND AWARDS COMMITTEE INVITATION TO BID The Barangay Government of BARANGAY UNO, through its Bids and Awards Committee ( BAC ), invites suppliers/manufacturers/distributo</t>
  </si>
  <si>
    <t xml:space="preserve"> PURPOSE: EMERGENCY PURCHASE REQUEST FOR COVID-19 PATINETS USE Fax your Price Quotation at Tel. Fax#: 426-30-45 / 927-64-26 local 2561 or Email at bacveterans@gmail.com. Please indicate the brand name and complete specifications.</t>
  </si>
  <si>
    <t xml:space="preserve"> REQUEST FOR SUPPLIES AND MATERIALS TO BE USED FIR THE WATER REFILLING										 	STATION PROJECT OF NMMPCS UNDER CONVERGENCE ON LIVELIHOOD ASSISTANCE										 	FOR ARBs PROJECT (CLAAP)										 1	GALLONS (ROUND)									90	PIECE 2	GALLONS (SLIM)								</t>
  </si>
  <si>
    <t xml:space="preserve"> PURPOSE: FOR USE IN RDU Fax your Price Quotation at Tel. Fax#: 426-30-45 / 927-64-26 local 2561 or Email at bacveterans@gmail.com. Please indicate the brand name and complete specifications.</t>
  </si>
  <si>
    <t xml:space="preserve"> Bids and Awards Committee							 REQUEST FOR QUOTATION							         The City Government of Pagadian, through its Bids and Awards Committee (BAC), invites suppliers/manufacturers/distributors to bid for the hereunder supplies/goods, charged to 7611-5-02-</t>
  </si>
  <si>
    <t xml:space="preserve"> Various General Merchandise - Insecticide for Malaria Elimination                                           - Insecticide for Dengue Elimination</t>
  </si>
  <si>
    <t xml:space="preserve"> 27884-001	Rental of Garage	1	LOT	336,202.20	336,202.20 TERMS OF REFERENCE Garage Rental for MCWD Vehicles  1.	The bidder's garage must be within three hundred (300) to four hundred (400) meter radius from the MCWD Main Office Building. This is to ensure i</t>
  </si>
  <si>
    <t xml:space="preserve"> To urchase garden soil for Barangay Oranbo, Pasig City</t>
  </si>
  <si>
    <t xml:space="preserve"> Cabadbaran District Hospital Agusan del Norte</t>
  </si>
  <si>
    <t xml:space="preserve"> 1.The Municipal Government of El Nido, through the Calamity Fund, Trust Fund (2015-2018) intends to apply the sum of Two Hundred Forty Nine Thousand Six Hundred Ten Pesos (P 249,610.00) being the Approved Budget for the Contract (ABC) to payments for the </t>
  </si>
  <si>
    <t xml:space="preserve"> Renovation/Rehabilitation of Chairman Santillan Pumping Station Brgy. Sto. Nińo, Pagadian City</t>
  </si>
  <si>
    <t xml:space="preserve"> Office Supplies</t>
  </si>
  <si>
    <t xml:space="preserve"> You can submit your accomplished RFQ form  @ BAC Office, Bogo City Hall, Cayang, Bogo City, Cebu  or email us @ bogobacoffice2019@gmail.com / 	      bogocpdo@gmail.com Not later than the closing date.</t>
  </si>
  <si>
    <t xml:space="preserve"> 8 units of Computer   Specification: 								  Intel i3-8100 3.6HZ 4 Cores 								  Mobo EX-H310M-V3 S1151 								  Optical Resolution: 1200xG Skill Mem F4 2400C17S 4GIS AE 								  HDD 1TB WDIOEZEX 								  CIVO Case M4/M5 Micro ATX BLK 								  EB1</t>
  </si>
  <si>
    <t xml:space="preserve"> INVITATION TO BID No. IB-2020-IX-14-02 The Municipality of Sibalom through its Bids &amp; Awards Committee (BAC), invites bidders/contractors to apply for eligibility and to bid for the hereunder project: Project           	 		:	CLOSURE OF OLD DUMPSITE Locati</t>
  </si>
  <si>
    <t xml:space="preserve"> City Engineer's Office P.R. No. : 2020-06-2805 Date: 06/30/2020 1 A. COMFORT ROOM 2 75.7 sq.m. Repair of Ceiling 39,054.39 3 188 ln.ft. Repair of Gutter/Flashing 44,561.64 4 25.27 sq.m. Replacement of Doors and Windows 67,726.89 5 1 lot Replacement of Ele</t>
  </si>
  <si>
    <t xml:space="preserve"> REPUBLIC OF THE PHILIPPINES PROVINCE OF NEGROS OCCIDENTAL MUNICIPALITY OF MOISES PADILLA Barangay Inolingan Bids and Awards Committee August 25, 2020 INVITATION TO BID FOR THE IMPROVEMENT OF MULTI-PURPOSE BUILDING 1.	The Barangay of Inolingan through the </t>
  </si>
  <si>
    <t xml:space="preserve"> Surveying and research services of subdivision plan of CGC lots</t>
  </si>
  <si>
    <t xml:space="preserve"> Republic of the Philippines Province of Pangasinan MUNICIPALITY OF AGNO THE BIDS AND AWARDS COMMITTEE Invitation to Bid for CONSTRUCTION OF PCCP AT SITIO BARSAK ROAD, BARANGAY GAYUSAN 1.	The Municipality of Agno, Pangasinan, through the Annual Budget CY 2</t>
  </si>
  <si>
    <t xml:space="preserve"> 1.)	2	Set	Oil filter (503/513) 2.)	1	Pc	Oil filter (C-526) 3.)	3	Pcs	Fuel filter (208A) 4.)	24	Liters	Engine oil (15W-40) 5.)	6	Sets	Tires with Inner Tube and Flaps (7.50x16 - 14PR, miler type) 6.)	15	Sets	Tires with Inner Tube and Flaps (7.50x16 - 14PR, </t>
  </si>
  <si>
    <t xml:space="preserve"> Please launch attached Purchase Order</t>
  </si>
  <si>
    <t xml:space="preserve"> INVITATION TO BID FOR  OFFICE EQUIPMENT 	The Municipality of San Juan through the Government of the Philippines intends to apply the sum of  FOUR HUNDRED FORTY THOUSAND PESOS (Php.440,000.00)  being the Approved Budget for the Contract (ABC) to payments u</t>
  </si>
  <si>
    <t xml:space="preserve"> 20-10935</t>
  </si>
  <si>
    <t xml:space="preserve"> Description   Procurement of One (1) Unit Single Motorcycle for MDRRM Office Approved Budget for the Contract: P75,000.00 Source of Fund: charge to cash prize from Gawad Kalasag  Please quote your lowest price on the item/s listed below, subject to the Te</t>
  </si>
  <si>
    <t xml:space="preserve"> 1. Please see attached Request for Quotation Form for details 2. RFQ Form can also be downloaded for free at www.ilocossur.gov.ph 3. Please read the General Instructions to Bidders at the attached RFQ Form</t>
  </si>
  <si>
    <t xml:space="preserve"> PURPOSE: FOR USE IN ANESTHESIA MACHINE AT WARD 9 Fax your Price Quotation at Tel. Fax#: 426-30-45 / 927-64-26 local 2561 or Email at bacveterans@gmail.com. Please indicate the brand name and complete specifications.</t>
  </si>
  <si>
    <t xml:space="preserve"> 3 Ply Surgical Mask Face Shields Isoprophyl Alcohol (250 ml) Isoprophyl Alcohol (500 ml) Infrared Thermometer Cover All Suit PPE (Disposable)</t>
  </si>
  <si>
    <t xml:space="preserve"> Title:Procurement of 150 Piece Chairs, Monobloc without Arm Rest, White, etc. under P.R No. 3072-2020- Office of the City Agriculturist. Total ABC: Php 122,500.00 (INSTRUCTION AS TO THE REQUIRED FORM: For your price quotation, please use the attached Requ</t>
  </si>
  <si>
    <t xml:space="preserve"> Supply and Delivery of One (1) Set of Workstation PC * Intel Core i7 (8/Octa Core CPU) * 1 Unit IPS Monitor 24" 1440p * 16 GB RAM * 8 GB Video Card * 512 GB SSD * Keyboard and Mouse * Webcam</t>
  </si>
  <si>
    <t xml:space="preserve"> delivery dates on Sept. 11, 2020</t>
  </si>
  <si>
    <t xml:space="preserve"> 1 unit Epson L130 Printer- Wide Format 250 reams Multicopy Paper - Legal Size 100 reams Multicopy Paper-A4 2500 pcs expanding envelop 3 master Roll 10 box Duplo ink DC 14 30 Epson Refill Ink Magenta 30 Epson Refill Ink Cyan 30 Epson Refill Ink Yellow 40 E</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</si>
  <si>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</si>
  <si>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See attached documents, print Bid Notice Abstract and download ITB No. GOODS-20-142.</t>
  </si>
  <si>
    <t xml:space="preserve"> Republic of the Philippines Department of Justice BUREAU OF CORRECTIONS SAN RAMON PRISON AND PENAL FARM Zamboanga City Request for Quotation The San Ramon Prison and Penal Farm, through its Bids and Awards Committee, request your lowest quotation of Trans</t>
  </si>
  <si>
    <t xml:space="preserve"> 1 Unit DSLR Camera for the OMAS Documentation Purposes.</t>
  </si>
  <si>
    <t xml:space="preserve"> PHILIPPINE BIDDING DOCUMENTS Republic of the Philippines Province of Nueva Vizcaya MUNICIPALITY OF BAYOMBONG BARANGAY MAGAPUY PROCUREMENT OF GOODS PURCHASE OF 1 UNIT BRAND NEW 12 HP DIESEL ENGINE OF BARANGAY, MAGAPUY, BAYOMBONG, NUEVA VIZCAYA 2 TABLE OF C</t>
  </si>
  <si>
    <t xml:space="preserve"> 20-10735</t>
  </si>
  <si>
    <t xml:space="preserve"> The City Government of Malolos, through its BIDS and AWARDS COMMITTEE (BAC) Invites Suppliers/Manufacturers/Distributors to Bid for hereunder procurement:  PR No. : GSO-2020-08-1086 Name of Project : SUPPLY OF MATERIALS FOR THE IMPROVEMENT OF IRRIGATION C</t>
  </si>
  <si>
    <t xml:space="preserve"> Republic of the Philippines Province of Eastern Samar Municipality of Mercedes     OFFICE OF THE BIDS AND AWARDS COMMITTEE (BAC) INVITATION TO BID # INFRA-2020-011  Invitation to Bid for the Proposed Construction of National  Child Development Center     </t>
  </si>
  <si>
    <t xml:space="preserve"> I N V I T A T I O N   T O   B I D 2020 – 160 August 26, 2020 1.	The Provincial Government of Tarlac through the PGSO - Security Services intends to apply the sum of Four Million Four Hundred Ninety-One Thousand Six Hundred Pesos Only (Php 4,491,600.00) be</t>
  </si>
  <si>
    <t xml:space="preserve"> PURPOSE: FOR MAINTENANCE USE OF BOILER 2. (DELIVERY DATE: OCT. 29, 2020) Fax your Price Quotation at Tel. Fax#: 426-30-45 / 927-64-26 local 2561 or Email at bacveterans@gmail.com. Please indicate the brand name and complete specifications.</t>
  </si>
  <si>
    <t xml:space="preserve"> Republic of the Philippines Province of Pangasinan MUNICIPALITY OF AGNO THE BIDS AND AWARDS COMMITTEE Invitation to Bid for SUPPLY AND DELIVERY OF MATERIALS FOR RE-GRAVELLING OF VARIOUS BARANGAY ROADS 1.	The Municipality of Agno, Pangasinan, through the A</t>
  </si>
  <si>
    <t xml:space="preserve"> 1 unit Laptop PGO-Main</t>
  </si>
  <si>
    <t xml:space="preserve"> 1 unit Motorcycle OPAG</t>
  </si>
  <si>
    <t xml:space="preserve"> August 25, 2020	 INVITATION TO BID Reference No. 7199602/ Solicitation No. 2020-08-061 	The Barangay Magugpo Poblacion, Tagum City invites interested Bidders/Suppliers to submit for eligibility and to bid for the following: Rescue Vehicle								         </t>
  </si>
  <si>
    <t xml:space="preserve"> REPUBLIC OF THE PHILIPPINES PROVINCE OF NEGROS OCCIDENTAL MUNICIPALITY OF MOISES PADILLA Bids and Awards Committee 	August 25, 2020 INVITATION TO BID FOR THE PURCHASE OF MEDICINES AND MEDICAL SUPPLIES 1.	The Municipality of Moises Padilla through the allo</t>
  </si>
  <si>
    <t xml:space="preserve"> REPUBLIC OF THE PHILIPPINES CITY GOVERNMENT OF OROQUIETA BIDS AND AWARD COMMITTEE City Hall, Oroquieta City                                                                                                                       August 25, 2020              </t>
  </si>
  <si>
    <t xml:space="preserve"> Line Bidding	 			 1	Unit	Printer w/ Scanner:	 10,000.00  		Specs:	 		Features: Color Print, Inkjet Printer	 		Printing Type: Colour	 		Printing Tech.: Inkjet	 		Scanner Type: Flatbed	 		Print Resolution: 5760 x 1440 DPI	 		Print Speed Black: 33 PPM	 		Pri</t>
  </si>
  <si>
    <t xml:space="preserve"> INVITATION TO BID Project No.: CY 2020-GOODS-008 The Department of Education (DepED) Schools Division Office of Ligao City, through the General Appropriations Act FY 2020 intends to apply the sum of Eighty Thousand Pesos Only (Php 80,000.00), being the Ap</t>
  </si>
  <si>
    <t xml:space="preserve"> Various Food stuff</t>
  </si>
  <si>
    <t xml:space="preserve"> Republic of the Philippines DEPARTMENT OF PUBLIC WORKS AND HIGHWAYS CAGAYAN 2ND DISTRICT ENGINEERING OFFICE Regional Office II Abulug, Cagayan INVITATION TO BID FOR  CLUSTER  NO. 2020-08-GOODS The DPWH -Cagayan 2nd District Engineering Office through the </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</si>
  <si>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</si>
  <si>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1. The Local Government Unit of Magsaysay, Occidental Mindoro through the Annual Budget approved by Sanggunian intends to apply the sum of Seventy Six Thousand Pesos (P76,000.00) being the Approved Budget for the Contract (ABC) to payment under the contra</t>
  </si>
  <si>
    <t xml:space="preserve"> One (1) unit Sonic Wall License Renewal *NSA 2600 Total Secure for one (1) year renewal *Warranty   - Hardware warranty: Firmware and technical assistance coverage based is inclusive of one (1) year hardware and software warranty, software upgrades and te</t>
  </si>
  <si>
    <t xml:space="preserve"> Supply and Delivery of IBP Transducer Kit and Needle, SPINAL, quincke type BP TRANSDUCER KIT A-LINE, single disposable size: adult and pedia	set	6,000	10	60,000.00 Needle, SPINAL, quincke type, clear hub, Gauge 21, .53mm - .54mm x 87 - 88mm x 3.5in	piece	</t>
  </si>
  <si>
    <t xml:space="preserve"> &gt; 1 Unit BRAND NEW 4X4 PICK-UP VEHICLE Specifications: Brand New 4x4 Pick-up, Double Cab, Four Doors Engine: Euro 4, direct injection common rail, four cylinder diesel, 16 valve DOHC, turbo charged with intercooler Displacement: range from 2,300 – 2,500 c</t>
  </si>
  <si>
    <t xml:space="preserve"> PLEASE SEE ATTACHED FILE FOR REFERENCE</t>
  </si>
  <si>
    <t xml:space="preserve"> construction of concrete drainage canal Swan E/S</t>
  </si>
  <si>
    <t xml:space="preserve"> 12 UNITS   CELLULAR PHONES  @  31,250.00 Specifications: A70 6.7" octacore 2ghz 6gb + 128gb 32mp + 8mp + 5 + 32mp camera dual sim 4,500maAh battery any availbale color</t>
  </si>
  <si>
    <t xml:space="preserve"> Title:Procurement of Vehicle Repair and Maintenance under P.R Nos. 1924-2020- City Health Office and 2208-2020- Sangguniang Panglungsod-Augmentation for Legislative Services-1Lot. Total ABC: Php 83,810.00 (INSTRUCTION AS TO THE REQUIRED FORM: For your pri</t>
  </si>
  <si>
    <t xml:space="preserve"> INVITATION TO BID FOR PURCHASE OF OFFICE SUPPLIES (LOT A) AND JANITORIAL/PERSONAL SUPPLIES AND CONSUMABLES (LOT B) FOR THE USED OF VARIOUS OFFICES/PROGRAMS OF DSWD RO III FOR THE PERIOD OF OCTOBER – NOVEMBER 2020   1.	The DEPARTMENT OF SOCIAL WELFARE AND </t>
  </si>
  <si>
    <t xml:space="preserve"> 1       5 KIT MONOLISA HBsAg;480T " Micro plate strips (Coated with monoclonal anti-HBs antibodies) " Concentrated washing solution " Negative control " Positive control " Conjugate diluent " Conjugate (Mouse monoclonal anti-HBs antibodies and goat polycl</t>
  </si>
  <si>
    <t xml:space="preserve"> INVITATION TO BID SUPPLY AND DELIVERY OF OFFICE SUPPLIES AND MATERIALS FOR THE SANGGUNIANG PANLUNGSOD OFFICE 1.	The Local Government Unit of Cabadbaran City through the GENERAL FUND intends to apply the sum of ONE HUNDRED TWENTY-THREE THOUSAND NINE HUNDRE</t>
  </si>
  <si>
    <t xml:space="preserve"> PROCUREMENT OF SECURITY SERVICES   Qualification Requirements: 	Contract Period:  January 1, 2021 to December 31, 2021	 Deployment of  two (2) qualified, bonded, uniformed, highly trained and armed Security Guards to NTRC rendering 12 – hours duty each fr</t>
  </si>
  <si>
    <t xml:space="preserve"> - THE PROCURING ENTITY IS BARANGAY GUIBO, SIAYAN, ZAMBO. DEL NORTE - BAC LGU SIAYAN HAS NO LIABILITY ON THE FOREGOING PROCESS OF PROCUREMENT</t>
  </si>
  <si>
    <t xml:space="preserve"> Construction of 156LM x .50m inner width open canal</t>
  </si>
  <si>
    <t xml:space="preserve"> 1 pc R/R DRIVE BELT 1 pc BELT, V-RIBBED 1 pc TOYOTA AUXILIARY KIT 1.1 lot SMILE - TIE ROD &amp; RACK END REPLACEMENT 1 set SK, SMILE557 INNOVA 1 set TIE ROD RACK END MISC 8 lot COMPLETE ALIGNMENT 2.1 set SMILE - TIMING BELT, FRONT CRANKSHAFT AN 1 set SK, SMIL</t>
  </si>
  <si>
    <t xml:space="preserve"> PURPOSE: FOR MAINTENANCE USE OF BOILER 2. (DELIVERY DATE: DEC. 29, 2020) Fax your Price Quotation at Tel. Fax#: 426-30-45 / 927-64-26 local 2561 or Email at bacveterans@gmail.com. Please indicate the brand name and complete specifications.</t>
  </si>
  <si>
    <t xml:space="preserve"> Procurement of Five (5) units of Cellphone</t>
  </si>
  <si>
    <t xml:space="preserve"> Republic of the Philippines PROVINCE OF Zamboanga del Norte Municipality of Sibutad BIDS AND AWARDS COMMITTEE Date: AUGUST 26, 2020 Project Reference No. GFP100-2020-08-098 DATED: AUGUST 25, 2020 Name of the Project: PROCUREMENT OF MEAL AND SNACKS FOR BUN</t>
  </si>
  <si>
    <t xml:space="preserve"> Invitation to Bid for BDRRM Office  No. 2020-008 1. The Barangay Mabini Homesite, through the Annual Budget 2020(General Fund) Approved by the Sanggunian intends to apply the sum of One Hundred Ten Thousand Pesos  (Php 110,000.00 ) being the Approved Budg</t>
  </si>
  <si>
    <t xml:space="preserve"> INVITATION TO BID									 									 The LOCAL GOVERNMENT UNIT OF SINDANGAN, through its Bids and Awards Committee (BAC), hereby invites suppliers/manufacturers/ distributors/contractors to apply for eligibility and to bid for the hereunder project.						</t>
  </si>
  <si>
    <t xml:space="preserve"> 150 sacks  FERTILIZERS (14 14 14) @ 1,500.00</t>
  </si>
  <si>
    <t xml:space="preserve"> Line Bidding	 			  175.00 	 bags 	 Portland Cement 	 54,600.00   20.00 	 bags 	 Red Cement 	 2,400.00   14.00 	 cu.m 	 3/4" Course Gravel  	 33,012.00   797.00 	 pcs 	 4" Concrete Hollow Blocks 	 21,519.00   47.00 	 pcs 	 12mmøx 6.0m Reinforce Steel Bars </t>
  </si>
  <si>
    <t xml:space="preserve"> INVITATION TO BID SUPPLY AND DELIVERY OF HARDWARE SUPPLIES AND CONSTRUCTION MATERIALS FOR VARIOUS LAW ENFORCEMENT AGENCIES 1.	The Local Government Unit of Cabadbaran City through the PEACE &amp; ORDER FUND intends to apply the sum of ONE HUNDRED SEVENTY-EIGHT</t>
  </si>
  <si>
    <t xml:space="preserve"> RFQ-2020-263		 			1. Menu: Adobong Manok 1.	90	kls.	Whole chicken 2.	78	trays	Egg (medium) 12's 3.	18	L/s	Soy Sauce (1 liter) 4.	12	L/s	Vinegar (1 liter) 5.	60	kls.	Rice 6.	3	kls.	Onion (per kilo) 7.	1 1/2	kls.	Bawang (per kilo) 8.	6	L/s	Cooking oil 			2.</t>
  </si>
  <si>
    <t xml:space="preserve"> 1.Tube and Chamber Kit, Single heated Tubing w/ Water Chamber for  Nasal High Flow Therapy, Adult, Single Patient use, 1.8 Circuit  Length, for use w/ Airvo 2 Humidifiers--------------------------------------20 qty ---------------P6,422.00/kit 2.Optiflown</t>
  </si>
  <si>
    <t xml:space="preserve"> LGU-Gubat, Sorsogon	Globe #: 0917-535-5818; Smart # 0998-984-6448 	REQUEST FOR QUOTATION (RFQ) 	Date 	Dear Supplier, 	The	LGU-Gubat, 	requests you to submit a quotation for the procurement project whose details are given below: 	Project Name:	PURCHASE OF </t>
  </si>
  <si>
    <t xml:space="preserve"> Procurement of One (1) unit Motorcycle</t>
  </si>
  <si>
    <t xml:space="preserve"> Reinforcement Bar @ 10mm x 6 m long 	360	pcs. tie wire # 16 	12	kls.  blended cement type 1P	640	bags common wire nails # 3	10	kls.</t>
  </si>
  <si>
    <t xml:space="preserve"> Construction of Septic Vault @ Tubongan BHS 1. PORTLAND CEMENT 38 BAGS 2. 45-10MM ᴓ X 6M RSB 166.50 KGS 3. #16 TIE WIRE 5 KGS 4. SAHARA COMPOUND 20 KGS 5. ASSTD CWNAILS 3 KGS Construction of Septic Vault @ Naguilian BHS 1. PORTLAND CEMENT 38 BAGS 2. 45-10</t>
  </si>
  <si>
    <t xml:space="preserve"> REQUEST FOR SUPPLY AND DELIVERY OF MILLED RICE AS STARTER KIT/START-UP										 INVENTORY FOR THE RICE PRODUCTION AND RICE TRADING PROJECT OF LARFBCO										 ELIGIBLE BENEFICIRIES UNDER CONVERGENCE ON LIVELIHOOD ASSISTANCE										 FOR ARBs PROJECT (C</t>
  </si>
  <si>
    <t xml:space="preserve"> PURPOSE: FOR MAINTENANCE USE OF BOILER 2. (DELIVERY DATE: NOV. 27, 2020) Fax your Price Quotation at Tel. Fax#: 426-30-45 / 927-64-26 local 2561 or Email at bacveterans@gmail.com. Please indicate the brand name and complete specifications.</t>
  </si>
  <si>
    <t xml:space="preserve"> PROJECT:  CONSTRUCTION OF CHB OPEN CANAL PHASE I &amp; PHASE II LOCATION: BARANGAY SAN JOSE, CONCEPCION, TARLAC APPROVED BUDGET FOR THE CONTRACT: PHP 465,710.60 SOURCE OF FUND: 20% BDF The contract to be performed by the successful bidder shall be specified i</t>
  </si>
  <si>
    <t xml:space="preserve"> Republic of the Philippines Province of Pangasinan MUNICIPALITY OF AGNO THE BIDS AND AWARDS COMMITTEE Invitation to Bid for PURCHASE OF 100 KVA SILENT TYPE DIESEL GENERATOR SET 1.	The Municipality of Agno, Pangasinan, through the Annual Budget CY 2020 Gen</t>
  </si>
  <si>
    <t xml:space="preserve"> Republic of the Philippines Province of Negros Occidental Municipality of Valladolid    INVITATION TO BID     PROCUREMENT OF OFFICE SUPPLIES -BOND PAPERS        1. The Municipality of Valladolid, through the Special Education Fund (SEF) intends to apply t</t>
  </si>
  <si>
    <t xml:space="preserve"> Blinds</t>
  </si>
  <si>
    <t xml:space="preserve"> 1. The Local Government Unit of Magsaysay, Occidental Mindoro through the Annual Budget approved by Sanggunian intends to apply the sum of Eighty Five Thousand Fifty Pesos (P85,050.00) being the Approved Budget for the Contract (ABC) to payment under the </t>
  </si>
  <si>
    <t xml:space="preserve"> ICT Equipment</t>
  </si>
  <si>
    <t xml:space="preserve"> DRM - LONG HANDLED SPONGE DRM - VELCRO (MAGIC TAPE) 1” (WHITE, 25 METERS/ROLL) DRM - VELCRO (MAGIC TAPE) 2” (WHITE, 25 METERS/ROLL) DRM - VELCRO OR MAGIC TAPE #1 (BLACK), 25M/ROLL DRM - VELCRO OR MAGIC TAPE #2 (BLACK), 25M/ROLL For Patients’ Use. REQUESTE</t>
  </si>
  <si>
    <t xml:space="preserve"> PURCHASE OF ANTI-RABBIES VACCINES (ACTIVE), CHO, CALBAYOG CITY</t>
  </si>
  <si>
    <t xml:space="preserve"> Request for Quotation: RFQ- 2008-788  Supply and delivery of assorted construction supplies and materials</t>
  </si>
  <si>
    <t xml:space="preserve"> I   EXCAVATION FOR FOUNDATION        II  CONCRETE WORKS III STEEL WORKS IV ELECTRICAL WORKS</t>
  </si>
  <si>
    <t xml:space="preserve"> Construction of 57.20 Lm with 4 seater concrete bleachers.</t>
  </si>
  <si>
    <t xml:space="preserve"> 1. The Local Government Unit of Magsaysay, Occidental Mindoro through the Annual Budget approved by Sanggunian intends to apply the sum of Seventy Thousand Three-hundred Ninety Pesos (P70,390.00) being the Approved Budget for the Contract (ABC) to payment</t>
  </si>
  <si>
    <t xml:space="preserve"> PURPOSE: FOR MAINTENANCE USE OF MOTORPOOL UNIT. Fax your Price Quotation at Tel. Fax#: 426-30-45 / 927-64-26 local 2561 or Email at bacveterans@gmail.com. Please indicate the brand name and complete specifications.</t>
  </si>
  <si>
    <t xml:space="preserve"> 1 UNIT	 DISTRIBUTION SWITCH 	Must have twenty-four (24) x 10/100/1000 Ethernet ports and four (4) x 1G SFP ports 	Capable of supporting 10G, 25G, 40G fiber ports  and multigigabit (1/2.5/5/10Gbps) Ethernet ports via additional expansion module 	Must be 1R</t>
  </si>
  <si>
    <t xml:space="preserve"> *Please see attached Request for Quotation for specifications</t>
  </si>
  <si>
    <t xml:space="preserve"> Republic of the Philippines Province of Nueva Vizcaya BIDS AND AWARDS COMMITTEE (BAC-Goods) BAC OFFICE, Provincial Capitol, Bayombong, Nueva Vizcaya Tel. No. 078-392-2062 	 (2ND) INVITATION TO BID FOR THE SUPPLY, DELIVERY &amp; FABRICATION OF 30 UNITS STORAGE</t>
  </si>
  <si>
    <t xml:space="preserve"> Republic of the Philippines Province of Nueva Vizcaya BIDS AND AWARDS COMMITTEE (BAC-Goods) BAC OFFICE, Provincial Capitol, Bayombong, Nueva Vizcaya Tel. No. 078-392-2062 	 2ND INVITATION TO BID FOR THE SUPPLY &amp; DELIVERY OF1 UNIT LAPTOP   FOR THE  GOVERNO</t>
  </si>
  <si>
    <t xml:space="preserve"> Interested suppliers are invited to submit their closed quotation on the following items:  Item 1 - 8 Port Gigabit Unmanaged Desktop Switch (Please See Attached Specification)	4 Units Item 2 - 24-Port Compact Un-Manage Switch (Please See Attached Specific</t>
  </si>
  <si>
    <t xml:space="preserve"> 2 - units  2HP SPLIT TYPE AIRCON UNIT INVERTER        WITH INSTALLATION Note: All deliveries by the suppliers shall be subject to inspection and acceptance by the inspection committee.																		 																		 The Supplier who submitted the lo</t>
  </si>
  <si>
    <t xml:space="preserve"> 1. The Local Government Unit of Magsaysay, Occidental Mindoro through the Annual Budget approved by Sanggunian intends to apply the sum of Fifty Thousand Nine-hundred Pesos (P50,900.00) being the Approved Budget for the Contract (ABC) to payment under the</t>
  </si>
  <si>
    <t xml:space="preserve"> FOR PROGRESS REPORT OF LEARNERS</t>
  </si>
  <si>
    <t xml:space="preserve"> INVITATION TO BID SUPPLY AND DELIVERY OF VARIOUS DRUGS AND MEDICINE SUPPLIES (BATCH 1)  FOR GOV. CELESTINO GALLARES MEMORIAL HOSPITAL  1.	The Gov. Celestino Gallares Memorial Hospital, through Hospital Income intends to apply the sum of TWENTY-TWO MILLION</t>
  </si>
  <si>
    <t xml:space="preserve"> Construction of 149.75 sq.m. Two storey Multi-Purpose Building (Phase I).</t>
  </si>
  <si>
    <t xml:space="preserve"> Description   Provision of Catering Services for RTR Farmers Congress &amp; Launching of Dedicated and Committed Administration (DCA) Farm Approved Budget for the Contract: P63,000.00 Please quote your lowest price on the item/s listed below, subject to the T</t>
  </si>
  <si>
    <t xml:space="preserve"> Number: 	Quantity: 	Unit	PPMP_Code	PPMP_Code1	PPMP_Code2	PPMP_Remarks	Particulars	StockNo	Unit_Cost	Estimated_Cost 1	6	unit	3117-34226	1	3117-34226-1		EGG WEIGHING SCALE		3,500.00	21,000.00 							Durable, Good quality			 2	1	unit	3117-34248	1	3117-34248-</t>
  </si>
  <si>
    <t xml:space="preserve"> Procurement of  ! Lot Food Stuff to be given as subsidy to the different residents of Iligan City during the state of calamity due to COVID-19</t>
  </si>
  <si>
    <t xml:space="preserve"> 1 Lot Purchase and Delivery of 36 Units of Printer for the Department of Education ( DepEd)- District Office</t>
  </si>
  <si>
    <t xml:space="preserve"> Purchase of Riso CV Master and Riso CV Ink</t>
  </si>
  <si>
    <t xml:space="preserve"> DRM - GARTER #2, BLACK DRM - GARTER #2, WHITE DRM - STOCKINETTE, COTTON, TUBULAR, 2” X 25 YARDS DRM - STOCKINETTE, NYLON, TUBULAR, 2” X 25 YARDS DRM - STOCKINETTE, NYLON, TUBULAR, 3” X 25 YARDS DRM - STOCKINETTE, NYLON, TUBULAR, 4” X 25 YARDS DRM - STOCKI</t>
  </si>
  <si>
    <t xml:space="preserve"> INVITATION TO BID SUPPLY AND DELIVERY OF 1,561 BOXES ROUND MOIST CAKES FOR PABIRTHDAY NI LOLO UG LOLA (3RD QUARTER) 1.	The Local Government Unit of Cabadbaran City through the GENERAL FUND intends to apply the sum of ONE HUNDRED EIGHTY-SEVEN THOUSAND THRE</t>
  </si>
  <si>
    <t xml:space="preserve"> 1. The Local Government Unit of Magsaysay, Occidental Mindoro through the Annual Budget approved by Sanggunian intends to apply the sum of Ninety Five Thousand Two-hundred Six Pesos (P95,206.00) being the Approved Budget for the Contract (ABC) to payment </t>
  </si>
  <si>
    <t xml:space="preserve"> Republic of the Philippines														 Province of Occidental Mindoro														 Mamburao, Occidental Mindoro														 REQUEST FOR QUOTATION														 Date of Posting:	August 25, 2020					Ref. No.		RN 558-2020						 						PR No.		017						 </t>
  </si>
  <si>
    <t xml:space="preserve"> Request for Quotation: RFQ-2007-717 Supply and delivery of assorted const. supplies and materials</t>
  </si>
  <si>
    <t xml:space="preserve"> This Notice of Negotiated pertains to the Procurement For Meals and Snacks, Venue and Accommodation of the Municipal Government of El Nido, Palawan with approved budget contract of Four Hundred Ninety Eight Thousand Pesos (₱ 498,000.00). The Municipal Gov</t>
  </si>
  <si>
    <t xml:space="preserve"> Various Drugs and Medicines</t>
  </si>
  <si>
    <t xml:space="preserve"> 1	1	unit	Printer 3 in 1  2	1	unit	Laptop with the following specs: CPU:intel  Core i3 Memory Type:DDR4 SDRAM, RAM: 4GG,                  HDD:1TB, Display Size: 15.6 Inches, Windows 10 Genuine, Resolution: 16:9 LED Backlit HD (1366 x                  768) </t>
  </si>
  <si>
    <t xml:space="preserve"> Republic of the Philippines Batangas City Invitation to Apply for Eligibility and to Bid The Barangay Government of Barangay Tinga Itaas, Batangas City intends to apply the sum of Eighty Four Thousand Six Hundred Forty One Pesos Only (Php 84,641.00) broke</t>
  </si>
  <si>
    <t xml:space="preserve"> INVITATION TO BID Bid No. B-130-2020 (*REBIDDING) 1.	The Provincial Government of Negros Oriental, through Source of Fund: 1) 1918-019(18); 2) 9998-011(19), intends to apply the sum of One Million Nine Hundred Sixty Thousand Pesos (Php 1,960,000.00) being</t>
  </si>
  <si>
    <t xml:space="preserve"> 95 PCS METAL FURING 16 FT. 75 PCS CARRYING CHANNEL X 1FT. 25 PCS WALL ANGLE X 3M 450 PCS FURRING CLIP 112 PCS SPANDREL 6M 14 PCS L. MOULDING 1 PCS 2X6X18 GOOD LUMBER 4 PCS 2X6X14 GOOD LUMBER 2 PCS 2X3X10 GOOD LUMBER 198 LM LONG SPAN COLOR ROOF (RIBTYPE. P</t>
  </si>
  <si>
    <t xml:space="preserve"> CONSTRUCTION : I. MASONRY WORKS, II. CARPENTRY WORKS, III. PAINTING WORKS, IV. ELECTRICAL WORKS  BREAKDOWN OF EXPENDITURES:  I.     MATERIALS       -   P  71,863.76 II.    LABOR              -      21,166.24                                  ______________</t>
  </si>
  <si>
    <t xml:space="preserve"> Request for quotation for the procurement of fuel and oil to be used for monitoring and check point regarding COVID-19.</t>
  </si>
  <si>
    <t xml:space="preserve"> RFQ-2020-264		 			 1.	2000	pcs	KN95 Face mask 			 	Deadline for Submission of Bids: August 28, 2020, 11:00 AM		 			PAYMENT TERM: 90 DAYS</t>
  </si>
  <si>
    <t xml:space="preserve"> 2 Units  Laptop                 Specs:                     Processor: i5                     Video Card: 2GB NVIDIA                     Memory: 16GB DDR4 Dual Channel SDRAM at 2933MH                     Storage: 256 SSD + 1TB HDD                     Displ</t>
  </si>
  <si>
    <t xml:space="preserve"> Invitation to Bid 				 for the 				 Supply and Delivery of Fruits, Eggs, Mongo Beans and Rice For Supplemental Feeding				 				 The Local Government Unit of Pili, Camarines Sur, through the General Fund (Nutrition Program – RHU I) intends to apply the sum</t>
  </si>
  <si>
    <t xml:space="preserve"> 800 reams Bond Paper Legal size</t>
  </si>
  <si>
    <t xml:space="preserve"> Procurement of Medical Equipment and supplies for the Use during COVID-19 Pandemic, Tagudin, Ilocos Sur Attachments: Request for Quotation, Purchase Request</t>
  </si>
  <si>
    <t xml:space="preserve"> I N V I T A T I O N   T O   B I D 2020 – 161 August 26, 2020 1.	The Provincial Government of Tarlac through the Trust Fund intends to apply the sum of Four Million Six Hundred Thirty-Seven Thousand Four Hundred Thirty-Three Pesos and 10/100 Only (Php 4,63</t>
  </si>
  <si>
    <t xml:space="preserve"> INVITATION TO BID Bid No. B-132-2020 1.	The Provincial Government of Negros Oriental, through Source of Fund: 1) 8918-133(19), 2) 8918-266(16), 3) 8918-134(19), intends to apply the sum of Two Million Nine Hundred Forty Thousand Pesos (Php 2,940,000.00) b</t>
  </si>
  <si>
    <t xml:space="preserve"> REQUEST FOR QUOTATION DENTAL SUPPLIES AND MEDICINES FOR HDSCP IMPLENTATION ABC: Php 202,480 Lidocaine, carpule dental anesthesia	50 boxes	 1,100.00  Lidocaine surface dental anesthesia	10 bottles	 2,500.00  Dental Needle ( short gauge 27 )	30 boxes	 250.0</t>
  </si>
  <si>
    <t xml:space="preserve"> For laboratory supply for their Reagent for chemical test.</t>
  </si>
  <si>
    <t xml:space="preserve"> Municipality of Manay Invitation to Bid for CONSTRUCTION OF MUNICIPAL AGRICULTURE TRAINING CENTER 1.	The Municipality of Manay, through General Fund ( 20% Development Fund ) CY 2020, intends to apply the sum of One Million Pesos  (P 1,000,000.00)  being t</t>
  </si>
  <si>
    <t xml:space="preserve"> This project entails purchase of office supplies for use at Municipal Engineer's Office, LGU-Magallanes, Sorsogon.</t>
  </si>
  <si>
    <t xml:space="preserve"> Procurement of 1 Lot 12 pcs. Lug Tire size : 10 x 15 18PR with Inner and Flaps, etc.</t>
  </si>
  <si>
    <t xml:space="preserve"> PLEASE SEE ATTACHED DOCUMENTS. LOT 1: SIX (6) UNITS OF MODEM LOT 2: INTERNET SERVICES (CONSUMABLE INTERNET)</t>
  </si>
  <si>
    <t xml:space="preserve"> INVITATION TO BID FOR  Procurement of Goods [Medicines] The   City Government of Tagbilaran,   through the Appropriation Ordinance No. 19-05 for FY 2020, intends to apply the sum of One Million Four Hundred Eighty Seven Thousand Twenty One Pesos and Ninet</t>
  </si>
  <si>
    <t xml:space="preserve"> Supply and Delivery of Information Technology (IT) Equipment for the Municipal Engineering Office</t>
  </si>
  <si>
    <t xml:space="preserve"> 1.	The Southern Leyte State University Main Campus, through the Regular Agency Fund  intends to apply the sum of Seventeen Million Eight Hundred Fifty Thousand Pesos (₱17,850.000.00)  being the total Approved Budget for the Contract (ABC) for the procurem</t>
  </si>
  <si>
    <t xml:space="preserve"> REQUEST FOR QUOTATION  2020-08-101 The Rizal Medical Center (Rizal Med) through its Bids and Awards Committee-B (BAC– B), hereby invites all interested suppliers or distributors registered with the Philippine Government Electronic Procurement System (Phil</t>
  </si>
  <si>
    <t xml:space="preserve"> CONCRETING OF FARM TO MARKET ROAD, PUROK GUINDOS, BRGY. BARUYEN - 1,297,449.55								 I	1000.00	sq.m	Clearing Works					 II	1200.00	sq.m	Sub grade Preparation					 III	120.00	cu.m	Aggregate Base Coarse					 IV	800.00	sq.m	PCCP					 V	40.00	cu.m	Backfill	</t>
  </si>
  <si>
    <t xml:space="preserve"> Purchase of various personal protective equipment for the Covid-19 response operation.</t>
  </si>
  <si>
    <t xml:space="preserve"> Please see attached Request for Quotation. ---------------------OPAG--------------------</t>
  </si>
  <si>
    <t xml:space="preserve"> Pls. quote the items listed below: 1.  Creatinine Kit (5 x 100ml.) - Diasys  - 1 box 2.  SGPT - ALT Kit (5 x 100ml.) - Diasys  - 1 box 3.  Cholesterol Kit (5 x 100ml.) - Diasys  -  1 box 4.  Triglycerides Kit (5 x 100ml.) - Diasys  - 1 box 5.  Micro Hemat</t>
  </si>
  <si>
    <t xml:space="preserve"> 1 UNIT PRINTER - . 1 - Colored Multi-Function Printer with Scanner 3 UNIT PRINTER - . 1 - A3+ Single Function Colored Printer with built-in Ink Tank System</t>
  </si>
  <si>
    <t xml:space="preserve"> Republic of the Philippines PROVINCE OF Zamboanga del Norte Municipality of Sibutad BIDS AND AWARDS COMMITTEE Date: AUGUST 26, 2020 Project Reference No. GFP100-2020-08-099 DATED: AUGUST 25, 2020 Name of the Project: PROCUREMENT OF MEAL, SNACKS, VENUE REN</t>
  </si>
  <si>
    <t xml:space="preserve"> See attached Request for Quotation (RFQ) and Terms of Reference (TOR).</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</si>
  <si>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</si>
  <si>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Please see attached Request for Quotation. ---------------------OPAG---------------------</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</si>
  <si>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</si>
  <si>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REPUBLIC OF THE PHILIPPINES Region XII  Province of Cotabato Municipality of Midsayap  LOCAL GOVERNMENT OF MIDSAYAP BIDS &amp; AWARDS COMMITTEE  _____________________________________________________________________________________   REQUEST FOR QUOTATION   RF</t>
  </si>
  <si>
    <t xml:space="preserve"> PURPOSE: FOR CLDU USE Fax your Price Quotation at Tel. Fax#: 426-30-45 / 927-64-26 local 2561 or Email at bacveterans@gmail.com. Please indicate the brand name and complete specifications.</t>
  </si>
  <si>
    <t xml:space="preserve"> REQUEST FOR QUOTATION											 											 RFQ No.		SVP 20-0732				Date				June 23, 2020	 PR Reference		100-20-05-054				Implementing Office				CEO	 Closing Date and Time					June 30, 2020		,5PM				 Designated Places of Submission (Bid Box Designated Lo</t>
  </si>
  <si>
    <t xml:space="preserve"> 20-08-259 Procurement of Construction Materials</t>
  </si>
  <si>
    <t xml:space="preserve"> Request for Quotation: RFQ-# 2008-793  Supply and delivery of :     1. 1  unit Submersible pumpset, stainless steel impeller bowl and shaft, 9 stages            coupled wiht 1.5 Hp, 230v, single phase  2.  25 mtrs. Submersible Cable AWG # 14-3/C</t>
  </si>
  <si>
    <t xml:space="preserve"> Supply and Delivery of Information Technology (IT) Equipment for the Municipal Planning and Development Office</t>
  </si>
  <si>
    <t xml:space="preserve"> Please quote your best price 3 pcs of Ink for Samsung Laserjet (111s) ABC 7,500.00 3 pcs of ink for Brother Laserjet (TN-3448) ABC 13,500.00 5 pcs of ink for HP deskjet (680) (black) ABC 2,500.00 5 pcs of ink for HP deskjet (680) (multi-color) ABC 2,500.0</t>
  </si>
  <si>
    <t xml:space="preserve"> Purchase of 331 sacks of rice.</t>
  </si>
  <si>
    <t xml:space="preserve"> 2 UNIT DESKTOP COMPUTER - .  - PC22 1TB-8GB, Intel Core i5-7400 Coffee Lake 6-Core 2.90 GHz LGA 1151 (300 series) 65W. CPU Package Computer Set with Monitor, Keyboard, Mouse &amp; Mousepad (1 set)</t>
  </si>
  <si>
    <t xml:space="preserve"> August 25, 2020 REQUEST FOR QUOTATION (RFQ) CD4 CARTRIDGE 1.	The Batangas Medical Center hereinafter referred to as the “Purchaser” now request for submission of price proposal for the procurement of the aforesaid item described in the Technical Specifica</t>
  </si>
  <si>
    <t xml:space="preserve"> RFQ-2020-265		 			 1.	40	pcs	Military Stretcher 			 	Deadline for Submission of Bids: August 28, 2020, 11:00 AM		 			PAYMENT TERM: 90 DAYS</t>
  </si>
  <si>
    <t xml:space="preserve"> Republic of the Philippines Municipality of Taytay Barangay Liminangcong NOTICE TO BIDDERS 1.	REPAIR OF BARANGAY HALL Item#	Description			QTY.		UNIT	 1.	Tilespan 0.40mmx1.00mxLs 	652		Lm 2.	Ridge Cap 0.40mmx18”x4ft	20		pcs 3.	Flashing 0.40mmx24”x8ft		13		</t>
  </si>
  <si>
    <t xml:space="preserve"> PROCUREMENT OF COIN BANK AND PRINTING MATERIALS FOR MATERNAL HEALTH PROGRAM... CHARGE TO MOOE OF MHO FUND 2020</t>
  </si>
  <si>
    <t xml:space="preserve"> INVITATION TO BID SUPPLY AND DELIVERY OF OFFICE SUPPLIES AND MATERIALS FOR VARIOUS LAW ENFORCEMENT AGENCIES 1.	The Local Government Unit of Cabadbaran City through the GENERAL FUND intends to apply the sum of ONE HUNDRED FORTY-FIVE THOUSAND THREE HUDNRED </t>
  </si>
  <si>
    <t xml:space="preserve"> - THE PROCURING ENTITY IS BARANGAY MUNOZ, SIAYAN, ZAMBO. DEL NORTE - BAC LGU SIAYAN HAS NO LIABILITY ON THE FOREGOING PROCESS OF PROCUREMENT</t>
  </si>
  <si>
    <t xml:space="preserve"> ITEM	QTY.	UNIT		ARTICLE AND DESCRIPTION				CEILING 					UNIT PRICE		TOTAL  								PRICE							 															 				Office: Office of the Mayor				PR No. 311							 				Charge to: Capital Outlay - Machineries and Equipment				OBR No. 100-2001-00481							</t>
  </si>
  <si>
    <t xml:space="preserve"> PURPOSE: Purchase Request for the use of Nursing Unit / Centralization (for COVID-19) ************* Fax your Price Quotation at Tel. Fax#: 426-30-45 / 927-64-26 loc 2561 or Email at bacveterans@gmail.com. Please indicate the brand name, complete specifica</t>
  </si>
  <si>
    <t xml:space="preserve"> Republic of the Philippines DR. EMILIO B. ESPINOSA, SR. MEMORIAL STATE COLLEGE  OF AGRICULTURE AND TECHNOLOGY (Masbate State College) BIDS AND AWARDS COMMITTEE http:www.debesmscat.edu.ph Cabitan, Mandaon, Masbate Invitation to Bid for the  Refurbishment/U</t>
  </si>
  <si>
    <t xml:space="preserve"> 1. All Entries must be typewritten					 2. Delivery period within 15 calendar days.					 3. Warranty shall be for a period of six (6) months for supplies &amp; materials, one (1) year for equipment					 4. Price validity shall be for a period of 30 calendar d</t>
  </si>
  <si>
    <t xml:space="preserve"> Standard Form Number: SFGOOD60 Revised on: May 24, 2004 Standard Form Title: Request for Quotation Date: August 24, 2020  Quotation No. 20-07-0418A PR No. 20-07-889 __________________________ Company Name _________________________________ Address         </t>
  </si>
  <si>
    <t xml:space="preserve"> REQUEST FOR QUOTATION The City Government of Malolos, through its BIDS and AWARDS COMMITTEE (BAC) Invites Suppliers/Manufacturers/Distributors to Bid for hereunder procurement:  PR No. : GSO-2020-07-970 Name of Project : SUPPLY OF LABOR AND MATERIALS FOR </t>
  </si>
  <si>
    <t xml:space="preserve"> Republic of the Philippines PROVINCE OF ZAMBOANGA SIBUGAY Municipality of Buug BIDS AND AWARDS COMMITTEE Invitation to Bid for the Procurement of Tires and Spareparts 							           		 1.	The Local Government Unit of Buug, ZamboangaSibugay, through the</t>
  </si>
  <si>
    <t xml:space="preserve"> Please see attached RFQ and Drawing</t>
  </si>
  <si>
    <t xml:space="preserve"> Republic of the Philippines Province of Ilocos Norte MUNICIPALITY OF CURRIMAO INVITATION TO BID FOR  PURCHASE OF OFFICE SUPPLIES 1.	The Municipality of Currimao  intends to apply the sum of [Four Hundred Sixteen Thousand Four Hundred Forty Five Pesos (P41</t>
  </si>
  <si>
    <t xml:space="preserve"> 2 UNITS OF AIRCONDITION WINDOW TYPE 1.5HP (INVERTER) W/ COMPLETE ACCESSORIES (INCLUDING INSTALLATION)</t>
  </si>
  <si>
    <t xml:space="preserve"> Item No. 	Item Description					QTY.	Unit	Unit Price	Total Price 1	Digital Duplicator (RISO)					8	units		 	Specifications:								 	(B4 size; 100cpm)								 	High Speed digital master making								 	Postcard - A3+ (90x140mm - 310x435mm)								 	50gsm -</t>
  </si>
  <si>
    <t xml:space="preserve"> The Local  Government   Unit  of General  Santos  City, through  the  GENERAL FUND CY 2020  intends  to apply  the sum of one hundred fourteen thousand and xx / 100 Pesos Only (114,000.00)   being  the Approved  Budget  for the Contract   (ABC) to payment</t>
  </si>
  <si>
    <t xml:space="preserve"> - FOR FABRICATION OF 8 UNITS SINAGES - MDRRMO</t>
  </si>
  <si>
    <t xml:space="preserve"> 8 -UNITS: 5 INCHES TROLLEY SPEAKER WITH BUILT IN MICROPHONE SPECS: FREQUENCY RESPONSE: 98DB @1W/1M FREQUENCY RANGE: 45HZ - 20HZ IMPEDANCE: 8 OHMS POWER HANDLING: 450 WATTS DIMENSION: 17" X 16" X 27.5" WEIGHT: 16.52 KG. INPUT &amp; OUTPUT: PM3 PLAYER (USB &amp; SC</t>
  </si>
  <si>
    <t xml:space="preserve"> 25 Heads Island Born Purebred Boer Does</t>
  </si>
  <si>
    <t xml:space="preserve"> Republic of the Philippines Province of Nueva Vizcaya BIDS AND AWARDS COMMITTTEE (GOODS) BAC OFFICE, Provincial Capitol, Bayombong, Nueva Vizcaya 	 		 2nd REQUEST FOR QUOTATION (RFQ) For the Procurement of Animal Feeds and Veterinary Supplies For the Prov</t>
  </si>
  <si>
    <t xml:space="preserve"> Department of Agriculture      BUREAU OF PLANT INDUSTRY   Baguio National Crop Research, Development and Production Support Center Division                                        BPI-Compound , Guisad, Baguio City Tel. No. (074)445-9084-85                </t>
  </si>
  <si>
    <t xml:space="preserve"> To capacitate the reproduction of modules weekly with a 1:1 ratio and other related printing activities needed by the students and teachers for achievement of the learning goals, the school deemed it right to procure school supplies.  Doing it will ensure</t>
  </si>
  <si>
    <t xml:space="preserve"> Purchase of the following for loyalty award of LGU employees, to wit: 1 pc 14k gold ring 2 pc 18k gold ring 1 pc 18k gold ring 8 pcs pin (bronze)</t>
  </si>
  <si>
    <t xml:space="preserve"> see pr</t>
  </si>
  <si>
    <t xml:space="preserve"> Purchase of 200 Anti-Body Testing Kit (Lateral Flow Method).</t>
  </si>
  <si>
    <t xml:space="preserve"> Different Offices</t>
  </si>
  <si>
    <t xml:space="preserve"> DAY 1	 AM SNACK- 30 PAX LUNCH- 30 PAX PM SNACK- 30 PAX DINNER- 30 PAX ACCOMMODATION- 30 PAX DAY 2-3 5 MEALS- 30 PAX ACCOMMODATION- 30 PAX DAY 4 BREAKFAST- 30 PAX AM SNACK- 60 PAX LUNCH- 60 PAX PM SNACK- 30 PAX DINNER- 30 PAX ACCOMMODATION	 DAY 5	 5 MEALS-</t>
  </si>
  <si>
    <t xml:space="preserve"> INVITATION TO BID Bid No. B-131-2020  1.	The Provincial Government of Negros Oriental, through Responsibility Center: 8918-013(20), intends to apply the sum of Three Million Four Hundred Thirty Thousand Pesos (Php 3,430,000.00) being the Approved Budget f</t>
  </si>
  <si>
    <t xml:space="preserve"> An income generating, Barangay Sponsored and Supevised Livelihood Program for Female surrenderers A livelihood program and skill enhancement training for the identified unemployed and underemployed</t>
  </si>
  <si>
    <t xml:space="preserve"> 1.	1666 bottles – 0.9% Sodium Chloride, 1L, 12’s</t>
  </si>
  <si>
    <t xml:space="preserve"> REQUEST FOR SUPPLY AND DELIVERY OF 16L SEMI AUTOMATIC KNAPSACK STAINLESS											 STEEL SPRAYER TO BE USED BY CARBFA AND VSCFMPC BENEFECIARIES FOR THEIR											 RICE PRODUCTION UNDER CONVERGENCE ON LIVELIHOOD ASSISTANCE											 FOR ARBs PROJECT (C</t>
  </si>
  <si>
    <t xml:space="preserve"> I N V I T A T I O N   T O   B I D 2020 – 162 August 26, 2020 1.	The Provincial Government of Tarlac through the Trust Fund intends to apply the sum of One Million Nine Hundred Eighty-Three Thousand Seven Hundred Forty-Five Pesos and 50/100 Only (Php 1,983</t>
  </si>
  <si>
    <t xml:space="preserve"> INVITATION TO BID FOR THE SUPPLY AND DELIVERY OF SEVEN THOUSAND ONE HUNDRED FORTY-THREE (7,143) SACHETS PLANT GROWTH ENHANCER  (FOLIAR FERTILIZER) 1.	The Department of Agriculture Regional Field Office 1 (DA RFO-1), through the GAA FY 2020 intends to appl</t>
  </si>
  <si>
    <t xml:space="preserve"> PURPOSE: FOR USE IN PATHWALK RESTORATION NEAR CHAPEL, OPD AND COBALT Fax your Price Quotation at Tel. Fax#: 426-30-45 / 927-64-26 local 2561 or Email at bacveterans@gmail.com. Please indicate the brand name and complete specifications.</t>
  </si>
  <si>
    <t xml:space="preserve"> 1,000 packs Meals  (CSC Month Opening)</t>
  </si>
  <si>
    <t xml:space="preserve"> Please see attached Request for Quotation. ------------------BPENRO--------------------</t>
  </si>
  <si>
    <t xml:space="preserve"> Republic of the Philippines Municipality of Bacacay Province of Albay INVITATION TO BID FOR THE SUPPLY AND DELIVERY OF IT EQUIPMENTS 1. The Municipality of Bacacay, through the General Fund, intends to apply the sum of Two Hundred Ten Thousand Pesos (Php2</t>
  </si>
  <si>
    <t xml:space="preserve"> PURPOSE: FOR USE IN WATERPROOFING AT RSERVOIR Fax your Price Quotation at Tel. Fax#: 426-30-45 / 927-64-26 local 2561 or Email at bacveterans@gmail.com. Please indicate the brand name and complete specifications.</t>
  </si>
  <si>
    <t xml:space="preserve"> 1	Webcam	2 Pcs. 	Full HD 1080p video calling, 78⁰ field of view, Righlight™ 2 Technology for clarity in various lighting environments, Autofocus, Integrated privacy shade, 2 omni-directional mics, Hi-speed USB 2.0 (USB 3.0 ready), Tri-pod ready universal </t>
  </si>
  <si>
    <t xml:space="preserve"> Request for quotation for the procurement of livestock (piglets) for Livelihood Assistance to Animal Raisers (Dispersal Program).</t>
  </si>
  <si>
    <t xml:space="preserve"> Please see attached Request for Quotation (RFQ) and Purchase Request (PR).</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</si>
  <si>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</si>
  <si>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REPUBLIC OF THE PHILIPPINES Guimba Water District Danzalan St. Cor. Faigal St., Sta. Veronica Guimba, Nueva Ecija Request for Quotation for Supply and Delivery of HDPE Pipes  ABC: One Hundred Thirty Thousand Pesos and 00/100 (Php130,000.00) ITEM NO.	QUANT</t>
  </si>
  <si>
    <t xml:space="preserve"> 1.The Municipal Government of El Nido, through the 20 % BDAF Bebeladan intends to apply the sum of Three Hundred Thousand Pesos (₱ 300,000.00) being the Approved Budget for the Contract (ABC) to payments for the Procurement  For Fuel, Oil and Lubricant fo</t>
  </si>
  <si>
    <t xml:space="preserve"> Republic of the Philippines Municipality of Taytay Barangay Liminangcong NOTICE TO BIDDERS 1.	Purchase of PVC ID Printer  Item#	Description			QTY.		UNIT	 1.	PVC ID Card Printer w/  Complete Accessories 		1		Set The two envelope system of procurement shall</t>
  </si>
  <si>
    <t xml:space="preserve"> For the use of Nursing Unit / Centralization (for COVID-19 WARDS) ********************** Fax your Price Quotation at Tel. Fax#: 426-30-45 / 927-64-26 loc 2561 or Email at bacveterans@gmail.com. Please indicate the brand name, complete specifications and a</t>
  </si>
  <si>
    <t xml:space="preserve"> 2 snacks and 1 lunch = 25 pax</t>
  </si>
  <si>
    <t xml:space="preserve"> 1	1	unit	Commercial Grade Vacuum Sealer                                             Power: 1.5kW/Voltage 220v/60Hz/                                            Stand Type                                                                                      </t>
  </si>
  <si>
    <t xml:space="preserve"> Invitation to Bid for SUPPLY AND DELIVERY OF MATERIALS FOR REPAIR OF FLOATING KIOSK The Municipal Government of Looc, Romblon, through the TRUST FUND intends to apply the sum of Three Hundred Seventy-Three Thousand Six Hundred Ten Pesos Only (P 373,610.00</t>
  </si>
  <si>
    <t xml:space="preserve"> Republic of the Philippines Department of Justice BUREAU OF CORRECTIONS SABLAYAN PRISON AND PENAL FARM Malisbong, Sablayan, Occidental Mindoro 5104 INVITATION TO BID  For The Supply &amp; Delivery of Various Supplies and Equipment for Sports and Recreation of</t>
  </si>
  <si>
    <t xml:space="preserve"> PURPOSE: Purchase Request for the use of Nursing Unit / Centralization  ********************* Fax your Price Quotation at Tel. Fax#: 426-30-45 / 927-64-26 loc 2561 or Email at bacveterans@gmail.com. Please indicate the brand name, complete specifications </t>
  </si>
  <si>
    <t xml:space="preserve"> Republic of the Philippines Province of Pangasinan Municipality of Natividad INVITATION TO BID FOR TITLE: Construction of Solid Waste Management and Greening Program Projects in Various Barangays Location: Brgy. Batchelor East, Rizal, San Macario Norte an</t>
  </si>
  <si>
    <t xml:space="preserve"> Procurement of 1 Lot 1 Assy. Hydraulic Hose with Fittings 0.50 x 159" R-12 (motor Grader G930)</t>
  </si>
  <si>
    <t xml:space="preserve"> An on-wheel library that will bring educational materials to the streets that will be use for the improvement learning of KK members</t>
  </si>
  <si>
    <t xml:space="preserve"> PORTLAND CEMENT 236 BAGS 474-PCS 10MM RSB 1,753.80 KGS #16 TIE WIRE 29 KGS 1/2" THK ORD. PLYWOOD 50 PCS ASSTD CWNAILS 36 KGS FORM OIL 8 GAL 500MM X 500MM STEEL GRATING 10 SET</t>
  </si>
  <si>
    <t xml:space="preserve"> VARIOUS SPAREPARTS FOR THE REPAIR AND MAINTENANCE OF TRUCKS AND SERVICE MOTORCYCLE</t>
  </si>
  <si>
    <t xml:space="preserve"> DRM - CARBON FIBER CLOTH 1X1 METER DRM - HARDENER DRM - PIGMENT TONER, BROWN DRM - PIGMENT TONER, IVORY DRM - PLASTER OF PARIS POWDER, 25-KG DRM - RESIN, SEMI-FLEX R10-103 DRM - ALUMINUM, RIVET, 5/32 X 1 DRM - COBALT PROMOTER ACCELERATOR DRM - LEATHER, EL</t>
  </si>
  <si>
    <t xml:space="preserve"> 1 UNIT DESKTOP COMPUTER - .  - PC22 1TB-8GB, Intel Core i5-7400 Coffee Lake 6-Core 2.90 GHz LGA 1151 (300 series) 65W. CPU Package Computer Set with Monitor, Keyboard, Mouse &amp; Mousepad (1 set)</t>
  </si>
  <si>
    <t xml:space="preserve"> 1	unit	Cheest freezer								 			14cu. Ft. dual function steel top door								 	1	unit	Flux Arc Welding machine								 	1	unit	Edging/Serging Sewing Machine 								 	1	unit	Steam machine (Facial Spa)								 	1	unit	Coffee maker								 			single or do</t>
  </si>
  <si>
    <t xml:space="preserve"> Purchase of complete set recorder with accessories for the used of Sangguniang Bayan Office.</t>
  </si>
  <si>
    <t xml:space="preserve"> To be used for Peace and Order of this barangay.</t>
  </si>
  <si>
    <t xml:space="preserve"> Procurement of 190 Bags Cement &amp; 80 LI</t>
  </si>
  <si>
    <t xml:space="preserve"> - THE PROCURING ENTITY IS BARANGAY POLAYO, SIAYAN, ZAMBO. DEL NORTE - BAC LGU SIAYAN HAS NO LIABILITY ON THE FOREGOING PROCESS OF PROCUREMENT</t>
  </si>
  <si>
    <t xml:space="preserve"> 2nd posting 1 unit - Uninterruptible Power Supply (UPS) Specifications:  - 3000 VA  -3-4 slots 200-220V output  - 1hr battery life</t>
  </si>
  <si>
    <t xml:space="preserve"> PURPOSE: Purchase Request for the use of Nursing Unit / Centralization  *************************** Fax your Price Quotation at Tel. Fax#: 426-30-45 / 927-64-26 loc 2561 or Email at bacveterans@gmail.com. Please indicate the brand name, complete specifica</t>
  </si>
  <si>
    <t xml:space="preserve"> PR-000009111  	  1  lot                          Leasehold Improvement			 	                                  Supply &amp; Installation of Feeder Line for                                            I.T. Server Room EHA Bldg. NOTE: SEE ATTACHED SUPPORTING DOCUM</t>
  </si>
  <si>
    <t xml:space="preserve"> Republic of the Philippines DEPARTMENT OF PUBLIC WORKS AND HIGHWAYS ILOILO 4TH  DISTRICT ENGINEERING OFFICE REGIONAL OFFICE VI Bolong Este, Sta. Barbara, Iloilo INVITATION   TO   BID   FOR   THE   SUPPLY/DELIVERY OF OIL FOR USE OF HEAVY EQUIPMENT HINO 300</t>
  </si>
  <si>
    <t xml:space="preserve"> Republic of the Philippines Province of Palawan Municipality of Dumaran BIDS AND AWARDS COMMITTEE dum_bacsecretariat@yahoo.com REQUEST FOR QUOTATION (SUPPLY AND DELIVERY OF MATERIALS FOR THE CONST. OF CONCRETE DRAINAGE CANAL AT BGY. BOHOL, DUMARAN, PALAWA</t>
  </si>
  <si>
    <t xml:space="preserve"> 1. 8 CU. M WASHED SAND 2. 80 BAGS CEMENT  3. 1 KG CEMENT GROUT 4. 240 BD. FT 2 X 3 X 12 MAT WOOD 5. KG 4'' COMMON NAIL 6. 54 PCS 60 X 30 TILES  7. 12 PCS 60 X 60 TILES 8. 5 PCS ALUMINUM TILE TRIM 9. 4 GALS LATEX GLOSS WHITE 10. 2 CAN ACRI COLOR 11. 1 GAL </t>
  </si>
  <si>
    <t xml:space="preserve"> 1. The Local Government Unit of Magsaysay, Occidental Mindoro through the Annual Budget approved by Sanggunian intends to apply the sum of Sixty Three Thousand Pesos (P63,000.00) being the Approved Budget for the Contract (ABC) to payment under the contra</t>
  </si>
  <si>
    <t xml:space="preserve"> I    TILE WORKS II   PAINTING III  DOORS AND WINDOWS AND STAIR IV   PROJECT BILLBOARD</t>
  </si>
  <si>
    <t xml:space="preserve"> 2 pieces 3”Ø Gate Valve, Flanged type with companion flanges and BNG Design Code: Hydraulic test to BS 5163 (DIN3230 / DIN3352) or JIS B2043, DIN 3352, AWWA C509, BS5163 Maximum Pressure: PN16 or 16 bar Temperature Range: -20 to 160 degree centigrade Face</t>
  </si>
  <si>
    <t xml:space="preserve"> 1.	The Municipal Government of Talisayan, through the SEF 2020 intends to apply the sum of P163,393.00 being the Approved Budget for the Contract (ABC) to payments under the PURCHASE OF MATERIALS FOR REHABILIATION OF TALISAYAN CENTRAL SCHOOL BUILDING, Tal</t>
  </si>
  <si>
    <t xml:space="preserve"> Municipality of Manay Invitation to Bid for REHABILITATION OF CONCRETE GUTTER  ALONG POBLACION 1.	The Municipality of Manay , through General Fund ( 20% Development Fund ) CY 2020, intends to apply the sum of Five Hundred Thousand Pesos  (P 500,000.00)  b</t>
  </si>
  <si>
    <t xml:space="preserve"> I. LABOR</t>
  </si>
  <si>
    <t xml:space="preserve"> The Local  Government   Unit  of General  Santos  City, through  the  GENERAL FUND CY 2020  intends  to apply  the sum of twenty nine thousand three hundred sixty three and 68 / 100 Pesos Only (29,363.68)   being  the Approved  Budget  for the Contract   </t>
  </si>
  <si>
    <t xml:space="preserve"> UNIT                             QUANTITY                         DESCRIPTION REAM                               314                             A4 BONDPAPER SUBSTANCE 20 PCS                                 500                              BALLPEN OG5 PCS</t>
  </si>
  <si>
    <t xml:space="preserve"> Const.of Intake box Installation of pipes</t>
  </si>
  <si>
    <t xml:space="preserve"> Installation of Dedicated Internet Access via Fiber Optic Connection	1 Lot 	Specifications:	 	Bandwidth: 50 MBPS	 	CIR: CIR of 30 Mbps	 	Facility: via Fiber Optic Cable	 	No. of Public IP Address :  /29	 	Service Level Agreement (availability) :  99.9%	 	</t>
  </si>
  <si>
    <t xml:space="preserve"> Purchase of Materials for Construction of Lavatories of Daycare Centers in San Andres, Romblon 	The Municipal Government of San Andres, Romblon through 1% LCPC Fund (2020)  intends to apply the sum of One Hundred Twenty Thousand Two Hundred Sixteen  Pesos</t>
  </si>
  <si>
    <t xml:space="preserve"> Purchase of Printer (Monochrome) and Ink (Black, T774)</t>
  </si>
  <si>
    <t xml:space="preserve"> Item No.	Qty.	Unit	    Item Description	 				 				 1	        2	UNIT	    5 HP SUBM. Motor 230 Volts,	 			            Single Phase, 3450 RPM, 60 hz	 			            with complete lead motor wire	 2	        1	UNIT	    5 HP SUBM. PUMP 	 			            HEAD RAN</t>
  </si>
  <si>
    <t xml:space="preserve"> 1. The Local Government Unit of Magsaysay, Occidental Mindoro through the Annual Budget approved by Sanggunian intends to apply the sum of One-hundred Seven Thousand Three-hundred Pesos (P107,300.00) being the Approved Budget for the Contract (ABC) to pay</t>
  </si>
  <si>
    <t xml:space="preserve"> ITEM	QTY.	UNIT		ARTICLE AND DESCRIPTION				CEILING 					UNIT PRICE		TOTAL  								PRICE							 				Office: Manila Barangay Bureau				PR No. 316							 				Charge to: Capital Outlay Office Equipment				OBR No. 100-2001-00480							 				ABC:  Php494,963.00</t>
  </si>
  <si>
    <t xml:space="preserve"> Republic of the Philippines Province of Leyte Municipality of Hilongos INVITATION TO BID FOR THE PROCUREMENT OF BANANA PLANTLETS FOR EARLY CHILDHOOD CARE AND DEVELOPMENT (ECCD) FOR THE FIRST 1000 DAYS PROGRAM (F1K) OF NATIONAL NUTRITION COUNCIL 1.  The Lo</t>
  </si>
  <si>
    <t xml:space="preserve"> For Environmental Sanitation control and disease prevention.</t>
  </si>
  <si>
    <t xml:space="preserve"> Request for quotation for the procurement of fuel and oil for the Rehabilitation of Local Roads (Counterpart to Provincial Projects) at Brgy. Manggitahan, Dilasag, Aurora.</t>
  </si>
  <si>
    <t xml:space="preserve"> Supply and Delivery of Provisioning, Maintenance, Support, Implementation of a Learning Management System (LMS) Environment and Delivery Related Services</t>
  </si>
  <si>
    <t xml:space="preserve"> Video Laryngoscope</t>
  </si>
  <si>
    <t xml:space="preserve"> REQUEST FOR QUOTATION (Small Value Procurement) (2nd Posting) Company Name		:	______________________	Date: _______________________ Address			:	______________________	Quotation No. CWD 43-2020                                                               _</t>
  </si>
  <si>
    <t xml:space="preserve"> Reinforce concrete pipe (RCP) along natural water way 36"</t>
  </si>
  <si>
    <t xml:space="preserve"> INVITATION TO BID FOR  Procurement of Goods [Gasifier Pyrolysis/Advance Waste Solution] The   City Government of Tagbilaran,   through the Appropriation Ordinance No. 19-05 for FY 2020, intends to apply the sum of Twenty Million Pesos only (Php20,000,000.</t>
  </si>
  <si>
    <t xml:space="preserve"> 2,000 liters Diesel Fuel</t>
  </si>
  <si>
    <t xml:space="preserve"> 110	Serving	Snacks AM Day 1 		Burger and bottled tea 230ml 		 110	Serving	Meals Lunch Day 1 		Rice, Fried Chicken, Chopsuey, and Lumpia, softdrinks 200ml 		 110	Serving	Snacks PM Day 1 		Siopao &amp; bottled tea 230ml 		 110	Serving	Snacks AM Day 2 		Cassava </t>
  </si>
  <si>
    <t xml:space="preserve"> Procurement of 1 Lot Office Supplies</t>
  </si>
  <si>
    <t xml:space="preserve"> 70 pieces Thermometer Gun</t>
  </si>
  <si>
    <t xml:space="preserve"> 2 units of Aircondition Spli type, Installation and Delivery 						  Specs: Capacity: 2.5HP 								  Power Input (W):2,200 								  Rated Current (A): 9.8 								  Dimension: (mm): 1,010x220x315 								  Applicable Area(m2): 33-43</t>
  </si>
  <si>
    <t xml:space="preserve"> Republic of the Philippines  Province of Bukidnon  MUNICIPALITY OF KALILANGAN    Bids and Award Committee (BAC)  INVITATION TO BID FOR  Goods 2020-08-025 The Local Government Unit – Kalilangan, Bukidnon through the BIDS AND AWARDS COMMITTEE (BAC) now invi</t>
  </si>
  <si>
    <t xml:space="preserve"> REQUEST FOR QUOTATION The City Government of Malolos, through its BIDS and AWARDS COMMITTEE (BAC) Invites Suppliers/Manufacturers/Distributors to Bid for hereunder procurement:  PR No. : GSO-2020-07-968 Name of Project : SUPPLY OF LABOR AND MATERIALS FOR </t>
  </si>
  <si>
    <t xml:space="preserve"> Personal Protective Gear ---------------30 pairs		 Specification:							    Water resistance, light weight, stretchable, breathable, sun protection and 							         comfortable in a wide range style							 OTHER REQUIREMENTS: 1. Mayor's Permit 2. Tax C</t>
  </si>
  <si>
    <t xml:space="preserve"> construction and improvement/repair/rehabilitation of FMR/Access Road, footbridge, concrete canal and Potable Water Supply SUB-PROJECTS: 1. IMPROVEMENT OF PANGA-DEGWAY FMR(Php826,991.40) - Lubo, Kibungan 2. REPAIR OF DAMPEG FOOTBRIDGE(Php165,000.00) - Pob</t>
  </si>
  <si>
    <t xml:space="preserve"> 1 UNIT CPU     INTEL i3 8100     RAM 86B     ITB HDD</t>
  </si>
  <si>
    <t xml:space="preserve"> PGM-BAC reserves the right to reject any or all quotations to waive formality therein and to accept offers as may be considered advantageous to the government. The BAC Chairperson Boac, Marinduque</t>
  </si>
  <si>
    <t xml:space="preserve"> PROJECT:  IMPROVEMENT OF COVERED COURT LOCATION: BARANGAY PARULUNG, CONCEPCION, TARLAC APPROVED BUDGET FOR THE CONTRACT: PHP 325,880.00 SOURCE OF FUND: 10% SK FUND The contract to be performed by the successful bidder shall be specified in the Technical Q</t>
  </si>
  <si>
    <t xml:space="preserve"> EQUIPMENT RENTAL OF ROAD REPAIR &amp; MAINTENANCE UNDER THE FOLLOWING AREAS: - NRJ (VERUELA) KATIPUNAN-ANITAP-SISIMON CIRCUMFERENTIAL ROAD - NRJ ( VERUELA) BACAY II-JOHNSON-STA TERESA ROAD</t>
  </si>
  <si>
    <t xml:space="preserve"> TECHNOLOGICAL UNIVERSITY OF THE PHILIPPINES  VISAYAS				 Capt. Sabi St., City of Talisay, Negros Occidental				 				       PROCUREMENT OFFICE				 				 REQUEST FOR QUOTATION				 				 			August 5, 2020	 __________________________________  				              </t>
  </si>
  <si>
    <t xml:space="preserve"> TPB SHUTTLE SERVICE Route #1 – Two (2) vans (Cavite – Manila – Cavite) Route #2 – Two (3) vans (within Metro Manila) Route #3 - One (1) van (Bulacan – Manila – Bulacan) •	The shuttle service shall cover a period of 15 working days. •	Dropped off in TPB Of</t>
  </si>
  <si>
    <t xml:space="preserve"> INVITATION TO BID SUPPLY AND DELIVERY OF VARIOUS DRUGS AND MEDICINE SUPPLIES (BATCH 2)  FOR GOV. CELESTINO GALLARES MEMORIAL HOSPITAL  1.	The Gov. Celestino Gallares Memorial Hospital, through Hospital Income intends to apply the sum of TWENTY MILLION THR</t>
  </si>
  <si>
    <t xml:space="preserve"> Professional Fee for Designer (2 Designs or Labels with Brand/Logo - 25 MSMEs) re: Assessment, Consultation and Triage (ACT) OTOP Next Gen (ONG) Program of DTI-ZDS in Pagadian City 2 Designs or Labels with Brand/Logo 25 MSMEs @ PhP 4,500.00/Unit Cost = Ph</t>
  </si>
  <si>
    <t xml:space="preserve"> PURPOSE: Purchase Request for the use of Nursing Unit / Centralization (for COVID-19) ******************* Fax your Price Quotation at Tel. Fax#: 426-30-45 / 927-64-26 loc 2561 or Email at bacveterans@gmail.com. Please indicate the brand name, complete spe</t>
  </si>
  <si>
    <t xml:space="preserve"> 10,000 copies                       Pages:12 Pages (1 month/page)                      Size: 18 inches x 24 inches                      Paper stock: Book paper #40                      Colors: Full color all pages                      Process: 4-color pri</t>
  </si>
  <si>
    <t xml:space="preserve"> ITB # 2020-55 INVITATION TO BID FOR THE FURNISHING &amp; DELIVERY OF TWO (2) UNITS LAPTOP  1.	The Municipality of Camalaniugan through the GENERAL FUND (MTO) intends to apply the sum of SIXTY THOUSAND PESOS &amp; 00/100 ONLY   (P60,000.00)  being the approved Bud</t>
  </si>
  <si>
    <t xml:space="preserve"> Request for Quotaton:  RFQ# 2008-775 Supply and delivery of:  1. 40 pcs. Folding Beds  2.  6 pcs. Thermal Scanner</t>
  </si>
  <si>
    <t xml:space="preserve"> The Local  Government   Unit  of General  Santos  City, through  the  GENERAL FUND CY 2020  intends  to apply  the sum of seven hundred ninety four thousand four hundred forty and xx / 100 Pesos Only (794,440.00)   being  the Approved  Budget  for the Con</t>
  </si>
  <si>
    <t xml:space="preserve"> UNIVERSITY OF THE PHILIPPINES MANILA The Health Sciences Center 4th Floor UP Manila Dormitory, Procurement Office INVITATION TO BID PROPOSED INTERIOR FIT-OUT OF GROUND FLOOR,  UP MANILA STUDENT DORMITORY UNIVERSITY OF THE PHILIPPINES MANILA 1.	The Univers</t>
  </si>
  <si>
    <t xml:space="preserve"> Supply and Delivery of Laboratory Chairs - adjustable may adjust mechanically or pneumatically, can rotate 360degrees and have ergo features  - frame construction maybe cast aluminum, nylon-reinforced fiberglass or plain or powder-coated steel  - seating </t>
  </si>
  <si>
    <t xml:space="preserve"> PROCUREMENT OF EDUCATIONAL SUPPLIES FOR THE USE OF BCT ELEMENTARY SCHOOL</t>
  </si>
  <si>
    <t xml:space="preserve"> 488 BOX POLYSTERENE FOANM -MINO BOX COLLER SIZE: 9 1/4 " X 7 1/8" X 12 3/8"   342 BOX POLYSTERENE FOAM SIZE:  14 5/8 X 7 1/8 X 9 1/2" (372X232X245MMM) 104 POLYSTERENE FOAM SIZE: 22 3/8" X 157/8" X 10" (580X403X253) 84 BOX POLYSTERENE FOAM SIZE 22 3/8" X 1</t>
  </si>
  <si>
    <t xml:space="preserve"> 2nd posting 1 lot - Calibration of Manual Ambient Air Quality Monitoring Equipment Inclusions:    - 2 units high-vol 24hr TSP Sampler  - 3 units high-vol 24hr PM10 sampler  - cleaning of inlets  - pump check  - other maintenance needed for the operation o</t>
  </si>
  <si>
    <t xml:space="preserve"> Photocopy Machines - 2 Product Specifications: •	Double-Sided Printing •	Max Print Resolution Color         (1,200 x 1,200 dpi) •	Printer Function Type – Printer Consumables, Multi-function, Scanner, Photo Printer, Mono Laser Printer, Color           Lase</t>
  </si>
  <si>
    <t xml:space="preserve"> Republic of the Philippines  Province of Bukidnon  MUNICIPALITY OF KALILANGAN    Bids and Award Committee (BAC)  INVITATION TO BID FOR  Goods 2020-08-026 The Local Government Unit – Kalilangan, Bukidnon through the BIDS AND AWARDS COMMITTEE (BAC) now invi</t>
  </si>
  <si>
    <t xml:space="preserve"> Construction of Fence and back filling of 236 sq. m. lot at Brgy. Flores, San Manuel, Pangasinan</t>
  </si>
  <si>
    <t xml:space="preserve"> (PLEASE SEE ATTACHED ASSOCIATED COMPONENTS) please send Request for Quotation - msbslh14@gmail.com Contact Person:	MHELET BEÑALES (711-69-73) Quotation must be submitted with company’s letter head. Stating Specification, unit cost and total amount offer. </t>
  </si>
  <si>
    <t xml:space="preserve"> Supply, Delivery and Installation of 5-Color Printer of SDSSU Tandag Campus</t>
  </si>
  <si>
    <t xml:space="preserve"> Date:	 Company Name			                                                   RFQ No.: 	1011 – 2020 – 08 – 0044 – A                                                                                             PR No.:	100 – 20 – 08 – 075                         </t>
  </si>
  <si>
    <t xml:space="preserve"> Republic of the Philippines Province of Pangasinan Municipality of Bolinao Tel. No. (075) 632-4346 Invitation to Bid 1.	The Local Government Unit of Bolinao Pangasinan intends to apply the sum of Four Hundred Seventy Four Thousand Ninety Pesos Only (Php47</t>
  </si>
  <si>
    <t xml:space="preserve"> 1. The Local Government Unit of Magsaysay, Occidental Mindoro through the Annual Budget approved by Sanggunian intends to apply the sum of One-hundred Two Thousand Eight-hundred Eighty Pesos (P102,880.00) being the Approved Budget for the Contract (ABC) t</t>
  </si>
  <si>
    <t xml:space="preserve"> INVITATION TO APPLY FOR ELIGIBILITY AND TO BID The ILOILO STATE COLLEGE OF FISHERIES MAIN POBLCAION CAMPUS, through its Bids and Awards Committee (BAC), invites eligible Bidders to apply for eligibility and to bid for the following project:   Name of Proj</t>
  </si>
  <si>
    <t xml:space="preserve"> •	One Thousand Five Hundred (1,500) pcs. Face Shields;  •	Eight Hundred (800) boxes Surgical Face Mask;  •	Five Hundred (500) pcs. N95 Mask  •	Two Hundred Fifty (250) pcs. Disposable Suit *Please see attached for the T.O.R. (Terms of Reference)</t>
  </si>
  <si>
    <t xml:space="preserve"> 20-10846</t>
  </si>
  <si>
    <t xml:space="preserve"> BIDS AND AWARDS COMMITTEE INVITATION FOR NEGOTIATIONS (TWO-FAILED BIDDINGS) 1.  PROGRESSIVE  PRINTING PALACE, INC.   2.    LEXICON PRESS, INC.    3.   FORMS INTERNATIONAL                         Quezon City                                    Quezon City  </t>
  </si>
  <si>
    <t xml:space="preserve"> 1. Alcohol, 70% ethyl, 500ml	= 731	bot. @ 	50.00 2. Antibacterial hand soap, scented, 135 grams	= 721	bot. @ 	45.00 3. Face mask, surgical, disposable, non-woven, 3 ply, with earloop, 50/box = 180 box @ 600.00 4. Bleach, 500ml, surface clean by killing 99</t>
  </si>
  <si>
    <t xml:space="preserve"> PROCUREMENT TERMS AND CONDITIONS 1. The Approved Budget for the Contract (ABC) is P9,500.00 2. Price quotation should be inclusive of the 5% / 3% Final VAT and expanded withholding tax (EWT) of 1% / 2% 3. Evaluation of bids will be conducted on a "per lot</t>
  </si>
  <si>
    <t xml:space="preserve"> REQUEST FOR QUOTATION The National Irrigation Administration – Bulacan-Aurora-Nueva Ecija Irrigation Management Office, Tambubong, San Rafael, Bulacan through its Bids and Awards Committee (BAC), will undertake SHOPPING for the Supply &amp; Delivery of Variou</t>
  </si>
  <si>
    <t xml:space="preserve"> REQUEST FOR QUOTATION Supply and Delivery of Personalized Diploma Holder for the  Three (3) Campuses of MinSCAT The Mindoro State College of Agriculture and Technology (MinSCAT) through the Bids and Awards Committee invites interested firms/suppliers to s</t>
  </si>
  <si>
    <t xml:space="preserve"> The Local  Government   Unit  of General  Santos  City, through  the  GENERAL FUND CY 2020  intends  to apply  the sum of seventy five thousand eighteen and 20 / 100 Pesos Only (75,018.20)   being  the Approved  Budget  for the Contract   (ABC) to payment</t>
  </si>
  <si>
    <t xml:space="preserve"> 1	STEEL RACKS (Open Type Shelves)						20	units	 	72'H x 36"W x 18"D								 	Slotted Angle post of 1/12" x 1-1/2 x 1.8mm thick								 	6 Adjustable Shelves; Double Stiffener;								 	Enamel Plain Gray; Knockdown Type; Brand New								 									 2	Late</t>
  </si>
  <si>
    <t xml:space="preserve"> The SANGGUNIANG BARANGAY OF BARANGAY POBLACION IV, TANAUAN CITY, BATANGAS, through the Barangay Operating Budget 2020 intends to apply the sum of Fifty Thousand Pesos Only (Php 50,000.00 ) being the Approved Budget of the Contract (ABC) to payment under t</t>
  </si>
  <si>
    <t xml:space="preserve"> 20-10980</t>
  </si>
  <si>
    <t xml:space="preserve"> INVITATION TO RE-BID  Purchase and Delivery of Office Supplies ITB 2020-08-045(GOODS) 1. 	The Municipality of Tuba, through the Budget for the contract approved by the Sangguniang Bayan for CY 2020 intends to apply the sum of Nine Hundred Sixty Three Thou</t>
  </si>
  <si>
    <t xml:space="preserve"> Date:	 Company Name			                                            RFQ No.: 	8751 – 2020 – 08 – 0045 – C   			                                                            PR No.:	300 – 20 – 08 – 007                                                           </t>
  </si>
  <si>
    <t xml:space="preserve"> 1	 unit 	of	Double size Wooden Bed 54x75 (w/ pull-out bed) 1	 unit 	of	Queen size Wooden Bed 60x75 (w/ pull-out bed) 1	 set 	of	Sofa Set 311 w/ side and center table 1	 set 	of	Dining Set (6 seaters) Rectangular Marble Top 1	 piece 	of	Matress (Queen size</t>
  </si>
  <si>
    <t xml:space="preserve"> 61.54 liters</t>
  </si>
  <si>
    <t xml:space="preserve"> 1.	The MUNICIPALITY OF GUINAYANGAN, QUEZON, through the Trust Fund intends to apply Sixty Two Thousand Seven Hundred Twenty  Pesos (P 62,720.00) being the Approved Budget for the Contract (ABC) to payments under the contract for Supply and Delivery of Tab</t>
  </si>
  <si>
    <t xml:space="preserve"> REQUEST FOR QUOTATION The City Government of Malolos, through its BIDS and AWARDS COMMITTEE (BAC) Invites Suppliers/Manufacturers/Distributors to Bid for hereunder procurement:  PR No. : GSO-2020-07-967 Name of Project : SUPPLY OF LABOR AND MATERIALS FOR </t>
  </si>
  <si>
    <t xml:space="preserve"> See attached Price Quotation Form for the complete list, specifications and approved budget.</t>
  </si>
  <si>
    <t xml:space="preserve"> Republic of the Philippines  Province of Bukidnon  MUNICIPALITY OF KALILANGAN    Bids and Award Committee (BAC)  INVITATION TO BID FOR  Goods 2020-08-027 The Local Government Unit – Kalilangan, Bukidnon through the BIDS AND AWARDS COMMITTEE (BAC) now invi</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</si>
  <si>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</si>
  <si>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Personal Protective Gear -------------------45 pcs		 Specification:							          Great outdoors in comfort and confidence with teurex free higher							 OTHER REQUIREMENTS: 1. Mayor's Permit 2. Tax Clearance / Certificate 3. PhilGEPS No. / Certificate</t>
  </si>
  <si>
    <t xml:space="preserve"> 3	Units	LAPTOP 	Processor	Intel Core i7-9750H processor (12MB-Smart Cache,2.6 GHz with Turbo Boost up to 4.5GHz,DDR4) 	Memory	8 GB of DDR4 system memory upgradable to 32 GB using two soDIMM 	Video card	NVIDIA GeForce GTX 1660 Ti with 6GB of dedicated GDDR</t>
  </si>
  <si>
    <t xml:space="preserve"> 30 Heads Island Born Purebred white Dorper Ewes</t>
  </si>
  <si>
    <t xml:space="preserve"> 20-10821</t>
  </si>
  <si>
    <t xml:space="preserve"> REQUEST FOR QUOTATION The City Government of Malolos, through its BIDS and AWARDS COMMITTEE (BAC) Invites Suppliers/Manufacturers/Distributors to Bid for hereunder procurement:  PR No. : GSO-2020-07-969 Name of Project : SUPPLY OF LABOR AND MATERIALS FOR </t>
  </si>
  <si>
    <t xml:space="preserve"> 1.	The Provincial Government of Batanes, through the Provincial Appropriations Ordinance No. 03 series of 2019 intends to apply the sum of One Hundred Thirty Thousand Pesos Only (₱ 130,000.00), being the Approved Budget for the Contract (ABC) to payments </t>
  </si>
  <si>
    <t xml:space="preserve"> The Local  Government   Unit  of General  Santos  City, through  the  GENERAL FUND CY 2020  intends  to apply  the sum of six hundred seventy four thousand eight hundred twenty eight and xx / 100 Pesos Only (674,828.00)   being  the Approved  Budget  for </t>
  </si>
  <si>
    <t xml:space="preserve"> please see attached bid docs...</t>
  </si>
  <si>
    <t xml:space="preserve"> various item</t>
  </si>
  <si>
    <t xml:space="preserve"> INVITATION TO BID The NIA Tarlac–Zambales Irrigation Management Office through the General Appropriation Act (GAA) intend to apply the sum of Twenty Two Million Five Hundred Thirty Two Thousand Eighty Four Pesos                        (P 22,532,084.00) be</t>
  </si>
  <si>
    <t xml:space="preserve"> Supply and delivery of 3 units Heavy Duty Biomass Shredder Machine to be awarded to farmer-cooperators of the Adaptation and Mitigation Initiative in Agriculture (AMIA) Program 3	unit	HEAVY DUTY BIOMASS SHEDDER MACHINE		 		Major Specifications:		 		I. Pri</t>
  </si>
  <si>
    <t xml:space="preserve"> ULTRAVIOLET GERMICIDAL DISINFECTION LAMP Specification: * Voltage: 110/220VAC,50/60Hz * 36W High Power Design * UV Lamp with high quality quartz shell * 3 pcs Infrared human sensors are evenly panoramic distributed to prevent people or pets from being exp</t>
  </si>
  <si>
    <t xml:space="preserve"> - UV88 - CHARGER - 128 VHF CHANNELS - CROSS BAN RECEPTION/TRANS - WATER RESISTANT</t>
  </si>
  <si>
    <t xml:space="preserve"> 5,056.89 liters Diesel &amp; 1 other</t>
  </si>
  <si>
    <t xml:space="preserve"> Purchase of: 	Four (4) units Wall Mounted Digital Thermometer/Thermal Scanner w/ Alarm;  	Ten (10) units Foot Pedal Alcohol Dispenser  	Twenty Nine (29) units Automatic Hand Dryers w/ UV light *Please see attached for the T.O.R. (Terms of Reference)</t>
  </si>
  <si>
    <t xml:space="preserve"> Name of Contract: Concreting of Road Leading to Barangay Luca IAC Classification: Small "B" for Roads PCAB Category "D" Duration:  90 Calendar Days Approved Budget for the Contract: Php 3,000,000.00 xxxxxxxxx</t>
  </si>
  <si>
    <t xml:space="preserve"> Please see attached Request for quotation for specifications</t>
  </si>
  <si>
    <t xml:space="preserve"> 1 UNIT 3 in 1  PRINTER L5190</t>
  </si>
  <si>
    <t xml:space="preserve"> NRCP invites PhilGEPS registered suppliers to submit quotations for the procurement of 48 pcs of External HDD 2TB</t>
  </si>
  <si>
    <t xml:space="preserve"> 70 pieces Drum (plastic/blue/200 liters capacity)</t>
  </si>
  <si>
    <t xml:space="preserve"> 2  UNITS  STAND FAN</t>
  </si>
  <si>
    <t xml:space="preserve"> 1.The Municipal Government of El Nido, through the General Fund intends to apply the sum of Two Hundred Seventeen Thousand Two Hundred Twenty Eight Pesos and Four Centavos  (₱ 217,228.04) being the Approved Budget for the Contract (ABC) to payments for th</t>
  </si>
  <si>
    <t xml:space="preserve"> MANSORY WORKS TILE WORKS DOOR AND WINDOW NOTE: BARANGAY FUND/PROJECT</t>
  </si>
  <si>
    <t xml:space="preserve"> For operation use of Department of Public Services.</t>
  </si>
  <si>
    <t xml:space="preserve"> 20-10847</t>
  </si>
  <si>
    <t xml:space="preserve"> REQUEST FOR QUOTATION For Negotiated Procurement thru Small Value Procurement under Sec. 53.9 of the 2016 Revised IRR of RA 9184 Quotation No.:  2020-08-301 Date: August 25, 2020 PR No.: 20-02-127 (i.1-2,4,6-7) PR Date: February 24, 2020 The Metropolitan </t>
  </si>
  <si>
    <t xml:space="preserve"> PROCUREMENT OF URINE PREGNANCY TEST  CHARGE TO MOOE OF MHO FUND 2020</t>
  </si>
  <si>
    <t xml:space="preserve"> PROCUREMENT OF SUPPLIES FOR DISTRICT III SUBSIDY KIBURIAO C/S</t>
  </si>
  <si>
    <t xml:space="preserve"> INVITATION TO RE-BID  Purchase and Delivery of Cell cards  ITB 2020-08-046(GOODS) 1. 	The Municipality of Tuba, through the Budget for the contract approved by the Sangguniang Bayan for CY 2020 intends to apply the sum of One Million Six Hundred Twenty Fo</t>
  </si>
  <si>
    <t xml:space="preserve"> Republic of the Philippines DEPARTMENT OF PUBLIC WORKS AND HIGHWAYS ILOILO 4TH  DISTRICT ENGINEERING OFFICE REGIONAL OFFICE VI Bolong Este, Sta. Barbara, Iloilo INVITATION   TO   BID   FOR   THE   SUPPLY/DELIVERY OF IT EQUIPMENT AND SUPPLIES FOR USE IN PL</t>
  </si>
  <si>
    <t xml:space="preserve"> Refer to RFQ</t>
  </si>
  <si>
    <t xml:space="preserve"> (PLEASE SEE ATTACHED ASSOCIATED COMPONENTS) please send Request for Quotation  -  philgepsprocurement19@gmail.com Contact Person: MITCHELLE M. ICAWAT (711-69-73) Quotation must be submitted with company’s letter head. Stating Specification, unit cost and </t>
  </si>
  <si>
    <t xml:space="preserve"> 2nd posting 1 lot  -  Calibration of Continuos Ambient Air Quality Monitoring Station - Particulate matter System (CAAQMS-PMS) located in Talisay City, Cebu Inclusions:  - mass and span foil calibration  - flow Calibration  - system check  - cleaning of i</t>
  </si>
  <si>
    <t xml:space="preserve"> PURCHASE OF OFFICE SUPPLIES FOR LGU SANTO DOMINGO, SANTO DOMINGO, ILOCOS SUR</t>
  </si>
  <si>
    <t xml:space="preserve"> Name of Project: Procurement of Personal Protective Equipment ABC: 125,000.00 Description: the procurement involves PPE"s. Location: Pres. Carlos. P. Garcia, Bohol</t>
  </si>
  <si>
    <t xml:space="preserve"> Procurement of Materials Used in the Repair/Maintenance of Aglalana Bridge (B00195PN) along Iloilo-Capiz Road (New Route) of DPWH Iloilo 2nd DEO, Balabag, Dumangas Iloilo.</t>
  </si>
  <si>
    <t xml:space="preserve"> l.	The MUNICIPALITY OF GUINAYANGAN, QUEZON, through the  2020 C.O.   intends to apply the sum of  Two Hundred Thirty Nine Thousand One Hundred Twenty Pesos      (P  239,120.00) being the Approved Budget for the Contract (ABC) to payments under the contrac</t>
  </si>
  <si>
    <t xml:space="preserve"> INVITATION TO BID SUPPLY AND DELIVERY OF VARIOUS DRUGS AND MEDICINE SUPPLIES (BATCH 3)  FOR GOV. CELESTINO GALLARES MEMORIAL HOSPITAL  The Gov. Celestino Gallares Memorial Hospital, through Hospital Income intends to apply the sum of EIGHTEEN MILLION FIVE</t>
  </si>
  <si>
    <t xml:space="preserve"> The Barangay Government of Barangay ULANGO, Tanauan City, Batangas through the Bids and Awards Committee (BAC) invites Suppliers/Contractors to apply for eligibility and if subsequently found eligible, to bid for the projects described hereunder, viz: Pro</t>
  </si>
  <si>
    <t xml:space="preserve"> Item No.	Unit	DESCRIPTION				Qty 						 1	Box	Glass Slides (Frosted)				5 2	Box	Glass Slides (Plain)				5 3	Vials	Micro-Capillary Tubes				12 4	Box	Urinalysis Reagent Strips				2 5	Bot.	Antibacterial Liquid Soap 800ml.				4 6	Gal.	Bleaching Solution (3,78</t>
  </si>
  <si>
    <t xml:space="preserve"> PR-000009589  	  1  lot                          Pest Control / Luxe				 			       (Termite Control Program at SM Luxe Store for One (1) Year) NOTE: SEE ATTACHED SCOPE OF WORKS YOU MAY CALL ENGR. ED ISIDRO, FACILITIES MANAGEMENT DEPARTMENT MANAGER AT 8552</t>
  </si>
  <si>
    <t xml:space="preserve"> ITB # 2020-56 INVITATION TO BID FOR THE FURNISHING &amp; DELIVERY OF MEDICAL SUPPLIES  1.	The Municipality of Camalaniugan through the GENERAL FUND (MHO) intends to apply the sum of FIFTY EIGHT THOUSAND FIVE HUNDRED FIFTEEN PESOS &amp; 00/100 ONLY   (P58,515.00) </t>
  </si>
  <si>
    <t xml:space="preserve"> A series of training on the orientation of DRRM and skills designed for the KK members focusing on practical safety, disaster and emergency management on various natural and human-induced disasters. Conducting trainings, seminars, emergency drills and sim</t>
  </si>
  <si>
    <t xml:space="preserve"> PROJECT:  CONCRETING OF BARANGAY ROAD LOCATION: PUROK ALITAPTAP SITIO VILLA QUINTANA, BARANGAY CALULUAN, CONCEPCION, TARLAC APPROVED BUDGET FOR THE CONTRACT: PHP 709,830.00 SOURCE OF FUND: 20% BDF The contract to be performed by the successful bidder shal</t>
  </si>
  <si>
    <t xml:space="preserve"> Supply and installation of main disconnect service breaker 600 ampheres, molded case circuit breaker in NEMA 3R inclosure with re-wiring of service entrance Municipal Hall Building (Main)</t>
  </si>
  <si>
    <t xml:space="preserve"> Republic of the Philippines								 Department of Health								 VICENTE SOTTO MEMORIAL MEDICAL CENTER								 B. Rodriguez St., Cebu City, 6000								 TELEFAX : 2532182/2540057								 			Email: vsmmc_procurement@yahoo.com					 (Establishment/Supplier)	</t>
  </si>
  <si>
    <t xml:space="preserve"> 55.17 liters</t>
  </si>
  <si>
    <t xml:space="preserve"> 20-10848</t>
  </si>
  <si>
    <t xml:space="preserve"> LOCAL GOVERNMENT UNIT OF GUBAT INVITATION TO BID FOR THE PURCHASE OF MEDICINES FOR MUNICIPAL HEALTH OFFICE USE 1.	The Local Government Unit of Gubat, through its General Fund  intends to apply the sum of  Two Hundred Forty Four Thousand-Four Hundred Seven</t>
  </si>
  <si>
    <t xml:space="preserve"> minimum copy/print volume of 8,000 copies per month at 0.73/copy in excess of 8,000 copies/page 0.63/copy VAT Inclusive</t>
  </si>
  <si>
    <t xml:space="preserve"> Please download RFQ in the Associated Components</t>
  </si>
  <si>
    <t xml:space="preserve"> Republic of the Philippines Province of Nueva Vizcaya BIDS AND AWARDS COMMITTEE (BAC-GOODS) BAC OFFICE, Provincial Capitol, Bayombong, Nueva Vizcaya Tel. No. (078) 392-2650 	 INVITATION TO BID FOR THE SUPPLY AND DELIVERY OF 250 UNITS COLLAPSIBLE TENTS WIT</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</si>
  <si>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</si>
  <si>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150 liters</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</si>
  <si>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</si>
  <si>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PURPOSE: Purchase Request for the use of Nursing Unit / Centralization (for COVID-19) Fax your Price Quotation at Tel. Fax#: 426-30-45 / 927-64-26 loc 2561 or Email at bacveterans@gmail.com. Please indicate the brand name, complete specifications and atta</t>
  </si>
  <si>
    <t xml:space="preserve"> please see attached RFQ</t>
  </si>
  <si>
    <t xml:space="preserve"> Purchase of: 	Seven Hundred Seventy-Five (775) Gallons 70% Isopropyl Alcohol 	Average of 5 gallons per day x 4 months (August to December)         = 775 gallons</t>
  </si>
  <si>
    <t xml:space="preserve"> Please see attached RFQ for more details. For queries / concern, you may contact us through BAC.SDOBenguet@gmail.com from Mondays to Fridays (8:00AM to 5:00PM) except on holidays.</t>
  </si>
  <si>
    <t xml:space="preserve"> REHABILITATION OF RHU BUILDING ABC 301,764.72 8 pcs. GI pipe Scafoldings and Bracing 2” diam. 10 pcs. 2”x 2” x 1/4” angle bar 1 box Welding rod(big) 5 pcs. 11/2” x 11/2” x ¼”angle bar 2 pcs. Steel saw blade 2 pcs. Cutting disc 12”diam 2 pcs. Grinding disc</t>
  </si>
  <si>
    <t xml:space="preserve"> Invitation to Bid for SUPPLY AND DELIVERY OF VARIOUS MATERIALS FOR NEW INSTALLATION OF MAINLINE AT SITIO TAROG, BRGY. CAMANDAG The Municipal Government of Looc, Romblon, through the AO-NO. 018-2019 Regular intends to apply the sum of One Hundred Forty-Thr</t>
  </si>
  <si>
    <t xml:space="preserve"> REQUEST FOR QUOTATION The City Government of Malolos, through its BIDS and AWARDS COMMITTEE (BAC) Invites Suppliers/Manufacturers/Distributors to Bid for hereunder procurement:  PR No. : GSO-2020-07-966 Name of Project : SUPPLY OF LABOR AND MATERIALS FOR </t>
  </si>
  <si>
    <t xml:space="preserve"> Please see attached RFQ for more details. For query / concern, you may contact Ms. Jamilla Morris through jamilla.morris@deped.gov.ph</t>
  </si>
  <si>
    <t xml:space="preserve"> Medical Supplie</t>
  </si>
  <si>
    <t xml:space="preserve"> 2 PCS LOPTOP AND 2 OTHER LINE ITEMS</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</si>
  <si>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</si>
  <si>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Republic of the Philippines Province of Nueva Ecija Municipality of General Mamerto Natividad BIDS AND AWARDS COMMITTEE  INVITATION TO BID FOR  “AID TO BARANGAYS (PURCHASE OF MOTORCYCLES)” RE-BIDDING 1.	The LGU – General Mamerto Natividad, Nueva Ecija, th</t>
  </si>
  <si>
    <t xml:space="preserve"> Procurement of Sound System Package Php149,990.00</t>
  </si>
  <si>
    <t xml:space="preserve"> DRM - ALUMINUM FLAT BAR, 1/16”X 3/4” X 16’ DRM - ALUMINUM FLAT BAR, 1/4” X 2” X 16’ DRM - ALUMINUM FLAT BAR, 1/4” X 3/4” X 16’ DRM - ALUMINUM FLAT BAR, 1/8” X 1-1/4” X 16’ DRM - ALUMINUM FLAT BAR, 1/8” X 3/4” X 16’ DRM - ALUMINUM SHEET, G-16, 4 X 8 FT DRM</t>
  </si>
  <si>
    <t xml:space="preserve"> PURPOSE: Purchase Request for the use of Nursing Unit / Centralization. ******************** Fax your Price Quotation at Tel. Fax#: 426-30-45 / 927-64-26 loc 2561 or Email at bacveterans@gmail.com. Please indicate the brand name, complete specifications.</t>
  </si>
  <si>
    <t xml:space="preserve"> Name of Project: Food Commodities for Frontliners  ABC: P90,133.00 Description: the procurement involves food commodities  Location: Pres. Carlos P. Garcia, Bohol</t>
  </si>
  <si>
    <t xml:space="preserve"> Supply and delivery of animal/zoological supplies to be used in the prevention and control of animal diseases in support to Animal Health Program for CY 2020 under the Livestock Banner Program 300	vial	Anti-rabies vaccine, 10 doses		 40	bottle	Blackleg va</t>
  </si>
  <si>
    <t xml:space="preserve"> INVITATION TO BID  for Lay-outing, Fabrication and Installation of Signages (G-20-06) 1.	The Central Bicol State University of Agriculture (CBSUA), through the Use of Unexpended Income intends to apply the sum of One Million Eight Hundred Sixty Two Thousa</t>
  </si>
  <si>
    <t xml:space="preserve"> Name of Contract: Concreting of Road at Palanas, Barangay Sta. Cruz Viejo IAC Classification: Small "B" for Roads PCAB Category "D" Duration: 90 Calendar Days Approved Budget for the Contract: Php 2,000,000.00 xxxxxxxxxxxx</t>
  </si>
  <si>
    <t xml:space="preserve"> Procurement of two (2) units Face Recognition Access Controller for use in the office of DPWH Iloilo 2nd DEO, Balabag, Dumangas, Iloilo, in relation to Covid-19</t>
  </si>
  <si>
    <t xml:space="preserve"> Republic of the Philippines Province of Batangas MUNICIPALITY OF LOBO Invitation to Bid for the PROCUREMENT OF SECURITY SERVICES FOR THE MUNICIPAL GOVERNMENT OF LOBO, BATANGAS Contract ID No. 3-01-001-20-131A 			 1.The Municipal Government of Lobo, Batang</t>
  </si>
  <si>
    <t xml:space="preserve"> OB Check up with Ultrasound for Pregnant Women.</t>
  </si>
  <si>
    <t xml:space="preserve"> For September 		1st Monday of September 25	Pax	AM Snacks – Any combination of Siopao,Pancit,Empanada,Biko,Patopat,Salad,Water,Barako &amp; Tea 25	Pax	Meal (Lunch) – Any Combination of Pork,Chicken,Fish,Soup,Vegetables &amp; Fresh Fruits 25	Pax	PM Snacks – Any com</t>
  </si>
  <si>
    <t xml:space="preserve"> INVITATION TO BID  Purchase and Delivery of Commercial Rice ITB 2020-08-047 (GOODS) 1. 	The Municipality of Tuba, through the Budget for the contract approved by the Sangguniang Bayan for CY 2020 intends to apply the sum of Two Hundred Fifty Thousand  Pes</t>
  </si>
  <si>
    <t xml:space="preserve"> Please see the attached RFQ</t>
  </si>
  <si>
    <t xml:space="preserve"> TERMS AND CONDITIONS:						 1.   All entries must be typewritten or legibly written						 2.   Delivery period within  Thirty (30) working days  upon receipt of the approved						       funded Purchase Order (P.O.) Administrative penalties pursuant to Sec</t>
  </si>
  <si>
    <t xml:space="preserve"> Supply and Delivery of Toner 1. Toner, CB435A #35, Black -  8 Pcs 2. Toner, CE278A #78A, Black - 10 Pcs (DETAILED REQUIREMENTS, PLEASE SEE THE ATTACHED REQUEST FOR QUOTATION (RFQ) FOUND IN ASSOCIATED COMPONENTS) APPROVED BUDGET : PHP 60,000.00 (INCLUSIVE </t>
  </si>
  <si>
    <t xml:space="preserve"> Lot I: One unit CUV, 4-Cylinder In-line, Diesel Engine w/ Turbocharger w/ Intercooler, w/ engine displacement of 1,898 cc Lot II: One unit Pick-up truck, Diesel, 4-Cylinders, 16 valves, Turbo charged, w/ engine displacement not exceeding 3000cc</t>
  </si>
  <si>
    <t xml:space="preserve"> 20-10866</t>
  </si>
  <si>
    <t xml:space="preserve"> OFFICE OF THE BIDS AND AWARDS COMMITTEE Name of Procuring Entity:     LGU – BAYOMBONG      Request for Quotation No.: _____________________ Revised on:   ______________________________                                             Date:   __________________</t>
  </si>
  <si>
    <t xml:space="preserve"> INTERNET BILL		 PHONE BILL		 UTILITYSERVICES ( 2 months)		 DEPED LOGO 118 mm thickness stainless steel measurement 24x24 height		 SCHOOL LOGO 118mm thickness stainless steel measurement 24x24 height		 SCHOOL ID SIGNAGE 118 thickness measurement 6x6 height</t>
  </si>
  <si>
    <t xml:space="preserve"> REQUEST FOR QUOTATION The City Government of Malolos, through its BIDS and AWARDS COMMITTEE (BAC) Invites Suppliers/Manufacturers/Distributors to Bid for hereunder procurement:  PR No. : GSO-2020-07-995 Name of Project : SUPPLY OF MATERIALS FOR THE CONSTR</t>
  </si>
  <si>
    <t xml:space="preserve"> Drilling of Exploratory/Production Well located at Barangay Libo-o, M'lang, Cotabato - 200mm diameter at 100m depth.  Work includes furnishing of labor and materials including steel casing and screen.  Please see Section VI and Section VII for more detail</t>
  </si>
  <si>
    <t xml:space="preserve"> Republic of the Philippines BATANGAS STATE UNIVERSITY Batangas City REQUEST FOR QUOTATION "Procurement of Supplies and Materials for the Construction of Handwashing Stations at BatstateU Alangilan Campus"  1. The Batangas State University (BatState U) thr</t>
  </si>
  <si>
    <t xml:space="preserve"> DILG Project Compliance</t>
  </si>
  <si>
    <t xml:space="preserve"> (PLEASE SEE ATTACHED ASSOCIATED COMPONENTS) please send Request for Quotation  -  philgepsprocurement19@gmail.com Quotation must be submitted with company’s letter head. Stating Specification, unit cost and total amount offer. Contact Person:	NESTLE MARIE</t>
  </si>
  <si>
    <t xml:space="preserve"> Section I. Invitation to Bid Republic of the Philippines PROVINCE OF ZAMBOANGA SIBUGAY Capitol Building, Ipil Heights, Ipil, Zamboanga Sibugay INVITATION TO BID FOR  Other Supplies &amp; Materials 1.	The Province of Zamboanga Sibugay, through the GF-BY 2020 i</t>
  </si>
  <si>
    <t xml:space="preserve"> various supplies and materials for the use of Brgy. Pinagbuhatan for their residents</t>
  </si>
  <si>
    <t xml:space="preserve"> PURCHASE OF HEAVY EQUIPMENT &amp; SERVICE VEHICLES PREVENTIVE MAINTENANCE PARTS, LUBRICANTS AND CONSUMABLES</t>
  </si>
  <si>
    <t xml:space="preserve"> Item No.	Unit	DESCRIPTION				Qty 						 1	Bot.	Isophropyl Alcohol w/ Moisturizer 70%				40 2	Bot.	Disinfectant Spray 510gm.				30 3	Box	Rosemed Surgical Gloves				5</t>
  </si>
  <si>
    <t xml:space="preserve"> REQUEST FOR QUOTATION The City Government of Malolos, through its BIDS and AWARDS COMMITTEE (BAC) Invites Suppliers/Manufacturers/Distributors to Bid for hereunder procurement:  PR No. : GSO-2020-07-971 Name of Project : SUPPLY OF LABOR AND MATERIALS FOR </t>
  </si>
  <si>
    <t xml:space="preserve"> Republic of the Philippines OFFICE OF THE PUNONG BARANGAY 	Barangay COLAMBUTAN BAJO	 	Municipality of Tudela	 Province of Misamis Occidental INVITATION TO BID The Office of the Punong Barangay of Barangay Colambutan Bajo through its Bids and Awards Commit</t>
  </si>
  <si>
    <t xml:space="preserve"> INVITATION TO BID FOR AIR PURIFIER, 8-STAGE ITB No. 2020-112 1.	The JOSE R. REYES MEMORIAL MEDICAL CENTER, through the RA 10964/ INCOME Fund CY 2020 intends to apply the sum of Two Million Four Hundred Eighty Thousand Pesos (P2,480.00,000.00) being the Ap</t>
  </si>
  <si>
    <t xml:space="preserve"> 40	pax	AM Sacks (bread and juice) August 30, 2020 40	pax	Meals (meat, vegetable, rice, water) august 30, 2020 40	pax	AM Sacks (pancit puto and juice) september 6, 2020 40	pax	Meals (meat, vegetable, rice, water) September 6, 2020 40	pax	Am Snacks (sandwic</t>
  </si>
  <si>
    <t xml:space="preserve"> TITLE: PROCUREMENT OF LAPTOP WITH COMPLETE ACCESSORIES (Municipal Environment and Natural Resources Office)			 DEPARTMENT: MATERIALS RECOVERY FACILITIES 			 			 ITEM NO.	QTY	UNIT	ITEM DESCRIPTION 1	1	unit	Laptop 			Intel Core i3, 500 GB, 8GB DDR3 with bui</t>
  </si>
  <si>
    <t xml:space="preserve"> Medical Supplies</t>
  </si>
  <si>
    <t xml:space="preserve"> Please quote your lowest price inclusive of VAT on the items listed below</t>
  </si>
  <si>
    <t xml:space="preserve"> PURPOSE: Purchase Request for the use of Nursing Unit / Centralization. *********************** Fax your Price Quotation at Tel. Fax#: 426-30-45 / 927-64-26 loc 2561 or Email at bacveterans@gmail.com. Please indicate the brand name, complete specification</t>
  </si>
  <si>
    <t xml:space="preserve"> 300	rolls	Garbage Bag, 10pcs/roll, XXL 350	rolls	Garbage Bag, 10pcs/roll, L 1000	rolls	Garbage Bag, 10pcs/roll, M 500	rolls	Garbage Bag, 10pcs/roll, S 200	cans	Aerosol Spray, 2580ml 2	units	Heavy duty mop squeezer bucket 6	bottles	Toilet Bowl cleaner, 500</t>
  </si>
  <si>
    <t xml:space="preserve"> INVITATION TO BID SUPPLY AND DELIVERY OF VARIOUS DRUGS AND MEDICINE SUPPLIES (BATCH 4)  FOR GOV. CELESTINO GALLARES MEMORIAL HOSPITAL  The Gov. Celestino Gallares Memorial Hospital, through Hospital Income intends to apply the sum of TWENTY-NINE MILLION T</t>
  </si>
  <si>
    <t xml:space="preserve"> 1.	The Department of Public Works and Highways, Davao del Norte District Engineering Office,Tagum City Davao del Norte, through the General Appropriation Act intends to apply the sum of the Approved Budget for the Contract (ABC) to payments under the cont</t>
  </si>
  <si>
    <t xml:space="preserve"> Name of Contract: Concreting of Barangay Road at Sitio Nabulagan, Barangay 6 IAC Classification: Small "B" for Roads PCAB Category "D" Duration 60 Calendar Days Approve Budget for the Contract: Php 1,000,000.00 xxxxxxxxxxxxx</t>
  </si>
  <si>
    <t xml:space="preserve"> Risograph machine</t>
  </si>
  <si>
    <t xml:space="preserve"> For maintenance of various street light within City of Cebu.</t>
  </si>
  <si>
    <t xml:space="preserve"> 1	lot	Bumper Grill 1	pc	Door Shell R/S 1	pc	Side Mirror R/S 1	pc	Signal Light R/S 1	lot	Center Post R/S Tinsmith/ Alignment/ Painting 1	lot	Front Bumber Tinsmith/ Alignment/ Painting 1	lot	Quarter Face Panel Right Side Tinsmith/ Painting 1	lot	Remove &amp; Re</t>
  </si>
  <si>
    <t xml:space="preserve"> Airconditioning unit with Installation</t>
  </si>
  <si>
    <t xml:space="preserve"> Supply and Delivery of Various Plumbing Materials for Distribution Network.</t>
  </si>
  <si>
    <t xml:space="preserve"> Please see attached Request for Price Quotation (RPQ)</t>
  </si>
  <si>
    <t xml:space="preserve"> For Presidential Management Staff use.</t>
  </si>
  <si>
    <t xml:space="preserve"> Provision of 160 pax Meals and Snacks for the conduct of  Consultative Meeting on the Proposed Hotspot and Radiation Areas for Fall Armyworm (FAW) Monitoring and Surveillance for Main Corn Cropping Season, CY 2020 in Region I (6 batches) 		Batch 1 - Iloco</t>
  </si>
  <si>
    <t xml:space="preserve"> Technical Specification: A4, Sub 20, 70 gsm, with Sorting Printing  Approved Budget For the Contract (ABC): 239,408.50 ITEM /LOT NO.       Item and Description         Quantity             Unit Price      Total Price 1    Kindergarten      125 x 65 Pages </t>
  </si>
  <si>
    <t xml:space="preserve"> Risograph Machine</t>
  </si>
  <si>
    <t xml:space="preserve"> PURPOSE: Purchase Request for the use of Nursing Unit / Centralization  ************************ Fax your Price Quotation at Tel. Fax#: 426-30-45 / 927-64-26 loc 2561 or Email at bacveterans@gmail.com. Please indicate the brand name, complete specificatio</t>
  </si>
  <si>
    <t xml:space="preserve"> To be used in any related activities for the project "Development of Formulated Entomopathogenic Fungi as Biofungicide against tomato black leaf mold</t>
  </si>
  <si>
    <t xml:space="preserve"> Republic of the Philippines BOHOL ISLAND STATE UNIVERSITY Main Campus, Tagbilaran City INVITATION TO BID FOR RE-BIDDING:PR NO. 2020-02-0190-MAIN-SUPPLY AND DELIVERY OF HOTEL HOUSEKEEPING INSTRUCTIONAL AND LABORATORY MATERIALS FOR THE COLLEGE OF BUSINESS A</t>
  </si>
  <si>
    <t xml:space="preserve"> DepEd Carcar City Division invites PhilGEPS registered suppliers to bid for 370 sets of 40 inch Smart TV  with the following description: 	Wide Color Gamut 	Maximun Resolution 1920x1080 	Digital Media Player Support: Picture, Audio, Video 	USB, HDMI, </t>
  </si>
  <si>
    <t xml:space="preserve"> Republic of the Philippines Province of Nueva Vizcaya BIDS AND AWARDS COMMITTEE (BAC-GOODS) BAC OFFICE, Provincial Capitol, Bayombong, Nueva Vizcaya Tel. No. (078) 392-2650 	 INVITATION TO BID FOR THE SUPPLY AND DELIVERY OF MEDICAL, LABORATORY &amp; X-RAY SUP</t>
  </si>
  <si>
    <t xml:space="preserve"> 1.	The Department of Information and Communications Technology (DICT), through the “GAA”  intends to apply the sum of Two Million Seven Hundred Thousand Pesos (PhP2,700,000.00) being the Approved Budget for the Contract (ABC) to payments under the contrac</t>
  </si>
  <si>
    <t xml:space="preserve"> Road Gravelling for Barangay Piglawigan ,EADS.		 Diesel 	Ltrs.	6720 Counterpart Fund to Rehab Salug FMR 		 Diesel 	Ltrs.	12140 Oil 10	pails	38 Oil 40	pails	38 Oil 140	pails	38 grease	pail	1</t>
  </si>
  <si>
    <t xml:space="preserve"> Purchase of Office Supplies  ABC: PHP51,367.00 Venue: Municipal Building Date: September 1, 2020 at 08:00 AM</t>
  </si>
  <si>
    <t xml:space="preserve"> 40	kilos	Ampalaya  20	kilos 	Baguio beans  30	kilos	Bamboo shoot - rabong 20	kilos	Brocoli 30	kilos	Cabbage  5	kilos 	Calamansi  50	kilos 	Carrots  10	kilos 	Cauliflower  50	kilos 	Eggplant  40	kilos 	Garlic  4	kilos	Ginger  4	kilos	Green Bell pepper  2	k</t>
  </si>
  <si>
    <t xml:space="preserve"> 7 pcs masidlawin class frame picture (36x17.25 inches) &amp; 9 others</t>
  </si>
  <si>
    <t xml:space="preserve"> Republic of the Philippines BATANGAS STATE UNIVERSITY Batangas City REQUEST FOR QUOTATION "Procurement of Janitorial Supplies for Batstateu 2nd Quarter of 2020"  1. The Batangas State University (BatState U) through the Bids and Awards Committee invites i</t>
  </si>
  <si>
    <t xml:space="preserve"> Section I. Invitation to Bid Republic of the Philippines PROVINCE OF ZAMBOANGA SIBUGAY Capitol Building, Ipil Heights, Ipil, Zamboanga Sibugay INVITATION TO BID FOR  Vehicle Parts &amp; Accessories 1.	The Province of Zamboanga Sibugay, through the GF-BY 2020 </t>
  </si>
  <si>
    <t xml:space="preserve"> Republic of the Philippines Province of Nueva Vizcaya Municipality of Solano -o0o- BIDS AND AWARDS COMMIITTEE  BAC RESOLUTION RECOMMENDING TO THE HEAD OF THE PROCURING ENTITY THE ADOPTION OF ALTERNATIVE METHODS OF PROCUREMENT SPECIFICALLY NEGOTIATED PROCU</t>
  </si>
  <si>
    <t xml:space="preserve"> Purchase of Office Supplies &amp; Equipment for Office of Senior Citizen  and Persons with Disability (PWD) of  San Andres, Romblon 	The Municipal Government of San Andres, Romblon through 1% Senior Citizen/PWD Fund  (Regular Budget 2020) intends to apply the</t>
  </si>
  <si>
    <t xml:space="preserve"> Title:Procurement of Information Technology under P.R Nos. 3862-2019(CMO-Provision for Information and Communication Technology Equipment),3639-2019(SK Youth Development Office),3893-2019(CMO-Provision for Information and Communication Technology(Continui</t>
  </si>
  <si>
    <t xml:space="preserve"> PURCHASE OF FUEL</t>
  </si>
  <si>
    <t xml:space="preserve"> PURPOSE: Purchase Request for the use of Nursing Unit / Centralization  Fax your Price Quotation at Tel. Fax#: 426-30-45 / 927-64-26 loc 2561 or Email at bacveterans@gmail.com. Please indicate the brand name, complete specifications and attach CPR.</t>
  </si>
  <si>
    <t xml:space="preserve"> 16 pcs flat sheet 1/4 &amp; 18 others</t>
  </si>
  <si>
    <t xml:space="preserve"> PURPOSE: Purchase Request for the use of Nursing Unit / Centralization (for COVID-19 Wards) Fax your Price Quotation at Tel. Fax#: 426-30-45 / 927-64-26 loc 2561 or Email at bacveterans@gmail.com. Please indicate the brand name, complete specifications an</t>
  </si>
  <si>
    <t xml:space="preserve"> For NVSU offices</t>
  </si>
  <si>
    <t xml:space="preserve"> The Philippine Statistics Authority, National Capital Region Provincial Statistical Office I (PSA-NCR PO I), intends to Lease of Venue for the 2020 Census of Population and Housing (2020 CPH) 4th Level Training within the City of Manila on 01- 25 Septembe</t>
  </si>
  <si>
    <t xml:space="preserve"> For the SABATAN: NVSU technopreneurs hub office</t>
  </si>
  <si>
    <t xml:space="preserve"> 1	Air Conditioning Unit, Floor Standing with Installation	   1	unit     2	Air Conditioner                              Specification: 1.5 HP                             Inverter                             Refrigirant R410A                             Ear</t>
  </si>
  <si>
    <t xml:space="preserve"> TWO FAILED BIDDINGS ABC- P 10,000,000.00 Source of Fund- LGSF-FA</t>
  </si>
  <si>
    <t xml:space="preserve"> Provision of trash bins and cleaning materials that will be distributed by youth of Guadalupe Viejo on targeted areas premises that will promote cleanliness in the community</t>
  </si>
  <si>
    <t xml:space="preserve"> 21, 666, 390 pages, Digitally printed, Short (8x11), Substance  #20 (Book paper) Back to back, sorted and stapled by module, sorted by subject, by grade level, by school INVITATION TO BID NO: 2020-08-001 FOR Reproduction of Modules for Quarter 1 and 2 SY:</t>
  </si>
  <si>
    <t xml:space="preserve"> Procurement of Materials for Repair of Downsprout and Repainting of Aurora Presidencia Bldg. (Exterior)</t>
  </si>
  <si>
    <t xml:space="preserve"> 1 Lot Supplies to be used for the Supply Stockroom at VOAG Building</t>
  </si>
  <si>
    <t xml:space="preserve"> see attached approved P.O.</t>
  </si>
  <si>
    <t xml:space="preserve"> Republic of the Philippines Province of Eastern Samar Municipality of Dolores INVITATION TO BID  PURCHASE OF OFFICE SUPPLIES  1.	The Local Government Unit - Dolores, through the Maintenance &amp; Other Operating Expenses (Office Supplies) Fund intends to appl</t>
  </si>
  <si>
    <t xml:space="preserve"> Republic of the Philippines Province of Nueva Vizcaya BIDS AND AWARDS COMMITTEE (BAC-GOODS) BAC OFFICE, Provincial Capitol, Bayombong, Nueva Vizcaya Tel. No. (078) 392-2650 	 2ND INVITATION TO BID FOR THE SUPPLY AND DELIVERY OF CONSTRUCTION MATERIALS  FOR</t>
  </si>
  <si>
    <t xml:space="preserve"> Furnishing Security Services for 4 Security Guards for the period covering September 1, 2020 to December 31, 2020 with the following assignments: 1)	PhilFIDA Regional Office, Legazpi City - 2 Guards – 12 hours a day duty per guard 2)	PhilFIDA-Sorsogon Pro</t>
  </si>
  <si>
    <t xml:space="preserve"> 1 Lot Supplies and Materials to be used at the ALIAS Center</t>
  </si>
  <si>
    <t xml:space="preserve"> Republic of the Philippines Province of Nueva Vizcaya BIDS AND AWARDS COMMITTEE (BAC-GOODS) BAC OFFICE, Provincial Capitol, Bayombong, Nueva Vizcaya Tel. No. (078) 392-2650 	 INVITATION TO BID FOR THE SUPPLY AND DELIVERY OF DRUGS AND MEDICINES FOR THE DUP</t>
  </si>
  <si>
    <t xml:space="preserve"> INVITATION TO BID FOR Contract ID No: 20JAGS0014  Procurement of Painting Materials for the Re-painting of Concrete Barriers along MCLL Highway, Zamboanga City within K1925+000 to K1932+500 with P.R. No. 2020-08-138 Total ABC: Php1,879,924.00 1.	The Depar</t>
  </si>
  <si>
    <t xml:space="preserve"> Item No.	ITEM AND DESCRIPTION	QTY	Unit of Issue	UNIT PRICE 1	Combination Blinds (96"x68")	10	piece	 2	Combination Blinds (49"x68")	1	piece	 3	Combination Blinds (45"x68")	1	piece	 4	Combination Blinds (73"x68")	1	piece	 5	Combination Blinds (19.5"x68")	1	</t>
  </si>
  <si>
    <t xml:space="preserve"> Republic of the Philippines Province of Nueva Vizcaya BIDS AND AWARDS COMMITTEE (BAC-GOODS) BAC OFFICE, Provincial Capitol, Bayombong, Nueva Vizcaya Tel. No. (078) 392-2650 	 INVITATION TO BID FOR THE SUPPLY AND DELIVERY OF DRUGS AND MEDICINES FOR THE DIA</t>
  </si>
  <si>
    <t xml:space="preserve"> RFQ (20-08-076) Organic Vapor Cartridge and N95 Particulate Filter Cotton</t>
  </si>
  <si>
    <t xml:space="preserve"> INVITATION TO BID IB NO: 2020-09-15 (17) SUPPLY AND DELIVERY OF VARIOUS MEDICAL GAS (RE-BID) 1. 	The Caraga Regional Hospital (CRH), through the General Appropriation Act /  Hospital Income   intends to apply the sum of TWO MILLION NINE HUNDRED FORTY ONE </t>
  </si>
  <si>
    <t xml:space="preserve"> RFQ (20-08-080) Varioud Housekeeping and Linen Supplies</t>
  </si>
  <si>
    <t xml:space="preserve"> Section I. Invitation to Bid Republic of the Philippines PROVINCE OF ZAMBOANGA SIBUGAY Capitol Building, Ipil Heights, Ipil, Zamboanga Sibugay INVITATION TO BID FOR  Agricultural Supplies 1.	The Province of Zamboanga Sibugay, through the GF-BY 2020 intend</t>
  </si>
  <si>
    <t xml:space="preserve"> 65 pcs. USB 3.0 Flash Drive (32GB and OTG Type-C) ABC: 65,000.00</t>
  </si>
  <si>
    <t xml:space="preserve"> Please see attached RFQ20-08-021 to 025 for reference</t>
  </si>
  <si>
    <t xml:space="preserve"> For teh SABATAN: NVSU technopreneurs hub office</t>
  </si>
  <si>
    <t xml:space="preserve"> 7000	pcs	Coffee (3 in 1) 870	packs	Fork (25 pcs/pack) 288	packs	Paper cup 8 ml (25 pcs/pack) 363	boxes	Rubber band (60 pcs/box) 54	packs	Sando bags XL (40 pcs/pack) 870	packs	Spoon (25 pcs/pack) 21700	packs	Styro Meal box (food pack 3 division)  22	packs	</t>
  </si>
  <si>
    <t xml:space="preserve"> Various Materials for: Concrete Works Roofing/Metal Works Plumbing Works Electrical Works Finishing Works Septic Tank</t>
  </si>
  <si>
    <t xml:space="preserve"> Office supplies</t>
  </si>
  <si>
    <t xml:space="preserve"> Please refer to the attached Request for Quotation. Thank you.</t>
  </si>
  <si>
    <t xml:space="preserve"> 1	Printer 3-in-1 Colour Inkjet Multifunction Centre   (Print/Copy/Scan) 	Print speed up to 12/10 ppm 	Print Resolution up to 1,200 x6,000 dpi 	20-sheet Automatic document feeder 15-sheet Paper tray &amp; manual feed slot 	Wireless LAN &amp; WI-FI Direct 	Hig</t>
  </si>
  <si>
    <t xml:space="preserve"> Supply &amp; delivery of: 1	4	set	Aircon Outlet 1 gang 2	6	set	Bolt On Breaker 20A 3	5	Pack	Cable  Tie 8/300 4	1	pc	Circuit breaker 60A 5	4	pc	Circuit breaker 15A 6	3	pc	Circuit breaker 20A 7	2	pc	Circuit breaker 30A 8	1	pc	Clamp Tester  9	70	meters	Duplex Wi</t>
  </si>
  <si>
    <t xml:space="preserve"> 700 packs Lunch</t>
  </si>
  <si>
    <t xml:space="preserve"> 3TR floor mounted inverter,  with Installation Prospective Bidders must have completed a contract similar to the project with the amount of at least 50% of the ABC. Bidding will be conducted through open competitive bidding procedures using a non-discreti</t>
  </si>
  <si>
    <t xml:space="preserve"> 2 SETS KENDRICK EXTRICATION DEVICE 2 PCS. ALLUMINUM SCOOP STRETCHER</t>
  </si>
  <si>
    <t xml:space="preserve"> REQUEST FOR QUOTATION Date	:	August 26, 2020  Project Title	:	Procurement of Services for the Siphoning of Septic Tanks at PAGCOR Imus Complex for Three (3) Years ITB No.	:	SV20-08-026COR Approved  Budget for the Contract (ABC)	:	Two Hundred Thirty-Four T</t>
  </si>
  <si>
    <t xml:space="preserve"> To be used in the component study 1 of the project " Microfluidic paper-based analytical device for the detection diarrhea-causing in the water" of DOST-PCHRD project</t>
  </si>
  <si>
    <t xml:space="preserve"> Republic of the Philippines														 Province of Occidental Mindoro														 Mamburao, Occidental Mindoro														 REQUEST FOR QUOTATION														 Date of Posting:	August 25, 2020					Ref. No.		RN 562-2020						 						PR No.		1061-0031-</t>
  </si>
  <si>
    <t xml:space="preserve"> Clamp Strains Lug Terminals Suspension Clamp Arrester Wejtap Type Tap Termination Kits Inclusive of delivery charges and taxes</t>
  </si>
  <si>
    <t xml:space="preserve"> 40 SACKS RICE @ 50 KLS./SACK 10 UNITS WEIGHING SCALE (20 KILOS) 50 PACKS SANDO BAG (LARGE) X X X X X X X X X X X X X X X X X X X X X X X</t>
  </si>
  <si>
    <t xml:space="preserve"> National Power Corporation INVITATION TO BID PUBLIC BIDDING 2020-0308 1.	The NATIONAL POWER CORPORATION (NPC), through       its        approved       Corporate Budget of CY 2020 intends to apply   the   sum   of (Please see schedule below) being the Appr</t>
  </si>
  <si>
    <t xml:space="preserve"> List of items available at the BAC office upon request.</t>
  </si>
  <si>
    <t xml:space="preserve"> Republic of the Philippines Province of Nueva Vizcaya BIDS AND AWARDS COMMITTEE (BAC-GOODS) BAC OFFICE, Provincial Capitol, Bayombong, Nueva Vizcaya Tel. No. (078) 392-2650 	 INVITATION TO BID FOR THE SUPPLY AND DELIVERY OF VARIOUS LABORATORY EQUIPMENT FO</t>
  </si>
  <si>
    <t xml:space="preserve"> LOCAL GOVERNMENT UNIT OF GUBAT INVITATION TO BID FOR THE PURCHASE OF DIGITAL DUPLICATOR 1.	The Local Government Unit of Gubat, through its Special Education Fund (SEF) and General Fund  intends to apply the sum of  Seven Hundred Eighty Thousand  Pesos (₱7</t>
  </si>
  <si>
    <t xml:space="preserve"> PURPOSE: Purchase Request for the use of Nursing Unit / Centralization  ******* Fax your Price Quotation at Tel. Fax#: 426-30-45 / 927-64-26 loc 2561 or Email at bacveterans@gmail.com. Please indicate the brand name, complete specifications and attach CPR</t>
  </si>
  <si>
    <t xml:space="preserve"> Republic of the Philippines Municipality of Teresa Province of Rizal INVITATION TO BID FOR PURCHASE AND DELIVERY OF DUMP TRUCK FOR SOLID WASTE MANAGEMENT 1.	The Municipality of Teresa, through the Trust Fund – received from Quezon City Government intends </t>
  </si>
  <si>
    <t xml:space="preserve"> Category I- Laboratory Supplies Category II- Other Laboratory Supplies Category II- Office Equipment Category IV- Agricultural Supplies Category V- Polo Shirt Category VI- Backpack Category VII- Office Supplies Category IX- Communication Device</t>
  </si>
  <si>
    <t xml:space="preserve"> INVITATION TO BID FOR THE PROCUREMENT OF ONE (1) 3TR AIR-CONDITIONING UNIT, SPLIT-TYPE   1.	The Philippine Postal Corporation, through the CY 2020 Corporate Budget approved by PHLPost Board of Directors, intends to apply the sum of One Hundred Twenty Thou</t>
  </si>
  <si>
    <t xml:space="preserve"> Republic of the Philippines BATANGAS STATE UNIVERSITY Batangas City REQUEST FOR QUOTATION "Procurement of Consolidated Office Supplies for the 2nd Quarter 2020"  1. The Batangas State University (BatState U) through the Bids and Awards Committee invites i</t>
  </si>
  <si>
    <t xml:space="preserve"> 21700	pcs	bottled water 330ml purified</t>
  </si>
  <si>
    <t xml:space="preserve"> PURPOSE: Purchase Request for the use of Nursing Unit / Centralization  **************** Fax your Price Quotation at Tel. Fax#: 426-30-45 / 927-64-26 loc 2561 or Email at bacveterans@gmail.com. Please indicate the brand name, complete specifications and a</t>
  </si>
  <si>
    <t xml:space="preserve"> AUTHORITY OF THE FREEPORT AREA OF BATAAN					 MARIVELES, BATAAN					 Telefax 047-9354004 loc. 8116 or (02) 236-5010					 					 					 REQUEST FOR QUOTATION (RFQ)					 Company Name:					 Complete Address :                                                    </t>
  </si>
  <si>
    <t xml:space="preserve"> Purchase  of 2 units Aircon Split-type for Mun. Health Office.</t>
  </si>
  <si>
    <t xml:space="preserve"> Project Location: Poblacion, Luna, Apayao Scope of Work: i. Breaking of Concrete ii. Excavation iii. Concrete Works iv. Steel Works v. Formworks and Scaffolding vi. Roofing Works</t>
  </si>
  <si>
    <t xml:space="preserve"> 1 unit Multifunction Printer-(Print,Copy,Scan) monochrome print &amp; colour scan printing &amp; copying speed - up to 22 ppm on A4 scanning speed/resolution, 46 opm (b/w), 600dpi Paper format, A5 to A3 paper feeder capacity, standard 350 sheets</t>
  </si>
  <si>
    <t xml:space="preserve"> “ANNEX A” TERMS OF REFERENCE PROJECT: SUPPLY AND DELIVERY OF VARIOUS IT EQUIPMENT LOCATION: PCA CENTRAL OFFICE R&amp;D BLDG., DILIMAN, QUEZON CITY I. 	SCOPE OF WORK 	Supply and delivery of the following IT EQUIPMENT:                                    ITEM   </t>
  </si>
  <si>
    <t xml:space="preserve"> For the Library Services use.</t>
  </si>
  <si>
    <t xml:space="preserve"> Republic of the Philippines MINDANAO STATE UNIVERSITY General Santos City INVITATION FOR NEGOTIATED PROCUREMENT 1.	The Mindanao State University – General Santos City (MSU-GSC), is conducting Negotiated Procurement, under Two Failed Public Biddings, for t</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</si>
  <si>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</si>
  <si>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REQUEST FOR QUOTATION The City Government of Cauayan, Isabela, through its Bids and Awards Committee, will undertake a Small Value Procurement for the “Supply and Delivery of Electrical Supplies for the Installation and Repair of Lights at Mushroom Center</t>
  </si>
  <si>
    <t xml:space="preserve"> Section I. Invitation to Bid Republic of the Philippines PROVINCE OF ZAMBOANGA SIBUGAY Capitol Building, Ipil Heights, Ipil, Zamboanga Sibugay INVITATION TO BID FOR  Assorted tires, batteries, Oil and fuel filter, and other supplies and materials for the </t>
  </si>
  <si>
    <t xml:space="preserve"> The Department of Agriculture-RFO 3, invites interested suppliers to submit quotations/proposals for the hereunder requirement, to wit: 		MEALS &amp; SNACKS	 		September 23, 2020	 40	pax	AM Snacks - Pancit Palabok with Puto, Coffee/Buko Juice	 40	pax	Lunch - </t>
  </si>
  <si>
    <t xml:space="preserve"> Supplies for the Rapid Action Team Response for ASF, LGU Nabua, Camarines Sur</t>
  </si>
  <si>
    <t xml:space="preserve"> see attached associated components.</t>
  </si>
  <si>
    <t xml:space="preserve"> ARTICLE AND DESCRIPTION										 ITEM	QTY.	UNIT						CEILING 			UNIT PRICE			TOTAL  								PRICE						 				Office: Urban Settlements Office				PR. No. 961						 				Charge to: Information and Communications				OBR. No. 100-2007-06289						 				Technolog</t>
  </si>
  <si>
    <t xml:space="preserve"> Notice for Negotiated Procurement All prospective bidders are invited to bid on the above items. The Municipality of Boac reserves the right to accept or reject any bid, to annul the bidding process, and to reject all bids at any time prior to contract aw</t>
  </si>
  <si>
    <t xml:space="preserve"> Republic of the Philippines Province of Iloilo Municipality of Lambunao Office of the Bids &amp; Awards Committee INVITATION TO BID/ REQUEST FOR PRICE QUOTATION Name of Project: Purchase of Materials for the Repair &amp; Maint. of Machinery &amp; Equipments (Repair o</t>
  </si>
  <si>
    <t xml:space="preserve"> INVITATION TO BID FOR  SUPPLY AND DELIVERY OF EXPANDED PLASTIC ENVELOPE WITH HOLDER, SIZE-LEGAL WITH CUSTOMIZED PRINT 1.	The City Government of Trece Martires, through the General Fund intends to apply the sum of Four million eight hundred thousand pesos </t>
  </si>
  <si>
    <t xml:space="preserve"> 200 VIALS ANTI-RABBIES 8 LIT. DEWORMER 4 BOT. IVERMECTIN</t>
  </si>
  <si>
    <t xml:space="preserve"> PURPOSE: Purchase Request for the use of Nursing Unit / Centralization. (for COVID-19)  ********************* Fax your Price Quotation at Tel. Fax#: 426-30-45 / 927-64-26 loc 2561 or Email at bacveterans@gmail.com. Please indicate the brand name, complete</t>
  </si>
  <si>
    <t xml:space="preserve"> 499,994.00  PROCUREMENT OF SOLID WASTE MANAGE				 MENT EQUIPMENT AND SUPPLIES				 Equipment				 Shredder		3	pcs	 Grass cutter 4 stroke cooled brush		3	pcs	 Supplies				 Segregated garbage bins with frame		6	pcs	 Heavy duty gloves, acid resistant		15	pcs	 </t>
  </si>
  <si>
    <t xml:space="preserve"> Completion of Road Concreting at Zone 3-A to Zone 4 , Bustrac, Nabua, Camarines Sur</t>
  </si>
  <si>
    <t xml:space="preserve"> 1 unit - Laptop 4GB Ram, 1HDD + 256 SF, Intel i7 10th GEN. 2GB VGA, 15.6" Screen Full HP, Window 10, MS Office 2019 Internet Security 1 unit - Printer, Deskjet, multipurpose with scanner 1 unit - Desktop, Intel i3 8th GEN 3-4 GHZ 8GB RAM, 1TB HDD + 240 DD</t>
  </si>
  <si>
    <t xml:space="preserve"> PURPOSE: For the use of Nursing Service ( three months consumptions.) ********************* Fax your Price Quotation at Tel. Fax#: 426-30-45 / 927-64-26 loc 2561 or Email at bacveterans@gmail.com. Please indicate the brand name, complete specifications an</t>
  </si>
  <si>
    <t xml:space="preserve"> 1.             The Local Government Unit of Pasil,  through the General Fund 2019 Savings  intends to apply the sum of One Hundred Fifty Thousand Pesos Only (P150,000.00) being the Approved Budget for the Contract (ABC) to payments under the contract for </t>
  </si>
  <si>
    <t xml:space="preserve"> Republic of the Philippines Province of Eastern Samar Municipality of Dolores INVITATION TO BID  PURCHASE OF GALVANIZED IRON CORRUGATED  1.	The Local Government Unit - Dolores, through the Donations Fund intends to apply the sum of One Million Pesos (Php1</t>
  </si>
  <si>
    <t xml:space="preserve"> INVITATION TO BID 1.	The Bangko Sentral ng Pilipinas (BSP), through its Bids and Awards Committee-Security Plant Complex, invites Bidders to apply for eligibility and to bid for the hereunder requirement: Name of Project/Brief Description:  One (1) lot Re</t>
  </si>
  <si>
    <t xml:space="preserve"> The PRDP-RPCO through the Department of Agriculture Regional Field Office 3 is hereby invited suppliers to submit quotations/proposals from the here-under requirements, to wit: Provision of Meals and Snacks to be served during the conduct of Household Sur</t>
  </si>
  <si>
    <t xml:space="preserve"> INVITATION TO BID  1.	The Davao City Water District (DCWD), through the DCWD 2020 Corporate Operating Budget intends to apply the sum indicated below being the Approved Budget for the Contract (ABC) to payments under the contracts as shown below. Bids rec</t>
  </si>
  <si>
    <t xml:space="preserve"> Construction of 10.00m x 10.00m Multi-Purpose Building Extension.</t>
  </si>
  <si>
    <t xml:space="preserve"> 1.             The Local Government Unit of Pasil,  through the 2020 General Fund  intends to apply the sum of One Hundred Thirty Six Thousand Pesos Only (P136,000.00) being the Approved Budget for the Contract (ABC) to payments under the contract for Pro</t>
  </si>
  <si>
    <t xml:space="preserve"> Concreting and Riprapping of Road at Sitio Magringao, San Antonio Ogbon, Nabua, Camarines Sur</t>
  </si>
  <si>
    <t xml:space="preserve"> 1.            The Local Government Unit of Pasil,  through the MDRRM Savings/2019 Regular Savings , intends to apply the sum of One Hundred Ninety Eight Thousand Pesos Only (₱ 198,000.00) being the Approved Budget for the Contract (ABC) to payments under </t>
  </si>
  <si>
    <t xml:space="preserve"> 12	pc	electrical tape (big)		 60	pc	Grinding Stone 4" diameter		 60	pc	Grinding disc 4" diameter		 25	pair	leather hand gloves long sleeve		 25	pc	wire brush ( steel brush)		 12	pc	plier tong		 8	pc	electrode holder 500 amps		 25	pc	hack saw blade		 12	pc</t>
  </si>
  <si>
    <t xml:space="preserve"> ITEM NO.	Unit of issue	ITEM &amp;DESCRIPTION	Brand &amp; Model	QTY.	 1	pc	Scissors		5	 2	pc	Stapler		5	 3	pc	Whiteboard marker pens refillable, black		50	 4	pc	Sign pen, 0.5 fine, black		45	 5	set	Ink, compatible for Epson L360 (MYCB)		2	 6	set	Ink, compatible fo</t>
  </si>
  <si>
    <t xml:space="preserve"> Republic of the Philippines DEPARTMENT OF AGRICULTURE Regional Field Office IX, Zamboanga Peninsula INVITATION TO BID FOR SUPPLY AND DELIVERY OF 2,005 BAGS OF CORN SEEDS 1.	The Department of Agriculture Regional Field Office IX, through the GAA 2020 - (Na</t>
  </si>
  <si>
    <t xml:space="preserve"> For supply and delivery of the following: 170	bag	Broiler Starter 50kg/bag			 20	bag	Pre-Starter Pellets (Mice) 50 kg/bag			 140	bag	Pig Starter  50kg/bag			 6	bag	Range Feeds (Sheep &amp; Goat)</t>
  </si>
  <si>
    <t xml:space="preserve"> PURPOSE: Purchase Request for the use of Nursing Unit / Centralization  ************** Fax your Price Quotation at Tel. Fax#: 426-30-45 / 927-64-26 loc 2561 or Email at bacveterans@gmail.com. Please indicate the brand name, complete specifications and att</t>
  </si>
  <si>
    <t xml:space="preserve"> SEE ATTACHED APPROVED PURCHASE REQUEST</t>
  </si>
  <si>
    <t xml:space="preserve"> Purchase of Service Vehicle  	The Municipal Government of San Andres, Romblon through Capital Outlay (Regular Budget 2020)  intends to apply the sum of  One Hundred Fifty Thousand Pesos(Php150,000.00) only  being the Approved Budget for the Contract (ABC)</t>
  </si>
  <si>
    <t xml:space="preserve"> PURPOSE: For the use of Nursing / Centralization *************************** Fax your Price Quotation at Tel. Fax#: 426-30-45 / 927-64-26 loc 2561 or Email at bacveterans@gmail.com. Please indicate the brand name, complete specifications and attach CPR</t>
  </si>
  <si>
    <t xml:space="preserve"> 1   lot        Supplies for Covid 19 Prevention                                  Php  215,525.00                                                     425    box       Face Mask                                      255    box       Face Shield with protecti</t>
  </si>
  <si>
    <t xml:space="preserve"> (PLEASE SEE ATTACHED ASSOCIATED COMPONENTS) ITB NO. AMP-NP (TFB) 2020-002 (VARIOUS MEDICAL EQUIPMENT)  1. MEDICAL WEIGHING SCALE-LAB                              100,000.00 (ITB BAC2-2019-001) 2. MEDICAL EQUIPMENT                                          </t>
  </si>
  <si>
    <t xml:space="preserve"> 350 pc – Acoustic board, 2’ x 4’ x 5/8 thick, Grade: RH99, class 1, Color: white, fine fissured, high humidity, asbestos free                            nothing follows</t>
  </si>
  <si>
    <t xml:space="preserve"> Republic of the Philippines				 Province of Cebu				 MUNICIPALITY  OF  DALAGUETE				 				 Office of the Bids and  Awards Committee				  				 REQUEST FOR QUOTATION 				 (Small Value Procurement Mode)				  		Control No:. ______________________________	Date:</t>
  </si>
  <si>
    <t xml:space="preserve"> Concreting of PathWay with Riprapping at Zone 5, Brgy. La Purisima , Nabua, Camarines Sur</t>
  </si>
  <si>
    <t xml:space="preserve"> 280 piece - 240 L Capacity Garbage Bins with Cover and Rollers</t>
  </si>
  <si>
    <t xml:space="preserve"> Local Government Unit of Barangay Campetic Palo, Leyte INVITATION TO BID FOR Delivery and Installation of PUBLIC ADDRESS 2020-08-01 1.	The Local Government Unit of Barangay Sa Palo, Leyte through the General Fund 5% Calamity Fund  intends to apply the sum</t>
  </si>
  <si>
    <t xml:space="preserve"> please see attached associated components</t>
  </si>
  <si>
    <t xml:space="preserve"> Technical Specifications: Paper Size 8.25" x 10.75", Paper Thickness 48.8 gsm                                      Arrange and with sorting, printing not back to back Appropriated Budget for the Contract (ABC): 30% of MOOE Item/List No.                   </t>
  </si>
  <si>
    <t xml:space="preserve"> 1       lot        Battery and Tires                               Php  145,500.00                                                                 1   pc       Battery 3SMF Motolite Gold                          4   pcs      Tire Description : Bridgestone</t>
  </si>
  <si>
    <t xml:space="preserve"> Road Reblocking Zone 1, San Antonio Poblacion, Nabua, Camarines Sur</t>
  </si>
  <si>
    <t xml:space="preserve"> Republic of the Philippines Province of Iloilo Municipality of Lambunao Office of the Bids &amp; Awards Committee INVITATION TO BID/ REQUEST FOR PRICE QUOTATION Name of Project: Purchase of Materials for the Lighting Maintenance of Various Municipal Building </t>
  </si>
  <si>
    <t xml:space="preserve"> Tape Measure ----- 242 Pcs Scissors ----- 242 Pairs Floral Tape ----- 242 Rolls Masking Tape ----- 242 Rolls White Glue ----- 242 Cup Glue Stick ----- 726 Pcs Cartolina ----- 55 Pcs Wire #16 ----- 33 Kgs Wire #18 ----- 33 Kgs Dye Yellow ----- 66 Sachet Dy</t>
  </si>
  <si>
    <t xml:space="preserve"> Republic of the Philippines DEPARTMENT OF PUBLIC WORKS AND HIGHWAYS Regional Office No. IV-A Cavite 1st District Engineering Office Trece Martires City Name of Procuring Entity : DPWH-CDEO, TMC Purchase Request (P.R. No.) : 20-08-076 Revised on : Date : A</t>
  </si>
  <si>
    <t xml:space="preserve"> INVITATION TO BID FOR Procurement for Reproduction of Modules for Grade 3 to 12 with ALS (Week 7 and 8) / Goods-2020-004 1.	The DepEd CAR, Schools Division of Benguet, through the General Appropriations Act 2020 intends to apply the sum of Nine Million Fi</t>
  </si>
  <si>
    <t xml:space="preserve"> SUBMISSION OF SEALED QUOTATION: Please submit the accomplished Request for Quotation (RFQ) Form before the closing date at PPMD 2nd flr. SSS Main Bldg., East Ave., Quezon City. Submit in Sealed Envelope address to Ms. HYDEE R. RAQUID – Department Manager </t>
  </si>
  <si>
    <t xml:space="preserve"> Request for Quotation for Laptop, Photocopy Machine and Printer</t>
  </si>
  <si>
    <t xml:space="preserve"> PURPOSE: For the use of Nursing / Centralization (3 months consumption) ************************ Fax your Price Quotation at Tel. Fax#: 426-30-45 / 927-64-26 loc 2561 or Email at bacveterans@gmail.com. Please indicate the brand name, complete specificatio</t>
  </si>
  <si>
    <t xml:space="preserve"> Contract ID: 20GO0107 Contract Name: WIDENING/ IMPROVEMENT/ UPGRADING OF HONORATA MANALO ( BURI ROAD) , BRGY. MANDALAGAN, Bacolod City Contract Location: Brgy. Mandalagan , Bacolod City, Negros Occidental Brief Description: Widening/ Improvement / Upgradi</t>
  </si>
  <si>
    <t xml:space="preserve"> Concreting of PathWay at Zone 6, Sta. Elena, Nabua, Camarines Sur</t>
  </si>
  <si>
    <t xml:space="preserve"> BIDDING DATE AND TIME: SEPTEMBER 2, 2020 1:00 P.M.</t>
  </si>
  <si>
    <t xml:space="preserve"> Concreting of Local Road Zone 6, Paloyon Proper, Nabua, Camarines Sur</t>
  </si>
  <si>
    <t xml:space="preserve"> 1	Natural Dark Brown Combi Blinds	374	Sq. M. 2	Basic Dark Gray Combi Blinds	260	Sq. M</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</si>
  <si>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</si>
  <si>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Purchase of cellphone for barangay @ Barangay transaction.</t>
  </si>
  <si>
    <t xml:space="preserve"> 120 pcs Printer Ribbon (659515) 45 boxes PVC Blank Card</t>
  </si>
  <si>
    <t xml:space="preserve"> INVITATION TO BID The Philippine Ports Authority (PPA), Port Management Office of Surigao, through its Bids and Awards Committee (BAC) for Procurement of Goods and Consultancy Services and for Engineering Projects, invites contractors registered with and </t>
  </si>
  <si>
    <t xml:space="preserve"> INVITATION TO BID FOR THE PROCUREMENT OF VARIOUS SPARE PARTS FOR PPC SUZUKI SUPER CARRY MOTOR VEHICLES   1.	The Philippine Postal Corporation, through the CY 2020 Corporate Budget approved by PHLPost Board of Directors, intends to apply the sum of Six Hun</t>
  </si>
  <si>
    <t xml:space="preserve"> For water treatment chemicals.</t>
  </si>
  <si>
    <t xml:space="preserve"> INVITATION TO BID FOR THE PROCUREMENT OF VARIOUS KINDS OF TIRES FOR PPC MAIL VEHICLES   1.	The Philippine Postal Corporation, through the CY 2020 Corporate Budget approved by PHLPost Board of Directors, intends to apply the sum of One Million Nine Hundred</t>
  </si>
  <si>
    <t xml:space="preserve"> 1010 ream bond paper, A4 35 box riso, ink 45 box riso, copy master 50 roll duct tape, 2 inches 7000 piece plastic envelope please quote your lowest price inclusive of VAT on item/s listed below, subject to the Terms and Conditions of this RFQ, and submit </t>
  </si>
  <si>
    <t xml:space="preserve"> Republic of the Philippines BATANGAS STATE UNIVERSITY Batangas City REQUEST FOR QUOTATION "Procurement of Furniture and Fixture for BatstateU Main Campus I - Library"  1. The Batangas State University (BatState U) through the Bids and Awards Committee inv</t>
  </si>
  <si>
    <t xml:space="preserve"> please see attached file</t>
  </si>
  <si>
    <t xml:space="preserve"> Section I. Invitation to Bid Republic of the Philippines PROVINCE OF ZAMBOANGA SIBUGAY Capitol Building, Ipil Heights, Ipil, Zamboanga Sibugay INVITATION TO BID FOR  Assorted Tires &amp; Other Materials for Motor Vehicle 1.	The Province of Zamboanga Sibugay, </t>
  </si>
  <si>
    <t xml:space="preserve"> Local Government Unit of Barangay Campetic Palo, Leyte INVITATION TO BID FOR REHABILITATION OF CCTV CAMERA 2020-08-02 1.	The Local Government Unit of Barangay San Antonio Palo, Leyte through the General Fund 5% Calamity Fund  intends to apply the sum of O</t>
  </si>
  <si>
    <t xml:space="preserve"> Snack ----- 676 Heads</t>
  </si>
  <si>
    <t xml:space="preserve"> Contract for the Land Improvement (Fences of Various Schools) The Municipality of Santo Tomas, through SEF – AB CY 2020 intends to apply the sum of P’ 499,786.04 being the Approved Budget for the Contract (ABC) to payments under the contract Contract for </t>
  </si>
  <si>
    <t xml:space="preserve"> TO ALL INTERESTED BIDDER/SUPPLIER:    Please be informed that the Opening of Bid Quotations will be on August 31, 2020, 8:00AM  at Gold Conference Hall, Division Office, Schools Division of Compostela Valley.    Please be informed further that it is requi</t>
  </si>
  <si>
    <t xml:space="preserve"> See attached</t>
  </si>
  <si>
    <t xml:space="preserve"> 1      lot        Supplies for Covid 19 prevention                   Php  218,600.00                              1   unit     3 in 1 Automatic Thermal Scanner                                             with Alcohol auto dispenser Stand                  </t>
  </si>
  <si>
    <t xml:space="preserve"> PERSONAL PROTECTIVE EQUIPMENTS  100 piece - NP306 Chemical Respirator w/ Refill 100 piece - Poly Cotton Reflective Coveralls 100 pairs - Nitrile Disposable Gloves 50 piece  - 16L Manual Knapsack for Disinfection</t>
  </si>
  <si>
    <t xml:space="preserve"> The NATIONAL FOOD AUTHORITY (NFA) Regional Office V, through the NFA Corporate Operating Budget of 2020, intends to apply the sum of Nine Million Five Hundred Fifty Thousand (P9,550,000.00) inclusive of VAT being the Approved Budget for the Contract (ABC)</t>
  </si>
  <si>
    <t xml:space="preserve"> Procurement of Construction Materials for SDO Ground Maintenance Item &amp; Description | Quantity | Unit | 	ABC/unit price White Flat Wall Enamel Boysen		20	gal	x Php 600.00 = Php 12,000.00 Red Lead		3	gal x Php 450.00 = Php 1,350.00 = Php 1,350.00 Primer Ep</t>
  </si>
  <si>
    <t xml:space="preserve"> PROCUREMENT TERMS AND CONDITIONS 1. The Approved Budget for the Contract (ABC) is P11,500.00 2. Price quotation should be inclusive of the 5% / 3% Final VAT and expanded withholding tax (EWT) of 1% / 2% 3. Evaluation of bids will be conducted on a "per lo</t>
  </si>
  <si>
    <t xml:space="preserve"> Republic of the Philippines REGION IX PROVINCE OF ZAMBOANGA DEL SUR Pagadian City Provincial CapitolPagadian City INVITATION TO APPLY FOR ELIGIBILITY AND TO BID The Provincial Government of Zamboanga del Sur, through its Bids and Awards Committee (BAC), i</t>
  </si>
  <si>
    <t xml:space="preserve"> Purchase of computers, printers and other equipment parts in support to the project of the City Government for a centralize form of communication and business engagement  and to provide electronic governance thru computerization and automation of the oper</t>
  </si>
  <si>
    <t xml:space="preserve"> ITEMS TO BID; 1.Sliding Window ¼ Dark Grey w/ Analoc Frame 57x184      2    UNIT 2.Sliding ¼ Dark Grey w/ Analoc frame 54x47                     4    UNIT 3.Swing Door Glass                                                           1    UNIT 4.Round Tube </t>
  </si>
  <si>
    <t xml:space="preserve"> 1.	The Department of Education - Schools Division of Calbayog City, through the Fiscal Year2020 GAA – Financial Assistance/Subsidy to Operating Units intends to apply the sum of Php 4,333,640.00 being the Approved Budget for the Contract (ABC) to payments</t>
  </si>
  <si>
    <t xml:space="preserve"> Section I. Invitation to Bid Republic of the Philippines PROVINCE OF ZAMBOANGA SIBUGAY Capitol Building, Ipil Heights, Ipil, Zamboanga Sibugay INVITATION TO BID FOR  3 Tonner Floor Mounted Super Inverter Air Condition 1.	The Province of Zamboanga Sibugay,</t>
  </si>
  <si>
    <t xml:space="preserve"> SAND AND GRAVEL</t>
  </si>
  <si>
    <t xml:space="preserve"> Purchase of Supplies &amp; Materials and Installation of Ceiling ITEM &amp; DESCRIPTION	QTY	UNIT	UNIT PRICE	TOTAL PRICE Supplies &amp; Materials including Installation of Ceiling: *2” Metal furring *1/4” Hardiflex Furring * in blind rivets *including Painting &amp; Body </t>
  </si>
  <si>
    <t xml:space="preserve"> 1.	The Department of Education - Schools Division of Calbayog City, through the Fiscal Year2020 GAA – Financial Assistance/Subsidy to Operating Units intends to apply the sum of Php 2,165,985.00 being the Approved Budget for the Contract (ABC) to payments</t>
  </si>
  <si>
    <t xml:space="preserve"> Please see attached.</t>
  </si>
  <si>
    <t xml:space="preserve"> Procurement of IT accessories /equipmentfor safety and security system for the offiial use of DENR-RIV CALABARZON  for CY-2020, with specifications  listed below:      Item No.      Quantity          Description         1                10             Sea</t>
  </si>
  <si>
    <t xml:space="preserve"> ITEMS TO BID; LOT A:  FUEL OIL AND LUBS                 1               LOT LOT B: AGGREGATE SUB-BASE COARSE             45          CU.M.</t>
  </si>
  <si>
    <t xml:space="preserve"> Section I. Invitation to Bid Republic of the Philippines PROVINCE OF ZAMBOANGA SIBUGAY Capitol Building, Ipil Heights, Ipil, Zamboanga Sibugay INVITATION TO BID FOR  8 Units Lateral Cabinets, 3 Units Steel Cabinets &amp; 12 Units White Board, 4ft/8ft 1.	The P</t>
  </si>
  <si>
    <t xml:space="preserve"> Construction of drainage canal for purok 1 to purok 7</t>
  </si>
  <si>
    <t xml:space="preserve"> Section I. Invitation to Bid Republic of the Philippines PROVINCE OF ZAMBOANGA SIBUGAY Capitol Building, Ipil Heights, Ipil, Zamboanga Sibugay INVITATION TO BID FOR  15 Units Desktop Computer, 5 Units Printer &amp; 2 Units External Hard Drive 1.	The Province </t>
  </si>
  <si>
    <t xml:space="preserve"> Revised on: July 28, 2004                                         INVITATION TO APPLY FOR ELIGIBILITY AND TO BID                   The Local Government Unit of Catanauan, Quezon, through its Bids and Awards Committee (BAC), invites suppliers/manufacturers</t>
  </si>
  <si>
    <t xml:space="preserve"> Republic of the Philippines Province of Iloilo Municipality of Lambunao Office of the Bids &amp; Awards Committee INVITATION TO BID/ REQUEST FOR PRICE QUOTATION Name of Project: Purchase of Materials for the Const. of Slope protection with RC Pipes Location:B</t>
  </si>
  <si>
    <t xml:space="preserve"> REPUBLIC OF THE PHILIPPINES PROVINCE OF SURIGAO DEL NORTE MUNICIPALITY OF SAN ISIDRO San Isidro, Surigao del Norte Section I. Invitation to Bid  PROCUREMENT OF ONE (1) LOT OFFICES ASSORTED IT EQUIPMENT (supplemental) 1.	The Municipal Government of San Isi</t>
  </si>
  <si>
    <t xml:space="preserve"> Please see attached documents</t>
  </si>
  <si>
    <t xml:space="preserve"> Republic of the Philippines Province of Iloilo Municipality of Lambunao Office of the Bids &amp; Awards Committee INVITATION TO BID/ REQUEST FOR PRICE QUOTATION Name of Project: Purchase of Materials for the Road Concreting Location:  Brgy. Maite Grande, Lamb</t>
  </si>
  <si>
    <t xml:space="preserve"> Republic of the Philippines Province of Iloilo Municipality of Lambunao Office of the Bids &amp; Awards Committee INVITATION TO BID/ REQUEST FOR PRICE QUOTATION Name of Project: Purchase of Testing &amp; Instructional Materials for the use of Lambunao West Distri</t>
  </si>
  <si>
    <t xml:space="preserve"> Rehabilitation of Water System - Barangay Linabo</t>
  </si>
  <si>
    <t xml:space="preserve"> See Attached</t>
  </si>
  <si>
    <t xml:space="preserve"> Section I. Invitation to Bid Republic of the Philippines PROVINCE OF ZAMBOANGA SIBUGAY Capitol Building, Ipil Heights, Ipil, Zamboanga Sibugay INVITATION TO BID FOR  Signage &amp; Canopy Installation for Seal of Good Local Governance @ the 2/F, Capitol Bldg. </t>
  </si>
  <si>
    <t xml:space="preserve"> PROCUREMENT TERMS AND CONDITIONS 1. The Approved Budget for the Contract (ABC) is P37,897.00 2. Price quotation should be inclusive of the 5% / 3% Final VAT and expanded withholding tax (EWT) of 1% / 2% 3. Evaluation of bids will be conducted on a "per lo</t>
  </si>
  <si>
    <t xml:space="preserve"> 1.	The Department of Education - Schools Division of Calbayog City, through the Fiscal Year2020 GAA – Financial Assistance/Subsidy to Operating Units intends to apply the sum of Php 4,332,000.00 being the Approved Budget for the Contract (ABC) to payments</t>
  </si>
  <si>
    <t xml:space="preserve"> Republic of the Philippines Province of Iloilo Municipality of Lambunao Office of the Bids &amp; Awards Committee INVITATION TO BID/ REQUEST FOR PRICE QUOTATION Name of Project: Purchase of Materials for the Road Concreting Location:  Brgy. Binabaan Tirador, </t>
  </si>
  <si>
    <t xml:space="preserve"> BIDS AND AWARDS COMMITTEE INVITATION TO BID The DEPARTMENT OF HEALTH – CENTRAL VISAYAS CENTER FOR HEALTH DEVELOPMENT (DOH – CV CHD), through its Bids and Awards Committee (BAC), invites suppliers to bid for the hereunder items: BAC NO.	NAME OF PROJECT	EST</t>
  </si>
  <si>
    <t xml:space="preserve"> A.PROJECT DESCRIPTION Procurement of four (4) Laptop units and four (4) Office suite software licenses, these will replace the depreciated computer units. B.MODE OF PROCUREMENT Small Value Procurement (53.9) C.DESCRIPTIONS / TECHNICAL SPECIFICATIONS 1.Fou</t>
  </si>
  <si>
    <t xml:space="preserve"> Earthworks			 1	Backfilling	30	Cu.m	21,000.00 2	Gravel	1	Cu.m	1,200.00 	Concrete works			 3	Portland Cement	99	Bags	25,740.00 4	Washed Sand	6	Cu.m	7,200.00 5	Gravel 3/4"	12	Cu.m	14,400.00 6	10mm dia.RSB G40	34	Pcs.	5,950.00 7	12mm dia. RSB G41	5	Pcs.	1,12</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</si>
  <si>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</si>
  <si>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</si>
  <si>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Republic of the Philippines Province of Batangas MUNICIPALITY OF ALITAGTAG INVITATION TO BID FOR CONSTRUCTION/ IMPROVEMENT/ REHABILITATION OF MULTI- PURPOSE BUILDING (PHASE I) AT SO. DINGIN BRGY. POBLACION WEST, ALITAGTAG, BATANGAS The Municipal Governmen</t>
  </si>
  <si>
    <t xml:space="preserve"> HARDWARE MATERIALS</t>
  </si>
  <si>
    <t xml:space="preserve"> INVITATION TO BID FOR THE PROCUREMENT OF PIPES, VALVES AND FITTINGS 1. The LOCAL WATER UTILITIES ADMINISTRATIONhas receiveda Loan from the Asian Development Banktoward the cost of the Water District Development Sector Project, and it intends to apply part</t>
  </si>
  <si>
    <t xml:space="preserve"> Section I. Invitation to Bid Republic of the Philippines PROVINCE OF ZAMBOANGA SIBUGAY Capitol Building, Ipil Heights, Ipil, Zamboanga Sibugay INVITATION TO BID FOR  Materials for the Improvement of Provincial Treasurers Office 1.	The Province of Zamboang</t>
  </si>
  <si>
    <t xml:space="preserve"> 1.	The Department of Education - Schools Division of Calbayog City, through the Fiscal Year2020 GAA – Financial Assistance/Subsidy to Operating Units intends to apply the sum of Php 3,152,000.00 being the Approved Budget for the Contract (ABC) to payments</t>
  </si>
  <si>
    <t xml:space="preserve"> Road concreting from purok 1 to skills development training &amp; evacuation center</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</si>
  <si>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</si>
  <si>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1.	The Department of Education - Schools Division of Calbayog City, through the Fiscal Year2020 GAA – Financial Assistance/Subsidy to Operating Units intends to apply the sum of Php 4,332,001.00 being the Approved Budget for the Contract (ABC) to payments</t>
  </si>
  <si>
    <t xml:space="preserve"> ITEMS NECESSARY FOR MODULE PRINTING OF NAUWA TA MIGPUNGSE</t>
  </si>
  <si>
    <t xml:space="preserve"> ITEMS TO BID; LOT A:  FUEL OIL AND LUBS.       1      LOT LOT B: AGGREGATE SUB- BASE COARSE        45       CU.M</t>
  </si>
  <si>
    <t xml:space="preserve"> Please see attached file (RFQ-20-08-0703) for reference.</t>
  </si>
  <si>
    <t xml:space="preserve"> 16 PCS TACTICAL PANTS 16 PCS REFLECTIVE SAFETY VEST</t>
  </si>
  <si>
    <t xml:space="preserve"> SUPPLEMENTARY BUDGET FOR THE PRODUCTION OF SELF LEARNING MODULES OF DAMULOG SOUTH DISTRICT</t>
  </si>
  <si>
    <t xml:space="preserve"> Purchase of Risograph with AVR &amp; UPS ITEM &amp; DESCRIPTION	QTY	UNIT	UNIT PRICE	TOTAL PRICE RISOGRAPH WITH AVR &amp; UPS Specifications: -direct printing form a USB flash drive, direct from PC print, high speed digital master making/fully automatic stencil printi</t>
  </si>
  <si>
    <t xml:space="preserve"> 1. Diesel 2. Motor Oil 3. Brake Fluid</t>
  </si>
  <si>
    <t xml:space="preserve"> REQUEST FOR QUOTATION Date	:  AUGUST 25, 2020 RFQ No.: 2020-08-0069 PR No.	:  2020-08-118   9 The CAMP VICENTE LIM INTEGRATED SCHOOL, through its Bids and Awards Committee, intends to procure SUPPLY AND DELIVERY OF VARIOUS BINDING MATERIALS FOR LEARNING M</t>
  </si>
  <si>
    <t xml:space="preserve"> Supply of Vacuum Forming Machine, MS-Power BI, Desktop Computer, Sketchup Pro, Wireless-N Rounter, Tablet 10", Flash Drive, Headset, Recorder Kindly see attached LINK for specifications: https://drive.google.com/file/d/1yI9h8vTNZK6y72-dqReDU2AuA1d7udJ8/vi</t>
  </si>
  <si>
    <t xml:space="preserve"> Republic of the Philippines Province of Iloilo Municipality of Lambunao Office of the Bids &amp; Awards Committee INVITATION TO BID/ REQUEST FOR PRICE QUOTATION Name of Project: Purchase of Materials for the Road Concreting Location:  Brgy. Cayan Este, Lambun</t>
  </si>
  <si>
    <t xml:space="preserve"> Invitation to Bid for the  Procurement of Various Supplies and Semi-Expendable Equipment  1.	The JH Cerilles State College, through the General Fund – Fund 101 invites PhilGEPS registered suppliers to bid for the Procurement of Various Supplies and Semi-E</t>
  </si>
  <si>
    <t xml:space="preserve"> Request for Quotation (Negotiated Procurement-Sec. 53.1 of RIRR of RA 9184)                                                                             The Iligan City Government Bids and Awards Committee(BAC) Posted Request for Quotation for the Supply a</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</si>
  <si>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</si>
  <si>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Supply &amp; Delivery of Disinfectant Spray, scented, at least 350g.</t>
  </si>
  <si>
    <t xml:space="preserve"> Please see attachment</t>
  </si>
  <si>
    <t xml:space="preserve"> The Agricultural Training Institute Region IV-A (ATI Region IV-A) invites interested suppliers to submit quotations/ proposals for the hereunder requirement: Supply and Delivery of T-shirts with print for Usapang Ani at Kita: RCEF Program sa Region IV-A P</t>
  </si>
  <si>
    <t xml:space="preserve"> Republic of the Philippines Province of Iloilo Municipality of Lambunao Brgy. . Bayuco Barangay Office of the Bids &amp; Awards Committee INVITATION TO BID Name of Project: Purchase of Materials for the Rehabilitation of MP Hall Location: Brgy. Bayuco, Lambun</t>
  </si>
  <si>
    <t xml:space="preserve"> Description   1. The Local government Unit of Jipapad, Eastern Samar through the Capital Outlay (2020) intends to apply the sum of One Hundred Forty Thousand Pesos (140,000.00) being the Approved Budget for the Contract (ABC) as payment under the contract</t>
  </si>
  <si>
    <t xml:space="preserve"> INVITATION TO BID  PROCUREMENT OF ONE (1) LOT LIBRARY EQUIPMENT FOR  RESTORATION AND PRESERVATION OF LIBRARY MATERIALS  (STII-PB-2020-003) 1.	The DOST-SCIENCE AND TECHNOLOGY INFORMATION INSTITUTE (DOST-STII), through its Bids and Awards Committee (BAC), i</t>
  </si>
  <si>
    <t xml:space="preserve"> DESCRIPTION PROCUREMENT AND DELIVERY OF COMMON-USE OFFICE SUPPLIES – TONERS/INKS FOR CY 2020 NOTE: ALL ITEMS SHALL BE ORIGINAL, GENUINE, AND AUTHENTIC. Item No.	Item Description	Quantity 		 1	Ink Cartridge Black LC535XL-B for Brother MFC-1203	8 2	Ink Cart</t>
  </si>
  <si>
    <t xml:space="preserve"> reproduction of modules</t>
  </si>
  <si>
    <t xml:space="preserve"> Republic of the Philippines  DEPARTMENT OF PUBLIC WORKS AND HIGHWAYS REGIONAL OFFICE VIII Baras, Palo, Leyte NOTICE OF POSTING @ PHILGEPS / DPWH WEBSITE / BULLETIN BOARD                                                                                      </t>
  </si>
  <si>
    <t xml:space="preserve"> Republic of the Philippines Province of Iloilo Municipality of Lambunao Office of the Bids &amp; Awards Committee INVITATION TO BID Name of Project: Purchase of Materials for the Continuation of Perimeter Fence Location:  Brgy. Bayuco, Lambunao, Iloilo ABC: P</t>
  </si>
  <si>
    <t xml:space="preserve"> Procurement of Plaques For Loyalty And Retirees Specifications: Glass Plaque 9.5"h x 8"w x 3/8" thick clear body mounted on glass base Quantity: 2 pcs Price: Php5,000.00 Accrylic Plaque 7"h x 6"w(oval) x 3/8" thick clear body mounted on 1.25"h x 6"w wood </t>
  </si>
  <si>
    <t xml:space="preserve"> Name of the Procuring Entity					"(PR No. CDO-05-20M) (Cagayan de Oro City) "					 PHILIPPINE PORTS AUTHORITY, PMO MO/C										 Standard Form Number: SF-GOOD-60										 Revised on: May 24, 2004										 Standard Form Title: Request for Quotation					</t>
  </si>
  <si>
    <t xml:space="preserve"> Items and Specifications: Bond paper, A4, Subs. 		868		ream Stapler, #35				11		piece Staple Wire, 35 (5000/box)		10		box TOTAL ABC: PHP 200,000.00</t>
  </si>
  <si>
    <t xml:space="preserve"> The Department of Agriculture invites interested suppliers to submit quotations/proposals for the hereunder requirement: SUPPLY AND DELIVERY OF  VARIOUS IT PERIPHERALS FOR SAAD PROGRAM	 3	Piece	Pocket Wifi (LTE)	4,600.00 8	Piece	UPS	3,750.00 10	Piece	Exte</t>
  </si>
  <si>
    <t xml:space="preserve"> Republic of the Philippines Province of Nueva Ecija Municipality of Cuyapo OFFICE OF THE BIDS AND AWARDS COMMITTEE REQUEST FOR QUOTATION The Municipal Government of Cuyapo, Nueva Ecija  , through its Bids and Awards Committee, shall undertake a Procuremen</t>
  </si>
  <si>
    <t xml:space="preserve"> Republic of the Philippines Province of Negros Occidental Municipality of San Enrique OFFICE OF THE MUNICIPAL ENGINEER -oOo- 		 Name of Project		: Supply of Materials for the Construction and Rehabilitation of Drainage System Location			: Danao St., Brgy.</t>
  </si>
  <si>
    <t xml:space="preserve"> PURCHASE OF PERSONAL PROTECTIVE EQUIPMENT ( PPE )</t>
  </si>
  <si>
    <t xml:space="preserve"> 1 lot - Structured Cabling for Access Points, Dismantling &amp; Relocation of Equipment and Intelligent Server Rack (pls. see attached technical specification)</t>
  </si>
  <si>
    <t xml:space="preserve"> see attached POW</t>
  </si>
  <si>
    <t xml:space="preserve"> Flu Vaccine Quadrivalent Influenza Vaccine GlaxoSmithkline Expiration Date : Not Earlier than December 1, 2020 Qty: 77 pieces Unit Price: P1000.00 Total ABC: P77,000.00</t>
  </si>
  <si>
    <t xml:space="preserve"> SECTION I - INVITATION TO BID REBIDDING FOR THE SUPPLY, DELIVERY, INSTALLATION AND COMMISSIONING OF 80 TONS PITLESS TYPE OF ELECTRONIC TRUCKSCALE AT NFA COMPOUND IN AGUSO, TARLAC Project Reference No. 2020-RBAC-REGIII-026 The National Food Authority, Cent</t>
  </si>
  <si>
    <t xml:space="preserve"> 1.	The Department of Education - Schools Division of Calbayog City, through the Fiscal Year2020 GAA – Financial Assistance/Subsidy to Operating Units intends to apply the sum of Php 2,570,629.00 being the Approved Budget for the Contract (ABC) to payments</t>
  </si>
  <si>
    <t xml:space="preserve"> PURCHASE AIRCON/SPILY TYPE 1,5 HORSE POWER</t>
  </si>
  <si>
    <t xml:space="preserve"> INVITATION TO BID -2nd Bidding The Iligan City Government Bids and Awards Committee (BAC), through Capital Outlay-2019 AB intends to apply the sum of                               P 1,800,000.00 being the Approved Budget for the Contract (ABC) to payments</t>
  </si>
  <si>
    <t xml:space="preserve"> Name of the Procuring Entity					"(PR No. 1864-20) (Cagayan de Oro City) "					 PHILIPPINE PORTS AUTHORITY, PMO MO/C										 Standard Form Number: SF-GOOD-60										 Revised on: May 24, 2004										 Standard Form Title: Request for Quotation								</t>
  </si>
  <si>
    <t xml:space="preserve"> ITB 2020-16 1.	The SUGAR REGULATORY ADMINISTRATION, through the SRA Corporate Operating Budget 2020 intends to apply the sum of Three Million One Hundred Ten Thousand Pesos (₱3,110,000.00) being the total Approved Budget for the Contract (ABC) to payments</t>
  </si>
  <si>
    <t xml:space="preserve"> Procurement of Car Battery for Foton View Transvan Specifications: Maintenance-free Battery for Van Size: 3SM Application: For severe service and hot climate Aftersales support: 21 months or more warrant Quantity: 1 pc Price: Php9,000.00 Approved Budget f</t>
  </si>
  <si>
    <t xml:space="preserve"> NOTICE OF NEGOTIATED PROCUREMENT (Small Value Procurement) PNOC Exploration Corporation (PNOC EC), under its 2020 Corporate Budget, has an Approved Budget for the Contract (ABC) of Five Hundred Fifty Thousand Pesos (Php550,000.00) inclusive of all applica</t>
  </si>
  <si>
    <t xml:space="preserve"> 36	pc	Prepaid Load Card (Smart 300) 102	pc	Prepaid Load Card (Smart 100) 6	pc	Prepaid Load Card (Globe 300) 91	pc	Prepaid Load Card (Globe 100) 6	pc	Prepaid Load Card (TNT 300) 71	pc	Prepaid Load Card (TNT 100) 77	pc	Prepaid Load Card (TM 100) 6	pc	Prepai</t>
  </si>
  <si>
    <t xml:space="preserve"> Well Development        PVC Pipe #6 diameter x 20 ft (mouldex)     G.I. PIpe 1 1/4 sch. 40     G.I. Niple sch. 40 x 10"     G.I. coupling sch. 40 Well pumping &amp; Electrical System Installation       Submersible pump 2HP      Rubber tape      Electrical tap</t>
  </si>
  <si>
    <t xml:space="preserve"> The Bicol University Gubat Campus, through the Corporate Budget for the contract approved by the Board of Regents intends to apply the sum of Three Hundred Twenty-Seven Thousand Five Hundred Pesos (Php 327,500.00) being the Approved Budget for the Contrac</t>
  </si>
  <si>
    <t xml:space="preserve"> Supply and Delivery of Reagents Please see attached document for the Purchase Request and details of supplies (THOSE HIGHLIGHTED IN YELLOW ONLY)</t>
  </si>
  <si>
    <t xml:space="preserve"> PLEASE SEE ATTACHED APPROVED AGENCY ESTIMATE AND PURCHASE REQUEST.</t>
  </si>
  <si>
    <t xml:space="preserve"> 2 ea HF Base ICOM M-710 Accessories &amp; 18 L/I</t>
  </si>
  <si>
    <t xml:space="preserve"> SAMPLE DESCRIPTION</t>
  </si>
  <si>
    <t xml:space="preserve"> Rehabilitation of Multi-Purpose Hall/ Day Care Center, Purok 2 Barangay IV, Daet, Camarines Norte</t>
  </si>
  <si>
    <t xml:space="preserve"> INVITATION TO BID FOR PB-005-2020 Provision of Learning Resources (LRs) for the Implementation of the Basic Education-Learning Continuity Plan (BE-LCP) 	 1.	The DepED Schools Division of Ilocos Norte, through the General Appropriations Act of 2020  intend</t>
  </si>
  <si>
    <t xml:space="preserve"> VARIOUS TONER CARTRIDGE</t>
  </si>
  <si>
    <t xml:space="preserve"> Republic of the Philippines Province of Palawan Municipality of Busuanga OFFICE OF THE MUNICIPAL BIDS AND AWARDS COMMITTEE REQUEST FOR QUOTATION (SMALL VALUE PROCUREMENT) The Local Government of Busuanga, through its Municipal Bids and Awards Committee (M</t>
  </si>
  <si>
    <t xml:space="preserve"> This is a new normal way of celebrating the 48th Founding Anniversary of the Barangay Post Proper Northside, Makati City</t>
  </si>
  <si>
    <t xml:space="preserve"> Purchase of Office Equipment for day to day operations of Barangay Post Proper Northside, Makati City.</t>
  </si>
  <si>
    <t xml:space="preserve"> Supply and Delivery of the ff: 1. 96-well Sterile Microplates (Clear)     Quantity: 1 unit     Budget: P7,000 2. Eppendorf Tube (1.5 mL) Rnase/Dnase free     Quantity: 1 unit     Budget: P9,000 Please see attached Purchase Request (those highlighted in ye</t>
  </si>
  <si>
    <t xml:space="preserve"> Purchase of Solar Panel</t>
  </si>
  <si>
    <t xml:space="preserve"> Republic of the Philippines					 Department of Education							 REGION III- CENTRAL LUZON							 SCHOOLS DIVISION OF CITY OF BALANGA							 CATANING ELEMENTARY SCHOOL							 							 							 							 BIDS AND AWARDS COMMITTEE							 							 Request for Quot</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</si>
  <si>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</si>
  <si>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The PRDP-RPCO through the Department of Agriculture Regional Field Office 3 is hereby invited suppliers to submit quotations/proposals from the here-under requirements, to wit: Provision of Accommodation to be used during the conduct of Household Survey a</t>
  </si>
  <si>
    <t xml:space="preserve"> PROCUREMENT OF VARIOUS SUPPLIES AND MATERIALS</t>
  </si>
  <si>
    <t xml:space="preserve"> INVITATION TO BID The Iligan City Government Bids and Awards Committee (BAC), through Trust Fund 2020, intends to apply the sum of P 2,400,000.00 being the Approved Budget for the Contract (ABC) to payments under the Contract for Procurement of Medical Eq</t>
  </si>
  <si>
    <t xml:space="preserve"> Download attached Request for Quotation and submit physically to DTI-Mountain Province Provincial Office at 2/F Walter Clapp Centrum, Poblacion, Bontoc, Mountain Province. Or email us at car.mountainprovince.dti.gov.ph Please indicate if VAT or NON-VAT Re</t>
  </si>
  <si>
    <t xml:space="preserve"> Installation of Street Lighting System of Purok Tsiko Barangay Gubat, Daet, Camarines Norte</t>
  </si>
  <si>
    <t xml:space="preserve"> The PRDP-RPCO through the Department of Agriculture Regional Field Office 3 is hereby invited suppliers to submit quotations/proposals from the here-under requirements, to wit: Provision of Meals and Snacks to be served during the conduct of Key Informant</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</si>
  <si>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</si>
  <si>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Concreting of Barangay Road at Purok 6 Barangay Bagasbas, Daet, Camarines Norte</t>
  </si>
  <si>
    <t xml:space="preserve"> Requesting for Quotation (RFQ) for PR No. 2005185  Interested suppliers are invited to submit Sealed Price Quotations for the above listed items. The Request for Quotation (RFQ) for may be obtained from Mr. Albert A. Camarillo City General Services Office</t>
  </si>
  <si>
    <t xml:space="preserve"> Republic of the Philippines Department of Education Region VI – Western Visayas DIVISION OF AKLAN Poblacion, Numancia, Aklan 	 INVITATION TO BID Project No: DEPED-RO6-D1-REPRODUCTION(BE-LCP)-068-2020   The Department of Education Division of Aklan, throug</t>
  </si>
  <si>
    <t xml:space="preserve"> Reproduction of Quarter 1 modules with the following conditions; 1. supplier must meet the delivery date not later than September 14, 2020 2. the paper to be used must be 70 gsm 3. it must be arranged by subject accordingly and stapled at the side of each</t>
  </si>
  <si>
    <t xml:space="preserve"> BAC- LGU ILIGAN INVITATION TO BID The Iligan City Government Bids and Awards Committee (BAC), through Trust Fund 2020, intends to apply the sum of P 2,250,000.00 being the Approved Budget for the Contract (ABC) to payments under the Contract for Procureme</t>
  </si>
  <si>
    <t xml:space="preserve"> 45 pcs Good Wood 2x10x10 &amp; 18 L/I</t>
  </si>
  <si>
    <t xml:space="preserve"> 1 set 0.062 Pinx3 pcs. 1/8 Pin x 1 pc 1 set Exfix-Small 0.62 pin x 2 pcs. 1 set 2.0 Titanium Miniplates, 15-20 Holes 16 screws 1 set 0.62 Pinx1 pc 1 set 0.62 Pin x 2 pcs 5 set 7H Recon Plate 1 set PTLP Butress Plate 1 set 1/3 Tubular Plate x 2 sets 1 set </t>
  </si>
  <si>
    <t xml:space="preserve"> Please quote your price(s) for the article(s) as specified in the list below for the Schools Division of Bukidnon which are available in your store/establishment/company.  If available, please furnish catalogue, descriptive brochures or literature about t</t>
  </si>
  <si>
    <t xml:space="preserve"> Requesting for Quotation (RFQ) for PR No. 2002185  Interested suppliers are invited to submit Sealed Price Quotations for the above listed items. The Request for Quotation (RFQ) for may be obtained from Mr. Albert A. Camarillo City General Services Office</t>
  </si>
  <si>
    <t xml:space="preserve"> INVITATION TO BID PROCUREMENT OF PRIVATE MILLING SERVICES FOR NFA REGION 3 FOR THE YEAR 2020 (2nd Public Bidding) Project Reference No. NFA - 2020-RBAC-REGIII-029A 1. The NATIONAL FOOD AUTHORITY (NFA) Regional Office 3 intends to apply the sum of Nine Mil</t>
  </si>
  <si>
    <t xml:space="preserve"> PR NO. 20-08-0060								 INTERNET CONNECTION SUBSCRIPTION Gentlemen/Ladies: The Technological University of the Philippines – Manila intends to Procure  INTERNET CONNECTION SUBSCRIPTION with an Approved Budget for the Contract of One Hundred Seventy Thou</t>
  </si>
  <si>
    <t xml:space="preserve"> The Barangay Government of Poblacion VII, Tanauan City through the Bids and Awards Committee(BAC) invites Suppliers/Contractors to apply for the eligibility and if subsequently found eligible to bid for the supply of materials for the project described he</t>
  </si>
  <si>
    <t xml:space="preserve"> PR NO. 20-08-0059								 INTERNET CONNECTION SUBSCRIPTION Gentlemen/Ladies: The Technological University of the Philippines – Manila intends to Procure  INTERNET CONNECTION SUBSCRIPTION with an Approved Budget for the Contract of One Hundred Seventy Thou</t>
  </si>
  <si>
    <t xml:space="preserve"> 243 pcs. A4 Bondpaper 30 pcs. Color Black Ink 10 pcs. Color Yellow Ink 10 pcs. Color Cyan Ink 10pcs. Color Magenta Ink 436 pcs. Plastic Envelope (Long)</t>
  </si>
  <si>
    <t xml:space="preserve"> PROCUREMENT OF OFFICE SUPPLIES</t>
  </si>
  <si>
    <t xml:space="preserve"> Supplier must meet the following conditions; 1. Must delivered all the items first before payment made 2. it must be delivered in the school Upper Carmen ES 3.must have the lowest price in all the items listed</t>
  </si>
  <si>
    <t xml:space="preserve"> 15 can Biscuit in can (asstd) &amp; 26 L/I</t>
  </si>
  <si>
    <t xml:space="preserve"> DESCRIPTION                      % OF TOTAL                 UNIT                QUANTITY                              I. EXCAVATION                       6.46%                          cu,m                   68.50 II CONCRETE WORKS              55,91     </t>
  </si>
  <si>
    <t xml:space="preserve"> Requesting for Quotation (RFQ) for PR No. 2002281  Interested suppliers are invited to submit Sealed Price Quotations for the above listed items. The Request for Quotation (RFQ) for may be obtained from Mr. Albert A. Camarillo City General Services Office</t>
  </si>
  <si>
    <t xml:space="preserve"> UNIVERSITY OF THE PHILIPPINES BAGUIO Governor Pack Road, 2600 Baguio City  INVITATION TO BID  FOR THE SUPPLY AND DELIVERY OF BRANDED AND BRAND NEW VARIOUS INFORMATION TECHNOLOGY EQUIPMENT, PARTS &amp; ACCESSORIES &amp; PERIPHERALS Bid Reference No. UPB-BID-2020-0</t>
  </si>
  <si>
    <t xml:space="preserve"> Concreting/Widening of Road at Purok 1 Barangay San Isidro, Daet, Camarines Norte</t>
  </si>
  <si>
    <t xml:space="preserve"> The PRDP-RPCO through the Department of Agriculture Regional Field Office 3 is hereby invited suppliers to submit quotations/proposals from the here-under requirements, to wit: Provision of Accommodation to be used during the conduct of Key Informant Inte</t>
  </si>
  <si>
    <t xml:space="preserve"> 2 ea Magnetron, 4Kw &amp; 16 L/I</t>
  </si>
  <si>
    <t xml:space="preserve"> 15 rm Paper, Bond Long &amp; 67 L/I</t>
  </si>
  <si>
    <t xml:space="preserve"> The supplier must meet the following conditions; 1. must deliver in the school upon payment 2. must have the lowest price so that all the prescribed items will be purchased</t>
  </si>
  <si>
    <t xml:space="preserve"> Construction of Open Line Canal, Diego Naing St. Barangay I, Daet, Camarines Norte</t>
  </si>
  <si>
    <t xml:space="preserve"> Requesting for Quotation (RFQ) for PR No. 2005271  Interested suppliers are invited to submit Sealed Price Quotations for the above listed items. The Request for Quotation (RFQ) for may be obtained from Mr. Albert A. Camarillo City General Services Office</t>
  </si>
  <si>
    <t xml:space="preserve"> Republic of the Philippines Region XII Province of Cotabato BIDS AND AWARDS COMMITTEE Amas, Kidapawan City INVITATION TO BID FOR Supply &amp; Delivery of Medical Equipment for Cotabato Provincial Hospital, Amas, Kidapawan City. (PB-20-447) 1.	The Provincial G</t>
  </si>
  <si>
    <t xml:space="preserve"> PROCUREMENT OF STUDENT’S UNIFORM</t>
  </si>
  <si>
    <t xml:space="preserve"> Unit.              Item Description.          Quantity Pcs/Rolls.     P.E PIPE 1/2 (90m/roll)     248</t>
  </si>
  <si>
    <t xml:space="preserve"> The Office of the President-Presidential Management Staff (OP-PMS), through its Bids and Awards Committee (BAC), hereby invites all interested suppliers/distributors to quote their lowest price on the items listed below subject to the General Conditions s</t>
  </si>
  <si>
    <t xml:space="preserve"> The Nueva Ecija University of Science and Technology through its Bids and Awards Committee (BAC), invites entities to bid for the hereunder projects: 	 Name of Project: Supply and Delivery of Various ICT Equipment Location: NEUST, Cabanatuan City Approved</t>
  </si>
  <si>
    <t xml:space="preserve"> Republic of the Philippines Province of Iloilo MUNICIPALITY OF BINGAWAN Office of the Bids and Awards Committee INVITATION TO BID PURCHASE OF PASSENGER VAN Name of Project The Local Government Unit of Bingawan, through its General Fund intends to apply th</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</si>
  <si>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</si>
  <si>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H E A D Q U A R T E R S P H I L I P P I N E  A R M Y OFFICE OF THE PA BIDS AND AWARDS COMMITTEE-2 Fort Andres Bonifacio, Metro Manila 								24 August 2020 INVITATION TO BID The Armed Forces of the Philippines, through the Philippine Army Bids and Awards</t>
  </si>
  <si>
    <t xml:space="preserve"> New Tires and Batteries for GSD service vehicles 2	unit	3SMF Battery, Maintenance Free (with Trade-in) 					 10	piece	Tires 245/65 R17 for Mitsubishi Strada unit Plate Numbers:  RLF-191 &amp; SKR-742					 4	piece	Tires, 205/65 R15, Crosswind SJX-615					 8	pi</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</si>
  <si>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</si>
  <si>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Republic of the Philippines Region XII Province of Cotabato BIDS AND AWARDS COMMITTEE Amas, Kidapawan City INVITATION TO BID FOR Supply &amp; Delivery of Medical Equipment for Cotabato Provincial Hospital, Amas, Kidapawan City. (PB-20-448) 1.	The Provincial G</t>
  </si>
  <si>
    <t xml:space="preserve"> The Schools Division of Calapan City invites eligible suppliers/ bidders for reproduction and binding of ADM Modules. PhilGEPs registration, Mayor's Permit/Business Permit, DTI shall be attached upon submission of Quotation and letter of intent to: LYNN G</t>
  </si>
  <si>
    <t xml:space="preserve"> 500 ea Folder Sliding &amp; 15 L/I</t>
  </si>
  <si>
    <t xml:space="preserve"> INVITATION TO BID FOR Spare Parts and Lubricants for the Repair and Maintenance of Dumptruck D1-L088, D1-L090 and D1-L091 1.	The Municipality of San Jose, through the 2020 Annual Budget under General Fund   intends to apply the sum of Three Hundred Six Th</t>
  </si>
  <si>
    <t xml:space="preserve"> Republic of the Philippines Region XII Province of Cotabato BIDS AND AWARDS COMMITTEE Amas, Kidapawan City INVITATION TO BID FOR Supply &amp; Delivery of Hospital Beds for Cotabato Provincial Government Hospitals (MDH, ADH, AVDH, FTFMH, PRPCH, APCH, DADPFH) i</t>
  </si>
  <si>
    <t xml:space="preserve"> Republic of the Philippines              BATANGAS STATE UNIVERSITY                                  Batangas City               Tel. Nos. (043) 980-0385 loc 1549             REQUEST FOR QUOTATION Procurement of Office Supplies of Batangas State University</t>
  </si>
  <si>
    <t xml:space="preserve"> Invitation to Bid for Rehabilitation of Barangay Road at Barangay Labangan, SJOM 1.	The Municipality of San Jose, through the Barangay Fund  intends to apply the sum of Two Hundred Twenty Eight Thousand Fifty Four Pesos Only (Php 228,054.00) being the App</t>
  </si>
  <si>
    <t xml:space="preserve"> Republic of the Philippines BIDS AND AWARDS COMMITTEE Municipality of Bulusan Reference Number: PG-20-08-019 August 26, 2020 REQUEST FOR QUOTATION The Local Government of Bulusan, through its Bids and Awards Committee (BAC), requests suppliers/manufacture</t>
  </si>
  <si>
    <t xml:space="preserve"> Invitation to Bid for SUPPLY AND DELIVERY OF OFFICE EQUIPMENT AND FURNITURE FOR ENGINEERING OFFICE The Municipal Government of Looc, Romblon, through the AO-NO. 018-2019 Regular intends to apply the sum of Sixty-Five Thousand Pesos Only (P 65,000.00) bein</t>
  </si>
  <si>
    <t xml:space="preserve"> INVITATION TO BID FOR Purchase of 4x4 Service Vehicle for Monitoring of GAD Program and Services 1.	The Municipality of San Jose, through the 2019 Annual Budget under the Gender and Development Fund (Capital Outlay)   intends to apply the sum of One Milli</t>
  </si>
  <si>
    <t xml:space="preserve"> Scope of Work: Replace 1. Condenser Assymbly 2. Auxillary Fan Motor Assymbly front and back 3. Aircon Thermostat 4. Brake Shoe Leading/trailing FRT L-H/R-H 5. Open brake 6. Battery 7. Brake Drum FRT L-H / pull-out Install brake drum for machining 8. 1 pie</t>
  </si>
  <si>
    <t xml:space="preserve"> Requesting for Quotation (RFQ) for PR No. 2003131  Interested suppliers are invited to submit Sealed Price Quotations for the above listed items. The Request for Quotation (RFQ) for may be obtained from Mr. Albert A. Camarillo City General Services Office</t>
  </si>
  <si>
    <t xml:space="preserve"> INVITATION TO BID FOR THE SUPPLY OF LABOR &amp; MATERIALS FOR CONSTRUCTION OF DRAINAGE CANAL 1. The Barangay Government of  RIZAL  through Loca Development Fund  -intends to apply the sum of THREE HUNDRED SEVENTY SEVEN THOUSAND ONE HUNDRED FORTY THREE PESOS &amp;</t>
  </si>
  <si>
    <t xml:space="preserve"> INVITATION TO BID  	 The Department of Public Works and Highways-National Capital Region (DPWH-NCR), through  its Bids and Awards Committee (BAC), invites contractors to submit bids for the hereunder Contracts: 	  	        Contract ID	20O00069	20O00025 Co</t>
  </si>
  <si>
    <t xml:space="preserve"> PROCUREMENT OF SUPPLIES MOOE SUBSIDY FOR KIBURIAO C/S</t>
  </si>
  <si>
    <t xml:space="preserve"> The National Commission for Culture and the Arts (NCCA) through its Procurement Section intends to procure “Van Rental for Transportation Service of NCCA Employees” in accordance with Section 53.9 (Negotiated Procurement – Small Value Procurement) of the </t>
  </si>
  <si>
    <t xml:space="preserve"> Invitation to Bid to all Supplier/Contractor duly accredited by the City Council of Manila to supply and deliver the following items provided hereunder, to wit; Item	Qty.	 	Unit	 	 	 	DESCRIPTION	 	 	  1	 	350	 	Pcs	Laptop Table	 	 	 	 	 	 	 	  2	 	50	 	G</t>
  </si>
  <si>
    <t xml:space="preserve"> Republic of the Philippines BIDS AND AWARDS COMMITTEE Municipality of Bulusan Reference Number: PG-20-08-020 August 26, 2020 REQUEST FOR QUOTATION The Local Government of Bulusan, through its Bids and Awards Committee (BAC), requests suppliers/manufacture</t>
  </si>
  <si>
    <t xml:space="preserve"> Republic of the Philippines Region XII Province of Cotabato BIDS AND AWARDS COMMITTEE Amas, Kidapawan City INVITATION TO BID FOR Supply &amp; Delivery of Tissue Cultured Banana Lacatan for distribution to farmers provincewide under SAAD Program. (PB-20-451) 1</t>
  </si>
  <si>
    <t xml:space="preserve"> Seminar and forum on Sexual Orientation, Gender Identity, and Expression (SOJIE) and team building activity for the members of the various LGBTQ+ groups in the barangay</t>
  </si>
  <si>
    <t xml:space="preserve"> PROCUREMENT TERMS AND CONDITIONS 1. The Approved Budget for the Contract (ABC) is P11,750.00 2. Price quotation should be inclusive of the 5% / 3% Final VAT and expanded withholding tax (EWT) of 1% / 2% 3. Evaluation of bids will be conducted on a "per lo</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</si>
  <si>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</si>
  <si>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Republic of the Philippines Region XII Province of Cotabato BIDS AND AWARDS COMMITTEE Amas, Kidapawan City INVITATION TO BID FOR Supply &amp; Delivery of Goat for distribution to farmers provincewide under SAAD Program. (PB-20-449) 1.	The Provincial Governmen</t>
  </si>
  <si>
    <t xml:space="preserve"> Republic of the Philippines Province of Nueva Vizcaya BIDS AND AWARDS COMMITTEE (BAC-Goods) BAC OFFICE, Provincial Capitol, Bayombong, Nueva Vizcaya Tel. No. 078-392-2062 	 INVITATION TO BID FOR THE SUPPLY AND DELIVERY OF VEHICLE PARTS FOR VARIOUS VEHICLE</t>
  </si>
  <si>
    <t xml:space="preserve"> Supply of Labor and Materials for the Emergency Repair/ Replacement of POPCOM IV-A Regional Office Roof SCOPE OF WORKS: I. Pre-Construction works: a. Preparation / Installation of Scaffolding b. Dismantling of existing corrugated roof panel (213.4 lms) b.</t>
  </si>
  <si>
    <t xml:space="preserve"> INVITATION TO BID FOR THE SUPPLY OF LABOR &amp; MATERIALS FOR REHABILITATION AND INSTALLATION OF STREETLIGHTS 1. The Barangay Government of SANGALANG  through General Fund Capital Outlay  -intends to apply the sum of  FIVE HUNDRED SEVENTY FOUR THOUSAND FIVE H</t>
  </si>
  <si>
    <t xml:space="preserve"> Republic of the Philippines CARAGA Administrative Region PROVINCE OF DINAGAT ISLANDS San Jose, Dinagat Islands BIDS AND AWARDS COMMITTEE INVITATION TO BID FOR  SUPPLY AND DELIVERY OF TWO (2) UNITS BRAND NEW UTILITY VEHICLE (VAN TYPE) 1.	The Provincial Gov</t>
  </si>
  <si>
    <t xml:space="preserve"> Republic of the Philippines Region XII Province of Cotabato BIDS AND AWARDS COMMITTEE Amas, Kidapawan City INVITATION TO BID FOR Supply &amp; Delivery of Hybrid Corn Seeds for distribution to farmers provincewide under SAAD Program. (PB-20-450) 1.	The Provinc</t>
  </si>
  <si>
    <t xml:space="preserve"> Item No. 	QTY	Unit	Items and Description	 ABC	Bidder's Brand	Unit Price	"Total  Price" 							 1	2242	ream	Paper, Multipurpose,A4	 184.00 			 2	96	bottle	Printer Ink, Epson , Black	 266.00 			 3	70	bottle	Printer Ink, Epson , Yellow	 296.00 			 4	70	bottl</t>
  </si>
  <si>
    <t xml:space="preserve"> UNIT.             ITEM DESCRIPTION.              QUANTITY PAIRS.      RUBBER GLOVES                               100 PACKS      DETERGENT POWDER 880GRMS    50 PCS           STEEL WOOL                                       30 PCS           SCOURING PAD W/</t>
  </si>
  <si>
    <t xml:space="preserve"> Invitation to Bid to all Supplier/Contractor duly accredited by the City Council of Manila to supply and deliver the following items provided hereunder, to wit; Item	 	Qty.	 	Unit	 	 	 	DESCRIPTION 1	 	1	 	Set	CCTV Camera	 	 	 	 	   	 	 	 	 	(Cameras, Cab</t>
  </si>
  <si>
    <t xml:space="preserve"> PROCUREMENT TERMS AND CONDITIONS 1. The Approved Budget for the Contract (ABC) is P86,470.00 2. Price quotation should be inclusive of the 5% / 3% Final VAT and expanded withholding tax (EWT) of 1% / 2% 3. Evaluation of bids will be conducted on a "per lo</t>
  </si>
  <si>
    <t xml:space="preserve"> UNIT.          ITEM DESCRIPTION.             QUANTITY SET.            i5 94 PROCESSOR.                       1                     H310M MOTHERBOARD                     8GB 2666mhz DDR4 RAM                     GT710 2GB  VGA                     2TB HDD   </t>
  </si>
  <si>
    <t xml:space="preserve"> Invitation to Bid for Concreting of Farm to Market Road at Junction National Road to Slaughterhouse, Barangay Magbay, SJOM 1.	The Municipality of San Jose, through the General Fund-Special Account  intends to apply the sum of Eleven Million Five Hundred S</t>
  </si>
  <si>
    <t xml:space="preserve"> Purchase of foods and disinfectant for the Barangay control points.</t>
  </si>
  <si>
    <t xml:space="preserve"> Sir/Madam: Please quote your government price/s including delivery charges, VAT or other applicable taxes, and other incidental expenses for the goods listed in Annex A. Also, furnish us with descriptive brochures, catalogues, literatures and/or samples, </t>
  </si>
  <si>
    <t xml:space="preserve"> The Schools Division of Calapan City invites eligible suppliers/ bidders for the delivery of office supplies. PhilGEPs registration, Mayor's Permit/Business Permit, DTI shall be attached upon submission of Quotation and letter of intent to: LYNN GOZAR MEN</t>
  </si>
  <si>
    <t xml:space="preserve"> Republic of the Philippines Region XII Province of Cotabato BIDS AND AWARDS COMMITTEE Amas, Kidapawan City INVITATION TO BID FOR Supply &amp; Delivery of GeneXprt Machine (GeneXpert IV) for Cotabato Provincial Hospital, Amas, Kidapawan City in response to COV</t>
  </si>
  <si>
    <t xml:space="preserve"> A seminar on various genre of dance and their potential in being instruments of self-expression and a medium of communicating ideologies on pressing issues of the youth</t>
  </si>
  <si>
    <t xml:space="preserve"> PR NO. 20-07-0049A							 HARDWARE AND CONSTRUCTION SUPPLY Gentlemen/Ladies: The Technological University of the Philippines – Manila intends to Procure  HARDWARE AND CONSTRUCTION SUPPLIES with an Approved Budget for the Contract of One Hundred Twenty-One</t>
  </si>
  <si>
    <t xml:space="preserve"> Item No.		ITEMS &amp; DESCRIPTION					QTY/UNIT	ABC (Approved Budget)		BIDDERS BRAND			UNIT PRICE	TOTAL PRICE 1		A4 Bond Paper					 88,000.00 							 2		Epson Ink, Black					 33,927.00 							 3		Epson Ink, colored					 19,175.00 							 4		               noth</t>
  </si>
  <si>
    <t xml:space="preserve"> Republic of the Philippines Municipality of Teresa Province of Rizal INVITATION TO BID FOR PURCHASE AND DELIVERY OF BOOKS FOR DAY CARE CHILDREN 1.	The Municipality of Teresa, through the CY 2020 General Fund Annual Budget intends to apply the sum of FIVE </t>
  </si>
  <si>
    <t xml:space="preserve"> Republic of the Philippines Region XII Province of Cotabato BIDS AND AWARDS COMMITTEE Amas, Kidapawan City INVITATION TO BID FOR Supply &amp; Delivery of Medical Supplies in support to the Operation of Health and Other Facilities established related to COVID-</t>
  </si>
  <si>
    <t xml:space="preserve"> UNIT.          ITEM DESCRIPTION                                                    QUANTITY UNIT           2.5 HP D SMART QUEEN WALL MOUNTED.                       1                     INVERTER (including installation)                ABC- 80,000.00</t>
  </si>
  <si>
    <t xml:space="preserve"> 1	SET	FRT. LEAF SPRING ASSY 1	PC	TIRE WRENCH 32MM 1	PC	SOCKET WRENCH 1	PC	EXTENSION HUNDLE 10	PC	3/16 INVERTED FITTING 2	PC	TAIL LIGHT ASSY 4	PC	U-BOLT 16X72X40 1	PC	CENTER BEARING ASSY WITH ROCKET 1	SET	LINER KIT ASSY 1	SET	MAIN BEARING STD 1	SET	CONROD </t>
  </si>
  <si>
    <t xml:space="preserve"> RFQ&gt;&gt;&gt; Supply and Delivery of Common Office Supplies | Pinsao Elementary School  ABC=P73,561.00 Download RFQ for complete list and specifications of the items.</t>
  </si>
  <si>
    <t xml:space="preserve"> 4,000 LITERS GASOLINE</t>
  </si>
  <si>
    <t xml:space="preserve"> Republic of the Philippines CARAGA Administrative Region PROVINCE OF DINAGAT ISLANDS San Jose, Dinagat Islands BIDS AND AWARDS COMMITTEE INVITATION TO BID FOR  SUPPLY AND DELIVERY OF TWO (2) UNITS BRAND NEW 4X4 PICK-UP 1.	The Provincial Government of Dina</t>
  </si>
  <si>
    <t xml:space="preserve"> Invitation to Bid for Concreting of Farm to Market Road at Barangay Mabini, SJOM 1.	The Municipality of San Jose, through the General Fund-Special Account  intends to apply the sum of Five Million Pesos Only (Php 5,000,000.00) being the Approved Budget fo</t>
  </si>
  <si>
    <t xml:space="preserve"> Item Number	Description	 QTY 	UNIT	 ESTIMATED BUDGET  	Super Tank GRG-879			 1	Hydrovac	1	set	 38,100.00  2	Fuse	20	pcs	 204.00  3	Head Light Socket	4	pcs	 604.00  4	Head Light Switch	2	pcs	 1,166.00  5	Bolt 6mm	20	pcs	 204.00  6	Bolt 8mm	20	pcs	 204.00  </t>
  </si>
  <si>
    <t xml:space="preserve"> SEE ATTACHMENT</t>
  </si>
  <si>
    <t xml:space="preserve"> The National Prosecution Service, Department of Justice, Region VII (NPS-DOJ VII) now invites bids for security services for the said DOJ Cebu Building. Delivery of the Goods is required for the period from October 1 to December 31, 2020. Bidders should h</t>
  </si>
  <si>
    <t xml:space="preserve"> INVITATION TO BID FOR Purchase of Various Office Supplies for LGU of San Jose (3rd Quarter) 1.	The Municipality of San Jose, through the 2020 Annual Budget (General Fund) under the Office Supplies Expenses of the Local Government Unit of San Jose   intend</t>
  </si>
  <si>
    <t xml:space="preserve"> 4 ea Keyboard Option Assy &amp; 7 L/I</t>
  </si>
  <si>
    <t xml:space="preserve"> Description	                                            Specifications	Quantity Long Expanded Plastic Envelope with Handle	Clear/White	309 Long Expanded Plastic Envelope with Handle	Orange	        261 Long Expanded Plastic Envelope with Handle	Violet	    </t>
  </si>
  <si>
    <t xml:space="preserve"> Proposed Repair/Rehabilitation of Barangay Multi-Purpose Hall</t>
  </si>
  <si>
    <t xml:space="preserve"> The National Prosecution Service, Department of Justice, Region VII (NPS-DOJ VII) now invites bids for janitorial services for the said DOJ Cebu Building. Delivery of the Goods is required for the period from October 1 to December 31, 2020. Bidders should</t>
  </si>
  <si>
    <t xml:space="preserve"> INVITATION TO BID FOR SUPPLY AND DELIVERY OF RAW MATERIALS FOR EMPLOYEES MEALS (2nd SEM.) ANGELES  under ITB No. PB20-08-009ANG  The Philippine Amusement and Gaming Corporation (PAGCOR) is inviting all interested bidders in its forthcoming public bidding </t>
  </si>
  <si>
    <t xml:space="preserve"> 2	PC	12 VOLTS 11 PLATES BATTERY 1	UNIT	DASHBOARD 2	PC	INPUT GEAR 1	SET	GEAR SYNCHRONIZER 1	PC	REVERSE GEAR 1	SET	CYLINDER HEAD 1	PC	BRAKE MASTER CYLINDER 2	PC	OIL FILTER 2	PC	FUEL FILTER</t>
  </si>
  <si>
    <t xml:space="preserve"> Procurement of Various Drugs and Medicines 1. Acetylcysteine 200mg, Sachet, Oral 2. Al OH 200mg + Mg OH 100mg, Chewable Tablet 3. Amlodipine 10mg, Tablet 4. Amoxicillin 500mg, Capsule 5. Anti-tetanus Serum (equine) injection 1500 I.U./ml, 1ml ampule (IM) </t>
  </si>
  <si>
    <t xml:space="preserve"> 1. Construction of crop storage and post-harvest facility at Tingalan, King Solomon ABC: Php 110,000.00 2. Construction of Open Canal at Gongel, Belong ABC: Php 177,706.40 3. Construction of Concrete Pavement at Mamuyod ABC: Php 100,000.00 4. Construction</t>
  </si>
  <si>
    <t xml:space="preserve"> Unit	Article/Articles 	 unit	Laptop, 15" unit	Printer, scanner, 4 in 1 unit	LCD projector w/ screen, HP, hdmi units	Shedder units	Fire extiguiser, 6kg units	Cart units	Wheel barrow units	Carbonizer pcs	Soil Thermometer units	Portable soil analyser kit uni</t>
  </si>
  <si>
    <t xml:space="preserve"> Supply &amp; Delivery of Construction Materials for the Proposed  Improvement of Day Care Center located at Brgy. Canabajan, Calinog, Iloilo</t>
  </si>
  <si>
    <t xml:space="preserve"> Kindly see the line Item Description</t>
  </si>
  <si>
    <t xml:space="preserve"> Republic of the Philippines Province of Davao Del Norte ISLAND GARDEN CITY OF SAMAL Barangay Camudmud Invitation to Bid for  Construction of Material Recovery Facility (MRF) 1.	The Barangay Local Government Unit of Camudmud, Babak District, Island Garden </t>
  </si>
  <si>
    <t xml:space="preserve"> Republic of the Philippines																																																										 DEPARTMENT OF PUBLIC WORKS AND HIGHWAYS																																																										 OFFICE OF THE DISTRICT ENGINEER																																								</t>
  </si>
  <si>
    <t xml:space="preserve"> REPAIR</t>
  </si>
  <si>
    <t xml:space="preserve"> 1.	Contract ID	: 20GDO0004 Contract Name	: Procurement of Asphalt Mix (FD) for the Repair and Maintenance of Rodriguez-San Jose Quezon City Road, San Mateo - Rodriguez Road, and Corazon C. Aquino Avenue, Rizal II District Engineering Office Contract Locat</t>
  </si>
  <si>
    <t xml:space="preserve"> A5001			50			bottle		Alcohol, isopropyl, 70%, 500ml																			 A5002			60			piece			Albatross, deo cake for toilet																			 A5003			40			can			Air Freshener, Aerosol, 280-300ml																			 A5003.1			30			piece			Air freshener, gel</t>
  </si>
  <si>
    <t xml:space="preserve"> NAME OF PROJECT		IMPROVEMENT OF EVACUATION CENTER		 LOCATION		                TABAN FUNDADO LIBMANAN,CAMARINES SUR	 APPROPRIATION		100,000.00	 SOURCE OF FUND		20% EDF  2020		 DESCRIPTION		Installation of ceiling (outdoor total)		 		                CHANGE </t>
  </si>
  <si>
    <t xml:space="preserve"> PROCUREMENT TERMS AND CONDITIONS 1. The Approved Budget for the Contract (ABC) is P6,500.00 2. Price quotation should be inclusive of the 5% / 3% Final VAT and expanded withholding tax (EWT) of 1% / 2% 3. Evaluation of bids will be conducted on a "per lot</t>
  </si>
  <si>
    <t xml:space="preserve"> 1 roll Polyester microfiber (green) - abrasion resistant, dries 10 quickly, durable, lightweight, strong, wrinkle resistant, and hydrophobic 90 width 2 roll Polyester microfiber (green) - abrasion resistant, dries 10 quickly, durable, lightweight, strong,</t>
  </si>
  <si>
    <t xml:space="preserve"> SUPPLY AND DELIVERY OF SANITARY TOILET BOWL  The Municipal Government of Looc, Romblon, through the AO-NO. 018-2019 Regular intends to apply the sum of One Hundred Thousand Pesos Only (P 100,000.00) being the Approved Budget for the Contract (ABC) to paym</t>
  </si>
  <si>
    <t xml:space="preserve"> Total Budget P 77, 000.00  8 X 13 Size of Bond papers and 70 GSM</t>
  </si>
  <si>
    <t xml:space="preserve"> Republic of the Philippines Region XII Province of Cotabato BIDS AND AWARDS COMMITTEE Amas, Kidapawan City INVITATION TO BID FOR Supply &amp; Delivery of Medicines in support to the Operation of Health and Other Facilities established related to COVID-19. (PB</t>
  </si>
  <si>
    <t xml:space="preserve"> 264 bags Cement 33 cum Gravel 16 cum sand 20 pcs. 2 x 6 x 12 Coco lumber 8 kls. Assorted CWN</t>
  </si>
  <si>
    <t xml:space="preserve"> 15			pcs			Practical Research: Planning and Design																			 						Authors: Paul D. Leedy																			 						Jeanne Ellis Ormrod																			 						Paperback																			 																									 						JERILE MAE CASIMIRO						</t>
  </si>
  <si>
    <t xml:space="preserve"> 5     ROLL      2X6 P.E TUBING 4     PC          "2" P.E COUPLING 15   ROLL      1X100 P.E TUBING 14   PC          "1" P.E COUPLING 30   PC          1X90" P.E ELBOW 1     PC          2X1 P.E COUPLING REDUCER 10   PC          "1" P.E TEE</t>
  </si>
  <si>
    <t xml:space="preserve"> Republic of the Philippines Region XII Province of Cotabato BIDS AND AWARDS COMMITTEE Amas, Kidapawan City INVITATION TO BID FOR Supply &amp; Delivery of Medical Equipment for Cotabato Provincial Hospital, Amas, Kidapawan City in response to COVID-19 and othe</t>
  </si>
  <si>
    <t xml:space="preserve"> 1LOT BILLBOARDS/SIGNAGE</t>
  </si>
  <si>
    <t xml:space="preserve"> A training/seminar on how to protect and preserve different rights of the youth in celebration of the National Law Week</t>
  </si>
  <si>
    <t xml:space="preserve"> The Municipality of Argao through the Bids &amp; Awards Committee (BAC) invites all interested suppliers/manufacturers/distributors/contractors/consultants to apply for eligibility and to submit bids for the following: ITEMS: 12	Box	 Carbamazepine 200 mg. /Ta</t>
  </si>
  <si>
    <t xml:space="preserve"> 2			set			Table Tennis, Table with wheels																			 						- roller 15mm with net and post																			 																									 						Purpose: For PEHM Unit</t>
  </si>
  <si>
    <t xml:space="preserve"> Supply and Delivery of Construction Materials and Supplies for Construction of Drainage Canal</t>
  </si>
  <si>
    <t xml:space="preserve"> I. LabTech Bldg.,																			 									a) Animal Laboratory																			 									H x W																			 1			1			piece			55" x 40.50" Combi Blinds (15.47 sqft)																			 2			1			piece			55" x 44.19" Combi Blinds, (16.88 sqft)						</t>
  </si>
  <si>
    <t xml:space="preserve"> 3.	Contract ID	: 20GDO0006 Contract Name	: Supply of Materials for the Application of Pavement Markings along Marikina – Infanta Road (Intermittent), Tanay, Rizal Contract Location: Tanay, Rizal Brief Description	: Supply of Materials for Application of P</t>
  </si>
  <si>
    <t xml:space="preserve"> 1 Unit of Network-Attached Storage (Data Storage Server)- Server Back up and Image archiving storage   Specifications: -	CPU Intel Celeron J3455 quad- core 1.5GHz, burst up to 2.3GHz -	Hardware encryption engine Yes (AES-NI)  -	Hardware transcoding engine</t>
  </si>
  <si>
    <t xml:space="preserve"> Procurement of 11 pcs of trash bin and 2 Door Gate</t>
  </si>
  <si>
    <t xml:space="preserve"> 600 ampule Clindamycin 150 mg/ml 300 tablet Cetirizine 10mg and others.</t>
  </si>
  <si>
    <t xml:space="preserve"> To replace existing water pipes with leaks. Please book an appointment for ocular.. Look for Mr Jopet Nunez or Ms Gerlie Paloma</t>
  </si>
  <si>
    <t xml:space="preserve"> 20GM00193 – Rental of Service Vehicle for Roads and Bridges Investigation Activities for DPWH Projects (September 16-30, 2020) (Equipment Rental Only)</t>
  </si>
  <si>
    <t xml:space="preserve"> Republic of the Philippines PROVINCE OF BUKDINON 	Malaybalay City	 OFFICE OF THE PROVINCIAL GOVERNOR Bids and Awards Committee REQUEST FOR BID PROPOSAL THROUGH NEGOTIATED PROCUREMENT (SECTION 53.2 – EMERGENCY CASES) SUPPLY AND DELIVERY OF PERSONAL PROTECT</t>
  </si>
  <si>
    <t xml:space="preserve"> Republic of the Philippines CARAGA Administrative Region PROVINCE OF DINAGAT ISLANDS San Jose, Dinagat Islands Bids AND AWARDS COMMITTEE Invitation to Bid  Project Name: 	REHABILITATION OF MULTI-PURPOSE BUILDING, STA. RITA, CAGDIANAO Location: Brgy. Sta. </t>
  </si>
  <si>
    <t xml:space="preserve"> 20GM00192 – Rental of Service Vehicle Chargeable to CY 2020 Annual Maintenance Work Program (AMWP) for Inspection and Supervision of Routine/Periodic Maintenance for Roads and Bridges Projects along Makilala-Allah Valley Road, Kidapawan-Calunasan-M'lang R</t>
  </si>
  <si>
    <t xml:space="preserve"> 1    lot       High Speed Scanners (10)                   External Web Camera with Built in Microphone(16)                   Pocket Wifi (5)                   Action Camera (5)                    Document Camera (5)</t>
  </si>
  <si>
    <t xml:space="preserve"> A seminar on Republic Act 10742 (Sangguniang Kabataan Reform Act of 2015) to introduce to the youth the new and reformed SK Law</t>
  </si>
  <si>
    <t xml:space="preserve"> 20GM00191 – Rental of Service Vehicle for Use in Supervision of Various Projects within the Cotabato Sub-District Engineering office assigned in the Quality Assurance Section (1 unit 4x4) (September 16-30, 2020) (Equipment Rental Only)</t>
  </si>
  <si>
    <t xml:space="preserve"> 20GM00190 – Rental of Service Vehicle for Road Slope and Survey Investigation Activities for DPWH Projects (September 16-30, 2020) (Equipment Rental Only)</t>
  </si>
  <si>
    <t xml:space="preserve"> Budget: 145000 Kinder to Grade6 Module Reproduction Estimated No. of Copies -  168700 cps. on Partial Long and A4 Bond paper, / GSM 80 / Fron and Clear Copy / Monochrome</t>
  </si>
  <si>
    <t xml:space="preserve"> 2.	Contract ID	: 20GDO0005 Contract Name	: Supply of Materials for the Application of Pavement Markings along San Mateo – Rodriguez Road (Intermittent), San Mateo &amp; Rodriguez, Rizal Contract Location: San Mateo &amp; Rodriguez, Rizal Brief Description	: Suppl</t>
  </si>
  <si>
    <t xml:space="preserve"> 20GM00189 – Rental of Service Vehicle Chargeable to CY 2020 Annual Maintenance Work Program (AMWP) for Inspection and Supervision of Routine/Periodic Maintenance for Roads and Bridges Projects along Banisilan-Guiling-Alamada-Libungan Road, Bukidnon-Cotaba</t>
  </si>
  <si>
    <t xml:space="preserve"> NEGOTIATED PROCUREMENT UNDER EMERGENCY CASE OF MILLING SERVICES FOR 150,000 BAGS PALAY FOR NFA-REGION XII FOR THE YEAR 2020</t>
  </si>
  <si>
    <t xml:space="preserve"> Republic of the Philippines PROVINCE OF BUKDINON 	Malaybalay City	 OFFICE OF THE PROVINCIAL GOVERNOR Bids and Awards Committee REQUEST FOR BID PROPOSAL THROUGH NEGOTIATED PROCUREMENT (SECTION 53.2 – EMERGENCY CASES) SUPPLY AND DELIVERY OF TESTING KITS AND</t>
  </si>
  <si>
    <t xml:space="preserve"> The Municipality of Argao through the Bids &amp; Awards Committee (BAC) invites all interested suppliers/manufacturers/distributors/contractors/consultants to apply for eligibility and to submit bids for the following: ITEMS: 150	Pcs	Acetylcysteine 600 mg sac</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</si>
  <si>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</si>
  <si>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</si>
  <si>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Item Number	Description	 QTY 	UNIT	 ESTIMATED BUDGET  1	Channel Bar 1/4x6x20	2	pcs	 10,800.00  2	Angle Bar 1/4x2x20	6	pcs	 7,380.00  3	Channel Bar 1/4x4x20	8	pcs	 28,640.00  4	Steel Plate 1/4 (Bl)	8	pcs	 62,640.00  5	Welding Rod	1	box	 2,805.00  6	Cutting</t>
  </si>
  <si>
    <t xml:space="preserve"> PROCUREMENT TERMS AND CONDITIONS 1. The Approved Budget for the Contract (ABC) is P21,185.00 2. Price quotation should be inclusive of the 5% / 3% Final VAT and expanded withholding tax (EWT) of 1% / 2% 3. Evaluation of bids will be conducted on a "per lo</t>
  </si>
  <si>
    <t xml:space="preserve"> Long sleeve - Front: With Tulong Panghanapbuhay para sa ating Disadvantaged/Displaced Workers print                     Back: DOLE official logo &amp; DOLE-TUPAD print                     Green color    Cap - Front: DOLE official logo print          Back: DOL</t>
  </si>
  <si>
    <t xml:space="preserve"> 1 unit Desktop Computer (8gb ddr4 2400MHZ/120SSD+ Seagate 1TB) P 43,000.00 1 unit Printer L3150 9,300.00 2 units Printer Netwok Multifunctions Color printer 15,800.00/unit 31,600.00 4 sets Ink 001 (black, cyan, magenta, yellow) 1,550.00/set 6,200.00 2 set</t>
  </si>
  <si>
    <t xml:space="preserve"> DepEd, Division of Sorsogon										 Standard Form Number: SF-GOOD-60										 Revised on: May 24, 2004										 REQUEST FOR QUOTATION										 										 						Date:		August 25, 2020		 						Quotation No.:		20-08-131-_______		 										 										 	</t>
  </si>
  <si>
    <t xml:space="preserve"> PROCUREMENT OF JANITORIAL SUPPLIES FOR CAAP DIA DIFFERENT UNIT USE. NOTE: CLOSING DATE OF ADVERTISEMENT  IS ON SEPTEMBER 2,2020 @ 12:00 NN. OPENING OF BIDDING DOCUMENTS   IS ON SEPTEMBER 2,2020 @ 01:30 PM. ////NOTHING FOLLOWS\\\\\</t>
  </si>
  <si>
    <t xml:space="preserve"> RFQ&gt;&gt;&gt; Reproduction of Learning Modules | Pinget National High School  ABC=P89,378.56 Download RFQ for complete list and specifications of the items.</t>
  </si>
  <si>
    <t xml:space="preserve"> 20GM00194 – Rental of Service Vehicle for Supervision/Implementation of Regular Infra Projects (September 16-30, 2020) (Equipment Rental Only)</t>
  </si>
  <si>
    <t xml:space="preserve"> Diagnostic, Imaging Laboratory Services to other hospitals</t>
  </si>
  <si>
    <t xml:space="preserve"> Republic of the Philippines CARAGA Administrative Region PROVINCE OF DINAGAT ISLANDS San Jose, Dinagat Islands BIDS AND AWARDS COMMITTEE INVITATION TO BID FOR  SUPPLY AND DELIVERY OF NUTRITIONAL FOOD SUPPLEMENT 1.	The Provincial Government of Dinagat Isla</t>
  </si>
  <si>
    <t xml:space="preserve"> PROCUREMENT OF OFFICE SUPPLIES FOR CAAP DIFFERENT UNIT USE NOTE: CLOSING DATE OF ADVERTISEMENT  IS ON SEPTEMBER 2,2020 @ 12:00 NN. OPENING OF BIDDING DOCUMENTS   IS ON SEPTEMBER 2,2020 @ 01:30 PM. ////NOTHING FOLLOWS\\\\\</t>
  </si>
  <si>
    <t xml:space="preserve"> Requesting for Quotation (RFQ) for PR No. 2003447  Interested suppliers are invited to submit Sealed Price Quotations for the above listed items. The Request for Quotation (RFQ) for may be obtained from Mr. Albert A. Camarillo City General Services Office</t>
  </si>
  <si>
    <t xml:space="preserve"> Invitation to Bid for SUPPLY, DELIVERY AND INSTALLATION OF AIRCON  FOR HUMAN RESOURCE OFFICE The Municipal Government of Looc, Romblon, through the AO-NO. 018-2019 Regular intends to apply the sum of Fifty-Seven Thousand Pesos Only (P 57,000.00) being the</t>
  </si>
  <si>
    <t xml:space="preserve"> Section I. Invitation to Bid Republic of the Philippines Province of Misamis Oriental  Municipality of Salay INVITATION TO BID FOR Procurement of materials for Construction of MPB(Temporary shelter for CICL &amp; VAWC-Cases and Rehab. Center ) Phase 3 1.	The </t>
  </si>
  <si>
    <t xml:space="preserve"> 1. 300 PIECES MONGGOL PENCIL 2. 240 PADS WRITING PADS GRADE I-IV 3. 300 BOXES CRAYONS 8 COLORS 4. 600 PIECES NOTEBOOK DOUBLE LINE 5. 1200 BALLPENS 6. 10 BOXES PASTEL OIL 7. 10 PIECES WAX PAPER 8. 10 PIECES BULBS SMALL 9. 500 PIECES PARACETAMOL 10. 100 PIE</t>
  </si>
  <si>
    <t xml:space="preserve"> Republic of the Philippines PROVINCE OF BUKDINON 	Malaybalay City	 OFFICE OF THE PROVINCIAL GOVERNOR Bids and Awards Committee REQUEST FOR BID PROPOSAL THROUGH NEGOTIATED PROCUREMENT (SECTION 53.2 – EMERGENCY CASES) SUPPLY AND DELIVERY OF MEDICAL SUPPLIES</t>
  </si>
  <si>
    <t xml:space="preserve"> T-shirts   100pcs Tarpaulin   2pcs Emergency Survival Kit   100set • Thermal Blanket • Cotton • Ice Bag • Conforming bandage • Micropore Tape • Resealable Plastic Bag • Garbage Bag • Tongue Depressor • Glow Sticks • Adhessive Strips • Batteries • Wound Dr</t>
  </si>
  <si>
    <t xml:space="preserve"> The Municipality of Argao through the Bids &amp; Awards Committee (BAC) invites all interested suppliers/manufacturers/distributors/contractors/consultants to apply for eligibility and to submit bids for the following: ITEMS: 1    UNIT     BRAND NEW PICK UP 4</t>
  </si>
  <si>
    <t xml:space="preserve"> Structural Excavation Installation Layout of Street Lights</t>
  </si>
  <si>
    <t xml:space="preserve"> Republic of the Philippines PROVINCE OF BUKDINON 	Malaybalay City	 OFFICE OF THE PROVINCIAL GOVERNOR Bids and Awards Committee REQUEST FOR BID PROPOSAL THROUGH NEGOTIATED PROCUREMENT (SECTION 53.2 – EMERGENCY CASES) SUPPLY AND DELIVERY OF DISINFECTANTS AN</t>
  </si>
  <si>
    <t xml:space="preserve"> *Brushing/Clearing *Excavation *Removal of Slide</t>
  </si>
  <si>
    <t xml:space="preserve"> Surplus Common Excavation Structure Excavation Stone Masonry</t>
  </si>
  <si>
    <t xml:space="preserve"> Invitation to Bid for SUPPLY AND DELIVERY OF VARIOUS OFFICE EQUIPMENT AND INSTALLATION OF AIRCON FOR THE OFFICE OF THE MUNICIPAL MAYOR The Municipal Government of Looc, Romblon, through the AO-NO. 018-2019 Regular intends to apply the sum of One Hundred N</t>
  </si>
  <si>
    <t xml:space="preserve"> Please quote your lowest price inclusive of VAT on the item/s listed below, subject to the Terms and Conditions of this RFQ, and submit your quotation duly signed by your representative not later than August 31,2020 at Bids and Awards Committee, Lantapan </t>
  </si>
  <si>
    <t xml:space="preserve"> Section I. Invitation to Bid FOR THE UPLB-S-057-09-20  SUPPLY, DELIVERY, INSTALLATION, TESTING AND COMMISSIONING OF AUTOMOTIVE EQUIPMENT FOR MTSS-UPMO 1.	The UNIVERSITY OF THE PHILIPPINES LOS BAÑOS (UPLB), through the GOP intends to apply the sum of SEVEN</t>
  </si>
  <si>
    <t xml:space="preserve"> RE-INVITATION TO BID 	The Municipality of  San Francisco, Southern Leyte, through the Bids and Awards Committee (BAC), invites suppliers/manufacturers/distributors to apply for eligibility and to bid for the following items: 	       Name of Project   :	Su</t>
  </si>
  <si>
    <t xml:space="preserve"> PROCUREMENT OF IT SUPPLIES FOR CAAP DIA DIFFERENT UNIT USE NOTE: CLOSING DATE OF ADVERTISEMENT  IS ON SEPTEMBER 2,2020 @ 12:00 NN. OPENING OF BIDDING DOCUMENTS   IS ON SEPTEMBER 2,2020 @ 01:30 PM. ////NOTHING FOLLOWS\\\\\</t>
  </si>
  <si>
    <t xml:space="preserve"> Supply and Delivery of Construction Materials and Supplies for Concreting of Barangay Road</t>
  </si>
  <si>
    <t xml:space="preserve"> Section I. Invitation to Bid Republic of the Philippines Province of Misamis Oriental  Municipality of Salay INVITATION TO BID FOR Procurement of materials for Rehabilitation of Municipal Street 1.	The Local Government Unit of Salay, through the 20% LGDF]</t>
  </si>
  <si>
    <t xml:space="preserve"> Requesting for Quotation (RFQ) for PR No. 2001549  Interested suppliers are invited to submit Sealed Price Quotations for the above listed items. The Request for Quotation (RFQ) for may be obtained from Mr. Albert A. Camarillo City General Services Office</t>
  </si>
  <si>
    <t xml:space="preserve"> * Excavation * Masonry Works * Carpentry Works * Plastering Works * PCCP * Layout of Pipe/Accessories</t>
  </si>
  <si>
    <t xml:space="preserve"> 25	pieces	Bolo, Steel 18"				 2	units	Knapsack sprayer (stainless)				 1	unit 	Weighing scale (2-kg capacity)				 1	unit	Weighing scale (25-kg capacity)				 10	pieces	Shovel (wooden handle)				 25	pieces	Knives, Wood handle 8"				 15	pieces	Sprinklers, pl</t>
  </si>
  <si>
    <t xml:space="preserve"> Invitation to Bid for SUPPLY, DELIVERY AND INSTALLATION OF AIRCON  FOR MDRRM OFFICE The Municipal Government of Looc, Romblon, through the AO-NO. 018-2019 Regular intends to apply the sum of Fifty-Seven Thousand Pesos Only (P 57,000.00) being the Approved</t>
  </si>
  <si>
    <t xml:space="preserve"> Section I. Invitation to Bid Republic of the Philippines Province of Misamis Oriental  Municipality of Salay INVITATION TO BID FOR Procurement of materials for Construction of Child Development Center 1.	The Local Government Unit of Salay, through the ECC</t>
  </si>
  <si>
    <t xml:space="preserve"> 10 PACK MEAL PER BREAKFAST, LUNCH, AND DINNER  RICE, 2 MENU OF VIAND, SLICE FRESH FRUITS, BOTTLED WATER, BOTTLED SOFT DRINKS OR JUICE ALL DISPOSABLE UTENSILS</t>
  </si>
  <si>
    <t xml:space="preserve"> Republic of the Philippines Region XII Province of Cotabato BIDS AND AWARDS COMMITTEE Amas, Kidapawan City INVITATION TO BID FOR Supply &amp; Delivery of Various Supplies in support to the Operation of Health and Other Facilities established related to COVID-</t>
  </si>
  <si>
    <t xml:space="preserve"> RFQ&gt;&gt;&gt; Supply and Delivery of Refrigerator, Icebox and Ice Cooler  ABC=P198,192.00 Download RFQ for complete list and specifications of the items.</t>
  </si>
  <si>
    <t xml:space="preserve"> Materials for Improvement of hand washing facility</t>
  </si>
  <si>
    <t xml:space="preserve"> Republic of the Philippines Region XII Province of Cotabato BIDS AND AWARDS COMMITTEE Amas, Kidapawan City INVITATION TO BID FOR Supply &amp; Delivery of Certified Palay Seeds for distribution to farmers provincewide under SAAD Program. (PB-20-453) 1.	The Pro</t>
  </si>
  <si>
    <t xml:space="preserve"> Brgy. Control Points necessities.</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</si>
  <si>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</si>
  <si>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Supply and Delivery of Construction Materials and Supplies for Rehabilitation of Multi-Purpose Hall</t>
  </si>
  <si>
    <t xml:space="preserve"> Sir/Madam:																																						 																																						 Please quote your government price/s including delivery charges, VAT or other applicable taxes, and other incidental expenses for the goods listed in Annex A.  Also, f</t>
  </si>
  <si>
    <t xml:space="preserve"> * 14 HP Air Cold Disel Engine * Push Button Starter or Dual * Trailer Type Rim 13 Tubeless Tire * Capacity of 2,500 kilos per Hour * w/ three (3) different screen size * can pulvurize different types of bottles, glass, and rocks * Alternator Type * Dimens</t>
  </si>
  <si>
    <t xml:space="preserve"> *Excavation *CHB Wall Works *Installation of Cyclone Wire * Embankment</t>
  </si>
  <si>
    <t xml:space="preserve"> Republic of the Philippines Region XII Province of Cotabato BIDS AND AWARDS COMMITTEE Amas, Kidapawan City INVITATION TO BID FOR Supply &amp; Delivery of Swine for distribution to farmers provincewide under SAAD Program. (PB-20-452) 1.	The Provincial Governme</t>
  </si>
  <si>
    <t xml:space="preserve"> Invitation to Bid for Concreting of Farm to Market Road at Barangay Bayotbot, SJOM 1.	The Municipality of San Jose, through the General Fund-Special Account  intends to apply the sum of Five Million One Hundred Thousand Pesos Only (Php 5,100,000.00) being</t>
  </si>
  <si>
    <t xml:space="preserve"> INVITATION TO BID August 25, 2020 FOR SUPPLY AND DELIVERY OF ONE (1) SET GLOBAL NAVIGATION SATELLITE SYSTEM (GNSS) EQUIPMENT COMPOSED OF 1 BASE AND 2 ROVERS  The Department of Public Works and Highways Cebu 2nd District Engineering Office, through its Bid</t>
  </si>
  <si>
    <t xml:space="preserve"> INVITATION TO BID The Local Government Unit of Rizal, Kalinga, through the Bids and Wards Committee, invites Suppliers to submit bids for the contract Contract ID No.: SQ 2020-08-01 Contract Name: Expansion of Multi Purpose of Building (Kirchen) Approved </t>
  </si>
  <si>
    <t xml:space="preserve"> INVITATION TO BID FOR  CONSTRUCTION OF OPEN CANAL  AT BARANGAY DE OCAMPO, TRECE MARTIRES CITY The City Government of Trece Martires, through the 20% Development Fund (2019) approved by the Sangguniang Panlungsod intends to apply the sum of  Eight Hundred </t>
  </si>
  <si>
    <t xml:space="preserve"> Republic of the Philippines PROVINCE OF MARINDUQUE Capitol Boac, Marinduque OFFICE OF BIDS AND AWARDS COMMITTEE INVITATION TO BID  (REBIDDING) Supplying various diving equipment to be used in the implementation of the Coral Restoration Project for Marindu</t>
  </si>
  <si>
    <t xml:space="preserve"> RM of GSO Transport Equipment</t>
  </si>
  <si>
    <t xml:space="preserve"> 15" 2 way Powered Portable Speaker System with 2 wireless microphone with 2 mic input (1xlr 1PL55) with FM Radio, Bluetooth, guitar Input, USB &amp; SD Port with 5 and Band Equalizer and LCD Display with AUX/Line in and line out with remote control, hundle 7 </t>
  </si>
  <si>
    <t xml:space="preserve"> Approved Budget for Contract (ABC)   :PHP 376,000.00					 QTY	UNIT	ITEM/S DESCRIPTION		UNIT PRICE	TOTAL PRICE 		LABORATORY EQUIPMENT			 1	unit	Thermostatic Shaking Water Bath			 		Specifications:		 		Control and Display: PID, LCD		 		Temperature range ran</t>
  </si>
  <si>
    <t xml:space="preserve"> The Barangay Battung, Tuao Cagayan through its Sk Fund intends to apply the sum of  Php 168,226.00  being the Approved Budget for the Contract (ABC) to payments under the contract for  Procurement of Materials for the Construction of Basketball Court (4 G</t>
  </si>
  <si>
    <t xml:space="preserve"> 1 set CONFERENCE MICROPHONE AND SOUND SYSTEM PACKAGE WITH INSTALLATION    * 12 PCS WIRELESS MICROPHONE SYSTEM  Specification: 1. Frequency: UHF                       2. Frequency Range: 600-800 Mhz                      3. Output impedance 500 - 600       </t>
  </si>
  <si>
    <t xml:space="preserve"> Purchase of Supplies and Materials for BALIK iSKwela Program</t>
  </si>
  <si>
    <t xml:space="preserve"> INVITATION TO BID FOR THE  CONCRETING OF BGY. BUNOG ROAD, BUNOG RIZAL (MUNICIPALITY OF RIZAL, PALAWAN) 1.	The Provincial Government of Palawan, through its 20% Development Fund (OBR No. 300-20-08-10030)  intends to apply the sum of Five Million Two Hundre</t>
  </si>
  <si>
    <t xml:space="preserve"> Certificate of Completion - front &amp; back Certificate of Final Electrical Inspection Worksheet Electrical Section Application for Service Connection Completion of Construction (BFP) Application for Building Permit Routing Slip Building Permit (JPC/MCA) App</t>
  </si>
  <si>
    <t xml:space="preserve"> Rental of Motor Vehicles for use of CMO-EBD Monitoring Team, Batangas City</t>
  </si>
  <si>
    <t xml:space="preserve"> *ROOFING - G.I. Corrugated Sheet 3' x 10' x 0.30mm thk  Ga. 24 (100 sheets) *DOOR KNOB - Heavy Duty  (20 pcs) *Please see attached canvass form.</t>
  </si>
  <si>
    <t xml:space="preserve"> submersible pump with a capacity of 7 Lps against 70 meters TDH and submersible motor 10HP,230V 3Phase including accessories &amp; fittings</t>
  </si>
  <si>
    <t xml:space="preserve"> L=72M; W=2M; T=0.15M</t>
  </si>
  <si>
    <t xml:space="preserve"> The AGRICULTURAL TRAINING INSTITUTE-REGIONAL TRAINING CENTER (ATI-RTC) X, through the 2020 General Appropriations Act intends to apply the sum of Twenty Two Thousand Six Hundred Pesos (P 22,600.00) being the Approved Budget for the Contract (ABC) to payme</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</si>
  <si>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</si>
  <si>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NOTICE OF NEGOTIATED PROCUREMENT (Small Value Procurement) Project:	Purchase of 85 pax Meals – Lunch (VIP), 80 pax Snacks (VIP), 950 pax Cocktail, 105 pax Meals – Breakfast, 1140 pax Snacks – AM/PM, 675 pax Meals – Lunch and 1350 pax Meals - Dinner (for v</t>
  </si>
  <si>
    <t xml:space="preserve"> Republic of the Philippines Province of Davao Oriental CITY OF MATI REQUEST FOR QUOTATION 			 Date:	20 AUGUST 2020 RFQ No.:	1172-2020 Name of Company: ________________________________________________________________________________________________________</t>
  </si>
  <si>
    <t xml:space="preserve"> Please see attached RFQ for more details. For queries, you may contact Ms. Liezl Eustaquio through liezl.eustaquio@deped.gov.ph Quotation may also be sent to the email stated above.</t>
  </si>
  <si>
    <t xml:space="preserve"> Republic of the Philippines          City of Dumaguete Bids and Awards Committee INVITATION TO BID FOR PURCHASE REQUEST OF 1 UNIT BRAND NEW MOTORCYCLE 	The City of Dumaguete thru its BIDS AND AWARDS COMMITTEE (BAC), invites all interested manufacturers, s</t>
  </si>
  <si>
    <t xml:space="preserve"> Please see attached request for quotation</t>
  </si>
  <si>
    <t xml:space="preserve"> Republic of the Philippines Province of Batanes MUNICIPALITY OF UYUGAN INVITATION TO BID FOR SUPPLY AND DELIVERY OF ONE (1) UNIT AUTOCLAVE MACHINE 1.	The Municipality of Uyugan, through its Capital Outlay – Medical Equipment (MHO) intends to apply the sum</t>
  </si>
  <si>
    <t xml:space="preserve"> Opening of Farm to Market Road Barangay Calungboyan, Santa, Ilocos Sur</t>
  </si>
  <si>
    <t xml:space="preserve"> Pipe &amp; Fittings Installation, Construction of Elevated Water Tank, Source Development, Installation of Pump, Installation of Chlorinator, Construction of Perimeter Fence,  Construction of Pump House, Installation of Service Power Line &amp; Transformer</t>
  </si>
  <si>
    <t xml:space="preserve"> Republic of the Philippines Province of Romblon MUNICIPALITY OF ALCANTARA -oOo- INVITATION TO BID FOR THE PURCHASE OF MATERIALS FOR CONCRETING OF MUNICIPAL STREETS        Poblacion,  Alcantara, Romblon The Local Government Unit of Alcantara, Romblon, thro</t>
  </si>
  <si>
    <t xml:space="preserve"> FOR RPMO and SLP PROVINCES OFFICE SUPPLIES 100	bottle  ALCOHOL, ethyl, 68%-70%, scented, 500ml (-5ml)					 5	pack   CARTOLINA, assorted color					 15	piece  CLEARBOOK, 20 transparent pockets, for A4 size					 10	piece  DATA FOLDER, made of chipboard, tagl</t>
  </si>
  <si>
    <t xml:space="preserve"> 1. The Mindanao State University - Tawi-Tawi College of Technology and Oceanography (MSU-TCTO), through the GAA 2020, intends to apply the sum of Nine Hundred Sixty-Seven Thousand Five Hundred Pesos Only         ( 967,500.00)Approved budget Contract to pa</t>
  </si>
  <si>
    <t xml:space="preserve"> Please see and download the attachment</t>
  </si>
  <si>
    <t xml:space="preserve"> The Bureau of Customs (BOC), through its Administration Office (AO), will undertake a Small Value Procurement for the Supply and Delivery of Office Equipment, in accordance with the Revised Implementing Rules and Regulations of Republic Act No. 9184. The </t>
  </si>
  <si>
    <t xml:space="preserve"> QTY  UNIT  DESCRIPTION 1 unit Brand New Rescue Vehicle (Van Type) Specification: Engine: 4 Cylinder in-line Type 16 VALVE DOHC, Common Rail Type Displacement of 2.7 0 3.0CC Max. Output of 176Ps @ 3,400 RPM Emission Standard: EURO 4 Transmission: 6-Speed M</t>
  </si>
  <si>
    <t xml:space="preserve"> INVITATION TO BID FOR THE  CONSTRUCTION OF DOCTORS/NURSES QUARTER BUILDING (QUEZON MEDICARE HOSPITAL, QUEZON PALAWAN) 1.	The Provincial Government of Palawan, through its 20% Development Fund (OBR No. 300-20-08-10034)  intends to apply the sum of Five Mil</t>
  </si>
  <si>
    <t xml:space="preserve"> Republic of the Philippines PROVINCE OF MARINDUQUE Capitol Boac, Marinduque OFFICE OF BIDS AND AWARDS COMMITTEE INVITATION TO BID  (REBIDDING) Supplying various supplies and materials to be used in the delineation of boundaries for the Coral Restoration P</t>
  </si>
  <si>
    <t xml:space="preserve"> 1. 900 ltrs Diesel 2. 216 Gasoline Note: the price/s quoted by the supplier shall be valid for a period of seven (7) calendar days from the date of the quotation, and the item/s shall be delivered to the procuring entity regardless of an increase or decre</t>
  </si>
  <si>
    <t xml:space="preserve"> Preparation &amp; Design of Architectural Plans &amp; Drawings including Detailed Engineering Estimates, Supervision and other documentary requirements for the Construction of Covered Court Stage and Amenities</t>
  </si>
  <si>
    <t xml:space="preserve"> Specifications: 12v socket on bed liner, 230v Inverter, 2USB Ports, 6 speakers, 8" TFT Touch Multi-Function Display, Auto On-Off Headlamps, Bluetooth, EATC Air Conditioning System, Electronic Mirror, front parking assist,  navigation, Power adjust exterio</t>
  </si>
  <si>
    <t xml:space="preserve"> Republic of the Philippines Province of Davao Oriental CITY OF MATI REQUEST FOR QUOTATION 			 Date:	20 AUGUST 2020 RFQ No.:	1171-2020 Name of Company: ________________________________________________________________________________________________________</t>
  </si>
  <si>
    <t xml:space="preserve"> Complete Construction of Open Drainage with a total length of 180 lin.m. with a 0.80m width.</t>
  </si>
  <si>
    <t xml:space="preserve"> 15 BXS AMBROXOL 30MG TAB 100'S AND 74 OTHER LINE ITEMS</t>
  </si>
  <si>
    <t xml:space="preserve"> Meals and Accommodation (3Days)	40	pax Amenities:		 Air-conditioned Function Room		 Free Sound System and Accessories		 Free White Board and LCD screen		 Free use of LCD projector and Laptops		 Free Backdraft		 Flowing coffee		 Availability of function ro</t>
  </si>
  <si>
    <t xml:space="preserve"> 1.	a)  Contract ID:	20OF0335          b)  Contract Name:	Construction/Rehabilitation/improvement of the Drug Treatment and Rehabilitation               Center (Tahanan), Payatas, Quezon City         c)  Contract Location:	Quezon City         d)  Scope of </t>
  </si>
  <si>
    <t xml:space="preserve"> ----------Qty.-------------Unit---------------ITEM/S DESCRIPTION -----------14----------sacks/bags-----------CBM/CSM -----------24----------sacks/bags-----------CGM/PD -----------75----------sacks/bags-----------Laying Mash -----------70----------sacks/ba</t>
  </si>
  <si>
    <t xml:space="preserve"> One (1) unit Duplicating Machine</t>
  </si>
  <si>
    <t xml:space="preserve"> UNIT                   QUANTITY             DESCRIPTION   REAMS                    630                   A4 BOND PAPER SUBSTANCE 20 PIECE                       6                     STAPLER BOX                        50                     STAPLE WIRE</t>
  </si>
  <si>
    <t xml:space="preserve"> Maintenance for various trucks and equipment</t>
  </si>
  <si>
    <t xml:space="preserve"> Fluids/Electrolytes/Others				 10000	Bottle	NSS 1L Bot, ABC 38.40/bot 5000	durules tab	Potassium Chloride 750mg (10mEq) durules tab, ABC 15.00/durules 1000	Tablet	Propylthiouracil 50mg tablet, ABC 9.70/tablet 3000	Tablet	Sodium bicarbonate 650mg tab, ABC </t>
  </si>
  <si>
    <t xml:space="preserve"> Additives/Oils for Government owned Heavy Equipment. (Bulldozer)</t>
  </si>
  <si>
    <t xml:space="preserve"> INVITATION TO RE-BIDDING (ITB 20-00004) PROVISION OF MEDICAL SUPPLIES FOR PATEROS CLINICAL LABORATORY PROCEDURE SERVICES FOR CY 2020 1.The MUNICIPALITY OF PATEROS through the GENERAL FUND intends to apply the sum of TWO HUNDRED FORTY FIVE THOUSAND FOUR HU</t>
  </si>
  <si>
    <t xml:space="preserve"> Liquid soap dispenser	6	pcs Paper towel dispender	3	pcs Cup and saucer (white)	18	pcs Teaspoon (kutsarita)	18	pcs Spoon	18	doz Fork	18	doz Carving fork	3	pcs Frying pan (large)	2	pcs Frying pan (small)	12	pcs Casserole (small)	6	pcs Wok (small)	4	pcs Stoc</t>
  </si>
  <si>
    <t xml:space="preserve"> Republic of the Philippines PROVINCE OF NORTHERN SAMAR BIDS AND AWARDS COMMITTEE Catarman Purchase of Drugs and Medicines for NSPH and District Hospitals Province of Northern Samar  NS-08-25-20-04 1.	The Provincial Government of Northern Samar, through th</t>
  </si>
  <si>
    <t xml:space="preserve"> City Government of La Carlota								          Standard Form Number: SF-GOOD-59 Revised on: May 24, 2004 Standard Form Title: REQUEST FOR QUOTATION 												Date: ______________											                             Quotation No.________ Company Name </t>
  </si>
  <si>
    <t xml:space="preserve"> Supply of labor, materials, tools, equipment, safety paraphernalia and other incidentals necessary for the complete and satisfactory Concreting of Brgy Road at Sitio Burabod, Brgy Balasbas, Manito, Albay</t>
  </si>
  <si>
    <t xml:space="preserve"> Republic of the Philippines Province of Davao Oriental CITY OF MATI REQUEST FOR QUOTATION 			 Date:	20 AUGUST 2020 RFQ No.:	1169-2020 Name of Company: ________________________________________________________________________________________________________</t>
  </si>
  <si>
    <t xml:space="preserve"> 1 Unit PORTABLE SPEAKER 15" 2 way Powered Portable Sound System with 2 wireless microphone with 2 mic input (1xlr 1PL55) with FM Radio, Bluetooth, Guitar Input, USB and SD Port with 5 and Band Equalizer and LCD Display with AUX/Line in and line out with r</t>
  </si>
  <si>
    <t xml:space="preserve"> Meals and Accommodation (2 days)	136	pax Food:		 Breakfast, Lunch, Dinner with Drinks		 4 varieties of viands, steamed rice, fresh fruits, dessert, softdrinks/tea		 2 sets of snacks with drinks (AM and PM snacks)		 Amenities:		 with airconditioned and wif</t>
  </si>
  <si>
    <t xml:space="preserve"> Republic of the Philippines Province of Davao Oriental CITY OF MATI REQUEST FOR QUOTATION 			 Date:	20 AUGUST 2020 RFQ No.:	1168-2020 Name of Company: ________________________________________________________________________________________________________</t>
  </si>
  <si>
    <t xml:space="preserve"> Desktop Computer and Printer</t>
  </si>
  <si>
    <t xml:space="preserve"> Construction of Materials &amp; Supplies Materials: Cement 118 bags, Mixed Gravel and Sand 70 cu.m., 10 mmØ RSB x 6.0m 322 pcs., #16 Tie Wire 40 kgs., Sahara Cement 10 bags, 16mmØ RSB 6.0m 90 pcs.,Tanguile 2” x 2” x 12 50 pcs., Tanguile 2” x 3” x 12” 50 pcs.,</t>
  </si>
  <si>
    <t xml:space="preserve"> The Barangay Bugnay, Tuao Cagayan through its 20% Barangay Dev't Fund intends to apply the sum of               Php 95,250.00  being the Approved Budget for the Contract (ABC) to payments under the contract for  Procurement of Materials for the Rehabilita</t>
  </si>
  <si>
    <t xml:space="preserve"> INVITATION TO RE-BIDDING (ITB 20-00005) PROVISION OF BASIC ORAL HEALTH PACKAGE FOR ALL TARGET GROUP PATEROS HEALTH DEPARTMENT FOR CY 2020 1.The MUNICIPALITY OF PATEROS through the GENERAL FUND intends to apply the sum of TWO HUNDRED EIGHTY FOUR THOUSAND T</t>
  </si>
  <si>
    <t xml:space="preserve"> Date:August 24, 2020___ REQUEST FOR QUOTATION SHOPPING (GOODS) The Government of the Republic of the Philippines has received a loan from the World Bank towards the cost of the Philippine Rural Development Project (PRDP) and it intends to apply part of th</t>
  </si>
  <si>
    <t xml:space="preserve"> REQUEST FOR QUOTATION Local Government Unit of Guinobatan invites eligible Suppliers to submit Proposals specific named contract Replacement of Tires of Government Owned Vehicle of Lgu-Guinobatan (T-King) Procurement will be conducted through Shopping an </t>
  </si>
  <si>
    <t xml:space="preserve"> REQUEST FOR QUOTATION PROCURING ENTITY	: DEPARTMENT OF AGRARIAN REFORM PROVINCIAL OFFICE - SORSOGON TITLE	: PROCUREMENT OF PROFESSIONAL SERVICES FOR THE CONDUCT OF TRAININGS AND PROVISION OF TECHNICAL ASSISTANCE IN THE APPLICATION FOR ISO-   QMS CERTIFICA</t>
  </si>
  <si>
    <t xml:space="preserve"> Please quote your best price 2 pcs of Paper Shredder ABC: 29,998.00 Specifications: - Cutting width 3mm to 4mm mid - Practical handle for lifting off the unit from the bin - Shred Type: Strip cut - Shred width: 4mm - Sheet Capacity: 9-11 (80g/m2) - Power </t>
  </si>
  <si>
    <t xml:space="preserve"> Desktop Computer and other office equipment</t>
  </si>
  <si>
    <t xml:space="preserve"> Please contact BAC Secretariat for details</t>
  </si>
  <si>
    <t xml:space="preserve"> Republic of the Philippines									 REGION IX      									 PROVINCE OF ZAMBOANGA DEL SUR									 Pagadian City     									 BIDS AND AWARDS COMMITTEE  									 Provincial Capitol, Pagadian City									 	 								 INVITATION FOR SUBMISSION OF QUOTAT</t>
  </si>
  <si>
    <t xml:space="preserve"> Installation of CCTV at Public Market, San Gabriel, La Union.. Please see attached RFQ..</t>
  </si>
  <si>
    <t xml:space="preserve"> UNIT DESCRIPTION QUANTITY Unit NETWORK SWITCH *Managed switch. 2 *Switch 1G. *No. of ports: 10 gigabit managed switch. *Ports: 8x 10/100/1000 + 2x Combo Gigabit SFP, POE+ (8 ports, 62 W). *Performance: 20 Gbps Switching capacity, Forwarding performance (6</t>
  </si>
  <si>
    <t xml:space="preserve"> 3 units Power Supply 600 watts (DeskTop) 1 Unit SSD (256 GB) 1 unit EPSON PRINTER HEAD (L360) 2 Units Battery (32AH) Maintenance Free</t>
  </si>
  <si>
    <t xml:space="preserve"> &gt; The Municipality of San Quintin Abra now invites bids for the IMPROVEMENT OF MARAKAWIT FARM TO MARKET ROAD with the following items: 100(1)	CLEARING &amp; GRUBBING with STRIPPING				sq.m.	7,200.00 102(2)a.	ROADWAY EXCAVATION (SURPLUS SOFT ROCK)				cu.m.	950</t>
  </si>
  <si>
    <t xml:space="preserve"> INVITATION TO BID The MUNICIPALITY OF TABOGON through its Bids and Awards Committee (BAC), invites contractors registered with and classified by the Philippine Contractors Accreditation Board (PCAB) to apply eligibility and if found eligible to bid for th</t>
  </si>
  <si>
    <t xml:space="preserve"> Republic of the Philippines Province of Davao del Sur MUNICIPALITY OF STA.CRUZ INVITATION TO BID  PROCUREMENT OF OFFICE SUPPLIES FOR 3RD &amp; 4TH QTR 2020 - 1ST POSTING (ITB No. 29-Goods-2020) 1.	The Local Government Unit of Sta. Cruz, Davao del Sur through </t>
  </si>
  <si>
    <t xml:space="preserve"> Number: 	Quantity: 	Unit	PPMP_Code	PPMP_Code1	PPMP_Code2	PPMP_Remarks	Particulars	StockNo	Unit_Cost	Estimated_Cost 1.	1	1	2808-32288-7		2808-32288-7-		Procurement  of Roller Lid Cover for the vehicle plate no. A5K-724 (Hilux Pick-up)		55,000.00	55,000.00 </t>
  </si>
  <si>
    <t xml:space="preserve"> Republic of the Philippines Province of Davao Oriental CITY OF MATI REQUEST FOR QUOTATION 			 Date:	20 AUGUST 2020 RFQ No.:	1167-2020 Name of Company: ________________________________________________________________________________________________________</t>
  </si>
  <si>
    <t xml:space="preserve"> Please see associated components for details</t>
  </si>
  <si>
    <t xml:space="preserve"> Supply and delivery of Radio Communication Equipment for 48th IB, Balanga City, Bataan</t>
  </si>
  <si>
    <t xml:space="preserve"> QTY    UNIT    DESCRIPTION 25      bags     Portland Cement 22      cu.m     BOULDERS (Not &lt; 300mm) 3        cu.m     Washe Sand 10      lngths   Coco-Lumber (2"x2"x10Ft) 5        kls.       CW-Nails No. 4"</t>
  </si>
  <si>
    <t xml:space="preserve"> Republic of the Philippines Province of Davao Oriental CITY OF MATI REQUEST FOR QUOTATION 			 Date:	20 AUGUST 2020 RFQ No.:	1165-2020 Name of Company: ________________________________________________________________________________________________________</t>
  </si>
  <si>
    <t xml:space="preserve"> INVITATION TO BID The Municipality of Candoni, through its Bids and Awards Committee (BAC), invites suppliers/manufacturers/distributor/contractors to apply for eligibility and to bid for the hereunder project: Name of Project	:  IMPROVEMENT OF EMERGENCY </t>
  </si>
  <si>
    <t xml:space="preserve"> Republic of the Philippines DEPARTMENT OF ENVIRONMENT &amp; NATURAL RESOURCES-CAR Baguio City Bids and Awards Committee                                                        REQUEST FOR QUOTATION                               2020-08-289 (ABC:  Php 50,001.00</t>
  </si>
  <si>
    <t xml:space="preserve"> 1. The Barangay Unag Amulung, Cagayan through the Provincial Fund intends to apply the sum of Php 374,112.45 being the Approved Budget for the Contract (ABC) to payments under the contract for Construction of Potable Water Supply (Phase 01) at Unag, Amulu</t>
  </si>
  <si>
    <t xml:space="preserve"> 1. The Barangay Unag Amulung, Cagayan through the Provincial Fund intends to apply the sum of Php 299,992.94 being the Approved Budget for the Contract (ABC) to payments under the contract for Installation of Street Light  at Unag, Amulung Cagayan 2nd Pub</t>
  </si>
  <si>
    <t xml:space="preserve"> *BUSINESS TAX LEDGER (2,000 pcs) *CARD - PTR Ledger Card (500 pcs) *CASHBOOK - Cash in Bank (200 pages) (5 pcs) *CASHBOOK - Cash Advances (200 pages) (3 pcs) *ENVELOPE - Mailing Envelope, White, w/ window, Long, 75gsm    (2 boxes) *FOLDER - Brown, Thick, </t>
  </si>
  <si>
    <t xml:space="preserve"> 1. 1 Unit Clamp Meter  Specifications: 600 A ac and dc current measurement with fixed jaw 2500 A ac curent measurement with Iflex Flexible Current probe 600 V ac and dc Voltage measurement True - rms ac voltage and current for accurate  measurements on no</t>
  </si>
  <si>
    <t xml:space="preserve"> Republic of the Philippines PROVINCE OF ZAMBOANGA SIBUGAY Municipality of Buug BIDS AND AWARDS COMMITTEE Invitation to Bid for Site Development for the Proposed Fire Station 1.	The Local Government Unit of Buug, through the Supplemental Budget No. 3 of 20</t>
  </si>
  <si>
    <t xml:space="preserve"> 15	pcs	Filer Box 30	pcs	Teacher portfolio 54	reams	Bond Paper Long 100	pcs	Flouride 200	pcs	Hand Soap 215	pcs	Sanitary Napkins 40	pcs	Nail Cutter 15	pcs	Magic Sulod</t>
  </si>
  <si>
    <t xml:space="preserve"> Date: August 24, 2020 REQUEST FOR QUOTATION SHOPPING (GOODS) The Government of the Republic of the Philippines has received a loan from the World Bank towards the cost of the Philippine Rural Development Project (PRDP) and it intends to apply part of the </t>
  </si>
  <si>
    <t xml:space="preserve"> Barangay Kanguha, Municipality of Dumanjug, Cebu, through its Bids and Awards Committee (BAC), invites qualified suppliers to apply for eligibility and to bid for the NATIVE FREE-RANGE CHICKEN PRODUCTION. Approved Budget for the Contract: Php 250,000.00 1</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</si>
  <si>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</si>
  <si>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UNIT                           QUANTITY                         DESCRIPTION REAM                            711                                 A4 BOND PAPER SUBSTANCE 20</t>
  </si>
  <si>
    <t xml:space="preserve"> Various Office Supplies</t>
  </si>
  <si>
    <t xml:space="preserve"> 40 pcs Air Freshener Spray, Lavender, 320ml and 73 others L/I</t>
  </si>
  <si>
    <t xml:space="preserve"> The local Government Unit of Bindoy through its Bids and Awards Committee intends to Purchase of Materials for the RADIATOR REPAIR AND FABRICATE OF KS BOLT FOR KAMATSU BULLDOZER This purchase of Purchase of Materials for the RADIATOR REPAIR AND FABRICATE </t>
  </si>
  <si>
    <t xml:space="preserve"> Republic of the Philippines          City of Dumaguete Bids and Awards Committee INVITATION TO BID FOR PURCHASE REQUEST OF 47 BAGS HOG GROWER PELLETS 50 KGS CAP AND OTHER ITEMS 	The City of Dumaguete thru its BIDS AND AWARDS COMMITTEE (BAC), invites all i</t>
  </si>
  <si>
    <t xml:space="preserve"> Republic of the Philippines PROVINCE OF NORTHERN SAMAR BIDS AND AWARDS COMMITTEE Catarman Purchase of Various Office Equipment Province of Northern Samar NS-08-25-20-05 1.	The Provincial Government of Northern Samar, through the SP Ordinance No. 21, serie</t>
  </si>
  <si>
    <t xml:space="preserve"> Republic of the Philippines Province of Cotabato Municipality of Arakan Barangay Ma. Caridad BIDS AND AWARDS COMMITTEE REQUEST FOR QUOTATION Office Supply for SK  The Barangay Local Government Unit of Ma. Caridad is inviting interested suppliers to submit</t>
  </si>
  <si>
    <t xml:space="preserve"> Request For Quotation								Date:	 								Quotation No.:	 Company Name:									 Address:									 T.I.N.									 									 Dear Sir/Ma'am:									 									         Please quote your lowest price on the item/s listed below, subject to the General Con</t>
  </si>
  <si>
    <t xml:space="preserve"> NOTE:	1. THE APPROVED BUDGET FOR THE CONTRACT IS PhP 100,850.00		 	2. ALL ENTRIES MUST BE TYPEWRITTEN		 	3. DELIVERY PERIOD WITHIN ________ CALENDAR DAYS		 	4. WARRANTY SHALL BE FOR A PERIOD OF THREE (3) MONTHS FOR EXPENDABLE SUPPLIES, ONE (1) 		 	     YE</t>
  </si>
  <si>
    <t xml:space="preserve"> ----------Qty.----------Unit------------ITEM/S DESCRIPTION ---------340-----------pax-------------I. Annual Physical and Laboratory Examination: -----------------------------------------1. Taking of Medical History ----------------------------------------</t>
  </si>
  <si>
    <t xml:space="preserve"> One job furnishing labor and materials for the COMPLETION OF BANATE COASTAL DEVELOPMENT PROJECT - EMBANKMENT ON SEAWALL PROTECTION (PHASE 4), POBLACION, BANATE, ILOILO</t>
  </si>
  <si>
    <t xml:space="preserve"> Republic of the Philippines Province of Leyte Municipality of Javier BARANGAY MANARUG INVITATION TO BID  The Barangay Local Government Unit of Brgy. Manarug, Javier, Leyte, through its Bids and Awards Committee (BAC), invites eligible contractors to bid f</t>
  </si>
  <si>
    <t xml:space="preserve"> UNIT	  DESCRIPTION		QUANTITY 			 SPL-1	INSTALLATION OF SOLAR LIGHTS		 	Qty. =  36  units		 			 units	150 WATTS LED Lamp, 170W Solar Panel, with		36 	Battery life incl. stand post and complete 		 	accessoried and fittings		 			 			 SPL- 2	CONSTRUCTION SAFE</t>
  </si>
  <si>
    <t xml:space="preserve"> The Barangay Bicok, Tuao Cagayan through its MUNICIPAL AID Fund intends to apply the sum of Php 93,731.00 being the Approved Budget for the Contract (ABC) to payments under the contract for Procurement of Materials for the Construction of BARANGAY MRF. Bi</t>
  </si>
  <si>
    <t xml:space="preserve"> Wall Tiles 30cm x 60cm Tile Adhesive 25kg/bag Tile Grout 2kg/bag Portland Cement 3.5mm2 THHN Wire Stranded Duplex Convenience Outlet with shutter 3 Gang Switch Flush Type with Switch plate Pin Light Round with Led Bulb Electrical tape Junction Box Utility</t>
  </si>
  <si>
    <t xml:space="preserve"> 1. Pre-procurement	August 21, 2020 2. Advertisement/Posting of IBEI	August 24-30, 2020 3.  Eligibility Check	August 31-September 1, 2020 4. Issuance and availability of Bidding Documents	August 24-September 14, 2020 5. Pre-Bid Conference 	September 2, 202</t>
  </si>
  <si>
    <t xml:space="preserve"> Cardiac/Beta blockers/Angiotensin/Anti-Hypertensive				 10	Vial	Adenosine 3mg/ml,2ml vial, ABC	221.32/vial 50	Ampule	Amiodarone 150mg/3ml amp, ABC 231.86/amp 1000	Tab	Carvedilol 6.25mg tab, ABC 1.38/tab 1000	Ampule	Epinephrine 1mg/ml 1ml amp IM SC, ABC 24</t>
  </si>
  <si>
    <t xml:space="preserve"> see attached document</t>
  </si>
  <si>
    <t xml:space="preserve"> See attached file</t>
  </si>
  <si>
    <t xml:space="preserve"> ITEM NO.	QTY.	UNIT	ITEMS &amp; DESCRIPTION	 				 1	12	pcs	RC Pipes 18" dia	 2	9	rolls	SDR 11-1 @ 100mtrs	 3	6	pcs	SDR Coupling 1"	 4	1	unit	Power Sprayer 6.5HP, gasoline	 5	2	rolls	Power Sprayer hose @ 100m</t>
  </si>
  <si>
    <t xml:space="preserve"> Procurement of Computer Ink for the 2nd &amp; 3rd quarter CY 2020</t>
  </si>
  <si>
    <t xml:space="preserve"> REQUEST FOR QUOTATION The Municipality of Allacapan, through its Bids and Awards Committee (BAC), invites suppliers/distributors/contractors to SUBMIT QUOTATION for the hereunder project: Name of Contract :Construction/Installation of Streetlights Brief D</t>
  </si>
  <si>
    <t xml:space="preserve"> Republic of the Philippines PROVINCE OF DINAGAT ISLANDS Municipality of Basilisa Barangay Sering BIDS AND AWARDS COMMITTEE INVITATION TO APPLY FOR ELIGIBILITY AND TO BID The Barangay Sering, Basilisa, Dinagat Islands through its Bids and Awards Committee </t>
  </si>
  <si>
    <t xml:space="preserve"> Producton of Listahanan Infographic Videos - 1 lot Outputs: 3-5 minutes video documentary (Listahanan phases) 1-2 minutes video teaser (Validation) 1-2 miutes video teaser (Data sharing) See attached Terms of Reference (TOR) for the complete scope of work</t>
  </si>
  <si>
    <t xml:space="preserve"> Please your qoute your price (s) for the article (s) as specified in the list below for the schools Division of Bukidnon which are available in your store/establishment/company.if available,please furnish catalogue, description brochures of literature abo</t>
  </si>
  <si>
    <t xml:space="preserve"> SUPPLY &amp; DELIVERY OF OFFICE EQUIPMENT ONE (1) UNIT SPLIT TYPE AIRCON INVERTER The Local Government Unit of Lianga will purchase 1 UNIT SPLIT TYPE AIRCON INVERTER  for office use ,  through Capital Outlay, intends to apply the amount of  Fifty Four  Thousa</t>
  </si>
  <si>
    <t xml:space="preserve"> Republic of the Philippines Province of Leyte MUNICIPALITY OF HILONGOS REQUEST FOR QUOTATIONS 				________________                                                                                                                                             </t>
  </si>
  <si>
    <t xml:space="preserve"> 1. 1710(5) GROUTED RIPRAP(CLASS A) 192 CU.M 2. 1704(1) EMBANKMENT 369.60 CU.M 3. PROJECT BILLBOARD 1 EACH</t>
  </si>
  <si>
    <t xml:space="preserve"> Republic of the Philippines Province of Davao del Sur Municipality of Matanao BARANGAY KAUSWAGAN -oOo- INVITATION TO BID The Barangay Government Unit of Kauswagan, Matanao, Davao del Sur, through its Bids and Awards Committee (BAC), invites suppliers/dist</t>
  </si>
  <si>
    <t xml:space="preserve"> Republic of the Philippines									 REGION IX      									 PROVINCE OF ZAMBOANGA DEL SUR									 Pagadian City     									 BIDS AND AWARDS COMMITTEE  									 Provincial Capitol, Pagadian City									 									 INVITATION FOR SUBMISSION OF QUOTATI</t>
  </si>
  <si>
    <t xml:space="preserve"> 08282020-130 NOTICE FOR NEGOTIATED PROCUREMENT Publication: August 25, 2020 Closing: August 28, 2020 Name of Project	Purchase of Vegetable Seeds for the Farmers of Vigan City  Approved Budget for the Contract	 ₱60,000.00 Contract Period:	7 days Item No.	I</t>
  </si>
  <si>
    <t xml:space="preserve"> The Department of Agriculture-RFO 3, invites interested suppliers to submit quotations/proposals for the hereunder requirement, to wit: 		  	 	Extension of Existing Building Connecting to Main Building of RCPC   	 	I. Earth Works  1	 	        Excavation ,</t>
  </si>
  <si>
    <t xml:space="preserve"> ITEM NO.	QTY.	UNIT	ITEMS &amp; DESCRIPTION	 				 1	70	pcs	1/4" marine Plywood	 2	20	pcs	3/4" Marine Plywood	 3	40	pcs	1/4" Ordinary Plywood	 4	20	pcs	Hardiflex 1/4	 5	4	bxs	 Blind Rivets	 6	14	kgs	CWN 1	 7	15	kgs	CWN 2	 8	30	kgs	CWN 3	 9	30	kgs	CWN 4	 10	6	kg</t>
  </si>
  <si>
    <t xml:space="preserve"> purchased and delivery of kitchen utensils</t>
  </si>
  <si>
    <t xml:space="preserve"> *PLASTIC BAG - 8 x 12 Thickness PP02 (50 packs) *MULTIVITAMINS (100pcs per box) - Retinol Acetate (Vit A), 5,000 IU (equi to Retinol 1.5mg), Alfacalcidol (vit D) 400IU, d-a tocopherol (vit E), 10 IU, Thiamine Mononitrate (Vit B1) 2.5mg, Riboflavin (Vit B2</t>
  </si>
  <si>
    <t xml:space="preserve"> NOTE:	1. THE APPROVED BUDGET FOR THE CONTRACT IS PhP 199,150.00		 	2. ALL ENTRIES MUST BE TYPEWRITTEN		 	3. DELIVERY PERIOD WITHIN ________ CALENDAR DAYS		 	4. WARRANTY SHALL BE FOR A PERIOD OF THREE (3) MONTHS FOR EXPENDABLE SUPPLIES, ONE (1) 		 	     YE</t>
  </si>
  <si>
    <t xml:space="preserve"> 1.Invitation to Bid 2.Please see attached file.</t>
  </si>
  <si>
    <t xml:space="preserve"> Please quote your best price 200 pcs of Certificate Holder with DOH Logo ABC: 13,000.00 Please email your quotation Please download canvass form</t>
  </si>
  <si>
    <t xml:space="preserve"> NOTE:	1. THE APPROVED BUDGET FOR THE CONTRACT IS PhP 61,300.00		 	2. ALL ENTRIES MUST BE TYPEWRITTEN		 	3. DELIVERY PERIOD WITHIN ________ CALENDAR DAYS		 	4. WARRANTY SHALL BE FOR A PERIOD OF THREE (3) MONTHS FOR EXPENDABLE SUPPLIES, ONE (1) 		 	     YEA</t>
  </si>
  <si>
    <t xml:space="preserve"> TARGET DISTANCE - 1 KM; W=10M; D=1-2M</t>
  </si>
  <si>
    <t xml:space="preserve"> purchased and delivery of functional tent</t>
  </si>
  <si>
    <t xml:space="preserve"> * (2 units) DESKTOP COMPUTER - 10th Gen Intel Core i3 - 10100 processor (4-Core 6M Cache 3.6Ghz to 4.3Ghz) Windows 10 Home, 64 bit, English Intel UHD Graphics 630 with shared graphics memory 8GB, 1 x 8GB, DDR4, 2666MHz, 1TB 7200RPM 3.5" SATA HDD, Tray loa</t>
  </si>
  <si>
    <t xml:space="preserve"> 1		Replace Hood 1		Replace Headlight 1		Replace Tail Light 4	Pcs	Replace Spark Plug 1	Pc	Valve Cover Gasket 6	Liter	Motor Oil 1	Pc	Oil Filter 		Repair Radiator 		Body Repair 		Body Painting  		 	 		 		PURPOSE: 		Request of parts replacement , body repair </t>
  </si>
  <si>
    <t xml:space="preserve"> REQUEST FOR QUOTATION										 SUPPLY AND DELIVERY OF OFFICE SUPPLIES										 SMALL VALUE										 										 INSTRUCTION:										               	1.	Supplies are required to read the instructions and fill all the blanks properly.								 	2.	The sup</t>
  </si>
  <si>
    <t xml:space="preserve"> Republic of the Philippines Province of Nueva Ecija Municipality of General Mamerto Natividad BIDS AND AWARDS COMMITTEE  INVITATION TO BID FOR “CONSTRUCTION OF PERIMETER FENCE AT BARANGAY COMPOUND, BRGY. BALANGKARE SUR” 1.	The LGU-General Mamerto Nativida</t>
  </si>
  <si>
    <t xml:space="preserve"> Road Concreting @ Barangay Baculin, Baganga, Davao Oriental</t>
  </si>
  <si>
    <t xml:space="preserve"> ----------Qty.------------Unit--------------ITEM/S DESCRIPTION ---------------------------------------------VIDEO TELECONFERENCING APPLICATION ----------24-------------users-------------includes 300 participants -------------------------------------------</t>
  </si>
  <si>
    <t xml:space="preserve"> 4	pc	Battery, 11 plates 1	pc	Battery, 7 plates 4	pc	Tire 215 x 70 x 16 2	pc	Battery 9 plates 2	pc	Battery 13 plates</t>
  </si>
  <si>
    <t xml:space="preserve"> Republic of the Philippines Province of Cavite City of General Trias Invitation to Bid for  Project Reference No. INFR-20-025- REPAIR AND IMPROVEMENT OF BAHAY PAG ASA AT CAMACHILE SUBDIVISION, BARANGAY PASONG CAMACHILE I, CITY OF GEN. TRIAS, CAVITE 1.	The</t>
  </si>
  <si>
    <t xml:space="preserve"> 22 kls Freon, R22 and 6 others L/I</t>
  </si>
  <si>
    <t xml:space="preserve"> NOTE:	1. THE APPROVED BUDGET FOR THE CONTRACT IS PhP 59,999.00		 	2. ALL ENTRIES MUST BE TYPEWRITTEN		 	3. DELIVERY PERIOD WITHIN ________ CALENDAR DAYS		 	4. WARRANTY SHALL BE FOR A PERIOD OF THREE (3) MONTHS FOR EXPENDABLE SUPPLIES, ONE (1) 		 	     YEA</t>
  </si>
  <si>
    <t xml:space="preserve"> 4	pc	Tire 750 -16 2	pc	Tire 700-16 4	pc	Tire 235-70 x17</t>
  </si>
  <si>
    <t xml:space="preserve"> Request for Quotation for the Procurement of Various Cleaning/Janitorial Supplies… 1.	The Department of Agriculture-Regional Field Office 7 (DA-RFO 7), through the General Appropriation Act for CY 2020 intends to apply the sum of Fifty Seven Thousand One </t>
  </si>
  <si>
    <t xml:space="preserve"> REQUEST FOR QUOTATION RFQ No. 2020-0372 The CITY GOVERNMENT OF CABANATUAN through its Bid and Awards Committee (BAC), will undertake Small Value Procurement for the Supply and Delivery of Construction Materials for Proposed Plant Box (CEO) in accordance w</t>
  </si>
  <si>
    <t xml:space="preserve"> SEE PR</t>
  </si>
  <si>
    <t xml:space="preserve"> Flatbed Color Document Scanner with ADF			3	Unit	96,000.00 Scanner Type: A4 flatbed colour image scanner;            A4 sheet-fed, 3-pass duplex scanner					 Sensor Type: Contact Imaging Sensor (CIS)					 Light Source: LED					 "Optical Resolution: 1,200 </t>
  </si>
  <si>
    <t xml:space="preserve"> General Merchandise</t>
  </si>
  <si>
    <t xml:space="preserve"> The local Government Unit of Bindoy through its Bids and Awards Committee intends to Purchase of Materials for the REPAIR AND BUILD-UPOF BULLDOZER ROLLERS This purchase of Purchase of Materials for the REPAIR AND BUILD-UP OF BULLDOZER ROLLERS will be unde</t>
  </si>
  <si>
    <t xml:space="preserve"> BUILDING EXTENSION</t>
  </si>
  <si>
    <t xml:space="preserve"> 75 box STAPLE WIRE, STANDARD, (26/6) 70 piece Correction tape, roller type :6min 2 piece Heavy Duty Plastic Sealer 100 piece Velum Board 200gsm 2 roll Cover Cellophane 80 set Paper Clips 10 box Ballpen 0.5mm black 10 box Ballpen 0.5mm blue 500 ream PAPER,</t>
  </si>
  <si>
    <t xml:space="preserve"> Republic of the Philippines Province of Palawan  Municipal Government of Cuyo BIDS AND AWARDS COMMITTEE Email Address: baccuyopalawan@gmail.com 									 RFQ No. 2020-042       				 REQUEST FOR QUOTATION (SUPPLY AND DELIVERY OF ONE (1) UNIT XEROX MACHINE </t>
  </si>
  <si>
    <t xml:space="preserve"> Request for Quotation for the Procurement of Various Office Supplies 1.	The Department of Agriculture-Regional Field Office 7 (DA-RFO 7), through the General Appropriation Act for CY 2020 intends to apply the sum of Seventy Three Thousand  Nine Hundred Pe</t>
  </si>
  <si>
    <t xml:space="preserve"> Please see associated components for details.</t>
  </si>
  <si>
    <t xml:space="preserve"> Request for Quotation</t>
  </si>
  <si>
    <t xml:space="preserve"> 1,005 pcs CELLCARDS 300 465 pcs CELLCARDS 100 38 pcs CELLCARDS 50</t>
  </si>
  <si>
    <t xml:space="preserve"> Construction Project (see attached documents)</t>
  </si>
  <si>
    <t xml:space="preserve"> 100	Bags	VALUE MEAL DOG FOOD 20 kgs / Bag 		 		 		 		 		PURPOSE: 		Purchase of (100 bags) Value Meal Dog Food to be used at the Animal Impounding Center Located at Buhay na Tubig, City of Imus</t>
  </si>
  <si>
    <t xml:space="preserve"> 1.Amlodipine 10mg/tab - 25 boxes 2.Amlodipine 5mg/tab - 25 boxes 3.Amoxicillin 125/ml Suspension - 50 bots 4.Amoxicillin 250/ml Suspension - 50 bots 5.Amoxicillin 250mg Capsule - 10 boxes 6.Amoxicillin 500mg capsule - 10 boxes 7.Ascorbic acid syrup 100mg </t>
  </si>
  <si>
    <t xml:space="preserve"> 100 carts - Duplo Black Ink DC 14 (Note: Duplo/Mimeographing Machine Model: DP-L520) NOTE: Please attach with your quote the following documents: 1. PhilGEPS Registration; 2. Mayor's Permit; 3. BIR Registration; and 4. DTI Certificate Many thanks!</t>
  </si>
  <si>
    <t xml:space="preserve"> 1 lot</t>
  </si>
  <si>
    <t xml:space="preserve"> December Cultural Activities</t>
  </si>
  <si>
    <t xml:space="preserve"> REQUEST TO SUBMIT PROPOSAL/QUOTATION														 (TWO(2)FAILED BIDDINGS)														 								Date :						 														 														 Company / Store Name and Address														 														 	Please quote your lowest price on the items listed b</t>
  </si>
  <si>
    <t xml:space="preserve"> Item	Qty.	A R T I C L E S				 1		SCHOOL SUPPLIES				 2	150 pcs	Earphone				 3	600 pcs	Notebook				 4	150 pcs	Ballpen				 5	150 pcs	Pencil				 6	150 pcs	Permanent marker				 7	150 pcs	USB 2GB (high school)				 8	150 pcs	Plastic envelope</t>
  </si>
  <si>
    <t xml:space="preserve"> 40	bag	Portland Cement		 34	pack	Sahara Cement Water Proofing		 5	cu.m.	Gravel 3/4"		 2.5	cu.m.	Sand		 107	piece	Deformed Steel Bar - 10mm dia.		 1	piece	Deformed Steel Bar - 8mm dia.		 18.50	kilo	Tie Wire #16		 22	sheet	Ordinary Plywood - 1/4"		 4	piece	</t>
  </si>
  <si>
    <t xml:space="preserve"> UNIT	  DESCRIPTION		QUANTITY 			 SPL - 1	FINISIHING WORKS:		 	Qty. =  1   lot		 			 lot	Tileworks, Paintings, Ceilings, Electricals, 		1 	Mouldings and other finishing Architectural		 	designs		 			 			 SPL - 2	CONSTRUCTION SAFETY AND HEALTH		 			 lot	Saf</t>
  </si>
  <si>
    <t xml:space="preserve"> Number: 	Quantity: 	Unit	PPMP_Code	PPMP_Code1	PPMP_Code2	PPMP_Remarks	Particulars	StockNo	Unit_Cost	Estimated_Cost 							REPAIR AND MAINTENANCE - MOTOR VEHICLE			 										 1	1	pc	3273-35017	1	3273-35017-1		Battery 2SM		7,500.00	7,500.00 2	1	set	3273-35</t>
  </si>
  <si>
    <t xml:space="preserve"> Republic of the Philippine Province of Davao de Oro  BIDS AND AWARDS COMMITTEE                                            Cabidianan, Nabunturan, Davao de Oro INVITATION TO SUBMIT QUOTATION FOR THE PROCUREMENT OF GOODS RECOMMENDED FOR SHOPPING PURSUANT TO</t>
  </si>
  <si>
    <t xml:space="preserve"> Republic of the Philippines Province of Iloilo Municipality of Lambunao Brgy. Daanbanwa Barangay Office of the Bids &amp; Awards Committee INVITATION TO BID Name of Project: Purchase of Materials for the Construction of Tanod Outpost Location: Brgy. Daanbanwa</t>
  </si>
  <si>
    <t xml:space="preserve"> ITEM       QTY.       UNIT     ARTICLES AND DESCRIPTION NO. 1             10         rolls       Riso Mater CV/B4 UA 2             20         tubes     Riso Ink 3             70         reams    A4 Bondpaper Substance 20 (Advance/Cactus) 4             10 </t>
  </si>
  <si>
    <t xml:space="preserve"> The DEPARTMENT OF EDUCATION (DepED), Regional Office X, through its Bids and Awards Committee (BAC) invites prospective bidders to apply for eligibility and if found eligible, to bid for: NAME OF PROJECT:  PROCUREMENT OF MEDICAL &amp; DENTAL SUPPLIES FOR CLIN</t>
  </si>
  <si>
    <t xml:space="preserve"> Supply of Labor, Materials, Tools, Equipment, Consumables, Safety Paraphernalia and other incidentals necessary for the complete and satisfactory Construction of Various Infrastructure Projects Cluster I at Manito, Albay as listed in the bill of quantitie</t>
  </si>
  <si>
    <t xml:space="preserve"> 1) 14 bags 40kg Portland Cement 2) 1 cu.m. Crushed Sand 3) 1.5 cu.m. 3/4" dia crushed gravel 4) 36 lgth 10mm dia x 6.0m def. std. bar 5) 3 kls #16 Tie Wire 6) 7 pcs 100mm x 0.40m G.I. Nipple 7) 6 pcs 100mm x 0.20m G.I. Nipple 8) 6 pcs 100mm x 45 G.I. Elbo</t>
  </si>
  <si>
    <t xml:space="preserve"> IMPROVEMENT OF BUILDING FACILITIES</t>
  </si>
  <si>
    <t xml:space="preserve"> 41	cu.m.	Sand and Gravel (Ready Mixed)		 432	bag	Portland Cement		 48	cu.m.	Gravel - 2"		 24	cu.m.	Sand  		 11	piece	Deformed Steel Bar - 16mm dia.		 5	piece	Deformed Steel Bar - 12mm dia.		 6	kilo	Common Wire Nails		 288	bd.ft.	Coco Lumber - 2" x 8" x 12</t>
  </si>
  <si>
    <t xml:space="preserve"> QTY   UNIT   DESCRIPTION 7       packs   Meals for Lunch 7       packs   Morning Snacks 7       packs   Afternoon Snacks</t>
  </si>
  <si>
    <t xml:space="preserve"> ITEM DESCRIPTION 	                          QTY	Unit 		 		 50 W Polycrystalline PV Module	          100	        pcs 10A PWM Solar Charge Controller	  100	        pcs 18AH 12V Deep Cycle Battery	          100	        pcs Battery Clip (Red)	                </t>
  </si>
  <si>
    <t xml:space="preserve"> Construction Materials &amp; Supplies</t>
  </si>
  <si>
    <t xml:space="preserve"> The Barangay Government of Barangay Bulawon, Sta. Cruz, Zambales through its Bids and Awards Committee (BAC), invite accredited/registered contractors/suppliers to apply for eligibility. Name of Project: CONSTRUCTION OF HEALTH CENTER - PHASE III  Location</t>
  </si>
  <si>
    <t xml:space="preserve"> Specifications: copy, print, scan &amp; fax Semiconductor laser CPU 500MHz Print Speed (A4) 22/11 cpm Memory 256MB Paper Capacity: Standard 400 sheets Maximum 1,300 sheets MPT Min. A65R-Max. A3 (Ledger) Approx. Weight: 27 kgs (main unit) Copy/Print Mode 415w </t>
  </si>
  <si>
    <t xml:space="preserve"> RM of GSO Transport Vehicles</t>
  </si>
  <si>
    <t xml:space="preserve"> REQUEST FOR QUOTATION											 SUPPLY AND DELIVERY OF LABORATORY EQUIPMENT											 SMALL VALUE											 											 INSTRUCTION:										              	 	1.	Supplies are required to read the instructions and fill all the blanks properly.									 </t>
  </si>
  <si>
    <t xml:space="preserve"> Republic of the Philippines Province of Nueva Ecija Municipality of General Mamerto Natividad BIDS AND AWARDS COMMITTEE  INVITATION TO BID FOR “CLEAN AND GREEN PROGRAM (CONSTRUCTION OF CENTRALIZED MATERIAL RECOVERY FACILITY (MRF) PHASE 3)” 1.	The LGU-Gene</t>
  </si>
  <si>
    <t xml:space="preserve"> Invitation to Bid for the supply &amp; delivery of Various Learning Materials for use of the City Social Welfare &amp; Development Office, Batangas City</t>
  </si>
  <si>
    <t xml:space="preserve"> The Department of Public Works and Highways, 3rd District Engineering Office, Segabe, Piñan, Zamboanga del Norte, through the its Bids and Awards Committee (BAC) for Goods, invites suppliers to submit bids for the following Contract:										 										 </t>
  </si>
  <si>
    <t xml:space="preserve"> Please see attached RFQ Form. Thankyou.</t>
  </si>
  <si>
    <t xml:space="preserve"> Request for Quotation for Construction Materials and Electrical Supplies (188,335.75)</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</si>
  <si>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</si>
  <si>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INVITATION TO APPLY FOR ELIGIBILITY AND TO BID THE MUNICIPALITY OF CAIBIRAN, BILIRAN IS INVITING ALL INTERESTED BIDDERS ON ITS FORTHCOMING PUBLIC BIDDING FOR: Project Title 	: Acquisition of Medical Equipment Location	        : RHU, LGU - Caibiran, Bilira</t>
  </si>
  <si>
    <t xml:space="preserve"> Supply &amp; Delivery of Fuel &amp; other Lubricants (Diesel/Crude, Special  Gasoline &amp; other oil ) LGU-Polillo, Quezon 2320 liter Gasoline-Special 1020 liter Crude-Diesel 10 liter Oil 4T 15 liter Oil 30</t>
  </si>
  <si>
    <t xml:space="preserve"> Republic of the Philippines Province of Ilocos Norte MUNICIPALITY OF BADOC BIDS AND AWARDS COMMITTEE Tel# (077)670-0110 REQUEST FOR QUOTATION The Local Government of Badoc, through its Bids and Awards Committee (BAC), will undertake a Small Value Procurem</t>
  </si>
  <si>
    <t xml:space="preserve"> Republic of the Philippines									 DEPARTMENT OF EDUCATION									 Region III									 Division of City Schools									 SAN JOSE DEL MONTE CENTRAL SCHOOL									 									 REQUEST FOR QUOTATION									 									 						Date:			 						Quotation No.___</t>
  </si>
  <si>
    <t xml:space="preserve"> Labor and Materials</t>
  </si>
  <si>
    <t xml:space="preserve"> Purchase and delivery of supplies and materials for Zoological Park</t>
  </si>
  <si>
    <t xml:space="preserve"> 1 UNIT XEROX COPIER</t>
  </si>
  <si>
    <t xml:space="preserve"> Republic of the Philippines Province of Nueva Ecija Municipality of General Mamerto Natividad BIDS AND AWARDS COMMITTEE  INVITATION TO BID FOR  “PURCHASE OF MINI BACKHOE” 1.	The LGU – General Mamerto Natividad, Nueva Ecija, through the 2020 20% Developmen</t>
  </si>
  <si>
    <t xml:space="preserve"> Item			Quantity			Unit of			Item Description														 No.						Issue																	 1			13			Pax			Snack( Aug. 04, 2020 )														 2			13			Pax			Snack( Aug. 07, 2020 )														 3			13			Pax			Snack( Aug. 13, 2020 )														 4			13		</t>
  </si>
  <si>
    <t xml:space="preserve"> Purchase of Collapsible Dryer to be distributed to the Registered Farmers Organization and Palayan ng Bayan</t>
  </si>
  <si>
    <t xml:space="preserve"> Purchase and delivery of office supplies to be given to DepEd Calapan City.</t>
  </si>
  <si>
    <t xml:space="preserve"> OFFICE SUPPLIES ABC:799,816.00 DESCRIPTION                                                    QTY        UNIT       TOTAL AMOUNT  CONT FORM 1 PLY 11 X 14 7/8 GL                       520          BX            615,940.00 CONT FORM 2 PLY 11 X 14 7/8 GL    </t>
  </si>
  <si>
    <t xml:space="preserve"> 6 ream brown long envelope 3 box pilot g-tech c4 15 paper fastener metal 50 bottles epson ink 003 black 44 bottles epson ink 003 magenta 44 bottles epson ink 003 cyan 44 bottles epson ink 003 yellow 15 bottles epson ink 664 black 5 bottles epson ink 664 m</t>
  </si>
  <si>
    <t xml:space="preserve"> 50	PCS	LED 15 WATTS 30	PCS	LED 12 WATTS 30	PCS	RECEPTACLE 4" 30	PCS	JUNCTION BOX 25	ROLLS	ELECTRICAL TAPE 5	PCS	3R BOLT ON PANEL 2	PCS	BREAKER BOLT ON 100 AMPERES 1	BOX	THWN WIRE STRANDED #12 5	GAL	TRAFFIC PAINT 5	PCS	PAINT BRUSH 2" 5	PCS	PAINT BRUSH 3" 5</t>
  </si>
  <si>
    <t xml:space="preserve"> Republic of the Philippines Province of Iloilo Municipality of Lambunao Brgy. Daanbanwa Barangay Office of the Bids &amp; Awards Committee INVITATION TO BID Name of Project: Purchase of Materials for the Const. of Drainage Canal Location: Brgy. Daanbanwa, Lam</t>
  </si>
  <si>
    <t xml:space="preserve"> 1	Unit 	DIGITAL TV	4	 40,000.00  2	PCS	EXTERNAL DRIVE	1	 2,800.00  3	SET	PRINTER	12	 95,952.00</t>
  </si>
  <si>
    <t xml:space="preserve"> 3 roll Cover Cellophane 40 ream Vellum Board (White/Pale Cream, 200 gsm, 10sheets per pack) 15 box Fastener (plastics) 1 piece Heavy Duty Plastic Sealer 100 ream PAPER, Multi-Purpose (COPY) A4, 70 gsm 15 ream PAPER, Multi-Purpose (COPY) Legal, 70 gsm 17 b</t>
  </si>
  <si>
    <t xml:space="preserve"> 1.The Barangay Local Government Unit of Barangay Caguray, Municipality of Magsaysay, through the Department of Science and Technology (DOST) Fund  intends to apply the sum of Five-hundred Thousand Pesos (P 500,000.00) being the Approved Budget for the Con</t>
  </si>
  <si>
    <t xml:space="preserve"> purchased and delivery of brush cutter</t>
  </si>
  <si>
    <t xml:space="preserve"> Concrete Nail (3") 1 kg Concrete Nail (4") 1 kg 4" dia Grinding Disc 1 pc 4" dia Cutting Disc 1 pc Glossy Tiles (60 x 60 cm) 120 pcs Glossy Tiles (40 x 40 cm) 220 pcs Tile Adhesive 60 bags Tile Grout 10 kgs Toilet 1 unit 4.5mm fiber cement board (hardifle</t>
  </si>
  <si>
    <t xml:space="preserve"> rental of tow truck</t>
  </si>
  <si>
    <t xml:space="preserve"> 08282020-131 NOTICE FOR NEGOTIATED PROCUREMENT Publication: August 25, 2020 Closing: August 28, 2020 Name of Project	Purchase of medicine for City Health Office use  Approved Budget for the Contract	 ₱270,000.00 Contract Period:	7 days Item No.	ITEM DESCR</t>
  </si>
  <si>
    <t xml:space="preserve"> See attached bidding documents</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</si>
  <si>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</si>
  <si>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12mm def. bars	25	 pcs  Cement	20	 bags  10mm def. bars	20	pcs Tie wire # 16	10	kls Nails # 4	20	kls Nails # 3	15	kls Nails # 1 1/2	1	kls 2 x 2 x 8	50	pcs 2 x 3 x 12	30	pcs 2 x 4 x 12	30	pcs Concrete hollow blocks # 4	500	 pcs  Fine sand	3	loads Gravel 3/</t>
  </si>
  <si>
    <t xml:space="preserve"> -----------Qty.-----------Unit-----------ITEM/S DESCRIPTION ------------1-----------system----------LEARNING MANAGEMENT SYSTEM (5 months subscription) -------------------------------------------for 600 students, accessible via web and mobile -------------</t>
  </si>
  <si>
    <t xml:space="preserve"> Materials for the installation of additional protective plastic with wooden frame</t>
  </si>
  <si>
    <t xml:space="preserve"> The Department of Agriculture-RFO 3, invites interested suppliers to submit quotations/proposals for the hereunder requirement, to wit: 20	units	TENT Heavy duty, 3 meters x 3 meters, made of G.I. pipe schedule 40, foldable, with waterproof heavy duty canv</t>
  </si>
  <si>
    <t xml:space="preserve"> Repair and maintenance of various vehicles assigned to CEPWD</t>
  </si>
  <si>
    <t xml:space="preserve"> 1.) 2 set of Computer Desktop     Motherboard: H30m 8th gen LGA 1151     Processor: Intel Pentium G5400     RAM: 8GB DDR4     Storage: 240GB SSD 2.5inch         1TB HDD     Cpu case: micro with Power supply 700w     Keyboard and mouse, combo     Monitor: </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</si>
  <si>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</si>
  <si>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4 DZNS ABBOCATH G22 AND 76 OTHER LINE ITEMS</t>
  </si>
  <si>
    <t xml:space="preserve"> NOTICE OF NEGOTIATED PROCUREMENT (Small Value Procurement) Project:	Purchase of IT Equipment (for the use of the Molecular Laboratory at PPH)  		(PR#2020-07-6069) 		5	unit	Desktop Computer with Complete Accessories 				Specs: 				Processor: Intel Core i7-</t>
  </si>
  <si>
    <t xml:space="preserve"> 1	BOND PAPER LONG			845	rms	 222.50 	 188,012.50  2	BOND PAPER LONG A4			251	REAMS	 206.60 	 51,856.60  3	EXPANDED ENVELOPE			152	PCS.	 10.00 	 1,520.00  4	GLUE			55	BOT.	 62.10 	 3,415.50  5	PENTIL PEN			57	PCS.	 40.00 	 2,280.00  6	PILOT IN			55	BOT.	 9</t>
  </si>
  <si>
    <t xml:space="preserve"> kindly see attached file for your reference</t>
  </si>
  <si>
    <t xml:space="preserve"> REQUEST FOR QUOTATION											 											 The Clark Development Corporation, through its  Purchasing Division (PD), invites suppliers/ manufacturers/contractors to send proposal for the hereunder project :											 											 											 Name of Pro</t>
  </si>
  <si>
    <t xml:space="preserve"> 500	Piece	Albumin Human 20% 50ml IV infusion, ABC 1,920.11/pc 		Fluids/Electrolytes				 RFQ#08-0882</t>
  </si>
  <si>
    <t xml:space="preserve"> Bid Opening - September 8, 2020, 2:00 P.M. at Municipal Conference Hall</t>
  </si>
  <si>
    <t xml:space="preserve"> BIDS AND AWARDS COMMITTEE INVITATION TO BID The DEPARTMENT OF HEALTH – CENTRAL VISAYAS CENTER for HEALTH DEVELOPMENT (DOH – CV CHD), through its Bids and Awards Committee (BAC), invites contractors to bid for the hereunder projects: BAC NO. 2020-I04 	 NAM</t>
  </si>
  <si>
    <t xml:space="preserve"> The local Government Unit of Bindoy through its Bids and Awards Committee intends to Purchase of Materials for the SPROCKET BUILD-UP AND FABRICATE TEETH FOR KAMATSU BULLDOZER This purchase of Purchase of Materials for the SPROCKET BUILD-UP AND FABRICATE T</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</si>
  <si>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</si>
  <si>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Item No.	ITEMS &amp; DESCRIPTION	QTY.	 1	Mixing Bowl(medium, stainless)	3	pcs 2	Measuring Cup &amp; Spoon(stainless)	2	sets 3	Electric Hand Mixer	1	unit 4	Puto Molder (plastic, medium) 10's	3	packs 5	Streamer (2 layers, big)	1	units 6	Strainer (metal, big)	2	pcs </t>
  </si>
  <si>
    <t xml:space="preserve"> This project is by lot, partial bid is not accepted LOT ELECTRONIC PARTS AND COMPONENTS 1 BATTERY *12V, 200AH lithium battery solar battery. UNIT: LOT, QUANTITY: 1 POWER BANK *50,000mAh with charger, can charge laptop and cellophone. UNIT: UNIT, QUANTITY:</t>
  </si>
  <si>
    <t xml:space="preserve"> Unit 	             Quantity               Item Description	             		 REAMS	    250                       Bond Paper A4	SUBS 20 BOT.	            45                         Ink (T664/003) sets of 3 colors (C/M/Y)	 BOT.	            26                  </t>
  </si>
  <si>
    <t xml:space="preserve"> Republic of the Philippines Province of Leyte Municipality of La Paz OFFICE OF THE BIDS AND AWARDS COMMITTEE INVITATION TO BID (ITB) – NO. : 2020 – 007 Procuring Entity : Municipality of La Paz, Leyte Title of Project : PURCHASE AND INSTALLATION OF AIR-CO</t>
  </si>
  <si>
    <t xml:space="preserve"> PROCUREMENT OF SUPPLIES FOR DEP-ED (RE-BIDDING)</t>
  </si>
  <si>
    <t xml:space="preserve"> RFQ-GS-20200720-06 Interested Suppliers are invited to submit Price Quotation for the above listed item. The official LANDBANK Request for Quotation Form may be obtained from MS. JAM FABELLA (tel no. 8 5512200 LOCALS 2452, 2453; email address: jamfabella@</t>
  </si>
  <si>
    <t xml:space="preserve"> Request for Quotation PR. No.:2020-08-570 Sir/ Madam: Please quote your lowest price on the item/s listed below, stating the shortest time of delivery and submit your quotation duly signed by your representative not later than the set deadline at the BAC </t>
  </si>
  <si>
    <t xml:space="preserve"> Barangay Kanguha, Municipality of Dumanjug, Cebu, through its Bids and Awards Committee (BAC), invites qualified suppliers to apply for eligibility and to bid for the WATER SYSTEM. Approved Budget for the Contract: Php 200,000.00 1.	A complete set of Bidd</t>
  </si>
  <si>
    <t xml:space="preserve"> TRANSMISSION FOR TOYOTA FORTUNER MODEL 2014 WITH INSTALLATION AUTOMATIC, 4X4  - 1 UNIT</t>
  </si>
  <si>
    <t xml:space="preserve"> WARNING SYSTEM</t>
  </si>
  <si>
    <t xml:space="preserve"> REQUEST FOR QUOTATION Date: August 24, 2020 RFQ No.: 2020 – 146 - Ostomy Bag, Oxygen Mask and Plaster Name of Company:	________________________________________________________ Office Address:	________________________________________________________			____</t>
  </si>
  <si>
    <t xml:space="preserve"> LAST PART OF THE MODULAR LEARNING KITS OF THE DEPED WILL BE REPRODUCED  (Week 8). The Request for the Quotation should be at Price per Page.  Example:  P2.00 per Page. The size of the paper is A4(21 cm. x 29.7 cm. White bond) and will be shouldered by the</t>
  </si>
  <si>
    <t xml:space="preserve"> Materials for the inst. of glass protection CAIAD</t>
  </si>
  <si>
    <t xml:space="preserve"> 1	Table 6 feet Rectangular Folding Table  Black (blow molded), 118xW 762xH 7543mm, indoor or outdoor use, high, density polyesthylene (HDPE) blow molded table top material, waterproof table top that resist spills and stain lightweight and durable, heavy d</t>
  </si>
  <si>
    <t xml:space="preserve"> 1	rms.	Bond Paper (A4)	160	 210.00 	 33,600.00  2	btls.	EPSON L3110 Printers Ink (Black)	60	 380.00 	 22,800.00  3	btls.	EPSON L3110 Printers Ink (Colored)	120	 380.00 	 45,600.00</t>
  </si>
  <si>
    <t xml:space="preserve"> LIWAD is in need of Concrete Cutter for its operation. Specification are stated in the RFQ form attached to this post.</t>
  </si>
  <si>
    <t xml:space="preserve"> REQUEST FOR QUOTATION Printing Services for Batch 2018 Yearbook of MinSCAT Main Campus The Mindoro State College of Agriculture and Technology (MinSCAT) through the Bids and Awards Committee invites interested firms/suppliers to submit quotation for the p</t>
  </si>
  <si>
    <t xml:space="preserve"> Republic of the Philippines Department of Public Works and Highways Nueva Vizcaya 1ST District Engineering Office Bayombong, Nueva Vizcaya August 24, 2020 NOTICE OF ALTERNATIVE METHODS OF PROCUREMENT (Small Value Procurement-RFQ) Notice is hereby given th</t>
  </si>
  <si>
    <t xml:space="preserve"> 1. The LGU-Bakun, Benguet, through the 2020 20% MDF, intends to apply the sum of   P 799,994.14 being the Approved Budget for the Contract (ABC) to payments under the contract Various Infrastructure Projects under Cluster J-2020, Poblacion, Bakun, Benguet</t>
  </si>
  <si>
    <t xml:space="preserve"> 1. The LGU-Bakun, Benguet, through the 2020 20% MDF, intends to apply the sum of   P 299,999.85 being the Approved Budget for the Contract (ABC) to payments under the contract CONSTRUCTION OF MOLING LOADING PLATFORM, POBLACION, BAKUN, BENGUET /Contract Nu</t>
  </si>
  <si>
    <t xml:space="preserve"> The local Government Unit of Bindoy through its Bids and Awards Committee intends to Purchase of Materials for the STRAIGTHENING AND REPAIR OF U-FRAME FOR KAMATSU BULLDOZER This purchase of Purchase of Materials for the STRAIGTHENING AND REPAIR OF U-FRAME</t>
  </si>
  <si>
    <t xml:space="preserve"> see attached documents</t>
  </si>
  <si>
    <t xml:space="preserve"> 1. The LGU-Bakun, Benguet, through the 2020 20% MDF, intends to apply the sum of   P 1,499,997.84 being the Approved Budget for the Contract (ABC) to payments under the contract IMPROVEMENT OF BEWANG-BEYENG FMR, SINACBAT, BAKUN, BENGUET /Contract Number 4</t>
  </si>
  <si>
    <t xml:space="preserve"> 1	Tiling of Faculty Room and CR with Labor</t>
  </si>
  <si>
    <t xml:space="preserve"> A.	PROJECT DESCRIPTION This Project requires the procurement of a reputable research agency/company that will carry out the Customer Satisfaction Survey for Calendar Year (CY) 2020 upon clients or accounts of DBP-LC, duly identified at the time of the awa</t>
  </si>
  <si>
    <t xml:space="preserve"> see attached</t>
  </si>
  <si>
    <t xml:space="preserve"> Republic of the Philippines												 NORTHWEST SAMAR STATE UNIVERSITY												 Rueda St, Calbayog City, 6710 												 Website: http//www.nwssu.edu.ph        Email: main@nwssu.edu.ph												 Telefax:(055)2093657    												 												 P</t>
  </si>
  <si>
    <t xml:space="preserve"> Preventive Maintenance of the IWATSU PABX System for One (1) Year starting from October 15, 2020 to October 14, 2021 at the DOLE Main Building The Monthly Preventive Maintenance Services of the PABX equipment by the Contractor as follows: 1)	Provide diagn</t>
  </si>
  <si>
    <t xml:space="preserve"> Supply and delivery of food items for 2nd semester consumption of Haven for Women and Girls residents Choco powder 1kg x 9 - 72 packs Powdered filled milk 900g x 14 - 72 packs Black coffee Decaf 160g - 4 packs Pineapple in can 240ml x 24 - 6 cases Sotangh</t>
  </si>
  <si>
    <t xml:space="preserve"> TRAINING BAGS</t>
  </si>
  <si>
    <t xml:space="preserve"> Construction materials to be used by FMO</t>
  </si>
  <si>
    <t xml:space="preserve"> The local Government Unit of Bindoy through its Bids and Awards Committee intends to Purchase of Materials for the REPAIR AND BUILD-UP OF IDLER CARRIER OF BULLDOZER ROLLERS This purchase of Purchase of Materials for the REPAIR AND BUILD-UP OF IDLER CARRIE</t>
  </si>
  <si>
    <t xml:space="preserve"> Office Supplies - PHP. 42,185.63 ICT Equipment  - PHP. 11,000.00 Medical Emergency Supplies - PHP. 19,380.00</t>
  </si>
  <si>
    <t xml:space="preserve"> The Schools Division Office of Kabankalan City, through the 2020 General Appropriation Act (Maintenance and Other Operating Expenses) intends to apply the sum of One Hundred Sixty-Three Thousand Five Hundred Thirty-Six Pesos (Php 163,536.00) being the App</t>
  </si>
  <si>
    <t xml:space="preserve"> Item no. 1  -  15 bottles  - Alcohol, ethyl, 68%-70%, scented, 500ml (-5ml)  -  P  750.00              2  - 5 boxes      -Facemask Earloop, premium series medical grade, bacterial filtration efficiency is greater than 99%, 3 ply  -     2,000.00           </t>
  </si>
  <si>
    <t xml:space="preserve"> The Securities and Exchange Commission (SEC), through the authorized appropriations under FY-2020 Revised Corporation Code (RCC) intends to apply the sum of Twelve Million Pesos (Php12,000,000.00) being the Approved Budget for the Contract (ABC) to paymen</t>
  </si>
  <si>
    <t xml:space="preserve"> Republic of the Philippines DEPARTMENT OF ENVIRONMENT &amp; NATURAL RESOURCES-CAR Baguio City Bids and Awards Committee                                                         REQUEST FOR QUOTATION                               2020-08-290 (ABC:  Php 50,001.0</t>
  </si>
  <si>
    <t xml:space="preserve"> 1.Acrylic Skimcoat,Nippon or Equivalent - 8 gals 2.Vinilex Sealer,Nippon or Equivalent - 28 gals 3.Anti-bacterial Paint,Nippon or Equivalent - 30 gals 4.Anti-bacterial Too Coat Paint Nippon or Equivalent - 30 gals 5.Lacquer Thinner - 30 gals 6.#6 Roller P</t>
  </si>
  <si>
    <t xml:space="preserve"> 1	Thermal Scanner	2	 pcs 	 6,400.00  2	Face Mask KN95	10	 box 	 3,000.00  3	Face  Shield	300	 pcs 	 45,000.00  4	Alcohol 500ml	10	 btls 	 700.00  5	Washable Mask	300	 pcs 	 10,500.00</t>
  </si>
  <si>
    <t xml:space="preserve"> ---------Qty.-----------Unit-------------ITEM/S DESCRIPTION -------1,000-----------pcs--------------ID Lace -------1,000-----------pcs--------------ID Holder</t>
  </si>
  <si>
    <t xml:space="preserve"> Repair of service vehicle of Hon. Mylene de Jesus</t>
  </si>
  <si>
    <t xml:space="preserve"> See attached file.....</t>
  </si>
  <si>
    <t xml:space="preserve"> Name of the Procuring Entity:					Project Reference Number: PR # 100-2020-08-1053 Municipality of Lantapan					Name of the Project:  Standard Form Number: SF-GOOD-60					Procurement of Progestine Pills 					use for Family Planning of MHO Revised on: May 2</t>
  </si>
  <si>
    <t xml:space="preserve"> fuel pump assembly (peed pump, fuel filter) motor vehicle battery 12 volts/11 plates</t>
  </si>
  <si>
    <t xml:space="preserve"> PR#20-08-0516 ABC 326,400.00 12 pcs. - Water Meter ¾” 12 pcs. - Water Meter 1” 2 pcs. - Water Meter 2” 2 pcs. - Water Meter 3” 2 pcs. - Water Meter 4” Note: See attached specifications and terms and conditions. INSTRUCTIONS/ NOTES TO BIDDERS: 1.	Please in</t>
  </si>
  <si>
    <t xml:space="preserve"> Supplies and materials for nursery and training center</t>
  </si>
  <si>
    <t xml:space="preserve"> Republic of the Philippines PROVINCE OF ORIENTAL MINDORO Municipality of Victoria Barangay BAGONG SILANG OFFICE OF THE BIDS AND AWARDS COMMITTEE ITB No. 2020-01 INVITATION TO APPLY FOR ELIGIBILITY AND TO BID The Barangay Government of BAGONG SILANG Victor</t>
  </si>
  <si>
    <t xml:space="preserve"> 1	Pretilachlor+ Safener	6	 L  2	Chlorpyrifos + Cyopermithrin	5	 L  3	Deltamithrin	6	 L  4	Chlorantramiliprole	8	 Btls  5	Beta Cypermithrin	6	 L  6	Methomyl	6	 Box  7	2-4-D Ester	6	 L  8	Lambdacyhalothrin	2	 L  9	Glyphoste (Round-up)		 Gal  	Fertilizers		 </t>
  </si>
  <si>
    <t xml:space="preserve"> Supply and Delivery of Various Sized for Trash Bags Trash Bag Flat XXL Yellow 18.5 x 18.5 x 40 100pcs/pack	piece	6.90	8,000	55,200.00 TRASH BAG Flat Medium Yellow 11 x 11 x 24 100 pieces/pack	piece	3.90	6,000	23,400.00 ------------------------------------</t>
  </si>
  <si>
    <t xml:space="preserve"> 6	pcs	8.25 x 16.00 Tire, Tube &amp; Flap</t>
  </si>
  <si>
    <t xml:space="preserve"> 10 pcs  session chair</t>
  </si>
  <si>
    <t xml:space="preserve"> 1. Structural Excavation 2. RCPC 3. Grouted Riprap 4. Sub Grade Preparation 5. Aggregates Sub Base Course 6. Aggregate Base Course 7. Portland Cement Concrete Pavement (150mm PCCP)  SPL 1 Line ditch   SPL 2 Road Monument and Project Marker  SPL 3 Project </t>
  </si>
  <si>
    <t xml:space="preserve"> Supply and Delivery of Communication Equipment with complete accessories as listed in the bill of quantities all in accordance with the approved standards and specifications including terms and conditions set forth</t>
  </si>
  <si>
    <t xml:space="preserve"> Republic of the Philippines Province of Nueva Vizcaya BIDS AND AWARDS COMMITTTEE (GOODS) BAC OFFICE, Provincial Capitol, Bayombong, Nueva Vizcaya 	 		 REQUEST FOR QUOTATION (RFQ) For the Procurement of 150 tanks Medical Oxygen (Big-Refill) For the Dupax D</t>
  </si>
  <si>
    <t xml:space="preserve"> The SANGGUNIANG BARANGAY OF BARANGAY SALA, TANAUAN CITY, BATANGAS, through the Barangay Operating Budget 2020 intends to apply the sum of Fifty Thousand Pesos Only (Php 50,000.00 ) being the Approved Budget of the Contract (ABC) to payment under the Provi</t>
  </si>
  <si>
    <t xml:space="preserve"> PRE DISASTER PREPAREDNESS, RESCUE &amp; KITCHEN UTENSILS</t>
  </si>
  <si>
    <t xml:space="preserve"> ----------Qty.--------------Unit----------------ITEM/S DESCRIPTION ----------30--------------reams---------------Carbonless white top long ----------30--------------reams---------------Carbonless yellow middle long ----------30--------------reams---------</t>
  </si>
  <si>
    <t xml:space="preserve"> 2,000	pcs	Face Shield</t>
  </si>
  <si>
    <t xml:space="preserve"> Invitation to Rebid for the   ESTABLISHMENT OF VEGETABLE GREENHOUSE The MUNICIPALITY OF ISULAN, through the DA RFO 12 (BUB 2016)  intends to apply the sum of TWO HUNDRED FIFTY-THREE THOUSAND NINE HUNDRED THIRTY-FIVE  PESOS ONLY (PHP 253,935.00) being the </t>
  </si>
  <si>
    <t xml:space="preserve"> OFFICE SUPPLIES AND CONSUMABLES (PRINTER INK, BOND PAPER: LONG AND SHORT, STAPLE, STAPLER, FOLDER)</t>
  </si>
  <si>
    <t xml:space="preserve"> Republic of the Philippines BOHOL ISLAND STATE UNIVERSITY Main Campus, Tagbilaran City INVITATION TO BID FOR RE-BIDDING:LOT 1: SUPPLY AND DELIVERY OF ELECTRICAL SUPPLIES FOR MAINTENANCE OF SCHOOL LIGHTING/WIRING SYSTEM (PR NO. 2020-02-0095, 2020-02-0096, </t>
  </si>
  <si>
    <t xml:space="preserve"> 1.) Computer laptop = 1 unit      Processor: AMD Ryzen 5      RAM: 2 x 4GB DDR4     Storage: 500GB SSD      Screen size: 15inch full HD, refresh rate 144Hz     Operating system: Windows 10 2.) Computer laptop = 1 unit     Processor: Intel core i5      RAM</t>
  </si>
  <si>
    <t xml:space="preserve"> PLEASE SEE ATTACHED PURCHASE REQUISITION AND TERMS OF REFERENCE  FOR DETAILS</t>
  </si>
  <si>
    <t xml:space="preserve"> MOBILE LOAD CARD</t>
  </si>
  <si>
    <t xml:space="preserve"> Republic of the Philippines															 City of Manila															 															 															 CITY GENERAL SERVICES OFFICE															 															 REQUEST FOR PRICE QUOTATION (RFQ) NO. 2020-07-424															 NP-Small Value Procuremen</t>
  </si>
  <si>
    <t xml:space="preserve"> UTP CABLE CAT 5E ...... Ten(10) boxes ............ ₱6,000.00/ box      ***nothing follows***            General Conditions: 1. All entries must be typewritten or in print. 2. Delivery for a minimum period of 7 calendar days. 3. Warranty shall be for a per</t>
  </si>
  <si>
    <t xml:space="preserve"> Module Reproduction</t>
  </si>
  <si>
    <t xml:space="preserve"> SEE ATTACH DOCUMENTS</t>
  </si>
  <si>
    <t xml:space="preserve"> To the supplier; Please quote your lowest price possible for the following goods attached to the RFQ. Please attached your quoted RFQ and send it to cristelmae.legaspi@deped.gov.ph if you can't attached the said document on this site.  Thank you very much</t>
  </si>
  <si>
    <t xml:space="preserve"> The Department of Agriculture-RFO 3, invites interested suppliers to submit quotations/proposals for the hereunder requirement, to wit: 		  	 	Repair of Drainage for Existing Earwig  Laboratory   	 	I. Earth Works  1	 	    a. Chipping and Furnishing Tiles</t>
  </si>
  <si>
    <t xml:space="preserve"> FABRICATION AND INSTALLATION OF RAILINGS</t>
  </si>
  <si>
    <t xml:space="preserve"> Materials for the const. of child development Center SMV</t>
  </si>
  <si>
    <t xml:space="preserve"> ----------Qty.-----------Unit------------ITEM/S DESCRIPTION -----------2------------units------------Magazine Rack -----------6------------units------------Self-Reading Carrels ----------50-------------pcs------------Book Ends -----------5-------------pcs</t>
  </si>
  <si>
    <t xml:space="preserve"> Merangeran ES School and Office supplies July-September 2020</t>
  </si>
  <si>
    <t xml:space="preserve"> Please quote your best price 600 pcs of Medical Hammer ABC: 180,000.00 Please email your quotation Please download canvass form</t>
  </si>
  <si>
    <t xml:space="preserve"> OFFICE SUPPLIES AND EQUIPMENT      DESCRIPTION                QTY                     UNIT  COST         AMOUNT    EPSON PRINTER 3110         8                            8 000.00          64 000.00    INK REFILL BLACK             30 BOT.                 </t>
  </si>
  <si>
    <t xml:space="preserve"> 6 sets Tire for 10 wheeler Truck 10 x 20</t>
  </si>
  <si>
    <t xml:space="preserve"> UNIT             DESCRIPTION               QUANTITY REAMS           A4 BOND PAPER SUBS. 20          285 BOTTLES        TONER REFILL (BROTHER)           5 PCS                PLASTIC ENVELOP (LONG)           140 BOXES           PAPER FASTENER               </t>
  </si>
  <si>
    <t xml:space="preserve"> Supply and delivery of construction materials for the Road Development Program.</t>
  </si>
  <si>
    <t xml:space="preserve"> UNIT               QUANTITY                          DESCRIPTION PCS                    3,410                             LONG EXPANDED ENVELOPE WITH HANDLE (PLASTIC, CLEAR)</t>
  </si>
  <si>
    <t xml:space="preserve"> Support to the Advocacy on R.A.10654</t>
  </si>
  <si>
    <t xml:space="preserve"> UNIT       QUANTITY       DESCRIPTION REAM          147          BOND PAPER A4 SIZE BOTTLE         75          PRINTER INK (BLACK) BOTTLE         15          PRINTER INK (COLORED) PIECE            11         STAPLER BOX              19         STAPLE WIRE</t>
  </si>
  <si>
    <t xml:space="preserve"> X X X X X X X X X X X X X X STRAIGHT CONTRACT X X X X X X X X X X X X X X X X</t>
  </si>
  <si>
    <t xml:space="preserve"> Republic of the Philippines Province of Cebu City of Mandaue Barangay Paknaan Contact #517-6562|Email:barangaypaknaanmandaue7@gmail.com Office of the Bids and Awards Committee Invitation to Bid for the Supply, Delivery and Installation of Solar at Paknaan</t>
  </si>
  <si>
    <t xml:space="preserve"> Repair and maintenance of several service vehicles of city councilors</t>
  </si>
  <si>
    <t xml:space="preserve"> SEE ATTACH DOCUMENT</t>
  </si>
  <si>
    <t xml:space="preserve"> PURCHASE OF ONE (1) UNIT MOTORCYCLE WITH SIDECAR</t>
  </si>
  <si>
    <t xml:space="preserve"> Materials for the construction of child development center Lalud</t>
  </si>
  <si>
    <t xml:space="preserve"> The SANGGUNIANG BARANGAY OF BARANGAY NATATAS, TANAUAN CITY, BATANGAS, through the Barangay Operating Budget 2020 intends to apply the sum of Ten Thousand Pesos Only (Php 10,000.00) being the Approved Budget of the Contract (ABC) to payment under the Provi</t>
  </si>
  <si>
    <t xml:space="preserve"> Design and Build of the Sanitary Landfill Facility for the Municipality of Baganga</t>
  </si>
  <si>
    <t xml:space="preserve"> Improvement of multi-purpose civic-center 1 span having an area of 110 sq.m.</t>
  </si>
  <si>
    <t xml:space="preserve"> ---------Qty.-----------Unit-------------ITEM/S DESCRIPTION ----------26------------pcs-------------Plaques Glass (10 x 8) ----------10------------pcs-------------Plaques Wood (7 x 10)</t>
  </si>
  <si>
    <t xml:space="preserve"> FABRICATION AND INSTALLATION OF STREETLIGHTS (6 UNITS)</t>
  </si>
  <si>
    <t xml:space="preserve"> Cloud-based Vulnerability Assessment Software Subscription for One (1) Year Estimated total cost: Php 950,000.00 (Inclusive of VAT) Technical Specifications: The Vulnerability Assessment (VA) Software subscription must have the following features: 1. Moni</t>
  </si>
  <si>
    <t xml:space="preserve"> Provincial Health Office Agusan del Norte</t>
  </si>
  <si>
    <t xml:space="preserve"> SJV-598(Crosswind) Labor 1 lot Full down all a/c system general cleaning, leak test flashing replace compressor surplus expansion valve, replace filter dryer replace double pulley b-new, oring 1 lot Full freon charging dual a/c R134a Parts 3 kilos K1iB fo</t>
  </si>
  <si>
    <t xml:space="preserve"> CONSTRUCTION OF OPEN CANAL @ SITIO LOT B NEAR PASTOR JOEL SANOY</t>
  </si>
  <si>
    <t xml:space="preserve"> Provincial Disaster Risk Reduction Management Office Agusan del Norte</t>
  </si>
  <si>
    <t xml:space="preserve"> Please quote your best price 3 carts of Ink for Printers (3 LC3619 Black) ABC: 6,000.00 2 carts of Ink for Printers (2 LC3619 Magenta) ABC: 3,000.00 2 carts of Ink for Printers (2 LC3619 Cyan) ABC: 3,000.00 2 carts of Ink for Printers (2 LC3619 Yellow) AB</t>
  </si>
  <si>
    <t xml:space="preserve"> 60	piece  	Ink CPI 7 30	piece	        CPMT15 MASTER  for DX344</t>
  </si>
  <si>
    <t xml:space="preserve"> CONSTRUCTION OF OPEN CANAL @ SITIO SULUCAN</t>
  </si>
  <si>
    <t xml:space="preserve"> 30 pads COVID-19 Violation Receipt carbonized (white, green &amp; yellow) 50 x 3</t>
  </si>
  <si>
    <t xml:space="preserve"> REQUEST FOR QUOTATIONS The Philippine Council for Health Research and Development (PCHRD), through its Bids and Awards Committee (BAC), requests PhilGEPS registered suppliers to submit quotations for the supply and delivery of Video Conferencing Subscript</t>
  </si>
  <si>
    <t xml:space="preserve"> NOTICE OF NEGOTIATED PROCUREMENT (Small Value Procurement) Project:	Purchase of Two (2) units Air Condition, Window Type, 2HP (for installation at OR &amp; BEMONC) 		(PR#2020-05-4728) Location: 	Western Pangasinan District Hospital 	        Alaminos City, Pan</t>
  </si>
  <si>
    <t xml:space="preserve"> Request for Quotation Supply &amp; Delivery of 1 Set Desktop Core i7 32gb for RSBSA System Item No.	Quantity	Unit of Issue	Item Description 1	1	set	Desktop Core i7 32gb                         24” Monitor                          HP Pav TP01-0109d DT PC A/P i</t>
  </si>
  <si>
    <t xml:space="preserve"> INVITATION TO APPLY FOR ELIGIBILITY AND TO BID (Small Value Procurement) 	The  Department of Education, (DEPED), Sorsogon City Division through its Bids and Awards Committee (BAC) invites suppliers/manufacturers/distributors/contractors to  apply for elig</t>
  </si>
  <si>
    <t xml:space="preserve"> Republic of the Philippines Province of Southern Leyte MUNICIPALITY OF SOGOD -o0o- REQUEST FOR QUOTATION (RFQ) _______________________________________ _______________________________________ Sir/Madam: 	Please quote your price for the item/s specified bel</t>
  </si>
  <si>
    <t xml:space="preserve"> RFQ-2020-260		 			 1.	4	set	Kit-Personal High Angle Rescue Gear 			Proteger Challenge 2.0 Rescue Helmet 			Proteger Reversible full Body Harness 			Proteger Radio Harness Admin Pouch 			Proteger Orion 2.0 Headlamp 			Kong Italy Rope Bag 100 color orange 	</t>
  </si>
  <si>
    <t xml:space="preserve"> Provincial Veterinarian Office Agusan del Norte</t>
  </si>
  <si>
    <t xml:space="preserve"> 12 UNITS LAPTOP, AMD RYZEN 5 3500U PROCESSOR, WINDOWS 10, MEM 8 GB DDR4 2400, DISPLAY 15.6 LED BACKLIT FHD (1920X1080), STORAGE 512 GB PCLe GEN3 X 2 SSD</t>
  </si>
  <si>
    <t xml:space="preserve"> Republic of the Philippines BOHOL ISLAND STATE UNIVERSITY Main Campus, Tagbilaran City INVITATION TO BID FOR RE-BIDDING: SUPPLY AND DELIVERY OF APPLIANCES FOR THE 2ND QUARTER (PR NO. 2020-01-0029, 2020-02-0178, 2020-02-0168, 2020-02-0130, 2020-06-0576) 1.</t>
  </si>
  <si>
    <t xml:space="preserve"> TMB-928(Isuzu Tow Truck)(GSO) 1 lot General wiring with labor and materials 1 lot Starter repair 1 pc Solonoid 1 set Carbon brush F1-R323(Nissan Urvan NV350)(Ambulance)(Rescue) 1 lot Trouble shooting wiring on horn and siren horn 1 set Horn U2-D322(T-King</t>
  </si>
  <si>
    <t xml:space="preserve"> CONSTRUCTION OF OPEN CANAL @ SITIO LOT-A &amp; LOT B</t>
  </si>
  <si>
    <t xml:space="preserve"> I. Demolition II. Mobilization III. CSHP IV. Road Preparation V. Portland Cement Concrete Pavement and Abutment VI. Formworks VII. Equipment</t>
  </si>
  <si>
    <t xml:space="preserve"> Coarse Sand	15	Cu.m Portland Cement	50	bags 4” CHB	180	pcs Gravel	15	Cu.m Fine Sand	15	Cu.m ‘-x-x-x-x-x-x-x-Nothing Follows-x-x-x-x-x-x-x-x-</t>
  </si>
  <si>
    <t xml:space="preserve"> CONCRETING OF ROAD @ SITIO HULO</t>
  </si>
  <si>
    <t xml:space="preserve"> 3 pcs Flash Drive 32GB</t>
  </si>
  <si>
    <t xml:space="preserve"> NOTICE OF NEGOTIATED PROCUREMENT (Small Value Procurement) Project:	Purchase of One (1) pc. Air Condition, 3TR (to be installed at New Building of PSWDO Office) 		(PR#2020-02-1556) Location: 	Provincial Social welfare &amp; Dev’t Office 	        Lingayen, Pan</t>
  </si>
  <si>
    <t xml:space="preserve"> ITEM NO. DESCRIPTION QTY UNIT 1 TRANSMISSION ASSEMBLY 1 ASSY.</t>
  </si>
  <si>
    <t xml:space="preserve"> REQUEST FOR QUOTATION 1.The  Philippine Ports Authority, PMO Northern  Luzon, through its Bids  and Awards Committee  (BAC),     hereby invites contractors duly registered with the Philippine Contractors Accreditation Board (PCAB) to     submit quotation/</t>
  </si>
  <si>
    <t xml:space="preserve"> 1 unit Alternator Assembly Toyota d4d</t>
  </si>
  <si>
    <t xml:space="preserve"> CONCRETING OF ROAD @ SITIO GULOD</t>
  </si>
  <si>
    <t xml:space="preserve"> To purchase Various Protective Accessories to be used in the BMS activities of Planning and Design Section</t>
  </si>
  <si>
    <t xml:space="preserve"> Communication Equipment</t>
  </si>
  <si>
    <t xml:space="preserve"> NOTICE OF NEGOTIATED PROCUREMENT (Small Value Procurement) Project:	Purchase of Twelve (12) units Air Condition, 1.5HP Slit Type (Wall Mounted) (to be installed at the 3 units Cottages, Capitol Resort Hotel, Lingayen, Pangasinan) 		(PR#2020-06-5365) Locat</t>
  </si>
  <si>
    <t xml:space="preserve"> Republic of the Philippines BOHOL ISLAND STATE UNIVERSITY Main Campus, Tagbilaran City INVITATION TO BID FOR SUPPLY AND DELIVERY OF IT EQUIPMENT (PR NO.  2020-06-0593, 2020-06-0563, 2020-05-0507, 2020-05-0510) 1.	The Bohol Island State University – Main C</t>
  </si>
  <si>
    <t xml:space="preserve"> engine displacement: 660cc,12 valve	 horse power:38ps/3600rpm 		 transmission :manual,5 speed		 engine type-4 stroke,3 cylinder,water cooled-direct fan gasoline  				 standard accesories: aircon,stereo,side door speaker,cabin speaker trashcan,cabin light </t>
  </si>
  <si>
    <t xml:space="preserve"> CONSTRUCTION OF OPEN CANAL @ SITIO LOT B near PERLY IGNACIO</t>
  </si>
  <si>
    <t xml:space="preserve"> 1. Edging machine 2. piping machine 3. 6 in 1 heat press 4. 24" cutter plotter 5. Epson Ink 6. Pigment Ink 7. sublimation ink</t>
  </si>
  <si>
    <t xml:space="preserve"> GC-0448(Foton Mini Dumptruck)(Market) 2 pcs Brake chamber 1 assy Air cleaner holder 1 set Air cleaner filter 1 lot Labor 1 lot Onsite fees</t>
  </si>
  <si>
    <t xml:space="preserve"> Various colors needed: Yellow - 670 pcs Pink - 764 pcs Red - 730 pcs Blue - 709 pcs Green - 743 pcs Transparent white - 673</t>
  </si>
  <si>
    <t xml:space="preserve"> Invitation to Bid No. 2020-01 Republic of the Philippines Batangas City Invitation to Bid for the Purchase of Various Office Equipment for the use of Barangay Maapaz, Batangas City. The Barangay Government through the Office of the Brgy. Chairman intends </t>
  </si>
  <si>
    <t xml:space="preserve"> OFFICE SUPPLIES</t>
  </si>
  <si>
    <t xml:space="preserve"> 3 pcs. Marine Plywood 3/4 inch. 1 Gal Paint Enamel (white gloss) 1 Gal Paint Latex (white gloss) 50 meters PDX wires 14/2 30 meters PDX Wires 12/2 5 pcs. Electrical Tape (big) 9 pcs. Convenient outlet  (3 gang Universal) 3 units circuit breaker (volt on) </t>
  </si>
  <si>
    <t xml:space="preserve"> NOTICE OF NEGOTIATED PROCUREMENT (Small Value Procurement) Project:	Purchase of One (1) unit Box Type air Condition 3TR (for use at the Center for Excellence in employee and Organization Development) 		(PR#2020-06-5628) Location: 	Human Resource Managemen</t>
  </si>
  <si>
    <t xml:space="preserve"> Please quote your best price 667 pcs of Lapel Waistband Portable Amplifier Speaker ABC: 800,400.00 Specifications: (Please see attached prototype) Please email your quotation Please download canvass form</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</si>
  <si>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</si>
  <si>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Republic of the Philippines Province of Leyte Municipality of Palompon Palompon, Leyte  								  BIDS AND AWARDS COMMITTEE		RPQ No.	2020-0109-034	   						Date	25-August-2020	   						PR No.	20-08-2297-350	  						Date	8/17/2020	 To: 	 	Origin	 	   	 			</t>
  </si>
  <si>
    <t xml:space="preserve"> UBOL-KIYANGAN SPRING DEV'T(WS) AT MUNGAYANG</t>
  </si>
  <si>
    <t xml:space="preserve"> 15 btls Ink T6641 black 2 btls Ink T6642 cyan 1 btl Ink T6643 magenta 3 btls Ink T6644 yellow 10 btls Ink 003 black 10 btls Ink 003 cyan 10 btls Ink 003 magenta 10 btls Ink 003 yellow</t>
  </si>
  <si>
    <t xml:space="preserve"> Soft drinks in can 24’s	28	bxs Spaghetti 800g 30’s	7	bxs Condensada 250ml 40’s	20	bxs Tomato Sauce 250g 25’s	16	bxs Karne Norte 175g 40’s	15	bxs Cheese 180g 50’s	16	bxs Spaghetti Sauce 1kg 25’s	8	bxs Bottle Water 300ml x 24	16	bxs Special Mammon 12’s	57	b</t>
  </si>
  <si>
    <t xml:space="preserve"> UNIT ITEM DESCRIPTION QTY pcs Face Shield (aidelai) 200 pcs N95 Respirator (3m 8210) 200 box Clean disposable gloves 100's/box (small-medium size) 300 box Surgical disposable mask 50's/box 200 pcs PPE suit (cover all) (small-medium size) 200 pcs Cover all</t>
  </si>
  <si>
    <t xml:space="preserve"> Nasipit District Hospital Agusan del Norte</t>
  </si>
  <si>
    <t xml:space="preserve"> Standard Form Number: SF-INFR-05 Revised on:  July 29, 2004 INVITATION TO APPLY FOR ELIGIBILITY AND TO BID The LGU of  Barangay III, Mataasnakahoy, Batangas, through its Bids and Award Committee (BAC), invites contractors/suppliers registered with PHILGEP</t>
  </si>
  <si>
    <t xml:space="preserve"> 2 pax 3 Meals for 7 days 44 pax 3 Meals for 14 days</t>
  </si>
  <si>
    <t xml:space="preserve"> Invitation to Bid The Surallah Water District now invites interested bidders to participate in the bidding of the herein described project, as follows: Name of Project : CONSTRUCTION OF ONE (1) PRODUCTION WELL WITH 150m DEPTH X 200mm Ø CASING. Location : </t>
  </si>
  <si>
    <t xml:space="preserve"> Supply and Delivery of CM for the completion of Hanging Foot Bridge @ Mataba, Buyasyas Kayapa Nueva Vizcaya</t>
  </si>
  <si>
    <t xml:space="preserve"> BIDS AND AWARDS COMMITTEE ATTENTION:		ALL INTERESTED BIDDERS 			 SUBJECT:	INVITATION TO BID –    Procurement of ID Printer Ribbon for MICT Office DATE:	August 24, 2020 - - - - - - - - - - - - - - - - - - - - - - - - - - - - - - - - - - - - - - - - - - - -</t>
  </si>
  <si>
    <t xml:space="preserve"> various computer inks</t>
  </si>
  <si>
    <t xml:space="preserve"> Please quote your best price 1,804 pcs of Jerrican with faucet ABC: 288,640.00 Specifications: &gt; Color, Blue &gt; Capacity: 20 liters &gt; Imprinted with non-removable or sticker or label that is binding, and with residue and tearing if removed (both sides of t</t>
  </si>
  <si>
    <t xml:space="preserve"> PR#20-07-0432 ABC 65,996.00 2 pcs. - CI Saddle Clamp 4”Ø x 1”Ø with Stainless Steel Bolts, Nuts and Plain Washers 11 pcs. - CI Saddle Clamp 4”Ø x ¾”Ø with Stainless Steel Bolts, Nuts and Plain Washers 1 pc. - CI Tee 4”Ø (M/F) with Stainless Steel Bolts, N</t>
  </si>
  <si>
    <t xml:space="preserve"> Qty	Unit of Issue	Item Description 67	Pcs	5mm.x1.2m.x2.4m. Marine Plywood 4	Pcs	¼”x2”x20’ Angle Bar 48	Pcs	12mm.Øx6.0m. Square Bars 15	Kgs	Welding Rod 46	Kgs	CW Nails (assorted sizes) 94	Ft	1”x1” Aluminum Tubing (anodized) 130	Ft	½”x1/2” Aluminum Angular </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</si>
  <si>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</si>
  <si>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SUPPLIES AND MATERIALS</t>
  </si>
  <si>
    <t xml:space="preserve"> Filtered Tips 10uL FT4 FIltered tips 10uL, Specifications: Aerosol-resistant tips 10 reach, sterilized, certified RNASE/DNASE, pyogen safe, mircopoint. (10ulx96 tips, 8/12 box)   Filtered Tips 1000uL FT5 FIltered tips 1000uL, Specifications: Aerosol-resis</t>
  </si>
  <si>
    <t xml:space="preserve"> Orange Juice 30’s	50	bxs Softdrinks in can 24’s	60	bxs Special Mammon 12’s	97	bxs Toasted Bread	150	pcs Sandwich Spread	99	pcs Bottle Water 300ml x 24	60	bxs Cup Cake 10 x 30	44	bxs ‘-x-x-x-x-x-x-Nothing Follows-x-x-x-x-x-x-x-</t>
  </si>
  <si>
    <t xml:space="preserve"> Furnishing of PPE's supplies and materials</t>
  </si>
  <si>
    <t xml:space="preserve"> various office supplies</t>
  </si>
  <si>
    <t xml:space="preserve"> ITEM NO	 DESCRIPTION						QTY	UNIT 								 	PR #  MEO-300-2020-08-080							 								 1	3.5mm monoline rope (grass cutter nylon)						2	rolls 2	Shovel Heavy Duty						4	pcs 3	40 kgs. Portland Cement						235	bags 4	Reinforcing Def. bar 12mm Ø x 6m						6</t>
  </si>
  <si>
    <t xml:space="preserve"> NOTICE OF NEGOTIATED PROCUREMENT (Small Value Procurement) Project:	Purchase of 20 units Buggy Cart (for use in the maintenance of provincial parks and grounds) 		(PR#2020-05-4775) Location: 	General Services Office 	        Lingayen, Pangasinan Approved </t>
  </si>
  <si>
    <t xml:space="preserve"> Invitation to Bid for the Construction/Expansion of Labo District Hospital Building, Brgy. Talobatib, Labo, Camarines Norte 1.	TheProvincial Government of Camarines Norte, through the DBP Loanintends to apply the sum of One Hundred MillionPesos(P100,000,0</t>
  </si>
  <si>
    <t xml:space="preserve"> Request for Proposal  The Bureau of Fisheries and Aquatic Resources Regional Office No. 5 (BFAR RO 5), Fabrica, Bula, Camarines Sur is requesting from prospective suppliers to submit written proposal for the Supply and Delivery of Mangrove Crab for Mud Cr</t>
  </si>
  <si>
    <t xml:space="preserve"> THE NATIONAL IRRIGATION ADMINISTRATION-SCIMO, THROUGH THE FUND 501 HAS THE APPROVED BUDGET FOR THE CONTRACT (ABC) AMOUNTING ONE HUNDRED THOUSAND PESOS ONLY (100,000.00).  QUOTATION RECEIVED IN EXCESS OF THE ABC SHALL BE AUTOMATICALLY REJECTED. INTERESTED </t>
  </si>
  <si>
    <t xml:space="preserve"> 1  PC - REFRIGERATOR 1  PC - RICE COOKER 1  PC - AIRCON 1  PC - UNINTERRUPTED POWER SUPPLY (UPS) 1  PC - PRESUURE WASHER 3  PC - FOLDING BED (HEAVY DUTY) 1  PC - KEYBOARD &amp; MOUSE 1  PC - MEGAPHONE 1  PC - BATTERY CHARGER 1  PC - WATER DISPENSER 1  PC - OL</t>
  </si>
  <si>
    <t xml:space="preserve"> Please quote your best price 60 box of Gel Pen, Blue ABC: 16,500.00 60 box of Gel Pen, Black ABC: 16,500.00 300 box of Staple Wires ABC: 12,000.00 500 pcs of Post it "Sign Here"Tab ABC: 40,000.00 20 pcs of Power Extension Cord ABC: 12,000.00 100 pcs of Cl</t>
  </si>
  <si>
    <t xml:space="preserve"> for Office Supplies</t>
  </si>
  <si>
    <t xml:space="preserve"> Republic of the Philippines          City of Dumaguete Bids and Awards Committee INVITATION TO BID FOR PURCHASE REQUEST OF 726 BAGS PORTLAND CEMENT (40 KGS/BAG) TYPE 1 AND OTHER ITEMS 	The City of Dumaguete thru its BIDS AND AWARDS COMMITTEE (BAC), invite</t>
  </si>
  <si>
    <t xml:space="preserve"> 125 units Rapid Test Kits</t>
  </si>
  <si>
    <t xml:space="preserve"> For the use of City General Services Office. 1 pc. connecting rod 2 pcs. bearing 6305 1 set overhauling gasket 1 set piston ring 1 pc. chain guide 1 pc. silicon gasket 1 set clutch lining 1 pc. bearing 6005 1 pc. bearing 6002 1 assy. clutch hub 1 pc. clut</t>
  </si>
  <si>
    <t xml:space="preserve"> 8 units of Licensed Anti Virus     -  With Internet Security, anti-virus, and antispyware     -  Protection from online and offline virus threats     -  Automatically secures internet transactions and banking sites     -  Quarantine all discovered infecte</t>
  </si>
  <si>
    <t xml:space="preserve"> 1,001 liters Diesel 500 Liters Gasoline</t>
  </si>
  <si>
    <t xml:space="preserve"> INVITATION TO BID The City of Bayawan, through its Bids and Awards Committee (BAC), invites suppliers/manufacturers/distributors/contractors to bid for the hereunder projects: 	Lot No. I		RESCUE VEHICLE					 1	1	unit	PICK-UP TRUCK, 4 x 4 E MT DSL					 			</t>
  </si>
  <si>
    <t xml:space="preserve"> Republic of the Philippines					 Province of Palawan					 MUNICIPALITY OF EL NIDO					 PR No. Name of Procuring Entity: Municipal Government of El Nido			RFQ No.	2020-       -MMO	 Date:		 Office/End-User: MMO					 Company Name					 Adress:					 Business P</t>
  </si>
  <si>
    <t xml:space="preserve"> Item	QTY.	UOM	PARTICULARS / DESCRIPTION AND SPECIFICATIONS		APPROVED	BRAND NAME	UNIT PRICE NO.					UNIT COST		 10	3	pc	Laser jet Toner ,no. 80A, (HP 400)Black		4,150.00		 11	8	pc	Flashdrive, 16GB, USB 2.0 ,Plug &amp; Play		550.00		 12	3	pc	External Hard Drive</t>
  </si>
  <si>
    <t xml:space="preserve"> purchased and delivery of xerox machine</t>
  </si>
  <si>
    <t xml:space="preserve"> REQUEST FOR QUOTATION PROJECT TITLE:	REWINDING AND OVERHAULING OF TWO (2) UNITS AIRCON COMPRESSORS (10TR AND 20TR) AT PNOC BLDG. 5 INSTRUCTIONS:	 ___	ADDITIONAL INSTRUCTIONS ATTACHED 			         ___	NO ADDITIONAL INSTRUCTIONS 1.	Fax / Email / Submit your </t>
  </si>
  <si>
    <t xml:space="preserve"> Please refer to the attached RFQ.</t>
  </si>
  <si>
    <t xml:space="preserve"> materials for Supply and Installation of CCTV System with Monitor</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</si>
  <si>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</si>
  <si>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Please quote your best price 20 pcs of Samsung Xpress M2070 fw, Toner Cartridge MLT-D111S ABC: 27,500.00 Please email your quotation Please download canvass form</t>
  </si>
  <si>
    <t xml:space="preserve"> PLEASE SEE ATTACHMENT</t>
  </si>
  <si>
    <t xml:space="preserve"> TERMS AND CONDITIONS: 1. All entries must be typewritten or legibly written. 2. Delivery period within 15 calendar days upon receipt of approved Purchase Order (P.O.) 3. Warranty shall be a minimum of 3 months for expendable supplies and 1 year for Non-ex</t>
  </si>
  <si>
    <t xml:space="preserve"> Liquid Hand Soap Fragrance Free, antibacterial, 1000 ML in Pump Bottle</t>
  </si>
  <si>
    <t xml:space="preserve"> Republic of the Philippines Province of Leyte Municipality of Hilongos INVITATION TO BID FOR THE PROCUREMENT OF OFFICE SUPPLIES 1.  The Local Government Unit of Hilongos, through GENERAL FUND-CURRENT APPROPRIATION- intends to apply the sum NINETEEN THOUSA</t>
  </si>
  <si>
    <t xml:space="preserve"> 1.)  Supply of One (1) Unit Brand new Diesel Electric Generating Set at 38.2 kVA/30.6 KW, three (3) phase, 460/230 volts, 60 hertz, 1800 rpm, 0.8 power factor powered by four stroke heavy duty high performance industrial type diesel engine, 3-cylinder, 4-</t>
  </si>
  <si>
    <t xml:space="preserve"> for Supplies and Materials for Celeblration of Linggo ng Kabataan 2020</t>
  </si>
  <si>
    <t xml:space="preserve"> INVITATION TO BID The City of Bayawan, through its Bids and Awards Committee (BAC), invites suppliers/manufacturers/distributors/contractors to bid for the hereunder projects: 	Lot No. I		OTHER SUPPLIES/MATERIALS					 1	50	pc/s.	Files-bastard cut  					 2</t>
  </si>
  <si>
    <t xml:space="preserve"> Please download associated components.</t>
  </si>
  <si>
    <t xml:space="preserve"> For change oil of municipal heavy equipment-Backhoe VOLVO</t>
  </si>
  <si>
    <t xml:space="preserve"> A4 Bond Paper 			                       318	rms Epson Ink 664 - original black			20	btls Epson Ink 664 - original Magenta		10	btls Epson Ink 664 - original Cyan			10	btls Epson Ink 664 - original Yellow			10	btls Epson Ink 003 - Black			        20	btls Ep</t>
  </si>
  <si>
    <t xml:space="preserve"> 1  PC - 6D14 CLUTCH PRESSURE ASSY 1  PC - 6D14 CLUTCH PRESSURE DISC ASSY 10  SET - PROPELLER BOLT W/ NUT 10  PC - BOLT W/ LOCK WASHER 20  PC - GREASE FITTING 1  UNIT - CLUTCH BOOSTER ASSY 30  SET - 10x1.2 BOLT WITH NUT &amp; LOCKER WASHER 3  PC - C-109 OIL FI</t>
  </si>
  <si>
    <t xml:space="preserve"> 1 lot Surveillance Audit for PhilRice CES First and Second Surveillance Audit for PhilRice CES for three ISO Standards: -ISO 9001:2015 (Quality Management Systems or QMS), ISO 14001:2015 (Environmental Management System or EMS) -OHSAS 18001:2007 (Occupati</t>
  </si>
  <si>
    <t xml:space="preserve"> Livelihood Kabuhayan Formation for Informal Sector (Starter Kit)</t>
  </si>
  <si>
    <t xml:space="preserve"> 60 boxes A4 coupon bond (70 gsm) 20 boxes Long coupon bond (70 gsm) 24 pcs stapler 70 boxes staple wire</t>
  </si>
  <si>
    <t xml:space="preserve"> THE MANAYBANAY NATIONAL HIGH SCH. WOULD LIKE TO PROCURE  2 UNITS PRINTER G4010, 2 UNITS PRINTER G2010 AND 3 SETS PRINTER INK. . . . . .</t>
  </si>
  <si>
    <t xml:space="preserve"> 4 Units Tire 7.50 X 16-16 ply lug (India Tire) 1 Unit Hydraulic Jac 2 Tons 2 units Brake Light / T-Light (surplus) 1 pc Tire wrench</t>
  </si>
  <si>
    <t xml:space="preserve"> Supply and Delivery of One (1) Lot Concrete Cylindrical Monuments Specifications:  15X40cm with reinforced deformed steel bar 6mm Area of Delivery: 1.  DARMO Bago City - 500 pcs 2.  DARMO Ilog - 500 pcs 3.  DARMO Kabankalan - 500 pcs 4.  DARMO Binalbagan </t>
  </si>
  <si>
    <t xml:space="preserve"> ITEM NO	 DESCRIPTION						QTY	UNIT 								 	PR #  MHO-200-2020-07-20							 1	Amoxicillin 500mg Cap. 100's						20	bxs. 2	Amoxicillin 250mg/5ml syr. 60ml						100	bots. 3	Cloxacillin 500mg Cap. 100's						5	bxs. 4	Cloxacillin 250mg/5ml syr. 60ml						50	</t>
  </si>
  <si>
    <t xml:space="preserve"> 30	pcs.	Ordinary Plywood, 1/4" x 4' x 8' 20	pcs.	Good Lumber, 2" x 3" x 10' 20	pcs.	Good Lumber, 2" x 4" x 12' 10	pcs.	Good Lumber, 2" x 6" x 10' 10	pcs.	Ordinary Plywood, 3/4" x 4' x 8' 15	pcs.	Reflectorized Vest  30	pairs	Hand Gloves 11	rolls	Nylon Stri</t>
  </si>
  <si>
    <t xml:space="preserve"> The Barangay Palca, Tuao Cagayan through its 20% Barangay Dev't Fund intends to apply the sum of Php 154,178.64 being the Approved Budget for the Contract (ABC) to payments under the contract for Perimeter Fencing of the Multi-Purpose Hall. Bids received </t>
  </si>
  <si>
    <t xml:space="preserve"> Republic of the Philippines          City of Dumaguete Bids and Awards Committee INVITATION TO BID FOR PURCHASE REQUEST OF 56 CU.M SAND (STD SPECS) AND OTHER ITEMS 	The City of Dumaguete thru its BIDS AND AWARDS COMMITTEE (BAC), invites all interested man</t>
  </si>
  <si>
    <t xml:space="preserve"> Request for Quotation The Bureau of Fisheries and Aquatic Resources, Regional Office No. 5, Fabrica, Bula, Camarines Sur is requesting from prospective suppliers to submit quotation for the Supply and Delivery of Weighing Scale.   Quantity	Unit	Item Descr</t>
  </si>
  <si>
    <t xml:space="preserve"> Republic of the Philippines Province of Nueva Vizcaya BIDS AND AWARDS COMMITTEE (BAC-GOODS) BAC OFFICE, Provincial Capitol, Bayombong, Nueva Vizcaya Tel. No. (078) 392-2650 	 INVITATION TO BID FOR THE SUPPLY AND DELIVERY OF 1 UNIT MOTOR VEHICLE SV 4X4 SV </t>
  </si>
  <si>
    <t xml:space="preserve"> ITEM NO	 DESCRIPTION						QTY	UNIT 								 	PR #  MO-200-2020-08-27							 								 	GARBAGE TRUCK 6HEI TEMP. PLATE # 123003							 								 1	Tire w/ Tube &amp; Flap 8.25 x 16 Lug Type						4	sets 								 								 								 								 								 								 						</t>
  </si>
  <si>
    <t xml:space="preserve"> FEDERICO P. CONDAT NATIONAL HIGH SCHOOL						 Maangas, Presentacion, Camarines Sur						 						 REQUEST FOR QUOTATIONS (RFQ)						 				Date:                      		` 				Quotation No.        :		 _________________________________						                (Name</t>
  </si>
  <si>
    <t xml:space="preserve"> 1. Structural Excavation 2. RCPC 3.Grouted Riprap 4. Sub Graded Preparation 5. sub- base course 6. Aggregates base course 7. Portland Cement Concrete Pavement ( 150mm PCCP) SPL.1 Line Ditch SPL.2 Road Monument/Project Marker SPL.3 Project Site Supervisor </t>
  </si>
  <si>
    <t xml:space="preserve"> I.	SCOPE OF WORK: 1.	Mobilization. 2.	Site inspection and layout of fence to be constructed. 3.	Demolition of existing damaged fence and clearing of the area. 4.	Excavation of 1.5m below natural ground line for construction of column footings 5.	Compact a</t>
  </si>
  <si>
    <t xml:space="preserve"> NOTICE OF NEGOTIATED PROCUREMENT (Small Value Procurement) Project:	Purchase of One (1) unit Motorcycle (to be given to the Pangasinan Association of Local Government Accountants) 		(PR#2020-06-5892) Location: 	General Services Office 	        Lingayen, P</t>
  </si>
  <si>
    <t xml:space="preserve"> Supply and delivery of Construction Supplies for the construction of Barangay Health Station-Phase I @ Pinayag KNV</t>
  </si>
  <si>
    <t xml:space="preserve"> 2	Piece	Metal Wardrobe Cabinet, ABC 15,000.00/pc 3	Piece	3 Door Metal Wardrobe Cabinet, ABC 15,000.00/pc 						 Please see attached picture</t>
  </si>
  <si>
    <t xml:space="preserve"> Republic of the Philippines Province of Nueva Vizcaya BIDS AND AWARDS COMMITTEE (BAC-Goods) BAC OFFICE, Provincial Capitol, Bayombong, Nueva Vizcaya Tel. No. 078-392-2062 	 2ND INVITATION TO BID FOR THE SUPPLY AND DELIVERY OF 1 UNIT MOTORCYCLE W/ SIDECAR </t>
  </si>
  <si>
    <t xml:space="preserve"> 50 GL - DISINFECTANT CONCENTRATE, 3785ML Please be guided by the following: 1. Price quotation must be based on the Terms of Reference (TOR) / Scope of Work/Services (SOW) / Technical Specifications (TS), as applicable and must be duly signed by the vendo</t>
  </si>
  <si>
    <t xml:space="preserve"> INVITATION TO BID FOR THE CONTRACT ID: 20-08 - 115 Contract Name: PROCUREMENT OF DISPOSABLE FACE MASK Approved Budget for the Contract (ABC) : Php  925,000.00 Cost of Bidding Documents: Php 500.00 1.	 The Department of Health - Zamboanga Peninsula - Cente</t>
  </si>
  <si>
    <t xml:space="preserve"> for Meals and Snacks for the celebration of Linggo ng Kabataan 2020</t>
  </si>
  <si>
    <t xml:space="preserve"> SCOPE OF WORK: 7th Floor Lobby 1.	Mobilization. 2.	Scaffolding erection. 3.	Dismantling of existing ceiling and framing. 4.	Waterproofing of under slab of deck. 5.	Replacement of ceiling and framing including all pinlights, sprinkler escutcheons and halog</t>
  </si>
  <si>
    <t xml:space="preserve"> 1 	 160 	 BAGS 	 CEMENT   2 	 18 	 CU.M 	 SAND   3 	 160 	 PACKS 	 SAHARA WATER PROOFING CEMENT   4 	 1 	 METER 	 WELDED SCREEN 1/8" x 1/8"  			 ***CLOSED NOTHING FOLLOWS***</t>
  </si>
  <si>
    <t xml:space="preserve"> 1    unit     water pump 1    unit     taro pump</t>
  </si>
  <si>
    <t xml:space="preserve"> Supply and delivery of Acrylic Table Shield – 1 Lot Installation of: Mezzanine Materials: Acrylic Clear 3mm Table 1: (1pc) 798cm L X 107cm H with 5pcs Hole (4in H x 15in L) Table 2: (1pc) 441cm L X 107cm H with 2pcs Hole (4in H x 15in L) Table 3: (1pc) 30</t>
  </si>
  <si>
    <t xml:space="preserve"> EPINEPHRINE 1MG/1ML AMPULE = 250 AMP 6,122.50</t>
  </si>
  <si>
    <t xml:space="preserve"> Led Bulb 18W Tank Fittings - Heavy Duty Led Bulb 15W Safety Breaker 100 Amperes (KOTEN) Led Bulb 15W</t>
  </si>
  <si>
    <t xml:space="preserve"> 2ND INVITATION TO BID FOR THE CONSTRUCTION OF PERIMETER FENCE AT SLAUGHTERHOUSE, BRGY. POBLACION, CITY OF ALAMINOS, PANGASINAN 1.	The CITY GOVERNMENT OF ALAMINOS, PANGASINAN through its Development Fund (DF) intends to apply an amount of Six Hundred Thirt</t>
  </si>
  <si>
    <t xml:space="preserve"> ALBAY 3RD DISTRICT ENGINEERING OFFICE																										 Paulog, Ligao City																										 																										 																										 INVITATION TO BID																										 																										 																					</t>
  </si>
  <si>
    <t xml:space="preserve"> PROJECT TITLE:	2020 BIRTHDAY TOKENS 		  					        INSTRUCTIONS:	__√_	ADDITIONAL INSTRUCTIONS ATTACHED 		____	NO ADDITIONAL INSTRUCTIONS 1.	Fax / Email / Submit your quote or regret (with reasons thereof) using the PNOC issued BID FORM; 2.	Fax / Email y</t>
  </si>
  <si>
    <t xml:space="preserve"> ITEM NO	 DESCRIPTION						QTY	UNIT 								 	PR #  MEO-200-2020-08-084							 								 1	Gasoline						60	Liters 2	Diesel Fuel						860	Liters 3	Lubricants Trekker						2	pail 4	Grease						1	pail 5	HD 10						1	pail 								 								 								 								 		</t>
  </si>
  <si>
    <t xml:space="preserve"> ITEM NO.	QTY.	UNIT	ITEMS &amp; DESCRIPTION	 				 1	2	sets	Printer L5190 (Wifi, all-in one ink tank with ADF)	 2	1	pc	Power Bank 10000 MAH	 3	3	pcs	External Drive 1TB	 4	5	sets	Office Table 1.2m x 60cm	 5	2	pcs	Lateral Steel Cabinet 3 Layer	 6	6	pcs	Swivel Cha</t>
  </si>
  <si>
    <t xml:space="preserve"> 1 unit 7.0 Cubic feet floor Type Table ware sterilizer 2 units Stapler No. 10 4 pcs. Doormat 40 X 60 cm 12 pcs. Mug 12 pcs. Spoon 12 pcs. Fork 12 pcs. Square Plate 100% Melamine 12 bot. Air Freshener 6 bot. Disinfectant spray crisp linen scent 510 g (18 o</t>
  </si>
  <si>
    <t xml:space="preserve"> QUANTITY	UNIT	ARTICLES				 3950	Packs	Spaghetti Noodles, with sauce, 1kg				 3950	Packs	Bihon, 1kg				 3950	Cans	Corned Beef, 150g				 3950	Cans	Meat Loaf, 150g				 		*****END*****</t>
  </si>
  <si>
    <t xml:space="preserve"> NOTICE OF NEGOTIATED PROCUREMENT (Small Value Procurement) Project:	Purchase of Animal Feeds 		(PR#2020-07-6070) 50	sack	Brood sow Pellet 55	sack	Grower Pellet 1	sack	Chick Booster 1	sack	Chick Grower 29	sack	Polard Bran (trigo) Location: 	Provincial Vete</t>
  </si>
  <si>
    <t xml:space="preserve"> The Department of Education, Schools Division of ilocos Sur is in need of suppliers for the procurement of the following: 1	Faceshield; durable high quality - 260 pcs. 2	Air Purifier, High density EPA Filter, with timer, 3 working mode, light sensor - 10 </t>
  </si>
  <si>
    <t xml:space="preserve"> Project Description (5 laptop) 1.	2 units  2.6GHz 6-core 9th-generation Intel Core i7 processor Turbo Boost up to 4.5GHz AMD Radeon Pro 5300M with 4GB of GDDR6 memory 16GB 2666MHz DDR4 memory 1TB SSD storage1 16-inch Retina display with True Tone Magic Ke</t>
  </si>
  <si>
    <t xml:space="preserve"> Please see attached canvass (RFQ) form / TOR for complete specifications. NOTE: DELIVERY, AS PER SCHEDULED DATE (PROGRESSIVE BILLING)</t>
  </si>
  <si>
    <t xml:space="preserve"> THE MACALPIAY NATIONAL HIGH SCH. WOULD LIKE TO PROCURE  2 UNITS PRINTER. . . . . . . .</t>
  </si>
  <si>
    <t xml:space="preserve"> Construction of Farm to Market Road Dimension: L=30.00mts. x W=4.00 mts. X T=.15 mts. Volume: 18.00 cu.m</t>
  </si>
  <si>
    <t xml:space="preserve"> This project is by lot, partial bid is not accepted LOT LABORATORY SUPPLIES AND EQUIPMENT 1 ACETIC ACID *2.5L per bottle UNIT: BOTTLE, QUANTITY:1 AMMONIA *2.5L per bottle UNIT: BOTTLE, QUANTITY: 1 BEAKER STARTER PACK *50mL 10mL 41 x 53mm. *100mL 10mL 50 x</t>
  </si>
  <si>
    <t xml:space="preserve"> Republic of the Philippines PROVINCE OF ZAMBOANGA DEL NORTE BIDS AND AWARDS COMMITTEE (BAC) BAC Conference Room, Capitol Building, Brgy. Estaka Tel. # (065) 212-6492 Telefax # (065) 212-6492 	                                                               </t>
  </si>
  <si>
    <t xml:space="preserve"> RE-INVITATION TO BID  No. 2020-009 The Department of Public Works and Highways -Davao del Norte District Engineering Office, Tagum City, Davao del Norte, through its Bids and Awards Committee (BAC), invites contractors to submit bids for the following Con</t>
  </si>
  <si>
    <t xml:space="preserve"> Republic of the Philippines Province of Cebu Municipality of Cordova BIDS &amp; AWARDS COMMITTEE (032-236-6171) 			  	August 25, 2020 Request for quotation (RFQ)  The Municipality of Cordova, through its Bids and Awards Committee (BAC), is inviting all intere</t>
  </si>
  <si>
    <t xml:space="preserve"> CO 7547/CO 7582 1	pc	WD 40 4	pcs	Oil Filter 		Dropside SEH509 2	pcs	A. 60 belt 4	ltrs	delo gold 		Shuttle Bus 10	bottles	Battery solution 2	pcs	Oil seal 1	pc	Electric fan 2	kls	grease 2	pcs 	inner bearing 2	pcs	outer bearing 8	pcs	spring pin 8	pcs	spring </t>
  </si>
  <si>
    <t xml:space="preserve"> The Department of Agriculture-RFO 3, invites interested suppliers to submit quotations/proposals for the hereunder requirement, to wit:      1,500 	piece	    Petri plate , glass (top, 100X15mm and bottom, 900mmx15mm)            50 piece	    Volumentric fl</t>
  </si>
  <si>
    <t xml:space="preserve"> CONSTRUCTION PROJECTS</t>
  </si>
  <si>
    <t xml:space="preserve"> NOTICE OF NEGOTIATED PROCUREMENT (Small Value Procurement) Project:	Purchase of Air Condition Unit (for use in the Isolation Facility of the Pangasinan Reformation Center for COVID-19 Response) 		(PR#2020-07-6155) 5	unit	Type Aircon 3.0 TR Floor Standing </t>
  </si>
  <si>
    <t xml:space="preserve"> Republic of the Philippines Province of Leyte Municipality of Hilongos INVITATION TO BID FOR THE PURCHASE OF OFFICE SUPPLIES 1.  The Local Government Unit of Hilongos, through GENERAL FUND-CURRENT APPROPRIATION-SUPPLEMENTAL BUDGET NO. 2020-06 intends to a</t>
  </si>
  <si>
    <t xml:space="preserve"> Republic of the Philippines PROVINCE OF ZAMBOANGA DEL NORTE BIDS AND AWARDS COMMITTEE (BAC) BAC Conference Room, Capitol Building, Brgy. Extaka, Dipolog City Tel. # (065) 212-6492 Telefax # (065) 212-6492                                                   </t>
  </si>
  <si>
    <t xml:space="preserve"> The Securities and Exchange Commission (SEC), through the authorized appropriations FY-2020 Revised Corporation Code (RCC) intends to apply the sum of Five Million Pesos (Php5,000,000.00) being the Approved Budget for the Contract (ABC) to payments under </t>
  </si>
  <si>
    <t xml:space="preserve"> Food Packs</t>
  </si>
  <si>
    <t xml:space="preserve"> Republic of the Philippines PROVINCE OF SOUTHERN LEYTE Maasin City Invitation to Bid for the Procurement of Spare parts and Services  Contract ID # 2020-09-15-462PG 1.	The Provincial Government of Southern Leyte through the OSP– Repair and Maintenance –Tr</t>
  </si>
  <si>
    <t xml:space="preserve"> Procurement of Ten (10) pcs. UVC Lamps for SSS Visayas West 1 Division Branches Specifications:      Desktop Mount 100 watts      Stainless base Quartz tube     With Remote Control     Coverage are of 60-120 sq. m.     Lamp life of 8,000 to 12,000 hours  </t>
  </si>
  <si>
    <t xml:space="preserve"> Procurement and delivery of 13 sets gongs (4 pc set bronze gongs)</t>
  </si>
  <si>
    <t xml:space="preserve"> INVITATION TO BID NO. 20-08-003 1.	The Surallah Water District, through its Bids and Awards Committee(BAC) intends to apply the sum of Three Million Eight Hundred Eighty Six Thousand  Pesos (Php 3,886,000.00) only, being the Approved Budget for the Contra</t>
  </si>
  <si>
    <t xml:space="preserve"> 15 Unit  Disinfection Spray 75 gallon  Disinfectant solution 15 box  Gloves 75 pc     Cover All 75 pc     Goggles 40 box   Face Mask 30 pair  Rubber Shoes</t>
  </si>
  <si>
    <t xml:space="preserve"> REQUEST FOR QUOTATION  Date:	    AUG. 24, 2020 RFQ No.	    JP20-026 PR No. PD2006-29-137 / PD2006-29-138 					   To All Eligible Suppliers/Bidders: Please quote your lowest price inclusive of VAT on the item/s listed below, subject to the Terms and Condit</t>
  </si>
  <si>
    <t xml:space="preserve"> A. MATERIALS Item No.	Qty	Unit	Description  1	1	unit	8 Chanel Definition Embedded (4k NVR) 2	1	piece	2TB WD Purple (Video Driver) 3	4	unit	4MP Exir Network Bullet Camera 4	4	unit	High Performance Wireless Bridge 5	20	Pieces	RJ CAT 6 6	2	unit	21” Full HD L</t>
  </si>
  <si>
    <t xml:space="preserve"> 29 lengths Angle Bar ¼”x1 ½”x1 ½” 14 lengths Angle Bar ¼”x1x1 10 sheets 4.5m Longspan Roofing 12 pieces Metal Fascia 20 kilograms Welding Rod Fuji 1000 pieces Teckscrew #2 2 gallons Red Lead 20 pieces Anchor Bolt ¾ x5 with Knot &amp; Washer 12 lengths Gutter </t>
  </si>
  <si>
    <t xml:space="preserve"> Photopaper 130gsm, 50's, A4 ID Case Plastic</t>
  </si>
  <si>
    <t xml:space="preserve"> NOTICE OF NEGOTIATED PROCUREMENT (Small Value Procurement) Project:	Purchase of Air Condition Unit 		(PR#2020-05-4771) 1	unit	2HP split Type Aircon 2	unit	3TR Floor Mounted Type Aircon 1	unit	1HP Window Type Aircon 1	unit	1.5HP window Type Aircon 2	unit	C</t>
  </si>
  <si>
    <t xml:space="preserve"> 1. The Mindanao State University - Tawi-Tawi College of Technology and Oceanography (MSU-TCTO), through the GAA 2020 MOOE, intends to apply the sum of One Hundred Ninety-Six Thousand Nine Hundred Pesos Only  (196,900.00)Approved budget Contract to payment</t>
  </si>
  <si>
    <t xml:space="preserve"> Republic of the Philippines Province of Negros Oriental Municipality of Siaton Barangay Salag Salag, Siaton, Negros Oriental INVITATION TO APPLY FOR ELIGIBILITY AND TO BID 	The Municipality of Siaton Office of the Bids and Awards Committee invites all eli</t>
  </si>
  <si>
    <t xml:space="preserve"> Qty	Unit 	Item Description	 			  20 	 bags 	Portland Cement	  18 	 pcs. 	10mm deformed bars	  200 	 pcs. 	4" CHB	  2 	 kgs 	 G.A. 16 tie wire	  2 	 rolls 	Plastic String	  3 	 cu.m. 	  Washed Sand	  3 	 kgs 	Assorted CWN	  77 	 lms 	1.07x4mm LONGSPAN RIBT</t>
  </si>
  <si>
    <t xml:space="preserve"> Bottle Water 300ml x 24	5	bxs Special Mammon 12’s	12	bxs Instant Noodles 80g 35’s	11	bxs Canned Sardines 100 x 155g	3	bxs Spanish Sardines 8oz 30’s	5	bxs Softdrinks in can 24’s	6	bxs Corned Tuna 340g 24’s	14	bxs Vienna Sausage 260g 18’s	14	bxs Corned Beef</t>
  </si>
  <si>
    <t xml:space="preserve"> Republic of the Philippines Province of Nueva Vizcaya BIDS AND AWARDS COMMITTEE (BAC-Goods) BAC OFFICE, Provincial Capitol, Bayombong, Nueva Vizcaya Tel. No. 078-392-2062 	 2ND INVITATION TO BID FOR THE SUPPLY AND DELIVERY OF VEHICLE PARTS (II) FOR THE  P</t>
  </si>
  <si>
    <t xml:space="preserve"> 1 lot - (Body Repair) G.I Pipe,Flat Bar, Angle Bar,		 exhaust pipe, 1/2 bolt with nut,		 Rtv Silicon,cork gasket,Cup Brush, Cutting Disc, 		 Grinding Stone,welding rod, metal epoxy primer,		 paint brush,rubberizedpaint		 3 mm steel plate		 (Brake System R</t>
  </si>
  <si>
    <t xml:space="preserve"> Labor and Materials for the Repair of Mezzanine Access on COA Office, Capitol Compound, Balanga City, Bataan</t>
  </si>
  <si>
    <t xml:space="preserve"> THE MACALPIAY NATIONAL HIGH SCH WOULD LIKE TO PROCURE 5 SETS OF PRINTER INK . . . . . . . . .</t>
  </si>
  <si>
    <t xml:space="preserve"> 11	length	Flat bar, 12mm x 50mm x 6m 11	length	Flat bar, 8mm x 50mm x 6m 11	boxes	Welding Electrode, E-6011, 3.2mm 10	boxes	Welding Electrode, E-6013, 3.2mm 50	pcs.          Grinding Disc, 100mm 15	pcs.   	Cut-off wheel 48	pcs.	        Steel Wire Brush 10</t>
  </si>
  <si>
    <t xml:space="preserve"> PURPOSE: FOR USE IN OR Fax your Price Quotation at Tel. Fax#: 426-30-45 / 927-64-26 local 2561 or Email at bacveterans@gmail.com. Please indicate the brand name and complete specifications.</t>
  </si>
  <si>
    <t xml:space="preserve"> RESOLUTION RECOMMENDING THE USE OF ALTERNATIVE METHOD OF PROCUREMENT FOR  THE ACQUISITION OF GOODS AND SERVICES WHEREAS, various departments/offices submitted Purchase Requests with the following details: PR No.	Project Title	ABC	Department/ Office GF-20-</t>
  </si>
  <si>
    <t xml:space="preserve"> IMPROVEMENT OF SAPU PADIDU MULTI-PURPOSE BUILDING Malapatan, Sarangani Province (Contract No. INFRA 2020-36-2nd) August 25, 2020 1.	The Provincial Government of Sarangani, through AIP 2020/AB 2020 intends to apply the sum of Nine Hundred Ninety-Nine Thous</t>
  </si>
  <si>
    <t xml:space="preserve"> &gt; The Municipality of San Quintin Abra now invites bids for the CONSTRUCTION/REHABILITATION OF RURAL HEALTH UNIT (RHU) AT POBLACION, SAN QUINTIN, ABRA with the following items: PART I	OTHER GENERAL REQUIREMENTS							 B.5	Project Billboard/ Sign Board				</t>
  </si>
  <si>
    <t xml:space="preserve"> Republic of the Philippines BIDS AND AWARDS COMMITTEE Municipality of Irosin Reference Number: BAC-0063-2020								 August 24, 2020 REQUEST FOR QUOTATION The Local Government Unit of Irosin, through its Bids &amp; Awards Committee (BAC), requests suppliers/m</t>
  </si>
  <si>
    <t xml:space="preserve"> Item	Qty.	Unit of	ITEM  Description No.		Issue	 1	625	pcs.	60x60 floor tiles 2	95	pcs.	40x40 floor tiles 3	180	pcs.	40x40 wall tiles 4	147	bags	Cement 5	21	bags	Adhesive cement 6	21	bags	White cement 7	12	gals.	Acrylic colic primer 8	12	gals.	Acrylic coli</t>
  </si>
  <si>
    <t xml:space="preserve"> 11 	 1 	 pcs. 	 Power sprayer 	  12 	 20 	 pcs. 	 Flourescent LED-18 watts-closure type 	  -   	 -   	 -   	 ########nothing follows############</t>
  </si>
  <si>
    <t xml:space="preserve"> for the period: July 16-31, 2020</t>
  </si>
  <si>
    <t xml:space="preserve"> Invitation to Rebid for the   CONSTRUCTION OF 6 UNITS MULTI-PURPOSE BUILDING FOR MOTORIZED RICE TRANSPLANTER The MUNICIPALITY OF ISULAN, through the DA RFO 12 (BUB 2016)  intends to apply the sum of SIX HUNDRED THOUSAND PESOS ONLY (PHP 600,000.00) being t</t>
  </si>
  <si>
    <t xml:space="preserve"> INVITATION TO BID  IB-2020-022-GOODS-OGMFA Procurement of one(1) Lot Software Solution for the Data Entry Data Tracking and Data Information Needs of MMDAs Human Resources,  Payroll Management and Accounting Functions 1.	The Metropolitan Manila Developmen</t>
  </si>
  <si>
    <t xml:space="preserve"> PROC-20-TIME CARD  ABC:50,250.00 DESCRIPTION                                           QTY            UNIT PRICE       TOTAL PRICE TIME CARD ORDINARY                             3,000 PCS           8.75                26,250.00 TIME CARD SEIKO DOUBLE FACE</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</si>
  <si>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</si>
  <si>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Fuel, Oil and Lubricants</t>
  </si>
  <si>
    <t xml:space="preserve"> Item	QTY.	UOM	PARTICULARS / DESCRIPTION AND SPECIFICATIONS		APPROVED	BRAND NAME	UNIT PRICE NO.					UNIT COST		 1	1	lot	Video coverage for 10 programs , maximum of 20 minutes per		200,000.00		 			coverage</t>
  </si>
  <si>
    <t xml:space="preserve"> PROJECT TITLE:	  ALCOHOL BREATH ANALYZER 		  					        INSTRUCTIONS:	__√_	ADDITIONAL INSTRUCTIONS ATTACHED 		____	NO ADDITIONAL INSTRUCTIONS 1.	Fax / Email / Submit your quote or regret (with reasons thereof) using the PNOC issued BID FORM; 2.	Fax / Em</t>
  </si>
  <si>
    <t xml:space="preserve"> OTHER SUPPLIES</t>
  </si>
  <si>
    <t xml:space="preserve"> - NRJ (Sibagat) Mahayahay-Anahawan-San Vicente Circumferential Road - NRJ (Prosperidad)Magsaysay-Lianga Bondary Road - NRJ (Sibagat ) SAn Vicente-Esperanza Road - NRJ (Bayugan City) Cagbas-San Toribio-Labao Road</t>
  </si>
  <si>
    <t xml:space="preserve"> PLEASE SEE THE ATTACHED FILE.</t>
  </si>
  <si>
    <t xml:space="preserve"> 1	Set	Computer Set, ABC 40,000.00/set 		Specifications:				 		Processor Core: I5 9TH GEN				 		Graphics Card: Built-in				 		Memory: 8GB RAM				 		Hard Drive Capacity: 1TB 				 		Operating System: Windows Pro 10 64 BIT (Genuine w/CD)				 		w/ minumum 1 ye</t>
  </si>
  <si>
    <t xml:space="preserve"> Qnty  UNit  Item Description 70  cart.  canon 811</t>
  </si>
  <si>
    <t xml:space="preserve"> 300 sacks Carabao Manure</t>
  </si>
  <si>
    <t xml:space="preserve"> 1 set Brake Pads (Bendix DB2396 GCT)</t>
  </si>
  <si>
    <t xml:space="preserve"> UNIT DESCRIPTION QUANTITY UNIT COST TOTAL COST SACK RICE, WHITE, ORGANIC 50KG 25 2,500.00 62,500.00</t>
  </si>
  <si>
    <t xml:space="preserve"> 2 	Procurement ID/Contract ID		20LC0165 	Contract Name		Construction of 2STY4CL School Building at J.P. Laurel ES, City of Panabo, Davao del Norte 	Contract Location		Panabo City, Davao del Norte 	Brief Description		Construction of 2STY4CL School Building</t>
  </si>
  <si>
    <t xml:space="preserve"> NOTICE OF NEGOTIATED PROCUREMENT (Small Value Procurement) Project:	Purchase of IT Equipment (for use in the Conducting online conferences, meetings and trainings for the EOC) 		(PR#2020-07-6157) 1	unit	Laptop 		Specifications: 2.0 GHz Quad Core 10th Genr</t>
  </si>
  <si>
    <t xml:space="preserve"> 1 lot	PASTEURIZED TONE MILK -	Carabao’s Milk</t>
  </si>
  <si>
    <t xml:space="preserve"> Supply and Delivery of CM for the Improvement of Padang, Acacia -Mapayao Road</t>
  </si>
  <si>
    <t xml:space="preserve"> Please quote your best price 20 set of Portable Body Pack Amplifier with Headset and Lapel ABC: 24,000.00 Specifications: Technical Parameters: RMS Power: 5W Charger: 5V 350mA Mic Directivity: Uni-directional Frequency Response: 100Hz-10KHz +- 3dB Power S</t>
  </si>
  <si>
    <t xml:space="preserve"> Republic of the Philippines					 Province of Palawan					 MUNICIPALITY OF EL NIDO					 PR No.	 Name of Procuring Entity: Municipal Government of El Nido			RFQ No.	2020-       -MAO	 Date:		 Office/End-User: MAO					 Company Name					 Adress:					 Business </t>
  </si>
  <si>
    <t xml:space="preserve"> Supply and Delivery of Farm machineries and equipment for CSOs/POs</t>
  </si>
  <si>
    <t xml:space="preserve"> see attached document at associated components for details</t>
  </si>
  <si>
    <t xml:space="preserve"> PURPOSE: FOR USE IN OPD SURGERY Fax your Price Quotation at Tel. Fax#: 426-30-45 / 927-64-26 local 2561 or Email at bacveterans@gmail.com. Please indicate the brand name and complete specifications.</t>
  </si>
  <si>
    <t xml:space="preserve"> Republic of the Philippines														 Province of Occidental Mindoro														 Mamburao, Occidental Mindoro														 REQUEST FOR QUOTATION														 Date of Posting:	August 24, 2020					Ref. No.		RN 505-2020						 						PR No.		8711-2020-</t>
  </si>
  <si>
    <t xml:space="preserve"> NOTICE OF NEGOTIATED PROCUREMENT (Small Value Procurement) Project:	Purchase of 190 pcs. Raincoats, heavy duty with GSO Print  		(PR#2020-06-5622) Location: 	General Services Office 	        Lingayen, Pangasinan Approved Budget for 	 the Contract (ABC):	P</t>
  </si>
  <si>
    <t xml:space="preserve"> Republic of the Philippines Province of Nueva Vizcaya BIDS AND AWARDS COMMITTEE (BAC-Goods) BAC OFFICE, Provincial Capitol, Bayombong, Nueva Vizcaya Tel. No. 078-392-2062 	 2ND INVITATION TO BID FOR THE SUPPLY AND DELIVERY OF CONSTRUCTION MATERIALS  FOR T</t>
  </si>
  <si>
    <t xml:space="preserve"> RFQ# 20-07-0256 PR# 2020-07-0824 Items: 1. Desktop (Brand New)	-	6	units Specifications: Processor: Intel Core i3-8100 Processor RAM: 8 GB DDR4 Storage: 1 TB 3.5 - inch 7200 RPM Network Connection: Gigabit LAN Operating System: Windows 10 Pro Display Size</t>
  </si>
  <si>
    <t xml:space="preserve"> RESOLUTION RECOMMENDING THE USE OF ALTERNATIVE METHOD OF PROCUREMENT FOR  THE ACQUISITION OF GOODS AND SERVICES WHEREAS, various departments/offices submitted Purchase Requests with the following details: GF-20-05-00735	DRUM CARTRIDGE	P 14,999.00	Quezon C</t>
  </si>
  <si>
    <t xml:space="preserve"> City Government of La Carlota								          Standard Form Number: SF-GOOD-59 Revised on: May 24, 2004 Standard Form Title: REQUEST FOR QUOTATION 												Date: ______________												              Quotation No.________ Company Name Address 	Pleas</t>
  </si>
  <si>
    <t xml:space="preserve"> Labor Charge for the Repair of MPDC Office Door</t>
  </si>
  <si>
    <t xml:space="preserve"> Supply and Delivery of Materials for the Rehabilitation of Potable Water System of BLGU Kapatagan, Laak, Davao De Oro with an ABC of Php. 287,423.00. Note: For further details of the said project, please see/contact Hon. Rudilita J. Constantino - Punong B</t>
  </si>
  <si>
    <t xml:space="preserve"> AIR CON CABINET TYPE 2 HP SEMI INVERTER</t>
  </si>
  <si>
    <t xml:space="preserve"> Republic of the Philippines PROVINCE OF SOUTHERN LEYTE Maasin City Invitation to Bid for the Procurement of One (1) Unit Generator Set  Contract ID # 2020-09-15-463PG 1.	The Provincial Government of Southern Leyte through the SLPL– Machineries and Equipme</t>
  </si>
  <si>
    <t xml:space="preserve"> 1.	1	unit/s	Laptop 			(HD Intel Core i7, Windows 10, 14 inches) 			 2.	1	unit/s	Switch Hub (8 ports x 10/100mbps)</t>
  </si>
  <si>
    <t xml:space="preserve"> UNIT                     QUANTITY                            DESCRIPTION REAM                         192                                  PAPER, MULTI-PURPOSE, A4 70gsm PACK                          9                                     FOLDER ( Legal) B</t>
  </si>
  <si>
    <t xml:space="preserve"> NOTICE OF NEGOTIATED PROCUREMENT (Small Value Procurement) Project:	Purchase of Construction Materials (for use in the repair of old and 2 additional diaphragms at Ramos Bridge, Urbiztondo, Pangasinan) 		(PR#2020-07-6489) 1	set	Epoxy Binding Agent 1	lot	F</t>
  </si>
  <si>
    <t xml:space="preserve"> QUANTITY	UNIT	ARTICLES				 3920	Packs	Spaghetti Noodles, with sauce, 1kg				 3920	Packs	Bihon, 1kg				 3920	Cans	Corned Beef, 150g				 3920	Cans	Meat Loaf, 150g				 		*****END*****</t>
  </si>
  <si>
    <t xml:space="preserve"> Request for Quotation The Bureau of Fisheries and Aquatic Resources, Regional Office No. 5, Fabrica, Bula, Camarines Sur is requesting from prospective suppliers to submit quotation for the Supply and Delivery of Planting Accessories and Tools.   Quantity</t>
  </si>
  <si>
    <t xml:space="preserve"> INVITATION TO BID FOR THE  SUPPLY AND DELIVERY  OF 14 UNITS OF VARIABLE FREQUENCY DRIVES 1.	The Metro Lipa Water District (MLWD), through its 2020 Annual Procurement Plan intends to apply the sum of One  Million Seventy Eight Thousand Pesos   (P 1,078,000</t>
  </si>
  <si>
    <t xml:space="preserve"> Multi-purpose Copy, A4 size 70gsm.</t>
  </si>
  <si>
    <t xml:space="preserve"> Procurement of Materials (Anapog) for the Maintenance of Various Provincial Roads for the Project Management Division (PMD) I, of the Provincial Engineer's Office, New Capitol Building, Tagbilaran City ABC: P1,187,500.00 Cost of Bid Documents: P5,000.00 A</t>
  </si>
  <si>
    <t xml:space="preserve"> 1 lot AMBULANCE CONVERSION -ambulance lettering (4 pcs) -stretcher -first aid kit -search lamp -flooring with coin type matting -grab rail -IV hook -fire extinguisher -medicine cabinet -flexi glass partition -overhead siren with P.A -stainless bumper pad </t>
  </si>
  <si>
    <t xml:space="preserve"> PR No. 2020-08-0084 - Supply and delivery of 3,000 liters Diesel Fuel for use in various service vehicles and equipment - Quality Assurance Section.</t>
  </si>
  <si>
    <t xml:space="preserve"> To provide catering services for the conduct of MR SIA Micro planning for Sultan Kudarat on September 8-10, 2020 in Sultan Kudarat.</t>
  </si>
  <si>
    <t xml:space="preserve"> GASOLINE DIESEL OIL GREASE</t>
  </si>
  <si>
    <t xml:space="preserve"> DEPARTMENT OF EDUCATION					 Region IV - MIMAROPA					 MAGSAYSAY NATIONAL HIGH SCHOOL					 Magsaysay, Occidental Mindoro					  QUOTATION FORM					 			PR. NO.	2020-008-052	 Package:		Procurement of School Supplies for print out modules (Senior High School </t>
  </si>
  <si>
    <t xml:space="preserve"> 200 pcs Wellness Kit (inlusions: mask, alcohol, sanitizing gel, wet tissue)</t>
  </si>
  <si>
    <t xml:space="preserve"> INSTALLATION OF STREET LIGHTS AT BARANGAY  BALUNTAY, ALABEL Alabel, Sarangani Province (Contract No. INFRA 2020-46-2nd) August 25, 2020 1.	The Provincial Government of Sarangani, through AIP CY 2020/AB 2020 intends to apply the sum of One Million Nine Hun</t>
  </si>
  <si>
    <t xml:space="preserve"> Labor Charge for the Body Repair of Dumptruck GNN-774 including replacement of Body Dumptruck GNN 774</t>
  </si>
  <si>
    <t xml:space="preserve"> Catering Services-Meals &amp; Snacks for 60 pax</t>
  </si>
  <si>
    <t xml:space="preserve"> Agricultural Products (seedlings)</t>
  </si>
  <si>
    <t xml:space="preserve"> Cadiz City Request for Quotation _______________ _____________________ _____________________ _____________________ Please quote your lowest price on the items listed below, subject to the General Conditions on the last page, stating the shortest time of d</t>
  </si>
  <si>
    <t xml:space="preserve"> Procurement and Delivery of Office Supplies and Equipment for the Municipal Government of Palanan, Isabela</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</si>
  <si>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</si>
  <si>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PURPOSE: FOR USE IN PATIENT MONITOR AT MITU Fax your Price Quotation at Tel. Fax#: 426-30-45 / 927-64-26 local 2561 or Email at bacveterans@gmail.com. Please indicate the brand name and complete specifications.</t>
  </si>
  <si>
    <t xml:space="preserve"> 100 lengths 10mmØ Deformed Bar 28 lengths 12mmØ Deformed Bar 16 lengths 16mmØ Deformed Bar 10 kilograms Tie Wire #16 217 bags Portland Cement 15 cubic meters Washed Sand 14 cubic meters Washed Gravel 51 cubic meters Boulders 2010 pieces CHB 4” 8 ply ¼ x 2</t>
  </si>
  <si>
    <t xml:space="preserve"> 110 pcs of Flu Vaccine for Barangay Silangan 1 Sanguniang Kabataan</t>
  </si>
  <si>
    <t xml:space="preserve"> QUANTITY	UNIT	ARTICLES				 3800	Packs	Spaghetti Noodles, with sauce, 1kg				 3800	Packs	Bihon, 1kg				 3800	Cans	Corned Beef, 150g				 3800	Cans	Meat Loaf, 150g				 		*****END*****</t>
  </si>
  <si>
    <t xml:space="preserve"> Delivery of supplies and materials for City Vice Mayor's Office</t>
  </si>
  <si>
    <t xml:space="preserve"> PURPOSE: FOR USE IN DEPT. OF OPHTHALMOLOGY / EYE LEVEL Fax your Price Quotation at Tel. Fax#: 426-30-45 / 927-64-26 local 2561 or Email at bacveterans@gmail.com. Please indicate the brand name and complete specifications.</t>
  </si>
  <si>
    <t xml:space="preserve"> Reproduction of Manual of Standard for Primary Health Care Facilities  *Please see attached Request for quotation for specifications</t>
  </si>
  <si>
    <t xml:space="preserve"> 2	3 in 1 Printer Ink Tank System 2	Desktop Computer 	Processor: Intel Core i7-8700 Processor 	Motherboard: MSI H310M-H 	HDD: 2000gb HDD WD 	ODD: DVD-Lite On 	Casing: Neutron Fit Casing w/ Power Supply 	Monitor: 21.5: NVISION 	Keyboard: A4tech USB Keyboard</t>
  </si>
  <si>
    <t xml:space="preserve"> REQUEST FOR QUOTATION RFQ No. 2020-0373 The CITY GOVERNMENT OF CABANATUAN through its Bid and Awards Committee (BAC), will undertake Small Value Procurement for the Supply and Delivery of Janitorial Supplies (CEEPUMO) in accordance with Section 53.9 of th</t>
  </si>
  <si>
    <t xml:space="preserve"> 2nd INVITATION TO BID FOR THE IMPROVEMENT OF PERIMETER FENCE AND CONSTRUCTION OF GATE AT BRGY. MAGSAYSAY, CITY OF ALAMINOS, PANGASINAN 1.	The CITY GOVERNMENT OF ALAMINOS, PANGASINAN through its Continuing Appropriations (CA) intends to apply an amount of </t>
  </si>
  <si>
    <t xml:space="preserve"> Item	Qty.	Unit of	ITEM  Description No.		Issue	 			 			 1	960	cu.m.	Disposal of LGU Residual Waste at Sanitary  Landfill 			From September 2020 - December 2020 			(inclusive of tax)</t>
  </si>
  <si>
    <t xml:space="preserve"> QUANTITY	UNIT	ARTICLES				 3900	Packs	Spaghetti Noodles, with sauce, 1kg				 3900	Packs	Bihon, 1kg				 3900	Cans	Corned Beef, 150g				 3900	Cans	Meat Loaf, 150g				 		*****END*****</t>
  </si>
  <si>
    <t xml:space="preserve"> 3	PCS	        AUTOMATIC NUMBER STAMP 10 DIGITS		 30	PCS	        BINDER CLIP 19MM		 30	PCS          BINDER CLIP 24MM		 30	PCS	        BINDER CLIP 32MM		 10	BOXES	BLACK BALLPEN  (12pcs per box)		 5	BOXES	BLUE BALLPEN  (12pcs per box)		 25	REAMS	BOND PAPER S</t>
  </si>
  <si>
    <t xml:space="preserve"> INVITATION TO BID The City of Bayawan, through its Bids and Awards Committee (BAC), invites suppliers/manufacturers/distributors/contractors to bid for the hereunder projects: 	Lot No. I		MOTOR VEHICLE					 1	1	unit	MOTOR VEHICLE					 			1 unit Pick up 4x</t>
  </si>
  <si>
    <t xml:space="preserve"> To purchase Ten(10) units Inkjet Printer to be used at Admin. Section, COA, Procurement Unit, Quality Assurance Section and Finance Section</t>
  </si>
  <si>
    <t xml:space="preserve"> 300 pcs. Medals - Award of Excellency 600 pcs. Medals - Leadership Award</t>
  </si>
  <si>
    <t xml:space="preserve"> NOTICE OF NEGOTIATED PROCUREMENT (Small Value Procurement) Project:	Purchase of Construction Materials (for use in the drilling/Construction of 1 unit Well Source &amp; Installation of water System at EOC – Satellite Office, Tayug, Pangasinan) 		(PR#2020-04-3</t>
  </si>
  <si>
    <t xml:space="preserve"> INVITATION TO APPLY FOR ELIGIBILITY AND TO BID The Barangay Council of Pasadena of San Juan, M.M., through its Bids and Awards Committee invites interested parties to apply for Eligibility and if found eligible to bid for- Name of Project : Supply &amp; Deliv</t>
  </si>
  <si>
    <t xml:space="preserve"> Please quote your best price 10 pcs of Wireless Mouse ABC: 5,000.00 10 pcs of Wireless Keyboard ABC: 12,000.00 Please email your quotation Please download canvass form</t>
  </si>
  <si>
    <t xml:space="preserve"> Republic of the Philippines Office of the Punong Barangay BIDS AND AWARDS COMMITTEE Nagpanaoan, Burgos, Ilocos Sur INVITATION TO BID The Barangay Government of Nagpanaoan, Burgos, Ilocos Sur, through its Bids and Awards Committee (BAC) invites bids for th</t>
  </si>
  <si>
    <t xml:space="preserve"> To provide catering services for the conduct of Finalization of facility mapping and health services workshop-Glan on August 19-21, 2020 in Glan, Sarangani Province.</t>
  </si>
  <si>
    <t xml:space="preserve"> Battery size D 2pcs x 20’s	170	bxs Soap Powder	100	pcs Batteries Alcaline size AA 2pcs x 10’s	199	bxs Tissue Paper 6’s	100	pcks Alcohol Ethyl	250	btls Air Freshener Spray	200	btls Hand Liquid soap	200	btls Pail Plastic	100	pcs Water Container big	100	pcs </t>
  </si>
  <si>
    <t xml:space="preserve"> 2 Packs Lenen Paper (short) 10 pcs. Cartolina (US Cartolina) 2 boxes Paper clip (giant) 12 Reams Bond Paper (short) 12 Reams Bond Paper (A4) 10 Reams Bond Paper (long) 2 rolls Laminating Plastic (9") 3 bot. EPSON Ink-black 3 bot. EPSON Ink- Magenta 4 bot </t>
  </si>
  <si>
    <t xml:space="preserve"> Republic of the Philippines														 Province of Occidental Mindoro														 Mamburao, Occidental Mindoro														 REQUEST FOR QUOTATION														 Date of Posting:	August 24, 2020					Ref. No.		RN 549-2020						 						PR No.		1011-A-202</t>
  </si>
  <si>
    <t xml:space="preserve"> Stainless Lavatory Faucet Stainless Wall Mounted Faucet Stainless tissue holder Bathroom mirror Bidet System 3 way Stainless Angle Valve 3.5mm2 THHN Wire stranded 3 gang Switch Flush type with switch plate Pin Light round with cover Electrical flexible ho</t>
  </si>
  <si>
    <t xml:space="preserve"> 6 per month Training Video Teasers (one video per week for 6 months) inclusions: teasers, intro &amp; outro videos every training</t>
  </si>
  <si>
    <t xml:space="preserve"> Catering Services-Meals &amp; Snacks for 70 pax,Tarpauline 3x6,Tarpauline 5x10</t>
  </si>
  <si>
    <t xml:space="preserve"> INVITATION TO BID  Purchase &amp; Delivery of Various Medical Supplies  for SMC  August 25, 2020 1.	The Provincial Government of Sarangani, through the AB CY 2020 intends to apply the sum of One Million Two Hundred Twenty-Three Thousand Fifty Pesos Only (P 1,</t>
  </si>
  <si>
    <t xml:space="preserve"> Cadiz City SF-GOOD-60 Standard Form Title: Request for Quotation 										_______________ 									             _______________________ _______________________ 	Please quote your lowest price on the items listed below, subject to the General Conditions o</t>
  </si>
  <si>
    <t xml:space="preserve"> REQUEST FOR QUOTATION								 Quotation/Bid No.								 								 					                              Date:			 Company Name					                                 PR No.	 2020-08-71 		 					                                    Purpose:	 Supply and Delivery of </t>
  </si>
  <si>
    <t xml:space="preserve"> PURPOSE: FOR CALIBRATION OF TREADMILL AT PT SECTION, 2-18 AND W-5 Fax your Price Quotation at Tel. Fax#: 426-30-45 / 927-64-26 local 2561 or Email at bacveterans@gmail.com. Please indicate the brand name and complete specifications.</t>
  </si>
  <si>
    <t xml:space="preserve"> REQUEST FOR QUOTATION							 							 							 Procuring Entity: 		DepED, Division of Ozamiz City		RFQ No.:	001		 Office/End-User: 		FELIPE CARREON CENTRAL SCHOOL		PR No. 	2020-08-002		 Purpose:		Printing for learners material		Date:	August 18, 2020		 					</t>
  </si>
  <si>
    <t xml:space="preserve"> QUANTITY UNIT DESCRIPTION UNIT COST TOTAL COST 270 CYLINDER OXYGEN, MEDICAL GRADE, COMPRESSED 1800L CAPACITY 300.00 81,000.00</t>
  </si>
  <si>
    <t xml:space="preserve"> Live Animals (Lobster  Juvenile)</t>
  </si>
  <si>
    <t xml:space="preserve"> INVITATION TO BID The Department of Public Works and Highways - Pampanga 1st District Engineering Office, through its Bids and Awards Committee (BAC), invites contractors to submit bids for the following Contract: 1.	 Procurement ID/Contract ID	:	20CG0273</t>
  </si>
  <si>
    <t xml:space="preserve"> Meals for the LSI and Returning Residents at Suyo Quarantine Facility</t>
  </si>
  <si>
    <t xml:space="preserve"> AGGREGATES USE FOR THE MAINTENANCE OF NRJ (SAN FRANCISCO) POBLACION-DAS AGAN-BAROBO ROAD AT SAN FRANCISCO, AGUSAN DEL SUR</t>
  </si>
  <si>
    <t xml:space="preserve"> Supply and Delivery of Materials for the Construction of Pathway and Carport (Covered Walk) *Suppliers are preferably from the province of Abra to ensure timely delivery of the materials due to the restrictions brought by the COVID 19 pandemic. * Please s</t>
  </si>
  <si>
    <t xml:space="preserve"> Republic of the Philippines										 Province of Misamis Oriental										 CITY OF EL SALVADOR										 										 REQUEST FOR QUOTATION										 										 								No.	2020-08-950	 										 										 										 										 	Please quote your price </t>
  </si>
  <si>
    <t xml:space="preserve"> POLO SHIRTS W/ LOGO, SUBLIMATION T-SHIRT W/ LOGO SWEAT SHIRT CAP JOGGING PANTS</t>
  </si>
  <si>
    <t xml:space="preserve"> Intended for the purchase of 15 office chairs at the Mayor's Office</t>
  </si>
  <si>
    <t xml:space="preserve"> IT EQUIPMENTS</t>
  </si>
  <si>
    <t xml:space="preserve"> Catering Services</t>
  </si>
  <si>
    <t xml:space="preserve"> QUANTITY	UNIT	ARTICLES				 3875	Packs	Spaghetti Noodles, with sauce, 1kg				 3875	Packs	Bihon, 1kg				 3875	Cans	Corned Beef, 150g				 3875	Cans	Meat Loaf, 150g				 		*****END*****</t>
  </si>
  <si>
    <t xml:space="preserve"> 100(3)a Individual removal of trees 69 each 102(2)b Surplus Common Excavation 5,520 cu.m. B.5 Project Sign Board 1 each</t>
  </si>
  <si>
    <t xml:space="preserve"> QUANTITY	UNIT	ARTICLES				 3850	Packs	Spaghetti Noodles, with sauce, 1kg				 3850	Packs	Bihon, 1kg				 3850	Cans	Corned Beef, 150g				 3850	Cans	Meat Loaf, 150g				 		*****END*****</t>
  </si>
  <si>
    <t xml:space="preserve"> Republic of the Philippines Province of Zamboanga del Sur MUNICIPALITY OF LAKE WOOD BIDS AND AWARDS COMMITTEE Invitation to Bid for Procurement of Improvement/Rehab. Of Evacuation Center in this Municipality 1.	The Local Government Unit of Lake Wood, Zamb</t>
  </si>
  <si>
    <t xml:space="preserve"> OFFICE SUPPLIES AND LEARNING MODULES</t>
  </si>
  <si>
    <t xml:space="preserve"> NOTICE OF NEGOTIATED PROCUREMENT (Small Value Procurement) Project:	Purchase of Construction Materials [for use in the Improvement of PIO Building (formerly Solid Waste Building) at Capitol Compound,Lingayen, Pangasinan] 		(PR#2020-06-5785) 30	bag	Portlan</t>
  </si>
  <si>
    <t xml:space="preserve"> MEALS AND SNACKS</t>
  </si>
  <si>
    <t xml:space="preserve"> Diesel 1,420 x 48.00 = 68,160 Lubricants 2 pails 15w40 4,000 = 8,000.00 1 pail hydro 68 3,840 total 80,000.00</t>
  </si>
  <si>
    <t xml:space="preserve"> Labor Charge for Installing Sliding Window</t>
  </si>
  <si>
    <t xml:space="preserve"> Program aims to train indigent constituents on various trades and skills for their income-generating activities.</t>
  </si>
  <si>
    <t xml:space="preserve"> Republic of the Philippines Province of Siquijor Municipality of Maria INVITATION TO BID FOR Purchase of Disinfecting Liquid – Maria, Siquijor / MAR-00053GSV-2020 1.	The LGU – Municipality of Maria, through the 30% Quick Response Fund intends to apply the</t>
  </si>
  <si>
    <t xml:space="preserve"> Republic of the Philippines PROVINCE OF SOUTHERN LEYTE Maasin City Invitation to Bid for the Procurement of Catering Services &amp; Venue  Contract ID # 2020-09-15-464PG 1.	The Provincial Government of Southern Leyte through the PDRRMO Training expenses inten</t>
  </si>
  <si>
    <t xml:space="preserve"> various construction, plumbing, and painting materials</t>
  </si>
  <si>
    <t xml:space="preserve"> REQUEST FOR QUOTATION Please quote your lowest price on the item/s listed below, subject to the conditions also listed below, stating the shortest time of delivery and submit your quotation duly signed by your representative not later than 5:00 P.M. of Au</t>
  </si>
  <si>
    <t xml:space="preserve"> 1 pc. Carborator (LONCIN 14 HP)</t>
  </si>
  <si>
    <t xml:space="preserve"> Republic of the Philippines Province of Misamis Occidental Municipality of Aloran BarangayMitazan INVITATION TO BID FOR THE SUPPLY AND DELIVERY OF MATERIALS FOR THE CONSTRUCTION OF GROUND LEVEL RESERVOIR   			                                     AUGUST 24</t>
  </si>
  <si>
    <t xml:space="preserve"> The Barangay Cagumitan, Tuao Cagayan through its 10% SK Fund intends to apply the sum of Php 80,000.00 being the Approved Budget for the Contract (ABC) to payments under the contract for Purchased of Motorcycle with Sidecar . Bids received in excess of th</t>
  </si>
  <si>
    <t xml:space="preserve"> 100	Packs	"Filter paper #42,125 mm (100's/pack) Grade: P8, cellulose or equivalent" 5	Bottles	"Ammonium Persulfate, molecular or biotech grade 250g" 10	Packs	"Reagent Bovine serum Albumin, 10-25ml, molecular biology grade" 5	Bottles	"Magnesium chloride 25</t>
  </si>
  <si>
    <t xml:space="preserve"> 27,280 Package Assorted Grocery Items 1 package contains the following: 3 kg. Rice (7 Tonner of equiv.) 3 can Corned Beef (150g) 2 can Sardines (150g) 2 can Beef Loaf (150g) 2 can Mechado (160g) 1 pack Coffee powder (25g) 1 pack Powdered Milk with zinc (3</t>
  </si>
  <si>
    <t xml:space="preserve"> NOTICE OF NEGOTIATED PROCUREMENT (Small Value Procurement) Project:	Purchase of Two (2) units Air Condition, Window Type, 2HP (for installation at OR &amp; Delivery Room) 		(PR#2020-05-4729) Location: 	Western Pangasinan District Hospital 	        Alaminos Ci</t>
  </si>
  <si>
    <t xml:space="preserve"> REQUEST FOR QUOTATION								 Quotation/Bid No.								 								 					                              Date:			 Company Name					                                 PR No.	 2020-08-70 		 					                                    Purpose:	 Supply and Delivery of </t>
  </si>
  <si>
    <t xml:space="preserve"> See line item</t>
  </si>
  <si>
    <t xml:space="preserve"> Republic of the Philippines														 Province of Occidental Mindoro														 Mamburao, Occidental Mindoro														 REQUEST FOR QUOTATION														 Date of Posting:	August 24, 2020					Ref. No.		RN 550-2020						 						PR No.		1011-2020-</t>
  </si>
  <si>
    <t xml:space="preserve"> 1. printer ribbon L2190  2. Printer L1300 3. USB 128GB</t>
  </si>
  <si>
    <t xml:space="preserve"> INVITATION TO BID FOR THE PROPOSED (700) PACKS MEDICAL SERVICES (BLOOD CHEM) 1. The Barangay Ayala Alabang, through its 2020 continuing appropriation Budget, intends to apply the sum of Two Hundred Fifty Thousand Pesos Only (P250,000.00) being the Approve</t>
  </si>
  <si>
    <t xml:space="preserve"> 160 boxes of Face Mask 800 boxes of Face Shield</t>
  </si>
  <si>
    <t xml:space="preserve"> UNIT             QUANTITY                DESCRIPTION REAM                 180                      BOND PAPER SUBSTANCE 20 BOTTLE                10                      INK BLACK BOTTLE                 6                       INK COLORED PC               </t>
  </si>
  <si>
    <t xml:space="preserve"> RFQ-2020-261		 			 1.	100	pcs.	Rental of Chairs (67 days) 			 	Deadline for Submission of Bids: August 27, 2020, 11:00 AM		 			PAYMENT TERM: 90 DAYS</t>
  </si>
  <si>
    <t xml:space="preserve"> The SANGGUNIANG BARANGAY OF BARANGAY NATATAS, TANAUAN CITY, BATANGAS, through the Barangay Operating Budget 2020 intends to apply the sum of Forty Five Thousand Pesos Only (Php 45,000.00) being the Approved Budget of the Contract (ABC) to payment under th</t>
  </si>
  <si>
    <t xml:space="preserve"> 2 Stabilizer Linkage Press Bushing 2 Rack End 2 Tie Rod 2 Suspension Bushing 2 Stabilizer Bushing 2 Ball Joint Fuel Filter Pull Down Muffler Labor</t>
  </si>
  <si>
    <t xml:space="preserve"> SIZE OF THE SHED: 12.00M X 6.20M MATERIALS:   6 PCS 4' DIA GL PIPE SCH 20 - 4,200.00 = 25,200.00  33 PCS 3/16 X 2 X 2 ANGLE BAR - 550.00 = 18,150.00  39 PCS 3/16 X 1 1/2 X 1 1/2 ANGLE BAR - 480.00 = 18,720.00  36 PCS 2 X 3 C-PURLINS 1.2 - 450.00 = 16,200.</t>
  </si>
  <si>
    <t xml:space="preserve"> QUANTITY	UNIT	ARTICLES				 3500	Packs	Spaghetti Noodles, with sauce, 1kg				 3500	Packs	Bihon, 1kg				 3500	Cans	Corned Beef, 150g				 3500	Cans	Meat Loaf, 150g				 		*****END*****</t>
  </si>
  <si>
    <t xml:space="preserve"> The Department of Agriculture-RFO 3, invites interested suppliers to submit quotations/proposals for the hereunder requirement, to wit: 1200	liters	Foliar Fertilizer w/ Fungicide  	 	Composition:  	 	    Active Ingredient: atleast 10% Phosphate with Calci</t>
  </si>
  <si>
    <t xml:space="preserve"> Various Supplies and Materials</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</si>
  <si>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</si>
  <si>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200 reams US Bondpaper (Long) Substance 20</t>
  </si>
  <si>
    <t xml:space="preserve"> 1.	1,000	liter/s	Diesel Fuel</t>
  </si>
  <si>
    <t xml:space="preserve"> 2	Unit	2.0 HP Window Type Air condition (Non Inverter), ABC 35,000.00/unit 		Minimum Requirements:				 		&gt;with at least 5 Air Filter system for hospital bacteria,				 		viruses &amp; molds.				 		&gt;Lowest Non-Inverters Energy Saving feature, automatic				 		of</t>
  </si>
  <si>
    <t xml:space="preserve"> Republic of the Philippines Province of Ilocos Sur Office of the bids and awards committee MUNICIPALITY OF MAGSINGAL   INVITATION TO BID The LGU – MAGSINGAL, through the Bids and Awards Committee (BAC), invites PhilGEPS registered suppliers/contractors to</t>
  </si>
  <si>
    <t xml:space="preserve"> Supply and Delivery of Anti-Rabies Vaccine of Dogs for Municipal Agriculture Office, Janiuay, Iloilo Item Number	Description	Quantity 1	Anti-Rabbies	300 vials 2	Syringe 5ml	100 pcs.</t>
  </si>
  <si>
    <t xml:space="preserve"> Polyester casting tape 4” x 4 yards, high hardness Light weight, water resistant, short application time	200	roll</t>
  </si>
  <si>
    <t xml:space="preserve"> QUANTITY	UNIT	ARTICLES				 25000	Pcs	Eco Bag, Heavy Duty, with Lock, with Print, Large, Customized				 		Size: 360mm x 100mm x 430mm				 		*****END*****</t>
  </si>
  <si>
    <t xml:space="preserve"> 17 pcs. CARD (Globe/TM)</t>
  </si>
  <si>
    <t xml:space="preserve"> ALCOHOL CARBON FILM CARTOLINA CORRECTION FLUID CLIP BACK FOLD DETERGENT POWDER FASTENER AND ETC.......................................</t>
  </si>
  <si>
    <t xml:space="preserve"> PR No. 2020-08-0086 - Supply and delivery of 3,000 liters Diesel Fuel for use in various service vehicles and equipment - Planning and Design Section.</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</si>
  <si>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</si>
  <si>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PR No. 2020-08-0085 - Supply and delivery of 3,000 liters Diesel Fuel for use in various service vehicles and equipment - Construction Section.</t>
  </si>
  <si>
    <t xml:space="preserve"> 6mmx50mmx6 Angle Bar 6mmx38mmx6m Angle Bar 3.5mmx1x1x6m Angle Bar 3.5mmx1x6m Flat Bar 1.2 mmx1x6m flat Bar 1.2mmx2”x4” C- Purlins 2”(sched.40) Stainless Steel Balcony &amp; Stairs Railings 2”x3”x6m Stainless Tubular Bar 1”x1”x6m Stainless Tubular Bar 3”x1/2x6</t>
  </si>
  <si>
    <t xml:space="preserve"> To provide catering services for the conduct of Finalization of facility mapping and health services workshop-Malapatan on August 17-19, 2020 in Malapatan, Sarngani Province</t>
  </si>
  <si>
    <t xml:space="preserve"> Various Furniture under PR NO. 2020-08-0932 1 lot 1. 1 pc  Sofa Bed •	HE471-13 Sofabed •	With Wooden Legs •	Grey Color •	Weight Capacity: 240 kgs •	Sofa: 179*86*80CM •	Bed: 179*102*39CM •	Packaging: 181*104*20CM •	Net Weight: 31 kgs •	Gross Weight: 34 kgs</t>
  </si>
  <si>
    <t xml:space="preserve"> Ceramic tiles 20x20 cm 	75	pcs Tile Trim	5	pcs Bracket 1x1x'x10 mm	3	pcs Bracket 1x1x'x100 mm	5	pcs Bracket 1x1x'x60 mm	8	pcs Tile Ceiling	5	pcs Tie Trim	7	pcs 2x4x10 Good lumber	4	pcs Plywood 14 mm marine	3	pcs Plywood 5 mm marine	5	pcs Wood mouldings 4"</t>
  </si>
  <si>
    <t xml:space="preserve"> 120 bags @50kilos/ bag SCHEDULE OF BIDDING Advertisement/ Posting- August 25-September 1, 2020 Issuance of Bid Documents- August 25-September 2, 2020 Submission and Opening of Bids- September 2, 2020 (Wednesday, 10:00 AM, General Services Office Conferenc</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</si>
  <si>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</si>
  <si>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Pozzolan Cement	                     70 bags White Cement	                             15kg Sand	                                              10cum Gravel	                                      8cum CHB 10x20x40                      	     170 pcs Steel Ba</t>
  </si>
  <si>
    <t xml:space="preserve"> NOTICE OF NEGOTIATED PROCUREMENT (Small Value Procurement) Project:	Purchase of 238 units Hospital Mattress (Foam with Leather Cover- Aqua Blue; size 75 x 36 x 4”) (for use                  of 14 Government Hospitals) 		(PR#2020-06-5627) Location: 	Provin</t>
  </si>
  <si>
    <t xml:space="preserve"> QTY  UNIT  DESCRIPTION 70 tubes Duplicator Ink 30 rolls Duplicator Master Packaging: Free use of two (2) units Graph Machine and Maintenance with MOA</t>
  </si>
  <si>
    <t xml:space="preserve"> FOB Batan Island (50 heads) FOB Itbayat Island (50 heads)</t>
  </si>
  <si>
    <t xml:space="preserve"> R/M OF BUILDINGS</t>
  </si>
  <si>
    <t xml:space="preserve"> INSTRUCTIONS: 1. Suppliers are required to read the instructions and fill all the blanks properly. 2. Any specifications other than those required/stated in this form shall not be considered in the evaluation of bid. 3. Quotation/s must include all kinds </t>
  </si>
  <si>
    <t xml:space="preserve"> Please find attach quotation.</t>
  </si>
  <si>
    <t xml:space="preserve"> To provide catering services for the conduct of MR SIA Micro planning for North Cotabato Batch 1 on September 8-10, 2020 in Kidapawan City.</t>
  </si>
  <si>
    <t xml:space="preserve"> PR No. 2020-08-0087 - Supply and delivery of 3,000 liters Unleaded Gasoline for use in various service vehicles and equipment - Maintenance Section.</t>
  </si>
  <si>
    <t xml:space="preserve"> SMALL VALUE PROCUREMENT OPENING DATE AUGUST 25,2020, CLOSING DATE AUGUST 28,2020 02:00 PM PLEASE SUBMIT YOUR QUOTATION FORMS AT BAC OFFICE,GROUND FLOOR, NEW CITY HALL, J.P LAUREL, PANABO CITY  1.CEO - OFFICE EQUIPMENT- SCANNER – P 150,000.00</t>
  </si>
  <si>
    <t xml:space="preserve"> 80 pcs Flu Vaccine for Barangay Silangan 2 Sanguniang Kabataan</t>
  </si>
  <si>
    <t xml:space="preserve"> Republic of the Philippines													 City of San Carlos													 Negros Occidental													 										                  		REBIDDING	 INVITATION TO BID											FOR SALE	 			PURCHASE REQUEST NO: 4-20-07-0917				P 150.00	 Sealed bids for quotat</t>
  </si>
  <si>
    <t xml:space="preserve"> Procurement of General Merchandise</t>
  </si>
  <si>
    <t xml:space="preserve"> PURPOSE: FOR DES USE. NEW PURCHASE REQUEST. FOR THE MONTH OF FEBRUARY TO APRIL 2020. (4) Fax your Price Quotation at Tel. Fax#: 426-30-45 / 927-64-26 local 2561 or Email at bacveterans@gmail.com. Please indicate the brand name and complete specifications.</t>
  </si>
  <si>
    <t xml:space="preserve"> 42 pcs. Cellphobe Card (SMART/TNT)</t>
  </si>
  <si>
    <t xml:space="preserve"> 25   yards   plastic cover 250   packs   plastic bags</t>
  </si>
  <si>
    <t xml:space="preserve"> LGU: MARIA, SIQUIJOR					Project Reference No:			 Name of the Procuring Entity					Name of the Project :			 								 					Location of the Project   :			 Standard Form No.  :		SF-GOOD-60						 Revised on              : 		May 24, 2004						 Standard Form Ti</t>
  </si>
  <si>
    <t xml:space="preserve"> 1300 sachet Fungicide/ Bactericide @25 grams/sachet 800 sachet Insecticide (systemic) @ 2.5 grams/ sachet SCHEDULE OF BIDDING Advertisement/ Posting- August 25-September 1, 2020 Issuance of Bid Documents- August 25-September 2, 2020 Submission and Opening</t>
  </si>
  <si>
    <t xml:space="preserve"> QUANTITY UNIT DESCRIPTION UNIT COST TOTAL COST 200   tablet ALLOPURINOL 300mg tablet 2.09 418.00 300   tablet AMIODARONE 200mg tablet 21.65 6,495.00 300   tablet ATENOLOL 50mg tablet 2.15 645.00 100   supp  BISACODYL 10mg suppository 44.75 4,475.00 300   </t>
  </si>
  <si>
    <t xml:space="preserve"> RFQ (20-08-075) Various Drugs and Medicines</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</si>
  <si>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</si>
  <si>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</si>
  <si>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2 unit Laptop</t>
  </si>
  <si>
    <t xml:space="preserve"> QUANTITY	UNIT	ARTICLES				 18000	Pcs	Eco Bag, Heavy Duty, with Lock, with Print, Large, Customized				 		Size: 360mm x 100mm x 430mm				 		*****END*****</t>
  </si>
  <si>
    <t xml:space="preserve"> Meals for LSI and Returning Residents at Suyo Isolation/ Quarantine Facility</t>
  </si>
  <si>
    <t xml:space="preserve"> PRINTING OF SELF LEARNING MODULES  FOR SENIOR HIGH SCHOOL</t>
  </si>
  <si>
    <t xml:space="preserve"> Purchase of Office Supplies for inventory purposes of GSO</t>
  </si>
  <si>
    <t xml:space="preserve"> Republic of the Philippines														 Province of Occidental Mindoro														 Mamburao, Occidental Mindoro														 REQUEST FOR QUOTATION														 Date of Posting:	August 24, 2020					Ref. No.		RN 514-2020						 						PR No.		1011-2020-</t>
  </si>
  <si>
    <t xml:space="preserve"> INVITATION TO BID FOR THE  SUPPLY AND DELIVERY  OF VARIOUS SUBMERSIBLE MOTORS 1.	The Metro Lipa Water District (MLWD), through its 2020 Annual Procurement Plan intends to apply the sum of Two Million One Hundred Eighty Seven Thousand Pesos   (P 2,187,000.</t>
  </si>
  <si>
    <t xml:space="preserve"> PR# 20-08-812					 					 STOCK/ PROPERTY NO.	UNIT	ITEM DESCRIPTION	QTY.	UNIT COST	TOTAL COST 					 1	pc	Green Card                                                                                     Paper: Bristol Green                                    </t>
  </si>
  <si>
    <t xml:space="preserve"> Republic of the Philippines PROVINCE OF SOUTHERN LEYTE Maasin City Invitation to Bid for the Procurement of Furniture &amp; Fixture  Contract ID # 2020-09-15-465PG 1.	The Provincial Government of Southern Leyte through the PASSO Furniture &amp; Fixture Expenses i</t>
  </si>
  <si>
    <t xml:space="preserve"> PR No. 2020-08-0088 - Supply and delivery of 10,000 liters Diesel Fuel for use in various service vehicles and equipment - Maintenance Section.</t>
  </si>
  <si>
    <t xml:space="preserve"> 2	Unit	1.5HP Window Type Aircondition(Manual type), ABC 30,000.00/unit 		Minimum Requirements:				 		&gt;with atleast 5 Air Filter system for hospital bacteria,				 		viruses &amp; moldes.				 		&gt;Lowest Non-Inverters Energy Saving feature, automatic				 		off sy</t>
  </si>
  <si>
    <t xml:space="preserve"> Procurement, repair and maintenance of DRRM Equipment and Vehicles. This activities include such as but not limited to procurement of firefighting PPES, fire truck, ambulance, PA system, procurement and installation of CCTV cameras, repair and maintenance</t>
  </si>
  <si>
    <t xml:space="preserve"> A. MATERIALS Item No.	Qty	Unit	       Description  1	        70	Bags	       Cement 2	        12	Cu. M       Albay Sand 3	        10	Cu. M.      Gravel 4	        138	Pieces      RSB #9mm 5	        10	Pieces      Angel Bar #3 6	        20	Pieces      RSB #1</t>
  </si>
  <si>
    <t xml:space="preserve"> TRAINING EXPENSES</t>
  </si>
  <si>
    <t xml:space="preserve"> Request for quotation for office supplies, consumables and equipment not available in PS-DBM Pampanga Depot</t>
  </si>
  <si>
    <t xml:space="preserve"> 5	panels	6mm Acrylic Safety Barrier for Tellers Station with the following mesurements:						 		        Total length of 7.55m						 		        L = 1.51m/panel X H = 0.90m X 1/4 inch thick standard clear acrylic						 2	panels	6mm Acrylic Safety Barrier for</t>
  </si>
  <si>
    <t xml:space="preserve"> 1 unit Base radio VNF (IC-2300H) 5 units Handheld Radio (IC-Y88) 2 units Power Supply (Cignus PS-20A) 50 mts RG-8 Coax Cable 1 unit Antenna Diamond BC-100 1 unit Antenna Diamond CP 225</t>
  </si>
  <si>
    <t xml:space="preserve"> Republic of the Philippines													 City of San Carlos													 Negros Occidental													 									                     			REBIDDING	 INVITATION TO BID					 						FOR SALE	 			PURCHASE REQUEST NO: 9-20-07-0926				P 150.00	 Sealed bids for qu</t>
  </si>
  <si>
    <t xml:space="preserve"> Training aims to train indigent constituents on various trades and skills for their income-generating activities.</t>
  </si>
  <si>
    <t xml:space="preserve"> 1.00	unit	Installation Cost of 3TR Aircon w/ 6m excess of copper tube 1.00	unit	installation Cost of 3TR Aircon w/ 12m excess of copper tube 2.00	unit	Installation Cost of split type aircon  8.00	unit	Installation of Window type aircon 1HP 2.00	unit	Insta</t>
  </si>
  <si>
    <t xml:space="preserve"> Project: PURCHASE  AND DELIVERY OF DIGITAL DUPLICATOR, DUPLICATOR INK AND MASTER ROLL Location: Laurel, Batangas ABC: PHP 1,225,000 1 set DIGITAL DUPLICATOR 20 sets Ink Black 20 sets SF Master Advertisement	August 25-September 5, 2020	 Pre-bid Conference	</t>
  </si>
  <si>
    <t xml:space="preserve"> please see attached file/document...</t>
  </si>
  <si>
    <t xml:space="preserve"> The Philippine National Oil Company (PNOC), through the 2020 Approved Corporate Operating Budget intends to apply the sum of Five Million Eight Hundred Fifty Thousand Pesos (P5,850,000.00) being the Approved Budget for the Contract (ABC) to payments under</t>
  </si>
  <si>
    <t xml:space="preserve"> QUANTITY	UNIT	ARTICLES				 31000	Pcs	Eco Bag, Heavy Duty, with Lock, with Print, Large, Customized				 		Size: 360mm x 100mm x 430mm				 		*****END*****</t>
  </si>
  <si>
    <t xml:space="preserve"> 23 cum boulders 145 bags portland cement 15 cum sand 15 pcs 10mm RSB 1 kg #16 tie wire</t>
  </si>
  <si>
    <t xml:space="preserve"> 8500 pcs EXPANDING PLASTIC ENVELOPE, LONG, TRANSPARENT WITH SNAP BUTTON</t>
  </si>
  <si>
    <t xml:space="preserve"> 1 SET INJECTION PUMP AND 114 LINE ITEMS</t>
  </si>
  <si>
    <t xml:space="preserve"> NOTICE OF NEGOTIATED PROCUREMENT (Small Value Procurement) Project:	Purchase of Roller Blinds [for use in the Installation of Roller Blinds at Urduja House Building (Kitchen Area), Urduja Compound, Lingayen, Pangasinan] 		(PR#2020-07-6521) 2	pc.	H= 4’ x W</t>
  </si>
  <si>
    <t xml:space="preserve"> 1.	PURCHASE OF LAPTOP  -13.3 inches Laptop (Space Grey) -13-inch Retina Display with True Tone -1.4GHz quad-core 8th generation Intel Core i5 processor, Turbo boost up to 3.9GHz -8GB 2133MHz LPDDR3 memory -256GB SSD Storage -Intel Iris Plus Graphics 645 -</t>
  </si>
  <si>
    <t xml:space="preserve"> Invitation to Bid for Antipsychotic Medicine 1.	The Local Government Unit of Las Nieves, through the Budget for the Contract Approved by the Sanggunian intends to apply the sum of Seventy Four Thousand Nine Hundred Ninety Pesos (Php 74,990.00), being the </t>
  </si>
  <si>
    <t xml:space="preserve"> To provide catering services for the conduct of MR SIA Micro planning for North Cotabato Batch 2 on September 9-11, 2020 in  Midsayap, North Cotabato.</t>
  </si>
  <si>
    <t xml:space="preserve"> Republic of the Philippines					 Province of Palawan					 MUNICIPALITY OF EL NIDO					 PR No.	 Name of Procuring Entity: Municipal Government of El Nido			RFQ No.	2020-      -MNAO	 Date:		 Office/End-User: MNAO					 Company Name					 Adress:					 Business</t>
  </si>
  <si>
    <t xml:space="preserve"> 1 pc. Office Glass Installation (1/4 clear with half brown frame)</t>
  </si>
  <si>
    <t xml:space="preserve"> Invitation to Bid to all Supplier/Contractr duly accredited by the City Cpuncil of Manila to supply and deliver the following items provided hereunder, to wit; Item	Qty.	 	Unit	 	 	 	DESCRIPTION	 	 	  1	 	10	 	Units	CCTV Camera Outdoor	 	 	 	 	 	 	  2	 	6</t>
  </si>
  <si>
    <t xml:space="preserve"> Republic of the Philippines Province of La Union Municipality of San Juan Revised on May 24, 2004						Project Reference No.:     ___________________ Standard Form Title: Request for Quotation	Name of Project:	Purchase of Sports Equipment 								Location</t>
  </si>
  <si>
    <t xml:space="preserve"> Republic of the Philippines													 City of San Carlos													 Negros Occidental													 													 INVITATION TO BID											FOR SALE	 			PURCHASE REQUEST NO: 9-20-08-0962				P 500.00	 Sealed bids for quotation of prices will be recei</t>
  </si>
  <si>
    <t xml:space="preserve"> Republic of the Philippines  PROVINCIAL GOVERNMENT OF EASTERN SAMAR Provincial Capitol, 6800 Borongan City  E-mail Address: esamar.bac@gmail.com REQUEST FOR QUOTATION RFQ No. 2020-08-399                                                                 				</t>
  </si>
  <si>
    <t xml:space="preserve"> Republic of the Philippines														 Province of Occidental Mindoro														 Mamburao, Occidental Mindoro														 REQUEST FOR QUOTATION														 Date of Posting:	August 24, 2020					Ref. No.		RN 554-2020						 						PR No.		1061-08-20</t>
  </si>
  <si>
    <t xml:space="preserve"> supply and delivery of hardware supplies</t>
  </si>
  <si>
    <t xml:space="preserve"> NOTICE OF NEGOTIATED PROCUREMENT (Small Value Procurement) Project:	Purchase of Roller Blinds [for use in the Installation of Roller Blinds at Urduja House Building (Kitchen Area), Urduja Compound, Lingayen, Pangasinan] 		(PR#2020-07-6521) 70	sq.ft.	1 pc.</t>
  </si>
  <si>
    <t xml:space="preserve"> PURPOSE: FOR MAINTENANCE USE OF PLUMBING UNIT (SEMI-ANNUAL FOR THE MONTH OH JULY-DEC., 2020) Fax your Price Quotation at Tel. Fax#: 426-30-45 / 927-64-26 local 2561 or Email at bacveterans@gmail.com. Please indicate the brand name and complete specificati</t>
  </si>
  <si>
    <t xml:space="preserve"> Supply &amp; Delivery of ICT 01D CO H44-2020  Kindly see attached file. Thank you!</t>
  </si>
  <si>
    <t xml:space="preserve"> Procurement of Materials (Anapog) for the Maintenance of Various Provincial Roads for the Project Management Division (PMD) I, of the Provincial Engineer's Office, New Capitol Building, Tagbilaran City ABC: P1,212,500.00 Cost of Bid Documents: P5,000.00 A</t>
  </si>
  <si>
    <t xml:space="preserve"> Lot 1 Supply and Delivery of Construction Materials for the Construction of Access Road Inside the School Campus, Janiuay National Comprehensive High School, Brgy. Damo-ong, Janiuay, Iloilo   Item Number	Description	Quantity 1	Portland Cement	679 bags 2	W</t>
  </si>
  <si>
    <t xml:space="preserve"> Purchase of Materials for the Completion of Multi-Purpose Building, Cogon Norte, Loon</t>
  </si>
  <si>
    <t xml:space="preserve"> 9 File Cabinet with Safety Vault 1 pc Steel Cabinet</t>
  </si>
  <si>
    <t xml:space="preserve"> To provide catering services for the conduct of MR SIA Micro planning for South Cotabato on September 9-11, 2020 in Koronadal City.</t>
  </si>
  <si>
    <t xml:space="preserve"> Supply and delivery of Meals and snacks for RSTC Training on Sept. 6 to 17, 2020 Event: RSTC Training Location: FTIC Training Room 3 # of pax and menu: please see attached menu and # pax Note: "PACKED" Meals and Snacks TO BE PACKED AT VENUE before the sch</t>
  </si>
  <si>
    <t xml:space="preserve"> 600	Gallon	Sodium Hypochlorite , ABC 150.00/gal RFQ#08-0892</t>
  </si>
  <si>
    <t xml:space="preserve"> The Department of Agriculture invites interested suppliers to submit quotations/proposals for the hereunder requirement: ICT EQUIPMENT: PORTABLE EXTERNAL SSD 	 3	Unit	Portable External SSD	108,000.00 		Please see attached Technical Specification	 		GRAND </t>
  </si>
  <si>
    <t xml:space="preserve"> Republic of the Philippines													 City of San Carlos													 Negros Occidental													 										                		REBIDDING	 INVITATION TO BID											FOR SALE	 			PURCHASE REQUEST NO: 18-20-07-0927				P 150.00	 Sealed bids for quotati</t>
  </si>
  <si>
    <t xml:space="preserve"> Republic of the Philippines Department of Public Works and Highways OFFICE OF THE DISTRICT ENGINEER 		Camarines Sur 4th  District Engineering Office Caraycayon, Tigaon, Camarines Sur Tel. #(054)881-01-07 INVITATION TO BID The Department of Public Works an</t>
  </si>
  <si>
    <t xml:space="preserve"> 1 pc. Tire S/Tech 110190 x 17 (BMEM) 1 pc. Tube 100 NR 325/350 x 17 (REK)</t>
  </si>
  <si>
    <t xml:space="preserve"> Invitation to Bid to all Supplier/Contractr duly accredited by the City Cpuncil of Manila to supply and deliver the following items provided hereunder, to wit; Item	 	Qty.	 	Unit	 	 	 	DESCRIPTION 1	 	300	 	Pcs	Folding Laptop Table	 	 	 	  2	 	300	 	Pcs	E</t>
  </si>
  <si>
    <t xml:space="preserve"> Republic of the Philippines Region XII Province of Cotabato Municipality of Makilala OFFICE OF THE BIDS AND AWARD COMMITTEE REQUEST FOR QUOTATION (Shopping) Date: 	August 25, 2020 Shopping #: 2020-08-234 The MUNICIPALITY OF MAKILALA through its Bids and A</t>
  </si>
  <si>
    <t xml:space="preserve"> ECO Pencil w/ Customized Sleeve/Bookmark &amp; Cover - - - - - - - 7,420 set</t>
  </si>
  <si>
    <t xml:space="preserve"> 12 l.m. Construction of Concrete Footbridge</t>
  </si>
  <si>
    <t xml:space="preserve"> INVITATION TO APPLY FOR ELIGIBILITY AND TO BID The MUNICIPALITY OF RONDA, through its Bids &amp; Awards Committee (BAC), Invites Suppliers registered with and classified by the DTI to Bid for the hereunder contract: Name of Contract	: Procurement of equipment</t>
  </si>
  <si>
    <t xml:space="preserve"> Three Hundred (300) Rm, Bond Paper (80gsm) A4 size and 44 Other line items.</t>
  </si>
  <si>
    <t xml:space="preserve"> i.	Title:	COMPONENT 3– ARBOLD MOVE PROJECT LIVELIHOOD SUPPORT FOR WOMEN IN CRISIS SITUATION ii.	Description	ORGANIZATIONAL DEVELOPMENT TRAINING iii.	 Date of delivery:	AUGUST 2020 iv.	DELIVERY SITE :	BATAAN v.	NO. OF BROILER CHICKS/FEEDS	2,250 HEADS &amp; 90 </t>
  </si>
  <si>
    <t xml:space="preserve"> 6 pcs tires,8.25 x 20 6 pcs flap, 6 pcs tube,</t>
  </si>
  <si>
    <t xml:space="preserve"> Procurement of Laptop					 Purchase Requested by the City Assessor's Office, Tabaco City					 					 To Interested Suppliers, Manufacturers and Distributors,					 					 Please quote your lowest price/s on the lot or item/s  below, subject to Terms and Cond</t>
  </si>
  <si>
    <t xml:space="preserve"> CHLORINE(Calcium Hypochlorite)	100	drum Form: Granular		 Purity: 70%		 Net Weight: 45 kilos per Drum</t>
  </si>
  <si>
    <t xml:space="preserve"> The local Government Unit of Bindoy through its Bids and Awards Committee intends to Purchase CATERING SERVICES This purchase CATERING SERVICES will be undertaken in accordance with section 53.9 (Procurement of Goods, Infrastructure Projects and Consultin</t>
  </si>
  <si>
    <t xml:space="preserve"> VEHICLE REPAIR AND MAINTENANCE</t>
  </si>
  <si>
    <t xml:space="preserve"> BREAKFAST 30 PAX 150 AM SNACK 90 PAX 100 LUNCH 90 PAX 250 PM SNACK 90 PAX 100 DINNER 30 PAX 250 ACCOMODATION 30 PAX 650</t>
  </si>
  <si>
    <t xml:space="preserve"> 300 packs Disposable Face Mask</t>
  </si>
  <si>
    <t xml:space="preserve"> Repair of female toilet</t>
  </si>
  <si>
    <t xml:space="preserve"> 6 unit Server Cabinet 6U Wall Mount 1 unit Dual ISP &amp; Loan Balancer 7 unit 24 Port Gigabit Hub 1 unit 24 Port patch panel Labeling 9 unit Wireless Outdoor AP 1 unit Fiber Line 6 unit Fiber Media Converter Set 1 unit Server Cabinet 24U Tower Type 1 unit Ca</t>
  </si>
  <si>
    <t xml:space="preserve"> supply and delivery of ICT equipment</t>
  </si>
  <si>
    <t xml:space="preserve"> 400 PCS ENVELOPE, LEGAL WITH HANDLE - VIOLET G11 300 PCS ENVELOPE, LEGAL WITH HANDLE - TRANSPARENT G12 20 PCS DUCT TAPE - RED 3 BOXES SIGN PEN 0.5 GEL - BLUE</t>
  </si>
  <si>
    <t xml:space="preserve"> Republic of the Philippines Province of Ilocos Sur Vigan City INVITATION TO BID FOR  Tobacco Farmers/Cooperatives' Fertilizers Subsidy for Farm Productivity Project 1.	The Provincial Government of Ilocos Sur, through the Special Budget No. 1 (RA 7171), Ap</t>
  </si>
  <si>
    <t xml:space="preserve"> 25 AUGUST 2020 INVITATION TO BID FOR THE SUPPLY AND DELIVERY OF LOW TEMPERATURE PLASMA STERILIZER FOR CALOOCAN CITY MEDICAL CENTER 	 1.	The City of Caloocan, through the Trust Fund of the 2020 Annual City Budget approved under Sangguniang Panlungsod Ordin</t>
  </si>
  <si>
    <t xml:space="preserve"> Procurement of Penentupan Yakan Cloth 		 		 The  National  Commission   for   Culture   and   the   Arts   (NCCA) invites prospective bidders to submit their quotations 		 for the following item/s listed below on or before  August 28, 2020  at  1:00 p.m.	</t>
  </si>
  <si>
    <t xml:space="preserve"> THE JUAN VILLABLANCA MEMORIAL HIGH SCH. WOULD LIKE TO PROCURE 2 UNITS PRINTER G4010, 1 UNIT PRINTER G2010 AND 1 SET INK. . . . . . . .</t>
  </si>
  <si>
    <t xml:space="preserve"> ITEM 1. MASONRY WORKS A. Materials 95 bags Portland Cement 300.00/ bags 28,500.00 20 lengths 10mmx6.0m deff. Steel bar 180.00/lngth 3,600.00 500 pcs 4x816 CBH 15.00/pcs 7,500.00 5 kgs. #16 tie wire 90.00/kg 450.00 30 pcs 0.60m Tiles 145.00/pcs 4,350.00 15</t>
  </si>
  <si>
    <t xml:space="preserve"> REPAIR AND MAINTENANCE OF GREEN DUMPTRUCK</t>
  </si>
  <si>
    <t xml:space="preserve"> 90 bags Cement 1,100 pieces CHB 10 pieces Plywood 1/4 40 pieces Lumber 2 x 2 x 10 150 pieces RSB 12mm 4 loads Sand 5 kilos Tie Wire #16 2 kls. CW Nail 1 &amp; 3 2 meters screen</t>
  </si>
  <si>
    <t xml:space="preserve"> Item 104- Embankment Item 511- Gabions &amp; Matresses SPL Construction Health and Safety SCHEDULE OF BIDDING Advertisement/ Posting- August 25-September 3, 2020 Issuance of Bid Documents- August 25-September 14, 2020 Submission and Opening of Bids- September</t>
  </si>
  <si>
    <t xml:space="preserve"> Description	 Four (4) units of chest freezer,  7 cu ft, sliding glass cover, dual function / freezer chiller, two (2) huge cooling pads Please see Associated Component: Request for Quotation (RFQ) Form</t>
  </si>
  <si>
    <t xml:space="preserve"> Repair &amp; Maintenance</t>
  </si>
  <si>
    <t xml:space="preserve"> The Department of Education, Division of Butuan City, Through its Bids and Awards Committee, Requests for Quotation for Supply and Delivery of Materials of Materials for Module Reproduction</t>
  </si>
  <si>
    <t xml:space="preserve"> Republic of the Philippines Province of Bukidnon Municipality of Damulog OFFICE OF THE BIDS AND AWARD COMMITTEE Invitation to Bid for Supply and Delivery of Fuel, Oil and Lubricants The Local Government Unit of Damulog, through MOOE and 5% intends to appl</t>
  </si>
  <si>
    <t xml:space="preserve"> Clearing and Grubbing, Structure Excavation (Soft Rock), Embankment from Roadway Excavation, Subgrade Preparation (Common Material), Aggregate Sub-base Course, (20cm. thk.), Portland Cement Concrete Pavement (Unreinforced, 0.15m thick, 14 days), Reinforci</t>
  </si>
  <si>
    <t xml:space="preserve"> Please see attached Request for Quotation (RFQ) in the Associated Components. Thank you</t>
  </si>
  <si>
    <t xml:space="preserve"> NOTICE OF NEGOTIATED PROCUREMENT (Small Value Procurement) Project:	Purchase of Meals and Snacks (for various sports activities, PSDMC) 		(PR#2020-02-0910) 1090	pax	VIP Snacks 940	pax	VIP Lunch 20	pax	Breakfast 760	pax	Snacks AM/PM 290	pax	Lunch Location:</t>
  </si>
  <si>
    <t xml:space="preserve"> Procurement of Thai Silk Fabric						 Purchase Requested by the City Mayor's Office, Tabaco City						 						 To Interested Suppliers, Manufacturers and Distributors,						 						 Please quote your lowest price/s on the lot or item/s  below, subject to Te</t>
  </si>
  <si>
    <t xml:space="preserve"> See attached document</t>
  </si>
  <si>
    <t xml:space="preserve"> QTY	UNIT	DESCRIPTION 54	reams	Paper Multi-purpose (copy) A4, 70 gsm 350	pcs	Ballpen, Black 24	pcs	Sign pen, blue,liquid/gel ink, 0.5mm needle tip 350	pcs	Expandable envelope, plastic, long 9	bot	Ink cart, Epson 003, Black 4	bot	Ink cart, Epson 003, Cyan 4</t>
  </si>
  <si>
    <t xml:space="preserve"> Republic of the Philippines Province of Romblon Municipality of Calatrava INVITATION TO BID 1.	The Local Government Unit of Calatrava, Romblon through the 20% ADP CY-2020 and GAD CY- 2020 intends to apply the sum of Nine Hundred Sixty Five Thousand Three </t>
  </si>
  <si>
    <t xml:space="preserve"> Republic of the Philippines 				Province of Eastern Samar 				Municipality of Mercedes OFFICE OF THE BIDS AND AWARDS COMMITTEE (BAC) INVITATION TO BID FOR THE PROCUREMENT OF WIFI ROUTER (INCLUDING INSTALLATION) INVITATION TO BID NO. GOODS-2020-08-010 1.	T</t>
  </si>
  <si>
    <t xml:space="preserve"> Supply and Delivery of Materials for the Construction of Concrete Pavement of SDO-Abra * Supplier is preferably from the province of Abra to ensure timely delivery of the materials due to the restrictions and limitations brought by the COVID 19 pandemic. </t>
  </si>
  <si>
    <t xml:space="preserve"> CLEARING WORKS SUB GRADE PREPARATION AGGREGATE BASE COURSE PORTLAND CEMENT CONCRETE PAVEMENT NOTE:  BARANGAY FUND/PROJECT</t>
  </si>
  <si>
    <t xml:space="preserve"> Surplus Common Excavation, Structure Excavation (Common Soil), Embankment from Roadway Excavation, Subgrade Preparation (Common Material), Aggregate Sub-base Course (20 cm. thk.), Portland Cement Concrete Pavement (unreinforced, 0.15m thick, 14 days), Con</t>
  </si>
  <si>
    <t xml:space="preserve"> Republic of the Philippines  PROVINCIAL GOVERNMENT OF EASTERN SAMAR Provincial Capitol, 6800 Borongan City  E-mail Address: esamar.bac@gmail.com REQUEST FOR QUOTATION RFQ No. 2020-08-394                                                                     </t>
  </si>
  <si>
    <t xml:space="preserve"> Procurement of Desktop Computer &amp; Printer						 Purchase Requested by the City Civil Registrar's Office, Tabaco City						 						 To Interested Suppliers, Manufacturers and Distributors,						 						 Please quote your lowest price/s on the lot or item/s  </t>
  </si>
  <si>
    <t xml:space="preserve"> Supply and Delivery of Various Other Supplies</t>
  </si>
  <si>
    <t xml:space="preserve"> 1	1/2"Ø ISO Compression male Adaptor		300	pcs.	________________		 45,000.00 	___________ 2	1/2"Ø CTS Compression male Adaptor		100	pcs.	________________		 18,000.00 	___________ 3	3/4"Ø CTS Compression Coupling		500	pcs.	________________		 122,500.00 	___</t>
  </si>
  <si>
    <t xml:space="preserve"> INSTALLATION OF ELECTRICAL WIRINGS, MAIN SERVICE ENTRANCE OF NEW BUILDING</t>
  </si>
  <si>
    <t xml:space="preserve"> Item	Qty	Unit of 	Item Description	Estimated	Total Amount Number		Measurement		Amount	 1	228	bags	Portland Cement	 290.00 	 66,120.00  2	18	cum	Sand (S1)	 1,900.00 	 34,200.00  3	5.5	cum	Crashed Gravel (pensize)	 1,900.00 	 10,450.00  4	50	pcs	16mm x CEM.</t>
  </si>
  <si>
    <t xml:space="preserve"> Laptop i5, 8gb, lifetime MS Office, with anti-virus software External Hard Drive 2TB Digital Camera Please see attached RFQ in Associated Component Section for Specifcations</t>
  </si>
  <si>
    <t xml:space="preserve"> 1 SET LAPTOP MODEL: NBK C740 81TC00AQPH  GRY PROCESSOR: INTEL CORE i5-10210U MEMORY: 8 GB DDR4 SYSTEM MEMORY STORAGE: 512 SOLID STATE DRIVE OPTICAL DRIVE: N/A OPERATING SYSTEM: WINDOWS 10 HOME DISPLAY: 14" FHD IPS DISPLAY GRAPHICS: INTEL HD GRAPHICS OTHER</t>
  </si>
  <si>
    <t xml:space="preserve"> Please quote your best price 20 units of UHF Base Transciever ( Digital), Rental ABC: 80,000.00 Specifications: Dimensions: (HxWxD) with standard baterry - 125x55x37mm without antenna Weight with antenna and standard battery - 335g LCD Display: 160x128 pi</t>
  </si>
  <si>
    <t xml:space="preserve"> The Department of Education, Division of Butuan City, Through its Bids and Awards Committee, Requests for Quotation for Supply and Delivery of Materials fro DepEd Btuan City Division Office use - COVID 19 Prevention</t>
  </si>
  <si>
    <t xml:space="preserve"> Department of Education Region VI-Western Visayas Division of Cadiz City Mabini National High School NOTICE FOR  NEGOTIATED PROCUREMENT OF INTERNET LOAD MNHS-SHS 2020 1.	The Mabini National High School  of Cadiz City, through the Schools MOOE Fund CY 2020</t>
  </si>
  <si>
    <t xml:space="preserve"> 1 set CCTV HIKVISION H.265+1080 4mp Hikvision hd 1080P 2MP Full Time Color 3D COAXIALCable RJ6 w/Power 30 meters SEAGATE ST2000VX008 3.5 2TB SKYHAWK NVISION 32 110 240V/50 60HZ/40CD M3/3000/5 with installation 3 rolls Coaxial Cable with RJ6 305m. 16 piece</t>
  </si>
  <si>
    <t xml:space="preserve"> To provide catering services for the  conduct of Workshop on Organizing a Primary Care Provider Network (PCPN) and Referral System at LGU Level (Sto. Niño) on August 26-28, 2020 at Sto. Niño, South Cotabato.</t>
  </si>
  <si>
    <t xml:space="preserve"> Supply and Delivery of various medical supplies - DEPED, San Carlos City, Negros Occidental ABC:  179,540.00</t>
  </si>
  <si>
    <t xml:space="preserve"> Procurement of 3 sets Desktop Computer &amp; 2 LI</t>
  </si>
  <si>
    <t xml:space="preserve"> August 24, 2020 REQUEST FOR QUOTATION (RFQ) MULTI-FUNCTIONAL PRINTER / COPIER MACHINE (WITH AUTOMATIC DOCUMENT FEEDER) 1.	The Batangas Medical Center hereinafter referred to as the “Purchaser” now request for submission of price proposal for the procureme</t>
  </si>
  <si>
    <t xml:space="preserve"> 2 x 4 x 12 Good Lumber	7	pcs Corrugated steel 10 mm	6	pcs Sand and Gravel 	1	load Plywood 1/4 marine type	6	pcs Panel Door	2	pcs Door knob	1	pcs  Flat wall paint white	3	gals QDE Paint white	3	gals Acqua Blue	3	gals Latex Paint Semi-Gloss 	4	gals Roller p</t>
  </si>
  <si>
    <t xml:space="preserve"> A. MATERIALS Item No.	Qty	Unit	Description  1	6	Pieces	Wall LED Lights 2	5	Pieces	LED Lights (15 watts) 3	2	Boxes	2.0 Electric Wire 4	5	Boxes	PDX Wire 5	2	Pieces	Breaker (15 amp) 6	15	Pieces 	PVC Pipe ½ (Orange) 7	50 	Pieces	C Clamp ½  8	20	Pieces	PVC Elb</t>
  </si>
  <si>
    <t xml:space="preserve"> Republic of the Philippines									 Province of Batangas									 City of Sto. Tomas									 Barangay SAN JOAQUIN									 									 									 INVITATION TO BID									 									 The Barangay Government of San Joaquin, City of Sto. Tomas, Batangas thro</t>
  </si>
  <si>
    <t xml:space="preserve"> 1500 LENGTH RING BINDER, PLASTIC, 10 LENGTH/BUNDLE (SIZE 9/16) 1000 LENGTH RING BINDER, PLASTIC, 10 LENGTH/BUNDLE (SIZE 3/4) 50 BOXES STAPLE WIRE, BINDER TYPE 20 BOT. COMPUTER INK, EPSON 664, BLACK 10 BOT. COMPUTER INK, EPSON 664, CYAN 10 BOT. COMPUTER IN</t>
  </si>
  <si>
    <t xml:space="preserve"> 200 pieces Rapid Test Kit</t>
  </si>
  <si>
    <t xml:space="preserve"> NOTICE OF NEGOTIATED PROCUREMENT (Small Value Procurement) Project:	Purchase of Fire Extinguisher  		(PR#2020-06-5593) 10	pc.	Fire Extinguisher, 10lbs. (refill &amp; repair) 10	pc.	Fire Extinguisher, 20lbs. (refill &amp; repair) Location: 	Dasol Community Hospita</t>
  </si>
  <si>
    <t xml:space="preserve"> BOND PAPER A2 80GSM STAPLER, HEAVY DUTY, BINDER TYPE STAPLE WIRE #35 RUBBER BAND NO. 18 TAPE, TRANSPARENT, 48MM</t>
  </si>
  <si>
    <t xml:space="preserve"> DENGUE IWASAN AT PUGSAIN, KUNG PAANO, SA RADIO ON AIR ALAMIN!</t>
  </si>
  <si>
    <t xml:space="preserve"> Procurement of Aircon						 Purchase Requested by the City Disaster Risk Reduction Management Office, Tabaco City						 						 To Interested Suppliers, Manufacturers and Distributors,						 						 Please quote your lowest price/s on the lot or item/s  bel</t>
  </si>
  <si>
    <t xml:space="preserve"> Republic of the Philippines													 BUTUAN CITY WATER DISTRICT													 Gov. Jose A. Rosales Avenue, Butuan City													 Tel. Nos. 143 (Hotline) 342-3145/46 (Bayantel)													 Fax No. 341-4298													 				REQUEST FOR PRICE QUOTATIO</t>
  </si>
  <si>
    <t xml:space="preserve"> Republic of the Philippines					 Province of Palawan					 MUNICIPALITY OF EL NIDO					 PR No.	 Name of Procuring Entity: Municipal Government of El Nido			RFQ No.	2020-       -PNP	 Date:		 Office/End-User: PNP					 Company Name					 Adress:					 Business </t>
  </si>
  <si>
    <t xml:space="preserve"> Purpose: Purchase of Supplies for the Conduct of RICO Meeting.																 LOT 1	SUPPLIES															 	Long folder, (white, ordinary)					3	ream	 500.00 								 	CMOS battery					2	pcs.	 150.00 								 	Battery (AAA, Dry Cell)					10	pack	 90.00 </t>
  </si>
  <si>
    <t xml:space="preserve"> Supplemental Supplies of Merangeran ES</t>
  </si>
  <si>
    <t xml:space="preserve"> Repair/Rehabilitation of Barangay Roads Barangay Poblacion, Norzagaray, Bulacan</t>
  </si>
  <si>
    <t xml:space="preserve"> The National Irrigation Administration-Regional Office 12, Villarica, Midsayap, Cotabato, through the Fund 501 has the Approved Budget for the Contract (ABC) amounting to  FOUR HUNDRED SIXTY SEVEN THOUSAND TWO HUNDRED SIXTY ONE PESOS &amp; 64/100(P 467,261.64</t>
  </si>
  <si>
    <t xml:space="preserve"> PLEASE SEE ATTACHED DOCUMENTS.</t>
  </si>
  <si>
    <t xml:space="preserve"> Procurement of 1 Lot Meals &amp; Snacks (2 weeks)</t>
  </si>
  <si>
    <t xml:space="preserve"> Quantity	Unit	Agency Specification 1	PC	DRUM  1	PC	DEVELOPER 1	PC	DRUM CLEANING BLADE</t>
  </si>
  <si>
    <t xml:space="preserve"> Purchase of 2,000 pcs. PPE-Full Face Shield Helmet with Logo   NOTE:  Please see attaached RPQ for complete specifications.</t>
  </si>
  <si>
    <t xml:space="preserve"> 7 bxs Aspirin (entric Coated in 150's) 750 bxs Cefuroxime 500mg capsule in 10's 100 sachet Fusidic Acid 1.5g ointment 5 vial Hemoglobin with Hematocrit Microcuvettes with free 2 units of Hemocontrol Machine (in 50's) 6 bots Immersion Oil Type A in 30's</t>
  </si>
  <si>
    <t xml:space="preserve"> 50	Piece	1x4x12' Good Lumber (S4S), ABC 150.00/pc 50	Piece	1x3x12' Good Lumber (S4S), ABC 150.00/pc 50	Piece	1x2x12' Good Lumber (S4S), ABC 150.00/pc 20	Piece	2x3x12' Good Lumber (S4S), ABC 300.00/pc 50	Piece	2X2X12' Good Lumber (S4S), ABC 190.00/pc 20	Pi</t>
  </si>
  <si>
    <t xml:space="preserve"> To provide catering services for the conduct of Finalization of facility mapping and health services workshop-Alabel on August 31-September 2, 2020 in Alabel, Sarangani Province</t>
  </si>
  <si>
    <t xml:space="preserve"> Heavy Snacks for Kapihan na Zamboanga -Every Tuesdays and Fridays of September 2020 -25pax x 2 days per week -Payment Mode: Monthly</t>
  </si>
  <si>
    <t xml:space="preserve"> Construction of Multi Purpose Building Barangay Baraka, Norzagaray, Bulacan</t>
  </si>
  <si>
    <t xml:space="preserve"> Live Animals (bangus fingerlings)</t>
  </si>
  <si>
    <t xml:space="preserve"> 1.	40 cu.m. – Siphoning of  Sludge for the Septic Tank of Commercial Center Operation</t>
  </si>
  <si>
    <t xml:space="preserve"> Request for Proposal  The Bureau of Fisheries and Aquatic Resources Regional Office No. 5 (BFAR RO 5), Fabrica, Bula, Camarines Sur is requesting from prospective suppliers to submit written proposal for the Labor and Materials for the Repair and Replacem</t>
  </si>
  <si>
    <t xml:space="preserve"> 2" angle bar ---91 pcs 1" ange bar---22 pcs 4'c purlins----26 pcs 10mm define bar---12 pcs 20 kls welding rod---20 kls 8' cen-----------------80 pcs tex screw----------10 kls red lead-----4 gallons thinner-----2  cans bala sa rebits-----1 kl gi plain-----</t>
  </si>
  <si>
    <t xml:space="preserve"> supply and delivery of office, other supplies and ICT equipment</t>
  </si>
  <si>
    <t xml:space="preserve"> Republic of the Philippines Province of Oriental Mindoro Municipality of Bulalacao INVITATION TO BID FOR  Procurement of Housing Materials for Families Affected by Typhoon Ursula 1.	The Municipality of Bulalacao, through the National Housing Authority int</t>
  </si>
  <si>
    <t xml:space="preserve"> 30	pc.	Arc File Long Yellow/Light Blue, Single 133	pc.	Ballpen Black 10	length	Binder,Corrugated,plastic 1 1/2" 10	length	Binder,Corrugated,plastic 1" 75	ream	Bond Paper Long sub. 20, 8.5x13 75	ream	Bond Paper, short,  sub. 20, 8.5x11 30	pc.	Filing Box (G</t>
  </si>
  <si>
    <t xml:space="preserve"> REQUEST FOR QUOTATION								 Quotation/Bid No.								 								 					                              Date:			 Company Name					                                 PR No.	 2020-08-72 		 					                                    Purpose:	 Supply and Delivery of </t>
  </si>
  <si>
    <t xml:space="preserve"> Please quote your best price 2 reams of Specialty Paper (Laid Paper) 8.5 x 11" (Paper Size) ABC: 2,000.00 20 reams of A3 Size Bond Paper (90g/m2) ABC: 16,000.00 200 pcs of 20x30 Tracing Paper (80/85 g/m2) ABC: 4,000.00 30 pcs of Tracing Paper Plastic Stor</t>
  </si>
  <si>
    <t xml:space="preserve"> Multivitamins plus minerals 100s Formulation: Vitamin A – 5000 IU Vitamin E – 100 IU Vitamin C – 500mg Zinc (sulfate) – 25mg</t>
  </si>
  <si>
    <t xml:space="preserve"> Republika ng Pilipinas										 National Irrigation Administration										 (Pambansang Pangasiwaan ng Patubig)										 REGION XI										 Irrigation Management Office- Davao de Oro										 										 										 										 										 										 			</t>
  </si>
  <si>
    <t xml:space="preserve"> Day 1 ------ 2 meals and 2 snacks for pax, RPs and TMTs ----- 25 Pax Day 2 to 4 ----- 3 meals and 2 snacks for pax, RPs and TMTs ----- 25 Pax Day 5 ----- 2 meals and 2 snacks for pax, RPs and TMTs ----- 25 Pax</t>
  </si>
  <si>
    <t xml:space="preserve"> NOTICE OF NEGOTIATED PROCUREMENT (Small Value Procurement) Project:	Purchase of IT Accessories 		(PR#2020-06-6136) 25	pc.	Wireless WIFI USB Adapter (300 mbps) 2	pc.	1080 P USB Web Cam with Microphone 1	set	Edifier M1 386 SD/USB/FM 2.1 BLK Location: 	Provi</t>
  </si>
  <si>
    <t xml:space="preserve"> Please see attached RFQ in Associated Component Section for Specifications</t>
  </si>
  <si>
    <t xml:space="preserve"> ITEM DESCRIPTIONS ARE IN ATTACHED FILE</t>
  </si>
  <si>
    <t xml:space="preserve"> REQUEST FOR QUOTATION								 Quotation/Bid No.								 								 					                              Date:			 Company Name					                                 PR No.	 2020-08-242 		 					                                    Purpose:	 Supply of 1-unit Lapto</t>
  </si>
  <si>
    <t xml:space="preserve"> Pest Control Services Attachments: Provision of Pest Control Services Copy of Omnibus Sworn Statement Form</t>
  </si>
  <si>
    <t xml:space="preserve"> REQUEST FOR QUOTATION (RFQ) 											Date: August 25, 2020 The Owner/Proprietor _________________________ Borongan City Sir: Please quote your price for the items specified below, taking into consideration the following &amp; fill-up the above portion “The </t>
  </si>
  <si>
    <t xml:space="preserve"> 50 bttl OGTT 75g 3 bttl triton 10 tray yellow top 15 tray lavander top 15 bx syringe 3cc 1 pck BT 1500 cuvette 2 pck yellow tips 1 pck blue tips 5 bx micropore tape 1" x 10" yards 1 bx cover slip (22x22) 15 bttl 70% alcohol 500ml 15 bttl disinfectant spra</t>
  </si>
  <si>
    <t xml:space="preserve"> Computer Desktop i5</t>
  </si>
  <si>
    <t xml:space="preserve"> Supply and Delivery of Janitorial Equipment        1	1	unit	Grass Cutter - Four Stroke        2	1	unit	Floor Polisher ( 6 inches diameter ) - heavy duty</t>
  </si>
  <si>
    <t xml:space="preserve"> 16 pcs Manila Paper &amp; 30 Other LI</t>
  </si>
  <si>
    <t xml:space="preserve"> 1. Blood Typing Sera (ABO): Anti A, 10ml, Anit-B, 10ml at least 3 years expiry from date of delivery  = 130 set @ 430.00 2. Blood Typing Sera (Rh): Anti D, 10ml atleast 3 years expiry from date of delivery = 155 bot @ 340.00</t>
  </si>
  <si>
    <t xml:space="preserve"> H5n AUDIO RECORDER                                   1 PC EW 112 G4 WIRELESS LAPEL MICROPHONE      1 SET</t>
  </si>
  <si>
    <t xml:space="preserve"> The Department of Education, Division of Butuan City, Through its Bids and Awards Committee, Requests for Quotation for Supply and Delivery of Configuration of Computer Set, System Unit and Power Adapters for Office Use</t>
  </si>
  <si>
    <t xml:space="preserve"> 1 lot Supply  of Tools, Materials and Technical Supervision for the Supply and Installation of the following: a) 3 TR Ceiling Mounted Aircon, Inverter Type  - Qty:  1 set b) 1.5 HP Wall Mounted Aircon, Inverter Type - Qty: 1 set - including mechanical ins</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</si>
  <si>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</si>
  <si>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lease quote your best price 5 pcs of Drum Kit for DocuPrint P115w (Fuji Xerox) ABC: 7,500.00 Please email your quotation Please download canvass form</t>
  </si>
  <si>
    <t xml:space="preserve"> QTY.	UNIT	DESCRIPTION 2	pc	Battery 2SM 1000	gram	Wheelweights 4	pc	Tire 265 50 R20</t>
  </si>
  <si>
    <t xml:space="preserve"> 30 pcs Carrying Channel and 27 others L/I</t>
  </si>
  <si>
    <t xml:space="preserve"> 1 BC Poly Sol 260 CS 260W Solar Panel	1	eu Blue Solar MPPT 75V-15A-12/24V	1	eu 200 Ah Lead Acid Solar Battery Deep Cycle	3	eu 1000W Single Phase Inverter	1	eu Distribution Box	1	eu TVSS 15A	1	eu DC Circuit Breaker	1	eu Duplex PV Cable UV Resistant 4sq mm	</t>
  </si>
  <si>
    <t xml:space="preserve"> Republic of the Philippines Province of Nueva Vizcaya BIDS AND AWARDS COMMITTEE (BAC-Goods) BAC OFFICE, Provincial Capitol, Bayombong, Nueva Vizcaya 2nd REQUEST FOR QUOTATION (RFQ) For the Procurement of Vehicle Parts  For the Governor’s Office – Provinci</t>
  </si>
  <si>
    <t xml:space="preserve"> Republic of the Philippines Province of Oriental Mindoro MUNICIPALITY OF SAN TEODORO INVITATION TO BID FOR THE PROCUREMENT OF CONSTRUCTION MATERIALS FOR THE  IMPROVEMENT OF TEN UNITS  CHILD DEVELOPMENT CENTERS   No. 2020-17 August 24, 2020 1.The Municipal</t>
  </si>
  <si>
    <t xml:space="preserve"> PROCUREMENT OF OFFICE SUPPLIES AND DEVICES - NAAWAN NATIONAL HIGH SCHOOL Contact Person: NANETTE TEDLOS, Principal II - 0917 148 9722 	 BOND PAPER, A4, 70 GSM 360 Ream Printer, single(Print only)`30 Unit PRINTER INK SET 30 Set PRINTER INK - BLACK 60 Bottl</t>
  </si>
  <si>
    <t xml:space="preserve"> ITEM DESCRIPTION ARE IN ATTACHED FILE</t>
  </si>
  <si>
    <t xml:space="preserve"> 3 UNITS PRINTER 5N1 50 BTLS BLACK INK 50 BTLS CYAN INK 2 UNITS LAPTOP i7 2 UNITS HARD DRIVE 1 TB 2 SETS MICROPHONE 5 SETS HEADSET WITH MIC 1 SET WEBCAM</t>
  </si>
  <si>
    <t xml:space="preserve"> The Bureau of Jail Management and Penology — National Headquarters (BJMP-NHQ), through its Bids and Awards Committee, intends to procure Supply and Delivery of 712 boxes of Ascorbic Acid  which will be undertaken in accordance with the 2016 Revised Implem</t>
  </si>
  <si>
    <t xml:space="preserve"> Toner, Ink and Master for Gestetner Machine</t>
  </si>
  <si>
    <t xml:space="preserve"> Quantity	Unit	Agency Specification 20	YARN	PLASTIC COVER 10	PCS	METAL FARRING 2	PCS	CUTTING DISC 100	PCS	BLIND RIVETS</t>
  </si>
  <si>
    <t xml:space="preserve"> 326 - Participants - Meals (AM/PM Snacks &amp; Lunch) 30 - Facilitator and Mgt. Team - Meals (AM/PM Snacks &amp; Lunch)</t>
  </si>
  <si>
    <t xml:space="preserve"> MG-A5M20-027..REHAB OF BOOMTRUCK ABC  : P1,500,000.00 PLACE OF DELIVERY  : AGUS 4 HEP WAREHOUSE BALO-I, LANAO DEL NORTE AMOUNT OF BID DOCUMENTS  : P 3,000.00</t>
  </si>
  <si>
    <t xml:space="preserve"> ESTIMATES Materials delivery</t>
  </si>
  <si>
    <t xml:space="preserve"> Procurement of 15 set Piston Ring &amp; 10 LI</t>
  </si>
  <si>
    <t xml:space="preserve"> Republic of the Philippines Department of Education National Capital Region Schools Division of Taguig City and Pateros District Cluster IX KAPT. EDDIE T. REYES INTEGRATED SCHOOL Phase 2, Brgy. Pinagsama, Taguig City, TELEFAX. NO.  (02) 5538436 __________</t>
  </si>
  <si>
    <t xml:space="preserve"> 2 x 4 x 12 Coco Lumber 2 x 4 x 10 Coco Lumber 2 x 2 x 12 Coco Lumber 2 x 2 x 10 Coco Lumber Loose Hinges CWN #3 CWN #4 Concrete Nail Roofing Nail Padlock (big) Chain</t>
  </si>
  <si>
    <t xml:space="preserve"> INVITATION TO BID FOR  SUPPLY AND DELIVERY OF SEEDLINGS, FERTILIZERS , INSECTICIDES AND GARDENING TOOLS TO THREE (3) RESETTLEMENT SITES 1.	The City Government of Trece Martires, through the TRUST  Fund intends to apply the sum of Seven hundred forty nine </t>
  </si>
  <si>
    <t xml:space="preserve"> Please see attached PO</t>
  </si>
  <si>
    <t xml:space="preserve"> PLS SEE ATTACHED FILE</t>
  </si>
  <si>
    <t xml:space="preserve"> ITEM NO.	Unit of issue	ITEM &amp;DESCRIPTION	Brand &amp; Model	QTY.	 1	Unit	Pure wood door with clear glass		2	 		placed at the center upper portion,			 		1/2 inch thick glass, 12 inches width			 		x 24 inches length, with wood door			 		jambs (narra wood)/ with </t>
  </si>
  <si>
    <t xml:space="preserve"> 1,000 Pcs. Ang Bag-ong Surigao Magazine, 3rd Quarter Edition, 28 pages, all colored, glossy PLEASE SEE ATTACHED RFQ. QUOTE YOUR PRICE AND SUBMIT TO THE BAC SECRETARIAT, PROVINCIAL GENERAL SERVICES OFFICE, MAIN CAPITOL BUILDING, CAPITOL SITE, SURIGAO CITY,</t>
  </si>
  <si>
    <t xml:space="preserve"> NOTICE OF NEGOTIATED PROCUREMENT (Small Value Procurement) Project:	Purchase of 176 pcs. Raincoats, (jacket w/ pants), rubberized 		(PR#2020-06-5651) Location: 	General Services Office 	        Lingayen, Pangasinan Approved Budget for 	 the Contract (ABC)</t>
  </si>
  <si>
    <t xml:space="preserve"> BREAKFAST 30 PAX 150 AM SNACK 90 PAX 100 LUNCH 90 PAX 250 PM SNACK 90 100 DINNER 30 PAX 250 ACCOMMODATION 30 PAX 650</t>
  </si>
  <si>
    <t xml:space="preserve"> Republic of the Philippines Province of South Cotabato BIDS AND AWARDS COMMITTEE Capitol Compound, Alunan Avenue, City of Koronadal Tel. No. (083) 228-9951/228-8570 INVITATION TO QUOTE SUPPLY AND DELIVERY OF ONE (1) UNIT REFRIGERATED VAN, BRAND NEW, 4 WHE</t>
  </si>
  <si>
    <t xml:space="preserve"> FLU VACCINE FOR ADULTS</t>
  </si>
  <si>
    <t xml:space="preserve"> 125	Piece	Autoclavable Biohazard Bag, ABC 100.00/pc 30	Box	Cotton Sterile Applicator 6", ABC 60.00/box 15	Box	Disposable Needle G.21,1/2" 100pcs/box w/active retractable needle, ABC 200.00/box 25	Piece	Irrigating Tube, ABC 1,760.00/pc 2	Piece	Megatip (for</t>
  </si>
  <si>
    <t xml:space="preserve"> City Government of Manila INVITATION TO BID  NO. 2020-09-125 Procurement of Various Vehicle Spare Parts 1.	The City Government of Manila, through the General Fund CY 2020 – Other Supplies and Materials Expenses intends to apply the sum of One Million Four</t>
  </si>
  <si>
    <t xml:space="preserve"> 1 unit Laptop Computer Set Minimum Specifications: - Processor: 8th Generation Intel Core i7-8750H - GPU Model: NVIDIA GeForce GTX 1050 Ti 4GB - RAM: 8GB DDR4 2666MHz - Drive: 256GB SSD M.2 - Display: 15.0 inches FHD 1920x 1080 pixels - OS: Windows 10 Pro</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</si>
  <si>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</si>
  <si>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Materials 87 cu.m Sand and Gravel</t>
  </si>
  <si>
    <t xml:space="preserve"> Invitation to Bid CONSTRUCTION OF 2 POST MOVABLE MATERIAL RECOVERY AND FACILITIES 1.	The Barangay Local Government Unit of Poblacion,Baleno,Masbate through the 20% EDF 2020 intends to apply the sum of One Hundred Fifty Thousand Pesos Only (₱150,000.00 ) b</t>
  </si>
  <si>
    <t xml:space="preserve"> 1.	The Local Government Unit of Balangiga, through the Annual Budget for 2020 intends to apply the sum of Four Million Pesos  (Php4,000,000.00) being the Approved Budget for the Contract (ABC) to payments under the contract for the Construction of Sanitar</t>
  </si>
  <si>
    <t xml:space="preserve"> PLEASE SEE ATTACHED APPROVED TERMS OF REFERENCE, DRAWING PLAN WITH SPECIFICATIONS</t>
  </si>
  <si>
    <t xml:space="preserve"> One (1) Ea, Wiper Blades and 5 Other line items.</t>
  </si>
  <si>
    <t xml:space="preserve"> The Municipal Government of Bayog, Zamboanga del Sur thru its Bids and Awards Committee (BAC) invites all interested bidders for the “SUPPLY AND DELIVERY OF INFORMATION TECHNOLOGY SUPPLIES AND EQUIPMENT” for various operations in the Municipal Government </t>
  </si>
  <si>
    <t xml:space="preserve"> The Department of Education, Division of Butuan City, Through its Bids and Awards Committee, Requests for Quotation for Supply, Delivery and Configuration of Computer and Office Equipment for DepEd Butuan City Division Office Use.</t>
  </si>
  <si>
    <t xml:space="preserve"> for Transmission Pipeline to DCM Concrete Ground Reservior</t>
  </si>
  <si>
    <t xml:space="preserve"> Drugs and Medicines</t>
  </si>
  <si>
    <t xml:space="preserve"> 8	Unit	Adult finger probe compatible to Palm care plus Pulse oximeter, ABC 15,000.00/unit 3	Unit	Newborn finger probe compatible to Palm care plus pulse oximeter, ABC 15,000.00/unit RFQ#08-0885</t>
  </si>
  <si>
    <t xml:space="preserve"> meals and snacks - 199,500.00</t>
  </si>
  <si>
    <t xml:space="preserve"> Republic of the Philippines Province of Davao Oriental Municipality of Boston Bids and Awards Committee Invitation to Bid  for the  Procurement of Office Supplies and Materials 1.	The Municipality of Boston, through Supplemental Budget No. 4 C.Y. 2020 (Ap</t>
  </si>
  <si>
    <t xml:space="preserve"> Republic of the Philippines 	Province of Eastern Samar	 City of Borongan -0- BIDS AND AWARDS COMMITTEE ------------------------------------------------------------------------------------------ Invitation to Bid for SUPPLY AND DELIVERY OF ONE (1) UNIT BRA</t>
  </si>
  <si>
    <t xml:space="preserve"> Republic of the Philippines National Kidney and Transplant Institute Bids and Awards Committee East Avenue, Quezon City 1100 981-0300 / 981-0400 local 1157 http://www.nkti.gov.ph/ 1.The NATIONAL KIDNEY AND TRANSPLANT INSTITUTE (NKTI) invites interested en</t>
  </si>
  <si>
    <t xml:space="preserve"> Hiring of Service Vehicle (VAN) for use in ferrying DA 8 Officials/Employees from the designated pick-up and drop off points to DA 8 Office and vice-versa following the hereunder schedules or itinerary of travels. No.	Scope of Work	Quantity	Unit_Cost	ABC </t>
  </si>
  <si>
    <t xml:space="preserve"> Additional Materials for Proposed Commercial Building (Habhaban) Phase 2 Bill of Materials: pls see attached POW Bid documents will be available on August 26-28, 2020 at a non refundable amount of P500.00 Deadline for the submission of bids will be August</t>
  </si>
  <si>
    <t xml:space="preserve"> REQUEST FOR QUOTATION											 SUPPLY AND DELIVERY OF HYDROPONICS SNAP A AND B SOLUTION SET											 SMALL VALUE											 											 INSTRUCTION:										              	 	1.	Supplies are required to read the instructions and fill all the blanks pr</t>
  </si>
  <si>
    <t xml:space="preserve"> Republic of the Philippines  PROVINCIAL GOVERNMENT OF EASTERN SAMAR Provincial Capitol, 6800 Borongan City  E-mail Address: esamar.bac@gmail.com REQUEST FOR QUOTATION RFQ No. 2020-08-395                                                                     </t>
  </si>
  <si>
    <t xml:space="preserve"> *Please see attached files for more details</t>
  </si>
  <si>
    <t xml:space="preserve"> 60 persons Vaccine and Pneumonia Vaccine                 x-x-x-x-x-x-x-x-x-x-x-x-x</t>
  </si>
  <si>
    <t xml:space="preserve"> Metropolitan Manila Development Authority																																																																			     BIDS AND AWARDS COMMITTEE																																																																			 																																																	</t>
  </si>
  <si>
    <t xml:space="preserve"> RFQ 2020-178 PROJECT		:	LBP BOLINAO BRANCH RENOVATION IMPLEMENTOR		: 	LBP RESOURCES AND DEVELOPMENT CORPORATION OWNER			:	LAND BANK OF THE PHILIPPINES	 REQUEST FOR QUOTATION FOR	:	SUPPLY AND DELIVERY OF ALUMINUM GENSET HOUSING DATE / TIME OF SUBMISSION		:</t>
  </si>
  <si>
    <t xml:space="preserve"> 1 SET DOUBLE DECK STEEL BED 1 PC STEEL DRAWER (4 LAYERS) 5 PCS FOAM 5 PCS PILLOW 5 PCS PILLOW CASE 3 PCS ELECTRIC FAN 1 PC INDUCTION BURNER 1 DOZ PLATE 1 DOZ CUP 1 DOZ GLASS 1 DOZ SPOON 1 DOZ FORK 1 PC FRYING PAN (MEDIUM) 1 PC KALDERO</t>
  </si>
  <si>
    <t xml:space="preserve"> See attached Purchase Order</t>
  </si>
  <si>
    <t xml:space="preserve"> Negotiated Procurement</t>
  </si>
  <si>
    <t xml:space="preserve"> Fifty (50) pk, Garbage Bag XXL 10/pk and 19 Other line items.</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</si>
  <si>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</si>
  <si>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COMMISSION ON ELECTIONS M a n i l a INVITATION TO SUBMIT PRICE QUOTATION For Supply and Delivery of Photographic or Filming/Recording or Audio/Video Equipment for use in the Video Production if Information Campaign Materials fo</t>
  </si>
  <si>
    <t xml:space="preserve"> Anti - Rabies Vaccine for Human  NOTE:To all suppliers bid documents and BAC Resolution 2020-029 are available at BAC Office and LGU website.</t>
  </si>
  <si>
    <t xml:space="preserve"> 1 ea Motor Controller (Mode: 51-84l400NNNS Voltage: 72-96V) &amp; 5 Other LI</t>
  </si>
  <si>
    <t xml:space="preserve"> 1062 meters Stranded Wire No. 12 23 lengths G.I. Pipe Sch. 40 #3x10’ 23 pieces AMGlobe Half Clear #10 23 pieces Junction Box 4”x4” 23 pieces LED Bulb 15 Watts Daylight 5 pieces Electrical Tape 19 bags Portland Cement 2 cubic meters Washed Sand 3 cubic met</t>
  </si>
  <si>
    <t xml:space="preserve"> REQUEST FOR EXPRESSION OF INTEREST (REI) CONSULTING SERVICES FOR AND IN CONDUCT OF STRUCTURAL, ARCHITECTURAL PLANS, DESIGNS AND SPECIFICATION FOR THE CONSTRUCTION OF MULTI-PURPOSE BUILDING (AUDITORIUM) AT BRGY. ANO, SAN CARLOS CITY, PANGASINAN 1.	The Depa</t>
  </si>
  <si>
    <t xml:space="preserve"> P.E. Pipe #1 1/2 SDR 9 x 60m				8.00	roll P.E. Pipe #1 SDR 9 x 100m				6.00	roll P.E. Pipe #3/4 SDR 9 x 150m				5.00	roll P.E. Pipe #1/2 SDR 9 x 150m				6	roll P.E. COUPLING #1 1/2				12	pc P.E. COUPLING #1				8	pc P.E. COUPLING #3/4				8	pc P.E. COUPLING</t>
  </si>
  <si>
    <t xml:space="preserve"> NOTICE OF NEGOTIATED PROCUREMENT (Small Value Procurement) Project:	Preventive Maintenance of Dialysis Machines 		(PR#2020-07-6240) 		4	kit	Preventive Maintenance Kits Lot#161129, Lot#180323 6	pc.	Carbon Brush (hard) Location: 	Pangasinan Provincial Hospi</t>
  </si>
  <si>
    <t xml:space="preserve"> 3 pcs. - CI Gate Valve 4"-mechanical 6 pcs. - Air Release Valve 3/4" (A.R.I.)</t>
  </si>
  <si>
    <t xml:space="preserve"> ***** SEEDS ***** Pechay Seeds (Black Behi) ----- 5 Kgs Eggplant (Ilokano Bilog), tin cans (100 grams) ----- 5 Can Upland Kangkong Seeds ----- 10 Kg Patola (Datu Hava), tin cans (250 grams) ----- 10 Cans Squash/ Kalabasa (250 grams/ tin can) ----- 10 Cans</t>
  </si>
  <si>
    <t xml:space="preserve"> 2	Unit	SPO2 Sensor cable compatible for welch allyn V600 patient monitor, ABC 23,500.00/unit 1	Piece	Neurologic Hammer, ABC 500.00/pc 1	Piece	Stretcher bed w/ siderails w/ IV pole w/ 0xygen Carrier, ABC 75,000.00/pc 2	Unit	Suction Machine AC/DC (Portable)</t>
  </si>
  <si>
    <t xml:space="preserve"> Name of the Procuring Entity 					Project Reference No.                              				 					      Name of the Project:  Provision of Foods For Family Day 				 									 				              Location of the Project :Looc,Romblon					 Standard Form Number: </t>
  </si>
  <si>
    <t xml:space="preserve"> Veterinary Supplies</t>
  </si>
  <si>
    <t xml:space="preserve"> Kindly refer to the attached RFQ and specifications/design</t>
  </si>
  <si>
    <t xml:space="preserve"> See attach RFQ.</t>
  </si>
  <si>
    <t xml:space="preserve"> Six hundred fifty (650) Ea, Distilled Water 500ml and 43 Other line items.</t>
  </si>
  <si>
    <t xml:space="preserve"> UNIT          QUANTITY           DESCRIPTION     REAM              250                  BOND PAPER, A4, 70GSM     BOT                   80                   INK, BLACK, T6641     BOT                   10                   INK, CYAN, T6642     BOT         </t>
  </si>
  <si>
    <t xml:space="preserve"> 1 unit Bill Counter, heavy duty           as per attached technical specifications x-x-x-x-x-x-xnothingfollowsx-x-x-x-x-x-x-x-x-x-x-x-x</t>
  </si>
  <si>
    <t xml:space="preserve"> Republic of the Philippines COMMISSION ON ELECTIONS Intramuros, M a n i l a REQUEST FOR QUOTATION      For Supply and Delivery of Descaler and Neutralizing Chemicals for use in the Annual General Cleaning of all Centralize Air-Conditioning Units servicing</t>
  </si>
  <si>
    <t xml:space="preserve"> BREAKFAST 20 PAX 150 AM SNACK 90 PAX 100 LUNCH 90 PAX 250 PM SNACK 90 PAX 100 DINNER 20 PAX 250 ACCOMMODATION 20 PAX 650</t>
  </si>
  <si>
    <t xml:space="preserve"> Please submit your quotation for the following items on or before 5:00PM on September 01, 2020. REPAIR OF GENERATOR SET, 110KVA, 220/440V ASSIGNED AT LAPU-LAPU STATION Scope of Works: 1. Overhaul and calibration of injection pump; 2. Calibration of fuel i</t>
  </si>
  <si>
    <t xml:space="preserve"> for Expansion/ Rehabilition of Mahayag Local Water System</t>
  </si>
  <si>
    <t xml:space="preserve"> 17 units. Printer L120</t>
  </si>
  <si>
    <t xml:space="preserve"> Procurement of Electrical Supplies</t>
  </si>
  <si>
    <t xml:space="preserve"> Invitation to Bid  SUPPLY AND DELIVERY OF MATERIALS AND LABOR FOR THE CONCRETING OF FARM TO MARKET ROAD AT PUROK DAMAYAN TO SINAGTALA 1, BRGY. KINAGUNAN IBABA 1.	The Barangay Government Unit of Kinagunan Ibaba, Padre Burgos, through the Barangay Developme</t>
  </si>
  <si>
    <t xml:space="preserve"> NOTICE OF NEGOTIATED PROCUREMENT (Small Value Procurement) Project:	Purchase of Construction Materials (for use in the Construction of GI Pipe Frame for Shading Net of Concrete Tanks at Lingayen Provincial Freshwater Fish Hatchery) 		(PR#2020-07-6216) 15	</t>
  </si>
  <si>
    <t xml:space="preserve"> 1 set Electric  Submersible Pump 7.5 Hp 3 Phase 230V 60Hz 3450 RPM 5.5kw 24.6amp Couple with Dynaflo pump model DP17-53" dia out 5 stages 37-79 Ltrs/min. max. head 450ft. 10.8 kls &amp; 1 Other LI</t>
  </si>
  <si>
    <t xml:space="preserve"> The Department of Education, Division of Butuan City, Through its Bids and Awards Committee, Requests for Quotation for Supply and Delivery and Configuration of Laptop for ICT Office.</t>
  </si>
  <si>
    <t xml:space="preserve"> ITEM I EXCAVATION ITEM II CONCRETE WORKS</t>
  </si>
  <si>
    <t xml:space="preserve"> Construction , Improvement, Rehab.</t>
  </si>
  <si>
    <t xml:space="preserve"> A. MATERIALS Item No.	Qty	     Unit	        Description  1	        7	     Pieces	        Plywood ¾ 2	        1	     Box	        Metal Screw 3	        1	     Liter	        Vulca Seal 4	        2	     Pieces	        Wooden Door 5	        2	     Pieces	     </t>
  </si>
  <si>
    <t xml:space="preserve"> City Government of Manila INVITATION TO BID NO. 2020-08-123 Procurement of Various I.T. Equipment 1.	The City Government of Manila, through the Capital Outlay -Information and Communication Technology Equipment CY 2020 intends to apply the sum of Five Mil</t>
  </si>
  <si>
    <t xml:space="preserve"> Rehabilitation of Multi-Purpose Building at Brgy. Kitubod, Libungan, Cotabato</t>
  </si>
  <si>
    <t xml:space="preserve"> 260 boxes Surgical mask, 3 layers, 175mm x 95mm, 50 pcs/ box 120 boxes Surgical gloves (Small-20 boxes, Medium-50 boxes, Large-20 boxes), 100pcs/ box 150 gal. Alcohol, ethyl, 70%, 3.7liters/ gal 50 bottles Disinfectant, 510g/ bottle 100 bottles Bleach, 10</t>
  </si>
  <si>
    <t xml:space="preserve"> Republic of the Philippines COMMISSION ON ELECTIONS Intramuros, M a n i l a REQUEST FOR QUOTATION      For Supply and Installation of One (1) set 2 HP Split Type Wall Mounted Air-Conditioning Unit (Non-Inverter) for use in the Office of Acting Director II</t>
  </si>
  <si>
    <t xml:space="preserve"> 34 Pax 1 Meal x 2 days (Batch 1 ) with flowing coffee Menu : Rice, Beef course, Pork course, Fish course, Chicken course, Fresh fruits, Vegetable course and Bottled drinks 34 Pax 1 Meal x 2 days (Batch 2 ) with flowing coffee Menu : Rice, Beef course, Por</t>
  </si>
  <si>
    <t xml:space="preserve"> 1.	The Local Government Unit of Balangiga, through the Annual Budget for 2020 intends to apply the sum of Three Million Pesos  (Php3,000,000.00) being the Approved Budget for the Contract (ABC) to payments under the contract for the Eco-Park Access Road C</t>
  </si>
  <si>
    <t xml:space="preserve"> 10	reams	Short Bond Paper		 10	reams	Bond Paper A4		 20	reams	Bond Paper Long		 10	bottle	Alcohol 500 ml		 10	pack	Bathroom Paper		 2	dozen	Binder Clip 1"		 24	pcs	Black Ball Pen		 12	pcs	Blue Ball Pen		 12	pcs	Red Ball Pen		 10	pcs	Bulldog Clip 4"		 2	pa</t>
  </si>
  <si>
    <t xml:space="preserve"> City Government of Manila INVITATION TO BID NO. 2020-09-124 Procurement of Various Plants and Painting Supplies 1.	The City Government of Manila, through the Other Supplies and Material Expenses intends to apply the sum of One Million Forty Two Thousand E</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</si>
  <si>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</si>
  <si>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Republic of the Philippines					 Province of Albay					 Municipality of Bacacay					 Tel.No.(052)558-32-43					 					 BIDS AND AWARDS COMMITTEE 					 				Date     :	August 24, 2020 				Quotation No.	10020080056 ____________________________					 __________</t>
  </si>
  <si>
    <t xml:space="preserve"> Office Supplies &amp; Janitorial Supplies</t>
  </si>
  <si>
    <t xml:space="preserve"> Cable Tie, #10				   1	PK LED Circular High Bay lamp, 420 x 28.5mm (22 watts)	16	PC Flexible Hose, 1"			   1	RL PVC Elbow, 3/4" (orange)		  20	PC PVC Elbow, 1 1/2" (orange)		   4	PC PVC Elbow, 2" (orange)		   4	PC PVC Pipe, 3/4" (orange)		  20	LGT PVC Pip</t>
  </si>
  <si>
    <t xml:space="preserve"> The PHILIPPINE SCIENCE HIGH SCHOOL SYSTEM - WESTERN VISAYAS CAMPUS (PSHS-WVC) intends to apply the sum of EIGHTY EIGHT THOUSAND EIGHT HUNDRED PESOS ONLY  (P88,800.00) being the Approved Budget for the Contract (ABC) to pay for the contract for the Project</t>
  </si>
  <si>
    <t xml:space="preserve"> Invitation to Bid for the Improvement of Barangay Water System The Municipality of San Francisco, Surigao del Norte, through the 20% Development Fund of CY 2020 intends to apply the sum of One Hundred Fifteen Thousand Four Hundred Sixty One Pesos &amp; 55/100</t>
  </si>
  <si>
    <t xml:space="preserve"> Please see attached Invitation to Bid (ITB) and Purchase Request (PR).</t>
  </si>
  <si>
    <t xml:space="preserve"> Medical/Dental &amp; Lab Supplies</t>
  </si>
  <si>
    <t xml:space="preserve"> assorted medical supplies - 59,450.00</t>
  </si>
  <si>
    <t xml:space="preserve"> SACRED HEART VILLAGE ES IS IN NEED OF BIDDER THAT WILL PRINT/ PHOTOCOPY  OF THE GIVEN MODULES FOR THE FIRST QUARTER. THE PRINTING SHOULD BE 0.65 CENTAVOS BACK TO BACK IN A4 SIZE 70 GSM BONDPAPER. THE BIDDER WILL DO THE SORTING OR STAPLING EACH MODULES. TH</t>
  </si>
  <si>
    <t xml:space="preserve"> 3 ea SSD 512GB Internal SSD &amp; 6 Other LI</t>
  </si>
  <si>
    <t xml:space="preserve"> 1. 401 rms. - Bond Paper subs. 20 A4</t>
  </si>
  <si>
    <t xml:space="preserve"> Republic of the Philippines Province of Eastern Samar City of Borongan -0- BIDS AND AWARDS COMMITTEE Invitation to Bid for SUPPLY &amp; DELIVERY OF DRUGS AND MEDICINES FOR LGU-BORONGAN CITY, EASTERN SAMAR (Re-Bid) 1.	The City Government of Borongan, through t</t>
  </si>
  <si>
    <t xml:space="preserve"> ***Please see attached</t>
  </si>
  <si>
    <t xml:space="preserve"> Republic of the Philippines COURT OF APPEALS Manila BIDS &amp; AWARDS COMMITTEE ON PURCHASE &amp; ACQUISITION OF COURT FACILITIES, EQUIPMENT &amp; SUPPLIES INVITATION TO BID  FOR THE  PROCUREMENT OF A COMPREHENSIVE HEALTH CARE PLAN  FOR THE COURT OF APPEALS FOR ONE (</t>
  </si>
  <si>
    <t xml:space="preserve"> I. Concrete &amp; Masonry Works			 1	bags	cement			400 2	m3	sand			30 3	m3	gravel			44 4	pcs	CHB 5"			600 5	pcs	10 mm Ø deformed bar			50 6	kls	# 16 GI tie wire			15 					 		II. Others			 7	lot	line markings &amp; curb painting			1  					 		III. Labor Cost</t>
  </si>
  <si>
    <t xml:space="preserve"> 426 reams. A4 Bondpaper</t>
  </si>
  <si>
    <t xml:space="preserve"> Humus (Soil Conditioner) ----- 90 Packs</t>
  </si>
  <si>
    <t xml:space="preserve"> Republic of the Philippines COMMISSION ON ELECTIONS Intramuros, M a n i l a REQUEST FOR QUOTATION      For Supply and Delivery of Various Furniture for use in the Different Offices of the Commission (BAC Reference No. SVP 2020-081-Furn) End-user: Procurem</t>
  </si>
  <si>
    <t xml:space="preserve"> Republic of the Philippines COMMISSION ON ELECTIONS Intramuros, M a n i l a REQUEST FOR QUOTATION      For Supply and Delivery of Various  Office Supplies for use of Procurement Management Department, Planning Department and Replenishment of 1st Quarter S</t>
  </si>
  <si>
    <t xml:space="preserve"> 1	2	unit	Executive Table 2	2	unit	Swivel Chair- Low back 3	5	units	Steel Cabinet, Lateral, 4 drawers 4	1	set	Sala set (sofa) 5	1	set	Office Table with chair 6	1	set	Conference Table (rectangular with 8 seaters)</t>
  </si>
  <si>
    <t xml:space="preserve"> 1 unit  25 KVA transformer including installation and parts 		           Panelco transformer testing certificate, testing and		           commissioning</t>
  </si>
  <si>
    <t xml:space="preserve"> 11 pcs Polo shirt 11 pcs T-shirt</t>
  </si>
  <si>
    <t xml:space="preserve"> MUNICPALITY OF TABOGON			Project Reference Number _____________ Supply and Delivery of Supplies &amp; Materials for Solar Lights at Mabuli, Tabogon, Cebu Standard Form Number SF-GOOD-05 Revised on July 28, 2004 INVITATION TO BID The BARANGAY OF MABULI, MUNICI</t>
  </si>
  <si>
    <t xml:space="preserve"> Location: PSU Goa campus Bidding Fee: P 3,500.00 (Non-refundable) Schedule of activities: 1. Issuance and availability of Bid Documents: August 25, 2020 until 12:00 noon of September 15, 2020  (except week-ends &amp; Holidays at the BAC Secretariat Office, PS</t>
  </si>
  <si>
    <t xml:space="preserve"> Note: Supplies should be quoted in one(1) lot (item 1-7) 1. Metal Furring            200 pcs 2. Carrying Channel      30 pcs 3. Wall Angle                50 pcs 4. W-clip                      190 pcs 5. Hardiflex                  50 pcs 6. Blind Rivets, 5</t>
  </si>
  <si>
    <t xml:space="preserve"> 2nd INVITATION TO BID The Local Government Unit of Rizal, Kalinga, through the Bids and Wards Committee, invites Suppliers to submit bids for the contract Contract ID No.: BW 2020-03 Contract Name: Fabrication of 2 Units Steel Tent Approved Budget for the</t>
  </si>
  <si>
    <t xml:space="preserve"> Educational Materials &amp; Supplies for the Reproduction of JHS Modules</t>
  </si>
  <si>
    <t xml:space="preserve"> 1 UNIT DIGITAL DUPLICATOR - RENT TO OWN</t>
  </si>
  <si>
    <t xml:space="preserve"> LAPTOP				13.00	units OPERATING System: Windows 10					 Processor Type: Core 13					 Base Frequency: 2.3 GHz					 Memory Capacity: 4 GB					 Memory Type: DDR4					 Max Supported Memory: 32 GB					 Drive Configuration: 200 GB SSD + 1 TB HDD					 Dedicated </t>
  </si>
  <si>
    <t xml:space="preserve"> PURPOSE: FOR MAINTENANCE USE OF ELECTRIC UNIT. (SEMI-ANNUAL FOR THE MONTH OF JULY-DEC., 2020) Fax your Price Quotation at Tel. Fax#: 426-30-45 / 927-64-26 local 2561 or Email at bacveterans@gmail.com. Please indicate the brand name and complete specificat</t>
  </si>
  <si>
    <t xml:space="preserve"> CONSTRUCTION MATERIALS FOR THE IMPROVEMENT OF EMERGENCY KITCHEN</t>
  </si>
  <si>
    <t xml:space="preserve"> Please see attached Request for Quotation</t>
  </si>
  <si>
    <t xml:space="preserve"> Shopping. . . .</t>
  </si>
  <si>
    <t xml:space="preserve"> QUANTITY	UNIT	ARTICLES				 57	Pairs	Rubber Shoes, BFP Standard				 		(See Attached File)				 		*****END*****</t>
  </si>
  <si>
    <t xml:space="preserve"> 2” x 2” x 1/4” Angle Bar 	81 pcs 1 – 1/2“ x 1- ½” x ¼” Angle Bar	20 pcs ¼” Checkered Steel Plate	11 pcs Metal screw w/ washer	180 pcs 9mm thk. Steel Plate	1 pc Welding rod	20 kls 16mm anchor bolt w/ heavy duty washer	28 pcs 16mm heavy duty drill bit (maso</t>
  </si>
  <si>
    <t xml:space="preserve"> CALUMPIT WATER DISTRICT      Serrano. St. Corazon, Calumpit, Bulacan      (044) 675-1453; 202-4235; 913-0079      Fax No. (044) 202-5125; 913-0080      (Name of the Procuring Entity)      Project Reference Number: ______________      Name of Project: ____</t>
  </si>
  <si>
    <t xml:space="preserve"> BARANGAY III, through the: DF Continuing Fund 2019 intends to apply the sum of SIX HUNDRED SIX THOUSAND FORTY-SIX PESOS &amp; 09/100 (₱606,046.09) being the approved Budget for the Contract (ABC)</t>
  </si>
  <si>
    <t xml:space="preserve"> "1 unit Executive table w/ grommet for wire management 3 drawer mobile pedestal, mobile side cabinet, w/ PVC leatherette writing pad Walnut finish, Dimension: W180xD90x H76cm. " *For use of PIMO</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</si>
  <si>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</si>
  <si>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R/M COMMO EQUIPMENT</t>
  </si>
  <si>
    <t xml:space="preserve"> Ball Joint Toyota Hilux Mahindra Wheel Cylinder Isuzu Forward Dump Truck Piston Ring &amp; Piston U set 4BE1 Isuzu Elf</t>
  </si>
  <si>
    <t xml:space="preserve"> Republic of the Philippines COMMISSION ON ELECTIONS M a n i l a REQUEST FOR PRICE QUOTATION For Supply and Delivery of Adobe Creative Cloud Individual Subscription (All Apps Software) to be used by Education and Information Department  (BAC Reference No. </t>
  </si>
  <si>
    <t xml:space="preserve"> Toasted Bread	100	pcs Biscuit 50’s	30	bxs Styro cup w/ stiring Stick 25’s	50	pcks Coffee Brown 50’s	30	bxs Sardines 100 x 155g	20	bxs Sandwich Spread 20’s	51	bxs Bottle Water 300ml x 24	100	bxs Soft Drinks in can 24’s	55	bxs Corned Beef 380g 30’s	25	bxs C</t>
  </si>
  <si>
    <t xml:space="preserve"> 30	pcs.	Ordinary Plywood, 1/4" x 4' x 8' 22	pcs.	Good Lumber, 2" x 3" x 10' 21	pcs.	Good Lumber, 2" x 4" x 12' 11	pcs.	Good Lumber, 2" x 6" x 10' 25	pcs.	Good Lumber, 2" x 2" x 10' 15	pcs.	Reflectorized Vest  30	pairs	Hand Gloves 11	rolls	Nylon Strings #7</t>
  </si>
  <si>
    <t xml:space="preserve"> 250 bdft Coco lumber 2x2x12 &amp; 31 Other LI</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</si>
  <si>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</si>
  <si>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Concreting of Local Road at Purok 6, Barangay Alawihao, Daet, Camarines Norte</t>
  </si>
  <si>
    <t xml:space="preserve"> Faceshield With eyeglasses frame 0” x 7.75”/25.4cm x 20 cm with curved bottoms Detachable Clear Shield ***nothing follows***</t>
  </si>
  <si>
    <t xml:space="preserve"> Procurement of Janitorial Supplies 		 		 The  National  Commission   for   Culture   and   the   Arts   (NCCA) invites prospective bidders to submit their quotations 		 for the following item/s listed below on or before  August 28, 2020  at  1:00 p.m.		 	</t>
  </si>
  <si>
    <t xml:space="preserve"> Approved Budget for Contract (ABC)   :PHP 181,100.00					 QTY	UNIT	ITEM/S DESCRIPTION		UNIT PRICE	TOTAL PRICE 80	length	Rebars		 80	bags	Cement			 10	kg	Tie wire		 600	pc	Concrete Hollow Block			 40	sheet	Galvanized steel matting (welded wire mesh)			 5	C</t>
  </si>
  <si>
    <t xml:space="preserve"> 1 lot Supply, Delivery and Installation of Exterior Signage for Pag-IBIG Fund Calbayog Branch         as per attached technical specifications x-x-x-x-x-x-x-xnothingfollowsx-x-x-x-x-x-x-x-x-x-x-x-x-x-x</t>
  </si>
  <si>
    <t xml:space="preserve"> NOTICE OF NEGOTIATED PROCUREMENT (Small Value Procurement) Project:	Purchase of Laptop and Document Scanner  		(PR#2020-06-5182) 1	set	Document Scanner 		Specifications: Speed: Up to 45ppm/90ipm Up to 600 dpi in scanning resolution Type: Desktop type Shee</t>
  </si>
  <si>
    <t xml:space="preserve"> 2 units of 1.5 HP Window-type Aircon</t>
  </si>
  <si>
    <t xml:space="preserve"> Improvement of Mini Park at Campo Subd., Brgy. Gulang-gulang, Lucena City</t>
  </si>
  <si>
    <t xml:space="preserve"> TERMS AND CONDITIONS: 1. All entries must be typewritten or legibly written. 2. Delivery period within 7 calendar days upon receipt of approved Purchase Order (P.O.) 3. Warranty shall be a minimum of 3 months for expendable supplies and 1 year for Non-exp</t>
  </si>
  <si>
    <t xml:space="preserve"> 50	reams	Long Bond Paper 40	reams	A4 Bond Paper 1	packs	Brown Long Folder, 100's 1	packs	Purple Long Folder, 100's 1	packs	Yellow Long Folder, 100's 2	packs	Blue Expandable Long Folder 2	boxes	Ordinary Ballpen 4	boxes	Sign Pen, .5 10	boxes	Fastener 10	box</t>
  </si>
  <si>
    <t xml:space="preserve"> Republic of the Philippines Province of South Cotabato Municipality of Banga Tel.&amp;Fax No. (083) 239-1652 CONTACT PERSON: ROBERT V. FRANILLA - BAC CHAIRMAN Invitation to Apply for Eligibility and to Bid The Municipality of Banga, South Cotabato through its</t>
  </si>
  <si>
    <t xml:space="preserve"> pls. download RFQ</t>
  </si>
  <si>
    <t xml:space="preserve"> Standard Form No. 60						 Revised on May 24, 2004						 REQUEST FOR QUOTATION						 Provincial Government of Romblon						 						 				Date:        August 25, 2020		 				Quotation No.:    906		 						 To Our Valued Suppliers:						 						 	Please quote yo</t>
  </si>
  <si>
    <t xml:space="preserve"> Planetery Gear Sheet Mitsubishi MS 070</t>
  </si>
  <si>
    <t xml:space="preserve"> PL connector HD repeater transmitter receiver antenna diamond x520 antenna diamond cp22 power supply DC regulator ZR 3203 HD</t>
  </si>
  <si>
    <t xml:space="preserve"> 40 kilo Rice (50 kilo/sack) Natural 175 kilo Molasses 11 Container (16 liters 6 jar Clay Pot (Big Jar)</t>
  </si>
  <si>
    <t xml:space="preserve"> Invitation to Bid for Family Planning Provision 1.	The Local Government Unit of Las Nieves, through the Budget for the Contract Approved by the Sanggunian intends to apply the sum of Forty Thousand Six Hundred (Php 40,600.00) for Lot 1, Two Thousand Four </t>
  </si>
  <si>
    <t xml:space="preserve"> PURPOSE: FOR MAINTENANCE USE OF PLUMBING UNIT. (SEMI –ANNUAL FOR THE MONTH OF JULY-DEC., 2020) Fax your Price Quotation at Tel. Fax#: 426-30-45 / 927-64-26 local 2561 or Email at bacveterans@gmail.com. Please indicate the brand name and complete specifica</t>
  </si>
  <si>
    <t xml:space="preserve"> assorted supplies - 73,905.00</t>
  </si>
  <si>
    <t xml:space="preserve"> Republic of the Philippines  Barangay 604, Zone 60, District VI, Manila Bids and Awards Committee INVITATION TO BID Barangay 604, Zone 60, District VI, Manila through its Bids and Awards Committee (BAC), Invites all Suppliers Contractors to bid the here u</t>
  </si>
  <si>
    <t xml:space="preserve"> 200 piece - Data folder, Blue, Width: 75mm Height: 230mm Length: 380mm</t>
  </si>
  <si>
    <t xml:space="preserve"> Republic of the Philippines														 Province of Occidental Mindoro														 Mamburao, Occidental Mindoro														 REQUEST FOR QUOTATION														 Date of Posting:	August 24, 2020					Ref. No.		RN 557-2020						 						PR No.		1021-2020-</t>
  </si>
  <si>
    <t xml:space="preserve"> Republic of the Philippines COURT OF APPEALS Manila BIDS &amp; AWARDS COMMITTEE ON PURCHASE &amp; ACQUISITION OF COURT FACILITIES, EQUIPMENT &amp; SUPPLIES INVITATION TO BID FOR THE  SUPPLY, DISMANTLING, INSTALLATION AND COMMISSIONING  OF NEW FUJI CONTACTOR, POWER SU</t>
  </si>
  <si>
    <t xml:space="preserve"> Construction of Evacuation Center Phase 7-Painting Interior and Installation of Tiles-Main bldg. &amp; Installation of Water Closet, Water Line Bibirao</t>
  </si>
  <si>
    <t xml:space="preserve"> Procurement of Medical Instrument</t>
  </si>
  <si>
    <t xml:space="preserve"> INVITATION TO BID											 											 The Barangay Tigpalay, Municipality of Tungawan, Province of Zamboanga Sibugay,  through its Bids and Awards Committee 											 Committee (BAC), invites suppliers/ manufacturers/ distributors / contractors to ap</t>
  </si>
  <si>
    <t xml:space="preserve"> Invitation to Bid for the supply &amp; delivery of Influenza Polyvalent Vaccine as requested by the City Health Office, Batangas City.</t>
  </si>
  <si>
    <t xml:space="preserve"> Republic of the Philippines									 Province of Misamis Oriental									 MUNICIPALITY OF VILLANUEVA									 REQUEST FOR QUOTATION									 Quotation No. 2020- ____________									 									 			Date						 									 									 									 Sir:									 	Pl</t>
  </si>
  <si>
    <t xml:space="preserve"> 1 piece Panel Board 10 Hose 1 piece Circuit Breaker 100 Amp 6 pieces Circuit Breaker 30 Amp 3 pieces Circuit Breaker 20 Amp 12 meters THHN Wire #8 4 boxes THHN Wire #12 2 pieces PVC Pipe #1 x 10 40 pieces PVC Pipe #1/2 x 10 1 piece Entrance Cap #1 1 piece</t>
  </si>
  <si>
    <t xml:space="preserve"> BARANGAY CABALANGEGAN, through the: DF Fund 2020 intends to apply the sum of NINETY NINE THOUSAND SIX HUNDRED SIXTY-ONE PESOS &amp; 16/100 (₱99,661.16) being the approved Budget for the Contract (ABC)</t>
  </si>
  <si>
    <t xml:space="preserve"> Republic of the Philippines PROVINCE OF SOUTHERN LEYTE Municipality of Hinunangan REQUEST FOR QUOTATION The Municipality of Hinunangan, through the Bids and Awards Committee will undertake a Small Value Procurement for the Supply and Delivery of Face Mask</t>
  </si>
  <si>
    <t xml:space="preserve"> Supply of materials for the partition in the Chief and Assistant Chief Office of Budget Division, 3rd Floor, Centennial Building. Requirements: 1.  Updated Philgeps Registration 2.  2020 Mayors Permit 3.  BIR Registration (Form 2303)</t>
  </si>
  <si>
    <t xml:space="preserve"> Processor : Intel i7 Mboard : ASUS MRAM : 8Gb / 4x4 HDD : 1 TB Seagate CORE : Mini Tower POWER SUPPLY: 700 watts MONITOR : LED / 32 in</t>
  </si>
  <si>
    <t xml:space="preserve"> Safety Breaker 200 Amps 2 Poles Copper Stranded Wire 30mm THHN Secondary Rock 2 poles Busher Type Double Throw 2 poles 250 AP Dyna Bolt 3/8 x 2</t>
  </si>
  <si>
    <t xml:space="preserve"> Construction of MRF with 3 compartment and floor area of 29.25 sq.m..</t>
  </si>
  <si>
    <t xml:space="preserve"> MATERIALS FOR THE REPAIR OF ROOF AND CANOPY</t>
  </si>
  <si>
    <t xml:space="preserve"> Day 1 Breakfast - 55 Meals AM Snacks - 55 snacks Lunch - 55 meals PM Snacks - 55 Snacks Dinner - 55 Meals Day 2 Breakfast - 55 Meals AM Snacks - 55 snacks Lunch - 55 Meals PM Snacks - 55 Snacks For new supplies who will participate in the alternative mode</t>
  </si>
  <si>
    <t xml:space="preserve"> ITEM	QTY.	UNIT		ARTICLE AND DESCRIPTION				CEILING 					UNIT PRICE		TOTAL  								PRICE							 				Office: Department of Tourism, Culture and Arts of Manila				PR No. 0094 &amp; 713							 				Charge to: Other Supplies and Materials Expenses				OBR No. 100-2</t>
  </si>
  <si>
    <t xml:space="preserve"> 240 sacks of Dog Food 22kgs per sacks 45 sacks Cat Food 20 kgs per sacks Enclosed in your sealed quotation the following documents: *Valid Mayor's/Business permit *PhilGEPS Registration Number *Income/Business Tax Return *Omnibus Sworn Statement</t>
  </si>
  <si>
    <t xml:space="preserve"> Procurement of Portable Sterilizer Lamp and UV-C Germicidal Cart • UV-C Portable Sterilizer Lamp    10 PCS • UV-C Germicidal Cart	2 PCS</t>
  </si>
  <si>
    <t xml:space="preserve"> Republic of the Philippines Province of Cotabato Municipality of Matalam BIDS AND AWARDS COMMITTEE INVITATION TO BID No. 20 s. 2020 CONCRETING OF PUROK 8-PUROK 6, KILADA ROAD 	 1.	The Local Government Unit (LGU) of Matalam, through the 20%  EDF AIP CY-202</t>
  </si>
  <si>
    <t xml:space="preserve"> 1 unit Digital Duplicator, Risograph EZ220, Speed 130 copies/min</t>
  </si>
  <si>
    <t xml:space="preserve"> IT Equipment</t>
  </si>
  <si>
    <t xml:space="preserve"> Procurement of Duplicator Machine and Photocopying Machine</t>
  </si>
  <si>
    <t xml:space="preserve"> 30pcs 20L Container Disinfectant</t>
  </si>
  <si>
    <t xml:space="preserve"> Republic of the Philippines          City of Dumaguete Bids and Awards Committee INVITATION TO BID FOR PURCHASE REQUEST OF 315 PCS GRANITE TILES 600MM X 600MM AND OTHER ITEMS 	The City of Dumaguete thru its BIDS AND AWARDS COMMITTEE (BAC), invites all int</t>
  </si>
  <si>
    <t xml:space="preserve"> Plastic Pallette (Heavy Duty)</t>
  </si>
  <si>
    <t xml:space="preserve"> Standard Form No. 60						 Revised on May 24, 2004						 REQUEST FOR QUOTATION						 Provincial Government of Romblon						 						 				Date:        August 25, 2020		 				Quotation No.:    282-S		 						 To Our Valued Suppliers:						 						 	Please quote </t>
  </si>
  <si>
    <t xml:space="preserve"> BARANGAY CABALANGEGAN, through the: DF Fund 2020 intends to apply the sum of ONE HUNDRED NINETY-NINE THOUSAND SEVEN HUNDRED THIRTY-FIVE PESOS &amp; 84/100 (₱199,735.84) being the approved Budget for the Contract (ABC)</t>
  </si>
  <si>
    <t xml:space="preserve"> AGGREGATES USE FOR THE MAINTENANCE OF NRJ (PROSPERIDAD) POBLACION-PATIN-AY CIRCUMFERENTIAL ROAD AT PROSPERIDAD, AGUSAN DEL SUR</t>
  </si>
  <si>
    <t xml:space="preserve"> Air-Conditioning Unit 	Includes installation of bracket Specifications: -	Split Type wall mounted -	3.0 HP -	Inverter -	Remote Controlled	1 Unit</t>
  </si>
  <si>
    <t xml:space="preserve"> Purchase of Drugs and Medicines</t>
  </si>
  <si>
    <t xml:space="preserve"> BAC RESOLUTION NO. 504-2020 “A RESOLUTION RECOMMENDING “NEGOTIATED - SMALL VALUE PROCUREMENT” FOR THE VARIOUS PURCHASE REQUESTS (PR’s) FROM VARIOUS OFFICES OF THE CITY OF CABADBARAN” 	 NO.	PR NO.	END-USER	PARTICULARS	AMOUNT 1	1497	BPLDiv	HOUSEKEEPING / JA</t>
  </si>
  <si>
    <t xml:space="preserve"> Educational Materials &amp; Supplies for the Reproduction of SHS Modules</t>
  </si>
  <si>
    <t xml:space="preserve"> To provide catering services for the conduct of  Special Technical Assistance for Development of 2021 Annual Operation Plan of South Cotabato Province on august 27-28, 2020.</t>
  </si>
  <si>
    <t xml:space="preserve"> Concreting of Local Road at Purok 2 Barangay Dogongan, Daet, Camarines Norte</t>
  </si>
  <si>
    <t xml:space="preserve"> VALENZUELA MEDICAL CENTER								 Padrigal St., Karuhatan, Valenzuela City								 Telephone No. 294-6711								 								 PURCHASE REQUEST								 								 Office		Central Supply room			PR. No.	20-08-818		Date: August 19, 2020 Division		Nursing Division	</t>
  </si>
  <si>
    <t xml:space="preserve"> PURCHASE OF CELLPHONE</t>
  </si>
  <si>
    <t xml:space="preserve"> Republic of the Philippines Province of Negros Occidental Municipality of  Manapla BIDS AND AWARDS COMMITTEE Invitation to Bid for the Purchase of Office Supplies for LSB New Modality of Learning The Municipality of Manapla, through  the SEF 2020/LSB   in</t>
  </si>
  <si>
    <t xml:space="preserve"> Please download and then print the attached Invitation to Bid (ITB) for more details and for your reference. To view this attachment, just click “ORDER” opposite the ASSOCIATED COMPONENTS. TOTAL APPROVED BUDGET FOR THE CONTRACT (ABC): ₱1,554,121.55</t>
  </si>
  <si>
    <t xml:space="preserve"> Grocery Items</t>
  </si>
  <si>
    <t xml:space="preserve"> PROCUREMENT OF A4 BOND PAPER FOR PRINTING OF MODULES - CABALANTIAN NATIONAL HIGH SCHOOL CABALANTIAN, MANTICAO, MIS OR 476	reams	PAPER, MULTICOPY, 80 gsm, A4 Contact Details: GINA R. SIMENE, PhD, School Principal 09097104310 DG MAY T. IBARRAT, Admin. Assis</t>
  </si>
  <si>
    <t xml:space="preserve"> PHC Technical Specifications Project : Brand New Ambulance (Type I)					        ABC=P2,500,000.00 										       Item 1  Name of Project -  1 unit Brand New Ambulance (Type 1I) I-  VEHICLE SPECIFICATIONS AND REQUIREMENTS 1. Vehicle Type : Four-wheel pas</t>
  </si>
  <si>
    <t xml:space="preserve"> Procurement of Electrical and Construction Supplies		 		 The  National  Commission   for   Culture   and   the   Arts   (NCCA) invites prospective bidders to submit their quotations 		 for the following item/s listed below on or before  August 28, 2020  a</t>
  </si>
  <si>
    <t xml:space="preserve"> INVITATION TO BID SUPPLY AND DELIVERY OF IT SUPPLIES AND ACCESSORIES FOR VARIOUS OFFICES – 2ND BIDDING 1.	The Local Government Unit of Cabadbaran City through the GENERAL FUND intends to apply the sum of ONE HUNDRED TWENTY THOUSAND TWO HUNDRED FORTY PESOS</t>
  </si>
  <si>
    <t xml:space="preserve"> Batch 1 of Benguet SO &amp; Regional Office 1. AM Snacks - 30 Snacks 2. Lunch - 30 Meals 3. PM Snacks - 30 Snacks Batch 2 of Benguet SO &amp; Regional Office 1. AM Snacks - 30 Snacks 2. Lunch - 30 Meals 3. PM Snacks - 30 Snacks Batch 3 of Benguet SO &amp; Regional Of</t>
  </si>
  <si>
    <t xml:space="preserve"> Republic of the Philippines Province of Cotabato Municipality of Matalam BIDS AND AWARDS COMMITTEE INVITATION TO BID No. 21 s. 2020 SUPPLY &amp; DELIVERY OF TIRE FOR VARIOUS MUNICIPAL  EQUIPMENT OF LGU 	 1.	The Local Government Unit (LGU) of Matalam, through </t>
  </si>
  <si>
    <t xml:space="preserve"> 1. 31 bags a. Fry Booster (10kg) 2. 40 bags b. Pre-Starter Feeds (20kg) 3. 35 bags c. Floating Starter Feeds (25kg) 4. 40 bags d. Floating Grower Feeds 5. 45 bags e. Tilapia Broodstock Pellets (25kg) 6. 5 bags f. 16-20 (50kg) 7. 5 bags g. Urea (50kg) 8. 5</t>
  </si>
  <si>
    <t xml:space="preserve"> For the use of the different departments of the City Government of Antipolo. 50 can insecticide, 600ml 50 can air freshener, 227ml 100 btls. cleaner, toilet bowl &amp; urinal, 500ml 210 can cleanser, scouring powder, 500g 980 pack detergent powder, 1kg/pack 1</t>
  </si>
  <si>
    <t xml:space="preserve"> Please see attached request for Quotation (RFQ).</t>
  </si>
  <si>
    <t xml:space="preserve"> 6 pcs. Office Table 5 pcs. Office Chair 1 pc. Executive Chair</t>
  </si>
  <si>
    <t xml:space="preserve"> Purchase of  Motor for Water Supply</t>
  </si>
  <si>
    <t xml:space="preserve"> Packing Hitachi Backhoe UH04 Ball Joint Shifter Yanmar Backhoe</t>
  </si>
  <si>
    <t xml:space="preserve"> PR NO. 1373 - 20  CITY GOVERNMENT OF TACURONG  Alunan Highway, Tacurong City Sultan Kudarat  BIDS AND AWARDS COMMITTEE  Tel nos. (064) 200 – 6682 / Telefax no. (064) 477 - 0138  www.tacurong.gov.ph  INVITATION TO BID  The City Government of Tacurong throu</t>
  </si>
  <si>
    <t xml:space="preserve"> Delivery and Reproduction of Learning Modules RFQ: 2020-08-039 ABC: 578,276.55 PhP PLEASE SUBMIT AT MIL-AN NATIONAL HIGH SCHOOL or EMAIL AT milannhsprocurement@gmail.com</t>
  </si>
  <si>
    <t xml:space="preserve"> Purchase of materials for const. of Solar Streetlights Phase I at Brgy. Mactang</t>
  </si>
  <si>
    <t xml:space="preserve"> CONFERENCE TABLE Specification: TWO (2) SETS CONFERENCE TABLE WITH SIX (6) OFFICE CHAIRS ----- (Php 78,400.00) **1800 mm x 900 mm black **OFFICE CHAIRS SIX (6) SEATERS with armrest adjustable gaslift mesh black back and fabric seat and chrome finish star </t>
  </si>
  <si>
    <t xml:space="preserve"> Please see attached associated components for the technical inspection &amp; download the complete bidding documents through the linkage below:</t>
  </si>
  <si>
    <t xml:space="preserve"> Standard Form No. 60						 Revised on May 24, 2004						 REQUEST FOR QUOTATION						 Provincial Government of Romblon						 						 				Date:        August 25, 2020		 				Quotation No.:    845		 						 To Our Valued Suppliers:						 						 	Please quote yo</t>
  </si>
  <si>
    <t xml:space="preserve"> 1 UNIT PHOTOCOPYING MACHINE KYOCERA TASKALFA 1800</t>
  </si>
  <si>
    <t xml:space="preserve"> PLS. DOWNLOAD RFQ</t>
  </si>
  <si>
    <t xml:space="preserve"> 1. The Department of Agrarian Reform-Kalinga through the Government of the Philippines General Appropriations Act, 2020 Current Fund for CRFPSP intends to apply the sum of:   PhP 3,610,000.00 for LOT 1, SUPPLY, DELIVERY AND INSTALLATION OF AGRICULTURAL MA</t>
  </si>
  <si>
    <t xml:space="preserve"> --------Qty.-----------Unit-------------ITEM/S DESCRIPTION -----------------------------------------Waterproofing and Painting Works --------20-------------tins-------------Roofshield Baguio Green --------12-------------tube------------Silicon Sealant ---</t>
  </si>
  <si>
    <t xml:space="preserve"> AGGREGATES</t>
  </si>
  <si>
    <t xml:space="preserve"> Republic of the Philippines									 Province of Negros Occidental									 MUNICIPALITY OF MOISES PADILLA									 									 					Project Reference Number:				 					Name of the Project:				 					Location of the Project:				 									  REQUEST FOR QUOTATI</t>
  </si>
  <si>
    <t xml:space="preserve"> To be bid are good for the materials for the use of zero waste Truck</t>
  </si>
  <si>
    <t xml:space="preserve"> Termite Pest Control service for the Metropolitan Theater		 		 The  National  Commission   for   Culture   and   the   Arts   (NCCA) invites prospective bidders to submit their quotations 		 for the following item/s listed below on or before  August 28, 2</t>
  </si>
  <si>
    <t xml:space="preserve"> 1 set Submersible Pump with motor (15HP), 3Phase with control box</t>
  </si>
  <si>
    <t xml:space="preserve"> Republic of the Philippines Department of Health Center for Health Development EASTERN VISAYAS REGIONAL MEDICAL CENTER Tacloban City REQUEST FOR QUOTATION RFQ No: 2020-08-SVP-0296 August 25, 2020 The EVRMC, Tacloban City, through the Bids &amp; Awards Committ</t>
  </si>
  <si>
    <t xml:space="preserve"> Please refer to the main document</t>
  </si>
  <si>
    <t xml:space="preserve"> PLEASE SEE REFER ATTACHMENT</t>
  </si>
  <si>
    <t xml:space="preserve"> ITEM NO. QUANTITY UNIT ITEM DESCRIPTION 1 1700 LTRS. DIESEL 2 150 LTRS. PREMIUM</t>
  </si>
  <si>
    <t xml:space="preserve"> 1 CEILING TYPE AIR CONDITIONING UNIT (3TR) 1 SPLIT TYPE 2 HP AIR CONDITIONING    *INSTALLATION   *DISMANTLING</t>
  </si>
  <si>
    <t xml:space="preserve"> NO. OF UNITS             SPECIFICATIONS                    UNIT PRICE              TOTAL PRICE INCLUSIVE OF VAT 12 CELLPHONES        -SCREEN:6.7 inch FHD +           25,000.00                       300,000.00                                  super amoled </t>
  </si>
  <si>
    <t xml:space="preserve"> Purchase of materials for const. of Solar Streetlights Phase I at Brgy. Camgsaan.</t>
  </si>
  <si>
    <t xml:space="preserve"> Starter Motor Hino 10 Wheeler DT F2OC Brake Booster Hino 10 Wheeler DT</t>
  </si>
  <si>
    <t xml:space="preserve"> I. Ceiling Works &amp; Dry Wall Partition			 1	pcs	fiber cement board			60 2	pcs	2 x 2 x 10' good lumber			40 3	box	CWN (assorted)			10 4	pcs	metal stud			40 5	box	blind rivet			4 6	lot	removal of existing ceiling			1 7	lot	removal &amp; repair of existing lavato</t>
  </si>
  <si>
    <t xml:space="preserve"> INVITATION TO BID FOR  PURCHASE OF FUEL, OIL AND LUBRICANTS 1.	The LGU-Almagro, through the Annual Budget CY 2020-General Fund  intends to apply the sum of Three Hundred Seventy Thousand Three Hundred Thirty Two Pesos and Fifty Centavos  (Php 370,332.50) </t>
  </si>
  <si>
    <t xml:space="preserve"> The NATIONAL FOOD AUTHORITY (NFA) Southern Tagalog Regional Office, through its Corporate Operating Budget for 2020, intends to apply the sum of SIXTY-SIX MILLION THIRTY-EIGHT THOUSAND FOUR HUNDRED PESOS (Php 66,038,400.00) inclusive of VAT from its Corpo</t>
  </si>
  <si>
    <t xml:space="preserve"> INVITATION TO BID FOR PROCUREMENT OF GROCERIES FOR THE CONSUMPTION OF SEVEN (7) CENTER AND INSTITUTIONS (RSCC, RHFG, TLC, HAVEN, RRCY, AMOR AND THFW) OF DSWD RO III FOR THE PERIOD OF 4TH QUARTER / OCTOBER-DECEMBER 2020   1.	The DEPARTMENT OF SOCIAL WELFAR</t>
  </si>
  <si>
    <t xml:space="preserve"> Convenience Outlet Flushed Type (2 gang) Utility Box Surfaced Type Utility Box (Poly) Plastic Plate Cover Electrical Tape (Big) Copper Stranded Wire #12/7 TW</t>
  </si>
  <si>
    <t xml:space="preserve"> Republic of the Philippines          City of Dumaguete Bids and Awards Committee INVITATION TO BID FOR PURCHASE REQUEST OF 2 KGS CW NAILS 4” AND OTHER ITEMS 	The City of Dumaguete thru its BIDS AND AWARDS COMMITTEE (BAC), invites all interested manufactur</t>
  </si>
  <si>
    <t xml:space="preserve"> Republic of the Philippines Province of Leyte Municipality of Inopacan Barangay Maljo INVITATION TO BID FOR  THE SUPPLY OF MATERIALS FOR CONSTRUCTION OF BOX CULVERT 1.	The Barangay Maljo, Inopacan, Leyte, through the 20% Continuing Appropriation intends t</t>
  </si>
  <si>
    <t xml:space="preserve"> 1. The Mindanao State University - Tawi-Tawi College of Technology and Oceanography (MSU-TCTO), through the GAA 2020 MOOE, intends to apply the sum of Sixty-Nine Thousand Eight Hundred Ninety Pesos Only  ( 69,890.00)Approved budget Contract to payments un</t>
  </si>
  <si>
    <t xml:space="preserve"> EQUIPMENT RENTAL OF ROAD AND REPAIR &amp; MAINTENANCE UNDER THE FOLLOWING AREAS: - NRJ (ESPERANZA_DUANGAN-VALENTINA-MAHAPAG SAN LUIS ROAD - NRJ (TALACOGON) ZAMORA-CULI-POBLACION SAN LUIS ROAD - NRJ (TALACOGON) DEL MONTE- SAN ISIDRO ROAD - NRJ (ESPERANZA) CROS</t>
  </si>
  <si>
    <t xml:space="preserve"> ENHANCING PRODUCTIVITY AND RESILIENCY OF  CORN AND CASSAVA PRODUCTION AND AIRING OF  DIGITAL KNOWLEDGE PRODUCTS RATIONALE:  The Department of Agriculture (DA) is refocusing its programs and policies for the country's agriculture and fishery sector to surv</t>
  </si>
  <si>
    <t xml:space="preserve"> Republic of the Philippines Bangsamoro Autonomous Region in Muslim Mindanao MINISTRY OF PUBLIC WORKS Cotabato City 9600 _________________________________________________________________________________________________________ INVITATION TO   BID (ITB NO. </t>
  </si>
  <si>
    <t xml:space="preserve"> REQUEST FOR QUOTATION	 RFQ No. 2020-0376 The CITY GOVERNMENT OF CABANATUAN through its Bid and Awards Committee (BAC) will undertake Small Value Procurement for SUPPLY AND DELIVERY OF I.T. EQUIPMENT (SCANNER) in accordance with Section 53.9 of the Revised</t>
  </si>
  <si>
    <t xml:space="preserve"> Meals and Snacks for 75 pax x 3 days 2 snacks (AM/PM) and 1 lunch Packed with utensils 2 viand, 1 appetizer 1 drink (non-soft drinks) see attached PR</t>
  </si>
  <si>
    <t xml:space="preserve"> Republic of the Philippines Province of Cotabato Municipality of Matalam BIDS AND AWARDS COMMITTEE INVITATION TO BID No. 22 s. 2020 SUPPLY &amp; DELIVERY OF MATERIALS FOR THE CONSTRUCTION OF BOX CULVERT @ CALURA, MINAMAING 	 1.	The Local Government Unit (LGU)</t>
  </si>
  <si>
    <t xml:space="preserve"> BAC RESOLUTION NO. 499-2020 “A RESOLUTION DECLARING FAILURE OF BIDDING AND RECOMMEND FOR ALTERNATIVE MODE OF PROCUREMENT” WHEREAS, the Bids and Awards Committee (BAC) thru the Secretariat published in PhilGEPS and in any conspicuous places the purchase of</t>
  </si>
  <si>
    <t xml:space="preserve"> AM Snacks Lunch PM Snacks Hygiene Kits (1 face mask, 1 350ml Alcohol Spray and 3 hand soaps) Round Neck T-Shirts with Print</t>
  </si>
  <si>
    <t xml:space="preserve"> Standard Form No. 60						 Revised on May 24, 2004						 REQUEST FOR QUOTATION						 Provincial Government of Romblon						 						 				Date:        August 25, 2020		 				Quotation No.:    916		 						 To Our Valued Suppliers:						 						 	Please quote yo</t>
  </si>
  <si>
    <t xml:space="preserve"> Please download and then print the attached Invitation to Bid (ITB) for more details and for your reference. To view this attachment, just click “ORDER” opposite the ASSOCIATED COMPONENTS. TOTAL APPROVED BUDGET FOR THE CONTRACT (ABC): ₱9,172,049.00</t>
  </si>
  <si>
    <t xml:space="preserve"> Standard Form No. 60						 Revised on May 24, 2004						 REQUEST FOR QUOTATION						 Provincial Government of Romblon						 						 				Date:        August 25, 2020		 				Quotation No.:    873		 						 To Our Valued Suppliers:						 						 	Please quote yo</t>
  </si>
  <si>
    <t xml:space="preserve"> LGU, BATUAN, BOHOL																 REQUEST FOR QUOTATION																 																 ________________________																 ________________________																 ________________________																 Please quote your lowest price on the item</t>
  </si>
  <si>
    <t xml:space="preserve"> Van Rental(Abra Satellite Office) - 1 Unit Van Rental(ALPIP Sub-Office) 1- Unit Van Rental(Ifugao Satellite Office) - 1 Unit Van Rental(Mt. Province Satellite Office) - Unit For new supplies who will participate in the alternative modes of procurement, pl</t>
  </si>
  <si>
    <t xml:space="preserve"> For reproduction of educational materials for students of SY 2020-2021</t>
  </si>
  <si>
    <t xml:space="preserve"> Republic of Philippines										 City of Canlaon										 OFFICE OF THE BIDS AND AWARDS COMMITTEE										 REQUEST FOR SEALED QUOTATION										 										 										 				Date:	8/24/2020					 				Quotation No.:	2020-08-0215					 				PR No.:	2020-08-21</t>
  </si>
  <si>
    <t xml:space="preserve"> TO BE BID ARE GOOD FOR THE USE OF MANPOWER DEVELOPMENT CENTER (MDC)</t>
  </si>
  <si>
    <t xml:space="preserve"> Republic of the Philippines Danao City BIDS AND AWARDS COMMITTEE 		 REQUEST FOR QUOTATION The Local Government of Danao City, through the City Admin./Waterworks Division intends to apply the sum of Php75,000.00 being the Approved Budget for the Contract (</t>
  </si>
  <si>
    <t xml:space="preserve"> Republic of the Philippines Department of Health Center for Health Development EASTERN VISAYAS REGIONAL MEDICAL CENTER Tacloban City REQUEST FOR QUOTATION RFQ No: 2020-08-SVP-0300 August 25, 2020 The EVRMC, Tacloban City, through the Bids &amp; Awards Committ</t>
  </si>
  <si>
    <t xml:space="preserve"> RESOLUTION ON PRIOR APPROVAL NO. 08-124                   Series of 2020 		 RESOLUTION RECOMMENDING THE USE OF ALTERNATIVE METHOD OF PROCUREMENT FOR  THE ACQUISITION OF GOODS AND SERVICES   WHEREAS, the Office of the City Assessor submitted a Purchase Req</t>
  </si>
  <si>
    <t xml:space="preserve"> NOTICE OF NEGOTIATED PROCUREMENT (Small Value Procurement) Project:	Purchase of Two (2) units Container Van (Closed Van) (6.00m x 2.00m) w/ Electrical Materials (2 units windows and 1 unit Steel doors) 		(PR#2020-03-2180) Location: 	Provincial Governor’s </t>
  </si>
  <si>
    <t xml:space="preserve"> Purchase of materials for const. of Multi-Purpose Hall at Brgy. San Isidro.</t>
  </si>
  <si>
    <t xml:space="preserve"> see attached RFQ W/PICTURES</t>
  </si>
  <si>
    <t xml:space="preserve"> UNIT                           QUANTITY                                     DESCRIPTION Ream                             350                                           A4 Bond paper 80 gsm Set                                 19                             </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</si>
  <si>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</si>
  <si>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I. Concrete &amp; Maonry Works			 1	bags	cement			165 2	m3	sand			15 3	m3	gravel			20 4	pcs	CHB 5"			400 5	pcs	10 mm Ø deformed bar			30 6	kls	# 16 GI tie wire			10 					 		II. Others			 7	lot	line markings &amp; curb painting			1  					 		III. Labor Cost</t>
  </si>
  <si>
    <t xml:space="preserve"> Sponge Surgical White Gauze Absrobent Sterile 4’x8” 12 Ply 28x24 Mesh, Radiopaque, 10’s (for OR use)----------------------------------------------------1500 qty --------------P144.00/pack Gauze Bolt, White Non-Sterile 20-12 Mesh 36” Wide Unfolder, 18” fol</t>
  </si>
  <si>
    <t xml:space="preserve"> TERMS AND CONDITIONS:  1. All entries must be typewritten or legibly written.  2. Delivery period within 15 calendar days upon receipt of approved Purchase Order (P.O.)  3. Warranty shall be a minimum of 3 months for expendable supplies and 1 year for Non</t>
  </si>
  <si>
    <t xml:space="preserve"> see attached documents at associated components for details.</t>
  </si>
  <si>
    <t xml:space="preserve"> OFFICE SUPPLIES PURHASED</t>
  </si>
  <si>
    <t xml:space="preserve"> "      (Pursuant to Sec. 54.2 of the Revised Implementing Rules and Regulation of R.A. 9184)  Alternative Mode of Procurement of SUPPLY &amp; DELIVERIES OF VARIOUS CONSTRUCTION SUPPLIES FOR INSTALLATION OF LED STREET LIGHST SOLAR POWERED AND INSTALLATION OF J</t>
  </si>
  <si>
    <t xml:space="preserve"> 2nd INVITATION TO BID The Local Government Unit of Rizal, Kalinga, through the Bids and Wards Committee, invites Suppliers to submit bids for the contract Contract ID No.: BW 2020-01 Contract Name: Construction of Drainage Canal Approved Budget for the Co</t>
  </si>
  <si>
    <t xml:space="preserve"> Supply and Delivery of Construction Materials</t>
  </si>
  <si>
    <t xml:space="preserve"> HREE (3) UNITS EXECUTIVE TABLE (GLASS) Dimension: **A-16 (1.6m) - L 160cm x D 80cm x H 76cm **A-16 (1.8m) - L 180cm x D 80cm x H 76 cm Color: Black</t>
  </si>
  <si>
    <t xml:space="preserve"> Purchased of Cellphone</t>
  </si>
  <si>
    <t xml:space="preserve"> The NATIONAL FOOD AUTHORITY (NFA) Southern Tagalog Regional Office, through its Corporate Operating Budget for 2020, intends to apply the sum of TEN MILLION PESOS (Php 10,000,000.00) inclusive of VAT from its Corporate Operating Budget as Approved Budget </t>
  </si>
  <si>
    <t xml:space="preserve"> Diesel,  premium Prospective Bidders must have completed a contract similar to the project with the amount of at least 50% of the ABC. Bidding will be conducted through open competitive bidding procedures using a non-discretionary “pass/fail” criterion as</t>
  </si>
  <si>
    <t xml:space="preserve"> Purchase of materials for const. of Drainage Canal at Brgy. Catioan.</t>
  </si>
  <si>
    <t xml:space="preserve"> EQUIPMENT RENTAL OF ROAD REPAIR AND MAINTENANCE MDER THE FOLLOWING AREAS: - NRJ (PROSPERIDAD) SAN JOSE-LUCENA CIRCUMFERENTIAL ROAD - NRJ (PROSPERIDAD) AZPETIA MABUHAY SAN LOZENZO LOS ARCOS CIRCUMFERENTIAL ROAD - NRJ (PROSPERIDAD) PATIN-AY CIRCUMFERENTIAL </t>
  </si>
  <si>
    <t xml:space="preserve"> see attached RFQ</t>
  </si>
  <si>
    <t xml:space="preserve"> Construction of Isolation Unit Ligtas COVID-19 Phase 2, Pinyassan Kiosk, Barangay 3, Daet, Camarines Norte</t>
  </si>
  <si>
    <t xml:space="preserve"> Supply &amp; Delivery of water dispenser 05D Sower H48-2020  Kindly see attached file. Thank you!</t>
  </si>
  <si>
    <t xml:space="preserve"> 1 Lot Purchase and Delivery of Construction Supply of DepEd</t>
  </si>
  <si>
    <t xml:space="preserve"> Supply and delivery of various office equipment Item No.	Quantity	Unit	Item and Description 			 1	3	unit	Refrigerator, single door, 6 cu.ft., semi-automatic  defrost, smart inverter compressor, low voltage startability, 164L storage volume, 220V, 60watts </t>
  </si>
  <si>
    <t xml:space="preserve"> INVITATION TO BID FOR  PROCUREMENT OF MEDICINES 1.	The LGU-Almagro, through the LGU Annual Budget CY 2020-General Fund intends to apply the sum of FIVE HUNDRED THOUSAND PESOS ONLY (Php 500,000.00) being the Approved Budget for the Contract (ABC) to paymen</t>
  </si>
  <si>
    <t xml:space="preserve"> Republic of the Philippines Province of Cotabato Municipality of Matalam BIDS AND AWARDS COMMITTEE INVITATION TO BID No. 23 s. 2020 SUPPLY &amp; DELIVERY OF MATERIALS FOR THE CONSTRUCTION OF BOX CULVERT @ RADOS 	 1.	The Local Government Unit (LGU) of Matalam,</t>
  </si>
  <si>
    <t xml:space="preserve"> Standard Form No. 60						 Revised on May 24, 2004						 REQUEST FOR QUOTATION						 Provincial Government of Romblon						 						 				Date:        August 25, 2020		 				Quotation No.:    695		 						 To Our Valued Suppliers:						 						 	Please quote yo</t>
  </si>
  <si>
    <t xml:space="preserve"> PART B OTHER GENERAL REQUIREMENTS B.5 PROJECT BILLBOARD/SIGNBOARD 1 LOT PART A EARTHWORK 803(1)A EXCAVATION(COLUMN FTG., WALL FTG.) 71.22 CU.M 804(1)B EMBANKMENT 3 CU.M PART B PLAIN AND REINFORCED CONCRETE WORKS 900(1)A2 STRUCTURAL CONCRETE (FOOTINGS-COLU</t>
  </si>
  <si>
    <t xml:space="preserve"> TO BE BID ARE GOOD FOR THE POLICE OPERATIONS</t>
  </si>
  <si>
    <t xml:space="preserve"> Purchase of materials for const. of Barangay Road at Brgy. Del Pilar.</t>
  </si>
  <si>
    <t xml:space="preserve"> Purchase of Computer and Printer for OSCA Office</t>
  </si>
  <si>
    <t xml:space="preserve"> HREE (3) UNITS PLAT FORM SCALE **Heavy Duty Platform Scale **300 kg capacity **Large backlit LED display for easy reading **Weighing units: kg, g, lb **application mode: weighing, parts counting, accumulation</t>
  </si>
  <si>
    <t xml:space="preserve"> BREAKFAST 20 PAX 150 AM SNACK 90 PAX 100 LUNCH 90 PAX 250 PM SNACK 90 100 DINNER 20 PAC 250 ACCOMMODATION 20 650</t>
  </si>
  <si>
    <t xml:space="preserve"> NOTICE OF NEGOTIATED PROCUREMENT (Small Value Procurement) Project:	Purchase of 5,000 pcs. Updating Work for Printing of Pangasinan Tourism Brochure 		(PR#2020-06-5639) Location: 	Provincial Tourism &amp; Cultural Affairs Office 	        Lingayen, Pangasinan </t>
  </si>
  <si>
    <t xml:space="preserve"> Republic of the Philippines Province of Davao del Sur MUNICIPALITY OF STA.CRUZ INVITATION TO BID  PROCUREMENT OF IGM/IGG ANTIBODY TO SARS-COVID-2 DIAGNOSTIC KITS FOR COVID-19 RESPONSE - 1ST POSTING (ITB No. 30-Goods-2020) 1.	The Local Government Unit of S</t>
  </si>
  <si>
    <t xml:space="preserve"> 2nd INVITATION TO BID The Local Government Unit of Rizal, Kalinga, through the Bids and Wards Committee, invites Suppliers to submit bids for the contract Contract ID No.: BW 2020-02 Contract Name: Rehabilitation of Drainage Canal Approved Budget for the </t>
  </si>
  <si>
    <t xml:space="preserve"> SEE ATTACHED FILE</t>
  </si>
  <si>
    <t xml:space="preserve"> 10 stubs Citation Ticket Printing</t>
  </si>
  <si>
    <t xml:space="preserve"> Purchase of materials for const. of Barangay Road at Brgy. Itok.</t>
  </si>
  <si>
    <t xml:space="preserve"> Republic of the Philippines BATANGAS STATE UNIVERSITY Batangas City REQUEST FOR QUOTATION "Procurement of ICT Equipment and Other supplies for Accounting Department"  1. The Batangas State University (BatState U) through the Bids and Awards Committee invi</t>
  </si>
  <si>
    <t xml:space="preserve"> SIX (6) PIECES SOPHOS RED15 ------------------6 x 24,600.00= Php 147,600.00 Maximum throughput: 90 Mbps LAN Interfaces: 4 x 10/100/1000 Base-TX WAN Interfaces: 1 x 10/100/1000 Base-TX USB Interfaces: 1 x USB 2.0 Serial console: 1 x RJ45 console LED displa</t>
  </si>
  <si>
    <t xml:space="preserve"> REQUEST FOR QUOTATION														 														 RFQ No.		SVP 20-0761				Date				7/2/2020				 PR Reference		300-20-06-050				Implementing Office				Sta. Bayabas				 Closing Date and Time					July 10, 2020 @ 5:00 P.M.									 Designated Places of Submis</t>
  </si>
  <si>
    <t xml:space="preserve"> REQUEST FOR QUOTATION										 										 RFQ No.		SVP 20-0499			Date				21-Apr-20	 PR Reference		100-20-02-022			Implementing Office				CEO	 Closing Date and Time					28-Apr-20					 Designated Places of Submission (Bid Box Designated Locations)					1. B</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</si>
  <si>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</si>
  <si>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SERVER, SR530  - 3 UNITS Xeon Silver 4114 10C, 2.2GHz, 4x8GB (1Rx8 1.2V) RDIMM, Think System 3 x 2.5” 1.2TB 10K SAS 12GB Hot Swap 512nnHDD, Think System 2 x 550W, 230V/115V, Platinum Hot-Swap Power Supply, 1 x Toolless Slide Rail, Think System External US</t>
  </si>
  <si>
    <t xml:space="preserve"> Supply and delivery of 10,000 liters of diesel</t>
  </si>
  <si>
    <t xml:space="preserve"> 1 set Amplifier w/ Speaker and Complete Accessories</t>
  </si>
  <si>
    <t xml:space="preserve"> Ink cart, Epson T6641, Black	30 cart Ink cart, Epson T6642, Cyan	10 cart Ink cart, Epson T6643, Magenta	10 cart Ink cart, Epson T6644, Yellow	10 cart Ink cart, Epson (003-L3150), Black	20 cart Ink cart, Epson (003-L3150), Cyan	10 cart Ink cart, Epson (003</t>
  </si>
  <si>
    <t xml:space="preserve"> Please download attached Request for Quotation SPECIFICATIONS: "1. Type: Cabinet type 2. Capacity: 300 eggs, minimum 3. Hatching Efficiency: 98%, minimum 4. Provided with temperature gauge and controller " WARRANTY "I. Supplier must conduct training on th</t>
  </si>
  <si>
    <t xml:space="preserve"> Republic of the Philippines Province of Batanes	 MUNICIPALITY OF BASCO               INVITATION FOR NEGOTIATED PROCUREMENT  Small Value Procurement Project Reference No. :100-3-03-5% GAD Name of Project	      : Operation and Maintenance of Women and Child</t>
  </si>
  <si>
    <t xml:space="preserve"> 1 Unt Olympic Bench Press Set w/ Plates set. (Impulse Olympic Bench Press with Pivot Rubber Olympic Plates Set  2.5,5,10,25,35,45 lbs. Dimension: 1438x1264x1468mm. Weight:61kg)</t>
  </si>
  <si>
    <t xml:space="preserve"> REQUEST FOR QUOTATION													 													 RFQ No.		SVP 20-0761.1				Date				7/2/2020			 PR Reference		300-20-06-050				Implementing Office				Sta. Bayabas			 Closing Date and Time					July 10, 2020 @ 5:00 P.M.								 Designated Places of Submissio</t>
  </si>
  <si>
    <t xml:space="preserve"> INVITATION TO BID FOR  PROCUREMENT OF IMPROVISED FIRE FIGHTING VEHICLE AND FIRE FIGHTING EQUIPMENT 1.	The LGU-Almagro, through the Annual Budget  CY 2020 (DRRM 70%)  intends to apply the sum of Three Hundred Thousand Pesos Only (Php 300,000.00) being the </t>
  </si>
  <si>
    <t xml:space="preserve"> Purchase of One (1) Unit Multicab Pick-up with canopy QUANTITY	UNIT	ARTICLES &amp; DESCRIPTION 1	Unit	Multicab Pick-Up with Canopy 		Specification: 		12 Valve 		3 Cylinder 		Gasoline Engine 		With Paint &amp; Tinted 		Free Registration &amp; Insurance 		Mug Wheel, Ri</t>
  </si>
  <si>
    <t xml:space="preserve"> Republic of the Philippines PROVINCE OF ZAMBOANGA SIBUGAY Municipality of Buug Barangay Poblacion  BIDS AND AWARDS COMMITTEE Invitation to Bid for Construction Materials for Construction of Covered Pathway 1.	The Barangay Poblacion of Buug, through the Su</t>
  </si>
  <si>
    <t xml:space="preserve"> Republic of the Philippines Department of Health Center for Health Development EASTERN VISAYAS REGIONAL MEDICAL CENTER Tacloban City REQUEST FOR QUOTATION RFQ No: 2020-08-SVP-0297 August 25, 2020 The EVRMC, Tacloban City, through the Bids &amp; Awards Committ</t>
  </si>
  <si>
    <t xml:space="preserve"> INTENDED FOR AYALA HIGH SCHOOL ARIEL L. BANAL 9553425064 SUBJECT		NO.OF PAGES		NO. OF COPIES ENGLISH 7		15		170 ENGLISH 8		12		205 ENGLISH 9		13		203 ENGLISH 10		15		176 MATH 7		12		170 MATH 8		32		205 MATH 9		9		203 MATH 10		12		176 FILIPINO 7		24		170 F</t>
  </si>
  <si>
    <t xml:space="preserve"> The Barangay Santor of Baggao, Cagayan through the Barangay Bids and Awards Committee (BBAC) intends to enter into Negotiated Procurement (due to two-failed public biddings) to a qualified bidder for the procurement of Goods, to wit: GOODS	ABC Lot1-Purcha</t>
  </si>
  <si>
    <t xml:space="preserve"> Bolo Sundang Sarol Lagaraw Padlock Medium Pala</t>
  </si>
  <si>
    <t xml:space="preserve"> NOTICE OF NEGOTIATED PROCUREMENT (Small Value Procurement) Project:	Fog to Zero Disinfection of Government Service Trucks &amp; Service Vehicles (9 units Government Service Trucks and 8 units Service Vehicles) 		(PR#2020-06-5399) Location: 	General Services O</t>
  </si>
  <si>
    <t xml:space="preserve"> Republic of the Philippines																																			 DEPARTMENT OF PUBLIC WORKS AND HIGHWAYS																																			 REGIONAL OFFICE IX																																			 Ipil, Zamboanga Sibugay																																			 Name</t>
  </si>
  <si>
    <t xml:space="preserve"> Materials only : 163 bags Cement 21 cu.m. Sand salandra 40 cu.m. Boulders</t>
  </si>
  <si>
    <t xml:space="preserve"> Siniloan, Laguna RHU Laboratory Reagent</t>
  </si>
  <si>
    <t xml:space="preserve"> BREAKFAST 30 PAX 150 AM SNACK 30 PAX 100 LUNCH 90 PAX 250 PM SNACK 90 PAX 1000 DINNER 30 PAX 250 ACCOMMODATION 30 PAX 650</t>
  </si>
  <si>
    <t xml:space="preserve"> ITEM NO. UNIT ITEM DESCRIPTION 1 1 UNIT SMART TABLET CPU - MEDIA TEK HELIO A22 TAB DISPLAY - 8.0 INCH 1280*800 IPS WLAN - 802 11 A/B/G/N/AC+BT5.0 OS - ANDROID 9 BATTERY - 5100MAH/19.7WH(TYP) 5000MAH/19.3WH (MIN)</t>
  </si>
  <si>
    <t xml:space="preserve"> Republic of the Philippines Province of Cagayan Municipality of Aparri BARANGAY BACKILING -oOo- BIDS AND AWARDS COMMITTEE 								                           August 24, 2020 	 INVITATION TO APPLY FOR ELIGIBILITY AND TO BID The Barangay of BACKILING, Munici</t>
  </si>
  <si>
    <t xml:space="preserve"> Please download and then print the attached Invitation to Bid (ITB) for more details and for your reference. To view this attachment, just click “ORDER” opposite the ASSOCIATED COMPONENTS. TOTAL APPROVED BUDGET FOR THE CONTRACT (ABC): ₱3,210,510.00</t>
  </si>
  <si>
    <t xml:space="preserve"> Interested suppliers are invited to submit their closed quotation (lump sum bid) on the following items:  AIR FRESHENER, 	30	bot ALCOHOL, Gallon	20	gal BATTERY, AA size	30	pcs BATTERY, AAA size	30	pcs BLEACH, Liquid, 500ml	50	bot BROOM, (walis tambo)	30	p</t>
  </si>
  <si>
    <t xml:space="preserve"> INVITATION TO BID FOR THE PROCUREMENT OF VARIOUS MEDICINES FOR ALAMINOS CITY CONSTITUENTS FOR THE CORONA VIRUS DISEASE (COVID-19) PANDEMIC, CITY OF ALAMINOS, PANGASINAN 1.	The CITY GOVERNMENT OF ALAMINOS, PANGASINAN through its SPA – Bayanihan Grant for C</t>
  </si>
  <si>
    <t xml:space="preserve"> Particular                                                         Quantity                                  Unit             1. Desktop Computer (Core i5 8gig 1T                     1                                         Unit 2. 3  in one printer     </t>
  </si>
  <si>
    <t xml:space="preserve"> Republic of the Philippines Danao City BIDS AND AWARDS COMMITTEE 		 REQUEST FOR QUOTATION The Local Government of Danao City, through the City Social Welfare and Development Office intends to apply the sum of Php119,340.00 being the Approved Budget for th</t>
  </si>
  <si>
    <t xml:space="preserve"> Description The Isabela State University Ilagan Campus invites registered contractor/ suppliers/ bidders to submit bid proposals /price quotation of the items listed in the attached RFQ/RFP. Submit your proposals/ quotation duly signed by you or your duly</t>
  </si>
  <si>
    <t xml:space="preserve"> Standard Form No. 60						 Revised on May 24, 2004						 REQUEST FOR QUOTATION						 Provincial Government of Romblon						 						 				Date:        August 25, 2020		 				Quotation No.:    844		 						 To Our Valued Suppliers:						 						 	Please quote yo</t>
  </si>
  <si>
    <t xml:space="preserve"> Modular Panel Workstation with Mobile Pedestal and Chairs</t>
  </si>
  <si>
    <t xml:space="preserve"> For BAC-20-0128	 Battery, 3SM, Maintenance Free	1 Unit For BAC-20-0130	 Tire, 190xR14	4 Unit Tire, 205/65xR15	5 Unit</t>
  </si>
  <si>
    <t xml:space="preserve"> Please download and then print the attached Invitation to Bid (ITB) for more details and for your reference. To view this attachment, just click “ORDER” opposite the ASSOCIATED COMPONENTS. TOTAL APPROVED BUDGET FOR THE CONTRACT (ABC): ₱7,914,000.00</t>
  </si>
  <si>
    <t xml:space="preserve"> Please see attached Request for Quotation form in the “Associated Components” link. You may download the Request for Quotation form or you may get it at DPWH-X, Procurement Unit, 2nd Floor New Administration Building, Engineers’ Hill, Bulua, Cagayan de Or</t>
  </si>
  <si>
    <t xml:space="preserve"> 1,405 ltrs. Diesel Fuel</t>
  </si>
  <si>
    <t xml:space="preserve"> CEMENT CORRUGATED ROUND BAR, 7mm (APS) WELDING, GLOVES ROD, Welding / E 6013</t>
  </si>
  <si>
    <t xml:space="preserve"> FOR THE SUPPLY AND DELIVERY OF VARIOUS FARM MACHINERY OF DARPO-ILOCOS NORTE PUBLIC BIDDING NO. 2020-08-01 FUNDING SOURCE: Government of the Philippines (GOP) through 2020 Approved Budget of the Agrarian Reform Beneficiaries Development &amp; Sustainable Progr</t>
  </si>
  <si>
    <t xml:space="preserve"> Office supplies and other related supplies to be used in Alternative Learning System program  &amp; Different Elementary  Schools</t>
  </si>
  <si>
    <t xml:space="preserve"> Purchase of materials for const. of Barangay Road at Brgy. Lukbanan.</t>
  </si>
  <si>
    <t xml:space="preserve"> 1	set	i7 Computer Set with Printer for PCR Section 1	set	i7 Computer Set with Printer for Ucper Section 1	set	Digital Photocopier</t>
  </si>
  <si>
    <t xml:space="preserve"> Please download attached Request for Quotation SPECIFICATIONS: "1. Input Capacity: 3-5 chicken per minute  2. Capacity: 14 kg, minimum  3. Cleaning Rate: 96%, minimum  4. Rotary Speed: 1400 revolution per minute (rpm)  5. Power: 0.75 kW, minimum, 220V, Si</t>
  </si>
  <si>
    <t xml:space="preserve"> The Department of Agriculture-RFO 3, invites interested suppliers to submit quotations/proposals for the hereunder requirement, to wit: 	1	unit	2 OHP WALL MOUNTED SPLIT TYPE INVERTER 	 			WITH COMPLETE ACCESSORIES	 				 Interested Suppliers may download a</t>
  </si>
  <si>
    <t xml:space="preserve"> Please download and then print the attached Invitation to Bid (ITB) for more details and for your reference. To view this attachment, just click “ORDER” opposite the ASSOCIATED COMPONENTS. TOTAL APPROVED BUDGET FOR THE CONTRACT (ABC): ₱560,045.00</t>
  </si>
  <si>
    <t xml:space="preserve"> Purchase of Submersible Pump with Complete Accessories QUANTITY	UNIT	ARTICLES &amp; DESCRIPTION 1	Unit	Submersible Pump 1	Unit	Submersible Motor 2HP 1PH 230 V 2450 RPM, 60 Hz, 4” 1	Unit	Control Box 2HP 4	Pcs	Nuts 1	Assy	Pump Controller System Combination Magn</t>
  </si>
  <si>
    <t xml:space="preserve"> "      (Pursuant to Sec. 54.2 of the Revised Implementing Rules and Regulation of R.A. 9184)  Alternative Mode of Procurement of SUPPLY &amp; DELIVERY OF MEALS &amp; SNACKS FOR THE SCHEDULED MEETINGS, HEARINGS AND DIALOGUES OF SB MEMBERS AT SANGGUNIANG BAYAN SESS</t>
  </si>
  <si>
    <t xml:space="preserve"> Procurement of Four (4) ea Power Supply 750w and Eight (8) other line items</t>
  </si>
  <si>
    <t xml:space="preserve"> Republic of the Philippines DEPARTMENT OF PUBLIC WORKS AND HIGHWAYS QUIRINO DISTRICT ENGINEERING OFFICE REGIONAL OFFICE II Cabarroguis, Quirino Procuring Entity	:	DPWH - QDEO	P.R. No.	:	2020-07-113 &amp; 2020-07-123 Revised on	:		Date	:	7/22/2020 &amp; 7/29/2020 </t>
  </si>
  <si>
    <t xml:space="preserve"> INVITATION TO BID FOR  PROCUREMENT OF ACQUISITION OF RESCUE MOTORBOAT  1.	The LGU-Almagro, through the Annual Budget  CY 2020 (Continuing Appropriation)  intends to apply the sum of Nine Hundred Thousand Pesos Only (Php 900,000.00) being the Approved Budg</t>
  </si>
  <si>
    <t xml:space="preserve"> 2nd INVITATION TO BID The Local Government Unit of Rizal, Kalinga, through the Bids and Wards Committee, invites Suppliers to submit bids for the contract Contract ID No.: BB 2020-01 Contract Name: Improvement of Multipurpose Hall Approved Budget for the </t>
  </si>
  <si>
    <t xml:space="preserve"> INVITATION TO BID SUPPLY AND DELIVERY OF ONE (1) UNIT COMBINE HARVESTER AND ONE (1) UNIT FARM TRACTOR 1.	The Local Government Unit of Cabadbaran City through the GENERAL FUND intends to apply the sum of FOUR MILLION PESOS ONLY (P 4,000,000.00) being the A</t>
  </si>
  <si>
    <t xml:space="preserve"> Polydioxanone II 0-CTY, Heavy Rnd Needle 24’s or its Equivalent (for OR use)-------------------------------------------16 qty -------------P10,830.00/box Polydioxanone II 1-CTY, Heavy Rnd Needle 24’s or its Equivalent (for OR use)-------------------------</t>
  </si>
  <si>
    <t xml:space="preserve"> INVITATION TO QUOTE CONSTRUCTION OF WAREHOUSE IN SUPPORT TO CONSOLIDATION, TRADING AND MARKETING OF WHOLE COCONUT ENTERPRISE OF SARANGANI VEGETABLES SEED GROWERS MULTI-PURPOSE COOPERATIVE) (SAVESEGROW-MPC) Project Reference No. PRDP-IR-R012-SAR-004-000-00</t>
  </si>
  <si>
    <t xml:space="preserve"> Stone Masonry</t>
  </si>
  <si>
    <t xml:space="preserve"> Republic of the Phillipines					 DEPARTMENT OF PUBLIC WORKS AND HIGHWAYS					 ZAMBOANGA DEL SUR					 1st District Engineering Office					 REGION IX					 Pagadian City					 					 				          NOTICE No.: 20-14	 				                DATE: August 24,  2020	 </t>
  </si>
  <si>
    <t xml:space="preserve"> Procurement of Spare Parts</t>
  </si>
  <si>
    <t xml:space="preserve"> Request For Quotation								Date:	 								Quotation No.:	 Company Name:									 Address:									 T.I.N.:									 Dear Sir/Ma'am:									           Please quote your lowest price on the item/s listed below, subject to the General Conditions on the la</t>
  </si>
  <si>
    <t xml:space="preserve"> Procurement ID/Contract ID:	19LG0122 Contract Name:		Construction/Repair/Rehabilitation/Improvement of Multi-purpose Building in Mati City Contract Location:	Mati City, Davao Oriental Brief Description:	Construction/Repair/Rehabilitation/Improvement of Mu</t>
  </si>
  <si>
    <t xml:space="preserve"> Portland Cement Type I Sand (Approved Source) 3/4"Ø Gravel (Approved Source) 12mmØ x 6.00m Def. Bars No. 16 Tie Wire 16mmØ x 6.00m Def. Bars 10mmØ x 6.00m Def. Bars 1/4" x 1 1/2" x 1 1/2" Angle Bar 3/16" x 1" x 1" Angle Bar Welding Rod E-6013 Red Oxide Pr</t>
  </si>
  <si>
    <t xml:space="preserve"> A. Materials			 PULANG YUTA FISHERFOLKS ASSOCIATION, SAN FRANCISCO, TALIBON, BOHOL			 30 heads Piglets	 			 BERHIN SA KALOOY FISHERMEN, BUSALIAN, TALIBON, BOHOL			 30 heads Piglets	 			  SAN VICENTE FISHERMEN ASSOCIATION, SUBA, TALIBON, BOHOL			 21 heads </t>
  </si>
  <si>
    <t xml:space="preserve"> Invitation to Bid for CIRCUMCISION 1.	The Local Government Unit of Las Nieves, through the Budget for the Contract Approved by the Sanggunian intends to apply the sum of Seventy Thousand Eight Hundred Thirty Seven Thousand and Fifty Centavo Only(Php 70,83</t>
  </si>
  <si>
    <t xml:space="preserve"> 1. 3 Cases-	Sliding Counter Window ¾ x 3 Tubular 12” x 68” 2. 1 Case- 	Sliding Counter Window ¾ x 3 Tubular  12” x 59” 3. 2 Cases-	Sliding Counter Window with fixed Glass ¾ x 3  4. 2 Cases - 	Fixed Glass With Aluminum Frame 48” x 96” 5.1 Case-	Fixed Glass</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</si>
  <si>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</si>
  <si>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1 unit Laptop Specifications: - Processor: i7-8565U - CPU: Core i7 - RAM: 6Gb- 8Gb - Windows 10 NOTE: PLEASE ATTACHED LEGAL DOCUMENTS AND UPDATED PHILGEPS CERTIFICATE FAILURE TO SUBMIT YOUR BID DOCUMENTS WILL NOT BE CONSIDERED FOR THE OPENING BY THE BAC. </t>
  </si>
  <si>
    <t xml:space="preserve"> Suture Blue Monofilament Polypropylene, Double Armed w/ 17mm, Fine Needle Size 4/0 (for OR use)-------------------------------32 qty -----------------P5,600.00/dozen Suture Blue Monofilament Polypropylene, Double Armed w/ 13mm, Fine Needle Size 5/0 (for O</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</si>
  <si>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</si>
  <si>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ITEM NO. QUANTITY UNIT ITEM DESCRIPTION 1 250 LITERS DIESEL</t>
  </si>
  <si>
    <t xml:space="preserve"> Republic of the Philippines MUNICIPALITY OF ECHAGUE Province of Isabela INVITATION TO BID FOR  THE  PURCHASE  OF OFFICE SUPPLIES  1.	The Local Government Unit , through  the  SEF  Of  2020  intends to apply the sum of  ONE MILLION FIVE HUNDRED THOUSAND  P</t>
  </si>
  <si>
    <t xml:space="preserve"> *Please see attached Request for Quotation for details and specifications</t>
  </si>
  <si>
    <t xml:space="preserve"> 750 ltrs. Diesel Fuel, 2 bots., SAE 20, SAE 40, SAE 30, 2 bots., DOT-3</t>
  </si>
  <si>
    <t xml:space="preserve"> Meals (Breakfast/Lunch/Dinner)		270	pax</t>
  </si>
  <si>
    <t xml:space="preserve"> 4 UNITS LIFE JACKET</t>
  </si>
  <si>
    <t xml:space="preserve"> Purchase of materials for const. of Barangay Road at Brgy. Binawangan.</t>
  </si>
  <si>
    <t xml:space="preserve"> Please download attached Request for Quotation</t>
  </si>
  <si>
    <t xml:space="preserve"> 1 lot Supply, Delivery and Installation of Roller Shades/Blinds for Calbayog Branch         Sizes:         2 sets 118 x 32 inches         5 sets 39 x 79 inches         2 sets 79 x 24 inches         1 set 236 x 79 inches x-x-x-x-x-xnothingfollowsx-x-x-x-x-</t>
  </si>
  <si>
    <t xml:space="preserve"> PURCHASE OF SPAREPARTS</t>
  </si>
  <si>
    <t xml:space="preserve"> Purchase and Delivery On-Site of Farm Tools and Equipment under Climate Resilient Farm Productivity Support (CRFPS) Project for CY 2020 for 5 ARBOs to wit: 9 Units - Grass Cutter 18 Units - Knapsack Sprayer Place of Delivery: 1. Sto. Tomas, Passi City 2. </t>
  </si>
  <si>
    <t xml:space="preserve"> NOTICE OF NEGOTIATED PROCUREMENT (Small Value Procurement) Project:	Purchase of Spare Parts for Copier Machine  		(PR#2020-06-5538) 1	pc.	Fusing Unit 363 1	pc.	Drum Unit DR411 1	pc.	Developing Unit 1	pc.	DV411 Location: 	General Services Office 	        L</t>
  </si>
  <si>
    <t xml:space="preserve"> Relocation of Poles</t>
  </si>
  <si>
    <t xml:space="preserve"> Three (3) pail, Paint, QDE, Gray and 23 Other Line Items.</t>
  </si>
  <si>
    <t xml:space="preserve"> RESOLUTION ON PRIOR APPROVAL NO. 08-124                   Series of 2020 		 RESOLUTION RECOMMENDING THE USE OF ALTERNATIVE METHOD OF PROCUREMENT FOR  THE ACQUISITION OF GOODS AND SERVICES   WHEREAS, the Quezon City Tourism Department submitted a Purchase </t>
  </si>
  <si>
    <t xml:space="preserve"> OFFICE OF THE BIDS AND AWARDS COMMITTEE (BAC)                                                                                                   Notice No    : 2020-363                                                                                        </t>
  </si>
  <si>
    <t xml:space="preserve"> Services provide the following: 1. A complete inspection and written report covering all the above buildings, structures and surrounding and surrounding external areas. 2. Place of four (4) In-ground Exterra Stations around our property. 3. Placement of f</t>
  </si>
  <si>
    <t xml:space="preserve"> Standard Form Number: SFGOOD60 Revised on: May 24, 2004 Standard Form Title: Request for Quotation Date: August 24, 2020  Quotation No. 20-07-0441 PR No. 20-08-928 __________________________ Company Name _________________________________ Address         P</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</si>
  <si>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</si>
  <si>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Republic of the Philippines Province of Cagayan Municipality of Sta. Praxedes BIDS AND AWARDS COMMITTEE	 Invitation to Bid Supply and Delivery of Office Furniture ITB – Goods – 2020 -08-046 1.	The Local Government Unit of Sta. Praxedes, Cagayan through it</t>
  </si>
  <si>
    <t xml:space="preserve"> Purchase of materials for const. of Barangay Road at Brgy. Calabaca.</t>
  </si>
  <si>
    <t xml:space="preserve"> Meals (Breakfast/Lunch/Dinner)		242	pax</t>
  </si>
  <si>
    <t xml:space="preserve"> Please download and then print the attached Invitation to Bid (ITB) for more details and for your reference. To view this attachment, just click “ORDER” opposite the ASSOCIATED COMPONENTS. TOTAL APPROVED BUDGET FOR THE CONTRACT (ABC): ₱1,000,000.00</t>
  </si>
  <si>
    <t xml:space="preserve"> 1. Processor = 1 pc @ 12,500.00 2. Motherboard = 1 pc @ 9,500.00 3. Memory/RAM = 1 pc @ 7,000.00 4. Graphics Card = 1 pc @ 11,500.00 5. Storage Drive/Internal Hard Drive = 1 pc @ 4,000.00 6. Keyboard = 1 pc @ 500.00 7. PC Casing = 1 pc @ 3,500.00 8. Power</t>
  </si>
  <si>
    <t xml:space="preserve"> 1 BOX    PANDA BALLPEN 5 REAM  HARDCOPY SHORT 5 REAM  HARDCOPY LONG 5 REAM  HARDCOPY A4 40 BUNDLE DTR 10 PCS   EXPENDED ENVELOPE 10 PCS   MY GEL 2 SETS   664 EPSON INK</t>
  </si>
  <si>
    <t xml:space="preserve"> Completion of PWD Office</t>
  </si>
  <si>
    <t xml:space="preserve"> Printing of Modules for Week 2     85,590 copies Printing of Modules for Week 3   122,805 copies</t>
  </si>
  <si>
    <t xml:space="preserve"> Republic of the Philippines DEPARTMENT OF PUBLIC WORKS AND HIGHWAYS QUIRINO DISTRICT ENGINEERING OFFICE REGIONAL OFFICE II Cabarroguis, Quirino Procuring Entity	:	DPWH - QDEO	P.R. No.	:	2020-08-128 Revised on	:		Date	:	8/04/2020 Standard Form/Title	:	REQU</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</si>
  <si>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</si>
  <si>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1.	The Department of Health-Eastern Visayas Center for Health Development  through the Bids and Awards Committee (BAC) invites suppliers to bid for the hereunder projects for CY 2020: Antacid, Analgesic/Antipyretics, Anti-Asthma/Anti-Cough, Antihistamine,</t>
  </si>
  <si>
    <t xml:space="preserve"> : Portland Cement Type I : Washed Sand (Leyte source) : 3/4" Gravel (Leyte source) : 450 -10mmØ x 6.00m Def. Bars  : No. 16 G.I. Tie Wire : 173 -12mmØ x 6.00m Def. Bars  : 4" x 8" x 16" CHB : Skim Coat, Superfine White 20 kgs. : 1-1/2" Ø G.I. Pipe Sch. 40</t>
  </si>
  <si>
    <t xml:space="preserve"> NOTICE OF NEGOTIATED PROCUREMENT (Small Value Procurement) Project:	Purchase of Four (4) units Laptop  		(PR#2020-06-5629) 		Specifications: Processor: Intel Core i7-7500U GPU : NVDIA GeForce MX150 2GB GDDR5 VRAM RAM: 16GB Memory DDR4, SDRAM Storage Type:</t>
  </si>
  <si>
    <t xml:space="preserve"> NOTICE OF NEGOTIATED PROCUREMENT (Small Value Procurement) Project:	General Repair of Furnitures   		(PR#2020-06-5490) 		2	unit	Gallanera 4	unit	Side Table 1	unit	Mass Table 2	unit	Small Table 1	unit	Priest Chair 8	unit	Bench, long 2	unit	Bench, short 9	u</t>
  </si>
  <si>
    <t xml:space="preserve"> 1	Laptop	ea	2 2	Projector	ea	1 3	Printer	ea	2 4	AVR	ea	4 5	UPS	ea	4 	**** Nothing Follows ****</t>
  </si>
  <si>
    <t xml:space="preserve"> NOTICE OF NEGOTIATED PROCUREMENT (Small Value Procurement) Project:	General Repair of Furnitures (fully re-varnish and replacement of broken parts) 		(PR#2020-06-5624) 6	unit	Bench, long 10	unit	Conference Table 1	unit	Buffet Table 1	unit	Side Table 22	un</t>
  </si>
  <si>
    <t xml:space="preserve"> Republic of the Philippines Bangsamoro Autonomous Region in Muslim Mindanao Provincial Government of Maguindanao BIDS AND AWARDS COMMITTEE REQUEST FOR QUOTATION The PROVINCIAL GOVERNMENT OF MAGUINDANAO – Office of the PROVINCIAL GENDER AND DEVEPMENT (GAD)</t>
  </si>
  <si>
    <t xml:space="preserve"> Polyglactin 910 Braided, Synthetic Abs., Triclosan Impregnated Suture Size 1 , 90cm w/ 40mm Circle Taper Needle--------------------------------------------- 8 qty ------------P285,649.12/box Polyglactin 910 Braided, Synthetic Abs., Triclosan Impregnated S</t>
  </si>
  <si>
    <t xml:space="preserve"> 1. SWA Badge (Senior Scout), 1500 pcs, 7 centimeter in diameter, Embroidered 2. SWA Badge (Rover Scout), 1500 pcs, 7 centimeter in diameter, Embroidered 3. SWA Neckerchief, 160 pcs, Logo Embroidered, Lining Woven or Sublimation      Breakdown:         Par</t>
  </si>
  <si>
    <t xml:space="preserve"> Furniture</t>
  </si>
  <si>
    <t xml:space="preserve"> " Republic of the Philippines DEPARTMENT OF ENVIRONMENT AND  NATURAL RESOURCES Regional Government Center, Balintawak, Pagadian City Region IX, Zamboanga Peninsula"						 						 REQUEST FOR QUOTATION						 						 Date: July 30, 2020						 RFQ No.: 007.056</t>
  </si>
  <si>
    <t xml:space="preserve"> 1.     	Brgy Caigangan have allocated a fund  amounting to Php 200,000.00 for the Construction of Bacay, Sabilao and Banbanon Bridge 2    .      The BLGU Caigangan now invites bids for Construction of Bacay, Sabilao and Banbanon Bridge.    3.        Biddi</t>
  </si>
  <si>
    <t xml:space="preserve"> Standard Form Number: SFGOOD60 Revised on: May 24, 2004 Standard Form Title: Request for Quotation Date: August 24, 2020  Quotation No. 20-07-0443 PR No. 20-08-933 __________________________ Company Name _________________________________ Address         P</t>
  </si>
  <si>
    <t xml:space="preserve"> Standard Form Number: SFGOOD60 Revised on: May 24, 2004 Standard Form Title: Request for Quotation Date: August 24, 2020  Quotation No. 20-07-0446 PR No. 20-08-930 __________________________ Company Name _________________________________ Address         P</t>
  </si>
  <si>
    <t xml:space="preserve"> NOTICE OF NEGOTIATED PROCUREMENT (Small Value Procurement) Project:	Purchase of One (1) set Transformer (15 KVA) 		(PR#2020-06-5893) Location: 	Provincial Governor’s Office 	        Lingayen, Pangasinan Approved Budget for 	 the Contract (ABC):	P 102,000.</t>
  </si>
  <si>
    <t xml:space="preserve"> Diagnostic test Gr. 1-6</t>
  </si>
  <si>
    <t xml:space="preserve"> 40 kilos Kapeng barako 100 kilos Brown sugar 10 packs Creamer 450grams</t>
  </si>
  <si>
    <t xml:space="preserve"> JOSE B. LINGAD MEMORIAL REGIONAL HOSPITAL City of San Fernando, Pampanga Tel. No. (045) 961-3921 Date: August 25, 2020 No. 2020 – 08 - 263-S REQUEST FOR QUOTATION (Name of Agency) (Address) Sir/Madam: Please quote your lowest price on the item/s listed be</t>
  </si>
  <si>
    <t xml:space="preserve"> Inktank System 3-in-1 Printer	6	pc. T003 Ink, black				6	bot. T003 Ink, cyan				6	bot. T003 Ink, magenta			6	bot. T003 Ink, yellow				6	bot.</t>
  </si>
  <si>
    <t xml:space="preserve"> Vehicle Parts and Accessories</t>
  </si>
  <si>
    <t xml:space="preserve"> 120 persons Meals - Breakfast, Lunch &amp; dinner  - good for 2 serving  - Breakfast: rice or fried rice, egg or fish, milk or choco energy drink  - Lunch: Rice, soup, gulay, fish or meat  - Dinner: Rice, soup, gulay, fish or meat</t>
  </si>
  <si>
    <t xml:space="preserve"> Municipality of Agno, Pangasinan						Project Reference Number: _______________ 	 Name of Procuring Entity							        Requested by:  			 										 Standard Form Number:  SF-GOOD-60										 Revised on:  May 24, 2004										 Standard Form Title:  RE</t>
  </si>
  <si>
    <t xml:space="preserve"> Municipality of Agno, Pangasinan					Project Reference Number: _______________ 	 Name of Procuring Entity							        Requested by:  			 										 Standard Form Number:  SF-GOOD-60										 Revised on:  May 24, 2004										 Standard Form Title:  REQ</t>
  </si>
  <si>
    <t xml:space="preserve"> Inktank System 3-in-1 Printer		18	pc. T003 Ink, black					18	bot. T003 Ink, cyan					18	bot. T003 Ink, magenta				18	bot. T003 Ink, yellow					18	bot.</t>
  </si>
  <si>
    <t xml:space="preserve"> Supply of all technical services, labor, tools, equipment and other related works necessary in the conduct of emission test for the generator set of BSP Butuan. Please see attached Terms of Reference (TOR).</t>
  </si>
  <si>
    <t xml:space="preserve"> Standard Form Number: SFGOOD60 Revised on: May 24, 2004 Standard Form Title: Request for Quotation Date: August 24, 2020  Quotation No. 20-07-0444 PR No. 20-08-935 __________________________ Company Name _________________________________ Address         P</t>
  </si>
  <si>
    <t xml:space="preserve"> Procurement of Six (6) gls QDE Flat Wall and Twenty Two (22) other line items</t>
  </si>
  <si>
    <t xml:space="preserve"> 1	4L	Acetonitrile, HPLC Grade			 5,500.00  10	4L	Hexane, HPLC Grade			 2,500.00  10	4L	Ethyl Acetate, HPLC Grade			 5,500.00  5	4L	Methanol, HPLC Grade			 2,200.00  10	2.5L	Ethanol, HPLC Grade			 2,500.00  1	100g	Quercetin			 16,000.00  1	500mL	Folin-Cioc</t>
  </si>
  <si>
    <t xml:space="preserve"> Standard Form Number: SFGOOD60 Revised on: May 24, 2004 Standard Form Title: Request for Quotation Date: August 24, 2020  Quotation No. 20-07-0445 PR No. 20-08-932 __________________________ Company Name _________________________________ Address         P</t>
  </si>
  <si>
    <t xml:space="preserve"> Bookpaper, legal size		60	ream Bookpaper, A4 size		575	ream</t>
  </si>
  <si>
    <t xml:space="preserve"> 1 lot 1 Vial-Human Normal Kidney Cell Line            75,000.00 Specifications: Frozen</t>
  </si>
  <si>
    <t xml:space="preserve"> Republic of the Philippines PROVINCE OF ISABELA Ilagan REQUEST FOR QUOTATION (RFQ) FOR THE CONSTRUCTION OF RCBC  NEGOTIATED PROCUREMENT-TWO FAILED BIDDINGS 									Aug. 24, 2020 1.	In view of the two (2) failed biddings, The Provincial Government of Isab</t>
  </si>
  <si>
    <t xml:space="preserve"> Board and Lodging on October 21-24, 2020 (inclusive of arrival and check out date) for a maximum pax of 45 in Baguio City *Please see attached RFQ for details</t>
  </si>
  <si>
    <t xml:space="preserve"> Ninety fife (95) Ea, Smart 500 (Prepaid Cards) and other line items.</t>
  </si>
  <si>
    <t xml:space="preserve"> Supply and Delivery of Water System Supplies and Materials</t>
  </si>
  <si>
    <t xml:space="preserve"> Supply and Delivery of 1 unit Motorcycle 150cc</t>
  </si>
  <si>
    <t xml:space="preserve"> INVITATION TO BID FOR  PROCUREMENT OF PEACE &amp; ORDER EQUIPMENT &amp; SUPPLIES 1.	The City Government of Trece Martires, through the TRUST  Fund intends to apply the sum of One Million four hundred twenty five thousand pesos only  ( Php 1,425,000.00 )  being th</t>
  </si>
  <si>
    <t xml:space="preserve"> 1st INVITATION TO BID The Local Government Unit of Rizal, Kalinga, through the Bids and Wards Committee, invites Suppliers to submit bids for the contract Contract ID No.: SP 2020-02 Contract Name: CONSTRUCTION OF 1 unit Artesian Well Approved Budget for </t>
  </si>
  <si>
    <t xml:space="preserve"> Republic of the Philippines Province of Agusan del Norte Municipality of Remedios T. Romualdez Invitation to Bid SUPPLY AND DELIVERY OF P.E. HOSE AND P.E. COUPLING FOR THE IMPROVEMENT OF WATER SYSTEM OF PUROK 6, BARANGAY BALANGBALANG 1. The Municipality o</t>
  </si>
  <si>
    <t xml:space="preserve"> Republic of the Philippines DEPARTMENT OF HEALTH DR. JOSE RIZAL MEMORIAL HOSPITAL Lawaan, Dapitan City Telefax; (065) 213-6421 Website: www.djrmh.doh.gov.ph Email: dohdjrmh@gmail.com BIDS AND AWARDS COMMITTEE INVITATION TO BID PROCUREMENT OF VARIOUS LABOR</t>
  </si>
  <si>
    <t xml:space="preserve"> Invitation to Bid for Construction and Completion of Water System Brgy. Cubay, Libertad, Antique The Barangay Local Government of Cubay, through the MDF 2019 intends to apply the sum of Four Hundred Fifty Thousand Pesos (PhP 450,000.00) being the Approved</t>
  </si>
  <si>
    <t xml:space="preserve"> Standard Form Number: SFGOOD60 Revised on: May 24, 2004 Standard Form Title: Request for Quotation Date: August 24, 2020  Quotation No. 20-07-0449 PR No. 20-08-938 __________________________ Company Name _________________________________ Address         P</t>
  </si>
  <si>
    <t xml:space="preserve"> Republic of the Philippines Province of Siquijor Municipality of Enrique Villanueva Invitation to Bid for Rehabilitation/Improvement of Level II Water System 1.	The Local Government Unit of Enrique Villanueva, through the 2020 LGSF AM Fund   intends to ap</t>
  </si>
  <si>
    <t xml:space="preserve"> 2	units	EMERGENCY TRANSPORT MOTOR VEHICLE 		General Specifications: 		Overall Length 4,260mm 		Overall Width 1,695mm 		Overall Height 1,895mm 		Wheelbase 2,350mm 		Ground Clearance 195mm 		Maximum Gross Vehicle Weight 2,345kg 		Curb Weight 1,260kg 		Engin</t>
  </si>
  <si>
    <t xml:space="preserve"> A4 70 gsm subs 20        785 reams staple wire # 35              32 boxes glue 130g                       65 bottles</t>
  </si>
  <si>
    <t xml:space="preserve"> Republic of the Philippines								 Province of Ilocos Norte								 Municipality of Paoay								 								 REQUEST FOR QUOTATION								 								 					Date:		8/25/2020	 					Qoutation No:		2020-205	 THE MANAGER				 				 								 								 								        </t>
  </si>
  <si>
    <t xml:space="preserve"> see attached RFQ for schedule</t>
  </si>
  <si>
    <t xml:space="preserve"> Please quote your lowest price inclusive of TAXES on the item/s listed below, subject to Item Description and Terms and Conditions of this RFQ, and submit your quotation duly signed by you or your representative not later than 10:00 A.M. of August 28, 202</t>
  </si>
  <si>
    <t xml:space="preserve"> PERSONAL PROTECTIVE EQUIPMENT (TAILOR MADE) 150 PCS</t>
  </si>
  <si>
    <t xml:space="preserve"> Thirty (30) Pk, Paper Specialty and 36 Other line items.</t>
  </si>
  <si>
    <t xml:space="preserve"> The Project calls for the stack emission testing of the 625 KVA standby generator set of BSP-Dumaguete Branch in Dumaguete City which is a part of the requirement for the renewal of permit to operate from DENR-EMB.  The Provider is required to submit a re</t>
  </si>
  <si>
    <t xml:space="preserve"> CHANGE OIL 11		Engine Oil 1		Engine Oil Filter 1		Air Cleaner Element 1		Fuel Filter (Main) 1		Fuel Filter (Pre) 4		Transmission Gear Oil 5		Differential Gear Oil 1		Power Steering Fluid 1		Hydraulic Brake Booster Fluid 1		Cluth Fluid 1		Brake Fluid 18		E</t>
  </si>
  <si>
    <t xml:space="preserve"> NOTICE OF NEGOTIATED PROCUREMENT (Small Value Procurement) Project:	Purchase of 10 sets Plyboard ¾ Office Table (2ft. x 1meter with front Drawerand one side drawer) with Wooden Office Chair  		(PR#2020-06-5996) Location: 	Provincial Governor’s Office 	   </t>
  </si>
  <si>
    <t xml:space="preserve"> Standard Form Number: SFGOOD60 Revised on: May 24, 2004 Standard Form Title: Request for Quotation Date: August 24, 2020  Quotation No. 20-07-0451 PR No. 20-08-939 __________________________ Company Name _________________________________ Address         P</t>
  </si>
  <si>
    <t xml:space="preserve"> Republic of the Philippines DEPARTMENT OF PUBLIC WORKS AND HIGHWAYS PANGASINAN IV DISTRICT ENGINEERING OFFICE REGIONAL OFFICE I Tuliao, Sta. Barbara, Pangasinan    INVITATION TO BID   The Department of Public Works and Highways DPWH – Pangasinan IV Distri</t>
  </si>
  <si>
    <t xml:space="preserve"> JOSE B. LINGAD MEMORIAL REGIONAL HOSPITAL City of San Fernando, Pampanga Tel. No. (045) 961-3921 Date: August 25, 2020 No. 2020 – 08 - 265-S REQUEST FOR QUOTATION (Name of Agency) (Address) Sir/Madam: Please quote your lowest price on the item/s listed be</t>
  </si>
  <si>
    <t xml:space="preserve"> Purchase of materials for const. of Barangay Road at Brgy. Alayao.</t>
  </si>
  <si>
    <t xml:space="preserve"> 2	units	Total Dissolved Solids (TDS's) Total Dissolved Solids (TDS)/Total Suspended Solids (TSS) Meter (Meter type: portable; display type: LCD; Calibration: up to 5 points; Min TDS: 0-1000ppm; Max TDS: 1.00 to 200.00 ppt; Battery 4 x AAA batteries includ</t>
  </si>
  <si>
    <t xml:space="preserve"> Construction of Water Treatment Facility with Iron Oxidation System</t>
  </si>
  <si>
    <t xml:space="preserve"> Republic of the Philippines																						 Province of Batangas																						 MUNICIPALITY OF ALITAGTAG																						 																						 REQUEST FOR SMALL VALUE PROCUREMENT																						 																						 										</t>
  </si>
  <si>
    <t xml:space="preserve"> 1 Unt Gym Equipment, Dumb Bells set with Rack (Athletic Round Head Rubber Dumb Bell Set w/ Rack-5,10,15,20,25,30,35,40,45,50 lbs.  with Athletic Hard Chrome 7ft. Olympic Bar.)</t>
  </si>
  <si>
    <t xml:space="preserve"> Procurement of Twenty Eight (28) pcs Lumber 2x2x12 and Seventeen (17) other line items</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</si>
  <si>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</si>
  <si>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Standard Form Number: SFGOOD60 Revised on: May 24, 2004 Standard Form Title: Request for Quotation Date: August 24, 2020  Quotation No. 20-07-0442 PR No. 20-08-929 __________________________ Company Name _________________________________ Address         P</t>
  </si>
  <si>
    <t xml:space="preserve"> Standard Form Number: SFGOOD60 Revised on: May 24, 2004 Standard Form Title: Request for Quotation Date: August 24, 2020  Quotation No. 20-07-0450 PR No. 20-08-934 __________________________ Company Name _________________________________ Address         P</t>
  </si>
  <si>
    <t xml:space="preserve"> Municipal Isolation Facility</t>
  </si>
  <si>
    <t xml:space="preserve"> 300gallon ALCOHOL, ethyl, 68-72%, 3.785L 700.00 100bottle HAND SOAP, liquid, 750mL 250.00 300box 	SURGICAL MASKS, 3-ply 250.00 300pcs Face shield 150.00</t>
  </si>
  <si>
    <t xml:space="preserve"> Republic of the Philippines								 Province of Ilocos Norte								 Municipality of Paoay								 								 REQUEST FOR QUOTATION								 								 					Date:		8/25/2020	 					Qoutation No:		2020-206	 THE MANAGER				 				 								 								 								        </t>
  </si>
  <si>
    <t xml:space="preserve"> Standard Form Number: SFGOOD60 Revised on: May 24, 2004 Standard Form Title: Request for Quotation Date: August 24, 2020  Quotation No. 20-07-0447 PR No. 20-08-936 __________________________ Company Name _________________________________ Address         P</t>
  </si>
  <si>
    <t xml:space="preserve"> NOTICE OF NEGOTIATED PROCUREMENT (Small Value Procurement) Project:	Purchase of Roller Blinds (for use in the Replacement of Damaged Window Blinds @ 1 unit Building, Urduja House compound, Lingayen, Pangasinan) 		(PR#2020-07-6522) 		7	pc.	H=5’ x W=5.50’ R</t>
  </si>
  <si>
    <t xml:space="preserve"> Republic of the Philippines DR. EMILIO B. ESPINOSA, SR. MEMORIAL STATE COLLEGE  OF AGRICULTURE AND TECHNOLOGY (Masbate State College) BIDS AND AWARDS COMMITTEE http:www.debesmscat.edu.ph Cabitan, Mandaon, Masbate INVITATION TO BID FOR  SUPPLY AND DELIVERY</t>
  </si>
  <si>
    <t xml:space="preserve"> 1	Bulb, eurolux 20W						14	ea 2	Bulb, LED 20W						5	ea 3	Concertina Wire						2	roll 4	Corr Sheet, G50, 8ft						34	ea 5	Corr Sheet, G60, 10 ft						25	ea 6	Corr Sheet, G60, 12 ft						13	ea 7	Electrical Switch						23	ea 8	Electrical Tape, Big						4	r</t>
  </si>
  <si>
    <t xml:space="preserve"> Republic of the Philippines BATANGAS STATE UNIVERSITY Batangas City REQUEST FOR QUOTATION "Procurement of Supplies and Materials for IS Department"  1. The Batangas State University (BatState U) through the Bids and Awards Committee invites interested fir</t>
  </si>
  <si>
    <t xml:space="preserve"> JOSE B. LINGAD MEMORIAL REGIONAL HOSPITAL City of San Fernando, Pampanga Tel. No. (045) 961-3921 Date: August 25, 2020 No. 2020 – 08 - 264-S REQUEST FOR QUOTATION (Name of Agency) (Address) Sir/Madam: Please quote your lowest price on the item/s listed be</t>
  </si>
  <si>
    <t xml:space="preserve"> INVITATION TO QUOTE Date:  August 24, 2020 1.	The Provincial Government of Davao del Sur, through its Bids and Awards Committee (BAC), invites all interested bidders/suppliers to quote for the following goods under Alternative Methods of Procurement ([Sho</t>
  </si>
  <si>
    <t xml:space="preserve"> *For price quotations (preferably thru email) and inquiries, please look for Ms. Elizabeth Pascual. Email: beth.pascual@pms.gov.ph Telefax : 8-733 4861/71 8 pcs. Toner Cartridge, HP CF401A, Cyan (201 A) Original 8 pcs. Toner Cartridge, HP CF402A, Yellow (</t>
  </si>
  <si>
    <t xml:space="preserve"> Republic of the Philippines DEPARTMENT OF HEALTH ZAMBOANGA PENINSULA - CENTER FOR HEALTH DEVELOPMENT Upper Calarian, Zamboanga City 7000 Phone : (062) 983-0314, (062) 983-0146, Fax : (062)  991-3380 Email : dohchdzp@yahoo.com, Web : www.doh.gov.ph INVITAT</t>
  </si>
  <si>
    <t xml:space="preserve"> 1	pc.	Form 137-E	38	342.00 2	pc.	Form 138-E	100	900.00 3	ream	Bond Paper Legal	25	5250.00 4	ream	Bond Paper A4	105	19950.00 5	pc.	Sign Pen	20	1100.00 6	box	Paper Fastener	6	360.00 7	pack 	Vellum	19	1900.00 8	roll	Tape Transparent, 48 mm	30	1500.00 9	jar	G</t>
  </si>
  <si>
    <t xml:space="preserve"> Standard Form Number: SFGOOD60 Revised on: May 24, 2004 Standard Form Title: Request for Quotation Date: August 24, 2020  Quotation No. 20-07-0454 PR No. 20-08-943 __________________________ Company Name _________________________________ Address         P</t>
  </si>
  <si>
    <t xml:space="preserve"> Republic of the Philippines Province of South Cotabato BIDS AND AWARDS COMMITTEE Capitol Compound Alunan Avenue, Koronadal City Tel. Fax No.: (083) 228-9951/228-8570 INVITATION TO BID FOR THE SUPPLY AND DELIVERY OF 834 HEADS HEALTH CARE BENEFIT 1.  The PR</t>
  </si>
  <si>
    <t xml:space="preserve"> Standard Form Number: SFGOOD60 Revised on: May 24, 2004 Standard Form Title: Request for Quotation Date: August 24, 2020  Quotation No. 20-07-0448 PR No. 20-08-931 __________________________ Company Name _________________________________ Address         P</t>
  </si>
  <si>
    <t xml:space="preserve"> JOSE B. LINGAD MEMORIAL REGIONAL HOSPITAL City of San Fernando, Pampanga Tel. No. (045) 961-3921 Date: August 25, 2020 No. 2020 – 08 - 266-S REQUEST FOR QUOTATION (Name of Agency) (Address) Sir/Madam: Please quote your lowest price on the item/s listed be</t>
  </si>
  <si>
    <t xml:space="preserve"> Purchase  of 2 units Desktop Computers (Core i5) for Mun. Treasurer's Office.</t>
  </si>
  <si>
    <t xml:space="preserve"> Purchase of New Aircondition Appliance to be used by BFP Office Porac 2 Unit Split Type Aircon 1.5 HP 1 Unit Split Type Aircon 1 HP</t>
  </si>
  <si>
    <t xml:space="preserve"> PURCHASE OF VARIOUS MATLS FOR MODIFIED GENERAL COMMUNITY QUARANTINE</t>
  </si>
  <si>
    <t xml:space="preserve"> 1 unit Steering Pump for Bulldozer</t>
  </si>
  <si>
    <t xml:space="preserve"> 5 pcs GI riser pipe 1 ½ x 20 50 pcs Hacksaw blade 30 pcs Electrical tape 10 pcs Rubber tape 2 pcs Pressure switch 20 pcs GI plug ½ 5 pcs ISO elbow adaptor 1 ½ 5 pcs ISO female adaptor 1 ½ 5 pcs ISO male adaptor 1 ½ 5 pcs Cutting dise (wood) 5 pcs Cutting </t>
  </si>
  <si>
    <t xml:space="preserve"> Republic of the Philippines								 Province of Ilocos Norte								 Municipality of Paoay								 								 REQUEST FOR QUOTATION								 								 					Date:		8/25/2020	 					Qoutation No:		2020-212	 THE MANAGER				 				 								 								 								        </t>
  </si>
  <si>
    <t xml:space="preserve"> Standard Form Number: SFGOOD60 Revised on: May 24, 2004 Standard Form Title: Request for Quotation Date: August 24, 2020  Quotation No. 20-07-0453 PR No. 20-08-927 __________________________ Company Name _________________________________ Address         P</t>
  </si>
  <si>
    <t xml:space="preserve"> Invitation to Bid to all Supplier/Contractr duly accredited by the City Cpuncil of Manila to supply and deliver the following items provided hereunder, to wit; Item	 	Qty.	 	Unit	 	 	 	DESCRIPTION	 	 	  1	 	580	 	Pcs	Laptop Table	 	 	 	 	 	 	 	   	 	 	 	 </t>
  </si>
  <si>
    <t xml:space="preserve"> ITEM #	QUANTITY			ITEM &amp; DESCRIPTION					 									 1	3	units		Laptop Computer					 				Specifications :					 				Processor : Core i5 - 8265U Quad Core 					 				GPU Model : GeFORCE MX130, 2GB GDDR5 video memory					 				RAM : 4GB DDR4 2666MHz memory spee</t>
  </si>
  <si>
    <t xml:space="preserve"> PROCUREMENT OF MATERIALS AND LABOR ***Please see attached electronic file.</t>
  </si>
  <si>
    <t xml:space="preserve"> Purchase of Office Equipment – Automated Contact Tracing System 1 set Automated Contact Tracing System with 2 units QR Code Scanner, 2 Face Temperature Detection and Recognition Terminal with stand and 1 unit printer</t>
  </si>
  <si>
    <t xml:space="preserve"> August 24, 2020 P-RFQ No. 2020-019 REQUEST FOR QUOTATION SUPPLY AND DELIVERY OF HOUR COUNTER, MAGNETIC CONTACTOR, TIMER, THERMAL OVERLOAD RELAY AND CIRCUIT BREAKER The Santa Maria Water District (SMWD) hereinafter referred to as “the Purchaser”, through i</t>
  </si>
  <si>
    <t xml:space="preserve"> 50 pcs Rooster (free range chicken) 200 pcs Hen (free range chicken) NOTE: PLEASE ATTACHED LEGAL DOCUMENTS AND UPDATED PHILGEPS CERTIFICATE FAILURE TO SUBMIT YOUR BID DOCUMENTS WILL NOT BE CONSIDERED FOR THE OPENING BY THE BAC. ALSO, PLEASE REFER TO RA 91</t>
  </si>
  <si>
    <t xml:space="preserve"> Standard Form Number: SFGOOD60 Revised on: May 24, 2004 Standard Form Title: Request for Quotation Date: August 24, 2020  Quotation No. 20-07-0455 PR No. 20-08-944 __________________________ Company Name _________________________________ Address         P</t>
  </si>
  <si>
    <t xml:space="preserve"> Republic of the Philippines Province of Iloilo Municipality of Lambunao Brgy.  Bagongbong, Barangay Office of the Bids &amp; Awards Committee INVITATION TO BID Name of Project: Purchase of Materials for the Const. of Water System Location:  Brgy. Bagongbong, </t>
  </si>
  <si>
    <t xml:space="preserve"> 1 set #1722 (1.5HP) Heavy Duty Shallow Pumps 2 roll 1/2 black hose pipe 1 roll 3/4 black hose pipe 1 pc koten 30amps breaker 1 roll #12 PDX Wire 1 pc G.I Bushing 1x3/4 1 pc GI Nipple 3/4x5 1 pc GI Nipple 1 1/4x8 1 pc straight connector 3/4x1/2 1 pc male a</t>
  </si>
  <si>
    <t xml:space="preserve"> Republic of the Philippines PROVINCE OF SOUTHERN LEYTE Maasin City Invitation to Bid for the Procurement of Vehicle Spare parts  Contract ID # 2020-09-15-466PG 1.	The Provincial Government of Southern Leyte through the PDH Repair and Maintenance – Transpo</t>
  </si>
  <si>
    <t xml:space="preserve"> Standard Form Number: SFGOOD60 Revised on: May 24, 2004 Standard Form Title: Request for Quotation Date: August 24, 2020  Quotation No. 20-07-0458 PR No. 20-08-949/ 950 __________________________ Company Name _________________________________ Address     </t>
  </si>
  <si>
    <t xml:space="preserve"> Republic of the Philippines Cordillera Administrative Region Mountain Province MUNICIPALITY OF TADIAN OFFICE OF THE BIDS AND AWARDS COMMITTEE INVITATION TO BID FOR PROCUREMENT OF BARANGAY QUARANTINE FACILITY CONSTRUCTION MATERIALS – CLUSTER II Date: Augus</t>
  </si>
  <si>
    <t xml:space="preserve"> Construction</t>
  </si>
  <si>
    <t xml:space="preserve"> 1.	The Department of Environment and Natural Resources (DENR) Region IV-A (CALABARZON), through the General Appropriations Acts of 2020, intends to apply the sum of One Million Three Hundred Ninety Five Thousand Pesos (P1,395,000.00), being the Approved B</t>
  </si>
  <si>
    <t xml:space="preserve"> Republic of the Philippines								 Province of Ilocos Norte								 Municipality of Paoay								 								 REQUEST FOR QUOTATION								 								 					Date:		8/25/2020	 					Qoutation No:		2020-211	 THE MANAGER				 				 								 								 								        </t>
  </si>
  <si>
    <t xml:space="preserve"> 1.	The Department of Health-Eastern Visayas Center for Health Development  through the Bids and Awards Committee (BAC) invites suppliers to bid for the hereunder projects for CY 2020: Antihypertensive, Antidiabetics, Anticholesterolemia, Antiplatelet Bids</t>
  </si>
  <si>
    <t xml:space="preserve"> Section I. Invitation to Bid   Provincial Government of Isabela SUPPLY AND DELIVERY OF PORTABLE TOILETS The Provincial Government of Isabela, through the PGI FUND intends to apply the sum of Three Million Twenty Five Thousand Pesos &amp; 0/100 (P 3,025,000.00</t>
  </si>
  <si>
    <t xml:space="preserve"> Supply and Delivery of IT Equipment and Supplies of SDSSU Tandag Campus Please see attached Request for Quotation (RFQ)</t>
  </si>
  <si>
    <t xml:space="preserve"> Standard Form Number: SFGOOD60 Revised on: May 24, 2004 Standard Form Title: Request for Quotation Date: August 24, 2020  Quotation No. 20-07-0457 PR No. 20-08-947/ 948 __________________________ Company Name _________________________________ Address     </t>
  </si>
  <si>
    <t xml:space="preserve"> 1	REAM	BOND PAPER	586	128,920.00 2	BOT	EPSON INK (664) BLACK	60	21,600.00 3	BOT	EPSON INK (664) YELLOW	35	12,600.00 4	BOT	EPSON INK (664) CYAN	35	12,600.00 5	BOT	EPSON INK (664) MAGENTA	35	12,600.00 6	BOT	FOLDER (BROWN )LONG	10	5,000.00 7	BOX	FASTENER	35	</t>
  </si>
  <si>
    <t xml:space="preserve"> REQUEST FOR QUOTATION											 											 RFQ No.		SVP 20-0733				Date				June 23, 2020	 PR Reference		100-20-06-017				Implementing Office				CEO	 Closing Date and Time					June 30, 2020		,5PM				 Designated Places of Submission (Bid Box Designated Lo</t>
  </si>
  <si>
    <t xml:space="preserve"> Supply and Delivery of Supplies and Equipment for the HRM Laboratory of SDSSU Tagbina Campus Lot A-P 109,900.00 Lot B-    30,600.00 Please see attached Request for Quotation</t>
  </si>
  <si>
    <t xml:space="preserve"> 1 Unt Gym equipment, Elliptical machines (Overall dimensions: LxWxH-2108x675x1686(mm) Maximum user weight 160kgs with Dual action handlebars, contact heart rate handles, 350w resistance break power, Sel power hybrid brake, 2-step powder-coating with rust-</t>
  </si>
  <si>
    <t xml:space="preserve"> Republic of the Philippines Province of Davao Oriental City of Mati BIDS &amp; AWARDS COMMITTEE INVITATION TO BID Procurement of 500 Sacks Rice for Use in the Implementation of Crisis Intervention Program SOURCE OF FUND: OLF [1999Z2-5-02-03-050-01] 1.	The Pro</t>
  </si>
  <si>
    <t xml:space="preserve"> Standard Form Number: SFGOOD60 Revised on: May 24, 2004 Standard Form Title: Request for Quotation Date: August 24, 2020  Quotation No. 20-07-0460 PR No. 20-08-953/ 954 __________________________ Company Name _________________________________ Address     </t>
  </si>
  <si>
    <t xml:space="preserve"> Corn Seeds, purple sweet , 1 Kg per bag ----- 148 Bags</t>
  </si>
  <si>
    <t xml:space="preserve"> ITB 2020-08-0002 	 INVITATION TO BID FOR Additional Reproduction of LED ADM Materials for the 1st Quarter 1.	The Division of General Trias City, through the Implementation of  the Basic Education-Learning Continuity Plan, Provision of Learning (BE-LCP) Fu</t>
  </si>
  <si>
    <t xml:space="preserve"> Please see Request for Quotation/ Bid form attached to Associated Components.</t>
  </si>
  <si>
    <t xml:space="preserve"> 18 pax Meals - 2 snacks (AM/PM) and lunch for 4 days during CDRA Training</t>
  </si>
  <si>
    <t xml:space="preserve"> Republic of the Philippines MUNICIPALITY OF CABUGAO Ilocos Sur Invitation to Bid for the Construction of Post Harvest Facility @ Brgy. Pug-os (Proper), Cabugao, Ilocos Sur 1. The Local Government Unit of Cabugao, Ilocos Sur, through the R.A. 7171 under AO</t>
  </si>
  <si>
    <t xml:space="preserve"> 1	PCS	PRINTER	2	16,000.00 2	SET	INK (L360)	4	4,800.00 3	SET	INK (L310)	1	950.00 4	REAMS	BOND PAPER	205	41,000.00 5	PCS	PHOTOCOPY	1	33,550.00</t>
  </si>
  <si>
    <t xml:space="preserve"> 1.	The Department of Health-Eastern Visayas Center for Health Development  through the Bids and Awards Committee (BAC) invites suppliers to bid for the hereunder projects for CY 2020: Antibiotics, Anti-Infectives &amp; Topical Antibacterial Bids received in e</t>
  </si>
  <si>
    <t xml:space="preserve"> 1	unit	13.3-inch Laptop			 65,000.00   	 	Specifications: 			     	 	1.8GHz Dual-Core processor; Tcurbo Boost up to 2.9GHz; 8GB memory; 128GB PCIe-based FS; HD Graphics 6000; Built-in battery (9 hours) 			    		Inclusion: Charger with adapter; VGA/HDMI co</t>
  </si>
  <si>
    <t xml:space="preserve"> Provision of the Supply and Delivery of Printing Supplies and Materials for the Implementation of the Basic Education Learning Continuity Plan (BE-LCP)</t>
  </si>
  <si>
    <t xml:space="preserve"> Republic of the Philippines MUNICIPALITY OF CABUGAO Ilocos Sur Invitation to Bid for the Construction of Multi-Purpose Building, @ Brgy. Alinaay (Proper), Cabugao, Ilocos Sur 1. The Local Government Unit of Cabugao, Ilocos Sur, through the R.A. 7171 under</t>
  </si>
  <si>
    <t xml:space="preserve"> Invitation to Bid for the subscription of Learning Management System as requested by Colegio ng Lungsod ng Batangas</t>
  </si>
  <si>
    <t xml:space="preserve"> Please see attached REQUEST FOR QUOTATION.</t>
  </si>
  <si>
    <t xml:space="preserve"> Republic of the Philippines PROVINCE OF DINAGAT ISLANDS Municipality of Basilisa -oOo- Invitation to Bid CONSTRUCTION OF NATIONAL CHILD DEVELOPMENT CENTER 	 The Municipality of Basilisa, through the ECCD COUNCIL intends to apply the sum of Two Million Fiv</t>
  </si>
  <si>
    <t xml:space="preserve"> Republic of the Philippines								 Province of Ilocos Norte								 Municipality of Paoay								 								 REQUEST FOR QUOTATION								 								 					Date:		8/25/2020	 					Qoutation No:		2020-213	 THE MANAGER				 				 								 								 								        </t>
  </si>
  <si>
    <t xml:space="preserve"> Republic of the Philippines Province of Davao del Sur Municipality of Matanao BARANGAY TAMLANGON -oOo- INVITATION TO BID The Barangay Government Unit of Tamlangon, Matanao, Davao del Sur, through its Bids and Awards Committee (BAC), invites suppliers/ dis</t>
  </si>
  <si>
    <t xml:space="preserve"> 500 pcs Rapid Test Kit</t>
  </si>
  <si>
    <t xml:space="preserve"> attached</t>
  </si>
  <si>
    <t xml:space="preserve"> Purchase of Supplies, Materials &amp; Animal Feeds  ITEM &amp; DESCRIPTION	QTY	UNIT	UNIT PRICE	TOTAL PRICE Cattle Concentrate	30	sack	 	  Mineral Block	16	piece		 Rock Salt	5	sack		 Gestating Pellets (50kg./sack)	30	sack		 Lactating Pellets (50kg./sack)	20	sack		</t>
  </si>
  <si>
    <t xml:space="preserve"> Please download and then print the attached Invitation to Bid (ITB) for more details and for your reference. To view this attachment, just click “ORDER” opposite the ASSOCIATED COMPONENTS. TOTAL APPROVED BUDGET FOR THE CONTRACT (ABC): ₱1,197,300.00</t>
  </si>
  <si>
    <t xml:space="preserve"> 1.	The Department of Health-Eastern Visayas Center for Health Development  through the Bids and Awards Committee (BAC) invites suppliers to bid for the hereunder projects for CY 2020: Psychopharmacologic Agents Bids received in excess of the ABC shall be </t>
  </si>
  <si>
    <t xml:space="preserve"> Provision of Training Services for various Diving Courses  a.	 Open Water Diving – 2 pax b.	Advance Open Water – 4 pax c.	Rescue Dive with EFR – 4 pax Description :     Duration :  September 7-16, 2020   Location :  El Nido, Palawan   Number of Participan</t>
  </si>
  <si>
    <t xml:space="preserve"> BRGY BUDGET 2020 OPENING OF BIDS    SEPTEMBER 1, 2020 AT 3PM</t>
  </si>
  <si>
    <t xml:space="preserve"> Republic of the Philippines DEPARTMENT OF HEALTH CEBU SOUTH MEDICAL CENTER       (Formerly known as Talisay District Hospital) San Isidro, Talisay City, Cebu (032)273-8785  (032) 273-8785 tdh.bac@gmail.com http://www.tdh.doh.gov.ph INVITATION TO APPLY </t>
  </si>
  <si>
    <t xml:space="preserve"> Standard Form Number: SFGOOD60 Revised on: May 24, 2004 Standard Form Title: Request for Quotation Date: August 24, 2020  Quotation No. 20-07-0459 PR No. 20-08-951/ 952 __________________________ Company Name _________________________________ Address     </t>
  </si>
  <si>
    <t xml:space="preserve"> Water rehab in the senior high school buildings</t>
  </si>
  <si>
    <t xml:space="preserve"> Republic of the Philippines Province of Iloilo Municipality of Lambunao Brgy. Burirao Barangay Office of the Bids &amp; Awards Committee INVITATION TO BID Name of Project: Purchase of Materials for the Const of Covered Gym Phase I Location: Brgy. Burirao, Lam</t>
  </si>
  <si>
    <t xml:space="preserve"> INVITATION TO BID FOR THE SUPPLY AND DELIVERY OF MATERIALS FOR SDERT OPERATION AGAINST COVID 19  1.	The Municipality of Salcedo, through the Socio-Civic Project Fund (SCPF)   intends to apply the sum of Five Hundred Thousand Pesos only ( Php 500,000.00)  </t>
  </si>
  <si>
    <t xml:space="preserve"> INVITATION TO BID (for the Procurement of Goods)           1.	The City Government of Puerto Princesa (CGPP), through its Supplemental Budget No. 3-2019,  intends to apply the sum, corresponds as the Approved Budget for the Contract (ABC) for each of the f</t>
  </si>
  <si>
    <t xml:space="preserve"> Republic of the Philippines Department of Education Region V SCHOOLS DIVISION OF MASBATE CITY REQUEST FOR QUOTATION Date: August 19, 2020 RFQ No. SDO-RFQ20-042                 The Department of Education - Masbate City Division, through its Bids and Award</t>
  </si>
  <si>
    <t xml:space="preserve"> 1 Unt 2-Stack Multi Gym 2x100kg cast iron (Multi-Gym 2x100kg cast iron weight stacks. Dimensions:226cm Longx192cm Widex208cm High.  Station 1: Rigid Arm Lat Pulldown:Leg Press:High Pulley; Station2: Chest Press:Mid Row: Leg Extension: Standing Leg Curl.</t>
  </si>
  <si>
    <t xml:space="preserve"> Electrical and Street Sign Supplies</t>
  </si>
  <si>
    <t xml:space="preserve"> 156 CANS BISCUIT FLAKES 700G AND 20 LINE ITEMS</t>
  </si>
  <si>
    <t xml:space="preserve"> Republic of the Philippines PROVINCE OF SOUTHERN LEYTE Maasin City Invitation to Bid for the Procurement of Vehicle Spare parts and Labor  Contract ID # 2020-09-15-467PG 1.	The Provincial Government of Southern Leyte through the PDRRMO Fuel, Oil and Lubri</t>
  </si>
  <si>
    <t xml:space="preserve"> 1 UNIT VAN TYPE VEHICLE POWERED BY A EURO-COMPLIANT 4N15 2.4 LITER DIESEL ENGINE, FOUR CYLINDER AND 5-SPEED MANUAL TRANSMISSION</t>
  </si>
  <si>
    <t xml:space="preserve"> INVITATION TO BID (for the Procurement of Goods)           1.	The City Government of Puerto Princesa (CGPP), through its Supplemental Budget No. 3-2020 intends to apply the sum, corresponds as the Approved Budget for the Contract (ABC) for each of the fol</t>
  </si>
  <si>
    <t xml:space="preserve"> Metal Clamp ½ 	20 pcs Amco Box	1 pc Aircon Outlet	1 pc Electrical Tape big	1 pc Tox with Screw #5	10 pcs C. Breaker 30 A	1 pc</t>
  </si>
  <si>
    <t xml:space="preserve"> Fifty (50) pk, Fruit Soda 330 6's and 38 Other line items.</t>
  </si>
  <si>
    <t xml:space="preserve"> Supply and Delivery of Supplies and Materials for the HRM Laboratory of SDSSU Tagbina Campus  Please see attached Request for Quotation (RFQ)</t>
  </si>
  <si>
    <t xml:space="preserve"> 6 WHEELER ROAD SWEEPER TRUCK</t>
  </si>
  <si>
    <t xml:space="preserve"> Title of Project	Supply and Delivery of Various Supplies for Webinar on Mental Health and Psychosocial Services (MHPSS) Brief Description/ Specifications	Supply and Delivery of Various School Supplies for the Different DepEd SDO Cabanatuan City Social Mob</t>
  </si>
  <si>
    <t xml:space="preserve"> Department of Education Region III DIVISION OF MABALACAT CITY Mabalacat City, Pampanga    Tel. No.: (045) 331-8143/Email Add: mabalacat.city@deped.gov.ph REQUEST FOR QUOTATION PR No. 	: 							RFQ No. PR Date :							Philgeps Ref. No. End User:							Clos</t>
  </si>
  <si>
    <t xml:space="preserve"> The City Government of San Pedro, Laguna invites interested parties to quote for the following item/s as per request DEPED: 800 ream A4 Bond Paper 115 pc Duplicator Ink (black) 1000ml 115 unit Duplicator Master Roll Forms can be obtained from the BAC Secr</t>
  </si>
  <si>
    <t xml:space="preserve"> Video Maker for I-Drive	1	pc	 	xxxxxxxxxxxxxxxxxxxxxxxxxxxxxxxxxxxxxxxxxxxxxxxxxxxxxxxxxxxxxxxxxxxxxxxxxxx</t>
  </si>
  <si>
    <t xml:space="preserve"> Qty	Unit of Issuance	DESCRIPTION 		 1	unit    	Improvement of structure for Dairy Box cum ice cream parlor  		        Description: 		            Stripping         40 sq.m 		            Tile works      40 sq.m 		            Carpentry Works (Partition and c</t>
  </si>
  <si>
    <t xml:space="preserve"> No.	Item Description	unit	qty 			 			 			 1	Sickle	pcs	10 2	Fire Extinguisher	unit	2 3	Soil Thermometer	unit	1 4	pH meter	unit	1 5	Rain boots	set	10 6	Rubber Gloves	set	10 7	Hairnet	box	5 8	Hand shovel	pcs	5 9	Bolo	pcs	5 10	Pail	pcs	5 11	Weighing Scale	un</t>
  </si>
  <si>
    <t xml:space="preserve"> 1 ea Synology DS1618+, 6 Bay, 4gb DDR4 &amp; 11 L/I</t>
  </si>
  <si>
    <t xml:space="preserve"> Training Expenses</t>
  </si>
  <si>
    <t xml:space="preserve"> Invitation to Bid LOADING FEE FOR ROAD IMPROVEMENT OF THIRTEEN (13) BARANGAYS Solicitation No. Infra-2020-12 The Municipality of San Isidro, Isabela, through the Maintenance and Other Operating Expenses (MOOE) of the Office of the Municipal Mayor FY 2020,</t>
  </si>
  <si>
    <t xml:space="preserve"> Republic of the Philippines DEPARTMENT OF PUBLIC WORKS AND HIGHWAYS OFFICE OF THE DISTRICT ENGINEER Tarlac 2ND District Engineering Office San Francisco, Concepcion, Tarlac Tel. No. (045) 925-5665	 INVITATION TO BID The Department of Public Works and High</t>
  </si>
  <si>
    <t xml:space="preserve"> Supply and Delivery of Supplies and Materials for the HRM laboratory of SDSSU Tagbina Campus</t>
  </si>
  <si>
    <t xml:space="preserve"> BRGY ANNUAL BUDGET 2020 OPENING OF BIDS      SEPTEMBER 1, 2020 AT 3PM</t>
  </si>
  <si>
    <t xml:space="preserve"> LED TV Monitor 75" UHD 4K SMART TV             131,000.00             1 set/s  Please see attached RFQ.</t>
  </si>
  <si>
    <t xml:space="preserve"> 5 bx UTP Cat6 LAN Cable Red &amp; 10 L/I</t>
  </si>
  <si>
    <t xml:space="preserve"> Item	Quantity	Unit	ARTICLES					 Estimated Unit Cost  								 1	3	unit	HIGH FLOW NASAL CANNULA THERAPY DEVICE with CONSUMABLES					 395,000.00  								 			A device which delivers humidified, continuous high flow gas, blended with 					 			100% oxygen cr</t>
  </si>
  <si>
    <t xml:space="preserve"> Republic of the Philippines PROVINCE OF SOUTHERN LEYTE Maasin City Invitation to Bid for the Procurement of Vehicle Spare parts  Contract ID # 2020-09-15-468PG 1.	The Provincial Government of Southern Leyte through the PGO Repair and Maintenance – Transpo</t>
  </si>
  <si>
    <t xml:space="preserve"> Republic of the Philippines MUNICIPALITY OF CABUGAO Ilocos Sur Invitation to Bid for the Improvement of Farm to Market Road @ Brgy.Quezon (Tandang Sora St.), Cabugao, Ilocos Sur 1. The Local Government Unit of Cabugao, Ilocos Sur, through the R.A. 7171 un</t>
  </si>
  <si>
    <t xml:space="preserve"> One Hundred (100) Pck, Pre cut Folded Table Napkin and 27 Other line items.</t>
  </si>
  <si>
    <t xml:space="preserve"> Delivery of 1 unit Laptop Computer with the following specifications: intel i7 core, 32GB RAM, DDR4 SD RAM HDD 1TB, preferably 15.6" display windows 10, licensed microsoft software Please submit your quotation until August 28, 2020 to WPU-Procurement Offi</t>
  </si>
  <si>
    <t xml:space="preserve"> Thirty (30) Ea, Ink Stamp Pad (Violet) and 22 Other line Items.</t>
  </si>
  <si>
    <t xml:space="preserve"> INVITATION TO BID (for the Procurement of Goods)           1.	The City Government of Puerto Princesa (CGPP), through its Supplemental Budget No. 2-2019, intends to apply the sum, corresponds as the Approved Budget for the Contract (ABC) for each of the fo</t>
  </si>
  <si>
    <t xml:space="preserve"> 40 ea Notebook 100 lvs &amp; 76 L/I</t>
  </si>
  <si>
    <t xml:space="preserve"> 1	TL	Soil	2	 2,650.00 	 5,300.00  2	TL	Sand and Gravel	4	 3,000.00 	 12,000.00  2	bag	Cement	76	 355.50 	 27,019.00  3	length	Corrogated Sheet 8"	14	 310.00 	 4,340.00  4	piece	Hollow Block	600	 15.00 	 9,000.00  5	length	Steel Bar 12"	79	 175.00 	 13,825</t>
  </si>
  <si>
    <t xml:space="preserve"> Purchase and Installation of CCTV Camera's for Crime Prevention  Pre-Bidding conference will be on Sept. 2, 2020 ,3:00 pm at the Barangay Valenzuela Hall Opening of Bids September 7, 2020 3:00 pm at the Barangay Valenzuela Hall</t>
  </si>
  <si>
    <t xml:space="preserve"> LGU-BAROBO		Project Reference Number			 Name of Procuring Entity		Supply &amp; Delivery of IT  Equipment			 					 			Barobo, Surigao del Sur		 Standard Form Number: SF-GOOD-60					 Revised on: May 24, 2004					 Standard Form Title: REQUEST FOR QUOTATION					 </t>
  </si>
  <si>
    <t xml:space="preserve"> Item	Quantity	Unit	ARTICLES					 Estimated Unit Cost  								 1	1	unit	ULTRAVIOLET LIGHT C DISINFECTION SYSTEM DEVICE 					 1,950,000.00  								 			Overview:					 			Adisinfection system device which is cost-effective, minimal maintenance,					 			fume</t>
  </si>
  <si>
    <t xml:space="preserve"> One hundred (100) Ea, Coffee Creamer 450g and 40 Other line items.</t>
  </si>
  <si>
    <t xml:space="preserve"> Supply and Delivery of Burner and LPG Tank  for the Kitchen Laboratory of SDSSU Tagbina Campus Please see attached Request for Quotation (RFQ)</t>
  </si>
  <si>
    <t xml:space="preserve"> Republic of the Philippines PROVINCE OF SOUTHERN LEYTE Maasin City Invitation to Bid for the Procurement of Various Tire Wheel  Contract ID # 2020-09-15-469PG 1.	The Provincial Government of Southern Leyte through the SDH– Repair and Maintenance –Transpor</t>
  </si>
  <si>
    <t xml:space="preserve"> Republic of the Philippines MUNICIPALITY OF CABUGAO Ilocos Sur Invitation to Bid for the Improvement of Farm to Market Road @ Brgy. Quezon (Siruno St.), Cabugao, Ilocos Sur 1. The Local Government Unit of Cabugao, Ilocos Sur, through the R.A. 7171 under A</t>
  </si>
  <si>
    <t xml:space="preserve"> INVITATION TO BID (for the Procurement of Goods)           1.	The City Government of Puerto Princesa (CGPP), through its Supplemental Budget No. 2-2019, Supplemental Budget No. 3-2019 intends to apply the sum, corresponds as the Approved Budget for the Co</t>
  </si>
  <si>
    <t xml:space="preserve"> Invitation to Bid “Acquisition of One (1) Lot Supply and Delivery of Aerial Surveillance System” 01.The National Bureau of Investigation, through the 2019 NBI Clearance Retention Fees pursuant to RA 10867 otherwise known as the NBI Reorganization and Mode</t>
  </si>
  <si>
    <t xml:space="preserve"> 3 September 2020 – RTF-ELCAC Meeting  (8:00AM – 5:00PM)		 Requirements: (Please quote per pax)		          AM Snacks	50	Pax         Lunch – Plate In	50	Pax          PM Snacks	50	Pax 		 Specification: -	U-Shape Seating Arrangement  -	Function Hall with 100 </t>
  </si>
  <si>
    <t xml:space="preserve"> Food for: Full board for 4 days- 25 pax 1 meal for 1 day- 25 pax on September 1-5,2020 at BES, Gabi, Ubay, Bohol Caterer with good standing shall only be entertained and preferably within locality. You may send your quotation to this email address or subm</t>
  </si>
  <si>
    <t xml:space="preserve"> Purpose: Purchase of other Supplies for Operationalization of DILG Regional Emergency Operation Center for COVID 19.																 LOT 1																 	ELECTRIC BACKPACK ULV FOGGER SPRAYER Disinfection Machine					1	unit	 14,600.00 								 	Tank Capa</t>
  </si>
  <si>
    <t xml:space="preserve"> Republic of the Philippines MUNICIPALITY OF CABUGAO Ilocos Sur Invitation to Bid for the Improvement of Farm to Market Road @ Brgy. Bonifacio-Turod Patac Road @ Cabugao, Ilocos Sur 1. The Local Government Unit of Cabugao, Ilocos Sur, through the R.A. 7171</t>
  </si>
  <si>
    <t xml:space="preserve"> INVITATION TO BID (for the Procurement of Goods)           1.	The City Government of Puerto Princesa (CGPP), through its Supplemental Budget No. 3-2020  intends to apply the sum, corresponds as the Approved Budget for the Contract (ABC) for each of the fo</t>
  </si>
  <si>
    <t xml:space="preserve"> The Environmental Management Bureau Region 9 (EMB-9), through FY 2020 General Appropriation Act (GAA) intends to apply the sum of Two Million Pesos (PhP2,000,000.00) being the Approved Budget for the Contract (ABC) to payments under contract for the SUPPL</t>
  </si>
  <si>
    <t xml:space="preserve"> Republic of the Philippines MUNICIPALITY OF CABUGAO Ilocos Sur Invitation to Bid for the Improvement of Farm to Market Road @ Brgy. Rizal (Sison St), Cabugao, Ilocos Sur 1. The Local Government Unit of Cabugao, Ilocos Sur, through the R.A. 7171 under AO N</t>
  </si>
  <si>
    <t xml:space="preserve"> Invitation to Bid  The National Housing Authority (NHA), through the Corporate Budget approved by the NHA Board for the year 2020 intends to apply the sum of the Approved Budget for the Contract (ABC) to payment for the following contract:  Ref. No.: INFR</t>
  </si>
  <si>
    <t xml:space="preserve"> Supply and delivery of the following: 26 units Fire Extinguisher (ABC dry chemical) 10lbs    20 units Smoke Detector (battery operated)               6 units Fire Alarm                                                   13 units Emergency Light            </t>
  </si>
  <si>
    <t xml:space="preserve"> PLEASE SEE ATTACHED INVITATION TO BID FOR THE PROJECT DESCRIPTION.</t>
  </si>
  <si>
    <t xml:space="preserve"> Procurement of 1 battery 4D &amp; 46 other L/I</t>
  </si>
  <si>
    <t xml:space="preserve"> 1 Cell Cards, Globe, 500,      550.00       65 pc/s  2 Cell Cards, Smart, 500,      550.00       65 pc/s Please see attached RFQ.</t>
  </si>
  <si>
    <t xml:space="preserve"> 1	REAM	BOND PAPER	309	67,800.78 2	BOT	PRINTER INK 	96	33,600.00 3	REAM	FOLDER  	8	3,600.00 4	KILO	TONNER	8	24,000.00</t>
  </si>
  <si>
    <t xml:space="preserve"> OPENING OF BIDS  ON SEPTEMBER 7,2020 3:00 PM AT BARANGAY VALENZUELA HALL</t>
  </si>
  <si>
    <t xml:space="preserve"> MUNICIPALITY OF ABRA DE ILOG Name of Procuring Entity						 Contract Reference Number Goods No. 35-2020 Name of Contract: Supply and Delivery of 1 Unit Heavy Duty Risograph Machine Location:  LGU, ADIOM Republic of the Philippines Province of Occidental M</t>
  </si>
  <si>
    <t xml:space="preserve"> LEASE RENTAL FOR FOUR MONTHS OF EIGHT (8) UNITS LAPTOP											 											 LAPTOP, CORE i3-1005G1, 14 HD, 4GB RAM, 256-500 GB									7	UNITS	P LAPTOP, AMD RYZEN 5-4500U, 15.6 HD/ 8GB RAM, 512GB SSD									1	UNIT	 X-X-X-X-X-X-X-X-X-X-X-X-X</t>
  </si>
  <si>
    <t xml:space="preserve"> EXPLORATORY DEEPWELL DRILLING, INSTALLATION OF ELECTRO-MECHANICAL EQUIPMENT AND POWER SUPPLY, CONSTRUCTION OF PUMP HOUSE AND FENCE AND PIPELAYING OF 100MM u.P.V.C. TRANSMISSION PIPELINES in Barangay Lipay, Villasis, Pangasinan</t>
  </si>
  <si>
    <t xml:space="preserve"> Republic of the Philippines  Province of Agusan del Norte  Municipality of Nasipit BIDS AND AWARDS COMMITTEE Notice for Negotiated Procurement The Local Government Unit of Nasipit, through its Bids and Awards Committee (BAC) will undertake a Alternative M</t>
  </si>
  <si>
    <t xml:space="preserve"> Republic of the Philippines																						 Cordillera Administrative Region																						 Provincial Local Government Unit of Ifugao																						 BIDS AND AWARDS COMMITTEE - INFRA																						 3rd Floor PEO Bldg., Capitol </t>
  </si>
  <si>
    <t xml:space="preserve"> 5 cyl Acetylene 7.13 kgs/cyl (225 cu ft/cyl) (refill) &amp; 25 L/I</t>
  </si>
  <si>
    <t xml:space="preserve"> *For price quotations (preferably thru email) and any inquiries, please look for Ms. Paula Bianca de Mesa. Email: paula.demesa@pms.gov.ph Telefax : 8-733 4861/71 1 LOT  Hiring of a Certifying Body for the Year 2 Surveillance Audit of the PMS-QMS Core Proc</t>
  </si>
  <si>
    <t xml:space="preserve"> Brand New Fire Extinguisher 10 lbs</t>
  </si>
  <si>
    <t xml:space="preserve"> Zonrox	5 gal Persil Laundry Liquid Soap 	2 gal Trash Bag XL	5 packs Albatros white	5 pcs Baygon Waterbase	3 pcs Dishwashing Liquid	1 gal Rubber Sanitizing Mat 	1 pc Disinfecting Mat	2 pcs Lysol Disinfectant Spray	2 pcs Tornado Mop	1 pc LED Light bulb	6 pc</t>
  </si>
  <si>
    <t xml:space="preserve"> PROCUREMENT OF THE FOLLOWING SERVICES: CONCRETING OF 225 LINEAR METERS x 0.60 METERS WIDTH x 0.10 METER THICK CONCRETE PATHWAY. A, MATERIALS B. LABOR FOR MORE DETAILS VISIT THE BARANGAY</t>
  </si>
  <si>
    <t xml:space="preserve"> Procurement of Two (2) ea Motherboard DDR4 and Eight (8) other line items</t>
  </si>
  <si>
    <t xml:space="preserve"> 1 ea RH Fuel Probe PN: 100-380006-125/100-380006-185 &amp; 3 L/I</t>
  </si>
  <si>
    <t xml:space="preserve"> PROCUREMENT TERMS &amp; CONDITIONS					 1	The Total Approved Budget for the Contract (ABC) is Php 19,803.00				 2	Price quotation should be inclusive of tax obligations.				 3	Delivery period is 10 calendar days from the receipt of NOA &amp; PO.				 4	If awarded </t>
  </si>
  <si>
    <t xml:space="preserve"> 10	kls	Powder soap 4	gallons	Bleach 4	gallons	Povidone Iodine 1	unit	BP Apparatus</t>
  </si>
  <si>
    <t xml:space="preserve"> Republic of the Philippines MUNICIPALITY OF CABUGAO Ilocos Sur Invitation to Bid for the Concreting of Farm to Market Road @ Brgy. Pug-os (Murmuray), Cabvugao, Ilocos Sur 1. The Local Government Unit of Cabugao, Ilocos Sur, through the R.A. 7171 under AO </t>
  </si>
  <si>
    <t xml:space="preserve"> One (1) Job Contract for the Construction of Perimeter Fence, Brgy. Cabunga, Passi City, Iloilo/Brgy. Cabunga.</t>
  </si>
  <si>
    <t xml:space="preserve"> NAME OF PROJECT:  PROCUREMENT OF IT EQUIPMENT LOCATION OF THE PROJECT:  Donsol, Sorsogon PROJECT REFERENCE NO     GOODS-PB-2020-010 Approved Budget for the Contract (ABC): ₱ 350,000.00 3	sets	Brand New Desktop computer with the following minimum specs: * </t>
  </si>
  <si>
    <t xml:space="preserve"> The Department of the Interior and Local Government Region XII (DILG-XII), through its Regional Bids and Awards Committee (RBAC), hereby invites all interested suppliers registered with the Philippine Government Electronic Procurement System (PhilGEPS), t</t>
  </si>
  <si>
    <t xml:space="preserve"> INVITATION TO BID (for the Procurement of Goods)           1.	The City Government of Puerto Princesa (CGPP), through its Supplemental Budget No. 1-2019, intends to apply the sum, corresponds as the Approved Budget for the Contract (ABC) for each of the fo</t>
  </si>
  <si>
    <t xml:space="preserve"> Purchase of Blinds</t>
  </si>
  <si>
    <t xml:space="preserve"> REQUEST FOR PROPOSAL RFQ no.: CS 08-001-20 PR no.: O2020-08-3053 End User: SOILS  Consulting Services for Development of Regional Soils Laboratory Data Management System (RSLDMS) The Department of Agriculture IX invites all eligible consultants to quote t</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</si>
  <si>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</si>
  <si>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2 ea Directional Control Valve (Solenoid Part Nr. 0501 337 052)</t>
  </si>
  <si>
    <t xml:space="preserve"> please see attached file/document note: the attached PQF is without signature of the canvasser due to the reason that if ever we will scan the hard copy of the PQF the output (text) will be blurred.</t>
  </si>
  <si>
    <t xml:space="preserve"> Republic of the Philippines MUNICIPALITY OF CABUGAO Ilocos Sur Invitation to Bid for the Improvement of Farm to Market Road @ Brgy. Rizal (Singson St), Cabugao, Ilocos Sur 1. The Local Government Unit of Cabugao, Ilocos Sur, through the R.A. 7171 under AO</t>
  </si>
  <si>
    <t xml:space="preserve"> PROCUREMENT OF THE FOLLOWING SERVICES: CONCRETING OF 110 LINEAR METERS x 50 CM HEIGHT CANAL MADE OF BOULDERS. A, MATERIALS B. LABOR FOR MORE DETAILS VISIT THE BARANGAY</t>
  </si>
  <si>
    <t xml:space="preserve"> Five (5) Ea, Tire (234/65 R17) and 8 Other line items.</t>
  </si>
  <si>
    <t xml:space="preserve"> REQUEST FOR QUOTATION							 LEASE OF REAL PROPERTY AND VENUE							 INSTRUCTION:							 1.	Bidders are required to read the instructions and fill all the blocks properly. Particularly the column under the cost.						 2.	The Bidders/Supplier may submit al</t>
  </si>
  <si>
    <t xml:space="preserve"> Section I. Invitation to Bid   Provincial Government of Isabela SUPPLY AND DELIVERY OF OFFICE SUPPLIES – 3RD QUARTER The Provincial Government of Isabela, through the PGI FUND intends to apply the sum of One Million Eight Hundred Twenty Three Thousand Six</t>
  </si>
  <si>
    <t xml:space="preserve"> Procurement ID/Contract ID:	19LG0123 Contract Name:		Construction/Repair/Rehabilitation/Improvement of Multi-purpose Building in Municipality of San Isidro Contract Location:	San Isidro, Davao Oriental Brief Description:	Construction/Repair/Rehabilitation</t>
  </si>
  <si>
    <t xml:space="preserve"> Unit 	Item Description	                                      Quantity 		 		  pcs.	       2 x 1.5 ft. two sides print, with led light installed,                     free installation	                                             2</t>
  </si>
  <si>
    <t xml:space="preserve"> Concreting of 21.00 In.m., 0.15m thick, 4.00m width roadway Barangay Road</t>
  </si>
  <si>
    <t xml:space="preserve"> INVITATION FOR SUBMISSION OF QUOTATION (SHOPPING)   The ZAMBOANGA SIBUGAY POLYTECHNIC (ZSPI) formerly KABASALAN INSTITUTE OF TECHNOLOGY (KIT), through the General Appropriations Act (GAA) of 2018 intends to apply the sum SIXTY NINE THOUSAND PESOS ONLY (Ph</t>
  </si>
  <si>
    <t xml:space="preserve"> 1	REAM	BOND PAPER (Subtance 20)	350	200.00	70,000.00 2	BOT	EPSON INK BLACK 	44	380.00	16,720.00</t>
  </si>
  <si>
    <t xml:space="preserve"> Republic of the Philippines PROVINCE OF ZAMBALES I B A  Project Reference Number/Purchase Request No..	PHO 2020-571 &amp;  CDH-2020-244                                                                                                 Location of the Project:	Pr</t>
  </si>
  <si>
    <t xml:space="preserve"> Gravelling of Barangay Road at Prk.Matinabangon to Malaumon, Brgy. Mudan, Glan Sarangani Province</t>
  </si>
  <si>
    <t xml:space="preserve"> Item I - Clearing and Grubbing   700  sq.m. Item II - Excavation and Backfill  143.50  cu.m. Item III - Masonry Works w/ Plastering/Finishing  560.00  sq.m. Item IV - Structural Concrete   108.56  cu.m. SPCL-I - Project Billboard  1 set Invitation to Bid </t>
  </si>
  <si>
    <t xml:space="preserve"> PURCHASE OF COMPUTER  PERIPHERALS/ACCESORIES</t>
  </si>
  <si>
    <t xml:space="preserve"> Republic of the Philippines MUNICIPALITY OF CABUGAO Ilocos Sur Invitation to Bid for the Improvement of Balay oak Diversion Dam @ Balay oak, Pug-os, Cabugao, Ilocos Sur 1. The Local Government Unit of Cabugao, Ilocos Sur, through the R.A. 7171 under AO No</t>
  </si>
  <si>
    <t xml:space="preserve"> Date: August 12, 2020 RFQ No.: 2020-08- PR No.: 2020-08-575 To All Eligible Suppliers Please quote your lowest price inclusive of VAT on the item/s listed below, subject to the Terms and Conditions of this RFQ, for more information please call Telephone N</t>
  </si>
  <si>
    <t xml:space="preserve"> PROCUREMENT OF THE FOLLOWING SERVICES: CONCRETING OF 410 LINEAR METERS x 0.60 METERS WIDTH x 0.10 METERS THICK CONCRETE PATHWAY. A, MATERIALS B. LABOR C. HAULING SERVICE FOR MORE DETAILS VISIT THE BARANGAY</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</si>
  <si>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</si>
  <si>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Project ID No. -------------------------------: ID NO. MAA-SAR-INF-006-2020 Title of Project ------------------------------: Concreting of San Felipe Blvd. Location of the Project ----------------------: Barangay Poblacion Date of Bidding ----------------</t>
  </si>
  <si>
    <t xml:space="preserve"> 1 lot Installation of Two (2) 3-Tonner ACU (Labor &amp; Materials) &amp; 5 L/I</t>
  </si>
  <si>
    <t xml:space="preserve"> 2 ea Angle Bar 1/4 x 2 x 2 x 20' &amp; 6 L/I</t>
  </si>
  <si>
    <t xml:space="preserve"> INVITATION FOR SUBMISSION OF QUOTATION (SMALL VALUE PROCUREMENT)   The ZAMBOANGA SIBUGAY POLYTECHNIC INSTITUTE (ZSPI) formerly KABASALAN INSTITUTE OF TECHNOLOGY (KIT), through the General Appropriations Act (GAA) of 2018 intends to apply the sum FOUR HUND</t>
  </si>
  <si>
    <t xml:space="preserve"> 1 kit Repair Kit, Fresh Water Pump 519738</t>
  </si>
  <si>
    <t xml:space="preserve"> 1 ea Impeller Key and Spring Assembly (5008968) &amp; 2 L/I</t>
  </si>
  <si>
    <t xml:space="preserve"> Section I. Invitation to Bid   Provincial Government of Isabela SUPPLY AND DELIVERY BRAND NEW AUV 2.8L, 4 CYLINDER, DIESEL, AT, WITH 3 YEARS LTO REGISTRATION The Provincial Government of Isabela, through the PGI FUND intends to apply the sum of One Millio</t>
  </si>
  <si>
    <t xml:space="preserve"> Procurement of Various Office Supplies and Materials for use of LTO MIMAROPA Region boxes	Ballpen - black		20	 120.00 	 2,400.00  boxes	Ballpen - blue		4	 120.00 	 480.00  box 	Ballpen - red		1	 120.00 	 120.00  boxes	Sign Pen V10 - Black		22	 910.00 	 20</t>
  </si>
  <si>
    <t xml:space="preserve"> Section I. Invitation to Bid   Provincial Government of Isabela SUPPLY AND DELIVERY OF JANITORIAL SUPPLIES – 3RD QUARTER The Provincial Government of Isabela, through the PGI FUND intends to apply the sum of One Million Three Hundred Ten Thousand Four Hun</t>
  </si>
  <si>
    <t xml:space="preserve"> REQUEST FOR QUOTATION Shopping of Fabricated Frame, Stainless Steel Kitchen Sink with bowl, drain and stand, Goose Neck Faucet, Fittings &amp; Liquid HandSoap RFQ No. 2020-08-010 The Obando Water District (OWD), through its Bids and Awards Committee (BAC), in</t>
  </si>
  <si>
    <t xml:space="preserve"> 5 units Counter Chair 4 units Computer Chair</t>
  </si>
  <si>
    <t xml:space="preserve"> PROCUREMENT OF THE FOLLOWING SERVICES: CONCRETING OF 180 LINEAR METERS x 40 CM HEIGHT CANAL MADE OF BOULDERS. A, MATERIALS B. LABOR FOR MORE DETAILS VISIT THE BARANGAY</t>
  </si>
  <si>
    <t xml:space="preserve"> Other Supplies and Materials</t>
  </si>
  <si>
    <t xml:space="preserve"> Purchase of Laptop, Desktop, &amp; Printers</t>
  </si>
  <si>
    <t xml:space="preserve"> TECHNICAL SPECIFICATIONS			 1	within SEPTEMBER 1-2, 2020		 2	Venue:		 	a. Within AGUSAN DEL NORTE		 	b. Accessible to commuting public		 	c. Function Room can accommodate 60 participants		 	e. Function Hall, Accommodation, and Parking Space located in the</t>
  </si>
  <si>
    <t xml:space="preserve"> 1 unit 4 layer Steel cabinet</t>
  </si>
  <si>
    <t xml:space="preserve"> 1. The Amulung Water District (AMWADI) through the Bids and Awards Committee of the Local Government Unit of the Municipality of Amulung, Cagayan and through a loan from LWUA under the FY 2017 GAA, intends to apply the sum of Php 2,001,706.85 being the Ap</t>
  </si>
  <si>
    <t xml:space="preserve"> Project ID No. -------------------------------: ID NO. MAA-SAR-INF-007-2020 Title of Project ------------------------------: Concreting of Macnit Road Location of the Project ----------------------: Barangay Nomoh Date of Bidding -------------------------</t>
  </si>
  <si>
    <t xml:space="preserve"> please see attached file... note: the attached PQF has no signature of the canvasser</t>
  </si>
  <si>
    <t xml:space="preserve"> REQUEST FOR QUOTATION (Small Value Procurement) Company Name		:	______________________	Date: _______________________ Address			:	______________________	Quotation No. CWD 42-2020                                                               _______________</t>
  </si>
  <si>
    <t xml:space="preserve"> A) Brgy. Vega				 	1		lot		Electrical Material Hardwares			 	1		lot		Concrete/Steel Poles			 	1		lot		Metering Accessories			 	1		lot		Transformer, 1-50 KVA (Brand New)			 	1		lot		Mounting of 1-50 KVA Transformer			 	1		lot		Labor			 								 B) Brgy. Ma</t>
  </si>
  <si>
    <t xml:space="preserve"> Food Supplies</t>
  </si>
  <si>
    <t xml:space="preserve"> Procurement of Various Common-Used Supplies for COVID-19 box	Surgical Face Max, 3-ply, 50/box		150	 580.00 	 87,000.00  pack	Nitrile Gloves, 100/pack, L, XL		55	 550.00 	 30,250.00  gal	Alcohol, 70% Ethyl/Isopropyl		95	 800.00 	 76,000.00  bttls	Alcohol, </t>
  </si>
  <si>
    <t xml:space="preserve"> PRINTING OF JHS MODULES FOR THE FIRST WEEK</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</si>
  <si>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</si>
  <si>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Republic of the Philippines Department of Education Region VI – Western Visayas DIVISION OF AKLAN Poblacion, Numancia, Aklan INVITATION TO BID Project No.: DepED-RO6-D1-2020BEFFGABALDONREPAIR-057-2020 The Department of Education (DepED) Division of Aklan,</t>
  </si>
  <si>
    <t xml:space="preserve"> Republic of the Philippines MUNICIPALITY OF QUEZON Province of Quezon INVITATION TO BID Date	: August 3, 2020 The Municipality of Quezon, through its Bids and Awards Committee (BAC), invites supplier/manufactures/distributors/contractors to apply for elig</t>
  </si>
  <si>
    <t xml:space="preserve"> Catering Services in the Conduct of Workshop Cum Stakeholders Consultation Meeting with the People's Organization in Line with the Preparation of Five (5) Year Reforestation / Rehabilitation / Restoration Plan for the Enhanced National Greening Program wi</t>
  </si>
  <si>
    <t xml:space="preserve"> Rehabilitation of school clinic (partition,repainting) Labor</t>
  </si>
  <si>
    <t xml:space="preserve"> A4 BOND PAPER	5 REAMS STAMP PAD 	1 PC STAPLER	1 PC STAPLE WIRE	1 PC FOLDER (LONG)	100 PCS TAPE DISPENSER	1 PC SHARPENER	1 PC ELMER’S GLUE BIG	2 PCS BINDER CLIPS SMALL	2 BOXES BINDER CLIPS BIG	2 BOXES BROWN ENVELOPE (LONG)	50 PCS BLACK BALLPEN	1 BOX SCISSO</t>
  </si>
  <si>
    <t xml:space="preserve"> WHEREAS, various departments/offices submitted Purchase Requests with the following details: PR No. Project Title ABC Department/ Office GF-20-02-00132 Uninterruptible Power Supply P 8,440.00 Human Resource Management Department GF-20-02-00322 Generator a</t>
  </si>
  <si>
    <t xml:space="preserve"> -</t>
  </si>
  <si>
    <t xml:space="preserve"> INVITATION TO BID COMPLETION OF BARANGAY HALL 	The Local Government Unit of Rizal, Cagayan intends to apply the sum of ONE HUNDRED FIFTY-ONE THOUSAND PESOS (P151,000.00) being the Approved Budget for the Contract (ABC) for the COMPLETION OF BARANGAY HALL </t>
  </si>
  <si>
    <t xml:space="preserve"> RFQ 033 Procurement of Tap Water (Reposting) 2000 Drums ( at 200 Liters per Drum)</t>
  </si>
  <si>
    <t xml:space="preserve"> Republic of the Philippines Department of Education Region VI – Western Visayas DIVISION OF AKLAN Poblacion, Numancia, Aklan INVITATION TO BID Project No.: DepED-RO6-D1-2020QRF(REPAIR)REBID-C5-062-2020 The Department of Education (DepED) Division of Aklan</t>
  </si>
  <si>
    <t xml:space="preserve"> 1.	The Department of Education – Schools Division Office of Pasig City, through the GAA CY 2020 – Basic Education Facilities Fund (BEFF)  intends to apply the sum of Twenty-Six Million, Four Hundred Seventy-Eight Thousand One Hundred Ninety Pesos and Sixt</t>
  </si>
  <si>
    <t xml:space="preserve"> Republic of the Philippines Department of Education Region VI – Western Visayas DIVISION OF AKLAN Poblacion, Numancia, Aklan INVITATION TO BID Project No.: DepED-RO6-D1-2020QRF(REPAIR)REBID-C4-061-2020 The Department of Education (DepED) Division of Aklan</t>
  </si>
  <si>
    <t xml:space="preserve"> Republic of the Philippines Department of Education Region VI – Western Visayas DIVISION OF AKLAN Poblacion, Numancia, Aklan INVITATION TO BID Project No.: DepED-RO6-D1-2020QRF(REPAIR)REBID-C3-060-2020 The Department of Education (DepED) Division of Aklan</t>
  </si>
  <si>
    <t xml:space="preserve"> Page 1 of 3 Invitation to Bid 20GFC0060-62 Republic of the Philippines DEPARTMENT OF PUBLIC WORKS AND HIGHWAYS CAMARINES NORTE DISTRICT ENGINEERING OFFICE REGIONAL OFFICE V Daet, Camarines Norte INVITATION TO BID The Department of Public Works and Highway</t>
  </si>
  <si>
    <t xml:space="preserve"> Republic of the Philippines MUNICIPALITY OF QUEZON Province of Quezon INVITATION TO BID Date	: August 25, 2020 The Municipality of Quezon, through its Bids and Awards Committee (BAC), invites supplier/manufactures/distributors/contractors to apply for eli</t>
  </si>
  <si>
    <t xml:space="preserve"> INVITATION TO QUOTE Date:  August 24, 2020 1.	The Provincial Government of Davao del Sur, through its Bids and Awards Committee (BAC), invites all interested bidders/suppliers to quote for the following goods under Alternative Methods of Procurement (Smal</t>
  </si>
  <si>
    <t xml:space="preserve"> INVITATION TO BID FOR Procurement of AUTOCLAVE MACHINE The Quirino Memorial Medical Center, through the INCOME FUND – CAPITAL OUTLAY intends to apply the sum of ONE MILLION TWO HUNDRED THOUSAND PESOS ONLY (PHP 1,200,000.00) being the Approved Budget for t</t>
  </si>
  <si>
    <t xml:space="preserve"> Repair/Rehabilitation of Multi-Purpose Building with Facilities</t>
  </si>
  <si>
    <t xml:space="preserve"> Supply and delivery of rehabilitations supply for the PDL of BJMPR-IX for period of September, CY 2020.</t>
  </si>
  <si>
    <t xml:space="preserve"> Location: Tocdog Dacu, Loay, Bohol To include well drilling. Installation of PVC pipe casing shall be shouldered by BLGU Materials/ Description: well drilling with 8" diameter borehole with 6" diameter casing PVC Pipe  4"x10" casing with installation proj</t>
  </si>
  <si>
    <t xml:space="preserve"> RESOLUTION ON PRIOR APPROVAL NO. 07-111 Series of 2020 RESOLUTION RECOMMENDING THE USE OF ALTERNATIVE METHOD OF PROCUREMENT FOR THE ACQUISITION OF GOODS AND SERVICES WHEREAS, various departments/offices submitted Purchase Requests with the following detai</t>
  </si>
  <si>
    <t xml:space="preserve"> Republic of the Philippines Department of Education Region VI – Western Visayas DIVISION OF AKLAN Poblacion, Numancia, Aklan INVITATION TO BID Project No.: DepED-RO6-D1-2020QRF(REPAIR)REBID-C7-064-2020 The Department of Education (DepED) Division of Aklan</t>
  </si>
  <si>
    <t xml:space="preserve"> Republic of the Philippines Department of Education Region VI – Western Visayas DIVISION OF AKLAN Poblacion, Numancia, Aklan INVITATION TO BID Project No.: DepED-RO6-D1-2020QRF(REPAIR)REBID-C8-065-2020 The Department of Education (DepED) Division of Aklan</t>
  </si>
  <si>
    <t xml:space="preserve"> see attached PR</t>
  </si>
  <si>
    <t xml:space="preserve"> Office Supplies Expenses</t>
  </si>
  <si>
    <t xml:space="preserve"> 20E00103-R1: Cluster 9- Rehabilitation / Reconstruction of Roads with Slips, Slope Collapse and Landslide along San Jose-Port Barton Road Section K0014+118.90 – K0014+200.00; K0014+840 – K0014+921.40; K0015+232 – K0015+291.90; K0015+156.50 – K0015+220.00,</t>
  </si>
  <si>
    <t xml:space="preserve"> Republic of the Philippines Department of Education Region VI – Western Visayas DIVISION OF AKLAN Poblacion, Numancia, Aklan INVITATION TO BID Project No.: DepED-RO6-D1-2020QRF(REPAIR)REBID-C6-063-2020 The Department of Education (DepED) Division of Aklan</t>
  </si>
  <si>
    <t xml:space="preserve"> BIDS AND AWARDS COMMITTEE Municipality of Bontoc Mountain Province REQUEST FOR QUOTATION Construction of Comfort Room and Partitioning of Municipal Quarantine Facility Location: Bontoc, Mountain Province LGU-Bontoc								Date: August 24, 2020 Name of Com</t>
  </si>
  <si>
    <t xml:space="preserve"> Republic of the Philippines LOCAL GOVERNMENT UNIT OF GINGOOG BIDS AND AWARDS COMMITTEE Gingoog City 	INVITATION TO BID	 PURCHASE OF OFFICE EQUIPMENT UNDER P.R. NO. 80-20-08-108 1.	The Local Government Unit of Gingoog City, through the Budget for the contr</t>
  </si>
  <si>
    <t xml:space="preserve"> LGU – Sierra Bullones     					  Contractor Reference Number 	                                                                                                 								         Name of the Contract    								        Location of the Contract Standard Form </t>
  </si>
  <si>
    <t xml:space="preserve"> 1.	The Department of Education – Schools Division Office of Pasig City, through the GAA CY 2020 – Basic Education Facilities Fund (BEFF)  intends to apply the sum of Twenty Million Six Hundred Seventy-Eight Thousand Three Hundred Twenty-Six Pesos (₱20,678</t>
  </si>
  <si>
    <t xml:space="preserve"> 1 set Kit-Seal and Gasket Set LW-14815 &amp; 22 L/I</t>
  </si>
  <si>
    <t xml:space="preserve"> Supply and delivery of office equipment for BJMPR-IX for period of September, CY 2020.</t>
  </si>
  <si>
    <t xml:space="preserve"> Food Supplies Expenses</t>
  </si>
  <si>
    <t xml:space="preserve"> RFQ No. 035- Procurement of Office Equipment (Water Dispenser and Split Type Air condition)-Reposting  Water Dispenser (Hot and Cold) AirCon (Split Type, 1HP with installation and materials)</t>
  </si>
  <si>
    <t xml:space="preserve"> Medical, Dental &amp; Laboratory Supplies Expenses</t>
  </si>
  <si>
    <t xml:space="preserve"> INVITATION TO BID FOR Procurement of 2D ECHOCARDIOGRAM MACHINE 1.	The Quirino Memorial Medical Center, through the SAA-2020-04-0813 CAPITAL OUTLAY intends to apply the sum of TWO MILLION SIX HUNDRED THOUSAND PESOS ONLY (PHP 2,600,000.00) being the Approve</t>
  </si>
  <si>
    <t xml:space="preserve"> RESOLUTION ON PRIOR APPROVAL NO. 07-113 Series of 2020 RESOLUTION RECOMMENDING THE USE OF ALTERNATIVE METHOD OF PROCUREMENT FOR THE ACQUISITION OF GOODS AND SERVICES WHEREAS, various departments/offices submitted Purchase Requests with the following detai</t>
  </si>
  <si>
    <t xml:space="preserve"> Republic of the Philippines LOCAL GOVERNMENT UNIT OF GINGOOG BIDS AND AWARDS COMMITTEE Gingoog City 	INVITATION TO BID	 PURCHASE OF HORIZONTAL FEED MIXER WAGON UNDER P.R. NO. 50-20-06-051 1.	The Local Government Unit of Gingoog City, through the Budget fo</t>
  </si>
  <si>
    <t xml:space="preserve"> Republic of the Philippines LOCAL GOVERNMENT UNIT OF GINGOOG BIDS AND AWARDS COMMITTEE Gingoog City 	INVITATION TO BID	 PURCHASE OF RESCUE EQUIPMENT UNDER P.R. NO. 80-20-07-101 1.	The Local Government Unit of Gingoog City, through the Budget for the contr</t>
  </si>
  <si>
    <t xml:space="preserve"> REPOST PHILGEPS DUE TO CHANGE BID AMOUNT ( PURCHASE OF DRUG TESTING KIT)</t>
  </si>
  <si>
    <t xml:space="preserve"> Printing and Publication</t>
  </si>
  <si>
    <t xml:space="preserve"> REQUEST FOR QUOTATION										 SUPPLY AND DELIVERY OF ID CARD RIBBON AND CLEANER KIT FOR ENDURO, PRONTO, RIO PRO CARD PRINTERS WITH PREMIER PVC CARD										 Small Value Procurement										 										 INSTRUCTION:										               	1.	Supplies </t>
  </si>
  <si>
    <t xml:space="preserve"> Other Supplies  and Materials</t>
  </si>
  <si>
    <t xml:space="preserve"> Item I - Removal of Damaged Roof Framing and Roofing  912.09 sq.m. Item II - Roof Framing and Roofing Works  912.09  sq.m. Item III - Painting Works  456.05  sq.m. SPCL-I- Project Billboard  1.00 set Invitation to Bid   REPAIR OF ROOF FRAMING AND ROOFING </t>
  </si>
  <si>
    <t xml:space="preserve"> Location: Brgy. Tambangan, Loay, Bohol materials: Aggregate Base Course Materials portland cement sand gravel coco lumber RSB asphalt joint filler hacksaw blade CW nails nylon strings water project billboard printing of tarpaulin for signage equipment ren</t>
  </si>
  <si>
    <t xml:space="preserve"> Republic of the Philippines DEPARTMENT OF PUBLIC WORKS AND HIGHWAYS CAGAYAN THIRD DISTRICT ENGINEERING OFFICE REGION II Tuguegarao City The DPWH-CAGAYAN THIRD DISTRICT ENGINEERING OFFICE, through the GAA FY-2020 intends to apply the sum of P990,000.00 bei</t>
  </si>
  <si>
    <t xml:space="preserve"> Materials CHB  Portland Cement river sand gravel deformed bars GI Tire wire Form lumber form plywood CW Nails project billboard printing of tarpaulin for signage</t>
  </si>
  <si>
    <t xml:space="preserve"> Procurement of 1 ea Motherboard H310MD &amp; 9 other line items.</t>
  </si>
  <si>
    <t xml:space="preserve"> Republic of the Philippines Department of Education Region VI – Western Visayas DIVISION OF AKLAN Poblacion, Numancia, Aklan INVITATION TO BID Project No.: DepED-RO6-D1-2020QRF(REPAIR)REBID-C9-066-2020 The Department of Education (DepED) Division of Aklan</t>
  </si>
  <si>
    <t xml:space="preserve"> Republic of the Philippines Department of Education Region VI – Western Visayas DIVISION OF AKLAN Poblacion, Numancia, Aklan INVITATION TO BID Project No.: DepED-RO6-D1-2020QRF(REPAIR)REBID-C10-067-2020 The Department of Education (DepED) Division of Akla</t>
  </si>
  <si>
    <t xml:space="preserve"> 20E00104-R1: Cluster 10- Rehabilitation / Reconstruction of Roads with Slips, Slope Collapse and Landslide along San Jose-Port Barton Road Section K0015+415.00 – K0015+456.80; Section K0015+723.00 – K0015+770.00; K0016+315.00 – K0016+380.10; K0016+770 – K</t>
  </si>
  <si>
    <t xml:space="preserve"> Republic of the Philippines LOCAL GOVERNMENT UNIT OF GINGOOG BIDS AND AWARDS COMMITTEE Gingoog City 	INVITATION TO BID	 PURCHASE OF 4X4 TRUCK PASSENGER TYPE REAR CAB UNDER P.R. NO. 30-20-07-081 1.	The Local Government Unit of Gingoog City, through the Bud</t>
  </si>
  <si>
    <t xml:space="preserve"> Other Supplies &amp; Materials</t>
  </si>
  <si>
    <t xml:space="preserve"> INVITATION TO BID   The Municipality of General Luna, Quezon, through its Bids and Awards Committee (BAC), invites contractors registered with and classified by the Philippine Contractors Accreditation Board (PCAB) to apply for the eligibility and to bid:</t>
  </si>
  <si>
    <t xml:space="preserve"> Quantity	Unit	Description 750	reams	Bondpaper,A4 19	sets	Computer Ink 28	btls	Computer Ink,black 36	boxes	Stapler No.35 50	boxes	Stape Wire No,35 5	sets	Toner 5in1 30	btls	Toner 650	packs	Sticker Paper 10/1 1271	pcs	Expandabel Plastic Envelope</t>
  </si>
  <si>
    <t xml:space="preserve"> PROCUREMENT OF MATERIALS FOR THE CONSTRUCTION OF MULTIPURPOSE HALL (PHASE I) OF BRGY. CANABUAN, TIGBAUAN, ILOILO</t>
  </si>
  <si>
    <t xml:space="preserve"> 3 GALLON PALM OIL 2. 1 SACK BROWN SUGAR 3. 1 SACK REFINE SUGAR 4. 1 BOX SOY SAUCE (200 ML) 5. 1 BOX SOY SAUCE (100 ML) 6. 1 BOX VINEGAR (200 ML) 7. 1 BOX VINEGAR (100 ML) 8. 1 SACK FLOUR 9. 5 TRAY EGG 10. 5 PACK SEASONING (MAGIC SARAP) 11. 5 PACK MSG (AJI</t>
  </si>
  <si>
    <t xml:space="preserve"> NOTICE TO THE PUBLIC       REQUEST FOR QUOTATION AMP SVP-S NO: 20-08-0431A  	 The University of the Philippines, SYSTEM (UPS) hereby informs the public that it will be procuring the following item/s through Small Value Procurement:   Qty/Unit	Item Descrip</t>
  </si>
  <si>
    <t xml:space="preserve"> Location: Brgy. Hinawanan, Loay, Bohol Materials: TILES AND CONCRETE WORKS tiles portland cement river sand gravel deformed bars GI Tire wire Tile Adhesive Tile grout PAINTING Flat enamel semi gloss enamel lacquer thinner flat latex semi gloss latex red l</t>
  </si>
  <si>
    <t xml:space="preserve"> Other Supplies and Materials Expenses</t>
  </si>
  <si>
    <t xml:space="preserve"> 20E00105-R1: Cluster 11- Rehabilitation / Reconstruction of Roads with Slips, Slope Collapse and Landslide along San Jose-Port Barton Road Section K0017+000 – K0017+071; K0017+100.00 – K0017+161.80; K0018+307.90 – K0018+427.00, Palawan 11.1 Rehabilitation</t>
  </si>
  <si>
    <t xml:space="preserve"> PRINTING OF IEC MATERIALS AND VARIOUS REPORTS OF BAFE</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</si>
  <si>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</si>
  <si>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SOLAR STREETLIGHTS WITH POST Location: Tinalmud Nuevo, Libmanan Camarines Sur Appropriarion: PHP307, 046.80 Source of Fund: 20% EDF 2020 Description: Solar Streetlights  I- Excavation Works Estimated Quantity = 4.32cu.m 4.32 cu. m Soil Excavation II - Con</t>
  </si>
  <si>
    <t xml:space="preserve"> The Department of Agriculture invites interested suppliers to submit quotations/proposals for the hereunder requirement: PURCHASE OF SUPPLIES IN RESPONSE TO COVID-19 PANDEMIC	 22	pcs	Item I: FOOT BATH  Non-slip Stainless Steel Foot Bath Traywith Rubber Di</t>
  </si>
  <si>
    <t xml:space="preserve"> Various supplies</t>
  </si>
  <si>
    <t xml:space="preserve"> NOTICE OF NEGOTIATED PROCUREMENT (Small Value Procurement) Project:	Purchase of 1650 bags Cement  		(PR#2020-07-6712) Location: 	Sangguniang Panlalawigan 	        Lingayen, Pangasinan Approved Budget for 	 the Contract (ABC):	P 495,000.00 Approved by:	 HI</t>
  </si>
  <si>
    <t xml:space="preserve"> SUPPLY, DELIVERY, AND INSTALLATION OF VARIOUS OFFICE EQUIPMENT</t>
  </si>
  <si>
    <t xml:space="preserve"> Procurement of 60 cans Disinfectant Spray, 340g &amp; 21 other line items.</t>
  </si>
  <si>
    <t xml:space="preserve"> Kindly see attached LINK for the specifications: https://drive.google.com/file/d/1zNZbwy-ELC8xOA6QziVrADiv5ASKJX71/view?usp=drivesdk</t>
  </si>
  <si>
    <t xml:space="preserve"> Package 041- Procurement of Sala Set (Cleopatra) 1 long (60 inches x 20 inches) 4 chairs ( 20 inches x 20 inches)</t>
  </si>
  <si>
    <t xml:space="preserve"> 20E00106-R1: Cluster 12- Rehabilitation / Reconstruction of Roads with Slips, Slope Collapse and Landslide along Langogan-Roxas Road Section K0098+160 – K0098+330.00; K0099+480 – K0099+570, K0099+730 – K0099+830.30, Palawan 12.1 Rehabilitation / Reconstru</t>
  </si>
  <si>
    <t xml:space="preserve"> see attached POW/PR</t>
  </si>
  <si>
    <t xml:space="preserve"> Location: Brgy. Sagnap, Loay, Bohol MATERIALS aggregate base course materials portland cement sand gravel coco lumber RSB asphalt joint filler hacksaw blade CW nails nylon string water project billboard printing of tarpaulin for signage EQUIPMENT RENTAL c</t>
  </si>
  <si>
    <t xml:space="preserve"> Procurement of 3 ea 8 ports HDMI Splitter &amp; 5 other line items.</t>
  </si>
  <si>
    <t xml:space="preserve"> That the BAC of Balandra Elementary School hereby resolve to post in Philgeps for the Bidding of Procurement of Supplies for Internet Connection that is charged to school MOOE per month. That the BAC has agreed to qualify the bidders according to the foll</t>
  </si>
  <si>
    <t xml:space="preserve"> 20E00108-R1: Cluster 14- Rehabilitation / Reconstruction of Roads with Slips, Slope Collapse and Landslide along Langogan-Roxas Road Section K0104+780 – K0104+860, K0105+180 – K0105+282; K0105+500.00 – K0105+560.00, Palawan 14.1 Rehabilitation / Reconstru</t>
  </si>
  <si>
    <t xml:space="preserve"> Republic of the Philippines MUNICIPALITY OF BUNAWAN, AGUSAN DEL SUR Invitation to Bid/ Instruction to Bidders CONSTRUCTION OF CONSUELO TO HAGNAYA BOUNDARY FMR DOUBLE BARREL BOX CULVERT August 24, 2020 1.	The Barangay Local Government Unit of Consuelo, Bun</t>
  </si>
  <si>
    <t xml:space="preserve"> Location: Brgy. BonBon, Loay, Bohol DEMOLITION WORKS, STEEL WORKS &amp; SCAFFOLDING structure demolition angular bar c-purlins deformed bars welding rod cut off blade cutting disc grinding disc red oxide aluminum paint paint thinner paint brush coco lumber co</t>
  </si>
  <si>
    <t xml:space="preserve"> CONCRETE PATHWAY Tinalmud Nuevo, Libmanan Cam. Sur Appropriation : PHP 100,000.00 Source of Fund : Trust Fund - MLGU 2019 Description: Total Length = 81.0 m W=1.0 m Thk= 0.10m I - Item 105 Estimated Quantity = 81.0 sq. m 81 sq. m Sub grade Preparation II </t>
  </si>
  <si>
    <t xml:space="preserve"> That the BAC of Balandra Elementary School hereby resolve to post in Philgeps for the Bidding of Procurement of Supplies to be used in Modular Learning that is charged to school MOOE per month. That the BAC has agreed to qualify the bidders according to t</t>
  </si>
  <si>
    <t xml:space="preserve"> Invitation to Bid to all Supplier/Contractor duly accredited by the City Council of Manila to supply and deliver the following items provided hereunder, to wit; Item	 	Qty.	 	Unit	 	 	 	DESCRIPTION 1	 	10	 	Tins	Semi Gloss Latex - White	 	 	  2	 	8	 	Gal	</t>
  </si>
  <si>
    <t xml:space="preserve"> 1.	Purchase Request No.: MAINT 2020-08-0039 Name:	Purchase of Materials for Centerline and Lane Line Repainting along Masbate-Cataingan-Placer Road (4th Quarter CY 2020) Location:	Masbate 3rd DEO  Description of Project/Scope of works:   358		bags		Paint,</t>
  </si>
  <si>
    <t xml:space="preserve"> Procurement of 80 btls Alcohol 1 Gal &amp; 6 other line items.</t>
  </si>
  <si>
    <t xml:space="preserve"> 20E00107-R1: Cluster 13- Rehabilitation / Reconstruction of Roads with Slips, Slope Collapse and Landslide along Langogan-Roxas Road Section K0100+310 – K0100+440, K0101+120 – K0101+202.90; K0104+060 – K0104+160, K0104+560 – K0104+704.10, Palawan 13.1 Reh</t>
  </si>
  <si>
    <t xml:space="preserve"> The Department of Agriculture invites interested suppliers to submit quotations/proposals for the hereunder requirement: PURCHASE OF HANDHELD TRANSCEIVER RADIO FOR OFFICIAL USE OF CREST-O STAFF &amp; USEC FOR REGULATION	 9	units	RADIO HANDHELD TRANSCEIVER  Sp</t>
  </si>
  <si>
    <t xml:space="preserve"> NOTICE OF NEGOTIATED PROCUREMENT (Small Value Procurement) Project:	NOTICE OF NEGOTIATED PROCUREMENT (Small Value Procurement) Project:	Purchase of 1 unit Smart TV 55”, 1 set Toilet Bowl with Lavatory, Bidet and Faucet, 1 unit Internet Router and 5 unit E</t>
  </si>
  <si>
    <t xml:space="preserve"> INVITATION TO BID FOR Procurement of NASAL HIGH FLOW MACHINE 1.	The Quirino Memorial Medical Center, through the COVID INCOME FUND - CAPITAL OUTLAY intends to apply the sum of EIGHT HUNDRED THOUSAND PESOS ONLY (PHP 800,000.00) being the Approved Budget fo</t>
  </si>
  <si>
    <t xml:space="preserve"> The Department of Agriculture-RFO 3, invites interested suppliers to submit quotations/proposals for the hereunder requirement, to wit: 2	bottles	CERTIFIED REFERENCE MATERIAL	 		        *Poultry Feeds- Proximates and Elements	 		         - 50 grams per bo</t>
  </si>
  <si>
    <t xml:space="preserve"> NOTICE OF NEGOTIATED PROCUREMENT (Small Value Procurement) Project:	Purchase of Various Tools and Materials 		(PR#2020-07-6321) 		2	unit	Speed Cutter 2	unit	Circular Saw 2	unit	Angle Grinder 2	unit	Electric Drill 2	unit	Rivitor 2	unit	Planer 1	unit	Demoli</t>
  </si>
  <si>
    <t xml:space="preserve"> That the BAC of Balandra Elementary School hereby resolve to post in Philgeps for the Bidding of Purchase of Pupils' Learning Kit that is charged to school MOOE per month. That the BAC has agreed to qualify the bidders according to the following condition</t>
  </si>
  <si>
    <t xml:space="preserve"> 15	units		Vehicle, Brand New, Sports Utility (Mid-Size) 					fully airconditioned, at least 2020 model 					Diesel Engine, 4 Cylinders, 16 valves, displacement of not less  					than 2,300 cc, maximum output of not less than 145HP @ 3400  					rpm, maximu</t>
  </si>
  <si>
    <t xml:space="preserve"> INVITATION TO BID The Municipal Government of Daraga, Albay, invites contractors registered with and classified by the Philippine Contractors Accreditation Board (PCAB) to bid for the herein stated construction project: Ref. No.: INFRA 20-003 Project Name</t>
  </si>
  <si>
    <t xml:space="preserve"> 19E00067: Rehabilitation/Reconstruction of Roads with Slips, Slope Collapse and Landslide, Tablas Circumferential Road K0062+800 – K0063+110, Tablas, Romblon</t>
  </si>
  <si>
    <t xml:space="preserve"> INVITATION TO BID FOR Procurement of VARIOUS I.T. EQUIPMENT 1.	The Quirino Memorial Medical Center, through the SAA-2020-06-1365 CAPITAL OUTLAY intends to apply the sum of SIX MILLION PESOS ONLY (PHP 6,000,000.00) being the Approved Budget for the Contrac</t>
  </si>
  <si>
    <t xml:space="preserve"> SUPPLY, DELIVERY, AND INSTALLATION OF VARIOUS MEDICAL, HEALTH AND SAFETY SUPPLIES</t>
  </si>
  <si>
    <t xml:space="preserve"> 19E00066: Reconstruction/Rehabilitation of National Roads with Slips and Slope Collapse along F.B. Reyes (Busuang Coron Road), K0012+810.00 – K0015+550.00; K0020+763.98 – K0022+673.98, Coron, Palawan</t>
  </si>
  <si>
    <t xml:space="preserve"> NOTICE TO THE PUBLIC REQUEST FOR QUOTATION                                              AMP SVP-D NO: 20-08-0391C	              The University of the Philippines, Diliman (UPD) hereby informs the public that it will be procuring the following item/s throu</t>
  </si>
  <si>
    <t xml:space="preserve"> See attached canvass</t>
  </si>
  <si>
    <t xml:space="preserve"> NOTICE OF NEGOTIATED PROCUREMENT (Small Value Procurement) Project:	Purchase of 33 M.T. Asphalt Pre-Mix and 2 drums Emulsified Asphalt (for use in the Prposed Improvement/Blocktopping of Pathwalk at Bgy. Barat, Umingan, Pangasinan) 		(PR#2020-03-2278) Loc</t>
  </si>
  <si>
    <t xml:space="preserve"> 3 ea Pitch Control Rod Assembly w/ PN: 109-0130-05-117</t>
  </si>
  <si>
    <t xml:space="preserve"> INVITATION TO BID FOR Procurement of TRANSPORT STRETCHER 1.	The Quirino Memorial Medical Center, through the SAA-2020-03-0379- HFEP- CAPITAL OUTLAY intends to apply the sum of SEVEN MILLION PESOS ONLY (PHP 7,000,000.00) being the Approved Budget for the C</t>
  </si>
  <si>
    <t xml:space="preserve"> Procurement of 2 sets Compressor 220V/60 herts 2Hp &amp; 6 other line items.</t>
  </si>
  <si>
    <t xml:space="preserve"> 2 ea Attitude Reverse Switch Assy w/ PN: 21618-002 &amp; 1 L/I</t>
  </si>
  <si>
    <t xml:space="preserve"> 12 sets printer L3110 (3in1) 36 bottles ink for printer L3110 300 reams A4 coupon bond</t>
  </si>
  <si>
    <t xml:space="preserve"> Procurement of 2 pcs Papoose Board &amp; 10 other line items.</t>
  </si>
  <si>
    <t xml:space="preserve"> NOTICE TO THE PUBLIC REQUEST FOR QUOTATION                                           AMP SVP-D NO: 20-08-0328C	              The University of the Philippines, Diliman (UPD) hereby informs the public that it will be procuring the following item/s through </t>
  </si>
  <si>
    <t xml:space="preserve"> Purchase and delivery of 220 liters of Chemical Mist Spray (Deltamethrin) to be used in the Municipal Health Office, Concepcion, Tarlac Approved Budget for the Contract : P 1,001,000.00 Source of Fund : MOOE 2020 - Municipal Health Office The contract to </t>
  </si>
  <si>
    <t xml:space="preserve"> Lot 1 -	Twenty-Five (25) Various IT Personnel for IT Infrastructure and Operations Department (ITIOD) Lot 2 -	Fourteen (14) Various IT Personnel for Information Technology Office (ITO) Please click the link under "Other Information" for the Invitation to </t>
  </si>
  <si>
    <t xml:space="preserve"> Procurement of 2 ea SRICAM SP007 WIFI CCTV CAMERA 1920X1080 &amp; 9 other line items.</t>
  </si>
  <si>
    <t xml:space="preserve"> ####CONCRETE PATHWAY #### Malansad Nuevo, Libmanan Cam. Sur Appropriation : PHP 100,000.00 Source of Fund : Trust Fund - MLGU 2018 Description: L= 34m W=2.0 m Thk = 0.15m Scope of Work: Item 311    L= 34 m W = 2.0m Thk = 0.15m I - Item 105 Estimated Quant</t>
  </si>
  <si>
    <t xml:space="preserve"> 500 PCS PLASTIC ENVELOPE LEGAL WITH HANDLE - GREEN G7 500 PCS PLASTIC ENVELOPE LEGAL WITH HANDLE - BLUE G8 500 PCS PLASTIC ENVELOPE LEGAL WITH HANDLE - PINK G9 500 PCS PLASTIC ENVELOPE LEGAL WITH HANDLE - YELLOW G10 50 ROLLS DUCK TAPE - RED 6 BOXES SIGN P</t>
  </si>
  <si>
    <t xml:space="preserve"> Republic of the Philippines Province of Ilocos Norte MUNICIPALITY OF PINILI REQUEST FOR QUOTATION PIN2020-098 The Municipality of Pinili invites all interested registered suppliers to submit quotations for:   1 LOT  =	SUPPLY OF VARIOUS CONSTRUCTION MATERI</t>
  </si>
  <si>
    <t xml:space="preserve"> 1	Ink (black)	11 pcs	3, 190	September 2	Ink (Colored)	6 pcs	1, 800	September 3	Bondpaper (A4 size)	270 reams	62, 000	October 4	Bondpaper (A4 size)	270 reams	62, 000	November 5	Bondpaper (A4 size)	270 reams	62, 000	December</t>
  </si>
  <si>
    <t xml:space="preserve"> Location: Brgy. Alegria Sur, Loay, Bohol MATERIALS 2.0 hp submersible pump &amp; accessories including installation PE Pipe GI Ball valve PE Coupling PE Adaptor Project billboard printing of tarpaulin for signage</t>
  </si>
  <si>
    <t xml:space="preserve"> INVITATION TO BID FOR Procurement of OPERATING TABLE FOR OB 1.	The Quirino Memorial Medical Center, through the SAA-2020-03-0379- HFEP- CAPITAL OUTLAY intends to apply the sum of TWO MILLION PESOS ONLY (PHP 2,000,000.00) being the Approved Budget for the </t>
  </si>
  <si>
    <t xml:space="preserve"> Please download attached associated documents.</t>
  </si>
  <si>
    <t xml:space="preserve"> August 25, 2020 REQUEST FOR QUOTATION (Negotiated Procurement) ______________________ ______________________ ______________________ Please quote your lowest price inclusive of VAT subject to the TERMS AND CONDITIONS of this RFQ, and submit your quotation </t>
  </si>
  <si>
    <t xml:space="preserve"> various material and supplies</t>
  </si>
  <si>
    <t xml:space="preserve"> 1	32’’ Android Smart TV	1 unit	10, 000	September</t>
  </si>
  <si>
    <t xml:space="preserve"> please see attached</t>
  </si>
  <si>
    <t xml:space="preserve"> NOTICE TO THE PUBLIC  REQUEST FOR QUOTATION                                                 AMP SVP-D NO: 20-08-0342D	              The University of the Philippines, Diliman (UPD) hereby informs the public that it will be procuring the following item/s t</t>
  </si>
  <si>
    <t xml:space="preserve"> INVITATION TO BID    SUPPLY AND DELIVERY OF BRAND NEW 52,290 PIECES UNDERSHIRT, RAGLAN, POLYESTER, SPANDEX, ROUND NECK AND 8,137 SETS PHILIPPINE ARMY    ATHLETIC UNIFORM FOR THE PHILIPPINE ARMY (PA) Bid Reference No. MPG-BI-2020-349     1. The Philippine </t>
  </si>
  <si>
    <t xml:space="preserve"> Republic of the Philippines Province of Ilocos Norte MUNICIPALITY OF PINILI REQUEST FOR QUOTATION PIN2020-097 The Municipality of Pinili invites all interested registered suppliers to submit quotations for:   1 LOT  =	SUPPLY OF VARIOUS CONSTRUCTION MATERI</t>
  </si>
  <si>
    <t xml:space="preserve"> Purchase and delivery of Various Office supplies to be used by different offices of the Municipality of Concepcion, Tarlac Approved Budget for the Contract : P 1,287,655.00 Source of Fund : MOOE 2020 - Various Municipal Offices The contract to be performe</t>
  </si>
  <si>
    <t xml:space="preserve"> Procurement of 3 pcs compressor 1HP &amp; 2 other line items.</t>
  </si>
  <si>
    <t xml:space="preserve"> 20GSHE0013 - Supply of Safety and Occupational Products for use by various personnels assigned in RBIA, BMS, PMS, RSM, Planning &amp; Design Section, Cebu 2nd DEO. 36 pairs Rubber Shoes, 36 pcs Jackets w/ DPWH Logo, etc.... ABC = Php 450,000.00</t>
  </si>
  <si>
    <t xml:space="preserve"> Please see attached Request for Quotation, Technical Specifications and Terms of Reference</t>
  </si>
  <si>
    <t xml:space="preserve"> 4 pc Filter Cap SF260-16-268-01 &amp; 48 L/I</t>
  </si>
  <si>
    <t xml:space="preserve"> NOTICE TO THE PUBLIC REQUEST FOR QUOTATION                                           AMP SVP-D NO: 20-08-0273B	              The University of the Philippines, Diliman (UPD) hereby informs the public that it will be procuring the following item/s through </t>
  </si>
  <si>
    <t xml:space="preserve"> 1	Brother t-710 (printer with scanner)	1 unit	12, 000	October</t>
  </si>
  <si>
    <t xml:space="preserve"> Procurement of 50 btls Povidone Iodine Mouthwash (1%, 500ml) &amp; 25 other line items.</t>
  </si>
  <si>
    <t xml:space="preserve"> Republic of the Philippines									 DEPARTMENT OF AGRARIAN REFORM									 Provincial Agrarian Reform Office									 Bantayan, Dumaguete City									 									 REQUEST FOR QUOTATION									 									 					No.:	08-20-109			 					Date:	August 25, 2020		</t>
  </si>
  <si>
    <t xml:space="preserve"> for more information please visit at the Barangay Hall of Barangay Anahaway Palo, Leyte</t>
  </si>
  <si>
    <t xml:space="preserve"> Procurement of 30 bx Continuous Form, PRB16 x 11x14 7/8, 3ply, Blue &amp; 19 other line items.</t>
  </si>
  <si>
    <t xml:space="preserve"> 1	Angle Bar 1/4x1	1 pc	385 2	Electric Tape	2 pcs	70 3	Baby roller	2 pcs	128 4	Paint brush #2	2 pcs	80 5	Paint Thinner	2 pcs	78 6	Metal Primer	4 pcs	540 	Door Knob	1 pc	550 	Roller brush #7	1 pc	90 	Baby Roller	2 pcs	130 	Brush	1 pc 	35 	Cutting Disc	2 pcs</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</si>
  <si>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</si>
  <si>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NOTICE TO THE PUBLIC REQUEST FOR QUOTATION                                           AMP SVP-D NO: 20-08-0242C	              The University of the Philippines, Diliman (UPD) hereby informs the public that it will be procuring the following item/s through </t>
  </si>
  <si>
    <t xml:space="preserve"> INVITATION TO BID FOR Procurement of INFANT RADIANT WARMER WITH RESUSCITATOR  The Quirino Memorial Medical Center, through the SAA-2020-03-0379- HFEP- CAPITAL OUTLAY intends to apply the sum of ONE  MILLION FIVE HUNDRED THOUSAND PESOS ONLY (PHP 1,500,000.</t>
  </si>
  <si>
    <t xml:space="preserve"> Procurement of 1 lot Siphoning</t>
  </si>
  <si>
    <t xml:space="preserve"> Procurement of 2 ea UPS &amp; 13 other line items.</t>
  </si>
  <si>
    <t xml:space="preserve"> NOTICE OF NEGOTIATED PROCUREMENT (Small Value Procurement) Project:	Purchase of Laboratory Supplies/Reagents 		(PR#2020-07-6297) 30	box	HBSAg Screening x 40’s 30	box	Syphilis Rapid Test Kit x 100’s 30	bot.	Urine Test Strips 4 parameters 2	pack	Pipette Tip</t>
  </si>
  <si>
    <t xml:space="preserve"> Invitation to Bid to all Supplier/Contractor duly accredited by the City Council of Manila to supply and deliver the following items provided hereunder, to wit; Item	 	Qty.	 	Unit	 	 	 	DESCRIPTION 1	 	10	 	Bxs	Stranded Electrical Wire #12	 	 	 	  2	 	10	</t>
  </si>
  <si>
    <t xml:space="preserve"> Location: Brgy. Poblacion Ibabao, Bohol MATERIALS steel girt and roof framing angular bar flat bar C-Purlins welding rod deformed bars red oxide primer paint thinner paint brush cutting desk ROOF COVER colored roofing sheets flashing gutter gutter texscre</t>
  </si>
  <si>
    <t xml:space="preserve"> 2,120 pcs Plastic Envelope, Expandable, Long, with handle and pushpin lock</t>
  </si>
  <si>
    <t xml:space="preserve"> NOTICE OF NEGOTIATED PROCUREMENT (Small Value Procurement) Project:	Purchase of 3,500 pcs. IV Catheter g.24 and 500 pcs. IV catheter g.20 		(PR#2020-07-6108) Location: 	Pangasinan Provincial Hospital 	San Carlos City, Pangasinan Approved Budget for 	 the </t>
  </si>
  <si>
    <t xml:space="preserve"> AD Material: Customs Administrative Order (CAO) No. 11-2020 “Rules, Regulations and Procedures Governing the Establishment and Operation of Duty and Tax-Free Stores and Warehouses Operated by Duty Free Philippines Corporation” 	 No. of Pages: 16 pages A4 </t>
  </si>
  <si>
    <t xml:space="preserve"> SUPPLY, DELIVERY, AND INSTALLATION OF FURNITURE AND FIXTURE</t>
  </si>
  <si>
    <t xml:space="preserve"> 20GSHE0017 - Supply of Information Technology for use by personnel assigned in Planning &amp; Design Section, Cebu 2nd DEO. 6 units UPS 1kVA, 230V, 2 units Drone (Quadcopter) w/ accessories, etc... ABC = Php 360,000.00</t>
  </si>
  <si>
    <t xml:space="preserve"> Procurement of 20 ea Logbook &amp; 22 other line items.</t>
  </si>
  <si>
    <t xml:space="preserve"> Location: Brgy. Concepcion, Loay, Bohol MATERIALS aggregate base course materials portland cement sand gravel coco lumber RSB asphalt joint filler hacksaw blade CWN nylon string water project billboard printing of tapaulin for signage EQUIPMENT RENTAL con</t>
  </si>
  <si>
    <t xml:space="preserve"> Training Expense</t>
  </si>
  <si>
    <t xml:space="preserve"> 1.	Purchase Request No.: MAINT 2020-07-0036 Name:	Purchase of Materials for Special Maintenance (Premix Patching  Bituminous Pavements) along Masbate-Cataingan-Placer Road (4th Quarter CY 2020) Location:	Masbate 3rd DEO  Description of Project/Scope of wo</t>
  </si>
  <si>
    <t xml:space="preserve"> Location: Brgy. Villalimpia, Loay, Bohol Materials: Column and column footing portland cement river sand gravel deformed bars GI Tire wire formworks Tinsmithry/roofing: colored roofing sheets gutter end flashing blind rivets texscrew sealant angular bar C</t>
  </si>
  <si>
    <t xml:space="preserve"> 1.	Purchase Request No.: MAINT 2020-07-0030 Name:	Purchase of Materials for Sign Maintenance along Masbate-Cataingan-Placer Road &amp; Buenavista-Cawayan Road (3rd Quarter CY 2020) Location:	Masbate 3rd DEO  Description of Project/Scope of works:   30		pc		Ro</t>
  </si>
  <si>
    <t xml:space="preserve"> NOTICE OF NEGOTIATED PROCUREMENT (Small Value Procurement) Project:	Purchase of 60 pcs. Traffic Cone and 48 pcs. Traffic Road Barrier (for use in the Repair &amp; Maintenance of Various Roads and Bridges within the Province) 		(PR#2020-07-6322) Location: 	Pro</t>
  </si>
  <si>
    <t xml:space="preserve"> Location Brgy. Tayong Occidental, Loay, Bohol materials: form lumber GI Pipe welding rod cutting desk steel plate</t>
  </si>
  <si>
    <t xml:space="preserve"> NOTICE TO THE PUBLIC  REQUEST FOR QUOTATION                                                  AMP SVP-D NO: 20-08-0210C	              The University of the Philippines, Diliman (UPD) hereby informs the public that it will be procuring the following item/s </t>
  </si>
  <si>
    <t xml:space="preserve"> Concreting of Shoulder and Sidewalk</t>
  </si>
  <si>
    <t xml:space="preserve"> canal/PATHWAY  - REINFORCED CONCRETE WORKS</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</si>
  <si>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</si>
  <si>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Public Bidding</t>
  </si>
  <si>
    <t xml:space="preserve"> CANAL, STEEL GRATING, PCCP</t>
  </si>
  <si>
    <t xml:space="preserve"> Procurement of 60 pcs 1x4x12 T &amp; G Flooring &amp; 56 other line items.</t>
  </si>
  <si>
    <t xml:space="preserve"> Procurement of 40 pcs PL-259 (Amphenol) &amp; 12 other line items.</t>
  </si>
  <si>
    <t xml:space="preserve"> Republic of the Philippines									 DEPARTMENT OF AGRARIAN REFORM									 Provincial Agrarian Reform Office									 Bantayan, Dumaguete City									 									 REQUEST FOR QUOTATION									 									 					No.:	08-20-110			 					Date:	August 25, 2020		</t>
  </si>
  <si>
    <t xml:space="preserve"> INVITATION TO BID FOR    Rehabilitation of Water System  Imelda, Almagro, Samar 1.	The LGU-Almagro, through Annual Budget CY 2020  intends to apply the sum of  Seven Hundred Eighty Five Thousand Pesos ( Php 785,000,000.00) being the Approved Budget for th</t>
  </si>
  <si>
    <t xml:space="preserve"> Republic of the Philippines Province of Leyte Municipality of Palompon oOo BIDS &amp; AWARD COMMITTEE INVITATION TO BID FOR  PROCUREMENT OF LAPTOP Project Identification No. 2020-1509-019 The Municipality of Palompon, through the Annual budget 2020 from the O</t>
  </si>
  <si>
    <t xml:space="preserve"> NOTICE TO THE PUBLIC REQUEST FOR PROPOSAL Purchase Request No: PUR20-08-0699  The Philippine General Hospital hereby informs the public that it will be procuring the following item/s through Small Value Procurement:		 					 1	1,000	pc	Disposable excision </t>
  </si>
  <si>
    <t xml:space="preserve"> Purchase of IT Equipments, Furniture and Fixture for the Mayor's Office ABC: Php 278,250.00 INVITATION TO APPLY FOR ELIGIBILITY AND  TO BID 						(PZDS-2020-08-062-IB) The LGU-Pitogo, through the Bids and Awards Committee (BAC), invites suppliers register</t>
  </si>
  <si>
    <t xml:space="preserve"> INVITATION TO BID FOR    Cluster 14 Infrastructure Projects Item 	Project Name/Location	ABC	Duration 1.	Construction of Open Canal, Marasbaras	295,500.00	30 2.	Rehabilitation of Concrete Pathway, Roño 	295,500.00	30 3.	Rehabilitation of Concrete Pathway  </t>
  </si>
  <si>
    <t xml:space="preserve"> 20 bags Portland cement 3 cu.m. washed sand 1 cu.m. washed gravel 5.28 sq.m. sliding PVC window/ screen 50 pcs. CHB 4'' 10 pcs. 10mm dia. x 6.0m RSB 1 set PVC Door (0.7 x 2.0m) 1 pc. floor drain 4''x4'' 1 set panel board 4 branches 2 pcs. circuit breaker </t>
  </si>
  <si>
    <t xml:space="preserve"> Procurement of 8 pcs Round Pile (chain saw) &amp; 23 other line items.</t>
  </si>
  <si>
    <t xml:space="preserve"> BUILDING CONSTRUCTION</t>
  </si>
  <si>
    <t xml:space="preserve"> Please see details &amp; specifications/illustration of project</t>
  </si>
  <si>
    <t xml:space="preserve"> Concreting of Road</t>
  </si>
  <si>
    <t xml:space="preserve"> 1	Aggregate Base Coarse	12	m³ 2	Portland Cement 40 kgs.	112	bags 3	Sand Washed Screened	8	cu.m. 4	Gravel Washed Screened	10	cu.m. 5	Coco Lumber 2-2" x 6" x 12' (4-Uses)	7	pcs 7	Plastic Pail	2	pcs 8	Asphalt Sealant	4	L 9	CWN Assorted	5	kls EUGENIA DL. CRUZ</t>
  </si>
  <si>
    <t xml:space="preserve"> Procurement of 1 ea Submersible pump &amp; 7 other line items.</t>
  </si>
  <si>
    <t xml:space="preserve"> REQUEST FOR QUOTATION INFRA 2020-053 August 24, 2020 _____________________________ _____________________________ _____________________________ Please quote your lowest price inclusive of VAT, subject to the Terms and Conditions of this RFQ, and submit you</t>
  </si>
  <si>
    <t xml:space="preserve"> Section I. Invitation to Bid FOR THE UPLB-S-055-09-20  SUPPLY AND DELIVERY OF  BRANDED AND BRAND NEW VARIOUS PHOTOGRAPHIC EQUIPMENT 1.	The UNIVERSITY OF THE PHILIPPINES LOS BAÑOS (UPLB), through the GOP intends to apply the sum of THREE HUNDRED THIRTY-ONE</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</si>
  <si>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</si>
  <si>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for more information please visit at the Barangay Hall of Barangay Anahaway Palo, Leyte.</t>
  </si>
  <si>
    <t xml:space="preserve"> Construction of Covered Court</t>
  </si>
  <si>
    <t xml:space="preserve"> Cluster A. Rehabilitation/Improvement of Multi-Purpose and Const. of Deepwell with Water Pump                                      B. Repair of Pathway</t>
  </si>
  <si>
    <t xml:space="preserve"> REQUEST TO SUBMIT PROPOSAL/QUOTATION														 (Shopping - Sec. 52.1 (b))														 								Date :						 														 														 Company / Store Name and Address														 														 	Please quote your lowest price on the items liste</t>
  </si>
  <si>
    <t xml:space="preserve"> Republic of the Philippines Province of Romblon Municipality of Alcantara BARANGAY GUI-OB -o0o- INVITATION TO BID FOR THE PURCHASE OF MATERIALS FOR  MULTI-PURPOSE HALL BRGY GUI-OB PHASE 3 The Local Government Unit of Barangay Gui-ob, Alcantara, Romblon, t</t>
  </si>
  <si>
    <t xml:space="preserve"> Section I. Invitation to Bid FOR THE UPLB-S-056-09-20  SUPPLY AND DELIVERY OF BRANDED AND BRAND NEW ORIGINAL PRINTING SUPPLIES FOR OVCAA-OUR 1.	The UNIVERSITY OF THE PHILIPPINES LOS BAÑOS (UPLB), through the GOP intends to apply the sum of SEVEN HUNDRED E</t>
  </si>
  <si>
    <t xml:space="preserve"> NOTICE TO THE PUBLIC REQUEST FOR QUOTATION                                           AMP SVP-D NO: 20-08-0292A	              The University of the Philippines, Diliman (UPD) hereby informs the public that it will be procuring the following item/s through </t>
  </si>
  <si>
    <t xml:space="preserve"> INCLUSIONS 1) The bidders shall submit the following Eligibility Documents in addition to the prescribed quotation form: (each page must be signed) (i) Registration certificate from the Securities and Exchange Commission (SEC) for corporations, Department</t>
  </si>
  <si>
    <t xml:space="preserve"> Van Rental for the Training Course on the Preparation of Design, Installation and Management of Biogas Digesters on October 19-23, 2020 at Region IV-A</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</si>
  <si>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</si>
  <si>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Construction of Evacuation Center (Excavation, Formworks, Scaffolding, Concrete Works)</t>
  </si>
  <si>
    <t xml:space="preserve"> INVITATION TO BID FOR THE SUPPLY AND DELIVERY OF SCUBA TANK COMPRESSOR 1.	The LGU-Salcedo, through the Local Development Fund  intends to apply the sum of   Three Hundred  Thousand  Pesos ( Php 300,000.00)  being the Approved Budget for the Contract (ABC)</t>
  </si>
  <si>
    <t xml:space="preserve"> Procurement of 20 pcs Capacitor 65UF &amp; 26 other line items.</t>
  </si>
  <si>
    <t xml:space="preserve"> The Barangay Government of Vizcaya, President Roxas, Capiz, through the Local Fund, intends to apply the sum of One Hundred One Thousand Pesos (Php 101,000.00) being the Approved Budget for the Contract (ABC) to payments under the contract for the Procure</t>
  </si>
  <si>
    <t xml:space="preserve"> The bidder/supplier must meet the following conditions; 1. must meet the delivery period not later than September 14, 2020 2. must used 70 gsm paper 3.must arrange the module accordingly per subject and stapled properly 4. must deliver all the printed mod</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</si>
  <si>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</si>
  <si>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Project location is at Brgy. Cortes, Basilisa, Dinagat Islands. Coastal barangay. Amount indicated in Gaming Equipment and paraphernalia is inclusive of VAT and freight and handling.</t>
  </si>
  <si>
    <t xml:space="preserve"> DepEd, Division of Sorsogon										 Standard Form Number: SF-GOOD-60										 Revised on: May 24, 2004										 REQUEST FOR QUOTATION										 										 						Date:		August 20, 2020		 						Quotation No.:		20-08-119-_______		 										 										 	</t>
  </si>
  <si>
    <t xml:space="preserve"> DepEd, Division of Sorsogon										 Standard Form Number: SF-GOOD-60										 Revised on: May 24, 2004										 REQUEST FOR QUOTATION										 										 						Date:		August 20, 2020		 						Quotation No.:		20-07-113-_____		 										 										 			</t>
  </si>
  <si>
    <t xml:space="preserve"> NOTICE TO THE PUBLIC  REQUEST FOR QUOTATION                                                 AMP SVP-D NO: 20-08-0300D	              The University of the Philippines, Diliman (UPD) hereby informs the public that it will be procuring the following item/s t</t>
  </si>
  <si>
    <t xml:space="preserve"> NOTICE TO THE PUBLIC  REQUEST FOR QUOTATION                                           AMP SVP-S NO: 20-08-0228D	             	 The University of the Philippines, System (UPS) hereby informs the public that it will be procuring the following item/s through</t>
  </si>
  <si>
    <t xml:space="preserve"> Installation of Water Supply System</t>
  </si>
  <si>
    <t xml:space="preserve"> DepEd, Division of Sorsogon										 Standard Form Number: SF-GOOD-60										 Revised on: May 24, 2004										 REQUEST FOR QUOTATION										 										 						Date:		August 20, 2020		 						Quotation No.:		20-08-116-_______		 										 										 	</t>
  </si>
  <si>
    <t xml:space="preserve"> Procurement of 2 sets PVC door (0.07x2.10m) &amp; 16 other line items.</t>
  </si>
  <si>
    <t xml:space="preserve"> Qty	       Item/Description	                         Approved Budget for the Contract	     Price of Bid Documents 1 lot	  Procurement of Fuel for BFP-NHQ 	 Php 2,093,117.11	                             Php 5,000.00  The Bureau of Fire Protection National </t>
  </si>
  <si>
    <t xml:space="preserve"> INVITATION TO BID GS 2020-008-030 PROCUREMENT  OF VARIOUS VEGETABLE  SEEDS FOR THE CONTINUED SUPPORT DURING PANDEMIC 1.	The City Government of Sorsogon, through the Tanging Program under the 10 Pts. Agenda Other Purpose Funds CY 2020  intends to apply the</t>
  </si>
  <si>
    <t xml:space="preserve"> Item 101(3)a.2 - Removal of Existing PCC Pavement, 0.15m thick  750.25 Sq.m. Item 105(2) - Subgrade Preparation  750.25  sq.m. Item 201(1) - Aggregate Base Course   75.03  cu.m. Item 311(1)a.2 - PCC Pavement (Plain)-Conventional Method, 200mm thick   750.</t>
  </si>
  <si>
    <t xml:space="preserve"> REQUEST FOR QUOTATION Date:	 August 25, 2020 Project Title:	 Supply and Delivery of Various Tools, Equipment and Power Tools ITB No.:	 FB20-02-005CORb-03 Approved Budget for the Contract (ABC):	 The total ABC is Nine Hundred Seventy-Seven Thousand Seven H</t>
  </si>
  <si>
    <t xml:space="preserve"> ICT Equipment LOT NO.	DESCRIPTION	ABC (in PhP) 1	Quadcaptor Drone	109,800.00 2.     A3 All-in-One Printer	94,600.00 	Wireless All-in-One Printer	 3	PVC ID Printer	137,500.00 4	Barcode Printer	20,000.00</t>
  </si>
  <si>
    <t xml:space="preserve"> NOTICE TO THE PUBLIC REQUEST FOR QUOTATION                                              AMP SVP-D NO: 20-08-0248D	              The University of the Philippines, Diliman (UPD) hereby informs the public that it will be procuring the following item/s throu</t>
  </si>
  <si>
    <t xml:space="preserve"> LOT NO.	DESCRIPTION	ABC (in PhP) 1	Computer-aided Design Software (1year subscription)	           600,000.00 	Building Information Modeling Software (1year subscription)	 	Project Review Software (1year subscription) 	 2	Integrated Development Software (P</t>
  </si>
  <si>
    <t xml:space="preserve"> 1. EXCAVATION 2. REINFORCING STEEL BARS 3. FORMWORKS 4. CONCRETE WORKS 5. COLUM G. I. PIPES 6. MASONRY WORKS (INCLUDING PLASTERING) 7. STEELWORKS 8. TINSMITHRY WORKS 9. FLOOR SLAB WITH REINFORCEMENT 10.PLUMBING WORKS 11A.PLANT BOX EXCAVATION 11B.MASONRY W</t>
  </si>
  <si>
    <t xml:space="preserve"> Republic of the Philippines PROVINCE OF NUEVA ECIJA City of Palayan -o0o- Invitation to Bid for  CONSTRUCTION OF MULTI-PURPOSE FACILITIES (RE-BID) August 25, 2020 1.	The Provincial Government of Nueva Ecija (PGNE), through the Special Educational Fund (SE</t>
  </si>
  <si>
    <t xml:space="preserve"> ITEM NO.	UNIT		QTY		DESCRIPTION		 							 1	 pcs 		7		Hardiflex 4"x8"x1/4"		 2	 pcs 		5		 Metalcarrying 25mm x 38mm x 4mm (6M) 		 3	 pcs 		16		 Metalfurring 25mm x 38mm x 6mm (6M) 		 4	 pcs 		37		 Black Screw w/ tox 		 5	 pcs 		32		 Wall Angle 28mm x 28mm</t>
  </si>
  <si>
    <t xml:space="preserve"> Please see and download attachments</t>
  </si>
  <si>
    <t xml:space="preserve"> 1. The DEPARTMENT OF AGRARIAN REFORM-KALINGA through the Government of the Philippines (GOP) General Appropriations Act, 2019 CONTINUING FUND intends to apply the sum of: PhP1,707,650.00 for LOT 1, Supply and Delivery of Multipurpose Microbial Inoculant w</t>
  </si>
  <si>
    <t xml:space="preserve"> as per BSP Terms of Reference and Technical Specifications</t>
  </si>
  <si>
    <t xml:space="preserve"> The Cotabato Irrigation Management Office, through its Bids and Awards Committee (BAC), intends to procure the Supply and Delivery of Spare Part for Mitsubishi Pajero Jeep   in accordance with Section 53.9 (Small Value Procurement) of the 2016 Revised Imp</t>
  </si>
  <si>
    <t xml:space="preserve"> ITEM NO.	UNIT		QTY		DESCRIPTION		 							 1	 pc 		65		 Thermal Scanner 		 2	 gal 		130		 Alcohol 		 3	 ml 		455		 Alcohol 500ml 		 4	 pc 		1350		 Safeguard 		 5	 box 		780		 Facemask 		 INVITATION TO BID The Municipality of Sablayan through its Bids and A</t>
  </si>
  <si>
    <t xml:space="preserve"> ITEM NO.	UNIT		QTY		DESCRIPTION		 							 					Printing Equipment		 1	 unit 		65		 Printer, EPSON L3110 		 					 Sablayan North District 		 2	 unit 		1		 Aircon, Window Type, 2HP 		 					 Supplies for Operation of District Offices 		 3	 ream 		172		 Coupo</t>
  </si>
  <si>
    <t xml:space="preserve"> The Barangay Government of Brgy. San Pedro, Quinapondan, Eastern Samar, through its Bids and Awards Committee (BAC), intends to apply the sum of One Hundred Sixty Six Thousand Three Hundred Forty Five Pesos and 82/100 (Php 166,345.82), under the 20% BDF o</t>
  </si>
  <si>
    <t xml:space="preserve"> Republic of the Philippines City of manila OFFICE OF THE BARANGAY COUNCIL BIDS AND AWARDS COMMITTEE INVITATION TO APPLY FOR ELIGIBILITY AND TO BID APPROVED BUDGET FOR THE CONTRACT: 230,000.00 PROCUREMENT OF: Office supplies and other supplies</t>
  </si>
  <si>
    <t xml:space="preserve"> INVITATION TO BID (ITB No. 002-20 BC) Republic of the Philippines Barangay Government of Calimpak Backfilling of Barangay Lot August 24, 2020 1. The Barangay Government of Calimpak, through the 20% of Barangay Development Fund intends to apply the sum of </t>
  </si>
  <si>
    <t xml:space="preserve"> Item 103(1)b - Structure Excavation (soft rock)  -  89.6  cu.m. Item 506(6) - Riprap and Grouted Riprap(Class B)  -  106.40  cu.m. SPCL-I - Project Billboard  -  1.00 set Invitation to Bid   REHABILITATION/REPAIR OF SAN JUAN-ENTAPATAN FARM TO MARKET ROAD </t>
  </si>
  <si>
    <t xml:space="preserve"> 15	 pcs 	 12mm Ø x 6.0m RSB   72	 pcs 	 10mm Ø x 6.0m RSB   21	 kgs 	 #16 Tie Wire  55	 pcs 	 16mm Ø x 6.0m RSB   6	 pcs 	 1 1/2" dia x 20" Schedule 40 GI Pipe  58	 bags 	 Portland Cement, Type 1  3.5486	 cu.m 	 Washed Sand  5.0972	 cu.m 	 Graded Gravel 3</t>
  </si>
  <si>
    <t xml:space="preserve"> REQUEST FOR QUOTATION GOODS 2020-054  LOT 1 August 24, 2020 _____________________________ _____________________________ _____________________________ Please quote your lowest price inclusive of VAT, subject to the Terms and Conditions of this RFQ, and sub</t>
  </si>
  <si>
    <t xml:space="preserve"> ITB</t>
  </si>
  <si>
    <t xml:space="preserve"> Republic of the Philippines PROVINCE OF NUEVA ECIJA City of Palayan -o0o- Invitation to Bid for  CONSTRUCTION OF MULTI-PURPOSE FACILITY at Olivete Elementary School, Olivete, Bongabon, Nueva Ecija August 25, 2020 1.	The Provincial Government of Nueva Ecij</t>
  </si>
  <si>
    <t xml:space="preserve"> MULTI -    PURPOSE HALL CONTINUATION</t>
  </si>
  <si>
    <t xml:space="preserve"> Submission of quotation is until August 28,2020 Friday at the office of Bids and Awards Committee Barangay Hall, Barangay Southside, Makati City</t>
  </si>
  <si>
    <t xml:space="preserve"> Procurement of 15 pcs Gooseneck Faucet &amp; 28 other line items.</t>
  </si>
  <si>
    <t xml:space="preserve"> 113 bags Portland cement 15 cu.m. washed gravel 8 cu.m. washed sand 10 pcs. 2''x6''x12' form lumber 5 pcs. 10mm dia. x 6.0m RSB 32 pcs. 12mm dia. Spikes 2 kls. Ass. cw nail</t>
  </si>
  <si>
    <t xml:space="preserve"> Construction of Drainage Structure</t>
  </si>
  <si>
    <t xml:space="preserve"> Republic of the Philippines PROVINCE OF NUEVA ECIJA City of Palayan -oOo- BIDS AND AWARDS COMMITTEE  Request for Quotation for TRUCK SCALE REPAIR AND UPGRADING August 25, 2020 1. 	The Provincial Government of Nueva Ecija (PGNE), through the General Fund i</t>
  </si>
  <si>
    <t xml:space="preserve"> The Cotabato Irrigation Management Office, through its Bids and Awards Committee (BAC), intends to procure the Supply and Delivery of Four (4) Complete Sets of Desktop Computer   in accordance with Section 53.9 (Small Value Procurement) of the 2016 Revise</t>
  </si>
  <si>
    <t xml:space="preserve"> PROJECT NAME: IMPROVEMENT OF SOCIO-CULTURAL &amp; EVACUATION CENTER (PHASE VIII) PROJECT LOCATION:  Loo, Buguias, Benguet DURATION:  290 CD (Including mobilization &amp; curing) PROJECT Cost:  PHP 4,000,000.00 SOURCE OF FUND: 20% MDF CY 2020 ITEM NO.	DESCRIPTION	</t>
  </si>
  <si>
    <t xml:space="preserve"> REPUBLIC OF THE PHILIPPINES PROVINCE OF EASTERN SAMAR MUNICIPALITY OF LAWAAN REQUEST FOR QUOTATION PR No.: RFQ No.: PR Date: PhilGEPS Reference No. : End-User : Closing Date: ABC:85,900.00 Time: Sir/Madam: Please quote your lowest price on the items/s lis</t>
  </si>
  <si>
    <t xml:space="preserve"> REPUBLIC OF THE PHILIPPINES PROVINCE OF EASTERN SAMAR MUNICIPALITY OF LAWAAN REQUEST FOR QUOTATION PR No.: RFQ No.: PR Date: PhilGEPS Reference No. : End-User : Closing Date: ABC:50,000.00 Time: Sir/Madam: Please quote your lowest price on the items/s lis</t>
  </si>
  <si>
    <t xml:space="preserve"> INVITATION TO BID FOR    Rehabilitation of Concrete Pathway  Lunang - 1, Almagro, Samar 1.	The LGU-Almagro, through Annual Budget  CY 2020  intends to apply the sum of  Nine Hundred Eighty Five Thousand Pesos ( Php 985,000.00) being the Approved Budget fo</t>
  </si>
  <si>
    <t xml:space="preserve"> Kindly refer to the uploaded RFQ in the Associated Components, or proceed to https://philguarantee.gov.ph/procurements/requests-and-invitations/2020-2/ For inquiries, please contact Atty. Ronces Anne Reyes-De Leon at 8897-3232  and/or rardeleon@philguaran</t>
  </si>
  <si>
    <t xml:space="preserve"> Upgrading of local access road</t>
  </si>
  <si>
    <t xml:space="preserve"> Educational Materials &amp; Supplies</t>
  </si>
  <si>
    <t xml:space="preserve"> PLEASE SEE ATTACHED COMPONENTS</t>
  </si>
  <si>
    <t xml:space="preserve"> PROJECT NAME: Improvement of Palangpang Footpath PROJECT LOCATION:  Loo, Buguias, Benguet DURATION:  34 CD (Including mobilization &amp; curing) PROJECT Cost:  PHP 50,000.00 SOURCE OF FUND: 20% MDF CY 2020 ITEM NO.	DESCRIPTION							 QTY  	   	UNIT 105		subgr</t>
  </si>
  <si>
    <t xml:space="preserve"> Item 101(1) - Removal of Existing Structures and Obstructions   84.00  sq.m. Item 105 - Subgrade Preparation  84.00  sq.m. Item 201 - Aggregate Base Course @0.10m thick  70.00  cu.m. Item 311(1)a.2 - PCC Pavement (Plain) Conventional Method, 200mm thick -</t>
  </si>
  <si>
    <t xml:space="preserve"> Procurement of Materials for Elevation of Pathway Insiders and Mantipak</t>
  </si>
  <si>
    <t xml:space="preserve"> Republic of the Philippines City of manila OFFICE OF THE BARANGAY COUNCIL BIDS AND AWARDS COMMITTEE INVITATION TO APPLY FOR ELIGIBILITY AND TO BID APPROVED BUDGET FOR THE CONTRACT: 160,000.00 PROCUREMENT OF: Office supplies and equipment</t>
  </si>
  <si>
    <t xml:space="preserve"> Republic of the Philippines								 Province of Benguet								 Municipality of Buguias								 BIDS AND AWARDS COMMITTEE								 								 			Purchase Request Number:				Date:	 			Name of the Project:				Quotation No:	 			Location of the Project:				OBR #</t>
  </si>
  <si>
    <t xml:space="preserve"> Republic of the Philippines City of manila OFFICE OF THE BARANGAY COUNCIL BIDS AND AWARDS COMMITTEE INVITATION TO APPLY FOR ELIGIBILITY AND TO BID APPROVED BUDGET FOR THE CONTRACT: 109,000.00 PROCUREMENT OF: Office supplies and equipment</t>
  </si>
  <si>
    <t xml:space="preserve"> Repair and Maintenance of Motor Vehicles of Pitogo Municipal Police Station ABC: Php 107,500.00 5 PCS TUBELESS TIRE (31 X 10.50 R15) 2 SET LEAF SPRINGS SUSPENSION (MOLYE) 2 PCS UPPER BALL JOINT TOYOTA HILUX 2 PCS LOWER BALL JOINT TOYOTA HILUX 2 PCS FRONT </t>
  </si>
  <si>
    <t xml:space="preserve"> Fabrication/Installation of Filing Cabinet</t>
  </si>
  <si>
    <t xml:space="preserve"> Republic of the Philippines PROVINCE OF NUEVA ECIJA City of Palayan -o0o- Invitation to Bid for  CONSTRUCTION OF MULTI-PURPOSE FACILITY at Curva Elementary School, Curva, Cuyapo, Nueva Ecija August 25, 2020 1.	The Provincial Government of Nueva Ecija (PGN</t>
  </si>
  <si>
    <t xml:space="preserve"> Republic of the Philippines Department of Education Region VI – Western Visayas DIVISION OF AKLAN Poblacion, Numancia, Aklan INVITATION TO BID Project No.: DepED-RO6-D1-2020QRF(REPAIR)REBID-C2-059-2020 The Department of Education (DepED) Division of Aklan</t>
  </si>
  <si>
    <t xml:space="preserve"> 20E00102-R1: Cluster 8- Rehabilitation/Reconstruction of Roads with Slips, Slope Collapse and Landslide along San Jose-Port Barton Road Section  K0010+711.40 - K0010+795; K0013+060 – K0013+122.50; K0013+140 – K0013+210; K0013+250 – K0013+336.30, Palawan  </t>
  </si>
  <si>
    <t xml:space="preserve"> INVITATION TO BID CONSTRUCTION OF DAY CARE KITCHEN 	The Local Government Unit of Rizal, Cagayan intends to apply the sum of ONE HUNDRED SIXTY ONE THOUSAND SIX HUNDRED EIGHTY ONE PESOS AND 40/100. (P161,681.40) being the Approved Budget for the Contract (A</t>
  </si>
  <si>
    <t xml:space="preserve"> INVITATION TO BID FOR Procurement of BIOSAFETY CABINET CLASS II TYPE 2A / A2 The Quirino Memorial Medical Center, through the INCOME FUND – CAPITAL OUTLAY intends to apply the sum of ONE MILLION PESOS ONLY (PHP 1,000,000.00) being the Approved Budget for </t>
  </si>
  <si>
    <t xml:space="preserve"> 1. The DEPARTMENT OF AGRARIAN REFORM-KALINGA through the Government of the Philippines (GOP) General Appropriations Act, 2019 CONTINUING FUND intends to apply the sum of : PhP1,707,650.00 for LOT 1, Supply and Delivery of Multipurpose Microbial Inoculant </t>
  </si>
  <si>
    <t xml:space="preserve"> INVITATION TO BID REHABILITATION OF PERIMETER FENCE 	The Local Government Unit of Rizal, Cagayan intends to apply the sum of SEVENTY THOUSAND PESOS (P70,000.00) being the Approved Budget for the Contract (ABC) for the REHABILITATION OF PERIMETER FENCE  fr</t>
  </si>
  <si>
    <t xml:space="preserve"> Please quote your lowest price on the CONSTRUCTION OF PUMPHOUSE AT BRGY. VEGA BONGABON, NUEVA ECIJA UNDER CONSTRUCTION OF WATER SUPPLY PROJECT FOR BONGABON WATER DISTRICT subject to the conditions listed below, stating the shortest time of delivery and su</t>
  </si>
  <si>
    <t xml:space="preserve"> Training Supplies</t>
  </si>
  <si>
    <t xml:space="preserve"> Thirty (30) pck, Siver Trace Electrodes 50mm Round, Clear Tape Solid Gel and 50 Other line items.</t>
  </si>
  <si>
    <t xml:space="preserve"> Windows at the COA and Legal Office</t>
  </si>
  <si>
    <t xml:space="preserve"> Republic of the Philippines Department of Education Region VI – Western Visayas DIVISION OF AKLAN Poblacion, Numancia, Aklan INVITATION TO BID Project No.: DepED-RO6-D1-2020QRF(REPAIR)REBID-C1-058-2020 The Department of Education (DepED) Division of Aklan</t>
  </si>
  <si>
    <t xml:space="preserve"> INVITATION TO BID (CW 2020-008-028)   The CITY GOVERNMENT OF SORSOGON, through its Bids and Awards Committee (BAC), invites suppliers/contractors to apply for eligibility and to bid for the hereunder project:  Name of Project		:	REPAIR/IMPROVEMENT OF BACI</t>
  </si>
  <si>
    <t xml:space="preserve"> 24 AUGUST 2020 INVITATION TO BID FOR THE COVID-19 EMERGENCY PROCUREMENT - TABLET 	 1.	The City of Caloocan, through the General Fund of the 2020 Annual City Budget approved under Sangguniang Panlungsod Ordinance No. 0888 s. 2020, intends to apply the sum </t>
  </si>
  <si>
    <t xml:space="preserve"> 1. The Department of Agrarian Reform-Kalinga through the Government of the Philippines General Appropriations Act, 2020 Current Fund for CRFPSP intends to apply the sum of: PhP 3,610,000.00 for LOT 1, SUPPLY, DELIVERY AND INSTALLATION OF AGRICULTURAL MACH</t>
  </si>
  <si>
    <t xml:space="preserve"> See Attachment!</t>
  </si>
  <si>
    <t xml:space="preserve"> ONE LOT TRANSMISSION ASSEMBLY SPECIFICATIONS: ONE (1) PC TRANSMISSION ASSEMBLY ONE (1) PC CLUTCH DISC ONE (1) PC PRESSURE PLATE ONE (1) PC RELEASE BEARING ONE (1) PC PILOT BEARING</t>
  </si>
  <si>
    <t xml:space="preserve"> Republic of the Philippines Province of Dinagat Islands	 Municipality of Basilisa BARANGAY VILLA PANTINOPLE -oOo- BIDS AND AWARDS COMMITTEE -oOo- INVITATION TO APPLY FOR ELIGIBILITY AND TO BID The Barangay Villa Pantinople, Municipality of Basilisa, Provi</t>
  </si>
  <si>
    <t xml:space="preserve"> NOTICE TO THE PUBLIC REQUEST FOR QUOTATION                                              AMP SVP-D NO: 20-08-0442   The University of the Philippines, Diliman (UPD) hereby informs the public that it will be procuring the following item/s through Small Valu</t>
  </si>
  <si>
    <t xml:space="preserve"> NOTICE TO THE PUBLIC REQUEST FOR QUOTATION                                              AMP SVP-D NO: 20-08-0443   The University of the Philippines, Diliman (UPD) hereby informs the public that it will be procuring the following item/s through Small Valu</t>
  </si>
  <si>
    <t xml:space="preserve"> Republic of the Philippines									 Province of Benguet									 Municipality of Buguias									 BIDS AND AWARDS COMMITTEE									 									 			Purchase Request Number:				Date:		 			Name of the Project:				Quotation No:		 			Location of the Project:		</t>
  </si>
  <si>
    <t xml:space="preserve"> SECURITY SERVICES TOTAL NUMBER OF GUARDS: 3 TRAINED AND LICENSED SECURITY PERSONNEL WITH COMPLETE UNIFORM &amp; ISSUED LICENSED FIREARM ALERT, COURTEOUS AND TRUSTWORTHY</t>
  </si>
  <si>
    <t xml:space="preserve"> Item I - Concrete Works   0.64 cu.m. Item II - Construction/Installation of Post and Lights   8.00 sets Item III - Electrical Works  8.00  sets SPCL-I - Project Billboard   1.00 set Invitation to Bid   CONSTRUCTION/INSTALLATION OF STREET LIGHTS 	 1.	The L</t>
  </si>
  <si>
    <t xml:space="preserve"> Republic of the Philippines PROVINCE OF ZAMBOANGA SIBUGAY Municipality of Payao Barangay Calape REQUEST FOR QUOTATION ALTERNATIVE METHOD OF PROCUREMENT THRU NEGOTIATED PROCUREMENT-SMALL VALUE (Sec. 53.9 of RA 9184) Date: August 24, 2020 PR-2020-08-001 TO </t>
  </si>
  <si>
    <t xml:space="preserve"> Additional Load (php700 per month) January February March April May June July August September October November December</t>
  </si>
  <si>
    <t xml:space="preserve"> Republic of the Philippines PROVINCE OF ZAMBOANGA SIBUGAY Municipality of Payao Barangay Katipunan REQUEST FOR QUOTATION ALTERNATIVE METHOD OF PROCUREMENT THRU NEGOTIATED PROCUREMENT-SMALL VALUE (Sec. 53.9 of RA 9184) Date: August 24, 2020 PR-2020-08-007 </t>
  </si>
  <si>
    <t xml:space="preserve"> Procurement of supplies for printing of modules for fourth quarter of fiscal year 2020. These materials will be used for printing out of modules to be distributed to pupils of Tres Andanas Elementary School.</t>
  </si>
  <si>
    <t xml:space="preserve"> Repair of Service Vehicle( 120 km check-up) ABC: P88,953.51 Area of delivery: Puerto Princesa City, Palawan</t>
  </si>
  <si>
    <t xml:space="preserve"> Qty	Unit of Issuance	DESCRIPTION 		 33,180	pcs    	SUPPLY AND DELIVERY OF  PASTEURIZED CARABAO’S MILK (PRE PACKED IN 200ML SACHET)                                  FOR 4 DROP OFF POINTS IN DIPOLOG CITY 		·               Made from fresh carabao’s milk; sou</t>
  </si>
  <si>
    <t xml:space="preserve"> 350 pk Biscuit, 10s &amp; 14 L/I</t>
  </si>
  <si>
    <t xml:space="preserve"> PROCUREMENT TERMS AND CONDITIONS 1. The Approved Budget for the Contract (ABC) is P35,500.00 2. Price quotation should be inclusive of the 5% / 3% Final VAT and expanded withholding tax (EWT) of 1% / 2% 3. Evaluation of bids will be conducted on a "per lo</t>
  </si>
  <si>
    <t xml:space="preserve"> Brief Description of the Project		 Quantity	Unit	Item Description 1.00	unit	Rescue Equipment (Manlift)</t>
  </si>
  <si>
    <t xml:space="preserve"> Please see attached Request for Quotation (RFQ) for complete details.</t>
  </si>
  <si>
    <t xml:space="preserve"> PROCUREMENT OF THE FOLLOWING SERVICES: CONCRETING OF 285 LINEAR METERS x 0.60 METERS WIDTH x 0.10 METER THICK CONCRETE PATHWAY. A, MATERIALS B. LABOR FOR MORE DETAILS VISIT THE BARANGAY</t>
  </si>
  <si>
    <t xml:space="preserve"> NAME OF PROJECT:  PROCUREMENT OF OFFICE SUPPLIES FOR DONSOL COMMUNITY COLLEGE LOCATION OF THE PROJECT:  Donsol, Sorsogon PROJECT REFERENCE NO     GOODS-PB-2020-009 Approved Budget for the Contract (ABC): ₱ 368,400.00 Item No.	Quantity	Unit	ITEM/DESCRIPTIO</t>
  </si>
  <si>
    <t xml:space="preserve"> Name of Project/Contract	:	IMPROVEMENT OF TADJI-TUKOD ROAD Location				:	TADJI, Kasibu, Nueva Vizcaya Brief Description		: 1.	Excavation for structure 2.	0.15m x 6m x 247m aggregate base coarse 3.	0.8m x 6m x 50m back fill 4.	Construction of 0.15m x 5.0m </t>
  </si>
  <si>
    <t xml:space="preserve"> 1.		Acrytex Reducer	12	gals 2.		Acrytex Cast	32	gals 3.		Sand Paper # 100	30	meters 4.		Flat Latex B/S White	16	gals 5.		Acrylic Emulsion	3	gals 6.		QDE B/S White	4	gals 7.		Epoxy Primer	4	liters 8.		Paint Thinner	1	gal 9.		Lacquer Thinner	2	gals 10.		Bla</t>
  </si>
  <si>
    <t xml:space="preserve"> Republic of the Philippines PROVINCE OF ZAMBALES I B A  Project Reference Number/Purchase Request No..	SMDH-2020-288 													                                                                                                 Location of the Project:	San</t>
  </si>
  <si>
    <t xml:space="preserve"> Invitation to Bid   1.	The MUNICIPAL GOVERNMENT OF SAN VICENTE, PALAWAN, through the 20% DEVELOPMENT FUND for CY 2020 intends to apply the sum of ONE MILLION PESOS being the Approved Budget for the Contract (ABC) to payments under the contract for the REH</t>
  </si>
  <si>
    <t xml:space="preserve"> Name of  Project/Contract	:	COMPLETION OF COVERE COURT-SIGUEM Location				:	SIGUEM,  Kasibu, Nueva Vizcaya Brief Description		: 	a. Installation of C-Purlins, Sag rods and rib type roofing Approved Budget  for the Contract (ABC)		:	P 493,568.00 Source of </t>
  </si>
  <si>
    <t xml:space="preserve"> Invitation to Bid   1.	The MUNICIPAL GOVERNMENT OF SAN VICENTE, PALAWAN, through the GENERAL FUND for CY 2020 intends to apply the sum of ONE MILLION PESOS being the Approved Budget for the Contract (ABC) to payments under the contract for the REPAIR/RENO</t>
  </si>
  <si>
    <t xml:space="preserve"> Name of  Project/Contract	:	CONCRETING OF NATIONAL ROAD TO SCHOOL Location				:	DINE,  Kasibu, Nueva Vizcaya Brief Description		: 	a. Road way excavation 					b. 0.10m x 4m x 88m and 0.15m x 2m x 88m Aggregate Base Coarse 					c. Construction of 0.15m x 4</t>
  </si>
  <si>
    <t xml:space="preserve"> Name of  Project/Contract	:	IMPROVEMENT OF BATEC-LOGPOND KONGKONG ROAD Location				:	KONGKONG,  Kasibu, Nueva Vizcaya Brief Description		: 	a. Construction of 0.15m x 3m x 104m x 0.15m x 2m x 15m PCCP 					b. Aggregate base coarse 0.10m x 3m x 104m  					</t>
  </si>
  <si>
    <t xml:space="preserve"> Name of  Project/Contract	:	IMPROVEMENT OF CASERREC-LOCOS Location				:	NANTAWAKAN,  Kasibu, Nueva Vizcaya Brief Description		: 	a. Roadway excavation 					b. 0.20m x 3m x 45m x 0.15m x 3m x 205m Aggregate base coarse including shoulder fill. 					c. Cons</t>
  </si>
  <si>
    <t xml:space="preserve"> Name of Project/Contract	:	CONSTRUCTION OF STANDARD DAYCARE CENTER BUILDING WITH COMPLETE FACILITIES Location				:	PAO, Kasibu, Nueva Vizcaya Brief Description	:	Construction of 8m x 15.5m Building (Reinforced Concrete footings, beams, columns and slabs, </t>
  </si>
  <si>
    <t xml:space="preserve"> Name of Project/Contract	:	LOCAL ACCESS ROAD-IMPROVEMENT OF ALLOY-WATWAT-EDRALIN ROAD Location				:	Alloy, Kasibu, Nueva Vizcaya Brief Description		: 1.	Roadway Excavation 2.	Excavation for structure 3.	0.20m x 7m x 345m aggregate base coarse 4.	0.20m x 6</t>
  </si>
  <si>
    <t xml:space="preserve"> Name of Project/Contract	:	LOCAL ACCESS ROAD-IMPROVEMENT OF CAPPIT-PUDI-DINE ROAD Location				:	Alloy, Kasibu, Nueva Vizcaya Brief Description		: 1.	Road way excavation 2.	0.20m x 7m x 478m Aggregate Base Coarse 3.	0.20m x 6.10m x 478m PCCP 4.	Installatio</t>
  </si>
  <si>
    <t xml:space="preserve"> Republic of the Philippines MUNICIPALITY OF MACABEBE Province of Pampanga INVITATION TO BID FOR Sewing Machines and Sewing Materials/Tools 1.	The Municipality of Macabebe, through the 2020 DOLE (DILEEP) intends to apply the sum of Seven Hundred Thousand P</t>
  </si>
  <si>
    <t xml:space="preserve"> Republic of the Philippines Province of Misamis Oriental Local Government Unit of Claveria INVITATION TO BID FOR  Procurement of fuel for 3rd and  4th  quarter 2020 for different barangays  and other  offices 1.	The Local Government Unit of Claveria, thro</t>
  </si>
  <si>
    <t xml:space="preserve"> Name of Project/Contract	:	IMPROVEMENT OF INAGUB ROAD - PAQUET Location				:	PAQUET, Kasibu, Nueva Vizcaya Brief Description	:	1. Road way excavation 2. Construction of 0.15m x 3m x 243m PCCP 3. Aggregate base coarse 0.10m x 4m x 243m Approved Budget  for</t>
  </si>
  <si>
    <t xml:space="preserve"> Republic of the Philippines Province of Misamis Oriental Local Government Unit of Claveria Invitation to Bid for  Construction of  Multi-purpose  Hall at New Municipal Ground The Local Government Unit of Claveria, through the budget approved by Sanggunian</t>
  </si>
  <si>
    <t xml:space="preserve"> INVITATION TO BID The City Vigan, through its Bids and Awards Committee (BAC), invites suppliers/manufacturers/distributors/contractors to apply for eligibility and to bid for the hereunder project: Name of Project:	Construction of Hand Washing Facility o</t>
  </si>
  <si>
    <t xml:space="preserve"> Procurement of Heavy Equipment Parts for Backhoe 1 Bucket Tooth 10 Pc. End Bit 2 Pc.</t>
  </si>
  <si>
    <t xml:space="preserve"> P.R. No. 126-2020			 For ECCD FIK for 16 barangays 1.	32	can	Ampalaya Seeds (Hybrid) 100 grams 2.	48	can	Eggplant Seeds (OPV) 50 grams 3.     48	can	Tomato Seeds (OPV) 50 grams 4.	64	can	Squash Seeds (OPV) 250 grams 5.	32	kilo	Pole Sitaw Seeds (OPV) 6.	16</t>
  </si>
  <si>
    <t xml:space="preserve"> Republic of the Philippines Province of Southern Leyte MUNICIPALITY OF SAN JUAN Invitation to Bid for  CONSTRUCTION OF LINE CANAL BRGY. SAN ROQUE, SAN JUAN, SOUTHERN LEYTE 1.	The MUNICIPALITY OF SAN JUAN, through General Fund intends to apply the sum of T</t>
  </si>
  <si>
    <t xml:space="preserve"> Rehabilitation/Construction of Drainage System in Buenavista, Bato, Catanduanes (Php135,780.00) 1. 150 bags Portland cement 2. 10 cu.m. Sand 3. 7 cu.m. Gravel 4. 1260 bags 4” CHB 5. 175 pcs 10mm diam. X 6.0m RSB 6. 8 pcs Tire Wire 7. 5 pcs Pail 8. 1 lot B</t>
  </si>
  <si>
    <t xml:space="preserve"> Repair/Maintenance of Roadsides Structure</t>
  </si>
  <si>
    <t xml:space="preserve"> Concreting of Farm to Market Road</t>
  </si>
  <si>
    <t xml:space="preserve"> CATERING SERVICES FOR THE CONDUCT OF 5-DAY BASIC INFORMATION COLLECTION AND ANALYSIS SEMINAR (BICAS)</t>
  </si>
  <si>
    <t xml:space="preserve"> Invitation to Bid   1.	The MUNICIPAL GOVERNMENT OF SAN VICENTE, PALAWAN, through the GENERAL  FUND for CY 2020 intends to apply the sum of ONE MILLION PESOS being the Approved Budget for the Contract (ABC) to payments under the contract for the COMPLETION</t>
  </si>
  <si>
    <t xml:space="preserve"> PHOTOCOPIER, PRINTER AND SCANNER</t>
  </si>
  <si>
    <t xml:space="preserve"> Republic of the Philippines MUNICIPALITY OF CABUGAO Ilocos Sur Invitation to Bid for the Improvement of Farm to Market Road @ Brgy. Rizal (Savellano St.), Cabugao, Ilocos Sur 1. The Local Government Unit of Cabugao, Ilocos Sur, through the R.A. 7171 under</t>
  </si>
  <si>
    <t xml:space="preserve"> UNDERWATER DIVING EQUIPMENT 1 UNIT DIVE COMPUTER (WATCH TYPE) 1 UNIT BUOYANCY CONTROL DEVICES (STAINLESS STEEL PLATE) 1 UNIT DIVE REGULAR EQUIPMENT 1 PC WETSUIT 1MM 1 PC MASK 1 PC SNORKLE 1 PAIR HIGH CUT BOOTIES 1 PAIR RUBBER JET FINS 1 PAIR DIVE GLOVES 1</t>
  </si>
  <si>
    <t xml:space="preserve"> Calibration and Preventive Maintenance of CT Scan 16 Slice</t>
  </si>
  <si>
    <t xml:space="preserve"> DIESEL ORDINARY 5010 LITERS GASOLINE 1060 LITERS</t>
  </si>
  <si>
    <t xml:space="preserve"> supply and delivery of the following: 5 box Zycloran 100 5 box Zycloran 200 50  pcs Resperidone 10 ampules Fluphenazine Decanoate 25mg 5 box Biperiden tablet 2mg 45 vials Flunazine 25mg 35 pcs Olanzaphine 10mg 43 pcs Clozaphine 100mg 19 ampules Modizine 1</t>
  </si>
  <si>
    <t xml:space="preserve"> Name of  Project/Contract	:	CONSTRUCTION OF SERVICE ROAD TO DA BUILDING-MUNICIPAL COMPOUND Location				:	POBLACION,  Kasibu, Nueva Vizcaya Brief Description		: 	a. Excavation an back filling works 					b. Construction of Concrete Line Canal, Catch Basin a</t>
  </si>
  <si>
    <t xml:space="preserve"> Name of  Project/Contract	:	CONSTRUCTION OF NURSEY SHED Location				:	ALLOY,  Kasibu, Nueva Vizcaya Brief Description		: 	a. Excavation an back filling works 					b. Concrete works (pedestal and wall footing) 					c. Installation of CHB 					d. Roofing wo</t>
  </si>
  <si>
    <t xml:space="preserve"> Invitation to Bid 1.	The MUNICIPAL GOVERNMENT OF SAN VICENTE, PALAWAN, through the 20% Development Fund for CY 2020 intends to apply the sum of  TWO MILLION EIGHT HUNDRED THOUSAND PESOS (Php 2,800,000.00) being the Approved Budget for the Contract (ABC) t</t>
  </si>
  <si>
    <t xml:space="preserve"> Invitation to Bid 1.	The MUNICIPAL GOVERNMENT OF SAN VICENTE, PALAWAN, through the General Fund for CY 2020 intends to apply the sum of  TWO MILLION FOUR HUNDRED THOUSAND PESOS (Php 2,400,000.00) being the Approved Budget for the Contract (ABC) to payment</t>
  </si>
  <si>
    <t xml:space="preserve"> Item No.	Quantity	 Unit of Issue	              Item Description 1		145		boxes		Losartan 50 mg tablet, 100 tablet/box 2		145		boxes		Amlodipine 10 mg tablet,100 tablet/box 3		29		boxes		Dicycloverine tablet, 100 tablet/box 4		29		boxes		Loperamide 2 mg cap</t>
  </si>
  <si>
    <t xml:space="preserve"> Republic of the Philippines CITY OF TACURONG OFFICE OF THE CITY MAYOR INVITATION TO BID FOR CONSTRUCTION OF DIALYSIS CENTER (PHASE II) (Contract ID No: 2020-CW-028) The City Government of Tacurong, through 20% Development Fund 2019 – Continuing and 20% De</t>
  </si>
  <si>
    <t xml:space="preserve"> Republic of the Philippines CITY OF TACURONG OFFICE OF THE CITY MAYOR INVITATION TO BID FOR IMPROVEMENT OF MUSICAL FOUNTAIN (Contract ID No: 2020-CW-026) The City Government of Tacurong, through 20% Development Fund 2020 to apply the sum stated below bein</t>
  </si>
  <si>
    <t xml:space="preserve"> Qty	Unit of Issuance	DESCRIPTION 		 30,660	pcs	SUPPLY AND DELIVERY OF  PASTEURIZED CARABAO’S MILK (PRE PACKED IN 200ML SACHET) FOR                          9 DROP OFF POINTS IN DAPITAN CITY 		·         Made from fresh carabao’s milk; sourced from local da</t>
  </si>
  <si>
    <t xml:space="preserve"> QTY	 UNIT	 ITEM/DESCRIPTION	 ABC (PhP)	 UNIT PRICE	 TOTAL PRICE 1	Set	A/V Receiver Built-in amplifier, tuner, radio, input selection, volume control. Has Audio and Video Component HDMI Inputs USB Input Digital Audio input Music Cast Wireless multi room au</t>
  </si>
  <si>
    <t xml:space="preserve"> 205 rm Paper, Copier A4 &amp; 19 L/I</t>
  </si>
  <si>
    <t xml:space="preserve"> Invitation to Bid 1.	The MUNICIPAL GOVERNMENT OF SAN VICENTE, PALAWAN, through the SUPPLEMENTAL BUDGET NO. 8, CY 2020 intends to apply the sum of  TWO FORTY-ONE THOUSAND FIVE HUNDRED SEVENTY-SEVEN PESOS (Php 241,577.00) being the Approved Budget for the C</t>
  </si>
  <si>
    <t xml:space="preserve"> Republic of the Philippines Province of South Cotabato BIDS AND AWARDS COMMITTEE Capitol Compound Alunan Avenue, Koronadal City Tel. Fax No.: (083) 228-9951/228-8570 INVITATION TO BID FOR THE SUPPLY AND DELIVERY OF 2 UNITS DUMP TRUCK, BRAND NEW, 6 WHEELER</t>
  </si>
  <si>
    <t xml:space="preserve"> Construction of Deep Well</t>
  </si>
  <si>
    <t xml:space="preserve"> PROCUREMENT TERMS &amp; CONDITIONS					 1	The Total Approved Budget for the Contract (ABC) is Php 96,000.00				 2	Price quotation should be inclusive of tax obligations.				 3	Delivery period is 10 calendar days from the receipt of NOA &amp; PO.				 4	If awarded </t>
  </si>
  <si>
    <t xml:space="preserve"> Invitation to Bid for Construction of Evacuation Center/Multi-Purpose Center at Barangay Bulanao  Brgy. Igcagay, Libertad, Antique The Local Government of Libertad, Antique, through the MDF 2020 intends to apply the sum of Two Million Five Hundred Thousan</t>
  </si>
  <si>
    <t xml:space="preserve"> Procurement of Two (2) unit Blower Motor and Seven (7) other line items</t>
  </si>
  <si>
    <t xml:space="preserve"> SW-1008-2020-0118</t>
  </si>
  <si>
    <t xml:space="preserve"> 1 UNIT AMBULANCE VAN TYPE VEHICLE POWERED BY A EURO-COMPLIANT  2.4L DIESEL ENGINE, 4 CYLINDER WIT 5 SPEED MANUAL TRANSMISSION AMBULANCE CONVERSION INCLUDES:   A. ALUMINUM CHECKERED PLATE FLOORING, 1 PC SMALL CABINET, 1 PC BENCH CHAIR PASSENGER SIDE, ALUMI</t>
  </si>
  <si>
    <t xml:space="preserve"> 1.0 Replacement of pump/ motor, riser pipes &amp; accessories A. Materials    Submersible pump, 3 hp, 230 VAC, S- shape 32mm dia. discharge pipe, incl. control panel    Check valves, screw type, 32mm dia.     G. I. Pipes, 1- 1/4" sch. 40, threaded ends includ</t>
  </si>
  <si>
    <t xml:space="preserve"> Various computer supplies &amp; consumables</t>
  </si>
  <si>
    <t xml:space="preserve"> INVITATION TO APPLY FOR ELIGIBILITY AND TO BID (IAEB) The Municipality of Molave, Zamboanga del Sur, through its Bids and Awards Committee (BAC), invites suppliers/distributors to apply for eligibility and to bid for the hereunder project: Name of Project</t>
  </si>
  <si>
    <t xml:space="preserve"> INVITATION TO BID FOR THE PROCUREMENT OF MATERIALS &amp; FITTINGS FOR NEW CONNECTION FOR THE YEAR 2020 1.	The Dagupan City Water District, through the Approved Budget 2020 intends to apply the sum of ONE MILLION NINE HUNDRED NINE THOUSAND  FIVE PESOS (Php 1,9</t>
  </si>
  <si>
    <t xml:space="preserve"> Various materials for the Repair &amp; Maintenance of Building</t>
  </si>
  <si>
    <t xml:space="preserve"> Clearing   3.50  sq.m Excavation  6.00  Cu.m Structural Concrete  10.50  Cu.m Formworks  200.00  bf.ft Reinforcing Steel Bars   1,075.00   kgs Steel Works   1.00   In.m Transshipment of Material &amp; Manual Hauling   1.00   lot Project Billboards   3.00   pc</t>
  </si>
  <si>
    <t xml:space="preserve"> Clearing  30.00   sq.m Excavation  50.00  cu.m Grouted Riprap  100.00  cu.m Structural Concrete  6.00 cu.m Transshipment of Material &amp; Manual Hauling  1.00  lot Project Billboards  1.00  lot</t>
  </si>
  <si>
    <t xml:space="preserve"> Standard Form Number: SFGOOD60 Revised on: May 24, 2004 Standard Form Title: Request for Quotation Date: August 24, 2020  Quotation No. 20-07-0456 PR No. 20-08-945/ 946 __________________________ Company Name _________________________________ Address     </t>
  </si>
  <si>
    <t xml:space="preserve"> 1 Breakfast, 1 Lunch,1 Dinner (plate in) - 315 pax</t>
  </si>
  <si>
    <t xml:space="preserve"> Various office supplies</t>
  </si>
  <si>
    <t xml:space="preserve"> 1 Meal &amp; 2 Snacks Meal: Garlic Chicken &amp; Beef Bulgogi             Assorted soft drinks Snacks:AM- Muffin &amp; Bottled water                PM-Clubhouse Sandwich &amp; Tetra pack juice</t>
  </si>
  <si>
    <t xml:space="preserve"> Various materials for the Repair &amp; Maintenance of building</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</si>
  <si>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</si>
  <si>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BIDS AND AWARDS COMMITTEE August 24, 2020 INVITATION TO BID 	The Sangguniang Barangay of BALOGO, EAST DISTRICT, SORSOGON CITY, through its Bids and Awards Committee(BAC), invites Suppliers to apply for eligibility and if found eligible, to Bid for the her</t>
  </si>
  <si>
    <t xml:space="preserve"> Project 2020-17: Purchase of 300mm Diameter Cement Coated and Cement Lined Spiral Welded Steel Pipes Approved Budget of the Contract: Php 16,900,000.00 800pcs - 4.78mm thickness - 300mm x 6m Cement Lined / Cement Coated Spiral Welded Steel Pipes All manuf</t>
  </si>
  <si>
    <t xml:space="preserve"> Procurement of Heavy Equipment Parts for Backhoe 2 Bucket 1 Pc.</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</si>
  <si>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</si>
  <si>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It includes: Toner Cartridge Can Print minimum of 2,200 to 3,000 pages high cartridge capacity, black cartridge color toner weight not lower than 0.58 kg Terms of Reference: 1.Free use of Printer Specification: 3-in-1 (Print, Copy, scan) with LAN LaserJet</t>
  </si>
  <si>
    <t xml:space="preserve"> Please refer to the attached document.</t>
  </si>
  <si>
    <t xml:space="preserve"> 1.Risperidone 2mg 100's - 16 boxes 2.Biperiden HCI 2mg 100's - 10 boxes 3.Flupentixol 20mg /ml,1ml amp - 20 amp 4.Sertraline 50mg 100's - 6 boxes 5.Haloperidol 5mg tab 100's - 3 boxes 6.Olanzapine 10mg 100's - 8 boxes 7.Chlorpromazine 200mg tab 100's - 12</t>
  </si>
  <si>
    <t xml:space="preserve"> 8 ea Rubber Damper</t>
  </si>
  <si>
    <t xml:space="preserve"> Retransmission Unit 70V to 115 VAC &amp; 14 LI</t>
  </si>
  <si>
    <t xml:space="preserve"> 20 ea Clearing Brush &amp; 13 LI</t>
  </si>
  <si>
    <t xml:space="preserve"> Republic of the Philippines WESTERN PHILIPPINES UNIVERSITY          A STRONG PARTNER FOR SUSTAINABLE DEVELOPMENT BIDS AND AWARDS COMMITTEE Invitation to Bid for Supply, Delivery, and Installation of Sound System for WPU main and Puerto Princesa City campu</t>
  </si>
  <si>
    <t xml:space="preserve"> Procurement of RP Vehicle Oil 2 Drum Oil 40 1 Drum Hydraulic Oil 68 2 Drum Oil 10</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</si>
  <si>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</si>
  <si>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Republic of the Philippines PROVINCE OF SOUTHERN LEYTE Maasin City Invitation to Bid for the Procurement of Medical Oxygen (Standard &amp; Aviator)  Contract ID # 2020-09-15-470PG 1.	The Provincial Government of Southern Leyte through the SOYMPH, ADH, HCH, PB</t>
  </si>
  <si>
    <t xml:space="preserve"> L=9m, W=1.50m, H=1.20m</t>
  </si>
  <si>
    <t xml:space="preserve"> Order/Download and fill up attach Request for Quotation and submit to the BAC Office on/before closing date</t>
  </si>
  <si>
    <t xml:space="preserve"> Republic of the Philippines WESTERN PHILIPPINES UNIVERSITY          A STRONG PARTNER FOR SUSTAINABLE DEVELOPMENT BIDS AND AWARDS COMMITTEE Invitation to Bid for the Procurement of various supplies and equipment in response to the “New Normal” condition.  </t>
  </si>
  <si>
    <t xml:space="preserve"> 1	piece	Neon Cartollina	280	 10.00 	 2,800.00  2	piece	Art Paper	14	 200.00 	 2,800.00  4	bottle	Glue, big	30	 55.00 	 1,650.00  7	roll	Laminating Film	10	 1,200.00 	 12,000.00  8	piece	Construction Paper	30	 205.00 	 6,150.00  9	cart	Ink, Epson 664	108	 </t>
  </si>
  <si>
    <t xml:space="preserve"> NEGOTIATED PROCUREMENT 											 August 24, 2020 1.	The Provincial Government of Davao Occidental, through its Bids and Awards Committee (BAC), invites all potential bidders/suppliers to apply to bid for the following goods: Bids received in excess of t</t>
  </si>
  <si>
    <t xml:space="preserve"> DESCRIPTION                SUPPLY INSTALLATION  OF ATM CLADDING (WALL TYPE) ABC:P 60,000.00 QTY   1 U/M LOT Please be guided the following: 1 Price quotation must be based on the term of Reference (TOR) / scope work / service (SOW)  (SOW) / technical Spec</t>
  </si>
  <si>
    <t xml:space="preserve"> Procurement of Non-Ionic Low Osmolar Contrast Media for Radiologic Procedure</t>
  </si>
  <si>
    <t xml:space="preserve"> P.R. No. X1-20-07-307 - Supply and Delivery for the use in the Office of the Regional Director, 3rd Quarter. (Please see attached RFQ)</t>
  </si>
  <si>
    <t xml:space="preserve"> Delivery and Supply of Construction Materials</t>
  </si>
  <si>
    <t xml:space="preserve"> P.R. No. X4-20-07-291 - Supply and Delivery for the use in the operation of TOYOTA HILUX (CAP3734/100804). (Please see attached RFQ)</t>
  </si>
  <si>
    <t xml:space="preserve"> For Day Care Workers use.</t>
  </si>
  <si>
    <t xml:space="preserve"> Republic of the Philippines Province of Oriental Mindoro MUNICIPALITY OF NAUJAN BIDS &amp; AWARDS COMMITTEE INVITATION TO BID INSTALLATION OF STREETLIGHTS AT POBLACION TO PINAGSABANGAN II (Curva), NAUJAN, ORIENTAL MINDORO 1.	The Municipal Government of Naujan</t>
  </si>
  <si>
    <t xml:space="preserve"> Republic of the Philippines WESTERN PHILIPPINES UNIVERSITY         A STRONG PARTNER FOR SUSTAINABLE DEVELOPMENT BIDS AND AWARDS COMMITTEE Invitation to Bid for the Supply and Delivery of Customized Polo Shirt and Sling Bag  	The Western Philippines Univer</t>
  </si>
  <si>
    <t xml:space="preserve"> Please see attached ITB</t>
  </si>
  <si>
    <t xml:space="preserve"> 20 set LED Daylight Watts 45 pcs LED Bulb 15W 3 bxs THHN #12 (Electrical Wire) 2 bxs THHN #10 (Electrical Wire) 3 bxs THHN #6 (Electrical Wire) 5 pcs Electrical Tape Big 2 pcs NEMA 3R 1 box Tox #6 4 pcs Flood Light 50W warm 200 pcs Texcrew #2 5 pcs 2 Gang</t>
  </si>
  <si>
    <t xml:space="preserve"> Please refer to the attached Request for Quotation, Terms of Reference, and CDC &amp; LGU Allocation of Goods. Thank you.</t>
  </si>
  <si>
    <t xml:space="preserve"> P.R. No. X11-20-07-336 - Supply and Delivery for the use of various service vehicles and heavy equipment, assigned at DPWH-Region X. (Please see attached RFQ)</t>
  </si>
  <si>
    <t xml:space="preserve"> Invitation to Bid for  Concreting of Farm-to-Market Road (Barangay Cabcaban) 1.	The Municipality of Bindoy, Negros Oriental, through the Mun. 20% Development Fund (20% DF) CY 2019  intends to apply the sum of One Million Two Hundred One Thousand Three Hun</t>
  </si>
  <si>
    <t xml:space="preserve"> Enzymes for biodegradable waste</t>
  </si>
  <si>
    <t xml:space="preserve"> Item Description.......................Quantity......................................Unit of Issue Cement......................................765...............................................Bag</t>
  </si>
  <si>
    <t xml:space="preserve"> various medicines</t>
  </si>
  <si>
    <t xml:space="preserve"> Various condiments &amp; vegetable</t>
  </si>
  <si>
    <t xml:space="preserve"> BIDDING DOCUMENTS FOR THE PROPOSED CONSTRUCTION OF CUSTOMER ACCOUNTS DIVISION OFFICE 1.	The Dagupan City Water District, through the Approved Budget of 2020 intends to apply the sum of One Million Two Hundred Two Thousand  Four Hundred Ninety Four Pesos a</t>
  </si>
  <si>
    <t xml:space="preserve"> INVITATION TO BID FOR THE PROCUREMENT OF 2 UNITS VARIABLE FREQUENCY DRIVE (INCLUSIVE OF INSTALLATION, TESTING AND COMMISSIONING) 1.	The Dagupan City Water District, through the Approved Budget 2020 intends to apply the sum of SEVEN HUNDRED THOUSAND  PESOS</t>
  </si>
  <si>
    <t xml:space="preserve"> Standard Form Number: SFGOOD60 Revised on: May 24, 2004 Standard Form Title: Request for Quotation Date: August 24, 2020  Quotation No. 20-07-0452 PR No. 20-08-937 __________________________ Company Name _________________________________ Address         P</t>
  </si>
  <si>
    <t xml:space="preserve"> Demolition Works Excavation Works Concrete and Steel Works Site Cleaning Construction Safety and Health Program Mobilization</t>
  </si>
  <si>
    <t xml:space="preserve"> Stock No.	Item Description	QTY.	Unit 1	Projector with screen (w/HDMI port, 3,600 ansi lumens, white plastic curtain, color: black&amp;white)	1	unit 			 			 			 	Projector specs: 0.55" LCD panel, 1-1.2 optical zoom, manual focus, 30" to 300" screen size, 8.1 o</t>
  </si>
  <si>
    <t xml:space="preserve"> Republic of the Philippines CITY OF BAIS BIDS AND AWARDS COMMITTEE NOTICE FOR NEGOTIATED PROCUREMENT (53.1) In view of the failure of the second bidding scheduled last August 4, 2020, the Bids and Awards Committee (BAC) passed Resolution No. 58 series of </t>
  </si>
  <si>
    <t xml:space="preserve"> T-shirt</t>
  </si>
  <si>
    <t xml:space="preserve"> NOTICE OF NEGOTIATED PROCUREMENT (Small Value Procurement) Project:	Purchase of Various Office Supplies 		(PR#2020-07-6323) 		50	roll	20” x 50 yards white Plotter Paper (core 2) 30	roll	24” x 50 yards White Plotter (core 2) 3	pc.	Steel tape (50mtrs) 12	pc</t>
  </si>
  <si>
    <t xml:space="preserve"> Quantity   Unit of Issue    Item Description     Estimated Unit Cost    Estimated Total Cost 40 reams Bond Paper A4 sub 20    250.00   10,000.00 5 box Fastener (metal) 65.00   325.00 3 pcs All purpose glue (big) 130g 95.00   285.00 5 box binder clips (1 i</t>
  </si>
  <si>
    <t xml:space="preserve"> Stock No.   Item Description    QTY.     Unit 1. O-Ring 320139Z00A  1   pc 2. O-Ring 320139Z00C    1    pc 3. O-Ring 320139Z00B    1    pc 4. Lock Nut size: 5/16 322079Z00B    1   pc 5. Gasket 324979Z00E    2   pcs 6. Gasket 324979Z00D      1    pc 7. Loc</t>
  </si>
  <si>
    <t xml:space="preserve"> 20 ltr Coolant &amp; 37 LI</t>
  </si>
  <si>
    <t xml:space="preserve"> 24	units	Smartphone 	 		SPECIFICATIONS:	 			 		Display	 		 6.7" WQHD+ Dynamic AMOLED 2.0	 		 Infinity-O Display	 			 		Camera	 		 Rear:  64MP Telephoto	 		 +12MP (F/1.8) Wide	 		 + 12M Ultra Wide + ToF	 		 Front:  Dual Pixel 10MP (F/2.2)AF	 			 		Processo</t>
  </si>
  <si>
    <t xml:space="preserve"> Procurement of 15 pack Coffee 3 in 1 Coffe Mix 14g x 12 &amp; 28 LI</t>
  </si>
  <si>
    <t xml:space="preserve"> Republic of the Philippines CITY OF MARIKINA SF-GOOD-05 Revised on: July 28, 2004				 													Mkna-GSO-20-345	 	BIDS AND AWARDS COMMITTEE		 NOTICE OF PROPOSED PROCUREMENT The City Government of Marikina, through its Bids and Awards Committee (BAC), w</t>
  </si>
  <si>
    <t xml:space="preserve"> Qty.   Unit of Issue     Item Description/Specifications    Estimated Unit Cost   Estimated Total Cost 8 pcs FIRE EXTINGUISHER (10lbs dry chemical, mono ammonium phosphate, with 10 years chemical efficacy and 5 yrs warranty    4,650.00      37,200.00 1 pc</t>
  </si>
  <si>
    <t xml:space="preserve"> 4 pcs 205/65 R15  4 pcs 235/75</t>
  </si>
  <si>
    <t xml:space="preserve"> VARIOUS OFFICE SUPPLIES &amp; EQUIPMENT</t>
  </si>
  <si>
    <t xml:space="preserve"> Stock No.	Item Description	QTY.	Unit 1	Hoe, Steel with wooden handle, 2.5 kgs.	5	pcs. 2	Sugarcane cutting knife 21" w/ handle (wooden) 7 blade thickness	10	pcs. 3	Trowel Steel with wooden handle average size, 1.5 blade thickness	10	pcs. for CWMO			 			 1	</t>
  </si>
  <si>
    <t xml:space="preserve"> INVITATION TO BID (CW-08-2020-024) The Department of Public Works and Highways (DPWH)-Batangas IV District Engineering Office, Marawoy, Lipa City, Batangas, through its Bids and Awards Committee (BAC), invites contractors to bid for the contract listed be</t>
  </si>
  <si>
    <t xml:space="preserve"> Supply and Delivery of various medical and dental supplies See section 1 of the bidding documents</t>
  </si>
  <si>
    <t xml:space="preserve"> Qty.	Unit	Item &amp; Description 324	pax	Breakfast 324	pax	Lunch 324	pax	Dinner 		 		 		 		 		 		 		 		 		 		 		 		  		 	   	 	VAT Inclusive  	 	Place of Delivery: Brgy.Poblacion, Cagdianao, DI</t>
  </si>
  <si>
    <t xml:space="preserve"> PLEASE SEE ATTACHED DOCUMENTS. Services for the Demarcation of Boundaries of Mts. Iglit-Baco Natural Park, which includes relocation survey six (6) boundary corners and fabrication and installation of the six (6) concrete monuments or witness monuments in</t>
  </si>
  <si>
    <t xml:space="preserve"> Republic of the Philippines						 	Cordillera Administrative Region						 	Provincial Local Government Unit of Ifugao						 	BIDS AND AWARDS COMMITTEE ON GOODS						 	2nd Floor COA Bldg., Capitol Compound						 	Lagawe, Ifugao						 	Email Ad.: bacgoodsif</t>
  </si>
  <si>
    <t xml:space="preserve"> Stock No.   Item Description   QTY.    Unit 1. Valve 5223488190   1    pc 2. Air production Modulator 475009Z01B 1  pc 3. Turn Signal Switch 25299Z00B  1 pc 4. Connector 324349Z00E for CWMO</t>
  </si>
  <si>
    <t xml:space="preserve"> Republic of the Philippines  Province of Agusan del Norte  Municipality of Nasipit BIDS AND AWARDS COMMITTEE REQUEST for QUOTATION The Local Government Unit of Nasipit, through its Bids and Awards Committee (BAC) will undertake a Small Value Procurement i</t>
  </si>
  <si>
    <t xml:space="preserve"> Please see attached Invitation to Bid and Technical Specifications</t>
  </si>
  <si>
    <t xml:space="preserve"> I. General Requirements	 II. Deepwell III. Deepwell Pump Station IV. Pump and Yard Piping Works Labor CSHP</t>
  </si>
  <si>
    <t xml:space="preserve"> VARIOUS OFFICE SUPPLIES &amp; VACCINE</t>
  </si>
  <si>
    <t xml:space="preserve"> INVITATION TO BID FOR  INSTALLATION OF CCTV WITH NVR&amp; MONITOR AT VARIOUS RESETTLEMENT SITES FOR PEACE AND ORDER MONITORING @ GOLDEN HORIZON SUNSHINE VILLE &amp; SOUTHVILLE 2 PHASE 3, TRECE MARTIRES CITY 1.	The City Government of Trece Martires, through the TR</t>
  </si>
  <si>
    <t xml:space="preserve"> 300 pk Cupcake, Brownies 35g, 10s and 30 other line items</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</si>
  <si>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</si>
  <si>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Please see attached Invitation to Bid and Bill of Quantities</t>
  </si>
  <si>
    <t xml:space="preserve"> 105	PACK	GARBAGE BAG 10'S L (BLACK) 5	PACK	GARBAGE BAG 10'S XL (YELLOW) 46	PACK	GARBAGE BAG 10'S XL (GREEN) 41	PACK	GRABAGE BAG 10'S XL(BLACK) 2	PACK	GRABAGE BAG 20'S (MEDIUM) BLACK 20	PC	MOP (STEEL) 10	BOT	HANDSOAP 99.9% 225ML 5	BOT	DISCENFECTING SPRAY 5</t>
  </si>
  <si>
    <t xml:space="preserve"> I. Mobilization II. Excavation III. CSHP IV. Project Billboard V. Form Works VI. Masonry Works VII. Equipment Labor</t>
  </si>
  <si>
    <t xml:space="preserve"> 21 set 12V Power Adapter and 4 other line items</t>
  </si>
  <si>
    <t xml:space="preserve"> I.Mobilization II. CSHP III. Road Preparation A. Equipment B. Materials IV. Portland Cement Concrete Pavement V. Equipment Labor</t>
  </si>
  <si>
    <t xml:space="preserve"> Item 101- Removal of Actual Structure Item 200- Aggregate Sub-Base Coarse Item 311- Portland Cement Concrete Pavement SPL- Construction Health and Safety SCHEDULE OF BIDDING Advertisement/Posting – August 24-September 2, 2020 Issuance of Bid Documents – A</t>
  </si>
  <si>
    <t xml:space="preserve"> 1 LOT VARIOUS OFFICE SUPPLIES</t>
  </si>
  <si>
    <t xml:space="preserve"> Republic of the Philippines Province of Cebu Municipality of Cordova BIDS &amp; AWARDS COMMITTEE (032-236-6171) 			  	August 24, 2020 Request for quotation (rfq)  The Municipality of Cordova, through its Bids and Awards Committee (BAC), is inviting all intere</t>
  </si>
  <si>
    <t xml:space="preserve"> Purchase of relief goods for the affected families of COVID-19 25 bxs easy open sardines 35 bxs  3in1 twinpack</t>
  </si>
  <si>
    <t xml:space="preserve"> 40.00 pcs. deformed bar # 10mm. (standard) 15.00 pcs. deformed bar # 9 mm. (standard) 3.00 cu.m. sand - approved source 40.00 bags portland cement 2.00 pcs. gravel - approved source 250.00 pcs. HB 4" tk 50.00 sheets corrugated G.I. - guage 26x10' 10.00 sh</t>
  </si>
  <si>
    <t xml:space="preserve"> Installation of Fixed Glass with Swing Door  Fixed Glass on 1 3/4 x 4 Aluminum Frame w/ Sliding Doors &amp; Counter Windows using 1/4" Bronze Glass</t>
  </si>
  <si>
    <t xml:space="preserve"> DEPARTMENTOF SOCIAL WELFARE AND DEVELOPMENT Regional  Office No. 10, Masterson Avenue, Upper Carmen, Cagayan de Oro City INVITATION TO BID FOR Rebidding of Supply and delivery of Food and Non-Food Items for Replenishment of family food packs for the Disas</t>
  </si>
  <si>
    <t xml:space="preserve"> Supply of materials, manpower, and supervision for the construction of slab rooftop which will replace the existing dilapidated GI roof.  Scope of works:      1. Earthworks      2. Rebar works      3. Formworks and scaffoldings      4. Concreting works   </t>
  </si>
  <si>
    <t xml:space="preserve"> Please Contact the BAC Secretariat</t>
  </si>
  <si>
    <t xml:space="preserve"> For the use of RPHS I, II &amp; ACHS Cabading. RPHS Annex II Foton Ambulance GB 1290 1 assy. clutch master 1 assy. secondary clutch King Long Ambulance SLG 120 1 assy. brake hydrovac w/ master 1 set vacuum febra ACHS Cabading Toyota Vios SJG 513 1 set front b</t>
  </si>
  <si>
    <t xml:space="preserve"> SEE ATTTACHED LINK "TO OTHER INFORMATION"</t>
  </si>
  <si>
    <t xml:space="preserve"> Book Size  - 4A Cover        - None Print Color  - Black and White Paper Requirement  -  Standard Newsprint Binding    -Stapled per module using long barrel/heavy duty stapler Basis Weight  - 48.8 gsm +/-5 tolerance Brightness -  55%+/_ 3% tolerance Opaci</t>
  </si>
  <si>
    <t xml:space="preserve"> For the use of City Legal Office. 1 unit Computer Laptop * core i7 * 8GB RAM * HDD: 1TB * 15.6 inch LED display screen</t>
  </si>
  <si>
    <t xml:space="preserve"> Two (2) ea Hard Disc Drive 1TB and Four (4) other line items.</t>
  </si>
  <si>
    <t xml:space="preserve"> 40	bots.	Paracetamol  120 ml. 5	box	Paracetamol  tablet 20	box	Mefenamic Acid 4	bots.	Loperamide 4	box	Cenarizine 3	box	Decycloverine 3	box	Chlorphenamine 1	gal	Betadine 1	gal	Alcohol 4	gms	Cotton 2	box	Gause Sterile 4x4  10	inch	Plaster</t>
  </si>
  <si>
    <t xml:space="preserve"> public biding</t>
  </si>
  <si>
    <t xml:space="preserve"> Republic of the Philipppines Province of Palawan Municipality of Taytay BIDS AND AWARDS COMMITTEE RFQ no.:2020 Date: August 24, 2020 REQUEST FOR PRICE QUOTATION (Procurement of various) Sir/Madam: You're hereby invited to quote your price(s) on the articl</t>
  </si>
  <si>
    <t xml:space="preserve"> 91	pcs	LED Bulb 94	pcs	Rubberized Receptacle  11	roll	Electrical Tape</t>
  </si>
  <si>
    <t xml:space="preserve"> LOT 1						 Department of Education						 Region VII, Central Visayas						 DIVISION OF NEGROS ORIENTAL						 AMLAN NATIONAL HIGH SCHOOL						 					08/14/2020	 Canvass Number	2020-08-001				Date	 						 Name of Dealer						 						 Address						 REQUEST FO</t>
  </si>
  <si>
    <t xml:space="preserve"> Republic of the Philippines CITY OF MARIKINA SF-GOOD-05 Revised on: July 28, 2004				 													Mkna-GSO-20-346	 	BIDS AND AWARDS COMMITTEE		 NOTICE OF PROPOSED PROCUREMENT The City Government of Marikina, through its Bids and Awards Committee (BAC), w</t>
  </si>
  <si>
    <t xml:space="preserve"> Supply and Delivery of Office Supplies See section 1 of the Bidding Documents</t>
  </si>
  <si>
    <t xml:space="preserve"> The Bids and Awards Committee hereby invites all qualified bidders for the Local Access Road Upgrading at Brgy. Pob. Zone III to Brgy. Burgos, Mayorga, Leyte. Prospective Bidders must have experience of having completed one (1) contract that is similar to</t>
  </si>
  <si>
    <t xml:space="preserve"> Republic of the Philippines Province of Bohol Municipality of Panglao INVITATION TO BID FOR PROCUREMENT OF FIRE FIGHTING &amp; RESCUE AND SAFETY EQUIPMENT 1.	The Municipality of Panglao, Bohol, through the BFP 20% Share intends to apply the sum of One Hundred</t>
  </si>
  <si>
    <t xml:space="preserve"> Main Building Components	 	   	Gigabit Ethernet Switch 24 Ports	1	unit  	Horizontal Cable Manager 2U	1	pc  	Data Cabinet	1	unit  	Rough-ing Ins &amp; Consumables	1	lot Field Components	 	   	Wireless Radio 5Ghz PTP, PTMP	50	units  	Wireless Support	50	pcs  	U</t>
  </si>
  <si>
    <t xml:space="preserve"> Materials for Repair of Lighting Fixtures in various Offices and rooms (See attached file for more detailed information)</t>
  </si>
  <si>
    <t xml:space="preserve"> for Ambulance and Other Emergency Vehicles (September 2020)</t>
  </si>
  <si>
    <t xml:space="preserve"> Thirty Seven (37) ea Digital Two Way Radio Transceiver DM-760 UHF 400-480 MHz Two-Way Digital Handheld Ham Radio with Voice Encryption &amp; 6 other line items</t>
  </si>
  <si>
    <t xml:space="preserve"> Four (4) pcs Harris HH Radio Balun Whip Antenna and Six (6) other line items.</t>
  </si>
  <si>
    <t xml:space="preserve"> Republic of the Philippines Province of Bohol Municipality of Panglao INVITATION TO BID FOR PROCUREMENT OF IT EQUIPMENT AT PANGLAO, BOHOL 1.	The Municipality of Panglao, Bohol, through the Current &amp; Continuing Capital Outlay, MENRO-SPA, and BFP 20% Share </t>
  </si>
  <si>
    <t xml:space="preserve"> Fifty Four (54) ea Printer; Print Scan Copy Printer, Ink Tank &amp; 1 other line item</t>
  </si>
  <si>
    <t xml:space="preserve"> Republic of the Philippines Province of Camarines Norte MUNICIPALITY OF VINZONS BIDS AND AWARDS COMMITTEE (BAC) (Tel. # 446-63-09) 	 INVITATION TO BID FOR: Purchase/Delivery of Faceshield &amp; Disposable Face Mask for Distribution of Tupad Beneficiaries 1.	T</t>
  </si>
  <si>
    <t xml:space="preserve"> Six Hundred Forty (640) prs Battery 1.5 Size "AA" &amp; 10 other line items</t>
  </si>
  <si>
    <t xml:space="preserve"> 19	pcs	Flashlight</t>
  </si>
  <si>
    <t xml:space="preserve"> Forty (40) rl Aluminum Foil Wrap, 30cm x 8m &amp; 13 other line items</t>
  </si>
  <si>
    <t xml:space="preserve"> 20 ft. Aluminum Ladder</t>
  </si>
  <si>
    <t xml:space="preserve"> Please contact the bac secretariat</t>
  </si>
  <si>
    <t xml:space="preserve"> For the use of Antipolo City Anti Drug Abuse Office. 20,000 pcs. Brochures * A4 size, glossy 4,000 pcs. Poster * Size: 18"x21"</t>
  </si>
  <si>
    <t xml:space="preserve"> for the use of Operation of Garbage Collection (for the month of September 2020)</t>
  </si>
  <si>
    <t xml:space="preserve"> Name of  Project/Contract	:	IMPROVEMENT OF NAGSABARAN-PAPALUNGAN ROAD Location				:	BIYOY,  Kasibu, Nueva Vizcaya Brief Description		: 	a. Sub-grade preparation 					b. 0.10m x 3m x 225 Aggregate Base Coarse 					c. 0.15m x 3m x 225m PCCP Approved Budget </t>
  </si>
  <si>
    <t xml:space="preserve"> For the use of Mayor's Office (For the continuous endeavor to control and/or contain the spread of Covid-19) 10 units Ultraviolet Disinfection Box * utilizing UV light to effectively kill or inactivate 99.9% of bacteria and viruses * dual UV lamp * 3 time</t>
  </si>
  <si>
    <t xml:space="preserve"> 20	btls	Alcohol, 70% Ethyl 500mL			 100.00  15	pcs	500L Dishwashing Liquid			 200.00  20	boxes	Disposable Surgical Gloves			 230.00  10	btls	6L Distilled Water			 150.00  20	gals	Absolute Ethanol, AR, 2.5L			 2,500.00  20	boxes	Kimwipes, delicate task wip</t>
  </si>
  <si>
    <t xml:space="preserve"> 1 LOT COMBI BLINDS FOR TEN (10) FUNCTION ROOMS-DELUXE WINDOW FABRICA:GALAXY 100% POLYESTER @ 187,424.00 (SEE ATTACHED PURCHASE REQUEST FOR THE SIZES) KINDLY REFER TO THE ATTACHED PURCHASE REQUEST FOR COMBI BLINDS SIZES. YOU MAY SEND YOUR QUOTATION ALONG W</t>
  </si>
  <si>
    <t xml:space="preserve"> 1	Rain Boots, ordinary, pair, black, 10pairs-size 6, 20 pairs-size 8, 20 pairs-size 7	50	pcs	 23,000.00  2	Rain Coats, pair, ordinary printed with MDRRMC	40	pcs	 25,000.00  3	Gloves, medium and large size	10	boxes	 5,000.00  4	Fabrication of triangular ba</t>
  </si>
  <si>
    <t xml:space="preserve"> REPUBLIC OF THE PHILIPPINES PROVINCE OF CEBU MUNICIPALITY OF PINAMUNGAJAN Invitation to Bid for:    IMPROVEMENT OF LIGHTING SYSTEM OF BASKETBALL COURT INSIDE THE MUNICIPAL AUDITORIUM 1.  The MUNICIPALITY OF PINAMUNGAJAN, through the GENERAL FUND  intends </t>
  </si>
  <si>
    <t xml:space="preserve"> Republic of the Philippines CITY OF BAIS BIDS AND AWARDS COMMITTEE INVITATION TO APPLY FOR ELIGIBILITY AND TO BID 	The City Government of Bais invites interested bidders to apply for eligibility and to bid for use in the operation &amp; maintenance of various</t>
  </si>
  <si>
    <t xml:space="preserve"> RE-INVITATION TO BID                                                             RE- IB-2020-020-GOODS-FCSMO Supply and Delivery of Tool Box for use in the Repair and Maintenance of Various Pumping Station 1.	The Metropolitan Manila Development Authority </t>
  </si>
  <si>
    <t xml:space="preserve"> Republic of the Philippines WESTERN PHILIPPINES UNIVERSITY          A STRONG PARTNER FOR SUSTAINABLE DEVELOPMENT BIDS AND AWARDS COMMITTEE Invitation to Bid for the Procurement of Medical and Disinfectant supplies and Handwashing station The Western Phili</t>
  </si>
  <si>
    <t xml:space="preserve"> Provincial Agriculturist Office Agusan del Norte</t>
  </si>
  <si>
    <t xml:space="preserve"> 1.	26	cart	INK CART, CANON PG-810, Black          2.	24	cart	INK CART, CANON CL-811, Colored        3.	130	btl	Ink HP GT51, black 4.	13	btl	INK HP GT52, Cyan 5.	19	btl	INK HP GT52, Yellow 6.	19	btl	INK HP GT52, Magenta 7.	1	cart	HP 204A (Black) 8.	3	cart	</t>
  </si>
  <si>
    <t xml:space="preserve"> delivery of construction materials</t>
  </si>
  <si>
    <t xml:space="preserve"> Republic of the Philippines Province of Bohol Municipality of Panglao INVITATION TO BID FOR PROCUREMENT OF 2 UNITS MOTORCYCLE PATROL AND 1 UNIT UNCUSTOMIZED MOTORCYCLE (ALL BRAND NEW) 1.	The Municipality of Panglao, Bohol, through the MO-SPA 2020 (PTMO) &amp;</t>
  </si>
  <si>
    <t xml:space="preserve"> Rehabilitation of Three (3) Units Ford Armored Truck, as per BSP Scope of Works Lot 1 – 1 unit with Plate No. SFT 199  Lot 2 – 2 units with Plate Nos. SFT 263 and 269</t>
  </si>
  <si>
    <t xml:space="preserve"> Order/Download and fill up attach Request for Quotation and submit to the BAC Office on/before closing use</t>
  </si>
  <si>
    <t xml:space="preserve"> Supply and Delivery of various commodities for the children beneficiaries of Supplementary Feeding Program of the Municipality of Mapandan, Pangasinan</t>
  </si>
  <si>
    <t xml:space="preserve"> The National Mapping and Resource Information Authority, Bids and Awards Committee (NAMRIA BAC) invites interested SUPPLIERS/DEALERS &amp; CONTRACTORS for the following project/s: Supply and Delivery of dKart Inspector for Hydrography Branch (Kindly contact t</t>
  </si>
  <si>
    <t xml:space="preserve"> Provincial Governor's Office Agusan del Norte</t>
  </si>
  <si>
    <t xml:space="preserve"> LOT 3						 Department of Education						 Region VII, Central Visayas						 DIVISION OF NEGROS ORIENTAL						 AMLAN NATIONAL HIGH SCHOOL						 					08/14/2020	 Canvass Number	2020-08-003				Date	 						 Name of Dealer						 						 Address						 REQUEST FO</t>
  </si>
  <si>
    <t xml:space="preserve"> INVITATION TO BID  IB-2020-021-GOODS-PRFS Procurement of Two (2) Sets  Pontoon for Pasig River Ferry Service, Quezon Bridge 1.	The Metropolitan Manila Development Authority (“MMDA”), through the 2019 LOCAL FUND  2020 Regular 2019  CONTINUING  intends to a</t>
  </si>
  <si>
    <t xml:space="preserve"> Purchase of Office Supplies and Devices for Registrar, Tagamasid, MAPEH &amp; TLE use.</t>
  </si>
  <si>
    <t xml:space="preserve"> This project entails purchase of 8 pcs. hanging cabinet for use in the Municipal Health Office.</t>
  </si>
  <si>
    <t xml:space="preserve"> Purchase of Office Supplies for Sangguniang Kabataan of Bolbok, Batangas City.</t>
  </si>
  <si>
    <t xml:space="preserve"> Provincial Planning Development Office Agusan del Norte</t>
  </si>
  <si>
    <t xml:space="preserve"> REPUBLIC OF THE PHILIPPINES PROVINCE OF CEBU MUNICIPALITY OF PINAMUNGAJAN Invitation to Bid for : LIGHTING OF THE MUNICIPAL PUBLIC MARKET 					(at Brgy. Poblacion) 	 1. The MUNICIPALITY OF PINAMUNGAJAN, through the GENERAL FUND  intends to apply the sum o</t>
  </si>
  <si>
    <t xml:space="preserve"> Five (5) units Printer 3 in 1 L3110 and Five (5) other line items.</t>
  </si>
  <si>
    <t xml:space="preserve"> see attached Request for Quotation</t>
  </si>
  <si>
    <t xml:space="preserve"> Republic of the Philippines Province of Bohol Municipality of Panglao INVITATION TO BID FOR PROCUREMENT OF MOORING BUOYS (CUSHION FLOAT 500L) 1.	The Municipality of Panglao, Bohol, through the CRM COUNCIL (40% EUF SHARE) intends to apply the sum of Six Hu</t>
  </si>
  <si>
    <t xml:space="preserve"> LOT 2						 Department of Education						 Region VII, Central Visayas						 DIVISION OF NEGROS ORIENTAL						 AMLAN NATIONAL HIGH SCHOOL						 					08/14/2020	 Canvass Number	2020-08-002				Date	 						 Name of Dealer						 						 Address						 REQUEST FO</t>
  </si>
  <si>
    <t xml:space="preserve"> Republic of the Philippines Province of Camarines Norte MUNICIPALITY OF VINZONS BIDS AND AWARDS COMMITTEE (BAC) (Tel. # 446-63-09) 	 INVITATION TO BID FOR: Hardware Materials for the Concreting of Road Purok 2 Guinacutan 1.	The Local Government Unit of Vi</t>
  </si>
  <si>
    <t xml:space="preserve"> See attached Request for Quotation.</t>
  </si>
  <si>
    <t xml:space="preserve"> PROCUREMENT OF MEDICAL INSTRUMENT</t>
  </si>
  <si>
    <t xml:space="preserve"> Republic of the Philippines                                                                     Province of Leyte                                                               MUNICIPALITY OF PALO 	                                        NOTICE OF POSTING</t>
  </si>
  <si>
    <t xml:space="preserve"> 20	set	15 watts LED Bulb 54	m	Duplex Wire  1	roll	Electrical Tape (Big)</t>
  </si>
  <si>
    <t xml:space="preserve"> Barangay Silanganan Municipality of Dolores, Quezon INVITATION TO BID FOR CONSTRUCTION OF STREET LIGHT The LGU, through  the General  Fund ( 20% DF)–intends to apply the sum of   One Hundred Seventy Five Thousand ,Sixty One Pesos &amp; 60/100  (P 175,061.60)]</t>
  </si>
  <si>
    <t xml:space="preserve"> 133	 bags 	Portland Cement , Type 1 14	 cu.m 	Fine Aggreahste 28	 cu.m 	Coarse Aggregates 12	 pcs 	1" x 4" x 12" Good Lumber 10	 kg 	Assorted CWN</t>
  </si>
  <si>
    <t xml:space="preserve"> REPUBLIC OF THE PHILIPPINES Province of CEBU MUNICIPALITY OF PINAMUNGAJAN INVITATION TO BID FOR : PROGRAMS, PROJECTS AND ACTIVITIES TO ADDRESS THE CORONA VIRUS DISEASE 2019 (COVID 19) SITUATION, FOOD, ASSISTANCE AND RELIEF GOODS FOR THE AFFECTED HOUSEHOLD</t>
  </si>
  <si>
    <t xml:space="preserve"> Republic of the Philippines												 PROVINCE OF ZAMBOANGA SIBUGAY												 Municipality of Payao												 												 REQUEST FOR QUOTATION												 ALTERNATIVE METHODS OF PROCUREMENT THRU												 NEGOTIATED PROCUREMENT-SMALL VALUE (Sec.</t>
  </si>
  <si>
    <t xml:space="preserve"> Purchase of Laboratory Supply for Diagnostic Center</t>
  </si>
  <si>
    <t xml:space="preserve"> Republic of the Philippines Province of Bohol Municipality of Panglao INVITATION TO BID FOR REHABILITATION OF ROADS AT BIL-ISAN, LIBAONG, LOOC, &amp; TAWALA, PANGLAO, BOHOL 1.	The Municipality of Panglao, Bohol, through the 2018 20% DF (Supplemental Budget No</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</si>
  <si>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</si>
  <si>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1000 bottles Acohol 70% Isopropyl 500 ml</t>
  </si>
  <si>
    <t xml:space="preserve"> Republic of the Philippines Province of Camarines Norte MUNICIPALITY OF VINZONS BIDS AND AWARDS COMMITTEE (BAC) (Tel. # 446-63-09) 	 INVITATION TO BID FOR: Purchase/Delivery of 1 SET DESKTOP COMPUTER FOR BIOMETRICS USE 1.	The Local Government Unit of Vinz</t>
  </si>
  <si>
    <t xml:space="preserve"> Mini Dump Truck (Reconditioned) Engine Model: 4hfl,  4 Cylinder,  with Drum Box,  High Side,  Slighty Used Prospective Bidders must have completed a contract similar to the project with the amount of at least 50% of the ABC. Bidding will be conducted thro</t>
  </si>
  <si>
    <t xml:space="preserve"> Invitation for Negotiation for the Supply &amp; Delivery of Teaching  and Learning Materials for Child Development Center 1.	The Municipal Government of Puerto Galera, through the Early Childhood Care and Development Council Grant FY 2020 intends to apply the</t>
  </si>
  <si>
    <t xml:space="preserve"> Republic of the Philippines Province of Eastern Samar Municipality of Salcedo Barangay 1 Poblacion Invitation to Bid for the Installation and Construction of Street Light 1.	The BLGU-Barangay 1 Poblacion , through the Barangay Development  Fund intends to</t>
  </si>
  <si>
    <t xml:space="preserve"> Please quote your price/s for the article/s  as specified in the list below for Kibawe NHS-Junior High Dep’t which are available in your store/establishment/company.  If available, please furnish catalogue, descriptive brochures of the literature about th</t>
  </si>
  <si>
    <t xml:space="preserve"> 2	unit	FORAGE CHOPPER		 		 - Input Capacity: 300 kg/hr		 		 - Primemover: 5 hp Gasoline Engine		 		 - Length of cut: 2-5 cm (0.79-1.97 inch)		 		 - Hardness of blade: tool steel		 		 - Shall undergo acceptance testing		 		 - Must conform to PAES: 218-2004</t>
  </si>
  <si>
    <t xml:space="preserve"> Sixty (60) ea LED Bulb 15w and Forty One (41) other line items.</t>
  </si>
  <si>
    <t xml:space="preserve"> Invitation to ReBid for the Purchase of Rescue Vehicle 1.	The Municipal Government of Puerto Galera, through the LDRRMO Fund FY 2020 intends to apply the sum of Two Million Three Hundred Sixty Thousand Pesos (Php 2,360,000.00) being the Approved Budget fo</t>
  </si>
  <si>
    <t xml:space="preserve"> Republic of the Philippines CITY OF PANABO Province of Davao del Norte BIDS AND AWARDS COMMITTEE -o0o- INVITATION TO BID  SUPPLY OF MUSICAL INSTRUMENTS 1.	The City of Panabo, through LSB/DEP.ED-TECHNICAL &amp; SCIENTIFIC EQUIPMENT-CAPITAL OUTLAY 2020 intends </t>
  </si>
  <si>
    <t xml:space="preserve"> Republic of the Philippines CITY OF PANABO Province of Davao del Norte BIDS AND AWARDS COMMITTEE -o0o- INVITATION TO BID  SUPPLY OF TEXTBOOKS 1.	The City of Panabo, through LSB/DEP.ED-TEXTBOOKS &amp; INDUSTRIAL MATERIALS EXPENSES-MOOE  2020 intends to apply t</t>
  </si>
  <si>
    <t xml:space="preserve"> To procure goods for the 10th Cycle Implementation of Supplementary Feeding Program in the Municipality of San Quintin, Pangasinan</t>
  </si>
  <si>
    <t xml:space="preserve"> Invitation to Rebid for the Supply &amp; Delivery of Materials for the  Fabrication of Booth (Construction of Environmental User’s Fee Office  and Medical Clinic) 1.	The Municipal Government of Puerto Galera, through the LGU - General Fund FY 2020 intends to </t>
  </si>
  <si>
    <t xml:space="preserve"> The National Mapping and Resource Information Authority, Bids and Awards Committee (NAMRIA BAC) invites interested SUPPLIERS/DEALERS &amp; CONTRACTORS for the following project/s: Supply, Delivery and Installation of Shaft Generator of BRP Hydrographer Presbi</t>
  </si>
  <si>
    <t xml:space="preserve"> 1000	unit	Disposable plastic egg tray (holds 12 extra large chicken egg)		 1000	unit	Flat pouch with ziplock (clear front/black back, approx. 10x18 cm, 90 microns)		 1000	unit	Clear flat pouch for rice (2.5 kg capacity, NY/PE, 150 microns, approx. 20x30cm</t>
  </si>
  <si>
    <t xml:space="preserve"> Republic of the Philippines Province of Bohol Municipality of Panglao INVITATION TO BID FOR SUPPLY, DELIVERY, &amp; INSTALLATION OF 5.36 KWP HYBRID, GI SHEETS SOLAR SYSTEM AT THE OFFICE OF THE MUNICIPAL TREASURER 1.	The Municipality of Panglao, Bohol, through</t>
  </si>
  <si>
    <t xml:space="preserve"> ITEM DESCRIPTION			QTY.	UNIT	APPROVED BUDGET FOR THE CONTRACT (in Peso)			Compliance with the Technical Specification (please check)		OFFER	 										REMARKS      (Price/Others)	 								YES	NO		 Portland Cement 			250	bags				[  ]	[  ]		 Wash Sand 			26</t>
  </si>
  <si>
    <t xml:space="preserve"> 1.	13	Unit	Executive Chair, Chrome Leg 2.	1	Unit	Executive Table 	16	Unit	Office Table 3.	1	Unit	Sofa (4 saeaters: leatherette/good quality) color: dark brown                                  4.	1	Unit	Sofa (with side arm, 3 seater) Black 	12	Unit	STEEL O</t>
  </si>
  <si>
    <t xml:space="preserve"> 8 pc. CCTV Camera, 2MP High Definition &amp; 13 others</t>
  </si>
  <si>
    <t xml:space="preserve"> Republic of the Philippines CITY OF PANABO Province of Davao del Norte BIDS AND AWARDS COMMITTEE -o0o- INVITATION TO BID  SUPPLY OF 3 TONNER INVERTER AIRCON 1.	The City of Panabo, through LSB/DEP.ED-S.B.#1-CAPITAL OUTLAY 2020 intends to apply the sum of F</t>
  </si>
  <si>
    <t xml:space="preserve"> Republic of the Philippines CITY OF PANABO Province of Davao del Norte BIDS AND AWARDS COMMITTEE -o0o- INVITATION TO BID  SUPPLY OF MODEM, WIFI (REBID) 1.	The City of Panabo, through LSB/DEP.ED-OTHER SUPPLIES &amp; MATERIALS EXPENSES-MOOE 2020 intends to appl</t>
  </si>
  <si>
    <t xml:space="preserve"> 1 package Preventive Maintenance of Digital X-Ray includes calibration</t>
  </si>
  <si>
    <t xml:space="preserve"> Republic of the Philippines CITY OF PANABO Province of Davao del Norte BIDS AND AWARDS COMMITTEE -o0o- INVITATION TO BID  SUPPLY OF MEALS &amp; SNACKS 1.	The City of Panabo, through CDRRMC-OTHER MOE-70% CDRRMO FUND -2020 intends to apply the sum of One Hundre</t>
  </si>
  <si>
    <t xml:space="preserve"> 2 sets Office Table with chair (metal) &amp; 16 others</t>
  </si>
  <si>
    <t xml:space="preserve"> Five (5) sacks Rice 50kls and Fourteen (14) other line items.</t>
  </si>
  <si>
    <t xml:space="preserve"> Qty. Unit of Issue     Item Description     Estimated Unit Cost    Estimated Total Cost 5 reams Bondpaper Legal 250.00          1,250.00 20 pcs Ball point Pen (blue) 10.00          200.00 3 reams Paper A4 bond paper    230.00         690.00 5 pcs blue sig</t>
  </si>
  <si>
    <t xml:space="preserve"> 1500 lts. Diesel &amp; 4 others</t>
  </si>
  <si>
    <t xml:space="preserve"> Invitation to Bid 1.	The MUNICIPAL GOVERNMENT OF SAN VICENTE, PALAWAN, through the GAD Continuing Fund CY 2018 intends to apply the sum of  ONE MILLION EIGHT HUNDRED THOUSAND PESOS (Php 1,800,000.00) being the Approved Budget for the Contract (ABC) to pay</t>
  </si>
  <si>
    <t xml:space="preserve"> 24 pieces Disposable Laryngoscope Blade M4 24 pieces Disposable Laryngoscope Blade M2 24 pieces Disposable Laryngoscope Blade M1</t>
  </si>
  <si>
    <t xml:space="preserve"> 2 roll Fish Net (SH Net) &amp; 22 others</t>
  </si>
  <si>
    <t xml:space="preserve"> 300 boxes Disposable Syringe 10cc with G 21 1/2 needle with precision glide needle 100's 100 boxes Disposable Syringes 20cc with needle 50's 100 boxes Insulin Syringe- G 31x 6 mm (15/64") 100's</t>
  </si>
  <si>
    <t xml:space="preserve"> To procure goods for the 10th Cycle Implementation of Supplementary  Feeding Program in the Municipality of Sto.Tomas, Pangasinan</t>
  </si>
  <si>
    <t xml:space="preserve"> INVITATION TO BID The Cauayan City Water District intends to apply the sum of TWO MILLION TWO HUNDRED NINETY THOUSAND FIVE HUNDRED PESOS (₱2,290,500.00)   being the Approved Budget for the Contract (ABC) to payment under the contract for Supply and Delive</t>
  </si>
  <si>
    <t xml:space="preserve"> To procure goods for the 10th Cycle Implementation of Supplementary Feeding Program of the Municipality of Sta. Maria, Pangasinan</t>
  </si>
  <si>
    <t xml:space="preserve"> Republic of the Philippines CITY OF PANABO Province of Davao del Norte BIDS AND AWARDS COMMITTEE -o0o- INVITATION TO BID  SUPPLY OF OFFICE SUPPLIES 1.	The City of Panabo, through LSB/DEP.ED-OFFICE SUPPLIES EXPENSES-MOOE  2020 intends to apply the sum of F</t>
  </si>
  <si>
    <t xml:space="preserve"> Republic of the Philippines Province of Bohol Municipality of Panglao INVITATION TO BID FOR CONSTRUCTION OF MOTORPOOL AT POBLACION, PANGLAO, BOHOL 1.	The Municipality of Panglao, Bohol, through the MEO - Current &amp; Continuing Capital Outlay intends to appl</t>
  </si>
  <si>
    <t xml:space="preserve"> ITEM	QTY.	UNIT		ARTICLE AND DESCRIPTION				CEILING 					UNIT PRICE		TOTAL  								PRICE							 				Office: Department of Tourism, Culture and Arts of Manila				PR No. 1048							 				Charge to: Other Property, Plant and Equipment				OBR No. 100-2008-0689</t>
  </si>
  <si>
    <t xml:space="preserve"> 75 boxes IV Cannula G 22 box of 100's 150 pieces Withdrawal Cannula - disposable sterile</t>
  </si>
  <si>
    <t xml:space="preserve"> Supply &amp; Delivery of Construction Materials for the Improvement of Multi - Purpose Building (Septic Tank) at San Jose, Municipality of Bongabong, Oriental Mindoro</t>
  </si>
  <si>
    <t xml:space="preserve"> To procure goods for the 10th Cycle Implementation Supplementary Feeding Program of the Municipality of San Quintin, Pangasinan</t>
  </si>
  <si>
    <t xml:space="preserve"> 1	114	vial	"Influenza Vaccine Vaccine for adults suspension for injection 0.5ml prefilled syringe" 2	290	kit	COVID-19 Antibody Test Kit Technical Specification: Detect immunoglobulin M (IgM) and immunoglobulin G (IgG) antibodies Delivery: DTI - Regional O</t>
  </si>
  <si>
    <t xml:space="preserve"> Two (2) bxs Electric Wire #14, 50 meters/box and Twenty Three (23) others line items</t>
  </si>
  <si>
    <t xml:space="preserve"> 150 kit Dialysis Kit &amp; 7 others</t>
  </si>
  <si>
    <t xml:space="preserve"> See attachment..</t>
  </si>
  <si>
    <t xml:space="preserve"> 200 pieces Cover all medical grade</t>
  </si>
  <si>
    <t xml:space="preserve"> 1 pc. Battery 3SM &amp; others</t>
  </si>
  <si>
    <t xml:space="preserve"> Certified Palay Seeds</t>
  </si>
  <si>
    <t xml:space="preserve"> ITEM	QTY.	UNIT		ARTICLE AND DESCRIPTION				CEILING 					UNIT PRICE		TOTAL  								PRICE							 				Office: Department of Tourism, Culture and Arts of Manila				PR No. 1045							 				Charge to: Capital Outlay - Machinery Equipment				OBR No. 100-2008-068</t>
  </si>
  <si>
    <t xml:space="preserve"> DepEd, Division of Sorsogon										 Standard Form Number: SF-GOOD-60										 Revised on: May 24, 2004										 REQUEST FOR QUOTATION										 										 						Date:				 						Quotation No.:		20-08-129-_______		 										 										 										 					</t>
  </si>
  <si>
    <t xml:space="preserve"> Purchase of school supplies of Impasugong II District for printing of modules</t>
  </si>
  <si>
    <t xml:space="preserve"> Interested bidders may obtain further information from the City of Balanga and inspect the Bidding Documents at the address given below from 9:00 a.m. to 4:00 p.m. A complete set of Bidding Documents may be acquired by interested Bidders on August 24 to S</t>
  </si>
  <si>
    <t xml:space="preserve"> 1 package Preventive Maintenance of CT Scan includes: calibration, repair and or replacement of parts excluding xray tube and detector</t>
  </si>
  <si>
    <t xml:space="preserve"> PURCHASE OF OFFICE, OTHER SUPPLIES AND MATERIALS</t>
  </si>
  <si>
    <t xml:space="preserve"> ITEM DESCRIPTION			QTY.	UNIT	APPROVED BUDGET FOR THE CONTRACT (in Peso)			Compliance with the Technical Specification (please check)		OFFER	 										REMARKS      (Price/Others)	 								YES	NO		 Labor services for the improvement of 			0	 pakyaw 				[  </t>
  </si>
  <si>
    <t xml:space="preserve"> To procure goods for the 10th Cyclec Implementation of  Supplementary Feeding Program of the Municipality of San Nicolas, Pangasinan</t>
  </si>
  <si>
    <t xml:space="preserve"> BIDS AND AWARDS COMMITTEE INVITATION TO BID The DEPARTMENT OF HEALTH – CENTRAL VISAYAS CENTER FOR HEALTH DEVELOPMENT (DOH – CV CHD), through its Bids and Awards Committee (BAC), invites suppliers to bid for the hereunder items: BAC NO. 2020-G06  Re-Biddin</t>
  </si>
  <si>
    <t xml:space="preserve"> To procure goods for the 10th Cycle Implementation of Supplementary Feeding Program of the Municipality of Natividad, Pangasinan</t>
  </si>
  <si>
    <t xml:space="preserve"> CONSTRUCTION / CONCRETING OF PAVEMENT MULTI-PURPOSE HALL, PHASE 4A, BRGY. KAYPIAN, CITY OF SAN JOSE DEL MONTE, BULACAN</t>
  </si>
  <si>
    <t xml:space="preserve"> Republic of the Philippines Province of Bohol Municipality of Panglao INVITATION TO BID FOR COMPLETION OF EVACUATION FACILITIES AT BOLOD, PANGLAO, BOHOL 1.	The Municipality of Panglao, Bohol, through the Trust Fund - DILG AM 2019 &amp; LDRRMF intends to apply</t>
  </si>
  <si>
    <t xml:space="preserve"> Republic of the Philippines CITY OF MARIKINA SF-GOOD-05 Revised on: July 28, 2004				 													Mkna-GSO-20-347	 	BIDS AND AWARDS COMMITTEE		 NOTICE OF PROPOSED PROCUREMENT The City Government of Marikina, through its Bids and Awards Committee (BAC), w</t>
  </si>
  <si>
    <t xml:space="preserve"> One Thousand (1000) pcs Hardiflex Screw and Fourteen (14) other line items.</t>
  </si>
  <si>
    <t xml:space="preserve"> 1 set Liner-STD &amp; 6 others</t>
  </si>
  <si>
    <t xml:space="preserve"> Republic of the Philippines Barangay 786, Zone 86, District V Bids and awards committee INVITATION TO BID Barangay  786, Zone 86, District V, Manila through its bids and awards committee (BAC), invites suppliers to bid the here under project: School  Supp</t>
  </si>
  <si>
    <t xml:space="preserve"> 32 pcs. Glass (22x46) &amp; 10 others</t>
  </si>
  <si>
    <t xml:space="preserve"> Invitation to Bid 1.	The MUNICIPAL GOVERNMENT OF SAN VICENTE, PALAWAN, through the General Fund for CY 2020 intends to apply the sum of  ONE MILLION FOUR HUNDRED THOUSAND PESOS (Php 1,400,000.00) being the Approved Budget for the Contract (ABC) to payment</t>
  </si>
  <si>
    <t xml:space="preserve"> Purchase of Printing Supplies for the Learning Materials  Activity Sheet for Students (Grade 7-10).</t>
  </si>
  <si>
    <t xml:space="preserve"> Stock No.    Item Description    QTY.    Unit 1. TIRE 235 70R15, 6 PLY (TOYOTA HILUX VN7250) 4    PCS. 2. TIRE 205 70R15, 6 PLY (TOYOTA HILUX I CARE)  4   PCS. 3. TIRE 15/12/PLY X 750    4  PCS 1. TIRE 205/70R15 6 PLY (TOYOTA HILUX)    4    PCS. 1.TIRE 12</t>
  </si>
  <si>
    <t xml:space="preserve"> EQUIPMENT RENTAL OF ROAD REPAIR &amp; MAINTENANCE UNDER THE FOLLOWING AREAS: - NRJ (ROSARIO) POBLACION-NOVELE-STA.CRUZ CIRCUMFERENTIAL ROAD - NRJ ( TRENTO) PULANG LUPA-UPPER NEW VISAYAS-MONKAYO BOUNDARY ROAD - NRJ (PROSPERIDAD) SAN RAFAEL BORBON ROAD - NRJ (T</t>
  </si>
  <si>
    <t xml:space="preserve"> 6000 sachet Lubricant Gel sachet 5 gms (Purified Water USP, Glycerin USP)</t>
  </si>
  <si>
    <t xml:space="preserve"> P.R. No. X6-20-06-257 - Supply and Delivery for the use in DPWH Region-10 Weighbridge Operation. (Please see attached RFQ)</t>
  </si>
  <si>
    <t xml:space="preserve"> DepEd, Division of Sorsogon										 Standard Form Number: SF-GOOD-60										 Revised on: May 24, 2004										 REQUEST FOR QUOTATION										 										 						Date:				 						Quotation No.:		20-08-133-_______		 										 										 										 					</t>
  </si>
  <si>
    <t xml:space="preserve"> Republic of the Philippines Province of Cotabato Municipality of Matalam BIDS AND AWARDS COMMITTEE INVITATION TO BID No. 24 s. 2020 SUPPLY &amp; DELIVERY OF MATERIALS FOR THE CONSTRUCTION OF BOX CULVERT @ WEST PATADON 	 9.	The Local Government Unit (LGU) of M</t>
  </si>
  <si>
    <t xml:space="preserve"> FUND SOURCE; 20% PDF 2020 TYPES OF WORK TO BE DONE: Project billboard/ signboard/ occupational safety and health program/ structure excavation (footing excavation)/ reinforcing steel bars (footing, column and anchorage)/ structural concrete (column, beams</t>
  </si>
  <si>
    <t xml:space="preserve"> 1. EMBANKMENT 2. MASONRY 3. CONCRETING</t>
  </si>
  <si>
    <t xml:space="preserve"> 1	Marine Plywood, 1/4	ea	98 2	Nail #2	kg	47 3	Nail #3	kg	47 4	Nail #4	kg	28 5	Nail #5	kg	25 6	Plain Sheet GI	ea	49 7	Good Lumber, 2x2x8	ea	170 8	Good Lumber, 2x2x10	ea	180 9	Marine Plywood, 3/4	ea	42 10	Corr Sheet, G50, 10ft	ea	115 11	3/16 Marine Plywood </t>
  </si>
  <si>
    <t xml:space="preserve"> replacement of damage water lines</t>
  </si>
  <si>
    <t xml:space="preserve"> Two (2) Portable Generator Set 2500W, 4 stroke and Three (3) other line items.</t>
  </si>
  <si>
    <t xml:space="preserve"> Republic of the Philippines Province of Quezon Municipality of Atimonan	 	 Project Reference No:  2020-08-013 Name of the Project:  PABASA SA NUTRISYON Location of the Project: Barangay Zone III – Poblacion  REQUEST FOR QUOTATION-SHOPPING (Sec. 50 of R.A.</t>
  </si>
  <si>
    <t xml:space="preserve"> 5box, Metaldehyde )1kg/box) 40liter 2-4D amine slat 55liter, Malathion 50EC</t>
  </si>
  <si>
    <t xml:space="preserve"> Various Construction and Electrical Materials and Supplies</t>
  </si>
  <si>
    <t xml:space="preserve"> Supply and Delivery of Meals and Snacks Breakfast A.M. Snack Lunch P.M. Snack Dinner</t>
  </si>
  <si>
    <t xml:space="preserve"> SEE ATTACHED</t>
  </si>
  <si>
    <t xml:space="preserve"> See attached rfq</t>
  </si>
  <si>
    <t xml:space="preserve"> Republic of the Philippines CITY OF LAPU-LAPU BIDS AND AWARDS COMMITTEE 2nd Invitation to Bid FOR THE PROCUREMENT OF 1 LOT TRAINING PNEUMATIC PACKAGE EQUIPMENT SET The City of Lapu-Lapu through the  CO 3324-1-07-05-140-17s1 intends to apply the sum of One</t>
  </si>
  <si>
    <t xml:space="preserve"> P.R. No. X6-20-07-312 - Supply and Delivery for the operation of Toyota HILUX (ACB-6830)-100810. (Please see attached RFQ)</t>
  </si>
  <si>
    <t xml:space="preserve"> Republic of the Philippines Province of Quezon Municipality of Atimonan	 	 Project Reference No: PR 2020-08-016 Name of the Project: Purchase of Disinfectant Supplies Location of the Project: Barangay Malusak, Atimonan, Quezon REQUEST FOR QUOTATION-SHOPPI</t>
  </si>
  <si>
    <t xml:space="preserve"> P.R. No. X6-20-07-328 - Supply and Delivery for the operation of Mitsubishi Strada (KFZ-995)-100801. (Please see attached RFQ)</t>
  </si>
  <si>
    <t xml:space="preserve"> Office Supply</t>
  </si>
  <si>
    <t xml:space="preserve"> P.R. No. X7-20-08-350 - Supply and Delivery for the use in Planning and Design Division. (Please see attached RFQ)</t>
  </si>
  <si>
    <t xml:space="preserve"> Installation of Reinforced Concrete Pipe Culvert The Municipality of Bindoy, through the Capital Outlay of MCR CY 2020 intends to apply the sum of Two Hundred Ninety Thousand Six Hundred Ten Pesos (P 290,610.00) being the Approved Budget for the Contract </t>
  </si>
  <si>
    <t xml:space="preserve"> REHABILITATION OF CANAL AT LUMANG KALYE</t>
  </si>
  <si>
    <t xml:space="preserve"> P.R. No. X6-20-07-311 - Supply and Delivery for the operation of Nissan Navara (FOI-421)-100101. (Please see attached RFQ)</t>
  </si>
  <si>
    <t xml:space="preserve"> ITEM DESCRIPTION			QTY.	UNIT	APPROVED BUDGET FOR THE CONTRACT (in Peso)			Compliance with the Technical Specification (please check)		OFFER	 										REMARKS      (Price/Others)	 								YES	NO		 Labor services for the improvement 								[  ]	[  ]		 of </t>
  </si>
  <si>
    <t xml:space="preserve"> ITEM DESCRIPTION			QTY.	UNIT	APPROVED BUDGET FOR THE CONTRACT (in Peso)			Compliance with the Technical Specification (please check)		OFFER	 										REMARKS      (Price/Others)	 								YES	NO		 GA 22 x 10 Corrugated G.I.			99	sheet				[  ]	[  ]		 Umbre</t>
  </si>
  <si>
    <t xml:space="preserve"> 1.00 UNIT SPECIAL ITEM 36.00 UNIT EARTHWORKS 5.00 CU.M. GRAVEL BEDDING 7.00 CU.M. CONCRETE WORKS 996.23 SQ.M. REINFORCEMENT WORKS 6.25 SQ.M. FORM WORKS 268.08 SQ.M. MASONRY</t>
  </si>
  <si>
    <t xml:space="preserve"> The LOCAL BARANGAY GOVERNMENT UNIT of Barangay Buquig, intends to apply the sum above-stated being the Approved Budget for the Contract (ABC) to payments under the contract for FABRICATION OF CANAL STEEL GRATING, specified hereunder: MATERIALS COST: 85,67</t>
  </si>
  <si>
    <t xml:space="preserve"> INVITATION TO APPLY FOR ELIGIBILITY AND TO BID THE LOCAL GOVERNMENT UNIT OF KALAWIT, ZAMBOANGA DEL NORTE, through its Bids and Awards Committee (BAC), invites suppliers/manufacturers/distributors to bid for the hereunder project: NAME OF PROJECTS			:SUPPL</t>
  </si>
  <si>
    <t xml:space="preserve"> 1. CONCRETING WORKS</t>
  </si>
  <si>
    <t xml:space="preserve"> To conduct free flu vaccination for constituents of barangay Ligtong III.</t>
  </si>
  <si>
    <t xml:space="preserve"> REPAIR AND MAINTENANCE OF MACHINERY &amp; EQUIPMENT (CCTV) KAYPIANWIDE, BRGY. KAYPIAN, CITY OF SAN JOSE DEL MONTE, BULACAN</t>
  </si>
  <si>
    <t xml:space="preserve"> Republic of the Philippines PROVINCE OF ZAMBALES IBA BIDS AND AWARDS COMMITTEE Invitation to Bid for Construction of Front Fence of Provincial Agriculture Office 1.	The Province of Zambales, through the General Fund of CY-2020 intends to apply the sum of </t>
  </si>
  <si>
    <t xml:space="preserve"> Republic of the Philippines PROVINCE OF ZAMBALES IBA BIDS AND AWARDS COMMITTEE Invitation to Bid for the Concreting of FMR from Sta. Rita Proper to Sitio Hamat, Brgy. Sta. Rita and Sitio Matalvis, Brgy. Inhobol; Masinloc 1.	The Province of Zambales, throu</t>
  </si>
  <si>
    <t xml:space="preserve"> Improvement of Emergency Operation Center The Municipality of Bindoy, through the Capital Outlay of MCR CY 2020 intends to apply the sum of Two Hundred Fourteen Thousand Four Hundred Fifty Pesos (P 214,450.00) being the Approved Budget for the Contract (A</t>
  </si>
  <si>
    <t xml:space="preserve"> School Head: Ronald Ingal Contact Number: 09338199102 (San Luis ES) - San Luis District</t>
  </si>
  <si>
    <t xml:space="preserve"> School Head: Ramon S. Viray Contact Number: 09338172428 Printing of Modules (San Isidro Resettlement ES)</t>
  </si>
  <si>
    <t xml:space="preserve"> School Head: Dinna P. Garcia Contact Number: 09338147643 (Fausto ES) - Apalit District</t>
  </si>
  <si>
    <t xml:space="preserve"> School Head: Josephine V. Isip Contact Number: 09338206583</t>
  </si>
  <si>
    <t xml:space="preserve"> ITEM DESCRIPTION			QTY.	UNIT	APPROVED BUDGET FOR THE CONTRACT (in Peso)			Compliance with the Technical Specification (please check)		OFFER	 										REMARKS      (Price/Others)	 								YES	NO		 Labor services for the extension of 			0	pakyaw				[  ]	[ </t>
  </si>
  <si>
    <t xml:space="preserve"> 1 LOT Diesel Fuel for Service Vehicles at the GSIS Central Office Motor Pool -In accordance with the Technical Specifications ABC: Php 950,000.00 NOTE: Please sign all pages of the Technical Specifications and submit it together with your quotation in a S</t>
  </si>
  <si>
    <t xml:space="preserve"> School Head: Jendellson G. Tayag Contact Number: 09338680739 (Eliseo Belen ES) - Bacolor North District</t>
  </si>
  <si>
    <t xml:space="preserve"> School Head: Ma. Corazon Santos Contact Number: 09176549408 (San Isidro ES) - Magalang North District</t>
  </si>
  <si>
    <t xml:space="preserve"> LED TV</t>
  </si>
  <si>
    <t xml:space="preserve"> VARIOUS MEDICINES/VITAMINS</t>
  </si>
  <si>
    <t xml:space="preserve"> Concreting of Farm-to-Market Road Project The Municipality of Bindoy, through the Capital Outlay of MCR CY 2020 intends to apply the sum of Two Hundred Twenty Eight Thousand Seven Hundred Ninety Pesos              (P 228,790.00) being the Approved Budget </t>
  </si>
  <si>
    <t xml:space="preserve"> ITEM DESCRIPTION			QTY.	UNIT	APPROVED BUDGET FOR THE CONTRACT (in Peso)			Compliance with the Technical Specification (please check)		OFFER	 										REMARKS      (Price/Others)	 								YES	NO		 Portland Cement 			155	bags				[  ]	[  ]		 Wash Sand 			16</t>
  </si>
  <si>
    <t xml:space="preserve"> CONSTRUCTION OF MADUNGO WAITING SHED, SAGADA FUND SOURCE: 20% PDF 2020 TYPES OF WORK TO BE DONE: Project billboard/ signboard/ occupational safety and health program/ structure excavation/ forms and falseworks/ reinforcing steel bars/ structural concrete/</t>
  </si>
  <si>
    <t xml:space="preserve"> INSTALLATION OF SOLAR STREET LIGHTS Brgy. Cabusay, Labo, Camarines Norte PhP 153,091.00 Description:  Installation of 7 units 90Watts Solar Street Lights Nature of works 1. Excavation 2. Installation and Erection of Post</t>
  </si>
  <si>
    <t xml:space="preserve"> CONSTRUCTION OF PAYAGEO PATHWAY, SAGADA FUND SOURCE: 20% PDF 2020 TYPES OF WORK TO BE DONE: Project billboard/ signboard/ removal of structure and obstruction/ structure excavation (common soil)/ concrete pathway/ grouted riprap (class A)/ forms and false</t>
  </si>
  <si>
    <t xml:space="preserve"> Rehabilitation of Municipal Buildings (Phase I) The Municipality of Bindoy, through the Capital Outlay of MCR CY 2020 intends to apply the sum of Two Hundred Fifty Four Thousand Nine Hundred Sixty Pesos (P 254,960.00) being the Approved Budget for the Con</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</si>
  <si>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</si>
  <si>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Construction/Rehabilitation of health center having an area of 2.50m x 6.00m.</t>
  </si>
  <si>
    <t xml:space="preserve"> School Head: Charito C. Perez Contact Number: 09237444053</t>
  </si>
  <si>
    <t xml:space="preserve"> Purchase of Various Materials and Supplies for COVID19 The Municipality of Bindoy, through the Municipal Rural Health Unit intends to apply the sum of One Million One Hundred Thirty-Six Thousand Eight Hundred Fifty Pesos (P 1,136,850.00) being the Approve</t>
  </si>
  <si>
    <t xml:space="preserve"> Republic of the Philippines DEPARTMENT OF PUBLIC WORKS AND HIGHWAYS QUIRINO DISTRICT ENGINEERING OFFICE REGIONAL OFFICE II Cabarroguis, Quirino Procuring Entity	:	DPWH - QDEO	P.R. No.	:	2020-08-130 &amp; 2020-08-137 Revised on	:		Date	:	8/11/2020 &amp; 8/14/2020 </t>
  </si>
  <si>
    <t xml:space="preserve"> 1.0 Replacement of pump/ motor, rise pipe &amp; accessories A. Materials     Submersible pump, 3hp, 230 VAC, S-shape 32mm dia. discharge pipe, incl. control panel     Check valves, screw type, 32mm dia.      G. I.  Pipe, 1 - 1/4", sch. 40, threaded ends inclu</t>
  </si>
  <si>
    <t xml:space="preserve"> Padlock 30mm	5 pcs Electrical Tape	1 pc Rubber Tape	1 pc</t>
  </si>
  <si>
    <t xml:space="preserve"> RESOLUTION ON PRIOR APPROVAL NO. 08-124                   Series of 2020 		 RESOLUTION RECOMMENDING THE USE OF ALTERNATIVE METHOD OF PROCUREMENT FOR  THE ACQUISITION OF GOODS AND SERVICES   WHEREAS, the Office of the Secretary to the Sangguniang Panlungso</t>
  </si>
  <si>
    <t xml:space="preserve"> Purchase of Electric Typewriter</t>
  </si>
  <si>
    <t xml:space="preserve"> 4	pcs	Tire 205/65R/15 1	lot	Removal and Tint Replacement 2	pcs	Tie Rod End 1	pcs	Tensioner Balancer 5	liters	Silicon Oil 1	pcs	Cabin Filter 1	unit	Aircon  cleaning  1.5	liters	Freon 2	pcs	Pull out and install tie rod end 1	pcs	Expansion valve 3	liters	Coo</t>
  </si>
  <si>
    <t xml:space="preserve"> see attached PR 2020 -08-170</t>
  </si>
  <si>
    <t xml:space="preserve"> NOTICE OF NEGOTIATED PROCUREMENT (Small Value Procurement) Project:	Purchase of 176pairs Rubber Boots 		(PR#2020-06-5652) Location: 	General Services Office 	        Lingayen, Pangasinan Approved Budget for 	 the Contract (ABC):	P 132,000.00 Approved by:	</t>
  </si>
  <si>
    <t xml:space="preserve"> Purchase of Information &amp; Communication Technology Equipment of Municipal Engineering Office</t>
  </si>
  <si>
    <t xml:space="preserve"> 280 kls. live pig</t>
  </si>
  <si>
    <t xml:space="preserve"> Republic of the Philippines Province of Davao Oriental City of Mati BIDS &amp; AWARDS COMMITTEE INVITATION TO BID LOT Procurement of MEDICINES for the Use of DOPH LUPON SOURCE OF FUND: GENERAL FUND [4421-200A-200-5-02-03-070-01] 1.	The Provincial Government o</t>
  </si>
  <si>
    <t xml:space="preserve"> Completion</t>
  </si>
  <si>
    <t xml:space="preserve"> Job Order: Labor &amp; Materials Pull out &amp; Install, cylinder head Overhauling gasket 1 pc Mighty Gasket 1 pc Manifold Gasket 1 pc Villamoid Gasket 1 pc Cylinder Head Gasket 1 pc Cylinder Head Assy. 1 pc. Eye Turn 2 Ltr. Coolant 6 ltrs. Petron 1 pc Oil Filter</t>
  </si>
  <si>
    <t xml:space="preserve"> Starter Motor Isuzu Forward DT 6BG1 Clutch Booster Isuzu Forward DT 6BG1</t>
  </si>
  <si>
    <t xml:space="preserve"> Rental of Motor Vehicle to Service Employees during State of Public Health Emergency due to Corona Virus Disease 2019 (Covid-19) Pandemic. No. of Vehicles       - At least seven (7) roadworthy motor vehicles Type of Vehicle	Passenger Van (PV)      - Can a</t>
  </si>
  <si>
    <t xml:space="preserve"> INVITATION TO QUOTE CONSTRUCTION OF WAREHOUSE, FERMENTATION AND PROCESSING BUILDING IN SUPPORT TO  EXPANSION OF CACAO PRODUCTION, PROCESSING AND MARKETING Project Reference No. PRDP-IR-R012-SAR-003-000-000-2017-a Loan No.: 8421-PH Estimated Project Cost: </t>
  </si>
  <si>
    <t xml:space="preserve"> Republic of the Philippines MUNICIPALITY OF ECHAGUE Province of Isabela INVITATION TO BID FOR  THE  PROCUREMENT OF FOODSTUFF  FOR COVID 19   OPERATIONS  1.	The Local Government Unit , through  the  GENERAL FUND  Of  2020  intends to apply the sum of  NINE</t>
  </si>
  <si>
    <t xml:space="preserve"> PURPOSE: FOR MAINTENANCE USE OF MOTORPOOL UNIT. (FOR 1 YEAR CONSUMPTION) Fax your Price Quotation at Tel. Fax#: 426-30-45 / 927-64-26 local 2561 or Email at bacveterans@gmail.com. Please indicate the brand name and complete specifications.</t>
  </si>
  <si>
    <t xml:space="preserve"> LGU - Magsingal, Ilocos Sur				Project Reference Number Repair and Maintenance of Manlift Vehicle Truck		                                                         Magsingal, Ilocos Sur 					   Standard Form Number: SF-GOOD-59 Revised on: May 24, 2004 Stand</t>
  </si>
  <si>
    <t xml:space="preserve"> 1 Clearbook long 2 bondpaper long sub 20 3 colored fastener 4 folder long white 5 expanded folder 5 sign pen black 7 sign pen red 8 correction tape 9 bondpaper A4 Sub 20 10 staple wire #35 11 staple wire #10 12 record book  300 pages 13 floor mop 14 stamp</t>
  </si>
  <si>
    <t xml:space="preserve"> Delivery and Reproduction of Learning Modules RFQ: 2020-08-040 ABC: 294,491.70 PhP PLEASE SUBMIT AT MIL-AN NATIONAL HIGH SCHOOL or EMAIL AT milannhsprocurement@gmail.com</t>
  </si>
  <si>
    <t xml:space="preserve"> Procurement of 4 Sets Desktop Computer &amp; 1 LI</t>
  </si>
  <si>
    <t xml:space="preserve"> FUND SOURCE: 20% PDF 2020 TYPES OF WORK TO BE DONE: Project billboard/ signboard/ occupational safety and health program/ removal of actual structures/ obstruction (PCCP reinforced)/ structure excavation</t>
  </si>
  <si>
    <t xml:space="preserve"> Name of the Procuring Entity 					Project Reference No.                              				 					      Name of the Project:  Purchase of Office Equipment for Office of the Mayor				 									 				              Location of the Project :Looc,Romblon					 Stan</t>
  </si>
  <si>
    <t xml:space="preserve"> OPENING OF BIDS IN DSWD FO IX, ZAMBOANGA CITY			 		DELIVERY IN DSWD-AVRC III, MAMPANG  ZC			 		PROCUREMENT FOR THE FF.:			 					 1	LOT LABOR AND MATERIALS    @	277,156.33	           FOR IMPROVEMENT OF SKILLS TRAINING BUILDING PHASE II OF AVRC III  (LABOR </t>
  </si>
  <si>
    <t xml:space="preserve"> 1 set Submersible Pump with Motor (15HP), 1 Phase with control box</t>
  </si>
  <si>
    <t xml:space="preserve"> Buffet type 150	pax	AM Snacks  150	pax	Lunch  150	pax	PM Snacks Food Packs 200	pax	AM Snacks  200	pax	Lunch  200	pax	PM Snacks Note: 4viands with rice Bottled Water/Drinks/Flowing Coffee Desserts/Fruits Terms and Conditions: 1.	The RFQ form must be fully </t>
  </si>
  <si>
    <t xml:space="preserve"> Procurement of Native and Domesticated Swine Production Supplies</t>
  </si>
  <si>
    <t xml:space="preserve"> TELM EXPENSES</t>
  </si>
  <si>
    <t xml:space="preserve"> Lot Bidding	 			 800	tanks	Medical Oxygen (Contents only)	 800,000.00  		Delivery:	 		Must be delivered on staggard basis</t>
  </si>
  <si>
    <t xml:space="preserve"> Suture Silk, Black Braided, Size 2-0 with Needle------------------------ 16 qty ---------------P2,541.00/dozen Suture Silk, Black Braided, Size 3-0 with Needle------------------------12 qty ----------------P2,541.00/dozen Suture Silk, Black Braided, Size </t>
  </si>
  <si>
    <t xml:space="preserve"> SCOPE OF WORKS: 1. Replacement of old panel board for water system (to by pass the old system). - 1 set 2. Electrical wiring for new system. - 1 set 3. Replacement of old motor with new motor (should fit and match the existing water pump) - 1 unit PARTS T</t>
  </si>
  <si>
    <t xml:space="preserve"> Republic of the Philippines							 PROVINCE OF ZAMBOANGA SIBUGAY							 Municipality of Talusan							 -7012-							 OFFICE OF THE BAC CHAIRMAN							 							 INVITATION TO BID							 							 NOTICE TO THE PUBLIC:							 							 	Notice is hereby served t</t>
  </si>
  <si>
    <t xml:space="preserve"> REQUEST FOR QUOTATION														 														 RFQ No.		SVP 20-0797				Date				7/9/2020				 PR Reference		100-20-06-020				Implementing Office				Treasurer's Office				 Closing Date and Time						July 17, 2020 @5:00 P.M.								 Designated Places of S</t>
  </si>
  <si>
    <t xml:space="preserve"> various construction materials and supplies</t>
  </si>
  <si>
    <t xml:space="preserve"> 1	unit	Motorcycle with customized sidecar patrol (Engine type: Single Cylinder, 4 stroke, atleast 170cc , power: kw(hp) @ 4,500RPM, Transmission: Manual 4 speeds, Brakes front and rear: Dual Disk Brakes 300/230MM with disengageable ABS) ( Sidecar: With de</t>
  </si>
  <si>
    <t xml:space="preserve"> Rehabilitation of Municipal Buildings (Phase V) The Municipality of Bindoy, through the Capital Outlay of MTO CY 2020 intends to apply the sum of Two Hundred Ninety Thousand Three Hundred Pesos (P 290,300.00) being the Approved Budget for the Contract (AB</t>
  </si>
  <si>
    <t xml:space="preserve"> Rehabilitation of Municipal Buildings (Phase IV) The Municipality of Bindoy, through the Capital Outlay of MTO CY 2020 intends to apply the sum of Two Hundred Fifty Seven Thousand Eight Hundred Ninety Five Pesos           (P 257,895.00) being the Approved</t>
  </si>
  <si>
    <t xml:space="preserve"> One (1) set GLASS DOOR **12MM thk x 0.80mW x 2.1mH **Frameless Tempered Clear Glass Door **complete with its accesories including installation</t>
  </si>
  <si>
    <t xml:space="preserve"> 1	unit	Xerox Machine- Laser  Electronic img. Trans./ high Definition/up to 21cpm/up to 7.8cpm; WT15 sec. 600x600 dpi A5 to a3: reso: GDI 600x 600 dpi 1	pc	Develop Drum 1	pc	Developer 1	pc	Fusing Unit 1	pc	Assy Imaging Unit Assy 1	pc	Transfer Roller 		 1	u</t>
  </si>
  <si>
    <t xml:space="preserve"> QTY.	UNIT	  DESCRIPTION 300	packs  Fabric Conditioner 800 gms 350	packs   Powder Soap 1000 grams 75	bots	  Disinfectant Liquid 300	bots	  Chlorox 1L</t>
  </si>
  <si>
    <t xml:space="preserve"> 2500	pcs	Drifit Long Sleeved Shirt with Print</t>
  </si>
  <si>
    <t xml:space="preserve"> 1	pc	Clutch Booster 1	pc	Clutch Master 1	set	Brake Shoe Rear 8	pcs	Rear L/R wheel cap 3	ltrs	Brake fluid 2	pcs	Rear L/R wheel Oil Seal Inn. 2	pcs	Rear L/R wheel Oil Seal out. 8	pcs	Rear L?R wheel Cap 2	pcs	Rear L?R wheel Oil Seal 5	cans	Grease 1	seat	Fron</t>
  </si>
  <si>
    <t xml:space="preserve"> solar street lights materials and installation</t>
  </si>
  <si>
    <t xml:space="preserve"> 100 piece - Data folder, Blue, Width: 75mm Height: 230mm Length: 380mm</t>
  </si>
  <si>
    <t xml:space="preserve"> 5	box	edta 10	10	red top 5	box	microtubes 20	strip	meditest urine strip 10	bx	bluetips 4	bxs	Dymind Lyse 1 4	bxs	Dymind Lyse 2 4	bxs	Dymind Lyse 3 4	bxs	Dymind Diluent 3	kit	Glucose 3	kit	cholesterol 2	kit	Triglyceri 6	kit	HDL 2	kit	Blood uric acid 1	kit	</t>
  </si>
  <si>
    <t xml:space="preserve"> Proposed construction of concrete perimeter fence of the community center</t>
  </si>
  <si>
    <t xml:space="preserve"> 5	UNIT	Laptop (Operation Software: Win10 Professional Licensed 64-bit / Processor: At most 2.1 GHz, 3MB Cache / Memory: At most 8GB-DDR / Memory Slots: Two (2) SODIMM slots supporting dual channel memory / Hard Disk Drive: At most 1TB / Optical Drives: DV</t>
  </si>
  <si>
    <t xml:space="preserve"> 142	box	Instant Noodles (72 pcs per box) 104	box	Sardines (100 pcs per box) 104	box	Corned Beef (100 pcs per box) 215	box	Canned Tuna (48 pcs per box)</t>
  </si>
  <si>
    <t xml:space="preserve"> 17	PCS.	MARINE PLYWOOD, 3/4" 10	PCS.	MARINE PLYWOOD, 1/4" 20	PCS.	EXPANSION BOLT, 3/8" 3	PCS.	CONCRETE DRILL BIT, 3/8" 2	PCS.	WOOD DRILL BIT, 3/8" 5	PCS.	FINISHING NAIL, 1" 5	KGS	FINISHINF NAIL, 11/2" 5	KGS	FINISHING NAIL, 2" 4	LITERS	STICKWELL 3	LITERS	E</t>
  </si>
  <si>
    <t xml:space="preserve"> REQUEST FOR QUOTATION (RFQ) The National Housing Authority (NHA), through its Regional Office Bids and Awards Committee (ROBAC), intends to procure office supplies which will be undertaken in accordance with Section 52.1(b) of the 2016 Revised Implementin</t>
  </si>
  <si>
    <t xml:space="preserve"> PR No.   :					 Approved Budget for Contract (ABC)   :PHP 264,000.00					 QTY	UNIT	ITEM/S DESCRIPTION		UNIT PRICE	TOTAL PRICE 		Vehicle Rent			 3	unit	Van Hire for 15 days			 264,000.00  					 Please submit the following documents:					 Omnibus Sworn Stat</t>
  </si>
  <si>
    <t xml:space="preserve"> 1	unit	panel box 20 hole 1	set	circuit breaker 300 amp mters with inter lock, 3 hole 2	pcs	circuit breaker 100 amp 8	pcs	circuit breaker 60 amp 26	meters	THNN 250 mm 4	pcs	circuit breaker 40 amp 4	pcs	circuit breaker 30 amp 2	pcs	circuit breaker 20 amp 6	</t>
  </si>
  <si>
    <t xml:space="preserve"> a. CONTRACT ID: RIZAL-15SEPTEMBER2020-6 b. NAME OF PROJECT: Construction of School Fence with Gate at Arinda Elem. School, Brgy. San Juan, Cainta, Rizal c. LOCATION: Brgy. San Juan, Cainta, Rizal  d. BRIEF DESCRIPTION: Construction of School Fence with Ga</t>
  </si>
  <si>
    <t xml:space="preserve"> Bond Paper A4 substance 20</t>
  </si>
  <si>
    <t xml:space="preserve"> a. CONTRACT ID: RIZAL-15SEPTEMBER2020-5 b. NAME OF PROJECT: Improvement / Construction of Double Box Culvert along Oja Road and Construction of Stone Masonry for Slope Protection (portion) of creek, Brgy. Mahabang Parang, Binangonan, Rizal c. LOCATION: Br</t>
  </si>
  <si>
    <t xml:space="preserve"> solar street lights materials with installation</t>
  </si>
  <si>
    <t xml:space="preserve"> a. CONTRACT ID: RIZAL-15SEPTEMBER2020-3 b. NAME OF PROJECT: Construction/Provision of Wash Facilities (Water, Sanitation &amp; Hygiene) for Evacuation Center at Meralco 4th Home Village, Binangonan, Rizal c. LOCATION: Binangonan, Rizal d. BRIEF DESCRIPTION: W</t>
  </si>
  <si>
    <t xml:space="preserve"> 15 units cleaning &amp; siphoning of portalet</t>
  </si>
  <si>
    <t xml:space="preserve"> REQUEST FOR QUOTATION (RFQ) The National Housing Authority (NHA), through its Regional Office Bids and Awards Committee (ROBAC), intends to procure janitorial supplies which will be undertaken in accordance with Section 52.1(b) of the 2016 Revised Impleme</t>
  </si>
  <si>
    <t xml:space="preserve"> a. CONTRACT ID: RIZAL-15SEPTEMBER2020-2 b. NAME OF PROJECT: Construction of 2-storey Multi-Purpose Bldg. at Vermont Royale Executive Village, Brgy. Mayamot, Antipolo City c. LOCATION: Brgy. Mayamot, Antipolo City d. BRIEF DESCRIPTION: Construction of Mult</t>
  </si>
  <si>
    <t xml:space="preserve"> REQUEST FOR QUOTATION (RFQ) The National Housing Authority (NHA), through its Regional Office Bids and Awards Committee (ROBAC), intends to procure computer supplies and consumables which will be undertaken in accordance with Section 52.1(b) of the 2016 R</t>
  </si>
  <si>
    <t xml:space="preserve"> a. CONTRACT ID: RIZAL-15SEPTEMBER2020-1 b. NAME OF PROJECT: Construction/Provision of Wash Facilities (Water, Sanitation &amp; Hygiene) for Evacuation Center at Victoriaville Homes Sitio Upper Lucban, Antipolo,City c. LOCATION: Antipolo,City d. BRIEF DESCRIPT</t>
  </si>
  <si>
    <t xml:space="preserve"> Please see Associated Components for details</t>
  </si>
  <si>
    <t xml:space="preserve"> 1. 1 unit  Office aircon unit 2.5hp Split type brand new 2.  2 unit  Office aircon unit 1.5hp split type brand new</t>
  </si>
  <si>
    <t xml:space="preserve"> a. CONTRACT ID: RIZAL-15SEPTEMBER2020-8 b. NAME OF PROJECT: Construction/Provision of Wash Facilities (Water, Sanitation &amp; Hygiene) for Evacuation Center at Looc Elem. School, Cardona, Rizal c. LOCATION: Cardona, Rizal  d. BRIEF DESCRIPTION: Wash Faciliti</t>
  </si>
  <si>
    <t xml:space="preserve"> Invitation to Re-Bid All prospective bidders are invited to bid on the above items. The Municipality of Boac reserves the right to accept or reject any bid, to annul the bidding process, and to reject all bids at any time prior to contract award, without </t>
  </si>
  <si>
    <t xml:space="preserve"> various office supplies and consumables</t>
  </si>
  <si>
    <t xml:space="preserve"> 3	SETS	Workstation 1-45mm Thick Partition, Top panel 300 Hmm glass with Frame, Mid Panel 150Hmm MFC, Lower Panel 750Hmm MFC, Aluminum Trims, Dimension : 1200H x 1400Wmm (T45P120140GMFC) @6 pieces; 2 Way connector post, 1200Hmm @3pcs.; End Trim 1200Hmm @ 6</t>
  </si>
  <si>
    <t xml:space="preserve"> a. CONTRACT ID: RIZAL-15SEPTEMBER2020-4 b. NAME OF PROJECT: Construction of Daycare Center &amp; Health Center at Brgy. Macamot, Binangonan, Rizal c. LOCATION: Brgy. Macamot, Binangonan, Rizal  d. BRIEF DESCRIPTION: Construction of Multi-Purpose Building. e. </t>
  </si>
  <si>
    <t xml:space="preserve"> a. CONTRACT ID: RIZAL-15SEPTEMBER2020-23 b. NAME OF PROJECT: Improvement of Ynares Multi-Purpose Covered Court at Manggahan Elem. School, Brgy. Manggahan, Rodriguez, Rizal c. LOCATION: Brgy. Manggahan, Rodriguez, Rizal  d. BRIEF DESCRIPTION: Improvement o</t>
  </si>
  <si>
    <t xml:space="preserve"> a. CONTRACT ID: RIZAL-15SEPTEMBER2020-20 b. NAME OF PROJECT: Construction/Provision of Wash Facilities (Water, Sanitation &amp; Hygiene) for Evacuation Center at Eastwood Greenview Phase 3B, Rodriguez, Rizal c. LOCATION: Rodriguez, Rizal  d. BRIEF DESCRIPTION</t>
  </si>
  <si>
    <t xml:space="preserve"> a. CONTRACT ID: RIZAL-15SEPTEMBER2020-19 b. NAME OF PROJECT: Construction/Provision of Wash Facilities (Water, Sanitation &amp; Hygiene) for Evacuation Center at Southville 8B  National  High  School,  Rodriguez,  Rizal c. LOCATION: Rodriguez, Rizal d. BRIEF </t>
  </si>
  <si>
    <t xml:space="preserve"> 4	pcs	4-Terabyte Hardisk		 2	units	Full H.D. Digital TV 		 2	units	AVTECH AVZ316 16 Channel IP/TVI/HD DVR Recorder		 32	units	HD CCTV 1080P IR Bullet Camera (AVT 1205)		 45	bxs	RG - 6 Coaxial Cable		 3	pcs	Fiber Media Converter 8 Channels		 32	pcs	2 Amps </t>
  </si>
  <si>
    <t xml:space="preserve"> a. CONTRACT ID: RIZAL-15SEPTEMBER2020-17 b. NAME OF PROJECT: Repair/Repainting/Improvement of Ynares Multi-Purpose Building &amp; School Mini Playground at Brgy. Niogan &amp; Brgy. Quisao, Pililla, Rizal a)  Repair/Repainting of Ynares Multi-Purpose Building at B</t>
  </si>
  <si>
    <t xml:space="preserve"> a. CONTRACT ID: RIZAL-15SEPTEMBER2020-24 b. NAME OF PROJECT: Construction of Ynares Stage at Congressville Subd., Brgy. Manggahan, Rodriguez, Rizal c. LOCATION: Brgy. Manggahan, Rodriguez, Rizal d. BRIEF DESCRIPTION: Construction of Ynares Stage. e. MAJOR</t>
  </si>
  <si>
    <t xml:space="preserve"> a. CONTRACT ID: RIZAL-15SEPTEMBER2020-16 b. NAME OF PROJECT: Construction/Provision of Wash Facilities (Water, Sanitation &amp; Hygiene) for Evacuation Center at Bugarin Elem. School, Pililla, Rizal c. LOCATION: Pililla, Rizal d. BRIEF DESCRIPTION: Wash Facil</t>
  </si>
  <si>
    <t xml:space="preserve"> a. CONTRACT ID: RIZAL-15SEPTEMBER2020-21 b. NAME OF PROJECT: Construction of 15x30m Ynares Multi-Purpose Covered Court (Rafter Type) at Villa Ana Maria Subd., Brgy. San Jose, Rodriguez, Rizal c. LOCATION: Brgy. San Jose, Rodriguez, Rizal d. BRIEF DESCRIPT</t>
  </si>
  <si>
    <t xml:space="preserve"> a. CONTRACT ID: RIZAL-15SEPTEMBER2020-18 b. NAME OF PROJECT: Construction/Provision of Wash Facilities (Water, Sanitation &amp; Hygiene) for Evacuation Center at Geronimo Elem. School, Rodriguez, Rizal c. LOCATION: Rodriguez, Rizal d. BRIEF DESCRIPTION: Wash </t>
  </si>
  <si>
    <t xml:space="preserve"> a. CONTRACT ID: RIZAL-15SEPTEMBER2020-14 b. NAME OF PROJECT: Construction of Perimeter Fence of Barangay Hall Compound a Sitio Tabing Ilog, Brgy. San Guillermo, Morong, Rizal c. LOCATION: Brgy. San Guillermo, Morong, Rizal d. BRIEF DESCRIPTION: Constructi</t>
  </si>
  <si>
    <t xml:space="preserve"> Republic of the Philippines Department of Health Western Visayas Center for Health Development  INVITATION TO BID FOR  TV Plugging IB NO.2020-047 1.	The Department of Health- Western Visayas Center for Health Development, through the GOP/Sub-Allotment Fun</t>
  </si>
  <si>
    <t xml:space="preserve"> Republic of the Philippines Department of Health Western Visayas Center for Health Development  INVITATION TO BID FOR  Radio Plugging IB NO.2020-058 1.	The Department of Health- Western Visayas Center for Health Development, through the GOP/Sub-Allotment </t>
  </si>
  <si>
    <t xml:space="preserve"> a. CONTRACT ID: RIZAL-15SEPTEMBER2020-22 b. NAME OF PROJECT: Construction of 2-storey Ynares Multi-Purpose Bldg. at Kasiglahan Village (Phase 1A), Brgy. San Jose, Rodriguez, Rizal c. LOCATION: Brgy. San Jose, Rodriguez, Rizal  d. BRIEF DESCRIPTION: Constr</t>
  </si>
  <si>
    <t xml:space="preserve"> a. CONTRACT ID: RIZAL-15SEPTEMBER2020-7 b. NAME OF PROJECT: Repair/Repainting of 1-storey, 5-rooms Ynares School Bldg., Construction of Riprap &amp; Canal of Ynares Multi-Purpose Covered Court at Tuna Balibago National High School (Lambac Annex), Brgy. Lambac</t>
  </si>
  <si>
    <t xml:space="preserve"> a. CONTRACT ID: RIZAL-15SEPTEMBER2020-15 b. NAME OF PROJECT: Construction of Multi-Purpose Provincial DRRM Center at Brgy. San Pedro, Morong, Rizal c. LOCATION: Brgy. San Pedro, Morong, Rizal d. BRIEF DESCRIPTION: Construction of Multi-Purpose Provincial </t>
  </si>
  <si>
    <t xml:space="preserve"> Republic of the Philippines Department of Health Western Visayas Center for Health Development  INVITATION TO BID FOR  Rebidding for Procurement of Emergency Newborn Kits IB No. 2020-054 1.	The Department of Health- Western Visayas Center for Health Devel</t>
  </si>
  <si>
    <t xml:space="preserve"> Republic of the Philippines Department of Health Western Visayas Center for Health Development  INVITATION TO BID FOR  Procurement of Family Packs and Jerry Cans IB No. 2020-056 1.	The Department of Health- Western Visayas Center for Health Development, t</t>
  </si>
  <si>
    <t xml:space="preserve"> Republic of the Philippines Department of Health Western Visayas Center for Health Development  INVITATION TO BID FOR  Rebidding for Purchase of IT Software IB NO.2020-046 1.	The Department of Health-Western Visayas Center for Health Development through t</t>
  </si>
  <si>
    <t xml:space="preserve"> Republic of the Philippines Department of Health Western Visayas Center for Health Development  INVITATION TO BID FOR  Procurement of Dental Kits IB No. 2020-057 1.	The Department of Health- Western Visayas Center for Health Development, through the GOP/S</t>
  </si>
  <si>
    <t xml:space="preserve"> Republic of the Philippines Department of Health Western Visayas Center for Health Development  INVITATION TO BID FOR  Vehicle Rental in Western Visayas IB No. 2020-043 1.	The Department of Health- Western Visayas Center for Health Development, through th</t>
  </si>
  <si>
    <t xml:space="preserve"> REQUEST FOR QUOTATION (RFQ) The National Housing Authority (NHA), through its Regional Office Bids and Awards Committee (ROBAC), intends to procure toner (for photocopier machine) which will be undertaken in accordance with Section 52.1(b) of the 2016 Rev</t>
  </si>
  <si>
    <t xml:space="preserve"> Distribution of Rice to the Household of the Barangay Due to COVID '19 Pandemic</t>
  </si>
  <si>
    <t xml:space="preserve"> RFQ -PROCUREMENT OF 3 UNITS MOTORCYCLE  FOR THE SK-3</t>
  </si>
  <si>
    <t xml:space="preserve"> Republic of the Philippines Department of Health Western Visayas Center for Health Development  INVITATION TO BID FOR  Rebidding for Procurement of Hygiene Kit and Collapsible Water Drinking Container IB No. 2020-045 1.	The Department of Health- Western V</t>
  </si>
  <si>
    <t xml:space="preserve"> Transparent expandable envelope with handle (Green)					120	pc Transparent expandable envelope with handle (Maroon)					150	pc Transparent expandable envelope with handle (Pink)					150	pc Transparent expandable envelope with handle (Blue)					300	pc Prin</t>
  </si>
  <si>
    <t xml:space="preserve"> INVITATION TO BID FOR  SUPPLY OF LIVELIHOOD MATERIALS FOR DRIED/SMOKE FISH PROJECT 1.	The [Local Government Unit of Pasacao], through the [TRUST FUND - FISHCORAL]  intends to apply the sum of [Two Hundred Forty Two Thousand Three Hundred Ninety Nine Pesos</t>
  </si>
  <si>
    <t xml:space="preserve"> Backfilling and Concreting including Repair of Drainage System of Area Between Bakery and FPC Scope of Works I. GENERAL REQUIREMENTS AND SITE WORKS					 	Mobilization/ Demobilization - 1.00 lot  	Occupational Safety and Health-  1.00 lumpsum  	Clearing an</t>
  </si>
  <si>
    <t xml:space="preserve"> INVITATION TO BID ITB-2020-002 The Barangay Salvacion, Sibalom, Antique through its Bids &amp; Awards Committee (BAC), invites bidders/contractors to apply for eligibility and to bid for the hereunder project. Project				:	IMPROVEMENT OF BARANGAY ACCESS ROAD </t>
  </si>
  <si>
    <t xml:space="preserve"> this RFQ id composed of various office supplies such as printer such as tape, printer and paper</t>
  </si>
  <si>
    <t xml:space="preserve"> INVITATION TO BID The Barangay LEONES EAST , Tubao, La Union through its Bids and  Awards Committee (BAC), invites suppliers/manufacturers/distributors/contractors to apply for elgibility and to bid for the hereunder project: Name of Project:  CONSTRUCTIO</t>
  </si>
  <si>
    <t xml:space="preserve"> Republic of the Philippines Batangas City Invitation to Apply for Eligibility and to Bid The Barangay Government of Sangguniang Kabataan of Barangay Libjo, Batangas City intends to apply the sum of One Hundred Fifty Thousand Pesos Only (Php 150,000.00) br</t>
  </si>
  <si>
    <t xml:space="preserve"> Republic of the Philippines Batangas City Invitation to Apply for Eligibility and to Bid The Barangay Government of Barangay Tinga Itaas, Batangas City intends to apply the sum of One Hundred Eleven Thousand Six Hundred Four Pesos Only (Php 111,604.00) br</t>
  </si>
  <si>
    <t xml:space="preserve"> Concreting of Pathway (0.10m x 1.50m x 60.0m) @ Sitio Goldbug, Syndicate, Aroroy, Masbate</t>
  </si>
  <si>
    <t xml:space="preserve"> Republic of the Philippines Department of Health Western Visayas Center for Health Development  INVITATION TO BID FOR  Purchase of IT Consumable IB No. 2020-055 1.	The Department of Health-Western Visayas Center for Health Development through the GOP/Sub-</t>
  </si>
  <si>
    <t xml:space="preserve"> pls see associated component</t>
  </si>
  <si>
    <t xml:space="preserve"> Delivery of  Construction Supplies for School Repair and Maintenance MOOE subsidy of Tumaras Integrated School</t>
  </si>
  <si>
    <t xml:space="preserve"> DepEd, Division of Sorsogon										 Standard Form Number: SF-GOOD-60										 Revised on: May 24, 2004										 REQUEST FOR QUOTATION										 										 						Date:				 						Quotation No.:		20-08-139-_____		 										 										 										 							</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</si>
  <si>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</si>
  <si>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Construction of Concrete Fence of Barangay Plaza</t>
  </si>
  <si>
    <t xml:space="preserve"> Republic of the Philippines Department of Health Western Visayas Center for Health Development  INVITATION TO BID FOR  Radio Plugging IB NO.2020-061 1.	The Department of Health- Western Visayas Center for Health Development, through the GOP/Sub-Allotment </t>
  </si>
  <si>
    <t xml:space="preserve"> Delivery of School and Office Supplies MOOE subsidy of Tumaras Integrated School</t>
  </si>
  <si>
    <t xml:space="preserve"> Republic of the Philippines Department of Health Western Visayas Center for Health Development  INVITATION TO BID FOR  Provision of Snellen Chart IB No. 2020-060 1.	The Department of Health- Western Visayas Center for Health Development, through the GOP/S</t>
  </si>
  <si>
    <t xml:space="preserve"> a. CONTRACT ID: RIZAL-15SEPTEMBER2020-25 b. NAME OF PROJECT: Improvement/ Rehabilitation of Electrical Lighting System of Ynares Multi-Purpose Covered Court at Brgy. Macabud &amp; Brgy. Mascap, Rodriguez, Rizal a)  Improvement of Ynares Multi-Purpose Covered </t>
  </si>
  <si>
    <t xml:space="preserve"> Republic of the Philippines Department of Health Western Visayas Center for Health Development  INVITATION TO BID FOR  Purchase of Power Generating Set IB NO.2020-059 1.	The Department of Health-Western VisayasCenter for Health Developmentthrough the GOP/</t>
  </si>
  <si>
    <t xml:space="preserve"> Republic of the Philippines PROVINCE OF QUIRINO Municipality of Cabarroguis LOCAL GOVERNMENT UNIT OF CABARROGUIS Cabarroguis, Quirino -o0o- INVITATION FOR SMALL VALUE PROCUREMENT The Local Government Unit through its Bids and Awards Committee (BAC) invite</t>
  </si>
  <si>
    <t xml:space="preserve"> Republic of the Philippines Department of Health Western Visayas Center for Health Development  INVITATION TO BID FOR  Production/Reproduction of Travelling Bag, Shirts, &amp; Travel Vest IB No. 2020-062 1.	The Department of Health- Western Visayas Center for</t>
  </si>
  <si>
    <t xml:space="preserve"> a. CONTRACT ID: RIZAL-15SEPTEMBER2020-27 b. NAME OF PROJECT: Improvement of Ynares Multi-Purpose Covered Court &amp; Construction of Welcome Arc at Brgy. San Jose &amp; Brgy. San Isidro, Rodriguez, Rizal a)  Improvement of Ynares Multi-Purpose Covered Court at Ka</t>
  </si>
  <si>
    <t xml:space="preserve"> 01.  SITE PREPARATION 02.  DEMOLITION 03.  REINFORCED CONCRETE 04.  MASONRY WORK       - CHB Lay-out       - Plastering 05.  KITCHEN COUNTER 06.  DOORS &amp; WINDOWS 07.  PLUMBING WORKS 08.  PAINTING WORKS 09.  CLEANING &amp; GRUBBING 10.  CONSTRUCTION SAFETY</t>
  </si>
  <si>
    <t xml:space="preserve"> a. CONTRACT ID: RIZAL-15SEPTEMBER2020-26 b. NAME OF PROJECT: Improvement of Ynares Multi-Purpose Covered Court &amp; Construction of Fence at Eastwood Residences, Phase 8/8A, Brgy. San Isidro, Rodriguez, Rizal c. LOCATION: Brgy. San Isidro, Rodriguez, Rizal d</t>
  </si>
  <si>
    <t xml:space="preserve"> Republic of the Philippines CITY GOVERNMENT OF SAN FERNANDO Barangay Madayegdeg Email: brgy_madayegdeg_csf@yahoo.com INVITATION TO BID FOR  Construction of Communal Toilet Barangay Madayegdeg, City of San Fernando 1.	The Barangay Madayegdeg, through the B</t>
  </si>
  <si>
    <t xml:space="preserve"> a. CONTRACT ID: RIZAL-15SEPTEMBER2020-12 b. NAME OF PROJECT: Construction of Stone Masonry for Slope Protection (portion) of Creek at Purok 5 (Ilog Mingming), Brgy. Bayugo, Jalajala, Rizal c. LOCATION: Brgy. Bayugo, Jalajala, Rizal d. BRIEF DESCRIPTION: S</t>
  </si>
  <si>
    <t xml:space="preserve"> a. CONTRACT ID: RIZAL-15SEPTEMBER2020-11 b. NAME OF PROJECT: Repair of Ynares Multi-Purpose Covered Court, Brgy. Pagkalinawan, Jalajala, Rizal c. LOCATION: Brgy.  Pagkalinawan, Jalajala, Rizal d. BRIEF DESCRIPTION: Repair of Ynares Multi-Purpose Covered C</t>
  </si>
  <si>
    <t xml:space="preserve"> a. CONTRACT ID: RIZAL-15SEPTEMBER2020-28 b. NAME OF PROJECT: Improvement of Ynares Multi-Purpose Covered Court &amp; Construction of Comfort Room at Brgy. Sto. Niňo &amp; Brgy. Malanday, San Mateo, Rizal a)  Improvement of Ynares Multi-Purpose Covered Court (Tenn</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</si>
  <si>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</si>
  <si>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Republic of the Philippines Department of Health Western Visayas Center for Health Development  INVITATION TO BID FOR  Rebidding for Purchase of IT Supplies, Peripherals and Equipment IB NO.2020-042 1.	The Department of Health-Western VisayasCenter for He</t>
  </si>
  <si>
    <t xml:space="preserve"> REQUEST FOR QUOTATION The City Government of Cauayan, Isabela, through its Bids and Awards Committee, will undertake a Small Value Procurement for the “Supply and Delivery of Painting Materials for Main Building Bleachers and Pool Bleachers of Cauayan Cit</t>
  </si>
  <si>
    <t xml:space="preserve"> PROCUREMENT OF VARIOUS ITEMS FOR STACK EMISSION OF EMB MIMAROPA (2ND POSTING) PLEASE SUBMIT THE FOLLOWING REQUIREMENTS: 1. PHILGEPS REGISTRATION 2. MAYOR'S/BUSINESS PERMIT 3. DTI CERTIFICATION 4. SEC CERTIFICATION OF REGISTRATION</t>
  </si>
  <si>
    <t xml:space="preserve"> REQUEST FOR QUOTATION The City Government of Cauayan, Isabela, through its Bids and Awards Committee, will undertake a Small Value Procurement for the “Supply and Delivery of Painting Materials for Main Bleachers Terrace and Pool Bleachers Terrace of Caua</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</si>
  <si>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</si>
  <si>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97 sets 15 watts LED bulb 10 pcs. receptacle 450 meters  #6 duplex wire 50meters 2.0 mm2 THW wire, stranded 3 rolls electrical tape (big)</t>
  </si>
  <si>
    <t xml:space="preserve"> RFQ - PROCUREMENT OF 2 UNITS MANUAL WINDOW TYPE 2HP AIRCON FOR THE SP SEC. OFFICE</t>
  </si>
  <si>
    <t xml:space="preserve"> a. CONTRACT ID: RIZAL-15SEPTEMBER2020-13 b. NAME OF PROJECT: Construction of Stone Masonry for Slope Protection (portion) of Creek at Purok 6, Brgy. Bayugo, Jalajala, Rizal c. LOCATION: Brgy. Bayugo, Jalajala, Rizal d. BRIEF DESCRIPTION: Slope Protection </t>
  </si>
  <si>
    <t xml:space="preserve"> a. CONTRACT ID: RIZAL-15SEPTEMBER2020-29 b. NAME OF PROJECT: Construction of 10x18m Ynares Multi-Purpose Covered Court (Badminton Court) at La Mar Village, Brgy. Guitnang Bayan II, San Mateo, Rizal c. LOCATION: Brgy. Guitnang Bayan II, San Mateo, Rizal  d</t>
  </si>
  <si>
    <t xml:space="preserve"> A.Electrical Supplies amco bpx poly plastic(poly),single switch wide series,PVC molding "1,PVC molding "3/4,outlet wide series,3 way switch wide series,1 gang plate cover wide series,2 gang plate cover wide series,3 gang plate wide series,bulb,LED,15 watt</t>
  </si>
  <si>
    <t xml:space="preserve"> a. CONTRACT ID: RIZAL-15SEPTEMBER2020-10 b. NAME OF PROJECT: Construction of Multi-Purpose Provincial DRRM Center at Brgy. San Roque, Cardona, Rizal c. LOCATION: Brgy. San Roque, Cardona, Rizal d. BRIEF DESCRIPTION: Construction of Multi-Purpose Provincia</t>
  </si>
  <si>
    <t xml:space="preserve"> Republic of the Philippines Province of Antique Municipality of Pandan Barangay PATRIA INVITATION TO BID FOR SUPPLY AND DELIVERY OF VARIOUS MATERIALS FOR THE PROPOSED IMPROVEMENT OF CHILD DEV’T. CENTER AT SITIO DANAO AND SITIO TABAY The LOCAL GOVERNMENT U</t>
  </si>
  <si>
    <t xml:space="preserve"> 450 PACKS OF 5 KILO RICE FOR DISTRIBUTION TO 450 HH</t>
  </si>
  <si>
    <t xml:space="preserve"> It includes: Various It Equipments</t>
  </si>
  <si>
    <t xml:space="preserve"> INVITATION TO BID ITB-2020-No. 001 The Barangay Catungan III, Sibalom, Antique through its Bids &amp; Awards Committee (BAC), invites bidders/contractors to apply for eligibility and to bid for the hereunder project. Project				:	IMPROVEMENT OF BARANGAY ACCES</t>
  </si>
  <si>
    <t xml:space="preserve"> REQUEST FOR QUOTATION (RFQ) The National Housing Authority (NHA), through its Regional Office Bids and Awards Committee (ROBAC), intends to procure supplies and materials which will be undertaken in accordance with Section 53.9 of the 2016 Revised Impleme</t>
  </si>
  <si>
    <t xml:space="preserve"> a. CONTRACT ID: RIZAL-15SEPTEMBER2020-9 b. NAME OF PROJECT: Improvement &amp; Repainting of Ynares Multi-Purpose Covered Court at Brgy. Lambac, Cardona, Rizal a)  Improvement  of Ynares Multi-Purpose Covered Court at Brgy. Lambac b) Repainting   of Ynares Mul</t>
  </si>
  <si>
    <t xml:space="preserve"> INSTALLATION OF STREET LIGHTS</t>
  </si>
  <si>
    <t xml:space="preserve"> Office Supplies and Consumables--- 97.866.00</t>
  </si>
  <si>
    <t xml:space="preserve"> ADDITIONAL CCTV</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</si>
  <si>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</si>
  <si>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Republic of the Philippines Province of Northern Samar MUNICIPALITY OF LOPE DE VEGA -oo0oo- BIDS AND AWARDS COMMITTEE NEGOTIATED PROCUREMENT FOR THE PROCUREMENT OF FLU VACCINE QUADRIVALENT &amp; PREFILLED SYRINGE LGU - LOPE DE VEGA N. SAMAR The Municipality o</t>
  </si>
  <si>
    <t xml:space="preserve"> Republic of the Philippines Province of Ilocos Norte MUNICIPALITY OF CURRIMAO INVITATION TO BID FOR THE  PURCHASE OF DECORATIVE STREETLIGHTS WITH INSTALLATION 1.	The [MUNICIPALITY OF CURRIMAO], through the 20% Development Fund 2020   intends to apply the </t>
  </si>
  <si>
    <t xml:space="preserve"> RFQ -SUPPLY INSTALLATION AND SET UP OF 6 SET 4K UHD TV MONITOR FOR CDRRMO</t>
  </si>
  <si>
    <t xml:space="preserve"> FURNISHING AND DELIVERING LABOR AND MATERIALS FOR THE REPAIR OF MULTICAB SERVICE PATROL (ENGINE OVERHAULING, UNDER CHASIS REPAIR, BODY REPAIR, BODY PAINT, ELECTRICAL REPAIR AND UPHOLSTERY)</t>
  </si>
  <si>
    <t xml:space="preserve"> RFQ -SUPPLY, INSTALLATION AND ACTIVATION OF  CITY WIDE PUBLIC ADDRESS SYSTEM</t>
  </si>
  <si>
    <t xml:space="preserve"> RFQ - SUPPLY DELIVERY AND INSTALLATION OF 2 UNITS 2HP WINDOW TYPE AIRCON</t>
  </si>
  <si>
    <t xml:space="preserve"> REQUEST FOR QUOTATION (RFQ) The National Housing Authority (NHA), through its Regional Office Bids and Awards Committee (ROBAC), intends to procure catering service provider which will be undertaken in accordance with Section 53.9 of the 2016 Revised Impl</t>
  </si>
  <si>
    <t xml:space="preserve"> Bid Number/Project	SUPPLY,  DELIVERY, INSTALLATION, AND COMMISSIONING OF CCTV CAMERAS Location	Palimbang, Sultan Kudarat	ABC	PhP 300,000.00 Description/Particulars	Installation of CCTV Cameras 1.	In view of two (2) failed public biddings, the Municipal Go</t>
  </si>
  <si>
    <t xml:space="preserve"> It includes: Antenna Dish with 24V Modern and 2000 iLNB Set Up and Installation, Testing and Commissioning including all consumables.</t>
  </si>
  <si>
    <t xml:space="preserve"> RFQ - SUPPLY AND DELIVERY OF CONSTRUCTION MATERIALS FOR THE INSTALLATION OF WOODEN MARKET STALL AT ROMPEOLAS, BAYWALK</t>
  </si>
  <si>
    <t xml:space="preserve"> The Municipality of Alfonso Lista, Ifugao assumes no responsibility whatsoever to compensate or indemnify bidders for any expenses incurred in the preparation of the Bid. Submit price quotation before the deadline See attached price quotation Source of fu</t>
  </si>
  <si>
    <t xml:space="preserve"> Ream 350 a4 bondpaper Pcs 10 stapler 14 boxes staple wire#35 108 bot  refillabel ink black 60 bot  refillable ink (cym)</t>
  </si>
  <si>
    <t xml:space="preserve"> Republic of the Philippines Province of Northern Samar MUNICIPALITY OF LOPE DE VEGA Lope De Vega, Northern Samar Invitation to Bid Road Concreting and Open Canal Purok 2, Barangay Pobalcion, Lope De Vega Northern Samar  The Local Government Unit – Lope De</t>
  </si>
  <si>
    <t xml:space="preserve"> It includes: General Requirements, Site Preparation &amp; Earthworks, Reinforced Concrete Works, Masonry Works (Plastering &amp; Moldings), Steel Works, Paint Works, Electrical Works, Service Entrance Connection and Billboards.</t>
  </si>
  <si>
    <t xml:space="preserve"> It includes: Mobilization/Demobilization, Site Preparation &amp; Earthworks, Reinforced Concrete Works, Masonry Works, (Plastering &amp; Moldings) Steel Works, Paint Works, Electrical Works, Service Entrance Connection &amp; Billboards.</t>
  </si>
  <si>
    <t xml:space="preserve"> Office: Parks Development Office			 				Charge to: Other Supplies &amp; Material Expenses			 				ABC:  Php399,760.00			 						 1	2	units		Battery, 3SN			 2	2	units		Battery, 4SN			 3	4	units		Tire, 10.00 X 20			 4	2	units		Alternator assembly			 5	4	units		Ti</t>
  </si>
  <si>
    <t xml:space="preserve"> It includes: Earthworks, Reinforced Concrete Works, Masonry Works, and Billboard.</t>
  </si>
  <si>
    <t xml:space="preserve"> It includes: Excavation Works, Concrete Works, Steel Works, Plumbing Works, and Billboard.</t>
  </si>
  <si>
    <t xml:space="preserve"> UNIT                 QUANTITY           DESCRIPTION Reams                 128                 Coupon bond A4  Bottles                  37                  Epson Ink Black Bottles                  12                  Epson Ink Magenta Bottles              </t>
  </si>
  <si>
    <t xml:space="preserve"> It includes: Mobilization/Demobilization, Site Preparation, Electrical Works, Concrete Pylon with CHB Wall (Power House &amp; Service Entrance)  and  Billboard.</t>
  </si>
  <si>
    <t xml:space="preserve"> It includes: Site Works, Concrete Works, Grouted Riprap Wall and Billboard.</t>
  </si>
  <si>
    <t xml:space="preserve"> Republic of the Philippines Province of Northern Samar MUNICIPALITY OF LOPE DE VEGA Lope De Vega, Northern Samar Invitation to Bid Construction of 3 units Hand Washing Facility Municipal Compound &amp; Barangay Lower Caynaga, Lope De Vega Northern Samar  The </t>
  </si>
  <si>
    <t xml:space="preserve"> Office: Office of the Sheriff 			 				Charge to: Capital Outlay- Information &amp; 			 				 	 Communication Technology Equipment 		 				ABC:  Php150,000.00			 							 				Information &amp; Communication 			 1	1	set		Technology Equipment 			 				A. Desktop Compute</t>
  </si>
  <si>
    <t xml:space="preserve"> It includes: Surface Preparation, Painting Works, Steel Works and Roofing Works, Carpentry Works and Plumbing Works, Demountable Steel Scaffoldings with Cat walk and Billboards.</t>
  </si>
  <si>
    <t xml:space="preserve"> It includes: General Requirements, Site Works, Masonry Works (Plastering), Scaffolding Works, Paint Works, and Billboards.</t>
  </si>
  <si>
    <t xml:space="preserve"> It includes: General Requirements, Site Works, Masonry Works (Plastering), Scaffolding Works, Paint Works and Billboards.</t>
  </si>
  <si>
    <t xml:space="preserve"> Invitation to Bid 									August 24, 2020 	 1.	 The Municipal Government of Tinoc through the Bids and Awards Committee advertised an Invitation to bid for the Procurement of Hardware Materials funded under the AM-2019 with an Approved Budget for the Con</t>
  </si>
  <si>
    <t xml:space="preserve"> Office: Gat Andres Bonifacio Memorial Medical Center 			 				Charge to: Other Supplies and Materials Expenses			 				ABC:  Php130,388.50			 							 							 1	1	bottle		All Purpose Contact Cement, 350ml.			 2	3	pouches		All Pupose Grab Adhesive, 100 grams.</t>
  </si>
  <si>
    <t xml:space="preserve"> It includes: Site Works, Concrete Works and Billboards.</t>
  </si>
  <si>
    <t xml:space="preserve"> It includes: Site Preparation, Masonry Works, Concrete Works, Steel Gratings, and billboard.</t>
  </si>
  <si>
    <t xml:space="preserve"> REQUEST FOR QUOTATION The National Meat Inspection Service (NMIS) through the Bids and Awards Committee (BAC) is inviting interested parties to submit proposal/quotation for the here under project: Name of Project:    	Preventive Maintenance and Operation</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</si>
  <si>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</si>
  <si>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REQUEST FOR QUOTATION The National Meat Inspection Service (NMIS) through the Bids and Awards Committee (BAC) is inviting interested parties to submit proposal/quotation for the here under project: Name of Project:    	Supply, Printing, Lay - Outing and D</t>
  </si>
  <si>
    <t xml:space="preserve"> coupon bond , folders, envelope ], ballpens, ink for computer, other related supplies</t>
  </si>
  <si>
    <t xml:space="preserve"> drug test kit</t>
  </si>
  <si>
    <t xml:space="preserve"> Office: Gat Andres Bonifacio Memorial Medical Center 			 				Charge to: Other Supplies and Materials Expenses			 				ABC:  Php89,080.00			 							 							 1	13	 pads 		OBR'S Form 5pcs./set,50 sets/pad, carbonized			 2	80	 pcs 		Personnel Qualifications, I</t>
  </si>
  <si>
    <t xml:space="preserve"> It includes: Site Works, Concrete Works, and Billboard.</t>
  </si>
  <si>
    <t xml:space="preserve"> 2 sets of supply &amp; inst of solar   flashing yellow light, 2 units slow down pedestrian crossing 2 units children/children  crossing supply and application of thermoplastic,  white, supply and application of thermoplastic yellow (for front and back of elem</t>
  </si>
  <si>
    <t xml:space="preserve"> Invitation to Bid 								 	August 24, 2020 1.	The Barangay Local Government Unit of Danggo through the Bids and Awards Committee advertised an Invitation to bid for the Package 02: Guinao Foot Bridge Construction, B. Tanod Outpost funded under 20% BLDF –</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</si>
  <si>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</si>
  <si>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Office: Gat Andres Bonifacio Memorial Medical Center 			 				Charge to: Other Supplies and Materials Expenses			 				ABC:  Php117,926.00			 							 							 1	40	 mtr. 		Garter, white  1/2"			 2	20	 mtr. 		Garter 1/8"			 3	260	 yds. 		Linen, White, US Cott</t>
  </si>
  <si>
    <t xml:space="preserve"> 2 units Photocopier</t>
  </si>
  <si>
    <t xml:space="preserve"> subscription, Hardware, RFID Reader, GSM Modem, Tapping booth wall mount with monitor, consumables, labor</t>
  </si>
  <si>
    <t xml:space="preserve"> Invitation to Bid FOR THE UPLB-I-026-09-20 SUPPLY, DELIVERY, AND INSTALLATION OF AIRCONDITIONING UNITS FOR CVM 1.	The UNIVERSITY OF THE PHILIPPINES LOS BAÑOS (UPLB), through the GOP (RCC: LB02020001  FC: 825018) intends to apply the sum of TWO HUNDRED FIF</t>
  </si>
  <si>
    <t xml:space="preserve"> Invitation to Bid 								 	August 24, 2020 1.	The Barangay Local Government Unit of Danggo through the Bids and Awards Committee advertised an Invitation to bid for the Bagaen Bridge Construction funded under 20% BLDF-2018 with an Approved Budget for the</t>
  </si>
  <si>
    <t xml:space="preserve"> Name of the Procuring Entity LOCAL GOVERNMENT UNIT  Mahinog, Camiguin	Project Reference Number: 2020-GOODS-RFQ-106 Name of Project: Supply &amp; Delivery of Copier, Printer and Colour Scanner Machine Location of the Project:Mahinog, Camiguin 	 Standard Form N</t>
  </si>
  <si>
    <t xml:space="preserve"> Invitation to Bid 								 	August 24, 2020 1.	The Barangay Local Government Unit of Danggo through the Bids and Awards Committee advertised an Invitation to bid for the Package 01: Buning Foot Bridge Rehab., B. Spring Box Rehab. Hadungol funded under 20%</t>
  </si>
  <si>
    <t xml:space="preserve"> Repair/ Rehabilitation of Barangay Hall</t>
  </si>
  <si>
    <t xml:space="preserve"> Name of the Procuring Entity LOCAL GOVERNMENT UNIT  Mahinog, Camiguin	Project Reference Number: 2020-GOODS-RFQ-105 Name of Project: Supply &amp; Delivery of Appliances Location of the Project:Mahinog, Camiguin 	 Standard Form Number: SF-GOOD-05 Revised on: Ju</t>
  </si>
  <si>
    <t xml:space="preserve"> 2ND BIDDING HARDWARE MATERIALS FOR THE CONSTRUCTION OF RURAL HEALTH CENTER	 Brgy. Lugui, Labo, Camarines Norte	 Materials:	 335	bags	Portland Cement 5	cu.m. Boulder 25	cu.m. Clean Gravel 33	cu.m. Washed Sand 15	cu.m. G.I. Crushed Gravel 20	bots	Nevada Aqu</t>
  </si>
  <si>
    <t xml:space="preserve"> Item No.	Description of Articles	Qty.	Unit 	Road Section Length:     140 LM Road Width:                    6.0 LM Pavement Width:             4.0 LM Thickness:                        0.15 m Shouldering:                     0.75 m both sides Surface Type: </t>
  </si>
  <si>
    <t xml:space="preserve"> Bid Number/Project	SUPPLY AND DELIVERY OF SIX (6) – UNIT MOTORCYCLES Location	Palimbang, Sultan Kudarat	ABC	PhP 750,000.00 Description/Particulars	Purchase of three (3) unit motorcycles for Municipal Mayor’s Office and of three (3) unit motorcycles for Mu</t>
  </si>
  <si>
    <t xml:space="preserve"> 1 10 pcs epson 12A printer toner cartridge  2 95 bots epson ink t6641  3 40 bots epson ink t6642  4 40 bots epson ink t6643  5 40 bots epson ink t6644</t>
  </si>
  <si>
    <t xml:space="preserve"> Supplemental MOOE for 2nd Quarter</t>
  </si>
  <si>
    <t xml:space="preserve"> 1  300 PAX MEALS MENU: Lunch - Rice, Buttered Chicken, Fish Fillet &amp; Soft drinks   Remarks : 1. The service supplier shall have its own environmental policy, covering environmental procurement, the reduction of waste and energy consumption, and water savi</t>
  </si>
  <si>
    <t xml:space="preserve"> 1 58 PCS TARPAULIN (4X8) Remarks :  1. The supplier can deliver three (3) days after receipt of Purchase Order &amp; Notice of Award. 2. The supplier can accommodate many revisions of designs or layout for quality output</t>
  </si>
  <si>
    <t xml:space="preserve"> Invitation to Bid 								 	August 24, 2020 1.	The Barangay Local Government Unit of Binablayan through the Bids and Awards Committee advertised an Invitation to bid for the Package 01: Bangtinon-Ahbunan FMR Construction and Gugulo-Tubeng FMR Construction</t>
  </si>
  <si>
    <t xml:space="preserve"> Invitation to Bid 								 	August 24, 2020 1.	The Barangay Local Government Unit of Ahin through the Bids and Awards Committee advertised an Invitation to bid for the Dengao Road Improvement funded under 20% BLDF – 2020 with an Approved Budget for the Co</t>
  </si>
  <si>
    <t xml:space="preserve"> Invitation to Bid 								 August 24, 2020 1.	The Barangay Local Government Unit of Poblacion through the Bids and Awards Committee advertised an Invitation to bid for the Package 01: Bawi-Linheban Road Construction/ Lumay – Bawi Road Construction funded </t>
  </si>
  <si>
    <t xml:space="preserve"> Name of the Procuring Entity LOCAL GOVERNMENT UNIT  Mahinog, Camiguin	Project Reference Number: 2020-GOODS-RFQ-104 Name of Project: Supply &amp; Delivery of Office Supplies Location of the Project:Mahinog, Camiguin 	 Standard Form Number: SF-GOOD-05 Revised o</t>
  </si>
  <si>
    <t xml:space="preserve"> Invitation to Bid 								 	August 24, 2020 1.	The Barangay Local Government Unit of Ap-apid through the Bids and Awards Committee advertised an Invitation to bid for the Keb-keb Proper Road Improvement funded under BLDF - 2019 &amp; Capital Outlay 2019 with </t>
  </si>
  <si>
    <t xml:space="preserve"> Bid Number/Project	SUPPLY AND DELIVERY OF ONE (1) - UNIT MOBILE CLINIC BUS Location	Palimbang, Sultan Kudarat	ABC	PhP 3,000,000.00 Description/Particulars	Purchase of one unit mobile clinic bus 1.	In view of two (2) failed public biddings, the Municipal G</t>
  </si>
  <si>
    <t xml:space="preserve"> see attached bid docs</t>
  </si>
  <si>
    <t xml:space="preserve"> Application Programmer 1. May karanasan sa pagbuo ng online dictionary. 2. May kaalaman sa Data Analytics partikular sa corpus linguistics. 3. May karanasan sa pag-set up ng computer network, web, at database server. 4. May kaalaman sa Wikang Filipino.</t>
  </si>
  <si>
    <t xml:space="preserve"> RFQ -PROCUREMENT OF OFFICE SUPPLIES FOR THE OFFICE OF THE SP SECRETARY</t>
  </si>
  <si>
    <t xml:space="preserve"> Item	Qty.	A R T I C L E S				 1		OTHER PROPERTY PLANT &amp; EQUIP				 2	1 lot	CCTV camera w/IR, UTP wire				 3		siamese wire, F&amp;M connector				 4		power supply balun, bracket				 5						 6</t>
  </si>
  <si>
    <t xml:space="preserve"> RFQ - PROCUREMENT OF OFFICE SUPPLIES FOR THE FRANCHISING OFFICE</t>
  </si>
  <si>
    <t xml:space="preserve"> ITEM NO.	Unit of issue	ITEM &amp;DESCRIPTION	Brand &amp; Model	QTY.	 1	unit	Photocopier(big, heavy duty) multi function, 25 copies/prints per 		1	 		minute, 100 Sheets Auto Reverse Document Feeder (ARFD),			 		Wireless printing from mobile and PC thru Smart Opera</t>
  </si>
  <si>
    <t xml:space="preserve"> DRAINAGE/CANAL I- Earth Works(incluides obstruction removal) - 64.24 cu.m. II- Reinforced Concrete Works - 27.37 cu.m. III- Masonry Works - 48.00 sq.m. Project Signboard - 1 lot</t>
  </si>
  <si>
    <t xml:space="preserve"> ITEM NO.	Unit of issue	ITEM &amp;DESCRIPTION	Brand &amp; Model	QTY.	 1	pc	Junior Swivel Chair with arm rest		17	 					 					 		***Nothing Follows**			 					 		TOTAL ABC: Php 55,000.00</t>
  </si>
  <si>
    <t xml:space="preserve"> Construction of Retaining Wall  V = 29.76 cu.m. Masonry Works</t>
  </si>
  <si>
    <t xml:space="preserve"> Construction of Retaining Wall V = 66.75 cu.m. Masonry Works</t>
  </si>
  <si>
    <t xml:space="preserve"> RFQ -  SUPPLY   AND DELIVERY OF VARIOUS SUPPLIES FOR THE ARTIFICIAL INSIMINATION CENTER</t>
  </si>
  <si>
    <t xml:space="preserve"> ITEM NO.	Unit of issue	ITEM &amp;DESCRIPTION	Brand &amp; Model	QTY.	 1	pc	Heavy Duty Scanner		1	 		Specifications: 			 		Functions: Print, Copy, Scan, Fax, Email			 		Printing Specs: Print speed black,			 		Normal: Up to 38 ppm			 		First page out (ready)			 		Bl</t>
  </si>
  <si>
    <t xml:space="preserve"> Office Supplies - 40,756.00</t>
  </si>
  <si>
    <t xml:space="preserve"> Office Supplies - 43,340.00</t>
  </si>
  <si>
    <t xml:space="preserve"> Name of the Procuring Entity LOCAL GOVERNMENT UNIT  Mahinog, Camiguin	Project Reference Number: 2020-GOODS-RFQ-108 Name of Project: Supply &amp; Delivery of Feeds Location of the Project:Mahinog, Camiguin 	 Standard Form Number: SF-GOOD-05 Revised on: July 28</t>
  </si>
  <si>
    <t xml:space="preserve"> ITEM NO.	Unit of issue	ITEM &amp;DESCRIPTION	Brand &amp; Model	QTY.	 1	set	DSLR and accessories		1	 		Type: Digital Camera Type, DSLR-body only			 		Image Sensor: Valid Pixels, 16.2mp			 		Optical Sensor Type/Size, CMOS sensor			 		Lens: Optical Zoom, 5.8x			 		S</t>
  </si>
  <si>
    <t xml:space="preserve"> Invitation to Bid 								 	August 24, 2020 1.	The Barangay Local Government Unit of Ahin through the Bids and Awards Committee advertised an Invitation to bid for the Package 01: Taaw-Loloy FMR Opening &amp; Awa-Lamtang – Bayoyo FMR Opening funded under 20% </t>
  </si>
  <si>
    <t xml:space="preserve"> Construction of Barangay Streetlights</t>
  </si>
  <si>
    <t xml:space="preserve"> Name of the Procuring Entity LOCAL GOVERNMENT UNIT  Mahinog, Camiguin	Project Reference Number: 2020-GOODS-RFQ-107 Name of Project: Supply &amp; Delivery of Construction Materials for Establishment of New Municipal Breeding Center on Swine Location of the Pro</t>
  </si>
  <si>
    <t xml:space="preserve"> INVITATION TO  BID # 032-2020    The Municipal Government  of Aguilar, through its Bids and Awards Committee (BAC) invites suppliers/ manufacturers/contractors to bid for the hereunder project:.    Name of the Project: PURCHASE OF BT HYBRID YELLOW CORN SE</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</si>
  <si>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</si>
  <si>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2m x 0.10m x 70m Concrete Road</t>
  </si>
  <si>
    <t xml:space="preserve"> 1. 	The DepEd, Schools Division of Lipa City, through the CY 2020 Basic Educational Facilities Fund (BEFF), intends to apply the sum of Three Million Six Hundred Forty Three Thousand Seven Hundred Seventy Two Pesos and 25/100 only (PhP3,643,772.25) being </t>
  </si>
  <si>
    <t xml:space="preserve"> Please see ASSOCIATED COMPONENTS for details</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</si>
  <si>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</si>
  <si>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INDUSTRIAL TECHNOLOGY DEVELOPMENT INSTITUTE DOST Cmpd., Bicutan, Taguig City Telephone Nos. (02) 837-20-71 to 82 local 2221 E-mail Add.: itdi.admbac@gmail.com INVITATION TO BID August 23, 2020 Sir/Madam: Please quote your price for the item/items listed b</t>
  </si>
  <si>
    <t xml:space="preserve"> Name of the Procuring Entity LOCAL GOVERNMENT UNIT  Mahinog, Camiguin	Project Reference Number: 2020-GOODS-RFQ-110 Name of Project: Supply &amp; Delivery of Construction Materials for Perimeter Fence at BAC Office Location of the Project:Mahinog, Camiguin 	 S</t>
  </si>
  <si>
    <t xml:space="preserve"> Name of the Procuring Entity LOCAL GOVERNMENT UNIT  Mahinog, Camiguin	Project Reference Number: 2020-GOODS-RFQ-109 Name of Project: Supply &amp; Delivery of Chicken Dung Location of the Project:Mahinog, Camiguin 	 Standard Form Number: SF-GOOD-05 Revised on: </t>
  </si>
  <si>
    <t xml:space="preserve"> The local Government Unit of Bindoy through its Bids and Awards Committee intends to Purchase of Materials for the Concreting of Farm to Market Road (Barangay Camudlas) This purchase of Purchase of Materials for the Concreting of Farm to Market Road (Bara</t>
  </si>
  <si>
    <t xml:space="preserve"> 1. 	The DepEd, Schools Division of Lipa City, through the CY 2020 Basic Educational Facilities Fund (BEFF), intends to apply the sum of One Million Seven Hundred Three Thousand Four Hundred Eleven Pesos and 82/100 only (PhP1,703,411.82) being the Approved</t>
  </si>
  <si>
    <t xml:space="preserve"> The local Government Unit of Bindoy through its Bids and Awards Committee intends to Purchase of Materials for the REHABILITATION OF MUNICIPAL BUILDING (PHASE III) This purchase of Purchase of Materials for the REHABILITATION OF MUNICIPAL BUILDING (PHASE </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</si>
  <si>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</si>
  <si>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It includes: Site Preparation, Concrete Works, Doors &amp; Windows, Floor and Wall Finishes, Electrical Works, Ceiling Works, Plumbing Works, Plumbing Fixtures, Steel &amp; Tinsmithry Works, Installation of Partition HPL in Phenolic Board and Billboard.</t>
  </si>
  <si>
    <t xml:space="preserve"> 1.     The DepEd, Schools Division of Lipa City, through the CY 2020 Basic Educational Facilities Fund (BEFF), intends to apply the sum of One Million Three Hundred Ninety Seven Thousand Five Hundred Eighty Pesos and 18/100 only (PhP1,397,580.18) being th</t>
  </si>
  <si>
    <t xml:space="preserve"> 1. 	The DepEd, Schools Division of Lipa City, through the CY 2020 Basic Educational Facilities Fund (BEFF), intends to apply the sum of Four Million Nine Hundred Ninety Five Thousand Two Hundred Forty Six Pesos and 78/100 only (PhP4,995,246.78) being the </t>
  </si>
  <si>
    <t xml:space="preserve"> Department of Education Region VI-Western Visayas Division of Cadiz City Mabini National High School INVITATION TO BID FOR THE PROCUREMENT OF PORTABLE PRESSURE WASHER- MNHS 2020 1.	The Mabini National High School  of Cadiz City, through the Schools MOOE F</t>
  </si>
  <si>
    <t xml:space="preserve"> 16 pc. Coaxial outdoor Camera 2 roll Coaxial cable with power wire, 300m 1 pc. High Analog Multitester 1 unit High quality RS PRO RSKI handheld Digital Multitester 100 pcs. High quality VNC connector 1 pc. Mini HD cam 1 pc 0-30V-10A LED Display Adjustable</t>
  </si>
  <si>
    <t xml:space="preserve"> 1. 	The DepEd, Schools Division of Lipa City, through the CY 2020 Basic Educational Facilities Fund (BEFF), intends to apply the sum of One Million Two Hundred Seventy Three Thousand Five Hundred Forty Three Pesos and 28/100 only (PhP1,273,543.28) being t</t>
  </si>
  <si>
    <t xml:space="preserve"> RFQ - PER UNIT COST PLASTIC STORAGE BOX 155L LONG RANGE STAPLER PLASTIC TWINE ASSORTED COLORS PUSHCART, BIG UV LIGHT BULB WITH BALLAST</t>
  </si>
  <si>
    <t xml:space="preserve"> REQUEST FOR QUOTATION RFQ No. 2020-0364 The CITY GOVERNMENT OF CABANATUAN through its Bid and Awards Committee (BAC), will undertake Small Value Procurement for the SUPPLY AND DELIVERY OF FUEL PRODUCTS in accordance with Section 53.9 of the Revised Implem</t>
  </si>
  <si>
    <t xml:space="preserve"> Pls see attached file</t>
  </si>
  <si>
    <t xml:space="preserve"> Invitation to Bid for Installation of RoadwayLights  No. 2020-002 1. The Barangay Valle Cruz, through the Annual Budget 2020(General Fund) Approved by the Sanggunian intends to apply the sum of One Hundred Fifty Thousand Pesos  (Php150,000.00 ) being the </t>
  </si>
  <si>
    <t xml:space="preserve"> 1. 	The DepEd, Schools Division of Lipa City, through the CY 2020 Basic Educational Facilities Fund (BEFF), intends to apply the sum of Four Million Nine Hundred Eighty Six Thousand Eight Hundred Ninety Eight Pesos and 68/100 (PhP4,986,898.68) only being </t>
  </si>
  <si>
    <t xml:space="preserve"> Invitation to Bid for Construction of Drainage Canal  No. 2020-001 1. The Barangay Valle Cruz, through the Annual Budget 2020(General Fund) Approved by the Sanggunian intends to apply the sum of Three Hundred Thousand Pesos  (Php3,000.00 ) being the Appro</t>
  </si>
  <si>
    <t xml:space="preserve"> 1. 	The DepEd, Schools Division of Lipa City, through the CY 2020 Basic Educational Facilities Fund (BEFF), intends to apply the sum of Three Million Seven Hundred Seventy Two Thousand Two Hundred Sixty One Pesos and 70/100 (PhP3,772,261.70) only being th</t>
  </si>
  <si>
    <t xml:space="preserve"> Republic of the Philippnes				 PROVINCE OF APAYAO	PROVINCE OF APAYAO			 Provincial Government Center	Provincial Government Center, San Isidro Sur			 San Isidro Sur, Luna, Apayao	LUNA, APAYAO			 				 PROVINCIAL BIDS AND AWARD COMMITTEE-INFRA				 				 INVIT</t>
  </si>
  <si>
    <t xml:space="preserve"> 1. 	The DepEd, Schools Division of Lipa City, through the CY 2020 Basic Educational Facilities Fund (BEFF), intends to apply the sum of Two Million Nine Hundred Thirty Three Thousand Five Hundred Fifty Seven Pesos and 21/100 (PhP2,933,557.21) only being t</t>
  </si>
  <si>
    <t xml:space="preserve"> The local Government Unit of Bindoy through its Bids and Awards Committee intends to Purchase of Materials for the Concreting of Farm to Market Road (Barangay Salong) This purchase of Purchase of Materials for the Concreting of Farm to Market Road (Barang</t>
  </si>
  <si>
    <t xml:space="preserve"> Supply of parts &amp; repair of 1-unit bulldozer(shantoi)</t>
  </si>
  <si>
    <t xml:space="preserve"> INSTALLATION OF STREET LIGHTING SYSTEM Brgy. Bagacay, Labo, Camarines Norte Description:  Installation of 19 units Solar Street Lights (90 watts) Nature of Works: 1. Excavation  2. Installation and Erection of Post</t>
  </si>
  <si>
    <t xml:space="preserve"> Please see attached TOR</t>
  </si>
  <si>
    <t xml:space="preserve"> REQUEST FOR QUOTATION					 					 					 P.R. Number   :	2020 -  08-0683 Date              :	 Company Name	:  _____________________			 					 Address	: _________________________				 					              Please quote your price on the item/s listed below, subje</t>
  </si>
  <si>
    <t xml:space="preserve"> Supply of parts &amp; repair of 1 unit-ambulance</t>
  </si>
  <si>
    <t xml:space="preserve"> Republic of the Philippines Department of the Interior and Local Government BUREAU OF JAIL MANAGEMENT AND PENOLOGY  REGION OFFICE-VII 13B, M. Veloso Street, Brgy.Guadalupe, Cebu City Telephone:(032) 254-4747 Email: r7bacsecretatiat@gmail.com REQUEST FOR Q</t>
  </si>
  <si>
    <t xml:space="preserve"> 100 roll Absorbent Cotton 400 grams 100 bottle Alcohol 500ml, 70% 40 box Examination Gloves, large, box of 100 40 box Face masks, earloope 40 box Gauze Bondage 4x4 sterile, box of 100 42 box insulin Syringe, 100's 10 tube KY Jelly 82 grams 5 Gallon Disinf</t>
  </si>
  <si>
    <t xml:space="preserve"> 1. 	The DepEd, Schools Division of Lipa City, through the CY 2020 Basic Educational Facilities Fund (BEFF), intends to apply the sum of Nine Hundred Thirty Six Thousand Three Hundred Thirty Five Pesos and 94/100 (PhP936,335.94) only being the Approved Bud</t>
  </si>
  <si>
    <t xml:space="preserve"> INVITATION TO BID The Local Government Unit of Jasaan, Jasaan, Misamis Oriental, through the (70% of the 5% CALAMITY FUND) intends to apply the sum of Six Hundred Thirty Five Thousand Pesos and 00/100 (P635,000.00) being the Approved Budget for the Contra</t>
  </si>
  <si>
    <t xml:space="preserve"> DEADLINE OF SUBMISSION AND OPENING OF BIDS: SEPTEMBER 14, 2020, 10:00 A.M.  VENUE IS MUNICIPAL BAC SECRETARIAT OFFICE, IMBATUG, BAUNGON, BUKIDNON</t>
  </si>
  <si>
    <t xml:space="preserve"> REPAIR AND MAINTENANCE BUILDING</t>
  </si>
  <si>
    <t xml:space="preserve"> Labor and Materials for Construction of Canal along zone 1 and 3 at Malabago</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</si>
  <si>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</si>
  <si>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15.0m x 0.10m x 25.0m Concrete Pavement</t>
  </si>
  <si>
    <t xml:space="preserve"> OTHER SUPPLIES AND MATERIALS EXPENSES</t>
  </si>
  <si>
    <t xml:space="preserve"> INVITATION TO BID The Local Government Unit of Jasaan, Jasaan, Misamis Oriental, through the (70% of the 5% CALAMITY FUND) intends to apply the sum of Four Hundred Sixty Six Thousand Five Hundred Pesos and 00/100 (P466,500.00) being the Approved Budget fo</t>
  </si>
  <si>
    <t xml:space="preserve"> Please see attached Purchase Request. Kindly submit you proposal in sealed envelope, addressed to the School Principal, Mrs. Edna M. Katigbak, on or before the closing date and time of this bid notice. Please enclose the following documentary requirements</t>
  </si>
  <si>
    <t xml:space="preserve"> Various Supplies for Senior Citizen at Brgy. Banaoang,Mangaldan</t>
  </si>
  <si>
    <t xml:space="preserve"> Various Books for Prep and Nursery at Banaoang Mangaldan</t>
  </si>
  <si>
    <t xml:space="preserve"> REQUEST FOR QUOTATION RFQ No. 2020-0368 The CITY GOVERNMENT OF CABANATUAN through its Bid and Awards Committee (BAC), will  undertake Small Value Procurement for the SUPPLY AND DELIVERY OF PORTABLE HANDHELD RADIO in accordance with Section 53.9 of the Rev</t>
  </si>
  <si>
    <t xml:space="preserve"> It includes: reams, Bond Papers, A4 Size, 70 gsm, 10, 000 quantity.</t>
  </si>
  <si>
    <t xml:space="preserve"> De-clogging and Installation of cover of line canal and Widening of Road at Brgy. Del Remedio, San Pablo City.</t>
  </si>
  <si>
    <t xml:space="preserve"> PURCHASE OF PUBLIC ADDRESS</t>
  </si>
  <si>
    <t xml:space="preserve"> Pls. see attached</t>
  </si>
  <si>
    <t xml:space="preserve"> Barangay Officials Uniform for Brgy.Banaoang Mangaldan</t>
  </si>
  <si>
    <t xml:space="preserve"> Invitation to Bid for Installation of Roadwaylights  No. 2020-001 1. The Barangay Ibabao Bana, through the Annual Budget 20120General Fund) Approved by the Sanggunian intends to apply the sum of One Hundred Fifty Thousand Pesos  (Php 150,000.00 ) being th</t>
  </si>
  <si>
    <t xml:space="preserve"> Electrical Materials for Brgy.Guesang Mangaldan,Pangasinan</t>
  </si>
  <si>
    <t xml:space="preserve"> Mixed gravel for Road Maintenance at Brgy. Malabago Mangaldan</t>
  </si>
  <si>
    <t xml:space="preserve"> 1 ea submersive pump for 4'' model 25 gS15, 9 stages with 1 1/4 NTD discharge coupled to flankin submersive motor rated at 1.5 HP single phase 60Hz,230v &amp; 2 Others</t>
  </si>
  <si>
    <t xml:space="preserve"> for the implementation of School Feeding Program</t>
  </si>
  <si>
    <t xml:space="preserve"> 1 ea starter &amp; 8 Others</t>
  </si>
  <si>
    <t xml:space="preserve"> 4 pcs. 2" DI Gatevalve, Mechanical Type with 7" body length 10 pcs. 3" DI Gatevalve, Mechanical Type w/ 8" body length 10 pcs. 4" DI Gatevalve, Mechanical Type with 9" body length 4 pcs. 2" DI Sleeve Type Coupling w/ 22" body length &amp; stainless steel botl</t>
  </si>
  <si>
    <t xml:space="preserve"> INVITATION TO BID FOR THE Supplementary Feeding Program for CDC and SNP 1. The Local Government Unit of Margosatubig, Zamboanga del Sur, intends to invite bidders for Supplementary Feeding Program for CDC and SNP at Margosatubig, ZDS with an Approved Budg</t>
  </si>
  <si>
    <t xml:space="preserve"> 49 pcs Fiber cement board 1/4 x 4 x 8 &amp; 24 Others</t>
  </si>
  <si>
    <t xml:space="preserve"> 1. The Local Government Unit of Lagayan,  thru the Landbank Loan, intends to apply the sum of TEN MILLION PESOS  (PHP 10,000,000.00), being the Approved Budget for the Contract (ABC) to payments under the contract "PURCHASE OF TWO (2) UNITS EQUIPMENT". Bi</t>
  </si>
  <si>
    <t xml:space="preserve"> Reproduction of Learning Materials</t>
  </si>
  <si>
    <t xml:space="preserve"> 1. The Local Government Unit of Lagayan, thru the Landbank Loan, intends to apply the sum of THIRTY MILLION PESOS  (PHP 30,000,000.00), being the Approved Budget for the Contract (ABC) to payments under the contract "CONSTRUCTION OF LAGAYAN MULTI-PURPOSE </t>
  </si>
  <si>
    <t xml:space="preserve"> 400 vial Erythropoeitin 400iu</t>
  </si>
  <si>
    <t xml:space="preserve"> 1 mo.Occupational Safety &amp; Health Program	 92.87 sq.m. Removal of Structure and Obstruction	 47.22 cu.m. Structural Excavation 14.40 cu.m. Embankment from Borrow	 40.672 cu.m. Concrete Class A	 5039.16 kgs Reinforcing Steel	 1 ls. Formworks and Falseworks</t>
  </si>
  <si>
    <t xml:space="preserve"> INVITATION TO BID FOR THE Design and Build for Market Center Building 2 at Margosatubig, ZDS 1. The Local Government Unit of Margosatubig, Zamboanga del Sur, intends to invite bidders for Design and Build for Market Center Building 2 at Margosatubig, ZDS </t>
  </si>
  <si>
    <t xml:space="preserve"> 1.	The DepEd, Schools Division of Lipa City, through the CY 2020 Basic Educational Facilities Fund (BEFF), intends to apply the sum of Two Million Five Thousand Three Hundred Fifty Five Pesos and 46/100 only (PhP2,005,355.46) being the Approved Budget for</t>
  </si>
  <si>
    <t xml:space="preserve"> The Philippine Postal Corporation invites qualified suppliers to participate in the invitation to bid for the: QTY. UNIT DESCRIPTION / ARTICLE UNIT PRICE 1Lot Procurement for the Rental of Photocopying Services with attached (T.O.R) Terms of Reference Mus</t>
  </si>
  <si>
    <t xml:space="preserve"> Invitation to Bid for Purchase of Mini-Emergency/Rescue Vehicle Source of Fund: General Fund (Surplus) Nonrefundable fee for bid docs: Php 1,000.00</t>
  </si>
  <si>
    <t xml:space="preserve"> Construction materials and supplies..</t>
  </si>
  <si>
    <t xml:space="preserve"> See attached specs Or call 09270583966 look for norly atienza</t>
  </si>
  <si>
    <t xml:space="preserve"> Janitorial and Garbage collection Services</t>
  </si>
  <si>
    <t xml:space="preserve"> 10 unit Portable Generator &amp; 2 Others</t>
  </si>
  <si>
    <t xml:space="preserve"> Invitation to Bid for Installation of Streetlights Phase II at Poblacion, Margosatubig, ZDS Source of Fund: General Fund (Surplus) Nonrefundable fee for bid docs: Php 1,000.00</t>
  </si>
  <si>
    <t xml:space="preserve"> Repair of Education Facilities Building</t>
  </si>
  <si>
    <t xml:space="preserve"> purchase of 1-unit motorcycle w/ sidecar (kulong-kulong )..</t>
  </si>
  <si>
    <t xml:space="preserve"> Supply and Delivery of Protection Equipment and Consumables - COVID 19</t>
  </si>
  <si>
    <t xml:space="preserve"> OFFICE SUPPLIES EXPENSES</t>
  </si>
  <si>
    <t xml:space="preserve"> The Barangay Government of Tibongbong, Matanao, Davao del Sur through its Bids and Awards Committee (BAC), invites suppliers/manufacturers/distributors/contractors to apply for eligibility and to bid for the Delivery of Goods for the herein contract: Iden</t>
  </si>
  <si>
    <t xml:space="preserve"> Supply and Delivery of Office Equipment and Furnitures</t>
  </si>
  <si>
    <t xml:space="preserve"> Republic of the Philippines Bangsamoro Autonomous Region in Muslim Mindanao Provincial Government of Maguindanao BIDS AND AWARDS COMMITTEE REQUEST FOR QUOTATION The PROVINCIAL GOVERNMENT OF MAGUINDANAO – Office of the Provincial Planning &amp; Development inv</t>
  </si>
  <si>
    <t xml:space="preserve"> Pag-IBlG Fund (Fund for brevity) a government financial institution created under Republic Act 9679 with office and postal address at 145 Union Square Condominium 15th Avenue, Cubao, Quezon City needs the services of a qualified contractor who can provide</t>
  </si>
  <si>
    <t xml:space="preserve"> 4 ea Oil filter, c209 &amp; 10 Others</t>
  </si>
  <si>
    <t xml:space="preserve"> The schedules of BAC activities are as follows: BAC Activities Schedule 1.    Issuance of Eligibility Documents	                                        August 24-October 05, 2020 2.    Issuance &amp; availability of Bidding Documents	                        A</t>
  </si>
  <si>
    <t xml:space="preserve"> 1. 	The DepEd, Schools Division of Lipa City, through the CY 2020 Basic Educational Facilities Fund (BEFF), intends to apply the sum of Six Million One Hundred One Thousand Six Hundred Fifty Two Pesos and 46/100 (PhP6,101,652.46) only being the Approved B</t>
  </si>
  <si>
    <t xml:space="preserve"> Plastic Chairs 575 pcs.</t>
  </si>
  <si>
    <t xml:space="preserve"> Improvement of Multipurpose Building</t>
  </si>
  <si>
    <t xml:space="preserve"> INVITATION TO  BID # 030-2020    The Municipal Government  of Aguilar, through its Bids and Awards Committee (BAC) invites suppliers/ manufacturers/contractors to bid for the hereunder project:.    Name of the Project: PURCHASE OF VARIOUS DRUGS AND MEDICI</t>
  </si>
  <si>
    <t xml:space="preserve"> The local Government Unit of Bindoy through its Bids and Awards Committee intends to Purchase of Materials for the REHABILITATION OF MUNICIPAL BUILDING (PHASE II) This purchase of Purchase of Materials for the REHABILITATION OF MUNICIPAL BUILDING (PHASE I</t>
  </si>
  <si>
    <t xml:space="preserve"> ITEM NO.	Unit of issue	ITEM &amp;DESCRIPTION	Brand &amp; Model	QTY.		UNIT PRICE 1	pcs.	Highlighter		30		 2	pcs.	Correction Tape/ wipe out		30		 3	pcs.	Monitor Filter Glass for 17' PC Monitor, w/ strap		10		 4	pcs.	Monitor Filter Glass for 15' PC Monitor, w/ strap</t>
  </si>
  <si>
    <t xml:space="preserve"> See attached Purchase Request</t>
  </si>
  <si>
    <t xml:space="preserve"> Construction of M R F Seven Purok</t>
  </si>
  <si>
    <t xml:space="preserve"> Printing of Acitvity Sheet, Worksheet and Answer Sheet per Grade Level</t>
  </si>
  <si>
    <t xml:space="preserve"> Scope of Work: a) Floor Tiles                        b) Painting</t>
  </si>
  <si>
    <t xml:space="preserve"> Purchase of Various Office Supplies used in Printing of Modules</t>
  </si>
  <si>
    <t xml:space="preserve"> The local Government Unit of Bindoy through its Bids and Awards Committee intends to Purchase of Materials for the Construction of Calape Spillway -(Danawan) This purchase of Purchase of Materials for the Construction of Calape Spillway -(Danawan) will be</t>
  </si>
  <si>
    <t xml:space="preserve"> NEGOTIATION</t>
  </si>
  <si>
    <t xml:space="preserve"> Purchase of Gulayan Supplies for school use...</t>
  </si>
  <si>
    <t xml:space="preserve"> supply and delivery of the following: Lot 1- Catering services                 -  Php 15,000.00 	3 bilao pansit large			 	3 bilao - Spaghetti (Large)			 	6 whole - Litson Manok			 	10 packs - Roosted Pork Liempo (½ kl/pack)			 	12 bottles Softdrinks (1.5)</t>
  </si>
  <si>
    <t xml:space="preserve"> Supply and Delivery of Electronic supplies for Public Address System for SHS Interested Suppliers are requested to submit their price quotation. Listed below are the items for quotation: 1 unit Amplifier PA 500 watts with USB Port/ Bluetooth 12 sets 20" R</t>
  </si>
  <si>
    <t xml:space="preserve"> Republic of the Philippines PROVINCE OF AKLAN Municipality of Tangalan INVITATION TO BID  IMPROVEMENT OF PARKS AND PLAZA (Materials Only) Project Reference No.: SF-GOODS:2020-008-006A Approved Budget for the Contract: Php 726, 580.00 Source of Fund: 20% D</t>
  </si>
  <si>
    <t xml:space="preserve"> REQUEST FOR QUOTATION 	                                                                                                 Date:	   August 23, 2020 	                                                                                                 RFQ No.	   A</t>
  </si>
  <si>
    <t xml:space="preserve"> The Philippine Postal Corporation invites qualified suppliers to participate in the request for quotation for the: 1Lot Supply of Labor and Materials for the 25pcs. Proposed Fabrication of forms shelves and 2pcs. package storage shelves. Scope of Work: 1.</t>
  </si>
  <si>
    <t xml:space="preserve"> Purchase of various school and office suppliesof Damilag IS for the months of April to June,  2020(Secondary)</t>
  </si>
  <si>
    <t xml:space="preserve"> 19 sacks/bags - Starter 127 sack/bags - Grower 30 sacks/bags - Finisher</t>
  </si>
  <si>
    <t xml:space="preserve"> Purchase of Materials for school use...</t>
  </si>
  <si>
    <t xml:space="preserve"> Labor and Materials for repair and maintenance of municipal service vehicle (Municipal Fire Truck  E-204C) at Alfonso, Cavite</t>
  </si>
  <si>
    <t xml:space="preserve"> Construction of warehouse, Installation of Perimeter Fence, Installation of water system</t>
  </si>
  <si>
    <t xml:space="preserve"> 12	pc	"HOME PREPAID WIFI (WHITE) No installation. Just plug and surf! Connects up to 5 devices.                  The Family-Sized Prepaid Home Internet  pre-installed LTE sim, Ethernet/LAN Cable (RJ45),                   AC Power Adapter, and Home WiFi De</t>
  </si>
  <si>
    <t xml:space="preserve"> Supply and delivery of various items for repair/maintenance of Alfonso Water, Alfonso, Cavite</t>
  </si>
  <si>
    <t xml:space="preserve"> Purchase of Various Construction Suppies for the REPAIR of GULAYAN and FEEDING FENCES and REPAIR of TRANSPARENCY BOARD</t>
  </si>
  <si>
    <t xml:space="preserve"> Book Size: A4/Letter Print Color: Black &amp; White Binding:Stapled by Module Total Number of Copies: 289,864 Approved Budget for the Contract: 159,425.20 Other InformationPlease get the printed RFQ to admin Office</t>
  </si>
  <si>
    <t xml:space="preserve"> 193 bags cement 22 cu.m. gravel 11 cu.m. Sand 288 bdft Coco lumber 4 pcs RSB 12mm 3 kgs Assorted CW Nail</t>
  </si>
  <si>
    <t xml:space="preserve"> 14 pcs #26 GI Corr GI Sheet 12" 14 pcs #26 GI Corr. GI Sheet 10" 563 bdft Good lumber 170 bdft Coco lumber 4 pcs 1/4" Hardieflex fascia Board 10 pcs #26 Plain sheet 2 kgs Umbrella nail 2 kgs Hardieflex Nail 10 kgs CW Nail, Assorted 2 pcs Hacksaw blade</t>
  </si>
  <si>
    <t xml:space="preserve"> OFFICE OF THE BIDS AND AWARDS COMMITTEE (BAC) INVITATION TO BID FOR THE 20-08-645 Construction of PWS Makikilo Spring Source, Rangayen, Alamada in Brgy. Rangayen, Alamada, Cotabato 1.	The Local Government Unit of Alamada, through the LGSF-SALINTUBIG FY 20</t>
  </si>
  <si>
    <t xml:space="preserve"> The Barangay Government of Cataratan Allacapan Cagayan, through its Bids and Awards Committee (BAC) will invites interested entities to submit their bidding documents for the following details: Name of Contract: Improvement of Multi-Purpose Building Locat</t>
  </si>
  <si>
    <t xml:space="preserve"> 522 bags cement 70 cu.m. Gravel 35 cu.m. Sand 384 bdft Coco lumber 6 pcs RSB 12mm 5 kgs Assorted CW Nail</t>
  </si>
  <si>
    <t xml:space="preserve"> SEMI- EXPENDABLE COMMUNICATION EQUIPMENT</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</si>
  <si>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</si>
  <si>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Republic of the Philippines Province of Surigao del Sur MUNICIPALITY OF CANTILAN REQUEST FOR QUOTATION The Local Government Unit of Cantilan, Surigao del Sur, through its Bids and Awards Committee (BAC), will undertake a Small Value Procurement for the In</t>
  </si>
  <si>
    <t xml:space="preserve"> Supply and Delivery of office supplies to be used by different offices in LGU-, Alfonso, Cavite</t>
  </si>
  <si>
    <t xml:space="preserve"> Project Reference No.: 7187007 Solicitation No.:  ITB-132-2020 Contract No  INVITATION TO BID FOR THE SUPPLY AND DELIVERY OF  9,801 BAGS UREA (46-0-0) IN RESPONSE TO COVID-19  UNDER RICE PROGRAM CY 2020   1.	The Department of Agriculture Regional Field Of</t>
  </si>
  <si>
    <t xml:space="preserve"> Section I. Notice of Eligibility and Short Listing 09 June 2020 LIZA A. DE LOS REYES Chief Operating Officer Ground Flr. RCI Building. 105 Rada Street, Legaspi Village Makati City Contact No.: (032) 752-4969/752-4971           Dear Ms. De Los Reyes: 1.	Th</t>
  </si>
  <si>
    <t xml:space="preserve"> for reproduction of modules of the schools of Don Carlos III District</t>
  </si>
  <si>
    <t xml:space="preserve"> Purchase of 3 in 1 printers</t>
  </si>
  <si>
    <t xml:space="preserve"> ITB 2020-15 1.	The SUGAR REGULATORY ADMINISTRATION, through the SRA Corporate Operating Budget 2020 intends to apply the sum of One Million Sixty-Eight Thousand Pesos (₱1,068,000.00) being the Approved Budget for the Contract (ABC) to payments under the c</t>
  </si>
  <si>
    <t xml:space="preserve"> 20	PC	BROOM STICK WITH HANDLE 10	PC	BROOM STICK 8	PC	SOFTBROOM HD 10	PC	KAING 10	PC	MOP HEAD (CLOTH) 20	BOT	MURIATIC ACID 1L 15	BOT	DISINFECTANT SPRAY 510ML 5	BOT	DISINFECTANT SPRAY 40	PC	DEODORANT CAKE WITH HOLDER 100G 24	BOT	BLEACHING LIQUID-ORIGINAL 8	</t>
  </si>
  <si>
    <t xml:space="preserve"> INVITATION TO BID The Local Government Unit of Jasaan, Jasaan, Misamis Oriental, through the (70% of the 5% CALAMITY FUND) intends to apply the sum of One Million Two Hundred Fifty Thousand Four Hundred Pesos and 00/100 (P1,250,400.00) being the Approved </t>
  </si>
  <si>
    <t xml:space="preserve"> Purchase of Office Supplies and Consumables</t>
  </si>
  <si>
    <t xml:space="preserve"> 4	BOX	CLINDAMYCIN 150MG/ML/AMP 10'S 5	BOX	EPINEPHRINE 1MG/ML/AMP 10'S 2	BOX	HYDRALAZINE 20MG/ML/AMP 10'S 3	BOX	TETANUS TOXOID 40i.u/0.5ML/AMP.10'S 20	BOX	TRANEXAMIC ACID 5MG/ML/AMP.5'S 80	BOX	HYDROCORTISONE 100MG/ML/VIAL 10'S 8	BOX	PHYTOMENADIONE 10MG/ML/</t>
  </si>
  <si>
    <t xml:space="preserve"> Please see Request for Quotation/Bid Form attached to Associated Components.</t>
  </si>
  <si>
    <t xml:space="preserve"> Procurement of 400 pcs laminated sacks (3x3 meters) and 4000 pcs empty sacks as extension support for the participants during the conduct of Information Caravan on Air in the Province of Albay under the Rice Competitive Enhancement Fund. Above items must </t>
  </si>
  <si>
    <t xml:space="preserve"> Procurement of 400 pcs laminated sacks (3x3 meters) and 4000 pcs empty sacks as extension support for the participants during the conduct of Information Caravan on Air in the Province of Masbate under the Rice Competitive Enhancement Fund. Above items mus</t>
  </si>
  <si>
    <t xml:space="preserve"> Procurement of assorted vegetable seeds for use in the establishment of 4H Gulayan ng Kabataan and Rural Based Organizations vegetable gardens.</t>
  </si>
  <si>
    <t xml:space="preserve"> School and Office Supplies for Third Quarter Fiscal year 2020</t>
  </si>
  <si>
    <t xml:space="preserve"> Budget Php 80,000.00 Kinder to Grade VI Module Reproduction Estimated No. of copies 92,738 copies on partial A4 and partial long bond paper/ GSM 80/ Front and clear copy/monochrome</t>
  </si>
  <si>
    <t xml:space="preserve"> Purchase of Anti-rabies vaccine</t>
  </si>
  <si>
    <t xml:space="preserve"> Proposed Road Concreting Bayobo Compound, Zone 5 Sitio Matiway, San Felipe Naga City</t>
  </si>
  <si>
    <t xml:space="preserve"> UNIT                                  QUANTITY                         DESCRIPTION REAMS                                   200                               BONDPAPER, A4, S20 BOTTLES                                  12                               INK, </t>
  </si>
  <si>
    <t xml:space="preserve"> Fire Extinguishers (including installation)</t>
  </si>
  <si>
    <t xml:space="preserve"> 1. 	The DepEd, Schools Division of Lipa City, through the CY 2020 Basic Educational Facilities Fund (BEFF), intends to apply the sum of One Million Twenty  Four Thousand Two Hundred Forty Pesos and 46/100 (PhP1,024,240.46) only being the Approved Budget f</t>
  </si>
  <si>
    <t xml:space="preserve"> Bicycles, helmets, reflectorized vests and lights, bicycle rack</t>
  </si>
  <si>
    <t xml:space="preserve"> Procurement of 400 pcs laminated sacks (3x3 meters) and 4000 pcs empty sacks as extension support for the participants during the conduct of Information Caravan on Air in the Province of Sorsogon under the Rice Competitive Enhancement Fund. Above items mu</t>
  </si>
  <si>
    <t xml:space="preserve"> Supplies and Materials : disinfectant spay, disinfectant solution, gloves, face mask, protective goggles, string bags, information materials, tarpaulin, t-shirts</t>
  </si>
  <si>
    <t xml:space="preserve"> Alcohol, plastic wraps, measuring cups</t>
  </si>
  <si>
    <t xml:space="preserve"> Assorted sports supplies, materials and equipment</t>
  </si>
  <si>
    <t xml:space="preserve"> REQUEST FOR QUOTATION The Local Government Unit of General Santos City thru its Bids and Awards Committee invites interested suppliers for (2FB)N20-08-100 PURCHASE OF DIESEL AND GASOLINE FOR BFP amounting to P 222,810.00 Please visit or call Bids and Awar</t>
  </si>
  <si>
    <t xml:space="preserve"> Furnitures, Fixtures and Equipment</t>
  </si>
  <si>
    <t xml:space="preserve"> Labor and Materials for the improvement of multi-purpose hall at Barangay Mangas I, Alfonso, Cavite</t>
  </si>
  <si>
    <t xml:space="preserve"> Purchase of drugs and medicines</t>
  </si>
  <si>
    <t xml:space="preserve"> Supply and delivery of construction materials for the Installation of Street Light (Solar)</t>
  </si>
  <si>
    <t xml:space="preserve"> 10 folding beds 3 tents 12 foam 18 blankets 18 pillows</t>
  </si>
  <si>
    <t xml:space="preserve"> Office Supplies and consumables -----  90,225.00</t>
  </si>
  <si>
    <t xml:space="preserve"> REQUEST FOR QUOTATION The Local Government Unit of General Santos City thru its Bids and Awards Committee invites interested suppliers for (2FB)N20-08-099 PURCHASE OF IPMR UNIFORM amounting to P 161,000.00. Please visit or call Bids and Awards Committee o</t>
  </si>
  <si>
    <t xml:space="preserve"> Project Reference No.: 7145925 Solicitation No.:  ITB-131-2020 Contract No INVITATION TO BID FOR THE SUPPLY AND DELIVERY OF 112 HEADS CATTLE (HEIFER) UNDER LIVESTOCK PROGRAM CY 2020   1.	The Department of Agriculture Regional Field Office IVA through the </t>
  </si>
  <si>
    <t xml:space="preserve"> INDUSTRIAL TECHNOLOGY DEVELOPMENT INSTITUTE DOST Cmpd., Bicutan, Taguig City Telephone Nos. (02) 837-20-71 to 82 local 2221 E-mail Add.: itdi.admbac@gmail.com INVITATION TO BID August 22, 2020 Sir/Madam: Please quote your price for the item/items listed b</t>
  </si>
  <si>
    <t xml:space="preserve"> Republic of the Philippines Province of Quezon Municipality of Atimonan Barangay Caridad Ibaba Project Reference No: 2020 Name of the Project: Supply and Delivery of Office Supplies Location of the Project:  Barangay Caridad Ibaba, Atimonan, Quezon REQUES</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</si>
  <si>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</si>
  <si>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Flu Vaccines		643 	vial &gt;FluQuadri / 4flu strain Vaccine			 Health package		643 	pack &gt;Alcohol			 *isopropyl			 *300-330 ml			 *68-70%			 *scented			 *spray type			 &gt;Face shield			 *Direct splash protection			 *Full face shield			 *Anti-fog			 *Latex-free</t>
  </si>
  <si>
    <t xml:space="preserve"> WRIST STRAP   - customized   - color coded   - heavy duty   - Size: 5"x1/2"x1 1/2"x1/8</t>
  </si>
  <si>
    <t xml:space="preserve"> Air Purifier for DTI-7 SDD for DTI-7 Personal Wellness - COVID Protection / Prevention  Area coverage 21-30 m² AC 100-240v Triple-filter protection (PM2.5, formaldehyde, etc.) True HEPA Smart Household Filter Clean Air Delivery Rate (CADR) up to 406 m³/h </t>
  </si>
  <si>
    <t xml:space="preserve"> TERMS and CONDITIONS:			 	1. All entries must be typewritten or legibly written.		 	2. Delivery period within 15 calendar days upon receipt of the approved funded 		 	    Purchase Order (P.O.).  Administrative penalties pursuant to Sec. 69 of the Revised </t>
  </si>
  <si>
    <t xml:space="preserve"> REQUEST FOR QUOTATION Repair, Replacement and Installation of CCTV for Bustos Dam Monitoring System R3-BANE-GAA-2020-Bustos Dam CCTV-67 AUGUST 20, 2020 The National Irrigation Administration – Bulacan-Aurora-Nueva Ecija Irrigation Management Office, Tambu</t>
  </si>
  <si>
    <t xml:space="preserve"> Specifications: VIRTUAL TRAINING ON BASIC MADIATION FOR LEGAL STAFF MEMBERS: Virtual Instructor-LedTraining (10 Sessions, 90 Learners) REQUIREMENTS FOR THE SERVICE PROVIDER: 1.	Must have previous engagement with other government agencies for mediation tra</t>
  </si>
  <si>
    <t xml:space="preserve"> 1 72 PCS BALLPEN BP-S FINE  2 36 PACK BATTERY, AA 4 PCS/PACK  3 36 PACK BATTERY, AAA  4 50 REAMS BOOK PAPER SUB 24 LONG  5 36 PCS CORRECTION TAPE (HEAVY DUTY 6M)  6 10 PCS CUTTER BIG HEAVY DUTY  7 20 PCS DATA FILER BOX SLI-LONG W/SLIDE RAIL  8 30 PCS DOUB</t>
  </si>
  <si>
    <t xml:space="preserve"> Rehabilitation of open canal and others at Brgy. II-A, SPC</t>
  </si>
  <si>
    <t xml:space="preserve"> See attached specs</t>
  </si>
  <si>
    <t xml:space="preserve"> 1	Rice	50	sacks</t>
  </si>
  <si>
    <t xml:space="preserve"> 1	Coverall Suit (washable)	85	pcs</t>
  </si>
  <si>
    <t xml:space="preserve"> 1	Meals and Snacks 	1538	pax 	1 Rice, 2 Viands, Softdrink		 	AM/PM snacks</t>
  </si>
  <si>
    <t xml:space="preserve"> Please quote your lowest price inclusive of VAT on the item/s listed below, subject to the Terms and Conditions of this RFQ, and submit your quotation duly signed by your representative not later than 26 August 2020 at 306th Contracting Office, NSFA, Pana</t>
  </si>
  <si>
    <t xml:space="preserve"> 1	Meals and Snacks	1538	pax 	1 Rice, 2 Viands, Softdrink		 	AM/PM snacks</t>
  </si>
  <si>
    <t xml:space="preserve"> 1	Meals and Snacks	1538	pcs 	1 Rice, 2 Viands, Softdrink		 	AM/PM snacks</t>
  </si>
  <si>
    <t xml:space="preserve"> 1	Diesel Fuel	11,217	ltrs</t>
  </si>
  <si>
    <t xml:space="preserve"> 1	Meals and Snacks-PDC	133	pax 2	Meals and Snacks- PDC	190	pax 3	Meals and Snacks- Local Good Govrnance	190	pax 4	Meals and Snacks-Local Good Governance	190	pax 5	Meals and Snacks-Peace and Order	350	pax 6	Meals and Snacks-Peace and Order	320	pax 7	Meals </t>
  </si>
  <si>
    <t xml:space="preserve"> 1	Tire, 265 x 65 all terrain tubeless, 12 ply	4	pcs</t>
  </si>
  <si>
    <t xml:space="preserve"> 1	Carbon Paper, ordinary, black, legal	1	 box  2	Clear book, short	3	 pack  3	COMPUTER INK, refill (magenta, cryan &amp; black) T664	10	 pcs.  4	CORRECTION FLUID, water based, min 15mL.	24	 pcs.  5	CORRECTION TAPE	20	 pcs.  6	CORRECTION TAPE REFILL	55	 pcs.  </t>
  </si>
  <si>
    <t xml:space="preserve"> 1 3 CASE Sterrad Cassette Nx 5's/ case 10133  2 1 case Sterrad Chemical indicator tape 6 roll/ box 14202  3 1 box Sterrad Chemicl indicator strip 1000's/box 14100  4 1 case Cyclesyre Biological indicator 30's/ case 14324  5 1 roll Sterrad roll/ w/chem ind</t>
  </si>
  <si>
    <t xml:space="preserve"> 1	Information Advocacy	25	days 	Blocktime Program		 	1 hour, once a week</t>
  </si>
  <si>
    <t xml:space="preserve"> 1 200 REAMS BOOK PAPER, A4 SIZE, 70 g/m2, High Quality</t>
  </si>
  <si>
    <t xml:space="preserve"> Rental of: Reverse Osmosis Machine (for the period of September  2020 to February 2021 (6months)</t>
  </si>
  <si>
    <t xml:space="preserve"> Air conditioner: 1.0HP Window Type  Air conditioner: 1.5HP Window Type</t>
  </si>
  <si>
    <t xml:space="preserve"> Printer: Specifications: Multi-Function Inkjet Printer, All in One (Fax,  Print, Scan, Copy) Wireless and Duplex Printing with Ink Tank System Functions: (Fax, Print, Scan, Copy) Printer type: Inkjet Printer Product Dimension (wxdxh) 575mm x 477 x mm x 31</t>
  </si>
  <si>
    <t xml:space="preserve"> Creolina: -  Lime: (Hydrated Lime)</t>
  </si>
  <si>
    <t xml:space="preserve"> Meals and Snacks: For Day 1; Batch 1 and Batch 3  AM Snacks: Arrozcaldo with Egg, Bottled Water Lunch: Steamed Rice, Corn Soup, Fried Chicken, Fish Fillet, Jelly-O shots, Bottled Water PM Snacks: Pancit Bihon and Bread, Calamansi Juice Meals and Snacks: F</t>
  </si>
  <si>
    <t xml:space="preserve"> Broom: Soft (Tambo)  Rag (trapo): Cotton  Dust pan: -  Broom: Stick Walis Tingting  Mop head: -  Tissue Paper: (in a box)  Detergent: Powder 400g  Bleaching Agent: Original Scent 1liter  Bleaching Agent: Color Safe 900ml Lemon Scent Dishwashing Liquid: 25</t>
  </si>
  <si>
    <t xml:space="preserve"> REQUEST FOR EXPRESSION OF INTEREST (REI)   Contract ID No.  :  20CSM007 Contract Name   : Sub-Surface Exploration of the Proposed Twelve (12) Bridges: a.)	Raradangan-Macabasa Bridge, Alamada North Cotabato b.)	Bridge Component, NHW Jct. Pob. Malungon Boun</t>
  </si>
  <si>
    <t xml:space="preserve"> NOTICE OF SHORT LIST AND REQUEST FOR PROPOSALS (RFP) August 20, 2020 MC. ARWILL R. DE JESUS Managing Partner Geostrategy Consulting Services Co.  In Joint Venture with Arki Stepton Builders 11 K-4th St., Brgy. Kamuning, Quezon City SUBJECT: 20CSOC01- SOIL</t>
  </si>
  <si>
    <t xml:space="preserve"> 1	pc	Tarpaulin 300	pcs	T-shirt 1250	pcs	Face Shield 1250	pcs	Washable Face Mask  300	pcs	School Supplies Package</t>
  </si>
  <si>
    <t xml:space="preserve"> Proposed Pathwalk and RipRap Ramallosa Compound, San Felipe, Naga City</t>
  </si>
  <si>
    <t xml:space="preserve"> CONSTRUCTION OF OPEN CANAL  LOCATION: BLK 21, ILO ILO STREET CEMENT ............................ 219 BAGS WHITE SAND ..................... 11 CU. M GRAVEL ............................ 19 CU. M DSB ................................. 482 PCS TIE WIRE .......</t>
  </si>
  <si>
    <t xml:space="preserve"> "          Please quote your price(s) for the article(s) as specified in the list below for Kinawe National High School which are available in your store/establishment/company. If available, please furnish catalogue, descriptive brochures of literature ab</t>
  </si>
  <si>
    <t xml:space="preserve"> 1 6 PCS INK L-360 BK 664  2 6 PCS INK L-360 C 664  3 6 PCS INK L-360 M 664  4 6 PCS INK L-360 Y 664  5 5 PCS GLUE ALL PURPOSE WITH APPLICATOR  6 6 GAL ALCOHOL 70% ISOPROPHYL  7 4 PCS TONER MP2014AD PHOTOCOPIER  8 8 PCS RULER 12''  9 5 PCS STAPLE WIRE #35 </t>
  </si>
  <si>
    <t xml:space="preserve"> REPAINTING OF ANNEX, TRANSFORMER &amp; PUMP HOUSE BUILDING AT AGUS 4 HPP</t>
  </si>
  <si>
    <t xml:space="preserve"> Construction and Renovation of multi purpose hall at Brgy. Santiago II, SPC</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</si>
  <si>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</si>
  <si>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Surgical face masks, rice, whole chicken,tarpaulin, t-shirts</t>
  </si>
  <si>
    <t xml:space="preserve"> Procurement of various garden tools and personal protective equipment (PPE) for use during the clean and green activities of the Center.</t>
  </si>
  <si>
    <t xml:space="preserve"> Procurement of assorted sizes of polypropylene (PP) plastics for use in the distribution of starter kits to be distributed for the Urban Agriculture Gardening (A project in support to the DAs Plant, Plant, Plant Program) in the Provinces of Camarines Sur,</t>
  </si>
  <si>
    <t xml:space="preserve"> Stamp Pad: Big Blue #1 Stamp Pad Ink: Blue 60ml  Bond Paper: Long, 8.5x13  Bond Paper: Short, 8.5x11  Ballpen: Black  Envelope: Brown, Long  Envelope: Brown, Short  Paper Clip: Big  Paper Clip: Small  Pencil: #2 Marking Pen: Fine Black  Correction Tape: 1</t>
  </si>
  <si>
    <t xml:space="preserve"> Supply and Delivery of 5000 Pieces Pineapple Slips for Agricultural and Fishery Modernization Program of LGU-Coron. Please quote your lowest price on Supply and Delivery of 5000 Pieces Pineapple Slips, listed below and submit your quotation duly signed by</t>
  </si>
  <si>
    <t xml:space="preserve"> Supply and Delivery of 4000 Kilos Seaweed Seedlings for Agricultural and Fishery Modernization Program of LGU at Barangay Buenavista, Decabobo, Marcilla and Turda. Please quote your lowest price on Supply and Delivery of 4000 Kilos Seaweed Seedlings, list</t>
  </si>
  <si>
    <t xml:space="preserve"> OFFICE CUBICLE LAMINATED w/ GLASS 2-TONE: Specifications: OFFICE CUBICLE 6-SEATER Front panel 3 tone Raceway under the table (Punch hole) Warranty : 1 Year Endtrims : 468 Black Powder Coated Dimension Front Panel : W3600 X H1200 mm Dimension Glass Panel :</t>
  </si>
  <si>
    <t xml:space="preserve"> SEE ATTACHED DOCUMENTS</t>
  </si>
  <si>
    <t xml:space="preserve"> MG-PLM20-095..SUPPLY &amp; INSTALLATION OF 400KVA DIESEL GENSET AT PH ABC  : P 5,000,000.00 PLACE OF DELIVERY  : PULANGI IV HEP WAREHOUSE MARAMAG, BUKIDNON AMOUNT OF BID DOCUMENTS : P 5,000.00</t>
  </si>
  <si>
    <t xml:space="preserve"> MG-PLM20-047..TRASH RACK CLEANER, TRASH RAKE PARTS ABC  : P 4,000,000.00 PLACE OF DELIVERY  : PULANGI IV HEP WAREHOUSE MARAMAG, BUKIDNON AMOUNT OF BID DOCUMENTS : P5,000.00</t>
  </si>
  <si>
    <t xml:space="preserve"> Republic of the Philippines Bangsamoro Autonomous Region in Muslim Mindanao (BARMM) Bangsamoro Planning &amp; Development Authority BARMM Compound, Cotabato City Tel No. (064) 527-2795 - - - - - - - - - - - - - - - - - - - - - - - - - - - - - - - - - - - - - </t>
  </si>
  <si>
    <t xml:space="preserve"> MG-PLM20-152.Maint. of Transformer (Shell DB) Rehabilitation of spare 31.5 MVA Take-off Transformer ABC  : P 1,500,000.00 PLACE OF DELIVERY : PULANGI IV HEP WAREHOUSE MARAMG, BUKIDNON AMOUNT OF BID DOCUMENTS : P 3,000.00</t>
  </si>
  <si>
    <t xml:space="preserve"> Set of Learning Modules for Elementary Grade 1 - ESP, MUSIC, ARTS, PE, HEALTH (40pages each subject) Grade 2 - AP, MTB, MUSIC, ARTS, PE and HEALTH (40pages each subject) Grade 3 - SCIENCE, AP, MTB, MUSIC, ARTS, PE, HEALTH (40pages each subject) Grade 4 - </t>
  </si>
  <si>
    <t xml:space="preserve"> Reproduction or printing of module in a copy paper A4 sized</t>
  </si>
  <si>
    <t xml:space="preserve"> Tire(s): 10.00x20  Battery: 3SM  Cylinder Head Gasket: -  Valve Seal: -</t>
  </si>
  <si>
    <t xml:space="preserve"> Server: Specifications: 6FHJ5 PowerEdge R240 Intel Xeon E-2124  3.3GHz, 8M cache, 4C/4T, turbo (71W) 4 x 8GB 2666MT/s DDR4 ECC UDIMM |On-Board LOM PERC H330 RAID Controller, Adapter, Full Height 4 x 1TB 7.2K RPM SATA 6Gbps 512n 3.5in Hot-plug Hard Drive 3</t>
  </si>
  <si>
    <t xml:space="preserve"> 1	Diesel	1905	ltrs 2	XCS Gasoline	435	ltrs</t>
  </si>
  <si>
    <t xml:space="preserve"> The Barangay Government of Barangay San Agustin Silanagan Isla Verde, Batangas City intends to apply the sum of Seventy Five Thousand Pesos (P 75,000.00) broken down as follow: ITEM Brief Description SUB-ABC Lot 1 Purchase of Solar System Bids received in</t>
  </si>
  <si>
    <t xml:space="preserve"> Purchase of Various Medical and Dental Supplies</t>
  </si>
  <si>
    <t xml:space="preserve"> 42 cu.m. Item 104 32 bags cement 2 pcs 12mm0 RSB 2 pcs 16mm0 RSB 64 bdft Coco lumber 2 kgs Assorted CW Nail 2 cu.m. Sand 4 cu.m. Gravel</t>
  </si>
  <si>
    <t xml:space="preserve"> Air Freshener: Gauge #350m in length  Aquasol ER: - Alcohol: 70% Ethyl 500ml  Glass Cleaner: Big Dishwashing Liquid: 500ml  Powder Soap: -  Tissue Paper: Bathroom 2 ply  Tissue Paper: Napkins unscented  Muriatic Acid: 500ml</t>
  </si>
  <si>
    <t xml:space="preserve"> The Philippine Postal Corporation invites qualified suppliers to participate in the request for bids/quotation for the: TITLE : 1Lot Procurement for the Supply of Labor and Materials for the Proposed Relocation and Improvement of Post Master Office to wit</t>
  </si>
  <si>
    <t xml:space="preserve"> Ballpen: Assorted Colors (red, blue, green)  Ballpen: Black  Desk Pad Table: with logo seal DVD: Blank DVD RW with Case  Folder: Long Sub. 20 Folder: Short S-20  Printer Ink: Canon 704 colored  Printer Ink: Canon 704 black  Permanent Marker: Black, Blue, </t>
  </si>
  <si>
    <t xml:space="preserve"> CONSTRUCTION OF OPEN CANAL  (.20X.30X126 MTRS) PORTION OF SAMAKA SITE CEMENT .................................... 256 BAGS WHITE SAND ............................. 14 CU. M GRAVEL .................................... 28 CU. M DSB 9MM .....................</t>
  </si>
  <si>
    <t xml:space="preserve"> MG-PAT20-016..SUPPLY AND DELIVERY OF GOVERNOR OIL PUMP WITH MOTOR ABC  : P 6,400,000.00 PLACE OF DELIVERY : PULANGI IV HEP WAREHOUSE MARAMG, BUKIDNON AMOUNT OF BID DOCUMENTS : P 7,000.00</t>
  </si>
  <si>
    <t xml:space="preserve"> In Support to the School Dental Care Program</t>
  </si>
  <si>
    <t xml:space="preserve"> Purchase of Water Pump</t>
  </si>
  <si>
    <t xml:space="preserve"> 58	pcs. Disinfecting Machine UV Lamp (Table Lamp) 		Width: 14cm, Hight: 44cm 		Power: 38W 		Wavelength: 270 Nanometer</t>
  </si>
  <si>
    <t xml:space="preserve"> Other Supplies &amp; Material Expenses</t>
  </si>
  <si>
    <t xml:space="preserve"> TERMS and CONDITIONS:			 	1. All entries must be typewritten or legibly written.		 	2. Delivery period within 15 calendar days upon receipt of the approved funded 		 	    Purchase Order (P.O.).  Administrative penalties pursuant to Sec. 69 of the Revised </t>
  </si>
  <si>
    <t xml:space="preserve"> National Power Corporation INVITATION TO BID PUBLIC BIDDING 2020-0304 1.	The NATIONAL POWER CORPORATION (NPC), through       its        approved       Corporate Budget of CY 2020 intends to apply   the   sum   of (Please see schedule below) being the Appr</t>
  </si>
  <si>
    <t xml:space="preserve"> Purchase of Office Supplies</t>
  </si>
  <si>
    <t xml:space="preserve"> Various grocery items for supplementary feeding program</t>
  </si>
  <si>
    <t xml:space="preserve"> Safety Health Standard Requirement for COVID 19</t>
  </si>
  <si>
    <t xml:space="preserve"> Various materials for repair/rehabilitation</t>
  </si>
  <si>
    <t xml:space="preserve"> Concreting/Rehab. of Various Roads/Alleys</t>
  </si>
  <si>
    <t xml:space="preserve"> PLS. SEE ATTACHED PR, TOR &amp; BID DOCS FOR DETAILS</t>
  </si>
  <si>
    <t xml:space="preserve"> Various batteries</t>
  </si>
  <si>
    <t xml:space="preserve"> PLS. SEE ATTACHED PURCHASE REQUISITION, TOR &amp; BID DOCS FOR DETAILS</t>
  </si>
  <si>
    <t xml:space="preserve"> I.	SITE WORKS			 I.1	Site Layout, Excavation and Disposal		cu.m.	 75.29  I.2	Aggregate Base Course		  cu.m.	 150.00  				 II.	CONCRETE WORKS			 II.1	Portland Cement Concrete Pavement		cu.m.	 20.00  II.2	Structure Concrete, 3500psi			 II.1.1	Drainage Canal</t>
  </si>
  <si>
    <t xml:space="preserve"> Repair &amp; Maintenance of Building</t>
  </si>
  <si>
    <t xml:space="preserve"> 30 Footer, Brand New, Fiberglass</t>
  </si>
  <si>
    <t xml:space="preserve"> 3 USB Mouse &amp; 25 Others</t>
  </si>
  <si>
    <t xml:space="preserve"> Various tire sizes</t>
  </si>
  <si>
    <t xml:space="preserve"> Improvement of Road  in Brgy. San Roque,Marabut Samar</t>
  </si>
  <si>
    <t xml:space="preserve"> Const./Rehab. of Flood Control Mitigation Projects (Drainage Canals)</t>
  </si>
  <si>
    <t xml:space="preserve"> REPAIR, IMPROVEMENT OF MALE/FEMALE STUDENTS COMFORT ROOMS.</t>
  </si>
  <si>
    <t xml:space="preserve"> PRINTING OF MODULES (GRADE 7 – GRADE 10).</t>
  </si>
  <si>
    <t xml:space="preserve"> Semi-Expendable Mashinery &amp; Equipment</t>
  </si>
  <si>
    <t xml:space="preserve"> PLS. SEE ATTACHED PURCHASE REQUISITION, TERMS OF REFERENCE &amp; BID DOCS FOR DETAILS</t>
  </si>
  <si>
    <t xml:space="preserve"> Semi-Expandable Machinery &amp; Equipment-Books</t>
  </si>
  <si>
    <t xml:space="preserve"> 5 can Assorted biscuits 1.5kg and 85 Others</t>
  </si>
  <si>
    <t xml:space="preserve"> 1 piece Panel Board 2P Center Main TQD Bolt on 24 holes 6 piece Circuit Breaker 2P 30A Bolt on TQC 3 piece Kilowatthour Meter Class 200  3 piece Meter base 32 meter White 80mm2 THW 32 meter Black 80mm2 THW 4 piece Split Bolt 1 piece Pull box 4x8x8</t>
  </si>
  <si>
    <t xml:space="preserve"> Completion of the Jovellar rural health unit</t>
  </si>
  <si>
    <t xml:space="preserve"> Construction of slope protection</t>
  </si>
  <si>
    <t xml:space="preserve"> Restoration and rehabilitation of Ortega Hall</t>
  </si>
  <si>
    <t xml:space="preserve"> Rehabilitation of motor pool</t>
  </si>
  <si>
    <t xml:space="preserve"> Office Supplies and consumables</t>
  </si>
  <si>
    <t xml:space="preserve"> Invitation to Bid Republic of the Philippines Barangay Molicay  Ozamiz City Barangay Molicay, Ozamiz City invites Eligible Bidders to bid the project for Concreting of Purok 3 Pathway of Barangay Molicay, Ozamiz City with the appropriation of Php 150,000.</t>
  </si>
  <si>
    <t xml:space="preserve"> Rehabilitation of spillway</t>
  </si>
  <si>
    <t xml:space="preserve"> Labor and Materials for the connection of the Learning and Development Center Building to the Power Generator with two (2) Manholes with the following scope of work: 1. Excavation works for embedded PVC pipe 2. Layout of embedded PVC pipe 3. Construction </t>
  </si>
  <si>
    <t xml:space="preserve"> Invitation to Bid Republic of the Philippines Barangay Molicay  Ozamiz City Barangay Molicay, Ozamiz City invites Eligible Bidders to bid the project for Completion of Barangay Health Center of Barangay Molicay, Ozamiz City with the appropriation of Php 5</t>
  </si>
  <si>
    <t xml:space="preserve"> Delivery of Office Supplies, Janitorial Supplies, General Supplies, Office Equipment and Personal Protective Equipment/ Supplies</t>
  </si>
  <si>
    <t xml:space="preserve"> Republic of the Philippines MUNICIPALITY OF AGONCILLO Province of Batangas Tel. No. 043-210-2344/043-210-2117 BARANGAY SUBIC ILAYA INVITATION TO BID The LGU – Subic Ilaya, through its Bids and Awards Committee (BAC), invites suppliers/manufacturers/distri</t>
  </si>
  <si>
    <t xml:space="preserve"> Office Supplies and Consumables</t>
  </si>
  <si>
    <t xml:space="preserve"> VAN RENTALS Php250,000.00</t>
  </si>
  <si>
    <t xml:space="preserve"> Construction of mess hall</t>
  </si>
  <si>
    <t xml:space="preserve"> VAN RENTALS</t>
  </si>
  <si>
    <t xml:space="preserve"> OFFICE SUPPLIES Php300,604.00</t>
  </si>
  <si>
    <t xml:space="preserve"> The Zamboanga State College of Marine Sciences and Technology (ZSCMST), through its Bids and Awards Committee, is inviting PhilGeps registered suppliers to apply for eligibility and to submit bids for the items mentioned hereunder: B-050-2020 SUPPLY AND D</t>
  </si>
  <si>
    <t xml:space="preserve"> OFFICE OF THE BIDS AND AWARDS COMMITTEE (BAC) INVITATION TO BID FOR: 20-08-640 Meals and Snacks for the Visitors, Meetings and Other Activities of the Office of the Local Chief Executive 1.	The Local Government Unit of Alamada, through the 1011-5-02-99-03</t>
  </si>
  <si>
    <t xml:space="preserve"> MEDICAL SUPPLIES Php25,248,950.65</t>
  </si>
  <si>
    <t xml:space="preserve"> OFFICE OF THE BIDS AND AWARDS COMMITTEE (BAC) INVITATION TO BID FOR: 20-08-641 Purchase of Fuel to be used for the Office of the Municipal Mayor 1.	The Local Government Unit of Alamada, through the 1011-5-02-03-090 intends to apply the sum of             </t>
  </si>
  <si>
    <t xml:space="preserve"> Drugs and medicines  Php770,000.00</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</si>
  <si>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</si>
  <si>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Section I. Invitation to Bid Republic of the Philippines Province of Camiguin Municipality of Mahinog ITB NO. 2020-INFRA-009 Invitation to Bid for the Improvement/Rehab. of Designated Evacuation Center (Municipal Gym) 1.The Municipality of MAHINOG, intend</t>
  </si>
  <si>
    <t xml:space="preserve"> Victorias City Water District (VCWD), will undertake a Small Value Procurement for the Supply &amp; Delivery of Terraville Bridge Crossing Materials Lot 1 in accordance with Section 53.9 of the Implementing Rules and Regulations of Republic Act No. 9184. Name</t>
  </si>
  <si>
    <t xml:space="preserve"> Supply and Delivery of ICT Equipment and ICT Supplies</t>
  </si>
  <si>
    <t xml:space="preserve"> Construction of Welcome Arc</t>
  </si>
  <si>
    <t xml:space="preserve"> Reference No. PR # 20-08-1072 PRICE QUOTATION FORM (BID FORM) Sealed Bids shall be dropped in the BIDDERS BOX on or before 2:00 P.M.  August 28, 2020   placed at the office of the Chairman of the College BAC. Thereafter, the Bidder's Box shall be sealed u</t>
  </si>
  <si>
    <t xml:space="preserve"> PLS. SEE ATTACHED PR. TOR &amp; BID DOCS FOR DETAILS</t>
  </si>
  <si>
    <t xml:space="preserve"> Please quote your lowest price on Supply and Delivery of One (1) Lot Medical Supplies for MDRRM Office listed below, and submit your quotation duly signed by your authorized representative not later than 9:15AM on August 26, 2020 at the Municipal Health O</t>
  </si>
  <si>
    <t xml:space="preserve"> Republic of the Philippines            BARANGAY LANCHETA Tacurong City, Sultan Kudarat BIDS AND AWARDS COMMITTEE                                               INVITATION TO BID   				     (RE-BIDDING) 				         The Brgy. Lancheta through the Bids and A</t>
  </si>
  <si>
    <t xml:space="preserve"> Survey Equipment</t>
  </si>
  <si>
    <t xml:space="preserve"> Republic of the Philippines MUNICIPALITY OF AGONCILLO Province of Batangas Tel. No. 043-210-2344/043-210-2117 BARANGAY SUBIC IBABA INVITATION TO BID The LGU – Subic Ibaba, through its Bids and Awards Committee (BAC), invites suppliers/manufacturers/distri</t>
  </si>
  <si>
    <t xml:space="preserve"> 102	Bags	Portland Cement	 18	cu.m	Mixed Aggregates	 30	pcs	10mmoX6m RSB	 180	pcs	CHB 4'thick	 30	pcs	40x440m Floor Tiles	 1	bags	Tile Grout	 8	pcs	10ftx0.40 ga G.I Corr.Sheets	 1	klo	Umbrella  Nails	 1	lrs	Roof Sealant	 20	pcs	G.I Gutter	 16	pcs	1/4x4x8 M</t>
  </si>
  <si>
    <t xml:space="preserve"> TB-DRUGS</t>
  </si>
  <si>
    <t xml:space="preserve"> CERAMIC TOILET  BOWLS</t>
  </si>
  <si>
    <t xml:space="preserve"> FIRE EXTINGUISHER</t>
  </si>
  <si>
    <t xml:space="preserve"> INVITATION TO BID INSTALLATION OF STREET LIGHTS          The Barangay Hall of Barangay Guindapunan Culaba, Biliran, through the Budget for the Contract Approved by the respective Sanggunian of 2019 intends to apply the sum of One Hundred Thousand Pesos (P</t>
  </si>
  <si>
    <t xml:space="preserve"> IT SUPPLIES Php2,117,500.00</t>
  </si>
  <si>
    <t xml:space="preserve"> MEDICAL EQUIPMENT Php 1,850,000.00</t>
  </si>
  <si>
    <t xml:space="preserve"> Republic of the Philippines            BARANGAY LANCHETA                                                         Tacurong City, Sultan Kudarat BIDS AND AWARDS COMMITTEE                             INVITATION TO BID   				     (RE-BIDDNG)         The Brgy.</t>
  </si>
  <si>
    <t xml:space="preserve"> REQUEST FOR QUOTATION (RFQ)  SUPPLY, DELIVERY AND INSTALLATION AND REPLACEMENT OF PARTS FOR ION CHROMATOGRAPHS (S/N: 20146, 02148 UNDER EMB-ERLSD-ELSS-ECMU RFQ NO. EMB-SVP-ERLSD-ECMU ION CHROMATOGRAPH PM 2020-0629  	 1.	The Department of Environment and N</t>
  </si>
  <si>
    <t xml:space="preserve"> Construction of Slope Protection</t>
  </si>
  <si>
    <t xml:space="preserve"> Republic of the Philippines Province of Oriental Mindoro Municipality of Bulalacao Invitation to Bid for   CONSTRUCTION OF 60M x 60M COMMUNITY HOSPITAL WITH SITE DEVELOPMENT            July 17, 2020 1.	The Municipality of Bulalacao, through the DOH - HFEP</t>
  </si>
  <si>
    <t xml:space="preserve"> MID-RANGE SERVER (RAID-TYPE) (TOWER SERVER) (i-HOMIS)</t>
  </si>
  <si>
    <t xml:space="preserve"> PLS. SEE ATTACHED PR, TOR &amp; BID DOCS FOR DETAILS.</t>
  </si>
  <si>
    <t xml:space="preserve"> DISTRIBUTION OF HYGIENE KIT</t>
  </si>
  <si>
    <t xml:space="preserve"> 1 UNIT ROAD GRADER@1DAY 1 UNIT ROAD ROLLER @ 2 DAYS 124 CU.M SELECTED COMMON BORROW/CLAY 5 LOADS MIXED AGGREGATES</t>
  </si>
  <si>
    <t xml:space="preserve"> Kindly see attached bidding documents</t>
  </si>
  <si>
    <t xml:space="preserve"> PURCHASE OF SOLAR STREET LIGHT</t>
  </si>
  <si>
    <t xml:space="preserve"> Please see attachment.</t>
  </si>
  <si>
    <t xml:space="preserve"> The Barangay Daanlungsod, Toledo City, through its Bids and Awards Committee (BAC), invites suppliers/manufacturers/distributors/contractors to apply for eligibility and to bid for the hereunder; Name of Project: Proposed Construction of MOTORPOOL SHED   </t>
  </si>
  <si>
    <t xml:space="preserve"> PURCHASE OF ELECTRONIC BILLBOARD</t>
  </si>
  <si>
    <t xml:space="preserve"> MEDICAL EQUIPMENT SGH (RE-BID)</t>
  </si>
  <si>
    <t xml:space="preserve"> Drugs &amp; Medicine Expenses</t>
  </si>
  <si>
    <t xml:space="preserve"> ZERO WASTE MANAGEMENT</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</si>
  <si>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</si>
  <si>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PURCHASE OF OFFICE SUPPLIES</t>
  </si>
  <si>
    <t xml:space="preserve"> LGU-Tagumpay, Gabaldon, Nueva Ecija				     Contract reference number:  							     Name of the Contract: Purchase of Construction Materials Standard Form Number: SF-GOOD-05				     Location of the Contract: Brgy.Tagumpay, Gabaldon, Nueva Ecija Revised on</t>
  </si>
  <si>
    <t xml:space="preserve"> MASS FEEDING</t>
  </si>
  <si>
    <t xml:space="preserve"> ITEM NO.	UNIT		QTY		DESCRIPTION		 							 					 LIFESTYLE RELATED DISEASE PREVENTION AND CONTROL 		 					  PROGRAM 		 					 MANAGEMENT AND TREATMENT 		 58	 100's box 		105		 Losartan 50mg tab 		 59	 100's box 		105		 Amplodipine 5mg tab 		 60	 100's box 	</t>
  </si>
  <si>
    <t xml:space="preserve"> PROVIDES MEDICINE, MEDICAL ASSISTANCE TO INDIGENT FAMILY</t>
  </si>
  <si>
    <t xml:space="preserve"> OFFICE SUPPLIES &amp; EQUIPMENT</t>
  </si>
  <si>
    <t xml:space="preserve"> DISTRIBUTION OF VITAMINS</t>
  </si>
  <si>
    <t xml:space="preserve"> FP MEDICAL SUPPLIES</t>
  </si>
  <si>
    <t xml:space="preserve"> REQUEST FOR QUOTATION For Negotiated Procurement thru Small Value Procurement under Sec. 53.9 of the 2016 Revised IRR of RA 9184 Quotation No.:  2020-08-302 Date: August 21, 2020 PR No.: 20-02-085 (i. 1-13) PR Date: February 7, 2020 The Metropolitan Tugue</t>
  </si>
  <si>
    <t xml:space="preserve"> ITEM	ITEM  DESCRIPTION	QTY	UNIT NO.			 1	Portland Cement	250	bags 2	CHB 4"	1500	pcs. 3	Graded Gravel 3/4" dia	12	cu.m 4	Washed Sand	24	cu.m 5	RSB deformed 10mm dia x 6m	102	pcs.</t>
  </si>
  <si>
    <t xml:space="preserve"> PLS. SEE ATTACHED PR, TOR, &amp; BID DOCS FOR DETAILS.</t>
  </si>
  <si>
    <t xml:space="preserve"> Republic of the Philippines Province of Iloilo Municipality of Lambunao  Brgy. Pungsod Barangay Office of the Bids &amp; Awards Committee INVITATION TO BID Name of Project: Road Concreting (One Job) Location: Brgy. Pungsod, Lambunao, Iloilo ABC: Php 832,521.2</t>
  </si>
  <si>
    <t xml:space="preserve"> OTHER SUPPLIES &amp; MATERIALS</t>
  </si>
  <si>
    <t xml:space="preserve"> Name of the Procuring Entity LOCAL GOVERNMENT UNIT  Mahinog, Camiguin	Project Reference Number: 2020-GOODS-101 Name of Project: Supply &amp; Delivery of Construction Materials for Construction of Commemorative Mark Location of the Project:Mahinog, Camiguin 	 </t>
  </si>
  <si>
    <t xml:space="preserve"> Bondpaper A4 70 gsm 800 reams</t>
  </si>
  <si>
    <t xml:space="preserve"> DRUGS AND MEDICINES</t>
  </si>
  <si>
    <t xml:space="preserve"> Prospective bidders should have completed a similar contract with a value of at least 50% of the ABC. The BAC will use non-discretionary pass/fail criteria in the eligibility check/screening as well as the preliminary examination of bids. The BAC will con</t>
  </si>
  <si>
    <t xml:space="preserve"> Procurement of  4 unit tent 2×3 24,920 Chair monoblock 100 pcs@ 603 Table 10 pcs@ 4002</t>
  </si>
  <si>
    <t xml:space="preserve"> Name of the Procuring Entity LOCAL GOVERNMENT UNIT  Mahinog, Camiguin	Project Reference Number: 2020-GOODS-100 Name of Project: Supply &amp; Delivery of Construction Materials for Repair and Renovation of BAC Office Location of the Project:Mahinog, Camiguin 	</t>
  </si>
  <si>
    <t xml:space="preserve"> EVACUATION OF OPEN LINE CANAL      RENTALS:                          1 UNIT BACKHOE (4) DAYS      MATERIALS:                         8 PCS 18" RC PIPE                         3 CU. M RIVER SAND                         13 BAGS PORTLAND CEMENT</t>
  </si>
  <si>
    <t xml:space="preserve"> REQUEST FOR QUOTATION (RFQ)  SUPPLY AND DELIVERY OF COMPUTER SUPPLIES FOR ORGANICS LABORATORY UNIT  RFQ NO. EMB-ERLSD-ELSS-SHOPPING-0036-7-22-2020   1.	The Department of Environment and Natural Resources – Environmental Management Bureau (DENR-EMB) herein</t>
  </si>
  <si>
    <t xml:space="preserve"> DISTRIBUTION OF VITAMINS 1ST TO 3RD QUARTER</t>
  </si>
  <si>
    <t xml:space="preserve"> Section I. Invitation to Bid Republic of the Philippines Province of Camiguin Municipality of Mahinog ITB NO. 2020-INFRA-010 Invitation to Bid for the Concreting of Municipal Roads in Barangay Poblacion (Portion of Castanares) 1.The Municipality of MAHINO</t>
  </si>
  <si>
    <t xml:space="preserve"> REQUEST FOR EXPRESSION OF INTEREST (EOI)   PROCUREMENT OF CONSULTING SERVICES FOR THE IMPLEMENTATION OF THE PERFORMANCE GOVERNANCE SYSTEM (PGS) AND ATTAINMENT OF PGS INITIATION AND COMPLIANCE STAGES FOR THE CITY GOVERNMENT OF BAGUIO  1. The City Human Res</t>
  </si>
  <si>
    <t xml:space="preserve"> PURCHASE OF STREET SIGN &amp; STREET POLE</t>
  </si>
  <si>
    <t xml:space="preserve"> PLS. SEE ATTACHED PR, TOR, BID DOCS FOR DETAILS.</t>
  </si>
  <si>
    <t xml:space="preserve"> see attached Purchase Request</t>
  </si>
  <si>
    <t xml:space="preserve"> Please see attached bid docs...</t>
  </si>
  <si>
    <t xml:space="preserve"> Name of the Procuring Entity LOCAL GOVERNMENT UNIT  Mahinog, Camiguin	Project Reference Number: 2020-GOODS-102 Name of Project: Supply &amp; Delivery of Equipment and Gadgets for  a Coastal Law Enforcement Action Network (ACLEAN) Location of the Project:Mahin</t>
  </si>
  <si>
    <t xml:space="preserve"> toner  (TK-8529K)  toner  (TK-8529Y)  toner  (TK-8529M)  toner  (TK-8529C)  toner (TN516)</t>
  </si>
  <si>
    <t xml:space="preserve"> Concreting of Parking  Lot/Area and Driveway Barangay Limao, Calauan, Laguna</t>
  </si>
  <si>
    <t xml:space="preserve"> REQUEST FOR QUOTATION (RFQ) 	The PHILIPPINE PORTS AUTHORITY- SURIGAO PORTS SERVICES, PMO-Surigao, through its Bids and Awards Committee (BAC), hereby notifies entities duly registered with the Philippine Government Electronic Procurement System (PhilGEPS)</t>
  </si>
  <si>
    <t xml:space="preserve"> ITEM	   QTY.	    UNIT	      COMMODITY &amp; DESCRIPTION		UNIT PRICE	AMOUNT 1	   345   	    copy	         Modules Kindergarten		            0.60                 207.00  2	  1704	    copy	         Modules Grade I				    0.60 	         1,022.40  3	  3276   	    </t>
  </si>
  <si>
    <t xml:space="preserve"> Procurement of Drainage Cover 20 pcs @ 5000 per pc.</t>
  </si>
  <si>
    <t xml:space="preserve"> The Barangay Daanlungsod, Toledo City, through its Bids and Awards Committee (BAC), invites suppliers/manufacturers/distributors/contractors to apply for eligibility and to bid for the hereunder; Name of Project: Proposed Road Concreting at Mahayahay, Daa</t>
  </si>
  <si>
    <t xml:space="preserve"> Concrete Works, Masonry Works, Steel Works and Roofing Work System  Portand Cement	269.00	 bags  Fresh Water Sand	14.95	 cu.m  Fresh Gravel Sand	22.90	 cu.m  #16 mm Ǿ RSB	900.03	 kgs  # 16 tie Wire	29.50	 kgs  Hacksaw Blade	12.00	 kgs  10mm Ǿ RSB	990.53	 </t>
  </si>
  <si>
    <t xml:space="preserve"> RENTAL OF WINGED VAN TRUCK &amp; HAULING RENTAL</t>
  </si>
  <si>
    <t xml:space="preserve"> REPUBLIC OF THE PHILIPPINES PROVINCE OF BATAAN MUNICIPALITY OF MARIVELES BARANGAY ALASASIN INVITATION TO APPLY FOR ELIGIBILITY AND TO BID The Barangay of Alasasin, through the General Fund Approved by the Sangguniang Barangay CY 2020 intends to apply the </t>
  </si>
  <si>
    <t xml:space="preserve"> 1 LOT –  OMS  of Facilities – BSP Dumaguete (Supply of labor, tools and materials for the Operation and Basic Maintenance Servicing (OBMS) of the Electro-Mechanical System of the BSP Dumaguete Branch as per BSP Terms of Reference                          </t>
  </si>
  <si>
    <t xml:space="preserve"> ITEM	QTY.	       UNIT	    COMMODITY &amp; DESCRIPTION	    UNIT PRICE	AMOUNT 1	8,034	copy  	Modules Grade 7			0.60 	         4,820.40  2	10, 710	copy 	Modules Grade 8			0.60 	         6,426.00  3	9, 510	copy 	Modules Grade 9			0.60 	         5,706.00  4	7,464	</t>
  </si>
  <si>
    <t xml:space="preserve"> Furnishing of Materials for Repair and Improvement of Barangay Stage</t>
  </si>
  <si>
    <t xml:space="preserve"> Name of the Procuring Entity LOCAL GOVERNMENT UNIT  Mahinog, Camiguin	Project Reference Number: 2020-GOODS-103 Name of Project: Supply &amp; Delivery of IT Equipment  Location of the Project:Mahinog, Camiguin 	 Standard Form Number: SF-GOOD-05 Revised on: Jul</t>
  </si>
  <si>
    <t xml:space="preserve"> CONSTRUCTION OF 105 L.M X 4m. X 4m. DRAINAGE SYSTEM 1,050 pcs. CHB 4'' 140 bags Portland cement 20 cu.m washed sand 10 cu.m washed gravel 160 pcs. 10mm dia. x 6.0m RSB 4 pcs. 1/4'' thk. Ord. Plywood 15 pcs. 2''x2''x12' form lumber 4 pcs. Hacksaw Blade 4 k</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</si>
  <si>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</si>
  <si>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6 box long bondpaer 6 box short bondpaper 4 printer inks 30 ballpens 6 signpens 2 scissors 1 staepler big 1 box staepler wire (big) 100 folders 5 white board pen</t>
  </si>
  <si>
    <t xml:space="preserve"> REHABILITATION OF 18 METERS STONE RIPRAP WITH CONCRETE FACING (ALONG PUROK 3) A. STONE RIPRAP 50 bags Portland cement  4 cu.m washed sand 16 cu.m Boulders B. RUBBLE CONCRETE &amp; FACING 40 bags Portland cement 4.0 cu.m washed sand 4.0 cu.m washed gravel 40 p</t>
  </si>
  <si>
    <t xml:space="preserve"> 10 pcs. 10watts LED Light - ( Php220) - Php33,000.00 2 Rolls Drop Wire - (Php10,000.00) - Php20,000.00 5 Boxes PDX Wire # 12 - (Php3,300.00) - Php16,500.00 100 pcs. Lamp Holder/Shade - (Php500.00) - Php50,000.00 100 pcs. Rubber Socket - (Php65.00) - Php6,</t>
  </si>
  <si>
    <t xml:space="preserve"> See attached purchase Request</t>
  </si>
  <si>
    <t xml:space="preserve"> CONSTRUCTION OF 85 L.M X 4m X 4m DRAINAGE SYSTEM 95 pcs. CHB 4'' 95 bags Portland cement 12 cu.m washed sand 8 cu.m washed gravel 120 pcs. 10mm dia. X 6.0m RSB 2 pcs. 1/4'' thk. Ord. Plywood 8 pcs. 2''x2''x12' form lumber 2 pcs. Hacksaw Blade  4 Kls. cw n</t>
  </si>
  <si>
    <t xml:space="preserve"> Purchase of office supplies for use of LGU's various offices</t>
  </si>
  <si>
    <t xml:space="preserve"> Fabrication of Movable Stage Fabrication of stage Flatform ( 15 Flatform) Fabrication of H Frame Scaffolds ( 15pcs) Fabrication of Cross BraceW/ Screw Jack &amp; Base Plate Total Project Cost: 129,800.00</t>
  </si>
  <si>
    <t xml:space="preserve"> DESCRIPTION Republic of the Philippines Province of Oriental Mindoro MUNICIPALITY OF NAUJAN SANGGUNIANG KABATAAN NG BARANGAY MALVAR BIDS AND AWARDS COMMITTEE INVITATION TO BID SUPPLY AND DELIVERY OF PERSONAL ANTI-VIRUS MATERIALS AND HYGIENE KITS TO BE DIS</t>
  </si>
  <si>
    <t xml:space="preserve"> INVITATION TO BID (ITB)  Procuring Entity : BARANGAY LOCAL GOVERNMENT UNIT BARANGAY QUIONG, LA PAZ, LEYTE Title of Project : ROAD CONCRETING  Approved Budget of the Contract (AB) : Php 115,000.00 Area of Delivery : BARANGAY QUIONG, LA PAZ, LEYTE  Descript</t>
  </si>
  <si>
    <t xml:space="preserve"> Section I. Invitation to Bid Republic of the Philippines Province of Camiguin Municipality of Mahinog ITB NO. 2020-INFRA-012 Invitation to Bid for the Preparation of Municipal Roads in Barangay Poblacion (Portion of Road II Extension) 1.The Municipality o</t>
  </si>
  <si>
    <t xml:space="preserve"> Republic of the Philippines Province of Cagayan Municipality of Sta. Teresita BARANGAY MASI INVITATION TO BID FOR THE SUPPLY AND DELIVERY OF MATERIALS AND LABOR FOR THE IMPROVEMENT OF MULTI-PURPOSE HALL ITB No. MASI005-2020 The LGU MASI, Sta. Teresita, Ca</t>
  </si>
  <si>
    <t xml:space="preserve"> CONCRETING OF 93 I.m x 4.0m x 0.15m thk PCCP 447 bags Portland cement 56 cu.m. washed gravel 28 cu.m. washed sand 18 pcs. 2''x6''x12' form lumber 10 pcs. 12mm dia. x 6.0m RSB 45 pcs. 12mm dia. spikes 3 kls. ass. cw nail</t>
  </si>
  <si>
    <t xml:space="preserve"> CONRETING OF 1.0M thk. x1.0m width x 60m length pathway 199 bags Portland cement 14 cu.m washed sand 7 cu.m washed gravel 32 pcs. 12mm dia. spikes 12 pcs. 2''x4''x12' form lumber 3 kls. ass. cw nail</t>
  </si>
  <si>
    <t xml:space="preserve"> INSTALLATION OF FLOOR TILES, PARTITION, DOORS &amp; PAINTING 140 pcs 60cm x 60 cm floor tiles 20 bags Portland cement 4 cu.m. washed cement 6 bags tile adhesive 2 pack ABC Grout 10 pcs. 1/4'' thk. Marine plywood 2 set 0.8m x 2.10m panel door w jamb 18 pcs. 2'</t>
  </si>
  <si>
    <t xml:space="preserve"> Section I. Invitation to Bid Republic of the Philippines Province of Camiguin Municipality of Mahinog ITB NO. 2020-INFRA-011 Invitation to Bid for the Concreting of Municipal Roads in Barangay Poblacion (Portion of Quezon Street) 1.The Municipality of MAH</t>
  </si>
  <si>
    <t xml:space="preserve"> Republic of the Philippines Province of Iloilo Municipality of Lambunao Brgy.  Pandan Barangay Office of the Bids &amp; Awards Committee INVITATION TO BID Name of Project: Purchase of Materials for the Concreting of Farm to Market Road (Continuation) Location</t>
  </si>
  <si>
    <t xml:space="preserve"> Republic of the Philippines PROVINCE OF ZAMBOANGA DEL SUR Municipality of Dumalinao Barangay Mecolong BIDS AND AWARDS COMMITTEE INVITATION TO APPLY FOR ELIGIBILITY AND TO BID The Barangay Local Government Unit of Mecolong, Dumalinao, Zamboanga del Sur, th</t>
  </si>
  <si>
    <t xml:space="preserve"> Republic of the Philippines Province of Albay Muncipality of Bacacay INVITATION TO BID FOR THE SUPPLY AND DELIVERY OF MINI DUMP TRUCK 1.	The Municipality of Bacacay, Albay, through the General Fund  intends to apply the sum of Three Million Pesos being th</t>
  </si>
  <si>
    <t xml:space="preserve"> 3	Unit	Laptop Computer				 		Processor				 		a. CPU Architecture Technology: Processor model should at least be the latest release				 		b. Base Speed Frequency: ≥ 1.8 Ghz, up to 4 Ghzc.				 		c. Cores: ≥ 4 Cores				 		d. Cache: ≥ 8MB Smart Cache				 		Op</t>
  </si>
  <si>
    <t xml:space="preserve"> REQUEST FOR QUOTATION (RFQ) SUPPLY AND DELIVERY OF BOD INCUBATOR UNDER EMB-ERLSD-ELSS-INORGANICS LABORATORY RFQ NO. 2020-0479-EMB-S-ERLSD-ELSS BOD INCUBATOR (3rd)   1.	The Department of Environment and Natural Resources – Environmental Management Bureau (</t>
  </si>
  <si>
    <t xml:space="preserve"> REQUEST FOR QUOTATION (RFQ)  SUPPLY, DELIVERY AND INSTALLATION OF ECD DETECTORS FOR GAS CHROMATOGRAPH (S/N:C11804700447) UNDER EMB-ERLSD-ELSS-ECMU RFQ NO. 2020-0648-EMB-SVP-ERLSD-ECMU ECD DETECTORS SDI   1.	The Department of Environment and Natural Resour</t>
  </si>
  <si>
    <t xml:space="preserve"> REQUEST FOR QUOTATION (RFQ) SUPPLY AND DELIVERY OF LABORATORY METAL STANDARDS UNDER EMBERLSD-ELSS-INORGANICS LABORATORY UNIT  RFQ NO. 2020-0675-EMB-S-ERLSD-ELSS METAL STANDARDS 1.	The Department of Environment and Natural Resources – Environmental Managem</t>
  </si>
  <si>
    <t xml:space="preserve"> Republic of the Philippines Province of Ilocos Norte MUNICIPALITY OF CURRIMAO INVITATION TO BID FOR THE  PURCHASE OF IT EQUIPMENTS 1.	The [MUNICIPALITY OF CURRIMAO], through the LGU Fund intends to apply the sum of  [Four Hundred Sixty Two Thousand Pesos </t>
  </si>
  <si>
    <t xml:space="preserve"> Please see attached Request for Quotation form.</t>
  </si>
  <si>
    <t xml:space="preserve"> REQUEST FOR QUOTATION (RFQ) SUPPLY AND DELIVERY OF LABORATORY CONSUMABLES UNDER EMB-ERLSD-ENVIRONMENTAL LABORATORY SERVICES SECTION (ELSS) INORGANICS LABORATORY UNIT RFQ NO. 2020-0531-EMB-S-ERLSD-ELSS LABORATORY CONSUMABLES (4th) 1.	The Department of Envi</t>
  </si>
  <si>
    <t xml:space="preserve"> CONCRETING OF 0.15m thk. x 4.0m x32. I.m. BARANGAY ROAD 154 bags Portland cement 20 cu.m. washed gravel 10 cu.m washed sand 10 pcs. 2''x6''x12' form lumber 3 pcs. 10mm dia. x 6.0m RSB 15 pcs. 12mm dia. Spikes 2 kls. ass. cw nail</t>
  </si>
  <si>
    <t xml:space="preserve"> REQUEST FOR QUOTATION (RFQ)  PREVENTIVE MAINTENANCE AND CALIBRATION SERVICES OF ONE (1) WATER PURIFICATION SYSTEM (SMART-N-SERIES) (S/N:19050328N30VF) WITH SUPPLY, DELIVERY AND INSTALLATION OF CONSUMABLES  UNDER EMB-ERLSD-ECMU RFQ NO. 2020-0475-EMB-SVP-ER</t>
  </si>
  <si>
    <t xml:space="preserve"> REQUEST FOR QUOTATION The Local Government Unit of Barangay Sicul, through its Supplemental Fund, will undertake a Negotiated Procurement – Small Value Procurement for the “Supply and Delivery of IT Equipment and Software,” in accordance with Section 53.9</t>
  </si>
  <si>
    <t xml:space="preserve"> REQUEST FOR QUOTATION (RFQ)  PREVENTIVE MAINTENANCE OF ONE (1) LOT AUTOMATED DIOXIN CLEANUP SYSTEM (S/N:401059) WITH SUPPLY, DELIVERY AND INSTALLATION OF SPARE PART(S) UNDER EMB-ERLSD-ECMU RFQ NO. EMB-SVP-ERLSD-ECMU ADCS PM 2020-0466(3rd)   1.	The Departm</t>
  </si>
  <si>
    <t xml:space="preserve"> REQUEST FOR QUOTATION (RFQ)  PREVENTIVE MAINTENANCE AND CALIBRATION MERCURY ANALYZER, ANALYTIC JENA AG (S/N:K170A0158) WITH SUPPLY, DELIVERY AND INSTALLATION OF SPAREPARTS UNDER EMB-ERLSD-ECMU RFQ NO. 2020-0502-EMB-SVP-ERLSD-ECMU ANALYTIC JENA PM(2nd)  1.</t>
  </si>
  <si>
    <t xml:space="preserve"> Item no. Qty. Unit of Issue  Item Description 1            1         unit            Duplicating Machine                                               High-speed 130 ppm printing                                               300x600 dpi                   </t>
  </si>
  <si>
    <t xml:space="preserve"> Republic of the Philippines Province of Cagayan Municipality of Sta. Teresita BARANGAY SIMPATUYO INVITATION TO BID FOR THE SUPPLY AND DELIVERY OF MATERIALS AND LABOR FOR THE R/M OF MULTI-PURPOSE CENTER PHASE III ITB No. BSS-002-2020 The LGU SIMPATUYO, Sta</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</si>
  <si>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</si>
  <si>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Republic of the Philippines Province of Cagayan Municipality of Sta. Teresita BARANGAY CANIUGAN INVITATION TO BID FOR THE SUPPLY AND DELIVERY OF MATERIALS AND LABOR FOR THE CONTINUATION OF ROAD CONCRETING AT BARANGAY CANIUGAN ITB No. CW-001-2020 The LGU C</t>
  </si>
  <si>
    <t xml:space="preserve"> REQUEST FOR QUOTATION (RFQ)  SUPPLY AND DELIVERY OF LABORATORY CONSUMABLES UNDER EMB-ERLSD-ENVIRONMENTAL LABORATORY SERVICES SECTION (ELSS) INORGANICS LABORATORY UNIT  RFQ NO. EMB-S-ERLSD-ELSS LABORATORY CONSUMABLES 2020-0538(4th) 1.	The Department of Env</t>
  </si>
  <si>
    <t xml:space="preserve"> INDUSTRIAL TECHNOLOGY DEVELOPMENT INSTITUTE DOST Cmpd., Bicutan, Taguig City Telephone Nos. (02) 837-20-71 to 82 local 2221 E-mail Add.: itdi.admbac@gmail.com INVITATION TO BID August 21, 2020 Sir/Madam: Please quote your price for the item/items listed b</t>
  </si>
  <si>
    <t xml:space="preserve"> INVITATION TO BID PRINTING AND DELIVERY OF NIA WALL AND TABLE CALENDAR FOR CY 2021  ITB NO. BS-008-2020 1.	The National Irrigation Administration (NIA), through the Corporate Operating Budget (COB) for FY 2020 intends to apply the sum of Three Million Fif</t>
  </si>
  <si>
    <t xml:space="preserve"> Local Government Unit of Cordon Invitation to Bid for LAND DEVELOPMENT AND HOUSE CONSTRUCTION CORDON IP HOUSING PROJECT AT BARANGAY WIGAN, CORDON, ISABELA 1.	The Local Government Unit of Cordon, through the National Housing Authority (NHA) intends to appl</t>
  </si>
  <si>
    <t xml:space="preserve"> Republic of the Philippines PROVINCE OF AGUSAN DEL SUR Municipality of Sta. Josefa OFFICE OF THE BIDS AND AWARDS COMMITTEE REQUEST FOR QUOTATION Price Quotation No. SJADS SVP: 2020-27 The Local Government Unit, Sta. Josefa, Agusan del Sur, through its Bid</t>
  </si>
  <si>
    <t xml:space="preserve"> 150 PCS.     T-SHIRT 2     PCS.     TARPAULINE 5     PCS.     TROPHY 200  PACKS  FOOD PACKS</t>
  </si>
  <si>
    <t xml:space="preserve"> Republic of the Philippines Province of Cagayan Municipality of Sta. Teresita BARANGAY SIMPATUYO INVITATION TO BID FOR THE SUPPLY AND DELIVERY OF MATERIALS AND LABOR FOR THE R/M OF MULTI-PURPOSE CENTER PHASE V ITB No. BSS-001-2020 The LGU SIMPATUYO, Sta. </t>
  </si>
  <si>
    <t xml:space="preserve"> JOSE B. LINGAD MEMORIAL REGIONAL HOSPITAL City of San Fernando, Pampanga Tel. No. (045) 961-3921 Date: August 21, 2020 No. 2020 – 08 - 262-S REQUEST FOR QUOTATION (Name of Agency) (Address) Sir/Madam: Please quote your lowest price on the item/s listed be</t>
  </si>
  <si>
    <t xml:space="preserve"> Republic of the Philippines CITY GOVERNMENT OF SAN FERNANDO Barangay Puspus - SK Email: brgy_puspus_csf@yahoo.com.ph INVITATION TO BID FOR  Construction of E-Library and Teen Center Barangay Puspus, City of San Fernando 1.	The Barangay Puspus-SK, through </t>
  </si>
  <si>
    <t xml:space="preserve"> REQUEST FOR QUOTATION (RFQ) SUPPLY AND DELIVERY OF DIGITAL BAROMETER UNDER EMB-ERLSD-ENVIRONMENTAL LABORATORY SERVICES SECTION (ELSS)-ECMU RFQ NO. 2020-0673-EMB-S-ERLSD-ELSS DIGITAL BAROMETER 1.	The Department of Environment and Natural Resources – Enviro</t>
  </si>
  <si>
    <t xml:space="preserve"> RFQ&gt;&gt;&gt; Reproduction of Learners Modules | Quezon Hill NHS | ABC=P156,600.00 208,800 pcs -learners modules (module 1 week 1) a4, 80 gsm back to back</t>
  </si>
  <si>
    <t xml:space="preserve"> Procurement of Supplies MOOE Subsidy for LIGURON ES</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</si>
  <si>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</si>
  <si>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5 PCS.    TROPHY 100 PCS. T-SHIRT 55 PCS.   FOOD PACKS</t>
  </si>
  <si>
    <t xml:space="preserve"> CONSTRUCTION OF DRAINAGE CANAL ALONG PUROK BOUGAINVILLA @ Barangay Magugpo North, Tagum City Project Description: 17.00 In.m (approx.)</t>
  </si>
  <si>
    <t xml:space="preserve"> 1.	Supply and Delivery of 12,844 bags Hybrid Rice Seeds TOTAL ABC: 62,507,200.00  Line item 1: Supply and delivery of 2,141 bags NSIC RC 314H Hybrid Rice Seeds ABC: 10,705,000.00 Specifications: -	Packed at 15kg/bag for Private Hybrid -	With minimum 90% g</t>
  </si>
  <si>
    <t xml:space="preserve"> Republic of the Philippines PROVINCE OF AGUSAN DEL SUR Municipality of Sta. Josefa OFFICE OF THE BIDS AND AWARDS COMMITTEE REQUEST FOR QUOTATION Price Quotation No. SJADS SVP: 2020-26 The Local Government Unit, Sta. Josefa, Agusan del Sur, through its Bid</t>
  </si>
  <si>
    <t xml:space="preserve"> Description   INVITATION TO APPLY FOR ELIGIBILITY AND TO BID The Municipality of San Pablo Province of Zamboanga del Sur, through its Bids and Awards Committee (BAC), invites all interested suppliers/manufacturers/distributors/contractors to apply for eli</t>
  </si>
  <si>
    <t xml:space="preserve"> PROCUREMENT OF CONSULTANCY SERVICES (INDIVIDUAL) FOR THE REVIEW AND EVALUATION OF THE DSWD SELF-INSTRUCTIONAL MANUAL FOR SOCIAL WORKERS IN ASSESSING DISCERNMENT OF CICL JJWC NNP NO. 20-017 The Juvenile Justice and Welfare Council (JJWC), through the Polic</t>
  </si>
  <si>
    <t xml:space="preserve"> INVITATION TO BID Barangay Camindoroan, San Nicolas, Pangasinan through its Bids and Awards Committee (BAC), invites suppliers/manufacturers/distributor/contractor to apply for eligibility and to bid for the hereunder project: Name of the Contract : PURCH</t>
  </si>
  <si>
    <t xml:space="preserve"> 20 	pcs	Angle bar 1/4"x2"x2"  40 	kgs	Welding Rod  12 	pcs	 Hacksaw Blade  9 	gals	Red Oxide  9 	gals	Aluminum Paint  7 	pcs	Paint Brush #3  8 	kgs	Tie Wire #16  28 	pcs	Angle bar 1/4"x2 1/2"x2 1/2"  31 	pcs	C-Purlins 1.5mmx2"x6"  8 	pcs	16mm Plain Bar  6</t>
  </si>
  <si>
    <t xml:space="preserve"> 1.	Supply and Delivery of 58,618 bags Urea Fertilizer ABC: 58,618,000.00  Specifications: -	50 kg per bag with plastic lining as per FPA Standard -	Not less than 45% Nitrogen content following FPA Standard -	Granular Additional Requirements: -	Bags shall </t>
  </si>
  <si>
    <t xml:space="preserve"> The Schools Division Office of San Juan City through its Bids and Awards Committee (BAC) shall undertake an Alternative Mode of Procurement through Negotiated Procurement (Section 53.9, Small Value Procurement of the Revised Implementing Rules and Regulat</t>
  </si>
  <si>
    <t xml:space="preserve"> INSTALLATION OF PRESURRIZED WATER PUMP W/ 600 I.M WATER LINES 1 unit water pump 1.5 Hp 1 unit stainless pressure tank 82 gal. 5 rolls P.E Pipe 1'' dia. 1 unit 1'' dia. foot valve 1 unit check valve 1 unit pressure gauge 12 pcs. 1'' dia. Union Patente 12 p</t>
  </si>
  <si>
    <t xml:space="preserve"> Item No.	Item and Specification ABC LOT 1: FORESTRY LABORATORY EQUIPMENT (ABC: PHP,834,500.00) 1	1	unit	VERTICAL BANDSAW 2	1	unit	CIRCULAR SAW 3	5	unit	BINOCULARS FOCUSING SYSTEM 4	1	unit	200X0.001G 1MG DIGITAL ANALYTICAL BALANCE PRECISION SCALE for Labor</t>
  </si>
  <si>
    <t xml:space="preserve"> PLEASE SEE ATTACHED REQUEST FOR QUOTATION AND PLEASE ACCOMPLISH THE REQUIRED ATTACHMENTS FOR MORE INFORMATION. IF ATTACHMENT IS NOT DOWNLOADABLE, PLEASE VISIT THE PROCUREMENT SECTION AT WWW.BSP.GOV.PH</t>
  </si>
  <si>
    <t xml:space="preserve"> DESCRIPTION SUPPLY AND DELIVERY OF MOLASSES UNDER OAP CY2020 10,000 kilograms -	20 kg per container packaging -	Color: Brown to black -	Odor: No foul odor -	Material should be sticky/syrup like Note:  1.	Shall be properly identified and labeled with DA-OA</t>
  </si>
  <si>
    <t xml:space="preserve"> REQUEST FOR QUOTATION (RFQ) SUPPLY AND DELIVERY OF LABORATORY CONSUMABLES UNDER EMB-ERLSD-ELSS-INORGANICS LABORATORY UNIT  RFQ NO. 2020-0257-EMB-S-ERLSD-ELSS CONSUMABLES(3rd) 1.	The Department of Environment and Natural Resources – Environmental Managemen</t>
  </si>
  <si>
    <t xml:space="preserve"> Contract ID No. 20OH0162 Contract Name : Proposed Repair/Rehabilitation of UPMO-Flood Control Management Cluster Office, NCR Compound, 2nd St. Port Area, Manila Contract Location: Manila City	 Scope of Work: Repair/Rehabilitation of Building Source of Fun</t>
  </si>
  <si>
    <t xml:space="preserve"> 200 PCS.      T-SHIRT 200 PCS.      ILLUSTRATION BOARD 1     BOX      OIL PASTEL 30   BOXES   PENCIL 10   BOXES   BALLPEN 10   REAMS   BONDPAPER 50   PCS.       RULER 15   PCS.       TROPHIES 15   PCS.       MEDAL 2     PCS.      TARPAULIN 150  PACKS   FO</t>
  </si>
  <si>
    <t xml:space="preserve"> 1 15 BOXES LAGUNDI 600MG TAB. 100'S ( BRANDED)  2 12 BOXES LORATIDINE 10 MG ( BRANDED)  3 2 PCS SILVER SULFADIAZINE OINTMENT ( BRANDED)  4 6 PCS POVIDONE-IODINE ANTISEPTIC 60ML LIQUID ( BRANDED)  5 100 PCS MECLIZINE 25MG CHEWABLE TABLET (BRANDED)  6 50 PC</t>
  </si>
  <si>
    <t xml:space="preserve"> Request for Quotation Please quote your lowest price on the item(s) listed below, subject to the Terms and Conditions stated below and submit your quotation duly signed by your representative not later than 10:00am of August 27, 2020 in the return envelop</t>
  </si>
  <si>
    <t xml:space="preserve"> 1000	pcs	printing of module with bind (550 papges/per child) 		cover: C2S 220 board/laminated Glossy 		Inside pages: 550 pages colored back to back) 		Type of paper (inside) C2S 120 gsm/100 gsm 		binding: perfect binding</t>
  </si>
  <si>
    <t xml:space="preserve"> 1 4 PCS TIRE 195 R 14  2 4 PCS WING SUSPENSION BUSHING  3 2 PCS BALLJOINT LOWER  4 2 PCS BALLJOINT UPPER  5 2 PCS TIE ROD END  6 1 PC ALTERNATOR BELT  7 1 PC CRANK SHAFT BELT  8 2 SET BRAKE SHOE  9 2 SET BRAKE PAD  10 4 PCS RUBBER CUP ORING JAP.  11 4 PCS</t>
  </si>
  <si>
    <t xml:space="preserve"> 1 14 Pcs Helmet (full mask)  2 14 Pcs Pack Bag/ Water proof</t>
  </si>
  <si>
    <t xml:space="preserve"> 1 UNIT COMPUTER SET W/ PRINTER AND FACE RECOGNATION DESCRIPTIONS 1 PC INTEL 17-9100F / H31O 1 PC PALIT GEFORCE GTX 1660TI 1 PC 32 GB RAM 1 PC EVO 250GB 1 PC HDD 1TB WD BLACK 1 PC 24' 144HZ MONITOR 4 PCS LED FAN 1 PC POWER SUPPLY K650 1 PC TOWER CASING AGI</t>
  </si>
  <si>
    <t xml:space="preserve"> The Local Government Unit of Santa Fe, Nueva Vizcaya, through its Bids &amp; Awards Committee invites contractors to bid for the following project: Contract Name: Procurement of 2-units motorcycle (supply and delivery) Contract Location: Santa Fe, Nueva Vizca</t>
  </si>
  <si>
    <t xml:space="preserve"> 1  1 UNIT HEPA FILTER/ AIR PURIFIER SPECIFICATIONS: FILTRATION ACCURACY RATE OF 0.001 MICRONS, WASHABLE, REUSABLE FILTERS, 25 DECIBELS ACOUSTIC, LARGE AREA COVERAGE UP TO 100 M2, OZONE 10PPH, APPLICATION AREA: 60-100SQM, VOLTAGE 220, RATED FREQUENCY: 60HZ</t>
  </si>
  <si>
    <t xml:space="preserve"> 1 5,000 PC TRASHBAG YELLOW MEDIUM  2 5,000 PC TRASHBAG GREEN MEDIUM  3 5,000 PC TRASHBAG BLACK MEDIUM</t>
  </si>
  <si>
    <t xml:space="preserve"> 30 Pcs - Pre-Fab 25W PV Solar Panels, 100w power with free installation</t>
  </si>
  <si>
    <t xml:space="preserve"> THE PROCURING ENTITY THROUGH ITS BIDS AND AWARDS COMMITTEE INVITES SUPPLIER TO QUOTE FOR THE HEREUNDER PROJECT/PROGRAM: IMPROVEMENT OF DRAINAGE CANAL - 20% EDF (2016, 2018, 2019) ITEMS DESCRIPTION	ABC/UNIT	QTY	UNIT 1 Various Construction Materials (Hardwa</t>
  </si>
  <si>
    <t xml:space="preserve"> RFQ&gt;&gt;&gt; Reproduction of Modules | Manuel Roxas ES  ABC=P224,217.88 373,696 sheet short bond paper, 70 gsm</t>
  </si>
  <si>
    <t xml:space="preserve"> Please see attached associated component.</t>
  </si>
  <si>
    <t xml:space="preserve"> schedule opening of bids</t>
  </si>
  <si>
    <t xml:space="preserve"> REQUEST FOR QUOTATION (RFQ) SUPPLY AND DELIVERY OF STANDARD FOR AIR ANALYSES UNDER EMB-ERLSD-ELSS-INORGANICS LABORATORY RFQ NO. 2020-0489-EMB-S-ERLSD-ELSS AIR ANALYSES STANDARDS(3rd) 1.	The Department of Environment and Natural Resources – Environmental M</t>
  </si>
  <si>
    <t xml:space="preserve"> The Local Government Unit of Santa Fe, Nueva Vizcaya, through its Bids &amp; Awards Committee invites contractors to bid for the following project: Contract Name: Procurement of Insecticide (Dengue) (Supply and delivery)  Contract Location: Santa Fe, Nueva Vi</t>
  </si>
  <si>
    <t xml:space="preserve"> 1 set deskstop computer intel core i3 9100t 8gB DDR4 Memory, PC2666 1TB H WD Hard disk DVDRW, Mouse, Keyboard AWR UPS 24" Monitor Led Monitor 1 pc Printer 4 in 1 ADF 4 Pcs 1TB external hard drive</t>
  </si>
  <si>
    <t xml:space="preserve"> Attached herewith the Request for Proposal and Terms of Reference</t>
  </si>
  <si>
    <t xml:space="preserve"> Particular                                                              1.Spade                                                                    2.Spading Fork                                                          3.Hoe                               </t>
  </si>
  <si>
    <t xml:space="preserve"> Opening of Bids in DSWD FO IX, delivery in the province of SULU procurement for the ff.: 60	Deliveries	 @ 2,500.00 -Freight and hauling to transport rice from National Food Authority (NFA) Sulu to Site/s....	 -Freight and hauling to transport Cooking and </t>
  </si>
  <si>
    <t xml:space="preserve"> INVITATION TO BID FOR THE PROCUREMENT OF THREE (3) YEARS PEST CONTROL SERVICES AT PAGCOR MAIN CORPORATE OFFICE AND PAGCOR CORPORATE ANNEX OFFICE UNDER ITB NO. PB20-07-039COR The Philippine Amusement and Gaming Corporation (PAGCOR) is inviting all interest</t>
  </si>
  <si>
    <t xml:space="preserve"> 1 pc     - 4x4x10 Cocoform (tramper) 144 bb.ft  - 2x6x12 Cocoform   36 bb.ft. - 2x2x12 Cocoform 9.50 m3   - Sand   19 m3    - Fine Gravel    2 pcs    - 10mm (staking)    1 pc      - Hacksaw Blade   2.0 kls   - Asstd. CWN (3",2 1/2") 162 Bags  - Cement</t>
  </si>
  <si>
    <t xml:space="preserve"> Attached herewith is the RFP and Terms of Reference</t>
  </si>
  <si>
    <t xml:space="preserve"> Please see attached file for your reference. Note: For Shortlisted bidders only.</t>
  </si>
  <si>
    <t xml:space="preserve"> OPENING OF BIDS IN DSWD FO IX ZAMBOANGA CITY DELIVERY IN ISABELA, BASILAN PROVINCE  PROCUREMENT FOR THE FF.: 50	Deliveries	@ 2,500.00                 -Freight and hauling to transport rice from National Food Authority (NFA) Basilan to Site/s....	 		-Freig</t>
  </si>
  <si>
    <t xml:space="preserve"> Supplies needed for Domestic Works NCII Training  Unit 	Item Description	Quantity 		 pcs	cleaning detergents	5 btl	liquid detergents	5 btl	cleaning solutions	5 pcs	cleaners	5 btl	toilet disinfectant	5 pcs	toilet bowl swabs	5 pcs	drop sheet	5 btl	sanitizin</t>
  </si>
  <si>
    <t xml:space="preserve"> please see attached RFQ &amp; Technical Specifications Supply and Delivery of: ITEM AND DESCIPTION	ABC Php60,400.00 Tires for Isuzu Crosswind:   205 / 65 R15 	4 pcs Tires for Isuzu MUX:   245 / 70 R16       	4 pcs Note: with free wheel balancing and alignment</t>
  </si>
  <si>
    <t xml:space="preserve"> The Local Government Unit of Santa Fe, Nueva Vizcaya, through its Bids &amp; Awards Committee invites contractors to bid for the following project: Contract Name: Procurement of Flood Light (Supply and delivery)  Contract Location: Santa Fe, Nueva Vizcaya App</t>
  </si>
  <si>
    <t xml:space="preserve"> Supply and delivery of the following: 10	pcs	Avanti Roller Tip Pen (0.7mm)		 6	pcs	Papermate Blue Gel Pen 0.5mm		 15	packs	Board Paper/10pcs/pack - A4 size		 3	packs	Sticker Paper, A4, (glossy) 10s/pack		 13	packs	Photo Paper Glossy, A4, 20s/pack		 50	pcs</t>
  </si>
  <si>
    <t xml:space="preserve"> BACOLOD BRANCH - 7 TONNER LOBBY TYPE AIRCON 2 UNITS ABC Php 490,000.00</t>
  </si>
  <si>
    <t xml:space="preserve"> Equipment needed for Domestic Works NCII Training  Unit 	Item Description	Quantity 		 Unit 	vacuum cleaner	2 Unit 	food processor	1 Unit 	grills	2 Unit 	high pressure steamer	1 Unit 	microwave oven	1 Unit 	oven (electric/gas)	1 Unit 	refrigerator	1 Unit 	</t>
  </si>
  <si>
    <t xml:space="preserve"> OPENING OF BIDS IN DSWD FO IX ZAMBOANGA CITY		 DELIVERY IN TAWI-TAWI PROVINCE		 PROCUREMENT FOR THE FF.:		 50	Deliveries	@ 2,500.00                -Freight and hauling to transport rice from National Food Authority (NFA) Tawi-Tawi to Site/s....	 		-Freigh</t>
  </si>
  <si>
    <t xml:space="preserve"> RIPRAPING OF 1.5m ht. x .3m thick x 30 i.m length w/ .60m x 6m x 30m STONE MASONRY 115 bags Portland cement  24 cu.m. boulder 8 cu.m. common borrow 4 cu.m. washed gravel 9 cu.m. washed sand 2 pcs. 1/4'' thk. ordinary plywood 4 pcs. 2''x2''x12' form lumber</t>
  </si>
  <si>
    <t xml:space="preserve"> The Barangay Officials and its Bids and Awards Committee (BAC), Invites Eligible Biders to Bid the hereunder projects: Name of Project: Repair and Construction of the new Distribution on line by Purok 2,3,4  Location:  Barangay Tubod, Isabel, Leyte Amount</t>
  </si>
  <si>
    <t xml:space="preserve"> Tools needed for Domestic Works NCII Training  Unit 	Item Description	Quantity 		 pcs	brooms	15 pcs	Dust Pans 	15 pcs	brushes	15 pcs	cleaning implements	10 set	water hoses	10 pcs	buckets	5 pcs	lint free cleaning cloths	10 pcs	squeegees	10 pcs	scrubbing fo</t>
  </si>
  <si>
    <t xml:space="preserve"> Republic of the Philippines                                       Province of Leyte                            MUNICIPALITY OF ALBUERA                     OFFICE OF THE MUNICIPAL MAYOR OFFICE OF THE BIDS AND AWARDS COMMITTEE INVITATION TO BID 	The Local G</t>
  </si>
  <si>
    <t xml:space="preserve"> REHABILITATION/IMPROVEMENT OF BARANGAY PLAZA</t>
  </si>
  <si>
    <t xml:space="preserve"> Please refer to the attached Bidding Documents, Terms of Reference for every Municipality, and CDC &amp; LGU Allocation. Thank you.</t>
  </si>
  <si>
    <t xml:space="preserve"> CIVIL WORKS</t>
  </si>
  <si>
    <t xml:space="preserve"> INVITATION TO BID FOR THE Procurement of Various Chemicals 1. The Department of Agriculture-Regional Field Office 7, through the GAA 2020 intends to apply the sum of One Million Fifty Thousand Four Hundred Fifty Pesos (₱ 1,050,450.00) being the Approved B</t>
  </si>
  <si>
    <t xml:space="preserve"> Petroleum/Oil/Lubricants (POL) Diesel</t>
  </si>
  <si>
    <t xml:space="preserve"> SW-1008-2020-0111</t>
  </si>
  <si>
    <t xml:space="preserve"> Republic of the Philippines Department of Public Works and Highways OFFICE THE DISTRICT ENGINEER Las Piñas Muntinlupa District Engineering Office 2nd Street, Port Area, Manila INVITATION TO BID (GOODS) NO. 01 The Las Pinas - Muntinlupa District Engineerin</t>
  </si>
  <si>
    <t xml:space="preserve"> The Barangay Government of Capanickian Sur Allacapan Cagayan, through its Bids and Awards Committee (BAC) will invites interested entities to submit their bidding documents for the following details: Name of Project: Concreting of Barangay Road Source of </t>
  </si>
  <si>
    <t xml:space="preserve"> Supply and Delivery of the ff: 190	pcs		Cloth Facemask (neoprene fabric, with filter pocket)	 65	gallons	70% Ethyl Alcohol with Moisturizer (gallon)	 200	pcs		Faceshield with eyeglasses	 58	gallon	Antibacterial soap 	 13	pairs		Reusable Chemical Industria</t>
  </si>
  <si>
    <t xml:space="preserve"> Located at the Back of Chapel of Barangay Liboton, Naga City</t>
  </si>
  <si>
    <t xml:space="preserve"> Construction Materials</t>
  </si>
  <si>
    <t xml:space="preserve"> Please see attached bidding document associated with this notice</t>
  </si>
  <si>
    <t xml:space="preserve"> OPENING OF BIDS IN DSWD FO IX ZAMBOANGA CITY,				 DELIVERY IN DSWD-PCDP, MAMPANG ZC				 PROCUREMENT FOR THE FF.:				 				 				 3000	PCS.	ECO BAG WITH DSWD LOGO , CUSTOMIZED	@	 100.00  3000	PCS.	SAKO BAG WITH DSWD LOGO	@	 150.00  		SPECS:		 		LENGTH: 24 in</t>
  </si>
  <si>
    <t xml:space="preserve"> 2- 8 channel CCTV with Cameras</t>
  </si>
  <si>
    <t xml:space="preserve"> PORTLANDCEMENT 581 bags BOULDERS(15-25KGS) 134  cu.m SCREENEDSAND 43 cu.m SELECTEDGRAVEL 50  cu.m WEEPHOLES(PVC) 39 I.m FILTERVCLOTH 2 sq. m RCPIPES(610mm dia) 12 pcs</t>
  </si>
  <si>
    <t xml:space="preserve"> PORTLANDCEMENT 200 BAGS SANDANDGRAVEL(PREMIX) 30 Cu.m 4”CHB 2,500 pcs 10mm DEF.BARS 220 lenght NO.16G.I.TIEWIRE 10 kg</t>
  </si>
  <si>
    <t xml:space="preserve"> 1) Riso Ink     Ink F Type II Black     7,115 pcs @ Php 1,690.00 2) Master Roll     Master F Type 73 (Master Roll)    250 pcs @ Php 3,910.00</t>
  </si>
  <si>
    <t xml:space="preserve"> Description   Bid Notice Abstract Invitation to Bid (ITB) Procuring Entity: Barangay Nazareth, Sibalom, Antique Title ITB-N-2020-08-001-Riprapping of Road Canal Area of Delivery: Brgy. Nazareth, Sib., Ant. Solicitation Number: ITB-N-2020-08-001 Trade Agre</t>
  </si>
  <si>
    <t xml:space="preserve"> 1.00 	set	Project Billboards &amp; Warning Sign  1.00 	set	Barricade  1.00 	lot	Other General Requirements (Const. Safety &amp; Health)  21.62 	cu.m.	Structure Excavation  48.49 	cu.m.	Backfill and Compaction (Embankment)  22.76 	cu.m.	Reinforced Concrete  316.44</t>
  </si>
  <si>
    <t xml:space="preserve"> Negotiated Procurement-Two Failed Biddings for the Procurement of 3,600 heads of Native Chicken 1. The Department of Agriculture-Regional Field Office 7, through the GAA 2020 intends to apply the sum of One Million Two Hundred Sixty Thousand Pesos (₱ 1,26</t>
  </si>
  <si>
    <t xml:space="preserve"> GOODS</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</si>
  <si>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</si>
  <si>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INVITATION TO BID FOR  The Procurement of 571 bags of Hybrid White Corn Seeds 1.	The Department of Agriculture-Regional Field Office 7, through the GAA 2020  intends to apply the sum of Two Million Eight Hudred Sixty Thousand Pesos (₱2,860,000.00) being t</t>
  </si>
  <si>
    <t xml:space="preserve"> Republic of the Philippines Province of Camarines Sur Municipality of Lagonoy BArangay Burabod BIDS AND AWARD COMMITTEE RFQ no. 2020 Date : August 19,2020 REQUEST FOR PRICE QUATATION (Procurement of various) Sir/Madam You are hereby invited to quote your </t>
  </si>
  <si>
    <t xml:space="preserve"> INVITATION TO BID IB-2020-096 The Philippine Children’s Medical Center, through DOH-HFEP CY 2019 intends to apply the sum of Nine Hundred Twenty-One Thousand Three Hundred Pesos (Php 921,300.00) being the Approved Budget for the Contract (ABC) to payment </t>
  </si>
  <si>
    <t xml:space="preserve"> Republic of the Philippines Province of Ilocos Sur Vigan City Invitation to Bid for the  Rehabilitation of Madarang-Bulala-Leguey Farm-to-Market Road Salcedo, Ilocos Sur 1.	The Provincial Government of Ilocos Sur, through the Special Budget #2 (RA7171), A</t>
  </si>
  <si>
    <t xml:space="preserve"> JARO BRANCH - Safety Barriers ABC Php 85,000.00 specifications attached.</t>
  </si>
  <si>
    <t xml:space="preserve"> Republic of the Philippines Province of Ilocos Sur Vigan City Invitation to Bid for the  Construction of Farmer's Multi-Purpose Building at Brgy. Abuor, Narvacan, Ilocos Sur 1.	The Provincial Government of Ilocos Sur, through the RA 7171-Special Budget No</t>
  </si>
  <si>
    <t xml:space="preserve"> Mobilization and Demobilization Cost (materials/equipment/labor-form origin to jodsite) 6" dia. x 20' uPVC Pipe, S-10 Gravel Pack Preparation, clearing of jobsite, mounting of tools, preparation and fixing of rotary type equipment, evaluation of the groun</t>
  </si>
  <si>
    <t xml:space="preserve"> 1 Unit Payloader 940 Specifications: Engine Displacement: 3800 No. of Cylinder:4 Fuel: Diesel Manual transmission Bucket capacity : 1.6 cbm</t>
  </si>
  <si>
    <t xml:space="preserve"> ILOILO BRANCH - ATM (Camera, Cassettes &amp; Divert Cassettes)   2 units ATM Camera Php 140,000.00   5 units ATM Cassettes Php 150,000.00   6 ATM Divert Cassette Php 180,000.00</t>
  </si>
  <si>
    <t xml:space="preserve"> Republic of the Philippines Province of Ilocos Sur Vigan City Invitation to Bid for the  Construction of Farmer's Multi-Purpose Building at Brgy. Lucbuban, Salcedo, Ilocos Sur 1.	The Provincial Government of Ilocos Sur, through the Special Budget #2 (RA71</t>
  </si>
  <si>
    <t xml:space="preserve"> Republic of the Philippines Province of Agusan del Norte Municipality of Carmen OFFICE OF THE BIDS AND AWARDS COMMITTEE INVITATION TO RE-BID  The Local Government of Carmen, through its Bids and Awards Committee (BAC) invites Suppliers/Manufactures/Distri</t>
  </si>
  <si>
    <t xml:space="preserve"> NO	UNIT	DESCRIPTION	QTY 		Printer	 1	units	Printer With Refill Tank System All in One Wifi/LAN, ADF, Fax, &amp; Duplex Printing MFC - T910DW bundled with extra 1 set inks	4 2	unit	Inktank, All in one A3 scanner Printer/ Scanner with extra 1 set ink L1455	1 		</t>
  </si>
  <si>
    <t xml:space="preserve"> Contract I.D. No.: 		200005 Contract Name: 			Procurement of   Road Sensors including Installation for the conduct of 					Automated Traffic Count under the National Road Traffic Survey 					Progran (NRTSP) Contract Location:		Bataan First District Brief </t>
  </si>
  <si>
    <t xml:space="preserve"> Republic of the Philippines Province of Agusan del Norte Municipality of Carmen Tel # 343-3801 OFFICE OF THE BIDS AND AWARDS COMMITTEE INVITATION TO RE-BID  The Local Government of Carmen, through its Bids and Awards Committee (BAC) invites Suppliers/Manu</t>
  </si>
  <si>
    <t xml:space="preserve"> BID TENDER							 							 The Bids and Awards Committee							 Province of Iloilo							 							      In connection with your Invitation to Bid No. GSO-20-0923-B scheduled on September 11, 2020, I/we proposed to furnish and deliver in conformity with the </t>
  </si>
  <si>
    <t xml:space="preserve"> NO	UNIT	DESCRIPTION	QTY	UNIT PRICE	 TOTAL  Construction of Feeding Facilities Brgy. Haguimit (P44,567.50)					 1	BAGS	CEMENT	10		 2	CU.M.	SAND	1		 3	CU.M.	GRAVEL	1		 4	PCS.	8MMØ RSB	12		 5	KLS	#16 G.I. TIE WIRE	1		 6	KLS	C.W. NAIL 3"	1		 7	KLS	C.W. NAIL 2</t>
  </si>
  <si>
    <t xml:space="preserve"> INVITATION TO BID The Bureau of Fisheries and Aquatic Resources Region 5 (BFAR 5), through the Government of the Philippines (GOP), for CY 2020 intends to apply the sum of One Million One Hundred Sixty Two Thousand Five Hundred Sixty Pesos (PhP1,162,560.0</t>
  </si>
  <si>
    <t xml:space="preserve"> NO	UNIT	DESCRIPTION	QTY 1	sets	Printing and Binding of ECCD Worksheets 	958 		with Hardbound Cover	 		125 leaves	 		425 pages</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</si>
  <si>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</si>
  <si>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NO	UNIT	DESCRIPTION	QTY 1	set	Head Light (L/R)	1 2	pc	Signal Light	1 3	set	Tail Light &amp; Park Light	1 4	pc	Clutch Master Assembly	1 5	pc	Second Clutch Master Seal Kit	1 6	pc	Break Master	1 7	pc	Oil Filter	1 8	unit	Engine (Toyota Revo) Model Engine 2L Diese</t>
  </si>
  <si>
    <t xml:space="preserve"> INVITATION TO BID The Bureau of Fisheries and Aquatic Resources Region 5 (BFAR 5), through the Government of the Philippines (GOP), for CY 2020 intends to apply the sum of Three Hundred Fifty Thousand Pesos (PhP350,000.00) only, being the Approved Budget </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</si>
  <si>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</si>
  <si>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3rd Quarter</t>
  </si>
  <si>
    <t xml:space="preserve"> NO	UNIT	DESCRIPTION	QTY 1	pc	Oil Shower	4 2	pc	Overhauling Gasket	1 3	pc	Oil Cooler	1 4	set	Liner	1 5	units	Hish Piston	4 6	set	Piston Ring	1 7	set	Connecting Rod Bearing	1 8	set	Main Bering	1 9	set	Camshaft Bearing	1 10	set	Trush Washer	1 11	set	Piston P</t>
  </si>
  <si>
    <t xml:space="preserve"> Republic of the Philippines Province of Ilocos Sur Vigan City Invitation to Bid for the  Construction of 2-Classroom Building at Lidlidda National High School, Poblacion Sur, Lidlidda, Ilocos Sur 1.	The Provincial Government of Ilocos Sur, through the Spe</t>
  </si>
  <si>
    <t xml:space="preserve"> Republic of the Philippines Province of Ilocos Sur Vigan City Invitation to Bid for the  Construction of School Facilities at Narvacan National Central High School, Narvacan, Ilocos Sur 1.	The Provincial Government of Ilocos Sur, through the Special Budge</t>
  </si>
  <si>
    <t xml:space="preserve"> SELF - SKILLS ENHANCEMENT AND LEADERSHIP FORMATION - PUBLIC WORKS, MAINTENANCE AND UTILITIES</t>
  </si>
  <si>
    <t xml:space="preserve"> NO	UNIT	DESCRIPTION	QTY	 Repair and Maintenance of Day Care Center Brgy. Polo (P33,830.00)					 1	BAGS	CEMENT	8		 2	CU.M.	SAND	0.5		 3	SET	DOOR 1 - SCREENDOOR (0.87M X 2.0M)	1		 4	SET	WINDOW 1 - CLEAR GLASS SLIDING WINDOW A_2.40M X 1.15M	1		 5	SET	WINDOW </t>
  </si>
  <si>
    <t xml:space="preserve"> 1. 1 LOT - CONSTRUCTION SUPPLIES - 72,897.33 The Complete Schedule of Activities are Listed as Fallows: 1. Submission of Letter of Intent &amp; Eligibility Documents - August 28- September 3, 2020 @ 8:00am - 5:00pm 2. Issuance of Bid Documents - September 4-9</t>
  </si>
  <si>
    <t xml:space="preserve"> DETAILS OF THE PROJECT WILL BE DISCUSS IN THE PRE-BID CONFERENCE</t>
  </si>
  <si>
    <t xml:space="preserve"> Riprapping of brgy. road @ Sitio Aguada,San Teodoro,Mabini,Batangas</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</si>
  <si>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</si>
  <si>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ACTUAL PRIZE FOR week 1				 	     ENROLLMENT	NO. OF PAGES FOR ALL SUBJECTS	PRICE PER SET (0.55 PER PAGE)	   TOTAL Grade 8	258	                  135	                                               ₱74.25 	                                   ₱19,156.50  Grade</t>
  </si>
  <si>
    <t xml:space="preserve"> For Module Printing</t>
  </si>
  <si>
    <t xml:space="preserve"> August 18, 2020 Invitation to Bid   [CONSERVATION &amp; RESTORATION OF GABALDON BUILDING] 1.	The [DepEd Region IV-A (CALABARZON)], through the [FY 2020 Basic Education Facilities Fund (BEFF)] intends to apply the sum of [(Eighteen Million Four Hundred Thirty </t>
  </si>
  <si>
    <t xml:space="preserve"> 1.	The Municipality of Botolan, through the DPWH Fund intends to apply the sum of P 30,000,000.00 being the Approved Budget for the Contract (ABC) to payments under the contract for Construction of Multi-Purpose Building (Municipal Hall) Phase 2, Botolan,</t>
  </si>
  <si>
    <t xml:space="preserve"> INVITATION TO BID FOR  2nd Invitation for the Supply and Delivery of Lot 2- Split Type Aircon, Lot 3-Steel Upright 4 Doors Chiller and Lot 4-Gasoline Generator  1.	The Department of Agriculture Regional Field Office No. 5, through the General Appropriatio</t>
  </si>
  <si>
    <t xml:space="preserve"> INVITATION TO BID FOR  2nd Invitation for the Supply and Delivery of 1 unit Drone Sprayer 1.	The Department of Agriculture Regional Field Office No. 5, through the General Appropriation Act (GAA) for CY 2019-Corn Program intends to apply the sum of One Mi</t>
  </si>
  <si>
    <t xml:space="preserve"> 12 mm. Steel Cable Wire 1 1/2" PE Pipe SDR 11 1" PE Pipe SDR 11 2"Sleeves 1"Reducer w/Coupling 12mm.Cable Clip 3"GI.Pipe 3"Coupling 3"Sleeves 10mm.RSB 1/2"Tapelon Tape Portland Cement 40kg</t>
  </si>
  <si>
    <t xml:space="preserve"> Plumbing &amp; Masonry Works  pcs. 	4" Cons. Hollow Blocks	57.00  bags 	Portland Cement	13.00  cu.m 	Fine Sand	1.00  cu.m 	Mixed Sand	1.00  kls. 	Sahara Cement Additive	10.00  kls. 	Assorted C.W. Nails	2.00  pcs. 	10 mmǾ RSB	7.00  kl. 	Tie Wire	0.50  pc. 	Ord</t>
  </si>
  <si>
    <t xml:space="preserve"> Republic of the Philippines  BARANGAY TAMBO  Lipa City  OFFICE OF THE PUNONG BARANGAY  BIDS AND AWARDS COMMITTEE  INVITATION TO BID  The Barangay Government of BARANGAY TAMBO, through its Bids and Awards Committee ( BAC ), invites suppliers/manufacturers/</t>
  </si>
  <si>
    <t xml:space="preserve"> 20 pcs Uniform of Bantay Dagat 4 units Search Light (Please see attached specifications)</t>
  </si>
  <si>
    <t xml:space="preserve"> 80 pads Order of Payment Forms (11cm x 17cm) - Triplicate Copy (white, yellow, blue) - Carbonized 50 sets/pad 72 pads Certificate of Clearance Forms - Duplicate Copy - Carbonized 50 sets/pad</t>
  </si>
  <si>
    <t xml:space="preserve"> 1 pc Clutch Cover 1 pc Clutch Disk 1 pc Release Bearing 1 pc Pilot Bearing 2 pcs Wiper blade 1 set Horn 1 pc (Pilot) Oil Seal RR</t>
  </si>
  <si>
    <t xml:space="preserve"> Galva Plainsheet 16  1 piece BS 223 Epoxy Primer Primer Gray  1 gallon Cement  3 bag Sand  4 bag  Paint Brush 2  2 piece Cutting Disc  5 piece Plain Sheet #18  2 piece Bolt with Nut Washer 1 1/2 x 10mm  16 piece Sandwash  30 bag Bolt with Nut Washer 6mm x</t>
  </si>
  <si>
    <t xml:space="preserve"> Republic of the Philippines					 Province of Cebu 					 Municipality of Alcantara					 					 STATEMENT OF BUDGETARY REQUIREMENTS					 					 Name of Project		: Construction of Potable Water Supply System			 Location		        : Barangay Polo. Alcantara Cebu</t>
  </si>
  <si>
    <t xml:space="preserve"> OFFICE SUPPLY</t>
  </si>
  <si>
    <t xml:space="preserve"> Procurement of Construction Supplies and Materials</t>
  </si>
  <si>
    <t xml:space="preserve"> INVITATION TO BID FOR PROCUREMENT OF MATERIALS AND RENTAL OF EQUIPMENT FOR IMPROVEMENT OF MULTI-PURPOSE BUILDING (IMPROVEMENT/CONSTRUCTION OF PERIMETER FENCE) 1.	The Barangay Naga, through the 20% Barangay Development Fund intends to apply the sum of Eigh</t>
  </si>
  <si>
    <t xml:space="preserve"> IMPROVEMENT - I. MASONRY WORKS II. CARPENTRY WORKS III. PAINTING WORKS  BREAKDOWN OF EXPENDITURES  I.    MATERIALS                                - P 119,783.00 II.   LABOR                                       -     44,545.00 III. PUMP BOAT FARE OF MATER</t>
  </si>
  <si>
    <t xml:space="preserve"> 1.        20        pcs      Chalico Uniforms 2.        20        pcs       Slongsleev T-shirt Uniforms 3.        20        pcs       Traffice Vest 4.        20        pcs       Pants Uniforms\ 5.        20        pairs     Safety shoes 6.        20      </t>
  </si>
  <si>
    <t xml:space="preserve"> Republic of the Philippines Province of Ilocos Norte Municipality of Paoay BIDS AND AWARDS COMMITTEE INVITATION TO BID 2020-023 Invitation to Bid for the Purchase of IT supplies to be use by the different offices of the Municipality (1st and 2nd Quarter 2</t>
  </si>
  <si>
    <t xml:space="preserve"> 98 bags cement 78 pcs RSB 10mm0 52 pcs RSB 12 mm0 7 kg #16 Tie wire 240 bdft Coco lumber 9 pcs O. Plywood 1/4" 5 kgs CW Nails, Assorted 1 pc Steel Matting 1/4 x 1.2 x 2.4 1/2 kg Welding rod 1 pc Angel Bar 1/4 x 1 720 pcs CHB 4" 7 cu.m. Sand 6 cu.m. Gravel</t>
  </si>
  <si>
    <t xml:space="preserve"> 2 sets pANEL DOOR (2/1 X 0.90M) WITH JAMBS AND CONCRETE ACCESSORIES 1 SET Glass Door with Alum. Frames w/ complete accessories (0.90 x 2.1m) 148 Floor tiles 24 x 24 4 bags Tile Grout 18 bags Tile Adhesive 14 bags Cement 3 cu.m Sand</t>
  </si>
  <si>
    <t xml:space="preserve"> Republic of the Philippines Province of Davao de Oro 		Municipality of Compostela BARANGAY LAGAB 	 BIDS AND AWARDS COMMITTEE CP #: 09194118536 INVITATION TO BID NO. 2020-09-001 BID #001 1.	The Barangay Lagab through its Bids and Awards Committee invites S</t>
  </si>
  <si>
    <t xml:space="preserve"> Bond Paper Partchment Paper EPSON Ink Folder Fastener Correction Tape Glue Double sided tape Staple wires</t>
  </si>
  <si>
    <t xml:space="preserve"> 4 pc Marine plywood (4x8ft.) (1/4 thickness) *made of hardwood materials, durable, properly bonded, high tolerance to marine/seawater 2 kilos Copper nail (1 1/2") 2 gallons Epoxy enamel paint (white color) 2 gallons Marine Epoxy A&amp;B</t>
  </si>
  <si>
    <t xml:space="preserve"> 1.         400     pcs      Face shield 2.         400     boxes   Face mask 3.         400     bottles  Alcolhol 500ml</t>
  </si>
  <si>
    <t xml:space="preserve"> Supply and Delivery of Materials for the Rehabilitation of Multi-Purpose Building (Tanod Outpost) at Dao, San Fernando, Bukidnon</t>
  </si>
  <si>
    <t xml:space="preserve"> 1.          344      pcs        Floortiles 0.40 X 0.40 2.          3          bags     Tile Groute 3.          3          T/L        Washed Sand 4,          10        bags     Adhesive Cement 5.          80        bags      Portland Cement 6.          70 </t>
  </si>
  <si>
    <t xml:space="preserve"> ILOILO BRANCH - Signage ABC Php 100,000.00 specifications attached.</t>
  </si>
  <si>
    <t xml:space="preserve"> On site delivery to: Bulacan/Bataan 120 pcs Bamboo, Full length (bayog) 120 pcs Bamboo, Full length (tinik) 30 pcs Bamboo, Full length (bongtsina) Note: *Supply and delivery in the province of Bataan and Bulacan</t>
  </si>
  <si>
    <t xml:space="preserve"> Item No.		ITEMS &amp; DESCRIPTION					QTY/UNIT	ABC (Approved Budget)	 1		PAPER, Multi-Purpose (COPY) A4, 70 gsm					456 reams	 95,304.00 	 2		DETERGENT BAR, 140 grams as packed					2 bars	 66.00 	 3		Colored Scotch Tape					152 rolls	 6,688.00 	 4		Stapler #3</t>
  </si>
  <si>
    <t xml:space="preserve"> Please quote hereunder your government price(s) for the following item(s) which is/are needed by this office. It is requested that the quotation(s) be submitted to the Supply and Property Section, National Archives of the Philippines, 6th FloorPPL Buildin</t>
  </si>
  <si>
    <t xml:space="preserve"> Republic of the Philippines TUMAUINI WATER DISTRICT Purok 1 San Pedro, Tumauini, Isabela (078) 323-0736 email address:  tumauiniwd_908@yahoo.com INVITATION TO BID DRILLING OF TWO (2) UNITS EXPLORATORY/PRODUCTION WELL FOR BENITO SOLIVEN WATER DISTRICT 1. T</t>
  </si>
  <si>
    <t xml:space="preserve"> Supply and Delivery of Materials for the Rehabilitation of Multi-Purpose Drying Pavement at Sitio Slide, Dao, San Fernando, Bukidnon</t>
  </si>
  <si>
    <t xml:space="preserve"> 1.	The Municipal Government of Burgos, Ilocos Norte, through the Special Education Fund intends to apply the sum of PhP116,290.00 being the Approved Budget for the Contract (ABC) to payments under the contract for Purchase of Equipment and Supplies for IC</t>
  </si>
  <si>
    <t xml:space="preserve"> INVITATION TO APPLY FOR ELIGIBILITY AND TO BID THE BIDS &amp; AWARD COMMITTEE OF THE MUNICIPALITY OF CAIBIRAN, BILIRAN IS INVITING ALL INTERESTED BIDDERS ON ITS FORTHCOMING PUBLIC BIDDING FOR: Project Title	: Acquisition of Registered Seeds   Location		: Muni</t>
  </si>
  <si>
    <t xml:space="preserve"> 1.	The Municipal Government of Burgos, Ilocos Norte, through the Special Education Fund intends to apply the sum of PhP244,000.00 being the Approved Budget for the Contract (ABC) to payments under the contract for Purchase of IT Equipment (for DepEd Eleme</t>
  </si>
  <si>
    <t xml:space="preserve"> Intel Core i5-8265U Processor 1.6GHz 6M Cache, up to 3.90GHz / 4GB On Board Memory  1TB 5400 rpm SATA HDD/ 4GB NVIDIA GeForce MX230 GDDRS VRAM / Windows 10 *Please see Attached PR</t>
  </si>
  <si>
    <t xml:space="preserve"> Republic of the Philippines Province of Camarines Norte Municipality of Sta Elena BARANGAY SAN PEDRO BIDS AND AWARD COMMITTEE INVITATION TO BID FOR CONCRETING OF FARM TO MARKET ROAD MATERIALS ONLY ITB NO. 20-005 1. The BARANGAY SAN PEDRO STA ELENA CAMARIN</t>
  </si>
  <si>
    <t xml:space="preserve"> Description BARANGAY GOVERNMENT OF SAN ISIDRO Valencia City, Bukidnon, Philippines Contract Reference No. 2020-21-08 INVITATION TO BID FOR THE SUPPLY DELIVERY AND INSTALLATION INCLUDING COMMISSIONING &amp; WARRANTY OF SOLAR STREETLIGHTS 1.	The Barangay Govern</t>
  </si>
  <si>
    <t xml:space="preserve"> EPSON L3110 Printer EPSON Ink  Bond paper Expanded Envelop Puncher Heavy Duty Scotch Tape 3"</t>
  </si>
  <si>
    <t xml:space="preserve"> 1.	The Municipal Government of Burgos, Ilocos Norte, through the Special Education Fund intends to apply the sum of PhP346,500.00 being the Approved Budget for the Contract (ABC) to payments under the contract for Purchase of Plastic Tables and Chairs for</t>
  </si>
  <si>
    <t xml:space="preserve"> Request for Quotation for the Procurement of Agricultural Supplies (Inorganic Fertilizers) needed as inputs for the establishment of 10-ha rice seed production project at DA-BES, Ubay, Bohol for CY 2020 1.	The Department of Agriculture-Regional Field Offi</t>
  </si>
  <si>
    <t xml:space="preserve"> Item No.	Unit	Description	Qty 1	pcks	Olintr	9 2	pcks	Obltintr	3 3	packs	Olad	10 4	pack	Rpmsk	1 5	packs	Oblad	3 6	Packs	Rpm	7 7	Pack	Rpmb	1 8	Packs	Rpmad	7 9	Pack	Rpmbad1	1 10	Pack	Rpmbad2	1 11	manual	Rpmad	1 12	pcks	Temp	8 13	pcks	Temp Pro	8 14	Packs	Nuer</t>
  </si>
  <si>
    <t xml:space="preserve"> Republic of the Philippines Department of Agriculture Bureau of Plant Industry 			     SATELLITE PESTICIDE ANALYTICAL LABORATORY             Baguio City   										                            REQUEST FOR QUOTATION NEGOTIATED PROCUREMENT: SMALL VALUE					</t>
  </si>
  <si>
    <t xml:space="preserve"> PURCHASE OF RESCUE VEHICLE OF BARANGAY SEIRAN, TAAL, BATANGAS. BUDGET AMOUNTS TO P1,100,000.00</t>
  </si>
  <si>
    <t xml:space="preserve"> Mobilization/ Demobilization Temporary Facilities Occupational Safety and Health Measures Structure Excavation Gravel Bedding Concrete Works Reinforcing Steel of Reinforced Concrete Form Works</t>
  </si>
  <si>
    <t xml:space="preserve"> 1.	The Municipal Government of Burgos, Ilocos Norte, through the Special Education Fund intends to apply the sum of PhP198,495.00 being the Approved Budget for the Contract (ABC) to payments under the contract for Purchase of Learning Aids Materials and S</t>
  </si>
  <si>
    <t xml:space="preserve"> Republic of the Philippines						 Department of Education, Central Visayas						 DIVISION OF NEGROS ORIENTAL						 DUMAGUETE CITY						 _________________ 					Date:	 Canvass Number						 _________________ 						 Name of Dealer						 _________________ 				</t>
  </si>
  <si>
    <t xml:space="preserve"> INVITATION TO BID FOR THE Procurement of Various Inorganic Fertilizer 1. The Department of Agriculture-Regional Field Office 7, through the GAA 2020 intends to apply the sum of One Million Four Hundred Thousand Pesos (₱ 1,400,000.00) being the Approved Bu</t>
  </si>
  <si>
    <t xml:space="preserve"> INVITATION TO APPLY FOR ELIGIBILITY AND TO BID THE MUNICIPALITY OF CAIBIRAN, BILIRAN IS INVITING ALL INTERESTED BIDDERS ON ITS FORTHCOMING PUBLIC BIDDING FOR: Project Title 	: Acquisition of Office Supplies, SO Location	        : LGU - Caibiran, Biliran  </t>
  </si>
  <si>
    <t xml:space="preserve"> 1.	The Municipal Government of Burgos, Ilocos Norte, through the Special Education Fund intends to apply the sum of PhP165,000.00 being the Approved Budget for the Contract (ABC) to payments under the contract for Purchase of Heavy Duty Copier (DepEd BAIS</t>
  </si>
  <si>
    <t xml:space="preserve"> I. CONCRETING OF PATHWAY: PATHWAY DIMENSION AVERAGE WIDTH 2.0m LENGTH 188m THICKNESS 0.10m A. MATERIALS: 376 bags Portland Cement 21 cu.m White Sand 41 cu.m Gravel 5 cu.m Lastillas 60 bd ft. Cocolumber 6 kgs CWN (Asstd) B. LABOR: 1 Foreman 2 Skilled Labor</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</si>
  <si>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</si>
  <si>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Republic of the Philippines Province of Bohol MUNICIPALITY OF GETAFE BIDS AND AWARDS COMMITTEE ________________________________________ INVITATION TO BID ( 2nd Public Bidding ) FOR PROCUREMENT OF SECURITY SERVICES FOR THE MONTH OF JULY TO DECEMBER 2020 	T</t>
  </si>
  <si>
    <t xml:space="preserve"> 1.	The Municipal Government of Burgos, Ilocos Norte, through the Special Education Fund intends to apply the sum of PhP248,000.00 being the Approved Budget for the Contract (ABC) to payments under the contract for Purchase of Equipment and Supplies for IC</t>
  </si>
  <si>
    <t xml:space="preserve"> 1.	The Municipal Government of Burgos, Ilocos Norte, through the Special Education Fund intends to apply the sum of PhP184,800.00 being the Approved Budget for the Contract (ABC) to payments under the contract for Purchase of Workbooks for Day Care Childr</t>
  </si>
  <si>
    <t xml:space="preserve"> NOTE: 1.	The approved budget for the contract is 	102,918.98 2.	Delivery period within 	7 	calendar days 3.	Warranty shall be for a period of three (3) months for expendable supplies, One year for non-expendable supplies from date of acceptance by the Pro</t>
  </si>
  <si>
    <t xml:space="preserve"> Description BARANGAY GOVERNMENT OF SAN ISIDRO Valencia City, Bukidnon, Philippines Contract Reference No. 2020-21-08 INVITATION TO BID FOR THE FABRICATION OF WINDOW GRILLS 1.	The Barangay Government of San Isidro, Valencia City, Bukidnon through the SEF-2</t>
  </si>
  <si>
    <t xml:space="preserve"> 100	Pcs	PVC Pipe Size: 4 inch x 10ft. Color: Orange 		-Neltex or its equivalent 50	Pcs	PVC Pipe Elbow Size: 4 inches Color: Orange 		-Neltex or its equivalent 2	Can	PVC Solvent Cement 1/12liter</t>
  </si>
  <si>
    <t xml:space="preserve"> 1	Unit	Mouse, optical, USB connection type 20	Piece	Flash Drive, 16GB 9	Can	Air Freshener, Aerosol type 1	Can	Insecticide, Aerosol type 35	Bottle	Alcohol, ethyl 40	Pack	Toilet Tissue Paper, 2ply 3	piece	Waste Basket, Non-rigid plastic 5	Box	Clip backfold,</t>
  </si>
  <si>
    <t xml:space="preserve"> Please see BAC Chairman &amp; attached document</t>
  </si>
  <si>
    <t xml:space="preserve"> 16 BOTTLES EPSON MAGENTA 664 6 BOTTLES CANON INK BLACK #810 6 BOTTLES CANON INK COLORED #811</t>
  </si>
  <si>
    <t xml:space="preserve"> REQUEST FOR QUOTATION					 _______________________________________				Date	August 14, 2020                         Name of Supplier				Quotation No.:  	2020-172 _______________________________________					                               Adrdress					 					</t>
  </si>
  <si>
    <t xml:space="preserve"> PROPOSED REPAIR AND RENOVATION OF OPEN CANAL AND DE CLOGGING AT VARIOUS STREETS AT BRGY. BAGONG BAYAN, SAN PABLO CITY</t>
  </si>
  <si>
    <t xml:space="preserve"> Republic of the Philippines MUNICIPALITY OF BUENAVISTA INVITATION TO RE-BID FOR SUPPLY AND DELIVERY OF OFFICE SUPPLIES FOR BUDGET, HRMO AND MSWD OFFICE    1.	The Local Government Unit of Buenavista, Marinduque through the fund from the MOOE (Office Suppli</t>
  </si>
  <si>
    <t xml:space="preserve"> Enhance the CCTV Camera in barangay.</t>
  </si>
  <si>
    <t xml:space="preserve"> 1. 54 Bags of Good Quality Rice</t>
  </si>
  <si>
    <t xml:space="preserve"> 2 units 6 Wheeler Cargo Truck (w/ specifications)</t>
  </si>
  <si>
    <t xml:space="preserve"> 1.	The Municipal Government of Burgos, Ilocos Norte, through the Special Education Fund intends to apply the sum of PhP180,000.00 being the Approved Budget for the Contract (ABC) to payments under the contract for Internet Connectivity Subscription (DepEd</t>
  </si>
  <si>
    <t xml:space="preserve"> 8 pcs Pumpboat Cases 7 pcs. Engine 10 HP 2 pcs. Engine 16 HP</t>
  </si>
  <si>
    <t xml:space="preserve"> Republic of the Philippines        PROVINCE OF BUKIDNON             Don Carlos, Bukidnon Invitation to Bid for the Proposed Construction of the Material Recovery Facility  at Barangay San Nicolas, Don Carlos, Bukidnon (Straight Contract) (Project Referenc</t>
  </si>
  <si>
    <t xml:space="preserve"> Please see attached document.</t>
  </si>
  <si>
    <t xml:space="preserve"> 1	Unit	2SM Battery (Gold) 4	Pcs	Tire 225/70R15C</t>
  </si>
  <si>
    <t xml:space="preserve"> REQUEST TO SUBMIT PROPOSAL FOR LABOR AND MATERIALS FOR FABRICATION OF STAINLESS CUTOUT LETTERS SIGNAGE FOR RESEARCH DIVISION WITH LOGO AND REGIONAL ORGANIC AGRICULTURE R &amp; D CENTER BUILDING AT APPROVED BUDGET FOR THE CONTRACT AMOUNTING TO TWO HUNDRED TWEN</t>
  </si>
  <si>
    <t xml:space="preserve"> 26	Bag	Vermicast				 14	Bag	Urea				 11	Bag	Complete				 4	Bag	Muriate of Potash				 240	Kg	Molasses				 20	Bag	Vermicompost				 10	Bag	Dolomitic Lime				 15	Bag	Calcium Carbonate				 22	Bag	Organic Fertilizer (processed chicken manure)				 1	Bag	Solophos</t>
  </si>
  <si>
    <t xml:space="preserve"> 10 KVA,240 Volts,double bushing with Complete Accessories.</t>
  </si>
  <si>
    <t xml:space="preserve"> Supply and Delivery of 1 unit Drone Camera Aircraft with complete accessories Delivery:  Atleast 15 days upon confirnation of NTP ABC: PhP 100,000.00 with atleast have the following requirement : air craft, GPS &amp; vision  position -based navigation; Three </t>
  </si>
  <si>
    <t xml:space="preserve"> See attached POW at associated components for details.</t>
  </si>
  <si>
    <t xml:space="preserve"> WHEREAS, the Members of the Bids of the Bids and Awards Committee (BAC) of Musuan Elementary School had agreed to issue a recommendation to the School Principal regarding Negotiated procurement as the alternative mode of procurement for feeding supplies. </t>
  </si>
  <si>
    <t xml:space="preserve"> REQUEST TO SUBMIT PROPOSAL FOR THE SUPPLY, DELIVERY AND TESTING OF TWO (2)  UNITS 25 KVA DISTRIBUTION TRANSFORMER 13.2 KV/230V UNDER CORN PROGRAM WITH APPROVED BUDGET FOR THE CONTRACT AMOUNTING TO TWO HUNDRED THIRTY  THOUSAND  PESOS  (₱230,000.00) PURSUAN</t>
  </si>
  <si>
    <t xml:space="preserve"> Item I Earthworks Item II Concrete Works Item III Rebar Works Item IV Form Works Item V Masonry Works Item VI Steel Works Item VII Roofing Works Item VIII Ceiling Works Item IX Plumbing Works Item x Tile Works</t>
  </si>
  <si>
    <t xml:space="preserve"> Meals and Snacks for the Participants on Basic Sewing Day 1 AM Snacks (Bijon Guisado, Bread and Bottled water) - 90 pax Lunch (Rice, Pork Adobo, Banana and Bottled water) - 90 pax PM Snacks (Cassava Cake and Bottled iced tea) - 90 pax Day 2 AM Snacks (Mac</t>
  </si>
  <si>
    <t xml:space="preserve"> Republic of the Philippines Province of Oriental Mindoro MUNICIPALITY OF NAUJAN BIDS AND AWARDS COMMITTEE INVITATION TO BID SUPPLY &amp; DELIVERY OF MATERIALS TO BE USED IN THE CONSTRUCTION OF PERIMETER FENCE AT CENTRAL BUSINESS DISTRICT, BARANGAY PINAGSABANG</t>
  </si>
  <si>
    <t xml:space="preserve"> 1. 175 boxes Paracetamol tab, 500 mg, 100 tab/box	 2. 432 bottles Paracetamol suspension, 125 mg, 60 ml	 3. 144 bottles Paracetamol drop, 100 mg/ml	 4. 50 boxes Cefalexin capsule, 500 mg, 100's/box	 5. 288 bottles Cefalexin suspension, 125 mg / 60 ml.	 6.</t>
  </si>
  <si>
    <t xml:space="preserve"> 1 unit	 LAPTOP Specifications: Processor: Intel Core i7-8550U 8th Gen (1.8GHz/ 8MB Cache) Graphics: Intel (R) HD Graphics 620 Storage: 256GB M.2 PCle SSD Memory: 8GB DDR4 2400 Mhz Screen: 13.3’’ FHD (1920x 1080) touch Battery: 3-cell (integrated) Operatin</t>
  </si>
  <si>
    <t xml:space="preserve"> Deliveries of Supplies and materials for INSTALLATION OF WATER SYSTEM (BAWASA) of Barangay Maulawin Sta Elena, Camarines Norte.</t>
  </si>
  <si>
    <t xml:space="preserve"> Upgrading/Installation of Public Address System.</t>
  </si>
  <si>
    <t xml:space="preserve"> Item No.	Unit	Description	Qty 1	pcs	Plastic Palllet Dimmension 1000x1000x150mm Color Blue Type Heavy weight Fork entry 4way static load 6 tons dynamic load 2 1/2 tons packing load 2 tons	135 * * * * * * * * * * * * * * * * * * * * * * * * NOTHING FOLLOWS </t>
  </si>
  <si>
    <t xml:space="preserve"> 3 Tonners Floor Type Aircondition.</t>
  </si>
  <si>
    <t xml:space="preserve"> HOLHOG FLUME</t>
  </si>
  <si>
    <t xml:space="preserve"> Medicine</t>
  </si>
  <si>
    <t xml:space="preserve"> 7 units Motorcycle SPECIFICATIONS: 	General Information  	Model: 125 dual Sport  	Engine &amp; Transportation 	Displacement: 124.80(7.62 cubic inches) 	Engine Type: Single Cylinder, four stroke 	Power: 9.40 HP (6.9kw) @ 7500RPM 	Torque: 10.40 nm (1.1 kgf-m or</t>
  </si>
  <si>
    <t xml:space="preserve"> ACTIVITIES	SCHEDULE 1.	Issuance of Bid Documents	August 24, 2020 2.	Pre-Bid conference	 3.	Opening of Bids	September 4, 9:00 A.M. 4.	Bid Evaluation	September 4, 2020 5.	Post-qualification	September 7, 2020 6.	Notice of Award	September 10, 2020</t>
  </si>
  <si>
    <t xml:space="preserve"> Clearing &amp; Grubbing Roadway Excavation Embankment Subgrade Preparation Aggregate Subbase Coarse Aggregate Base Coarse PCCP Project Billboard</t>
  </si>
  <si>
    <t xml:space="preserve"> Small Value Procurement. . .</t>
  </si>
  <si>
    <t xml:space="preserve"> see attached PR POW</t>
  </si>
  <si>
    <t xml:space="preserve"> Requesting for Quotation (RFQ) for PR No. 2008118  Interested suppliers are invited to submit Sealed Price Quotations for the above listed items. The Request for Quotation (RFQ) for may be obtained from Mr. Albert A. Camarillo City General Services Office</t>
  </si>
  <si>
    <t xml:space="preserve"> various Supply as per Purchase Request</t>
  </si>
  <si>
    <t xml:space="preserve"> Requesting for Quotation (RFQ) for PR No. 2008093  Interested suppliers are invited to submit Sealed Price Quotations for the above listed items. The Request for Quotation (RFQ) for may be obtained from Mr. Albert A. Camarillo City General Services Office</t>
  </si>
  <si>
    <t xml:space="preserve"> Republic of the Philippines Province of Bohol Municipality of Getafe Bids and Awards Committee Poblacion, Getafe, Bohol Telephone No. (038) 514-9048 INVITATION TO BID  	The Municipality of Getafe, Province of Bohol through its Bids and Awards Committee (B</t>
  </si>
  <si>
    <t xml:space="preserve"> INVITATION TO BID FOR  REHABILITATION OF WATER SYSTEM  (Laying of 63mm x 2,040 Linear Meter HDPE Pipe with 20 units of Water Meter) 1.	The Barangay Local Government Unit  of Bag-ong Clarin through the 2016-2018 – 20% Barangay Development Fund intends to a</t>
  </si>
  <si>
    <t xml:space="preserve"> 800 BAG/S PORTLAND CEMENT - with delivery at Municipal Warehouse</t>
  </si>
  <si>
    <t xml:space="preserve"> Description   REQUEST FOR QUOTATION (RFQ) The PNP through the Bids and Awards Committee (BAC) of the Municipality of Banaybanay, Davao Oriental hereby notifies and invites you to submit your quotation/bid for the hereunder proposed project/request, viz: F</t>
  </si>
  <si>
    <t xml:space="preserve"> 1 pc. 1000L Tank (Plastic) 1 pc. 1” x 3/4” PVC Reducer 1 length 2” dia G.I Pipe S40 1 length 1 ½” dia G.I. Pipe S40 1 kg. Welding Rod 1 gal. Paint, Metal Primer, red oxide 1 job Installation cost drip irrigation system</t>
  </si>
  <si>
    <t xml:space="preserve"> 150	Bag	Inbred Rice-40 kilo per ha 40kg/bag			 100	Liters	Insecticide (green labeled, cypermethrin 1L/bottle)			 101	Liters	Herbicides (for broad leaves, post emergence, 2 seasons)			 25	Box	Molluscicide (10 packs/box)			 168	Bags	Mallard Layer Duck Feeds</t>
  </si>
  <si>
    <t xml:space="preserve"> Requesting for Quotation (RFQ) for PR No. 2008094  Interested suppliers are invited to submit Sealed Price Quotations for the above listed items. The Request for Quotation (RFQ) for may be obtained from Mr. Albert A. Camarillo City General Services Office</t>
  </si>
  <si>
    <t xml:space="preserve"> One (1) unit Brand new Coaster (29 seaters) SPECIFICATIONS:					 Engine:						        D4GA14 (EURO4) Cylinder:						        4 in-line Displacement:					        3,933 cc Maximum Power:					140 ps/2,700 rpm Maximum Torque:					40kg-m/1,400 rpm Clutch Type:	</t>
  </si>
  <si>
    <t xml:space="preserve"> 50 lengths Angle Bar 1/4 x 1"x 1" 2 boxes Blind Rivets 3/16 x 3/4 5 pieces Drill Bit 3/16 x 3/4 15 lengths G.I. Pipe 3 inches (sched. 40)(100mm) 5 kg Welding Rod (1370) 4 pieces Hacksaw Blade</t>
  </si>
  <si>
    <t xml:space="preserve"> Label		 		1.Product label design		 1	Pc	1st draft		 1	Pc	Final design		 6,500	Pc	2.Product label Printing</t>
  </si>
  <si>
    <t xml:space="preserve"> September 01, 2020 100 covers Snacks AM- Pancit malabon, buko juice and fruits 100 covers Lunch- Fish, meat and vegetable viand with unlimited rice 100 covers Snacks PM- Clubhouse sandwich and mango juice 100 covers Dinner- Fish, meat and vegetable viand </t>
  </si>
  <si>
    <t xml:space="preserve"> I. LANDSCAPING OF MUNICIPAL HALL GROUNDS, ABC: PhP 347,550.50		 6	pcs.	2"Ø G.I. Pipe sched. 40 28	pcs.	3/4"Ø G.I. Pipe sched. 20 28	pcs.	1.2mm thk. x 2" x2 "  tubular 20	pcs.	10 mm dia. Plain round bar 18	pcs.	6mm. x 1200mm. x 4880mm. Twin wall Polycarbon</t>
  </si>
  <si>
    <t xml:space="preserve"> Supplies and Materials</t>
  </si>
  <si>
    <t xml:space="preserve"> Description   REQUEST FOR QUOTATION (RFQ) The MOTORPOOL through the Bids and Awards Committee (BAC) of the Municipality of Banaybanay, Davao Oriental hereby notifies and invites you to submit your quotation/bid for the hereunder proposed project/request, </t>
  </si>
  <si>
    <t xml:space="preserve"> IMPROVEMENT OF DRAINAGE SYSTEM (CANAL) BLK 15 LOT 1, CARISSA 2A, BRGY. KAYPIAN, CSJDM, BULACAN</t>
  </si>
  <si>
    <t xml:space="preserve"> Request for Quotation for the Procurement of Other Supplies to be used in support to the conduct of Community-Based Participatory Research (CPAR) on Rice-Based Farming System in the Municipality of Ubay, Province of Bohol 1.	The Department of Agriculture-</t>
  </si>
  <si>
    <t xml:space="preserve"> RE-BIDDING FOR THE REPAIR OF CONFERENCE ROOM, STAFFHOUSE, EA OFFICE AND DRYER HOUSE THRU SMALL VALUE PROCUREMENT UNDER THE REVISED IRR OF RA 9184 WILL BE HELD ON AUGUST 27, 2020, 2:00 PM AT NATIONAL FOOD AUTHORITY SORSOGON PROVINCIAL OFFICE CONFERENCE ROO</t>
  </si>
  <si>
    <t xml:space="preserve"> 1350 BAG/S PORTLAND CEMENT - with delivery at Municipal Warehouse PROCUREMENT</t>
  </si>
  <si>
    <t xml:space="preserve"> INVITATION TO BID  for  Concreting of Brgy. Babuyan Road, Infanta, Pangasinan Solicitation No. PANG-2020-1031 1.	The Provincial Government of Pangasinan, through the Construction, Repair &amp; Maintenance of Various Roads and Bridges (PR#2020-07-6415) intends</t>
  </si>
  <si>
    <t xml:space="preserve"> Cardava and Other Variety Banana Production.</t>
  </si>
  <si>
    <t xml:space="preserve"> Republic of the Philippines Province of Nueva Vizcaya BIDS AND AWARDS COMMITTTEE (GOODS) BAC OFFICE, Provincial Capitol, Bayombong, Nueva Vizcaya 	 		 REQUEST FOR QUOTATION (RFQ) For the Procurement of Office Supplies For the Provincial Agricultural Offic</t>
  </si>
  <si>
    <t xml:space="preserve"> Surplus Common Excavation Structure Excavation Sub-grade Preparation Aggregate Sub-base Coarse Aggregate Base Coarse PCCP Reinforcing Steel Bars Structural Concrete (Class A)</t>
  </si>
  <si>
    <t xml:space="preserve"> A. Labor Diagnose Check Engine Replace Clutch Lining Set Replace Brake Cyl Cup &amp; Boot Kit Replace FR Brake Pin Replace Shock Absorber (Both Side) Replace Stabilizer (Both Side) B. Materials 4 pcs. Pin, FR Brake 2 pcs. Cup + Boot Kit, RR Brake Cyl 1 pc. Di</t>
  </si>
  <si>
    <t xml:space="preserve"> Various office supplies and devices</t>
  </si>
  <si>
    <t xml:space="preserve"> Rehabilitation of Multi-Purpose Hall Building (Fence)</t>
  </si>
  <si>
    <t xml:space="preserve"> Please see attached canvass (RFQ) form / TOR for complete specifications. DATE OF SUBSCRIPTION: AS PER SCHEDULED DATE</t>
  </si>
  <si>
    <t xml:space="preserve"> 1 Repair of 6 units Swimming Pool Water Pump (including Spare Parts &amp; Labor) Specification:  Horsepower: 3.0 HP Service Factor: 1.15 Total Horsepower: 3.45</t>
  </si>
  <si>
    <t xml:space="preserve"> INVITATION TO BID  for  Concreting of Pathwalk at Cabaoangan Farm to Market Road, Brgy. Siblot, San Nicolas, Pangasinan Solicitation No. PANG-2020-1032 1.	The Provincial Government of Pangasinan, through the Construction, Repair &amp; Maintenance of Various R</t>
  </si>
  <si>
    <t xml:space="preserve"> Item I Embankment Item II Concrete &amp; Masonry Works Item III Roof &amp; Roof Framing System Item IV Form Works</t>
  </si>
  <si>
    <t xml:space="preserve"> Republic of the Philippines MUNICIPALITY OF BUENAVISTA INVITATION TO RE-BID FOR SUPPLY AND DELIVERY OF DIGITAL COPYPRINTER FOR DEPED BUENAVISTA    1.	The Local Government Unit of Buenavista, Marinduque through the fund from the Special Education Fund (SEF</t>
  </si>
  <si>
    <t xml:space="preserve"> Requesting for Quotation (RFQ) for PR No. 2008060  Interested suppliers are invited to submit Sealed Price Quotations for the above listed items. The Request for Quotation (RFQ) for may be obtained from Mr. Albert A. Camarillo City General Services Office</t>
  </si>
  <si>
    <t xml:space="preserve"> Project Description Length 180 In. mtrs. Thickness 100mm. Width 1.0 mtr. ESTIMATES I. Preparation of Base II. Concrete Pavement</t>
  </si>
  <si>
    <t xml:space="preserve"> Description   REQUEST FOR QUOTATION (RFQ) The MO through the Bids and Awards Committee (BAC) of the Municipality of Banaybanay, Davao Oriental hereby notifies and invites you to submit your quotation/bid for the hereunder proposed project/request, viz: FO</t>
  </si>
  <si>
    <t xml:space="preserve"> 1 30 SHT/S PLYWOOD - Ordinary -4mmx4'x8' 2 10 KG/S. CWN - #4" 3 10 KG/S. CWN - #3" 4 10 KG/S. CWN - #1" 5 1100 LGTH/S DRB - 10.0mm.dia. x 6.0m gr.33 6 50 KG/S. G.I. TIE WIRE - #16 7 10 PC/S HACKSAW BLADE - - 8 5 MTR/S WIRE SCREEN - G.I -1/8" 9 40 MTR/S TR</t>
  </si>
  <si>
    <t xml:space="preserve"> Construction of 50 linear mater x .40m covered Drainage Canal</t>
  </si>
  <si>
    <t xml:space="preserve"> 1	1	unit	Laptop Computer				 		 	Intel Core i7 1051OU				 			8 GB Memory DDR4				 			Storage: 512 GB NUME				 			Graphics: MX 230 2 GB				 			14" Display				 			Backpack, Mouse				 			Mouse Pad				 			OS: Windows 10 Home License				 			MS Office Home &amp; Bu</t>
  </si>
  <si>
    <t xml:space="preserve"> Requesting for Quotation (RFQ) for PR No. 2008058  Interested suppliers are invited to submit Sealed Price Quotations for the above listed items. The Request for Quotation (RFQ) for may be obtained from Mr. Albert A. Camarillo City General Services Office</t>
  </si>
  <si>
    <t xml:space="preserve"> Republic of the Philippines  City of Canlaon Office of the Bids and Awards Committee  INVITATION TO BID FOR the Procurement of one (1) unit Mobile Water Filtration System The Local Government of Canlaon City, through Acquisition of Water Filtration System</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</si>
  <si>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</si>
  <si>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INVITATION TO BID  for  Concreting of Quiray Road in Sitio Kadampat at Brgy. Bolo, Labrador, Pangasinan Solicitation No. PANG-2020-1033 1.	The Provincial Government of Pangasinan, through the Construction, Repair &amp; Maintenance of Various Roads and Bridges</t>
  </si>
  <si>
    <t xml:space="preserve"> SUPPLIES AND MATERIALS FOR MODULE REPRODUCTION</t>
  </si>
  <si>
    <t xml:space="preserve"> MABBALAT DRAINAGE CONTINUATION (NEAR POLEN BAHNI'S PLACE)</t>
  </si>
  <si>
    <t xml:space="preserve"> 1	4 pcs	Toner TN118 (ineo 215)	 2	5 boxes	HP Toner 85A Toner	 3	10 boxes 	Bond Paper (long)	 4	10 boxes	Bond Paper (A4)	 5	10 boxes	Bond Paper (short)	 6	10 pcs	File Box with cover	 7	200 pcs	White Folder (long)	 8	6 pcs	Masking Tape (2")	 9	10 bottles	Ep</t>
  </si>
  <si>
    <t xml:space="preserve"> For FDMO use.</t>
  </si>
  <si>
    <t xml:space="preserve"> Procurement and Delivery of one (1) Unit Brand New Recue Vehicle with accessories (Toplight w/PA System, Tow Hitch w/ball receiver, Winch, Bulbar w/winch, Bracket w/wings, Reflective logo sticker) for the Municipal Government of Palanan, Isabela</t>
  </si>
  <si>
    <t xml:space="preserve"> Welfare Goods Expenses relief goods</t>
  </si>
  <si>
    <t xml:space="preserve"> Republic of the Philippines Province of Siquijor Municipality of Maria Barangay Local Government Unit of Cantugbas of the Municipality of Maria Invitation to Bid for CONSTRUCTION R.C. WATER RESERVOIR  /TUGBAS-0001I-2020 The Barangay Local Government Unit </t>
  </si>
  <si>
    <t xml:space="preserve"> 144 pax Meals &amp; Snacks Menu: (A.M. Snacks)            Torta &amp; Juice in Can           (Lunch)          Rice, Litson Kawali, Chopsuey,          Bottled Water</t>
  </si>
  <si>
    <t xml:space="preserve"> INVITATION TO BID Sealed proposal in ink typewritten one (1) copy will be received fro bonafide contractors on September 2, 2020 at 3:00 PM at Barangay Hall, Barangay CULAYLAY, this city on which date, time and place the bid will publicly opened in the pr</t>
  </si>
  <si>
    <t xml:space="preserve"> disinfectant materials</t>
  </si>
  <si>
    <t xml:space="preserve"> 7 units Laptop with Headset 6 unit Printer (4n1) continuous ink 1 unit Desktop Computer Set w/ DV-R and other accessories &amp; Computer Table</t>
  </si>
  <si>
    <t xml:space="preserve"> 90 sacks Unshelled Peanut Seeds (25 kilos per sack)</t>
  </si>
  <si>
    <t xml:space="preserve"> 1 300 LGTH/S DRB - 10.0mm.dia. x 6.0m gr.33 2 30 KG/S. G.I. TIE WIRE - #16 3 10 KG/S. CWN - #4" 4 10 KG/S. CWN - #3" 5 15 PAN/S PLYWOOD - Marine-1.2'x2.4x5mm 6 4 PC/S HACKSAW BLADE - -</t>
  </si>
  <si>
    <t xml:space="preserve"> Installation (Update/Input of LGU Website) for LGU Transparency and Information</t>
  </si>
  <si>
    <t xml:space="preserve"> Republic of the Philippines Province of Davao Oriental City of Mati BIDS &amp; AWARDS COMMITTEE INVITATION TO BID LOT Procurement of T-SHIRT with PRINT for the Use of the Provincial Governor’s Office SOURCE OF FUND: PGO [1011-5-02-99-990-01-01] 1.	The Provinc</t>
  </si>
  <si>
    <t xml:space="preserve"> Rehabilitation and Maintenance of PA System of this Barangay.</t>
  </si>
  <si>
    <t xml:space="preserve"> INVITATION TO BID The Philippine Children’s Medical Center, through DOH-HFEP CY 2020 intends to apply the sum of Two Million Pesos (Php 2,000,000.00) being the Approved Budget for the Contract (ABC) to payment under the contract for the following project.</t>
  </si>
  <si>
    <t xml:space="preserve"> The Barangay Bojo of Aloguinsan invites prospective bidders to bid for the project "Supply of Communication Device (Smart Phones)". Source of Fund:SK Fund ABC: Php 129,950 The complete schedule of activities will be as follows: 1.Issuance of Bidding Docum</t>
  </si>
  <si>
    <t xml:space="preserve"> ITEM NO.	DESCRIPTION	QUANTITY	UNIT 			 PART A	FACILITIES FOR THE ENGINEER	 	  A.1.1 (1)	Construction of Field Office including provision of furniture for the Engineer, 40 sq.m.	40.00	sq.m.  	TOTAL OF PART A	 	  PART B	OTHER GENERAL REQUIREMENTS	 	  B.4 (8</t>
  </si>
  <si>
    <t xml:space="preserve"> 928	pcs	0.60m x 0.60 granito tiles (for function and stage only) as per approved sample 15	pcs	2" x 2.50m Stair Nosing (Aluminum) 90	pcs	3/16 x 1 1/2" Metal Screw with Toks 49	bags	Tile Adhesive 11	bags	Skimcoat 3	pcs	Spatula 20	pcs	1" Masking Tape (big) </t>
  </si>
  <si>
    <t xml:space="preserve"> 7 drums Chlorine Granules 70% For Drinking water</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</si>
  <si>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</si>
  <si>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INVITATION TO BID  for  Concreting of Litac – Namacalan Road at Brgy. Boboy, Agno, Pangasinan Solicitation No. PANG-2020-1034 1.	The Provincial Government of Pangasinan, through the Construction, Repair &amp; Maintenance of Various Roads and Bridges (PR#2020-</t>
  </si>
  <si>
    <t xml:space="preserve"> Shopping. . .</t>
  </si>
  <si>
    <t xml:space="preserve"> City Government of La Carlota								          Standard Form Number: SF-GOOD-59 Revised on: May 24, 2004 Standard Form Title: REQUEST FOR QUOTATION 												Date: ______________ 												Quotation No.________ Company Name Address 	Please quote your </t>
  </si>
  <si>
    <t xml:space="preserve"> Reference No. PR # 20-08-1020 PRICE QUOTATION FORM (BID FORM) Sealed Bids shall be dropped in the BIDDERS BOX on or before 2:00 P.M.  August 27, 2020   placed at the office of the Chairman of the College BAC. Thereafter, the Bidder's Box shall be sealed u</t>
  </si>
  <si>
    <t xml:space="preserve"> Contract ID: 20PL0126 Contract Name: Construction of 2STY4CL (Modified Plan), Pantar Elementary School, Tabuk City, Kalinga Contract Location: Tabuk City, Kalinga Brief Description: Construction of 2STY 4CL School Building Approved Budget for the Contract</t>
  </si>
  <si>
    <t xml:space="preserve"> 1 UNIT/S TELEVISION - 45 INCHES - LED TV - RESOLUTION-1920X1080 FULL HD/LED BACKLIGHT</t>
  </si>
  <si>
    <t xml:space="preserve"> Disinfectant Materials</t>
  </si>
  <si>
    <t xml:space="preserve"> Please Furnish us the following articles subject to the terms and conditions Keyboard   - 4pc Mouse   -  5pcs Headset   - 20pcs WebCam   - 20pcs VGA Cable    -3pcs UPS    -  1 unit Switch Hub  - 2 pcs Router   - 2 units</t>
  </si>
  <si>
    <t xml:space="preserve"> Donation for Barangay Office of San Juan, Cabagan, Isabela LGU Cabagan Cabagan, Isabela</t>
  </si>
  <si>
    <t xml:space="preserve"> use for Daycare Centers of Panabo City</t>
  </si>
  <si>
    <t xml:space="preserve"> The DENR-PENRO Negros Occidental intends to procure the following furnitures and fixtures for official use of Mount Kanlaon Natural Park (MKNP) to wit; 1. 4 Units Filing Cabinet 2. 1 Unit Executive Chair 3. 9 Units Office Staff Chair 4. 20 Units Black Jas</t>
  </si>
  <si>
    <t xml:space="preserve"> Various materials and supplies for face shield training.</t>
  </si>
  <si>
    <t xml:space="preserve"> INVITATION TO BID  for  Reconstruction of Three (3) Barrel Reinforced Concrete Box Culvert at Brgy. Cacayasen, Burgos, Pangasinan Solicitation No. PANG-2020-1035 1.	The Provincial Government of Pangasinan, through the Construction, Repair &amp; Maintenance of</t>
  </si>
  <si>
    <t xml:space="preserve"> (Please see attached RFQ and list of specifications)</t>
  </si>
  <si>
    <t xml:space="preserve"> ---------Qty.-------------Unit----------------ITEM/S DESCRIPTION ----------10-------------pcs-----------------Ink (Epson 003) ----------20-------------pcs-----------------Gestetner copy Printer Ink - DX2430</t>
  </si>
  <si>
    <t xml:space="preserve"> Please quote your lowest price on the item(s) listed below, subject to the Terms and Conditions stated below and									 submit your quotation duly signed by your representative not later than 10:00 A.M. of August 28, 2020  in 									 the return envelo</t>
  </si>
  <si>
    <t xml:space="preserve"> Republic of the Philippines Province of Davao Oriental City of Mati BIDS &amp; AWARDS COMMITTEE INVITATION TO BID LOT Procurement of MATERIALS for Use in the Construction of Potable Water System at Sitio Lungagon, Brgy. Lucatan, Tarragona, Davao Oriental SOUR</t>
  </si>
  <si>
    <t xml:space="preserve"> Hiring of vehicle during the conduct of FGD Briefing/Orientation of RRP Research Protocol on Achieving Outputs and Field Monitoring. No.	Scope of Work	Quantity	Unit_Cost	ABC 	Date                                                    Itinerary			 	September </t>
  </si>
  <si>
    <t xml:space="preserve"> CONSTRUCTION OF TOURISM &amp; DISASTER RESILIENT INFRASTRUCTURE FACILITY (LABOR &amp; EQUIPMENT RENTAL ) AT MAINIT, MACO, DAVAO DE ORO.</t>
  </si>
  <si>
    <t xml:space="preserve"> --------Qty.------------Unit--------------ITEM/S DESCRIPTION --------500------------bot---------------Alcohol Ethyl 70% 500ml --------200------------bot---------------Hand Sanitizer 500ml/refill --------200------------pcs---------------Permanent Marker --</t>
  </si>
  <si>
    <t xml:space="preserve"> Invitation to Bid 1.	The BARANGAY GOVERNMENT OF POBLACION, SAN VICENTE, PALAWAN through the 20% Development fund for Calendar Year 2020 intends to apply the sum of NINETY THOUSAND PESOS ONLY (Php 90,000.00) being the Approved Budget for the Contract (ABC)</t>
  </si>
  <si>
    <t xml:space="preserve"> Republic of the Philippines Province of Capiz Municipality of Mambusao Barangay Bungsi Invitation to Bid for a One (1) Job Order for the Supply of Labor, Materials and Equipment for Concreting of Road    The Barangay Council of Barangay Bungsi through its</t>
  </si>
  <si>
    <t xml:space="preserve"> INVITATION TO BID  for  Concreting of Farm to Market Road at Brgy. Payar, Malasiqui, Pangasinan Solicitation No. PANG-2020-1037 1.	The Provincial Government of Pangasinan, through the Construction, Repair &amp; Maintenance of Various Roads and Bridges (PR#202</t>
  </si>
  <si>
    <t xml:space="preserve"> Concreting of Road / Alley at Sitio San Isidro</t>
  </si>
  <si>
    <t xml:space="preserve"> SECURITY PLANT COMPLEX       DEPARTMENT OF GENERAL SERVICES       Procurement Division    2nd RFQ 1.	The Bangko Sentral ng Pilipinas requests quotations for the hereunder requirement: Name of the Requirement/ Brief Description	:	Supply and Delivery of Var</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</si>
  <si>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</si>
  <si>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Construction of Slope Protection and Line Canal @ Diversion Road, Bolod &amp; Terraplin, San Pascual, Masbate</t>
  </si>
  <si>
    <t xml:space="preserve"> 1 UNIT/S TELEVISION - LED - 32 INCHES</t>
  </si>
  <si>
    <t xml:space="preserve"> 1 length BI Pipe 4"dia x 6m (series 10) 0.5 length BI Pipe 2"dia x 6m (series 10) 4 pcs. Steel Elbow 4"dia x 90deg. (welded joint) 2 pcs. CI Gate Valve (F/F) 4"dia w/BNG 4 pcs. CI Elbow 4"dia x 90deg. (F/F) w/BNG 2 pcs. Dresser Coupling 4"dia w/BNG 8 pcs.</t>
  </si>
  <si>
    <t xml:space="preserve"> 1	6 pcs	Partition Panel	 		*thickness: 5 cm.	 		*Dim: H120X W60 cm.	 		*Color: Gray	 2	5 pcs	Partition Panel	 		*thickness: 5 cm.	 		*Dim: H72 X W110 cm.	 		*Color: Gray	 3	5 pcs	Table Top	 		*30 mm thick top	 		*Scratch and Chemical Resistant	 		*Dim: L1</t>
  </si>
  <si>
    <t xml:space="preserve"> Requesting for Quotation (RFQ) for PR No. 2008122  Interested suppliers are invited to submit Sealed Price Quotations for the above listed items. The Request for Quotation (RFQ) for may be obtained from Mr. Albert A. Camarillo City General Services Office</t>
  </si>
  <si>
    <t xml:space="preserve"> Supply and Delivery of Tools and Equipment, Personal Protective Equipment and Construction Supplies 1	1 	lot		Tools and Equipment	 	12 	pc		Bolo (Kawit Style)	 	12 	pc		Carborandum, heavy duty	 	10 	pc		Plastic drum, 200 liters	 	1 	roll		Garden hose, 100</t>
  </si>
  <si>
    <t xml:space="preserve"> Republic of the Philippines SUGAR REGULATORY ADMINISTRATION North Avenue, Diliman, Quezon City 													                                            8/12/2020 										         Date REQUEST FOR QUOTATION Gentlemen: 		Please quote your lowest prices, t</t>
  </si>
  <si>
    <t xml:space="preserve"> Electronic devices and ICT equipment</t>
  </si>
  <si>
    <t xml:space="preserve"> INVITATION TO BID FOR PROCUREMENT OF MATERIALS FOR IMPROVEMENT OF PATHWAY 1.	The [Barangay Local Government Unit of San Antonio, Pasacao, Camarines Sur], through the [Barangay Development Fund CY 2020] intends to apply the sum of [Ninety Nine Thousand Fou</t>
  </si>
  <si>
    <t xml:space="preserve"> PURCHASE OF 3 UNITS OF TABLE TOP TYPE PHOTOCOPIER MACHINE</t>
  </si>
  <si>
    <t xml:space="preserve"> CONSTRUCTION OF TOURISM &amp; DISASTER RESILIENT INFRASTRUCTURE FACILITY (MATERIALS) AT MAINIT, MACO, DAVAO DE ORO.</t>
  </si>
  <si>
    <t xml:space="preserve"> INVITATION TO BID  for  Construction of Box Culvert at Sitio Apoler, Tobuan, Labrador, Pangasinan Solicitation No. PANG-2020-1036 1.	The Provincial Government of Pangasinan, through the Construction, Repair &amp; Maintenance of Various Roads and Bridges (PR#2</t>
  </si>
  <si>
    <t xml:space="preserve"> Brass Water Meters 1/2", 3/4", &amp; 2" Plastic Water Meters 1/2" Flow Meter 6" MJMJ ( with mechanical joint to connect and be fitted to 6" PVC Pipes) This is a 1 lot procurement. The total lowest bid of water meters will be the winning bidder. We require the</t>
  </si>
  <si>
    <t xml:space="preserve"> ICT Equipment and various accessories and paraphernalia.</t>
  </si>
  <si>
    <t xml:space="preserve"> Province of Benguet-CAR Municipality of Mankayan  BIDS AND AWARDS COMMITTEE INVITATION TO APPLY FOR ELIGIBILITY AND TO BID AUGUST 20, 2020 	The Municipal Government of Mankayan, through its Bids and Awards Committee, invites PhilGEPS registered supplier f</t>
  </si>
  <si>
    <t xml:space="preserve"> Please see ASSOCIATED COMPONENTS for details.</t>
  </si>
  <si>
    <t xml:space="preserve"> Republic of the Philippines	 	DEPARTMENT OF PUBLIC WORKS AND HIGHWAYS	 	ILOILO 3RD	 	DISTRICT ENGINEERING OFFICE	 	REGIONAL OFFICE VI	 	Barotac Viejo, Iloilo	 NOTICE TO BIDDERS The Department of Public Works and Highways (DPWH), through the Bids and Award</t>
  </si>
  <si>
    <t xml:space="preserve"> MUNICIPALITY OF ABRA DE ILOG Name of Procuring Entity						 Contract Reference Number Goods No. 34-2020 Name of Contract: Supply and Delivery of Materials for the Construction of Aluyan Tricycle Bridge Crossing Location:  LGU, ADIOM Republic of the Philip</t>
  </si>
  <si>
    <t xml:space="preserve"> GEOTECHNICAL AND GEOLOGICAL SURVEY</t>
  </si>
  <si>
    <t xml:space="preserve"> INVITATION TO BID  for  Concreting of Road / Pathwalk at Brgy. Flores, San Manuel, Pangasinan Solicitation No. PANG-2020-1038 1.	The Provincial Government of Pangasinan, through the Construction, Repair &amp; Maintenance of Various Roads and Bridges (PR#2020-</t>
  </si>
  <si>
    <t xml:space="preserve"> Widening of Barangay Road (FTMR) Purok 5 to include roadway preparation and concrete pavement</t>
  </si>
  <si>
    <t xml:space="preserve"> BOOKS, compendum of multiple choice questions for social work board exams. LET Comprehensive reviewer social studies/social sciences edition 2018  BOOKS, LET Comprehensive reviewer English edition 2020  BOOKS, LET Comprehensive reviewer Filipino edition 2</t>
  </si>
  <si>
    <t xml:space="preserve"> Line Item No. 1 McDonald Jar (9 liter water capacity) 21 pcs  Water Heater 1.5KW (=or &gt; 3 gallon) 7 unit Electric Breaker 20A 7 unit Ball valve PPC (water heater capacity) 28 pcs Ball valve PVC (cold water) 28 pcs PVC blue Pipe 1/2 28 pcs PVC Elbow 1/2 14</t>
  </si>
  <si>
    <t xml:space="preserve"> Supply and Delivery of Construction Materials 1	lot	Supply and Delivery of Construction Materials 	40 	pc		Cutting disc 	20 	pc		Grinding disc 	20 	liter		Vulcaseal 	12 	gal		Gray oxide primer 	50 	pc		2 x 2 x 10 Lumber, Red or White Lawan 	40 	pc		2 x 3 </t>
  </si>
  <si>
    <t xml:space="preserve"> 7 unit- PC Monitor, Low bluelight LED monitor, 24" FHD, ultra slim, frameless, HDMI/VGA I/O connections 2 unit- Keyboard, Wired USB 2.0/3.0 connectivity, spill proof keys, warranty: 3 years 2 unit- Mouse, Wired USB 2.0/3.0 connectivity, optical sensors, s</t>
  </si>
  <si>
    <t xml:space="preserve"> Republic of the Philippines				Project Reference Number: 	G-20-0765                                           Province of Compostela Valley				Name of the Project	:  Food Supplies MUNICIPALITY OF MONTEVISTA			Location of the Project	:           MO  Standa</t>
  </si>
  <si>
    <t xml:space="preserve"> PRINTER - . - COLOR PRINT,INKJET PRINTER - PRINT RESOLUTION 5760X1440 dpi - PRINT SPEED: BLACK 33ppm,COLOR 15 ppm - PAPER SIZE: 10x15cm,13x18cm</t>
  </si>
  <si>
    <t xml:space="preserve"> NOTICE OF NEGOTIATED PROCUREMENT (Small Value Procurement) PNOC Exploration Corporation (PNOC EC), under its 2020 Corporate Budget, has an Approved Budget for the Contract (ABC) of Five Hundred Ninety Thousand Pesos (Php590,000.00) inclusive of all applic</t>
  </si>
  <si>
    <t xml:space="preserve"> Republic of the Philippines										 Department of Public Works and Highways										 Quezon 1st District Engineering Office										 Brgy. Abang, Lucban, Quezon										 	Name of procuring Entity :					 Request for Quotation (P.R. No.)  :				 	Revise</t>
  </si>
  <si>
    <t xml:space="preserve"> INVITATION FOR NEGOTIATED PROCUREMENT- TWO FAILED COMPETITIVE PUBLING BIDDINGS PURCHASE OF CCTV AND FIRE ALARM SYSTEM FOR EIM NCII OF SHS TVL AND JHS TVE PROGRAM 	 In view of the two (2) failed biddings, the Municipality of Liloan, Southern Leyte through </t>
  </si>
  <si>
    <t xml:space="preserve"> Municipality of Paniqui										Project Reference No: Goods-2020-002 Province of Tarlac	Name of Project: Supply &amp; Delivery of Construction Materials for the Improvement of Day Care Center BARANGAY POBLACION NORTE	Location of Project: Licor St., Pob. Nort</t>
  </si>
  <si>
    <t xml:space="preserve"> See line items.</t>
  </si>
  <si>
    <t xml:space="preserve"> Requesting for Quotation (RFQ) for PR No. 2008028 Interested suppliers are invited to submit Sealed Price Quotations for the above listed items. The Request for Quotation (RFQ) for may be obtained from Mr. Albert A. Camarillo City General Services Office </t>
  </si>
  <si>
    <t xml:space="preserve"> 1 REAM/S PAPER - BOOK LEGAL,216MMX330MM(8-1/2"X13"),MIN OF 70GSM 2 2 REAM/S PAPER - BOOK A4,210MMX297MM,MIN OF 70GSM 3 3 BOX BALLPEN - BLACK ORDINARY 50'S 2 4 BTL/S GLUE - 130G 2 5 PC/S PEN - GTECH 0.5 BLACK 5</t>
  </si>
  <si>
    <t xml:space="preserve"> The Provincial Government of Samar invites all interested registered suppliers to submit in person or authorized representative quotation for-			 1.	2	units  	Computer: I5 CPU, 4GB RAM Requisitioning Office: Provincial Accountant’s Office Bid Forms may be</t>
  </si>
  <si>
    <t xml:space="preserve"> 700  reams   Bond Paper-A4   50  reams   Bond Paper-Letter 100  reams   Bond Paper-Legal   24  roll       Double Sided Tape 100   pcs.     Expanded Plastic Envelope-Long 100   pcs.     Expanded Plastic Envelope with Handle-Long   24   box     Fastener -Pl</t>
  </si>
  <si>
    <t xml:space="preserve"> Republic of the Philippines Province of Oriental Mindoro MUNICIPALITY OF NAUJAN BARANGAY SAN PEDRO BIDS AND AWARDS COMMITTEE INVITATION TO BID SUPPLY AND DELIVERY OF MATERIALS TO BE USED IN INSTALLATION OF STREET LIGHTS, SITIO CAMIA, BARANGAY SAN PEDRO, N</t>
  </si>
  <si>
    <t xml:space="preserve"> Supply and Delivery of Medical Supplies 1	224 	box		Vitamin C with Zinc, 30 pcs/box 2	224 	box		Facemask, 50 pcs/box</t>
  </si>
  <si>
    <t xml:space="preserve"> INVITATION TO BID  for  Construction of Concrete Bridge at Brgy. San Juan, Agno, Pangasinan Solicitation No. PANG-2020-1039 1.	The Provincial Government of Pangasinan, through the Construction, Repair &amp; Maintenance of Various Roads and Bridges (PR#2020-07</t>
  </si>
  <si>
    <t xml:space="preserve"> Laptop for RHU TB DOTS Program and FHSIS reports &amp; Television for TB DOTS building LGU Cabagan Cabagan, Isabela</t>
  </si>
  <si>
    <t xml:space="preserve"> Procurement of Office Supplies for the Sustainment of OCD RO3 for 3rd Quarter FY 2020</t>
  </si>
  <si>
    <t xml:space="preserve"> Various appliances for Mini Hotel use.</t>
  </si>
  <si>
    <t xml:space="preserve"> Item No.  Scope of Work Quantity Unit Total Estimated Cost 1 2''x2''x8' Moro Lumber 8 Bundles  2 1/4''x4'x8' Ordinary Plywood 2 Pcs  3 # 4'' Common Wire Nails 2 Kls  4 # 3'' Common Wire Nails 2 Kls  5 # 2 1/2'' Common Wire Nails 1 Kls  6 # 1'' Common Wire</t>
  </si>
  <si>
    <t xml:space="preserve"> Supply and Delivery of Bamboo (Kawayan) and Nylon Rope 1	700 	pc		Bamboo (Kawayan) with minimum base diameter of 5" 2	20 	roll		Nylone rope #8 with minimum length of 300m per roll</t>
  </si>
  <si>
    <t xml:space="preserve"> INVITATION TO BID The Local Government Unit of Rizal, Kalinga, through the Bids and Wards Committee, invites Suppliers to submit bids for the contract Contract Number: 2020-08-15 Project Title: Procurement of Drugs and Medicines Project Location: Rizal, K</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</si>
  <si>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</si>
  <si>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Supply and delivery of 4 in 1 Printer Machines</t>
  </si>
  <si>
    <t xml:space="preserve"> see attached rfq.</t>
  </si>
  <si>
    <t xml:space="preserve"> 1) Printer with scanner (can scan legal size document); and 2.) External Drive</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</si>
  <si>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</si>
  <si>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INVITATION TO BID August 17, 2020 The Eastern Visayas Regional Medical Center, through its Bids and Awards Committee (BAC A) invites suppliers/manufacturers/distributors to bid for the hereunder project:  Item/Description	Approved Budget for the Contract </t>
  </si>
  <si>
    <t xml:space="preserve"> BARANGAY TAMAG, through the: DF CONTINUING Fund 2019 intends to apply the sum of NINETY-NINE THOUSAND SEVEN HUNDRED SEVENTY-TWO PESOS &amp; 33/100 (PhP99,772.33)</t>
  </si>
  <si>
    <t xml:space="preserve"> Supply and Delivery of Fruit Tree and Forest Tree Seedlings 1	lot		Package 1: Fruit Tree Seedlings			 	1,000 	pc	Guyabano			  				a. Davao Prolific Variety				 				b. Plantable size (2-3 feet high)				 				c. must be potted on at least  5" x 7" plastic ba</t>
  </si>
  <si>
    <t xml:space="preserve"> The Provincial Government of Samar invites all interested registered suppliers to submit in person or authorized representative quotation for-			 1.	2	units  	Laptop Core i5 8 GB RAM 1 TB SSD Win 10 2.	1	unit	Action Camera 4K Resolution Underwater Cam 12 </t>
  </si>
  <si>
    <t xml:space="preserve"> INVITATION TO BID  for  Provision/Rehabilitation of Drainage System w/ Catch Basin at Bayambang District Hospital, Bayambang, Pangasinan Solicitation No. PANG-2020-1041 1.	The Provincial Government of Pangasinan, through the Community Development Fund (PR</t>
  </si>
  <si>
    <t xml:space="preserve"> The Provincial Government of Samar invites all interested registered suppliers to submit in person or authorized representative quotation for-			 1.	3	unit  	Operating System: Windows 10 Pro Processor: Core i7-8564U Processor Graphics: Card: MX150 Display</t>
  </si>
  <si>
    <t xml:space="preserve"> 1 UNIT LAPTOP - .  - 1 TB HDD - INTEL CORE i3 ( 7th Gen ) Processor - 14" display monitor - 4GB DDR4 RAM - 2.3 Ghz - Intel Core i3-7020U ( 7th Gen ) - Intel HD 62</t>
  </si>
  <si>
    <t xml:space="preserve"> New construction of a Barangay Health Station (BHS) at Brgy 1</t>
  </si>
  <si>
    <t xml:space="preserve"> Item No.  Scope of Work Quantity Unit Total Estimated Cost 1 ¼ ‘x 4’x 8’ Marine Plywood 25.0 Pcs  2 162  pcs. 2’x2’’x8’ Cocolumber 432 Bd.ft  3 60 pcs 2’’x4’x8; Cocolumber 320 Bd.ft  4 30 pcs 2’’x3x 8’ Cocolumber 120 Bd.ft  5 1’’x2’’x8’ Lumber Stick (brac</t>
  </si>
  <si>
    <t xml:space="preserve"> Location				: Sitio Basak, Brgy. Awang, Opol Misamis Oriental Total Project Cost	: One Hundred Forty Nine Thousand Five Hundred Eighty Five Pesos and 50/100 (Php 149,585.50) Approved Budget for the	: Ninety Two Thousand Five Hundred Eighty Five Pesos  Con</t>
  </si>
  <si>
    <t xml:space="preserve"> Republic of the Philippines PROVINCIAL GOVERNMENT OF EASTERN SAMAR Capitol Building, Borongan, Eastern Samar, 6800 Tel No. (055)-560-8312 E-mail Address: esamar.bac@gmail.com BIDS AND AWARDS COMMITTEE (BAC) INVITATION TO BID FOR FISH AND MARINE SANCTUARY </t>
  </si>
  <si>
    <t xml:space="preserve"> Requesting for Quotation (RFQ) for PR No. 2008072  Interested suppliers are invited to submit Sealed Price Quotations for the above listed items. The Request for Quotation (RFQ) for may be obtained from Mr. Albert A. Camarillo City General Services Office</t>
  </si>
  <si>
    <t xml:space="preserve"> Title: Procurement of 1 Package Improvement of City Accountants Office (Materials Only) under P.R.No. 2561-2020-Office of the City Accountant Total ABC: Php 69,023.00 (INSTRUCTION AS TO THE REQUIRED FORM: For your price quotation, please use the attached </t>
  </si>
  <si>
    <t xml:space="preserve"> 1 UNIT DESKTOP COMPUTER - .  - Intel Core i3,3.2 GHz Processor - 4GB DDR3 - 1TB HDD - 22" LED Monitor - DVD ROM - Tower Case with 600W Power Supply - PS2 Keyboard,KB110 - PS2 Optical Mouse with pad - 600W UPS Logic - Motherboard,HB 1MP - Webcam - Speaker</t>
  </si>
  <si>
    <t xml:space="preserve"> Republic of the Philippines				Project Reference Number: 	G-20-0774                                           Province of Compostela Valley				Name of the Project	:  Food Supplies MUNICIPALITY OF MONTEVISTA			Location of the Project	:           MO  Standa</t>
  </si>
  <si>
    <t xml:space="preserve"> Reference No. PR # 20-08-1023 PRICE QUOTATION FORM (BID FORM) Sealed Bids shall be dropped in the BIDDERS BOX on or before 2:00 P.M.  August 24, 2020   placed at the office of the Chairman of the College BAC. Thereafter, the Bidder's Box shall be sealed u</t>
  </si>
  <si>
    <t xml:space="preserve"> Construction of 2-Storey Infirmary Annex Building with 106 sq.m. floor area Description of Works: I. Project Billboard/Signboard - 1.0 set II. Occupational Safety and Health Program - 3.0 mos. III. Demolition Works - 75.0 sq.m. IV. Excavation Works - 46.5</t>
  </si>
  <si>
    <t xml:space="preserve"> Republic of the Philippines Province of Davao Oriental City of Mati BIDS &amp; AWARDS COMMITTEE INVITATION TO BID LOT Procurement of AIR CONDITIONING UNITS with Installation for the Use of DOPH Gov. Generoso SOURCE OF FUND: CAPITAL OUTLAY [4421-4-5-02-13-050]</t>
  </si>
  <si>
    <t xml:space="preserve"> BARANGAY TAMAG, through the: DF CONTINUING Fund 2019 intends to apply the sum of NINETY-NINE THOUSAND NINE HUNDRED FIFTY-FOUR ESOS &amp; 41/100 (₱99,954.41) being the approved Budget for the Contract (ABC) to payments under the contract for BARANGAY HALL ROOF</t>
  </si>
  <si>
    <t xml:space="preserve"> Requesting for Quotation (RFQ) for PR No. 2008063  Interested suppliers are invited to submit Sealed Price Quotations for the above listed items. The Request for Quotation (RFQ) for may be obtained from Mr. Albert A. Camarillo City General Services Office</t>
  </si>
  <si>
    <t xml:space="preserve"> QTY.	UNIT	DESCRIPTION 10	box	Wooden Tongue Depressor, Sterile, 6"/100's 5	box	Parafilm, 4"x125 ft. roll 10	box	Nitrile Gloves/100's, large 7	box	Nitrile Gloves/100's, medium 1000	pcs	Seal It Bag #7 1000	pcs	Seal It Bag #4 50	pcs	Tissue Paper Roll. 2 ply 1</t>
  </si>
  <si>
    <t xml:space="preserve"> Requesting for Quotation (RFQ) for PR No. 2008049  Interested suppliers are invited to submit Sealed Price Quotations for the above listed items. The Request for Quotation (RFQ) for may be obtained from Mr. Albert A. Camarillo City General Services Office</t>
  </si>
  <si>
    <t xml:space="preserve"> Requesting for Quotation (RFQ) for PR No. 2007394  Interested suppliers are invited to submit Sealed Price Quotations for the above listed items. The Request for Quotation (RFQ) for may be obtained from Mr. Albert A. Camarillo City General Services Office</t>
  </si>
  <si>
    <t xml:space="preserve"> Repainting of sidewalk/pathwalk of streets of this Barangay.</t>
  </si>
  <si>
    <t xml:space="preserve"> Republic of the Philippines Province of Davao Oriental City of Mati BIDS &amp; AWARDS COMMITTEE INVITATION TO BID LOT Procurement of AIR CONDITIONING UNITS with Installation for the Use of DOPMC SOURCE OF FUND: TRUST FUND [2-02-01-050-103-02] 1.	The Provincia</t>
  </si>
  <si>
    <t xml:space="preserve"> Concreting of 380.00 lm barangay road.</t>
  </si>
  <si>
    <t xml:space="preserve"> Installation of Solar Lights.</t>
  </si>
  <si>
    <t xml:space="preserve"> To supply labor and materials for the replacement of Termite infested wall at PQS-Iligan (MAIN LOBBY WALL)                       Approx: 8 sqm. Glass partition and 11.5 sqm. Cement fiber board (back to back) (KITCHEN TO LABORATORY PARTITION)            Ap</t>
  </si>
  <si>
    <t xml:space="preserve"> Laboratory supplies			 2000	Bottle Cold fill bottle (200ml)			 400	Pcs	Plastic (50 kilos capacity)			 10	Pcs	Stainless basin (20 kilos capacity)			 15	Pcs	 Drum</t>
  </si>
  <si>
    <t xml:space="preserve"> NOTE: 1.	The approved budget for the contract is 	147,000.00 2.	Delivery period within 	7 	calendar days 3.	Warranty shall be for a period of three (3) months for expendable supplies, One year for non-expendable supplies from date of acceptance by the Pro</t>
  </si>
  <si>
    <t xml:space="preserve"> 96,154.76 ltrs Diesel Fuel 18,000 ltrs. Unleaded Gasoline 25 pail Diesel Oil 40</t>
  </si>
  <si>
    <t xml:space="preserve"> Small Value Procurement</t>
  </si>
  <si>
    <t xml:space="preserve"> Republic of the Philippines Province of Siquijor Municipality of Maria Barangay Candaping A. INVITATION TO BID FOR Procurement of Various Plumbing Materials – Candaping A, Maria, Siquijor / CAND-A-0001G-2020 1.	The BLGU – Candaping A, through the 20% Deve</t>
  </si>
  <si>
    <t xml:space="preserve"> Invitation to Bid for the Procurement of Communication Equipment for Disaster Preparedness and Rescue Use, LGU-Tagudin, Ilocos Sur 1.	The Local Government Unit of Tagudin, Ilocos Sur, thru its Bids and Awards Committee intends to apply the sum of Four Hun</t>
  </si>
  <si>
    <t xml:space="preserve"> RE-BIDDING FOR THE REPAIR OF COA OFFICE THRU SMALL VALUE PROCUREMENT UNDER THE REVISED IRR OF RA 9184 WILL BE HELD ON AUGUST 27, 2020, 2:00 PM AT NATIONAL FOOD AUTHORITY SORSOGON PROVINCIAL OFFICE CONFERENCE ROOM, CABID-AN, SORSOGON CITY</t>
  </si>
  <si>
    <t xml:space="preserve"> GEOTECHNICAL AND GEOLOGICAL SURVEY/INVESTIGATION</t>
  </si>
  <si>
    <t xml:space="preserve"> 608 Sacks Commercial Rice content 10 kilos 204 packs Assorted Biscuits 68 packs Powdered Milk 1kg 68 packs Choco Drink 1 kg 204 cans Corned Beef 150 g  772 cans  Beef Loaf 150 gms 272 cans Meat Loaf 150 gms 272 cans Tuna Flakes 150 gms</t>
  </si>
  <si>
    <t xml:space="preserve"> Brand New,100-150 cc.</t>
  </si>
  <si>
    <t xml:space="preserve"> 3962 REAMS BOND PAPER A4 SIZE 260 BOTTLES EPSON BLACK UNIVERSAL 1 BOTTLE EPSON YELLOW UNIVERSAL 1 BOTTLE EPSON CYAN UNIVERSAL 1 BOTTLE EPSON MAGENTA UNIVERSAL 15 BOTTLES EPSON BLACK 774 76 BOTTLES EPSON BLACK 664 15 BOTTLES EPSON YELLOW 664 16 BOTTLE EPSO</t>
  </si>
  <si>
    <t xml:space="preserve"> 1.	The Municipal Government of Burgos, Ilocos Norte, through the Special Education Fund intends to apply the sum of PhP210,105.00 being the Approved Budget for the Contract (ABC) to payments under the contract for Purchase of Equipment/Devices and Materia</t>
  </si>
  <si>
    <t xml:space="preserve"> Republic of the Philippines Province of Davao de Oro 		Municipality of Compostela BARANGAY LAGAB 	 BIDS AND AWARDS COMMITTEE CP #: 09194118536 INVITATION TO BID NO. 2020-09-002 BID #002 1.	The Barangay Lagab through its Bids and Awards Committee invites S</t>
  </si>
  <si>
    <t xml:space="preserve"> The Barangay San Vicente, through the  10%  SK Fund CY2019 intends to apply the sum of Two Hundred Twenty Seven Thousand and Six Hundred Seventy Three Pesos  (P 227,673.00) being the Approved Budget for the Contract (ABC) to payments under the contract fo</t>
  </si>
  <si>
    <t xml:space="preserve"> Supply, Delivery and Installation of Indoor Signages (SSS Angeles Branch) NOTE: Please see the following attached documents: - Technical Specifications/Drawings - (Kindly affix signature on every page if supplier conformed precisely on the required) - Det</t>
  </si>
  <si>
    <t xml:space="preserve"> Republic of the Philippines Province of Southern Leyte MUNICIPALITY OF LIMASAWA BARANGAY LUGSONGAN -o0o- Bids and Awards Committee Invitation to Bid for the Supply of Materials for the Completion of Shore Protection 1.	The Barangay Lugsongan of Limasawa, </t>
  </si>
  <si>
    <t xml:space="preserve"> Item No.	Unit	Description	Qty 1	Pair	Combat Boots Alpha, Urban Use .	249 * * * * * * * * * * * * * * * * * * * * * * * * NOTHING FOLLOWS * * * * * * * * * * * * * * * * * * * * * * * *</t>
  </si>
  <si>
    <t xml:space="preserve"> Construction of a new Barangay Health Station (BHS) at Brgy. Atabay</t>
  </si>
  <si>
    <t xml:space="preserve"> REQUEST FOR QUOTATION											 											 RFQ No.		NP/PB 20-0940				Date				August 20, 2020	 PR Reference		100-20-02-015				Implementing Office				City Vice-Mayor	 Closing Date and Time						September 10, 2020, 5:00p.m.					 Designated Places of Submis</t>
  </si>
  <si>
    <t xml:space="preserve"> 1. 47 Bags of Good Quality Rice</t>
  </si>
  <si>
    <t xml:space="preserve"> BID TENDER								 								 The Bids and Awards Committee								 Province of Iloilo								 								      In connection with your Invitation to Bid No. ISC-20-0340-B scheduled on September 11, 2020, I/we proposed to furnish and deliver in conformity with</t>
  </si>
  <si>
    <t xml:space="preserve"> 3     Unit          SATELLITE PHONE                       IRIDIUM 9555                       With sim, 350 mins of call, valid for 6 months                        FOB Site                       Up to 4 hours of talk time, 30 hours of standby              </t>
  </si>
  <si>
    <t xml:space="preserve"> Request for Quotation for the Procurement of Office Supplies to be used in the Planning, Monitoring and Evaluation Division 1.	The Department of Agriculture-Regional Field Office 7 (DA-RFO 7), through the General Appropriations Act of CY 2020)  intends to</t>
  </si>
  <si>
    <t xml:space="preserve"> INVITATION TO BID The Bureau of Fisheries and Aquatic Resources Region 5 (BFAR 5), through the Government of the Philippines (GOP), for CY 2020 intends to apply the sum of Four Million Five Hundred Twelve Thousand Six Hundred Four Pesos (PhP4,512,604.00) </t>
  </si>
  <si>
    <t xml:space="preserve"> for Mayor's Office use LGU Cabagan Cabagan, Isabela</t>
  </si>
  <si>
    <t xml:space="preserve"> BARANGAY SAN JULIAN NORTE, through the: DF Fund 2020 intends to apply the sum of ONE HUNDRED NINETY-NINE THOUSAND SEVEN HUNDRED THIRTY-FIVE PESOS &amp; 84/100 (₱199,735.84) being the approved Budget for the Contract (ABC)</t>
  </si>
  <si>
    <t xml:space="preserve"> Supply and Delivery of Software and IT Equipment (PLEASE SEE ATTACHED RFQ FOR DETAILS)</t>
  </si>
  <si>
    <t xml:space="preserve"> 1 SET/S DESKTOP COMPUTER - WITH COMPLETE ACCESSORIES  - intel core i5-8400 4.06/9mb - secure 500w avr - 4 tech keyboard and optical mouse ps2 - 18'' LED Monitor, 500 6B Disk Drive - 4 6b Memory - H310 m-52h Mother Board - ATX Case w/ Power Supply , Speake</t>
  </si>
  <si>
    <t xml:space="preserve"> Requesting for Quotation (RFQ) for PR No. 2007193  Interested suppliers are invited to submit Sealed Price Quotations for the above listed items. The Request for Quotation (RFQ) for may be obtained from Mr. Albert A. Camarillo City General Services Office</t>
  </si>
  <si>
    <t xml:space="preserve"> INVITATION TO BID  for  Construction of Well Source (6”diam. Casing, 54m depth) at Brgy. San Miguel, Bani, Pangasinan Solicitation No. PANG-2020-1041 1.	The Provincial Government of Pangasinan, through the Artesian Wells (PR#2020-07-6366) intends to apply</t>
  </si>
  <si>
    <t xml:space="preserve"> National Power Corporation INVITATION TO BID PUBLIC BIDDING 2020-0299 1.	The NATIONAL POWER CORPORATION (NPC), through       its        approved       Corporate Budget of CY 2020 intends to apply   the   sum   of (Please see schedule below) being the Appr</t>
  </si>
  <si>
    <t xml:space="preserve"> 1	300 bags Cement 2	38 cu.m  Gravel 3	20 cu.m Sand 4	2 kl. 3”CW Nail 5	16 pcs. 2”x 6”x 10” form lumber 6	15 pcs. 12mm RSB 7	1 pc. Hacksaw Blade 8	12 cu.m. Base Course Gravel</t>
  </si>
  <si>
    <t xml:space="preserve"> Item No.  Scope of Work Quantity Unit Total Estimated Cost 1 Cement 50 Bag 245.00 2 Washed Sand 4 Cu. Mtr 900.00 3 Washed Gravel 5 Cu. Mtr 1,500.00 4 10mm x 6m RSB 30 Piece 150.00 5 ½” x 5” x 8’ Lumber 6 Bdls 250.00 6 1” x 2” x 8’ Lumber Stick 4 Bdls 250.</t>
  </si>
  <si>
    <t xml:space="preserve"> INVITATION TO BID Bid No. B-129-2020 1.	The Provincial Government of Negros Oriental through Responsibility Center: 4411-I / Account Code: 50203080, intends to apply the sum of Seven Million Eight Hundred Forty-Two Thousand Seven Hundred Eighty-Nine Pesos</t>
  </si>
  <si>
    <t xml:space="preserve"> ----------Qty.-------------Unit-------------ITEM/S DESCRIPTION -----------1---------------unit-------------NETWORK FIREWALL (5 months license subscription) ---------------------------------------------Perfect for Gigabit Internet with SFP port and SFP+por</t>
  </si>
  <si>
    <t xml:space="preserve"> 930 bags	 UREA FERTILIZER-Granulated Packed in 50kg. (dry) capacity woven polypropylene bags with polyethylene inner lining Label: Printed ‘’ NOT FOR SALE” With DA-RFO IV-A LOGO</t>
  </si>
  <si>
    <t xml:space="preserve"> JOB ORDER: Catering services during the conduct of FGD Briefing/Orientation of RRP Research Protocol and Procedure in Achieving Outputs. No.	Scope of Work	Quantity	Unit_Cost	ABC 				 	                September 8, 2020 (Calbayog City)			 Menu	AM Snack: Toa</t>
  </si>
  <si>
    <t xml:space="preserve"> Requesting for Quotation (RFQ) for PR No. 2008055  Interested suppliers are invited to submit Sealed Price Quotations for the above listed items. The Request for Quotation (RFQ) for may be obtained from Mr. Albert A. Camarillo City General Services Office</t>
  </si>
  <si>
    <t xml:space="preserve"> 8 set Tire 10 x 20</t>
  </si>
  <si>
    <t xml:space="preserve"> 40	roll	2" HDPE SDR11 ISO (60m) 40	roll	1-1/2" HDPE SDR11 ISO (60m) 40	pcs	Connector #2" 40	pcs	Connector #1-1/2"</t>
  </si>
  <si>
    <t xml:space="preserve"> Reducer 3/4 to 1" 4 pcs 1" Elbow 20 pcs 1" PVC pipe (blue) 9 p-cs 1" Tee 2 pcs 1" C- Clamp 2 pcs 400 c c neltex solvent 1 pc 20ft tubular 2 x 4 2 pcs Welding gloves #16 3 sets Welding Mask 3 pcs Welding rod J38. 12 / E6013 1/2 kg Quick dry enamel black 4 </t>
  </si>
  <si>
    <t xml:space="preserve"> Scope of Works: 1)  Tile Works 2)  Plumbing and Sanitary Works 3)  Windows and Doors 4)  Dry Partition 5)  CHB Partition 6)  Construction of Ceiling 7)  Roofing 8)  Steel Bridge 9)  Electrical 10)  Transfer of Water Pump 11)  Billboard/Signage 1)  The Sch</t>
  </si>
  <si>
    <t xml:space="preserve"> SEE ATTACHED DOCUMENT.</t>
  </si>
  <si>
    <t xml:space="preserve"> ALCOHOL.., 350 bottle @ 198 per bottle 70% Isopropyl 500ml, spray  (branded)  SOAP.., 1,050 pcs @ 30 per piece 60g, small, antibacterial   TOTAL LOT PRIZE 100,800.00</t>
  </si>
  <si>
    <t xml:space="preserve"> One (1) Lot	Re-bidding for the Procurement of Services for the Installation and Cable TV Subscription for CF-Bacolod for One (1) year 25 units of Digital box with remote control per box 17 number of standard channels 29 number of Free channels Other Requi</t>
  </si>
  <si>
    <t xml:space="preserve"> Municipality of Paniqui										Project Reference No: Goods-2020-003 Province of Tarlac	Name of Project: Supply &amp; Delivery of Construction Materials for the Concreting of Pathway  BARANGAY POBLACION NORTE	Location of Project: Sta. Rosa St.., Pob. Norte, </t>
  </si>
  <si>
    <t xml:space="preserve"> Republic of the Philippines				Project Reference Number: 	G-20-0766                                           Province of Compostela Valley				Name of the Project	:  Food Supplies MUNICIPALITY OF MONTEVISTA			Location of the Project	:           MO  Standa</t>
  </si>
  <si>
    <t xml:space="preserve"> coupon bonds to be distributed to different schools at Pioduran West District</t>
  </si>
  <si>
    <t xml:space="preserve"> Republic of the Philippines Province of Ilocos Sur Vigan City Invitation to Bid for the  Construction of Flood Control at Brgy. Sorioan, Salcedo, Ilocos Sur 1.	The Provincial Government of Ilocos Sur, through the Special Budget #2 (RA7171), Appropriation </t>
  </si>
  <si>
    <t xml:space="preserve"> Requesting for Quotation (RFQ) for PR No. 2008116  Interested suppliers are invited to submit Sealed Price Quotations for the above listed items. The Request for Quotation (RFQ) for may be obtained from Mr. Albert A. Camarillo City General Services Office</t>
  </si>
  <si>
    <t xml:space="preserve"> Republic of the Philippines Province of Oriental Mindoro Municipality of Pinamalayan BARANGAY SABANG BIDS AND AWARDS COMMITTEE Invitation to Bid ITB No.  2020-08- 002 1.	The Barangay SABANG, through the_ CAPITAL OUTLAY –   Continuing  Budget  for   2019  </t>
  </si>
  <si>
    <t xml:space="preserve"> INVITATION TO BID  for  Supply and Delivery of Pre-Mix Asphalt and Emulsified Asphalt Solicitation No. PANG-2020-1030 1.	The Provincial Government of Pangasinan, through the Construction, Repair &amp; Maintenance of Various Roads and Bridges intends to apply </t>
  </si>
  <si>
    <t xml:space="preserve"> GEOTECHNICAL AND GEOLOGICAL SURVEY/INVESTIGATIONS</t>
  </si>
  <si>
    <t xml:space="preserve"> Headset, Noise Cancelling				28	units Specifications:					 works with common calling applications across almost all platforms and operating systems (Windows@ or MacOS@)					 Connections: USB-A compatible (1.1, 2.0, 3.0) usb port, type A port or adapter			</t>
  </si>
  <si>
    <t xml:space="preserve"> PLEASE QUOTE YOUR LOWEST PRICE INCLUSIVE OF VAT ON  THE FOLLOWING ITEMS BELOW. ITEM NO.   QUANTITY       UNIT        DESCRIPTION 1.            2500      REAMS            BOND PAPER A4 2.              150      BOTTLE           INK CYAN 3.              150 </t>
  </si>
  <si>
    <t xml:space="preserve"> Supply, Delivery, Installation and Commissioning of various Medical Equipment</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</si>
  <si>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</si>
  <si>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2	PCS	CANOPY</t>
  </si>
  <si>
    <t xml:space="preserve"> Republic of the Philippines Province of Quezon Municipality of San Francisco BIDS &amp; AWARDS COMMITTEE INVITATION TO APPLY FOR ELIGIBILITY AND TO BID The Municipality of San Francisco through Supplemental Fund of the Office of the Municipal Health of San Fr</t>
  </si>
  <si>
    <t xml:space="preserve"> COVID-19 Protective Supplies</t>
  </si>
  <si>
    <t xml:space="preserve"> Republic of the Philippines Province of Oriental Mindoro Municipality of Pinamalayan BARANGAY SABANG BIDS AND AWARDS COMMITTEE Invitation to Bid ITB No.  2020-08- 001 1.	The Barangay SABANG, through the_ 20%  Development  Fund  Continuing Budget  of  2019</t>
  </si>
  <si>
    <t xml:space="preserve"> Name of Project			: Materials for the Construction of Reservoir and Collection Box Location				: Sitio Carabao Valley, Brgy. Awang, Opol Misamis Oriental Total Project Cost	: One Hundred Sixty Six Thousand Sixty Five Pesos Only (Php 166,065.00) Approved B</t>
  </si>
  <si>
    <t xml:space="preserve"> Supply, delivery and installation of ceiling Mounted inverter ACU Spit type, 3TR with dismantling . To replace old and not functioning split type ceiling mounted air conditioning unit for use at the staff room of Justice Paredes' Office, Room 403, 4th Flo</t>
  </si>
  <si>
    <t xml:space="preserve"> 294 bags pozzolan cement 26 cu. m albay sand 33 cu. m gravel</t>
  </si>
  <si>
    <t xml:space="preserve"> Items: Please see attachment. 1)  The Schedule of Bidding Activities is available at the BAC Office, City Annex Building, Brgy. Zapote, City of Binan, Laguna.  Please look for the following for inquiries:       a)  Engr. Wilfredo F. Alintanahin - BAC Chai</t>
  </si>
  <si>
    <t xml:space="preserve"> 1 UNIT/S TRANSIT MIXER - .  - - MIXER TRUCK 10W; 5 CUBIC MIXING DRUM W/ KAYABA MAIN PUMP MOTOR; 10 WHEELERS; 8 CYLINDER DIESEL ENGINE; 380-420 HP; MANUAL TRAN</t>
  </si>
  <si>
    <t xml:space="preserve"> please see attachment for details</t>
  </si>
  <si>
    <t xml:space="preserve"> 1.	The BLGU-Cebulan,Esperanza,Agusan del Sur intends to apply the sum of One Hundred Thirty Six Thousand Four Hundred Fifty Pesos Only (Php136,450.00) being the Approved Budget for the Contract (ABC) to payments under the contract for Supply and Delivery </t>
  </si>
  <si>
    <t xml:space="preserve"> Republic of the Philippines Province of Bulacan Municipality of Bocaue INVITATION TO BID FOR LABOR AND MATERIALS FOR THE INSTALLATION OF ELECTRICITY IN A 3-STOREY BUILDING EXTENSION OF BOCAUE HILLS ELEMENTARY SCHOOL AT BATIA, BOCAUE, BULACAN 1	The Municip</t>
  </si>
  <si>
    <t xml:space="preserve"> Requesting for Quotation (RFQ) for PR No. 2008130  Interested suppliers are invited to submit Sealed Price Quotations for the above listed items. The Request for Quotation (RFQ) for may be obtained from Mr. Albert A. Camarillo City General Services Office</t>
  </si>
  <si>
    <t xml:space="preserve"> Construction of School Building</t>
  </si>
  <si>
    <t xml:space="preserve"> See attached Request for Price Quotation</t>
  </si>
  <si>
    <t xml:space="preserve"> MUNICIPALITY OF ABRA DE ILOG Name of Procuring Entity						                 Contract Reference Number Infra No. 03-2020 Name of Contract:  Construction of Potable Water System      Location: Brgy. Sta. Maria, Abra de Ilog, Occ. Mindoro Republic of the Phi</t>
  </si>
  <si>
    <t xml:space="preserve"> PLEASE SEE ATTACHED FILE OF INVITATION TO BID</t>
  </si>
  <si>
    <t xml:space="preserve"> he Bureau of Customs (BOC), through the FY 2020 General Appropriations Act intends to apply the sum of One Million Six Hundred Twenty One Thousand One Hundred Six Pesos and Eleven Centavos (Php1,621,106.11) being the Approved Budget for the Contract (ABC)</t>
  </si>
  <si>
    <t xml:space="preserve"> This project is dealing of Brgy. Canda Ibaba, Lopez, Quezon</t>
  </si>
  <si>
    <t xml:space="preserve"> CONTRUCTION PROJECT</t>
  </si>
  <si>
    <t xml:space="preserve"> The Department of Trade and Industry, on January 15, 2020, has launched a livelihood seeding and entrepreneurship development program called the Pangkabuhayan sa PagBangon at Ginhawa (PBG). The program aims to provide the necessary support and assistance </t>
  </si>
  <si>
    <t xml:space="preserve"> Requesting for Quotation (RFQ) for PR No. 2008114  Interested suppliers are invited to submit Sealed Price Quotations for the above listed items. The Request for Quotation (RFQ) for may be obtained from Mr. Albert A. Camarillo City General Services Office</t>
  </si>
  <si>
    <t xml:space="preserve"> for D.A Office use LGU Cabagan Cabagan, Isabela</t>
  </si>
  <si>
    <t xml:space="preserve"> Please quote your lowest price on the item/s listed below, subject to the General Conditions below, stating the shortest time of delivery and submit your quotation duly signed by your representative not later than _______________   in the return envelope </t>
  </si>
  <si>
    <t xml:space="preserve"> INVITATION TO BID  for  Construction of Senior Citizen Building at Brgy. Baluyot, Bautista, Pangasinan Solicitation No. PANG-2020-1161 1.	The Provincial Government of Pangasinan, through the Community Development Fund (PR#2020-08-6857) intends to apply th</t>
  </si>
  <si>
    <t xml:space="preserve"> Requesting for Quotation (RFQ) for PR No. 2008065  Interested suppliers are invited to submit Sealed Price Quotations for the above listed items. The Request for Quotation (RFQ) for may be obtained from Mr. Albert A. Camarillo City General Services Office</t>
  </si>
  <si>
    <t xml:space="preserve"> MAIN DOCUMENT</t>
  </si>
  <si>
    <t xml:space="preserve"> use for Pag-Asa Home, Home for Girls and ABHB</t>
  </si>
  <si>
    <t xml:space="preserve"> Title:Procurement of Vehicle Repair and Maintenance under P.R Nos. 1886(City Environment &amp; Natural Resources Office- City Parks and Waterways Services Division), 1892-2020 (City Environment &amp; Natural Resources Office- Ecological Solid Waste Management Div</t>
  </si>
  <si>
    <t xml:space="preserve"> INVITATION TO BID Sealed proposal in ink typewritten one (1) copy will be received fro bonafide contractors on September 1, 2020 at 3:00 PM at Barangay Hall, Barangay VILLA MARINA this city on which date, time and place the bid will publicly opened in the</t>
  </si>
  <si>
    <t xml:space="preserve"> LCWD-2020-025 dtd. 08-18-20 Various Fittings – Regular Stocks (Re-Bid)     LCWD Warehouse INVITATION TO BID FOR VARIOUS FITTINGS – REGULAR STOCKS (RE-BID) PR No. &amp; Date : 2020-033 dated February 14, 2020 Reference No. &amp; Date : __________ 		 1.	The LEGAZPI</t>
  </si>
  <si>
    <t xml:space="preserve"> Riprapping of Barangay Roads</t>
  </si>
  <si>
    <t xml:space="preserve"> 1015 ream Coupon Bond Short, gsm80 16 ream Mimegraphing paper white short 21 pc Falsh Drive, 32 GB</t>
  </si>
  <si>
    <t xml:space="preserve"> Republic of the Philippines Province of Ilocos Norte MUNICIPALITY OF PIDDIG INVITATION TO BID  FOR  Construction of Farmer's Multipurpose Pavement with drainage system in various barangays 1.	The Municipality of Piddig through the RA 7171 Fund   intends t</t>
  </si>
  <si>
    <t xml:space="preserve"> Republic of the Philippines Province of Oriental Mindoro Municipality of Pinamalayan BARANGAY SABANG BIDS AND AWARDS COMMITTEE Invitation to Bid ITB No.  2020-08- 003 1.	The Barangay SABANG, through the_ CAPITAL OUTLAY –   Continuing  Budget  for   2019  </t>
  </si>
  <si>
    <t xml:space="preserve"> Procurement of Medical Supplies						 Purchase Requested by the City Health Unit, Tabaco City						 						 To Interested Suppliers, Manufacturers and Distributors,						 						 Please quote your lowest price/s on the lot or item/s  below, subject to Terms</t>
  </si>
  <si>
    <t xml:space="preserve"> Continuation of Barangay Roads</t>
  </si>
  <si>
    <t xml:space="preserve"> Name of the Requirement/Brief Description:	Supply and Delivery of Thirty-One (31) licenses (perpetual) Adobe Acrobat Professional Desktop (latest version), with Media Kit, as per BSP Terms of Reference  Approved Budget for the Contract (ABC): 	Php759,500.</t>
  </si>
  <si>
    <t xml:space="preserve"> REQUEST TO SUBMIT QUOTATION The TARLAC AGRICULTURAL UNIVERSITY, through its Bids and Awards Committee (BAC), invites all suppliers and dealers to submit sealed quotation for the Contract Reference # 2020-RFQ-041 GOODS “PURCHASE OF LAPTOP AND DESKTOP COMPU</t>
  </si>
  <si>
    <t xml:space="preserve"> Common Supplies</t>
  </si>
  <si>
    <t xml:space="preserve"> CONCRETE PAVEMENT</t>
  </si>
  <si>
    <t xml:space="preserve"> MUNICIPALITY OF ABRA DE ILOG Name of Procuring Entity						                 Contract Reference Number Infra No. 02-2020 Name of Contract:  Upgrading and Improvement of Kuli-kuli Road 3      Location: Brgy. Armado, Abra de Ilog, Occ. Mindoro Republic of th</t>
  </si>
  <si>
    <t xml:space="preserve"> Requesting for Quotation (RFQ) for PR No. 2008068  Interested suppliers are invited to submit Sealed Price Quotations for the above listed items. The Request for Quotation (RFQ) for may be obtained from Mr. Albert A. Camarillo City General Services Office</t>
  </si>
  <si>
    <t xml:space="preserve"> Republic of the Philippines City of Canlaon OFFICE OF THE BIDS AND AWARDS COMMITTEE Invitation to Bid for the  ROAD CONCRETING, Phase II  The City Government of Canlaon City, through AIP 2018 intends to apply the sum of Four hundred Seventy Eight Thousand</t>
  </si>
  <si>
    <t xml:space="preserve"> One Job furnishing labor and materials for the Construction of Drainage System</t>
  </si>
  <si>
    <t xml:space="preserve"> 2 pcs. Concrete Cutter Blade 14" 5 pcs. Dask Glass #10 5 pcs. Duck Mask 40 pcs. Hacksaw Blade 1 Plainer Blade 2 roll Reflectorized Sticker 4" 20 pair Rubber Boots 5 roll Warning Tape 25 pair Working Gloves</t>
  </si>
  <si>
    <t xml:space="preserve"> Reinforced concrete culvert &amp; storm drain Length - 288 Ln. m. No. of days - 150 w.d.</t>
  </si>
  <si>
    <t xml:space="preserve"> Municipality of  Sogod, Cebu					 	Contract Ref. No.:0008-2020 Procurement of Computerization Program Phase I, Office Links (Treasurer, Sogod Waterworks System, Assessor), Sogod, Cebu     Standard Form Number :  SF-GOOD-05 Revised on:  July 28, 2004 The M</t>
  </si>
  <si>
    <t xml:space="preserve"> Requesting for Quotation (RFQ) for PR No. 2008027  Interested suppliers are invited to submit Sealed Price Quotations for the above listed items. The Request for Quotation (RFQ) for may be obtained from Mr. Albert A. Camarillo City General Services Office</t>
  </si>
  <si>
    <t xml:space="preserve"> SEE ATTACHED TOR FOR COMPLETE DETAILS OF MATERIALS</t>
  </si>
  <si>
    <t xml:space="preserve"> Payment for Medical Supplies</t>
  </si>
  <si>
    <t xml:space="preserve"> 2 UNIT PRINTER - .  - Color Print,Inkjet Printer - Print Resolution 5760x1440 dpi - Print Speed: Black 33ppm,Color 15ppm - Paper Size: 10x15cm, 13x18cm</t>
  </si>
  <si>
    <t xml:space="preserve"> BARANGAY TAMAG, through the: DF CONT.  Fund 2019 intends to apply the sum of SEVENTY SIX THOUSAND FOUR HUNDRED SEVENTY ONE PESOS &amp; 34/100 (₱76,471.34) being the approved Budget for the Contract (ABC) to payments under the contract</t>
  </si>
  <si>
    <t xml:space="preserve"> SELF - SKILLS ENHANCEMENT AND LEADERSHIP FORMATION - SPECIAL ACTION GROUP</t>
  </si>
  <si>
    <t xml:space="preserve"> Heavy Duty Storage Tub Black (Large) 2 pcs Heavy Duty Storage Tub Black (Medium) 2 pcs Heavy Duty Storage Tub Black (Small) 2 pcs Total Amount: P 10,000.00</t>
  </si>
  <si>
    <t xml:space="preserve"> Construction/Improvement of Multi-Purpose Building</t>
  </si>
  <si>
    <t xml:space="preserve"> ITEM I  - 3" X 10" X 18'   Hardwood    (Decking)                 60          Bd. ft. ITEM II - 4" X 10" X 24'   Hardwood   (Stringer)                  10          Bd. ft. ITEM III - 4" X 10" X 16'  Hardwood   (Girder)                    10          Bd. ft</t>
  </si>
  <si>
    <t xml:space="preserve"> 5000  pcs plastic Expanded Envelope long ( MODULE BAG)</t>
  </si>
  <si>
    <t xml:space="preserve"> Interested bidders may obtain further information of the bidding documents from the BAC Secretariat of Barangay Bikil, Tubungan, Iloilo during working days starting August 21-27, 2020 from 8:00 a.m. to 5:00 p.m. or thru 09308748619</t>
  </si>
  <si>
    <t xml:space="preserve"> Invitation to Bid for the Supply and Delivery of Chainsaw for the use of Brgy. Talumpok Silangan, Batangas City</t>
  </si>
  <si>
    <t xml:space="preserve"> PortlandCement 340  16mmØDef.bar 79 10mmØx6.00m Def.bar 229 9mmØDef.Bar 24 #16G.ITiewire 35 4mm x50mm x50mm AngularBar 17 4mm x37.5mm x37.5mm AngularBar 10 1.50mm x50mm x75mm CeePurlin 24 1.20mm x50mm x150mm CeePurlin 26 12mmØPlainBar 8 12mm Turnbuckle 8 </t>
  </si>
  <si>
    <t xml:space="preserve"> DUMPTRUCT1(MINORREHABILITATION)  DUMPTRUCT2(MINORREHABILITATION) DUMPTRUCT3(MINORREHABILITATION) DUMPTRUCT4(GENERALREHAB.OVERALL) GRADER1(MINORREHABILITATION) GRADER29GENERALREHABILITATION) EXCAVATION(CAT)(GENERALREHABILITATION) BACKHOELOADER(MINORREHABIL</t>
  </si>
  <si>
    <t xml:space="preserve"> INVITATION TO BID FOR The Procurement of 306 bags of GM Hybrid Yellow Corn Seeds 1.	The Department of Agriculture-Regional Field Office 7, through the GAA 2020  intends to apply the sum of One Million Eight Hundred Thirty Six Thousand Pesos (₱1,836,000.00</t>
  </si>
  <si>
    <t xml:space="preserve"> 400 reams A4 Size Bond Paper for Learners Modules</t>
  </si>
  <si>
    <t xml:space="preserve"> DESCRIPTION	QTY (unit) PROCUREMENT AND DELIVERY OF VARIOUS LABORATORY SUPPLIES FOR THE 3RD  QUARTER OF CY 2020 UNDER ILD	        L-tryptophan, AR, 25g/bot.	2 bots. Ammonium Acetate, AR, 500g/bot.	2 bots. Acetonitrile, HPLC Grade, 4L/bot.	2 bots. Nitric Ac</t>
  </si>
  <si>
    <t xml:space="preserve"> Invitation to Bid FOR THE UPLB-I-025-09-20 SUPPLY AND DELIVERY OF CONSTRUCTION MATERIALS AND ELECTRICAL SUPPLIES FOR UHO   1.	The UNIVERSITY OF THE PHILIPPINES LOS BAÑOS (UPLB), through the GOP (RCC: LB03015001-C0000743, LB03015001-C0000683   FC: 8226700,</t>
  </si>
  <si>
    <t xml:space="preserve"> TIRES.., 5 pcs. @ 16,000 per piece 265/65 R17 (BRANDED)</t>
  </si>
  <si>
    <t xml:space="preserve"> 1.	External Hard Drive, USB 3.0, 1 TB	-5	unit 2.	Flashdrive,64GB, OTG drive         -15	unit 3.	Ink for CANON G4010, black	-6	bt. 4.	Ink for CANON G4010, Cyan	-6	bt. 5.	Ink for CANON G4010, Magenta	-6	bt. 6.	Ink for CANON G4010, Yellow	-6	bt. 7.	Ink for E</t>
  </si>
  <si>
    <t xml:space="preserve"> Small Value Procurement . . . .</t>
  </si>
  <si>
    <t xml:space="preserve"> Installation of Streetlights</t>
  </si>
  <si>
    <t xml:space="preserve"> purchase of CCTV Cameras with Accessories source of fund: Barangay Annual Budget 2020 Military Police Security Purchase and Installation od CCTV Cameras with Accessories P100,000.00 Military Police &amp; Security Equipment CCTV Camera and  Accessories        </t>
  </si>
  <si>
    <t xml:space="preserve"> Republic of the Philippines Province of Ilocos Norte MUNICIPALITY OF PIDDIG INVITATION TO BID FOR Purchase of Medicines 1. The Municipality of Piddig, through the  General Fund intends to apply the sum Three Hundred Thirty Two Thousand Eight Hundred Eight</t>
  </si>
  <si>
    <t xml:space="preserve"> Procurement of Medical Supplies						 Purchase Requested by the City Agriculture's Office, Tabaco City						 						 To Interested Suppliers, Manufacturers and Distributors,						 						 Please quote your lowest price/s on the lot or item/s  below, subject</t>
  </si>
  <si>
    <t xml:space="preserve"> Procurement of 1 Unit Pump Boat</t>
  </si>
  <si>
    <t xml:space="preserve"> use for Pag-asa Home and HFG &amp; Women</t>
  </si>
  <si>
    <t xml:space="preserve"> One Job Furnishing Labor and Materials for the Const. of Materials Recovery Facilities (MRF)</t>
  </si>
  <si>
    <t xml:space="preserve"> Procurement of 1 Lot Office Supplies and consumables</t>
  </si>
  <si>
    <t xml:space="preserve"> Alcohol, ethyl68%-70% Scented 1000 ml Paper, multi purpose A4 70 gsm Safeguard soap Family size  Stamp pad  Paper worx</t>
  </si>
  <si>
    <t xml:space="preserve"> INVITATION TO BID  for  Supply and Delivery of One (1) unit Generator Set, 200KVA (open Type w/ Complete Accessories and Battery) at PSWDO, Lingayen, Pangasinan Solicitation No. PANG-2020-1042 1.	The Provincial Government of Pangasinan, through the Capita</t>
  </si>
  <si>
    <t xml:space="preserve"> 45	dz	Detergent Powder 600 grms	 32	gallon	Fabric Conditioner	 20	pcs	Cautions Signage	 42	gal	Disinfectant 900ml	 50	bot	Air Freshener	 50	gallon	Zonrox	 70	gallon	Muriatic	 80	pcs	Bathsoap	 100	pcks	Styro Glass	 100	pcks	Styro Bowl	 100	pcks	Styro Plate</t>
  </si>
  <si>
    <t xml:space="preserve"> 2	unit	Fever detection terminal		 10	unit	Automatic Alcohol Dispenser with sensor		 2	unit	Thermal scanner with alcohol dispenser		 		*****Nothing Follows*****</t>
  </si>
  <si>
    <t xml:space="preserve"> Procurement of 1 Lot Medicines</t>
  </si>
  <si>
    <t xml:space="preserve"> INVITATION TO BID  for  Supply and Delivery of 4,347 pcs. Virus Transport Medium at PHO, Lingayen, Pangasinan [for use of 2nd Wave Expanded Targetted Testing (Mass Testing) for Frontline Workers contact Tracing and Barangay Health emergency &amp; Respnse Team</t>
  </si>
  <si>
    <t xml:space="preserve"> Procurement of 1 Lot Rice</t>
  </si>
  <si>
    <t xml:space="preserve"> Republic of the Philippines CITY OF MALABON Metro Manila OFFICE OF THE CITY MAYOR  TERMS OF REFERENCE AIP No. 9000-000-2-3-25-002-000-010 1.	TITLE :  EDUCATIONAL  SERVICES CONSULTANCY 2.	RATIONALE: The City of Malabon is in need of an able Consultant who </t>
  </si>
  <si>
    <t xml:space="preserve"> Procurement of Rabisin						 Purchase Requested by the City Agriculture's Office, Tabaco City						 						 To Interested Suppliers, Manufacturers and Distributors,						 						 Please quote your lowest price/s on the lot or item/s  below, subject to Terms</t>
  </si>
  <si>
    <t xml:space="preserve"> Name of Contract: Completion of Rizal Park, Barangay 2, Tanjay City IAC Classification: Small "B" for Park, Playground and Recreational Work PCAB Category "D" Duration: 210 Calendar Days Approved Budget for the Contract: Php 10,000,000.00 xxxxxxxxxxxx</t>
  </si>
  <si>
    <t xml:space="preserve"> Description   INVITATION TO APPLY FOR ELIGIBILITY AND TO BID The local Government Unit of Taft, through is Bid and Awards Committee (BAC). Invites suppliers to apply for eligibility, to bid for the hereunder contract: Name of Contract: PURCHASE AND DELIVE</t>
  </si>
  <si>
    <t xml:space="preserve"> Please see attached Request for Quotation (RFQ) in the Associated Components</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</si>
  <si>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</si>
  <si>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Republic of the Philippines Province of Romblon MUNICIPALITY OF ALCANTARA -oOo- INVITATION TO BID FOR PURCHASE OF OFFICE SUPPLIES        Alcantara, Romblon The Local Government Unit of Alcantara, Romblon, through the General Fund CY  2020  intends to appl</t>
  </si>
  <si>
    <t xml:space="preserve"> Procurement of 1 Lot Medical Supplies</t>
  </si>
  <si>
    <t xml:space="preserve"> 1.00	lot	Project Billboard and Warning Signs			 1.00	lot	Other General Requirements (Const. Safety &amp; Health)			 2.00	e.a.	Individual Removal of Trees (Small, 301-500mm Ø)			 5.30	cu.m.	Removal of Existing Structures			 9.12	cu.m.	Structure Excavation			 5</t>
  </si>
  <si>
    <t xml:space="preserve"> Republic of the Philippines                                           Province of Leyte     MUNICIPALITY OF ALBUERA       OFFICE OF THE BIDS AND AWARDS COMMITTEE INVITATION TO BID 	The Local Government Unit of Albuera, Leyte through its Bids and Awards Co</t>
  </si>
  <si>
    <t xml:space="preserve"> Bicol Medical Center Concepcion Pequeña, Naga City, 4400 (0998-247-0239/0906-256-9238          E-mail Address: bmc.bacoffice@gmail.com INIVITATION TO BID PROCUREMENT OF MEDICAL &amp; OTHER HEALTH RELATED EQUIPMENT (4) ITB No. 2020-34 1.	The BICOL MEDICAL CENT</t>
  </si>
  <si>
    <t xml:space="preserve"> Republic of the Philippines Province of Ilocos Norte MUNICIPALITY OF PIDDIG INVITATION TO BID FOR Supply and Delivery of Assorted Seedlings 1. The Municipality of Piddig, through the  20% MDF 2020 intends to apply the sum One Million Pesos (PhP 1,000,000.</t>
  </si>
  <si>
    <t xml:space="preserve"> 10 pcs. Bed Sheets 36" x 75" with garter 10 pcs. Linen 10 pcs. Pillow 18x28 20 pcs. Pillow case 6 pcs. Sterile drape 10 pcs. Disposable/Plastic Apron 10 pcs. Scrub suits 10 pcs. Dr. Gown 1 unit Pulse Oximeter 5 units Thermal Scanner 5 units BP Apparatus, </t>
  </si>
  <si>
    <t xml:space="preserve"> The Local Government Unit of General Santos City, through the TRUST FUND CY 2020 intends to apply the sum of fifty-one thousand eight hundred twenty-six and xx / 100 Pesos Only (51,826.00) being the Approved Budget for the Contract (ABC) to payments under</t>
  </si>
  <si>
    <t xml:space="preserve"> Procurement of 1 Lot Medals</t>
  </si>
  <si>
    <t xml:space="preserve"> Repair/Maintenance of Ravelled Areas</t>
  </si>
  <si>
    <t xml:space="preserve"> Description   INVITATION TO APPLY FOR ELIGIBILITY AND TO BID The local Government Unit of Taft, through is Bid and Awards Committee (BAC). Invites suppliers to apply for eligibility, to bid for the hereunder contract: Name of Contract: Purchase and Delive</t>
  </si>
  <si>
    <t xml:space="preserve"> Various Construction Materials and Supplies</t>
  </si>
  <si>
    <t xml:space="preserve"> Republic of the Philippines Province of Romblon MUNICIPALITY OF ALCANTARA -oOo- INVITATION TO BID FOR THE PURCHASE OF MATERIALS FOR INSTALLATION OF STREETLIGHTS  FROM NATIONAL ROAD TO ANHS (CAMPUS B)        Poblacion,  Alcantara, Romblon The Local Governm</t>
  </si>
  <si>
    <t xml:space="preserve"> 88        Load (Dump Truck) 1,496   cu.m per load</t>
  </si>
  <si>
    <t xml:space="preserve"> 24	Liters	0.9% Sodium Chloride 1000ml 200	bottles	70% isopropyl alcohol x 500 ml 30	rolls	Absorbent cotton 400 grams 10	pcs	Cholesterol test strips for Kernel x 10s 10	pcs	Capillary tube non heparinized 10	packs	Dengue test kit x 25s 12	liters	D5 Lactated</t>
  </si>
  <si>
    <t xml:space="preserve"> NOTICE OF PROCUREMENT OF CONSULTING SERVICES Through Negotiated Procurement - Small Value Procurement  (REQUEST FOR PROPOSAL) Contract ID No. 	: 20CSNE0002 Contract Name 	: CONSULTING SERVICES FOR THE CONDUCT OF SOIL     EXPLORATION AND/OR GEOTECHNICAL IN</t>
  </si>
  <si>
    <t xml:space="preserve"> Republic of the Philippines Province of Ilocos Norte MUNICIPALITY OF PIDDIG INVITATION TO BID  FOR  Construction of Farmer's Multipurpose Building Phase II at Brgy. Sta. Maria 1.	The Municipality of Piddig through the RA 7171 Fund   intends to apply the s</t>
  </si>
  <si>
    <t xml:space="preserve"> SPARE PARTS</t>
  </si>
  <si>
    <t xml:space="preserve"> Repair/Maintenance of Ravelled Areas and Transition of Shoulders</t>
  </si>
  <si>
    <t xml:space="preserve"> 2 unit Laptop PGO-JAIL</t>
  </si>
  <si>
    <t xml:space="preserve"> May I respectfully request the suppliers to submit their bids to our uploaded Purchase Request in our Account. Thank You and God Bless.</t>
  </si>
  <si>
    <t xml:space="preserve"> 2 units Desktop Computer PTO</t>
  </si>
  <si>
    <t xml:space="preserve"> For supply and delivery of: 1	pc	"Replacement of filter for Biotek Microplate Reader (EQP PAR-31) Model: ELX 808, SN 239033 one (1) pc 450 nm PN: 3100450"</t>
  </si>
  <si>
    <t xml:space="preserve"> INVITATION TO BID Sealed proposal in ink typewritten one (1) copy will be received fro bonafide contractors on August 28, 2020 at 3:00 PM at Barangay Hall, Barangay Bagong Sikat, this city on which date, time and place the bid will publicly opened in the </t>
  </si>
  <si>
    <t xml:space="preserve"> ITEM #	QTY	UNIT	        DESCRIPTIONS AND SPECIFICATIONS 1	         295	reams	PAPER, MULTI-PURPOSE (COPY), A4, 70 GSM, 210X297mm 2	            2	pcs	        Puncher standard 3	            6	pcs	        Long Reach Stapler (for stapling booklet type modules)</t>
  </si>
  <si>
    <t xml:space="preserve"> One job Furnishing Labor and Materials for the Construction of Materials Recovery Facilities</t>
  </si>
  <si>
    <t xml:space="preserve"> Conversion of Old ER to Malasakit Center, Expansion of pharmacy &amp; Ultrasound Room  ABC - (3,615,260.12) Public Bidding No. 2020-08-029 1. The Luis Hora Memorial Regional Hospital through the Hospital Income intends to apply the sum of Three Million Six Hu</t>
  </si>
  <si>
    <t xml:space="preserve"> 1 UNIT SERVICE VEHICLE Specification: Type: MPV with FB rear body Fuel: Diesel Engine Cylinder: 16 Valves Engine Displacement: 2200cc/2.2L, Euro 4 Compliant Transmission: 5 speed manual Maximum Power: 99 horsepower @ 3500 rpm Maximum Torque: 200Nm @ 1000-</t>
  </si>
  <si>
    <t xml:space="preserve"> 1. The City Government of Bacoor, Cavite, through the City Ordinance No. CO 562019 intends to apply the sum of ONE HUNDRED FIFTY  THOUSAND  PESOS AND ZERO CENT (PhP150,000.00) being the total Approved Budget for the Contract (ABC) for all lots indicated i</t>
  </si>
  <si>
    <t xml:space="preserve"> Republic of the Philippines Province of Oriental Mindoro MUNICIPALITY OF PINAMALAYAN OFFICE OF THE BIDS AND AWARDS COMMITTEE Invitation to Bid ITB-2020-47 1.  The Municipal Government of Pinamalayan, Oriental Mindoro, through the authorized appropriations</t>
  </si>
  <si>
    <t xml:space="preserve"> NOTICE FOR NEGOTIATED PROCUREMENT Adopting Sec. 53.1 (Two Failed Biddings) of the 2016 Revised IRR of RA 9184 Reference No.: DA8-Goods-TFB-2020-2 (PR NO. RICE 20-02-19-0514)Rebidding     The Department of Agriculture-Regional Field Office No. 8, through t</t>
  </si>
  <si>
    <t xml:space="preserve"> The Department of Education-Schools Division Office, San Juan City, through the authorized appropriations under Flexible Learning Option (FLO), FY 2020 General Appropriations Act (GAA), intends to apply the sum of Three Million One Hundred Ninety-Eight Th</t>
  </si>
  <si>
    <t xml:space="preserve"> REQUEST FOR QUOTATION The Department of Education – Francisco P. Felix Memorial National High School – JICA Extension through its Bids and Awards Committee (BAC) will undertake a Negotiated procurement under Small Value Procurement for the Printing and De</t>
  </si>
  <si>
    <t xml:space="preserve"> Construction of Municipal Boundaty Arc Cement 10 Bags Sand 2 CU.M Gravel 3/4 2 CU.M 16mm RSB 8 pcs 10mm RSB 5 pcs 2x2x12 Lumber 8 pcs Pylwood 1/2 1 pcs GI Wire #16 2 kls CW Nails 2 KLS GI pipe 6" 4 pcs GI pipe s40 2" 8 pcs GI pipe s40 1 1/2" 6 pcs GI pipe</t>
  </si>
  <si>
    <t xml:space="preserve"> 2500 kgs Hauling, Treatment IDH</t>
  </si>
  <si>
    <t xml:space="preserve"> Republic of the Philippines Local Government Unit of General Santos City BIDS AND AWARDS COMMITTEE GOODS AND CONSULTANCY SERVICES City Hall, General Santos City Invitation To Apply For Eligibility And To Bid For the PURCHASE OF CONSTRUCTION  MATERIALS (TR</t>
  </si>
  <si>
    <t xml:space="preserve"> ITEM #	QTY	UNIT	DESCRIPTIONS AND SPECIFICATIONS 1	         911	reams	PAPER, MULTI-PURPOSE (COPY), A4, 70 GSM, 210X297mm 2	            3	pcs	        PRINTER (MONOCHROME LASER PRINTER &amp; COPIER) 3	          35	pcs	        Black Ink (For Mono All-in-One Ink T</t>
  </si>
  <si>
    <t xml:space="preserve"> Republic of the Philippines				Project Reference Number: 	G-20-0759                                           Province of Compostela Valley				Name of the Project	:  T-shirt &amp; Polo shirt MUNICIPALITY OF MONTEVISTA			Location of the Project	:           MCR</t>
  </si>
  <si>
    <t xml:space="preserve"> INVITATION TO BID Sealed proposal in ink typewritten one (1) copy will be received fro bonafide contractors on August 28, 2020 at 3:00 PM at Barangay Hall, Barangay BAGONG SIKAT, this city on which date, time and place the bid will publicly opened in the </t>
  </si>
  <si>
    <t xml:space="preserve"> Delivery shall be made directly to the Schools Divisions of DepEd MIMAROPA on or before October 31, 2020. Please see attached associated component for specifications.</t>
  </si>
  <si>
    <t xml:space="preserve"> Item no. Qty. Unit of Issue Description 1 10 length Tabular 1 3/4x4 2 15 length Snap on base cover 3 1 length Double Head 4 1 length Double Sill 5 1 length Toprail 6 1 length Bottomrail 7 1 length Interlocker 8 1 length Lockstile 9 1 length Double Jamb 10</t>
  </si>
  <si>
    <t xml:space="preserve"> Republic of the Philippines BIDS AND AWARDS COMMITTEE Municipality of Irosin Reference Number: BAC-0062-2020								 August 20, 2020 REQUEST FOR QUOTATION The Local Government Unit of Irosin, through its Bids &amp; Awards Committee (BAC), requests suppliers/m</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</si>
  <si>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</si>
  <si>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MUNICIPALITY OF BUENAVISTA INVITATION TO RE-BID FOR SUPPLY AND DELIVERY OF OFFICE EQUIPMENT FOR RADYO KAMALINDIG   1.	The Local Government Unit of Buenavista, Marinduque through the fund from the Capital Outlay intends to apply</t>
  </si>
  <si>
    <t xml:space="preserve"> Repair/Maintenance of 164.0 l.m. RCPC drainage system</t>
  </si>
  <si>
    <t xml:space="preserve"> supply and delivery of office supplies for City Mayor's Office</t>
  </si>
  <si>
    <t xml:space="preserve"> 210 SACK - MASAGANA-PELLETIZE (FERTILIZER (AGRICULTURAL SUPPLY)</t>
  </si>
  <si>
    <t xml:space="preserve"> REQUEST FOR QUOTATION Project:  Supply and Installation of Electromechanical Equipment’sfor ButedPump Station of Talugtug Water District 1 – unit 10 KVA Multi Tap “Automatic Voltage Regulator “  Servo-Type motor including Load Testing: 	 		Primary : 220Vo</t>
  </si>
  <si>
    <t xml:space="preserve"> 1	box	Calamine lotion		 5	box	Salonpas patch		 2	box	Metoprolol 50mg		 5	box	Sambong forte 500mg		 3	box	Hydrocortisone Cream		 2	box	Silver sulfadiazine		 5	box	Cetirizine		 5	box	Omeprazole 40mg		 5	box	Zykast 10mg		 3	box	Norgesic forte		 5	box	Ambroxo</t>
  </si>
  <si>
    <t xml:space="preserve"> Diesel and Oil and Lubricants (Attached request for qoutation)</t>
  </si>
  <si>
    <t xml:space="preserve"> INVITATION TO BID IB-2020-098 The Philippine Children’s Medical Center, through DOH-HFEP CY 2020 intends to apply the sum of Two Million Pesos (Php 2,800,000.00) being the Approved Budget for the Contract (ABC) to payment under the contract for the follow</t>
  </si>
  <si>
    <t xml:space="preserve"> Republic of the Philippines Province of Oriental Mindoro MUNICIPALITY OF PINAMALAYAN OFFICE OF THE BIDS AND AWARDS COMMITTEE Invitation to Bid ITB-2020-48 1.  The Municipal Government of Pinamalayan, Oriental Mindoro, through the authorized appropriations</t>
  </si>
  <si>
    <t xml:space="preserve"> Republic of the Philippines				Project Reference Number: 	G-20-0772                                           Province of Compostela Valley				Name of the Project	:  Food supplies MUNICIPALITY OF MONTEVISTA			Location of the Project	:           MO  Standa</t>
  </si>
  <si>
    <t xml:space="preserve"> PLEASE SEE ATTACHED PURCHASE REQUISITION, TERMS OF REFERENCE AND BIDDING DOCUMENTS FOR DETAILS</t>
  </si>
  <si>
    <t xml:space="preserve"> Republic of the Philippines Province of Cebu Barangay Lanao  BIDS AND AWARDS COMMITTEE Barangay Lanao, Moalboal, Cebu  		Contract Reference No: 						Name of Contract : Construciton of Concrete Bench Standard Form: SF-INFR-05			Location of Contract: Lanao</t>
  </si>
  <si>
    <t xml:space="preserve"> Item No.	Unit	DESCRIPTION				Qty 						 1	Units	Laptop (Core i5)				4 2	Pcs.	Printer Ink (Epson # 664 Black)				10 3	Pcs.	Printer Ink (Epson #664 - Colored)				15 4	Pcs.	Printer Ink (Canon # 745 - Black)				6 5	Pcs.	Printer Ink (Canon # 746 - Colored)				</t>
  </si>
  <si>
    <t xml:space="preserve"> Procurement of office supplies - Mayor's Office 1. Bond Paper  (long size, s.20) - 60 reams 2. Bond Paper (short size, s.20) - 60 reams 3. Bond Paper (A4) - 15 reams 4. Epson Ink Black 664 - 30 pcs. 5. Epson Ink Cyan 664 - 10 pcs. 6. Epson Ink Magenta 664</t>
  </si>
  <si>
    <t xml:space="preserve"> Republic of the Philippines Province of Eastern Samar Municipality of Mercedes OFFICE OF THE BIDS AND AWARDS COMMITTEE (BAC) INVITATION TO BID # INFRA-2020- 011  INVITATION TO BID FOR THE PROPOSED BARANGAY ROADS CONCRETING        Brgy. 01-04 Pob., (Sta. 0</t>
  </si>
  <si>
    <t xml:space="preserve"> PLEASE SEE ATTACHMENTS TAKE NOTE:  *ONLY those who have purchased the bidding documents will be able to attend and participate the Pre-Bid Conference.            The Schedule of BAC activities are as follows:								 								 BAC Activities					Schedule		</t>
  </si>
  <si>
    <t xml:space="preserve"> INVITATION TO BID IB-2020-097 The Philippine Children’s Medical Center, through DOH-HFEP CY 2020 intends to apply the sum of Two Million Pesos (Php 2,000,000.00) being the Approved Budget for the Contract (ABC) to payment under the contract for the follow</t>
  </si>
  <si>
    <t xml:space="preserve"> For the supply and delivery of: 37	box	Peroxygen Based Disinfectant, Potassium  Peroxymonosulphate 90%			 		Specifications:			 		Potassium Peroxymonosulphate 90%			 		70,000 ppm more potent than ordinary chlorine-based bleach			 		Low Toxicity (LD 50&gt;3000</t>
  </si>
  <si>
    <t xml:space="preserve"> Conversion of DBM ROV tubelights from conventional lights to LED  lights, quotation shall include the following:   - Provision  and installation of the following LED tubelights for the 1st and 2nd floor of DBM ROV:          -  72 pcs T8 LED Linear Tube, 9</t>
  </si>
  <si>
    <t xml:space="preserve"> Please quote your lowest price inclusive of VAT on the following items; ITEM NO.      QUANTITY           UNIT         DESCRIPTION     1.                   2000                  REAM        PAPER, multipurpose(COPY) A4, 70 gsm	 2.                   50     </t>
  </si>
  <si>
    <t xml:space="preserve"> Construction of covered court (phase 1) Barangay Rosario Balingasag Misamis Oriental</t>
  </si>
  <si>
    <t xml:space="preserve"> The PCIEERD invites sealed bid from eligible bidders for the PROCUREMENT OF CUSTOMIZED DATA FILE FOLDER with details as follows: Size: 9x14x3/4 Color: Red Quantity: 400 pcs Further, PCIEERD reserves the right to reject any or all bid, to waive any or all </t>
  </si>
  <si>
    <t xml:space="preserve"> NOTICE FOR NEGOTIATED PROCUREMENT Adopting Sec. 53.1 (Two Failed Biddings) of the 2016 Revised IRR of RA 9184 Reference No.: DA8-Goods-TFB-2020-3 (PR NO. NLP 20-03-02-0202)     The Department of Agriculture-Regional Office No. 8, through the NLP 2020 inte</t>
  </si>
  <si>
    <t xml:space="preserve"> Republic of the Philippines Province of Negros Occidental Municipality of Pontevedra BIDS AND AWARDS COMMITTEE INVITATION TO BID 	The Municipality of Pontevedra, Negros Occidental through its Bids and Awards Committee (BAC), invites all prospective bidder</t>
  </si>
  <si>
    <t xml:space="preserve"> Republic of the Philippines MUNICIPALITY OF BUENAVISTA INVITATION TO BID FOR SUPPLY AND DELIVERY OF OFFICE SUPPLIES FOR DILG, BMPS, HEALTH, ASSESSOR, MDRRM, BUDGET, SB LEGISLATIVE AND ENGINEERING OFFICE    1.	The Local Government Unit of Buenavista, Marin</t>
  </si>
  <si>
    <t xml:space="preserve"> Republic of the Philippines Province of Southern Leyte MUNICIPALITY OF LIMASAWA -o0o- Bids and Awards Committee Invitation to Bid for the Supply of Materials for LGU Water System Repair and Maintenance  Limasawa, Southern Leyte 1.	The Local Government Uni</t>
  </si>
  <si>
    <t xml:space="preserve"> supply and delivery of office supplies for City Budget Office</t>
  </si>
  <si>
    <t xml:space="preserve"> Emergency Repair - Tower Cab Glass Panel at Sangley Airport</t>
  </si>
  <si>
    <t xml:space="preserve"> 10 UNITS SHOTGUN Semi Automatic 12 Gauge</t>
  </si>
  <si>
    <t xml:space="preserve"> INSTALLATION OF CANOPY EXTENSION ON OUR BARANGAY COVERED COURT  Installation of 106.5 sq.m. Canopy &amp; 71 sq.m. roof extension of main roof Note: Please see attached link below on Other Information for  more reference.</t>
  </si>
  <si>
    <t xml:space="preserve"> Republic of the Philippines				Project Reference Number: 	G-20-0770                                           Province of Compostela Valley				Name of the Project	:  Food supplies MUNICIPALITY OF MONTEVISTA			Location of the Project	:           MO  Standa</t>
  </si>
  <si>
    <t xml:space="preserve"> Painting works (200 sq.m.) Occupational Safety and Health (1 lump sum)  Electrical Works (1 lump sum)  Wall-Fiber Cement (163.72 sq.m)</t>
  </si>
  <si>
    <t xml:space="preserve"> BULLAGO WATER SYSTEM</t>
  </si>
  <si>
    <t xml:space="preserve"> Republic of the Philippines Department of Public Works and Highways Pampanga 3rd District Engineering Office San Francisco Street, Brgy. Pampang, Angeles City Region III Telephone Nos. (045) 323-5782 / 887-5249 DPWH-INFR-04-2016 RE-INVITATION TO BID The D</t>
  </si>
  <si>
    <t xml:space="preserve"> 1 UNIT COMPUTER SET   SPECIFICATIONS: OS: WINDOWS 10 PRO LICENSED  INTEL-CORE i7-8TH GEN PROCESSOR 8GB DDR4 MEMORY 256 SSD 1TB HDD 21" MONITOR KEYBOARD AND MOUSE NOTE: ALL NEW SUPPLIER ARE REQUIRED TO SUBMIT THE FOLLOWING DOCUMENT. 1. DTI Registration 2. </t>
  </si>
  <si>
    <t xml:space="preserve"> Oil Filter VIC-C111 Oil Filter VIC-C110 Oil Filter VIC-C306 Oil Filter VIC-C115 Oil Filter VIC-C512 Oil Filter DAIWA DO-605 Fuel Filter VIC F-193 Fuel Filter DAIWA DF 505 Fully Synthetic Gas Motor Oil Fully Synthetic Diesel Motor Oil</t>
  </si>
  <si>
    <t xml:space="preserve"> The Department of Public Works and Highways (DPWH), Laguna III District Engineering Office San Pablo City Region IV-A, through its Bids and Awards Committee (BAC), invites Contractors to submit bids for the following Contract: Contract ID: 19DP0090 Contra</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</si>
  <si>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</si>
  <si>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1	LOT	TO SUPPLY LABOR AND MATERIALS FOR THE FABRICATION AND INSTALLATION OF BARANGAY SIGNAGE WITH ACRYLIC DIFFUSER WHITE 5MM</t>
  </si>
  <si>
    <t xml:space="preserve"> Vehicle Hire for the Conduct of Second Phase of  Groundwater Resource and Vulnerability Assessment at  Tagudin, Sta. Cruz, Sta. Lucia and Candon City on  September 7-28, 2020 (22 days)</t>
  </si>
  <si>
    <t xml:space="preserve"> Republic of the Philippines                         Province of Laguna                     Municipality of Kalayaan                    Bids and Awards Committee Request for Quotation for the Purchase of Municipal Employees’ Nutritional Package-Relief Assi</t>
  </si>
  <si>
    <t xml:space="preserve"> INVITATION TO BID FOR THE PROPOSED TYPICAL 1-STOREY WITH MEZZANINE FIRE STATION OF NOVELETA, CAVITE OF BFP REGION 4A, FOR FY 2020</t>
  </si>
  <si>
    <t xml:space="preserve"> UHF/ FM Digital/ Analog Portable Radio 	20	units NX-340 M2		 General Specifications:		 Frequency Range: 400 - 470MHz		 Channel Capacity: 16- Channels		 RF Power Output: Low 1 Watt/ High 5 Watts		 Dimension: 54 x 122 x 35.3mm (2.134 x 1.39")		 Weight: 11.6</t>
  </si>
  <si>
    <t xml:space="preserve"> 8" dia. Concrete Pipe 36" dia. Concrete Pipe Portland Cement Mixed Gravel and Sand</t>
  </si>
  <si>
    <t xml:space="preserve"> Construction of Multi-Purpose Fence</t>
  </si>
  <si>
    <t xml:space="preserve"> Supply and Delivery of; STOCK NO.	UNIT	ITEM DESCRIPTION				QTY 1	meter	Flat cord #16				100 2	unit	Air conditioner				1 3	ream	Laminating film (A4 size)				1 5	unit	Dual Band Wireless Lan connection(Router)				3 		x-x-x-x-x-x-x-x-x				 Purpose / Remarks:	</t>
  </si>
  <si>
    <t xml:space="preserve"> Republic of the Philippines PROVINCE OF CAMARINES SUR BIDS AND AWARDS COMMITTEE ITB No. 053-09-2020 INVITATION TO BID  	The Provincial Government of Camarines Sur (PGCS) through its Bids and Awards Committee (BAC) invites suppliers/manufacturers/distribut</t>
  </si>
  <si>
    <t xml:space="preserve"> PROJECT:  FENCING OF MULTI PURPOSE HALL COMPOUND LOCATION: BARANGAY LILIBANGAN, CONCEPCION, TARLAC APPROVED BUDGET FOR THE CONTRACT: PHP 315,302.30 SOURCE OF FUND: 20% BDF The contract to be performed by the successful bidder shall be specified in the Tec</t>
  </si>
  <si>
    <t xml:space="preserve"> Republic of the Philippines Province of Oriental Mindoro MUNICIPALITY OF PINAMALAYAN OFFICE OF THE BIDS AND AWARDS COMMITTEE Invitation to Bid ITB-2020-49 1.  The Municipal Government of Pinamalayan, Oriental Mindoro, through the authorized appropriations</t>
  </si>
  <si>
    <t xml:space="preserve"> Republic of the Philippines				Project Reference Number: 	G-20-0767                                           Province of Compostela Valley				Name of the Project	:  Food supplies MUNICIPALITY OF MONTEVISTA			Location of the Project	:           MO  Standa</t>
  </si>
  <si>
    <t xml:space="preserve"> 1.	4	bottle/s	Glass Cleaner 250ml 2.	5	bottle/s	Toilet Bowl Cleaner 250ml 3.	2	piece/s	Detergent Powder (1,100g) 4.	3	piece/s	Fabric Conditioner 1L 5.	10	bottle/s	Dishwashing Liquid 6.	10	piece/s	Dishwashing Scrub 7.	5	piece/s	Multi Insect Killer 8.	10	ro</t>
  </si>
  <si>
    <t xml:space="preserve"> 1		roll	2''Øx60m.HDPE Pipe SDR11				 5		roll	1 1/2''Øx60m.HDPE Pipe SDR11				 4		roll	1''Øx100m.HDPE Pipe SDR11				 2		roll	3/4''Øx150m.HDPE Pipe SDR11				 1		roll	1/2''Øx300m.HDPE Pipe SDR11				 6		pc	2''x3/4'' Saddle Clamp				 5		pc	1 1/2'' P.E. Straigh</t>
  </si>
  <si>
    <t xml:space="preserve"> 1	17 bag Cement 2	17 pc 10mm RSB 3	17 pc 9mm RSB 4	2 kl Tie Wire 5	2.5 cu.m. Gravel 6	6 pc 2” dia GI Pipe S-40 7	3 pc 1 ¼” GI Pipe S-40, Arm 8	2 kl Welding Rod 9	1 ltr Epoxy Metal Primer 10	1 pc Paint Brush 11	2 pc Plywood ¼” Ord 12	2 kl Tie Wire 13	3 kl </t>
  </si>
  <si>
    <t xml:space="preserve"> Tile works 600mm x 600mm Semi-granite polished tiles (50 sq.m.) Painting Works (80 sq.m.)</t>
  </si>
  <si>
    <t xml:space="preserve"> Republic of the Philippines Province of Nueva Vizcaya MUNICIPALITY OF AMBAGUIO -oo0oo- August 20, 2020 INVITATION TO APPLY FOR ELIGIBILITY AND TO BID 	The Municipal Government of Ambaguio, Nueva Vizcaya through the Bids and Awards Committee (BAC) hereby i</t>
  </si>
  <si>
    <t xml:space="preserve"> Republic of the Philippines Province of Eastern Samar Municipality of Guiuan Invitation to Bid for  PROPOSED REHABILITATION OF MUNICIPAL GROUND (REAR PORTION) AND CONTINUATION OF DRAINAGE SYSTEM, GUIUAN MUNICIPAL GROUND, GUIMBAOLIBOT AVENUE, BARANGAY 09-A</t>
  </si>
  <si>
    <t xml:space="preserve"> Item No.	Unit	DESCRIPTION				Qty 						 1	Reams	A4 Bond Paper				500 2	Pcs.	Expanded Envelope Long			790 3	Set	Epson Ink T664				        24 4	Pcs.	Clear Book Short				200</t>
  </si>
  <si>
    <t xml:space="preserve"> 1		UNIT	PATIENT TRANSPORT VEHICLE (RESCUE VEHICLE)				 			1. Technical Specification:				 			     -Engine 2.5 Liter Diesel				 			     -EURO 4 Model				 			     -6 Speed Manual Transmission				 			     -Power Steering				 			     -Dual Airconditioner (Fro</t>
  </si>
  <si>
    <t xml:space="preserve"> Republic of the Philippines Province of Misamis Occidental MUNICIPALITY OF CALAMBA BARANGAY SALVADOR INVITATION TO BID FOR PURCHASE OF MATERIALS FOR THE IMPROVEMENT OF BARANGAY HOLDING FACILITIES FOR COVID-19 LSI 	August 21, 2020 1.	The BARANGAY SALVADOR </t>
  </si>
  <si>
    <t xml:space="preserve"> 1.	2,240	liter/s	Diesel</t>
  </si>
  <si>
    <t xml:space="preserve"> INVITATION TO BID ITB NO. 2020-08-017 The Procuring Entity  through its Bids and Awards Committee (BAC), invites eligible IT suppliers to apply for eligibility and to bid for the hereunder project: Name of Project: Purchase of Construction Materials for t</t>
  </si>
  <si>
    <t xml:space="preserve"> ITEM		ITEM DESCRIPTION	QTY.	UNIT NO.				 1	)	Ballpen, 0.5mm, Ball Needle Point, Black /	5	pieces 2	)	Ballpen, 1 Box, Black/	1	box 3	)	Ballpen, Ordinary, Black/	5	pieces 4	)	Ballpen, Ordinary, Blue/	5	pieces 5	)	Ballpen, Retractable, Fine, Black/	10	pieces</t>
  </si>
  <si>
    <t xml:space="preserve"> For used for CBO Personnel</t>
  </si>
  <si>
    <t xml:space="preserve"> 1 lot - Software subscription of 25 Zoom Enterprise Licenses for 1 year</t>
  </si>
  <si>
    <t xml:space="preserve"> INVITATION TO BID The DPWH Regional Office IX, Veterans Avenue Extension, Tetuan, Zamboanga City, through its Bids and Awards Committee (BAC), invites contractors to submit bids for the following Contract: Contract ID	:	20J00218 Contract Name	:	Constructi</t>
  </si>
  <si>
    <t xml:space="preserve"> The office of SK Lumbia is in need of printer for their paper works.</t>
  </si>
  <si>
    <t xml:space="preserve"> Construction of BDRRMO Command Center at Barangay Sto Domingo Cainta,Rizal</t>
  </si>
  <si>
    <t xml:space="preserve"> rehabilitation,de-clogging of canal</t>
  </si>
  <si>
    <t xml:space="preserve"> Item No.	Unit	DESCRIPTION				Qty 						 1	Unit	Ink Tank System Printer				21 		* Compact Integrated Tank Design				 		*Print Speeds of Up to 15 ipm for Black and				 		8.0ipm for colors				 		*High Yield Ink Bottles				 		*Print, Scan, Copy, Fax w/ ADF			</t>
  </si>
  <si>
    <t xml:space="preserve"> 1	unit	25 KVA Transformer</t>
  </si>
  <si>
    <t xml:space="preserve"> INVITATION TO BID FOR PROCUREMENT OF MATERIALS FOR THE IMPROVEMENT OF MULTI-PURPOSE HALL 1.	The [Barangay Local Government Unit of Bahay], through the [20% BDF CY 2020]  intends to apply the sum of [TWO HUNDRED NINETY-FIVE THOUSAND TWO HUNDRED FORTY-SIX P</t>
  </si>
  <si>
    <t xml:space="preserve"> Installation of 6 Units 4.0 HP Air Condition Unit for Barangay Multi Purpose Hall at Marick Subdivision Cainta, Rizal</t>
  </si>
  <si>
    <t xml:space="preserve"> RIGID 90° LARYNGEAL ENDOSCOPE (8MM), WITH FIBER OPTIC CABLE AND UNIVERSAL LIGHT SOURCE Tele-Laryngoscope, 8 mm Ø, 90°, working length 210mm with detachable handle, autoclavable Fiber Optic Cold Light Cable, length 2.3 m, 4.9mm Ø Mini Portable Light Source</t>
  </si>
  <si>
    <t xml:space="preserve"> Republic of the Philippines Province of Misamis Occidental MUNICIPALITY OF CALAMBA BARANGAY DAPACAN BAJO INVITATION TO BID FOR IMPROVEMENT OF MULTI-PURPOSE BUILDING 	August 21, 2020 1.	The Barangay Dapacan Bajo  of Calamba, Misamis Occidental, through the</t>
  </si>
  <si>
    <t xml:space="preserve"> QTY.          UNIT          DESCRIPTION 4,444.44    LITERS      DIESEL FUEL</t>
  </si>
  <si>
    <t xml:space="preserve"> Retrofitting of P. Fuentes Elementary School @ Fuentes, Pantukan, Davao De Oro (Labor)</t>
  </si>
  <si>
    <t xml:space="preserve"> Republic of the Philippines Province of Southern Leyte MUNICIPALITY OF LIMASAWA -o0o- Bids and Awards Committee Invitation to Bid for the Supply of Agricultural Seeds for the Implementation of the Yolanda Rehabilitation and Reconstruction Program (YRRP) o</t>
  </si>
  <si>
    <t xml:space="preserve"> 1	 pcs. 			C.I. Gate Valve M/J, `200mm` 1	 pcs. 			C.I. Gate Valve M/J, `160mm` 1	 pcs. 			C.I. Gate Valve M/J, `63mm` 1	 pcs. 			C.I. Gate Valve M/J, `75mm` 1	 pcs. 			C.I. Gate Valve M/J, `90mm` 1	 pcs. 			C.I. Gate Valve M/J, 110 mm`` 6	 pcs. 			C.I. S</t>
  </si>
  <si>
    <t xml:space="preserve"> 1 lot                   Mobilization and Demobilization 14 pcs                BI Pipe sch 40 (4 x 10 ft) 1 box                 THHN Wire 3 sets                 Splicing Materials 15 pcs                HD Coupling 1 pc                    Reducer (5" x 4" x</t>
  </si>
  <si>
    <t xml:space="preserve"> RFQ-2020-256		 			 1.	5	gal	Alcohol 2.	50	pcs	Ball Pen Black 3.	35	pcs	Ball Pen Blue 4.	125	pcs	Ball Pen Green 5.	1	pcs	Tornado Mop 6.	1	bottl.	Baygon 7.	20	reams	Bond Paper long 8.	30	reams	Bond Paper short 9.	20	gal	Zonrox Big 10.	20	pcs	Brown Envelope </t>
  </si>
  <si>
    <t xml:space="preserve"> 1.	2	gallon/s	Betadine Antiseptic 7.5% 2.	30	bottle/s	Alcohol 70% 500ml 3.	3	box/es	Chromic 1-0 x 12 4.	3	box/es	Chromic 2-0 x 12 5.	5	box/es	Cord Clamp x 100 6.	50	box/es	Face Mask 7.	3	box/es	Foley Catheter fr 14 x 10 8.	5	box/es	Foley Catheter fr 16 x </t>
  </si>
  <si>
    <t xml:space="preserve"> Republic of the Philippines Province of Guimaras OFFICE OF THE BIDS AND AWARDS COMMITTEE INVITATION TO BID FOR    SUPPLY AND DELIVERY OF CATERING SERVICES AND VENUE Bid Ref. No. 2020-08-467 1.	The Province of Guimaras , through the DOLE Kabuhayan Program </t>
  </si>
  <si>
    <t xml:space="preserve"> Digital Water Meter Analyzer(Service Utility Analyzer)		1	unit specifications:			 Optimum flow range - 3.0 to 45 GPM, 150 PSI			 Pressure Drop - adjusted to simulate 5/8" x 3/4" meter			 One Moving Part: Turbine Rotor			 Display - 0.4" high, 6-digit LCD d</t>
  </si>
  <si>
    <t xml:space="preserve"> SUPPLY OF LABOR, MATERIALS AND EQUIPMENTS FOR THE ROAD CONCRETING AT POLOG TO CABANGAHAN ROAD, CONSOLACION, CEBU</t>
  </si>
  <si>
    <t xml:space="preserve"> INVITATION TO BID The DPWH Regional Office IX, Veterans Avenue Extension, Tetuan, Zamboanga City, through its Bids and Awards Committee (BAC), invites contractors to submit bids for the following Contract: Contract ID	:	20J00219 Contract Name	:	Constructi</t>
  </si>
  <si>
    <t xml:space="preserve"> Construction of Monitoring Station @ Diat, Napnapan, Pantukan, Davao De Oro (Labor)</t>
  </si>
  <si>
    <t xml:space="preserve"> INVITATION TO BID #2020-06  FOR  GOODS The Department of Public Works and Highways, Samar Second District Engineering Office, Catbalogan City, Samar, through its Bids and Awards Committee (BAC) for Goods, invites suppliers to submit bids for the following</t>
  </si>
  <si>
    <t xml:space="preserve"> QTY  UNIT DESCRIPTION 4000	Liters	Diesel				 600	Liters	Unleaded Gasoline</t>
  </si>
  <si>
    <t xml:space="preserve"> 1.	30	neb/s	Budesonide 250mcg/ml 2.	100	tab/s	Calcium Carbonate 1.25g 3.	50	amp/s	Clindamycin 150mg/ml 4ml 4.	500	cap/s	Clindamycin 300mg 5.	50	tab/s	Diclofenac 50mg 6.	12	bottle/s	Domperidone 1mg/ml 60ml syr 7.	50	tab/s	Furosemide 40mg 8	.30	amp/s	Gentam</t>
  </si>
  <si>
    <t xml:space="preserve"> MICROVASCULAR SET A. BULLDOG CLAMPS 1. 2 pcs Straight (debakey), 50mm total length, 21mm length of jaw 2. 2 pcs Curve(debakey), 50mm total length, 20mm length of jaw B. 1 pc CCASTROVIEJO NEEDLE HOLDER  - 0.2mm jaw width, 180mm total length  -  1 pc POTTS </t>
  </si>
  <si>
    <t xml:space="preserve"> Please see attached ITB. ABC: 288,550.00</t>
  </si>
  <si>
    <t xml:space="preserve"> Tile Works, Ceiling Works, Revision of Roofing, 3rd floor slab with steel deck and W-flange support, Electrical Works, Railings, 3rd floor spandrel exterior wall &amp; marine plywood double wall, 6" G.I Pipe column on steel plate, bolted</t>
  </si>
  <si>
    <t xml:space="preserve"> Republic of the Philippines Province of Oriental Mindoro MUNICIPALITY OF PINAMALAYAN OFFICE OF THE BIDS AND AWARDS COMMITTEE Invitation to Bid ITB-2020-50 1.  The Municipal Government of Pinamalayan, Oriental Mindoro, through the authorized appropriations</t>
  </si>
  <si>
    <t xml:space="preserve"> Republic of the Philippines PROVINCE OF AGUSAN DEL SUR Municipality of Loreto INVITATION TO BID FOR VARIOUS SPARE PARTS FOR HEAVY EQUIPMENT UNDER ENGINEERING MOTORPOOL 1.	The Municipality of Loreto, through the GENERAL FUND intends to apply the sum of THR</t>
  </si>
  <si>
    <t xml:space="preserve"> SUPPLY AND DELIVERY OF FOOD COMMODITIES FOR MAINTENANCE OF SOCIAL DEVELOPMENT CENTER AND MAKATI YOUTH HOMES AND GROCERY PACKS FOR MAKATI BLOODLINES COMMUNITY -ORDER OF PAYMENT FOR BID DOCS WILL BE AVAILABLE AT GSD-HEAD OFFICE @ 10TH FLOOR MAKATI CITY HALL</t>
  </si>
  <si>
    <t xml:space="preserve"> Petroleum &amp; Oil consumption</t>
  </si>
  <si>
    <t xml:space="preserve"> REF. NO./ PR NO.: INFRA2020-RDW-023 / MG-RDW20-018 DESCRIPTION:     Rehabilitation of Piezometers at Agus 4 HEP Dam, Balo-i, Lanao del Norte 1.	Drilling of Hole (NQ Size – 2 x 6 m &amp; 2 x 17 m depth) 2.	Installation of Piezometers and PVC Riser Pipes 3.	Gro</t>
  </si>
  <si>
    <t xml:space="preserve"> Republic of the Philippines PROVINCE OF AGUSAN DEL SUR Municipality of Loreto INVITATION TO BID FOR DUPLICATING MACHINE FOR DEPED LORETO DISTRICT, AGUSAN DEL SUR 1.	The Municipality of Loreto, through the SPECIAL EDUACATIONAL FUND intends to apply the sum</t>
  </si>
  <si>
    <t xml:space="preserve"> INVITATION TO BID The DPWH Regional Office IX, Veterans Avenue Extension, Tetuan, Zamboanga City, through its Bids and Awards Committee (BAC), invites contractors to submit bids for the following Contract: Contract ID	:	20J00223 Contract Name	:	Constructi</t>
  </si>
  <si>
    <t xml:space="preserve"> PROCTOSIGMOIDOSCOPY SET  With anoscope, 19mm x 7mm fober optic anoscope with obturator With light source, light handle with 0.9 meter cord Adult proctosigmoidoscope, 19mm x 35cm with obturator Pediatric proctosigmoidoscope, 15mm x 25cm with obturator Suct</t>
  </si>
  <si>
    <t xml:space="preserve"> 1	Supply, installation, synchronization and testing of hour meter and appurtenances, 7-digits din rail type 35mm, 220-240v 60hz		9	set 				 				 2	Supply, installation, integration and commissioning of Automatic Transfer Switch and appurtenances, complete</t>
  </si>
  <si>
    <t xml:space="preserve"> INVITATION TO BID The DPWH Regional Office IX, Veterans Avenue Extension, Tetuan, Zamboanga City, through its Bids and Awards Committee (BAC), invites contractors to submit bids for the following Contract: Contract ID	:	20J00220 Contract Name	:	Constructi</t>
  </si>
  <si>
    <t xml:space="preserve"> 1.16 pcs steel matting HD 2. 8 pcs 0.7 flat sheet 3. 12 pcs 1'' dia. G.I. PIPE #40 4. 10KGS W. rod 5. 12 pcs angle bar 1 x 1 6. 6 pcs cutting Disc. HD 7. 4 pcs hacksaw blade 8. 16 pcs cylindrical hinges 9. 1 gal primer paint ( gray ) 10. 1 bot paint thinn</t>
  </si>
  <si>
    <t xml:space="preserve"> 200	 pcs. 		Brass Water Meter ½ 30	 pcs. 		Brass Water Meter ¾ 300	 pcs. 		Brass St. Coupling ½ 100	 pcs. 		Brass St. Coupling 1" 200	 pcs. 		Brass Magnetic Ball Valve w/ lockable wing ½ 30	 pcs. 		Brass Magnetic Ball Valve w/ lockable wing  ¾ 10	 pcs. 		</t>
  </si>
  <si>
    <t xml:space="preserve"> 1. 10 Piece/s Raincoat (Checkpoint personnel)  2. 10 Pair/s Rubber Boots (For Checkpoint Personnel and CR Maintenance) 3. 18 Piece/s Trash Can (Office and Checkpoint Area) 4. 90 Roll/s Trash Bag (Plastic, Transparent) MEDIUM 5. 10 Piece/s Dustpan (Non - r</t>
  </si>
  <si>
    <t xml:space="preserve"> 5	 pcs. 		PVC Pipe C150 S80, `110mm x 6mts` 5	 pcs. 		PVC Pipe C150 S80, `160mm x 6mts` 5	 pcs. 		PVC Pipe C150 S80, `200mm x 6mts` 5	 pcs. 		PVC Pipe C150 S80, `90mm x 6mts` 1	 roll 		HDPE Pipe Iso Sdr 11, `50mm 2	 roll 		HDPE Pipe Iso Sdr 11, `63mm 3	 r</t>
  </si>
  <si>
    <t xml:space="preserve"> The City Government of Santiago invites interested parties to submit price quotation for the “SUPPLY AND DELIVERY OF IMESSENGER FOR INFORMATION DISSEMINATION“ City Hall, Santiago City, details as follows: ABC: Php 200,000.00 Contract Duration: 14 calendar</t>
  </si>
  <si>
    <t xml:space="preserve"> MUNICIPALITY OF PANIQUI Province of Tarlac 	Project Reference Number : G-2020-008 Name of the Project           : Supply &amp; Delivery of Tweleve (12) Units Laptop  Location of the Project     :  Sangguniang Bayan of LGU-Paniqui, Tarlac Standard Form Number:</t>
  </si>
  <si>
    <t xml:space="preserve"> RFQ-2020-257		 			 1.	2	units	Desktop computers 			Processor core type : intel i5 			10th generation 			HDD SSD 			RAM 4 GB 			Graphics : 1GB NVIDIA GT 625 			Screen size : 21" 			Processors : 3-4 GHz 			Operating System : Windows 10 			Mouse : MS USB Opt</t>
  </si>
  <si>
    <t xml:space="preserve"> QTY  UNIT  DESCRIPTION 16	Unit	Printer 3 in 1				 		 - scan				 		 - print				 		 - photocopy				 1	Unit	Photocopier				 		- Speed : 24 prints per minute				 		- Scanning Resolution : 600x600 dpi				 		-Scanning Formats : TIFF, PDF, Compact PDF, JPEG, XPS</t>
  </si>
  <si>
    <t xml:space="preserve"> August 21, 2020 REQUEST FOR QUOTATION   										P.R. No.:  032 Supplier:	________________________________     		 Address:	________________________________ 		________________________________ TIN No.:	________________________________ Please quote your low</t>
  </si>
  <si>
    <t xml:space="preserve"> Republic of the Philippines PROVINCE OF AKLAN Kalibo -o0o- BIDS AND AWARDS COMMITTEE (BAC) INVITATION TO BID  The Provincial Government of Aklan through its Bids and Awards Committee (BAC), invites organized pakyaw groups, associations and cooperatives to</t>
  </si>
  <si>
    <t xml:space="preserve"> Republic of the Philippines PROVINCE OF AGUSAN DEL SUR Municipality of Loreto Invitation to Bid for  Construction of Evacuation Center (Kauswagan) 1.	The Municipality of Loreto, through the TRUST FUND/LGSF-AM 2019 intends to apply the sum of FIVE MILLION </t>
  </si>
  <si>
    <t xml:space="preserve"> REF. NO./PR NO.:  INFRA2020-PUL-020 / MG-PLM20-075 DESCRIPTION:     Fabrication and Installation of Walkway Shed and Concreting of Pathway- Phase 4 at Kiuntod, Camp 1, Maramag, Bukidnon 1.  Layout 2. Ground Works     a) Excavation     b) Laying and Compac</t>
  </si>
  <si>
    <t xml:space="preserve"> METRO BANGUED WATER DISTRICT							 Bangued, Abra							 							 PURCHASE REQUEST							 							 DIVISION: 	COMMERCIAL						 PR No.     : 	20-08-103						 DATE       : 	18-Aug-20						 							 Item No.	Description	Quantity	Unit	 Unit Cost 	 Amount 		 				</t>
  </si>
  <si>
    <t xml:space="preserve"> Please see attached documents It may also be downloaded free of charge form the website of the Philippine Ports Authority at www.ppa.com.ph</t>
  </si>
  <si>
    <t xml:space="preserve"> Complete reconstruction of X-Ray room, ceiling, roofing, walls, flooring, doors, windows and other medical equipment in Pilar &amp; Sorsogon City and Repair &amp; Improvement of Donsol District Hospital including Road Network</t>
  </si>
  <si>
    <t xml:space="preserve"> Republic of the Philippines Province of Quezon MUNICIPALITY OF PANUKULAN * * * Invitation to Bid for REHABILITATION OF LINE CANAL 1.	The Local Government Unit of Panukulan, Quezon  through the  GENERAL FUND  2020 intends to apply the sum of Two Hundred On</t>
  </si>
  <si>
    <t xml:space="preserve"> Republic of the Philippines PROVINCE OF AGUSAN DEL SUR Municipality of Loreto INVITATION TO BID FOR TIRES FOR DUMPTRUCK &amp; MOTOR GRADER OF MUNICIPAL ENGINEERING OFFICE 1.	The Municipality of Loreto, through the GENERAL FUND intends to apply the sum of FIVE</t>
  </si>
  <si>
    <t xml:space="preserve"> The City Government of Santiago invites interested parties to submit price quotation for the “SUPPLY AND DELIVERY OF ASSISTIVE DEVICES FOR PERSONS WITH DISABILITY OF VARIOUS BARANGAYS“ City Hall, Santiago City, details as follows: ABC: Php 355,835.00 Cont</t>
  </si>
  <si>
    <t xml:space="preserve"> Republic of the Philippines CITY OF IRIGA BIDS AND AWARDS COMMITTEE REQUEST FOR QUOTATION 1. The City of Iriga through the Bids and Awards Committee (BAC) now invites contractors, registered with and classified by the Philippine Contractors Accreditation </t>
  </si>
  <si>
    <t xml:space="preserve"> 1.	The Local Government Unit of Mabini, Pangasinan, through the 20% Development Fund CY 2020 intends to apply the sum of Six Hundred Forty Eight Thousand Six Hundred Twenty Pesos (PhP648,620.00) being the Approved Budget for the Contract (ABC) to payments</t>
  </si>
  <si>
    <t xml:space="preserve"> QTY  UNIT DESCRIPTION 		Improvement of Pathway @ San Isidro Elem. School				 70	Bags	Cement				 8	Cu.m	Sand				 10	Cu.m	Crushed Stones (chocker)				 		Construction of Close Drainage @ RHU				 162	Bags	Cement				 14	Cu.m	Sand				 20	Cu.m	Crushed Stones (ch</t>
  </si>
  <si>
    <t xml:space="preserve"> The City Government of Santiago invites interested parties to submit price quotation for the “SUPPLY AND DELIVERY OF IMESSENGER COVID 19 SPECIAL EDITION FOR INFORMATION DISSEMINATION“ City Hall, Santiago City, details as follows: ABC: Php 250,000.00 Contr</t>
  </si>
  <si>
    <t xml:space="preserve"> INVITATION TO BID The DPWH Regional Office IX, Veterans Avenue Extension, Tetuan, Zamboanga City, through its Bids and Awards Committee (BAC), invites contractors to submit bids for the following Contract: Contract ID	:	20J00222 Contract Name	:	Constructi</t>
  </si>
  <si>
    <t xml:space="preserve"> INVITATION TO BID FOR THE PROCUREMENT OF JANITORIAL SERVICES FOR OCTOBER TO DECEMBER 2020 FOR THE DEPARTMENT OF AGRARIAN REFORM REGIONAL OFFICE 02 (DARRO 02) Reference Number:  PBD-20-02 1.	The Department of Agrarian Reform (DAR), under the proposed 2020 </t>
  </si>
  <si>
    <t xml:space="preserve"> Consumption for September 1-31, 2020   800 liters Diesel 40 ltrs. Gasoline 6 gals. Engine Oil 2 ltrs. Brake Fluid 4 pails Oil 10</t>
  </si>
  <si>
    <t xml:space="preserve"> Bond paper, A4				1000	ream Vellum paper, A4			50	pack Ink, epson				30	bot PVC ring				        20	pc PVC cover, A4				10	pack</t>
  </si>
  <si>
    <t xml:space="preserve"> The City Government of Santiago invites interested parties to submit price quotation for the “SUPPLY AND DELIVERY OF DISTILLED WATER AND ZIP LOCK FOR QUARANTINE FACILITY“ City Hall, Santiago City, details as follows: ABC: Php 205,350.00 Contract Duration:</t>
  </si>
  <si>
    <t xml:space="preserve"> SUPPLY AND DELIVERY OF MATERIALS FOR WOODEN STAGE WITH BACKDROP, STAIRS, PLATFORM AND TOOLS AND LETTERING OF BANNERS AND STREAMER -ORDER OF PAYMENT FOR BID DOCS WILL BE AVAILABLE AT GSD-HEAD OFFICE @ 10TH FLOOR MAKATI CITY HALL BLDG. 2. LOOK FOR MR. REDEN</t>
  </si>
  <si>
    <t xml:space="preserve"> ALUBIJID CENTRAL SCHOOL 				 3		kilo	Welding Rod				 2		pc	Cutting Disc 7''				 5		pc	PVC Pipe #2''Ø				 2		pc	PVC Elbow 90º X 2''				 2		pc	PVC Tee 2''Ø				 1		can	Solvent Cement				 3		pc	PVC Coupling 2'' Ø				 1		box 	Blind Revits 1/8 X 1/2				 4		set	</t>
  </si>
  <si>
    <t xml:space="preserve"> The City Government of Santiago invites interested parties to submit price quotation for the “SUPPLY AND DELIVERY OF RUNNING MESSAGE LED DISPLAY BOARD FOR INFORMATION DISSEMINATION“ City Hall, Santiago City, details as follows: ABC: Php 97,200.00 Contract</t>
  </si>
  <si>
    <t xml:space="preserve"> RFQ-2020-258		 			 1.	1	unit	Washing Machine Heavy duty (Fully Automatic washer 14kg) 2.	1	unit	Air conditioner Window type 1.5HP 3.	1	pc	Filing Cabinet (Stainless Steel) 4.	1	pc	Locker big (12 shelves) 5.	1	unit	Computer set 			HP DT Slim S01-PF0127D 			</t>
  </si>
  <si>
    <t xml:space="preserve"> Republic of the Philippines Province of Quezon MUNICIPALITY OF PANUKULAN * * * Invitation to Bid for EXTENSION/CONCRETING OF A.BONIFACIO STREET 1.	The Local Government Unit of Panukulan, Quezon  through the  20% MDF  2020 intends to apply the sum of Five </t>
  </si>
  <si>
    <t xml:space="preserve"> SUPPLY AND DELIVERY OF BRAND NEW TOW TRUCK -ORDER OF PAYMENT FOR BID DOCS WILL BE AVAILABLE AT GSD-HEAD OFFICE @ 10TH FLOOR MAKATI CITY HALL BLDG. 2. LOOK FOR MR. REDEN VILLANUEVA. A COMPLETE SET OF BIDDING DOCUMENTS WILL BE AVAILABLE FROM DAY OF POSTING/</t>
  </si>
  <si>
    <t xml:space="preserve"> Republic of the Philippines Province of Oriental Mindoro MUNICIPALITY OF PINAMALAYAN OFFICE OF THE BIDS AND AWARDS COMMITTEE Invitation to Bid ITB-2020-51 1.  The Municipal Government of Pinamalayan, Oriental Mindoro, through the authorized appropriations</t>
  </si>
  <si>
    <t xml:space="preserve"> Republic of the Philippines PROVINCE OF AGUSAN DEL SUR Municipality of Loreto Invitation to Bid for  Construction of Evacuation Center (San Isidro) 1.	The Municipality of Loreto, through the TRUST FUND/LGSF-AM 2019 intends to apply the sum of FIVE MILLION</t>
  </si>
  <si>
    <t xml:space="preserve"> Supplies and materials for covid response for senior high school</t>
  </si>
  <si>
    <t xml:space="preserve"> The City Government of Santiago invites interested parties to submit price quotation for the “SUPPLY AND DELIVERY OF SNACKS FOR VARIOUS MEETINGS“ City Hall, Santiago City, details as follows: ABC: Php 106,875.00 Contract Duration: 14 calendar days Schedul</t>
  </si>
  <si>
    <t xml:space="preserve"> Republic of the Philippines City of Toledo -oOo- BIDS AND AWARDS COMMITTEE ITB No. I30-03-2020 INVITATION TO BID FOR: Proposed Road Opening (Hospital- Hinulawan Road) Brgy.Pobalcion, Toledo City  ( L=162.00m.; W=15.00m.) 1.	The City Government of Toledo u</t>
  </si>
  <si>
    <t xml:space="preserve"> INVITATION TO APPLY FOR ELIGIBILITY AND TO BID FOR THE PROCUREMENT OF EGG MACHINE CAGE, PULLETS, FEEDS AND BIOLOGICS FOR EGG PRODUCTION UNDER THE LIVELIHOOD SUPPORT FOR WOMEN IN CRISIS SITUATION, COMPONENT “C” (PACKAGE III), FUNDED UNDER THE PASSOVER: ARB</t>
  </si>
  <si>
    <t xml:space="preserve"> INVITATION TO BID The DPWH Regional Office IX, Veterans Avenue Extension, Tetuan, Zamboanga City, through its Bids and Awards Committee (BAC), invites contractors to submit bids for the following Contract: Contract ID	:	20J00221 Contract Name	:	Constructi</t>
  </si>
  <si>
    <t xml:space="preserve"> 1 SET/S DESKTOP COMPUTER - WITH COMPLETE ACCESSORIES - 21.5 inches monitor - intel core i5, 3.2ghz or higher processor speed - NvIdia Ge Force (2GB) - 4GB DDRS - 1 tb</t>
  </si>
  <si>
    <t xml:space="preserve"> 445		set	Portland Cement 				 30		set	Washed Sand				 40		pc	Washed Gravel				 2600		pc	No. 4 CHB				 222		le	12mmØx6m DRB				 262		le	10mmØx6m DRB				 50		kilo	No. 16 G.I. Tie Wire				 123		sht	1/4''thk. Marine Plywood (Forms)				 2		gal	Solignum				 150</t>
  </si>
  <si>
    <t xml:space="preserve"> PNEUMATIC TOURNIQUET SET *Function: Twin Tunnels *Digital Pressure Regulator *Inflatable Torniquet Cuffs *Dual Bladder 2 SETS PLEASE ATTACH THE FOLLOWING: 1. PHILGEPS REGISTRATION 2. MAYOR'S PERMIT 3. UPDATED TAX CLEARANCE 4. SEC/DTI/CDA REGISTRATION</t>
  </si>
  <si>
    <t xml:space="preserve"> INVITATION TO BID FOR THE PROCUREMENT OF SECURITY SERVICES FOR OCTOBER TO DECEMBER 2020 FOR THE DEPARTMENT OF AGRARIAN REFORM REGIONAL OFFICE 02 (DARRO 02)  Reference Number:  PBD-20-03   1.	The Department of Agrarian Reform (DAR), through the proposed 20</t>
  </si>
  <si>
    <t xml:space="preserve"> 1 500 PC/S FOLDER - BROWN ( LONG SIZE ) 2 10 ROLL/S TAPE - TRANSPARENT, 48MM (2") WIDTH, USABLE LENGHT OF 50M 3 15 REAM/S PAPER - BOOK SUBS.20 SHORT ( 8 1/2"X11" ) 4 20 PC/S FOLDER - EXPANDING LONG GREEN 5 20 PC/S ENVELOP - EXPANDING LONG- GREEN W/ SLING </t>
  </si>
  <si>
    <t xml:space="preserve"> PROVISION OF SECURITY SERVICES FOR NORTHERN MINDANAO Y2020-2022</t>
  </si>
  <si>
    <t xml:space="preserve"> Fuel consumption</t>
  </si>
  <si>
    <t xml:space="preserve"> Republic of the Philippines Province of Quezon MUNICIPALITY OF PANUKULAN * * * Invitation to Bid for IMPROVEMENT OF PACKING HOUSE(POST HARVEST AND PROCESSING FACILITY) 1.	The Local Government Unit of Panukulan, Quezon  through the  General Fund  2020 inte</t>
  </si>
  <si>
    <t xml:space="preserve"> NOTICE TO THE PUBLIC REQUEST FOR PROPOSAL Purchase Request No: PUR20-08-0690/0691 The Philippine General Hospital hereby informs the public that it will be procuring the following item/s through Small Value Procurement: 			Supply and Delivery of Prepaid C</t>
  </si>
  <si>
    <t xml:space="preserve"> 1 unit Waste Pulverizer Functions: For Non-Biodegradable &amp; Residual Waste Specifications: * Capacity: Up to 300kg per hour * Made of Mild Steel Plate, Cold Role Steel, Tool Steel Plate * Driven by 10HP Induction Motor 220V Three Phase, 1800rpm * With push</t>
  </si>
  <si>
    <t xml:space="preserve"> August 21, 2020 REQUEST FOR QUOTATION   										P.R. No.:  033 Supplier:	________________________________     		 Address:	________________________________ 		________________________________ TIN No.:	________________________________ Please quote your low</t>
  </si>
  <si>
    <t xml:space="preserve"> The City Government of Santiago invites interested parties to submit price quotation for the “SUPPLY AND DELIVERY OF OFFICE EQUIPMENT FOR CITY CIVIL REGISTRAR OFFICE USE“ City Hall, Santiago City, details as follows: ABC: Php 148,745.00 Contract Duration:</t>
  </si>
  <si>
    <t xml:space="preserve"> Republic of the Philippines CITY OF PANABO Province of Davao del Norte BIDS AND AWARDS COMMITTEE -o0o- REQUEST FOR QUOTATION 1.	 The City of Panabo, through CSWDO – CO – 3 UNITS DESKTOP COMPUTER W/ PRINTER intends to apply the sum of One Hundred Thirty-Fi</t>
  </si>
  <si>
    <t xml:space="preserve"> 9		UNIT	 LAPTOP (Quad Core Celeron Apollo Lake J3455, 8 Gig DDR3 Memory 				 11		UNIT	PRINTER, 3n1				 11		UNIT	PRINTER, Colored				 1		unit	RISOGRAPH, Digital Duplicator, Full automatic One-Drum stencil system, Digital Desktop, 300x300 DPI				 3		unit	PR</t>
  </si>
  <si>
    <t xml:space="preserve"> 1 UNIT PRINTER - . - compact integrated tank design - High yield ink bottles - spill-free,error-free refilling - Print , scan,copy, fax with ADF - Wifi-Fi,Wi-Fi Direct - Bordless printing up to 4R</t>
  </si>
  <si>
    <t xml:space="preserve"> SUPPLY AND DELIVERY OF LABORATORY SUPPLIES (HUMAN IMMUNOVIRUS (HIV) AG/AB COMBO TEST REAGENT FOR AUTOMATED IMMUNOLOGY ANALYZER - SENSOR LEVEL TRIGGER FOR AUTOMATED IMMUNOLOGY ANALYZER) -ORDER OF PAYMENT FOR BID DOCS WILL BE AVAILABLE AT GSD-HEAD OFFICE @ </t>
  </si>
  <si>
    <t xml:space="preserve"> REF. NO./PR NO.:   INFRA2020-AG5-017 / MG-A5M20-129 DESCRIPTION:       AG5 Construction of Secondary Containment for Transformer Oil at Agus 5 HEP, Barangay Ditucalan, Iligan City 1.	Excavation and Backfilling Works 1.1.	Flooring 1.2.	Column Footing 1.3.	</t>
  </si>
  <si>
    <t xml:space="preserve"> The City Government of Santiago invites interested parties to submit price quotation for the “SUPPLY AND DELIVERY OF TIRE WITH TUBE FOR VARIOUS GOVERNMENT VEHICLES“ City Hall, Santiago City, details as follows: ABC: Php 87,000.00 Contract Duration: 14 cal</t>
  </si>
  <si>
    <t xml:space="preserve"> Republic of the Philippines Central Visayas Region, Region VII Province of Negros Oriental MUNICIPALITY OF SANTA CATALINA Bids and Awards Committee ITB NO.: 2020-09-02-030 INVITATION TO BID FOR THE SUPPLY AND DELIVERY OF TIRES FOR HEAVY EQUIPMENT VEHICLES</t>
  </si>
  <si>
    <t xml:space="preserve"> PROJECT:  STEEL FENCING OF THE COVERED COURT LOCATION: BARANGAY SAN ISIDRO APPROVED BUDGET FOR THE CONTRACT: PHP 87,690.00 SOURCE OF FUND: 10% SK FUND The contract to be performed by the successful bidder shall be specified in the Technical Quotation Form</t>
  </si>
  <si>
    <t xml:space="preserve"> 1 UNIT PRINTER - . - A3 Wi-Fi DUPLEX ALL-IN-ONE INK TANK PRINTER - AUTOMATIC DUPLEX - PRINT SPEED UP TO 32ppm/20ppm - FAX AND ADF CAPABILITY - ETHERNET &amp; Wi-Fi DIRECT</t>
  </si>
  <si>
    <t xml:space="preserve"> REPAIR OF ADMIN BUILDING  (EAVES CEILING, GUTTER, DOWNSPOUTS AND AIR VENTS)</t>
  </si>
  <si>
    <t xml:space="preserve"> NOTE: ALL ITEMS MUST BE DELIVERED IN ONE PACKAGE           LIST OF ITEMS AND ESTIMATED COST ARE INCLUDED 220 REAMS     BOND PAPER 70 GSM (A4)           195.00             42,900.00 4     BOTTLES  HP56X ORIGINAL TONER          8,000.00             32,000.0</t>
  </si>
  <si>
    <t xml:space="preserve"> OFFICE EQUIPMENT, OFFICE SUPPLIES AND CONSUMABLES FOR SENIOR HIGH SCHOOL</t>
  </si>
  <si>
    <t xml:space="preserve"> Concreting of Roads - Cluster IV Area Road #16, Barangay Sta. Ines East Road #5, Barangay Sta. Ines East Sagun Road (GAP), Barangay Pob. West Villegas Road (GAP), Barangay Pilpila</t>
  </si>
  <si>
    <t xml:space="preserve"> Please see attached documents Quotations shall be submitted in PERSON to the Administrative Services Department, ASD, Mezzanine Floor, PPA Head Office, South Harbor, Manila. Quotations/documents sent to any other department/s or email address will not be </t>
  </si>
  <si>
    <t xml:space="preserve"> SUPPLY AND DELIVERY OF PORTABLE REFRIGERATORS FOR BLOOD BAGS -ORDER OF PAYMENT FOR BID DOCS WILL BE AVAILABLE AT GSD-HEAD OFFICE @ 10TH FLOOR MAKATI CITY HALL BLDG. 2. LOOK FOR MR. REDEN VILLANUEVA. A COMPLETE SET OF BIDDING DOCUMENTS WILL BE AVAILABLE FR</t>
  </si>
  <si>
    <t xml:space="preserve"> SUPPLY AND DELIVERY OF HISTOPATHOLOGY EMBEDDING STATION -ORDER OF PAYMENT FOR BID DOCS WILL BE AVAILABLE AT GSD-HEAD OFFICE @ 10TH FLOOR MAKATI CITY HALL BLDG. 2. LOOK FOR MR. REDEN VILLANUEVA. A COMPLETE SET OF BIDDING DOCUMENTS WILL BE AVAILABLE FROM DA</t>
  </si>
  <si>
    <t xml:space="preserve"> QTY./UNIT OF ISSUE/ITEM DESCRIPTION 232 bags Portland Cement 142 pcs 10mm.Øx6.0m. Steel bars 28 pcs 16mm.Øx6m. Reinf. Steel bars 7 pcs ¼”thk. Marine Plywood 6 kgs CW Nails (assorted sizes) 10 kgs #16 Tie Wire 906 pcs 6”thk. Concrete Hollowblocks 10 cu.m. </t>
  </si>
  <si>
    <t xml:space="preserve"> Purchase of Office Equipment, Information and Technology Equipment and Furnitures and Fixtures for Sangguniang Kabataan of Barangay Bolbok, Batangas City</t>
  </si>
  <si>
    <t xml:space="preserve"> The City Government of Santiago invites interested parties to submit price quotation for the “SUPPLY AND DELIVERY OF TRI-WHEELER FOR SCLAO OPERATION USE“ City Hall, Santiago City, details as follows: ABC: Php 186,000.00 Contract Duration: 14 calendar days</t>
  </si>
  <si>
    <t xml:space="preserve"> 1.	The Local Government Unit of Mabini, Pangasinan, through the 20% Development Fund CY 2020 intends to apply the sum of One Million Three Hundred Thousand Pesos (PhP1,300,000.00) being the Approved Budget for the Contract (ABC) to payments under the cont</t>
  </si>
  <si>
    <t xml:space="preserve"> SUPPLY AND DELIVERY OF BIRTHING BEDS (DELIVERY ROOM TABLE BEDS) -ORDER OF PAYMENT FOR BID DOCS WILL BE AVAILABLE AT GSD-HEAD OFFICE @ 10TH FLOOR MAKATI CITY HALL BLDG. 2. LOOK FOR MR. REDEN VILLANUEVA. A COMPLETE SET OF BIDDING DOCUMENTS WILL BE AVAILABLE</t>
  </si>
  <si>
    <t xml:space="preserve"> SUPPLY, DELIVERY AND INSTALLATION OF VARIOUS IT EQUIPMENT (LAPTOPS, DESKTOPS, NETWORK LAN TESTER AND PROBE) -ORDER OF PAYMENT FOR BID DOCS WILL BE AVAILABLE AT GSD-HEAD OFFICE @ 10TH FLOOR MAKATI CITY HALL BLDG. 2. LOOK FOR MR. REDEN VILLANUEVA. A COMPLET</t>
  </si>
  <si>
    <t xml:space="preserve"> RFQ-2020-259		 			 1.	1	unit	UV Sterilizer Machine 2.	2	unit	Air Purifier 3.	2	pcs	Kendrick traction splint 			 	Deadline for Submission of Bids: August 27, 2020, 11:00 AM		 			PAYMENT TERM: 90 DAYS</t>
  </si>
  <si>
    <t xml:space="preserve"> For the change oi and repair of Generator Set 1 Pc 400 Amperes Circuit Breaker 3 Phase 1 Gal Water Coolant 1 Pail Diesel Engine Oil 1 Pc Lube Filter 3349 1 Pc Fuel Water Separator 1280 1 Pc Fuel Filter 5052 1 Pc Air Cleaner Element</t>
  </si>
  <si>
    <t xml:space="preserve"> Item and Description 90 D LENS-1 SET PLUS GONIO LENS 2 SETS PLEASE ATTACH THE FOLLOWING: 1. PHILGEPS REGISTRATION 2. MAYOR'S PERMIT 3. UPDATED TAX CLEARANCE 4. SEC/DTI/CDA REGISTRATION</t>
  </si>
  <si>
    <t xml:space="preserve"> Republic of the Philippines Province of Quezon MUNICIPALITY OF PANUKULAN * * * Invitation to Bid for CONCRETING OF PATHWAY-(Municipal Compound) 1.	The Local Government Unit of Panukulan, Quezon  through the  General Fund  2020 intends to apply the sum of </t>
  </si>
  <si>
    <t xml:space="preserve"> Item No.	Item Description	Quantity	Unit of Issue	Estimated Unit Cost (₱)	Total Estimated Cost (₱) 					 1	Plastic pail @ 100 liters	400	pcs	 600.00 	 240,000.00  Place of Delivery: DA-NVES, Tapaya, Villaros, Bagabag, N.V Period of Delivery:  Source of fun</t>
  </si>
  <si>
    <t xml:space="preserve"> Department of Education						 Region V						 Division of Camarines Sur						 CALABANGA NATIONAL HIGH SCHOOL						 						 REQUEST FOR QUOTATIONS (RFQ)						 						 				Date: August 20, 2020		 				Quotation No.    2020-008-044		 ____________________________</t>
  </si>
  <si>
    <t xml:space="preserve"> Supply and Delivery of One Unit Service Pick-Up Truck with complete accessories, all in accordance with the approved specifications, standards and terms &amp; conditions</t>
  </si>
  <si>
    <t xml:space="preserve"> 3 units of Weaving Machine</t>
  </si>
  <si>
    <t xml:space="preserve"> 1 2 BTL/S CLEANER - LIQUID GLASS 250ML- SPRAY 2 3 CAN/S DISHWASHING LIQUID - 200ML W/ ANTI-BACTERIAL FORMULA 3 3 PACK/S DETERGENT - POWDER- 500G 4 3 BTL/S TOILET BOWL CLEANER - W/ KILLER VIREX 500ML 5 1 GAL/S BLEACHING SOLUTION 6 2 PC/S BROOM - SOFT- THIC</t>
  </si>
  <si>
    <t xml:space="preserve"> The City Government of Santiago invites interested parties to submit price quotation for the “SUPPLY AND DELIVERY OF DIESEL FOR VARIOUS SCHOOLS OPERATION“ City Hall, Santiago City, details as follows: ABC: Php 500,000.00 Contract Duration: 14 calendar day</t>
  </si>
  <si>
    <t xml:space="preserve"> 5 set Optical Mouse 5 set Laptop ***nothing follows***</t>
  </si>
  <si>
    <t xml:space="preserve"> 3 pcs. Executive Chair -Executive Highback Chair with armrest -Adjustable gaslift - Polyurethane finish back and seat - Chrome starbase with castor wheels -Color: Black - Dimension: L24" x W25" x H45.5"</t>
  </si>
  <si>
    <t xml:space="preserve"> Supply, installation, integration, (incorporation to existing ground electrode, metering pump, chlorine analyzer and dosing pump) and commissioning of Automatic and Manual Motor Controller and appurtenances with variable frequency drive,  75hp 460v 60hz, </t>
  </si>
  <si>
    <t xml:space="preserve"> 1.	The Local Government Unit of Mabini, Pangasinan, through the 20% Development Fund CY 2020 intends to apply the sum of THREE MILLION PESOS (PhP3,000,000.00) being the Approved Budget for the Contract (ABC) to payments under the contract for Construction</t>
  </si>
  <si>
    <t xml:space="preserve"> 2 pcs. Starter Assembly, 12 volts ********************************** Purpose: For Philippine National Police use.</t>
  </si>
  <si>
    <t xml:space="preserve"> OFFICE EQUIPMENT,OFFICE SUPPLIES AND CONSUMABLES FOR JUNIOR HIGH SCHOOL</t>
  </si>
  <si>
    <t xml:space="preserve"> Republic of the Philippines MUNICIPALITY OF AGONCILLO Province of Batangas Tel. No. 043-210-2344/043-210-2117 BARANGAY POOK INVITATION TO BID The LGU – Pook, through its Bids and Awards Committee (BAC), invites suppliers/manufacturers/distributors/contrac</t>
  </si>
  <si>
    <t xml:space="preserve"> Soil covering and greening of open dump site with leachate and gas management Location: Brgy. Tagharigue, Calubian, Leyte Total Area: 2,500 sq.m. Completion time: 90 calendar days</t>
  </si>
  <si>
    <t xml:space="preserve"> Philippine Carabao Center invites a Philgeps Registered to supply for 1 Unit Tractor Starter (Model Kubota 8030) with an approved ABC of Php75,500.00 Suppliers must attached their Certificate of Philgeps Certificate, Business Permit/Mayors Permit For more</t>
  </si>
  <si>
    <t xml:space="preserve"> Republic of the Philippines PROVINCE OF AGUSAN DEL SUR Municipality of Loreto INVITATION TO BID FOR STORAGE/ARCHIVE OF PUBLIC DOCUMENTS FOR ACCOUNTING OFFICE 1.	The Municipality of Loreto, through the GENERAL FUND intends to apply the sum of TWO HUNDRED F</t>
  </si>
  <si>
    <t xml:space="preserve"> The City Government of Santiago invites interested parties to submit price quotation for the “SUPPLY AND DELIVERY OF MEALS FOR THE MEETING OF PERSONAL CONCERNING COVID 19 UPDATES WITH THE CHIEF EXECUTIVES“ City Hall, Santiago City, details as follows: ABC</t>
  </si>
  <si>
    <t xml:space="preserve"> 10 heads Swine Specification: 1. Swine for breeding &amp; fattening 2. Ready to breed swine 3. Hybrid large white landrace gilts, 6-8 months old at least 70-80 kilos ********************************************************** Purpose: For livelihood of our loc</t>
  </si>
  <si>
    <t xml:space="preserve"> Republic of the Philippines City of Toledo -oOo- BIDS AND AWARDS COMMITTEE ITB No. I39-03-2020 INVITATION TO BID FOR: Proposed Road Concreting @ Brgy. Matab-ang, Toledo City (L=1,000.00m.) 1.	The City Government of Toledo under the 20% Development Fund CY</t>
  </si>
  <si>
    <t xml:space="preserve"> 4 units External Hard Drive Back-Up, 4TB</t>
  </si>
  <si>
    <t xml:space="preserve"> Republic of the Philippines PROVINCE OF AGUSAN DEL SUR Municipality of Loreto INVITATION TO BID FOR CATERING SERVICES FOR PEACE BUILDING COMMUNICATIONS: CONFLICT RESOLUTION SKILLS &amp; STRATEGIES FOR LUPONG TAGAPAMAYAPA 1.	The Municipality of Loreto, through</t>
  </si>
  <si>
    <t xml:space="preserve"> The City Government of Santiago invites interested parties to submit price quotation for the “SUPPLY AND DELIVERY OF FUNERAL WREATH FOR THE DECEASED CONSTITUENT OF SANTIAGO CITY“ City Hall, Santiago City, details as follows: ABC: Php 200,000.00 Contract D</t>
  </si>
  <si>
    <t xml:space="preserve"> nternet Cable - CAT 6E Outdoor UTP Cable 150m  1 box</t>
  </si>
  <si>
    <t xml:space="preserve"> SUPPLY AND DELIVERY OF MEDICAL SUPPLIES FOR DAILY OPERATION OF OSPITAL NG MAKATI (OR GOWN WITH LOGO - PLASTIC FOR PILLOW) -ORDER OF PAYMENT FOR BID DOCS WILL BE AVAILABLE AT GSD-HEAD OFFICE @ 10TH FLOOR MAKATI CITY HALL BLDG. 2. LOOK FOR MR. REDEN VILLANU</t>
  </si>
  <si>
    <t xml:space="preserve"> The City Government of Santiago invites interested parties to submit price quotation for the “SUPPLY AND DELIVERY OF PAINTING MATERIALS FOR PAINTING OF CITY HALL PARK“ City Hall, Santiago City, details as follows: ABC: Php 217,275.00 Contract Duration: 14</t>
  </si>
  <si>
    <t xml:space="preserve"> ITEM NO      DESCRIPTION     QTY   UNIT OF ISSUE    EST. UNIT COST    ESTIMATED COST 1            Rice bran @40 kg   250    bags    800      200,000.00 ABC            200,000.00</t>
  </si>
  <si>
    <t xml:space="preserve"> 1 10 REAM/S PAPER - BOOK A4,210MMX297MM,MIN OF 70GSM 2 5 REAM/S PAPER - BOND-SUBS.16,SHORT (8 1/2"X11") 3 10 BOX/S COMPUTER FORMS - 4 PLY 11inx9 1/2in 4 24 ROLL/S TOILET TISSUE - TWIN PLY 5 5 PC/S STAPLE WIRE - #35 6 1 BOX/S CLIP - PAPER-VINYL COATED ( BI</t>
  </si>
  <si>
    <t xml:space="preserve"> INVITATION TO BID       FURNISHING AND DELIVERY OF GOODS 1.	The Local Government Unit of Juban intends to apply the sum of FIVE HUNDRED THIRTY FOUR THOUSAND FIVE HINDRED FIFTY FIVE PESOS (Php 534,555.00) being the Approved Budget for the Contract (ABC) to</t>
  </si>
  <si>
    <t xml:space="preserve"> Purchase of 3 Desktop and 5 CPU units 3 Units Desktop    Specifications:            Processor:   Intel Core i5-9400(FCLGA1151)            Mainboard:  MSI H310M PRO-VH            Memory:  8GB RAM DDR4            HDD: WD 1TB            Optical Drive :  CD/D</t>
  </si>
  <si>
    <t xml:space="preserve"> Republic of the Philippines MUNICIPALITY OF BUENAVISTA INVITATION TO BID FOR SUPPLY AND DELIVERY OF FURNITURE AND FIXTURE FOR MSWD, MPDC AND ACCOUNTING OFFICE, ICT EQUIPMENT FOR AGRICULTURE AND BMPS OFFICEE    1.	The Local Government Unit of Buenavista, M</t>
  </si>
  <si>
    <t xml:space="preserve"> PLEASE SEE ATTACHED REQUEST FOR QUOTATION</t>
  </si>
  <si>
    <t xml:space="preserve"> 2 pcs. HP Laserjet Imaging Drum for HP Printer, LJ Pro M102a</t>
  </si>
  <si>
    <t xml:space="preserve"> IT Equipment  xxxxx nothing follows xxxxxx</t>
  </si>
  <si>
    <t xml:space="preserve"> 1 UNIT Desktop PC 1 UNIT Desktop Monitor 1 UNIT BACK-UPS 650 VA, 230V, AVR, Universal Sockets 1 SET Keyboard and Optical Mouse ***nothing follows***</t>
  </si>
  <si>
    <t xml:space="preserve"> 3 UNIT PRINTER - ( 3 IN 1 ) - Color Print Inkjet Printer - Print Resolution 5760 x 1440 DPI - Print Speed : Black 33PPM COLOR 15PPM - Paper Size: 10x15cm - 13x18cm - 9-13cm A4 Letter ( 80 1/2 x 11 in )</t>
  </si>
  <si>
    <t xml:space="preserve"> INVITATION TO BID FOR Design &amp;Construction of 20 meters Reinforced Concrete Retaining Wall The BUENAVISTA WATER DISTRICT, through the DBP Loanintends to apply the sum ofOne Million Five Hundred Thousand Pesosonly (Php 1,500,000.00) being the Approved Budg</t>
  </si>
  <si>
    <t xml:space="preserve"> -  STRUCTURE EXCAVATION  -  EMBANKMENT                                         – REINFORCED CONCRETE BLEACHER -  MASONRY UNITS (BLEACHER)                 – PLAIN CEMENT PLASTER FINISH (BLEACHER) -  STRUCTURAL METAL                                – PREPAIN</t>
  </si>
  <si>
    <t xml:space="preserve"> Requesting for Quotation (RFQ) for PR No. 2007176  Interested suppliers are invited to submit Sealed Price Quotations for the above listed items. The Request for Quotation (RFQ) for may be obtained from Mr. Albert A. Camarillo City General Services Office</t>
  </si>
  <si>
    <t xml:space="preserve"> 60 pairs Men's High Cut Rubber Rain Boots, Black with orange sole, without Steel toe (Large - 42 pairs; Medium - 10 pairs) 10 pairs Ladies Printed Waterproof Short Rain Boots ( Large 2 Pairs; Medium- 2 pairs)</t>
  </si>
  <si>
    <t xml:space="preserve"> 20NA0080 Contract Name:	Construction of Quarantine Facility inAgusan del Norte Location:	Nasipit, Agusan del Norte _____________________________________________________________________________________________   Republic of the Philippines DEPARTMENT OF PU</t>
  </si>
  <si>
    <t xml:space="preserve"> SCOPE OF WORK: I. PROJECT BILLBOARD/SIGNAGE- 1.00 UNIT II. CLEARING AND GRUBBING- 572.00 SQ.M III. FORMWORKS AND SCAFFOLDING- 1,108.00 CU.M IV. STRUCTURAL CONCRETE- 182.00 CU.M V. MASONARY WORKS- 730.40 SQ.M VI. ELECTRICAL WORKS- 70.00 OUTLETS VII. PLUMBI</t>
  </si>
  <si>
    <t xml:space="preserve"> The City Government of Santiago invites interested parties to submit price quotation for the “SUPPLY AND DELIVERY OF AGRICULTURAL SUPPLIES FOR TANIM PUNO PROJECT“ City Hall, Santiago City, details as follows: ABC: Php 756,000.00 Contract Duration: 14 cale</t>
  </si>
  <si>
    <t xml:space="preserve"> 1. 10 Unit Desktop Computer     Intel Core i5-944F Processor    MSI - H310 VH Plus/Pro - D Motherboard     Kingstone 4GB DDR4 Memory     500GB Hard Disk Sata    Liteon IHAS24 DVD Writer     Neutron Casing with Power Supply     1 GB Video Card     18.5 Inc</t>
  </si>
  <si>
    <t xml:space="preserve"> REQUEST FOR QUOTATION Purchase of Generator Set to be used as Back-up Power Supply for the College of Engineering Buildings The Bicol University, through the Corporate Budget for the contract approved by the Board of Regents intends to apply the sum of Tw</t>
  </si>
  <si>
    <t xml:space="preserve"> The City Government of Santiago invites interested parties to submit price quotation for the “SUPPLY AND DELIVERY OF OFFICE EQUIPMENT FOR CITY BUDGET OFFICE USE“ City Hall, Santiago City, details as follows: ABC: Php 164,570.00 Contract Duration: 14 calen</t>
  </si>
  <si>
    <t xml:space="preserve"> 1 Pc Hand /Manual Eyelet Puncher for tarpauline 2,500 Pc Eyelet for Tarpaulin (size #000 1/4") (11.5mm outside diameter) (6mm inside diameter) 15 Rolls Tarpaulin (5.2 x 164 ft)</t>
  </si>
  <si>
    <t xml:space="preserve"> 2	Roll	Mylar Film, 50 meters clear and transparent 3	Roll	Acetate, Plastic Acetate gauge # 20, 50m/roll 1	Roll	Acetate, Plastic Acetate gauge # 16, 50m/roll 4	ream	Cellophane, 100 x 85 cm, 500pcs/ream 2515	piece	PE Plastic Bag, 8" x 12" x 0.005, 1kg cap. </t>
  </si>
  <si>
    <t xml:space="preserve"> No.	QTY.	UNIT	ITEM DESCRIPTION 1	1	set	0.80m x 0.60m Steel Casement Window with built-in Grills (Including Installed 1/8" Bronze Glass) 2	27	sq.m.	10 sets prefabricated 1.80m x 1.50m Aluminum Window Screen with Complete mechanism 3	0.96	sq.m.	2 sets prefa</t>
  </si>
  <si>
    <t xml:space="preserve"> INVITATION TO BID   			Date: August 19, 2020 Contract No.:MDF2019-008/08-19-2020 1. The  Municipality of Aliaga, allotted funds under 20% Municipal Development Funds for FY 2019 for the Construction of Infrastructure Projects. The  Municipal Government of</t>
  </si>
  <si>
    <t xml:space="preserve"> The City Government of Santiago invites interested parties to submit price quotation for the “SUPPLY AND DELIVERY OF VEHICLE PARTS FOR REPLACEMENT PARTS OF TRACTORS KUBOTA“ City Hall, Santiago City, details as follows: ABC: Php 163,180.00 Contract Duratio</t>
  </si>
  <si>
    <t xml:space="preserve"> OFFICE OF THE BIDS AND AWARDS COMMITTEE (BAC)                                                                                                     Notice No     : 2020-359                                                                                     </t>
  </si>
  <si>
    <t xml:space="preserve"> Republic of the Philippines Province of Iloilo  BIDS AND AWARDS COMMITTEE REQUEST FOR QUOTATION Quotation No.AGR-20-0987-NP(SV) Reference PR No. AGR-20-0987 August 17, 2020 ______________________________ ______________________________ ____________________</t>
  </si>
  <si>
    <t xml:space="preserve"> OFFICE OF THE BIDS AND AWARDS COMMITTEE (BAC)                                                                                                     Notice No     : 2020-360                                                                                     </t>
  </si>
  <si>
    <t xml:space="preserve"> SUPPLY AND DELIVERY OF MEDICAL SUPPLIES FOR DAILY OPERATION OF OSPITAL NG MAKATI (CATHETER, INTRAJUGULAR - CLOSED IV CATHETER SYSTEM) THROUGH ORDERING AGREEMENT -ORDER OF PAYMENT FOR BID DOCS WILL BE AVAILABLE AT GSD-HEAD OFFICE @ 10TH FLOOR MAKATI CITY H</t>
  </si>
  <si>
    <t xml:space="preserve"> office supplies</t>
  </si>
  <si>
    <t xml:space="preserve"> Please quote your lowest price on item/s listed in the line item and submit your quotation duly signed by your authorized representative through email at bac.secretariat@pnu.edu.ph not later than August 27, 2020 @ 4PM. Note: 1. Delivery period within fift</t>
  </si>
  <si>
    <t xml:space="preserve"> Construction of Monitoring Station @ Panganason, Pantukan, Davao De Oro (Labor)</t>
  </si>
  <si>
    <t xml:space="preserve"> 13		rolls	2'' HDPE Pipe SDR11 				 13		pc	2'' dia. PE Straight Coupler				 17		le	2'' dia. G.I Pipe sch40 (Male Threaded Both End) w/ Coupling				 20		pc	2'' dia. G.I Straight Coupling				 6		pc	2'' dia. Gate Valve				 3		pc	2'' G.I Union				 10		pc	2'' d</t>
  </si>
  <si>
    <t xml:space="preserve"> The City Government of Santiago invites interested parties to submit price quotation for the “SUPPLY AND DELIVERY OF OFFICE EQUIPMENT FOR BFP OFFICE USE“ City Hall, Santiago City, details as follows: ABC: Php 88,250.00 Contract Duration: 14 calendar days </t>
  </si>
  <si>
    <t xml:space="preserve"> Please see attached file. You may also access the file posted in the PCC website. Thank you.</t>
  </si>
  <si>
    <t xml:space="preserve"> 2 units capacitor control box for 5HP motor 2 units capacitor control box for 7.5HP motor</t>
  </si>
  <si>
    <t xml:space="preserve"> QTY		UNIT		DESCRIPTION 4	SETS	DHI-LTV43-LN400 43" 4K UHD TV • Nano Cell Color • IPS 4K PANEL • 4K Active HDR • 4K HFR High Frame Rate• HDMI Input • • Wide Viewing Angle •Quad core Processor • DTS Virtual:X • USB 2.0 port • Resolution:3840 x 2160 •Power Re</t>
  </si>
  <si>
    <t xml:space="preserve"> The Philippine Statistics Authority - Regional Statistical Service Office National Capital Region (PSA-RSSO NCR) invites interested suppliers / bidders to submit their quotations / proposals for the hereunder requirements: 1.	Mayor’s Permit 2.	PhilGeps Re</t>
  </si>
  <si>
    <t xml:space="preserve"> The City Government of Santiago invites interested parties to submit price quotation for the “SUPPLY AND DELIVERY OF GROCERY ITEMS FOR HALFWAY HOME FOR GIRLS/WOMEN SUPPLY FOR THE FIRST AND SECOND QUARTER“ City Hall, Santiago City, details as follows: ABC:</t>
  </si>
  <si>
    <t xml:space="preserve"> Isoprophyl Alcohol (70%) Zonrox Disinfectant Solution (cidex) Chlorine</t>
  </si>
  <si>
    <t xml:space="preserve"> Please see attached file. . . .</t>
  </si>
  <si>
    <t xml:space="preserve"> The Local Government Unit of CONNER, through the DSWD LCPC-2020 intends to apply the sum of Three Hundred Seventy-One Thousand Four Hundred Sixty Seven   Pesos and 64/100 Centavos Only (₱ 371,467.64) being the Approved Budget for the Contract (ABC) to pay</t>
  </si>
  <si>
    <t xml:space="preserve"> 1. 10 pcs Toner (TK -1175)  Purpose: Office use End - user: Office of the City Mayor (Liaison Office)</t>
  </si>
  <si>
    <t xml:space="preserve"> Item No.	Qty	Unit	Article / Description 1	4	pcs	"TIRE 750x16, (LUG TYPE)  - 14PR WITH FLAPS AND TUBES (FOTON DUMPTRUCK)" 2	2	pcs	"TIRE 750x16, (MILER)  -14PR WITH FLAPS AND TUBES (FOTON DUMPTRUCK)"</t>
  </si>
  <si>
    <t xml:space="preserve"> REQUEST FOR QUOTATION (RFQ) 											Date: August 21, 2020 The Owner/Proprietor _________________________ Borongan City Sir: Please quote your price for the items specified below, taking into consideration the following &amp; fill-up the above portion “The </t>
  </si>
  <si>
    <t xml:space="preserve"> ALBAY 3RD DISTRICT ENGINEERING OFFICE																																						 Paulog, Ligao City																																						 																																						 																																						 INVITATION TO BID																											</t>
  </si>
  <si>
    <t xml:space="preserve"> 10 pcs. Signotec Sigma LCD Signature Pad</t>
  </si>
  <si>
    <t xml:space="preserve"> Requesting for Quotation (RFQ) for PR No. 2007305  Interested suppliers are invited to submit Sealed Price Quotations for the above listed items. The Request for Quotation (RFQ) for may be obtained from Mr. Albert A. Camarillo City General Services Office</t>
  </si>
  <si>
    <t xml:space="preserve"> Requesting for Quotation (RFQ) for PR No. 2007181  Interested suppliers are invited to submit Sealed Price Quotations for the above listed items. The Request for Quotation (RFQ) for may be obtained from Mr. Albert A. Camarillo City General Services Office</t>
  </si>
  <si>
    <t xml:space="preserve"> INVITATION TO BID FOR THE SUPPLY AND DELIVERY  OF LABORATORY SUPPLIES AND MACHINE   1.	The Bureau of Animal Industry, through the General Appropriations Act FY 2020 intends to apply the sum of Twenty-Six Million Four Hundred Fifty-Eight Thousand Pesos (P </t>
  </si>
  <si>
    <t xml:space="preserve"> Tires</t>
  </si>
  <si>
    <t xml:space="preserve"> The City Government of Santiago invites interested parties to submit price quotation for the “SUPPLY AND DELIVERY OF ACETYLENE AND OXYGEN FOR MOTORPOOL USE“ City Hall, Santiago City, details as follows: ABC: Php 68,900.00 Contract Duration: 14 calendar da</t>
  </si>
  <si>
    <t xml:space="preserve"> Philippine Carabao Center at Central Mindanao University invites a Philgeps Registered suppliers to supply Furrower (Four Row Furrower) with an approved ABC 75,000.00. Suppliers must attached their Certificate of Philgeps Registration, Mayor's Permit, Bus</t>
  </si>
  <si>
    <t xml:space="preserve"> Republic of the Philippines Province of Albay Municipality of Sto. Domingo Bids and Awards Committee Request for Quotation: 08-04-2020 	The LGU- Sto. Domingo, Albay through its Bids and Awards Committee (BAC) invites Suppliers/Manufacturer/Distributors fo</t>
  </si>
  <si>
    <t xml:space="preserve"> Headset - Wired, Over-Ear Headset - Wireless, In- Ear Headset - Wireless, Over-Ear</t>
  </si>
  <si>
    <t xml:space="preserve"> -  PLUMBING WORKS -  CERAMIC TILES                             -  PAINTING WORKS          -  ELECTRICAL WORKS</t>
  </si>
  <si>
    <t xml:space="preserve"> 1 15 REAM/S PAPER - BOOK A4,210MMX297MM,MIN OF 70GSM 2 10 PC/S CORRECTION TAPE - W/ CASE 3 50 PC/S BALLPEN - ORDINARY, BLACK 4 6 PC/S PEN - SIGN PEN BLACK-0.4 5 5 BOX/S CLIP - PAPER-VINYL COATED ( BIG ) 6 5 BOX/S CLIP - PAPER-VINYL COATED ( SMALL ) 7 4 BO</t>
  </si>
  <si>
    <t xml:space="preserve"> PROJECT: IMPROVEMENT OF COVERED COURT LOCATION: BARANGAY MABILOG APPROVED BUDGET FOR THE CONTRACT: PHP 75,475.00 SOURCE OF FUND: 10% SK FUND The contract to be performed by the successful bidder shall be specified in the Technical Quotation Form of the Bi</t>
  </si>
  <si>
    <t xml:space="preserve"> 20 pcs. Ink Cart.HP LOS72AA (HP 955XL-Black) - Original 8 pcs. Ink Cart. HP LOS69AA (HP 955XL-Yellow) - Original 8 pcs. Ink Cart. HP LOS66AA (HP 955XL-Magenta) - Original 8 pcs. Ink Cart. HP LOS63AA (HP 955XL-Cyan) - Original</t>
  </si>
  <si>
    <t xml:space="preserve"> 48 Pcs Labor and materials for the fabrication of signboard for Solar Powered Irrigation System and Nursery in Various municipalities in the Region 12 Pcs Labor and materials for the fabrication of signboard for Spring Development Irrigation Project  in V</t>
  </si>
  <si>
    <t xml:space="preserve"> 1 3 REAM/S PAPER - BOND COLORED LONG-PINK 2 3 REAM/S PAPER - BOND COLORED SHORT-PINK 3 2 PC USB FLASH DRIVE - 32 GB 4 2 BOX BALLPEN - BLACK ORDINARY 50'S 5 15 PC/S ENVELOP - EXPANDING LONG- GREEN W/ SLING 6 10 PACKS PAPER - PHOTO A4 SIZE 200GMS 20'S/PACK </t>
  </si>
  <si>
    <t xml:space="preserve"> The City Government of Santiago invites interested parties to submit price quotation for the “SUPPLY AND DELIVERY OF GROCERY ITEMS FOR BALAY NAMNAMA YOUTH HOME FOR BOYS“ City Hall, Santiago City, details as follows: ABC: Php 247,393.60 Contract Duration: </t>
  </si>
  <si>
    <t xml:space="preserve"> ALBAY 3RD DISTRICT ENGINEERING OFFICE																																						 Paulog, Ligao City																																						 																																						 INVITATION TO BID																																						 																											</t>
  </si>
  <si>
    <t xml:space="preserve"> REQUEST TO SUBMIT QUOTATION The TARLAC AGRICULTURAL UNIVERSITY, through its Bids and Awards Committee (BAC), invites all suppliers and dealers to submit quotation for the Contract Reference # 2020-RFQ “PURCHASE OF LET REVIEWER FOR THE COLLEGE OF EDUCATION</t>
  </si>
  <si>
    <t xml:space="preserve"> 1 14 REAM/S PAPER - BOOK A4,210MMX297MM,MIN OF 70GSM 2 3 BTL/S INK - EPSON 003 (BLACK) 3 3 BTL/S INK - EPSON 003 (CYAN) 4 3 BTL/S INK - EPSON 003 (MAGENTA) 5 3 BTL/S INK - EPSON 003 (YELLOW) 6 3 PC/S INK - EPSON - BLACK T6641 7 3 PC/S INK - EPSON - CYAN T</t>
  </si>
  <si>
    <t xml:space="preserve"> CONCRETING OF ROAD AT NELIA VILLE SUBDIVISION UPPER KM. 11 Minimum Equipment Requirement 1	Concrete mixer (1-bagger) 1	Handroller, 2T, vibratory 1	Bar Cutter 1	Concrete Vibrator Minimum Manpower Requirement 4	Mason/Carpenter 8	Laborer 1	First Aider ITEM		</t>
  </si>
  <si>
    <t xml:space="preserve"> Item No.	Item Description	Quantity	Unit of Issue	Estimated Unit Cost (₱)	Total Estimated Cost (₱) 					 1	Complete (14-14-14)	80	bags	 1,100.00 	 88,000.00  2	Urea (46-0-0)	60	bags	 1,000.00 	 60,000.00  3	Fungicide	15	kg	 1,200.00 	 18,000.00  4	Insectic</t>
  </si>
  <si>
    <t xml:space="preserve"> IP-21 220-240 Volts, 60 Hz., 30 HP Motor (22 KW), 3 Phase, Delta or any equivalent brand</t>
  </si>
  <si>
    <t xml:space="preserve"> The City Government of Santiago invites interested parties to submit price quotation for the “SUPPLY AND DELIVERY OF VARIOUS SUPPLIES AND MATERIALS FOR BALAY NAMNAMA YOUTH HOME FOR BOYS“ City Hall, Santiago City, details as follows: ABC: Php 90,381.00 Con</t>
  </si>
  <si>
    <t xml:space="preserve"> intends to apply the sum of Three Hundred Forty Nine Thousand Seventy Six Pesos and 00/100 only (P 349,076.00) being the Approved Budget for the Contract (ABC) to payment under the contract of Provision and Installation of Split-Type Air Conditioner.  Bid</t>
  </si>
  <si>
    <t xml:space="preserve"> 1. The Municipality of Nabas, Aklan through its local budget approved by the Sanggunian, intends to apply the sum of Two Hundred Fifty Thousand Pesos and 00/100 only (P 250, 000.00) being the Approved Budget for the Contract (ABC) to payment under the con</t>
  </si>
  <si>
    <t xml:space="preserve"> 690 pieces Fabricated Diploma Jacket</t>
  </si>
  <si>
    <t xml:space="preserve"> SEE RFQ ATTACHED</t>
  </si>
  <si>
    <t xml:space="preserve"> please see attachment</t>
  </si>
  <si>
    <t xml:space="preserve"> Please see attached file . . . . . .</t>
  </si>
  <si>
    <t xml:space="preserve"> 4	unit  GMP-compliant Food Cart -with/includes: *12 pcs canister for petri plates, stainless steel, can withstand up to 200 °C  *shipment to DOST-MIMAROPA RSTL, Puerto Princesa City and Coron, Palawan * Installation Php 205,000.00 2	unit  Bacticinerator E</t>
  </si>
  <si>
    <t xml:space="preserve"> INVITATION TO QUOTE Date:  August 20, 2020 1.	The Provincial Government of Davao del Sur, through its Bids and Awards Committee (BAC), invites all interested bidders/suppliers to quote for the following goods under Alternative Methods of Procurement (Smal</t>
  </si>
  <si>
    <t xml:space="preserve"> The City Government of Ligao through its Bids and Awards Committee (BAC), now invites bids for the herein project: Name of Contract        : Procurement of  Urea Location                       : Ligao City Brief Description         : Procurement of  1,159</t>
  </si>
  <si>
    <t xml:space="preserve"> Supply and delivery of Multicabs.</t>
  </si>
  <si>
    <t xml:space="preserve"> The City Government of Santiago invites interested parties to submit price quotation for the “SUPPLY AND DELIVERY OF OFFICE EQUIPMENT FOR CICATO USE“ City Hall, Santiago City, details as follows: ABC: Php 53,600.00 Contract Duration: 14 calendar days Sche</t>
  </si>
  <si>
    <t xml:space="preserve"> 15 BAGS PORTLAND CEMENT 45 PCS   75cm Ø X 1.00 m R.C. PIPE 5  cu.m. GRAVEL 3/4" MSA</t>
  </si>
  <si>
    <t xml:space="preserve"> Motorcycle      1 unit  - Engine Displacement: not exceeding 200CC</t>
  </si>
  <si>
    <t xml:space="preserve"> CPU intel i7-8550U, 1.8 GHz RAM 4G</t>
  </si>
  <si>
    <t xml:space="preserve"> *PRINTING, BINDING AND DELIVERY OF DEPED LEARNING MATERIALS 	 * 45330000 COPIES x .50/copy									 *A4 SIZE BOND PAPER, BOOKLET, BACK TO											 BACK PRINTING, SADDLE STITCH, 80 gsm											 *COLORED FRONT COVER											 *BLACK AND WHITE SUCCEEDIN</t>
  </si>
  <si>
    <t xml:space="preserve"> Procurement of Scrub Suit</t>
  </si>
  <si>
    <t xml:space="preserve"> UNIT   ITEM/DESCRIPTION       QTY ream    Paper multicopy, 80gsm, size210mm297mmA4    500</t>
  </si>
  <si>
    <t xml:space="preserve"> The City Government of Santiago invites interested parties to submit price quotation for the “SUPPLY AND DELIVERY OF LEARNING MATERIALS FOR KIDS THERAPEUTIC ART WORKSHOP AND QUARANTINE STORY BOOK“ City Hall, Santiago City, details as follows: ABC: Php 252</t>
  </si>
  <si>
    <t xml:space="preserve"> 1	1	unit	"3TR/4HP, Floor Mounted Inverter (KV36FM-ARF21C) - Free Outdoor Bracket (L-TYPE) "</t>
  </si>
  <si>
    <t xml:space="preserve"> Republic of the Philippines DEPARTMENT OF PUBLIC WORKS AND HIGHWAYS LA UNION SECOND DISTRICT ENGINEERING OFFICE REGIONAL OFFICE I Natividad, Naguilian, La Union INVITATION FOR ELIGIBILITY SCREENING AND TO BID (For Small Value Procurement) SEALED BIDS, sub</t>
  </si>
  <si>
    <t xml:space="preserve"> UNIT	  DESCRIPTION		                QUANTITY	 	WIDTH OF ROAD - 4m		LENGTH OF SHOULDER PER SIDE - 1.5m	 	THICKNESS OF ROAD - 0.2m		THICKNESS OF BASE COARSE - 0.15m	 	LENGTH OF ROAD - 300m		THICKNESS OF SUB-BASE COARSE - 0.15m	 			SUBGRADE PREPARATION - 8.4</t>
  </si>
  <si>
    <t xml:space="preserve"> SOURCE OF FUND: LDRRMF  2020 BIDDING DATE &amp; TIME: AUGUST 28, 2020- 11:00 A.M</t>
  </si>
  <si>
    <t xml:space="preserve"> INVITATION TO BID FOR THE PROVISION OF SERVICE PROVIDER ON THE DISPOSAL OF CONFISCATED MEAT AND MEAT PRODUCTS   1.	The Bureau of Animal Industry, through the General Appropriations Act FY 2020 intends to apply the sum of Five Million Nine Hundred Seventy-</t>
  </si>
  <si>
    <t xml:space="preserve"> Invitation to Bid for SUPPLY AND DELIVERY OF BRAND NEW DROP SIDE TRUCK FOR NORSU MAIN CAMPUS GOOD2020-07-01 1. The Negros Oriental State University (NORSU) and the Bids and Awards Committee (BAC), through Special Trust Fund 164 intends to apply the sum of</t>
  </si>
  <si>
    <t xml:space="preserve"> Scope of Work: Construction of Housing for a General Purpose Indoor Experimental Facility 1. Masonary Work (concrete wall) 2. Roofing works (Steel Trusses &amp; Roofing-ceiling included) 3. Tile Works 4.Plumbing works 4. Other (rehabilitation of fish tanks) D</t>
  </si>
  <si>
    <t xml:space="preserve"> 1.	The Local Government Unit of Balangiga, through the Annual Budget for 2020 intends to apply the sum of Three Hundred Thousand Pesos (Php300,000.00) being the Approved Budget for the Contract (ABC) to payments under the contract for the Construction of </t>
  </si>
  <si>
    <t xml:space="preserve"> Specs: 3,000  pcs  Grafted Pili Seedlings</t>
  </si>
  <si>
    <t xml:space="preserve"> The City Government of Santiago invites interested parties to submit price quotation for the “SUPPLY AND DELIVERY OF VARIOUS SUPPLIES AND DEVICES FOR DENTAL SETTING MODIFICATION“ City Hall, Santiago City, details as follows: ABC: Php 403,564.00 Contract D</t>
  </si>
  <si>
    <t xml:space="preserve"> September 1-30, 2020 Consumption 1100 liters Diesel 30 liters Gasoline 8 gals. Engine Oil 3 liters Brake Fluid 4 pails Oil 10</t>
  </si>
  <si>
    <t xml:space="preserve"> The City Government of Santiago invites interested parties to submit price quotation for the “SUPPLY AND DELIVERY OF VARIOUS SUPPLIES FOR HEALTHY TOOTH AND HEALTHY BABY PROGRAM“ City Hall, Santiago City, details as follows: ABC: Php 751,130.00 Contract Du</t>
  </si>
  <si>
    <t xml:space="preserve"> 1 3 PC/S CUTTER - W/ PLASTIC &amp; METAL CASE,BIG 2 2 BOX/S FASTENER - PAPER, PLASTIC, 50 SETS/BOX 3 20 PC/S MASKING TAPE - # 2" 4 10 ROLL/S TAPE - TRANSPARENT 24MM (1") WIDTH USABLE LENGHT OF 50M 5 10 PC/S REFILL - BALLPEN BP-S-BLACK 6 40 PC/S FOLDER - EXPAN</t>
  </si>
  <si>
    <t xml:space="preserve"> CONSTRUCTION/REHABILITATION/IMPROVEMENT OF BRGY. MAGSAYSAY-SITIO HURUBSAN BARANGAY ROAD AT BRGY. MAGSAYSAY-SITIO HURUBSAN, JAVIER, LEYTE TERMS AND CONDITIONS : 1.	 Supply and delivery of  Labor and Materials for the Construction/Rehabilitation /Improvemen</t>
  </si>
  <si>
    <t xml:space="preserve"> ITEM NO.	UNIT		QTY		DESCRIPTION		 							 					Other Machinery &amp; Equipment		 1	 ltrs 		2713		 Diesel 		 2	 gals 		10		 Oil #40 		 					 Construction and Heavy Equipment 		 3	 ltrs 		3014		 Diesel 		 4	 ltrs 		361		 Gasoline 		 5	 gals 		22		 Oil #10 		 6	</t>
  </si>
  <si>
    <t xml:space="preserve"> The City Government of Santiago invites interested parties to submit price quotation for the “SUPPLY AND DELIVERY OF SPLIT TYPE AIR-CON 2.5 HP FOR CMO USE“ City Hall, Santiago City, details as follows: ABC: Php 69,300.00 Contract Duration: 14 calendar day</t>
  </si>
  <si>
    <t xml:space="preserve"> Catering Services for the Conduct of Extension Activity of Household Production Resiliency of SDSSU Tandag Campus Please see attached Request for Quotation (RFQ)</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</si>
  <si>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</si>
  <si>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Printing of Self Learning Modules for Maria District Digital Duplicator Machine (Riso Machine) 3 units @ 100,000.00 = 300,000.00  Specifications:                      Print Speed: up to 90-100 print per minute                      Print Resolution:300 x 3</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</si>
  <si>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</si>
  <si>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1	lot	Vehicle rental - Forward Truck (with laborers to load and unload seeds (20kg/bag).) 				 		From various Municipalities of Isabela  to PhilRice-Isabela Station.				 		&gt;San Mariano - 827 bags				 		&gt;Ramon - 1158 bags				 		From various Municipalities </t>
  </si>
  <si>
    <t xml:space="preserve"> 8 liters Engine Oil 1 piece Oil Filter 1 piece Drain Plug Gasket (washer) 1 piece Windshield Washer Fluids 1 piece Windscreen Washer 1 bottle Engine Flushing Oil 1 bottle Engine Treatment 1 bottle Injector Cleaner 1 piece Ethanol Drier 1 piece Anti-Bacter</t>
  </si>
  <si>
    <t xml:space="preserve"> Purchase of Construction Materials and Supplies</t>
  </si>
  <si>
    <t xml:space="preserve"> VARIOUS ITEM</t>
  </si>
  <si>
    <t xml:space="preserve"> Scope of Work: Construction of Housing for Multi-purpose Indoor Research Facility 1. Masonary works 2. Roofing system 3.Tile works 4. Plumbing 5.Others (upgrading of the following): Details: 8 units 2.0m dia Larva rearing tanks 3 unit 1.0m x 1.2m broodsto</t>
  </si>
  <si>
    <t xml:space="preserve"> 3		SETS		ALL-IN-ONE-PC											 				23.8 inch											 				Intel Core i5-8250U Quad Core											 				4 GB RAM											 				256 GB SSD + 1 TB HDD											 				Windows 10											 															 3		UNITS		UNINTERRUPTED POWER SUPPLY (UPS)						</t>
  </si>
  <si>
    <t xml:space="preserve"> Printing of Self Learning Modules for Maria District Book Paper, A4, S.20          220 reams @ 250.00 = P 55,000.00</t>
  </si>
  <si>
    <t xml:space="preserve"> ITEM NO.	UNIT		QTY		DESCRIPTION		 							 					SWM Fuel and Lubricant for 3rd Quarter		 1	 ltrs 		3416		 Diesel 		 2	 ltrs 		873		 Gasoline 		 3	 pails 		4		 Oil 10 		 4	 ltrs 		6		 Oil 40 		 5	 ltrs 		2		 Oil 30 		 6	 kls 		2		 Grease 		 7	 ltrs 		1		 AT</t>
  </si>
  <si>
    <t xml:space="preserve"> 9951 Liters Diesel 1 pail Oil#10 8 Liters 15W40 8 can Grease</t>
  </si>
  <si>
    <t xml:space="preserve"> UNIT	  DESCRIPTION		                                      QUANTITY	 I.	MASONRY/CONCRETE  WORKS:			 	Qty.= 1 lot			 				 pcs	CHB #6		                                               7461	   pcs	CHB #4		                                                 660	   </t>
  </si>
  <si>
    <t xml:space="preserve"> INVITATION TO APPLY FOR ELIGIBILITY AND TO BID The MUNICIPALITY OF RONDA, through its Bids &amp; Awards Committee (BAC), Invites Suppliers registered with and classified by the DTI to Bid for the hereunder contract: Name of Contract	: Procurement of Foodstuff</t>
  </si>
  <si>
    <t xml:space="preserve"> Complete construction of (9.50mx36.00m) One (1) Storey Four (4) Classroom School Building mostly built with concrete and masonry, with PWD ramp with handrails, parapet wall on concrete gutter and  Complete with electrical works, sanitary plumbing works an</t>
  </si>
  <si>
    <t xml:space="preserve"> Invitation to Bid for the supply &amp; delivery of P.E. Pipe for use of Brgy. Talumpok, Batangas City</t>
  </si>
  <si>
    <t xml:space="preserve"> Procurement of Laboratory Instrument</t>
  </si>
  <si>
    <t xml:space="preserve"> NAME OF THE PROJECT: Procurement of One (1) Unit Motor Bike for the Office of the Building Official LOCATION OF THE PROJECT:  Purok 3, Bgy. San Vicente, Donsol, Sorsogon PROJECT REFERENCE NO.:  SVP-G-2020-020 Approved Budget for the Contract (ABC):  One H</t>
  </si>
  <si>
    <t xml:space="preserve"> 1	72	box 	Alcohol Swab 70%, 100 pieces 2	8	pack	Bathroom Tissue Paper, 2-Ply, 300 sheets, 12 rolls 3	20	box 	Clean Gloves, Nitrile, Powder Free, Large, 100 4	30	box 	Clean Gloves, Nitrile, Powder Free, Medium, 100's 5	10	pack	Cotton Applicator, Sterile, 6</t>
  </si>
  <si>
    <t xml:space="preserve"> INVITATION TO QUOTE Date:  August 20, 2020 1.	The Provincial Government of Davao del Sur, through its Bids and Awards Committee (BAC), invites all interested bidders/suppliers to quote for the following goods under Alternative Methods of Procurement ([Sho</t>
  </si>
  <si>
    <t xml:space="preserve"> INVITATION TO REBID FOR Procurement of Information Communication Technology (ICT) Laboratory Equipment for CEA and CIT at NORSU Main Campus (Batch 1) GOOD2020-00-02(a) 1. The Negros Oriental State University (NORSU) and the Bids and Awards Committee (BAC)</t>
  </si>
  <si>
    <t xml:space="preserve"> Corazon Locsin Montelibano Memorial Regional Hospital, through its Bids and Awards Committee, intends to procure DRUGS &amp; MEDICINES (PR#20-06-70448), which will be undertaken in accordance with Section 53.9 of the Revised Implementing Rules and Regulations</t>
  </si>
  <si>
    <t xml:space="preserve"> Various Medicines (27 line items) as per Annex A - List of Medicines</t>
  </si>
  <si>
    <t xml:space="preserve"> Contract ID	: 20-HE-0122 (Re-Bid) Contract Name	: Construction of Four (4)  Storey Sixteen (16) Classrooms School Building, Tabunoc Central Elementary School, Talisay City, Cebu Location of Contract	: Cebu Province Invitation to Bid August 21, 2020 The De</t>
  </si>
  <si>
    <t xml:space="preserve"> QTY.	UNIT	DESCRIPTION 30	pairs	Rainboots 30	pcs	Raincoats 1	pc	Dry Seal 1	pc	Office Table wood with chair 1	pc	Divan Wood 5	pcs	Window Blinds</t>
  </si>
  <si>
    <t xml:space="preserve"> ITEM NO. QUANTITY UNIT ITEM DESCRIPTION 1 850 BAGS PORTLAND CEMENT 2 93 CU.M. FINE AGGREGATES 3 46 CU.M. COARSE AGGREGATES 4 8 PCS. 2 X 4 X 1.2MM C-PURLINS 5 2 PCS. 12 MM DIA. RSB</t>
  </si>
  <si>
    <t xml:space="preserve"> Invitation to Bid for the supply &amp; delivery of Meals &amp; Snacks for use of different offices of Batangas City Government</t>
  </si>
  <si>
    <t xml:space="preserve"> 100 ream Bond paper S-18 Long 100 ream Bond paper S-18 Short 1000 piece Brown Envelope Long 15 piece Computer Toner TN 340 Black 12 piece Computer Toner TN 340 Cyan 12 piece Computer Toner TN 340 Magenta 12 piece Computer Toner TN 340 Yellow</t>
  </si>
  <si>
    <t xml:space="preserve"> 10860 Liters Diesel 3 pails Oil#10 8 Liters 15W40 8 cans Grease (2 kl./can)</t>
  </si>
  <si>
    <t xml:space="preserve"> Please see attached RFQ for more details. For queries, you may contact Ms. Jenethz De los Santos through jencdelossantos511@gmail.com Quotation are also to be sent to the email stated above.</t>
  </si>
  <si>
    <t xml:space="preserve"> 1.	The Department of Labor and Employment Regional Office VIII thru its Bids and Awards Committee, through the 2020 General Appropriations Act  intends to apply the sum of:  Lot 1: Supply and delivery of fabricated equipment		₱ 972,000.00 	Lot 2: Grocery </t>
  </si>
  <si>
    <t xml:space="preserve"> The San Jose City LGU through the General Fund intends to apply the sum of Two Million Nine Hundred Ninety Eight Thousand Six Hundred Forty Four pesos (Php 2,998,644.00) being the Approved Budget for the Contract (ABC) to payment under the contract for th</t>
  </si>
  <si>
    <t xml:space="preserve"> REQUEST FOR QUOTATION					 _______________________________________				Date	August 18, 2020                         Name of Supplier				Quotation No.:  	2020-177 _______________________________________					                               Adrdress					 					</t>
  </si>
  <si>
    <t xml:space="preserve"> ITEM NO.	UNIT		QTY		DESCRIPTION		 							 1	 ltrs 		21750		Diesel		 2	 gals 		40		 Oil #10 		 3	 gals 		20		 Oil #40 		 4	 ltrs 		36		 ATF 		 	 INVITATION TO BID The Municipality of Sablayan through its Bids and Awards Committee (BAC) invites all interest</t>
  </si>
  <si>
    <t xml:space="preserve"> Invitation to Bid for the supply &amp; delivery of Various Agricultural Equipment for use of the City Veterinary &amp; Agricultural Services Office, Batangas City.</t>
  </si>
  <si>
    <t xml:space="preserve"> INVITATION TO BID FOR THE SUPPLY AND DELIVERY                        OF IT EQUIPMENT 1.	The Bureau of Animal Industry, through the General Appropriations Act FY 2020 intends to apply the sum of One Million Two Hundred Sixty Thousand Pesos (P1,260,000.00) </t>
  </si>
  <si>
    <t xml:space="preserve"> Surgical Gloves (s.m.l) Surgical Face Mask KN95 Mask Face Shield Over-all Suit Laboratory Gown (Disposable)</t>
  </si>
  <si>
    <t xml:space="preserve"> NAME OF THE PROJECT: Supply and Delivery of Materials for Concreting of Pathway (Phase 2) LOCATION OF THE PROJECT:  Purok 3, Bgy. San Vicente, Donsol, Sorsogon PROJECT REFERENCE NO.:  SVP-G-2020-019 Approved Budget for the Contract (ABC):  Sixty Four Thou</t>
  </si>
  <si>
    <t xml:space="preserve"> Contract ID:	19LG0118 Contract Name:		Construction of the ongoing projects of new town hall and other public building at Municipality of Lupon, Davao Oriental Contract Location:	Municipality of Lupon, Davao Oriental Brief Description:	Construction of the </t>
  </si>
  <si>
    <t xml:space="preserve"> ITEM NO.	UNIT		QTY		DESCRIPTION		 							 					Monitoring &amp; Evaluation of GAD Projects (Admin/GAD)		 1	 ltrs 		500		 Diesel 		 					 Updating of GAD Data Base (Admin/GAD) 		 2	 ltrs 		200		 Diesel 		 					 Tourism Operation and Maintenance 		 3	 ltrs 		42</t>
  </si>
  <si>
    <t xml:space="preserve"> https://drive.google.com/file/d/1147gf410l5N1PSyF-_JR5m5ILU5st_LY/view?usp=drivesdk</t>
  </si>
  <si>
    <t xml:space="preserve"> 20     Pcs.     Meter Base Class 200 20     Pcs.     Rectangular Meter Base</t>
  </si>
  <si>
    <t xml:space="preserve"> hormone (liquid, ready for injection) = 30 vials Artemia (high hatch-ability percentage, average size cyst) = 30 cans saline solution, 0.9% = 28 bottle</t>
  </si>
  <si>
    <t xml:space="preserve"> Specs: 200  kgs  Molasses 200  pcs  Seedling Tray (104 holes) 200  pcs  Hoe</t>
  </si>
  <si>
    <t xml:space="preserve"> Certifying Body for the OSHC Recertification on ISO 9001:2015</t>
  </si>
  <si>
    <t xml:space="preserve"> Republic of the Philippines Province of Davao de Oro Municipality of Monkayo -o0o- INVITATION TO BID FOR THE PROCUREMENT OF DUPLICATING/ PHOTOCOPYING MACHINE   The Municipality of Monkayo, through the GENERL FUND intends to apply the FIVE HUNDRED FORTY TH</t>
  </si>
  <si>
    <t xml:space="preserve"> The City Government of Santiago invites interested parties to submit price quotation for the “SUPPLY AND DELIVERY OF OFFICE EQUIPMENT FOR CPDO USE“ City Hall, Santiago City, details as follows: ABC: Php 160,000.00 Contract Duration: 14 calendar days Sched</t>
  </si>
  <si>
    <t xml:space="preserve"> Supplies and Materials for the Valuation of Water Pollutants Along Moonglow Creek and Air Exhaust in Tandag Slaughter House Lot A- P 30,000.00 Lot B- P   5,000.00 Lot C- P   3,000.00 Lot C (A)- P 2,900.00 Lot D- P 1,500.00 Lot D (A)- P 2,000.00 Lot E-P 29</t>
  </si>
  <si>
    <t xml:space="preserve"> 1 pc. Cork Board 1 pc. Glass Writing Board (6ft x 3ft) 1 pc. Glass Writing Board (4ft x 3ft) 1 unit Paper Shredder (Heavy Duty) 1 unit Sofa Stool with Storage (L53" x W23" x H15", Leatherette) 4 pcs. External Hard Drive 2TB</t>
  </si>
  <si>
    <t xml:space="preserve"> JOSE B. LINGAD MEMORIAL REGIONAL HOSPITAL City of San Fernando, Pampanga Tel. No. (045) 961-3921 Date: August 21, 2020 No. 2020 – 08 - 260-S REQUEST FOR QUOTATION (Name of Agency) (Address) Sir/Madam: Please quote your lowest price on the item/s listed be</t>
  </si>
  <si>
    <t xml:space="preserve"> QTY UNIT  DESCRIPTION 4000	Liters	Diesel				 2400	Liters	Gasoline</t>
  </si>
  <si>
    <t xml:space="preserve"> September 1-30, 2020 Consumption 2500 liters Diesel 350 liters  Gasoline 30 gals Engine Oil 4 liters Brake Fluid 4 liters ATF 3 liters Synthetic Oil</t>
  </si>
  <si>
    <t xml:space="preserve"> Rescuers Uniform</t>
  </si>
  <si>
    <t xml:space="preserve"> CONCRETING OF ROAD AT KM. 11 SAN JOSE ITEM		DESCRIPTION 100(1)		Site Clearing and Grubbing 101(1)		Removal of Structures and Obstruction 103(1)		Structure Excavation 103(3)		Foundation Fill 105(1)		Subgrade Preparation 201		Aggregate Base Course 311(1)		P</t>
  </si>
  <si>
    <t xml:space="preserve"> REQUEST FOR QUOTATION/PROPOSAL _______________________							Date:____________________         Name of Company								RFQ No.:  _______________________							PR No.:__________________ Complete Company Address							PHILGEPS Ref No.:___________ To Whom it </t>
  </si>
  <si>
    <t xml:space="preserve"> 2 pcs Tire 16/70-20</t>
  </si>
  <si>
    <t xml:space="preserve"> Supply and Delivery of One Unit Utility Van with complete accessories, all in accordance with the approved specifications, standards and terms &amp; conditions.</t>
  </si>
  <si>
    <t xml:space="preserve"> 14 lengths - B.I. Pipe 6"Ø x 10' Schedule 40  · Carbon Steel  · Seamless  · Threaded both ends 14 pcs - B.I. Steel Coupling 6"Ø  Notes: • To be awarded as one (1) lot. • F.O.B. Dumaguete City Water District   (Price includes freight and handling expenses)</t>
  </si>
  <si>
    <t xml:space="preserve"> Tire with tube and flaps 8.25.20 rough Tire with tube and flaps 8.25.20 pino Rubber cup gear oil #40</t>
  </si>
  <si>
    <t xml:space="preserve"> Republic of the Philippines Province of Misamis Occidental MUNICIPALITY OF CALAMBA BARANGAY MAMALAD INVITATION TO BID FOR PURCHASE OF MATERIALS FOR THE COMPLETION OF SUBANEN BUILDING FOR COVID-19 ISOLATION FACILITY 	August 21, 2020 1.	The Barangay Mamalad</t>
  </si>
  <si>
    <t xml:space="preserve"> REF. NO./PR NO.:  INFRA2020-RDW-022/MG-RDW20-017 DESCRIPTION:     Supply and Installation of Piezometers at Pulangi 4 HEP (Phase 2), Maramag, Bukidnon 1.	Drilling of Hole (NQ Size – 5x 10.8 m depth) 2.	Installation of Five (5) Units Piezometers 3.	Groutin</t>
  </si>
  <si>
    <t xml:space="preserve"> Pre Survey Works</t>
  </si>
  <si>
    <t xml:space="preserve"> INVITATION TO BID FOR THE SUPPLY AND DELIVERY OF CORPORATION COCK (RE-BIDDING) 1. The Metropolitan Tuguegarao Water District through the Corporate Budget for the Year 20201 intends to apply the sum of One Million Three Hundred Eighty Thousand Six Hundred </t>
  </si>
  <si>
    <t xml:space="preserve"> Republic of the Philippines Province of Bulacan Municipality of Calumpit INVITATION TO BID The Municipality of Calumpit , Bulacan through its Bids and Awards Committee (BAC), invites all prospective bidders to apply for eligibility and subsequently bid fo</t>
  </si>
  <si>
    <t xml:space="preserve"> 1000 reams - A4 Size Bond Papers, 70 GSM NOTE: Please attach with your quote the following documents: 1. PhilGEPS Registration; 2. Mayor's Permit; 3. BIR Registration; and 4. DTI Certificate Many thanks!</t>
  </si>
  <si>
    <t xml:space="preserve"> Invitation to Bid for the supply &amp; delivery of Various Materials for use of different offices of Batangas City Government</t>
  </si>
  <si>
    <t xml:space="preserve"> Pursuant to the Philippine Commission on Women Memorandum Circular No. 2020-003 dated 27 April 2020 re Adjustment and/or Implementation of the FY 2020 Gender and Development (GAD) Plan and Budget in view of the Corona Virus Disease 2019 Situation, the Dep</t>
  </si>
  <si>
    <t xml:space="preserve"> Contract Name: REPAIR/MAINTENANCE OF DepED DIVISION OFFICE CALBAYOG CITY DIVISION OFFICE BUILDING, BRGY. HAMORAWON, CALBAYOG CITY, SAMAR Contract Location: SAMAR  Brief Description: CONSTRUCTION OF BUILDING: 1 BUILDING  Approved Budget for the Contract (A</t>
  </si>
  <si>
    <t xml:space="preserve"> 1.	2	unit/s	RISO CV3230 with table 			Specs: Heavy Duty Digital Duplicator with Standard PC 			Connectivity and USB Flash via Printing 			High speed digital master making/fully automatic 			Original Type: Sheet 			Original Paper Capacity: 10 Sheets 			Sca</t>
  </si>
  <si>
    <t xml:space="preserve"> Republic of the Philippines MUNICIPALITY OF BUENAVISTA INVITATION TO BID FOR SUPPLY AND DELIVERY OF DISPENSARY SUPPLIES AND CHLORINE FOR MUNICIPAL HEALTH OFFICE    1.	The Local Government Unit of Buenavista, Marinduque through the fund from the General Fu</t>
  </si>
  <si>
    <t xml:space="preserve"> INVITATION TO BID FOR THE PROCUREMENT OF TWO (2) UNITS MULTI-PARAMETER WATER QUALITY CHECKER</t>
  </si>
  <si>
    <t xml:space="preserve"> Republic of the Philippines				Project Reference Number: 	G-20-0769                                           Province of Compostela Valley				Name of the Project	:  Food supplies MUNICIPALITY OF MONTEVISTA			Location of the Project	:           MO  Standa</t>
  </si>
  <si>
    <t xml:space="preserve"> Supplies and Materials for the Upgrading of Roofing, Ceiling and Cladding of Parapet of Academic Building of SDSSU Tandag Campus Please see attached Request for Quotation (RFQ) LOT A- Cladding @ P 406,824.00 Lot B-Roofing Materials @ P 213,692.40</t>
  </si>
  <si>
    <t xml:space="preserve"> 20% EDF CY 2020 Improvement of Water System - P 150,000.00 Schedule of Activities 1. Submission &amp; Receipt of Bids/Bid Opening - September 10,2020 @ 2:00 P.M. 2. Bid Evaluation - September 11, 2020 3. Post Qualification - September 14, 2020 4. Approval of </t>
  </si>
  <si>
    <t xml:space="preserve"> Invitation to Bid for the supply &amp; delivery of Disinfectant for use of the City Veterinary &amp; Agricultural Services Office, Batangas City</t>
  </si>
  <si>
    <t xml:space="preserve"> JOB ORDER FOR INSTALLATION OF 21 UNITS PAVILLION AT BARANGAY POBLACION, MACO DAVAO DE ORO.</t>
  </si>
  <si>
    <t xml:space="preserve"> Six (6) Units CORE i3 Laptop 4 GB RAM DDR4 Memory 256 GB P Cle NVMe SSDr 1,000 GB HD with Printer L3110</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</si>
  <si>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</si>
  <si>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each set includes: 1 Rescue Duty Vest 1 Rescue Jacket 3 Rescue Cargo Pants 3 Sublimation Shirts 1 pair Safety Shoes (assorted sizes) 1 Rescue Helmet 1 Rescue Cap</t>
  </si>
  <si>
    <t xml:space="preserve"> Invitation to Bid for the supply, delivery &amp; printing of Information Campaign Materials for use of different offices of Batangas City Government</t>
  </si>
  <si>
    <t xml:space="preserve"> To All Eligible Suppliers; Please quote your lowest price on the items listed below, subject to the General Conditions stated herein and submit the same to the Office of the BAC-Secretariat on or before September 08, 2020 at 10:00 o'clock in the morning. </t>
  </si>
  <si>
    <t xml:space="preserve"> Republic of the Philippines							 Province of Northern Samar							 MUNICIPALITY OF BOBON							 Barangay Balat Balud							 -o0o-							 							 BIDS AND AWARDS COMMITTEE							 							 INVITATION TO APPLY FOR ELIGIBILITY AND TO BID							 							 The  </t>
  </si>
  <si>
    <t xml:space="preserve"> Invitation to Bid for the supply &amp; delivery of various Veterinary Supplies &amp; Medicines for use of the City Veterinary &amp; Agricultural Services Office, Batangas City</t>
  </si>
  <si>
    <t xml:space="preserve"> Procurement of office supplies to be distribute to 36 public schools in the municipality of Camalig in the implementation of distance and blended learning during the global crisis.</t>
  </si>
  <si>
    <t xml:space="preserve"> INVITATION TO BID FOR THE   SUPPLY AND DELIVERY OF CONSTRUCTION MATERIALS FOR THE  CONSTRUCTION OF TINA DRAINAGE, TINA,  SAN MIGUEL, SURIGAO DEL SUR 1. The  Local Government Unit of San Miguel through the  Bids and Awards Committee (BAC) intends to apply </t>
  </si>
  <si>
    <t xml:space="preserve"> INVITATION TO BID The DPWH-Regional Office No. III,  through  its  Bids  and  Awards  Committee  (BAC),  invites contractors to submit bids for the Contract below: Procurement ID/Contract ID:    19C00095 Contract Name:      Construction of Bypass Road FAB</t>
  </si>
  <si>
    <t xml:space="preserve"> STOCK 		ITEM DESCRIPTION	QTY.	UNIT NO.				 1	)	Battery Charger, Canon Digital Camera, EOS 700D/	1	piece 2	)	Coffee Maker, 5 Cups Minimum/	1	unit 3	)	Convenience Outlet, Mount, Triplex, Universal/	8	pieces 4	)	Document Camera, HD Camera, Portable, High Spe</t>
  </si>
  <si>
    <t xml:space="preserve"> SUPPLY AND DELIVERY OF CHEST FREEZER TO BE USED AS COLD STORAGE OF PASTEURIZED TONED MILK FOR THE IMPLEMENTATION OF SCHOOL BASED FEEDING PROGRAM – SCHOOL MILK COMPONENT, TO WIT: 5	 Units 	 Chest Freezer, 7.0 cu. Ft. 		 		 				 Please quote your price incl</t>
  </si>
  <si>
    <t xml:space="preserve"> 1 unit staff meeting table with 6 chairs 2 units filing cabinet</t>
  </si>
  <si>
    <t xml:space="preserve"> Republic of the Philippines Province of Southern Leyte MUNICIPALITY OF SAINT BERNARD BIDS AND AWARDS COMMITTEE INVITATION TO BID FOR LOCAL ACCESS ROAD CONSTRUCTION/ CONCRETING/ REHABILITATION OF CATMON TO STA. CRUZ FARM TO MARKET ROAD  BAC-SBSL-MEO-2020-1</t>
  </si>
  <si>
    <t xml:space="preserve"> NAME OF THE PROJECT: Supply and Delivery of Materials for Construction of Drainage System LOCATION OF THE PROJECT:  Sta Cruz, Donsol, Sorsogon PROJECT REFERENCE NO.:  SVP-G-2020-021 Approved Budget for the Contract (ABC):  Sixty Seven Thousand Seventy Fiv</t>
  </si>
  <si>
    <t xml:space="preserve"> STOCK 		ITEM DESCRIPTION	QTY.	UNIT NO.				 1	)	Air Freshener, Spray, 280ml	/5	bottles 2	)	Air Freshener/Car Perfume, Clip Freshener/	5	pieces 3	)	Alcohol, Isopropyl, 70% Solution, 330ml, Spray 	/94	bottles 4	)	All Purpose Cleaner 6-in-1 Total Clean	/10	ga</t>
  </si>
  <si>
    <t xml:space="preserve"> August 20, 2020 1.	The Provincial Government of Davao del Sur, through its Special Bids and Awards Committee (SBAC), invites all potential bidders/contractors to apply to bid for the following project. Bidssubmitted in excess of the ABC shall be automatic</t>
  </si>
  <si>
    <t xml:space="preserve"> ITEM NO. 	ITEM DESCRIPTION					QTY.	UNIT	"ABC PER  ITEM" 								 1	Protective Isolation Mask (Face Shield with Glasses Frame)					2,600	piece	75.00 	Technical Specifications:     							 	Type:	Full Shield						 	Frame:	Glasses Frame 						 	Features:	An</t>
  </si>
  <si>
    <t xml:space="preserve"> Gasoline Diesel Brake Fluid Coolant Synthetic Diesel Oil Synthetic Gasoline Oil</t>
  </si>
  <si>
    <t xml:space="preserve"> as per attached RFQ</t>
  </si>
  <si>
    <t xml:space="preserve"> QTY	UNIT	ARTICLE / DESCRIPTION						 								 								 62	pcs	Globe 100						 30	pcs	Smart 100						 39	pcs	Sun 100						 26	pcs	Talk N'Text 100						 19	pcs	TM 100						 								 54	pcs	Globe 300						 15	pcs	Smart 300						 21	pcs	Sun 300						 6	pcs	Ta</t>
  </si>
  <si>
    <t xml:space="preserve"> see attach documents</t>
  </si>
  <si>
    <t xml:space="preserve"> INVITATION TO BID FOR THE   SUPPLY AND DELIVERY OF OFFICE EQUIPMENT’S,  LGU, SAN MIGUEL, SURIGAO DEL SUR The  Local Government Unit of San Miguel through the  Bids and Awards Committee (BAC) intends to apply the sum of Two   Hundred  Forty Six Thousand Pe</t>
  </si>
  <si>
    <t xml:space="preserve"> INVITATION TO BID NO. 2020-CW-08 The       DPWH-QUEZON III DISTRICT ENGINEERING OFFICE, Catanauan, Quezon, through its Bids and Awards Committee (BAC), invites contractors to submit bids for the following Contracts: 2.	Procurement ID/Contract ID: 20DM0072</t>
  </si>
  <si>
    <t xml:space="preserve"> JOSE B. LINGAD MEMORIAL REGIONAL HOSPITAL City of San Fernando, Pampanga Tel. No. (045) 961-3921 Date: August 21, 2020 No. 2020 – 08 - 261-S REQUEST FOR QUOTATION (Name of Agency) (Address) Sir/Madam: Please quote your lowest price on the item/s listed be</t>
  </si>
  <si>
    <t xml:space="preserve"> Contract ID:	19LG0119 Contract Name:	Construction/Repair/Rehabilitation/Improvement of Multi-purpose Building in Municipality of Banaybanay Contract Location:	Banaybanay, Davao Oriental Brief Description:	Construction/Repair/Rehabilitation/Improvement of </t>
  </si>
  <si>
    <t xml:space="preserve"> NOTICE TO THE PUBLIC REQUEST FOR PROPOSAL Purchase Request No: PUR20-05-0392  The Philippine General Hospital hereby informs the public that it will be procuring the following item/s through Small Value Procurement:	 Item # 1 -  30 pc Chlorexidine glucona</t>
  </si>
  <si>
    <t xml:space="preserve"> INVITATION TO BID NO. 2020-CW-08 The       DPWH-QUEZON III DISTRICT ENGINEERING OFFICE, Catanauan, Quezon, through its Bids and Awards Committee (BAC), invites contractors to submit bids for the following Contracts: 1.	Procurement ID/Contract ID: 20DM0071</t>
  </si>
  <si>
    <t xml:space="preserve"> Description   Contract ID: 20CRN008 Name of Project: Supply of Materials, Labor and Equipment for the Installation of Street Lights at Various Barangays Location: Municipality of Hermosa Brief Description: Electrical Works Approved Budget for the Contract</t>
  </si>
  <si>
    <t xml:space="preserve"> 1      LOT     PROVISION OF LABOR, MATERIAL, &amp; EQUIPMENT FOR CONCRETING OF RAMP ENTRANCE OF PHILRICE                     BATAC</t>
  </si>
  <si>
    <t xml:space="preserve"> INVITATION TO BID SUPPLY, DELIVERY, INSTALLATION AND TESTING OF LABORATORY EQUIPMENT FOR RESEARCH/SOILS AND WATER LABORATORY GROUP, IRRIGATION ENGINEERING CENTER ITB NO. BS-005-2020 1.	The National Irrigation Administration (NIA), through the Corporate Op</t>
  </si>
  <si>
    <t xml:space="preserve"> Request for Quotation RFQ No.		SVP-049-2020 MR. No.		10978 Requisition No.	OD-020-026 Posting Date:         	August 21, 2020 Deadline for Submission:		August 26, 2020 at 9:00 AM Opening Date:	August 26, 2020 at 10:00 AM TO:	Name of Supplier:______________</t>
  </si>
  <si>
    <t xml:space="preserve"> 1 set RTK GNSS Static base (448 channel or more) GNSS Technology 448 hardware channel or more for simultaneous tracking of all visible satellite signals Support Signal: GPS(L1P,L1CA,L2,L5), GLONASS(L1,IL2,L3) Galileo(E1,E5ab,AItBoc,E6), BEIDOU(B1,B2,B3),S</t>
  </si>
  <si>
    <t xml:space="preserve"> rental of vehicles for OPAPP Cotabato.</t>
  </si>
  <si>
    <t xml:space="preserve"> INVITATION TO BID NO. 2020-CW-08 The       DPWH-QUEZON III DISTRICT ENGINEERING OFFICE, Catanauan, Quezon, through its Bids and Awards Committee (BAC), invites contractors to submit bids for the following Contracts: 4.	Procurement ID/Contract ID: 19DM0121</t>
  </si>
  <si>
    <t xml:space="preserve"> Section I. Invitation to Bid SUPPLY OF LABOR, EQUIPMENT AND RESTORATION MATERIALS FOR THE INSTALLATION, TESTING AND COMMISSIONING OF 250MM DIA. TRANSMISSION LINE ALONG AMULUNG SOLANA ROAD, CENTRO, SOLANA, CAGAYAN (CALAMAGUI UPGRADING PHASE 2) (RE-BIDDING)</t>
  </si>
  <si>
    <t xml:space="preserve"> INVITATION TO BID NO. 2020-CW-08 The       DPWH-QUEZON III DISTRICT ENGINEERING OFFICE, Catanauan, Quezon, through its Bids and Awards Committee (BAC), invites contractors to submit bids for the following Contracts: 5.	Procurement ID/Contract ID: 19DM0122</t>
  </si>
  <si>
    <t xml:space="preserve"> CONSTRUCTION/WIDENING/CONCRETING THE SIDE PERIMETER OF BARANGAY ROAD AS TO IMPROVE ITS PURPOSE.</t>
  </si>
  <si>
    <t xml:space="preserve"> Concreting of Road with minor drainage</t>
  </si>
  <si>
    <t xml:space="preserve"> INVITATION TO BID NO. 2020-CW-08 The       DPWH-QUEZON III DISTRICT ENGINEERING OFFICE, Catanauan, Quezon, through its Bids and Awards Committee (BAC), invites contractors to submit bids for the following Contracts: 3.	Procurement ID/Contract ID: 20DM0073</t>
  </si>
  <si>
    <t xml:space="preserve"> 20CSE015 – Consulting Services on the Conduct of Sub-soil Investigation for the Proposed Reconstruction/Rehabilitation of National Roads with Slips and Slope Collapse along F.B. Reyes (Busuanga Coron) Road (K0012+810.00 – K0015+550.00; K0020+763.98 – K002</t>
  </si>
  <si>
    <t xml:space="preserve"> Invitation to Bid for the supply &amp; delivery of Various Office Supplies &amp; Equipment for use of different offices of Batangas City Government</t>
  </si>
  <si>
    <t xml:space="preserve"> Construction of Daycare center</t>
  </si>
  <si>
    <t xml:space="preserve"> NAME OF THE PROJECT: Procurement of Reference Books for Donsol Community College LOCATION OF THE PROJECT:   Donsol, Sorsogon PROJECT REFERENCE NO.:  SVP-G-2020-022 Approved Budget for the Contract (ABC):  Eighty Seven Thousand Seven Hundred Eighty (₱87,78</t>
  </si>
  <si>
    <t xml:space="preserve"> CONSTRUCTION/CONCRETING/RIPRAPPING OF BARANGAY MAIN ROAD SITUATED AT SITIO JASMIN, BARANGAY PULONG ANAHAO, MABINI, BATANGAS</t>
  </si>
  <si>
    <t xml:space="preserve"> Invitation to Bid for the Repair/Rehabilitation of Staging Tank and Drilling of one (1) 150mmØ Production Well at PhilRice Batac under PRRI-PB-2020-044 1. The Philippine Rice Research Institute, Batac Branch Station, through the Corporate Fund Budget fund</t>
  </si>
  <si>
    <t xml:space="preserve"> 2 units 15 KVA Transformer, 2 units 50 KVA Transformer, 25 KVA Transformer, 4000 meters 1/0 ACSR for Primary Wire,  400 meters 4/0 ACSR for Secondary wire, 1 pc Shotgun Stick, 1 pc Hotstick, 1 pc Rachet, 1 units 2 KVA Transformer (w/battery and charger fo</t>
  </si>
  <si>
    <t xml:space="preserve"> Contract ID	: 20-HE-0123 (Re-Bid) Contract Name	: Construction of Four (4) Storey Eight (8) Classroom School Building, Minglanilla Central Elementary School, Minglanilla, Cebu Location of Contract	: Cebu Province Invitation to Bid August 21, 2020 The Depa</t>
  </si>
  <si>
    <t xml:space="preserve"> The National Telecommunications Commission (NTC) hereby invites prospective Suppliers to submit their Price Quotation for the Project: Procurement on the Cleaning of Overhead and Underground Cistern Tanks of NTC Central Office CY2020. ABC - Php150,000.00 </t>
  </si>
  <si>
    <t xml:space="preserve"> The National Telecommunications Commission hereby invites prospective Supplier to submit their Price Quotation for the Project: Procurement on the Cleaning of Four (4) corner Stainless Cladding and Front Window panels CY2020 ABC : Php150,000.00 Please see</t>
  </si>
  <si>
    <t xml:space="preserve"> 41X: Emergency Repair/Maintenance along Cervantes-Quirino Road, Km385+300-Km404+100 with exception ABC : 2,988,661.22 Source of Funds : Maintenance Fund CY 2020 (SR2020-02-000664) Duration : 90 CD Cost of Bid Documents : 5,000.00 PCAb License (Size Range)</t>
  </si>
  <si>
    <t xml:space="preserve"> Republic of the Philippines PROVINCE OF ALBAY Municipality of Rapu-Rapu INVITATION TO BID FOR  Purchase of Medical Supplies 1.	The Barangay Local  Government of Pagcolbon, Rapu-Rapu, Albay, through the Budget of contract approved by the Barangay Sanggunia</t>
  </si>
  <si>
    <t xml:space="preserve"> Supply and Delivery of Floor Mounted Airconditioner of SDSSU Tandag Campus</t>
  </si>
  <si>
    <t xml:space="preserve"> ,Republic of the Philippines PROVINCE OF BATANGAS Municipality of Lian OFFICE OF BIDS AND AWARDS COMMITTEE INVITATION TO BID 	The Municipal Government of Lian, Batangas through its Bids and Awards Committee (BAC) now calls for the submission of Letters of</t>
  </si>
  <si>
    <t xml:space="preserve"> 87 Sets Jetmatic Pump *Accessories per set: Adapter (2) Footvalve (1) Solvent (1) Teflon (1) 1 1/4 Pipe (2) Elbow (1)</t>
  </si>
  <si>
    <t xml:space="preserve"> Republic of the Philippines				Project Reference Number: 	G-20-0771                                           Province of Compostela Valley				Name of the Project	:  Food supplies MUNICIPALITY OF MONTEVISTA			Location of the Project	:           MO  Standa</t>
  </si>
  <si>
    <t xml:space="preserve"> 1     LOT     PROVISION OF ELECTRICAL FIXTURES OF VAROUS ROOMS OF PHILRICE BATAC</t>
  </si>
  <si>
    <t xml:space="preserve"> QTY	UNIT	ARTICLE / DESCRIPTION						 								 								 32	man-day	Consulting Services for PGS Application						 		Professional Fees (Strategy Formulation, Clean-up Session,Cascading Session)						 Submit the following: (soft or hard copy) 1.	Quotation  2.</t>
  </si>
  <si>
    <t xml:space="preserve"> Republic of the Philippines DEPARTMENT OF PUBLIC WORKS AND HIGHWAYS REGIONAL OFFICE VIII Baras, Palo, Leyte    INVITATION TO BID No. 2020-08-007 August 19, 2020 1.	The Department of Public Works and Highways Regional Office VIII, Baras, Palo, Leyte, throu</t>
  </si>
  <si>
    <t xml:space="preserve"> Republic of the Philipines							 Department of Eduction							 Region III							 Schools Division of City of Balanga							 BATAAN NATIONAL HIGH SCHOOL -SENIOR HIGH SCHOOL							 P. Roman Super Highway, Bagong Silang, City of Balanga, Bataan							 					</t>
  </si>
  <si>
    <t xml:space="preserve"> TVL EQUIPMENT: 1 UNIT      INDUSTRIAL OVEN 1 UNIT      REFRIGERATOR 2 UNITS    GAS RANGE 2 PCS        GAS TANK 3 DOZEN    LARGE GLASS PLATES  3 DOZEN    SAUCERS 3 DOZEN    SPOON 3 DOZEN    FORK 3 PCS        FRYING PAN 3 PCS        CASSEROLE 2 SET        K</t>
  </si>
  <si>
    <t xml:space="preserve"> The Department of Public Works and Highways (DPWH), Laguna III District Engineering Office San Pablo City Region IV-A, through its Bids and Awards Committee (BAC), invites Contractors to submit bids for the following Contract: Contract ID: 19DP0089 Contra</t>
  </si>
  <si>
    <t xml:space="preserve"> 1      LOT     PROVISION OF MATERIALS FOR REPLACEMENT OF PLIMBING FIXTURES AND DORMITORY                    ACCESSORIES OF PHILRICE BATAC DORMITORY</t>
  </si>
  <si>
    <t xml:space="preserve"> 10 units laptop i7 10th Gen.to be delivered at Legislative Office</t>
  </si>
  <si>
    <t xml:space="preserve"> 4398 pcs. USB 16GB original to be used for listen to interactive  audio lessons, songs, poems and rhymes</t>
  </si>
  <si>
    <t xml:space="preserve"> Construction at Perimeter Fence at GRHR (112 LM - 38 Span) Pateng, Gonzaga, Cagayan Scope of Works : 1. Earthworks - 39.00cu.m. 2. Concrete Works - 21.00cu.m. 3. Masonry Works - 269.00sq.m.</t>
  </si>
  <si>
    <t xml:space="preserve"> INVITATION TO BID FOR THE SUPPLY AND DELIVERY OF MEDICAL AND SURGICAL SUPPLIES 1.	The Cagayan Valley Medical Center (CVMC), intends to apply the sum Thirty One Million Two Hundred Ten Thousand Two Hundred Fifty Pesos (Php   31,210,250.00) being the Approv</t>
  </si>
  <si>
    <t xml:space="preserve"> 851	Ream	Paper, bond, a4 (8.27 x 11.69), 70gsm 		 		 		 		 		Requirements: 		1. Mayor’s/Business Permit 		2. PhilGEPS Registration Number 		3.  Income/Business Tax return 		4.  Omnibus Sworn Statement</t>
  </si>
  <si>
    <t xml:space="preserve"> INVITATION TO BID IB No. 2020-36 COMPLETION OF WEAVING CENTER (DEMO AND DISPLAY AREA) 1.	The Local Government Unit of Oton, through Provincial Aid, intends to apply the sum of Three Million One Hundred Ninety-Five Thousand One Hundred Eighty-Five Pesos an</t>
  </si>
  <si>
    <t xml:space="preserve"> Request for Quotation RFQ No.		SVP-050-2020 MR. No.		10989 Requisition No.	OD-020-036 Posting Date:         	August 21, 2020 Deadline for Submission:		August 26, 2020 at 9:00 AM Opening Date:	August 26, 2020 at 10:00 AM TO:	Name of Supplier:______________</t>
  </si>
  <si>
    <t xml:space="preserve"> Improvement of STAKA (Riverbank Protection) Flourishing, Gonzaga, Cagayan Scope of Works: I. Earthworks     a. Excavation - 25.00cu.m.    b. Boulder Fill - 23.00cu.m.    c. Demolition (@ intake) - 0.66 cu.m. II. Stone Masonry - 24.00cu.m. III. Plain Concr</t>
  </si>
  <si>
    <t xml:space="preserve"> Pls. Refer to Technical Specifications</t>
  </si>
  <si>
    <t xml:space="preserve"> NOTICE TO THE PUBLIC REQUEST FOR PROPOSAL Purchase Request No: PUR20-08-0673  The Philippine General Hospital hereby informs the public that it will be procuring the following item/s through Small Value Procurement:		 PUR20-08-0673   1	2	box	Pre-disinfect</t>
  </si>
  <si>
    <t xml:space="preserve"> Const. of 10 lanes 6 ft depth covered swimming pool with 6mx25m warm up pool, bleachers, rest room facilities, etc.</t>
  </si>
  <si>
    <t xml:space="preserve"> materials</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</si>
  <si>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</si>
  <si>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DEPARTMENT OF HEALTH 		CEBU SOUTH MEDICAL CENTER       (formerly known as Talisay District Hospital) San Isidro, Talisay City, Cebu (032)273-8785 (032) 273-8785 tdh.bac@gmail.com http://www.tdh.doh.gov.ph INVITATION TO APPLY</t>
  </si>
  <si>
    <t xml:space="preserve"> Republic of the Philippines Province of Southern Leyte MUNICIPALITY OF SAINT BERNARD BIDS AND AWARDS COMMITTEE INVITATION TO BID FOR EXTENSION /EXPANSION OF LIBRARY / TECH 4ED CENTER/ MIS  BAC-SBSL-MEO-2020-17 1.	The Municipality of Saint Bernard, Souther</t>
  </si>
  <si>
    <t xml:space="preserve"> Installation of Additional Roadway Lights along National Road Gonzaga, Cagayan Scope of Works : 1. Electrical Works - 16 units 2. Earthworks       a. Excavation - 61.1cu.m.      b. Backfill - 52cu.m. 3. Concrete Works - 9.18cu.m.</t>
  </si>
  <si>
    <t xml:space="preserve"> The Bureau of Fisheries and Aquatic Resources (BFAR) of the Department of Agriculture, through the General Appropriations Act for 2020 intends to apply the sum of THREE MILLION TWO HUNDRED TEN THOUSAND (Php 3,210,000.00) PESOS being the Approved Budget fo</t>
  </si>
  <si>
    <t xml:space="preserve"> QTY	UNIT	ARTICLE / DESCRIPTION						 								 								 1	lot	Siphoning of Big Volume Cistern Tank						 		Inclusions:						 		Labor and Proper Disposal of Sludge collected						 Submit the following: (soft or hard copy) 1.	Quotation  2.	Mayor’s / Business</t>
  </si>
  <si>
    <t xml:space="preserve"> Request for Quotation RFQ No.		SVP-051-2020 MR. No.		10988 Requisition No.	OD-020-035 Posting Date:         	August 21, 2020 Deadline for Submission:		August 26, 2020 at 9:00 AM Opening Date:	August 26, 2020 at 10:00 AM TO:	Name of Supplier:______________</t>
  </si>
  <si>
    <t xml:space="preserve"> matured/hard bamboo (kawayan) full length 10-15m, 4-5" dia. = 360 pcs</t>
  </si>
  <si>
    <t xml:space="preserve"> 250cc Motorcycle</t>
  </si>
  <si>
    <t xml:space="preserve"> Procurement of Vehicle Parts</t>
  </si>
  <si>
    <t xml:space="preserve"> Request for Price Quotation</t>
  </si>
  <si>
    <t xml:space="preserve"> Improvement of GRHR - Public Comfort Room Pateng, Gonzaga, Cagayan Scope of Works : 1. Earthworks - 14.00cu.m. 2. Concrete Works - 11.00cu.m. 3. Masonry Works - 103.00sq.m. 4. Ceiling Works - 38.54sq.m. 5. Electrical Works - 1.00LS 6. Sanitary/Plumbing - </t>
  </si>
  <si>
    <t xml:space="preserve"> various hardware materials</t>
  </si>
  <si>
    <t xml:space="preserve"> REPUBLIC OF THE PHILIPPINES PROVINCE OF SURIGAO DEL NORTE MUNICIPALITY OF SAN ISIDRO San Isidro, Surigao del Norte Section I. Invitation to Bid - rebid PROCUREMENT OF ONE (1) LOT ASSORTED GOODS for underweight and severely underweight (Nutrition Month Cel</t>
  </si>
  <si>
    <t xml:space="preserve"> 4398 pcs. Portable Radio with Sim slot to be used for self-learning Modules (SLMs) as the primary teaching resources which can be converted to various content.</t>
  </si>
  <si>
    <t xml:space="preserve"> Republic of the Philippines NATIONAL FOOD AUTHORITY Eastern Visayas Regional Office  Pawing, Palo, Leyte - INVITATION TO BID   CONSTRUCTION OF WS II OFFICE AT NFA COMPOUND, BORONGAN CITY Project Reference No. 2020- NFA-RBAC8-INFR- 26 The NATIONAL FOOD AUT</t>
  </si>
  <si>
    <t xml:space="preserve"> QTY	UNIT	ARTICLE / DESCRIPTION						 								 								 1	unit	Cacao Grinder						 		( Food grade, Stainless Steel, Capacity: 10-15 kg/hr, Voltage: 220V, 60hz,						 		  required Power: 2 HP, single phase )						 								 20	pcs	Cacao Tablea Molders						 </t>
  </si>
  <si>
    <t xml:space="preserve"> INVITATION TO BID (National Competitive Bidding) The BFAR XIII, through its Bids and Awards Committee (BAC), invites eligible suppliers to bid for the hereunder contracts: Project Title: Re-bidding of Supply and Delivery of Fishing Gears and Paraphernalia</t>
  </si>
  <si>
    <t xml:space="preserve"> Masonry Works  Metal Works  Sanitary Work</t>
  </si>
  <si>
    <t xml:space="preserve"> QTY	UNIT	ARTICLE / DESCRIPTION						 								 								 40	bot	AR Grade Ethanol						 		Absolute						 		2.5L / bot						 								 25	gal	Ethyl Alcohol, 70% solution						 		Rubbing Alcohol						 		Antiseptic						 		Desinfectant						 Submit the following</t>
  </si>
  <si>
    <t xml:space="preserve"> 5	bxs	Sterilized Surgical Gloves		 5	bxs	Surgical Mask		 5	rls	Paper Towel		 15	bts	Alcohol 70%		 20	packs	Cotton Balls		 5	gals	Zonrox		 10	bts	Dishwashing Liquid		 600	packs	Food Packs (Lunch/Merienda)		 2000	bts	Mineral Water		 6	bxs	Sterilized Pledget</t>
  </si>
  <si>
    <t xml:space="preserve"> Name of Projects: Drainage Canal w/Cover Project Description: Drainage Canal-  L=32m   Outer Width=0.50,m    Depth=1.60m Cover- L=32m   Outer Width=0.50m     Depth=1.60m Location: Zone 4, Potot, Libmanan, Camarines Sur Total Project Cost: P  130,,000.00 S</t>
  </si>
  <si>
    <t xml:space="preserve"> Catering Services - Provincial Integrated FARMC Strengthening - 120 pax * La Union (P21,000) * Ilocos Norte (P21,000) * Ilocos Sur (P21,000) * Pangasinan (P21,000)</t>
  </si>
  <si>
    <t xml:space="preserve"> Installation of Additional Roadway Lights at Poblacion Flourishing &amp; Progressive, Gonzaga, Cagayan Scope of Works : 1. Electrical Works - 38units 2. Earthworks     a. Demolition - 31.48cu.m.    b. Excavation - 59.25cu.m.    c. Backfill and Disposal of Was</t>
  </si>
  <si>
    <t xml:space="preserve"> Construction of a new Barangay Health Station (BHS) at Brgy. 3</t>
  </si>
  <si>
    <t xml:space="preserve"> Name of Projects: Streetlights Project Description: LED Streetlights=26 units   Distance b/w Pole=30m Location: Zone 1-3, Umalo, Libmanan, Camarines Sur Total Project Cost: P 420,000.00 Source of Fund: 20% EDF 2020</t>
  </si>
  <si>
    <t xml:space="preserve"> REPUBLIC OF THE PHILIPPINES PROVINCE OF SURIGAO DEL NORTE MUNICIPALITY OF SAN ISIDRO San Isidro, Surigao del Norte Section I. Invitation to Bid -rebid PROCUREMENT OF ONE (1) LOT FUEL, OIL &amp; LUBRICANTS SUPPLEMENTAL 1.	The Municipal Government of San Isidro</t>
  </si>
  <si>
    <t xml:space="preserve"> Construction of a new Construction of a Barangay Health Station (BHS) at Brgy. 4</t>
  </si>
  <si>
    <t xml:space="preserve"> Diagnostic Test Paper</t>
  </si>
  <si>
    <t xml:space="preserve"> Lot 1: Catering Services - Capacity Building / Provincial Meeting - 4 Provinces ABC: P80,000.00 Lot 2: Catering Services - Social Preparation/ Capacity Building - 9 Municipalities ABC: P94,500.00</t>
  </si>
  <si>
    <t xml:space="preserve"> Construction of Viewdeck at CSU Flourishing, Gonzaga, Cagayan Scope of Works: 1. Access Road - 1.00km. 2. Earthworks - 20.00cu.m. 3. Concrete Works - 11.00cu.m. 4. Tile Works - 36.00sq.m. 5. Painting Works - 100.00sq.m.</t>
  </si>
  <si>
    <t xml:space="preserve"> I. BAIT STATION  HARD PLASTIC (20 UNITS) II. RAT BAIT BROWMADIOLONE (22 PAILS) BRODIFACOUM (32 KLS) CUOMATERALYL (32 KLS) III. ODORLESS CHEMICAL FOR INSECTS &amp; TERMITES LAMDA CYHLOTHRIN (23 LTS) ALPHA CYPERMETHRIN (23 LTS) CYFLUTHRIN (34 LTS) NOTE: Labor c</t>
  </si>
  <si>
    <t xml:space="preserve"> Rehabilitation of canal Construction of canal cover with curb &amp; gutter</t>
  </si>
  <si>
    <t xml:space="preserve"> INVITATION TO BID (National Competitive Bidding) The BFAR XIII, through its Bids and Awards Committee (BAC), invites eligible suppliers to bid for the hereunder contracts: Project Title: Re-bidding of Feeds, Fertilizers and Neutralizers for the Implementa</t>
  </si>
  <si>
    <t xml:space="preserve"> Barangay Hall August 28, 2020 11:00am</t>
  </si>
  <si>
    <t xml:space="preserve"> Continuation of Livelihood/Processing Center Municipal Compound, Gonzaga, Cagayan Scope of Works : 1. Concrete Works - 41.70cu.m. 2. Tile Works - 359.00sq.m. 3. Painting Works - 1,876.00sq.m.</t>
  </si>
  <si>
    <t xml:space="preserve"> Contract ID:	20DL0237 Contract Name:	LOCAL PROGRAM, CONST. / REPAIR / REHAB. / IMPROVEMENT OF VARIOUS INFRASTRUCTURE INCLUDING LOCAL PROJECTS, NATIONAL ROADS AND BRIDGES, NATIONAL ROADS 2. CONSTRUCTION OF SLOPE PROTECTION ALONG OLD ZIGZAG ROAD, K0154+150 </t>
  </si>
  <si>
    <t xml:space="preserve"> Contract ID:	20DL0236 Contract Name:	LOCAL PROGRAM, CONST. / REPAIR / REHAB. / IMPROVEMENT OF VARIOUS INFRASTRUCTURE INCLUDING LOCAL PROJECTS, NATIONAL ROADS AND BRIDGES, NATIONAL ROADS 1.  CONSTRUCTION OF SLOPE PROTECTION ALONG OLD ZIGZAG ROAD, K0153+450</t>
  </si>
  <si>
    <t xml:space="preserve"> Republic of the Philippines Province of Misamis Occidental Municipality of Plaridel INVITATION TO APPLY FOR ELIGIBILITY AND TO BID 	 	The Local Government Unit, LGU-Plaridel, Misamis Occidental, through the CY2019 Local Government Support Fund (PCF) of th</t>
  </si>
  <si>
    <t xml:space="preserve"> Repair/Improvement of 2-Storey Public Market Building Municipal Compound, Gonzaga, Cagayan Scope of Works : 1. Slab Preparation (Chipping, Clearing &amp; Washing) - 1,566sq.m. 2. Roofdeck Water Proofing - 1,566sq.m. 3. Plumbing Works (Pipies &amp; Fittings) - 1LS</t>
  </si>
  <si>
    <t xml:space="preserve"> Contract ID:	20DL0235 Contract Name:	LOCAL PROGRAM, CONST. / REPAIR / REHAB. / IMPROVEMENT OF VARIOUS INFRASTRUCTURE INCLUDING LOCAL PROJECTS, NATIONAL ROADS AND BRIDGES, NATIONAL ROADS 1. CONSTRUCTION OF SLOPE PROTECTION ALONG MSR, NEW DIVERSION ZIGZAG R</t>
  </si>
  <si>
    <t xml:space="preserve"> *please see attached</t>
  </si>
  <si>
    <t xml:space="preserve"> Contract ID:	20DL0238 Contract Name:	LOCAL PROGRAM, CONST. / REPAIR / REHAB. / IMPROVEMENT OF VARIOUS INFRASTRUCTURE INCLUDING LOCAL PROJECTS, NATIONAL ROADS AND BRIDGES, NATIONAL ROADS 2. CONSTRUCTION OF SLOPE PROTECTION ALONG OLD ZIGZAG ROAD, K0174+050 </t>
  </si>
  <si>
    <t xml:space="preserve"> QTY	UNIT	ARTICLE / DESCRIPTION 			  	 	 	 5	set	IP CCTV System	  	 	   - 4 Channel NVR with 2 TB HDD	  	 	   - 2 POE Cameras	  	 	   - includes Roughing-ins, Cables and Mouldings	  	 	   - includes installation to PSTCs:	  	 	      Digos Davao del Sur, Ta</t>
  </si>
  <si>
    <t xml:space="preserve"> Barangay Hall August 28, 2020 10:00am</t>
  </si>
  <si>
    <t xml:space="preserve"> 1. The Department of Transportation (DOTr), through the DOTr 2019 Continuing Appropriation ICTE, intends to apply the sum of Six Million One Hundred Forty-Two Thousand One Hundred Twenty-Three Pesos and Sixty-Two Centavos (Php6,142,123.62) (VAT Inclusive)</t>
  </si>
  <si>
    <t xml:space="preserve"> Construction of a new Barangay Health Station (BHS) at Brgy. 5</t>
  </si>
  <si>
    <t xml:space="preserve"> CID No. 20IC0087:  Const./Improvement/Rehab. of Flood Control Project along Limbuhan River, Brgy. Bislig, Tanauan, Leyte;  ABC: P19,300,000.00; 200 CD ACTIVITY	TIME	PLACE 1.  Issuance/Downloading of       Bidding Documents	August 19 – September 8, 2020	Ha</t>
  </si>
  <si>
    <t xml:space="preserve"> Busco   EDUCATIONAL MATERIALS &amp;SUPPLIES 3rd  Quater 2020</t>
  </si>
  <si>
    <t xml:space="preserve"> 22     Male Plug (3 prongs) 8 pc 21     Royal Cord #1.25mm2 (#16) 3-cores/roll - 75 meters/roll 2 roll 20     Cable Tie 4.8 x 300mm 2 pack 19     20 watts, LED Lite, Flood Lamp, Waterproof 2 pc 15     50 watts, LED, Round Flood Lamp, Waterproof 2 pc 16   </t>
  </si>
  <si>
    <t xml:space="preserve"> *Please see attached</t>
  </si>
  <si>
    <t xml:space="preserve"> Procurement ID/ Contract ID:	19LG0120 Contract Name:	Construction/Repair/Rehabilitation/Improvement of Multi-purpose Building in Municipality of Lupon Contract Location:	Lupon, Davao Oriental Brief Description:	Construction/Repair/Rehabilitation/Improveme</t>
  </si>
  <si>
    <t xml:space="preserve"> 1.	The Local Government Unit of CONNER, through the DF LCPC-2020 intends to apply the sum of Two Hundred Thirty-Two Thousand Two Hundred Seventeen Pesos and 53/100 Centavos Only (₱ 232,217.53) being the Approved Budget for the Contract (ABC) to payments u</t>
  </si>
  <si>
    <t xml:space="preserve"> Concreting of Ipil-San Francisco Farm-to-Market Road (328.50ln.m.) Ipil, Gonzaga, Cagayan Scope of Works: 1. Roadway Excavation - 92.50cu.m. 2. Aggregates Base Coarse - 455.00cu.m. 3. PCCP - 301.50cu.m. 4. Stone Masonry - 45.00cu.m.</t>
  </si>
  <si>
    <t xml:space="preserve"> Construction of Barangay Health Center Baua, Gonzaga, Cagayan Scope of Works : 1. Earthworks - 94.00cu.m. 2. Concrete Works - 24.00cu.m. 3. Masonry Works - 180.00sq.m. 4. Roofing - 1.00 ALL 5. Carpentry Works - 64.00sq.m. 6. Electrical Works - 1.00ALL 7. </t>
  </si>
  <si>
    <t xml:space="preserve"> 1	ADAPTER IDE-SATA TO USB 3.0 Adapter Cable for 3.5 and 2.5 Inch SSD HDD SATA III Hard Drive Disk Converter with 12V Power Adapter	1	SET	  	 1,345.00  2	ADAPTOR VGA TO DVI	2	PC		 600.00  3	CARD LAN, 10/100/1000 GIGABIT, DESKTOP PCIE, NETWORK ADAPTER	6	UNI</t>
  </si>
  <si>
    <t xml:space="preserve"> INVITATION TO BID FOR  Supply and Delivery of One Thousand (1,000) Units Radio with USB Port GOODS 2020-050 1.	The Department of Education, Schools Division Office of Cagayan, intends to apply the sum of One Million Pesos (P1,000,000.00) being the Approve</t>
  </si>
  <si>
    <t xml:space="preserve"> LGU, Bagting, Gabaldon, Nueva Ecija				            	              Contract reference number:  								              Name of the Contract: Purchase of Printer                 Standard Form Number: SF-GOOD-05				         	              Location of the Contr</t>
  </si>
  <si>
    <t xml:space="preserve"> 1	TONER CARTRIDGE EPSON AL-C500 HIGH YIELD - YELLOW	1	PC	  	 15,400.00  2	TONER CARTRIDGE EPSON AL-C500 HIGH YIELD - BLACK	1	PC		 15,400.00  3	TONER CARTRIDGE EPSON AL-C500 HIGH YIELD - CYAN	1	PC		 15,400.00  4	TONER CARTRIDGE EPSON AL-C500 HIGH YIELD - M</t>
  </si>
  <si>
    <t xml:space="preserve"> Request for Quotation RFQ No.		SVP-053-2020 MR No.		10067 Requisition No. 	MLS-20-028 Posting Date:         	August 21, 2020 Deadline for Submission:		August 26, 2020 at 9:00 AM Opening Date:	August 26, 2020 at 10:00 AM TO:	Name of Supplier:______________</t>
  </si>
  <si>
    <t xml:space="preserve"> Concreting of Ipil-San Francisco Farm-to-Market Road Ipil, Gonzaga, Cagayan Scope of Works: 1. Roadway Excavation - 97.00cu.m. 2. Aggregates Base Coarse - 525.00cu.m. 3. PCCP - 270.00cu.m. 4. RCCP (Drainage Crossing) - 8.00ln.m.</t>
  </si>
  <si>
    <t xml:space="preserve"> Construction of a new Barangay Health Station (BHS) at Brgy. Bariri</t>
  </si>
  <si>
    <t xml:space="preserve"> INVITATION TO BID FOR THE PRINTING AND DELIVERY OF PARENT’S MANUAL FOR KINDERGARTEN TO GRADE 12 IN 33 PUBLIC SCHOOLS AT SDO-MARIKINA CITY   1.	The Department of Education – Division of Marikina City, through the NCR-19-5184, NCR-19-5198, NCR-19-2538, NCR-</t>
  </si>
  <si>
    <t xml:space="preserve"> Republic of the Philippines Department of Health Central Luzon Center for Health Development TALAVERA GENERAL HOSPITAL 	Talavera, Nueva Ecija	      ISO QMS Certified REQUEST FOR QUOTATION  SMALL VALUE PROCUREMENT for Talavera General Hospital Date: August</t>
  </si>
  <si>
    <t xml:space="preserve"> BILL OF QUANTITIES: Item #	Qty	   Unit	                   Item Description	  Unit Cost	Total Cost 0001		169.00	Sq.m.	Senior Citizen’s Pavilion		 0002		12.00	units	Rentable Space		 			x-x-x-x Nothing Follows x-x-x-x		 BIDS AND AWARDS COMMITTEE: ROY D. CARA</t>
  </si>
  <si>
    <t xml:space="preserve"> Republic of the Philippines DEPARTMENT OF AGRICULTURE Regional Field Office IX Zamboanga Peninsula 		 INVITATION TO BID  ITB NO. 08-0051-20 SUPPLY, DELIVERY AND INSTALLATION OF TWO (2) UNITS MOBILE RECIRCULATING DRYER 1.	 The Department of Agriculture, Re</t>
  </si>
  <si>
    <t xml:space="preserve"> 1 LOT – Supply of labor, tools and materials for Operation and Basic Maintenance Servicing (OBMS) of the Electro-Mechanical System of the BSP Bacolod Branch  for the period of four (4) months (Sep 2020 – Dec 2020)                                         n</t>
  </si>
  <si>
    <t xml:space="preserve"> INVITATION TO APPLY FOR ELIGIBILITY AND TO BID  One (1) Lot Information Technology   ITB No. 2020-08-019 P.R. No. 2020-08-201 1.	The Mines and Geosciences Bureau, through the General Appropriations Act (GAA) for CY 2020 intends to apply the sum correspond</t>
  </si>
  <si>
    <t xml:space="preserve"> Completion, Repair/Renovation/Rehabilitation/Relocation and Equipping of a Barangay Health Station (BHS) at Brgy. Guinbanga-an</t>
  </si>
  <si>
    <t xml:space="preserve"> INVITATION TO APPLY FOR ELIGIBILITY AND TO BID  One (1) Lot Design and Build Scheme Infrastracture Project ITB No. 2020-08-018 P.R. No. 2020-06-183 1.	The Mines and Geosciences Bureau, intends to apply the sum Fourteen Million Five Hundred Thousand Pesos </t>
  </si>
  <si>
    <t xml:space="preserve"> INVITATION TO APPLY FOR ELIGIBILITY AND TO BID  One (1) Lot Provision of Electrical Rewiring   ITB No. 2020-08-017 P.R. No. 2020-06-182 1.	The Mines and Geosciences Bureau, intends to apply the sum Eight Million Five Hundred Thousand Pesos (PhP8,500,000.0</t>
  </si>
  <si>
    <t xml:space="preserve"> Construction of 3-Storey Public Market Building Phase III Municipal Compound, Gonzaga, Cagayan Scope of Works: 1. Mobilization - 1LS 2. Concrete Works - 194.48cu.m. 3. CR &amp; Septic Tank - 1LS 4. Electrical Works - 1LS</t>
  </si>
  <si>
    <t xml:space="preserve"> 34  SET Bed, Double Deck with Mattress  -In accordance with the Technical Specifications  ABC: Php 985,000.00  NOTE: Please sign all pages of the Technical Specifications and submit it together with your quotation in a SEALED envelope. If selected as the </t>
  </si>
  <si>
    <t xml:space="preserve"> Republic of the Philippines DR. EMILIO B. ESPINOSA, SR. MEMORIAL STATE COLLEGE  OF AGRICULTURE AND TECHNOLOGY (Masbate State College) BIDS AND AWARDS COMMITTEE http:www.debesmscat.edu.ph Cabitan, Mandaon, Masbate Invitation to Bid for the Refurbishment/Up</t>
  </si>
  <si>
    <t xml:space="preserve"> Various Construction materials</t>
  </si>
  <si>
    <t xml:space="preserve"> Various construction materials</t>
  </si>
  <si>
    <t xml:space="preserve"> Procurement ID/Contract ID:	19LG0121 Contract Name:	Construction/Repair/Rehabilitation/Improvement of Multi-purpose Building in Municipality of Governor Generoso Contract Location:	Governor Generoso, Davao Oriental Brief Description:	Construction/Repair/R</t>
  </si>
  <si>
    <t xml:space="preserve"> Republic of the Philippines CITY OF LAPU-LAPU BIDS AND AWARDS COMMITTEE Invitation to Bid FOR THE PROCUREMENT OF OFFICE FURNITURE The City of Lapu-Lapu through the  MOOE 3324-5-02-03-990-3 intends to apply the sum of One Million Seven Hundred Thirty-One T</t>
  </si>
  <si>
    <t xml:space="preserve"> Brief Description of the Project		 Quantity	Unit	Item Description 1.00	lot	Clearing &amp; Grubbing 14.00	cu.m.	Sub-Grade Preparation 14.00	cu.m.	Aggregate Sub-Base Course 28.00	cu.m.	Portland Cement Concrete Pavement</t>
  </si>
  <si>
    <t xml:space="preserve"> Construction of a new Barangay Health Station (BHS) at Brgy. Durog</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</si>
  <si>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</si>
  <si>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Brief Description of the Project		 Quantity	Unit	Item Description 1.00	lot	Construction &amp; Occupational Health 1.00	lot	Mobilization Site Clearing 1.00	lot	Water Source Development</t>
  </si>
  <si>
    <t xml:space="preserve"> The Sta. Justina National High School through Bids and Awards Committee (BAC) request for quotation from Philgeps suppliers  for the following supplies: Bondpapers long-substance 20     -      193 reams Toner for HP                               -        </t>
  </si>
  <si>
    <t xml:space="preserve"> Brief Description of the Project			 Quantity	Unit	Item Description	 1.00	lot	Construction Safety &amp; Occupational Health	 1.00	lot	Mobilization Site Clearing	 6.30	cu.m.	Excavation Works	 34.80	cu.m.	Concrete Works	 1.00	lot	Formworks (rental)	 1.00	lot	Til</t>
  </si>
  <si>
    <t xml:space="preserve"> Brief Description of the Project			 Quantity	Unit	Item Description	 1.00	lot	Construction Safety &amp; Occupational Health	 1.00	lot	Clearing &amp; Grubbing	 160.00	cu.m.	Excavation Works	  2,000.00 	m.	Installation of piping lines</t>
  </si>
  <si>
    <t xml:space="preserve"> Labor Only</t>
  </si>
  <si>
    <t xml:space="preserve"> Various Spare parts</t>
  </si>
  <si>
    <t xml:space="preserve"> Brief Description of the Project		 Quantity	Unit	Item Description 1.00	lot	Construction Safety &amp; Occupational Health 37.50	cu.m.	Excavation 120.00	cu.m.	Stone Masonry</t>
  </si>
  <si>
    <t xml:space="preserve"> Republic of the Philippines DEPARTMENT OF AGRICULTURE Regional Field Office IX Zamboanga Peninsula 		 INVITATION TO BID  ITB NO. 08-0052-20 SUPPLY AND DELIVERY OF THREE (3) UNITS RICE MILL 1.	 The Department of Agriculture, Region IX, through the General </t>
  </si>
  <si>
    <t xml:space="preserve"> THIS PROJECT AIMS TO PROVIDE INDOOR GAME MATERIALS FOR THE YOUTH OF THE BARANGAY WHO ARE STOCK IN THEIR RESPECTIVE HOUSES DUE TO COVID-19 PANDEMIC AND TO PROCURE MATERIALS NEEDED IN THE COVERED COURT FOR THE FUTURE NEED. ITEAMS: Basketball Ring Heavy Duty</t>
  </si>
  <si>
    <t xml:space="preserve"> INVITATION TO APPLY FOR ELIGIBILITY AND TO BID  Supply and Delivery of Aircraft Drones   ITB No. 2020-08-016 P.R. No. 2020-03-159, 2020-07-187 &amp; 188 1.	The Mines and Geosciences Bureau, through the General Appropriations Act (GAA) for CY 2020 intends to a</t>
  </si>
  <si>
    <t xml:space="preserve"> Construction of Drainage Canal, Curb &amp; Gutter - Salvanera, Lasam, Peralta &amp; Mabini Sts. Progressive, Gonzaga, Cagayan Scope of Works : 1. Earthworks - 635.81cu.m. 2. Concrete Works     a. Canal - 124.30cu.m.    b. Gutter - 25.27cu.m. 3. Masonry Works - 1,</t>
  </si>
  <si>
    <t xml:space="preserve"> INVITATION TO BID FOR  Production and Delivery of K to 3 and Senior High School Learning Materials (Ordering Agreement) GOODS 2020-051 1.	The Department of Education, Schools Division Office of Cagayan, intends to apply the sum of Seven Million Five Hundr</t>
  </si>
  <si>
    <t xml:space="preserve"> Republic of the Philippines PROVINCE OF AGUSAN DEL SUR Municipality of Loreto INVITATION TO BID FOR VARIOUS CONSTRUCTION MATERIALS FOR MENRO SOLID WASTE SEGREGATION 1. The Municipality of Loreto, through the 20% MDF intends to apply the sum of FOUR HUNDRE</t>
  </si>
  <si>
    <t xml:space="preserve"> 280 reams A4 size Substance 20 Bond Paper 9 cartridges OPT-55X Optimum Toner Cartridge (Compatible for HP LJ P3015)</t>
  </si>
  <si>
    <t xml:space="preserve"> Brief Description of the Project			 Quantity	Unit	Item Description	 19	units	laptop 	 		Minimum specifications:	 		  - intel quadcore or equivalent processor	 		  - 4GB. RAM	 		  - 512GB SSD	 		  - Licensed Windows 10 	 		  - carrying bar	 		  - wireless </t>
  </si>
  <si>
    <t xml:space="preserve"> INVITATION TO APPLY FOR ELIGIBILITY AND TO BID  One (1) Lot Laboratory Equipment   ITB No. 2020-08-015 P.R. No. 2020-06-170 1.	The Mines and Geosciences Bureau, through the General Appropriations Act (GAA) for CY 2020 intends to apply the sum correspondin</t>
  </si>
  <si>
    <t xml:space="preserve"> School Head: Cecilia N. Vergara Contact Number: 09253012935</t>
  </si>
  <si>
    <t xml:space="preserve"> Construction of a new Barangay Health Station (BHS) at Brgy. Igbonglo</t>
  </si>
  <si>
    <t xml:space="preserve"> Republic of the Philippines DR. EMILIO B. ESPINOSA, SR. MEMORIAL STATE COLLEGE  OF AGRICULTURE AND TECHNOLOGY (Masbate State College) BIDS AND AWARDS COMMITTEE http:www.debesmscat.edu.ph Cabitan, Mandaon, Masbate Invitation to Bid for the  Fabrication of </t>
  </si>
  <si>
    <t xml:space="preserve"> REQUEST FOR EXPRESSION OF INTEREST (REOI) FOR  Preliminary Detailed Engineering Services for the Construction of Flood Control Structures along: 1. Upper Marikina River, 2. Morong River, 3. Teresa River, 4. Pililla River, 5. Puray River, 6. Ampid River, 7</t>
  </si>
  <si>
    <t xml:space="preserve"> Construction Project</t>
  </si>
  <si>
    <t xml:space="preserve"> Construction of a new Barangay Health Station (BHS) at Brgy. Maybato Sur</t>
  </si>
  <si>
    <t xml:space="preserve"> PR NO. 20-02-0035								 INFORMATION TECHNOLOGY EQUIPMENT Gentlemen/Ladies: The Technological University of the Philippines – Manila intends to Procure  INFORMATION TECHNOLOGY EQUIPMENT with an Approved Budget for the Contract of Seventy-Eight Thousand P</t>
  </si>
  <si>
    <t xml:space="preserve"> I. Demolition of Existing Structure II.Rental of Equipment III. Construction of Box Culvert  Materials  40 pcs. 16mm 70 pcs 12mm 80 pcs. 10mm 15 kgs. Tie Wire IV. Form Works Materials 18 pcs. 1/2x4x8 ordinary plywood 70 pcs. 2x3x8 coco 30 pcs. 2x2x8 coco </t>
  </si>
  <si>
    <t xml:space="preserve"> Various construction materials.</t>
  </si>
  <si>
    <t xml:space="preserve"> Printing and binding of modules  Specifications: Printing: •	bond paper size: A4, subs. 24 or 8.25” x 10.75” bookpaper 70 gsm •	colored printing for Kindergarten modules •	grayscale printing for Grades 2-3, 5, 7 and 9 modules •	back to back printing Front</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</si>
  <si>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</si>
  <si>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1 LOT –  Supply of labor, tools and materials for the Operation and Basic Maintenance Servicing (OBMS) of the Electro-Mechanical System of BSP Iloilo Branch as per BSP Terms of Reference                   nothing follows</t>
  </si>
  <si>
    <t xml:space="preserve"> Construction of a new Barangay Health Station (BHS) at Brgy. Magcalon</t>
  </si>
  <si>
    <t xml:space="preserve"> as per BSP Scope of Work and Specifications</t>
  </si>
  <si>
    <t xml:space="preserve"> Contract ID:	19DL0219 Contract Name:	IMPLEMENTATION OF VARIOUS NEW AND URGENT INFRASTRUCTURE PROJECTS OF THE DISTRICT, 2. CONSTRUCTION / REHABILITATION OF MULTI-PURPOSE BUILDING, ALABAT, QUEZON Contract Location:	ALABAT, QUEZON Brief Description:		CONSTRU</t>
  </si>
  <si>
    <t xml:space="preserve"> 1.	The Bureau of Fisheries and Aquatic Resources (BFAR) of the Department of Agriculture, through the General Appropriations Act for 2020 intends to apply the sums of ONE HUNDRED SIXTY THREE THOUSAND NINE HUNDRED FIFTY SEVEN THOUSAND NINE HUNDRED TEN AND </t>
  </si>
  <si>
    <t xml:space="preserve"> Contract ID:	20DL0240 Contract Name:	LOCAL PROGRAM, CONST. / REPAIR / REHAB. / IMPROVEMENT OF VARIOUS INFRASTRUCTURE INCLUDING LOCAL PROJECTS, NATIONAL ROADS AND BRIDGES, NATIONAL ROADS 4. CONSTRUCTION OF SLOPE PROTECTION ALONG OLD ZIGZAG ROAD, K0157+050 </t>
  </si>
  <si>
    <t xml:space="preserve"> See attached.</t>
  </si>
  <si>
    <t xml:space="preserve"> Procurement of Alcohol (Lot 1)</t>
  </si>
  <si>
    <t xml:space="preserve"> Republic of the Philippines Province of Ilocos Norte Municipality of Paoay BARANGAY 12 SAN BLAS  BIDS AND AWARDS COMMITTEE INVITATION TO BID 2020-003 Invitation to bid for the Purchase of Materials for the Concrete Paving of Road Shoulder along Young and </t>
  </si>
  <si>
    <t xml:space="preserve"> ITEM NO.             ITEM AND DESCRIPTION         QTY         UNIT 1                         A4 Bond Paper (60 gsm)          80           ream 2                         Ink-tank Printer                       23           unit 3                         Ink</t>
  </si>
  <si>
    <t xml:space="preserve"> REQUEST FOR QUOTATION Project Name: Utilizing 30% from School Maintenance Operating and Other Expenses (MOOE) for Emergency-                        Negotiated Cases of Printing and Reproduction of Self-Learning Modules Approved Budget of Contract (ABC): P</t>
  </si>
  <si>
    <t xml:space="preserve"> 1.	The Local Government Unit of Barangay Puhagan, through the 20% Royalty Tax Development and Livelihood Fund 2010 Surplus intends to apply the sum of One Million Pesos (P 1,000,000.00) being the Approved Budget for the Contract (ABC) to payments under th</t>
  </si>
  <si>
    <t xml:space="preserve"> Republic of the Philippines Province of  Agusan del Sur MUNICIPALITY OF PROSPERIDAD BIDS AND AWARDS COMMITTEE INVITATION TO BID NO. 2020-052 The Municipal Government of PROSPERIDAD, Province of Agusan del Sur, through its Bids and Awards Committee (BAC) i</t>
  </si>
  <si>
    <t xml:space="preserve"> School Head: Cynthia G. Dela Rosa Contact Number: 09175240704</t>
  </si>
  <si>
    <t xml:space="preserve"> 8 pcs Tires 185x14</t>
  </si>
  <si>
    <t xml:space="preserve"> Location: Legazpi City, Albay Scope of Work: Road Concreting of 7.62 Lane km Road (6 Lanes), 2.54 Lane Km Bike Lane, Construction of 2.540km Lined Canal, Installation of Street Lights and Slope Protection Works</t>
  </si>
  <si>
    <t xml:space="preserve"> Location: Legazpi City, Albay Scope of Work: Asphalt Overlay of 2.00 km Road with Reflectorized Thermoplastic Pavement Markings including Reblocking of PCCP on Intermittent Section</t>
  </si>
  <si>
    <t xml:space="preserve"> Location: Pawa and Tamaoyan, Legazpi City, Albay Scope of Work: Construction of 180.00  l.m.  Road Dike including Slope Protection Works</t>
  </si>
  <si>
    <t xml:space="preserve"> REQUEST FOR EXPRESSION OF INTEREST (REOI) FOR  Preliminary Detailed Engineering Services for the different Roads and Bridges within the 2nd Legislative District of Rizal: 1. Pililla Jct. – Jalajala Road, 2. Tanay-Sampaloc Road, 3. Manila East Road, 4. Sag</t>
  </si>
  <si>
    <t xml:space="preserve"> Republic of the Philippines Province of  Agusan del Sur MUNICIPALITY OF PROSPERIDAD BIDS AND AWARDS COMMITTEE INVITATION TO BID NO. 2020-051 The Municipal Government of PROSPERIDAD, Province of Agusan del Sur, through its Bids and Awards Committee (BAC) i</t>
  </si>
  <si>
    <t xml:space="preserve"> School Head: Rona B. Cruz Contact Number: 09502562749</t>
  </si>
  <si>
    <t xml:space="preserve"> Department of Social Welfare and Development Field Office VI M.H. del Pilar St., Iloilo City INVITATION TO BID FOR THE PROCUREMENT OF VARIOUS OFFICE SUPPLIES FOR THE USE OF KALAHI-CIDSS PROGRAM IMPLEMENTATION CY2020 (1st Posting) 1. The Department of Soci</t>
  </si>
  <si>
    <t xml:space="preserve"> School Head: Aileen Santos Contact Number: 09171800840</t>
  </si>
  <si>
    <t xml:space="preserve"> Location: Manito, Albay Scope of Work: Construction of 660.00  l.m. Reinforced Concrete Dike</t>
  </si>
  <si>
    <t xml:space="preserve"> Purchase of materials and payment for the services/labor payroll for the repair and maintenance of Water Works System.</t>
  </si>
  <si>
    <t xml:space="preserve"> School Head: Helen Graze Muños Contact Number: 0966739140</t>
  </si>
  <si>
    <t xml:space="preserve"> Location: Manito, Albay Scope of Work: Construction of 580.00  l.m.  Road Dike including Slope Protection Works</t>
  </si>
  <si>
    <t xml:space="preserve"> PR NO. 20-08-0053								 REFILL OF FIRE EXTINGUISHER Gentlemen/Ladies: The Technological University of the Philippines – Manila intends to Procure  REFILL OF FIRE EXTINGUISHER with an Approved Budget for the Contract of Three Hundred Ninety-Six Thousand </t>
  </si>
  <si>
    <t xml:space="preserve"> Republic of the Philippines Province of  Agusan del Sur MUNICIPALITY OF PROSPERIDAD BIDS AND AWARDS COMMITTEE INVITATION TO BID NO. 2020-050 The Municipal Government of PROSPERIDAD, Province of Agusan del Sur, through its Bids and Awards Committee (BAC) i</t>
  </si>
  <si>
    <t xml:space="preserve"> Unit 	Item Description	                   Quantity unit	Wheel Borrow 	                                        2 unit	Shredder	                                                1   pc	Soil thermometer	                                4 unit	Empty plastic cont</t>
  </si>
  <si>
    <t xml:space="preserve"> SUPPLY AND DELIVERY OF 242 PCS PNUEMOCOCCAL VACCINE POLYVALENT 242 PCS PNUEMOCOCCAL VACCINE POLYVALENT PNUEMOVAX23 (0.5ml DOSE) Note: Attached latest copy of the following documents (PDF or JPEG format): 1. Philgeps Organization Information  2. Mayors Per</t>
  </si>
  <si>
    <t xml:space="preserve"> School Head: Teresita Sibayan Contact Number: 09296797094</t>
  </si>
  <si>
    <t xml:space="preserve"> INVITATION TO BID: BID REFERENCE NO.: 2020-15-A (Rebidding) “SUPPLY AND DELIVERY OF BFAR VIDEO/PHOTO EQUIPMENT FOR THE OFFICE PRODUCTIVITY PROJECT” The Bureau of Fisheries and Aquatic Resources (BFAR) of the Department of Agriculture, through the General </t>
  </si>
  <si>
    <t xml:space="preserve"> Completion, Repair/Renovation/Rehabilitation/Relocation and Equipping of a Barangay Health Station (BHS) at Brgy. San Pedro</t>
  </si>
  <si>
    <t xml:space="preserve"> School Head: Ma. Theresa Saclao Contact Number: 09430415175</t>
  </si>
  <si>
    <t xml:space="preserve"> School Head: Virgilio Diaz Contact Number: 09563549356</t>
  </si>
  <si>
    <t xml:space="preserve"> Construction of a new Barangay Health Station (BHS) at Brgy. Mojon</t>
  </si>
  <si>
    <t xml:space="preserve"> School Head: Donata Manansala Contact Number: 09338147628</t>
  </si>
  <si>
    <t xml:space="preserve"> School Head: Antonio Mendoza Contact Number: 09363445398</t>
  </si>
  <si>
    <t xml:space="preserve"> School Head: Encarnacion Gonzales Contact Number: 09485524776</t>
  </si>
  <si>
    <t xml:space="preserve"> School Head: Belinda Sangcap Contact Number: 09227933313</t>
  </si>
  <si>
    <t xml:space="preserve"> School Head: Chona C. Manabat Contact Number: 09324987137</t>
  </si>
  <si>
    <t xml:space="preserve"> Republic of the Philippines Province of  Agusan del Sur MUNICIPALITY OF PROSPERIDAD BIDS AND AWARDS COMMITTEE INVITATION TO BID NO. 2020-049 The Municipal Government of PROSPERIDAD, Province of Agusan del Sur, through its Bids and Awards Committee (BAC) i</t>
  </si>
  <si>
    <t xml:space="preserve"> Construction of a new Barangay Health Station (BHS) at Brgy. Pantao</t>
  </si>
  <si>
    <t xml:space="preserve"> Republic of the Philippines Province of  Agusan del Sur MUNICIPALITY OF PROSPERIDAD BIDS AND AWARDS COMMITTEE INVITATION TO BID NO. 2020-053 The Municipal Government of PROSPERIDAD, Province of Agusan del Sur, through its Bids and Awards Committee (BAC) i</t>
  </si>
  <si>
    <t xml:space="preserve"> School Head: Roselle Lulu Contact Number: 09338184187</t>
  </si>
  <si>
    <t xml:space="preserve"> Espesipikasyon	ABC Size: 7 in x 10 in No. of pages: 138 (excluding cover) Color: Cover-Full color front and back (4/0) Inside-Black (1/1) Stock: Inside-Book paper 70# Cover-Foldcote 15# Process: Offset printing Binding: Smythe Perfect Binding Extent: Came</t>
  </si>
  <si>
    <t xml:space="preserve"> Location: Legazpi City, Albay Scope of Work: Asphalt overlay of 1.799 km Road with  Reflectorized Thermoplastic Pavement Markings including Reblocking of PCCP on Intermittent Section</t>
  </si>
  <si>
    <t xml:space="preserve"> CONCRETING OF BRGY ROAD (PHASE III) LOCATED AT BRGY. STA MONICA, AGOO, LA UNION</t>
  </si>
  <si>
    <t xml:space="preserve"> 500 pcs, Syringe 50cc, barrel size 50cc, disposable, sterile, luer-lock</t>
  </si>
  <si>
    <t xml:space="preserve"> EL NIDO NATIONAL HIGH SCHOOL SCHOOL SUPPLIES- THIRD QUARTER, SY 2020-2021</t>
  </si>
  <si>
    <t xml:space="preserve"> Contract ID:	20DL0239 Contract Name:	LOCAL PROGRAM, CONST. / REPAIR / REHAB. / IMPROVEMENT OF VARIOUS INFRASTRUCTURE INCLUDING LOCAL PROJECTS, NATIONAL ROADS AND BRIDGES, NATIONAL ROADS 3. CONSTRUCTION OF SLOPE PROTECTION ALONG OLD ZIGZAG ROAD, K0156+650 </t>
  </si>
  <si>
    <t xml:space="preserve"> "Labor and Materials for the Proposed Potable Water System for CSC FO-Abra including the following works: 1. Steel Works 2. Painting Works 3. Tile Works 4. Plumbing Works 5. Electrical Works (See attached Program of Work)"</t>
  </si>
  <si>
    <t xml:space="preserve"> Please see attached for details or you may visit the DND website at: https://www.dnd.gov.ph/transparency/procurement/dnd-properbids-and-awards-committee.html</t>
  </si>
  <si>
    <t xml:space="preserve"> 1 LOT –  Supply of labor, tools and materials for the Operation and Basic Maintenance Servicing (OBMS) of the Electro-Mechanical System of BSP Tacloban Branch as per BSP Terms of Reference for the period 15 October 2020 – 31 December 2020                 </t>
  </si>
  <si>
    <t xml:space="preserve"> BIDDING DATE AND TIME: AUGUST 28, 2020 1:00 P.M.</t>
  </si>
  <si>
    <t xml:space="preserve"> 2 shuttle vehicles for 15 employees, at least 3 times a week, August-December 2020:      Shuttle A, Eastbound (Cainta-Marikina-Manila)           PHP1,428.57 x 14 days x 5 months = PHP100,000.00      Shuttle B, Northbound (QC-Caloocan-Navotas-Manila)      </t>
  </si>
  <si>
    <t xml:space="preserve"> INVITATION TO BID Sealed proposal in ink typewritten one (1) copy will be received from bonafide suppliers on August 28, 2020 at 3:00 P.M. at the Barangay Hall, Barangay Pinili, San Jose City, Nueva Ecija on which date, time and place the bid will publicl</t>
  </si>
  <si>
    <t xml:space="preserve"> Construction of Namuyukan Footbridge Phase II San Jose, Gonzaga, Cagayan Scope of Works : 1. Earthworks - 509.02cu.m. 2. Concrete Works - 72.75cu.m. 3. Steel Works - 1LS</t>
  </si>
  <si>
    <t xml:space="preserve"> Construction of a new Barangay Health Station (BHS) at Brgy. Supa</t>
  </si>
  <si>
    <t xml:space="preserve"> INVITATION TO BID FOR THE PURCHASE OF BIOMETRIC SCANNER AND CCTV SURVEILLANCE SYSTEM FOR MFCES, MFNHS AND SAN MIGUEL ELEMENTARY SCHOOL 1.	The Local Government Unit of Manolo Fortich, through the Special Education Fund  intends to apply the sum of Two Hund</t>
  </si>
  <si>
    <t xml:space="preserve"> Republic of the Philippines Province of Pampanga Municipality of Lubao INVITATION TO BID FOR CONCRETING OF BARANGAY ROAD AT SAN JOSE APUNAN                                             PBD INFRA – 2020 - 062  The Municipality of Lubao (MOL), through its Bi</t>
  </si>
  <si>
    <t xml:space="preserve"> 1 LOT –  Supply of labor, tools and materials for the Operation and Basic Maintenance Servicing (OBMS) of the Electro-Mechanical System of BSP Roxas Branch as per BSP Terms of Reference             nothing follows</t>
  </si>
  <si>
    <t xml:space="preserve"> PURCHASE OF THE FOLLOWING SERVICES: 10 UNITS CELLULAR PHONE ANDROID. FOR MORE DETAILS VISIT THE BARANGAY.</t>
  </si>
  <si>
    <t xml:space="preserve"> REMOVAL OF STRUCTURES AND OBSTRUCTIONS STRUCTURE EXCAVATION FOUNDATION FILL REINFORCING STEEL STRUCTURAL CONCRETE, CLASS"A" PIPE CULVERT, 575mm dia. RCCP STONE MASONRY WARNING AND HAZARD SIGNS CONSTRUCTION SAFETY AND HEALTH BILLBOARD</t>
  </si>
  <si>
    <t xml:space="preserve"> REMOVAL OF STRUCTURES AND OBSTRUCTIONS SURPLUS COMMON EXCAVATION FOUNDATION FILL REINFORCING STEEL STRUCTURAL CONCRETE, CLASS"A" STONE MASONRY WARNING AND HAZARD SIGNS CONSTRUCTION SAFETY AND HEALTH BILLBOARD</t>
  </si>
  <si>
    <t xml:space="preserve"> REMOVAL OF STRUCTURES AND OBSTRUCTIONS STRUCTURE EXCAVATION FOUNDATION FILL REINFORCING STEEL STRUCTURAL CONCRETE, CLASS"A" STONE MASONRY WARNING AND HAZARD SIGNS CONSTRUCTION SAFETY AND HEALTH BILLBOARD</t>
  </si>
  <si>
    <t xml:space="preserve"> REMOVAL OF STRUCTURES AND OBSTRUCTIONS EXCAVATION FOUNDATION FILL REINFORCING STEEL STRUCTURE CONCRETE, CLASS "A" PIPE CULVERT, 610mm dia. RCCP STONE MASONRY WARNING AND HAZARD SIGNS CONSTRUCTION SAFETY AND HEALTH BILLBOARD</t>
  </si>
  <si>
    <t xml:space="preserve"> REMOVAL OF STRUCTURES AND OBSTRUCTIONS SURPLUS COMMON EXCAVATION FOUNDATION FILL REINFORCING STEEL STRUCTURAL CONCRETE, CLASS"A" PIPE CULVERTS, 610mm dia. RCCP STONE MASONRY DESILTING WARNING AND HAZARD SIGNS INCLUDING BOLLARDS HEALTH AND SAFETY BILLBOARD</t>
  </si>
  <si>
    <t xml:space="preserve"> PROCUREMENT OF E-BOOKS FOR THE COLLEGE OF ARCHITECTURE, ENGINEERING AND TECHNOLOGY, COLLEGE OF ARTS, SCIENCES AND TECHNOLOGY AND COLLEGE OF AGRICULTURE  1.	The OCCIDENTAL MINDORO STATE COLLEGE (OMSC), through the Special Trust Fund intends to apply the su</t>
  </si>
  <si>
    <t xml:space="preserve"> REMOVAL OF STRUCTURES AND OBSTRUCTIONS STRUCTURE EXCAVATION FOUNDATION FILL REINFORCING STEEL STRUCTURE CONCRETE, CLASS "A" PIPE CULVERT, 24 INCH DIA. , RCCP STONE MASONRY WARNING AND HAZARD SIGNS CONSTRUCTION HEALTH AND SAFETY BILLBOARD</t>
  </si>
  <si>
    <t xml:space="preserve"> BPS-150 Ink black BPS-150 Master Roll Stencil</t>
  </si>
  <si>
    <t xml:space="preserve"> Republic of the Philippines  City of Canlaon Barangay Panubigan Office of the Barangay  INVITATION TO BID FOR the PROCUREMENT OF ONE UNIT OF GARBAGE TRUCK. The Local Government of Barangay Panubigan, Canlaon City, through Barangay Appropriation Ordinance </t>
  </si>
  <si>
    <t xml:space="preserve"> MODULE REPRODUCTION OF GRADE 2 and grade 3 PUPILS S.Y 2020-2021 A4 IN SIZE</t>
  </si>
  <si>
    <t xml:space="preserve"> Please see attached copy of Request for Quotation</t>
  </si>
  <si>
    <t xml:space="preserve"> REMOVAL OF STRUCTURES AND OBSTRUCTIONS EXCAVATION FOUNDATION FILL REINFORCING STEEL STRUCTURAL CONCRETE, CLASS"A" PIPE CULVERT, 610mm dia. RCCP STONE MASONRY WARNING AND HAZARD SIGNS CONSTRUCTION SAFETY AND HEALTH BILLBOARD</t>
  </si>
  <si>
    <t xml:space="preserve"> REMOVAL STRUCTURES AND OBSTRUCTIONS SURPLUS COMMON EXCAVATION FOUNDATION FILL REINFORCING STEEL STRUCTURAL CONCRETE, CLASS "A" PIPE CULVERTS, 610mm dia. RCCP STONE MASONRY WARNING AND HAZARD SIGNS INCLUDING BOLLARDS HEALTH AND SAFETY BILLBOARD (3'X6' Tarp</t>
  </si>
  <si>
    <t xml:space="preserve"> 1200 c0pies of Modules per Year level  Grade 7: 1200 modules per subject areas Grade 8: 1200 modules per subject areas Grade 9: 1200 modules per subject areas Grade 10: 1200 modules per subject areas Grade 11: 1200 modules per subject areas Grade 12: 1200</t>
  </si>
  <si>
    <t xml:space="preserve"> Contract ID No.: 20K00365 Contract Name: Concreting of Brgy. Pulacan to National Highway to Brgy. Perfecto Magdadaro FMR, Brgy. Pulacan and Brgy. Perfecto Magdadaro, Wao, Lanao del Sur Contract Location: Lanao del Sur Scope of Work: Road Concreting Source</t>
  </si>
  <si>
    <t xml:space="preserve"> The Bids and Awards Committee								 Province of Iloilo								 								      In connection with your Invitation to Bid No. PEO-20-0989 B scheduled on August 28, 2020, I/we proposed to furnish and deliver in conformity with the terms and conditions, and </t>
  </si>
  <si>
    <t xml:space="preserve"> Conctract ID No.	:	20K00363 Conctract Name	:	Construction of Brgy. Piangologan to Brgy. Balut FMR, Brgy. Piangologan and Brgy. Balut, Marogong, Lanao del Sur Conctract Location	:	Lanao del Sur Scope of Work	:	Road Concreting Source of Fund        :      G</t>
  </si>
  <si>
    <t xml:space="preserve"> Contract ID No.: 20K00361 Contract Name: Concreting of Brgy. Bobong FMR, Brgy. Bobong, Bacolod-Kalawi, Lanao del Sur Contract Location: Lanao del Sur Scope of Work: Road Concreting Source of Fund: GAA 2020 Appropriation: Php. 12,000,000.00 ABC: Php. 11,94</t>
  </si>
  <si>
    <t xml:space="preserve"> Contract ID No.: 20K00364 Contract Name: Concreting of Brgy. Pualas FMR, Brgy. Pualas, Buadipuso-Buntong, Lanao del Sur Contract Location: Lanao del Sur Scope of Work: Road Concreting Appropriation: Php. 12,500,000.00 ABC: Php. 12,437,500.00 Contract Dura</t>
  </si>
  <si>
    <t xml:space="preserve"> Contract ID No.: 20K00362 Contract Name: Concreting of Brgy. Carigongan FMR, Brgy. Carigongan, Bubong, Bacolod-Kalawi, Lanao del Sur Contract Location: Lanao del Sur Scope of Work: Road Concreting Source of Fund: GAA 2020 Appropriation: Php. 12,000,000.00</t>
  </si>
  <si>
    <t xml:space="preserve"> Description of Works to be Done Masonry/Carpentry/Roofing/Electricals.............100 ...................................................................100% Item/Description.......................................................Quantity..................</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</si>
  <si>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</si>
  <si>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In compliance to the GPPB Resolution 09-2020, the whole process of the bidding will be done online. The PCOO will use Google Meet as a medium for Video Conferences. To participate in the Pre-Bid Conference, Pre-register here: https://docs.google.com/forms</t>
  </si>
  <si>
    <t xml:space="preserve"> Reproduction of ADM Self-Learning Modules SY 2020-2021</t>
  </si>
  <si>
    <t xml:space="preserve"> Republic of the Philippines PROVINCE OF LEYTE Burauen, Leyte INVITATION TO BID   SUPPLY, DELIVERY &amp; INSTALLATION OF AIR CONDITION FOR LGU-BURAUEN, LEYTE The Municipality of Burauen, through the Bids and Awards Committee (BAC) invites contractors / supplie</t>
  </si>
  <si>
    <t xml:space="preserve"> Section I. Invitation to Bid Republic of the Philippines       Province of Camarines Norte         Municipality of Mercedes BIDS AND AWARDS COMMITTEE LGU - Mercedes, Camarines Norte 			 INVITATION TO BID  The Local Government Unit of Mercedes, through ASS</t>
  </si>
  <si>
    <t xml:space="preserve"> Procurement by Item of the ff: 1.		Drilling Machine (approx..35mm min dia. Drill capacity)	1 unit			 2.		Diesel Engine, Non-Operational, 400kw 	1 unit			 3.		Boiler Water Test Kit 	2 sets 			 4.		Lathe Machine with atleast 150mm chuck 	3 units			 5.		Gas </t>
  </si>
  <si>
    <t xml:space="preserve"> Republic of the Philippines PROVINCE OF LEYTE Burauen, Leyte INVITATION TO BID   INSTALLATION OF WINDOW GRILLS /SUN BREAKER AT BURAUEN MUNICIPAL HEALTH CENTER LGU MUNICIPAL COMPOND, BURAUEN, LEYTE The Municipality of Burauen, through the Bids and Awards C</t>
  </si>
  <si>
    <t xml:space="preserve"> Construction of a new Barangay Health Station (BHS) at Brgy. San Angel</t>
  </si>
  <si>
    <t xml:space="preserve"> 1. The Cagayan de Oro City Water District, through the COWD Approved Budget for 2020 intends to apply the sum of Five Million Five Hundred Fifty-Eight Thousand Six Hundred Pesos (Php5,558,600.00) being the Approved Budget for the Contract (ABC) to payment</t>
  </si>
  <si>
    <t xml:space="preserve"> INVITATION TO BID FOR THE SUPPLY AND DELIVERY OF VARIOUS EQUIPMENT   1.	The City of Iloilo, through the Capital Outlay intends to apply the sum of Seven Hundred Twelve Thousand Nine Hundred Thirty-Nine Pesos Ninety-Eight Centavos (P712,939.98) being the A</t>
  </si>
  <si>
    <t xml:space="preserve"> INVITATION TO BID FOR THE MAINTENANCE/INSTALLATION OF STREET LIGHTING SYSTEM (City Wide)   1.	The City of Iloilo, through the 20% Development Fund CY-2017 intends to apply the sum of Seven Hundred Nine Thousand Five Hundred Ten Pesos (P709,510.00) being t</t>
  </si>
  <si>
    <t xml:space="preserve"> Section I. Invitation to Re-Bid Republic of the Philippines Province of Romblon INVITATION TO BID FOR  Procurement of Ambulance Van for use in transferring of patients from Corcuera (Calatrava to RPH-Odiongan) and PDRRMO, Province of Romblon . August 20, </t>
  </si>
  <si>
    <t xml:space="preserve"> Section I. Invitation to Re-Bid Republic of the Philippines Province of Romblon  Invitation to Bid for the  Construction of Flood Control Poblacion, Sta. Fe, Romblon August 20, 2020 1.	The Province of Romblon through the ADP CY 2020 AIP Ref. Code 3000-1-0</t>
  </si>
  <si>
    <t xml:space="preserve"> Section I. Invitation to Re-Bid Republic of the Philippines Province of Romblon  Invitation to Bid for the  Rehabilitation/Improvement/Widening of Agnaga-Talisay Provincial Road Romblon, Romblon August 20, 2020 1.	The Province of Romblon through the CY 20</t>
  </si>
  <si>
    <t xml:space="preserve"> Republic of the Philippines BIDS AND AWARDS COMMITTEE Province of Iloilo Invitation to Bid PURCHASE OF ANIMAL/ZOOLOGICAL SUPPLIES Bid No. VET-20-0888-B 1. The Iloilo Provincial Government, through the GENERAL FUND intends to apply the sum of FOUR MILLION </t>
  </si>
  <si>
    <t xml:space="preserve"> 2020 30TH PUBLIC BIDDING: PROCUREMENT OF IT SUPPLIES AND EQUIPMENT</t>
  </si>
  <si>
    <t xml:space="preserve"> Republic of the Philippines PROVINCE OF LEYTE Burauen, Leyte INVITATION TO BID   REPAIR &amp; IMPROVEMENT OF MUNICIPAL BUILDING LGU-BURAUEN, LEYTE The Municipality of Burauen, through the Bids and Awards Committee (BAC) invites contractors / supplier to bid f</t>
  </si>
  <si>
    <t xml:space="preserve"> Republic of the Philippines PROVINCE OF LEYTE Burauen, Leyte INVITATION TO BID   ELECTRICAL SYSTEM INSTALLATION AT BURAUEN SPORTS COMPLEX BURAUEN, LEYTE The Municipality of Burauen, through the Bids and Awards Committee (BAC) invites contractors / supplie</t>
  </si>
  <si>
    <t xml:space="preserve"> INVITATION TO BID FOR THE SUPPLY AND DELIVERY OF MEDICAL SUPPLY   1.	The City of Iloilo, through the LDRRMF 2020 intends to apply the sum of Two Million One Hundred Ninety-Three Thousand Seven Hundred Fifty-One Pesos (P2,193,751.00) being the Approved Bud</t>
  </si>
  <si>
    <t xml:space="preserve"> Republic of the Philippines PROVINCE OF LEYTE Burauen, Leyte INVITATION TO BID   PURCHASE OF MULTI-JET WATER METER FOR BURAUEN WATER WORKS SYSTEM The Municipality of Burauen, through the Bids and Awards Committee (BAC) invites contractors / supplier to bi</t>
  </si>
  <si>
    <t xml:space="preserve"> Republic of the Philippines PROVINCE OF LEYTE Burauen, Leyte INVITATION TO BID   PROCUREMENT OF BOOKS FOR BURAUEN COMMUNITY COLLEGE The Municipality of Burauen, through the Bids and Awards Committee (BAC) invites contractors / supplier to bid for the proj</t>
  </si>
  <si>
    <t xml:space="preserve"> INVITATION TO BID CONSTRUCTION OF NAVO RESCUE CENTER AT C-3 ROAD CORNER DALAGANG BUKID, NBBS DAGAT-DAGATAN, NAVOTAS CITY The City Government of Navotas, through its Bids and Awards Committee, will hold a Public Bidding for the CONSTRUCTION OF NAVO RESCUE </t>
  </si>
  <si>
    <t xml:space="preserve"> 1.	The Provincial Government of Ilocos Norte, through the General Fund  intends to apply the sum of Three Million Eight Hundred Sixty Two Thousand Sixty Three Pesos and Thirty Eight Centavos   (Php  3,862,063.38                ) being the Approved Budget </t>
  </si>
  <si>
    <t xml:space="preserve"> Rehabilitation of Brgy Multi-Purpose Hall</t>
  </si>
  <si>
    <t xml:space="preserve"> Section I. Invitation to Re-Bid Republic of the Philippines Province of Romblon INVITATION TO BID FOR  Procurement of 1unit Passenger Van Body Vehicle for use of Provincial Social Welfare and Development Office, Province of Romblon. August 20, 2020 1.	The</t>
  </si>
  <si>
    <t xml:space="preserve"> INVITATION TO BID FOR THE PURCHASE OF SERVER FOR IT DIVISION OFFICE USE (2ND BID OPENING) 1.	The Local Government Unit of Manolo Fortich, through the Economic Enterprise Fund  intends to apply the sum of Three Hundred Ninety Three Thousand Three Hundred S</t>
  </si>
  <si>
    <t xml:space="preserve"> INVITATION TO BID FOR THE SUPPLY OF GASOLINE FUEL   1.	The City of Iloilo, through the Peace and Order Program CY 2020 intends to apply the sum of Three Hundred Nineteen Thousand Nine Hundred Eighty-One Pesos Ninety-Two Centavos (P319,981.92) being the Ap</t>
  </si>
  <si>
    <t xml:space="preserve"> Complete Construction of (9.50 x 37.0m) Two (2) Sty Six (6) CL SB mostly  built with concrete and masonry with PWD ramp with handrails, parapet wall on concrete gutter and complete with  electrical works and sanitary/plumbing works, ventilation and fire p</t>
  </si>
  <si>
    <t xml:space="preserve"> Section I. Invitation to Re-Bid Republic of the Philippines Province of Romblon  Invitation to Bid for the  Construction of Pathological Pit, Malipayon District Hospital, Corcuera, Romblon August 20, 2020  1.	The Province of Romblon through the ADP CY 202</t>
  </si>
  <si>
    <t xml:space="preserve"> ITEM	QTY.	UNIT	PARTICULARS 801	1.00	lot	REMOVAL OF STRUCTURES &amp; OBSTRUCTION 1003	1.00	lot	CARPENTRY WORKS 1005	2.00	sets	STEEL CASEMENT WINDOWS 1032	148.46	m2	PAINTING WORKS 1100	1.00	lot	ELECTRICAL WORKS SPL-1	2.00	sets	PROJECT BILLBOARD SPL-2	1.00	lot	C</t>
  </si>
  <si>
    <t xml:space="preserve"> Small Value Procurement . . . Note: The winning bidder will provide the following: • Material Safety  Data Sheet • Reagents must be included in the recent list of FDA        approved test kits. • The offered machine must be equipped with      chemilumines</t>
  </si>
  <si>
    <t xml:space="preserve"> INVITATION TO BID The Barangay Government of Villa Reyes, San Narciso, Quezon through its Bids and Award Committee (BAC), invites registered suppliers with DTI, Mayor’s Permit and PhilGEPS registered, if found eligible, to bid for the hereunder contract: </t>
  </si>
  <si>
    <t xml:space="preserve"> ITEM	QTY.	UNIT	PARTICULARS 803	9.66	cu.m.	Structure Excavation 900	5.92	cu.m.	Plain and Reinforced Concrete 1046	33.60	sq.m.	Masonry Works SPL1	1.00	lot	Welded Structural Steel 1013	47.41	sq.m.	Roofing Work 1100	1.00	lot	Electrical Works 1010	1.00	set	Woo</t>
  </si>
  <si>
    <t xml:space="preserve"> Republic of the Philippines PROVINCE OF LEYTE Burauen, Leyte INVITATION TO BID   PROCUREMENT OF 10 WHEELER FIRE TANKER TRUCK FOR MDRRMO BURAUEN, LEYTE The Municipality of Burauen, through the Bids and Awards Committee (BAC) invites contractors / supplier </t>
  </si>
  <si>
    <t xml:space="preserve"> Section I. Invitation to Re-Bid Republic of the Philippines Province of Romblon  Invitation to Bid for the  Concrete Paving of Bachawan-Poblacion Road, Concepcion, Romblon August 20, 2020 1.	The Province of Romblon through the ADP CY 2020 AIP Ref. Code 80</t>
  </si>
  <si>
    <t xml:space="preserve"> 1.	The Provincial Government of Ilocos Norte, through the General Fund  intends to apply the sum of Forty Eight Million One Hundred Fifty Five Thousand  Five Hundred Fifty Five Pesos and Fifty Two Centavos   (Php 48,155,555.52                ) being the A</t>
  </si>
  <si>
    <t xml:space="preserve"> Section I. Invitation to Re-Bid Republic of the Philippines Province of Romblon  Invitation to Bid for the  Completion of Cajidiocan Sports Complex Concrete Bleacher Cajidiocan, Romblon August 20, 2020 1.	The Province of Romblon through the CY 2019 ADP RE</t>
  </si>
  <si>
    <t xml:space="preserve"> Republic of the Philippines PROVINCE OF LEYTE Burauen, Leyte INVITATION TO BID   PROCUREMENT OF 6 WHEELER FIRE TRUCK FOR MDRRMO BURAUEN, LEYTE The Municipality of Burauen, through the Bids and Awards Committee (BAC) invites contractors / supplier to bid f</t>
  </si>
  <si>
    <t xml:space="preserve"> Item No.	Quantity	Unit	          Item Description	 1	              1	set	        Water Meter Testing Analyzer	                                                                                   •	Accurate to 1.5%                                         •	L</t>
  </si>
  <si>
    <t xml:space="preserve"> Description 1. Name of Project: Purchase of one (1) unit Emergency Response Vehicle (pick-up type) Location: Bugasong, Antique Brief Description: Purchase of one (1) unit Emergency Response Vehicle (pick-up type) with the following specificationand featur</t>
  </si>
  <si>
    <t xml:space="preserve"> Please download Bidding Documents IB 2020 – 065 Procurement of 300 bottles of D-Tetramethrin 4%, Cyphenothrin 12%, 1L/Bottle Bidding Document fee: 5,000.00 The pre - bid conference is open to interested bidders. You may be qualified to submit your bidding</t>
  </si>
  <si>
    <t xml:space="preserve"> Please download Bidding Documents IB 2020 – 063 Procurement of 1,500 sachet of Deltamethrin 25% (Water Dispersible Granules) WG, 20 grams per sachets WHOPES Recommended Bidding Document fee: 5,000.00 The pre - bid conference is open to interested bidders.</t>
  </si>
  <si>
    <t xml:space="preserve"> Please download Bidding Documents IB 2020 – 062 Procurement of 575 bottles of 1.42 g/L + Permethrin 102.7 g/L + Piperonyl Butoxide 98.4 g/L, Emulsion Oil in Water (EW), WHOPES Recommended Bidding Document fee: 5,000.00 The pre - bid conference is open to </t>
  </si>
  <si>
    <t xml:space="preserve"> Republic of the Philippines Province of Camarines Sur Barangay of San Vicente, Pamplona INVITATION OF BID FOR PURCHASE OF HARDWARE MATERIALS  AT  ZONE 2, SAN VICENTE, PAMPLONA, CAMARINES  SUR   1.	The Barangay San Vicente, Pamplona, Camarines Sur through </t>
  </si>
  <si>
    <t xml:space="preserve"> QTY	UNIT	ITEM DESCRIPTION 		 		Advertising 		Publication of Enacted and Approved Ordinances  5.00 	pages	AN ORDINANCE FOR AN EFFICIENT AND EFFECTIVE IMPLEMENTATION OF THE MNCHN STRATEGY IN THE MUNICIPALITY OF SAN JOSE, BATANGAS, REGION IV 		  3.00 	pages	</t>
  </si>
  <si>
    <t xml:space="preserve"> 1.	The Provincial Government of Ilocos Norte, through the General Fund  intends to apply the sum of Twenty Four Million One Hundred Seventy One Thousand Nine Hundred Thirty Pesos and Forty Two Centavos    (Php  24,171,930.42                    ) being the</t>
  </si>
  <si>
    <t xml:space="preserve"> Republic of the Philippines Province of Batangas Municipality of Lemery  INVITATION TO BID FOR THE Rebidding for the Purchase of disaster equipment (cutter and spreader portable) 1.	The MUNICIPALITY OF LEMERY, through the Annual Budget CY 2020-70% of 5% C</t>
  </si>
  <si>
    <t xml:space="preserve"> Please download Bidding Documents IB 2020 – 068 Procurement of 10,000 tests of Dengue NS1 AG + IgG/IgM Rapid Diagnostic Test Bidding Document fee: 10,000.00 The pre - bid conference is open to interested bidders. You may be qualified to submit your biddin</t>
  </si>
  <si>
    <t xml:space="preserve"> Please download Bidding Documents IB 2020 – 067 Procurement of 1,056 kit Syphilis Rapid Test Kits (30test/kit) Bidding Document fee: 5,000.00 The pre - bid conference is open to interested bidders. You may be qualified to submit your bidding documents dur</t>
  </si>
  <si>
    <t xml:space="preserve"> Please download Bidding Documents IB 2020 – 061 Procurement of 1,200 kits of Birthing Kit Bidding Document fee: 5,000.00 The pre - bid conference is open to interested bidders. You may be qualified to submit your bidding documents during the public biddin</t>
  </si>
  <si>
    <t xml:space="preserve"> Please download Bidding Documents IB 2020 – 069 Procurement of 376 kit Staining Kits  Bidding Document fee: 5,000.00 The pre - bid conference is open to interested bidders. You may be qualified to submit your bidding documents during the public bidding da</t>
  </si>
  <si>
    <t xml:space="preserve"> Please download Bidding Documents IB 2020 – 060 Procurement of 3,275 kits of Hygiene Kit Bidding Document fee: 5,000.00 The pre - bid conference is open to interested bidders. You may be qualified to submit your bidding documents during the public bidding</t>
  </si>
  <si>
    <t xml:space="preserve"> Invitation to Bid  For the  Construction/Rehabilitation/Repair/Widening of Roads at Brgy. Bito-on, Jaro, Iloilo City 1.	The City of Iloilo, through the 20% Development Fund, CY2020 intends to apply the sum of Five Million Four Hundred Thousand Pesos (Php </t>
  </si>
  <si>
    <t xml:space="preserve"> Please download Bidding Documents IB 2020 – 064 Procurement of 537 bottles of Permethrin 173.1 g/L + S-Bioallethrin 7.2 g/l + Piperonyl Butoxide (PBO) 155.9 g/L, Emulsifiable Concentrate, 1 ltter/bottle Bidding Document fee: 5,000.00 The pre - bid confere</t>
  </si>
  <si>
    <t xml:space="preserve"> CP C02-2020 Construction of Perimeter Fence, Guardhouse and Gate, Electrical Post and Installation and Land Development for Southern Tagalog Regional Hospital Approved Budget of the Contract - Php21,452,600.00 Calendar Days -240 CD	 BAC Activities Schedul</t>
  </si>
  <si>
    <t xml:space="preserve"> 1.	The Local Government Unit of Siay, through the General Appropriation Act (National Fund – DOST) intends to apply the sum of One Million Two Hundred Eighty Thousand Pesos (PhP 1,280,,000.00) being the Approved Budget for the Contract (ABC) to payments u</t>
  </si>
  <si>
    <t xml:space="preserve"> Please download Bidding Documents IB 2020 – 071 Procurement of 700 box Standard F HBA1C (FIA) and 8 kit SDB HBA1C Control Kit Bidding Document fee: 5,000.00 The pre - bid conference is open to interested bidders. You may be qualified to submit your biddin</t>
  </si>
  <si>
    <t xml:space="preserve"> Please download Bidding Documents IB 2020 – 070 Procurement of 118 bottle Immersion Oil Bidding Document fee: 5,000.00 The pre - bid conference is open to interested bidders. You may be qualified to submit your bidding documents during the public bidding </t>
  </si>
  <si>
    <t xml:space="preserve"> Please download Bidding Documents IB 2020 – 077 Procurement of 16,836 pcs. of Progestin Subdermal Implant (PSI) Ancillary Kit Bidding Document fee: 5,000.00 The pre - bid conference is open to interested bidders. You may be qualified to submit your biddin</t>
  </si>
  <si>
    <t xml:space="preserve"> Please download Bidding Documents IB 2020 – 066 Procurement of 655 canister of Effervescent Chlorine Tablet 1.7g Bidding Document fee: 5,000.00 The pre - bid conference is open to interested bidders. You may be qualified to submit your bidding documents d</t>
  </si>
  <si>
    <t xml:space="preserve"> QTY	UNIT	ITEM DESCRIPTION 		  1.00 	e.a.	Provision of Progress Photographs  1.00 	e.a.	Project Billboard/Signboard  1.50 	mos.	Occupational Safety and Health Program  1.00 	l.s.	Mobilization/Demobilization  61.00 	cu.m.	Roadway Excavation (Unsuitable)  15</t>
  </si>
  <si>
    <t xml:space="preserve"> QTY	UNIT	ITEM DESCRIPTION 		  1.00 	unit/s	 DESKTOP COMPUTER 		Technical Specifications: 		Processor : 3M Cache, 3.90 GHz 		Memory : 4GB DDR4 2400 MHz UDIMM 		Storage : 1TB 3.5-inch 7200 RPM 		Graphics :  GT 720 with 2 GB of DDR3 (supporting: DVI, HDMI) 	</t>
  </si>
  <si>
    <t xml:space="preserve"> QTY	UNIT	ITEM DESCRIPTION 		  1.00 	e.a.	Provision of Progress Photographs  1.00 	e.a.	Project Billboard/Signboard  1.00 	mos.	Occupational Safety and Health Program  1.00 	l.s.	Mobilization/Demobilization  202.00 	cu.m.	Surplus Common Excavation  504.00 </t>
  </si>
  <si>
    <t xml:space="preserve"> Invitation to Bid  For the  Vehicle/Pedestrian Facilities at Iloilo City National High School, Molo, Iloilo City 1.	The City of Iloilo, through the SEF Capital Outlay CY2020 intends to apply the sum of Ten Million Pesos (Php 10,000,000.00) being the Appro</t>
  </si>
  <si>
    <t xml:space="preserve"> CP C01-2020 Design and Build for the Construction of 4-Storey  Hospital Building for Southern Tagalog Regional Hospital, Bacoor City, Cavite Approved Budget of the Contract - Php127,382,400.00 Calendar Days -360 CD	 BAC Activities Schedule  1. Advertiseme</t>
  </si>
  <si>
    <t xml:space="preserve"> Please download Bidding Documents IB 2020 – 078 Procurement of 2,707 pcs. Etonogestrel Subdermal Implant Bidding Document fee: 5,000.00 The pre - bid conference is open to interested bidders. You may be qualified to submit your bidding documents during th</t>
  </si>
  <si>
    <t xml:space="preserve"> Republic of the Philippines DEPARTMENT OF PUBLIC WORKS AND HIGHWAYS SARANGANI  DISTRICT ENGINEERING OFFICE REGIONAL OFFICE XII Alabel, Sarangani Province   INVITATION TO BID  for The DPWH-Sarangani District Engineering Office, Alabel Sarangani Province, t</t>
  </si>
  <si>
    <t xml:space="preserve"> Please download Bidding Documents IB 2020 – 075 Procurement of Various Emergency Drugs and Medicines (Lot Bidding) Bidding Document fee: 5,000.00 The pre - bid conference is open to interested bidders. You may be qualified to submit your bidding documents</t>
  </si>
  <si>
    <t xml:space="preserve"> QTY	UNIT	ITEM DESCRIPTION 		  1.00 	e.a.	Provision of Progress Photographs  1.00 	e.a.	Project Billboard/Signboard  1.50 	mos.	Occupational Safety and Health Program  1.00 	l.s.	Mobilization/Demobilization  97.00 	cu.m.	Roadway Excavation (Unsuitable)  24</t>
  </si>
  <si>
    <t xml:space="preserve"> Please download Bidding Documents IB 2020 – 074 Procurement of 9,004 box of Doxycycline (as Hyclate) 100mg capsule Bidding Document fee: 5,000.00 The pre - bid conference is open to interested bidders. You may be qualified to submit your bidding documents</t>
  </si>
  <si>
    <t xml:space="preserve"> Bicol Medical Center Concepcion Pequeña, Naga City, 4400 (0998-247-0239/0906-256-9238          E-mail Address: bmc.bacoffice@gmail.com INIVITATION TO BID PROCUREMENT OF MOBILE C-ARM WITH SPINAL TABLE AND FRACTURE TABLE (1 LOT) ITB No. 2020-33 1.	The BICOL</t>
  </si>
  <si>
    <t xml:space="preserve"> Invitation to Bid  For the  Installation of Grills for 2 Units at K-12 Building at Iloilo City National High School, Molo, Iloilo City 1.	The City of Iloilo, through the SEF 2020 intends to apply the sum of Two Million Pesos (Php 2,000,000.00) being the A</t>
  </si>
  <si>
    <t xml:space="preserve"> Invitation to Bid  For the  Improvement of Flood Control Facilities at Taal Elementary School, Molo, Iloilo City 1.	The City of Iloilo, through the SEF Capital Outlay, CY2020 intends to apply the sum of One Million Pesos (Php 1,000,000.00) being the Appro</t>
  </si>
  <si>
    <t xml:space="preserve"> Invitation to Bid  For the  Construction/Rehabilitation/Repair/Widening of Road at Brgy. Sooc (Guatelara Socialized Housing Project), Arevalo, Iloilo City 1.	The City of Iloilo, through the 20% Development Fund, CY2020 intends to apply the sum of One Mill</t>
  </si>
  <si>
    <t xml:space="preserve"> INVITATION TO BID (700-2020) Procurement of Construction Materials for the Construction of  SLF Cell 2 – Phase 2 The LGU Surallah through the Bids and Awards Committee (BAC) is inviting suppliers to bid for the supply and delivery of GOODS/INFRASTRUCTURE/</t>
  </si>
  <si>
    <t xml:space="preserve"> INVITATION TO BID (673-2020) Procurement of Various Other Supplies &amp; Equipment’s The LGU Surallah through the Bids and Awards Committee (BAC) is inviting suppliers to bid for the supply and delivery of GOODS/INFRASTRUCTURE/SERVICES with the following deta</t>
  </si>
  <si>
    <t xml:space="preserve"> Please download Bidding Documents IB 2020 – 076 Procurement of 3,913 vial of Equine Rabies Immunoglobulin (ERIG) Bidding Document fee: 5,000.00 The pre - bid conference is open to interested bidders. You may be qualified to submit your bidding documents d</t>
  </si>
  <si>
    <t xml:space="preserve"> Invitation to Bid  For the  Construction of Two (2) Storey Eight (8) Classrooms Building at TCT-AR FIS, Brgy. Lanit, Jaro, Iloilo City 1.	The City of Iloilo, through the SEF Capital Outlay, CY2020 intends to apply the sum of Twenty Three Million Pesos (Ph</t>
  </si>
  <si>
    <t xml:space="preserve"> Please download Bidding Documents IB 2020 – 080 Supply, Delivery, Testing and Commissioning of Twenty (20) units Brand New Ambulance Bidding Document fee: 50,000.00 The pre - bid conference is open to interested bidders. You may be qualified to submit you</t>
  </si>
  <si>
    <t xml:space="preserve"> 1.	The Local Government Unit of Siay, through the Budget Approved by the Sanggunian intends to apply the sum of Seventy Seven Thousand Seven Hundred Twenty Eight Pesos and thirteen centavos ( PhP 77,728.13) being the Approved Budget for the Contract (ABC)</t>
  </si>
  <si>
    <t xml:space="preserve"> to be used by the Office of the Punong Barangay</t>
  </si>
  <si>
    <t xml:space="preserve"> Lot	Item Description	Qty/Unit	ABC 1	RH, Temp, Pressure Data Logger      Specifications: •	Barometric Pressure: 10 to 1100 hPa; 7.5 to 825.0 mmHg; 0.29 to 3248 inHg •	Resolution: 0.1 hPa, 0.1 mmHG, 0.01 inHg •	Temperature: 32 to 122 ºF (0 to 50 ºC) •	Resol</t>
  </si>
  <si>
    <t xml:space="preserve"> Invitation to Bid  For the  Improvement of Security Facilities at Donato Pison Elementary School, Mandurriao, Iloilo City 1.	The City of Iloilo, through the SEF Capital Outlay CY2020 intends to apply the sum of Two Million Five Hundred Thousand Pesos (Php</t>
  </si>
  <si>
    <t xml:space="preserve"> QTY	UNIT	ITEM DESCRIPTION 		  1.00 	e.a.	Provision of Progress Photographs  1.00 	e.a.	Project Billboard/Signboard  1.50 	mos.	Occupational Safety and Health Program  1.00 	l.s.	Mobilization/Demobilization  79.00 	cu.m.	Roadway Excavation (Unsuitable)  19</t>
  </si>
  <si>
    <t xml:space="preserve"> 1.	The Local Government Unit of Siay, through the Budget Approved by the Sanggunian intends to apply the sum of One Hundred Fifty Nine Thousand Five Hundred Eighteen Pesos and Seventy Five Centavos (PhP 159,518.75) being the Approved Budget for the Contra</t>
  </si>
  <si>
    <t xml:space="preserve"> Invitation to Bid  For the  Construction/Rehabilitation of Seawall at Brgy. Hinactacan, Lapaz, Iloilo City 1.	The City of Iloilo, through the 20% Development Fund, CY2019 intends to apply the sum of One Million Pesos (Php 1,000,000.00) being the Approved </t>
  </si>
  <si>
    <t xml:space="preserve"> Republic of the Philippines						CHO		 		Government of Ormoc City						P.R. No.:  	202238	 		BIDS AND AWARDS COMMITTEE						Quotation No.: 	204879-6360	 		Ormoc City						PhilGEPs No.: 		 										 Standard Form Title:			REQUEST FOR QUOTATION							 				</t>
  </si>
  <si>
    <t xml:space="preserve"> Invitation to Bid  For the  Construction/Rehabilitation/Improvement of Early Childhood Care and Development Center (ECCD) at Brgy. Sta. Felomina, Arevalo, Iloilo City 1.	The City of Iloilo, through the SEF 2019, SB No. 2 intends to apply the sum of Nine M</t>
  </si>
  <si>
    <t xml:space="preserve"> Section I. Invitation to Re-Bid Republic of the Philippines Province of Romblon  Invitation to Bid for the  Construction of Maternity Half-Way House, Malipayon District Hospital, Poblacion, Corcuera, Romblon August 20, 2020 1.	The Province of Romblon thro</t>
  </si>
  <si>
    <t xml:space="preserve"> 1.	The Local Government Unit of Siay, through the Budget Approved by the Sanggunian intends to apply the sum of Three Hundred Ninety Nine Thousand One Hundred Pesos (PhP 399,100.00) being the Approved Budget for the Contract (ABC) to payments under the co</t>
  </si>
  <si>
    <t xml:space="preserve"> Republic of the Philippines						GSD		 		Government of Ormoc City						P.R. No.:  	202296	 		BIDS AND AWARDS COMMITTEE						Quotation No.: 	204871-6356	 		Ormoc City						PhilGEPs No.: 		 										 Standard Form Title:			REQUEST FOR QUOTATION							 				</t>
  </si>
  <si>
    <t xml:space="preserve"> Please see attached documents.</t>
  </si>
  <si>
    <t xml:space="preserve"> Republic of the Philippines						CAO		 		Government of Ormoc City						P.R. No.:  	202247	 		BIDS AND AWARDS COMMITTEE						Quotation No.: 	204865-6353	 		Ormoc City						PhilGEPs No.: 		 										 Standard Form Title:			REQUEST FOR QUOTATION							 				</t>
  </si>
  <si>
    <t xml:space="preserve"> Republic of the Philippines						SP		 		Government of Ormoc City						P.R. No.:  	202315	 		BIDS AND AWARDS COMMITTEE						Quotation No.: 	204875-6358	 		Ormoc City						PhilGEPs No.: 		 										 Standard Form Title:			REQUEST FOR QUOTATION							 					</t>
  </si>
  <si>
    <t xml:space="preserve"> Republic of the Philippines Province of Quezon MUNICIPALITY OF UNISAN INVITATION TO BID FOR SUPPLY AND DELIVERY OF GENERATOR SET LGU – UNISAN, QUEZON 1.	The LOCAL GOVERNMENT OF UNISAN, QUEZON, through the MUNICIPAL DISASTER RISK REDUCTION AND MANAGEMENT F</t>
  </si>
  <si>
    <t xml:space="preserve"> Republic of the Philippines Province of Aklan Municipality of Kalibo INVITATION TO BID for the REPAIR OF DRAINAGE SYSTEM The Municipality of Kalibo, through the General Fund – 2020, intends to apply the sum of Two Hundred Forty Four Thousand Two Hundred N</t>
  </si>
  <si>
    <t xml:space="preserve"> Interested suppliers must submit the following documents, to wit: *MAYORS PERMIT *DTI REGISTRATION *COMPANY PROFILE *PHILGEPS REGISTRATION/MEMBERSHIP *SEC REGISTRATION Suppliers must have LOCAL SERVICE CENTER in REGION 10 for AFTER SALES SERVICES. Supplie</t>
  </si>
  <si>
    <t xml:space="preserve"> Republic of the Philippines						ORMOC		 		Government of Ormoc City						P.R. No.:  	202286	 		BIDS AND AWARDS COMMITTEE						Quotation No.: 	204877-6359	 		Ormoc City						PhilGEPs No.: 		 										 Standard Form Title:			REQUEST FOR QUOTATION							 		</t>
  </si>
  <si>
    <t xml:space="preserve"> REQUEST FOR QUOTATION											 											 RFQ No.		NP/PB 20-0972				Date				August 19, 2020	 PR Reference		100-20-01-005				Implementing Office				CMO-Consolidated	 Closing Date and Time						September 10, 2020, 5:00pm					 Designated Places of Submiss</t>
  </si>
  <si>
    <t xml:space="preserve"> 5 units- Multicab Rescue Vehicle Specs: 4 Wheel Drive (4x4)  -	Rime size : 13 -	Tires: Cargador type 165x13 -	With Siren and Blinker -	Cat-Eye Type Multicab -	12- Valve Engine -	LGU Logo Sticker -	Complete Body Siding , Roofing, Seat and Step Boards. -	 -</t>
  </si>
  <si>
    <t xml:space="preserve"> Various Furnitures, Fixtures and Equipment</t>
  </si>
  <si>
    <t xml:space="preserve"> A Republic of the Philippines BIDS AND AWARDS COMMITTEE Dagupan City Invitation to Bid   for REPAIR AND MAINTENANCE-BUILDING AND OTHER STRUCTURES AT SANGGUNIANG PANLUNGSOD, DAGUPAN CITY 1.	The City Government of Dagupan, through the APPROVED 2020 ANNUAL B</t>
  </si>
  <si>
    <t xml:space="preserve"> INVITATION TO BID FOR PROCUREMENT OF SERVICE PROVIDE – VEHICLE RENTAL FOR THE USE OF GENERAL SERVICES SECTION OF DSWD FO III FOR THE MONTH OF SEPTEMBER-DECEMBER 2020   1.	The DEPARTMENT OF SOCIAL WELFARE AND DEVELOPMENT FIELD OFFICE III through its Bids a</t>
  </si>
  <si>
    <t xml:space="preserve"> 1	135 pcs- Deformed bars 10mm dia. X 6 meters 2        74 pcs- Plain bars 12 mm dia. X 6 meters 3	16 pcs.- Deformed bars 16mm x 6 meters 4	25 pcs- Deformed bars 8mm dia. X 6 meters 5	27 pcs-  wire # 16 6	5 pcs- Construction pail (pvc) 7	36 pcs- Plain bars</t>
  </si>
  <si>
    <t xml:space="preserve"> Supply and Delivery of Electrical Supplies - Lights 300	pc	LED bulb 13W daylight 250	pc	T8 LED tube 16W (1400 lumens)  100	pc	Starter</t>
  </si>
  <si>
    <t xml:space="preserve"> 2 units- Rice Planter (Brand new) Specs:SPW-68C Dimensions:   -Overall length – 2370mm   -Overall width-1930mm   -Overall height – 910mm   -Weight – 187 kg. ENGINE:  Model – MZ175-B-1  Pattern- Air cooling, four    strokes, OHV gasoline engine Rated outpu</t>
  </si>
  <si>
    <t xml:space="preserve"> VARIOUS OFFICE AND JANITORIAL SUPPLIES</t>
  </si>
  <si>
    <t xml:space="preserve"> Republic of the Philippines							 PROVINCE OF ZAMBOANGA SIBUGAY							 Municipality of Talusan							 -7012-							 							 							 MUNICIPAL BIDS AND AWARDS  COMMITTEE							 REQUEST FOR QUOTATION							 SMALL VALUE PROCUREMENT							 NOTICE TO THE PUBL</t>
  </si>
  <si>
    <t xml:space="preserve"> I.  Protective Cover-all suit II. Infrared Thermometer III.Digital Thermometer</t>
  </si>
  <si>
    <t xml:space="preserve"> 1.	The BARANGAY BUAYAHON, through the TRUST FUND (Provincial Aid), intends to apply the sum of P 75,286.00 being the Approved Budget for the Contract (ABC) to payments under the contract for CONSTRUCTION MATERIALS FOR THE IMPROVEMENT OF MULTI-PURPOSE CENT</t>
  </si>
  <si>
    <t xml:space="preserve"> Rehabilitation/ Reconstruction of Roads with Slips, Slope Collapse, and Landslide Tertiary Roads - Eastern Link Circumferential Rd. - K0248+620 - K0248+645, K0248+700 - K0248+715 Contract Location :	Eastern Link Circumferential Rd., Baguio City Approved B</t>
  </si>
  <si>
    <t xml:space="preserve"> Supply and Delivery of Office Supplies 1000 pc	Ballpen - Black 1000 pc	Ballpen - Blue 36	pc	Ballpen - rubber grip &amp; retract, 1.0 black 36	pc	Ballpen - 1.0 black (refill) 36	pck	Battery - AA, 2s 36	pck	Battery - AAA, 2s 3	pck	Battery - Rechargeable, AAA, 2</t>
  </si>
  <si>
    <t xml:space="preserve"> Invitation to Bid for the Supply and Delivery of CCTV Camera for the use of Brgy. Tulo, Batangas City</t>
  </si>
  <si>
    <t xml:space="preserve"> 55 units of solar street lights</t>
  </si>
  <si>
    <t xml:space="preserve"> PROCUREMENT OF E-JOURNALS FOR GENERAL REFERENCES 1.	The OCCIDENTAL MINDORO STATE COLLEGE (OMSC), through the General Fund intends to apply the sum of Two Hundred Forty Thousand Pesos (Php240,000.00) being the Approved Budget for the Contract (ABC) to paym</t>
  </si>
  <si>
    <t xml:space="preserve"> CONSTRUCTION OF SEAWALL AGAINST STORM SURGE (PHASE V), BARANGAY SADSARAN, MAUBAN, QUEZON. 1.	The Local Government Unit of Mauban  through the GENERAL FUND-8751/1-07-03-990(SB#2), 2020 intends to apply the sum of Ten Million Pesos  (Php  10,000,000.00 ) be</t>
  </si>
  <si>
    <t xml:space="preserve"> Republic of the Philippines Province of Agusan del Norte Municipality of Nasipit 	 Invitation to Bid for Supply and Delivery of 7 Units Photocopier use for the Reproduction of Modules 1.	The Government Unit of Nasipit, through the Special Educational Fund</t>
  </si>
  <si>
    <t xml:space="preserve"> A Republic of the Philippines BIDS AND AWARDS COMMITTEE Dagupan City Invitation to Bid   for CONSTRUCTION/INSTALLATION OF BLAST FREEZER HOUSING AT MALIMGAS MARKET GALVAN ST., DAGUPAN CITY 1.	The City Government of Dagupan, through the CITY BUDGET ORDINANC</t>
  </si>
  <si>
    <t xml:space="preserve"> 1.	The Local Government Unit of Siay, through the General Appropriation Act (National Fund - DA) intends to apply the sum of Two Million Pesos (PhP 2,000,000.00) being the Approved Budget for the Contract (ABC) to payments under the contract for the procu</t>
  </si>
  <si>
    <t xml:space="preserve"> VARIOUS OFFICE EQUIPMENT</t>
  </si>
  <si>
    <t xml:space="preserve"> Invitation to Bid  For the  Construction/Rehabilitation/Repair/Widening of Roads at Brgy. Sto. Niño Sur, Arevalo (Tatoy’s Area), Iloilo City 1.	The City of Iloilo, through the 20% Development Fund, CY2020 intends to apply the sum of Three Million Pesos (P</t>
  </si>
  <si>
    <t xml:space="preserve"> Supply of Fuel &amp; Lubricants</t>
  </si>
  <si>
    <t xml:space="preserve"> 1.	The Local Government Unit of Siay, through the Budget Approved by the Sanggunian intends to apply the sum of Three Hundred Twenty Three Thousand Nine Hundred Twelve Pesos and fifty centavos ( PhP 323,912.50) being the Approved Budget for the Contract (</t>
  </si>
  <si>
    <t xml:space="preserve"> Please download Bidding Documents IB 2020 – 073 Procurement of 11,012 sachet of 0.5% Pyriproxifen, 5 grams/sachet, granular formulation Bidding Document fee: 5,000.00 The pre - bid conference is open to interested bidders. You may be qualified to submit y</t>
  </si>
  <si>
    <t xml:space="preserve"> QTY	UNIT	ITEM DESCRIPTION 		  1.00 	l.s.	Mobilization/Demobilization   1.00 	l.s.	Excavation  280.00 	lmtr.	Construction of Line Canal</t>
  </si>
  <si>
    <t xml:space="preserve"> Drilling of One (1) Exploratory/Production Well in Sitio Bulwang,Brgy. Gabawan, Odiongan, Romblon</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</si>
  <si>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</si>
  <si>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Contract ID	20 – 0039 – S Contract Name 	Procurement of Office Supplies and Printer Supplies for use in the Conduct of Inventory, Validation and other related Activities for Road Slope Management (RSM), DPWH-Quezon IV District Engineering Office, Gumaca, </t>
  </si>
  <si>
    <t xml:space="preserve"> Supply of Materials for the Repair and Maintenance of Road</t>
  </si>
  <si>
    <t xml:space="preserve"> Contract ID	20 – 0044– S Contract Name 	Procurement of Spare Parts for use of Pick-up with Plate No. SJV 619 detailed in the Planning and Design Section, DPWH, Quezon IV District Engineering Office, Gumaca, Quezon Approved Budget for the Contract (ABC)	 P</t>
  </si>
  <si>
    <t xml:space="preserve"> Contract ID	20 – 0042 – S Contract Name 	Procurement of Technical and Scientific Equipment and Printer Supplies for use in the conduct of Pavement Management System (PMS) Calibration, Assessment and Validation Program, DPWH, Quezon IV District Engineering</t>
  </si>
  <si>
    <t xml:space="preserve"> Please download Bidding Documents IB 2020 – 072 Procurement of 3,500 kit HIV test kit (30test/kit) Bidding Document fee: 5,000.00 The pre - bid conference is open to interested bidders. You may be qualified to submit your bidding documents during the publ</t>
  </si>
  <si>
    <t xml:space="preserve"> Contract ID	20 – 0041– S Contract Name 	Procurement of Technical and Scientific Equipment, Personal Protective Equipment (PPE), Office Supplies and Printer Supplies for use in the conduct of Road Condition and Inventory Surveys, Roughness Surveys VOC/RUC </t>
  </si>
  <si>
    <t xml:space="preserve"> Republic of the Philippines						CMO		 		Government of Ormoc City						P.R. No.:  	202359	 		BIDS AND AWARDS COMMITTEE						Quotation No.: 	204849-6345	 		Ormoc City						PhilGEPs No.: 		 										 Standard Form Title:			REQUEST FOR QUOTATION							 				</t>
  </si>
  <si>
    <t xml:space="preserve"> Contract ID	20 – 0038 – S Contract Name 	Procurement of Spare Parts for use of  Dump Truck with DPWH no. H3-6665 detailed in the  Maintenance Section, DPWH-Quezon IV District Engineering Office, Gumaca Quezon. Approved Budget for the Contract (ABC)	 P    </t>
  </si>
  <si>
    <t xml:space="preserve"> Contract ID	20 – 0043– S Contract Name 	Procurement of Spare Parts for use of Pick-up with DPWH No. H1-6504 (A3F520) detailed in the Finance Section, DPWH, Quezon IV District Engineering Office, Gumaca, Quezon Approved Budget for the Contract (ABC)	 P    </t>
  </si>
  <si>
    <t xml:space="preserve"> Contract ID	20 – 0040 – S Contract Name 	Procurement of Printer Supplies, Technical and Scientific Equipment and Personal Protective Equipment (PPE) for use in the Conduct of Inventory/Condition Inspection Survey for Bridge Management System (BMS), DPWH, </t>
  </si>
  <si>
    <t xml:space="preserve"> The Roxas City Government, through the GOP-2020 intends to apply the total amount of Eight Hundred Fifty Two Thousand Four Hundred Seventy Five Pesos and 50/100 (Php  852,475.50) being the Aggregate Approved Budget for the Contract (ABC) to payments under</t>
  </si>
  <si>
    <t xml:space="preserve"> Republic of the Philippines PROVINCE OF SOUTHERN LEYTE Municipality of San Juan BIDS AND AWARD COMMITTEE INVITATION TO BID FOR  Supply and Delivery of 5 Cubic Meter  Garbage Compactor 140HP (Brand New) The Municipality of San Juan through the General Fund</t>
  </si>
  <si>
    <t xml:space="preserve"> Republic of the Philippines Province of Agusan del Norte Municipality of Nasipit Invitation to Bid for the Construction of Materials Recovery Facility (MRF), Sitio Mantallo, Brgy. Kinabjangan The Local Government Unit of Nasipit, through the DENR-EMB FUND</t>
  </si>
  <si>
    <t xml:space="preserve"> Construction of : Diversion Works : (Repair of Dam)						 	             Protection Works : D/S of Dam R/S  L= 15m, Sta. 0+000 - 0+015, 					 	                                             U/S of Dam R/S L= 15m, Sta. 0+000 - 0+015					 	             Canaliz</t>
  </si>
  <si>
    <t xml:space="preserve"> Contract ID	20 – 0046 – S Contract Name 	Procurement of Technical and Scientific Equipment, Furniture &amp; Fixtures, Printer Supplies and Personal Protective Equipment (PPE) for use in the Preparation of Right-of-Way Action Plan (RAP) and Environmental Impac</t>
  </si>
  <si>
    <t xml:space="preserve"> Purchase of Various Materials (Fittings) for connection and maintenance of Tago water system  for complete description: Available upon payment of Bidding Documents</t>
  </si>
  <si>
    <t xml:space="preserve"> INVITATION TO BID FOR PROCUREMENT OF   LIBRARY REFERENCES FOR ALL CAMPUSES 1.	The Surigao State College of Technology, through the General Appropriations Act (GAA) 2020 intends to apply the sum of Thirty Million Five Hundred Forty Three Thousand Two Hundr</t>
  </si>
  <si>
    <t xml:space="preserve"> Interested suppliers may submit quotations to the Procurement Office, Pamantasan ng Lungsod ng Maynila, Intramuros, Manila and addressed to Atty. May Angeli M. Estolas, Acting Chief, Procurement Office As requirements please submit photocopy of your PhilG</t>
  </si>
  <si>
    <t xml:space="preserve"> Contract ID	20 – 0045 – S Contract Name 	Procurement of Sanitation Facilities and Gantries, Personal Protective Equipment (PPE), Sanitation/Hygienic Kit and Equipment for use in the Prevention of COVID-19 Pandemic, DPWH-Quezon IV District Engineering Offi</t>
  </si>
  <si>
    <t xml:space="preserve"> OPENING OF BIDS IN DSWD FO IX ZAMBOANGA CITY,				 DELIVERY IN DSWD AVRC III, MAMPANG ZC				 PROCUREMENT FOR THE FF.:				 				 7	UNIT	COMPUTER PRINTER 3 IN 1                              	@	 7,500.00  5	UNIT	NETBOOK (11.6 IN DISPLAY, WINDOWS OS, 500 gb HDD</t>
  </si>
  <si>
    <t xml:space="preserve"> Labor and materials.</t>
  </si>
  <si>
    <t xml:space="preserve"> OPENING OF BIDS IN DSWD FO IX ZAMBOANGA CITY,				 DELIVERY IN DSWD AVRC III, MAMPANG ZC				 PROCUREMENT FOR THE FF.:				 				 1	PCS	PROCESSOR : LATEST ARCHITECTURE (NOT LOWER THAN 8MB)	@	 9,000.00  1	PCS	MEMORY 8 GB RAM DDR4	@	 2,500.00  3	PCS	HDD 500gb W</t>
  </si>
  <si>
    <t xml:space="preserve"> 1. 6 pcs Chair, Monoblock, Beige, with backrest w/o armrest N/F</t>
  </si>
  <si>
    <t xml:space="preserve"> Parcellary Survey for the Construction of Various Roads and Bridges.</t>
  </si>
  <si>
    <t xml:space="preserve"> PURCHASE OF DESTTOP</t>
  </si>
  <si>
    <t xml:space="preserve"> INVITATION TO BID The Municipal Government of San Narciso, Quezon through its Bids and Award Committee (BAC), invites registered suppliers with DTI, Mayor’s Permit and PhilGEPS, if found eligible, to bid or the hereunder contract: Name of Contract : 	Meal</t>
  </si>
  <si>
    <t xml:space="preserve"> Construction of Water System</t>
  </si>
  <si>
    <t xml:space="preserve"> PRINTING SERVICE FOR STUDENT'S MODULES AND OTHER RELATED SERVICES</t>
  </si>
  <si>
    <t xml:space="preserve"> 129 sacks Rice</t>
  </si>
  <si>
    <t xml:space="preserve"> PURCHASE OF MEDICINE</t>
  </si>
  <si>
    <t xml:space="preserve"> Disp. Syringe 1 cc 100's/box									20	box Disp. Syringe 3 cc 100's/box									20	box Disp. Syringe 5 cc 100's/box									20	box Digital Thermometer											20	pc ECG Paper 110mmx24										10	roll Surgical Facemask 50's										10	box Facemask N95</t>
  </si>
  <si>
    <t xml:space="preserve"> Republic of the Philippines Province of Pangasinan MUNICIPALITY OF LINGAYEN Invitation to Bid    The Local Government Unit of Lingayen, through the Calamity  Fund    intends to apply the amount  of  Six Hundred   Thousand   Pesos Only   (P600,000.00) bein</t>
  </si>
  <si>
    <t xml:space="preserve"> Request for Quotation for the Procurement of 3,000 sachets Dewormer needed for the DA SAAD Native Chicken Production Project in Bohol Province 1.	The Department of Agriculture-Regional Field Office 7 (DA-RFO 7), through the General Appropriations Act of C</t>
  </si>
  <si>
    <t xml:space="preserve"> Local Government Unit, Moalboal, Cebu	          Contract Reference No. :					 		 Name of Contract: Enhancement of Municipal Wharf Standard Form:  SF-INFRA-05			          Location of the Contract  : Moalboal, Cebu INVITATION TO BID 	The Local Government Un</t>
  </si>
  <si>
    <t xml:space="preserve"> INVITATION TO BID The Municipality of Anda, Pangasinan, through its Bids and Awards Committee, invites bidder/suppliers to submit their Bid for the hereunder contract; Name of Contract: REHABILITATION/CONCRETING OF CORE LOCAL                    ACCESS ROA</t>
  </si>
  <si>
    <t xml:space="preserve"> Tires 245/65 - R17											1	pc Brake Shoe												1	set Disc Brake													1	set Sit Cover													1	set 3SM Battery												1	pc Wind Shield Assembly with installation								1	pc</t>
  </si>
  <si>
    <t xml:space="preserve"> 1 	 1 	 set 	 FRONT AXLE ( I-BEAM) ASSY. 	 			 INCLUSIVE THE FOLLOWING 	 			 A. BRAKE DRUM ( LH &amp; RH) 	 			 B. DRAG LINK 	 			 C. TIE ROD END ( LH &amp; RH) 	 			 D. WHEEL BEARINGS 	 			 E. WHEEL BRAKE CYLINDERS 	 			 F. BRAKES LINES &amp; FITTINGS 	  2 	 1 	 set</t>
  </si>
  <si>
    <t xml:space="preserve"> August 14, 2020 INVITATION TO BID  The Department of Public Works and Highways, Mindoro Occidental District Engineering Office, Mamburao, Occidental Mindoro, through its Bids and Award Committee (BAC), invites contractors to submit bids for the following </t>
  </si>
  <si>
    <t xml:space="preserve"> 2 set bag Valve Mask (BVM) Adult, child and infant 2 set Laryngroscope 2 unit Automated defibillator device (AED) Z pads adult 1 set Stair chair strectcher 3 pcs Cervical collar (Small, Medium Large)</t>
  </si>
  <si>
    <t xml:space="preserve"> 1.	The Local Government Unit of Sta. Teresita, through the GENERAL FUND (SUPPLEMENTAL BUDGET NO. 2 CY 2020)  intends to apply the sum of FOUR HUNDRED THOUSAND &amp; 00/100 (PHP400,000.00) ONLY being the Approved Budget for the Contract (ABC) to payments under</t>
  </si>
  <si>
    <t xml:space="preserve"> Republic of the Philippines Province of Bohol MUNICIPALITY OF TUBIGON INVITATION TO BID FOR  Supply and Delivery of Various Materials for the Replacement of Riser Pipe (Waterworks)  1.	The Local Government Unit of Tubigon, Bohol, through its General Fund </t>
  </si>
  <si>
    <t xml:space="preserve"> Labor: 	  1 	 set 	 1 	 Body Repair; All affected part and portion 	  2 	 pc 	 1 	 Tensioner Bearing 	  3 	 pc 	 1 	 EGR Cleaning 	  4 	 pc 	 1 	 Change Oil 	  5 	 set 	 1 	 Cylinder Head Leaking - fix 	  6 	 pc 	 1 	 Change Transmission Fluid 	  7 	 set </t>
  </si>
  <si>
    <t xml:space="preserve"> 5 pcs Integrated Solar Street Light 60 watts 1 unit Refrigerator 8 cubic feet 15 pcs Uniform with collar 15 pcs Uniform with collar</t>
  </si>
  <si>
    <t xml:space="preserve"> Local Government Unit, Moalboal, Cebu	          Contract Reference No. :					  Name of Contract: Construction of Public Market – Phase III Standard Form:  SF-INFRA-05			          Location of the Contract  : Moalboal, Cebu INVITATION TO BID 	The Local Gove</t>
  </si>
  <si>
    <t xml:space="preserve"> Republic of the Philippines Province of Cagayan Municipality Of Ballesteros BARANGAY CENTRO WEST INVITATION TO BID FOR “Procurement of Various Materials for the Rehabilitation of  Concrete Flooring of Multi-Purpose Gym.” 1.	The Barangay Government of Cent</t>
  </si>
  <si>
    <t xml:space="preserve"> Local Government Unit, Moalboal, Cebu	          Contract Reference No. :						   Name of Contract: Concreting of Marcelo Abrenica Road Standard Form:  SF-INFRA-05			          Location of the Contract  : Moalboal, Cebu INVITATION TO BID 	The Local Governme</t>
  </si>
  <si>
    <t xml:space="preserve"> SPECS: Nylon Lanyard, (20mm x 268.5mm) printed with Department of Education, Makati City, printed with the School Name., with ID Case, (silicon plastic) 85x54mm. Lanyard USB strap string (color coded per grade level). You may send your quotation along wit</t>
  </si>
  <si>
    <t xml:space="preserve"> All items and descriptions are specified in the attached PR and RFQ, and posted in the associated component of ITB in the PhilGEPS Website.</t>
  </si>
  <si>
    <t xml:space="preserve"> Local Government Unit, Moalboal, Cebu	          Contract Reference No. :			                                                                   Name of Contract: Rehab. &amp; Improvement of Drainage   							System (Supply of Materials) Standard Form:  SF-GOODS</t>
  </si>
  <si>
    <t xml:space="preserve"> FUEL (DIESEL)													7,255	ltrs terms of reference:														 * Weekly Withdrawals</t>
  </si>
  <si>
    <t xml:space="preserve"> Request for Quotation for the Procurement of 300 bags Fish Meal needed for the DA SAAD Native Chicken Production Project in the Province of Bohol 1.	The Department of Agriculture-Regional Field Office 7 (DA-RFO 7), through the General Appropriations Act o</t>
  </si>
  <si>
    <t xml:space="preserve"> Republic of the Philippines Province of Nueva Vizcaya Municipality of Solano -o0o- INVITATION TO BID FOR Supply &amp; Delivery of One (1) Unit Water Truck   (SOLANO 102-2020) 1.	The Local Government Unit of Solano, Nueva Vizcaya through the Municipal General </t>
  </si>
  <si>
    <t xml:space="preserve"> cement 160 bags sand 20 cu.m 16mm dia RSB 30 12mm dia RSB 30 10mm dia RSB 40 Floor tile 40"x40" 550 pcs Floor tile 30"x30" 100 pcs Sliding window 120'x120' 2 pcs 100-2"x3"x10' cocolumber 600 bf Tile adhesive 10 bags CWN assorted 15 kls Concrete nail 5 kls</t>
  </si>
  <si>
    <t xml:space="preserve"> 1 UNIT PRINTER - . - INKJET PRINTER - 3 IN 1 (SCANNER, PRINTER, PHOTOCOPIER)</t>
  </si>
  <si>
    <t xml:space="preserve"> 4 TANKS STANDARD SIZE MEDICAL OXYGEN TANK (FILLED-UP), ETC.. FOR CDRRMO COVID-19 RESPONSE OPERATIONS.</t>
  </si>
  <si>
    <t xml:space="preserve"> Republic of the Philippines										 Province of Misamis Oriental										 CITY OF EL SALVADOR										 										 REQUEST FOR QUOTATION										 										 								No.	2020-08-892	 										 										 										 										 	Please quote your price </t>
  </si>
  <si>
    <t xml:space="preserve"> QTY		UNIT		DESCRIPTION Three (3) Units Waste Segregation Trash Bins 15		pcs		2" dia G.I Pipe Sch40 10		pcs		¼ "x1" Flat Bar 18		pcs		Steel Matting 10		pcs		Cutting Disk #4 12		pcs		10mm Hinges 15		kgs		Welding Rod 1		gal		Epoxy Primer 4		pcs		Brush 4" Com</t>
  </si>
  <si>
    <t xml:space="preserve"> Doe and Buck</t>
  </si>
  <si>
    <t xml:space="preserve"> Republic of the Philippines Province of Negros Occidental Municipality of Ilog Invitation to bid for sale Amount:Php500 Purchase of Medical Equipment for the use of Indigent Senior Citizens of Municipality of Ilog, Neg. Occ. Item  FS913L walking cane - QT</t>
  </si>
  <si>
    <t xml:space="preserve"> Toyota Pick-up H1-3464 / SEU-177				 	1	pc.	-	Hydraulic Jack 2 Tons 	4	pcs.	-	Tires Tubeless 185 R14C 	1	pc.	-	Tire Wrench 	1	pc.	-	3SM Battery 	1	pc.	-	Steel RIM 5 Stud R14 	2	pcs.	-	Battery Clamp 				 HAMM Tandem Roller Z18-271				 	1      pc. - 		2SMF </t>
  </si>
  <si>
    <t xml:space="preserve"> Foam 2"x36"x75" single												10	pcs Tawas (50 grams)													100	pc Liquid Stain Remover (1 gallon)											40	gallon Mosquito Spray (Repellent) 320 ml										20	pc Muriatic Acid (500 ml)												15	bottle Bath Soap (60 gms)													3	</t>
  </si>
  <si>
    <t xml:space="preserve"> Tires 245/65r17													6	pcs</t>
  </si>
  <si>
    <t xml:space="preserve"> Foam 2"x36"x75" single										6	pcs Tawas (50 grams)											100	pc Liquid Stain Remover (1 gallon)									40	gallon Mosquito Spray (Repellent) 320 ml								20	pc Muriatic Acid (500 ml)										15	bottle Bath Soap (60 gms)											3	case Laundry </t>
  </si>
  <si>
    <t xml:space="preserve"> TIRES (265/65/R17)													8	pcs</t>
  </si>
  <si>
    <t xml:space="preserve"> Gmelina seedling (height: 18 to 30 cm)										7,500	pc Teak Wood seedling (height: 18 to 30 cm)										15,000	pc Ipil seedling (height: 16 to 20 cm)											2,500	pc Narra seedling (height: 18 to 20 cm)											2,500	pc Mahogany seedling (height: </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</si>
  <si>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</si>
  <si>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PURCHASE OF ASRBIC ACID FOR KIDS</t>
  </si>
  <si>
    <t xml:space="preserve"> Republic of the Philippines Province of Negros Occidental Municipality of Ilog Invitation to bid for sale Amount:Php 500 Purchase of materials for the repair and maintenance of Municipal Circuit Trial Court (Perimeter Fence), Barangay Dancalan, Ilog, NEg.</t>
  </si>
  <si>
    <t xml:space="preserve"> Construction of generator shed</t>
  </si>
  <si>
    <t xml:space="preserve"> Basket of Token inclusion of:														  - Palawan Honey, 250 ml										80	bot  - Roasted Cashew, 2 pack ( 1/4 kg per pack)						40	kgs  - Placemat Plain (30x45 cm) native, pandan						80	pcs  - Native Bag/Basket											80	pcs  - Leis/Garland				</t>
  </si>
  <si>
    <t xml:space="preserve"> Republic of the Philippines Province of Negros Occidental Municipality of Ilog Invitation to bid for sale Amount:Php 500 Purchase of Medical Equipment for the use of Persons with disability (PWD) of the Municipality of Ilog, Neg. Occ. ITEM: FS913L walking</t>
  </si>
  <si>
    <t xml:space="preserve"> Republic of the Philippines Province of Nueva Vizcaya Municipality of Solano -o0o- INVITATION TO BID FOR Supply &amp; Delivery of One (1) Unit Self-loading Truck with Crane   (SOLANO 103-2020) 1.	The Local Government Unit of Solano, Nueva Vizcaya through the </t>
  </si>
  <si>
    <t xml:space="preserve"> Delivery of Medicines</t>
  </si>
  <si>
    <t xml:space="preserve"> Republic of the Philippines MUNICIPALITY OF AGONCILLO Province of Batangas Tel. No. 043-210-2344/043-210-2117 BARANGAY BAGONG SIKAT INVITATION TO BID The LGU – Bagong Sikat, through its Bids and Awards Committee (BAC), invites suppliers/manufacturers/dist</t>
  </si>
  <si>
    <t xml:space="preserve"> Gulliwad - Lingay PW</t>
  </si>
  <si>
    <t xml:space="preserve"> Supply and delivery of Labor and Materials for the following Monitoring Paraphernalia 1. LONG SLEEVE - Tshirt, round neck, wide collar, 107pcs 2. HOODIES - sleeveless, 27pcs 3. CARGO PANTS - 27pcs 4. HARDBOUND FIELD NOTEBOOK - 50pcs 5. UMBRELLA - long hea</t>
  </si>
  <si>
    <t xml:space="preserve"> REQUEST FOR QUOTATION (RFQ) The National Museum of the Philippines through the Bids and Awards Committee, invites all eligible suppliers/contractors to bid for: SUPPLY AND DELIVERY OF CHEMICAL AND FILTERING SUPPLIES FOR THE ZOOLOGY DIVISION Approved Budge</t>
  </si>
  <si>
    <t xml:space="preserve"> Republic of the Philippines Province of Laguna MUNICIPALITY OF LUISIANA BARANGAY SAN RAFAEL INVITATION TO BID 1. Barangay San Rafael, Luisiana, Laguna intends to apply the sum of Eighty One Thousand Pesos Only. (Php 81,000.00) being the Approved Budget fo</t>
  </si>
  <si>
    <t xml:space="preserve"> Please quote your lowest price on the item(s)  listed below, subject to the Terms and Condition Stated below and submit your quotation duly signed by your representative not later than 10:30 A.M. of  August  28, 2020, at the return envelope attached herew</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</si>
  <si>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</si>
  <si>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</si>
  <si>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Republic of the Philippines Province of Negros Occidental  Municipality of Ilog Invitation to bid for sale  Amount:Php 500 Purchase of materials for the construction of Drainage canal, Alambijod- Sitio Balik-Balik, Barangay Calubang, Ilog, NEg. Occ.</t>
  </si>
  <si>
    <t xml:space="preserve"> Republic of the Philippines Province of Nueva Vizcaya Municipality of Solano -o0o- INVITATION TO BID FOR Supply &amp; Delivery of materials for the Completion of One (1) Classroom Building (CDC) at Brgy. Bangar, SNV.   (SOLANO 104-2020) 1.	The Local Governmen</t>
  </si>
  <si>
    <t xml:space="preserve"> Procurement of Office Supplies for the 2nd &amp; 3rd quarter CY 2020</t>
  </si>
  <si>
    <t xml:space="preserve"> Republic of the Philippines Province of Negros Occidental Municipality of Ilog Invitation to bid for sale Amount:Php 500 Purchase of materials for the improvement of Farm to Market Roads at Sitio Calumpang, Barangay Galicia, Ilog, NEg. Occ.</t>
  </si>
  <si>
    <t xml:space="preserve"> Local Government Unit, Moalboal, Cebu	          Contract Reference No. :			                                                  Name of Contract: Purchase of  Dengue Test Kits &amp; Covid 								 Test Kits Standard Form:  SF-GOODS-05			          Location of the</t>
  </si>
  <si>
    <t xml:space="preserve"> Republic of the Philippines Province of Bukidnon Barangay Kibaning 		MUNICIPALITY OF KALILANGAN Bids and Awards Committee (BAC) INVITATION TO BID FOR Kibaning Goods 2020-08-001 	 The Barangay Government Unit –Barangay Kibaning, Kalilangan, Bukidnon throug</t>
  </si>
  <si>
    <t xml:space="preserve"> 1 lot   Repair and Maintenance of Panglao Public Market           Materials           Labor Cost Including Demolition</t>
  </si>
  <si>
    <t xml:space="preserve"> Republic of the Philippines Province of Bukidnon MUNICIPALITY OF KALILANGAN Barangay Ninoy Aquino OFFICE OF THE BARANGAY CAPTAIN INVITATION TO BID FOR                                                                             Ninoy Aquino Infra 2020-08-0</t>
  </si>
  <si>
    <t xml:space="preserve"> NO.	ITEM DESCRIPTION(ITEM NAME &amp; TECHNICAL SPECIFICATIONS)	QTY.	UNIT			 1.	 1 Unit Chainsaw 16”(Blade Size)		 2.	1 Unit Chainsaw 18” (Blade Size)</t>
  </si>
  <si>
    <t xml:space="preserve"> ELECTRICAL WIRING, LIGHTING, MAIN SERVICE</t>
  </si>
  <si>
    <t xml:space="preserve"> 1	2	set	Laptop Computer 			Intel ®Core™ i7-10510U Processor 6M Cache, (1.8GHz up to 4.90 GHz) 			Memory 8GB (1x 8GB soDIMM), upgradeable to 32GB 			Storage #1 256GB M.2 SSD Storage #2 1 TB 2.5-inch 5400 RPM 			Graphics 2GB NVIDIA® GeForce® MX230   			GDDR</t>
  </si>
  <si>
    <t xml:space="preserve"> Republicof the Philippines PROVINCEOFAGUSAN DEL SUR Municipality of San Luis Barangay MAHAGSAY Invitation to Bid SUPPLY AND DELIVERY OF HARDWARE MATERIALS FOR THE CONSTRUCTION OF TRIBAL HOUSE 1. The Barangay government of Mahagsay, San Luis, Agusan del Su</t>
  </si>
  <si>
    <t xml:space="preserve"> Procurement of various office supplies for Treasurers Office</t>
  </si>
  <si>
    <t xml:space="preserve"> 3 units - Desktop, with SSD 6 Cores, 2.80Ghz, 9mb Cache, 64bit 8GB DDR4 SDRAM Storage: 1TB 21" Diagoanal Full High Definition Wide Screen LED Display (Same Brand as CPU) 2GB  dedeicated graphics memory integrated sound card with internal speaker 4-slots o</t>
  </si>
  <si>
    <t xml:space="preserve"> Construction of comfort room</t>
  </si>
  <si>
    <t xml:space="preserve"> Republic of the Philippines Province of Negros Occidental Municipality of Ilog Invitation to bid for sale Amount:Php 500 Purchase of Medical supplies for the use of 15 Barangays of Ilog, Birthing Facility and Circumcision. Ilog, Neg. Occ.</t>
  </si>
  <si>
    <t xml:space="preserve"> Republic of the Philippines Province of Davao Del Sur Municipality of Padada INVITATION TO BID August 19, 2020 SUPPLY OF VARIOUS MATERIALS FOR THE CONSTRUCTION OF ISOLATION FACILITY at LOWER MALINAO, PADADA, DAVAO DEL SUR 1.The Local Government Unit of Pa</t>
  </si>
  <si>
    <t xml:space="preserve"> DUGONG MALPAO DRAINAGE CANAL (BESIDE DUGONG ROAD X-DRAINAGE)</t>
  </si>
  <si>
    <t xml:space="preserve"> The Works consist of 1. Project Billboard 2. Excavation 3. Riprap 4. Backfilling 5. Sub-grade preparation 6. Aggregate sub-base coarse 7. Aggregate base coarse 8. Portland cement concrete paving</t>
  </si>
  <si>
    <t xml:space="preserve"> INVITATION TO BID The Municipality of Anda, Pangasinan, through its Bids and Awards Committee, invites bidder/suppliers to submit their Bid for the hereunder contract; Name of Contract: SUPPLY AND INSTALLATION OF SOLAR POWERED SYSTEM &amp; SOLAR LIGHTS Locati</t>
  </si>
  <si>
    <t xml:space="preserve"> 1. Road Openening of 1Km Road 2. Installation of 2 line road crossing</t>
  </si>
  <si>
    <t xml:space="preserve"> 664 ream Bond Paper (A4)                            305 ream Bond Paper (Legal size)               19 pcs. Stapler (heavy duty HD 23/13)       131 box  Staple Wire 23/13                        44 bottles Ink black (003)                         4 bottles I</t>
  </si>
  <si>
    <t xml:space="preserve"> Labor/Installation and Materials 		3rd Floor Bldg. Installation of Windows, Doors and  		Comfort Rooms Partition and Accessories 		 		LOT 1 		Scope of works: 1	LS	I. Masonry Works (Comfort Room-Sink) 1	LS	II. TILEWORKS 1	LS	III. TOILET AND BATHROOM ACCESS</t>
  </si>
  <si>
    <t xml:space="preserve"> INVITATION TO BID NO. INFRA -056-2020  The Provincial Government of  Bataan, through the Special Education Fund056 intends to apply the below listed project w/ corresponding Approved Budget of the Contract (ABC). Bids received in excess of the ABC shall b</t>
  </si>
  <si>
    <t xml:space="preserve"> INVITATION TO BID NO. INFRA -057-2020  The Provincial Government of  Bataan, through the Special Education Fund057 intends to apply the below listed project w/ corresponding Approved Budget of the Contract (ABC). Bids received in excess of the ABC shall b</t>
  </si>
  <si>
    <t xml:space="preserve"> 1 Unit - MINI STORAGE CABINET-MTO All steel fabricated in cold rolled (CRS) gg# 20 double sliding glass door w/metal frame, provided w/lock &amp; duplicate keys w/ two (2) adjustable shelves, three (3) compartments Dim. : 860mmH x 1700mmW x 480mmD Color : Lig</t>
  </si>
  <si>
    <t xml:space="preserve"> MULTI-PURPOSE HALL PHASE 2 THE WORK INCLUDES CONSTRUCTION OF SECOND FLOOR COLUMNS, BEAMS AS PER APPROVED PLANS AND POW.</t>
  </si>
  <si>
    <t xml:space="preserve"> Procurement of Office Supplies use for MMO Engineering Services</t>
  </si>
  <si>
    <t xml:space="preserve"> Republic of the Philippines          City of Dumaguete Bids and Awards Committee INVITATION TO BID FOR PURCHASE REQUEST OF 2 BOX ELECTRICAL WIRE 150 MTRS/BOX (BLACK) #3.5MM² THHN AND OTHER ITEMS 	The City of Dumaguete thru its BIDS AND AWARDS COMMITTEE (B</t>
  </si>
  <si>
    <t xml:space="preserve"> Republic of the Philippines Province of Laguna MUNICIPALITY OF LUISIANA BARANGAY SAN RAFAEL INVITATION TO BID 1. Barangay San Rafael, Luisiana, Laguna intends to apply the sum of Two Hundred Thirty Four Thousand Pesos Only. (Php 234,000.00) being the Appr</t>
  </si>
  <si>
    <t xml:space="preserve"> Provision of Electric mosquito/insect killer Electric mosquito/insect killer, heavy duty, indoor use - 10 to 15 watts - Long lamp working hours - Low Power Consumption - Efficient Capacitor for Consistent Electric Current Flow</t>
  </si>
  <si>
    <t xml:space="preserve"> Demolition of Existing Dilapidated  Ceiling Framing/Ceiling Boards 	            LS	LS Scaffoldings 	                                    LS	LS Completion of Ceiling Framing &amp;  Ceiling Boards (Hardiflex, 4.5 mmm)	   112	Sq.m. Painting 	                     </t>
  </si>
  <si>
    <t xml:space="preserve"> POLO SHIRTS WITH COLLAR	 100 	 PCS 	 65,000.00  			 Customized (embroidered logo with prints)			 Super combed cotton fabric			 female 65 pcs			 male 35 pcs			 			 sizes:			 extra small			 25pcs (slim fit for female)			 small			 20 pcs (slim fit for female</t>
  </si>
  <si>
    <t xml:space="preserve"> LGU – Sierra Bullones     					  Contractor Reference Number 	                                                                                                  	                                                                                       							</t>
  </si>
  <si>
    <t xml:space="preserve"> Local Government Unit, Moalboal, Cebu	          Contract Reference No. :			                                                                               Name of Contract: Purchase of Drugs &amp; Medicines Standard Form:  SF-GOODS-05			          Location of t</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</si>
  <si>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</si>
  <si>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CONSTRUCTION MATERIALS  DESCRIPTION                                                         OTY                  UNIT COST               TOTAL COST    ANGLE VALVE UNIVERSAL 1/2 X 1/2 MULTI-SIZE       50 PC                   190.00                   9,500.</t>
  </si>
  <si>
    <t xml:space="preserve"> Purchase and delivery of covid-19 anti body testing kits to be used by the City Health and Sanitation Department</t>
  </si>
  <si>
    <t xml:space="preserve"> August 19, 2020 REQUEST FOR QUOTATION (RFQ) BOND PAPER, SHORT, SUBSTANCE 16, COLOR PINK &amp; GREEN 1.	The Batangas Medical Center hereinafter referred to as the “Purchaser” now request for submission of price proposal for the procurement of the aforesaid ite</t>
  </si>
  <si>
    <t xml:space="preserve"> Republic of the Philippines MUNICIPALITY OF AGONCILLO Province of Batangas Tel. No. 043-210-2344/043-210-2117 BARANGAY ADIA INVITATION TO BID The LGU – Adia, through its Bids and Awards Committee (BAC), invites suppliers/manufacturers/distributors/contrac</t>
  </si>
  <si>
    <t xml:space="preserve"> Invitation to bid The Philippine Carabao Center at USM through its Bids and Awards Committee (BAC) invites PhilGEPS registered suppliers to apply to bid for the Supply and Delivery of Food Stuff. COCOA POWDER 100% NATURAL Moisture: 4% max. Fat: 20-22% Ph.</t>
  </si>
  <si>
    <t xml:space="preserve"> CONSTRUCTION SUPPLIES AND MATERIALS</t>
  </si>
  <si>
    <t xml:space="preserve"> 42 boxes - Face Mask 28 gallons - Alcohol 42 boxes - Vitamin C (100's) 1,400 pcs - Paracetamol 14 boxes - Loperamide 420 pcs - Soap (big, 175g) 28 packs - Detergent Powder (1kg) 28 gallons - Disinfecting Agent 28 cans - Disinfectant Spray (510g)</t>
  </si>
  <si>
    <t xml:space="preserve"> RFQ 2020-175 PROJECT		:	LBP MIAG-AO BRANCH BUILDING CONSTRUCTION (NEW UNIT) IMPLEMENTOR		: 	LBP RESOURCES AND DEVELOPMENT CORPORATION OWNER			:	LAND BANK OF THE PHILIPPINES	 REQUEST FOR QUOTATION FOR	:	SUPPLY AND DELIVERY OF ELECTRICAL WIRES DATE / TIME O</t>
  </si>
  <si>
    <t xml:space="preserve"> Item Description	Quantity	Unit a.		Project Billboard	1	Lot b.		Reinforced Concrete Intake Box (4m x 3m x 1m)	3.86	Cum c.		Supply and Installation of Intake Box Pipelines and Fittings	1	Lot d.		Reinforced Concrete Reservoir (2.5m x 2.5m x 2.5m)	5.79	Cum e.</t>
  </si>
  <si>
    <t xml:space="preserve"> DESCRIPTION -Removal of Obstruction &amp; Structures -Structure Excavation -Foundation Fill -Concrete Works Reinforcing Bars -Structural Concrete, Class A -Forms -Stone Masonary -Pipe Culverts -Warning &amp; Hazard Signs -Construction Safety and Health -Billboard</t>
  </si>
  <si>
    <t xml:space="preserve"> RFQ 2020-176 PROJECT		:	LBP BARILI (CEBU)  BRANCH BUILDING CONSTRUCTION (NEW UNIT) IMPLEMENTOR		: 	LBP RESOURCES AND DEVELOPMENT CORPORATION OWNER			:	LAND BANK OF THE PHILIPPINES	 REQUEST FOR QUOTATION FOR	:	SUPPLY AND DELIVERY OF ELECTRICAL WIRES DATE /</t>
  </si>
  <si>
    <t xml:space="preserve"> Procurement of Office Supplies use for DepEd Print Modules and Workbooks</t>
  </si>
  <si>
    <t xml:space="preserve"> COUPON BOND A4 70 GSM COUPON BOND A4 80 GSM</t>
  </si>
  <si>
    <t xml:space="preserve"> Construction of 7-layer niches.</t>
  </si>
  <si>
    <t xml:space="preserve"> 7 	sheet	1/4" thk Ordinary Plywood		  1 	kls	CWN		  32 	bd. Ft	4pcs-Coco Lumber 2x4x12		  12 	bd. Ft	3pcs-Coco Lumber 2x2x12		 1 	set	4'x8' Tarpaulin		 6.16 	cu.m	Filling Materials for Embankment		 2.79 	cu.m	Gravel Bedding Materials		  183 	bags	Portland</t>
  </si>
  <si>
    <t xml:space="preserve"> Republic of the Philippines Province of Camarines Sur MUNICIPALITY OF BAAO INVITATION TO BID FOR THE SUPPLY AND DELIVERY OF LIFE SAVING AND RESCUE EQUIPMENT - MDRRMO 1. The LOCAL GOVERNMENT UNIT OF BAAO, through the Budget for the contract approved by the</t>
  </si>
  <si>
    <t xml:space="preserve"> Title:Procurement of Information Technology under P.R.Nos. 3176-2020(Office of the City Engineer) and 3088-2019(CMO-Provision for Information and Communication Technology Equipment)-1Lot Total ABC: Php 2,746,999.96 For representative/s of interested bidde</t>
  </si>
  <si>
    <t xml:space="preserve"> Bidding will be conducted through open competitive bidding procedures as specified in the Implementing Rules and Regulation (IRR) of Republic Act No. 9184 (R.A. 9184), otherwise known as the Government Procurement Reform Act.</t>
  </si>
  <si>
    <t xml:space="preserve"> INVITATION TO BID NO. INFRA -058-2020  The Provincial Government of  Bataan, through the Special Education Fund058 intends to apply the below listed project w/ corresponding Approved Budget of the Contract (ABC). Bids received in excess of the ABC shall b</t>
  </si>
  <si>
    <t xml:space="preserve"> 1	unit	MULTI-PURPOSE VEHICLE (DIESEL ENGINE) 		 		Specs: 		Overall Dimensions (mm) 4,735x1,830x1,795 		Wheelbase (mm) 2,750 Seating Capacity 7 		 		Engine: 		Engine Type 4-Cylinder, In-Line 16 Valve 		Double Overhead Camshaft (Variable Nozzle) 		Turbo Cha</t>
  </si>
  <si>
    <t xml:space="preserve"> Labor and Materials:			 -    a.)COA Mini Bus SAA 4310 			 Battery-65M-N100L E41L	1	 4,500.00 	 4,500.00  			 b.) Nissan Escapade SGL 739			 -    Shock Absorber	4	 4,500.00 	 18,000.00  Replacement of Shafting Assembly, Steering Rack Absorber	1	 85,000.00 </t>
  </si>
  <si>
    <t xml:space="preserve"> INVITATION TO RE-BID FOR Motor Vehicle  (Name of Project)    1.	The CITY GOVERNMENT OF ZAMBOANGA, through the SB# 01 FY 2019 intends to apply for re-bid the sum of TWO MILLION ONE HUNDRED THOUSAND PESOS (P2,100,000.00) ONLY being the Approved Budget for t</t>
  </si>
  <si>
    <t xml:space="preserve"> 1.  15 pcs Record Book - 300 pages 2.  15 pcs Record Book - 500 pages 3.  100 ream Bond Paper (A4) 4.  10 bottle White Board marker ink 5.  20 box Ball Pen (black) 6.  20 box Ball Pen (red) 7.  20 pad Columnar Book (16 col. 707) 8.  20 pad Columnar Book (</t>
  </si>
  <si>
    <t xml:space="preserve"> Installation of Street Lights at Brgy. Mabayawas</t>
  </si>
  <si>
    <t xml:space="preserve"> Republic of the Philippines Province of Pangasinan MUNICIPALITY OF LINGAYEN BARANGAY LIBSONG EAST Invitation to Bid    1. The Barangay Libsong East through the Barangay  Development Fund CY 2020 intends to apply the sum of    Four Hundred Ninety One   Tho</t>
  </si>
  <si>
    <t xml:space="preserve"> Coffee Creamy White 28Gx30’s	100	PACK Sugar White	20	KILO Alfonso De Tablea	24	PACK Kaibigan Lengua	24	JAR Delfas 7in1 Herbal Tea 350g	100	JAR Muscovado ½ kg	12	KILO Jacobina 10’s	80	PACK</t>
  </si>
  <si>
    <t xml:space="preserve"> Procurement of Office Equipment use for MCR office</t>
  </si>
  <si>
    <t xml:space="preserve"> PURCHASE OG MEAT PROCESSING EQUIPMENT</t>
  </si>
  <si>
    <t xml:space="preserve"> Procurement of Laptop use for COA office</t>
  </si>
  <si>
    <t xml:space="preserve"> Procurement of Computer Ink &amp; IT’s use for Accounting office</t>
  </si>
  <si>
    <t xml:space="preserve"> Number: 	Quantity: 	 1	23	liter		Azadiracthtin, 90% neem oil extract, 1 liter/bottle		1,200.00	27,600.00 2	23	box		Bacillus Thuringienses, 5 sachets/box		1,900.00	43,700.00 3	83	pack		Pheromone Lure (Fall Army Worm) Lure components: Z9-14:AC. Z11-16		652.</t>
  </si>
  <si>
    <t xml:space="preserve"> The Works consist of 1. Project Billboard 2. Transmission Lines</t>
  </si>
  <si>
    <t xml:space="preserve"> Republic of the Philippines Province of South Cotabato City of Koronadal BIDS AND AWARDS COMMITTEE Invitation to Bid for the Construction of Various Lined Canal Projects (5 Lots), City of Koronadal 1.	The City Government of Koronadal, through its, CALAMIT</t>
  </si>
  <si>
    <t xml:space="preserve"> 200 box Gloves #7.0 Sterile lightly powdered 50's Latex 200 box Gloves #7.5 Sterile lightly powdered 50's Latex</t>
  </si>
  <si>
    <t xml:space="preserve"> Coffee 3in1 28g x 30’s	100	PACK Coffee Creamer 5g 48’s	20	PACK Coffee Brown 28.5g x 30’s	50	PACK Coffee Brown 27.5g x 30’s	40	PACK Sugar White	70	KILO Sugar Washed	50	KILO Kaibigan Lengua	100	JAR Kaibigan Sopas	40	JAR Kaibigan Honey	40	JAR Pure Wild Honey</t>
  </si>
  <si>
    <t xml:space="preserve"> 1 unit        Franklin motor 3hp with 230watts with control box 1 unit        Sp 25-11 1 unit        Deepwell controller 3hp with 230watts 150 mtrs.  Submersible cable #10/3c 2 pcs.        3m Rubber tape</t>
  </si>
  <si>
    <t xml:space="preserve"> INVITATION TO RE-BID FOR Other Machinery and Equipment  (Name of Project)    1.	The CITY GOVERNMENT OF ZAMBOANGA, through the AB FY 2020 intends to apply for re-bid the sum of ONE MILLION SIX HUNDRED THOUSAND PESOS (P1,600,000.00) ONLY being the Approved </t>
  </si>
  <si>
    <t xml:space="preserve"> Supply and Delivery of Metering Pump, Electronic 230V, 5-7LPH capacity, complete with accessories The Metro Midsayap Water District (MMWD) gives notice that  quotations are invited for the Supply and Delivery of Metering Pump, Electronic 230V, 5-7LPH capa</t>
  </si>
  <si>
    <t xml:space="preserve"> 1.) LABORATORY OVEN, Stainless, 6 plates, gas operated, 34.5" x 24.5", with inner layer of 26" x 18" 2) LPG tank with content (11 kg.), with regulator, hose (2m), and hose clip</t>
  </si>
  <si>
    <t xml:space="preserve"> Rental of 2 units 6-wheeler dump trucks with 6 cu.m. capacity</t>
  </si>
  <si>
    <t xml:space="preserve"> Purchase and delivery of office supplies and learning materials to be used by DepEd Calapan City</t>
  </si>
  <si>
    <t xml:space="preserve"> August 19, 2020 REQUEST FOR QUOTATION (RFQ) CORRECTIVE MAINTENANCE OF SUBMERSIBLE PUMP 1.	The Batangas Medical Center hereinafter referred to as the “Purchaser” now request for submission of price proposal for the procurement of the aforesaid item describ</t>
  </si>
  <si>
    <t xml:space="preserve"> 580 pieces Cover All Suit (for Isolation use) made of polyethylene+ Polyester, 2 way zipper with                       with sealable storm flap</t>
  </si>
  <si>
    <t xml:space="preserve"> Republic of the Philippines Province of Camarines Sur MUNICIPALITY OF BAAO INVITATION TO BID FOR THE SUPPLY AND DELIVERY OF I.T. EQUIPMENT FOR MDRRMO 1. The LOCAL GOVERNMENT UNIT OF BAAO, through the Budget for the contract approved by the Sanggunian 2020</t>
  </si>
  <si>
    <t xml:space="preserve"> Procurement of Construction Materials use for Accounting office</t>
  </si>
  <si>
    <t xml:space="preserve"> Republic of the Philippines Province of Iloilo Municipality of Lambunao Office of the Bids &amp; Awards Committee INVITATION TO BID/ REQUEST FOR PRICE QUOTATION Name of Project: Purchase of Materials for the Installation of Solar Streetlight Location: Brgy. P</t>
  </si>
  <si>
    <t xml:space="preserve"> REPUBLIC OF THE PHILIPPINES                                                    PROVINCE OF NEGROS ORIENTAL                                                            CITY OF DUMAGUETE                                                        BARANGAY CADAWIN</t>
  </si>
  <si>
    <t xml:space="preserve"> Concreting of 0.20m thk, 5m width barangay road with net length of 976.00m.</t>
  </si>
  <si>
    <t xml:space="preserve"> 16	Pn	Plywood, ¾ inch thk x 4 ft x 8 ft – Marine class A 100	Pn	Plywood, ¼ inch thk x 4 ft x 8 ft – Marine class A 120	Pc	Hinges, door with wooden screw – 1 inch x 1 inch x 2 inch L 22	Pc	Cut-off wheel blade 4400 rpm max speed 80 m/s 14 inch x 1/8 inch x </t>
  </si>
  <si>
    <t xml:space="preserve"> Improvement of Slaughterhouse Building at Balud, San Fernando, Cebu Item	Unit	Description	 Quantity  I	cu.m	Excavation and Construction of Pathways	27.85 II	cu.m	Concrete work &amp; pathways	7.33 III	kgs	Reinforcing steel works for pathways	945.00 IV	lot	Meta</t>
  </si>
  <si>
    <t xml:space="preserve"> Improvement of Barangay Health Center</t>
  </si>
  <si>
    <t xml:space="preserve"> 1 	 4 	 sets 	 VHF HANDHELD TRANCEIVER - Brandnew   - 	 - 	 - 	 complete with standard accessories:   - 	 - 	 - 	 Specifications and Accessories:   - 	 - 	 - 	 GENERAL:   - 	 - 	 - 	 Frequency Coverage:     136MHz - 174 MHz   - 	 - 	 - 	 Type of emission:</t>
  </si>
  <si>
    <t xml:space="preserve"> Barangay Luyongbonbon</t>
  </si>
  <si>
    <t xml:space="preserve"> Republic of the Philippines                                                     PROVINCE OF MISAMIS ORIENTAL                                                             Municipality of Tagoloan                                                              </t>
  </si>
  <si>
    <t xml:space="preserve"> 4 units - Network Printer A3 Maximum Media Size: (11.7in) 3 units - Network Printer A4 Maximum Media Size: Legal (8.5in x 14in) Print Tech: Inkjet (Color) print Speed: 20ppm (Mono &amp; Color) Copy speed: 11cpm: speed measured using A4 size paper Print Qualit</t>
  </si>
  <si>
    <t xml:space="preserve"> Labor and Materials: Road Concreting Location: Sitio Pag-Asa, Catabangan Proper -Nothing Follows-</t>
  </si>
  <si>
    <t xml:space="preserve"> For Pick- Up</t>
  </si>
  <si>
    <t xml:space="preserve"> Republic of the Philippines Province of Camarines Sur MUNICIPALITY OF BAAO INVITATION TO BID FOR THE CONSTRUCTION OF MULTI-PURPOSE HALL PHASE 1 – STA. TERESITA 1. The LOCAL GOVERNMENT UNIT OF BAAO, through the Budget for the contract approved by the Sangg</t>
  </si>
  <si>
    <t xml:space="preserve"> SPANISH TRAIL FOOTBRIDGE IMPROVEMENT</t>
  </si>
  <si>
    <t xml:space="preserve"> LGU-BINUANGAN would like to invite all interested suppliers/bidders for the Procurement of Construction Materials for the Dumpsite Closure and Installation with an ABC of Eighty Two Thousand Four Hundred Forty Pesos Only (Php 82,440.00).</t>
  </si>
  <si>
    <t xml:space="preserve"> 1 1 UNIT PRINTER - . - Ribbon Printer 2 1 UNIT PRINTER - . - All-in-One (Printing, Scanning, Photocopy)</t>
  </si>
  <si>
    <t xml:space="preserve"> 1. 160 heads - Chicken 2-3 mos. old (Starter Kit) Dominant CZ  - healthy and  vaccinated with NCD. Requirements:  2020 PhilGeps Registration, Business Permit, Mayors Permit, Tax Clearance, BAI Certification and                         Notarized Omnibus Sw</t>
  </si>
  <si>
    <t xml:space="preserve"> INVITATION TO RE-BID FOR Disaster Response and Rescue Equipment  (Name of Project)    1.	The CITY GOVERNMENT OF ZAMBOANGA, through the AB FY 2020 intends to apply for re-bid the sum of ONE MILLION SEVEN HUNDRED FIFTY THOUSAND PESOS (P1,750,000.00) ONLY be</t>
  </si>
  <si>
    <t xml:space="preserve"> INVITATION TO BID No. IB-2020-IX-08-01 The Municipality of Sibalom through its Bids &amp; Awards Committee (BAC), invites bidders/contractors to apply for eligibility and to bid for the hereunder project: Project           	 		:	ONE (1) UNIT BRAND NEW VAN Loc</t>
  </si>
  <si>
    <t xml:space="preserve"> 3000 pairs Shoe Cover</t>
  </si>
  <si>
    <t xml:space="preserve"> The Municipal Government of Luna, Isabela through its Bids and Awards Committee (BAC) invites all prospective bidders to apply and bid for the hereunder project: Name of Project: SUPPLY AND AND DELIVERY OF ADDITIONAL TWO (2) SETS OF DUPLICATING MACHINE WI</t>
  </si>
  <si>
    <t xml:space="preserve"> TERMS and CONDITIONS:		 1. All entries must be typewritten or legibly written.		 2. Delivery period within Fifteen (15) working days upon receipt of the approved funded Purchase (P.O.). Administrative penalties pursuant to Sec. 69 of the Revised IRR-RA 91</t>
  </si>
  <si>
    <t xml:space="preserve"> Procurement of Cell cards for the 2nd &amp; 3rd quarter CY 2020</t>
  </si>
  <si>
    <t xml:space="preserve"> Republic of the Philippines PROVINCE OF NUEVA VIZCAYA Municipality of Alfonso Castañeda  BIDS &amp; AWARDS COMMITTEE FOR GOODS &amp; SERVICES REQUEST FOR QUOTATION RFQ Number: 2020-08-09 The Local Government of Alfonso Castañeda through its Bids and Awards Comm</t>
  </si>
  <si>
    <t xml:space="preserve"> 20	piece	3" dia. x 3.0m PVC Pipe		 21	piece	3" dia. x 90 degrees PVC Elbow		 7	piece	3" dia. PVC Coupling		 4	tube	Silicon Sealant		 2	can	Solvent Cement		 1	piece	0.40mm x 2.40m Pln. GI Sht.		 1	kilo	2" Concrete Nails		 103	bag	Portland Cement		 12	cu.m.</t>
  </si>
  <si>
    <t xml:space="preserve"> INVITATION TO BID FOR Information and Communication Technology Equipment  (Name of Project)    1.	The CITY GOVERNMENT OF ZAMBOANGA, through the SB# 02 FY 2020 intends to apply the sum of ONE MILLION EIGHT HUNDRED THOUSAND PESOS (P1,800,000.00) ONLY being </t>
  </si>
  <si>
    <t xml:space="preserve"> 1.	The Department of Education – Schools Division Office of Pasig City, through the GAA CY 2020 –Maintenance and Other Operating Expenses (MOOE) Fund  intends to apply the sum of Two Million Six Hundred Eighteen Thousand Seven Hundred N1nety-Nine Pesos an</t>
  </si>
  <si>
    <t xml:space="preserve"> Deliveries of Supplies and materials for Installation of Solar Street Lights of Barangay Salvacion sta elena camarines Norte</t>
  </si>
  <si>
    <t xml:space="preserve"> Cutting Edge	2	PCS End Bit LH &amp; RH	2	PCS Flow Bolt ¾ x 3 with Nut	23	PCS Flow Bolt ¾ x 4 ½ with Nut	4	PCS</t>
  </si>
  <si>
    <t xml:space="preserve"> 2 pcs. 12mm Acrylic Board 4 x 6 2 pcs. Basketball Ring 18" w/ net 1 pc. 2 tons Chain Block 5 pcs. 1½ x 6m - Angle Bar 4 pcs. 2 x 6m - Angle Bar 10 pcs. 5/8 Plain Round Bar 16 pcs. Turn Buckle 5/8 20 kilos Welding Rod 5 pcs. 4" Sanding Disc 2 pcs. Epoxy Pr</t>
  </si>
  <si>
    <t xml:space="preserve"> Scope of works: 1.	General requirement 2.	2.  Soil poisoning treatment 3.	3.  Earthworks 4.	4. Structural concrete ( Ind. Forms &amp; scaffolding) 5.	5.  Masonry works 6.	6. Roof framing(fully welded &amp; painted) and roofing 7.	Doors and windows 8.	Carpentry 9.</t>
  </si>
  <si>
    <t xml:space="preserve"> 200 box Gloves of Synthetic Rubber clean gloves Large size 100's 400 box Gloves of Synthetic Rubber clean gloves Medium Size size 100's</t>
  </si>
  <si>
    <t xml:space="preserve"> Various Supply and Materials</t>
  </si>
  <si>
    <t xml:space="preserve"> Procurement of Sports Materials use for MSWDO/PYAP/out-of School Youth Organization of all 22 barangays</t>
  </si>
  <si>
    <t xml:space="preserve"> REPUBLIC OF THE PHILIPPINES																																							 	PROVINCE OF ZAMBOANGA DEL NORTE																																							 	MUNICIPALITY OF PRES. MANUEL A. ROXAS																																							 	BIDS AND AWARDS COMMITTEE												</t>
  </si>
  <si>
    <t xml:space="preserve"> gate valve 10" (flange type)</t>
  </si>
  <si>
    <t xml:space="preserve"> 56 bags - Portland Cement 6 cu.m. - Washed Sand 4 cu.m. - Washed Gravel 600 pcs - CHB 60 pcs - 10mm RSB 5 kgs - #16 Tie Wire</t>
  </si>
  <si>
    <t xml:space="preserve"> Republic of the Philippines                                                                PROVINCE OF MISAMIS ORIENTAL                                                                         Municipality of Tagoloan                                       </t>
  </si>
  <si>
    <t xml:space="preserve"> MASONRY WORKS CARPENTRY WORKS DOORS AND WINDOWS</t>
  </si>
  <si>
    <t xml:space="preserve"> PLEASE SEE ATTACHED FILE.</t>
  </si>
  <si>
    <t xml:space="preserve"> REPUBLIC OF THE PHILIPPINES																																						 		PROVINCE OF ZAMBOANGA DEL NORTE																																						 		MUNICIPALITY OF PRES. MANUEL A. ROXAS																																						 		BIDS AND AWARDS COMMITTEE												</t>
  </si>
  <si>
    <t xml:space="preserve"> Republic of the Philippines Province of South Cotabato City of Koronadal BIDS AND AWARDS COMMITTEE Invitation to Bid for the Construction of Lined Canal from Agreville, Brgy. Sto. Niño to Prk. Maharlika, Brgy. GPS, City of Koronadal 1.	The City Government</t>
  </si>
  <si>
    <t xml:space="preserve"> Purchase of Brand New and Latest 4X2 High Side Pick-up with Roof w/ dual Aircon Euro 4 Engine type: Rescue Vehicle</t>
  </si>
  <si>
    <t xml:space="preserve"> LGU-BAROBO		Project Reference Number		 Name of Procuring Entity		Supply &amp; Delivery of Fuel &amp; Lubricants		 			Barobo, Surigao del Sur	 Standard Form Number: SF-GOOD-60				 Revised on: May 24, 2004				 Standard Form Title: REQUEST FOR QUOTATION				 			D a t</t>
  </si>
  <si>
    <t xml:space="preserve"> 1.  200 pcs CHB (4") 2.  15 pcs 10mm dia Steel Bar 3.  10 pcs Plywood 4.  7 kg Nail #3 5.  7 kg Nail #4 6.  3 kg Nail #2½ 7.  3 kg Nail #2 8.  3 kg Umbrella Nail 9.  8 pcs Corrugated G.I. #0.4mm 12 feet 10. 2 cu.m. Gravel 11. 2 cu.m Sand 12. 15 bag Cement</t>
  </si>
  <si>
    <t xml:space="preserve"> 1  unit             Vehicle 	               Specifications: 	               Engine: 2.2L in line 4 turbo charged 	               &amp; intercooler 16-valve DOHC 	               Suspension: front independent wish bone &amp; coil 	               spring 	           </t>
  </si>
  <si>
    <t xml:space="preserve"> Republic of the Philippines												 City of San Carlos												 Negros Occidental												 												 			INVITATION TO BID							FOR SALE	 			PURCHASE REQUEST NO: 18-20-07-0954			P 3,327.00	 Sealed bids for quotation of prices will be received</t>
  </si>
  <si>
    <t xml:space="preserve"> Republic of the Philippines JOSE RIZAL MEMORIAL STATE UNIVERSITY KATIPUNAN CAMPUS Katipunan, Zamboanga del Norte Invitation to Bid: Purchase of ICT Equipment 1)	The Jose Rizal Memorial State University-Katipunan Campus, Katipunan, Zamboanga del Norte thro</t>
  </si>
  <si>
    <t xml:space="preserve"> OPENING OF BIDS IN DSWD FO IX ZAMBOANGA CITY,				 DELIVERY IN DSWD-PCDP, MAMPANG ZC				 PROCUREMENT FOR THE FF.:				 						 				 200	CASE	CUP NOODLES CHICKEN AND BEEF FLAVOR-HALAL 55 grams x 48	@	 650.00  200	PAIL	BISCUITS, 1.5kg PAIL/ASSORTED FLAVOR	@	 3</t>
  </si>
  <si>
    <t xml:space="preserve"> INVITATION TO BID-HIRING OF GENERAL CONTRACTOR FOR THE REPAIRS/RENOVATION OF 2ND FLOOR OF DBP DIPOLOG BRANCH BUILDING Approved Budget for the Contract (ABC)	-   P 1,049,534.81 Amount of Bid Documents	                        -   P       5,000.00    Complet</t>
  </si>
  <si>
    <t xml:space="preserve"> LGU-BAROBO		Project Reference Number		 Name of Procuring Entity		Supply &amp; Delivery of General Merchandise		 			Barobo, Surigao del Sur	 Standard Form Number: SF-GOOD-60				 Revised on: May 24, 2004				 Standard Form Title: REQUEST FOR QUOTATION				 			D a</t>
  </si>
  <si>
    <t xml:space="preserve"> Procurement of Office Supplies use for MBO office</t>
  </si>
  <si>
    <t xml:space="preserve"> Deliveries of Supplies and materials for the Improvement of Multi-Purpose Building (OSY ALTERNATIVE LEARNING CENTER) at P5, Barangay BAsiad, Sta. Elena, Camarines Norte.</t>
  </si>
  <si>
    <t xml:space="preserve"> PURCHASE OF DRESS MAKING EQUIPMENT</t>
  </si>
  <si>
    <t xml:space="preserve"> 100	Bag	Fertilizer, 16-20-0, 50kgs cap/bag 130	Bag	Fertilizer, 14-14-14. 50kgs cap/bag 100	Bag	Fertilizer, 46-0-0, 50kgs cap/bag 100	Bag	Fertilizer, 21-0-0, 50kgs cap/bag 100	Bag	Fertilizer, 0-0-60, 50kgs cap/bag 100	Bag	Fertilizer, Organic Foliar (Humic </t>
  </si>
  <si>
    <t xml:space="preserve"> INVITATION TO BID No. IB-2020-IX-08-02 The Municipality of Sibalom through its Bids &amp; Awards Committee (BAC), invites bidders/contractors to apply for eligibility and to bid for the hereunder project: Project           	 		:	ONE (1) UNIT BRAND NEW EMERGEN</t>
  </si>
  <si>
    <t xml:space="preserve"> INVITATION TO BID FOR THE PROCUREMENT OF GOODS/SUPPLIES FOR THE   FOLLOWING PROJECT The DPWH-Lanao del Norte 1st District Engineering Office, through the following Approved Budget Cost (ABC):  1.	Php 1,225,790.50 – Reference No. 20GKG0038 (PR No. 20-07-13</t>
  </si>
  <si>
    <t xml:space="preserve"> Location: Purok Capricorn, Tumog, Luna, Apayao</t>
  </si>
  <si>
    <t xml:space="preserve"> Cake (10"x3.5") 950 pcs</t>
  </si>
  <si>
    <t xml:space="preserve"> Republic of the Philippines 	Province of Eastern Samar	 City of Borongan -0- BIDS AND AWARDS COMMITTEE ------------------------------------------------------------------------------------------ Invitation to Bid for SUPPLY AND DELIVERY OF  ONE (1) UNIT BR</t>
  </si>
  <si>
    <t xml:space="preserve"> Republic of the Philippines NATIONAL FOOD AUTHORITY Eastern Visayas Regional Office Pawing, Palo, Leyte INVITATION TO SUBMIT PRICE QUOTATION   REPAIR PROVL. OFFICE ENTRANCE AND EXIT DOORS AND NFA GUIUAN ENTRANCE GATE IN NFA-EASTERN SAMAR  (Small Value Pro</t>
  </si>
  <si>
    <t xml:space="preserve"> 50 sacks Commercial Rice 50 kgs</t>
  </si>
  <si>
    <t xml:space="preserve"> Republic of the Philippines Province of Misamis Oriental MUNICIPALITY OF BINUANGAN OFFICE OF THE BIDS AND AWARDS COMMITTEE (BAC) 9008 POBLACION, BINUANGAN, MISAMIS ORIENTAL INVITATION TO BID The Local Government Unit (LGU) of Binuangan, through its Bids a</t>
  </si>
  <si>
    <t xml:space="preserve"> Republic of the Philippines Province of Albay Municipality of Sto. Domingo Barangay Sto. Niño BIDS AND AWARDS COMMITTEE INVITATION TO BID The LGU-Barangay Sto. Niño, Sto. Domingo Albay through the Bids and Awards Committee (BAC) invites suppliers/manufact</t>
  </si>
  <si>
    <t xml:space="preserve"> Installation 1 set of Basketball Goal</t>
  </si>
  <si>
    <t xml:space="preserve"> Reflectorized Thermoplastic Pavement Markings 							 1		Reflectorized Thermoplastic Paint (white)			bags	146 	 2		Reflectorized Thermoplastic Paint (yellow)			bags	25 	 		-x-x-x-x-x-x-x-x-x-x-x-x-x-x</t>
  </si>
  <si>
    <t xml:space="preserve"> Brace (Good Lumber) Common wire nails Marine plywood 16mm Deformed Bars 12mm Deformed Bars 10mm Deformed Bars 5 BI Pipe Cement Sand Gravel 2 x 2 1/4 Angle Bar 1 1/2 x 1 1/2 x 1/4 Angle Bar Welding Rod Roofling sheets with Purlins Epoxyprimer Laquer Thinne</t>
  </si>
  <si>
    <t xml:space="preserve"> SCOPE OF WORKS: I	EARTH WORKS 	A. Ground Preparation (Equipment Rental) 	B. Excavation Labor 	C. Backfill Labor 	D. On fill 	E. Gravel Bedding II	FORMWORKS &amp; SCAFFOLDINGS: (Lump Sum) III	CONCRETE WORKS: 	A. Column Footing 	B. Columns (Foundation to Roof) </t>
  </si>
  <si>
    <t xml:space="preserve"> Purchase of Brand New and Latest Model 4X2 Cab and Chassis Only</t>
  </si>
  <si>
    <t xml:space="preserve"> 1 UNIT LAPTOP - . - Intel core i5-825OU processor - 4gb DDR4 memory, ITB HDD - INVIDIA geforce mx310 with 2 GB VRAM - 15.6HD view LCD , windows 10 - with accessories (bag, mouse and mouse pad</t>
  </si>
  <si>
    <t xml:space="preserve"> 1. 160  heads - Chicken Dominant CZ - 2-3 mos. Old  healthy and fully vaccinated with NCD. Requirements:   2020 PhilGeps Registration, Business Permit, Mayors Permit, Tax Clearance, BAI Certification and                          Notarized Omnibus Sworn St</t>
  </si>
  <si>
    <t xml:space="preserve"> 200 boxes Red top tube 5 ml 100's 200 boxes EDTA Tube 2 ml Lavender Top Tube</t>
  </si>
  <si>
    <t xml:space="preserve"> Republic of the Philippines Province of Cebu Barangay Poblacion West BIDS AND AWARDS COMMITTEE Barangay Pob. West, Moalboal, Cebu  		Contract Reference No: Name of Contract: Purchase of One Unit Motorcycle Standard Form: SF-GOODS-05			Location of Contract</t>
  </si>
  <si>
    <t xml:space="preserve"> LGU-BAROBO		Project Reference Number		 Name of Procuring Entity		Supply &amp; Delivery of Vehicle Parts		 			Barobo, Surigao del Sur	 Standard Form Number: SF-GOOD-60				 Revised on: May 24, 2004				 Standard Form Title: REQUEST FOR QUOTATION				 			D a t e  </t>
  </si>
  <si>
    <t xml:space="preserve"> ITEM	QTY.	UNIT		ARTICLE AND DESCRIPTION				CEILING 					UNIT PRICE		TOTAL 		 								PRICE									 																	 	JJASGH					      PR No. 680	Php208,675.90			OBR No. 100-2005-04468							                                                            ONM</t>
  </si>
  <si>
    <t xml:space="preserve"> NBC-0620-174</t>
  </si>
  <si>
    <t xml:space="preserve"> Republic of the Philippines DEPARTMENT OF AGRICULTURE Philippine Rural Development Project  PSO-Visayas Cluster RPCO-7 Province of Bohol INVITATION TO QUOTE ________________________________________________________________ CONSTRUCTION OF PROCESSING BUILDI</t>
  </si>
  <si>
    <t xml:space="preserve"> 18000	LTRS	DIESEL			 45.25 	 814,500.00  2500	        LTRS	UNLEADED REGULAR			 53.15 	 132,875.00  						   				 	Conditions: 	1. Total Cost is based on current average pump price for Diesel and Unleaded Gasoline				 		in Gasoline Station along JASA, Laya</t>
  </si>
  <si>
    <t xml:space="preserve"> Stock No. Item Description    QTY. Unit 1 TIRE 12RX22.5 18 PLY(DT DAEWOO DE12TIS)   21     pcs. 2 TIRE 17.5X25 16 PLY (GRADER TIANGONG PY160M)   6    Sets 3 TIRE  14X24 16 PLY (GRADER VOLVO G930)      6 Sets 4 TIRE 12X20 22 PLY (DT QUESTER CKE280)      15</t>
  </si>
  <si>
    <t xml:space="preserve"> Republic of the Philippines EASTERN SAMAR STATE UNIVERSITY Borongan City, Eastern Samar INVITATION TO BID FOR Procurement of Agricultural Equipment for Laboratory and Project use at ESSU Salcedo Campus PR#07-2020-004-Salcedo 1.	The EASTERN SAMAR STATE UNI</t>
  </si>
  <si>
    <t xml:space="preserve"> DESCRIPTION AS SUBMITTED A. Labor  178,613.39 B. Materials  1,907,143.78 C. Rental of Equipment  212,143.78 D. Provisional Sum E. Dayworks F. Total Direct Cost (Sum of A-E) 2,298,504.78 G. OCM and Profit 15% 10% 558,638.08 H. Value Added Tax 5% 142,857.14</t>
  </si>
  <si>
    <t xml:space="preserve"> REPUBLIC OF THE PHILIPPINES																																				 		PROVINCE OF ZAMBOANGA DEL NORTE																																				 		MUNICIPALITY OF PRES. MANUEL A. ROXAS																																				 		BIDS AND AWARDS COMMITTEE																		</t>
  </si>
  <si>
    <t xml:space="preserve"> 1 SET/S DESKTOP COMPUTER - WITH COMPLETE ACCESSORIES - 21 inches monitor - intel core i5, 2.5 ghz or higher processor speed - Nvidia GeForce - 4GB DDR5 - 1 tb - with free speaker and ups</t>
  </si>
  <si>
    <t xml:space="preserve"> Construction of MSWD Office, Asingan, Pangasinan. Pre-Bid Conference – August 28, 2020 at 9:30 AM at the Conference Room of the Municipal Hall of Asingan Submission/Receipt/Opening of Bids :  September 9, 2020 at 9:30 AM at the Conference Room of the Muni</t>
  </si>
  <si>
    <t xml:space="preserve"> Asphalt Cold Mix 							 1		Asphalt Cold Mix			317 	pails		 		-x-x-x-x-x-x-x-x-x-x-x-x-x-x</t>
  </si>
  <si>
    <t xml:space="preserve"> Construction materials and supplies for building hand washing facility</t>
  </si>
  <si>
    <t xml:space="preserve"> Request for Quotation for the Procurement of (161 pcs.) Prepaid Cellular Load Card to be used as communication support in the implementation of the Community-based Participatory Action Research Projects in the Region for CY 2020 1.	The Department of Agric</t>
  </si>
  <si>
    <t xml:space="preserve"> Republic of the Phillipines					 DEPARTMENT OF PUBLIC WORKS AND HIGHWAYS					 ZAMBOANGA DEL SUR					 1st District Engineering Office					 REGION IX					 Pagadian City					 					 				          NOTICE No.: 20-13	 				                DATE: August 19,  2020	 </t>
  </si>
  <si>
    <t xml:space="preserve"> Republic of the Philippines PROVINCE OF ZAMBOANGA DEL NORTE Municipality of Sibutad BIDS AND AWARDS COMMITTEE AUGUST 20, 2020 INVITATION TO BID The Local Government Unit of Sibutad, Zamboanga del Norte under P.R. No. GFP100-2020-08-084 dated AUGUST 10, 20</t>
  </si>
  <si>
    <t xml:space="preserve"> Republic of the Philippines Province of Nueva Vizcaya Municipality of Bambang -oOo- INVITATION TO BID The Local Government Unit of Bambang, through the Assistance to Municipalities (AM 2020), intends to apply the sum of FOUR MILLION THREE HUNDRED ELEVEN T</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</si>
  <si>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</si>
  <si>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50 boxes  Surgical Mask 50 gallons  70% Isopropyl Alcohol 100 pcs. Face Shield 20 boxes Unsterile gloves -nothing follows-</t>
  </si>
  <si>
    <t xml:space="preserve"> Asphalt Sealant (60/70)</t>
  </si>
  <si>
    <t xml:space="preserve"> ELF TRUCK DIESEL ENGINE (4HFQ-133HP 4X2 6 WHEELER) MANUAL TRANSMISSION DROPSIDE (16 INCH IN HEIGHT 14FT BODY LENGTH)</t>
  </si>
  <si>
    <t xml:space="preserve"> Please see the attached document</t>
  </si>
  <si>
    <t xml:space="preserve"> Republic of the Philippines Province of Albay Municipality of Sto. Domingo Barangay San Isidro BIDS AND AWARDS COMMITTEE INVITATION TO BID The LGU-Barangay San Isidro, Sto. Domingo Albay through the Bids and Awards Committee (BAC) invites suppliers/manufa</t>
  </si>
  <si>
    <t xml:space="preserve"> Republic of the Philippines Province of South Cotabato City of Koronadal BIDS AND AWARDS COMMITTEE Invitation to Bid for the Construction of City Road at Southwind Subdivision Junction National Highway with Lined Canal, Brgy. Morales, City of Koronadal 1.</t>
  </si>
  <si>
    <t xml:space="preserve"> Coonstruction of 10m x 15m Multi-purpose Building (3 spans) complete with RC Footings, RC Columns, RC Wall and RC Beams, RC Slab, steel trusses pre-painted long span roofing sheets,downspouts,Plastering,ppaint finished and Brass Marker.</t>
  </si>
  <si>
    <t xml:space="preserve"> Invitation to Bid  For the  Construction of Two (2) Storey Six (6) Classrooms at Uswag San Isidro Elementary Schhol, Jaro, Iloilo City 1.	The City of Iloilo, through the SEF Capital Outlay, CY2020 intends to apply the sum of Seventeen Million Five Hundred</t>
  </si>
  <si>
    <t xml:space="preserve"> 30 pcs Trash Bin 120 Liters</t>
  </si>
  <si>
    <t xml:space="preserve"> 1300 cylinders Oxygen Refill Standard</t>
  </si>
  <si>
    <t xml:space="preserve"> Procurement of Infrastructure and Construction Supplies RFQ No. 547</t>
  </si>
  <si>
    <t xml:space="preserve"> ARTICLE AND DESCRIPTION											 ITEM	QTY.	UNIT						CEILING 					UNIT PRICE		TOTAL  								PRICE							 															 				Office: Manila Health Department - Cemeter				PR No. 667							 				Charge to: Other Supplies &amp; Materials Expenses				OBR No. 1</t>
  </si>
  <si>
    <t xml:space="preserve"> 25      pcs      3/4 melamine plywood   3,850.00      96,250.00 3        kgs      Nails # 1 1/2        95.00        285.00 2        kgs      Nails #3               95.00        190.00 Total:  96,725.00</t>
  </si>
  <si>
    <t xml:space="preserve"> INVITATION TO BID FOR THE SUPPLY OF LABOR &amp; MATERIALS FOR THE IMPROVEMENT OF MULTI-PURPOSE HALL 1. The Barangay Government of BARANGAY AYAO-IYAO through the 20% Local Development Fund of Barangay intends to apply the sum of Php 99,941.82 being the Approve</t>
  </si>
  <si>
    <t xml:space="preserve"> LGU-BAROBO		Project Reference Number		 Name of Procuring Entity		Supply &amp; Delivery of Food Supplies		 			Barobo, Surigao del Sur	 Standard Form Number: SF-GOOD-60				 Revised on: May 24, 2004				 Standard Form Title: REQUEST FOR QUOTATION				 			D a t e  </t>
  </si>
  <si>
    <t xml:space="preserve"> 1 unit Digital Duplicator Specifications: Master Making/Printing Methods: High Speed digital master making/Fully automatic printing Original Type: Book, Sheet Master Making Time: Quick Master Making Mode: Approx. 18 seconds Normal Making Mode: Approx. 20 </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</si>
  <si>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</si>
  <si>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MEALS AND ACCOMMODATION FOR	 1 	 LOT 	 128,000.00  LIVE-IN SEMINAR WORKSHOP 			 INCLUSIVE OF THE FOLLOWING:			 20 Double sharing rooms (for 40 participants)			 *airconditioned bedrooms			 *airconditioned and spacious function room			 *free flowing brewed </t>
  </si>
  <si>
    <t xml:space="preserve"> Republic of the Philippines  Province of Sarangani Municipality of Alabel Barangay Maribulan Installation of Water Pipelines, Maribulan, Alabel, Sarangani Province 1.The Barangay Maribulan, through the Annual Budget for Calendar Year 2020[ In the case of </t>
  </si>
  <si>
    <t xml:space="preserve"> Republic of the Philippines Province of Nueva Vizcaya Municipality of Bambang -oOo- INVITATION TO BID The Local Government Unit of Bambang, through the Assistance to Municipalities (AM 2020), intends to apply the sum of SEVEN MILLION THREE HUNDRED ELEVEN </t>
  </si>
  <si>
    <t xml:space="preserve"> PPE / Uniform / Tools</t>
  </si>
  <si>
    <t xml:space="preserve"> 144 rolls Ultrasound Thermal Paper</t>
  </si>
  <si>
    <t xml:space="preserve"> ITEM NO.	ITEM &amp; DESCRIPTION	 BRAND	UOM	QTY. 1	Phyto menadione 10mg/ml 50amps/box		Box	10 2	Oxytocin 10 U.I/ amp		Amps	500 3	D5LRS 1 liter		Liter	200 4	0.9 sodium chloride for irrigation		Liter	12 5	Plain lactated ringer solution		Liter	12 6	0.9 sodium chl</t>
  </si>
  <si>
    <t xml:space="preserve"> P. cement	216	bags Gravel	14	cu.m. Sand	19	cu.m. 12 mmø x 6.0m RSB	102	pcs. 10 mmø x 6.0m RSB	220	pcs. 1/4 Marine Plywood	8	pcs. Form Lumber	200	BF Asstd CWN	6	kgs #16 Tire Wire	8	kgs CHB 4"	1690	pcs. Angle Bar, 3/16 x 2	20	pcs. C Purlins, 2 x 10	8	pcs. C</t>
  </si>
  <si>
    <t xml:space="preserve"> Republic of the Philippines Province of Camarines Sur MUNICIPALITY OF BAAO INVITATION TO BID FOR THE SUPPLY AND DELIVERY OF CONSTRUCTION SUPPLIES FOR THE CONSTRUCTION OF STANDARDIZED DAY CARE CENTER PHASE II- SAN ISIDRO 1. The LOCAL GOVERNMENT UNIT OF BAA</t>
  </si>
  <si>
    <t xml:space="preserve"> 1.	The LGU of San Marcelino, Zambales through the General Fund FY 2020 intends to apply the  sum of Eight Hundred Thousand  Pesos (Php 800,000.00) being the Approved Budget for the Contract (ABC) to payments under the contract for the “Supply and Delivery</t>
  </si>
  <si>
    <t xml:space="preserve"> PURCHASE OF SUPPLIES FOR THE REPAIR AND MAINTENANCE OF WATER SYSTEM</t>
  </si>
  <si>
    <t xml:space="preserve"> NBC-0520-143</t>
  </si>
  <si>
    <t xml:space="preserve"> Invitation to Bid For Supply and Delivery of 18 Units Laptop Computer 1.	The LAND BANK OF THE PHILIPPINES (LANDBANK), through its Corporate Budget for the contract approved by the Board of Directors for 2019 intends to apply the total sum of One Million F</t>
  </si>
  <si>
    <t xml:space="preserve"> 1 UNIT GARBAGE TRUCK(LOWERED) DUMPTRUCK DROPSIDE(EXTENDED)</t>
  </si>
  <si>
    <t xml:space="preserve"> 250 boxes Disposable cap 21" 100's</t>
  </si>
  <si>
    <t xml:space="preserve"> 2 Sets Dashboard Camera (Front and Rear) 1.	Channels (number of cameras): 2CH (Front and Rear) 2.	Front Camera Resolution: at least 1080p; with viewing angle of at least 140°  3.	Rear Mount Camera Resolution: at least 1080p; with viewing angle of at least</t>
  </si>
  <si>
    <t xml:space="preserve"> Equipment / Equipment Accessories and Services 						 		For use of Mitsubishi Pajero (HI-3559)						 1		Ball Joint Assembly			1 	pc.		 2		Tie Rod End			1 	pc.		 3		Pressure Plate			1 	pc.		 4		Clutch Disk			1 	pc.		 5		Air Filter			1 	pc.		 6		Fuel Filter</t>
  </si>
  <si>
    <t xml:space="preserve"> ITEM NO.	ITEM &amp; DESCRIPTION	 BRAND	UOM	QTY. 1	Rolled gauze 100 yards/rolls		Rolls	10 2	IV cannula G#18 Cathula		Pcs	200 3	Macroset		Pcs	200 4	Surgical gloves 50’s S#6.5		Box	10 5	Surgical gloves 540’s S#7.5		Box	10 6	Surgical gloves 50’s S#7.5		Box	5 7	Ex</t>
  </si>
  <si>
    <t xml:space="preserve"> OPENING OF BIDS IN DSWD FO IX, DELIVERY IN DSWD-HOME FOR ELDERLY, TALON-TALON ZC PROCUREMENT FOR THE FF.: 1 svrc. CHANGE OF STEEL ROOFTOP @ 12,000.00 1 svrc. CHANGE OF NEW REAR .DOOR with GLASS @ 14,000.00 1 svrc. CHANGE OF SIDE RING LEFT &amp; RIGHT WITH GLA</t>
  </si>
  <si>
    <t xml:space="preserve"> Repainting of Covered Court</t>
  </si>
  <si>
    <t xml:space="preserve"> August 19, 2020 P-RFQ No. 2020-015B REQUEST FOR QUOTATION SUPPLY AND DELIVERY OF ELECTROMAGNETIC FLOWTUBE AND POTTING KIT The Santa Maria Water District (SMWD) hereinafter referred to as “the Purchaser”, through its Bids and Awards Committee (BAC), invite</t>
  </si>
  <si>
    <t xml:space="preserve"> The Brgy. goverment of El Pardo, would like to invite all qualified suppliers &amp; dealers of common office supplies: Kindly note the following terms: 1. SUPPLIERS &amp; DISTRIBUTORS MUST BE PhilGEPS Registered. 2. RFQ FORM with SPECIFICATIONS ARE AVAILABLE STAR</t>
  </si>
  <si>
    <t xml:space="preserve"> OPENING OF BIDS IN DSWD FO IX ZAMBOANGA CITY				 DELIVERY IN HOME FOR ELDERLY TALON-TALON ZC				 PROCUREMENT FOR THE FF.:				 				 1 LOT MEDICAL &amp; LABORATORY SUPPLIES  NOTE: SEE ATTACHED CANVASS PAPER AT ASSOCIATED COMPONENT 1.				 				 150 Boxes Face Mas</t>
  </si>
  <si>
    <t xml:space="preserve"> PRINTER EPSON WITHOUT SCANNER 2</t>
  </si>
  <si>
    <t xml:space="preserve"> Invitation to Bid For One (1) Year Background Investigation Services for LANDBANK’s 1,000 Applicants for Employment and Special Cases 1. The LAND BANK OF THE PHILIPPINES (LANDBANK), through its Corporate Budget for the contract approved by the Board of Di</t>
  </si>
  <si>
    <t xml:space="preserve"> Republic  of the Philippines Province of Marinduque Municipality of Torrijos Barangay  Malinao INVITATION TO BID  FOR THE SUPPLY AND DELIVERY MATERIALS FOR THE INSTALLATION OF SITIO STREETLIGHT (PUROK MIRASOL,ROSAL AND ADELFA) 1.	The Sangguniang Barangay </t>
  </si>
  <si>
    <t xml:space="preserve"> INVITATION TO BID FOR  Supply of Autocad License Software for BULO SRIP ITB No. NIAR3-2020-BULO SRIP-AUTOCAD-G4 1.	NATIONAL IRRIGATION ADMINISTRATION – REGION 3, through the General Appropriations Act of CY 2020 intends to apply the sum of One Million Fou</t>
  </si>
  <si>
    <t xml:space="preserve"> NOTICE FOR NEGOTIATED PROCUREMENT THE PROCUMENT OF SCHOOL FURNITURE AND FIXTURES (Executive Table and Swivel Chairs) FOR IDENTIFIED SCHOOLS OF DEPED, DIVISION OF PAGADIAN CITY.  1. In view of the two(2) failed biddings, the DEPARTMENT OF EDUCATION (DepEd)</t>
  </si>
  <si>
    <t xml:space="preserve"> PURCHASE  OF RISOGRAPH MACHINE AND ITS ACCESSORIES SPECS: 90 PPM; FULLY DETACHABLE DRUM UNIT; MASTER RUN LENGTH OF 30,000 PRINTS; INK 500ML, 100 CUTS MASTER ROLL; LIFETIME FREE SERVICE WITH REGULAR CHECK UP; FREE INITIAL CONSUMABLES AND MACHINE CABINETS  </t>
  </si>
  <si>
    <t xml:space="preserve"> Request for Quotation for the Procurement of 300 bags Corn Grits needed for the DA SAAD Native Chicken Production Project in the Province of Bohol 1.	The Department of Agriculture-Regional Field Office 7 (DA-RFO 7), through the General Appropriations Act </t>
  </si>
  <si>
    <t xml:space="preserve"> Supply &amp; Delivery of Shallow Tube well ABC:500,000.00 	5 units Pump &amp; Engine Set (Shallow Tube Well) -	Pump and Engine Set (Coupled) -	Max fuel consumption @ max system efficiency: 1.8 L/hour -	System efficiency : 12% Specs: Pump: (based on coupled AMTEC </t>
  </si>
  <si>
    <t xml:space="preserve"> Construction of Multipurpose Building/Peoples Center</t>
  </si>
  <si>
    <t xml:space="preserve"> 1 lot Supply Labor, equipment and materials for the repair/ rehabilitation of Roll up door in the BSP-Cagayan de Oro Branch. Please refer to separate sheet for the Scope of Work and specifications xxx Nothing Foll0ws xxx</t>
  </si>
  <si>
    <t xml:space="preserve"> Training on the Culture and Management of Tilapia in Upland Fishpond Areas	72	pax	 36,000.00 	 Catering Services for 36 pax x 2 days				 Inclusions:				 *Packed lunch &amp; snacks				 * 1 meal (Lunch) and 2 snacks (AM &amp; PM)				 *With rice and 2 viands				 *Wi</t>
  </si>
  <si>
    <t xml:space="preserve"> Supply &amp; Delivery of Laboratory Supplies ABC:57,000.00 	10  sacks Crack Corn  -	Yellow 	30 sacks Trigo/Wheat -	50 kgs/bag -	Big grains -	White in color and clean 	Delivery period: 30 days 	Delivery site: DA-RCPC, Tacurong City  Note: Bidders must quote in</t>
  </si>
  <si>
    <t xml:space="preserve"> Prospective bidders should have experience in undertaking a similar project within the last two (2) years with an amount of at least 50% of the proposed project for bidding.  The Eligibility Check/Screening as well as the Preliminary Examination of bids s</t>
  </si>
  <si>
    <t xml:space="preserve"> SEE BAC SECRETARIAT FOR MORE DETAILS</t>
  </si>
  <si>
    <t xml:space="preserve"> August 19, 2020 P-RFQ No. 2020-018 REQUEST FOR QUOTATION SUPPLY AND DELIVERY OF VARIOUS IT EQUIPMENTS The Santa Maria Water District (SMWD) hereinafter referred to as “the Purchaser”, through its Bids and Awards Committee (BAC), invite interested parties </t>
  </si>
  <si>
    <t xml:space="preserve"> Various Office Supplies for Brgy. E. Lopez National High School with Approved Budget of Php168,547.19</t>
  </si>
  <si>
    <t xml:space="preserve"> Construction of One-Storey 8m Width x 16m Long Evacuation Center Item No. - Description				Percent of Total	Unit	Quantity 						 I	Standard Billboard			0.35%	Each	1.00 II	Structural Excavation			0.67%	cu.m.	35.50 III	Embankment			4.53%	cu.m.	148.00 IV	Rei</t>
  </si>
  <si>
    <t xml:space="preserve"> INVITATION TO BID  for Purchase of Office Supplies (G-20-05) 1.	The Central Bicol State University of Agriculture (CBSUA), through the GAA (101) Fund intends to apply the sum of Two Million One Hundred Seven Thousand Eight Hundred Seventy Pesos and 16/100</t>
  </si>
  <si>
    <t xml:space="preserve"> PRINTER EPSON WITHOUT SCANNER 3</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</si>
  <si>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</si>
  <si>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File Folder 75mm230mm380mm								 									 1		File Folder 75mm230mm380mm			2000 	pcs.			 		-x-x-x-x-x-x-x-x-x-x-x-x-x-x-x</t>
  </si>
  <si>
    <t xml:space="preserve"> One (1) Unit Printer w/ Scanner</t>
  </si>
  <si>
    <t xml:space="preserve"> SUPPLEMENTAL BID BULLETIN NO. 02 Project Title:	Procurement of Various Supplies and Materials for CRM and Livelihood Sub-Projects under FishCORAL Project, CY 2019 Reference No.:	7172526 		            Date		:    	August 19, 2020 Relative to the scheduled c</t>
  </si>
  <si>
    <t xml:space="preserve"> 1. Lunch and Snacks for 86 person in 3 days Day 1: Am. Snacks: torta, water, softdrinks Lunch: beef afritada, chopsuey, fried chicken, rice, fruites, water, softdrinks Pm. Snacks: boko pie, water, softdrinks Day 2: Am. Snacks: burger, water, softdrinks Lu</t>
  </si>
  <si>
    <t xml:space="preserve"> Republic of the Philippines									 Province of Batangas									 Municipality of Sto. Tomas									 Barangay SAN ANTONIO									 									 									 INVITATION TO BID									 									 The Barangay Government of San Antonio, Sto. Tomas, Batangas thro</t>
  </si>
  <si>
    <t xml:space="preserve"> Diesel and Gasoline</t>
  </si>
  <si>
    <t xml:space="preserve"> The PHILIPPINE SCIENCE HIGH SCHOOL SYSTEM - CALABARZON REGION CAMPUS (PSHS-CBZRC) intends to apply the sum of FOUR HUNDRED FIFTY THOUSAND SEVEN HUNDRED PESOS (Php450,700.00) being the Approved Budget for the Contract (ABC) to pay for the contract for the </t>
  </si>
  <si>
    <t xml:space="preserve"> Supply &amp; Delivery of Various Rice Seeds ABC:400,000.00 	50  bags Certified Rice Seeds, Lowland (Inbred) NSIC RC 160 	50 bags  Certified Rice Seeds, Lowland (Inbred) NSIC RC 216 	50  bags Certified Rice Seeds, Lowland (Inbred) NSIC RC 226 	50 bags  Certifi</t>
  </si>
  <si>
    <t xml:space="preserve"> Supply &amp; Delivery of ICT Equipment &amp; Computer Supplies ABC:100,100.00 	1  pc Computer Keyboard 	1 pc CPU with updated program 	15 pcs Toner Ink for Canon 303 (LBP 2900 Printer) Genuine  	6 pcs Pocket Wifi, Smart bro/ Globe Broadband 	6 pcs Power banks 50,</t>
  </si>
  <si>
    <t xml:space="preserve"> Republic of the Philippines									 DEPARTMENT OF AGRARIAN REFORM									 Provincial Agrarian Reform Office									 Bantayan, Dumaguete City									 									 REQUEST FOR QUOTATION									 									 					No.:	08-20-108			 					Date:	20-Aug-20			 				</t>
  </si>
  <si>
    <t xml:space="preserve"> The PHILIPPINE SCIENCE HIGH SCHOOL SYSTEM - CALABARZON REGION CAMPUS (PSHS-CBZRC) intends to apply the sum of EIGHTY-FIVE THOUSAND PESOS (Php85,000.00) being the Approved Budget for the Contract (ABC) to pay for the contract for the Project: SUPPLY AND DE</t>
  </si>
  <si>
    <t xml:space="preserve"> Republic of the Philippines Province of Camarines Norte Municipality of Sta Elena BARANGAY KABULUAN BIDS AND AWARD COMMITTEE INVITATION TO BID FOR PURCHASE OF INSTALLATION OF SOLAR STREET LIGHTS ITB NO. 20-08 1. The BARANGAY KABULUAN STA ELENA CAMARINES N</t>
  </si>
  <si>
    <t xml:space="preserve"> The Department of Public Works and Highways Negros Occidental 2nd District Engineering Office ,through its Bids and Awards Committee (BAC) for Goods, invites suppliers to submit bids for the following Contract:          Contract ID         : 20GGL0010    </t>
  </si>
  <si>
    <t xml:space="preserve"> The PHILIPPINE SCIENCE HIGH SCHOOL SYSTEM - CALABARZON REGION CAMPUS (PSHS-CBZRC) intends to apply the sum of TWO HUNDRED FOUR THOUSAND EIGHT HUNDRED TWENTY PESOS (Php204,820.00) being the Approved Budget for the Contract (ABC) to pay for the contract for</t>
  </si>
  <si>
    <t xml:space="preserve"> 1	420	bags	Portland Cement			 2	330	pcs.	10mm dia. X 6m RSB			 3	30	pcs.	16mm dia. X 6m RSB			 4	1,000	pcs.	5" CHB			 5	55	kgs.	#16 Tie Wire			 6	5	pcs.	1/4" thk Phenolic Plywood			 7	4	kgs.	Assorted CWN			 8	200	bd.ft.	Lumber			 			XX X X X X X X X X X X</t>
  </si>
  <si>
    <t xml:space="preserve"> Construction of School Fence @ Binalian Elementary School,Binalian,Kayapa,Nueva Vizcaya</t>
  </si>
  <si>
    <t xml:space="preserve"> Republic of the Philippines Province of Camarines Sur MUNICIPALITY OF BAAO INVITATION TO BID FOR THE CATERING SERVICES CATERING SERVICES FOR IMT/IATF COVID-19/ASF AND OTHER DISASTER RELATED ACTIVITIES 1. The LOCAL GOVERNMENT UNIT OF BAAO, through the Budg</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</si>
  <si>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</si>
  <si>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Republic of the Philippines DEPARTMENT OF AGRICULTURE Philippine Rural Development Project  PSO-Visayas Cluster RPCO-7 Province of Bohol INVITATION TO QUOTE ________________________________________________________________ CONSTRUCTION OF GETAFE SEAWEEDS W</t>
  </si>
  <si>
    <t xml:space="preserve"> 1 unit – 4WD 21- 22 HP Tractor  with rotavator and complete accessories (Diesel) 2 units – 4WD 35-36 HP Tractor with rotavator and complete accessories, tools and heavy duty trailer 35 units – 2.5 HP electric water pump with fittings and complete accessor</t>
  </si>
  <si>
    <t xml:space="preserve"> The PHILIPPINE SCIENCE HIGH SCHOOL SYSTEM - CALABARZON REGION CAMPUS (PSHS-CBZRC) intends to apply the sum of THREE HUNDRED FIFTY-NINE THOUSAND SIX HUNDRED FORTY PESOS (Php359,640.00) being the Approved Budget for the Contract (ABC) to pay for the contrac</t>
  </si>
  <si>
    <t xml:space="preserve"> OPENING OF BIDS IN DSWD FO IX ZAMBOANGA CITY,				 DELIVERY IN DSWD FO IX ZAMBOANGA CITY				 PROCUREMENT FOR THE FF.:				 				 60	GAL	ALCOHOL, ETHYL, 68%-70%, SCENTED, 500ml., COLORLESS, CLEAT LEQUID, FULLY MISCIBLE IN WATER , IN PLASTIC BOTTLE, FLIP TOP C</t>
  </si>
  <si>
    <t xml:space="preserve"> Lot 1 - Paper Supplies and Products Lot 2 - Common Office Supplies Lot 3 - Computer Supplies Lot 4 - Cleaning Supplies Lot 5 - Consumables</t>
  </si>
  <si>
    <t xml:space="preserve"> The Works consist of 1. Project Billboard 2. Clearing and Demolition 3. Manual Excavation 4. Grouted Riprap 5. Concrete Railings</t>
  </si>
  <si>
    <t xml:space="preserve"> The Brgy. goverment of El Pardo, would like to invite all qualified suppliers &amp; dealers of common  supplies: Kindly note the following terms: 1. SUPPLIERS &amp; DISTRIBUTORS MUST BE PhilGEPS Registered. 2. RFQ FORM with SPECIFICATIONS ARE AVAILABLE STARTING A</t>
  </si>
  <si>
    <t xml:space="preserve"> 1	185	bags	Portland Cement			 2	5.2	cu.m.	Gravel 3/4			 3	17.6	cu.m.	Sand			 4	10	pcs.	3" dia. X 3m PVC			 5	6	pcs.	2" dia. X 3m PVC			 6	8	pcs.	3" x 2" WYE PVC			 7	16	pcs.	2" dia. PVC Elbow			 8	8	pcs.	2" dia. P-Trap			 9	2	pcs.	2" dia. 45 deg. Elbow PV</t>
  </si>
  <si>
    <t xml:space="preserve"> Republic of the Philippines Province of Leyte MUNICIPALITY OF MACARTHUR Invitation to Bid for  PURCHASE OF 12 UNITS SESSION TABLE AND 12 UNITS EXECTUIVE CHAIR 	           The MUNICIPALITY OF MACARTHUR, LEYTE, through the SB Capital Outlay 2020  intends to</t>
  </si>
  <si>
    <t xml:space="preserve"> Carpet for Function Hall A  223 Sq.m</t>
  </si>
  <si>
    <t xml:space="preserve"> Stock/Property No.                     Unit Item                   Description                                 Quantity 1                                               ream                         Bond paper (long)                        272 2            </t>
  </si>
  <si>
    <t xml:space="preserve"> Procurement of Herbicide and Seed Treatment under the Corn Production Program of MAGRO - Laak, Davao De Oro with an ABC of Php. 180,000.00.</t>
  </si>
  <si>
    <t xml:space="preserve"> CONSTRUCTION OF TWO STOREY/EIGHT-CLASSROOM BUILDING TYPE II (PHASE II) PAMBAYANG KOLEHIYO NG MAUBAN CAMPUS, NATIONAL HIGHWAy, BRGY. POLO, MAUBAN, QUEZON 1.	The Local Government Unit of Mauban  through the GENERAL FUND-8751/1-07-04-020, 2020 intends to app</t>
  </si>
  <si>
    <t xml:space="preserve"> Republic of the Philippines Province of South Cotabato City of Koronadal BIDS AND AWARDS COMMITTEE Invitation to Bid for the Installation of 127 Units Integrated Solar Street Lights, City of Koronadal 1.	The City Government of Koronadal, through its, TRUS</t>
  </si>
  <si>
    <t xml:space="preserve"> The Brgy. goverment of El Pardo, would like to invite all qualified suppliers &amp; dealers of Lap Tops &amp; printer. Kindly note the following terms: 1. SUPPLIERS &amp; DISTRIBUTORS MUST BE PhilGEPS Registered. 2. BID FORM with SPECIFICATIONS ARE AVAILABLE STARTING</t>
  </si>
  <si>
    <t xml:space="preserve"> Item	Qty.	A R T I C L E S				 1		CLEAN &amp; BEAUTIFICATION				 2	20 gals	Paint traffic yellow				 3	20 gals	Paint blue				 4	11 gals	Paint white				 5	20 gals	Paint red				 6	10 pcs	Paint brush #4				 7	6 pcs	Paint brush #2				 8	6 pcs	Roller brush w/tray			</t>
  </si>
  <si>
    <t xml:space="preserve"> A. Big Disinfectant Fogging Machine (2	unitS) a)	Brand new  b)	Power capacity: 80-90W c)	Voltage: 220v-240V, 50/60Hz d)	Drum Volume/Tank Capacity: 12-13L e)	Warm-up/Pre-heating time: Continuous and automatic cut-off when waterless. f)	Smoke Exhaust: Depen</t>
  </si>
  <si>
    <t xml:space="preserve"> Republic of the Philippines Province of Eastern Samar Municipality of Lawaan INVITATION TO BID  ITB NO. 2020-003-GOODS PROCUREMENT OF FOUR (4) UNITS DIGITAL DUPLICATOR 1.	The Local Government Unit of Lawaan, Eastern Samar, through SEF 2020 and  General Fu</t>
  </si>
  <si>
    <t xml:space="preserve"> IMPROVEMENT OF MULTI-PURPOSE HALL LOCATED @ BRGY SAN PEDRO, AGOO, LA UNION</t>
  </si>
  <si>
    <t xml:space="preserve"> 1. SITE WORKS 2.CONCRETE WORKS 3. REBAR WORKS</t>
  </si>
  <si>
    <t xml:space="preserve"> SUPPLY, DELIVERY, INSTALLATION AND COMMISSIONING OF GENERATOR</t>
  </si>
  <si>
    <t xml:space="preserve"> Republic of the Philippines Province of Cagayan MUNICIPALITY OF CALAYAN Calayan, Cagayan INVITATION TO BID ITB No./PhilGEPS Reference No. 7188069 CONSTRUCTION OF POWER TRANSMISSION/DISTRIBUTION LINE  at Barangay Centro 2 and Magsidel, Calayan, Cagayan 1.	</t>
  </si>
  <si>
    <t xml:space="preserve"> Invitation to Bid for  Construction of New Evacuation Center No. 2020-08-001 The Local Government Unit of Prieto Diaz, through the Trust Fund-LGSF-AM with Municipal Counterpart from 20% Municipal Development Fund-2020  intends to apply the sum of Six Mill</t>
  </si>
  <si>
    <t xml:space="preserve"> Rehabilitation of 6.610 Lane Km concrete road and installation of road safety devices</t>
  </si>
  <si>
    <t xml:space="preserve"> Supply and Delivery of one (1) unit Computer Laptop for CBAA Cebu City Field Office Minimum requirements: Intel Core i5, 1 TB HDD, 4GB memory, 14" LED display Windows 10, MS Office Home (Perpetual) Battery pack, Bluetooth mouse, Auto voltage regulator Bac</t>
  </si>
  <si>
    <t xml:space="preserve"> Republic of the Philippines  Department of  Science and Technology  Regional Office No. IX  Pettit Barracks,   Zamboanga  CIty Tel. Nos. (062) 992-1114; (062) 991-1024 INVITATION TO BID SUPPLY AND DELIVERY OF VARIOUS REAGENTS FOR MICROBIOLOGY LABORATORY  </t>
  </si>
  <si>
    <t xml:space="preserve"> INVITATION TO SUBMIT QUOTATION Supply and Delivery of Equipment and Software for CEIT 1. The Cavite State University (CvSU) invites interested firms/supplier to submit quotation for the project “Supply and Delivery of Equipment and Software for CEIT” with</t>
  </si>
  <si>
    <t xml:space="preserve"> 8 units of Solar Panel</t>
  </si>
  <si>
    <t xml:space="preserve"> The Brgy. goverment of El Pardo, would like to invite all qualified suppliers &amp; dealers of AIRCONDITION UNITS: Kindly note the following terms: 1. SUPPLIERS &amp; DISTRIBUTORS MUST BE PhilGEPS Registered. 2. RFQ FORM with SPECIFICATIONS ARE AVAILABLE STARTING</t>
  </si>
  <si>
    <t xml:space="preserve"> Republic of the Philippines Province of Oriental Mindoro MUNICIPALITY OF PINAMALAYAN OFFICE OF THE BIDS AND AWARDS COMMITTEE Invitation to Bid ITB-2020-45 1.  The Municipal Government of Pinamalayan, Oriental Mindoro, through the authorized appropriations</t>
  </si>
  <si>
    <t xml:space="preserve"> CONSTRUCTIO OF PKM MULTI-PURPOSE COVERED COURT (PHASE II) PAMBAYANG KOLEHIYO NG MAUBAN CAMPUS, NATIONAL HIGHWAY, BRGY. POLO, MAUBAN, QUEZON. 1.	The Local Government Unit of Mauban  through the GENERAL FUND-8751/1-07-04-020, 2020 intends to apply the sum o</t>
  </si>
  <si>
    <t xml:space="preserve"> Food items: noodles, coffee, sugar, Non food items; soap, sanitizer</t>
  </si>
  <si>
    <t xml:space="preserve"> 1    UNIT   PREPAID WIFI</t>
  </si>
  <si>
    <t xml:space="preserve"> Republic of the Philippines BARANGAY LODLOD BIDS AND AWARDS COMMITTEE INVITATION TO BID The Barangay Government of BARANGAY LODLOD through its Bids and Awards Committee (BAC), invites suppliers/manufacturers/distributors to bid for the hereunder project: </t>
  </si>
  <si>
    <t xml:space="preserve"> Name of Procuring Entity:  LGU-WAO                               			Request for Quotation (P.R. No.): Revised on:							   	  Date:   August 20, 2020 Standard Form/Title:   REQUEST FOR QUOTATION           			Office/End-User: Engineering/LPE               </t>
  </si>
  <si>
    <t xml:space="preserve"> Republic of the Philippines Province of Oriental Mindoro MUNICIPALITY OF PINAMALAYAN OFFICE OF THE BIDS AND AWARDS COMMITTEE Invitation to Bid ITB-2020-46 1.  The Municipal Government of Pinamalayan, Oriental Mindoro, through the authorized appropriations</t>
  </si>
  <si>
    <t xml:space="preserve"> Republic of the Philippines Province of Cagayan MUNICIPALITY OF CALAYAN Calayan, Cagayan INVITATION TO BID ITB No./PhilGEPS Reference No. 7188104 SUPPLY AND DELIVERY OF BAGGAGE X-RAY MACHINE AND HEAVY EQUIPMENT (Calayan, Cagayan) 1.	The Local Government o</t>
  </si>
  <si>
    <t xml:space="preserve"> Republic of the Philippines Province of Iloilo  BIDS AND AWARDS COMMITTEE REQUEST FOR QUOTATION Quotation No.ICT-20-0756-NP2 (SV) Reference PR No. ICT-20-0756 August 17, 2020 ______________________________ ______________________________ __________________</t>
  </si>
  <si>
    <t xml:space="preserve"> Description: Republic of the Philippines Province of Bulacan Municipality of Calumpit INVITATION TO BID The Brgy. Sapang Bayan, Calumpit, Bulacan through its Bids and Awards Committee (BAC), Invites all prospective bidders to apply for eligibility and sub</t>
  </si>
  <si>
    <t xml:space="preserve"> Republic of the Philippines PROVINCE OF PAMPANGA City of San Fernando INVITATION TO BID NO. 2020-34 MEDIC-BAC INVITATION TO BID FOR PURCHASE REQUEST NO. 20-1749 The Provincial Government of Pampanga (“Province”) intends to apply the following sums from th</t>
  </si>
  <si>
    <t xml:space="preserve"> 91      sacks    Commercial Rice 43      boxes    Corn Beef 15      boxes    Noodles 16      boxes    Coffee 6        sacks    Sugar</t>
  </si>
  <si>
    <t xml:space="preserve"> 196    ltrs     Unleaded</t>
  </si>
  <si>
    <t xml:space="preserve"> complete bidding</t>
  </si>
  <si>
    <t xml:space="preserve"> 1 Unit Photocopier						 Specifications:						 - Copy, print, scan and optional fax function						 -600, fast 1200 dpi resolution						 -Up to 24/12  A4/A3 pages per minute in colour and b/w						 - Automatic back to back printing						 -Automatic Sorting</t>
  </si>
  <si>
    <t xml:space="preserve"> INVITATION TO BID 	 Date: August 19, 2020 1.	The Provincial Government of Davao Occidental, through its Bids and Awards Committee (BAC), invites all potential contractors to apply to bid for the following infrastructure projects: IB NO.	Description	ABC	So</t>
  </si>
  <si>
    <t xml:space="preserve"> CONSTRUCTION OF PKM ADMINISTRATION BUILDING (PHASE II) PAMBAYANG KOLEHIYO NG MAUBAN CAMPUS, NATIONAL HIGHWAY, BRGY. POLO, MAUBAN, QUEZON. 1.	The Local Government Unit of Mauban  through the GENERAL FUND-8751/1-07-04-020, 2020 intends to apply the sum of T</t>
  </si>
  <si>
    <t xml:space="preserve"> VIDEO PRODUCTION</t>
  </si>
  <si>
    <t xml:space="preserve"> Purchase of Communication Equipment, Cabinet, Office Tables and Chairs for establishment of DRRM Operation Center</t>
  </si>
  <si>
    <t xml:space="preserve"> INVITATION TO BID FOR THE REPRODUCTION / PRINTING SERVICES OF QUALITY ASSURED MODULES FOR PROJECT WRITE, WRITE, WRITE OF SCHOOLS DIVISON OFFICE, CITY OF ALAMINOS, PANGASINAN 1.	The CITY GOVERNMENT OF ALAMINOS, PANGASINAN through its Special Education Fund</t>
  </si>
  <si>
    <t xml:space="preserve"> RFQ-2020-252		 			 1.	3	mos.	SECURITY SERVICES from October to December, 2020 			(4 guards/month) 			 	Deadline for Submission of Bids: August 26, 2020, 11:00 AM		 			PAYMENT TERM: 90 DAYS</t>
  </si>
  <si>
    <t xml:space="preserve"> ITEM NO.	ITEM &amp; DESCRIPTION					QTY.	UoM 1	Laptop Computer						3	unit 	Specs:							 	AMD Ryzen 5 3550H Processor, Windows 10 Home							 	8GB DDR4 2400MHz SDRAM, 2 x SO-DIMM socket for							 	expansion, Up to 32GB SDRAM, Dual-Channel							 	15.6-in (1</t>
  </si>
  <si>
    <t xml:space="preserve"> INVITATION TO BID 	 The Municipality of Liloan, Southern Leyte through its Bids and Awards Committee (BAC), invites suppliers/manufacturers/distributors/contractors to bid for the following: 1.	Improvement of Park Entrance Location:  Market Area, Poblacio</t>
  </si>
  <si>
    <t xml:space="preserve"> ITEM                                                    UNIT OF ISSUE               QTY.                   ESTIMATED PRICE Bond paper (Long)                                      ream                        350                       230.00 Ink Refill (Univ</t>
  </si>
  <si>
    <t xml:space="preserve"> Procurement of Agricultural and Marine Supplies and Vaccine of MAGRO - Laak, Davao De Oro with an ABC of Php. 150,000.00.</t>
  </si>
  <si>
    <t xml:space="preserve"> September 7-11, 2020 AM Snack - Served w/ native delicacies &amp; drinks bottled/in can Lunch - Served w/ soup, 3 viands, rice, desert and drinks bottled/ in can PM Snack - Served w/ native delicacies &amp; drinks bottled/in can *  with free flowing coffee, lemon</t>
  </si>
  <si>
    <t xml:space="preserve"> Republic of the Philippines          City of Dumaguete Bids and Awards Committee INVITATION TO BID FOR PURCHASE REQUEST OF 304 BAGS PORTLAND CEMENT (40KGS/BAG) TYPE 1 AND OTHER ITEMS 	The City of Dumaguete thru its BIDS AND AWARDS COMMITTEE (BAC), invites</t>
  </si>
  <si>
    <t xml:space="preserve"> Republic of the Philippines PROVINCE OF ZAMBOANGA DEL NORTE Municipality of Sibutad BIDS AND AWARDS COMMITTEE AUGUST 20, 2020 INVITATION TO BID The Local Government Unit of Sibutad, Zamboanga del Norte under P.R. No. GFP100-2020-08-081 dated AUGUST 6, 202</t>
  </si>
  <si>
    <t xml:space="preserve"> SUPPLY OF MATERIALS &amp; RENTAL OF EQUIPMENT</t>
  </si>
  <si>
    <t xml:space="preserve"> RFQ-2020-251		 			 1.	3	mos.	JANITORIAL SERVICES from October to December, 2020 			(8 persons/month) 			 	Deadline for Submission of Bids: August 26, 2020, 11:00 AM		 			PAYMENT TERM: 90 DAYS</t>
  </si>
  <si>
    <t xml:space="preserve"> Republic of the Philippines BARANGAY 8 BIDS AND AWARDS COMMITTEE INVITATION TO BID The Barangay Government of BARANGAY 8 through its Bids and Awards Committee (BAC), invites suppliers/manufacturers/distributors to bid for the hereunder project: Name of Pr</t>
  </si>
  <si>
    <t xml:space="preserve"> INVITATION TO BID FOR THE PROCUREMENT OF VARIOUS MATERIALS AND DIVING GEAR AND EQUIPMENT FOR THE IMPLEMENTATION OF ACTION FOR RESOURCE CONSERVATION TOWARDS HABITAT MANAGEMENT (ARTH) PROJECT FOR THE CITY GOVERNMENT OF ALAMINOS, PANGASINAN 1.	The CITY GOVER</t>
  </si>
  <si>
    <t xml:space="preserve"> Electrcial Supplies to be used for 83KVA generator</t>
  </si>
  <si>
    <t xml:space="preserve"> INVITATION TO SUBMIT QUOTATION Supply and Delivery of Office Supplies and Equipment for Department of Economics – CEMDS  1. The Cavite State University (CvSU) invites interested firms/supplier to submit quotation for the project “Supply and Delivery of Of</t>
  </si>
  <si>
    <t xml:space="preserve"> Invitation to Bid for  SUPPLY &amp; DELIVERY OF MATERIALS FOR THE CONSTRUCTION OF SOIL RETAINING WALL WITH LINE DITCH , SITIO DIOMEL, BRGY. BANGA, WAO, LANAO DEL SUR ---------------------------------------------------------------------------------------------</t>
  </si>
  <si>
    <t xml:space="preserve"> 4.5 cu. m ordinary gravel 15 cu. m sand  100 bags cement  40 pcs 2"x3"x12' cocolumber 33 pcs 12mm rsb  24 pcs 9mm rsb  5 kg 4"cwn  12 cu. m boulder stone 4"to 8" diam  8 kg G. I Tie wire 6 pcs 1/4" marine plywood</t>
  </si>
  <si>
    <t xml:space="preserve"> SUPPLIES, ECCD MODULES &amp; CHECLIST FOR MSWDO, MAPANAS, NORTHERN SAMAR 750        Pcs.             Sharpener     65         Doz.            Pencil   5          Boxes          Ballpen  50          Bottles        Alcohol 500 ml.  15          Reams         A4 </t>
  </si>
  <si>
    <t xml:space="preserve"> USE LINK TO VIEW THE BIDDING DOCUMENTS https://drive.google.com/file/d/1ULMjUGBt7y2z4KOF4EZRvX3hmCh3wpi3/view?usp=drivesdk</t>
  </si>
  <si>
    <t xml:space="preserve"> I. ELECTRICAL WORKS II. CARPENTRY WORKS (CEILING &amp; DOOR) III. TILE WORKS</t>
  </si>
  <si>
    <t xml:space="preserve"> Paving of Shoulders of L=1,699.42m, W=6.00m,T=0.23m. Installation of CHB Canal with Stiffener, Const. of Slope Protection Structures and Application of Thermoplastic Pavement Markings and Road Safety Devices</t>
  </si>
  <si>
    <t xml:space="preserve"> 2 pieces Gear Pump Assembly</t>
  </si>
  <si>
    <t xml:space="preserve"> Republic of the Philippines Province of Zambales MUNICIPALITY OF PALAUIG BARANGAY BULAWEN -0- BIDS AND AWARD COMMITTEE INVITATION TO APPLY FOR ELIGIBILITY AND TO BID The Local Government Unit of Barangay Bulawen, Palauig, Zambales  thru its Bids and Award</t>
  </si>
  <si>
    <t xml:space="preserve"> Republic of the Philippines          City of Dumaguete Bids and Awards Committee INVITATION TO BID FOR PURCHASE REQUEST OF 10 GALS HEAVY DUTY H20 SOLUBLE DEGREASER AND OTHER ITEMS 	The City of Dumaguete thru its BIDS AND AWARDS COMMITTEE (BAC), invites al</t>
  </si>
  <si>
    <t xml:space="preserve"> PROCUREMENT OF SERVICES (PUBLICATION OF MUNICIPAL ORDINANCES) 9 ORDINANCES/3 ISSUES</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</si>
  <si>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</si>
  <si>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Republic of the Philippines          City of Dumaguete Bids and Awards Committee INVITATION TO BID FOR THE PURCHASE OF 1 UNIT BRAND NEW PASSENGER VAN 	The City of Dumaguete thru its BIDS AND AWARDS COMMITTEE (BAC), invites all interested manufacturers, su</t>
  </si>
  <si>
    <t xml:space="preserve"> Purchase of Chainsaw, Diving Apparatus and Body Bag for use during disaster preparedness and response.</t>
  </si>
  <si>
    <t xml:space="preserve"> Description Please quote your price inclusive of VAT on the item/s listed below, subject to the Terms and conditions of the RFQ, and submit your quotation duly signed by your representative not later than August 27, 2020 at CGSO for Goods. Upon receipt of</t>
  </si>
  <si>
    <t xml:space="preserve"> Equipment   1 Mini Dumptrcuk 1 Concrete Saw 1 Jackhammer w/ Air Compressor 1 Plkate Cimpactor One Bagger Concrete Mixer 2 Bar/ Shear Cutter 2 Electric Handrill 2 Rivete 2 Tile Cutter 1 Electric Edger Description 1.00 Site Works 1.01 Demolition Works 2.00 </t>
  </si>
  <si>
    <t xml:space="preserve"> PLEASE SEE ATTACHED DOCUMENT/S. THANK YOU.</t>
  </si>
  <si>
    <t xml:space="preserve"> Republic of the Philippines          City of Dumaguete Bids and Awards Committee INVITATION TO BID FOR PURCHASE REQUEST OF 3 KGS CW NAILS 4” AND OTHER ITEMS 	The City of Dumaguete thru its BIDS AND AWARDS COMMITTEE (BAC), invites all interested manufactur</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</si>
  <si>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</si>
  <si>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Purchase of 5 Units Motorcycle</t>
  </si>
  <si>
    <t xml:space="preserve"> Republic of the Philippines          City of Dumaguete Bids and Awards Committee INVITATION TO BID FOR THE PURCHASE OF 1 UNIT PATROL/RESCUE VEHICLE 	The City of Dumaguete thru its BIDS AND AWARDS COMMITTEE (BAC), invites all interested manufacturers, supp</t>
  </si>
  <si>
    <t xml:space="preserve"> 1	Brand New Service Vehicle 4x4 Pick-Up	2	units	 4,450,000.00  	Specifications:			 	 4-Wheel Drive			 	 Diesel Fuel			 	 Displacement: 2,755 cc			 	 Tire Size: 265			 	 LED Bar Lights			 	 Rear Sway Bar			 	 Air Intake Snorkel Kit			 	 With Winch			 	xxxx</t>
  </si>
  <si>
    <t xml:space="preserve"> Republic of the Philippines BARANGAY CUMBA BIDS AND AWARDS COMMITTEE INVITATION TO BID The Barangay Government of BARANGAY CUMBA through its Bids and Awards Committee (BAC), invites suppliers/manufacturers/distributors to bid for the hereunder project: Na</t>
  </si>
  <si>
    <t xml:space="preserve"> Republic of the Philippines BARANGAY 2 BIDS AND AWARDS COMMITTEE INVITATION TO BID The Barangay Government of BARANGAY 2 through its Bids and Awards Committee (BAC), invites suppliers/manufacturers/distributors to bid for the hereunder project: Name of Pr</t>
  </si>
  <si>
    <t xml:space="preserve"> Rehabilitation of Soils Laboratory Extension (Ceiling &amp; Roof) ABC:180,745.43 	Project Description: •	Rehabilitation of Trusses, Roofing, Ceiling &amp; Gutter Project Site: BAEX BUILDING COMPOUND, Sinsuat Avenue , Cotabato City Project Duration : 25 Calendar D</t>
  </si>
  <si>
    <t xml:space="preserve"> RFQ-2020-253		 			 1.	300	sets	Complete PPE's 			* Hair Cap 			* N95 mask 			* Face shield 			* Cover all 			* Foot cover 			 	Deadline for Submission of Bids: August 26, 2020, 11:00 AM		 			PAYMENT TERM: 90 DAYS</t>
  </si>
  <si>
    <t xml:space="preserve"> Republic of the Philippines Province of Pampanga Municipality of Lubao INVITATION TO BID FOR CONCRETING OF BARANGAY ROAD (RIVERSIDE TO STO. DOMINGO) AT SAN FRANCISCO                                             PBD INFRA – 2020 - 079  The Municipality of L</t>
  </si>
  <si>
    <t xml:space="preserve"> ITEM: 1 lot Supply, Delivery &amp; Installation of Laboratory Refrigerator/Chiller		 					 Specifications:							 Temp. range: +2°C to +15°C             Capacity:8 to 10 cubic ft.							 Door: 1 glass door w/ double-pane glass panels with ergonomic handle	 Al</t>
  </si>
  <si>
    <t xml:space="preserve"> Procurement of Vegetable Seeds and Planting tools under the Vegetable Seed Production of MAGRO - Laak, Davao De Oro with an ABC of Php. 50,000.00.</t>
  </si>
  <si>
    <t xml:space="preserve"> 1	1	unit	LAPTOP 			Specification: 			A514-52G-75MR, NX.HT2SP.001 INTEL CORE i7-105A0U PROCESSOR (8MB SMART CACHE, 1.8 GHz, DDR4 OR LPSSR3,15W) 8X2 = 16GB MEMORY UPGRADABLE UP TO 32GB 256B NVMe SSD+1 TB 2.5 inch 5400 RPM 14” DISPLAY w/IPS (in-Plane Switchi</t>
  </si>
  <si>
    <t xml:space="preserve"> PRO POWER</t>
  </si>
  <si>
    <t xml:space="preserve"> INVITATION TO APPLY FOR ELIGIBILITY AND TO BID The Barangay Government of  Tejero, San Luis, Batangas, through its Barangay Bids and Awards Committee (BBAC), invites contractors registered with and classified by the Philippine Contractors Accreditation Bo</t>
  </si>
  <si>
    <t xml:space="preserve"> The Coron School of Fisheries request for Price qoutation for the supply and delivery of office supplies intended for the Printing of Modules for  Grade 7-10 SY2020-2021.</t>
  </si>
  <si>
    <t xml:space="preserve"> CONSTRUCTION OF PATHWAY AT SECTOR 3 LOCATED AT SAN ANTONIO, Agoo, La Union</t>
  </si>
  <si>
    <t xml:space="preserve"> Republic of the Philippines Province of Camarines Sur MUNICIPALITY OF BAAO INVITATION TO BID FOR THE CONCRETE PAVEMENT WITH DRAINAGE – POBLACION AREA (BARLIN ST., DON JUAN ST., SAN ROQUE) 1. The LOCAL GOVERNMENT UNIT OF BAAO, through the Budget for the co</t>
  </si>
  <si>
    <t xml:space="preserve"> DESCRIPTION Republic of the Philippines Province of Oriental Mindoro MUNICIPALITY OF NAUJAN BARANGAY SAN ANTONIO BIDS AND AWARDS COMMITTEE INVITATION TO BID SUPPLY &amp; DELIVERY OF MATERIALS TO BE USED IN ROAD DEVELOPMENT PROGRAM, SITIO 3, BARANGAY SAN ANTON</t>
  </si>
  <si>
    <t xml:space="preserve"> Department of Public Works and Highways (DPWH) Contract ID: 20GP0075 Contract Name: REPAIR/MAINTENANCE of MAMBUSAO RIVER REVETMENT (F40013PN) Brgy. Tumalalud,Mambusao, PANAY RIVER REVETMENT (F40014PN) Brgy. Bitoon,Ilawod,Cuartero, SIBAGUAN CREEK REVETMENT</t>
  </si>
  <si>
    <t xml:space="preserve"> Republic of the Philippines Province of Cavite MUNICIPALITY OF TERNATE BIDS AND AWARDS COMMITTEE INVITATION TO BID 1. The MUNICIPALITY OF TERNATE, CAVITE, through the LGU Fund intends to apply the sum of ONE HUNDRED TWENTY FOUR THOUSAND EIGHT HUNDRED PESO</t>
  </si>
  <si>
    <t xml:space="preserve"> PHIVIDEC INDUSTRIAL AUTHORITY	 MCT Complex, Tagoloan, Mis. Oriental	 Tel Nos: (08822) 740245, (088) 5670-315	 email add:  	procurement@piamo.gov.ph 	 	 Standard Form Number: SF-GOOD-60	 Revised on: May 24, 2004	Oct-16 Standard Form Title:  REQUEST FOR QUO</t>
  </si>
  <si>
    <t xml:space="preserve"> Lot 1 - Pump and VFD Control		 1	lot	Vertical In Line Centrifugal Pump with diamond polished tungsten carbide mechanical shaft seal  design for 120deg Celsius max temp coupled with Totally enclosed fan cooled electric motor 440V 60Hz 		304 S-S Impeller an</t>
  </si>
  <si>
    <t xml:space="preserve"> Waterworks Materials for the rehabilitation/improvement and maintenance of various Municipal Waterworks System</t>
  </si>
  <si>
    <t xml:space="preserve"> Makapagsagawa ng RT-PCR Test o SWAB Testing sa 30 katao, dalawang (2) beses sa magkahiwalay na araw.</t>
  </si>
  <si>
    <t xml:space="preserve"> REQUEST FOR EXPRESSION OF INTEREST (REOI) Hiring of Consultancy Services (Individual Consultant) Solicitation No. PSO-VIS-SIC-005-20 EPC: Php 168,000.00 1. The Government of the Philippines has received a loan from the World Bank towards the cost of the P</t>
  </si>
  <si>
    <t xml:space="preserve"> Catering Services-Meals &amp; Snacks for 3 days,Notebook,Ballpen,Plastic Envelope</t>
  </si>
  <si>
    <t xml:space="preserve"> Procurement of Supplies and Materials for Motorcycle/Small Engine Servicing NC II Training</t>
  </si>
  <si>
    <t xml:space="preserve"> Construction of multi-purpose Hall Brgy. Cabulihan</t>
  </si>
  <si>
    <t xml:space="preserve"> Republic of the Philippines PROVINCE OF ZAMBOANGA DEL NORTE Municipality of Sibutad BIDS AND AWARDS COMMITTEE AUGUST 20, 2020 INVITATION TO BID The Local Government Unit of Sibutad, Zamboanga del Norte under P.R. No. CA100-2020-08-007 dated AUGUST 10, 202</t>
  </si>
  <si>
    <t xml:space="preserve"> Completion of One (1) Unit-12m x 27.5m Multi-Purpose/Evacuation Center</t>
  </si>
  <si>
    <t xml:space="preserve"> The specification is available at the Bids and Awards Committee Secretariat MPDO-2nd Floor Lasam Municipal Town Hall</t>
  </si>
  <si>
    <t xml:space="preserve"> JOB ORDER											 TO REQUEST FOR SERVICES OF SUBDIVISION/ SEGREGATION, BOUNDARY AND/OR											 RELOCATION SURVEY OF VOS &amp; GFI PROPERTIES UNDER SURVEY MODULE NO.											 LOT 9-CSI-2020(NL)									48.0993	HECTARES	P LOCATION: DEL GALLEGO &amp; LUPI CA</t>
  </si>
  <si>
    <t xml:space="preserve"> unit	Multicab Cargo Box 12 Valve Scrum -	  *Good condition hinges on sidings rust free on all sides of sidings and flooring Tailgate lock must be in good condition. All parts guaranteed as is unit	Multicab Cowl Head 12Valve Scrum -	  *Includes the ff: Con</t>
  </si>
  <si>
    <t xml:space="preserve"> ITEM: 200 pcs Fabricated Rubber O-ring 4"Ø		 PURPOSE: RPP NO. 20-07-05-049-FOR REPLENISHMENT OF STOCKS	 ABC: PHP 120,000.00 DELIVERY SCHEDULE: 10 CALENDAR DAYS</t>
  </si>
  <si>
    <t xml:space="preserve"> Request for Quotation			Date:		 			Quotation No.:		 2020-08-091-Aug  Company Name 					 					 Address					 					 	Please quote your lowest price on the items listed below, subject to the General Conditions ln the last				 page stating the shortest time of</t>
  </si>
  <si>
    <t xml:space="preserve"> 20AD0114 : 41X: Emergency Repair along Sta. Cruz_Pilar-Pinipin Road, K0334+000-K0336+700 with exception ABC: 999,997.68 Source of Funds : Maintenance Fund CY 2020 (SR2020-02-000664) Contract Duration : 30 CD Cost of Bid Documents : P 1000.00 PCAB license </t>
  </si>
  <si>
    <t xml:space="preserve"> INVITATION TO BID  DESIGN AND CONSTRUCTION OF THE BUREAU OF CUSTOMS PORT OF CEBU BUILDING    Bid Reference No. GPG-B2-2020-382  Approved Budget for the Contract: P338,360,907.55   1. The Philippine International Trading Corporation (PITC) and the Bureau o</t>
  </si>
  <si>
    <t xml:space="preserve"> Catering Services-Meals &amp; Snacks for 50 pax w/venue</t>
  </si>
  <si>
    <t xml:space="preserve"> REPUBLIC OF THE PHILIPPINES		 			          PROVINCE OF SIQUIJOR		 			        MUNICIPALITY OF SIQUIJOR		 			         REQUEST FOR QUOTATION		 					 			                                                          Date:  		 ______________________________					 	P</t>
  </si>
  <si>
    <t xml:space="preserve"> Public Biding</t>
  </si>
  <si>
    <t xml:space="preserve"> SELF - SKILLS ENHANCEMENT AND LEADERSHIP FORMATION -BENHUR ACTION TEAM</t>
  </si>
  <si>
    <t xml:space="preserve"> URBAN GARDENING</t>
  </si>
  <si>
    <t xml:space="preserve"> (Batch 2)</t>
  </si>
  <si>
    <t xml:space="preserve"> (1) Lot Supply, Delivery and Installation of Structured Cabling System for Pag-IBIG Fund Sagay Branch</t>
  </si>
  <si>
    <t xml:space="preserve"> 1.	The Department of Finance (DOF), through the General Appropriations Act of 2019 intends to apply the sum of Ten Million Pesos (PhP10,000,000.00) being the Approved Budget for the Contract (ABC) to payments under the contract for Supply, Delivery, Insta</t>
  </si>
  <si>
    <t xml:space="preserve"> 68 PCS COMPUTER PRINTER (CONTINUOUS INK) @ 6,000.00 EACH 3 UNITS COPIER MACHINE @ 62,666.67 1 BOX A4 BOND PAPER @ 1,400.00</t>
  </si>
  <si>
    <t xml:space="preserve"> REPUBLIC OF THE PHILIPPINES		 			          PROVINCE OF SIQUIJOR		 					 			        MUNICIPALITY OF SIQUIJOR		 			         REQUEST FOR QUOTATION		 					 			                                                          Date:  		 ______________________________		</t>
  </si>
  <si>
    <t xml:space="preserve"> Construction of Client's Lounge'Staff Wellness Area Please see attached design, specification and bill of materials.</t>
  </si>
  <si>
    <t xml:space="preserve"> Laboratory Supplies</t>
  </si>
  <si>
    <t xml:space="preserve"> Republic of the Philippines Province of Pangasinan MUNICIPALITY OF LINGAYEN Invitation to Bid    The Local Government Unit of Lingayen, through the General Fund –Capital Outlay    intends to apply the amount  of  Five Hundred  Thirty Three   Thousand   Pe</t>
  </si>
  <si>
    <t xml:space="preserve"> Fuel-Diesel Fuel,Gasoline Fuel,Printer Toner 214 black,etc....</t>
  </si>
  <si>
    <t xml:space="preserve"> SELF - SKILLS ENHANCEMENT AND LEADERSHIP FORMATION - BARANGAY STAFF</t>
  </si>
  <si>
    <t xml:space="preserve"> REPUBLIC OF THE PHILIPPINES		 			          PROVINCE OF SIQUIJOR		 			        MUNICIPALITY OF SIQUIJOR		 			         REQUEST FOR QUOTATION		 					 			                                                          Date:  	13-Aug-20	 _____________________________</t>
  </si>
  <si>
    <t xml:space="preserve"> ITEM: 12 pcs Oil Filter(ISUZU NQR Water Tanker, 4HJ1 eng.)							 3 pcs Fuel Filter(ISUZU NQR Water Tanker, 4HJ1 eng.)							 3 pcs Air Filter(ISUZU NQR Water Tanker, 4HJ1 eng.)							 6 pcs Oil Filter(ISUZU NHR Light truck, 4HJ1 eng.)							 2 pcs Fuel F</t>
  </si>
  <si>
    <t xml:space="preserve"> The Procuring Entity: LGU-INOPACAN, LEYTE Project Reference Number: RHU-100-200-20-08 Name of Project: PURCHASE OF COVERALL SUIT PPE Location of Project: POBLACION, INOPACAN, LEYTE Standard Form Number: SF-GOOD-60 Standard Form Title: REQUEST FOR QUOTATIO</t>
  </si>
  <si>
    <t xml:space="preserve"> HATID / SUNDO SA ESKWELA PROJECT</t>
  </si>
  <si>
    <t xml:space="preserve"> Brief Description/Specification: “SUPPLY AND DELIVERY OF VEHICLE PARTS AND ACCESSORIES” for the Repair and Maintenance of PNP Patrol Car for 3rd Quarter of 2020, of the Municipal Police Station. Approved Budget for the Contract:  Php 103,000.00 Estimated </t>
  </si>
  <si>
    <t xml:space="preserve"> Purchase of construction materials to be used as Tago Water System storage for their maintenance equipment's.              Item                                    Quantity 1	cu.m	Mixed Sand and Gravel		1 2	bags	Portland Cement		       46 3	cu.m	Sand 		   </t>
  </si>
  <si>
    <t xml:space="preserve"> Item No.	Description	Unit	Quantity 1	Elf Load	Unit	4</t>
  </si>
  <si>
    <t xml:space="preserve"> PLEASE SEE PURCHASE REQUEST AND REQUEST FOR QUOTATION FOR SPECIFIC DETAILS PLEASE SUBMIT, TOGETHER WITH YOUR QUOTATION, THE FOLLOWING: CERTIFICATE OF PHILGEPS REGISTRATION CERTIFICATE OF REGISTRATION FROM BIR BUSINESS PERMIT TAX CLEARANCE DTI CERTIFICATE </t>
  </si>
  <si>
    <t xml:space="preserve"> REQUEST FOR QUOTATION  (RFQ) 1. The Mines and Geosciences Bureau - CAR (MGB-CAR), as the Procuring Entity, through its Bids and Awards Committee (BAC), intends to apply the sum of Sixty Nine Thousand Seven Hundred Sixty-Eight Pesos and Eighty-Four Centavo</t>
  </si>
  <si>
    <t xml:space="preserve"> PURCHASE OF COVID-19 PROTECTIVE GEAR</t>
  </si>
  <si>
    <t xml:space="preserve"> Construction of one (1) unit Production Well with 1.5 HP Submersible Pump, Suction pipes and Pumphouse</t>
  </si>
  <si>
    <t xml:space="preserve"> Purchase of One (1) Unit Brand New Garbage Compactor Item	Unit	Description	 Quantity  I	Unit	Purchase of One (1) Unit Brand New Garbage Compactor	1 		Specification:	 		- Engine Type : 4 Cylinder Direct Injection, Diesel Engine	 		- Engine Power : 115 HP @</t>
  </si>
  <si>
    <t xml:space="preserve"> Supply and Delivery of 72 cu.m. Mixed Gravel</t>
  </si>
  <si>
    <t xml:space="preserve"> Location: Sto. Tomas, Pampanga Appropriation: Php 800,000.00 Source of Fund: 20% Development Fund Classification: Perimeter Fence Net Length: L=84.00 lin.m. No. of days to complete: 60 C.D.</t>
  </si>
  <si>
    <t xml:space="preserve"> THE PROJECT INCLUDES: 14 SETS OF SOLAR STREETLIGHTS</t>
  </si>
  <si>
    <t xml:space="preserve"> 2020-08-10 Rehabilitation of open SPACE  at Pimintel Blding  1.	DIGGING, LEVELLING AND FLATTENING OF THE OPEN SPACE 2.	APPLICATION OF FILLING MATERIALS 3.	INSTALLATION OF CHB 4.	SOIL TAMPERING 5.	DELIVERY OF EXCESS SOIL AT DUMPING AREA 6.	CONCRETTING THE </t>
  </si>
  <si>
    <t xml:space="preserve"> 1. The BARANGAY GOVERNMENT OF SAN PASCUAL, BURGOS, PANGASINAN through its BARANGAY DEVELOPMENT Fund CY 2020 intends to apply an amount of Sixty Nine Thousand Pesos Only (Php69,000.00) being the Approved Budget for the Contract (ABC) for payment under the </t>
  </si>
  <si>
    <t xml:space="preserve"> Repair/ Maintenance Ravelled Areas</t>
  </si>
  <si>
    <t xml:space="preserve"> SELF - SKILLS ENHANCEMENT AND LEADERSHIP FORMATION - PHYSICAL THERAPY</t>
  </si>
  <si>
    <t xml:space="preserve"> Reblocking of Damaged Concrete Pavement</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</si>
  <si>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</si>
  <si>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Office Supplies-Comcolor Black,Comcolor Magenta,etc....</t>
  </si>
  <si>
    <t xml:space="preserve"> Electrical Supplies-Stranded Wire #6,Stranded Wire #10,Led Floodlight ,etc...</t>
  </si>
  <si>
    <t xml:space="preserve"> AYUDA PARA SA PWD &amp; SENIOR CITIZENS</t>
  </si>
  <si>
    <t xml:space="preserve"> INVITATION TO BID FOR THE SUPPLY OF LABOR &amp; MATERIALS FOR THE IMPROVEMENT OF MULTI-PURPOSE HALL 1. The Barangay Government of BARANGAY MATAAS NA BAYAN through the 20% Local Development Fund of Barangay intends to apply the sum of Php 315,519.51 being the </t>
  </si>
  <si>
    <t xml:space="preserve"> 1. The BARANGAY GOVERNMENT OF POGORUAC, BURGOS, PANGASINAN through its BARANGAY DEVELOPMENT Fund CY 2020 intends to apply an amount of One Hundred Forty One Thousand Eight Hundred Eighty Five Pesos Only (Php141,885.00) being the Approved Budget for the Co</t>
  </si>
  <si>
    <t xml:space="preserve"> 1. EXCAVATION AND SITE PREPARATION 2. CONCRETING(FOOTING) 3. CONCRETING (COLUMN) 4. CONCRETING (BEAM) 5. CONCRETING (SLAB) 6. CONCRETING (STAIR)</t>
  </si>
  <si>
    <t xml:space="preserve"> Construction of Water System at Barangay Siay, San Miguel, Catanduanes. Source of Fund: 20% EDF - 2020   	Prospective bidders should possess a valid PCAB License applicable to the contract, have completed a similar contract with a value of at least 50% of</t>
  </si>
  <si>
    <t xml:space="preserve"> PROJECT TITLE : REHABILITATION OF MULTI-PURPOSE BUILDING (BRGY. LUKLUKAN SUR- JPCN) PROJECT LOCATION : BRGY. LUKLUKAN SUR, JPCN SOURCE OF FUND : 20% CONTINUING 2015-2019 ABC : PHP 670,000.00</t>
  </si>
  <si>
    <t xml:space="preserve"> Medical &amp; Dental Equipment-Wheel Chair,Cane,Walker,etc...</t>
  </si>
  <si>
    <t xml:space="preserve"> SELF - SKILLS ENHANCEMENT AND LEADERSHIP FORMATION - RESCUE</t>
  </si>
  <si>
    <t xml:space="preserve"> REQUEST FOR QUOTATION  (RFQ) 1. The Mines and Geosciences Bureau - CAR (MGB-CAR), as the Procuring Entity, through its Bids and Awards Committee (BAC), intends to apply the sum of One Hundred Thirty-Seven Thousand Seven Hundred Sixty-Nine Pesos and Fifty </t>
  </si>
  <si>
    <t xml:space="preserve"> Office Supplies-Ink Cartridge Black,Ink Cartridge Magenta,etc....</t>
  </si>
  <si>
    <t xml:space="preserve"> 20M00081- Repair/Maintenance of DPWH Building Apopong Weighbridge Station Building, General Santos City</t>
  </si>
  <si>
    <t xml:space="preserve"> 1. The total approved budget for the contract for the SUPPLY AND DELIVERY OF VARIOUS GI FITTINGS is PhP 302,495.00 2. Price quotations must include all taxes, duties, and/or levies payable and must be valid for 30 days. 3. Suppliers must specify the BRAND</t>
  </si>
  <si>
    <t xml:space="preserve"> INVITATION TO BID FOR THE SUPPLY OF LABOR &amp; MATERIALS FOR THE CONCRETING OF BARANGAY ROAD 1. The Barangay Government of BARANGAY MATAAS NA BAYAN through the 20% Local Development Fund of Barangay intends to apply the sum of Php 399,435.34 being the Approv</t>
  </si>
  <si>
    <t xml:space="preserve"> BUDGET P60,000 KINDER TO GRADE SIX MODULES REPRODUCTION ESTIMATED NO. OF COPIES 59,005 COPIES ON PARTIAL A4 AND PARTIAL LONG BOND PAPER/GSM80/FRONT AND CLEAR COPY/MONOCHROME</t>
  </si>
  <si>
    <t xml:space="preserve"> 1. The total approved budget for the contract for the SUPPLY AND DELIVERY OF AIR RELEASE VALVE 1" is PhP 61,000.00 2. Price quotations must include all taxes, duties, and/or levies payable and must be valid for 30 days. 3. Suppliers must specify the BRAND</t>
  </si>
  <si>
    <t xml:space="preserve"> Republic of the Philippines Province of Cavite MUNICIPALITY OF TERNATE BIDS AND AWARDS COMMITTEE INVITATION TO BID 1. The MUNICIPALITY OF TERNATE, CAVITE, through the Special Education Fund (SEF) intends to apply the sum of THREE MILLION PESOS (P 3,000,00</t>
  </si>
  <si>
    <t xml:space="preserve"> Department of Public Works and Highways (DPWH) Contract ID: 19G00109 Contract Name: Bacolod Negros Occidental Economic Highway (BANOCEH), Segment 3, Including ROW, Bacolod City Location of the Contract: Bacolod City, Negros Occidental --------------------</t>
  </si>
  <si>
    <t xml:space="preserve"> PR#	2020-08-0430 INREMP-LLRB	 1	lot	Printing of IEC Materials:	 200,000.00 	 		Flip Chart- 50 pieces		 		size: 11 x 14.25		 		16 pages, colored with standee		 				 		Sticker Print Ordinary- 4,900 pieces		 		size: 3-3/4 x 4.5, colored		 				 		Poster- 1,10</t>
  </si>
  <si>
    <t xml:space="preserve"> Pls. quote the project listed below: 1.   Construction/Improvement of Road Network &amp; Facilities NOTE:                         Opening of Bids will be on Sept. 1, 2020 @ 1:00 pm</t>
  </si>
  <si>
    <t xml:space="preserve"> Office Equipment-Split  Type 1.5hp Inverter Aircon,Split Type 2hp Inverter Aircon</t>
  </si>
  <si>
    <t xml:space="preserve"> Invitation to Bid for  Construction of Public Market (Phase 2) No. 2020-08-002 The Local Government Unit of Prieto Diaz, through the 20% Municipal Development Fund-2017   intends to apply the sum of Seven Million Pesos Only (PhP 7,000,000.00) being the Ap</t>
  </si>
  <si>
    <t xml:space="preserve"> Improvement of One (1) Unit -9.5m x 10.5m Barangay Health Station (Construction of exterior walls, embankment &amp; pouring of slab)</t>
  </si>
  <si>
    <t xml:space="preserve"> CONCRETING - DIMENSION - L = 46 m., W = 4.0 m., T= .20 m., V = 36.80 m3., A = 184 sq. m. I. ITEM 100 - CLEARING AND GRUBBING / RESHAPING II. ITEM 311 - SUBBASE COURSE MATERIALS  (     SUBBASE 74 m3, SHOULDERING 24 m3 AND APPROACHES 2 m3), III. ITEM - PORT</t>
  </si>
  <si>
    <t xml:space="preserve"> 250 Books Mall Books (20Stores) 1. Ang Mahiwagang Lapis ni Titser 2. Doon sa Silid-Aklatan 3. Chef ang Nanay ko 4. Si Abdul 5. Si Uweng, Ang Malinis na Kuting 6. SiDado, Ang Tutang Bibo 7. Nawawala ang Gulong Ni Tessy Taxi 8. Kay tagal ni Nanay 9. Tommy T</t>
  </si>
  <si>
    <t xml:space="preserve"> Procurement of 1 Lot Meals &amp; Snacks (2days)</t>
  </si>
  <si>
    <t xml:space="preserve"> Service Vehicles 			                   *Hi Ace SKV 488* 1	1	btl	Tire black big 2	1	btl	Armor all 			                    *Innova SKV 400* 3	1	pc	Armor all 4	1	btl	Tire black   			                      *A4 X391* 5	1	pc	N70 Battery 			                       </t>
  </si>
  <si>
    <t xml:space="preserve"> 1. ROOFING WITH GUTTER 2. PARTITION</t>
  </si>
  <si>
    <t xml:space="preserve"> LGU – Sierra Bullones     					  Contractor Reference Number 	                                                                                                 	                                                                                       								</t>
  </si>
  <si>
    <t xml:space="preserve"> Department of Public Works and Highways (DPWH) Contract ID: 19G00111 Contract Name: Preventive Maintenance of Road: Asphalt Overlay –Bacolod South Road – K0011+000-K0012+000, K0014+000-K0015+956, K0016+000-K0018+000, K0018+221-K0018+653 Location of the Co</t>
  </si>
  <si>
    <t xml:space="preserve"> Catering Services-Meals &amp; Snacks for 3 days,Notebook,Ballpen,Plastic Envelope Long</t>
  </si>
  <si>
    <t xml:space="preserve"> PROCUREMENT OF SUPPLIES AND MATERIALS OF CARPENTRY NC II(TRAINING CUM PRODUCTION) DORMITORY</t>
  </si>
  <si>
    <t xml:space="preserve"> EARTHWORKS	 228,019.05  FORM WORK	 188,168.40  CONCRETE WORKS	 578,327.40  MASONRY WORKS	 210,735.00  ROOF FRAMING &amp; STEEL WORK	 606,236.40  TINSMITHRY	 288,262.80  ELECTRICAL WORKS	 201,978.00  PAINTING WORKS	 77,981.40  FACILITIES FOR THE ENGINEER	 20,1</t>
  </si>
  <si>
    <t xml:space="preserve"> Information Technology Parts &amp; Accessories &amp; Perip</t>
  </si>
  <si>
    <t xml:space="preserve"> Digital Event Production, PR, Marketing and Branding Service for DTI 7 online Programs-32 sessions of Digital Conference, Trainings and Workshops Inclusions: Webinar Concept Development Webinar Creative Branding Webinar Marketing and PR &gt;Traditional Marke</t>
  </si>
  <si>
    <t xml:space="preserve"> 1. ROAD EXCAVATION 2. SUBGRADE PREPARATION 3. AGGREGATE BASE COURSE 4. .15M PCCP</t>
  </si>
  <si>
    <t xml:space="preserve"> Drugs &amp; Medicines-Various Drugs &amp; Medicines</t>
  </si>
  <si>
    <t xml:space="preserve"> CONSTRUCTION OF PATHWAY (PHASE I) LOCATED AT SAN ANTONIO, AGOO, LA UNION</t>
  </si>
  <si>
    <t xml:space="preserve"> Department of Public Works and Highways (DPWH) Contract ID: 19G00110 Contract Name: Preventive Maintenance: Asphalt Overlay along Bacolod South Road, K0085+608-K0087+608, Kabankalan City, Negros Occidental Location of the Contract: Kabankalan City, Negros</t>
  </si>
  <si>
    <t xml:space="preserve"> CONSTRUCTION OF CANAL SLOPE PROTECTION LOCATED AT AMBITACAY, AGOO, LA UNION</t>
  </si>
  <si>
    <t xml:space="preserve"> Republic of the Philippines DEPARTMENT OF PUBLIC WORKS AND HIGHWAYS BOHOL III DISTRICT ENGINEERING OFFICE REGIONAL OFFICE VII Guindulman, Bohol INVITATION TO BID FOR GOODS August 14, 2020 The Department of Public Works and Highways-Bohol 3rd District Engi</t>
  </si>
  <si>
    <t xml:space="preserve"> 1. EXCAVATION 2. RSB WORKS 3. CHB WALL 4. FORM WORKS 5. CONCRETE WORKS 6. PLASTERING 7. BILLBOARD</t>
  </si>
  <si>
    <t xml:space="preserve"> Procurement of School Supplies, Medical supplies and other supplies for structures and repair</t>
  </si>
  <si>
    <t xml:space="preserve"> Republic of the Philippines PROVINCE OF PAMPANGA City of San Fernando INVITATION TO BID NO. 2020-33 IG-BAC INVITATION TO BID FOR PURCHASE REQUEST NO. 20-0904 and 20-0833 The Provincial Government of Pampanga (“Province”) intends to apply the following sum</t>
  </si>
  <si>
    <t xml:space="preserve"> Procurement of 1 pcs Projector &amp; 3 LI</t>
  </si>
  <si>
    <t xml:space="preserve"> Various Medical Supplies</t>
  </si>
  <si>
    <t xml:space="preserve"> Republic of the Philippines Province of Camarines Sur MUNICIPALITY OF MINALABAC -o0o- Invitation to Bid for CONSTRUCTION OF MATERIALS RECOVERY FACILITY at Magadap, Minalabac, Camarines Sur 1. LGU-Minalabac, Camarines Sur, through Grant from EMB, CY 2020, </t>
  </si>
  <si>
    <t xml:space="preserve"> (PLEASE SEE ATTACHED ASSOCIATED COMPONENTS) please send Request for Quotation  -  philgepsprocurement19@gmail.com Quotation must be submitted with company’s letter head. Stating Specification, unit cost and total amount offer. Contact Person:	FREDERICK VI</t>
  </si>
  <si>
    <t xml:space="preserve"> Please see attached purchase request</t>
  </si>
  <si>
    <t xml:space="preserve"> Republic of the Philippines Province of Davao De Oro MUNICIPALITY OF COMPOSTELA BIDS AND AWARDS COMMITTEE CP#: 0998-571-7569 INVITATION TO BID FOR  Re-bid: Purchase of Supplies and Materials needed for Evacuation Center - MDRRMO ITB NO. 2020-08-047, BID N</t>
  </si>
  <si>
    <t xml:space="preserve"> Item No	Product/Service Name	Description	Quantity	              UOM	                      Budget (PHP) 1	Bond Paper A4	                        Substance 70       1151      	       Ream	                       287,750.00 2	Gun Tucker	                       </t>
  </si>
  <si>
    <t xml:space="preserve"> Portland Cement, 40kg, 45bags Sand, 5 cu.m. Floor Tiles, 50cmx50cm, 266sq.m. ABC Tile Adhesive, 15bags Tile Grout, 20 packs Tile Trim, 10pcs 3/4" x 4' x 8' marine plywood, 1 pc</t>
  </si>
  <si>
    <t xml:space="preserve"> INVITATION TO BID  (GS-08-2020-01) The Department of Public Works and Highways (DPWH), Batangas IV District Engineering Office, Brgy. Marawoy, Lipa City, Batangas, through its Bids and Awards Committee (BAC) for Goods, invites suppliers to submit bids for</t>
  </si>
  <si>
    <t xml:space="preserve"> Swivel Chair, 1pc 3/4" x 4' x 8' MDF Plywood, 28pcs 1"x2"x10' S4S, 35pcs Cabinet handle, stainless, 30pcs Cabinet handle, wood, 20pcs Concealed Hinges, 50pairs Cabinet lock, 14pcs Stikwel, 2gal. Varnish, clear, 4gal Acrylic emulsion, 2gal Liha # 120/150, </t>
  </si>
  <si>
    <t xml:space="preserve"> Office Supplies-Bond Paper,Signpen,Ballpen,Bond Paper Long,etc....</t>
  </si>
  <si>
    <t xml:space="preserve"> as per (electronic) file attached:</t>
  </si>
  <si>
    <t xml:space="preserve"> AREAS WILL BE THE FOLLOWING: 1, KABACAN 2. MLANG 3. MAGPET 4. BANISILAN FOR DETAILS, PLEASE SEE ATTACHED RFQ.</t>
  </si>
  <si>
    <t xml:space="preserve"> 1 piece Panel Board 12 Holes 1 piece Circuit Breakers 100 Amps 4 pieces Circuit Breakers 30 Amps 4 pieces Circuit Breakers 20 Amps 2 pieces Circuit Breakers 15 Amps 12 meters THHN Wire #6 2 boxes THHN Wire #12 1 box THHN Wire #14 2 lengths PVC Pipe #1 40 </t>
  </si>
  <si>
    <t xml:space="preserve"> ITEM No.	ITEM AND DESCRIPTION/ SPECIFICATIONS/STOCK No.	QUANTITY	UNIT 1	FLASH DRIVE, 8GB, USB 2.0,  plug and play	9	piece 2	COMPUTER CONTINUOUS FORMS, 2 ply, 11" x 9-1/2", 1000 sets/box	1	box 4	 CARTOLINA, assorted color, 20s/pack	2	pack 5	CLIP, bulldog (</t>
  </si>
  <si>
    <t xml:space="preserve"> PRE-REGISTRATION SEMINAR (PRS) Process and industrial designing Learning materials development animations and other visual materials minute animated videos; script; storyboard; voice  Server set up; theme customization Content migration Online pilot run</t>
  </si>
  <si>
    <t xml:space="preserve"> ALCOHOL, ethyl, 68%-70%, scented, 500ml (-5ml)				30	pc PAPER, MULTICOPY, 80gsm A4 size							40	ream PAPER, Multi-Purpose (COPY) Legal, 70 gsm						40	ream 3 in 1 Printer (long and short, with usb port and wifi ready)			1	unit Epson Ink 003 Black							1</t>
  </si>
  <si>
    <t xml:space="preserve"> Supply, Delivery and Installation of Giant Industrial Fan Item	Unit	Description	 Quantity  I	Unit	Supply, Delivery and Installation of Giant Industrial Fan	1 		Specification:	 		- 24 FT in Diameter, 2.0 HP - Single Phase, Maximum Speed - 60RPM	 		- with W</t>
  </si>
  <si>
    <t xml:space="preserve"> BALAI SILANGAN REHABILITATION FOR COVID-19 ISOLATION FACILITY AT  PILAR, SORSOGON I REMOVAL OF MISC STRUCTURE II ELECTRICAL WORKS III ROOFING IV TILE WORKS V CEILING WORKS VI PAINTING WORKS VII FIXTURES</t>
  </si>
  <si>
    <t xml:space="preserve"> EARTHWORKS	 92,521.80  FORM WORK	 103,244.40  CONCRETE WORKS	 322,333.20  MASONRY WORKS	 129,402.00  ROOF FRAMING &amp; STEEL WORK	 332,633.70  TINSMITHRY	 170,021.88  ELECTRICAL WORKS	 186,858.00  PAINTING WORKS	 75,058.20  FACILITIES FOR THE ENGINEER	 15,12</t>
  </si>
  <si>
    <t xml:space="preserve"> 1124 books The New Lowdown in Writing (k 1) 1024 books Mathematics for the New Generation (Gr.1) 1,300 books Mathematics for the New Generation (Gr.2)</t>
  </si>
  <si>
    <t xml:space="preserve"> Laboratory Supplies &amp; Equipment-Various Laboratory Supplies</t>
  </si>
  <si>
    <t xml:space="preserve"> Republic of the Philippines Province of Aklan Municipality of Kalibo INVITATION TO BID FOR THE CONSTRUCTION OF DRAINAGE The Municipality of Kalibo, through the General Fund 2020, intends to apply the sum of Two Million Nine Hundred Six Thousand Five Hundr</t>
  </si>
  <si>
    <t xml:space="preserve"> ITEM: 20 pcs Storage Battery 12 Volts-25 plates with battery solution		 PURPOSE: RPP NO. 20-08-05-057-FOR REPLENISHMENT OF STOCKS.	 ABC: PHP 253,000.00 DELIVERY SCHEDULE: 10 CALENDAR DAYS</t>
  </si>
  <si>
    <t xml:space="preserve"> INVITATION TO BID FOR THE PURCHASE OF LAPTOP FOR TEACHERS ON DIFFERENT SCHOOLS IN THE CITY SCHOOL DIVISION OF BACOOR - CSDO 1.	The City Government of Bacoor, Cavite, through the General Fund Year 2020 intends to apply the sum of TWENTY THREE MILLION PESOS</t>
  </si>
  <si>
    <t xml:space="preserve"> 10 Units Laptop = (FHD (1920x1080) Touch Display) Intel Core i5 1035 G1 Windows 10 4 GB Memory 1TB Hard Drive</t>
  </si>
  <si>
    <t xml:space="preserve"> ITEM: 20 btls Chlorine Reagent CI2-1							 Cat. No. 1.00086.0001							 200 tests/bottle							 10 btls Chlorine Reagent CI2-2							 Cat. No. 1.00087.0001							 400 tests/bottle							 PURPOSE: CHEMICAL REAGENT FOR RESIDUAL CHLORINE MONITORING USING PI</t>
  </si>
  <si>
    <t xml:space="preserve"> Department of Public Works and Highways Pampanga 3rd District Engineering Office San Francisco Street, Barangay Pampang, Angeles City DPWH-CONSL-03-2016 REQUEST FOR EXPRESSION OF INTEREST (REOI) FOR: Geotechnical Exploration Survey for the Construction/Re</t>
  </si>
  <si>
    <t xml:space="preserve"> INVITATION TO BID FOR THE PURCHASE OF ADDITIONAL TABLET DEVICES FOR CITY SCHOOL DIVISION OF BACOOR BLENDED LEARNING PROGRAM - CSDO 1.	The City Government of Bacoor, Cavite, through the General Fund Year 2020 intends to apply the sum of THIRTY THREE MILLIO</t>
  </si>
  <si>
    <t xml:space="preserve"> CONCRETING OF BARANGAY ROAD LOCATED AT STA RITA EAST, AGOO, LA UNION</t>
  </si>
  <si>
    <t xml:space="preserve"> SELF - SKILLS ENHANCEMENT AND LEADERSHIP FORMATION - LIVELIHOOD</t>
  </si>
  <si>
    <t xml:space="preserve"> Republic of the Philippines Province of Leyte Municipality of Hilongos INVITATION TO RE-BID FOR THE PROCUREMENT OF OFFICE SUPPLIES 1.  The Local Government Unit of Hilongos, through GENERAL FUND-CURRENT APPROPRIATION- intends to apply the sum ONE HUNDRED </t>
  </si>
  <si>
    <t xml:space="preserve"> Republic of the Philippines Province of Ilocos Norte MUNICIPALITY OF CURRIMAO INVITATION TO BID FOR  PURCHASE OF NARRA SEEDLINGS 1.	The Municipality of Currimao,  through the 20% Development Fund intends to apply the sum of [Four Hundred Twenty Thousand P</t>
  </si>
  <si>
    <t xml:space="preserve"> Sir/Madam: Please quote your lowest price on the items/s listed below, subject to the General Conditions on the last page, stating the shortest time of delivery and submit your quotation duly signed by your representative not later than the set deadline a</t>
  </si>
  <si>
    <t xml:space="preserve"> Office Supplies-Various Office Supplies</t>
  </si>
  <si>
    <t xml:space="preserve"> Rental of Bulldozer for 6 days (8 hrs./day) for clearing of road at sitio Mabigao</t>
  </si>
  <si>
    <t xml:space="preserve"> The procuring entity shall draw up a list of at least three (3) suppliers of known qualifications which will be invited to submit proposals. (Section 53.9.1 of Revised IRR of RA 9184)</t>
  </si>
  <si>
    <t xml:space="preserve"> The City Government of Ozamiz, through its Bids and Awards Committee (BAC), invites contractors registered with and classified by the Philippine Contractors Accreditation Board (PCAB) to apply for eligibility and to bid for the hereunder contracts: PROJEC</t>
  </si>
  <si>
    <t xml:space="preserve"> ITEM: 34 m³ Washed Sand							 36 m³Crushed Gravel 3/4"			 PURPOSE: PROP. EXPANSION OF LEVEL III WATER SUPPLY SYSTEM FOR CDORSHP-1@ PHASE 3, CDORSHP RELOCATION SITE, CALAANAN, CANITOAN, CDOC(W.O.#15-088-D)		 ABC: PHP 77,000.00 DELIVERY SCHEDULE: 10 CALEND</t>
  </si>
  <si>
    <t xml:space="preserve"> Republic of the Philippines                                                     Province of Zamboanga del Norte                                                        MUNICIPALITY OF MANUKAN 	                                                              I</t>
  </si>
  <si>
    <t xml:space="preserve"> Disinfectant solution (zonrox), 150 btl. Surgical Mask, 11 box Surgical gloves (s), 15box Surgical glovesn (m), 8box Alcohol, 15gal AA Battery, 10pcs Thermometer (digital), 60pcs Regular safeguard, 55pcs</t>
  </si>
  <si>
    <t xml:space="preserve"> 1. 1 - UNIT   - 4WD MULTICAB MANUAL 5SPEED    - 200,479.00</t>
  </si>
  <si>
    <t xml:space="preserve"> OPENING OF BIDS IN DSWD FO IX ZAMBOANGA CITY,				 DELIVERY IN DSWD-HOME FOR WOMEN ZAMBOANGA CITY				 PROCUREMENT FOR THE FF.:				 				 4	SERVICE	HOUSE PARENT @ 316 x 30 DAYS= 9,480.00 x 4 HPs=37,920.00 FOR 6 MOS.	@	 56,880.00  1	SERVICE	COOK (316.00 x 30 </t>
  </si>
  <si>
    <t xml:space="preserve"> Republic of the Philippines 		Province of Laguna MUNICIPAL GOVERNMENT OF PANGIL BIDS AND AWARDS COMMITTEE Nat’l Rd. Brgy. San Jose, Pangil, Laguna 	Tel.Nos.  (049)557-0284 &amp; 557-3139		 	 INVITATION TO APPLY FOR ELIGIBILITY AND TO BID The Municipality of P</t>
  </si>
  <si>
    <t xml:space="preserve"> 1 Smartphone, GPS-Capable		1	unit 	Display: 6.7" FHD+SAMOLED			 	Dimension: 163.7x76.1x8.7 mm			 	Processor: Exynoss 9810(Lhotse), Octa Core (2.7 Ghz+1.8GHz)			 	Ram: 8GB; Rom: 128GB			 	Camera: 12MP (Wide, F1.7, 2PD, OIS)+12Mp (Ultra Wide, F2.2)			 	+12M</t>
  </si>
  <si>
    <t xml:space="preserve"> REINFORCEMENT STEEL WORKS		 A. Materials		 16mm dia x 6m RSB 8 pcs	8	pcs 10mm dia x 6m RSB 85 pcs	85	pcs Tiewire	5	kgs 		 FORMWORKS		 A. Materials		 CWN # 1 1/2"	1	kg CWN # 3", 4"	10	kg Cocolumber 2x3x10 - 80 pcs	400	bd.ft Marine plywood 1/2"	10	pcs 		 ME</t>
  </si>
  <si>
    <t xml:space="preserve"> 22 CU.M. READY MIX CONCRETE 3000 PSI (INCLUDES PROVISION OF PUMPCRETE) 14 Days Strength, 3/4" Course Aggregates Size, 6" Slump</t>
  </si>
  <si>
    <t xml:space="preserve"> Invitation to Bid for  Construction of Storage Warehouse and Parking, Municipal No. 2020-08-003 The Local Government Unit of Prieto Diaz, through the 20% Municipal Development Fund-2020  intends to apply the sum of Two Million Pesos Only (PhP 2,000,000.00</t>
  </si>
  <si>
    <t xml:space="preserve"> Province of Nueva Vizcaya BIDS AND AWARDS COMMITTTEE (GOODS) BAC OFFICE, Provincial Capitol, Bayombong, Nueva Vizcaya 	 		 REQUEST FOR QUOTATION (RFQ) For the Procurement of 1 unit Desktop Computer (AIO) For the Provincial Cooperative &amp; Enterprise Develop</t>
  </si>
  <si>
    <t xml:space="preserve"> INVITATION TO BID FOR THE PURCHASE OF USB FLASH DRIVE FOR THE TEACHERS USING AS FILE STORAGE ON VARIOUS SCHOOL DIVISION OF BACOOR - CSDO 1.	The City Government of Bacoor, Cavite, through the General Fund Year 2020 intends to apply the sum of FOUR MILLION </t>
  </si>
  <si>
    <t xml:space="preserve"> Republic of the Philippines PROVINCE OF BUKIDNON Municipality of Sumilao INVITATION TO BID ITB NO. GS-2020-45 PROCUREMENT OF INFORMATION TECHNOLOGY (IT) EQUIPMENT August 19, 2020 1.	The Local Government Unit of  Sumilao, intends to apply the sum of One Hu</t>
  </si>
  <si>
    <t xml:space="preserve"> Request for Quotation			Date:		 			Quotation No.:		 2020-08-092-Aug  Company Name 					 					 Address					 					 	Please quote your lowest price on the items listed below, subject to the General Conditions ln the last				 page stating the shortest time of</t>
  </si>
  <si>
    <t xml:space="preserve"> Rahabilitation of Barangay Hall</t>
  </si>
  <si>
    <t xml:space="preserve"> Republic of the Philippines Zamboanga Peninsula Department of Health Basilan General Hospital Isabela City, Basilan 7300                                                       INVITATION TO BID FOR                   Procurement of Supply, Delivery, Testing</t>
  </si>
  <si>
    <t xml:space="preserve"> Please See Attachments</t>
  </si>
  <si>
    <t xml:space="preserve"> Billboard; Dismantling of Rusted Gutter &amp; Dilapidated Downspout; Installation of fabricated gutter with screen; Replacement of dilapidated downspout; repair of catch basin; clearing of existing canal; grating; transportation; Construction Safety and Healt</t>
  </si>
  <si>
    <t xml:space="preserve"> Republic of the Philippines DEPARTMENT OF EDUCATION Region VIII SCHOOLS DIVISION OF CATBALOGAN CITY Purok 4, Brgy. Payao,  Catbalogan City, Samar INVITATION TO BID FOR PROCUREMENT OF MULTICOPY PAPERS AND PRINTER INKS FOR UTILIZATION PLAN FOR THE IMPLEMENT</t>
  </si>
  <si>
    <t xml:space="preserve"> SUPPLY AND DELIVERY OF ASSORTED CONSTRUCTION MATERIALS FOR THE CONSTRUCTION OF BARANGAY MULTI PURPOSE HALL PHASE III</t>
  </si>
  <si>
    <t xml:space="preserve"> Tokens for Loyalty Awardees during the 2020 Civil Service Month Celebration 1) Wristwatch for Women - Good Quality - 1pc 2) Wristwatch for men - Good Quality - 11pcs</t>
  </si>
  <si>
    <t xml:space="preserve"> 4’ Cyclone Wire (bridge sidings); Painting Works (metal painting); metal structures accessories (heavy duty cable clamp); Metal Structure Accessories (oval bolt, nuts, washers); Metal Structures Accessories (u-bolt, nuts, washers) Structural Steel (Floor </t>
  </si>
  <si>
    <t xml:space="preserve"> FOR CRFPSP PROJECTS AT MAGPET &amp; MLANG, COTABATO. FOR MORE DETAILS, PLEASE SEE ATTACHED RFQ.</t>
  </si>
  <si>
    <t xml:space="preserve"> Construction / installation of 8 units – single arm steel lamp post. Each LED lighting fixtures is 80 watts with 24 leds and 8,600 lumens brightness. This will be installed along the National Highway, Barangay Poblacion, Sinacaban.</t>
  </si>
  <si>
    <t xml:space="preserve"> Republic of the Philippines					 Province of Leyte					 Municipality of HILONGOS					 REQUEST FOR QUOTATION					 					 				Date	 					 					 	Please quote your lowest price on the item/s listed below, for the Procurement  of Food Stuff for Supplemental			</t>
  </si>
  <si>
    <t xml:space="preserve"> Republic of the Philippines Province of Nueva Vizcaya BIDS AND AWARDS COMMITTTEE (GOODS) BAC OFFICE, Provincial Capitol, Bayombong, Nueva Vizcaya 	 		 REQUEST FOR QUOTATION (RFQ) For the Procurement of 1 unit Photocopier For the Provincial Cooperative &amp; E</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</si>
  <si>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</si>
  <si>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</si>
  <si>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(Please see attach -- Invitation Letter and Request for Quotation)</t>
  </si>
  <si>
    <t xml:space="preserve"> Construction of 29.60 sq.m., one storey building with painted masonry wall, metal ceiling board, tile finished floor, fixed glass windows and glass door and electrical installation. Also includes improvement of the adjacent comfort rooms and extension of </t>
  </si>
  <si>
    <t xml:space="preserve"> 25 PAIRS RUNNING SHOES, LADIES, GRAY-WHITE, MODEL 2020, SOFT CUSHION                SIZES:  US 6     -  4 PAIRS                            US 7     -  7 PAIRS                            US 7.5  -  2 PAIRS                            US 8     -  5 PAIRS    </t>
  </si>
  <si>
    <t xml:space="preserve"> 200 stub Citation Ticket</t>
  </si>
  <si>
    <t xml:space="preserve"> Small Value Procurement - Procurement of Genuine HP Toners</t>
  </si>
  <si>
    <t xml:space="preserve"> Construction of Concrete cementery road 20% DF 2019 : 374,130.00</t>
  </si>
  <si>
    <t xml:space="preserve"> Republic of the Philippines Province of Leyte Municipality of Kananga BARANGAY LONOY BIDS AND AWARDS COMMITTEE Invitation to Bid for CONSTRUCTION OF FLOOD CONTROL @ ZONE III BARANGAY LONOY, KANANGA, LEYTE 1.	The Barangay Lonoy of Kananga through the Gener</t>
  </si>
  <si>
    <t xml:space="preserve"> 2 units Laptop Intel Core i7 8GB RAM 128GB SSD 1TB HDD 2GB GPU, 14" Screen with Bag Windows Operating System Color : Red</t>
  </si>
  <si>
    <t xml:space="preserve"> Concreting of the following Municipal Road Sections of Barangay Poblacion, namely: a.) Purok Santal (leading to St. Joseph School) Length = 47 ln.m., Width = 5 m., Thickness = 0.15 m b.) Purok Santal (Along Ramillete Street) 'Length = 45 ln.m., Width = 3 </t>
  </si>
  <si>
    <t xml:space="preserve"> INVITATION TO BID PROCUREMENT OF MEDICINES, MEDICAL, LABORATORY AND DENTAL SUPPLIES FOR THE USE OF CITY HEALTH OFFICE 	 The City Government of Navotas, through its Bids and Awards Committee, will hold a Public Bidding for the PROCUREMENT OF MEDICINES, MED</t>
  </si>
  <si>
    <t xml:space="preserve"> details at the MPDC</t>
  </si>
  <si>
    <t xml:space="preserve"> CONSTRUCTION OF WATER SUPPLY</t>
  </si>
  <si>
    <t xml:space="preserve"> Republic of the Philippines DEPARTMENT OF PUBLIC WORKS AND HIGHWAYS LAGUNA II DISTRICT ENGINEERING OFFICE REGIONAL OFFICE IV-A Brgy. Bambang, Los Baños, Laguna Invitation to Bid No. 2020 - 14 The Department of Public Works and Highways- Laguna II District</t>
  </si>
  <si>
    <t xml:space="preserve"> PROGRAM OF WORKS			 			 APPROVED BUDGET FOR THE CONTRACT (ABC)			 			 PROJECT:  	IMPROVEMENT OF GERMPLASM COLDROOM AT PHILRICE MIDSAYAP		 LOCATION:	PHILRICE MIDSAYAP, BUAL NORTE, MIDSAYAP, NORTH COTABATO		 			 			 A. SCOPE OF WORK			 ITEM	DESCRIPTION	PERC</t>
  </si>
  <si>
    <t xml:space="preserve"> SELF - SKILLS ENHANCEMENT AND LEADERSHIP FORMATION - PUBLIC INFORMATION</t>
  </si>
  <si>
    <t xml:space="preserve"> The Municipality of San Mariano, Isabela invite bidders to participate in this procurement, Project Title: SUPPLY AND DELIVERY OF BRAND NEW D65 BULLDOZER. Approved Budget: Php. 7,800,000.00 Bidding Fee: Php10,000.00 SPECIFICATION: One (1) Unit Brand New D</t>
  </si>
  <si>
    <t xml:space="preserve"> 1 unit Laptop-core i7 2 unit Laptop -core i5 1 unit Xerox Machine 1 unit Printer 1 System Unit Purpose: To be used for Rice Banner Operation. Please see attached file.</t>
  </si>
  <si>
    <t xml:space="preserve"> To procure goods for the 10th Cycle implementation of Supplementary Feeding Program in the Municipality of Tubao, La Union</t>
  </si>
  <si>
    <t xml:space="preserve"> Invitation to Bid for the Procurement of One (1) Set Lambaklad for Tampugo Baklad Fishermen’s Association, Tagudin, Ilocos Sur 1.	The Local Government Unit of Tagudin, Ilocos Sur, thru its Bids and Awards Committee intends to apply the sum of Two Million </t>
  </si>
  <si>
    <t xml:space="preserve"> Billboard; Unsuitable Excavation; PCCP;  Construction Safety and Health; Equipment Requirement: Dump Truck; 9 w.d.</t>
  </si>
  <si>
    <t xml:space="preserve"> details at the Engineering or MPDC Office</t>
  </si>
  <si>
    <t xml:space="preserve"> Reference No.	CEZRFQ 2020-08-18 RIS No.	20R-08-026 Date 	August 18,2020 REQUEST FOR QUOTATION (AMP – Sec 53.9 Small Value Procurement) The PEZA – CEZ, through its Bids and Awards Committee (BAC) intends to apply the sum of Pesos: One Hundred Twenty Eight </t>
  </si>
  <si>
    <t xml:space="preserve"> construction of 81.15m river/flood control</t>
  </si>
  <si>
    <t xml:space="preserve"> To procure goods for the 10th Cycle implementation of Supplementary Feeding Program in the Municipality of Sudipen, La Union</t>
  </si>
  <si>
    <t xml:space="preserve"> One Unit  Water System</t>
  </si>
  <si>
    <t xml:space="preserve"> DESKTOP COMPUTER AND PRINTER</t>
  </si>
  <si>
    <t xml:space="preserve"> Republic of the Philippines Province of Nueva Vizcaya BIDS AND AWARDS COMMITTTEE (GOODS) BAC OFFICE, Provincial Capitol, Bayombong, Nueva Vizcaya 	 		 REQUEST FOR QUOTATION (RFQ) For the Procurement of Construction Materials For the Governor’s Office – Pa</t>
  </si>
  <si>
    <t xml:space="preserve"> 1. Catering services ( 2 BATCHES WITH 55 PAX PER DAY, 5 FACILITATOR FOR 2 DAYS)      -120 pax Specification: Meals: PLATED LUNCH WITH 3 VIANDS, SOUP, DESSERTS AND DRINKS Snacks: AM&amp;PM SNACKS WITH FREE FLOWING COFFEE Function Hall *One (1) wide executive f</t>
  </si>
  <si>
    <t xml:space="preserve"> KOLAMBUGAN WATER DISTRICT					  ( GOVERNMENT OWNED AND CONTROLLED CORPORATION )					 Cabili Street, Poblacion, Kolambugan Lanao del Norte 920               					 TIN: 004-365-844    CCC # 539    Tel. No. (063) 227-5201					 					 REQUEST FOR QUOTATION				</t>
  </si>
  <si>
    <t xml:space="preserve"> Item No. Description Unit Quantity Unit Price (Pesos) Amount (Pesos) A Mobilization lot 1.00 B Project Billboard / Signage lot 1.00 C Fence Improvement lot 1.00 D Construction of Fence (2nd phase at the back) lot 1.00 E Construction of Fence (2nd phase be</t>
  </si>
  <si>
    <t xml:space="preserve"> INVITATION TO APPLY FOR ELIGIBILITY AND TO BID THE BIDS &amp; AWARD COMMITTEE OF THE MUNICIPALITY OF CAIBIRAN, BILIRAN IS INVITING ALL INTERESTED BIDDERS ON ITS FORTHCOMING PUBLIC BIDDING FOR: Project Title	: Acquisition of Equipment for the Techno-Gabay Prog</t>
  </si>
  <si>
    <t xml:space="preserve"> Republic of the Philippines					 Province of Leyte					 Municipality of HILONGOS					 REQUEST FOR QUOTATION					 					 				Date	 					 					 	Please quote your lowest price on the item/s listed below, for the Procurement  of Agricultural Supplies				 unde</t>
  </si>
  <si>
    <t xml:space="preserve"> Republic of the Philippines PROVINCE OF ZAMBOANGA DEL NORTE Municipality of Sibutad BIDS AND AWARDS COMMITTEE AUGUST 20, 2020 INVITATION TO BID The Local Government Unit of Sibutad, Zamboanga del Norte under P.R. No. GFP100-2020-08-082 dated AUGUST 10, 20</t>
  </si>
  <si>
    <t xml:space="preserve"> Republic of the Philippines Province of Southern Leyte Municipality of Tomas Oppus Invitation to Bid  Procurement of Information and Communication Technology Equipment  (8 Units Inkjets 3 in 1 Printer) 1.	The Local Government of Tomas Oppus through Specia</t>
  </si>
  <si>
    <t xml:space="preserve"> Supply and Delivery of Improvement of SB office and Sesion Hall at Barangay 3 Poblacion</t>
  </si>
  <si>
    <t xml:space="preserve"> Improvement of Batulawan, Pikit Extension Classroom (Bldg 1 &amp; Bldg 2</t>
  </si>
  <si>
    <t xml:space="preserve"> Republic of the Philippines   Province of Aklan MUNICIPALITY OF LIBACAO BARANGAY PAMPANGO                                                            The Barangay Pampango  through its Bids and Awards Committee (BAC), invites contractors to submit bids for</t>
  </si>
  <si>
    <t xml:space="preserve"> Republic of the Philippines Province of Nueva Vizcaya BIDS AND AWARDS COMMITTTEE (GOODS) BAC OFFICE, Provincial Capitol, Bayombong, Nueva Vizcaya 	 		 REQUEST FOR QUOTATION (RFQ) For the Procurement of Office Supplies (Stamp Pad Ink, Cartolina, etc.) For </t>
  </si>
  <si>
    <t xml:space="preserve"> concreting of 765mx5mx0.20m barangay road</t>
  </si>
  <si>
    <t xml:space="preserve"> 1.    Information and Communication Technology Preventive Maintenance Services and Repair for Field Office 12      -Unit Specifications: PREVENTIVE MAINTENANCE SERVICES PLAN SCOPE A. Check and Clean Service Semi-annually Desktop and Laptop         -1,064 </t>
  </si>
  <si>
    <t xml:space="preserve"> CRFPSP PROJECTS AT BARANGAY GUILING, ALAMADA, COBATO. PLEASE SEE ATTACHED RFQ FOR DETAILS.</t>
  </si>
  <si>
    <t xml:space="preserve"> AREAS:  1. MLANG 2. KABACAN 3. BANISILAN PLS. REFER TO ATTACHED RFQ.</t>
  </si>
  <si>
    <t xml:space="preserve"> Republic of the Philippines  Province of Aklan MUNICIPALITY OF LIBACAO BARANGAY PAMPANGO                                                            The Barangay Council of  Pampango through its Bids and Awards Committee (BAC), invites contractors to submi</t>
  </si>
  <si>
    <t xml:space="preserve"> CONSTRUCTION &amp; DEVELOPMENT OF SANITARY LANDFILL (PHASE I) (MATERIALS, LABOR &amp; EQUIPMENT RENTAL) AT CONCEPCION,, MACO, DAVAO DE ORO.</t>
  </si>
  <si>
    <t xml:space="preserve"> (Please see attach -- Request for Quotation)</t>
  </si>
  <si>
    <t xml:space="preserve"> Airconditioner, 2hp, inverter, 1unit Refrigerator 8.5 cu.m. double door, 1unit</t>
  </si>
  <si>
    <t xml:space="preserve"> Meals and Snacks in the Formulation of Peace and Order and Public Safety Plan for CY 2021.</t>
  </si>
  <si>
    <t xml:space="preserve"> INVITATION TO BID SUPPLY AND DELIVERY OF IT EQUIPMENT AND ACCESSORIES FOR VARIOUS OFFICES – 2ND BIDDING 1.	The Local Government Unit of Cabadbaran City through the GENERAL FUND intends to apply the sum of TWO HUNDRED TWENTY-FOUR THOUSAND PESOS ONLY (P 224</t>
  </si>
  <si>
    <t xml:space="preserve"> Date: August 19, 2020 REQUEST FOR QUOTATION Supply/Delivery of Office Supplies for the use at Regional Office V, Naga City  PR No.: 20-07-108 Quotation/Bid No. F501-RO-063 -20 The MANAGER LUCKY EDUCATIONAL SUPPLY Barlin St., Naga City Sir/Madam; Please qu</t>
  </si>
  <si>
    <t xml:space="preserve"> Republic of the Philippines Province of Pangasinan MUNICIPALITY OF LINGAYEN Invitation to Bid    The Local Government Unit of Lingayen, through the 20% Development Fund    intends to apply the amount  of  Two Million Seven Hundred thirty Five thousand   P</t>
  </si>
  <si>
    <t xml:space="preserve"> Republic of the Philippines										 BIDS AND AWARDS COMMITTEE										 Baguio City										 (074) 300-6537/ (074)442-8795										 BID FORM										 CP No. 2020-59 Bidding									August 19, 2020	 Circular Proposal No.									Date Prepared	 							</t>
  </si>
  <si>
    <t xml:space="preserve"> Republic of the Philippines BIDS AND AWARDS COMMITTEE Province of Iloilo Invitation to Bid PURCHASE OF MEDICAL EQUIPMENT Bid No. SDH-20-0959-B 1. The Iloilo Provincial Government, through the SUPPLEMENTAL BUDGET NO. 2, 2017 intends to apply the sum of THI</t>
  </si>
  <si>
    <t xml:space="preserve"> QTY. 	UNIT	ITEM &amp; DESCRIPTION					TOTAL	 	 		LABORATORY SUPPLIES									  5 	Packaging Set	CBC BLOOD CELL COUNTER HEMATOLOGY ANALYZER REAGENT					 20,000.00 			 		Full set includes:									 			DILUENT 2 Liters								 			Rinse 1 Liter								 			Lyse 20</t>
  </si>
  <si>
    <t xml:space="preserve"> Top Loading Balance – with the ff. Specification: • Max Capacity : 620g • Min capacity: 0.5g • Readability: 0.01g • Wide viewing angle touchscreen with user-controlled brightness • Metal base, ABS top housing, stainless steel pan, large weighing pan, illu</t>
  </si>
  <si>
    <t xml:space="preserve"> RFQ 2020-177 PROJECT		:	OVERSEAS FILIPINO BANK IMPLEMENTOR		: 	LBP RESOURCES AND DEVELOPMENT CORPORATION OWNER			:	LAND BANK OF THE PHILIPPINES	 REQUEST FOR QUOTATION FOR	:	SUPPLY AND DELIVERY OF SYSTEMS FURNITURE DATE / TIME OF SUBMISSION		:	ON OR BEFORE</t>
  </si>
  <si>
    <t xml:space="preserve"> Republic of the Philippines Province of Ilocos Norte MUNICIPALITY OF DINGRAS INVITATION TO BID FOR THE PROCUREMENT OF 4,350 REAMS A4 BOND PAPER FOR MODULES LEARNING 1.	The Local Government Unit of Dingras, through the SEF/LSB intends to apply the sum of O</t>
  </si>
  <si>
    <t xml:space="preserve"> FOR MORE DETAILS SEE ATTACHED RFQ.</t>
  </si>
  <si>
    <t xml:space="preserve"> Provide food, venue and accommodation for the conduct of Various I-REAP activities for the 3rd and 4th quarter of 2020: Provide food, venue and accommodation for the conduct of Various I-REAP activities for the 3rd and 4th quarter of 2020: Venue, Food and</t>
  </si>
  <si>
    <t xml:space="preserve"> Republic of the Philippines Province of Nueva Vizcaya BIDS AND AWARDS COMMITTTEE (GOODS) BAC OFFICE, Provincial Capitol, Bayombong, Nueva Vizcaya 	 		 REQUEST FOR QUOTATION (RFQ) For the Procurement of Janitorial Supplies For the Diadi Memorial Hospital (</t>
  </si>
  <si>
    <t xml:space="preserve"> Republic of the Philippines BIDS AND AWARDS COMMITTEE Province of Iloilo Invitation to Bid PURCHASE OF FREEZER Bid No. SDH-20-0988-B 1. The Iloilo Provincial Government, through the SUPPLEMENTAL BUDGET NO. 2, 2017 intends to apply the sum of THIRTY-TWO TH</t>
  </si>
  <si>
    <t xml:space="preserve"> To procure goods for the 10th Cycle implementation of Supplementary Feeding Program in the Municipality of Santol, La Union</t>
  </si>
  <si>
    <t xml:space="preserve"> details at the engineering office or mpdc 2nd posting</t>
  </si>
  <si>
    <t xml:space="preserve"> Construction of Concrete Fence</t>
  </si>
  <si>
    <t xml:space="preserve"> 1-unit Photocopier Machine Specs: Multi-Function Colour Printer            Memory: 256 MB            Display: 3.7" LCD Touchscreen            Print Resolution: Up to 1200x4800 dpi            Automatic 2-sided Print: Yes (Up to A3 LGR)            Web Conne</t>
  </si>
  <si>
    <t xml:space="preserve"> Republic of the Philippines BIDS AND AWARDS COMMITTEE Province of Iloilo Invitation to Bid PURCHASE OF MEDICAL EQUIPMENT Bid No. SDH-20-0960-B 1. The Iloilo Provincial Government, through the SUPPLEMENTAL BUDGET NO. 2, 2017 intends to apply the sum of THI</t>
  </si>
  <si>
    <t xml:space="preserve"> Republic of the Philippines Cordillera Administrative Region Provincial Local Government Unit of Ifugao BIDS AND AWARDS COMMITTEE 2nd Floor COA Bldg., Capitol Compound Lagawe, Ifugao Email Ad.: bacgoodsifugao13@gmail.com INVITATION TO BID BRAND NEW LIGHT </t>
  </si>
  <si>
    <t xml:space="preserve"> 416A Magenta Laser Jet Toner Cartridge 3 pcs 416A Yellow Laser Jet Toner Cartridge 3 pcs 416A Cyan Laser Jet Toner Cartridge 3 pcs 416A Black Laser Jet Toner Cartridge 3 pcs USB Drive 64 GB 8 pcs 4TB Backup Plus USB 3.0 Portable External Hard Drive 2 pcs </t>
  </si>
  <si>
    <t xml:space="preserve"> Number: 	Quantity: 	 1	1	unit		DESKTOP COMPUTER		60,000.00	60,000.00 							Specifications:			 							Core i5 or higher Processor			 							8 GB RAM (expandable)			 							with compatible graphics processing unit (GPU)			 							OS: Windows 10 64bit			 		</t>
  </si>
  <si>
    <t xml:space="preserve"> Republic of the Philippines										 BIDS AND AWARDS COMMITTEE										 Baguio City										 (074) 300-6537/ (074)442-8795										 BID FORM										 CP No. 2020-60 Bidding									August 19, 2020	 Circular Proposal No.									Date Prepared	 							</t>
  </si>
  <si>
    <t xml:space="preserve"> INVITATION TO BID FOR THE PROCUREMENT OF HEALTH CARE SUPPLIES FOR KINDERGARTEN TO GRADE VI LEARNERS (SDHCP 2020) 	The DEPARTMENT OF EDUCATION (DepED), Regional Office X, through its Bids and Awards Committee (BAC) invites prospective bidders to apply for </t>
  </si>
  <si>
    <t xml:space="preserve"> RFQ-GS-20200805-01 Interested Suppliers are invited to submit Price Quotation for the above listed item. The official LANDBANK Request for Quotation Form may be obtained from MR. ELMER ABUZO (tel no. 8 5512200 LOCALS 2979, 2290; email address: engr_elmer@</t>
  </si>
  <si>
    <t xml:space="preserve"> 1 unit Laptop i5-7300HQ/GTX-1050 Screen Size: 15.6 inches Screen Resolution : 1920 x 1080 Max Screen Resolution : 1920 x 1080 Memory Speed: 2400MHz Graphics Coprocessor : NVIDIA GeForce GTX 1050 Chipse Brand:Nvidia Card Description: Dedicated Graphics Car</t>
  </si>
  <si>
    <t xml:space="preserve"> RFQ-GS-20200721-04 Interested Suppliers are invited to submit Price Quotation for the above listed item. The official LANDBANK Request for Quotation Form may be obtained from MS. KIM STO. TOMAS (tel no. 8 5512200 LOCALS 2452 &amp; 2453; email address: kimjoya</t>
  </si>
  <si>
    <t xml:space="preserve"> Invitation to Bid Barangay 903, Zone 100, District VI through its Bids and Awards Committee (BAC), invites all suppliers duly accredited and approved by the City Council of Manila to bid for the hereunder projects 1 lot Clean and Beautification Supplies a</t>
  </si>
  <si>
    <t xml:space="preserve"> Republic of the Philippines										 BIDS AND AWARDS COMMITTEE										 Baguio City										 (074) 300-6537/ (074)442-8795										 BID FORM										 CP No. 2020-61 Bidding									August 19, 2020	 Circular Proposal No.									Date Prepared	 							</t>
  </si>
  <si>
    <t xml:space="preserve"> SEE ATTACHED : REQUEST FOR QUOTATION (RFQ)</t>
  </si>
  <si>
    <t xml:space="preserve"> Number: 	Quantity: 	 1.	1	set		Desktop Computer with Printer and UPS		70,000.00	70,000.00 							SPECIFICATIONS:			 							8 GB RAM (expandable)			 							with compatible graphics processing unit (GPU)			 							OS: Windows 10 64bit			 							with Integra</t>
  </si>
  <si>
    <t xml:space="preserve"> Republic of the Philippines BIDS AND AWARDS COMMITTEE Province of Iloilo Invitation to Bid PURCHASE OF POWER GENERATING SET WITH ATS Bid No. NTH-20-0810-B 1. The Iloilo Provincial Government, through the SUPPLEMENTAL BUDGET NO.3, 2018 intends to apply the</t>
  </si>
  <si>
    <t xml:space="preserve"> Invitation to Bid Republic of the Philippines City of Olongapo -0- BIDS AND AWARDS COMMITTEE BAC Office 3rd Floor  Olongapo City Hall  Web: www.olongapocity.gov.ph INVITATION TO BID FOR  OC-78(CMO-06) 20 GD PROCUREMENT FOR THE SUPPLY AND DELIVERY OF SEVEN</t>
  </si>
  <si>
    <t xml:space="preserve"> Republic of the Philippines Province of Cagayan Municipality of Baggao INVITATION TO BID FOR THE PROCUREMENT OF CIVIL WORKS The LOCAL GOVERNMENT UNIT OF BAGGAO, CAGAYAN, through 5-06-04-040-04 20% MDF- CY 2017(SB #1) &amp; 20% MDF- CY 2018  intends to apply t</t>
  </si>
  <si>
    <t xml:space="preserve"> Republic of the Philippines LOCAL GOVERNMENT UNIT OF SAN POLICARPO Municipal Building, San Policarpo, Eastern Samar, 6821 E-mail Address: lgusanpolicarpo_bac@yahoo.com BIDS AND AWARDS COMMITTEE (BAC) INVITATION TO BID   # 2020-08-01 The Local Government U</t>
  </si>
  <si>
    <t xml:space="preserve"> Republic of the Philippines							 DEPARTMENT OF PUBLIC WORKS AND HIGHWAYS							 PANGASINAN IV							 DISTRICT ENGINEERING OFFICE							 REGIONAL OFFICE I							 Tuliao, Sta. Barbara, Pangasinan							 Name of Procuring Entity: PANGASINAN IV DISTRICT ENG</t>
  </si>
  <si>
    <t xml:space="preserve"> INVITATION TO BID FOR THE PURCHASE OF MATERIALS AND INSTALLATION OF CORN MILL (2ND BID OPENING) 1.	The Barangay Local Government Unit of Guilang-Guilang, through the Barangay Fund  intends to apply the sum of Three Hundred Fifty Nine Thousand Two Hundred </t>
  </si>
  <si>
    <t xml:space="preserve"> GLOBE load 300  50 pcs SMART load 300  35 pcs GLOBE load 100  50 pcs SMART load 100  35 pcs SUN load 100  20 pcs Pls. submit your quotation thru email:  mi_lynsn@yahoo.com x-x-x-x-x-x-x-x-x-x-x-x-x-x-x-x-x Total ABC  (in PhP)  107,800.00</t>
  </si>
  <si>
    <t xml:space="preserve"> Republic of the Philippines Province of Quirino MUNICIPALITY OF CABARROGUIS OFFICE OF THE BIDS and AWARS COMMITTEE INVITATION TO BID FOR THE  Purchase and Delivery of Plants and Trees (Support to Forest Rehabilitation Project) for the Local Government Uni</t>
  </si>
  <si>
    <t xml:space="preserve"> Republic of the Philippines Cordillera Administrative Region Provincial Local Government Unit of Ifugao BIDS AND AWARDS COMMITTEE 2nd Floor COA Bldg., Capitol Compound Lagawe, Ifugao Email Ad.: bacgoodsifugao13@gmail.com INVITATION TO BID THREE (3) UNITS </t>
  </si>
  <si>
    <t xml:space="preserve"> INVITATION TO APPLY FOR ELIGIBILITY AND TO BID THE BIDS &amp; AWARD COMMITTEE OF THE MUNICIPALITY OF CAIBIRAN, BILIRAN IS INVITING ALL INTERESTED BIDDERS ON ITS FORTHCOMING PUBLIC BIDDING FOR: Project Title	: Acquisition of Various Extension Support Services </t>
  </si>
  <si>
    <t xml:space="preserve"> 4 units RICOH MP 2014 AD 1 unit RISO CV 3230 8 pcs. CCTV Camera - 360</t>
  </si>
  <si>
    <t xml:space="preserve"> Invitation to Bid Republic of the Philippines City of Olongapo -0- BIDS AND AWARDS COMMITTEE BAC Office 3rd Floor  Olongapo City Hall  Web: www.olongapocity.gov.ph INVITATION TO BID FOR  OC-79(GSO-05) 20 GD RE-BID PROCUREMENT FOR THE SUPPLY AND DELIVERY O</t>
  </si>
  <si>
    <t xml:space="preserve"> Republic of the Philippines Cordillera Administrative Region Provincial Local Government Unit of Ifugao BIDS AND AWARDS COMMITTEE 2nd Floor COA Bldg., Capitol Compound Lagawe, Ifugao Email Ad.: bacgoodsifugao13@gmail.com INVITATION TO BID BRAND NEW MERCY </t>
  </si>
  <si>
    <t xml:space="preserve"> RFQ-GS-20200817-04 Interested Suppliers are invited to submit Price Quotation for the above listed item. The official LANDBANK Request for Quotation Form may be obtained from MS. LUBELLE LUMABAS (tel no. 8 4057233 TO 34; email address: landbank2290@gmail.</t>
  </si>
  <si>
    <t xml:space="preserve"> 1000 REAM BOOK PAPER SUBSTANCE 20, ULTRA WHITE</t>
  </si>
  <si>
    <t xml:space="preserve"> REQUEST FOR QUOTATION 	The Caraga State University-Cabadbaran Campus, through its Bids and Awards Committee (BAC), will undertake a Negotiated Procurement (Small Value Procurement) for the project: PROCUREMENT ON SUBSCRIPTION OF VIDEO CONFERENCING APP FOR</t>
  </si>
  <si>
    <t xml:space="preserve"> PLEASE SEE ATTACHED RFQ FOR DETAILS.</t>
  </si>
  <si>
    <t xml:space="preserve"> Republic of the Philippines                                                                               																																																											 DEPARTMENT OF PUBLIC WORKS AND HIGHWAYS																																																		</t>
  </si>
  <si>
    <t xml:space="preserve"> SELF - SKILLS ENHANCEMENT AND LEADERSHIP FORMATION - ARTS, CULTURE AND TOURISM</t>
  </si>
  <si>
    <t xml:space="preserve"> Republic of the Philippines Province of Quirino MUNICIPALITY OF CABARROGUIS OFFICE OF THE BIDS and AWARS COMMITTEE INVITATION TO BID FOR THE  Purchase and Delivery of Construction Materials for Various Elementary Schools (29 Schools) Water System and Hand</t>
  </si>
  <si>
    <t xml:space="preserve"> INVITATION TO BID FOR Procurement of Various Medical Supplies and Accessories IB NO: 2020-030 The Western Visayas Medical Center, through Regular Agency Fund-SAA#2020-06-1148 and Internally Generated Fund- Hospital  Income, in the amount of Twelve Million</t>
  </si>
  <si>
    <t xml:space="preserve"> 119 pcs Frames 30 packs Vellum Paper 1 bot EPSON Ink (Black) 1 bot EPSON ink (cyan) 1 bot EPSON ink (Magenta)</t>
  </si>
  <si>
    <t xml:space="preserve"> Republic of the Philippines Province of Leyte Municipality of Kananga BARANGAY LONOY BIDS AND AWARDS COMMITTEE Invitation to Bid for CONSTRUCTION OF WATER SYSTEM @ ZONE IV BARANGAY LONOY, KANANGA, LEYTE 1.	The Barangay Lonoy of Kananga through the General</t>
  </si>
  <si>
    <t xml:space="preserve"> Republic of the Philippines Cordillera Administrative Region Provincial Local Government Unit of Ifugao BIDS AND AWARDS COMMITTEE 2nd Floor COA Bldg., Capitol Compound Lagawe, Ifugao Email Ad.: bacgoodsifugao13@gmail.com INVITATION TO BID BRAND NEW SPORTS</t>
  </si>
  <si>
    <t xml:space="preserve"> Quatation No.:  20-08-015 To all Eligible Suppliers: Please quote your lowest price inclusive of VAT on the item/s listed below, subject to the Terms and Condition of this RFQ, and submit your quotation duly signed by your representative not later than Au</t>
  </si>
  <si>
    <t xml:space="preserve"> Republic of the Philippines Province of Cagayan Municipality of Baggao INVITATION TO BID FOR THE PROCUREMENT OF CIVIL WORKS The LOCAL GOVERNMENT UNIT OF BAGGAO, CAGAYAN, through 5-06-04-020-99 (20% -2020) intends to apply the sum of Four Million Nine Hund</t>
  </si>
  <si>
    <t xml:space="preserve"> SELF - SKILLS ENHANCEMENT AND LEADERSHIP FORMATION - CLEAN AND GREEN</t>
  </si>
  <si>
    <t xml:space="preserve"> INVITATION TO BID The Barangay Bonbon Lower of Loboc, Bohol through its Bids and Awards Committee (BAC), invites interested eligible and accredited supplier/manufacturer/service providers to apply for eligibility, and if found eligible, to bid for the her</t>
  </si>
  <si>
    <t xml:space="preserve"> Invitation to Bid Republic of the Philippines City of Olongapo -0- BIDS AND AWARDS COMMITTEE BAC Office 3rd Floor  Olongapo City Hall  Web: www.olongapocity.gov.ph INVITATION TO BID FOR  OC-80(CMO-07) 20 GD RE-BID PROCUREMENT AND SUPPLY OF IT SUPPLIES FOR</t>
  </si>
  <si>
    <t xml:space="preserve"> As per attached Summary &amp; RFQ</t>
  </si>
  <si>
    <t xml:space="preserve"> Republic of the Philippines Province of Ilocos Norte MUNICIPALITY OF DINGRAS INVITATION TO BID FOR THE PROCUREMENT OF VARIOUS OFFICE AND JANITORIAL SUPPLIES 1.	The Local Government Unit of Dingras, through the Gen. Fund intends to apply the sum of Eight H</t>
  </si>
  <si>
    <t xml:space="preserve"> RFQ-GS-20200806-01 Interested Suppliers are invited to submit Price Quotation for the above listed item. The official LANDBANK Request for Quotation Form may be obtained from MR. RUEL MARCA (tel no. 8 5512200 LOCALS 2290 &amp; 2979; email address: ruelmarca@y</t>
  </si>
  <si>
    <t xml:space="preserve"> INVITATION FOR PRICE QUOTATION Date:  20 August 2020 For The  Supply &amp; Delivery Of Airconditioning Repair Tools  At Legazpi Airport – 2nd SVP The Civil Aviation Authority of the Philippines (CAAP) intends to apply the estimated amount    of    One   Hundr</t>
  </si>
  <si>
    <t xml:space="preserve"> Republic of the Philippines Province of Cagayan Municipality of Camalaniugan August 20, 2020 INVITATION TO BID  FOR THE FURNISHING &amp; DELIVERY OF ONE (1) UNIT CAMERA AND TWO (2) UNITS LAPTOP (2nd Posting) 1.	The Municipality of Camalaniugan, through the SP</t>
  </si>
  <si>
    <t xml:space="preserve"> 1.	Filling Materials	12	Cu.m 2.	Floor Ceramic Tiles 200mmx200mm	170	Pcs. 3.	Floor Ceramic Tiles 600mmx600mm	110	Pcs. 4.	Tile Grout /2 kg	2	Bags 5.	Cement	110	Bags 6.	Sand	5	Cu.m 7.	Gravel	6	Cu.m 8.	10 mm Ø RSB	90	Pcs. 9.	12 mm Ø RSB	40	Pcs. 10.	G.I. Tie W</t>
  </si>
  <si>
    <t xml:space="preserve"> Republic of the Philippines Province of Southern Leyte MUNICIPALITY OF HINUNANGAN Barangay Calayugan INVITATION TO APPLY FOR ELIGIBILITY AND TO BID 1.	The Barangay Local Government of Calayugan, Hinunangan, Southern Leyte, through the Barangay IRA intends</t>
  </si>
  <si>
    <t xml:space="preserve"> Republic of the Philippines Cordillera Administrative Region Provincial Local Government Unit of Ifugao BIDS AND AWARDS COMMITTEE 2nd Floor COA Bldg., Capitol Compound Lagawe, Ifugao Email Ad.: bacgoodsifugao13@gmail.com INVITATION TO BID BRAND NEW GENERA</t>
  </si>
  <si>
    <t xml:space="preserve"> I. REMOVAL OF STRUCTURE II. EXCAVATION III. CROSS DRAINAGE A. MASONRY AND REINFORCING STEEL B. FORM WORKS C. STEEL GRATING IV. AGGREGATES SUB-BASE COARSE V. PCCP (W = 5.00m, T = 0.20m, L = 13.00m) SPL. CONSTRUCTION SAFETY &amp; HEALTH</t>
  </si>
  <si>
    <t xml:space="preserve"> Item No.	Description	Unit	Quantity b.9	Mobilization / Demobilization	l.s.	1.00 801(1)	Removal of Structures and Obstructions	l.s.	1.00 1003(1)	Fiber Cement Board Ceiling	sq.m	87.57 SPL-1	Electrical Works	l.s.	1.00 1032(1)a	Painting Works (Masonry Painting</t>
  </si>
  <si>
    <t xml:space="preserve"> To procure goods for the 10th Cycle implementation of Supplementary Feeding Program in the Municipality of Pugo, La Union</t>
  </si>
  <si>
    <t xml:space="preserve"> Section I. Invitation to Bid FOR THE UPLB-RES-040-09-20  SUPPLY AND DELIVERY OF BRANDED AND BRAND NEW CHEMICALS AND CHEMICAL PRODUCTS FOR IPB 1.	The UNIVERSITY OF THE PHILIPPINES LOS BAÑOS (UPLB), through the GOP (LB04011001-C0002497; N827621) intends to </t>
  </si>
  <si>
    <t xml:space="preserve"> 5 pcs RING 12kt Gold 2 pcs PINS Gold Plated 10 pcs Medallion Gold Plated 1 job Die Service Charge  14 pcs Plaque (Wooden with clock)</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</si>
  <si>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</si>
  <si>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1) 143 Bags 40 kg Portland cement 2) 88 Bags Tile adhesive 3) 140 Pcs. 60 cm x 60 cm Granite floor tiles 4) 395 Pcs. 40 cm x 40 cm ceramic floor tiles 5) 2 Sheets 0.5 x 3’ x12’ Corr G.I. shts. 6) 80 Pcs. 30 cm x 30 cm ceramic floor tiles 7) 90 Pcs. 30 cm </t>
  </si>
  <si>
    <t xml:space="preserve"> Invitation to Bid for  PACKAGE 20-38:  REHABILITATION/RENOVATION OF MODERN ABATTOIR BUILDING 1.	The Bids and Awards Committee of the Local Government Unit of Santiago City, through the City Fund intends to apply the sum of Six Million Seven Hundred Eighty</t>
  </si>
  <si>
    <t xml:space="preserve"> REQUEST FOR QUOTATION 	The Caraga State University-Cabadbaran Campus, through its Bids and Awards Committee (BAC), will undertake a Shopping-Ordinary/Regular Office Supplies for the project: PROCUREMENT ON SUPPLY AND DELIVERY OF VARIOUS OFFICE SUPPLIES in</t>
  </si>
  <si>
    <t xml:space="preserve"> SUPPLY AND DELIVERY OF MEDICAL EQUIPMENT PROVINCIAL CAPITOL, SURIGAO CITY 1.	The Provincial Government of Surigao del Norte, through the General Fund – Supplemental Budget No. 1 FY 2020 and Trust Fund (HFEP), intends to apply the sum of Eighteen Million N</t>
  </si>
  <si>
    <t xml:space="preserve"> Republic of the Philippines Province of Quirino MUNICIPALITY OF CABARROGUIS OFFICE OF THE BIDS and AWARS COMMITTEE INVITATION TO BID FOR THE  Purchase and Delivery of Common Office Supplies for Dep-Ed Cabarroguis District, Cabarroguis, Quirino 1.	The Loca</t>
  </si>
  <si>
    <t xml:space="preserve"> Medicines &amp; Supplies</t>
  </si>
  <si>
    <t xml:space="preserve"> To procure for the 10th Cycle implementation of Supplementary Feeding Program in the Municipality of Caba, La Union</t>
  </si>
  <si>
    <t xml:space="preserve"> Republic of the Philippines Cordillera Administrative Region Provincial Local Government Unit of Ifugao BIDS AND AWARDS COMMITTEE 2nd Floor COA Bldg., Capitol Compound Lagawe, Ifugao Email Ad.: bacgoodsifugao13@gmail.com INVITATION TO BID BRAND NEW DRILLI</t>
  </si>
  <si>
    <t xml:space="preserve"> Item No.	Description	Unit	Quantity A.1.1(6)	Provision of Combined Field Office, Laboratory &amp; Living Quarters (Rental Basis)	mo/s	1.00 B.5	Project Billboard / Signage	unit/s	1.00 B.7.(1)	Occupational Safety &amp; Health Program	mo/s	1.00 B.8.(1)	Traffic Manage</t>
  </si>
  <si>
    <t xml:space="preserve"> 1	Al+Mg OH 225mg/200mg/5ml susp 60ml/bot	50	BOT 2	Amoxicillin 100mg/ml 15ml drp/bot	100	BOT 3	Amoxicillin 250mg/5ml susp 60ml/bot	1500	BOT 4	Amoxicillin 500mg cap 100/box	100	BOX 5	Bipiridine 2mg tab	1000	TAB 6	Cefalexin 250mg/5ml	1000	BOT 7	Cefalexin 500</t>
  </si>
  <si>
    <t xml:space="preserve"> INVITATION TO BID PROCUREMENT OF I.C.T. EQUIPMENT FOR THE USE OF SCHOOLS DIVISION OFFICE (SECOND BIDDING) 	 The City Government of Navotas, through its Bids and Awards Committee, will hold a Public Bidding for the PROCUREMENT OF I.C.T. EQUIPMENT FOR THE U</t>
  </si>
  <si>
    <t xml:space="preserve"> Republic of the Philippines Cordillera Administrative Region Provincial Local Government Unit of Ifugao BIDS AND AWARDS COMMITTEE 2nd Floor COA Bldg., Capitol Compound Lagawe, Ifugao Email Ad.: bacgoodsifugao13@gmail.com INVITATION TO BID COMPUTER SUPPLIE</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</si>
  <si>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</si>
  <si>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The Subic Bay Metropolitan Authority, through the Corporate Budget for the contract approved by the governing board for 2020 intends to apply the sum of Seven Million Two Hundred Ninety Eight Thousand Two Hundred Fifty Seven Pesos and Twenty Centavos Only</t>
  </si>
  <si>
    <t xml:space="preserve"> REQUEST FOR QUOTATION For Negotiated Procurement thru Small Value Procurement under Sec. 53.9 of the 2016 Revised IRR of RA 9184 Quotation No.:  2020-08-299 Date: August 19, 2020 PR No.: 20-08-305 PR Date: August 5, 2020 The Metropolitan Tuguegarao Water </t>
  </si>
  <si>
    <t xml:space="preserve"> Republic of the Philippines Province of Cagayan Municipality of Baggao INVITATION TO BID FOR THE PROCUREMENT OF CIVIL WORKS The LOCAL GOVERNMENT UNIT OF BAGGAO, CAGAYAN, through 5-06-04-030-02 (20% MDF-2020)  intends to apply the sum of Two Million Nine H</t>
  </si>
  <si>
    <t xml:space="preserve"> Concreting of Farm-to-Market Road</t>
  </si>
  <si>
    <t xml:space="preserve"> I N V I T A T I O N   T O   B I D  The Visayas State University through its Bids and Awards Committee (BAC), invites suppliers/manufacturers/distributors to apply for eligibility and to bid for the hereunder project: Name of Project 	:  Supply and Deliver</t>
  </si>
  <si>
    <t xml:space="preserve"> One (1) Lot Design, Manufacture, Supply and Installation of Furniture and Fixtures of EMB XII Conference Table – 6-Seater (Regular) with Chairs (1) Unit Conference Table – 8-Seater with chair (1) Unit Conference Table – Regular, 8-Seater (1) Unit Conferen</t>
  </si>
  <si>
    <t xml:space="preserve"> Republic of the Philippines 				Province of Eastern Samar 				Municipality of Mercedes OFFICE OF THE BIDS AND AWARDS COMMITTEE (BAC) INVITATION TO BID FOR THE PROCUREMENT OF GENERATOR SET FOR WATER SYSTEM (LEVEL III) INVITATION TO BID NO. GOODS-2020-08-00</t>
  </si>
  <si>
    <t xml:space="preserve"> INVITATION TO APPLY FOR ELIGIBILITY AND TO BID THE BIDS AND AWARD COMMITTEE OF THE MUNICIPALITY OF CAIBIRAN, BILIRAN IS INVITING ALL INTERESTED BIDDERS ON ITS FORTHCOMING PUBLIC BIDDING FOR: Project Title	                : Establishment of Nursery &amp; Veget</t>
  </si>
  <si>
    <t xml:space="preserve"> Construction of Concrete Pathway</t>
  </si>
  <si>
    <t xml:space="preserve"> Republic of the Philippines Cordillera Administrative Region Provincial Local Government Unit of Ifugao BIDS AND AWARDS COMMITTEE 2nd Floor COA Bldg., Capitol Compound Lagawe, Ifugao Email Ad.: bacgoodsifugao13@gmail.com INVITATION TO BID GENERAL HOME SUP</t>
  </si>
  <si>
    <t xml:space="preserve"> No.	QTY	UNIT	AGENCY'S SPECIFICATIONS 1	5	units	 LAPTOP  			  - Processor  - Intel ® Core ( TM)  			  - i5- 7500 U  			  - CPU @ 2.70GHz  			  - 2.90 Ghz  			  - Installed Memory ( RAM) - 8.00GB ( 7.87 GB)  			  -  Windows 10 OS  2	1	unit	 LAPTOP  			  - P</t>
  </si>
  <si>
    <t xml:space="preserve"> Promotional Materials (Advocacy T-Shirt with Collar, Active Dry, Sublimation Print) for PRDP RPCO-PPMIU-CPMIU-MPMIU 3rd Quarter Coordination Virtual Meeting for the Month of September 2020 Please see attached RFQ</t>
  </si>
  <si>
    <t xml:space="preserve"> Republic of the Philippines Province of Davao De Oro MUNICIPALITY OF COMPOSTELA BIDS AND AWARDS COMMITTEE CP#: 0998-571-7569 INVITATION TO BID FOR  Purchase of Medical Equipment for Disaster Action Team (Municipal) and School Disaster Action Team and Bara</t>
  </si>
  <si>
    <t xml:space="preserve"> INVITATION TO BID The DPWH-Regional Office No. III,  through  its  Bids  and  Awards  Committee  (BAC),  invites contractors to submit bids for the Contract below: 1)	Procurement ID/Contract ID:    19C00094 Contract Name:      Construction, Rehabilitation</t>
  </si>
  <si>
    <t xml:space="preserve"> Construction for Reinforced Concrete Box Culvert</t>
  </si>
  <si>
    <t xml:space="preserve"> The Provincial Government of Samar invites all interested registered suppliers to submit in person or authorized representative quotation for- 			 1.	10	pcs.	12x20 tire (ten wheeler truck) Requisitioning Office: Provincial Engineering Office Bid Forms may</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</si>
  <si>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</si>
  <si>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To procure goods for the 10th Cycle implementation of Supplementary Feeding Program in the Municipality of San Gabriel, La Union</t>
  </si>
  <si>
    <t xml:space="preserve"> DEPARTMENT OF EDUCATION Region XI SCHOOLS DIVISION OF MATI CITY City of Mati  Tel No.: (087) 388-4527 REQUEST FOR QUOTATION  Date: August 19, 2020 RFQ No.: 2020-08-140 Name of Business: ____________________________________________________ Address: _______</t>
  </si>
  <si>
    <t xml:space="preserve"> 1.	24” Ø RCP	76	Pcs. 2.	4” CHB	450	Pcs. 3.	Cement	135	Bags 4.	Sand	8	Cu.m 5.	Gravel	14	Cu.m 6.	RSB 10mm Ø	140	Pcs. 7.	RSB 12mm Ø	40	Pcs. 8.	G.I. Tie Wire #100	15	Kgs. 9.	Angle Bar 2” x 2” x 1/4” thk.	18	Pcs. 10.	Welding Rod	5	Kgs. 11.	Epoxy Primer Paint	1</t>
  </si>
  <si>
    <t xml:space="preserve"> INVITATION TO BID SUPPLY AND DELIVERY OF FOUR (4) UNITS BRAND NEW  ASIAN UTILITY VEHICLE (AUV) FOR TECHNICAL EDUCATION AND SKILLS DEVELOPMENT AUTHORITY (TESDA)  Bid Reference No: GPG-B1-2020-085 Approved Budget for the Contract: ₱ 5,400,000.00 1.	The Phil</t>
  </si>
  <si>
    <t xml:space="preserve"> Republic of the Philippines Cordillera Administrative Region Provincial Local Government Unit of Ifugao BIDS AND AWARDS COMMITTEE 2nd Floor COA Bldg., Capitol Compound Lagawe, Ifugao Email Ad.: bacgoodsifugao13@gmail.com INVITATION TO BID VEHICLE TIRES AN</t>
  </si>
  <si>
    <t xml:space="preserve"> Invitation to Bid for  Procurement of Labor and Materials for Various Civil Works  IB NO. 2020-031-I The WESTERN VISAYAS MEDICAL CENTER, through the Internally Generated Fund-Hospital  Income intends to apply the sum of Six  Million Ninety  One Thousand P</t>
  </si>
  <si>
    <t xml:space="preserve"> Republic of the Philippines Department of Agriculture BUREAU OF PLANT INDUSTRY Manila REQUEST FOR QUOTATION SHOPPING INSTRUCTION: 1.	Bidders are required to read the instructions and fill all the blanks properly. Particularly the column under the offered </t>
  </si>
  <si>
    <t xml:space="preserve"> 12 packs- AA Battery Rechargeable 1 unit- Battery Charger-Double AA 1 unit-System Unit,daycare 3 meters- Cable Wire CAT 5E 30 pcs- USB 32GB 182 bottles- Black ink refill for  50 sets- Tri-Colored Ink for Epson Refill(Cyan/Magenta/Yellow) 8 pcs- Optical Mo</t>
  </si>
  <si>
    <t xml:space="preserve"> 1	Portland Cement	75	bags. 2	Gravel (Sariaya)	16	cu.m. 3	Sand (Sariaya)	14	cu.m. 4	#16mm Ø x 6m RSB	12	pcs.</t>
  </si>
  <si>
    <t xml:space="preserve"> ITB # 2020-54 INVITATION TO BID FOR THE FURNISHING &amp; DELIVERY OF ONE (1) UNIT XEROX/COPIER MACHINE  1.	The Municipality of Camalaniugan through the SPECIAL EDUCATION FUND (CNHS) intends to apply the sum of SIXTY FIVE THOUSAND PESOS &amp; 00/100 ONLY   (P65,00</t>
  </si>
  <si>
    <t xml:space="preserve"> ITEM NO.	UNIT		QTY		DESCRIPTION		 							 					MEDICINE FOR BOTIKA NG BAYAN		 1	BXS		5		 Acetylcysteine 200mg Sachet 100's 		 2	BXS		10		 Acetylcysteine 600mg Effervescent tab100's 		 3	BXS		25		 Aluminum Magnesium 200MG/100mg tablet 100's 		 4	 BTLS 		14</t>
  </si>
  <si>
    <t xml:space="preserve"> RFQ (20-08-065) Various Medical Supplies</t>
  </si>
  <si>
    <t xml:space="preserve"> To procure goods for the 10th Cycle implementation of Supplementary Feeding Program in the Municipality of Burgos, La Union</t>
  </si>
  <si>
    <t xml:space="preserve"> Republic of the Philippines Cordillera Administrative Region Provincial Local Government Unit of Ifugao BIDS AND AWARDS COMMITTEE 2nd Floor COA Bldg., Capitol Compound Lagawe, Ifugao Email Ad.: bacgoodsifugao13@gmail.com INVITATION TO BID VETERINARY MEDIC</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</si>
  <si>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</si>
  <si>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One (1) Lot Supply and Installation of Nine (9) Units Modular Type Air Handling Units (AHUs) at Malacañan Palace. To view bidding documents please copy this link to your browser: https://drive.google.com/file/d/1H4NqbE78GVc1Kh8DrsS6QRMsDNxA0OJC/view?usp=s</t>
  </si>
  <si>
    <t xml:space="preserve"> The Local Government Unit of General Santos City, through the GENERAL FUND CY 2020 intends to apply the sum of four million five hundred thousand and xx / 100 Pesos Only (4,500,000.00) being the Approved Budget for the Contract (ABC) to payments under the</t>
  </si>
  <si>
    <t xml:space="preserve"> ITEM NO.	UNIT		QTY		DESCRIPTION		 							 					PHLEBOTOMY		 1	 box 		5		 Micropore Plaster (1inch) 		 2	 box 		5		 EDTA K2 (2M) 		 3	 box 		5		 Gel w/ Clot Activator Tube, Yellow Top 		 4	 box 		5		 Syringe with Needle Terumo 5cc 		 5	 packs 		6		 Cotton </t>
  </si>
  <si>
    <t xml:space="preserve"> The Local Government Unit of General Santos City, through the GENERAL FUND CY 2020 intends to apply the sum of one million one hundred thousand and xx / 100 Pesos Only (1,100,000.00) being the Approved Budget for the Contract (ABC) to payments under the c</t>
  </si>
  <si>
    <t xml:space="preserve"> Please quote your lowest price on the item(s) listed below, subject to the terms and condition stated below. Please send us the standard requirements through mail and email us the soft copy in the email provided. Thank you.</t>
  </si>
  <si>
    <t xml:space="preserve"> INVITATION FOR PRICE QUOTATION Date:  20 August 2020 For The  Supply &amp; Delivery Of Airport Rescue Equipment  At Legazpi Airport – 2nd SVP The Civil Aviation Authority of the Philippines (CAAP) intends to apply the estimated amount   of   Four Hundred Twel</t>
  </si>
  <si>
    <t xml:space="preserve"> 1.	Cement	503	Bags 2.	Gravel	50	Cu.m 3.	Sand	25	Cu.m 4.	Sub Base	30	Cu.m 5.	Tie Wire #16	3	Kgs. 6.	RSB 12 mm Ø	24	Pcs. 7.	Asphalt Sealant	1	Kgs. 8.	C-Purlins 2x6”	14	Pcs.</t>
  </si>
  <si>
    <t xml:space="preserve"> Republic of the Philippines OFFICE OF THE PUNONG BARANGAY 	Barangay CENTRO NAPU	 	Municipality of Tudela	 Province of Misamis Occidental INVITATION TO BID The Office of the Punong Barangay of Barangay Napu through its Bids and Awards Committee [BAC], invi</t>
  </si>
  <si>
    <t xml:space="preserve"> QTY.	Unit 	Item Description 		 15	pcs	 Office Chair 		&gt; 24.75"W x 25.37"D x 39.375-42.5"H Seat Dimensions: 21.25"Wx18.5"Dx19.5-22.5"H Weight: 46 lbs. 4	pcs	Heavy Duty Steel Shelves   		&gt; w86.3 x d35.5 x h182.8cm, Color, Metal:Hammer Toneself: Brown, Item </t>
  </si>
  <si>
    <t xml:space="preserve"> The Local Government Unit of General Santos City, through the GENERAL FUND CY 2020 intends to apply the sum of one million four hundred thirteen thousand seven hundred forty-two and 88 / 100 Pesos Only (1,413,742.88) being the Approved Budget for the Cont</t>
  </si>
  <si>
    <t xml:space="preserve"> Republic of the Philippines Province of Pangasinan Municipality of Lingayen BARANGAY NAGUELGUEL INVITATION TO BID  The Barangay Naguelguel, through the Barangay Development Fund  CY-2020       intends to apply the sum of   Five   Hundred Thousand Pesos On</t>
  </si>
  <si>
    <t xml:space="preserve"> Republic of the Philippines Cordillera Administrative Region Provincial Local Government Unit of Ifugao BIDS AND AWARDS COMMITTEE 2nd Floor COA Bldg., Capitol Compound Lagawe, Ifugao Email Ad.: bacgoodsifugao13@gmail.com INVITATION TO BID SEEDLINGS Public</t>
  </si>
  <si>
    <t xml:space="preserve"> The Municipality of Zaragoza, through its Bids and Awards Committee (BAC), invites contractors to bid for the hereunder contract: Name of Contract                     : Purchase of Materials for the Enhancement of Multi-Purpose Building   Location        </t>
  </si>
  <si>
    <t xml:space="preserve"> 30 sets Personal Protective Equipment 25 sets  Modular Tent 12 sets Folding Bed</t>
  </si>
  <si>
    <t xml:space="preserve"> Rental of": 2 units Pumping Units (10HP/unit)</t>
  </si>
  <si>
    <t xml:space="preserve"> Please download components</t>
  </si>
  <si>
    <t xml:space="preserve"> 1 Lot HARDWARE, ELECTRICAL AND CONSTRUCTION SUPPLIES AND MATERIALS</t>
  </si>
  <si>
    <t xml:space="preserve"> The Local Government Unit of General Santos City, through the GENERAL FUND CY 2020 intends to apply the sum of one million eight thousand four hundred and xx / 100 Pesos Only (1,008,400.00) being the Approved Budget for the Contract (ABC) to payments unde</t>
  </si>
  <si>
    <t xml:space="preserve"> Republic of the Philippines Department of Public Works and Highways OFFICE OF THE DISTRICT ENGINEER Catarman, Northern Samar Telefax No.: (055) 251-8190/055) 500-9165  Invitation to Bid The DPWH – Northern Samar 1st Engineering District Office, through it</t>
  </si>
  <si>
    <t xml:space="preserve"> The Provincial Government of Samar invites all interested registered suppliers to submit in person or authorized representative quotation for- 			 1.	11,321	ltrs.	Diesel Fuel 2.	1,200	ltrs.	Prem. Gasoline 3.	3	pails	Oil#10 4.	3	pails	Oil#40 5.	2	pails	Oil</t>
  </si>
  <si>
    <t xml:space="preserve"> Purchase of school and other supplies for Senior High School</t>
  </si>
  <si>
    <t xml:space="preserve"> JOSE B. LINGAD MEMORIAL REGIONAL HOSPITAL City of San Fernando, Pampanga Tel. No. (045) 961-3921 Date: August 20, 2020 No. 2020 – 08 - 258-S REQUEST FOR QUOTATION (Name of Agency) (Address) Sir/Madam: Please quote your lowest price on the item/s listed be</t>
  </si>
  <si>
    <t xml:space="preserve"> QTY.	Unit 	Item Description 		 10	UNIT	Tables w/ Drawer Cabinet 		Dimension: W120 x W60 x H76cm, Item Material Table Top 		and Drawer front: 25mm &amp; 16mm Mdf laminated with PVC vinyl 		Side panel and support: 16mm thick particle board 		laminated with PVC </t>
  </si>
  <si>
    <t xml:space="preserve"> Republic of the Philippines Barangay Government of Calarian  BIDS AND AWARDS COMMITTEE Calarian, Zamboanga City   INVITATION TO BID FOR THE CONSTRUCTION/REHABILITATION/IMPROVEMENT  OF  DRAINAGE  SYSTEM  AT  PUROK 4, 28th  IB,  CALARIAN , ZAMBOANGA CITY 1.</t>
  </si>
  <si>
    <t xml:space="preserve"> The Provincial Government of Samar invites all interested registered suppliers to submit in person or authorized representative quotation for- 			 1.	2,000	ltrs.	Diesel Requisitioning Office: Tarangnan Community Hospital Bid Forms may be secured from the </t>
  </si>
  <si>
    <t xml:space="preserve"> 1	Portland Cement	100	bags. 2	Sand (Sariaya)	5	cu.m. 3	#4 THK CHB	710	pcs. 4	10mmØ x 6m RSB	110	pcs. 5	12mmØ x 6m RSB	66	pcs. 6	6mm x 50mm x 50mm x 6m Angle Bar	6	pcs. 7	4mm x 50mm x 50mm x 6m Angle Bar	3	pcs. 8	2.0mm x 50mm x 75mm x 6m C-Purlins	21	pcs. </t>
  </si>
  <si>
    <t xml:space="preserve"> REPUBLIC OF THE PHILIPPINES                                                                  PROVINCE OF NEGROS ORIENTAL                                                                           CITY OF DUMAGUETE                                           </t>
  </si>
  <si>
    <t xml:space="preserve"> To procure goods for the 10th Cycle implementation of Supplementary Feeding Program in the Municipality of Bagulin, La Union</t>
  </si>
  <si>
    <t xml:space="preserve"> Preventive Maintenance of 144 KVA Generator Set of SSS Baguio (1 Lot) Specialty Works:  * Supply, Delivery and Replacement of Repair of Operator Panel Features and its Electrical Accessories * Replacement of Alternator * Supply, Delivery and Installation </t>
  </si>
  <si>
    <t xml:space="preserve"> JOSE B. LINGAD MEMORIAL REGIONAL HOSPITAL City of San Fernando, Pampanga Tel. No. (045) 961-3921 Date: August 20, 2020 No. 2020 – 08 - 259-S REQUEST FOR QUOTATION (Name of Agency) (Address) Sir/Madam: Please quote your lowest price on the item/s listed be</t>
  </si>
  <si>
    <t xml:space="preserve"> The Local Government Unit of General Santos City, through the GENERAL FUND CY 2020 intends to apply the sum of one million six hundred fifteen thousand and xx / 100 Pesos Only (1,615,000.00) being the Approved Budget for the Contract (ABC) to payments und</t>
  </si>
  <si>
    <t xml:space="preserve"> Various Personal Protective Equipment  ( PPE )</t>
  </si>
  <si>
    <t xml:space="preserve"> Republic of the Philippines Province of Quirino MUNICIPALITY OF CABARROGUIS OFFICE OF THE BIDS and AWARS COMMITTEE INVITATION TO BID FOR THE  Purchase and Delivery of One (1) Unit Brand New Mini Dumptruck (Garbage Truck) at Cabarroguis, Quirino 1.	The Loc</t>
  </si>
  <si>
    <t xml:space="preserve"> Republic of the Philippines						CEO		 		Government of Ormoc City						P.R. No.:  	202150	 		BIDS AND AWARDS COMMITTEE						Quotation No.: 	204817-6329	 		Ormoc City						PhilGEPs No.: 		 										 Standard Form Title:			REQUEST FOR QUOTATION							 				</t>
  </si>
  <si>
    <t xml:space="preserve"> INVITATION TO APPLY FOR ELIGIBILITY AND TO BID THE BIDS &amp; AWARD COMMITTEE OF THE MUNICIPALITY OF CAIBIRAN, BILIRAN IS INVITING ALL INTERESTED BIDDERS ON ITS FORTHCOMING PUBLIC BIDDING FOR: Project Title	: Acquisition of Sheep’s   Location		: Municipality </t>
  </si>
  <si>
    <t xml:space="preserve"> Name of Project		: IMPROVEMENT OF BARANGAY PLAZA Location		: Brgy. Magsalangi,Milagros,Masbate Brief Description	: I. Perimeter Fence a.	materials 			  II. Concrete Works a.	materials 			  III. Painting Works a.	Materials 			  IV. Labor 			  V. Hauling	  </t>
  </si>
  <si>
    <t xml:space="preserve"> Home, School and Community Food Production    Purchase of Agricultural and Marine Supplies(GAD) - P 110,000.00</t>
  </si>
  <si>
    <t xml:space="preserve"> REQUEST FOR PROPOSAL (RFP) REQUEST FOR PROPOSAL (RFP) August 18, 2020 Ms. ROWENA SARREAL SANTOS TERMS CONCRETE TESTING  # 19 L. Intalan St., Bagong Ilog Pasig City SUBJECT: 	SUB-SURFACE/SOIL EXPLORATION FOR FY 2020 CONSTRUCTION OF SCHOOL BUILDING PROJECTS</t>
  </si>
  <si>
    <t xml:space="preserve"> Republic of the Philippines City of Dapitan BIDS AND AWARDS COMMITTEE 						August 19, 2020 INVITATION FOR NEGOTIATED PROCUREMENT   TWO –FAILED BIDDINGS UNDER SEC. 53.1 Contract ID:	PR # 2020-06-19-206 Project Title:	Procurement of Fabricated Office Equip</t>
  </si>
  <si>
    <t xml:space="preserve"> Republic of the Philippines Barangay Government of Calarian  BIDS AND AWARDS COMMITTEE Calarian, Zamboanga City   INVITATION TO BID FOR THE CONSTRUCTION/REHABILITATION/IMPROVEMENT  OF  DRAINAGE  SYSTEM  AT  PUROK 6A LOPEZ SUBDIVISION,  CALARIAN , ZAMBOANG</t>
  </si>
  <si>
    <t xml:space="preserve"> INVITATION TO BID The Barangay Poblacion Sawang of Loboc, Bohol through its Bids and Awards Committee (BAC), invites interested eligible and accredited supplier/manufacturer/service providers to apply for eligibility, and if found eligible, to bid for the</t>
  </si>
  <si>
    <t xml:space="preserve"> INVITATION TO BID FOR SUPPLY &amp; DELIVERY OF uPVC PIPES, VARIOUS FITTINGS &amp; MATERIALS 1.	The Hinatuan Water District, through the Government Appropriations Act of 2017 (Loan) intends to apply the sum of P 1,577,781.69 being the total Approved Budget for the</t>
  </si>
  <si>
    <t xml:space="preserve"> ITEMS OF WORK: I. Earthworks ......................................................150.00 Cu.m. II. Reinforcing Steel Bars......................................................1.00 Lot III. Form Works.......................................................</t>
  </si>
  <si>
    <t xml:space="preserve"> The Department of Public Works and Highways – Cordillera Administrative Region, through its Bids and Awards Committee (BAC) for Goods, invites suppliers to submit bids for the contract below: Contract ID No.:	20GP00131 Contract Name:	Procurement of Ultras</t>
  </si>
  <si>
    <t xml:space="preserve"> The Department of Education Schools Division of Oriental Mindoro thru its Bids and Awards Committee invites all interested and legitimate bidders to participate in the “PROCUREMENT AND DELIVERY OF BOAT WITH DIESEL ENGINE FOR MAASIN HIGH SCHOOL, BULALACAO </t>
  </si>
  <si>
    <t xml:space="preserve"> Item No.	Unit	Description	Qty 1	pcs	Celox	75 2	pcs	Plasma Expander	76 * * * * * * * * * * * * * * * * * * * * * * * * NOTHING FOLLOWS * * * * * * * * * * * * * * * * * * * * * * * *</t>
  </si>
  <si>
    <t xml:space="preserve"> ITEM NO.	UNIT		QTY		DESCRIPTION		 							 1	 unit 		1		AMBULANCE		 					 Engine 		 					 Type: Liquid Type 		 					 Piston Displacement: 2000cc(min) : 2500cc (min) 		 					 Horsepower Output: 70 or higher 		 					 Torque: 15kg-m (min) 		 					 Number of C</t>
  </si>
  <si>
    <t xml:space="preserve"> 2	pcs	Drillbit dormes 3/8	 1	pc	Masonry drillbit 3/16	 1	kl	Welding Rod	 18	pcs	Dynabolt 3/8	 1	pc	AB 1/4x 1 1/2	 35	m	Flatcord #18	 75	m	THHN #12	 1	pc	AB 3/16 x 1 1/2	 8	pcs	Expansion shield 5/8x2	 1	pc	CB 40 amp	 1	sachet	Vulcaseal	 1	pc	Elec pipe 1"	 </t>
  </si>
  <si>
    <t xml:space="preserve"> Philippine Science High School – Central Luzon Campus (PSHS-CLC) wishes to invite proponent for the Supply and Delivery of Other Supplies and Materials for 3RD Quarter Stock of Supply and Property Unit of PSHS-CLC with ABC of Eighty Thousand Five Hundred </t>
  </si>
  <si>
    <t xml:space="preserve"> The Municipal Government of Santo Tomas, La Union wishes to invite suppliers to quote on the following items on a per lot basis, to wit: Lot 1: Well milled rice - 1,250 cavans            ABC: Php 2,300,000.00 Lot 2: Instant noodles - 2,605 cartoons       </t>
  </si>
  <si>
    <t xml:space="preserve"> Interested suppliers/dealers are invited to a sealed bidding to open in the presence of bidders at the Office of the Municipal Engineer, Catmon, Cebu for infrastructure. (See attached advertisement of bids). Name of Project	: 1. Purchase of Materials for </t>
  </si>
  <si>
    <t xml:space="preserve"> I - EARTHWORKS II CONCRETE WORKS III MASONRY WORKS IV ELECTRICAL WORKS V PLUMBING WORKS VI TILE WORKS VII DOORS AND WINDOWS VIII CEILING WORKS IX PAINTING WORKS X FIXTURES XI STEEL WORKS</t>
  </si>
  <si>
    <t xml:space="preserve"> Section I. Invitation to Bid FOR THE UPLB-RES-041-09-20 PROCUREMENT OF GENOTYPING-BY-SEQUENCING (GBS) FOR IPB 1.	The UNIVERSITY OF THE PHILIPPINES LOS BAÑOS (UPLB), through the GOP (LB04011001-C0002497; N827621) intends to apply the sum of ONE MILLION PES</t>
  </si>
  <si>
    <t xml:space="preserve"> Department of Public Works and Highways (DPWH) Contract ID: 		21CSGI0002 Contract Name: 		CONSULTANCY SERVICES FOR THE CONDUCT OF GEOTECHNICAL SUBSURFACE EXPLORATION FOR PROPOSED FY 2021 VARIOUS BRIDGE PROJECTS 1. Widening of Bridge - Jalaur Br. Along Ilo</t>
  </si>
  <si>
    <t xml:space="preserve"> Tools for Small Engine Services After Training Support 25 set Combination Wrench, see attached RFQ for specs. 25 piece Filler Gauge 25 piece Star Screw 25 piece Flat Screw 25 piece Plier 25 piece Hard Hat 20 piece Piston Ring Decompressor, see attached RF</t>
  </si>
  <si>
    <t xml:space="preserve"> RFQ&gt;&gt;&gt; Reproduction of Modules | Manuel A. Roxas ES  ABC=P218,214.60 368,691 sheet  Opening of RFQ: August 27, 2020</t>
  </si>
  <si>
    <t xml:space="preserve"> 1 unit Van with Ambulance Package</t>
  </si>
  <si>
    <t xml:space="preserve"> please see attached Request for Quotation (RFQ)</t>
  </si>
  <si>
    <t xml:space="preserve"> INVITATION TO BID Procurement of Office Supplies, Equipment, ICT Related Equipment &amp; Peripherals and Learning Management System for Flexible Alternative Mode of  Teaching and Learning in MinSCAT 1.	The Mindoro State College of Agriculture and Technology (</t>
  </si>
  <si>
    <t xml:space="preserve"> INVITATION TO BID FOR  Supply and Delivery of 35 units Non-Motorized Fiber Glass Boat with complete Accessories No. 2020-08-004 1.	The Local Government Unit of Prieto Diaz, through the 20% MDF CY 2019 intends to apply the sum of One Million Pesos Only (Ph</t>
  </si>
  <si>
    <t xml:space="preserve"> RFQ&gt;&gt;&gt; Construction Materials and Tools | Lucban ES  ABC=P136,925.00 Download RFQ for complete list of items.</t>
  </si>
  <si>
    <t xml:space="preserve"> 1. 159 units of Thermal Scanner Non-Contact Infrared Thermometer (Medical Grade, FDA and CE Certified, memory recall and fever alarm, response time: 1 sec or less, accuracy: ± 0.2°C, measuring distance: 3-5 cm, automatic power-off: 30 seconds, complete se</t>
  </si>
  <si>
    <t xml:space="preserve"> Supply of Labor and Materials for Rehabilitation / Restoration of Kalayaan Hall Exterior. To view bidding documents please copy this link to your browser: https://drive.google.com/file/d/11LuQQKxCq1n5zqJNXKfBKHYG-F8ZtHlY/view?usp=sharing ----- OP BAC-SECR</t>
  </si>
  <si>
    <t xml:space="preserve"> Please see attached terms of reference.</t>
  </si>
  <si>
    <t xml:space="preserve"> 1 Unit Brand new 4x4 Pick-up to carry DRRM Staff and equipment which are directly necessary for rescue operations and other DRRM services with the following specifications: Type:                  4-Cylinder, Diesel Engine, not more than 2.8 L Displacement</t>
  </si>
  <si>
    <t xml:space="preserve"> Republic of the Philippines JOSE RIZAL MEMORIAL STATE UNIVERSITY KATIPUNAN CAMPUS Katipunan, Zamboanga del Norte Invitation to Bid: Purchase of Diesel Fuel 1)	The Jose Rizal Memorial State University-Katipunan Campus, Katipunan, Zamboanga del Norte throug</t>
  </si>
  <si>
    <t xml:space="preserve"> JOSE B. LINGAD MEMORIAL REGIONAL HOSPITAL City of San Fernando, Pampanga Tel. No. (045) 961-3921 Date: August 20, 2020 No. 2020 – 08 - 257-S REQUEST FOR QUOTATION (Name of Agency) (Address) Sir/Madam: Please quote your lowest price on the item/s listed be</t>
  </si>
  <si>
    <t xml:space="preserve"> Republic of the Philippines City of Dapitan BIDS AND AWARDS COMMITTEE 						August 19, 2020 NOTICE FOR NEGOTIATED - SMALL VALUE PROCUREMENT 	The City Government of Dapitan through the Bids and Awards Committee (BAC) would like to inform PhilGEPS registere</t>
  </si>
  <si>
    <t xml:space="preserve"> Item No.	Unit	Description	Qty 1	pcs	Cross Joint	4 2	set	Tie Rod End	2 3	ea	Brake Shoe	10 4	ea	Oil Filter KM450	5 5	ea	Clutch Disc	1 6	ea	Rubber Cup	10 7	ea	Fan Belt	3 8	ea	Clutch Master	1 9	ea	Fuel Filter KM450	5 10	ea	Clutch Pressure Plate	1 11	ea	Headli</t>
  </si>
  <si>
    <t xml:space="preserve"> 1666 REAMS PAPER, MULTIPURPOSE, LETTER ***FOR LOCAL SUPPLIERS ONLY</t>
  </si>
  <si>
    <t xml:space="preserve"> 50 UNIT DOUBLE LUMEN CATHETER PERITONEAL DIALYSIS TENCKOFF CATHETER FOR PEDIA FR. 15X32 CM WITH 2 CUFFS, STRAIGHT  NOTE: ALL NEW SUPPLIER ARE REQUIRED TO SUBMIT THE FOLLOWING DOCUMENT. 1. DTI Registration 2. SEC Registration 3. Current Mayor's Permit 4. C</t>
  </si>
  <si>
    <t xml:space="preserve"> REPUBLIC OF THE PHILIPPINES  CITY OF MANILA OFFICE OF THE BARANGAY COUNCIL INVITATION TO BID  SUBMISSION AND OPENING OF BID WILL BE ON AUGUST 27, 2020 AT 8 AM.  THE BARANGAY 62 ZONE 6 DISTRICT 1 MANILA THROUGH ITS BID AND AWARDS COMMITTEE (BAC) INVITE ALL</t>
  </si>
  <si>
    <t xml:space="preserve"> RFQ&gt;&gt;&gt; Production of Learning Materials/Modules  | Lucban ES ABC=P550,202.50 Download RFQ for complete list of items.</t>
  </si>
  <si>
    <t xml:space="preserve"> One (1) lot Vehicle Rental for Various Official Engagements (Outside and Within Metro Manila) To view bidding documents please copy this link to your browser: https://drive.google.com/file/d/1tx0-kjvgElKcfgUQVBAR5PHFpZjrg7Xw/view?usp=sharing ----- OP BAC-</t>
  </si>
  <si>
    <t xml:space="preserve"> Philippine Science High School – Central Luzon Campus (PSHS-CLC) wishes to invite proponent for the Supply, Delivery and Installation of Projector Screen and Mounting of Projectors with ABC of Seven Hundred Thousand Pesos only in words and Php 700,000.00 </t>
  </si>
  <si>
    <t xml:space="preserve"> INVITATION TO BID  PRINTING AND DELIVERY OF QUARTER 1 ADMS-SELF LEARNING MODULES FOR THE IMPLEMENTATION OF BE-LCP 1. The Department of Education (DepEd) Division of San Carlos City (Pangasinan), through the GAA 2020 OSEC-1-20-0858 (a portion of Sub-ARO No</t>
  </si>
  <si>
    <t xml:space="preserve"> 150	pcs	Picara		 150	pcs	Pandacaqui plant (dwarft)		 100	pcs	Silver Pandacaqui		 100	pcs	Fukein Tea		 6	pcs	Champagne Palm tree		 30	sq.m	Blue Grass		 20	pcs	Green dust plant		 50	pcs	Australian Brush Cherry</t>
  </si>
  <si>
    <t xml:space="preserve"> 484 Pieces Rapid Test Kit</t>
  </si>
  <si>
    <t xml:space="preserve"> Pls. see attached file.</t>
  </si>
  <si>
    <t xml:space="preserve"> 50	pcs	Tactical Rescue Uniform (Polo Shirt with Sleeve 		 		and Tactical Pants)		 		*Polo Shirt with Sleeve, Full Sublimation with 		 		UDRRM Logo, Dry Fit (Polyester)		 		*Tactical Pants		 		High quality, black and orange color, adjustable 		 		waist str</t>
  </si>
  <si>
    <t xml:space="preserve"> 10,000 PC/S LEGAL BROWN FOLDER NOTE: ALL NEW SUPPLIER ARE REQUIRED TO SUBMIT THE FOLLOWING DOCUMENT. 1. DTI Registration 2. SEC Registration 3. Current Mayor's Permit 4. Certificate of Registration from B.I.R/TIN number. 5. Tax Clearance Certificate Issue</t>
  </si>
  <si>
    <t xml:space="preserve"> Republic of the Philippines PROVINCE OF ZAMBALES IBA BIDS AND AWARDS COMMITTEE Invitation to Bid for the Installation of Streetlights, Libertador, Lauis, Poblacion Candelaria and Brgy. Balincaguing, San Felipe 1.	The Province of Zambales, through the Gene</t>
  </si>
  <si>
    <t xml:space="preserve"> 1	unit	Multifunction Printer (print,scan,copy,fax) 				 		Shall satisfy the following minimum technical specifications				 		or its equivalent:				 		print speed up to 16ppm, scanner type ADF and flatbed, size (letter, A4,legal				 		wireless printing,epr</t>
  </si>
  <si>
    <t xml:space="preserve"> Republic of the Philippines Municipality of Kalayaan Province of Palawan BIDS and AWARDS COMMITTEE PUBLIC BIDDING HIRING OF MOTOR LAUNCH INTENDED FOR MOBILIZATION OF CONSTRUCTION MATERIALS FOR CONSTRUCTION OF SANITARY TOILET WITH HYGIENE FACILITIES FOR PU</t>
  </si>
  <si>
    <t xml:space="preserve"> INVITATION TO SUBMIT QUOTATION FOR THE CONSTRUCTION OF CONNECTING RAMP AND TILING OF ENTRANCE PAVEMENT OF THE NEW MEDICAL CLINIC BUILDING  August 19, 2020 Reference Number: 2020-590 Name of Project: Construction of Connecting Ramp and Tiling of Entrance P</t>
  </si>
  <si>
    <t xml:space="preserve"> Supply and deliveru of construction materials for the Installation of Street Lights.</t>
  </si>
  <si>
    <t xml:space="preserve"> Supply and delivery of calcified filling materials 1	50	cu.m.	Calcified filling materials 			        (Note: Place of delivery is at PhilRice Samar Satellite Station, 			        UEP Compound, Catarman, Northern Samar) 			        ***nothing follows***</t>
  </si>
  <si>
    <t xml:space="preserve"> 1 UNIT WHEEL LOADER ENGINE GROSS POWER (NOT LESS THAN 51KW 69HP) NET ENGINE POWER (47KW 64HP) OPERATING WEIGHT (ABOUT 5,300KG) BUCKET CAPACITY (1-1.2 CU.M) DUMP CLEARANCE (2,417MM) WARRANTY (1 YEAR PARTS AND SERVICES WITH AFTER SALES SUPPORT) DELIVERY COS</t>
  </si>
  <si>
    <t xml:space="preserve"> Republic of the Philippines PROVINCE OF BUKIDNON Municipality of Don Carlos   BIDS AND AWARDS COMMITTEE REQUEST FOR QUOTATION 									 									Date:  									RFQ No.											   		Name of Project: Supply and  									Delivery of Rapid Test Kits inten</t>
  </si>
  <si>
    <t xml:space="preserve"> Deadline of Submission of Quotations:  August 27, 2020, 2:00 PM at the BAC Office Opening of Quotations:  August 27, 2020, 3:00 PM at the BAC Office</t>
  </si>
  <si>
    <t xml:space="preserve"> 1	unit	Laptop		 		Shall satisfy the following minimum technical 		 		specifications or its equivalent:		 		Solid State Drive (SSD)		 		Processor		 		Up to 8th Gen Intel® Core™ i7 with vPro		 		Operating System		 		Up to Windows 10 Pro		 		Display		 		Up t</t>
  </si>
  <si>
    <t xml:space="preserve"> INVITATION TO BID BAC-IB NO. 2020-35 	The Research Institute for Tropical Medicine (RITM) through its Bids and Awards Committee (BAC) invites technically, legally and financially capable PHILGEPS-registered suppliers/manufacturers to apply for eligibility</t>
  </si>
  <si>
    <t xml:space="preserve"> A4 BOND PAPER 70GSM INK REFILLS</t>
  </si>
  <si>
    <t xml:space="preserve"> ready-made made hand washing facility</t>
  </si>
  <si>
    <t xml:space="preserve"> 1.	The Municipality of Botolan, through the General Fund intends to apply the sum of P 2,999,150.00 being the Approved Budget for the Contract (ABC) to payments under the contract for Supply and Delivery of Rice for Rice Subsidy Program (50:50 scheme) of </t>
  </si>
  <si>
    <t xml:space="preserve"> REQUEST FOR QUOTATION Local Government Unit of Guinobatan invites eligible Suppliers to submit Proposals specific named contract Purchase of IT Equipment for used at Budget Office Procurement will be conducted through Negotiated Procurement – Small Value </t>
  </si>
  <si>
    <t xml:space="preserve"> 1. Long Sleeve 2. Polo T Shirt Field Uniform 3. Rain Coat 4. Long Sleeved Neon Orange T-Shirt with Blue Sleeves 5. Rubber Boots 6. Hard Hat with DPWH Logo 7. Reflectorized Vest</t>
  </si>
  <si>
    <t xml:space="preserve"> CONSTRUCTION MATERIALS</t>
  </si>
  <si>
    <t xml:space="preserve"> Lot 1: One (1) Application of Polyurethane Foam on all BSP Buildings of BSP Cebu RO (see attached Scope of Work and Specifications) Lot 2:  One (1) Lot Application of Polyurethane Foam Insulation at BSP Bacolod (Supply of Labor, Materials and Installation</t>
  </si>
  <si>
    <t xml:space="preserve"> 1	unit	Laptop				 		Shall satisfy the following minimum technical 				 		specifications or its equivalent:				 		*with lifetime warranty				 		*Core i7, *i7-7700HQ, *2.8 GHz, *HM175				 		*NVIDIA GeForce GTX 1050 Up to 2GB GDDR5				 		*Dedicated graphics </t>
  </si>
  <si>
    <t xml:space="preserve"> 1	unit	Laptop			 		Shall satisfy the following minimum technical 			 		specifications or its equivalent:			 		*with lifetime warranty			 		*Core i7, *i7-7700HQ, *2.8 GHz, *HM175			 		*NVIDIA GeForce GTX 1050 Up to 2GB GDDR5			 		*Dedicated graphics memory</t>
  </si>
  <si>
    <t xml:space="preserve"> Republic of the Philippines            PROVINCE OF BUKIDNON             Municipality of Don Carlos                                          BIDS AND AWARDS COMMITTEE REQUEST FOR QUATATION  									 									Date:  									RFQ No.											Name of Proje</t>
  </si>
  <si>
    <t xml:space="preserve"> 1 PC NELSONS TEXTBOOK OF PEDIATRICS 21ST EDITION (2 VOLUMES) 1 PC BATE'S GUIDE TO PHYSICAL EXAMINATION AND HISTORY TAKING  1 PC COMMON PEDIATRIC MEDICAL PROCEDURES (LATEST EDITION) 1 PC DEVELOPMENTAL AND BEHAVIORAL PEDIATRICS 1 PC NEONATAL AND PEDIATRIC P</t>
  </si>
  <si>
    <t xml:space="preserve"> 1. Quick Dry Enamel 2. Epoxy Primer 3. Acrylic Thinner 4. Flap Disk 5. Cupbrush 6. Paint Roller 4" 7. Paint Roller 7" 8. Paint Brush 2" 9. Paint Brush 3" 10. Paint Tray 11. Nylon Rope 12. Bamboo</t>
  </si>
  <si>
    <t xml:space="preserve"> see the attached RFQ, submit necessary file and sent to this ; email : johnedmar.barairo@deped.gov.ph  phone no. (049) 530-0284 - we prioritize bidder/supplier who completed and complied the process. - if system error occur pls. contact us.</t>
  </si>
  <si>
    <t xml:space="preserve"> Item No.	Unit	Description	Qty 1	Units	Scanner Sheet-Fed One Pass Duplex Colour Scanner At least 600 dpi Optical Resolution At least 6000 mm Document Length Supports 30 to 400 gsm Paper Weight At least 50 Sheets 80 gsm ADF Capacity Max Daily Scan Volume at</t>
  </si>
  <si>
    <t xml:space="preserve"> 1	HEAT GUN	3	pc 	Multiple heat settings (400 or 550 degrees Celcius)		 	Bulit-in stand for hands-free use and easy cooldown		 	550-750 liters per minute air flow rate		 	1800W		 	220V		 2	FOOT TYPE IMPULSE SEALER	1	pc 	air and water tight seals on the fol</t>
  </si>
  <si>
    <t xml:space="preserve"> Republic of the Philippines Municipality of Kalayaan Province of Palawan BIDS and AWARDS COMMITTEE PUBLIC BIDDING VENUE RENTAL FOR THE CONDUCT OF SEMINAR WORKSHOP FOR COMPREHENSIVE DEVELOPMENT PLAN CY 2019 - 2022 1.	The Municipality of Kalayaan, through t</t>
  </si>
  <si>
    <t xml:space="preserve"> Supply and Delivery of Eighteen (18) Air Conditioning Units. To view bidding documents please copy this link to your browser: https://drive.google.com/file/d/1Z0cgaWm9xneyw6iNqFKhilqJ3WVlnCz4/view?usp=sharing ----- OP BAC-SECRETARIAT OP BAC , Mezzanine Fl</t>
  </si>
  <si>
    <t xml:space="preserve"> Procurement of equipment to be use at different barangays</t>
  </si>
  <si>
    <t xml:space="preserve"> ITEM NO.	ITEM &amp; DESCRIPTION					QTY.	UoM Supply Labor &amp; Materials including installation 1	Close Circuit Television (CCTV)						1	lot 	Specs:							 	16 Channel Network Recorder( NVR)  POE							 	8TB HDD							 	6 units 4MP Bullet Cam POE							 	6 units</t>
  </si>
  <si>
    <t xml:space="preserve"> Elderly and Disabled Welfare Program  Other Machinery and Equipment (Purchase of Wheelchair) - P 150,000.00</t>
  </si>
  <si>
    <t xml:space="preserve"> PROJECT: PURCHASE OF MEDICAL SUPPLIES LOCATION: RHU-RIZAL, NUEVA ECIJA SOURCE OF FUND: CALAMITY FUND ABC: PHP 200,000.00</t>
  </si>
  <si>
    <t xml:space="preserve"> Department of Public Works and Highways (DPWH) Contract ID: 		21CSGI0003 Contract Name: 		CONSULATNCY SERVICES FOR THE CONDUCT OF GEOTECHNICAL SUBSURFACE EXPLORATION FOR PROPOSED FY 2021 VARIOUS FLOOD CONTROL PROJECTS 1.	Construction of Flood Mitigation S</t>
  </si>
  <si>
    <t xml:space="preserve"> I----Ceiling Works II---Painting Works III--Tiling Works</t>
  </si>
  <si>
    <t xml:space="preserve"> Republic of the Philippines Province of Siquijor Municipality of Maria Invitation to Bid for Upgrading Of Barangay Multi-Purpose Hall – Calunasan, Maria, Siquijor/CAL-0001I-2020 1.	The Barangay Local Government Unit of Calunasan, through the 20%  Developm</t>
  </si>
  <si>
    <t xml:space="preserve"> 1	5000 Watts                                                                                                                                                Input: AC 160 - 260 Volts                                                                          </t>
  </si>
  <si>
    <t xml:space="preserve"> Supply and delivery of various hardware supplies and materials Item No.	Quantity	Unit	Item and Description 			 1	30	pc	Coco Lumber, 2" x 3" x 12' 2	12	pc	Coco Lumber, 2" x 2" x 10'  3	15	pc	Good Lumber, 2" x 2" x 12'  4	5	kilo	Common Wire Nail, 4" 5	3	kil</t>
  </si>
  <si>
    <t xml:space="preserve"> Fabrication of 10 sets Frame and Cover ( Tents) Size: 10'x 10' x 6' x 6' Material of Frame: Black Iron Pipe s20 Material of Cover: s200 Maruzen (thickest)</t>
  </si>
  <si>
    <t xml:space="preserve"> Republic of the Philippines BIDS AND AWARDS COMMITTEE Province of Iloilo Invitation to Bid PURCHASE OF LABORATORY SUPPLIES Bid No. IPH-20-0687-B 1. The Iloilo Provincial Government, through the GENERAL FUND 2020 intends to apply the sum of SIX HUNDRED THI</t>
  </si>
  <si>
    <t xml:space="preserve"> Qty	Unit	Articles 50	 liters 	Engine Oil 50	 liters 	Automatic Transmission Oil 50	 liters 	Manual Transmission Fluid(MTF) 25	 pcs 	Brake Cleaner, 500ML 50	 liters 	Coolant 50	 pcs 	Spark Plug 50	 liters 	Grease 25	 tube  	sealant/adhesive 350ml 50	 pcs 	</t>
  </si>
  <si>
    <t xml:space="preserve"> Republic of the Philippines BIDS AND AWARDS COMMITTEE Province of Iloilo Invitation to Bid PURCHASE OF DRUGS AND MEDICINES Bid No. IPH-20-0715-B 1. The Iloilo Provincial Government, through the GENERAL FUND 2020 intends to apply the sum of ONE HUNDRED SEV</t>
  </si>
  <si>
    <t xml:space="preserve"> Republic of the Philippines Province of South Cotabato BIDS AND AWARDS COMMITTEE Salada Street, Poblacion Tupi, South Cotabato Tel. Fax No.: (083) 226-1045 INVITATION TO BID FOR THE SUPPLY AND DELIVERY OF MATERIALS FOR THE REHABILITATION OF HOSPITAL GUTTE</t>
  </si>
  <si>
    <t xml:space="preserve"> *PLEASE SEE ATTACHED COMPONENTS FOR COMPLETE SPECIFICATION AND BAC REQUIREMENTS *PLEASE INDICATE COMPLETE SPECIFICATION OF THE QUOTED ITEM *KINDLY READ OTHER INFORMATION BELOW TO AVOID DISQUALIFICATION *PLEASE ATTACH BROCHURE/PAMPHLET OF THE QUOTED ITEM *</t>
  </si>
  <si>
    <t xml:space="preserve"> REPUBLIC OF THE PHILIPPINES PROVINCE OF SURIGAO DEL NORTE MUNICIPALITY OF SAN ISIDRO BARANGAY TIGASAO San Isidro, Surigao del Norte Section I. Invitation to Bid - rebid PROCUREMENT OF HARDWARE MATERIALS FOR THE IMPROVEMENT OF MP BUILDING 1.	The Barangay G</t>
  </si>
  <si>
    <t xml:space="preserve"> 21	units	Pigeon Box (painted)		 		Color: Chocolate brown		 		Type: close (lockable)		 		Materials: Plywood (authentic Sta. Clara plywood)		 		box dimension: 0.48m x 1.2m x 2.0m		 		Shelf hole dimension: Width-0.30m; Depth-0.40m;		 		Length-0.40m		 		(plea</t>
  </si>
  <si>
    <t xml:space="preserve"> Purchase of construction materials for the project Construction/Rehabilitation/Improvement of Multi-Purpose Building at Municipal Building Compound, Mabitac, Laguna</t>
  </si>
  <si>
    <t xml:space="preserve"> 4000	reams	Paper, multipurpose, A4, 70gsm 250	boxes	Staple wire, standard, 26/6 5	rolls	plastic cover 25	pcs	stapler with remover, heavy duty 50	rolls	duct tape, 2 inches 50	rolls	duct tape, 3 inches</t>
  </si>
  <si>
    <t xml:space="preserve"> CONSTRUCTION  MATERIALS</t>
  </si>
  <si>
    <t xml:space="preserve"> These are essential supplies needed for module reproduction and the like. The school is remote and hardly accessible to public transport. Delivery should be made before 12nn of the scheduled date.</t>
  </si>
  <si>
    <t xml:space="preserve"> 4 PC/S Computer Desktop            OS: Windows 10 Pro licensed            INTEL CORE i5 gen Processor            4GB DDR4 Memory            250 gb SSD            500 GB HHD            21" Monitor            Keyboard and Mouse 4 PC/S 650 VA UPS (black)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</si>
  <si>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</si>
  <si>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One (1) Lot Supply, Delivery and Installation of Additional Access Control System and Panic Buttons in the BSP Dumaguete Branch (see attached TOR/Scope of Work)                 nothing follows</t>
  </si>
  <si>
    <t xml:space="preserve"> *PLEASE SEE ATTACHED ASSOCIATED COMPONENTS FOR THE COMPLETE SPECIFICATION AND BAC REQUIREMENTS *PLEASE INDICATE COMPLETE SPECIFICATION OF THE QUOTED ITEM *KINDLY READ OTHER INFORMATION BELOW TO AVOID DISQUALIFICATION</t>
  </si>
  <si>
    <t xml:space="preserve"> INVITATION TO BID BAC-IB NO. 2020-36 	The Research Institute for Tropical Medicine (RITM) through its Bids and Awards Committee (BAC) invites technically, legally and financially capable PHILGEPS-registered suppliers/manufacturers to apply for eligibility</t>
  </si>
  <si>
    <t xml:space="preserve"> Republic of the Philippines BIDS AND AWARDS COMMITTEE Province of Iloilo Invitation to Bid PURCHASE OF DRUGS AND MEDICINES Bid No. IPH-20-0374-B 1. The Iloilo Provincial Government, through the GENERAL FUND 2020 intends to apply the sum of SIX HUNDRED SEV</t>
  </si>
  <si>
    <t xml:space="preserve"> PORTABLE SPEAKERS QR SCANNER PRINTER</t>
  </si>
  <si>
    <t xml:space="preserve"> Delivery and Procurement of Various Medicines e. g common medicines readily available in Rural Health Unit of Tago, Surigao del Sur.</t>
  </si>
  <si>
    <t xml:space="preserve"> Purchase of  Ball joint    2 Ball joint upper 2 Upper link         2 Tire 185x14 tire rod end  4 idler arm  1 Pitman arm 1 Bore crank 1 Center post 1 Drag link 1 Front wheel bearing 4 Grease    2 can 1 set brake pad Job order replace spare parts and labor</t>
  </si>
  <si>
    <t xml:space="preserve"> Republic of the Philippines Province of Camarines Sur Municipality of Pili Barangay Pawili INVITATION OF BID FOR REHABILITATION OF MULTIPURPOSE BUILDING AT ZONE 3 BARANGAY PAWILI, PILI, CAMARINES SUR   1.	The Barangay Pawili, Pili, Camarines Sur through t</t>
  </si>
  <si>
    <t xml:space="preserve"> INVITATION TO BID   Purchase of Rice for the 10th Cycle Supplementary Feeding Program in Baguio City and Abra  ITB 2020-DSWD-CAR-19 1.	The Department of Social Welfare and Development - Cordillera Administrative Region (DSWD-CAR), through the General Appr</t>
  </si>
  <si>
    <t xml:space="preserve"> Republic of the Philippines Barangay 105, zone 8, District I Bids and awards committee INVITATION TO BID Barangay 105, zone 8, District I, Manila through  its bids and awards  committee (BAC), invites suppliers to bid the here under project, Educational m</t>
  </si>
  <si>
    <t xml:space="preserve"> Negotiated Procurement (Sec 53.1) 1.	The Provincial Government of Misamis Oriental, through the Approved Budget for the Contract (ABC) intends to apply the sum stated below with the item description, being the Approved Budget for the Contract (ABC) to pay</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</si>
  <si>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</si>
  <si>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</si>
  <si>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1 UNIT Computer Desktop            OS: Windows 10 Pro licensed            INTEL CORE i5 gen Processor            4GB DDR4 Memory            250 gb SSD            500 GB HHD            21" Monitor            Keyboard and Mouse 1 UNIT 650 VA UPS (black)    </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</si>
  <si>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</si>
  <si>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FOR MODULE PRINTING</t>
  </si>
  <si>
    <t xml:space="preserve"> Installation of Walling, Door and Windows  pc 	4" thk Concrete Hollow Block	600.00  bag 	Portland Cement	30.00  cu.m 	Fresh Water Sand	7.00  kg 	12 mm Ǿ RSB	160.20  kg 	10 mm Ǿ RSB	111.60  kg 	Tie Wire	4.00  bag 	Portland Cement	30.00  bdft 	2 x 3 x 12 Go</t>
  </si>
  <si>
    <t xml:space="preserve"> PCCP=0.15m x 4.00m x18.00=10.80cu.m Sand and Gravel=0.10m x 5.00m x 18.00m=9cu.m</t>
  </si>
  <si>
    <t xml:space="preserve"> Invitation to Bid Republic of the Philippines City of Olongapo -0- BIDS AND AWARDS COMMITTEE BAC 3rd  Floor  Olongapo City Hall  Web: www.olongapocity.gov.ph INVITATION TO BID FOR  OC-84(CEO-26) 20 CW RE-BID Proposed Upgrading of Drainage System @ 16th St</t>
  </si>
  <si>
    <t xml:space="preserve"> 7 units Handheld radio</t>
  </si>
  <si>
    <t xml:space="preserve"> Opening of Bid will be on August 27,2020 : 9:00 am at Barangay Hall, Barangay Southside, Makati City</t>
  </si>
  <si>
    <t xml:space="preserve"> Description I.	Sign Board II.	Clearing/Excavation III.	Formworks IV.	Electrical Post and Pedestal V.	Electrical Works VI.	Painting Works VII.	Construction Safety &amp; Health 1. Barangay Kiling Tanauan, LEYTE through the bids and awards comm.) invites supplie</t>
  </si>
  <si>
    <t xml:space="preserve"> Republic of the Philippines Province of Nueva Ecija Municipality of Cuyapo -o0o- OFFICE OF THE BIDS AND AWARDS COMMITTEE INVITATION TO BID FOR  PURCHASE OF 6 UNITS MACHINE (COPIER, PRINTER, SCANNER) 1. The Municipality of Cuyapo, Nueva Ecija intends to ap</t>
  </si>
  <si>
    <t xml:space="preserve"> Description I.	Sign Board II.	Clearing/Excavation III.	Formworks IV.	Electrical Post and Pedestal V.	Electrical Works VI.	Painting Works VII.	Construction Safety &amp; Health 1. Barangay Maribi Tanauan, LEYTE through the bids and awards comm.) invites supplie</t>
  </si>
  <si>
    <t xml:space="preserve"> INVITATION TO BID   Purchase of Food Supplies for the 10th Cycle Supplementary Feeding Program in Abra, Benguet, Ifugao, Kalinga and Paracelis, Mt. Province  ITB 2020-DSWD-CAR-20 1.	The Department of Social Welfare and Development - Cordillera Administrat</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</si>
  <si>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</si>
  <si>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Invitation to Bid Republic of the Philippines City of Olongapo -0- BIDS AND AWARDS COMMITTEE BAC 3rd  Floor  Olongapo City Hall  Web: www.olongapocity.gov.ph INVITATION TO BID FOR  OC-85(CEO-27) 20 CW RE-BID Repair of Classroom (Replacement of Roofing, Tr</t>
  </si>
  <si>
    <t xml:space="preserve"> Republic of the Philippines Province of Nueva Ecija Municipality of Cuyapo -o0o- OFFICE OF THE BIDS AND AWARDS COMMITTEE INVITATION TO BID FOR THE CONSTRUCTION OF COVERED ROOF EXTENSION FROM GYM TO STAGE 1. The Municipality of Cuyapo, Nueva Ecija intends </t>
  </si>
  <si>
    <t xml:space="preserve"> This project is dealing of Brgy. Bebito, Lopez, Quezon</t>
  </si>
  <si>
    <t xml:space="preserve"> Please download the attached file (Associated Components) for the Bid Document.</t>
  </si>
  <si>
    <t xml:space="preserve"> Republic of the Philippines PROVINCE OF NUEVA ECIJA City of Palayan INVITATION TO BID FOR  SUPPLY AND DELIVERY OF HARDWARE/ CONSTRUCTION MATERIALS (RE-BID) August 20, 2020 1.	The Provincial Government of Nueva Ecija (PGNE), through the General Fund, inten</t>
  </si>
  <si>
    <t xml:space="preserve"> SUPPLY &amp; DELIVERY OF MATERIALS FOR THE EXTENSION OF MULTI-PURPOSE BLDG.</t>
  </si>
  <si>
    <t xml:space="preserve"> Republic of the Philippines Province of Siquijor Municipality of Enrique Villanueva INVITATION TO BID FOR the Purchase of Ambulance 1. The Local Government Unit of Enrique Villanueva, through the 2019 Local Government Support Fund-Other Financial Assistan</t>
  </si>
  <si>
    <t xml:space="preserve"> Republic of the Philippines PROVINCE OF NUEVA ECIJA City of Palayan INVITATION TO BID FOR  SUPPLY AND DELIVERY OF TOILET BOWLS August 20, 2020 1.	The Provincial Government of Nueva Ecija (PGNE), through the General Fund, intends to apply the sum of Nine H</t>
  </si>
  <si>
    <t xml:space="preserve"> 1920          SACHET        SHAMPOO,13ml 960            PCS              BATHSOAP, 60gms,  1920          SACHET         DETERGENT POWDER, 66gms 960            SACHET         TOOTHPASTE, 24mg 75              BOTS             ZONROX BLEACH OR ITS EQUIVALENT</t>
  </si>
  <si>
    <t xml:space="preserve"> The Roxas City Government, through the GOP-2020 intends to apply the total amount of Four Hundred Ninety Five Thousand Five Hundred Sixty Pesos (Php 495,560.00) being the Aggregate Approved Budget for the Contract (ABC) to payments under the contract for </t>
  </si>
  <si>
    <t xml:space="preserve"> Supply &amp; Delivery of Office Equipment ABC:250,000.00 	1 unit Multi-Function Printer, Photocopier, Scanner in-One, HD A.	General: -	Warm up time: 21-25 seconds -	First output speed: B/W 5.1-5.5 seconds -	First output speed: full color 7.4- 8 seconds -	Cont</t>
  </si>
  <si>
    <t xml:space="preserve"> INVITATION TO BID FOR Supply and Delivery of Dental Health Care Supplies for Kindergarten to Grade 6 Learners of Deped - SDO Toledo City 1.	The Schools Division of Toledo City, through the General Appropriations Act (GAA) intends to apply the sum of One m</t>
  </si>
  <si>
    <t xml:space="preserve"> (see bidding documents and other supporting papers in the associated component for further project details)</t>
  </si>
  <si>
    <t xml:space="preserve"> Building Construction</t>
  </si>
  <si>
    <t xml:space="preserve"> REQUEST FOR QUOTATION (Small Value Procurement) 53.9 RFQ No. 2020-08-096 The Rizal Medical Center (Rizal Med) through its Bids and Awards Committee – B,        hereby invites all interested suppliers or distributors registered with the Philippine Governme</t>
  </si>
  <si>
    <t xml:space="preserve"> (see bidding documents and other supporting documents in the associated component for further project details)</t>
  </si>
  <si>
    <t xml:space="preserve"> Engagement of Consulting Services for 2020 NHMFC Customer Satisfaction Survey The National Home Mortgage Finance Corporation (NHMFC) is inviting all interested parties to submit proposals for the Engagement of Consulting Services for 2020 NHMFC Customer S</t>
  </si>
  <si>
    <t xml:space="preserve"> Republic of the Philippines Barangay 786, Zone 86, District V Bids and awards Committee INVITATION TO BID Barangay 786, Zone 86, District V, Manila through its bids and awards committee (BAC) invites supplier to bid the here under project:    Office suppl</t>
  </si>
  <si>
    <t xml:space="preserve"> 8.00 	pcs	G.I Pipe 2" sch 20  12.00 	pcs	G.I Pipe 1 1/2"x20" sch 20  4.00 	pcs	G.I Pipe 1 1/2"x 10" sch 20  28.00 	pcs	Machine Bolt 5/8" x 4" w/ knut &amp; washer  4.00 	kgs	Welding Rod  48.00 	bags	Portland Cement  6.00 	cu.m.	Washed Sand  12.00 	cu.m.	Scree</t>
  </si>
  <si>
    <t xml:space="preserve"> The Roxas City Government, through the GOP-2020 intends to apply the total amount of One Hundred Twenty-two Thousand Two Hundred Fifty-six Pesos (P 122,256.00 ) being the Approved Budget for the Contract (ABC) to payments under the contract for Public Bid</t>
  </si>
  <si>
    <t xml:space="preserve"> LABOR AND MATERIALS.</t>
  </si>
  <si>
    <t xml:space="preserve"> Improvement of Barangay Road Purok 2-3, Barangay Leonardo</t>
  </si>
  <si>
    <t xml:space="preserve"> Invitation to Bid Republic of the Philippines City of Olongapo -0- BIDS AND AWARDS COMMITTEE BAC 3rd  Floor  Olongapo City Hall  Web: www.olongapocity.gov.ph INVITATION TO BID FOR  OC-81(CEO-23) 20 CW Completion of 6th St. Shed (Including Comfort Rooms) B</t>
  </si>
  <si>
    <t xml:space="preserve"> Item	Qty.	A R T I C L E S				 1		CLEAN &amp; BEAUTIFICATION				 2	2 tin	Paint latex flat				 3	2 tin	Paint latex gloss				 4	10 gals	Paint ttraffic yellow				 5	6 gals	Paint traffic black				 6	10 gals	Paint blue				 7	5 gals	Paint red				 8	10 gals	Paint thi</t>
  </si>
  <si>
    <t xml:space="preserve"> The Department of Social Welfare and Development, Field Office VII (DSWD-FO VII), through the authorized appropriations for Fiscal Year 2020 General Appropriations Act intends to apply the sum of Eight Million Pesos (₱8,000,000.00) payments under the cont</t>
  </si>
  <si>
    <t xml:space="preserve"> Item	Qty.	A R T I C L E S				 1		OTHER PROPERTY PLANT &amp; EQUIPMENT				 2	1 lot	H/K CCTV CAMERA, monitor 32"				 3		video balun 6 channel,power supply				 4		CCTV 16 channel</t>
  </si>
  <si>
    <t xml:space="preserve"> Republic of the Philippines Province of Siquijor Municipality of Enrique Villanueva INVITATION TO BID FOR the Purchase Office Supplies 1. The Local Government Unit of Enrique Villanueva, through the General Fund of 2020 intends to apply the sum of One Hun</t>
  </si>
  <si>
    <t xml:space="preserve"> Republic of the Philippines  Barangay 842, Zone 92, District VI, Manila Bids and Awards Committee INVITATION TO BID Barangay 842, Zone 92, District VI, Manila through its Bids and Awards Committee (BAC), Invites all Suppliers Contractors to bid the here u</t>
  </si>
  <si>
    <t xml:space="preserve"> The Environmental Management Bureau 10 through the GAA NDRRM FUND (Calamity Fund 2020) intends to apply the sum of [One Million Four Hundred Forty Thousand Pesos Only (php 1,440,000.00] being the Approved Budget for the Contract (ABC) to payments under th</t>
  </si>
  <si>
    <t xml:space="preserve"> Name of Requirement/Brief Description: One (1) Lot BSP Regional Wide Area Network (RWAN) Enhancement 2020 Project, as per BSP Terms of Reference Approved Budget for the Contract (ABC), VAT inclusive Php2,144,896.50 - Monthly Recurring Cost (Php25,738,758.</t>
  </si>
  <si>
    <t xml:space="preserve"> Vault Door Mechanism Time Lock and Time Movement -Three (3) movement time locks double - redundancy for dependability and  accuracy -All movements are precision 13-jewel Swiss mechanism -All time locks are listed under U.L. Standard 887 -All winding chart</t>
  </si>
  <si>
    <t xml:space="preserve"> Procurement of Materials for Solar Powered Street Lights for Zones 1 &amp; 4 of Barangay Alibago, Sta. Barbara, Pangasinan: 9	Sets	Solar Street Lights 60W</t>
  </si>
  <si>
    <t xml:space="preserve"> The Roxas City Government, through the GOP-2020 intends to apply the total amount of One Hundred Eighteen Thousand Four Hundred Forty-two  Pesos (P118,442.00) being the Approved Budget for the Contract (ABC) to payments under the contract for Public Biddi</t>
  </si>
  <si>
    <t xml:space="preserve"> 2      SHEETS       4'X8' PRINTED TARPAULIN 1       PC              1/4"X4"X8" ORDINARY PLYWOOD 36     BD.FT.        2"X3"X12ft GOOD LUMBER, 6PCS 4       PCS            1/4"X2"X2.4m LATTICE MOULDING 1.5    KGS.           4" C.W. NAILS 1.5    KGS.         </t>
  </si>
  <si>
    <t xml:space="preserve"> To provide Labor and materials for the Construction of Municipal Green Bldg 2 Phase 3 Pre-bid Conference: September 8, 2020 @ 9:00AM, venue: Engineer's Office Opening of Bids - September 21, 2020, 10:00AM Other Information: Letter of Intent must be accomp</t>
  </si>
  <si>
    <t xml:space="preserve"> The Department of Social Welfare and Development, Field Office VII (DSWD-FO VII), through the authorized appropriations for Fiscal Year 2020 General Appropriations Act intends to apply the sum of One Million Two Hundred Eighty-Five Thousand Seven Hundred </t>
  </si>
  <si>
    <t xml:space="preserve"> Split Type Air Conditioned Includes the following: Materials Labor and Installation 1 year warranty on parts and services</t>
  </si>
  <si>
    <t xml:space="preserve"> ITEM	DESCRIPTION			QUANTITY	UNIT l	Mobilization/Demobilization			2.00	ways ll	Excavation/Site preparation			5.40	cu.m lll	Demolition of Concrete			0.72	cu.m iV	Concrete works			8.63	cu.m V	Transmission and distribution Line 			175.00	lm Vl	WELL DEVELOPMEN</t>
  </si>
  <si>
    <t xml:space="preserve"> Republic of the Philippines PROVINCE OF NUEVA ECIJA City of Palayan -o0o- Invitation to Bid for  CONSTRUCTION OF MULTI-PURPOSE FACILITIES (RE-BID) August 20, 2020 1.	The Provincial Government of Nueva Ecija (PGNE), through the Special Educational Fund (SE</t>
  </si>
  <si>
    <t xml:space="preserve"> Republic of the Philippines Province of Nueva Ecija Municipality of Cuyapo -o0o- OFFICE OF THE BIDS AND AWARDS COMMITTEE INVITATION TO BID FOR THE ROAD CONCRETING, BRGY. BAMBANABA TO BRGY. SANTA CRUZ 1. The Municipality of Cuyapo, Nueva Ecija intends to a</t>
  </si>
  <si>
    <t xml:space="preserve"> Republic of the Philippines Province of Nueva Ecija Municipality of Cuyapo -o0o- OFFICE OF THE BIDS AND AWARDS COMMITTEE INVITATION TO BID FOR THE ROAD CONCRETING, BARANGAY NAGCURALAN 1. The Municipality of Cuyapo, Nueva Ecija intends to apply the sum of </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</si>
  <si>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</si>
  <si>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The Bids and Awards Committee (BAC) of the LGU-Lubang, Occidental Mindoro invites contractors to bid for the aforementioned project: Contract I.D.:				ML-2020-02-20 Contract Name:	Upgrading of Akle Water System Contract Location:				Sitio Akle, Brgy. Sorv</t>
  </si>
  <si>
    <t xml:space="preserve"> SUPPLY OF MATERIALS, TOOLS, EQUIPMENT, LABOR AND INCLUDING TECHNICAL EXPERTISE FOR THE RESTORATION TO NORMAL OPERATING CONDITION OF 20 TR CENTRALIZED AIR CONDITION UNIT</t>
  </si>
  <si>
    <t xml:space="preserve"> Barangay 20, Zone 2, District I, Manila Invites all suppliers/contactors to offer most favorable bid for the following Supplies and Material: 30		pcs	PLASTIC DUST PAN				 30		pcs	BROOMSTICK W/ HANDLE				 30		pair	RUBBERIZED GLOVES				 50		roll	GARBAGE BAG</t>
  </si>
  <si>
    <t xml:space="preserve"> INVITATION TO BID FOR LOT 3 - Reproduction and Delivery of Self-Learning Modules in Music,  Arts, Physical Education, and Health for Grade 2 to Grade 8 for DepEd - SDO Toledo City 1.	The Schools Division of Toledo City, through the General Appropriations </t>
  </si>
  <si>
    <t xml:space="preserve"> Republic of the Philippines PROVINCE OF NUEVA ECIJA City of Palayan -o0o- Invitation to Bid for  CONSTRUCTION OF MULTI-PURPOSE FACILITY at San Agustin ES, Guimba, Nueva Ecija (RE-BID) August 20, 2020 1.	The Provincial Government of Nueva Ecija (PGNE), thr</t>
  </si>
  <si>
    <t xml:space="preserve"> INVITATION TO BID FOR LOT 2 - Reproduction and Delivery of Self-Learning Modules in Science, Araling Panlipunan and Math for Grades 2 to Senior High School for DepEd - SDO Toledo City 1.	The Schools Division of Toledo City, through the General Appropriati</t>
  </si>
  <si>
    <t xml:space="preserve"> The Bids and Awards Committee (BAC) of the LGU-Lubang, Occidental Mindoro invites contractors to bid for the aforementioned project: Contract I.D.:				ML-2020-02-19 Contract Name:	Rehabilitation of Streetlights along Antonio Luna Highway and Brgy. Araw at</t>
  </si>
  <si>
    <t xml:space="preserve"> INVITATION TO BID FOR LOT 1 - Reproduction and Delivery of Self-Learning Modules in English, Filipino and Edukasyon Sa Pagpapakatao for Grades 2 to Senior High School for DepEd - SDO Toledo City 1.	The Schools Division of Toledo City, through the General </t>
  </si>
  <si>
    <t xml:space="preserve"> PART II  - OTHER GENERAL REQUIREMENTS PART III - CIVIL, MECHANICAL, ELECTRICAL AND SANITARY/PLUMBING WORKS PART A- EARTHWORKS PART B- PLAIN AND REINFORCED CONCRETE WORKS PART C- FINISHING AND OTHER CIVIL WORKS PART D- ELECTRICAL PART E- MECHANICAL</t>
  </si>
  <si>
    <t xml:space="preserve"> Republic ofa the Philippines Barangay 94, Zone 8, District I Bids and awards committee INVITATION TO BID Barangay 94, Zone 8, District I, Manila through its bids and awards committee (BAC) invites suppliers to bid the here under project: IT equipment     </t>
  </si>
  <si>
    <t xml:space="preserve"> Republic of the Philippines PROVINCE OF NUEVA ECIJA City of Palayan INVITATION TO BID FOR  SUPPLY AND DELIVERY OF MEDICAL SUPPLIES FOR PROVINCIAL HEALTH OFFICE  August 20, 2020 1.	The Provincial Government of Nueva Ecija (PGNE), through the General Fund i</t>
  </si>
  <si>
    <t xml:space="preserve"> 10        ROLLS       2" DIA. HDPE PIPE, 60m PER ROLL 8          PCS           2" DIA. COMPRESSION TYPE COUPLING 8          PCS           2" DIA. COMPRESSION TYPE TEE 30        LITERS       2"X1" SADLE CLAMPS 12        ROLLS        1" DIA. HPDE PIPE, 120m</t>
  </si>
  <si>
    <t xml:space="preserve"> Specifications:		Data: Cutting Type:		Cross-cut Throat Width:		230mm Shred Capacity:		10-12 Cutting Speed:		4mpm Shred Size:		1.9 x 15mm Bin capacity:		30L Other Specs:		Auto start and stop 		                Auto reverse to prevent paper jam 		           </t>
  </si>
  <si>
    <t xml:space="preserve"> 20M00193 - Concreting of Road (Sta. Limits = 0+000 – Sta. 1+000) (Net Length = 2 L.km or 1 Km.)</t>
  </si>
  <si>
    <t xml:space="preserve"> Barangay 20, Zone 2, District I, Manila Invites all suppliers/contractors to offer most favorable bid for the following supplies and materials: 50		ream	    BARANGAY LETTER HEAD (LONG)				 50		ream	    BARANGAY CERTIFICATION(SHORT)				 100		ream	    HARD </t>
  </si>
  <si>
    <t xml:space="preserve"> The Bids and Awards Committee (BAC) of the LGU-Lubang, Occidental Mindoro invites contractors to bid for the aforementioned project: Contract I.D.:				ML-2020-02-21 Contract Name:	Rehabilitation and Upgrading of Tilik Water System Contract Location:				Br</t>
  </si>
  <si>
    <t xml:space="preserve"> INSTALLATION OF CCTV WIRELESS SET 8 CHANNEL NVR BULLET HIGH DEFINITION CAMERA WIRELESS   2TB SURVELLANCE HARDRIVE  32 INCHES LED MONITOR</t>
  </si>
  <si>
    <t xml:space="preserve"> The Bids and Awards Committee (BAC) of the LGU-Lubang, Occidental Mindoro invites contractors to bid for the aforementioned project: Contract I.D.:				ML-2020-04-23 Contract Name:	Construction of Solar-powered Potable Water System Contract Location:				Si</t>
  </si>
  <si>
    <t xml:space="preserve"> Republic of the Philippines PROVINCE OF NUEVA ECIJA City of Palayan INVITATION TO BID FOR  SUPPLY AND DELIVERY OF DRUGS AND MEDICINES FOR PROVINCIAL HEALTH OFFICE August 20, 2020 1.	The Provincial Government of Nueva Ecija (PGNE), through the General Fund</t>
  </si>
  <si>
    <t xml:space="preserve"> Barangay 20, Zone 2, District I, Manila Invites all suppliers/contractors to offer most favorable bid for the following supplies and materials: 140		pcs	NIGHTSTICK				 152		pair	BOOTS				 150		pcs	RAIN COAT				 300		pcs	RECHARGEABLE FLASHLIGHT				 150		pc</t>
  </si>
  <si>
    <t xml:space="preserve"> Printing Supplies such as inks, bondpapers and printing equipments</t>
  </si>
  <si>
    <t xml:space="preserve"> The Bids and Awards Committee (BAC) of the LGU-Lubang, Occidental Mindoro invites contractors to bid for the aforementioned project: Contract I.D.:				ML-2020-04-22 Contract Name:	Construction of Kawayan-Masaga FMR Phase I Contract Location:				Brgy. Tang</t>
  </si>
  <si>
    <t xml:space="preserve"> Republic of the Philippines	 	DEPARTMENT OF PUBLIC WORKS AND HIGHWAYS	 	ILOILO 3RD	 	DISTRICT ENGINEERING OFFICE	 	REGIONAL OFFICE VI	 	Barotac Viejo, Iloilo	 NOTICE OF SHORT LIST AND REQUEST FOR PROPOSALS (RFP) August 7, 2020 ROLANDO C. SICCION SURVEYING</t>
  </si>
  <si>
    <t xml:space="preserve"> Bicol Medical Center Concepcion Pequeña, Naga City, 4400 (0998-247-0239/0906-256-9238          E-mail Address: bmc.bacoffice@gmail.com INIVITATION TO BID PROCUREMENT OF PHARMCEUTICALS (2) ITB No. 2020-32 1.	The BICOL MEDICAL CENTER, through Drugs &amp; Medici</t>
  </si>
  <si>
    <t xml:space="preserve"> Construction of Single Phase Line with 25kVA DT PAGSABANGAN ELEMENTARY SCHOOL Please see attached associated components (Invitation to Bid) for detailed technical specification of the project.</t>
  </si>
  <si>
    <t xml:space="preserve"> ITEM OF WORKS: B.5 PROJECT BILLBOARD/SIGNBOARD B.7 OCCUPATIONAL SAFETY AND HEALTH PROGRAM I STRUCTURE EXCAVATION II CONCRETE WORKS III MASONRY WORKS 105(1) SUBGRADE PREPARATION 200(1) AGGREGATE SUB BASE COURSE 201(1) AGGREGATE BASE COURSE 311 PORTLAND CEM</t>
  </si>
  <si>
    <t xml:space="preserve"> SURIGAO STATE COLLEGE OF TECHNOLOGY Surigao City INVITATION TO BID FOR IMPROVEMENT OF ELECTRICAL FACILITIES – MAINIT CAMPUS 1.	The Surigao State College of Technology, through the General Appropriations Act (GAA) 2020 intends to apply the sum of Sixteen M</t>
  </si>
  <si>
    <t xml:space="preserve"> ITEM OF WORKS: SPL 1 PROJECT ID/SIGNBOARD SPL 2 CONSTRUCTION SAFETY &amp; HEALTH SPL 3 MOBILIZATION &amp; DEMOBILIZATION SPL 4 CLEARING &amp; GRUBBING I STRUCTURE EXCAVATION (COMMON SOIL) II EMBANKMENT III STONE MASONRY IV METAL GUARDRAILS (METAL BEAM) INCLUDING CONC</t>
  </si>
  <si>
    <t xml:space="preserve"> PURCHASE OF WATER METERS AND FITTINGS 1	1/2"Ø Water Meter (Brass)	55	pcs 2	1/2"Ø x 10" G.I. Nipple	50	pcs 3	1/2"Ø x 8" G.I. Nipple	50	pcs 4	1/2"Ø x 6" G.I. Nipple	60	pcs 5	1/2"Ø x 3" G.I. Nipple	60	pcs 6	1/2"Ø x 2" G.I. Nipple	60	pcs 7	1/2"Ø x 4" G.I. Nip</t>
  </si>
  <si>
    <t xml:space="preserve"> INSTALLATION OF CCTV CAMERAS IN DIFFERENT BLOCKS WITHIN THE VICINITY OF BARANGAY JACINTO LUMBRERAS, GENERAL MARIANO ALVAREZ, CAVITE</t>
  </si>
  <si>
    <t xml:space="preserve"> PROCUREMENT OF EQUIPMENT, REAGENTS AND KITS FOR COVID-19 TESTING, SIKATUNA, BOHOL</t>
  </si>
  <si>
    <t xml:space="preserve"> Rehabilitation of Multi-Purpose Hall</t>
  </si>
  <si>
    <t xml:space="preserve"> EXTENSION OF 620 METERS TRANSMISSION PIPELINE WITH A DIAMETER OF 150MM (6") TO BE LAID FROM IMBANG BRIDGE TO BACOLOD-SILAY AIRPORT ACCESS ROAD (BSAAR) CORNER SILAY-PATAG ROAD, BRGY. E. LOPEZ, SILAY CITY, NEGROS OCCIDENTAL. 1. DEMOLITION OF CONCRETE BASE O</t>
  </si>
  <si>
    <t xml:space="preserve"> Republic of the Philippines PROVINCE OF NUEVA ECIJA City of Palayan INVITATION TO BID FOR  SUPPLY AND DELIVERY OF PAINTS FOR DIFFERENT BARANGAYS OF NUEVA ECIJA August 20, 2020 1.	The Provincial Government of Nueva Ecija (PGNE), through the General Fund, i</t>
  </si>
  <si>
    <t xml:space="preserve"> ITEM OF WORKS: I GENERAL REQUIREMENTS (TEMPORARY ENCL. BATTERBOARDS/STAKES, ETC.) II EXCAVATION FOR STRUCTURES III CONCRETE WORKS IV MASONRY WORKS V ROOFING WORKS VI PLUMBING WORKS VII ELECTRICAL WORKS VIII CONSTRUCTION SAFETY AND HEALTH IX PROJECT I.D. A</t>
  </si>
  <si>
    <t xml:space="preserve"> BID TENDER The Bids and Awards Committee Province of Iloilo 	In connection with your invitation to Bid No. GOV-20-0377-B scheduled on AUGUST 26, 2020, I/we proposed to furnish and deliver in conformity with the terms and conditions, and specifications of </t>
  </si>
  <si>
    <t xml:space="preserve"> suppy and delivery of the following: 4400 Li disel 100 li gasoline 20 li oil and lubricants</t>
  </si>
  <si>
    <t xml:space="preserve"> CONDUCT OF STRUCTURAL INVESTIGATION/ASSESSMENT INCLUDING, WHEN NECESSARY, THE PREPARATION OF PLANS.DESIGN AND DETAILED COST ESTIMATES FOR THE RETROFITTING OF THIRD FLOOR ROOFING/REGIONAL OFFICE LABORATORY AT THE EXISTING NFA OFFICE BUILDING AT NFA COMPOUN</t>
  </si>
  <si>
    <t xml:space="preserve"> 19CSF009 - Parcellary Surveys and Land Titling of National Roads and Bridges and Other Facilities</t>
  </si>
  <si>
    <t xml:space="preserve"> 6 PCS. RCPC 45 DIA 7 CU.M. BOULDERS (HEAD SIZE) CATANAUAN 7 CU. M.  SAND 2 CU.M. GRAVEL 46 BAGS. CEMENT</t>
  </si>
  <si>
    <t xml:space="preserve"> SUPPLY AND DELIVERY OF THE FOLLOWING: ONE UNIT DROPSIDE MINI-TRUCK BRAND NEW OVERALL LENGTH 4250 mm to 4500 mm Overall width at least 1600 mm Over all height- 1800-2000 mm Maximum gross vehicle weight – 2000-4000 kg Engine: 4 cylinder, 16 valve, turbochar</t>
  </si>
  <si>
    <t xml:space="preserve"> Republic of the Philippines Province of Northern Samar MUNICIPALITY OF VICTORIA Barangay San Lazaro -o0o- INVITATION TO BID FOR THE DELIVERY OF GOODS AND SERVICES FOR THE INSTALLATION OF SOLAR STREET LIGHT PHASE 1 Contract No. BLGU-SL-2020-01 1.	The Baran</t>
  </si>
  <si>
    <t xml:space="preserve"> Contract ID No. : 19K00474 Contract Name: Construction of Kibawe-Arakan Road, Bukidnon Contract Location: Construction of Road Source of Fund: FY 2019 GAA Appropriation: Php. 100,000,000.00 ABC: Php. 96,500,000.00 Contract Duration: 225 Calendar Days</t>
  </si>
  <si>
    <t xml:space="preserve"> Contract ID No. : 19K00473 Contract Name: Construction of Malaybalay Circumferential Road, Bukidnon Contract Location: Bukidnon 2nd LD Scope of Work: Construction of Road Source of Fund: FY 2019 GAA Appropriation: Php. 100,000,000.00 ABC: Php. 96,500,000.</t>
  </si>
  <si>
    <t xml:space="preserve"> Invitation to Bid for Const. of Local Road at Brgy. Poblacion Diplahan Zambo. Sibugay 1.	The Barangay Poblacion, Diplahan, Zamboanga Sibugay, through the Barangay Funds intends to apply the sum of One Hundred Ninety-nine Thousand Eight Hundred Seventy-fou</t>
  </si>
  <si>
    <t xml:space="preserve"> Invitation to Bid for Installation of Street light at Brgy. Poblacion Diplahan Zambo. Sibugay 1.	The Barangay Poblacion, Diplahan, Zamboanga Sibugay, through the Barangay Funds intends to apply the sum of Eighty-Three Thousand Nine Hundred five Pesos (Php</t>
  </si>
  <si>
    <t xml:space="preserve"> 20CSF002 (Re-advertisement) – Conduct of Feasibility Studies/Preliminary &amp; Detailed Engineering/Economic Analysis/Technical Studies/Traffic Impact Assessment for Daet-Roy Padilla Highway-Jct. Rolando Andaya Road</t>
  </si>
  <si>
    <t xml:space="preserve"> Rehabilitation of concrete pathway</t>
  </si>
  <si>
    <t xml:space="preserve"> Please download and view the associated component PDF document for the complete details/specs of the item(s).</t>
  </si>
  <si>
    <t xml:space="preserve"> Lot 1 - Linothangan Elementary School - 3,292,081.30 - Canlaon City Lot 2 - Malaiba Elementary School - 843,689.90 - Canlaon City Lot 3 - Panubigan Elementary School - 6,951,279.77 - Canlaon City Lot 4 - Tabalogo Elementary School - 3,435,980.55 - Canlaon</t>
  </si>
  <si>
    <t xml:space="preserve"> Item No.	Qty	Unit	Article / Description 1	10	BAGS	HAMMERED CORN 2	10	BAGS	GROWER CRUMBLE 3	60	BAGS	DUCK LAYER PELLETS 4	10	BAGS	GPP</t>
  </si>
  <si>
    <t xml:space="preserve"> Desktop Processor etc.  NOTE:To all suppliers bid documents and BAC Resolution 2020-029 are available at BAC Office and LGU website.</t>
  </si>
  <si>
    <t xml:space="preserve"> Item No.	Qty	Unit	Article / Description 1	1	unit	"Multi-Purpose Shredder Specifications: Dia. of Crushing hamber (mm) 410 X 260 Crushing Ability (kg/hr) 200 - 450 Motor Power (Hp) 10 Hp (3phase) Fixing Cutter (pcs) 2 Flexible Cutter (pcs) 12 Mechanical Di</t>
  </si>
  <si>
    <t xml:space="preserve"> Republic of the Philippines SORSOGON STATE COLLEGE Sorsogon City Invitation to Bid for LABOR AND MATERIALS FOR THE REPAIR OF CANTEEN BUILDING (DAMAGED BY TYPHOON TISOY) AT CASTILLA CAMPUS 1.	The SORSOGON STATE COLLEGE, through the STF-AI (2019)  intends t</t>
  </si>
  <si>
    <t xml:space="preserve"> Republic of the Philippines SORSOGON STATE COLLEGE Sorsogon City Invitation to Bid for LABOR AND MATERIALS FOR THE REPAIR OF AUTOMOTIVE BUILDING (DAMAGED BY TYPHOON TISOY) AT SORSOGON CITY CAMPUS 1.	The SORSOGON STATE COLLEGE, through the STF-AI (2019)  i</t>
  </si>
  <si>
    <t xml:space="preserve"> The Cebu Port Authority, through the CPA Corporate Budget intends to apply the sum of Nine Million Nine Hundred Fifty-One Thousand Nine Hundred Sixty-Five Pesos and 80/100 (Php 9,951,965.80) being the Approved Budget for the Contract (ABC) to payments und</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</si>
  <si>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</si>
  <si>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Republic of the Philippines SORSOGON STATE COLLEGE Sorsogon City Invitation to Bid for LABOR AND MATERIALS FOR THE REPAIR OF COLLEGE BUILDING (DAMAGED BY TYPHOON TISOY) AT SORSOGON CITY CAMPUS 1.	The SORSOGON STATE COLLEGE, through the STF-AI (2019)  inte</t>
  </si>
  <si>
    <t xml:space="preserve"> Jetmatic Pump etc.  NOTE:To all suppliers bid documents and BAC Resolution 2020-029 are available at BAC Office and LGU website.</t>
  </si>
  <si>
    <t xml:space="preserve"> Computer Ribbon Refill etc. NOTE:To all suppliers bid documents and BAC Resolution 2020-029 are available at BAC Office and LGU website.</t>
  </si>
  <si>
    <t xml:space="preserve"> The Cebu Port Authority, through the CPA Corporate Budget intends to apply the sum of Five Hundred Eight Million Three Hundred Forty Thousand Two Hundred Seventy-Nine Pesos and 3/100 (Php 508,340,279.03) being the Approved Budget for the Contract (ABC) to</t>
  </si>
  <si>
    <t xml:space="preserve"> Portland Cement etc. NOTE:To all suppliers bid documents and BAC Resolution 2020-029 are available at BAC Office and LGU website.</t>
  </si>
  <si>
    <t xml:space="preserve"> Purchase of 1500 liter diesel to be use by the Rural Health Unit in relation to its ordinary work</t>
  </si>
  <si>
    <t xml:space="preserve"> 1 unit Computer Set NOTE:To all suppliers bid documents and BAC Resolution 2020-029 are available at BAC Office and LGU website.</t>
  </si>
  <si>
    <t xml:space="preserve"> supply and delivery of the following	 Lot 1-     Fuel, Oil and Lubricants-       Php 39,999.90		 460 li diesel				 203.33 li gasoline				 10 li oil				 				 Lot 2- other supplies -IEC			-Php	20,000.00 100 pcs IEC materials, size A4 BOOKLET				 				 Lot 3-</t>
  </si>
  <si>
    <t xml:space="preserve"> f</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</si>
  <si>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</si>
  <si>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SW-1008-2020-0122</t>
  </si>
  <si>
    <t xml:space="preserve"> Republic of the Philippines SORSOGON STATE COLLEGE Sorsogon City Invitation to Bid for LABOR AND MATERIALS FOR THE REPAIR OF STUDENT SERVICES BUILDING (DAMAGED BY TYPHOON TISOY) AT SORSOGON CITY CAMPUS 1.	The SORSOGON STATE COLLEGE, through the STF-AI (20</t>
  </si>
  <si>
    <t xml:space="preserve"> 1. 350 sets – Laptop – minimum technical specification: Memory 8gb RAM; Monitor: screen size 13 inches, resolution 1920x1080 (full HD), 1080p, anti-glare LED-Backlit or IPS Technology; Storage: 512GB HDD SATA; Audio 6Ω/1W speaker x 2 built in speakers 3.5</t>
  </si>
  <si>
    <t xml:space="preserve"> 1. 20 pcs. – Regular adaptor circle to flat 2. 30 pcs. – Angle valve ½ x ½ 3. 20 pcs. – Angle valve 3 way 4. 100 pcs. – Ballast 40 watts 5. 20 pcs. – Stainless Bidet 6. 100 pcs. – LED Bulb 7 watts 7. 50 pcs. – LED Bulb 10 watts 8. 20 bxs. – Convenient out</t>
  </si>
  <si>
    <t xml:space="preserve"> Repair/Rehabilitation of Pathway</t>
  </si>
  <si>
    <t xml:space="preserve"> 1. 150 gals. – Alcohol 2. 100 gals. – Povidone Iodine 10% antiseptic/Disinfectant 3. 75 gals. – Povidone Iodine Scrub 7.5% antiseptic 4. 20 btls. – Cutasept-F 250ml 5. 1000 vials – Distilled Water for Injection 100ml 6. 1 liter – Disinfectant solution 1 l</t>
  </si>
  <si>
    <t xml:space="preserve"> Please see attached copy of Request for Quatition</t>
  </si>
  <si>
    <t xml:space="preserve"> Tile Works etc. NOTE:To all suppliers bid documents and BAC Resolution 2020-029 are available at BAC Office and LGU website.</t>
  </si>
  <si>
    <t xml:space="preserve"> Section I. Invitation to Bid Republic of the Philippines Philippine Rural Development Project Province of Siquijor Invitation to Bid for the Construction of Siquijor Provincial AA Abattoir Identification No.: PRDP-IB-R007-SIQ-002-000-000-2017-AF-R1 Loan N</t>
  </si>
  <si>
    <t xml:space="preserve"> 1. 500 unit – Evacuation/Modular Tent – 250cm x 250cm x 180cm; description: layer 110cm x 125cm mosquito top net cover dimension: open – 250cm x 180cm spring level wire 2.5mm rolled side door 110cm x 125cm inside pocket 20cm x 20cm materials; oxford 2100 </t>
  </si>
  <si>
    <t xml:space="preserve"> Item No.	Qty	Unit	Article / Description 1	21	ream	Book paper, A4, subs.20, 70gsm 2	2	canister	Toilet Cleaner, bowl, 900ml cap 3	8	bots	Ink, Epson, L360, black 4	10	roll	Trashbag, Black, L 5	8	bots	Ink, Epson, L3110, Black 6	7	pcs	Signpen, 0.3 &amp; 0.5 7	10	p</t>
  </si>
  <si>
    <t xml:space="preserve"> 1. 1 Lot – Meal allowance for 35pax for Bahay Aruga for the year 2020 Rescued / referred children within Parañaque City (breakfast, lunch and dinner) Breakfast: rice with 1 viand or soup congee or sandwich with drinks Lunch: rice, 1 viand with drinks Dinn</t>
  </si>
  <si>
    <t xml:space="preserve"> Item No.	Qty	Unit	Article / Description 1	1	unit	"Water Dispenser Specifications: - Free Standing Water Dispenser - 3 Type Faucet - Black Color - Storage/Cabinet " 2	1	unit	"Gas Range Specifications: - 3 Gas Burner - Gas Oven - Matte Black (Color) " 3	1	u</t>
  </si>
  <si>
    <t xml:space="preserve"> REQUEST FOR EXPRESSION OF INTEREST FOR THE PROCUREMENT OF CONSULTANCY SERVICES FOR PROJECT MANAGEMENT AND QUANTITY SURVEYOR 1.	LBP Leasing and Finance Corporation (LLFC), through its Approved Budget for the Contract (ABC), approved by the its Board of Dir</t>
  </si>
  <si>
    <t xml:space="preserve"> Republic of the Philippines PROVINCE OF ZAMBOANGA DEL NORTE BIDS AND AWARDS COMMITTEE (BAC) BAC Conference Room, 2nd  Floor ZNCEC, Dipolog City Tel. # (065) 212-6492 Telefax # (065) 212-6492 	                                                               </t>
  </si>
  <si>
    <t xml:space="preserve"> 1. The CITY GOVERNMENT OF CALAMBA through the Special Education Fund intends to apply the sum of PHP 1,490,400.00 being the Approved Budget for the Contract (ABC) to payments under the contract for: G-2020-544 Supply and Delivery of Printers City Schools </t>
  </si>
  <si>
    <t xml:space="preserve"> INVITATION TO BID The Central Luzon State University (CLSU) through its Bids and Awards Committee (BAC), invites contractors registered with and classified by the Philippine Contractors Accreditation Board (PCAB) to bid for the hereunder contract: LOT/ITE</t>
  </si>
  <si>
    <t xml:space="preserve"> 1. 300 boxes – Continuous form 2 ply 11x9 ½ sub 20 carbonless 2. 500 boxes – Continuous form 3 ply 11x9 ½ sub 20 carbonless 3. 500 pads – Report of collections and deposits forms (Annex 41) 4. 500 pads – Accountability for accountable forms Bid Documents </t>
  </si>
  <si>
    <t xml:space="preserve"> 1. The CITY GOVERNMENT OF CALAMBA through the GAD Fund intends to apply the sum of PHP 1,562,042.40 being the Approved Budget for the Contract (ABC) to payments under the contract for: G-2020-497 Supply and Delivery of Food Commodities Gender and Developm</t>
  </si>
  <si>
    <t xml:space="preserve"> Republic of the Philippines BIDS AND AWARDS COMMITTEE Province of Iloilo Invitation to Bid Purchase of Medical Equipment  Bid No.ADH-20-0958-B 1. The Iloilo Provincial Government, through the HOSPITAL MANAGEMENT OFFICE- 2019 20% IRA intends to apply the s</t>
  </si>
  <si>
    <t xml:space="preserve"> 1. The CITY GOVERNMENT OF CALAMBA through the General Fund intends to apply the sum of PHP 1,769,700.00 being the Approved Budget for the Contract (ABC) to payments under the contract for: G-2020-488 Supply and Delivery of Fertilizer City Agricultural Ser</t>
  </si>
  <si>
    <t xml:space="preserve"> 1. 5000 boxes – Copy paper A3 80gsm, 5 reams/box 2. 650 boxes – Copy paper A3 100gsm, 4 reams/box Bid Documents may be obtained from the BAC Office, Ground Floor, City Hall, San Antonio Avenue, SAV 1, Paranaque City, upon payment of non-refundable fees st</t>
  </si>
  <si>
    <t xml:space="preserve"> INVITATION TO BID FOR THE  SUPPLY &amp; DELIVERY OF VITAMINS FOR STUDENTS DEPED – BUENAVISTA DISTRICT, BUENAVISTA, QUEZON 1.	The Municipal Government of Buenavista, Quezon, through the Special Education Fund intends to apply the sum of One Hundred Nineteen Th</t>
  </si>
  <si>
    <t xml:space="preserve"> INVITATION TO BID FOR THE  SUPPLY &amp; DELIVERY OF LABORATORY SUPPLIES MUNICIPAL HEALTH OFFICE, BUENAVISTA, QUEZON 1.	The Municipal Government of Buenavista, Quezon, through the General Fund intends to apply the sum of Two Hundred Ten Thousand Pesos (P210,00</t>
  </si>
  <si>
    <t xml:space="preserve"> INVITATION TO BID FOR THE  SUPPLY AND DELIVERY OF OFFICE SUPPLIES  LGU - BUENAVISTA, QUEZON 1.	The Municipal Government of Buenavista, Quezon, through the General Fund intends to apply the sum of Six Hundred Twenty Four Thousand Nine Hundred Thirty Two Pe</t>
  </si>
  <si>
    <t xml:space="preserve"> 1. The CITY GOVERNMENT OF CALAMBA through the General Fund intends to apply the sum of PHP 1,092,000.00 being the Approved Budget for the Contract (ABC) to payments under the contract for: G-2020-535 Supply and Delivery of Sticker City Treasury Management</t>
  </si>
  <si>
    <t xml:space="preserve"> 1. Construction of Field Office / Barracks / Bodega 2. Billboard / Signages 3. Dismantling (L.S.) 4. Hauling of Materials and Debris (L.S.) 5. Rental of Scaffolding 6. Tinsmithry Bid Documents may be obtained from the BAC Office, Ground Floor, City Hall, </t>
  </si>
  <si>
    <t xml:space="preserve"> 1. Excavation 2. Masonry Works 3. Concreting 4. Tinsmithry 5. Ceiling Works 6. Steel Works 7. Hardware 8. Fabricated Materials 9. Rental of Equipment 10. Formworks &amp; Scaffoldings 11. Floor Finish 12. Tilesworks 13. Catch Basin 14. Septic Vault 15. Plumbin</t>
  </si>
  <si>
    <t xml:space="preserve"> 1. Construction of Field Office / Bodega 2. Billboard &amp; Signages 3. Concrete Cutting 4. Removal and Disposal 5. Excavation 6. Civil Works 7. Restoration 8. Electrical Works 9. Painting Bid Documents may be obtained from the BAC Office, Ground Floor, City </t>
  </si>
  <si>
    <t xml:space="preserve"> 1. The CITY GOVERNMENT OF CALAMBA through the General Fund intends to apply the sum of PHP 1,656,000.00 being the Approved Budget for the Contract (ABC) to payments under the contract for: G-2020-534 Supply and Delivery of Backfilling Materials City Engin</t>
  </si>
  <si>
    <t xml:space="preserve"> 1. The CITY GOVERNMENT OF CALAMBA through the Special Education Fund intends to apply the sum of PHP 10,586,268.00 being the Approved Budget for the Contract (ABC) to payments under the contract for: G-2020-541 Supply and Delivery of Printer Ink City Scho</t>
  </si>
  <si>
    <t xml:space="preserve"> Item No.		Qty							Unit	Item Description					 1			1,200 PCS.	DURANTA GOLD					 2			800	PCS.	GOLDEN COPIA					 3			800	PCS.	RED CREEPER					 4			500	PCS.	KUTSARITAS PINK					 5			500  PCS.	KUTSARITAS RED					 6			150	PCS.	VARIEGATED PANDANUS					 7			150	</t>
  </si>
  <si>
    <t xml:space="preserve"> 1. 680 pcs. – Customized Bicycle – city bike alloy multi-speed: alloy frame; alloy suspension fork, alloy rims, steel handle bar cp, steel headset, front rear V-brakes, rim painted black, triple chainwheel cotterless, carrier CP Steel mudguard painted col</t>
  </si>
  <si>
    <t xml:space="preserve"> 1. Demolition 2. Concreting 3. Masonry 4. Carpentry 5. Tilesworks 6. Formworks and Scaffoldings 7. Steelworks 8. Tinsmithry 9. Electrical 10. Painting 11. Fabricated Materials 12. Installation of Pathwalk Bid Documents may be obtained from the BAC Office,</t>
  </si>
  <si>
    <t xml:space="preserve"> 1.	The Provincial Government of Batanes, through the Provincial Appropriations Ordinance No. 03 series of 2019 (20% Development Fund) intends to apply the sum of One Hundred Seventy-Seven Thousand Eighty Pesos Only (₱ 177,080.00), being the Approved Budge</t>
  </si>
  <si>
    <t xml:space="preserve"> 20GF00003 - Purchase of 6 lots Road Sensors and 5 sets of ATC Machines assigned at PDD, (PR No. 20-06-125 dated 6/15/2020), DPWH Regional Office No. V, Rawis, Legazpi City</t>
  </si>
  <si>
    <t xml:space="preserve"> 1.	The Provincial Government of Batanes, through the Provincial Appropriations Ordinance No. 03 series of 2019 (Capital Outlay) intends to apply the sum of One Hundred Sixty-Nine Thousand Four Hundred Pesos Only (P169,400.00) being the Approved Budget for</t>
  </si>
  <si>
    <t xml:space="preserve"> Invitation to Bid No. 2020-PB-11 FOR Engagement of Mailing Service of PRO IVA for CY 2020 1.	The PhilHealth Regional Office IVA (PRO-IVA), through the Corporate Operating Budget (COB) 2020 and Approved Budget for the Contract (ABC) intends to apply the su</t>
  </si>
  <si>
    <t xml:space="preserve"> THE PROCURING ENTITY THROUGH ITS BIDS AND AWARDS COMMITTEE INVITES SUPPLIER TO QUOTE FOR THE HEREUNDER PROJECT/PROGRAM: COMMUNICATION EQUIPMENT ITEM NO.	DESCRIPTION  ABC/UNIT QTY  UNIT    1	        CELL PHONE		     10   Pcs. 						 						 	Item No. 1     </t>
  </si>
  <si>
    <t xml:space="preserve"> Section VI. Specifications Item No.	Description	Quantity	Unit Civil, Mechanical, Electrical and Sanitary/Plumbing works PART A- Plain and Reinforced Concrete Work 900(1)c2	Structural Concrete (Slab) Class A, 28 days	7.02	Cu.m 900(1)c4	Structural Concrete </t>
  </si>
  <si>
    <t xml:space="preserve"> Standard Form No.: SF-INFRA-               Republic of the Philippines          MUNICIPALITY OF ROSALES                  Province of Pangasinan                    INVITATION TO BID 	The Municipality of Rosales, through its Bids and Awards Committee (BAC),</t>
  </si>
  <si>
    <t xml:space="preserve"> Republic of the Philippines Department of Health DAVAO REGIONAL MEDICAL CENTER Apokon, Tagum City BIDS AND AWARDS COMMITTEE Invitation to Bid for the SUPPLY &amp; DELIVERY OF FLUIDS 1.	The Davao Regional Medical Center (DRMC), through the HOSPITAL INCOME CY 2</t>
  </si>
  <si>
    <t xml:space="preserve"> Invitation to Bid The Barangay San Felipe East, Municipality of San Nicolas Pangasinan through its Bids and Award Committee(BAC), invites contractors registered with and classfied by the Philgeps to apply for the eligibility and if found eligible, to bid </t>
  </si>
  <si>
    <t xml:space="preserve"> Republic of the Philippines DEPARTMENT OF PUBLIC WORKS AND HIGHWAYS OFFICE OF THE DISTRICT ENGINEER Benguet 1st District Engineering Office Wangal, La Trinidad, Benguet Telefax No. (074) 422 6163            August 17, 2020 INVITATION TO BID FOR Supply and</t>
  </si>
  <si>
    <t xml:space="preserve"> 1. The CITY GOVERNMENT OF CALAMBA through the General Fund intends to apply the sum of PHP 14,999,440.95 being the Approved Budget for the Contract (ABC) to payments under the contract for: I-2020-021 Construction of Barangay Hall Barangay I, City of Cala</t>
  </si>
  <si>
    <t xml:space="preserve"> 1. The CITY GOVERNMENT OF CALAMBA through the Special Education Fund intends to apply the sum of PHP 18,273,300.00 being the Approved Budget for the Contract (ABC) to payments under the contract for: G-2020-516 Supply and Delivery of Furniture &amp; Fixture C</t>
  </si>
  <si>
    <t xml:space="preserve"> 1. The CITY GOVERNMENT OF CALAMBA through the Special Education Fund intends to apply the sum of PHP 14,274,240.00 being the Approved Budget for the Contract (ABC) to payments under the contract for: G-2020-543 Supply and Delivery of Office Equipments Cit</t>
  </si>
  <si>
    <t xml:space="preserve"> Item No.			Qty	Unit	Item Description					 1			18000	liters	Diesel Fuel					 2			12000	liters	XCS Gasoline					 3			42		gallons	Engine Oil					 4			60		liters	ATF					 5			42		liters	B-Fluid					 6			60		liters	Touring					 7			42		can	Grease					 			*** N</t>
  </si>
  <si>
    <t xml:space="preserve"> Invitation to Bid No. 2020-PB-10 FOR Supply, Delivery and Installation of Brand New Air-conditioners 1.	The PhilHealth Regional Office IVA (PRO-IVA), through the Corporate Operating Budget (COB) 2020 and Approved Budget for the Contract (ABC) intends to a</t>
  </si>
  <si>
    <t xml:space="preserve"> INVITATION TO BID FOR THE  SUPPLY &amp; DELIVERY OF INFORMATION &amp; TECHNOLOGY (IT) EQUIPMENT LGU -  BUENAVISTA, QUEZON 1.	The Municipal Government of Buenavista, Quezon, through its General Fund intends to apply the sum of Three Hundred Thirty Three Thousand T</t>
  </si>
  <si>
    <t xml:space="preserve"> Item No.	Qty	Unit	Article / Description 1	30	bots.	Alcohol 70%, Ethanol(Ethyl, 500ml 2	3	packs	Battery, AA, alkaline 4pcs/pack 3	10	pack	Battery, AAA, alkaline 4pcs/pack 4	6	pcs	Marking pen, white board, black 5	10	pack	Toilet tissue paper, 12pcs/pack 6	2</t>
  </si>
  <si>
    <t xml:space="preserve"> PAYLOAD: 1,145kg ENGINE : 2.24N14 Euro 4 Compliant MAXIMUM POWER : 99 Horsepower @ 3,500rpm MAXIMUM TORQUE : 200 Nm @ 1,000-3,500 rpm</t>
  </si>
  <si>
    <t xml:space="preserve"> Item No.	Qty	Unit	Article / Description 1	20	ream	Paper Multicopy, legal, subs.20, 70gsm 2	20	ream	Paper Multicopy, A4, subs.20, 70gsm 3	1	pc	Paper Puncher 4	1	pc	Computer Mouse USB type 5	1	rolls	Transparent tape, 1" 6	10	pcs	Correction tape 7	4	pcs	USB </t>
  </si>
  <si>
    <t xml:space="preserve"> 1. The CITY GOVERNMENT OF CALAMBA through the General Fund intends to apply the sum of PHP 2,481,810.00 being the Approved Budget for the Contract (ABC) to payments under the contract for: G-2020-517 Supply and Installation of CCTV City Planning and Devel</t>
  </si>
  <si>
    <t xml:space="preserve"> ITEM	QUANTITY	UNIT	DESCRIPTION	UNIT PRICE	TOTAL PRICE 1.	1.50	Cu.m	Selected Borrow		 2.	6.50	Cu.m	Gravel		 3.	94	bags	Cement		 4.	6.50	Cu.m	Sand		 5	321	Bd.ft	Coco Lumber		 6.	7	Kgs.	Assorted CWN		 7.	15	pcs	¼”x4’x8’ Plywood		 8.	16	pcs	16mm dia. X 6.00 m</t>
  </si>
  <si>
    <t xml:space="preserve"> INVITATION TO BID FOR THE PROCUREMENT OF ONE (1) LOT SUPPLY OF LABOR AND MATERIALS FOR THE PROPOSED REPAIR/REHABILITATION OF COMFORT ROOMS AT QUEZON CITY CENTRAL POST OFFICE (RE-BIDDING) 1.	The PHILIPPINE POSTAL CORPORATION, through the CY 2020 Corporate </t>
  </si>
  <si>
    <t xml:space="preserve"> Dog Soap etc. NOTE:To all suppliers bid documents and BAC Resolution 2020-029 are available at BAC Office and LGU website.</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</si>
  <si>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</si>
  <si>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INVITATION TO BID FOR THE PROCUREMENT OF ONE (1) LOT SUPPLY OF LABOR AND MATERIALS FOR THE PROPOSED REPAIR/REHABILITATION OF OLD PROPERTY BUILDING (RE-BIDDING) 1.	The PHILIPPINE POSTAL CORPORATION, through the CY 2020 Corporate Budget approved by PHLPost </t>
  </si>
  <si>
    <t xml:space="preserve"> Provide Labor, Materials and Equipment for the  Construction of Goat House Package 1: Laak, Davao de Oro (3 units) DURATION: 90 Calendar Days (including pre-determined 15 unworkable days) Package 2: New Bataan, Davao de Oro (2 units) DURATION: 60 Calendar</t>
  </si>
  <si>
    <t xml:space="preserve"> 1.	The Provincial Government of Batanes, through the Provincial Appropriations Ordinance No. 03 series of 2019 intends to apply the sum of Two Hundred Eighteen Thousand Five Hundred Thirty-One Pesos Only (₱ 218,531.00), being the Approved Budget for the C</t>
  </si>
  <si>
    <t xml:space="preserve"> 1.	The Provincial Government of Batanes, through Trust Fund-Chinese Consulate in Laoag intends to apply the sum of Three Hundred Fifty Thousand Pesos Only ₱ 350,000.00), being the Approved Budget for the Contract (ABC) to payments under the contract for S</t>
  </si>
  <si>
    <t xml:space="preserve"> Construction of Line Canal  Location: Panaytayan Dumpsite -nothing follows-</t>
  </si>
  <si>
    <t xml:space="preserve"> 281 bags portland cement 22.5 cu.m. fine aggregates 57 cu.m. boulders</t>
  </si>
  <si>
    <t xml:space="preserve"> 1. The CITY GOVERNMENT OF CALAMBA through the Special Education Fund intends to apply the sum of PHP 13,078,557.00 being the Approved Budget for the Contract (ABC) to payments under the contract for: G-2020-542 Supply and Delivery of Printing Supplies Cit</t>
  </si>
  <si>
    <t xml:space="preserve"> Subject:		LABOR ONLY Project: 		EXPLORATORY WELL AT SITEO GUZA, BRGY. MATAB-ANG  Estimated Budget:	950,000.00 •	Site Visit must be conducted by perspective bidder. •	Scope of Work for Site Project •	Blueprint Plan for the Project</t>
  </si>
  <si>
    <t xml:space="preserve"> 1. Excavation 2. Masonry Works 3. Concreting 4. Tinsmithry 5. Ceiling Works 6. Steel Works 7. Hardware 8. Fabricated Materials 9. Formworks &amp; Scaffoldings 10. Floor Finish 11. Catch Basin 12. Painting 13. Electrical 14. Rental of Equipment Bid Documents m</t>
  </si>
  <si>
    <t xml:space="preserve"> 1. The CITY GOVERNMENT OF CALAMBA through the General Fund intends to apply the sum of PHP 1,723,056.00 being the Approved Budget for the Contract (ABC) to payments under the contract for: G-2020-545 Supply and Installation of Partition and Office Chair C</t>
  </si>
  <si>
    <t xml:space="preserve"> 1. Asphalt Materials &amp; Tact Coat 2. Labor 3. Mobilization &amp; Equipment Bid Documents may be obtained from the BAC Office, Ground Floor, City Hall, San Antonio Avenue, SAV 1, Paranaque City, upon payment of non-refundable fees stated above.  Prospective Bid</t>
  </si>
  <si>
    <t xml:space="preserve"> Bid Documents may be obtained from the BAC Office, Ground Floor, City Hall, San Antonio Avenue, SAV 1, Paranaque City, upon payment of non-refundable fees stated above.  Prospective Bidders should have experienced in undertaking a similar project within t</t>
  </si>
  <si>
    <t xml:space="preserve"> Republic of the Philippines                                                          PROVINCE OF ISABELA                                                         Municipality of Dinapigue                                   INVITATION TO APPLY FOR ELIGIBILIT</t>
  </si>
  <si>
    <t xml:space="preserve"> Republic of the Philippines BIDS AND AWARDS COMMITTEE Province of Iloilo Invitation to Bid Purchase of  MEDICAL SUPPLIES Bid No. JCH-20-0230-B(RE-BID2) 1. The Iloilo Provincial Government, through the  GENERAL FUND  2020 intends to apply the sum of ONE HU</t>
  </si>
  <si>
    <t xml:space="preserve"> Elevated Water Tank etc. NOTE:To all suppliers bid documents and BAC Resolution 2020-029 are available at BAC Office and LGU website.</t>
  </si>
  <si>
    <t xml:space="preserve"> Republic of the Philippines BIDS AND AWARDS COMMITTEE Province of Iloilo Invitation to Bid  PURCHASE OF MEDICAL SUPPLIES Bid No. JCH-20-0690-B 1. The Iloilo Provincial Government, through the GENERAL FUND 2020 intends to apply the sum of  ONE HUNDRED FIVE</t>
  </si>
  <si>
    <t xml:space="preserve"> 32 Inches FlatScreen Led TV etc.  NOTE:To all suppliers bid documents and BAC Resolution 2020-029 are available at BAC Office and LGU website.</t>
  </si>
  <si>
    <t xml:space="preserve"> Item No.	Qty	Unit	Article / Description 1	1	unit	Repair of Crawler Type Backhoe Swing Motor Assembly including supply of bearings, gasket, assorted O-Ring, Oil Seals, Pinion Gear, Build up and Machining with Labor Cost 2	1	unit	Repair of Injector Assymbly</t>
  </si>
  <si>
    <t xml:space="preserve"> 1. Construction of Field Office / Barracks / Bodega 2. Billboard / Signages 3. Dismantling (L.S.) 4. Hauling of Materials and Debris (L.S.) 5. Rental of Scaffolding 6. Tinsmithry 7. Painting Bid Documents may be obtained from the BAC Office, Ground Floor,</t>
  </si>
  <si>
    <t xml:space="preserve"> Republic of the Philippines BIDS AND AWARDS COMMITTEE Province of Iloilo Invitation to Bid Purchase of LABORATORY REAGENTS Bid No. JCH-20-0174-B(RE-BID2)   1. The Iloilo Provincial Government, through the  GENERAL FUND 2020 intends to apply the sum of FIF</t>
  </si>
  <si>
    <t xml:space="preserve"> Item No.	Qty	Unit	Article / Description 1	1	unit	"PORTABLE SOUND SYSTEM (Speaker) - with Wireless Microphone  - 2 Mic Input (1 XLR, 1 PL55) - FM Radio, Bluetooth, Guitar input (Shared with Mic 2 input), USB &amp; SD Port - 5 Band Equalizer and LCD display - A</t>
  </si>
  <si>
    <t xml:space="preserve"> Item No.	Qty	Unit	Article / Description 1	1	lot	"Contract for the Supply of Labor, Materials, Tools and Equipments necessary for the Building Improvement (Construction of Hallway of Legistative Office) Scope of Works: I - Concrete WOrks II - Steel Works I</t>
  </si>
  <si>
    <t xml:space="preserve"> Item No.	Qty	Unit	Article / Description 1	1	unit	"Generator Set - AC FREQUENCY 60HZ - AC OUTPUT KVA: 3.0 - RATED AC OUTPUT: 900 VA - MAXIMUM AC OUTPUT: 1,000 - ONE (1) YEAR WARRANTY - PARTS &amp; LABOR"</t>
  </si>
  <si>
    <t xml:space="preserve"> Item No.	Unit	Qty	Item Description 1	pcs	10	Hand Gloves 2	pcs	6	Concrete pail 3	bags	150	Portland Cement 4	m3	13	Washed Sand 5	m3	19	Washed Fine Gravel 6	lght	103	16mmØ deformed steel bars; GRADE 40 7	lght	290	10mmØ deformed steel bars; GR40 8	lght	34	12m</t>
  </si>
  <si>
    <t xml:space="preserve"> Item No.	Qty	Unit	Article / Description 1	1	lot	"MOTORCYCLE         -ENGINE &amp; PERFORMANCE   * Displacement: 150cc; * Maximum Power: 12hp;  * Fuel Tank Capacity: 7.2L;  * Exhaust Pipes: Single Exhaust;  * Engine Type: Single Cylinder,4-stroke, 2 valve, Air</t>
  </si>
  <si>
    <t xml:space="preserve"> 1.	The Provincial Government of Batanes, through the Provincial Appropriations Ordinance No. 03 series of 2019 (GAD Fund) intends to apply the sum of Fifty-Six Thousand Pesos Only (P 56,000.00), being the Approved Budget for the Contract (ABC) to payments</t>
  </si>
  <si>
    <t xml:space="preserve"> Procurement of Services - Fiber Internet Connection@50Mbps, Guaranteed 5Mbps (Additional) for Online Video Conferencing Use.</t>
  </si>
  <si>
    <t xml:space="preserve"> 1.	The Provincial Government of Batanes, through the Provincial Appropriations Ordinance No. 03 series of 2019 (Capital Outlay) intends to apply the sum of Seventy-Nine Thousand Pesos Only (P 79,000.00), being the Approved Budget for the Contract (ABC) to</t>
  </si>
  <si>
    <t xml:space="preserve"> Invitation to Bid for Public Bidding of Two (2) Well Drilling Projects at Can-asujan, Carcar City, Cebu 1.	The Carcar Water District (CWD) intends to apply the sum of Three Million Six Hundred Thirteen Thousand Two Hundred Ninety Six Pesos (PHP 3,613,296.</t>
  </si>
  <si>
    <t xml:space="preserve"> Republic of the Philippines BIDS AND AWARDS COMMITTEE Province of Iloilo Invitation to Bid Purchase of  MEDICAL SUPPLIES Bid No. RTH-20-0181-B(RE-BID2) 1. The Iloilo Provincial Government, through the  GENERAL FUND  2020 intends to apply the sum of THREE </t>
  </si>
  <si>
    <t xml:space="preserve"> Construction of Masonry Drainage Structure Going Aquino St., Annafunan West, Tuguegarao City</t>
  </si>
  <si>
    <t xml:space="preserve"> Republic of the Philippines BIDS AND AWARDS COMMITTEE Province of Iloilo Invitation to Bid Purchase of  MEDICAL SUPPLIES Bid No. RTH-20-0177-B(RE-BID2) 1. The Iloilo Provincial Government, through the  GENERAL FUND  2020 intends to apply the sum of TWO HU</t>
  </si>
  <si>
    <t xml:space="preserve"> Republic of the Philippines BIDS AND AWARDS COMMITTEE Province of Iloilo Invitation to Bid Purchase of  MEDICAL SUPPLIES Bid No. RTH-20-0180-B(RE-BID2) 1. The Iloilo Provincial Government, through the  GENERAL FUND  2020 intends to apply the sum of SIX HU</t>
  </si>
  <si>
    <t xml:space="preserve"> 1.	The Provincial Government of Batanes, through Trust Fund intends to apply the sum of Two Hundred Ninety-Six Thousand Eight Hundred Seventy-Five Pesos Only (P 296,875.00), being the Approved Budget for the Contract (ABC) to payments under the contract f</t>
  </si>
  <si>
    <t xml:space="preserve"> Republic of the Philippines PROVINCE OF BUKIDNON Municipality of Sumilao INVITATION TO BID ITB NO. GS-2020-43 PROCUREMENT OF WHEEL TYPE BACKHOE WITH ADDITIONAL BREAKER (WITH BREAKER LINE, 6 TONS BREAKER ASSEMBLY, AND 20 TONS BREAKER ASSEMBLY). August 17, </t>
  </si>
  <si>
    <t xml:space="preserve"> INVITATION TO BID FOR THE PROCUREMENT OF SERVICES FOR PRINTING AND DELIVERY OF DEFINITIVE STAMPS “PHILIPPINE SHELLS/FLOWERS” AND PHLPOST MAILING CENTER STAMPS   1.	The Philippine Postal Corporation, through the CY 2020 Corporate Budget approved by PHLPost</t>
  </si>
  <si>
    <t xml:space="preserve"> PB NO. 2020-053		 			 1.	1	lot	Proposed Repair, Rehabilitation and Improvement of Sidewalk along the Heritage Zone, Rizal Ave., San Pablo City. 			By: Contract 			 	Deadline for Submission of Bids: September 8, 2020 10:00 am</t>
  </si>
  <si>
    <t xml:space="preserve"> I. SCOPE OF WORKS excavation laying of 4" CHB/Pouring flooring II. EXCAVATION 30.6 cu.m III. MASONRY/CONCRETE WORKS 1500 pcs 4" CHB 91 pcs 10mm diam. RSB 129 bags portland cement 4 cu.m River Sand 6 cu.m mixed aggregates 8 kls tie wire</t>
  </si>
  <si>
    <t xml:space="preserve"> Republic of the Philippines BIDS AND AWARDS COMMITTEE Province of Iloilo Invitation to Bid Purchase of  DRUGS AND MEDICINES Bid No. RTH-20-0214-B(RE-BID) 1. The Iloilo Provincial Government, through the  GENERAL FUND  2020 intends to apply the sum of ONE </t>
  </si>
  <si>
    <t xml:space="preserve"> Republic of the Philippines BIDS AND AWARDS COMMITTEE Province of Iloilo Invitation to Bid Purchase of  DRUGS AND MEDICINES Bid No. RTH-20-0709-B 1. The Iloilo Provincial Government, through the  GENERAL FUND  2020 intends to apply the sum of ONE HUNDRED </t>
  </si>
  <si>
    <t xml:space="preserve"> Item No.	Qty	Unit	Article / Description 1	1	set	"CAMERA  Specs:  - Fast continuous shooting - 32.5 megapixel APS-C CMOS Sensor - Intelligent optical viewfinder - 45cross type AF points with multi-controller - iTR focus tracking - 4K 30p/25p cropped &amp; no c</t>
  </si>
  <si>
    <t xml:space="preserve"> Republic of the Philippines Province of Surigao del Norte Municipality of Claver BIDS AND AWARDS COMMITTEE INVITATION TO BID The Municipality of Claver, Surigao del Norte through its Bids and Awards Committee (BAC) invites contractors registered with and </t>
  </si>
  <si>
    <t xml:space="preserve"> INVITATION TO BID FOR THE PROCUREMENT OF 252,000 LITERS UNLEADED GASOLINE, 210,000 LITERS DIESEL AND 1 LOT OIL AND LUBRICANTS 1.	The Philippine Postal Corporation, through the CY 2020 Corporate Budget approved by PHLPost Board of Directors, intends to app</t>
  </si>
  <si>
    <t xml:space="preserve"> Republic of the Philippines BIDS AND AWARDS COMMITTEE Province of Iloilo Invitation to Bid Purchase of  DRUGS AND MEDICINES Bid No. RTH-20-0371-B 1. The Iloilo Provincial Government, through the  GENERAL FUND  2020 intends to apply the sum of NINETY SIX T</t>
  </si>
  <si>
    <t xml:space="preserve"> 3300 boxes Sodium Ascorbate Fortified with Zinc Capsule 500mg, 100 Capsule per box</t>
  </si>
  <si>
    <t xml:space="preserve"> PROVINCE OF ZAMBOANGA DEL NORTE Municipality of Sibutad BIDS AND AWARDS COMMITTEE August 19, 2020 ______________________________                Name of Supplier ______________________________                       Address INVITATION TO BID 	The Local Gove</t>
  </si>
  <si>
    <t xml:space="preserve"> Jose Rizal Memorial State University INVITATION TO BID Rehabilitation/Repair of COA Office and Construction of 2-Storey Storage Building(PR No.20-03-0188) 1.	The Jose Rizal Memorial State University-Dapitan Campus through the Corporate Budget for the Cont</t>
  </si>
  <si>
    <t xml:space="preserve"> pRepublic of the Philippines Province of Bukidnon MUNICIPALITY OF PANGANTUCAN TIN 099-000-631-170 OFFICE OF THE MUNICIPAL MAYOR Bids and Awards Committee (BAC) Cel # 09265379129 E-mail Address: munpangantucanbukidnon@yahoo.com or visit www.philgeps.net RE</t>
  </si>
  <si>
    <t xml:space="preserve"> Republic of the Philippines BIDS AND AWARDS COMMITTEE Province of Iloilo Invitation to Bid Purchase of  DRUGS AND MEDICINES Bid No. RTH-20-0369-B 1. The Iloilo Provincial Government, through the  GENERAL FUND  2020 intends to apply the sum of ONE HUNDRED </t>
  </si>
  <si>
    <t xml:space="preserve"> 1.	The Department of Science and Technology, Region XII (DOST XII), through the DOST Regional Offices Information System Harmonization Project and ICT Equipment Under 2020 MITHI Program intends to apply the sum of  Five Million Nine Hundred Nine Thousand </t>
  </si>
  <si>
    <t xml:space="preserve"> INVITATION TO BID The Municipality of Mutia through its Bids and  Awards Committee Invites  contractors to apply for eligibility and to bid for the project reflected hereunder; NAME OF PROJECT	:  Improvement/Rehabilitation of Head Tipan-Newland Road LOCAT</t>
  </si>
  <si>
    <t xml:space="preserve"> Republic of the Philippines City of Cagayan de Oro BIDS AND AWARDS COMMITTEE Invitation to Bid  for Proposed Renovation of City Civil Registry Office (City Hall Compound); SN 190 - 2020 1.	The City Government of Cagayan de Oro, through the Supplemental Bu</t>
  </si>
  <si>
    <t xml:space="preserve"> ITEM NO. DESCRIPTION UNIT QUANTITY SPL 1 PROJECT SIGNBO/PERMANENT MARKER LOT 1.00 SPL 2 PROVISION OF HEALTH &amp; SAFETY /VARIOUS HANDTOOLS LOT 1.00 101 EXCAVATION WORKS A. Common Earth CU.m 121.28 B. Hard cu.m 8.00 405 CONCRETE WORKS cu.m 45.82</t>
  </si>
  <si>
    <t xml:space="preserve"> Office Supplies and Equipment that cost P 103, 000.00</t>
  </si>
  <si>
    <t xml:space="preserve"> Office Supplies 1	10	reams	Book Paper - short 2	10	reams	Book Paper - long 3	13	reams	Book Paper A4 4	50	pcs	Long Folder (white) 5	2	pcs	Stapler (big) 6	1	pcs	Puncher (big) 7	10	pcs	My Gel Ballpen or its equi 8	1	box	Mongol Pencil #2 9	5	pcs	Correction Ta</t>
  </si>
  <si>
    <t xml:space="preserve"> Alternator Assy. etc.  NOTE:To all suppliers bid documents and BAC Resolution 2020-029 are available at BAC Office and LGU website.</t>
  </si>
  <si>
    <t xml:space="preserve"> Cordillera Administrative Region										 Provincial Government of Kalinga										 										 BIDS AND AWARDS COMMITTEE										 										 Invitation to Bid										 										 1.	The Provincial Government of KALINGA, through the Approved Budget for</t>
  </si>
  <si>
    <t xml:space="preserve"> Contract ID No.	:	20GII0011 Contract Name	:	Procurement of Personal Protective Equipment and Accessories Contract Location:	DPWH-Northern Samar 2nd DEO, Brgy. Burabod, Laoang, Northern Samar Brief Description of Goods to be Procured:	Purchase of survey eq</t>
  </si>
  <si>
    <t xml:space="preserve"> Diesel 													649	Liter Unleaded Gas 													100	Liter Oil 40 													4	Liter 														 Terms of Refference: 														 Withdrawals will be on weekly basis</t>
  </si>
  <si>
    <t xml:space="preserve"> Republic of the Philippines BIDS AND AWARDS COMMITTEE Province of Iloilo Invitation to Bid Purchase of  LABORATORY SUPPLIES Bid No. RTH-20-0974-B 1. The Iloilo Provincial Government, through the  GENERAL FUND  2020 intends to apply the sum of TWO HUNDRED </t>
  </si>
  <si>
    <t xml:space="preserve"> Republic of the Philippines BIDS AND AWARDS COMMITTEE Province of Iloilo Invitation to Bid Purchase of  DRUGS AND MEDICINES Bid No. RTH-20-0368-B 1. The Iloilo Provincial Government, through the  GENERAL FUND  2020 intends to apply the sum of TWO HUNDRED </t>
  </si>
  <si>
    <t xml:space="preserve"> Please  download the attached Request for Quotation Please quote your lowest price inclusive of VAT on the item/s listed below. Subject to the terms and conditions of this RFQ and submit your quotation duly signed by your representative not later than   a</t>
  </si>
  <si>
    <t xml:space="preserve"> I.   Clearing &amp; lay-out II.   Tiles Works III.  Progress Photograph</t>
  </si>
  <si>
    <t xml:space="preserve"> Diesel 													4,716	ltr 														 Terms of Reference:														 Weekly Withdrawals</t>
  </si>
  <si>
    <t xml:space="preserve"> I.     Trimming of trees, Clearing, Excavation and Lay-out II.    Electrical Works III.   Concrete Works</t>
  </si>
  <si>
    <t xml:space="preserve"> Aircon, Floor Standing, Split Type, 4HP, Inverter - 3 Sets • 4.0 HP (3 TR) Floor Standing Air Conditioner • Energy Saving  • DC Inverter Compressor • LED Display • Sleep Mode/ Timer Function • Auto On / Off Timer • High Efficiency Air Filter • Intelligent</t>
  </si>
  <si>
    <t xml:space="preserve"> I.   Mobilization, Clearing and Other Repairs II.  Painting Works</t>
  </si>
  <si>
    <t xml:space="preserve"> SUPPLY AND DELIVERY OF THE FOLLOWING Lot 1, various Equipments                            = Php          500,000.00 1 unit Desktop with Complete Accessories Specification: Intel core, I7-processor 2.2 GHZ (9M cache, up to 4.1, Windows 10 (64bit) with pre-</t>
  </si>
  <si>
    <t xml:space="preserve"> Maintenance and Other  Operating Expenses ( MOOE)</t>
  </si>
  <si>
    <t xml:space="preserve"> Fuel/Diesel 													3,719	Liters 														 Terms of Reference:														 Fuel delivery will be done per request														 Payment shall be made accordingly</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</si>
  <si>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</si>
  <si>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66  bags Cement	 2 cu.m. Gravel 9 cu.m. Sand 450 pcs 4” thk CHB 48 pcs 10mmó RSB 4 kgs #16 Tie wire 1 pc 2”Ø PVC Pipe (orange) 4 pcs PVC Elbow, 2”Ø 1 pc 3”Ø PVC Pipe ( orange) 4 pcs PVC Elbow, 3”Ø 2 pcs PVC Tee, 3”Ø 1 pc Floor Drain 2 cans Solvent Cement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</si>
  <si>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</si>
  <si>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National Kidney and Transplant Institute Bids and Awards Committee East Avenue, Quezon City 1100 981-0300 / 981-0400 local 1157 http://www.nkti.gov.ph/	 INVITATION TO BID for the ITB No. 20-083 2nd RE-BIDDING FOR SUPPLY AND DEL</t>
  </si>
  <si>
    <t xml:space="preserve"> Republic of the Philippines BARANGAY BLUMENTRITT Municipality of Murcia, Negros Occidental Name of project: To purchase another inconeof the association menbers and opportunity of employment and project sustainability Location of the Project:Barangay blum</t>
  </si>
  <si>
    <t xml:space="preserve"> Engine Type DIESEL TURBO F/INJ Engine Size 3.0L Cylinders DIESEL TURBO 4 Max. Torque 300Nm @  1200rpm Max. Power 100kW @  3400rpm Pwr:Wgt Ratio 53.6W/kg Bore &amp; Stroke 96x103mm Compression Ratio 17.9 Valve Gear DUAL OVERHEAD CAM</t>
  </si>
  <si>
    <t xml:space="preserve"> Doors, Tiling of Flooring &amp; wall of CR (portion); Ceiling (portion); Replacement of Roofing (portion) and painting</t>
  </si>
  <si>
    <t xml:space="preserve"> The Barangay Local Government Unit of Poblacion Santa Fe, Nueva Vizcaya, through its Bids &amp; Awards Committee invites contractors to bid for the following project: Contract Name:  Construction of Street Light (ES) Contract Location: Poblacion, Santa Fe, Nu</t>
  </si>
  <si>
    <t xml:space="preserve"> Materials: Qty   unit            items        unit price    total price 725   bags     portland cement   P180.00    P130,500.00 546    cu.m    washed sand          500.00        27,300.00 90      cu.m     grave g.i 1/4          800.00         72,000.00 36</t>
  </si>
  <si>
    <t xml:space="preserve"> Republic of the Philippines BARANGAY san fernando Talisay city, Negros Occidental Name of project: water supply Location barangay san fernando talisay city INVITATION TO APPLY FOR ELIGIBILITY AND TO BID The talisat city GOVERNMENT, through its Bids and Aw</t>
  </si>
  <si>
    <t xml:space="preserve"> The Barangay Local Government Unit of Unib, Santa Fe, Nueva Vizcaya, through its Barangay Bids &amp; Awards Committee invites contractors to bid for the following project: Contract Name: Procurement of Barangay Service Vehicle  Contract Location: Unib, Santa </t>
  </si>
  <si>
    <t xml:space="preserve"> I.   Removal of existing pathways, uprooting of trees, excavation, disposal, hauling of materials, clearing and lay-out II.  Concrete and masonry works III. Roof and Roof Framing</t>
  </si>
  <si>
    <t xml:space="preserve"> Republic of the Philippines														 PROVINCE OF ZAMBOANGA SIBUGAY														 Municipality of Payao														 														 INVITATION TO BID														 										PR2020-06-29-082				 The Local Government Unit of Payao, Zamboanga Sibugay, </t>
  </si>
  <si>
    <t xml:space="preserve"> IMPROVEMENT OF MULTI-PURPOSE HALL LOCATED AT STA ANA, AGOO, LA UNION</t>
  </si>
  <si>
    <t xml:space="preserve"> One (1) Job Contract for the Construction of Government Complex-Gymnasium Phase V, F. Palmares St. Passi City, Iloilo/CEO</t>
  </si>
  <si>
    <t xml:space="preserve"> Republic of the Philippines Province of Samar Municipality of Sta. Rita Brgy. Cabacungan BIDS AND AWARDS COMMITTEE INVITATION TO BID The Brgy. Cabacungan, Municipality of Sta. Rita, through Brgy. fund intends to apply the sum of One Hundred Fifty Thousand</t>
  </si>
  <si>
    <t xml:space="preserve"> Republic of the Philippines Province of Samar Municipality of Sta. Rita The Municipality of Sta. Rita, through LGU fund of 2020 intends to apply the sum of SEVENTY THOUSAND PESOS ONLY (Php70,000.00) being the Approved Budget for the Contract (ABC) to paym</t>
  </si>
  <si>
    <t xml:space="preserve"> OSMEÑA 03-2020 - Installation of Solar-Powered LED Streetlights</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</si>
  <si>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</si>
  <si>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To procure goods for the 10th Cycle implementation of Supplementary Feeding Program in the Municipality of San Emilio, Ilocos Sur</t>
  </si>
  <si>
    <t xml:space="preserve"> ITEM NO.	ITEM &amp; DESCRIPTION						QTY.	UoM 1	Aluminum Ladder (24 steps - foldable)						1	unit 2	Ammonia						5	gals. 3	Air Freshener, 320ml						9	bots. 4	Ballpen, Black 0.5						10	doz 5	Binding Stripe: 1"						3	dozens 6	Bleach 375 ml.						3	gals. 7	Bo</t>
  </si>
  <si>
    <t xml:space="preserve"> AMALBALAN 02-2020 - INSTALLATION OF SOLAR-POWERED LED STREETLIGHTS</t>
  </si>
  <si>
    <t xml:space="preserve"> To procure goods for the 10th Cycle implementation of Supplementary Feeding Program in the Municipality of Quirino, Ilocos Sur</t>
  </si>
  <si>
    <t xml:space="preserve"> This project is dealing of Brgy. Rizal Rural, Lopez, Quezon</t>
  </si>
  <si>
    <t xml:space="preserve"> Complete construction (7.00m x 18.00m plus corridor 2.50m) One (1) storey Two Classroom School Building with reinforced concrete, gutter, handwashing area both sides, PWD ramp with handrails, window grilles at front and rear windows and parapet wall</t>
  </si>
  <si>
    <t xml:space="preserve"> This project is dealing of Brgy. Buenavista, Lopez, Quezon</t>
  </si>
  <si>
    <t xml:space="preserve"> PROCUREMENT OF SUPPLIES OF MOOE OF LINGI-ON ES</t>
  </si>
  <si>
    <t xml:space="preserve"> Republic of the Philippines PROVINCE OF NUEVA ECIJA City of Palayan INVITATION TO BID FOR  SUPPLY, DELIVERY AND INSTALLATION OF VARIOUS AIR-CONDITIONING UNITS August 19, 2020 1.	The Provincial Government of Nueva Ecija (PGNE), through the General Fund, in</t>
  </si>
  <si>
    <t xml:space="preserve"> Republic of the Philippines BATANGAS STATE UNIVERSITY Batangas City REQUEST FOR QUOTATION "Procurement of Communication Equipment for Various Offices"  1. The Batangas State University (BatState U) through the Bids and Awards Committee invites interested </t>
  </si>
  <si>
    <t xml:space="preserve"> Republic of the Philippines														 PROVINCE OF ZAMBOANGA SIBUGAY														 Municipality of Payao														 														 INVITATION TO BID														 										PR2020-06-29-083				 The Local Government Unit of Payao, Zamboanga Sibugay, </t>
  </si>
  <si>
    <t xml:space="preserve"> ITB2020-022 LBP Dagupan re: Construction of LANDBANK Dagupan Branch Offsite ATM at CSI Bonuan APPROVED BUDGET FOR THE CONTRACT : PHP 58,140.00 NOTES IN SUBMITTING YOUR BID PROPOSALS TO BE ATTACH IN YOUR SUBMITTED SIGNED AND SEALED QUOTATIONS: TWO SETS/COP</t>
  </si>
  <si>
    <t xml:space="preserve"> Republic of the Philippines National Kidney and Transplant Institute Bids and Awards Committee East Avenue, Quezon City 1100 981-0300 / 981-0400 local 1157 http://www.nkti.gov.ph/	 INVITATION TO BID for the ITB No. 20-081 SUPPLY AND DELIVERY OF NINE THOUS</t>
  </si>
  <si>
    <t xml:space="preserve"> Procurement of IT Equipment and supplies for the Official use of DARPO Aklan, 2nd batch for CY 2020 A. Ink Tank Printer - Print, Scan &amp; Copy with Built-in Wireless. Ultra-high 6500 page yield (black ink) / 5000 page yield (colour ink). Wifi-Direct, Direct</t>
  </si>
  <si>
    <t xml:space="preserve"> PURCHASE OF MEDICAL SUPPLIES AND EQUIPMENTS 1.	The Municipal Government of Sta. Maria through the LDRRMF – Trust Funds intends   to apply the sum of Three Hundred Eighty Thousand Pesos (₱380,000.00) being                          the Approved Budget for t</t>
  </si>
  <si>
    <t xml:space="preserve"> Republic of the Philippines Province of Samar Municipality of Sta. Rita The Municipality of Sta. Rita, through LGU fund of 2020 intends to apply the sum of SIXTY THOUSAND PESOS ONLY (Php60,000.00) being the Approved Budget for the Contract (ABC) to paymen</t>
  </si>
  <si>
    <t xml:space="preserve"> Office Supplies-Water Dispenser,Double A Battery,etc....</t>
  </si>
  <si>
    <t xml:space="preserve"> Republic of the Philippines														 PROVINCE OF ZAMBOANGA SIBUGAY														 Municipality of Payao														 														 INVITATION TO BID														 										PR2020-08-11-108				 The Local Government Unit of Payao, Zamboanga Sibugay, </t>
  </si>
  <si>
    <t xml:space="preserve"> To procure goods for the 10th Cycle implementation of Supplementary Feeding Program in the Municipality of Santa, Ilocos Sur</t>
  </si>
  <si>
    <t xml:space="preserve"> INVITATION TO BID The Municipality of Mutia through its Bids and  Awards Committee Invites  contractors to apply for eligibility and to bid for the project reflected hereunder; NAME OF PROJECT	: Rehabilitation of San Miguel Barangay  Road LOCATION		:  Mut</t>
  </si>
  <si>
    <t xml:space="preserve"> ITEM NO. DESCRIPTION  UNIT QUANTITY SPL 1 PROJECT SIGNBOARD/BILLBOARD LOT 1.00 SPL 2 HANDTOOLS LOT 1.00 103 SITE WORKS EXCAVATION (GROUND LEVELING) 48.00 CU.M 200 SUB-BASE COURSE CU.M 32.54 404 REINFORCING STEEL BARS KGS 1,363.12 405 CONCRETE WORKS-PCCP C</t>
  </si>
  <si>
    <t xml:space="preserve"> DIMENSION LENGTH AND WIDTH IS IN CENTIMETERS AREA: IN SQUARE FOOT Mayor's Office MIN. SQ.FT.  WIDTH  LENGTH W1    38.74    240        150 W2    40.35    250        150 W3a  16.79   120        130 W3b   15.00   85          82 W4a    25.75  165        145 W</t>
  </si>
  <si>
    <t xml:space="preserve"> Qty  Unit   Item Description 40 lght. –      G.I. pipe 2” x 6m 40 set    -       Secondary rock (2 poles) 2   lght.  -       G.I. pipe ¾ “ x 6m (sch. 40) 50 pcs.   -      Machine Bolt ¼ x 1” 40 pcs.   -      Doom Reflector 12” (Hang Type) 40 pcs.   -     </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</si>
  <si>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</si>
  <si>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To procure goods for the 10th Cycle implementation of Supplementary Feeding Program in the Municipality of San Esteban, Ilocos Sur</t>
  </si>
  <si>
    <t xml:space="preserve"> 1	Unit 	TRI- WHEEL VEHICLE		 				 	Specifications	Engine Type		4-Stroke,Forced, Air  				Cooled, DTS-I-FI Engine  		No; of Cylinder:		One 		Engine Displacment:		198.88 CC 		Starting		Electric &amp; Hand Start 		Transmissions:		4 Speed Forward + 1  				Reverse</t>
  </si>
  <si>
    <t xml:space="preserve"> 10	piece	PCB - 12x12 inches		 10	piece	Heavy Duty Extension Plug		 5	bundle	1 Meter Telephone Wire - Three Wires (6P6C)		 5	piece	Ethernet Shield W5100 for Arduino		 100	piece	Diode - 1N4007		 100	piece	Resistor 1/2W - 5K ohms		 100	piece	Resistor 1/2W -1</t>
  </si>
  <si>
    <t xml:space="preserve"> To procure goods for the 10th Cycle implementation of Supplementary Feeding Program in the Municipality of San Ildefonso, Ilocos Sur</t>
  </si>
  <si>
    <t xml:space="preserve"> Republic of the Philippines BIDS AND AWARDS COMMITTEE Province of Iloilo Invitation to Bid Purchase of  MEDICAL SUPPLIES Bid No. JCH-20-0231-B(RE-BID) 1. The Iloilo Provincial Government, through the  GENERAL FUND  2020 intends to apply the sum of FORTY T</t>
  </si>
  <si>
    <t xml:space="preserve"> REQUEST FOR PROPOSAL PLANNING AND DEVELOPMENT OF E-LEARNING MATERIALS FOR THE LEADERSHIP AND MANAGEMENT PROFICIENCY (LAMP) PROGRAM 1.	The Career Executive Service Board (CESB) through its Bids and Awards Committee (BAC), intends to engage the services of </t>
  </si>
  <si>
    <t xml:space="preserve"> Republic of the Philippines Department of Health DAVAO REGIONAL MEDICAL CENTER Apokon, Tagum City BIDS AND AWARDS COMMITTEE Invitation to Bid for the SUPPLY &amp; DELIVERY OF PLUMBING SUPPLIES - REBID 1.	The Davao Regional Medical Center (DRMC), through the H</t>
  </si>
  <si>
    <t xml:space="preserve"> Republic of the Philippines BIDS AND AWARDS COMMITTEE Province of Iloilo Invitation to Bid Purchase of  MEDICAL SUPPLIES Bid No. RTH-20-0218-B(RE-BID) 1. The Iloilo Provincial Government, through the  GENERAL FUND  2020 intends to apply the sum of FIFTY T</t>
  </si>
  <si>
    <t xml:space="preserve"> 1.	10,000	liter/s	Diesel Fuel</t>
  </si>
  <si>
    <t xml:space="preserve"> Republic of the Philippines Province of Leyte Municipality of Inopacan Barangay Macagoco INVITATION TO BID FOR  THE SUPPLY OF MATERIALS FOR THE INSTALLATION OF TEMPORARY QUARANTINE FACILITY PROJECT 2 1.	The Barangay Macagoco, Inopacan, Leyte, under the 20</t>
  </si>
  <si>
    <t xml:space="preserve"> 37 cm (H) x 33.5 cm (W)	1500	pcs Polypropylene Reusable Bags		 		 25 cm (W) x 30 cm (H) (10 in x 12 in)	1300	pcs Katsa Cloth Reusable Bags with Print</t>
  </si>
  <si>
    <t xml:space="preserve"> SUPPLY, DELIVERY, INSTALLATION, TESTING AND COMMISIONING OF AIRCONDITIONING UNIT (1 UNIT 2.0 TR WALL MOUNTED (INVERTER) FOR LBP KIDAPAWAN BRANCH INCLUDING INSTALLATION OF ELECTRICAL FEEDER LINES AND DRAIN PIPES (PLEASE SEE ATTACHED SPECS) LBP KIDAPAWAN BR</t>
  </si>
  <si>
    <t xml:space="preserve"> Air conditioning unit, floor-type, 3-toner, 2 HP Laptop, i7 Processor, 2-in-1 Touchscreen Laptop 13.4"touchscreen, 16GB memory Smartphone, 64GB Desktop Computer, i5 Processor, 8GB DDR4 mem 19" Monitor, USB Mouse and Keyboard, 1TB HDD Airconditioning unit,</t>
  </si>
  <si>
    <t xml:space="preserve"> CARPENTRY WORKS: 1.	PLYWOOD, ¾”, MARINE          16 Pcs. 2.	DRAWER GUIDE                     12 Pair 3.	DRAWER HANDLE                  40 Pcs. 4.	DRAWER LOCK                      40 Pcs. 5.	NAIL, FINISHING 1 ½”          10 Kilo 6.	STIKWEL                 </t>
  </si>
  <si>
    <t xml:space="preserve"> Procurement of Packed Snacks and Lunch for the conduct of Public Consultations/Coordination Meetings regarding the Widening of National Roads and Bridges along National Roads of DPWH Iloilo 2nd DEO on September 1,3,7,9,10,15,17,22 &amp; 25, October 8,16,22,23</t>
  </si>
  <si>
    <t xml:space="preserve"> Republic of the Philippines														 PROVINCE OF ZAMBOANGA SIBUGAY														 Municipality of Payao														 														 INVITATION TO BID														 										PR2020-08-11-109				 The Local Government Unit of Payao, Zamboanga Sibugay, </t>
  </si>
  <si>
    <t xml:space="preserve"> INVITATION TO BID ITB NO. 2020-08-016 The Procuring Entity  through its Bids and Awards Committee (BAC), invites eligible IT suppliers to apply for eligibility and to bid for the hereunder project: Name of Project: Purchase of Construction Materials for t</t>
  </si>
  <si>
    <t xml:space="preserve"> Republic of the Philippines														 PROVINCE OF ZAMBOANGA SIBUGAY														 Municipality of Payao														 														 INVITATION TO BID														 										PR2020-08-11-107				 The Local Government Unit of Payao, Zamboanga Sibugay, </t>
  </si>
  <si>
    <t xml:space="preserve"> INVITATION TO BID The Municipality of Mutia through its Bids and  Awards Committee Invites  contractors to apply for eligibility and to bid for the project reflected hereunder; NAME OF PROJECT	: Procurement of Materials &amp; Supplies for Solid Waste Manageme</t>
  </si>
  <si>
    <t xml:space="preserve"> Vehicle Parts &amp; Accessories-Tire 265x60x18</t>
  </si>
  <si>
    <t xml:space="preserve"> Qty.                Unit.                                 Description 10                  box                            Amplodipine 10mg. tab.      17                  box                            Losartan 50mg. tab. 5                    box           </t>
  </si>
  <si>
    <t xml:space="preserve"> To procure goods for the 10th Cycle implementation of Supplementary Feeding Program in the Municipality of Santiago, Ilocos Sur</t>
  </si>
  <si>
    <t xml:space="preserve"> BAC RESOLUTION NO. 481-2020 “A RESOLUTION DECLARING FAILURE OF BIDDING AND RECOMMEND FOR ALTERNATIVE MODE OF PROCUREMENT” WHEREAS, the Bids and Awards Committee (BAC) thru the Secretariat published in PhilGEPS and in any conspicuous places the purchase of</t>
  </si>
  <si>
    <t xml:space="preserve"> Republic of the Philippines          City of Dumaguete Bids and Awards Committee INVITATION TO BID FOR PURCHASE REQUEST OF 4 PCS PRINTER, PRINT, SCAN &amp; COPY AND OTHER ITEMS 	The City of Dumaguete thru its BIDS AND AWARDS COMMITTEE (BAC), invites all inter</t>
  </si>
  <si>
    <t xml:space="preserve"> To procure goods for the 10th Cycle implementation of Supplementary Feeding Program in the Municipality of Suyo, Ilocos Sur</t>
  </si>
  <si>
    <t xml:space="preserve"> cement, sand, gravel, angle bars, etc.</t>
  </si>
  <si>
    <t xml:space="preserve"> Republic of the Philippines														 PROVINCE OF ZAMBOANGA SIBUGAY														 Municipality of Payao														 														 INVITATION TO BID														 										PR2020-08-11-110				 The Local Government Unit of Payao, Zamboanga Sibugay, </t>
  </si>
  <si>
    <t xml:space="preserve"> Republic of the Philippines Province of Davao de Oro Municipality of Monkayo -o0o- INVITATION TO BID FOR THE PROCUREMENT OF MATERIALS FOR THE PROJECT OF CONSTRUCTION OF HANGING BRIDGE (PHASE 1) LOCATED @ PUROK 7, LAMACANAN, BARANGAY SALVACION, MONKAYO, DA</t>
  </si>
  <si>
    <t xml:space="preserve"> One (1) Lump Sum Concreting of Motorpool Road (incld. supply of materials, equip. rental and supply of labor)</t>
  </si>
  <si>
    <t xml:space="preserve"> One (1) Lump Sum Construction of Drainage Canal (incld. supply of materials, equip. rental and supply of labor)</t>
  </si>
  <si>
    <t xml:space="preserve"> One (1) Lump Sum Reblocking / Concreting of Municipal Streets (incld. supply of materials, equip. rental and supply of labor)</t>
  </si>
  <si>
    <t xml:space="preserve"> No.	QTY	UNIT	AGENCY'S SPECIFICATIONS 			 1	2	rolls	RUBBER GASKET W/ FLY - 1/4 2	72	pcs.	1" X 5" STAINLESS BOLT W/ NUT 3	16	pcs.	3/4" X 5" STAINLESS BOLT W/ NUT DELIVERY PERIOD:			30 calendar days VALIDITY PERIOD:			30 calendar days TERMS AND CONDITIONS			</t>
  </si>
  <si>
    <t xml:space="preserve"> 1.	The BLGU-Barangay Kayapa, Bakun, Benguet, Through the 20% BDF 2020, 70% BDRRMF 2020 and CAPITAL OUTLAY 2019-2020 intends to apply the sum of P688, 065.23 being the Approved Budget for the contract (ABC) to payments under the contract for the Various In</t>
  </si>
  <si>
    <t xml:space="preserve"> To procure goods for the 10th Cycle implementation of Supplementary Feeding Program in the Municipality of Sta. Maria, Ilocos Sur</t>
  </si>
  <si>
    <t xml:space="preserve"> Republic of the Philippines Province of Guimaras OFFICE OF THE BIDS AND AWARDS COMMITTEE INVITATION TO BID FOR    SUPPLY AND DELIVERY ONE UNIT TIRE CHANGER Bid Ref. No. 2020-08-463 1.	The Province of Guimaras , through the Repair and Maintenance of Transp</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</si>
  <si>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</si>
  <si>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Location: Public Market, Poblacion I, Moncada, Tarlac Scope of Work to be done: 1. column 2. Roofing and Roof Framing 3. Painting</t>
  </si>
  <si>
    <t xml:space="preserve"> Item No.	Qty	Unit	Article / Description 1	32	ream	PAPER for PPC, Legal size, 216mm x 330mm, min. of 80gsm 2	15	ream	A3, BOOK PAPER</t>
  </si>
  <si>
    <t xml:space="preserve"> INFRASTRUCTURE WORKS FOR THE IMPROVEMENT OF WATER SUPPLY SYSTEM AT SITIO MAG-ABO, BARANGAY MALUAY, ZAMBOANGUITA, NEGROS ORIENTAL</t>
  </si>
  <si>
    <t xml:space="preserve"> Republic of the Philippines Province of Leyte 		Municipality of Bato Brgy. BAGO, Bato, Leyte INVITATION TO BID  FOR THE SUPPLY AND DELIVERY OF VARIOUS MATERIALS FOR THE CONSTRUCTION OF PUBLIC COMFORT ROOM OF BRGY. BAGO, BATO, LEYTE (BAGOGOODS2020-02) 1.	T</t>
  </si>
  <si>
    <t xml:space="preserve"> INFRASTRUCTURE WORKS FOR THE CONSTRUCTION/IMPROVEMENT OF WATER SUPPLY SYSTEM (PHASER 2) AT SITIO BATO, BARANGAY BASAK, ZAMBOANGUITA, NEGROS ORIENTAL</t>
  </si>
  <si>
    <t xml:space="preserve"> Item No.	Qty	Unit	Article / Description 1	1	unit	"Refrigerator Specifications: - 8.3 Cubic Ft. - Manual Defrost - Single Door" 2	1	unit	"Gas Range Specifications: - 3 Gas Burner - Gas Oven - Matte Black" 3	1	unit	"Electric Fan Specifications: - Industrial</t>
  </si>
  <si>
    <t xml:space="preserve"> REQUEST FOR EXPRESSION OF INTEREST (REOI) FOR CONSULTING SERVICES  19CSK00060 – Consultancy Services for the Conduct of Feasibility Study for Masterson Avenue Alternate Diversion Road (ReXPRIP-30), Cagayan de Oro 1st Legislative District, L=16.00 KM 1.	Th</t>
  </si>
  <si>
    <t xml:space="preserve"> 1.	1	box/es	Cholesterol 2.	1	box/es	Glucose 3.	1	box/es	Uric Acid 4.	1	box/es	Triglycerides 5.	1	box/es	HDL Cholesterol Direct 6.	1	box/es	Urea UV (blood urea nitrogen) 7.	6	vial/s	Normal Quality Control Chemistry 8.	4	box/es	Diluent Tulip 9.	1	set/s	Qual</t>
  </si>
  <si>
    <t xml:space="preserve"> INFRASTRUCTURE WORKS FOR THE IMPROVEMENT OF WATER SUPPLY SYSTEM AT SITIO MALATAPAY, BARANGAY MALUAY, ZAMBOANGUITA, NEGROS ORIENTAL</t>
  </si>
  <si>
    <t xml:space="preserve"> INVITATION TO BID The Barangay Buayan through its Bids and Awards Committee (BAC) invites philgeps registered suppliers to apply to bid for te Supply and Delivery of Various Materials of COMPLETION OF MULTI-PURPOSE BUILDING. I. GENERAL REQUIREMENTS II. EX</t>
  </si>
  <si>
    <t xml:space="preserve"> 389	Piece	White T-shirt for Job Order, ABC 180.00/pc 888	Piece	White T-shirt for Permanent, ABC 180.00/pc 121	Piece	White T-shirt for Housekeeping, ABC 150.00/pc 100	Piece	Polo White Shirt(MANCOM), ABC 260.00/pc 86	Piece	Black and White Shirt Frontliners,</t>
  </si>
  <si>
    <t xml:space="preserve"> 1.	30,000	liter/s	Diesel Fuel 2.	1,000	liter/s	Gasoline Fuel</t>
  </si>
  <si>
    <t xml:space="preserve"> 1.	The Provincial Government of Batanes, through Trust Fund-Chinese Consulate in Laoag intends to apply the sum of Two Hundred Twenty-Three Thousand Five Hundred Nine Pesos and 02/100 Only (₱ 223,509.02), being the Approved Budget for the Contract (ABC) t</t>
  </si>
  <si>
    <t xml:space="preserve"> Purchase of Submersible Pump</t>
  </si>
  <si>
    <t xml:space="preserve"> The DOST Regional Office No. 1, through the MITHI Program CY 2020, intends to apply the sum of One Million Seven Hundred Twenty Two Thousand One Hundred Forty Two Pesos Only  (1,722,142.00) being the Approved Budget for the Contract (ABC)  to payments und</t>
  </si>
  <si>
    <t xml:space="preserve"> Invitation to Bid No. 2020-04 Procurement of Supplies and Materials for Module Printing 1. The West Visayas State University- Janiuay Campus, through GAA 2020intends to apply the sum of ONE MILLION TWO HUNDRED SEVENTY-SIX THOUSAND FIVE HUNDRED PESOS (PhP1</t>
  </si>
  <si>
    <t xml:space="preserve"> Procurement ID/Contract I.D.: 20CN0100 Contract Name: Construction of Municipal Sanitary Landfill Contract Location: Dinalungan, Aurora Brief Description: Earthworks, Subbase and Base Course, Bridge Construction, Drainage and Slope Protection Structures A</t>
  </si>
  <si>
    <t xml:space="preserve"> 1.	25,000	liter/s	Diesel Fuel 2.	1,000	liter/s	Gasoline Fuel</t>
  </si>
  <si>
    <t xml:space="preserve"> 1.	The Municipal Government of Roxas, Isabela has received the share from the CY 2016 Collection of Burley and Native Tobacco Excise Tax   and it  intends to apply part or whole of the proceeds of this funds for payment under the contract for the project.</t>
  </si>
  <si>
    <t xml:space="preserve"> Please see attached ITB and PR.</t>
  </si>
  <si>
    <t xml:space="preserve"> Republic of the Philippines Province of Ifugao Municipality of Hingyon  Bids and Awards Committee  INVITATION TO BID Publication No. 019 – 2020 (FIRST POSTING – SUPPLY AND DELIVERY OF PHOTOCOPIER FOR THE DISTANCE LEARNING MODULES OF LGU-HINGYON, IFUGAO) T</t>
  </si>
  <si>
    <t xml:space="preserve"> 34.00 roll PE Pipe 1"Ø SDR 9 (100m/rl) 34.00 pc. PE Coupling 1"Ø 4.00 roll PE Pipe 1/2"Ø SDR 9 (300m/rl) 4.00 pc. PE Coupling 1/2"Ø 1.00 pc. CI Saddle Clamp 4"Ø x 1"Ø 26.00 pc. PE Male Adaptor 1"Ø 10.00 pc. Brass Ball Valve 1"Ø (heavy duty) 1.00 pc. CI Sa</t>
  </si>
  <si>
    <t xml:space="preserve"> PLEASE SEE ATTACHMENTS AT THE ASSOCIATED COMPONENTS SECTION FOR THE INVITATION TO BID AND SUMMARY OF CY 2020 BEFF REPAIR OF CLASSROOMS BATCH 2. THANK YOU.</t>
  </si>
  <si>
    <t xml:space="preserve"> Republic of the Philippines Province of Guimaras OFFICE OF THE BIDS AND AWARDS COMMITTEE INVITATION TO BID FOR    SUPPLY AND DELIVERY OF OFFICE SUPPLIES Bid Ref. No. 2020-08-469 1.	The Province of Guimaras , through the Different Office as per Original PR</t>
  </si>
  <si>
    <t xml:space="preserve"> Republic of the Philippines														 PROVINCE OF ZAMBOANGA SIBUGAY														 Municipality of Payao														 														 INVITATION TO BID														 										PR2020-08-11-111				 The Local Government Unit of Payao, Zamboanga Sibugay, </t>
  </si>
  <si>
    <t xml:space="preserve"> 3 LI</t>
  </si>
  <si>
    <t xml:space="preserve"> INVITATION TO BID  The Municipal Government of Nampicuan, through its Bids and Awards Committee (BAC), invites Contractors to apply for eligibility and to bid for the hereunder projects: Name of Project	Approved Budget of the Contract	Bid Document Fee (No</t>
  </si>
  <si>
    <t xml:space="preserve"> Procurement ID/Contract I.D.: 20CN0157 (Re-adv.) Contract Name: Repair/Maintenance of Bridges along National Roads Contract Location: A. Castañeda – Ma. Aurora – San Luis Road &amp; Baler – Casiguran Road (Baler – Dinadiawan) Brief Description: Bridge Constru</t>
  </si>
  <si>
    <t xml:space="preserve"> INVITATION TO BID FOR THE SUPPLY OF LABOR &amp;MATERIALS FOR THE RIPRAPPING/EMBANKMENT PROTECTION. 1. The Barangay Government of BARANGAY SAN ISIDRO ITAAS through the 20% Local Development Fund of Barangay intends to apply the sum of Php 686,354.79 being the </t>
  </si>
  <si>
    <t xml:space="preserve"> To procure goods for the 10th Cycle implementation of Supplementary Feeding Program in the Municipality of Sugpon, Ilocos Sur</t>
  </si>
  <si>
    <t xml:space="preserve"> Steel Manhole Cover 24"x24"</t>
  </si>
  <si>
    <t xml:space="preserve"> Construction materials and supplies</t>
  </si>
  <si>
    <t xml:space="preserve"> Invitation to Bid for the Completion of Public Market The Municipality of San Francisco, Surigao del Norte, through the 20% Development Fund of CY 2020 intends to apply the sum of Five Hundred Twenty Thousand Thirty Pesos &amp; 11/100 (520,030.11) being the A</t>
  </si>
  <si>
    <t xml:space="preserve"> Ampongol, Sogod, Cebu						Contract Ref. No.-01A-2020 Construction of Ampongol Barangay Hall Extension, , Ampongol, Sogod, Cebu 		 Standard Form Number: SF-INFR-05 Revised on: July 29, 2004 INVITATION TO BID The Ampongol, Sogod, Cebu  through its Bids and</t>
  </si>
  <si>
    <t xml:space="preserve"> Invitation to Bid for  CY 2020 Basic Education Facilities Fund  Repair of Classrooms – Batch 2 (San Simon Elementary School)  Project No.: BAT2020-08-03 The Department of Education (DepEd) Schools Division Office of Bataan through the Basic Educational Fa</t>
  </si>
  <si>
    <t xml:space="preserve"> Invitation to Bid for  CY 2020 Basic Education Facilities Fund  Repair of Classrooms – Batch 2 (Old San Jose Elementary School)  Project No.: BAT2020-08-01 The Department of Education (DepEd) Schools Division Office of Bataan through the Basic Educational</t>
  </si>
  <si>
    <t xml:space="preserve"> Republic of the Philippines  Province of Misamis Oriental  Municipality of Sugbongcogon  Invitation to Apply for Eligibility and to Bid for Supply and Delivery of Mantianak Botanical Garden and Zoological Park Animal Feeds ITB NO. 2020-08-001 1.	The Munic</t>
  </si>
  <si>
    <t xml:space="preserve"> Republic of the Philippines Province of Eastern Samar City of Borongan -0- BIDS AND AWARDS COMMITTEE ------------------------------------------------------------------------------------------ Invitation to Bid for SUPPLY, DELIVERY AND INSTALLATION OF SLAU</t>
  </si>
  <si>
    <t xml:space="preserve"> Republic of the Philippines State Universities and Colleges Iloilo State College of Fisheries –San Enrique Campus San Enrique, Iloilo INVITATION TO BID FOR  Rebidding of the Procurement and Delivery of Furniture and Fixtures (Lot 3) 1.	The Iloilo State Co</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</si>
  <si>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</si>
  <si>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Republic of the Philippines Province of Misamis Oriental Local Government Unit of Claveria INVITATION TO BID FOR  PROCUREMENT OF BIOLOGICS 1.	The Local Government Unit of Claveria, through the budget approved by the Local Sanggunian  intends to apply the </t>
  </si>
  <si>
    <t xml:space="preserve"> Per approved PR No.477 dated August 2020, consisting of materials for fencing of Mun. Nursery(Phase 3).</t>
  </si>
  <si>
    <t xml:space="preserve"> General Repair of one (01) unit L300 (Jeepney Type) Mitsubishi.</t>
  </si>
  <si>
    <t xml:space="preserve"> Procurement of Various Spare Parts for Use of Various Service Vehicles Assigned for the Repair and Maintenance of National Roads of DPWH Iloilo 2nd DEO, Balabag, Dumangas, Iloilo</t>
  </si>
  <si>
    <t xml:space="preserve"> See attached documents, print Bid Notice Abstract and download ITB No. GOODS-20-133.</t>
  </si>
  <si>
    <t xml:space="preserve"> Republic of the Philippines Province of Cagayan MUNICIPALITY OF CALAYAN Calayan, Cagayan INVITATION TO BID ITB No./PhilGEPS Reference No. 7184235 Concreting of Calayan Circumferential Road (Bira-Bira-Caanawan Section)  (Barangay Magsidel , Calayan, Cagaya</t>
  </si>
  <si>
    <t xml:space="preserve"> Invitation to Bid for  CY 2020 Basic Education Facilities Fund  Repair of Classrooms – Batch 2 (San Pablo Elementary School)  Project No.: BAT2020-08-02 The Department of Education (DepEd) Schools Division Office of Bataan through the Basic Educational Fa</t>
  </si>
  <si>
    <t xml:space="preserve"> Procurement of supplies for the reprodcution of self-learning modules</t>
  </si>
  <si>
    <t xml:space="preserve"> To procure goods for the 10th Cycle implementation of Supplementary Feeding Program in the Municipality of Sta. Catalina, Ilocos Sur</t>
  </si>
  <si>
    <t xml:space="preserve"> INVITATION TO BID FOR THE SUPPLY OF LABOR &amp; MATERIALS FOR THE IMPROVEMENT OF MULTI-PURPOSE HALL. 1. The Barangay Government of BARANGAY SAN ISIDRO ITAAS through the 20% Local Development Fund of Barangay intends to apply the sum of Php 99,905.82 being the</t>
  </si>
  <si>
    <t xml:space="preserve"> (FORM NO. 014 – INVITATION TO APPLY FOR ELIGIBILITY AND TO BID) Republic of the Philippines Sangguniang Barangay of PAG-AGUASAN Barangay PAG-AGUASAN, Unisan, Quezon INVITATION TO APPLY FOR ELIGIBILITY AND TO BID Date			:  					 The Sangguniang Barangay PA</t>
  </si>
  <si>
    <t xml:space="preserve"> 1.             The Local Government Unit of Pasil,  through the 2020 Drugs and Medicines Fund  intends to apply the sum of One Hundred Seventy Thousand Five Hundred Fifty-Five Pesos &amp; Fifty Cents (P170,555.50) being the Approved Budget for the Contract (A</t>
  </si>
  <si>
    <t xml:space="preserve"> See attached documents, print Bid Notice Abstract and download ITB No. GOODS-20-134.</t>
  </si>
  <si>
    <t xml:space="preserve"> See attached documents, print Bid Notice Abstract and download ITB No. GOODS-20-135.</t>
  </si>
  <si>
    <t xml:space="preserve"> Municipality of Looc INVITATION TO BID FOR Supply and Delivery of 4000 reams A4 Bond Paper Substance 20 1.	The Municipality of Looc, through the Trust Fund intends to apply the sum of Php 840,000.00 being the Approved Budget for the Contract (ABC) to paym</t>
  </si>
  <si>
    <t xml:space="preserve"> Please quote your lowest price for the requirements listed hereunder subject to the Terms and Conditions stated below and submitted to the office duly signed. PROCUREMENT TERMS and CONDITIONS: 1.	Price Quotation should be inclusive of the 5% final VAT and</t>
  </si>
  <si>
    <t xml:space="preserve"> 528,335 pcs (1 lot)</t>
  </si>
  <si>
    <t xml:space="preserve"> Request for Quotation			Date:		 			Quotation No.:		 2020-08-087-Aug  Company Name 					 					 Address					 					 	Please quote your lowest price on the items listed below, subject to the General Conditions ln the last				 page stating the shortest time of</t>
  </si>
  <si>
    <t xml:space="preserve"> Republic of the Philippines Province of Guimaras OFFICE OF THE BIDS AND AWARDS COMMITTEE INVITATION TO BID FOR    SUPPLY AND DELIVERY OF VEHICLE PARTS AND ACCESSORIES Bid Ref. No. 2020-08-464 1.	The Province of Guimaras , through the Repair and Maintenanc</t>
  </si>
  <si>
    <t xml:space="preserve"> Republic of the Philippines 	Province of Eastern Samar	 City of Borongan -0- BIDS AND AWARDS COMMITTEE Invitation to Bid for NEGOTIATED PROCUREMENT DUE TO TWO –FAILED BIDDING SUPPLY AND DELIVERY OF FIVE (5) UNITS ALL NEW CARRY UTILITY VAN AND THREE (3) UN</t>
  </si>
  <si>
    <t xml:space="preserve"> Works include masonry and plastering works (Parapet), carpentry/ceiling works, tile works and painting works</t>
  </si>
  <si>
    <t xml:space="preserve"> AGGREGATE BASE COURSE ROAD GRAVELLING ( SPOT GRAVELLING)</t>
  </si>
  <si>
    <t xml:space="preserve"> Preventive Maintenance Services for Motor Vehicles (2017 Toyota Altis A/T) of the Philippine Competition Commission 1 Lot - Five (5) 2017 Toyota Altis (A/T) ABC: PhP90,000.00 ________________________________________________</t>
  </si>
  <si>
    <t xml:space="preserve"> Republic of the Philippines Province of Davao de Oro Municipality of Monkayo -o0o- INVITATION TO BID FOR THE PROCUREMENT OF AGRI-SUPPLIES  The Municipality of Monkayo, through the GENERAL FUND intends to apply the sum of ONE HUNDRED SIXTY SEVEN THOUSAND P</t>
  </si>
  <si>
    <t xml:space="preserve"> Section I. Invitation to Bid   INVITATION TO BID FOR  Supply and Delivery of Solar Street Lights Panel 1.	The Local Government Unit of Lambayong, through the Local Government Support Fund intends to apply the sum of Two Million Six Hundred Ninety Four Tho</t>
  </si>
  <si>
    <t xml:space="preserve"> Item No. Description Quantity Units 1.Supply &amp; Installation of 5100 Fixed Volleyball post on concrete coring - 1 set. with. a.2 pcs-volleyball post sleeve b.1 pc-volleyball net c.1 pc-umpire chair d.1 pc-antenna e.2 pc-post padding color blue</t>
  </si>
  <si>
    <t xml:space="preserve"> Upgrading of Pathway @ Purok Centro/ Maligaya Brgy. Paguiaba,Masantol Pampanga amounting to Two Hundred Thousand Pesos (PHP 200,000.00) Funded from 20% Municipal Development Fund 2020.  Description of Works to be Done: Hauling Works Masonry Works Embankme</t>
  </si>
  <si>
    <t xml:space="preserve"> Republic of the Philippines Province of Guimaras OFFICE OF THE BIDS AND AWARDS COMMITTEE INVITATION TO BID FOR    SUPPLY AND DELIVERY OF DRUGS AND MEDICINES Bid Ref. No. 2020-08-461 1.	The Province of Guimaras , through the General Fund intends to apply t</t>
  </si>
  <si>
    <t xml:space="preserve"> Purchase of Airconditioning unit for Barangay Oranbo, Pasig City</t>
  </si>
  <si>
    <t xml:space="preserve"> Invitation to Bid for  CY 2020 Basic Education Facilities Fund  Repair of Classrooms – Batch 2 (Pagasa Elementary School)  Project No.: BAT2020-08-04 The Department of Education (DepEd) Schools Division Office of Bataan through the Basic Educational Facil</t>
  </si>
  <si>
    <t xml:space="preserve"> Republic of the Philippines Province of Aurora Municipality of Maria Aurora BIDS AND AWARDS COMMITTEE INVITATION TO BID (First  Posting) The Local Government Unit of Maria Aurora, through its Bids and Awards Committee (BAC), invites suppliers/interested p</t>
  </si>
  <si>
    <t xml:space="preserve"> PROPOSED CONSTRUCTION OF FENCE, CANOPY, STORAGE AND OTHER IMPROVEMENT AT HEALTH SERVICES CENTER AT BARANGAY KATANGAWAN, GENERAL SANTOS CITY</t>
  </si>
  <si>
    <t xml:space="preserve"> Republic of the Philippines Province of Cavite City of General Trias Invitation to Bid for  Project Reference No. INFR-20-024- REPAIR OF EVACUATION CENTER AT TEJERO ELEMENTARY SCHOOL, BARANGAY TEJERO, CITY OF GEN. TRIAS, CAVITE 1.	The City Government Unit</t>
  </si>
  <si>
    <t xml:space="preserve"> Republic of the Philippines  Province of Cebu Municipality of Boljoon INVITATION TO BID FOR the purchase of I.T. Equipment 1.	The Municipality of Boljoon, through the SEF 2020, TF-20% LGU SHARE, CAPITAL OUTLAY Procurement of IT Equipment for DILG  in the </t>
  </si>
  <si>
    <t xml:space="preserve"> Backpack Gas Powered Leaf Blower Baby Chainsaw HD</t>
  </si>
  <si>
    <t xml:space="preserve"> RFQ 2020-174 PROJECT		:	LBP BAYAWAN BRANCH RENOVATION  IMPLEMENTOR		: 	LBP RESOURCES AND DEVELOPMENT CORPORATION OWNER			:	LAND BANK OF THE PHILIPPINES	 REQUEST FOR QUOTATION FOR	:	SUPPLY AND DELIVERY OF CONSTRUCTION MATERIALS DATE / TIME OF SUBMISSION		:</t>
  </si>
  <si>
    <t xml:space="preserve"> Republic of the Philippines Province of Guimaras OFFICE OF THE BIDS AND AWARDS COMMITTEE INVITATION TO BID FOR    SUPPLY AND DELIVERY OF DRUGS AND MEDICINES Bid Ref. No. 2020-08-472 1.	The Province of Guimaras , through the Revolving Fund intends to apply</t>
  </si>
  <si>
    <t xml:space="preserve"> Brief Description: Construction of Day Care Center which involves layout and excavation, embankment, soil poisoning and termite control, reinforcing steel bars, structural concrete, carpentry works, masonry works, doors, windows, window grilles, tile work</t>
  </si>
  <si>
    <t xml:space="preserve"> Department of Education Region VI-Western Visayas Division of Cadiz City Hiyang-Hiyang Elementary School  INVITATION TO BID FOR THE PROCUREMENT OF SUPPLIES FOR COVID-19 PANDEMIC PREPAREDNESS FOR THE YEAR 2020 1.	The Hiyang-Hiyang Elementary School of Cadi</t>
  </si>
  <si>
    <t xml:space="preserve"> 1 UNIT - REPAIR OF BACKHOE -ENGINE COVER AND ACCESSORIES REPAIR -MEAN PUMP AND CONVERSION ADAPTOR -GOOD CONDITION SURPLUS MEAN PUMP -TRAVEL GEAR BOX REPAIR AND REPLACE BEARING AND BUILD UP FRAME -TRAVEL MOTOR REPAIR AND REPLACE ORING AND OIL REAL -FABRICA</t>
  </si>
  <si>
    <t xml:space="preserve"> Municipality of Dumanjug, Cebu through the SB Resolution No. 2018-136 Series of 2018  intends to apply the sum of ONE MILLION FOUR HUNDRED THOUSAND PESOS ONLY (Php 1,400,000.00) being the Approved Budget for the Contract (ABC) to payments under the contra</t>
  </si>
  <si>
    <t xml:space="preserve"> Section I. Invitation to Bid   INVITATION TO BID FOR  Supply and Delivery of Construction Materials (Solar Street Lights) 1.	The Local Government Unit of Lambayong, through the Local Government Support Fund intends to apply the sum of Two Million Four Hun</t>
  </si>
  <si>
    <t xml:space="preserve"> 201 AGGREGATE BASE COARSE</t>
  </si>
  <si>
    <t xml:space="preserve"> Republic of the Philippines PROVINCE OF ZAMBOANGA SIBUGAY Municipality of Alicia OFFICE OF THE BIDS AND AWARDS COMMITTEE INVITATION TO APPLY FOR ELIGIBILITY AND TO BID  	The Local Government Unit of Alicia, Zamboanga  Sibugay, through the BIDS AND AWARDS </t>
  </si>
  <si>
    <t xml:space="preserve"> BIDS AND AWARDS COMMITTEE (BAC) Email address: bacregion2@yahoo.com Telefax No.: (078) 304-0560 INVITATION TO BID ITB No.: 2020-08-30 The Department of Agriculture – Regional Field Office No. 02 (DA-RFO 02) through its Bids and Awards Committee (BAC) invi</t>
  </si>
  <si>
    <t xml:space="preserve"> Section I. Invitation to Bid   INVITATION TO BID FOR  Labor for Installation of Solar Street Lights  1.	The Local Government Unit of Lambayong, through the Local Government Support Fund intends to apply the sum of Eight Hundred Fifty Six Thousand Nine Hun</t>
  </si>
  <si>
    <t xml:space="preserve"> Brief Description: Construction of Box Culvert which involves project billboard/signage, safety &amp; health, temporary facility, A. Construction of Box Culvert;  excavation and removal of existing concrete structure and obstruction, reinforcing steel bar, st</t>
  </si>
  <si>
    <t xml:space="preserve"> Proposed Purchase of Street Lights</t>
  </si>
  <si>
    <t xml:space="preserve"> Item No.	Description	Unit	Quantity 1	Clip Back Fold 50mm	Box	3 2	Scissors big	Piece	4 3	Epson T664 ink Black	Piece	3 4	Epson T664 ink cyan	Piece	2 5	Epson T664 ink Magenta	Piece	2 6	Epson T664 ink Yellow	Piece	2 7	Bond Paper Legal Size (8.5 x 13)	Ream	150</t>
  </si>
  <si>
    <t xml:space="preserve"> Republic of the Philippines Municipality of Tabuelan Invitation to Bid  The Philippine Government Electronic Procurement System Office – Procurement Service invites PhilGEPS registered suppliers to bid for the hereunder items Attached: INTERESTED BIDDERS </t>
  </si>
  <si>
    <t xml:space="preserve"> A) REQUEST FOR QUOTATION 1. 32 Bottles Space Spray Concentrate Insecticide,  Chemical, Odorless, Water based (1 liter/bottle) 2. 11 Cont. Multi-insect killer, Water based (1 ltr. / container) 3. 40 Cont. Rat glue (1 ltr. / container) 4. 3 Pcs. Polisher’s </t>
  </si>
  <si>
    <t xml:space="preserve"> Dress Checken (Not Less Than 1 kl) Beef Lean Meat</t>
  </si>
  <si>
    <t xml:space="preserve"> Brief Description: Construction of Covered Court which involves safety &amp; health, temporary facility, project billboard/signage, A. Covered Court; Lay-out and excavation, embankment/backfilling works, reinforcing steel, structural concrete, formworks and s</t>
  </si>
  <si>
    <t xml:space="preserve"> STONE MASONRY AND RUBBLES CONCRETE WORKS MATERIALS.</t>
  </si>
  <si>
    <t xml:space="preserve"> Request for Quotation for the Procurement of Agricultural Supplies (Inorganic Fertilizers) to be used as inputs for the implementation of Community-based Participatory Action Research (CPAR) Project in Valencia, Negros Oriental for CY 2020 1.	The Departme</t>
  </si>
  <si>
    <t xml:space="preserve"> 1	Unit	7.5 Ton Aircondition, Floor Mounted , 220V/50-60Hz, ABC 200,000.00/unit 		with 50ft installation of pipings (Manual)				 		Inclusions:				 		• Circuit Breaker and Angular Bracket				 		• Price Shall Include delivery &amp; installation				 		of unit to </t>
  </si>
  <si>
    <t xml:space="preserve"> INVITATION TO BID The Municipality of Mutia through its Bids and  Awards Committee Invites  contractors to apply for eligibility and to bid for the project reflected hereunder; NAME OF PROJECT	:  Procurement of Supplies for Person's w/ Disability [PWD] ID</t>
  </si>
  <si>
    <t xml:space="preserve"> Invitation to Bid for  CY 2020 Basic Education Facilities Fund  Repair of Classrooms – Batch 2 (Pantalan Luma Elementary School)  Project No.: BAT2020-08-05 The Department of Education (DepEd) Schools Division Office of Bataan through the Basic Educationa</t>
  </si>
  <si>
    <t xml:space="preserve"> The MUNICIPALITY OF CALINTAAN, through the DILG AM 2020 intends to apply the sum of Two Million Five Hundred Fifty Thousand Pesos Only (Php2,550,000.00) being the Approved Budget for the Contract (ABC) to payment  under the Contract No. 2020-08-35 for the</t>
  </si>
  <si>
    <t xml:space="preserve"> Brief Description: Concreting of Road which involves project billboard/signage, temporary facility, safety &amp; health, barricades, removal of the existing old dilapidated road pavement, subgrade preparation, slope protection, aggregate subbase course(loose </t>
  </si>
  <si>
    <t xml:space="preserve"> Bawo, Sogod, Cebu						Contract Ref. No.-02B-2020 Road Concreting of Sitio Bantolinao, Barangay Bawo, Sogod, Cebu 		 Standard Form Number: SF-INFR-05 Revised on: July 29, 2004 INVITATION TO BID The Bawo, Sogod, Cebu  through its Bids and Awards Committee </t>
  </si>
  <si>
    <t xml:space="preserve"> Fresh Fish (Barilison) Pusit (Medium Size)</t>
  </si>
  <si>
    <t xml:space="preserve"> Section I. Invitation to Bid Republic of the Philippines Province of Bukidnon MUNICIPALITY OF TALAKAG Invitation to Bid for  Construction of Public Market Drainage System – Phase I 1.	The Municipality of Talakag, through the 0-90-000, CY 2020 intends to a</t>
  </si>
  <si>
    <t xml:space="preserve"> Brief Description: Construction of Covered Court which involves safety &amp; health, temporary facility, project billboard/signage, A. Covered Court; layout and excavation, reinforcing steel, formworks and scaffoldings, structural concrete, steel works, roofi</t>
  </si>
  <si>
    <t xml:space="preserve"> PROJECT: CONCRETING OF BARANGAY ROAD LOCATION: PUROK 7, BRGY. CANAAN EAST, RIZAL, UEVA ECIJA DESCRIPTION: L= 203.0M SOURCE OF FUND: 20% MUNICIPAL DEVELOPMENT FUND ABC: PHP 797,126.29</t>
  </si>
  <si>
    <t xml:space="preserve"> Repair and Maintenance of Barangay Vehicle Starex SKU 518</t>
  </si>
  <si>
    <t xml:space="preserve"> Name of Project  	: Procurement of Two (2) units Risograph Machine Location		       : Milagros,Masbate Brief Description	:&gt; Master-making/Printing Methods: High-speed digital master-making/fully automatic printing 	Originatl Type: Sheet 	Original Paper </t>
  </si>
  <si>
    <t xml:space="preserve"> Pls. quote the items listed below: 1.  Glass Pulverizer (1-2 hp Electric Motor Single Phase)  - 1 unit 2.  Plastic Moulder for Flower Vase  -  4 pcs. NOTE:                   Opening of Bids will be on September 1, 2020 @ 1:00 pm</t>
  </si>
  <si>
    <t xml:space="preserve"> Republic of the Philippines Province of Guimaras OFFICE OF THE BIDS AND AWARDS COMMITTEE INVITATION TO BID FOR    SUPPLY AND DELIVERY OF DRUGS AND MEDICINES Bid Ref. No. 2020-08-462 1.	The Province of Guimaras , through the General Fund intends to apply t</t>
  </si>
  <si>
    <t xml:space="preserve"> Republic of the Philippines DEPARTMENT OF PUBLIC WORKS AND HIGHWAYS NUEVA VIZCAYA 2ND DISTRICT ENGINEERING OFFICE REGIONAL OFFICE II Dupaxdel Norte, Nueva Vizcaya INVITATION TO BID The DPWH-Nueva Vizcaya 2nd District Engineering Office, through its Bids a</t>
  </si>
  <si>
    <t xml:space="preserve"> A) REQUEST FOR QUOTATION 1. 200 Copy Printing of the National Action Plan on Countering and Preventing Violent Extremism (NAP P/CVE) Note: Delivery terms 15 Calendar Days B) USE COMPANY LETTERHEAD FOR YOUR QUOTATION &amp; ADDRESS TO: DIR. JAMES JUPER B. AGUIL</t>
  </si>
  <si>
    <t xml:space="preserve"> Powered Speaker Thump12A *1,300 watts if high-output power CLass D amplifier with dynamic Bass 12'low-frequency driver and 1.4 titanium dome compression driver  *Built-in 2 channel *XLR Output Powered Sub Speaker 18" woofer Power Rate 500watts/1000 Class </t>
  </si>
  <si>
    <t xml:space="preserve"> Invitation to Bid for  CY 2020 Basic Education Facilities Fund  Repair of Classrooms – Batch 2 (Baseco Elementary School)  Project No.: BAT2020-08-06 The Department of Education (DepEd) Schools Division Office of Bataan through the Basic Educational Facil</t>
  </si>
  <si>
    <t xml:space="preserve"> Republic of the Philippines Province of Aurora Municipality of Maria Aurora BIDS AND AWARDS COMMITTEE INVITATION TO BID (Second  Posting) The Local Government Unit of Maria Aurora, through its Bids and Awards Committee (BAC), invites suppliers/interested </t>
  </si>
  <si>
    <t xml:space="preserve"> METRO SIQUIJOR WATER DISTRICT BIDS &amp; AWARDS COMMITTEE Siquijor, Siquijor The Metro Siquijor Water District (MSWD) through the Bids &amp; Awards Committee (BAC) will be undertaking the procurement of the hereunder project: Name of Project: Procurement of 2 set</t>
  </si>
  <si>
    <t xml:space="preserve"> A) REQUEST FOR QUOTATION 1. 40 sq.m. Supply and Installation of Fabric Padded Walls on 1” thk. Foam and plywood backing Note: Verify approved fabric and actual measurements on site Note: Delivery Period: Fifteen (15) Calendar days  B) USE COMPANY LETTERHE</t>
  </si>
  <si>
    <t xml:space="preserve"> Nahus-an, Sogod, Cebu						Contract Ref. No.-01N-2020 Construction of  Nahus-an Barangay Hall (Phase II), Nahus-an, Sogod, Cebu 		 Standard Form Number: SF-INFR-05 Revised on: July 29, 2004 INVITATION TO BID The Nahus-an, Sogod, Cebu  through its Bids and</t>
  </si>
  <si>
    <t xml:space="preserve"> Republic of the Philippines								 Province of Negros Occidental								 Municipality of La Castellana								 Bids and Awards Committee								 								 INVITATION TO APPLY FOR ELIGIBILITY AND TO BID								 								 Name of Project: 		PURCHASE OF DISIN</t>
  </si>
  <si>
    <t xml:space="preserve"> Order/download attached Invitation to Bid and print-out Abstract of Bids from Philgeps.</t>
  </si>
  <si>
    <t xml:space="preserve"> Invitation to Bid for  CY 2020 Basic Education Facilities Fund  Repair of Classrooms – Batch 2 (Lucanin Elementary School)  Project No.: BAT2020-08-07 The Department of Education (DepEd) Schools Division Office of Bataan through the Basic Educational Faci</t>
  </si>
  <si>
    <t xml:space="preserve"> INVITATION TO BID FOR  1.	The Municipal Government of Coron, Palawan, through the 2020 Annual Municipal Budget intends to apply the sum of Two Hundred Twenty Thousand Seven Hundred Seventy Pesos (PhP220,770.00) being the Approved Budget for the Contract (</t>
  </si>
  <si>
    <t xml:space="preserve"> Brief Description: Construction of Covered Stage which involves safety &amp; health, temporary facility, project billboard/signage, lay-out and excavation, embankment/backfilling works, reinforcing steel, structural concrete, masonry works, steel works, roofi</t>
  </si>
  <si>
    <t xml:space="preserve"> Brief Description: Construction of Drainage System which involves removal of portion existing old non-function drainage system, portion of existing road pavement and entrance pavement, excavation, reinforcing steel, structural concrete, project billboard/</t>
  </si>
  <si>
    <t xml:space="preserve"> Invitation to Bid for the  SUPPLY AND DELIVERY OF OFFICE SUPPLIES AND EQUIPMENT FOR DEPED 1.	The LGU-RAMON, ISABELA, through the Budget for the contract approved by the Sanggunian intends to apply the sum of Php1,950,000.00 being the Approved Budget for t</t>
  </si>
  <si>
    <t xml:space="preserve"> 1,000 pcs. Wooden Medals (Thick) and 700 pcs. Wooden Medals (Thin)</t>
  </si>
  <si>
    <t xml:space="preserve"> Brief Description: Construction of Drainage System which involves excavation and removal of concrete pavement, reinforcing steel, structural concrete, project billboard/signage, safety &amp; health and temporary facility. Amount of Bidding Documents: P3,960.0</t>
  </si>
  <si>
    <t xml:space="preserve"> Republic of the Philippines Bangsamoro Autonomous Region in Muslim Mindanao Provincial Government of Maguindanao BIDS AND AWARDS COMMITTEE Buluan, Maguindanao INVITATION TO BID FOR SUPPLY AND DELIVERY OF PERSONAL PROTECTIVE EQUIPMENTS (PPE’S)  1.	The Prov</t>
  </si>
  <si>
    <t xml:space="preserve"> materials for Provision for the Enhancement Business Kits of 51 Beneficiaries</t>
  </si>
  <si>
    <t xml:space="preserve"> Specifications: i7 10th Gen CPU 15" - 15.6" Monitor 8-16GB RAM 1TB HDD 256-512 GB SSD Windows 10 Licensed MS Office 2013</t>
  </si>
  <si>
    <t xml:space="preserve"> Republic of the Philippines Bangsamoro Autonomous Region in Muslim Mindanao Provincial Government of Maguindanao BIDS AND AWARDS COMMITTEE Buluan, Maguindanao INVITATION TO BID FOR SUPPLY AND DELIVERY OF PERSONAL PROTECTIVE EQUIPMENTS (PPE’S) and DISINFEC</t>
  </si>
  <si>
    <t xml:space="preserve"> Invitation to Bid for  CY 2020 Basic Education Facilities Fund  Repair of Classrooms – Batch 2 (Daan Pare Elementary School)  Project No.: BAT2020-08-08 The Department of Education (DepEd) Schools Division Office of Bataan through the Basic Educational Fa</t>
  </si>
  <si>
    <t xml:space="preserve"> Brief Description: Construction of Slope Protection which involves excavation, reinforcing steel, structural concrete, rubble concrete, concrete piles (Cast-in-Place), project billboard/signage, safety &amp; health and temporary facility. Amount of Bidding Do</t>
  </si>
  <si>
    <t xml:space="preserve"> Procurement of Office Supplies for Elementary and Secondary schools, Vintar, Ilocos Norte</t>
  </si>
  <si>
    <t xml:space="preserve"> Improvement of Slaughter House at Brgy. Dist. III Scope of Works: Drilling (0.150m Dia. Hole Deepwell), Casing Pipe, Sunction Pipe, Water Pump, &amp; pressure Tank, 0.125m x 1.5m Pedestial, Supply Pipe from water Pump to Elevated Tank, Const. of Field Office </t>
  </si>
  <si>
    <t xml:space="preserve"> PROVINCE OF CAGAYAN Municipality of Claveria Barangay STO. TOMAS INVITATION TO BID August 18, 2020 Barangay Sto. Tomas, Claveria, Cagayan intends to apply the sum of FIFTY EIGHT THOUSAND ONE HUNDRED THIRTY PESOS ONLY(58,130.00)  being the Approved Budget </t>
  </si>
  <si>
    <t xml:space="preserve"> TUBELESS TIRE, 195/70 R15 Please attach the following documents: 1. Updated Tax Clearance 2. Updated Mayor’s permit 3. SEC Cert./DTI permit 4. For 50,000.00 and above,  Updated PHILGEPS Certificate</t>
  </si>
  <si>
    <t xml:space="preserve"> FOR SPECIFICATIONS : PLEASE CONTACT: MA.LUISA L. QUILESTINO BAC SECRETARIAT TEL.NO. (032) 475-9118</t>
  </si>
  <si>
    <t xml:space="preserve"> Republic of the Philippines OFFICE OF THE PUNONG BARANGAY 	Barangay MAIKAY	 	Municipality of Tudela	 Province of Misamis Occidental INVITATION TO BID The Office of the Punong Barangay of Barangay Maikay through its Bids and Awards Committee [BAC], invites</t>
  </si>
  <si>
    <t xml:space="preserve"> Plastic and Cellophane Pulverizer Specification: 14HP Air-cooled Diesel Engine with Electric Starter Cart Wheel V-belt Driven Cylinder with Cutting Blades</t>
  </si>
  <si>
    <t xml:space="preserve"> Brief Description: Site Development which involves project billboard/signage,safety &amp; health, temporary facility, A. Construction of Fence; layout &amp; excavation, reinforcing steel bar, structural concrete, masonry works, grille works, painting works, B. Re</t>
  </si>
  <si>
    <t xml:space="preserve"> Republic of the Philippines Province of Davao del Sur Municipality of Matanao BARANGAY SAUB -oOo- INVITATION TO BID The Barangay Government Unit of Saub, Matanao, Davao del Sur, through its Bids and Awards Committee (BAC), invites suppliers/ distributors </t>
  </si>
  <si>
    <t xml:space="preserve"> San Pedro, Bato, Catanduanes Construction of 2.0 x 10.0 I.m. embankment protection 1.	10.04 cu.m. Structure Excavation (common soil) 2.	8.80 cu.m. Rubble Concrete 3.	24.48 cu.m. Grouted Riprap (class A) 4.	8.16 cu.m. Concrete Slope Protection  5.	1 ea Pro</t>
  </si>
  <si>
    <t xml:space="preserve"> Invitation to Bid for  CY 2020 Basic Education Facilities Fund  Repair of Classrooms – Batch 2 (Diwa Elementary School)  Project No.: BAT2020-08-10 The Department of Education (DepEd) Schools Division Office of Bataan through the Basic Educational Facilit</t>
  </si>
  <si>
    <t xml:space="preserve"> INVITATION TO BID FOR THE Improvement of Access Road - MBSNATHS LGU-Kabugao, Apayao 1.	The Local Government Unit of Kabugao, through Appropriation Ordinance No. 02-Series of 2019 (FY 2020 Annual Budget – 20% MDF)   intends to apply the sum of Two Million </t>
  </si>
  <si>
    <t xml:space="preserve"> NVITATION TO BID FOR  1.	The Municipal Government of Coron, Palawan, through the 2020 Annual Municipal Budget intends to apply the sum of Three Hundred Fifty Eight Thousand Nine Hundred Twenty Pesos (PhP358,920.00) being the Approved Budget for the Contra</t>
  </si>
  <si>
    <t xml:space="preserve"> MATERIALS</t>
  </si>
  <si>
    <t xml:space="preserve"> INVITATION TO BID FOR THE Construction of Concrete Footstep with Railings LGU-Kabugao, Apayao 1.	The Local Government Unit of Kabugao, through Resolution No. 44 series of 2020   intends to apply the sum of Nine Hundred Thousand Pesos (₱900,000.00) being t</t>
  </si>
  <si>
    <t xml:space="preserve"> Rehabilitation of Farm to Market Road from Brgy. Obo to Siay, San Miguel, Cat. Scope of Works: Roadway Excavation, Roadbed Preparation, Aggregate Base Coarse, Portland Cement Concrete Pavement, RCPC @ Bagong Lipunan St., RCPC @ Sta. 00=032.87 &amp; Sta 00+065</t>
  </si>
  <si>
    <t xml:space="preserve"> Request for Quotation for the Procurement of Agricultural Supplies (Inorganic Fertilizers) to be used as Inputs for on-farm corn-legumes (Peanut &amp;Mungbean) rotation technology demonstration and corn+legume intercropping trial… 1.	The Department of Agricul</t>
  </si>
  <si>
    <t xml:space="preserve"> 1.	The Municipal Government of Roxas, Isabela has received funding assistance from the Provincial Government   and it intends to apply the sum of THREE  MILLION ONE HUNDRED FIFTY  THOUSAND  PESOS ONLY  (PHP3,150,000.00)  being the Approved Budget for the </t>
  </si>
  <si>
    <t xml:space="preserve"> Pls. quote the items listed below: 1.  Concrete Cutter  -  1 unit          Product Specification:      Automation Grade: semi automatic      Cutting Matrial: concrete      Condition: new      Phase: 3 phase      Cutting Speed: 25 mph      Voltage: 240    </t>
  </si>
  <si>
    <t xml:space="preserve"> Republic of the Philippines														 PROVINCE OF ZAMBOANGA SIBUGAY														 Municipality of Payao														 														 INVITATION TO BID														 										PR2020-08-18-115				 The Local Government Unit of Payao, Zamboanga Sibugay, </t>
  </si>
  <si>
    <t xml:space="preserve"> Please see attached document</t>
  </si>
  <si>
    <t xml:space="preserve"> Republic of the Philippines Bangsamoro Autonomous Region in Muslim Mindanao Provincial Government of Maguindanao BIDS AND AWARDS COMMITTEE Buluan, Maguindanao INVITATION TO BID FOR SUPPLY AND DELIVERY OF IT EQUIPMENT’S 1.	The Provincial Government of Magu</t>
  </si>
  <si>
    <t xml:space="preserve"> Invitation to Bid for  CY 2020 Basic Education Facilities Fund  Repair of Classrooms – Batch 2 (Pablo Roman Elementary School)  Project No.: BAT2020-08-09 The Department of Education (DepEd) Schools Division Office of Bataan through the Basic Educational </t>
  </si>
  <si>
    <t xml:space="preserve"> Department of Education Region VI-Western Visayas Division of Cadiz City Hiyang-Hiyang Elementary School  INVITATION TO BID FOR THE PROCUREMENT OF SUPPLIES FOR MODULES FOR THE YEAR 2020 1.	The Hiyang-Hiyang Elementary School of Cadiz City, through the Sch</t>
  </si>
  <si>
    <t xml:space="preserve"> Contract ID			:	20EG0094					 Contract Name  			:	Construction of 2STY4CL, Mateo Jagmis MES, 					 Contract Location			:	Brgy. San Miguel, Puerto Princesa City, Palawan					 Brief Description			:	Construction of School Building					 Approved Budget for th</t>
  </si>
  <si>
    <t xml:space="preserve"> I. Labor and Materials 1 Lot  A. Servicing, Maintenance and Testing a. Power Transformer 1x5 MVA, Rated Voltage, 69kV/13.2kV b. Disconnect Switch c. SF6 Circuit Breaker d. Current Transformer e. Medium Voltage Switchgear f. Voltage Transformer g. Battery </t>
  </si>
  <si>
    <t xml:space="preserve"> PR # 319 -020 INVITATION TO BID (INFRA) The Municipality of Sibonga through the Trust Fund intends to apply the sum of Two hundred ninety-six thousand eight hundred sixty-four &amp; 68/100 pesos only (296,864.68) being the Approved Budget for the Contract (AB</t>
  </si>
  <si>
    <t xml:space="preserve"> Republic of the Philippines PROVINCE OF ZAMBOANGA SIBUGAY Municipality of Roseller T. Lim OFFICE OF THE BAC CHAIRMAN Barangay New Antique INVITATION TO BID 						Aug. 18, 2020 To All Interested Bidders: Notice is hereby served that sealed bid be received </t>
  </si>
  <si>
    <t xml:space="preserve"> The Local Government Unit of Bula is inviting interested PhilGEPS accredited contractors to apply for eligibility and to submit complete bid for the CONTINUATION OF PHASE II SB OFFICE EXTENTION at LGU-Bula Compound, Salvacion, Bula, Camarines Sur under th</t>
  </si>
  <si>
    <t xml:space="preserve"> 1. The Local Government Unit of Amulung, Cagayan through the Provincial  Fund  intends to apply the sum of Php 163,400.00 being the Approved Budget for the Contract (ABC) to payments under the contract for Supply &amp; Delivery of Materials for the Repair and</t>
  </si>
  <si>
    <t xml:space="preserve"> Please see attached Request for Quotation. ----------------------PGO--------------------</t>
  </si>
  <si>
    <t xml:space="preserve"> INVITATION TO BID FOR THE Construction of Potable Water Supply Level II LGU-Kabugao, Apayao 1.	The Local Government Unit of Kabugao, through Appropriation Ordinance No. 02-Series of 2019 (FY 2020 Annual Budget – 20% MDF)   intends to apply the sum of Five</t>
  </si>
  <si>
    <t xml:space="preserve"> Republic of the Philippines Province of Leyte Municipality of Hilongos INVITATION TO RE-BID FOR THE PURCHASE OF LAPTOP FOR EBEIS ROOM OF HILONGOS SOUTH CENTRAL SCHOOL 1.  The Local Government Unit of Hilongos, through SEF-CURRENT APPROPRIATION intends to </t>
  </si>
  <si>
    <t xml:space="preserve"> CABINET: (see attached photo for specification #1) CLOSET: Movable, with .30 m 1.0 m vanity mirror and hardware such as piano hinge, cabinet lock set, door pulled and stopper and 1 1/2"" dia., stainless steel hanger rod, 18"" x 48"" x 80"" (see attached p</t>
  </si>
  <si>
    <t xml:space="preserve"> SAN CARLOS CITY WATER DISTRICT Burgos – Padlan St., San Carlos City, Pangasinan Tel. Nos. (075) 637-6044 / 955-5748 Email Address: sccwd@hotmail.com / Website Address : www.sccwd.gov.ph BIDS AND AWARDS COMMITTEE (BAC) Bids and Awards Committee INVITATION </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</si>
  <si>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</si>
  <si>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Please see attached Request for Quotation. ----------------------IMH---------------------</t>
  </si>
  <si>
    <t xml:space="preserve"> Contract ID			:	20EG0092					 Contract Name  			:	Concreting of Brgy. Tagpait to Fish Landing FMR, 					 Contract Location			:	Station 00+000 - 00+963, Brgy. Tagpait, Aborlan, Palawan					 Brief Description			:	Concreting of Farm to Market Road					 Appro</t>
  </si>
  <si>
    <t xml:space="preserve"> Supply and Delivery of One (1) Lot Oil and Spare parts Rescue Speedboat. The Municipal Government of Coron, through the 2020 Annual Municipal Budget intends to apply the sum of TWO HUNDRED THREE THOUSAND THREE HUNDRED TWENTY-NINE PESOS (Php203,329.00) bei</t>
  </si>
  <si>
    <t xml:space="preserve"> The Municipal Government of Aloguinsan invites prospective bidders to bid for the project Supply and Delivery Generator Set for LDRRM. Source of Fund: 5% RESERVE FY 2020 ABC: Php 320,000.00 The complete schedule of activities will be as follows: 1. Submis</t>
  </si>
  <si>
    <t xml:space="preserve"> Republic of the Philippines Region XII Province of Cotabato City of Kidapawan OFFICE OF THE BIDS AND AWARD COMMITTEE August 19, 2020 INVITATION TO BID FOR  SUPPLY AND DELIVERY OF MOTORCYCLES FOR THE USE OF THE CDRRMO/PUBLIC SAFETY, KIDAPAWAN CITY The CITY</t>
  </si>
  <si>
    <t xml:space="preserve"> Contract ID			:	20EG0093					 Contract Name  			:	Concreting of Purok Dam-ay, Sitio Tagumpay, Brgy. Inagawan Sub FMR, 					 Contract Location			:	Sta. 000+000 - Sta. 000+778.00, Brgy. Inagawan Sub, Puerto Princesa City, Palawan					 Brief Description			:	</t>
  </si>
  <si>
    <t xml:space="preserve"> 209   head      large white piglets                      (average age: 45 to 50 days, ave. weight: 10 kgs to 18 kgs, hog cholera vaccinated)</t>
  </si>
  <si>
    <t xml:space="preserve"> Army Vission: “By 2028, a world-class Army that is a source of national pride.” Army Core Purpose: “Serving the people, Securing the land.” H E A D Q U A R T E R S 6TH INFANTRY (KAMPILAN) DIVISION, PHILIPPPINE ARMY 6ID SPECIAL BIDS AND AWARD COMMITTEE Cam</t>
  </si>
  <si>
    <t xml:space="preserve"> DESCRIPTION: I.   Structure Excavation II.  Reinforcing Steel Bar III. Form Works IV.  Concrete Works V.   Masonry Works VII.Plastering Works  (Portland Cement Concrete Pavement (0.15m)</t>
  </si>
  <si>
    <t xml:space="preserve"> Title:Procurement of 1 Job Consultancy Services under P.R.No. 2793-2020-CMO-Provision for Priority Development Project (Continuing) Total ABC: Php 700,000.00</t>
  </si>
  <si>
    <t xml:space="preserve"> The Municipality of Silang, Cavite, through its Bids and Awards Committee (BAC), invites suppliers/ manufacturers/ distributors/ contractors to apply for eligibility and to bid for the projects: Supply and Delivery of one (1) unit Multi-Purpose Vehicle fo</t>
  </si>
  <si>
    <t xml:space="preserve"> Procurement of Office Equipment</t>
  </si>
  <si>
    <t xml:space="preserve"> 4,500 Sacks RICE</t>
  </si>
  <si>
    <t xml:space="preserve"> Procurement of Office Furniture and Fixture</t>
  </si>
  <si>
    <t xml:space="preserve"> Republic of the Philippines Region XII Province of Cotabato City of Kidapawan OFFICE OF THE BIDS AND AWARD COMMITTEE August 19, 2020 INVITATION TO BID FOR  SUPPLY AND DELIVERY OF OFFICE AND JANITORIAL SUPPLIES FOR THE USE OF THE KIDAPAWAN CITY DISTRICT JA</t>
  </si>
  <si>
    <t xml:space="preserve"> Republic of the Philippines Region XII Province of Cotabato City of Kidapawan OFFICE OF THE BIDS AND AWARD COMMITTEE August 19, 2020 INVITATION TO BID FOR  SUPPLY AND DELIVERY OF OFFICE AND JANITORIAL SUPPLIES FOR THE COMELEC OFFICE, PESO, DILG, CITY HEAL</t>
  </si>
  <si>
    <t xml:space="preserve"> ITEM NO.	QUANTITY	UNIT	DESCRIPTION 1	1	PC	    Submersible Pump 4”  (Stainless steel impeller, shaft and intermediate chamber)</t>
  </si>
  <si>
    <t xml:space="preserve"> 1 Lot FISHING BOAT, GEARS AND ACCESSORIES</t>
  </si>
  <si>
    <t xml:space="preserve"> Project Location: Brgy. Cagandungan, Luna, Apayao Fabrication of 2 units Movable Basketball Post with Fiber Glass Back Board</t>
  </si>
  <si>
    <t xml:space="preserve"> Republic of the Philippines MUNICIPALITY OF SANTA CRUZ Province of Marinduque BARANGAY BANGCUANGAN Office of the Bids and Awards INVITATION TO BID FOR  Supply of Materials for  Improvement of Health Center (ITB No.: 2020-001) 1.	The Barangay Bangcuangan, </t>
  </si>
  <si>
    <t xml:space="preserve"> BAC-VARIOUS OFFICE SUPPLIES</t>
  </si>
  <si>
    <t xml:space="preserve"> QUANTITY	UNIT OF ISSUE	STOCK	DESCRIPTION 1011.00	bags	1	Portland Cement 62.00	cu.m.	2	Riversand 91.00	cu.m.	3	Coarse Aggregate 816.00	kgs	4	16mm Ø X 6.0 m deformed bars standard grade 1941.00	kgs	5	10mm Ø X 6.0 m deformed bars standard grade 70.00	kgs	6	#</t>
  </si>
  <si>
    <t xml:space="preserve"> 1st BIDDING The Barangay Government of Capacuan, Paracale, Camarines Norte invites all legitimate suppliers to submit their quotation for the project of Barangay Capacuan, Paracale, Camarines Norte. INSTALLATION OF SOLAR STREET LIGHT PUROK 1 TO PUROK 6 92</t>
  </si>
  <si>
    <t xml:space="preserve"> Republic of the Philippines Region XII Province of Cotabato City of Kidapawan OFFICE OF THE BIDS AND AWARD COMMITTEE August 19, 2020 INVITATION TO BID FOR  SUPPLY AND DELIVERY OF LAPTOPS FOR THE USE OF THE CITY HEALTH OFFICE AND KIDAPAWAN CITY BLOOD CENTE</t>
  </si>
  <si>
    <t xml:space="preserve"> REPUBLIC OF THE PHILIPPINES PROVINCE OF PANGASINAN MUNICIPALITY OF TAYUG BARANGAY POBLACION ‘A’ INVITATION TO BID  FOR  THE SUPPLY AND DELIVERY OF EQUIPMENT FOR E-LIBRARY OF BARANGAY POBLACION ‘A’, TAYUG, PANGASINAN 1.	The BARANGAY POBLACION ‘A’ – TAYUG P</t>
  </si>
  <si>
    <t xml:space="preserve"> REPUBLIC OF THE PHILIPPINES PROVINCE OF PANGASINAN MUNICIPALITY OF TAYUG BARANGAY POBLACION ‘A’ INVITATION TO BID  FOR  THE REHABILITATION OF BARANGAY MULTI-PURPOSE BUILDING OF BARANGAY POBLACION A, TAYUG, PANGASINAN 1.	The BARANGAY POBLACION A – TAYUG PA</t>
  </si>
  <si>
    <t xml:space="preserve"> Republic of the Philippines MUNICIPALITY OF SANTA CRUZ Province of Marinduque BARANGAY BANGCUANGAN Office of the Bids and Awards INVITATION TO BID FOR  Supply of Materials for  Construction of Separate Comfort Room for Male &amp; Female (ITB No.: 2020-002) 1.</t>
  </si>
  <si>
    <t xml:space="preserve"> NOTE: Interested Bidders may obtain further information from the Office of the BAC Secretariat, San Miguel Bulacan, and Inspect the Bidding Documents at the address given below during office hours (8am-12noon to 1pm- 5pm).  All Bidding Documents are for p</t>
  </si>
  <si>
    <t xml:space="preserve"> INVITATION TO BID CONSTRUCTION OF ONE (1) UNIT THREE (3) CLASSROOM SCHOOL BUILDING, ALEGRIA, NATIONAL HIGH SCHOOL, SEF, BARANGAY ALEGRIA, SFADS The Municipal Government of San Francisco, Agusan del Sur, through the BIDS and AWARDS COMMITTEE (BAC) intends </t>
  </si>
  <si>
    <t xml:space="preserve"> Republic of the Philippines  Province of Pangasinan MUNICIPALITY OF SUAL BIDS AND AWARDS COMMITTEE Barangay Cabalitian Invitation to Bid for INSTALLATION OF SOLAR LIGHT Cabalitian, Sual, Pangasinan 1.	The Barangay Government Unit of Cabalitian, Sual, Pang</t>
  </si>
  <si>
    <t xml:space="preserve"> Proposed Pathwalk Going to Cordial Compound San Felipe, Naga City</t>
  </si>
  <si>
    <t xml:space="preserve"> Republic of the Philippines Province of Leyte Municipality of Hilongos INVITATION TO RE-BID FOR THE PURCHASE OF TWO (2) DESKTOP COMPUTER FOR LAMAK CS 1.  The Local Government Unit of Hilongos, through SEF-CURRENT APPROPRIATION intends to apply the sum SIX</t>
  </si>
  <si>
    <t xml:space="preserve"> Republic of the Philippines Region XII Province of Cotabato City of Kidapawan OFFICE OF THE BIDS AND AWARD COMMITTEE August 19, 2020 INVITATION TO BID FOR  SUPPLY AND DELIVERY OF MEDICAL EQUIPMENTS FOR THE USE OF THE CDRRMO/CALL 911, KIDAPAWAN CITY The CI</t>
  </si>
  <si>
    <t xml:space="preserve"> PROCUREMENT OF OFFICE SUPPLIES 2020</t>
  </si>
  <si>
    <t xml:space="preserve"> Digital duplicator with USB/PC Connectivity: minimum 75- 100ppm, 300x300 dpi, min. 800 ink supply, master supply:200 cuts, min. 1000 sheets paper feed tray, min. 800 sheets receiving tray 6 lots Digital Multifunction 3 in 1 Copiers (print,scan,copy): Prin</t>
  </si>
  <si>
    <t xml:space="preserve"> Purchase of Offices Supplies, Equipment &amp; Construction Materials (SEF-2020) Office Supplies, equipment &amp; Const. mtrls. Source of Fund: SEF – 2020 (Special Education Fund)  Prospective bidders should have experience in undertaking a similar project within </t>
  </si>
  <si>
    <t xml:space="preserve"> INVITATION TO BID 	The Schools Division Office of Iriga City through the Basic Education – Learning Continuity Plan (BE-LCP) invites Supplier to apply for eligibility and to bid for the hereunder project: Name of the Project	:  	PROCUREMENT AND DELIVERY O</t>
  </si>
  <si>
    <t xml:space="preserve"> 1 Lot FISHING EQUIPMENT, ACCESSORIES AND FISHING GEARS</t>
  </si>
  <si>
    <t xml:space="preserve"> Republic of the Philippines										 Department Of Public Works and Highways										 Negros Oriental 1st  District Engineering Office										 Tinaogan, Bindoy, Negros Oriental										 Name of Procuring Entity :		Request for Quotation (PR No.) :			2</t>
  </si>
  <si>
    <t xml:space="preserve"> I. DEMOLITION OF OBSTRUCTION II. EXCAVATION III. FORMWORKS IV. WASTE DISPOSAL V.CONCRETE WORKS</t>
  </si>
  <si>
    <t xml:space="preserve"> Republic of the Philippines Province of Leyte Municipality of Hilongos INVITATION TO RE-BID FOR THE PURCHASE OF ONE (1) UNIT LAPTOP FOR LAMAK CS 1.  The Local Government Unit of Hilongos, through SEF-CURRENT APPROPRIATION intends to apply the sum THIRTY T</t>
  </si>
  <si>
    <t xml:space="preserve"> Procurement of Office Equiptment for Disaster Preparedness; Fire Extinguizer, Camera (DSLR), Heavy Duty Extension Ladder and generator Set (Diesel) Source of Fund: MDRRM Trust Fund  Prospective bidders should have experience in undertaking a similar proje</t>
  </si>
  <si>
    <t xml:space="preserve"> Proposed Road Concreting Corner Panganiban Residence Bagong Sirang, San Felipe Naga City</t>
  </si>
  <si>
    <t xml:space="preserve"> PROCUREMENT OF ECCD CECKLIST, HYGIENE KIT, EATING UTENSIL AND FIRST AID KIT</t>
  </si>
  <si>
    <t xml:space="preserve"> ITEM NO.	DESCRIPTION	UNIT	QUANTITY PART I	OTHER GENERAL REQUIREMENTS		 B.3	PERMITS AND CLEARANCES	L.S.	1.00 B.5	PROJECT BILLBOARD/SIGNBOARD	EA	2.00 B.7	OCCUPATIONAL SAFETY AND HEALTH PROGRAM	L.S.	1.00 PART II	CIVIL, MECHANICAL, ELECTRICAL AND SANITARY/ PL</t>
  </si>
  <si>
    <t xml:space="preserve"> 1. The Local Government Unit of Amulung, Cagayan through the Financial Assistant Fund intends to apply the sum of Php 598,701.62 being the Approved Budget for the Contract (ABC) to payments under the contract for Construction of Evacuation Center Phase 1 </t>
  </si>
  <si>
    <t xml:space="preserve"> Purchase of Assorted Vegetables Seeds: Pole Sitao, Ampalaya, Squash, Upo, Okra, Pechay, Eggplant (50gms/pack), Chili pepper (25gms/pack), Sinta Papaya, Cucumber (250 gms/pack), Corn Glutinous, Tomato (25gms/pack) Source of Fund: 20% EDF 2020 (Proc. Vegeta</t>
  </si>
  <si>
    <t xml:space="preserve"> Book Size: 	A4 Cover :	None Print Color:	Black and White Paper Requirement 	News Print  Binding:	Stapled per Module using Long barrel heavy duty staple wires Basis Weight 	48.8 gsm,+/-5% Tolerance brightness:	55% +/- 3% Tolerance Opacity : 	85% +/-5 % Tol</t>
  </si>
  <si>
    <t xml:space="preserve"> Please refer to the Approved Budget Estimates (ABE).</t>
  </si>
  <si>
    <t xml:space="preserve"> PURCHASE OF PHOTOCOPYING MACHINE</t>
  </si>
  <si>
    <t xml:space="preserve"> Item Number	Description	UNIT	Quantity 			 1	64 GB FLASHDRIVE	unit	25 2	2 TB EXTERNAL HARD DRIVE	unit	2 3	A4 BOND PAPER	ream	5,430 4	LEGAL SIZE BOND PAPER	ream	256 5	SHORT BOND PAPER	ream	22 6	RICOH TONER	tube	20 7	DIGITAL DUPLICATOR INK	tube	44 8	DIGITAL </t>
  </si>
  <si>
    <t xml:space="preserve"> Please see attached associate component</t>
  </si>
  <si>
    <t xml:space="preserve"> 1. 1 bundle White bed sheet cloth 100mx96” width 2. 4 bundles Green bed sheet cloth 100mx96” width 3. 3 bundles Blue bed sheet cloth 100mx96” width 4. 20 meters Red alpha gena cloth 20mx60” width 5. 200 pcs. Flat sewing machine needle no. 14 6. 200 pcs. F</t>
  </si>
  <si>
    <t xml:space="preserve"> 1 Lot GINGER TEA PRODUCTION EQUIPMENT, SUPPLIES &amp; MATERIALS</t>
  </si>
  <si>
    <t xml:space="preserve"> The Philippine National Police (PNP) Health Service (HS) invites all PhilGEPS-accredited suppliers to apply for eligibility and to bid for the Procurement of Medical, Dental &amp; Laboratory Supplies. Approved Budget for Contract: Php6,500,000.00 Bid Document</t>
  </si>
  <si>
    <t xml:space="preserve"> An Installation of RCCP 36" (13 in.m) complete with headwall (grouted riprap)- 2 units, embankmet of 13.00m length, 1.20m width and t=0.20m and aggregate base course, 13.00mlength, 1.20m width and 1=0.10m.</t>
  </si>
  <si>
    <t xml:space="preserve"> 1.	The Local Government Unit of Balangiga, through the Annual Budget for 20203 intends to apply the sum of Four Hundred Fifty-Seven Thousand Seven Hundred Thirty-Two Pesos  (Php457,732.00) being the Approved Budget for the Contract (ABC) to payments under</t>
  </si>
  <si>
    <t xml:space="preserve"> Republic of the Philippines Province of Iloilo Municipality of Lambunao Office of the Bids &amp; Awards Committee INVITATION TO BID/ REQUEST FOR PRICE QUOTATION Name of Project: Purchase of Equipments for the use of MENRO Location: Lambunao, Iloilo ABC: Php 5</t>
  </si>
  <si>
    <t xml:space="preserve"> Repair of Daycare Center and Multi Purpose Hall @ Brgy. Jaboyoan, Aroroy, Masbate</t>
  </si>
  <si>
    <t xml:space="preserve"> 2units-brush cutter 3units-6 seaters folded table 2pcs- cooler</t>
  </si>
  <si>
    <t xml:space="preserve"> 1      sheet       4'x8' Printed Tarpaulin 2      pcs          1/4"x4"x8" Ordinary Plywood 144   bd.ft.       2"x3"x 12ft Good Lumber Frame (24pcs) 1       kg           C.W. Nails 1 1/2" 11     kgs          Tie Wire #16 12     sheets      Ordinary Plywood</t>
  </si>
  <si>
    <t xml:space="preserve"> INVITATION TO BID FOR THE SUPPLY OF LABOR &amp; MATERIALS FOR THE IMPROVEMENT OF STREETLIGHTS. 1. The Barangay Government of BARANGAY BAGONG SIKAT through the 20% Local Development Fund of Barangay intends to apply the sum of Php 299,568.99 being the Approved</t>
  </si>
  <si>
    <t xml:space="preserve"> Negros Occidental 2nd District Engineering Office Binalbagan, Negros Occidental INVITATION TO BID  The DPWH, Negros Occidental 2nd District Engineering Office, Binalbagan, Negros Occidental, through its Bids and Awards Committee (BAC), invites contractors</t>
  </si>
  <si>
    <t xml:space="preserve"> The Barangay Centro 02, Tuao Cagayan through its MUNICIPAL AIDE Fund intends to apply the sum of                Php 174,209.86  being the Approved Budget for the Contract (ABC) to payments under the contract for  Installation of Street Lights (SOLAR). Bid</t>
  </si>
  <si>
    <t xml:space="preserve"> General Requirements, Site Works, Concrete and Mansonry Works, Form Works and Scaffoldings</t>
  </si>
  <si>
    <t xml:space="preserve"> Procurement of Other supplies, furnitures and fixtures requested by barangays during the conduct of Bisita sa Barangay; LGU Offices and the Department of Education</t>
  </si>
  <si>
    <t xml:space="preserve"> Republic of the Philippines PROVINCE OF CAMARINES SUR BIDS AND AWARDS COMMITTEE ITB No. 052-08-2020 INVITATION TO BID  	The Provincial Government of Camarines Sur (PGCS) through its Bids and Awards Committee (BAC) invites suppliers/manufacturers/distribut</t>
  </si>
  <si>
    <t xml:space="preserve"> Republic of the Philippines 	DEPARTMENT OF PUBLIC WORKS AND HIGHWAYS 			SURIGAO DEL NORTE 1ST DISTRICT ENGINEERING OFFICE REGIONAL OFFICE XIII Dapa, Siargao Island, Surigao del Norte INVITATION TO BID FOR                    20NF-GOODS-02: SUPPLY, DELIVERY</t>
  </si>
  <si>
    <t xml:space="preserve"> Republic of the Philippines Province of Negros Oriental City of Guihulngan Bids and Awards Committee INVITATION TO BID (ITB No. PB2020-062) The  City of  Guihulngan, through its Bids and Awards Committee (BAC), invites suppliers/ manufacturers/ distributo</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</si>
  <si>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</si>
  <si>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The Philippine National Police (PNP) Health Service (HS) invites all PhilGEPS-accredited suppliers to apply for eligibility and to bid for the Procurement of Other Supplies &amp; Materials. Approved Budget for Contract: Php1,300,000.00 Bid Documents shall be </t>
  </si>
  <si>
    <t xml:space="preserve"> Contract ID:	20FH0102 Contract Name:	CONCRETING OF BRGY. SAN ROQUE TO BRGY. BATALAY FARM-TO-MARKET ROAD PHASE 2, BRGY. SAN ROQUE &amp; BRGY. BATALAY, BATO,  CATANDUANES Contract Location:	BRGY. SAN ROQUE &amp; BRGY. BATALAY, BATO,  CATANDUANES Scope of Work:	CONC</t>
  </si>
  <si>
    <t xml:space="preserve"> INVITATION TO BID FOR THE SUPPLY OF LABOR &amp; MATERIALS FOR THE IMPROVEMENT OF DRAINAGE CANAL. 1. The Barangay Government of BARANGAY BAGONG SIKAT through the 20% Local Development Fund of Barangay intends to apply the sum of Php 299,568.99 being the Approv</t>
  </si>
  <si>
    <t xml:space="preserve"> The Philippine National Police (PNP) Health Service (HS) invites all PhilGEPS-accredited suppliers to apply for eligibility and to bid for the Procurement of Medical, Dental &amp; Laboratory Supplies. Approved Budget for Contract: Php900,000.00 Bid Documents </t>
  </si>
  <si>
    <t xml:space="preserve"> Request for Quotation for the Procurement of Agricultural Supplies (Inorganic Fertilizers) to be used as inputs for the implementation of the project “Community-based Participatory Action Research (CPAR) on Rice-based Farming System” in Ubay, Bohol for CY</t>
  </si>
  <si>
    <t xml:space="preserve"> Road Excavation Portland cement Concrete pavement Demoliton Structure Excavation SubGrade preparation Stone MasonrAggregate base course etc.</t>
  </si>
  <si>
    <t xml:space="preserve"> The Barangay Alabug, Tuao Cagayan through its SUPPLEMENTAL Budget Fund intends to apply the sum of           Php 55,000.00 being the Approved Budget for the Contract (ABC) to payments under the contract for PURCHASED OF 1 UNIT MOTORCYCLE HONDA TMX 125. Bi</t>
  </si>
  <si>
    <t xml:space="preserve"> Demolition Roofing Works Additional Column Height</t>
  </si>
  <si>
    <t xml:space="preserve"> Contract ID:	20FH0103 Contract Name:	CONCRETING OF BRGY. BATONG PALOWAY TO BRGY. SAN VICENTE FARM-TO-MARKET ROAD PHASE 2, BRGY. BATONG PALOWAY AND BRGY. SAN VICENTE,  SAN ANDRES, CATANDUANES Contract Location:	BRGY. BATONG PALOWAY AND BRGY. SAN VICENTE,  </t>
  </si>
  <si>
    <t xml:space="preserve"> Purchase of 1 unit Riso with photocopier machine for Liloy National High School.</t>
  </si>
  <si>
    <t xml:space="preserve"> REQUEST FOR EXPRESSION OF INTEREST (REI) FOR THE CONSULTANCY SERVICES FOR THE GEOTECHNICAL INVESTIGATION (SUB-SOIL EXPLORATION) OF VARIOUS LOCAL PROGRAMS (MULTIPURPOSE/FACILITIES PROJECTS) FOR THE PROPOSED FY 2021 INFRASTRUCTURE PROGRAM OF ZAMBALES 2ND DE</t>
  </si>
  <si>
    <t xml:space="preserve"> Republic of the Philippines PROVINCE OF NUEVA VIZCAYA Invitation to Bid for the  IMPROVEMENT OF NVPH PLUMBING AND SANITARY Located at NVPH, Almaguer North, Bambang, Nueva Vizcaya  1.	The Provincial Government of Nueva Vizcaya, through the PGSO (5-02-13-03</t>
  </si>
  <si>
    <t xml:space="preserve"> The Barangay Lakambini, Tuao Cagayan through its 20% Barangay Dev't Fund intends to apply the sum of             Php 119,902.66  being the Approved Budget for the Contract (ABC) to payments under the contract for  Improvement of Multi-Purpose Hall. Bids r</t>
  </si>
  <si>
    <t xml:space="preserve"> ITEM: 6 lgths Wide Flange, W6x15 PURPOSE: FOR PROP. 150MMØ PIPE REALIGNMENT @ VALENZUELA BRIDGE, AGORA, LAPASAN, CDOC(W.O.#19-027-F)	 ABC: PHP 53,900.00 DELIVERY SCHEDULE: 10 CALENDAR DAYS</t>
  </si>
  <si>
    <t xml:space="preserve"> Supply and delivery of construction materials for the Repair and Maintenance of Electrification, Powers &amp; Energy Structures.</t>
  </si>
  <si>
    <t xml:space="preserve"> Various Infrastructure Projects is funded thru the 20% DF Please be guided by the following schedule: 1. Submission of Letter of Intent - August 24-25, 2020 2. Pre-bid Conference - August 27, 2020 10:00AM 3. Issuance and Availability of Bidding Documents </t>
  </si>
  <si>
    <t xml:space="preserve"> 1.	The PCA-Region XIII, through the 2020 Smallholder Oil Palm Development Project: Oil Palm Seedling  intends to apply the sum of PhP 3,136,000.00 being the Approved Budget for the Contract (ABC) to payments under the contract for 2020 SOPDP: Oil Palm See</t>
  </si>
  <si>
    <t xml:space="preserve"> 1 Lot PRODUCTION EQUIPMENT, GOODS, MATERIALS AND SUPPLIES</t>
  </si>
  <si>
    <t xml:space="preserve"> Construction of concrete pathway</t>
  </si>
  <si>
    <t xml:space="preserve"> 1. 4 Unit Inkjet printer with built-in Continuous Ink System Print Method: On-demand ink jet, Bi-directional printing, Uni-directional printing, 5760 x 1440 dpi Max resolution, Micro Piezo™ print head Nozzle Configuration 180 Nozzles Black, 59 Nozzles per</t>
  </si>
  <si>
    <t xml:space="preserve"> Computer Laptop			3	Units		 Specifications:						 - 9th Generation Intel Core i7-9750H, Windows 10 Home, NVIDIA GeForce RTX 2080						 	with Max-Q Design, 32 GB DDR4 2666 MHz, Up to 5 hours, 57 Wh, 3 cells, 					 	Up to 512 GB Pcle NVMe, Up to 2 TB HDD, 1</t>
  </si>
  <si>
    <t xml:space="preserve"> 1.	200	vial/s	Ampicillin + Sulbactam 2.	300	tab/s	Alluminum Magnesium 3.	100	tab/s	Allopurinol 300mg 4.	3	amp/s	Amiodarone 150mg 5.	5	box/es	Amoxicillin 500mg 6.	300	tab/s	Amlodipine 10mg 7.	10	amp/s	Atropine 1mg/ml 8.	1	box/es	Atenolol 50mg tab 100s 9.	6</t>
  </si>
  <si>
    <t xml:space="preserve"> Please see attached Bid Docs for details</t>
  </si>
  <si>
    <t xml:space="preserve"> Contract ID:	20FH0104 Contract Name:	REPAIR/MAINTENANCE OF DPWH EXISTING MAIN OFFICE BUILDING, CATANDUANES DEO, VIRAC, CATANDUANES Contract Location:	DPWH BUILDING, MAIN OFFICE BUILDING, CATANDUANES DEO, VIRAC, SIV, CATANDUANES Scope of Work:	REPAIR OF DP</t>
  </si>
  <si>
    <t xml:space="preserve"> INVITATION TO BID SUPPLY AND DELIVERY OF DRUGS AND MEDICINES FOR SENIOR CITIZENS WELLNESS 1.	The Local Government Unit of Cabadbaran City through the GENERAL FUND intends to apply the sum of NINE HUNDRED NINETY-NINE THOUSAND NINE HUNDRED SEVENTY-SEVEN PES</t>
  </si>
  <si>
    <t xml:space="preserve"> Installation of plastic protective sheets for Negros Oriental and Siquijor Branches.</t>
  </si>
  <si>
    <t xml:space="preserve"> Procurement of Fuel</t>
  </si>
  <si>
    <t xml:space="preserve"> 1.	The Local Government Unit of Balangiga, through the Special Education Fund (SEF) for 20203 intends to apply the sum of Two Hundred Thirty-Two Thousand Ten Pesos &amp; 75/100 (Php232,010.75) being the Approved Budget for the Contract (ABC) to payments under</t>
  </si>
  <si>
    <t xml:space="preserve"> REQUEST FOR QUOTATION Procurement of INFRA [Drainage Canal along M. Parras St.] The   City Government of Tagbilaran,   through the Continuing Appropriation, intends to apply the sum of  Three Hundred Fifty Thousand Four Hundred Ninety Four Pesos and Eight</t>
  </si>
  <si>
    <t xml:space="preserve"> INVITATION TO BID SUPPLY AND DELIVERY OF TWO (2) UNITS DIGITAL DUPLICATOR MACHINES, INK AND MASTER ROLL, SEF, SFADS The Municipal Government of San Francisco, Agusan del Sur, through the BIDS and AWARDS COMMITTEE (BAC) intends to apply the sum of THREE HU</t>
  </si>
  <si>
    <t xml:space="preserve"> Structure Excavation Stone masonry Demolition Concrete works Masonry works Cement Plaster Finish Structural Steel Works (Fence) Painting</t>
  </si>
  <si>
    <t xml:space="preserve"> Government of the Philippines LGU-DOLORES, QUEZON INVITATION TO BID FOR SUPPLY  AND DELIVERY OF CONSTRUCTION MATERIALS 1.	The LGU, through the General  Fund  – P75,326.75.00	 intends to apply the sum of  Seventy Five Thousand Three Hundred Twenty Six Peso</t>
  </si>
  <si>
    <t xml:space="preserve"> Republic of the Philippines PROVINCE OF NUEVA VIZCAYA Invitation to Bid for the  IMPROVEMENT OF D.D.H. PERIMETER FENCE (ALONG DIETARY BUILDING) Located at D.D.H. Cpd., Dupax del Norte, Nueva Vizcaya  1.	The Provincial Government of Nueva Vizcaya, through </t>
  </si>
  <si>
    <t xml:space="preserve"> Item Number	Description	UNIT	Quantity 			 1	Single door Semi-Auto Frost Refrigerator	unit	2 2	Aircon 	unit	3 3	Hot and Cold Water Dispenser Stand	unit	6 4	Stand Fan	unit	5 5	Exhaust Fan	unit	5 6	Type Writer	unit	2 7	LED Emergency Light	unit	10 8	Microwave</t>
  </si>
  <si>
    <t xml:space="preserve"> Republic of the Philippines Province of Ifugao BIDS AND AWARDS COMMITTEE Banaue, Ifugao INVITATION TO BID FOR MEDICAL &amp; LABORATORY SUPPLIES  Publication No. G-2020-025 1st  Publication 1.	The Local Government Unit of Banaue, Ifugao, through the LGU FUND i</t>
  </si>
  <si>
    <t xml:space="preserve"> LENGTH 55 In.m. MATERIALS</t>
  </si>
  <si>
    <t xml:space="preserve"> 1 Lot PRODUCTION MACHINERY, EQUIPMENT AND MATERIALS</t>
  </si>
  <si>
    <t xml:space="preserve"> Item Number	Description	UNIT	Quantity 			 1	ATS 1500 UNITS AMP.          X10’S	BX	100 2	TETANUS TOXIOD AMP.        X10’S	BX	50 3	CEFUROXIME 750 VIAL     X10’S	BX	170 4	CEFTRIAXONE 1G VIAL     X10’S 	BX	90 5	CO-AMOXICLAV 1.2 G VIAL   X1’S	BX	60 6	DEPHENHYD</t>
  </si>
  <si>
    <t xml:space="preserve"> please see attached RFQ and respective location of CCTV camera.</t>
  </si>
  <si>
    <t xml:space="preserve"> Republic of the Philippines PROVINCE OF NUEVA VIZCAYA 2nd Invitation to Bid for the  CONSTRUCTION OF CADISULAN II CIS Located at Bone South, Aritao, Nueva Vizcaya  1.	The Provincial Government of Nueva Vizcaya, through the 2020 20% Development Fund intend</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</si>
  <si>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</si>
  <si>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INVITATION TO BID FOR THE  SUPPLY &amp; DELIVERY OF GENERATOR SET &amp; AIR CONDITION UNITS MUNICIPAL HEALTH OFFICE, BUENAVISTA, QUEZON 1.	The Municipal Government of Buenavista, Quezon, through the General Fund intends to apply the sum of Two Hundred Thirty Four</t>
  </si>
  <si>
    <t xml:space="preserve"> Structure Excavation Additional RCPC 1.0m Embankment Aggregate sub base course Aggregate base course PCCP Stone masonry etc.</t>
  </si>
  <si>
    <t xml:space="preserve"> 1. The Energy Regulatory Commission (ERC), through the continuing Appropriation for Fiscal Year 2019, intends to apply the sum of Ten Million Nine Hundred Thousand Pesos (PhP10,900,000.00) inclusive of all government taxes and other charges and fees, bein</t>
  </si>
  <si>
    <t xml:space="preserve"> 1 Lot PRODUCTION EQUIPMENT, SUPPLIES AND MATERIALS</t>
  </si>
  <si>
    <t xml:space="preserve"> INVITATION TO BID SUPPLY AND DELIVERY OF SAN FRANCISCO, AGUSAN DEL SUR BARANGAY TANODs’ UNIFORM FOR BARANGAY PEACE AND ORDER ACTIVITIES, SFADS  The Municipal Government of San Francisco, Agusan del Sur, through the BIDS and AWARDS COMMITTEE (BAC) intends </t>
  </si>
  <si>
    <t xml:space="preserve"> Contract ID:	20FH0105 Contract Name:	EMERGENCY REPAIR/MAINTENANCE OF DRAINAGE SYSTEM ALONG CCR VIRAC-BATO-SAN MIGUEL ROAD SECTION AT (K0002+050 – K0002+250), SAN VICENTE, VIRAC, CATANDUANES Contract Location:	SAN VICENTE, VIRAC, CATANDUANES Scope of Work:</t>
  </si>
  <si>
    <t xml:space="preserve"> Republic of the Philippines PROVINCE OF BUKIDNON Municipality of Sumilao INVITATION TO BID ITB NO. GS-2020-44 PROCUREMENT OF CONSTRUCTION MATERIALS FOR THE REHABILITATION OF BARANGAY LOCAL ROADS  August 17, 2020 1	The Local Government Unit of  Sumilao, in</t>
  </si>
  <si>
    <t xml:space="preserve"> Republic of the Philippines Province of Negros Oriental City of Guihulngan Bids and Awards Committee INVITATION TO BID (ITB No. PB2020-064) The  City of  Guihulngan, through its Bids and Awards Committee (BAC), invites contractors registered with and clas</t>
  </si>
  <si>
    <t xml:space="preserve"> Item Number	Description	Unit	Quantity 			 1	GOWN	PCS	200 2	HEAD COVER	BOX	5 3	SHOE COVER	BOX	5 4	SURGICAL MASKS	BOX	100 5	PPE COVERALL	PCS	300 6	KN95	PCS	6500</t>
  </si>
  <si>
    <t xml:space="preserve"> LENGTH 75.00 In.m.</t>
  </si>
  <si>
    <t xml:space="preserve"> Republic of the Philippines UNIVERSITY OF NORTHERN PHILIPPINES Tamag, Vigan City 2700 Ilocos Sur INVITATION TO BID FOR I.T. EQUIPMENT &amp; PERIPHERALS  1.	The University of Northern Philippines, through the Use of Income, 2020 intends to apply the sum of ₱ 1</t>
  </si>
  <si>
    <t xml:space="preserve"> Department of Education Region No. VIII ORMOC CITY DIVISION Narra St., Brgy. Don Felipe Larrazabal Ormoc City, Leyte -o0o- Invitation to Bid for CY 2020 BEFF Lot 4- Repair and Rehabilitation of Classrooms  LOT NO.	 CONTRACT ID	 NAME OF SCHOOL	 MUNICIPALIT</t>
  </si>
  <si>
    <t xml:space="preserve"> Republic of the Philippines DEPARTMENT OF PUBLIC WORKS AND HIGHWAYS REGIONAL OFFICE VIII Baras, Palo, Leyte 	 REQUEST FOR EXPRESSION OF INTEREST (REI)  August 17, 2020 1.	The Department of Public Works and Highways, Regional Office VIII, Government Center</t>
  </si>
  <si>
    <t xml:space="preserve"> Invitation to Bid for the Supply and Delivery of various Calamity Material for the use of Brgy. Sampaga, Batangas City</t>
  </si>
  <si>
    <t xml:space="preserve"> Republic of the Philippines Province of Nueva Vizcaya BIDS AND AWARDS COMMITTEE (BAC-Goods) BAC OFFICE, Provincial Capitol, Bayombong, Nueva Vizcaya Tel. No. 078-392-2062 	 (2ND) INVITATION TO BID FOR THE SUPPLY &amp; DELIVERY OF HIGH-SPEED SCANNER, LAPTOP &amp; </t>
  </si>
  <si>
    <t xml:space="preserve"> INVITATION TO BID SUPPLY AND DELIVERY OF 209 VERO CELL VIALS FOR THE CITY HEALTH OFFICE 1.	The Local Government Unit of Cabadbaran City through the GENERAL FUND intends to apply the sum of TWO HUNDRED SEVENTEN THOUSAND ONE HUNDRED NINETY-FOUR PESOS AND 89</t>
  </si>
  <si>
    <t xml:space="preserve"> Republic of the Philippines Province of Negros Oriental City of Guihulngan Bids and Awards Committee INVITATION TO BID (ITB No. PB2020-061) (2nd Call for Public Bidding) The  City of  Guihulngan, through its Bids and Awards Committee (BAC), invites suppli</t>
  </si>
  <si>
    <t xml:space="preserve"> Installation of Street Lights @ Brgy. Jaboyoan, Aroroy, Masbate</t>
  </si>
  <si>
    <t xml:space="preserve"> Rehabilitation of Various FMR is funded thru the 20% DF Please be guided by the following schedule: 1. Submission of Letter of Intent - August 24-25, 2020 2. Pre-bid Conference - August 27, 2020 10:00AM 3. Issuance and Availability of Bidding Documents - </t>
  </si>
  <si>
    <t xml:space="preserve"> CONSTRUCTION MATERIALS FOR THE TANOD OUTPOST AT Sitio Baribag Bibincahan East district Sorsogon City</t>
  </si>
  <si>
    <t xml:space="preserve"> Republic of the Philippines Province of Negros Oriental City of Guihulngan Bids and Awards Committee INVITATION TO BID (ITB No. PB2020-063) (2nd Call for Public Bidding) The  City of  Guihulngan, through its Bids and Awards Committee (BAC), invites suppli</t>
  </si>
  <si>
    <t xml:space="preserve"> 1 Lot SEWING MACHINE, MATERIALS AND SUPPLIES</t>
  </si>
  <si>
    <t xml:space="preserve"> 41 pcs. 1/4" X 4' X 8' Marine Plywood 355 bd.ft. 2"x2"x10' Good Lumber 12 kg. CWN 5" 23 kg. CWN 4" 17 kg. CWN 3" 9 kg. CWN 2 1/2" 6 kg. Finishing Nail 1" 240 bd.ft. 2"x6"x20' Good Lumber 12L 180 bd.ft. 2"x6"x15' Good Lumber 12L 250 bd.ft. 2"x3"x10' Good L</t>
  </si>
  <si>
    <t xml:space="preserve"> Republic of the Philippines Region XII Province of Cotabato CITY OF KIDAPAWAN BIDS AND AWARDS COMMITTEE Invitation to Bid 						  		           Date: August 19, 2020 1.	The City Government of Kidapawan, through the 20% EDF CY 2020   intends to apply the su</t>
  </si>
  <si>
    <t xml:space="preserve"> 1             JOB      CATERING SERVICES                              25pax  x 3days                           DAY 1                              AM SNACKS, 25PAX                                 MENU: Pancit Molo with Sliced Bread, Canned Juice, Coffee   </t>
  </si>
  <si>
    <t xml:space="preserve"> Aggregate Sub-base course Aggregate base course Portland cement Concrete Pavement etc.</t>
  </si>
  <si>
    <t xml:space="preserve"> Supply and Delivery of Materials for the Construction of Multi-Purpose Bldg., (Senior Citizen) Phase II at BLGU Doña Josefa, Laak, Davao De Oro with an ABC of Php. 85,490.00. Note: For further details of the said project, please see/contact Hon. Renato S.</t>
  </si>
  <si>
    <t xml:space="preserve"> The Local Government Unit of Santa Fe, Nueva Vizcaya, through its Bids &amp; Awards Committee invites contractors to bid for the following project: Contract Name: Procurement of One (1) Unit Brand New Backhoe Excavator (Supply and Delivery) Contract Location:</t>
  </si>
  <si>
    <t xml:space="preserve"> The Bids &amp; Awards Committee (BAC) of Barangay Langtad, Argao, Cebu, invites all interested suppliers/manufacturers/distributors/contractors/consultants to apply for eligibility and to submit bids for the following: ITEMS: 1   Unit    4 - Wheeled Vehicle (</t>
  </si>
  <si>
    <t xml:space="preserve"> The DPWH-Regional Office I, through its Bids and Awards Committee (BAC), invites contractors to submit bids for the following Contract: Contract ID: 21A00007 Contract Name: Retrofitting/Strengthening of Permanent Bridges, Cuenca Bridge (B00829LZ) along Ro</t>
  </si>
  <si>
    <t xml:space="preserve"> Item Number	Description	UNIT	Quantity 			 1	Purified Rabies Vaccine (SPEEDA)	vials	615</t>
  </si>
  <si>
    <t xml:space="preserve"> 1. 160  heads - 2 months old Dominant CZ Chicken fully vaccinated with NCD and without any deformities. Requirements:   2020 PhilGeps Registration, Business Permit, Mayors Permit, Tax Clearance, BAI Certification and                          Notarized Omn</t>
  </si>
  <si>
    <t xml:space="preserve"> Printer</t>
  </si>
  <si>
    <t xml:space="preserve"> Purchase 25 units computer printers and 21 pieces Thermal Scanner for Liloy II District - Liloy, Zamboanga del Norte.</t>
  </si>
  <si>
    <t xml:space="preserve"> The BAC is conducting the public bidding for this Contract in accordance with Republic Act No. 9184 and its Implementing Rules and Regulations (IRR). To be eligible to bid for this Contract, a contractor must meet the following major requirements: (a) Fil</t>
  </si>
  <si>
    <t xml:space="preserve"> I N V I T A T I O N T O B I D   The Visayas State University through its Bids and Awards Committee (BAC), invites suppliers/manufacturers/distributors to apply for eligibility and to bid for the hereunder project: Name of Project : Completion of Covered C</t>
  </si>
  <si>
    <t xml:space="preserve"> The DPWH-Regional Office I, through its Bids and Awards Committee (BAC), invites contractors to submit bids for the following Contract: Contract ID: 21A00010 Contract Name: Retrofitting/Strengthening of Permanent Bridges, Pasaleng Bridge (B00550LZ) along </t>
  </si>
  <si>
    <t xml:space="preserve"> Procurement of Hardware &amp; Construction Materials for the Construction of Various Infra Projects, Vintar, Ilocos Norte</t>
  </si>
  <si>
    <t xml:space="preserve"> The DPWH-Regional Office I, through its Bids and Awards Committee (BAC), invites contractors to submit bids for the following Contract: Contract ID: 21A00006 Contract Name: Retrofitting/Strengthening of Permanent Bridges, Bocal Bridge (B00532LZ) along Man</t>
  </si>
  <si>
    <t xml:space="preserve"> Aggregate Sub-base course Aggregate base course Portland cement concrete pavement etc</t>
  </si>
  <si>
    <t xml:space="preserve"> Republic of the Philippines LUBAO WATER DISTRICT San Nicolas I Lubao, Pampanga Tel # (045) 307-0473  E-mail Address: lubaowaterdistrict@yahoo.com Invitation to Bid for ITB No. 2020 – 001 Installation of Main Distribution Line for Purok 4 Sitio Akli, Baran</t>
  </si>
  <si>
    <t xml:space="preserve"> The DPWH-Regional Office I, through its Bids and Awards Committee (BAC), invites contractors to submit bids for the following Contract: Contract ID: 21A00009 Contract Name: Retrofitting/Strengthening of Permanent Bridges, Pancian Bridge (B00549LZ) along M</t>
  </si>
  <si>
    <t xml:space="preserve"> INVITATION TO BID SUPPLY AND DELIVERY OF VEHICLE MAINTENANCE SUPPLIES FOR VARIOUS TRANSPORTATION EQUIPMENT OF THE CITY 1.	The Local Government Unit of Cabadbaran City through the GENERAL FUND intends to apply the sum of THREE HUNDRED FIFTY-ONE THOUSAND TH</t>
  </si>
  <si>
    <t xml:space="preserve"> The Supreme Court of the Philippines, through the Bids &amp; Awards Committee for the Halls of Justice, invites bids for the procurement of works contractor/s for refurbishment of leased property to house the four (4) newly created Regional Trial Courts in Ba</t>
  </si>
  <si>
    <t xml:space="preserve"> DESCRIPTION	UNIT	QUANTITY B3	PERMITS AND CLEARANCES	L.S.	1.00 B5	PROJECT BILLBOARD/SIGNBOARD	EA	2.00 B7(2)	OCCUPATIONAL SAFETY AND HEALTH PROGRAM	L.S.	1.00 801(1)	PREMOVAL OF STRUCTURES AND OBSTRUCTION	L.S.	1.00 803(1)a	STRUCTURE EXCAVATION (COMMON SOIL)	</t>
  </si>
  <si>
    <t xml:space="preserve"> 4       pcs          215/70R15 Tire, NV350 4       pcs          265/65R17 Tire, Hilux 4       pcs          Motorcycle Exterior, 250/17 6       pcs          Motorcycle Interior, 275/17, 300/17 1       pc            Battery, 11 plates 1       pc            </t>
  </si>
  <si>
    <t xml:space="preserve"> Improvement of water system and installation of water supply for the COVID 19 isolation areas.</t>
  </si>
  <si>
    <t xml:space="preserve"> The DPWH-Regional Office I, through its Bids and Awards Committee (BAC), invites contractors to submit bids for the following Contract: Contract ID: 21A00008 Contract Name: Retrofitting/Strengthening of Permanent Bridges, Pantal Bridge II (B04222LZ) along</t>
  </si>
  <si>
    <t xml:space="preserve"> 1. One (1) Lot Supply, Delivery and Installation of Stainless Steel, Range Burners with Gas Oven and Cupboard Cast-Iron Ring Grates (6 Burners), Fabricated      1.1: 2 units - Range Burners with Gas Oven and Cupboard Cast-Iron Ring Grates (6 Burners)     </t>
  </si>
  <si>
    <t xml:space="preserve"> DESCRIPTION Republic of the Philippines Province of Oriental Mindoro MUNICIPALITY OF NAUJAN BARANGAY PINAHAN BIDS AND AWARDS COMMITTEE INVITATION TO BID SUPPLY AND DELIVERY OF MATERIALS TO BE USED IN INSTALLATION OF POTABLE WATER SUPPLY SYSTEM LEVEL 2 SIT</t>
  </si>
  <si>
    <t xml:space="preserve"> Item No. 311 Portland Cement Concrete Pavement Design Mix - 1:2:4 Length       - 57.0 m Width        -  3.0 m Thickness  -   0.15 m Area          -  171.0 sq. m. Volume      - 25.65 cu. m.</t>
  </si>
  <si>
    <t xml:space="preserve"> Fabrication/Erection of Electrical post</t>
  </si>
  <si>
    <t xml:space="preserve"> 1.	In view of the two (2) failed public biddings , the Environmental Management Bureau Region II invites consultants to participate in the negotiation for the project, “Air Dispersion Modelling for the PIESTTA Airshed” in accordance with section 53.1 of t</t>
  </si>
  <si>
    <t xml:space="preserve"> 1	pc	PE clam 2x1 1	pc	male plug 2	pcs	UPVC reducer 3x2 2	pcs	gate valve #3 3	pcs	GI nipple 2x24 2	pcs	GI  coupling #3 1	pc	GI plug 3 2	pcs	PE pipe #1 12O METERS 2	pcs	mechanical coupling #3 2	pcs	GI elbow #3 2    	pcs	GI union#2 55	pcs	UPVC pipe #2 20    </t>
  </si>
  <si>
    <t xml:space="preserve"> Portland Cement Shovel Sand Boulders 0.30 + O Mixing Water Gravel 16mmOx6.0m.RSB 12mmOx6.0m. RSB 10mmOx6.0m RSB Metal Primer  Paint Thinner Paint Brush #2" #16 Tie Wire Welding Rod G.I Pipe 1 1/4" O Schd. 40 Hack Saw Blade 3/8"x4"x8" ordinary plywood  Com</t>
  </si>
  <si>
    <t xml:space="preserve"> I. MOBILIZATION II. EXCAVATION III.MASONRY WORKS IV.PLASTERING V. DEMOLITION VI. CONCRETE WORKS VII WASTE DISPOSAL</t>
  </si>
  <si>
    <t xml:space="preserve"> Supply and Delivery of Materials Including Installation and Fabrication of Partition of Multi-Purpose Brgy. Hall Phase II of BLGU Doña Josefa, Laak, Davao De Oro with an ABC of Php. 60,000.00. Note: For further details of the said project, please see/cont</t>
  </si>
  <si>
    <t xml:space="preserve"> Republic of the Philippines Province of Negros Oriental City of Guihulngan Bids and Awards Committee INVITATION TO BID (ITB No. PB2020-066) The  City of  Guihulngan, through its Bids and Awards Committee (BAC), invites contractors registered with and clas</t>
  </si>
  <si>
    <t xml:space="preserve"> REF. No: INFRA-2020-01                                                                                                     Republic of the Philippines                                                          Province of Southern Leyte                     </t>
  </si>
  <si>
    <t xml:space="preserve"> Republic of the Philippines Province of Masbate Municipality of Claveria Supply and Delivery of Risograph Machine The MLGU-Claveria, Masbate, through the General Fundintends to apply the sum of Five Hundred Forty Thousand Pesos (Php 540,000.00) being the </t>
  </si>
  <si>
    <t xml:space="preserve"> 2         PCS      MEDALS 18       PCS       MEDALS 12       PCS       MEDALS 2         PCS       PLAQUES 20        PCS       CERTIFICATE HOLDERS (TOESPC/TOSHSSC) 20        PCS       CERTIFICATE HOLDERS (ADVISER) 20        PCS       CERTIFICATE HOLDERS (S</t>
  </si>
  <si>
    <t xml:space="preserve"> Republic of the Philippines                                                                   PROVINCE OF SAMAR                                                                    INVITATION TO BID                                                           </t>
  </si>
  <si>
    <t xml:space="preserve"> 1 Lot PROCESSING GOODS, EQUIPMENT AND MATERIALS</t>
  </si>
  <si>
    <t xml:space="preserve"> The Bids and Awards Committee								 Province of Iloilo								 								      In connection with your Invitation to Bid No. PEO-20-0927-B (Rebid) scheduled on September 4, 2020, I/we proposed to furnish and deliver in conformity with the terms and condit</t>
  </si>
  <si>
    <t xml:space="preserve"> INVITATION TO QUOTE SUPPLY &amp; DELIVERY OF 1 UNIT BRAND NEW 7-TONNER HAULING TRUCK In support to Consolidation, Processing and Marketing of Copra for Bulucaon Farmers Multi-Purpose Cooperative (BFMPC), Bulucaon, Pigcawayan, Cotabato Solicitation No. PRDP-IR</t>
  </si>
  <si>
    <t xml:space="preserve"> The Department of Public Works and Highways-Regional Office I, through its Bids and Awards Committee (BAC) for Goods, invites suppliers to submit bids for the following Contract: Contract ID: 20GA00005 Contract Name: Purchase and Delivery of Various Heavy</t>
  </si>
  <si>
    <t xml:space="preserve"> SUPPLY AND DELIVERY OF MATERIALS</t>
  </si>
  <si>
    <t xml:space="preserve"> One (1) job Furnishing of Labor and Materials for the Repair of Farm to Market Road at Brgy. Patlad, Dumangas, Iloilo</t>
  </si>
  <si>
    <t xml:space="preserve"> Security Services Provider of Three (3) Security Guards at RELC, Cabatangan and DepEd Satelite Office, Normal Road, Baliwasan, Zamboanga City			 1 Guard Night Shift - RELC Cabatangan, ZC			 2 Guards Morning &amp; Evening Shift - Satelite Office, ZC			 Php 15,</t>
  </si>
  <si>
    <t xml:space="preserve"> Republic of the Philippines														 PROVINCE OF ZAMBOANGA SIBUGAY														 Municipality of Payao														 Barangay Upper Sumilong														 														 INVITATION TO BID														 										PR2020-08-18-004				 The Barangay Uppe</t>
  </si>
  <si>
    <t xml:space="preserve"> Republic of the Philippines MUNICIPALITY OF ECHAGUE Province of Isabela INVITATION TO BID FOR  THE  PROCUREMENT OF  GOAT AND SHEEP  ( INCLUDE SKILLS TRAINING) 1.	The Local Government Unit , through  the  DA   FUND(Grant)   AND LGU  FUND  Of  2020  intends</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</si>
  <si>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</si>
  <si>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REPRODUCTION AND DELIVERY OF LEARNING MODULES FOR GRADE III, GRADE IV, GRADE V, AND GRADE VI. Details:  Grade III (31,872 modules), Grade IV (24,064 modules), Grade V (31,936 modules) and Grade VI (31,480 modules) in back to back printing in which 10 page</t>
  </si>
  <si>
    <t xml:space="preserve"> INVITATION TO BID SUPPLY AND DELIVERY OF CHRISTMAS LIGHTS (1.30M X 1.80M @ 800BULB, 50W) 1.	The Local Government Unit of Cabadbaran City through the GENERAL FUND intends to apply the sum of ONE HUNDRED TWELVE THOUSAND FOUR HUNDRED PESOS ONLY (P 112,400.00</t>
  </si>
  <si>
    <t xml:space="preserve"> The Barangay Bicok, Tuao Cagayan through its Department of Agriculture Fund intends to apply the sum of             Php 212,567.00  being the Approved Budget for the Contract (ABC) to payments under the contract for  Construction of Multi-Purpose Drying P</t>
  </si>
  <si>
    <t xml:space="preserve"> 2         UNITS        MULTI FUNCTION PHOTOCOPIER, PRINTER, SCANNER                              UP TO A3                                 -AUTOMATIC DUPLEX                                 - FAX AND ADF CAPABILITY                                 - ETHERNET</t>
  </si>
  <si>
    <t xml:space="preserve"> Request for Quotation for the Procurement of Agricultural Supplies to be used as Inputs for the implementation of the project “Community-based Participatory Action Research..” 1.	The Department of Agriculture-Regional Field Office 7 (DA-RFO 7), through th</t>
  </si>
  <si>
    <t xml:space="preserve"> Republic of the Philippines Province of Negros Oriental City of Guihulngan Bids and Awards Committee INVITATION TO BID (ITB No. PB2020-067) The  City of  Guihulngan, through its Bids and Awards Committee (BAC), invites contractors registered with and clas</t>
  </si>
  <si>
    <t xml:space="preserve"> LED Street Lights 50 watts with Photo Cell LED Road Lights 150 watts Globe Lights 150 watts Electrical Tape 3M Wire #16 Switch</t>
  </si>
  <si>
    <t xml:space="preserve"> Vertical filing cabinet ST001 475W x 600D x 720H Mobile pedestal cabinet PM009 400W x 500D x 600H Sliding door cupboards ST013 Open shelf cupboards ST018 916(W) x 460D x 1830H Jeff office desk Calix 3 seater Gang chair McCoy high back chair McCoy low back</t>
  </si>
  <si>
    <t xml:space="preserve"> Republic of the Philippines Region XII Province of Cotabato City of Kidapawan OFFICE OF THE BIDS AND AWARD COMMITTEE August 19, 2020 INVITATION TO BID FOR  SUPPLY AND DELIVERY OF MEDICAL SUPPLIES FOR THE USE OF THE KIDAPAWAN CITY HOSPITAL, KIDAPAWAN CITY </t>
  </si>
  <si>
    <t xml:space="preserve"> Procurement of Fuels</t>
  </si>
  <si>
    <t xml:space="preserve"> One (1) job Furnishing of Labor and Materials for the Construction of Drainage and Sidewalk- Southbound Terminal at Brgy. Tabucan, Dumangas, Iloilo (Rebidding)</t>
  </si>
  <si>
    <t xml:space="preserve"> City Engineer's Office P.R. No. : 2020-08-3067 Date: 08/06/2020 31,200.00 GE KV2C+ kWh meter (un-program) with T, K &amp; R softswitch form 9s with ERC seal &amp; sticker with battery hatched 1 unit 1 2 1 unit Meter base 13 jaws 13,500.00 140,400.00 Current trans</t>
  </si>
  <si>
    <t xml:space="preserve"> Republic of the Philippines Province of Negros Oriental City of Guihulngan Bids and Awards Committee INVITATION TO BID (ITB No. PB2020-069) The  City of  Guihulngan, through its Bids and Awards Committee (BAC), invites contractors registered with and clas</t>
  </si>
  <si>
    <t xml:space="preserve"> City Administrator's Office P.R. No. : 2020-08-3088 Date: 08/12/2020 420,000.00 LARGE FORMAT PRINTER 36 inches : SCT5130 Speciifications: Ultra chrome (Pigment Ink) : Presicion Core TFP Print Head : 3200 nozzles : 2400 x 1200 DPI : Print Spped : Approx. 3</t>
  </si>
  <si>
    <t xml:space="preserve"> Republic of the Philippines DEPARTMENT OF PUBLIC WORKS AND HIGHWAYS ILOILO 4TH  DISTRICT ENGINEERING OFFICE REGIONAL OFFICE VI Bolong Este, Sta. Barbara, Iloilo INVITATION   TO   BID   FOR   THE   SUPPLY/DELIVERY OF FUEL FOR USE OF SERVICE VEHICLES ASSIGN</t>
  </si>
  <si>
    <t xml:space="preserve"> Department of Public Works and Highways Iloilo 4th District Engineering Office Sta. Barbara, Iloilo Tel. Nos. 523-4557 – 523-93-40 INVITATION   TO   BID   FOR   THE   SUPPLY/DELIVERY OF VARIOUS  SPARE PARTS FOR USE IN THE REPAIR OF MITSUBISHI ROAD GRADER </t>
  </si>
  <si>
    <t xml:space="preserve"> Republic of the Philippines PROVINCE OF SURIGAO DEL NORTE MUNICIPALITY OF TAGANA-AN Office of the Barangay Captain Brgy. Talavera, Surigao del Norte Invitation to bid for Solar Street Lighting BGRY. TALAVERA, TAGANA-AN, SURIGAO DEL NORTE 1.	 	The BARAGAY </t>
  </si>
  <si>
    <t xml:space="preserve"> Republic of the Philippines Region XII Province of Cotabato City of Kidapawan OFFICE OF THE BIDS AND AWARD COMMITTEE August 19, 2020 INVITATION TO BID FOR  SUPPLY OF FUEL FOR THE USE OF THE CITY ENGINEERING OFFICE, KIDAPAWAN CITY  The CITY GOVERNMENT OF K</t>
  </si>
  <si>
    <t xml:space="preserve"> Republic of the Philippines Province of Nueva Vizcaya BIDS AND AWARDS COMMITTEE (BAC-Goods) BAC OFFICE, Provincial Capitol, Bayombong, Nueva Vizcaya Tel. No. 078-392-2062 	 (2ND) INVITATION TO BID FOR THE SUPPLY &amp; DELIVERY OF1 UNIT PHOTOCOPIER   FOR THE  </t>
  </si>
  <si>
    <t xml:space="preserve"> 280 bags portland cement 40kg. 16 cu. m. washed sand 32 cu. m. coarsed gravel 13 lengths 12mm. dia.x6m deformed bars 2 pcs. hacksaw blade 8 kgs. assorted nails 8 liters asphalt filler</t>
  </si>
  <si>
    <t xml:space="preserve"> Republic of the Philippines Province of Masbate Municipality of Claveria Supply and Delivery of Large Cattle The MLGU-Claveria, Masbate, through the General Fundintends to apply the sum of Four Hundred Eighty Thousand Pesos (Php 480,000.00) being the Appr</t>
  </si>
  <si>
    <t xml:space="preserve"> 1 Lot HARDWARE AND CONSTRUCTION MATERIALS</t>
  </si>
  <si>
    <t xml:space="preserve"> Item No.	Qty	DESCRIPTION				Unit 						 1	10	Paint Latex/ White/ Semi- Gloss/ Triton				Gals. 2	 1/4	Tinting Color Thalo Blue				Quart 3	 1/4	Tinting Color Hansa Yellow				Quart 4	10	Paint Roller Ordinary 7''				Pcs. 5	8	Paint Roller Ordinary 2''				Pcs. </t>
  </si>
  <si>
    <t xml:space="preserve"> Purchase of Solar Streets Lights.</t>
  </si>
  <si>
    <t xml:space="preserve"> Republic of the Philippines Province of Negros Oriental City of Guihulngan Bids and Awards Committee INVITATION TO BID (ITB No. PB2020-070) The  City of  Guihulngan, through its Bids and Awards Committee (BAC), invites contractors registered with and clas</t>
  </si>
  <si>
    <t xml:space="preserve"> Section I. Invitation to Bid FOR THE UPLB-S-054-09-20  SUPPLY AND DELIVERY OF BRANDED AND BRAND NEW LAPTOP COMPUTERS FOR CPAF 1.	The UNIVERSITY OF THE PHILIPPINES LOS BAÑOS (UPLB), through the GOP intends to apply the sum of ONE MILLION FIVE HUNDRED TWENT</t>
  </si>
  <si>
    <t xml:space="preserve"> * DVR 16 Channels * 10 units Bullet Camera * 20 pcs BNC Connectors * 1 unit AVR 1,000 watts * 10 units 12v 1amps PS * 10 pcs Single Outlet * 10 pcs Square Box * 1 unit HDD 4TB * Bracket * 40" Monitor</t>
  </si>
  <si>
    <t xml:space="preserve"> Republic of the Philippines Province of Nueva Vizcaya BIDS AND AWARDS COMMITTEE (BAC-Goods) BAC OFFICE, Provincial Capitol, Bayombong, Nueva Vizcaya Tel. No. 078-392-2062 	 (2ND) INVITATION TO BID FOR THE SUPPLY &amp; DELIVERY OF FIREARMS (9MM FS W/ LICENSE) </t>
  </si>
  <si>
    <t xml:space="preserve"> OPA-FISHERIES-2020-0193 Rebidding INVITATION TO BID FOR THE PROCUREMENT OF SPINY BAMBOO, B-NET, P.E. ROPES, AND MONONYLON FOR CATCHING AND IMPROVEMENT OF ASSORTED SPECIES OF FISH DURING HIGH TIDE ABC: P 591,460.00 COST OF BID DOCUMENTS: P 1,000.00 ADVERTI</t>
  </si>
  <si>
    <t xml:space="preserve"> For conducting follow-ups and official business of CBO personnel.</t>
  </si>
  <si>
    <t xml:space="preserve"> Republic of the Philippines PROVINCE OF PANGASINAN BIDS AND AWARD COMMITTEE (BAC) Brgy. San Vicente , San Jacinto, Pangasinan Mobile No. 09384559325 INVITATION TO BID The Barangay San Vicente, San Jacinto, Pangasinan, though its Bids and Award Committee (</t>
  </si>
  <si>
    <t xml:space="preserve"> To procure the various DRR materials, tools and supplies needed for day to day operations.</t>
  </si>
  <si>
    <t xml:space="preserve"> Republic of the Philippines PROVINCE OF AKLAN Kalibo -oOo- BIDS AND AWARDS COMMITTEE (BAC) INVITATION TO BID 1.	The Provincial   Government   of   Aklan, through   20% IRA Development Fund CY 2020 intends   to   apply   the   sum   of  Two Million Nine Hu</t>
  </si>
  <si>
    <t xml:space="preserve"> Republic of the Philippines MUNICIPALITY OF ECHAGUE Province of Isabela INVITATION TO BID FOR  THE  PROCUREMENT OF  FACE  MASKS 1.	The Local Government Unit , through  the  GENERAL   FUND  Of  2020  intends to apply the sum of  FOUR  HUNDRED FIFTY  THOUSA</t>
  </si>
  <si>
    <t xml:space="preserve"> SOURCE OF FUNDS: ANNUAL BUDGET CY 2020 BIDDING DATE &amp; TIME: SEPTEMBER 4, 2020- 1:00 P.M</t>
  </si>
  <si>
    <t xml:space="preserve"> 20GPG0003 - Purchase and Delivery of Information and Communication Technology Equipment/ Devices and Accessories for use of Planning and Design Section, DPWH - Ifugao First District Engineering Office</t>
  </si>
  <si>
    <t xml:space="preserve"> 10       UNITS    SWIVEL OFFICE CHAIRS</t>
  </si>
  <si>
    <t xml:space="preserve"> Emergency Response vehicle for Barangay Pulangbato, Cebu City.</t>
  </si>
  <si>
    <t xml:space="preserve"> Use for the Department of Public Services Garbage Collectors, Street Cleaners and etc.,</t>
  </si>
  <si>
    <t xml:space="preserve"> Contract ID:	20FH0108 Contract Name:	REPAIR/MAINTENANCE OF SLOPE PROTECTION ALONG JCT. BATO-BARAS ROAD SECTION, (K0020+500 – K0020+700) AT INTERMITTENT SECTION, TILOD, BARAS, CATANDUANES Contract Location:	TILOD, BARAS, CATANDUANES Scope of Work:	45 L.M. </t>
  </si>
  <si>
    <t xml:space="preserve"> Republic of the Philippines Province of Masbate Municipality of Claveria Supply and Delivery of Licensed Repeater and  Hand Held Radio The MLGU-Claveria, Masbate, through the General Fundintends to apply the sum of Eight Hundred Thirty Thousand Pesos (Php</t>
  </si>
  <si>
    <t xml:space="preserve"> For Repair &amp; Maintenance of various Cebu City (Office Building).</t>
  </si>
  <si>
    <t xml:space="preserve"> Republic of the Philippines PROVINCE OF AKLAN Kalibo -oOo- BIDS AND AWARDS COMMITTEE (BAC) INVITATION TO BID 1.	The Provincial   Government   of   Aklan, through   20% IRA Development Fund CY 2020 intends   to   apply   the   sum   of  Six Million Eight H</t>
  </si>
  <si>
    <t xml:space="preserve"> Republic of the Philippines  Province of Cebu Municipality of Boljoon INVITATION TO BID FOR the Procurement of Medicines 1.	The Municipality of Boljoon, through the Financial Assistance in the amount of One hundred fifty thousand pesos (P 150,000.00) bein</t>
  </si>
  <si>
    <t xml:space="preserve"> Republic of the Philippines PROVINCE OF ZAMBOANGA SIBUGAY Municipality of Roseller T. Lim OFFICE OF THE BAC CHAIRMAN Barangay Taruc INVITATION TO BID 						August 18, 2020 To All Interested Bidders: Notice is hereby served that sealed bid be received for </t>
  </si>
  <si>
    <t xml:space="preserve"> ALCOHOL, ethyl, 68%-70%, scented, 500ml (-5ml)	50	bottle	43.99 STAMP PAD INK, purple or violet	32	bottle	24.63 PAPER, Multi-Purpose (COPY) A4, 70 gsm	80	ream	114.51 PAPER, Multi-Purpose (COPY) Legal, 70 gsm	30	ream	129.98 RECORD BOOK, 500 PAGES, size: 214</t>
  </si>
  <si>
    <t xml:space="preserve"> Republic of the Philippines Region XII Province of Cotabato City of Kidapawan OFFICE OF THE BIDS AND AWARD COMMITTEE August 19, 2020 INVITATION TO BID FOR  SUPPLY AND DELIVERY OF TRIPLE BAGS FOR THE USE OF THE KIDAPAWAN CITY BLOOD CENTER, KIDAPAWAN CITY  </t>
  </si>
  <si>
    <t xml:space="preserve"> Maintenance of various city owned vehicles and equipment.</t>
  </si>
  <si>
    <t xml:space="preserve"> INVITATION TO BID 	  THE ILOILO SCIENCE AND TECHNOLOGY UNIVERSITY – MIAGAO CAMPUS, Miagao, Iloilo, invites interested Suppliers/Bidders to apply for eligibility and to bid for the hereunder project: Name of Project: 	Renovation and Repair of Food Technolo</t>
  </si>
  <si>
    <t xml:space="preserve"> INVITATION TO BID SUPPLY AND DELIVERY OF VARIOUS LED STRING LIGHTS 1.	The Local Government Unit of Cabadbaran City through the GENERAL FUND intends to apply the sum of ONE MILLION EIGHT HUNDRED FOURTY-SEVEN THOUSAND EIGHT HUNDRED TWENTY PESOS ONLY (P 1,84</t>
  </si>
  <si>
    <t xml:space="preserve"> Contract ID:	20FH0107 Contract Name:	REPAIR/MAINTENANCE OF NATIONAL ROAD ALONG CATANDUANES CIRCUMFERENTIAL ROAD, PANGANIBAN-BAGAMANOC ROAD SECTION (K0060+000 – K0060+500) AT INTERMITTENT SECTION, PANGANIBAN-BAGAMANOC ROAD SECTION Contract Location:	PANGAN</t>
  </si>
  <si>
    <t xml:space="preserve"> Rehabilitation of Protection Wall at Purok Maliwanag Zone 3, Inaban, Dupax del Norte, Nueva Vizcaya. For further details, please see attached Program of Works in the associated components.</t>
  </si>
  <si>
    <t xml:space="preserve"> Republic of the Philippines Region XII Province of Cotabato City of Kidapawan OFFICE OF THE BIDS AND AWARD COMMITTEE August 19, 2020 INVITATION TO BID FOR  SUPPLY AND DELIVERY OF COMMUNICATION EQUIPMENTS AND ACCESSORIES FOR THE USE OF THE CDRRMO, KIDAPAWA</t>
  </si>
  <si>
    <t xml:space="preserve"> One (1) job Furnishing of Labor and Materials for the Improvement of Flooring of the New MSWDO Office and BPLO at Dumangas, Iloilo</t>
  </si>
  <si>
    <t xml:space="preserve"> 1 unit Aluminum Folding Ladder 12 steps 1 set Harness: (full body) 5 pcs Solar Flood Light 120w with Lamp 2 pcs Life Buoy Ring 10 pcs Bolo Knife (Heavy Duty) 1 set Wrench Set, Adjustable Wrench, Pliers and Cutters Tool Box 1 set Screw Driver 1 pc Static R</t>
  </si>
  <si>
    <t xml:space="preserve"> Cebu Technological University-Tuburan Campus invites interested bidder to submit one (1) LOT quotation for the following items: Conzace	1500 cap	22,500.00 Multivitamins+Minerals	1000 tab	8,000.00 enervon C (flex)	2000 tab	18,000.00 Immunopro	2000 tab	22,0</t>
  </si>
  <si>
    <t xml:space="preserve"> 1        UNIT      LAPTOP                          OPERATING SYSTEM: WINDOWS 10                          PROCESSOR: INTER CORE i3-6006u 2.00GHz                          PROCESSOR: (3M CACHE 2.00 GHz)                          MEMORY: 4GB DDR SDRAM         </t>
  </si>
  <si>
    <t xml:space="preserve"> Republic of the Philippines																 PROVINCE OF ZAMBOANGA SIBUGAY																 Municipality of Payao																 Barangay Bulacan																 INVITATION TO BID																 										PR2020-08-17-006						 The Barangay Bulacan of Pay</t>
  </si>
  <si>
    <t xml:space="preserve"> Invitation to Bid The LGU of Hindang, Leyte through its Bids and Awards Committee (BAC) invites the PhilGEPS registered suppliers to apply to bid for the Supply and Delivery of Bond Paper and Printer Ink. Specifications: 1. 255 ream Bond Paper A4 2. 14 se</t>
  </si>
  <si>
    <t xml:space="preserve"> 8 unit Automated rain guage Components: *One (1) unit tipping bucket with cable terminated via connector compatible to datalogger *One (1) unit solar panel (30 watts) with holder and brackets *One(1) Controller Box Assembly inside shall store the ff: -One</t>
  </si>
  <si>
    <t xml:space="preserve"> Master Making Speed: B4/ 10" x 14" Scanning Method: Automatic Document Feeder (ADF) Resolution: 300 x 360 dpi Print speed: 130 ppm, 3 step adjustment Document size: 4" x 6" (101mm x 152.4mm) to 10.6" x 15.5" (270mm x 393mm) Scanning area: 9.84" x 13.77" (</t>
  </si>
  <si>
    <t xml:space="preserve"> SUPPLY AND INSTALLATION OF SWING DOORS USING REFLECTIVE BLUE 6MM THICK ON ANALOK FRAME 32W X 32H 62 1/2W X 31 1/2H 63 1/2W X 48H 63 1/2W X 48 1/2H 70W X 83H-DOUBLE SWING DOOR INSTALLATION OF ONE WAY BLUE TINT ONLY 34 X 63 1/4 33 X 84 139 X 25 SUPPLY AND I</t>
  </si>
  <si>
    <t xml:space="preserve"> Contract ID			:	20GEG0006					 Contract Name  			:	Supply/Delivery of Spare Parts for use in Various Maintenance Equipment 					 Contract Location			:	DPWH-Palawan 3rd DEO, Puerto Princesa City, Palawan					 Brief Description			:	Supply /Delivery of Vario</t>
  </si>
  <si>
    <t xml:space="preserve"> Supply, Delivery and Installation of Equipment, Tools and Machineries for Food Processing and Toll Packaging Emulsifier (Cacao and Peanut Grinding Machine),  1 unit Capacity of Hopper: 5 L Motor Speed: 2300 rpm Voltage: 220v, 60Hz Product Size: 45*45*80 c</t>
  </si>
  <si>
    <t xml:space="preserve"> Supply and Delivery of Assorted Computer Equipments/Supplies</t>
  </si>
  <si>
    <t xml:space="preserve"> Republic of the Philippines PROVINCE OF ZAMBOANGA SIBUGAY Municipality of Roseller T. Lim OFFICE OF THE BAC CHAIRMAN Barangay Mabini INVITATION TO BID 						August 18, 2020 To All Interested Bidders: Notice is hereby served that sealed bid be received for</t>
  </si>
  <si>
    <t xml:space="preserve"> INVITATION TO BID SUPPLY AND DELIVERY OF MATERIALS FOR INSTALLATION OF LIGHTING POST AND ELECTRICAL WORKS 1.	The Balingasag Water District, through the Balingasag Water District Fund of 2020 intends to apply the sum of One Hundred Twenty Two Thousand Seve</t>
  </si>
  <si>
    <t xml:space="preserve"> INVITATION TO BID CONSTRUCTION OF ROAD NETWORK FOR SANITARY LANDFILL FACILITY OF LGU BULUAN, MAGUINDANAO (ITB No. 04-CW-2020)</t>
  </si>
  <si>
    <t xml:space="preserve"> Republic of the Philippines Province of Negros Occidental CITY OF TALISAY INVITATION TO BID  Road Rehabilitation located at the following:  Lot 1) Hacienda Cataywa - Barangay Concepcion, Hacienda Esmeralda 3 - Barangay Katilingban, Hacienda Esmeralda 2 - </t>
  </si>
  <si>
    <t xml:space="preserve"> Item No.	Qty	DESCRIPTION				Unit 						 1	7	Plastic Table, 4 Seaters, Good Quality, White				Pcs. 2	70	Plastic Chairs with Backrest, Good Quality, White				Pcs.</t>
  </si>
  <si>
    <t xml:space="preserve"> Portland cement	69 bags Graded gravel	6 m3 Sand	6 m3 4” x 8” x 16 CHB	490 pcs 4” x 8” x 8’ coco lumber	10 pcs 10mm ø RSB	75 pcs 12 mm ø RSB	39 pcs #16 Tie Wire	9 kgs ¼ ordinary plywood	5 pcs 1” CWN	2 kgs 2 ½” CWN	2 kgs 3” CWN	2 kgs 4” CWN	2 kgs Hacksaw bl</t>
  </si>
  <si>
    <t xml:space="preserve"> Portland cement	52 bags Fine Sand	4.5 m3 Graded gravel (3/4” ø) 	5 m3 12 mm ø x 6m RSB	31 pcs #16 Tie Wire	23 kl 10mm ø 6m RSB	69pcs 4 x 8 x 16 CHB	535 pcs PVC Door 0.70 x 2.1m	1 set Panel door 0.80 x 2.1	 2 sets Stainless lavatory with P-trap &amp; strainer	</t>
  </si>
  <si>
    <t xml:space="preserve"> INVITATION TO BID Bid Reference No.  ____________ SUPPLY AND DELIVERY OF BOOKS FOR CRIMINOLOGY PROGRAM (IC) Approved Budget for the Contract (ABC):  Php 359,236.03 1.	The Municipal Government Unit of Initao, Misamis Oriental intends to apply the sum of: T</t>
  </si>
  <si>
    <t xml:space="preserve"> INVITATION TO BID SUPPLY AND DELIVERY OF DRUGS AND MEDICINES FOR THE CITY HEALTH OFFICE 1.	The Local Government Unit of Cabadbaran City through the GENERAL FUND intends to apply the sum of ONE MILLION TWO HUNDRED EIGHTY TWO THOUSAND FIVE HUNDRED FIFTY-SEV</t>
  </si>
  <si>
    <t xml:space="preserve"> Republic of the Philippines Cordillera Administrative Region Mountain Province MUNICIPALITY OF TADIAN OFFICE OF THE BIDS AND AWARDS COMMITTEE INVITATION TO BID FOR PROCUREMENT OF BARANGAY QUARANTINE FACILITY CONSTRUCTION MATERIALS – CLUSTER 1 Date: August</t>
  </si>
  <si>
    <t xml:space="preserve"> INVITATION TO BID IB No. 2020-009 BAC I SUPPLY, DELIVERY, INSTALLATION, TESTING AND COMMISSIONING OF BRAND-NEW BED/ PASSENGER ELEVATOR (RE-BID) 1.	The Baguio General Hospital &amp; Medical Center (BGHMC) through the Government of the Philippines (GOP)/ Hospit</t>
  </si>
  <si>
    <t xml:space="preserve"> 1.	The Amang Rodriguez Memorial Medical Center (ARMMC), through its COVID Fund, intends to apply the sum of Four Million Seven Hundred Fifty Three Thousand Nine Hundred Twenty Pesos Only (PhP4,753,920.00) being the Approved Budget for the Contract (ABC) t</t>
  </si>
  <si>
    <t xml:space="preserve"> Local Government Unit										 Imelda, Zamboanga Sibugay										 										 INVITATION TO APPLY FOR ELIGIBILITY AND TO BID										 										 The Local Government Unit  of Imelda, Zamboanga Sibugay , through its Bids and  Awards Committee (BAC),					</t>
  </si>
  <si>
    <t xml:space="preserve"> Furniture and Fixtures to be used in the Multiple Intelligence Resource Center and Campus Library</t>
  </si>
  <si>
    <t xml:space="preserve"> The Ministry of Human Settlements and Development-BARMM, through the BARMM Appropriation Act 2020, intends to apply the sum of One Million Eight Hundred Thousand Pesos Only (Php 1, 800,000.00) being the Approved Budget for the Contract (ABC) to payments u</t>
  </si>
  <si>
    <t xml:space="preserve"> 2         UNITS       ALL-IN-ONE COMPUTER                             INTEL CORE i5-8265U                              4GB RAM, 1TB HDD                             23.8" FHD DISPLAY                              NVIDIA GeFORCE MX 130-2GB                   </t>
  </si>
  <si>
    <t xml:space="preserve"> INVITATION TO BID FOR  Supply and Delivery of two (2) units Brand New  2020 6-Wheeler Truck with Customized Body  (LLFC-GAP-20-002) 1.	LBP Leasing and Finance Corporation (LLFC), through its Approved Budget for the Contract (ABC), approved by the its Boar</t>
  </si>
  <si>
    <t xml:space="preserve"> One (1) job Furnishing of Labor and Materials for the Solid Waste Management Program (Construction of RCA, Construction of Wash Area and Water System at Brgy. Capaliz, Dumangas, Iloilo</t>
  </si>
  <si>
    <t xml:space="preserve"> IMPROVEMENT OF FMR AT SITIO BANTOLINAO,BARANGAY PADIAY, SIBAGAT AGUSAN DEL SUR</t>
  </si>
  <si>
    <t xml:space="preserve"> Portland Cement 9mm dia. RSB Tie Wire Common Nails (Assorted) CHB 4"x8"x16' Sand Gravel</t>
  </si>
  <si>
    <t xml:space="preserve"> Submission of Quotation on a sealed envelope submit it to  UPLB BAC Secretariat SPMO Rambutan, Road. Telephone No. (049) 544-0382</t>
  </si>
  <si>
    <t xml:space="preserve"> Republic of the Philippines Province of Negros Oriental City of Guihulngan Bids and Awards Committee INVITATION TO BID (ITB No. PB2020-071) The  City of  Guihulngan, through its Bids and Awards Committee (BAC), invites contractors registered with and clas</t>
  </si>
  <si>
    <t xml:space="preserve"> Std. Form No.: SF-05	 										Revised on: July 28, 2005	 											 Republic of the Philippines											 City Government of Ormoc											 2nd /F New Ormoc City Hall Bldg., Ormoc City											      Tel. # (053) 255-2054  &amp; 560-8050 											   </t>
  </si>
  <si>
    <t xml:space="preserve"> Request for Quotation for the Procurement of 300 bags Copra Meal needed for the DA SAAD Native Chicken Production Project in the Province of Bohol 1.	The Department of Agriculture-Regional Field Office 7 (DA-RFO 7), through the General Appropriations Act </t>
  </si>
  <si>
    <t xml:space="preserve"> 30        SACKS       CRUMBLE 45        SACKS       CRACK CORN 45        SACKS       PIGEON PELLET</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</si>
  <si>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</si>
  <si>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Correction tape	6 pc Clip (expanded)	6 pc Pentel pen	6 pc Ballpen	2 box Record book (500pages)	10 pc Tissue paper	10 roll Bond paper (long)	30 ream Bond paper (short)	60 ream Glass cleaner	2 bottle Pencil #2	1 box Masking tape #2	3 pc Expanded folder	2 pc</t>
  </si>
  <si>
    <t xml:space="preserve"> 1 	lot	One Lot Job for the furnishing of materials, labor and equipment including installation of  Microphone/Line Mixer, Power Amplifier, Passive Speakers, Roll-up Projector Screen, &amp; replacement of existing Audio Wires &amp; Cables. For the Replacement/Upgr</t>
  </si>
  <si>
    <t xml:space="preserve"> Republic of the Philippines Province of Iloilo Municipality of Lambunao Office of the Bids &amp; Awards Committee INVITATION TO BID/ REQUEST FOR PRICE QUOTATION Name of Project: Purchase of Materials for the Continuing - Const. of Multi Purpose Hall (Extensio</t>
  </si>
  <si>
    <t xml:space="preserve"> Blue Guards    2 Heads  TERMS OF REFERENCE I. JOB TITLE: Blue Guard (Security Services) II. BACKGROUND Bohol Island State University Clarin Campus, Poblacion Norte, Clarin, Bohol is located in the coastal area. Its northern property boundary runs parallel</t>
  </si>
  <si>
    <t xml:space="preserve"> Local Government Unit of Irosin						                                            GOOD 24-2020                 Supply &amp; Delivery of Hardware/Materials &amp; Rental of Equipment for the Rehabilitation of Tongdol, Caracdacan, Carriedo, Buenavista and San Julian-</t>
  </si>
  <si>
    <t xml:space="preserve"> 5       ROLLS       B-NET                            DOUBLE WIDTH (BLACK COLOR) 5       ROLLS        B-NET                             DOUBLE WIDTH (GREEN COLOR) 10     KGS            MONOFILAMENT NYLON #90mm</t>
  </si>
  <si>
    <t xml:space="preserve"> The Ministry of Human Settlements and Development-BARMM, through the BARMM Appropriation Act 2020, intends to apply the sum of Nineteen Million Two Hundred Ninety Thousand Five Hundred Fifty Nine Pesos and 20/100 (Php 19, 290,559.20)  being the Approved B</t>
  </si>
  <si>
    <t xml:space="preserve"> Printer  Functions: PRINT, SCAN, COPY Printer Type: Inkjet Printer Print speed: 12/10 ipm Paper type: Plain, Inkjet, Glossy (cast/resin)	1 pc Laptop Notebook Slip type SSD 256 CPU: core i5 Processor Model: Intel Core i5-8300H RAM: 4GB Memory Type: DDR4 Me</t>
  </si>
  <si>
    <t xml:space="preserve"> 4         PCS        3SMF BATTERY, 12VOLTS 2         PCS        AIR CLEANER ELEMENT, CANTER 1         PC          CLUTCH PRESSURE DISC 1         PC          CLUTCH DISC</t>
  </si>
  <si>
    <t xml:space="preserve"> 1. 30 pcs. Face Mask Re-usable/Re-washable Bacterial filtration efficiency (BFE) Cottony Cloth With tie on or earloop Color: Black 2. 55 boxes Face Mask 3 ply cotton Disposable 50’s 3. 50 pcs. Normal Saline Solution 0.9% NaCl for wound irrigation 1L 4. 50</t>
  </si>
  <si>
    <t xml:space="preserve"> 4                UNITS                  PRINTER                                                600X600 dpi RESOLUTION                                                MONOCHROME, USB CONNECTIVITY W/ SCANNER                                                16 </t>
  </si>
  <si>
    <t xml:space="preserve"> Republic of the Philippines PROVINCE OF AKLAN Kalibo -oOo- BIDS AND AWARDS COMMITTEE (BAC) INVITATION TO BID 1.	The Provincial   Government   of   Aklan, through   20% IRA Development Fund CY 2017 intends   to   apply   the   sum   of  One Million Nine Hu</t>
  </si>
  <si>
    <t xml:space="preserve"> Supply, Delivery and Installation of Water Filtration and Purification System Water Purification System, 1 set Must be DOH Accredited  Capacity: 2,000-3,000 GPD a) 24 stages Filtration and Purification Process b) Reverse Osmosis Membrane c) System Install</t>
  </si>
  <si>
    <t xml:space="preserve"> Supply and Delivery of Materials for the Construction of Multi-Purpose Building.</t>
  </si>
  <si>
    <t xml:space="preserve"> 1.	The Amang Rodriguez Memorial Medical Center (ARMMC), through its COVID Fund, intends to apply the sum of Thirty Million Three Hundred Thirty Eight Thousand Twenty Five Pesos Only (PhP30,338,025.00) being the Approved Budget for the Contract (ABC) to pa</t>
  </si>
  <si>
    <t xml:space="preserve"> Contract ID			:	20GEG0007					 Contract Name  			:	Supply/Delivery of Office Equipment and Supplies for the use of Road Condition					 				and Inventory Surveys, Roughness Surveys, VOC/RUC Surveys and Technology					 				Enhancement for RBIA  CY-2020					</t>
  </si>
  <si>
    <t xml:space="preserve"> Procurement of Road Safety Devices and Supplies for the use of Planning and Design Section, DPWH Iloilo 2nd DEO, Balabag, Dumangas, Iloilo</t>
  </si>
  <si>
    <t xml:space="preserve"> RFQ (20-08-054) Enteral Nutrition for Cancer Patients 380g; Enteral Nutrition-Semi Elemental Nutrition with whey peptide or partiallt hydrolyzed protein</t>
  </si>
  <si>
    <t xml:space="preserve"> Invitation to Bid The LGU of Hindang, Leyte through its Bids and Awards Committee (BAC) invites the PhilGEPS registered Contractors to apply to bid for the Expansion of Level II Water Supply System of Brgy. Himacugo. Specifications: I. Mobilization/Demobi</t>
  </si>
  <si>
    <t xml:space="preserve"> PROJECT: CONSTRUCTION OF STEEL CANAL COVER  LOCATION: BARANGAY PANALICSICAN, CONCEPCION, TARLAC APPROVED BUDGET FOR THE CONTRACT: PHP 102,680.00 SOURCE OF FUND: 20% BDF The contract to be performed by the successful bidder shall be specified in the Techni</t>
  </si>
  <si>
    <t xml:space="preserve"> Procurement of TABLET INVITATION TO BID (July 20, 2020) THE ILOILO SCIENCE AND TECHNOLOGY UNIVERSITY (ISAT U), Burgos Street,  La Paz, Iloilo City,  invites interested Suppliers/Bidders to apply for eligibility and to bid for the hereunder project: Name o</t>
  </si>
  <si>
    <t xml:space="preserve"> Republic of the Philippines Department of Transportation LAND TRANSPORTATION OFFICE Region 1 San Fernando City, La Union  Invitation to Bid    Construction of New Office Building, Laoag City (LTO Laoag District Office) LTO-R1-2020B-001 1.	The Land Transpo</t>
  </si>
  <si>
    <t xml:space="preserve"> BEMO-2020-0196 Rebidding INVITATION TO BID FOR THE PROCUREMENT OF LABOR, EQUIPMENT, AND MATERIALS FOR THE EXPANSION OF GIANT CLAM HATCHERY AT BFAR, SINANDINGAN, UBAY, BOHOL ABC: P 764,086.98 COST OF BID DOCUMENTS: P 1,000.00 ADVERTISEMENT PERIOD: AUGUST 1</t>
  </si>
  <si>
    <t xml:space="preserve"> Security Services Provider of Three (3) Security Guards at DepEd RO-IX, Balintawak, Pagadian City			 3 Shift @ 8 hours per Security Guard			 Morning Duty - Female			 Php 15,000.00/personnel/month			 Requirements:			 1. Security Agency			 PhilGEPS Certific</t>
  </si>
  <si>
    <t xml:space="preserve"> Republic of the Philippines City Government of Cotabato BIDS AND AWARDS COMMITTEE Cotabato City INVITATION TO BID  FOR THE PURCHASE OF  RESCUE VEHICLES 1.	The City Government of Cotabato, through the Local Risk Reduction Development intends to apply the s</t>
  </si>
  <si>
    <t xml:space="preserve"> Republic of the Philippines Province of Negros Oriental City of Guihulngan Bids and Awards Committee INVITATION TO BID (ITB No. PB2020-068) The  City of  Guihulngan, through its Bids and Awards Committee (BAC), invites contractors registered with and clas</t>
  </si>
  <si>
    <t xml:space="preserve"> Drilling Rig Works, Electrical Plugging of Boreholes, Well Design (Installation of Casing GI Pipe), Air Lifting and Pump Test, Re-Installation/Installation of Pump/Pipe, Sealing/Grouting</t>
  </si>
  <si>
    <t xml:space="preserve"> REQUEST FOR QUOTATION The Local Government Unit of Molave, through its Bids and Awards Committee, will undertake a Small Value Procurement for the Purchase of Various Merchandise and Kitchen Appliances to be Used in Dep-Ed- Molave East District Office in </t>
  </si>
  <si>
    <t xml:space="preserve"> 666 METERS LABOR COST OF EXCAVATION, BACKFILLING AND RESTORATION AT PUROK 5, BRGY. BALIGATAN, CITY OF ILAGAN, ISABELA</t>
  </si>
  <si>
    <t xml:space="preserve"> The National Housing Authority Region IX &amp; BARMM, through its Regional Office Bids and Awards Committee (ROBAC), intends to procure Office Furniture/Fixtures which will be undertaken in accordance with Section 53.9 of the 2016 Revised Implementing Rules a</t>
  </si>
  <si>
    <t xml:space="preserve"> INVITATION TO BID SUPPLY AND DELIVERY OF VARIOUS LED ROPE LIGHTS 1.	The Local Government Unit of Cabadbaran City through the GENERAL FUND intends to apply the sum of FOUR HUNDRED FIFTY-FIVE THOUSAND FIVE HUNDRED PESOS ONLY (P 455,500.00) being the Approve</t>
  </si>
  <si>
    <t xml:space="preserve"> To supply equipment and accessories for the construction and installation of a community radio station for distant learning. NOTE : SUPPLIER MUST APPLY FOR A PERMIT WITH NATIONAL TELECOMMUNICATION ( NTC )</t>
  </si>
  <si>
    <t xml:space="preserve"> The Bids and Awards Committee								 Province of Iloilo								 								      In connection with your Invitation to Bid No. PEO-20-0898 B (Rebid) scheduled on September 4, 2020, I/we proposed to furnish and deliver in conformity with the terms and condit</t>
  </si>
  <si>
    <t xml:space="preserve"> The Department of Public Works and Highways Ilocos Norte Second District Engineering Office , through its Bids and Awards Committee (BAC) for Goods, invites suppliers to submit bids for the following Contract: Contract ID: 20GAB0005 Contract Name/Location</t>
  </si>
  <si>
    <t xml:space="preserve"> Republic of the Philippines SILAY CITY GOVERNMENT Zamora Street Silay City, Negros Occidental Telefax No. (034) 495-3746 	Control  Reference Number : GOODS#0160, ITB#0163,  PR#0528: SCG-2020 Name of the Project: Purchase of Gasoline Premium for use in Gov</t>
  </si>
  <si>
    <t xml:space="preserve"> 1 unit Dual-powered solar dryer</t>
  </si>
  <si>
    <t xml:space="preserve"> INVITATION TO BID The Municipal Government of La Trinidad through the Bids and Awards Committee (BAC) invites contractors to bid for the hereunder project: Contract Reference No.: POW - 8751 - 2020 - PCO - 13 Name of Project: Improvement of Drainage Canal</t>
  </si>
  <si>
    <t xml:space="preserve"> GLOVES ALCOHOL 70% CLIP BOARD STAMP PAD</t>
  </si>
  <si>
    <t xml:space="preserve"> The Municipality of President Roxas (MPR), through the 2020 Special Education Fund (SEF-Realignment), intends to apply the sum of Four Hundred Seventy Thousand Pesos (Php 470,000.00) being the Approved Budget for the Contract (ABC) to payments under the c</t>
  </si>
  <si>
    <t xml:space="preserve"> Description Republic of the Philippines Province of Ifugao Municipality of Asipulo BIDS AND AWARDS COMMITTEE INVITATION TO BID INFRASTRUCTURE PROJECTS The Municipal Government of Asipulo, through the Mun. Development Fund/Municipal Calamity Fund of 2020 i</t>
  </si>
  <si>
    <t xml:space="preserve"> 1. Improvement of all waiting shed from Dantay-Sagada –MDF 2019             707,264.08 2. Continuation of Ankileng water system –MDF 2016                                   289,465.27 3. Improvement of Guedangan  CIS  -MDF 2018                             </t>
  </si>
  <si>
    <t xml:space="preserve"> Republic of the Philippines  City of Canlaon Office of the Bids and Awards Committee  INVITATION TO BID FOR the DIGITAL PRODUCTION FOR THE PROMOTION OF CANLAON CITY The Local Government of Canlaon City, through Res. 53.6.1.e intends to apply the sum of Tw</t>
  </si>
  <si>
    <t xml:space="preserve"> The Municipality of San Mariano, Isabela invite bidders to participate in this procurement, Title: Concreting of Binatug-Luzcon Gangalan Road Section Including Cross Drainage Location: Brgy. Gangalan, San Mariano, Isabela Approved Budget: Php. 11,537,620.</t>
  </si>
  <si>
    <t xml:space="preserve"> 2        UNITS        DESKTOP COMPUTER                              - CORE i7 PROCESSOR                              -  16gb MEMORY DDR4                              -  1TB HDD                              -  MSI/GIGABYTE MOTHERBOARD                      </t>
  </si>
  <si>
    <t xml:space="preserve"> Republic of the Philippines CITY OF MALABON Metro Manila BIDS AND AWARDS COMMITTEE I N V I T A T I O N    T O    B I D SUPPLY AND DELIVERY OF GROCERY ITEMS FOR THE PROJECT  “FOOD FOR WORK PROGRAM 2020” 1.	The City Government of Malabon, through the Genera</t>
  </si>
  <si>
    <t xml:space="preserve"> Section I. Invitation to Bid FOR THE UPLB-S-053-09-20  SUPPLY AND DELIVERY OF BRANDED AND BRAND NEW AGRICULTURAL MACHINERY AND EQUIPMENT 1.	The UNIVERSITY OF THE PHILIPPINES LOS BAÑOS (UPLB), through the GOP intends to apply the sum of FIVE HUNDRED SIXTY-</t>
  </si>
  <si>
    <t xml:space="preserve"> Republic of the Philippines CITY OF MALABON Metro Manila BIDS AND AWARDS COMMITTEE I N V I T A T I O N    T O    B I D SUPPLY AND DELIVERY OF DRUGS AND MEDICINES FOR  THE OSPITAL NG MALABON (3RD QUARTER) 1.	The City Government of Malabon, through the Gene</t>
  </si>
  <si>
    <t xml:space="preserve"> 100 reams		Book Paper for BN Certificates, A4 Size, GSM 100 200 reams		Bondpaper A4, S-24, GSM-80, Multicopy 60 reams		Mimeo Paper Long 40 reams		Mimeo Paper A4 800 pcs.		Folder Long,  Tagboard (Brown) 12 bxs.		Plastic  Coated Fastener 8 1/2" 2 pcs.		HP i</t>
  </si>
  <si>
    <t xml:space="preserve"> REPUBLIC OF THE PHILIPPINES CITY GOVERNMENT OF OROQUIETA BIDS AND AWARD COMMITTEE City Hall, Oroquieta City                                                                                                                       August 18, 2020              </t>
  </si>
  <si>
    <t xml:space="preserve"> REQUEST FOR QUOTATION The Local Government Unit of Molave, through its Bids and Awards Committee, will undertake a Small Value Procurement for the Purchase of Various Office Furnitures to be Used in Dep-Ed- Molave East District Office in accordance with S</t>
  </si>
  <si>
    <t xml:space="preserve"> Name of Project: Supply, Delivery, Testing, Installation and Commissioning of One (1) unit-130KVA Brand New, Skid Mounted Diesel Engine Generator Set for San Vicente Pumping Station Approved Budget for the Contract: Php 1,500,000.00 Delivery Period; withi</t>
  </si>
  <si>
    <t xml:space="preserve"> The Municipality of Limay, through its Bids and Awards Committee (BAC) invites registered contractors to apply for eligibility and if found eligible, to bid for the hereunder project/contract: Project/Contract:REHABILITATION REPAINTING, FABRICATION AND IN</t>
  </si>
  <si>
    <t xml:space="preserve"> 1.	The Provincial Government of Batanes, through 5% Calamity Fund intends to apply the sum of Two Hundred Fifty Thousand Pesos Only (₱ 250,000.00), being the Approved Budget for the Contract (ABC) to payments under the contract for Supply and Delivery of </t>
  </si>
  <si>
    <t xml:space="preserve"> The DPWH-Regional Office I, through its Bids and Awards Committee (BAC), invites contractors to submit bids for the following Contract: Contract ID: 21A00011 Contract Name: Retrofitting/Strengthening of Permanent Bridges, Quiray Bridge (B04488LZ) along Pa</t>
  </si>
  <si>
    <t xml:space="preserve"> SUPPLY AND DELIVERY OF ONE (1) UNIT ENGINE TYPE/SD 16 FOR REPAIR OF SHANTUI BULLDOZER REPAIR</t>
  </si>
  <si>
    <t xml:space="preserve"> Republic of the Philippines Province of Leyte Municipality of Hilongos INVITATION TO RE-BID FOR THE PROCUREMENT OF MATERIALS FOR THE COMPLETE REPAIR OF 40FT REINFORCED FIBER GLASS PATROL BOAT WITH ACCESSORIES 1.  The Local Government Unit of Hilongos, thr</t>
  </si>
  <si>
    <t xml:space="preserve"> IMPROVEMENT OF DRAINAGE Invitation to Bid for 1.	The BLGU Sto Tomas Camaligan, Cam. Sur, through the 20% EDF from 2020 intends to apply the sum of  One hundred Sixty thousand Three Hundred Thirty Six Pesos &amp; 95/100 (P 160,336.95) being the Approved Budget</t>
  </si>
  <si>
    <t xml:space="preserve"> MATERIALS FOR CONSTRUCTION OF FOOT BRIDGE 25 BAGS PORTLAND CEMENT 10 KLS G.I WIRE #16 4 CU.M SAND WASHED 7 CU.M GRAVEL WASHED 8 PC G.I PIPE 2" X6M 4 KLS WELDING ROD 60 PCS RSmm 30 pcs RSB 12mm 300 bd.ft COCOLUMBER 50-2X3X12 8 PCS ORD. PLYWOOD 2KL COMMON N</t>
  </si>
  <si>
    <t xml:space="preserve"> 1. 2   heads - Buck (Boer) 7 mos. old 20 kgs. each upgraded  in Health Condition &amp; without Any abnormalities. 2. 10 heads - Doe (Boer) 7 mos. old 20 kgs. each upgraded  in Health Condition &amp; without Any abnormalities. Requirements:  2020 PhilGeps Registra</t>
  </si>
  <si>
    <t xml:space="preserve"> REQUEST FOR QUOTATION REFERENCE NO.: MR20-07-066 We are inviting all interested suppliers to submit their best quotation for the PROCUREMENT FOR THE SUPPLY OF LABOR AND MATERIALS FOR THE INSTALLATION OF TWO (2) UNITS OF 2TR INVERTER SUSPENDED TYPE AIRCON </t>
  </si>
  <si>
    <t xml:space="preserve"> Republic of the Philippines Province of Leyte Local Government Unit Bato, Leyte INVITATION TO BID SUPPLY AND DELIVERY OF VARIOUS MATERIALS FOR THE RENOVATION OF MUNICIPAL GROUND FLOOR-NORTH WING SIDE, BATO MUNICIPAL HALL, BATO, LEYTE (BATGOODS 2020-08-020</t>
  </si>
  <si>
    <t xml:space="preserve"> INVITATION TO BID The Municipal Government of La Trinidad through the Bids and Awards Committee (BAC) invites contractors to bid for the hereunder project: Contract Reference No.: POW - 8751 - 2020 - PCO - 07 Name of Project: Rehabilitation of Gutters and</t>
  </si>
  <si>
    <t xml:space="preserve"> Republic of the Philippines City Government of Cotabato BIDS AND AWARDS COMMITTEE Cotabato City INVITATION TO BID  FOR THE PURCHASE OF  VARIOUS  MATERIALS FOR  DOLE INTEGRATED LIVELIHOOD EMERGENCY EMPLOYMENT PROGRAM 1.	The City Government of Cotabato, thr</t>
  </si>
  <si>
    <t xml:space="preserve"> Concreting of an average of 75lm X 2.0m X 0.15m for continuation of the other half of 4m Barangay road at sitio Pag-asa Lower, and an average of 50lm X 3.0m X 0.15m of sitio Paraiso, Ningning Upper, Bagong Silang and Pag-asa Upper.</t>
  </si>
  <si>
    <t xml:space="preserve"> SectionI. Invitation to Bid Republic of the Philippines Province of Misamis Occidental MUNICIPALITY OF PANAON Invitation to Bid for COMPLETION OF MULTI-PURPOSE BUILDING AT PUBLIC MARKET 									August 17, 2020 1.	The Municipality of Panaon, Misamis Occid</t>
  </si>
  <si>
    <t xml:space="preserve"> 4	pcs.	Tire for ISUZU NKR Dropside body w/ Plate No. SLA-971 		Size : 7.50/15 LT 4	pcs.	Tire for ISUZU NQR71RL w/ Dumptruck body   		Size :  8.25/16 LT 4	pcs.	Tire for ISUZU Dropside and Telescopic crane 		Size :  8.25/16 LT 4	pcs.	Tire for ISUZU FRR90SL </t>
  </si>
  <si>
    <t xml:space="preserve"> Supply, Delivery and Installation of Equipment, Tools and Machinery for Food Processing and Toll Packaging Table Top Ginger Pulverizing Machine, 1 unit Dimension: 500x300x540mm Capacity: 5-10 kg/hr Grinding Trough Size: 175 x 80mm Rotation Rate of Motor: </t>
  </si>
  <si>
    <t xml:space="preserve"> Purchase of Fuel &amp; Lubricants.</t>
  </si>
  <si>
    <t xml:space="preserve"> REQUEST FOR QUOTATION The Local Government Unit of Molave, through its Bids and Awards Committee, will undertake a Small Value Procurement for the Purchase of Various Appliances to be Used in DepEd-Molave East District Office in accordance with Section 53</t>
  </si>
  <si>
    <t xml:space="preserve"> Republic of the Philippines CITY GOVERNMENT OF ORMOC  2nd /F New Ormoc City Hall Bldg.,Ormoc City Tel # (053) 255-2054 &amp; 560-8050 Local # 1126, 1127 &amp; 1123	      CB 41-________________________ INVITATION TO BID         The City Government of Ormoc, throug</t>
  </si>
  <si>
    <t xml:space="preserve"> Procurement of Vehicle Rental  		Conduct of Hybrid Rice Model Farm Cluster Farmer’s Field Day 		Date: October 27, 2020 6	unit	Iloilo City to Banate (vice versa) 2	unit	Dumalag to Banate (vice versa) 		Date: October 28, 2020 2	unit	Barbaza to Banate (vice </t>
  </si>
  <si>
    <t xml:space="preserve"> Republic of the Philippines  Province of Cebu Municipality of Boljoon INVITATION TO BID FOR the purchase of I.T. Equipment 1.	The Municipality of Boljoon, through the General Fund, Mayors Office, SWO Capital Outlay, Capital Outlay PESO, MOOE 2020 in the a</t>
  </si>
  <si>
    <t xml:space="preserve"> Republic of the Philippines BIDS AND AWARDS COMMITTEE Province of Iloilo Invitation to Bid Purchase of Drugs &amp; Medicines  Bid No. CLI-20-0355-B(REBID2) 1. The Iloilo Provincial Government, through the 2020 GENERAL FUNDS intends to apply the sum of Seven H</t>
  </si>
  <si>
    <t xml:space="preserve"> Republic of the Philippines CITY OF MALABON Metro Manila BIDS AND AWARDS COMMITTEE I N V I T A T I O N    T O    B I D SUPPLY AND DELIVERY OF MEDICAL, DENTAL AND LABORATORY  SUPPLIES FOR THE OSPITAL NG MALABON (3RD QUARTER) 1.	The City Government of Malab</t>
  </si>
  <si>
    <t xml:space="preserve"> Agricultural Products for FBS Extension Support **Please refer to an attached RFQ for the items **Please see an attached document in ASSOCIATED COMPONENTS for the RFQ</t>
  </si>
  <si>
    <t xml:space="preserve"> INVITATION TO BID SUPPLY AND DELIVERY OF VARIOUS SUPPLIES AND MATERIALS FOR CHRISTMAS DECORATION (FESTIVAL OF LIGHTS) 1.	The Local Government Unit of Cabadbaran City through the GENERAL FUND intends to apply the sum of ONE HUNDRED EIGHTY THOUSAND FOUR HUN</t>
  </si>
  <si>
    <t xml:space="preserve"> 40      pcs Full HD Web Camera 50 pcs 4g LTE Mobile Wifi 50 pcs 1 terabyte External HDD 24 months Subscription of CAnva Pro Pls See attached Purchase Request for Complete Description Pls Contact Mr. Arnie Timoteo Chief MIS for any query/ clarification 092</t>
  </si>
  <si>
    <t xml:space="preserve"> Republic of the Philippines Province of Quirino MUNICIPALITY OF CABARROGUIS OFFICE OF THE BIDS AND AWARDS COMMITTEE Invitation to Bid for the  Improvement of Potable Water System at Mangandingay, Cabarroguis, Quirino 1.	The Local Government Unit of Cabarr</t>
  </si>
  <si>
    <t xml:space="preserve"> Republic of the Philippines PROVINCE OF BUKIDNON Municipality of Sumilao ITB No. GS- 2020-45 NEGOTIATED PROCUREMENT – TWO FAILED COMPETITIVE PUBLIC BIDDING REQUEST FOR QUOTATION In view of the two (2) failed biddings, the  LGU Sumilao through its Bids and</t>
  </si>
  <si>
    <t xml:space="preserve"> VARIOUS SIZES V-NECK T-SHIRT</t>
  </si>
  <si>
    <t xml:space="preserve"> Printing/Reproduction of Modules for Kindergarten to Grade 6 size A4, Sub 20, 70gsm and must be arrange, with sorting and stapled and the printing must not be back to back.</t>
  </si>
  <si>
    <t xml:space="preserve"> INVITATION TO BID SUPPLY AND DELIVERY OF TEN (10) SETS BRAND NEW COMPUTER DESKTOP WITH COMPUTER TABLE and ACCESSORIES, ALS, SFADS The Municipal Government of San Francisco, Agusan del Sur, through the BIDS and AWARDS COMMITTEE (BAC) intends to apply the s</t>
  </si>
  <si>
    <t xml:space="preserve"> Description is indicated in the ITB</t>
  </si>
  <si>
    <t xml:space="preserve"> INVITATION TO BID The Municipal Government of La Trinidad through the Bids and Awards Committee (BAC) invites contractors to bid for the hereunder project: Contract Reference No.: POW - 8751 - 2020 - ALA - 02 Name of Project: Construction of Flood Control</t>
  </si>
  <si>
    <t xml:space="preserve"> Republic of the Philippines DEPARTMENT OF PUBLIC WORKS AND HIGHWAYS CAGAYAN 2ND DISTRICT ENGINEERING OFFICE Regional Office II Abulug, Cagayan INVITATION TO BID FOR  CLUSTER NO. 2020-07-GOODS The DPWH -Cagayan 2nd District Engineering Office through the B</t>
  </si>
  <si>
    <t xml:space="preserve"> The Local Government Unit of General Santos City, through the GENERAL FUND CY 2020 intends to apply the sum of four hundred eighty-seven thousand five hundred ninety and xx / 100 Pesos Only (487,590.00) being the Approved Budget for the Contract (ABC) to </t>
  </si>
  <si>
    <t xml:space="preserve"> Republic of the Philippines CITY GOVERNMENT OF ORMOC  2nd /F New Ormoc City Hall Bldg.,Ormoc City Tel # (053) 255-2054 &amp; 560-8050 Local # 1126, 1127 &amp; 1123	      CB 42-________________________ INVITATION TO BID         The City Government of Ormoc, throug</t>
  </si>
  <si>
    <t xml:space="preserve"> Barangay Sta. Lucia Municipality of Dolores, Quezon INVITATION TO BID FOR IMPROVEMENT OF HEALTH CENTER &amp; EXTENSION OF HEIGHT FOR FENCE The LGU, through  the General  Fund ( 20% DF)–intends to apply the sum of   Eighty Thousand  Pesos  (P 80,000.00)] being</t>
  </si>
  <si>
    <t xml:space="preserve"> Republic of the Philippines MUNICIPALITY OF ECHAGUE Province of Isabela INVITATION TO BID FOR  THE  PROCUREMENT OF  COVID 19 RAPID ANTIBODY TEST KITS  1.	The Local Government Unit , through  the   GENERAL   FUND  OF 2020  intends to apply the sum of  ONE </t>
  </si>
  <si>
    <t xml:space="preserve"> INVITATION TO BID  Public Bidding  CONTRACT FOR THE SUPPLY AND DELIVERY OF   ONE UNIT MOBILE RICE MILL/ROLLING CONO UNDER CRFP CY 2020 OF ARBDSP The DAR Southern Leyte, Disposal Committee, through its Bids and Awards Committee (BAC) invites interested bid</t>
  </si>
  <si>
    <t xml:space="preserve"> Republic of the Philippines SILAY CITY GOVERNMENT Zamora Street Silay City, Negros Occidental Telefax No. (034) 495-3746 	Control  Reference Number : GOODS#0161, ITB#0164,  PR#0529: SCG-2020 Name of the Project: Purchase of DIESEL FUEL for use in all Gove</t>
  </si>
  <si>
    <t xml:space="preserve"> INVITATION TO BID  The DPWH-Marinduque District Engineering Office, Boac, Marinduque, through its Bids and Awards Committee (BAC), invites contractors to submit bids for the following Contract:   Procurement ID/Contract ID:	20EA0059 Contract Name: Constru</t>
  </si>
  <si>
    <t xml:space="preserve"> PROCUREMENT OF THE FOLLOWING SERVICES: CONCRETING OF 60 LINEAR METERS x 2.5 METERS WIDTH x 0.15 METER BARANGAY ROAD. A, MATERIALS B. LABOR C. HAULING SERVICES FOR MORE DETAILS VISIT THE BARANGAY</t>
  </si>
  <si>
    <t xml:space="preserve"> INVITATION TO BID The Municipal Government of La Trinidad through the Bids and Awards Committee (BAC) invites contractors to bid for the hereunder project: Contract Reference No.: POW - 8751 - 2020 - TWG - 02 Name of Project: Rehabilitation of Barangay Mu</t>
  </si>
  <si>
    <t xml:space="preserve"> THE MUNICIPALITY OF PILAR THROUGH LGU BUDGET (TRUST FUND) WOULD LIKE TO PURCHASE THE FOLLOWING:           1. 230 PCS POLO SHIRTS WITH PRINT ASSORTED SIZES (EXTRA-SMALL, SMALL, MEDIUM, LARGE, EXTRA-LARGE DOUBLE XL , TRIPLE XL)</t>
  </si>
  <si>
    <t xml:space="preserve"> JOSE B. LINGAD MEMORIAL REGIONAL HOSPITAL City of San Fernando, Pampanga Tel. No. (045) 961-3921 Date: August 19, 2020 No. 2020 – 08 - 255-S REQUEST FOR QUOTATION (Name of Agency) (Address) Sir/Madam: Please quote your lowest price on the item/s listed be</t>
  </si>
  <si>
    <t xml:space="preserve"> SUPPLY AND DELIVERY OF OFFICE SUPPLY AT GOVERNOR EMILIO GASTON MEMORIAL ELEMENTARY SCHOOL (FREE DELIVERY)</t>
  </si>
  <si>
    <t xml:space="preserve"> The Local Government Unit of General Santos City, through the TRUST FUND CY 2020 intends to apply the sum of one hundred three thousand seven hundred sixteen and xx / 100 Pesos Only (103,716.00) being the Approved Budget for the Contract (ABC) to payments</t>
  </si>
  <si>
    <t xml:space="preserve"> PR NO. 1285 – 20                                           CITY GOVERNMENT OF TACURONG                                               Alunan Highway, Tacurong City Sultan Kudarat                                      BIDS AND AWARDS COMMITTEE               </t>
  </si>
  <si>
    <t xml:space="preserve"> Procurement of supply and delivery of Catering Services 	 140	 pax	Conduct of Hybrid Rice Model Farm Cluster Farmer’s Field Day Date: October 27, 2020 – 1st Batch (70 pax)          October 28, 2020 – 2nd Batch (70 pax) Venue: Brgy. Bariga, Banate, Iloilo	</t>
  </si>
  <si>
    <t xml:space="preserve"> Republic of the Philippines  Province of Cebu Municipality of Boljoon Barangay Lower Becerril INVITATION TO BID FOR the Purchase of Materials for New Multi-Purpose Building 1.	The Barangay Lower Becerril, through the Re-alignment of 20% Devt. Fund CY 2016</t>
  </si>
  <si>
    <t xml:space="preserve"> The Local Government Unit of General Santos City, through the TRUST FUND CY 2020 intends to apply the sum of three hundred fifty-two thousand four hundred and xx / 100 Pesos Only (352,400.00) being the Approved Budget for the Contract (ABC) to payments un</t>
  </si>
  <si>
    <t xml:space="preserve"> Republic of the Philippines Province of Quirino MUNICIPALITY OF CABARROGUIS OFFICE OF THE BIDS AND AWARDS COMMITTEE Invitation to Bid for the  Project Development Initiative- Economic Sector Services at Cabarroguis, Quirino 1.	The Local Government Unit of</t>
  </si>
  <si>
    <t xml:space="preserve"> NAME OF THE PROJECT: Improvement of Evacuation Center  LOCATION OF THE PROJECT: Bgy. Ogod, Donsol, Sorsogon PROJECT REFERENCE NO.:  INFRA-PB-2020-020  Approved Budget for the Contract: ₱1,500,000.00  Source of Fund: 2020 Calamity Fund BRIEF DESCRIPTION OF</t>
  </si>
  <si>
    <t xml:space="preserve"> Invitation to Bid for the  Proposed Construction of National Child Development Center at Cabarroguis, Quirino 1.	The Local Government Unit of Cabarroguis, Quirino, through the ECCD Council intends to apply the sum of TWO MILLION TWO HUNDRED SIXTY FIVE THO</t>
  </si>
  <si>
    <t xml:space="preserve"> INVITATION TO BID The Municipal Government of La Trinidad through the Bids and Awards Committee (BAC) invites contractors to bid for the hereunder project: Contract Reference No.: POW - 8751 - 2020 - PBN - 06 Name of Project: Improvement of FMR at Lower W</t>
  </si>
  <si>
    <t xml:space="preserve"> The Local Government Unit of General Santos City, through the TRUST FUND CY 2020 intends to apply the sum of three hundred fifty-three thousand and xx / 100 Pesos Only (353,000.00) being the Approved Budget for the Contract (ABC) to payments under the con</t>
  </si>
  <si>
    <t xml:space="preserve"> Invitation to Bid  CONCRETING OF FARM-TO-MARKET ROAD (GIMANGPANG) 1.	The Municipal Government of Initao, Misamis Oriental, through its Development Fund, intends to apply the sum of EIGHT HUNDRED SIXTY EIGHT THOUSAND EIGHT HUNDRED THIRTY PESOS (Php 868,830</t>
  </si>
  <si>
    <t xml:space="preserve"> INVITATION TO BID The Municipal Government of La Trinidad through the Bids and Awards Committee (BAC) invites contractors to bid for the hereunder project: Contract Reference No.: POW - 8751 - 2020 - BKL - 05 Name of Project: Construction of Slope Protect</t>
  </si>
  <si>
    <t xml:space="preserve"> Province of Leyte Municipality of Palo INVITATION TO BID FOR  Supply/Delivery of Photocopier Units for the District II of Palo, Leyte  Purchase Request No. 20-07-0422 1.	The Municipality of Palo, through the Special Education Fund (SEF) approved by the Sa</t>
  </si>
  <si>
    <t xml:space="preserve"> JOSE B. LINGAD MEMORIAL REGIONAL HOSPITAL City of San Fernando, Pampanga Tel. No. (045) 961-3921 Date: August 19, 2020 No. 2020 – 08 - 254-S REQUEST FOR QUOTATION (Name of Agency) (Address) Sir/Madam: Please quote your lowest price on the item/s listed be</t>
  </si>
  <si>
    <t xml:space="preserve"> Invitation to Bid The LGU of Hindang, Leyte through its Bids and Awards Committee (BAC) invites the PhilGEPS registered Contractors to apply to bid for the Upgrading of Local Access Road. Specifications: I. Mobilization/Demobilization II. Project Billboar</t>
  </si>
  <si>
    <t xml:space="preserve"> Republic of the Philippines Province of Quirino MUNICIPALITY OF CABARROGUIS OFFICE OF THE BIDS AND AWARDS COMMITTEE Invitation to Bid for the  Construction of Power House of Evacuation Center at Municipal Compound, Cabarroguis, Quirino 1.	The Local Govern</t>
  </si>
  <si>
    <t xml:space="preserve"> (PLEASE SEE ATTACHED ASSOCIATED COMPONENTS) please send Request for Quotation - msbslh14@gmail.com Contact Person:	MHELET BEÑALES (711-69-73)  Quotation must be submitted with company’s letter head. Stating Specification, unit cost and total amount offer.</t>
  </si>
  <si>
    <t xml:space="preserve"> INVITATION TO BID SUPPLY AND DELIVERY OF 1UNIT MCBOOK PRO 13 INCHES USE IN MUNICIPALITY OF BULUAN, MAGUINDANAO (ITB No. 06-Goods-2020)</t>
  </si>
  <si>
    <t xml:space="preserve"> 8.64 SQ.M REFLECTIVE BLUE SLIDING GLASS WINDOW - w/ Alum. Frame &amp; Inst'n., 6.0mm.X1.20m.X1.2</t>
  </si>
  <si>
    <t xml:space="preserve"> The Municipality of Limay, through its Bids and Awards Committee (BAC) invites registered supplier to apply for eligibility and if found eligible, to bid for the hereunder project/contract: Project/Contract: SUPPLIES FOR INSTALLATION OF CABLE TRAY AND RE-</t>
  </si>
  <si>
    <t xml:space="preserve"> Republic of the Philippines Province of Quirino MUNICIPALITY OF CABARROGUIS OFFICE OF THE BIDS AND AWARDS COMMITTEE Invitation to Bid for the  Dredging and Construction/ Extension of Flood Control Project Phase III along Dumatata Burgos, Cabarroguis, Quir</t>
  </si>
  <si>
    <t xml:space="preserve"> The Local Government Unit of General Santos City, through the GENERAL FUND CY 2020 intends to apply the sum of four hundred forty-one thousand and xx / 100 Pesos Only (441,000.00) being the Approved Budget for the Contract (ABC) to payments under the cont</t>
  </si>
  <si>
    <t xml:space="preserve"> INVITATION TO BID Project NO.: I2020-08-01 CY 2020 Basic Educational Facilities Fund Repair of Classrooms Batch 2 1.	The Department of Education, Division of Bohol, through the General Appropriations Act CY 2020 Basic Educational Facilities Fund intends t</t>
  </si>
  <si>
    <t xml:space="preserve"> Supply and Delivery of 110 KVA 3 Phase One (1) unit Diesel Generator.</t>
  </si>
  <si>
    <t xml:space="preserve"> The Department of Education Division of San Pablo City, through the CY 2020 BASIC EDUCATION FACILITIES FUND   intends to apply the sum of Two Million Four Hundred Seven Thousand Eight Hundred Thirty Seven Pesos &amp; 76/100 (Php 2,407,837.76) being the Approv</t>
  </si>
  <si>
    <t xml:space="preserve"> INVITATION TO BID The Municipal Government of La Trinidad through the Bids and Awards Committee (BAC) invites contractors to bid for the hereunder project: Contract Reference No.: POW - 8751 - 2020 - PCO - 08 Name of Project: Construction of Slope Protect</t>
  </si>
  <si>
    <t xml:space="preserve"> Republic of the Philippines Region XII Province of Cotabato Municipality of Makilala OFFICE OF THE BIDS AND AWARD COMMITTEE REQUEST FOR QUOTATION (Small Value Procurement) Date: August 19, 2020 SVP # 2020-08-113 The MUNICIPALITY OF MAKILALA through its Bi</t>
  </si>
  <si>
    <t xml:space="preserve"> Republic of the Philippines Province of Camarines Norte MUNICIPALITY OF VINZONS BIDS AND AWARDS COMMITTEE (BAC) (Tel. # 446-63-09) 	 INVITATION TO BID FOR: Hardware Mtls. for the Rehabilitation of Drainage Canal with Cover Purok 4 (Calangcawan Sur)  1.	Th</t>
  </si>
  <si>
    <t xml:space="preserve"> PLEASE SEE ATTACHED REQUEST FOR QUOTATION FOR PRODUCT SPECIFICATIONS. THANK YOU</t>
  </si>
  <si>
    <t xml:space="preserve"> Procurement of Supply and Delivery of Office  Supplies  14	piece	HP Ink #680, black 15	piece	HP Ink #680, tricolor 15	piece	HP GT52, Cyan 15	piece	HP GT52, Magenta 15	piece	HP GT52, Yellow 14	piece	HP GT52, Black 10	piece	EPSON T673, Cyan 10	piece	EPSON T</t>
  </si>
  <si>
    <t xml:space="preserve"> INVITATION TO BID The Municipal Government of La Trinidad through the Bids and Awards Committee (BAC) invites contractors to bid for the hereunder project: Contract Reference No.: POW - 8751 - 2020 - ALN - 04 Name of Project: Completion of Cell 3 Expansio</t>
  </si>
  <si>
    <t xml:space="preserve"> 1.	The Provincial Government of Batanes, through the Provincial Appropriations Ordinance No. 03 series of 2019 intends to apply the sum of Sixty Five Thousand Pesos Only (₱ 65,000.00), being the Approved Budget for the Contract (ABC) to payments under the</t>
  </si>
  <si>
    <t xml:space="preserve"> FURNITURE &amp; FIXTURE</t>
  </si>
  <si>
    <t xml:space="preserve"> Please download the attached bidding document for more info about the project. For further information, please refer to: Mrs. Maria Flora T. Pandes or Mrs. Herbie B. De Lemios  Department of Education-Schools Division Office Division of Camarines Norte F.</t>
  </si>
  <si>
    <t xml:space="preserve"> Republic of the Philippines Province of Quirino MUNICIPALITY OF CABARROGUIS OFFICE OF THE BIDS AND AWARDS COMMITTEE Invitation to Bid for the  Project Development Initiative- Social Sector Services at Cabarroguis, Quirino 1.	The Local Government Unit of C</t>
  </si>
  <si>
    <t xml:space="preserve"> Republic of the Philippines NATIONAL FOOD AUTHORITY Eastern Visayas Regional Office Pawing, Palo, Leyte INVITATION TO SUBMIT PRICE QUOTATION  REPAIR OF NFA NORTHERN SAMAR  PROVINCIAL OFFICE IN DANCALAN, BOBON, NORTHERN SAMAR  (Small Value Procurement) Pro</t>
  </si>
  <si>
    <t xml:space="preserve"> Republic of the Philippines Province of Ilocos Sur MUNICIPALITY OF MAGSINGAL Office of the Bids and Awards    Committee INVITATION TO BID FOR THE CONSTRUCTION OF FLOOD CONTROL The Municipality of Magsingal, through its Bids and Awards Committee (BAC), inv</t>
  </si>
  <si>
    <t xml:space="preserve"> QUOTATION FORM For Negotiated Procurement due to Two-Failed Bidding Registered Name  of Establishment:		Date: Mode of Procurement:	August 18, 2020 Negotiated Procurement (Two-Failed Bidding) Address: 		Quotation No.	TFB-2020-006Recanvass Contact No.		PR N</t>
  </si>
  <si>
    <t xml:space="preserve"> Construction of Fence at Municipal Drug Facility, San Vicente Gorong-Gorong, Nabua, Camarines Sur</t>
  </si>
  <si>
    <t xml:space="preserve"> 1. Stone laid pathway from Aguid-omod-ok (Datil style)                                    292,889.90 2. Stone laid pathway w/in the end of concrete road at Batalao                          294,682.93      Going to Lamagan (Datil style)  3. Riprapping and </t>
  </si>
  <si>
    <t xml:space="preserve"> risograph: heavy duty/digital duplicator large 5.7 inch control panel 80-130 pages per minute speed duly cycle: 300,000 prints per month image position: vertical horizontal image modes: letter photo letter/photo separation penci, tini reproduction ratio: </t>
  </si>
  <si>
    <t xml:space="preserve"> Package 039- as stated in ITB 2020-039, CRN 039-2020 [Procurement of Equipments]. (Freezers and Ovens)</t>
  </si>
  <si>
    <t xml:space="preserve"> The Local Government Unit of General Santos City, through the GENERAL FUND CY 2020 intends to apply the sum of one hundred thirty-six thousand and xx / 100 Pesos Only (136,000.00) being the Approved Budget for the Contract (ABC) to payments under the cont</t>
  </si>
  <si>
    <t xml:space="preserve"> INVITATION TO BID Date: August 18, 2020 1.	The Provincial Government of Davao del Sur, through its Bids and Awards Committee (BAC), invites all potential bidders/suppliers to apply to bid for the following goods. Bids received in excess of the ABC shall b</t>
  </si>
  <si>
    <t xml:space="preserve"> Republic of the Philippines                       EASTERN VISAYAS STATE UNIVERSITY                                                                              Tacloban City                     										 BIDS AND AWARDS COMMITTEE INVITATION TO BID  SUPPL</t>
  </si>
  <si>
    <t xml:space="preserve"> The Local Government Unit of General Santos City, through the GENERAL FUND CY 2020 intends to apply the sum of two hundred fifty-five thousand nine hundred forty-five and 50 / 100 Pesos Only (255,945.50) being the Approved Budget for the Contract (ABC) to</t>
  </si>
  <si>
    <t xml:space="preserve"> LOT 1 - CONSTRUCTION OF NABUNDASAN POTABLE WATER SYSTEM LEVEL II PROJECT DURATION - 60 CALENDAR DAYS PROJECT COST - 1,705,921.88 SCOPE OF WORK: CLEARING, EXCAVATION AND BACKFILLING, SIGNAGE (FRAMING AND INSTALLATION), HAULING, ELECTRICAL INSTALLATION, ELE</t>
  </si>
  <si>
    <t xml:space="preserve"> Concreting of Local Road Going to Escuro Armillos at Zone 3 Concreting of Local Road Going to Relles-Zone 6 Concreting of Local Road Going to Bonador at Zone 4 Concreting of Local Road Going to Garbiles at Zone 3 Concreting of Local Road Going to Baldon a</t>
  </si>
  <si>
    <t xml:space="preserve"> National Power Corporation INVITATION TO BID PUBLIC BIDDING 2020-0296 1.	The NATIONAL POWER CORPORATION (NPC), through       its        approved       Corporate Budget of CY 2020 intends to apply   the   sum   of (Please see schedule below) being the Appr</t>
  </si>
  <si>
    <t xml:space="preserve"> Lot 1 – Supply &amp; Delivery of IT Equipment and Accessories for the use of Planning &amp; Design Section</t>
  </si>
  <si>
    <t xml:space="preserve"> INVITATION TO BID The Municipal Government of La Trinidad through the Bids and Awards Committee (BAC) invites contractors to bid for the hereunder project: Contract Reference No.: POW - 8751 - 2020 - PCO - 09 Name of Project: Improvement of CICL Drop Cent</t>
  </si>
  <si>
    <t xml:space="preserve"> The Barangay Local Government Unit of Baliling, Santa Fe, Nueva Vizcaya, through its Barangay Bids &amp; Awards Committee invites contractors to bid for the following project: Contract Name: Procurement of Materials for the construction of Barangay MRF  Contr</t>
  </si>
  <si>
    <t xml:space="preserve"> REPUBLIC OF THE PHILIPPINES CITY GOVERNMENT OF OROQUIETA BIDS AND AWARD COMMITTEE City Hall Main, Oroquieta City            		 August 18, 2020                                                                                                                 </t>
  </si>
  <si>
    <t xml:space="preserve"> PR#20-08-0491 ABC 805,000.00 Furnish “Labor, Materials and Equipment” for the re=painting of pumping stations structures includes perimeter fences, repair and rehabilitation of PS structures (kitchen-lavatory, comfort rooms, operators quarters, genset hou</t>
  </si>
  <si>
    <t xml:space="preserve"> NAME OF THE PROJECT: Improvement of SB Building Including Furniture and Fixtures PH1  LOCATION OF THE PROJECT: LGU Compound, Awaii, Donsol, Sorsogon PROJECT REFERENCE NO.:  INFRA-PB-2020-021  Approved Budget for the Contract: ₱1,500,000.00  Source of Fund</t>
  </si>
  <si>
    <t xml:space="preserve"> Supply and Delivery of 70-inch Ultra HD TV for the DOLE Command Center    TECHNICAL SPECIFICATIONS:   1 Lot           -	4K Ultra HD TV-Smart TV                    -	Clear Audio + Digital Sound                          Enhancement Engine                   </t>
  </si>
  <si>
    <t xml:space="preserve"> To All Eligible Suppliers: Please quote your lowest price on the item/s listed below, subject to the General Conditions, stating the shortest time of delivery and submit your quotation duly signed by your representative not later than the set deadline at </t>
  </si>
  <si>
    <t xml:space="preserve"> Republic of the Philippines Province of Quirino MUNICIPALITY OF CABARROGUIS OFFICE OF THE BIDS AND AWARDS COMMITTEE Invitation to Bid for the  Construction of 2nd Cell at Sanitary Landfill/ Improvement of Sanitary Landfill at Cabarroguis, Quirino 1.	The L</t>
  </si>
  <si>
    <t xml:space="preserve"> 1 10 BTL/S ALCOHOL - RUBBING, 70 % ISOPROPHYL, 500ML 2 2 GAL/S BLEACHING SOLUTION 3 6 CAN/S DISHWASHING PASTE - 400G 4 1 POUCH/S DETERGENT - W/ FABRIC SOFTENER 800G 5 1 BTL/S TOILET BOWL CLEANER - W/ KILLER VIREX 500</t>
  </si>
  <si>
    <t xml:space="preserve"> BIDS AND AWARDS COMMITTEE (BAC) INVITATION TO BID The Department of Science and Technology (DOST), Regional Office No. IX, through its Bids and Awards Committee (BAC), invites qualified bidder to apply for eligibility and to bid for the “Office Equipment”</t>
  </si>
  <si>
    <t xml:space="preserve"> SUPPLY AND DELIVERY OF THE FOLLOWING: Lot 1- service vehicles-               Php 2,030,068.00 1 unit service vehicle (VAN) Specification: silver metallic/white, Engine Technology: 4 cylinder type, Displacement: 2,500-3,000, Maximum torque (N/m/Rpm): 300/1</t>
  </si>
  <si>
    <t xml:space="preserve"> Lot 2 – Procurement of Goods of Survey Equipment for the use of Planning &amp; Design Section</t>
  </si>
  <si>
    <t xml:space="preserve"> Republic of the Philippines PROVINCE OF ALBAY 				   Municipality of Rapu-Rapu Invitation to Bid for  Construction/Rehabilitation of Bariis Road 1.	The Local Government Units of Rapu-Rapu, Albay through the Approved Supplemental Budge No. 2 CY 2018 intend</t>
  </si>
  <si>
    <t xml:space="preserve"> Request for Expression of Interest (REOI) for the Soil Testing/Exploration for the projects: Soil Testing/Exploration for the projects:  1. Widening of Bridges-Sibalon Bridge, Poblacion, Alfonso Lista, Ifugao 2. Construction of Local Bridges-Minanga Bridg</t>
  </si>
  <si>
    <t xml:space="preserve"> Republic of the Philippines BIDS AND AWARDS COMMITTEE Province of Iloilo Invitation to Bid PURCHASE OF MEDICAL SUPPLIES Bid No. IPH-20-0685-B 1. The Iloilo Provincial Government, through the GENERAL FUND 2020 intends to apply the sum of ONE HUNDRED SEVENT</t>
  </si>
  <si>
    <t xml:space="preserve"> Republic of the Philippines 	Province of Eastern Samar	 City of Borongan -0- BIDS AND AWARDS COMMITTEE ------------------------------------------------------------------------------------------ Invitation to Bid for CONSTRUCTION OF COVERED COURT/MULTI – P</t>
  </si>
  <si>
    <t xml:space="preserve"> 108 BAGS PORTLAND CEMENT 12 cu.m ORD GRAVEL 6cu.m ORD SAND 5PCS 12 mmx6mRSB 264 bd ft COCO LUMBER 22-2"X6"12" 3KLS VCW NAIL 3 3PCS HS BLADE</t>
  </si>
  <si>
    <t xml:space="preserve"> The Department of Education Division of San Pablo City, through the CY 2019 BASIC EDUCATION FACILITIES FUND   intends to apply the sum of  Two Million Five Hundred Forty Nine Thousand Seven Hundred Twenty Pesos &amp; 40/100 (Php 2,549,720.40) being the Approv</t>
  </si>
  <si>
    <t xml:space="preserve"> Republic of the Philippines BIDS AND AWARDS COMMITTEE Province of Iloilo Invitation to Bid PURCHASE OF LABORATORY SUPPLIES Bid No. IPH-20-0170-B(REBID) 1. The Iloilo Provincial Government, through the GENERAL FUND 2020 intends to apply the sum of SEVEN HU</t>
  </si>
  <si>
    <t xml:space="preserve"> RFQ&gt;&gt;&gt; Reproduction of modules and supply and delivery of plastic envelop  Joaquin Smith NHS | ABC=P89,098.10 Please download RFQ for complete details.</t>
  </si>
  <si>
    <t xml:space="preserve"> INVITATION TO BID  COMPLETION OF INTENSIVE CARE UNIT COMPLEX MRH-012-2020 1.	The Margosatubig Regional Hospital, through the funding source of HOSPITAL INCOME intends to apply the sum of One  Million Six Hundred Twenty-Three Thousand Five Hundred Twenty-S</t>
  </si>
  <si>
    <t xml:space="preserve"> PROCUREMENT OF THE FOLLOWING SERVICES: DUMPING AND SPREADING OF ITEM 201 APPROX. 400 LINEAR METERS x 2 METERS WIDTH AT ZONE 1-A. A, MATERIALS ITEM 201 B. LABOR INCLUDES RENTAL OF ROAD ROLLER AND LABOR FOR MORE DETAILS VISIT THE BARANGAY</t>
  </si>
  <si>
    <t xml:space="preserve"> Republic of the Philippines Province of Negros Oriental Municipality of Siaton Office of the Bids and Awards Committee Siaton Town Hall, Siaton, Negros Oriental INVITATION TO APPLY FOR ELIGIBILITY AND TO BID The Municipality of Siaton Office of the Bids a</t>
  </si>
  <si>
    <t xml:space="preserve"> 1 190 LGTH/S DRB - 12mm.Dia.x6.0m. G-33 2 290 LGTH/S DRB - 10.0mm.dia. x 6.0m gr.33 3 13 MTR/S WIRE SCREEN - 1/8 THK/MESH 4 50 KG/S. G.I. TIE WIRE - #16 5 10 PC/S HACKSAW BLADE - 12"/300mm 6 20 PR/S CONSTRUCTION GLOVES - (ORANGE PALM) 7 25 PC/S TILE CUTTI</t>
  </si>
  <si>
    <t xml:space="preserve"> 2 unit - Laptop, 8th Generation Intel Core i3-8145U</t>
  </si>
  <si>
    <t xml:space="preserve"> REQUEST FOR EXPRESSION OF INTEREST (REI) FOR THE CONSULTANCY SERVICES FOR THE GEOTECHNICAL INVESTIGATION OF PROPOSED CY 2021 PROJECTS 1.	The Department of Public Works and Highways, Rizal 1st District Engineering Office, through the PDE 2020, intends to a</t>
  </si>
  <si>
    <t xml:space="preserve"> The Department of Education Division of San Pablo City, through the CY 2020 BASIC EDUCATION FACILITIES FUND   intends to apply the sum of Three Million Forty Six Thousand Eight Hundred Forty Nine Pesos &amp; 18/100 (Php 3,046,849.18) being the Approved Budget</t>
  </si>
  <si>
    <t xml:space="preserve"> QUOTATION FORM For Negotiated Procurement due to Two-Failed Bidding Registered Name  of Establishment:		Date: Mode of Procurement:	August 18, 2020 Negotiated Procurement (Two-Failed Bidding) Address: 		Quotation No.	TFB-2020-007Recanvass Contact No.		PR N</t>
  </si>
  <si>
    <t xml:space="preserve"> REQUEST FOR EXPRESSION OF INTEREST (REI) FOR THE CONSULTANCY SERVICES FOR THE CONDUCT OF PARCELLARY SURVEY OF MARIKINA – INFANTA ROAD KM 19+(-218) – 37+498 1.	The Department of Public Works and Highways, Rizal 1st District Engineering Office, through the </t>
  </si>
  <si>
    <t xml:space="preserve"> INVITATION TO BID IB No. 2020-33 PURCHASE OF AMBULANCE EQUIPMENT OF MDRRMO OTON 1.	The Local Government Unit of Oton, through Disaster Preparedness – 70% intends to apply the sum of Nine Hundred Eighteen Thousand (Php 918,000.00) being the Approved Budget</t>
  </si>
  <si>
    <t xml:space="preserve"> PROCUREMENT OF THE FOLLOWING SERVICES: CONSTRUCTION AND INSTALLATION OF RAILINGS USING C-PURLINS AND GI PIPE APPROX. 200 LINEAR METERS AT ZONE 1A AND ZONE 2. A, MATERIALS B. LABOR FOR MORE DETAILS VISIT THE BARANGAY</t>
  </si>
  <si>
    <t xml:space="preserve"> NAME OF THE PROJECT: Improvement of Evacuation Center  LOCATION OF THE PROJECT: LGU Compound, Awaii, Donsol, Sorsogon PROJECT REFERENCE NO.:  INFRA-PB-2020-022  Approved Budget for the Contract: ₱1,000,000.00  Source of Fund:  MDRRMF 2020 BRIEF DESCRIPTIO</t>
  </si>
  <si>
    <t xml:space="preserve"> INVITATION TO BID FOR Procurement for Reproduction of Modules for Grade 3 to 12 with ALS (Week 5 and 6) / Goods-2020-003 1.	The DepEd CAR, Schools Division of Benguet, through the General Appropriations Act 2020 intends to apply the sum of Eight Million F</t>
  </si>
  <si>
    <t xml:space="preserve"> Republic of the Philippines Province of Quirino MUNICIPALITY OF CABARROGUIS OFFICE OF THE BIDS AND AWARDS COMMITTEE Invitation to Bid for the  Improvement of Barangay Roads at Cabarroguis, Quirino 1.	The Local Government Unit of Cabarroguis, Quirino, thro</t>
  </si>
  <si>
    <t xml:space="preserve"> Rehabilitation of Kawayan Footbridge, San Fernando, Buk.</t>
  </si>
  <si>
    <t xml:space="preserve"> The Department of Education Division of San Pablo City, through the CY 2019 BASIC EDUCATION FACILITIES FUND   intends to apply the sum of  Nine Hundred Fifty Thousand Two Hundred Seventy Nine Pesos &amp; 60/100 (Php 950,279.60) being the Approved Budget for t</t>
  </si>
  <si>
    <t xml:space="preserve"> Package 040- as stated in ITB 2020-040, CRN 040-2020 [Procurement of Kitchen Utensils and Other Supplies].</t>
  </si>
  <si>
    <t xml:space="preserve"> The Department of Education Division of San Pablo City, through the CY 2020 BASIC EDUCATION FACILITIES FUND   intends to apply the sum of Four Million Seventy One Thousand Thirteen Pesos &amp; 14/100 (Php 4,071,013.14) being the Approved Budget for the Contra</t>
  </si>
  <si>
    <t xml:space="preserve"> see attached file</t>
  </si>
  <si>
    <t xml:space="preserve"> The Department of Education Division of San Pablo City, through the CY 2020 BASIC EDUCATION FACILITIES FUND   intends to apply the sum of One Million Five Hundred Seventy Nine Thousand Six Hundred Thirty Two Pesos &amp; 47/100 (Php 1,579,632.47) being the App</t>
  </si>
  <si>
    <t xml:space="preserve"> 1 Unit IP Farm Tourism Site 1 Unit IP Center @ Brgy. Sapinit 4 Set Office Table and Chair ( 2 Chair/Table)</t>
  </si>
  <si>
    <t xml:space="preserve"> REQUEST FOR EXPRESSION OF INTEREST FOR FEASIBILITY STUDY The NIA- CARAGA Region, through the FS of CY 2020 FUNDS intends to apply the sum of  Three Million Three Hundred Twenty Two Thousand Pesos Only (P 3,322,000.00) being the total Approved Budget for t</t>
  </si>
  <si>
    <t xml:space="preserve"> Republic of the Philippines BIDS AND AWARDS COMMITTEE Province of Iloilo Invitation to Bid PURCHASE OF DRUGS AND MEDICINES Bid No. IPH-20-0375-B 1. The Iloilo Provincial Government, through the GENERAL FUND 2020 intends to apply the sum of EIGHT HUNDRED F</t>
  </si>
  <si>
    <t xml:space="preserve"> Please quote your lowest price on the job/items listed below, subject to the Specification, Terms &amp; Conditions										 provided herein, stating the shortest time of delivery and submit your quotation in the box located at Procurement Section, 										</t>
  </si>
  <si>
    <t xml:space="preserve"> INVITATION TO BID IB No. 2020-34 PURCHASE OF ADDITIONAL MATERIALS FOR DSWD SHELTER UNIT 1.	The Local Government Unit of Oton, through Other Structure – MSWD Continuing intends to apply the sum of Four Hundred Eighty Seven Thousand One Hundred Twenty Nine </t>
  </si>
  <si>
    <t xml:space="preserve"> The Department of Education Division of San Pablo City, through the CY 2020 BASIC EDUCATION FACILITIES FUND   intends to apply the sum of Three Million Four Hundred Eighty Seven Thousand Two Hundred Fifty Three Pesos &amp; 30/100 (Php 3,487,253.30) being the </t>
  </si>
  <si>
    <t xml:space="preserve"> Republic of the Philippines BIDS AND AWARDS COMMITTEE Province of Iloilo Invitation to Bid PURCHASE OF DRUGS AND MEDICINES Bid No. IPH-20-0717-B 1. The Iloilo Provincial Government, through the GENERAL FUND 2020 intends to apply the sum of SIX HUNDRED FIF</t>
  </si>
  <si>
    <t xml:space="preserve"> Republic of the Philippines BIDS AND AWARDS COMMITTEE Province of Iloilo Invitation to Bid PURCHASE OF HOUSEKEEPING SUPPLIES Bid No. IPH-20-0684-B 1. The Iloilo Provincial Government, through the GENERAL FUND 2020 intends to apply the sum of FORTY SEVEN T</t>
  </si>
  <si>
    <t xml:space="preserve"> Republic of the Philippines Province of Oriental Mindoro MUNICIPALITY OF PINAMALAYAN OFFICE OF THE BIDS AND AWARDS COMMITTEE Invitation to Bid ITB-2020-44 1.  The Municipal Government of Pinamalayan, Oriental Mindoro, through the authorized appropriations</t>
  </si>
  <si>
    <t xml:space="preserve"> Snack, Lunch</t>
  </si>
  <si>
    <t xml:space="preserve"> Procurement of Supply and Delivery of ICT Supplies 12	unit	Prepaid Sim Router 4G LTE Wireless Router •	300mbps WIFI Ethernet Open line with Antenna •	Type: wireless •	With 2.4G Wi-fi Transmission Rate: 300mbps •	Network type: LTE/4G/3G •	Inclusion of pref</t>
  </si>
  <si>
    <t xml:space="preserve"> Please see attached associated components for the Technical Specification and download the complete bidding documents through the linkage below.</t>
  </si>
  <si>
    <t xml:space="preserve"> Engine -2.5 liter displacement- 2,477 CC Number of Cylinders - 4 Number of Valves - 8 Transmission - manual seating capacity- 17 seaters Diesel wheel size- 14 inch</t>
  </si>
  <si>
    <t xml:space="preserve"> INVITATION TO BID    DESIGN AND BUILD OF TYPICAL FIRE STATIONS FOR THE  BUREAU OF FIRE PROTECTION – NATIONAL HEADQUARTERS (BFP-NHQ)  Bid Ref. No. GPG-B2-2020-320 3RD REBID  (Previous Bid Ref. Nos.: GPG-B2-2019-011, GPG-B2-2019-297 Rebid and GPG-B2-2019-47</t>
  </si>
  <si>
    <t xml:space="preserve"> REQUEST FOR QUOTATION									 SUPPLY AND DELIVERY OF AGRI SUPPLIES 									 The Request for Quotation must be email at the bpibac@yahoo.com									 SMALL VALUE 									 INSTRUCTION:									 1.	Supplies are required to read the instructions and fill a</t>
  </si>
  <si>
    <t xml:space="preserve"> INVITATION TO BID The Municipality of Pagsanjan, through its Bids and Awards Committee (BAC), interested contractors registered to apply for eligibility and if found eligible, to bid for the hereunder contract: 	 Name of Contract: 	Procurement of Digital </t>
  </si>
  <si>
    <t xml:space="preserve"> Supply and Delivery of Executive Table, Executive Chair and Smart TV for the office of Assistant Secretary for Legal and Overseas Operation TECHNICAL SPECIFICATIONS:  Executive Table:  (Php 50,000.00) - 1 pc. Dimension: 84” x 34” -	With Mobile Pedestal, l</t>
  </si>
  <si>
    <t xml:space="preserve"> Please see attached associated components for the technical specification and download the complete bidding documents through the link below.</t>
  </si>
  <si>
    <t xml:space="preserve"> 1.	The Department of Science and Technology, through the DOST-TRC Special fund for CY 2020 under the DOST project entitled “DOST-TRC Winding Down of Operations” intends to apply the sum of ONE MILLION SEVEN HUNDRED TWENTY-FIVE THOUSAND PESOS (Php1,725,000</t>
  </si>
  <si>
    <t xml:space="preserve"> SEE UPLOADED BID DOCS</t>
  </si>
  <si>
    <t xml:space="preserve"> 1.	The Department of Science and Technology, through the DOST-TRC Special fund for CY 2020 under the DOST project entitled “DOST-TRC Winding Down of Operations” intends to apply the sum of Two Million Three Hundred Thousand Pesos (Php2,300,000.00) only be</t>
  </si>
  <si>
    <t xml:space="preserve"> Republic of the Philippines City of Dapitan BIDS AND AWARDS COMMITTEE INVITATION TO BID August 18, 2020 	 The City Government of Dapitan, through its Bids and Awards Committee (BAC), invites interested parties to apply for eligibility and, if found eligib</t>
  </si>
  <si>
    <t xml:space="preserve"> INVITATION TO BID IB No. 2020-35 PURCHASE OF VARIOUS INK AND BOND PAPER FOR THE USE IN PROJECT CARINA 1.	The Local Government Unit of Oton, through Other Supplies and Materials – SEF intends to apply the sum of Two Hundred Ninety-Nine Thousand Five Hundre</t>
  </si>
  <si>
    <t xml:space="preserve"> Construction of Three (3) Storey Administration Building Phase II of SDSSU Tagbina Campus</t>
  </si>
  <si>
    <t xml:space="preserve"> QUOTATION FORM For Negotiated Procurement due to Two-Failed Bidding Registered Name  of Establishment:		Date: Mode of Procurement:	August 18, 2020 Negotiated Procurement (Two-Failed Bidding) Address: 		Quotation No.	TFB-2020-008 Recanvass Contact No.		PR </t>
  </si>
  <si>
    <t xml:space="preserve"> Supply and Delivery of  Various Construction Materials for the Renovation of the LGLC Building Ground Floor TECHNICAL SPECIFICATIONS:  Wall and Partition: -	Ficem Board (1.2m x 2.4 m x 4.5 mm (THCK) - 200 pcs. -	Metal Studs 2” x 4” x 10” - 300 pcs. -	Skim</t>
  </si>
  <si>
    <t xml:space="preserve"> REQUEST FOR QUOTATION									 SUPPLY AND DELIVERY OF AGRICULTURAL  SUPPLIES 									 The Request for Quotation must be email at the bpibac@yahoo.com									 SMALL VALUE 									 INSTRUCTION:									 1.	Supplies are required to read the instructions a</t>
  </si>
  <si>
    <t xml:space="preserve"> Reference No.	CEZRFQ 2020-02-010 RIS No.	20R-02-049 Date 	August 14,2020 REQUEST FOR QUOTATION AMP – Sec 52.1 (b) Shopping  The PEZA – CEZ, through its Bids and Awards Committee (BAC) intends to apply the sum of ₱ 90,000.00 being the Approved Budget for t</t>
  </si>
  <si>
    <t xml:space="preserve"> 1.	The Department of Agriculture (DA) – Central Office, through the GAA CY2020 intends to apply the sum of Two Million Six Hundred Thousand Pesos (PhP2,600,000.00) being the Approved Budget for the Contract (ABC) to payments under the contract for the Hir</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</si>
  <si>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</si>
  <si>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see attached files</t>
  </si>
  <si>
    <t xml:space="preserve"> 1 25 PC/S INK - EPSON - BLACK T6641 2 12 PC/S INK - EPSON - CYAN T6642 3 12 PC/S INK - EPSON - MAGENTA T6643 4 12 PC/S INK - EPSON - YELLOW T6</t>
  </si>
  <si>
    <t xml:space="preserve"> Construction of Three (3) Storey Administration Building Phase II of SDSSU Tandag Campus</t>
  </si>
  <si>
    <t xml:space="preserve"> Republic of the Philippines DEPARTMENT OF AGRICULTURE Philippine Rural Development Project  PSO-Visayas Cluster RPCO-7 Province of Bohol INVITATION TO QUOTE ________________________________________________________________ SUPPLY AND DELIVERY OF DIESEL FUE</t>
  </si>
  <si>
    <t xml:space="preserve"> The Local Government Unit of General Santos City, through the GENERAL FUND CY 2020 intends to apply the sum of one hundred sixty thousand and xx / 100 Pesos Only (160,000.00) being the Approved Budget for the Contract (ABC) to payments under the contract </t>
  </si>
  <si>
    <t xml:space="preserve"> INVITATION TO BID (CW 2020-008-026)   The CITY GOVERNMENT OF SORSOGON, through its Bids and Awards Committee (BAC), invites suppliers/contractors to apply for eligibility and to bid for the hereunder project:  Name of Project		:	REHABILATION OF SHORE CONT</t>
  </si>
  <si>
    <t xml:space="preserve"> The Local Government Unit of General Santos City, through the GENERAL FUND CY 2020 intends to apply the sum of two hundred forty-five thousand six hundred forty-six and xx / 100 Pesos Only (245,646.00) being the Approved Budget for the Contract (ABC) to p</t>
  </si>
  <si>
    <t xml:space="preserve"> Republic of the Philippines SANGGUNIANG BARANGAY OF BARANGAY CAGBALOGO Barangay Cagbalogo, Quezon, Quezon INVITATION TO BID Date: August 19, 2020 The Sangguniang Barangay Cagbalogo, through its Bids and Awards Committee (BAC), invites supplier/manufacture</t>
  </si>
  <si>
    <t xml:space="preserve"> Construction of Two (2) Storey Registrar's Office Building of SDSSU Lianga Campus</t>
  </si>
  <si>
    <t xml:space="preserve"> 1.	The Office of the Chief Minister-Bangsamoro Autonomous Region in Muslim Mindanao (OCM-BARMM), through the 2020 Bangsamoro Appropriation Act (BAA) intends to apply the sum of Five Million Four Hundred Thousand Pesos (PHP5, 400,000.00) being the Approved</t>
  </si>
  <si>
    <t xml:space="preserve"> Republic of the Philippines DEPARTMENT OF AGRICULTURE Philippine Rural Development Project  PSO-Visayas Cluster RPCO-7 Province of Bohol INVITATION TO QUOTE ________________________________________________________________ SUPPLY, DELIVERY AND INSTALLATION</t>
  </si>
  <si>
    <t xml:space="preserve"> Republic of the Philippines NATIONAL FOOD AUTHORITY Eastern Visayas Regional Office Pawing, Palo, Leyte INVITATION TO SUBMIT PRICE QUOTATION REPAIR OF COMFORT ROOM, WATER SYSTEM, KITCHEN AND DINING AREA AT GUIUAN, EASTERN SAMAR  (Small Value Procurement) </t>
  </si>
  <si>
    <t xml:space="preserve"> 1 Lot PRODUCTION EQUIPMENT, MATERIALS AND SUPPLIES</t>
  </si>
  <si>
    <t xml:space="preserve"> 1. The Local Government Unit of Amulung, Cagayan through the Financial Assistant Fund 2017 &amp; 2018 intends to apply the sum of Php 477,923.15 being the Approved Budget for the Contract (ABC) to payments under the contract for Construction of Multipurpose B</t>
  </si>
  <si>
    <t xml:space="preserve"> Republic of the Philippines Province of Southern Leyte MUNICIPALITY OF LIMASAWA -o0o- Bids and Awards Committee Invitation to Bid for the Procurement of 1 unit Brand New Dumptruck of the Municipality of Limasawa, Southern Leyte  1.	The Local Government Un</t>
  </si>
  <si>
    <t xml:space="preserve"> 101(4)b Removal of Existing Asphalt Pavement  1,200 sq.m (L=300.00 m, W=4.00 m)  105(1) Subgrade Preparation(L=300.00 m, W=8.10 m) 2,430.00 sq.m 201 Aggregate bae Course  624.00 cu.m (L1=300.00 m, W=6.10 m, t=.20 ) (L2=300.00 m, W=1.00 m, t=.43 x 2 sides </t>
  </si>
  <si>
    <t xml:space="preserve"> INVITATION TO BID FOR THE SUPPLY, DELIVERY AND ASSISTANCE ON THE INSTALLATION OF ELECTROMECHANICAL EQUIPMENT AND DISCHARGE SET-UP OF LINAO NORTE PUMPING STATION 2 1. The Metropolitan Tuguegarao Water District through the Corporate Budget for the Year 2020</t>
  </si>
  <si>
    <t xml:space="preserve"> Supply and delivery of construction materials for the Construction of Covered Drainage Canal.</t>
  </si>
  <si>
    <t xml:space="preserve"> 1	Diesel	Liter	62,713.02 2	Gasoline (Unleaded)	Liter	29,568.83 3	2T	Liter	672 4	Engine Oil 40 (Diesel)	Liter	720 5	Engine Oil 40 (Gasoline)	Liter	80 6	Coolant	Liter	30 7	Oil 10	pail	10 8	Brake Fluid	Liter	40 9	ATF	Liter	32 10	Flushing Oil	can	51 11	Additi</t>
  </si>
  <si>
    <t xml:space="preserve"> construction of concrete pathway</t>
  </si>
  <si>
    <t xml:space="preserve"> 1.	The PCA-Region XIII, through the 2020 Expanded PCA Response to Covid-19 Program (EPRCP): Animal Integration (Enhanced Livestock Oil Palm Integration)  intends to apply the sum of PhP 2,585,000.00 being the Approved Budget for the Contract (ABC) to paym</t>
  </si>
  <si>
    <t xml:space="preserve"> Republic of the Philippines        PROVINCE OF BUKIDNON             Don Carlos, Bukidnon Invitation to Bid for the Completion and Retrofitting of the Construction of a  Two-Storey Mall Type Building – Variation Order in Don Carlos, Bukidnon (Straight Cont</t>
  </si>
  <si>
    <t xml:space="preserve"> Republic of the Philippines Department of Education Division of LEYTE Government Center, Candahug, Palo, Leyte INVITATION TO BID CY 2020 BEFF_Electrification Batch 3_Lot 1 1. The Department of Education (DepEd) Division of Leyte, through the CY 2020 BEFF_</t>
  </si>
  <si>
    <t xml:space="preserve"> The Barangay Government of Barangay AMBULONG, Tanauan City, Batangas through the Bids and Awards Committee (BAC) invites Suppliers/Contractors to apply for eligibility and if subsequently found eligible, to bid for the projects described hereunder, viz: P</t>
  </si>
  <si>
    <t xml:space="preserve"> Republic of the Philippines Province of Northern Samar MUNICIPALITY OF LAOANG 6411 E. Lagrimas St. Barangay Guilaoangi, Laoang, N. Samar Invitation to Bid for the Proposed Construction of LGU-Garage 1.	The Local Government Unit of Laoang, through the 20% </t>
  </si>
  <si>
    <t xml:space="preserve"> ARM CHAIR: Monoblock, with armrest, plastic, heavy duty, cream, 790 mm x 620 mm x 760 mm BANQUET/TIFFANY CHAIR: Material: 20 x 20 x 1.0 mm iron, 25 x 25 x 2 mm aluminum, painting powder coated, glossy oil painting, fabric: polyester, moled foam for seat ,</t>
  </si>
  <si>
    <t xml:space="preserve"> Republic of the Philippines        PROVINCE OF BUKIDNON             Don Carlos, Bukidnon Invitation to Bid for the Take Over and Completion of the Construction of a  Two-Storey Mall Type Building in Don Carlos, Bukidnon (Straight Contract) (Project Refere</t>
  </si>
  <si>
    <t xml:space="preserve"> PROCUREMENT OF MATERIALS FOR THE REHABILITATION AND IMPROVEMENT OF MULTI-PURPOSE HALL OF BRGY. NAGBA, TIGBAUAN, ILOILO</t>
  </si>
  <si>
    <t xml:space="preserve"> Supply and Delivery of Construction Materials - Repair/Rehabilitation of Municipal SB Office (REBID)</t>
  </si>
  <si>
    <t xml:space="preserve"> Supply and Printing of Various Advocacy Materials for First Time Jobseekers Assistance Act (FTJAA)      Canvass Bag with Print - 305 Color: White Size: 16 inches x 13 inches305 10 inches handle 2.5 inches gusset Materials: Ballistic Fully Rubber (Please s</t>
  </si>
  <si>
    <t xml:space="preserve"> INVITATION TO BID FOR THE Procurement of 2 units collapsible tent &amp; 48 pcs Mono block Chairs 1.The LGU-KALINGA, Kalinga Province through its Bids and Awards Committee (BAC) intends to apply the sum of a.  One Hundred Four Thousand One Hundred Sixty pesos </t>
  </si>
  <si>
    <t xml:space="preserve"> 20GM00187 – Purchase of Office Supplies for use in Procurement Unit</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</si>
  <si>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</si>
  <si>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Republic of the Philippines PROVINCE OF SURIGAO DEL SUR Municipality of Carrasal Barangay Gamuton INVITATION FOR BIDS 	The Barangay Gamuton through its Bids and Awards Committee invites sealed bids from eligible supplier for Office Equipment with applicat</t>
  </si>
  <si>
    <t xml:space="preserve"> 20GM00186 – Purchase of Office Supplies and Equiments for use in Planning and Design Section</t>
  </si>
  <si>
    <t xml:space="preserve"> MUNICIPALITY OF ABRA DE ILOG Name of Procuring Entity						 Contract Reference Number Goods No. 31-2020 Name of Contract: Supply and Delivery of Materials for the Construction of Senior Citizens Building Location:  LGU, ADIOM Republic of the Philippines P</t>
  </si>
  <si>
    <t xml:space="preserve"> INVITATION TO BID FOR THE SUPPLY, DELIVERY, INSTALLATION AND COMMISSIONING OF: 3 UNITS ANALYTICAL BALANCE; 1 UNIT ANTI-STATIC DEVICE; 2 UNITS BALANCE TABLE FOR ALU; 4 UNITS BALANCE TABLE FOR ILU; 7 UNITS DEHUMIDIFIER; 1 SET OF WEIGHTS; 4 UNITS THERMOHYGRO</t>
  </si>
  <si>
    <t xml:space="preserve"> MUNICIPALITY OF ABRA DE ILOG Name of Procuring Entity						 Contract Reference Number Goods No. 29-2020 Name of Contract: Supply and Delivery of Diesel Generator  Set Location:  LGU, ADIOM Republic of the Philippines Province of Occidental Mindoro Municip</t>
  </si>
  <si>
    <t xml:space="preserve"> Supply and Delivery of One (1) Brand New Service Vehicle for the Department of Labor and Employment-Central Office       Minimum Requirements:  Crossover Utility Vehicle (CUV) – Brand New Color:   White                                                     </t>
  </si>
  <si>
    <t xml:space="preserve"> MUNICIPALITY OF ABRA DE ILOG Name of Procuring Entity						 Contract Reference Number Goods No. 30-2020 Name of Contract: Supply and Delivery of Materials for the Construction of 3 Barrel Box Culvert Location:  Sitio Karaw-an Brgy. San Vicente, ADIOM Repu</t>
  </si>
  <si>
    <t xml:space="preserve"> Construction Supplies and Materials for ISS &amp; Center Director's Office **Please refer to an attached RFQ for the items *Note: Free Delivery at ATI-RTC 13, Los Angeles, Butuan City **Please see an attached document in ASSOCIATED COMPONENTS for the RFQ</t>
  </si>
  <si>
    <t xml:space="preserve"> INVITATION TO BID FOR THE SUPPLY, DELIVERY, INSTALLATION, AND COMMISSIONING OF 1 SET AMMONIA ION SELECTIVE ELECTRODE; 2 SETS CHLORIDE METER; 2 UNITS DIGITAL BOTTLE-TOP BURETTE; 1 SET NITRATE ION SELECTIVE ELECTRODE; 1 UNIT ULTRASONIC BATH, HEATED ITB No. </t>
  </si>
  <si>
    <t xml:space="preserve"> Republic of the Philippines SANGGUNIANG BARANGAY OF BARANGAY MONTAÑA Barangay Montaña, Quezon, Quezon INVITATION TO BID Date: August 20, 2020 The Sangguniang Barangay Montaña, through its Bids and Awards Committee (BAC), invites supplier/manufactures/dist</t>
  </si>
  <si>
    <t xml:space="preserve"> Supply &amp; Delivery of one (1) unit Brand new 16 ft, 4x2, 6-Wheeler with Dropside Cargo Truck to Domolok Tokawal Irrigators Association (DTIA) - Domolok, Alabel, Sarangani Province</t>
  </si>
  <si>
    <t xml:space="preserve"> Supply &amp; Delivery of one (1) unit Brand new 22 ft, 4x2, 6-Wheeler with Dropside Cargo Truck  to Alkikan Vegetables Grower Association (ALVEGA) – Alkikan, Malungon, Sarangani Province</t>
  </si>
  <si>
    <t xml:space="preserve"> MUNICIPALITY OF ABRA DE ILOG Name of Procuring Entity						 Contract Reference Number Goods No. 32-2020 Name of Contract: Supply and Delivery of Goods for PWD  Year-End activity Location:  LGU, ADIOM Republic of the Philippines Province of Occidental Mind</t>
  </si>
  <si>
    <t xml:space="preserve"> The Environmental Management Bureau 10, through its Bids and Awards Committee (BAC), is inviting interested consultants with technical Expertise on Consulting Services to Undertake the Feasibility Study (FS) on Solid waste Management Facility (LGU Sanitar</t>
  </si>
  <si>
    <t xml:space="preserve"> Republic of the Philippines  PROVINCE OF BUKIDNON     Don Carlos, Bukidnon Invitation to Bid for the Supply &amp; Delivery of Limestone Materials and Aggregates intended for the Maintenance of Provincial Roads and Bridges: Re-gravelling in Don Carlos, Bukidno</t>
  </si>
  <si>
    <t xml:space="preserve"> The Sangguniang Barangay of Dampas now invites bids for the Construction of Comfort Room of Barangay Evacuation Center of Barangay Dampas, Tagbilaran City. Completion of the works is required within 60 calendar days. The description of an eligible bidder </t>
  </si>
  <si>
    <t xml:space="preserve"> Republic of the Philippines Province of Northern Samar MUNICIPALITY OF LAOANG 6411 E. Lagrimas St. Barangay Guilaoangi, Laoang, N. Samar Invitation to Bid for  CONSTRUCTION/REHABILITATION AND IMPROVEMENT PORTION OF LEGISLATIVE OFFICE AND PROPOSED CONSTRUC</t>
  </si>
  <si>
    <t xml:space="preserve"> Office Supplies (Supplemental)</t>
  </si>
  <si>
    <t xml:space="preserve"> NALA ELEMENTARY SCHOOL SUPPLIES AND EQUIPMENT FOR 3rd QUARTER CY 2020</t>
  </si>
  <si>
    <t xml:space="preserve"> 200 Pails Organic Degreaser Declogger Contains Plant Extract, Saponins, Alkaloids,Tannins, Glycosides and water Concentrated Formula Non-toxic Non Flammable Environment Friendly Dilution ratio: 1L:50L water *FDA Product Registration and Approval 20 Liters</t>
  </si>
  <si>
    <t xml:space="preserve"> Republic of the Philippines  PROVINCE OF BUKIDNON     Don Carlos, Bukidnon Invitation to Bid for the Supply &amp; Delivery of Limestone Materials intended for the Rehabilitation of Twenty-Eight (28) Barangay Roads in Don Carlos, Bukidnon (Complete Bid) (Proje</t>
  </si>
  <si>
    <t xml:space="preserve"> INVITATION TO BID FOR THE SUPPLY, DELIVERY, INSTALLATION AND COMMISSIONING OF 3 UNITS HAZARDOUS WASTE FILTRATION SYSTEM FOR TCLP (NON-VOLATILE) WITH COMPLETE ACCESSORIES, AND 2 SETS AGITATION APPARATUS FOR TCLP (NON-VOLATILE) WITH COMPLETE ACCESSORIES ITB</t>
  </si>
  <si>
    <t xml:space="preserve"> Republic of the Philippines DEPARTMENT OF EDUCATION National Capital Region DIVISION OF PASIG CITY School District V (Pasig V) CANIOGAN ELEMENTARY SCHOOL Kalinangan St., Caniogan Pasig City * 6412582 * canioganespasig@gmail.com REQUEST FOR QUOTATION 					</t>
  </si>
  <si>
    <t xml:space="preserve"> MUNICIPALITY OF ABRA DE ILOG Name of Procuring Entity						 Contract Reference Number Goods No. 33-2020 Name of Contract: Supply and Delivery of Goods for  Senior Citizens Year-End activity Location:  LGU, ADIOM Republic of the Philippines Province of Occ</t>
  </si>
  <si>
    <t xml:space="preserve"> The Sangguniang Barangay of Dampas now invites bids for the Renovation of Day Care Center and Multi-purpose Building (Carao-an Day Care Center Renovation) of Barangay Dampas, Tagbilaran City. Completion of the works is required within 30 calendar days. Th</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</si>
  <si>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</si>
  <si>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Department of Education Region VI-Western Visayas Division of Cadiz City Alimatoc Elementary School SMALLVALUE PROCUREMENT OF Lawn MowerFOR 2020 1. The Alimatoc Elementary School of Cadiz City, through the Schools MOOE Fund CY 2020 intends to apply the su</t>
  </si>
  <si>
    <t xml:space="preserve"> A week-long activities intended for members of Katipunan ng Kabataan such as but not limited to KK Asembly and Youth Development Programs in line with the celebration of International Youth Day</t>
  </si>
  <si>
    <t xml:space="preserve"> Republic of the Philippines  Barangay 42, zone 3, District I, Manila Bids and awards committee INVITATION TO BID Barangay 42, Zone 3, District I, Manila through its bids and awards committee (BAC) invites suppliers to bid the here under project: Office su</t>
  </si>
  <si>
    <t xml:space="preserve"> 20GM00188 – Purchase of Spare Parts for use in Maintenance Section</t>
  </si>
  <si>
    <t xml:space="preserve"> Department of Education Region VI-Western Visayas Division of Cadiz City Alimatoc Elementary School SMALLVALUE PROCUREMENT OF 3 in 1 Printer FOR 2020 1. The Alimatoc Elementary School of Cadiz City, through the Schools MOOE Fund CY 2020 intends to apply t</t>
  </si>
  <si>
    <t xml:space="preserve"> See attached supporting bid documents</t>
  </si>
  <si>
    <t xml:space="preserve"> Unlimited Data Plan Subscription for 24 Months With Free Tablets with Pen      Minimum Specifications of Tablets: Network :   GSM/HSPA/LTE Body:          201.5 x 122.4 x 8.9 mm                      (7.93 x 4.82 x 0.35 in)                     ***With Stylu</t>
  </si>
  <si>
    <t xml:space="preserve"> Republic of the Philippines PROVINCE OF NUEVA ECIJA City of Palayan INVITATION TO BID FOR  SUPPLY AND DELIVERY OF OFFICE SUPPLIES August 19, 2020 1.	The Provincial Government of Nueva Ecija (PGNE), through the General Fund, intends to apply the sum of Fiv</t>
  </si>
  <si>
    <t xml:space="preserve"> 16 tanks - Fire Extinguisher 10lbs 2 units - Fire Extinguisher 20lbs (Refill) 7 units - Fire Extinguisher 10lbs (Refill) *Only Authorized by the BFP with legal permits and Platinum PhilGEPS Reg are allowed.</t>
  </si>
  <si>
    <t xml:space="preserve"> Scope of Works: 1. Final Soil Covering     Item 104 (Embankment) 2. Perimeter Fence - 280 l.m. including gates 3. Signage - 2 units Billboards 4. Guardhouse - 3.0 sq.m. 5. Drainage Facility - 280 l.m. including cross drainage</t>
  </si>
  <si>
    <t xml:space="preserve"> Republic of the Philippines Province of Nueva Vizcaya BIDS AND AWARDS COMMITTEE (BAC-GOODS) BAC OFFICE, Provincial Capitol, Bayombong, Nueva Vizcaya Tel. No. (078) 392-2650 	 INVITATION TO BID FOR THE SUPPLY AND DELIVERY OF DRUGS AND MEDICINES  FOR THE DU</t>
  </si>
  <si>
    <t xml:space="preserve"> INVITATION TO BID FOR THE SUPPLY AND DELIVERY: 6 UNITS CHEMICAL CABINET (FOR DRY CHEMICALS); 3 UNITS REAGENT CABINET; 3 UNITS UNDERBENCH CHEMICAL CABINET; 2 UNITS SOLVENT CABINET; 2 UNITS MEDIA CABINET; 2 UNITS SAFETY CABINET FOR CORROSIVES ITB No. EMB-GO</t>
  </si>
  <si>
    <t xml:space="preserve"> INVITATION TO BID GS 2020-008-027 PROCUREMENT  OF VARIOUS   FERTILIZERS for the 2ND CROPPING SEASON 1.	The City Government of Sorsogon, through the Tanging Program under the 10 Pts. Agenda Other Purpose Funds CY 2020  intends to apply the sum of  Four  Mi</t>
  </si>
  <si>
    <t xml:space="preserve"> Republic of the Philippines Barangay 315, Zone 32, District III Bids and awards committee INVITATION TO BID Barangay 315, zone 32, District III, Manila through its bids and awards committee (BAC) invites suppliers to bid the here under project: Educationa</t>
  </si>
  <si>
    <t xml:space="preserve"> Other Supplies &amp; Materials Expenses - Programs &amp; Other Activities.</t>
  </si>
  <si>
    <t xml:space="preserve"> Republic of the Philippines PROVINCE OF NUEVA ECIJA City of Palayan INVITATION TO BID FOR  SUPPLY AND DELIVERY OF DRUGS AND MEDICINES August 19, 2020 1.	The Provincial Government of Nueva Ecija (PGNE), through the General Fund, intends to apply the sum of</t>
  </si>
  <si>
    <t xml:space="preserve"> Republic of the Philippines Department of Education Region III SCHOOLS DIVISION OF AURORA San Luis, Aurora INVITATION TO BID FOR  SECOND PHASE OF REPRODUCTION OF SELF LEARNING MODULES (SLMS) 1.	The Department of Education, Schools Division of Aurora, thro</t>
  </si>
  <si>
    <t xml:space="preserve"> Description I.	Sign Board II.	Clearing &amp; Grubbing III.	Subgrade Preparation  IV.	Aggregate Sub Base Course V.	Aggregate Base Course (+10% Shrinkage) VI.	Portland Cement Concrete Pavement VII.	Formworks VIII.	Construction Safety &amp; Health 1. Barangay Catigb</t>
  </si>
  <si>
    <t xml:space="preserve"> 1 UNIT BRAND NEW 6-WHEELER CAB and chassis 15ft(wide cab) GVW: 4,400 kgs Engine: Diesel Intercooled 4-cycle, vertical 4-cylinder, in-line, overhead valve direct injection &amp; turbo Intercooled Max Output: 114.7 kW at 2500r/min Max Tourque: 430Nm at 1400r/mi</t>
  </si>
  <si>
    <t xml:space="preserve"> Republic of the Philippines Region XII Province of Cotabato BIDS AND AWARDS COMMITTEE Amas, Kidapawan City INVITATION TO BID FOR Supply of Diesel Fuel for RP vehicle use of Committee on Youth and Sports and Committee on Infrastructure, Energy, Transportat</t>
  </si>
  <si>
    <t xml:space="preserve"> Republic of the Philippines Region XII Province of Cotabato BIDS AND AWARDS COMMITTEE Amas, Kidapawan City INVITATION TO BID FOR Supply &amp; Delivery of Fertilizers to be given to farmers affected by earthquake provincewide. (PB-20-436) 1.	The Provincial Gov</t>
  </si>
  <si>
    <t xml:space="preserve"> Concreting of Local Roads with total length of 200.00 Ln.m., 3.00m. width and 0.15m. (6") thickness and 1.00m. shouldering on both sides.</t>
  </si>
  <si>
    <t xml:space="preserve"> 20 units - Handheld Radio Specs: Dual Band, Dual Display, Dual Standby,            5 watts max TX output, water resistant            VOX Hands Free Capable including NTC Permit. *Only with NTC Permit and PhilGEPS Platinum Reg with other legal government p</t>
  </si>
  <si>
    <t xml:space="preserve"> Republic of the Philippines Province of Nueva Vizcaya BIDS AND AWARDS COMMITTEE (BAC-GOODS) BAC OFFICE, Provincial Capitol, Bayombong, Nueva Vizcaya Tel. No. (078) 392-2650 	 INVITATION TO BID FOR THE SUPPLY AND DELIVERY OF DRUGS AND MEDICINES  FOR THE KA</t>
  </si>
  <si>
    <t xml:space="preserve"> Republic of the Philippines Region XII Province of Cotabato BIDS AND AWARDS COMMITTEE Amas, Kidapawan City INVITATION TO BID FOR Supply &amp; Delivery of Vegetable Seeds to be given to farmers affected by earthquake provincewide. (PB-20-434) 1.	The Provincial</t>
  </si>
  <si>
    <t xml:space="preserve"> Republic of the Philippines Region XII Province of Cotabato BIDS AND AWARDS COMMITTEE Amas, Kidapawan City INVITATION TO BID FOR Supply &amp; Delivery of Mobility Assistant Devices for mental health patients. (PB-20-429) 1.	The Provincial Government of Cotaba</t>
  </si>
  <si>
    <t xml:space="preserve"> Republic of the Philippines Region XII Province of Cotabato BIDS AND AWARDS COMMITTEE Amas, Kidapawan City INVITATION TO BID FOR Supply &amp; Delivery of Digital Duplicators for reproduction of DEPED modules. (PB-20-445) 1.	The Provincial Government of Cotaba</t>
  </si>
  <si>
    <t xml:space="preserve"> Republic of the Philippines Region XII Province of Cotabato BIDS AND AWARDS COMMITTEE Amas, Kidapawan City INVITATION TO BID FOR Supply &amp; Delivery of Laboratory Equipment for Biocon Laboratory, Office of the Provincial Agriculturist, Amas, Kidapawan City.</t>
  </si>
  <si>
    <t xml:space="preserve"> Republic of the Philippines Barangay 380, Zone 38, District III Bids and awards committee INVITATION TO BID Barangay 380, Zone 38, District III, Manila through its bids and awards committee (BAC) invites suppliers to bid the here under project:    CCTV Ca</t>
  </si>
  <si>
    <t xml:space="preserve"> Republic of the Philippines Region XII Province of Cotabato BIDS AND AWARDS COMMITTEE Amas, Kidapawan City INVITATION TO BID FOR Supply &amp; Delivery of Blueprint Machine for Provincial Engineer’s Office, Amas, Kidapawan City. (PB-20-464) 1.	The Provincial G</t>
  </si>
  <si>
    <t xml:space="preserve"> Republic of the Philippines Province of Nueva Vizcaya BIDS AND AWARDS COMMITTEE (BAC-GOODS) BAC OFFICE, Provincial Capitol, Bayombong, Nueva Vizcaya Tel. No. (078) 392-2650 	 INVITATION TO BID FOR THE SUPPLY AND DELIVERY OF ONE (1) UNIT DIGITAL HEMATOCRIT</t>
  </si>
  <si>
    <t xml:space="preserve"> Republic of the Philippines PROVINCE OF NUEVA ECIJA City of Palayan INVITATION TO BID FOR  SUPPLY AND DELIVERY OF MEDICAL SUPPLIES March 19, 2020 1.	The Provincial Government of Nueva Ecija (PGNE), through the General Fund intends to apply the sum of Twel</t>
  </si>
  <si>
    <t xml:space="preserve"> 1. The Mindanao State University - Tawi-Tawi College of Technology and Oceanography (MSU-TCTO), through the Trust Fund, intends to apply the sum of Six Hundred Two Thousand One Hundred Forty-Five Pesos Only(PHP 602,145.00) being Approved Budget of Contrac</t>
  </si>
  <si>
    <t xml:space="preserve"> Medical Oxygen Gas (refill) 1,800 lbs 													215	pc  														 Note to the winning bidder: 														 All items should be delivered on 30 days upon Notice to Proceed.</t>
  </si>
  <si>
    <t xml:space="preserve"> Republic of the Philippines Region XII Province of Cotabato BIDS AND AWARDS COMMITTEE Amas, Kidapawan City INVITATION TO BID FOR Supply &amp; Delivery of Agricultural Supplies for the Office of the Provincial Agriculturist, Amas, Kidapawan City. (PB-20-466) 1</t>
  </si>
  <si>
    <t xml:space="preserve"> Item Number	Description	                           Quantity Grade 7	  7 Types of Modules  (50 pages each)	     8267 Grade 8	  7 Types of Modules (50 pages each)	     8176 Grade 9	  6 Types of Modules (50 pages each)	     7,230 G-9 TLE 	Cookery	           </t>
  </si>
  <si>
    <t xml:space="preserve"> Republic of the Philippines Province of Nueva Vizcaya BIDS AND AWARDS COMMITTEE (BAC-GOODS) BAC OFFICE, Provincial Capitol, Bayombong, Nueva Vizcaya Tel. No. (078) 392-2650 	 INVITATION TO BID FOR THE SUPPLY AND DELIVERY OF MEDICAL AND LABORATORY SUPPLIES</t>
  </si>
  <si>
    <t xml:space="preserve"> Republic of the Philippines Province of Nueva Vizcaya BIDS AND AWARDS COMMITTEE (BAC-GOODS) BAC OFFICE, Provincial Capitol, Bayombong, Nueva Vizcaya Tel. No. (078) 392-2650 	 INVITATION TO BID FOR THE SUPPLY AND DELIVERY OF ONE (1) UNIT DIGITAL CENTRIFUGE</t>
  </si>
  <si>
    <t xml:space="preserve"> Republic of the Philippines Province of Nueva Vizcaya BIDS AND AWARDS COMMITTEE (BAC-GOODS) BAC OFFICE, Provincial Capitol, Bayombong, Nueva Vizcaya Tel. No. (078) 392-2650 	 INVITATION TO BID FOR THE SUPPLY AND DELIVERY OF DRUGS AND MEDICINES  FOR THE NU</t>
  </si>
  <si>
    <t xml:space="preserve"> INK V100 (BLACK) REFILL 											15	UNIT  INK V200 (CYAN) REFILL 											15	UNIT  INK V300 (MAGENTA) REFILL 										15	UNIT  INK V400 (YELLOW) REFILL 										15	UNIT  COMPUTER KEYBOARD 											2	UNIT  COMCOLOR INK BLACK 											2	UNIT  COMC</t>
  </si>
  <si>
    <t xml:space="preserve"> Please see attached bidding document associate with this notice</t>
  </si>
  <si>
    <t xml:space="preserve"> Republic of the Philippines Region XII Province of Cotabato BIDS AND AWARDS COMMITTEE Amas, Kidapawan City INVITATION TO BID FOR Supply &amp; Delivery of Vehicle Parts for various heavy equipment of Provincial Engineer’s Office, Amas, Kidapawan City. (PB-20-4</t>
  </si>
  <si>
    <t xml:space="preserve"> Republic of the Philippines Region XII Province of Cotabato BIDS AND AWARDS COMMITTEE Amas, Kidapawan City INVITATION TO BID FOR Supply &amp; Delivery of Office Supplies for Provincial Engineer’s Office, Amas, Kidapawan City. (PB-20-463) 1.	The Provincial Gov</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</si>
  <si>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</si>
  <si>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Republic of the Philippines PROVINCE OF NUEVA ECIJA City of Palayan INVITATION TO BID FOR  SUPPLY AND DELIVERY OF JANITORIAL/ HOUSEKEEPING SUPPLIES August 19, 2020 1.	The Provincial Government of Nueva Ecija (PGNE), through the General Fund, intends to ap</t>
  </si>
  <si>
    <t xml:space="preserve"> Republic of the Philippines Region XII Province of Cotabato BIDS AND AWARDS COMMITTEE Amas, Kidapawan City INVITATION TO BID FOR Supply &amp; Delivery of Shelter &amp; Modular Tents to be used in evacuation centers. (PB-20-374) 1.	The Provincial Government of Cot</t>
  </si>
  <si>
    <t xml:space="preserve"> Republic of the Philippines Province of Nueva Vizcaya BIDS AND AWARDS COMMITTEE (BAC-GOODS) BAC OFFICE, Provincial Capitol, Bayombong, Nueva Vizcaya Tel. No. (078) 392-2650 	 INVITATION TO BID FOR THE SUPPLY AND DELIVERY OF MEDICAL SUPPLIES  FOR THE KASIB</t>
  </si>
  <si>
    <t xml:space="preserve"> Republic of the Philippines Province of Nueva Vizcaya BIDS AND AWARDS COMMITTEE (BAC-GOODS) BAC OFFICE, Provincial Capitol, Bayombong, Nueva Vizcaya Tel. No. (078) 392-2650 	 INVITATION TO BID FOR THE SUPPLY AND DELIVERY OF LABORATORY SUPPLIES  FOR THE KA</t>
  </si>
  <si>
    <t xml:space="preserve"> Please see Philippine Bidding Documents</t>
  </si>
  <si>
    <t xml:space="preserve"> Contract ID No. 20CSNC0004 - Cluster 4 - Consulting Services for the Conduct of Soil Exploration and/or Geotechnical Investigation in the preparation for the Preliminary Engineering Design of various FY 2021 Infrastructure Projects, San Francisco, Agusan </t>
  </si>
  <si>
    <t xml:space="preserve"> REHABILITATE SENIOR CITIZEN BLDG. TEAR DOWN OF OLD BUILDING, SITE PREPARATION GRAVELING BEDING CONCRETING WORKS REINFORCING STEEL BARS COLUMN ROOF FRAME, ROOFING ELECTRICAL WORKS EXTENSION OF BLDG PAINTING WORKS</t>
  </si>
  <si>
    <t xml:space="preserve"> INVITATION TO BID 										 Purchase of 1 Unit Multi-purpose Vehicle 										 The Local Government Unit of Barangay Dadiangas Northm, General Santos City, through the Barangay Fund, intends to apply the sum One Million Four Hundred Thousand Pesos Only </t>
  </si>
  <si>
    <t xml:space="preserve"> Description   supply and delivery of the following: Lot 1- Drugs and medicines - Php 300,000.00 19 box Zycloran 100 19 box Zycloran 200 250 pcs Resperidone 100 ampules Fluphenazine Decanoate 25mg 5 box Biperiden tablet 2mg 100 vials Flunazine 25mg 150 pcs</t>
  </si>
  <si>
    <t xml:space="preserve"> INVITATION TO BID (for the Procurement of Goods)           1.	The City Government of Puerto Princesa (CGPP), through its Supplemental Budget No. 1-2019, Supplemental Budget No. 3-2020 and General Appropriations Ordinance No. 1-2019 (General Fund FY 2020) </t>
  </si>
  <si>
    <t xml:space="preserve"> Replacement of defective Air Conditioning Unit at Procurement Office Unit 	Item Description	Quantity 		 Unit	"Air Conditioning Unit -Wall Mounted, Inverter Type, 2.0 HP -Inclusive of Installation Fee (Labor and Materials)"	1 ***Nothing Follows***</t>
  </si>
  <si>
    <t xml:space="preserve"> INVITATION TO BID (for the Procurement of Goods)           1.	The City Government of Puerto Princesa (CGPP), through iSupplemental Budget No. 3-2020  intends to apply the sum, corresponds as the Approved Budget for the Contract (ABC) for each of the follo</t>
  </si>
  <si>
    <t xml:space="preserve"> Supplies and Materials for RTC - KPTVC registration of BHS NC II requirements Unit 	Item Description		Quantity 			 pc	Monkey Wrench		2 pc	Screw Driver		2 pc	Flashlight		3 pc	Broom (Tingting) 		5 pc	Broom (Tambo) 		5 pc	Floor mop		4 sachet	Detergent		20 pc</t>
  </si>
  <si>
    <t xml:space="preserve"> Walking Cane (antique white wood, skull head) 37" 							1	set Good Harvest Anito (23.5", 25", 25.5", 26.5") 								4	pieces  Carabao Jar 15th Century (Anamese 14") 									1	pieces  Sukothai Bowl 8" 													1	pieces  European Plate Blue &amp; White (u</t>
  </si>
  <si>
    <t xml:space="preserve"> INVITATION TO BID (for the Procurement of Goods)           1.	The City Government of Puerto Princesa (CGPP), through its SGeneral Appropriations Ordinance No. 1-2019 (General Fund FY 2020) intends to apply the sum, corresponds as the Approved Budget for t</t>
  </si>
  <si>
    <t xml:space="preserve"> Republic of the Philippines Province of Nueva Vizcaya Municipality of Bambang -oOo- INVITATION TO BID The Local Government Unit of Bambang, through the 20% Development Fund (6910 2020), intends to apply the sum of FOUR MILLION FOUR HUNDRED NINETY NINE THO</t>
  </si>
  <si>
    <t xml:space="preserve"> 1	Motorcycle - 4 Stroke - Single Cylinder - 150 - 200 cc with complete accessories</t>
  </si>
  <si>
    <t xml:space="preserve"> Description of Works to be Done Demolition, Excavation, Masonry &amp; Carpentry Works.............100 ....................................................................................100% Item/Description....................................................</t>
  </si>
  <si>
    <t xml:space="preserve"> Mini 4WD Farm-Tractor SPECIFICATIONS: &gt; with rated power 36-40 horsepower, vertical, three to four (3-4) cylinders, 4 stroke cycles, direct injection, natural aspirated diesel engine, minimum PTO horsepower is 85% of the maximum rated horsepower, PTO spee</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</si>
  <si>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</si>
  <si>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https://drive.google.com/file/d/178VGcqsWhtQuKPbUi3StM7Ee-5PqjZgc/view?usp=drivesdk</t>
  </si>
  <si>
    <t xml:space="preserve"> 1	Motor Vehicle (4x2) Sports Utility vehicle (not exceeding 3000cc engine displacement, diesel-fed,4-cylender, manual transmission and additional accessories 1. Rain visor, 2. Seat Cover 3. Floor Mating and 4. Dash Cam.)</t>
  </si>
  <si>
    <t xml:space="preserve"> For various Maintenance Work</t>
  </si>
  <si>
    <t xml:space="preserve"> INVITATION TO BID  PROCUREMENT OF MEDICAL SUPPLIES MRH-010-2020 1.	The Margosatubig Regional Hospital, through the funding source of 2020 GAA RA 11465 and/or Hospital Income intends to apply the sum of Ten Million Five Hundred One Thousand Five Hundred Th</t>
  </si>
  <si>
    <t xml:space="preserve"> 1	Passenger Van MANUAL, 2.8L, 2,755 cc, 6 speeds manual, Seating Capacity:14, Fuel type: Diesel, Fuel Capacity: 70 L</t>
  </si>
  <si>
    <t xml:space="preserve"> The Barangay Cadlan through its Bids and Committee (BAC) invites suppliers to apply for the hereunder project Project Ref. No.: 2020-08-002 Fund of Project: 20% BDF C/Y 2020                         20% BDF C/Y 2017 Delivery Period: 14days Prospective bidd</t>
  </si>
  <si>
    <t xml:space="preserve"> 1.	The Local Government Unit of Siay, through the Budget Approved by the Sanggunian intends to apply the sum of One Million Nine Hundred Ninety One Thousand Four Hundred Four Pesos Only ( PhP 1,991,404.00) being the Approved Budget for the Contract (ABC) </t>
  </si>
  <si>
    <t xml:space="preserve"> 1 rolls P.E. Pipe #2 1/2 28,500.00 28,500.00 4 rolls P.E. Pipe #2 17,500.00  70,000.00 5 pcs  P.E. Coupling #2 850.00  4,250.00 5 rolls Tapelon Tape #1 78.00  390.00 1 pc. P.E. Reducer #2 1/2 x 2 750.00  750.00 1 pc. G.I Union #2 1/2 985  985.00 Total:  1</t>
  </si>
  <si>
    <t xml:space="preserve"> Payao -Fish Shelter etc. NOTE:To all suppliers bid documents and BAC Resolution 2020-029 are available at BAC Office and LGU website.</t>
  </si>
  <si>
    <t xml:space="preserve"> 50 kilos sack of rice - 74 pieces 25 kilos sack of rice - 70 pieces</t>
  </si>
  <si>
    <t xml:space="preserve"> To procure goods for the 10th Cycle implementation of Supplementary Feeding Program in the Municipality of Dumalneg, Ilocos Norte</t>
  </si>
  <si>
    <t xml:space="preserve"> INVITATION TO BID August 13, 2020 1.	The Provincial Government of Davao Occidental, through its Bids and Awards Committee (BAC), invites all suppliers to apply to bid for the following goods: Bids received in excess of the ABC shall be automatically rejec</t>
  </si>
  <si>
    <t xml:space="preserve"> To procure goods for the 10th Cycle implementation of Supplementary Feeding Program in the Municipality of Nueva Era, Ilocos Norte</t>
  </si>
  <si>
    <t xml:space="preserve"> Disinfectant Solution etc. NOTE:To all suppliers bid documents and BAC Resolution 2020-029 are available at BAC Office and LGU website.</t>
  </si>
  <si>
    <t xml:space="preserve"> Anti Rabies Vaccine etc. NOTE:To all suppliers bid documents and BAC Resolution 2020-029 are available at BAC Office and LGU website.</t>
  </si>
  <si>
    <t xml:space="preserve"> To procure goods for the 10th Cycle implementation of Supplementary Feeding Program in the Municipality of Pinili, locos Norte</t>
  </si>
  <si>
    <t xml:space="preserve"> I. A. MATERIALS                                                 FREE    B. EQUIPMENT                         1 Unit Payloader                          Mun. Equipment                         1 Unit Road Grader                       Mun. Equipment          </t>
  </si>
  <si>
    <t xml:space="preserve"> Cartolina etc. NOTE:To all suppliers bid documents and BAC Resolution 2020-029 are available at BAC Office and LGU website.</t>
  </si>
  <si>
    <t xml:space="preserve"> Republic of the Philippines Sorsogon State College Sorsogon City INVITATION TO BID FOR  SUPPLY AND DELIVERY OF COMPUTER EQUIPMENT AND PERIPHERALS FOR THE REHABILITATION OF SSC NETWORK INFRASTRUCTURE OF THREE CAMPUSES OF SORSOGON STATE COLLEGE 1.	The SORSO</t>
  </si>
  <si>
    <t xml:space="preserve"> HBA1C Test  etc. NOTE:To all suppliers bid documents and BAC Resolution 2020-029 are available at BAC Office and LGU website.</t>
  </si>
  <si>
    <t xml:space="preserve"> INVITATION TO BID FOR  SUPPLY AND DELIVERY OF COMMON-USED SUPPLIES AND EQUIPMENT FOR FOUR CAMPUSES OF SSC AND SCHOOL OF GRADUATE STUDIES USE 1.	The SORSOGON STATE COLLEGE, through the MOOE - HE &amp; GASS 2020   intends to apply the sum of FOUR MILLION ONE HU</t>
  </si>
  <si>
    <t xml:space="preserve"> Macroset etc.  NOTE:To all suppliers bid documents and BAC Resolution 2020-029 are available at BAC Office and LGU website.</t>
  </si>
  <si>
    <t xml:space="preserve"> INVITATION TO BID 	 Date: August 17, 2020 1.	The Provincial Government of Davao Occidental, through its Bids and Awards Committee (BAC), invites all potential contractors to apply to bid for the following infrastructure projects: IB NO.	Description	ABC	So</t>
  </si>
  <si>
    <t xml:space="preserve"> Crystal Gray Quartz with Installation etc. NOTE:To all suppliers bid documents and BAC Resolution 2020-029 are available at BAC Office and LGU website.</t>
  </si>
  <si>
    <t xml:space="preserve"> Republic of the Philippines Department of Education 		DIVISION OF MAASIN CITY Government Center, Combado, Maasin City Tel No. (053) 381-3014 Fax Number (053) 570-8066 maasin.city@deped.gov.ph Project No.: 2020-ADM-08-002 INVITATION TO BID FOR  1.	 The Dep</t>
  </si>
  <si>
    <t xml:space="preserve"> Contract Name: Improvement of Perimeter Fence Contract Location: PUP-SMB Campus, Pulong Buhangin, Santa Maria, Bulacan Source of Fund: General Fund Approved Budget for the Contract (ABC): Php 3,900,000.00 Contract Duration: 90 calendar days Cost of Biddin</t>
  </si>
  <si>
    <t xml:space="preserve"> 1	GI Pipe 3 dia., Sched 40 2	Acrylic primer 3	Acrylic putty 4	Acrytex Reducer 5	Angle Bar 1 1/2 x 1 1/2 x 1/4 6	Assorted CW Nails 7	Automotive Black 8	Baby roller cotton # 4 9	Blind Rivets 10	Body filler 11	C-Purlins 2 x 3 x 1.2mm 12	CHB #4 13	Color Roof </t>
  </si>
  <si>
    <t xml:space="preserve"> I. EXCAVATION WORKS II. CHB LINED CANAL WITH CONCRETE COVER</t>
  </si>
  <si>
    <t xml:space="preserve"> Methyl Eugenol etc.- REBID NOTE:To all suppliers bid documents and BAC Resolution 2020-029 are available at BAC Office and LGU website.</t>
  </si>
  <si>
    <t xml:space="preserve"> Facial Tissue etc. NOTE:To all suppliers bid documents and BAC Resolution 2020-029 are available at BAC Office and LGU website.</t>
  </si>
  <si>
    <t xml:space="preserve"> School and office supplies for printing of self learning modules</t>
  </si>
  <si>
    <t xml:space="preserve"> 1	Coffee Dehuller Power 8 HP engine 5 to 7 sacks per hour with sifter and blower</t>
  </si>
  <si>
    <t xml:space="preserve"> PROCUREMENT OF INSTALLATION OF SOLAR LIGHTING FACILITIES</t>
  </si>
  <si>
    <t xml:space="preserve"> Contract Name: Supply and Delivery of Tent Contract Location: LGU - Santa Maria, Bulacan Source of Fund: General Fund Approved Budget for the Contract (ABC): Php 1,955,000.00 Contract Duration: 30 calendar days Cost of Bidding Documents: Php 3,000.00</t>
  </si>
  <si>
    <t xml:space="preserve"> Municipality of Dolores, Quezon INVITATION TO BID FOR CONSTRUCTION OF WATER SUPPLY SYSTEM   AT BRGY.  BULAKIN 2, DOLORES, QUEZON The LGU, through  the General Fund (20% Devt. Fund) –intends to apply the sum of  One Million Six Hundred Sixty Thousand Seven</t>
  </si>
  <si>
    <t xml:space="preserve"> Issuance of Bid Documents Starts: August 15, 2020 Cost of Bid Document: Php 3,000.00 Venue of Dropping and Opening Bids: BAC Conference Room, Leyte SMED Center, Provincial Capitol Grounds, Tacloban City</t>
  </si>
  <si>
    <t xml:space="preserve"> Contract Location:  Malinao, Albay Brief Description: REHABILITATION/IMPROVEMENT/CONSTRUCTION OF FLOOD CONTROL      Source of Funds: SARO-BMB-A-20-0014152 The BAC is conducting the public bidding for this Contract in accordance with RA 9184 and its Implem</t>
  </si>
  <si>
    <t xml:space="preserve"> Contract ID No. 20CSNC0005 - Cluster 5 - Consulting Services for the Conduct of Soil Exploration and/or Geotechnical Investigation in the preparation for the Preliminary Engineering Design of various FY 2021 Infrastructure Projects, Rosario, Bunawan, Tren</t>
  </si>
  <si>
    <t xml:space="preserve"> 1.	The Camarines Norte State College, through the 2020 General Fund intends to apply the sum of Eight Hundred Ninety Five Thousand (Php 895,000.00) Pesos being the Approved Budget for the Contract (ABC) to payments under the contract for Supply, Delivery </t>
  </si>
  <si>
    <t xml:space="preserve"> INVITATION TO BID FOR SUPPLY AND DELIVERY UNPLASTICIZED POLYVINYL CHLORINE (uPVC) PIPES FOR REHAB OF TRANSMISSION PIPELINE AT BRGY. BULANON, BRGY. RAFAELA BARRERA AND BRGY. VITO, SAGAY CITY (PROVISION OF WATER SUPPLY TO NHA PERMANENT RESETTLEMENT SITES HO</t>
  </si>
  <si>
    <t xml:space="preserve"> Government of the Philippines LGU-DOLORES, QUEZON INVITATION TO BID FOR THE SUPPLY AND DELIVERY OF SEEDS AND FERTILIZERS 1.	The LGU, through the General  Fund –(20% Devt. Fund)  intends to apply the sum of Three Million Five Hundred Thousand Pesos (PhP3,5</t>
  </si>
  <si>
    <t xml:space="preserve"> Local Frequecy for Radio Broadcasting etc.  NOTE:To all suppliers quotation forms are available at BAC Office and LGU website.</t>
  </si>
  <si>
    <t xml:space="preserve"> A Republic of the Philippines BIDS AND AWARDS COMMITTEE Dagupan City Invitation to Bid   for CONSTRUCTION/EXTENSION OF DIAGNOSTIC CENTER BUILDING FOR CT-SCAN AT CITY HEALTH OFFICE, BARANGAY HERRERO-PEREZ, DAGUPAN CITY 1.	The City Government of Dagupan, th</t>
  </si>
  <si>
    <t xml:space="preserve"> Purchase and installation of electrical materials including reinforced concrete pedestal intended for Barangay Kahaponan Steetlights: 3 units of 300 watts LED lamp with sensor, monocrystalline solar panel with battery, as per approved program of works and</t>
  </si>
  <si>
    <t xml:space="preserve"> Split Type Aircon etc. NOTE:To all supplliers bid documents and BAC Resolution 2020-029 are available at BAC Office and LGU website.</t>
  </si>
  <si>
    <t xml:space="preserve"> Republic of the Philippines SORSOGON STATE COLLEGE Sorsogon City Invitation to Bid for LABOR AND MATERIALS FOR THE REPAIR OF LIBRARY BUILDING (DAMAGED BY TYPHOON TISOY) AT BULAN CAMPUS 1.	The SORSOGON STATE COLLEGE, through the STF-AI 2019  intends to app</t>
  </si>
  <si>
    <t xml:space="preserve"> Contract Name: Hauling, Transfer and Disposal of Solid Waste Materials Contract Location: LGU - Santa Maria, Bulacan Source of Fund: General Fund Approved Budget for the Contract (ABC): Php 28,500,000.00 Cost of Bidding Documents: Php 20,000.00</t>
  </si>
  <si>
    <t xml:space="preserve"> Purchased and installation of electrical materials including reinforced concrete pedestal intended for Barangay Kahaponan Streetlights: 30 units of 400 watts LED lamp with sensor, monocrystalline  solar panel with battery, as per approved program of works</t>
  </si>
  <si>
    <t xml:space="preserve"> INVITATION TO BID FOR Supply &amp; Delivery of One (1) unit Brand New 6-Wheeler Dump Truck 1.	 The Municipal Government of Quezon, Palawan, through the Development Fund 2019  intends to apply the sum of Four Million Six Hundred Thousand (4,600,000.00) Pesos O</t>
  </si>
  <si>
    <t xml:space="preserve"> To procure goods for the 10th Cycle implementation of Supplementary Feeding Program in the Municipality of Burgos, Ilocos Norte</t>
  </si>
  <si>
    <t xml:space="preserve"> To procure goods for the 10th Cycle implementation of Supplementary Feeding Program in the Municipality of Bangui, Ilocos Norte</t>
  </si>
  <si>
    <t xml:space="preserve"> Contract Name: Supply and Delivery of Various Furnitures and Fixtures Contract Location: LGU - Santa Maria, Bulacan Source of Fund: General Fund Approved Budget for the Contract (ABC): Php 4,000,000.00 Contract Duration: 30 calendar days Cost of Bidding D</t>
  </si>
  <si>
    <t xml:space="preserve"> To procure goods for the 10th Cycle implementation of Supplementary Feeding Program in the Municipality of Carasi, Ilocos Norte</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</si>
  <si>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</si>
  <si>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NAME OF PROJECT:  Procurement of Garbage Truck (Dump Truck)                      LOCATION OF THE PROJECT:  Donsol, Sorsogon PROJECT REFERENCE NO     GOODS-PB-2020-007 Approved Budget for the Contract (ABC): ₱ 3,000,000.00 Item No.	Quantity	Unit	ITEM/DESCR</t>
  </si>
  <si>
    <t xml:space="preserve"> Republic of the Philippines DEPARTMENT OF PUBLIC WORKS &amp; HIGHWAYS LEYTE THIRD  ENGINEERING DISTRICT OFFICE Regional Office VIII Villaba, Leyte Telefax No. (053) 552-9266 Email Add: dpwh_leyte3@yahoo.com INVITATION TO BID AUGUST 13, 2020 1.	The DPWH Third </t>
  </si>
  <si>
    <t xml:space="preserve"> 1.	The Capiz Provincial Government, through the GOP–2020 intends to apply the total amount of Eight Hundred Ninety-Eight Thousand Eight Hundred Ninety Pesos (Php, 898,890.00) being the total aggregated Approved Budget for the Contract (ABC) to payments un</t>
  </si>
  <si>
    <t xml:space="preserve"> 1.	The Capiz Provincial Government, through the GOP–2020 intends to apply the total amount One Hundred Thirty Thousand Pesos (Php 130,000.00) being the total Approved Budget for the Contract (ABC) to payments under the contract of Public Bidding for the S</t>
  </si>
  <si>
    <t xml:space="preserve"> Republic of the Philippines SORSOGON STATE COLLEGE Sorsogon City Invitation to Bid for LABOR AND MATERIALS FOR THE REPAIR OF BTTE BUILDING (DAMAGED BY TYPHOON TISOY) AT BULAN CAMPUS 1.	The SORSOGON STATE COLLEGE, through the STF-AI 2019  intends to apply </t>
  </si>
  <si>
    <t xml:space="preserve"> 1.	The Capiz Provincial Government, through the GOP–2020 intends to apply the total amount One Million One Hundred Sixty-Nine Thousand Forty-One Pesos (Php,1,169,041.00) being the total Approved Budget for the Contract (ABC) to payments under the contract</t>
  </si>
  <si>
    <t xml:space="preserve"> INVITATION TO BID The Department of Public Works and Highways (DPWH), Cavite II District Engineering Office, Alfonso, Cavite   through  GAA FY 2020  intends to apply the sum of  Three Hundred Four Thousand Five Hundred Pesos only  (P 304,500.00)  being th</t>
  </si>
  <si>
    <t xml:space="preserve"> INVITATION TO BID FOR Supply and Delivery of Materials for the Construction of Multi-Purpose Bleacher at Bgy. Tagusao, Quezon, Palawan 1.	The Municipal Government of Quezon, Palawan, through the Development Fund 2018 intends to apply the sum of Three Hund</t>
  </si>
  <si>
    <t xml:space="preserve"> 1.	The Barangay Local Government Unit of Katipunan, through the Budget for the contract approved by the respective Sanggunian (BDF)  intends to apply the sum of two hundred eleven thousand nine hundred seventy pesos only (Php 211,970.00), being the Approv</t>
  </si>
  <si>
    <t xml:space="preserve"> INVITATION TO BID FOR Supply &amp; Delivery of Disaster Tools and Equipment for MDRRM Office 1.	 The Municipal Government of Quezon, Palawan, through the STF 2015  intends to apply the sum of One Million Three Hundred Fifty-Seven Thousand Five Hundred (1,357,</t>
  </si>
  <si>
    <t xml:space="preserve"> INVITATION TO BID FOR Supply &amp; Delivery of Six (6) units Laptop for Sangguniang Bayan Office 1.	The Municipal Government of Quezon, Palawan, through the General Fund (CO 2019) intends to apply the sum of Two Hundred Seventy-Five Thousand (275,000.00) Peso</t>
  </si>
  <si>
    <t xml:space="preserve"> INVITATION TO BID FOR Supply &amp; Delivery of Various Disaster Equipment for MDRRM Office 1.	 The Municipal Government of Quezon, Palawan, through the LDRRMF 2020  intends to apply the sum of One Million Eight Hundred Six Thousand Seven Hundred One (1,806,70</t>
  </si>
  <si>
    <t xml:space="preserve"> INVITATION TO BID FOR REHABILITATION OF SEAWALL AND INSTALLATION OF LIGHTS IN SHORELINE, POBLACION, CAJIDIOCAN, ROMBLON 1.	The Municipal Government of Cajidiocan, Romblon intends to apply the sum of FIVE HUNDRED NINETY-NINE THOUSAND, NINE HUNDRED FIFTY FO</t>
  </si>
  <si>
    <t xml:space="preserve"> INVITATION TO BID FOR CONSTRUCTION OF ACCESS ROAD - NALUS-UCAN, SUGOD, CAJIDIOCAN, ROMBLON 1.	The Municipal Government of Cajidiocan, Romblon through the 20% MDF MDC RES NO. 05-2020 intends to apply the sum of FOUR HUNDRED NINETY-NINE THOUSAND, NINE HUNDR</t>
  </si>
  <si>
    <t xml:space="preserve"> Pigment Ink, Black	2	bottle Pigment Ink, Cyan	2	bottle Pigment Ink, Magenta 2	bottle Pigment Ink, Yellow	2	bottle</t>
  </si>
  <si>
    <t xml:space="preserve"> 12 PCS Polo Shirt (S-L) with embroided TESDA Logo &amp; text		 1 PC Polo Shirt (XL) with embroided TESDA Logo &amp; text		 1 PC Polo Shirt (2XL) with embroided TESDA Logo &amp; text</t>
  </si>
  <si>
    <t xml:space="preserve"> 10 x 6 ft (CITIZEN'S CHARTER)</t>
  </si>
  <si>
    <t xml:space="preserve"> 1.	The Local Government Unit of Barangay Puhagan, through the 80% Royalty Tax 2010 Surplus intends to apply the sum of Eight Hundred Thousand Pesos (P 800,000.00) being the Approved Budget for the Contract (ABC) to payments under the contract for the Impr</t>
  </si>
  <si>
    <t xml:space="preserve"> 2 in 1 Tire Inflator (DC 12V 250 PSI AIR COMPRESSOR WITH VACUUM CLEANER)</t>
  </si>
  <si>
    <t xml:space="preserve"> INVITATION TO BID FOR CONSTRUCTION OF FMR SITIO MALUBAGO, GUTIVAN, CAJIDIOCAN, ROMBLON 1.	The Municipal Government of Cajidiocan, Romblon through the 20% MDF 2020 intends to apply the sum of NINE HUNDRED NINETY-NINE THOUSAND, NINE HUNDRED THIRTY PESOS and</t>
  </si>
  <si>
    <t xml:space="preserve"> 1.	The Local Government Unit of Barangay Puhagan, through the 80% Royalty Tax 2010 Surplus intends to apply the sum of Seven Million Pesos (P 7,000,000.00) being the Approved Budget for the Contract (ABC) to payments under the contract for the Improvement</t>
  </si>
  <si>
    <t xml:space="preserve"> INVITATION TO BID Project No.: CY 2020-GOODS-007 The Department of Education (DepED) Schools Division Office of Ligao City, through the General Appropriations Act FY 2020 intends to apply the sum of Fourteen Million Eighty-Five Thousand Pesos Only (Php 14</t>
  </si>
  <si>
    <t xml:space="preserve"> Republic of the Philippines DEPARTMENT OF PUBLIC WORKS AND HIGHWAYS BATANGAS III DISTRICT ENGINEERING OFFICE REGIONAL OFFICE IV-A J. Gonzales St., Barangay 4, Tanauan City INVITATION TO BID (CW-2020-040) The DPWH–Batangas III District Engineering Office, </t>
  </si>
  <si>
    <t xml:space="preserve"> 20 units with complete accessories with bobbin winder with warping board good lumber inclusion hands-on demo</t>
  </si>
  <si>
    <t xml:space="preserve"> INVITATION TO BID FOR IMPROVEMENT OF RHU, POBLACION, CAJIDIOCAN, ROMBLON 1.	The Municipal Government of Cajidiocan, Romblon through the 20% MDF CY-2020 RES NO. 5-2020 intends to apply the sum of ONE MILLION, FIVE HUNDRED FIFTY-FIVE THOUSAND, EIGHT HUNDRED</t>
  </si>
  <si>
    <t xml:space="preserve"> 1.	The Local Government Unit of Barangay Puhagan, through the 80% Royalty Tax 2010 Surplus  intends to apply the sum of Three Million Five Hundred Thousand Pesos   (P3,500,000.00) being the Approved Budget for the Contract (ABC) to payments under the cont</t>
  </si>
  <si>
    <t xml:space="preserve"> August 14, 2020 INVITATION TO BID 1.	The Department of Public Works and Highways, Mindoro Occidental District Engineering Office, Mamburao, Occidental Mindoro, through the General Appropriations Act intends to apply the sum of the Approved Budget for the </t>
  </si>
  <si>
    <t xml:space="preserve"> INVITATION TO BID FOR Supply and Delivery of Materials for the Construction of Composting Facility Building 1.	The Municipal Government of Quezon, Palawan, through the Development Fund 2018 intends to apply the sum of Two Hundred Eleven Thousand Five Hund</t>
  </si>
  <si>
    <t xml:space="preserve"> Issuance of Bid Documents Starts: August 15, 2020 Cost of Bid Document: Php 2,500.00 Venue of Dropping and Opening Bids: BAC Conference Room, Leyte SMED Center, Provincial Capitol Grounds, Tacloban City</t>
  </si>
  <si>
    <t xml:space="preserve"> 20 units with complete accessories with bobbin winder good lumber inclusion hands-on demo</t>
  </si>
  <si>
    <t xml:space="preserve"> Supply and Delivery of a.) Grafted Rambutan seedlings (rong ring variety) (800 seedlings)</t>
  </si>
  <si>
    <t xml:space="preserve"> Request for Quotation for the Procurement of Chemical and Filtering Supplies to be used in Metarhizium production and Diagnosis 1.	The Department of Agriculture-Regional Field Office 7 (DA-RFO 7), through the General Appropriations Act of CY 2020)  intend</t>
  </si>
  <si>
    <t xml:space="preserve"> Construction of brgy. street lightings.</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</si>
  <si>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</si>
  <si>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Procurement of Goods intended for the Construction of Patrol Base at Sitio Bobong-Abaga, Nunungan, Lanao del Norte</t>
  </si>
  <si>
    <t xml:space="preserve"> Item 101- Removal of Existing Structure Item 104-Embankment Item 200- Aggregate Sub-Base Coarse Item 311- PCCP Item 500- RCPC 1.20mm Dia Item 506- Stone Masonry SPL-Construction Health and Safety SCHEDULE OF BIDDING Advertisement/Posting – August 18-27, 2</t>
  </si>
  <si>
    <t xml:space="preserve"> COMMUNICATION EQUIPMENT</t>
  </si>
  <si>
    <t xml:space="preserve"> Procurement of Sound System 1.	The Local Government Unit  of Don Victoriano,  Don Victoriano, Misamis  Occidental through the  Bids and Awards Committee BAC intends to apply the sum of   Four Hundred Thousand Pesos  (P 400,000.00)  being the Approved Budg</t>
  </si>
  <si>
    <t xml:space="preserve"> Issuance of Bid Documents Starts: August 15, 2020 Cost of Bid Document: Php 2,000.00 Venue of Dropping and Opening Bids: BAC Conference Room, Leyte SMED Center, Provincial Capitol Grounds, Tacloban City</t>
  </si>
  <si>
    <t xml:space="preserve"> Funded under the ten percent (10%) SK Share, the project aims to provided  anti-radiation glasses of the students of Barangay Sta.Monica. As the classes go virtual, the students will be exposed to long hours of radiation from computers and other gadget, t</t>
  </si>
  <si>
    <t xml:space="preserve"> INVITATION TO BID Name of Contract: Supply and Delivery of Various Construction materials use for the Maintenance of Streetlights, Rehabilitation of Drainage Canal, Construction of Slope Protection at Brgys. San Vicente, Consolacion, San Jose, Camantiles,</t>
  </si>
  <si>
    <t xml:space="preserve"> Title:Procurement of Vehicle Parts and Accessories under P.R Nos. 2368-2020 and 2372-2020 - Office of the City Engineer-1Lot. Total ABC: Php 1,600,650.00 For representative/s of interested bidders  who wish to attend the Pre-Bidding Conference, please bri</t>
  </si>
  <si>
    <t xml:space="preserve"> This project is dealing of Brgy. Rosario, Lopez, Quezon</t>
  </si>
  <si>
    <t xml:space="preserve"> HIKVISION 1080p 2.0mp Colorvu colored camera  -  5 units 12v 5amps CCTV Power Supply  -  1 unit 1tb Hard Disk Drive for Surveillance  -  1 unit External Pro SD Card Memory (32GB)  -  6 pcs. Siamese Coaxial Cable w/ Connector  -  125 meters Universal Charg</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</si>
  <si>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</si>
  <si>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Province of Iloilo Municipality of New Lucena    New Lucena, Iloilo 							         August 18, 2020     Invitation to Bid for the Construction of Transport Terminal, Public Market,Poblacion, New Lucena , Iloilo.  	1. The Munici</t>
  </si>
  <si>
    <t xml:space="preserve"> INVITATION TO BID FOR CONSTRUCTION OF MULTIPURPOSE HALL/ ISOLATION CENTER, SUGOD CAJIDIOCAN, ROMBLON 1.	The Municipal Government of Cajidiocan, Romblon intends to apply the sum of TWELVE MILLION, SIX HUNDRED FORTY-NINE THOUSAND, NINE HUNDRED FORTY-EIGHT P</t>
  </si>
  <si>
    <t xml:space="preserve"> August 14, 2020 NOTICE OF PROCUREMENT OF GOODS THROUGH  ALTERNATIVE METHOD OF PROCUREMENT The Department of Public Works and Highways (DPWH) through the Bids and Awards Committee of Mindoro Occidental District Engineering Office, Mamburao, Occidental Mind</t>
  </si>
  <si>
    <t xml:space="preserve"> Local Cable TV Airtime Services etc. NOTE:To all suppliers bid documents and BAC Resolution 2020-029 are available at BAC Office and LGU website.</t>
  </si>
  <si>
    <t xml:space="preserve"> INVITATION TO BID FOR PURCHASE OF MEDICAL AND DENTAL SUPPLY, MUNICIPAL HEALTH OFFICE, CAJIDIOCAN, ROMBLON 1.	The Municipal Government of Cajidiocan, Romblon intends to apply the sum of THREE HUNDRED FORTY-NINE THOUSAND, THREE HUNDRED NINETY-FIVE PESOS and</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</si>
  <si>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</si>
  <si>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Construction Materials &amp; Supplies-Red Lead Paint,Cyclone Wire,etc...</t>
  </si>
  <si>
    <t xml:space="preserve"> INVITATION TO BID FOR THE  CONSTRUCTION/EXTENSION OF NEW GUINLO BOAT LANDING, PHASE II (TAYTAY, PALAWAN) 1.	The Provincial Government of Palawan, through its 20% Development Fund (OBR No. 300-20-08-10035) account intends to apply the sum of Two Million Fi</t>
  </si>
  <si>
    <t xml:space="preserve"> Invitation to Bid for  Procurement of Labor and Materials for the Construction/Repair/Renovation of Various Civil Works at 3rd Floor of Blue Building IB NO. 2020-029-I The WESTERN VISAYAS MEDICAL CENTER, through the Regular Agency Fund GAA/SAA or Internal</t>
  </si>
  <si>
    <t xml:space="preserve"> INVITATION TO BID FOR THE  CONSTRUCTION OF SEWAGE TREATMENT PLANT IN CUYO DISTRICT HOSPITAL (MUNICIPALITY OF CUYO, PALAWAN) 1.	The Provincial Government of Palawan, through its 20% Development Fund (OBR No. 300-20-08-10036) account intends to apply the su</t>
  </si>
  <si>
    <t xml:space="preserve"> The projects aims to provide free printing and scan for students most especially those who are in secondary level. Public bidding is set on September 01, 2020 at the SK Hall, Moses St., Jordan Plaines Subd., Bgy. Sta. Monica, Quezon City.</t>
  </si>
  <si>
    <t xml:space="preserve"> Request for Quotation for the Procurement of Chemical and Filtering Supplies needed for Laboratory use in support to “Mass production of quality banana planting materials through mass propagation techniques and protocols in Central Visayas” Project... 1.	</t>
  </si>
  <si>
    <t xml:space="preserve"> ITEM NO.   QTY.       UNIT	          DESCRIPTION	               UNIT PRICE	TOTAL COST 1	11	Pcs.	C-Purlins 1.50mm Thk. 2”x4”x20	925.00	10,175.00 2	2	Pcs.	Color Roof, Rib Type; 0.40mm Thk, 11ft.	1,430.00	2,860.00 3	2	Pcs.	Color Roof, Rib Type; 0.40mm Thk, 1</t>
  </si>
  <si>
    <t xml:space="preserve"> Request for Quotation for the Procurement of Other Supplies needed for Laboratory use in support to “Mass production of quality banana planting materials through mass propagation techniques and protocols in Central Visayas”  1.	The Department of Agricultu</t>
  </si>
  <si>
    <t xml:space="preserve"> INVITATION TO BID FOR PURCHASE OF OFFICE SUPPLIES, MUNICIPAL HEALTH OFFICE, CAJIDIOCAN, ROMBLON 1.	The Municipal Government of Cajidiocan, Romblon intends to apply the sum of ONE HUNDRED NINETY-NINE THOUSAND, EIGHT HUNDRED TWENTY-FIVE PESOS and 00/100 (P </t>
  </si>
  <si>
    <t xml:space="preserve"> 1,500 SET SCHOOL KIT INCLUSION: 1 CUSTOMIZE ENVELOPE 1 CUSTOMIZE DRAWING PAD 1 PERSONALIZE NOTEBOOK 2 PERSONALIZE PENCIL 1 CRAYONS (8PCS-CRAYOLA BRAND) 1 SHARPENER 1 SET NURSERY LEARNING MODULE X X X X X X X X X X X X X X X X X X X X X</t>
  </si>
  <si>
    <t xml:space="preserve"> INVITATION TO BID FOR PROCUREMENT OF VEGETABLE SEEDS, MAO, CAJIDIOCAN, ROMBLON 1.	The Municipal Government of Cajidiocan, Romblon intends to apply the sum of SEVENTY-NINE THOUSAND, SIX HUNDRED SEVENTY-FIVE PESOS and 00/100 (P 79,675.00) being the Approved</t>
  </si>
  <si>
    <t xml:space="preserve"> Funded under the ten percent (10%) SK Fund, the project will provide free school materials for the students of Barangay Sta. Monica.</t>
  </si>
  <si>
    <t xml:space="preserve"> Republic of the Philippines BOHOL ISLAND STATE UNIVERSITY Main Campus, Tagbilaran City INVITATION TO BID FOR SUPPLY AND DELIVERY OF TEXTBOOKS AND INSTRUCTIONAL MATERIALS FOR THE LIBRARY (PR NO. 2020-08-0661) 1.	The Bohol Island State University – Main Cam</t>
  </si>
  <si>
    <t xml:space="preserve"> Republic of the Philippines Province of Davao del Norte BARANGAY VISAYAN VILLAGE, TAGUM CITY BIDS AND AWARDS COMMITTEE                                                                                                                                         </t>
  </si>
  <si>
    <t xml:space="preserve"> INVITATION TO BID FOR THE  CONSTRUCTION OF BARANGAY HEALTH STATION IN BGY. BUNOG RIZAL (MUNICIPALITY OF RIZAL, PALAWAN) 1.	The Provincial Government of Palawan, through its 20% Development Fund (OBR No. 300-20-08-10029) account intends to apply the sum of</t>
  </si>
  <si>
    <t xml:space="preserve"> Labor and Materials Road Concreting Location: Brgy. Laguio (0.20 x 4.00 x 241m) -nothing follows-</t>
  </si>
  <si>
    <t xml:space="preserve"> Republic of the Philippines Province of Davao del Sur MUNICIPALITY OF STA.CRUZ INVITATION TO BID CONSTRUCTION OF DROP-IN AND CRISIS CENTER (ITB No. 08-INFRA-2020) 1.	The Local Government Unit of Sta. Cruz, Davao del Sur through the General Funds for the Y</t>
  </si>
  <si>
    <t xml:space="preserve"> ITEM NO.	Unit of issue	ITEM &amp;DESCRIPTION	Brand &amp; Model	QTY.	 	pc	General repair and cleaning of Microscopes		26	 					 			***Nothing Follows**			 					 			TOTAL ABC: Php 71,500.00</t>
  </si>
  <si>
    <t xml:space="preserve"> 1.	200	vial/s	Ampicillin+Sulbactam 750mg 2.	144	bottle/s	Cefalexin drops 100mg/ml 10ml 3.	1000	vial/s	Ceftriaxone 1gm 4.	300	vial/s	Cefuroxime  750mg 5.	10	box/es	Clopidogrel 75mg tab 100s 6.	300	ampule/s	Furosemide 10mg/ml 2ml 7.	10	box/es	IV Cannula G. </t>
  </si>
  <si>
    <t xml:space="preserve"> Procurement of Furniture and Fixtures for the SK Office.  SK Barangay Magallanes reserves the right to disqualify any or all proposals, to waive any defects or informalities therein and to accept such proposal as may be considered most advantageous to the</t>
  </si>
  <si>
    <t xml:space="preserve"> To download bidding documents, please click the link below https://drive.google.com/file/d/1jImr-AkibG4H30m_VZYeANx-8DIdh1cS/view?usp=drivesdk</t>
  </si>
  <si>
    <t xml:space="preserve"> AUGUST 17, 2020 INVITATION TO BID Name of Project: PURCHASE OF FUEL AND LUBRICANTS FOR HEAVY AND LIGHT EQUIPMENTS (LGU- KIBAWE) Approved Budget of the Contract: P 1,720,300.00 ITEMS: 18,000	liters	Diesel	  10,000	liters	Gasoline 400	liters	2T	  20	pails	O</t>
  </si>
  <si>
    <t xml:space="preserve"> Please see the link below for the complete set of bidding documents</t>
  </si>
  <si>
    <t xml:space="preserve"> Place of Delivery	:	PENRO Office, Bgy. Sta. Monica, Puerto Princesa City Brief Description	:	Supply and Delivery of: 		LOT 1:  One (1) unit Drone Image Analysis Software; 		LOT 2:  Twenty-nine (29) units Geotagging Equipment; 		LOT 3:  One (1) set Two-way</t>
  </si>
  <si>
    <t xml:space="preserve"> 1.	The Mabini Water District, through the Internal Cash Generation (ICG) intends to apply the sum of One Million Two Hundred Twenty One Thousand Two Hundred Fifty Pesos Only (P 1, 221, 250.00) being the Approved Budget for the Contract (ABC) to payment un</t>
  </si>
  <si>
    <t xml:space="preserve"> Republic of the Philippines MUNICIPALITY OF TAPAZ BIDS AND AWARDS COMMITTEE Office of the BAC Secretariat, Ground Floor, Municipal Hall, Tapaz, Capiz 5814 E-mail: bac.tapaz@yahoo.com Invitation to Bid   Procurement of Works for the Upgrading of Public Pla</t>
  </si>
  <si>
    <t xml:space="preserve"> Purchase of Diesel Fuel</t>
  </si>
  <si>
    <t xml:space="preserve"> Furnishing and delivery of materials, labor, tools and equipment and other incidentals only. Issuance of Bid Documents - August 18-September 9, 2020 Pre-Bid Conference - August 27, 2020; 1:00 p.m. Submission of Bids - on or before September 9, 2020; 1:00 </t>
  </si>
  <si>
    <t xml:space="preserve"> Interested bidders may submit their bid docs and complete requirement on  Sept. 01, 2020; 9:00 am. at the SK Hall, Moses st., Jordan Plaines Subd., Bgy. Sta. Monica, Quezon City.</t>
  </si>
  <si>
    <t xml:space="preserve"> 40 sets Pyramid Type Tent White 6m x 6m w/ G.I Pipe Sch. 20 Frame , 30 sets Pyramid Type Tent White 3m x 6m w/ G.I Pipe Sch. 20 Frame</t>
  </si>
  <si>
    <t xml:space="preserve"> INVITATION TO BID FOR THE  IMPROVEMENT OF HOSPITAL LANDSCAPING AND FACILITIES (CORON DISTRICT HOSPITAL, CORON, PALAWAN) 1.	The Provincial Government of Palawan, through its 20% Development Fund (OBR No. 300-20-08-09854) account intends to apply the sum of</t>
  </si>
  <si>
    <t xml:space="preserve"> Issuance of Bid Documents Starts: August 15, 2020 Cost of Bid Document: Php 1,500.00 Venue of Dropping and Opening Bids: BAC Conference Room, Leyte SMED Center, Provincial Capitol Grounds, Tacloban City</t>
  </si>
  <si>
    <t xml:space="preserve"> Invitation to Bid for  Concreting of Bangbangolan Farm to Market Road, San Fernando City, La Union 1.	The Provincial Government of La Union, through the RA7171 intends to apply the sum of ₱1,950,000.00 being the Approved Budget for the Contract (ABC) to p</t>
  </si>
  <si>
    <t xml:space="preserve"> Republic of the Philippines BOHOL ISLAND STATE UNIVERSITY Main Campus, Tagbilaran City INVITATION TO BID FOR SUPPLY, DELIVERY AND INSTALLATION OF ROOM EMERGENCY LIGHTS (PR NO. 2020-06-0550) 1.	The Bohol Island State University – Main Campus, Tagbilaran Ci</t>
  </si>
  <si>
    <t xml:space="preserve"> INVITATION TO BID FOR THE  CONSTRUCTION OF BATARAZA DISTRICT HOSPITAL PERIMETER FENCE PHASE II (MUNICIPALITY OF BATARAZA, PALAWAN) 1.	The Provincial Government of Palawan, through its 20% Development Fund (OBR No. 300-20-08-10031) account intends to apply</t>
  </si>
  <si>
    <t xml:space="preserve"> ITEM NO.	Unit of issue	ITEM &amp;DESCRIPTION	Brand &amp; Model	QTY.	 1	stub	Accountable Forms # 51		500	 					 		***Nothing Follows**			 								 		TOTAL ABC: Php 50,000.00</t>
  </si>
  <si>
    <t xml:space="preserve"> Republic of the Philippines Province of Davao del Sur Municipality of Malalag INVITATION TO BID FOR THE SUPPLY AND INSTALLATION OF AIR CONDITIONING UNITS FOR THE NEW MUNICIPAL HALL BUILDING 1.	The Local Government of Malalag, through its Annual Budget for</t>
  </si>
  <si>
    <t xml:space="preserve"> PROCUREMENT OF RISO MACHINE AND RISO INK  1.	The Local Government Unit  of Don Victoriano,  Don Victoriano, Misamis  Occidental through the  Bids and Awards Committee BAC intends to apply the sum of   Six Hundred Fifty-Five Thousand Pesos  (P 655,000.00) </t>
  </si>
  <si>
    <t xml:space="preserve"> INVITATION TO BID FOR THE  CONSTRUCTION OF PROPOSED 11M X 12.5M BUNK HOUSE (BGY. IRAWAN, PUERTO PRINCESA CITY, PALAWAN) 1.	The Provincial Government of Palawan, through its 20% Development Fund (OBR No. 300-20-03-02966) account intends to apply the sum of</t>
  </si>
  <si>
    <t xml:space="preserve"> To download bidding documents, please click the link below https://drive.google.com/file/d/1Zj0jM9J9dUER28rj4DCvJHuPI-i9TpAm/view?usp=drivesdk</t>
  </si>
  <si>
    <t xml:space="preserve"> To download bidding documents, please click the link below https://drive.google.com/file/d/1nhEO-4OVcycu-CxHLjPH9euzIl84AEzS/view?usp=drivesdk</t>
  </si>
  <si>
    <t xml:space="preserve"> The LGU- Palapag, Northern Samar,  through the 2020 Budget for the  contract approved by the  Sanggunian  intends to apply the sum of   Two Million  Four Hundred Ninety Nine Thousand, Nine Hundred Ninety Nine Thousand 93/100 (PhP 2,499,999.93)  being the </t>
  </si>
  <si>
    <t xml:space="preserve"> The MUNICIPALITY OF CALINTAAN, through the DILG AM 2020 intends to apply the sum of Five Million Six Hundred Thirty Seven Thousand Pesos Only (Php5,637,000.00) being the Approved Budget for the Contract (ABC) to payment  under the Contract No. 2020-08-34 </t>
  </si>
  <si>
    <t xml:space="preserve"> I. Mobillization II. Demolition Works III. Tile Works IV. Dry Wall Partition V. Ceiling Works VI. Painting Works VII. Electrical Works Prospective Bidders should posses a Valid PCAB License Applicable to contract, have completed a similar contract with a </t>
  </si>
  <si>
    <t xml:space="preserve"> Construction of One (1) Storey, Six (6) Rooms with Comfort Room</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</si>
  <si>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</si>
  <si>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Republic of the Philippines Department of Education Region IV-A-CALABARZON Division of Quezon Sariaya West District LUTUCAN CENTRAL SCHOOL The Department of Education, Division of Quezon, through Lutucan Central School, intends to procure “SUPPLY AND DELI</t>
  </si>
  <si>
    <t xml:space="preserve"> ITEM NO.	Unit of issue	ITEM &amp;DESCRIPTION	Brand &amp; Model	QTY.	 	Lot	Design and Repair of MPEC Stairs		1	 					 					 					 			***Nothing Follows**			 					 					 				TOTAL ABC: Php 156,000.00</t>
  </si>
  <si>
    <t xml:space="preserve"> AUGUST 17, 2020 INVITATION TO BID Name of Project: SUPPLY &amp; DELIVERY OF ELECTRICAL MATERIALS FOR THE INSTALLATION OF STREET LIGHTING SYSTEM (ELECTRIFICATION PROJECT) (50 UNITS) KIBAWE, BUKIDNON Approved Budget of the Contract: P 626,847.00 ITEMS: 5,000	me</t>
  </si>
  <si>
    <t xml:space="preserve"> Complete Construction of (7.00 x 18.0m plus corridor 2.5m) One (1) Sty Two (2) CL SB with reinforced concrete gutter, handwashing area at one side, PWD ramp with handrails, window grilles at front and rear windows, parallel wall and toilet at each classro</t>
  </si>
  <si>
    <t xml:space="preserve"> Republic of the Philippines Province of Davao del Sur Municipality of Malalag INVITATION TO BID FOR THE SUPPLY AND DELIVERY OF TWO (2) UNITS 100KVA GENERATOR SET FOR USED IN THE OPERATION OF MALALAG WATERWORKS SYSTEM  1.	The Local Government of Malalag, t</t>
  </si>
  <si>
    <t xml:space="preserve"> Request for Quotation for the Procurement of Agricultural Supplies needed for the Vegetable and Crop production at DA-Ubay Stock Farm, Lomangog, Ubay, Bohol 1.	The Department of Agriculture-Regional Field Office 7 (DA-RFO 7), through the General Appropria</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</si>
  <si>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</si>
  <si>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Procurement of Fuel, Oil and Lubricants  1.	The Local Government Unit  of Don Victoriano,  Don Victoriano, Misamis  Occidental through the  Bids and Awards Committee BAC intends to apply the sum of   Five Hundred Ninety -Five Thousand Pesos  (P 595,000.00</t>
  </si>
  <si>
    <t xml:space="preserve"> MANUAL TRANSMISSION: ENGINE/TRANSMISSION MODEL 2FGD-FTV ( LOW) TYPE: 2.4 DIESEL 4-CYLINDER, 16-VALVE DOHC VARIABLE NOZZLE TURBO WITH FRONT MOUNTED INTERCOOLER DISPLACEMENT CC: 2,393 MAXIMUM TORQUE NM/RPM: 343/ 1,400-2,800 TRANSMISSION: 5 SPEED FUEL SYSTEM</t>
  </si>
  <si>
    <t xml:space="preserve"> Invitation to ReBid for the Construction of Minolo Pier 1.	The Municipal Government of Puerto Galera, through the 20% Development Fund FY 2020 intends to apply the sum of Three Million Four Hundred Ninety-Nine Thousand Nine Hundred Fifty-Eight Pesos &amp; For</t>
  </si>
  <si>
    <t xml:space="preserve"> 1.	42		sacks		Rice</t>
  </si>
  <si>
    <t xml:space="preserve"> METRO SIQUIJOR WATER DISTRICT BIDS &amp; AWARDS COMMITTEE Siquijor, Siquijor The Metro Siquijor Water District (MSWD) through the Bids &amp; Awards Committee (BAC) will be undertasking the procurement of the hereunder project: Name of Project: Procurement of 100 </t>
  </si>
  <si>
    <t xml:space="preserve"> 1. The Subic Bay Metropolitan Authority, through the 2020 Corporate Operating Budget for the contract approved by the SBMA Governing Board, intends to apply the sum of Four Million Nine Hundred Eighty-Nine Thousand Three Hundred Forty-One and 83/100 Pesos</t>
  </si>
  <si>
    <t xml:space="preserve"> Republic of the Philippines PROVINCE OF ZAMBOANGA SIBUGAY Municipality of Roseller T. Lim    INVITATION TO BID 						Aug. 17, 2020 	 To All Interested Bidders: Notice is hereby served that sealed bid be received for public bidding under the harmonious pro</t>
  </si>
  <si>
    <t xml:space="preserve"> OPENING OF BIDS IN DSWD FO IX ZAMBOANGA CITY,				 DELIVERY IN DSWD ZC				 PROCUREMENT FOR THE FF.:				 				 12	UNIT	LARGE GROUP CONFERENCE CAMERA (SEE ATTACHED SPECIFICATION AT ASSOCIATED COMPONENT)		 12	UNIT	HIGH END MULTIMEDIA MICROPHONE WITH NOISE CANC</t>
  </si>
  <si>
    <t xml:space="preserve"> Invitation to ReBid for the Construction of Multi-Purpose Hall Barangay Palangan 1.	The Municipal Government of Puerto Galera, through the LGU –General Fund FY 2020 intends to apply the sum of Two Million Two Hundred Ninety-Nine Thousand Nine Hundred Thir</t>
  </si>
  <si>
    <t xml:space="preserve"> AUGUST 17, 2020 INVITATION TO BID Name of Project: SUPPLY &amp; DELIVERY OF CONSTRUCTION MATERIALS FOR THE INSTALLATION OF STREET LIGHTING SYSTEM (ELECTRIFICATION PROJECT) (50 UNITS) KIBAWE, BUKIDNON Approved Budget of the Contract: P 730,339.90 ITEMS: 352	ba</t>
  </si>
  <si>
    <t xml:space="preserve"> INVITATION TO APPLY FOR ELIGIBILITY AND BID The Barangay of Daja, Maasin, Iloilo, through its Bids and Awards Committee (BAC), invites suppliers/ distributors/ contractors to apply for eligibility and to bid for the hereunder project: Name of Project : Re</t>
  </si>
  <si>
    <t xml:space="preserve"> AUGUST 17, 2020 INVITATION TO BID Name of Project: SUPPLY &amp; DELIVERY OF LED STREET LIGHT FOR THE INSTALLATION OF STREET LIGHTING SYSTEM ( ELECTRIFICATION PROJECT) (50 UNITS) KIBAWE, BUKIDNON Approved Budget of the Contract: P 510,000.00 ITEM: 50	sets	LED </t>
  </si>
  <si>
    <t xml:space="preserve"> ITB BASKETBALL BOARD (SET) BUDGET:70,000.OO</t>
  </si>
  <si>
    <t xml:space="preserve"> The Bgy. Sta. Monica Council is purchasing L300 FB Body van to be utilized as barangay vehicle. Interested parties may cast their bid on September 01, 2020; 9:00 am at Bgy. Multi-Purpose Hall, Moses St., Jordan Plaines Subd., Bgy. Sta. Monica, Quezon City</t>
  </si>
  <si>
    <t xml:space="preserve"> Republic of the Philippines Province of Agusan del Norte Municipality of Magallanes Barangay Taod-oy BIDS AND AWARDS COMMITTEE INVITATION TO BID The Barangay Taod-oy, Magallanes, Agusan del Norte through its Bids and Awards Committee (BAC), invites potent</t>
  </si>
  <si>
    <t xml:space="preserve"> 10,000.00 ream of book paper</t>
  </si>
  <si>
    <t xml:space="preserve"> ITB 20-004-CMGP 	 The Provincial Government of Biliran, through its Bids and Awards Committee (BAC), invites contractors registered with and classified by the Philippine Contractors Accreditation Board (PCAB) to bid for the hereunder contract, charge to C</t>
  </si>
  <si>
    <t xml:space="preserve"> INVITATION TO BID FOR THE  CONSTRUCTION OF PROPOSED 11M X 12.5M BUNK HOUSE (BGY. APURAWAN, ABORLAN,  PALAWAN) 1.	The Provincial Government of Palawan, through its 20% Development Fund (OBR No. 300-20-03-02965) account intends to apply the sum of Two Milli</t>
  </si>
  <si>
    <t xml:space="preserve"> INVITATION TO BID FOR  PURCHASE OF FOGGING MACHINE 	The Municipality of San Juan through the Government of the Philippines intends to apply the sum of  FOUR HUNDRED THOUSAND PESOS  (Php.400,000.00)  being the Approved Budget for the Contract (ABC) to paym</t>
  </si>
  <si>
    <t xml:space="preserve"> CONSTRUCTION PROJECTS, SUPPLIES AND EQUIPMENT</t>
  </si>
  <si>
    <t xml:space="preserve"> Request for Quotation for the Procurement of Other Supplies to be used in the irrigation system of Model Farm at Ubay Stock Farm, Ubay, Bohol 1.	The Department of Agriculture-Regional Field Office 7 (DA-RFO 7), through the General Appropriations Act of CY</t>
  </si>
  <si>
    <t xml:space="preserve"> Republic of the Philippines Office of the Punong Barangay BIDS AND AWARDS COMMITTEE Macaoayan, Burgos, Ilocos Sur INVITATION TO BID The Barangay Government of Macaoayan, Burgos, Ilocos Sur, through its Bids and Awards Committee (BAC) invites bids for the </t>
  </si>
  <si>
    <t xml:space="preserve"> Republic of the Philippines Province of Eastern Samar Municipality of Balangkayan INVITATION TO BID FOR  SUPPLY AND DELIVERY OF ASSORTED ITEMS FOR DOLE KABUHAYAN PROJECTS Balangkayan, E. Samar Aug. 18 – 24, 2020 The Municipal Government of Balangkayan, Ea</t>
  </si>
  <si>
    <t xml:space="preserve"> Republic of the Philippines Office of the Punong Barangay BIDS AND AWARDS COMMITTEE Manaboc, Burgos, Ilocos Sur INVITATION TO BID The Barangay Government of Manaboc, Burgos, Ilocos Sur, through its Bids and Awards Committee (BAC) invites bids for the here</t>
  </si>
  <si>
    <t xml:space="preserve"> Republic of the Philippines Office of the Punong Barangay BIDS AND AWARDS COMMITTEE Lesseb, Burgos, Ilocos Sur INVITATION TO BID The Barangay Government of Lesseb, Burgos, Ilocos Sur, through its Bids and Awards Committee (BAC) invites bids for the hereun</t>
  </si>
  <si>
    <t xml:space="preserve"> INVITATION TO BID A.	The DPWH, Negros Oriental 1st District Engineering Office, Tinaogan, Bindoy, Negros Oriental now invites contractors to apply to bid for the contract(s); Contract ID # 		20HJ0125 Contract Name 	Construction of 2 units One-Storey Three</t>
  </si>
  <si>
    <t xml:space="preserve"> INVITATION TO BID FOR THE  CONSTRUCTION OF EVACUATION CENTER/MULTI-PURPOSE BUILDING, BGY. BUNOG RIZAL (MUNICIPALITY OF RIZAL, PALAWAN) 1.	The Provincial Government of Palawan, through its 20% Development Fund (OBR No. 300-20-08-10037) account intends to a</t>
  </si>
  <si>
    <t xml:space="preserve"> Title:Procurement of 24 Set Hematology Reagent Set ;1,500 Tests/Set (5 Parts), 30 Sets,etc. under P.R No. 0970-2020-Butuan Medical Center Total ABC: Php 4,564,400.00 For representative/s of interested bidders  who wish to attend the Pre-Bidding Conference</t>
  </si>
  <si>
    <t xml:space="preserve"> INVITATION TO BID FOR CONSTRUCTION OF SEAVIEW MULTI-PURPOSE HALL, POBLACION, CAJIDIOCAN, ROMBLON 1.	The Municipal Government of Cajidiocan, Romblon through the 20% DF 2020 intends to apply the sum of NINE HUNDRED NINETY-NINE THOUSAND, NINE HUNDRED SEVENTY</t>
  </si>
  <si>
    <t xml:space="preserve"> INVITATION TO BID FOR THE  CONSTRUCTION OF PASALUBONG CENTER Brgy. Poblacion, Buenavista, Quezon 1.	The Municipal Government of Buenavista, Quezon through the Nyogyugan Prize Fund intends to apply the sum of One Million Pesos (P1,000,000.00) being the App</t>
  </si>
  <si>
    <t xml:space="preserve"> * EXTENSION OF 3M X 6M OF BRGY. HEALTH STATION * INSTALLATION OF CEILING AT THE OLD HEALTH STATION * REPAINTING OF WALLS INSIDE AND OUT</t>
  </si>
  <si>
    <t xml:space="preserve"> The project aims to provide materials to be used by the students in their home schooling. As we are facing global pandemic, the Sangguniang Kabataan is helping our students cope up with the present situation.</t>
  </si>
  <si>
    <t xml:space="preserve"> INVITATION TO BID FOR THE CONSTRUCTION OF SANITARY LANDFILL – ECO PARK Brgy. Wasay Ibaba, Buenavista, Quezon 1.	The Municipal Government of Buenavista, Quezon, through the 20% Development  Fund intends to apply the sum of Two Million Five Hundred Thousand</t>
  </si>
  <si>
    <t xml:space="preserve"> Republic of the Philippines Department of Health DAVAO REGIONAL MEDICAL CENTER Apokon, Tagum City BIDS AND AWARDS COMMITTEE Invitation to Bid for the SUPPLY &amp; DELIVERY OF INFORMATION TECHNOLOGY (I.T.) SUPPLIES - REBID 1.	The Davao Regional Medical Center </t>
  </si>
  <si>
    <t xml:space="preserve"> Republic of the Philippines Office of the Punong Barangay BIDS AND AWARDS COMMITTEE Subadi Norte, Burgos, Ilocos Sur INVITATION TO BID The Barangay Government of Patac, Burgos, Ilocos Sur, through its Bids and Awards Committee (BAC) invites bids for the h</t>
  </si>
  <si>
    <t xml:space="preserve"> Vehicle Parts &amp; Accessories-Battery 13 plates,Tires,etc...</t>
  </si>
  <si>
    <t xml:space="preserve"> 1 Year Security Services, ABC 19,920,658.80/year 95 Security Guards (RE-BID)</t>
  </si>
  <si>
    <t xml:space="preserve"> To download bidding documents, please click the link below https://drive.google.com/file/d/1krY-q9vQ5mBTzk1vcxU-LW54GSe7t09b/view?usp=drivesdk</t>
  </si>
  <si>
    <t xml:space="preserve"> Item	Description	Unit	Quantity	 102	Excavation	cu.m	95.14	 105	Subgrade Preparation	Sq.m	714.00	 201	Aggregate Base Course	Sq.m	714	 311	Portland Cement Concrete Pavement	Sq.m	510	 500	Pipe Culverts &amp; Storm Drains	L.m	7.40	 505	Riprap &amp; Grouted Riprap 	cu</t>
  </si>
  <si>
    <t xml:space="preserve"> Issuance of Bid Documents Starts: August 15, 2020 Cost of Bid Document: Php 1,000.00 Venue of Dropping and Opening Bids: BAC Conference Room, Leyte SMED Center, Provincial Capitol Grounds, Tacloban City</t>
  </si>
  <si>
    <t xml:space="preserve"> L=59LM; W=0.5M; H=0.4M WITH PLASTERING AND CONCRETE FLOORING</t>
  </si>
  <si>
    <t xml:space="preserve"> Complete Construction of (9.50 x 46.0m) Two (2) Sty Eight (8) CL SB mostly built with concrete masonry with PWD ramp with handrails, parapet wall on concrete gutter and complete  with electrical and sanitary/plumbing works, ventilation and water pumping a</t>
  </si>
  <si>
    <t xml:space="preserve"> Republic of the Philippines Office of the Punong Barangay BIDS AND AWARDS COMMITTEE Mapanit, Burgos, Ilocos Sur INVITATION TO BID The Barangay Government of Mapanit, Burgos, Ilocos Sur, through its Bids and Awards Committee (BAC) invites bids for the here</t>
  </si>
  <si>
    <t xml:space="preserve"> Procurement of Motor Vehicle  1.	The Local Government Unit of Don Victoriano, Don Victoriano, Misamis Occidental through the Bids and Awards Committee BAC intends to apply the sum of   One Hundred Forty-Five Pesos (P 145,000.00) being the Approved Budget </t>
  </si>
  <si>
    <t xml:space="preserve"> The MUNICIPALITY OF CALINTAAN, through the DILG AM 2020 intends to apply the sum of Three Million Five Hundred Twenty Thousand Pesos Only (Php3,520,000.00) being the Approved Budget for the Contract (ABC) to payment  under the Contract No. 2020-08-36 for </t>
  </si>
  <si>
    <t xml:space="preserve"> Republic of the Philippines Office of the Punong Barangay BIDS AND AWARDS COMMITTEE Poblacion Sur, Burgos, Ilocos Sur INVITATION TO BID The Barangay Government of Poblacion Sur, Burgos, Ilocos Sur, through its Bids and Awards Committee (BAC) invites bids </t>
  </si>
  <si>
    <t xml:space="preserve"> Interested parties may submit their quotation and complete bidding requirement  on September 01, 20202; 9:00 am at SK Hall, Moses St., Jordan Plaines Subd., Bgy Sta. Monica, Novaliches, Quezon City.</t>
  </si>
  <si>
    <t xml:space="preserve"> SK Barangay Magallanes reserves the right to disqualify any or all proposals, to waive any defects or informalities therein and to accept such proposal as may be considered most advantageous to the SK Barangay. For complete list of information for the pro</t>
  </si>
  <si>
    <t xml:space="preserve"> Procurement of Other Property and Equipment of SK Office  SK Barangay Magallanes reserves the right to disqualify any or all proposals, to waive any defects or informalities therein and to accept such proposal as may be considered most advantageous to the</t>
  </si>
  <si>
    <t xml:space="preserve"> Invitation to Bid for Improvement of multi Purpose Bldg. for Barangay Mailag, Valencia City, Bukidnon 1.The Barangay Government of Mailag, through the Barangay Fund  intends to apply the sum of Ninety Six Thousand Pesos Only (P96,000.00) being the Approve</t>
  </si>
  <si>
    <t xml:space="preserve"> AUGUST 17, 2020 INVITATION TO BID Name of Project: SUPPLY &amp; DELIVERY OF MATERIALS FOR VARIOUS CLASSROOMS REPAIR AT CAGAWASAN ELEMENTARY SCHOOL, NATULONGAN NHS AND WEST KIBAWE E/S Approved Budget of the Contract: P 788,476.73 1.) SUPPLY &amp; DELIVERY OF MATER</t>
  </si>
  <si>
    <t xml:space="preserve"> Republic of the Philippines Province of Batanes	 MUNICIPALITY OF BASCO               		INVITATION TO BID FOR THE PROCUREMENT OF BOTTLE CRUSHER 1.	The Municipal Local Government Unit of Basco, through the General Fund  intends to apply the sum of One Milli</t>
  </si>
  <si>
    <t xml:space="preserve"> Republic of the Philippines Department of Health DAVAO REGIONAL MEDICAL CENTER Apokon, Tagum City BIDS AND AWARDS COMMITTEE Invitation to Bid for the SUPPLY &amp; DELIVERY OF OFFICE SUPPLIES - REBID 1.	The Davao Regional Medical Center (DRMC), through the HOS</t>
  </si>
  <si>
    <t xml:space="preserve"> Supplies and delivery of:                      Rescue suit with reflectorize                       Rainboots                       Long Bolo                       Emergency Light           (for the use of front-liners)</t>
  </si>
  <si>
    <t xml:space="preserve"> INVITATION TO APPLY FOR ELIGIBILITY AND BID								 								 The  Municipality  of  Maasin,  Iloilo,  through  its  Bids  and  Awards  Committee (BAC),  invites  suppliers/								 distributors/ contractors to apply for eligibility and to bid for the here</t>
  </si>
  <si>
    <t xml:space="preserve"> Item No.	Unit	DESCRIPTION				Qty 						 1	Pcs.	FILING CABINET COMM'L 4-D WRINKLED				3 2	Pcs.	FILING CABINET COMM'L 4-D BLUE				2 3	Pcs.	FILING CABINET COMM'L 3-D GRAY				2 4	Pcs.	EXECUTIVE CHAIR				1</t>
  </si>
  <si>
    <t xml:space="preserve"> Invitation to Bid for the Renovation of Multi-Purpose Building The Municipality of San Francisco, Surigao del Norte, through the 20% Development Fund of CY 2020 intends to apply the sum of One Million Seven Hundred Fifty Thousand Pesos (1,750,000.00) bein</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</si>
  <si>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</si>
  <si>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Procurement of Information and Communication Technology Equipment  1.	The Local Government Unit  of Don Victoriano,  Don Victoriano, Misamis  Occidental through the  Bids and Awards Committee BAC intends to apply the sum of   Five Hundred Ten Thousand Pes</t>
  </si>
  <si>
    <t xml:space="preserve"> BARANGAY ENHANCEMENT PROGRAM - BENHUR ACTION TEAM (3RD QUARTER)</t>
  </si>
  <si>
    <t xml:space="preserve"> NBC-0520-145</t>
  </si>
  <si>
    <t xml:space="preserve"> SCOPE OF WORK 1. BILLBOARDS/SIGNAGE 2. STRUCTURAL EXCAVATION  3. REINFORCING STEEL BARS 3. STRUCTURAL CONCRETE</t>
  </si>
  <si>
    <t xml:space="preserve"> INVITATION TO BID FOR THE COMPLETION OF RHU BUILDING  Brgy. Poblacion, Buenavista, Quezon 1.	The Municipal Government of Buenavista, Quezon, through the DOH Fund intends to apply the sum of One Million Nine Hundred Eighty Thousand Pesos (P1,980,000.00) be</t>
  </si>
  <si>
    <t xml:space="preserve"> PLEASE SEE ATTACHED BID DOCS.</t>
  </si>
  <si>
    <t xml:space="preserve"> INVITATION TO BID FOR Supply &amp; Delivery of Fuel for Concreting of 375m Magsaysay Street, Bgy. Alfonso XIII 1.	The Municipal Government of Quezon, Palawan, through the Development Fund 2019  intends to apply the sum of Four Hundred Twenty-Three Thousand Fi</t>
  </si>
  <si>
    <t xml:space="preserve"> INVITATION TO BID FOR Supply &amp; Delivery of Two (2) units Off-Road Motorcycle for MDRRM Office 1.	 The Municipal Government of Quezon, Palawan, through the LDRRM Fund 2020  intends to apply the sum of Two Hundred Eighty Thousand (280,000.00) Pesos Only bei</t>
  </si>
  <si>
    <t xml:space="preserve"> INVITATION TO BID FOR Supply &amp; Delivery of Three (3) units Motorcycle for Mayor’s Office 1.	 The Municipal Government of Quezon, Palawan, through the General Fund 2020  intends to apply the sum of Two Hundred Twenty-Five Thousand (225,000.00) Pesos Only b</t>
  </si>
  <si>
    <t xml:space="preserve"> INVITATION TO BID FOR Procurement of Office Supplies for Different Offices 1.	The Municipal Government of Quezon, Palawan, through the General Fund intends to apply the sum of Seven Hundred Seventy Thousand Nine Hundred Ninety-Four Pesos  (670,994.00) Onl</t>
  </si>
  <si>
    <t xml:space="preserve"> NAME OF PROJECT:  FABRICATION OF LGU LOGO AND NAME                      LOCATION OF THE PROJECT:  Donsol, Sorsogon PROJECT REFERENCE NO     GOODS-PB-2020-008 Approved Budget for the Contract (ABC): ₱ 375,000.00 Item No.	Quantity	Unit	ITEM/DESCRIPTION 1	un</t>
  </si>
  <si>
    <t xml:space="preserve"> INVITATION TO BID FOR Supply and Delivery of Materials for the Construction/Completion of Municipal Sanitary Landfill 1.	The Municipal Government of Quezon, Palawan, through the Development Fund 2018 intends to apply the sum of Six Hundred Eighty-Eight Th</t>
  </si>
  <si>
    <t xml:space="preserve"> INVITATION TO BID FOR Supply &amp; Delivery of Rabies Vaccine for MHO Patients 1.	The Municipal Government of Quezon, Palawan, through the General Fund 2020  intends to apply the sum of Two Hundred Ninety-Six Thousand (296,000.00) Pesos Only  being the Approv</t>
  </si>
  <si>
    <t xml:space="preserve"> To procure goods for the 10th Cycle implementation of Supplementary Feeding Program in the Municipality of Banna, Ilocos Norte</t>
  </si>
  <si>
    <t xml:space="preserve"> 2 UNITS - RECONDITION BONGO III 4 X 2 DOUBLE CAB, PICK UP TYPE, 6 WHEELERS, LEFT HAND DRIVE, 3                 CYLINDER, WATER COOLED, TCI, DIESEL ENGINE 3.0, MANUAL TRANSMISSION, 5 FORWARD AND 1                 REVERSE SPEED, TIRE SIZE FRONT 195R 15 AND </t>
  </si>
  <si>
    <t xml:space="preserve"> NBC-0520-162</t>
  </si>
  <si>
    <t xml:space="preserve"> Photocopy of learning modules for the 1st Quarter Junior High School 219,508 copies Senior High School 42,851 copies</t>
  </si>
  <si>
    <t xml:space="preserve"> INVITATION TO BID     20-110 Name of Project	:	Medicines for LPH-Dr. J.P. Rizal Memorial District Hospital  Location	:	Calamba City, Laguna Brief Description	:	Various Medicines  Approved Budget For the Contract	:	3,218,515.88 Delivery Period 	:	10 Calend</t>
  </si>
  <si>
    <t xml:space="preserve"> Republic of the Philippines Bangsamoro Autonomous Region in Muslim Mindanao Provincial Government of Maguindanao BIDS AND AWARDS COMMITTEE Buluan, Maguindanao INVITATION TO BID FOR SUPPLY AND DELIVERY OF LEARNING MATERIALS 1.	The Provincial Government of </t>
  </si>
  <si>
    <t xml:space="preserve"> INVITATION TO BID FOR THE Supply and Delivery of  Plate etc. (Kitchen Equipment)  (PR-2020-7611-0046) 1.	The City Government of Mandaue, through the Trust Fund – DRRMF Approved by the Sanggunian intends to apply the sum of One Million Four Hundred Ninety </t>
  </si>
  <si>
    <t xml:space="preserve"> INVITATION TO APPLY FOR ELIGIBILITY AND BID The Barangay of Naslo, Maasin, Iloilo, through its Bids and Awards Committee (BAC), invites suppliers/ distributors/ contractors to apply for eligibility and to bid for the hereunder project: Name of Project : R</t>
  </si>
  <si>
    <t xml:space="preserve"> INVITATION TO BID ITB NO. 20-15 	The Lung Center of the Philippines (LCP), through its Bids and Awards Committee 	(BAC), invites eligible bidders to bid for the, " PROCUREMENT FOR SUPPLY AND DELIVERY OF VARIOUS DIETARY SUPPLIES " (ITB NO 20-15) ABC Php 3,</t>
  </si>
  <si>
    <t xml:space="preserve"> Contract ID No. 20CSNC0008 - Cluster 8 - Consulting Services for the Conduct of Soil Exploration and/or Geotechnical Investigation in the preparation for the Preliminary Engineering Design of various FY 2021 Infrastructure Projects, Veruela, Agusan del Su</t>
  </si>
  <si>
    <t xml:space="preserve"> Republic of the Philippines Province of Batanes MUNICIPALITY OF BASCO      Invitation to Bid for the Project "Completion of Basco Rural Health Unit, Rehabilitation/Repair/Improvement of BHS Building-Barangay San Joaquin (Valugan) and Chanarian 1.	The Muni</t>
  </si>
  <si>
    <t xml:space="preserve"> Contract ID No. 20CSNC0006 - Cluster 6 - Consulting Services for the Conduct of Soil Exploration and/or Geotechnical Investigation in the preparation for the Preliminary Engineering Design of various FY 2021 Infrastructure Projects, San Francisco and Buna</t>
  </si>
  <si>
    <t xml:space="preserve"> INVITATION TO BID FOR Supply &amp; Delivery of Various Equipment for MDRRM Office 1.	 The Municipal Government of Quezon, Palawan, through the LDRRM STF 2015  intends to apply the sum of Seven Hundred Eighty-Five Thousand (785,000.00) Pesos Only being the App</t>
  </si>
  <si>
    <t xml:space="preserve"> Republic of the Philippines Province of Nueva Vizcaya BIDS AND AWARDS COMMITTEE (BAC-GOODS) BAC OFFICE, Provincial Capitol, Bayombong, Nueva Vizcaya Tel. No. (078) 392-2650 	 INVITATION TO BID FOR THE SUPPLY AND DELIVERY OF LABORATORY SUPPLIES  FOR THE PR</t>
  </si>
  <si>
    <t xml:space="preserve"> WORK INCLUDES EXCAVATION FOR SLOPE PROTECTION STRUCTURE AND CONSTRUCTION OF STONE MASONRY WALL ON BOTH SIDES OF THE CREEK. THIS PROJECT HAS A LENGTH OF 140.00 LINEAR METERS ON BOTH SIDES.</t>
  </si>
  <si>
    <t xml:space="preserve"> Contract ID No. 20CSNC0007 - Cluster 7 - Consulting Services for the Conduct of Soil Exploration and/or Geotechnical Investigation in the preparation for the Preliminary Engineering Design of various FY 2021 Infrastructure Projects, Trento and Sta. Josefa</t>
  </si>
  <si>
    <t xml:space="preserve"> Please see attached TOR, Tech. Specs. &amp; RFQ for details</t>
  </si>
  <si>
    <t xml:space="preserve"> Contract ID No. 20CSNC0009 - Cluster 9 - Consulting Services for the Conduct of Soil Exploration and/or Geotechnical Investigation in the preparation for the Preliminary Engineering Design of various FY 2021 Infrastructure Projects, Loreto and La Paz, Agu</t>
  </si>
  <si>
    <t xml:space="preserve"> REQUEST FOR QUOTATION Date	:	August 17, 2020 Project Title	:	Procurement of Service Provider for the Repairs and Maintenance of Various Motor Vehicles ITB No.             	:	SV20-08-005ANG Approved Budget for the Contract (ABC)	:	Four Hundred Two Thousand</t>
  </si>
  <si>
    <t xml:space="preserve"> Improvement of the Existing Building</t>
  </si>
  <si>
    <t xml:space="preserve"> August 17, 2020 INVITATION TO BID  Reference No. 7181732 /Solicitation No.20-31 The City Government of Tagum invites interested Bidders/Suppliers to bid for the following: Name of Contract         :  CONSTRUCTION MATERIALS &amp; SUPPLIES FOR THE USE OF CMO - </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</si>
  <si>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</si>
  <si>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INVITATION TO BID     20-109 Name of Project	:	Medical Supplies for LPH-Dr. J.P. Rizal Memorial District Hospital  Location	:	Calamba City, Laguna Brief Description	:	Various Medical Supplies Approved Budget For the Contract	:	3,559,910.00 Delivery Period</t>
  </si>
  <si>
    <t xml:space="preserve"> Procurement of Office Supplies for SK Office  SK Barangay Magallanes reserves the right to disqualify any or all proposals, to waive any defects or informalities therein and to accept such proposal as may be considered most advantageous to the SK Barangay</t>
  </si>
  <si>
    <t xml:space="preserve"> Republic of the Philippines Province of Batangas Municipality of San Juan BIDS AND AWARDS COMMITTEE INVITATION TO APPLY FOR ELIGIBILITY AND TO BID THE LOCAL  GOVERNMENT UNIT OF BRGY. MARAYKIT, SAN JUAN, BATANGAS, through its Bids and Awards Committee(BAC)</t>
  </si>
  <si>
    <t xml:space="preserve"> Contract Labor and Materials for the Construction of Drainage &amp; Improvement of Basketball Court of BLGU Sisimon, Laak, Davao De Oro with an ABC of Php. 65,000.00. Note: For further details of the said project, please see/contact Hon. Edgar L. Ybañez - Pun</t>
  </si>
  <si>
    <t xml:space="preserve"> 41	Sacks	Powdered Milk (Spray Process, Grade A,Nonfat Dry Milk, Made from Pasteurized Milk); @25kg/sack 50	Bags	        Cellophane (for 1 kilo, durable, thick)</t>
  </si>
  <si>
    <t xml:space="preserve"> Title: Procurement of Services under P.R Nos. 2908-2020 (City Internal Audit Service),2919-2020 (Municipal Trial Court in Cities- Branch 1), 2922-2020 (Municipal Trial Court in Cities- Branch 2), 2923-2020 (Municipal Trial Court in Cities- Branch 3), 2926</t>
  </si>
  <si>
    <t xml:space="preserve"> 1     lot      Masonry Works</t>
  </si>
  <si>
    <t xml:space="preserve"> MG-TSE20-032..REHAB/REPAIR OF VARIOUS DEFECTIVE LOW/MEDIUM/HIGH VOLTAGE EQUIPMENT ABC  : P 1,021,500.00 PLACE OF DELIVERY : CMTSD WAREHOUSE DITUCALAN, ILIGAN CITY AMOUNT OF BID DOCUMENTS : P 3,000.00</t>
  </si>
  <si>
    <t xml:space="preserve"> Republic of the Philippines Province of Cebu MUNICIPALITY OF BALAMBAN Balamban, Cebu Barangay Cantuod      	 	 	Barangay Cantuod of the Municipality of Balamban,  through  the  various  sources  of  Funds, intends  to  apply  the  sum  of  and  to  paymen</t>
  </si>
  <si>
    <t xml:space="preserve"> Republic of the Philippines Department of the Interior and Local Government BUREAU OF FIRE PROTECTION 10 OFFICE OF THE REGIONAL DIRECTOR Maharlika Bldg., Gumamela Extn. Carmen, Cagayan de Oro City Tel/Fax No. (088) 880-7534 Email Add: bfprabc10@yahoo.com </t>
  </si>
  <si>
    <t xml:space="preserve"> August 17, 2020 INVITATION TO BID  Reference No. 7181759 /Solicitation No.20-31 The City Government of Tagum invites interested Bidders/Suppliers to bid for the following: Name of Contract         :  CONSTRUCTION MATERIALS &amp; SUPPLIES FOR THE USE OF CEO – </t>
  </si>
  <si>
    <t xml:space="preserve"> Republic of the Philippines Province of Negros Occidental MUNICIPALITY OF HINOBA-AN Barangay Bulwangan Bids and Awards Committee INVITATION TO BID The Barangay Council of Brgy. Bulwangan, Municipality of  Hinoba-an, Negros Occidental through its Bids and </t>
  </si>
  <si>
    <t xml:space="preserve"> Request for Quotation for the Procurement of Office Supplies to be used in the Implementation of Halal Food Industry Development Program in Region VII 1.	The Department of Agriculture-Regional Field Office 7 (DA-RFO 7), through the General Appropriations </t>
  </si>
  <si>
    <t xml:space="preserve"> ITEM DESCRIPTION: SPL Item I: OHSP Item 101: Removal of Structure and  Obstruction(Dilapidated Structure) Item 103: Excavation for Structure Item 405: Structural Concrete Item 404: Reinforcing Steel Bar SPL Item II: CHB Works w/ Plaster SPL Item III: Roof</t>
  </si>
  <si>
    <t xml:space="preserve"> Republic of the Philippines                                                                  Province of Northern Samar                                                                  MUNICIPALITY OF ROSARIO                                               </t>
  </si>
  <si>
    <t xml:space="preserve"> 1. 2 set Portable Gasoline Generator Type: Brush (AVR), Single Phase Surge Output: 6800W Rated Output: 5500W Frequency: 60Hz Rated AC Voltage: 120 / 240V Phase: Single Phase Control Panel: Circuit Breaker, Voltmeter Receptacle: 1-Duplex 120V, 1-Twistlock </t>
  </si>
  <si>
    <t xml:space="preserve"> Interested parties may submit their bids and their complete requirement   on September 01, 2020; 9:00 a.m. at Bgy. Multi-Purpose Hall, Moses St.,  Jordan Plaines Subd., Bgy. Sta. Monica, Novaliches, Quezon City.</t>
  </si>
  <si>
    <t xml:space="preserve"> Improvement of Multi-Purpose Pavement,Brgy. Punong, Alimodian Iloilo</t>
  </si>
  <si>
    <t xml:space="preserve"> MG-CEN20-001..SUPPLY AND DELIVERY OF DRILL, RADIAL 2500MM ARM ABC  : P 9,500,000.00 PLACE OF DELIVERY: CMTSD WAREHOUSE DITUCALAN, ILIGAN CITY AMOUNT OF BID DOCUMENTS : P 10,000.00</t>
  </si>
  <si>
    <t xml:space="preserve"> PCCP - 0.640 KM/1.280 LANE KM</t>
  </si>
  <si>
    <t xml:space="preserve"> PCCP - 0.580 KM./1.160 LANE KM</t>
  </si>
  <si>
    <t xml:space="preserve"> Interested parties may submit their bids and complete requirement on a  public bidding to be held on September 01, 20202; 9:00 a.m. at Bgy. Multi- Purpose Hall, Moses St., Jordan Plaines Subd., Bgy. Sta. Monica, Q.C.</t>
  </si>
  <si>
    <t xml:space="preserve"> BARANGAY ENHANCEMENT PROGRAM - ARTS, CULTURE AND TOURISM (3RD QUARTER)</t>
  </si>
  <si>
    <t xml:space="preserve"> Supply and Delivery of Surveillance Equipment for Mayor’s Office</t>
  </si>
  <si>
    <t xml:space="preserve"> Item No. 	Item Description					QTY.	Unit	Unit Price	Total Price 1	Digital Duplicator (RISO)					1	unt		 	Specifications:								 	(B4 size; 100cpm)								 	High Speed digital master making								 	Postcard - A3+ (90x140mm - 310x435mm)								 	50gsm - 1</t>
  </si>
  <si>
    <t xml:space="preserve"> Republic of the Philippines PROVINCE OF NUEVA VIZCAYA Municipality of Solano Barangay Bagahabag Invitation to Bid for the  CONSTRUCTION/IMPROVEMENT OF PUROK 7, BAGAHABAG FTMR PHASE  Located at Brgy. Bagahabag, Solano, Nueva Vizcaya  1.	The Barangay, Bagah</t>
  </si>
  <si>
    <t xml:space="preserve"> i.	Title:	COMPONENT 3 – ARBOLD MOVE PROJECT LIVELIHOOD SUPPORT FOR WOMEN IN CRISIS SITUATION ii.	Description	ORGANIZATIONAL DEVELOPMENT TRAINING iii.	 Date OF TRAINING:	AUGUST 2020 iv.	TRAINING SITE:	ZAMBALES v.	QUANTITY:	45 HOGS / 15 STARTER / 30 GROWER </t>
  </si>
  <si>
    <t xml:space="preserve"> Republic of the Philippines                                                                Province of Northern Samar                                                                MUNICIPALITY OF ROSARIO                                                   </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</si>
  <si>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</si>
  <si>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Item No. 	Item Description					QTY.	Unit	Unit Price	Total Price 1	Bondpaper, U.S., long, sub 20, 70gsm, good quality, 500sheets/ream					400	reams		 2	Bondpaper, U.S., short, sub 20, 70gsm, good quality, 500sheets/ream					307	reams		 3	Bondpaper, U.S., A</t>
  </si>
  <si>
    <t xml:space="preserve"> Republic of the Philippines                                                                    Province of Northern Samar                                                                    MUNICIPALITY OF ROSARIO                                           </t>
  </si>
  <si>
    <t xml:space="preserve"> Republic of the Philippines Province of Batanes MUNICIPALITY OF BASCO INVITATION TO BID FOR THE PROCUREMENT OF MATERIALS FOR BASCO WATERWORKS SYSTEM 1.	The Municipal Local Government Unit of Basco, through the General Fund  intends to apply the sum of One</t>
  </si>
  <si>
    <t xml:space="preserve"> Item No.	Qty	DESCRIPTION				Unit Of Measurement 						 1	106	Water Meter, Residential Type (Supply Only)				Piece 2	152	Brass Ball Valve,1/2''				Piece 3	212	G.I. Nipple, 1'' x 12''				Piece 4	106	G.I. Nipple, 1/2'' x 4''				Piece 5	424	G.I. Elbow, 1/2'' </t>
  </si>
  <si>
    <t xml:space="preserve"> I. Electrical Works</t>
  </si>
  <si>
    <t xml:space="preserve"> Procurement of DRR Rescue Equipment</t>
  </si>
  <si>
    <t xml:space="preserve"> see attach Philippine Bidding Documents Invitation to bid,bill of quantities, checklist</t>
  </si>
  <si>
    <t xml:space="preserve"> Republic of the Philippines Province of Cotabato Municipality of Makilala OFFICE OF THE BIDS &amp; AWARDS COMMITTEE INVITATION TO BID #2020-033 The Municipality of Makilala, funded by the  Municipal Government to apply for the  Concreting of Roads to Resettle</t>
  </si>
  <si>
    <t xml:space="preserve"> Republic of the Philippines Department of Health DAVAO REGIONAL MEDICAL CENTER Apokon, Tagum City BIDS AND AWARDS COMMITTEE Invitation to Bid for the SUPPLY &amp; DELIVERY OF FURNITURE &amp; FIXTURES 1.	The Davao Regional Medical Center (DRMC), through the HOSPIT</t>
  </si>
  <si>
    <t xml:space="preserve"> One (1) Job Contract for the Road Rehabilitation (Concreting-Sitio Bubon Section) Phase II, Brgy. Arac, Passi City, Iloilo/CEO.</t>
  </si>
  <si>
    <t xml:space="preserve"> Republic of the Philippines Region XII Province of Cotabato Municipality of Makilala  OFFICE OF THE BIDS AND AWARD COMMITTEE INVITATION TO BID N0. 2020-023 (Re-Bidding)            The Municipality of Makilala, through the Municipal Agricultural Services O</t>
  </si>
  <si>
    <t xml:space="preserve"> Item Description: Part A: Facilities for the Engineers Part B: Other General Requirements Part C: Earthworks Part D: Sub-base &amp; Base Coarse Part E: Surface Coarse Part F: Bridge Construction Part G: Drainage &amp; Slope Protection Structures Part H: Miscellan</t>
  </si>
  <si>
    <t xml:space="preserve"> 1. 30 Unit Fire Extinguishers (10lbs) Service Pressure: -1800 psi / 124 bar Specification: - DOT-3AL &amp; TC-3ALM designed - ISO design cylinders are available - UL Approval on F5, F10, F15 and F20 cylinders Alloy: - Manufactured from high strength aluminium</t>
  </si>
  <si>
    <t xml:space="preserve"> Improvement of Stage, Brgy. Cagay, alimodian Iloilo</t>
  </si>
  <si>
    <t xml:space="preserve"> 1.Materials for the Construction of Solar Street Light, Brgy. Sablogon, Passi City, Iloilo/Brgy. Sablogon Item No. Description Quantity Units 1.Gravel Bedding (Coarse Aggregates) (w/ 5% Shrinkage Factor) 1.50 cu.m. 2.Screened gravel 6 cu.m. 3.Wahed Sand 4</t>
  </si>
  <si>
    <t xml:space="preserve"> MG-A5M20-090..SUPPLY/INST. &amp; COMMISSIONING OF ADDITIONAL CONVEYOR AT THE COMPACTING SYSTEM ABC  : P 3,430,260.00 PLACE OF DELIVERY  : AGUS 4 HEP WAREHOUSE BALOI, LANAO DEL NORTE AMOUNT OF BID DOCUMENTS : P 5,000.00</t>
  </si>
  <si>
    <t xml:space="preserve"> Interested parties may submit their bids and complete requirement on a public bidding to be held on September 01, 2020 at Bgy. Multi-Purpose Hall, Moses St., Jordan Plaines Subd., Bgy. Sta. Monica, Novaliches, Quezon City .</t>
  </si>
  <si>
    <t xml:space="preserve"> Republic of the Philippines Province of Negros Occidental MUNICIPALITY OF HINOBA-AN Barangay Asia Bids and Awards Committee INVITATION TO BID The Municipality of  Hinoba-an, Negros Occidental through its Bids and Awards Committee (BAC),invites suppliers/m</t>
  </si>
  <si>
    <t xml:space="preserve"> SUPPLY AND DELIVERY OF VARIOUS STEEL GATES					 A.	HEADGATE OF LATERAL B - RMC 2, STA. 4+911.35				 					 	-1-	set	Steel gates CP12 type of lift, Individual		 			CP12 (AS PER PLAN)		 			1 set Steel Slide Gate, Assy.		 			1 set Steel Frame Assy., Complete </t>
  </si>
  <si>
    <t xml:space="preserve"> BARANGAY ENHANCEMENT PROGRAM - PEACE AND ORDER COMMITTEE (3RD QUARTER)</t>
  </si>
  <si>
    <t xml:space="preserve"> Installation of Union Galva Steel Hi-Rib (ROOFING)</t>
  </si>
  <si>
    <t xml:space="preserve"> Please see attached canvass (RFQ) form/TOR for complete specifications.</t>
  </si>
  <si>
    <t xml:space="preserve"> INVITATION TO BID Name of Contract:Continuation for the Construction of Evacuation Center at Brgy. Poblacion, Urdaneta City  Brief Description :Continuation for the Construction of Evacuation Center at Brgy. Poblacion, Urdaneta City Approved Budget for th</t>
  </si>
  <si>
    <t xml:space="preserve"> Item Description: SPL item I: Occupational Safety and Health Program Item 102: Structure Excavation Item 506: Stone Masonry Item 105: Sub-grade Preparation Item 200: Aggregate Sub-base Coarse Item 311: P.C.C.P. SPL II: Billboard</t>
  </si>
  <si>
    <t xml:space="preserve"> SOLAR LIGHTS SAND GRAVEL CEMENT BOULDERS PLYWOOD GI PIPE #3 WELDING ROD COMMON NAIL #3 COMMON NAIL #4 EPOXY PRIMER</t>
  </si>
  <si>
    <t xml:space="preserve"> Republic of the Philippines CITY OF SAN PEDRO Province of Laguna BIDS AND AWARDS COMMITTEE INVITATION TO BID The City Government of San Pedro Laguna through the 2020 LSB Budget Approved by Sangguniang Panglungsod intends to apply the sum of Php 1,267,470.</t>
  </si>
  <si>
    <t xml:space="preserve"> ITEM NO.	Unit of issue	ITEM &amp;DESCRIPTION	Brand &amp; Model	QTY.	 1	set	Computer set, (CPU) System Unit, monitor, mouse, keyboard,		1	 		avr, UPS, speaker, mouse pad, and web camera			 2	unit	Printer laserjet		1	 	unit	Printer 3 in 1, scan, print, copy		1	 			</t>
  </si>
  <si>
    <t xml:space="preserve"> MP Center, Flood Control, FMR, Road Opening of FMR</t>
  </si>
  <si>
    <t xml:space="preserve"> Codification of Ordinances and Resolutions of the Sangguniang Bayan of Pila, Laguna</t>
  </si>
  <si>
    <t xml:space="preserve"> INVITATION TO BID Name of Contract: Construction of Drainage Canal System at Zone 6, Brgy. Dilan-Paurido, Urdaneta City Brief Description :Construction of Drainage Canal System at Zone 6, Brgy. Dilan-Paurido, Urdaneta City Approved Budget for the Contract</t>
  </si>
  <si>
    <t xml:space="preserve"> for Construction of Sanitary Landfill Category 1 Phase 1</t>
  </si>
  <si>
    <t xml:space="preserve"> The Municipality of San Mariano, Isabela invite bidders to participate in this procurement, Supply and Delivery of Risograph Machine for DepEd I and II Approved Budget: Php. 510,000.00 Bids must be duly received on or before September 8, 2020 at 10:30 AM.</t>
  </si>
  <si>
    <t xml:space="preserve"> Republic of the Philippines MUNICIPALITY OF PANIQUI Province of Tarlac 	Solicitation No.: I-2020-024 Name of the Project      : Construction of New Public Market (Dry Goods Section Building 02) Location of the Project : Burgos St., Brgy. Tablang, Paniqui,</t>
  </si>
  <si>
    <t xml:space="preserve"> 1.	The Local Government Unit of Balangiga, through the 2020 EDF implementation intends to apply the sum of Three Hundred Twenty Thousand Pesos  (Php320,000.00) being the Approved Budget for the Contract (ABC) to payments under the contract for the Supply </t>
  </si>
  <si>
    <t xml:space="preserve"> Item Description: SPL item I: Occupational Safety and Health Program Item 102: Structure Excavation Item 506: Stone Masonry Item 104: Embankment(Back fill) Item 105: Sub-grade Preparation Item 200: Aggregate Sub-base Coarse Item 311: P.C.C.P. SPL II: Bill</t>
  </si>
  <si>
    <t xml:space="preserve"> a.) Project Signboard (Q=1 lot) b.) Construction Safety and Health Program (Q=1 lot) c.) Provision of Field Office for the Engineer (Q=1 lot) d.) Operation and Maintenance of Filed Office of the Engineer (Q=1 lot) e.) Clearing and Removal of Existing Tree</t>
  </si>
  <si>
    <t xml:space="preserve"> Item Description: SPL item I: Occupational Safety and Health Program Item 103: Structure Excavation(Unclassified) Item 506: Stone Masonry SPL Item II: CHB Works w/ Plaster SPL Item III: Concrete Works SPL IV: PVC Hose SPL V: Billboard</t>
  </si>
  <si>
    <t xml:space="preserve"> Procurement of Vehicle Php2,000,000.00</t>
  </si>
  <si>
    <t xml:space="preserve"> INVITATION TO BID PROCUREMENT OF VARIOUS GOODS IB NO. 2020-09-09 (11) 1.	The Department of Health Cagayan Valley Center for Health Development, through the GOP-General Appropriations Act 2020 intends to apply the lump sum ofSix Million Eight Hundred Eight</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</si>
  <si>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</si>
  <si>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BARANGAY ENHANCEMENT PROGRAM - SPECIAL ACTION GROUP (3RD QUARTER)</t>
  </si>
  <si>
    <t xml:space="preserve"> ITEM NO.	Unit of issue	ITEM &amp;DESCRIPTION	Brand &amp; Model	QTY.	 1	Lot	Laptop with the following specifications:		3	 		15.6 Full HD IPS Display 120Hz			 		Core i7-9750H			 		8GB RAM DDR4			 		512GB SSD			 		1TB HDD			 		NVIDIA GTX 1650 4GB			 		Office 2019			</t>
  </si>
  <si>
    <t xml:space="preserve"> DocuCentre V 2060 Fully Automated Monochrome Digital Copier/Network Printer Copy/Print Speed: 25ppm Standard memory: 4GB Touch screen user interface Automatic 2-sided (back to back) One (1) year warranty and Lifetime free service with preventive maintenan</t>
  </si>
  <si>
    <t xml:space="preserve"> Republic of the Philippines Province of Cotabato Municipality of Makilala OFFICE OF THE BIDS &amp; AWARDS COMMITTEE INVITATION TO BID #2020-036 The Municipality of Makilala, funded by the  Municipal Government to apply for the  Concreting of Roads to Resettle</t>
  </si>
  <si>
    <t xml:space="preserve"> CW-Construction of MRF Php1,029,514.00</t>
  </si>
  <si>
    <t xml:space="preserve"> Bond Paper , Substance 20   Lot              Location                              Number of Reams                          ABC Lot 1 : Ayala District Office ---             6,179 reams @ Php 240/ream       ---  Php 1,482,960.00 Lot 2 : Sta. Maria Distric</t>
  </si>
  <si>
    <t xml:space="preserve"> The Municipality of San Mariano, Isabela invite bidders to participate in this procurement, SUPPLY AND DELIVERY OF POULTRY SUPPLIES Approved Budget: Php.223,478.00 Specification: 12 pouch/1kg. Vetracin Gold 2 kgs. Multylite WSP 6  Can/1kg. Norflox WSP 20 </t>
  </si>
  <si>
    <t xml:space="preserve"> ITEM NO. QTY UNIT DESCRIPTION 1.  19 SHEETS 1/4"X4"X8' BI STEEL PLATE 2.  25 LENGTH 1/4"X2"X2" ANGLE BAR 3.  70 PCS 3/4" DIAX4: BOLT W/ NUT &amp; WASHER 4.  50 KLS WELDING ROD (GOOD QUALITY) 5.   65 PCS CUTTING OFF WHEEL (FOR GRINDER) 6,  10 PCS GRINDING WHEE</t>
  </si>
  <si>
    <t xml:space="preserve"> for Procurement of construction materials for the Construction of IP Housing (Materials)</t>
  </si>
  <si>
    <t xml:space="preserve"> INVITATION TO BID  The Local Government Unit of Don Victoriano, through its Bids and Awards Committee (BAC), invites suppliers/contractors to apply for eligibility and to bid for the hereunder project: Name of Project:	 CONSTRUCTION OF FUNCTION HALL PHASE</t>
  </si>
  <si>
    <t xml:space="preserve"> Procurement of Handheld Radio and accessories Php 372,000.00</t>
  </si>
  <si>
    <t xml:space="preserve"> See attached at the back of Invitation to Bid ( ITB )</t>
  </si>
  <si>
    <t xml:space="preserve"> Republic of the Philippines Province of Cotabato Municipality of Makilala OFFICE OF THE BIDS &amp; AWARDS COMMITTEE INVITATION TO BID #2020-033 The Municipality of Makilala, funded by the  Municipal Government to apply for the  Construction of Temporary Learn</t>
  </si>
  <si>
    <t xml:space="preserve"> a.) Project Signboard (Q=1 lot) b.) Construction Safety and Health Program (Q=1 lot) c.) Clearing and Removal of Existing Trees (Q= 1 lot) d.) Provision of Field Office for the Engineer (Q=1 lot) e.) Operation and Maintenance of the Field Office of the Pr</t>
  </si>
  <si>
    <t xml:space="preserve"> Brgy. Guyam Munti, Indang, Cavite</t>
  </si>
  <si>
    <t xml:space="preserve"> Republic of the Philippines CITY OF SAN PEDRO Province of Laguna BIDS AND AWARDS COMMITTEE INVITATION TO BID The City Government of San Pedro Laguna through the 2020 Budget Approved by Sangguniang Panglungsod intends to apply the sum of Php 2,193,590.69 b</t>
  </si>
  <si>
    <t xml:space="preserve"> INVITATION TO APPLY FOR ELIGIBILITY AND TO BID (IAEB No. 01A -2020) Republic of the Philippines Barangay Government of Gapas Barangay Gapas Guinayangan, Quezon Supply and Delivery of Construction Materials 1.	The BARANGAY GOVERNMENT OF GAPAS GUINAYANGAN, </t>
  </si>
  <si>
    <t xml:space="preserve"> Purchase of face shields and production of laminated RPFP Info Boards to be distributed to the local population offices for continuous provision of Family Planning Services (By Line Item) Line Item No. 1 :  1,355 pcs FACE SHIELD Clear plastic or acetate m</t>
  </si>
  <si>
    <t xml:space="preserve"> Republic of the Philippines Province of Cotabato Municipality of Makilala OFFICE OF THE BIDS &amp; AWARDS COMMITTEE INVITATION TO BID #2020-035 The Municipality of Makilala, funded by the  Municipal Government to apply for the  Concreting of Roads to Resettle</t>
  </si>
  <si>
    <t xml:space="preserve"> Kindly see the plan and specification</t>
  </si>
  <si>
    <t xml:space="preserve"> Procurement of Vehicle Parts (Bulldozer) Php304,000.00</t>
  </si>
  <si>
    <t xml:space="preserve"> 1.	The Provincial Government of Antique, through the 20% IRA CY2020 (Social Development Sector) intends to apply the sum One Million Four Hundred Fifty Seven Thousand Six Hundred Seventeen Pesos &amp; 88/100 (Php 1, 457, 617.88) being the Approved Budget for </t>
  </si>
  <si>
    <t xml:space="preserve"> Item Description: SPL item I: Occupational Safety and Health Program SPL Item II: Earthworks/Site Clearing SPL Item III: Concrete Works SPL Item IV: Masonry Works w/ Plaster SPL Item V: Roof &amp; Roof Framing Works SPL VI: Billboard</t>
  </si>
  <si>
    <t xml:space="preserve"> LOT 1- HARDWARE MATERIALS 1. 44 pcs. 12mm DSB x 6m 2. 8 kls. Tie wire #16 3. 3 cu. m. Washed sand 4. 5 cu.m. Screened gravel 5. 40 bags Portland cement 6. 12 pcs. Ordinary plywood (1/4") 7. 20 kls. CW nails (assorted) LOT 2- LUMBER MATERIALS 1. 192 bd. ft</t>
  </si>
  <si>
    <t xml:space="preserve"> for Improvement/ Rehab of Mahayag Municipal Hospital</t>
  </si>
  <si>
    <t xml:space="preserve"> 1300	PCS	Reproduction of PFA Module	 27.50 	35750.00 		55 pages each module</t>
  </si>
  <si>
    <t xml:space="preserve"> CW-Construction of MPB (Phase II) at Blgy.3, Poblacion Php 22,000,000.00</t>
  </si>
  <si>
    <t xml:space="preserve"> 1.	The Provincial Government of Antique, through the PDRRMF CY 2020 intends to apply the sum One Million Four Hundred Sixty Thousand Four Hundred Thirty Five Pesos &amp; 01/100 (Php 1, 460, 435.01) being the Approved Budget for the Contract (ABC) to payments </t>
  </si>
  <si>
    <t xml:space="preserve"> Water treatment</t>
  </si>
  <si>
    <t xml:space="preserve"> Item Description: SPL item I: Occupational Safety and Health Program Item 101: Removal of Structure and Obstruction(Dilapidated Pavement) Item 102: Structure Excavation Item 506: Stone Masonry Item 105: Sub-grade Preparation Item 200: Aggregate Sub-base C</t>
  </si>
  <si>
    <t xml:space="preserve"> CONCRETING OF NHW JCT. MALBANG-BNDRY. T’BOLI PROVINCIAL ROAD PHASE II Maasim, Sarangani Province (Contract No. INFRA 2020-52) August 18, 2020 1.	The Provincial Government of Sarangani, through DILG-CMGP intends to apply the sum of Eighty-Eight Million Nin</t>
  </si>
  <si>
    <t xml:space="preserve"> for assorted vegetables seeds</t>
  </si>
  <si>
    <t xml:space="preserve"> See attached at the back of Invitation to Bid (ITB)</t>
  </si>
  <si>
    <t xml:space="preserve"> CONCRETING OF NHW JCT. TAMADANG-FALEL  PROVINCIAL ROAD Kiamba, Sarangani Province  (Contract No. INFRA 2020-54) August 18, 2020 1.	The Provincial Government of Sarangani, through AIP 2020/AB 2020 intends to apply the sum of Five Million Pesos (₱5,000,000.</t>
  </si>
  <si>
    <t xml:space="preserve"> Construction of Local Road at Sitio Tublijon of Barangay Rizal, West District, Sorsogon City</t>
  </si>
  <si>
    <t xml:space="preserve"> Construction of RHPU7 Building at Camp Sotero Cabahug, Gorordo Avenue, Cebu City (Phase 1)</t>
  </si>
  <si>
    <t xml:space="preserve"> Qbleacher  27.65 m2</t>
  </si>
  <si>
    <t xml:space="preserve"> a.) Clearing, Grabbing &amp; Excavation (Q=701 l.m.) b.) Concrete Works (Q=28.19 cu.m.) c.) Reinforced steel bar (Q=2,71.32 kgs. D.) Masonry Works (Q=1,096.50 sq.m.) e.) stone Masonry (water impounding) (Q=20.28 cu.m.) f.) Handling of Materials ) g.) Construc</t>
  </si>
  <si>
    <t xml:space="preserve"> 11 units Rescue Vehicle (Ambulance) Specifications: Engine:  4N14 2.2L In Line 4 Turbocharged and intercooled 16-Valve DOHC Displacement: 2268 cc Independent Wishbone and Coil Spring with Stabilizer Front Suspension Semi- Elliptic Leaf Spring Rear Suspens</t>
  </si>
  <si>
    <t xml:space="preserve"> RETROFITTING/STRENGTHENING OF 3 CONCRETE BRIDGES ALONG NHW JCT. CALABANIT-E. ALEGADO PROVINCIAL ROAD (CALABANIT SECTION) Glan, Sarangani Province  (Contract No. INFRA 2020-53) August 18, 2020 1.	The Provincial Government of Sarangani, through AIP 2020/AB </t>
  </si>
  <si>
    <t xml:space="preserve"> INVITATION TO BID  The Local Government Unit of Don Victoriano, through its Bids and Awards Committee (BAC), invites suppliers/contractors to apply for eligibility and to bid for the hereunder project: Name of Project:	CONSTRUCTION OF MESS HALL		 Location</t>
  </si>
  <si>
    <t xml:space="preserve"> BARANGAY ENHANCEMENT PROGRAM - BARANGAY HALL (3RD QUARTER)</t>
  </si>
  <si>
    <t xml:space="preserve"> CW-Rehabilitation of New Mun. Hall-Libertad Php 260,255.33</t>
  </si>
  <si>
    <t xml:space="preserve"> BIDS AND AWARDS COMMITTEE INVITATION TO REBID The DEPARTMENT OF HEALTH – CENTRAL VISAYAS CENTER FOR HEALTH DEVELOPMENT (DOH – CV CHD), through its Bids and Awards Committee (BAC), invites suppliers to bid for the hereunder items: BAC  NO. 2020 - E02 REBID</t>
  </si>
  <si>
    <t xml:space="preserve"> materials for maintenance of water system</t>
  </si>
  <si>
    <t xml:space="preserve"> for Concreting of Local Access Road to Lower Salug Daku</t>
  </si>
  <si>
    <t xml:space="preserve"> a.) Project Billboard (Q=1 lot) b.) OSHP (Q=1 lot) c.) Excavation (Q=24.45 cu.m.) d.) Stone Masonry &amp; Cross Drainage (Q=31.07 cu.m.) e.) Drainage Canal (Q=1 lot)</t>
  </si>
  <si>
    <t xml:space="preserve"> Catering Services for Agricultural Trainings and Seminars</t>
  </si>
  <si>
    <t xml:space="preserve"> Procurement of Rice Php 464,600.00</t>
  </si>
  <si>
    <t xml:space="preserve"> Republic of the Philippines SOUTHERN LEYTE STATE UNIVERSITY-Tomas Oppus San Isidro, Tomas Oppus, Southern Leyte Website: www.slsuonline.edu.ph Telephone/ Contact No. 0908 5855 048 Invitation to Bid for the Supply, Delivery and Installation  of Furnitures </t>
  </si>
  <si>
    <t xml:space="preserve"> for Procurement of eleven (11) units office table standards size</t>
  </si>
  <si>
    <t xml:space="preserve"> 1 Republic of the Philippines Provincial Government of Aurora Bids and Awards Committee (BAC) BAC Office, Provincial Capitol Building, Baler, Aurora 3200, Philippines Standard Form Number: SF-INFR-05 Revised on: July 29, 2004 INVITATION TO BID The PROVINC</t>
  </si>
  <si>
    <t xml:space="preserve"> Qty	Unit	PARTICULARS	PTTC ABC (P)	Amount (P) 				 1	unit	BRAND NEW GRASS CUTTER		 		Specifications- (Minimum Requirements): Displacement: 24.5ml Engine Power: 0.73KW / 1.0PS Fuel Tank: 0.4L Spindle Size: M8 x1.25LH Engine: 2-stroke Net Weight: 4.5kg (min)</t>
  </si>
  <si>
    <t xml:space="preserve"> Item Description: 1. 2 Sets Desktop Computer 2. 1 Unit Laptop Computer 3. 2 Unit Printer(CIS)</t>
  </si>
  <si>
    <t xml:space="preserve"> August 18, 2020 1.	The Provincial Government of Sarangani, through AIP 2020/AB 2020 intends to apply the sum of Seven Hundred Seventy-Six Thousand Three Hundred Seventy-Six Pesos and Thirty-Two Centavos (₱776,376.32) being the Approved Budget for the Cont</t>
  </si>
  <si>
    <t xml:space="preserve"> Please see attached docs</t>
  </si>
  <si>
    <t xml:space="preserve"> LOT 1- HARDWARE MATERIALS 1. 250 pcs. CHB 4" 2. 90 pcs. 10 mm DSB x 6m 3. 12 kls. Tie wire #16 4. 5 cu.m. Washed sand 5. 8 cu.m Screened gravel 6. 60 bags Portland cement 7. 34 pcs. Marine Plywood 8. 1 liter Roof Sealant 9. 20 kls. CW nails (assorted) LOT</t>
  </si>
  <si>
    <t xml:space="preserve"> 1. 500 ampule Bupivacaine 5% heavy 4ml ampule 2. 30 vial Bupivacaine 5% isobaric 10ml ampule 3. 500 vial Sodium Bicarbonate 50 ml vial 4. 400 ampule Atracurium 25mg/2.5 ml ampule</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</si>
  <si>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</si>
  <si>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BARANGAY ENHANCEMENT PROGRAM - BARANGAY HALL (HARDWARE SUPPLIES)</t>
  </si>
  <si>
    <t xml:space="preserve"> for Insecticides and Peanut Seeds</t>
  </si>
  <si>
    <t xml:space="preserve"> Republic of the Philippines PROVINCE OF BUKIDNON Municipality of Sumilao INVITATION TO BID ITB NO. GS-2020-37 PROCUREMENT OF CONSTRUCTION MATERIALS FOR THE REHABILITATION OF MULTI-PURPOSE BUILDING. August 17, 2020 1.	The Local Government Unit of  Sumilao,</t>
  </si>
  <si>
    <t xml:space="preserve"> To procure goods for the 10th Cycle implementation of Supplementary Feeding Program in the Municipality of Nagbukel, Ilocos Sur</t>
  </si>
  <si>
    <t xml:space="preserve"> MUNICIPALITY OF BONTOC Bontoc, Mountain Province Invitation to Bid for Cluster 04-2020 (1. Improvement of Doddo Ato, Talubin 2. Improvement of Gannas Pathway, Doddo Talubin 3. Improvement of Lamkakayen Pakkil Pathway) INFRA 2020-05/7182361 1.	The Municipa</t>
  </si>
  <si>
    <t xml:space="preserve"> Invitation to Bid for the Construction of Balite E/S Stage The Municipality of San Francisco, Surigao del Norte, through the 20% Development Fund of CY 2020 intends to apply the sum of Two Hundred Fifty Thousand Pesos (250,000.00) being the Approved Budge</t>
  </si>
  <si>
    <t xml:space="preserve"> To procure goods for the 10th Cycle implementation of Supplementary Feeding Program in the Municipality of Salcedo, Ilocos Sur</t>
  </si>
  <si>
    <t xml:space="preserve"> for Construction of Installation of Fuel Tank</t>
  </si>
  <si>
    <t xml:space="preserve"> Republic of the Philippines National Kidney and Transplant Institute Bids and Awards Committee East Avenue, Quezon City 1100 981-0300 / 981-0400 local 1157 http://www.nkti.gov.ph/	 INVITATION TO BID for the ITB No. 20-082 One (1) Lot Supply and Delivery o</t>
  </si>
  <si>
    <t xml:space="preserve"> Republic of the Philippines PROVINCE OF BUKIDNON Municipality of Sumilao INVITATION TO BID ITB NO. GS-2020-39 PROCUREMENT OF CONSTRUCTION MATERIALS FOR THE REHABILITATION OF DRAINAGE SYSTEM August 17, 2020 1.	The Local Government Unit of  Sumilao, intends</t>
  </si>
  <si>
    <t xml:space="preserve"> MUNICIPALITY OF BONTOC Bontoc, Mountain Province Invitation to Bid for Cluster 10-2020 (1. Additional Counterpart for the Construction of Favuyan/Finakkar Daycare Center 2. Rehabilitation of Foyayeng Pathway 3. Construction and Installation of  Wooden Cab</t>
  </si>
  <si>
    <t xml:space="preserve"> for Procurement of Office Supplies and Consumables</t>
  </si>
  <si>
    <t xml:space="preserve"> The detailed Bill of Materials is attached to the Bid Forms</t>
  </si>
  <si>
    <t xml:space="preserve"> 20 posts Concrete Post Lamp</t>
  </si>
  <si>
    <t xml:space="preserve"> for Procurement of one (1) unit Heavy Duty Hydraulic Disc Harrow</t>
  </si>
  <si>
    <t xml:space="preserve"> PROCUREMENT OF I.T. AND EQUIPMENT FOR VARIOUS OFFICES 2020</t>
  </si>
  <si>
    <t xml:space="preserve"> 1 lot for 35 cubicle of office partition system with table - customize</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</si>
  <si>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</si>
  <si>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Republic of the Philippines DEPARTMENT OF PUBLIC WORKS AND HIGHWAYS BATANGAS II  DISTRICT ENGINEERING OFFICE REGIONAL OFFICE IV-A Kumintang Ilaya, Batangas City INVITATION TO BID For Outsourcing of Security Guards at DPWH Batangas II District Engineering </t>
  </si>
  <si>
    <t xml:space="preserve"> Republic of the Philippines PROVINCE OF BUKIDNON Municipality of Sumilao INVITATION TO BID ITB NO. GS-2020-38 PROCUREMENT OF CONSTRUCTION MATERIALS FOR THE COMPLETION OF MULTI-PURPOSE BUILDING August 17, 2020 1.	The Local Government Unit of  Sumilao, inte</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</si>
  <si>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</si>
  <si>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The detailed Bill of Materials is attached to the Bid Forms.</t>
  </si>
  <si>
    <t xml:space="preserve"> Item Description: Office Supplies, Equipment's and Consumables.</t>
  </si>
  <si>
    <t xml:space="preserve"> Concrete Paving of 5m x 320ln.m. x 0.20m thick with slope Protection and CHB line canal.</t>
  </si>
  <si>
    <t xml:space="preserve"> To download bidding documents, please click the link below https://drive.google.com/file/d/1xPvUCRax1QXS_3cPps-kttqan8i_Kuv-/view?usp=drivesdk</t>
  </si>
  <si>
    <t xml:space="preserve"> Item No.	Qty	DESCRIPTION				Unit of Measurement 						 1	5	G.I. Pipe 4''Ø x 6.0m. Sch. 40				Pc. 2	6	Sleeve Type Coupling (Flexible 4'' Ø GI - GI				Pc. 3	8	G.I. Union 4''Ø				Pc. 4	10	G. I. Coupling 4''Ø Mech.				Pc. 5	15	G.I. Tee 4'' Ø				Pc. 6	5	G.I. E</t>
  </si>
  <si>
    <t xml:space="preserve"> LOT 1 Item No.	    Qty	Particulars	                                                                     Unit Cost	          Amount 1	              1	PRINTING MACHINE, Duplicator, digital, heavy duty                                  copy printer, resolutio</t>
  </si>
  <si>
    <t xml:space="preserve"> To bid for this contract, a contractor must submit a Letter of Intent and must meet the following major criteria; Prospective bidders should have experience in undertaking a similar project within the last two (2) years, with an amount of at least 50% of </t>
  </si>
  <si>
    <t xml:space="preserve"> 9 sets Led Light 18 watts 2 pcs. 60 Amp. Circuit Breaker 2 box 3.5 mm2 Stranded Wire 68 mtr. #6 Duplex Wire 9pcs. 12" Street Light Shade 9pcs. Receptacle 4pcs Junction Box 4"x 4" 4pcs 1" dia. Electrical Tape 7pcs 1/2" dia. Electrical Pipe 1 can Solvent Ce</t>
  </si>
  <si>
    <t xml:space="preserve"> Republic of the Philippines Province of Bohol MUNICIPALITY OF SAN MIGUEL BARANGAY CORAZON Bids and Awards Committee REQUEST FOR QUOTATION Mode	Public Bidding PR No.	 Office	Brgy. Corazon Company Name:          __________________________ Address:		 _______</t>
  </si>
  <si>
    <t xml:space="preserve"> Republic of the Philippines DEPARTMENT OF PUBLIC WORKS AND HIGHWAYS ILOILO CITY DISTRICT ENGINEERING OFFICE REGION VI Fort San Pedro, Iloilo City INVITATION TO BID FOR 20GGJ0062 - Supply and Delivery of IT Equipment and Computer Accessories for the use of</t>
  </si>
  <si>
    <t xml:space="preserve"> CONSTRUCTION OF PROVINCIAL CAPITOL ENTRANCE WELCOME ARC AND CANOPY Alabel, Sarangani Province  (Contract No. INFRA 2020-57) August 18, 2020 1.	The Provincial Government of Sarangani, through AIP 2020/AB 2020 intends to apply the sum of One Million Four Hu</t>
  </si>
  <si>
    <t xml:space="preserve"> INVITATION FOR PRICE QUOTATION Date:  17 August 2020  For The  Supply And Delivery Of Range Finder For SMO Of Legazpi Airport -3rd SVP   The Civil Aviation Authority of the Philippines (CAAP) intends to apply the estimated amount   of   Seventy Five Thous</t>
  </si>
  <si>
    <t xml:space="preserve"> Please see attached file/s.</t>
  </si>
  <si>
    <t xml:space="preserve"> for Procurement of Office Equipments</t>
  </si>
  <si>
    <t xml:space="preserve"> Different office supplies to be used by the Sangguniang Bayan Office</t>
  </si>
  <si>
    <t xml:space="preserve"> Republic of the Philippines CENTRAL BICOL STATE UNIVERSITY OF AGRICULTURE-SIPOCOT Impig, Sipocot, Camarines Sur INVITATION TO BID FOR SUPPLY AND DELIVERY OF ONE (1) UNIT PASSENGER VAN (Second Publication) 1.	The CENTRAL BICOL STATE UNIVERSITY OF AGRICULTU</t>
  </si>
  <si>
    <t xml:space="preserve"> Republic of the Philippines PROVINCE OF BUKIDNON Municipality of Sumilao INVITATION TO BID ITB NO. GS-2020-40 PROCUREMENT OF CONSTRUCTION MATERIALS FOR THE IMPROVEMENT OF MULTI-PURPOSE BUILDING. August 17, 2020 1.	The Local Government Unit of  Sumilao, in</t>
  </si>
  <si>
    <t xml:space="preserve"> To procure goods for the 10th Cycle implementation of Supplementary Feeding Program in the Municipality of Alilem, Ilocos Sur</t>
  </si>
  <si>
    <t xml:space="preserve"> 1.	The PhilHealth Regional Office VIII, through the Corporate Budget for COB 2020  intends to apply the sum of One Million One Hundred Two Thousand Eight Hundred Eighty-One &amp; 65/100 Pesos (P1,102,881.65) being the Approved Budget for the Contract (ABC) to</t>
  </si>
  <si>
    <t xml:space="preserve"> Republic of the Philippines Province of Eastern Samar Municipality of Guiuan Invitation to Bid  for  PROPOSED CONSTRUCTION OF MULTI-PURPOSE BUILDING (PHASE 1) AT ST. GENEVIEVE VILLAGE, BARANGAY TAGPORO, GUIUAN, E. SAMAR The LOCAL GOVERNMENT UNIT OF GUIUAN</t>
  </si>
  <si>
    <t xml:space="preserve"> 400 HEADS PULLETS 40 HEADS ROOSTER 162 BAGS FEED REQUIREMENTS MEDICINES AND BIOLOGICS FEEDERER AND WATERER</t>
  </si>
  <si>
    <t xml:space="preserve"> UPGRADING OF TUGUEGARAO HALL (TRU OFFICE) BASEMENT CITY HALL BUILDING, CARIG SUR, TUGUEGARAO CITY</t>
  </si>
  <si>
    <t xml:space="preserve"> 11 PLATES 12 VOLTS BATTERY (9 UNIT)  Minimum Requirements: 1. Maintenance Free Tropicalized 11 Plates 12 Volts Battery; and 2. With 24 months warranty. Note: a. Supplier must have pertinent documents such as PhilGEPS registration, Mayor's Permit, DTI and </t>
  </si>
  <si>
    <t xml:space="preserve"> Invitation to Bid to all Supplier/Contractor duly accredited by the City Council of Manila to supply and deliver the following items provided hereunder, to wit; Item	Qty.	 	Unit	 	 	 	DESCRIPTION 1	 	100	 	Pcs	Folding Laptop Table	 	  2	 	100	 	Pcs	Compos</t>
  </si>
  <si>
    <t xml:space="preserve"> for Procurement of Information and Communication Technology Equipment and peripherals</t>
  </si>
  <si>
    <t xml:space="preserve"> INVITATION OF SECURITY GUARD SERVICES TO SUBMIT QUOTATION 1. The GINGOOG CITY WATER DISTRICT resolve the services of five (5) Security Guards to protect and watch-over the Gingoog City Water District Office and all facilities owned/property in different l</t>
  </si>
  <si>
    <t xml:space="preserve"> INVITATION TO BID FOR THE IMPROVEMENT WORKS AT PLMUN (REHABILITATION OF WINDOWS &amp; INSTALLATION OF EXHAUST AT 5TH FLOOR PLMUN COLLEGE BUILDING, BRGY. POBLACION, MUNTINLUPA CITY  1.	The City Government of Muntinlupa, through its duly-approved Executive Budg</t>
  </si>
  <si>
    <t xml:space="preserve"> 55 pcs Apron (Color green with Logo)  2 unit 1.5 Pressurized Car Wash Water Pump Kit/ Set  (including motor &amp; presurized hose nozzle)  2 unit 5kg/ 0.5g LCD Digital Coffee Weighing  5 pcs Air Chuck  49 pcs Air Compressor (1/4 hp)  5 pcs Bara De Cabra  4 pc</t>
  </si>
  <si>
    <t xml:space="preserve"> for Procurements of Motor Vehicles for PNP</t>
  </si>
  <si>
    <t xml:space="preserve"> CONSTRUCTION OF ECPC CHEMICAL STORAGE FACILITY, CAPITOL, ALABEL Alabel, Sarangani Province  (Contract No. INFRA 2020-56) August 18, 2020 1.	The Provincial Government of Sarangani, through AIP 2020/AB 2020 intends to apply the sum of Four Hundred Eighty-Fo</t>
  </si>
  <si>
    <t xml:space="preserve"> Const. of Concrete multi purpose building complete roofing, Electrical, Plumbing &amp; Painting</t>
  </si>
  <si>
    <t xml:space="preserve"> To procure goods for the 10th Cycle implementation of Supplementary Feeding Program in the Municipality of Banayoyo, Ilocos Sur</t>
  </si>
  <si>
    <t xml:space="preserve"> Different office supplies to be used by Legislative Office</t>
  </si>
  <si>
    <t xml:space="preserve"> SUPPLY AND DELIVERY OF SOLID WASTE MANAGEMENT EQUIPMENT FOR ORGANIC FERTILIZER PRODUCTION AS LIVELIHOOD PROGRAM TUGUEGARAO CITY AGRICULTURAL TRAINING CENTER AND DEMONSTRATION FARM, GOSI NORTE, TUGUEGARAO CITY</t>
  </si>
  <si>
    <t xml:space="preserve"> INVITATION TO BID FOR THE SUPPLY &amp; DELIVERY OF RICE TO BE GIVEN TO VARIOUS CONSTITUENTS OF MUNTINLUPA 1.	The City Government of Muntinlupa, through its duly-approved Executive Budget for 2020 intends to apply the sum of One Million One Hundred Fifty Thous</t>
  </si>
  <si>
    <t xml:space="preserve"> I. Area Clearing II. Demolition ( Concrete Chipping) III. Excavation and Backfilling IV. Reinforced Concrete Works V. Masonry Works VI. Painting Works and Water Proofing VII. Electrical Works VIII. Forms and Scaffoldings IX. Doors and Windows</t>
  </si>
  <si>
    <t xml:space="preserve"> Rehabilitation &amp; Improvement of Water System of Barangay Rizal, West District, Sorsogon City</t>
  </si>
  <si>
    <t xml:space="preserve"> Republic of the Philippines PROVINCE OF BUKIDNON Municipality of Sumilao INVITATION TO BID ITB NO. GS-2020-42 PROCUREMENT OF CONSTRUCTION MATERIALS FOR THE REHABILITATION OF DRAINAGE CANAL August 17, 2020 1.	The Local Government Unit of  Sumilao, intends </t>
  </si>
  <si>
    <t xml:space="preserve"> Straight Contract for Construction of Waiting Shed  See attached link/Url under OTHER INFORMATION BOX</t>
  </si>
  <si>
    <t xml:space="preserve"> for Procurement of one (1) unit Drone</t>
  </si>
  <si>
    <t xml:space="preserve"> August 17, 2020 INVITATION TO BID  Reference No. 7182718 /Solicitation No.20-31 The City Government of Tagum invites interested Bidders/Suppliers to bid for the following: Name of Contract         :  DRONE FOR THE USE OF DEPARTMENT OF TRANSPORTATION &amp; LGU</t>
  </si>
  <si>
    <t xml:space="preserve"> SUPPLY AND DELIVERY OF OTHER TRANSPORT EQUIPMENT (HAULING TRANSPORT EQUIPMENT)</t>
  </si>
  <si>
    <t xml:space="preserve"> LENGTH = 70.00 m DEPTH =   0.50 m WIDTH =   0.40 m 123 Bags Cement 12 cu.m Mixed Gravel 104 Pcs 10 mm dia. Rebar 8 kgs. Tie Wire 5 Pc 1/2" Marine Plywood 100 bd. ft. 2x2" Form Lumber 3 kg. Assorted Nails</t>
  </si>
  <si>
    <t xml:space="preserve"> Invitation No.17-2020                                                       LGU-ROX-CWC-25-2020 1.	The Municipal Government of Roxas, Isabela has received the share from the CY 2016 Collection of Burley and Native Tobacco  Excise Tax   and it  intends to </t>
  </si>
  <si>
    <t xml:space="preserve"> Republic of the Philippines Province of Cotabato Municipality of Makilala OFFICE OF THE BIDS &amp; AWARDS COMMITTEE INVITATION TO BID #2020-038 The Municipality of Makilala, funded by the  Municipal Government to apply for the  Construction of Two (2) Day Car</t>
  </si>
  <si>
    <t xml:space="preserve"> COMPLETION OF KINABALAN MULTI-PURPOSE BUILDING Malungon, Sarangani Province (Contract No. INFRA 2020-58) August 18, 2020 1.	The Provincial Government of Sarangani, through AIP 2020/AB 2020 intends to apply the sum of Three Million Pesos (₱3,000,000.00) be</t>
  </si>
  <si>
    <t xml:space="preserve"> Construction of 36mx22m Multi-purpose covered court with drainage system</t>
  </si>
  <si>
    <t xml:space="preserve"> Republic of the Philippines PROVINCE OF MARINDUQUE Capitol Boac, Marinduque  BIDS AND AWARDS COMMITTEE REQUEST FOR EXPRESSION OF INTEREST FOR  Consulting Services in the Formulation of the Tourism Development Plan (Master Plan) for the Province of Marindu</t>
  </si>
  <si>
    <t xml:space="preserve"> for Procurement of two (2) sets engine assembly, differential housing and transmission for motor vehicles</t>
  </si>
  <si>
    <t xml:space="preserve"> Supply and Delivery of 15,000 reams Bond paper short 60 gsm and 5,000 reams Bond paper long 60gsm</t>
  </si>
  <si>
    <t xml:space="preserve"> To procure goods for the 10th Cycle implementation of Supplementary Feeding Program in the Municipality of Bantay, Ilocos Sur</t>
  </si>
  <si>
    <t xml:space="preserve"> To procure goods for the 10th Cycle implementation of Supplementary Feeding Program in the Municipality of Lidlidda, Ilocos Sur</t>
  </si>
  <si>
    <t xml:space="preserve"> L=100LM; H=1M</t>
  </si>
  <si>
    <t xml:space="preserve"> August 17, 2020 INVITATION TO BID  Reference No. 7182837 /Solicitation No.20-31 The City Government of Tagum invites interested Bidders/Suppliers to bid for the following: Name of Contract         :  PLOTTER FOR THE USE OF DEPARTMENT OF TRANSPORTATION &amp; L</t>
  </si>
  <si>
    <t xml:space="preserve"> The Local  Government   Unit  of General  Santos  City, through  the  GENERAL FUND CY 2020  intends  to apply  the sum of one hundred eleven thousand three hundred and xx / 100 Pesos Only (111,300.00)   being  the Approved  Budget  for the Contract   (ABC</t>
  </si>
  <si>
    <t xml:space="preserve"> SUPPLY, DELIVERY AND INSTALLATION OF WASTE WATER TREATMENT PLANT (TUGUEGARAO CITY PEOPLE’S GENERAL HOSPITAL TUGUEGARAO CITY)</t>
  </si>
  <si>
    <t xml:space="preserve"> Section I. Invitation to Bid INVITATION TO BID  DA8-Goods-2020-52 (PR No. CORN 20-08-14-0232) 1.	The Department of Agriculture-Regional Field Office No. 8, through the CORN 2020 intends to apply the sum of One Million One Hundred Thirty-One Thousand Pesos</t>
  </si>
  <si>
    <t xml:space="preserve"> Construction of ramps, handrails and canopy</t>
  </si>
  <si>
    <t xml:space="preserve"> The Local  Government   Unit  of General  Santos  City, through  the  GENERAL FUND CY 2020  intends  to apply  the sum of two hundred five thousand four hundred twenty one and xx / 100 Pesos Only (205,421.00)   being  the Approved  Budget  for the Contrac</t>
  </si>
  <si>
    <t xml:space="preserve"> INVITATION TO BID FOR OFFICE SUPPLIES AND CONSUMABLES 1. The Cebu Technological University, through the GAA intends to apply the sum of Three Hundred Thirty Three Thousand Seven Hundred Pesos (Php333,700.00) being the Approved Budget for the Contract (ABC</t>
  </si>
  <si>
    <t xml:space="preserve"> INVITATION TO BID The Municipality of Mutia through its Bids and  Awards Committee Invites  contractors to apply for eligibility and to bid for the project reflected hereunder; NAME OF PROJECT	:  Procurement of Materials &amp; Supplies for the Construction of</t>
  </si>
  <si>
    <t xml:space="preserve"> Republic of the Philippines National Kidney and Transplant Institute Bids and Awards Committee East Avenue, Quezon City 1100 981-0300 / 981-0400 local 1157 http://www.nkti.gov.ph/	 INVITATION TO BID for the ITB No. 20-080 ONE (1) LOT SUPPLY, DELIVERY, INS</t>
  </si>
  <si>
    <t xml:space="preserve"> To procure goods for the 10th Cycle implementation of Supplementary Feeding Program in the Municipality of Caoayan, Ilocos Sur</t>
  </si>
  <si>
    <t xml:space="preserve"> SUPPLY AND DELIVERY OF VARIOUS HARDWARE &amp; CONSTRUCTION MATERIALS  The Philippine National Oil Company (PNOC), through the 2020 Approved Corporate Operating Budget intends to apply the sum of One Million Two Hundred Sixty Two Thousand Four Hundred Fifty Fo</t>
  </si>
  <si>
    <t xml:space="preserve"> OFFICE OF THE MUNICIPAL ACCOUNTANT 12 MONTHS SYSTEMS RENTALS OFFICE OF THE MUNICIPAL BUDGET OFFICER  12 MONTHS SYSTEMS RENTALS</t>
  </si>
  <si>
    <t xml:space="preserve"> 1.) 3,000 liters Premium Gasoline</t>
  </si>
  <si>
    <t xml:space="preserve"> Republic of the Philippines Province of Tarlac CONCEPCION WATER DISTRICT San Jose, Concepcion, Tarlac INVITATION TO BID 1.	The CONCEPCION WATER DISTRICT, through the Corporate Budget for the contract approved by the Board for the calendar year 2020, inten</t>
  </si>
  <si>
    <t xml:space="preserve"> Standard Form No. SF INFR-05	                     Project Reference No.: CATCAM-2020-27 Revised on July 28,2004                   	            Name of Project: MUNICIPAL EVACUATION CENTER                                                                    </t>
  </si>
  <si>
    <t xml:space="preserve"> QUANTITY       UNIT                   DESCRIPTION 8000              SACHETS             RICE+MONGO INSTANT BABY BLEND DRY CEREAL</t>
  </si>
  <si>
    <t xml:space="preserve"> INVITATION TO BID FOR THE SUPPLY AND DELIVERY OF VARIOUS SIZES CI SADDLE CLAMP 1. The Metropolitan Tuguegarao Water District through the Corporate Budget for the Year 20201 intends to apply the sum of One Million Six Hundred Twenty Thousand Pesos (P 1,620</t>
  </si>
  <si>
    <t xml:space="preserve"> REQUEST FOR QUOTATION Date	:	August 17, 2020 Project Title	:	PROCUREMENT OF EMERGENCY MEDICAL SERVICES (EMS) FOR ONE (1) UNIT  WITH THREE (3) MANNED CREW ITB No.             	:	FB20-03-006CORa-08 Approved Budget for the Contract (ABC)	:	Three      Million</t>
  </si>
  <si>
    <t xml:space="preserve"> Republic of the Philippines Province of Bohol Municipality of Danao Invitation to Bid for  IMPROVEMENT OF MULTI-PURPOSE BUILDING, BRGY. VILLA ANUNCIADO 1.	The Municipality of Danao, Bohol  through the GF [Local Development Plan (20% of IRA) FY 2020]   int</t>
  </si>
  <si>
    <t xml:space="preserve"> The Local  Government   Unit  of General  Santos  City, through  the  GENERAL FUND CY 2020  intends  to apply  the sum of one hundred forty four thousand five hundred and xx / 100 Pesos Only (144,500.00)   being  the Approved  Budget  for the Contract   (</t>
  </si>
  <si>
    <t xml:space="preserve"> Request for Expression of Interest CONSULTING SERVICES FOR A FULL BUILDING ASSESSMENT, PREPARATION OF DETAILED ARCHITECTURAL AND ENGINEERING PLANS, PROVISION OF TECHNICAL SUPPORT IN THE PROCUREMENT OF A RETROFITTING CONTRACTOR AND CONSTRUCTION PROJECT MAN</t>
  </si>
  <si>
    <t xml:space="preserve"> Invitation No.17-2020                                                       LGU-ROX-CWC-27-2020 1.	The Municipal Government of Roxas, Isabela has received the share from the CY 2016 Collection of Burley and Native Tobacco Excise Tax   and it  intends to a</t>
  </si>
  <si>
    <t xml:space="preserve"> Construction of One (1) Storey, Two (2) Rooms w/ Two Comfort Room</t>
  </si>
  <si>
    <t xml:space="preserve"> The Local  Government   Unit  of General  Santos  City, through  the  GENERAL FUND CY 2020  intends  to apply  the sum of nine hundred fifty thousand and xx / 100 Pesos Only (950,000.00)   being  the Approved  Budget  for the Contract   (ABC) to payments </t>
  </si>
  <si>
    <t xml:space="preserve"> Completion of two storey multi - purpose hall</t>
  </si>
  <si>
    <t xml:space="preserve"> INVITATION TO BID The Municipality of Mutia through its Bids and  Awards Committee Invites  contractors to apply for eligibility and to bid for the project reflected hereunder; NAME OF PROJECT	:  Procurement of Concrete Hollow Block  for the Construction </t>
  </si>
  <si>
    <t xml:space="preserve"> Repair of existing cr and site Development of new CR</t>
  </si>
  <si>
    <t xml:space="preserve"> To procure goods for the 10th Cycle implementation of Supplementary Feeding Program in the Municipality of Gregorio del Pilar, Ilocos Sur</t>
  </si>
  <si>
    <t xml:space="preserve"> BARANGAY ENHANCEMENT PROGRAM - LIVELIHOOD COMMITTEE (3RD QUARTER)</t>
  </si>
  <si>
    <t xml:space="preserve"> 1.) 5,000 liters Diesel Fuel</t>
  </si>
  <si>
    <t xml:space="preserve"> INVITATION TO BID FOR THE SUPPLY, DELIVERY &amp; INSTALLATION OF AIRCONDITIONERS FOR VARIOUS HEALTH FACILITIES IN MUNTINLUPA CITY (*RE-POSTED)  1.	The City Government of Muntinlupa, through its duly-approved Executive Budget for 2020 intends to apply the sum </t>
  </si>
  <si>
    <t xml:space="preserve"> 1 Injector Valve, EMEC KCL (INJECTOR CHECKVALVE INCLUDED ALL SETS OF STANDARD INTERNAL PARTS/ACCESSORIES, WITH LOCKNUT FOR 9MM OUTSIDE DIAMETER BRAIDED HOSE, COMPRESSION RING FOR 4MM INSIDE DIA. BRAIDED HOSE, CONE; SEE ATTACHED SAMPLE PICTURE) 15 pc  2 Ho</t>
  </si>
  <si>
    <t xml:space="preserve"> Description: NAME OF PROJECT: CONCRETING OF PATHWALK  ABC: 150,000.00 To bid for this contract, a contractor must submit a Letter of Intent and must meet the following major criteria; Prospective bidders should have experience in undertaking a similar pro</t>
  </si>
  <si>
    <t xml:space="preserve"> August 17, 2020 INVITATION TO BID  Reference No. 7182961 /Solicitation No.20-31 The City Government of Tagum invites interested Bidders/Suppliers to bid for the following: Name of Contract         :  IT EQUIPMENT &amp; SUPPLIES FOR THE USE OF DEPARTMENT OF TR</t>
  </si>
  <si>
    <t xml:space="preserve"> Department of Public Works and Highways Contract ID	:	20MH0114 Contract Name	:	 Construction of River Bank Protection/Flood Control at Salaman River, Brgy. Salaman, Lebak, Sultan Kudarat Contract Location	:	Brgy. Salaman, Lebak, Sultan Kudarat Department </t>
  </si>
  <si>
    <t xml:space="preserve"> The Local  Government   Unit  of General  Santos  City, through  the  GENERAL FUND CY 2020  intends  to apply  the sum of two hundred forty thousand and xx / 100 Pesos Only (240,000.00)   being  the Approved  Budget  for the Contract   (ABC) to payments  </t>
  </si>
  <si>
    <t xml:space="preserve"> Office Supplies &amp; Devices</t>
  </si>
  <si>
    <t xml:space="preserve"> BATTERY</t>
  </si>
  <si>
    <t xml:space="preserve"> Repair of water tank stand, repair of plumbing system, water source development and installation of water pump</t>
  </si>
  <si>
    <t xml:space="preserve"> The Local  Government   Unit  of General  Santos  City, through  the  GENERAL FUND CY 2020  intends  to apply  the sum of nine hundred fifty five thousand nine hundred and xx / 100 Pesos Only (955,900.00)   being  the Approved  Budget  for the Contract   </t>
  </si>
  <si>
    <t xml:space="preserve"> INVITATION TO BID The Iligan City Government Bids and Awards Committee (BAC), through  CY 2016-GENERAL FUND-Proper intends to apply the sum of  P 318,000.00 being the Approved Budget for the Contract (ABC) to payments under the Contract for Supply and Del</t>
  </si>
  <si>
    <t xml:space="preserve"> Republic of the Philippines Province of Iloilo Municipality of Lambunao Office of the Bids &amp; Awards Committee INVITATION TO BID/ REQUEST FOR PRICE QUOTATION Name of Project: Improvement of Socialized Housing Project (GK) Footwalk and Electric Lights (One </t>
  </si>
  <si>
    <t xml:space="preserve"> The Local  Government   Unit  of General  Santos  City, through  the  GENERAL FUND CY 2020  intends  to apply  the sum of seven hundred eighty eight thousand eight hundred and xx / 100 Pesos Only (788,800.00)   being  the Approved  Budget  for the Contrac</t>
  </si>
  <si>
    <t xml:space="preserve"> 6	Pieces	" Ink Cartridge, Ink, HP, black Ink advantage 678" 6	Pieces	" Ink Cartridge, Ink, HP, colored Ink advantage 678" 44	Pieces	" Ink refill, Ink Refill, Epson, black T664 " 3	Pieces	"Ink, Laserjet HP laserjet P1102W 85A, CE285A black" 10	Pieces	Toner</t>
  </si>
  <si>
    <t xml:space="preserve"> Brief Description/Specification: “SUPPLY AND DELIVERY OF VARIOUS MATERIALS AND EQUIPMENT FOR SEARCH AND RESCUE OPERATIONS” of the Municipal Disaster Risk Reduction &amp; Management Office, Bayog, Zamboanga del Sur. Approved Budget for the Contract:  Php 54,26</t>
  </si>
  <si>
    <t xml:space="preserve"> Const. of Two Storey Building (Dimension:  22.50m x 9.40m) made of concrete, masonry works, C- Joist suspended slabs, steel &amp; galva iron roofing sheets complete with ceilings, metal hanger &amp; nailers, paintings, plumbing &amp; sanitary fixtures, doors &amp; window</t>
  </si>
  <si>
    <t xml:space="preserve"> Department of Public Works and Highways Contract ID	:	20MH0113 Contract Name	:	 Construction of Road Slope Protection Structure along Awang-Upi-Lebak-Kalamansig-Palimbang-Sarangani Rd – K1985+733 – K1985+793, K2005+845 – K2005+965, Palimbang, Sultan Kudar</t>
  </si>
  <si>
    <t xml:space="preserve"> Regular school and office supplies/ equipment</t>
  </si>
  <si>
    <t xml:space="preserve"> Republic of the Philippines Bangsamoro Autonomous Region in Muslim Mindanao Provincial Government of Maguindanao BIDS AND AWARDS COMMITTEE Buluan, Maguindanao INVITATION TO BID FOR SUPPLY AND DELIVERY OF OILS AND LUBRICANTS FOR LIGHT AND HEAVY EQUIPMENTS </t>
  </si>
  <si>
    <t xml:space="preserve"> PURCHASE OF 1500 LITERS OF DIESEL TO BE USE BY THE MUNICIPAL DISASTER AND RISK REDUCTION OFFICE</t>
  </si>
  <si>
    <t xml:space="preserve"> Drugs &amp; Medicines</t>
  </si>
  <si>
    <t xml:space="preserve"> Republic of the Philippines Province of Leyte Municipality of Hilongos Barangay UTANAN REQUEST FOR QUOTATION ________________ DATE _____________________ _____________________ .        Please quote your lowest price on the items/listed below for theProcure</t>
  </si>
  <si>
    <t xml:space="preserve"> for Procurments of Personal Equipments for LDRRMO</t>
  </si>
  <si>
    <t xml:space="preserve"> various computer ink</t>
  </si>
  <si>
    <t xml:space="preserve"> Invitation No.17-2020                                                              LGU-ROX-CWC-26-2020 1.	The Municipal Government of Roxas, Isabela has received the share from the CY 2016 Collection of Burley and Native Tobacco Excise Tax   and it  inten</t>
  </si>
  <si>
    <t xml:space="preserve"> INVITATION TO BID FOR MULTI-PURPOSE TRUCK FOR COVID-19 RELATED OPERATIONS 1. The Municipal Government of Hinoba-an, through the CY 2020 20% Municipal Development Fund (Purchase of Multi-Purpose Truck), intends to apply the sum of One Million Four Hundred </t>
  </si>
  <si>
    <t xml:space="preserve"> Republic of the Philippines						 City Government of Davao						 						 INVITATION TO BID						 for Infrastructure Projects B17-2020						 						 The City Government of Davao now invites bidders for the project/s under B17-2020 as listed below.   The pros</t>
  </si>
  <si>
    <t xml:space="preserve"> INVITATION TO BID INSTALLATION OF STREET LIGHTS ALONG PROVINCIAL ROAD FROM PUROK 3 TO PUROK 4, BARANGAY COMAGASCAS – 2ND BIDDING 1.	The Local Government Unit of Cabadbaran City through the PEACE &amp; ORDER FUND (EO 70 ELCAC IMPLEMENTATION) intends to apply t</t>
  </si>
  <si>
    <t xml:space="preserve"> INVITATION TO BID SUPPLY AND DELIVERY OF ONE (1) UNIT DRONE FOR AERIAL MONITORING – 2ND BIDDING 1.	The Local Government Unit of Cabadbaran City through the GENERAL FUND intends to apply the sum of ONE HUNDRED THOUSAND PESOS ONLY (P 100,000.00) being the A</t>
  </si>
  <si>
    <t xml:space="preserve"> Department of Public Works and Highways Contract ID	:	20MH0118 Contract Name	:	Concreting of Road connecting PurokNarra, Brgy. Numo, Esperanza, Sultan Kudarat Contract Location	:	Esperanza, Sultan Kudarat Department of Public Works and Highways Sultan Kud</t>
  </si>
  <si>
    <t xml:space="preserve"> REQUEST FOR QUOTATION SUPPLY, DELIVERY AND INSTALLATION OF OFFICE FURNITURE AND FIXTURE FOR USE IN CASC, SCI LAB, D POST OFFICE, CESC, GUIDANCE OFFICE, KMS OFFICE, AND REGISTRATION &amp; ADMISSION OFFICE  (RFQ NO. 2020-02F) 1.	The Dr. Emilio B. Espinosa Sr. M</t>
  </si>
  <si>
    <t xml:space="preserve"> PLEASE SEE ATTACHED TOR</t>
  </si>
  <si>
    <t xml:space="preserve"> Invitation to Bid for the Procurement of Door-to-Door Delivery of Materials and Equipment for the Reproduction of Self-Learning Modules in the schools under DepEd Southern Leyte Lots 1-23 1.	The Department of Education, Division of Southern Leyte, through</t>
  </si>
  <si>
    <t xml:space="preserve"> Republic of the Philippines Province of Davao Oriental City of Mati BIDS &amp; AWARDS COMMITTEE INVITATION TO BID LOT Procurement of OFFICE SUPPLIES and EQUIPMENT for the Use of the Provincial Engineer’s Office SOURCE OF FUND: GENERAL FUND [8751-200-5-02-03-0</t>
  </si>
  <si>
    <t xml:space="preserve"> INVITATION TO BID SUPPLY AND DELIVERY OF IT EQUIPMENT AND ACCESSORIES FOR VARIOUS LAW ENFORCEMENT AGENCIES – 2ND BIDDING 1.	The Local Government Unit of Cabadbaran City through the PEACE &amp; ORDER FUND intends to apply the sum of TWO HUNDRED EIGHTY THOUSAND</t>
  </si>
  <si>
    <t xml:space="preserve"> Department of Public Works and Highways Contract ID	:	20MH0117 Contract Name	:	Concreting Local Road, PurokNarra, Brgy.Poblacion, Sultan Kudarat Contract Location	:	Lebak, Sultan Kudarat Department of Public Works and Highways Sultan Kudarat 2ndDistrict E</t>
  </si>
  <si>
    <t xml:space="preserve"> INVITATION TO APPLY FOR ELIGIBILITY AND TO BID THE BIDS AND AWARD COMMITTEE OF THE MUNICIPALITY OF CAIBIRAN, BILIRAN IS INVITING ALL INTERESTED BIDDERS ON ITS FORTHCOMING PUBLIC BIDDING FOR: Project Title	             : Local Road Upgrading &amp; Rehabilitati</t>
  </si>
  <si>
    <t xml:space="preserve"> Standard Form No. SF INFR-05	                     Project Reference No.: CATCAM-2020-28 Revised on July 28,2004                   	            Name of Project: MUNICIPAL EVACUATION CENTER                                                                    </t>
  </si>
  <si>
    <t xml:space="preserve"> Department of Public Works and Highways Contract ID	:	20MH0119 Contract Name	:	Concreting of Upper Balayan to Kinadao, Barangay Badiangon, Palimbang, Sultan Kudarat Contract Location	:	Palimbang, Sultan Kudarat Department of Public Works and Highways Sult</t>
  </si>
  <si>
    <t xml:space="preserve"> for Procurements of Manhaul Vehicle</t>
  </si>
  <si>
    <t xml:space="preserve"> Department of Public Works and Highways Contract ID	:	20MH0116 Contract Name	:	Concreting of Upper Balayan to Kidanao, Barangay Basak, Lebak, Sultan Kudarat Contract Location	:	Lebak, Sultan Kudarat Department of Public Works and Highways Sultan Kudarat 2</t>
  </si>
  <si>
    <t xml:space="preserve"> Bidders should have completed from Y2015 to present a contract similar to the requirement.  The Eligibility Check/Screening and Preliminary Examination of Bids shall use non-discretionary “pass/fail” criterion. Bidding is restricted to Filipino citizens, </t>
  </si>
  <si>
    <t xml:space="preserve"> Name of Project	:	PROCUREMENT OF OFFICE SUPPLIES, DEVICES AND CONSUMABLES FOR DENR-PENRO PALAWAN Place of Delivery	:	PENRO Office, Bgy. Sta. Monica, Puerto Princesa City Brief Description	:	Supply and Delivery of: 		LOT 1:  Common Electrical, Lighting and</t>
  </si>
  <si>
    <t xml:space="preserve"> Republic of the Philippines National Kidney and Transplant Institute Bids and Awards Committee East Avenue, Quezon City 1100 981-0300 / 981-0400 local 1157 http://www.nkti.gov.ph/	 INVITATION TO BID for the ITB No. 20-079 ONE (1) LOT SUPPLY AND DELIVERY O</t>
  </si>
  <si>
    <t xml:space="preserve"> To procure goods for the 10th Cycle implementation of Supplementary Feeding Program in the Municipality of San Vicente, Ilocos Sur</t>
  </si>
  <si>
    <t xml:space="preserve"> INVITATION TO BID SUPPLY AND DELIVERY OF FUEL (GASOLINE) FOR SANGGUNIANG PANLUNGSOD OFFICE – 2ND BIDDING 1.	The Local Government Unit of Cabadbaran City through the GENERAL FUND intends to apply the sum of ONE HUNDRED THIRTY-SEVEN THOUSAND PESOS ONLY (P 1</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</si>
  <si>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</si>
  <si>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Department of Public Works and Highways Contract ID	:	20MH0120 Contract Name	:	Rehabilitation of Maligaya - Road Side, Barangay Sagasa, Esperanza, Sultan Kudarat Contract Location	:	Esperanza, Sultan Kudarat Department of Public Works and Highways Sultan </t>
  </si>
  <si>
    <t xml:space="preserve"> for the Month of July 2020</t>
  </si>
  <si>
    <t xml:space="preserve"> Differential Housing Assembly (Mitsubishi L300) Transmission Assembly (Mitsubishi Delica) Engine Assembly (Isuzu Elf 4HG1) Engine Assembly (Isuzu Elf 4BE1)</t>
  </si>
  <si>
    <t xml:space="preserve"> To procure goods for the 10th Cycle implementation of Supplementary Feeding Program in the Municipality of Galimuyod, Ilocos Sur</t>
  </si>
  <si>
    <t xml:space="preserve"> The Local Government Unit of the Island Garden City of Samal, through the General Funds intends to apply the sum of Four Million Nine Hundred Twenty One Thousand Five Hundred Sixty Pesos only (₱4,921,560.00) being the Approved Budget for the Contract (ABC</t>
  </si>
  <si>
    <t xml:space="preserve"> Republic of the Philippines PROVINCE OF NUEVA VIZCAYA 2nd Invitation to Bid for the  CONCRETING OF KINACAO-KURASAY-KINALABASA ROAD Located at Bagabag, Nueva Vizcaya  1.	The Provincial Government of Nueva Vizcaya, through the 2020 20% Development Fund inte</t>
  </si>
  <si>
    <t xml:space="preserve"> Various Office Supplies to be used by different municipal offices</t>
  </si>
  <si>
    <t xml:space="preserve"> Const. of Two Storey Building (Dimension: 22.50m x 9.40m) made of concrete, masonry works, C- Joist suspended slabs, steel &amp; galva iron roofing sheets complete with ceilings, metal hanger &amp; nailers, paintings, plumbing &amp; sanitary fixtures, doors &amp; windows</t>
  </si>
  <si>
    <t xml:space="preserve"> Invitation to Bid for the supply &amp; delivery of Traffic Cones &amp; Traffic Signage as requested by the Transportation Development &amp; Regulatory Office, Batangas City</t>
  </si>
  <si>
    <t xml:space="preserve"> Standard Form No. SF INFR-05	                    Project Reference No.: CATCAM-2020-30 Revised on July 28,2004                   	            Name of Project: UPGRADING OF MUNICIPAL                                                                          </t>
  </si>
  <si>
    <t xml:space="preserve"> Republic of the Philippines Province of Cotabato Municipality of Makilala OFFICE OF THE BIDS &amp; AWARDS COMMITTEE INVITATION TO BID #2020-037 The Municipality of Makilala, funded by the  Municipal Government to apply for the  Concreting of Roads to Resettle</t>
  </si>
  <si>
    <t xml:space="preserve"> Please see attached ITB.</t>
  </si>
  <si>
    <t xml:space="preserve"> Invitation to Bid for the supply, delivery &amp; installation of various Airconditioning units for use of different offices of Batangas City Government</t>
  </si>
  <si>
    <t xml:space="preserve"> Section I. Invitation to Bid FOR THE UPLB-S-051-09-20  SUPPLY, DELIVERY AND INSTALLATION OF  BRAND NEW VARIOUS FURNITURE 1.	The UNIVERSITY OF THE PHILIPPINES LOS BAÑOS (UPLB), through the GOP intends to apply the sum of ONE MILLION NINE HUNDRED NINETY-FOU</t>
  </si>
  <si>
    <t xml:space="preserve"> Invitation to Bid for the supply &amp; delivery of Various Printing Materials for use of different offices of Batangas City Government</t>
  </si>
  <si>
    <t xml:space="preserve"> Republic of the Philippines Province of Romblon MUNICIPALITY OF STA. MARIA Invitation to Bid for Concreting of Farm to Market Road at Agbunyog, Concepcion Sur   1.	The Local Government Unit of Sta. Maria, Romblon through the Trust Fund 2020 (LGSF-FA) inte</t>
  </si>
  <si>
    <t xml:space="preserve"> The National Food Authority (NFA) Regional Office V, through its Infrastructure and PHF Machineries Capital Outlay Budget with ASA No. 2020-TRSD-V-Tabaco, Albay-004  intends to apply the sum of PESOS: FOUR MILLION EIGHT HUNDRED EIGHTEEN THOUSAND TWO HUNDR</t>
  </si>
  <si>
    <t xml:space="preserve"> The Local Government Unit of the Island Garden City of Samal, through the General Funds intends to apply the sum of One Million Fifty Eight Thousand Three Hundred Sixty Eight Pesos and Eighty Eight Centavos only (₱1,058,364.88) being the Approved Budget f</t>
  </si>
  <si>
    <t xml:space="preserve"> Complete const. of stage roofing (dimension: 16.0m x 5.50m) made of reinforced concrete masonry and structural steel trusses and metal sheet roofings &amp; accessories complete with ceilings, metal hangers &amp; nailers, sanitary &amp; plumbing lines &amp; fixtures, tile</t>
  </si>
  <si>
    <t xml:space="preserve"> Standard Form No. SF INFR-05	                   Project Reference No.: CATCAM-2020-31 Revised on July 28,2004                   	            Name of Project: CONSTRUCTION OF WAREHOUSE                                                                        </t>
  </si>
  <si>
    <t xml:space="preserve"> Standard Form No. SF INFR-05	                     Project Reference No.: CATCAM-2020-29 Revised on July 28, 2004                   	             Name of Project: UPGRADING OF MUNICIPAL                                                                       </t>
  </si>
  <si>
    <t xml:space="preserve"> Const. of Stage with dressing room (dimension:  8.0m x 7.0m) complete with reinforced foundation, columns, beams and slab on grades, masonry works, steel trusses &amp; metal sheet roofing &amp; accessories, doors and windows, ceiling, paintings, electrical system</t>
  </si>
  <si>
    <t xml:space="preserve"> The Local  Government   Unit  of General  Santos  City, through  the  GENERAL FUND CY 2020  intends  to apply  the sum of three hundred sixty five thousand three hundred seventy six and 92 / 100 Pesos Only (365,376.92)   being  the Approved  Budget  for t</t>
  </si>
  <si>
    <t xml:space="preserve"> Section I. Invitation to Bid Republic of the Philippines PROVINCE OF CAGAYAN Municipality of Peñablanca PROVINCIAL BIDS AND AWARDS COMMITTEE INVITATION TO BID FOR  Supply and Delivery of 40 Units Brand New Motorcycle 1.	The Provincial Government of Cagaya</t>
  </si>
  <si>
    <t xml:space="preserve"> The Local Government Unit of the Island Garden City of Samal, through the General Funds intends to apply the sum of One Million Pesos only (₱1,000,000.00) being the Approved Budget for the Contract (ABC) to payments under the contract for Purchase of Data</t>
  </si>
  <si>
    <t xml:space="preserve"> Vitamin Supplements to be used for preventive measures to fight Covid-19 virus diseases</t>
  </si>
  <si>
    <t xml:space="preserve"> Section I. Invitation to Bid Republic of the Philippines PROVINCE OF CAGAYAN Municipality of Peñablanca PROVINCIAL BIDS AND AWARDS COMMITTEE INVITATION TO BID FOR  Procurement of Supplementary Components of the Real Property Tax Management of the Provinci</t>
  </si>
  <si>
    <t xml:space="preserve"> The Local Government Unit of the Island Garden City of Samal, through the General Funds intends to apply the sum of One Million Eight Hundred Twenty Eight Thousand Eight Pesos only (₱1,828,008.00) being the Approved Budget for the Contract (ABC) to paymen</t>
  </si>
  <si>
    <t xml:space="preserve"> INVITATION TO  BID # 019-2020    The Municipal Government  of Aguilar, through its Bids and Awards Committee (BAC) invites suppliers/ manufacturers/contractors to bid for the hereunder project:.    Name of the Project: CONCRETE PAVING OF LAOAG FARM TO MAR</t>
  </si>
  <si>
    <t xml:space="preserve"> Republic of the Philippines   Province of Sarangani  Municipality of Alabel    Invitation to Bid for the Improvement and Rehabilitation of Public Market Facilities 1.The Municipality of Alabel, through the Annual Investment Plan for Calendar Year 2019 int</t>
  </si>
  <si>
    <t xml:space="preserve"> INVITATION TO  BID # 020-2020    The Municipal Government  of Aguilar, through its Bids and Awards Committee (BAC) invites suppliers/ manufacturers/contractors to bid for the hereunder project:.    Name of the Project: CONCRETE PAVING OF CALSIB-BAYAOAS TO</t>
  </si>
  <si>
    <t xml:space="preserve"> Section I. Invitation to Bid Republic of the Philippines PROVINCE OF CAGAYAN Municipality of Peñablanca PROVINCIAL BIDS AND AWARDS COMMITTEE INVITATION TO BID FOR  Supply and Delivery of 1 Unit Brand New Pick Up Truck, 4x2, A/T 1.	The Provincial Governmen</t>
  </si>
  <si>
    <t xml:space="preserve"> Rehabilitation/Concreting/Widening of Provincial Road</t>
  </si>
  <si>
    <t xml:space="preserve"> INVITATION TO  BID # 023-2020    The Municipal Government  of Aguilar, through its Bids and Awards Committee (BAC) invites suppliers/ manufacturers/contractors to bid for the hereunder project:.    Name of the Project: CONCRETE PAVING OF BUER-CALSIB FARM </t>
  </si>
  <si>
    <t xml:space="preserve"> The Local Government Unit of the Island Garden City of Samal, through the General Funds intends to apply the sum of One Million Thirty Nine Thousand Eighty Pesos and Forty Centavos only (₱1,039,080.40) being the Approved Budget for the Contract (ABC) to p</t>
  </si>
  <si>
    <t xml:space="preserve"> Republic of the Philippines Province of Nueva Vizcaya Municipality of Bambang -oOo- INVITATION TO BID The Local Government Unit of Bambang, through the 20% Development Fund (6910 – Purchase of Backhoe Crawler) intends to apply the sum of FIVE MILLION TWO </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</si>
  <si>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</si>
  <si>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INVITATION TO  BID # 022-2020    The Municipal Government  of Aguilar, through its Bids and Awards Committee (BAC) invites suppliers/ manufacturers/contractors to bid for the hereunder project:.    Name of the Project: CONCRETE PAVING OF SAN JOSE FARM TO </t>
  </si>
  <si>
    <t xml:space="preserve"> Republic of the Philippines Province of Romblon MUNICIPALITY OF STA. MARIA Invitation to Bid for Concreting of Farm to Market Road in Malag-Alag, Concepcion Norte   1.	The Local Government Unit of Sta. Maria, Romblon through the Trust Fund 2020 (LGSF-FA) </t>
  </si>
  <si>
    <t xml:space="preserve"> Construction/ Repair/ Rehabilitation/ Improvement of Various Infrastructure Including Local Projects - Rehabilitation of Barangay Multi-Purpose Hall, Baguio City Contract Location :	St. Joseph Village, Baguio City Approved Budget for the Contract :	Php1,9</t>
  </si>
  <si>
    <t xml:space="preserve"> The Local Government Unit of the Island Garden City of Samal, through the General Funds intends to apply the sum of Eight Hundred Eighty Five Thousand Nine Hundred Thirteen Pesos and Twenty Five Centavos only (₱885,913.25) being the Approved Budget for th</t>
  </si>
  <si>
    <t xml:space="preserve"> Demolition, replacement and extension of roof purlins, metal sheets roofing &amp; accessories, additional fabrication and installation of steel column- truss including electrical system, R.C. pedestals, paintings, roof and storm drainage with catch basins (P.</t>
  </si>
  <si>
    <t xml:space="preserve"> CONSTRUCTION OF ROAD PROTECTION, 20%</t>
  </si>
  <si>
    <t xml:space="preserve"> 1.	The SULTAN KUDARAT WATER DISTRICT, through the CORPORATE BUDGET APPROVED BY THE GOVERNING BOARD  intends to apply the sum of P 2,773,497.92 being the Approved Budget for the Contract (ABC) to payments under the contract for CONSTRUCTION OF PIPEBRIDGE A</t>
  </si>
  <si>
    <t xml:space="preserve"> INVITATION TO  BID # 026-2020    The Municipal Government  of Aguilar, through its Bids and Awards Committee (BAC) invites suppliers/ manufacturers/contractors to bid for the hereunder project:.    Name of the Project: CONSTRUCTION OF CONTAINMENT AREA   L</t>
  </si>
  <si>
    <t xml:space="preserve"> Department of Public Works and Highways (DPWH) Contract ID: 20MB0046 Contract Name&amp; Location:  Construction of Multi-Purpose Building (Infirmary), Brgy. Poblcaion, Tampakan, South Cotabato  SOUTH COTABATO 1ST DISTRICT ENGINEERING OFFICE Tindalo St. Balite</t>
  </si>
  <si>
    <t xml:space="preserve"> The Local Government Unit of the Island Garden City of Samal, through the 5% LDRRM Funds intends to apply the sum of Two Million Five Hundred Thousand Pesos only (₱2,500,000.00) being the Approved Budget for the Contract (ABC) to payments under the contra</t>
  </si>
  <si>
    <t xml:space="preserve"> (Project Nr: GAA-VMMC-UVES-R2-2019) 1.	The Department of National Defense (DND) - Veterans Memorial Medical 	Center(VMMC), through the 2019 General Appropriation Act of the 	Government of the Philippines (RA 10964) intends to apply the sum of ONE 	HUNDRED</t>
  </si>
  <si>
    <t xml:space="preserve"> The Local Government Unit of the Island Garden City of Samal, through the Trust Funds intends to apply the sum of Five Million Pesos only (₱5,000,000.00) being the Approved Budget for the Contract (ABC) to payments under the contract for Purchase of One U</t>
  </si>
  <si>
    <t xml:space="preserve"> Local Infrastructure Program – Construction of School Covered Court Manuel L. Quezon Elementary School, Brgy. Upper Session Road, Baguio City, Benguet Contract Location :	Manuel L. Quezon E/S, Upper Session Road, Baguio City Approved Budget for the Contra</t>
  </si>
  <si>
    <t xml:space="preserve"> The Local Government Unit of the Island Garden City of Samal, through the Trust Fund CY 2020 intends to apply the sum of Nineteen Million Seven Hundred Fifty Nine Thousand Seven Hundred Eighty One Pesos and Twenty Nine Centavos (₱19,759,781.29) being the </t>
  </si>
  <si>
    <t xml:space="preserve"> Please quote your lowest price inclusive of VAT on the item/s listed below,subject to the terms and conditions of this RFQ, and submit your quotation duly signed by your representative not later than August 25,2020,at Uwisan Elementary School,Uwisan Calam</t>
  </si>
  <si>
    <t xml:space="preserve"> INVITATION TO  BID # 024-2020    The Municipal Government  of Aguilar, through its Bids and Awards Committee (BAC) invites suppliers/ manufacturers/contractors to bid for the hereunder project:.    Name of the Project: CONCRETE PAVING OF POGONSILI (Adarna</t>
  </si>
  <si>
    <t xml:space="preserve"> I ITEM I and II     A. Materials                Free                   952 cu.m     B. Equipment Required:                           2 units Dump-truck           Government Vehicle                           1 unit  Pay Loader            Government Heavy E</t>
  </si>
  <si>
    <t xml:space="preserve"> INVITATION TO  BID # 025-2020    The Municipal Government  of Aguilar, through its Bids and Awards Committee (BAC) invites suppliers/ manufacturers/contractors to bid for the hereunder project:.    Name of the Project: CONCRETE PAVING OF ROAD SHOULDER AT </t>
  </si>
  <si>
    <t xml:space="preserve"> 1.	The Department of National Defense/Armed Forces of the Philippines (DND/AFP), through the AFP Modernization Act Trust Fund, intends to apply the sum of TWO HUNDRED FORTY SIX MILLION PESOS (Php 246,000,000.00) being the Approved Budget for the Contract </t>
  </si>
  <si>
    <t xml:space="preserve"> Invitation to Bid for the supply &amp; delivery of Goods &amp; Commodities for use of the City Social Welfare &amp; Development Office, Batangas City</t>
  </si>
  <si>
    <t xml:space="preserve"> Department of Public Works and Highways (DPWH) Contract ID: 20MB0156 Contract Name&amp; Location:  Concreting of Brgy. Upper Labay FMR, Brgy. Upper Labay, General Santos City, South Cotabato SOUTH COTABATO 1ST DISTRICT ENGINEERING OFFICE Tindalo St. Balite, B</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</si>
  <si>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</si>
  <si>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INVITATION TO  BID # 027-2020    The Municipal Government  of Aguilar, through its Bids and Awards Committee (BAC) invites suppliers/ manufacturers/contractors to bid for the hereunder project:.    Name of the Project: CONSTRUCTION OF CANAL AT RURAL HEALT</t>
  </si>
  <si>
    <t xml:space="preserve"> INVITATION TO  BID # 029-2020    The Municipal Government  of Aguilar, through its Bids and Awards Committee (BAC) invites suppliers/ manufacturers/contractors to bid for the hereunder project:.    Name of the Project: PURCHASE OF VARIOUS OFFICE EQUIPMENT</t>
  </si>
  <si>
    <t xml:space="preserve"> Department of Public Works and Highways (DPWH) Contract ID: 20MB0138 Contract Name&amp; Location:  Construction of Multi-Purpose Building, Brgy. Buayan, General Santos City, South Cotabato SOUTH COTABATO 1ST DISTRICT ENGINEERING OFFICE Tindalo St. Balite, Brg</t>
  </si>
  <si>
    <t xml:space="preserve"> Republic of the Philippines Department of Science and Technology PHILIPPINE SCIENCE HIGH SCHOOL -  CENTRAL MINDANAO CAMPUS BIDS AND AWARDS COMMITTEE Nangka, Balo-i, Lanao del  Norte Telephone Nos. (063) 836-0098 www.cmc.pshs.edu.ph INVITATION TO BID FOR S</t>
  </si>
  <si>
    <t xml:space="preserve"> The National Food Authority (NFA), Southern Tagalog Regional Office (Region IV), through the NFA Corporate Operating Budget for 2020, intends to apply the sum of One million three hundred twenty thousand pesos (P 1,320,000.00) being the Approved Budget fo</t>
  </si>
  <si>
    <t xml:space="preserve"> 1 Lot Rehabilitation and Upgrading of Multi Species  Fish  Hatchery  1. The Bureau of Fisheries and Aquatic Resources-Regional Fisheries Office I, through the General Appropriation Act (GAA) of 2020 intends to apply the sum of Two Million Four Hundred Tho</t>
  </si>
  <si>
    <t xml:space="preserve"> IMPROVEMENT OF MULTI-PURPOSE HALL,  20%</t>
  </si>
  <si>
    <t xml:space="preserve"> CONCRETING OF FARM-TO-MARKET ROAD,  20%</t>
  </si>
  <si>
    <t xml:space="preserve"> INVITATION TO BID FOR PROPOSED MULTI-PURPOSE COVERED COURT OF NIA INIMO PHASE II  REFERENCE NO. INIMO-2020-08-042 1.	The National Irrigation Administration –Ilocos Norte Irrigation Management Office, through the CY 2020 General Appropriation Act (GAA) int</t>
  </si>
  <si>
    <t xml:space="preserve"> The Local Government Unit of the Island Garden City of Samal, through the General Funds intends to apply the sum of Two Million Nine Hundred Twenty Three Thousand Two Hundred Ninety Pesos and Forty Five Centavos only (₱2,923,290.45) being the Approved Bud</t>
  </si>
  <si>
    <t xml:space="preserve"> Repair of 3 classrooms</t>
  </si>
  <si>
    <t xml:space="preserve"> CONCRETING OF PATHWALK,  20%</t>
  </si>
  <si>
    <t xml:space="preserve"> Department of Public Works and Highways (DPWH) Contract ID: 20MB0047 Contract Name&amp; Location:  Construction of Multi-Purpose Building within Government Center, City Hall Drive, General Santos City, South Cotabato  SOUTH COTABATO 1ST DISTRICT ENGINEERING O</t>
  </si>
  <si>
    <t xml:space="preserve"> INVITATION TO  BID # 028-2020    The Municipal Government  of Aguilar, through its Bids and Awards Committee (BAC) invites suppliers/ manufacturers/contractors to bid for the hereunder project:.    Name of the Project: CONSTRUCTION OF SLOPE PROTECTION AT </t>
  </si>
  <si>
    <t xml:space="preserve"> Republic of the Philippines PROVINCE OF DAVAO ORIENTAL MUNICIPALITY OF SAN ISIDRO Barangay Cambaleon  INVITATION TO BID FOR THE PROCUREMENT OF CIVIL WORKS OF CONSTRUCTION OF DOUBLE BARREL BOX CULVERT AND DESILTING OF RIVER.  1.	The Barangay Cambaleon, Mun</t>
  </si>
  <si>
    <t xml:space="preserve"> SUPPLY AND DELIVERY OF BROADCAST TRANSMITTERS, ANTENNA SYSTEM AND VARIOUS COMMUNICATION EQUIPMENT AND ACCESSORIES FOR THE ESTABLISHMENT  OF RADIO BROADCAST STATION FACILITY</t>
  </si>
  <si>
    <t xml:space="preserve"> Repair and Rehabilitation of School Buildings, 7 Classrooms</t>
  </si>
  <si>
    <t xml:space="preserve"> as per BSP Technical Specifications</t>
  </si>
  <si>
    <t xml:space="preserve"> Republic of the Philippines Province of Quezon City Government of Tayabas INVITATION TO BID FOR PROJECT # 20-078 CIVIL WORKS FOR CONSTRUCTION OF NCDC PARKING AND OTHER FACILITY   – BRGY. POTOL, CITY OF TAYABAS. 1.	The City Government of Tayabas, through t</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</si>
  <si>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</si>
  <si>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Republic of the Philippines City of Dapitan BIDS AND AWARDS COMMITTEE INVITATION TO BID August 17, 2020 	 The City Government of Dapitan, through its Bids and Awards Committee (BAC), invites interested parties to apply for eligibility and, if found eligib</t>
  </si>
  <si>
    <t xml:space="preserve"> Republic of the Philippines Province of Northern Samar MUNICIPALITY OF LAOANG 6411 E. Lagrimas St. Barangay Guilaoangi, Laoang, N. Samar Invitation to Bid for the Rehabilitation of Catholic Cemetery Access Road (Phase 2) 1.	The Local Government Unit of La</t>
  </si>
  <si>
    <t xml:space="preserve"> Concreting of .150m thk x 62.88 sq. m. pavement for shoulder</t>
  </si>
  <si>
    <t xml:space="preserve"> Republic of the Philippines Province of Quezon City Government of Tayabas INVITATION TO BID FOR PROJECT # 20-032 - CIVIL WORKS FOR CONSTRUCTION OF MULTI-PURPOSE BUILDING PHASE II (TIFARC) – BRGY. MASIN, CITY OF TAYABAS. 1.	The City Government of Tayabas, </t>
  </si>
  <si>
    <t xml:space="preserve"> Upgrading Electrification and Modernization of Electrical Systems of Bayugan Central Elementary School and SPED Center</t>
  </si>
  <si>
    <t xml:space="preserve"> Upgrading Electrification and Modernization of Electrical Systems of East Bayugan Central Elementary School</t>
  </si>
  <si>
    <t xml:space="preserve"> Republic of the Philippines Province of Quezon City Government of Tayabas INVITATION TO BID FOR PROJECT # 20-077 CIVIL WORKS FOR CONSTRUCTION OF IRRIGATION CANAL  – BRGY. OPIAS, CITY OF TAYABAS. 1.	The City Government of Tayabas, through the 20% Developme</t>
  </si>
  <si>
    <t xml:space="preserve"> Republic of the Philippines Province of Quezon City Government of Tayabas INVITATION TO BID FOR PROJECT # 20-065 CIVIL WORKS FOR CONSTRUCTION OF PHARMACIA DE TAYABAS  – BRGY. SAN DIEGO ZONE-1, TAYABAS CITY. 1.	The City Government of Tayabas, through the G</t>
  </si>
  <si>
    <t xml:space="preserve"> SEE ATTACHED INVITATION TO BID AND BIDDING DOCUMENTS</t>
  </si>
  <si>
    <t xml:space="preserve"> educational materials</t>
  </si>
  <si>
    <t xml:space="preserve"> Republic of the Philippines Province of Northern Samar MUNICIPALITY OF LAOANG E. Lagrimas St. Barangay Guilaoangi, Laoang, N. Samar Invitation to Bid for the PROPOSED CONSTRUCTION AND IMPROVEMENT OF MUNICIPAL STEP LANDING (CONCRETE STEP LANDING, RIVER CON</t>
  </si>
  <si>
    <t xml:space="preserve"> Republic of the Philippines Province of Northern Samar MUNICIPALITY OF LAOANG 6411 E. Lagrimas St. Barangay Guilaoangi, Laoang, N. Samar Invitation to Bid for the  CONSTRUCTION/IMPROVEMENT OF GIRAY STREET (71 ln.m. PCCP, 71 ln.m. Drainage Canal) Barangay </t>
  </si>
  <si>
    <t xml:space="preserve"> Procurement of Flat-bed trolley for UNIFAST Office use Flat-bed Trolley Qty: 2 Specifications 4 Wheel Cart At least 300kg load capacity Foldable for storage space and making the trolley easy top transport PLEASE DOWNLOAD THE ATTACHED ASSOCIATED COMPONENT </t>
  </si>
  <si>
    <t xml:space="preserve"> Republic of the Philippines Province of Quezon City Government of Tayabas INVITATION TO BID FOR PROJECT # 20-056 - CIVIL WORKS FOR CONSTRUCTION OF HIGH SCHOOL PERIMETER FENCE – BRGY POTOL, CITY OF TAYABAS. 1.	The City Government of Tayabas, through the Sp</t>
  </si>
  <si>
    <t xml:space="preserve"> Republic of the Philippines Province of Quezon City Government of Tayabas INVITATION TO BID FOR PROJECT # 20-064 CIVIL WORKS FOR CONSTRUCTION OF MULTI-PURPOSE BUILDING PHASE 2   – BRGY. IPILAN, TAYABAS CITY. 1.	The City Government of Tayabas, through the </t>
  </si>
  <si>
    <t xml:space="preserve"> Repair of 5 classrooms</t>
  </si>
  <si>
    <t xml:space="preserve"> Department of Public Works and Highways (DPWH) Contract ID: 20MB0157 Contract Name&amp; Location:  Concreting of Brgy. San Jose FMR, Brgy. San Jose, General Santos City, South Cotabato SOUTH COTABATO 1ST DISTRICT ENGINEERING OFFICE Tindalo St. Balite, Brgy. L</t>
  </si>
  <si>
    <t xml:space="preserve"> Procurement of extension wires for UNIFAST Office use Extension Wire Qty: 11 Specifications: Input Voltage: 220V-230V Number of Outlets: 12 At least 6ft cable length With power indicator With Switch PLEASE DOWNLOAD THE ATTACHED ASSOCIATED COMPONENT (REQUE</t>
  </si>
  <si>
    <t xml:space="preserve"> Upgrading Electrification and Modernization of Electrical Systems of Calaitan NHS</t>
  </si>
  <si>
    <t xml:space="preserve"> Republic of the Philippines Province of Quezon City Government of Tayabas INVITATION TO BID FOR PROJECT # 20-037 - CIVIL WORKS FOR IMPROVEMENT/CONCRETING OF CITY ROAD/LINE CANAL – BRGY. LITA, CITY OF TAYABAS. 1.	The City Government of Tayabas, through the</t>
  </si>
  <si>
    <t xml:space="preserve"> Upgrading Electrification and Modernization of Electrical Systems of Magkiangkang National High School</t>
  </si>
  <si>
    <t xml:space="preserve"> MUNICIPAL RESOLUTION NO. 21 S. 2019  MUNICIPAL ORDINANCE NO. 01 S. 2019</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</si>
  <si>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</si>
  <si>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</si>
  <si>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2 licenses Creative Cloud Team-Full Apps for 1yr subscription  •	set of applications and services that gives subscribers access to a collection of software used for graphic design, video editing, web development, photography, along with a set of mobile ap</t>
  </si>
  <si>
    <t xml:space="preserve"> Upgrading Electrification and Modernization of Electrical Systems of Mt. Olive NHS</t>
  </si>
  <si>
    <t xml:space="preserve"> 14 Fire Hose and Fire Hydrant Key</t>
  </si>
  <si>
    <t xml:space="preserve"> Maintenance of CCTV</t>
  </si>
  <si>
    <t xml:space="preserve"> Street Barrier</t>
  </si>
  <si>
    <t xml:space="preserve"> INVITATION TO BID PROCUREMENT OF TWENTY-FOUR (24) MONTHS SUPPORT AND MAINTENANCE SERVICE FOR THE DATA CENTER EQUIPMENT OF THE BUREAU OF CUSTOMS (BOC) Bid Reference No.: GPG-B1-2020-395 – REBID  (Previous Bid Refence No. - GPG-B1-2020-078) Approved Budget </t>
  </si>
  <si>
    <t xml:space="preserve"> Boundary Marker</t>
  </si>
  <si>
    <t xml:space="preserve"> Invitation to Bid for the Procurement of Door-to-Door Delivery of Additional Materials and Equipment for the Reproduction of Self-Learning Modules in the schools under DepEd Southern Leyte 1.	The Department of Education, Division of Southern Leyte, throug</t>
  </si>
  <si>
    <t xml:space="preserve"> 3 Gate of Barangay Complex</t>
  </si>
  <si>
    <t xml:space="preserve"> I. ITEM I and II   A. Materials:                             FREE           953 CU.M B. Equipment Required:                 2 units        Dump-truck                Government Vehicle                 1 unit          Pay-loader                  Government </t>
  </si>
  <si>
    <t xml:space="preserve"> Lot 2: Contract No.:                20%EDF2020G2 Contract Name: 	          Supply and Delivery of Pulverizing  Machine (Bottles) Electric Engine  ABC:  	    	          Php 500,000.00 Delivery Period:	          30 Calendar Days Pre-bid Conference:	  August</t>
  </si>
  <si>
    <t xml:space="preserve"> Please see the link to bidding documents under "Other Information".</t>
  </si>
  <si>
    <t xml:space="preserve"> Republic of the Philippines Province of Davao Oriental City of Mati BIDS &amp; AWARDS COMMITTEE INVITATION TO BID LOT Procurement of SPAREPARTS and REPAIR for the Use of KIA Bongo Vehicle (Drop Side Cargo) SOURCE OF FUND: OLF[1999Z4A-200-5-02-13-960-01] 1.	Th</t>
  </si>
  <si>
    <t xml:space="preserve"> RENOVATION / IMPROVEMENT OF SANGGUNIANG BAYAN SESSION HALL</t>
  </si>
  <si>
    <t xml:space="preserve"> 1.	The Local Government Unit of Kabacan, through the Economic Development Fund 2020  intends to apply the sum of PhP 4,500,000.00 being the Approved Budget for the Contract (ABC) to payments under the contract for Completion of Multi-Purpose Building at B</t>
  </si>
  <si>
    <t xml:space="preserve"> Republic of the Philippines Pangasinan State University Lingayen, Pangasinan INVITATION TO BID FOR THE REPAIR OF MULTI-MEDIA CLASSROOM – LINGAYEN CAMPUS (EQUIPMENT) 1.	The Pangasinan State University, through the Fund 101 (GAA) intends to apply the sum of</t>
  </si>
  <si>
    <t xml:space="preserve"> Republic of the Philippines Province of Davao Oriental City of Mati BIDS &amp; AWARDS COMMITTEE INVITATION TO BID Procurement of 6,000 KILOS ROOTCROPS (Purple Ube and Taro or ColocasiaEsculenta) for Use in NLD-Forest Landscape Restoration for Sustainable Deve</t>
  </si>
  <si>
    <t xml:space="preserve"> Republic of the Philippines Province of Davao Oriental City of Mati BIDS &amp; AWARDS COMMITTEE INVITATION TO BID Procurement of 25,000 Pieces ABACA SUCKERS/SHOOTS for Use in NLD-Forest Landscape Restoration for Sustainable Development (NLD-FLRSD) Program Ami</t>
  </si>
  <si>
    <t xml:space="preserve"> Item No.	Unit	Description	Qty 1	Bag	Cement	570 2	cu.m	Gravel crushed 3/4	16 3	cu.m	Sand Washed	49 4	pcs	CHB 6x8x16	3100 5	pcs	DEF stl bar 16mmO x 6m std	12 6	pcs	DEF stl bar 12mmO x 6m std	60 7	pcs	DEF stl bar 10mmO x 6m std	368 8	kgs	G.I tie wire # 16	34</t>
  </si>
  <si>
    <t xml:space="preserve"> Republic of the Philippines Pangasinan State University Lingayen, Pangasinan INVITATION TO BID FOR THE PROCUREMENT OF DIPLOMA FORMS, DIPLOMA JACKETS, OTR FORMS, ABARAY, SOUVENIR PROGRAMS, MEDALS AND PINS FOR THE 41ST UNIVERSITY COMMENCEMENT EXERCISES 1.	T</t>
  </si>
  <si>
    <t xml:space="preserve"> CONSTRUCTION OF HAND WASHING FACILITY WITH OVERHEAD WATER TANK IN DEP. ED. SCHOOLS</t>
  </si>
  <si>
    <t xml:space="preserve"> Street Light Pole 30feet, HDG, 76mm x 127mm x 2mm						 Double Arm for all Lamp Post, 5feet x 10feet						   LED Streetlight 100WAN-SLH6-100W						 Specs:						 Power = 100W						 LED Chip					 Chip Number = 2*44pcs						 Flux = 130lm/w						 CRI = 80				</t>
  </si>
  <si>
    <t xml:space="preserve"> Republic of the Philippines Pangasinan State University Lingayen, Pangasinan INVITATION TO BID FOR THE UPGRADING OF INFORMATION TECHNOLOGY LABORATORY ROOMS IN URDANETA CITY CAMPUS (EQUIPMENT) 1.	The Pangasinan State University, through the Fund 101 (GAA) </t>
  </si>
  <si>
    <t xml:space="preserve"> Air Freshener  280ML SPRAY	                                              30	TIN Alcohol 70% 500ml	                                                            100	BOT Apron cloth	                                                                     40	PCS B</t>
  </si>
  <si>
    <t xml:space="preserve"> Contract No.:                20%EDF2020G1 Contract Name: 	          Supply and Delivery of Plastic Shredder (Pet Bottles) Gas Engine  ABC:  	    	          Php 400,000.00 Delivery Period:	          30 Calendar Days Pre-bid Conference:	  August 25, 2020 @ </t>
  </si>
  <si>
    <t xml:space="preserve"> The Barangay La Medalla, through its Bids and Committee (BAC) invites suppliers to apply for the hereunder project Project Ref. No.: 2020-08-001 Fund of Project: 20% BDF  Delivery Period: 14days Prospective bidders should possess valid PCVAB License appli</t>
  </si>
  <si>
    <t xml:space="preserve"> Republic of the Philippines Province of Davao Oriental City of Mati BIDS &amp; AWARDS COMMITTEE INVITATION TO BID Procurement of 4,624 LITERS DIESEL FUEL for the Use of the Government Vehicles under the Vice Governor’s Office SOURCE OF FUND: GENERAL FUND [101</t>
  </si>
  <si>
    <t xml:space="preserve"> Invitation to Bid for Construction of Drainage Canal  No. 2020-001 1. The Barangay Magsaysay Norte, through the Annual Budget 2020(General Fund) Approved by the Sanggunian intends to apply the sum of Eight Hundred Forty Six Thousand Pesos  (Php 846,000.00</t>
  </si>
  <si>
    <t xml:space="preserve"> Kindly see the Plan and specification</t>
  </si>
  <si>
    <t xml:space="preserve"> Procurement ID/Contract ID:	20GGD0004 Contract Name:	PROCUREMENT AND DELIVERY OF COPIER TO BE USED IN THE PLANNING AND DESIGN SECTION FOR THE CONDUCT OF FEASIBILITY STUDY/ PRE-FEASIBILITY STUDY/ PRELIMINARY AND DETAILED ENGINEERING (PDE) ACTIVITIES FOR TH</t>
  </si>
  <si>
    <t xml:space="preserve"> Section I. Invitation to Bid FOR THE UPLB-S-052-09-20  SUPPLY AND DELIVERY OF  DRUGS AND MEDICINES FOR UHS 1.	The UNIVERSITY OF THE PHILIPPINES LOS BAÑOS (UPLB), through the GOP intends to apply the sum of SIX HUNDRED SEVENTY-SIX THOUSAND FIVE HUNDRED TWE</t>
  </si>
  <si>
    <t xml:space="preserve"> kindly see the Plan and specification</t>
  </si>
  <si>
    <t xml:space="preserve"> Republic of the Philippines  Province of Cotabato Municipality of Arakan OFFICE OF THE BIDS &amp; AWARD COMMITTEE Invitation to Bid for Construction of Potable Water System Level II 1.	The Barangay Government of Anapolon, through the Trust Fund intends to app</t>
  </si>
  <si>
    <t xml:space="preserve"> The Barangay La Medalla, through its Bids and Committee (BAC) invites suppliers to apply for the hereunder project Project Ref. No.: 2020-08-001 Fund of Project: 20% BDF  Delivery Period: 15days Prospective bidders should possess valid PCVAB License appli</t>
  </si>
  <si>
    <t xml:space="preserve"> The Barangay La Medalla through its Bids and Award Committee (BAC) invites suppliers to apply for the hereunder project.  Project Reference No. 2020-08-001 Project Title: Rehabilitation of Streetlight System Location: La Medalla, Baao, Cam. Sur Fund: 20% </t>
  </si>
  <si>
    <t xml:space="preserve"> Republic of the Philippines Province of Davao Oriental City of Mati BIDS &amp; AWARDS COMMITTEE INVITATION TO BID (REBID) LOT Procurement of Vehicle Parts for the Use of Isuzu Elf SOURCE OF FUND: PGO [1011-200-5-02-13-060-01] 1.	The Provincial Government of D</t>
  </si>
  <si>
    <t xml:space="preserve"> Republic of the Philippines Province of Davao Oriental City of Mati BIDS &amp; AWARDS COMMITTEE INVITATION TO BID (REBID) LOT Procurement of VETERINARY SUPPLIES for Use in Provincial Livestock and Breeding Center at PARDC, Magay, City of Mati SOURCE OF FUND: </t>
  </si>
  <si>
    <t xml:space="preserve"> 1.Fencing Works 2. Single Phase Line Poles Works</t>
  </si>
  <si>
    <t xml:space="preserve"> 2. Procurement ID/Contract ID:	20GD0115 Contract Name:	CONCRETING OF FARM-TO-MILL ROAD, SITIO ESPERANZA, BRGY. BINUNTUCAN TO BRGY. CABUNGAHAN ROAD, PONTEVEDRA, CAPIZ Contract Location:	PONTEVEDRA, CAPIZ Brief Description :	CONCRETING OF FARM-TO-MILL ROAD </t>
  </si>
  <si>
    <t xml:space="preserve"> Republic of the Philippines Province of Davao Oriental City of Mati BIDS &amp; AWARDS COMMITTEE INVITATION TO BID LOT Procurement of SPAREPARTS and REPAIR for the Use of FORD RANGER Vehicle SOURCE OF FUND: OLF[1999Z4A-5-02-13-060-01] 1.	The Provincial Governm</t>
  </si>
  <si>
    <t xml:space="preserve"> 1. Procurement ID/Contract ID:	20GD0114 Contract Name:	CONCRETING OF BRGY. IBACA TO BRGY. ARANGUEL FMR, BRGY. IBACA AND BRGY. ARANGUEL, PRESIDENT ROXAS, CAPIZ Contract Location:	PRESIDENT ROXAS, CAPIZ Brief Description :	CONCRETING OF BRGY. IBACA TO BRGY.</t>
  </si>
  <si>
    <t xml:space="preserve"> Lot	1 Item No.		          Quantity	ABC in (Php) 	1	Whistle	     1,550	155,000.00 	2	Hard Hat	     1,550	542,500.00 	3	Megaphone	80	280,000.00 	4	Spine Board	2	14,000.00 	5	Flashlight	    1,550	930,000.00 Total	1,921,500.00 A complete set of Bidding Docume</t>
  </si>
  <si>
    <t xml:space="preserve"> Republic of the Philippines Pangasinan State University Lingayen, Pangasinan INVITATION TO BID FOR THE UPGRADING OF ENGINEERING AND TECHNOLOGY LABORATORIES OF THE PANGASINAN STATE UNIVERSITY (FURNITURES AND AIRCONDITION UNITS) 1.	The Pangasinan State Univ</t>
  </si>
  <si>
    <t xml:space="preserve"> Kindly see attached plan and specification</t>
  </si>
  <si>
    <t xml:space="preserve"> Republic of the Philippines Province of Davao Oriental City of Mati BIDS &amp; AWARDS COMMITTEE INVITATION TO BID (REBID) LOT Procurement of SPAREPARTS for the Use of Toyota Grandia of the Provincial Tourism Office SOURCE OF FUND: OLF [1999UB-200-5-02-13-060]</t>
  </si>
  <si>
    <t xml:space="preserve"> Republic of the Philippines  DEPARTMENT OF EDUCATION Region IV-MIMAROPA Division of Occidental Mindoro Mamburao, Occidental Mindoro  E-mail Address: bacdepedoksi@gmail.com  Project Reference No. DepEd-OcciMdo-2020-02 Date Posted: August 18, 2020 INVITATIO</t>
  </si>
  <si>
    <t xml:space="preserve"> Republic of the Philippines PROVINCE OF SAMAR Municipality of Pinabacdao Invitation to Bid Purchase and Installation of 100ft Tower Mast with 1 Unit VHF Repeater &amp; Accessories  Pinabacdao, Samar 1. The LOCAL GOVERMENT UNIT of Pinabacdao Samar, through the</t>
  </si>
  <si>
    <t xml:space="preserve"> Office of the Municipal Engineer		 16 PR Lug Tire 11 x 20  16 PR miler Tire 11 x 20	 12PR 13 x 24 -Road Grader Tire	 20PR 20.5 x 25 - Payloader	 20PR 23.1 x 26 - Road Roller	 MENRO		 16 PR Lug Tire 11 x 20  miler Tire 8.25 x 16</t>
  </si>
  <si>
    <t xml:space="preserve"> Supply and Installation of Solar Street Lights</t>
  </si>
  <si>
    <t xml:space="preserve"> INVITATION TO BID  PROCUREMENT FOR THE SUPPLY AND DELIVERY OF   FORTY-FIVE (45) UNITS LAPTOP COMPUTERS (BRANDED)  ITB No. EMB-GOODS-NCB-2020-0024 1.	The Environmental Management Bureau (EMB) Bids and Awards Committee (BAC), through FY  2020 General Approp</t>
  </si>
  <si>
    <t xml:space="preserve"> INVITATION TO BID FOR THE INSTALLATION OF 18 UNITS SOLAR PANEL FOR RHU BUILDING  Brgy. Poblacion, Buenavista, Quezon 1.	The Municipal Government of Buenavista, Quezon, through the DOH Fund intends to apply the sum of Five Hundred Thousand Pesos (P500,000.</t>
  </si>
  <si>
    <t xml:space="preserve"> Lot No.		Approved Budget for the Contract  			(Amount in Php) 									                 	                                                 		 1		115,516,583.22 		 2		188,104,895.96 	              3		113,572,176.83 		 		 4		154,755,660.03 		 			 			 Total		</t>
  </si>
  <si>
    <t xml:space="preserve"> Diesoline		 55,555.56 ltrs Gasoline		 10,300.00 ltrs</t>
  </si>
  <si>
    <t xml:space="preserve"> INVITATION TO BID Project Name:	Drilling of the Potable Water System &amp; Installation of Submersible Pump with Completer Accessories &amp; Pipelines Name of Bidder:	 Address :	 ITB Number:	Matiao - 001-20 ABC	P 899,370.00 Delivery Period	30 Calendar Days Please</t>
  </si>
  <si>
    <t xml:space="preserve"> Please see the attached file as your reference. Thank you.</t>
  </si>
  <si>
    <t xml:space="preserve"> Invitation for Negotiated Procurement for  Lower Sibuguey I RIS Extension Project- Package 3 CY 2016 Remaining Works Diplahan, Zamboanga Sibugay 1.	The National Irrigation Administration – Zamboanga Sibugay Irrigation Management Office, Region 9, through </t>
  </si>
  <si>
    <t xml:space="preserve"> Republic of the Philippines Province of Quezon City Government of Tayabas INVITATION TO BID FOR PROJECT # 20-080 CIVIL WORKS FOR IMPROVEMENT/CONCRETING OF FARM TO MARKET ROAD   – BRGY. LAKAWAN, CITY OF TAYABAS. 1.	The City Government of Tayabas, through t</t>
  </si>
  <si>
    <t xml:space="preserve"> Republic of the Philippines Province of Quezon City Government of Tayabas INVITATION TO BID FOR PROJECT # 20-015 - CIVIL WORKS FOR REHABILITATION OF HANGING BRIDGE - BRGY. SILANGANG KATIGAN, TAYABAS CITY. 1.	The City Government of Tayabas, through the Gen</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</si>
  <si>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</si>
  <si>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Department of Public Works and Highways (DPWH) Contract ID: 20MB0158 Contract Name&amp; Location:  Construction of Multi-Purpose Building, Brgy. Buayan, General Santos City, South Cotabato SOUTH COTABATO 1ST DISTRICT ENGINEERING OFFICE Tindalo St. Balite, Brg</t>
  </si>
  <si>
    <t xml:space="preserve"> UP 2014 A3 BLACK AND WHITE MFP BRISK OUTPUT SPEED 20PPM</t>
  </si>
  <si>
    <t xml:space="preserve"> Republic of the Philippines BIDS AND AWARDS COMMITTEE Province of Iloilo Invitation to Bid PURCHASE OF OFFICE EQUIPMENT Bid No. PHO-20-0921-B 1. The Iloilo Provincial Government, through the 2019 SUPPLEMENTAL BUDGET NO. 2 CAPITAL OUTLAY intends to apply t</t>
  </si>
  <si>
    <t xml:space="preserve"> The Municipality of Sta. Cruz through its Bids and Awards Committee (BAC), invites suppliers to apply for eligibility and if found eligible, to bid for the hereunder contract: 	Name of Project	: Improvement &amp; Concreting of Farm to Market Road, Tampugo 	AB</t>
  </si>
  <si>
    <t xml:space="preserve"> INVITATION TO BID FOR THE CONTRACT ID: 19-12 - 273 2ND REBID Contract Name: PROCUREMENT OF VARIOUS DRUGS AND MEDICINES Approved Budget for the Contract (ABC) : Php      1,614,999.40 Cost of Bidding Documents :  1.	The DOH-Zamboanga Peninsula - Center for </t>
  </si>
  <si>
    <t xml:space="preserve"> I- CONSTRUCTION MATERIALS II- STEEL WORKS III- MACHINE RENTAL</t>
  </si>
  <si>
    <t xml:space="preserve"> Republic of the Philippines Province of Davao Occidental MUNICIPALITY OF SARANGANI Invitation to Bid ROAD CONCRETING (DOUBLE LANE)  GOMEZ ST. (8000-2-2-16) MABILA, SARANGANI, DAVAO OCCIDENTAL. The Municipality of Sarangani, through 20% Devt.  Fund for Cal</t>
  </si>
  <si>
    <t xml:space="preserve"> Republic of the Philippines PROVINCE OF NUEVA VIZCAYA Municipality of Aritao BIDS AND AWARDS COMMITTEE ITB-OVERFLOW BRIDGE-20-08-01 INVITATION TO BID FOR CONSTRUCTION OF OVERFLOW BRIDGE At Beti-Lower Anayo, Aritao, Nueva Vizcaya The Local Government Unit </t>
  </si>
  <si>
    <t xml:space="preserve"> INVITATION TO BID FOR Procurement of Infra [Road Concreting of Cabise Road (Coastal Road to Taloto-Ubujan Road)] The City Government of Tagbilaran, through the 20% Development Fund, intends to apply the sum of Three Million Four Hundred Eighty Six Thousan</t>
  </si>
  <si>
    <t xml:space="preserve"> INVITATION TO BID (INFRA)   	PR # 006-020 Budget for the Contract (ABC) to payments under the contract of Improvement of Barangay Multi-Purpose Building. The Barangay Poblacion, Sibonga  through the 20% BDF -2020  intends to apply the sum of Three  hundre</t>
  </si>
  <si>
    <t xml:space="preserve"> Location: PSU Goa campus Bidding Fee: P 25,000.00 (Non-refundable) Schedule of activities: 1. Issuance and availability of Bid Documents: August 17, 2020 until 12:00 noon of September 8, 2020  (except week-ends &amp; Holidays at the BAC Secretariat Office, PS</t>
  </si>
  <si>
    <t xml:space="preserve"> Chipping, laying and installation of floor tiles (Batangas Province Science HS); Removal of existing pavement, site grading preparation, gravel packing, re-bars and formworks assembly and concrete setting, pavement cutting and curing works (Calaca Central</t>
  </si>
  <si>
    <t xml:space="preserve"> Items of Work consists of Project Signboard/Billboard, Removal of Existing Roof &amp; Roof Framing, Concrete Works, RSB Works, Formworks &amp; Scaffoldings, Masonry Works, Plastering Works, Ceiling Works, Metal Works, Roofing Works, Doors &amp; Windows, Tile Works, P</t>
  </si>
  <si>
    <t xml:space="preserve"> Items of Work consists of Project Signboard/Structure Excavation, Reinforcing Steel, Concrete Works, Masonry Works, Formworks, Finishing Works, Metal Works, Roofing Sheets, Ceiling, Door &amp; Windows, Painting Works, Sewer Lines, Water Lines, Sanitary Fixtur</t>
  </si>
  <si>
    <t xml:space="preserve"> Republic of the Philippines Department of Health Zamboanga Peninsula - Center for Health Development Upper Calarian, Zamboanga City  Tel no. 991-1313, 983-0932 to 34, fax 991-36500  E-mail: dohchdzp@yahoo INVITATION TO BID FOR THE CONTRACT ID: 20-08-111 C</t>
  </si>
  <si>
    <t xml:space="preserve"> Republic of the Philippines Province of Cebu Municipality of Cordova Barangay Alegria BIDS AND AWARDS COMMITTEE (BAC) (032-494-1594) INVITATION TO BID  The Barangay Alegria, through its Bids and Awards Committee (BAC) intends to apply  the sum of One Hund</t>
  </si>
  <si>
    <t xml:space="preserve"> Procurement of Reproduction and Soft Binding of FHSIS Reporting and Recording Tools</t>
  </si>
  <si>
    <t xml:space="preserve"> Please see attached bidding documents for specifications and instructions.</t>
  </si>
  <si>
    <t xml:space="preserve"> INVITATION TO  BID # 021-2020    The Municipal Government  of Aguilar, through its Bids and Awards Committee (BAC) invites suppliers/ manufacturers/contractors to bid for the hereunder project:.    Name of the Project: CONCRETE PAVING OF BOCACLIW-BANAYBAY</t>
  </si>
  <si>
    <t xml:space="preserve"> I. Excavation of Foundation  II. Item 500 Riprap and Grouted       LENGTH 12 METERS  Materials        Portland Cement 40 kg        Sand (Approved Source)        Boulders Head size        Gravel (Approved Source)        Lumber 2x2x8' - 15 pcs.        Lumbe</t>
  </si>
  <si>
    <t xml:space="preserve"> INVITATION TO  BID # 018-2020    The Municipal Government  of Aguilar, through its Bids and Awards Committee (BAC) invites suppliers/ manufacturers/contractors to bid for the hereunder project:.    Name of the Project: IMPROVEMENT OF PANACOL-TAMAYO ROAD  </t>
  </si>
  <si>
    <t xml:space="preserve"> Republic of the Philippines Province of Davao Oriental City of Mati BIDS &amp; AWARDS COMMITTEE INVITATION TO BID Procurement BY LOT of FILTERS and OIL &amp; LUBRICANTS for Use of 79 UNITS LIGHT AND HEAVY EQUIPMENT SOURCE OF FUND: 20% LGDF [8000A-300-1-07-03-010-</t>
  </si>
  <si>
    <t xml:space="preserve"> INVITATION TO  BID # 031-2020    The Municipal Government  of Aguilar, through its Bids and Awards Committee (BAC) invites suppliers/ manufacturers/contractors to bid for the hereunder project:.    Name of the Project: PURCHASE OF VARIOUS OFFICE EQUIPMENT</t>
  </si>
  <si>
    <t xml:space="preserve"> Invitation to Bid for the supply &amp; delivery of Various Maintenance materials for use of different offices of Batangas City Government.</t>
  </si>
  <si>
    <t xml:space="preserve"> REQUEST FOR QUOTATION SUPPLY AND DELIVERY OF  EQUIPMENT, SUPPLIES AND CONSUMABLES FOR USE IN D POST, CESC,  GUIDANCE OFFICE, REGISTRATION &amp; ADMISSION OFFICE (RFQ 2020-05F) 1.	The Dr. Emilio B. Espinosa Sr. Memorial State College of Agriculture and Technol</t>
  </si>
  <si>
    <t xml:space="preserve"> Republic of the Philippines Province of Davao Occidental MUNICIPALITY OF SARANGANI Invitation to Bid REHABILITATION OF MULTI-PORPUSE BUILDING / NEW MUNICIPAL HALL (8000-2-2-17) MABILA, SARANGANI, DAVAO OCCIDENTAL. The Municipality of Sarangani, through 20</t>
  </si>
  <si>
    <t xml:space="preserve"> Republic of the Philippines						 City Government of Davao						 						 INVITATION TO BID						 for Infrastructure Projects REBID05-2020						 						 The City Government of Davao now invites bidders for the project/s under REBID05-2020 as listed below.   </t>
  </si>
  <si>
    <t xml:space="preserve"> INVITATION TO BID The Municipality of Mutia through its Bids and  Awards Committee Invites  contractors to apply for eligibility and to bid for the project reflected hereunder; NAME OF PROJECT	:  Procurement of Fuel and Lubricants  for the Construction of</t>
  </si>
  <si>
    <t xml:space="preserve"> Republic of the Philippines Province of Iloilo Municipality of Lambunao Office of the Bids &amp; Awards Committee INVITATION TO BID/ REQUEST FOR PRICE QUOTATION Name of Project: Purchase of Equipment (Microscope) for the use of Lambunao MHO Laboratory Locatio</t>
  </si>
  <si>
    <t xml:space="preserve"> QUANTITY            UNIT              DESCRIPTION 80                       PAX                  MEALS FOR 30 DAYS</t>
  </si>
  <si>
    <t xml:space="preserve"> Items of Work consists of Subgrade Preparation, Aggregate Subbase Coarse, Portland Cement Concrete Pavement (0.15m thk) The BAC will conduct the procurement process in accordance with the revised IRR of R.A. 9184.  Bids Received in excess of the ABC shall</t>
  </si>
  <si>
    <t xml:space="preserve"> INVITATION TO BID The DPWH-Regional Office No. III,  through  its  Bids  and  Awards  Committee  (BAC),  invites contractors to submit bids for the following Contracts below: 1)	Procurement ID/Contract ID:    19C00092 Contract Name:      Construction of 2</t>
  </si>
  <si>
    <t xml:space="preserve"> To procure goods for the 10th Cycle implementation of Supplementary Feeding Program in the Municipality of Burgos, Ilocos Sur</t>
  </si>
  <si>
    <t xml:space="preserve"> Department of Public Works and Highways Contract ID	:	20MH0115 Contract Name	:	Construction of Road Slope Protection Structure along IsulanJct-Ninoy Aquino Rd, K1834+110 – K1834+178, K1845+471 – K1845+544, Bagumbayan/Sen. Ninoy Aquino, Sultan Kudarat Cont</t>
  </si>
  <si>
    <t xml:space="preserve"> The Local  Government   Unit  of General  Santos  City, through  the  GENERAL FUND CY 2020  intends  to apply  the sum of one hundred twelve thousand five hundred twenty three and 80 / 100 Pesos Only (112,523.80)   being  the Approved  Budget  for the Con</t>
  </si>
  <si>
    <t xml:space="preserve"> Republic of the Philippines Province of Bohol Municipality of Danao Invitation to Bid for  CONSTRUCTION OF MULTI-PURPOSE BUILDING, BARANGAY STA. FE 1.	The Municipality of Danao, Bohol  through the GF [Local Development Plan (20% of IRA) FY 2020]   intends</t>
  </si>
  <si>
    <t xml:space="preserve"> Kindly see attached documents</t>
  </si>
  <si>
    <t xml:space="preserve"> INVITATION TO BID The Municipality of Mutia through its Bids and  Awards Committee Invites  contractors to apply for eligibility and to bid for the project reflected hereunder; NAME OF PROJECT	:  Procurement of Construction Materials for the Construction </t>
  </si>
  <si>
    <t xml:space="preserve"> for Construction of IP Housing (Labor)</t>
  </si>
  <si>
    <t xml:space="preserve"> The Municipality of Sta. Cruz through its Bids and Awards Committee (BAC), invites suppliers to apply for eligibility and if found eligible, to bid for the hereunder contract: 	Name of Project	: Construction of River Wall, Pilar-Las-ud, Villa Hermosa 	ABC</t>
  </si>
  <si>
    <t xml:space="preserve"> ream	Long Bond Paper sub 20	370  ream	Short Bond Paper sub 20	350  	Computer Ink bottled	 pc	INK Refill 003 Black	60  pc	INK Refill 003 Yellow	35  pc	INK Refill 003 Cyan /Blue	35  pc	INK Refill 003 Magenta/ Red	35  pc	INK Refill 664 Black	30  pc	INK Refil</t>
  </si>
  <si>
    <t xml:space="preserve"> Invitation to Bid for the supply &amp; delivery of Various Furniture &amp; Fixture for use of different offices of Batangas City Government.</t>
  </si>
  <si>
    <t xml:space="preserve"> The Municipality of Sta. Cruz through its Bids and Awards Committee (BAC), invites suppliers to apply for eligibility and if found eligible, to bid for the hereunder contract: 	Name of Project	: Construction and Rehabilitation of River Control @ Sitio Nan</t>
  </si>
  <si>
    <t xml:space="preserve"> Republic of the Philippines Province of Aklan MUNICIPALITY OF LIBACAO * * * The Local Government Unit of Libacao, through its Bids and Awards Committee (BAC), invites contractors to submit bids for the following Contract: Contract I.D.:			                </t>
  </si>
  <si>
    <t xml:space="preserve"> SCOPE OF WORKS: B.3	       Project Billboard &amp; Sign Board	2.00	each B.7	        Occupational Safety and Health Program	3.00	months	 803(1)a	Structure Excavation, Common Soil	20.00	cu.m. 804(1)b	Embankment, from borrow	10.00	cu.m.	 903(1)	Formworks and Fal</t>
  </si>
  <si>
    <t xml:space="preserve"> Republic of the Philippines Province of Davao de Oro BIDS AND AWARDS COMMITTE Cabidianan, Nabunturan, Davao de Oro ITB No. 20-031 August 12, 2020 INVITATION TO BID  FOR  THE Procurement of food supplies (meals and snacks) within Davao de Oro 1.	The Provin</t>
  </si>
  <si>
    <t xml:space="preserve"> Republic of the Philippines PROVINCE OF BUKIDNON Municipality of Sumilao INVITATION TO BID ITB NO. GS-2020-41 PROCUREMENT OF CONSTRUCTION MATERIALS FOR THE REHABILITATION OF MULTI-PURPOSE HALL August 17, 2020 1.	The Local Government Unit of  Sumilao, inte</t>
  </si>
  <si>
    <t xml:space="preserve"> PROJECT BILLBOARD/SIGNBOARD                                                        1 LOT MOBILIZATION OF DRILLING MACHINE WITH COMPLETE ACCESSORIES  1 LOT BOREHOLE DRILLING 12" DIAMETER                                                     500.00 FT PERFORA</t>
  </si>
  <si>
    <t xml:space="preserve"> The Municipality of Sta. Cruz through its Bids and Awards Committee (BAC), invites suppliers to apply for eligibility and if found eligible, to bid for the hereunder contract: 	Name of Project	: Improvement of Multi-purpose Building – Villa Hermosa 	ABC		</t>
  </si>
  <si>
    <t xml:space="preserve"> 1.	The City of Koronadal Water District, through the Corporate Fund 2020 intends to apply the sum of Two Million Six Hundred Ten Thousand Pesos, (Php 2,610,000.00) only, being the Approved Budget for the Contract (ABC) to payments under the contract for S</t>
  </si>
  <si>
    <t xml:space="preserve"> for Procurements of 300 pcs Plastic Chairs</t>
  </si>
  <si>
    <t xml:space="preserve"> The Municipality of Sta. Cruz through its Bids and Awards Committee (BAC), invites suppliers to apply for eligibility and if found eligible, to bid for the hereunder contract: 	Name of Project	: Improvement and Concreting of Farm to Market Road - Quinferm</t>
  </si>
  <si>
    <t xml:space="preserve"> The Municipality of Sta. Cruz through its Bids and Awards Committee (BAC), invites suppliers to apply for eligibility and if found eligible, to bid for the hereunder contract: 	Name of Project	: Improvement of Multi-purpose Building – Mambog 	ABC		: Php1,</t>
  </si>
  <si>
    <t xml:space="preserve"> Republic of the Philippines Province of Davao de Oro BIDS AND AWARDS COMMITTEE Cabidianan, Nabunturan, Davao de Oro Invitation to Bid for the Construction of Water System at Liwanag Center, Brgy. Libasan, Nabunturan 1.	The Provincial Government of Davao d</t>
  </si>
  <si>
    <t xml:space="preserve"> The Municipal Government of Aloguinsan invites prospective bidders to bid for the project Supply and Delivery of Medicines for COVID-19 response. Source of Fund: BAYANIHAN GRANT TO CITIES/MUNICIPALITIES ABC: Php 2,000,000.00 The complete schedule of activ</t>
  </si>
  <si>
    <t xml:space="preserve"> INVITATION TO BID                  PURCHASE AND DELIVERY OF DIGITAL DUPLICATOR WITH COMPUTER INTERFACE AND SUPPLIES                                                          ITB 2020-08-044(GOODS) 1. 	The Municipality of Tuba, through the Budget for the co</t>
  </si>
  <si>
    <t xml:space="preserve"> IMPROVEMENT/ CONTINUATION OF POBLACION COMFORT ROOM, NATONIN FUND SOURCE: 20% PDF 2020 TYPES OF WORK TO BE DONE: Project billboard/ occupational safety and health program/ masonry painting/ roofing accessories (gutter)/ scaffolding/ grouted riprap (class </t>
  </si>
  <si>
    <t xml:space="preserve"> PROCUREMENT OF TABLETS INCLUSIVE OF AR SYSTEM FOR 18 MARITIME COURSES AND AUDIO VIDEO RECORDING SYSTEM FOR BLENDED LEARNING TOTAL PROJECT COST: P3,732,500.00 ITEM 1:  Tablets with embedded Augmented Reality (200) pcs	P per unit Operating System	: Android </t>
  </si>
  <si>
    <t xml:space="preserve"> Republic of the Philippines Province of Surigao del Norte  Municipality of Malimono  OFFICE OF THE BIDS AND AWARDS COMMITTEE INVITATION TO BID ID NO. TPDF-MAL-SDN-11-20 1.    The Municipality of  Malimono, Surigao del Norte through the Office of the Bids </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</si>
  <si>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</si>
  <si>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</si>
  <si>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Republic of the Philippines Province of Oriental Mindoro MUNICIPALITY OF NAUJAN BIDS AND AWARDS COMMITTEE INVITATION TO BID SUPPLY AND DELIVERY OF ONE (1) UNIT PASSENGER VAN (for conversion into an ambulance and fitted with necessary medical equipment and</t>
  </si>
  <si>
    <t xml:space="preserve"> Stock No.	Item Description	QTY.	UNIT 	CHEMISTRY		 1	FBS	500	test 2	BUN	200	test 3	Uric Acid	200	test 4	Creatinine	200	test 5	Lipid Profile	300	test 6	Cholesterol	100	test 7	Triglycerides	100	test 8	HDL/LDL	150	test 9	SGOT	300	test 10	SGPT	300	test 11	Seru</t>
  </si>
  <si>
    <t xml:space="preserve"> Republic of the Philippines BIDS AND AWARDS COMMITTEE Province of Iloilo Invitation to Bid PURCHASE OF FIRE EXTINGUISHER (REFILL) Bid No. SDH-20-0848-B 1. The Iloilo Provincial Government, through the GENERAL FUND 2020 intends to apply the sum of FORTY-SE</t>
  </si>
  <si>
    <t xml:space="preserve"> 1. Name of Project: PROCUREMENT OF BOOKPAPER-A4 FOR THE REPRODUCTION OF MODULES 2. ABC: Php 3,009,960.88 3. Source of Funds: OSEC-11-20-0846 4. Quantity: 16,838 reams of A4 Book Paper 5. Delivery Period: 20 CD after receipt of Notice to Proceed 6. Pre-bid</t>
  </si>
  <si>
    <t xml:space="preserve"> Republic of the Philippines BIDS AND AWARDS COMMITTEE Province of Iloilo Invitation to Bid PURCHASE OF MEDICAL OXYGEN Bid No. SDH-20-0978-B 1. The Iloilo Provincial Government, through the GENERAL FUND 2020 intends to apply the sum of NINE HUNDRED THOUSAN</t>
  </si>
  <si>
    <t xml:space="preserve"> Republic of the Philippines BIDS AND AWARDS COMMITTEE Province of Iloilo Invitation to Bid PURCHASE OF HOUSEKEEPING SUPPLIES Bid No. SDH-20-0975-B 1. The Iloilo Provincial Government, through the GENERAL FUND 2020 intends to apply the sum of FOUR HUNDRED </t>
  </si>
  <si>
    <t xml:space="preserve"> Republic of the Philippines BIDS AND AWARDS COMMITTEE Province of Iloilo Invitation to Bid PURCHASE OF MEDICAL SUPPLIES Bid No. SDH-20-0977-B 1. The Iloilo Provincial Government, through the GENERAL FUND 2020 intends to apply the sum of FIVE HUNDRED THOUS</t>
  </si>
  <si>
    <t xml:space="preserve"> Invitation to Bid for the Repair/Rehab. Of Senior High School Training Center Phase II, S.C. Pilot School, Brgy. Taft, Surigao City ITB No. 115-Infra-2020    1.	The City Government of Surigao, intends to apply the sum of   Two Million Four Hundred Ninety </t>
  </si>
  <si>
    <t xml:space="preserve"> Invitation to Bid for the Repair of Sitio Balibayon  Irrigation System    Brgy. Rizal, Surigao City ITB No. 119-Infra-2020    1.	The City Government of Surigao, intends to apply the sum of   One Million  Six Hundred Fifty Thousand  Pesos (Php1,650,000.00)</t>
  </si>
  <si>
    <t xml:space="preserve"> Republic of the Philippines Province of Davao De Oro MUNICIPALITY OF COMPOSTELA BIDS AND AWARDS COMMITTEE (BAC) Invitation to Bid for Cemetery Development (P-1, Barangay Maparat) (ITB NO. 2020-08-046 - BID NO. 001) 1.	The Municipality of Compostela, throu</t>
  </si>
  <si>
    <t xml:space="preserve"> Republic of the Philippines BIDS AND AWARDS COMMITTEE Province of Iloilo Invitation to Bid PURCHASE OF OFFICE SUPPLIES Bid No. SDH-20-0976-B 1. The Iloilo Provincial Government, through the GENERAL FUND 2020 intends to apply the sum of THREE HUNDRED NINET</t>
  </si>
  <si>
    <t xml:space="preserve"> Republic of the Philippines BIDS AND AWARDS COMMITTEE Province of Iloilo Invitation to Bid PURCHASE OF LABORATORY SUPPLIES Bid No. SDH-20-0444-B (RE-BID) 1. The Iloilo Provincial Government, through the GENERAL FUND 2020 intends to apply the sum of SEVENT</t>
  </si>
  <si>
    <t xml:space="preserve"> INVITATION TO BID FOR SUPPLY AND DELIVERY OF GOODS (SAMAR LIVELIHOOD SEEDING PROGRAM) 1.	The Department of Trade and Industry, Regional Office No. 8, through the R. A. 11465 GAA 2020 intends to apply the sum of FOUR MILLION NINE HUNDRED FORTY-SEVEN THOUSA</t>
  </si>
  <si>
    <t xml:space="preserve"> Republic of the Philippines BIDS AND AWARDS COMMITTEE Province of Iloilo Invitation to Bid PURCHASE OF DRUGS AND MEDICINES Bid No. SDH-20-0363-B (RE-BID) 1. The Iloilo Provincial Government, through the GENERAL FUND 2020 intends to apply the sum of TWO HU</t>
  </si>
  <si>
    <t xml:space="preserve"> Republic of the Philippines BIDS AND AWARDS COMMITTEE Province of Iloilo Invitation to Bid PURCHASE OF LABORATORY SUPPLIES Bid No. SDH-20-0448-B (RE-BID) 1. The Iloilo Provincial Government, through the GENERAL FUND 2020 intends to apply the sum of FOUR H</t>
  </si>
  <si>
    <t xml:space="preserve"> Republic of the Philippines CITY OF PANABO Province of Davao del Norte BIDS AND AWARDS COMMITTEE -o0o- INVITATION TO BID  SUPPLY OF 3 UNITS BRAND NEW UTILITY VEHICLE 1.	The City of Panabo, through CDRRMC/ 70% CDRRMC FUND 2020 intends to apply the sum of T</t>
  </si>
  <si>
    <t xml:space="preserve"> Republic of the Philippines BIDS AND AWARDS COMMITTEE Province of Iloilo Invitation to Bid PURCHASE OF OFFICE SUPPLIES (RE-BID) Bid No. SDH-20-0273-B 1. The Iloilo Provincial Government, through the GENERAL FUND 2020 intends to apply the sum of TWENTY-NIN</t>
  </si>
  <si>
    <t xml:space="preserve"> Republic of the Philippines BIDS AND AWARDS COMMITTEE Province of Iloilo Invitation to Bid PURCHASE OF DIESEL FUEL Bid No. SDH-20-0708-B 1. The Iloilo Provincial Government, through the GENERAL FUND 2020 intends to apply the sum of TWO HUNDRED FOUR THOUSA</t>
  </si>
  <si>
    <t xml:space="preserve"> One Job furnishing labor and materials for Improvement of Multi-purpose hall.</t>
  </si>
  <si>
    <t xml:space="preserve"> Republic of the Philippines Municipality of Taytay Taytay, Palawan NOTICE TO BIDDERS Item # Qty Unit Description Amount 1. 1 Lots Fuels/Fuel Additives &amp; Lubricant &amp; Anti-Corrosive The two envelope system of procurement shall be observed, Bidding documents</t>
  </si>
  <si>
    <t xml:space="preserve"> 1. The MLGU-Pasil, now invites bids for the CONSTRUCTION OF SAMMUKI-POLAG DRAINAGE CANAL. The project is located at Pugong, Pasil, Province of Kalinga. The following are the Item of Works;					 					 	ITEM NO.	DESCRIPTION	QUANTITY	UNIT	 	103	Excavation 	 </t>
  </si>
  <si>
    <t xml:space="preserve"> CONCRETE FENCING OF PERIMETER OF MADEPDEPAS ELEMENTARY SCHOOL, DATA, SABANGAN FUND SOURCE: SEF 2020 TYPES OF WORK TO BE DONE: Project billboard/ signboard/ occupational safety an health program/ clearing and grubbing/ structure excavation (manual excavati</t>
  </si>
  <si>
    <t xml:space="preserve"> Invitation to Bid for the Completion of Brgy Mat-I Irrigation System   Phase 1,  Brgy. Mat-i, Surigao City ITB No. 120-Infra-2020    1.	The City Government of Surigao, intends to apply the sum of   Two Million  Pesos (Php2,000,000.00)  being the Approved </t>
  </si>
  <si>
    <t xml:space="preserve"> a. CONTRACT ID: RIZAL-04SEPTEMBER2020-1 b. NAME OF PROJECT: Rehabilitation of Floodway East Embankment Road Cainta-Taytay, Rizal c. LOCATION: Cainta-Taytay, Rizal d. BRIEF DESCRIPTION: Road improvement. e. MAJOR ITEM OF WORK: Bituminous Concrete Surface C</t>
  </si>
  <si>
    <t xml:space="preserve"> Quantity       Unit of Issue       Item Description      1                  unit              2.4G, 4 x 2 Dsl A/T Pick-p type vehicle NAME OF PROJECT/LOCATION - Purchase of one (1) unit 2.4G, 4 x 2, Dsl, A/T Pick-Up type vehicle for official use by the Of</t>
  </si>
  <si>
    <t xml:space="preserve"> Department of Education Agusan del Norte</t>
  </si>
  <si>
    <t xml:space="preserve"> 1 unit Projector with Tripod with 16GB Flash Drive																	           - 3 LCD, 3300 Ansi Lumens, Optical lens, 																	             Connectivity-USB, SVGA																	 1 unit DSLR Camera - 18-55 MM Lens																	           - 24</t>
  </si>
  <si>
    <t xml:space="preserve"> I.    30.25 cu.m.   Item 105,  201 Base Preparation and Gravel Bedding II.   44.00 cu.m.   Item 311 PCCP III.  13.20 cu.m.   Item SPL - Gravel Shoulder IV.   ALL    L.S.      Construction Safety &amp; Health Program Labor OCM/Cp/VAT</t>
  </si>
  <si>
    <t xml:space="preserve"> General Housekeeping Services for GSIS Head Office and QC BO</t>
  </si>
  <si>
    <t xml:space="preserve"> Concreting of Roads, Along E. Meman Alley, Atulayan Norte, Tuguegarao City, Cagayan</t>
  </si>
  <si>
    <t xml:space="preserve"> Grass Cutter Cylinder Block w/ Piston, Piston Pin, Piston Ring TD40 - 55pcs. ; Clutch Shoe w/ Spring 1-12/14 TD - 55 sets ; Gear Case TD40 9T - 55 pcs. ; Carburetor TD40 - 55 pcs. ; Pin Stick Bearing TD40 - 30 pcs. ; Grass Cutter Fuel Tank TD40 - 55 pcs. </t>
  </si>
  <si>
    <t xml:space="preserve"> FUND SOURCE: 20% PDF 2020 TYPES OF WORK TO BE DONE:  Project billboard/ signboard/ occupational safety and health program/ structure excavation (common earth)/ embankment (from excavation for structure) manual/ PCC pavement (plain)- conventional method, 1</t>
  </si>
  <si>
    <t xml:space="preserve"> The Bids and Awards Committee								 Province of Iloilo								 								      In connection with your Invitation to Bid No. PEO-20-0926-B  scheduled on August 26, 2020, I/we proposed to furnish and deliver in conformity with the terms and conditions, and</t>
  </si>
  <si>
    <t xml:space="preserve"> purchase of construction materials</t>
  </si>
  <si>
    <t xml:space="preserve"> CONSTRUCTION OF PAO FOOTBRIDGE, OTUCAN SUR, BAUKO FUND SOURCE: 20% PDF 2020 TYPES OF WORK TO BE DONE: Project billboard/ signboard/ occupational safety and health program/ clearing and grubbing/ structure excavation (man.excv.com.soil)/ grouted riprap (cl</t>
  </si>
  <si>
    <t xml:space="preserve"> Farm Machineries for farmers</t>
  </si>
  <si>
    <t xml:space="preserve"> The Municipality of Pulilan, Bulacan, through its Bids and Awards Committee (BAC), invites prospective bidders/Supplier to apply for eligibility and shortlisting and if found eligible and shortlisted, to bid for Purchase of Additional Instructional Materi</t>
  </si>
  <si>
    <t xml:space="preserve"> Invitation to Bid UPGRADING OF GUD-NAGBUKEL-VILLAFLOR (PORT.) ROAD Solicitation No. Infra-2020-11 The Municipality of San Isidro, Isabela, through the National Government Fund FY 2020, intends to apply the sum of Twelve Million Two Hundred Ninety-Nine Tho</t>
  </si>
  <si>
    <t xml:space="preserve"> Section I. Invitation to Bid INVITATION TO BID  DA8-Goods-2020-51 (PR No. RICE 20-07-30-0969) 1.	The Department of Agriculture-Regional Field Office No. 8, through the RICE 2020 intends to apply the sum of Fifty-Two Million Nine Hundred Fifty Thousand Pes</t>
  </si>
  <si>
    <t xml:space="preserve"> PURCHASE OF CONSTRUCTION MATERIALS</t>
  </si>
  <si>
    <t xml:space="preserve"> Purchase of fertilizer</t>
  </si>
  <si>
    <t xml:space="preserve"> INVITATION TO BID FOR  Procurement of Goods [ICT and Office Equipment] The   City Government of Tagbilaran,   through the Special Education Fund for FY 2020, intends to apply the sum of Five Million Pesos only (Php5,000,000.00)being the  Approved Budget f</t>
  </si>
  <si>
    <t xml:space="preserve"> 1. The MLGU-Pasil, now invites bids for the REHABILITATION  OF SAMMUKI-PULAG WATER WORKS SYSTEM. The project is located at Pugong, Pasil, Province of Kalinga. The following are the Item of Works;					 					 	ITEM NO.	DESCRIPTION	QUANTITY	UNIT	 	103	Excava</t>
  </si>
  <si>
    <t xml:space="preserve"> INVITATION TO BID FOR THE CONTRACT ID: 20-08-112 Contract Name: PROCUREMENT OF VARIOUS DRUGS AND MEDICINES Approved Budget for the Contract (ABC) : Php      1,047,832.39 Cost of Bidding Documents :  5,000.00 1.	The DOH-Zamboanga Peninsula - Center for Hea</t>
  </si>
  <si>
    <t xml:space="preserve"> PHILIPPINE DEPOSIT INSURANCE CORPORATION Makati City REQUEST FOR EXPRESSION OF INTEREST FOR THE ENGAGEMENT OF A CONSULTING SERVICE PROVIDER (CSP) FOR THE REVIEW AND DESIGN OF THE INFORMATION TECHNOLOGY (ITG) STRUCTURE &amp; STRATEGY 1.	The Philippine Deposit </t>
  </si>
  <si>
    <t xml:space="preserve"> Purchase of construction materials</t>
  </si>
  <si>
    <t xml:space="preserve"> The Municipality of Pulilan, Bulacan, through its Bids and Awards Committee (BAC), invites prospective bidders/Supplier to apply for eligibility and shortlisting and if found eligible and shortlisted, to bid for Purchase of Bond Paper for School Modules (</t>
  </si>
  <si>
    <t xml:space="preserve"> Republic of the Philippines PROVINCE OF CAMIGUIN Mambajao, Camiguin  OFFICE OF THE BIDS AND AWARDS COMMITTEE (BAC) INVITATION TO BID The Provincial Government of Camiguin through its Bids and Awards Committee (BAC) invites all interested and qualified con</t>
  </si>
  <si>
    <t xml:space="preserve"> Quantity       Unit of Issue       Item Description     10                units              Digital DUplicator                                              Specification:                                                  scanning method    :  automatic do</t>
  </si>
  <si>
    <t xml:space="preserve"> FUND SOURCE: 20% PDF 2020 TYPES OF WORK TO BE DONE: Project billboard/ signboard/ occupational safety and health program/ water closet with complete accessories/ lavatory with complete accessories/ cold water lines and fittings/ unglaze tiles/ glaze tiles</t>
  </si>
  <si>
    <t xml:space="preserve"> Republic of the Philippines BIDS AND AWARDS COMMITTEE Province of Iloilo Invitation to Bid Purchase of Office Equipment Bid No. GOV-20-0477-B 1. The Iloilo Provincial Government, through the GENERAL FUND 2020 intends to apply the sum of ONE HUNDRED SIXTY </t>
  </si>
  <si>
    <t xml:space="preserve"> The Bids and Awards Committee							 Province of Iloilo							 							      In connection with your Invitation to Bid No. PEO-20-0963-B scheduled on August 26, 2020, I/we proposed to furnish and deliver in conformity with the terms and conditions, and spe</t>
  </si>
  <si>
    <t xml:space="preserve"> CONTINUATION OF MALIGCONG SCHOOL FUND SOURCE: 20% PDF 2020 FUND SOURCE: Project billboard/ signboard/ occupational safety and health program/ steel doors and frames/ pebble washout finish CONSTRUCTION OF SITIO FAVUYAN WATER SEALED PUBLIC TOILET, MALIGCONG</t>
  </si>
  <si>
    <t xml:space="preserve"> The Bids and Awards Committee							 Province of Iloilo							 							      In connection with your Invitation to Bid No. PEO-20-0961-B scheduled on August 26, 2020, I/we proposed to furnish and deliver in conformity with the terms and conditions, and spe</t>
  </si>
  <si>
    <t xml:space="preserve"> Construction Projects</t>
  </si>
  <si>
    <t xml:space="preserve"> Republic of the Philippines BIDS AND AWARDS COMMITTEE Province of Iloilo Invitation to Bid Purchase of Generator Set Bid No. GOV-20-0990-B 1. The Iloilo Provincial Government, through the GENERAL FUND 2020 intends to apply the sum of TWO HUNDRED THOUAND P</t>
  </si>
  <si>
    <t xml:space="preserve"> 1 lot Command Center for Public Safety and Disaster Preparedness</t>
  </si>
  <si>
    <t xml:space="preserve"> Improvement of Barangay  Multi-Purpose Hall</t>
  </si>
  <si>
    <t xml:space="preserve"> Republic of the Philippines CITY GOVERNMENT OF ANTIPOLO Antipolo City INVITATION TO BID For the Supply &amp; Delivery of Medical Ambulance The City Government of Antipolo, through the General Fund intends to apply the sum of P 5,400,000.00 being the Approved </t>
  </si>
  <si>
    <t xml:space="preserve"> Republic of the Philippines BIDS AND AWARDS COMMITTEE Province of Iloilo Invitation to Bid Purchase of Motorcycle Bid No. AGR-20-0992-B 1. The Iloilo Provincial Government, through the GENERAL FUND 2020 intends to apply the sum of TWO HUNDRED ONE THOUSAND</t>
  </si>
  <si>
    <t xml:space="preserve"> Upgrading/Concreting of Barangay Road  (Sta. Catalina, San Luis, Pampanga) Net Length: 160.00 lin. m Part B- Other General Requirements Part C- Earthworks Part D- Sub-Base and Base Course Part E- Surface Courses</t>
  </si>
  <si>
    <t xml:space="preserve"> 1 lot Streetlights</t>
  </si>
  <si>
    <t xml:space="preserve"> The Municipality of Pulilan, Bulacan, through its Bids and Awards Committee (BAC), invites prospective bidders/Supplier to apply for eligibility and shortlisting and if found eligible and shortlisted, to bid for Purchase of Rubber Boat with Outboard Motor</t>
  </si>
  <si>
    <t xml:space="preserve"> 2 units Mini- Excavator with dozer</t>
  </si>
  <si>
    <t xml:space="preserve"> IMPROVEMENT OF CABUAAN PATHWAY, PARACELIS FUND SOURCE : 20% PD2F 2020 TYPES OF WORK TO BR DONE: Project billboard/ signboard/ occupational safety and health program/ clearing and grubbing/ reinforcing steel/ formworks/ concrete works (R.C column footing a</t>
  </si>
  <si>
    <t xml:space="preserve"> LANAO DEL NORTE 1ST DISTRICT ENGINEERING OFFICE 0054 Seminary Drive, Del Carmen, Iligan City Tel./Fax No. (063) 225-4244 INVITATION TO BID The __DPWH-Lanao del Norte 1st District Engineering Office, through its Bids and Awards Committee (BAC), invites con</t>
  </si>
  <si>
    <t xml:space="preserve"> INVITATION TO BID FOR  Procurement of Goods [3 Months Prepaid Load] The   City Government of Tagbilaran,   through the TRUST FUND (Tagbilaran City College), intends to apply the sum of One Million Two Hundred Forty Seven Thousand Four Hundred Pesos only (</t>
  </si>
  <si>
    <t xml:space="preserve"> Purchase of Various Medicines for RHU *See attached file for the list of medicines</t>
  </si>
  <si>
    <t xml:space="preserve"> The City Government of Malolos, through its BIDS and AWARDS COMMITTEE (BAC) Invites Suppliers/Manufacturers/Distributors to Bid for hereunder procurement:  PR No. : GSO-2020-07-988 Name of Project : CONSTRUCTION OF ROAD AND DRAINAGE OF CITY GOVERNMENT CEN</t>
  </si>
  <si>
    <t xml:space="preserve"> The City Government of Malolos, through its BIDS and AWARDS COMMITTEE (BAC) Invites Suppliers/Manufacturers/Distributors to Bid for hereunder procurement:  PR No. : GSO-2020-05-647 Name of Project : IMPROVEMENT/REHABILITATION OF DRAINAGE AT PILANDORA ST.,</t>
  </si>
  <si>
    <t xml:space="preserve"> Republic of the Philippines National Kidney and Transplant Institute Bids and Awards Committee East Avenue, Quezon City 1100 981-0300 / 981-0400 local 1157 http://www.nkti.gov.ph/	 INVITATION TO BID for the ITB No. 20-076 RE-BIDDING FOR ONE (1) LOT SUPPLY</t>
  </si>
  <si>
    <t xml:space="preserve"> The City Government of Malolos, through its BIDS and AWARDS COMMITTEE (BAC) Invites Suppliers/Manufacturers/Distributors to Bid for hereunder procurement:  PR No. : GSO-2020-02-211 Name of Project : CONSTRUCTION OF BARANGAY HEALTH CENTER AT BARANGAY MAMBO</t>
  </si>
  <si>
    <t xml:space="preserve"> Republic of the Philippines Local Government Unit of Gubat Gubat, Sorsogon INVITATION TO BID FOR THE REHABILITATION OF PAMANA TERMINAL BUILDING PHASE II 1.	The Local Government Unit of Gubat, through its General Fund intends to apply the sum of One Millio</t>
  </si>
  <si>
    <t xml:space="preserve"> Republic of the Philippines BIDS AND AWARDS COMMITTEE Province of Iloilo Invitation to Bid Purchase of DESKTOP SIMULATOR AND 3D PRINTER Bid No. PPD-20-0957-B 1. The Iloilo Provincial Government, through the GENERAL FUND 2020 intends to apply the sum of  T</t>
  </si>
  <si>
    <t xml:space="preserve"> Republic of the Philippines BIDS AND AWARDS COMMITTEE Province of Iloilo Invitation to Bid Purchase of AGRICULTURAL SUPPLIES Bid No. AGR-20-0994-B 1. The Iloilo Provincial Government, through the GENERAL FUND 2020 intends to apply the sum of NINETY-ONE TH</t>
  </si>
  <si>
    <t xml:space="preserve"> Procurement of Agricultural Supplies and Inputs for the Sustainable Land Resource Management Approach in Developing Agro-environmental Potential of Vulnerable Uplands and Hilly Land Delivery of the following items: 1.	Corn Seeds (genuity DK 6919S) - 80 ba</t>
  </si>
  <si>
    <t xml:space="preserve"> INVITATION TO BID FOR  Procurement of Goods [Pocket WiFi with Prepaid Sim] The   City Government of Tagbilaran,   through the TRUST FUND (Tagbilaran City College), intends to apply the sum of One Million Three Hundred Twenty Two Thousand Five Hundred Peso</t>
  </si>
  <si>
    <t xml:space="preserve"> Republic of the Philippines PROVINCIAL GOVERNMENT OF EASTERN SAMAR Capitol Building, Borongan, Eastern Samar, 6800 Tel No. (055)-560-8312 E-mail Address: esamar.bac@gmail.com BIDS AND AWARDS COMMITTEE (BAC) INVITATION TO BID FOR CONSTRUCTION OF NEW CAPITO</t>
  </si>
  <si>
    <t xml:space="preserve"> The City Government of Malolos, through its BIDS and AWARDS COMMITTEE (BAC) Invites Suppliers/Manufacturers/Distributors to Bid for hereunder procurement:  PR No. : GSO-2020-07-1003 Name of Project : CONSTRUCTION OF BARANGAY HEALTH STATION AT BARANGAY SAN</t>
  </si>
  <si>
    <t xml:space="preserve"> The Bids and Awards Committee							 Province of Iloilo							 							      In connection with your Invitation to Bid No. PEO-20-0962-B scheduled on September 9, 2020, I/we proposed to furnish and deliver in conformity with the terms and conditions, and s</t>
  </si>
  <si>
    <t xml:space="preserve"> Interested suppliers/dealers are invited to a sealed bidding to open in the presence of bidders at the Office of the Municipal Engineer, Catmon, Cebu for infrastructure. (See attached advertisement of bids). Name of Project	: 1. Fullway Road Concreting of</t>
  </si>
  <si>
    <t xml:space="preserve"> Republic of the Philippines PROVINCE OF CAMIGUIN Mambajao, Camiguin -ooOoo- OFFICE OF THE BIDS AND AWARDS COMMITTEE  INVITATION TO BID The Provincial Government of Camiguin through its Bids and Awards Committee (BAC) invites all interested and qualified b</t>
  </si>
  <si>
    <t xml:space="preserve"> See attached at the Back of Invitation to Bid (ITB)</t>
  </si>
  <si>
    <t xml:space="preserve"> Republic of the Philippines BIDS AND AWARDS COMMITTEE Province of Iloilo Invitation to Bid Purchase of Animal Feeds Bid No. AGR-20-0995-B 1. The Iloilo Provincial Government, through the GENERAL FUND 2020 intends to apply the sum of THREE HUNDRED SIXTEEN </t>
  </si>
  <si>
    <t xml:space="preserve"> CALABANGA WATER DISTRICT San Antonio, Calabanga, Camarines Sur INVITATION TO BID FOR Supply and Delivery of Submersible Pump, Motor and VFD Controller 1.	The Calabanga Water District, through the Corporate Budget of 2020 intends to apply the sum of P1,400</t>
  </si>
  <si>
    <t xml:space="preserve"> SEE THE ATTACHMENT</t>
  </si>
  <si>
    <t xml:space="preserve"> CALABANGA WATER DISTRICT San Antonio, Calabanga, Camarines Sur Invitation to Bid for Distribution Line Expansion at Brgy. Bonot Sta. Rosa– Labor and Materials 1.	The Calabanga Water District, through the Corporate Budget FY 2020 intends to apply the sum o</t>
  </si>
  <si>
    <t xml:space="preserve"> Heavy Duty Fast Speed Full Color Printer Line-Inkjet System Inks and Staple Wire</t>
  </si>
  <si>
    <t xml:space="preserve"> REPUBLIC OF THE PHILIPPINES PROVINCE OF CEBU MUNICIPALITY OF PINAMUNGAJAN Invitation to Bid for:  CONSTRUCTION OF SPILLWAY AT LOWER CAMPO, POBLACION 	 1.The MUNICIPALITY OF PINAMUNGAJAN, through the GENERAL FUND  intends to apply the sum of ONE MILLION PE</t>
  </si>
  <si>
    <t xml:space="preserve"> INVITATION TO REBID FOR THE PROCUREMENT OF SUPPLY &amp; DELIVERY OF CORN SEEDS FOR FOOD SECURITY (COVID 19) BY LOT     1.	The Department of Agriculture Regional Field Office 6 through the General Appropriations Act (GAA) of 2020 intends to apply the sum of On</t>
  </si>
  <si>
    <t xml:space="preserve"> The City Government of Malolos, through its BIDS and AWARDS COMMITTEE (BAC) Invites Suppliers/Manufacturers/Distributors to Bid for hereunder procurement:  PR No. : GSO-2020-07-1004 Name of Project : MULTI PURPOSE HALL AT BAHAY KALINGA, BRGY MAMBOG, CITY </t>
  </si>
  <si>
    <t xml:space="preserve"> INVITATION TO BID FOR THE PROCUREMENT OF SUPPLY &amp; DELIVERY OF 1,076 BAGS FERTILIZER     1.	The Department of Agriculture Regional Field Office 6 through the General Appropriations Act (GAA) of 2020 intends to apply the sum of One Million One Hundred Twent</t>
  </si>
  <si>
    <t xml:space="preserve"> INVITATION TO REBID FOR THE PROCUREMENT OF SUPPLY &amp; DELIVERY OF 5,500 HEADS NATIVE CHICKEN     1.	The Department of Agriculture Regional Field Office 6 through the General Appropriations Act (GAA) of 2020 intends to apply the sum of Three Million Three Hu</t>
  </si>
  <si>
    <t xml:space="preserve"> Negotiated Procurement No. 2020-25 (GAS) NOTICE FOR NEGOTIATED PROCUREMENT The Department of Agriculture, Western Visayas, Iloilo City invites all suppliers/distributors to participate in the NEGOTIATION for the Procurement of Supply &amp; Delivery of Piglets</t>
  </si>
  <si>
    <t xml:space="preserve"> Republic of the Philippines Province of Agusan del Sur MUNICIPALITY OF TALACOGON BIDS AND AWARDS COMMITTEE August 17, 2020 INVITATION TO BID  FOR THE PROCUREMENT OF MATERIALS FOR THE END LOCAL COMMUNIST ARM CONFLICT (ELCAC PROGRAM)    1.	The Local Governm</t>
  </si>
  <si>
    <t xml:space="preserve"> REPUBLIC OF THE PHILIPPINES PROVINCE OF CEBU MUNICIPALITY OF PINAMUNGAJAN Invitation to Bid for: COMPLETION OF MULTI-PURPOSE BUILDING (at Brgy. Rizal) 1. The MUNICIPALITY OF PINAMUNGAJAN, through the 20% DEV’T. FUND(LGU Fund – 600,000.00)&amp; BRGY. FUND – 84</t>
  </si>
  <si>
    <t xml:space="preserve"> Item Description 	Unit	Quantity Nutripack: Pasta Cheese Flavor	pc	34098 Nutripack: Chicken Macaroni Soap	pc	34098 Nutripack: Chicken Rice Porridge	pc	34098 Nutripack: Champorado	pc	34098 Nutripack: Beef Rice Porridge	pc	34098 Note: *Free delivery at Divis</t>
  </si>
  <si>
    <t xml:space="preserve"> CY 2020 BEFF REPAIR AND REHABILITATION OF CLASSROOMS (BATCH 2) 24 SCHOOLS Dela Paz Norte ES Panipuan ES Sindalan ES San Juan South ES San Pedro ES Pampanga HS Lara Integrated School Baliti IS San Isidro IS Saguin IS Telabastagan IS Maimpis IS Del Carmen I</t>
  </si>
  <si>
    <t xml:space="preserve"> Republic of the Philippines CARAGA ADMINISTRATIVE REGION XIII Province of Agusan del Sur MUNICIPALITY OF TALACOGON BIDS AND AWARDS COMMITTEE Date: August 17, 2020 INVITATION TO BID FOR THE IMPROVEMENT OF WATER SYSTEM  	The Local Government Unit of Talacog</t>
  </si>
  <si>
    <t xml:space="preserve"> See attached at the Back of the Invitation to Bid (ITB)</t>
  </si>
  <si>
    <t xml:space="preserve"> Construction of 136 lm of concrete lining at Sitio Diotorin</t>
  </si>
  <si>
    <t xml:space="preserve"> INVITATION TO REBID FOR THE PROCUREMENT OF SUPPLY &amp; DELIVERY OF 200 HEADS GOAT     1.	The Department of Agriculture Regional Field Office 6 through the General Appropriations Act (GAA) of 2020 intends to apply the sum of Three Million Pesos (Php3,000,000.</t>
  </si>
  <si>
    <t xml:space="preserve"> a. CONTRACT ID: RIZAL-04SEPTEMBER2020-1a b. NAME OF PROJECT: Improvement/Repair of Ynares Multi-Purpose Covered Court &amp; Improvement of Perimeter Fence at Brgy. Sta. Cruz &amp; Brgy. Dela Paz, Antipolo City a) Improvement of Ynares Multi-Purpose Covered Court </t>
  </si>
  <si>
    <t xml:space="preserve"> INVITATION TO BID FOR the Procurement of Assorted Technical and Scientific Equipment with Ref# 2020-08-09 1.	The FOOD AND NUTRITION RESEARCH INSTITUTE, through the “2020 GAA-Expanded NNS” intends to apply the sum of SEVEN MILLION FIVE HUNDRED TWENTY SEVEN</t>
  </si>
  <si>
    <t xml:space="preserve"> Republic of the Philippines PROVINCE OF ZAMBALES IBA BIDS AND AWARDS COMMITTEE Invitation to Bid for the Construction of Office, Locker &amp; Shower Room and Pool Pump Room at Zambales Sports Center Phase 2, Iba 1.	The Province of Zambales, through the Genera</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</si>
  <si>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</si>
  <si>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Purchase and delivery of 4 engine, 4000 tons, 40 person capacity rescue motorized banca with handheld radio and life jacket</t>
  </si>
  <si>
    <t xml:space="preserve"> Construction of 23 lm of flood control at Barangay Dibayabay</t>
  </si>
  <si>
    <t xml:space="preserve"> Supply and delivery of meals for 576 persons at the quarantine facilities of the Municipality of San Luis, Aurora (3 meals per day for 14 day-quarantine of each person)</t>
  </si>
  <si>
    <t xml:space="preserve"> a. CONTRACT ID: RIZAL-04SEPTEMBER2020-3 b. NAME OF PROJECT: Construction/Provision of Wash Facilities (Water, Sanitation &amp; Hygiene) at Binangonan Central Elem. School, Brgy. Layunan, Binangonan, Rizal c. LOCATION: Brgy. Layunan, Binangonan, Rizal d. BRIEF</t>
  </si>
  <si>
    <t xml:space="preserve"> Purchase of GT 4WD A/T service vehicle for the municipality of San Luis, Aurora (overall length mm - 4785, overall width - 1815 mm, overall height mm - 1805, wheelbase mm 2800, tread front/ rear 1520,1515) Performance: turning radius (m) 5.6, wading depth</t>
  </si>
  <si>
    <t xml:space="preserve"> Concreting of 710 linear meter of barangay road</t>
  </si>
  <si>
    <t xml:space="preserve"> a. CONTRACT ID: RIZAL-04SEPTEMBER2020-2 b. NAME OF PROJECT: Construction of Ynares Stage at Dr. Vivencio Villamayor Integrated School, Brgy. San Isidro, Angono, Rizal c. LOCATION: Brgy. San Isidro, Angono, Rizal d. BRIEF DESCRIPTION: Construction of Ynare</t>
  </si>
  <si>
    <t xml:space="preserve"> Invitation to Bid for PL480 UP-VETMED RENOVATION, (ANIMAL DISEASE DIAGNOSTIC LABORATORY &amp; TEACHING COMPLEX), COLLEGE OF VETERINARY MEDICINE COMPLEX, UP LOS BAÑOS, COLLEGE, LAGUNA 1.	The U.P. LOS BAÑOS, through the GOP through UPLB Reprogrammed Funds (Land</t>
  </si>
  <si>
    <t xml:space="preserve"> Completion of building which includes roof framing and roofing works</t>
  </si>
  <si>
    <t xml:space="preserve"> a. CONTRACT ID: RIZAL-04SEPTEMBER2020-6 b. NAME OF PROJECT: Construction of 2-Storey Ynares Multi-Purpose Building at Jannsen Ville Subd., Brgy. San Juan, Cainta, Rizal c. LOCATION: Brgy. San Juan, Cainta, Rizal  d. BRIEF DESCRIPTION: Construction of Ynar</t>
  </si>
  <si>
    <t xml:space="preserve"> a. CONTRACT ID: RIZAL-04SEPTEMBER2020-4 b. NAME OF PROJECT: Improvement of Ynares Multi-Purpose Covered Court and Stage at Montevilla Subd., Brgy. Bilibiran, Binangonan, Rizal c. LOCATION: Brgy. Bilibiran, Binangonan, Rizal d. BRIEF DESCRIPTION: Improveme</t>
  </si>
  <si>
    <t xml:space="preserve"> Construction of evacuation center which includes finishing works, plumbing/ sanitary works and electrical</t>
  </si>
  <si>
    <t xml:space="preserve"> a. CONTRACT ID: RIZAL-04SEPTEMBER2020-16 b. NAME OF PROJECT: Concreting of School Ground &amp; Construction of Artesian Well at Brgy. 2nd District &amp; Brgy. Pagkalinawan, Jalajala, Rizal a) Concreting of School Ground (portion) at Jalajala National High School,</t>
  </si>
  <si>
    <t xml:space="preserve"> a. CONTRACT ID: RIZAL-04SEPTEMBER2020-15 b. NAME OF PROJECT: Construction/Provision of Wash Facilities (Water, Sanitation &amp; Hygiene) for Evacuation Center at Sipsipin Elem. School, Jalajala, Rizal c. LOCATION: Jalajala, Rizal d. BRIEF DESCRIPTION: Wash Fa</t>
  </si>
  <si>
    <t xml:space="preserve"> a. CONTRACT ID: RIZAL-04SEPTEMBER2020-13 b. NAME OF PROJECT: Construction of Covered Pathwalk at Punta Elem. School, Brgy. Punta, Jalajala, Rizal c. LOCATION: , Brgy. Punta, Jalajala, Rizal d. BRIEF DESCRIPTION: Construction of Covered Pathwalk. e. MAJOR </t>
  </si>
  <si>
    <t xml:space="preserve"> Rehabilitation/Improvement of Maintenance of SB Building/Construction of Children's Library at Barangay 2, San Luis, Aurora</t>
  </si>
  <si>
    <t xml:space="preserve"> a. CONTRACT ID: RIZAL-04SEPTEMBER2020-22 b. NAME OF PROJECT: Construction/Provision of Wash Facilities (Water, Sanitation &amp; Hygiene) for Evacuation Center at Malaya  Elem. School, Pililla, Rizal c. LOCATION: Pililla, Rizal  d. BRIEF DESCRIPTION: Wash Faci</t>
  </si>
  <si>
    <t xml:space="preserve"> a. CONTRACT ID: RIZAL-04SEPTEMBER2020-17 b. NAME OF PROJECT: Repair/Repainting/Improvement of Ynares School Buildings, Ynares Stage and Ynares Multi-Purpose Covered Court at Hulo Nat'l. High School, Brgy. Hulo, Pililla, Rizal a) Repair/Repainting of Ynare</t>
  </si>
  <si>
    <t xml:space="preserve"> a. CONTRACT ID: RIZAL-04SEPTEMBER2020-14 b. NAME OF PROJECT: Construction/Provision of Wash Facilities (Water, Sanitation &amp; Hygiene) for Evacuation Center at Bagumbong Elem. School, Jalajala, Rizal c. LOCATION: Jalajala, Rizal d. BRIEF DESCRIPTION: Wash F</t>
  </si>
  <si>
    <t xml:space="preserve"> a. CONTRACT ID: RIZAL-04SEPTEMBER2020-18 b. NAME OF PROJECT: Construction/Provision of Wash Facilities (Water, Sanitation &amp; Hygiene) for Evacuation Center at Pililla Elem. School (Central), Pililla, Rizal c. LOCATION: Pililla, Rizal d. BRIEF DESCRIPTION: </t>
  </si>
  <si>
    <t xml:space="preserve"> a. CONTRACT ID: RIZAL-04SEPTEMBER2020-19 b. NAME OF PROJECT: Construction/Provision of Wash Facilities (Water, Sanitation &amp; Hygiene) for Evacuation Center at URS Pililla, Pililla, Rizal c. LOCATION: Pililla, Rizal d. BRIEF DESCRIPTION: Wash Facilities. e.</t>
  </si>
  <si>
    <t xml:space="preserve"> a. CONTRACT ID: RIZAL-04SEPTEMBER2020-12 b. NAME OF PROJECT: Extension of Existing 2-storey Ynares Multi-Purpose Building, Brgy. 3rd District, Jalajala, Rizal c. LOCATION: Brgy. 3rd District, Jalajala, Rizal d. BRIEF DESCRIPTION: Extension of Existing Yna</t>
  </si>
  <si>
    <t xml:space="preserve"> a. CONTRACT ID: RIZAL-04SEPTEMBER2020-11 b. NAME OF PROJECT: Improvement / Construction of Stone Masonry for Slope Protection of creek (portion), Brgy. Nagsulo, Cardona, Rizal c. LOCATION: Brgy. Nagsulo, Cardona, Rizal d. BRIEF DESCRIPTION: Slope Protecti</t>
  </si>
  <si>
    <t xml:space="preserve"> a. CONTRACT ID: RIZAL-04SEPTEMBER2020-5 b. NAME OF PROJECT: Construction of 2-storey Ynares Multi-Purpose Building at Oliveros Compound, Kalawaan, Brgy. Darangan, Binangonan, Rizal c. LOCATION: Brgy. Darangan, Binangonan, Rizal d. BRIEF DESCRIPTION: Const</t>
  </si>
  <si>
    <t xml:space="preserve"> a. CONTRACT ID: RIZAL-04SEPTEMBER2020-10 b. NAME OF PROJECT: Concreting of creek bed at Purok 1 and Purok 2, Brgy. Balibago, Cardona, Rizal c. LOCATION: Brgy. Balibago, Cardona, Rizal  d. BRIEF DESCRIPTION: Concreting of creek bed e. MAJOR ITEM OF WORK:  </t>
  </si>
  <si>
    <t xml:space="preserve"> a. CONTRACT ID: RIZAL-04SEPTEMBER2020-21 b. NAME OF PROJECT: Construction/Provision of Wash Facilities (Water, Sanitation &amp; Hygiene) for Evacuation Center at Hulo Elem. School, Pililla, Rizal c. LOCATION: Pililla, Rizal d. BRIEF DESCRIPTION: Wash Faciliti</t>
  </si>
  <si>
    <t xml:space="preserve"> a. CONTRACT ID: RIZAL-04SEPTEMBER2020-20 b. NAME OF PROJECT: Construction/Provision of Wash Facilities (Water, Sanitation &amp; Hygiene) for Evacuation Center at Hulo National High School, Pililla, Rizal c. LOCATION: Pililla, Rizal d. BRIEF DESCRIPTION: Wash </t>
  </si>
  <si>
    <t xml:space="preserve"> a. CONTRACT ID: RIZAL-04SEPTEMBER2020-7 b. NAME OF PROJECT: Construction/Provision of Wash Facilities (Water, Sanitation &amp; Hygiene), Brgy. Tuna, Cardona, Rizal c. LOCATION: Brgy. Tuna, Cardona, Rizal d. BRIEF DESCRIPTION: Wash Facilities. e. MAJOR ITEM OF</t>
  </si>
  <si>
    <t xml:space="preserve"> INVITATION TO BID FOR the Procurement of LIQUID CHROMATOGRAPHY-TANDEM MASS SPECTROMETRY (MS/MS) SYSTEM with Ref# 2020-08-10 1.	The FOOD AND NUTRITION RESEARCH INSTITUTE, through the GIA project entitled “Exposure Assessment of Food Chemical Contamination </t>
  </si>
  <si>
    <t xml:space="preserve"> Republic of the Philippines Province of Antique MUNICIPALITY OF PANDAN INVITATION TO BID FOR: OPENING/CONSTRUCTION OF ACCESS ROAD,  CARMEN, PANDAN, ANTIQUE The LOCAL GOVERNMENT UNIT OF PANDAN, ANTIQUE, through the 20% IRA 2020 intends to apply the total s</t>
  </si>
  <si>
    <t xml:space="preserve"> Republic of the Philippines Province of Antique MUNICIPALITY OF PANDAN INVITATION TO BID FOR: CONCRETING OF BARANGAY ROAD, ZALDIVAR, PANDAN, ANTIQUE The LOCAL GOVERNMENT UNIT OF PANDAN, ANTIQUE, through the Economic Development Program/20% IRA intends to </t>
  </si>
  <si>
    <t xml:space="preserve"> a. CONTRACT ID: RIZAL-04SEPTEMBER2020-9 b. NAME OF PROJECT: Repair/Repainting of Various Ynares School Building at Dalig Elem. School, Brgy. Dalig, Cardona, Rizal c. LOCATION: Brgy. Dalig, Cardona, Rizal  d. BRIEF DESCRIPTION: Repair/Repainting of Various</t>
  </si>
  <si>
    <t xml:space="preserve"> to be used by the sangguniang barangay and for the convenient of their constituent.</t>
  </si>
  <si>
    <t xml:space="preserve"> 2700 linear meter of pipes laying for water system at Barangay Dimanayat</t>
  </si>
  <si>
    <t xml:space="preserve"> Republic of the Philippines Province of Antique MUNICIPALITY OF PANDAN INVITATION TO BID FOR: CONSTRUCTION/INSTALLATION OF STREET LIGHTINGS,  CENTRO SUR-CENTRO NORTE, PANDAN, ANTIQUE The LOCAL GOVERNMENT UNIT OF PANDAN, ANTIQUE, through the 20% Developmen</t>
  </si>
  <si>
    <t xml:space="preserve"> ITB / PURCHASE REQUEST</t>
  </si>
  <si>
    <t xml:space="preserve"> Republic of the Philippines Province of Antique MUNICIPALITY OF PANDAN INVITATION TO BID FOR: CONSTRUCTION OF BARANGAY ROAD, ZALDIVAR, PANDAN, ANTIQUE The LOCAL GOVERNMENT UNIT OF PANDAN, ANTIQUE, through the Capital Outlay/Supplemental Budget No. 1  inte</t>
  </si>
  <si>
    <t xml:space="preserve"> Republic of the Philippines        DEPARTMENT OF PUBLIC WORKS AND HIGHWAYS LAGUNA I  DISTRICT ENGINEERING OFFICE REGIONAL OFFICE NO. IV-A 	Santa Cruz, Laguna	            Invitation to Bid The Department of Public Works and Highways- Laguna I District Engi</t>
  </si>
  <si>
    <t xml:space="preserve"> a. CONTRACT ID: RIZAL-04SEPTEMBER2020-30 b. NAME OF PROJECT: Construction/Provision of Wash Facilities (Water, Sanitation &amp; Hygiene) at Sitio Abuyod, Brgy. Dalig, Teresa, Rizal c. LOCATION: Brgy. Dalig, Teresa, Rizal d. BRIEF DESCRIPTION: Wash Facilities.</t>
  </si>
  <si>
    <t xml:space="preserve"> 1 set CCTV HIKVISION H 265+1080 4mp         Hikvision hd 1000P 2MP Full Time Color 3D         COAXIALCable RJ6 w/Power 30 meters         SEAGATE ST2000VX000 3.5 2TB SKYHAWK         NVISION 32 110 240V/50 60HZ/40CD M3/3000         with installation 3 rolls</t>
  </si>
  <si>
    <t xml:space="preserve"> a. CONTRACT ID: RIZAL-04SEPTEMBER2020-29 b. NAME OF PROJECT: Construction/Provision of Wash Facilities (Water, Sanitation &amp; Hygiene) for Evacuation Center at Sitio Aguho, Tanay, Rizal c. LOCATION: Tanay, Rizal d. BRIEF DESCRIPTION: Wash Facilities. e. MAJ</t>
  </si>
  <si>
    <t xml:space="preserve"> a. CONTRACT ID: RIZAL-04SEPTEMBER2020-28 b. NAME OF PROJECT: Concrete Reblocking of Cattleya Street, Modesta Village, Sto. Niňo, San Mateo, Rizal c. LOCATION: Sto. Niňo, San Mateo, Rizal d. BRIEF DESCRIPTION: Road improvement. e. MAJOR ITEM OF WORK: PCC P</t>
  </si>
  <si>
    <t xml:space="preserve"> Description I.	Sign Board II.	Clearing &amp; Grubbing III.	Subgrade Preparation &amp; Base Correction IV.	Filling Materials V.	Aggregate Sub Base Course VI.	Aggregate Base Course (+10% Shrinkage) VII.	Portland Cement Concrete Pavement VIII.	Formworks IX.	Shoulder</t>
  </si>
  <si>
    <t xml:space="preserve"> Republic of the Philippines Region 10 – Northern Mindanao Province of Lanao del Norte MUNICIPALITY OF BALO-I Email: mlgubaloi.ldn@gmail.com Office of the Bids and Awards Committee Invitation to Bid  1. The Local Government Unit of Balo-i, Lanao del Norte,</t>
  </si>
  <si>
    <t xml:space="preserve"> Various Butchers' tools and meat processing equipment.</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</si>
  <si>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</si>
  <si>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1.	The Bureau of Soils and Water Management, through the General Appropriation Act for CY 2020 intends to apply the sum of One Million Six Hundred Twenty-Seven Thousand Seven Hundred Eighty pesos (Php 1, 627, 780.00) being the Approved Budget for the Cont</t>
  </si>
  <si>
    <t xml:space="preserve"> 1.	The Bureau of Soils and Water Management, through the General Appropriation Act for CY 2020 intends to apply the sum of: LOT 1- Supply and Delivery of various Chemicals in the amount of One Million Two Hundred Seventy Thousand Nine Hundred Fifty pesos </t>
  </si>
  <si>
    <t xml:space="preserve"> Republic of the Philippines CITY OF TACURONG OFFICE OF THE CITY MAYOR INVITATION TO BID FOR CONSTRUCTION OF DRAINAGE CANAL (Contract ID No: 2020-CW-027) The City Government of Tacurong, through 20% Development Fund 2020 to apply the sum stated below being</t>
  </si>
  <si>
    <t xml:space="preserve"> Republic of the Philippines Province of Antique MUNICIPALITY OF PANDAN INVITATION TO BID FOR: CONSTRUCTION OF STA ANA-SAN JOAQUIN FARM-TO-MARKET  ROAD (SASJ FMR), PANDAN, ANTIQUE The LOCAL GOVERNMENT UNIT OF PANDAN, ANTIQUE, through the 20% IRA Prior Year</t>
  </si>
  <si>
    <t xml:space="preserve"> Republic of the Philippines CITY OF TACURONG OFFICE OF THE CITY MAYOR INVITATION TO BID FOR WIDENING OF BARANGAY ROADS (RE-BIDDING) (Contract ID No: 2020-CW-019) The City Government of Tacurong, through 20% Development Fund 2020 intends to apply the sum s</t>
  </si>
  <si>
    <t xml:space="preserve"> I N V I T A T I O N   T O   B I D 2020 – 157 August 17, 2020 1.	The Provincial Government of Tarlac through the PGO - Capital Outlay - Motor Vehicles intends to apply the sum of One Million Six Thousand One Hundred Twenty-Eight Pesos Only (PhP 1,006,128.0</t>
  </si>
  <si>
    <t xml:space="preserve"> SCOPE OF WORK/DESCRIPTION	QTY.	UNIT 		 General Requirements	 	  Mobilization/Demobilization	                       1	lot Permits	                                               1	lot Professional Works and Supervision	       1	lot Temporary Facilities	    </t>
  </si>
  <si>
    <t xml:space="preserve"> 1.	The Bureau of Soils and Water Management, through the General Appropriation Act for CY 2020 intends to apply the sum of Eight Million Five Hundred Thousand pesos (Php 8,500,000.00) being the Approved Budget for the Contract (ABC) to payments under the </t>
  </si>
  <si>
    <t xml:space="preserve"> I N V I T A T I O N   T O   B I D 2020 – 159 August 17, 2020 1.	The Provincial Government of Tarlac through the PGO – Capital Outlay – Medical Equipment to apply the sum of One Million Six Hundred Thousand Pesos (Php 1,600,000.00) being the Approved Budge</t>
  </si>
  <si>
    <t xml:space="preserve"> I N V I T A T I O N   T O   B I D 2020 – 158 August 17, 2020 1.	The Provincial Government of Tarlac through the PGO - Printing and Publication Expenses intends to apply the sum of One Million Six Hundred Fifteen Thousand Five Hundred Pesos Only (Php 1,615</t>
  </si>
  <si>
    <t xml:space="preserve"> National Power Corporation INVITATION TO BID PUBLIC BIDDING 2020-0290 1.	The NATIONAL POWER CORPORATION (NPC), through       its        approved       Corporate Budget of CY 2020 intends to apply   the   sum   of (Please see schedule below) being the Appr</t>
  </si>
  <si>
    <t xml:space="preserve"> Description I.	Sign Board II.	Clearing &amp; Grubbing III.	Concrete Breaking IV.	Excavation V.	Gravel Bedding VI.	Formworks VII.	Reinforcement Works VIII.	Concrete Works IX.	Masonry Works X.	Construction Safety &amp; Health  1. Barangay Picas Tanauan, LEYTE throu</t>
  </si>
  <si>
    <t xml:space="preserve"> CONSTRUCTION</t>
  </si>
  <si>
    <t xml:space="preserve"> Supply, Delivery and Installation of Accelerographs</t>
  </si>
  <si>
    <t xml:space="preserve"> a. CONTRACT ID: RIZAL-04SEPTEMBER2020-26 b. NAME OF PROJECT: 	Construction of Perimeter Fence at Talaga Elem. School, Sitio Talaga, Brgy. Maybancal, Morong, Rizal c. LOCATION: Brgy. Maybancal, Morong, Rizal  d. BRIEF DESCRIPTION: Construction of Perimeter</t>
  </si>
  <si>
    <t xml:space="preserve"> a. CONTRACT ID: RIZAL-04SEPTEMBER2020-27 b. NAME OF PROJECT: Rehabilitation / Concreting of Zinia Street and Cardinal Ext. Street, Modesta Village, Sto. Niňo, San Mateo, Rizal c. LOCATION: Sto. Niňo, San Mateo, Rizal d. BRIEF DESCRIPTION: Road improvement</t>
  </si>
  <si>
    <t xml:space="preserve"> Republic of the Philippines Region 10 – Northern Mindanao Province of Lanao del Norte MUNICIPALITY OF BALO-I Email: mlgubaloi.ldn@gmail.com Office of the Bids and Awards Committee 			 Invitation to Bid  1. The Local Government Unit of Balo-i, Lanao del No</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</si>
  <si>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</si>
  <si>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FORM NO. 014- INVITATION TO APPLY FOR ELIGIBILITY AND TO BID) Republic of the Philippines Sangguniang Barangay of Anato Barangay Anato, Pagbilao, Quezon INVITATION TO APPLY FOR ELIGIBILITY AND TO BID Date: Aug. 15, 2020 The Sangguniang Barangay Anato, Pag</t>
  </si>
  <si>
    <t xml:space="preserve"> I. Mobilization II. Excavation III. CSHP' IV. Project Billboard V. Formworks and Scaffolds VI. Steel Works VII. Concrete Works VIII. Masonry Works IX. Equipment X. Painting Works Labor</t>
  </si>
  <si>
    <t xml:space="preserve"> a. CONTRACT ID: RIZAL-04SEPTEMBER2020-23 b. NAME OF PROJECT: Improvement / Construction of Drainage Canal at Block 3 Street and Block 17 Street, St. Peterville Subd., Brgy. San Jose, Rodriguez, Rizal c. LOCATION: Brgy. San Jose, Rodriguez, Rizal d. BRIEF </t>
  </si>
  <si>
    <t xml:space="preserve"> REPAIR OF STREET LIGHTING'S AT COMPOUND, INTAKE AND POWERHOUSE</t>
  </si>
  <si>
    <t xml:space="preserve"> 380.18 meters earthworks for 32 calendar days of works</t>
  </si>
  <si>
    <t xml:space="preserve"> a. CONTRACT ID: RIZAL-04SEPTEMBER2020-24 b. NAME OF PROJECT: Construction of  Ynares Multi-Purpose Building &amp; Construction of Drainage Canal at Rodriguez &amp; Baras, Rizal a) Construction of 2-storey Ynares Multi-Purpose Building at Eastwood Residences Phase</t>
  </si>
  <si>
    <t xml:space="preserve"> a. CONTRACT ID: RIZAL-04SEPTEMBER2020-8 b. NAME OF PROJECT: Repair of Ynares Multi-Purpose Covered Court, Brgy. Looc, Cardona, Rizal c. LOCATION: Brgy. Looc, Cardona, Rizal d. BRIEF DESCRIPTION: Repair of Ynares Multi-Purpose Covered Court. e. MAJOR ITEM </t>
  </si>
  <si>
    <t xml:space="preserve"> Multi-purpose hall/recreational and educational building, Phase 1</t>
  </si>
  <si>
    <t xml:space="preserve"> INVITATION TO BID Contract ID No. 20GO00001: Procurement of Security Services Contract for DPWH-NCR.  The Department of Public Works and Highways-National Capital Region, through the Bids and Awards Committee (BAC), intends to apply the sum of Php 10,364,</t>
  </si>
  <si>
    <t xml:space="preserve"> RFQ&gt;&gt;&gt; Reproduction of Self Learning Module for Kindergarten to Grade VI Learner|  Rizal Elementary School ABC=P677,855.95 qty: 903,808</t>
  </si>
  <si>
    <t xml:space="preserve"> UNINTERRUPTIBLE POWER SUPPLY (UPS) AT WAREHOUSE SERVER</t>
  </si>
  <si>
    <t xml:space="preserve"> ANNUAL PMS OF THREE UNITS, SUPPLY AND DELIVERY OF GENERATOR CLEANER, FAST DRYING &amp; SLOW DRYING</t>
  </si>
  <si>
    <t xml:space="preserve"> installation and delivery</t>
  </si>
  <si>
    <t xml:space="preserve"> 28 cu.m. Aggreagate Base Course 23 cu.m. Graded Gravel (G-1) 1 cu.m.Gravel 21.5 cu.m.Washed Sand 310 bags Portland Cement 6 pcs 2" x 8" x 20 C-Purlins 4 kls. 4" CWN 2 kls. 3" CWN 1 pc. 1/4"x2"x2.60m Steel Plate w/handle 9 lenght 16mm diax6m RSB (Dowels/pe</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</si>
  <si>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</si>
  <si>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a. CONTRACT ID: RIZAL-04SEPTEMBER2020-25 b. NAME OF PROJECT: Improvement of various school buildings at Tagumpay National High School, Brgy.  San Jose, Rodriguez, Rizal c. LOCATION: Brgy.  San Jose, Rodriguez, Rizal d. BRIEF DESCRIPTION: Improvement of va</t>
  </si>
  <si>
    <t xml:space="preserve"> REQUEST FOR EXPRESSION OF INTEREST (REOI) FOR Contract ID	2020-CS-001 Contract Name	SUBSCRIPTION OF AN OFF-THE-SHELF HOUSEHOLD-LEVEL DATA MANAGEMENT SYSTEM (Developed for LGUs) and Formulation of Comprehensive Land Use Plan (CLUP) Contract Location	San Pa</t>
  </si>
  <si>
    <t xml:space="preserve"> TO SUPPLY LABOR, TOOLS, EQUIPMENT AND MATERIALS FOR THE CUTTING OF TREES ALONG SLOPES OF POWER CHANNEL AND TREE PLANTING - PHASE 2 WITHIN THE PLANT.</t>
  </si>
  <si>
    <t xml:space="preserve"> RFQ&gt;&gt;&gt; Reproduction of Self Learning Module for Kindergarten to Grade VI Learner|  Rizal Elementary School ABC=P110,999.25 qty: 147,999</t>
  </si>
  <si>
    <t xml:space="preserve"> Purchase of Brgy. Patrol Car and Mini Dumptruck Approved Budget: 1,600,000.00 Specifications:  Mini Dumptruck                      A. Recondition                      B. Fuel- DIESEL                      C. Series- Elf                      D. Body Type- M</t>
  </si>
  <si>
    <t xml:space="preserve"> INVITATION TO BID  	 The Department of Public Works and Highways-National Capital Region (DPWH-NCR), through  its Bids and Awards Committee (BAC), invites contractors to submit bids for the hereunder Contract/s: 	  	        Contract ID	20O00067 Contract N</t>
  </si>
  <si>
    <t xml:space="preserve"> Republic of the Philippines     DEPARTMENT OF PUBLIC WORKS AND HIGHWAYS   BUKIDNON 3RD  DISTRICT ENGINEERING OFFICE REGION X Dicklum, Manolo Fortich, Bukidnon ------------------------------------------------------------------------------------------------</t>
  </si>
  <si>
    <t xml:space="preserve"> Invitation to Bid Supply and Delivery of Vehicles for the Integrated Natural Resources and Environmental Management Project – Livelihood Enhancement Support 2 (INREMP-LES 2) 1. The Government of the Philippines (GOP) has received a Loan from the Asian Dev</t>
  </si>
  <si>
    <t xml:space="preserve"> 1	Certified Hybrid Yellow Corn Seeds (Lowland-Mindanao) Glyphosate Ready, with Corn Borer           Protection,Potential Yield: 14 MT/ Hectare, Maturity: 110-115 DAP 2	Organic Fertilizer (Pure Vermicast) 3	Complete Fertilizer (14-14-14) 4	Urea (46-0-0) Ni</t>
  </si>
  <si>
    <t xml:space="preserve"> RFQ&gt;&gt;&gt; Reproduction of Learner's Modules (module 1) | Quezon Hill NHS ABC=P103,200.00 qty: 205,680</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</si>
  <si>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</si>
  <si>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Republic of the Philippines Province of Leyte Municipality of Tunga Invitation to Bid for One Lot Expansion of Evacuation Center Project Category: Building Source of Funds: LGSF-AM 2018 ABC: Php 5,923,000.00 Bidding will be conducted through open competit</t>
  </si>
  <si>
    <t xml:space="preserve"> INVITATION TO RE- BID 	The DOH Central Luzon Center for Health Development through its Bids and Awards Committee (BAC), invites suppliers/manufacturers/distributors to bid for the hereunder project: Project	 Project Description	Approved Budget for the Con</t>
  </si>
  <si>
    <t xml:space="preserve"> Supply and Delivery of Exit Signage and Various LED Lamps (7-line items), as per BSP Technical Specifications and BSP Supplied Evaluation Matrix Please see the attachment in the Associated Components for the bidding documents.</t>
  </si>
  <si>
    <t xml:space="preserve"> 1.) 13,655 reams - PAPER                            Multi-Purpose (Copy) A4, 70 GSM, 210mm x 29700 2.) 300 units - PRINTER                       Continuous Ink                       High-yield ink bottles                       Print speed up to 8.5ipm for</t>
  </si>
  <si>
    <t xml:space="preserve"> The Department of Agriculture-RFO 3, invites interested suppliers/ bidders to submit bid proposal(s) for the hereunder requirement, to wit: 20 units Generator Set 		 Specifications:			 Genset: Standby power rated 50 KVA/40 kw Minimum, Open type, with digi</t>
  </si>
  <si>
    <t xml:space="preserve"> Needed materials for office, safety and repairs. folders cartolina bondpapers clips box alcohols' gloves corrections paint thumb tax</t>
  </si>
  <si>
    <t xml:space="preserve"> 1.	The BUREAU OF FIRE PROTECTION, NATIONAL CAPITAL REGION (NCR) invites PhilGEPS registered suppliers to bid for this item: Lot No.	Qty	Item/Description	Approved Budget for the Contract	Price of Bid Documents	Delivery Period 1	1 lot	Procurement of Automot</t>
  </si>
  <si>
    <t xml:space="preserve"> Name of the Procuring Entity:  Department of Health Name of the Project: PROCUREMENT OF REPAIR AND MAINTENANCE OF RECORDS OFFICE OF BUILDING 9 SVP No. 2020-043 _____________________________                 Name of Company _____________________________    </t>
  </si>
  <si>
    <t xml:space="preserve"> SCOPE OF WORKS: B.5	Project Billboard &amp; Signboard	2.00	each B.7 (1)	Occupational Safety and Health Program	4.00	mo.		 102(2)	Roadway Excavation (Surplus Common)	87.50	cu.m. 103(1)a	Structure Excavation, Common Soil, RCPC)	12.35	cu.m. 104(1)a	Embankment fr</t>
  </si>
  <si>
    <t xml:space="preserve"> 1.0 ROOFING WORKS - EST. QTY = 1 LOT; AMOUNT P 9,390.00 2.0 STEEL WORKS - EST. QTY = 1 LOT; AMOUNT P 13,420.00 3.0 CARPENTRY WORKS - EST QTY = 44.24 SQ. MTR; AMOUNT P 39,000.00 4.0 PAINTING WORKS - EST QTY= 135.24 SQ. MTR; AMOUNT P 14,020.00 5.0 PROJECT S</t>
  </si>
  <si>
    <t xml:space="preserve"> SCOPE OF WORKS: B.5	        Project Billboard &amp; Signboard	2.00	each B.7 (1)	Occupational Safety and Health Program	6.67	mo. 101(4) a.3	Removal of Structures/Obstruction, 910 mm dia. RCPC	7.00	each 103(1)a	Structure Excavation, Common Soil (Box Culvert)	17</t>
  </si>
  <si>
    <t xml:space="preserve"> See attached file for details.</t>
  </si>
  <si>
    <t xml:space="preserve"> SCOPE OF WORKS: B.3	Project Billboard &amp; Sign Board	2.00	each B.7	Occupational Safety and Health Program	5.00	months		 101(3)c1	Removal of Actual Structure/Obstruction (50mm thk. ACP)	4,040.00	cu.m. 103(6)a	Pipe Culvert and Drain Excavation	2.43	cu.m. 104(</t>
  </si>
  <si>
    <t xml:space="preserve"> 1.0 MASONRY WORKS.   EST. QTY = 22.96 SQ. MTR; AMOUNT P 24,605.00 2.0 ROOFING WORKS     EST QTY = 40.50 SQ MTR; AMOUNT P 46,430.00 3.0 CEILING WORKS      EST QTY = 166.67 BD. FT; AMOUNT P  29,400.00 4.0 DOORS AND WINDOWS.  EST QTY = 1 LOT; BD. FT.; AMOUNT</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</si>
  <si>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</si>
  <si>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SCOPE OF WORKS: B.3	Project Billboard &amp; Sign Board	2.00	each		 100(3)a2	Individual Removal of Trees(Small B, 301-500 mm dia.)	45.00	ea. 101(1)	Removal of Structures/Obstruction, (Buildings)	1.00	l.s 101(3)b1	Removal of Structures/Obstruction, (0.15 thk) P</t>
  </si>
  <si>
    <t xml:space="preserve"> The Department of Agriculture-RFO 3, invites interested suppliers/ bidders to submit bid proposal(s) for the hereunder requirement, to wit: 4 UNITS Hand Tractor with Complete Accessories Specification:   1. Prime Mover     1.1 Horsepower: 7 Hp Minimum   1</t>
  </si>
  <si>
    <t xml:space="preserve"> 803(1)a	Structure Excavation (Common Soil)	5	cu.m.	3,060.00 900(1)	Structural Concrete	6.30	cu.m.	44,326.80 902(1)	Reinforcing Steel	250	kgs	16,375.00 903(2)	Form works and False Works	5	sq.m.	4,990.00 1013(2)a	Installation of Ridge Roll and Flashing	8	m.</t>
  </si>
  <si>
    <t xml:space="preserve"> SCOPE OF WORKS: B.3	Project Billboard &amp; Sign Board	2.00	each B.7	Occupational Safety and Health Program	5.00	months		 101(4)a	Removal of Structures/Obstruction, 457 mm dia. RCPC	5.00	ln.m. 102(2)	Roadway Excavation (Surplus Common)	445.94	cu.m. 103(6)a	Pi</t>
  </si>
  <si>
    <t xml:space="preserve"> Please see attached file for details.</t>
  </si>
  <si>
    <t xml:space="preserve"> Invitation to Bid for  Construction of Bancagan Farmers Multi-Purpose Center, Naguilian, La Union 1.	The Provincial Government of La Union, through the RA7171 intends to apply the sum of ₱3,900,000.00 being the Approved Budget for the Contract (ABC) to pa</t>
  </si>
  <si>
    <t xml:space="preserve"> INVITATION TO QUOTE Date:  August 14, 2020 1.	The Provincial Government of Davao del Sur, through its Bids and Awards Committee (BAC), invites all interested bidders/suppliers to quote for the following goods under Alternative Methods of Procurement (Smal</t>
  </si>
  <si>
    <t xml:space="preserve"> B.9	Mobilization/Demobiliazation	Lot	all	6,500.00 102(2)b	Roadway Excavation (surplus common)	65	cu.m.	10,772.00 103(1)a	Structure Excavation (Common Soil)	5	cu.m.	1,780.00 104(1)a	Embankment from Roadway Excavations	15	cu.m.	3,855.00 105(1)	Subgrade Prep</t>
  </si>
  <si>
    <t xml:space="preserve"> Service Vehicle (4x4 Pick Up Type)</t>
  </si>
  <si>
    <t xml:space="preserve"> INVITATION TO QUOTE Date:  August 13, 2020 1.	The Provincial Government of Davao del Sur, through its Bids and Awards Committee (BAC), invites all interested bidders/suppliers to quote for the following goods under Alternative Methods of Procurement (Smal</t>
  </si>
  <si>
    <t xml:space="preserve"> Service Vehicle (AUV)</t>
  </si>
  <si>
    <t xml:space="preserve"> Concrete Pavement</t>
  </si>
  <si>
    <t xml:space="preserve"> INVITATION TO BID FOR THE SUPPLY AND DELIVERY OF  SARI SARI STORE LIVELIHOOD KITS FOR THE 190 MICRO ENTERPRISES IN THE EIGHT (8) MUNICIPALITIES OF THE SECOND (2ND) DISTRICT OF ILOCOS SUR 1.	The Department of Trade and Industry – Region 1, through the Gene</t>
  </si>
  <si>
    <t xml:space="preserve"> Service Vehicle (4x4 A/T Pick Up Type)</t>
  </si>
  <si>
    <t xml:space="preserve"> PROCUREMENT OF CONSTRUCTION SUPPLIES AND MATERIALS FOR THE EXTENSION OF LOCAL ROAD</t>
  </si>
  <si>
    <t xml:space="preserve"> B.9	Mobilization/Demobiliazation	lot	all	41,691.30 101(3)a	Removal of Existing Concrete Pavement (tire path)	428	sq.m.	70,662.80 102(2)b	Roadway Excavation (surplus common)	735.86	cu.m.	133,337.83 103(1)a	Structure Excavation (common soil)	20	cu.m.	6,332.</t>
  </si>
  <si>
    <t xml:space="preserve"> Invitation to Bid for  Construction of Farmers Multi-Purpose Center, San Carlos, Caba, La Union 1.	The Provincial Government of La Union, through the RA7171 intends to apply the sum of ₱3,900,000.00 being the Approved Budget for the Contract (ABC) to paym</t>
  </si>
  <si>
    <t xml:space="preserve"> Republic of the Philippines Region XII Province of Cotabato BIDS AND AWARDS COMMITTEE Amas, Kidapawan City INVITATION TO BID FOR Supply &amp; Delivery of Smart Android TV for DEPED Offline Video Lessons. (PB-20-446) 1.	The Provincial Government of Cotabato, t</t>
  </si>
  <si>
    <t xml:space="preserve"> Installation of Streetlights/Tugtug, San Jose, Batangas	 2020-08-03 Supply of Labor, Materials &amp; Equipment	 P 519,167.28	 20% Dev. Fund	 45 days 1.Issuance of Bid documents	August 17,2020-September 4,2020 2. Pre-Bid conference	   none 3. Receipt of Bids	S</t>
  </si>
  <si>
    <t xml:space="preserve"> Republic of the Philippines Office of the Municipal Mayor BIDS AND AWARDS COMMITTEE Sual, Pangasinan Invitation to Bid for PROCUREMENT OF MEDICAL SUPPLIES AND EQUIPMENT (Sual, Pangasinan) 1.	The Municipal Government of Sual, Pangasinan, through the 2020 L</t>
  </si>
  <si>
    <t xml:space="preserve"> Republic of the Philippines Region XII Province of Cotabato BIDS AND AWARDS COMMITTEE Amas, Kidapawan City INVITATION TO BID FOR Supply &amp; Delivery of Inorganic Fertilizer for production support to identified farmers provincewide . (PB-20-414) 1.	The Provi</t>
  </si>
  <si>
    <t xml:space="preserve"> BUSHING, CURRENT TRANSFORMER, HIGH VOLTAGE SIDE, SUPPLY AND DELIVERY OF ONE HIGH VOLTAGE BUSHING OF PULANGI IV HEP 31.5MVA TAKE-OFF TRANSFORMER</t>
  </si>
  <si>
    <t xml:space="preserve"> BREAKER, CIRCUIT BREAKER, MOLDED CIRCUIT BREAKERS OF VARIOUS AMPERES</t>
  </si>
  <si>
    <t xml:space="preserve"> Invitation to Bid for  Rehabilitation of Puspus-Calabugao Farm to Market Road, San Fernando City, La Union 1.	The Provincial Government of La Union, through the RA7171 intends to apply the sum of ₱3,900,000.00 being the Approved Budget for the Contract (A</t>
  </si>
  <si>
    <t xml:space="preserve"> Republic of the Philippines Region XII Province of Cotabato BIDS AND AWARDS COMMITTEE Amas, Kidapawan City INVITATION TO BID FOR Supply &amp; Delivery of Certified Palay Seeds for distribution to farmers affected by calamities provincewide. (PB-20-415) 1.	The</t>
  </si>
  <si>
    <t xml:space="preserve"> CONSTRUCTION OF 2 STOREY MULTI-PURPOSE BUILDING (PHASE VI)</t>
  </si>
  <si>
    <t xml:space="preserve"> NOTICE TO THE PUBLIC REQUEST FOR QUOTATION                                              AMP SVP-D NO: 20-08-0433   The University of the Philippines, Diliman (UPD) hereby informs the public that it will be procuring the following item/s through Small Valu</t>
  </si>
  <si>
    <t xml:space="preserve"> REPAIR/IMPROVEMENT OF MULTI-PURPOSE HALL</t>
  </si>
  <si>
    <t xml:space="preserve"> Republic of the Philippines Province of Dinagat Islands Municipality of Basilisa Barangay RITAGLENDA -oOo- Project Reference Number: BLGU RITAGLENDA 2020 Name of Project: CONCRETINF OF 125 LN.M ACCESS ROAD Location of the Project: Barangay Ritaglenda,Basi</t>
  </si>
  <si>
    <t xml:space="preserve"> REPAIR/IMPROVEMENT OF MULTI PURPOSE BUILDING (BARANGAY HALL) P2</t>
  </si>
  <si>
    <t xml:space="preserve"> 1.	The BUREAU OF FIRE PROTECTION, NATIONAL CAPITAL REGION (NCR) invites PhilGEPS registered suppliers to bid for this item: Lot No.	Qty	Item/Description	Approved Budget for the Contract	Price of Bid Documents	Delivery Period 1	1 lot	Supply and Delivery of</t>
  </si>
  <si>
    <t xml:space="preserve"> INSTALLATION OF 12 UNITS STREET LIGHTS</t>
  </si>
  <si>
    <t xml:space="preserve"> Rental of Service Vehicle for Engineer (4x4 Pick Up)</t>
  </si>
  <si>
    <t xml:space="preserve"> 1.	The National Irrigation Administration – Cagayan-Batanes Irrigation Management Office, through the OMNISPIS of 2020 intends to apply the sum of One Million Six Hundred Twenty One Thousand Four Hundred Pesos (P1,621,400.00) being the Approved Budget for</t>
  </si>
  <si>
    <t xml:space="preserve"> Engine:All original did not undergo minor or major repair,good running condition Body:New body built w/ Ansal paint Underchasis: newly replaced the pod end, ball joint etc. new 4 shocks gas type Tires:New good year tires log and spare tire,new motolite go</t>
  </si>
  <si>
    <t xml:space="preserve"> Rental of Service Vehicle for Engineer</t>
  </si>
  <si>
    <t xml:space="preserve"> UNIT          DESCRIPTION            QTY. UNIT,        Printer, 3in1,      18 Bottles,      Ink # 003 Black,   63 Bottle,     Ink # 003 Magenta,    42 Bottle,     Ink # 003 Cyan, 42 Bottle,    Ink # 003 Yellow,       42 Bottle,     Ink # 664 Black, 63 Bot</t>
  </si>
  <si>
    <t xml:space="preserve"> Concreting of FMR, Subec, Sta. Catalina, Ilocos Sur</t>
  </si>
  <si>
    <t xml:space="preserve"> INVITATION TO APPLY FOR ELIGIBILITY AND TO BID Approved Budget for the Contract: ₱9,500,000.00 ITB No. 2020-028 Bidding 1.	The Municipality of Mendez-Nuñez, through 20% Development Fund intends to apply the sum of Nine Million Five Hundred Thousand Pesos </t>
  </si>
  <si>
    <t xml:space="preserve"> MUNICIPALITY OF BORBON 2ND FLOOR  MUNICIPAL HALL DESCRIPTION: ACCESSORIES:    ENGINE 7HP     AXLE 5/8"0 X 6 FT.    BUSHING (FITTING) 1 1/2"    PROPELLER    CROSS JOINT MATERIALS:    MARINE PLYWOOD 3/4" THK.    MARINE PLYWOOD 1/4THK.    1 X 2 X 12 GOOD LUM</t>
  </si>
  <si>
    <t xml:space="preserve"> Procurement of Laptops and Printers to be used at different schools in Guagua East District and Guagua West District</t>
  </si>
  <si>
    <t xml:space="preserve"> 20CSF003 - Consulting Services for the Conduct of Geotechnical and Geological Survey/Investigation of Proposed Six Evacuation Centers in Region V</t>
  </si>
  <si>
    <t xml:space="preserve"> INVITATION TO BID FOR DELIVERY OF CASKET LOWERING DEVICE FOR CEMETERY USE. 1.	The MUNICIPALITY OF DASOL, PANGASINAN-BAC through the MUNICIPAL FUND intends to apply the sum of SIX HUNDRED EIGHTY THREE THOUSAND NINE HUNDRED FIFTEEN PESOS (PhP 683,915.00) be</t>
  </si>
  <si>
    <t xml:space="preserve"> Rental of Service Vehicle for MPP/Engineer</t>
  </si>
  <si>
    <t xml:space="preserve"> INVITATION TO BID FOR DELIVERY OF DIGITAL DUPLICATOR FOR DEPED USE. 1.	The MUNICIPALITY OF DASOL, PANGASINAN-BAC through the MUNICIPAL FUND intends to apply the sum of TWO HUNDRED FIFTY THOUSAND PESOS (PhP 250,000.00) being the Approved Budget for the Con</t>
  </si>
  <si>
    <t xml:space="preserve"> INVITATION TO BID FOR CONSTRUCTION OF TWO STOREY COMMERCIAL BUILDING (DASOL PUBLIC MARKET) 1.	The MUNICIPALITY OF DASOL, through MUNICIPAL DEVELOPMENT FUND intends to apply the sum of SIXTEEN MILLION PESOS (PhP 16,000,000.00) being the Approved Budget for</t>
  </si>
  <si>
    <t xml:space="preserve"> MUNICIPALITY OF BORBON 2ND FLOOR MUNICIPAL BUILDING DESCRIPTION: 10,440 PACKS SQUASH MALUNGGAY 24G PACK 10,440 PACKS MILKY BANANA AND OATS 24G PACK 3,450 PACKS NUTRI-MILK CHOCO 30G PACKS</t>
  </si>
  <si>
    <t xml:space="preserve"> Republic of the Philippines DEPARTMENT OF EDUCATION Region VIII SCHOOLS DIVISION OF CATBALOGAN CITY Purok 4, Brgy. Payao,  Catbalogan City, Samar INVITATION TO BID FOR PROCUREMENT OF OFFICE SUPPLIES FOR UTILIZATION PLAN FOR THE IMPLEMENTATION OF THE BASIC</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</si>
  <si>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</si>
  <si>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UNIT      DESCRIPTION      QTY. unit,       Laptop,           4 Core i7 (8th generation) Storage:   1TB HDD Processor:  Intel Core i7 (8th Generation) Processor Display:    15.6" RAM:       8 GB DDR4 RAM unit,       Laptop,          3 Core i3 (8th generat</t>
  </si>
  <si>
    <t xml:space="preserve"> Construction of FMR Slope Protection Subec, Sta. Catalina, Ilocos Sur</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</si>
  <si>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</si>
  <si>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UNIT                 DECRIPTION            QTY. BOX,         AMLODIPINE 10MG TABLET,     100 BOX,    LOZARTAN 50MG TABLET,    100 BOX,    METFORMIN 500MG TABLET,    100 BOX,    AMOXICILLIN 500MG CAPSULE,    100 BOX,     MEFENAMIC ACID 500MG CAPSULE,    10</t>
  </si>
  <si>
    <t xml:space="preserve"> UNIT                DESCRIPTION            QTY. unit ,                 Backhoe,         1 specification: Main Parameters: Bucket capacity:   0.52CBM (standard) Operating weight:   13800kgs Max digging height:    8641mm Max digging reach:      8296mm Main </t>
  </si>
  <si>
    <t xml:space="preserve"> Rental of Service Vehicle for MPP/Engineer (4x4 Pick Up)</t>
  </si>
  <si>
    <t xml:space="preserve"> Procurement of various medicines to be used at RHU-I, II, III, and III-Extension for 3rd and 4th Quarter of CY 2020</t>
  </si>
  <si>
    <t xml:space="preserve"> Rental of Service Vehicle for MPP/Engineer (AUV)</t>
  </si>
  <si>
    <t xml:space="preserve"> INFRASTRUCTURE</t>
  </si>
  <si>
    <t xml:space="preserve"> CONSTRUCTION OF MATERIALS RECOVERY FACILITIES 19 WORKING CALENDAR DAYS DIMENSION/ LENGHT 3.60M X 4.20M I. CLEARING / LAYOUT / EXCAVATION 5.77% 12,670.00 II. FOOTING / FOUNDATON / COLUMN 26.76% 58,755.00 III. STEEL MATTING WALLING / CGB WALLING W/ PLASTERI</t>
  </si>
  <si>
    <t xml:space="preserve"> FUSE LINK, SUPPLY AND DELIVERY OF TYPE H FUSE 221 &amp; 1 OTHER ITEM</t>
  </si>
  <si>
    <t xml:space="preserve"> DIGITAL METER, VOLTMETER</t>
  </si>
  <si>
    <t xml:space="preserve"> UNIT     DESCRIPTION       QTY. UNIT,        RESCUE BOAT,      1 SPECIFICATIONS: DIMENSIONS: 14ft. L x  5ft. W 4pcs. Paddles 4pcs. Lifevest included OUTBOARD MOTOR 40HP Model: E40JMHL  Carbureted Two Stroke engine,  manual start, long shaft 20", two cylin</t>
  </si>
  <si>
    <t xml:space="preserve"> PNP Standard Type "B/C" two 2 storey building with Covered Roof deck</t>
  </si>
  <si>
    <t xml:space="preserve"> Republic of the Philippines Province of Dinagat Islands Municipality of Basilisa Barangay RITAGLENDA -oOo- Project Reference Number: BLGU RITAGLENDA 2020 Name of Project: REPAIR/EXPANSION OF POTABLE WATER SYSTEM Location of the Project: Barangay Ritaglend</t>
  </si>
  <si>
    <t xml:space="preserve"> Purchase of Emergency Vehicles, Heavy Equipment, Rescue Equipment- (Procurement/Acquisition of life-saving rescue equipment, tools and firefighting PPG/PPE) : Stabilization tools for light and heavy vehicles, waterproof drone equipment with pilot license,</t>
  </si>
  <si>
    <t xml:space="preserve"> I. A. MATERIALS (BALASTRO )                                  FREE       B. EQUIPMENTS                            1 unit Road Grader                                    Municipal Equipment                            1 unit Payloader                         </t>
  </si>
  <si>
    <t xml:space="preserve"> SEE ATTACHED PROGRAM OF WORK AND PLAN: SECTION VI. SPECIFICATIONS; SECTION VII. DRAWINGS:</t>
  </si>
  <si>
    <t xml:space="preserve"> ITEM NO.			DESCRIPTION SPLB		purchase of LED display wall with installation ITEM 404	Reinforcing steel bars ITEM 405	structural concrete ITEM 414	Forms &amp; falseworks SPLA		welding works 	 SPLB breakdown			 Description		              specifications Pixel Pi</t>
  </si>
  <si>
    <t xml:space="preserve"> INVITATION TO BID ITB NO. 2020 - 03 (01) 1.	 The Department of Health – Eastern Visayas Center for Health Development, through the Bids and Awards Committee (BAC)  invites contractors to bid for the hereunder project: Cluster 1: 1.	Completion of BHS San P</t>
  </si>
  <si>
    <t xml:space="preserve"> INVITATION TO BID CATERING SERVICES FOR VARIOUS PROGRAMS AND ACTIVITIES OF THE CITY 1.	The Local Government Unit of Cabadbaran City through the GENERAL FUND intends to apply the sum of ONE HUNDRED TWELVE THOUSAND FOUR HUNDRED PESOS ONLY (P 112,400.00) bei</t>
  </si>
  <si>
    <t xml:space="preserve"> CONSTRUCTION OF TOILETS WITH SEPTIC TANK</t>
  </si>
  <si>
    <t xml:space="preserve"> IMPROVEMENT OF MULTI-PURPOSE BUILDING</t>
  </si>
  <si>
    <t xml:space="preserve"> 1.	The Department of Health -Center for Health Development-Cordillera Administrative Region (DOH-CHD-CAR), through the Government of the Philippines, intends to bid the hereunder projects for Procurement of Drugs and Medicines, Oral Contraceptive, Contrac</t>
  </si>
  <si>
    <t xml:space="preserve"> The Bids and Awards Committee (BAC) of the Municipality of Castilla, Sorsogon invites qualified contractors to bid for the project: Contract Name	: CONST. OF LEVEL II WATER SYSTEM @ BRGY. BONGA  Contract Location	: Castilla, Sorsogon Approved Budget for t</t>
  </si>
  <si>
    <t xml:space="preserve"> INVITATION TO BID SUPPLY AND DELIVERY OF ONE (1) UNIT HEAVY DUTY PHOTOCOPIER MACHINE FOR CITY PEACE &amp; ORDER SECRETARIAT  1.	The Local Government Unit of Cabadbaran City through the PEACE &amp; ORDER FUND intends to apply the sum of ONE HUNDRED TWENTY THOUSAND</t>
  </si>
  <si>
    <t xml:space="preserve"> 73 reams bond paper long 101 reams bond paper A4 10 reams bond paper A3 16 reams bond paper short 4 dozen black ballpen 22 boxes fastener 62 bot alcohol 5 box staple wire #10 29 boxes staple wire #35 13 bot Epson ink magenta 15 bot Epson ink cyan 15 bot E</t>
  </si>
  <si>
    <t xml:space="preserve"> INVITATION TO BID CATERING SERVICES FOR HANDOG PASASALAMAT AND LOYALTY AWARD PROGRAM 1.	The Local Government Unit of Cabadbaran City through the GENERAL FUND intends to apply the sum of ONE HUNDRED FIFTY THOUSAND PESOS ONLY (P 150,000.00) being the Approv</t>
  </si>
  <si>
    <t xml:space="preserve"> The Bids and Awards Committee (BAC) of the Municipality of Castilla, Sorsogon invites qualified contractor’s to bid for the project: Contract Name	: PURCHASE OF ONE (1) UNIT SERVICE VEHICLE (MTO) Contract Location	: Castilla, Sorsogon Approved Budget for </t>
  </si>
  <si>
    <t xml:space="preserve"> The Bids and Awards Committee (BAC) of the Municipality of Castilla, Sorsogon invites qualified contractors to bid for the project: Contract Name	: EXPANSION OF LEVEL II WATER SYSTEM @ CUMADCAD, SOGOY, LORETO, MAYON, BURABOD   Contract Location	: Castilla</t>
  </si>
  <si>
    <t xml:space="preserve"> SEE ATTACHED PROGRAM OF WORK: X X X X X X X X X X X X X X X X X X X X X X</t>
  </si>
  <si>
    <t xml:space="preserve"> The Bids and Awards Committee (BAC) of the Municipality of Castilla, Sorsogon invites qualified contractor’s to bid for the project: Contract Name	: PURCHASE OF MDRRMO OFFICE EQUIPMENT Contract Location	: Castilla, Sorsogon Approved Budget for the Contrac</t>
  </si>
  <si>
    <t xml:space="preserve"> INVITATION TO BID ITB NO. 2020 - 03 (04) 1.	 The Department of Health – Eastern Visayas Center for Health Development, through the Bids and Awards Committee (BAC)  invites contractors to bid for the hereunder project: Cluster 4: 1.	Completion of BHS Auror</t>
  </si>
  <si>
    <t xml:space="preserve"> INVITATION TO BID ITB NO. 2020 - 03(07) 1.	 The Department of Health – Eastern Visayas Center for Health Development, through the Bids and Awards Committee (BAC)  invites contractors to bid for the hereunder project: Cluster 7: 1.	Completion of BHS Cagdin</t>
  </si>
  <si>
    <t xml:space="preserve"> INVITATION TO BID ITB NO. 2020 - 03(08) 1.	 The Department of Health – Eastern Visayas Center for Health Development, through the Bids and Awards Committee (BAC)  invites contractors to bid for the hereunder project: Cluster 8: 1.	Completion of BHS Maraga</t>
  </si>
  <si>
    <t xml:space="preserve"> Republic of the Philippines City Government of Cotabato BIDS AND AWARDS COMMITTEE Cotabato City INVITATION TO BID  FOR THE PURCHASE OF CONSTRUCTION MATERIALS  1.	The City Government of Cotabato, through Ordinance No. 4577 series of 2018,  intends to apply</t>
  </si>
  <si>
    <t xml:space="preserve"> INVITATION TO BID ITB NO. 2020 - 03(05) 1.	 The Department of Health – Eastern Visayas Center for Health Development, through the Bids and Awards Committee (BAC)  invites contractors to bid for the hereunder project: Cluster 5: 1.	Completion of BHS Tugas,</t>
  </si>
  <si>
    <t xml:space="preserve"> INVITATION TO BID ITB NO. 2020 - 03 (02) 1.	 The Department of Health – Eastern Visayas Center for Health Development, through the Bids and Awards Committee (BAC)  invites contractors to bid for the hereunder project: Cluster 2: 1.	Construction of BHS Can</t>
  </si>
  <si>
    <t xml:space="preserve"> 1. The Local Government Unit of San Andres, Quezon through its LGSF Fund intends to apply the sum of Six Million Pesos (Php 6,000,000.00) only being the Approved Budget for the Contract (ABC) to payments under the contract for Construction of Multi-purpos</t>
  </si>
  <si>
    <t xml:space="preserve"> The Bids and Awards Committee (BAC) of the Municipality of Castilla, Sorsogon invites qualified contractors to bid for the project: Contract Name	: CONST. OF SEA WALL @ BRGY. BUENAVISTA  Contract Location	: Castilla, Sorsogon Approved Budget for the Contr</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</si>
  <si>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</si>
  <si>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RJO-UPDATING OF SPARES &amp; MATERIALS REQUIREMENTS OF ALL PLANT 			 GENERATING SYSTEMS/STANDARD PLANT IDENTIFICATION NUMBERS(SPIN)</t>
  </si>
  <si>
    <t xml:space="preserve"> INVITATION TO BID ITB NO. 2020 - 03 (03) 1.	 The Department of Health – Eastern Visayas Center for Health Development, through the Bids and Awards Committee (BAC)  invites contractors to bid for the hereunder project: Cluster 3: 1.	 Completion of BHS Malo</t>
  </si>
  <si>
    <t xml:space="preserve"> Construction of 185.3 sq.m. Evacuation Center Phase II: I     -    86.54 sq.m Structure Excavation II    -   38.82 Cu.m. Reinforced Concrete III   -   298.00 cu.m Masonry Works IV   -   720.00 cu.m Architectural Finishes V    -   19.80 cu.m Slab on Fill V</t>
  </si>
  <si>
    <t xml:space="preserve"> Republic of the Philippines Province of Eastern Samar  Municipality of Llorente Invitation to Bid for Supply and Delivery of Plastic Melter Densifier 1.	The Local Government of Llorente, through the Budget Approved by the Respective Sanggunian intends to </t>
  </si>
  <si>
    <t xml:space="preserve"> Republic of the Philippines Province of Southern Leyte Municipality of Hinunangan Barangay Badiangon INVITATION TO BID For  CONCRETING OF BARANGAY TRAIL Project ID: 2020GENERALFUND/Contract No.2020-002 1.	The Barangay Local Government Unit of Barangay Bad</t>
  </si>
  <si>
    <t xml:space="preserve"> The Tariff Commission (TC), through its Bids and Awards Committee (BAC), will conduct a Negotiated Procurement under Section 53.9 (Small Value Procurement) of the 2016 Revised Implementing Rules and Regulations of Republic Act No. 9184, otherwise known as</t>
  </si>
  <si>
    <t xml:space="preserve"> Republic of the Philippines Province of Southern Leyte Municipality of Hinunangan Barangay Badiangon INVITATION TO BID For  RECONSTRUCTION OF BARANGAY CANAL Project ID: 2020GENERALFUND/Contract No.2020-001 1.	The Barangay Local Government Unit of Barangay</t>
  </si>
  <si>
    <t xml:space="preserve"> Republic of the Philippines Province of Bulacan Municipality of Bocaue INVITATION TO BID FOR CONSTRUCTION OF SANITARY TOILETS WITH HYGIENE FACILITIES FOR PUBLIC PLACES  (BARANGAY LOLOMBOY AND IGULOT) 1	The Municipality of Bocaue, through the Annual Approp</t>
  </si>
  <si>
    <t xml:space="preserve"> RJO-FURNISHING OF MATERIALS AND LABOR FOR THE OPERATION/		 MAINTENANCE/UPKEEP OF FACILITIES AT DAM AREA OF AGUS 6 HEP</t>
  </si>
  <si>
    <t xml:space="preserve"> PGBH-C-2020-023 PR2020-154 INVITATION TO BID FOR THE BULK PROCUREMENT OF CATERING SERVICES AND ACCOMMODATION SERVICES FOR THE 3RD QUARTER OF CY 2020 - C. TRAININGS/SEMINARS/WORKSHOPS AND CONSULTATIVE MEETINGS AND OTHER CAPACITY-BUILDING RELATED ACTIVITIES</t>
  </si>
  <si>
    <t xml:space="preserve"> Location: LGU-Lagawe ABC: Php 13,050,000.00 Cost of Bid Docs: 25,000.00 The Procurement Schedules are as following: 1. Deadline of buying of Bid Docs: September 2, 2020 @ 5:00 PM 2. Deadline for submission of Bid Docs: September 3, 2020 @ 9:00 AM 3. Openi</t>
  </si>
  <si>
    <t xml:space="preserve"> Item No.	QTY	UNIT	ARTICLES / DESCRIPTION	ESTIMATED COST	BRAND OFFERED	UNIT PRICE	TOTAL PRICE 1	2	box	RPR, 500 tests. Expiry date must be atleast 18 months from the delivery date.	 10,400.00 		 5,200.00 	 							 2	8	box	Complemen-3 (C3) determination kit,</t>
  </si>
  <si>
    <t xml:space="preserve"> Concreting of 8 L.M. along Inilian-Galutan-Burac-Coroconog-Balnasan Farm-to-Market Road with a width of 4.0m and thickness of 0.20m. 100   -  48.00 sq.m. Clearing and Grubbing 104   -   3.20 cu.m Embankment (Shouldering) 105   -   48.00 sq.m Sub grade Pre</t>
  </si>
  <si>
    <t xml:space="preserve"> OFFICE SUPPLIES  (PHP 200, 000.00) 1. Bond Paper 70 gsm Long 2. Bond Paper 70 gsm Short 3. Printer Ink (Epson 664 Black) 4. Record Book Valiant (100's) 5. Gel Ink PEn (Black &amp; Blue) 6. Ball Point Pen (Blue) 7. Stapler with remover (HD- 50R#35) Max 8. Stap</t>
  </si>
  <si>
    <t xml:space="preserve"> Supply and delivery of 2 units brand new duplicator machine with 3n1 photocopier develop including installation and training with the following technical specifications: Processing: high-speed digital master making/fully automatic printing Master making t</t>
  </si>
  <si>
    <t xml:space="preserve"> Republic of the Philippines Province of Samar MUNICIPALITY OF SAN JORGE Invitation to Bid for Proposed Level II Water System (Submersible Pump) Erenas 1.	The LGU San Jorge, through the DILG SALINTUBIG 2020  intends to apply the sum of One Million Six Hund</t>
  </si>
  <si>
    <t xml:space="preserve"> INVITATION TO BID ITB NO. 2020 - 03 (06) 1.	 The Department of Health – Eastern Visayas Center for Health Development, through the Bids and Awards Committee (BAC)  invites contractors to bid for the hereunder project: Cluster 6: 1.	Completion of BHS Carol</t>
  </si>
  <si>
    <t xml:space="preserve"> Republic of the Philippines Province of Samar MUNICIPALITY OF SAN JORGE Invitation to Bid for Proposed Level II Water System (Submersible Pump)Libertad 1.	The LGU San Jorge, through the DILG SALINTUBIG 2019  intends to apply the sum of Two Million  Pesos </t>
  </si>
  <si>
    <t xml:space="preserve"> BUSHING, CURRENT TRANSFORMER, SUPPLY AND DELIVERY OF ONE LOW VOLTAGE BUSHING OF PULANGI IV HEP 31.5MVA TAKE-OFF TRANSFORMER</t>
  </si>
  <si>
    <t xml:space="preserve"> Republic of the Philippines Province of Samar MUNICIPALITY OF SAN JORGE Invitation to Bid for Proposed Level II Water System (Submersible Pump)Guadalupe 1.	The LGU San Jorge, through the DILG SALINTUBIG 2019  intends to apply the sum of Two Million  Pesos</t>
  </si>
  <si>
    <t xml:space="preserve"> PGBH-C-2020-024 PR2020-155 INVITATION TO BID FOR THE BULK PROCUREMENT OF CATERING SERVICES AND ACCOMMODATION SERVICES FOR THE 3RD QUARTER OF CY 2020 - D. OTHER ACTIVITIES (PACKED MEAL) ABC: P 4,764,570.00 COST OF BID DOCUMENTS: P 5,000.00 ADVERTISEMENT PE</t>
  </si>
  <si>
    <t xml:space="preserve"> PGBH-C-2020-021 PR2020-152 INVITATION TO BID FOR THE BULK PROCUREMENT OF CATERING SERVICES AND ACCOMMODATION SERVICES FOR THE 3RD QUARTER OF CY 2020 - A. EVENTS/ACTIVITIES/PROGRAMS INVOLVING FOREIGN AND NATIONAL DIGNITARIES AND VIPS ABC: P 962,500.00 COST</t>
  </si>
  <si>
    <t xml:space="preserve"> 1.The Local Government Unit of San Andres, Quezon through its General Fund intends to apply the sum of Two Million One Hundred Forty Six Thousand Eight Hundred Pesos (Php 2,146,800.00) only being the Approved Budget for the Contract (ABC) to payments unde</t>
  </si>
  <si>
    <t xml:space="preserve"> INVITATION TO BID ITB NO. 2020 - 03(09) 1.	 The Department of Health – Eastern Visayas Center for Health Development, through the Bids and Awards Committee (BAC)  invites contractors to bid for the hereunder project: Cluster 9: 1.	Completion of BHS Magtao</t>
  </si>
  <si>
    <t xml:space="preserve"> SEE ATTACHED PROGRAM OF WORK</t>
  </si>
  <si>
    <t xml:space="preserve"> Republic of the Philippines Province of Samar MUNICIPALITY OF SAN JORGE Invitation to Bid for Proposed Level II Water System (Submersible Pump)Canyaki 1.	The LGU San Jorge, through the DILG SALINTUBIG 2019  intends to apply the sum of Two Million  Pesos (</t>
  </si>
  <si>
    <t xml:space="preserve"> The Barangay Dagupan, Tuao Cagayan through its 20% Barangay Dev't fund intends to apply the sum of Php 75,760.00 being the Approved Budget for the Contract (ABC) to payments under the contract for Procurement of Materials for the Expansion of Water System</t>
  </si>
  <si>
    <t xml:space="preserve"> ITEM: 102(2)- Surplus Common Excavation 103(1)- Structure Excavation (Common Soil) 104(1)a- Embankment 105(1)- Sub-grade Preparation (Common Materials) 200- Aggregate Sub- base Course (150mm thk) 201- Aggregate Surface Course 311- Portland Cement Concrete</t>
  </si>
  <si>
    <t xml:space="preserve"> Republic of the Philippines Province of Samar MUNICIPALITY OF SAN JORGE Invitation to Bid for Proposed Level II Water System (Submersible Pump)Mobo-ob 1.	The LGU San Jorge, through the DILG SALINTUBIG 2019  intends to apply the sum of Two Million  Pesos (</t>
  </si>
  <si>
    <t xml:space="preserve"> Republic of the Philippines Province of Davao de Oro Municipality of Monkayo -o0o- INVITATION TO BID FOR THE PROCUREMENT OF FUEL FOR MAYOR’S OFFICE USE  The Municipality of Monkayo, through the GENERAL FUND intends to apply the sum of ONE HUNDRED THIRTY-S</t>
  </si>
  <si>
    <t xml:space="preserve"> MUNICIPALITY: QUINAPONDAN,EASTERN SAMAR VILLAREAL.SAMAR STA.RITA,SAMAR MARABUT,SAMAR BALANGIGA,EASTERN SAMAR LAWAAN,EASTERN SAMAR GIPORLOS,EASTERN SAMAR SALCEDO,EASTERN SAMAR MERCEDES,EASTERN SAMAR BALANGKAYAN,EASTERN SAMAR</t>
  </si>
  <si>
    <t xml:space="preserve"> The Barangay Barancuag, Tuao Cagayan through its Supplemental Fund intends to apply the sum of Php 100,000.00 being the Approved Budget for the Contract (ABC) to payments under the contract for Purchased of Tent (2 UNITS). Bids received in excess of the A</t>
  </si>
  <si>
    <t xml:space="preserve"> INVITATION TO BID Procurement of Printing and Binding of Self Learning Modules from Grade 3 to Grade 12  for Second Quarter SY 2020-2021 (LOT 2) 1.	The DepED-Division of Iligan City, through the Sub-Allotment Release Order No. OSEC-10-20-0868 intends to a</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</si>
  <si>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</si>
  <si>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INVITATION TO BID No. IB-2020-IX-07-01 The Municipality of Sibalom through its Bids &amp; Awards Committee (BAC), invites bidders/contractors to apply for eligibility and to bid for the hereunder project: Project           	 		:	BOOKPAPER, A4 (SEF) Location		</t>
  </si>
  <si>
    <t xml:space="preserve"> Republic of the Philippines Province of Samar MUNICIPALITY OF SAN JORGE Invitation to Bid for Proposed Level II Water System (Submersible Pump) Mancol 1.	The LGU San Jorge, through the DILG SALINTUBIG 2020  intends to apply the sum of One Million Six Hund</t>
  </si>
  <si>
    <t xml:space="preserve"> INVITATION TO BID Procurement of Printing and Binding of Self Learning Modules from Kindergarten to Grade 2 for Second Quarter SY 2020-2021 (LOT 1) 1.	The DepED-Division of Iligan City, through the Sub-Allotment Release Order No. OSEC-10-20-0868 intends t</t>
  </si>
  <si>
    <t xml:space="preserve"> see associated components for downloadable REQUEST FOR QUOTATION (PURCHASE REQUEST) 2020-07-05 Labor and Materials @ Php. 325,705.63 Note: Prospective Suppliers/Bidders shall submit their Quotation and Eligibility Requirements to the BAC at the said addre</t>
  </si>
  <si>
    <t xml:space="preserve"> Conduct of geotechnical investigations along the entire alignment of each dike and bridges specifically at locations with Slope failures tension cracks, and area with settlement and subsidence and at sinking areas.</t>
  </si>
  <si>
    <t xml:space="preserve"> Republic of the Philippines Province of Oriental Mindoro MUNICIPALITY OF SAN TEODORO INVITATION TO BID FOR THE  CONSTRUCTION OF LIVELIHOOD BUILDING No. 2020-16 August 14, 2020 1.	The Municipality of San Teodoro intends to apply the sum of One Million, One</t>
  </si>
  <si>
    <t xml:space="preserve"> Contract Name: 20GKF0052-Purchase of Fuel for Service Vehicles at DPWHLanao del Norte 2nd DEO Contract Location: Iligan City Brief Description of Goods to be Procured: Diesel =10,460 liters, Fuel Save Extra (Gasoline)=5,250 liters Approved Budget for the </t>
  </si>
  <si>
    <t xml:space="preserve"> Republic of the Philippines Province of Palawan Municipality of Dumaran BIDS AND AWARDS COMMITTEE dum_bacsecretariat@yahoo.com INVITATION TO BID FOR SUPPLY AND DELIVERY OF 2 UNITS 6-WHEELER DUMPTRUCK 1.	The Municipal Government of Dumaran, Palawan, throug</t>
  </si>
  <si>
    <t xml:space="preserve"> Republic of the Philippines Province of Southern Leyte Municipality of Silago Invitation to Bid for  Renovation and Expansion of Silago Public Market 1.	The LGU of  Silago, Province of Southern Leyte, through the LGSF-Other Financial Assistance to LGUs,  </t>
  </si>
  <si>
    <t xml:space="preserve"> one unit multi function copier</t>
  </si>
  <si>
    <t xml:space="preserve"> Republic of the Philippines Province of Samar MUNICIPALITY OF SAN JORGE Invitation to Bid for Proposed Level II Water System (Submersible Pump) Poblacion I 1.	The LGU San Jorge, through the DILG SALINTUBIG 2020  intends to apply the sum of One Million Six</t>
  </si>
  <si>
    <t xml:space="preserve"> INVITATION TO BID FOR (Procurement of Goods; Supply and Delivery of Common-Used Office Supplies and Devices not available at PS-DBM for use of Planning and Design Section  MMIDEO, NCR, DPWH, Rosario, Pasig City) 	The Metro Manila 1st District Engineering </t>
  </si>
  <si>
    <t xml:space="preserve"> REHABILITATION: INORGANIC FERTILIZERS: 1,800 bags - Ammonium Sulfate (21-0-0) @ 50kgs/bag (900 bags - North Cotabato; 900 bags  Sultan Kudarat) 3,000 bags - Muriate of Potash (0-0-60) @ 50kgs/bag (1,500 bags - North Cotabato; 1,500 bags  Sultan Kudarat)</t>
  </si>
  <si>
    <t xml:space="preserve"> The Barangay Bagumbayan, Tuao Cagayan through its MUNICIPAL AIDE Fund intends to apply the sum of             Php 174,651.40  being the Approved Budget for the Contract (ABC) to payments under the contract for   Installation of Street Lights. Bids receive</t>
  </si>
  <si>
    <t xml:space="preserve"> Contract Name: 20GKF0053- Purchase of Fuel for Service Vehicles at DPWH-Lanao del Norte 2nd DEO Contract Location: Iligan City Brief Description of Goods to be Procured: Diesel =10,605 liters, Fuel Save Extra (Gasoline)=5,355 liters Approved Budget for th</t>
  </si>
  <si>
    <t xml:space="preserve"> Republic of the Philippines Province of Samar MUNICIPALITY OF SAN JORGE Invitation to Bid for Proposed Level II Water System (Submersible Pump)Puhagan 1.	The LGU San Jorge, through the DILG SALINTUBIG 2019  intends to apply the sum of Two Million  Pesos (</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</si>
  <si>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</si>
  <si>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PGBH-C-2020-022 PR2020-153 INVITATION TO BID FOR THE BULK PROCUREMENT OF CATERING SERVICES AND ACCOMMODATION SERVICES FOR THE 3RD QUARTER OF CY 2020 - B. EVENTS/ACTIVITIES/PROGRAMS INVOLVING PROVINCIAL AND MUNICIPAL OFFICIALS, OTHER GOVERNMENT AGENCIES &amp; </t>
  </si>
  <si>
    <t xml:space="preserve"> Interested bidders may obtain further information from the City of Balanga and inspect the Bidding Documents at the address given below from 9:00 a.m. to 4:00 p.m. A complete set of Bidding Documents may be acquired by interested Bidders on August 17 to S</t>
  </si>
  <si>
    <t xml:space="preserve"> 1.	The Local Government Unit of Kabacan, through Office of the Mayor  intends to apply the sum of Seven Hundred Twenty Nine Thousand One Hundred Pesos (P 729,100.00) being the Approved Budget for the Contract (ABC) to payments under the contract for Procu</t>
  </si>
  <si>
    <t xml:space="preserve"> 1.	The Department of Health -Center for Health Development-Cordillera Administrative Region (DOH-CHD-CAR), through the Government of the Philippines, intends to bid the hereunder projects for the Procurement of Reproduction and Printing Services with a to</t>
  </si>
  <si>
    <t xml:space="preserve"> Construction of Record Center, San Pascual, Masbate</t>
  </si>
  <si>
    <t xml:space="preserve"> Republic of the Philippines Province of Samar MUNICIPALITY OF SAN JORGE Invitation to Bid for Proposed Level II Water System (Submersible Pump) Poblacion II 1.	The LGU San Jorge, through the DILG SALINTUBIG 2020  intends to apply the sum of One Million Si</t>
  </si>
  <si>
    <t xml:space="preserve"> INVITATION TO BID Renovation/Construction of National Disaster Risk Reduction and Management Office (ITB No. 03-CW-2020)</t>
  </si>
  <si>
    <t xml:space="preserve"> INVITATION TO BID FOR (Procurement of Goods; Supply and Delivery of I.T. Equipment  and Devices not available at PS-DBM for use of   MMIDEO, NCR, DPWH, Rosario, Pasig City) 	The Metro Manila 1st District Engineering Office, through the GAA 2020 intends to</t>
  </si>
  <si>
    <t xml:space="preserve"> Raincoats, Ball Caps, Reflectorized Vest &amp; Longsleeves</t>
  </si>
  <si>
    <t xml:space="preserve"> Location of the Project: DepEd, District of San Dionisio, Iloilo Approved Budget for the Contract: )931,000.00 Funding Source: S.E.F., CY 2020 Bid Opening: August 28, 2020 at 10:00 A.M. at Municipal Building, Poblacion, San Dionisio, Iloilo</t>
  </si>
  <si>
    <t xml:space="preserve"> Purchase of Distilled Water and Disinfectant Concentrate (Benzalkonium chloride, 1 gallon)</t>
  </si>
  <si>
    <t xml:space="preserve"> 45	BAGS	CEMENT 6	CU.M.	SAND 3	CU.M.	GRAVEL 30	LENGTH	10MM DEF. BARS 4	KGS	#16 TIE WIRE 600	PCS	4’’ THICK CHB 40	BD.FT.	2x4x12-5 pcs. TRUSSES 108	BD.FT.	2x3x12-18pcs. PURLINS 1	KGS.	#2’’ CWN 10	KGS.	#4’’ CWN 5	KGS.	#3’’ CWN 16	SHEETS	GI CORROGATED SHEET 3	</t>
  </si>
  <si>
    <t xml:space="preserve"> 1. The Local Government Unit of San Andres, Quezon through its Trust  Fund (SCRF) intends to apply the sum of Two Hundred Sixty Six Thousand Four Hundred Seventy Five Pesos (Php 266,475.00) only being the Approved Budget for the Contract (ABC) to payments</t>
  </si>
  <si>
    <t xml:space="preserve"> Complete construction of 2 (two) storey 4-Classroom School Building (mostly built with concrete and masonry, with PWD ramp with handrails, parapet wall on concrete gutter, plumbing works, ventilation, stairwall 5 m width, steel casement window at rear por</t>
  </si>
  <si>
    <t xml:space="preserve"> Office Supplies, Surgical gloves &amp; Face masks</t>
  </si>
  <si>
    <t xml:space="preserve"> Complete construction of 1 (one) storey unique Workshop Building with reinforced concrete gutter, PWD ramp with handrails, window grilles at front and rear windows, and parapet wall</t>
  </si>
  <si>
    <t xml:space="preserve"> Republic of the Philippines City Government of Cotabato OFFICE OF THE CITY MAYOR Cotabato City INVITATION TO BID FOR  Procurement of Office Equipment for Use of  DepEd Division of Cotabato City  1.	The City Government of Cotabato, through the DepEd Divisi</t>
  </si>
  <si>
    <t xml:space="preserve"> Location of the Project: Brgy. Bondulan, San Dionisio, Iloilo Approved Budget for the Contract: P214,290.00 Funding Source: Municipal Aid to Barangay, 20% Development Fund, CY 2019 Bid Opening: August 28, 2020 at 10:00 0'clock in the morning at Municipal </t>
  </si>
  <si>
    <t xml:space="preserve"> Three (3) Toner Split Type Aircon, One (1) Unit Split Type Aircon 2.5Hp,One (1) Unit Split Type Aircon 1.0HP</t>
  </si>
  <si>
    <t xml:space="preserve"> Location: Municipal Compound, Poblacion I, Moncada , Tarlac Scope of Work to be done: 1. Column at third Floor 2. Lintel Beam and Parapet at First Floor 3. Lintel Beam at Second Floor 4. Beam at third floor 5. Flooring at Second Floor 6. Flooring at third</t>
  </si>
  <si>
    <t xml:space="preserve"> Smart  Buddy (300) Smart  Buddy (100) Globe (300) Globe (100) TNT (300) TNT (100)</t>
  </si>
  <si>
    <t xml:space="preserve"> Construction materials for the construction of street lights</t>
  </si>
  <si>
    <t xml:space="preserve"> Republic of the Philippines Province of Samar MUNICIPALITY OF SAN JORGE Invitation to Bid for Upgrading of Local Access Road Blanca Aurora-Tomogbong FMR (Selective) 1.	The LGU San Jorge, through the LGSF-AM FY 2020   intends to apply the sum of Four  Mill</t>
  </si>
  <si>
    <t xml:space="preserve"> SULTAN KUDARAT STATE UNIVERSITY ACCESS, EJC Montilla, Tacurong City INVITATION TO BID FOR REPOSTING FOR THE COMPLETION OF GYMNASIUM AT SKSU-ACCESS CAMPUS 1.	The Sultan Kudarat State University, through the National Expenditure Program, 2020 intends to app</t>
  </si>
  <si>
    <t xml:space="preserve"> Republic of the Philippines Province of Samar MUNICIPALITY OF SAN JORGE Invitation to Bid for Proposed Level II Water System (Submersible Pump) San Juan, Leyte-Leyte 1.	The LGU San Jorge, through the DILG SALINTUBIG 2020  intends to apply the sum of One M</t>
  </si>
  <si>
    <t xml:space="preserve"> Office Supplies to the Office of the Sanggunian Bayan</t>
  </si>
  <si>
    <t xml:space="preserve"> Electrical Supplies for street lights</t>
  </si>
  <si>
    <t xml:space="preserve"> Republic of the Philippines Province of Palawan Municipality of Dumaran BIDS AND AWARDS COMMITTEE dum_bacsecretariat@yahoo.com INVITATION TO BID FOR SUPPLY AND DELIVERY OF 1 UNIT 6- WHEELER DUMPTRUCK 1.	The Municipal Government of Dumaran, Palawan, throug</t>
  </si>
  <si>
    <t xml:space="preserve"> Interested Bidders may obtain further information from the Office of the BAC Secretariat, San Miguel Bulacan, and Inspect the Bidding Documents at the address given below during office hours (8am-12noon to 1pm- 5pm).  All Bidding Documents are for pick-up</t>
  </si>
  <si>
    <t xml:space="preserve"> ITEM. QTY UNIT OF DESCRIPTION NO. ISSUE 1 1000 pcs 4" CHB 2 100 bags Portland Cement 3 8 cu.m. Gravel Gi(6 wheeler DT) 4 8 cu.m. Screened Sand S1(6 wheeler DT) 5 87 pcs 10mmØx.0mx6m RSB 6 5 kgs #16 GI Tie Wire 7 1 pc 1/4"x4'x8' Marine Plywood 8 18 pcs 2"x</t>
  </si>
  <si>
    <t xml:space="preserve"> 12,800 good quality Oil Palm Seedlings F1 Technical Specification: Variety:	F1 Hybrid Age:		10 to 12 months Height:	1.5 to 2 ft. General Physical Appearance -Polybagged in 16” x 18” x 0.003 inches Poly Ethylene Bag -Free from abnormalities -Free from pest</t>
  </si>
  <si>
    <t xml:space="preserve"> SCHOOL BUILDING</t>
  </si>
  <si>
    <t xml:space="preserve"> Republic of the Philippines Province of Capiz Municipality of Mambusao Barangay Burias Invitation to Bid for a One (1) Job Order for the Supply of Labor, Materials and Equipment for Improvement of Burias Public Plaza at Brgy. Burias Mambusao, Capiz   The </t>
  </si>
  <si>
    <t xml:space="preserve"> Republic of the Philippines						 Department of Environment and Natural Resources						 FORESTLAND MANAGEMENT PROJECT						 Province of Iloilo, Region VI						 						 BILL OF QUANTITIES						 Subproject Title/Name		Construction of Aglobong Irrigation and </t>
  </si>
  <si>
    <t xml:space="preserve"> INVITATION TO BID FOR THE UPGRADING OF ROAD (FILLING OF ROAD) 1.	The Municipal Government of Kawit, through the 20% Municipal Development Fund - 2020 intends to apply the sum of Three Hundred Nine Thousand Two Hundred Three Pesos &amp; 66/100 Pesos (Php 309,2</t>
  </si>
  <si>
    <t xml:space="preserve"> Quantity-----Unit-----Items 2.00---------Ea--------Project Billboard/Signboard 3.00---------mos.-----Occupational Safety and Health Program 3.00---------mos.-----Traffic Management 1.00---------L.s--------Mobilization/Demobilization 4,200-------sq.m-----R</t>
  </si>
  <si>
    <t xml:space="preserve"> Republic of the Philippines PROVINCE OF PAMPANGA City of San Fernando INVITATION TO BID NO. 2020-32 IG - BAC INVITATION TO BID FOR PURCHASE REQUEST NO. 20-1542 and 20-1551 The Provincial Government of Pampanga (“Province”) intends to apply the following s</t>
  </si>
  <si>
    <t xml:space="preserve"> PROCUREMENT OF MATERIALS FOR THE CONTINUING IMPROVEMENT OF MULTIPURPOSE COVERED GYM OF BRGY. NAPNAPAN NORTE, TIGBAUAN, ILOILO</t>
  </si>
  <si>
    <t xml:space="preserve"> Republic of the Philippines Province of Capiz Municipality of Mambusao Barangay Balat-an Invitation to Bid for a One (1) Job Order for the Supply of Labor, Materials and Equipment for Concreting of Road at Brgy. Balat-an, Mambusao, Capiz   The Barangay Co</t>
  </si>
  <si>
    <t xml:space="preserve"> CEMENT &amp; 9 OTHER ITEMS</t>
  </si>
  <si>
    <t xml:space="preserve"> INORGANIC FERTILIZERS 2,733 bags - Ammonium Sulfate (AS) @ 50 kgs/bag (912 bags -North Cotabato; 912 bags -South Cotabato;909 bags - Sultan Kudarat) 3,644 bags - Potassium Chloride (KCl) @ 50 kgs/bag (1,216 bags -North Cotabato; 1,216 bags -South Cotabato</t>
  </si>
  <si>
    <t xml:space="preserve"> This will be used for Peace and Order maintenance-PNP One (1) unit pick-up truck with accessories  Engine displacement 2500cc to 3000cc Manual Transmission Diesel Fed</t>
  </si>
  <si>
    <t xml:space="preserve"> DRAINAGE SYSTEM</t>
  </si>
  <si>
    <t xml:space="preserve"> Issuance of Bid Documents Starts: August 15, 2020 Cost of Bid Document: Php 14,000.00 Venue of Dropping and Opening Bids: BAC Conference Room, Leyte SMED Center, Provincial Capitol Grounds, Tacloban City</t>
  </si>
  <si>
    <t xml:space="preserve"> USE LINK TO VIEW THE BIDDING DOCUMENTS https://drive.google.com/file/d/1uKgDP_ruA34173XnAid2QLyD2lnv6KNN/view?usp=drivesdk The Armed Forces of the Philippines (AFP), through the GHQ Bids and Awards Committee 1 (GHQ BAC 1), invites suppliers, manufacturers</t>
  </si>
  <si>
    <t xml:space="preserve"> Minimum Technical Specifications: Sound System / Paging with 5 Microphones - 1 Lot a.	Conference Mic System consisting: - 1 set •	Power Supply	(1 unit) •	Conference Microphones Gooseneck type (4 pieces) •	Dynamic type Microphone	(1 piece) 	 b.	Amplifier w</t>
  </si>
  <si>
    <t xml:space="preserve"> 1 PC DH-XVR 16 CHANNEL PENTABRID 16 PCS 1080P OUTDOOR BULLET CAMERA 1 PC 30AMP 18 CHANNEL CENTRALIZED PSU 4 PCS COAXIAL VIDEO AMPLIFIER 1 PC 6TB VIDEO HARD DRIVE 8 PCS 300MTRS/ROLL RG59+2 CABLE 32 PCS BNC SPRING TYPE CONNECTOR 16 PCS MALE DC CONNECTOR 16 </t>
  </si>
  <si>
    <t xml:space="preserve"> QGIS-Based Tax Mapping Information System Inc. Installation/Technical &amp; Scientific Equipment</t>
  </si>
  <si>
    <t xml:space="preserve"> Issuance of Bid Documents Starts: August 15, 2020 Cost of Bid Document: Php 14,500.00 Venue of Dropping and Opening Bids: BAC Conference Room, Leyte SMED Center, Provincial Capitol Grounds, Tacloban City</t>
  </si>
  <si>
    <t xml:space="preserve"> PB NO. 2020-052 REPUBLIC OF THE PHILIPPINES BIDS AND AWARDS COMMITTEE SAN PABLO CITY INVITATION TO BID FOR NEGOTIATED PROCUREMENT ON LEASE OF OPEN LOT TO SERVE AS THE CITY GRAND TERMINAL 1.	The CITY GOVERNMENT OF SAN PABLO, thru the Bids and Awards Commit</t>
  </si>
  <si>
    <t xml:space="preserve"> Issuance of Bid Documents Starts: August 15, 2020 Cost of Bid Document: Php 15,500.00 Venue of Dropping and Opening Bids: BAC Conference Room, Leyte SMED Center, Provincial Capitol Grounds, Tacloban City</t>
  </si>
  <si>
    <t xml:space="preserve"> Issuance of Bid Documents Starts: August 15, 2020 Cost of Bid Document: Php 18,000.00 Venue of Dropping and Opening Bids: BAC Conference Room, Leyte SMED Center, Provincial Capitol Grounds, Tacloban City</t>
  </si>
  <si>
    <t xml:space="preserve"> Plastic Drums (Pail)</t>
  </si>
  <si>
    <t xml:space="preserve"> Location: LGU-Lagawe ABC: Php 4,035,000.00 Cost of Bid Docs: 5,000.00 The Procurement Schedules are as following: 1. Deadline of buying of Bid Docs: September 2, 2020 @ 5:00 PM 2. Deadline for submission of Bid Docs: September 3, 2020 @ 9:00 AM 3. Opening</t>
  </si>
  <si>
    <t xml:space="preserve"> Portland cement Concrete Pavement, 0.20m x 5.00m x 500m</t>
  </si>
  <si>
    <t xml:space="preserve"> Location: LGU-Lagawe ABC: Php 3,210,000.00 Cost of Bid Docs: 5,000.00 The Procurement Schedules are as following: 1. Deadline of buying of Bid Docs: September 2, 2020 @ 5:00 PM 2. Deadline for submission of Bid Docs: September 3, 2020 @ 9:00 AM 3. Opening</t>
  </si>
  <si>
    <t xml:space="preserve"> Please see attachments for details. Thankyou.</t>
  </si>
  <si>
    <t xml:space="preserve"> Republic of the Philippines Province of Negros Oriental MUNICIPALITY OF BACONG INVITATION TO BID Provison of Potable Water Supply in-Expansion of Waterworks in Combado,Bacong Negros Oriental  BacongRFQ 2020-14 1.	The Municipality of Bacong, through the AM</t>
  </si>
  <si>
    <t xml:space="preserve"> Republic of the Philippines Province of Iloilo Municipality of Estancia INVITATION TO BID FOR THE PURCHASED OF MULTI-PURPOSE VEHICLE 1. The Barangay Gogo, Estancia, Iloilo through 20% Development Fund 2019 intend to apply the sum of Four Hundred Twelve Th</t>
  </si>
  <si>
    <t xml:space="preserve"> SUPPLY AND DELIVERY OF PLANTS FOR CITYWIDE BEAUTIFICATION AND LANDSCAPING PROJECTS OF PARKS AND GREEN DIVISION -ORDER OF PAYMENT FOR BID DOCS WILL BE AVAILABLE AT GSD-HEAD OFFICE @ 10TH FLOOR MAKATI CITY HALL BLDG. 2. LOOK FOR MR. REDEN VILLANUEVA. A COMP</t>
  </si>
  <si>
    <t xml:space="preserve"> SUPPLY AND DELIVERY OF VARIOUS OFFICE EQUIPMENT (LCD PROJECTOR – PORTABLE FOLDING TABLE) -ORDER OF PAYMENT FOR BID DOCS WILL BE AVAILABLE AT GSD-HEAD OFFICE @ 10TH FLOOR MAKATI CITY HALL BLDG. 2. LOOK FOR MR. REDEN VILLANUEVA. A COMPLETE SET OF BIDDING DO</t>
  </si>
  <si>
    <t xml:space="preserve"> Republic of the Philippines Province of Negros Oriental MUNICIPALITY OF BACONG INVITATION TO BID Provison of Potable Water Supply,Bacong Negros Oriental  BacongRFQ 2020-15 1.	The Municipality of Bacong, through the ADM-2016 Cost Variance intends to apply </t>
  </si>
  <si>
    <t xml:space="preserve"> Issuance of Bid Documents Starts: August 15, 2020 Cost of Bid Document: Php 10,000.00 Venue of Dropping and Opening Bids: BAC Conference Room, Leyte SMED Center, Provincial Capitol Grounds, Tacloban City</t>
  </si>
  <si>
    <t xml:space="preserve"> FERTILIZERS: 100 bags - Rock Phospate (0-26-0) @ 50 kgs./bag        50 bags - North Cotabato (Bentangan, Carmen)    50 bags - Sultan Kudarat (MAPARBEMPCO Bodega, Mapantig, Isulan)	 200 bags - Complete Fertilizer (14-14-14) @ 50 kgs./bag       100 bags - N</t>
  </si>
  <si>
    <t xml:space="preserve"> Issuance of Bid Documents Starts: August 15, 2020 Cost of Bid Document: Php 6,000.00 Venue of Dropping and Opening Bids: BAC Conference Room, Leyte SMED Center, Provincial Capitol Grounds, Tacloban City</t>
  </si>
  <si>
    <t xml:space="preserve"> Issuance of Bid Documents Starts: August 15, 2020 Cost of Bid Document: Php 8,500.00 Venue of Dropping and Opening Bids: BAC Conference Room, Leyte SMED Center, Provincial Capitol Grounds, Tacloban City</t>
  </si>
  <si>
    <t xml:space="preserve"> Republic of the Philippines Province of Negros Oriental MUNICIPALITY OF BACONG INVITATION TO BID Expansion of waterworks system, Bacong Negros Oriental  BacongRFQ 2020-12 1.	The Municipality of Bacong, through the AM-2018 Cost Variance intends to apply th</t>
  </si>
  <si>
    <t xml:space="preserve"> BACK TO SCHOOL PROTOCOL (COVID-19 MITIGATION): SUPPLY AND DELIVERY OF TEMPERATURE MONITORING AND ACCESS CONTROL SYSTEM AND OTHER RELATED MATERIALS -ORDER OF PAYMENT FOR BID DOCS WILL BE AVAILABLE AT GSD-HEAD OFFICE @ 10TH FLOOR MAKATI CITY HALL BLDG. 2. L</t>
  </si>
  <si>
    <t xml:space="preserve"> Issuance of Bid Documents Starts: August 15, 2020 Cost of Bid Document: Php 13,000.00 Venue of Dropping and Opening Bids: BAC Conference Room, Leyte SMED Center, Provincial Capitol Grounds, Tacloban City</t>
  </si>
  <si>
    <t xml:space="preserve"> CONCRETE UPGRADING WITH DRAINAGE</t>
  </si>
  <si>
    <t xml:space="preserve"> MULTI PURPOSE HALL</t>
  </si>
  <si>
    <t xml:space="preserve"> SUPPLY AND DELIVERY OF DESKTOP COMPUTERS -ORDER OF PAYMENT FOR BID DOCS WILL BE AVAILABLE AT GSD-HEAD OFFICE @ 10TH FLOOR MAKATI CITY HALL BLDG. 2. LOOK FOR MR. REDEN VILLANUEVA. A COMPLETE SET OF BIDDING DOCUMENTS WILL BE AVAILABLE FROM DAY OF POSTING/PU</t>
  </si>
  <si>
    <t xml:space="preserve"> MULTI PURP0SE HALL</t>
  </si>
  <si>
    <t xml:space="preserve"> Issuance of Bid Documents Starts: August 15, 2020 Cost of Bid Document: Php 19,000.00 Venue of Dropping and Opening Bids: BAC Conference Room, Leyte SMED Center, Provincial Capitol Grounds, Tacloban City</t>
  </si>
  <si>
    <t xml:space="preserve"> 2,400 bags - Coconut Coir-Based Organic Fertilizer (CCBOF) @ 40 kgs/bag Detailed: North Cotabato	-800 bags South Cotabato	 -800 bags Sultan Kudarat	-800 bags  COCONUT COIR-BASED ORGANIC FERTILIZER (CCBOF) Moisture Content :	10-35% Total NPK: 		5 – 10%  Or</t>
  </si>
  <si>
    <t xml:space="preserve"> DRAINAGE WORKS</t>
  </si>
  <si>
    <t xml:space="preserve"> Invitation to Bid The LGU Alangalang, through its Bids and Awards Committee (BAC), invites prospective bidders to apply for eligibility and to bid for the hereunder project: Name of Project :  Supply and Delivery of A4 Bond Paper   of  LGU-Alangalang,Leyt</t>
  </si>
  <si>
    <t xml:space="preserve"> INVITATION TO REBID The Iligan City Government Bids and Awards Committee (BAC), through Capital Outlay intends to apply the sum of                                    P 1,200,000.00 being the Approved Budget for the Contract (ABC) to payments under the Con</t>
  </si>
  <si>
    <t xml:space="preserve"> 16	units	Brgy. Rescue Ambulance 		Engine / Transmission :  		Inline-4 Cylinder, DOHC, 16 Valves 		Variable Turbocharger (VGS) w/ Intercooler 		2,488cc Displacement; 129/3200rpm Maximum 		Power; 356/1400-2000rp Maximum Torque; Diesel 		Fuel Type; Common Ra</t>
  </si>
  <si>
    <t xml:space="preserve"> Issuance of Bid Documents Starts: August 15, 2020 Cost of Bid Document: Php 13,500.00 Venue of Dropping and Opening Bids: BAC Conference Room, Leyte SMED Center, Provincial Capitol Grounds, Tacloban City</t>
  </si>
  <si>
    <t xml:space="preserve"> Issuance of Bid Documents Starts: August 15, 2020 Cost of Bid Document: Php 5,000.00 Venue of Dropping and Opening Bids: BAC Conference Room, Leyte SMED Center, Provincial Capitol Grounds, Tacloban City</t>
  </si>
  <si>
    <t xml:space="preserve"> Portland cement Concrete Pavement, 0.20m x 5.00m x 182m</t>
  </si>
  <si>
    <t xml:space="preserve"> 3 	Procurement ID/Contract ID		20LC0043 	Contract Name		Tanglaw Bridge 2 (B00187MN) along Tagum – Panabo Circumferential Rd.  	Contract Location		Davao del Norte 	Brief Description		Concreting of Road 	Approved Budget for the Contract ( ABC )		Php. 1,470,</t>
  </si>
  <si>
    <t xml:space="preserve"> ***Please see attached electronic file. (labor &amp; materials)</t>
  </si>
  <si>
    <t xml:space="preserve"> INVITATION TO BID  No. 2020-019 The Department of Public Works and Highways -Davao del Norte District Engineering Office, Tagum City, Davao del Norte, through its Bids and Awards Committee (BAC), invites contractors to submit bids for the following Contra</t>
  </si>
  <si>
    <t xml:space="preserve"> Republic of the Philippines Province of Northern Samar MUNICIPALITY OF VICTORIA -o0o- INVITATION TO BID FOR THE SUPPLY AND DELIVERY OF FERTILIZERS  Contract No. LGU-PI-2020-08-19PB 1.	The Local Government Unit of Victoria, Northern Samar, through the Gene</t>
  </si>
  <si>
    <t xml:space="preserve"> SUPPLY AND DELIVERY OF FETAL MONITOR -ORDER OF PAYMENT FOR BID DOCS WILL BE AVAILABLE AT GSD-HEAD OFFICE @ 10TH FLOOR MAKATI CITY HALL BLDG. 2. LOOK FOR MR. REDEN VILLANUEVA. A COMPLETE SET OF BIDDING DOCUMENTS WILL BE AVAILABLE FROM DAY OF POSTING/PUBLIC</t>
  </si>
  <si>
    <t xml:space="preserve"> INVITATION TO REBID The Iligan City Government Bids and Awards Committee (BAC), through 2020-Special Education Fund intends to apply the sum of                                    P 6,840,000.00 being the Approved Budget for the Contract (ABC) to payments </t>
  </si>
  <si>
    <t xml:space="preserve"> INVITATION TO BID  PROCUREMENT OF TONER WITH FREE USE OF PRINTER  PUBLIC BIDDING NO. VMC 2020-030 1.	The Valenzuela Medical Center (VMC), through the General Appropriations Act/Income CY 2019, intends to apply the sum of Philippine Currency:  ONE MILLION </t>
  </si>
  <si>
    <t xml:space="preserve"> PRINTING OF TICKETS FOR PASKUHAN GIVEAWAYS 2020 -ORDER OF PAYMENT FOR BID DOCS WILL BE AVAILABLE AT GSD-HEAD OFFICE @ 10TH FLOOR MAKATI CITY HALL BLDG. 2. LOOK FOR MR. REDEN VILLANUEVA. A COMPLETE SET OF BIDDING DOCUMENTS WILL BE AVAILABLE FROM DAY OF POS</t>
  </si>
  <si>
    <t xml:space="preserve"> 4 	Procurement ID/Contract ID		20LC0044 	Contract Name		Tanglaw Bridge 3 (B00186MN) along Tagum – Panabo Circumferential Rd. 	Contract Location		Davao del Norte 	Brief Description		Concreting of Road 	Approved Budget for the Contract ( ABC )		Php. 1,470,0</t>
  </si>
  <si>
    <t xml:space="preserve"> Republic of the Philippines Province of South Cotabato City of Koronadal BIDS AND AWARDS COMMITTEE INVITATION TO BID FOR THE  Procurement for the Supply, Delivery &amp; Installation of Various IT Equipments for the Recording &amp; Media Production Facility of the</t>
  </si>
  <si>
    <t xml:space="preserve"> Portland cement Concrete Pavement, 0.20m x 5.00m x 600m</t>
  </si>
  <si>
    <t xml:space="preserve"> Republic of the Philippines Province of Negros Oriental MUNICIPALITY OF BACONG INVITATION TO BID Provison of Potable Water Supply in-Expansion of Waterworks in San Miguel,Bacong Negros Oriental  BacongRFQ 2020-13 1.	The Municipality of Bacong, through the</t>
  </si>
  <si>
    <t xml:space="preserve"> Issuance of Bid Documents Starts: August 15, 2020 Cost of Bid Document: Php 4,500.00 Venue of Dropping and Opening Bids: BAC Conference Room, Leyte SMED Center, Provincial Capitol Grounds, Tacloban City</t>
  </si>
  <si>
    <t xml:space="preserve"> 5 	Procurement ID/Contract ID		20LC0171 	Contract Name		Repair and Maintenance of Road Safety Facilities – Installation of Road Safety Signages along Agusan – Davao Road (Daang Maharlika Road), Surigao – Davao Coastal Road, Tagum City Diversion Road, Tagu</t>
  </si>
  <si>
    <t xml:space="preserve"> 2 	Procurement ID/Contract ID		20LC0042 	Contract Name		Locutan Bridge 1 (B00190MN) along Tagum – Panabo Circumferential Rd. 	Contract Location		Davao del Norte 	Brief Description		Concreting of Road  	Approved Budget for the Contract ( ABC )		Php. 4,213,</t>
  </si>
  <si>
    <t xml:space="preserve"> QUANTITY                UNIT OF ISSUE            DESCRIPTION SEE ATTACHED REQUEST AND ISSUE VOUCHER</t>
  </si>
  <si>
    <t xml:space="preserve"> Riprap with length of 50 meters, height of 2 meters.</t>
  </si>
  <si>
    <t xml:space="preserve"> Issuance of Bid Documents Starts: August 15, 2020 Cost of Bid Document: Php 3,500.00 Venue of Dropping and Opening Bids: BAC Conference Room, Leyte SMED Center, Provincial Capitol Grounds, Tacloban City</t>
  </si>
  <si>
    <t xml:space="preserve"> QUANTITY          UNIT OF ISSUE          DESCRIPTION 1                         UNIT                       PICK UP VEHICLE (BRANDNEW)                                                          WITH ACCESSORIES                                                 </t>
  </si>
  <si>
    <t xml:space="preserve"> PURCHASE OF : PERSONAL DESK COMPUTER 2 (SETS) ONLY ONE  WITH PRINTER</t>
  </si>
  <si>
    <t xml:space="preserve"> Contract Name: REPAIR/MAINTENANCE OF DOTR BUILDING, LAND TRANSPORTATION OFFICE, CALBAYOG CITY, SAMAR Contract Location: SAMAR  Brief Description: REPAIR OF BUILDING = 1 UNIT Approved Budget for the Contract (ABC): PhP 1,960,000.00 Source of Funds:  GAA FY</t>
  </si>
  <si>
    <t xml:space="preserve"> Supply and Delivery of Construction Materials for the Improvement of Acacia-Binalian Road</t>
  </si>
  <si>
    <t xml:space="preserve"> Contract Name: REHABILITATION/MAJOR REPAIR OF TANGAO RIVER REVETMENT 2, BRGY.SAN JOAQUIN, CALBAYOG CITY, SAMAR Contract Location: SAMAR  Brief Description: REHABILITATION/MAJJOR REPAIR OF FLOOD CONTROL STRUCTURE = 40.00 LIN.M Approved Budget for the Contr</t>
  </si>
  <si>
    <t xml:space="preserve"> Republic of the Philippines Province of Isabela LOCAL GOVERNMENT UNIT OF BENITO SOLIVEN INVITATION TO BID FOR THE PROCUREMENT OF RESCUE EQUIPMENT 1.	The Municipal Government of Benito Soliven, intends to apply the sum of Two Hundred Thousand Pesos (P 200,</t>
  </si>
  <si>
    <t xml:space="preserve"> PURCHASE OF :   3 UNITS - AIRCONDITION UNIT 2 HP</t>
  </si>
  <si>
    <t xml:space="preserve"> Contract Name: APPLICATION OF THERMOPLASTIC PAVEMENT MARKING ALONG NATIONAL ROADS KO738+000 – KO786+000 WITH EXEPTION Contract Location: SAMAR  Brief Description: WHITE THERMOPLASTIC PAVEMENT MARKING - 16,818.34 LIN. M                               YELLOW</t>
  </si>
  <si>
    <t xml:space="preserve"> Acquisition of equipment’s Construction of outside drainage canal/ septic tank</t>
  </si>
  <si>
    <t xml:space="preserve"> INVITATION TO BID ITB NO. 2020 - 03(10) 1.	 The Department of Health – Eastern Visayas Center for Health Development, through the Bids and Awards Committee (BAC)  invites contractors to bid for the hereunder project: Completion of BHS Cabungaan, Silvino L</t>
  </si>
  <si>
    <t xml:space="preserve"> INVITATION FOR NEGOTIATED PROCUREMENT DUE TO TWO-FAILED BIDDINGS SUPPLY AND DELIVERY OF ONE (1) UNIT WATER TANKER (BRAND NEW, 6-WHEELER, 10 TONS) 1. The NATIONAL MARITIME POLYTECHNIC intends to procure One (1) Unit Water Tanker (Brand New, 6-Wheeler,10 To</t>
  </si>
  <si>
    <t xml:space="preserve"> IMPLEMENTATION OF FLOOD &amp; EROSION CONTROL PROJECTS (OPEN LINE CANAL)</t>
  </si>
  <si>
    <t xml:space="preserve"> Republic of the Philippines MUNICIPALITY OF TAPAZ BIDS AND AWARDS COMMITTEE Office of the BAC Secretariat, Poblacion, Tapaz, Capiz 5814 E-mail: bac.tapaz@yahoo.com                                                                      Invitation to Bid    P</t>
  </si>
  <si>
    <t xml:space="preserve"> 1 LOT CONSTRUCTION/REHABILITATION OF BRGY. MULTI-PURPOSE HALL (STRAIGHT CONTRACT): PART A – 		GENERAL REQUIREMENTS A.1	1 lot		Construction Safety and Health (Signage and Baricades) A.2	1 lot		Construction Safety and Health (PPE, Safety Personnel &amp; Medical</t>
  </si>
  <si>
    <t xml:space="preserve"> Procurement of ICT equipment and ICT supplies for LGU Offices, Elementary and Secondary Schools, Vintar</t>
  </si>
  <si>
    <t xml:space="preserve"> Purchase of Agri commodities, uniforms &amp; IEC</t>
  </si>
  <si>
    <t xml:space="preserve"> Food Function Hall Room Accomodation</t>
  </si>
  <si>
    <t xml:space="preserve"> PRICE QUOTATION ATTACHED</t>
  </si>
  <si>
    <t xml:space="preserve"> Republic of the Philippines Province of South Cotabato City of Koronadal BIDS AND AWARDS COMMITTEE INVITATION TO BID FOR THE  Procurement for the Supply &amp; Delivery of One (1) Unit Brand New Four (4) Wheeled Vehicle (Pick-Up Truck) for the Bureau of Fire P</t>
  </si>
  <si>
    <t xml:space="preserve"> 1.	The Municipality of Ubay, through the its bids and Awards Committee (BAC), Invites contractors to submit bids for the following contract: Contract ID: 20INFR010 Contract Name: IMPROVEMENT OF WATER SUPPLY SYSTEM Contract Location: Tipolo, Ubay, Bohol Ap</t>
  </si>
  <si>
    <t xml:space="preserve"> Construction of 6m x 7.50m elevated stage with roof/stair and railings installation of 9 sets solar streetlights</t>
  </si>
  <si>
    <t xml:space="preserve"> QUANTITY      UNIT OF ISSUE   DESCRIPTION SEE ATTACHED REQUEST AND ISSUE VOUCHER</t>
  </si>
  <si>
    <t xml:space="preserve"> HOP-QR-PRO-005 Republic of the Philippines Department of Health DAVAO REGIONAL MEDICAL CENTER Apokon, Tagum City BIDS AND AWARDS COMMITTEE INVITATION TO BID FOR THE SUPPLY &amp; DELIVERY OF SURGICAL INSTRUMENTS- REBID 1.	The Davao Regional Medical Center (DRM</t>
  </si>
  <si>
    <t xml:space="preserve"> INVITATION TO BID FOR  Procurement and Delivery of Materials for the Reproduction of Modules Batch 2 PB No. 2020-08-0060 1.	The Department of Education, Division of El Salvador City, through the General Appropriations Act CY 2020 intends to apply the sum </t>
  </si>
  <si>
    <t xml:space="preserve"> Please refer to attached document</t>
  </si>
  <si>
    <t xml:space="preserve"> Republic of the Philippines Province of South Cotabato City of Koronadal BIDS AND AWARDS COMMITTEE INVITATION TO BID FOR THE  Procurement for the Supply, Delivery, Installation &amp; Commissioning of ICT Equipments, Telephone Channeling, Internet Cabling, LAN</t>
  </si>
  <si>
    <t xml:space="preserve"> Description							 CCTV Surveillance System additional with Paging System;							 CCTV Surveillance System, 24/7 Video Surveillance of the CCTV Camera's installed on designated areas, equipment are configured, tested and commisioned to be working							 	</t>
  </si>
  <si>
    <t xml:space="preserve"> 1	UNIT	 MAN-LIFT TRUCK  		 		SPECIFICATION 		 		ENGINE: 4M51, FOUR (4) CYLINDER DIRECT INJECTION 		TRANSMISSION: MANUAL TRANSMISSION 		DISPLACEMENT: 5,249 CC 		MAX. TORQUE: 36.0 KG-M 		MAX POWER: 155 PS 		FUEL SYSTEM: DIRECT INJECTION DIESEL 		SUSPENSION:</t>
  </si>
  <si>
    <t xml:space="preserve"> constraction supplies for the implementation of flood Control &amp; erosion projects (river control) at Little town Brgy. Bibincahan, East District, Sorsogon City</t>
  </si>
  <si>
    <t xml:space="preserve"> 499.20         CU.M.                        EXCAVATION (SURPLUS COMMON) 249.60          CU.M.                       EMBANKMENT / IMPORTED FILL 249.60          CU.M.                       GRAVEL SURFACE COURSE (UNCRUSHED)</t>
  </si>
  <si>
    <t xml:space="preserve"> Fabrication/Installation of new trusses, purlins (4 spans) Installation of Curve roofing and facia</t>
  </si>
  <si>
    <t xml:space="preserve"> 1	UNIT	4 HP CEILING  CASSETTE  TYPE INVERTER		 		 - AIRCONDITIONED , 1-PHASE, 230V 60HZ,		 		   COMPLETE WITH STANDARD ACCESSORIES &amp; 		 		   WITH "NAVIGATION" WIRED REMOTE CONTROLLER		 				 		3 HP FLOOR MOUNTED TYPE INVERTER		 		 - AIRCONDITIONED , 1-PHAS</t>
  </si>
  <si>
    <t xml:space="preserve"> 1.	The Municipality of Ubay, through the its bids and Awards Committee (BAC), Invites contractors to submit bids for the following contract: Contract ID: 20INFR011 Contract Name: COMPLETION/EXTENTION OF UBAY RURAL HEALTH UNIT I Contract Location: Poblacio</t>
  </si>
  <si>
    <t xml:space="preserve"> 1.Office Table &amp; chairs  = 6 Sets  2. Bookshelves/Filing Cabinet  = 3 pcs.  3. Computer Table  =  1 set  4. Office Sala Set   =   1 set</t>
  </si>
  <si>
    <t xml:space="preserve"> 5	Unit 		SOLAR STREET LIGHTS 		 			S P E C I F I C A T I O N		 			POWER:		 			 120 WATTS		 			INDUCTION MODE:		 			 INTELLIGENT RADAR SENSING/PEOPLE TO FULL BRIGHT		 			 PEOPLE WALK HALF BRIGHT, IT IS BRIGHT IN THE DARK		 			UNIT SIZE:		 			 870x325x70MM	</t>
  </si>
  <si>
    <t xml:space="preserve"> Republic of the Philippines Province of Southern Leyte MUNICIPALITY OF LIMASAWA BARANGAY CABULIHAN -o0o- Bids and Awards Committee Invitation to Bid for the Supply of Materials for the Construction of CHB Fence at Barangay Cabulihan,  Limasawa, Southern L</t>
  </si>
  <si>
    <t xml:space="preserve"> construction materials for the implementation of flood &amp; erosions control projects (line canal w/ conc cover) housing project.</t>
  </si>
  <si>
    <t xml:space="preserve"> Republic of the Philippines Province of Misamis Occidental MUNICIPALITY OF CALAMBA BARANGAY DAPACAN ALTO INVITATION TO BID FOR PURCHASE OF MATERIALS FOR THE IMPROVEMENT OF MULTI-PURPOSE HALL 	August 15, 2020 1.	The Barangay Dapacan Alto  of Calamba, Misam</t>
  </si>
  <si>
    <t xml:space="preserve"> INVITATION TO BID Date: August 14, 2020 1.	The Provincial Government of Davao del Sur, through its Bids and Awards Committee (BAC), invites all potential bidders/suppliers to apply to bid for the following goods. Bids received in excess of the ABC shall b</t>
  </si>
  <si>
    <t xml:space="preserve"> construction materials for the local road</t>
  </si>
  <si>
    <t xml:space="preserve"> 1) Bogasong Br. II (B00603LT) Along Daang Maharlika (LT), Libagon, Southern Leyte – 2 Boreholes 2) Cawayan Br. I (B00605LT) Along Daang Maharlika (LT), Libagon, Southern Leyte – 2 Boreholes 3) Cawayan Br. II (B00606LT) Along Daang Maharlika (LT), Libagon,</t>
  </si>
  <si>
    <t xml:space="preserve"> 1	UNIT	BRAND NEW SEVICE VEHICLE (PICK-UP TYPE 4x4) 		 		S P E C I F I C A T I O N		 		ENGINE		 		TYPE: 2.4L 4 IN LINE 16 VALVE DOHC CLEAN DIESEL 		 		              ENGINE W/ VGT &amp; MIVEC EURO 4		 		MAXIMUM POWER (PS/RPM): 181/3,500		 		MAXIMUM TORQUE (NM/R</t>
  </si>
  <si>
    <t xml:space="preserve"> Description	Unit of Issue	Quantity Covid 19 Test Kit	test	200 Surgical Face Mask	bxs	159 Alcohol 70%	gal	75 Netrile Gloves	bxs	30 Syringe 3cc	bxs	5 EDTA tube	bxs	3 REDTOP	bxs	2 KN95 mask	pcs	50 Gloves	bxs	4 Yellow Tips	bxs	2 LYSOL Spray	bot	10</t>
  </si>
  <si>
    <t xml:space="preserve"> Items          Description                                 Quantity          Unit   1          Bond Paper ( A3 size, 80 gsm)             2896            Ream</t>
  </si>
  <si>
    <t xml:space="preserve"> CONSTRUCTION OF NEW PUBLIC MARKET AT POBLACION, KAUSWAGAN, LANAO DEL NORTE</t>
  </si>
  <si>
    <t xml:space="preserve"> SEE PBD</t>
  </si>
  <si>
    <t xml:space="preserve"> Invitation to Bid for: Upgrading and Improvement of Sto. Niño Street in Brgy. Baybay The LGU Gamay, Northern Samar, through the Local Government Support Fund – Assistance to Municipalities (LGSF-AM), FY 2020 GAA, RA No. 11465 intends to apply the sum of P</t>
  </si>
  <si>
    <t xml:space="preserve"> “IMPROVEMENT OF MULTI-PURPOSE BUILDING (GYMNASIUM STAGE).” 1. The Barangay Government of Dona Flavia, San Luis, Agusan del Sur, reserve the amount of Two Hundred Forty Thousand Pesos (240,000.00) only from the 20% 2019 and 2020 Barangay Development FUND (</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</si>
  <si>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</si>
  <si>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Description   1. The Barangay Local Government Unit of Tuban, Santa Cruz, Davao del Sur, through the Corporate Budget Approved by the Governing Board intends to apply the sum of P 530,598.20 being the Approved Budget for the Contract (ABC) to payments und</t>
  </si>
  <si>
    <t xml:space="preserve"> COVID-19 gives the whole country problems in coping with the new normal. One of the affected agency in government is the Department of Education. Face to face teaching and learning is prohibited in this time of pandemic and modular/ distance learning is t</t>
  </si>
  <si>
    <t xml:space="preserve"> Procurement of 200 pieces Emergency Response Kit  for the youth. It  is an easy to carry Go Bag that can be used in case of an emergency/disaster. This project also aims To equip the youth and KK members with appropriate supplies necessary for disaster pr</t>
  </si>
  <si>
    <t xml:space="preserve"> Republic of the Philippines Province of Bohol Municipality of Ubay INVITATION TO BID FOR PURCHASE OF EMERGENCY RESCUE VEHICLE 1.  The Municipality of Ubay, through the 5% MDRRM Funds intends to apply the sum of ONE MILLION FIVE HUNDRED THOUSAND PESOS (Php</t>
  </si>
  <si>
    <t xml:space="preserve"> Laminating Film 1box Staple Wire (Big) 5 box Long arm stapler 1pc Paper Clip Big 3boxes Clear Plastic envelop long 600pcs</t>
  </si>
  <si>
    <t xml:space="preserve"> ATTACHED HEREWITH IS THE REQUEST FOR PROPOSAL AND TERMS OF REFERENCE.</t>
  </si>
  <si>
    <t xml:space="preserve"> Will be discussed during pre bid conference</t>
  </si>
  <si>
    <t xml:space="preserve"> Provision of Communication devices and equipment to have a good communication and may be used for information dissemination to SK Council of Barangay Bangkal</t>
  </si>
  <si>
    <t xml:space="preserve"> - To conduct a week long event to celebrate Linggo ng Kabataan as provided in RRI of RA10742, Rule VI  - To report the accomplishment and future programs, projects and activities of SK Council</t>
  </si>
  <si>
    <t xml:space="preserve"> Description Republic of the Philippines PROVINCE OF ZAMBONAGA DEL NORTE Municipality of Leon B. Postigo INVITATION TO BID (2020-07-197)  August 14, 2020    Municipality of Leon B. Postigo, Zamboanga del Norte invites qualified bidders to apply for prequal</t>
  </si>
  <si>
    <t xml:space="preserve"> Description Republic of the Philippines PROVINCE OF ZAMBONAGA DEL NORTE Municipality of Leon B. Postigo INVITATION TO BID (2020-07-202)  August 14, 2020    Municipality of Leon B. Postigo, Zamboanga del Norte invites qualified bidders to apply for prequal</t>
  </si>
  <si>
    <t xml:space="preserve"> Description Republic of the Philippines PROVINCE OF ZAMBONAGA DEL NORTE Municipality of Leon B. Postigo INVITATION TO BID (2020-07-196)  August 14, 2020    Municipality of Leon B. Postigo, Zamboanga del Norte invites qualified bidders to apply for prequal</t>
  </si>
  <si>
    <t xml:space="preserve"> Description Republic of the Philippines PROVINCE OF ZAMBONAGA DEL NORTE Municipality of Leon B. Postigo INVITATION TO BID (2020-07-195)  August 14, 2020    Municipality of Leon B. Postigo, Zamboanga del Norte invites qualified bidders to apply for prequal</t>
  </si>
  <si>
    <t xml:space="preserve"> Description Republic of the Philippines PROVINCE OF ZAMBONAGA DEL NORTE Municipality of Leon B. Postigo INVITATION TO BID (2020-07-193)  August 14, 2020    Municipality of Leon B. Postigo, Zamboanga del Norte invites qualified bidders to apply for prequal</t>
  </si>
  <si>
    <t xml:space="preserve"> Description Republic of the Philippines PROVINCE OF ZAMBONAGA DEL NORTE Municipality of Leon B. Postigo INVITATION TO BID (2020-07-192) August 14, 2020    Municipality of Leon B. Postigo, Zamboanga del Norte invites qualified bidders to apply for prequali</t>
  </si>
  <si>
    <t xml:space="preserve"> Description Republic of the Philippines PROVINCE OF ZAMBONAGA DEL NORTE Municipality of Leon B. Postigo INVITATION TO BID (2020-07-191)  August 14, 2020    Municipality of Leon B. Postigo, Zamboanga del Norte invites qualified bidders to apply for prequal</t>
  </si>
  <si>
    <t xml:space="preserve"> Description Republic of the Philippines PROVINCE OF ZAMBONAGA DEL NORTE Municipality of Leon B. Postigo INVITATION TO BID (2020-07-198)  August 14, 2020    Municipality of Leon B. Postigo, Zamboanga del Norte invites qualified bidders to apply for prequal</t>
  </si>
  <si>
    <t xml:space="preserve"> Description Republic of the Philippines PROVINCE OF ZAMBONAGA DEL NORTE Municipality of Leon B. Postigo INVITATION TO BID (2020-07-189)  August 14, 2020    Municipality of Leon B. Postigo, Zamboanga del Norte invites qualified bidders to apply for prequal</t>
  </si>
  <si>
    <t xml:space="preserve"> concreting of barangay roads 2 meters width x 85 meters length x .15 thick</t>
  </si>
  <si>
    <t xml:space="preserve"> Description Republic of the Philippines PROVINCE OF ZAMBONAGA DEL NORTE Municipality of Leon B. Postigo INVITATION TO BID (2020-07-199)  August 14, 2020    Municipality of Leon B. Postigo, Zamboanga del Norte invites qualified bidders to apply for prequal</t>
  </si>
  <si>
    <t xml:space="preserve"> Description Republic of the Philippines PROVINCE OF ZAMBONAGA DEL NORTE Municipality of Leon B. Postigo INVITATION TO BID (2020-02-022)  August 14, 2020    Municipality of Leon B. Postigo, Zamboanga del Norte invites qualified bidders to apply for prequal</t>
  </si>
  <si>
    <t xml:space="preserve"> ITEMS: 1. SIGNAGE  2. CLEARING, EXCAVATION AND BACKFILLING WORKS 3. CHB LINING CANAL 4. GROUTED RIPRAP 5. SUB GRADE PREPARATION 6. AGGREGATE BASE COURSE 7. PORTLAND CEMENT CONCRETE PAVEMENT</t>
  </si>
  <si>
    <t xml:space="preserve"> Description Republic of the Philippines PROVINCE OF ZAMBONAGA DEL NORTE Municipality of Leon B. Postigo INVITATION TO BID (2020-02-020)  August 14, 2020    Municipality of Leon B. Postigo, Zamboanga del Norte invites qualified bidders to apply for prequal</t>
  </si>
  <si>
    <t xml:space="preserve"> PROCUREMENT OF SUPPLIES AND MATERIALS FOR THE IMPROVEMENT OF WATER SYSTEM (PIPE LAYING)</t>
  </si>
  <si>
    <t xml:space="preserve"> PROCUREMENT OF CONSTRUCTION SUPPLIES AND MATERIALS FOR THE CONSTRUCTION OF LOCAL ROAD NETWORK</t>
  </si>
  <si>
    <t xml:space="preserve"> Description Republic of the Philippines PROVINCE OF ZAMBONAGA DEL NORTE Municipality of Leon B. Postigo INVITATION TO BID (2020-07-201) August 14, 2020    Municipality of Leon B. Postigo, Zamboanga del Norte invites qualified bidders to apply for prequali</t>
  </si>
  <si>
    <t xml:space="preserve"> Description Republic of the Philippines PROVINCE OF ZAMBONAGA DEL NORTE Municipality of Leon B. Postigo INVITATION TO BID (2020-07-190)  August 14, 2020    Municipality of Leon B. Postigo, Zamboanga del Norte invites qualified bidders to apply for prequal</t>
  </si>
  <si>
    <t xml:space="preserve"> Description Republic of the Philippines PROVINCE OF ZAMBONAGA DEL NORTE Municipality of Leon B. Postigo INVITATION TO BID (2020-05-060)  August 14, 2020    Municipality of Leon B. Postigo, Zamboanga del Norte invites qualified bidders to apply for prequal</t>
  </si>
  <si>
    <t xml:space="preserve"> Description Republic of the Philippines PROVINCE OF ZAMBONAGA DEL NORTE Municipality of Leon B. Postigo INVITATION TO BID (2020-07-226) August 14, 2020    Municipality of Leon B. Postigo, Zamboanga del Norte invites qualified bidders to apply for prequali</t>
  </si>
  <si>
    <t xml:space="preserve"> Description Republic of the Philippines PROVINCE OF ZAMBONAGA DEL NORTE Municipality of Leon B. Postigo INVITATION TO BID (2020-07-214) August 14, 2020    Municipality of Leon B. Postigo, Zamboanga del Norte invites qualified bidders to apply for prequali</t>
  </si>
  <si>
    <t xml:space="preserve"> Description Republic of the Philippines PROVINCE OF ZAMBONAGA DEL NORTE Municipality of Leon B. Postigo INVITATION TO BID (2020-07-227) August 14, 2020    Municipality of Leon B. Postigo, Zamboanga del Norte invites qualified bidders to apply for prequali</t>
  </si>
  <si>
    <t xml:space="preserve"> Description Republic of the Philippines PROVINCE OF ZAMBONAGA DEL NORTE Municipality of Leon B. Postigo INVITATION TO BID (2020-07-181) August 14, 2020    Municipality of Leon B. Postigo, Zamboanga del Norte invites qualified bidders to apply for prequali</t>
  </si>
  <si>
    <t xml:space="preserve"> Description Republic of the Philippines PROVINCE OF ZAMBONAGA DEL NORTE Municipality of Leon B. Postigo INVITATION TO BID (2020-07-207) August 14, 2020    Municipality of Leon B. Postigo, Zamboanga del Norte invites qualified bidders to apply for prequali</t>
  </si>
  <si>
    <t xml:space="preserve"> Description Republic of the Philippines PROVINCE OF ZAMBONAGA DEL NORTE Municipality of Leon B. Postigo INVITATION TO BID (2020-07-225) August 14, 2020    Municipality of Leon B. Postigo, Zamboanga del Norte invites qualified bidders to apply for prequali</t>
  </si>
  <si>
    <t xml:space="preserve"> 1.	The Municipality of Santo Tomas, La Union, through the budget for the contract approved by the sanggunian under LGSF-AM (2020) intends to apply the sum of Five million, six hundred twenty thousand pesos (Php 5,623,000.00) being the Approved Budget for </t>
  </si>
  <si>
    <t xml:space="preserve"> Description Republic of the Philippines PROVINCE OF ZAMBONAGA DEL NORTE Municipality of Leon B. Postigo INVITATION TO BID (2020-07-194)  August 14, 2020    Municipality of Leon B. Postigo, Zamboanga del Norte invites qualified bidders to apply for prequal</t>
  </si>
  <si>
    <t xml:space="preserve"> Description Republic of the Philippines PROVINCE OF ZAMBONAGA DEL NORTE Municipality of Leon B. Postigo INVITATION TO BID (2020-07-205) August 14, 2020    Municipality of Leon B. Postigo, Zamboanga del Norte invites qualified bidders to apply for prequali</t>
  </si>
  <si>
    <t xml:space="preserve"> 1.	The Municipality of Santo Tomas, La Union, through the budget for the contract approved by the sanggunian under LGSF-AM (2020) intends to apply the sum of Three million pesos              (Php 3,000,000.00) being the Approved Budget for the Contract (A</t>
  </si>
  <si>
    <t xml:space="preserve"> Description Republic of the Philippines PROVINCE OF ZAMBONAGA DEL NORTE Municipality of Leon B. Postigo INVITATION TO BID (2020-07-211) August 14, 2020    Municipality of Leon B. Postigo, Zamboanga del Norte invites qualified bidders to apply for prequali</t>
  </si>
  <si>
    <t xml:space="preserve"> Description Republic of the Philippines PROVINCE OF ZAMBONAGA DEL NORTE Municipality of Leon B. Postigo INVITATION TO BID (2020-07-203) August 14, 2020    Municipality of Leon B. Postigo, Zamboanga del Norte invites qualified bidders to apply for prequali</t>
  </si>
  <si>
    <t xml:space="preserve"> Description Republic of the Philippines PROVINCE OF ZAMBONAGA DEL NORTE Municipality of Leon B. Postigo INVITATION TO BID (2020-07-209) August 14, 2020    Municipality of Leon B. Postigo, Zamboanga del Norte invites qualified bidders to apply for prequali</t>
  </si>
  <si>
    <t xml:space="preserve"> LED FLOOD LAMP 100WATTS      12 Pcs. STRANDED WIRE 8.0mm2          30 Meter STRANDED WIRE 3.5MM2             4 Box ELECTRICAL PIPE  1/2                35 Length PVC SOLVENT 400cc                    3  Can CABLE CLIP 4"                         200  Pcs. CI</t>
  </si>
  <si>
    <t xml:space="preserve"> Description Republic of the Philippines PROVINCE OF ZAMBONAGA DEL NORTE Municipality of Leon B. Postigo INVITATION TO BID (2020-07-206) August 14, 2020    Municipality of Leon B. Postigo, Zamboanga del Norte invites qualified bidders to apply for prequali</t>
  </si>
  <si>
    <t xml:space="preserve"> Description Republic of the Philippines PROVINCE OF ZAMBONAGA DEL NORTE Municipality of Leon B. Postigo INVITATION TO BID (2020-07-210) August 14, 2020    Municipality of Leon B. Postigo, Zamboanga del Norte invites qualified bidders to apply for prequali</t>
  </si>
  <si>
    <t xml:space="preserve"> ZAMBALES 2ND DISTRICT ENGINEERING OFFICE Castillejos, Zambales NOTICE OF SHORT LIST AND REQUEST FOR PROPOSALS (RFP) August 13, 2020 [Name and Address of Consultant] Dear [Addressee]: Dear Sir: Subject: Consultancy Services for the Geotechnical Investigati</t>
  </si>
  <si>
    <t xml:space="preserve"> 1.	The Civil Aviation Authority of the Philippines, through the DOWNLOADED FUND from DOTr intends to apply the sum of One Hundred Sixty Eight Million Nine Hundred Thousand Pesos only (Php 168,900,000.00) being the Approved Budget for the Contract (ABC) to</t>
  </si>
  <si>
    <t xml:space="preserve"> REQUEST FOR QUOTATIONS Construction of PWD Ramp at NALLRC Note: Please see attached document for complete specifications. REMINDERS: 1.) Pls. see associated components for the attached approved canvass form for complete specifications. 2.) Only the approv</t>
  </si>
  <si>
    <t xml:space="preserve"> INVITATION TO BID: 1. Project Title: Rebidding for the Supply and Delivery of One (1) Unit Passenger Van 2. Approved Budget for the Contract: Php 1,500,000.00 3. Pre-bid Conference: on August 24, 2020, 11:00 a.m. Dr. Pablo T. Mateo Conference Room, 2nd Fl</t>
  </si>
  <si>
    <t xml:space="preserve"> Description Republic of the Philippines PROVINCE OF ZAMBONAGA DEL NORTE Municipality of Leon B. Postigo INVITATION TO BID (2020-07-204) August 14, 2020    Municipality of Leon B. Postigo, Zamboanga del Norte invites qualified bidders to apply for prequali</t>
  </si>
  <si>
    <t xml:space="preserve"> Description Republic of the Philippines PROVINCE OF ZAMBONAGA DEL NORTE Municipality of Leon B. Postigo INVITATION TO BID (2020-07-200) August 14, 2020    Municipality of Leon B. Postigo, Zamboanga del Norte invites qualified bidders to apply for prequali</t>
  </si>
  <si>
    <t xml:space="preserve"> 1. The Civil Aviation Authority of the Philippines, through the Funds from DOTr Downloaded Projects intends to apply the sum of EIGHT HUNDRED TWENTY-NINE MILLION TWO HUNDRED SIXTY-TWO THOUSAND NINE HUNDRED THIRTY-THREE PESOS &amp; 1 3/ 10 0 (Php 8 2 9 ,2 62 ,</t>
  </si>
  <si>
    <t xml:space="preserve"> Invitation to Bid for Supply and Delivery of Various Electro-Mechanical Equipment and Accessories for the Construction of Tigayon Pumping Station No. 2 1.	The METRO KALIBO WATER DISTRICT, through the Corporate Budget for the contract approved by the Gover</t>
  </si>
  <si>
    <t xml:space="preserve"> G.I. Pipe, 150mm diameter x 6m. Sch. 40</t>
  </si>
  <si>
    <t xml:space="preserve"> PURCHASE OF CONTROLLER FOR WATER PUMPING STATION, SIKATUNA, BOHOL</t>
  </si>
  <si>
    <t xml:space="preserve"> Description Republic of the Philippines PROVINCE OF ZAMBONAGA DEL NORTE Municipality of Leon B. Postigo INVITATION TO BID (2020-07-208) August 14, 2020    Municipality of Leon B. Postigo, Zamboanga del Norte invites qualified bidders to apply for prequali</t>
  </si>
  <si>
    <t xml:space="preserve"> Description Republic of the Philippines PROVINCE OF ZAMBONAGA DEL NORTE Municipality of Leon B. Postigo INVITATION TO BID (2020-07-216) August 14, 2020    Municipality of Leon B. Postigo, Zamboanga del Norte invites qualified bidders to apply for prequali</t>
  </si>
  <si>
    <t xml:space="preserve"> Description of Works to be Done Asphalting..............................................96.26% Project Billboard/Signboard........................0.55% Occupational Safety &amp; Health program.........1.45% Mobilization........................................</t>
  </si>
  <si>
    <t xml:space="preserve"> QUANTITY                 UNIT OF ISSUE                    DESCRIPTION SEE ATTACHED REQUEST AND ISSUE VOUCHER (RIV)</t>
  </si>
  <si>
    <t xml:space="preserve"> Description Republic of the Philippines PROVINCE OF ZAMBONAGA DEL NORTE Municipality of Leon B. Postigo INVITATION TO BID (2020-07-228) August 14, 2020    Municipality of Leon B. Postigo, Zamboanga del Norte invites qualified bidders to apply for prequali</t>
  </si>
  <si>
    <t xml:space="preserve"> Description Republic of the Philippines PROVINCE OF ZAMBONAGA DEL NORTE Municipality of Leon B. Postigo INVITATION TO BID (2020-07-234) August 14, 2020    Municipality of Leon B. Postigo, Zamboanga del Norte invites qualified bidders to apply for prequali</t>
  </si>
  <si>
    <t xml:space="preserve"> Item 105- Sub-grade preparation, Qty. = 140.00 sq.m. with 35.00 linear meters, a. Equipment Rental: one (01) unit motorized grader, and one (01) unit vibratory road roller, b. Labor: four (04) manpower, Item 200-Aggregate sub-base course, Qty.= 33.60 cu.m</t>
  </si>
  <si>
    <t xml:space="preserve"> Description Republic of the Philippines PROVINCE OF ZAMBONAGA DEL NORTE Municipality of Leon B. Postigo INVITATION TO BID (2020-07-224) August 14, 2020    Municipality of Leon B. Postigo, Zamboanga del Norte invites qualified bidders to apply for prequali</t>
  </si>
  <si>
    <t xml:space="preserve"> Description Republic of the Philippines PROVINCE OF ZAMBONAGA DEL NORTE Municipality of Leon B. Postigo INVITATION TO BID (2020-07-233) August 14, 2020    Municipality of Leon B. Postigo, Zamboanga del Norte invites qualified bidders to apply for prequali</t>
  </si>
  <si>
    <t xml:space="preserve"> Description Republic of the Philippines PROVINCE OF ZAMBONAGA DEL NORTE Municipality of Leon B. Postigo INVITATION TO BID (2020-07-175) August 14, 2020    Municipality of Leon B. Postigo, Zamboanga del Norte invites qualified bidders to apply for prequali</t>
  </si>
  <si>
    <t xml:space="preserve"> Description Republic of the Philippines PROVINCE OF ZAMBONAGA DEL NORTE Municipality of Leon B. Postigo INVITATION TO BID (2020-07-222) August 14, 2020    Municipality of Leon B. Postigo, Zamboanga del Norte invites qualified bidders to apply for prequali</t>
  </si>
  <si>
    <t xml:space="preserve"> Description Republic of the Philippines PROVINCE OF ZAMBONAGA DEL NORTE Municipality of Leon B. Postigo INVITATION TO BID (2020-07-215) August 14, 2020    Municipality of Leon B. Postigo, Zamboanga del Norte invites qualified bidders to apply for prequali</t>
  </si>
  <si>
    <t xml:space="preserve"> Description Republic of the Philippines PROVINCE OF ZAMBONAGA DEL NORTE Municipality of Leon B. Postigo INVITATION TO BID (2020-07-219) August 14, 2020    Municipality of Leon B. Postigo, Zamboanga del Norte invites qualified bidders to apply for prequali</t>
  </si>
  <si>
    <t xml:space="preserve"> Description Republic of the Philippines PROVINCE OF ZAMBONAGA DEL NORTE Municipality of Leon B. Postigo INVITATION TO BID (2020-07-229) August 14, 2020    Municipality of Leon B. Postigo, Zamboanga del Norte invites qualified bidders to apply for prequali</t>
  </si>
  <si>
    <t xml:space="preserve"> Description Republic of the Philippines PROVINCE OF ZAMBONAGA DEL NORTE Municipality of Leon B. Postigo INVITATION TO BID (2020-07-221) August 14, 2020    Municipality of Leon B. Postigo, Zamboanga del Norte invites qualified bidders to apply for prequali</t>
  </si>
  <si>
    <t xml:space="preserve"> Description Republic of the Philippines PROVINCE OF ZAMBONAGA DEL NORTE Municipality of Leon B. Postigo INVITATION TO BID (2020-07-235) August 14, 2020    Municipality of Leon B. Postigo, Zamboanga del Norte invites qualified bidders to apply for prequali</t>
  </si>
  <si>
    <t xml:space="preserve"> Description Republic of the Philippines PROVINCE OF ZAMBONAGA DEL NORTE Municipality of Leon B. Postigo INVITATION TO BID (2020-07-232) August 14, 2020    Municipality of Leon B. Postigo, Zamboanga del Norte invites qualified bidders to apply for prequali</t>
  </si>
  <si>
    <t xml:space="preserve"> Description Republic of the Philippines PROVINCE OF ZAMBONAGA DEL NORTE Municipality of Leon B. Postigo INVITATION TO BID (2020-07-231) August 14, 2020    Municipality of Leon B. Postigo, Zamboanga del Norte invites qualified bidders to apply for prequali</t>
  </si>
  <si>
    <t xml:space="preserve"> Description Republic of the Philippines PROVINCE OF ZAMBONAGA DEL NORTE Municipality of Leon B. Postigo INVITATION TO BID (2020-07-213) August 14, 2020    Municipality of Leon B. Postigo, Zamboanga del Norte invites qualified bidders to apply for prequali</t>
  </si>
  <si>
    <t xml:space="preserve"> The Municipality of Baliwag, through its Bids and Awards Committee (BAC), invites contractors to apply for eligibility and to bid the here ender project: Name of Project	:	WIRELESS INTERNET CONNECTION FOR VARIOUS SCHOOL 				OF BALIWAG NORTH AND SOUTH DIST</t>
  </si>
  <si>
    <t xml:space="preserve"> Republic of the Philippines Department of Agriculture PHILIPPINE RURAL DEVELOPMENT PROJECT PSO VISAYAS CLUSTER Province of Northern Samar INVITATION TO QUOTE PROCUREMENT OF EQUIPMENT AND MACHINERY 1.UNIT COCOPEAT COMPACTOR MACHINE 2. UNIT CARDING MACHINE </t>
  </si>
  <si>
    <t xml:space="preserve"> Description Republic of the Philippines PROVINCE OF ZAMBONAGA DEL NORTE Municipality of Leon B. Postigo INVITATION TO BID (2020-07-217) August 14, 2020    Municipality of Leon B. Postigo, Zamboanga del Norte invites qualified bidders to apply for prequali</t>
  </si>
  <si>
    <t xml:space="preserve"> 20E00110: AWP 3/Preventive Maintenance, Mindoro West Coastal Road, K0254+000 – K0260+476, Occidental Mindoro</t>
  </si>
  <si>
    <t xml:space="preserve"> 55	pcs	 Apron (Color green with Logo) 	 2	unit	 1.5 Pressurized Car Wash Water Pump Kit/ Set   	 		 (including motor &amp; presurized hose nozzle) 	 2	unit 	 5kg/ 0.5g LCD Digital Coffee Weighing 	 5	pcs	 Air Chuck 	 49    	pcs	 Air Compressor (1/4 hp) 	 5   </t>
  </si>
  <si>
    <t xml:space="preserve"> concreting of local access road at Ajat to Manaoag to Campo</t>
  </si>
  <si>
    <t xml:space="preserve"> LOCAL ACCESS ROAD IN BARANGAY NANUNGARAN AND BARANGAY ANUNGU 	The Local Government Unit of Rizal, Cagayan intends to apply the sum of TEN MILLION NINE HUNDRED THOUSAND PESOS ONLY(P10,900,000.00) being the Approved Budget for the Contract (ABC) for the LOC</t>
  </si>
  <si>
    <t xml:space="preserve"> Description Republic of the Philippines PROVINCE OF ZAMBONAGA DEL NORTE Municipality of Leon B. Postigo INVITATION TO BID (2020-07-230) August 14, 2020    Municipality of Leon B. Postigo, Zamboanga del Norte invites qualified bidders to apply for prequali</t>
  </si>
  <si>
    <t xml:space="preserve"> Description Republic of the Philippines PROVINCE OF ZAMBONAGA DEL NORTE Municipality of Leon B. Postigo INVITATION TO BID (2020-07-223) August 14, 2020    Municipality of Leon B. Postigo, Zamboanga del Norte invites qualified bidders to apply for prequali</t>
  </si>
  <si>
    <t xml:space="preserve"> SUPPLY AND INSTALLATION OF CCTV CAMERAS 1 SETS 32 CH POE NVR 10 SETS 2 MP MINI BULLET IP CAMERA 8 SETS 4 MP BULLET CAMERA 2 SETS 2  MP 30X zoom PTZ IP CAMERA 4 SETS 50" UxD LED TV 5 SETS 5.6 GHz TRANSMITTER/ RELAY ANTENNA 2 UNITS CENTRALIZED POWER SUPPLY </t>
  </si>
  <si>
    <t xml:space="preserve"> GASOLINE DIESEL GREASE</t>
  </si>
  <si>
    <t xml:space="preserve"> 2 UNITS BRAND NEW DUMP TRUCK FORWARD TYPE 36" DROP SIDE 8 HOLE 10 HUNDRED TIRE SIZE: 195 HP ENGINE, 6 CYLINDER SEMI AIR BRAKE W/ 2 UNITS SPARE TIRE W/COMPLETE ACCSS.</t>
  </si>
  <si>
    <t xml:space="preserve"> Description Republic of the Philippines PROVINCE OF ZAMBONAGA DEL NORTE Municipality of Leon B. Postigo INVITATION TO BID (2020-06-155) August 14, 2020    Municipality of Leon B. Postigo, Zamboanga del Norte invites qualified bidders to apply for prequali</t>
  </si>
  <si>
    <t xml:space="preserve"> 1	lot	Concreting of T. Cossid Street	 		Scope of Works:	 			Surplus Unclassified Excavation 			Embankment 			Subgrade Preparation (Common Materials) 			Aggregate Base Course 			PCC Pavement (Plain), 200mm thk. 			Project Billboard 			Mobilization &amp; Demobi</t>
  </si>
  <si>
    <t xml:space="preserve"> ANTHRACITE COAL SILICA SAND</t>
  </si>
  <si>
    <t xml:space="preserve"> INVITATION TO BID FOR PROCUREMENT OF WATER SYSTEM FIXTURES 1.	The Local Government Unit of Josefina, through the SEF intends to apply the sum of ONE HUNDRED FIFTY THOUSAND PESOS (150,000.00) being the Approved Budget for the Contract (ABC) of DepEd to pay</t>
  </si>
  <si>
    <t xml:space="preserve"> PROJECT TITLE:Proposed Faculty and Employee Center PROJECT LOCATION:SLSU Main Campus OWNER: Southern Luzon State University SUBJECT: Scope of works 1.0	SCOPE OF WORKS Item No.-----------------------Work Description------------------------------Wt. % 1----</t>
  </si>
  <si>
    <t xml:space="preserve"> CONSTRUCTION OF VIRGIN COCONUT OIL PROCESSING PLANT - BRGY. MALAYA Brgy. Malaya, Labo, Cams. Norte</t>
  </si>
  <si>
    <t xml:space="preserve"> PROVISION FOR THE EXTENSION OF RTC BRANCH 64 OFFICE BUILDING RTC Branch 64 Office Building, Labo, Cams. Norte</t>
  </si>
  <si>
    <t xml:space="preserve"> INSTALLATION OF STREETLIGHTS AT POBLACION BARANGAY Poblacion, Labo, Cams. Norte</t>
  </si>
  <si>
    <t xml:space="preserve"> CONCRETING OF FMR-BRGY. BAKIAD Brgy. Bakiad, Labo, Cams.</t>
  </si>
  <si>
    <t xml:space="preserve"> CONSTRUCTION OF SCHOOL BUILDING CUM EVACUATION CENTER-NAPAOD ELEMENTARY SCHOOL Napaod Elementary School, Labo, Cams. Norte</t>
  </si>
  <si>
    <t xml:space="preserve"> Expanded Newborn Filter cards</t>
  </si>
  <si>
    <t xml:space="preserve"> COMPUTER SYSTEM UPS 500VA CPU- 2.9GHz, 4GB DDR4 MEMO 240GB SSD+500GB PRINTER W/ SCANNER MONITOR 18" AND ETC.................</t>
  </si>
  <si>
    <t xml:space="preserve"> Republic of the Philippines Province of Northern Samar MUNICIPALITY OF VICTORIA -o0o- INVITATION TO BID FOR THE SUPPLY AND DELIVERY OF CONSTRUCTION MATERIALS FOR THE IMPROVEMENT OF CR AT MUNICIPAL BUILDING AND STARDOME Contract No. LGU-PI-2020-08-17PB 1.	</t>
  </si>
  <si>
    <t xml:space="preserve"> 2020 29TH PUBLIC BIDDING: PROCUREMENT OF FOOD STUFF FOR 2020 2ND SEMESTER CONSUMPTION</t>
  </si>
  <si>
    <t xml:space="preserve"> Item No.	Unit	Qty.	Description of Articles 1	pcs	6	Shovels (Spade and Pointed Type) 2	lengths	20	P.E Tubing I.S.O. 3" Ø x 6m SDR11 3	pc	1	Gate Valve 3" Ø Brass 4	pcs	2	P.E Male Adaptor I.S.O. SDR11 3"Ø 5	pcs	2	P.E Coupling I.S.O. SDR11 3"Ø 6	pcs	20	P.E Un</t>
  </si>
  <si>
    <t xml:space="preserve"> INVITATION TO BID FOR PROCUREMENT OF ASSORTED MAINLINE FITTINGS AND MATERIALS 1.	The Bani Water District, through the Corporate Budget for the year 2020  intends to apply the sum of Seven Hundred Fifty One Thousand Four Hundred Thirty Two Pesos Only (751,</t>
  </si>
  <si>
    <t xml:space="preserve"> Republic of the Philippine Province of Northern Samar MUNICIPALITY OF VICTORIA -o0o- Invitation to Bid for the Repair of Stardome Roofing Contract No. LGU-PI-2020-08-16PB 1.	The Local Government Unit of Victoria, through the Supplemental Budget No. 2, Ser</t>
  </si>
  <si>
    <t xml:space="preserve"> Contract ID:  21CSIA002 - Conduct of Soil Exploration for the Rehabilitation / Reconstruction of          National Roads with Slips, Slope Collapse, and Landslides for the following projects          under FY 2021 Fund to wit: 1.	Asset Preservation-Rehabi</t>
  </si>
  <si>
    <t xml:space="preserve"> Procurement ID/Contract ID		:  20 IK 0100     Contract Name				:  Reblocking of Municipal Roads.     Contract Location			:  Brgys. Baybay, Salud, Lawaan, Palaypay, Mercado, Loyo, Basey, Samar     Brief Description	:  Reblocking of Municipal Roads     Appr</t>
  </si>
  <si>
    <t xml:space="preserve"> Republic of the Philippines BIDS AND AWARDS COMMITTEE Province of Iloilo Invitation to Bid Purchase of Furniture and Fixtures Bid No. PTO-20-0861-B 1. The Iloilo Provincial Government, through the 2017 Furniture and Fixtures intends to apply the sum of Tw</t>
  </si>
  <si>
    <t xml:space="preserve"> INVITATION TO BID FOR PROCUREMENT OF OFFICE EQUIPMENT AND ACCESSORIES (3RD QUARTER) 1.	The Local Government Unit of Josefina, through the SEF, GAD, Capital Outlay, SC &amp; PWD, GF intends to apply the sum of FOUR HUNDRED FIFTY SIX THOUSAND SEVEN HUNDRED FIFT</t>
  </si>
  <si>
    <t xml:space="preserve"> Republic of the Philippines Province of Ilocos Norte MUNICIPALITY OF CURRIMAO Invitation to Bid for  CONCRETING OF PIAS NORTE FARM TO MARKET ROAD PHASE II 1.	The MUNICIPALITY OF CURRIMAO, through the RA7171 intends to apply the sum of TWO MILLION EIGHT HU</t>
  </si>
  <si>
    <t xml:space="preserve"> Republic of the Philippines Province of Isabela LOCAL GOVERNMENT UNIT OF BENITO SOLIVEN INVITATION TO BID FOR THE INSTALLATION OF AUTOMATED WEATHER MONITORING SYSTEM 1.	The Municipal Government of Benito Soliven, intends to apply the sum of Six Hundred Fi</t>
  </si>
  <si>
    <t xml:space="preserve"> 1.	The Municipality of Santo Tomas, La Union, through the budget for the contract approved by the sanggunian under the 5% LDRRM Fund (2020) intends to apply the sum of One hundred seventy thousand pesos (Php 170,000.00) being the Approved Budget for the C</t>
  </si>
  <si>
    <t xml:space="preserve"> 1.	The Municipality of Santo Tomas, La Union, through the budget for the contract approved by the sanggunian under the Special Education Fund (2020) intends to apply the sum of Seven hundred five thousand pesos (Php 705,000.00) being the Approved Budget f</t>
  </si>
  <si>
    <t xml:space="preserve"> Description Republic of the Philippines PROVINCE OF ZAMBONAGA DEL NORTE Municipality of Leon B. Postigo INVITATION TO BID (2020-07-218) August 14, 2020    Municipality of Leon B. Postigo, Zamboanga del Norte invites qualified bidders to apply for prequali</t>
  </si>
  <si>
    <t xml:space="preserve"> BRASS ANGLE VALVE 3/4X1/2 BRASS CONNECTOR COUPLING BRASS GATE VALVE G.I. TEE REDUCER 1X1X1/2 G.I ELBOW G.I. PIPE AND ETC...............................................</t>
  </si>
  <si>
    <t xml:space="preserve"> INVITATION TO BID FOR PROCUREMENT OF MEDICINE AND MEDICAL SUPPLIES (3RD QUARTER) 1.	The Local Government Unit of Josefina, through the PHIC PFPR  intends to apply the sum of FOUR HUNDRED SIXTY TWO THOUSAND SIX HUNDRED TWENTY PESOS &amp; 27/100 CENTAVOS (462,6</t>
  </si>
  <si>
    <t xml:space="preserve"> Removal of Obstruction/Structure/Layout	1.00	lot Earthworks	65.68	cu.m. Reinforcing Steel Bar	5,464.85	kgs. Structural Concrete	40.26	cu.m. Metal/Steel Works	1.00	lot Masonry Works w/ Plaster	318.06	sq.m. Doors &amp; Windows	30.42	sq.m. Electrical Works	1.00	</t>
  </si>
  <si>
    <t xml:space="preserve"> Republic of the Philippines                                                          Province of Aklan                                              MUNICIPALITY OF LIBACAO                                                                * * * The Local Gove</t>
  </si>
  <si>
    <t xml:space="preserve"> Municipal Government of Balud 						                                INFRA – 03- 2019(REPOST) 					                                                                Construction of New Municipal Building 							                                               </t>
  </si>
  <si>
    <t xml:space="preserve"> Republic of the Philippines Province of Leyte Municipality of Hilongos INVITATION TO RE-BID FOR THE PURCHASE OF OFFICE SUPPLIES FOR THE 3RD QUARTER 1.  The Local Government Unit of Hilongos, through GENERAL FUND-CURRENT APPROPRIATION intends to apply the </t>
  </si>
  <si>
    <t xml:space="preserve"> To procure goods for the 10th Cycle implementation of Supplementary Feeding Program of the Municipality of Sarrat, Ilocos Norte</t>
  </si>
  <si>
    <t xml:space="preserve"> Meals and Sancks for the Peace Building Seminar 2020 with the Theme: PAGKAKAISA TUNGO sa MAPAYAPANG PAMUMUHAY"</t>
  </si>
  <si>
    <t xml:space="preserve"> MULTIFUNCTION COPIER, COLORED WITH LIFETIME FREE SERVICE Specifications: Copy/print speed A4: Up to 22 ppm Copy/print speed A3: Up to 14 ppm Autoduplex speed A4: Up to 22 ppm 1st copy out time: 6.8/8.4 sec (mono/colour) Warm up time: Approx. 20 sec. Print</t>
  </si>
  <si>
    <t xml:space="preserve"> Contract ID:  21CSIA003 – Consultancy Services for the conduct of Feasibility Study of the                       Proposed Calumpang–Atipolo Diversion Road; Naval Terminal–Atipolo                       Diversion Road and; Naval Diversion Road (Riverside-Pr</t>
  </si>
  <si>
    <t xml:space="preserve"> Tractor with Trailer	1	unit Drive Train System: 4-Wheel Drive		 Dimensions: 2900mm (length) x 1400mm (width) or larger, Ground		          Clearance: 350mm or higher		 Weight: 1250kgs or heavier		 Engine: 38HP or higher, Diesel Engine, Direct Injection, 3-</t>
  </si>
  <si>
    <t xml:space="preserve"> CONTRACT COST:		 1.	lot	1	SECOND FLOOR COLUMNS, ROOF BEAMS, STIFFENERS	200,734.64	200,734.64 2.	lot	1	ROOF FRAMING AND ROOFING	269,531.14	269,531.14 3.	lot	1	FACIA RUNNER, FACIA, GUTTER AND DOWN SPOUT	54,167.77	54,167.77 4.	m²	176.47	WALL	1,101.28	194,343</t>
  </si>
  <si>
    <t xml:space="preserve"> PURCHASE</t>
  </si>
  <si>
    <t xml:space="preserve"> Description Republic of the Philippines PROVINCE OF ZAMBONAGA DEL NORTE Municipality of Leon B. Postigo INVITATION TO BID (2020-07-220) August 14, 2020    Municipality of Leon B. Postigo, Zamboanga del Norte invites qualified bidders to apply for prequali</t>
  </si>
  <si>
    <t xml:space="preserve"> REHAB/REPAIR OF MUNICIPAL ROADS Municipal Road, Labo, Cams. Norte</t>
  </si>
  <si>
    <t xml:space="preserve"> Republic of the Philippines Province of Davao Oriental City of Mati BIDS &amp; AWARDS COMMITTEE INVITATION TO BID LOT Procurement of SPAREPARTS for Use in the Repair of Light and Heavy Equipment SOURCE OF FUND: 20% LGDF [8000A-300-1-07-03-010-17] 1.	The Provi</t>
  </si>
  <si>
    <t xml:space="preserve"> Staking &amp; FormWorks Earth Works Concrete Works Steel Works</t>
  </si>
  <si>
    <t xml:space="preserve"> One (1) Unit Full Rehabilitation of Air Quality Monitoring Network A. Full Rehabilitation of Shelter and Roofing B. Replacement of Defective MET Sensors C. Full Calibration of MET Sensors D. Construction of AQMS fence E. Repair of Existing MET rod Tower F</t>
  </si>
  <si>
    <t xml:space="preserve"> Description Republic of the Philippines PROVINCE OF ZAMBONAGA DEL NORTE Municipality of Leon B. Postigo INVITATION TO BID (2020-07-212) August 14, 2020    Municipality of Leon B. Postigo, Zamboanga del Norte invites qualified bidders to apply for prequali</t>
  </si>
  <si>
    <t xml:space="preserve"> 25 pcs Sacks  15 pcs Rakes 500 pcs Walis Ting-ting 2 units Heavy Duty Ladder</t>
  </si>
  <si>
    <t xml:space="preserve"> Improvement</t>
  </si>
  <si>
    <t xml:space="preserve"> REQUEST FOR QUOTATION (RFQ) 											Date: August 14, 2020 The Owner/Proprietor _________________________ Borongan City Sir: Please quote your price for the items specified below, taking into consideration the following &amp; fill-up the above portion “The </t>
  </si>
  <si>
    <t xml:space="preserve"> Republic of the Philippines                                                          Province of Aklan                                                 MUNICIPALITY OF LIBACAO                                                                  * * * The Local</t>
  </si>
  <si>
    <t xml:space="preserve"> see attached documents.</t>
  </si>
  <si>
    <t xml:space="preserve"> Department of Public Works and Highways (DPWH) Contract ID: 20IB0146 Contract Name: Repair/Maintenance of Unpaved Shoulder and Clearing of Landslide  Location of the Contract: along Eastern Samar National Roads Republic of the Philippines DEPARTMENT OF PU</t>
  </si>
  <si>
    <t xml:space="preserve"> Engine/transmission 4x4 M/T, Model 1GD-FTV, TYpe2.8 Diesel, 4-Cylinder, 16-Valve DOHC Variable Noozle Turbo with Front Mounted Inter-Cooler, Displacement 2,755, Maximum Output 174/3,400, Maximum Torque 420 / 1,600-2,400, Transmission 6-Speed M/T, Feel Sys</t>
  </si>
  <si>
    <t xml:space="preserve"> Complete construction of 2-storey 8-classroom school Building *(2-Regular Workshop, 1-Science Laboratory and 1-ICT Laboratory each floor (mostly built with concrete and masonry, with PWD ramp with handrails, parapet wall on concrete gutter, complete with </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</si>
  <si>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</si>
  <si>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40 ltrs D.D Cyphenothrin</t>
  </si>
  <si>
    <t xml:space="preserve"> see agency estimate for details</t>
  </si>
  <si>
    <t xml:space="preserve"> Lot 1: 1 UNIT DIGITAL DUPLICATING MACHINE (Funded from Mayor's Office Capital Outlay-Office Equipment) Php150,000.00 Lot 2: 1 UNIT DIGITAL DUPLICATING MACHINE (Funded from Special Education Fund-SEF 2020) Php150,000.00 SPECIFICATIONS: Plate making method:</t>
  </si>
  <si>
    <t xml:space="preserve"> INVITATION TO BID The Bureau of Fisheries and Aquatic Resources Region 5 (BFAR 5), through the Government of the Philippines (GOP), for CY 2020 intends to apply the sum of Five Million Pesos (PhP5,000,000.00) only, being the Approved Budget for the Contra</t>
  </si>
  <si>
    <t xml:space="preserve"> Procurement and Delivery of 4-wheel drive Brand New Farm Tractor with attachments: 1 set Trailing Harrow 20 x 24” and 1 set Mounted Rotor-Tiller: 50-54 blades</t>
  </si>
  <si>
    <t xml:space="preserve"> Equipment for healthy lifestyle facility</t>
  </si>
  <si>
    <t xml:space="preserve"> details at the BAC or GSO</t>
  </si>
  <si>
    <t xml:space="preserve"> DESCRIPTION UNIT QTY Printer (L120) UNIT 68 Specification: High-yield ink bottles *print speed up to 8.5ipm for black-and-white and 4.5ipm for color * Compact Size *warranty of 2 years or 20,000 pages, whichever comes first Printer ( L3110 ) UNIT 93 Speci</t>
  </si>
  <si>
    <t xml:space="preserve"> Invitation to Bid for  “Supply and Delivery of Seventeen (17) units Branded Laptop Computer, Five (5) boxes Office 365, Three (3) units Branded LED Monitor and Ten (10) units Portable External Hard Drive” 1.The Philippine Institute of Volcanology and Seis</t>
  </si>
  <si>
    <t xml:space="preserve"> (Section I) Republic of the Philippines Department of Health CENTER FOR HEALTH DEVELOPMENT MIMAROPA Q.M.M.C. Compound, Project 4, Quezon City INVITATION TO BID  PUBLIC BIDDING FOR THE SUPPLY AND DELIVERY OF ICT EQUIPMENTS AND AIR-CONDITIONING UNITS (OPERA</t>
  </si>
  <si>
    <t xml:space="preserve"> Republic of the Philippines Province of Cagayan Municipality of Camalaniugan  August 13, 2020 Invitation to Bid for the  CONCRETING OF VARIOUS  BARANGAY ROADS  1.	The Municipality of Camalaniugan, through the 20% Development Fund, CY-2020  intends to appl</t>
  </si>
  <si>
    <t xml:space="preserve"> PROCUREMENT OF CONSUMABLE OFFICE SUPPLIES FOR SHS DEPARTMENT</t>
  </si>
  <si>
    <t xml:space="preserve"> Republic of the Philippines Province of Iloilo Municipality of Lambunao Office of the Bids &amp; Awards Committee INVITATION TO BID/ REQUEST FOR PRICE QUOTATION Name of Project: Purchase of Materials for the Installation of Solar Streetlights Location: Brgy. </t>
  </si>
  <si>
    <t xml:space="preserve"> REHABILITATION OF PAPAGAN FMR LEADING TO PAPAGAN AGRO-TOURISM FARM EMBANKMENT/GRAVELLING @ PUROK 3, MALUBIBIT NORTE</t>
  </si>
  <si>
    <t xml:space="preserve"> engine 4 cylinder in line blue power diesel with turbo intercooler, direct injection, displacement 2,999cc  maximum power PS (kw) @rpm 177 (130) @3,600, maximum torque emission rating Euro 4 Transmission model 6 speed manual transmission with gear shift i</t>
  </si>
  <si>
    <t xml:space="preserve"> Republic of the Philippines  Province of Cebu Municipality of Boljoon Barangay Lower Becerril INVITATION TO BID FOR the purchase of Materials for Road Concreting 1.	The Barangay Lower Becerril, through the 20% Devt. Fund FY 2019 and FY 2020 in the amount </t>
  </si>
  <si>
    <t xml:space="preserve"> August 13, 2020 INVITATION TO BID Reference No. 7174874 / Solicitation No. 2020-08-019 The Barangay San Agustin, Tagum City invites interested bidders/Suppliers to submit for eligibility and to bid for the following: CONSTRUCTION OF WATER SYSTEM (DRILLING</t>
  </si>
  <si>
    <t xml:space="preserve"> The Energy Regulatory Commission (ERC), through the General Appropriations Act of 2020, intends to apply the sum of One Hundred Sixty-Six Thousand Six Hundred Sixty-Six Pesos and 67/100 centavos (PhP166,666.67), being the Approved Budget for the Contract </t>
  </si>
  <si>
    <t xml:space="preserve"> 1 UNIT  6 WHEELER DUMPTRUCK ENGINE TYPE: FOUR (4) CYLINDERS IN LINE, 4 STROKE ELECTRONIC CONTROLLED COMMON RAIL ENGINE  WATER COOLED, TURBO CHARGING &amp; INTERCOOLING, DIESEL ENGINE EURO COMPLAINT: EURO V STANDARD ENGINE POWER: AT LEAST 190HP @ 2600 RMP ENGI</t>
  </si>
  <si>
    <t xml:space="preserve"> INVITATION TO BID  for  Construction of Canal Lining of Patapaya CIS at Brgy. Bayaoas, Aguilar, Pangasinan Solicitation No. PANG-2020-1016 1.	The Provincial Government of Pangasinan, through the Irrigation Fund (PR#2020-02-1299) intends to apply the sum o</t>
  </si>
  <si>
    <t xml:space="preserve"> 300 vials Flu Vaccine</t>
  </si>
  <si>
    <t xml:space="preserve"> Republic of the Philippines MUNICIPALITY OF AGONCILLO Province of Batangas Tel. No. 043-210-2344/043-210-2117 BARANGAY STA. CRUZ INVITATION TO BID The LGU – Sta. Cruz, through its Bids and Awards Committee (BAC), invites suppliers/manufacturers/distributo</t>
  </si>
  <si>
    <t xml:space="preserve"> Republic of the Philippines Province of Isabela Municipality of Jones INVITATION TO BID FOR THE Supply and Delivery of Medicines and Supply for the Municipal Health Office  (3rd Quarter 2020) Solicitation No. Goods-2020-16 	The Municipality of Jones, Isab</t>
  </si>
  <si>
    <t xml:space="preserve"> INVITATION TO BID  for  Construction of Canal Lining at Brgy. Nancasalan, Mangatarem, Pangasinan Solicitation No. PANG-2020-1015 1.	The Provincial Government of Pangasinan, through the Irrigation Fund (PR#2020-02-1300) intends to apply the sum of One Mill</t>
  </si>
  <si>
    <t xml:space="preserve"> Republic of the Philippines Province of Davao del Sur Municipality of Padada BIDS AND AWARDS COMMITTEE INVITATION TO BID CONCRETING OF DAGOHOY STREET, QUIRINO DISTRICT, PADADA, DAVAO DEL SUR 1.The Local Government Unit of Padada, through the 2020 DILG Ass</t>
  </si>
  <si>
    <t xml:space="preserve"> 1.	The Municipality of Daram, through the General Fund-2020 intends to apply the sum of One Million Six Hundred Thousand Pesos (P1,600,000.00) being the Approved Budget for the Contract (ABC) to payments under the contract for the Supply and Delivery of S</t>
  </si>
  <si>
    <t xml:space="preserve"> OILS AND TIRES</t>
  </si>
  <si>
    <t xml:space="preserve"> INVITATION TO BID  for  Construction of Camalin Water Impounding Project (SWIP) at Brgy. Camagsingalan, Sual, Pangasinan Solicitation No. PANG-2020-1018 1.	The Provincial Government of Pangasinan, through the Irrigation Fund (PR#2020-02-1303) intends to a</t>
  </si>
  <si>
    <t xml:space="preserve"> Republic of the Philippines 	DEPARTMENT OF PUBLIC WORKS AND HIGHWAYS 	ILOILO 3RD 	DISTRICT ENGINEERING OFFICE 	REGIONAL OFFICE VI 	Barotac Viejo, Iloilo INVITATION TO BID The DPWH Iloilo 3rd District Engineering Office, through its Bids and Awards Committ</t>
  </si>
  <si>
    <t xml:space="preserve"> Republic of the Philippines  City of Canlaon Office of the Bids and Awards Committee  INVITATION TO BID FOR the Construction of Fence for Brgy. Multi-purpose Hall The Local Government of Canlaon City, through Ordinance No. 5, Series of 2019. Intends to ap</t>
  </si>
  <si>
    <t xml:space="preserve"> Supply and Installation of Equipment for AA Municipal Slaughterhouse</t>
  </si>
  <si>
    <t xml:space="preserve"> INVITATION TO BID  for  Construction of Balat-Cayanga CIP at Brgy. Cayanga, Bugallon, Pangasinan Solicitation No. PANG-2020-1014 1.	The Provincial Government of Pangasinan, through the Irrigation Fund (PR#2020-02-1301) intends to apply the sum of One Mill</t>
  </si>
  <si>
    <t xml:space="preserve"> Department of Health Central Luzon Center for Health Development MARIVELES MENTAL WELLNESS AND GENERAL HOSPITAL Mariveles, Bataan BAC Office, BAC Secretariat (047) 633-4992 procurement@mmh.gov.ph INVITATION TO BID  PROCUREMENT OF MEDICAL AND MISCELLANEOUS</t>
  </si>
  <si>
    <t xml:space="preserve"> 4x2 dump truck Model: ZZ3138G3915D1 Cabin: 2080mm cab with single sleeper Engine: YC4E160-48, 4 cylinders in line, EuroIV emission, 160hp Fron/Rear Axle: %t/10T Wheel &amp; Tire: 10.00R20x7, rear axle with double tires Transmission: HW90510C Brake: dual circu</t>
  </si>
  <si>
    <t xml:space="preserve"> 1. 250 PAX FOOD CATERING 2. 100 PAX PACK LUNCH 3. 3 PCS LITSON</t>
  </si>
  <si>
    <t xml:space="preserve"> AA Municipal Slaughterhouse</t>
  </si>
  <si>
    <t xml:space="preserve"> Republic of the Philippines Province of Romblon MUNICIPALITY OF MAGDIWANG INVITATION TO BID CONSTRUCTION OF ONE (1) DAY CARE CENTER (MATERIALS Project ID No. 2020-21 August 13, 2020 1.	The Municipality of Magdiwang, Romblon, through its 20%  ADF SAVINGS 2</t>
  </si>
  <si>
    <t xml:space="preserve"> Request for Quotation Bond Paper A4    90gsm</t>
  </si>
  <si>
    <t xml:space="preserve"> Republic of the Philippines Province of Cebu Municipality of Boljoon Invitation to Bid for CONSTRUCTION OF MATERIAL RECOVERY FACILITIES (MRF-2) BOLJOON, CEBU 1.	The  Municipality  of  Boljoon,  through  the SUPPLEMENTAL BUDGET NO.I intends to apply the su</t>
  </si>
  <si>
    <t xml:space="preserve"> Republic of the Philippines Province of Romblon MUNICIPALITY OF MAGDIWANG INVITATION TO BID PURCHASE OF OFFICE AND IT EQUIPMENT Project ID No. 2020-22 August 13, 2020 1.	The Municipality of Magdiwang, Romblon, through its Gen. Fund 2020/SB # 4 intends to </t>
  </si>
  <si>
    <t xml:space="preserve"> Supply and Delivery of Laptops and Netbook Computers</t>
  </si>
  <si>
    <t xml:space="preserve"> INVITATION TO BID  for  Construction of Cabisbisiacan CIP at Brgy. Casilan, Umingan, Pangasinan Solicitation No. PANG-2020-1017 1.	The Provincial Government of Pangasinan, through the Irrigation Fund (PR#2020-02-1298) intends to apply the sum of Two Milli</t>
  </si>
  <si>
    <t xml:space="preserve"> Bid Opening - September 3, 2020, 2:00 P.M. at Municipal COnference Hall</t>
  </si>
  <si>
    <t xml:space="preserve"> 1. 100 PCS SUBLIMATION T-SHIRT (RADIO OPERATORS) 2. 40 PCS SUBLIMATION T-SHIRT (MDRRMO VOLUNTEERS)</t>
  </si>
  <si>
    <t xml:space="preserve"> Provision of three (3) Security Guards Under a Security Agency for Negros Occidental High School</t>
  </si>
  <si>
    <t xml:space="preserve"> Repair of dilapidated parts of Barangay Stage in Brgy. Imelda such as ceiling, back wall, roofing floor and painting.</t>
  </si>
  <si>
    <t xml:space="preserve"> Republic of the Philippines Province of Davao del Sur Municipality of Padada BIDS AND AWARDS COMMITTEE INVITATION TO BID CONCRETING OF GENERAL LUNA STREET, QUIRINO DISTRICT, PADADA, DAVAO DEL SUR 1.The Local Government Unit of Padada, through the 2020 DIL</t>
  </si>
  <si>
    <t xml:space="preserve"> Republic of the Philippines Province of Davao de Oro Municipality of Monkayo -o0o- INVITATION TO BID FOR THE PROCUREMENT OF FUEL FOR MOBILIZATION OF VARIOUS OFFICES  The Municipality of Monkayo, through the GENERAL FUND intends to apply the sum of SEVEN H</t>
  </si>
  <si>
    <t xml:space="preserve"> Model: xc870k Chassis Type: Integrated Digging Working Service: Middle Dimension (LxWxH): 7440x2350x3450 Total weight: 2600 Max. Travel Sped: 240 Wheelbase: 2180 Engine: Power: 82(cummins), 74(cummins), 74.9(deutz),70(welcha) Loading Device: bucket capaci</t>
  </si>
  <si>
    <t xml:space="preserve"> Bicol Medical Center Concepcion Pequeña, Naga City, 4400 (0998-247-0239/0906-256-9238          E-mail Address: bmc.bacoffice@gmail.com INIVITATION TO BID PROCUREMENT OF LINEN SUPPLIES ITB No. 2020-31 1.	The BICOL MEDICAL CENTER, through SA-QRF COVID / INC</t>
  </si>
  <si>
    <t xml:space="preserve"> Bid Opening - September 3, 2020, 2:00 P.M. at Municipal Conference Hall</t>
  </si>
  <si>
    <t xml:space="preserve"> Republic of the Philippines					 PROVINCE OF ZAMBOANGA DEL NORTE					 Municipality of President Manuel A. Roxas					 BARANGAY PIAO					 					 BIDS AND AWARDS COMMITTEE					 					 INVITATION TO BID					           Invitation is hereby given for the Supply a</t>
  </si>
  <si>
    <t xml:space="preserve"> Vehicle: Body Type: MPV Engine Type: 4 Cylinder, 16 Valves, Double Overhead Camshaft, Dual Variable Valve Timinq Intelligent Fuel Type: Gasoline Please see attached files for more details</t>
  </si>
  <si>
    <t xml:space="preserve"> PROJECT: CONCRETING OF BARANGAY ROAD LOCATION: SAN ESTEBAN, RZAL, NUEVA ECIJA DESCRIPTION: L=147.0M SOURCE OF FUND: 20% MUNICIPAL DEVELOPMENT FUND ABC: PHP 664,189.76</t>
  </si>
  <si>
    <t xml:space="preserve"> INVITATION TO BID FOR SUPPLY AND DELIVERY OF PETROLEUM FOR VARIOUS GOVERNMENT VEHICLES 1.	The Bids and Awards Committee of the Local Government Unit of Santiago City through the General Fund intends to apply the sum of Fifteen Million One Hundred Eight Th</t>
  </si>
  <si>
    <t xml:space="preserve"> INVITATION TO BID   Project No.: SDCV-02-2020  The Department of Education (DepED) Schools Division of Compostela Valley, through the General Appropriations Act (GAA), intends to apply the sum of Seventy-Two Million One Hundred Nine Thousand Eight Hundred</t>
  </si>
  <si>
    <t xml:space="preserve"> INVITATION TO APPLY FOR ELIGIBILITY AND TO BID The local Government Unit of Taft, through is Bid and Awards Committee (BAC). Invites suppliers to apply for eligibility, to bid for the hereunder contract: Name of Contract: Purchase and Delivery of Twenty-O</t>
  </si>
  <si>
    <t xml:space="preserve"> Republic of the Philippines Province of Romblon MUNICIPALITY OF MAGDIWANG INVITATION TO BID PURCHASE OF OFFICE EQUIPMENT &amp; SUPPLIES FOR AUDIO VISUAL ROOM Project ID No. 2020-23 August 13, 2020 1.	The Municipality of Magdiwang, Romblon, through its Supplem</t>
  </si>
  <si>
    <t xml:space="preserve"> Republic of the Philippines Province of zamboanga Sibugay Municipality of Olutanga 7014 AUGUST 13, 2020 NOTICE TO THE PUBLIC INVITIATION TO APPLY FOR ELIGIBILITY AND TO BID All interested bidders are invited to Pre-qualify and participate in sealed biddin</t>
  </si>
  <si>
    <t xml:space="preserve"> Republic of the Philippines PROVINCE OF CAMARINES SUR BIDS AND AWARDS COMMITTEE ITB No. 050-09-2020 INVITATION TO BID  	The Provincial Government of Camarines Sur (PGCS) through its Bids and Awards Committee (BAC) invites suppliers/manufacturers/distribut</t>
  </si>
  <si>
    <t xml:space="preserve"> To procure goods for the 10th Cycle implementation of Supplementary Feeding Program in the Municipality of Currimao, Ilocos Norte</t>
  </si>
  <si>
    <t xml:space="preserve"> REPUBLIC OF THE PHILIPPINES PROVINCE OF NUEVA VIZCAYA BAYOMBONG, NUEVA VIZCAYA     BIDDING DOCUMENTS For the procurement of  Consulting Services for the Conduct of Study for the Establishment of toll food and packaging center for Micro, Small and Medium E</t>
  </si>
  <si>
    <t xml:space="preserve"> Republic of the Philippines Province of Pangasinan MUNICIPALITY OF LINGAYEN Invitation to Bid for the Purchase  of  tents for various barangays at  Lingayen, Pangasinan  	The Municipal Government of Lingayen, Pangasinan, through the  MOOE intends to apply</t>
  </si>
  <si>
    <t xml:space="preserve"> Republic of the Philippines Province of Cebu Municipality of Boljoon Invitation to Bid for CONSTRUCTION OF MATERIAL RECOVERY FACILITIES (MRF-1) BOLJOON, CEBU 1.	The  Municipality  of  Boljoon,  through  the SUPPLEMENTAL BUDGET NO.I intends to apply the su</t>
  </si>
  <si>
    <t xml:space="preserve"> PROJECT:CONCRETING OF BARANGAY ROAD LOCATION: BRGY. MACAPSING, RIZAL, NUEVA ECIJA DESCRIPTION: L=200.0M SOURCE OF FUND: 20% MUNICIPAL DEVELOPMENT FUND ABC: PHP 890,950.58</t>
  </si>
  <si>
    <t xml:space="preserve"> Republic of the Philippines Province of Leyte Municipality of Hilongos Barangay HIMO-AW REQUEST FOR QUOTATION ________________ DATE _____________________ _____________________ .        Please quote your lowest price on the items/listed below for theProcur</t>
  </si>
  <si>
    <t xml:space="preserve"> I. A. MATERIALS   G.I Pipe 1 1/2'' dia. x 6m. S.40                             17 Lengths   Angle Bar 3/16'' x 1'' x 20'                                    122 lengths   Welding Rod (Fuji Weld # 12)                                20 kgs.   Red Lead Paint </t>
  </si>
  <si>
    <t xml:space="preserve"> Construction of Pathway at Brgy. Imelda, Mondragon, Northern Samar. This includes excavation,embankment and pavement concreting of 2m width by 30m length and 150mm thick Pavement.</t>
  </si>
  <si>
    <t xml:space="preserve"> INVITATION TO BID FOR SUPPLY AND DELIVERY OF AGRICULTURAL EQUIPMENT FOR GUNOT SEED FARM 1.	The Bids and Awards Committee of the Local Government Unit of Santiago City through the General Fund intends to apply the sum of One Million Three Hundred Eighty Th</t>
  </si>
  <si>
    <t xml:space="preserve"> Republic of the Philippines Province of Cebu Municipality of Boljoon Invitation to Bid for CONSTRUCTION OF PERIMETER FENCE 1.	The  Municipality  of  Boljoon,  through  the LDF 2019 intends to apply the sum of  Nine hundred  Forty   thousand pesos  (PHP 94</t>
  </si>
  <si>
    <t xml:space="preserve"> INVITATION TO BID FOR SUPPLY AND DELIVERY OF VARIOUS SUPPLIES FOR RE-OPENING OF SANTIAGO CITY BIRTHING CENTER 1.	The Bids and Awards Committee of the Local Government Unit of Santiago City through the General Fund intends to apply the sum of Two Million T</t>
  </si>
  <si>
    <t xml:space="preserve"> Qty.	Unit	Description   500 pcs. Lobster Fingerling 6,560 kls. Feeding Materials (trash fish) 2 pcs. Diving mask   VAT INCLUSIVE Place of Delivery: Brgy. R. Ecleo Sr., Cagdianao, DI</t>
  </si>
  <si>
    <t xml:space="preserve"> Qty.	Unit	Description   50 pcs. Fish Pots(#10,#8 Nylon, Stell (1x4) 10 pcs. Fishing Net (Nylon #10,#150,   Sinker, Floater Fishing net #11 1 unit Pumpboat (30ft.) 2 unit Diesel Engine (13 HP)   VAT INCLUSIVE Place of Delivery: Brgy. Sta. Rita., Cagdianao,</t>
  </si>
  <si>
    <t xml:space="preserve"> Improvement of Public Market, Asingan, Pangasinan. Pre-Bid Conference – August 21, 2020 at 9:30 AM at the Conference Room of the Municipal Hall of Asingan Submission/Receipt/Opening of Bids :  September 2, 2020 at 9:30 AM at the Conference Room of the Mun</t>
  </si>
  <si>
    <t xml:space="preserve"> INVITATION TO BID FOR SUPPLY AND DELIVERY OF SUPPLIES FOR MODULES REPRODUCTION OF VARIOUS PUBLIC SCHOOLS 1.	The Bids and Awards Committee of the Local Government Unit of Santiago City through the Special Education Fund intends to apply the sum of One Mill</t>
  </si>
  <si>
    <t xml:space="preserve"> PROJECT: CONCRETING OF BARANGAY ROAD LOCATION: PUROK 4, PACO ROMAN, RIZAL, NUEVA ECIJA DESCRIPTION:L=300.0M SOURCE OF FUND: 20% MUNICIPAL DEVEOPMENT FUND ABC: PHP 1,159,389.75</t>
  </si>
  <si>
    <t xml:space="preserve"> FOR FURTHER INFROMATION, PLEASE REFER TO: BAC SECRETARIAT OFFICE OF THE BIDS AND AWARDS COMMITTEE, 2nd FLOOR GARAME ST. PUROK 3, BRGY.1 POBLACION CABADBARAN CITY, AGUSAN DEL NORTE CEL NO: (+63 907 927 0625)</t>
  </si>
  <si>
    <t xml:space="preserve"> INVITATION TO BID FOR SUPPLY AND DELIVERY OF COMPUTER DESKTOP AND TABLET FOR BLENDED LEARNING MANAGEMENT SYSTEM 1.	The Bids and Awards Committee of the Local Government Unit of Santiago City through the Special Education Fund intends to apply the sum of T</t>
  </si>
  <si>
    <t xml:space="preserve"> Bond Paper A4 etc. NOTE:To all suppliers bid documents and BAC Resolution 2020-029 are available at BAC Office and LGU website.</t>
  </si>
  <si>
    <t xml:space="preserve"> Shopping . . . . REPAIR/REHABILITATION OF EXISTING GROUND FLOOR OF MALE EMPLOYEE'S DORMITORY Location: BMC, Compound, Concepcion Pequena                   Naga City Duration:  45 Calendar Days Other Condition/Requirements The Contractor/Supplier shall: 1.</t>
  </si>
  <si>
    <t xml:space="preserve"> PROJECT: CONCRETING OF BARANGAY ROAD LOCATION: PUROK 1, ESTRELLA, RIZAL, NUEVA ECIJA\ DESCRIPTION: L=236.0M SOURCE OF FUND: 20% MUNICIPAL DEVELOPMENT FUND ABC: PHP 1,291,566.28</t>
  </si>
  <si>
    <t xml:space="preserve"> Republic of the Philippines Province of North Cotabato Municipality of Aleosan Barangay Tomado SUPPLY AND DELIVERY OF CRUDE OIL FOR THE OPENING OF HOMESTEAD ROAD AT BARANGAY TOMADO 				August 6, 2020 1.	 The Barangay Local Government Unit of Tomado intend</t>
  </si>
  <si>
    <t xml:space="preserve"> SUPPLY AND DELIVERY OF ADDITIONAL PPE FOR LGU EMPLOYEES TO FIGHT AGAINST COVID 19 The Local Government Unit of Mauban through the TRUST FUND (DOE), 2020 intends to apply the sum of Three hundred thirty nine thousand three hundred pesos (Php 339,300.00) be</t>
  </si>
  <si>
    <t xml:space="preserve"> INVITATION TO BID FOR SUPPLY AND DELIVERY OF DIGITAL DUPLICATOR MACHINE FOR MODULES REPRODUCTION OF PUBLIC SCHOOLS 1.	The Bids and Awards Committee of the Local Government Unit of Santiago City through the Special Education Fund intends to apply the sum o</t>
  </si>
  <si>
    <t xml:space="preserve"> 1 PE PIPES 1 1/2" X 60M SDR 9 12 ROLLS 2 PE COUPLING 1 1/2 X 1" 20 PCS. 3 PE MALE ADOPTOR 1 1/2" 30 PCS. 4 PE TEE 1 1/2" 2 PCS. 5 G.I. BUSHING REDUCER 1 1/2 X 1" 15 PCS. 6 G.I. NIPPLE 1 1/2 X3" 10 PCS. 7 BALL VALVE 1 1/2" 8 PCS. 8 TEFLON TAPE 3/4 30 ROLLS</t>
  </si>
  <si>
    <t xml:space="preserve"> INVITATION TO BID   Project No.: SDCV-001-2020  The Department of Education (DepED) Schools Division of Compostela Valley, through the General Appropriations Act (GAA), intends to apply the sum of One Million Three Hundred Forty-Seven Thousand Five Hundre</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</si>
  <si>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</si>
  <si>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Contract ID:	20FH0101 Contract Name:	REPAIR/MAINTENANCE OF DPWH FIELD BUILDING, NAPO, PANDAN,  CATANDUANES Contract Location:	NAPO, PANDAN,  CATANDUANES Scope of Work:	REPAIR OF DPWH FIELD BUILDING Approved Budget for the Contract:	P 3,500,000.00 Contract</t>
  </si>
  <si>
    <t xml:space="preserve"> LOT 1:	Meals and snacks (2 days) consisting of menu servings as follows:			 14	pax	AM Snacks, Lunch, PM Snacks, and Dinner (DAY 1)			 14	pax	AM Snacks, Lunch, PM Snacks, and Dinner (DAY 2) 	LOT 2:	Meals and snacks (2 days) consisting of menu servings as f</t>
  </si>
  <si>
    <t xml:space="preserve"> II. ITEM II:                A. MATERIALS :                CHB        4'' x8'' x 16                                    350 pcs.                Portland Cement   40kgs.                                50 bags                Washed Sand  (Approved Source)    </t>
  </si>
  <si>
    <t xml:space="preserve"> Excavation for Canal Drainage Canal</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</si>
  <si>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</si>
  <si>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Concreting School Ground at Toboy National High School, Asingan, Pangasinan. Pre-Bid Conference – August 21, 2020 at 9:30 AM at the Conference Room of the Municipal Hall of Asingan Submission/Receipt/Opening of Bids :  September 2, 2020 at 9:30 AM at the </t>
  </si>
  <si>
    <t xml:space="preserve"> BARANGAY NANCAMARINAN MUNICIPALITY OF PANIQUI Province of Tarlac	Project Reference Number : INFRA2020-001 Name of the Project           : Installation of Solar Powered Street Lights Location of the Project     : Brgy. Nancamarinan, Paniqui, Tarlac Standar</t>
  </si>
  <si>
    <t xml:space="preserve"> Republic of the Philippines DIGOS WATER DISTRICT (DWD) Rizal Avenue, Digos City INVITATION TO BID FOR THE PROCUREMENT OF COMPRESSION PLASTIC FITTINGS-REBID 1.	The Digos Water District, through the Corporate Budget for the year 2020,  intends to apply the </t>
  </si>
  <si>
    <t xml:space="preserve"> INVITATION TO BID The Basilan State College (BaSC), through its Bids and Awards Committee (BAC), will undertake a Public Bidding for the project P.R. No. 20-164-058 “Bulk Purchase of Desktop and Laptop Computers with Software License for Different Offices</t>
  </si>
  <si>
    <t xml:space="preserve"> 1) NAME OF PROJECT: PURCHASE OF ONE (1) UNIT UNIT MAN LIFTER 2) NAME OF PROJECT: PURCHASE OF ONE (1) UNIT DUMP TRUCK</t>
  </si>
  <si>
    <t xml:space="preserve"> PROJECT:CONCRETING OF BARANGAY ROAD  LOCATION: GABRIELA SILANG, POB. NORTE, RIZAL, NUEVA DESCRIPTION: 250.0M SOURCE OF FUND: 20% MUNICIPAL DEVELOPMENT FUND ABC: PHP 1,095,953.20</t>
  </si>
  <si>
    <t xml:space="preserve"> INVITATION TO BID Provision and Delivery of Farm Machinery and Equipment under the ““Climate Resilient Farm Productivity Support Project’ (CRFPSP)” 1.	The Department of Agrarian Reform-Sorsogon Provincial Office through the General Appropriation Act (GAA)</t>
  </si>
  <si>
    <t xml:space="preserve"> Construction of 3-Stage Water Treatment Septic Tanks at Asingan Public Market, Asingan, Pangasinan. Pre-Bid Conference – August 21, 2020 at 9:30 AM at the Conference Room of the Municipal Hall of Asingan Submission/Receipt/Opening of Bids :  September 2, </t>
  </si>
  <si>
    <t xml:space="preserve"> To procure goods for the 10th Cycle implementation of Supplementary Feeding Program in the Municipality of Badoc, Ilocos Norte</t>
  </si>
  <si>
    <t xml:space="preserve"> To procure goods for the 10th Cycle implementation of Supplementary Feeding Program in the Municipality of Paoay, Ilocos Norte</t>
  </si>
  <si>
    <t xml:space="preserve"> Invitation to Bid No. 20-08-08 REHABILITATION OF COM ELECTRICAL SYSTEM 1.	The West Visayas State University, through the Special Trust Fund (unexpended 2019)  intends to apply the sum of One Million Three Hundred Ten Thousand  Pesos (PhP1,310.000.00) Only</t>
  </si>
  <si>
    <t xml:space="preserve"> Republic of the Philippines Province of Samar MUNICIPALITY OF CALBIGA INVITATION TO BID FOR SUPPLY AND DELIVERY OF MATERIALS FOR THE REPAIR/REHABILITATION OF WATER SYSTEM PIPELINE Barangay Mahangcao, Sitio Burabod-Macaalan Section, Calbiga, Samar Contract</t>
  </si>
  <si>
    <t xml:space="preserve"> Construction/Improvement of Multipurpose Hall Phase VI</t>
  </si>
  <si>
    <t xml:space="preserve"> Section I. Invitation to Bid   INVITATION TO BID FOR  Supply and Delivery of Rescue Vehicle (MDRRMO) 1.	The Local Government Unit of Lambayong, through the MDRRM Expenses Fund intends to apply the sum of Two Million Four Hundred Ninety Nine Thousand Six H</t>
  </si>
  <si>
    <t xml:space="preserve"> Continuation of the Multi-Purpose Hall at Brgy. Toboy, Asingan, Pangasinan. Pre-Bid Conference – August 21, 2020 at 9:30 AM at the Conference Room of the Municipal Hall of Asingan Submission/Receipt/Opening of Bids :  September 2, 2020 at 9:30 AM at the C</t>
  </si>
  <si>
    <t xml:space="preserve"> 1.00       lot      Masonry Works</t>
  </si>
  <si>
    <t xml:space="preserve"> Description Republic of the Philippines  City of Danao BIDS AND AWARDS COMMITTEE INVITATION TO APPLY FOR ELIGIBILITY AND TO BID INFRASTRUCTURE PROJECTS IN THE CITY OF DANAO Construction of Covered Court at Barangay Bayabas, Danao City The City Government </t>
  </si>
  <si>
    <t xml:space="preserve"> Repainting/Rehabilitation of Municipal Library (Restroom, Gutters, Lightings), Poblacion East, Asingan, Pangasinan. Pre-Bid Conference – August 21, 2020 at 9:30 AM at the Conference Room of the Municipal Hall of Asingan Submission/Receipt/Opening of Bids </t>
  </si>
  <si>
    <t xml:space="preserve"> To procure goods for the 10th Cycle implementation of Supplementary Feeding Program in the Municipality of Pasuquin, Ilocos Norte</t>
  </si>
  <si>
    <t xml:space="preserve"> Description Republic of the Philippines  City of Danao BIDS AND AWARDS COMMITTEE INVITATION TO APPLY FOR ELIGIBILITY AND TO BID INFRASTRUCTURE PROJECTS IN THE CITY OF DANAO Construction of Covered Court at Barangay Baliang, Danao City The City Government </t>
  </si>
  <si>
    <t xml:space="preserve"> 2.5 DIESEL ENGINE POWER KW 88KW/120HP TORQUE 310/2000 N.M/RPM CHASSIS:SKP2T TRANSMISSION: MANUAL DRIVETRAIN:2WD SEATS:5 DOORS:4 ENGINE SIZE:1,800 CC LENGTH:4.605m WIDTH:1.69m</t>
  </si>
  <si>
    <t xml:space="preserve"> INVITATION TO BID FOR THE  PROCUREMENT OF 7 SETS TRUMPA, 7 PCS TRANSFORMER. 3,000 METERS TELEPHONE DROP WIRE CAT 3 300 METERS, 7 PCS METAL BOX, 1 PACK ELECTRIC TAPE, 1 PC GOOSENECK MIC, 24 METERS SPEAKER WIRE AND 1 UNIT I.T.C. AMPLIFIER (WITH INSTALLATION</t>
  </si>
  <si>
    <t xml:space="preserve"> ESTIMATES ITEM I CONCRETE WORKS ITEM II FORMS &amp; SCAFFOLDINGS ITEM III PLUMBING WORKS &amp; FIXTURES ITEM IV TILE WORKS ITEM V FINISHING &amp; PAINTING WORKS ITEM VI ROOFING &amp; ROOF FRAMING</t>
  </si>
  <si>
    <t xml:space="preserve"> Construction of School Stage at Domanpot Community School, Asingan, Pangasinan. Pre-Bid Conference – August 21, 2020 at 9:30 AM at the Conference Room of the Municipal Hall of Asingan Submission/Receipt/Opening of Bids :  September 2, 2020 at 9:30 AM at t</t>
  </si>
  <si>
    <t xml:space="preserve"> Invitation to Bid No. 20-08-09 PROCUREMENT OF VARIOUS LIBRARY BOOKS FOR ULRC AND COM (RE-BIDDING)  1.	The West Visayas State University, through the GAA 2020 intends to apply the sum of Six Hundred Thousand Pesos (PhP600,000.00) Only being the Approved Bu</t>
  </si>
  <si>
    <t xml:space="preserve"> Republic of the Philippines PROVINCE OF BUKDINON Malaybalay City OFFICE OF THE PROVINCIAL GOVERNOR Bids and Awards Committee INVITATION TO BID FOR THE “SUPPLY AND DELIVERY OF SEEDS” ITB No. 2020-186A August 12, 2020 1.	The Provincial Government of Bukidno</t>
  </si>
  <si>
    <t xml:space="preserve"> INVITATION TO BID FOR SUPPLY AND DELIVERY OF TRANSISTOR RADIO WITH USB INPUT FOR BLENDED LEARNING MANAGEMENT SYSTEM OF VARIOUS PUBLIC SCHOOLS 1.	The Bids and Awards Committee of the Local Government Unit of Santiago City through the Trust Fund intends to </t>
  </si>
  <si>
    <t xml:space="preserve"> Republic of the Philippines Province of Romblon Municipality of Magdiwang Barangay Poblacion -oOo- INVITATION TO BID CONCRETING OF SITIO PONDOY ACCESS ROAD (PHASE I)  Project ID No.001-2020                                                                  </t>
  </si>
  <si>
    <t xml:space="preserve"> Construction of Multi-Purpose Hall at Brgy. Palaris, Asingan, Pangasinan. Pre-Bid Conference – August 21, 2020 at 9:30 AM at the Conference Room of the Municipal Hall of Asingan Submission/Receipt/Opening of Bids :  September 2, 2020 at 9:30 AM at the Con</t>
  </si>
  <si>
    <t xml:space="preserve"> Provide an opportunity in communicating SK Council's plans, accomplishments, and PPAs with the KK members assembly and the election of counterpart officials through the conduct of Linggo ng Kabataan</t>
  </si>
  <si>
    <t xml:space="preserve"> To procure goods for the 10th Cycle implementation of Supplementary Feeding Program in the Municipality of Adams, Ilocos Norte</t>
  </si>
  <si>
    <t xml:space="preserve"> Construction of 40.00 L.m. Concrete Bridge with concrete pavement on both approaches</t>
  </si>
  <si>
    <t xml:space="preserve"> Description Republic of the Philippines  City of Danao BIDS AND AWARDS COMMITTEE INVITATION TO APPLY FOR ELIGIBILITY AND TO BID INFRASTRUCTURE PROJECTS IN THE CITY OF DANAO Construction of School Stage at Barangay Magtagobtob Elementary School, Danao City</t>
  </si>
  <si>
    <t xml:space="preserve"> 240pcs BOLO 240pcs PANABAS 120pcs BARETA 120pcs SHOVEL 120pcs HOE 120pcs RAKE 120pcs SCYTE 120pcs RAIN COAT 120pcs BOTA 120pcs KNAP SACKS SPRAYER 120pcs REUSABLE FACE MASK</t>
  </si>
  <si>
    <t xml:space="preserve"> Name of Project: Purchase of Equipment and Materials for Sustainable Livelihood of the PWD Association of Pura, Inc. Location: Pura, Tarlac ABC: Php250,000.00 222	cavans	Rice (25 kgs) 1	unit	Weighing Scale (50 kgs) 1	unit	Weighing Scale (10 kgs) 1	unit	Ha</t>
  </si>
  <si>
    <t xml:space="preserve"> INVITATION TO BID ONE (1) YEAR HEALTH MAINTENANCE ORGANIZATION (HMO) PROGRAM FOR ALL OFFICIAL AND EMPLOYEES OF THE OFFICE OF THE SOLICITOR GENERAL The Office of the Solicitor General (OSG), through the FY 2020 Automatic Appropriation Special Account in th</t>
  </si>
  <si>
    <t xml:space="preserve"> Invitation to Bid PROCUREMENT OF CONSUMABLES FOR DUPLO DP-A120ll (2020-DP-A120ll) 1.	The DepEd, SDO-Biliran through the RA 11465-FY 2020 GAA - IMPLEMENTATION OF BASIC EDUCATION LEARNING CONTINUITY PLAN, PROVISION OF LEARNING RESOURCES  intends to apply th</t>
  </si>
  <si>
    <t xml:space="preserve"> Description Republic of the Philippines  City of Danao BIDS AND AWARDS COMMITTEE INVITATION TO APPLY FOR ELIGIBILITY AND TO BID INFRASTRUCTURE PROJECTS IN THE CITY OF DANAO Improvement of Streetlights at Various Barangays, Sitio Cogon to Sitio Tabunok Bar</t>
  </si>
  <si>
    <t xml:space="preserve"> The Philippine Ports Authority PMO-Palawan, through the Corporate Budget of the Authority for CY 2020, intends to apply the sum of P 1,839,181.00 being the           Approved Budget for the Contract (ABC) to payments under the contract for the            </t>
  </si>
  <si>
    <t xml:space="preserve"> Three (3) Units of 45 HP Diesel 4WD Tractors with Rotavator and Heavy Duty Trailer Turbo Charged/ Naturally Aspirated</t>
  </si>
  <si>
    <t xml:space="preserve"> INVITATION TO BID FOR THE SUPPLY AND DELIVERY OF SECURITY SERVICES FOR CY 2021 1. The Tanay Water District , through the Corporate Budget for 2021  intends to apply the sum of Three Million Two Hundred Thousand Pesos (₱ 3,200,000.00 ) being the Approved B</t>
  </si>
  <si>
    <t xml:space="preserve"> To procure goods for the 10th Cycle implementation of Supplementary Feeding Program in the Municipality of Solsona, Ilocos Norte</t>
  </si>
  <si>
    <t xml:space="preserve"> Republic of the Philippines PROVINCE OF BUKDINON Malaybalay City OFFICE OF THE PROVINCIAL GOVERNOR Bids and Awards Committee INVITATION TO BID FOR THE “SUPPLY AND DELIVERY OF OLYSET NET WINDOW SCREEN” ITB No. 2020-187A August 12, 2020 1.	The Provincial Go</t>
  </si>
  <si>
    <t xml:space="preserve"> Republic of the Philippines DEPARTMENT OF PUBLIC WORKS AND HIGHWAYS NEGROS OCCIDENTAL 1ST DISTRICT ENGINEERING OFFICE REGION VI Matab-ang, Talisay City, Negros Occidental REQUEST FOR EXPRESSION OF INTEREST II.	Contract ID No.	:	20CSGK02 Contract Name		:	C</t>
  </si>
  <si>
    <t xml:space="preserve"> INVITATION TO BID SUPPLY AND DELIVERY OF FIRST AID KITS FOR DEPLOYMENT / RESPONSE OPERATION  1.	The Local Government Unit of Cabadbaran City through the 5% DDRM FUND intends to apply the sum of TWO HUNDRED THOUSAND PESOS ONLY (P 200,000.00) being the Appr</t>
  </si>
  <si>
    <t xml:space="preserve"> REPUBLIC OF THE PHILIPPINES DEPARTMENT OF PUBLIC WORKS AND HIGHWAYS ILOILO 4TH DISTRICT ENGINEERING OFFICE STA. BARBARA, ILOILO TEL. NO. 523 - 4557 FAX NO. 523 - 9340 BIDDING DOCUMENTS FOR PROCUREMENT ID/CONTRACT ID: 20GI0066 CONTRACT NAME:   REHABILITATI</t>
  </si>
  <si>
    <t xml:space="preserve"> This program covers the clearing and grubbing existing earth pathway,application of sub - base and base course materials duly compacted to optimum compaction and concreting of pavement of 150mm thick with an area of 272.72 sq</t>
  </si>
  <si>
    <t xml:space="preserve"> INVITATION TO BID FOR SUPPLY, HANDLING, TRANSPORT,  AND DELIVERY OF 6,581 BAGS OF FERTILIZER  (Ammonium Sulfate, Potassium Chloride and  Coco-Coir Based Organic Fertilizer) 1.	The Philippine Coconut Authority-Region VIII (PCAVIII), through the Coconut Fer</t>
  </si>
  <si>
    <t xml:space="preserve"> Supply and Delivery of Laptop  Processor	AMD Ryzen 5 4500U (6C / 6T, 2.3 / 4.0GHz, 3MB L2 / 8MB L3) Graphics	Integrated AMD Radeon Graphics Chipset	AMD SoC Platform Memory	4GB Soldered DDR4-2666 + 4GB SO-DIMM DDR4-2666 Storage	128GB SSD M.2 2242 PCIe NVMe</t>
  </si>
  <si>
    <t xml:space="preserve"> Consulting Services for the Provision of Technical Assistant on Gender and Development (GAD) Mainstreaming Initiative and Agenda in the Sandiganbayan Please see Terms of Reference</t>
  </si>
  <si>
    <t xml:space="preserve"> Republic of the Philippines Province of Pangasinan MUNICIPALITY OF LINGAYEN Invitation to Bid for the Purchase of one (1) unit freezer van at Slaughterhouse, Barangay Domalandan West, Lingayen, Pangasinan 	The Municipal Government of Lingayen, Pangasinan,</t>
  </si>
  <si>
    <t xml:space="preserve"> Republic of the Philippines DEPARTMENT OF PUBLIC WORKS AND HIGHWAYS NEGROS OCCIDENTAL 1ST DISTRICT ENGINEERING OFFICE REGION VI Matab-ang, Talisay City, Negros Occidental REQUEST FOR EXPRESSION OF INTEREST I.	Contract ID No.	:	20CSGK01 Contract Name		:	Co</t>
  </si>
  <si>
    <t xml:space="preserve"> Invitation to Bid No. 20-08-10 PROCUREMENT OF VARIOUS HARDWARE/ ELECTRICAL, IT, JANITORIAL, MEDICAL/ DENTAL, OFFICE AND SPORTS SUPPLIES 1.	The West Visayas State University, through the Special Trust Fund and GAA 2020 intends to apply the sum of One Milli</t>
  </si>
  <si>
    <t xml:space="preserve"> Republic of the Philippines Province of Cebu Municipality of Boljoon Invitation to Bid for                               ROAD CONCRETING 1.	The  Municipality  of  Boljoon,  through  the 20% Development Fund FY 2020 intends to apply the sum of  Two Million</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</si>
  <si>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</si>
  <si>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Negotiated Procurement - Two Failed Biddings: Procurement of Various Medical</t>
  </si>
  <si>
    <t xml:space="preserve"> BIDS AND AWARD COMMITTEE				 	                         INFRA 20-22A GENERAL FUND Standard Form Number: SF-INFR-O5                                                                 Improvement of School Classrooms at Various Schools for Quarantine Facilities</t>
  </si>
  <si>
    <t xml:space="preserve"> Please submit your quotation for the following items on or before 5:00PM on Aug 28, 2020. ITEM D E S C R I P T I O N                                                                           QTY. UNIT  1 Pipe, G.I. S-40 Std 4``Ø x 6m (Threaded end, not le</t>
  </si>
  <si>
    <t xml:space="preserve"> Republic of the Philippines PROVINCE OF NUEVA VIZCAYA 2nd Invitation to Bid for the CONCRETING OF PAPAYA-CABINUANGAN-RUNRUNO ROAD Located at Kasibu and Quezon, Nueva Vizcaya 1.	The Provincial Government of Nueva Vizcaya, through the 2020 20% Development F</t>
  </si>
  <si>
    <t xml:space="preserve"> Please see attached Invitation To Bid</t>
  </si>
  <si>
    <t xml:space="preserve"> The Local Government Unit of Aglipay through Local Government Support Fund – Assistance to Municipalities (LGSF-AM) CY 2020 intends to apply the sum of Eight Million Nine Hundred Seventy Two Thousand Four Hundred Seventy Six Pesos and 65/100 (Php 8, 972,4</t>
  </si>
  <si>
    <t xml:space="preserve"> INVITATION TO BID  for  Supply and Delivery of Commercial Rice, 50 kgs. Solicitation No. PANG-2020-1029 1.	The Provincial Government of Pangasinan, through the SUAL-RWMHEEF intends to apply the sum of Four Million Five Hundred Thousand Pesos (P4,500,000.0</t>
  </si>
  <si>
    <t xml:space="preserve"> Republic of the Philippines Province of Samar  Municipality of Jiabong INVITATION TO BID FOR  CONSTRUCTION OF CIVIC CENTER BRGY SAN MIGUEL JIABONG Jiab-2020-40A 1.	The Municipal Government of Jiabong, Samar, intends to apply the sum of TWO HUNDRED TWENTY-</t>
  </si>
  <si>
    <t xml:space="preserve"> One (1) lot ISUZU FB BODY  ENGINE: 4HE1; Inline Injection pump DRIVE WHEEL – SINGLE TIRE TRANSMISSION MANUAL - Manual SPRING – Side spring with overload WHEELS – Six (5) wheels; Rear Tires – Single; Dimension: 7.50x16 YEAR OF PRODUCTION – at least 2017  A</t>
  </si>
  <si>
    <t xml:space="preserve"> Republic of the Philippines Department of Health Cagayan Valley Center for Health Development BATANES GENERAL HOSPITAL Basco, Batanes E-mail Address: bataneshospital@gmail.com INVITATION TO BID ITB NO. 2020-09 Supply &amp; Delivery of Various Medical Supplies</t>
  </si>
  <si>
    <t xml:space="preserve"> Please submit your quotation for the following items on or before 5:00PM on Aug 28, 2020. ITEM D E S C R I P T I O N                                                                               1 Pipe, G.I. S-40 Std 6``Ø x 6m (Threaded end, not less than</t>
  </si>
  <si>
    <t xml:space="preserve"> Republic of the Philippines DEPARTMENT OF PUBLIC WORKS AND HIGHWAYS NEGROS OCCIDENTAL 1ST DISTRICT ENGINEERING OFFICE REGION VI Matab-ang, Talisay City, Negros Occidental REQUEST FOR EXPRESSION OF INTEREST V.	Contract ID No.	:	20CSGK05 Contract Name		:	Co</t>
  </si>
  <si>
    <t xml:space="preserve"> STEEL CABINET (45X90X185 CM) COLOR -ASH GRAY</t>
  </si>
  <si>
    <t xml:space="preserve"> The Philippine Ports Authority PMO-Palawan, through the Corporate Budget of the Authority for CY 2020, intends to apply the sum of P 4,678,574.00 being the           Approved Budget for the Contract (ABC) to payments under the contract for the            </t>
  </si>
  <si>
    <t xml:space="preserve"> Section I. Invitation to Bid Republic of the Philippines Philippine Rural Development Project Invitation to Bid for the Supply, Delivery and Installation of One (1) Unit  Standby Generator Set and One (1) Unit Air Compressor in Support to Dairy Milk Proce</t>
  </si>
  <si>
    <t xml:space="preserve"> Republic of the Philippines DEPARTMENT OF PUBLIC WORKS AND HIGHWAYS NEGROS OCCIDENTAL 1ST DISTRICT ENGINEERING OFFICE REGION VI Matab-ang, Talisay City, Negros Occidental REQUEST FOR EXPRESSION OF INTEREST VI.	Contract ID No.	:	20CSGK06 Contract Name		:	C</t>
  </si>
  <si>
    <t xml:space="preserve"> SCOPE OF WORK:              I. Mason/Concrete Works                  a. Walling with finishing (Rough)                  b. Columns 20X.20   I. ITEM I:     16 SPAN             A. Materials:              CHB 4''X8''X16''                                     </t>
  </si>
  <si>
    <t xml:space="preserve"> 1	unit	Tractor Diesel: Hp 48-50 		Type: Direct Injection, Vertical, 		Water Cooled 4-cycled Diesel 		Cylinder: 4 		Fuel Tank: 48L 		with: Front Dozer</t>
  </si>
  <si>
    <t xml:space="preserve"> Republic of the Philippines Province of Samar  Municipality of Jiabong INVITATION TO BID FOR  CONSTRUCTION OF WATER SYSTEM BRGY SAN FERNANDO JIABONG Jiab-2020-42A 1.	The Municipal Government of Jiabong, Samar, intends to apply the sum of FIVE HUNDRED FIFT</t>
  </si>
  <si>
    <t xml:space="preserve"> Republic of the Philippines DEPARTMENT OF PUBLIC WORKS AND HIGHWAYS NEGROS OCCIDENTAL 1ST DISTRICT ENGINEERING OFFICE REGION VI Matab-ang, Talisay City, Negros Occidental REQUEST FOR EXPRESSION OF INTEREST IV.	Contract ID No.	:	20CSGK04 Contract Name		:	C</t>
  </si>
  <si>
    <t xml:space="preserve"> SUPPLY &amp; DELIVERY OF MATERIALS</t>
  </si>
  <si>
    <t xml:space="preserve"> attached ITB</t>
  </si>
  <si>
    <t xml:space="preserve"> Permanent Monuments &amp; Markers, Project Billboard/Signboard, Occupational Safety and Health Program, Traffic Management, Mobilization/Demobilization, Removal and Relocation of Utilities, Individual Removal of Trees, 150-300 mm dia., Small, Removal of Struc</t>
  </si>
  <si>
    <t xml:space="preserve"> Republic of the Philippines PROVINCE OF NUEVA VIZCAYA 2nd Invitation to Bid for the  IMPROVEMENT OF JCT. SALINAS-MAPAYAO-BINALIAN-BABADI-PINAYAG-NANSIAKAN ROAD Located at Kayapa, Nueva Vizcaya  1.	The Provincial Government of Nueva Vizcaya, through the 20</t>
  </si>
  <si>
    <t xml:space="preserve"> INVITATION TO APPLY FOR ELIGIBILITY AND TO BID The City of San Juan, Metro Manila, through its Bids and Awards Committee (BAC), invites interested parties to apply for an Eligibility and if found eligible to bid for the – Name of Project One (1) Lot –Supp</t>
  </si>
  <si>
    <t xml:space="preserve"> Republic of the Philippines Province of Isabela LOCAL GOVERNMENT UNIT OF BENITO SOLIVEN INVITATION TO BID FOR THE PROCUREMENT OF IT EQUIPMENT FOR NORTH AND SOUTH DISTRICT 1.	The Municipal Government of Benito Soliven, intends to apply the sum of Five Hund</t>
  </si>
  <si>
    <t xml:space="preserve"> Complete construction of 2-storey 4-classroom school Building (mostly built with concrete and masonry, with PWD ramp with handrails, parapet wall on concrete gutter, complete with electrical works, sanitary/plumbing works, ventilation, stairwall 5 m width</t>
  </si>
  <si>
    <t xml:space="preserve"> Agency Procurement Receipt for the month of April - June 2020.</t>
  </si>
  <si>
    <t xml:space="preserve"> Office, Shops, Stores and Workmen Accommodation for Contractor, Permits and Clearances, Project Billboard/Signboard, Occupational Safety and Health Program, Mobilization/Demobilization, Structure Excavation, Common Soil, Embankment, from Roadway/Structure</t>
  </si>
  <si>
    <t xml:space="preserve"> Republic of the Philippines  Province of Pangasinan  MUNICIPALITY OF BAYAMBANG    INVITATION TO BID FOR SUPPLY DELIVERY OF LABORATORY AND TB-DOTS SUPPLIES  FOR RHU-II AND RHU-III    1. The Municipal Government of Bayambang, through the REGULAR FUND - 2020</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</si>
  <si>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</si>
  <si>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Procurement of Desktop Computers *****Please see attached Invitation to Bid and Technical Specification*****</t>
  </si>
  <si>
    <t xml:space="preserve"> Republic of the Philippines       Province of Camarines Norte         Municipality of Mercedes BIDS AND AWARDS COMMITTEE LGU - Mercedes, Camarines Norte 			 INVITATION TO BID  The Local Government Unit of Mercedes, through EARLY CHILDHOOD CARE AND DEVELOP</t>
  </si>
  <si>
    <t xml:space="preserve"> BIDS AND AWARD COMMITTEE INFRA 20-27A GENERAL FUND Standard Form Number: SF-INFR-O5 Repair / Improvement of GSO Bldg. Revised on: July 29, 2004 Pusok, Lapu-Lapu City INVITATION TO BID The City Government of Lapu-Lapu, through its Bids and Awards Committee</t>
  </si>
  <si>
    <t xml:space="preserve"> Local Government of Valencia Catarata Street, Poblacion, Valencia City,  Bukidnon, Philippines Philippine access (088) 828-5430 Contract Reference No. 2020-11 08/13/2020 INVITATION TO BID FOR THE PURCHASE OF MATERIALS FOR BARANGAY ROAD REHABILITATION AT V</t>
  </si>
  <si>
    <t xml:space="preserve"> Construction Works for Renovation of ISAT U Administration Building *****Please see attached Invitation to Bid*****</t>
  </si>
  <si>
    <t xml:space="preserve"> Republic of the Philippines PROVINCE OF NUEVA VIZCAYA 2nd Invitation to Bid for the  RECONSTRUCTION OF LABBUNAN BRIDGE (ABUTMENT &amp; WATERWAY) Located at Villaverde, Nueva Vizcaya  1.	The Provincial Government of Nueva Vizcaya, through the PDRRMO Capital Ou</t>
  </si>
  <si>
    <t xml:space="preserve"> TELEVISION (TV) 32'' LEDTV WITH USB, HDMI, LAN</t>
  </si>
  <si>
    <t xml:space="preserve"> INVITATION TO BID The DPWH-Quirino District Engineering Office, through its Bids and Awards Committee (BAC), invites contractors to submit bids for the following Contract: 1	Contract I.D.  	:	20BK0151 	Name of Project	:	Repair/ Maintenance along Jct. Duma</t>
  </si>
  <si>
    <t xml:space="preserve"> qty       unit         description 150    bags    Portland Cement 33      loads   Boulders 9        loads   Rivermixed 2        loads   cement hauling xxx nothing follows xx x x x</t>
  </si>
  <si>
    <t xml:space="preserve"> Republic of the Philippines Province of Samar  Municipality of Jiabong INVITATION TO BID FOR  CONSTRUCTION OF MULTI-PURPOSE HALL  BRGY BUGHO JIABONG Jiab-2020-41A 1.	The Municipal Government of Jiabong, Samar, intends to apply the sum of ONE HUNDRED FIFTY</t>
  </si>
  <si>
    <t xml:space="preserve"> Please submit your quotation for the following items on or before 5:00PM on Aug 28, 2020. ITEM D E S C R I P T I O N QTY. UNIT  1 Pipe, G.I. S-40 Std 6``Ø x 6m (Plain end, not less than 5.4mm wall thickness) 15 pc Please quote your BEST offer for the abov</t>
  </si>
  <si>
    <t xml:space="preserve"> OFFICE &amp; IT EQUIPMENT</t>
  </si>
  <si>
    <t xml:space="preserve"> Description INVITATION TO BID Barangay Balite, Guinobatan, Albay through its Bids and Awards Committee (BAC) invites suppliers/ manufacturers/ distributors/ contractors to apply for eligibility and to bid for the procurement of the hereunder project and a</t>
  </si>
  <si>
    <t xml:space="preserve"> Invitation to Bid for  DEVELOPMENT OF NEW DEEP WELL SOURCE (2ND PHASE)  1.	The TUBOD-BAROY WATER DISTRICT, through the CORPORATE OPERATING BUDGET,  intends to apply the sum of  ONE MILLION SEVEN HUNDRED FIFTY THOUSAND PESOS (PHP 1,750,000.00)  being the A</t>
  </si>
  <si>
    <t xml:space="preserve"> Local Government of Valencia Catarata Street, Poblacion, Valencia City,  Bukidnon, Philippines Philippine access (088) 828-5430 Contract Reference No. 2020-10 08/13/2020 INVITATION TO BID FOR THE PURCHASE OF FUEL, OIL AND LUBRICANTS AND MATERIALS FOR THE </t>
  </si>
  <si>
    <t xml:space="preserve"> SCOPE OF WORK:        I. ITEM 300  Aggregate Surface Course I. ITEM I AND II:     (.20X4X293)                 A. MATERIALS:                                   FREE         B. EQUIPMENT REQUIRED:                      2 units        Dumptruck                </t>
  </si>
  <si>
    <t xml:space="preserve"> LAL-LO WATER DISTRICT Centro, Lal-lo, Cagayan REQUEST FOR QUOTATION August 11, 2020 Name of Company/Supplier: __________________________________________________ Address: __________________________________________________________________ Business Permit No</t>
  </si>
  <si>
    <t xml:space="preserve"> Republic of the Philippines Province of Pangasinan MUNICIPALITY OF LINGAYEN Invitation to Bid for the Purchase  of  High Volume Low Speed Ceiling Fan at Lingayen Civic Center, Lingayen, Pangasinan  	The Municipal Government of Lingayen, Pangasinan, throug</t>
  </si>
  <si>
    <t xml:space="preserve"> INVITATION TO BID SUPPLY AND DELIVERY OF VARIOUS LABORATORY SUPPLIES, CHEMICALS AND PERSONAL PROTECTIVE EQUIPMENT (PB 20-03-24) 1.	The Philippine Rice Research Institute, through the 2020 Regular Trust Fund Budget intends to apply the sum of TWO MILLION S</t>
  </si>
  <si>
    <t xml:space="preserve"> Republic of the Philippines PROVINCE OF NUEVA VIZCAYA 2nd Invitation to Bid for the  REHABILITATION OF CVR BAYOMBONG-MASOC-AMBAGUIO ROAD (AMBAGUIO SECTION) Located at Ambaguio, Nueva Vizcaya  1.	The Provincial Government of Nueva Vizcaya, through the 20% </t>
  </si>
  <si>
    <t xml:space="preserve"> Section I. Invitation to Bid Republic of the Philippines PROVINCE OF CAGAYAN Municipality of Peñablanca PROVINCIAL BIDS AND AWARDS COMMITTEE INVITATION TO BID FOR  Supply and Delivery of 30 Units Brand New Motorcycles 1.	The Provincial Government of Cagay</t>
  </si>
  <si>
    <t xml:space="preserve"> Republic of the Philippines DEPARTMENT OF PUBLIC WORKS AND HIGHWAYS NEGROS OCCIDENTAL 1ST DISTRICT ENGINEERING OFFICE REGION VI Matab-ang, Talisay City, Negros Occidental REQUEST FOR EXPRESSION OF INTEREST III.	Contract ID No.	:	20CSGK03 Contract Name		:	</t>
  </si>
  <si>
    <t xml:space="preserve"> INVITATION TO BID BAC-IB NO. 2020-34 	The Research Institute for Tropical Medicine (RITM) through its Bids and Awards Committee (BAC) invites technically, legally and financially capable PHILGEPS-registered suppliers/manufacturers to apply for eligibility</t>
  </si>
  <si>
    <t xml:space="preserve"> Section I. Invitation to Bid Republic of the Philippines PROVINCE OF CAGAYAN Municipality of Peñablanca PROVINCIAL BIDS AND AWARDS COMMITTEE INVITATION TO BID FOR  Supply and Delivery of Various Quarantine Facility Supplies and Equipment 1.	The Provincial</t>
  </si>
  <si>
    <t xml:space="preserve"> Local Infrastructure Program – Construction and/or Repair/ Rehabilitation of Multi-Purpose Building, Brgy. Quirino Hill, Baguio City Contract Location :	Baguio City Approved Budget for the Contract :	Php2,970,000.00 Scope of  work  :	Rehabilitation of Mul</t>
  </si>
  <si>
    <t xml:space="preserve"> Section I. Invitation to Bid Republic of the Philippines PROVINCE OF CAGAYAN Municipality of Peñablanca PROVINCIAL BIDS AND AWARDS COMMITTEE INVITATION TO BID FOR  Supply and Delivery of Various Office Supplies 1.	The Provincial Government of Cagayan, thr</t>
  </si>
  <si>
    <t xml:space="preserve"> INVITATION TO BID   Purchase of Toners with Free Use of Colored and Monochrome Multi-Function Printers for DSWD - CAR   (ITB 2020-DSWD-CAR-18) 1.	The Department of Social Welfare and Development - Cordillera Administrative Region (DSWD-CAR), through the G</t>
  </si>
  <si>
    <t xml:space="preserve"> Renovation Project</t>
  </si>
  <si>
    <t xml:space="preserve"> Section I. Invitation to Bid Republic of the Philippines PROVINCE OF CAGAYAN Municipality of Peñablanca PROVINCIAL BIDS AND AWARDS COMMITTEE INVITATION TO BID FOR  Supply and Delivery of 70 Pieces Steel Sheet Piles 1.	The Provincial Government of Cagayan,</t>
  </si>
  <si>
    <t xml:space="preserve"> INVITATION TO BID SUPPLY AND DELIVERY OF VARIOUS LABORATORY SUPPLIES AND CHEMICALS AND PERSONAL PROTECTIVE EQUIPMENT (PB 20-03-25) 1.	The Philippine Rice Research Institute, through the 2020 Corporate Fund Budget intends to apply the sum of ONE MILLION TH</t>
  </si>
  <si>
    <t xml:space="preserve"> BIDS AND AWARD COMMITTEE				 	                         INFRA 20-29A SEF Standard Form Number: SF-INFR-O5                                                                 Construction of 1-Unit 2-Storey 4 Classroom Senior High School Technical Vocational La</t>
  </si>
  <si>
    <t xml:space="preserve"> BIDS AND AWARD COMMITTEE				 	                         INFRA 20-28 A SEF Standard Form Number: SF-INFR-O5                                                                 Construction of Activity Center with Stage for MAPEH at Bankal National High School R</t>
  </si>
  <si>
    <t xml:space="preserve"> Construction/ Repair/ Rehabilitation/ Improvement of Various Infrastructure Including Local Projects: Rehabilitation of Multi-Purpose Building (Covered Court), Baguio City Contract Location :	Sto. Nino Barangay, Baguio City Approved Budget for the Contrac</t>
  </si>
  <si>
    <t xml:space="preserve"> INVITATION TO BID FOR THE PROCUREMENT OF FARM MACHINERIES/EQUIPMENT OF CLIMATE RESILIENT FARM PRODUCTIVITY SUPPORT PROGRAM PROJECT OF DAVAO DEL SUR. 1.	The Department of Agrarian Reform Provincial Office of Davao del Sur thru General Appropriations Act fo</t>
  </si>
  <si>
    <t xml:space="preserve"> National Power Corporation INVITATION TO BID PUBLIC BIDDING 2020-0289 1.	The NATIONAL POWER CORPORATION (NPC), through       its        approved       Corporate Budget of CY 2020 intends to apply   the   sum   of (Please see schedule below) being the Appr</t>
  </si>
  <si>
    <t xml:space="preserve"> BIDS AND AWARD COMMITTEE				 	                                                        INFRA 20-30A SEF Standard Form Number: SF-INFR-O5                                                                       Construction of 4-Storey Building with 10 Rooms  </t>
  </si>
  <si>
    <t xml:space="preserve"> BIDS AND AWARD COMMITTEE				 	                         INFRA 20-32A GENERAL FUND Standard Form Number: SF-INFR-O5                                                                 Repair / Improvement of Tourism Bldg.  Revised on: July 29, 2004   	Pusok, La</t>
  </si>
  <si>
    <t xml:space="preserve"> 1.	The DEPED, EASTERN SAMAR DIVISION, through the CY 2020 GENERAL APPROPRIATIONS ACT intends to apply the sum of  TWO MILLION NINE HUNDRED EIGHTY FOUR THOUSAND ONE HUNDRED PESOS ONLY [2,984,100.00] being the Approved Budget for the Contract (ABC) to payme</t>
  </si>
  <si>
    <t xml:space="preserve"> CONSTRUCTION OF BARANGAY NURSERIES (19 BARANGAYS), ESTABLISHMENT OF VERMICULTURE WITH AFRICAN NIGHT CRAWLER IN 17 BARANGAY AND CONSTRUCTION OF MUNICIPAL NURSERY AT ANISLAGAN.</t>
  </si>
  <si>
    <t xml:space="preserve"> PACKAGE 032- Procurement of Various Infra Projects  with CRN 032-2020(Improvements/Rehabilitation of Roads of the different Barangays) located at Hapid,Hollowon,Ambasa,Umilag,Payawan, Pob. East, Salamague, Pieza, Nayon, Mabatobato, Lawig, Bimpal, Pugol, S</t>
  </si>
  <si>
    <t xml:space="preserve"> Republic of the Philippines Province of Occidental Mindoro MUNICIPALITY OF PALUAN BARANGAY I-MAPALAD Invitation to Bid for Construction of Line Canal The Local Government Unit of  Barangay I-Mapalad, Paluan, Occidental Mindoro  intends to apply the sum of</t>
  </si>
  <si>
    <t xml:space="preserve"> construction of one (1) unit Materials Recovery Facility.</t>
  </si>
  <si>
    <t xml:space="preserve"> BIDS AND AWARD COMMITTEE				 	                         INFRA 20-31A DEVELOPMENT FUND Standard Form Number: SF-INFR-O5                                                                 Construction of Manpower Human Development Technical Center (MHDTC) at Ol</t>
  </si>
  <si>
    <t xml:space="preserve"> PARACETAMOL DROPS PARACETAMOL SUSPENSION AMOXICILLIN 250MG/CAP AMOXICILLIN 500MG/CAP SALBUTAMOL SYRUP SALBUTAMOL TAB PARACETAMOL 500MG/TAB NIFEDIPINE 5MG NIFEDIPINE 10MG CLONIDINE HCL 150MG/TAB MEFENAMIC ACID 250 MG/CAP MEFENAMIC ACID 500 MG/CAP CEFALEXIN</t>
  </si>
  <si>
    <t xml:space="preserve"> PURCHASE OF MULTICAB MINI DUMP TRUCK (4X4) USED FOR ENGINEERING OFFICE.</t>
  </si>
  <si>
    <t xml:space="preserve"> BIDS AND AWARD COMMITTEE				 	                         INFRA 20-33A GENERAL FUND Standard Form Number: SF-INFR-O5                                                                 Repair of Comfort Room of Sangunian Panglungsod and Ceiling of Registry of De</t>
  </si>
  <si>
    <t xml:space="preserve"> Republic of the Philippines Province of Batanes MUNICIPALITY OF MAHATAO -oOo- BIDS AND AWARDS COMMITTEE INVITATION TO APPLY FOR ELIGIBILITY AND TO BID The Municipal Government of Mahatao through General Fund intends to apply the sum of Php 420,642.06 bein</t>
  </si>
  <si>
    <t xml:space="preserve"> Construction of four (4) units Materials Recovery Facility.</t>
  </si>
  <si>
    <t xml:space="preserve"> IMPROVEMENT OF PLACER PUBLIC MARKET Project Billboard Removal of Existing Structure/Disposal Structure Excavation Foundation Pill Aggregate Base Course Reinforcing Steel Structural Concrete Masonry Works Carpentry and Joinery Works Doors, Windows and Roll</t>
  </si>
  <si>
    <t xml:space="preserve"> CONCRETE PAVEMENT 140m x4m x 0.20mm thk AT SITIO KALUBKUB</t>
  </si>
  <si>
    <t xml:space="preserve"> The Sangguniang Barangay of CALUMANGUIN, through its Bids and Award Committee (BAC), invites contractor to apply for eligibility and to bid fot the hereunder project: Name of Project: REHABILITATION OF MULTI-PURPOSE HALL Location: Brgy CALUMANGUIN, GUMACA</t>
  </si>
  <si>
    <t xml:space="preserve"> Description   A) REQUEST FOR QUOTATION 1. 1 unit OBD Scanner Specification: Operating System: Android TM 4.0 Ice Cream Sandwich Processor: Quad-Core Processor 1.4 GHz Memory:2GB RAM &amp; 32GB On-Board Memory Display: 9.7 inch LED capacitive touch screen with</t>
  </si>
  <si>
    <t xml:space="preserve"> Republic of the Philippines DEPARTMENT OF PUBLIC WORKS AND HIGHWAYS CAMARINES SUR 2ND DISTRICT ENGINEERING OFFICE Regional Office V Baras, Canaman, Camarines Sur INVITATION TO BID  FOR 20GFE0019 – PROCUREMENT OF EQUIPMENT AND TOOLS USE FOR MAINTENANCE OF </t>
  </si>
  <si>
    <t xml:space="preserve"> INVITATION TO BID The Municipality of Pagsanjan, through its Bids and Awards Committee (BAC), interested contractors registered to apply for eligibility and if found eligible, to bid for the hereunder contract: 	 Name of Contract: 	Procurement of Material</t>
  </si>
  <si>
    <t xml:space="preserve"> Republic of the Philippines Province of Batanes MUNICIPALITY OF MAHATAO -oOo- BIDS AND AWARDS COMMITTEE INVITATION TO APPLY FOR ELIGIBILITY AND TO BID The Municipal Government of Mahatao through General Fund intends to apply the sum of Php 390,750.00 bein</t>
  </si>
  <si>
    <t xml:space="preserve"> FURNISHING OF LABOR AND MATERIALS FOR THE CONSTRUCTION OF MULTIPURPOSE GYM/ EVACUATION CENTER OF BARANGAY NAPNAPAN NORTE, SITIO NASULI, TIGBAUAN, ILOILO</t>
  </si>
  <si>
    <t xml:space="preserve"> Republic of the Philippines Province of Palawan Municipality of Roxas BIDS AND AWARDS COMMITTEE INVITATION TO BID FOR THE SUPPLY AND DELIVERY OF FUEL, OIL AND LUBRICANTS FOR VARIOUS PROGRAMS AND ACTIVITIES OF THIS MUNICIPALITY The Local Government Unit of</t>
  </si>
  <si>
    <t xml:space="preserve"> Republic of the Philippines Department of Science and Technology PHILIPPINE SCIENCE HIGH SCHOOL – ZAMBOANGA PENINSULA REGION CAMPUS Cogon, Dipolog City       INVITATION TO BID FOR THE PROCUREMENT OF ICT EQUIPMENT (REBID) APPROVED BUDGET FOR THE CONTRACT: </t>
  </si>
  <si>
    <t xml:space="preserve"> Description I.	Removal of Structure and Obstructions II.	Reinforced Concrete III.	Electrical Works 1. Barangay Ada Tanauan, LEYTE through the bids and awards comm.) invites suppliers, distributors of construction materials for the project: Rehabilitation/</t>
  </si>
  <si>
    <t xml:space="preserve"> Republic of the Philippines Province of Occidental Mindoro MUNICIPALITY OF PALUAN Invitation to Bid for Service Vehicle (Chariot) 1.	The Local Government Unit of  Barangay 11-Harrison, Paluan, Occidental Mindoro  intends to apply the sum of One Hundred Th</t>
  </si>
  <si>
    <t xml:space="preserve"> Republic of the Philippines Province of Palawan Municipality of Roxas BIDS AND AWARDS COMMITTEE INVITATION TO BID FOR THE PROVISION OF HAND TRACTOR AND POWER SPRAYER FOR THE FARM MECHANIZATION PROGRAM OF THIS MUNICIPALITY The Local Government Unit of Roxa</t>
  </si>
  <si>
    <t xml:space="preserve"> Republic of the Philippines Province of Palawan Municipality of Roxas BIDS AND AWARDS COMMITTEE INVITATION TO BID FOR THE ACQUISITION OF BRAND NEW CLOSE VAN FOR SLAUGHTERHOUSE The Local Government Unit of Roxas, Palawan, through the 2020 Annual Budget int</t>
  </si>
  <si>
    <t xml:space="preserve"> CONCRETING OF BARANGAY RPADS AT SITIO SULAYON 2 METERS WIDTH X 85 METERS LENGTH X .15 THICK</t>
  </si>
  <si>
    <t xml:space="preserve"> Republic of the Philippines Province of Pangasinan MUNICIPALITY OF BAYAMBANG Invitation to Bid for ASPHALT OVERLAY OF BARANGAY ROAD 1. The Municipal Government of Bayambang, through the GENERAL FUND (MO) - 2020 intends to apply the sum of SEVEN HUNDRED TH</t>
  </si>
  <si>
    <t xml:space="preserve"> SUPPLY AND DELIVERY OF MEDICINE FOR EMERGENCY USED FOR COVID 19 CASE The Local Government Unit of Mauban through the TRUST FUND (MCP), 2020 intends to apply the sum of Seven hundred ninety nine thousand four hundred seventy pesos (Php 799,470.00) being th</t>
  </si>
  <si>
    <t xml:space="preserve"> Republic of the Philippines Province of Pangasinan MUNICIPALITY OF BAYAMBANG INVITATION TO BID FOR PROCUREMENT OF SERVICE VEHICLE FOR ENGINEERING OFFICE 1. The Municipal Government of Bayambang, through the TRUST FUND - REGULAR FUND - 2020 intends to appl</t>
  </si>
  <si>
    <t xml:space="preserve"> INVITATION TO BID FOR PROCUREMENT of Supplies for Reproduction of Self-Learning Modules 1.	The DepEd City Schools Division of Tacurong, through the GAA 2020 intends to apply the sum of Three Million, Forty-One Thousand, Five Hundred Pesos (3,041,500.00) b</t>
  </si>
  <si>
    <t xml:space="preserve"> Republic of the Philippines Province of Pangasinan MUNICIPALITY OF BAYAMBANG INVITATION TO BID FOR SUPPLY DELIVERY OF MEDICINES FOR RHU-II AND RHU-III 1. The Municipal Government of Bayambang, through the REGULAR FUND - 2020 intends to apply the sum of FI</t>
  </si>
  <si>
    <t xml:space="preserve"> 3      pcs.         2" G.I Pipe 6       pcs.        10" Amglobe 60     pcs.        9 watts   LED Bulb 5      roll          12mm PDX 50     pcs.        Receptacle 50     pcs.        Electrical tape 8       bags       Portland Cement 2       cu.m      Mixed</t>
  </si>
  <si>
    <t xml:space="preserve"> Republic of the Philippines Province of Pangasinan MUNICIPALITY OF BAYAMBANG INVITATION TO BID FOR SUPPLY DELIVERY OF SIX(6) UNITS BRAND NEW LAPTOP COMPUTER 1. The Municipal Government of Bayambang, through the General Fund - 2020 intends to apply the sum</t>
  </si>
  <si>
    <t xml:space="preserve"> PROCUREMENT OF INFORMATION TECHNOLOGY (IT) EQUIPMENT (PROJECT REFERENCE NO. 2020 – 02 – 064) For further information, please refer to: THE SECRETARIAT, Bids and Awards Committee  Insurance Commission, 1071 United Nations Avenue, Ermita, Manila  523-8461 t</t>
  </si>
  <si>
    <t xml:space="preserve"> Procurement of Delivery Meat Van, Slaughter House at Sto Domingo, LGU-Nabua, Camarines Sur</t>
  </si>
  <si>
    <t xml:space="preserve"> INVITATION TO BID FOR THE IMPROVEMENT OF MULTIPURPOSE /EVACUATION CENTER OF BARANGAY LINOBAYAN, TIGBAUAN, ILOILO</t>
  </si>
  <si>
    <t xml:space="preserve"> 1.	The Department of Agriculture (DA) – Central Office, through the GAA CY 2019 Continuing fund intends to apply the sum of Two Million Pesos (PhP2,000,000.00) being the Approved Budget for the Contract (ABC) to payments under the contract for the Supply,</t>
  </si>
  <si>
    <t xml:space="preserve"> REPUBLIC OF THE PHILIPPINES MUNICIPALITY OF BINMALEY PROVINCE OF PANGASINAN INVITATION TO BID FOR SUPPLY AND DELIVERY OF MEDICINES AND MEDICAL SUPPLIES FOR RHU II 1.	The Municipal Government of Binmaley, through General Fund intends to apply the sum of Ph</t>
  </si>
  <si>
    <t xml:space="preserve"> CONSTRUCTION OF FOOTBRIDGE AT SITIO PROPER 15 METERS LENGTH X 1.00 METERS WIDTH</t>
  </si>
  <si>
    <t xml:space="preserve"> CONCRETING OF BARANGAY ROADS AT SITIO PULOS  2 METERS WIDTH X 75 METERS  LENGTH X .15 THICK</t>
  </si>
  <si>
    <t xml:space="preserve"> 2	units	Resograph	200,000.00</t>
  </si>
  <si>
    <t xml:space="preserve"> 2	units Computer Desktop	40,000.00 1	unit	Computer Laptop/Netbook	26,500.00</t>
  </si>
  <si>
    <t xml:space="preserve"> The Metro Kalibo Water District, through the Bids and Awards Committee (BAC), will undertake Negotiated Procurement (Small Value Procurement) for the PROCUREMENT OF TWO (2) UNITS RECEIPT PRINTER FOR TELLER’S USE. in accordance with Section 53.9 of the 201</t>
  </si>
  <si>
    <t xml:space="preserve"> ITEM NO.	UNIT		QTY		DESCRIPTION		 							 1	 lot 		1		AMENITIES		 2	 lot 		1		 MOBILIZATION 		 3	 lot 		1		 PIPE DRILLING 		 4	 lot 		1		 POWER HOUSE 		 5	 lot 		1		 ELEVATED WATER TANK 		 6	 lot 		1		 FURNISHING AND INSTALLATION 		 INVITATION TO BID The </t>
  </si>
  <si>
    <t xml:space="preserve"> ITEM NO.	UNIT		QTY		DESCRIPTION		 							 1	 cu.m 		1640		EARTHWORKS		 2	 cu.m 		14		 CONCRETE WORKS 		 3	 ln.m 		3308		 PIPE LAYOUT 		 4	 lot 		1		 GENERAL REQUIREMENTS 		 INVITATION TO BID The Municipality of Sablayan through its Bids and Awards Committ</t>
  </si>
  <si>
    <t xml:space="preserve"> ITEM NO.	UNIT		QTY		DESCRIPTION		 							 SPL1	 lot 		1		PROJECT BILLBOARD/SIGNBOARD/PPE/SIGNAGE&amp;BARACADE		 1	 sq.m 		2700		 SUB-GRADE PREPARATION 		 2	 cu.m 		360		 PORTLAND CONCRETE CEMENT PAVEMENT 		 3	 cu.m 		46.20		 RIP - RAP 		 INVITATION TO BID The</t>
  </si>
  <si>
    <t xml:space="preserve"> Supply and delivery of Materials (Lot #1), Good Lumber (Lot #2), Fuel &amp; Diesel (Lot #3) and Labor (Lot #4) for Proposed Road Concreting from National Highway Sta. 000+015 to Sta. 000+315m leading to Barangay Site, Barangay Oring-Oring, Brooke’s Point, Pal</t>
  </si>
  <si>
    <t xml:space="preserve"> ITEM NO.	UNIT		QTY		DESCRIPTION		 							 SPL1	 lot 		1		GENERAL REQUIREMENTS		 1	 cu.m 		684		 SUB-GRADE PREPARATION 		 2	 cu.m 		684		 AGGREGATES BASE COARSE 		 3	 cu.m 		456		 PORTLAND CONCRETE CEMENT PAVEMENT 		 INVITATION TO BID The Municipality of S</t>
  </si>
  <si>
    <t xml:space="preserve"> Installation of Integrated Solar Street Lights at Sitio Proper of Barangay Maninang,  Sapian, Capiz</t>
  </si>
  <si>
    <t xml:space="preserve"> Crates</t>
  </si>
  <si>
    <t xml:space="preserve"> ITEM NO.	UNIT		QTY		DESCRIPTION		 							 SPL1	 lot 		1		PROJECT BILLBOARD/SIGNBOARD/PPE/SIGNAGE&amp;BARICADE		 1	 sq.m 		2100		 SUB-GRADE PREPARATION 		 2	 cu.m 		315		 AGGREGATE SUB-BASE COARSE 		 3	 cu.m 		300		 PORTLAND CEMENT CONCRETE PAVEMENT 		 INVITAT</t>
  </si>
  <si>
    <t xml:space="preserve"> 4'x12m Interlinks 16 Tie Wire 10mm RSB x 6m 16mm RSB x 6m 1 1/2" x 1/4" Angel Bars Welding Rod Cutting Disk</t>
  </si>
  <si>
    <t xml:space="preserve"> Gongs Solibao</t>
  </si>
  <si>
    <t xml:space="preserve"> ITEM NO.	UNIT		QTY		DESCRIPTION		 							 SPL1	 lot 		1		GENERAL REQUIREMENTS		 1	 cu.m 		2400		 SUB-GRADE PREPARATION 		 2	 cu.m 		552		 AGGREGATES BASE COARSE 		 3	 cu.m 		300		 PORTLAND CONCRETE CEMENT PAVEMENT 		 SPL2	 lot 		1		 CONSTRUCTION OF BOX CU</t>
  </si>
  <si>
    <t xml:space="preserve"> ITEM NO.	UNIT		QTY		DESCRIPTION		 							 1	 lot 		1		AMENITIES		 2	 lot 		1		 MOBILIZATION 		 3	 lot 		1		 REPAIR OF PUMP HOUSE 		 4	 lot 		1		 REPAIR OF ELEVATED WATER TANK 		 5	 lot 		1		 FURNISHING AND INSTALLATION OF PIPE 		 INVITATION TO BID The Mun</t>
  </si>
  <si>
    <t xml:space="preserve"> Building construction Total floor area: 360.00 sq.m. Completion time: 210 Calendar days Location: Brgy. Poblacion, Calubian, Leyte</t>
  </si>
  <si>
    <t xml:space="preserve"> Republic of the Philippines Province of Cagayan Municipality of Piat -o0o- OFFICE OF THE BIDS AND AWARDS COMMITTEE (BAC) INVITATION TO BID FOR MSWDO DATA PROFILING SYSTEM                                       The Local Government Unit of Piat, through the</t>
  </si>
  <si>
    <t xml:space="preserve"> ITEM NO.	UNIT		QTY		DESCRIPTION		 							 1	 lot 		1		DEMOLITION		 2	 cum 		60		 STRUCTURAL EXCAVATION 		 3	 cum 		144		 EMBANKMENT 		 4	 kgs 		5766.24		 REINFORCING STEEL BAR 		 5	 cum 		67		 CONCRETE WORKS 		 6	 sqm 		553		 MASONRY WORKS 		 7	 sqm 		282</t>
  </si>
  <si>
    <t xml:space="preserve"> ITEM NO.	UNIT		QTY		DESCRIPTION		 							 1	 lot 		1		AMENITIES		 2	 lot 		1		 MOBILIZATION 		 3	 cu.m. 		6995		 EARTHWORKS-CUTTING 		 4	 cu.m. 		295		 SLOPE PROTECTION &amp; STORM DRAINAGE 		 5	 cu.m. 		306		 AGGREGATE BASE-COURSE 		 6	 cu.m. 		340		 PORTLAN</t>
  </si>
  <si>
    <t xml:space="preserve"> Repair &amp; Maintenance IT Equipment &amp; Software</t>
  </si>
  <si>
    <t xml:space="preserve"> The BAROBO WATER DISTRICT, through the Bids and Awards Committee (BAC) of HINATUAN WATER DISTRICT, Hinatuan, Surigao del Sur, invites suppliers to bid for the hereunder project: Lot A: Name of Project                       : Procurement of Supply and Deli</t>
  </si>
  <si>
    <t xml:space="preserve"> &lt; 1 set Main  Server (core i7, 32GB DDR4, 4TB HDD, 1TB SSD, BLUETOOTH KB MOUSE)         w/ Win Server 2016 OS  &lt; 1 set Sub Server (Core i7, 16GB DDR4, 4TB HDD, 256 SSD, BLUETOOTH KB &amp; MOUSE)              w/ Win Server 2016 OS  &lt; 1 set Server Cabinet 12u W</t>
  </si>
  <si>
    <t xml:space="preserve"> Interested bidders may obtain further information from the City of Balanga and inspect the Bidding Documents at the address given below from 9:00 a.m. to 4:00 p.m. A complete set of Bidding Documents may be acquired by interested Bidders on August 13 to S</t>
  </si>
  <si>
    <t xml:space="preserve"> To download bidding documents, please click the link below https://drive.google.com/file/d/1z1ttjJctVX6g56rQvtwJVmSw1tNfYLpc/view?usp=drivesdk</t>
  </si>
  <si>
    <t xml:space="preserve"> Republic of the Philippines Cordillera Administrative Region Provincial Local Government Unit of Ifugao BIDS AND AWARDS COMMITTEE 2nd Floor COA Bldg., Capitol Compound Lagawe, Ifugao Email Ad.: bacgoodsifugao13@gmail.com  Date: August 13, 2020 REQUEST FOR</t>
  </si>
  <si>
    <t xml:space="preserve"> To download bidding documents, please click the link below https://drive.google.com/file/d/10q0Nlvo6M5jZr803d-4xZc9ayx5MjV0X/view?usp=drivesdk</t>
  </si>
  <si>
    <t xml:space="preserve"> To download bidding documents, please click the link below https://drive.google.com/file/d/1i4Dcyl6Qoc_X-Ev3KDhkSHyLDcUrql4S/view?usp=drivesdk</t>
  </si>
  <si>
    <t xml:space="preserve"> To download bidding documents, please click the link below https://drive.google.com/file/d/1ry9BEWDAjnVm7i1Dx5S-vN11Ap0GNgwP/view?usp=drivesdk</t>
  </si>
  <si>
    <t xml:space="preserve"> IV Cannula G-18 etc. NOTE:To all suppliers bid documents and BAC Reso. 2020-029 are available at BAC Office  and  LGU website.</t>
  </si>
  <si>
    <t xml:space="preserve"> To download bidding documents, please click the link below https://drive.google.com/file/d/16uez0rSBkssiVsvgTfk6pXUECH5UzgJ3/view?usp=drivesdk</t>
  </si>
  <si>
    <t xml:space="preserve"> To download bidding documents, please click the link below https://drive.google.com/file/d/1M9s7OHObz-BB9hNRy7wcy6WJwXZwFxni/view?usp=drivesdk</t>
  </si>
  <si>
    <t xml:space="preserve"> Section I. Invitation to Bid INVITATION TO BID DA8-Infra-2020-14 (PR No. QRF URSULA 20-08-06-0018) 1.	The Department of Agriculture-Regional Field Office No. 8, through the QRF URSULA 2020 – C.O intends to apply the sum of Two Million Five Hundred Thousan</t>
  </si>
  <si>
    <t xml:space="preserve"> The Cebu Port Authority, through the CPA Corporate Budget intends to apply the sum of Nine Million Nine Hundred Eighty-Six Thousand Nine Hundred Eighty-Five Pesos and 16/100 (Php 9,986,985.16) being the Approved Budget for the Contract (ABC) to payments u</t>
  </si>
  <si>
    <t xml:space="preserve"> Republic of the Philippines Province of Rizal MUNICIPALITY OF PILILLA BIDS AND AWARDS COMMITTEE Standard Form Number	   :	SF-GOOD-05 Contract Reference Number :	H-28-20 INVITATION TO APPLY FOR ELIGIBILITY AND TO BID                                        </t>
  </si>
  <si>
    <t xml:space="preserve"> Item number              Item Description                     Qty.                        Total Price             1                     Book paper , A4, gsm20             1,000                      P245,000.00</t>
  </si>
  <si>
    <t xml:space="preserve"> The Cebu Port Authority, through the CPA Corporate Budget intends to apply the sum of Sixty-Four Million Seven Hundred Seventy-Three Thousand Nine Hundred Fifty-Two Pesos and 98/100 (Php 64,773,952.98) being the Approved Budget for the Contract (ABC) to p</t>
  </si>
  <si>
    <t xml:space="preserve"> Straight Contract for Construction of Public Market See attached link/Url under OTHER INFORMATION BOX</t>
  </si>
  <si>
    <t xml:space="preserve"> To download bidding documents, please click the link below https://drive.google.com/file/d/1pCbZbLu6ylOGZN_t4LhpqUGXzIUftLCb/view?usp=drivesdk</t>
  </si>
  <si>
    <t xml:space="preserve"> Section I. Invitation to Bid INVITATION TO BID  DA8-Goods-2020-49 (PR No. SAAD 20-07-27-0241) 1.	The Department of Agriculture-Regional Field Office No. 8, through the SAAD 2020 intends to apply the sum of Two Million Five Hundred Eighty Thousand Pesos On</t>
  </si>
  <si>
    <t xml:space="preserve"> INVITATION TO BID FOR THE SUPPLY AND DELIVERY OF WEIGHING SCALE   1.	The City of Iloilo, through the 20% Development Fund CY 2019 intends to apply the sum of One Million Four Hundred Ninety-Six Thousand Seven Hundred Fifty Pesos (P1,496,750.00) being the </t>
  </si>
  <si>
    <t xml:space="preserve"> The Barangay Government of BALILI, through its Bids and Awards Committee intends to apply the sum of Two Hundred Thousand Pesos Only (Php 200,000.00) being the approved Budget for the Contract (ABC) to payments under the Contract for the “Installation of </t>
  </si>
  <si>
    <t xml:space="preserve"> Republic of the Philippines Province of Agusan del Sur MUNICIPALITY OF TALACOGON BIDS AND AWARDS COMMITTEE August 13, 2020 INVITATION TO BID  FOR THE PROCUREMENT OF MATERIALS FOR THE CONSTRUCTION OF ONE (1) UNIT PUBLIC OFFICE BUILDING AT DEL MONTE, TALACO</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</si>
  <si>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</si>
  <si>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Procurement of Pump boat/Motorboat Pump boat/motorboat (surplus) double engine with 16 HP per  engine, speed per hour. 18 knots, Passenger capacity -15, dimension  of Pump boat -Length 35 feet, Height 24, inches, width 20", Material  use wood, painted wit</t>
  </si>
  <si>
    <t xml:space="preserve"> To download bidding documents, please click the link below https://drive.google.com/file/d/1CYQJ7RbAvRWnisjoTA0wDiTFDkTQYsLd/view?usp=drivesdk</t>
  </si>
  <si>
    <t xml:space="preserve"> Item  No.           Description		Qty.		Unit 100(1) Clearing and Grubbing -0.023 ha. 103(1)a Structure Excavation, Common soil-76.11 cu.m. 404(1)a Reinforcing steel, Grade 40  - 2,798.040 kgs. 405(1)a1 Structural  Concrete – 31.176 cu.m. 414(1) Forms and F</t>
  </si>
  <si>
    <t xml:space="preserve"> Item  No.           Description		Qty.		Unit 801(1) Removal of Structures and Obstruction – 1.00 I.s. 903(1)Formworks and Falseworks  -1.00 I.s. 1014(1) a2 Prepainted Metal Sheets – 657.20 sq.m. 1047(2)a Metal Structures – 1.00 I.s 1032(1)c Painting Works </t>
  </si>
  <si>
    <t xml:space="preserve"> Procurement of Drugs and Medicine Absorbent cotton rolls 400 gms. Absorbent gauze roll 36"X100 YDS-ply Aluminum Hydroxide Magnisium Hydroxide 200mg/100 per 5ml suspension 120 Amoxicillin 100mg/ml drops. Amoxicillin 250mg/5ml syrup Amoxicillin 500 mg capsu</t>
  </si>
  <si>
    <t xml:space="preserve"> Construction of Evacuation Center/Temporary Learning Shelter for Affected Students of the Municipality of Sulat, Eastern Samar.</t>
  </si>
  <si>
    <t xml:space="preserve"> The Municipal Government of Aloguinsan invites prospective bidders to bid for the project Supply and Delivery of Office Equipment for SEF Source of Fund: SPECIAL EDUCATION FUND ABC: Php 586,390.25 The complete schedule of activities will be as follows: 1.</t>
  </si>
  <si>
    <t xml:space="preserve"> The Barangay Government of BALILI, through its Bids and Awards Committee intends to apply the sum of Sixty-One Thousand Seven Hundred Eighty-Four Pesos and Eighty Centavos Only (Php 61,784.80) being the approved Budget for the Contract (ABC) to payments u</t>
  </si>
  <si>
    <t xml:space="preserve"> REPUBLIC OF THE PHILIPPINES CITY GOVERNMENT OF OROQUIETA BIDS AND AWARD COMMITTEE City Hall, Oroquieta City                                                                                                                       August 13, 2020              </t>
  </si>
  <si>
    <t xml:space="preserve"> INVITATION TO BID FOR THE SUPPLY AND DELIVERY OF FURNITURE AND FIXTURES   1.	The City of Iloilo, through the Supplemental Budget No. 4 intends to apply the sum of Two Million Two Hundred Twenty-Nine Thousand Six Hundred Sixty Pesos (P2,220,660.00) being t</t>
  </si>
  <si>
    <t xml:space="preserve"> Item  No.           Description		Qty.		Unit 800(1) Clearing and Grubbing -0.43.000 sq.m 1600(1) Excavation-103.50 cu.m. 1601(1) Fill and Backjfill -48.00 cu.m. 900(1)a1 Structural Concrete -22.12 cu.m. 902(1)a1 Reinforcing steel(Deformed), Grade 40 – 2,44</t>
  </si>
  <si>
    <t xml:space="preserve"> The Barangay Government of BALILI, through its Bids and Awards Committee intends to apply the sum of Two Hundred Thousand Pesos Only (Php 200,000.00) being the approved Budget for the Contract (ABC) to payments under the Contract for the “Construction of </t>
  </si>
  <si>
    <t xml:space="preserve"> Common Office  Supplies Technical Specifications will be given during the pre-bidding conference.</t>
  </si>
  <si>
    <t xml:space="preserve"> Section I. Invitation to Bid Republic of the Philippines        Province of Samar Municipality of Motiong Invitation to Bid for the Procurement of Infrastructure for the UPGRADING OF LOCAL ACCESS ROAD SECTION-SEGMENT 1 FROM BRGY. NEW MINAROG TO BRGY. MAYP</t>
  </si>
  <si>
    <t xml:space="preserve"> The Barangay Government of BALILI, through its Bids and Awards Committee intends to apply the sum of One Hundred Fifty Thousand Pesos Only (Php 150,000.00) being the approved Budget for the Contract (ABC) to payments under the Contract for the “Constructi</t>
  </si>
  <si>
    <t xml:space="preserve"> Republic of the Philippines Province of Samar Municipality of Motiong INVITATION TO BID FOR THE PROCUREMENT OF ONE (1)-UNIT MULTI-PURPOSE VEHICLE 1.	The Municipal Government of Motiong, through the FY 2019 Local Government Support Fund- Other Financial As</t>
  </si>
  <si>
    <t xml:space="preserve"> Section I. Invitation to Bid Republic of the Philippines Province of Samar Municipality of Motiong Invitation to Bid for the Procurement of Infrastructure for the CONCRETING OF PATHWAY FROM BRGY. CAPAYSAGAN TO BRGY. MALONOY 1.	The Municipal Government of </t>
  </si>
  <si>
    <t xml:space="preserve"> INVITATION TO BID FOR THE SUPPLY AND DELIVERY OF FABRICATED TRASH BIN   1.	The City of Iloilo, through the Supplemental Budget No. 5 CY 2020 intends to apply the sum of Two Million Eight Hundred Fifty Thousand Pesos (P2,850,000.00) being the Approved Budg</t>
  </si>
  <si>
    <t xml:space="preserve"> The Mindanao State University-Sulu, through its Bids and Awards Committee (BAC), intends to apply the sum of Five Hundred Thousand Pesos (P500,000.00) as the Approved Budget for the Contract (ABC) for payment for the Procurement of Books. Bidding will be </t>
  </si>
  <si>
    <t xml:space="preserve"> PURCHASE REQUEST 					 					 Entity Name: PAGSANGAHAN NHS (JHS- SHS)			Fund Cluster: 01101101		 Office/Section : _____________		PRN.:  ________________________		Date:  _____________	 		Responsibility Center Code : MOOE			 Stock/ Property No.	Unit 	Item De</t>
  </si>
  <si>
    <t xml:space="preserve"> Request for Quotation (Negotiated Procurement-Sec. 53.1 of RIRR of RA 9184)                                                                             The Iligan City Government Bids and Awards Committee(BAC) Posted Request for Quotation for the SUPPLY A</t>
  </si>
  <si>
    <t xml:space="preserve"> shopping....</t>
  </si>
  <si>
    <t xml:space="preserve"> Republic of the Philippines City of Cagayan de Oro BIDS AND AWARDS COMMITTEE  	 INVITATION TO BID  FOR  Supply and Delivery of Circuit Breakers and Other Items; PR No. 20-0550 dated 29 January 2020; SN 177 - 2020 1.	The City Government of Cagayan de Oro, </t>
  </si>
  <si>
    <t xml:space="preserve"> INVITATION TO BID Bid No. B-122-2020  1.	The Provincial Government of Negros Oriental through Responsibility Center: 8919-11(20), intends to apply the sum of Four Million Eight Hundred Thousand Pesos (Php 4,800,000.00) to payment under the contract “Purch</t>
  </si>
  <si>
    <t xml:space="preserve"> Section I. Invitation to Bid Republic of the Philippines Province of Samar Municipality of Motiong Invitation to Bid for the Procurement of Infrastructure for the DUMPSITE CLOSURE PLAN IMPLEMENTATION (PHASE 3) 1.	The Municipal Government of Motiong, throu</t>
  </si>
  <si>
    <t xml:space="preserve"> The Mindanao State University-Sulu, Bids and Awards Committee (BAC) through the Trust Fund, intends to apply the sum of One Million and Seventy Thousand Pesos (P1,070,000.00) as the Approved Budget for the Contract (ABC) for payment for the Procurement of</t>
  </si>
  <si>
    <t xml:space="preserve"> Standard Form Number: SF-INFRA-05 Revised on: July 28, 2004 INVITATION TO APPLY FOR ELIGIBILITY AND TO BID ITB No.: 0820-121 The LGU-TUBURAN, through its Bids and Awards Committee (BAC), invites suppliers/manufacturers/distributors/contractors to apply fo</t>
  </si>
  <si>
    <t xml:space="preserve"> Republic of the Philippines City of Cagayan de Oro BIDS AND AWARDS COMMITTEE Invitation to Bid  for Completion of San Simon Water System (Partial); SN 188 - 2020 1.	The City Government of Cagayan de Oro, through the Continuing Appropriation CY 2019 - Non-</t>
  </si>
  <si>
    <t xml:space="preserve"> Standard Form Number: SF-INFRA-05 Revised on: July 28, 2004 INVITATION TO APPLY FOR ELIGIBILITY AND TO BID ITB No.: 0820-116 The LGU-TUBURAN, through its Bids and Awards Committee (BAC), invites suppliers/manufacturers/distributors/contractors to apply fo</t>
  </si>
  <si>
    <t xml:space="preserve"> Republic of the Philippines City of Cagayan de Oro BIDS AND AWARDS COMMITTEE  INVITATION TO BID  FOR  Supply and Delivery of One (1) Unit Van Type Vehicle; PR No. 20-1580 dated 23 March 2020; SN 170a - 2020 1.	The City Government of Cagayan de Oro, throug</t>
  </si>
  <si>
    <t xml:space="preserve"> 1.	The Government Service Insurance System (GSIS), through the GSIS Corporate Operating Budget for CY 2020, intends to apply the sum of Twenty Two Million Six Hundred Ninety Eight Thousand Eight Hundred Pesos (Php22,698,800.00) being the Approved Budget f</t>
  </si>
  <si>
    <t xml:space="preserve"> QTY UNIT DESCRIPTION One (1) Unit Sound System (Package with 2 years Free Service Maintenance and 1 year Parts Warranty) 2 pcs. 15"2-Way Professional Active Speaker 700 watts max 2 pcs. 18" Professional Active Subwoofer 1600 watts max 1 pair Professional </t>
  </si>
  <si>
    <t xml:space="preserve"> Standard Form Number: SF-INFRA-05 Revised on: July 28, 2004 INVITATION TO APPLY FOR ELIGIBILITY AND TO BID ITB No.: 0820-120 The LGU-TUBURAN, through its Bids and Awards Committee (BAC), invites suppliers/manufacturers/distributors/contractors to apply fo</t>
  </si>
  <si>
    <t xml:space="preserve"> To download bidding documents, please click the link below https://drive.google.com/file/d/1Cf06mOrS73dcbsAHgn_h6PMZ8fBGyO3c/view?usp=drivesdk</t>
  </si>
  <si>
    <t xml:space="preserve"> To download bidding documents, please clickt the link below https://drive.google.com/file/d/1SCd2DUpCUnZvawBmoVxpYMNjGwUZ_KZn/view?usp=drivesdk</t>
  </si>
  <si>
    <t xml:space="preserve"> Construction of 1 Storey Multi Purpose Building (16m x 7m) and other scope of work to be done.</t>
  </si>
  <si>
    <t xml:space="preserve"> Standard Form Number: Goods  Revised on: July 28, 2004 INVITATION TO APPLY FOR ELIGIBILITY AND TO BID ITB No.: 0820-117 The LGU-TUBURAN, through its Bids and Awards Committee (BAC), invites suppliers/manufacturers/distributors/contractors to apply for eli</t>
  </si>
  <si>
    <t xml:space="preserve"> 1. GENERAL REQUIREMENTS: 1.0 GENERAL INTENTION – It is the declared and acknowledged intention of the City Government to provide the public and complete the purpose Construction of Gora Lane Pocket Gardens along Mother Ignacia Avenue located at Barangay P</t>
  </si>
  <si>
    <t xml:space="preserve"> Supply and delivery of tires for Garbage Truck</t>
  </si>
  <si>
    <t xml:space="preserve"> COMFORT ROOM, DOORS, WINDOWS,TILE SETTING AND ROOFINGS.</t>
  </si>
  <si>
    <t xml:space="preserve"> Republic of the Philippines Province of Eastern Samar  Municipality of Llorente Invitation to Bid for Supply and Delivery of Assorted Construction Materials 1.	The Local Government of Llorente, through the Budget Approved by the Respective Sanggunian inte</t>
  </si>
  <si>
    <t xml:space="preserve"> Republic of the Philippines Province of Ilocos Sur Municipality of San Juan OFFICE OF THE BIDS AND AWARDS COMMITTEE INVITATION TO APPLY FOR ELIGIBILITY AND TO BID The Barangay Camindoroan,San Juan,Ilocos Sur through the Bids and Awards Committe(BAC) invit</t>
  </si>
  <si>
    <t xml:space="preserve"> Ambulance 3.0L Diesel, 4 Cylinder, In-Line 16V DOHC, Turbo Charged Direct Injection Common Rail Diesel (D-4D) 2,982cc Displacement 5-speed Manual (Dash-Mounted) Transmission Front Ventilated Disc Brakes Rear Drum Brakes 4,695mm x 1,695mm x 1,980mm 70 Lite</t>
  </si>
  <si>
    <t xml:space="preserve"> Republic of the Philippines MUNICIPALITY OF ORION Province of Bataan Bids and Awards Committee Secretariat Office, 2nd Floor Municipal Building, San Vicente, Orion, Bataan Telephone No. 244-9611 local 107                                        				 				 2</t>
  </si>
  <si>
    <t xml:space="preserve"> Republic of the Philippines  Province of Ilocos Sur Municipality of San Juan OFFICE OF THE BIDS AND AWARDS COMMITTEE INVITATION TO APPLY FOR ELIGIBILITY AND TO BID The Barangay Nagsupotan,San Juan,Ilocos Sur through the Bids and Awards Committee(BAC)invit</t>
  </si>
  <si>
    <t xml:space="preserve"> SUPPLY AND ON-SITE DELIVERY OF AGRI-INPUTS(VEGETABLES) For Municipality of Lambayong Seeds Pumpkin Superior quality F1 (250g) Eggplant (long, violet) F1 (25g ) String Beans (Long, green)  25g/ Green Pepper F1 200gram Okra (long smooth)  Fertilizers Urea (</t>
  </si>
  <si>
    <t xml:space="preserve"> Republic of the Philippines PROVINCE OF ZAMBOANGA DEL NORTE Municipality of Sibutad BIDS AND AWARDS COMMITTEE 					                                                                                                                    August 13, 2020 INVITATI</t>
  </si>
  <si>
    <t xml:space="preserve"> Item Description SUPPLY AND ON-SITE DELIVERY OF AGRI-INPUTS (RICE &amp; CORN) FOR THE MUNICIPALITY OF LAMBAYONG Agri Inputs for Rice Certified inbred seeds (2-RC 160; IR-226) 40kg Fertilizers Complete (14-14-14) 50kg Urea (46-0-0) 50kg Muriate of potash (0-0-</t>
  </si>
  <si>
    <t xml:space="preserve"> Republic of the Philippines                                                                  Province of Eastern Samar                                                                 Municipality of Balangkayan                                             </t>
  </si>
  <si>
    <t xml:space="preserve"> The Municipal Government of Bayog, Zamboanga del Sur thru its Bids and Awards Committee (BAC) invites all interested bidders for the “SUPPLY AND DELIVERY OF CONSTRUCTION SUPPLIES AND MATERIALS” for the Improvement/Conversion of Temporary Rural Health Unit</t>
  </si>
  <si>
    <t xml:space="preserve"> 20GPG0002 - PURCHASE AND DELIVERY OF OFFICE SUPPLIES AND EQUIPMENT FOR USE OF PLANNING AND DESIGN SECTION, DPWH-IFUGAO FIRST DISTRICT ENGINEERING OFFICE</t>
  </si>
  <si>
    <t xml:space="preserve"> SUPPLY AND ON-SITE DELIVERY OF AGRI-INPUTS (LIVESTOCK &amp; POULTRY) For Municipality of Lambayong Feeds  Livestock/Swine (Fattener) Weaning feeds Pre-starter Feeds Starter Feeds Grower Feeds Finisher Feeds Poultry (Chicken) 7 kinds Fighting Cock Feeds Starte</t>
  </si>
  <si>
    <t xml:space="preserve"> Republic of the Philippines Province of Eastern Samar  Municipality of Llorente Invitation to Bid for Supply and Delivery of Assorted Office/Other Supplies and Materials 1.	The Local Government of Llorente, through the Budget Approved by the Respective Sa</t>
  </si>
  <si>
    <t xml:space="preserve"> 354.74 ltrs. ADO														 107 ltrs. ADO														 260 ltrs. ADO														 145 ltrs. ADO														 383 ltrs. ADO														 28 ltrs. XLF														 10.50 ltrs. XCS														 108 ltrs. XLF														 31 ltrs. XCS														 </t>
  </si>
  <si>
    <t xml:space="preserve"> Republic of Philippines Province of Quezon MUNICIPALITY OF REAL -oOo- BIDS AND AWARDS COMMITTEE INVITATION TO BID FOR  SUPPLY AND DELIVERY OF DAYCARE CENTER SCHOOL SUPPLIES 1.	The Municipal Government of Real, Quezon, through the Municipal General Fund CY</t>
  </si>
  <si>
    <t xml:space="preserve"> 1	Public Address System VoIP protocols: SIP or multicast support Relay number: at least 4 freely programmable output pins, configuration via web interface or DTMF Voltage feed via network (PoE) Ethernet Ports: at least 2 port 10/100Mb Ethernet switch Powe</t>
  </si>
  <si>
    <t xml:space="preserve"> The Barangay Malalinta, Tuao Cagayan through its 20% Barangay Dev't Fund intends to apply the sum of Php 54,954.00 being the Approved Budget for the Contract (ABC) to payments under the contract for Procurement of Materials for the Construction of Comfort</t>
  </si>
  <si>
    <t xml:space="preserve"> Item Description and Specification is Attached</t>
  </si>
  <si>
    <t xml:space="preserve"> Republic of  the Philippines Province of  Quezon Municipality of  Atimonan INVITATION TO BID 	The Barangay San Rafael of Atimonan thru the Bids and Awards Committee (BAC) invites interested suppliers/contractors to apply for eligibility screening and if s</t>
  </si>
  <si>
    <t xml:space="preserve"> The Bids &amp; Awards Committee (BAC) of Barangay Catang, Argao, Cebu, invites all interested suppliers/manufacturers/distributors/contractors/consultants to apply for eligibility and to submit bids for the following: DRILLING WORKS DIRECT COST: A. Materials:</t>
  </si>
  <si>
    <t xml:space="preserve"> Republic of the Philippines Province of Negros Occidental Municipality of Ilog Invitation to bid for sale Amount:Php 5,000 Purchase of IT Equipment for Accessing Data away from Home or Office, System Management, Works Projects/Programs Virtually and Repro</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</si>
  <si>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</si>
  <si>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INVITATION TO APPLY FOR ELIGIBILITY AND TO BID No. PAR INF-2020-05 The Municipal Government of Paranas, Samar through its Bids and Awards Committee (BAC), hereby invites Domestic Contractors, registered with and classified by the Philippine Contractors Ac</t>
  </si>
  <si>
    <t xml:space="preserve"> Republic of the Philippines Province of Negros Occidental Municipality of Ilog Invitation to bid for sale Amount:Php 1,000 Purchase of Risograph Equipments for reproduction of support instructional materials for Public Schools Under New Normal. RISO CV120</t>
  </si>
  <si>
    <t xml:space="preserve"> Republic of the Philippines Province of Leyte Municipality of Hilongos BARANGAY WESTERN POBLACION INVITATION TO BID FOR THE PROCUREMENT OF MATERIALS FOR REHABILITATION AND EXTENSION OF THE MULTI-PURPOSE BUILDING  1.  The Barangay Western Poblacion, throug</t>
  </si>
  <si>
    <t xml:space="preserve"> Brief Description/Specification: “SUPPLY AND DELIVERY OF FIFTY (50) PIECES PLASTIC DRUMS (WATER CONTAINER)” for the Rain Water Collection System of the Municipal Government of Bayog, Zamboanga del Sur. Approved Budget for the Contract:  Php 100,000.00 Est</t>
  </si>
  <si>
    <t xml:space="preserve"> Section I. Invitation to Bid Republic of the Philippines Province of Bukidnon MUNICIPALITY OF TALAKAG Invitation to Bid for Procurement of Construction Materials  (For Construction of Deepwell Tank, Brgy. 2 – Phase II) 1.	The Municipality of Talakag throu</t>
  </si>
  <si>
    <t xml:space="preserve"> Supply and On-site Delivery of Non-Agri Inputs For Municipality of ESPERANZA Stainless steel scooper for rice and corn ; 10kg Shovel pointed (Wood Handle) Heavy duty Platform weighing scale ( min 500kg capacity with weighing blocks) Heavy Duty Plastic sac</t>
  </si>
  <si>
    <t xml:space="preserve"> Lot 1	Desktop (Complete Set) 	Processor: minimum 6th gen 2.4GHz, 1MB (L2 Cache), 800MHz FSB 	Memory: 2GB DDR3 or Higher 	Hard Drive Disk:  Minimum 500 HDD or Higher 	Monitor: Minimum 16' 	Optical Drive: DVD RW 	O.S:  Genuine Windows, Windows 10 	Keyboard </t>
  </si>
  <si>
    <t xml:space="preserve"> Republic of the Philippines Province of Negros Occidental Municipality of Ilog Invitation to bid for sale  Amount:Php 500 Purchase of Office Supplies for operation of Maintenance for Public Schools Under New Normal. Ilog, Neg. Occ. - Long bond paper Sub.2</t>
  </si>
  <si>
    <t xml:space="preserve"> OFFICE OF THE BIDS AND AWARDS COMMITTEE INVITATION TO BID NO. 116-20 Name of Project: Procurement of Hardware Materials used for Construction Rehabilitation of A. Taruc, Socorro, SDN Source of Funds: Mun. 20% Development Fund The Municipality of Socorro t</t>
  </si>
  <si>
    <t xml:space="preserve"> Two (2) Units High Volume Low Speed (HVLS) Fan Powered by:	Computer Control						 Computer Box:	Powerful Variable Frequency Driver (VFD)						 Blade Material:	Cold forged external clamp wing						 Diameter:		24 ft. (7.3m)						 No. of Blades:	6 pcs.						</t>
  </si>
  <si>
    <t xml:space="preserve"> INVITATION TO BID (CW-08-2020-023) The Department of Public Works and Highways (DPWH)-Batangas IV District Engineering Office, Marawoy, Lipa City, Batangas, through its Bids and Awards Committee (BAC), invites contractors to bid for the contract listed be</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</si>
  <si>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</si>
  <si>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Procurement of Ambulance.Brand New Transmission: 5-speed Manual (Dash Mounted) Displacement: 2,488 cc, Max-Output (HP): 129HP @ 3,200 rpm,Max Torque (nm): 356 nm @2,000rpm EURO 4 Compliance: Diesel Engine Type: Body Dimension: Lenghtof Body :        4865m</t>
  </si>
  <si>
    <t xml:space="preserve"> The ZAMBOANGA CITY STATE POLYTECHNIC COLLEGE through its Bids and Awards Committee (BAC) is inviting PHILGEPS registered suppliers to apply for eligibility and to submit bids for the items listed below: 1.	THW wire, 200mm2, (240mtrs/roll) (720 meters) 2.	</t>
  </si>
  <si>
    <t xml:space="preserve"> Republic of Philippines Province of Quezon MUNICIPALITY OF REAL -oOo- BIDS AND AWARDS COMMITTEE INVITATION TO BID FOR  SUPPLY AND DELIVERY OF PRINTING EQUIPMENT AND MATERIALS FOR PRINTING OF LEARNING RESOURCES FOR NEW NORMAL APPROACH 1.	The Municipal Gove</t>
  </si>
  <si>
    <t xml:space="preserve"> National Power Corporation INVITATION TO BID PUBLIC BIDDING 2020-0284 1.	The NATIONAL POWER CORPORATION (NPC), through       its        approved       Corporate Budget of CY 2020 intends to apply   the   sum   of (Please see schedule below) being the Appr</t>
  </si>
  <si>
    <t xml:space="preserve"> Republic of the Philippines Province of Lanao del Norte Municipality of Tubod OFFICE OF THE BIDS AND AWARDS COMMITTEE INVITATION TO BID PWS DRILLING PRODUCTION DEEP WELL Sitio Dalsan, Barangay Kalilangan, Tubod, Lanao del Norte  (ITB-2020-JDL-018 Re-Bid) </t>
  </si>
  <si>
    <t xml:space="preserve"> Republic of the Philippines Province of Samar MUNICIPALITY OF MARABUT INVITATION to BID for  CONSTRUCTION OF PUBLIC CEMETERY, PHASE II  	 1.	The Municipal Government of Marabut, through its 20% Development Fund intends to apply the sum of Five Million Pes</t>
  </si>
  <si>
    <t xml:space="preserve"> Construction of Masonry Drainage Structure, Along Pagulayan Street, Ugac Norte, Tuguegarao City</t>
  </si>
  <si>
    <t xml:space="preserve"> Construction of Masonry Drainage Structure, Along Iringan Street - Bariuan Alley (Interior Road), Ugac Norte, Tuguegarao City</t>
  </si>
  <si>
    <t xml:space="preserve"> Construction of Masonry Drainage Structure, Along Iringan Street - Sacramento Alley (Interior Road), Ugac Norte, Tuguegarao City</t>
  </si>
  <si>
    <t xml:space="preserve"> INVITATION TO BID FOR IMPLEMENTATION OF "TV ARALAN" SERIES UNDER RETOOLED COMMUNITY SUPPORT PROGRAM (RCSP)</t>
  </si>
  <si>
    <t xml:space="preserve"> The Barangay Malalinta, Tuao Cagayan through its Department of Agriculture Fund intends to apply the sum of Php 212,567.00.00 being the Approved Budget for the Contract (ABC) to payments under the contract for Construction of Multi-Purpose Drying Pavement</t>
  </si>
  <si>
    <t xml:space="preserve"> Republic of the Philippines MUNICIPALITY OF SAN JACINTO San Jacinto, Pangasinan Bids and Awards Committee INVITATION TO BID (Construction of Multi-Purpose Covered Court in Brgy. San Vicente) 1.	The Municipal Government of San Jacinto, through the (20% LDF</t>
  </si>
  <si>
    <t xml:space="preserve"> Supply and On-Site Delivery of Small Farm Machinery (Set C) Combine Harvester Power requirement: Minimum of 50.74 W (68.05hp) Engine, Water-cooled stroke, 4 cylinder, diesel turbo   Fuel tank: minimum 85L  Battery: 12V  Axial flow type threshing Reaper Se</t>
  </si>
  <si>
    <t xml:space="preserve"> Lot No.	Unit 	Item Description	Qty	Approved Budget for the Contract (Php) 		Small Farm Machineries (Set B)		 Lot 1	Unit	(39.5 hp) 4-Wheel Drive Tractor with Rotavator	3	2,910,000.00 Lot 2	Unit	(35.5 hp) 4-Wheel Drive Tractor with Rotavator	1	870,000.00 To</t>
  </si>
  <si>
    <t xml:space="preserve"> Republic of the Philippines MUNICIPALITY OF SAN JACINTO San Jacinto, Pangasinan Bids and Awards Committee INVITATION TO BID (Construction of Slope Protection in Brgy. Capaoay) 1.	The Municipal Government of San Jacinto, through the (20% LDF CY-2020) inten</t>
  </si>
  <si>
    <t xml:space="preserve"> Republic of the Philippines MUNICIPALITY OF SAN JACINTO San Jacinto, Pangasinan Bids and Awards Committee INVITATION TO BID (Road Widening going to Senior High School in Brgy. Capaoay) 1.	The Municipal Government of San Jacinto, through the (SIP # 1 CY-20</t>
  </si>
  <si>
    <t xml:space="preserve"> Section I. Invitation to Bid Republic of the Philippines Province of Sultan Kudarat Municipality of Bagumbayan BLGU-TUKA Bagumbayan, Sultan Kudarat INVITATION TO BID FOR THE PROCUREMENT OF VARIOUS MATERIALS FOR KABUHAYAN STARTER KIT ( NEGO KART) UNDER DOL</t>
  </si>
  <si>
    <t xml:space="preserve"> Republic of the Philippines DEPARTMENT OF PUBLIC WORKS AND HIGHWAYS OFFICE OF THE DISTRICT ENGINEER     Las Pinas-Muntinlupa District Engineering Office  2nd Street, Port Area, Manila INVITATION TO BID No. 023 1.	The Department of Public Works and Highway</t>
  </si>
  <si>
    <t xml:space="preserve"> Lot 1-Swine (piglets) 1.	250	Heads	Breeder piglets (Female) 			atleast 10kg. Bodyweight, 30 to 40 days old 			Dewormed &amp; hog Cholera Vaccinated Apparently healthy without deformities Free delivery &amp; replacement for stock mortalities 5 days post delivery 2</t>
  </si>
  <si>
    <t xml:space="preserve"> Republic of the Phillipines					 DEPARTMENT OF PUBLIC WORKS AND HIGHWAYS					 ZAMBOANGA DEL SUR					 1st District Engineering Office					 REGION IX					 Pagadian City					 					 				          NOTICE No.: 20-12	 				                DATE: August 12, 2020	 	</t>
  </si>
  <si>
    <t xml:space="preserve"> Invitation to Bid 									August 12, 2020 	 1.	 The Municipal Government of Tinoc through the Bids and Awards Committee advertised an Invitation to bid for the Purchase of One (1) Unit Wheeled Backhoe   funded under the Year 2020 Annual Budget – 20% Loca</t>
  </si>
  <si>
    <t xml:space="preserve"> OFFICE OF THE BIDS AND AWARDS COMMITTEE INVITATION TO BID NO. 118-20 Name of Project: Procurement of Lumber &amp; Aggregates used for Repair/ Improvement of Tourism Hub/ Waiting Area @ Brgy. Navarro, Socorro, SDN Source of Funds: Mun. 20% Development Fund The</t>
  </si>
  <si>
    <t xml:space="preserve"> PURCHASE AND DELIVERY OF MATERIALS FOR THE CONSTRUCTION OF MOTORPOOL AND WAREHOUSE PHASE IX, BRGY. SAN JOSE DINGLE, ILOILO</t>
  </si>
  <si>
    <t xml:space="preserve"> The Barangay Naruangan, Tuao Cagayan through its Barangay Dev't Fund intends to apply the sum of Php 94,757.00 being the Approved Budget for the Contract (ABC) to payments under the contract for Purchased of Materials for the Construction of Drainage Cana</t>
  </si>
  <si>
    <t xml:space="preserve"> OFFICE OF THE BIDS AND AWARDS COMMITTEE INVITATION TO BID NO. 117-20 Name of Project: Procurement of Aggregates used for Construction Rehabilitation of A. Taruc, Socorro, SDN Source of Funds: Mun. 20% Development Fund The Municipality of Socorro through t</t>
  </si>
  <si>
    <t xml:space="preserve"> Republic of the Philippines MUNICIPALITY OF SAN JACINTO San Jacinto, Pangasinan Bids and Awards Committee INVITATION TO BID (Construction of Multi-Purpose Center in Brgy. Capaoay – Phase II) 1.	The Municipal Government of San Jacinto, through the (20% LDF</t>
  </si>
  <si>
    <t xml:space="preserve"> Republic of the Philippines Province of Southern Leyte MUNICIPALITY OF SAINT BERNARD BIDS AND AWARDS COMMITTEE INVITATION TO RE-BID FOR SUPPLY AND DELIVERY OF RESCUE EQUIPMENT BAC-SBSL-MDRRMO-2020-015A 1.	The Municipality of Saint Bernard, Southern Leyte,</t>
  </si>
  <si>
    <t xml:space="preserve"> Invitation to Bid for the Concreting of Roadway Shoulder The Barangay of Banbanon, San Francisco, Surigao del Norte, through the 20% Development Fund of CY 2020 intends to apply the sum of Two Hundred Thousand Pesos (P 200,000.00) being the Approved Budge</t>
  </si>
  <si>
    <t xml:space="preserve"> 1.	The Barangay Local Government Unit (BLGU) of Tubo-tubo – Bids and Awards Committee (BAC) invites bids for the Construction/ Repair of LEVEL III Potable Water System (“the Project”), detailed as follows: 	Brief Description			: Construction/ Repair of LE</t>
  </si>
  <si>
    <t xml:space="preserve"> INVITATION TO BID FOR  SUPPLY &amp; DELIVERY OF VARIOUS CONSTRUCTION MATERIALS FOR THE IMPROVEMENT OF PALAY DRYING PLANT &amp; WAREHOUSE FACILITY, BRGY. UNZAD, VILLASIS, PANGASINAN 1.	The Local Government of Villasis, Pangasinan, thru TET 2013, intends to apply t</t>
  </si>
  <si>
    <t xml:space="preserve"> Republic of the Philippines Province of Cebu MUNICIPALITY OF DAANBANTAYAN Bids and Awards Committee E-mail address: bac.daanbantayan@gmail.com |Contact no.: (032) 437-8144 ITB No.: PB-2020-08-46 Invitation to Bid for the Supply and Delivery of Materials f</t>
  </si>
  <si>
    <t xml:space="preserve"> OFFICE OF THE BIDS AND AWARDS COMMITTEE INVITATION TO BID NO. 120-20 Name of Project: Supply &amp; Installation of Wooden Doors &amp; Aluminum Glass Window used for Repair/ Improvement of Tourism Hub/ Waiting Area @ Brgy. Navarro, Socorro, SDN Source of Funds: Mu</t>
  </si>
  <si>
    <t xml:space="preserve"> MUNICIPAL BIDS AND AWARDS COMMITTTEE INVITATION TO BID                                                                                                      PROCUREMENT OF VULCANIZING &amp; CARWASH SUPPLIES  AND MOTOR PARTS    										 August 12,2020     1. </t>
  </si>
  <si>
    <t xml:space="preserve"> Invitation to Bid for the Construction / Repair of Barangay Gymnasium Roofing The Barangay Magtangale, San Francisco, Surigao del Norte, through the Financial Assistance from the Provincial Government intends to apply the sum of Five Hundred Thousand Peso</t>
  </si>
  <si>
    <t xml:space="preserve"> Name of Projects: Improvement of Marag Evacuation Center --------------------------------------------- 291,363.36 Location: Marag, luna, Apayao Excavation/Dredging/Construction of Retaining Wall along Zumigui Creek ------------- 981,373.42 Location: Zumig</t>
  </si>
  <si>
    <t xml:space="preserve"> Name of Project	:	Procurement of Security Services 2020 Location		:	        MHARSMC, Mindog, Maningcol, Ozamiz City Brief Description	:	Security Services  Approved Budget for the Contract	:	Php 4,620,000.00 total or corporate budget (please refer to the l</t>
  </si>
  <si>
    <t xml:space="preserve"> 500       booklets            ECCD CHECKLIST BOOKLET           100.00             50,000.00                                                                                                     Total: 50,000.00</t>
  </si>
  <si>
    <t xml:space="preserve"> TABLET - 12 unit *Cost-effective tablet which has 2 in 1 design both laptop and tablet *Windows 10 Home OS *Powered by Intel Celeron N4100 4-core processor *Rear-Facing + front dual camera *Dual band 2.4GHz / 5.0GHz wifi supported *3.8V/26600mWh battery *</t>
  </si>
  <si>
    <t xml:space="preserve"> Republic of the Philippines Province of Southern Leyte MUNICIPALITY OF LIMASAWA -o0o- Bids and Awards Committee Invitation to Bid for the Construction of Eco Green Park Perimeter Fence  Cabulihan, Limasawa Southern Leyte  1.	The Local Government Unit of L</t>
  </si>
  <si>
    <t xml:space="preserve"> The Barangay Malalinta, Tuao Cagayan through its Calamity Fund intends to apply the sum of    Php 60,000.00 being the Approved Budget for the Contract (ABC) to payments under the contract for Purchased and Delivery of 1 Unit Chainsaw. Bids received in exc</t>
  </si>
  <si>
    <t xml:space="preserve"> Republic of the Philippines MUNICIPALITY OF SAN JACINTO San Jacinto, Pangasinan Bids and Awards Committee INVITATION TO BID Inabaan Catering Services Project 1.	The Municipal Government of San Jacinto, through the Trust Fund / DOLE Livelihood Project  int</t>
  </si>
  <si>
    <t xml:space="preserve"> 1. GENERAL REQUIREMENTS: 1.0 GENERAL INTENTION – It is the declared and acknowledged intention of the City Government to provide the public and complete Proposed Gora Lane Phase 1 along Doña Hemady Avenue (from 10th Street to Scout Chuatoco Street located</t>
  </si>
  <si>
    <t xml:space="preserve"> Item 1002: Piping &amp; Fitting Works</t>
  </si>
  <si>
    <t xml:space="preserve"> INVITATION TO BID FOR  SUPPLY &amp; DELIVERY OF COMPUTERIZED INTEGRATED OFFICE MANAGEMENT SYSTEM FOR SANGGUNIANG BAYAN IN THIS MUNICIPALITY, LGU VILLASIS, PANGASINAN 	 		 1.	The Local Government of Villasis, Pangasinan, thru ICT Fund, intends to apply the sum</t>
  </si>
  <si>
    <t xml:space="preserve"> Lot No.	Unit 	Item Description	Qty	Approved Budget for the Contract (Php) 		Small Farm Machineries (Set A)		 Lot 1	Unit	(Mobile)Travelling Rice Mill w/ Tractor &amp; Trailer	1	850,000.00 Lot 2	Unit	Rice Reaper	2	200,000.00 Lot 3	Unit	Corn Sheller	1	150,000.00</t>
  </si>
  <si>
    <t xml:space="preserve"> I. Carpentry I.1 Ceiling Joist and Boards  146.21 sq.m I.2 Doors and Windows LS LS I.3 Scaffolding LS LS II. CHB Laying and Plastering 335.26 sq.m III. Reinforced Concrete Stairs LS LS IV. Tileworks 87.81 sq.m V. Railings LS LS VI. Electrical LS LS VII. S</t>
  </si>
  <si>
    <t xml:space="preserve"> Republic of the Philippines MUNICIPALITY OF ECHAGUE Province of Isabela INVITATION TO BID FOR  THE  PROCUREMENT OF   GADGETS ( TABLETS)    1.	The Local Government Unit , through  the   GENERAL   FUND ( LBP Loan)  Of  2020  intends to apply the sum of  FOR</t>
  </si>
  <si>
    <t xml:space="preserve"> CONSTRUCTION OF 1.0 UNIT BARANGAY ISOLATION UNIT WITH 10.0 UNITS ROOMS, 2 UNITS BATHROOMS, 2 UNITS TOILETS AND PERIMETER FENCE.</t>
  </si>
  <si>
    <t xml:space="preserve"> *Bids received in excess of the ABC shall be automatically rejected at bid opening. 2. Bidding will be conducted through an open competitive bidding procedure using non-discretionary pass/fail criterion as specified in the Revised Implementing Rules and R</t>
  </si>
  <si>
    <t xml:space="preserve"> 160 meters concreting; 6 meters in width; 0.20 meters in thickness; class "A" concrete mixture.</t>
  </si>
  <si>
    <t xml:space="preserve"> INVITATION TO BID The Municipal Government of San Francisco, through the Support to MPOC Secretariat program of the Peace and Order Fund of CY 2020 intends to apply the sum of Php 250,000.00, being the Approved Budget for the Contract (ABC) to payments un</t>
  </si>
  <si>
    <t xml:space="preserve"> Kindly refer to the uploaded ITB &amp; PBD in the Associated Components, or proceed to https://philguarantee.gov.ph/procurements/requests-and-invitations/2020-2/ For inquiries, please contact Atty. Ronces Anne Reyes-De Leon at 8-897-3531/ 8-890-4534 or rardel</t>
  </si>
  <si>
    <t xml:space="preserve"> Rehabilitation and improvement of slaughter house</t>
  </si>
  <si>
    <t xml:space="preserve"> The Municipal Government of Aloguinsan invites prospective bidders to bid for the project Supply and Delivery of 4 in 1 Heavy Duty Printer/ Photocopier for SEF Source of Fund: SPECIAL EDUCATION FUND ABC: Php 288,000.00 The complete schedule of activities </t>
  </si>
  <si>
    <t xml:space="preserve"> INVITATION TO APPLY FOR ELIGIBILITY AND TO BID  One (1) Lot Geotechnical Equipment   ITB No. 2020-08-008 P.R. No. 2020-07-184 1.	The Mines and Geosciences Bureau, through the General Appropriations Act (GAA) for CY 2020 intends to apply the sum correspond</t>
  </si>
  <si>
    <t xml:space="preserve"> INVITATION TO BID The Municipal Government of Nampicuan, through its Bids and Awards Committee (BAC), invites Contractors to apply for eligibility and to bid for the hereunder projects: Name of Project	                              Approved Budget of the </t>
  </si>
  <si>
    <t xml:space="preserve"> OFFICE OF THE BIDS AND AWARDS COMMITTEE INVITATION TO BID NO. 122-20 Name of Project: Procurement of Stone Tile Roofing used for Repair/ Improvement of Tourism Hub/ Waiting Area @ Brgy. Navarro, Socorro, SDN Source of Funds: Mun. 20% Development Fund The </t>
  </si>
  <si>
    <t xml:space="preserve"> CMO/CITY INFORMATION &amp; PRODUCTION DIVISION 1 UNIT Motor Vehicle (4 Wheels, Van type) for Byaheng DO30 TV Production Crew A. Engine Specification: Engine Technology - 4 cylinders, In-line type Type - 16 Valve DOHC Displacement - at least 2,755cc Maximum Ou</t>
  </si>
  <si>
    <t xml:space="preserve"> DISINFECTION AND SANI5IZATION SERVICES FOR MUNICIPAL HALL, RURAL HEALTH CENTER, ISOLATION FACILITIES AND OTHER GOVERNMENT ENTITIES INCLUDING HOUSE OF COVID 19 POSITIVE PATIENT (ONE MONTH) 1.	The Local Government Unit of Mauban through the GENERAL FUND-161</t>
  </si>
  <si>
    <t xml:space="preserve"> Municipal Government of Balud 							                               INFRA – 03- 2020 					                                                       Rehab/Improvement of Lumocab Bridge 							 			                                      Baybay, Balud, Masbate  S</t>
  </si>
  <si>
    <t xml:space="preserve"> OFFICE OF THE BIDS AND AWARDS COMMITTEE INVITATION TO BID NO. 119-20 Name of Project: Supply &amp; Installation of Signage used for Repair/ Improvement of Tourism Hub/ Waiting Area @ Brgy. Navarro, Socorro, SDN Source of Funds: Mun. 20% Development Fund The M</t>
  </si>
  <si>
    <t xml:space="preserve"> SUPPLY AND DELIVERY OF FOUR (4) UNITS MULTI-CAB</t>
  </si>
  <si>
    <t xml:space="preserve"> QTY      UNIT      DESCRIPTION 20       PCS      PRINTER  60       PCS      INK REFILL SET 275     REAMS  LONG BOND PAPER X X X X X NOTHING  FOLLOWS X X X X</t>
  </si>
  <si>
    <t xml:space="preserve"> OFFICE OF THE BIDS AND AWARDS COMMITTEE INVITATION TO BID NO. 125-20 Name of Project: Procurement of Hardware Materials used for Road Concreting of Purok 1 @ Brgy. Sta. Cruz, Socorro, SDN Source of Funds: Brgy. 20% Development Fund The Municipality of Soc</t>
  </si>
  <si>
    <t xml:space="preserve"> HRMO 1 LOT Consultancy Services to implement Organizational Assessment of the City Government of Davao - Phase 1 for its current organizational structure within a period of six (6) months. Project implementation Period is six (6) months. * The project aim</t>
  </si>
  <si>
    <t xml:space="preserve"> OFFICE OF THE BIDS AND AWARDS COMMITTEE INVITATION TO BID NO. 122-20 Name of Project: Procurement of Fuel &amp; Lubricants used for Completion of Salog-Busay Access Road @ Brgy. Salog, Socorro, SDN Source of Funds: Mun. 20% Development Fund The Municipality o</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</si>
  <si>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</si>
  <si>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10 cu. m. Collection Tank ***Please see attached electronic file for details.</t>
  </si>
  <si>
    <t xml:space="preserve"> OFFICE OF THE BIDS AND AWARDS COMMITTEE INVITATION TO BID NO. 124-20 Name of Project: Procurement of Hardware Materials used for Completion of Salog-Busay Access Road @ Brgy. Salog, Socorro, SDN Source of Funds: Mun. 20% Development Fund The Municipality </t>
  </si>
  <si>
    <t xml:space="preserve"> OFFICE OF THE BIDS AND AWARDS COMMITTEE INVITATION TO BID NO. 123-20 Name of Project: Procurement of Lumber &amp; Aggregates used for Completion of Salog-Busay Access Road @ Brgy. Salog, Socorro, SDN Source of Funds: Mun. 20% Development Fund The Municipality</t>
  </si>
  <si>
    <t xml:space="preserve"> Please see attached Bidding Documents</t>
  </si>
  <si>
    <t xml:space="preserve"> Republic of the Philippines Zamboanga Peninsula Department of Health Basilan General Hospital Isabela City, Basilan 7300                                                          INVITATION TO BID FOR                                           Procurement o</t>
  </si>
  <si>
    <t xml:space="preserve"> CENRO 192 SET/S Tires 11.00 x 20, 18 ply, Tube Type, with Inner Tube and Flaps, Lug type For Isuzu Garbage Compactor Trucks with Plate Nos. 153528, 153532, 153525, 153510, 153500, 153486, 153522, SKL-537, SKL-539, SHE-713, 153506, 153518, 153504) x 10 For</t>
  </si>
  <si>
    <t xml:space="preserve"> OFFICE OF THE BIDS AND AWARDS COMMITTEE INVITATION TO BID NO. 128-20 Name of Project: Procurement of Lumber &amp; Aggregates used for Road Concreting of Brgy. Streets @ Brgy. Rizal, Socorro, SDN Source of Funds: Brgy. 20% Development Fund The Municipality of </t>
  </si>
  <si>
    <t xml:space="preserve"> CITY COOPERATIVE DEVELOPMENT OFFICE 1 UNIT Motor Vehicle (4 wheels), Brand new, Van type, 5-Speed Manual. General Specifications: Overall Length at least 4,260 mm, Overall Width at least 1,695mm, Overall Height at least 1,895mm, Wheel Base at  least 2,350</t>
  </si>
  <si>
    <t xml:space="preserve"> VICE MAYOR'S OFFICE 1 UNIT Vehicles, Brand New Pick-up Type four (4) doors, Four Wheel Drive (4WD), Diesel Engine, Manual Transmission with Aircon, 4x2 MT with markings (City Government of Davao standard Logo &amp; Davao Life is Here), Color: Black 1 UNIT Veh</t>
  </si>
  <si>
    <t xml:space="preserve"> CID No. 20IC0081:  Concreting of Sitio Caulanghan, Brgy. Barayong FMR, Brgy. Barayong, Palo, Leyte;  ABC: P11,940,000.00; 61 CD ACTIVITY	TIME	PLACE 1.  Issuance/Downloading of       Bidding Documents	August 12 – September 1, 2020	Hard copies at BAC Secret</t>
  </si>
  <si>
    <t xml:space="preserve"> CITY ARCHIVES AND RECORDS OFFICE 1 UNIT Motor Vehicle (4-Wheels), brand new non-tilt 80A passenger  type rear body (9x9) and airconditioning system (front &amp; rear)  (single rear) chassis cab, (at least 2,999 CC) 4-cylinder, Turbo- intercooler, Common-rail </t>
  </si>
  <si>
    <t xml:space="preserve"> CITY ECONOMIC ENTERPRISE  2 UNITS VEHICLE (4-Wheels), Brand New and Latest Model, 4 x 4 Double Cabin Dropside, with Aircon 4 Engine and complete set of tools  LTO registration (Davao City Office) and GSIS Insurance, with  Three (3) years warranty on parts</t>
  </si>
  <si>
    <t xml:space="preserve"> INVITATION TO APPLY FOR ELIGIBILITY AND TO BID  One (1) Lot Information Technology   ITB No. 2020-08-011 P.R. No. 2020-06-186 1.	The Mines and Geosciences Bureau, through the General Appropriations Act (GAA) for CY 2020 intends to apply the sum correspond</t>
  </si>
  <si>
    <t xml:space="preserve"> INVITATION TO BID CONSTRUCTION OF ROAD NETWORK FOR SANITARY LANDFILL FACILITY OF LGU BULUAN, MAGUINDANAO (ITB No. 01-CW-2020)</t>
  </si>
  <si>
    <t xml:space="preserve"> VICE MAYORS OFFICE 1 UNIT Vehicles, Brand New Van Type four (4) doors, Four Wheel Drive (4WD), Diesel Engine, Manual Transmission with Aircon with markings (City Government Of Davao standard Logo &amp; Davao Life is Here), Color: Black Please see attached fil</t>
  </si>
  <si>
    <t xml:space="preserve"> SUPPLY AND DELIVERY OF ADULT THERMAL TRANSFER SNAP CLOSURE WHITE PATIENT WRISTBANDS WITH CLIP (FOR SATO) THROUGH ORDERING AGREEMENT -ORDER OF PAYMENT FOR BID DOCS WILL BE AVAILABLE AT GSD-HEAD OFFICE @ 10TH FLOOR MAKATI CITY HALL BLDG. 2. LOOK FOR MR. RED</t>
  </si>
  <si>
    <t xml:space="preserve"> Republic of the Philippines  Province of Samar  Municipality of Villareal     INVITATION TO BID    CONSTRUCTION OF LEVEL III WATER SUPPLY SYSTEM (Installation of Transmission Line from the water source in the Municipality of Calbiga, Samar to the Tapping </t>
  </si>
  <si>
    <t xml:space="preserve"> Location: Tamaoyan, Legazpi City, Albay Scope of Work: Complete construction of 3-Storey 6-Classroom School Building (Stairwall 5m width, steel casement window at rear portion, with security grilles for front jalousie windows, dry stand pipe for fire prot</t>
  </si>
  <si>
    <t xml:space="preserve"> Republic of the Philippines CITY GOVERNMENT OF ANTIPOLO Antipolo City INVITATION TO BID For the Supply &amp; Delivery of Fortified Powdered Milk Drink The City Government of Antipolo, through the General Fund intends to apply the sum of P 1,300,000.00 being t</t>
  </si>
  <si>
    <t xml:space="preserve"> OFFICE OF THE BIDS AND AWARDS COMMITTEE INVITATION TO BID NO. 127-20 Name of Project: Procurement of Hardware Materials used for Road Concreting of Brgy. Streets @ Brgy. Rizal, Socorro, SDN Source of Funds: Brgy. 20% Development Fund The Municipality of S</t>
  </si>
  <si>
    <t xml:space="preserve"> OFFICE OF THE BIDS AND AWARDS COMMITTEE INVITATION TO BID NO. 129-20 Name of Project: Procurement of Hardware Materials used for Rehabilitation of Senior Citizen's Building @ Brgy. Navarro, Socorro, SDN Source of Funds: Mun. 20% Development Fund The Munic</t>
  </si>
  <si>
    <t xml:space="preserve"> PR. No. 118-2020 (RHU) 1.	39	bottle	Amoxicillin 100mg/ml (drops), 15ml 2.	300	capsule	Amoxicillin 250mg/capsule  3.	50	bottle	Amoxicillin 250mg/5ml(syrup),  60ml 4.	500	capsule	Amoxicillin 500mg/capsule 5.	100	tablet	Betahistine 16mg/tablet   6.	50	bottle</t>
  </si>
  <si>
    <t xml:space="preserve"> Invitation to Bid for Construction of Transmitter Tower at Molino III 1.	The City Government of Bacoor, Cavite, through the APP No. GF -03-2020 intends to apply the sum of SIX MILLION PESOS AND ZERO CENTAVO(PhP6,000,000.00) being the Approved Budget for t</t>
  </si>
  <si>
    <t xml:space="preserve"> Republic of the Philippines Zamboanga Peninsula Department of Health Basilan General Hospital Isabela City, Basilan 7300 INVITATION TO BID FOR                Procurement of Supply, Delivery, Testing and Commissioning of GAS FLOW ANALYZER                  </t>
  </si>
  <si>
    <t xml:space="preserve"> CID No. 20IC0086:  Const. of One-Storey, Three Classroom School Building, Lukay Elementary School, Alangalang, Leyte;  ABC: P6,518,468.56; 111 CD ACTIVITY	TIME	PLACE 1.  Issuance/Downloading of       Bidding Documents	August 12 – September 1, 2020	Hard co</t>
  </si>
  <si>
    <t xml:space="preserve"> CENRO 1 UNIT AUTOMOTIVE GAS ANALYZER, for Gasoline fuel Emission Testing with complete set of accessories,  1 UNIT AUTOMOTIVE OPACIMETER, for Diesel fuel Emission Testing, with complete set of accessories, Please see attached file/document on associated c</t>
  </si>
  <si>
    <t xml:space="preserve"> CID No. 20IC0084:  Const. of Two-Storey, Six-Classroom School Building, San Jose Elementary School, Palo, Leyte;  ABC: P14,404,483.72; 164 CD ACTIVITY	TIME	PLACE 1.  Issuance/Downloading of       Bidding Documents	August 12 – September 1, 2020	Hard copies</t>
  </si>
  <si>
    <t xml:space="preserve"> CID No. 20IC0080:  Concreting of Brgy. Arado FMR, Brgy. Arado, Palo, Leyte;  ABC: P11,940,000.00; 66 CD ACTIVITY	TIME	PLACE 1.  Issuance/Downloading of       Bidding Documents	August 12 – September 1, 2020	Hard copies at BAC Secretariat; DPWH, Leyte 1st D</t>
  </si>
  <si>
    <t xml:space="preserve"> METRO SIQUIJOR WATER DISTRICT BIDS &amp; AWARDS COMMITTEE Siquijor, Siquijor The Metro Siquijor Water District (MSWD) through the Bids &amp; Awards Committee (BAC) will be undertaking the procurement of the hereunder project: Name of Project: Procurement of 1 uni</t>
  </si>
  <si>
    <t xml:space="preserve"> INVITATION TO APPLY FOR ELIGIBILITY AND TO BID  One (1) Lot Laboratory Equipment   ITB No. 2020-08-012 P.R. No. 2020-03-144 1.	The Mines and Geosciences Bureau, through the General Appropriations Act (GAA) for CY 2020 intends to apply the sum correspondin</t>
  </si>
  <si>
    <t xml:space="preserve"> CENRO 1 UNIT Multi-parameter Water Quality Meter	  * General Specifications:	 	• Diameter : 89mm (3.5") 	• Length w/o Battery pack : 483mm (19") 	• Weight with IBP : 4.1kg (9.0 lbs) 	• Number of Sensors : Up to 11 	• Optional Battery Pack : 8 "C" cells 	•</t>
  </si>
  <si>
    <t xml:space="preserve"> CID No. 20IC0083:  Concreting of Brgy. Katipunan-Sitio Dango, Brgy. Pitogo FMR, Brgy. Katipunan, Sta. Fe, Leyte;  ABC: P11,940,000.00; 61 CD ACTIVITY	TIME	PLACE 1.  Issuance/Downloading of       Bidding Documents	August 12 – September 1, 2020	Hard copies </t>
  </si>
  <si>
    <t xml:space="preserve"> Item			 No.	Qty	Unit	            Items/Description 1	18	cu.m	5"- 8" dia Boulders 2	12	cu.m	Graded Gravel 3/4" dia 3	18	cu.m	Washed sand 4	87	bags	Portland cement 5	24	pcs.	Ordinary Plywood 3/8" x 4" x 8' 6	160	pcs.	Coco-Lumber 2" x 2" x 8' 7	57	pcs.	Coco-</t>
  </si>
  <si>
    <t xml:space="preserve"> SANGGUNIANG PANLUNGSOD VARIOUS GROCERIES Please see attached file/document on associated components or BAC website www.davaocityportal.com (BAC posting) for the complete descriptions, terms of conditions and terms of references. Bidding will be conducted </t>
  </si>
  <si>
    <t xml:space="preserve"> CID No. 20IC0085:  Const. of One-Storey, Four-Classroom School Building, Babatngon Central School, Babatngon, Leyte;  ABC: P8,611,601.97; 123 CD ACTIVITY	TIME	PLACE 1.  Issuance/Downloading of       Bidding Documents	August 12 – September 1, 2020	Hard cop</t>
  </si>
  <si>
    <t xml:space="preserve"> PROCUREMENT OF CONSTRUCTION MATERIALS FOR CONSTRUCTION OF POBLACION SEAWALL The MUNICIPALITY OF AGUTAYA, through its Bids and Awards Committee (BAC), invites eligible suppliers/contractors to bid for the hereunder project: Project		:	 	 Requesting Office/</t>
  </si>
  <si>
    <t xml:space="preserve"> 1ST AND 2ND QUARTER MODULES: Paper: 48  - 70 gsm	  8.27" x 11.69" (A4) US Self Cover, Back to Back Printing	 Book Bind /Saddle Stitch	 Quarter 1: KINDER:  10 modules		 120  Quarter 2: KINDER: 10 Modules		 120  	 Quarter 1		 GRADE 1: Araling Panlipunan , 8</t>
  </si>
  <si>
    <t xml:space="preserve"> OFFICE: MUNICIPAL AGRICULTURE PURPOSE: CORN PRODUCTION (LGU-CORN DEMO-FARM) ABC: 720,000.00 ITEM DESCRIPTION       FERTILIZER 300 BAGS  A. 14-14-14 100 BAGS  B. UREA CORN SEEDS (HYBRID/OPV) 40 BAGS WHITE 10 BAGS YELLOW 50 HERBICIDE</t>
  </si>
  <si>
    <t xml:space="preserve"> Location: Banquerohan, Legazpi City, Albay Scope of Work: Complete Construction of modified 2-Storey 6-Classroom School Building (Concrete Slab Roof) which includes fire escape, steel casement window at rear portion with security grilles for the front jal</t>
  </si>
  <si>
    <t xml:space="preserve"> CTTMO 25	Piece/s	Chalk Stone 270	Piece/s	Glass Beads 1200	Bag/s	Thermo plastic powder, white, 25kg/bag 750	Bag/s	Thermo plastic powder, blue, 25kg/bag 750	Bag/s	Thermo plastic powder, green, 25kg/bag 		 See attached Terms and Condition for other requireme</t>
  </si>
  <si>
    <t xml:space="preserve"> Barangay Libtertad and Barangay Marber Please see attached ITB and RFQ in Associated Component Section for Specifications</t>
  </si>
  <si>
    <t xml:space="preserve"> CITY GOVERNMENT OF DAVAO 20	Box/es	Carbon Paper, Plasto Foil Type, 100's long 50	Piece/s	Envelope Expanding Plastic, LONG 5	Piece/s	Envelope Plastic With Divider 29	Bottle/s	Ink for Stamp Pad, Violet Color 475ml 362	Ream/s	Paper Book, S-20 A4 White 4938	R</t>
  </si>
  <si>
    <t xml:space="preserve"> Republic of the Philippines Province of Leyte Municipality of Hilongos INVITATION TO BID FOR THE PROCUREMENT OF DRUGS AND MEDICINES 1.  The Local Government Unit of Hilongos, through GENERAL FUND-CURRENT APPROPRIATION intends to apply the sum FOUR HUNDRED</t>
  </si>
  <si>
    <t xml:space="preserve"> Republic of the Philippines PROVINCE OF NUEVA VIZCAYA Invitation to Bid for the  CONSTRUCTION OF GAMPALANG BRIDGE Located at Besong, Kayapa, Nueva Vizcaya  1.	The Provincial Government of Nueva Vizcaya, through the PDRRMO Capital Outlay 2017 (₱2,000,000.0</t>
  </si>
  <si>
    <t xml:space="preserve"> The DPWH-Regional Office I, through its Bids and Awards Committee (BAC), invites contractors to submit bids for the following Contract: Contract ID: 20A00214 (Rebid) Contract Name: Rehabilitation of Calincamasan - Quidem Road (including construction of tw</t>
  </si>
  <si>
    <t xml:space="preserve"> Republic of the Philippines City of Canlaon OFFICE OF THE BIDS AND AWARDS COMMITTEE Invitation to Bid for the CONSTRUCTION OF EID-CENTER (BUILDING) Phase I  The City Government of Canlaon City, through BGCM, SP Res. #64, Ord. No. 26, Series of 2020 intend</t>
  </si>
  <si>
    <t xml:space="preserve"> INVITATION TO BID CONSTRUCTION OF SANITARY LANDFILL FACILITY AT BULUAN, MAGUINDANAO (ITB No. 02-CW-2020)</t>
  </si>
  <si>
    <t xml:space="preserve"> Description  The LGU-MAYANTOC, through its Bids and awards committee (BAC) invites contractors registered with and classified by the PHILGEPS to apply for the eligibility and found eligible, to bid for the here under contract: 	 NAME OF PROJECT: CONSTRUCT</t>
  </si>
  <si>
    <t xml:space="preserve"> SUPPLY AND DELIVERY OF VARIOUS TOOLS AND MATERIALS FOR DEPW  (2 LOTS) LOT 1: SUPPLY AND DELIVERY OF MATERIALS FOR SOUND SYSTEM MAINTENANCE LOT 2: SUPPLY AND DELIVERY OF VARIOUS TOOLS FOR DEPW -ORDER OF PAYMENT FOR BID DOCS WILL BE AVAILABLE AT GSD-HEAD OF</t>
  </si>
  <si>
    <t xml:space="preserve"> Republic of the Philippines PROVINCE OF NUEVA VIZCAYA Invitation to Bid for the  CONSTRUCTION OF KMH ANCILLARY BUILDING PHASE IV Located at KMH, Compound, Kasibu, Nueva Vizcaya  1.	The Provincial Government of Nueva Vizcaya, through the 2019 20% Developme</t>
  </si>
  <si>
    <t xml:space="preserve"> 1. Chlorine (70% granules, 45 kgs.) - 15 drums</t>
  </si>
  <si>
    <t xml:space="preserve"> SUPPLY AND DELIVERY PASKUHAN GIVEAWAYS 2020 FOR MAKATI RESIDENTS -ORDER OF PAYMENT FOR BID DOCS WILL BE AVAILABLE AT GSD-HEAD OFFICE @ 10TH FLOOR MAKATI CITY HALL BLDG. 2. LOOK FOR MR. REDEN VILLANUEVA. A COMPLETE SET OF BIDDING DOCUMENTS WILL BE AVAILABL</t>
  </si>
  <si>
    <t xml:space="preserve"> PRINTING SERVICES FOR VARIOUS PROJECTS OF OSSP AND MHD -ORDER OF PAYMENT FOR BID DOCS WILL BE AVAILABLE AT GSD-HEAD OFFICE @ 10TH FLOOR MAKATI CITY HALL BLDG. 2. LOOK FOR MR. REDEN VILLANUEVA. A COMPLETE SET OF BIDDING DOCUMENTS WILL BE AVAILABLE FROM DAY</t>
  </si>
  <si>
    <t xml:space="preserve"> BIDS AND AWARDS COMMITTEE OF BRGY. FIRST DISTRICT, GAINZA, CAMARINES SUR INVITES BIDDERS FOR  THE PROCUREMENT OF HARDWARE MATERIALS FOR CONCRETE SHOULDERING OF BARANGAY ROAD AS SPECIFIED IN THE ITB.</t>
  </si>
  <si>
    <t xml:space="preserve"> Republic of the Philippines PROVINCE OF AGUSAN DEL SUR Municipality of Loreto INVITATION TO BID FOR DRUGS &amp; MEDICINES FOR THE REGULAR OPERATION OF RURAL HEALTH UNIT (RHU) 1.	The Municipality of Loreto, through the GENERAL FUND intends to apply the sum of </t>
  </si>
  <si>
    <t xml:space="preserve"> SUPPLY AND DELIVERY OF LOCALLY PRODUCED MATERIALS FOR CONSTRUCTION OF POBLACION SEAWALL The MUNICIPALITY OF AGUTAYA, through its Bids and Awards Committee (BAC), invites eligible suppliers/contractors to bid for the hereunder project: Project		:	 	 Reques</t>
  </si>
  <si>
    <t xml:space="preserve"> PROJECT NO: GOODS#2000-5 PURCHASE OF VARIOUS MEDICAL EQUIPMENT FOR LABORATORY AND LYING-IN CLINIC, CARIDAD, CAVITE CITY, BARANGAY #39 Item# Quantity Unit  Description 1	1	UNIT	FULLY AUTOMATED BLOOD CHEMISTRY ANALYZER		 2	1	UNIT	PART AUTO HEMATOLOGY ANALYZ</t>
  </si>
  <si>
    <t xml:space="preserve"> Location: Solong, Camalig, Albay Scope of Work: Complete construction of 3-Storey 9-Classroom School Building (Stairwall 5m width on both sides) , fully painted, on slab roof with waterproofing, steel casement window at rear portion, with security grilles</t>
  </si>
  <si>
    <t xml:space="preserve"> Concreting of 1,304.00 l.m. gravel road (5m width; 0.20m thk.) with aggregate sub-base course, 0.20m thk., and slope protection @ selected sections</t>
  </si>
  <si>
    <t xml:space="preserve"> HAULING OF FILLING MATERIALS 285.50 CU.M.   FILLING MATERIALS</t>
  </si>
  <si>
    <t xml:space="preserve"> Concreting of 772 l.m. gravel road 5m width and shoulder 0.5m width, 0.20m thk. with aggregate sub-base course 0.20m thk., drainage canal at designated sections, slope protection at designated sections</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</si>
  <si>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</si>
  <si>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Description  The LGU-MAYANTOC, through its Bids and awards committee (BAC) invites contractors registered with and classified by the PHILGEPS to apply for the eligibility and found eligible, to bid for the here under contract: 	 NAME OF PROJECT:PURCHASE A</t>
  </si>
  <si>
    <t xml:space="preserve"> Invitation to Bid for the Procurement of Two (2) Units Multicab for the Use of the LGU, Tagudin, Ilocos Sur 1.	The Local Government Unit of Tagudin, Ilocos Sur, thru its Bids and Awards Committee intends to apply the sum of Eight Hundred Thousand Pesos (P</t>
  </si>
  <si>
    <t xml:space="preserve"> SUPPLY AND DELIVERY OF LOCALLY PRODUCED MATERIALS FOR CCOMPLETION OF DRRM BUILDING The MUNICIPALITY OF AGUTAYA, through its Bids and Awards Committee (BAC), invites eligible suppliers/contractors to bid for the hereunder project: Project		:	 	 Requesting </t>
  </si>
  <si>
    <t xml:space="preserve"> Item No.	Unit	Item Description				Qty	Unit Cost	Total Cost 1	unit	PATIENT TRANSPORT VEHICLE (PTV), 2020 Model				 1 		2,000,000.00 		Specifications:						 		ENGINE:						 		    Type: 2.8 liter, Diesel Engine, Inline 4 Cylinder 16 Valve DOHC						 		    Ma</t>
  </si>
  <si>
    <t xml:space="preserve"> Republic of the Philippines Province of Misamis Occidental MUNICIPALITY OF CALAMBA BARANGAY SILOY INVITATION TO BID FOR PURCHASE OF MATERIALS FOR THE IMPROVEMENT OF MULTI-PURPOSE EVACUATION CENTER 	August 13, 2020 1.	The Barangay Siloy  of Calamba, Misami</t>
  </si>
  <si>
    <t xml:space="preserve"> *Download attachment Prospective bidders should have completed a similar contract with a value of at least 50% of the ABC. The BAC will use non-discretionary pass/fail criteria in the eligibility check/screening as well as the preliminary examination of b</t>
  </si>
  <si>
    <t xml:space="preserve"> INVITATION TO APPLY FOR ELIGIBILITY AND TO BID  One (1) Lot Provision of Firewall Protection   ITB No. 2020-08-009 P.R. No. 2020-03-156 1.	The Mines and Geosciences Bureau, through the General Appropriations Act (GAA) for CY 2020 intends to apply the sum </t>
  </si>
  <si>
    <t xml:space="preserve"> Republic of the Philippines PROVINCE OF NUEVA VIZCAYA Invitation to Bid for the  CONSTRUCTION OF COVERED PATHWAY FROM MAIN BUILDING TO ANCILLARY BUILDING (KMH) Located at KMH, Compound, Kasibu, Nueva Vizcaya  1.	The Provincial Government of Nueva Vizcaya,</t>
  </si>
  <si>
    <t xml:space="preserve"> Purchase and Installation of Weigh-in-Motion (WIM) Axle Weigher</t>
  </si>
  <si>
    <t xml:space="preserve"> BONDPAPER A4 (80 GSM)	 	 	 INVITATION TO BID Procurement of Supply and Delivery of Bondpaper A4 (80 GSM)  CY 2020 1.	The DepED-Division of Iligan City, through the Sub-Allotment Release Order No. OSEC-10-20-0845 intends to apply the sum of Php2,200,500.00</t>
  </si>
  <si>
    <t xml:space="preserve"> Republic of the Philippines Province of Leyte Municipality of Palo INVITATION TO BID FOR  Supply/Delivery of Laptop and Printer Units for the Virtual Learning Program of the District II of Palo, Leyte  Purchase Request No. 20-07-0421 1.	The Municipality o</t>
  </si>
  <si>
    <t xml:space="preserve"> The Local Government Unit of General Santos City, through the GENERAL FUND CY 2020 intends to apply the sum of three million and xx / 100 Pesos Only (3,000,000.00) being the Approved Budget for the Contract (ABC) to payments under the contract for 20CB-GS</t>
  </si>
  <si>
    <t xml:space="preserve"> SUPPLY AND DELIVERY OF PLASMA STERILIZER -ORDER OF PAYMENT FOR BID DOCS WILL BE AVAILABLE AT GSD-HEAD OFFICE @ 10TH FLOOR MAKATI CITY HALL BLDG. 2. LOOK FOR MR. REDEN VILLANUEVA. A COMPLETE SET OF BIDDING DOCUMENTS WILL BE AVAILABLE FROM DAY OF POSTING/PU</t>
  </si>
  <si>
    <t xml:space="preserve"> Procurement and Delivery of One (1) unit 4x4 G 2.8L Diesel Manual Transmission Pick-Up Location: PNP-Balingasag, Barangay 6 Poblacion, Balingasag Misamis Oriental</t>
  </si>
  <si>
    <t xml:space="preserve"> PROJECT: IMPROVEMENT OF COVERED COURT LOCATION: BARANGAY SAN FRANCISCO APPROVED BUDGET FOR THE CONTRACT: PHP 74,910.00 SOURCE OF FUND: 10% SK FUND The contract to be performed by the successful bidder shall be specified in the Technical Quotation Form of </t>
  </si>
  <si>
    <t xml:space="preserve"> Republic of the Philippines PROVINCE OF NUEVA VIZCAYA Invitation to Bid for the  IMPROVEMENT OF UDDIAWAN-COMMONAL-ABLANG-CABULUAN-NAGBITIN ROAD Located at Solano and Villavede, Nueva Vizcaya  1.	The Provincial Government of Nueva Vizcaya, through the 2020</t>
  </si>
  <si>
    <t xml:space="preserve"> SUPPLY AND DELIVERY OF TWO (2) UNITS OF DIGITAL LEUKOCYTE DIFFERENTIAL COUNTER -ORDER OF PAYMENT FOR BID DOCS WILL BE AVAILABLE AT GSD-HEAD OFFICE @ 10TH FLOOR MAKATI CITY HALL BLDG. 2. LOOK FOR MR. REDEN VILLANUEVA. A COMPLETE SET OF BIDDING DOCUMENTS WI</t>
  </si>
  <si>
    <t xml:space="preserve"> Republic of the Philippines Province of Leyte Municipality of Palo INVITATION TO BID FOR  Supply/Delivery of Appliances for the Virtual Learning Program of the District II of Palo, Leyte  Purchase Request No. 20-07-0427 1.	The Municipality of Palo, throug</t>
  </si>
  <si>
    <t xml:space="preserve"> Description   INVITATION TO BID Republic of the Philippines Province of Antique Municipality of Anini-y Barangay Salvacion, Anini-y Antique BIDS &amp; AWARDS COMMITTEE INVITATION TO BID FOR PROCUREMENT OF VARIOUS MATERIALS The BLGU, Salvacion, Anini-y, Antiqu</t>
  </si>
  <si>
    <t xml:space="preserve"> INVITATION TO APPLY FOR ELIGIBILITY AND TO BID  One (1) Lot Geotechnical Equipment   ITB No. 2020-08-014 P.R. No. 2020-02-134 1.	The Mines and Geosciences Bureau, through the General Appropriations Act (GAA) for CY 2020 intends to apply the sum correspond</t>
  </si>
  <si>
    <t xml:space="preserve"> INVITATION TO BID Bid No. B-127-2020 (*REBIDDING)  1.	The Provincial Government of Negros Oriental now invites bids for the  rebidding of the following requirements, viz: 	Project Name:	Source of Fund:	ABC: Project Name 1	Three (3) Lots Construction Mater</t>
  </si>
  <si>
    <t xml:space="preserve"> SUPPLY AND DELIVERY OF LABORATORY SUPPLIES (ACID FAST BACILLI (AFB) STRAIN) -ORDER OF PAYMENT FOR BID DOCS WILL BE AVAILABLE AT GSD-HEAD OFFICE @ 10TH FLOOR MAKATI CITY HALL BLDG. 2. LOOK FOR MR. REDEN VILLANUEVA. A COMPLETE SET OF BIDDING DOCUMENTS WILL </t>
  </si>
  <si>
    <t xml:space="preserve"> SUPPLY AND DELIVERY OF FUEL AND LUBRICANTS FOR CONSTRUCTION OF POBLACION SEAWALL The MUNICIPALITY OF AGUTAYA, through its Bids and Awards Committee (BAC), invites eligible suppliers/contractors to bid for the hereunder project: Project		:	 	 Requesting Of</t>
  </si>
  <si>
    <t xml:space="preserve"> Construction of Local Road at Rizal Street, Brgy. Poblacion, Merida, Leyte</t>
  </si>
  <si>
    <t xml:space="preserve"> Feeding Program</t>
  </si>
  <si>
    <t xml:space="preserve"> Republika ng Pilipinas PAMAHALAANG LUNGSOD NG TACLOBAN (City Government of Tacloban) Kanhuraw Hill, Tacloban City 6500 BIDS AND AWARDS COMMITTEE INVITATION TO BID  REF #051-08-2020 (AUGUST 13, 2020) PR# 2020-808 DATED 07-10-2020 PR# 2020-862 DATED 07-21-2</t>
  </si>
  <si>
    <t xml:space="preserve"> 1. Value Pack Sinigang vegetable Seeds (6 in 1) Radish, Pole Sitaw, Tomato, Kangkong, Okra, Pechay 2. Value Pack Pinakbet Vegetable Seeds (6 in 1) Ampalaya, Squash, Okra, Pole Sitao, Eggplant &amp; Tomato</t>
  </si>
  <si>
    <t xml:space="preserve"> SUPPLY AND DELIVERY OF TRAINING MICROSCOPE -ORDER OF PAYMENT FOR BID DOCS WILL BE AVAILABLE AT GSD-HEAD OFFICE @ 10TH FLOOR MAKATI CITY HALL BLDG. 2. LOOK FOR MR. REDEN VILLANUEVA. A COMPLETE SET OF BIDDING DOCUMENTS WILL BE AVAILABLE FROM DAY OF POSTING/</t>
  </si>
  <si>
    <t xml:space="preserve"> Construction of Bakneb rivercave multi-purpose building with hauling</t>
  </si>
  <si>
    <t xml:space="preserve"> SUPPLY AND DELIVERY OF CORNEAL DIAGNOSTIC CAMERA SYSTEM -ORDER OF PAYMENT FOR BID DOCS WILL BE AVAILABLE AT GSD-HEAD OFFICE @ 10TH FLOOR MAKATI CITY HALL BLDG. 2. LOOK FOR MR. REDEN VILLANUEVA. A COMPLETE SET OF BIDDING DOCUMENTS WILL BE AVAILABLE FROM DA</t>
  </si>
  <si>
    <t xml:space="preserve"> Invitation to Bid for the Contract Package for the Continuation of the Rehabilitation of Tagudin Farmers’ Civic Center (Phase II), Barangay Magsaysay, Tagudin, Ilocos Sur 1.	The Local Government Unit of Tagudin, Ilocos Sur, thru its Bids and Awards Commit</t>
  </si>
  <si>
    <t xml:space="preserve"> INVITATION TO BID The Department of Public Works and Highways - Pampanga 1st District Engineering Office, through its Bids and Awards Committee (BAC), invites contractors to submit bids for the following Contract: 1.	 Procurement ID/Contract ID	:	20CG0268</t>
  </si>
  <si>
    <t xml:space="preserve"> Republic of the Philippines Province of Camarines Sur MUNICIPALITY OF PAMPLONA BIDS AND AWARDS COMMITTEE INVITATION TO BID  FOR  Purchase of Emergency Transport Vehicle (DOH-Compliant Ambulance) 1.	Local Government of Pamplona, Camarines Sur through the L</t>
  </si>
  <si>
    <t xml:space="preserve"> See attached TOR</t>
  </si>
  <si>
    <t xml:space="preserve"> Department of Education Region VI-Western Visayas Division of Cadiz City Mabini National High School INVITATION TO BID FOR THE PROCUREMENT VARIOUS - MNHS 2020 1.	The Mabini National High School  of Cadiz City, through the Schools MOOE Fund CY 2020  intend</t>
  </si>
  <si>
    <t xml:space="preserve"> INVITATION TO BID 1.	The Provincial Government of Misamis Oriental, through the Bids and Awards Committee, hereby invites all interested Philgeps registered contractors to submit bids for infrastructure projects stated below. Project Title	Proposed Road I</t>
  </si>
  <si>
    <t xml:space="preserve"> Item No. 	Item Description					QTY.	Unit	Unit Price	Total Price 1	Firetruck:					2	units		 	Specifications:								 	Surplus Reconditioned								 	wheels: 10 wheelers								 	Tire: 10x20								 	with brand new tires								 	spare tires								 	with b</t>
  </si>
  <si>
    <t xml:space="preserve"> SUPPLY AND DELIVERY OF MEDICAL SUPPLIES FOR DAILY AND EMERGENCY OPERATIONS OF OSPITAL NG MAKATI (AUTOMATIC DOCUMENTATION SYSTEM LABEL FOR FORMALDEHYDE PROCESS - INK CARTRIDGE FOR AUTOMATIC DOCUMENTATION SYSTEM) -ORDER OF PAYMENT FOR BID DOCS WILL BE AVAIL</t>
  </si>
  <si>
    <t xml:space="preserve"> Tires for Municipal Vehicle (Hammer CDK 6062)</t>
  </si>
  <si>
    <t xml:space="preserve"> Item			 No.	Qty	Unit	            Items/Description 1	150	pcs.	2" x 2" x 10' Coco Lumber 2	2	clips	#80 Nylon String 3	8	kgs.	4"CWN 4	2	kgs.	2-1/2" Cwn 5	389	bags	Portland Cement 6	38	cu.m.	Graded Gravel 7	21	cu.m.	Washed Sand 8	395	pcs.	10mm dia. X6m RSB 9</t>
  </si>
  <si>
    <t xml:space="preserve"> PROCUREMENT OF DISASTER SUPPLIES (MEDICAL AND MEDICINES) The MUNICIPALITY OF AGUTAYA, through its Bids and Awards Committee (BAC), invites eligible suppliers/contractors to bid for the hereunder project: Project		:	 	 Requesting Office/End-user	:	MUNICIPA</t>
  </si>
  <si>
    <t xml:space="preserve"> INVITATION TO BID FOR THE SUPPLY AND DELIVERY OF SUPPLIES, MATERIALS AND EQUIPMENT TO BE USED AT THE NEW LADIES’ DORM &amp; PSAU HOSTEL PB-2020-164-022 1. The Pampanga State Agricultural University, through Fund 184, intends to apply the sum of P1,239,075.00 </t>
  </si>
  <si>
    <t xml:space="preserve"> Information and Communication Technology  Equipment</t>
  </si>
  <si>
    <t xml:space="preserve"> PROCUREMENT OF MEDICINES , MED. EQUIPMENT AND  SUPPLIES The MUNICIPALITY OF AGUTAYA, through its Bids and Awards Committee (BAC), invites eligible suppliers/contractors to bid for the hereunder project: Project		:	 	 Requesting Office/End-user	:	MUNICIPAL</t>
  </si>
  <si>
    <t xml:space="preserve"> Standard Form Number: SF-GOOD-05 Revised on: July 28, 2004 INVITATION TO APPLY FOR ELIGIBILITY AND TO BID ITB No. 0820-118 The LGU-TUBURAN, through its Bids and Awards Committee (BAC), invites suppliers/manufacturers/distributors to apply for eligibility </t>
  </si>
  <si>
    <t xml:space="preserve"> I.   SAND AND GRAVEL         -      307.50    CU.M.</t>
  </si>
  <si>
    <t xml:space="preserve"> Engine with Transmission, 4 cylinder, rotary injection pump, diesel for coaster</t>
  </si>
  <si>
    <t xml:space="preserve"> Republic of the Philippines Province of South Cotabato BIDS AND AWARDS COMMITTEE City of Koronadal  INF-ITB 20-041 INVITATION TO BID  1.	The Provincial Government of South Cotabato, through the PEO-8751 20% LDF (8.3.2) and PEO-8751 (Add.l OBR) 20% LDF (8.</t>
  </si>
  <si>
    <t xml:space="preserve"> The Bids &amp; Awards Committee (BAC) of Barangay Langtad, Argao, Cebu, invites all interested suppliers/manufacturers/distributors/contractors/consultants to apply for eligibility and to submit bids for the following: ITEMS: 270 bag/s Portland Cement 40kg 15</t>
  </si>
  <si>
    <t xml:space="preserve"> 1	The Municipality of Pola, Province of Oriental Mindoro through its  Genera Fund (20% MDF) intends to apply the sum of Five Million Nine Hundred Ninety-Nine Thousand   Nine Hundred Fifty-Five pesos and 20/100 only (Php5,999,955.20) being the Approved Bud</t>
  </si>
  <si>
    <t xml:space="preserve"> Republic of the Philippines Province of Quezon MUNICIPALITY OF POLILLO ***** INVITATION TO BID FOR: CONSTRUCTION OF ANNEX BUILDING PHASE V BRGY. POBLACION POLILLO, QUEZON 1.	The Municipality of Polillo through the Supplemental Budget No. 1-2020 intends to</t>
  </si>
  <si>
    <t xml:space="preserve"> The Department of Public Works and Highways-Regional Office I, through its Bids and Awards Committee (BAC) for Goods, invites suppliers to submit bids for the following Contract: Contract ID: 20GA00003 Contract Name: Procurement of Axle Load Survey Equipm</t>
  </si>
  <si>
    <t xml:space="preserve"> Container Van, 20ft x 8ft x 8.5ft - 2 units</t>
  </si>
  <si>
    <t xml:space="preserve"> Republic of the Philippines Province of Misamis Oriental Municipality of Lugait -oOo- INVITATION TO BID FOR THE CONCRETING OF 360.0 L.M. FARM TO MARKET ROAD AT SITIO LINABO, BARANGAY AYA-AYA MUNICIPALITY OF LUGAIT, MISAMIS ORIENTAL The Municipality of Lug</t>
  </si>
  <si>
    <t xml:space="preserve"> PURCHASE OF BOOKS</t>
  </si>
  <si>
    <t xml:space="preserve"> PR. No. 123-2020 (LDRRMO) 1.	20	set	PPE kits (cover-all suit, safety goggles, 			KN95 Mask, Medical gloves, shoe cover, head cover) 2.	17	box	Surgical Mask (N88) 3.	20	box	Alcohol Prep Swabs (100 x box) 4.	20	box	Providone Prep Swabs (100 x box)  5.	1	pc	</t>
  </si>
  <si>
    <t xml:space="preserve"> Standard Form Number: SF-GOOD-05 Revised on: July 28, 2004 INVITATION TO APPLY FOR ELIGIBILITY AND TO BID ITB No. 0820-119 The LGU-TUBURAN, through its Bids and Awards Committee (BAC), invites suppliers/manufacturers/distributors to apply for eligibility </t>
  </si>
  <si>
    <t xml:space="preserve"> 1	Common Borrow			639	cu.m. 2	Aggregate Sub-Base Course(River Sourced)			513	cu.m. 3	Boga			85	cu.m. 4	Crushed Rock G-1			171	cu.m. 5	Portland Cement 			1832	bags 6	Gravel			183	cu.m. 7	Sand			92	cu.m. 8	RSB 16mmx6m			95	pcs 9	Round Bar 16mmx6m			40	pcs 1</t>
  </si>
  <si>
    <t xml:space="preserve"> PURCHASE OF OFFICE SUPPLIES AND MATERIALS</t>
  </si>
  <si>
    <t xml:space="preserve"> Engine : 150cc Tyre : 4.5-12 Exchange front absorber Carriage : 1.1m x 1.6m Engine type : 1 cylinder, 4 stroke Starting System : electric/kick Clutch method : manual hand Fueltank type : 17L/ gasoline Tranmission system  : shaft drive Lgnition system : CD</t>
  </si>
  <si>
    <t xml:space="preserve"> PURCHASE OF ADDITIONAL CCTV</t>
  </si>
  <si>
    <t xml:space="preserve"> INVITATION TO BID FOR THE UPGRADING OF THE PSAU TAMARIND RDE CENTER FACILITIES PB-2020-184-013 1. The Pampanga State Agricultural University, through Fund 184, intends to apply the sum of P3,654,945.25 being the Approved Budget for the Contract (ABC) to p</t>
  </si>
  <si>
    <t xml:space="preserve"> 20M00191 - Completion/Rehabilitation of MPB covered court</t>
  </si>
  <si>
    <t xml:space="preserve"> Construction/ Repair/ Rehabilitation/ Improvement of Various Infrastructure Including Local Projects - Rehabilitation of Multi-Purpose Building (Day Care Center for Health, Nutrition and Sanitation Office and Evacuation Center), Baguio City Contract Locat</t>
  </si>
  <si>
    <t xml:space="preserve"> Republic of the Philippines Province of Southern Leyte MUNICIPALITY OF LIMASAWA -o0o- Bids and Awards Committee Invitation to Bid for the Supply of Materials for the Improvement of Limasawa Water System  Triana, Limasawa, Southern Leyte 1.	The Local Gover</t>
  </si>
  <si>
    <t xml:space="preserve"> Republic of the Philippines PROVINCE OF ZAMBOANGA SIBUGAY Municipality of Roseller T. Lim    INVITATION TO BID 						Aug. 12, 2020 	 To All Interested Bidders: Notice is hereby served that sealed bid be received for public bidding under the harmonious pro</t>
  </si>
  <si>
    <t xml:space="preserve"> Construction/ Upgrading/ Rehabilitation of Drainage along National Roads - Secondary Roads - Session Road # 2 K0251+746 - K0252+028 Contract Location :	Baguio City Approved Budget for the Contract :	Php5,488,000.00 Scope of  work  :	Construction/ Upgradin</t>
  </si>
  <si>
    <t xml:space="preserve"> Construction of Farm to Market Road</t>
  </si>
  <si>
    <t xml:space="preserve"> 1. 1 unit MOTORCYCLE Specification:  ENGINE:150 cc Max Power                 4 stroke single POWER: 11HP, Fuel tank capacity (liters) STARTING SYSTEM: kick and Electrical Starter  FUEL SYSTEM: Carburator  IGNITION SYSTEM: DC CDI COOLING SYTEM: 57.30mmx57.</t>
  </si>
  <si>
    <t xml:space="preserve"> PURCHASE OF SUPPLIES &amp; MATERIALS FOR CLEAN &amp; GREEN POJECT</t>
  </si>
  <si>
    <t xml:space="preserve"> 12v/18w Solar Panel Polycrystalline Watts Solar LED Steetlights 100pcs SMT LED Bulb 6.4 V 20000 mah 1Life P04 Battery G,I Pipe, 2”,s=40x6m Steel Plates and Brackets plate ¼”x8” 8””with Bolts, nuts and washers Paint, Red Oxide Paint enamel white Paint Thin</t>
  </si>
  <si>
    <t xml:space="preserve"> Civil works that includes concrete work</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</si>
  <si>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</si>
  <si>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Supply and Delivery of Desktop Computer, Laptop, and Printers</t>
  </si>
  <si>
    <t xml:space="preserve"> 1	Common Borrow			416	cu.m. 2	Aggregate Sub-Base Course(River Sourced)			127	cu.m. 3	Boga			48	cu.m. 4	Crushed Rock G-1			97	cu.m. 5	Portland Cement 			1107	bags 6	Gravel			111	cu.m. 7	Sand			55	cu.m. 8	RSB 16mmx6m			38	pcs 9	Round Bar 16mmx6m			10	pcs 10</t>
  </si>
  <si>
    <t xml:space="preserve"> Civil works that include concrete work</t>
  </si>
  <si>
    <t xml:space="preserve"> Concreting of San Pedro St, Concreting of Sta. Teresa and Nebrada Street Please see attached ITB and RFQ in Associated Component Section for Specifications</t>
  </si>
  <si>
    <t xml:space="preserve"> CLARK DEVELOPMENT CORPORATION CLARK FREEPORT ZONE NOTICE TO CONDUCT NEGOTIATED PROCUREMENT ELEVATOR AT CLARK MUSEUM (CIVIL WORKS) The Clark Development Corporation (CDC), through the CDC Corporate Budget for CY 2020, intends to apply the sum of Two Millio</t>
  </si>
  <si>
    <t xml:space="preserve"> 1	Aggregate Sub-Base Course(River Sourced)			1538	cu.m. 2	Wheel Borrow			11	pcs 3	Shovel			20	pcs</t>
  </si>
  <si>
    <t xml:space="preserve"> RELIEF GOODS (GROCERY ITEMS)</t>
  </si>
  <si>
    <t xml:space="preserve"> Republic of the Philippines MUNICIPALITY OF AGONCILLO Province of Batangas Tel. No. 043-210-2344/043-210-2117 BARANGAY POBLACION INVITATION TO BID The LGU – Poblacion, through its Bids and Awards Committee (BAC), invites suppliers/manufacturers/distributo</t>
  </si>
  <si>
    <t xml:space="preserve"> Security Services Prospective Bidders must have completed a contract similar to the project with the amount of at least 50% of the ABC. Bidding will be conducted through open competitive bidding procedures using a non-discretionary “pass/fail” criterion a</t>
  </si>
  <si>
    <t xml:space="preserve"> PURCHASE OF ADDITIONAL PUBLIC ADDRESS</t>
  </si>
  <si>
    <t xml:space="preserve"> INVITATION TO REBID Procurement of Works for the Electrification/Modernization of Electrical Systems On-Grid School CY 2020 at Dalipuga National High School 1.	The DepED-Division of Iligan City, through its Bids and Awards Committee intends to apply the s</t>
  </si>
  <si>
    <t xml:space="preserve"> 200 BOXES AMLODIPINE 10MG TABLET 100/BOX 200 BOXES LOSARTAN 100MG TABLET 100/BOX 200 BOT. AMOXICILLIN 100MG/ML DROPS 300 BOT. AMOXICILLIN 250/5ML SUSPENSION 50 BOX AMOXICILLIN 500MG CAPSULE 100/BOX 30 BOXES BIPERIDEN 2MG TABLET 100/BOX 30 BOXES CHLORPROMA</t>
  </si>
  <si>
    <t xml:space="preserve"> Medical/Laboratory Supplies</t>
  </si>
  <si>
    <t xml:space="preserve"> 50 BAGS HYDRIDE LIME 2 BAS 14-14-14 2 BAGS 46-0-0 40 BAGS FISH FEED STARTER 75  BAGS FISH FEED GROWER 50 BAGS FISH FEED FINISHER</t>
  </si>
  <si>
    <t xml:space="preserve"> OFFICE OF THE BIDS AND AWARDS COMMITTEE INVITATION TO BID NO. 129-20 Name of Project: Procurement of Lumber &amp; Aggregates used for Rehabilitation of Senior Citizen's Building @ Brgy. Navarro, Socorro, SDN Source of Funds: Mun. 20% Development Fund The Muni</t>
  </si>
  <si>
    <t xml:space="preserve"> CONSTRUCTION OF MATERIAL RECOVERY FACILITIES</t>
  </si>
  <si>
    <t xml:space="preserve"> Supply and Delivery of Agricultural Materials and Supplies for Organic and Cut flower Farming @ Kayapa Nueva Vizcaya</t>
  </si>
  <si>
    <t xml:space="preserve"> 20M00192 - Completion/Rehabilitation of MPB</t>
  </si>
  <si>
    <t xml:space="preserve"> Invitation to Bid for REPAIR &amp; IMPROVEMENT OF SI-FLUME TALAKAG IP CONTRACT REF. NO.: CW-BUK-RESTO-NIS-TALAKAG IP-2020 The NIA – Bukidnon Irrigation Management Office, Region 10, through its Bids and Awards Committee (BAC), intends to apply the sum of Two </t>
  </si>
  <si>
    <t xml:space="preserve"> Procurement of Construction Materials (MEEDO)</t>
  </si>
  <si>
    <t xml:space="preserve"> Portable Toilet, Portalet Fixed 227L waste tank, Made of HDPE, With urinal, ventillation pipe, tissue holder, size 1.15mx1.15m x 2.3m with toilet seat and cover, door lock with indicator</t>
  </si>
  <si>
    <t xml:space="preserve"> The Department of Public Works and Highways-Regional Office I, through its Bids and Awards Committee (BAC) for Goods, invites suppliers to submit bids for the following Contract: Contract ID: 20GA00004 Contract Name: Supply, Delivery and Installation of A</t>
  </si>
  <si>
    <t xml:space="preserve"> I.    SAND AND GRAVEL     -     240.00    CU.M.</t>
  </si>
  <si>
    <t xml:space="preserve"> Republic of the Philippines PROVINCIAL GOVERNMENT OF EASTERN SAMAR Capitol Building, Borongan, Eastern Samar, 6800 Tel No. (055)-560-8312 E-mail Address: esamar.bac@gmail.com BIDS AND AWARDS COMMITTEE (BAC) INVITATION TO BID FOR IMPROVEMENT OF LEGISLATIVE</t>
  </si>
  <si>
    <t xml:space="preserve"> Republic of the Philippinesu                   Department of Health	       CENTRAL OFFICE BIDS AND AWARDS COMMITTEE  INVITATION TO BID FOR  PROCUREMENT FOR 55” SMART LED TV IB NO. 2020-236 1.	The Department of Health (DOH), through the General Appropriati</t>
  </si>
  <si>
    <t xml:space="preserve"> Republic of the Philippines Province of South Cotabato BIDS AND AWARDS COMMITTEE City of Koronadal  INF-ITB 20-042 INVITATION TO BID  1.	The Provincial Government of South Cotabato, through the PEO-8751-P/P-CMGP-MOOE-5-02-13-030 #4 – R&amp;M-Infra.Assets inte</t>
  </si>
  <si>
    <t xml:space="preserve"> Republicof the Philippines PROVINCEOFAGUSAN DEL SUR Municipality of San Luis Barangay Santiago Invitation to Bid SUPPLY AND DELIVERY OF HARDWARE MATERIALS FOR THE INSTALLATION OF POTABLE WATER SYSTEM 1. The Barangay government of Santiago, San Luis, Agusa</t>
  </si>
  <si>
    <t xml:space="preserve"> 2392 pcs ABC My practice Book (writing 1420 pcs and Mga Alamat 972 pcs. With guide questions which are complementary in the ECCD domains. 2500 pcs ECCD Checklist 120 pcs Big Story Books (Colored and big pictures) 12 sets Bible Story Book (My Bible Friend)</t>
  </si>
  <si>
    <t xml:space="preserve"> Materials (Hardware/ Construction)</t>
  </si>
  <si>
    <t xml:space="preserve"> INVITATION TO BID Supply and Delivery of Seventeen (17) units Palay Seed Cleaner for Implementation  under 2020 Rice Program 1.	The Department of Agriculture Regional Field Office No. 5, through the General Appropriations Act (GAA) for CY 2020-Rice intend</t>
  </si>
  <si>
    <t xml:space="preserve"> Republic of the Philippines PROVINCE OF NUEVA VIZCAYA Invitation to Bid for the  CONSTRUCTION OF WATCHER’S LOUNGE (PHASE II)(NVPH) Located at Bambang, Nueva Vizcaya  1.	The Provincial Government of Nueva Vizcaya, through the Appropriation Ordinance No. 20</t>
  </si>
  <si>
    <t xml:space="preserve"> Republic of the Philippines Province of Nueva Vizcaya MUNICIPALITY OF VILLAVERDE -o0o- Invitation to Bid for the IMPROVEMENT OF VARIOUS BARANGAY ROADS Location: Villaverde, Nueva Vizcaya 1.	The LGU VILLAVERDE, through the 20% MLGU Development Fund intends</t>
  </si>
  <si>
    <t xml:space="preserve"> INVITATION TO APPLY FOR ELIGIBILITY AND TO BID  One (1) Lot Information Technology   ITB No. 2020-08-013 P.R. No. 2020-02-094 1.	The Mines and Geosciences Bureau, through the General Appropriations Act (GAA) for CY 2020 intends to apply the sum correspond</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</si>
  <si>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</si>
  <si>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1.	The Local Government Unit of Tuao, Cagayan  through Special Education Fund  intends to  apply the sum of  Php 921,349.42   being the Approved Budget for the Contract (ABC) to payments under the contract for ACQUISITION OF DIGITAL DESKTOP HIGH SPEED DUP</t>
  </si>
  <si>
    <t xml:space="preserve"> SEE PROGRAM OF WORKS FOR DETAILS</t>
  </si>
  <si>
    <t xml:space="preserve"> The Local Government Unit – Quinapondan, Eastern Samar, through its Bids &amp; Awards Committee (BAC ), intends to apply the sum of Nine Hundred Ninety Nine Thousand Eighty Four Pesos and and 84/100 (Php999,084.84) under the approved Appropriation Ordinance o</t>
  </si>
  <si>
    <t xml:space="preserve"> Republic of the Philippines Province of Nueva Vizcaya MUNICIPALITY OF VILLAVERDE -o0o- Invitation to Bid for the INSTALLATION OF SOLAR STREET LIGHTS Location: Villaverde, Nueva Vizcaya 1.	The LGU VILLAVERDE, through the 20% MLGU Development Fund intends t</t>
  </si>
  <si>
    <t xml:space="preserve"> INVITATION TO BID    SUPPLY AND DELIVERY OF TONERS, IMAGING AND  PHOTOCONDUCTOR KIT FOR MULTIFUNCTION  (COPIER, SCANNER, PRINTER) MACHINE AND LASER PRINTERS  OF BIR-RR NO. 9B LAQUEMAR, SAN PABLO CITY     1. The Bureau of Internal Revenue (BIR), Revenue Re</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</si>
  <si>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</si>
  <si>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Package 030- as stated in ITB 2020-030, CRN 030-2020 [Procurement of Construction Materials ]</t>
  </si>
  <si>
    <t xml:space="preserve"> Section I. Invitation to Re-Bid Republic of the Philippines Province of Romblon INVITATION TO BID FOR  Rehabilitation of Drainage System and Pavement along Capitol Area, Brgy. Capaclan, Romblon, Romblon. August 13, 2020 1.	The Provincial Government of Rom</t>
  </si>
  <si>
    <t xml:space="preserve"> The Visayas State University through its Bids and Awards Committee (BAC), invites suppliers/manufacturers/distributors to apply for eligibility and to bid for the hereunder project: Name of Project 	:  Supply and Installation of 150Mbps Leased Line (GOODS</t>
  </si>
  <si>
    <t xml:space="preserve"> PROCUREMENT OF CONSTRUCTION MATERIALS FOR COMPLETION OF DRRM BUILDING The MUNICIPALITY OF AGUTAYA, through its Bids and Awards Committee (BAC), invites eligible suppliers/contractors to bid for the hereunder project: Project		:	 	 Requesting Office/End-us</t>
  </si>
  <si>
    <t xml:space="preserve"> INVITATION TO BID SUPPLY AND DELIVERY OF 25 UNITS BRAND NEW TRACTORS (120HP) FOR THE  SUGAR REGULATORY ADMINISTRATION (SRA) Bid Reference No. GPG-B1-2020-358 3rd Rebid (Previous Bid Ref. No. GPG-B1-2019-202, GPG-B1-2019-404 Rebid and GPG-B1-2019-509 2nd R</t>
  </si>
  <si>
    <t xml:space="preserve"> 1.	The Municipality of Daram, through the General Fund (5% GAD) intends to apply the sum of One Million One Hundred Thousand Pesos (P1,100,000.00) being the Approved Budget for the Contract (ABC) to payments under the contract for Rehabilitation of Daram </t>
  </si>
  <si>
    <t xml:space="preserve"> Republic of the Philippines Province of Misamis Oriental Municipality of Lugait -oOo- INVITATION TO BID FOR THE CONCRETING OF 330.0 L.M. FARM TO MARKET ROAD AT PUROK-2, BARANGAY KALUKNAYAN MUNICIPALITY OF LUGAIT, MISAMIS ORIENTAL The Municipality of Lugai</t>
  </si>
  <si>
    <t xml:space="preserve"> Other MOOE</t>
  </si>
  <si>
    <t xml:space="preserve"> Invitation to Bid for the Contract Package for the Construction of Borono Post Harvest Facility, Barangay Borono, Tagudin, Ilocos Sur 1.	The Local Government Unit of Tagudin, Ilocos Sur, thru its Bids and Awards Committee intends to apply the sum of Three</t>
  </si>
  <si>
    <t xml:space="preserve"> Printing of Forms</t>
  </si>
  <si>
    <t xml:space="preserve"> INVITATION TO BID SUPPLY AND DELIVERY OF 37 UNITS BRAND NEW TRACTORS (90HP) FOR  THE SUGAR REGULATORY ADMINISTRATION (SRA) Bid Reference No. GPG-B1-2020-357 Rebid (Previous Bid Ref. No. GPG-B1-2019-113) Approved Budget of the Contract – Php 71,594,427.24 </t>
  </si>
  <si>
    <t xml:space="preserve"> Republic of the Philippines Province of Misamis Oriental Municipality of Lugait -oOo- INVITATION TO BID FOR THE CONCRETING OF  167.0 L.M. FARM TO MARKET ROAD AT SITIO, BARANGAY CALANGAHAN MUNICIPALITY OF LUGAIT, MISAMIS ORIENTAL The Municipality of Lugait</t>
  </si>
  <si>
    <t xml:space="preserve"> FABRICATION OF MATERIAL RECOVERY FACILITY (MRF) 3 UNITS</t>
  </si>
  <si>
    <t xml:space="preserve"> INVITATION TO BID IB-2020-110-INFRA         Rehabilitation / Improvement and Maintenance of Drainage System along Remedios St. and Vicinity, Malate, District V, Manila 1.	The Metropolitan Manila Development Authority, through the 2020 General Appropriatio</t>
  </si>
  <si>
    <t xml:space="preserve"> I. REMOVAL OF EXISTING STRUCTURE 1 LOT II. EXCAVATION WORKS 6.63 CU.M. III. CONCRETE WORKS 112.00 CU.M. IV. MASONRY WORKS (FIN. ONE SIDE ONLY) 34 SQ.M. V. ROOFING WORKS 78.28 SQ.M.</t>
  </si>
  <si>
    <t xml:space="preserve"> Supply and Delivery of Various Reagents &amp; Supplies Please see attached document for the Purchase Request and details of supplies.</t>
  </si>
  <si>
    <t xml:space="preserve"> Republic of the Philippines Province of Misamis Oriental Municipality of Lugait -oOo- INVITATION TO BID FOR THE CONCRETING OF 350.0 L.M. FARM TO MARKET ROAD AT SITIO LINABO, BARANGAY  AYA-AYA MUNICIPALITY OF LUGAIT, MISAMIS ORIENTAL The Municipality of Lu</t>
  </si>
  <si>
    <t xml:space="preserve"> DESCRIPTION                                     QTY UPGRADED CATTLE                                                         50 heads                                             Specifications: a.  2.5-3 years old b.   250-300 kgs. c.  Surra &amp; Brucella neg</t>
  </si>
  <si>
    <t xml:space="preserve"> OPENING OF BIDS IN DSWD FO IX ZAMBOANGA CITY		 DELIVERY IN DSWD-SWADT-LILOY ZAMBOANGA DEL NORTE		 PROCUREMENT FOR THE FF.:		 		 		 1 PCS PRINTER 3 IN 1 WITH SCANNER	@	 13,000.00  4 PCS PRINTER 3 IN 1	@	 7,800.00  3 PCS STORAGE BOX, 5 LITERS	@	 500.00  1 U</t>
  </si>
  <si>
    <t xml:space="preserve"> 100 BAGS HYDRIDE LIME 2HAS 4 AGS 14-14-14/HAS 4 BAGS 46-0-0 80  BAGS FISH FEED STARTER 150 BAGS FISH FEED GROWER 100 BAGS FISH FEED FINISHER</t>
  </si>
  <si>
    <t xml:space="preserve"> see attached file.</t>
  </si>
  <si>
    <t xml:space="preserve"> Republic of the Philippines Province of Bukidnon MUNICIPALITY OF LIBONA INVITATION TO BID 27-20 cw 1.	The Local Government Unit of libona, through its Bids and Awards Committee (BAC) invites contractors registered with and classified by the Philippine Con</t>
  </si>
  <si>
    <t xml:space="preserve"> OPENING OF BIDS IN DSWD FO IX ZAMBOANGA CITY DELIVERY IN DSWD-SWADT-LILOY ZAMBOANGA DEL NORTE PROCUREMENT FOR THE FF.: 1 LOT OFFICE SUPPLIES 242 REAMS LONG BOND PAPER S-20, 500 PER SHEETS PER REAM 101 REAMS SHORT BOND PAPER S--20, 500 PER SHEET PER REAM 4</t>
  </si>
  <si>
    <t xml:space="preserve"> Please download ITB and Checklist in the Associated Components.</t>
  </si>
  <si>
    <t xml:space="preserve"> Please download ITR and Checklist in the Associated Components.</t>
  </si>
  <si>
    <t xml:space="preserve"> Republic of the Philippines Province of Iloilo MUNICIPALITY OF CARLES INVITATION TO BID 1.0 The Municipal Government of Carles, Province of Iloilo through its 5% DRRM FUND 2020 intends to apply the sum of Three Hundred Thousand One Hundred Ninety Pesos On</t>
  </si>
  <si>
    <t xml:space="preserve"> SUPPLY AND DELIVERY OF ONE UNIT TRUCK USE FOR EMERGENCY OPERATION &amp; EARLY WARNING MAINTENANCE The Local Government Unit of Mauban through the GENERAL FUND-9999/1-07-06-990, 2020 intends to apply the sum of Three million pesos (Php 3,000,000.00) being the </t>
  </si>
  <si>
    <t xml:space="preserve"> I. REMOVAL OF EXISTING STRUCTURE 1 LOT II. CONCRETE WORKS (1 UNIT INTAKE) 3.83 CU.M. III. HAULING OF MATERIALS GOING TO CONSTRUCTION SITE 1 LOT</t>
  </si>
  <si>
    <t xml:space="preserve"> Republic of the Philippines Province of Davao de Oro MUNICIPALITY OF COMPOSTELA BIDS AND AWARDS COMMITTEE CP#: 0998-571-7569 INVITATION TO BID FOR  HOUSE CONSTRUCTION FOR BOLOHATON SETTLERS VILLAGE (RESETTLEMENT AREA) – Procurement of Materials  ITB NO. 2</t>
  </si>
  <si>
    <t xml:space="preserve"> Invitation to Bid FOR PROCUREMENT OF OFFICE SUPPLIES AND CONSUMABLES (REBIDDING) 1.The Philippine Science High School-Bicol Region Campus, through the General Appropriations Act FY 2020 intends to apply the total amount of FIVE HUNDRED SEVENTY-FIVE THOUSA</t>
  </si>
  <si>
    <t xml:space="preserve"> Republic of the Philippines PROVINCE OF QUEZON MUNICIPALITY OF POLILLO ***** INVITATION TO BID FOR:  SUPPLY AND DELIVERY OF MEDICAL SUPPLIES FOR COVID-19 RESPONSE LGU Polillo, Quezon 1.	The Municipality of Polillo, through the Supplemental Budget No.3 by </t>
  </si>
  <si>
    <t xml:space="preserve"> Republic of the Philippines Province of Southern Leyte Municipality of Tomas Oppus Invitation to Bid  Procurement of Thermal Gun 1.	The Local Government of Tomas Oppus through General Fund intends to apply the sum of One Hundred Thirty Five Thousand Pesos</t>
  </si>
  <si>
    <t xml:space="preserve"> INVITATION TO BID IB-2020-116-INFRA         Drainage Improvement along Asuncion St. and Vicinity, District I, Caloocan City 1.	The Metropolitan Manila Development Authority, through the 2020 General Appropriations Act (GAA) intends to apply the sum of Nin</t>
  </si>
  <si>
    <t xml:space="preserve"> INVITATION TO BID IB-2020-115-INFRA         Drainage Improvement along Second Street and Vicinity, East Grace Park, District II, Caloocan City 1.	The Metropolitan Manila Development Authority, through the 2020 General Appropriations Act (GAA) intends to a</t>
  </si>
  <si>
    <t xml:space="preserve"> 3.	Contract ID: 20EI0188 Contract Name: Construction of 2 STY 6 CL, Marcelo I. Cabrera Vocational HS,  Location: Roxas, Oriental Mindoro Brief Description: Complete construction of 2 - Storey 6 - Classroom School Building 2 – 9.50mx35.00m (stair wall 5m w</t>
  </si>
  <si>
    <t xml:space="preserve"> Republic of the Philippines Province of Southern Leyte Municipality of Tomas Oppus Invitation to Bid  Procurement of Information and Communication Technology Equipment  (13 Units Inkjets 3 in 1 Printer) 1.	The Local Government of Tomas Oppus through Gener</t>
  </si>
  <si>
    <t xml:space="preserve"> INVITATION TO BID IB-2020-114-INFRA         Improvement of Dario River, District VI, Quezon City 1.	The Metropolitan Manila Development Authority, through the 2020 General Appropriations Act (GAA) intends to apply the sum of Nineteen Million, Nine Hundred</t>
  </si>
  <si>
    <t xml:space="preserve"> DESCRIPTION PROCUREMENT AND DELIVERY OF VARIOUS FERTILIZER AND PESTICIDES FOR RESEARCH DIVISION, RICE AND CORN PROGRAM CY 2020 LOT	PARTICULARS	QTY	UOM	 ABC  1	Fertilizers	 	 	23,113,000.00   	Urea (46-0-0) 50kgs/bag, with FPA reg.	21,652	bag	  	Complete F</t>
  </si>
  <si>
    <t xml:space="preserve"> Contract for the Construction of 3-Classroom Building @ Kinamayan IS The Municipality of Santo Tomas, through SEF - AB CY 2020 intends to apply the sum of P’ 2,235,970.29 being the Approved Budget for the Contract (ABC) to payments under the contract Cons</t>
  </si>
  <si>
    <t xml:space="preserve"> Contract for the Rehabilitation of Comfort Rooms @ Public Market The Municipality of Santo Tomas, through Office of the Eco. Ent. Market Continuing Allotment intends to apply the sum of P’ 1,689,750.86 being the Approved Budget for the Contract (ABC) to p</t>
  </si>
  <si>
    <t xml:space="preserve"> Republic of the Philippines Province of Cagayan Municipality of Baggao INVITATION TO BID FOR THE PROCUREMENT OF GOODS The LOCAL GOVERNMENT UNIT OF BAGGAO, CAGAYAN, through the 01-011-5-02-03-070 &amp; 01-011-5-02-03-990 intends to apply the sum of One Million</t>
  </si>
  <si>
    <t xml:space="preserve"> ITEM NO.	PARTICULARS	QTY	UOM 	Agricultural Supplies	 	  	Seeds		 1	Cacao Beans (Wet) 	7,575	    kg 2	Durian Fresh Seeds (Native)	2,861	 kg 	Fresh Fruits		 3	Mangosteen (Fresh fruits, class A)	150	kg 4	Lanzones (Fresh fruit, physiologically mature and ripe</t>
  </si>
  <si>
    <t xml:space="preserve"> Invitation to Bid PROPOSED DESIGN and BUILD of PEZA AUDITORIUM, COMMAND CENTER and HALL OF FLAGS including SUPPLY and INSTALLATION of EQUIPMENT, FURNITURE and other FURNISHINGS at the NEW PEZA OFFICE in the DOUBLE DRAGON WEST BUILDING (DDWB) (PEZA-HO-2020</t>
  </si>
  <si>
    <t xml:space="preserve"> INVITATION TO BID IB-2020-112-INFRA         Rehabilitation of Pinagsama Creek, District II, Taguig City 1.	The Metropolitan Manila Development Authority, through the 2020 General Appropriations Act (GAA) intends to apply the sum of Thirteen Million, Four </t>
  </si>
  <si>
    <t xml:space="preserve"> STOCK NO.	UNIT	ITEM DESCRIPTION				QTY	UNIT COST	TOTAL COST 		GENERAL SPECIFICATION						 1	unit	BRAND NEW PICK-UP				1	 2,190,000.00 	 2,190,000.00  		Description						 -    		Model 1GD-FTV						 -    		Drive Train 4x4						 -    		CAB Double						 -    </t>
  </si>
  <si>
    <t xml:space="preserve"> ITEM           DESCRIPTION                            QTY.        UNIT I.               LAY-OUT / EXCAVATION                80          SQ.M                 II.              RIPRAP                                       88.00     CU.M. III.             CON</t>
  </si>
  <si>
    <t xml:space="preserve"> Contract ID: 20-DO-0090 Contract Name: Public Markets/Farmers Markets (Bagsakan Centers) and Public Cemeteries Projects – Rehabilitation of Tanay Municipal Cemetery, Plaza Aldea and Tandang Kutyo, Tanay, Rizal Contract Location	: Tanay, Rizal Brief Descri</t>
  </si>
  <si>
    <t xml:space="preserve"> Republic of the Philippines LOCAL GOVERNMENT UNIT OF IBA PROVINCE OF ZAMBALES Municipal Hall, R. Magsaysay Ave., Zone 1, Iba, Zambales (047) 602-1115/(047) 602-1122  ibasz2013@gmail.com Invitation to Bid for “CONSTRUCTION OF LINED CANAL AT GAMBOA ST. P</t>
  </si>
  <si>
    <t xml:space="preserve"> Contract ID: 20-DO-0089 Contract Name: Repair/Maintenance of DOJ Building, Registry of Deeds Office Building, Brgy. San Pedro, Morong, Rizal Contract Location	: Morong, Rizal Brief Description	: Repair/Maintenance of Office Building Approved Budget for th</t>
  </si>
  <si>
    <t xml:space="preserve"> INVITATION TO BID IB-2020-117-INFRA         Improvement of Marulas Creek, District II, Valenzuela City 1.	The Metropolitan Manila Development Authority, through the 2020 General Appropriations Act (GAA) intends to apply the sum of Nine Million, Nine Hundr</t>
  </si>
  <si>
    <t xml:space="preserve"> National Power Corporation INVITATION TO BID PUBLIC BIDDING 2020-0285 1.	The NATIONAL POWER CORPORATION (NPC), through       its        approved       Corporate Budget of CY 2020 intends to apply   the   sum   of (Please see schedule below) being the Appr</t>
  </si>
  <si>
    <t xml:space="preserve"> CONCRETING</t>
  </si>
  <si>
    <t xml:space="preserve"> Republic of the Philippines Province of Iloilo Municipality of Carles BARANGAY ASLUMAN INVITATION TO BID 1.0 The Barangay Local Government of Asluman, Municipality of Carles, Province of Iloilo through its GRANT CY 2019 (Office of the Governor) intends to</t>
  </si>
  <si>
    <t xml:space="preserve"> Republic of the Philippines Province of Cagayan Municipality of Baggao INVITATION TO BID FOR THE PROCUREMENT OF GOODS The LOCAL GOVERNMENT UNIT OF BAGGAO, CAGAYAN, through the 01-011-5-02-03-070 &amp; 01-011-5-02-03-990 intends to apply the sum of Four Hundre</t>
  </si>
  <si>
    <t xml:space="preserve"> Republic of the Philippines LOCAL GOVERNMENT UNIT OF IBA PROVINCE OF ZAMBALES Municipal Hall, R. Magsaysay Ave., Zone 1, Iba, Zambales (047) 602-1115/(047) 602-1122  ibasz2013@gmail.com Invitation to Bid for “CONCRETING OF 230 LM DANAC STREET WITH LINE</t>
  </si>
  <si>
    <t xml:space="preserve"> Invitation to Bid  IB-2020-121-INFRA Urban Re-Greening and Renewal Program 1.	The Metropolitan Manila Development Authority, through the Local Funds intends to apply the sums of  Lot. No.	Project Title	 ABC  1	Proposed Greening Plan of BCDA Footbridge @ C</t>
  </si>
  <si>
    <t xml:space="preserve"> INVITATION TO BID FOR THE PROCUREMENT OF VARIOUS IT EQUIPMENT AND OPERATING SYSTEM</t>
  </si>
  <si>
    <t xml:space="preserve"> INVITATION TO BID FOR PROCUREMENT OF VARIOUS CHEMICALS AND GLASSWARES FOR PUERTO PRINCESA SATELLITE ENVIRONMENTAL LABORATORY</t>
  </si>
  <si>
    <t xml:space="preserve"> Republic of the Philippines Province of Cagayan Municipality of Baggao INVITATION TO BID FOR THE PROCUREMENT OF GOODS The LOCAL GOVERNMENT UNIT OF BAGGAO, CAGAYAN, through the 01-011-5-02-03-070 &amp; 01-011-5-02-03-990 intends to apply the sum of Two Hundred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</si>
  <si>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</si>
  <si>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INVITATION TO BID IB-2020-119-INFRA         Additional Relief Pumping Station, Brgy. Salapan, San Juan City 1.	The Metropolitan Manila Development Authority, through the 2020 General Appropriations Act (GAA) intends to apply the sum of Twenty-Three Millio</t>
  </si>
  <si>
    <t xml:space="preserve"> Contract ID: 20-DO-0091 Contract Name: Public Markets/Farmers Markets (Bagsakan Centers) and Public Cemeteries Projects – Rehabilitation of Pililla Municipal Cemetery, Bagumbayan, Pililla, Rizal Contract Location	: Pililla, Rizal Brief Description	: Rehab</t>
  </si>
  <si>
    <t xml:space="preserve"> Part II B		Other General Requirements	 B.5	Sq.m	Project Billboard/Signboard	6 Part A		Earthworks	 800	Lot	Clearing ang Grubbing	1 801	M3	Removal Structures/Obstruction	63.44 803(1)a	M3	Structure Excavation (Common Soil)	289.16 804(4)	M3	Gravel Bedding	52.</t>
  </si>
  <si>
    <t xml:space="preserve"> Section I. Invitation to Bid Republic of the Philippines PROVINCE OF ZAMBOANGA SIBUGAY Capitol Building, Ipil Heights, Ipil, Zamboanga Sibugay Invitation to Bid for  Construction of Water System (Drilling) @ Brgy. San Jose, Imelda, Zamboanga Sibugay 1.	Th</t>
  </si>
  <si>
    <t xml:space="preserve"> 1. 33 bd.ft.  10-2" x 2" x 10' Coco Lumber 2. 2   kls.     4" Common Wire Nails 3. 240 bags  Portland Cement 4. 19  cu.m.  Sand 5.  7   cu.m.  Gravel 6. 53  cu.m.  Boulders (head size) 7. 5    kls.     Tie Wire 8. 28  lgths.  10mm Def. Bars 9. 10  lgths. </t>
  </si>
  <si>
    <t xml:space="preserve"> INVITATION TO BID IB-2020-120-INFRA         Improvement and Deepening of Lagarian Creek, Brgy. Kristong Hari, District IV, Quezon City 1.	The Metropolitan Manila Development Authority, through the 2020 General Appropriations Act (GAA) intends to apply the</t>
  </si>
  <si>
    <t xml:space="preserve"> Republic of the Philippines Province of Southern Leyte Municipality of Tomas Oppus Invitation to Bid  Procurement of Office Equipment (2 Units Digital Duplicator Machine with FREE Heavy Duty Multi-Function Copier Machine - Laser Printer) 1.	The Local Gove</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</si>
  <si>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</si>
  <si>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Section I. Invitation to Bid Republic of the Philippines PROVINCE OF ZAMBOANGA SIBUGAY Capitol Building, Ipil Heights, Ipil, Zamboanga Sibugay Invitation to Bid for  Construction of Water System (Drilling) @ Brgy. Mali Little Baguio, Imelda, Zamboanga Sib</t>
  </si>
  <si>
    <t xml:space="preserve"> Construction of Seawall / Sea Protection Dike (Concrete Protection Dike = 100 Linear Meters Stretch along seashore of Barangay Pura, DBS) Concrete Wall and Floor / with Glazed Tiles at the top of the wall, Brick tiles on the floor.  The whole structure is</t>
  </si>
  <si>
    <t xml:space="preserve"> INVITATION TO BID PROVISION OF LEARNING RESOURCES for the IMPLEMENTATION of BASIC EDUCATION LEARNING CONTINUITY PLAN (BE-LCP) 1.	The Department of Education, through the Division of Taguig City and Pateros Bids and Awards Committee intends to apply the su</t>
  </si>
  <si>
    <t xml:space="preserve"> unit	Engine 150cc	2 	Power 12 HP	 	Start option kick &amp; Electric	 	ABS-NO	 	Pass Switch	 	Odometer – Analog	 	Transmission Type – Manual	 	Riding Modes – Street Road Off Road	 	Fuel Gauge – Analog	 	Front Brake – Disc	 	Rear brake – Drum	 	Head Lamp – Halo</t>
  </si>
  <si>
    <t xml:space="preserve"> job	Security Services	4 	4 person	 	12 hours duty/day	 		 	1 year contract from April 1, 2019 to March 31, 2020	 	4 guards per 12 hours on duty	 		 	Terms and conditions:	 	The Security Services/Agency shall provide the LGU during the Life of this contrac</t>
  </si>
  <si>
    <t xml:space="preserve"> Request for Quotation RFQ No.		SVP-048-2020 MR. No.		00197 Posting Date:         	August 13, 2020 Deadline for Submission:		August 17, 2020 at 9:00 AM Opening Date:	August 17, 2020 at 10:00 AM TO:	Name of Supplier:_______________________ 	Address:________</t>
  </si>
  <si>
    <t xml:space="preserve"> Section I. Invitation to Bid Republic of the Philippines PROVINCE OF ZAMBOANGA SIBUGAY Capitol Building, Ipil Heights, Ipil, Zamboanga Sibugay Invitation to Bid for  Construction of Water System (Drilling) @ Brgy. Lumbog, Imelda, Zamboanga Sibugay 1.	The </t>
  </si>
  <si>
    <t xml:space="preserve"> Job Orders / Rental Equipments: 8 units Rental of Service Vehicle 4x4 Pick Up Vehicle:      Php 979,200.00 Fuel and Driver included wholeday use Total Amount: Php 979,200.00</t>
  </si>
  <si>
    <t xml:space="preserve"> Republic of the Philippines Province of Cagayan Municipality of Baggao INVITATION TO BID FOR THE PROCUREMENT OF GOODS The LOCAL GOVERNMENT UNIT OF BAGGAO, CAGAYAN, through the 01-011-5-02-03-070 &amp; 01-011-5-02-03-990 intends to apply the sum of Three Hundr</t>
  </si>
  <si>
    <t xml:space="preserve"> Road Concreting of Commercial Center (195.90 L.M.) ABC: Php 2,145,000.00 I. PROJECT BILLBOARD II. MOBILIZATION/DEMOBILIZATION III. ROADWAY EXCAVATION  IV. EMBANKMENT V. SUB-GRADE PREPARATION VI. AGGREGATE SUBBASE COURSE VII. PORTLAND CEMENT CONCRETE PAVEM</t>
  </si>
  <si>
    <t xml:space="preserve"> INVITATION TO BID IB No. GS-2020 – 098 Chemicals and Chemical Products for use of the OMPH patients/2nd quarter 2020 1. The  Provincial  Government  of  Oriental  Mindoro  (PGOM)  through  the  Trust Fund intends  to  apply  the  sum  of  Two Million One </t>
  </si>
  <si>
    <t xml:space="preserve"> Head Rice</t>
  </si>
  <si>
    <t xml:space="preserve"> Republic of the Philippines                                                               PROVINCE OF ISABELA                                                             Municipality of Dinapigue                                      INVITATION TO APPLY FO</t>
  </si>
  <si>
    <t xml:space="preserve"> Invitation to Bid FOR PROCUREMENT OF ICT EQUIPMENT (REBIDDING) 1.The Philippine Science High School-Bicol Region Campus, through the General Appropriations Act FY 2020 intends to apply the total amount of Two Million Two Hundred Eighteen Thousand Five Hun</t>
  </si>
  <si>
    <t xml:space="preserve"> 10 pcs HEADLAMPS 														       - 300-350 Lumens														       - Run Time - 5-20 Hrs														       - Water Resistant														       - Switch Type: Normal Switch														       - Battery Compatibility - Alkaline, Lithium								</t>
  </si>
  <si>
    <t xml:space="preserve"> 20F00128 - CLUSTER IV: A. Repair/Maintenance of DOTR Building, LTO Regional Office Building, Rawis, Legazpi City; B. Repair/Maintenance of DOTR Building, LTFRB Canteen and Storage Building, Rawis, Legazpi City</t>
  </si>
  <si>
    <t xml:space="preserve"> 20F00115 - Local Program: National Roads and Bridges – National Roads – Construction/ Repair/ Rehabilitation/ Improvement of Various Infrastructure including Local Projects – Rehabilitation/Improvement along Daang Maharlika Highway Jct. Legazpi-Sto. Domin</t>
  </si>
  <si>
    <t xml:space="preserve"> Republic of the Philippines BIDS AND AWARDS COMMITTEE Province of Iloilo Invitation to Bid Purchase of Medical Equipment  Bid No.ADH-20-0948-B 1. The Iloilo Provincial Government, through the 2018 SUPPLEMENTAL BUDGET NO. 3-20% IRA intends to apply the sum</t>
  </si>
  <si>
    <t xml:space="preserve"> THE OFFICE OF THE BIDS AND AWARDS COMMITTEE, SAN CARLOS CITY IS IN NEED OF SUPPLY/DELIVERY OF ONE (1) UNIT UTILITY VEHICLE. OVERALL (L X W X H):      4,435 X 1,695 X 1,705 WHEELBASE:                   2,685mm ENGINE TYPE:                 4 Cylinder, In-Li</t>
  </si>
  <si>
    <t xml:space="preserve"> 1.  285   bags    Portland Cement 2.  17     cu.m.   Wash Sand 3.  30     cu.m.   Fine Gravel 4.  96     bd.ft.   12 - 2" x 4" x 12" Coco Lumber 5.  4       kgs.     4" CW Nails</t>
  </si>
  <si>
    <t xml:space="preserve"> SUPPLY AND DELIVERY F THE FOLLOWING: lot 1- EQUIPMENT                    -   150,000.00 1	unit	Power Mist Blower		 		-Overall Weight - 10-12 Kilogram				 		-Engine Displacement: 55-60 cc				 		-Engine Power - 3-3.5 HP				 		-Container Capacity - 13-14L			</t>
  </si>
  <si>
    <t xml:space="preserve"> CONSTRUCTION AND INSTALLATION OF ELEVATOR AT MUNICIPAL HALL OF SANTO DOMINGO, ILOCOS SUR</t>
  </si>
  <si>
    <t xml:space="preserve"> 1.  1   set    Desktop Computer with Printer - All-in-one Monitor, 3-in-one CIS Printer - P45,000.00 2.  1   unit   CIS Computer Printer, 3n1 w/ long photo copier - P16,500.00 3.  1   unit   CIS Computer Printer, 3n1 A4 copier - P8,500.00 4.  1   unit   L</t>
  </si>
  <si>
    <t xml:space="preserve"> Republic of the Philippines Province of Surigao del Sur MUNICIPALITY OF CANTILAN OFFICE OF THE BIDS AND AWARDS COMMITTEE INVITATION TO BID The Municipality of Cantilan allocates fund from 20% EDF 2020 for the Supply of Labor &amp; Materials for Rehabilitation</t>
  </si>
  <si>
    <t xml:space="preserve"> Republic of the Philippines Province of Surigao del Sur MUNICIPALITY OF CANTILAN OFFICE OF THE BIDS AND AWARDS COMMITTEE INVITATION TO BID The Municipality of Cantilan allocates fund from Supplemental Budget No. 1 2018 for the Supply &amp; Delivery of Materia</t>
  </si>
  <si>
    <t xml:space="preserve"> Republic of the Philippines Province of Surigao del Sur MUNICIPALITY OF CANTILAN OFFICE OF THE BIDS AND AWARDS COMMITTEE INVITATION TO BID The Municipality of Cantilan allocates fund from 20% EDF 2016, 2017, 2018, 2019, 2020 for the Supply of Labor &amp; Mate</t>
  </si>
  <si>
    <t xml:space="preserve"> Republic of the Philippines PROVINCE OF ZAMBOANGA DEL NORTE BIDS AND AWARDS COMMITTEE (BAC) BAC Conference Room, Provincial Capitol Building, Dipolog City Telefax # (065) 212-6492                                                                            </t>
  </si>
  <si>
    <t xml:space="preserve"> SUPPLY OF LABOR AND MATERIALS</t>
  </si>
  <si>
    <t xml:space="preserve"> INVITATION TO BID FOR  INSTALLATION OF LED STREETLIGHTS AT VARIOUS RESETTLEMENT SITES FOR PEACE AND ORDER MONITORING @  GOLDEN HORIZON, SUNSHINE VILLE &amp; SOUTHVILLE 2 PHASE 3, TMC 1.	The City Government of Trece Martires, through the (RGAF) TRUST FUND  ( 2</t>
  </si>
  <si>
    <t xml:space="preserve"> Republic of the Philippines Bangsamoro Autonomous Region in Muslim Mindanao Province of Maguindanao MUNICIPALITY OF MATANOG Invitation to Bid  REHABILITATION OF MUNICIPAL PATHWAYS 1.	The Municipality of Matanog, through the 2020 Annual Performance Budget </t>
  </si>
  <si>
    <t xml:space="preserve"> 1.	The Capiz Provincial Government, through the GOP–2020 intends to apply the total amount of Thirteen Million Three Hundred Ninety-Five Thousand Six Hundred Eighteen Pesos (Php, 13,395,618.00) being the total aggregated Approved Budget for the Contract (</t>
  </si>
  <si>
    <t xml:space="preserve"> Supply and Delivery of Gasoline &amp; 2T Oil</t>
  </si>
  <si>
    <t xml:space="preserve"> 1.00 REMOVAL OF EXISTING STRUCTURES 2.00 EARTHWORKS 3.00 CONCRETE WORKS 4.00 FORMS &amp; SCAFFOLDINGS 5.00 REINFORCING BARS 6.00 MASONRY WORKS SPL-1 CONSTRUCTION HEALTH AND SAFETY SPL-11 BILLBOARD</t>
  </si>
  <si>
    <t xml:space="preserve"> 1.	The Provincial Government of Batanes, through the Provincial Appropriations Ordinance No. 03 series of 2019 (20% Development Fund) intends to apply the sum of One Million Three Hundred Ninety-One Thousand Two Hundred Eighty-Three Pesos and 56/100 Only </t>
  </si>
  <si>
    <t xml:space="preserve"> 1. The Department of Agriculture – Regional Field Office – Cordillera Administrative Region (DA-RFO-CAR) intends to apply part of its CY 2020 General Appropriation Act (GAA) the total sum of Two Million One Hundred Four Thousand Pesos (P2,104,000.00) bein</t>
  </si>
  <si>
    <t xml:space="preserve"> INVITATION TO BID FOR  REHABILITATION OF CITYHALL BUILDING ( PHASE II) 1.	The City Government of Trece Martires, through the 20% DEVT. FUND  ( 2020) approved by the Sangguniang Panlungsod intends to apply the sum of TWO MILLION SEVEN HUNDRED NINETY NINE T</t>
  </si>
  <si>
    <t xml:space="preserve"> Republic of the Philippines Province of Samar  Municipality of Jiabong INVITATION TO BID FOR  PURCHASE OF PPE FOR COVID RELATED ACTIVITY (2) Jiab-2020-41A 1.	The Municipal Government of Jiabong, Samar, intends to apply the sum of NINETY NINE SEVEN HUNDRE3</t>
  </si>
  <si>
    <t xml:space="preserve"> Republic of the Philippines Province of Samar  Municipality of Jiabong INVITATION TO BID FOR  PURCHASE OF PPE FOR COVID RELATED ACTIVITY Jiab-2020-40A 1.	The Municipal Government of Jiabong, Samar, intends to apply the sum of ONE HUNDRED FIFTY SIX THOUSAN</t>
  </si>
  <si>
    <t xml:space="preserve"> Republic of the Philippines Province of Samar  Municipality of Jiabong INVITATION TO BID FOR  PURCHASE OF OFFICE EQUIPMENT Jiab-2020-38A 1.	The Municipal Government of Jiabong, Samar, intends to apply the sum of TWO HUNDRED TWENTY THOUSAND PESOS ONLY (Php</t>
  </si>
  <si>
    <t xml:space="preserve"> 1.	The Capiz Provincial Government, through the GOP–2020 intends to apply the total amount of Twenty-Six Million Three Hundred Ninety-One Thousand Nine Hundred Eighty-Seven Pesos (Php,26,391,987.00) being the total aggregated Approved Budget for the Contr</t>
  </si>
  <si>
    <t xml:space="preserve"> Republic of the Philippines Province of Samar  Municipality of Jiabong INVITATION TO BID FOR  CATERING FOOD FOR THE LSI AND FRONTLINERS Jiab-2020-37A 1.	The Municipal Government of Jiabong, Samar, intends to apply the sum of FIVE HUNDRED THOUSAND PESOS ON</t>
  </si>
  <si>
    <t xml:space="preserve"> Invitation to Bid  FOR THE SUPPLY, INSTALLATION, TESTING AND COMMISSIONING OF SECURITY SURVEILLANCE SYSTEM FOR THE NATIONAL LIBRARY OF THE PHILIPPINES (NLP)  1. The National Library of the Philippines (NLP), through the National Expenditure Budget (NEB) A</t>
  </si>
  <si>
    <t xml:space="preserve"> Republic of the Philippines Province of Samar  Municipality of Jiabong INVITATION TO BID FOR  EMERGENCY PURCHASE OF SLEEPING SET Jiab-2020-35A 1.	The Municipal Government of Jiabong, Samar, intends to apply the sum of THREE HUNDRED THOUSAND PESOS ONLY (Ph</t>
  </si>
  <si>
    <t xml:space="preserve"> Republic of the Philippines Province of Samar  Municipality of Jiabong INVITATION TO BID FOR  PURCHASE OF HYGIENE KIT AND EATING UTENSILS FOR COVID RELATED ACTIVITY  Jiab-2020-42A 1.	The Municipal Government of Jiabong, Samar, intends to apply the sum of </t>
  </si>
  <si>
    <t xml:space="preserve"> Republic of the Philippines DEPARTMENT OF PUBLIC WORKS AND HIGHWAYS Region X OFFICE OF THE REGIONAL DIRECTOR Engineers’ Hill, Bulua, Cagayan de Oro City INVITATION TO BID FOR CONTRACT ID NO. 20GSK00017 – SUPPLY &amp; DELIVERY OF OFFICE CONSUMABLES FOR THE USE</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</si>
  <si>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</si>
  <si>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Republic of the Philippines Province of Samar  Municipality of Jiabong INVITATION TO BID FOR  PURCHASE OF VITAMIN C, E , FOR COVID RELATED ACTIVITY Jiab-2020-39A 1.	The Municipal Government of Jiabong, Samar, intends to apply the sum of ONE HUNDRED SEVENT</t>
  </si>
  <si>
    <t xml:space="preserve"> INVITATION TO BID IB-2020-113-INFRA         Rehabilitation of Pateros River, District I, Pateros 1.	The Metropolitan Manila Development Authority, through the 2020 General Appropriations Act (GAA) intends to apply the sum of Eighteen Million, Four Hundred</t>
  </si>
  <si>
    <t xml:space="preserve"> Republic of the Philippines Province of Guimaras OFFICE OF THE BIDS AND AWARDS COMMITTEE INVITATION TO BID FOR    SUPPLY AND DELIVERY OF DESKTOP COMPUTER AND LAPTOP Bid Ref. No. 2020-08-448 1.	The Province of Guimaras , through the Special Education Fund </t>
  </si>
  <si>
    <t xml:space="preserve"> Republic of the Philippines Province of Samar  Municipality of Jiabong INVITATION TO BID FOR  EMERGENCY PURCHASE OF CATERING FOOD FOR THE LSI AND FRONTLINERS Jiab-2020-36A 1.	The Municipal Government of Jiabong, Samar, intends to apply the sum of THREE HU</t>
  </si>
  <si>
    <t xml:space="preserve"> INVITATION TO BID IB No. GS-2020 – 097 Agricultural Products (Seeds, Seedlings, Plants…) for Distribution under Binhian sa Barangay and Mindoro Dinorado Rice Production Program-Agro Technology Resource and Management Services Division 1. The  Provincial  </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</si>
  <si>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</si>
  <si>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1	Common Borrow			476	cu.m. 2	Aggregate Sub-Base Course(River Sourced)			113	cu.m. 3	Boga			43	cu.m. 4	Crushed Rock G-1			86	cu.m. 5	Portland Cement 			809	bags 6	Gravel			81	cu.m. 7	Sand			40	cu.m. 8	RSB 16mmx6m			32	pcs 9	Round Bar 16mmx6m			10	pcs 10	R</t>
  </si>
  <si>
    <t xml:space="preserve"> INVITATION TO BID IB 2020-005I 1.	The Batangas Medical Center through the General Appropriations Act intends to apply the sum of the following projects being the Approved Budget for the Contract (ABC) to payments under the contract for each bid. Bids rece</t>
  </si>
  <si>
    <t xml:space="preserve"> INVITATION TO APPLY FOR ELIGIBILITY AND BID								 								 The  Barangay Nagba of  Maasin,  Iloilo,  through  its  Bids  and  Awards  Committee (BAC),  invites  suppliers/								 distributors/ contractors to apply for eligibility and to bid for the her</t>
  </si>
  <si>
    <t xml:space="preserve"> INVITATION TO BID IB 2020-005H 1.	The Batangas Medical Center through the General Appropriations Act intends to apply the sum of the following projects being the Approved Budget for the Contract (ABC) to payments under the contract for each bid. Bids rece</t>
  </si>
  <si>
    <t xml:space="preserve"> INVITATION TO BID IB 2020-005G 1.	The Batangas Medical Center through the General Appropriations Act intends to apply the sum of the following projects being the Approved Budget for the Contract (ABC) to payments under the contract for each bid. Bids rece</t>
  </si>
  <si>
    <t xml:space="preserve"> INVITATION TO BID IB 2020-005F 1.	The Batangas Medical Center through the General Appropriations Act intends to apply the sum of the following projects being the Approved Budget for the Contract (ABC) to payments under the contract for each bid. Bids rece</t>
  </si>
  <si>
    <t xml:space="preserve"> INVITATION TO BID IB 2020-005J 1.	The Batangas Medical Center through the General Appropriations Act intends to apply the sum of the following projects being the Approved Budget for the Contract (ABC) to payments under the contract for each bid. Bids rece</t>
  </si>
  <si>
    <t xml:space="preserve"> INVITATION TO BID IB 2020-005E 1.	The Batangas Medical Center through the General Appropriations Act intends to apply the sum of the following projects being the Approved Budget for the Contract (ABC) to payments under the contract for each bid. Bids rece</t>
  </si>
  <si>
    <t xml:space="preserve"> The LGU - Mariveles, through the Budget of the Contract Approved by the Sanggunian of 2020 intends to apply the sum of One Million, Six Hundred Sixty-Eight Thousand, Nine Hundred Twenty-Eight and 9/100 Pesos (Php 1,669,928.09) being the Approved Budget fo</t>
  </si>
  <si>
    <t xml:space="preserve"> Republic of the Philippines Province of Guimaras OFFICE OF THE BIDS AND AWARDS COMMITTEE INVITATION TO BID FOR    SUPPLY AND DELIVERY OF BOND PAPER Bid Ref. No. 2020-08-447 1.	The Province of Guimaras , through the Special Education Fund 2020 intends to a</t>
  </si>
  <si>
    <t xml:space="preserve"> 1 unit 75 KVA Generator Set (Single Phase)</t>
  </si>
  <si>
    <t xml:space="preserve"> Republic of the Philippines DEPARTMENT OF PUBLIC WORKS AND HIGHWAYS Region X OFFICE OF THE REGIONAL DIRECTOR Engineers’ Hill, Bulua, Cagayan de Oro City INVITATION TO BID FOR CONTRACT ID NO. 20GSK00018 – VEHICLE RENTAL FOR USE IN THE PLANNING &amp; DESIGN DIV</t>
  </si>
  <si>
    <t xml:space="preserve"> 1. The Department of Agriculture – Regional Field Office – Cordillera Administrative Region (DA-RFO-CAR) intends to apply part of its CY 2020 General Appropriation Act (GAA) the total sum of Five Hundred Five Thousand Five Hundred Pesos (P505,500.00) bein</t>
  </si>
  <si>
    <t xml:space="preserve"> INVITATION TO REBID The Iligan City Government Bids and Awards Committee (BAC), through 2020-SUPPLEMENTAL BUDGET NO.1 intends to apply the sum of P 2,335,200.00 being the Approved Budget for the Contract (ABC) to payments under the Contract for Supply and</t>
  </si>
  <si>
    <t xml:space="preserve"> 1. The Department of Agriculture – Regional Field Office – Cordillera Administrative Region (DA-RFO-CAR) intends to apply part of its CY 2020 General Appropriation Act (GAA) the total sum of One Million Two Hundred Thousand Pesos (P1,200,000.00) being the</t>
  </si>
  <si>
    <t xml:space="preserve"> INVITATION TO BID IB 2020-005C 1.	The Batangas Medical Center through the General Appropriations Act intends to apply the sum of the following projects being the Approved Budget for the Contract (ABC) to payments under the contract for each bid. Bids rece</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</si>
  <si>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</si>
  <si>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INVITATION TO BID IB 2020-005A 1.	The Batangas Medical Center through the General Appropriations Act intends to apply the sum of the following projects being the Approved Budget for the Contract (ABC) to payments under the contract for each bid. Bids rece</t>
  </si>
  <si>
    <t xml:space="preserve"> INVITATION TO BID IB 2020-004 1.	The Batangas Medical Center through the General Appropriations Act intends to apply the sum of the following projects being the Approved Budget for the Contract (ABC) to payments under the contract for each bid. Bids recei</t>
  </si>
  <si>
    <t xml:space="preserve"> Purchase of various learning materials to be given to each students...</t>
  </si>
  <si>
    <t xml:space="preserve"> Republic of the Philippines Province of Surigao del Sur MUNICIPALITY OF CANTILAN OFFICE OF THE BIDS AND AWARDS COMMITTEE INVITATION TO BID The Municipality of Cantilan allocates fund from Supplemental Budget No. 1 2019 for the Supply &amp; Delivery of One Uni</t>
  </si>
  <si>
    <t xml:space="preserve"> 1.	The Department of Health-Eastern Visayas Center for Health Development  through the Bids and Awards Committee (BAC) invites suppliers to bid for the hereunder projects for CY 2020: Procurement of Hospital Equipment IV (DOH Delivery) 1.	Computer System </t>
  </si>
  <si>
    <t xml:space="preserve"> 1.	The Department of Health-Eastern Visayas Center for Health Development  through the Bids and Awards Committee (BAC) invites suppliers to bid for the hereunder projects for CY 2020: Procurement of Hospital Equipment III (DOH Delivery) 1.	Instrument Cabi</t>
  </si>
  <si>
    <t xml:space="preserve"> OPENING OF BIDS IN DSWD FO IX ZAMBOANGA CITY		 DELIVERY IN AVRC III MAMPANG PROCUREMENT FOR THE FF.		 		 2 pcs. 24 x 72" COMPUTERIZED PRINTOUT STICKER 30mm ACRYLIC OF AVRC III VISSION, MISSION AND OBJECTIVES IN ENGLISH , CHAVACANO, VISAYAN, AND TAUSOG	@ 1</t>
  </si>
  <si>
    <t xml:space="preserve"> 1.	The Department of Health-Eastern Visayas Center for Health Development  through the Bids and Awards Committee (BAC) invites suppliers to bid for the hereunder projects for CY 2020: Procurement of  Hospital Equipment I (DOH Delivery) Procurement of  Hos</t>
  </si>
  <si>
    <t xml:space="preserve"> Section 1. INVITATION to BID (IB) No. 2020-017 The Municipality of Cabiao, Nueva Ecija, through its Bids and Awards Committee (BAC), invites suppliers/manufacturers/distributors to apply for eligibility and to bid if found eligible, to bid for the followi</t>
  </si>
  <si>
    <t xml:space="preserve"> Purchase of Materials for the water system facilities and semi-expandable equipment...</t>
  </si>
  <si>
    <t xml:space="preserve"> 1.	The Department of Health-Eastern Visayas Center for Health Development  through the Bids and Awards Committee (BAC) invites suppliers to bid for the hereunder projects for CY 2020: Procurement of Hospital Equipment IV (On-site Delivery) 1)	Generator se</t>
  </si>
  <si>
    <t xml:space="preserve"> 1.	The Department of Health-Eastern Visayas Center for Health Development  through the Bids and Awards Committee (BAC) invites suppliers to bid for the hereunder projects for CY 2020: Procurement of Hospital Equipment II (On-site Delivery) 1)	Electro-hydr</t>
  </si>
  <si>
    <t xml:space="preserve"> INVITATION FOR NEGOTIATED PROCUREMENT (TWO FAILED BIDDING) for the Procurement of Assorted Animal Feeds 1.	The Department of Agriculture-Regional Field Office 7, through the GAA 2020  intends to apply the sum of Seven Hundred Sixty Nine Thousand Two Hundr</t>
  </si>
  <si>
    <t xml:space="preserve"> INVITATION TO BID IB 2020-005D 1.	The Batangas Medical Center through the General Appropriations Act intends to apply the sum of the following projects being the Approved Budget for the Contract (ABC) to payments under the contract for each bid. Bids rece</t>
  </si>
  <si>
    <t xml:space="preserve"> A. Site Clearing, Grubbing &amp; Lay-out      B. Common Earth Excavation      C. Embankment (Backfill &amp; Gravel Bed)      D. Soil Poisoning      E. Structural Concrete (Footing)      F. Structural Concrete (Ground Tie Beam &amp; Slab on Fill)      G. Structural Co</t>
  </si>
  <si>
    <t xml:space="preserve"> 1.	The Department of Health-Eastern Visayas Center for Health Development  through the Bids and Awards Committee (BAC) invites suppliers to bid for the hereunder projects for CY 2020: Procurement of Hospital Equipment III (On-site Delivery) 1)	Clinical Ch</t>
  </si>
  <si>
    <t xml:space="preserve"> 1. The Department of Agriculture – Regional Field Office – Cordillera Administrative Region (DA-RFO-CAR) intends to apply part of its CY 2020 General Appropriation Act (GAA) the total sum of Eight Million Sixty One Thousand Five Hundred Pesos (P8,061,500.</t>
  </si>
  <si>
    <t xml:space="preserve"> Republic of the Philippines PROVINCE OF MARINDUQUE Capitol Boac, Marinduque OFFICE OF BIDS AND AWARDS COMMITTEE Invitation to Bid  Furnishing labor, materials and equipment for the Concreting of Balogo-Buliasnin Road at Boac, Marinduque  The Marinduque Pr</t>
  </si>
  <si>
    <t xml:space="preserve"> INVITATION TO BID 							 INFRA 2020 - 08 - 003 							 							                The Bids and Award Committee (BAC) of the Municipality of Tuba, Benguet Province, through the 20% Municipal Development Fund CY 2019, 20% Municipal Development Fund CY 2020, 20</t>
  </si>
  <si>
    <t xml:space="preserve"> Republic of the Philippines Province of Southern Leyte MUNICIPALITY OF SAINT BERNARD BIDS AND AWARDS COMMITTEE INVITATION TO RE-BID FOR Supply and Delivery of Construction Materials for Const. /Improvement of Day Care Center Bldg. cum Evacuation Center BA</t>
  </si>
  <si>
    <t xml:space="preserve"> 1. The Department of Agriculture – Regional Field Office – Cordillera Administrative Region (DA-RFO-CAR) intends to apply part of its CY 2020 General Appropriation Act (GAA) the total sum of Four Million Four Hundred Fifty Two Thousand Five Hundred Pesos </t>
  </si>
  <si>
    <t xml:space="preserve"> Bridgette Smart School Management System</t>
  </si>
  <si>
    <t xml:space="preserve"> PLEASE DOWNLOAD THE ATTACHMENT/S FOR REFERENCE. Important Notes and Conditions: You can submit your quotation ON or BEFORE AUGUST 18, 2020 at 10:00 AM with the photocopy of the following legal documents: a. Mayor’s / Business Permit  b. PhilGEPS Registrat</t>
  </si>
  <si>
    <t xml:space="preserve"> Supply and Delivery of Materials</t>
  </si>
  <si>
    <t xml:space="preserve"> INVITATION TO BID IB 2020-005	B 1.	The Batangas Medical Center through the General Appropriations Act intends to apply the sum of the following projects being the Approved Budget for the Contract (ABC) to payments under the contract for each bid. Bids rec</t>
  </si>
  <si>
    <t xml:space="preserve"> These will be installed in barangay Calaocan,Canan,Centro,Diamantina,La Paz,Macalaoat,Namnama,  Nueva Era,Rang-ay,San Andres,Tandul 50 sets solar lights with 4"Ø steel post,3.00 meters height		 100 watts</t>
  </si>
  <si>
    <t xml:space="preserve"> Office Supplies- 1.10,000 rms-A4 Book/Bond Paper 80gsm 2.100 bx-PVC Cover 100's box 3.94 rolls-Master Roll 875 4.393 tube-Duplo Ink 514 black color</t>
  </si>
  <si>
    <t xml:space="preserve"> ENGINE	:	4 Cylinder 16-Valve, Gear Drive, Dielsel, 3000cc to 4250cc 	        :	Transmission: 5 Speed Manual SEATING CAPACITY	:	29-Seater</t>
  </si>
  <si>
    <t xml:space="preserve"> Various Office and Janitorial Supplies</t>
  </si>
  <si>
    <t xml:space="preserve"> The Local Government Unit of Santa Fe, Nueva Vizcaya, through its Bids &amp; Awards Committee invites contractors to bid for the following project: Contract Name: 	PROCUREMENT OF ONE (1) UNIT BRAND NEW PICK-UP 4 x 4 AT Contract Location: SB, Santa Fe, Nueva V</t>
  </si>
  <si>
    <t xml:space="preserve"> Lot 1- Conservation and restoration of Gabaldon at Barcelona Central Elementary School, Lingig Surigao del Sur Lot 2- Conservation and restoration of Gabaldon at Lingig Central Elementary School (Building 1), Lingig Surigao del Sur Lot 3- Conservation and</t>
  </si>
  <si>
    <t xml:space="preserve"> Republic of the Philippines SUGAR REGULATORY ADMINISTRATION North Avenue, Diliman, Quezon City 													                  8/11/2020 										         Date REQUEST FOR QUOTATION Gentlemen: 		Please quote your lowest prices, taxes included, on the item</t>
  </si>
  <si>
    <t xml:space="preserve"> Republic of the Philippines Province of Batangas Municipality of San Juan BIDS AND AWARDS COMMITTEE INVITATION TO APPLY FOR ELIGIBILITY AND TO BID THE LOCAL  GOVERNMENT UNIT OF BRGY. NAGSAULAY, SAN JUAN, BATANGAS, through its Bids and Awards Committee(BAC</t>
  </si>
  <si>
    <t xml:space="preserve"> Engine	:	4 Cylinder, 2500cc to 3000cc 	:	Transmission: 6 Speed Mannual Ambulance equipment	:	1 Installed Toplight w/ Siren &amp; PA System - TBD0 Red/Blue 	:	1 Construct Medical Cabinet (wall to wall) 	:	1 Install Fully Collapsable Stretcher w/ Locking Mechan</t>
  </si>
  <si>
    <t xml:space="preserve"> Republic of the Philippines PROVINCE OF MARINDUQUE Capitol Boac, Marinduque OFFICE OF BIDS AND AWARDS COMMITTEE Invitation to Bid  Furnishing labor, materials and equipment for the Improvement of Ogbac Multi-Purpose Building/ Evacuation Center (Phase I) a</t>
  </si>
  <si>
    <t xml:space="preserve"> INVITATION TO BID The Brgy. Kabatuan Baybay City, Leyte invites all interested qualified / eligible bidders for the following procurement to wit; Item I Contract Name: Contract Location: Item to be Bid ABC Contract Duration:	KABATUAN202001 REHABILITATION </t>
  </si>
  <si>
    <t xml:space="preserve"> 1.	The Department of Health-Eastern Visayas Center for Health Development  through the Bids and Awards Committee (BAC) invites suppliers to bid for the hereunder projects for CY 2020: Procurement of Hospital Equipment II (DOH  Delivery) 1.	Normal Spontane</t>
  </si>
  <si>
    <t xml:space="preserve"> Republic of the Philippines PROVINCE OF MARINDUQUE Capitol Boac, Marinduque OFFICE OF BIDS AND AWARDS COMMITTEE Invitation to Bid  Furnishing labor, materials and rental of equipment for the Rehab./Improvement of Brgy. Water System at Brgy. Banot, Gasan, </t>
  </si>
  <si>
    <t xml:space="preserve"> Invitation to Bid for SUPPLY AND DELIVERY OF OFFICE EQUIPMENT  FOR MDRRM OFFICE The Municipal Government of Looc, Romblon, through the AO-NO. 018-2019 Regular intends to apply the sum of Eighty Thousand Pesos Only (P 80,000.00) being the Approved Budget f</t>
  </si>
  <si>
    <t xml:space="preserve"> ENGINE Displacement=2000 cc to 3000 cc 130 Hp. To 150 Hp Engine 4 Cylinder 5 speed Manual Control 1 Passenger Front and 12 Passenger Rear Capasity</t>
  </si>
  <si>
    <t xml:space="preserve"> 1. 42.67 bd.ft 4"x 4"x8' COCO LUMBER 2. 32 bd.ft 4"x4"x6' COCO LUMBER 3.180 bd.ft 2"x5"x8' COCO LUMBER 4. 32 bd.ft 2"x4"x12' COCO LUMBER 5. 90 bd.ft 2"x3"x10' COCO LUMBER 6. 301.33 bd.ft 2"x2"x8' COCO LUMBER 7. 6 bd.ft 2"x4"x8' COCO LUMBER 8. 19 pcs 4"x8"</t>
  </si>
  <si>
    <t xml:space="preserve"> INVITATION TO BID FOR  SUPPLY AND DELIVERY OF THREE (3) UNITS DIGITAL DUPLICATORS MACHINE 1.	The Local Government Unit of Laoang, through the Special Education Fund  intends to apply the sum of Four Hundred Fifty Thousand (Php450,000.00) being the Approve</t>
  </si>
  <si>
    <t xml:space="preserve"> Please see attached Bid Document for more details School Sites: 1. Pongayan Elementary School, Kapangan, Benguet = Construction of Retaining Wall 2. Tabio National High School, Mankayan, Benguet = 2 Classrooms Bid Docs Price: PhP5,000.00</t>
  </si>
  <si>
    <t xml:space="preserve"> Please see attached Bid Documents for more details. School Sites 1. Tawang Barrio School, Kapangan, Benguet = 3 classrooms 2. Boneng Elementary School, Atok, Benguet = 9 classrooms Bid Docs Price: PhP5,000.00</t>
  </si>
  <si>
    <t xml:space="preserve"> Republic of the Philippines PROVINCE OF MARINDUQUE Capitol Boac, Marinduque OFFICE OF BIDS AND AWARDS COMMITTEE Invitation to Bid  Furnishing labor, materials and equipment for the Repair/Improvement of Expo, San Miguel, Boac, Marinduque  The Marinduque P</t>
  </si>
  <si>
    <t xml:space="preserve"> Municipality of Dumanjug, Cebu through the SB Resolution No. 2018-136 Series of 2018  intends to apply the sum of TWO MILLION PESOS ONLY (Php 2,000,000.00) being the Approved Budget for the Contract (ABC) to payments under the contract for GOODS 2020-08-0</t>
  </si>
  <si>
    <t xml:space="preserve"> Contract ID: 20GKK0033 Contract Name: Supply and Delivery of Office Equipment to be used by RROW Personnel Contract Location: DPWH-MOFDEO, Gingoog City Brief Description of Goods to be procured: Office Equipment Approved Budget for the Contract (ABC): PhP</t>
  </si>
  <si>
    <t xml:space="preserve"> Invitation to Bid 									August 12, 2020 	 1.	 The Municipal Government of Tinoc through the Bids and Awards Committee advertised an Invitation to bid for the Procurement of Office Supplies, Other Supplies and Materials, Office Equipment and IT Equipmen</t>
  </si>
  <si>
    <t xml:space="preserve"> Contract ID: 20GKK0034 Contract Name: Supply and Delivery of Photocopier/Printer to be used by the PDS and RROW Personnel Contract Location: DPWH-MOFDEO, Gingoog City Brief Description of Goods to be procured: Photocopier/Printer Approved Budget for the C</t>
  </si>
  <si>
    <t xml:space="preserve"> Republic of the Philippines PROVINCE OF MARINDUQUE Capitol Boac, Marinduque OFFICE OF BIDS AND AWARDS COMMITTEE Invitation to Bid  Furnishing labor, materials and equipment for the Concreting/Rehabilitation/Improvement/Upgrading of Balanacan-Argao Provinc</t>
  </si>
  <si>
    <t xml:space="preserve"> INVITATION TO BID NO. GOODS-038-2020 In response to the first advertisement for the Purchase of Rescue Supplies for Water Search and Rescue and Collapse Structure  for the use of Provincial Disaster Risk Reduction and Management Office, one (1) eligible b</t>
  </si>
  <si>
    <t xml:space="preserve"> INVITATION TO BID IB 2020-005N 1.	The Batangas Medical Center through the General Appropriations Act intends to apply the sum of the following projects being the Approved Budget for the Contract (ABC) to payments under the contract for each bid. Bids rece</t>
  </si>
  <si>
    <t xml:space="preserve"> INVITATION TO APPLY FOR ELIGIBILITY AND TO BID (IAEB No. 02 -2020) Republic of the Philippines Barangay Government of Manggagawa Barangay Manggagawa Guinayangan, Quezon Supply and Delivery of Construction Materials 1.	The BARANGAY GOVERNMENT OF MANGGAGAWA</t>
  </si>
  <si>
    <t xml:space="preserve"> Republic of the Philippines Province of Oriental Mindoro MUNICIPALITY OF NAUJAN BIDS &amp; AWARDS COMMITTEE INVITATION TO BID CONSTRUCTION OF ONE (1) UNIT CLASSROOM BUILDING AT MANUEL MARCOS SR. MEMORIAL ELEMENTARY SCHOOL, BARANGAY BAYANI AND ONE (1) UNIT CLA</t>
  </si>
  <si>
    <t xml:space="preserve"> 1. 10.3 cu.m SAND 2. 8.5 cu.m GRAVEL 3. 629 pcs 4" CONCRETE HOLLOW BLOCKS</t>
  </si>
  <si>
    <t xml:space="preserve"> Republic of the Philippines PROVINCE OF MARINDUQUE Capitol Boac, Marinduque OFFICE OF BIDS AND AWARDS COMMITTEE Invitation to Bid  Furnishing labor, materials and equipment for the Concreting of Kasily Road, Sta. Cruz, Marinduque  The Marinduque Provincia</t>
  </si>
  <si>
    <t xml:space="preserve"> Republic of the Philippines  Province of Iloilo Municipality of New Lucena                                                                                                               August 12, 2020                                                       </t>
  </si>
  <si>
    <t xml:space="preserve"> 1. 2.5 cu.m GRAVEL 2. 1 cu.m SAND</t>
  </si>
  <si>
    <t xml:space="preserve"> 1. 106.67 bd.ft 2"x2"x8' COCO LUMBER 2. 160 bd.ft 2"x3"x8' COCO LUMBER</t>
  </si>
  <si>
    <t xml:space="preserve"> Please see attached Bidding Documents for more details. School Sites: 1. Binga Elementary School, Itogon 2. Nawal Elementary School, Bokod Bid Docs Price: PhP1,000.00</t>
  </si>
  <si>
    <t xml:space="preserve"> Republic of the Philippines Province of Leyte BRGY. TOLIBAO, CAPOOCAN, LEYTE -oOo- BIDS AND AWARD COMMITTEE INVITATION TO BID  FOR THE PROCUREMENT OF SUPPLY AND MATERIALS FOR THE IMPROVEMENT OF MULTI-PURPOSE CENTER 1.	The Brgy. Tolibao Capoocan, Leyte, th</t>
  </si>
  <si>
    <t xml:space="preserve"> INVITATION TO BID IB 2020-005M 1.	The Batangas Medical Center through the General Appropriations Act intends to apply the sum of the following projects being the Approved Budget for the Contract (ABC) to payments under the contract for each bid. Bids rece</t>
  </si>
  <si>
    <t xml:space="preserve"> INVITATION TO BID FOR Supply and Delivery of PC Tablet for SDO Benguet Personnel to be used for Webinars and Teleconference (Goods-2020-002) 1. The DepEd CAR, Schools Division of Benguet, through the General Appropriations Act 2020 intends to apply the su</t>
  </si>
  <si>
    <t xml:space="preserve"> INVITATION TO BID IB 2020-005K 1.	The Batangas Medical Center through the General Appropriations Act intends to apply the sum of the following projects being the Approved Budget for the Contract (ABC) to payments under the contract for each bid. Bids rece</t>
  </si>
  <si>
    <t xml:space="preserve"> BRAND NEW VEHICLE 4 X2, 2.4L DIESEL, Sports Utillty Vehicle (SUV)					 Including LTO Registration 					 With rain gutter/visor, tint, floor mats, seat covers, set of tools,  WARRANTY					 ENGINE:					 Type: 4 cylinder In-line, DOHC 16 valve, variable nozz</t>
  </si>
  <si>
    <t xml:space="preserve"> 1. 12 BAGS CEMENT 2. 3 PCS 10MM DSB 3. 11 PCS 1-1/2" G.I. PIPE SCH.40 4. 7 PCS 1/4"X3/4"X3/4" ANGLE BAR 5. 1 SHT G.A. 14 G.I. PLAIN SHEET 6. 1 PC HACKSAW BLADE 7. 2 PCS 4" SANDING DISC 8. 5 KGS WELDING ELECTRODES 9. 5 PCS 1/2" THK MARINE PLYWOOD 10. 2 KGS</t>
  </si>
  <si>
    <t xml:space="preserve"> REPAIR AND MAINTENANCE OF BUILDINGS AND FACILITIES</t>
  </si>
  <si>
    <t xml:space="preserve"> Republic of the Philippines Province of Misamis Oriental Municipality of Initao Invitation to Bid  LOCAL BRIDGE CONSTRUCTION/REHABILITATION AT BARANGAY APAS (PHASE II)  1.	The Municipal Government of Initao, Misamis Oriental, through its Trust and Develop</t>
  </si>
  <si>
    <t xml:space="preserve"> INVITATION TO BID IB 2020-005L 1.	The Batangas Medical Center through the General Appropriations Act intends to apply the sum of the following projects being the Approved Budget for the Contract (ABC) to payments under the contract for each bid. Bids rece</t>
  </si>
  <si>
    <t xml:space="preserve"> The LGU - Mariveles, through the Budget of the Contract Approved by the Sanggunian of 2020 intends to apply the sum of Two Million, Two Hundred Thousand Pesos (Php 2,200,000.00) being the Approved Budget for the Contract (ABC) to payments under the contra</t>
  </si>
  <si>
    <t xml:space="preserve"> Item          Quantity     Unit of Issue   Description 1.                 1,267       boxes            Gloves 2.                 2,093       boxes            Face Masks</t>
  </si>
  <si>
    <t xml:space="preserve"> 20HN0117 -Repair/Reblocking and Maintenance along Intermittent  Sections of Pajo-Basak-Marigondon Road (S00014LP) KM.  11+500 – KM. 12+067, Lapu-Lapu City Scope of Work		:	Reblocking of damaged concrete pavement slabs on  					intermittent sections along </t>
  </si>
  <si>
    <t xml:space="preserve"> Construction of 2 Storey 4 Classroom School Building</t>
  </si>
  <si>
    <t xml:space="preserve"> Specifications: 720 bots. Lagundi 300mg./5ml. 60 ml. syrup 144’s; 144 bots. Mefenamic Acid 50mg. syrup 144’s; 20 bxs. Salbutamol + Ipratropuim Nebule 30’s; 288 bots. Cefuroxime 250mg./5ml Suspension 60ml.; 144 bots. Metronidazole 125mg./5ml. Suspension 60</t>
  </si>
  <si>
    <t xml:space="preserve"> 1.	The Municipal Government of Roxas, Isabela has received the share from the CY 2016 Collection of Burley and Native Excise Tax   and it  intends to apply part or whole of the proceeds of this funds for payment under the contract for the project. Bids re</t>
  </si>
  <si>
    <t xml:space="preserve"> Range 1.5-2.0 kgs</t>
  </si>
  <si>
    <t xml:space="preserve"> 1. The Municipality of Nabas, Aklan through its Special Education Fund (SEF), intends to apply the sum of Four Hundred Five Thousand One Hundred Sixty Pesos and 00/100 only (P 405,160.00) being the Approved Budget for the Contract (ABC) to payment under t</t>
  </si>
  <si>
    <t xml:space="preserve"> Republic of the Philippines Province of North Cotabato Municipality of Pres. Roxas OFFICE OF THE BARANGAY BIDS AND AWARDS COMMITTEE Barangay F. Cajelo INVITATION TO BID The Barangay Local Government Unit of F. Cajelo, President Roxas, thru Barangay Bids a</t>
  </si>
  <si>
    <t xml:space="preserve"> 1. 80 bd.ft 2"x4"x12' GEMILINA (10 PCS) 2. 120 bd.ft 1"x6"x8' GEMILINA (30 PCS)</t>
  </si>
  <si>
    <t xml:space="preserve"> Municipality of Looc Invitation to Bid for Construction of Water Supply System Level II 1.	The Municipality of Looc, through the DILG Trust Fund BUB/LDF intends to apply the sum of Php 8,043,897.00 being the Approved Budget for the Contract (ABC) to payme</t>
  </si>
  <si>
    <t xml:space="preserve"> Republic of the Philippines Department of Science and Technology PHILIPPINE SCIENCEHIGH SCHOOL -  CENTRAL MINDANAO CAMPUS BIDS AND AWARDS COMMITTEE Nangka, Balo-i, Lanao del  Norte Telephone Nos. (063) 836-0098 www.cmc.pshs.edu.ph INVITATION TO BID FOR TH</t>
  </si>
  <si>
    <t xml:space="preserve"> INVITATION TO BID NO. GOODS-039-2020 In response to the first advertisement for the Purchase of rescue equipment for  the Provincial Disaster Risk Reduction and Management Office, one (1) eligible bidder purchased &amp; submitted bidding documents but failed </t>
  </si>
  <si>
    <t xml:space="preserve"> 1 Unit = BRAND NEW SIX (6) WHEELER DUMP TRUCK SPECIFICATION: Drive System: 4x2 Six (6) Wheeler Gross Weight: 10,000 kg. - 13,000 kg. Engine: Diesel, Turbo-Charged &amp; Inter-cooled, 4-Cycle, Vertical, 4-Cylinder, Inline, Overhead Camshaft, Water-cooled, Dire</t>
  </si>
  <si>
    <t xml:space="preserve"> Construction of 4 Storey 8 Classroom School Building</t>
  </si>
  <si>
    <t xml:space="preserve"> Specifications: 75 vials ERIG (Equine Rabies Immunoglobulin); 100 vials Speeda Vaccine; 150 amp TETANUS Toxoid ampule</t>
  </si>
  <si>
    <t xml:space="preserve"> ITEM NO.	Unit of issue	ITEM &amp;DESCRIPTION	Brand &amp; Model	QTY.	 1	unit	1. ArcGIS Educational Program for Windows 10		1	 		-Up to maximum fifty (50) licenses ArcGIS			 		Desktop Advance (ArcGIS Pro and ArcMap)			 		with extensions:			 		-3D Analyst			 		-Data</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</si>
  <si>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</si>
  <si>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</si>
  <si>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1.	The Provincial Government of Batanes, through the 2020 – 20% Development Fund and 2018 Supplemental Budget, intends to apply the sum of Four Million Four Hundred Eighty-four Thousand One Hundred Sixteen Pesos and 07/100 (4,484,116.07) being the Approve</t>
  </si>
  <si>
    <t xml:space="preserve"> Contract ID: 20GKK0038 Contract Name: Supply and Delivery of Consumable Supplies for Develop Ineo+ 3850 Printer to be used at Administrative Section, Cash Unit, Supply, ICT, COA and Finance Section Contract Location: DPWH-MOFDEO, Gingoog City Brief Descri</t>
  </si>
  <si>
    <t xml:space="preserve"> 1.	The Department of Health-Eastern Visayas Center for Health Development  through the Bids and Awards Committee (BAC) invites suppliers to bid for the hereunder projects for CY 2020: Procurement of  Hospital Equipment I (On-site Delivery) 1)	X-ray Machin</t>
  </si>
  <si>
    <t xml:space="preserve"> 20HN0118 -Repainting of Mandaue Flyover (B00590CB) Mandaue City Scope of Work		:	Repainting of Flyover The GPPB Resolution No. 09-2020 approved measures allowing the (i) submission of procurement related documents, except for the submission and receipt of</t>
  </si>
  <si>
    <t xml:space="preserve"> Republic of the Philippines Province of Leyte BRGY. CABUL-AN, CAPOOCAN, LEYTE -oOo- BIDS AND AWARD COMMITTEE INVITATION TO BID  FOR THE SUPPLY AND DELIVERY OF MATERIALS FOR THE CONSTRUCTION OF TANOD OUTPOST 1.	The Brgy. Cabul –an,Capoocan, Leyte, through </t>
  </si>
  <si>
    <t xml:space="preserve"> Republic of the Philippines Province of Nueva Vizcaya Municipality of Solano -o0o- INVITATION TO BID FOR Supply &amp; Delivery of One (1) Unit Digital Color Copier Memory With smart Operating Panel   (SOLANO 097-2020) 1.	The Local Government Unit of Solano, N</t>
  </si>
  <si>
    <t xml:space="preserve"> Spareparts and Oil Lubricants</t>
  </si>
  <si>
    <t xml:space="preserve"> OPENING OF BIDS IN DSWD FO IX ZAMBOANGA CITY				 DELIVERY IN RSCC-DSWD, MAMPANG ZAMBAONGA CITY				 PROCUREMENT FOR THE FF.:				 				 1 LOT FURNITURE AND FIXTURE				 3	SET	SALA SET	@	 14,800.00  3	PCS	CHANDELIER	@	 14,500.00  12	PCS	FRAMES	@	 1,500.00  10	</t>
  </si>
  <si>
    <t xml:space="preserve"> SEE POW</t>
  </si>
  <si>
    <t xml:space="preserve"> Construction Projects-Subdivision &amp; Road Development for Tandag Housing &amp; Resettlement (Main Subdivision Road)Mabua-Telaje, Tandag City</t>
  </si>
  <si>
    <t xml:space="preserve"> Contract ID: 20GKK0039 Contract Name: Supply and Delivery of SS1 - Emulsified Asphalt to be used for Act. III - Premix Patching Bitominous Pavement along BCIR Contract Location: DPWH-MOFDEO, Gingoog City Brief Description of Goods to be procured: SS1-Emul</t>
  </si>
  <si>
    <t xml:space="preserve"> SUPPLY AND DELIVERY OF CONSTRUCTION MATERIALS AND SUPPLIES (GOODS-2020-015) - REBID   1.	The Government of the Philippines, through the Puerto Princesa City Water District  intends to apply the sum of  Six Hundred Eighty Thousand Eight Hundred Thirty-Nine</t>
  </si>
  <si>
    <t xml:space="preserve"> Republic of the Philippines Province of Nueva Vizcaya Municipality of Solano -o0o- INVITATION TO BID FOR ABC for Lot 1 – Supply &amp; Delivery of materials for the Construction of  	    Drainage System along Silauan St. Brgy. Roxas, SNV 	      P693,020.00   A</t>
  </si>
  <si>
    <t xml:space="preserve"> Construction of 4 Storey 20 Classroom School Building</t>
  </si>
  <si>
    <t xml:space="preserve"> INVITATION TO BID Printing and Delivery of Modules to SDO Parañaque Schools 	The Department of Education, through the DepEd Basic Education Learning Continuity Plan (BE-LCP), provision of learning resources with Sub-ARO NCR 20-07-774 and NCR 20-07-790 dat</t>
  </si>
  <si>
    <t xml:space="preserve"> Supply and Delivery of One (1) Unit Multi Cab (Rebuilt/Reconditioned), Ugac Sur, Tuguegarao City</t>
  </si>
  <si>
    <t xml:space="preserve"> Approved Budget for the Contract (ABC):  Php 140,000.00 Description of Goods and Quantity Required:  Supply and installation of a Paperless Board Meeting Solution for One (1) Year Subscription  Documentary Requirements:	 1.	Quotation Form 2.	Valid PhilGEP</t>
  </si>
  <si>
    <t xml:space="preserve"> Furniture and Fixtures</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</si>
  <si>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</si>
  <si>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Other Machinery and Equipment</t>
  </si>
  <si>
    <t xml:space="preserve"> Contract ID: 20GKK0037 Contract Name: Supply and Delivery of Office Supplies to be used at DPWH-MOFDEO (All Section) Contract Location: DPWH-MOFDEO, Gingoog City Brief Description of Goods to be procured: Office Supplies Approved Budget for the Contract (</t>
  </si>
  <si>
    <t xml:space="preserve"> BLGU Barangay Norte, Patnanungan, Quezon			                    Ref.		See other bid docs                                                                                            	 Name of Project	As shown                                                  </t>
  </si>
  <si>
    <t xml:space="preserve"> Republic of the Philippines Province of Batangas MUNICIPALITY OF LOBO Invitation to Bid for the SUPPLY OF MATERIALS, LABOR AND EQUIPMENT FOR THE CONSTRUCTION OF ADDITIONAL STRUCTURE FOR LOBO PUBLIC MARKET AT BARANGAY POBLACION, LOBO, BATANGAS Contract ID </t>
  </si>
  <si>
    <t xml:space="preserve"> Republic of the Philippines Cordillera Administrative Region Province of Kalinga B A L B A L A N MUNICIPALITY OF BALBALAN Invitation to Apply for Eligibility and to Bid for the COMPLETION OF BUAYA BARANGAY HEALTH CLINIC, MAPITPITA, BUAYA, BALBALAN, KALING</t>
  </si>
  <si>
    <t xml:space="preserve"> 1. The Municipality of Nabas, Aklan through its Special Education Fund, intends to apply the sum of One Hundred Ninety Five Thousand Five Hundred Pesos and 00/100 only (P 195, 500.00) being the Approved Budget for the Contract (ABC) to payment under the c</t>
  </si>
  <si>
    <t xml:space="preserve"> REPUBLIC OF THE PHILIPPINES PROVINCE OF LA UNION MUNICIPALITY OF CABA BIDS AND AWARDS COMMITTEE INVITATION TO BID FOR THE PROCUREMENT OF INFRASTRUCTURE PROJECTS OF THE MUNICIPALITY The Local Government Unit of Caba, La Union, through the 2020 – 20% Mun. D</t>
  </si>
  <si>
    <t xml:space="preserve"> Purchase &amp; Delivery of five (5) units Patrol/Rescue Vehicle Brand New Patrol/Rescue Vehicle Engine: 0.8 Liter 8 Valve inline 2 Turbo DDis   Max. Power: 32Ps@3500rpm   Max. Torque:  72Nm@2000rpm   Transmission: 5Speed manual Clutch: Hydraulic Cable Type Ge</t>
  </si>
  <si>
    <t xml:space="preserve"> Name of Project	:	Procurement of Laboratory Equipment / Reagent Tie-up 2020 Location		:	MHARSMC, Mindog, Maningcol, Ozamiz City Brief Description	:	Laboratory Equipment / Reagent Tie-up 2020 Approved Budget for the Contract	:	Php 7,339,637.00 total or cor</t>
  </si>
  <si>
    <t xml:space="preserve"> INVITATION TO APPLY FOR ELIGIBILITY AND TO BID The Barangay Local Government Unit of Brgy. Taliwa, Malitbog, Southern Leyte, through its Bids and Awards Committee (BAC) invites contractors registered with and classified by the Philippine Contractors Accre</t>
  </si>
  <si>
    <t xml:space="preserve"> INVITATION TO BID IB No. GS-2020 – 099 Vehicle for use of Bulalacao Community Hospital (BCH) 1. The  Provincial  Government  of  Oriental  Mindoro  (PGOM)  through  the  General Fund intends  to  apply  the  sum  of  Two Million Five Hundred Thousand Peso</t>
  </si>
  <si>
    <t xml:space="preserve"> The Local Government Unit of Santa Fe, Nueva Vizcaya, through its Bids &amp; Awards Committee invites contractors to bid for the following project: Contract Name: 	PROCUREMENT OF ONE (1) UNIT BRAND NEW PICK-UP 4 x 4 MANUAL Contract Location: MEO, Santa Fe, Nu</t>
  </si>
  <si>
    <t xml:space="preserve"> Republic of the Philippines Province of Nueva Vizcaya BIDS AND AWARDS COMMITTEE (BAC-GOODS) BAC OFFICE, Provincial Capitol, Bayombong, Nueva Vizcaya Tel. No. (078) 392-2650 	 INVITATION TO BID FOR THE SUPPLY AND DELIVERY OF MEDICAL SUPPLIES FOR THE NUEVA </t>
  </si>
  <si>
    <t xml:space="preserve"> Municipality of  Sogod, Cebu					Contract Ref. No.-0007-2020 Additional Works for Sogod Level II Waters System (Ampongol Source), Sogod, Cebu 		 Standard Form Number: SF-INFR-05 Revised on: July 29, 2004 INVITATION TO BID The Municipality of Sogod  throug</t>
  </si>
  <si>
    <t xml:space="preserve"> Material Recovery Facility Re: Machineries Machine 1: Glass Pulverizer Model: MGP-300, Capacity:300kg/hr; Drive: Electric; Motor: 7.5 horse power; Power Supply: 220 volts, 3 phase; Chamber size: 300mm x 260mm; Screen Hole size: 3/16" diameter; No. of cutt</t>
  </si>
  <si>
    <t xml:space="preserve"> Republic of the Philippines PROVINCE OF PAMPANGA City of San Fernando INVITATION TO BID NO. 2020-31 IG - BAC INVITATION TO BID FOR PURCHASE REQUEST NOS. 20-1811, 20-1539, 20-1538, 20-1451, 20-1455, 20-1535, 20-1543, 20-1545 and 20-1547 The Provincial Gove</t>
  </si>
  <si>
    <t xml:space="preserve"> CATERING SERVICES FOR TEACHERS DAY FOR TEACHERS</t>
  </si>
  <si>
    <t xml:space="preserve"> Other Supplies and Materials Expense</t>
  </si>
  <si>
    <t xml:space="preserve"> Supply and delivery of various office supplies of different offices of the LGU-San Enrique, Iloilo.  Approved Budget for the Contract: Php. 324,457.00</t>
  </si>
  <si>
    <t xml:space="preserve"> Republic of the Philippines Cordillera Administrative Region Province of Kalinga B A L B A L A N MUNICIPALITY OF BALBALAN Invitation to Apply for Eligibility and to Bid for the CONSTRUCTION OF CANAO DAY CARE CENTER BUILDING, MABACA, BALBALAN, KALINGA PROV</t>
  </si>
  <si>
    <t xml:space="preserve"> Supply and delivery of face shields to be distributed to various baranagay of Capas, Tarlac</t>
  </si>
  <si>
    <t xml:space="preserve"> Republic of the Philippines Province of Nueva Vizcaya Municipality of Solano -o0o- INVITATION TO BID FOR ABC for Lot 1 – Upgrading of Montan Road in Brgy. PD Galima,  					PD Galima- Uddiawan, SNV.	P6,999,828.11 ABC for Lot 2 -Upgrading of Silap Road, Sit</t>
  </si>
  <si>
    <t xml:space="preserve"> 1.	The Bids and Awards Committee of the Local Government Unit of Tukuran, Zamboanga del Sur, through the LGSF-DILG-AM2020  intends to apply the sum of Php9,892,910.65 being the Approved Budget for the Contract (ABC) to payments under the contract for Conc</t>
  </si>
  <si>
    <t xml:space="preserve"> PROPOSED SITE DEVELOPMENT OF 1) PS # 441 SICO 10 (CATALINA VILLAGE 2), CATALINA VILLAGE, BRGY. SICO, LIPA CITY; 2) PS # 482 BUGTONG 5 (SUNNY VALE), SUNNYVALE SUBDIVISION, BRGY. BUGTONG NA PULO, LIPA CITY; AND 3) PS # 479 PAG-OLINGIN BATA 2, BRGY. PAG-OLIN</t>
  </si>
  <si>
    <t xml:space="preserve"> Republic of the Philippines Province of Romblon MUNICIPALITY OF ALCANTARA -o0o- Invitation to Bid for   CONSTRUCTION OF BONLAO MULTI-PURPOSE HALL Bonlao, Alcantara, Romblon The Municipal Government of Alcantara, Romblon through the  20% Development Plan (</t>
  </si>
  <si>
    <t xml:space="preserve"> Republic of the Philippines Province of Batangas MUNICIPALITY OF LOBO Invitation to Bid for the SUPPLY OF HIGH SPEED/HIGH VOLUME COPIER, NETWORK PRINTER AND SCANNER (3 IN 1) FOR VARIOUS SCHOOLS AT LOBO, BATANGAS Contract ID No. 20-SEF-001 			 1.The Munici</t>
  </si>
  <si>
    <t xml:space="preserve"> PGBH-2020-0199 PR2020-0581 INVITATION TO BID FOR THE BULK PROCUREMENT OF FUEL (DIESEL AND GASOLINE) FOR USE BY VARIOUS OFFICE OF PGBH OFFICES - 2ND SEMESTER OF YEAR 2020 ABC: P 8,477,465.59 COST OF BID DOCUMENTS: P 10,000.00 ADVERTISEMENT PERIOD: AUGUST 1</t>
  </si>
  <si>
    <t xml:space="preserve"> The Bids &amp; Awards Committee (BAC) of Barangay Lamacan, Argao, Cebu, invites all interested suppliers/manufacturers/distributors/contractors/consultants to apply for eligibility and to submit bids for the following: ITEM NO. 1 Installation of Project Signb</t>
  </si>
  <si>
    <t xml:space="preserve"> Republic of the Philippines  Province of La Union  Municipality of Bacnotan  Bids and Awards Committee  INVITATION TO BID FOR  Supply and Delivery of Medical Equipments for the Municipal Health Office (MHO) 1.	The Municipality of Bacnotan, through the 20%</t>
  </si>
  <si>
    <t xml:space="preserve"> 1. 12 BOT AIR FRESHENER (SPRAY) 310 ML 2. 1 BOT AIR FRESHENER (CANESTER) 3. 10 PCS ALBATROSS 4. 168 PCS BALL PEN PILOT (BLACK/BLUE) 5. 6 BOX BINDER CLIP (BIG) 6. 6 PCS BINDER CLIP (SMALL) 7. 1 BOX BINDER CLIP (3/4) 8. 214 PCS BROWN ENVELOPE LONG 9. 50 PCS</t>
  </si>
  <si>
    <t xml:space="preserve"> Completion of Multi - Purpose Hall, Namabbalan Norte, Tuguegarao City, Cagayan</t>
  </si>
  <si>
    <t xml:space="preserve"> INVITATION TO BID INVITATION TO BID FOR SUPPLY AND DELIVERY OF GOODS (EASTERN SAMAR LIVELIHOOD SEEDING PROGRAM) 1. The Department of Trade and Industry, Regional Office No. 8, through the R. A. 11465 GAA 2020 intends to apply the sum of FIVE MILLION ONE H</t>
  </si>
  <si>
    <t xml:space="preserve"> Republic of the Philippines PROVINCE OF QUIRINO Cabarroguis -oOo- BIDS AND AWARDS COMMITTEE INVITATION TO BID FOR  Procurement of Various Fruit &amp; Forest Tree Seedlings for replanting of QIADP beneficiaries Contract No. PB-GS-2020-014 							August 12, 202</t>
  </si>
  <si>
    <t xml:space="preserve"> The DPWH, Negros Occidental 3rd District Engineering Office, Kabankalan City, Negros Occidental, through its Bids and Awards Committee (BAC), invites contractors to submit bids for the following contract: 1. Contract ID		:	20GM0084 Contract Name	:	Constru</t>
  </si>
  <si>
    <t xml:space="preserve"> Purchase of Tent/canopies cover</t>
  </si>
  <si>
    <t xml:space="preserve"> Republic of the Philippines Province of Nueva Vizcaya BIDS AND AWARDS COMMITTEE (BAC-Goods) BAC OFFICE, Provincial Capitol, Bayombong, Nueva Vizcaya Tel. No. 078-392-2062 	 2ND INVITATION TO BID FOR THE SUPPLY AND DELIVERY OF 1 SET SOUND SYSTEM W/ INSTALL</t>
  </si>
  <si>
    <t xml:space="preserve"> 1. 1.29 cu.m GRAVEL 2. 0.65 cu.m SAND</t>
  </si>
  <si>
    <t xml:space="preserve"> Republic of the Philippines PROVINCE OF CAMARINES SUR BIDS AND AWARDS COMMITTEE ITB No. 049-09-2020 INVITATION TO BID  	The Provincial Government of Camarines Sur (PGCS) through its Bids and Awards Committee (BAC) invites suppliers/manufacturers/distribut</t>
  </si>
  <si>
    <t xml:space="preserve"> Republic of the Philippines  Province of La Union  Municipality of Bacnotan  Bids and Awards Committee  INVITATION TO BID FOR  Supply and Delivery of Information Technology Equipment  1.	The Municipality of Bacnotan, through the General Fund intends to ap</t>
  </si>
  <si>
    <t xml:space="preserve"> INVITATION TO BID ITB NO. 2020-007 RE-BID ELECTRIFICATION OF UN-ENERGIZED SCHOOLS AND MODERNIZATION OF  ELECTRICAL SYSTEMS ON-GRID SCHOOLS CY 2020  The Government of the Philippines, through the Department of Education, Division of Surigao del Sur, intend</t>
  </si>
  <si>
    <t xml:space="preserve"> Republic of the Philippines  Province of La Union  Municipality of Bacnotan  Bids and Awards Committee  INVITATION TO BID FOR  Supply and Installation of Air-conditioning Units  1.	The Municipality of Bacnotan, through the General Fund intends to apply th</t>
  </si>
  <si>
    <t xml:space="preserve"> The Department of Public Works and Highways – Cordillera Administrative Region, through its Bids and Awards Committee (BAC) for Goods, invites suppliers to submit bids for the contract below: Contract ID No.:	20GP00088 Contract Name:	Procurement of Fuel f</t>
  </si>
  <si>
    <t xml:space="preserve"> Minimum Specifications: •	30 mbps CIR (upstream-downstream) •	30 mbps port speed •	1 IP block/range address with at least 5 usable IPs •	Inclusive of supply and installation of fiber optic cable from supply area to DOLE-BLE server room •	Inclusive of devi</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</si>
  <si>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</si>
  <si>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Republic of the Philippines PROVINCE OF QUIRINO Cabarroguis -oOo- BIDS AND AWARDS COMMITTEE INVITATION TO BID FOR  Procurement of Medical Supplies for QIP  Contract No. PB-GS-2020-016 							August 12, 2020 1.	The Bids and Awards Committee (BAC) of the Pr</t>
  </si>
  <si>
    <t xml:space="preserve"> Standard Form Number: SF-INFR-05 Revised on: July 29, 2004        INVITATION TO APPLY FOR ELIGIBILITY AND TO BID The LOCAL GOVERNMENT UNIT OF UNISAN, QUEZON, through its Bids and Awards Committee (BAC), invites contractors registered with and classified b</t>
  </si>
  <si>
    <t xml:space="preserve"> Republic of the Philippines Province of Romblon MUNICIPALITY OF ALCANTARA -oOo- INVITATION TO BID FOR PROCUREMENT OF MEDICAL, DENTAL AND LABORATORY SUPPLIES Poblacion, Alcantara, Romblon The Local Government Unit of Alcantara, Romblon, through the GENERAL</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</si>
  <si>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</si>
  <si>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COCONUT COIR BASED ORGANIC FERTILIZER (CCBOF) Moisture Content		:	10- 35% Total NPK				:	5-10% Salmonella				:	0 Organic Matter Content	:	Not less than 20% Net Weight				:	40 kg/bag Color					:	Brown to Black Physical Appearance		:	Friable Odor					:	No F</t>
  </si>
  <si>
    <t xml:space="preserve"> PEO-2020-0200 PR2020-0582 INVITATION TO BID FOR THE PROCUREMENT OF DIESEL FUEL FOR USE IN THE PROJECT MANAGEMENT DIVISION I, II, &amp; III, ETC., IN THE PROVINCIAL ENGINEER'S OFFICE, TAGBILARAN CITY ABC: P 5,500,000.00 COST OF BID DOCUMENTS: P 10,000.00 ADVER</t>
  </si>
  <si>
    <t xml:space="preserve"> Specs or Item	Unit	DESCRIPTION				Qty 						 102	cu.m.	Excavation				92.04 105	sq.m.	Subgrade Preparation				624.4 201	sq.m.	Aggregate Base Course				624.40 311	sq.m.	Portland Cement Concrete Pavement				446.00 500	L.m.	Pipe Culverts and Storm Drains				7</t>
  </si>
  <si>
    <t xml:space="preserve"> Invitation to Bid 2020-006 RE-BID REPAIR/REHABIILITATION OF CLASSROOMS BEFF CY 2020 1.	The Government of the Philippines, through the Department of Education, Division of Surigao del Sur, through the Basic Education Facilities Fund (BEFF) intends to apply</t>
  </si>
  <si>
    <t xml:space="preserve"> Contract ID: 20GKK0041 Contract Name: Supply and Delivery of IT Equipment to be used for Technical and Administrative Application Contract Location: DPWH-MOFDEO, Gingoog City Brief Description of Goods to be procured: Office Equipment Approved Budget for </t>
  </si>
  <si>
    <t xml:space="preserve"> Republic of the Philippines Department of Health DAVAO REGIONAL MEDICAL CENTER Apokon, Tagum City BIDS AND AWARDS COMMITTEE Invitation to Bid for the SUPPLY &amp; DELIVERY OF MEDICAL SUPPLIES 1.	The Davao Regional Medical Center (DRMC), through the GAA/HOSPIT</t>
  </si>
  <si>
    <t xml:space="preserve"> Republic of the Philippines Province of Nueva Vizcaya Municipality of Solano -o0o- INVITATION TO BID FOR Construction of Multi Purpose Building/Warehouse Phase II Municipal Compound, SNV.   (SOLANO 098-2020) 1.	The Local Government Unit of Solano, Nueva V</t>
  </si>
  <si>
    <t xml:space="preserve"> INVITATION FOR NEGOTIATED PROCUREMENT (pursuant to Section 53.1 of the IRR of R.A. 9184 CONTRACT ID: 20-03-070 REBID Contract Name: PROCUREMENT OF LABORATORY REAGENTS AND SUPPLIES Approved Budget for the Contract (ABC) : Php 1,567,362.00 1. The DOH - ZAMB</t>
  </si>
  <si>
    <t xml:space="preserve"> Republic of the Philippines  Province of La Union  Municipality of Bacnotan  Bids and Awards Committee  INVITATION TO BID FOR  Supply and Delivery of Equipments for the Municipal Disaster and Risk Reduction Management Council (MDRRMC) 1.	The Municipality </t>
  </si>
  <si>
    <t xml:space="preserve"> Republic of the Philippines Cordillera Administrative Region Province of Kalinga B A L B A L A N MUNICIPALITY OF BALBALAN Invitation to Apply for Eligibility and to Bid for the CONSTRUCTION OF BALBALAN BRGY. HALL PROTECTION WALL, BALBALAN PROPER, BALBALAN</t>
  </si>
  <si>
    <t xml:space="preserve"> 15   sets   Modular Tents</t>
  </si>
  <si>
    <t xml:space="preserve"> 1.  1,000  mtrs.    Insulated Alu. Wire #6 2.  10       units    BPR210 LED 34/CW DW3 MPI, 27 watts 3.  3         lgths.   1-1/2 dia. G.I Pipe S40 4.  4         lgths.   1/4" x 1" x 1" Angle Bar 5.  3         lgths.   16mm Squarre Bar 6.  20       pcs.   </t>
  </si>
  <si>
    <t xml:space="preserve"> 1 unit Good Quality Chainsaw (big)</t>
  </si>
  <si>
    <t xml:space="preserve"> Republic of the Philippines PROVINCE OF QUIRINO Cabarroguis -oOo- BIDS AND AWARDS COMMITTEE INVITATION TO BID FOR  Procurement of Various Fruit and Forest Tree Seedlings to be distributed to the  Forest Protection Program (FPP) beneficiaries Contract No. </t>
  </si>
  <si>
    <t xml:space="preserve"> 1.  324   bags   40 kg. Portland Cement Type - 1 2.  36     cu.m.  3/4" dia. Gravel (approved source) 3.  18     cu.m.  Wash Sand (approved source) 4.  8       lgths.  16mm dia. Def. Bars, Grade 40 5.  2       lgths.  16mm dia. Round Bars, Grade 40 6.  2 </t>
  </si>
  <si>
    <t xml:space="preserve"> Contract ID: 20GKK0040 Contract Name: Supply and Delivery of Consumables for Fuji Xerox DCS C2020 and Docucentre S2520 to be used at Records Unit, BAC-TWG, Monitoring Unit, QAS, Maintenance, PDS and Construction Section Contract Location: DPWH-MOFDEO, Gin</t>
  </si>
  <si>
    <t xml:space="preserve"> INVITATION TO BID IB-2020-118-INFRA         Rehabilitation of Maytunas Creek, Mandaluyong City 1.	The Metropolitan Manila Development Authority, through the 2020 General Appropriations Act (GAA) intends to apply the sum of Twenty-Three Million, Four Hundr</t>
  </si>
  <si>
    <t xml:space="preserve"> 1.  1  unit   Floor Mounted Air Conditioning  - P70,000.00 2.  2  units  Window Type Air Conditioning - P30,000.00</t>
  </si>
  <si>
    <t xml:space="preserve"> Veterinary Medical Supplies</t>
  </si>
  <si>
    <t xml:space="preserve"> ITEM           DESCRIPTION                                  QTY.                  UNIT I.              Construction of Stage                         3.5x4               sq.m.</t>
  </si>
  <si>
    <t xml:space="preserve"> INVITATION TO BID IB-2020-111-INFRA         Drainage Improvement along Susano Road, District I, Caloocan City 1.	The Metropolitan Manila Development Authority, through the 2020 General Appropriations Act (GAA) intends to apply the sum of Eight Million, Fo</t>
  </si>
  <si>
    <t xml:space="preserve"> I. CONCRETE WORKS 32.28 SQ.M. (FLOORING)</t>
  </si>
  <si>
    <t xml:space="preserve"> TILE SETTING,PLUMBING AND PAINTING WORKS.</t>
  </si>
  <si>
    <t xml:space="preserve"> Republic of the Philippines Province of Iloilo MUNICIPALITY OF CARLES INVITATION TO BID 1.0 The Municipal Government of Carles, Province of Iloilo through its REALIGNMENT OF 20% IRA DEVELOPMENT FUND 2020 intends to apply the sum of One Million Forty Nine </t>
  </si>
  <si>
    <t xml:space="preserve"> Republic of the Philippines Province of Guimaras OFFICE OF THE BIDS AND AWARDS COMMITTEE INVITATION TO BID FOR    SUPPLY AND DELIVERY OF REPRODUCTION MACHINE  AND DUPLICATING MACHINE INK Bid Ref. No. 2020-08-449 1.	The Province of Guimaras , through the S</t>
  </si>
  <si>
    <t xml:space="preserve"> Republic of the Philippines Province of Oriental Mindoro MUNICIPALITY OF GLORIA Invitation to Bid ITB No. 2020-012   Concreting of Local Access Road (Upgrading of Brgy. Banutan  to Brgy. G. Antonino Road) 1.	The Municipality of Gloria, through Local Gover</t>
  </si>
  <si>
    <t xml:space="preserve"> 1.  324   bags   40 kg. Portland Cement Type-1 2.  36     cu.m.  3/4" dia. Gravel (approved source) 3.  18     cu.m.  Wash Sand (approved source) 4.  8       lgths.  16mm dia. Def. Bars, Grade 40 5.  2       lgths.  16mm dia. Round Bars, Grade 40 6.  2   </t>
  </si>
  <si>
    <t xml:space="preserve"> 1.   60    bags    Portland Cement 2.   400  pcs.     4" Concrete Hollow Blocks 3.   2      cu.m.  Sand 4.   3      cu.m.  Gravel 5.   50    lgths.   16mm def. bars, grade 33 6.   40    lgths.   10mm def. bars, grade 33 7.   10    kls.      #16 Tie Wire 8</t>
  </si>
  <si>
    <t xml:space="preserve"> Republic of the Philippines Province of Romblon MUNICIPALITY OF ALCANTARA -oOo- INVITATION TO BID FOR PURCHASE OF MATERIALS FOR MOTHER AND BABY KITS Poblacion, Alcantara, Romblon The Local Government Unit of Alcantara, Romblon, through the GAD FUND CY 202</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</si>
  <si>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</si>
  <si>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 2 BOT INK 003 MAGENTA 2. 2 BOT INK 003 CYAN 3. 2 BOT INK 003 YELLOW 4. 4 BOT INK 003 BLACK 5. 13 REAM US BOND PAPER (LONG) 6. 5 REAM US BOND PAPER (A4)</t>
  </si>
  <si>
    <t xml:space="preserve"> 80 Unit	DESKTOP COMPUTER: 	PROCESSOR: Intel Core i7 - 9700 U Processor MEMORY: 8 GB DDR4 Memory, STORAGE: 1 TB HDD+128 SSD, 2GB Video Memory, GRAPHICS CARD:  2 GB, DVD-Writer, Wifi, Gigabit LAN, Card Reader, Keyboard and Mouse, 23.6 INCH  MONITOR W/ ODD, </t>
  </si>
  <si>
    <t xml:space="preserve"> Invitation to Bid for Supply and Delivery of Various Valves and Fittings for Fabrication and Installation of Discharge Line for the Construction of  Tigayon Pumping Station No. 2 1.	The METRO KALIBO WATER DISTRICT, through the Corporate Budget for the con</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</si>
  <si>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</si>
  <si>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HOP-QR-PRO-005 Republic of the Philippines Department of Health DAVAO REGIONAL MEDICAL CENTER Apokon, Tagum City BIDS AND AWARDS COMMITTEE Invitation to Bid for the SUPPLY &amp; DELIVERY OF TEXTILE 1.	The Davao Regional Medical Center (DRMC), through the HOSP</t>
  </si>
  <si>
    <t xml:space="preserve"> Republic of the Philippines  Province of La Union  Municipality of Bacnotan  Bids and Awards Committee  INVITATION TO BID FOR  Supply and Delivery of School Supplies for the “Tulong para sa Mag-aaral” Project 1.	The Municipality of Bacnotan, through the G</t>
  </si>
  <si>
    <t xml:space="preserve"> 1. 90 BOX INFANT MILK SUPPLEMENT (0-6 MONTHS) 400 GRAMS 2. 130 BOX INFANT MILK SUPPLEMENT (6-12 MONTHS) 400 GRAMS 3. 200 BOX INFANT MILK SUPPLEMENT (1-3 YRS OLD) 400 GRAMS</t>
  </si>
  <si>
    <t xml:space="preserve"> ION TO BID FOR THE PROPOSED CONCRETING OF BARANGAY AUDITORIUM/BASKETBALL COURT AT BARANGAY PANDAN, CITY OF ALAMINOS, PANGASINAN 1. The BARANGAY COUNCIL OF PANDAN,  ALAMINOS, PANGASINAN through its Development Fund intends to apply an amount of Two Hundred</t>
  </si>
  <si>
    <t xml:space="preserve"> Procurement of Vehicle Rental  12	unit	For the conduct of Project monitoring and evaluation of various projects of the SAAD Program in the Province of Antique on September-December 2020 •	4WD vehicle with minimum capacity of 4 passengers •	Inclusion of dr</t>
  </si>
  <si>
    <t xml:space="preserve"> INVITATION TO BID The Department of Public Works and Highways, Cavite 3rd District Engineering Office, through its Bids and Awards Committee (BAC), invites suppliers to submit bids for the following Contract:  1.  Contract ID No.	 : 	20GDQ0026 Contract Na</t>
  </si>
  <si>
    <t xml:space="preserve"> Republic of the Philippines  Province of La Union  Municipality of Bacnotan  Bids and Awards Committee  INVITATION TO BID FOR  Supply and Delivery of Modules for Day Care Pupils 1.	The Municipality of Bacnotan, through the General Fund intends to apply th</t>
  </si>
  <si>
    <t xml:space="preserve"> Fuels (Deisel and Lubricants) (attached request for quotation)</t>
  </si>
  <si>
    <t xml:space="preserve"> Republic of the Philippines Province of Cagayan Tuguegarao City Invitation to Bid for Illumination of Road at Regional Government Center (R02) Tuguegarao, City  1.	The Provincial Government of Cagayan, through the General Fund intends to apply the sum of </t>
  </si>
  <si>
    <t xml:space="preserve"> CONSTRUCTION/IMPROVEMENT/REHABILITATION OF SLOPE PROTECTION LUMANG KALYE @ SAN ANTONIO, SAN PASCUAL, BATANGAS</t>
  </si>
  <si>
    <t xml:space="preserve"> Republic of the Philippines Province of La union Municipality of Bacnotan INVITATION TO BID The Local Government of  Bacnotan through its Bids and Awards Committee (BAC) invites contractors to submit bids for the following contract. Contract Name: MULTI-P</t>
  </si>
  <si>
    <t xml:space="preserve"> Concreting of Tourism Access Road leading to Kawasan Falls</t>
  </si>
  <si>
    <t xml:space="preserve"> Republic of the Philippines Province of Iloilo MUNICIPALITY OF CARLES INVITATION TO BID 1.0 The Municipal Government of Carles, Province of Iloilo through its REALIGNMENT OF 20% IRA DEVELOPMENT FUND 2020 intends to apply the sum of Two Million Pesos Only </t>
  </si>
  <si>
    <t xml:space="preserve"> HOP-QR-PRO-005 Republic of the Philippines Department of Health DAVAO REGIONAL MEDICAL CENTER Apokon, Tagum City BIDS AND AWARDS COMMITTEE Invitation to Bid for the SUPPLY &amp; DELIVERY OF HOUSEKEEPING SUPPLIES 1.	The Davao Regional Medical Center (DRMC), th</t>
  </si>
  <si>
    <t xml:space="preserve"> Republic of the Philippines  Province of La Union  Municipality of Bacnotan  Bids and Awards Committee  INVITATION TO BID FOR  Provision of Farm Inputs and Implements For Farmers-LBM No. 79 1.	The Municipality of Bacnotan, through the RA 7171 intends to a</t>
  </si>
  <si>
    <t xml:space="preserve"> ITEM NO.	QUANTITY	UNIT	DESCRIPTION 			 105	5,000	m2	Subgrade Preparation 201	750	m3	Aggregate Base Course SPCL1	1	lot	Billboard</t>
  </si>
  <si>
    <t xml:space="preserve"> Please download and then print the attached Invitation to Bid (ITB) for more details and for your reference. To view this attachment, just click “ORDER” opposite the ASSOCIATED COMPONENTS. TOTAL APPROVED BUDGET FOR THE CONTRACT (ABC): ₱445,750.00</t>
  </si>
  <si>
    <t xml:space="preserve"> REQUEST FOR PROPOSAL (RFP) The National Housing Authority (NHA), through its Regional Office Bids and Awards Committee (ROBAC) is inviting Real Estate External Appraisal Service Providers to undertake the valuation of total land area of 500,000 sq.m., mor</t>
  </si>
  <si>
    <t xml:space="preserve"> The Local Government Unit of Barangay Mambago-B of  the Island Garden City of Samal, through the General Fund intends to apply the sum of Two Hundred Fifty-Eight Thousand Two Hundred Eighteen Pesos (₱258,218.85) being the Approved Budget for the Contract </t>
  </si>
  <si>
    <t xml:space="preserve"> INVITATION TO BID RE-BIDDING OF SUPPLY, DELIVERY, INSTALLATION, TESTING, AND ACCEPTANCE OF LIGHTNING PROTECTION SYSTEM   Bid Reference No. DICTBAC-VC2-2020-0001 Approved Budget for the Contract: Php 1,954,434.20 The DEPARTMENT OF INFORMATION AND COMMUNICA</t>
  </si>
  <si>
    <t xml:space="preserve"> Republic of the Philippines Province of Ilocos Norte MUNICIPALITY OF CURRIMAO INVITATION TO BID FOR  PROCUREMENT OF COMPUTER DATABASE SYSTEM  FOR ASSESSOR AND TREASURY OFFICE 1.	The MUNICIPALITY OF CURRIMAO, through the General Fund  intends to apply the </t>
  </si>
  <si>
    <t xml:space="preserve"> 1. 3 BOXES STAPLE WIRE #35 2. 15 REAMS BOND PAPER LONG 3. 15 REAMS BOND PAPER SHORT 4. 150 PCS BALL PEN (BLACK/BLUE) 5. 150 PCS NOTEBOOK (30 LEAVES) 6. 3 PCS CORRECTION TAPE 7. 3 PCS DOULE SIDED TAPE 8. 52 PCS ENVELOPE CELLOPHANE W/ HANDLE (ASSORTED COLOR</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</si>
  <si>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</si>
  <si>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Printing, Binding, Supply and Delivery of 175,784 modules  Technical Specifications: Paper Size (A4 Paper Thickness Sub20 or 8.27  x 11.69), Content back to back pages, maximum of 50 pages, back and front cover sheet are colored 1/4, with lamination (UV c</t>
  </si>
  <si>
    <t xml:space="preserve"> Republic of the Philippines Region XII Province of Cotabato Municipality of Makilala  OFFICE OF THE BIDS AND AWARD COMMITTEE INVITATION TO BID N0. 2020-032            The Municipality of Makilala, through the  Municipal Health Office   intends to apply th</t>
  </si>
  <si>
    <t xml:space="preserve"> Republic of the Philippines Province of Guimaras OFFICE OF THE BIDS AND AWARDS COMMITTEE INVITATION TO BID FOR    SUPPLY AND DELIVERY OF KNOWLEDGE CHANNEL K-12 CURRICULUM-BASED PORTABLE MEDIA LIBRARY Bid Ref. No. 2020-08-450 1.	The Province of Guimaras , </t>
  </si>
  <si>
    <t xml:space="preserve"> Republic of the Philippines  Province of Isabela  Municipality of Jones    INVITATION TO BID FOR   Supply of Materials, Labor and Equipment for the Expansion of Municipal Hall Solicitation No.: Infra-2020-14   		The Municipality of Jones, Isabela, through</t>
  </si>
  <si>
    <t xml:space="preserve"> Comprehensive Land Use Plan &amp; Zoning Ordinance 3 sets Vol. 1 Comprehensive Land Use Plan 3 sets Vol. 2 Zoning Ordinance 3 sets Vol. 3 Sectoral Studies 2 pcs USB containing E-copy of Vol. 1,2,3 and Maps 2 pcs Presentation Maps in tarpaulin media</t>
  </si>
  <si>
    <t xml:space="preserve"> Republic of the Philippines Province of Cotabato Municipality of Makilala OFFICE OF THE BIDS &amp; AWARDS COMMITTEE INVITATION TO BID #2020-029 The Municipality of Makilala, funded by the  Municipal Government to apply for the  Road Concreting,Sumabat Street </t>
  </si>
  <si>
    <t xml:space="preserve"> PICK-UP TYPE VEHICLE  NOT EXCEEDING 3000cc ENGINE DISPLACEMENT, DIESEL-FED AND 4-CYLINDERS (FOR CONVERSION INTO RESCUE VEHICLES EQUIPPED WITH THE NECESSARY EQUIPMENT AND APPARATUS)</t>
  </si>
  <si>
    <t xml:space="preserve"> BIDS AND AWARDS COMMITTEE INVITATION TO BID 	The City Government of Valenzuela, through its Bids and Award Committee (BAC), invites interested suppliers, to apply for eligibility and to bid for the hereunder listed project to wit:            Project Refer</t>
  </si>
  <si>
    <t xml:space="preserve"> 910 cu.m. Backfilling Materials (Buga)</t>
  </si>
  <si>
    <t xml:space="preserve"> Procurement of Catering Services for 2020 CPH Fourth Level Training for Vigan City, Ilocos Sur on August 18-23,2020 and August 24-29, 2020</t>
  </si>
  <si>
    <t xml:space="preserve"> (see bidding documents in the associated component for further details)</t>
  </si>
  <si>
    <t xml:space="preserve"> See attached document, print Bid Notice Abstract and download ITB No. GOODS-20-132.</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</si>
  <si>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</si>
  <si>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Republic of the Philippines  Province of La Union  Municipality of Bacnotan  Bids and Awards Committee  INVITATION TO BID FOR  Provision of Farm Inputs and Implements for Farmers-LBM No. 76 1.	The Municipality of Bacnotan, through the RA 7171  intends to </t>
  </si>
  <si>
    <t xml:space="preserve"> Purchase of Computer set and Accessories</t>
  </si>
  <si>
    <t xml:space="preserve"> ***Please see attached electronic file.</t>
  </si>
  <si>
    <t xml:space="preserve"> Invitation to Bid for ROAD CONCRETING (CLUSTER 3-2020) 2nd POSTING [INFRA-CB-2020-07-006 1.	The LOCAL GOVERNMENT UNIT OF BALATAN, through the 20% EDF MUN. FUND CY 2020 intends to apply the sum of ONE MILLION SIX HUNDRED FORTY-SEVEN THOUSAND PESOS ONLY (P1</t>
  </si>
  <si>
    <t xml:space="preserve"> INVITATION TO BID FOR SUPPLY AND DELIVERY OF GOODS (LEYTE LIVELIHOOD SEEDING PROGRAM) 1.	The Department of Trade and Industry, Regional Office No. 8, through the R. A. 11465 GAA 2020 intends to apply the sum of FIVE MILLION SIX HUNDRED SIXTY-FIVE THOUSAND</t>
  </si>
  <si>
    <t xml:space="preserve"> ITEMS OF WORK TO BE DONE INCLUDES: - Site preparation &amp; clearing - Removal of structure and obstruction - Excavation includes backfill - Reinforcing steel - Formworks - Structural concrete - Laying of 4" CHB with rebars - Plastering works includes concret</t>
  </si>
  <si>
    <t xml:space="preserve"> ITEM NO.	QUANTITY	UNIT	DESCRIPTION 			 I			GENERAL REQUIREMENTS 	lot	1	         Demolition of Old Columns, Beans, 			         Walls, Roof, Celing, Etc. 			 II			EARTHWORKS 	cu.m.	43.20	         Structure Excavtion 	cu.m.	137.40	         Backfilling and Co</t>
  </si>
  <si>
    <t xml:space="preserve"> INVITATION TO BID FOR SECURITY SERVICES (CONTRACT A &amp; B) PR Nos. 27921-001, 27919-001 1.	The Metropolitan Cebu Water District, through the Corporate Budget of 2020 intends to apply the sum of: For Contract “A” Approved Budget for  the Contract (ABC) [for </t>
  </si>
  <si>
    <t xml:space="preserve"> Purchase of 6 wheeler Mounted with 16 Footer Drop Side Cargo and Built with 10M Bucket Manlift/Boom Truck Brand New			 GVM: 8,500 kg			 Engine: Euro IV, Diesel fed 4-cyclinder, 4 cycle vertical,			 Turbo chargeed and intercooled , overheaded valve,			 wat</t>
  </si>
  <si>
    <t xml:space="preserve"> Republic of the Philippines Province of Nueva Vizcaya BIDS AND AWARDS COMMITTEE (BAC-Goods) BAC OFFICE, Provincial Capitol, Bayombong, Nueva Vizcaya Tel. No. 078-392-2062 	 2ND INVITATION TO BID FOR THE SUPPLY AND DELIVERY OF AIR-CONDITIONING UNITS &amp; RISO</t>
  </si>
  <si>
    <t xml:space="preserve"> Republic of the Philippines  Province of La Union  Municipality of Bacnotan  Bids and Awards Committee  INVITATION TO BID FOR  Supply and Delivery of Five (5) Units Riso Digital Duplicator  1.	The Municipality of Bacnotan, through the Special Education Fu</t>
  </si>
  <si>
    <t xml:space="preserve"> POTASSIUM CHLORIDE (0-0-60) Moisture Content		:	0.5 % maximum Water Soluble Potash (K2O) - 60% min. Sodium (as NaCl)- 3.5% max. Net Weight				:	50 kg/bag Physical Appearance		:	White Crystalline Powder Packaging Specifications: 1.	Outer Bag  Fabric and Co</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</si>
  <si>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</si>
  <si>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Electrification of Un-energized Schools and Modernization of Electrical Systems On-grid Schools in Itbayat</t>
  </si>
  <si>
    <t xml:space="preserve"> Please see attached file. Thanks!</t>
  </si>
  <si>
    <t xml:space="preserve"> OPENING OF BIDS IN DSWD FO IX ZAMBOANGA CITY		 DELIVERY IN HOME FOR WOMEN MAMPANG ZC		 PROCUREMENT FOR THE FF,:		 		 1 LOT FROZEN GOODS		 		 90 kls Chicken Liver	@	150 200 packs Chicken Lumpia 500g	@	85 180 packs Chicken Nuggets 500g	@	245 180 packs Chori</t>
  </si>
  <si>
    <t xml:space="preserve"> Package 031- as stated in ITB 2020-031, CRN 031-2020 [Procurement of Welfare Goods - Commercial Rice ].</t>
  </si>
  <si>
    <t xml:space="preserve"> 1.	The Department of Health-Eastern Visayas Center for Health Development  through the Bids and Awards Committee (BAC) invites suppliers to bid for the hereunder projects for CY 2020: Procurement of Hospital Equipment V (On-site Delivery) 1)	OR Light, Coo</t>
  </si>
  <si>
    <t xml:space="preserve"> Supply and Delivery Materials for the Installation of Solar Street Lights</t>
  </si>
  <si>
    <t xml:space="preserve"> NO	UNIT	DESCRIPTION	QTY 1	SQ.M	REMOVAL &amp; HAULING OF DELAPIDATED CONCRETE PAVEMENT	766 2	CU.M	SURPLUS COMMON EXCAVATION	1200 3	CU.M	BASE COURSE PREPARATION	545 4	LM	LINE CANAL	325 5	SQ.M	PCCP	1200 6	LM	RCPC	14 7	CU.M	STONE MASONRY	19 8	UNIT	CATCH BASIN	4</t>
  </si>
  <si>
    <t xml:space="preserve"> "ITEM  NO."	GENERIC NAME				DOSAGE STRENGTH	PACKING SIZE	FORM		TOTAL QTY	ABC PER UNIT	TOTAL ABC DM0001	0.9% Sodium Chloride				 for Irrigating 	 500mL 	Bottle/Bag		48	 58.08 	 2,787.84  DM0015	5% Dextrose in Water	5% Dextrose in Water	5% Dextrose in Water</t>
  </si>
  <si>
    <t xml:space="preserve"> Development of Trinidad People's Park (Installation of CCTV Cameras and Upgrading)</t>
  </si>
  <si>
    <t xml:space="preserve"> HOP-QR-PRO-005 Republic of the Philippines Department of Health DAVAO REGIONAL MEDICAL CENTER Apokon, Tagum City BIDS AND AWARDS COMMITTEE Invitation to Bid for the SUPPLY &amp; DELIVERY OF MEDICAL EQUIPMENT ACCESSORIES &amp; CONSUMABLES- REBID 1.	The Davao Regio</t>
  </si>
  <si>
    <t xml:space="preserve"> I N V I T A T I O N   T O   B I D 2020 - 154 August 12, 2020 1.	The Provincial Government of Tarlac through the 20% DF '20 - Improvement of IT Park II and Dormitory intends to apply the sum of Three Million Five Hundred Ninety-Eight Thousand Two Hundred S</t>
  </si>
  <si>
    <t xml:space="preserve"> 2020 28TH PUBLIC BIDDING: PROCUREMENT OF MEDICAL IMAGING SUPPLIES</t>
  </si>
  <si>
    <t xml:space="preserve"> Procurement of Civil Works- Improvement of Mt. Pack-Laneb-Anit it Road, Cabayo, Kayapa, Nueva Vizcaya</t>
  </si>
  <si>
    <t xml:space="preserve"> weighing scale 1000kg										 gasoline water pump										 power spray w/ electric motor 1.5 hp and acc w 2 roll hose										 handtractor w/ harrow &amp; disc plow and aircooled diesel engine 10 hp										 knapsack sprayer										 mudboat w/ aircoole</t>
  </si>
  <si>
    <t xml:space="preserve"> REQUEST FOR PROPOSAL (RFP) The National Housing Authority (NHA), through its Regional Office Bids and Awards Committee (ROBAC) is inviting Real Estate External Appraisal Service Providers to undertake the valuation of total land area of 20,559 sq.m., more</t>
  </si>
  <si>
    <t xml:space="preserve"> The DPWH, Negros Occidental 3rd District Engineering Office, Kabankalan City, Negros Occidental, through its Bids and Awards Committee (BAC), invites contractors to submit bids for the following contract: 1. Contract ID		:	20GM0083 Contract Name	:	Constru</t>
  </si>
  <si>
    <t xml:space="preserve"> Please download and then print the attached Invitation to Bid (ITB) for more details and for your reference. To view this attachment, just click “ORDER” opposite the ASSOCIATED COMPONENTS. TOTAL APPROVED BUDGET FOR THE CONTRACT (ABC): ₱2,695,900.00</t>
  </si>
  <si>
    <t xml:space="preserve"> NO	UNIT	DESCRIPTION	QTY 		TAYTAY	 1	SQ.M.	CONST. OF TEMPORARY FACILITIES/ BUNK HOUSE	20 2	SQ.M	SITE PREPARATION	36 3	SQ.M	LEAN CONCRETE	36 4	KGS	REINFORCEMENT STEEL BAR (INSTALLED)	3691 5	CU.M.	CONCRETE WORKS (CLASS A)	27 6	L.M.	PIPELINES/ PIPELAYING	1800</t>
  </si>
  <si>
    <t xml:space="preserve"> OPENING OF BIDS IN DSWD FO  IX ZAMBOANGA CITY DELIVERY IN HOME FOR WOMEN MAMPANG ZC PROCUREMENT FOR THE FF,: 1 LOT  VEGETABLE SUPPLIES 120	kls	Ampalaya	@	80 80	kls	Baguio beans	@	95 60	pcs	Banana Blossom	@	50 120	kls	Broccoli	@	150 80	kls	Bell pepper	@	14</t>
  </si>
  <si>
    <t xml:space="preserve"> INVITATION TO APPLY FOR ELIGIBILITY AND TO BID The LGU of Mataasnakahoy, Batangas, through its Bids and Award Committee (BAC), invites contractors/suppliers registered with PHILGEPS to apply for Eligibility and if found eligible, to bid for the hereunder </t>
  </si>
  <si>
    <t xml:space="preserve"> I N V I T A T I O N   T O   B I D 2020 – 155 August 20, 2020 1.	The Provincial Government of Tarlac through the General Fund intends to apply the sum of Fourteen Million Thirty-Two Thousand Seven Hundred Ninety-Two Pesos and 87/100 (PhP 14,032,792.87) bei</t>
  </si>
  <si>
    <t xml:space="preserve"> INVITATION TO BID The Local Government Unit of Rizal, through its Bids and Awards Committee , invites contractors to submit bids for the contract: a.Contract ID no. : LDF20-08-034 b.Contract Name : IMPROVEMENT OF PWS c. Location : Babalag West, Rizal, Kal</t>
  </si>
  <si>
    <t xml:space="preserve"> INVITATION TO BID The Local Government Unit of Rizal, through its Bids and Awards Committee , invites contractors to submit bids for the contract: a. Contract ID no. : LDF20-08-035 b. Contract Name : PACKAGE 6-LDF20 c. Total Approved Budget for the Contra</t>
  </si>
  <si>
    <t xml:space="preserve"> INVITATION TO BID  	 The Central Luzon State University (CLSU) its Bids and Awards Committee (BAC), invites suppliers/manufacturers/distributors to bid for the hereunder projects: NAME OF PROJECT: Upgrading of the Pests and Disease Diagnostic Laboratory f</t>
  </si>
  <si>
    <t xml:space="preserve"> INVITATION TO BID FOR CW-ALPIP-02-2020 1.	The National Irrigation Administration – Cordillera Administrative Region (NIA-CAR), through the General Appropriations Act (GAA) 2020 intends to apply the sum of Ninety Eight Million Fifty Nine Thousand Fifty Six</t>
  </si>
  <si>
    <t xml:space="preserve"> Republic of the Philippines DEPARTMENT OF PUBLIC WORKS AND HIGHWAYS CAGAYAN 2ND DISTRICT ENGINEERING OFFICE Regional Office II Abulug, Cagayan INVITATION TO BID FOR  CLUSTER NO. 2020-06-GOODS The DPWH -Cagayan 2nd District Engineering Office through the B</t>
  </si>
  <si>
    <t xml:space="preserve"> INVITATION TO BID FOR  PROCUREMENT OF MEDICAL SUPPLIES AND PPE’S 1.	The DOH-LABUAN GENERAL HOSPITAL, through the GENERAL APPROPRIATION ACT (GAA) OF 2020 intends to apply the sum of EIGHT MILLION THREE HUNDRED PESOS  (8,300,000.00) being the Approved Budge</t>
  </si>
  <si>
    <t xml:space="preserve"> Repair and Rehabilitation to be Used/Converted to Dental/Medical Clinic in Itbayat, Sabtang and Basco Central School</t>
  </si>
  <si>
    <t xml:space="preserve"> INVITATION TO BID The Local Government Unit of Rizal, through its Bids and Awards Committee , invites contractors to submit bids for the contract: a. Contract ID no. : LDF20-08-031 b. Contract Name : PACKAGE 10-LDF20 c. Location : c.1. Improvement of Revo</t>
  </si>
  <si>
    <t xml:space="preserve"> INVITATION TO BID PROCUREMENT OF VARIOUS HOSPITAL EQUIPMENT  ITB No. 2020-04-004 1.	The NORTHERN MINDANAO MEDICAL CENTER (NMMC), through the General Appropriations Act 2020 intends to apply the sum of   One Hundred Thirty Million Pesos  (Php130,000,000.00</t>
  </si>
  <si>
    <t xml:space="preserve"> Republic of the Philippines 		DEPARTMENT OF PUBLIC WORKS AND HIGHWAYS REGIONAL OFFICE II Tuguegarao City, Cagayan INVITATION TO BID 1.	The Department of Public Works and Highways – Regional Office No. 02, through the DPWH GAA FY 2020 RA 11465 intends to a</t>
  </si>
  <si>
    <t xml:space="preserve"> Please download and then print the attached Invitation to Bid (ITB) for more details and for your reference. To view this attachment, just click “ORDER” opposite the ASSOCIATED COMPONENTS. TOTAL APPROVED BUDGET FOR THE CONTRACT (ABC): ₱503,400.00</t>
  </si>
  <si>
    <t xml:space="preserve"> I. REMOVAL OF EXISTING STRUCTURE 1 LOT II. EXCAVATION WORKS 1.45 CU.M. III. CONCRETE WORKS (COLUMN, FOOTING, BEAM, FLOORING, ZOCALO &amp; SLAB) 6.03 CU.M. IV. MASONRY WORKS 3.30 SQ.M. V. FABRICATION AND INSTALLATION OF STEEL GATE 4 UNITS</t>
  </si>
  <si>
    <t xml:space="preserve"> Computer &amp; Photocopier Ink Toner &amp; Cartridge 	-       Php720,345.40 Bond paper	-              Php 1,228,476.47</t>
  </si>
  <si>
    <t xml:space="preserve"> Procurement of Catering Services for 2020 CPH Fourth Level Training for the Municipality of Cabugao, Ilocos Sur on August 18-23, 2020 and August 24-29, 2020</t>
  </si>
  <si>
    <t xml:space="preserve"> see uploaded bidding documents</t>
  </si>
  <si>
    <t xml:space="preserve"> INVITATION TO BID Bid No. B-125-2020  1.	The Provincial Government of Negros Oriental through Responsibility Center: 8918-129(19), intends to apply the sum of One Million Three Hundred Eighty-Seven Thousand Two Hundred Thirty-Three Pesos &amp; 53/100 (Php 1,3</t>
  </si>
  <si>
    <t xml:space="preserve"> Republic of the Philippines Province of Cebu MUNICIPALITY OF DAANBANTAYAN Bids and Awards Committee E-mail address: bac.daanbantayan@gmail.com |Contact no.: (032) 437-8144 ITB No.: PB-2020-08-45 Invitation to Bid for the Supply and Delivery of Materials f</t>
  </si>
  <si>
    <t xml:space="preserve"> Invitation to Bid  for the Procurement of     Lease of Water Treatment Facility for Malamig Pumping Station  (Minimum of 4mld of treated water at 50psi output). The BUSTOS WATER DISTRICT, through the Corporate Budget for the contract approved by the gover</t>
  </si>
  <si>
    <t xml:space="preserve"> SEE ATTACHED BIDDING DOCS, ITB AND CHECKLIST</t>
  </si>
  <si>
    <t xml:space="preserve"> INVITATION TO BID Bid No. B-124-2020  1.	The Provincial Government of Negros Oriental through Responsibility Center: 1918-024(19), intends to apply the sum of One Million Two Hundred Twenty Thousand Six Hundred Eighty-Six Pesos (Php 1,220,686.00) to payme</t>
  </si>
  <si>
    <t xml:space="preserve"> 1. 15 UNITS GLOBE MODEM WIFI 2. 24 UNITS EPSON PRINTER (3in1) L3110 3. 2 UNITS DESKTOP (CORE I3) 4. 1 UNIT LAPTOP (CORE I5) ICT CORD 5. 1 UNIT LAPTOP (CORE 15)</t>
  </si>
  <si>
    <t xml:space="preserve"> Republic of the Philippines Province of Eastern Samar Municipality of San Julian INVITATION TO BID CONSTRUCTION OF IMPROVEMENT OF OMAS TRAINING CENTER GROUND SO. DANHUGAN BARANGAY LIBAS, MUNICIPALITY OF SAN JULIAN, PROVINCE OF EASTERN SAMAR The Local Gove</t>
  </si>
  <si>
    <t xml:space="preserve"> 1.	Supply and Delivery of 3,600 head Free Range Chicken ABC: Php1,800,000.00  Specifications: -	3,200 head Pullets (female) 400 head Cockerel (male) -	5-6 months old -	1.2 – 1.5 kg. Additional Requirements: -	with Test Result Negative to Avian Influenza (</t>
  </si>
  <si>
    <t xml:space="preserve"> Procurement of Catering Services for 2020 CPH Fourth Level Training for Candon City and Municipality of Galimuyod, Ilocos Sur on August 18-23, 2020 and August 24-29, 2020</t>
  </si>
  <si>
    <t xml:space="preserve"> Negotiation for the Procurement of Brand New Van (for Mobile Blood Donation)</t>
  </si>
  <si>
    <t xml:space="preserve"> 1.	Supply and Delivery of 122 head Upgraded Anglo Nubian Goat ABC: Php1,220,000.00  Specifications: -	Doe (female) -	22 - 25 kg. -	10 - 12 months Additional Requirements: -	Dewormed within a week prior to delivery -	with Test Result Negative to Caprine Ar</t>
  </si>
  <si>
    <t xml:space="preserve"> INVITATION TO BID FOR CW-ALPIP-03-2020 1.	The National Irrigation Administration – Cordillera Administrative Region (NIA-CAR), through the General Appropriations Act (GAA) 2020 intends to apply the sum of Eighty One Million Nine Hundred Thirty Five Thousa</t>
  </si>
  <si>
    <t xml:space="preserve"> SUPPLY AND DELIVERY OF VARIOUS HEALTH SUPPLIES AND EQUIPMENT</t>
  </si>
  <si>
    <t xml:space="preserve"> Republic of the Philippines Province of Cebu MUNICIPALITY OF DAANBANTAYAN Bids and Awards Committee Email address: bac.daanbantayan@gmail.com | Contact no.: (032) 437-8144 ITB No.: PB-2020-08-43 Invitation to Bid for the Supply and Delivery of Labor and M</t>
  </si>
  <si>
    <t xml:space="preserve"> REQUEST FOR PROPOSAL (RFP) The National Housing Authority (NHA), through its Regional Office Bids and Awards Committee (ROBAC) is inviting Real Estate External Appraisal Service Providers to undertake the valuation of total land area of 149,444 sq.m., mor</t>
  </si>
  <si>
    <t xml:space="preserve"> INVITATION TO BID  	 The Central Luzon State University (CLSU) its Bids and Awards Committee (BAC), invites suppliers/manufacturers/distributors to bid for the hereunder projects: NAME OF PROJECT: Supply and Delivery of Livestocks for the use of Small Rum</t>
  </si>
  <si>
    <t xml:space="preserve"> INVITATION TO BID 	 The Municipality of Liloan, Southern Leyte through its Bids and Awards Committee (BAC), invites suppliers/manufacturers/distributors/contractors to bid for the following: 1.	Construction of Bridge/ Board Walk (Tagbak Marine Park) Locat</t>
  </si>
  <si>
    <t xml:space="preserve"> REQUEST FOR PROPOSAL (RFP) The National Housing Authority (NHA), through its Regional Office Bids and Awards Committee (ROBAC) is inviting Real Estate External Appraisal Service Providers to undertake the valuation of total land area of 81,692 sq.m., more</t>
  </si>
  <si>
    <t xml:space="preserve"> INVITATION FOR NEGOTIATED PROCUREMENT BAC-NP No. 2020-07 	The Research Institute for Tropical Medicine (RITM) through its Bids and Awards Committee (BAC) invites technically, legally and financially capable PHILGEPS-registered suppliers/manufacturers to a</t>
  </si>
  <si>
    <t xml:space="preserve"> Republic of the Philippines Department of Health DAVAO REGIONAL MEDICAL CENTER Apokon, Tagum City BIDS AND AWARDS COMMITTEE Invitation to Bid for the SUPPLY &amp; DELIVERY OF CONTINUOUS POSITIVE AIRWAY PRESSURE (CPAP) MACHINE 1.	The Davao Regional Medical Cen</t>
  </si>
  <si>
    <t xml:space="preserve"> Republic of the Philippines Department of Health DAVAO REGIONAL MEDICAL CENTER Apokon, Tagum City BIDS AND AWARDS COMMITTEE Invitation to Bid for the SUPPLY &amp; DELIVERY OF PRINTED FORMS - REBID 1.	The Davao Regional Medical Center (DRMC), through the HOSPI</t>
  </si>
  <si>
    <t xml:space="preserve"> 1. 1 UNIT D-MAX 3.0 L 4X2 LS-A MT, 4JJ1-TCX, 4 CYLINDER IN LINE BLUE POWER DIESEL ENGINE WITH TURBO INTERCOOLER 177 (130) @ 3,600, 380 (38.7) @ 1,800-2,800 2,999 95.4 X 104.9 16.3:1</t>
  </si>
  <si>
    <t xml:space="preserve"> I N V I T A T I O N   T O   B I D 2020 – 156 August 12, 2020 1.	The Provincial Government of Tarlac through the Tarlac Provincial Hospital intends to apply the sum of One Million Nine Hundred Forty-Four Thousand Pesos (Php 1,944,000.00)  being the Approve</t>
  </si>
  <si>
    <t xml:space="preserve"> REQUEST FOR PROPOSAL (RFP) The National Housing Authority (NHA), through its Regional Office Bids and Awards Committee (ROBAC) is inviting Real Estate External Appraisal Service Providers to undertake the valuation of total land area of 17,000 sq.m., more</t>
  </si>
  <si>
    <t xml:space="preserve"> 1.	Supply and Delivery of 610 Traditional Lowland Rice Seeds ABC: Php1,464,000.00  Specifications: -	Untreated -	Black Rice -	40 kilos/bag -	With germination rate at minimum 85% -	Bag shall be printed back to back with DA logo 3” diameter labelled with “G</t>
  </si>
  <si>
    <t xml:space="preserve"> 1.	Supply and Delivery of 3,188 sachet Pheromone ABC: Php2,072,200.00  Specifications: -	Active ingredients: (Z,E) 9,11 Tetradecadienyl acetate -	Pheromone Lure for Spodoptera Litura -	5 lures per sachet -	Delivery Period: 25 Calendar Days  -	Delivery Sit</t>
  </si>
  <si>
    <t xml:space="preserve"> INVITATION TO BID SUPPLY AND DELIVERY OF VARIOUS IT SUPPLIES AND EQUIPMENT  (PB 20-03-20) 1.	The Philippine Rice Research Institute, through the 2020 Regular Trust Fund Budget intends to apply the sum of  TWO MILLION FIVE HUNDRED ONE THOUSAND THIRTY-FIVE </t>
  </si>
  <si>
    <t xml:space="preserve"> ONE BAGGER CONCRETE MIXER DEMOLITION (EXISTING PAVEMENT) SUBGRADE PREPARATION AGGREGATE SUB-BASE COARSE PORTLAND CEMENT CONCRETE PAVEMENT (0.15)</t>
  </si>
  <si>
    <t xml:space="preserve"> Republic of the Philippines Province of Cebu MUNICIPALITY OF DAANBANTAYAN Bids and Awards Committee Email address: bac.daanbantayan@gmail.com | Contact no.: (032) 437-8144 ITB No.: PB-2020-08-44 Invitation to Bid for the Supply and Delivery of Labor and M</t>
  </si>
  <si>
    <t xml:space="preserve"> The Municipal Government of Bayog, Zamboanga del Sur thru its Bids and Awards Committee (BAC) invites all interested bidders for the “CONSTRUCTION OF RESIDUAL CONTAINMENT BUILDING” for the Solid Waste Management Program of the Municipal Government of Bayo</t>
  </si>
  <si>
    <t xml:space="preserve"> INVITATION TO BID Bid No. B-123-2020  1.	The Provincial Government of Negros Oriental through Responsibility Center: 1091-04(18), intends to apply the sum of One Million Forty Thousand Four Hundred Ninety Pesos &amp; 50/100 (Php 1,040,490.50) to payment under</t>
  </si>
  <si>
    <t xml:space="preserve"> Republic of the Philippines Province of Eastern Samar Municipality of San Julian INVITATION TO BID REHABILITATION/IMPROVEMENT OF FARM-TO-MARKET ROAD PANAWNAWAN-MAGTIAW, BRGY. CAMPIDHAN MUNICIPALITY OF SAN JULIAN,  PROVINCE OF EASTERN SAMAR TheLocal Govern</t>
  </si>
  <si>
    <t xml:space="preserve"> CLARK DEVELOPMENT CORPORATION CLARK FREEPORT ZONE INVITATION TO BID The Clark Development Corporation, through its Bids and Awards Committee (BAC), invites contractors registered with and classified by the Philippine Contractors Accreditation Board (PCAB)</t>
  </si>
  <si>
    <t xml:space="preserve"> I. REMOVAL OF DELAPIDATED MATERIALS (ROOFING, CEILING, TILES &amp; WATER CLOSET) 1 LOT II. ROOFING WORKS (REPLACEMENT DAMAGE PORTION ONLY) 4.08 SQ.M. III. CEILING WORKS REPAIR 6.95 SQ.M. IV. TILE WORKS 40.07 SQ.M. V. C.R. FIXTURES 1LOT VI. PARTITION WALL 24.8</t>
  </si>
  <si>
    <t xml:space="preserve"> INVITATION TO BID for the ITB No. 20-078 Supply and Delivery of Three Hundred Thirty-Four (334) Pieces Hemoperfusion Sepsis Cartridge 1.	The National Kidney and Transplant Institute (NKTI) through its Corporate Operating Budget (COB) intends to apply the </t>
  </si>
  <si>
    <t xml:space="preserve"> HOP-QR-PRO-005 Republic of the Philippines Department of Health DAVAO REGIONAL MEDICAL CENTER Apokon, Tagum City BIDS AND AWARDS COMMITTEE Invitation to Bid for THE SUPPLY &amp; DELIVERY OF MEDICAL EQUIPMENT ACCESSORIES &amp; CONSUMABLES-REBID 1.	The Davao Region</t>
  </si>
  <si>
    <t xml:space="preserve"> 1.	Supply and Delivery of 14,638 packs Vegetable Seeds (Pinakbet) ABC: Php3,439,930.00  Specifications: -	6 in 1 pack (min. 32 grams/ pack) -	Enclose with Bitter Gourd (min. 3 grams), Pole Sitao (min. 12 grams), Squash (min. 4 grams), Eggplant (min. 2 gra</t>
  </si>
  <si>
    <t xml:space="preserve"> INVITATION TO BID The Local Government Unit of Rizal, through its Bids and Awards Committee , invites contractors to submit bids for the contract: a. Contract ID no. : LDF20-08-036 b. Contract Name : PACKAGE 7-LDF20 c. Total Approved Budget for the Contra</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</si>
  <si>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</si>
  <si>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REQUEST FOR PROPOSAL (RFP) The National Housing Authority (NHA), through its Regional Office Bids and Awards Committee (ROBAC) is inviting Real Estate External Appraisal Service Providers to undertake the valuation of total land area of 62,311 sq.m., more</t>
  </si>
  <si>
    <t xml:space="preserve"> CONSTRUCTION/IMPROVEMENT/REHABILITATION OF FLOOD CONTROL SYSTEM @ AQUINO AVE., POBLACION, SAN PASCUAL, BATANGAS</t>
  </si>
  <si>
    <t xml:space="preserve"> Invitation to Bid for ROAD CONCRETING (CLUSTER 4-2020) 2nd POSTING [INFRA-CB-2020-07-007] 1.	The LOCAL GOVERNMENT UNIT OF BALATAN, through the 20% EDF intends to apply the sum of ONE MILLION NINE HUNDRED FORTY-SEVEN THOUSAND PESOS ONLY (P1,947,000.00) bei</t>
  </si>
  <si>
    <t xml:space="preserve"> Republic of the Philippines Department of Health DAVAO REGIONAL MEDICAL CENTER Apokon, Tagum City BIDS AND AWARDS COMMITTEE Invitation to Bid for the SUPPLY &amp; DELIVERY OF SPARE PARTS FOR VARIOUS VEHICLES 1.	The Davao Regional Medical Center (DRMC), throug</t>
  </si>
  <si>
    <t xml:space="preserve"> Construction of School Building (Phase I) 1.00 L.S. Offices, Shops, Stores and Workmens Accomodation for Contractor	 1.00 L.S. Permits and Clearances	 1.00 each Project Billboard/Signages	 1.00 L.S. Occupational Safety and Health Program	 1.00 L.S. Mobili</t>
  </si>
  <si>
    <t xml:space="preserve"> Republic of the Philippines Department of Health Cagayan Valley Center for Health Development BATANES GENERAL HOSPITAL Basco, Batanes E-mail Address: bataneshospital@gmail.com INVITATION TO BID ITB NO. 2020-08 Supply and Delivery of Various Medical Equipm</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</si>
  <si>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</si>
  <si>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2.	Contract ID: 20EI0187 Contract Name: Concreting of Road, Sitio Calunacon – Sitio Bating, Brgy. Milagrosa,  Location: Bulalacao, Oriental Mindoro Brief Description: Concreting of Road, Total Road Length = 1,450.00 l.m. (2,900 lane km.), Pavement width =</t>
  </si>
  <si>
    <t xml:space="preserve"> Republic of the Philippines Province of Leyte Municipality of Kananga BIDS AND AWARDS COMMITTEE INVITATION TO BID FOR PROCUREMENT OF VARIOUS OFFICE IT EQUIPMENT - REPOST 1.	The Municipality of Kananga, through the General Fund intends to apply the sum of </t>
  </si>
  <si>
    <t xml:space="preserve"> Republic of the Philippines Province of Cotabato Municipality of Makilala OFFICE OF THE BIDS &amp; AWARDS COMMITTEE INVITATION TO BID #2020-030 The Municipality of Makilala, funded by the  Municipal Government to apply for the  Road Concreting, Samonte Subdiv</t>
  </si>
  <si>
    <t xml:space="preserve"> Contract Name: Cluster "RO-07" Concreting/ Landscaping of Various Access Road in Misamis Oriental 1. Landscaping, Poblacion, El Salvador City, Misamis Oriental Php = 1,000,000.00 2. Concreting of Access Road from the Entrance to DA Compound and its Respec</t>
  </si>
  <si>
    <t xml:space="preserve"> INVITATION TO BID  ITEM NO.	P.R. NO.	OFFICE	PROJECT NAME	AMOUNT	SOURCE OF FUND	DELIVERY PERIOD 7	GF-20-02-00229B	QUEZON CITY UNIVERSITY	VARIOUS ENGINEERING BOOKS	P 1,074,310.50	GENERAL FUND	45 CALENDAR DAYS 1.	The QUEZON CITY LOCAL GOVERNMENT, through the</t>
  </si>
  <si>
    <t xml:space="preserve"> 1	Candy-Coffee, 50 pieces/pack 2	Candy-Menthol Ball, 50 pieces/pack 3	Candy-Cherry Menthol Flavor, 50s/pack 4	Candy-Honey Lemon Menthol Flavor, 50s/pack 5	Candy-Choco-Filled Mint, 7.05 oz, 50s/pack 6	Prawn Cracker, 5g, 20s/pack 7	Vinegar Pusit, 25g, 20s/p</t>
  </si>
  <si>
    <t xml:space="preserve"> INVITATION TO BID  ITEM NO.	P.R. NO.	OFFICE	PROJECT NAME	AMOUNT	SOURCE OF FUND	DELIVERY PERIOD 1. GF-20-07-01052	BUSINESS PERMITS AND LICENSING DEPARTMENT	TABLE	P1,147,365.00	GENERAL FUND	30 CALENDAR DAYS 1.	The QUEZON CITY LOCAL GOVERNMENT, through the G</t>
  </si>
  <si>
    <t xml:space="preserve"> 1.	Supply and delivery of Various Inorganic Fertilizer ABC: Php21,000,000.00 Specifications: 12,000 bags Complete Fertilizer (14-14-14) -	Granular -	50 kg/bag -	 Bags printed with DA Logo with 3” in Diameter GOVERNMENT PROPERTY and NOT FOR SALE -	Provide </t>
  </si>
  <si>
    <t xml:space="preserve"> 16 Seurity Guards 10 Guards for SDSSU Tandag Campus   6 Guards for SDSSU Cantilan Campus</t>
  </si>
  <si>
    <t xml:space="preserve"> 1. 6 PCS 3/4" THK MARINE PLYWOOD 2. 2 GALS FLAT WALL ENAMEL PAINT WHITE 3. 2 GALS GLOSS ENAMEL WHITE PAINT 4. 1 KG 2" FINISHING NAILS 5. 1 KG 1-1/2" FINISHING NAILS 6. 1 CAN WOOD GLUE 7. 2 GALS GLAZING PUTTY 8. 1 GALS PAINT THINNER 9. 15 PCS SAND PAPER #1</t>
  </si>
  <si>
    <t xml:space="preserve"> Procurement of Catering Services for 2020 CPH Fourth Level Training for the Municipality of Caoayan, Ilocos Sur on August 24-29, 2020</t>
  </si>
  <si>
    <t xml:space="preserve"> .</t>
  </si>
  <si>
    <t xml:space="preserve"> INVITATION TO BID  ITEM NO.	P.R. NO.	OFFICE	PROJECT NAME	AMOUNT	SOURCE OF FUND	DELIVERY PERIOD 4	GF-20-05-00719	QUEZON CITY HEALTH DEPARTMENT	PNEUMONIA AND INFLUENZA VACCINE	P 5,053,660.00	GENERAL FUND	30 CALENDAR DAYS 1.	The QUEZON CITY LOCAL GOVERNMENT,</t>
  </si>
  <si>
    <t xml:space="preserve"> Invitation to Bid for   Procurement of Labor and Materials for Repair of Various Civil Works  IB NO. 2020-028-I The WESTERN VISAYAS MEDICAL CENTER, through the Regular Agency Fund GAA/SAA or Internally Generated Fund-Hospital  Income intends to apply the </t>
  </si>
  <si>
    <t xml:space="preserve"> INVITATION TO BID  ITEM NO.	P.R. NO.	OFFICE	PROJECT NAME	AMOUNT	SOURCE OF FUND	DELIVERY PERIOD GF-20-09-3C-QCU	QUEZON CITY UNIVERSITY	LAPTOP COMPUTERS FOR STUDENTS AND FACULTY MEMBERS	P 115,910,000‬.00	GENERAL FUND	30 CALENDAR DAYS 1.	The QUEZON CITY LOCA</t>
  </si>
  <si>
    <t xml:space="preserve"> 1. 1 PC TABLE TOP WATER DISPENSER (HOT &amp; COLD) WITH FREE GALLON AND COVER 2. 1 PC BINDING MACHINE (HEAVY DUTY) LEGAL SIZE, BINDING CAPACITY 700 SHEETS, MAX WIDTH OF PAPER LEGAL SIZE, PUNCHING SLOTS: 30 3. 1 PC RICE COOKER WITH STEAMER, SPATULA AND MEASURI</t>
  </si>
  <si>
    <t xml:space="preserve"> REPUBLIC OF THE PHILIPPINES QUEZON CITY GOVERNMENT BAC – GOODS AND SERVICES INVITATION TO BID  ITEM NO.	P.R. NO.	OFFICE	PROJECT NAME	AMOUNT	SOURCE OF FUND	DELIVERY PERIOD GF-20-05-00718	QUEZON CITY HEALTH DEPARTMENT	DIGITAL COPIER AND MANUAL TYPEWRITER	 P</t>
  </si>
  <si>
    <t xml:space="preserve"> a.CONTRACT  ID : ANTIPOLO-01SEPTEMBER2020-01 b. NAME OF PROJECT : Construction of Molecular Testing Laboratory at Diagnostic Building, Sitio Cabading, Brgy. Inarawan, Antipolo City c. LOCATION : Brgy. Inarawan, Antipolo City d. BRIEF DESCRIPTION : Constru</t>
  </si>
  <si>
    <t xml:space="preserve"> 1.	Supply and Delivery of 3,218 pack Biological Insecticide ABC: Php1,367,650.00 Specifications: -	Active ingredients: Bacillus thuringiensis var aizawai -	(35,000 DBMU*potency) per mg Lepidoptera active toxin, 103/kg Diamond back moth unit -	100 grams pe</t>
  </si>
  <si>
    <t xml:space="preserve"> The ISABELA CITY WATER DISTRICT through the CORPORATE OPERATING BUDGET 2020 approved by the Board of Directors intends to apply the sum listed below being the Approved Budget for the Contract (ABC) to payments under the contract for each lot per P.R. No. </t>
  </si>
  <si>
    <t xml:space="preserve"> Straight Contract for Road Improvement See attached link/Url under OTHER INFORMATION BOX</t>
  </si>
  <si>
    <t xml:space="preserve"> 1.	Contract ID: 20EI0186 Contract Name: Concreting of Road, Panggulayan – Anoling – Buli,  Location: Pinamalayan, Oriental Mindoro Brief Description: Concreting of Road, Total Road Length = 2,580.50l.m. (5,161 lane km.), Pavement width = 5.00m, Pavement t</t>
  </si>
  <si>
    <t xml:space="preserve"> INVITATION TO BID FOR  Supply, Delivery, Installation &amp; Commissioning of 50KVA Generator Set and ITB No. NIAR3-2020-BULO SRIP-G3 1.	NATIONAL IRRIGATION ADMINISTRATION – REGION 3, through the General Appropriations Act of CY 2020 intends to apply the sum o</t>
  </si>
  <si>
    <t xml:space="preserve"> Straight Contract for Improvement of Overflow See attached link/Url under OTHER INFORMATION BOX</t>
  </si>
  <si>
    <t xml:space="preserve"> Republic of the Philippines Province of Cagayan Municipality of Sta. Praxedes BIDS AND AWARDS COMMITTEE	 Invitation to Bid Construction of Multi-Purposed Building Phase II Capacuan Elementary School ITB – Infra – 2020-08-005 1.	The Local Government Unit o</t>
  </si>
  <si>
    <t xml:space="preserve"> SUPPLY/ DELIVERY FOR THE PURCHASE OF DREDGING EQUIPMENT.</t>
  </si>
  <si>
    <t xml:space="preserve"> BIDS AND AWARDS COMMITTEE INVITATION TO BID The DEPARTMENT OF HEALTH – CENTRAL VISAYAS CENTER FOR HEALTH DEVELOPMENT (DOH – CV CHD), through its Bids and Awards Committee (BAC), invites suppliers to bid for the hereunder items: BAC NO. 2020-G09	NAME OF PR</t>
  </si>
  <si>
    <t xml:space="preserve"> The Local Government Unit of General Santos City, through the GENERAL FUND CY 2020 intends to apply the sum of three million nine hundred sixty-five thousand and xx / 100 Pesos Only (3,965,000.00) being the Approved Budget for the Contract (ABC) to paymen</t>
  </si>
  <si>
    <t xml:space="preserve"> INVITATION TO BID SUPPLY AND DELIVERY OF VARIOUS IT SUPPLIES AND EQUIPMENT  (PB 20-03-21) 1.	The Philippine Rice Research Institute, through the 2020 Trust Fund Budget intends to apply the sum of TWO MILLION EIGHT HUNDRED EIGHTY-THREE THOUSAND EIGHT HUNDR</t>
  </si>
  <si>
    <t xml:space="preserve"> Supply and Delivery of 1 unit motocycle-for Barangay Acacia</t>
  </si>
  <si>
    <t xml:space="preserve"> Construction of Two Storey Building with balcony, complete with painting, tiles, comfort rooms, electrical systems, signage, railings and other finishing works.</t>
  </si>
  <si>
    <t xml:space="preserve"> INVITATION TO APPLY FOR ELIGIBILITY AND TO BID  One (1) Lot Information Technology   ITB No. 2020-08-010 P.R. No. 2020-03-155 1.	The Mines and Geosciences Bureau, through the General Appropriations Act (GAA) for CY 2020 intends to apply the sum correspond</t>
  </si>
  <si>
    <t xml:space="preserve"> Republic of the Philippines PROVINCE OF AGUSAN DEL SUR Municipality of Loreto INVITATION TO BID FOR CATERING SERVICES FOR 3-DAY PEACE BUILDING SEMINAR AT BRGY. KASAPA, LADS 1.	The Municipality of Loreto, through the GENERAL FUND intends to apply the sum o</t>
  </si>
  <si>
    <t xml:space="preserve"> Contract Name: Installation of Water System Poblacion, El Salvador City, Misamis Oriental Contract Location: Misamis Oriental Scope of Work: Installation of Water System Source of Fund: DA Trust Fund Appropriation: Php. 2,000,000.00 ABC: Php. 1,990,000.00</t>
  </si>
  <si>
    <t xml:space="preserve"> The Local Government Unit of General Santos City, through the GENERAL FUND CY 2020 intends to apply the sum of three million four hundred twenty thousand and xx / 100 Pesos Only (3,420,000.00) being the Approved Budget for the Contract (ABC) to payments u</t>
  </si>
  <si>
    <t xml:space="preserve"> INVITATION TO BID  GF-20-05-00710	QUEZON CITY HEALTH DEPARTMENT	ANTI-TB KIT AND OTHERS	P 14,430,220.00	GENERAL FUND	30 CALENDAR DAYS 1.	The QUEZON CITY LOCAL GOVERNMENT, through the General Fund of various years approved by the Sangguniang Panglungsod, in</t>
  </si>
  <si>
    <t xml:space="preserve"> Description:		 			Asphalt Overlay on Top of 4L.m Wide Concrete		 			Road Width: 6.0 L.m       Thickness: 50mm                          Pavement width: 6.0 L.m                          Length: 115 L.m		 			Surface Type Item:310 – Bituminous Concrete Surfac</t>
  </si>
  <si>
    <t xml:space="preserve"> Procurement of Catering Services for 2020 CPH Fourth Level Training for the Municipality of Nagbukel and Narvacan, Ilocos Sur on August 18-23, 2020 and August 24-29, 2020</t>
  </si>
  <si>
    <t xml:space="preserve"> INVITATION TO BID SUPPLY AND DELIVERY OF AGRICULTURAL SUPPLIES (PB 20-03-23) 1.	The Philippine Rice Research Institute, through the 2020 Regular Trust  Fund Budget intends to apply the sum of ONE MILLION SEVEN HUNDRED FOUR THOUSAND EIGHT HUNDRED SEVENTY-T</t>
  </si>
  <si>
    <t xml:space="preserve"> INVITATION TO BID FOR  FIVE (5) UNITS MECHANICAL VENTILATOR  ITB No. 2020 –MECH VENT–110 1.	The Jose R. Reyes Memorial Medical Center, through the General Appropriations Act 2020 (HFEP 2019 (CONAP) FUND) intends to apply the sum of Six Million Five Hundre</t>
  </si>
  <si>
    <t xml:space="preserve"> Contract Name: Repair/ Maintenance and Rehabilitation of Infrastructure Facilities, Public Buildings 1. Repair/ Maintenance of DPWH Building GAD Building (Comfort Room), Engineer's Hill, Bulua, Cagayan de Oro City Php = 200,000.00 2. Repair/ Maintenance o</t>
  </si>
  <si>
    <t xml:space="preserve"> Republic of the Philippines Department of Health Jose R. Reyes Memorial Medical Center M a n i l a INVITATION TO BID FOR  TWO (2) UNITS INFANT TRANSPORT VENTILATOR  ITB No. 2020-INFANT VENT-100 1.	The Jose R. Reyes Memorial Medical Center, through the Gen</t>
  </si>
  <si>
    <t xml:space="preserve"> Republic of the Philippines Province of Leyte Municipality of Kananga BIDS AND AWARDS COMMITTEE Invitation to Bid for CONSTRUCTION OF FLOOD CONTROL WITH RIVER WALK AT BRGY. POBLACION, KANANGA, LEYTE 1.	The Municipality of Kananga through the Trust Fund (D</t>
  </si>
  <si>
    <t xml:space="preserve"> INVITATION TO BID  ITEM NO.	P.R. NO.	OFFICE	PROJECT NAME	AMOUNT	SOURCE OF FUND	DELIVERY PERIOD SEF-20-08-01196	DIVISION OF CITY SCHOOLS	LAPTOP COMPUTERS	P 124,548,000.00	SPECIAL EDUCATION FUND	30 CALENDAR DAYS 1.	The QUEZON CITY LOCAL GOVERNMENT, through </t>
  </si>
  <si>
    <t xml:space="preserve"> Procurement Supply and Delivery for the Installation of Traffic Light Location: LGU-Balingasag, Peoples Palace, Balingasag, Misamis Oriental</t>
  </si>
  <si>
    <t xml:space="preserve"> Procurement of Catering Services for 2020 CPH Fourth Level Training for the Municipality of Magsingal, Ilocos Sur on August 18-23, 2020</t>
  </si>
  <si>
    <t xml:space="preserve"> I.	General Requirements     A. Sign Board        B. Temporary Facility II.	Construction of Solar Power Irrigation System with Pump House</t>
  </si>
  <si>
    <t xml:space="preserve"> Electrical Post 25</t>
  </si>
  <si>
    <t xml:space="preserve"> Republic of Philippines Province of Quezon MUNICIPALITY OF REAL -oOo- BIDS AND AWARDS COMMITTEE REQUEST FOR EXPRESSION OF INTEREST FOR CONSULTANCY SERVICES FOR WEBSITE DEVELOPMENT, INCLUSIVE OF DOMAIN NAME REGISTRATION AND WEB HOSTING   1.	The Municipal G</t>
  </si>
  <si>
    <t xml:space="preserve"> Contract ID: 20GO0106 Contract Name: Construction/Repair/Rehabilitation/Improvement/Upgrading of Local Road in Brgy. 16, 35, 34, 14 &amp; 13, Bacolod City Contract Location: Bacolod City, Negros Occidental Brief Description: Construction/repair/rehabilitation</t>
  </si>
  <si>
    <t xml:space="preserve"> Procurement of Catering Services for 2020 CPH Fourth Level Training for the Municipality of Sta. Lucia, Ilocos Sur on August 18-23, 2020 and August 24-29, 2020</t>
  </si>
  <si>
    <t xml:space="preserve"> Procurement of Catering Services for 2020 CPH Fourth Level Training for the Municipality of Santa, Ilocos Sur on August 24-29, 2020</t>
  </si>
  <si>
    <t xml:space="preserve"> Republic of the Philippines Department of Health Jose R. Reyes Memorial Medical Center M a n i l a INVITATION TO BID FOR  ONE (1) LOT CONVENTIONAL MOBILE X-RAY  ITB No. 2020-XRAY-109  1.	The Jose R. Reyes Memorial Medical Center, through the General Appro</t>
  </si>
  <si>
    <t xml:space="preserve"> Contract Name: Cluster “RO-06” Construction of Various Building Projects in Bukidnon 1. Semen Processing Plant/ Laboratory, NMACLRC, Dalwangan, Malaybalay City, Bukidnon Php = 3,000,000.00 2. Establishment of Meat Processing Building, NMACLRC-MSF, Dalwang</t>
  </si>
  <si>
    <t xml:space="preserve"> Republic of the Philippines  Province of Samar Municipality of Sta. Margarita Invitation to Bid for  INSTALLATION OF STREET LIGHTING (PHASE II) LGU -  Sta. Margarita, Samar   The Municipal Government of Sta. Margarita, Samar, through the 20% EDF 2020    i</t>
  </si>
  <si>
    <t xml:space="preserve"> INVITATION TO BID SUPPLY AND DELIVERY OF AGRICULTURAL SUPPLIES (PB 20-03-22) 1.	The Philippine Rice Research Institute, through the 2020 Corporate Fund Budget intends to apply the sum of ONE MILLION TWO HUNDRED TWENTY FIVE THOUSAND SEVEN HUNDRED TWENTY-FI</t>
  </si>
  <si>
    <t xml:space="preserve"> Lot 1 INSTRUMENTS 20 pcs. Lyre (standard size) 5 pcs. King Lyre (standard size) 3 pcs. Triple Drum (standard size) 8 pcs. Double Drum (standard size) 2 pcs. Bugle Lot 2 UNIFORMS 1 set Band Master 1 set Band Majorette 4 sets Letter Holder 1 set Logo Holder</t>
  </si>
  <si>
    <t xml:space="preserve"> The Local Government Unit of CONNER, through the MOOE-2020 intends to apply the sum of Two Hundred Fifty-Three Thousand Eight Hundred Twelve Pesos and 73/100 Centavos Only (₱ 253,812.73) being the Approved Budget for the Contract (ABC) to payments under t</t>
  </si>
  <si>
    <t xml:space="preserve"> Republic of the Philippines Province of Samar Municipality of Sta. Margarita INVITATION TO BID FOR  INSTALLATION OF CCTV  1.	The Municipal Government of Sta. Margarita, Samar, through the 20%  EDF  of 2020   intends to apply the sum of Three Million   Pes</t>
  </si>
  <si>
    <t xml:space="preserve"> 1. The Anti-Money Laundering Council (AMLC), through the Maintenance and Other Operating Expense Fund intends to apply the sum of PhP 1,942,500.00 being the Approved Budget for the Contract (ABC) to payments under the contract for Maintenance of Document </t>
  </si>
  <si>
    <t xml:space="preserve"> MAINTENANCE AND IMPROVEMENT OF WILD LIFE RESCUECENTER (WRC) FACILITIES AT BRGY. TAMPAYAN, MAGDIWANG, ROMBLON  PAVEMENT AND MAINTENANCE OF WILD LIFE RESCUECENTER (WRC) FACILITIES</t>
  </si>
  <si>
    <t xml:space="preserve"> The Philippine Statistics Authority Regional Statistical Service Office V (PSA RSSO V), through the General Appropriations Act of 2020 intends to apply the sum of Eight Million Three Hundred Thirty-Four Thousand Four Hundred Pesos Only (P8,334,400.00). be</t>
  </si>
  <si>
    <t xml:space="preserve"> Procurement of Catering Services for 2020 CPH Fourth Level Training for the Municipality of San Ildefonso and Sto. Domingo, Ilocos Sur on August 24-29, 2020</t>
  </si>
  <si>
    <t xml:space="preserve"> Procurement of Catering Services for 2020 CPH Fourth Level Training for the Municipality of Suyo, Ilocos Sur on August 18-23, 2020</t>
  </si>
  <si>
    <t xml:space="preserve"> INVITATION TO BID FOR THE REBIDDING OF THE Supply and Delivery of Third Quarter Office Supplies for CY 2020 The Department of Education, Regional Office V, through General Appropriations Act FY 2020 and 2020 Regional Office Funds, intends to apply the sum</t>
  </si>
  <si>
    <t xml:space="preserve"> REPUBLIC OF THE PHILIPPINES QUEZON CITY GOVERNMENT BAC – GOODS AND SERVICES INVITATION TO BID  ITEM NO.	P.R. NO.	OFFICE	PROJECT NAME	AMOUNT	SOURCE OF FUND	DELIVERY PERIOD 10	GF-20-05-00713	CITY TREASURER’S OFFICE	SUPPLIES FOR COFFEE VENDING MACHINE	P 2,52</t>
  </si>
  <si>
    <t xml:space="preserve"> Procurement of Catering Services for 2020 CPH Fourth Level Training for the Municipality of Santiago, Ilocos Sur on August 24-29, 2020</t>
  </si>
  <si>
    <t xml:space="preserve"> Procurement of Catering Services for 2020 CPH Fourth Level Training for the Municipality of Sta. Maria, Ilocos Sur on August 18-23, 2020 and August 24-29, 2020</t>
  </si>
  <si>
    <t xml:space="preserve"> INVITATION TO BID CONSTRUCTION OF CORN SHED 	The Local Government Unit of Rizal, Cagayan intends to apply the sum of ONE HUNDRED FORTY THOUSAND NINE HUNDRED NINETY FOUR PESOS(P140,994.00) being the Approved Budget for the Contract (ABC) for the CONSTRUCTI</t>
  </si>
  <si>
    <t xml:space="preserve"> 5 pcs. Window blinds curtain 46x48 inches, Royal blue color, horizontal 2 pcs. Window blinds (W-3 feet 1 inch) (H-5 feet 10 inches), color pastel yellow, horizontal 2 pcs. Window blinds (6 feet 2 inches by 5 feet 10 inches), color pastel yellow, horizonta</t>
  </si>
  <si>
    <t xml:space="preserve"> Section I. Invitation to Bid Republic of the Philippines PROVINCE OF ZAMBOANGA SIBUGAY Capitol Building, Ipil Heights, Ipil, Zamboanga Sibugay Invitation to Bid for  Concreting of Brgy. Road @ Brgy.  Sitio Guinacutan to Loboc, Tungawan, Zamboanga Sibugay </t>
  </si>
  <si>
    <t xml:space="preserve"> Section I. Invitation to Bid Republic of the Philippines PROVINCE OF ZAMBOANGA SIBUGAY Capitol Building, Ipil Heights, Ipil, Zamboanga Sibugay Invitation to Bid for  Improvement of Multi-purpose Building @ Sto. Niño, Tungawan, Zamboanga Sibugay 1.	The Pro</t>
  </si>
  <si>
    <t xml:space="preserve"> Republic of the Philippines Department of Public Works and Highways REGIONAL OFFICE VIII Baras, Palo, Leyte INVITATION TO BID August 10, 2020 1.	The DPWH Regional Office VIII, Baras, Palo, Leyte through its Bids and Awards Committee (BAC), invites contrac</t>
  </si>
  <si>
    <t xml:space="preserve"> Section I. Invitation to Bid Republic of the Philippines PROVINCE OF ZAMBOANGA SIBUGAY Capitol Building, Ipil Heights, Ipil, Zamboanga Sibugay Invitation to Bid for  Construction of Water System (Drilling) @ Brgy. Imelda, Titay, Zamboanga Sibugay 1.	The P</t>
  </si>
  <si>
    <t xml:space="preserve"> CONSTRUCTION OF MACASSAB FOOTBRIDGE</t>
  </si>
  <si>
    <t xml:space="preserve"> August 12, 2020 1.	The Provincial Government of Davao del Sur, through its Special Bids and Awards Committee (SBAC), invites all potential bidders/contractors to apply to bid for the following project. Bids submitted in excess of the ABC shall be automati</t>
  </si>
  <si>
    <t xml:space="preserve"> 1.	The Local Government Unit of CONNER, through the 20% Development Fund 2017 intends to apply the sum of Two hundred ninety three thousand one hundred fifteen  and 45/100 Centavos Only (₱ 293,115.45)  being the Approved Budget for the Contract (ABC) to p</t>
  </si>
  <si>
    <t xml:space="preserve"> Section I. Invitation to Bid Republic of the Philippines PROVINCE OF ZAMBOANGA SIBUGAY Capitol Building, Ipil Heights, Ipil, Zamboanga Sibugay Invitation to Bid for  Improvement of Multi-purpose Building @ Tinongtongan, Diplahan, Zamboanga Sibugay 1.	The </t>
  </si>
  <si>
    <t xml:space="preserve"> Procurement of Catering Services for 2020 CPH Fourth Level Training for the Municipality of Sinait, Ilocos Sur on August 18-23, 2020 and August 24-29, 2020</t>
  </si>
  <si>
    <t xml:space="preserve"> The Local Government Unit of CONNER, through the DF-2020 intends to apply the sum of Two Hundred Ninety-Seven Thousand Four Hundred Seventy-Seven Pesos and 57/100 Centavos Only (₱ 297,477.57) being the Approved Budget for the Contract (ABC) to payments un</t>
  </si>
  <si>
    <t xml:space="preserve"> 1.	The Local Government Unit of CONNER, through the 20% Development Fund 2020 intends to apply the sum of Four Hundred sixty nine thousand two hundred sixteen pesos only Centavos Only (₱ 469,216.00)  being the Approved Budget for the Contract (ABC) to pay</t>
  </si>
  <si>
    <t xml:space="preserve"> Section I. Invitation to Bid Republic of the Philippines PROVINCE OF ZAMBOANGA SIBUGAY Capitol Building, Ipil Heights, Ipil, Zamboanga Sibugay Invitation to Bid for  Construction of Multi-purpose Building at Olutanga Central School @ Brgy. Solar, Olutanga</t>
  </si>
  <si>
    <t xml:space="preserve"> Republic of the Philippines Province of Samar Municipality of Sta. Margarita INVITATION TO BID FOR  PURCHASE OF SENIOR CITIZEN’S BOOKLET 1.	The Municipal Government of Sta. Margarita, Samar, through the Annual Budget  of 2020   intends to apply the sum of</t>
  </si>
  <si>
    <t xml:space="preserve"> The Local Government Unit of CONNER, through the DF-2017, 2018 intends to apply the sum of Three Hundred Ninety Thousand Four Hundred Fourteen Pesos and 68/100 Centavos Only (₱ 390,414.68) being the Approved Budget for the Contract (ABC) to payments under</t>
  </si>
  <si>
    <t xml:space="preserve"> 1.	The Local Government Unit of CONNER, through the 20% Development Fund 2020 intends to apply the sum of Four Hundred Eighty Six Thousand Nine hundred ninety five pesos and 28/100 Centavos Only (₱ 486,995.28)  being the Approved Budget for the Contract (</t>
  </si>
  <si>
    <t xml:space="preserve"> 1 UNIT - VAN, FOR 4 MONTHS (SEPTEMBER TO DECEMBER 2020)</t>
  </si>
  <si>
    <t xml:space="preserve"> Procurement of Catering Services for 2020 CPH Fourth Level Training for the Municipality of Tagudin, Ilocos Sur on August 18-23,2020 and August 24-29, 2020</t>
  </si>
  <si>
    <t xml:space="preserve"> INVITATION TO BID COMPLETION OF BARANGAY HALL 	The Local Government Unit of Rizal, Cagayan intends to apply the sum of ONE HUNDRED THOUSAND PESOS (P100,000.00) being the Approved Budget for the Contract (ABC) for the COMPLETION OF BARANGAY HALL  from the </t>
  </si>
  <si>
    <t xml:space="preserve"> 1.	The Local Government Unit of CONNER, through the 20% Development Fund 2020 intends to apply the sum of Two Hundred Ninety One thousand three hundred ninety two pesos and 18/100 Centavos Only (₱ 291,392.18)  being the Approved Budget for the Contract (A</t>
  </si>
  <si>
    <t xml:space="preserve"> The Local Government Unit of CONNER, through the DF-2020 intends to apply the sum of Four Hundred Eighty-One Thousand Nine Hundred One Pesos and 51/100 Centavos Only (₱ 481,901.51) being the Approved Budget for the Contract (ABC) to payments under the con</t>
  </si>
  <si>
    <t xml:space="preserve"> Procurement of Catering Services for 2020 CPH Fourth Level training for the Municipality of San Juan, Ilocos Sur on August 18-23, 2020 and August 24-29, 2020</t>
  </si>
  <si>
    <t xml:space="preserve"> Republic of the Philippines  Province of Samar Municipality of Sta. Margarita Invitation to Bid for  PROPOSED REPAIR OF OLD MUNICIPAL BUILDING LGU -  Sta. Margarita, Samar   The Municipal Government of Sta. Margarita, Samar, through the  2020 Annual Budge</t>
  </si>
  <si>
    <t xml:space="preserve"> Contract ID: 20GO0105 Contract Name: Construction of Revetment w/ Floodwall along Sum-ag River, Bacolod City Contract Location: Bacolod City, Negros Occidental Brief Description: Construction of 738 l.m. revetment with floodwall which includes Project Bil</t>
  </si>
  <si>
    <t xml:space="preserve"> Section I. Invitation to Bid Republic of the Philippines PROVINCE OF ZAMBOANGA SIBUGAY Capitol Building, Ipil Heights, Ipil, Zamboanga Sibugay Invitation to Bid for  Improvement of Multi-purpose Building @ Natan, Diplahan, Zamboanga Sibugay 1.	The Provinc</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</si>
  <si>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</si>
  <si>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</si>
  <si>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For use in the Garbage Collection and Disposal Services.</t>
  </si>
  <si>
    <t xml:space="preserve"> REPUBLIC OF THE PHILIPPINES QUEZON CITY GOVERNMENT BAC – GOODS AND SERVICES INVITATION TO BID  ITEM NO.	P.R. NO.	OFFICE	PROJECT NAME	AMOUNT	SOURCE OF FUND	DELIVERY PERIOD 1	GF-20-03-00494	SOCIAL SERVICES DEVELOPMENT DEPARTMENT	BUS 30 SEATER	P 3,848,000.00</t>
  </si>
  <si>
    <t xml:space="preserve"> Republic of the Philippines Department of Health DAVAO REGIONAL MEDICAL CENTER Apokon, Tagum City BIDS AND AWARDS COMMITTEE Invitation to Bid for the SUPPLY &amp; DELIVERY OF MAINTENANCE SUPPLIES 1.	The Davao Regional Medical Center (DRMC), through the HOSPIT</t>
  </si>
  <si>
    <t xml:space="preserve"> CSSDO 10	Box/es	Noodles, Halal, chicken/beef flavor, 55 gms, 72 pack per box 400	Sack/s	Rice, 50 kilos per sack, well milled, good quality 600	Piece/s	Sardines 155 grams per piece Please see attached file/document on associated components or BAC website w</t>
  </si>
  <si>
    <t xml:space="preserve"> Republic of the Philippines CITY GOVERNMENT OF ANTIPOLO Antipolo City INVITATION TO BID For the Supply &amp; Delivery of Laptop The City Government of Antipolo, through the General Fund intends to apply the sum of P 4,000,000.00 being the Approved Budget for </t>
  </si>
  <si>
    <t xml:space="preserve"> CID No. 20IC0082:  Concreting of Brgy. Libertad FMR, Brgy. Libertad, Palo, Leyte;  ABC: P11,940,000.00; 61 CD ACTIVITY	TIME	PLACE 1.  Issuance/Downloading of       Bidding Documents	August 12 – September 1, 2020	Hard copies at BAC Secretariat; DPWH, Leyte</t>
  </si>
  <si>
    <t xml:space="preserve"> Location: Buyo, Manito, Albay Scope of Work: Complete construction of modified 2-Storey 4-Classroom School Building (concrete slab roof) with demolition of marcos type building; includes fire escape, steel casement window at rear portion with security gri</t>
  </si>
  <si>
    <t xml:space="preserve"> INVITATION TO BID  GF-20-05-00787	MARKET DEVELOPMENT AND ADMINISTRATION DEPARTMENT	PEST CONTROL SOLUTION	P 2,750,000.00	GENERAL FUND	 15 CALENDAR DAYS 1.	The QUEZON CITY LOCAL GOVERNMENT, through the General Fund of various years approved by the Sanggunia</t>
  </si>
  <si>
    <t xml:space="preserve"> CID No. 20IC0079:  Concreting of Brgy. Veteranos FMR, Brgy. Veteranos, Alangalang, Leyte;  ABC: P12,935,000.00; 66 CD ACTIVITY	TIME	PLACE 1.  Issuance/Downloading of       Bidding Documents	August 12 – September 1, 2020	Hard copies at BAC Secretariat; DPW</t>
  </si>
  <si>
    <t xml:space="preserve"> SUPPLY AND DELIVERY OF RESCUE TOOLS AND EQUIPMENT (LIGHTING AND COLLAPSE STRUCTURE) 1.	The Local Government Unit of Mauban through the GENERAL FUND-9999/cont/1-0-05-090, 2020 intends to apply the sum of Three hundred ninety one thousand pesos (Php 391,000</t>
  </si>
  <si>
    <t xml:space="preserve"> PR. No. 119-2020 (LDRRMO)		 	 1.	2	unit	Storage Cabinet- Swing Door with 5 adjustable shelves, 			 			recessed handles, 1 lock and 2 keys. Made from High quality 			 			cold-rolled steel.			 			Dimension:72” height x 36” width x 18” depth			 			Finish: sm</t>
  </si>
  <si>
    <t xml:space="preserve"> Republic of the Philippines ANGELES CITY WATER DISTRICT Pampang Road, Brgy. Lourdes Northwest, Angeles City   (045) 458-0384; (045) 458-0382; (045) 458-0372  (045)322-6422; (045)458-0371, Fax No.: (045)322-6926 E-mail address:  angelescitywd@gmail.com Web</t>
  </si>
  <si>
    <t xml:space="preserve"> Republic of the Philippines Province of La Union Municipality of Luna BARANGAY NAPASET Bids and Awards Committee INVITATION TO BID FOR PURCHASE AND DELIVERY OF BRAND-NEW AMBULANCE 1.	The Barangay Government of Napaset, Luna, La Union through the 20% DEVEL</t>
  </si>
  <si>
    <t xml:space="preserve"> OFFICE OF THE BIDS AND AWARDS COMMITTEE INVITATION TO BID NO. 126-20 Name of Project: Procurement of Aggregates used for Road Concreting of Purok 1 @ Brgy. Sta. Cruz, Socorro, SDN Source of Funds: Brgy. 20% Development Fund The Municipality of Socorro thr</t>
  </si>
  <si>
    <t xml:space="preserve"> Section I. Invitation to Bid Republic of the Philippines Province of Sultan Kudarat Municipality of Bagumbayan OFFICE OF THE BIDS AND AWARDS COMMITTEE Bagumbayan, Sultan Kudarat INVITATION TO BID FOR PROCUREMENT FOR THE SUPPLY OF VARIOUS I.T EQUIPMENT 1.	</t>
  </si>
  <si>
    <t xml:space="preserve"> Republic of the Philippines												 City of San Carlos												 Negros Occidental												 												 			INVITATION TO BID							FOR SALE	 			PURCHASE REQUEST NO: 4-20-07-0878			P 2,742.00	 Sealed bids for quotation of prices will be received </t>
  </si>
  <si>
    <t xml:space="preserve"> 1.	4	sets	Anti HCV 400 Test w/ control calibrator 2.	4	sets	Anti TP 400 Test w/ control calibrator 3.	4	sets	HBsAg  400 Test w/ control calibrator 4.	4	sets	HIV 400 Test w/ control calibrator 5.	4	box	Pre-Trigger Solution (ARC) 4 bottles/box 975 ml/bottle</t>
  </si>
  <si>
    <t xml:space="preserve"> Procurement of Catering Services for 2020 CPH Fourth Level Training for the Municipality of Cervantes, Ilocos Sur on August 24-29, 2020</t>
  </si>
  <si>
    <t xml:space="preserve"> INVITATION TO BID 	 The Municipality of Liloan, Southern Leyte through its Bids and Awards Committee (BAC), invites suppliers/manufacturers/distributors/contractors to bid for the following: 1.	Procurement of IT Equipments, Office Supplies and Accessories</t>
  </si>
  <si>
    <t xml:space="preserve"> Section I. Invitation to Bid Republic of the Philippines PROVINCE OF ZAMBOANGA SIBUGAY Capitol Building, Ipil Heights, Ipil, Zamboanga Sibugay Invitation to Bid for  Construction of Slope Protection along Capitol Service Road (at the back of Generator set</t>
  </si>
  <si>
    <t xml:space="preserve"> PROCUREMENT OF HYGIENE KIT AND OTHER FOR KINDER LEARNER OF AGUTAYA The MUNICIPALITY OF AGUTAYA, through its Bids and Awards Committee (BAC), invites eligible suppliers/contractors to bid for the hereunder project: Project		:	 	 Requesting Office/End-user	</t>
  </si>
  <si>
    <t xml:space="preserve"> Invitation to Bid	 PROCUREMENT OF SLIPPERS(SANDAL TYPE) FOR AGE 6-12 YEARS The MUNICIPALITY OF AGUTAYA, through its Bids and Awards Committee (BAC), invites eligible suppliers/contractors to bid for the hereunder project: Project		:	 	 Requesting Office/E</t>
  </si>
  <si>
    <t xml:space="preserve"> SUPPLY AND DELIVERY OF CONSTRUCTION MATERIALS FOR REHABILITATION OF BARANGAY HALL, SAN VICENTE, BUTUAN CITY.</t>
  </si>
  <si>
    <t xml:space="preserve"> OFFICE OF THE BIDS AND AWARDS COMMITTEE INVITATION TO BID NO. 130-20 Name of Project: Supply &amp; Installation of Doors &amp; Windows used for Rehabilitation of Senior Citizen's Building @ Brgy. Navarro, Socorro, SDN Source of Funds: Mun. 20% Development Fund Th</t>
  </si>
  <si>
    <t xml:space="preserve"> PROCUREMENT OF 2 UNITS OF WINDOW TYPE AIRCON WITH ACCESSORIES  AND CURTAIN The MUNICIPALITY OF AGUTAYA, through its Bids and Awards Committee (BAC), invites eligible suppliers/contractors to bid for the hereunder project: Project		:	 	 Requesting Office/E</t>
  </si>
  <si>
    <t xml:space="preserve"> CONSTRUCTION OF ONE (1) UNIT BRGY. HALL AT BRGY. BONGALAO, SIBUCO, ZAMBOANGA DEL NORTE APPROVED BUDGET OF THE CONTRACT: PHP 1,000,000.00 RECEIPT AND OPENING OF BIDS WILL BE ON AUGUST 31, 2020, 10:00 AM AT BAC OFFICE, BRGY. POBLACION, SIBUCO, ZAMBOANGA DEL</t>
  </si>
  <si>
    <t xml:space="preserve"> PROCUREMENT OF CONSTRUCTION MATERIALS FOR CONCRETING OF DORONGAN ROAD The MUNICIPALITY OF AGUTAYA, through its Bids and Awards Committee (BAC), invites eligible suppliers/contractors to bid for the hereunder project: Project		:	 	 Requesting Office/End-us</t>
  </si>
  <si>
    <t xml:space="preserve"> INVITATION TO BID FOR SUPPLY AND DELIVERY OF TEN (10) UNITS GOLF CARTS FOR THE USE OF CLUB INTRAMUROS GOLF COURSE Invitation to Bid No. 20-08-0001 In line with the government’s directive to ensure safety and to prevent the spread of COVID-19, please be in</t>
  </si>
  <si>
    <t xml:space="preserve"> PROCUREMENT OF CONSTRUCTION MATERIALS FOR CONCRETING OF INTERMITTENT ROAD (ABAGAT-VILLA SOL RD) The MUNICIPALITY OF AGUTAYA, through its Bids and Awards Committee (BAC), invites eligible suppliers/contractors to bid for the hereunder project: Project		:	 </t>
  </si>
  <si>
    <t xml:space="preserve"> INVITATION TO BID The Iligan City Government Bids and Awards Committee (BAC), through Trust Fund 2020, intends to apply the sum of P 1,980,500.00 being the Approved Budget for the Contract (ABC) to payments under the Contract for Procurement of Medical Eq</t>
  </si>
  <si>
    <t xml:space="preserve"> PROCUREMMENT OF 1 UNIT ANDROIND PHONE FOR MDRRM USE The MUNICIPALITY OF AGUTAYA, through its Bids and Awards Committee (BAC), invites eligible suppliers/contractors to bid for the hereunder project: Project		:	 	 Requesting Office/End-user	:	MUNICIPALITY </t>
  </si>
  <si>
    <t xml:space="preserve"> The Barangay Government of Sahud -Ulan through its Bids and Awards Committee (BAC), invites contractors with and classified by the Philippine Contractors Accredited Board (PCAB) to apply  for eligibility and to bid for hereunder project: Name of Project	:</t>
  </si>
  <si>
    <t xml:space="preserve"> CONSTRUCTION OF ONE (1) UNIT BRGY. HALL AT BRGY. LINTANGAN, SIBUCO, ZAMBOANGA DEL NORTE APPROVED BUDGET OF THE CONTRACT: PHP 1,000,000.00 RECEIPT AND OPENING OF BIDS WILL BE ON AUGUST 31, 2020, 10:00 AM AT BAC OFFICE, BRGY. POBLACION, SIBUCO, ZAMBOANGA DE</t>
  </si>
  <si>
    <t xml:space="preserve"> PROCUREMENT OF CONSTRUCTION MATERIALS FOR CONCRETING OF BANCAL ROAD The MUNICIPALITY OF AGUTAYA, through its Bids and Awards Committee (BAC), invites eligible suppliers/contractors to bid for the hereunder project: Project		:	 	 Requesting Office/End-user</t>
  </si>
  <si>
    <t xml:space="preserve"> BAC-LGU ILIGAN INVITATION TO BID The Iligan City Government Bids and Awards Committee (BAC), through General Fund 2020, intends to apply the sum of  P 1,994,475.00  being the Approved Budget for the Contract (ABC) to payments under the Contract for Procur</t>
  </si>
  <si>
    <t xml:space="preserve"> Invitation to Bid for the Improvement / Renovation of the KBC Appartelle’s Cafeteria and Administrative Office 1. The Southern Philippines Development Authority (SPDA), through the National Government Subsidy intends to apply the sum of One Million and Ei</t>
  </si>
  <si>
    <t xml:space="preserve"> CONSTRUCTION OF ONE (1) UNIT BRGY. HALL AT BRGY. POBLACION, SIBUCO, ZAMBOANGA DEL NORTE APPROVED BUDGET OF THE CONTRACT: PHP 1,000,000.00 RECEIPT AND OPENING OF BIDS WILL BE ON AUGUST 31, 2020, 10:00 AM AT BAC OFFICE, BRGY. POBLACION, SIBUCO, ZAMBOANGA DE</t>
  </si>
  <si>
    <t xml:space="preserve"> Republic of the Philippines Local Government Unit of General Santos City BIDS AND AWARDS COMMITTEE City Hall, General Santos City INVITATION TO APPLY FOR ELIGIBILITY AND TO BID FOR 20CW-GSC-028 REPAIR/REHABILITATION OF OVAL PLAZA COVERED COURT, GENERAL SA</t>
  </si>
  <si>
    <t xml:space="preserve"> Republic of the Philippines Local Government Unit of General Santos City BIDS AND AWARDS COMMITTEE City Hall, General Santos City INVITATION TO APPLY FOR ELIGIBILITY AND TO BID FOR 20CW-GSC-027 BUILDING - EXPANSION AND IMPROVEMENT OF CITY PUBLIC LIBRARY M</t>
  </si>
  <si>
    <t xml:space="preserve"> CONSTRUCTION OF ONE (1) UNIT BRGY. HALL AT. BRGY. CUSIPAN, SIBUCO, ZAMBOANGA DEL NORTE APPROVED BUDGET OF THE CONTRACT: PHP 1,000,000.00 RECEIPT AND OPENING OF BIDS WILL BE ON AUGUST 31, 2020, 10:00 AM AT BAC OFFICE, BRGY. POBLACION, SIBUCO, ZAMBOANGA DEL</t>
  </si>
  <si>
    <t xml:space="preserve"> Republic of the Philippines Local Government Unit of General Santos City BIDS AND AWARDS COMMITTEE City Hall, General Santos City INVITATION TO APPLY FOR ELIGIBILITY AND TO BID FOR 20CW-GSC-026 IMPROVEMENTS OF ROAD FACILITIES AT CABEL ST., BRGY. LAGAO, GE</t>
  </si>
  <si>
    <t xml:space="preserve"> Republic of the Philippines Province of Nueva Vizcaya Municipality of Bambang -oOo- INVITATION TO BID The Local Government Unit of Bambang, through the Barangay Fund, intends to apply the sum of THREE HUNDRED THIRTY NINE THOUSAND NINE HUNDRED NINETY EIGHT</t>
  </si>
  <si>
    <t xml:space="preserve"> For the complete specifications and other details of the contract, please refer to the attached document or you may contact the Chairman of the BAC Secretariat at (035) 410-4066 or (035) 410-4069</t>
  </si>
  <si>
    <t xml:space="preserve"> Republic of the Philippines Province of Marinduque Torrijos BIDS AND AWARDS COMMITTEE INVITATION TO BID FOR THE CONSTRUCTION OF STORAGE FACILITY 1.	The MUNICIPALITY OF TORRIJOS, through the GENERAL FUND, intends to apply the sum of TWO MILLION PESOS ONLY </t>
  </si>
  <si>
    <t xml:space="preserve"> SUPPLY AND DELIVERY OF UPVC PIPES AND FITTINGS FOR REHABILITATION OF PIPES FOR SIBUCO WATER DISTRICT APPROVED BUDGET OF THE CONTRACT: PHP 720,000.00 RECEIPT AND OPENING OF BIDS WILL BE ON AUGUST 31, 2020, 10:00 AM AT BAC OFFICE, BRGY. POBLACION, SIBUCO, Z</t>
  </si>
  <si>
    <t xml:space="preserve"> BAC-LGU ILIGAN INVITATION TO BID The Iligan City Government Bids and Awards Committee (BAC), through General Fund 2020, intends to apply the sum of P 1,014,150.00 being the Approved Budget for the Contract (ABC) to payments under the Contract for Procurem</t>
  </si>
  <si>
    <t xml:space="preserve"> Republic of the Philippines Local Government Unit of General Santos City BIDS AND AWARDS COMMITTEE City Hall, General Santos City INVITATION TO APPLY FOR ELIGIBILITY AND TO BID FOR 20CW-GSC-029 FLOOD CONTROL SYSTEMS (CONSTRUCTION OF FLOODWAY ALONG MABUHAY</t>
  </si>
  <si>
    <t xml:space="preserve"> INVITATION TO BID FOR SUPPLY AND DELIVERY OF CONSTRUCTION MATERIALS FOR THE ESTABLISHMENT OF TECHNO DEMO FACILITY (PERIMETER FENCE EXTENSION) AT BALAK II, MANADI, PURAKAN, LINAMON, LANAO DEL NORTE Project Identification No. LIN-LDN-08-11-20 1.	The Local G</t>
  </si>
  <si>
    <t xml:space="preserve"> PROCUREMENT OF ASSORTED MDRRM EQUIPMENTS The MUNICIPALITY OF AGUTAYA, through its Bids and Awards Committee (BAC), invites eligible suppliers/contractors to bid for the hereunder project: Project		:	 	 Requesting Office/End-user	:	MUNICIPALITY OF AGUTAYA </t>
  </si>
  <si>
    <t xml:space="preserve"> CONSTRUCTION OF ONE (1) UNIT BRGY. HALL AT BRGY. LAMBAGUAN, SIBUCO, ZAMBOANGA DEL NORTE APPROVED BUDGET OF THE CONTRACT: PHP 1,000,000.00 RECEIPT AND OPENING OF BIDS WILL BE ON AUGUST 31, 2020, 10:00 AM AT BAC OFFICE, BRGY. POBLACION, SIBUCO, ZAMBOANGA DE</t>
  </si>
  <si>
    <t xml:space="preserve"> Republic of the Philippines Local Government Unit of General Santos City BIDS AND AWARDS COMMITTEE City Hall, General Santos City INVITATION TO APPLY FOR ELIGIBILITY AND TO BID FOR 20CW-GSC-025 BUILDING - CITY HALL RENOVATION, CITY HALL COMPOUND, GENERAL </t>
  </si>
  <si>
    <t xml:space="preserve"> PROCUREMENT OF CONSTRUCTION MATERIALS FOR WOMENS CRISIS CENTER The MUNICIPALITY OF AGUTAYA, through its Bids and Awards Committee (BAC), invites eligible suppliers/contractors to bid for the hereunder project: Project		:	 	 Requesting Office/End-user	:	MU</t>
  </si>
  <si>
    <t xml:space="preserve"> BAC-LGU ILIGAN INVITATION TO BID The Iligan City Government Bids and Awards Committee (BAC), through Trust Fund 2020, intends to apply the sum of  P 1,132,470.00 being the Approved Budget for the Contract (ABC) to payments under the Contract for Procureme</t>
  </si>
  <si>
    <t xml:space="preserve"> PROCUREMENT OF ONE (1) UNIT BRAND NEW PICK-UP TRUCK VEHICLE-MANUAL TRANSMISSION, 4 WHEEL DRIVE APPROVED BUDGET OF THE CONTRACT: PHP 1,500,000.00 RECEIPT AND OPENING OF BIDS WILL BE ON AUGUST 31, 2020, 10:00 AM AT BAC OFFICE, BRGY. POBLACION, SIBUCO, ZAMBO</t>
  </si>
  <si>
    <t xml:space="preserve"> INVITATION TO BID  	 The Department of Public Works and Highways-National Capital Region (DPWH-NCR), through  its Bids and Awards Committee (BAC), invites contractors to submit bids for the hereunder Contracts: 	  	        Contract ID	20O00019	20O00028 Co</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</si>
  <si>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</si>
  <si>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INVITATION TO BID  The DPWH – Cavite II District Engineering Office, through its Bids and Awards Committee (BAC), invites contractors to submit bids for the following Contract:  1.	Contract I.D. No.	:	20DG0052         Contract Name          :   	Concretin</t>
  </si>
  <si>
    <t xml:space="preserve"> Supply and delivery of one (1) unit brand new 18 ft., 4x2, 6-wheeler with dropside cargo truck to Tinagagacan, Gen. Santos City</t>
  </si>
  <si>
    <t xml:space="preserve"> Republic of the Philippines Local Government Unit of General Santos City BIDS AND AWARDS COMMITTEE City Hall, General Santos City INVITATION TO APPLY FOR ELIGIBILITY AND TO BID FOR 20CW-GSC-030 ROAD CONCRETING FROM FIL-AM HIGHWAY TO ANTONIO C. ACHARON MEM</t>
  </si>
  <si>
    <t xml:space="preserve"> 4 UNITS 3N1 PRINTER 16 BTLS REFILL INK  BLACK, 1 LITER 16 BTLS REFILL INK  YELLOW, 1 LITER 16 BTLS REFILL INK  BLUE, 1 LITER 16 BTLS REFILL INK  MAGENTA, 1 LITER 2,600 RMS BOND PAPER, LONG</t>
  </si>
  <si>
    <t xml:space="preserve"> BAC-LGU-ILIGAN INVITATION TO BID The Iligan City Government Bids and Awards Committee (BAC), through General Fund 2020, intends to apply the sum of P 1,499,415.00 being the Approved Budget for the Contract (ABC) to payments under the Contract for Procurem</t>
  </si>
  <si>
    <t xml:space="preserve"> PROCUREMENT OF CONSTRUCTION MATERIALS FOR VILLA FRIA DRAINAGE SYSTEM The MUNICIPALITY OF AGUTAYA, through its Bids and Awards Committee (BAC), invites eligible suppliers/contractors to bid for the hereunder project: Project		:	 	 Requesting Office/End-use</t>
  </si>
  <si>
    <t xml:space="preserve"> Republic of the Philippines Region XII Province of Cotabato BIDS AND AWARDS COMMITTEE Amas, Kidapawan City INVITATION TO BID FOR Supply of 118,764 liters Diesel Fuel for various road building equipment assigned in the repair/maintenance of Provincial and </t>
  </si>
  <si>
    <t xml:space="preserve"> Republic of the Philippines                   Department of Health	       CENTRAL OFFICE BIDS AND AWARDS COMMITTEE    INVITATION TO BID FOR THE  PROCUREMENT OF STRUCTURAL RETROFITTING AND REPAIR OF BUILDING 19 IB NO. CW-2020-001 1.	The Department of Healt</t>
  </si>
  <si>
    <t xml:space="preserve"> 1. SITE WORKS IIA. INTAKE BOX 11B . COLLECTOR BOX IIC. RESERVOIR III. PIPELINE IV. COMMUNAL FAUCET/TAPSTAND V. BILLBOARD</t>
  </si>
  <si>
    <t xml:space="preserve"> MEALS FOR 100 PAX FOR 3 DAYS, BUFFET STYLE SNACKS FOR 100 PAX FOR 3 DAYS, AM &amp;PM</t>
  </si>
  <si>
    <t xml:space="preserve"> Republic of the Philippines Region XII Province of Cotabato BIDS AND AWARDS COMMITTEE Amas, Kidapawan City INVITATION TO BID FOR Procurement of Catering Services for the conduct of Parliamentary and Emergency Response Training of Sangguniang Panlalawigan </t>
  </si>
  <si>
    <t xml:space="preserve"> Republic of the Philippines Region XII Province of Cotabato BIDS AND AWARDS COMMITTEE Amas, Kidapawan City INVITATION TO BID FOR Supply &amp; Delivery of GeneXprt Machine (GeneXpert IV) for the use of HIV treatment hub. (PB-20-400) 1.	The Provincial Governmen</t>
  </si>
  <si>
    <t xml:space="preserve"> INVITATION TO BID FOR SUPPLY AND DELIVERY OF CONSTRUCTION MATERIALS FOR SLAUGHTERHOUSE ENHANCEMENT AT BARANGAY BOSQUE, LINAMON, LANAO DEL NORTE Project Identification No. LIN-LDN-08-11-20A 	 1.	The Local Government Unit of Linamon, Lanao del Norte, throug</t>
  </si>
  <si>
    <t xml:space="preserve"> Republic of the Philippines Region XII Province of Cotabato BIDS AND AWARDS COMMITTEE Amas, Kidapawan City INVITATION TO BID FOR Supply of 50,492.29 liters Diesel Fuel for various road building equipment assigned in the repair/maintenance of Provincial an</t>
  </si>
  <si>
    <t xml:space="preserve"> INVITATION TO BID  The DPWH – Cavite II District Engineering Office, through its Bids and Awards Committee (BAC), invites contractors to submit bids for the following Contract:  3.	Contract I.D. No.	:	20DG0054         Contract Name          :   	Construct</t>
  </si>
  <si>
    <t xml:space="preserve"> INVITATION TO BID  The DPWH – Cavite II District Engineering Office, through its Bids and Awards Committee (BAC), invites contractors to submit bids for the following Contract:  2.	Contract I.D. No.	:	20DG0053         Contract Name          :   	Construct</t>
  </si>
  <si>
    <t xml:space="preserve"> Republic of the Philippines Region XII Province of Cotabato BIDS AND AWARDS COMMITTEE Amas, Kidapawan City INVITATION TO BID FOR Supply of 109,399.98 liters Diesel Fuel for various road building equipment assigned in the repair/maintenance of Provincial a</t>
  </si>
  <si>
    <t xml:space="preserve"> Republic of the Philippines Region XII Province of Cotabato BIDS AND AWARDS COMMITTEE Amas, Kidapawan City INVITATION TO BID FOR Supply of 50,672 liters Diesel Fuel for various road building equipment assigned in the repair/maintenance of Provincial and B</t>
  </si>
  <si>
    <t xml:space="preserve"> Purchase of jetmatic pumps for the barangays</t>
  </si>
  <si>
    <t xml:space="preserve"> Republic of the Philippines Region XII Province of Cotabato BIDS AND AWARDS COMMITTEE Amas, Kidapawan City INVITATION TO BID FOR Supply &amp; Delivery of Transistor Radios &amp; Flash Drives in support to DEPED TV/Radio Base Instruction and offline programs. (PB-</t>
  </si>
  <si>
    <t xml:space="preserve"> Please download attached documents for complete details of the project.</t>
  </si>
  <si>
    <t xml:space="preserve"> Invitation to Bid for Printing and Reproduction of Self-Learning Modules for the 2nd Quarter of SY 2020-2021 1.	The DepEd Gingoog City Division, through the Capital Outlay (CO) 2020  intends to apply the sum of Fifteen Million Seven Hundred Twenty-Two Tho</t>
  </si>
  <si>
    <t xml:space="preserve"> Republic of the Philippines Province of Eastern Samar Municipality of Guiuan Invitation to Bid  for  PROPOSED CONTINUATION OF ROAD CONCRETING AT  BARANGAY CAMPOYONG, GUIUAN, E. SAMAR The LOCAL GOVERNMENT UNIT OF GUIUAN,  through the RDP-2018 20% Developme</t>
  </si>
  <si>
    <t xml:space="preserve"> Republic of the Philippines Region XII Province of Cotabato BIDS AND AWARDS COMMITTEE Amas, Kidapawan City INVITATION TO BID FOR Supply of 159,892.28 liters Diesel Fuel for various road building equipment assigned in the repair/maintenance of Provincial a</t>
  </si>
  <si>
    <t xml:space="preserve"> INVITATION TO BID FOR THE Concreting of Access Road LGU-Kabugao, Apayao 1.	The Local Government Unit of Kabugao, through Appropriation Ordinance No. 02-Series of 2019 (FY 2020 Annual Budget)   intends to apply the sum of Four Hundred Thousand Pesos (₱400,</t>
  </si>
  <si>
    <t xml:space="preserve"> INVITATION TO BID FOR THE Supply and Delivery of  Office Supplies and Consumables (SEF-0678, 0677, 0676, 0679-072020) 1.	The City Government of Mandaue, through the Special Education Fund – (200)  50203010 Office Supplies Approved by the Sanggunian intend</t>
  </si>
  <si>
    <t xml:space="preserve"> SUPPLY AND DELIVERY OF CONSTRUCTION AND MAINTENANCE EQUIPMENT  Invitation to Bid No. 2020-014 1.	The Tarlac State University, through the Special Budget (SB) Fund intends to apply the sum of One Million Six Hundred Seventy Six Thousand Pesos (P 1,676,000.</t>
  </si>
  <si>
    <t xml:space="preserve"> INVITATION TO BID FOR THE Improvement of Barangay Site and Access Road LGU-Kabugao, Apayao 1.	The Local Government Unit of Kabugao, through Appropriation Ordinance No. 02-Series of 2019 (FY 2020 Annual Budget)   intends to apply the sum of Seven Hundred F</t>
  </si>
  <si>
    <t xml:space="preserve"> 1.	The PHILIPPINE ORTHOPEDIC CENTER (POC), through HFEP CY 2020, intends to apply the sum of  Twenty Four Million Five Hundred Thousand Pesos (PhP 24,500,000.00) being the Approved Budget for the Contract (ABC) to payments under the contract for OR Instru</t>
  </si>
  <si>
    <t xml:space="preserve"> Republic of the Philippines Province of Cebu Municipality of Cordova BIDS AND AWARDS COMMITTEE (BAC) (032-236-6171) INVITATION TO BID  The Municipality of Cordova, through its Bids and Awards Committee (BAC) intends to apply  the sum of One Hundred Twenty</t>
  </si>
  <si>
    <t xml:space="preserve"> Republic of the Philippines Province of Cebu Municipality of Cordova BIDS AND AWARDS COMMITTEE (BAC) (032-236-6171) INVITATION TO BID  The Municipality of Cordova, through its Bids and Awards Committee (BAC) intends to apply  the sum of Two Hundred Ninety</t>
  </si>
  <si>
    <t xml:space="preserve"> INVITATION TO BID FOR THE Construction and Rehabilitation of Potable Water Supply Level II LGU-Kabugao, Apayao 1.	The Local Government Unit of Kabugao, through Appropriation Ordinance No. 02-Series of 2019 (FY 2020 Annual Budget – 20% MDF)   intends to ap</t>
  </si>
  <si>
    <t xml:space="preserve"> Design and Build</t>
  </si>
  <si>
    <t xml:space="preserve"> TERMS OF REFERENCE Disaster Recovery Data Center Co-location and ICT Equipment Phase 2 Background: The Department of Tourism’s (DOT) day to day operation involves the smooth flow of information from, to and within the different operating units and to or f</t>
  </si>
  <si>
    <t xml:space="preserve"> please see attached documents</t>
  </si>
  <si>
    <t xml:space="preserve"> INVITATION TO BID     20-106 Name of Project	:	Medical Supplies for Laguna Medical Center (NBB)  Location	:	Sta. Cruz, Laguna Brief Description	:	Various Medical Supplies Approved Budget For the Contract	:	999,600.00 Delivery Period 	:	10 Calendar Days Th</t>
  </si>
  <si>
    <t xml:space="preserve"> INVITATION TO BID     20-105 Name of Project	:	Medicines for LPH-Luisiana District Hospital  Location	:	Luisiana, Laguna Brief Description	:	Various Medicines  Approved Budget For the Contract	:	1,085,683.80 Delivery Period 	:	10 Calendar Days The Provinc</t>
  </si>
  <si>
    <t xml:space="preserve"> INVITATION TO BID FOR  Concreting of 500 meters Barangay Road Phase 1 The Municipality of Banaybanay, Davao Oriental, through its CY 2020 Local Government Support Fund (LGSF) Budget for the Contract (ABC) for the Concreting of 500 meters of Barangay Road </t>
  </si>
  <si>
    <t xml:space="preserve"> INVITATION TO BID     20-103 Name of Project	:	Laboratory Supplies for LPH-Gen. Cailles Memorial District Hospital  Location	:	Pakil, Laguna Brief Description	:	Various Laboratory Supplies Approved Budget For the Contract	:	1,530,731.00 Delivery Period 	:</t>
  </si>
  <si>
    <t xml:space="preserve"> INVITATION TO BID     20-102 Name of Project	:	Misting Solution, Mosquito Net and Larvicide for Preparedness Measure and Response of the Provincial Government of Laguna Against Vector Borne Diseases and for Distribution to Affected Areas of LGUs Location	</t>
  </si>
  <si>
    <t xml:space="preserve"> INVITATION TO BID      20-101 Name of Project	:	Supplies for Donation to Different Barangays and Municipalities in the Province of Laguna Location	:	Various Barangays and Municipalities in the Province of Laguna Brief Description	:	Various Furniture, Appl</t>
  </si>
  <si>
    <t xml:space="preserve"> Procurement of Water laboratory Supplies Lot 5</t>
  </si>
  <si>
    <t xml:space="preserve"> Procurement of Water Laboratory Supplies Lot 4</t>
  </si>
  <si>
    <t xml:space="preserve"> INVITATION TO BID     20-104 Name of Project	:	I.V. Fluids for LPH-San Pablo City District Hospital  Location	:	San Pablo City, Laguna Brief Description	:	Various I.V. Fluids Approved Budget For the Contract	:	1,413,980.00 Delivery Period 	:	10 Calendar D</t>
  </si>
  <si>
    <t xml:space="preserve"> Procurement of Water Laboratory Supplies Lot 2</t>
  </si>
  <si>
    <t xml:space="preserve"> Procurement of Water Laboratory Supplies Lot 3</t>
  </si>
  <si>
    <t xml:space="preserve"> Procurement of Fetal Doppler</t>
  </si>
  <si>
    <t xml:space="preserve"> INVITATION TO BID     20-107 Name of Project	:	Laboratory Equipment for LPH-Dr. J.P. Rizal Memorial District Hospital  Location	:	Calamba City, Laguna Brief Description	:	Various Laboratory Equipment Approved Budget For the Contract	:	675,000.00 Delivery </t>
  </si>
  <si>
    <t xml:space="preserve"> Procurement of Water laboratory Supplies Lot 6</t>
  </si>
  <si>
    <t xml:space="preserve"> INVITATION TO BID  PROCUREMENT OF 1 (ONE) PACKAGE ELECTRICAL AND LIGHTING SUPPLY AT AYUNGON, NEGROS ORIENTAL  BID IDENTIFICATION NUMBER 2020-08-48 1.	The Municipality of Ayungon, through the 20% EDF 2020 intends to apply the sum of One Million One Hundred</t>
  </si>
  <si>
    <t xml:space="preserve"> INVITATION TO BID  CONSTRUCTION OF MUNICIPAL SOLID WASTE LANDFILL – AWA-AN, AYUNGON, NEGROS ORIENTAL BID IDENTIFICATION NUMBER 2020-08-47 1.	The Municipality of Ayungon, through the 20% EDF 2020 intends to apply the sum of One Million Eight Hundred Eighty</t>
  </si>
  <si>
    <t xml:space="preserve"> INVITATION TO BID  REHABILITATION/CONCRETING OF MUNICIPAL STREETS, BARANGAY CALAG CALAG, AYUNGON, NEGROS ORIENTAL BID IDENTIFICATION NUMBER 2020-08-45 1.	The Municipality of Ayungon, through the 20% LDF 2019 intends to apply the sum of One Million Pesos (</t>
  </si>
  <si>
    <t xml:space="preserve"> INVITATION TO BID  CONCRETING OF PORTION OF BARANGAY ROAD AWA-AN-POBLACION (VIA ATABAY) BARANGAY ROAD, AYUNGON, NEGROS ORIENTAL BID IDENTIFICATION NUMBER 2020-08-43 1.	The Municipality of Ayungon, through the 20% EDF 2020 intends to apply the sum of One M</t>
  </si>
  <si>
    <t xml:space="preserve"> INVITATION TO BID  CONCRETING OF PORTION OF BARANGAY ROAD (AMDUS BARANGAY SITE-AMDUS ELEMENTARY SCHOOL), AYUNGON, NEGROS ORIENTAL BID IDENTIFICATION NUMBER 2020-08-42 1.	The Municipality of Ayungon, through the 20% EDF 2020 intends to apply the sum of One</t>
  </si>
  <si>
    <t xml:space="preserve"> INVITATION TO BID  CLUSTER OF CONSTRUCTION PROJECTS 2 (MDRRMO) AT AYUNGON, NEGROS ORIENTAL BID IDENTIFICATION NUMBER 2020-08-46 1.	The Municipality of Ayungon, through the LDRRMFIP 2020 intends to apply the sum of One Million One Hundred Sixty Three Thous</t>
  </si>
  <si>
    <t xml:space="preserve"> INVITATION TO BID  CONCRETING; PORTION OF MANOGTONG BARANGAY ROAD, AYUNGON, NEGROS ORIENTAL BID IDENTIFICATION NUMBER 2020-08-44 1.	The Municipality of Ayungon, through the 20% EDF 2020 intends to apply the sum of Five Hundred Thousand Pesos (Php 500,000.</t>
  </si>
  <si>
    <t xml:space="preserve"> Procurement of Water Laboratory Supplies Lot 1</t>
  </si>
  <si>
    <t xml:space="preserve"> INVITATION TO BID     20-108 Name of Project	:	Duplicating Machine for Different Schools in the Province of Laguna Location	:	Sta. Cruz, Laguna   Brief Description	:	Multi-Function Digital Full Color Copier with ARDF and with Cabinet, Toner, Developer and</t>
  </si>
  <si>
    <t xml:space="preserve"> INVITATION TO BID FOR THE PROCUREMENT FOR THE SUPPLY AND DELIVERY OF ICT EQUIPMENT 1.	The Department of Tourism, through the General Appropriations Act (GAA) 2020 intends to apply the following sum of Ten Million Four Hundred Seventy-Six Thousand Eight Hu</t>
  </si>
  <si>
    <t xml:space="preserve"> INVITATION TO BID  CONCRETING; PORTION OF TIGUIB-TUMAMPON ROAD, AYUNGON, NEGROS ORIENTAL BID IDENTIFICATION NUMBER 2020-08-41 1.	The Municipality of Ayungon, through the 20% EDF 2020 intends to apply the sum of One Million Pesos (Php 1,000,000.00) being t</t>
  </si>
  <si>
    <t xml:space="preserve"> 1.		LAPTOP, Specifications: Processor: Intel Core i7 7500U 2.7GHz (4MB Cache up to 3.5 GHz), Operating System: Windows 10 Home, Memory: 8GB RAM, Display: 15.6” (16:9) LED-backlit FHD (1920x1080) 60Hz Anti-Glare Panel with 45% NTSC, Graphics: 6Gb GDDR5 VRA</t>
  </si>
  <si>
    <t xml:space="preserve"> Republic of the Philippines Province of Northern Samar MUNICIPALITY OF LOPE DE VEGA Lope De Vega, Northern Samar Invitation to Bid IMPROVEMENT OF MUNICIPAL ECO PARK PHASE III Barangay Getigo, Lope De Vega Northern Samar  The Local Government Unit – Lope D</t>
  </si>
  <si>
    <t xml:space="preserve"> Republic of the Philippines Province of Northern Samar MUNICIPALITY OF LOPE DE VEGA Lope De Vega, Northern Samar Invitation to Bid IMPROVEMENT OF MUNICIPAL ECO PARK  Barangay Getigo, Lope De Vega Northern Samar  The Local Government Unit – Lope De Vega, N</t>
  </si>
  <si>
    <t xml:space="preserve"> August 10, 2020 INVITATION TO BID  Reference No. 7163517 /Solicitation No.20-30 The City Government of Tagum invites interested Bidders/Suppliers to bid for the following: Name of Contract         :  LIGHTING AND SOUND SYSTEMS FOR THE ENHANCEMENT       OF</t>
  </si>
  <si>
    <t xml:space="preserve"> August 10, 2020 INVITATION TO BID  Reference No. 7163485 /Solicitation No.20-30 The City Government of Tagum invites interested Bidders/Suppliers to bid for the following: Name of Contract         :  RESCUE AND RESPONSE EQUIPMENT FOR THE USE OF CDRRMO    </t>
  </si>
  <si>
    <t xml:space="preserve"> Completion of MPB, Drug Rehabilitation Center: Item I	-8.33 mo. Provision of Field Office for the Engineer Item II	-1.00 LS Project Billboard / Sign Board Item III	-1.00 LS Occupational Safety and Health Program Item IV	-1.00 LS Mobilization / Demobilizat</t>
  </si>
  <si>
    <t xml:space="preserve"> Procurement of Water Laboratory Supplies Lot 7</t>
  </si>
  <si>
    <t xml:space="preserve"> Republic of the Philippines Province of Zamboanga del Sur MUNICIPALITY OF LAKE WOOD BIDS AND AWARDS COMMITTEE Invitation to Bid for Procurement of various Heavy Equipment  and Light Vehicle use in this Municipality 1.	The Local Government Unit of Lake Woo</t>
  </si>
  <si>
    <t xml:space="preserve"> Procurement of Medical Equipment Package for BHS</t>
  </si>
  <si>
    <t xml:space="preserve"> The Project includes the following below; Item No.	Description of Works	Quantity	Unit 1. Improvement of Poblacion Road (Opey-Ben Faguingas Section) SPLI	Project Signage	1.00	Lot SPLII	Provisions of Health and Safety	1.00	Lot 103	Structural Excavation	282.</t>
  </si>
  <si>
    <t xml:space="preserve"> For Full Description and Specification please refer to the Bidding documents.</t>
  </si>
  <si>
    <t xml:space="preserve"> Unit		                      Particulars				         Quantity	 bots		paracetamol 125mg syrup					90 bots		salbutamol sulfate 2mg syrup					50 bots		paracetamol drops					60 bots		ceterizine syrup					90 bots		lagundi syrup					50 bots		multivitamins syrup	</t>
  </si>
  <si>
    <t xml:space="preserve"> I. ELECTRIFICATION OF TUBLAY AGRI-MARKETING AND FOOD PROCESSING CENTER (TAMFPC) BUILDING ABC: Php 400,000.00 CONTRACT DURATION: 21 C.D. LOCATION: Acop, Caponga, Tublay, Benguet II. ELECTRIFICATION OF MUNICIPAL INTEGRATED ORGANIC AGRICULTURAL LEARNING SITE</t>
  </si>
  <si>
    <t xml:space="preserve"> (FORM NO. 014- INVITATION TO APPLY FOR ELIGIBILITY AND TO BID) Republic of the Philippines Sangguniang Barangay of Malinao Ilaya Barangay Malinao Ilaya, Atimonan, Quezon INVITATION TO APPLY FOR ELIGIBILITY AND TO BID Date:  August 10, 2020 The  Sanggunian</t>
  </si>
  <si>
    <t xml:space="preserve"> I. EXCAVATION (INCLUDES SEPTIC TANK) II. STRUCTURAL CONCRETE III. DOORS AND WINDOWS IV. MASONRY WORKS V. PLUMBING VI. SEPTIC TANK VII. ELECTRICAL VIII. TILE WORKS</t>
  </si>
  <si>
    <t xml:space="preserve"> INVITATION TO BID KB-INFRA- 2020-08 The MUNICIPALITY OF KITAOTAO, through its Bids and Awards Committee (BAC), invites supplier’s manufacturers/contractors to apply for eligibility and to bid for hereunder project:   Project Name	   :  CONSTRUCTION OF MUL</t>
  </si>
  <si>
    <t xml:space="preserve"> Republic of the Philippines Province of zamboanga Sibugay Municipality of Olutanga 7014 August 10, 2020 NOTICE TO THE PUBLIC INVITIATION TO APPLY FOR ELIGIBILITY AND TO BID All interested bidders are invited to Pre-qualify and participate in sealed biddin</t>
  </si>
  <si>
    <t xml:space="preserve"> INVITATION TO BID FOR THE PROCUREMENT OF SPARE SUBMERSIBLE PUMP &amp; MOTOR 2020 1.	The Dagupan City Water District, through the Budget 2020 intends to apply the sum of Eight Hundred Thirty Thousand Pesos (830,000.00) being the Approved Budget for the Contrac</t>
  </si>
  <si>
    <t xml:space="preserve"> Republic of the Philippines Province of Nueva Vizcaya BIDS AND AWARDS COMMITTEE (BAC-GOODS) BAC OFFICE, Provincial Capitol, Bayombong, Nueva Vizcaya Tel. No. (078) 392-2650 	 INVITATION TO BID FOR THE SUPPLY AND DELIVERY OF 2,000 TANKS MEDICAL OXYGEN REFI</t>
  </si>
  <si>
    <t xml:space="preserve"> Item I	-61.31 cu.m. Excavation works Item II	-27.32 cu.m. Concrete works Item III	-2,230 meters Installation of Electrical wirings Item IV	-30 sets Erection of Electrical Post</t>
  </si>
  <si>
    <t xml:space="preserve"> Procurement of Water Laboratory Supplies Lot 10</t>
  </si>
  <si>
    <t xml:space="preserve"> 200A, 3 POLES AT LEAST 200A CAPACITY MCCB</t>
  </si>
  <si>
    <t xml:space="preserve"> Procurement of Water Laboratory Supplies Lot 9</t>
  </si>
  <si>
    <t xml:space="preserve"> COMMON OFFICE SUPPLIES - 488 Items</t>
  </si>
  <si>
    <t xml:space="preserve"> KIA BONGO SINGLE CAB CAT EYE SINGLE TIRE 4x4 3.0 ENGINE/TIMING GEAR, AIRCON/STERIO POWER WINDOW/POWER STIRRING FOR SOLID WASTE MANAGEMENT VEHICLE FOR THE USE OF BARANGAY BIGA, LUGAIT, MISAMIS ORIENTAL.</t>
  </si>
  <si>
    <t xml:space="preserve"> Construction of Shoreline Protection</t>
  </si>
  <si>
    <t xml:space="preserve"> Invitation to Bid for the Rehab. &amp; Repair of Brgy Roads  Brgy. Bilabid, Surigao City ITB No. 111-Infra-2020    1.	The City Government of Surigao, intends to apply the sum of   One Million  Pesos (Php1,000,000.00)  being the Approved Budget for the Contrac</t>
  </si>
  <si>
    <t xml:space="preserve"> LGU-AL-34-2020 CONSTRUCTION OF MRF &amp; RCA BUILDING BRGY. KATIPUNAN ABUYOG, LEYTE</t>
  </si>
  <si>
    <t xml:space="preserve"> August 10, 2020 INVITATION TO BID  Reference No. 7165040 /Solicitation No.20-30 The City Government of Tagum invites interested Bidders/Suppliers to bid for the following: Name of Contract         :  FIXTURES FOR THE ENHANCEMENT OF MULTI-PURPOSE BUILDING </t>
  </si>
  <si>
    <t xml:space="preserve"> Procurement of Water Laboratory Supplies Lot 8</t>
  </si>
  <si>
    <t xml:space="preserve"> Please see attached Terms of Refernce. You may email your quotations at calderonc@philhealth.gov.ph</t>
  </si>
  <si>
    <t xml:space="preserve"> I. IMPROVEMENT OF LOAKAN ROAD LOCATED AT TUBLAY CENTRAL, TUBLAY, BENGUET ABC: Php 500,000.00 II. COMPLETION OF CLIMATE CHANGE RESILIENT MULTI-PURPOSE BUILDING LOCATED AT PICAO, TUBLAY CENTRAL, TUBLAY, BENGUET ABC: Php 500,000.00 DAYS TO COMPLETE: 55 C.D. </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</si>
  <si>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</si>
  <si>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The work includes Construction of 7.0m x 18.0m standard 1 unit, 2 classroom, 1 storey school building with attached toilets as per approved plans and specs.</t>
  </si>
  <si>
    <t xml:space="preserve"> CONSTRUCTION OF LIBI WATER SYSTEM Malapatan, Sarangani Province (Contract No. INFRA 2020-47) August 11, 2020 1.	The Provincial Government of Sarangani, through AIP CY 2020/AB 2020 intends to apply the sum of One Million Four Hundred Ninety-Nine Thousand N</t>
  </si>
  <si>
    <t xml:space="preserve"> The work includes Construction of standard 1 unit, 3 classroom, 1 storey school building with the dimension of 7.0m x 27.0m, with attached toilets, complete as per approved plans and specsl.</t>
  </si>
  <si>
    <t xml:space="preserve"> The work includes Construction of standard 1 unit, 2 classroom, 1 storey school building with the dimension of 7.0m x 18.0m, with attached toilets, complete as per approved plans and specs.</t>
  </si>
  <si>
    <t xml:space="preserve"> INVITATION TO BID NO. GOODS-037-2020 The Provincial Government of Bataan, through the General  Fund037 intends to apply the below listed procurement w/ corresponding Approved Budget of the Contract (ABC). Bids received in excess of the ABC shall be automa</t>
  </si>
  <si>
    <t xml:space="preserve"> 40   PCS    36" RC PIPE 40   PCS    30" RC PIPE 200 PCS     5" CHB 35   BAGS   CEMENT 20   CU.M.  SAND 20   CU.M.  GRAVEL 30   PCS     10mm 20   PCS     12 mm 10   KGS     #16 TIE WIRE</t>
  </si>
  <si>
    <t xml:space="preserve"> Invitation to Bid for the Installation of SciCAT Signage and Pergola (20-06-0121) 1. The Bohol Island State University - Bilar Campus, through the DOST-PCAARRD 2020 intends to apply the sum of Three Hundred Thousand Pesos only (₱300,000.00) being the Appr</t>
  </si>
  <si>
    <t xml:space="preserve"> The Municipality of Pulilan, Bulacan, through its Bids and Awards Committee (BAC), invites prospective bidders/Supplier to apply for eligibility and shortlisting and if found eligible and shortlisted, to bid for Purchase of Rice for Barangay Tanod The Mun</t>
  </si>
  <si>
    <t xml:space="preserve"> Republic of the Philippines Province of Agusan del Sur Municipality of Trento BIDS &amp; AWARDS COMMITTEE INVITATION TO BID FOR  Supply/Delivery of One (1) Unit Motor Vehicle (PR# 20-08-0774)  1.	The Local Government Unit of Trento through the General Fund  n</t>
  </si>
  <si>
    <t xml:space="preserve"> I. CONSTRUCTION OF MULTI-PURPOSE BUILDING AT BA-AYAN PROPER, BA-AYAN, TUBLAY, BENGUET ABC: Php 500,000.00 II. IMPROVEMENT OF BARANGAY HEALTH STATION LOCATED AT BANGHO, DACLAN, TUBLAY, BENGUET ABC: Php 500,000.00 III. REHABILITATION OF FOOTBRIDGE LOCATED A</t>
  </si>
  <si>
    <t xml:space="preserve"> REPAINTING OF PROVINCIAL CAPITOL PERIMETER FENCE Capitol Complex, Alabel, Sarangani Province (Contract No. INFRA 2020-48) August 11, 2020 1.	The Provincial Government of Sarangani, through AIP CY 2020/AB 2020 intends to apply the sum of Three Million Peso</t>
  </si>
  <si>
    <t xml:space="preserve"> Department of Education Region VI-Western Visayas Division of Cadiz City Severino Escaro Elementary School INVITATION TO BID FOR THE PROVISION OF PRINTER SUPPLIES AND MATERIALS FOR THE REPRODUCTION OF MODULES 2020 1.	The Severino Escaro Elementary School </t>
  </si>
  <si>
    <t xml:space="preserve"> INVITATION TO BID KB-INFRA- 2020-08 The MUNICIPALITY OF KITAOTAO, through its Bids and Awards Committee (BAC), invites supplier’s manufacturers/contractors to apply for eligibility and to bid for hereunder project: Project Name	  :  CONSTRUCTION OF MULTIP</t>
  </si>
  <si>
    <t xml:space="preserve"> Straight Contract for Installation of Street Lights See attached link under OTHER INFORMATION BOX</t>
  </si>
  <si>
    <t xml:space="preserve"> CONSTRUCTION OF MALAPATAN KASFALA HALL Poblacion, Malapatan, Sarangani Province (Contract No. INFRA 2020-50) August 11, 2020 1.	The Provincial Government of Sarangani, through AIP CY 2020/AB 2020 intends to apply the sum of Two Million Pesos (₱2,000,000.0</t>
  </si>
  <si>
    <t xml:space="preserve"> Republic of the Philippines CITY OF PANABO Province of Davao del Norte BIDS AND AWARDS COMMITTEE -o0o- INVITATION TO BID  SUPPLY OF CONSOLIDATED LAPTOP 120 UNITS &amp; COMPUTER DESKTOP 5 UNITS 1.	The City of Panabo, through LSB/DEP.ED-CAPITAL OUTLAY 2020 inte</t>
  </si>
  <si>
    <t xml:space="preserve"> INVITATION TO BID FOR THE PROCUREMENT OF SEA PATROL SUPPLIES AND EQUIPMENT FOR THE IMPLEMENTATION OF COASTAL REGULATION, MONITORING AND SEABORNE PATROL OPERATION FOR FISHERIES REGULATORY AND LAW ENFORCEMENT IN THE CITY OF ALAMINOS, PANGASINAN 1.	The CITY </t>
  </si>
  <si>
    <t xml:space="preserve"> The project includes the following; Item No.	Description of Works	Quantity	Unit 1. Concreting of Chocros-Ganga Irrigation cum Footpath SPL I	Project Signage	1.00	Lot SPL II	Provisions of Health and Safety	1.00	Lot 103	Structural Excavation	23.77	Cu.m. 404</t>
  </si>
  <si>
    <t xml:space="preserve"> Republic of the Philippines Province of Cagayan Tuguegarao City Invitation to Bid for Lightning of Cagayan Sports Complex Tuguegarao City  1.	The Provincial Government of Cagayan, through the SB #1 CY 2019 intends to apply the sum of P 14,954,075.29 being</t>
  </si>
  <si>
    <t xml:space="preserve"> various vaccine as per Purchase Request</t>
  </si>
  <si>
    <t xml:space="preserve"> SectionI. Invitation to Bid Republic of the Philippines Province of Misamis Occidental MUNICIPALITY OF PANAON Invitation to Bid for REHABILITATION OF MATERNAL CARE PACKAGE BUILDING (MCP) 									August 7, 2020 1.	The Municipality of Panaon, Misamis Occid</t>
  </si>
  <si>
    <t xml:space="preserve"> Item I Portable Sink Item II Signage with RC Footing Item III Testing Booth</t>
  </si>
  <si>
    <t xml:space="preserve"> 1.	The City Government of Sipalay, through the 2020 Budget Appropriation approved by the Sangguniang Panlungsod intends to apply the amount of One Million Eight Hundred Twenty Thousand Pesos (P 1,820,000.00) only being the Approved Budget for the Contract</t>
  </si>
  <si>
    <t xml:space="preserve"> Item I Excavation Item II Concrete &amp; Masonry Works Item III Roof &amp; Roof Framing System Item IV Steel Works Item V Hardware Item VI Embankment</t>
  </si>
  <si>
    <t xml:space="preserve"> Republic of the Philippines CITY OF PANABO Province of Davao del Norte BIDS AND AWARDS COMMITTEE -o0o- INVITATION TO BID  SUPPLY OF SURVEYING EQUIPMENT (REBID) 1.	The City of Panabo, through CPDO/ REAL TIME KINEMATIC SURVEYING EQUIPMENT – CAPITAL OUTLAY 2</t>
  </si>
  <si>
    <t xml:space="preserve"> 1.	The Local Government Unit (LGU) of Aroroy, through its Annual Budget 2020 to apply the sum of Php 1,011,436.00 being the Approved Budget for the Contract (ABC) to payments under the contract for Supply and Delivery of Various Office Supplies (3rd Quart</t>
  </si>
  <si>
    <t xml:space="preserve"> 1.	The Local Government Unit (LGU) of Aroroy, through its Annual Budget 2020 to apply the sum of Php 1,006,760.00 being the Approved Budget for the Contract (ABC) to payments under the contract for Supply and Delivery of Other Supplies (3rd Quarter) for M</t>
  </si>
  <si>
    <t xml:space="preserve"> Republic of the Philippines Province of Cagayan Tuguegarao City Invitation to Bid for  Cluster 20 Installation of Street Lights San Luis, Tuao Cagayan, Installation of Street Lights Bagumbayan Tuao, Cagayan, Installation of Street Lights Caggay Tuguegarao</t>
  </si>
  <si>
    <t xml:space="preserve"> Republic of the Philippines Province of Cagayan Tuguegarao City Invitation to Bid for  Cluster 12 Construction of Covered pathway Abbangkeruan Elem. School Pamplona, Cagayan, Construction of Covered Pathway Cabaggan Elem, School, Pamplo na, Cagayan, Const</t>
  </si>
  <si>
    <t xml:space="preserve"> INVITATION TO REBID The Iligan City Government Bids and Awards Committee (BAC), through 2020-SUPPLEMENTAL BUDGET NO.1 intends to apply the sum of P 9,338,800.00 being the Approved Budget for the Contract (ABC) to payments under the Contract for Supply and</t>
  </si>
  <si>
    <t xml:space="preserve"> CONCRETING OF UPPER MAINIT-LOWER MAINIT-NAGPAN PROVINCIAL ROAD Malungon, Sarangani Province (Contract No. INFRA 2020-51) August 11, 2020 1.	The Provincial Government of Sarangani, through AIP CY 2020/AB 2020 intends to apply the sum of Five Million Pesos </t>
  </si>
  <si>
    <t xml:space="preserve"> Republic of the Philippines Province of Leyte Municipality of Inopacan Barangay Guadalupe INVITATION TO BID FOR  THE SUPPLY OF MATERIALS FOR THE PATHWAY ALONG THE SEAVIEW OF GUADALUPE 1.	The Barangay Guadalupe, Inopacan, Leyte, through the Municipal Finan</t>
  </si>
  <si>
    <t xml:space="preserve"> INVITATION TO BID    	NO	PROJECT DESCRIPTION / LOCATION	BRIEF DESCRIPTION	APPROVED BUDGET FOR THE CONTRACT	CONTRACT DURATION (CALENDAR  DAYS) PGL INFRA 20-059	03	Completion of Multi-Purpose Building, Brgy. Sto. Angel, San Pablo City, Laguna	Area: 106.6 sq</t>
  </si>
  <si>
    <t xml:space="preserve"> Road length=29.50 l.m., Road width=6.0 m., Road pavement=4.0 m &amp; road pavement thick=0.152 m</t>
  </si>
  <si>
    <t xml:space="preserve"> City Government of Manila INVITATION TO BID NO. 2020-08-109A Procurement of 4,674 pcs. Manila Banner 1.	The City Government of Manila, through the General Fund CY 2020 – Other Supplies and Materials Expenses intends to apply the sum of Three Million Five </t>
  </si>
  <si>
    <t xml:space="preserve"> INVITATION TO BID    	NO	PROJECT DESCRIPTION / LOCATION	BRIEF DESCRIPTION	APPROVED BUDGET FOR THE CONTRACT	CONTRACT DURATION (CALENDAR  DAYS) PGL INFRA 20-057	01	Asphalt Overlay, Brgy. Aplaya, Sta. Rosa City, Laguna	Net area: 2,400.20 sq.m	3,019,109.57	3 </t>
  </si>
  <si>
    <t xml:space="preserve"> I.  TRUSSES &amp; ROOFING WORKS      -    180.00   SQ.M.         (1-1/2 span)</t>
  </si>
  <si>
    <t xml:space="preserve"> 1.Municipality of Amadeo through its GEN FUND intends to apply the sum of Php 2,500,000.00 being the Approved Budget Ceiling for the PURCHASE OF RISOGRAPH MACHINE FOR USE OF PUBLIC SCHOOLS  Quotation received in excess of the ABC shall be automatically re</t>
  </si>
  <si>
    <t xml:space="preserve"> Republic of the Philippines Province of Cagayan Tuguegarao City Invitation to Bid for  Cluster5 Concreting of Road Leading to Zone1 San Esteban Alcala, Cagayan, Construction of Concrete Canal Pussian Alcala, Cagayan and Concreting of Barangay Marobbob Amu</t>
  </si>
  <si>
    <t xml:space="preserve"> 1. The municipality of Sultan Naga Dimaporo, through the DILG-Performance Challenge Fund CY-2019								  intends to apply the sum of Two Million Three Hundred Thousand Pesos (Php. 2,300,000.00)								  being the Approved Budget for Contract (ABC) for Co</t>
  </si>
  <si>
    <t xml:space="preserve"> Republic of the Philippines CITY OF PANABO Province of Davao del Norte BIDS AND AWARDS COMMITTEE -o0o- INVITATION TO BID  SUPPLY OF 3 UNITS BRAND NEW RESCUE VEHICLE 1.	The City of Panabo, through CDRRMC-CO MOTOR VEHICLE-STF 2020-TRUST FUND-03-CALAMITY FUN</t>
  </si>
  <si>
    <t xml:space="preserve"> Six (6) Wheeler 4.50 cu. m. Dumper Engine Type: 129 HP, 4 Cylinder Euro 4 Emission Diesel Engine Cab: 1760mm with Aircon Transmission: 5 Speed Forward and 1 Speed Reverse Front Axle: 1080D Rear Axle: 1080DD (6.33) Wheel Base: 3200mm Tire Size: 8.25 x R16 </t>
  </si>
  <si>
    <t xml:space="preserve"> Vegetable Seeds</t>
  </si>
  <si>
    <t xml:space="preserve"> INVITATION TO BID    	NO	PROJECT DESCRIPTION / LOCATION	BRIEF DESCRIPTION	APPROVED BUDGET FOR THE CONTRACT	CONTRACT DURATION (CALENDAR  DAYS) PGL INFRA 20-058	02	Repair and Maintenance of Sta. Cruz-Calumpang-Nagcarlan Provincial Road (Asphalt Overlay), Br</t>
  </si>
  <si>
    <t xml:space="preserve"> Item I Hardscape Item II Lighting Fixtures with Power Lines Item III Drainage &amp; Irrigation Item IV Planting</t>
  </si>
  <si>
    <t xml:space="preserve"> Republic of the Philippines Province of Cagayan Tuguegarao City Invitation to Bid for  Cluster 6 Construction of Slope Protection Wall at Centro II Calayan, Cagayan and Concreting of Barangay Road Babuyan Claro Calayan, Cagayan                            </t>
  </si>
  <si>
    <t xml:space="preserve"> City Government of Manila INVITATION TO BID  NO. 2020-08-120 Rental of Heavy Equipment for 2020 1.	The City Government of Manila, through the General Fund CY 2020 – Rent Expenses intends to apply the sum of Seven Million Five Hundred  Thousand Pesos Only </t>
  </si>
  <si>
    <t xml:space="preserve"> 350 pcs Modular Tent size 2.4 x 2.4 x 1.5M 210D Polyester Thickness: 0.11MM PE Materials on Flooring with Logo &amp; Bag</t>
  </si>
  <si>
    <t xml:space="preserve"> INVITATION TO BID FOR Procurement of Equipment and Materials for the Upgrade of Lighting System used in MPB Auditorium and Gymnasium           The CAMARINES SUR POLYTECHNIC COLLEGES, through the Income (2020) intends to apply the sum of One Million Eight </t>
  </si>
  <si>
    <t xml:space="preserve"> Structural Dem. Of Existing Railings, Concrete Works, Stainless Railings with 1 Layer CHB, Plastering &amp; Re-tiles &amp; Steet Gate</t>
  </si>
  <si>
    <t xml:space="preserve"> Straight Contract for Improvement of Multi-Purpose Hall (Youth Center) See attached link under OTHER INFORMATION BOX</t>
  </si>
  <si>
    <t xml:space="preserve"> QTY UNIT DESCRIPTION 14 pcs. Dumptruck Tiire</t>
  </si>
  <si>
    <t xml:space="preserve"> Republic of the of the Philippines Province of Agusan del Sur Municipality of San Francisco BARANGAY TAGAPUA BIDS AND AWARDS COMMITTEE (BAC) INVITATION TO BID  SUPPLY AND DELIVERY OF CONSTRUCTION MATERIALS OF MULTI PURPOSE BUILDING HALL PHASE III-B,  TAGA</t>
  </si>
  <si>
    <t xml:space="preserve"> Republic of the Philippines Province of Cagayan Tuguegarao City Invitation to Bid for  Cluster 19 Construction of Public Toilet Piat Public Market Piat, Cagayan, Construction of Public Comfort Room at Gagabutan West, Rizal, Cagayan, Rehabilitation of Evac</t>
  </si>
  <si>
    <t xml:space="preserve"> 1.	The MUNICIPALITY OF GUINAYANGAN, QUEZON, through the  MDRRM Fund 2020 intends to apply the sum of  Two Million Four Hundred Sixty Nine Thousand  Pesos                         (P 2,469,000.00) being the Approved Budget for the Contract (ABC) to payments</t>
  </si>
  <si>
    <t xml:space="preserve"> Republic of the Philippines Province of Cagayan Tuguegarao City Invitation to Bid for Concreting of Sta. Maria Bilibigao Farm to Market Road, Claveria, Cagayan 1.	The Provincial Government of Cagayan, through the NTLB CY2017  intends to apply the sum of P</t>
  </si>
  <si>
    <t xml:space="preserve"> INVITATION TO BID FOR Procurement of Reference Books (Lot 1-4) 	          The CAMARINES SUR POLYTECHNIC COLLEGES, through the College Income intends to apply the sum of the following listed below being the Approved Budget for the Contract (ABC) to payment</t>
  </si>
  <si>
    <t xml:space="preserve"> Republic of the Philippines Province of Samar MUNICIPALITY OF CALBIGA Invitation to Bid for Upgrading and Improvement of Barangay Canticum to Barangay Calayaan Access Road Barangay Canticum-Calayaan Road, Calbiga, Samar  1.	The Municipality of Calbiga, th</t>
  </si>
  <si>
    <t xml:space="preserve"> One Unit Vehicle</t>
  </si>
  <si>
    <t xml:space="preserve"> Republic of the Philippines Province of Cagayan Tuguegarao City Invitation to Bid for Development of Eco Park ( Concreting of Road Leading to Maguddayao Street) Cagayan Sports Complex, Tuguegarao City 1.	The Provincial Government of Cagayan, through the A</t>
  </si>
  <si>
    <t xml:space="preserve"> 1.	The LGU - CORELLA, BOHOL, through the budget approved by the Sanggunian per Municipal Ordinance Nos. 2019-15 under 20% development fund, intends to apply the sum of PHP 800,000.00 being the Approved Budget for the Contract (ABC) to payments under the c</t>
  </si>
  <si>
    <t xml:space="preserve"> Republic of the Philippines Province of Siquijor Barangay Lomangcapan Invitation to Bid for Rehabilitation/Improvement of Multi-Purpose Hall Phase V 1.	The Local Government of Barangay Lomangcapan, through the 20% Development Fund CY 2019 (Reprogrammed)  </t>
  </si>
  <si>
    <t xml:space="preserve"> Republic of the Philippines Province of Cagayan Tuguegarao City Invitation to Bid for  Cluster 8 Concreting of Cato Road Tuao, Cagayan and Concreting of Pata – Fugu Road Tauo, Cagayan 1.	The Provincial Government of Cagayan, through the AIP 2020 20% inten</t>
  </si>
  <si>
    <t xml:space="preserve"> Construction of 7 unit Street Light Posts</t>
  </si>
  <si>
    <t xml:space="preserve"> Republic of the Philippines PROVINCE OF SOUTHERN LEYTE Maasin City Invitation to Bid for the Procurement of Catering Services, Venue and Accommodation  Contract ID # 2020-09-01-459PG 1.	The Provincial Government of Southern Leyte through the PHSO – Other </t>
  </si>
  <si>
    <t xml:space="preserve"> Invitation to Bid for the Drilling of One (1) Exploratory/Production Well Roxas Water District Palawan The Roxas Water District (RWD) intends to apply the sum of Three  Million Two Hundred Fifty Four Thousand Four Hundred Pesos Only (P 3,254,400.00) being</t>
  </si>
  <si>
    <t xml:space="preserve"> Republic of the Philippines Province of Cagayan Tuguegarao City Invitation to Bid for Transfer of Generator Set and Installation of Secondary Power Distribution Line of Aparri District Hospital Toran, Aparri, Cagayan 1.	The Provincial Government of Cagaya</t>
  </si>
  <si>
    <t xml:space="preserve"> INVITATION TO BID FOR THE PROCUREMENT OF VARIOUS SUPPLIES FOR THE IMPLEMENTATION OF MANGROVE POPULATION ENHANCEMENT PROJECT IN THE CITY OF ALAMINOS, PANGASINAN 1.	The CITY GOVERNMENT OF ALAMINOS, PANGASINAN through its Trust Fund intends to apply the sum </t>
  </si>
  <si>
    <t xml:space="preserve"> Design and Build Construction Project</t>
  </si>
  <si>
    <t xml:space="preserve"> Republic of the Philippines PROVINCE OF SOUTHERN LEYTE Maasin City Invitation to Bid for the Procurement of Various Catering Services  Contract ID # 2020-09-01-457PG 1.	The Provincial Government of Southern Leyte through the OSP – Other Maintenance and Op</t>
  </si>
  <si>
    <t xml:space="preserve"> Republic of the Philippines PROVINCE OF SOUTHERN LEYTE Maasin City Invitation to Bid for the Procurement of Various Catering Services  Contract ID # 2020-09-01-458PG 1.	The Provincial Government of Southern Leyte through the PAGSO – Trust Fund Expenses in</t>
  </si>
  <si>
    <t xml:space="preserve"> 17,024 packs Nutripack Rice based product- Champorado 50 gms 15808 packs Nutripack Rice based Product- Beef 50 gms. 10944 packs Nutripack Rice based Product- Chicken 50 gms. 20672 packs Nutripack pasta/ noodles based product- Spaghetti 50 gms. 19456 packs</t>
  </si>
  <si>
    <t xml:space="preserve"> INVITATION TO BID FOR THE PROCUREMENT OF VARIOUS FISHING GEARS AND PARAPHERNALIA FOR THE IMPLEMENTATION OF FISHERIES DEVELOPMENT PROGRAM IN THE CITY OF ALAMINOS, PANGASINAN 1.	The CITY GOVERNMENT OF ALAMINOS, PANGASINAN through its Trust Fund intends to a</t>
  </si>
  <si>
    <t xml:space="preserve"> Republic of the Philippines PROVINCE OF SOUTHERN LEYTE Maasin City Invitation to Bid for the Procurement of Vehicle Spare Parts &amp; Labor  Contract ID # 2020-09-01-456PG 1.	The Provincial Government of Southern Leyte through the PASSO Repair &amp; Maintenance –</t>
  </si>
  <si>
    <t xml:space="preserve"> IINVITATION TO BID FOR Procurement of Reference Books &amp; Professional Journals (Lot 1-2) Reposting 	          The CAMARINES SUR POLYTECHNIC COLLEGES, through the College Income intends to apply the sum of the following listed below being the Approved Budge</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</si>
  <si>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</si>
  <si>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Please download and then print the attached Invitation to Bid (ITB) for more details and for your reference. To view this attachment, just click “ORDER” opposite the ASSOCIATED COMPONENTS. TOTAL APPROVED BUDGET FOR THE CONTRACT (ABC): ₱1,800,000.00</t>
  </si>
  <si>
    <t xml:space="preserve"> Republic of the Philippines PROVINCE OF SOUTHERN LEYTE Maasin City Invitation to Bid for the Procurement of Vehicle Spare Parts &amp; Labor  Contract ID # 2020-09-01-455PG 1.	The Provincial Government of Southern Leyte through the OVG Repair &amp; Maintenance – T</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</si>
  <si>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</si>
  <si>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REPUBLIC OF THE PHILIPPINES PROVINCE OF ILOILO MUNICIPALITY OF SAN MIGUEL Barangay San Jose PROGRAM OF WORKS Name of Project: Regravelling of Barangay Road at Zone 1 to Zone 4 Location: 	 Barangay San Jose, San Miguel, Iloilo Source of Fund: Provincial Ai</t>
  </si>
  <si>
    <t xml:space="preserve"> QTY  UNIT  DESCRIPTION 150 pcs. 2019-nCoV 1gg/1gm Detection Kit 20 unit Thermal gun with spare baterry 6 unit Nebulizer 1 unit Sterilizer 10 tray Microtainer 0.5ml 2 gal. Lysol Disinfectant 3 gal. Betadine 10% Antiseptic 12 bot. Lidocaine 2% 50ml 8 tube K</t>
  </si>
  <si>
    <t xml:space="preserve"> Republic of the Philippines Province of Zamboanga del Sur MUNICIPALITY OF DINAS BARANGAY LOCUBAN INVITATION TO BID August 11, 2020 The Barangay Locuban, Dinas, Zds now invites bids for PROPOSED LINE EXTENSION OF SINGLE PHASE PRIMARY at Barangay Locuban, D</t>
  </si>
  <si>
    <t xml:space="preserve"> Supply &amp; Delivery of Construction Materials for the Proposed  Installation of Portable Solar Lighting System, located at Brgy. Hilwan, Calinog, Iloilo</t>
  </si>
  <si>
    <t xml:space="preserve"> REQUEST FOR EXPRESSION OF INTEREST FOR CONSULTINGSERVICES ON THE MASTER DEVELOPMENT PLANS OFNEUST SUMACAB CAMPUS, CABANATUAN CITY AND TABON, SAN ISIDRO CAMPUS, SAN ISIDRO, NUEVA ECIJA The Nueva Ecija University of Science and Technology (NEUST) now calls </t>
  </si>
  <si>
    <t xml:space="preserve"> Republic of the Philippines Provincial Government of Palawan Puerto Princesa City INVITATION TO BID FOR THE  RENOVATION OF GSO ROOF BUILDING (CAPITOL COMPLEX, PUERTO PRINCESA CITY) 1.	The Provincial Government of Palawan, through its General Fund (OBR No.</t>
  </si>
  <si>
    <t xml:space="preserve"> Office Supplies &amp; Office Equipment</t>
  </si>
  <si>
    <t xml:space="preserve"> Supply &amp; Delivery of Construction Materials for the proposed Construction of Perimeter Fence, located at Brgy. Alibunan, Calinog, Iloilo</t>
  </si>
  <si>
    <t xml:space="preserve"> CONSTRUCTION OF RIVER CONTROL STRUCTURE MARIBULAN, ALABEL Alabel, Sarangani Province (Contract No. INFRA 2020-49) August 11, 2020 1.	The Provincial Government of Sarangani, through AIP CY 2020/AB 2020 intends to apply the sum of Five Million Pesos (₱5,000</t>
  </si>
  <si>
    <t xml:space="preserve"> Republic of the Philippines BOHOL ISLAND STATE UNIVERSITY Main Campus, Tagbilaran City INVITATION TO BID FOR  SUPPLY AND DELIVERY OF PENDANT FOR PRAISE 2020 (PR NO. 2020-06-0585) 1.	The Bohol Island State University – Main Campus, Tagbilaran City, through</t>
  </si>
  <si>
    <t xml:space="preserve"> MUNICIPALITY OF PANIQUI Province of Tarlac 	Project Reference Number : G-2020-007 Name of the Project           : Supply &amp; Delivery of  One (1)  Unit Motor Grader and One (1) Unit Walk Behind Machine Location of the Project     : LGU-Paniqui, Tarlac 	 Sta</t>
  </si>
  <si>
    <t xml:space="preserve"> POBLACION POST AND STREETS REHABILITATION (3RD QUARTER)</t>
  </si>
  <si>
    <t xml:space="preserve"> Republic of the Philippines BOHOL ISLAND STATE UNIVERSITY Main Campus, Tagbilaran City INVITATION TO BID FOR RE-BIDDING: SUPPLY AND DELIVERY OF TEST MATERIALS FOR THE GUIDANCE OFFICE (PR NO. 2020-01-0042) 1.	The Bohol Island State University – Main Campus</t>
  </si>
  <si>
    <t xml:space="preserve"> INVITATION TO BID FOR THE PROCUREMENT OF SUPPLIES AND MATERIALS FOR THE ESTABLISHMENT OF TECHNO DEMONSTRATION ON SHELLFISH (OYSTER) CULTURE AND PRODUCTION IN THE CITY OF ALAMINOS, PANGASINAN 1.	The CITY GOVERNMENT OF ALAMINOS, PANGASINAN through its Trust</t>
  </si>
  <si>
    <t xml:space="preserve"> Standard Form Number: SF-GOODS-60				 Revised on May 2004				 MUNICIPALITY OF PAOMBONG				 PAOMBONG, BULACAN				 				 REQUEST FOR QUOTATION				 PR. Number: 2020-014		RFQ No.:		2020-08-014 PR Date:	August 1. 2020	Philgeps Ref. No.     2019-025		2020-013 En</t>
  </si>
  <si>
    <t xml:space="preserve"> Republic of the Philippines Province of Capiz Municipality of Tapaz INVITATION TO BID    Supply and Delivery of Furniture/Furnishing/Movables for New Government Center, Poblacion, Tapaz, Capiz 1.	The Municipality of Tapaz, through the GAD 2020 and Capital</t>
  </si>
  <si>
    <t xml:space="preserve"> Vehicle Batteries</t>
  </si>
  <si>
    <t xml:space="preserve"> Concreting of 0.15m x 2.00m x 85.0 meters long Materials. 1. Cement - 230 bags 2. SAG - 2,104 cans 3. RSB - 12mm x 6m -19 pcs 4. Coco Lumber - 2'x6"x12' -240 bd.ft 5. CW Nails - 3.00 kilos</t>
  </si>
  <si>
    <t xml:space="preserve"> 1.	The Municipal Government of Roxas, Isabela has received Funding Assistance from the Provincial Government of Isabela   and it  intends to apply part or whole of the proceeds of this funds for payment under the contract for the project. Bids received in</t>
  </si>
  <si>
    <t xml:space="preserve"> Losartan Cinnarizine Ascorbic Acid Captopril Cloxacillin Multivitamins Loperamide Ferrous Sulfate Aluminum Magnesium etc.</t>
  </si>
  <si>
    <t xml:space="preserve"> INVITATION TO BID FOR SUPPLY/DELIVERY OF CONSTRUCTION MATERIALS FOR REPAIR/REHABILITATION OF CHECKGATE # 2 &amp; CANALIZATION WORKS OF YABO FRANCIA CIS, Milaor, Camarines Sur (REBID 3) 1.	The  National Irrigation Administration-Camarines Sur Irrigation Manage</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</si>
  <si>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</si>
  <si>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Dagupan City BIDS AND AWARDS COMMITTEE INVITATION TO BID For the Procurement of Office Equipment, Furnitures &amp; Fixtures, ICT Equipment &amp; Other Property, Plant &amp; Equipment (PR no.: 2020-00926-014) 1.	The City Government of Dagup</t>
  </si>
  <si>
    <t xml:space="preserve"> 23,530 reams of Bookpaper A4 70 GSM, substance 20</t>
  </si>
  <si>
    <t xml:space="preserve"> Procurement of Hotel Room Accommodation for CF-Bacolod and CF-Iloilo Employees and Guests at Iloilo City for a Period of Three (3) Years.</t>
  </si>
  <si>
    <t xml:space="preserve"> INVITATION TO BID FOR  The Flood Control Project (Rehabilitation/Improvement of Drainage System} at Barangay Alogoog, Badoc, Ilocos Norte 1.	The Municipality of Badoc, Ilocos Norte, through the 20% Development Fund to apply the sum of Two million pesos an</t>
  </si>
  <si>
    <t xml:space="preserve"> INVITATION TO BID FOR  The Construction of Box-Culvert (3 x 2 x 6m Double Barrel) at Brgy. Pagsanahan Sur, Badoc, Ilocos Norte. 1.	The Municipality of Badoc, Ilocos Norte, through the FY 2016 Collection of Excise Taxes on Locally Manufactured Virginia Typ</t>
  </si>
  <si>
    <t xml:space="preserve"> INVITATION TO BID FOR SUPPLY/DELIVERY OF CONSTRUCTION MATERIALS FOR CONSTRUCTION OF CONCRETE CANAL LINING OF RONGOS PIP, Libmanan, Camarines Sur 1.	The  National Irrigation Administration-Camarines Sur Irrigation Management Office, Naga City, through the </t>
  </si>
  <si>
    <t xml:space="preserve"> 1	Laptop Entry Level Number of cores: 4 Cache: 4M Processor Base Frequency: at least 1.10 GHz Bus Speed: up to 2.70 GHz Memory: at least 4GB Storage: at least 1TB, 5400 rpm + 128GB SSD Screen Size: at least 14-inch Warranty: at least 1 year</t>
  </si>
  <si>
    <t xml:space="preserve"> Procurement of Hotel Room Accommodation for CF-Bacolod and CF-Iloilo Employees and Guests at Bacolod, Iloilo and Other Cities Nationwide for a Period of Three (3) Years.</t>
  </si>
  <si>
    <t xml:space="preserve"> Republic of the Philippines BOHOL ISLAND STATE UNIVERSITY Main Campus, Tagbilaran City INVITATION TO BID FOR RE-BIDDING: SUPPLY AND DELIVERY OF WHITE BOARD FOR DIFFERENT DEPARTMENTS (PR NO. 2020-02-0241, 2020-02-0386, 2020-03-0450) 1.	The Bohol Island Sta</t>
  </si>
  <si>
    <t xml:space="preserve"> INVITATION TO BID FOR THE PROCUREMENT OF SUPPLIES AND MATERIALS FOR THE ESTABLISHMENT OF TECHNO DEMONSTRATIONS ON GROUPER PRODUCTION IN FISH CAGE AND POLYCULTURE OF SEABASS AND MALAGA IN POND IN THE CITY OF ALAMINOS, PANGASINAN 1.	The CITY GOVERNMENT OF A</t>
  </si>
  <si>
    <t xml:space="preserve"> 1.		High-speed Single Needle Sewing Machine  	60 units  2.		High Speed Sewing Machines, Specifications: 4 Threads Edging Machine Direct Drive Complete Set  Direct Drive Automatic Thread Trimmer Integrated Super High Speed Energy Saving	6 units  3.		Home S</t>
  </si>
  <si>
    <t xml:space="preserve"> Republic of the Philippines BOHOL ISLAND STATE UNIVERSITY Main Campus, Tagbilaran City INVITATION TO BID FOR  SUPPLY AND DELIVERY OF IT EQUIPMENT FOR RESEARCH &amp; EXTENSION (PR NO. 2020-02-0143, 2020-02-0168) 1.	The Bohol Island State University – Main Camp</t>
  </si>
  <si>
    <t xml:space="preserve"> Supply and Delivery of Construction Materials &amp; Accessories for Reservoirs 1 to 4 sta. 1+812, 2+660, 3+854 &amp; 5+220  &amp; Supply &amp; Installation of uPVC Pipes @ MP sta. 3+966-5+220</t>
  </si>
  <si>
    <t xml:space="preserve"> Repair, Rehabilitation and Improvement of Various School Building 1.	The DepEd Division of Eastern Samar, through the C.Y. 2020 Government Appropriation Act (GAA) Under the C.Y. 2020 Basic Educational Facilities Fund (BEFF) – Batch 2, intends to apply the</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</si>
  <si>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</si>
  <si>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</si>
  <si>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INVITATION TO BID FOR THE SUPPLY, DELIVERY, INSTALLATION AND COMMISSIONING OF TREADMILL STRESS TEST SYSTEM 1.	The Cagayan Valley Medical Center (CVMC), intends to apply the sum Five Million Pesos (Php   5,000,000.00 ) being the Approved Budget for the Con</t>
  </si>
  <si>
    <t xml:space="preserve"> 1	lot	Hybrid Soil and Plant Laboratory (Chemistry and Biology) Equipment				 					 		*see attached bidding documents/form for list of equipment</t>
  </si>
  <si>
    <t xml:space="preserve"> Republic of the Philippines Province of Cagayan Tuguegarao City Invitation to Bid for  Cluster 4 Concreting Farm to Market Road Ziminila Camalaniugan, Cagayan, Regravelling of Barangay Road Paruddun Sur, Aparri, Cagayan, Construction of Drainage Canal Cen</t>
  </si>
  <si>
    <t xml:space="preserve"> I PROJECT BILLBOARD/SIGN BOARD II EXCAVATION III CONCRETE WORKS</t>
  </si>
  <si>
    <t xml:space="preserve"> Construction &amp; Hardware materials</t>
  </si>
  <si>
    <t xml:space="preserve"> Sub-Grade Preparation &amp; Cross Drainage with Head Wall</t>
  </si>
  <si>
    <t xml:space="preserve"> Repair, Rehabilitation and Improvement of Various School Buildings – Cluster 2 – (BEFF-2020-R-B2-C2) 1.	The DepEd Division of Eastern Samar, through the C.Y. 2020 Government Appropriation Act (GAA) Under the C.Y. 2020 Basic Educational Facilities Fund (BE</t>
  </si>
  <si>
    <t xml:space="preserve"> INVITATION TO BID    	NO	PROJECT DESCRIPTION / LOCATION	BRIEF DESCRIPTION	APPROVED BUDGET FOR THE CONTRACT	CONTRACT DURATION (CALENDAR  DAYS) PGL INFRA 20-060	04	Completion of Multi-Purpose Building, Brgy. Silangang Bukal, Liliw, Laguna	Area: 98.00 sq.m.	</t>
  </si>
  <si>
    <t xml:space="preserve"> Specs or Item	Unit	DESCRIPTION				Qty 						 01000	Each	     General Requirements				1 02200	cu.m.     Earthwork/Lay-out/Demolition				33.75 02410	Lot	     Scafoldings/Formworks				1.00 03231	cu.m.     Reinforced Concrete Column/Column Footing (up to 2nd </t>
  </si>
  <si>
    <t xml:space="preserve"> Bond Paper Enpson Ink Expanded PLastic Envelop Pencil Ballpen Folder Short Folder Long</t>
  </si>
  <si>
    <t xml:space="preserve"> Section I. Invitation to Bid Republic of the Philippines Province of Bukidnon MUNICIPALITY OF TALAKAG Invitation to Bid for Procurement of Traffic Mobile Patrol Unit  (For LGU Use) 1.	The Municipality of Talakag through the 5% LDRRMF intends to apply the </t>
  </si>
  <si>
    <t xml:space="preserve"> Title:Procurement of 1 Package Safe Closure &amp; Rehabilitation of Doongan Controlled Dumpsite (LOT B) Phase 3 (Materials only) under P.R No. 2047-2020 -CEO -Trust Fund Total ABC: Php 3,675,037.85 For representative/s of interested bidders  who wish to atten</t>
  </si>
  <si>
    <t xml:space="preserve"> 1 unit Brand New Pick Up: Specifications: Overall Dimension (LWH)(mm): 4314*1809*1648 Kerb Weight (kg): 1258 GVW (kg): 1720 Wheelbase (mm): 3096 Wheel track (mm): Front: 1526, Rear: 1536 Rear leg room (mm): 926 Rear head room (mm): 995 Min. turning Radius</t>
  </si>
  <si>
    <t xml:space="preserve"> Republic of the Philippines Bangsamoro Autonomous Region in Muslim Mindanao Provincial Government of Maguindanao BIDS AND AWARDS COMMITTEE Buluan, Maguindanao INVITATION TO BID FOR SUPPLY AND DELIVERY OF SCHOOL ARMCHAIR and CLASSROOM BLACK BOARD 1.	The Pr</t>
  </si>
  <si>
    <t xml:space="preserve"> PLEASE SEE ATTACHED PURCHASE REQUISITION, TERMS AND REFERENCE AND BIDDING DOCUMENTS FOR DETAILS</t>
  </si>
  <si>
    <t xml:space="preserve"> Please see attached document...</t>
  </si>
  <si>
    <t xml:space="preserve"> 1	Digital Duplicator Scanning Method: ADF(Automatic Document Feeder) Resolution up to 300 x 360 dpi Master Making Speed: at least 40 seconds Print Speed: up to 130 pages per minute, 3-step adjustment Scanning Area 9.84” x 13.77” (250 mm x 350 mm) Document</t>
  </si>
  <si>
    <t xml:space="preserve"> INVITATION TO BID FOR SUPPLY/DELIVERY OF CONSTRUCTION MATERIALS FOR REPAIR/REHABILITATION OF CANALIZATION &amp; CANAL STRUCTURES OF NIA-LCPIS, Libmanan and Cabusao, Camarines Sur (REBID) 1.	The  National Irrigation Administration-Camarines Sur Irrigation Mana</t>
  </si>
  <si>
    <t xml:space="preserve"> 1.	The Municipal Government of El Nido, through the Continuing Appropriation 2015 and 2017 Supplemental No.2 - Non Office Fund, 20 % DF and Trust Fund Fish Port Corong Corong BFAR IV B  intends to apply the sum of Three Million Five Hundred Thousand Pesos</t>
  </si>
  <si>
    <t xml:space="preserve"> Section I. Invitation to Re-Bid Republic of the Philippines Province of Romblon  Invitation to Bid for the  Repair/Rehabilitation of Main Building and Completion of Wards at Tablas Island District Hospital (TIDH) San Agustin, Romblon August 11, 2020 1.	Th</t>
  </si>
  <si>
    <t xml:space="preserve"> Powdered Milk etc. NOTE:To all suppliers bid documents and BAC Resolution 2020-029 are available at BAC Office and LGU website.</t>
  </si>
  <si>
    <t xml:space="preserve"> PROPOSED STREETLIGHTING ALONG GRANDEUR ST., LOCATED AT BRGY. SAN ISIDRO, MAKATI CITY -ORDER OF PAYMENT FOR BID DOCS WILL BE AVAILABLE AT GSD-HEAD OFFICE @ 10TH FLOOR MAKATI CITY HALL BLDG. 2. LOOK FOR MR. REDEN VILLANUEVA. A COMPLETE SET OF BIDDING DOCUME</t>
  </si>
  <si>
    <t xml:space="preserve"> Republic of the Philippines Dagupan City BIDS AND AWARDS COMMITTEE INVITATION TO BID For the Procurement of Various ICT EQUIPMENT (PR no.: 2020-00874-053) 1.	The City Government of Dagupan, through the Approved 2020 ANNUAL BUDGET intends to apply the sum </t>
  </si>
  <si>
    <t xml:space="preserve"> 1.	The Municipal Government of El Nido, through the SUPPLEMENTAL #3-2020, intends to apply the sum of Two Million Seven Hundred Ninety Nine Thousand Four Hundred Seventeen Pesos and Fifty Centavos (₱ 2,799,417.50) being the Approved Budget for the Contrac</t>
  </si>
  <si>
    <t xml:space="preserve"> Republic of the Philippines Dagupan City BIDS AND AWARDS COMMITTEE INVITATION TO BID For the Procurement of Various Electrical Materials to be used in the Repair &amp; Maintenance of Streetlights &amp; Buildings/Facilities (PR no.: 2020-00944-012) 1.	The City Gov</t>
  </si>
  <si>
    <t xml:space="preserve"> DIGITAL MONOCHROME COPIER</t>
  </si>
  <si>
    <t xml:space="preserve"> Procurement of Foodstuff for Supplementary Feeding Program Php 680,720.00</t>
  </si>
  <si>
    <t xml:space="preserve"> PROPOSED REHABILITATION AND UPGRADING OF EXISTING STREETLIGHTING ALONG PONTE ST., LOCATED AT BRGY. SINGKAMAS/TEJEROS/STA. CRUZ, MAKATI CITY -ORDER OF PAYMENT FOR BID DOCS WILL BE AVAILABLE AT GSD-HEAD OFFICE @ 10TH FLOOR MAKATI CITY HALL BLDG. 2. LOOK FOR</t>
  </si>
  <si>
    <t xml:space="preserve"> Brgy. Matatalaib Project Billboard,  Safety and Health,  Excavation,  Embankment,  Concrete and Masonry Works,  Formworks,  Steel Works,  Roofing Works,  Doors and Windows,  Electrical Works,  Ceiling Works,  Plumbing Works,  Tile Works,  Painting Works B</t>
  </si>
  <si>
    <t xml:space="preserve"> Procurement of Airconditioner Php 225,000.00</t>
  </si>
  <si>
    <t xml:space="preserve"> Republic of the Philippines PROVINCE OF SOUTHERN LEYTE Maasin City Invitation to Bid for the Procurement of Various Medical Equipment  Contract ID # 2020-09-01-460PG 1.	The Provincial Government of Southern Leyte through the SOYMPH – medical equipment exp</t>
  </si>
  <si>
    <t xml:space="preserve"> 1.	The LGU - CORELLA, BOHOL, through the budget approved by the Sanggunian per Municipal Ordinance Nos. 2019-15 under 20% development fund, intends to apply the sum of PHP 594,000.00 being the Approved Budget for the Contract (ABC) to payments under the c</t>
  </si>
  <si>
    <t xml:space="preserve"> Repair, Rehabilitation and Improvement of Various School Buildings – Cluster 3 – (BEFF-2020-R-B2-C3) 1.	The DepEd Division of Eastern Samar, through the C.Y. 2020 Government Appropriation Act (GAA) Under the C.Y. 2020 Basic Educational Facilities Fund (BE</t>
  </si>
  <si>
    <t xml:space="preserve"> Stickering and Fabrication of Early Warning Signages Php250,100.00</t>
  </si>
  <si>
    <t xml:space="preserve"> Invitation to Bid CONTRACT ID # 20-08-109 Contract Name: PROPOSED COMPLETION OF HALFWAY HOUSE AT ROXAS RHU Approved Budget for the Contract (ABC) : Php 989,999.81 Cost of Bidding Documents: Php 1,000.00 1. The DOH - ZAMBOANGA PENINSULA- CENTER FOR HEALTH </t>
  </si>
  <si>
    <t xml:space="preserve"> BARANGAY RESOURCE ENHANCEMENT (3RD QUARTER)</t>
  </si>
  <si>
    <t xml:space="preserve"> Republic of the Philippines Province of Nueva Vizcaya BIDS AND AWARDS COMMITTEE (BAC-GOODS) BAC OFFICE, Provincial Capitol, Bayombong, Nueva Vizcaya Tel. No. (078) 392-2650 	 INVITATION TO BID FOR THE SUPPLY AND DELIVERY OF DRUGS AND MEDICINES FOR THE PRO</t>
  </si>
  <si>
    <t xml:space="preserve"> PROPOSED REHABILITATION AND UPGRADING OF EXISTING STREETLIGHTING ALONG P. MEDINA ST., LOCATED AT BRGY. PIO DEL PILAR, MAKATI CITY -ORDER OF PAYMENT FOR BID DOCS WILL BE AVAILABLE AT GSD-HEAD OFFICE @ 10TH FLOOR MAKATI CITY HALL BLDG. 2. LOOK FOR MR. REDEN</t>
  </si>
  <si>
    <t xml:space="preserve"> The significant times and deadlines of procurement activities are shown below:  Activities	Schedule 1. Receipt of LOIs from Prospective Bidders	August 11-17,2020 2. Issuance of Bidding Documents	August 18-24,2020 3. Pre-Bid Conference	n.a 4. Receipt of Bi</t>
  </si>
  <si>
    <t xml:space="preserve"> PROPOSED REHABILITATION AND UPGRADING OF EXISTING STREETLIGHTING ALONG PASONG TIRAD ST., LOCATED AT BRGY. LA PAZ/TEJEROS, MAKATI CITY -ORDER OF PAYMENT FOR BID DOCS WILL BE AVAILABLE AT GSD-HEAD OFFICE @ 10TH FLOOR MAKATI CITY HALL BLDG. 2. LOOK FOR MR. R</t>
  </si>
  <si>
    <t xml:space="preserve"> Republic of the Philippines Province of Nueva Vizcaya BIDS AND AWARDS COMMITTEE (BAC-GOODS) BAC OFFICE, Provincial Capitol, Bayombong, Nueva Vizcaya Tel. No. (078) 392-2650 	 INVITATION TO BID FOR THE SUPPLY AND DELIVERY OF DENTAL SUPPLIES FOR THE NUEVA V</t>
  </si>
  <si>
    <t xml:space="preserve"> Brgy. Atioc Project Billboard,  Safety and Health,  Sub-Grade Preparation,  Aggregate Base Course,  PCCP Brgy. Dela Paz Project Billboard,  Safety and Health,  Sub-Grade Preparation,  Aggregate Base Course,  PCCP,  Brgy. San Francisco Project Billboard,  </t>
  </si>
  <si>
    <t xml:space="preserve"> Brgy. Amucao Project Billboard,  Safety and Health,  Removal of Existing Concrete Pavement,  Aggregate Base Course,  PCCP Brgy. batang-Batang Project Billboard,  Safety and Health,  Sub-Grade Preparation,  Aggregate Base Course,  PCCP,  RCPC Prospective B</t>
  </si>
  <si>
    <t xml:space="preserve"> Brgy. Dolores Project Billboard,  Safety and Health,  Removal of Existing Concrete Pavement,  Aggregate Base Course,  PCCP Brgy. Laoang Project Billboard,  Safety and Health,  Sub-Grade Preparation,  Aggregate Base Course,  PCCP,  RCPC Prospective Bidders</t>
  </si>
  <si>
    <t xml:space="preserve"> Republic of the Philippines Province of Oriental Mindoro Municipality of Bulalacao INVITATION TO BID FOR  Procurement of Construction Materials for Construction of Rural Health Unit II August 3, 2020 1.	The Municipality of Bulalacao, through the DOH-HFEP </t>
  </si>
  <si>
    <t xml:space="preserve"> PROPOSED REHABILITATION AND UPGRADING OF EXISTING STREETLIGHTING ALONG ARNAIZ AVENUE LOCATED AT VARIOUS BARANGAYS OF MAKATI CITY -ORDER OF PAYMENT FOR BID DOCS WILL BE AVAILABLE AT GSD-HEAD OFFICE @ 10TH FLOOR MAKATI CITY HALL BLDG. 2. LOOK FOR MR. REDEN </t>
  </si>
  <si>
    <t xml:space="preserve"> Republic of the Philippines						 City Government of Davao						 						 INVITATION TO BID						 for Infrastructure Projects B16-2020						 						 The City Government of Davao now invites bidders for the project/s under B16-2020 as listed below.   The pros</t>
  </si>
  <si>
    <t xml:space="preserve"> Republic of the Philippines PROVINCE OF SOUTHERN LEYTE Municipality of San Juan BIDS AND AWARD COMMITTEE INVITATION TO BID FOR  Supply and Delivery of IT and Office Equipment  The Municipality of San Juan through the General, and Trust Fund intends to app</t>
  </si>
  <si>
    <t xml:space="preserve"> The significant times and deadlines of procurement activities are shown below:  Activities	Schedule 1. Receipt of LOIs from Prospective Bidders	August 11-17,2020 2. Issuance of Bidding Documents	August 18-24,2020 3. Pre-Bid Conference	August 18, 2020 4. R</t>
  </si>
  <si>
    <t xml:space="preserve"> 500  pcs  Mnobloc Chairs</t>
  </si>
  <si>
    <t xml:space="preserve"> See Program of Works and Bill of Quantities:</t>
  </si>
  <si>
    <t xml:space="preserve"> OPLAN SAGIP BUHAY (3RD QUARTER)</t>
  </si>
  <si>
    <t xml:space="preserve"> BIDS AND AWARDS COMMITTEE INVITATION TO BID The DEPARTMENT OF HEALTH – CENTRAL VISAYAS CENTER FOR HEALTH DEVELOPMENT (DOH – CV CHD), through its Bids and Awards Committee (BAC), invites suppliers to bid for the hereunder items: BAC NO. 2020-G08	NAME OF PR</t>
  </si>
  <si>
    <t xml:space="preserve"> Republic of the Philippines PROVINCE OF SOUTHERN LEYTE Maasin City Invitation to Bid for the Procurement of Newspaper Publication of Three (3) SP Ordinances  Contract ID # 2020-09-01-461PG 1.	The Provincial Government of Southern Leyte through the OSP – p</t>
  </si>
  <si>
    <t xml:space="preserve"> PES Various Office Supplies available at PS 2020 with the alloted budget of Php 40,000.00 QTY Unit Agency Specification Bidders Specification  20 ream paper multi copy, 80 gsm size 216mm x 330  15 ream paper multi copy A4 70gsm  2 pc Record book 300 pages</t>
  </si>
  <si>
    <t xml:space="preserve"> PROPOSED REHABILITATION AND UPGRADING OF EXISTING STREETLIGHTING ALONG DON CHINO ROCES AVENUE LOCATED AT VARIOUS BARANGAYS OF MAKATI CITY -ORDER OF PAYMENT FOR BID DOCS WILL BE AVAILABLE AT GSD-HEAD OFFICE @ 10TH FLOOR MAKATI CITY HALL BLDG. 2. LOOK FOR M</t>
  </si>
  <si>
    <t xml:space="preserve"> Republic of the Philippines Province of Iloilo Municipality of Lemery 	 Invitation to Bid 1.	The Municipality of  Lemery, Iloilo, through  the  Provincial Aid  intends to apply the sum of  Five Hundred Thousand Pesos (500,000.00) being the Approved  Budge</t>
  </si>
  <si>
    <t xml:space="preserve"> Republic of the Philippines Province of Iloilo Municipality of Lemery 	 Invitation to Bid 1.	The Municipality of  Lemery, Iloilo, through  the  Provincial Aid  intends to apply the sum of  One  Million Pesos (1,000,000.00) being the Approved  Budget  for </t>
  </si>
  <si>
    <t xml:space="preserve"> PROPOSED ROAD IMPROVEMENT FOR M. ESTRELLA ST. (VILLENA ST.), LOCATED AT BRGY. CARMONA, MAKATI CITY -ORDER OF PAYMENT FOR BID DOCS WILL BE AVAILABLE AT GSD-HEAD OFFICE @ 10TH FLOOR MAKATI CITY HALL BLDG. 2. LOOK FOR MR. REDEN VILLANUEVA. A COMPLETE SET OF </t>
  </si>
  <si>
    <t xml:space="preserve"> 1 Lot Rehabilitation and Upgrading of Freshwater Fish Hatchery in Support to BASIL Program         The Works consist of the following:     - Site preparation     - Construction of Workplace facility     - Construction of Hatchery tanks     - Construction </t>
  </si>
  <si>
    <t xml:space="preserve"> 1.	The Municipality of Impasugong, through the GF-Infra-2020 Maintenance of Municipal Hall intends to apply the sum of One Million Seven Hundred Thousand Pesos (PhP1,700,000.00) being the Approved Budget for the Contract (ABC) to payments under the contra</t>
  </si>
  <si>
    <t xml:space="preserve"> MARKET CONTINUATION</t>
  </si>
  <si>
    <t xml:space="preserve"> PROJECT NAME: Improvement along JFMR LLPB – Pan-ayaoan – Lebeng – Amdodon JFMR BTA Road PROJECT LOCATION:  Bangao, Buguias, Benguet DURATION:  19 CD (Including mobilization) PROJECT Cost:  PHP 200,000.00 SOURCE OF FUND: 20% MDF CY 2020 ITEM NO.	DESCRIPTIO</t>
  </si>
  <si>
    <t xml:space="preserve"> The Local Government Unit of Aglipay through 20% Municipal Development Fund CY 2020 (BDP) and Improvement of Roads (MDF 2020) intends to apply the sum of Four Hundred Ninety Six Thousand Eight Hundred Fifty Nine Pesos and 28/100 (Php 496, 859.28) being th</t>
  </si>
  <si>
    <t xml:space="preserve"> DESCRIPTION PROCUREMENT OF CATERING SERVICES FOR IDS, PMED, RAFC AND SAAD /CORN/GAD PROGRAM, RESEARCH AND REGULATORY DIVISION IN DAVAO REGION CY 2020   LOT NO.	ACTIVITY	DETAILED	SCHEDULE OF ACTIVITIES	QTY (pax)	ABC (PhP) 1	DAVAO CITY	 	 	 	               </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</si>
  <si>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</si>
  <si>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INSTALLATION OF DELIVERED PIPE FROM SPRING  20    pcs    GATE VALVE (BRASS) 2" ø SCH.40  12    pcs    2" ø ELBOW SCH.40  20    pcs    2" ø GI PIPE SCH.40  20    pcs    2" ø UNIVERSAL FITTING/JOINERø    4    pcs	2"x1" ø REDUCER    8    pcs	2"ø GI TEE    2 </t>
  </si>
  <si>
    <t xml:space="preserve"> See Phil. Bidding Documents, Bill of Quantities and Checklist hereto attached.</t>
  </si>
  <si>
    <t xml:space="preserve"> PROPOSED ROAD IMPROVEMENT OF PAGKAKAISA ST., LOCATED AT BRGY. KASILAWAN, MAKATI CITY -ORDER OF PAYMENT FOR BID DOCS WILL BE AVAILABLE AT GSD-HEAD OFFICE @ 10TH FLOOR MAKATI CITY HALL BLDG. 2. LOOK FOR MR. REDEN VILLANUEVA. A COMPLETE SET OF BIDDING DOCUME</t>
  </si>
  <si>
    <t xml:space="preserve"> Construction Project I. Construction of PCCP     a. Aggregate Base Course (at 0.10m depth)     b. PCCP II. Construction Safety and Health</t>
  </si>
  <si>
    <t xml:space="preserve"> PHYSICAL THERAPY ENHANCEMENT PROGRAM (3RD QUARTER)</t>
  </si>
  <si>
    <t xml:space="preserve"> Invitation to Bid CONTRACT ID # 20-08-110 Contract Name: PROPOSED COMPLETION OF MALANGAS RHU Approved Budget for the Contract (ABC) : Php 2,474,058.86 Cost of Bidding Documents: Php 5,000.00 1. The DOH - ZAMBOANGA PENINSULA- CENTER FOR HEALTH DEVELOPMENT,</t>
  </si>
  <si>
    <t xml:space="preserve"> Republic of the Philippines Province of Cagayan Municipality of Camalaniugan August 11, 2020 INVITATION TO BID  FOR THE FURNISHING &amp; DELIVERY OF MATERIALS FOR THE IMPROVEMENT OF CLIENTELE PARKING AREA INFRONT OF MTH 1.	The Municipality of Camalaniugan, th</t>
  </si>
  <si>
    <t xml:space="preserve"> Republic of the Philippines Province of Nueva Vizcaya BIDS AND AWARDS COMMITTEE (BAC-GOODS) BAC OFFICE, Provincial Capitol, Bayombong, Nueva Vizcaya Tel. No. (078) 392-2650 	 INVITATION TO BID FOR THE SUPPLY AND DELIVERY OF RADIOLOGY SUPPLIES FOR THE NUEV</t>
  </si>
  <si>
    <t xml:space="preserve"> 1.	The Provincial Government of Antique, through the 20% IRA-CY 2020 (Social Development Sector) intends to apply the sum One Million Nine Hundred Sixty Six Thousand Fifty Three Pesos &amp; 60/100 (Php 1, 966, 053.60) being the Approved Budget for the Contrac</t>
  </si>
  <si>
    <t xml:space="preserve"> Republic of the Philippines Province of Southern Leyte MUNICIPALITY OF SOGOD Invitation to Bid for Upgrading and Improvement of Brgy. Pandan Road, Brgy. Pandan, Sogod, Southern Leyte 1.	The Municipal Government Unit of Sogod, Southern Leyte through the Na</t>
  </si>
  <si>
    <t xml:space="preserve"> Republic of the Philippines Province of Cagayan Municipality of Camalaniugan August 11, 2020 INVITATION TO BID  FOR THE FURNISHING &amp; DELIVERY OF ISOLATION BEDDINGS AND ELECTRIC FAN FOR LIGTAS COVID CENTER @ CENTRO SUR GYMNASIUM 1.	The Municipality of Cama</t>
  </si>
  <si>
    <t xml:space="preserve"> INVITATION TO BID FOR PROCUREMENT AND DELIVERY OF DRUGS AND MEDICINES FOR CY 2020 1.	The DOH-Center for Health Development 1, through the Continuing Appropriations (CONAP) 2019 and GOP CY 2020 intends to apply the sums being the Approved Budget for the Co</t>
  </si>
  <si>
    <t xml:space="preserve"> 1.	The Provincial Government of Antique, through the 20% IRA-CY 2020 (Environmental Development Sector) intends to apply the sum One Million Nine Hundred Forty Four Thousand Two Hundred Fifty Eight Pesos &amp; 55/100 (Php 1, 944, 258.55) being the Approved Bu</t>
  </si>
  <si>
    <t xml:space="preserve"> Republic of the Philippines Province of Southern Leyte MUNICIPALITY OF SOGOD INVITATION TO BID FOR PROCUREMENT OF GOODS (CHICKEN PULLETS, CHICKEN COCKERELS AND LIVESTOCK SUPPLIES AND MATERIALS FOR THE FREE RANGE NATIVE CHICKEN PROJECT) 1.	The Municipal Go</t>
  </si>
  <si>
    <t xml:space="preserve"> Republic of the Philippines Province of Cagayan Municipality of Camalaniugan August 11, 2020 INVITATION TO BID  FOR THE FURNISHING &amp; DELIVERY OF ONE (1) UNIT DUPLICATOR MACHINE 1.	The Municipality of Camalaniugan, through the SPECIAL EDUCATION FUND (CATAN</t>
  </si>
  <si>
    <t xml:space="preserve"> Title:Procurement of 6 Piece Philippine Flag , Nylon Tafetta, Size: 15 x 30 under P.R.No. 2374-2020- City Tourism Office. Total ABC: Php 120,000.00 (INSTRUCTION AS TO THE REQUIRED FORM: For your price quotation, please use the attached Request for Quotati</t>
  </si>
  <si>
    <t xml:space="preserve"> purchase</t>
  </si>
  <si>
    <t xml:space="preserve"> Construction Project I. Construction of PCCP    a. Aggregate Base Coarse (at 0.10 m Depth)    b. PCCP II. Construction Safety and Health</t>
  </si>
  <si>
    <t xml:space="preserve"> 1.	The Provincial Government of Antique, through the 20% IRA-CY 2020 (Economic Development Sector) intends to apply the sum One Million Nine Hundred Fifty Six Thousand Six Hundred Seventy Five Pesos &amp; 30/100 (Php 1, 956, 675.30) being the Approved Budget </t>
  </si>
  <si>
    <t xml:space="preserve"> Republic of the Philippines Province of Cotabato Municipality of Aleosan Invitation to Bid  SUPPLY AND DELIVERY OF PRINTING SUPPLIES (BOND PAPERS AND INKS)                                                                                                    </t>
  </si>
  <si>
    <t xml:space="preserve"> Please see attached files for reference. File names:  1. ITB - Promotional Giveaways (v08.07.2020) 2. Bid Docs - Promotional Giveaways (v08.10.2020) ***nothing follows***</t>
  </si>
  <si>
    <t xml:space="preserve"> 1.	The Provincial Government of Antique, through the SEF (Special Education Fund) intends to apply the sum of Eight Million Six Hundred Ten Thousand Eight Hundred Pesos (Php 8, 610, 800.00) being the Approved Budget for the Contract (ABC) to payments unde</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</si>
  <si>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</si>
  <si>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INVITATION TO BID  REPLACEMENT OF TILES AND REPAINTING OF THE INTERIOR WALLS AND FINISHES OF BUDGET INFORMATION AND TRAINING SERVICE AND BUDGET AND MANAGEMENT BUREAU-B OFFICES 1.	The Department of Budget and Management (DBM), through the authorized approp</t>
  </si>
  <si>
    <t xml:space="preserve"> PROCUREMENT OF OFFICE TABLES, CABINET AND CHAIRS For Admin. Dept. Use 10 PCS REGULAR TABLES 1 PC SWIVEL CHAIR (EXECUTIVE) 1 SET COFFEE TABLE WITH CHAIR 1 PC SUPPLIES CABINET ***Please see attached minimum specification and sample designs. NOTES: 1. Price </t>
  </si>
  <si>
    <t xml:space="preserve"> Republic of the Philippines Province of Cagayan Municipality of Camalaniugan August 11, 2020 INVITATION TO BID  FOR THE FURNISHING &amp; DELIVERY OF COVID19 ANTIBODY RAPID DIAGNOSTIC TEST SCREENING KIT 1.	The Municipality of Camalaniugan, through the BAYANIHA</t>
  </si>
  <si>
    <t xml:space="preserve"> Republic of the Philippines MUNICIPALITY OF CABUGAO Ilocos Sur Invitation to Bid for the Construction of Multi-Purpose Drying Pavement (MPDP) @ Brgy. Turod Patac, Ilocos Sur 1. The Local Government Unit of Cabugao, Ilocos Sur, through the R.A. 7171 thru A</t>
  </si>
  <si>
    <t xml:space="preserve"> Republic of the Philippines Province of Cagayan Municipality of Camalaniugan August 11, 2020 INVITATION TO BID  FOR THE FURNISHING &amp; DELIVERY OF MOUNTAIN SOIL FOR BACKFILLING AND LEVELING OF LOW LYING AREAS @ CEMETERY LOT 1.	The Municipality of Camalaniug</t>
  </si>
  <si>
    <t xml:space="preserve"> H E A D Q U A R T E R S P H I L I P P I N E  A R M Y OFFICE OF THE PA BIDS AND AWARDS COMMITTEE-2 Fort Andres Bonifacio, Metro Manila 								10 August 2020 INVITATION TO BID The Armed Forces of the Philippines, through the Philippine Army Bids and Awards</t>
  </si>
  <si>
    <t xml:space="preserve"> INVITATION TO BID ON THE SUPPLY, DELIVERY AND INSTALLATION OF  1 UNIT LARGE FORMAT PRINTER OF BUKIDNON STATE UNIVERSITY 1.	The Bukidnon State University through the Bids and Awards Committee &amp; Budget Approved by the Board of Regents 2020 [Fund 164-IGP] in</t>
  </si>
  <si>
    <t xml:space="preserve"> REQUEST FOR EXPRESSION OF INTEREST FOR THE CONSULTING SERVICES FOR THE ARCHITECTURAL AND DETAILED ENGINEERING DESIGN FOR THE CONSTRUCTION OF MULTI-PURPOSE GYMNASIUM AND CONSTRUCTION OF ACADEMIC BUILDING II The PHILIPPINE SCIENCE HIGH SCHOOL - MIMAROPA REG</t>
  </si>
  <si>
    <t xml:space="preserve"> Invitation to Bid for the  CONSTRUCTION OF MULTI-PURPOSE BUILDING (DAIRY FARM) Kiblawan, Davao del Sur 1.The Local Government Unit of Kiblawan, through the 20% Local Government Development Fund 2020[ In the case of National Government Agencies, the Genera</t>
  </si>
  <si>
    <t xml:space="preserve"> Republic of the Philippines Province of Leyte Municipality of Kananga BIDS AND AWARDS COMMITTEE INVITATION TO BID  1.	The Municipality of Kananga, through its Bids and Awards Committee (BAC) invites bids for the project, consisting of two (2) lots describ</t>
  </si>
  <si>
    <t xml:space="preserve"> Invitation for Negotiated Procurement on Supply and Delivery of Vehicle for National Capital Regional Office 1. In view of the two (2) failed public biddings, the Department of Trade and Industry (DTI) Bids and Awards Committee (BAC) invites interested bi</t>
  </si>
  <si>
    <t xml:space="preserve"> Republic of the Philippines Province of Nueva Ecija Municipality of General Mamerto Natividad BIDS AND AWARDS COMMITTEE  INVITATION TO BID FOR “WIDENING OF BRIDGE AT PULONG SINGKAMAS” 1.	The LGU-General Mamerto Natividad, Nueva Ecija, through the 20% Deve</t>
  </si>
  <si>
    <t xml:space="preserve"> Bidding Documents can be downloaded at DPWH Website. Here's the link, you can copy and paste this link on a browser.      https://www.dpwh.gov.ph/dpwh/business/procurement/cw/advertisement?data_1=All&amp;data_2=All&amp;data=20J00217</t>
  </si>
  <si>
    <t xml:space="preserve"> Republic of the Philippines Province of Nueva Ecija Municipality of General Mamerto Natividad BIDS AND AWARDS COMMITTEE  INVITATION TO BID FOR “CONCRETING/MAINTENANCE OF VARIOUS BARANGAY AND MUNICIPAL INFRASTRUCTURE” 1.	The LGU-General Mamerto Natividad, </t>
  </si>
  <si>
    <t xml:space="preserve"> Republic of the Philippines Province of Negros Occidental Municipality of  Manapla BIDS AND AWARDS COMMITTEE INVITATION TO BID FOR THE PURCHASE OF ONE (1) UNIT RISO AND ONE (1) UNIT COPIER MACHINE The Municipality of Manapla, through  the SEF 2020/ LSB   </t>
  </si>
  <si>
    <t xml:space="preserve"> INVITATION TO BID August 3, 2020 The Eastern Visayas Regional Medical Center, through its Bids and Awards Committee (BAC A) invites suppliers/manufacturers/distributors to bid for the hereunder project:  Item/Description	Approved Budget for the Contract (</t>
  </si>
  <si>
    <t xml:space="preserve"> 1.	The Provincial Government of Antique, through the 20% IRA-CY 2020 (Social Development Sector) intends to apply the sum Two Million Nine Hundred Fifty Five Thousand Pesos &amp; 42/100 (Php 2, 955, 000.42) being the Approved Budget for the Contract (ABC) to </t>
  </si>
  <si>
    <t xml:space="preserve"> Republic of the Philippines CITY OF PANABO Province of Davao del Norte BIDS AND AWARDS COMMITTEE -o0o- INVITATION TO BID  SUPPLY OF 1 UNIT BRAND NEW SPEED BOAT 1.	The City of Panabo, through CDRRMC-CAPITAL OUTLAY-STF 2019-TRUST FUND 03-CALAMITY FUND 2018 </t>
  </si>
  <si>
    <t xml:space="preserve"> The project includes the following; Item No.	Description of Works	Quantity	Unit 1. Improvement of Pangcharan Drainage Canal I	Clearing and Grubbing	184.30	Sq.m. II	Excavation for Structure	7.28	Cu.m. III	Form Works	127.08	Sq.m. IV	Steel Works	760.64	Kgs. </t>
  </si>
  <si>
    <t xml:space="preserve"> 1.	The LGU - CORELLA, BOHOL, through the budget approved by the Sanggunian per Municipal Ordinance Nos. 2019-15 under 20% development fund, intends to apply the sum of PHP 520,000.00 being the Approved Budget for the Contract (ABC) to payments under the c</t>
  </si>
  <si>
    <t xml:space="preserve"> Republic of the Philippines Province of Sultan Kudarat Municipality of Sen. Ninoy Aquino Barangay Government of Lagubang BIDS AND AWARDS COMMITTEE Invitation to Bid for  CONSTRUCTION OF COVERED COURT/MINI GYM (Materials, Labor and Equipment) 1. The Barang</t>
  </si>
  <si>
    <t xml:space="preserve"> Republic of the Philippines Province of Cagayan Municipality of Camalaniugan August 11, 2020 INVITATION TO BID  FOR THE FURNISHING &amp; DELIVERY OF MEDICAL SUPPLIES 1.	The Municipality of Camalaniugan, through the BAYANIHAN GRANT EQUIVALENT TO ONE MONTH IRA </t>
  </si>
  <si>
    <t xml:space="preserve"> Painting</t>
  </si>
  <si>
    <t xml:space="preserve"> INSTALLATION OF 10 PCS. OF STREETLIGHTS WITH COMPLETE LIGHTING AND ACCESSORIES.</t>
  </si>
  <si>
    <t xml:space="preserve"> Republic of the Philippines Province of Eastern Samar Municipality of Guiuan Invitation to Bid  for  PROPOSED CONSTRUCTION OF COMMUNITY FISH LANDING CENTER AT BARANGAY SULANGAN,  GUIUAN, E. SAMAR The LOCAL GOVERNMENT UNIT OF GUIUAN, through the  Trust  Fu</t>
  </si>
  <si>
    <t xml:space="preserve"> Concreting of Local Road at Brgy. San Vicente Ogbon, Nabua, Camarines Sur</t>
  </si>
  <si>
    <t xml:space="preserve"> Invitation to Bid “Acquisition of One (1) Unit, Supply and Delivery of Passenger Van for the Office of the Director.” 01. The National Bureau of Investigation, through the 2019 NBI Clearance Retention Fees pursuant to RA 10867 otherwise known as the NBI R</t>
  </si>
  <si>
    <t xml:space="preserve"> Rehabilitation of Damaged Road, Brgy. San Roque Sagumay, Nabua, Camarines Sur</t>
  </si>
  <si>
    <t xml:space="preserve"> Republic of the Philippines PROVINCE OF SURIGAO DEL NORTE MUNICIPALITY OF TAGANA-AN Office of the Barangay Captain Brgy. Talavera, Surigao del Norte        Invitation to bid for RENOVATION OF GUESTHOUSE BGRY. TALAVERA, TAGANA-AN, SURIGAO DEL NORTE    1.  </t>
  </si>
  <si>
    <t xml:space="preserve"> Contract ID No. 20GKD0004: Purchase of Cubicle with Chair &amp; Mobile Pedestal Metal for Planning &amp; Design Section, Cagayan de Oro City 2nd District Engineering Office, Macabalan, Cagayan de Oro City 1.	The DPWH-2nd DEO-CDOC, through the DPWH FY 2020 Funds, </t>
  </si>
  <si>
    <t xml:space="preserve"> Republic of the Philippines Province of Leyte Municipality of Kananga BIDS AND AWARDS COMMITTEE INVITATION TO BID FOR PROCUREMENT OF SCHOOL EQUIPMENT FOR OPLAN BALIK SKWELA (OBE) 2020  (ELEMENTARY &amp; SECONDARY) 1.	The Municipality of Kananga, through the S</t>
  </si>
  <si>
    <t xml:space="preserve"> Republic of the Philippines MUNICIPALITY OF CABUGAO Ilocos Sur Invitation to Bid for the Construction of Multi-Purpose Drying Pavement (MPDP) @ Brgy. Cuantacla, Cabugao, Ilocos Sur 1. The Local Government Unit of Cabugao, Ilocos Sur, through the R.A. 7171</t>
  </si>
  <si>
    <t xml:space="preserve"> Item No.               Description	                     		 Unit 		Quantity     1		  Steel works				L.S		  22     2		  Painting works			L.S		  22     3		  Hauling works			L.S		  22		       4		  Concreting				L.S		  22     5		  General Requirements		L.S.		 </t>
  </si>
  <si>
    <t xml:space="preserve"> Republic of the Philippines MUNICIPALITY OF CABUGAO Ilocos Sur Invitation to Bid for the Construction of Multi-Purpose Building @ Brgy. Salomague (Proper), Cabugao, Ilocos Sur 1. The Local Government Unit of Cabugao, Ilocos Sur, through the R.A. 7171 thru</t>
  </si>
  <si>
    <t xml:space="preserve"> Solar Star Books Specs: Computer Stick (Processor i3) RAM 4gb ITB HDD 18.5 inches LED Monitor wiih HDMI port, HDMI cable, USB keyboard and mouse, multi media speaker, 4 port wireless router, wireless dongle, solar panel 50w with brace  super-pwn charger w</t>
  </si>
  <si>
    <t xml:space="preserve"> Republic of the Philippines DEPATMENT OF PUBLIC WORKS AND HIGHWAYS SULTAN KUDARAT 1ST DISTRICT EINGINEERING OFFICE 		REGIONAL OFFICE XII Isulan, Sultan Kudarat                                                                           INVITATION TO BID The</t>
  </si>
  <si>
    <t xml:space="preserve"> Republic of the Philippines DEPARTMENT OF PUBLIC WORKS AND HIGHWAYS CAMARINES SUR 2ND DISTRICT ENGINEERING OFFICE Regional Office V Baras, Canaman, Camarines Sur INVITATION TO BID FOR 20GFE0018-	PROCUREMENT OF FUEL, OIL, LUBRICANT AND SPARE PARTS FOR QUAL</t>
  </si>
  <si>
    <t xml:space="preserve"> 400 units - Diesel water pump (6.5 HP - Self Priming forced air cooled system, recoil manual start)  110 units - Electric water pump (1.5 HP) Republic of the Philippines  Province of Ilocos Sur Municipality of SANTA MARIA BIDS AND AWARDS COMMITTEE INVITAT</t>
  </si>
  <si>
    <t xml:space="preserve"> .40 month OS &amp; HP 817.5 sq.m. scarifying of concrete pavement 163.50 cu.m. hauling of waste materials 967.5 sq.m. sub-grade preparation (common material) 80.60 cu.m. Excavation 112 cu.m. aggregate base course 27.66 cu.m. stone masonry 1,102.50 sq.m. PCCP</t>
  </si>
  <si>
    <t xml:space="preserve"> LOT NO.  1: PRAS NO. 20-1017 - ICTS-NOMD ABC: PHP594,000.00  - DSLR Camera (PhP44,000.00)  - HD DSLR Camera (PhP275,000.00)  - HD Video Camera (PhP275,000.00) LOT NO. 2: PRAS NO. 20-1016 - ICTS-NOMD ABC: PHP1,000,000.00  - Professional Camcorder with Trip</t>
  </si>
  <si>
    <t xml:space="preserve"> 1    -  NETWORK VIDEO RECORDER 2     -  HARD DRIVE 21   -  IP  BULLET CAMERA 2    -  9-PORT GIGABIT SWITCH WITH 4-PORT PoE 8    -  POE SWITCH 8 PORTS 1    -  LED MONITOR 40" WITH HDMI INPUT 1    -  HDMI CABLE 3M 1    -  AUTOMATIC VOLTAGE REGULATOR 5000W S</t>
  </si>
  <si>
    <t xml:space="preserve"> INVITATION TO BID: 1. Project Title: Acquisition of Furniture and Fixtures Lot 1: Chairs Lot 2: Tables Lot 3: Cabinets Lot 4: Laboratory Table and Chairs 2. Approved Budget for the Contract: Php 5,499,372.18 Lot 1: Chairs - Php 718,354.74 Lot 2: Tables - </t>
  </si>
  <si>
    <t xml:space="preserve"> 1. The ENERGY REGULATORY COMMISSION (ERC), through the Government of the Philippines (GOP), intends to apply the sum of Six Million Pesos (PhP6,000,000.00), inclusive of all government taxes, and other fees and charges being the Approved Budget for the Co</t>
  </si>
  <si>
    <t xml:space="preserve"> Republic of the Philippines Province of Leyte MUNICIPALITY OF MACARTHUR Invitation to Bid for  UPGRADING AND IMPROVEMENT OF BARANGAY ROAD 1.	The MUNICIPALITY OF MACARTHUR, LEYTE, through the DILG LGSF-AM 2020 intends to apply the sum of EIGHT MILLION SEVE</t>
  </si>
  <si>
    <t xml:space="preserve"> Republic of the Philippines Department of Justice BUREAU OF CORRECTIONS Muntinlupa City Invitation to Bid for  REPAIR/RENOVATION OF DIRECTORATE FOR ADMINISTRATION OFFICE 1.	The Bureau of Corrections, through the General Appropriations Act (GAA) of 2020   </t>
  </si>
  <si>
    <t xml:space="preserve"> BIDS AND AWARDS COMMITTEE – HEAD OFFICE INVITATION TO BID 1.	The Bangko Sentral ng Pilipinas (BSP), through its Bids and Awards Committee – Head Office (BAC-HO), invites bidders to apply for eligibility and to bid for the hereunder requirement: Lot No.	Na</t>
  </si>
  <si>
    <t xml:space="preserve"> Please see attached files.</t>
  </si>
  <si>
    <t xml:space="preserve"> 1.) 65 lgths.      1/16 thk. 1 x 1 Angular Bar 2.) 1 pc.           4" Cutting Disc 3.) 6 kgs.          Fujiweld Welding Rod 4.) 26 bags       Portland Cement 5.) 2 cu.m.        Fine Aggregates 6.) 2.5 cu.m.     Coarse Aggregates 7.) 12 pcs.        2 x 4 x</t>
  </si>
  <si>
    <t xml:space="preserve"> BARANGAY GOVERNMENT OF DAGATKIDAVAO														  Valencia City, Bukidnon, Philippines														 														 Contract Reference No.Contract Reference No. 2020-08-11														 														 CONSTRUCTION OF PERIMETER FENCE														 							</t>
  </si>
  <si>
    <t xml:space="preserve"> INVITATION TO BID  FOR  PURCHASE AND INSTALLATION OF WEIGHBRIDGE EQUIPMENT FOR CY 2020 - TURBINA, CALAMBA CITY, LAGUNA  Contract ID No. 20GD00007 The Department of Public Works and Highways (DPWH), Regional Office No. IV-A thru its Bids and Awards Committ</t>
  </si>
  <si>
    <t xml:space="preserve"> Republic of the Philippines Province of Leyte Municipality of Kananga BIDS AND AWARDS COMMITTEE Invitation to Bid for MUNICIPAL-WIDE STREET LIGHTING PROJECT (CONSTRUCTION OF STREETLIGHT PEDESTAL &amp; ELECTRICAL WORKS) 1.	The Municipality of Kananga through t</t>
  </si>
  <si>
    <t xml:space="preserve"> 1 LOT SUPPLY, DELIVERY AND INSTALLATION OF REAL-TIME POLYMERASE CHAIN REACTION (PCR) WORKFLOW MACHINES ABC: Php. 3,800,000.00 DELIVERY PERIOD: 90 Calendar Days BREAKDOWN: a.	1 Unit Real-time PCR Machine with complete accessories- with 13 items inclusion b</t>
  </si>
  <si>
    <t xml:space="preserve"> .10 month OS &amp; HP 86.25 sq.m. Clearing and Grubbing 86.25 cu.m. Excavation 143.75 cu.m. stone masonry</t>
  </si>
  <si>
    <t xml:space="preserve"> INVITATION TO BID FOR THE Construction of Potable Water Supply Level II LGU-Kabugao, Apayao 1.	The Local Government Unit of Kabugao, through Appropriation Ordinance No. 02-Series of 2019 (FY 2020 Annual Budget – 20% MDF)   intends to apply the sum of Eigh</t>
  </si>
  <si>
    <t xml:space="preserve"> Fifty Three (53) units of Laptops</t>
  </si>
  <si>
    <t xml:space="preserve"> 2.50 cu.m. Sand 3.40 cu.m. Gravel 30 bags portland cement  20 pcs 12mm Def. Bars 20 pcs 10mm Def. Bars 7 kgs No. 16 Tie wire 10 sheets 3/8 marine plywood  150 bd.ft. 2" x 3" x 10" Coco Lumber (30pcs) 100 bd.ft. 2" x 2" x 10" Coco Lumber (30pcs) 5 kgs 4" C</t>
  </si>
  <si>
    <t xml:space="preserve"> 16.0 length 35mm x 76mm x 3.0m Metal Thick 26.0 length 35mm x 76mm x 3.0m Metal Steel 2.00 box Blind Rivets 1/8 x 3/8 1 unit Single Rabbet 100mm Jamb Depth Jhamba 0.90m x 2.1m swing in left 70 pcs metal Scrows 6mm x 2 12 sheets Hardiflex Board 1/4 x 4 x 8</t>
  </si>
  <si>
    <t xml:space="preserve"> DOUBLE CAB DROPSIDE  4JG2 ENGINE  6 WHEELER  97 HORSEPOWER  3,059 CC CAPACITY</t>
  </si>
  <si>
    <t xml:space="preserve"> Construction Materials for the Repair of Roofing for Marcos Type Building</t>
  </si>
  <si>
    <t xml:space="preserve"> Republic of the Philippines PROVINCE OF SOUTHERN LEYTE Maasin City Invitation to Bid for the Upgrading of Manhilo-Libhu-Bactul II Road Maasin City, Southern Leyte Contract is 2020-09-01-060CW 1.	The Provincial Government of the Philippines (GOP) through t</t>
  </si>
  <si>
    <t xml:space="preserve"> Description of Works to be Done Part A. Civil Works.........................................88.16% Part B. General Item &amp; Other Requirements......11.84% .....................................................................100% Item/Description............</t>
  </si>
  <si>
    <t xml:space="preserve"> INVITATION TO BID for PROCUREMENT OF EVELOPMENT AND PRINTING SERVICES FOR EVERYDAY CULTURE BOOK (A Series of Books on the School of Living Traditions) 1.	The NATIONAL COMMISSION FOR CULTURE AND THE ARTS (NCCA), through the CY 2020 General Appropriations A</t>
  </si>
  <si>
    <t xml:space="preserve"> Invitation to Bid Republic of the Philippines TANZA WATER DISTRICT 		A .Soriano Highway, Tanza, Cavite 4108	 Tel. No. (046) 484-1813 / 505-2906      1.	The Tanza Water District (TWD), through the its Corporate funds for fiscal year 2020 intends to apply t</t>
  </si>
  <si>
    <t xml:space="preserve"> INVITATION TO BID for PROCUREMENT OF DESIGN, SUPPLY, INSTALLATION, AND COMMISSIONING OF THEATRE CINEMA PROJECTION, EQUIPMENT AND AUDIO SYSTEM FOR THE METROPOLITAN THEATRE 1.	The NATIONAL COMMISSION FOR CULTURE AND THE ARTS (NCCA), through the CY 2020 Nati</t>
  </si>
  <si>
    <t xml:space="preserve"> INVITATION TO BID FOR SUPPLY AND DELIVERY OF LAPTOP AND DESKTOP COMPUTERS FOR DSWD CENTRAL OFFICE AND FIELD OFFICES —  ITB NO. GOP/20-DSWD-046 — (PR NOS. 01-20001-PR-2020-07-00164 &amp; 01-20001-PR-2020-07-00165) 1. The Department of Social Welfare and Develo</t>
  </si>
  <si>
    <t xml:space="preserve"> Republic of the Philippines PROVINCE OF SURIGAO DEL NORTE MUNICIPALITY OF TAGANA-AN Office of the Barangay Captain Brgy. Talavera, Surigao del Norte        Invitation to bid for ROAD CONCRETING OF SITIO CAMPANGDAN  BGRY. TALAVERA, TAGANA-AN, SURIGAO DEL N</t>
  </si>
  <si>
    <t xml:space="preserve"> .10 month OS &amp; HP 102 sq.m. Clearing and Grubbing 76.5 cu.m. Excavation 96.90 cu.m. stone masonry</t>
  </si>
  <si>
    <t xml:space="preserve"> .40 month OS &amp; HP 350 sq.m. Clearing and Grubbing 210 cu.m. Excavation 437.5 cu.m. stone masonry</t>
  </si>
  <si>
    <t xml:space="preserve"> .17 month OS &amp; HP 108 sq.m. Clearing and Grubbing 86.40 cu.m. Excavation 209.52 cu.m. stone masonry</t>
  </si>
  <si>
    <t xml:space="preserve"> Republic of the Philippines Province of Leyte MUNICIPALITY OF MACARTHUR Invitation to Bid for  CONSTRUCTION/EXPANSION OF PUBLIC CEMETERY PERIMETER TOMB PHASE 3 1.	The MUNICIPALITY OF MACARTHUR, LEYTE, through the 20% AIP 2020 intends to apply the sum of O</t>
  </si>
  <si>
    <t xml:space="preserve"> 11 units Cellphone  Specifications:     Dimensions :  163.7x76.1x8.7mm (6.44x3.00x0.34 in);  Weight  :  199 g (7.02 oz)     SIM            :   Single SIM (Nano-SIM) or Dual SIM (Nano-SIM, dual standby) Stylus (Bluetooth integration,                       </t>
  </si>
  <si>
    <t xml:space="preserve"> INVITATION TO BID NO. GOODS-036-2020 The Provincial Government of Bataan, through the General Fund036 intends to apply the below listed procurement w/ corresponding Approved Budget of the Contract (ABC). Bids received in excess of the ABC shall be automat</t>
  </si>
  <si>
    <t xml:space="preserve"> 1.	The Technological University of the Philippines Manila Campus, through Fiduciary Fund CY 2020 intends to apply the sum of Ten Million Four Hundred Ninety Two Thousand  Pesos (Php  10,492,000.00) being the Approved Budget for the Contract (ABC) to payme</t>
  </si>
  <si>
    <t xml:space="preserve"> WEB CAMERA (Plug and Play HD 720 P for Video Calling) Quantity: 10 unit Budget: P 1,800.00 each "Specification:  Image Sensor:CMOS Pixels:3 Mega Interface Type:USB Package:Yes Auto Focus:Yes built-in microphone:YES Auto Focus:Yes Interface Type:USB 2.0 Ma</t>
  </si>
  <si>
    <t xml:space="preserve"> Procurement of Service Vehicle (Reconditioned) complete build-up double Cab Vehicle Type:  Double Cab Vehicle Engine:  Four (4) cylinder in line diesel engine Piston Displacement:  Not to exceed 3000c Transmission:  Manual transmission 5 speed and 1 rear </t>
  </si>
  <si>
    <t xml:space="preserve"> Items of Work consists of Project Billboard, Removal of existing partition/structure &amp; construction, Reinforcing Steel, Concrete Works, Masonry Works, Finishing Works, Metal Works, Roofing Sheets &amp; Roof Framing, Ceiling, Doors Windows &amp; Glass Wall, Painti</t>
  </si>
  <si>
    <t xml:space="preserve"> Items of Work consists of Project Billboard, Structure Excavation, Embankment, Reinforcing Steel, Structural Concrete The BAC will conduct the procurement process in accordance with the revised IRR of R.A. 9184.  Bids Received in excess of the ABC shall b</t>
  </si>
  <si>
    <t xml:space="preserve"> .17 month OS &amp; HP 313 sq.m. Clearing and Grubbing 336 sq.m. sub-grade preparation (common material) 67.20 cu.m. Excavation 97 cu.m. embankment 39 cu.m. aggregate base course 30.40 cu.m. stone masonry’ 50.40 cu.m. concrete class A 2,600.62 kgs rsb</t>
  </si>
  <si>
    <t xml:space="preserve"> STRUCTURAL CONCRETE    34.00 CUM RSB   4,496.46KGS FORM WORKS:    INSTALLATION   245.00 SQM    REMOVAL           245.00 SQM MASONRY WORKS (CHB LAYING)       3655 PIECES GROUTED RIPRAP     12.00 CUM TRANSHIPMENT OF MATERIALS  1.00 LOT PROJECT BILLBOARD   1</t>
  </si>
  <si>
    <t xml:space="preserve"> SOIL/ GEOTECHNICAL INVESTIGATION FOR THE PROPOSED CONSTRUCTION OF VARIOUS BRIDGE</t>
  </si>
  <si>
    <t xml:space="preserve"> Materials: 1. Cement - 416 bags @ P 343.00  2. Screened Sand - 25.41 cu.m @ P 500.00/cu.m 3. Gravel -50.82 cu.m @ P 550.00/cu.m 4. RSB - 12mmx 6m - 16 pcs @ 295.00 5. Coco lumber - 34 pcs -2x6x12' = 408 bd.ft @ 8,160.00 6. CW Nails, assorted - 5 kls @ 85.</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</si>
  <si>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</si>
  <si>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Location: PSU Goa campus Bidding Fee: P 5,000.00 (Non-refundable) Schedule of activities: 1. Issuance and availability of Bid Documents: August 10, 2020 until 12:00 noon of September 1, 2020  (except week-ends &amp; Holidays at the BAC Secretariat Office, PSU</t>
  </si>
  <si>
    <t xml:space="preserve"> INVITATION TO BID PROCUREMENT OF MEDICAL/DENTAL SUPPLIES, EQUIPMENT AND OTHER PPE (PERSONAL PROTECTIVE EQUIPMENT) 1.	The OCCIDENTAL MINDORO STATE COLLEGE (OMSC), through the Special Trust Fund/General Fund intends to apply the sum of One Million One Hundr</t>
  </si>
  <si>
    <t xml:space="preserve"> Invitation to Bid 									August 10, 2020 	 1.	 The Municipal Government of Tinoc through the Bids and Awards Committee advertised an Invitation to bid for the Procurement of Information and Communication Technology Equipment with an Approved Budget for </t>
  </si>
  <si>
    <t xml:space="preserve"> MAINTENANCE OF MADEPDEPPAS- TACCONG- NACAGANG ROAD, SAGADA Fund Source: PEO 2020 Types of Work to be Done: Project billboard/ signboard/ occupational safety and health program/ structure excavation/ grouted riprap (class A)/ handlaid rock embankment/ rein</t>
  </si>
  <si>
    <t xml:space="preserve"> Invitation to Bid</t>
  </si>
  <si>
    <t xml:space="preserve"> 1.	The Barangay Council of Baragay Caggay, through the BDRRMF for Calendar Year 2020, intends to apply the sum of One Hundred Fifty Thousand Pesos , being the Approved Budget for the Contract (ABC) to payments for the Infrastructure Project: Declogging al</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</si>
  <si>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</si>
  <si>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Republic of the Philippines Province of South Cotabato BIDS AND AWARDS COMMITTEE Capitol Compound Alunan Avenue, Koronadal City Tel. Fax No.: (083) 228-9951/228-8570 INVITATION TO BID FOR THE SUPPLY AND DELIVERY OF 1,000 BAGS FERTILIZER, COMPLETE 14-14-14</t>
  </si>
  <si>
    <t xml:space="preserve"> ONE UNIT SERVICE VEHICLE specification: Body type: VAN Seating capacity: 10 Engine: Four (4) cylinder diesel engine euro IV common rail direct             injection (cdri) with variable geometric turbo (vgt), double             overhead com.(dohc) 16 valv</t>
  </si>
  <si>
    <t xml:space="preserve"> Republic of the Philippines Province of South Cotabato BIDS AND AWARDS COMMITTEE Capitol Compound Alunan Avenue, Koronadal City Tel. Fax No.: (083) 228-9951/228-8570 INVITATION TO BID FOR THE SUPPLY AND DELIVERY OF 40,178 LITERS DIESOLINE 1.  The PROVINCI</t>
  </si>
  <si>
    <t xml:space="preserve"> Republic of the Philippines DEPARTMENT OF SCIENCE AND TECHNOLOGY Regional Office No. 13, Caraga CSU Campus, Ampayon, Butuan City Telephone #: (085) 342-5345, 341-9551, Fax #: 342-5684 INVITATION TO BID Supply, Delivery, and Installation of 1 unit Large Fo</t>
  </si>
  <si>
    <t xml:space="preserve"> Concreting of 0.15m x 3.0m x 80 long road Materials/Description: 1. cement - 306 bags 2, SAG -59.38 cu.m 3. Gravel Bidding - 12.00 cu.m 4. 40 pcs 2x6x12' coco lumber 5. CW Nails assorted - 6.0 kilos</t>
  </si>
  <si>
    <t xml:space="preserve"> Provision of safety and health program/ provision of billboard/ structure excavation (manual excavation common soil)/ subgrade preparation/ aggregate subbase course/  PCC pavement (plain) 200mmthk/ metal railings/ reinforcing steel bar/ structural concret</t>
  </si>
  <si>
    <t xml:space="preserve"> Items of Work consists of Project Billboard, Demolition, Structure Excavation, Gravel Bedding, Reinforcing Steel, Concrete Works, Masonry Works including septic Vault, Formworks, Finishing Works, Metal Works, Roofing Sheets, Ceiling, Door &amp; Windows, Paint</t>
  </si>
  <si>
    <t xml:space="preserve"> REPUBLIC OF THE PHILIPPINES PROVINCE OF NEGROS OCCIDENTAL MUNICIPALITY OF MOISES PADILLA Bids and Awards Committee 	August 7, 2020 INVITATION TO BID FOR THE ACQUISITION OF PATIENT TRANSPORT VEHICLE  (SPECIFIC – PURPOSE VEHICLE) 1.	The Municipality of Mois</t>
  </si>
  <si>
    <t xml:space="preserve"> FUND SOURCE: TRUST LIABILITIES- DRRM TYPES OF WORK TO BE DONE: Provision of safety and health program/ provision o billboard/ structure excavation (manual excavation common soil)/ subgrade preparation/ aggregate subbase course/ PCC pavement (plain) 200 th</t>
  </si>
  <si>
    <t xml:space="preserve"> FUND SOURCE; 20% PDF 2019 TYPES OF WORK TO BE DONE: Project billboard/ signboard. occupational safety and health program/ surplus common excavation/ surplus unclassified excavation/ structure excavation (common soil)/ subgrade preparation (common material</t>
  </si>
  <si>
    <t xml:space="preserve"> Republic of the Philippines UNIVERSITY OF NORTHERN PHILIPPINES Tamag, Vigan City       Invitation to Bid for the Rehabilitation of the UNP Water System 1.	The University of Northern Philippines, through the Use of Income, 2020 intends to apply the sum of </t>
  </si>
  <si>
    <t xml:space="preserve"> Republic of the Philippines CITY OF BAIS BIDS AND AWARDS COMMITTEE INVITATION TO APPLY FOR ELIGIBILITY AND TO BID 	The City Government of Bais invites interested bidders to apply for eligibility and to bid for use in the City Mayor’s Office, this city, vi</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</si>
  <si>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</si>
  <si>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SERVICE VEHICLE Type of Vehicle: SUV ENGINE/TRANSMISSION Engine size: 2.5L Displacement: 2,488 cc Type: 4-cylinder, 16 valves, VGSi Fuel Tank Capacity: 80 Liters Fuel System: Common rail direct injection Transmission Type: 7-speed automatic transmission w</t>
  </si>
  <si>
    <t xml:space="preserve"> The National Food Authority (NFA) Regional Office V, through its Infrastructure and PHF Machineries Capital Outlay Budget with ASA Nos. 2020-COF-TRSD-V-Legazpi-001 and 2020-COF-TRSD-V-Legazpi, Albay-002 intends to apply the sum of PESOS: ONE MILLION FOUR </t>
  </si>
  <si>
    <t xml:space="preserve"> 1.	10	PCS.		CLEAR BOOK ORANGE COVER, LONG 2.	3	PCS.		INK/TONER FOR PRINTER (SAMSUNG) MODEL, ML – 3750ND 3.	10	PCS.		ELECTRICAL TAPE (YELLOW) MEDIUM SIZE 4.	3	CONTAINER	ANTIBACTERIAL SOAP, LIQUID 750mL 5.	3	GALLON	ALL PURPOSE BLEACH, 3785mL 6.	2	BOTTLE		GC</t>
  </si>
  <si>
    <t xml:space="preserve"> : Items of Work consists of Project Signboard/Billboard, Excavation Works, Gravel Bedding, Concrete Works, RSB Works, Form Works/Scaffoldings, 4” CHB Wall, Plastering Works, Ceiling and Locker Works, Tile Works, Toilet &amp; Bath, Metal Works, Roofing Sheets,</t>
  </si>
  <si>
    <t xml:space="preserve"> 1 unit UTILITY VAN RESCUE VEHICLE 	WEIGHT: GROSS VEHICLE(GYW)2,950CC MASS-1295 	       BODY: FB TYPE ONLY 	ENGINE:MODEL DIRECT INJECT INJECTION COMMON 	       DIESEL ENGINE, EMISSION STANDARD 	       EURO IV, DISPLACEMENT CC2, 499, MAX. OUTPUT 	       KW(</t>
  </si>
  <si>
    <t xml:space="preserve"> Republic of the Philippines PROVINCE OF CAMARINES SUR BIDS AND AWARDS COMMITTEE ITB No. 048-09-2020 INVITATION TO BID  	The Provincial Government of Camarines Sur (PGCS) through its Bids and Awards Committee (BAC) invites suppliers/manufacturers/distribut</t>
  </si>
  <si>
    <t xml:space="preserve"> Contract ID:	20GFH0025 Contract Name:	SUPPLY AND DELIVERY OF HEAVY EQUIPMENT UNITS FOR USE IN CONNECTION WITH THE PROJECT, CONSTRUCTION OF SEWAGE FACILITIES IN VIRAC, CATANDUANES, DPWH CATANDUANES DISTRICT ENGINEERING OFFICE, SAN ISIDRO VILLAGE, VIRAC, CA</t>
  </si>
  <si>
    <t xml:space="preserve"> REPUBLIC OF THE PHILIPPINES PROVINCE OF NEGROS OCCIDENTAL MUNICIPALITY OF MOISES PADILLA Bids and Awards Committee 	August 7, 2020 INVITATION TO BID FOR THE PURCHASE OF FUEL 1.	The Municipality of Moises Padilla through the allocation from its MDRRMF Trus</t>
  </si>
  <si>
    <t xml:space="preserve"> I N V I T A T I O N   T O   B I D 2020 – 152 August 10, 2020 1.	The Provincial Government of Tarlac through the Trust Fund intends to apply the sum of Nine Hundred Ninety-Nine Thousand Six Hundred Five Pesos Only (PhP 999,605.00) being the Approved Budget</t>
  </si>
  <si>
    <t xml:space="preserve"> Name of Project: Provision of Seven (7) Sets Solar Streetlight Location: Estipona, Pura, Tarlac ABC: Php 245,000.00 Specification: 7	sets	LED Solar Light 150 W SMD, Warm White			 		Model : SSL 150W -WW			 		Specification:			 		 Light Output:  150W 			 		 </t>
  </si>
  <si>
    <t xml:space="preserve"> Kindly see attached Bidding Documents</t>
  </si>
  <si>
    <t xml:space="preserve"> I N V I T A T I O N   T O   B I D 2020 – 151 August 10, 2020 1.	The Provincial Government of Tarlac through the Trust Fund intends to apply the sum of One Million Two Hundred Twelve Thousand Thirty-Seven Pesos and 50/100 (PhP 1,212,037.50) being the Appro</t>
  </si>
  <si>
    <t xml:space="preserve"> Construction of Other Facilities.</t>
  </si>
  <si>
    <t xml:space="preserve"> I N V I T A T I O N   T O   B I D 2020 - 149 August 10, 2020 1.	The Provincial Government of Tarlac, intends to apply the sum tabulated herein being the Approved Budget for the Contract (ABC) to payments under the contract of Procurement of Drugs and Medi</t>
  </si>
  <si>
    <t xml:space="preserve"> PHILIPPINE DEPOSIT INSURANCE CORPORATION Makati City INVITATION TO BID PROCUREMENT OF PROFESSIONAL DRIVERS SERVICES 1.	The Philippine Deposit Insurance Corporation (PDIC), through its 2020-2021 Corporate Operating Budget, intends to apply the sum of Php 5</t>
  </si>
  <si>
    <t xml:space="preserve"> Vigan City	Project Reference Number:	08312020-119 	Name of the Project :	Construction of Farm to Market Road Standard Form Number: SF-GOOD-05	Location of the Project:    	Beddeng Laud Vigan City Revise on: July 28, 2004		 		 INVITATION TO BID The City Vig</t>
  </si>
  <si>
    <t xml:space="preserve"> Republic of the Philippines Province of Zambales BARANGAY BANI MUNICIPALITY OF MASINLOC OFFICE OF THE BIDS AND AWARDS COMMITTEE INVITATION TO BID The BARANGAY BANI, MUNICIPALITY OF MASINLOC, Province of Zambales, through its Bids and Awards Committee (BAC</t>
  </si>
  <si>
    <t xml:space="preserve"> Republic of the Philippines										 BIDS AND AWARDS COMMITTEE										 Baguio City										 (074) 300-6537/ (074)442-8795										 BID FORM										 CP No. 2020-58 Bidding									August 6, 2020	 Circular Proposal No.									Date Prepared	 								</t>
  </si>
  <si>
    <t xml:space="preserve"> A Republic of the Philippines BIDS AND AWARDS COMMITTEE Dagupan City Invitation to Bid   for CLOSURE/REHABILITATION OF THE EXISTING CONTROLLED DUMPSITE, BONUAN BOQUIG, DAGUPAN CITY – PHASE I 1.	The City Government of Dagupan, through the CITY BUDGET ORDIN</t>
  </si>
  <si>
    <t xml:space="preserve"> IMPROVEMENT OF LIAS GYMNASIUM, BARLIG Fund Source: 20% PDF 2020 Types of Work to be Done: Project billboard/ signboard/ occupational safety and health program/ site preparation/ selected embankment/ steel works/ reinforcing steel bar, grade 40/ structural</t>
  </si>
  <si>
    <t xml:space="preserve"> INVITATION TO BID FOR THE Construction of Potable Water Supply Level II LGU-Kabugao, Apayao 1.	The Local Government Unit of Kabugao, through Appropriation Ordinance No. 02-Series of 2019 (FY 2020 Annual Budget – 20% MDF)   intends to apply the sum of Thre</t>
  </si>
  <si>
    <t xml:space="preserve"> Republic of the Philippines MINDANAO STATE UNIVERSITY General Santos City INVITATION TO BID FOR THE PURCHASE OF THE 3RD QUARTER OFFICE SUPPLIES 1.	The Mindanao State University – General Santos City (MSU-GSC), through MOOE 2020, intends to apply the sum o</t>
  </si>
  <si>
    <t xml:space="preserve"> REHABILITATION OF SITIO FATOK-OR AND KAYJOG PATHWAY AND DRAINAGE, MAINIT FUND SOURCE: 20% PDF 2020 TYPES OF WORK TO BE DONE: Project billboard/ signboard/ occupational safety and health program/ formworks (pathway)/ concrete works (pathway)/ structural ex</t>
  </si>
  <si>
    <t xml:space="preserve"> 40 units	Office chairs  2 sets	Movable divider panel 1 set 	Sala set (Sofa) 1 set	        Dining Table, with 10 chairs 3 units	Office table</t>
  </si>
  <si>
    <t xml:space="preserve"> 25 units	Desktop Computer with Multifunction InkTank Printer  2 units	Smart TV LED 40" for JORS, PO, Contracts, NTP Monitoring 2 units	Laptop 4 units	Projector 2 units	Document Camera 8 units	All-in-One Touch Screen PC for HRIS, Billing and OPD Kiosk 5 un</t>
  </si>
  <si>
    <t xml:space="preserve"> Republic of the Philippines Province of Rizal MUNICIPALITY OF BARAS BIDS AND AWARDS COMMITTEE August 10, 2020 INVITATION TO BID COST OF IMPROVEMENT (BACKFILLING) OF BARAS KASARINLAN ECO PARK, BRGY. SANTIAGO,  BARAS, RIZAL 1.	The Municipality of Baras, thr</t>
  </si>
  <si>
    <t xml:space="preserve"> REF. NO./PR NO.: INFRA2020-CMD-021 / MG-CMT20-001  DESCRIPTION:     Construction of Fire Hydrant System for CMTSD, Ditucalan, Iligan City 1.	Earthworks: Excavation of Footings, Canals, Pedestals and Trenches 2.	Concrete Works: Pump House including Hydrant</t>
  </si>
  <si>
    <t xml:space="preserve"> The Municipality of Pulilan, Bulacan, through its Bids and Awards Committee (BAC), invites prospective bidders/Supplier to apply for eligibility and shortlisting and if found eligible and shortlisted, to bid for Purchase of Materials for Service Connectio</t>
  </si>
  <si>
    <t xml:space="preserve"> The Municipality of Pulilan, Bulacan, through its Bids and Awards Committee (BAC), invites prospective bidders/Supplier to apply for eligibility and shortlisting and if found eligible and shortlisted, to bid for Purchase of Medicines (RHU) The Municipalit</t>
  </si>
  <si>
    <t xml:space="preserve"> The Municipality of Pulilan, Bulacan, through its Bids and Awards Committee (BAC), with its Consultants  to apply for eligibility and shortlisting  bid for Consultancy Services in Different Offices in the Municipality of Pulilan Mayor's,Accounting,Treasur</t>
  </si>
  <si>
    <t xml:space="preserve"> REPUBLIC OF THE PHILIPPINES PROVINCE OF CEBU MUNICIPALITY OF PINAMUNGAJAN Invitation to Bid for:  CONCRETING OF ROAD LEADING TO THE NEW MUNICIPAL CEMETERY IN BARANGAY PANDACAN 			                      1.	The MUNICIPALITY OF PINAMUNGAJAN, through the GENER</t>
  </si>
  <si>
    <t xml:space="preserve"> The Municipality of Pulilan, Bulacan, through its Bids and Awards Committee (BAC), invites prospective bidders/Supplier to apply for eligibility and shortlisting and if found eligible and shortlisted, to bid for Purchase of One (1) Unit Service Vehicle (S</t>
  </si>
  <si>
    <t xml:space="preserve"> The Municipality of Pulilan, Bulacan, through its Bids and Awards Committee (BAC), invites prospective bidders/Supplier to apply for eligibility and shortlisting and if found eligible and shortlisted, to bid for Digital Public Address-Warning Siren &amp; Devi</t>
  </si>
  <si>
    <t xml:space="preserve"> BALAOAN WATER DISTRICT Invitation to Bid For The Drilling Of One (1) Exploratory/ Production Well for Balaoan WD @ Brgy. Calliat, Balaoan, La Union 1.	The Balaoan Water District through the 17,738,000.00 loan funded under the GAA 2017 from the Local Water</t>
  </si>
  <si>
    <t xml:space="preserve"> The Municipality of Pulilan, Bulacan, through its Bids and Awards Committee (BAC), invites prospective bidders/Supplier to apply for eligibility and shortlisting and if found eligible and shortlisted, to bid for Purchase of Office Supplies (MO) The Munici</t>
  </si>
  <si>
    <t xml:space="preserve"> I N V I T A T I O N   T O   B I D 2020 – 150 August 10, 2020 1.	The Provincial Government of Tarlac through the Trust Fund intends to apply the sum of One Million Two Hundred Fifty-Four Thousand Nine Hundred Twenty-Five Pesos Only (PhP 1,254,925.00) being</t>
  </si>
  <si>
    <t xml:space="preserve"> The Municipality of Pulilan, Bulacan, through its Bids and Awards Committee (BAC), invites prospective bidders/Supplier to apply for eligibility and shortlisting and if found eligible and shortlisted, to bid for Purchase of Anti-Rabies Vaccines (RHU) The </t>
  </si>
  <si>
    <t xml:space="preserve"> The Municipality of Pulilan, Bulacan, through its Bids and Awards Committee (BAC), invites prospective bidders/Supplier to apply for eligibility and shortlisting and if found eligible and shortlisted, to bid for Purchase of 45 Units Laptop The Municipalit</t>
  </si>
  <si>
    <t xml:space="preserve"> 1.	The National Irrigation Administration – Cordillera Administrative Region (NIA-CAR), through the General Appropriations Act (GAA) 2020 intends to apply the sum Sixty Six Million One Hundred Seventy-Nine Thousand Three Hundred Seventy-Seven Pesos and Se</t>
  </si>
  <si>
    <t xml:space="preserve"> INVITATION TO BID FOR CW-ALPIP-07-2020 1.	The National Irrigation Administration – Cordillera Administrative Region (NIA-CAR), through the General Appropriations Act (GAA) 2020 intends to apply the sum of Twenty One Million Forty Three Thousand Seven Hund</t>
  </si>
  <si>
    <t xml:space="preserve"> Republic of the Philippines Department of Health SOUTHERN ISABELA MEDICAL CENTER Hospital Bids and Awards Committee Brgy. Rosario, Santiago City Philippines ITB NO. 2020-08-016 INVITATION TO BID FOR THE  PROJECT: SUPPLY AND DELIVERY OF OBSTETRICS AND GYNE</t>
  </si>
  <si>
    <t xml:space="preserve"> INVITATION TO BID FOR CW-ALPIP-06-2020 1.	The National Irrigation Administration – Cordillera Administrative Region (NIA-CAR), through the General Appropriations Act (GAA) 2020 intends to apply the sum of Thirty Eight Million Two Hundred Fifty Six Thousan</t>
  </si>
  <si>
    <t xml:space="preserve"> Republic of the Philippines Department of Health SOUTHERN ISABELA MEDICAL CENTER Hospital Bids and Awards Committee Brgy. Rosario, Santiago City Philippines ITB NO. 2020-08-015 INVITATION TO BID FOR THE  PROJECT: SUPPLY AND DELIVERY OF DENTAL EQUIPMENT 1.</t>
  </si>
  <si>
    <t xml:space="preserve"> Supply and Delivery of Materials for the Implementation of the Modular Learning Delivery Modality using Print and Multimedia Learning Resources.  ABC -  P 8,071,500.00</t>
  </si>
  <si>
    <t xml:space="preserve"> The bidding is a 1 lot bid of laboratory Equipment particularly 1 unit of Blood Culture Machine with an ABC of 700,000.00. Specification: •	*Detection of blood – borne pathogens to diagnose the bacteraemia and sepsis; •	*Optional capacity of 16 culture bo</t>
  </si>
  <si>
    <t xml:space="preserve"> The Municipality of Pulilan, Bulacan, through its Bids and Awards Committee (BAC), invites prospective bidders/Supplier to apply for eligibility and shortlisting and if found eligible and shortlisted, to bid for Purchase of Two (2) Units Patrol Cars (DILG</t>
  </si>
  <si>
    <t xml:space="preserve"> INVITATION TO BID FOR CW-ALPIP-05-2020 1.	The National Irrigation Administration – Cordillera Administrative Region (NIA-CAR), through the General Appropriations Act (GAA) 2020 intends to apply the sum of Thirty Nine Million Nine Hundred Thirty Seven Thou</t>
  </si>
  <si>
    <t xml:space="preserve"> INVITATION TO BID The Municipality of San Nicolas, Pangasinan through its Bids and Awards Committee (BAC), invites contractors registered with and classified by the Philippine Contractors Accreditation Board (PCAB) to apply for eligibility and if found el</t>
  </si>
  <si>
    <t xml:space="preserve"> Republic of the Philippines Province of Isabela LOCAL GOVERNMENT UNIT OF BENITO SOLIVEN INVITATION TO BID FOR THE PROCUREMENT OF MEDICAL AND LABORATORY EQUIPMENT 1.	The Municipal Government of Benito Soliven, intends to apply the sum of Five Hundred Sixty</t>
  </si>
  <si>
    <t xml:space="preserve"> Republic of the Philippines Province of Palawan Municipality of Narra INVITATION TO BID 1.	The Municipal Government of Narra, through Bids and Awards Committee intends to apply the sum of ONE MILLION FOUR HUNDRED THOUSAND PESOS (PHP 1,400,000.00) being th</t>
  </si>
  <si>
    <t xml:space="preserve"> Republic of the Philippines Province of Palawan Municipality of Narra INVITATION TO BID 1.	The Municipal Government of Narra, through Bids and Awards Committee intends to apply the sum of ONE MILLION NINE HUNDRED TWENTY-ONE THOUSAND FOUR HUNDRED FORTY PES</t>
  </si>
  <si>
    <t xml:space="preserve"> Please see attached associated components &amp; download the complete bidding documents through the link below.</t>
  </si>
  <si>
    <t xml:space="preserve"> INVITATION TO BID FOR THE SUPPLY AND DELIVERY OF CUT-SIZE PAPER PRODUCTS FOR THE PROCUREMENT SERVICE PUBLIC BIDDING NO. 20-025-1 FUNDING SOURCE: PROCUREMENT SERVICE FUNDS The PROCUREMENT SERVICE invites PhilGEPS registered suppliers to bid for the followi</t>
  </si>
  <si>
    <t xml:space="preserve"> INVITATION TO BID No. IB-2020-IX-01-01 The Municipality of Sibalom through its Bids &amp; Awards Committee (BAC), invites bidders/contractors to apply for eligibility and to bid for the hereunder project: Project           	 		:	CONSTRUCTION OF FEEDMILL Locat</t>
  </si>
  <si>
    <t xml:space="preserve"> OFFICE OF THE BIDS AND AWARDS COMMITTEE (BAC) INVITATION TO BID FOR THE 20-07-597 Upgrading and Improvement of Harab to Sumbacan Road in Barangay Barangiran, Alamada, Cotabato 1.	The Local Government Unit of Alamada, through the DILG-LGSF-AM PROGRAM FY 20</t>
  </si>
  <si>
    <t xml:space="preserve"> Republic of the Philippines Province of Iloilo Municipality of Lambunao Office of the Bids &amp; Awards Committee INVITATION TO BID Name of Project: Completion of Health Station (One Job) Location:  Brgy. Caninguan,Lambunao, Iloilo ABC: Php 499,989.49 (Suppli</t>
  </si>
  <si>
    <t xml:space="preserve"> Republic of the Philippines   Municipality of Sual BIDS AND AWARDS COMMITTEE Sual, Pangasinan   Invitation to Bid for Construction of Three (3) Units Potable Water Supply System Level 3 Camagsingalan, Bolaoen &amp; Sto. Domingo, Sual, Pangasinan 1.	The Munici</t>
  </si>
  <si>
    <t xml:space="preserve"> Republic of the Philippines Province of Iloilo Municipality of Lambunao Office of the Bids &amp; Awards Committee INVITATION TO BID/ REQUEST FOR PRICE QUOTATION Name of Project: Purchase of Materials for the Installation of Solar Lighting System Location: Brg</t>
  </si>
  <si>
    <t xml:space="preserve"> Labor &amp; Materials	 UPGRADING OF WATER SUPPLY SYSTEM	 Location: Salvacion, Ragay *	MOBILIZATION AND BUNKHOUSE *	CLEARING, GRUBBING, LAYOUT AND STAKING *	EXCAVATION  *	BACKFILL *	GRAVEL BED *	ELECTRO-MECHANICAL SYSTEM *	ELECTRIC LOGGING *	PLUMBING *	CONCRET</t>
  </si>
  <si>
    <t xml:space="preserve"> Republic of ther Philippines Province of Ilocos Sur Municipality of San Juan OFFICE OF THE BIDS AND AWARDS COMMITTEE INVITATION FOR ELIGIBILITY AND TO BID The Barangay Nagsabaran,San Juan,Ilocos Sur through the Bids and Awards Committee(BAC) invites suppl</t>
  </si>
  <si>
    <t xml:space="preserve"> Republic of the Philippines Province of Ilocos Sur Municipality of San Juan OFFICE OF THE BIDS AND AWARDS COMMITTEE INVITATION FOR ELIGIBILITY AND TO BID The Barangay Nagsabaran,San Juan,Ilocos Sur through the Bids and Awards Committee(BAC)invites supplie</t>
  </si>
  <si>
    <t xml:space="preserve"> Republic of the Philippines Province of Ilocos Sur Municipality of San Juan OFFICE OF THE BIDS AND AWARDS COMMITTEE INVITATION FOR ELIGIBILITY AND TO BID The Barangay Nagsabaran,San JUan,Ilocos Sur through the Bids and awards Committee(BAC) invites suppli</t>
  </si>
  <si>
    <t xml:space="preserve"> Quantity   Unit of issue   Item Description 2               pcs                   Tire 7. 00 R15 10 PR LT Tube type with interior 4               pcs                    Tubeless tire 185  R14 8 PR Lt 10             pcs                    shovel (5 pointed</t>
  </si>
  <si>
    <t xml:space="preserve"> Construction of fence along basketball court area with approximate length of 20 meters and an average height of 15 meters. 22 bags Cement 1 cu.m. Sand 1.5 cu.m. Gravel 16 length G.I. Pipe, 2"dia, sch 40 3 rolls Cyclone Wire 16 length Flat bar, 3/16"x1" 10</t>
  </si>
  <si>
    <t xml:space="preserve"> PLEASE SEE ATTACHED FILES FOR YOUR REFERENCE</t>
  </si>
  <si>
    <t xml:space="preserve"> RIPRAPPING OF THE SLOPE AREA AROUND MULTI-PURPOSE HALL. 150 BAGS CEMENT 15 CU.M. SAND 70 CU.M/ BOULDER 13 LENGTH PVC PIPE, 2"DIA. 1 L.S. MISC.AND HARDWARES</t>
  </si>
  <si>
    <t xml:space="preserve"> Rebid of the Provision of Security Services of People’s Television Network, Inc.(PTNI) Manila Office and its Provincial Station</t>
  </si>
  <si>
    <t xml:space="preserve"> Republic of the Philippines PROVINCE OF QUIRINO Cabarroguis -oOo- BIDS AND AWARDS COMMITTEE INVITATION TO BID FOR  Improvement/Concreting of FTMR Contract No. PB-CW-2020-038 							August 8, 2020 1.	The Bids and Awards Committee (BAC) of the Provincial Go</t>
  </si>
  <si>
    <t xml:space="preserve"> 1.Book Cover w/ bolt, 23cm x 29cm 180 pcs 2. Bookpaper, 70 gsm, A3 20 reams 3. Bookpaper, 70 gsm, A4 100 reams 4. Bookpaper, 70 gsm, Legal 35 reams 5. Epson Ink, 001 Black 60 btls 6. Epson Ink, 001 Yellow 5 btls 7. Epson Ink, 001 Magenta 5 btls 8. Epson I</t>
  </si>
  <si>
    <t xml:space="preserve"> INVITATION TO BID August 3, 2020 The Eastern Visayas Regional Medical Center, through its Bids and Awards Committee (BAC A) invites suppliers/manufacturers/distributors/contractors to bid for the hereunder project:  Procurement Activity	Approved Budget fo</t>
  </si>
  <si>
    <t xml:space="preserve"> Republic of the Philippines PROVINCE OF QUIRINO Cabarroguis -oOo- BIDS AND AWARDS COMMITTEE INVITATION TO BID FOR  Improvement/Concreting of FTMR Contract No. PB-CW-2020-037 							August 8, 2020 1.	The Bids and Awards Committee (BAC) of the Provincial Go</t>
  </si>
  <si>
    <t xml:space="preserve"> The Department of Agriculture-RFO 3, invites interested suppliers/ bidders to submit bid proposal(s) for the hereunder requirement, to wit: 122,574 bags Urea Fertilizer  (6,128,700 kilograms) Specification: 	46% Nitrogen 	50 kilograms / bag 	Granular O</t>
  </si>
  <si>
    <t xml:space="preserve"> Republic of the Philippines PROVINCE OF QUIRINO Cabarroguis -oOo- BIDS AND AWARDS COMMITTEE INVITATION TO BID FOR  Improvement/Concreting of FTMR Contract No. PB-CW-2020-036 							August 8, 2020 1.	The Bids and Awards Committee (BAC) of the Provincial Go</t>
  </si>
  <si>
    <t xml:space="preserve"> INVITATION TO BID 1.	The Department of Public Works and Highways, through its Bids and Awards Committee (BAC) invites Suppliers to submit bids for the following contract: 1.	Contract ID	20GM0013 Contract Name &amp; Location	SUPPLY AND DELIVERY OF HANDHELD LAS</t>
  </si>
  <si>
    <t xml:space="preserve"> REPAIR OF COMFORT ROOMS AND SUPPLY SYSTEM IN VARIOUS SCHOOLS AT CARMONA AN G.M.A. SPCL 1 OCCUPATIONAL SAFETY AND HEALTH PROGRAM 1.00 l.s SPCL 2 TEMPORARY FACILITY 1.00 l.s CARMONA NATIONAL HIGH SCHOOL, CARMONA I DEMOLITION 1.00 L.S II CLEARING AND WATER D</t>
  </si>
  <si>
    <t xml:space="preserve"> ANULING NATIONAL HIGH SCHOOL SPCL 1 OCCUPATIONAL SAFETY AND HEALTH PROGRAM 1.00 LOT SPCL 2 TEMPORARY FACILITY 1.00 LOT I ANULING NATIOINAL HIGH SCHOOL SPCL 1 PROJECT BILLBOARD 1.00 LOT PPCR BLDG.3 CR A. REPLACEMENT OF DOOR &amp; WINDOW 1.00 LOT B. PLUMBING AN</t>
  </si>
  <si>
    <t xml:space="preserve"> INVITATION TO BID 1.	The Department of Public Works and Highways, through its Bids and Awards Committee (BAC) invites Suppliers to submit bids for the following contract: Contract ID	20GM0012 Contract Name &amp; Location	SUPPLY AND DELIVERY OF IT SUPPLIES FOR</t>
  </si>
  <si>
    <t xml:space="preserve"> Quantity     Unit      Description 1                lot           General Requirement 1                lot           Earthworks 97              cu. M.     Line Canal 100            cu. M      Grouted riprap 2                 unit         Box culvert 133  </t>
  </si>
  <si>
    <t xml:space="preserve"> INVITATION TO BID 1.	The Department of Public Works and Highways, through its Bids and Awards Committee (BAC) invites Suppliers to submit bids for the following contract: Contract ID	20GM0011  Contract Name &amp; Location	SUPPLY AND DELIVERY OF OFFICE SUPPLIE</t>
  </si>
  <si>
    <t xml:space="preserve"> INVITATION TO BID 1.	The Department of Public Works and Highways, through its Bids and Awards Committee (BAC) invites Suppliers to submit bids for the following contract: Contract ID	20GM0008 (Re-bid) Contract Name &amp; Location	PROCUREMENT OF DRYDOCKING AND</t>
  </si>
  <si>
    <t xml:space="preserve"> SPCL I Project BillBoard l.s. 1.00 SPCL II Occupational Safety &amp; Health Program  l.s.  1.00 SPCL III  Temporary Facilities  l.s. 1.00 ITEM No. Clearing l.s. 1.00 II. Hauling of Materials l.s. 1.00 III. Temporary Break Water l.s. 1.00 IV. Concrete Slope Pr</t>
  </si>
  <si>
    <t xml:space="preserve"> Republic of the Philippines 	Cebu Normal University 	Osmeña Blvd. Cebu City, 6000 Philippines                                 Office of the Bids and Awards Committee                                         Telephone No.: (+63 32) 254 1452 local 141 or 125</t>
  </si>
  <si>
    <t xml:space="preserve"> INVITATION TO BID FOR THE CONSTRUCTION OF INTELLECTUAL PROPERTY AND TECHNOLOGY BUSINESS MANAGEMENT FACILITY PB-2020-184-021 1. The Pampanga State Agricultural University, through Fund 184, intends to apply the sum of P3,790,000.00 being the Approved Budge</t>
  </si>
  <si>
    <t xml:space="preserve"> Republic of the Philippines PROVINCE OF QUIRINO Cabarroguis -oOo- BIDS AND AWARDS COMMITTEE INVITATION TO BID FOR  Improvement/Concreting of FTMR Contract No. PB-CW-2020-040 							August 8, 2020 1.	The Bids and Awards Committee (BAC) of the Provincial Go</t>
  </si>
  <si>
    <t xml:space="preserve"> The Department of Agriculture-RFO 3, invites interested suppliers/ bidders to submit bid proposal(s) for the hereunder requirement, to wit: 56,370 bags Urea Fertilizer (2,818,500 kilograms) Specification: 	46% Nitrogen 	50 kilograms / bag 	Granular Oth</t>
  </si>
  <si>
    <t xml:space="preserve"> REFER TO ATTACHED ITB NO. 014 OF 2020</t>
  </si>
  <si>
    <t xml:space="preserve"> Republic of the Philippines Province of Iloilo Municipality of Lambunao Office of the Bids &amp; Awards Committee INVITATION TO BID Name of Project: Improvement of Water Distribution Lines (One Job) Location: Brgy. Cabugao, Lambunao, Iloilo ABC: Php 2,300,000</t>
  </si>
  <si>
    <t xml:space="preserve"> Supply, Deliver and Install electrical and mechanical supply materials for the rehabilitation and improvement of Lapaz Pumping Station, Barangay Lapaz, Bais City x x x x x x x x x x x x x x x x x x x</t>
  </si>
  <si>
    <t xml:space="preserve"> Benguet First District Engineering Office La Trinidad, Benguet August 7, 2020    INVITATION TO BID The Benguet First District Engineering Office, through its Bids and Awards Committee (BAC), invites contractors to submit bids for the following Contract: C</t>
  </si>
  <si>
    <t xml:space="preserve"> INVITATION TO APPLY FOR ELIGIBILITY AND TO BID (IAEB) August 7, 2020 The Barangay Madasigon of Molave, Zamboangadel Sur, through its Bids and Awards Committe (BAC), invites interested bidders to apply for eligibility and to bid for the hereunder project: </t>
  </si>
  <si>
    <t xml:space="preserve"> Republic of the Philippines Province of Leyte Municipality of Kananga BARANGAY LIM-AO BIDS AND AWARDS COMMITTEE Invitation to Bid for the Procurement of Communication Equipment (Mobile Phones), Brgy.Lim-ao, Kananga, Leyte 1.	The Barangay Government of Lim</t>
  </si>
  <si>
    <t xml:space="preserve"> common office and janitorial supplies for all sections for the 3rd quarter, 2020</t>
  </si>
  <si>
    <t xml:space="preserve"> Please submit your lowest price quotation on the lot listed below, stating the shortest time of delivery duly signed by your representative not later than 12 August 2020; 9:00 A.M., Ground Floor, Building No. 6, Department of Health, San Lazaro Compound, </t>
  </si>
  <si>
    <t xml:space="preserve"> Republic of the Philippines Province of Palawan Municipality of Busuanga Invitation to Bid for ONE STOREY MULTI-PURPOSE BUILDING (PNP COMPOUND) Bgy. Salvacion, Busuanga Palawan 1.	The Local Government of Busuanga, through the CAPITAL OUTLAY intends to app</t>
  </si>
  <si>
    <t xml:space="preserve"> Republic of the Philippines Province of Negros Occidental CITY OF VICTORIAS BIDS AND AWARDS COMMITTEE Reference No: Vict-eps20-044 INVITATION TO BID  ROAD CONSTRUCTION AND REHABILITATION OF PORTION JOVER STREET, DE LEON STREET AND MAGSAYSAY STREET EXTENSI</t>
  </si>
  <si>
    <t xml:space="preserve"> Republic of the Philippines Province of Negros Occidental CITY OF VICTORIAS BIDS AND AWARDS COMMITTEE Reference No: Vict-eps20-041 INVITATION TO BID  PURCHASE OF MATERIALS FOR CONSTRUCTION OF 176 UNITS ADDITIONAL TOMBS AT VICTORIAS CITY PEOPLE’S MEMORIAL </t>
  </si>
  <si>
    <t xml:space="preserve"> Republic of the Philippines Province of Negros Occidental CITY OF VICTORIAS BIDS AND AWARDS COMMITTEE Reference No: Vict-eps20-039 INVITATION TO BID  PURCHASE OF RESCUE VEHICLE FOR THE USE OF RESCUE PERSONNEL ( RE – BID ) The City of Victorias, through th</t>
  </si>
  <si>
    <t xml:space="preserve"> Republic of the Philippines Province of Negros Occidental CITY OF VICTORIAS BIDS AND AWARDS COMMITTEE Reference No: Vict-eps20-042 INVITATION TO BID  REPAIR AND IMPROVEMENT OF ONE ( 1) UNIT CLASSROOM AT DAPES, BRGY X, VICTORIAS CITY NEGROS OCCIDENTAL    T</t>
  </si>
  <si>
    <t xml:space="preserve"> Republic of the Philippines PROVINCE OF QUIRINO Cabarroguis -oOo- BIDS AND AWARDS COMMITTEE INVITATION TO BID FOR  Construction of Perimeter Fence of Barangay Compound Contract No. PB-CW-2020-041 							August 8, 2020 1.	The Bids and Awards Committee (BAC</t>
  </si>
  <si>
    <t xml:space="preserve"> Republic of the Philippines Province of Negros Occidental CITY OF VICTORIAS BIDS AND AWARDS COMMITTEE Reference No: Vict-eps20-043 INVITATION TO BID  REPAIR AND IMPROVEMENT OF ONE ( 1) UNIT 2 CLASSROOM FERRER BUILDING ESTADO ELEMENTARY SCHOOL, BRGY XI, VI</t>
  </si>
  <si>
    <t xml:space="preserve"> Republic of the Philippines Province of Negros Occidental CITY OF VICTORIAS BIDS AND AWARDS COMMITTEE Reference No: Vict-eps20-040 INVITATION TO BID  PURCHASE OF MATERIALS FOR ROAD MAINTENANCE OF VARIOUS BARANGAYS AND CITY ROADS  ( Basa Road,Brgy X.,Roman</t>
  </si>
  <si>
    <t xml:space="preserve"> Republic of the Philippines PROVINCE OF QUIRINO Cabarroguis -oOo- BIDS AND AWARDS COMMITTEE INVITATION TO BID FOR  Improvement/Concreting of FTMR Contract No. PB-CW-2020-039 							August 8, 2020 1.	The Bids and Awards Committee (BAC) of the Provincial Go</t>
  </si>
  <si>
    <t xml:space="preserve"> Rehabilitation of Road including Drainage</t>
  </si>
  <si>
    <t xml:space="preserve"> Provision of Comprehensive Preventive Maintenance  and Repair Services of the Three (3) Elevator Units located at the DOLE Main Building Note: Please see attached Terms of Reference</t>
  </si>
  <si>
    <t xml:space="preserve"> Invitation to Bid for the Procurement of Two (2) Units Dump Truck for the Use of the Municipality, Tagudin, Ilocos Sur 1.	The Local Government Unit of Tagudin, Ilocos Sur, thru its Bids and Awards Committee intends to apply the sum of Two Million Four Hun</t>
  </si>
  <si>
    <t xml:space="preserve"> Republic of the Philippines DEPARTMENT OF EDUCATION Region III – Central Luzon SCHOOLS DIVISION OF CITY OF MEYCAUAYAN City of Meycauayan Invitation to Bid for  REPRODUCTION OF GRADE 4 MODULES FOR ALTERNATIVE DELIVERY MODE Project No. 2020-001-G 1.	The Dep</t>
  </si>
  <si>
    <t xml:space="preserve"> QTY  UNIT  DESCRIPTION EXCAVATION WORKS (189 CU.M.) 1.00 lot Laborworks-Lumpsum CP OCM VAT FILLING BOULDERS (116 CU.M.) A. MATERIALS 116.00 cu.m. Boulders  200.00 bd.ft. Forms Lumber 5.00 kgs. Assorted CWN B. LABOR 1.00 lot Laborworks-Lumpsum CP OCM VAT C</t>
  </si>
  <si>
    <t xml:space="preserve"> REPUBLIC OF THE PHILIPPINES PROVINCE OF CEBU MUNICIPALITY OF PINAMUNGAJAN Invitation to Bid for:  CONCRETING OF FLOORING OF COVERED COURTS 	(Covered Courts at Brgys. Tupas,  Busay,  Butong, Guimbawian &amp; Sibago) 1.The MUNICIPALITY OF PINAMUNGAJAN, through </t>
  </si>
  <si>
    <t xml:space="preserve"> SectionI. Invitation to Bid Republic of the Philippines Province of Misamis Occidental MUNICIPALITY OF PANAON Invitation to Bid for CONSTRUCTION OF MULTI-PURPOSE BUILDING AT MUNICIPAL DEMO FARM IN BRGY. BAGA 									August 7, 2020 1.	The Municipality of </t>
  </si>
  <si>
    <t xml:space="preserve"> Improvement and Construction of Box Culvert</t>
  </si>
  <si>
    <t xml:space="preserve"> Procurement and Delivery of Construction Supplies and Materials for the Improvement of Baywalk Location: Baywalk Barangay 6 Poblacion, Balingasag, Misamis Oriental</t>
  </si>
  <si>
    <t xml:space="preserve"> Rehabilitation/Upgrading and Drainage Improvement</t>
  </si>
  <si>
    <t xml:space="preserve"> ITEM NO.	UNIT		QTY		DESCRIPTION		 							 					COMMON OFFICE SUPPLIES		 1	 can 		10		Air Freshener, California scent, car shaldan		 2	 piece 		120		Ballpen, panda, black, 		 3	 piece 		24		Ballpen,panda , blue, 		 4	 piece 		66		Ballpen, pilot, black, ori</t>
  </si>
  <si>
    <t xml:space="preserve"> Republic of the Philippines Province of Leyte Municipality of Kananga BARANGAY LIM-AO BIDS AND AWARDS COMMITTEE Invitation to Bid for Survey of Barangay Owned Lot, Brgy.Lim-ao, Kananga, Leyte 1.	The Barangay Government of Lim-ao, Kananga, Leyte, through i</t>
  </si>
  <si>
    <t xml:space="preserve"> CONCRETE WORKS MATERIALS AND LABOR</t>
  </si>
  <si>
    <t xml:space="preserve"> ITEM NO.	UNIT		QTY		DESCRIPTION		 							 					COMMON OFFICE SUPPLIES		 1	 can 		9		Air Freshener, California scent, car shaldan		 2	 box 		2		Acetate film, clear, legal size, 100pcs/box		 3	 piece 		130		Ballpen, panda, black, 		 4	 piece 		15		Ballpen,p</t>
  </si>
  <si>
    <t xml:space="preserve"> PLEASE DOWNLOAD THE ATTACHMENT/S FOR REFERENCE. Important Notes and Conditions: You can submit your quotation ON or BEFORE AUGUST 14, 2020 at 10:00 AM with the photocopy of the following legal documents: a. Mayor’s / Business Permit  b. PhilGEPS Registrat</t>
  </si>
  <si>
    <t xml:space="preserve"> Description	UNIT	QUANTITY Construction survey and staking	km	0.60 Project Billboard/Signboard	each	1.00 Occupational Safety and Health Program	lot	1.00 Traffic management 	month	4.00 Mobilization/Demobilization	lot	1.00 Surplus Common Excavation 	cu.m.	3,</t>
  </si>
  <si>
    <t xml:space="preserve"> Please see attach ITB &amp; Specs Thank you.</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</si>
  <si>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</si>
  <si>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Republic of the Philippines Province of Nueva Vizcaya Municipality of Solano -o0o- INVITATION TO BID FOR Construction of School Building at Aggub Elementary School Aggub, Solano, Nueva Vizcaya   (SOLANO 095-2020) 1.	The Local Government Unit of Solano, Nu</t>
  </si>
  <si>
    <t xml:space="preserve"> Rescue Vehicle (Ambulance type) Specs: YD25 DDTi In-line 4 cylinder DOHC 16 valves, Variable Turbocharger (VGS) 5- Speed manual (Dash-Mounted) Common Rail Direct Injection 2,488cc engine displacement Max Power- 129Hp/ 3200 rpm Max Torque – 356Nm/ 1,400 ᷈ </t>
  </si>
  <si>
    <t xml:space="preserve"> Internet Connection for the LGU of San Lorenzo Ruiz</t>
  </si>
  <si>
    <t xml:space="preserve"> Republic of the Philippines Cordillera Administrative Region Provincial Government of Abra Bangued Invitation to Bid for the ROAD OPENING AND IMPROVEMENT OF MALABBAGA FARM TO MARKET ROAD (PHASE 1) 1.	The PROVINCIAL GOVERNMENT OF ABRA, through the Governme</t>
  </si>
  <si>
    <t xml:space="preserve"> Section I. Invitation to Bid FOR THE SUPPLY, INSTALLATION, TESTING AND COMMIS- SIONING OF CLIMATE CONTROL SYSTEM FOR THE NATIONAL LIBRARY OF THE PHILIPPINES (NLP) 1.	The National Library of the Philippines (NLP), through the National Expenditure Budget (N</t>
  </si>
  <si>
    <t xml:space="preserve"> The Local Government Unit of Barugo, through the General Fund – Supplemental Budget No. 4  intends to apply the sum of Five Hundred Thirty Thousand Pesos only (Php530,000.00) being the Approved Budget for the Contract (ABC) to payments under the contract </t>
  </si>
  <si>
    <t xml:space="preserve"> 420 CU M LIME SOIL ( ON SITE DELIVERY) 100 LITERS DIESEL FULE</t>
  </si>
  <si>
    <t xml:space="preserve"> see attached program of work</t>
  </si>
  <si>
    <t xml:space="preserve"> Standard Form No. SF INFR-05		                Project Reference No.: CATCAM-2020-25 Revised on July 28,2004                   	                 Name of Project: POBLACION-MADLING-QUIDAG-UM  ACCESS                                                           </t>
  </si>
  <si>
    <t xml:space="preserve"> Standard Form No. SF Good-05		             Project Reference No.: CATCAM-2020-24 Revised on July 28,2004                   		     Name of Project: CONTINUOUS  LINING OF MUNICIPAL STREET                                                                      </t>
  </si>
  <si>
    <t xml:space="preserve"> Invitation to Bid for   Supply of Labor &amp; Materials  For the Construction of Multi-Purpose Center Located  Buli Taal Batangas cb-infra-2020-08    1.The Municipal Government of Taal, through the General Fund intends to apply the sum of  Three Million Four </t>
  </si>
  <si>
    <t xml:space="preserve"> see attached program of works</t>
  </si>
  <si>
    <t xml:space="preserve"> Republic of the Philippines PROVINCE OF AGUSAN DEL SUR Municipality of Sta. Josefa Invitation to Bid for   SJADS GOODS 20-14: PROCUREMENT OF OFFICE &amp; SCHOOL SUPPLIES (SEF) 					   August 08, 2020 1.	The Municipality of Sta. Josefa through the following; a</t>
  </si>
  <si>
    <t xml:space="preserve"> Supply and delivery of 6 units risograph machine  for various public schools of Capas, Tarlac.</t>
  </si>
  <si>
    <t xml:space="preserve"> INVITATION TO BID FOR SUBSCRIPTION TO A MULTI-TELCO BULK SMS SERVICE FOR DSWD ENTERPRISE —  ITB NO. GOP/20-DSWD-045-A — (PR NO. 2019111806) 1.	The Department of Social Welfare and Development (DSWD), through the DSWD Funds, intends to apply the sum of One</t>
  </si>
  <si>
    <t xml:space="preserve"> PHILIPPINE BIDDING DOCUMENTS (As Harmonized with Development Partners) Procurement of  FURNITURE AND FIXTURES FOR COA PSAO- SORSOGON COMMISSION ON AUDIT (COA), REGIONAL OFFICE NO. V Fifth Edition  August 2016   TABLE OF CONTENTS SECTION I. INVITATION TO B</t>
  </si>
  <si>
    <t xml:space="preserve"> Purchase and delivery of construction supplies and materials for the Proposed Single Barrel Box Culvert in Brgy. Alipaciawan, to wit: 318 bags Cement 16 cu.m. Sand 28 cu.m. Gravel 18 cu.m. Boulders 48 lgths. 16mm. Ø Deformed Steel Bars 145 lgths. 12mm. Ø </t>
  </si>
  <si>
    <t xml:space="preserve"> August 14, 2020 - Eligibility check, issuance of bidding documents. August 26, 2020 – 2:00 PM – Submission/Opening of bids at the Office of the BAC Chairman – Mun. Hall Tagkawayan, Quezon. Complete bidding documents may be purchased by the interested bidd</t>
  </si>
  <si>
    <t xml:space="preserve"> Republic of the Philippines DEPARTMENT OF PUBLIC WORKS AND HIGHWAYS Region VII            South Road Properties (SRP), Cebu City                                        Contract ID	 : 20H00082 Contract Name   : Organizational Outcome 1: Ensure Safe and Rel</t>
  </si>
  <si>
    <t xml:space="preserve"> Republic of the Philippines DEPARTMENT OF PUBLIC WORKS AND HIGHWAYS OFFICE OF THE REGIONAL DIRECTOR                                                                       Region VII                                                                           </t>
  </si>
  <si>
    <t xml:space="preserve"> SUPPLY AND DELIVERY OF VARIOUS MATERIALS FOR OPERATIONS</t>
  </si>
  <si>
    <t xml:space="preserve"> PLS. SEE ATTACHED PURCHASE REQUISITION, TERMS OF REFERENCE &amp; BID DOCS FOR DETAILS.</t>
  </si>
  <si>
    <t xml:space="preserve"> 24 PORTS, 10/100/1000 MBPS</t>
  </si>
  <si>
    <t xml:space="preserve"> 2 Units Risograph Machine	 Specifications:				 Master Making/ Printing Methods: High-Speed digital master-making/ Fully automatic printing					 Original Type: Book or Sheet					 Master Making Time: Quick Master Making mode	Approx. 17 seconds (Letter, shor</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</si>
  <si>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</si>
  <si>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QUADRANT, STRAIN CLAMP</t>
  </si>
  <si>
    <t xml:space="preserve"> Please download the attached bidding documents for more info about the project. For further information, please refer to: Mrs. Maria Flora T. Pandes or Mrs. Herbie B. De Lemios Department of Education-Schools Division Office Division of Camarines Norte F.</t>
  </si>
  <si>
    <t xml:space="preserve"> INVITATION TO BID FOR  Procurement of Medical, Dental and Laboratory Supplies-Rebid 1.	The Ospital ng Palawan, through its General Fund for CY 2020 intends to apply the sum of Two Million Six Hundred Thirty-Nine Thousand Nine Hundred Thirty-Eight Pesos an</t>
  </si>
  <si>
    <t xml:space="preserve"> LOCAL GOVERNMENT UNIT - MUNICIPALITY OF BACOLOR INVITATION TO APPLY FOR ELIGIBILITY AND TO BID The Local Government Unit - Municipality of Bacolor, Bacolor, Pampanga, through the Bids and Award Committee (BAC), invites contractors to apply for eligibility</t>
  </si>
  <si>
    <t xml:space="preserve"> model  :  isuzu elf  mini dump chassis :  NKR58E-7180897 ENGINE : 4BE1 TYPE OF BODY :  MINI DUMP TRUCK (double tire/brand new tire) COLOR   : RED/SILVER FUELS : DIESEL TOOLS : JACK WITH TIRE WRENCH HANDLE EXTENDED BODY : L- 10FEET, W-6 1/2 H-6 1/2 GROSS T</t>
  </si>
  <si>
    <t xml:space="preserve"> INVITATION TO BID 	The Bids and Awards Committee of Municipality of San Gabriel, La Union intends to apply the sum of TWO HUNDRED NINE THOUSAND SIX HUNDRED THIRTY FOUR PESOS (PHP  209,634.00) being the Approved budget for the Contract (ABC) to payments un</t>
  </si>
  <si>
    <t xml:space="preserve"> SUPPLY AND DELIVERY OF VARIOUS MATERIALS FOR OPERATION USE.</t>
  </si>
  <si>
    <t xml:space="preserve"> Republic of the Philippines MUNICIPALITY OF PANIQUI Province of Tarlac 	Solicitation No.: I-2020-023 Name of the Project      : Construction of Drainage with Shoulder (Phase 1) Location of the Project : Brgy. Nancamarinan, Paniqui, Tarlac INVITATION TO AP</t>
  </si>
  <si>
    <t xml:space="preserve"> INVITATION TO BID  SUPPLY AND INSTALLATION OF VENTILATION SYSTEM FOR THE PROPOSED MOLECULAR BIOLOGY LABORATORY IB No. 2020 - 08 1.	The Dr. PJGMRMC, through Bids and Awards Committee II, intends to apply the sum of FIVE MILLION EIGHT HUNDRED THOUSAND THREE</t>
  </si>
  <si>
    <t xml:space="preserve"> RUST CONVERTER AND GREASE</t>
  </si>
  <si>
    <t xml:space="preserve"> INVITATION TO BID 	The Bids and Awards Committee of Municipality of San Gabriel, La Union intends to apply the sum of THREE HUNDRED SEVENTY FOUR THOUSAND FORTY FOUR PESOS &amp; 35/100 (PHP  374,044.35.00) being the Approved budget for the Contract (ABC) to pa</t>
  </si>
  <si>
    <t xml:space="preserve"> SEE ATTACHED PURCHASE REQUEST</t>
  </si>
  <si>
    <t xml:space="preserve"> PARTICULARS	DATE Pre-bid Conference @ BAC Conference Room, GSO, 1st floor, New Capitol Blg, Pigcarangan, Tubod,LDN on August 20,  2020 @ 10:00 AM Deadline for Submission of Eligibility requirements and bidding documents for  bid opening (all bids must be </t>
  </si>
  <si>
    <t xml:space="preserve"> SUPPLY AND DELIVERY OF FAST MOVING SPARE PARTS FOR ARACELI DPP.</t>
  </si>
  <si>
    <t xml:space="preserve"> SUPPLY AND DELIVERY OF VARIOUS MATERIALS FOR OPERATION AND MAINTENANCE USE.</t>
  </si>
  <si>
    <t xml:space="preserve"> INVITATION TO APPLY FOR ELIGIBILITY AND TO BID The Municipality of San Nicolas, Pangasinan through its Bids and Awards Committee (BAC), invites contractors registered with and classified by the Philippine Contractors Accreditation Board (PCAB) to apply fo</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</si>
  <si>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</si>
  <si>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INVITATION TO BID 	The Bids and Awards Committee of Municipality of San Gabriel, La Union intends to apply the sum of TWO HUNDRED NINETEEN THOUSAND NINE HUNDRED NINETY PESOS (PHP  219,990) being the Approved budget for the Contract (ABC) to payments under</t>
  </si>
  <si>
    <t xml:space="preserve"> SUPPLY AND DELIVERY OF MATERIALS AND SUPPLIES FOR ELECTRICAL MAINTENANCE USE.</t>
  </si>
  <si>
    <t xml:space="preserve"> Contract ID:       20HL0115 Contract Name:  Construction of  2 STY 8 CL  School Building @ Olandao Elementary                          School  Contract Location:  Basay, Negros Oriental  Scope of Works:  Construction of  2 STY 8 CL  School Building Source</t>
  </si>
  <si>
    <t xml:space="preserve"> Purchase of 25 units of Solar Panel with Complete Accessories Specs per Unit: Solar Panel 400w Solar Battery 200 amps 10  m Solar Panel Card 5m x 5m Color Coding with Male &amp; Female Adapter 2 pcs battery Clip 14 pcs 7w LED bulb 12v 14 pcs Bulb cover Shield</t>
  </si>
  <si>
    <t xml:space="preserve"> August 14, 2020 - Eligibility check, issuance of bidding documents. August 26, 2020 – 4:00 PM – Submission/Opening of bids at the Office of the BAC Chairman – Mun. Hall Tagkawayan, Quezon. Complete bidding documents may be purchased by the interested bidd</t>
  </si>
  <si>
    <t xml:space="preserve"> Bids received in excess of the ABC for each project shall be automatically rejected at bid opening. Bidders should have completed a similar project within five (5) years from the date of bidding. Bidding will be conducted through open competitive bidding </t>
  </si>
  <si>
    <t xml:space="preserve"> INVITATION TO BID  SUPPLY AND DELIVERY OF ONE (1) LOT SPARE PARTS FOR THE MAINTENANCE AND REPAIR OF PHILIPPINE MARINE CORPS (PMC) FLOATING ASSETS FOR THE PHILIPPINE NAVY (PN)  Bid Reference No. MPG-B1-2020-373 (2nd  Rebid)  (Previous Bid Ref. Nos. MPG-B1-</t>
  </si>
  <si>
    <t xml:space="preserve"> Republic of the Philippines PROVINCE OF AGUSAN DEL SUR Municipality of Sta. Josefa Invitation to Bid for   SJADS INFRA 20-10: CONCRETING/REHABILITATION OF MUNICIPAL STREETS 				                         August 08, 2020 1.	The Municipality of Sta. Josefa th</t>
  </si>
  <si>
    <t xml:space="preserve"> Province of Surigao del Norte Municipality of Alegria Barangay San Juan INVITATION TO BID SUPPLY WITH DELIVERY OF CONSTRUCTION MATERIALS 1.	The Barangay San Juan Local Government Unit, through the Government of the Philippines, General Appropriation Act 2</t>
  </si>
  <si>
    <t xml:space="preserve"> Republic of the Philippines Department of Education Region IV-A CALABARZON Division of Quezon Perez National High School Bids &amp; Awards Committee INVITATION TO BID FOR  Perez National High School - Self Learning Modules 1.	The Perez National High School of</t>
  </si>
  <si>
    <t xml:space="preserve"> Contract ID:       20HL0114 Contract Name:  Construction of  2 STY 4 CL  School Building @ Palayuhan High                          School  Contract Location:  Siaton, Negros Oriental  Scope of Works:  Construction of  2 STY 4 CL  School Building Source of</t>
  </si>
  <si>
    <t xml:space="preserve"> Supply of Hybridization Incu9wxbator •	Type  -	Orbital shaking mechanism, times out or continuous shaker/rotisserie operation •	Bottle capacity -	 12 large/ 24 small •	Rotisserie/ Rocker speed -	4 to 20 rpm •	Temperature Range -	 Ambient +5°C to 80°C •	Te</t>
  </si>
  <si>
    <t xml:space="preserve"> Invitation to Bid ITB-SSS-Goods-2020-024 ANNUAL SERVICING OF THE SSS MAIN BUILDING'S POWER SUBSTATIONS AND OTHER RELATED WORKS Approved Budget for the Contract (ABC)      :       PhP 841,471.40   Source of Fund	                                        :   </t>
  </si>
  <si>
    <t xml:space="preserve"> SUPPLY AND DELIVERY OF FAST MOVING SPAREPARTS FOR AGUTAYA DPP.</t>
  </si>
  <si>
    <t xml:space="preserve"> INVITATION TO BID FOR THE  SUPPLY AND DELIVERY OF VARIOUS SIZES HDPE PIPE 1.	The Metropolitan Tuguegarao Water District through the Corporate Budget for the Year 2020  intends to apply the sum of One Million Five Hundred Thousand Pesos (P 1,500,000.00) be</t>
  </si>
  <si>
    <t xml:space="preserve"> Road Concreting 					 Cost of Bidding Documents: Php 25,000.00					 Source of Funds: GAA FY 2020 (D.A. Fund) The significant times and deadlines of procurement activities are shown below: 1. Issuance of Bidding Documents	Deadline: August 10 – 26, 2020, 8:</t>
  </si>
  <si>
    <t xml:space="preserve"> Procurement of the following for Catacte Pumping Station (1) Supply, Delivery, Installation, Testing and Commissioning of Stainless Steel  Submersible Pump and Motor 20 lps x 260 ft. TDH, driven by 30 HP Submersible motor 460 V, 60 Hz, 3 phase, including </t>
  </si>
  <si>
    <t xml:space="preserve"> INVITATION TO BID  The DPWH – Negros Oriental 1st District Engineering Office, Tinaogan, Bindoy, Negros Oriental through its Bids and Awards Committee (BAC) for Goods, invites suppliers to submit bids for the contract; Contract Name	: Fuel for use in the </t>
  </si>
  <si>
    <t xml:space="preserve"> SUPPLY AND DELIVERY OF MATERIALS AND SUPPLIES FOR OPERATIONS OF CULION DPP.</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</si>
  <si>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</si>
  <si>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Supply and Delivery of 42 units of Multifunctional Inkjet Colored Printer with Continuous Ink Supply System max copy resolution: 300 x 300 dpi</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</si>
  <si>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</si>
  <si>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INVITATION TO BID    SUPPLY AND DELIVERY OF BRAND NEW 16,490 PIECES PONCHO TENT, PHILARPAT FOR THE PHILIPPINE ARMY (PA)   Bid Reference No. MPG-BI-2020-244 Approved Budget for the Contract - ₱ 17,441,308.10     1. The Philippine International Trading Corp</t>
  </si>
  <si>
    <t xml:space="preserve"> Republic of the Philippines Province of Sarangani Municipality of Malapatan Invitation to Bid  	 2020-B1-06-023 PROCUREMENT OF RESCUE / EXTRICATION EQUIPMENT OF MDRRMO, MALAPATAN, SARANGANI PROVINCE 1. The Local Government Unit of Malapatan, through the 5</t>
  </si>
  <si>
    <t xml:space="preserve"> Republic of the Philippines Province of Sarangani Municipality of Malapatan Invitation to Bid  	 2020-B1-03-009  PROCUREMENT OF RESCUE / EXTRICATION EQUIPMENT OF MDRRMO, MALAPATAN, SARANGANI PROVINCE 1. The Local Government Unit of Malapatan, through the </t>
  </si>
  <si>
    <t xml:space="preserve"> Supply and Delivery of 8 units Heavy-duty 3 in 1 Copier with Auto-Reverse Document Feeder, Duplex and Metal Stand Speed 20 CPM, Color Scanning,resolution 600 x 600 dpi</t>
  </si>
  <si>
    <t xml:space="preserve"> Republic of the Philippines Province of Sarangani Municipality of Malapatan INVITATION TO BID  	 2020-B1-02       PROCUREMENT OF MATERIALS FOR THE MAINTENANCE AND DEVELOPMENT OF HRIS SYSTEM, MALAPATAN, SARANGANI PROVINCE 1.	The Local Government Unit of Ma</t>
  </si>
  <si>
    <t xml:space="preserve"> INVITATION TO BID  Supply, Delivery and Testing of  One (1) unit Brand New Multi-Purpose Van IB No. 2020 - 09 1.	The Dr. PJGMRMC, through Bids and Awards Committee II, intends to apply for the procurement of the items indicated below the total amount of O</t>
  </si>
  <si>
    <t xml:space="preserve"> Republic of the Philippines Province of Sarangani Municipality of Malapatan Invitation to Bid  	 2020-B1-07-027  PROCUREMENT OF MEDICINES AND MEDICAL SUPPLIES FOR PROVISION OF BASIC HEALTH SERVICES, MHO MALAPATAN, SARANGANI PROVINCE 1. The Local Governmen</t>
  </si>
  <si>
    <t xml:space="preserve"> Republic of the Philippines Province of Sarangani Municipality of Malapatan Invitation to Bid  	 2020-B1-06-022 PROCUREMENT OF GOODS FOR SENIOR CITIZEN AND PERSON WITH DISABILITY, MALAPATAN, SARANGANI PROVINCE 1. The Local Government Unit of Malapatan, th</t>
  </si>
  <si>
    <t xml:space="preserve"> Republic of the Philippines Province of Sarangani Municipality of Malapatan INVITATION TO BID  	 2020-B2-07-025 IMPROVEMENT OF MUNICIPAL PUBLIC MARKET, PUROK 8B,  BARANGAY POBLACION, MALAPATAN, SARANGANI PROVINCE  1.	The Local Government Unit of Malapatan</t>
  </si>
  <si>
    <t xml:space="preserve"> INVITATION TO APPLY FOR ELIGIBILITY AND TO BID (IAEB No. 04 -2020) Republic of the Philippines Barangay Government of Sisi Barangay Sisi Guinayangan, Quezon Supply and Delivery of Construction Materials 1.	The BARANGAY GOVERNMENT OF SISI GUINAYANGAN, QUEZ</t>
  </si>
  <si>
    <t xml:space="preserve"> Republic of the Philippines Province of Sarangani Municipality of Malapatan Invitation to Bid  	 2020-B1-07-026 PROCUREMENT OF MEDICINES AND MEDICAL SUPPLIES FOR FAMILY PLANNING PROGRAM 1. The Local Government Unit of Malapatan, through the GENERAL FUND 2</t>
  </si>
  <si>
    <t xml:space="preserve"> Republic of the Philippines CITY GOVERNMENT OF ANTIPOLO Antipolo City INVITATION TO BID For the Supply &amp; Delivery of Medical, Laboratory, Dental, Radiologic &amp; Opthalmology Supplies The City Government of Antipolo, through the General Fund intends to apply</t>
  </si>
  <si>
    <t xml:space="preserve"> 1. GARBAGE COMPACTOR 15CBM...........................................................................3 units				 Specifications:				 Drive : 6 x 4				 Gross Vehicle Weight (kg) : 24500				 Curb Weight (kg) : 1500				 Load Weight (kg) : 9500				 Max Speed </t>
  </si>
  <si>
    <t xml:space="preserve"> Republic of the Philippines Province of Sarangani Municipality of Malapatan Invitation to Bid  	 2020-B2-24 CONCRETING OF JUNCTION NATIONAL HIGHWAY -MASBONG 1 ROAD ( PHASE III ) BRGY. POBLACION , MALAPATAN SARANGANI PROVINCE  1. The Local Government Unit </t>
  </si>
  <si>
    <t xml:space="preserve"> NOTICE TO THE PUBLIC REQUEST FOR QUOTATION                                              AMP SVP-S NO: 20-08-0430	              The University of the Philippines, System (UPS) hereby informs the public that it will be procuring the following item/s through</t>
  </si>
  <si>
    <t xml:space="preserve"> PURCHASE OF OFFICE SUPPLIES FOR THE REPRODUCTION OF LEARNING MATERIALS</t>
  </si>
  <si>
    <t xml:space="preserve"> Republic of the Philippines Province of Agusan del Norte Municipality of Remedios T. Romualdez BARANGAY TAGBONGABONG Invitation to Bid PROCUREMENT OF WATER SUPPLY ACCESSORIES AND MATERIALS FOR THE IMPROVEMENT OF WATER SYSTEM OF TAGBONGABONG (2nd Posting) </t>
  </si>
  <si>
    <t xml:space="preserve"> INVITATION TO BID FOR  Procurement of Supplies (Bond Paper) for the Printing of Self  Learning Modules –  Contract No. G-002-08- 1.	The Department of Education, Division of Island Garden City of Samal through the GAA 2020  intends to apply the sum of Two </t>
  </si>
  <si>
    <t xml:space="preserve"> Republic of the Philippines BIDS AND AWARDS COMMITTEE Province of Iloilo Invitation to Bid Purchase of MEDICAL EQUIPMENT Bid No.CDH-20-0823-B  1. The Iloilo Provincial Government, through the 20% IRA (CAPITAL OUTLAY) CY 2019 intends to apply the sum ONE M</t>
  </si>
  <si>
    <t xml:space="preserve"> Item No.	Description	Quantity	Unit PART A	EARTHWORK		 801(1)	Removal of Structures and Obstruction	All	L.S. 803(1)a	Structure Excavation (Common Soil, Manual Excavation)	45.96	Cu.m. 804(1)a	Embankment from Structure Excavation	41.04	Cu.m. PART B	PLAIN AND</t>
  </si>
  <si>
    <t xml:space="preserve"> Republic of the Philippines BIDS AND AWARDS COMMITTEE Province of Iloilo Invitation to Bid Purchase of MEDICAL EQUIPMENT Bid No.CDH-20-0826-B  1. The Iloilo Provincial Government, through the 20% IRA (CAPITAL OUTLAY) CY 2019 intends to apply the sum ONE M</t>
  </si>
  <si>
    <t xml:space="preserve"> Description of works to be done	Quantity	Unit 	CIVIL, MECHANICAL, ELECTRICAL AND SANITARY/PLUMBING WORKS		 	PART A – OTHER GENERAL REQUIREMENTS		 	PART A – EARTHWORK		 800(2)	Clearing &amp; Grubbing	All	LS 801(6)	Removal of Structures and Obstruction (Concret</t>
  </si>
  <si>
    <t xml:space="preserve"> Concreting of FMR</t>
  </si>
  <si>
    <t xml:space="preserve"> INVITATION TO BID IB NO. CW 2020 – 082-B Construction of Bridge at Sta. Maria, Mansalay, Oriental Mindoro 1.  The Provincial Government of Oriental Mindoro (PGOM) through the 20% Development Fund CA 2019 intends to apply the sum of One Million Nine Hundre</t>
  </si>
  <si>
    <t xml:space="preserve"> INVITATION TO BID IB NO. CW 2020 –  113-A Construction of Montemayor-Herrera Road, Naujan, Oriental Mindoro 1.  The Provincial Government of Oriental Mindoro (PGOM) through the 20% Development Fund – SB #1 intends to apply the sum of Four Million Nine Hun</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</si>
  <si>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</si>
  <si>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ANTIBACTERIALS 1. Amikacin 125mg/mL, 2mL ampule, box of 10's ……………………………… 60 bxs. 2. Ampicillin+Sulbactam 1g/500mg vial ………………………………………….. 500 pcs. 3. Ampicillin+Sulbactam 500mg/250mg vial …………………………………….. 500 pcs. 4. Ampicillin Na 1g injection Vial, 10's</t>
  </si>
  <si>
    <t xml:space="preserve"> INVITATION TO BID IB NO. CW 2020 –  112-A Concreting of Road at Sitio Quinaban, San Jose, Bongabong, Oriental Mindoro 1.  The Provincial Government of Oriental Mindoro (PGOM) through the 20% Development Fund – SB #1 intends to apply the sum of Four Millio</t>
  </si>
  <si>
    <t xml:space="preserve"> 3005 pcs Lamao Seedling 3025 pcs Guimaras Seedling 2505 pcs Sweet Elena Seedling</t>
  </si>
  <si>
    <t xml:space="preserve"> INVITATION TO BID IB NO. CW 2020 –  109-A Construction of Day Care Center at Sampaguita, Victoria, Or. Mindoro 1.  The Provincial Government of Oriental Mindoro (PGOM) through the 20% Development Fund – SB #1 intends to apply the sum of One Million Three </t>
  </si>
  <si>
    <t xml:space="preserve"> INVITATION TO BID IB NO. CW 2020 –  110-A Upgrading of Naujan Community Hospital Electrical System, Naujan, Oriental Mindoro 1.  The Provincial Government of Oriental Mindoro (PGOM) through the General Fund – SB #1 intends to apply the sum of Two Million </t>
  </si>
  <si>
    <t xml:space="preserve"> INVITATION TO BID IB NO. CW 2020 –  111-A Construction of Senior Citizen’s Building at Calocmoy, Socorro, Oriental Mindoro 1.  The Provincial Government of Oriental Mindoro (PGOM) through the 20% Development Fund – SB #1 intends to apply the sum of One Mi</t>
  </si>
  <si>
    <t xml:space="preserve"> Republic of the Philippines PROVINCE OF SOUTHERN LEYTE Maasin City Invitation to Bid for the Cluster: Swine Enterprises Development: Three (3) Units Hogstel Project (Maasin City, Malitbog, Padre Burgos) Barangay Hantag, Maasin City, Southern Leyte Baranga</t>
  </si>
  <si>
    <t xml:space="preserve"> Republic of the Philippines PROVINCE OF SOUTHERN LEYTE Maasin City Invitation to Bid for the Cluster: Swine Enterprises Development: Four (4) Units Hogstel Project (Pacific Area) Barangay Somoje, San Juan, Southern Leyte Barangay Look Anahawan, Southern L</t>
  </si>
  <si>
    <t xml:space="preserve"> Item 105- Sub-grade preparation: Qty.= 116.0 sq.m. 29 linear meters, A. Equipment Rental: one (01)  unit motorized grader, one (01) unit vibratory road roller, B. Labor: foreman, skilled laborer and laborer. Item 200 -aggregate Sub-base Course: A. Materia</t>
  </si>
  <si>
    <t xml:space="preserve"> MINI ELECTRIC VEHICLES 1.	SOLAR-ELECTRIC COMBI POWERED GOLF-CART TYPE VEHICLE……………………………………………….6 UNITS MOTOR: 1000W CONTROLLER: 60V18TUBE CAR SIZE: 2900*1060*2100mm SIZE OF THE CAR: 1370*1060*2100mm REAR SEAT SIZE: 360*930mm DRIVER SEAT SIZE: 760*330mm H</t>
  </si>
  <si>
    <t xml:space="preserve"> Republic of the Philippines CITY OF LAPU-LAPU BIDS AND AWARDS COMMITTEE Invitation to Bid FOR THE PROCUREMENT of GASOLINE AND DIESEL The City of Lapu-Lapu through the MOOE FUND 1061-5-02-03-090 intends to apply the sum of Seven Million Six Hundred Sixty-E</t>
  </si>
  <si>
    <t xml:space="preserve"> 1.	The DepED-Division of Lapu-Lapu City, through the DepED Trust Fund intends to apply the sum of Twenty-Three Million One Hundred Forty-Two Thousand Four Hundred Fifty-Two Pesos and Forty Centavos Only (P 23,142,452.40) being the Approved Budget for the </t>
  </si>
  <si>
    <t xml:space="preserve"> 2. Procurement ID/Contract ID:	20GD0113 Contract Name:	BASIC EDUCATIONAL FACILITIES FUND (BEFF) CONSTRUCTION OF ELEMENTARY AND SECONDARY CLASSROOMS – CONSTRUCTION OF 2STY4CL, TANZA ES, ROXAS CITY, CAPIZ Contract Location:	Roxas City, Capiz Brief Descripti</t>
  </si>
  <si>
    <t xml:space="preserve"> INVITATION TO BID IB NO. CW 2020 –  108-A Repair/Rehabilitation of Fence at Bansud Provincial Jail at Pag-asa, Bansud, Oriental Mindoro 1.  The Provincial Government of Oriental Mindoro (PGOM) through the General Fund – SB #1 intends to apply the sum of O</t>
  </si>
  <si>
    <t xml:space="preserve"> INVITATION TO BID    SUPPLY AND DELIVERY OF BRAND NEW 46,026 PAIRS ARMY COMBAT BOOTS, SUEDE, FIELD USE AND 24,400 PAIRS ARMY COMBAT BOOTS, SUEDE URBAN USE FOR THE PHILIPPINE ARMY (PA)  Bid Reference No. MPG-BI-2020-344     1. The Philippine International </t>
  </si>
  <si>
    <t xml:space="preserve"> Republic of the Philippines PROVINCE OF SOUTHERN LEYTE Maasin City Invitation to Bid for the Cluster: Swine Enterprises Development: Three (3) Units Hogstel Project (Sogod Bay Area) Barangay Bugasong, Libagon, Southern Leyte Barangay Buenavista, Bontoc, S</t>
  </si>
  <si>
    <t xml:space="preserve"> I.    CONCRETE PAVEMENT  =       36.90 cu.m. II.   RCPC    =    6 PCS.</t>
  </si>
  <si>
    <t xml:space="preserve"> Republic of the Philippines                                                              Province of Isabela                                                  MUNICIPALITY OF DELFIN ALBANO                               delfinalbano_gc@yahoo.com/gcdelfinalb</t>
  </si>
  <si>
    <t xml:space="preserve"> PLS. SEE ATTACHED PURCHASE REQUISITION, TERMS OF REFERENCE, &amp; BID DOCS FOR DETAILS.</t>
  </si>
  <si>
    <t xml:space="preserve"> National Power Corporation INVITATION TO BID PUBLIC BIDDING 2020-0275 1.	The NATIONAL POWER CORPORATION (NPC), through       its        approved       Corporate Budget of CY 2020 intends to apply   the   sum   of (Please see schedule below) being the Appr</t>
  </si>
  <si>
    <t xml:space="preserve"> Invitation to Bid for   Supply of Labor &amp; Materials  For the Construction of Level II Potable Water System  Brgy. Carsuche Taal Batangas cb-infra-2020-09    1.The Municipal Government of Taal, through the Trust Fund intends to apply the sum of  Two Millio</t>
  </si>
  <si>
    <t xml:space="preserve"> August 14, 2020 - Eligibility check, issuance of bidding documents. August 14, 2020 - 11:00 AM -  Pre-bid conference at the Office of the BAC Chairman. August 26, 2020 – 11:00 AM – Submission/Opening of bids at the Office of the BAC Chairman – Mun. Hall T</t>
  </si>
  <si>
    <t xml:space="preserve"> LOCAL GOVERNMENT UNIT OF LALA	 Project Reference Number:  Name of the Project: Purchase of Office Supplies and Equipment for Lala Districts Office Location of the Project:  LALA, Lanao del Norte  									                                                  </t>
  </si>
  <si>
    <t xml:space="preserve"> 1. Procurement ID/Contract ID:	20GD0112 Contract Name:	BASIC EDUCATIONAL FACILITIES FUND (BEFF) CONSTRUCTION OF ELEMENTARY AND SECONDARY CLASSROOMS – CONSTRUCTION OF 2STY4CL, WEST VILLAFLORES ES, MA-AYON, CAPIZ Contract Location:	Maayon, Capiz Brief Descr</t>
  </si>
  <si>
    <t xml:space="preserve"> Republic of the Philippines PROVINCE OF AGUSAN DEL SUR Municipality of Sta. Josefa Invitation to Bid for   SJADS GOODS 20-13: PROCUREMENT OF IT EQUIPMENT (SEF) 					   August 08, 2020 1.	The Municipality of Sta. Josefa through the following; a.	CY 2020 SE</t>
  </si>
  <si>
    <t xml:space="preserve"> INVITATION TO BID ON THE SUPPLY, DELIVERY AND INSTALLATION OF  1 LOT INTERNET SUBSCRIPTION OF BUKIDNON STATE UNIVERSITY (RE-BIDDING) 1.	The Bukidnon State University through the Bids and Awards Committee &amp; Budget Approved by the Board of Regents 2020 [Fun</t>
  </si>
  <si>
    <t xml:space="preserve"> Republic of the Philippines Province of Eastern Samar Municipality of Balangkayan INVITATION TO BID FOR: PROVISION OF NEW DRAINAGE SYSTEM Brgy. 02 &amp; 04, Balangkayan, E. Samar August 8 - 14, 2020 The Municipal Local Government Unit of Balangkayan, has rece</t>
  </si>
  <si>
    <t xml:space="preserve"> Invitation to Bid for   Supply of Labor &amp; Materials  For the Proposed Site Development of the Evacuation Center located  at Brgy. Carsuche Taal Batangas   cb-infra-2020-10     1.The Municipal Government of Taal, through the General Fund intends to apply t</t>
  </si>
  <si>
    <t xml:space="preserve"> publication of Municipal Revenue Code in two consecutive weeks and Municipal Zoning Ordinance (once) in the Newspaper (see attached)</t>
  </si>
  <si>
    <t xml:space="preserve"> The Zamboanga State College of Marine Sciences and Technology (ZSCMST), through its Bids and Awards Committee, is inviting PhilGeps registered suppliers to apply for eligibility and to submit bids for the items mentioned hereunder: B-047-2020 SUPPLY AND D</t>
  </si>
  <si>
    <t xml:space="preserve"> Republic of the Philippines DEPARTMENT OF PUBLIC WORKS AND HIGHWAYS CAMARINES SUR 5TH  DISTRICT ENGINEERING OFFICE REGIONAL OFFICE V Sta. Teresita, Baao, Camarines Sur    Republic of the Philippines DEPARTMENT OF PUBLIC WORKS AND HIGHWAYS CAMARINES SUR 5T</t>
  </si>
  <si>
    <t xml:space="preserve"> Contract ID:       20HL0113 Contract Name:  Concreting of Brgy. Malaunay to Brgy. Doddob Farm-to-Market                          Road (FMR)            Contract Location:  Brgy. Malaunay and Brgy. Dobdob, Valencia, Negros Oriental Scope of Works:  Road Con</t>
  </si>
  <si>
    <t xml:space="preserve"> MA-A2M20-003..REHAB OF GANTRY CRANE, AGUS 1 HE PLANT ABC  : P 4,944,000.00 PLACE OF DELIVERY : AGUS 1 HEP WAREHOUSE MARAWI CITY AMOUNT OF BID DOCUMENTS ; P 5,000.00</t>
  </si>
  <si>
    <t xml:space="preserve"> Republic of the Philippines National Kidney and Transplant Institute Bids and Awards Committee East Avenue, Quezon City 1100 981-0300 / 981-0400 local 1157 http://www.nkti.gov.ph/	 INVITATION TO BID for the ITB No. 20-056 Supply and Delivery of Various La</t>
  </si>
  <si>
    <t xml:space="preserve"> MG-A5C20-002..SUBMERSIBLE PUMP FOR POTABLE WATER, AGUS 4 HE PLANT ABC:P 1,200,000.00 PLACE OF DELIVERY : AGUS 4 HEP WAREHOUSE BALO-I, LANAO DEL NORTE AMOUNT OF BID DOCUMENTS : P 3,000.00</t>
  </si>
  <si>
    <t xml:space="preserve"> MG-TSE20-031..SUPPLY, DELIVERY &amp; INST. OF ELECT'L. DIST. PANEL, CIRCUIT BREAKER ,TOOLS &amp; EQPT. FOR HIGH VOLTAGE REPAIR ABC : P 1,300,000.00 PLACE OF DELIVERY : CMTSD WAREHOUSE DITUCALAN, ILIGAN CITY AMOUNT OF BID DOCUMENTS : P 3,000.00</t>
  </si>
  <si>
    <t xml:space="preserve"> 3,433  Ream    Bond Paper, A4, Substance #20	 ABC: Php858,250.00</t>
  </si>
  <si>
    <t xml:space="preserve"> MG-A7C20-027..FILTER, GOVERNOR, UNITS 3, 4 &amp; 5 FOR AGUS 6 HEP ABC  : P 3,100,000.00 PLACE OF DELIVERY  : AGUS 6 &amp; 7 HEPC WAREHOUSE MARIA CRISTINA, ILIGAN CITY AMOUNT OF BID DOCUMENTS : P 5,000.00</t>
  </si>
  <si>
    <t xml:space="preserve"> 1.	The Municipality of Dagami, through the Annual Investment Plan 2020 intends to apply the sum of Two Hundred Twenty Seven Thousand Six Hundred Sixty Five Pesos Only (227,665.00) for Lot 1 (AIP2020-medical supplies and equipment)dag2020 and Two Hundred E</t>
  </si>
  <si>
    <t xml:space="preserve"> INVITATION TO BID FOR THE Construction of River Flood Control LGU-Kabugao, Apayao 1.	The Local Government Unit of Kabugao, through Appropriation Ordinance No. 02-Series of 2019 (FY 2020 Annual Budget)   intends to apply the sum of One Million One Hundred </t>
  </si>
  <si>
    <t xml:space="preserve"> SUPPLY AND DELIVERY OF MATERIALS AND SUPLIES FOR OPERATION AND MAINTENANCE US</t>
  </si>
  <si>
    <t xml:space="preserve"> Republic of the Philippines Province of Misamis Oriental Local Government Unit of Claveria Invitation to Bid for  Concreting of 0.200 Km Junction National Highway to Sitio Tapon (Via Mat-I NHS) 1.	The Local Government Unit of Claveria, through the shares </t>
  </si>
  <si>
    <t xml:space="preserve"> MA-A2H20-019..TRANSDUCER, KW MULTI PROGRAMMABLE TRANSDUCER, AGUS 1 HE PLANT ABC  : P 1,500,000.00 PLACE OF DELIVERY : AGUS 1 HEP WAREHOUSE  MARAWI CITY AMOUNT OF BID DOCUMENTS : P3,000.00</t>
  </si>
  <si>
    <t xml:space="preserve"> INVITATION TO BID FOR THE Construction of Potable Water Supply Level II LGU-Kabugao, Apayao 1.	The Local Government Unit of Kabugao, through Appropriation Ordinance No. 02-Series of 2019 (FY 2020 Annual Budget – 20% MDF)   intends to apply the sum of One </t>
  </si>
  <si>
    <t xml:space="preserve"> MG-A5M20-071..RE-TUBING OF 7 SETS AIR COOLER, AGUS 4 HE PLANT ABC  : P 9,700,000.00 PLACE OF DELIVERY : AGUS 4 HEP WAREHOUSE BALO-I, LANAO DEL NORTE AMOUNT OF BID DOCUMENTS : P10,000.00</t>
  </si>
  <si>
    <t xml:space="preserve"> INVITATION TO BID The Barangay Langkong, Mlang, Cotabato through its Bids and Awards Committee (Bac) invites Philgeps registered suppliers to apply to bid for the Supply and Delivery of Various Materials for Gravelling of Barangay Roads. 200 aggregate Sub</t>
  </si>
  <si>
    <t xml:space="preserve"> Republic of the Philippines Province of Misamis Oriental Local Government Unit of Claveria Invitation to Bid for  Concreting of 1.0 Km Junction Panampawan to Madaguing FMR 1.	The Local Government Unit of Claveria, through the shares of LGU-Claveria from F</t>
  </si>
  <si>
    <t xml:space="preserve"> Republic of the Philippines Province of Ilocos Sur Municipality of San Juan OFFICE OF THE BIDS AND AWARDS COMMITTEE INVITATION FOR ELIGIBILITY AND TO BID The Barangay Guimod Norte ,San Juan,Ilocos Sur through the Bids and Awards Committe (BAC) invites sup</t>
  </si>
  <si>
    <t xml:space="preserve"> INVITATION TO BID Procurement of ICT Related Equipment and Peripherals, Furniture and Electronic Learning Materials for Flexible / Alternative Mode of Teaching and Learning in Batangas State University The Batangas State University, through the Supplement</t>
  </si>
  <si>
    <t xml:space="preserve"> Republic of the Philippines CARAGA Administrative Region PROVINCE OF DINAGAT ISLANDS San Jose, Dinagat Islands Bids AND AWARDS COMMITTEE Invitation to Bid  Project Name: 	CONCRETING OF ACCESS ROAD, PUROK 3 JUSTINIANA, DINAGAT Location: Brgy. Justiniana Ed</t>
  </si>
  <si>
    <t xml:space="preserve"> Republic of the Philippines PROVINCE OF ZAMBOANGA SIBUGAY Municipality of Buug BIDS AND AWARDS COMMITTEE Invitation to Bid for the Rehabiliation of Barangay Road(Guintuloan) 1. The Barangay Bawang of Buug, Zamboanga Sibugay, through the General Fund inten</t>
  </si>
  <si>
    <t xml:space="preserve"> Interested bidders may obtain further information from the City of Balanga and inspect the Bidding Documents at the address given below from 9:00 a.m. to 4:00 p.m. 5. A complete set of Bidding Documents may be acquired by interested Bidders on August 7 to</t>
  </si>
  <si>
    <t xml:space="preserve"> Republic of the Philippines CARAGA Administrative Region PROVINCE OF DINAGAT ISLANDS San Jose, Dinagat Islands Bids AND AWARDS COMMITTEE Invitation to Bid  Project Name: 	CONSTRUCTION OF 2-STOREY TOURISM INN Location: Brgy. Ferdinand, Basilisa, Dinagat Is</t>
  </si>
  <si>
    <t xml:space="preserve"> Scope of Work: I. OTHER GENERAL REQUIREMENTS II. EARTHWORKS III. REINFORCED CONCRETE WORKS IV. STEEL WORKS V. PAINTING WORKS VI. FINISHING WORKS</t>
  </si>
  <si>
    <t xml:space="preserve"> Interested bidders may obtain further information from the City of Balanga and inspect the Bidding Documents at the address given below from 9:00 a.m. to 4:00 p.m. 5. A complete set of Bidding Documents may be acquired by interested Bidders on August 7-26</t>
  </si>
  <si>
    <t xml:space="preserve"> Description:		 			Road Canal Section Length: 260 L.m		 			Type:  Grouter Riprap		 			Depth: 0.08m		 			Width, Bottom: 0.60m		 			Top: 0.80m		 			CONTRACT COST:		 1.	LOT	1	SPECIAL ITEM-GENERAL CONDITIONS	                                                    </t>
  </si>
  <si>
    <t xml:space="preserve"> Republic of the Philippines								 Department Of Public Works and Highways								 Negros Oriental 2nd District Engineering Office								 REGIONAL OFFFICE VII								 Cangmating, Sibulan, Negros Oriental								 (035)522 0635								 								 INVITATION</t>
  </si>
  <si>
    <t xml:space="preserve"> B.9	Mobilization/Demobilization	lot	all	14,371.90 803(1)	Structure Excavation (Common Soil)	162	cu.m.	74,034.00 804(1)	Embankment From Structure Excavation	155	cu.m.	35,448.50 900(1)	Structural Concrete, Class “A”	1.44	cu.m.	10,101.60 902(1)	Reinforcing S</t>
  </si>
  <si>
    <t xml:space="preserve"> 1.	The Department of Public Works and Highways Regional Office XI, Davao City, through its Bids and Awards Committee (BAC), invites bidders to submit bids for the Infra projects funded under GAA FY 2020, to wit: Contract ID 	:	20L00174 Contract Name/Locat</t>
  </si>
  <si>
    <t xml:space="preserve"> Republic of the Philippines Province of Siquijor Municipality of Maria   Invitation to Bid for Construction of Public Cemetery Comfort Room– Maria, Siquijor/MAR-00042I-2020 1.	The Local Government Unit of Maria, through the Economic Enterprise intends to </t>
  </si>
  <si>
    <t xml:space="preserve"> A4 bondpaper 50 reams 12, 500 September  Epsonk 664 ink (black) 11 pcs. 3, 300 September  Epsonk 664 ink (colored) 10 pcs. 3, 300 September</t>
  </si>
  <si>
    <t xml:space="preserve"> SCOPE OF WORK TO BE DONE		 1.0			SPECIAL ITEM		 1.1	lot	1.00	Mobilization/Demobilization	17,664.90	17,664.90 1.2	lot	1.00	Temporary Facilities (Contractor’s Bunkhouse &amp; Materials Shed)	42,955.44	42,955.44 1.3	lot	1.00	Contractor’s Safety &amp; Health	64,538.1</t>
  </si>
  <si>
    <t xml:space="preserve"> B.9	Mobilization/Demobilization	lot	all	14,370.00 803(1)	Structure Excavation (Common Soil)	483	cu.m.	200,209.80 804(1)	Embankment From Structure Excavation	438	cu.m.	100,083.00 900(1)	Structural Concrete, Class “A”	9.40	cu.m.	66,349.90 902(1)	Reinforcing</t>
  </si>
  <si>
    <t xml:space="preserve"> Republic of the Philippines Province of Leyte Municipality of Palompon oOo BIDS &amp; AWARD COMMITTEE INVITATION TO BID FOR  PROCUREMENT OF FEEDS FOR BANGOS PRODUCTION Project Identification No. 2020-2708-018 The Municipality of Palompon, through the MMK Fund</t>
  </si>
  <si>
    <t xml:space="preserve"> Republic of the Philippines CARAGA Administrative Region PROVINCE OF DINAGAT ISLANDS San Jose, Dinagat Islands Bids AND AWARDS COMMITTEE Invitation to Bid  Project Name: 	CONCRETING OF ACCESS ROAD, CONALES STREET, MABINI, TUBAJON Location: Brgy. Mabini, T</t>
  </si>
  <si>
    <t xml:space="preserve"> PROCUREMENT OF WELL-MILLED RICE FOR STOCKPILING - 75,000.00						 1	30.00	SACK	WELL MILLED RICE (50KG)						 									 			PROCUREMENT OF GROCERY FOOD ITEMS FOR STOCKPILING - 119,000.00						 1	1000.00	PACK	NOODLES						 2	15.00	BOX	SARDINES						 3	10.00	</t>
  </si>
  <si>
    <t xml:space="preserve"> B.9	Mobilization/Demobilization	lot	all	10,779.00 803(1)	Structure Excavation (Common Soil)	210	cu.m.	95,970.00 804(1)	Embankment From Structure Excavation	198	cu.m.	45,243.00 900(1)	Structural Concrete, Class “A”	1.88	cu.m.	14,138.54 902(1)	Reinforcing S</t>
  </si>
  <si>
    <t xml:space="preserve"> 1 UNIT SERVICE VEHICLE  (SUV) 			 SPECIFICATION:	 		 2.8 V Diesel 4x4 AT			 Color - Black			 ENGINE			 Model - 1GD-FTV			 Type			       - 4 - Cylinder In-Line			       - DOHC 16 Valve			       - Variable Nozzle Turbo (VNT) with Front Mounted Intercooler		</t>
  </si>
  <si>
    <t xml:space="preserve"> Republic of the Philippines National Kidney and Transplant Institute Bids and Awards Committee East Avenue, Quezon City 1100 981-0300 / 981-0400 local 1157 http://www.nkti.gov.ph/	 INVITATION TO BID for the ITB No. 20-074 RE-BIDDING OF ONE (1) LOT SUPPLY </t>
  </si>
  <si>
    <t xml:space="preserve"> 2 units Air Conditioning Unit (1.5 HP Split Type, wall mounted with installation) 1 Unit Electric Stove (2 Burner Big) 1 Unit Washing Machine with Dryer (digital type) 10 kilos capacity 1 unit Rice Cooker 10 cups 3 Unit Exhaust Fan 5 unit wall fan 3 Units</t>
  </si>
  <si>
    <t xml:space="preserve"> INVITATION TO BID # 20-08-13 Supply and Delivery of Goods under Supplementary Feeding Program of the Department of Social Welfare and Development – National Capital Region (DSWD-NCR) 1.	The Department of Social Welfare and Development – National Capital R</t>
  </si>
  <si>
    <t xml:space="preserve"> Fabrication &amp; Installation of Project Signboard, Concrete Works, Steel Works, Masonry Works, Plastering Works, Painting Works and Embankment *****************************************************************************</t>
  </si>
  <si>
    <t xml:space="preserve"> DESCRIPTION                                             UNIT          QUANTITY A. MATERIAL COST     PORTLAND CEMENT, TYPE 1                      BAGS            224     WASHED SAND                                        CUM              15     WASHED GRAV</t>
  </si>
  <si>
    <t xml:space="preserve"> 1	2.00	UNIT	DESKTOP COMPUTER				 			Specification:				 			Core i5, 4GB DDR4 RAM, 1TB HDD, Windows 10,				 			DVD/RW2GB and RS M330, 18.5" Monitor,				 			WiFi/USB Keyboard and Mouse				 							 2	2.00	UNIT	ALL IN ONE DESKTOP				 			Specification:				 			A</t>
  </si>
  <si>
    <t xml:space="preserve"> INVITATION TO BID SUPPLY AND DELIVERY OF DIGITAL DUPLICATOR MACHINE WITH ADDITIONAL INK AND MASTER ROLL, SEF, SFADS The Municipal Government of San Francisco, Agusan del Sur, through the BIDS and AWARDS COMMITTEE (BAC) intends to apply the sum of NINE HUN</t>
  </si>
  <si>
    <t xml:space="preserve"> Invitation to Bid The LGU Alangalang, through its Bids and Awards Committee (BAC), invites prospective bidders to apply for eligibility and to bid for the hereunder project: Name of Project  : IMPROVEMENT OF TREASURY OFFICE Location             :  LGU-Ala</t>
  </si>
  <si>
    <t xml:space="preserve"> 1 Unit Television 55" Smart Led 1 Unit Television 50" Smart Led 2 Unit Television 32" Smart Led 4 Unit Visitor Chair  5 pcs. Filing Cabinet ( 4 layer metal) 24 pcs. back pack 53 pcs. Plaque (medium)</t>
  </si>
  <si>
    <t xml:space="preserve"> LOT 2				 1	kgs.	6.5	4” CWN		 2	kgs.	14	2 1/2" CWN		 3	kg.	0.1	Nylon string for layout		 4	lgths.	58	12mmø x 6.0m DSB		 5	lgths.	80	10mmø x 6.0m PSB		 6	kgs.	24	#16 G.I Tie wire		 7	pcs.	14	Hacksaw blade		 8	bags	365	Portland cement		 9	pcs.	25	PVC const.</t>
  </si>
  <si>
    <t xml:space="preserve"> 20 cases Milk 33 grams 16 packs/tie (15 packs/case) 20 cases Biscuit 33 grams (30pcs/case) 2 kilos Brown Sugar 4 Cases Sardines (100cans/case) 10 cases Noodles Instant (72pcs/case) 17 cases Milo 24 grams (8packs/tie - 42tie/case) 21 Tray Egg (medium) 36 p</t>
  </si>
  <si>
    <t xml:space="preserve"> Various Materials – Architectural, Roof, Painting &amp; Electrical Work use: 1.	6    - pcs.    – Ventilating Fan Grid – Boston Bay MV100BVS  		   -        85.00 2.	12  -pcs.    -  Aluminum Flexible Duct 4”x2.5m		      		 -       350.00 3.	11  - pcs.   -  Ceil</t>
  </si>
  <si>
    <t xml:space="preserve"> Republic of the Philippines BIDS AND AWARDS COMMITTEE Province of Iloilo Invitation to Bid Purchase of OFFICE EQUIPMENT Bid No.CDH-20-0824-B  1. The Iloilo Provincial Government, through the SUPPLEMENTAL BUDGET NO. 3, (CAPITAL OUTLAY) CY 2018 intends to a</t>
  </si>
  <si>
    <t xml:space="preserve"> Excavation, Concrete Works, Masonry Works and Plastering Works ******************************************************</t>
  </si>
  <si>
    <t xml:space="preserve"> Please see invitation to bid.</t>
  </si>
  <si>
    <t xml:space="preserve"> The Municipal Government of Bayog, Zamboanga del Sur thru its Bids and Awards Committee (BAC) invites all interested bidders for the “LOCAL ACCESS ROAD: UPGRADING (GRAVEL TO PAVED) OF BARANGAY LAMARE ROAD (Sta 0+960 – Sta 2+020)” Bayog, Zamboanga del Sur.</t>
  </si>
  <si>
    <t xml:space="preserve"> -Digital Copy Printer -Fully Automatic One drum Stencil System -60-90 Copies per minute ( 2 steps) -Resolution: 300x300 dpi -Original size: minimum 90 x 140mm/ maximun 275 x 395 mm -Image modes: Letter mode, photo mode, photo/letter mode -Print paper weig</t>
  </si>
  <si>
    <t xml:space="preserve"> Invitation to Bid for the Contract Package for the Construction of Lubnac Diversion Dam, Barangay Lubnac, Tagudin, Ilocos Sur 1.	The Local Government Unit of Tagudin, Ilocos Sur, thru its Bids and Awards Committee intends to apply the sum of Five Million </t>
  </si>
  <si>
    <t xml:space="preserve"> Portable Weigh-In-Motion (WIM) Axle Weigher Set</t>
  </si>
  <si>
    <t xml:space="preserve"> Republic of the Philippines Province of Davao Oriental City of Mati BIDS &amp; AWARDS COMMITTEE INVITATION TO BID LOT Procurement of GROCERY GOODS in Support to Individuals Under the Enhanced Community Quarantine due to COVID-19 per Presidential Proclamation </t>
  </si>
  <si>
    <t xml:space="preserve"> Billboard; Structure Excavation; Grouted Riprap; Structural Concrete; equipment requirement: Dumptruck; 8 w.d.</t>
  </si>
  <si>
    <t xml:space="preserve"> Republic of the Philippines                                                          Province of Aklan BARANGAY GUADALUPE MUNICIPALITY OF LIBACAO                                                           * * * The Barangay Council of Guadalupe, through it</t>
  </si>
  <si>
    <t xml:space="preserve"> REFER TO ATTACHED ITB NO. 013 0F 2020</t>
  </si>
  <si>
    <t xml:space="preserve"> Project	 : PROPOSED REPAIR/REHABILITATION OF DAGUPAN POST OFFICE ( PHASE I) Location: POSTAL AREA 2  –  DAGUPAN CITY, PANGASINAN SCOPE OF WORKS I.	PERMITS a.	Application for building permits and other related permits, if necessary. b.	Application for elec</t>
  </si>
  <si>
    <t xml:space="preserve"> August 14, 2020 - Eligibility check, issuance of bidding documents. August 14, 2020 - 9:00 AM -  Pre-bid conference at the Office of the BAC Chairman. August 26, 2020 – 9:00 AM – Submission/Opening of bids at the Office of the BAC Chairman – Mun. Hall Tag</t>
  </si>
  <si>
    <t xml:space="preserve"> Republic of the Philippines PROVINCE OF QUIRINO Cabarroguis -oOo- BIDS AND AWARDS COMMITTEE INVITATION TO BID FOR  Procurement of Three (3) Units Mechanical Ventilator Contract No. PB-GS-2020-012 							August 9, 2020 1.	The Bids and Awards Committee (BAC</t>
  </si>
  <si>
    <t xml:space="preserve"> Republic of the Philippines PROVINCE OF QUIRINO Cabarroguis -oOo- BIDS AND AWARDS COMMITTEE INVITATION TO BID FOR  Procurement of Laboratory Equipment (1 Unit Fully Automated Microbial Identification and Sensitivity Analyzer, 1 Unit Fully Automated Chemis</t>
  </si>
  <si>
    <t xml:space="preserve"> Furnishing of materials for the regravelling of farm to market road @ Brgy. Cagoran, Lal-lo, Cagayan</t>
  </si>
  <si>
    <t xml:space="preserve"> Sub-grade Preparation (Reshaping and grading); PCCP; Hauling; Mobilization and demobilization; Project Billboard; Equipment Requirement: Grader with scarifier; Road Roller; Water Truck (1000 gal); transit micer (5 cu.m.); Concrete Vibrator; Batching Plant</t>
  </si>
  <si>
    <t xml:space="preserve"> Republic of the Philippines Province of Northern Samar MUNICIPALITY OF PAMBUJAN BIDS AND AWARDS COMMITTEE INVITATION TO BID  FOR THE  SUPPLY AND DELIVERY OF OFFICE EQUIPMENT FOR MPDC The Local Government Unit of Pambujan, Province of Northern Samar throug</t>
  </si>
  <si>
    <t xml:space="preserve"> 3 Units Digital Duplicator (RISOGRAPH MACHINE) 1.	Bids received in excess of the ABC shall be automatically rejected at bid opening. 2.	Bidders should have completed a contract similar to the Project. The description of an eligible bidder is contained in </t>
  </si>
  <si>
    <t xml:space="preserve"> Republic of the Philippines Province of Northern Samar MUNICIPALITY OF PAMBUJAN BIDS AND AWARDS COMMITTEE INVITATION TO BID  FOR THE  PROCUREMENT OF ONE UNIT BRAND NEW AMBULANCE (PICK UP) NOT AVAILABLE IN DBM-PS The Local Government Unit of Pambujan, Prov</t>
  </si>
  <si>
    <t xml:space="preserve"> INVITATION TO BID FOR  SUPPLY AND DELIVERY OF SEVEN (7) UNITS DIGITAL PRINTING/DUPLICATING  MACHINE FOR VARIOUS COLLEGES (FOR  INSTRUCTIONAL DELIVERY VIA FLEXIBLE  LEARNING MODALITIES) 1.	The SAMAR STATE UNIVERSITY, through the IGF-Use of Income FY 2020 i</t>
  </si>
  <si>
    <t xml:space="preserve"> Republic of the Philippines Province of Bukidnon MUNICIPALITY OF BAUNGON Invitation to Bid for Construction of Baungon Municipal Hall @ Baungon, Bukidnon 1.	The Municipal Government of Baungon, Bukidnon, through the Budget for the Contract approved by the</t>
  </si>
  <si>
    <t xml:space="preserve"> INVITATION TO BID FOR THE CONSTRUCTION OF COMFORT ROOMS AT PSAU GATE 2 PB-2020-184-020 1. The Pampanga State Agricultural University, through Fund 184, intends to apply the sum of P184,557.10 being the Approved Budget for the Contract (ABC) to payment und</t>
  </si>
  <si>
    <t xml:space="preserve"> INVITATION TO BID FOR  SUPPLY AND DELIVERY OF ONE (1) SET  PRINTING PRESS SET-UP 1.	The SAMAR STATE UNIVERSITY, through the IGF-Use of Income FY 2020 intends to apply the sum of Four Million Five Hundred Thousand Pesos (PhP4,500,000.00) being the Approved</t>
  </si>
  <si>
    <t xml:space="preserve"> Republic of the Philippines Province of Iloilo Municipality of Lambunao Office of the Bids &amp; Awards Committee INVITATION TO BID/ REQUEST FOR PRICE QUOTATION Name of Project: Construction of Water Tank Concrete Pedestal (One Job) Location:  Brgy. Buri, Lam</t>
  </si>
  <si>
    <t xml:space="preserve"> Republic of the Philippines 	Province of Pangasinan 	Municipality of Infanta 	Barangay Bayambang 	BIDS AND AWARDS COMMITTEE 	 Invitation to Bid for CONCRETE PAVING OF CORPUZ ROAD (CONMTINUATION), BRGY. BAYAMBANG, INFANTA, PANGASINAN 1.	The BARANGAY BAYAMB</t>
  </si>
  <si>
    <t xml:space="preserve"> INVITATION TO BID FOR CW-ALPIP-01-2020 1.	The National Irrigation Administration – Cordillera Administrative Region (NIA-CAR), through the General Appropriations Act (GAA) 2020 intends to apply the sum of Sixty Nine Million One Hundred Thirteen Thousand O</t>
  </si>
  <si>
    <t xml:space="preserve"> INVITATION TO BID FOR CW-ALPIP-04-2020 1.	The National Irrigation Administration – Cordillera Administrative Region (NIA-CAR), through the General Appropriations Act (GAA) 2020 intends to apply the sum of Twenty Eight Million Six Hundred Eighty Two Thousa</t>
  </si>
  <si>
    <t xml:space="preserve"> Republic of the Philippines Province of Pangasinan Municipality of Infanta Barangay Bayambang BIDS AND AWARDS COMMITTEE INVITATION TO BID FOR: SUPPLY &amp; DELIVERY OF MATERIALS FOR THE CONSTRUCTION OFCOVER DRAINAGE CANAL @ PUROK 1, BRGY. BAYAMBANG, INFANTA, </t>
  </si>
  <si>
    <t xml:space="preserve"> Name of Project: PROVISION OF SIXTY NINE (69) SETS TABLE FOR AMBULANT VENDORS AT PUBLIC MARKET Location: Public Market, Pura, Tarlac ABC: Php 968,520.00 Materials 97	pcs	1'' GI pipe, sch. 40	 997	pcs	3/16'' x 1'' angle bar	 897	pcs	3/16'' x 2'' flat bar	 </t>
  </si>
  <si>
    <t xml:space="preserve"> Republic of the Philippines Province of Northern Samar MUNICIPALITY OF PAMBUJAN BIDS AND AWARDS COMMITTEE INVITATION TO BID  FOR THE  SUPPLY AND DELIVERY OF LIVESTOCK AND POULTRY FOR REHABILITATION OF TD-USMAN VICTIMS The Local Government Unit of Pambujan</t>
  </si>
  <si>
    <t xml:space="preserve"> Republic of the Philippines Province of Iloilo Municipality of Lambunao Office of the Bids &amp; Awards Committee INVITATION TO BID Name of Project: Purchase of Medical Equipments and Supplies Location: Brgy. Coto, Lambunao, Iloilo ABC: Php 453,714.98 (Suppli</t>
  </si>
  <si>
    <t xml:space="preserve"> Republic of the Philippines                                                 Province of Samar Local Government Unit Municipality of Basey Invitation to Bid 7164655/LGUBS-GD-20-1376 PROCUREMENT OF ESSENTIAL MEDICINES FOR MHO/RURAL HEALTH UNIT, BASEY, SAMAR</t>
  </si>
  <si>
    <t xml:space="preserve"> The Municipal Government of Atok, Benguet now invites bids for MDF CLUSTER 15-2020 PROJECTS AT ABIANG AND TOPDAC, ATOK, BENGUET with the following Clustered Projects: 1.	REHABILITATION OF DOMESTIC WATER SUPPLY AT BOCAO, ABIANG WITH AN ABC OF P100,000.00; </t>
  </si>
  <si>
    <t xml:space="preserve"> REPUBLIC OF THE PHILIPPINES DEPARTMENT OF FINANCE BUREAU OF INTERNAL REVENUE National Office, Diliman, Quezon City             August 7, 2020 INVITATION TO BID PUBLIC BIDDING NO.  2020-32 (GOODS)   1.	The   Bureau   of   Internal     Revenue – National Of</t>
  </si>
  <si>
    <t xml:space="preserve"> 1 unit	Defibrillator 2 units	Mechanical Ventilator 1 unit	Electro Cautery Machine 2 units	Patient Transfer/Pat Slide 1 unit	Major Surgical Set 1 unit	Videolaryngoscope 2 units	Depth of Anesthesia and Noxious Stimuli Monitor 1 unit	Laboratory Reagent Refri</t>
  </si>
  <si>
    <t xml:space="preserve"> Invitation to Bid for the Design and Build of 3-storey Administration Building with Meeting Halls in SPAMAST Malita, Davao Occidental 2nd Posting</t>
  </si>
  <si>
    <t xml:space="preserve"> Republic of the Philippines Province of Davao Oriental BIDS &amp; AWARDS COMMITTEE City of Mati INVITATION TO BID Contract No.: CW20-21 The Provincial Government of Davao Oriental through its Bids and Awards Committee (BAC), invites licensed contractors to bi</t>
  </si>
  <si>
    <t xml:space="preserve"> The construction of covered driveway and walkway will be connected from Gate 4 to the existing covered court of the Out Patient Department Building. This will serve as a canopy and protection for unpredictable weather conditions for employees, out patient</t>
  </si>
  <si>
    <t xml:space="preserve"> INVITATION TO APPLY FOR ELIGIBILITY AND TO BID FOR THE SUPPLY AND DELIVERY OF 3 UNITS HIGH-SPEED PRINTER/DIGITAL DUPLICATOR. Specifications I. Master Making/Printing Methods: High-speed digital master-making/Fully automatic printing II. Original Type: Boo</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</si>
  <si>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</si>
  <si>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CONSTRUCTION OF 52 METERS CATWALK SHED AT INEANGAN ELEMENTARY SCHOOL, DUPAX DEL NORTE, NUEVA VIZCAYA</t>
  </si>
  <si>
    <t xml:space="preserve"> 12 "Unit(s)" "Cultivator -" " Specification: 1. Hand Tractor-Multi Crop Cultivator Rated Power  a.Diesel/Gasoline : minimum, 5.22 kw, 7HP 2. Transmission : gear type 3. 2 forward &amp; 2 reverse (high &amp; low) 4. Implements &amp; accessories included : Two sided pl</t>
  </si>
  <si>
    <t xml:space="preserve"> Republic of the Philippines CARAGA Administrative Region PROVINCE OF DINAGAT ISLANDS San Jose, Dinagat Islands Bids AND AWARDS COMMITTEE Invitation to Bid  Project Name: 	COMPLETION OF PROVINCIAL GARAGE Location: Brgy. Cuarinta, San Jose, Dinagat Islands </t>
  </si>
  <si>
    <t xml:space="preserve"> Purchase of 1 unit Suzuki FB Scrum Type (RE/CE) @ Brgy. Bical, Lal-lo, Cagayan</t>
  </si>
  <si>
    <t xml:space="preserve"> 1 Handwashing Facility 1 pc</t>
  </si>
  <si>
    <t xml:space="preserve"> Republic of the Philippines CARAGA Administrative Region PROVINCE OF DINAGAT ISLANDS San Jose, Dinagat Islands Bids AND AWARDS COMMITTEE Invitation to Bid  Project Name: 	CONSTRUCTION OF LEVEL 3 WATER SYSTEM, DOŇA HELEN, LIBJO Location: Brgy. Doña Helen, </t>
  </si>
  <si>
    <t xml:space="preserve"> INVITATION TO APPLY FOR ELIGIBILITY AND TO BID THE BIDS AND AWARD COMMITTEE OF THE MUNICIPALITY OF CAIBIRAN, BILIRAN IS INVITING ALL INTERESTED BIDDERS ON ITS FORTHCOMING PUBLIC BIDDING FOR: Project Title	                : Establishment Automated Weather </t>
  </si>
  <si>
    <t xml:space="preserve"> Republic of the Philippines Province of Ilocos Sur Vigan City Invitation to Bid for the  Construction of Post-Harvest Facility at Barangay Caterman, Candon City, Ilocos Sur 1.	The Provincial Government of Ilocos Sur, through the Special Budget No. 1 (RA 7</t>
  </si>
  <si>
    <t xml:space="preserve"> Republic of the Philippines Province of Ilocos Sur Vigan City Invitation to Bid for the  Upgrading and Improvement of Lubong-Tanggaoan-Dunglayan Road at Sta. Maria, Ilocos Sur 1.	The Provincial Government of Ilocos Sur, through the GAA-Conditional Matchin</t>
  </si>
  <si>
    <t xml:space="preserve"> Republic of the Philippines Province of Ilocos Sur Vigan City Invitation to Bid for the  Concreting of Farm-to-Market Road at Sitio Anteng, Brgy. Ambulogan, Narvacan, Ilocos Sur 1.	The Provincial Government of Ilocos Sur, through the Special Budget #2 (RA</t>
  </si>
  <si>
    <t xml:space="preserve"> 1.	The Local Government Unit of Las Nieves, through the General Appropriations Act (DBP-TF) intends to apply the sum of five hundred ninety two thousand pesos only (Php 592,000.00) for Lot 1, two hundred forty nine thousand and six hundred pesos only (Php</t>
  </si>
  <si>
    <t xml:space="preserve"> 1.) 4 units Duplicating Machine with ink, master roll cuts and pedestal/table      Minimum Specifications:      -130 pages per minute print speed      -300x360 dpi print resolution      -3 rubber feed rollers      -minimum paper weight of 53gsm      -maxi</t>
  </si>
  <si>
    <t xml:space="preserve"> Purchase of Materials for 3rd &amp; 4th Quarter (Maintenance Section).</t>
  </si>
  <si>
    <t xml:space="preserve"> Republic of the Philippines PROVINCE OF SOUTHERN LEYTE Maasin City Invitation to Bid for the Procurement of Bangus Fingerlings and Feeds   Contract ID # 2020-08-28-451PG 1.	The Provincial Government of Southern Leyte through the PENRMO Agricultural and Ma</t>
  </si>
  <si>
    <t xml:space="preserve"> Electrical Materials</t>
  </si>
  <si>
    <t xml:space="preserve"> Republic of the Philippines Province of Siquijor Municipality of Maria   Invitation to Bid for Installation of 2nd Level Deck Bleacher – Maria, Siquijor/MAR-00044I-2020 1.	The Local Government Unit of Maria, through the 20% Development Fund-2020 intends t</t>
  </si>
  <si>
    <t xml:space="preserve"> Overlaying of Pre-Mix Hot Laid Asphalt, Supply &amp; Installation of Rubberized Track Surface w/complete markings &amp; revision of existing drainage system</t>
  </si>
  <si>
    <t xml:space="preserve"> Republic of the Philippines CARAGA Administrative Region PROVINCE OF DINAGAT ISLANDS San Jose, Dinagat Islands Bids AND AWARDS COMMITTEE Invitation to Bid  Project Name: 	CONCRETING OF PROVINCIAL ROAD DIEGAS TO RITA GLENDA SECTION, BASILISA Location: Brgy</t>
  </si>
  <si>
    <t xml:space="preserve"> Republic of the Philippines National Kidney and Transplant Institute Bids and Awards Committee East Avenue, Quezon City 1100 981-0300 / 981-0400 local 1157 http://www.nkti.gov.ph/	 INVITATION TO BID for the ITB No. 20-075 RE-BIDDING OF DESIGN AND BUILD OF</t>
  </si>
  <si>
    <t xml:space="preserve"> Republic of the Philippines Province of Ilocos Sur Vigan City Invitation to Bid for the  Upgrading and Improvement of Immayos-Saoang Road at San Juan, Ilocos Sur 1.	The Provincial Government of Ilocos Sur, through the GAA-Conditional Matching Grant Progra</t>
  </si>
  <si>
    <t xml:space="preserve"> Republic of the Philippines Province of Ilocos Sur Vigan City INVITATION TO BID FOR  Purchase &amp; Delivery of Bond Paper for the Reproduction of Learning Modules &amp; Self-learning Kits in Support &amp; Compliance to Basic Education 1.	The Provincial Government of</t>
  </si>
  <si>
    <t xml:space="preserve"> ALBAY 3RD DISTRICT ENGINEERING OFFICE																																														 Paulog, Ligao City																																														 																																														 																																														 INVITATION T</t>
  </si>
  <si>
    <t xml:space="preserve"> Republic of the Philippines CARAGA Administrative Region PROVINCE OF DINAGAT ISLANDS San Jose, Dinagat Islands Bids AND AWARDS COMMITTEE Invitation to Bid  Project Name: 	CONSTRUCTION OF MULTI-PURPOSE BUILDING, FERDINAND, LORETO Location: Brgy. Ferdinand,</t>
  </si>
  <si>
    <t xml:space="preserve"> Republic of the Philippines Province of Ilocos Sur Vigan City Invitation to Bid for the  Construction of Water System at ISPH-Gabriela Silang General Hospital, Tamag, Vigan City, Ilocos Sur 1.	The Provincial Government of Ilocos Sur, through the Special B</t>
  </si>
  <si>
    <t xml:space="preserve"> Republic of the Philippines PROVINCE OF SOUTHERN LEYTE Maasin City Invitation to Bid for the Procurement of Various Seeds, Planting Materials,Fertilizers, Various Pesticides &amp; Various Merchandise  Contract ID # 2020-08-28-454PG 1.	The Provincial Governmen</t>
  </si>
  <si>
    <t xml:space="preserve"> 2020 26TH PUBLIC BIDDING: PROCUREMENT OF VARIOUS MEDICAL EQUIPMENT</t>
  </si>
  <si>
    <t xml:space="preserve"> Republic of the Philippines Province of Cagayan Municipality of Sta. Praxedes BIDS AND AWARDS COMMITTEE	 Invitation to Bid Supply and Delivery of Public Utility Vehicle (Van) of Sta. Praxedes, Cagayan ITB – Goods – 2020-08-042 1.	The Local Government Unit</t>
  </si>
  <si>
    <t xml:space="preserve"> 1 Lot LANDSCAPING SUPPLIES AND MATERIALS</t>
  </si>
  <si>
    <t xml:space="preserve"> 330 Lh 6" PE Pipes 1 pc. 6" CI Gate Valve (flange type) 2 pcs. 6" CI Elbow (flange type) 1 pc. 6" CI Tee 4 pcs. 6" Air Valve 1 pc. 6"x4" Reducer 4 pcs. 4"x90° CI Elbow 1 pc. 4" Gate Valve (flange type) 1 pc. 4" CI Tee</t>
  </si>
  <si>
    <t xml:space="preserve"> Republic of the Philippines MUNICIPALITY OF ECHAGUE Province of Isabela INVITATION TO BID FOR  THE  PROCUREMENT OF GARBAGE COMPACTOR  1.	The Local Government Unit , through  the  PCF FUND (Grant) and GENERAL    FUND  Of  2020  intends to apply the sum of </t>
  </si>
  <si>
    <t xml:space="preserve"> NOTICE TO THE PUBLIC REQUEST FOR QUOTATION                                           AMP SVP-D NO: 20-08-0378C	              The University of the Philippines, Diliman (UPD) hereby informs the public that it will be procuring the following item/s through </t>
  </si>
  <si>
    <t xml:space="preserve"> Republic of the Philippines Province of Siquijor Municipality of Maria   Invitation to Bid for Construction of Water System – Maria, Siquijor/MAR-00046I-2020 1.	The Local Government Unit of Maria, through the Economic Enterprise intends to apply the sum o</t>
  </si>
  <si>
    <t xml:space="preserve"> Supply and Delivery of Medical Equipments for Veterinary Services (Biological Refrigerator – Dry Heat Sterilizer Stainless) - Order of payment for Bid Docs will be available at GSD-Head Office @ 10th Floor Makati City Hall Bldg. 2.  Look for Mr. Reden Vil</t>
  </si>
  <si>
    <t xml:space="preserve"> Republic of the Philippines PROVINCE OF SOUTHERN LEYTE Maasin City Invitation to Bid for the Procurement of Grafted Jackfruit, Various Commercial Fertilizer and Agricultural Supplies   Contract ID # 2020-08-28-452PG 1.	The Provincial Government of Souther</t>
  </si>
  <si>
    <t xml:space="preserve"> Supply and Delivery of Various Laboratory Equipment for Ospital ng Makati (6 Lots) Lot 1: Supply and Delivery of Hematology Autostainer Lot 2: Supply and Delivery of      Biosafety Cabinet Class II Lot 3: Supply and Delivery of Binocular Microscope for Re</t>
  </si>
  <si>
    <t xml:space="preserve"> Available upon request xxxxxxxxxxxxxxxxxxx</t>
  </si>
  <si>
    <t xml:space="preserve"> Supply and Delivery of Medical Equipment for Autopsy - Order of payment for Bid Docs will be available at GSD-Head Office @ 10th Floor Makati City Hall Bldg. 2.  Look for Mr. Reden Villanueva. - A  complete set of Bidding Documents will be available from </t>
  </si>
  <si>
    <t xml:space="preserve"> 1  SET     375KVA DIESEL GENERATOR     SILENT TYPE     ENGINE: NTA855-G1B CUMMINS ENGINE     ALTERNATOR: ECO38 2L4A MECC ALTE    CONTROL MODULE: DEEPSEA DSE6020/7320    3-PHASE, 60HZ, 220V     INCLUSION:     INSTALLATION (FROM GENSET TO ATS)    ELECTRICAL</t>
  </si>
  <si>
    <t xml:space="preserve"> Republic of the Philippines Province of Oriental Mindoro MUNICIPALITY OF PINAMALAYAN OFFICE OF THE BIDS AND AWARDS COMMITTEE Invitation to Bid ITB-2020-37 1.  The Municipal Government of Pinamalayan, Oriental Mindoro, through the authorized appropriations</t>
  </si>
  <si>
    <t xml:space="preserve"> Available upon request xxxxxxxxxxxxxxxxxxxx</t>
  </si>
  <si>
    <t xml:space="preserve"> 1 Lot VARIOUS MEDICINES</t>
  </si>
  <si>
    <t xml:space="preserve"> Electrical Works</t>
  </si>
  <si>
    <t xml:space="preserve"> One (1) Lot Hiring of Professional Webinar Manager for the Conduct of Bangko Sentral ng Pilipinas’ (BSP) Financial Education Stakeholders Expo on 23 to 27 November 2020, as per BSP Terms of Reference</t>
  </si>
  <si>
    <t xml:space="preserve"> Cloud Server Setup and Hosting with Local backup HCI and Server with Pre-Installed HCI for UMAK Learning Management System (LMS) - Order of payment for Bid Docs will be available at GSD-Head Office @ 10th Floor Makati City Hall Bldg. 2.  Look for Mr. Rede</t>
  </si>
  <si>
    <t xml:space="preserve"> INVITATION TO BID for Procurement of Additional Supplies for printing of modules for 2020 1.	The Pedro Pitogo Elementary School of Cadiz City, through the Schools MOOE Fund CY 2020  intends to apply the sum of Sixty-Six Thousand Five HundredPesos (Php. 66</t>
  </si>
  <si>
    <t xml:space="preserve"> Supply and Delivery of Adult Emergency and Transport Stretcher Beds - Order of payment for Bid Docs will be available at GSD-Head Office @ 10th Floor Makati City Hall Bldg. 2.  Look for Mr. Reden Villanueva. - A  complete set of Bidding Documents will be </t>
  </si>
  <si>
    <t xml:space="preserve"> The Supreme Court of the Philippines through the bids and awards committee for the Halls of Justice, intends to procure through negotiated procurement the construction of the Hall of Justice San Isidro Davao Oriental.  (Please download attachment) For mor</t>
  </si>
  <si>
    <t xml:space="preserve"> Office Supplies and Materials</t>
  </si>
  <si>
    <t xml:space="preserve"> Garbage Compactor truck: Brand New Cab Capacity: 2-3 persons w/ heating/cooling air condition Engine: fuel type,Diesel: power 120hp: displacement 2999 cc; Max speed 95kph; Chassis: 4x2 left hand drive: power steering Brand new tires, Number 6 tires &amp; 1 sp</t>
  </si>
  <si>
    <t xml:space="preserve"> INVITATION TO APPLY FOR ELIGIBILITY AND TO BID FOR THE SUPPLY AND DELIVERY OF 10 UNITS (1 HP) WINDOW TYPE AIR CONDITIONER. I. 10 UNITS - (1 HP) WINDOW TYPE AIR CONDITIONER</t>
  </si>
  <si>
    <t xml:space="preserve"> REQUEST FOR EXPRESSION OF INTEREST (REOI) FOR CONDUCT OF SUBSURFACE EXPLORATION/PRELIMINARY DETAILED ENGINEERING FOR FY 2021 REGULAR INFRASTRUCTURE, MABATO BRIDGE 1, MABATO BRIDGE 2, BALOGO BRIDGE, MALAIBA BR. 1 (B00409NR), ALANGILANAN BRIDGE, MANJUYOD BR</t>
  </si>
  <si>
    <t xml:space="preserve"> Procurement ID/Contract ID		: 	20CL0089 Contract Name	: 	Concreting of Galumayen Rd.,Brgy. Bangantalinga FMR,  Brgy. Bangantalinga,Iba, Zambales Contract Location	: 	Iba, Zambales Brief Description	: 	Construction of Concrete Road  	Approved Budget for th</t>
  </si>
  <si>
    <t xml:space="preserve"> 2 units DUPLICATING MACHINE WITH DIRECT PC CONNECTIVITY AND LASER COPIER 7 pcs. INK CARTRIDGE 800mL 7 pcs. MASTER ROLL 7 pcs. Tn118</t>
  </si>
  <si>
    <t xml:space="preserve"> Computer furniture</t>
  </si>
  <si>
    <t xml:space="preserve"> Republic of the Philippines Province of Siquijor Municipality of Maria   Invitation to Bid for Construction of Niches – Maria, Siquijor/MAR-00045I-2020 1.	The Local Government Unit of Maria, through the Economic Enterprise intends to apply the sum of Thre</t>
  </si>
  <si>
    <t xml:space="preserve"> B.9	Mobilization/Demobilization	lot	all	7,186.00 801(3)	Removal of Actual Structures/Obstruction	20	sq.m.	2,400.00 803(1)	Structure Excavation (Common Soil)	180	cu.m.	82,278.00 804(1)	Embankment From Structure Excavation	160	cu.m.	36,304.00 900(1)	Structu</t>
  </si>
  <si>
    <t xml:space="preserve"> Republic of the Philippines Province of Ilocos Sur Vigan City Invitation to Bid for the  Upgrading and Improvement of Ora-Tay-ac Road at Bantay, Ilocos Sur 1.	The Provincial Government of Ilocos Sur, through the GAA-Conditional Matching Grant Program (CMG</t>
  </si>
  <si>
    <t xml:space="preserve"> 1 THW #10 150 meters 5, 100 September  2 Circuit Breaker 60 amperes 1pc. 500 September</t>
  </si>
  <si>
    <t xml:space="preserve"> Name of Project: PROVISION OF FIFTEEN (15) SETS TABLE FOR AMBULANT VENDORS AT PUBLIC MARKET Location: Pura, Tarlac ABC: Php 211,285.86 Materials: 21	pcs	1'' GI pipe, sch. 40	 210	pcs	3/16'' x 1'' angle bar	 195	pcs	3/16'' x 2'' flat bar	 68	pcs	0.40 mm (g</t>
  </si>
  <si>
    <t xml:space="preserve"> 2 "Unit(s)" "Desktop Computer Set w/ Complete Accessories -" "Minimum Technical Specifications :          CPU Intel i7 8700K                Mother Board Z390-UD S1151    Memory 8GB 1G x 64-Bit, DDR4-2400 CL15 288-Pin DIMM HD Graphics Card GTX 1050TI Hard </t>
  </si>
  <si>
    <t xml:space="preserve"> Republic of the Philippines DEPARTMENT OF AGRICULTURE Regional Field Office IX, Zamboanga Peninsula INVITATION TO BID FOR REBIDDING OF SUPPLY AND DELIVERY OF 2,695 HEADS OF LAYER CHICKEN (RTL) 1.	The Department of Agriculture Regional Field Office IX, thr</t>
  </si>
  <si>
    <t xml:space="preserve"> Construction of 10 Units Street Lights</t>
  </si>
  <si>
    <t xml:space="preserve"> REPUBLIC OF THE PHILIPPINES PROVINCE OF BATANGAS BIDS AND AWARDS COMMITTEE Capitol Site, Batangas City INVITATION TO BID 1.	The Provincial Government of Batangas, through its Bids and Awards Committee (BAC) intends to apply the sum of ONE BILLION FOUR HUN</t>
  </si>
  <si>
    <t xml:space="preserve"> Republic of the Philippines Province of Siquijor Municipality of Maria   Invitation to Bid for Maintenance/Repair of Manpower Development Center (Repair of CR) – Maria, Siquijor/MAR-00043I-2020 1.	The Local Government Unit of Maria, through the 20% Develo</t>
  </si>
  <si>
    <t xml:space="preserve"> SEE ATTACHED TERMS OF REFERENCE</t>
  </si>
  <si>
    <t xml:space="preserve"> 1 Latex Paint (yellow)  2 gal 2 Latex  Paint (Blue) 2 gal  3 Latex  Paint (Red) 2 gal 4 Latex Paint (Black) 2 gal</t>
  </si>
  <si>
    <t xml:space="preserve"> I N V I T A T I O N   T O   B I D 2020 – 153 August 10, 2020 1.	The Provincial Government of Tarlac through the PGO - Capital Outlay - Info. and Comm. Technology Equipt.; PGO - Continuing 2019 - Computer Software intends to apply the sum of Nine Hundred F</t>
  </si>
  <si>
    <t xml:space="preserve"> INVITATION TO BID FOR CONSTRUCTION OF MULTI-PURPOSE HALL AT SALINUNGAN WEST  (INFRA 2020-18) 1.	The LOCAL GOVERNMENT UNIT OF SAN MATEO, ISABELA (LGU-SMI), through its Bids and Awards Committee  intends to apply the sum of FOUR MILLION NINE HUNDRED NINETY </t>
  </si>
  <si>
    <t xml:space="preserve"> Item 105- Sub-grade Preparation, Qty.=  140.00 sq.m., with 35.00 linear meters, a. Equipment Rental: one (01)  unit motorized road grader &amp; one (01) unit vibratory road roller, b. Labor: four (04) manpower. Item 200- aggregate sub-base course, Qty.= 33.60</t>
  </si>
  <si>
    <t xml:space="preserve"> https://drive.google.com/file/d/1ViNNLS4A9Y9n-2ODYjCmrK-2jN_TNgvV/view?usp=drivesdk</t>
  </si>
  <si>
    <t xml:space="preserve"> SOURCE OF FUND: 20% DEVELOPMENT FUND 182 SQ.M. REMOVAL OF EXISTING PAVEMENT 34.49 CU.M. ROAD EXCAVATION 172.44 SQ.M. SUBGRADE PREPARATION 25.87 CU.M. AGGREGATE BASE COURSE 36.00 CU.M. PORTLAND CEMENT CONCRETE PAVEMENT 17.85 LM REINFORCEMENT CONCRETE BOX C</t>
  </si>
  <si>
    <t xml:space="preserve"> I. MEDICINES AND SUPPLIES  1	Ferrous Sulfate tablet 2	Vitamin A 10,000 IU capsule 3	Amoxicillin 250 mg capsule 4	Amoxicillin 500 mg 5	Paracetamol 500mg 6	Paracetamol drop 15 ml 7	Paracetamol 250 mg 60 ml 8	Paracetamol Neo-Kiddie Aspilet 9	Mefenamic Acid 5</t>
  </si>
  <si>
    <t xml:space="preserve"> reproduction of module for 1st and 2nd quarter for SY 2020-2021</t>
  </si>
  <si>
    <t xml:space="preserve"> METRO SIQUIJOR WATER DISTRICT BIDS &amp; AWARDS COMMITTEE Siquijor, Siquijor The Metro Siquijor Water District (MSWD) through the Bids &amp; Awards Committee (BAC) will be undertaking the hereunder project: Name of Project: Well drilling 150 ft., 10" open bore ho</t>
  </si>
  <si>
    <t xml:space="preserve"> Republic of the Philippines PROVINCE OF PANGASINAN BIDS AND AWARD COMMITTEE (BAC) Brgy. San Jose, San Jacinto, Pangasinan Mobile No. 09176152866 INVITATION TO BID The Barangay  San Jose, San Jacinto, Pangasinan, though its Bids and Award Committee (BAC), </t>
  </si>
  <si>
    <t xml:space="preserve"> SOURCE OF FUND: SUPPLEMENTAL APPROPRIATION CY 2019-NO.1. 822.60 SQ.M. REMOVAL OF EXISTING PAVEMENT 123.39 CU.M. ROAD EXCAVATION 82.26 CU.M. AGGREGATE BASE COURSE 164.52 CU.M. PORTLAND CEMENT CONCRETE PAVEMENT 1.00 UNIT GENERAL REQUIREMENTS(SIGNBOARD, TEMP</t>
  </si>
  <si>
    <t xml:space="preserve"> Procurement of ICT Equipment Line Item no. 1 - 3 packs (3 per pack) (3 pack) AC1300 Dual Band Whole Home Mesh Wi-Fi System | Seamless Roaming Mesh WiFi | 802.11 k/v/r Supported | Mesh Router | HARDWARE FEATURES Processor: Quad-core CPU;  Interface: 2 LAN/</t>
  </si>
  <si>
    <t xml:space="preserve"> INVITATION TO BID FOR THE Construction of River Flood Control Phase II LGU-Kabugao, Apayao 1.	The Local Government Unit of Kabugao, through Appropriation Ordinance No. 02-Series of 2019 (FY 2020 Annual Budget)   intends to apply the sum of One Million Two</t>
  </si>
  <si>
    <t xml:space="preserve"> Invitation to Bid CONSTRUCTION OF DEPED TEMPORARY LEARNING SPACES (TLS)  CLUSTER 1 –  Villa Enage ES, Biliran District; Biliran NAHS, Biliran District; Biliran Science High School, Biliran District; Cabucgayan CS, Cabucgayan District; Naval NHS, Naval Dis</t>
  </si>
  <si>
    <t xml:space="preserve"> Procurement of Greenhouse (1 lot Job) 	Roofing for Greenhouse No. 1 with area 936 sqm Location: Nalook, Malay, Aklan With roofing of 200 micron Clear UVA Plastic locking system; 	Installation of 2 units Tunnel Type Greenhouse Location: Boracay Island, M</t>
  </si>
  <si>
    <t xml:space="preserve"> Republic of the Philippines Province of South Cotabato BIDS AND AWARDS COMMITTEE Capitol Compound Alunan Avenue, Koronadal City Tel. Fax No.: (083) 228-9951/228-8570 INVITATION TO BID FOR THE SUPPLY AND DELIVERY OF 25 UNITS SERVICE VEHICLE, PICK-UP TYPE, </t>
  </si>
  <si>
    <t xml:space="preserve"> FUND SOURCE: TRUST LIABILITIES- DRRM TYPES OF WORK TO BE DONE: Project billboard/ signboard/ occupational safety and health program/ structure excavation (manual excavation)/ REINFORCING STEEL BAR/ structural concrete (minor structure)/ grouted riprap (cl</t>
  </si>
  <si>
    <t xml:space="preserve"> FENCING AT CMRF</t>
  </si>
  <si>
    <t xml:space="preserve"> Invitation to Bid CY 2020 BEFF - MODERNIZATION OF ELECTRICAL SYSTEM ON-GRID SCHOOLS BATCH 2 – NAVAL CS, NAVAL DISTRICT 1  (ELEC 2020-RVIII -Biliran-006) 1.	The DepEd, SDO-Biliran through the CY 2020 SARO  intends to apply the sum of TWO MILLION SIX HUNDRE</t>
  </si>
  <si>
    <t xml:space="preserve"> The Philippine National Police (PNP) Health Service (HS) invites all PhilGEPS-accredited suppliers to apply for eligibility and to bid for the Procurement of Medical, Dental &amp; Laboratory Supplies. Approved Budget for Contract: Php819,770.02 Bid Documents </t>
  </si>
  <si>
    <t xml:space="preserve"> The Philippine National Police (PNP) Health Service (HS) invites all PhilGEPS-accredited suppliers to apply for eligibility and to bid for the Procurement of Medical, Dental &amp; Laboratory Supplies. Approved Budget for Contract: Php2,549,928.00 Bid Document</t>
  </si>
  <si>
    <t xml:space="preserve"> Republic of the Philippines Region X Province of Lanao del Norte Gov. Arsenio A. Quibranza Provincial Government Center Invitation to Bid for the CONCRETING OF RUPAGAN-PAGAYAWAN PROVINCIAL ROAD Sta. 1+778.63 -Sta. 3+770.00 Project Location: Bacolod , Lana</t>
  </si>
  <si>
    <t xml:space="preserve"> Republic of the Philippines DEPARTMENT OF PUBLIC WORKS AND HIGHWAYS CAGAYAN THIRD DISTRICT ENGINEERING OFFICE REGION II Tuguegarao City The DPWH-CAGAYAN THIRD DISTRICT ENGINEERING OFFICE, through the CY 2020 – BEFF  intends to apply the sum of P15,150,000</t>
  </si>
  <si>
    <t xml:space="preserve"> Republic of the Philippines Region X Province of Lanao del Norte Gov. Arsenio A. Quibranza Provincial Government Center Invitation to Bid for the CONCRETING OF LIANGAN-CAMP I-MAHAYAHAY  PROVINCIAL ROAD Sta. 0+000.00 - Sta. 1+050.00 Project Location: Maigo</t>
  </si>
  <si>
    <t xml:space="preserve"> INVITATION TO BID FOR THE Construction of Slope Protection LGU-Kabugao, Apayao 1.	The Local Government Unit of Kabugao, through Appropriation Ordinance No. 02-Series of 2019 (FY 2020 Annual Budget)   intends to apply the sum of Two Million Five Hundred Th</t>
  </si>
  <si>
    <t xml:space="preserve"> Project Reference Number: 20-014 Name of Project: Bidding of Supply and Delivery of Grocery Items for Stockpile Location of the Project: DWSD FO XII     INVITATION TO APPLY FOR ELIGIBILITY AND TO BID The Department of Social Welfare and Development (DSWD)</t>
  </si>
  <si>
    <t xml:space="preserve"> Procurement of Various Supplies and Construction Materials Intended for Grants and Donations</t>
  </si>
  <si>
    <t xml:space="preserve"> Supply and Delivery of Thermal Scanners and Megger Testers - Order of payment for Bid Docs will be available at GSD-Head Office @ 10th Floor Makati City Hall Bldg. 2.  Look for Mr. Reden Villanueva. - A  complete set of Bidding Documents will be available</t>
  </si>
  <si>
    <t xml:space="preserve"> ELECTRICAL MATERIALS</t>
  </si>
  <si>
    <t xml:space="preserve"> Republic of the Philippines PROVINCE OF IFUGAO Municipality of Asipulo BIDS AND AWARDS COMMITTEE INVITATION TO BID GOODS The Municipal Government of Asipulo, through the Mun. General Fund intends to apply the sum indicated in the table below, being the Ap</t>
  </si>
  <si>
    <t xml:space="preserve"> Broiler Starter	9	bags Hog Starter	14	bags Hog Grower	22	bags Hog Breeder	12	bags Lactation	11	bags Rice Bran	180	bags Corn Grits	13	bags Thyrolac	21	sachet Ecolmin	19	bottle Cecical	4	box Bexan xP 100 ml	2	bottle Malathion	6	bottle Pitoxal	8	bottle</t>
  </si>
  <si>
    <t xml:space="preserve"> INVITATION TO BID NO. GOODS-035-2020 The Provincial Government of Bataan, through the General Fund035 intends to apply the below listed procurement w/ corresponding Approved Budget of the Contract (ABC). Bids received in excess of the ABC shall be automat</t>
  </si>
  <si>
    <t xml:space="preserve"> Republic of the Philippines PROVINCE OF QUIRINO Cabarroguis -oOo- BIDS AND AWARDS COMMITTEE INVITATION TO BID FOR  Water Source Drilling at QPMC Contract No. PB-CW-2020-030 							August 7, 2020 1.	The Bids and Awards Committee (BAC) of the Provincial Gov</t>
  </si>
  <si>
    <t xml:space="preserve"> Description – Procurement and Delivery of Construction Materials for the Concreting of Roads at  1. Ligero, St., Dicabisaan West 2. Domorozo St., Dicabisagan West 3. Camiguing St., Dicabisagan West, and 4. Claravall St., Dicabisagan West and Dicabisagan E</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</si>
  <si>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</si>
  <si>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Supply &amp; delivery of one (1) unit pick-up type vehicle Specs: Engine size - 2.4L Displacement - 2.393cc Number of cylinders - 4 Number of valves - 16 Transmission Category - 6 speed automatic transmission Power Train -rear-wheel drive Max Output (HP) - 17</t>
  </si>
  <si>
    <t xml:space="preserve"> Republic of the Philippines DEPARTMENT OF HEALTH WESTERN VISAYAS Center for Health Development INVITATION TO BID FOR THE  Procurement of Water Testing Reagent and Disinfectant,  IB No. SB-2020-029 1.	The Department of Health – WV CHD, through the SA-2020-</t>
  </si>
  <si>
    <t xml:space="preserve"> Republic of the Philippines DEPARTMENT OF PUBLIC WORKS AND HIGHWAYS CAGAYAN THIRD DISTRICT ENGINEERING OFFICE REGION II Tuguegarao City The DPWH-CAGAYAN THIRD DISTRICT ENGINEERING OFFICE, through the CY 2020 – BEFF  intends to apply the sum of P30,150,000</t>
  </si>
  <si>
    <t xml:space="preserve"> INVITATION TO BID The Surigao del Sur 1st District Engineering Office, Tandag City, through its Bids and Awards Committee (BAC), invites contractors to submit bids for the following Contract: CONTRACT ID	:	20NH0094 CONTRACT NAME	:	Concreting of Brgy. Bita</t>
  </si>
  <si>
    <t xml:space="preserve"> Multi-Purpose Hall,Farm to Market Road, Flood Control, Sprinkler System</t>
  </si>
  <si>
    <t xml:space="preserve"> INVITATION TO APPLY FOR ELIGIBILITY AND TO BID FOR THE CONSTRUCTION OF ISOLATION BUILDING @ BURGOS, ISABELA. ITEM NO./WORK DESCRIPTION/QUANTITY/UNIT I.	GENERAL REQUIREMENTS - L .S. ALL II.	EARTH WORKS - 141.85 CU.M. III.	CONCRETE WORKS		 A.	FOOTING - 16.0</t>
  </si>
  <si>
    <t xml:space="preserve"> Concreting of Resettlement Center</t>
  </si>
  <si>
    <t xml:space="preserve"> Supply and Delivery of Medical Supplies (Implantable Access Port System – Power Injectable Safety Non-Coring Needle) through Ordering Agreement - Order of payment for Bid Docs will be available at GSD-Head Office @ 10th Floor Makati City Hall Bldg. 2.  Lo</t>
  </si>
  <si>
    <t xml:space="preserve"> Republic of the Philippines PROVINCE OF QUIRINO Cabarroguis -oOo- BIDS AND AWARDS COMMITTEE INVITATION TO BID FOR  Construction of Promenade Contract No. PB-CW-2020-032 							August 7, 2020 1.	The Bids and Awards Committee (BAC) of the Provincial Governm</t>
  </si>
  <si>
    <t xml:space="preserve"> Supply and Delivery of Medical Supplies (Helix Test 5.3-MIS Detergent) through Ordering Agreement - Order of payment for Bid Docs will be available at GSD-Head Office @ 10th Floor Makati City Hall Bldg. 2.  Look for Mr. Reden Villanueva. - A  complete set</t>
  </si>
  <si>
    <t xml:space="preserve"> Complete construction of (9.50mx36.00m) One (1) Storey Four (4) Classroom School Building mostly built with concrete and masonry,With PWD ramp with handrails, parapet wall on concrete gutter and  Complete with electrical works, sanitary plumbing works and</t>
  </si>
  <si>
    <t xml:space="preserve"> FURNISHING OF LABOR, MATERIALS AND EQUIPMENT RENTALS FOR THE CORE LOCAL ACCESS ROAD (SUPA-CANSILAYAN CIRCUMFERENCIAL ROAD) AT BRGY. SUPA-CANSILAYAN, TIGBAUAN, ILOILO.</t>
  </si>
  <si>
    <t xml:space="preserve"> Republic of the Philippines Province of Oriental Mindoro MUNICIPALITY OF PINAMALAYAN OFFICE OF THE BIDS AND AWARDS COMMITTEE Invitation to Bid ITB-2020-38 1.  The Municipal Government of Pinamalayan, Oriental Mindoro, through the authorized appropriations</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</si>
  <si>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</si>
  <si>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4 "Lot(s)" "Venue Rental -" "(Without Aircon) Catering Services 100 "Pax(s)" "Catering Services - Catering Services" "FIRST DAY AM SNACKS  Menu : - Egg Sandwich - Pineapple Juice LUNCH Menu : - Pork Steak - Fish Fillet - Canton Guisado - Rice - Soft drink</t>
  </si>
  <si>
    <t xml:space="preserve"> Section I. Invitation to Bid                                             	Republic of the Philippines                                             Municipality of Kalayaan                                             Province of Palawan 	Bids and Awards Com</t>
  </si>
  <si>
    <t xml:space="preserve"> INVITATION TO BID HAULING OF RESIDUAL WASTE ITB 2020-08-042 (GOODS) 1. 	The Municipality of Tuba, through the Budget for the contract approved by the Sangguniang Bayan for CY 2020 intends to apply the sum of One Million Five Hundred Thousand Pesos (Php 1,</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</si>
  <si>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</si>
  <si>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Chicken Meat Production for Food Sufficiency amidst the threat of Covid-19 Pandemic 5,000 head- One-day old chick mixed breed (immunized) 7 bag- Chick Booster 42 bag- Broiler Starter 5 bag- La Sota 650 Sachet- Antibiotic(24grms) 600 Sachet-Electrolytes (2</t>
  </si>
  <si>
    <t xml:space="preserve"> INVITATION TO BID The Iligan City Government Bids and Awards Committee (BAC), invites contractors registered by the Philippine Contractors Accreditation Board (PCAB) to bid for the hereunder contract: Name of Project 	  : Construction of Leachate Treatmen</t>
  </si>
  <si>
    <t xml:space="preserve"> 1500 "Piece(s)" "Bag Backpack -" "Bag, Backpack printed with Maasin City Logo  (color : combination of Fushia pink and black; height -16 inches; thickness - 8 inches; logo should be printed in colored; pls see attached design for reference)" 2700 "Piece(s</t>
  </si>
  <si>
    <t xml:space="preserve"> Supply and Delivery of Various Office Equipment and Supplies for Various Departments/Offices of City Government of Makati - Order of payment for Bid Docs will be available at GSD-Head Office @ 10th Floor Makati City Hall Bldg. 2.  Look for Mr. Reden Villa</t>
  </si>
  <si>
    <t xml:space="preserve"> Republic of the Philippines DEPARTMENT OF HEALTH WESTERN VISAYAS Center for Health Development INVITATION TO BID FOR THE  Procurement of Laboratory Supplies for TB Infection Control, IB No. SB-2020-032 1.	The Department of Health – WV CHD, through the PHM</t>
  </si>
  <si>
    <t xml:space="preserve"> Republic of the Philippines PROVINCIAL GOVERNMENT OF EASTERN SAMAR Capitol Building, Borongan, Eastern Samar, 6800 Tel No. (055)-560-8312 E-mail Address: esamar.bac@gmail.com BIDS AND AWARDS COMMITTEE (BAC) INVITATION TO BID FOR RENOVATION OF QUINAPONDAN </t>
  </si>
  <si>
    <t xml:space="preserve"> 1	TONER/ INK DCP T710W, BROTHER, ORIGINAL, ASSORTED COLORS	6	SET		 2,000.00  2	TONER HP 55A BLACK/ HP M552, ASSORTED COLORS (ORIGINAL, NOT REFILL)	1	SET		 45,000.00  3	WIRELESS ADAPTER USB, TP LINK, DUAL BAND	4	UNIT		 750.00</t>
  </si>
  <si>
    <t xml:space="preserve"> Republic of the Philippines PROVINCE OF SOUTHERN LEYTE Maasin City Invitation to Bid for the Procurement of Various Information Technology Equipment &amp; Construction Materials  Contract ID # 2020-08-28-455PG 1.	The Provincial Government of Southern Leyte th</t>
  </si>
  <si>
    <t xml:space="preserve"> Republic of the Philippines PROVINCE OF QUIRINO Cabarroguis -oOo- BIDS AND AWARDS COMMITTEE INVITATION TO BID FOR  Improvement of Hostel A at QWC Contract No. PB-CW-2020-031 							August 7, 2020 1.	The Bids and Awards Committee (BAC) of the Provincial Go</t>
  </si>
  <si>
    <t xml:space="preserve"> INVITATION TO BID The Iligan City Government Bids and Awards Committee (BAC), invites contractors registered by the Philippine Contractors Accreditation Board (PCAB) to bid for the hereunder contract: Name of Project 	  : Procurement of Electro-Mechanical</t>
  </si>
  <si>
    <t xml:space="preserve"> Invitation to Bid for the Construction of ASCOM Facilities at Camp Aquino, Tarlac for the Bases Conversion and Development Authority (BCDA) Public Bidding No. 20-022-3 1. The Bases Conversion and Development Authority (BCDA) and the Procurement Service – </t>
  </si>
  <si>
    <t xml:space="preserve"> Republic of the Philippines PROVINCE OF QUIRINO Cabarroguis -oOo- BIDS AND AWARDS COMMITTEE INVITATION TO BID FOR  Construction of 10,000 Gals. Elevated Water Tank for Dialysis at QPMC Contract No. PB-CW-2020-034 							August 7, 2020 1.	The Bids and Awar</t>
  </si>
  <si>
    <t xml:space="preserve"> Republic of the Philippines Province of Oriental Mindoro MUNICIPALITY OF PINAMALAYAN OFFICE OF THE BIDS AND AWARDS COMMITTEE Invitation to Bid ITB-2020-41 1.  The Municipal Government of Pinamalayan, Oriental Mindoro, through the authorized appropriations</t>
  </si>
  <si>
    <t xml:space="preserve"> Republic of the Philippines Province of Leyte Municipality of Hilongos INVITATION TO BID FOR THE PROCUREMENT OF HANDHELD RADIO 1.  The Local Government Unit of Hilongos, through GENERAL FUND-SUPPLEMENTAL BUDGET NO. 2020-06 intends to apply the sum ONE HUN</t>
  </si>
  <si>
    <t xml:space="preserve"> Republic of the Philippines PROVINCE OF BILIRAN Municipality of Naval – 6560 Project Reference Number: ITB No. 20-31     INVITATION TO BID FOR THE SUPPLY AND DELIVERY  OF 909 SACKS COMMERCIAL RICE 	1.	The Provincial Government of Biliran through PCSO, int</t>
  </si>
  <si>
    <t xml:space="preserve"> Republic of the Philippines PROVINCE OF QUIRINO Cabarroguis -oOo- BIDS AND AWARDS COMMITTEE INVITATION TO BID FOR  Installation of 10,000 Gallons Capacity Stainless Water Tank and Main Pipelines for Public Grandstand,  VIP Grandstand and other Facilities </t>
  </si>
  <si>
    <t xml:space="preserve"> Republic of the Philippines Province of Siquijor Municipality of Maria INVITATION TO BID FOR Procurement of Submersible Water Pump and Its Accessories – Maria, Siquijor / MAR-00047G-2020 1.	The LGU – Municipality of Maria, through the 20% Development Fund</t>
  </si>
  <si>
    <t xml:space="preserve"> INVITATION TO BID FOR THE  SUPPLY AND DELIVERY  OF VARIOUS GENERATOR SETS  1.	The Metro Lipa Water District (MLWD), through its 2020 Annual Procurement Plan intends to apply the sum of Six Million Three Hundred Thousand Pesos  (P 6,300,000.00) being the A</t>
  </si>
  <si>
    <t xml:space="preserve"> INVITATION FOR NEGOTIATED PROCUREMENT UNDER TWO-FAILED BIDDING  CONSULTING SERVICES FOR THE REVIEW AND UPDATING OF THE STUDY ON THE FLUCTUATION FACTORS (K) AND PARAMETRIC FORMULA UNDER THE REVISED CONTRACT PRICE ESCALATION GUIDELINES AND THE UPDATING OF T</t>
  </si>
  <si>
    <t xml:space="preserve"> Republic of the Philippines PROVINCIAL GOVERNMENT OF EASTERN SAMAR Capitol Building, Borongan, Eastern Samar, 6800 Tel No. (055)-560-8312 E-mail Address: esamar.bac@gmail.com BIDS AND AWARDS COMMITTEE (BAC) INVITATION TO BID FOR THE  PROCUREMENT OF MEDICA</t>
  </si>
  <si>
    <t xml:space="preserve"> Republic of the Philippines DEPARTMENT OF HEALTH WESTERN VISAYAS Center for Health Development INVITATION TO BID FOR THE  Procurement of Drugs and Medicines,  IB No. SB-2020-034 1.	The Department of Health – WV CHD, through the 2020 GOP Pooled, CONAP SAA </t>
  </si>
  <si>
    <t xml:space="preserve"> Please see attach documents</t>
  </si>
  <si>
    <t xml:space="preserve"> 1.	SCOPE OF WORK: I.	RELOCATION OF EXISTING WATER PRESSURE TANK, DEMOLITION OF EXISTING ROOF CONCRETE CANOPY AND STEEL RAILINGS (Back portion only) II.	MASONRY WORKS III.	DRY WALL PARTITION IV.	DOORS AND WINDOWS a)	Windows W1 (6.05m x 1.20m) W2 (4.05m x 2</t>
  </si>
  <si>
    <t xml:space="preserve"> Republic of the Philippines Province of Leyte Municipality of Hilongos INVITATION TO BID FOR THE PURCHASE OF PROJECTOR 1.  The Local Government Unit of Hilongos, through GENERAL FUND-CONTINUING APPROPRIATION-SUPPLEMENTAL BUDGET NO. 2019-01 intends to appl</t>
  </si>
  <si>
    <t xml:space="preserve"> Republic of the Philippines PROVINCE OF QUIRINO Cabarroguis -oOo- BIDS AND AWARDS COMMITTEE INVITATION TO BID FOR  Concreting of Front Yard at LTO Contract No. PB-CW-2020-035 							August 7, 2020 1.	The Bids and Awards Committee (BAC) of the Provincial G</t>
  </si>
  <si>
    <t xml:space="preserve"> GROUTED RIPRAP WORKS MATERIAL AND LABOR</t>
  </si>
  <si>
    <t xml:space="preserve"> Republic of the Philippines DEPARTMENT OF HEALTH WESTERN VISAYAS Center for Health Development INVITATION TO BID FOR THE  Procurement of Hospital Equipment,  IB No. SB-2020-036 1.	The Department of Health – WV CHD, through the SAA No. 2020-05-0882 fund  i</t>
  </si>
  <si>
    <t xml:space="preserve"> Republic of the Philippines Province of Oriental Mindoro MUNICIPALITY OF PINAMALAYAN OFFICE OF THE BIDS AND AWARDS COMMITTEE Invitation to Bid ITB-2020-42 1.  The Municipal Government of Pinamalayan, Oriental Mindoro, through the authorized appropriations</t>
  </si>
  <si>
    <t xml:space="preserve"> Concreting of Existing Municipal Road W-4.00 x L-212 mtr x0.15m thick pavement 2nd posting- failure of bidding due to none appearance of interested bidder.</t>
  </si>
  <si>
    <t xml:space="preserve"> Republic of the Philippines Province of Iloilo BIDS AND AWARDS COMMITTEE INVITATION TO BID Purchase ofCommunication Equipment Bid No.PPO-19-1873-B (Rebid) 1. The Iloilo Provincial Government, through the 2018CAPITAL OUTLAYintends to apply the sum of NINET</t>
  </si>
  <si>
    <t xml:space="preserve"> Republic of the Philippines Province of Leyte Municipality of Hilongos INVITATION TO BID FOR THE PROCUREMENT OF PHOTO COPIER 1.  The Local Government Unit of Hilongos, through GENERAL FUND-SUPPLEMENTAL BUDGET NO. 2020-06 intends to apply the sum NINETY TH</t>
  </si>
  <si>
    <t xml:space="preserve"> REINFORCED CONCRETE WORKS MATERIAL AND LABOR</t>
  </si>
  <si>
    <t xml:space="preserve"> Republic of the Philippines CITY OF PANABO Province of Davao del Norte BIDS AND AWARDS COMMITTEE -o0o- INVITATION TO BID 													August 7, 2020 1.	The City Government of Panabo, through the source of fund as indicated below intends to apply the sum a</t>
  </si>
  <si>
    <t xml:space="preserve"> 1	SCANNER/PRINTER (LASER, COLORED) ETC. ALL-IN-ONE MULTI FUNCTION, FAX PRINTER, COPIER, SCANNER	1	UNIT	 86,530.00</t>
  </si>
  <si>
    <t xml:space="preserve"> SUPPLY AND DELIVERY OF MATERIALS, SUPPLIES FOR OFFICE EQUIPMENTS USE.</t>
  </si>
  <si>
    <t xml:space="preserve"> Construction of Spillway with 13m. Portland Cement Concrete Pavement</t>
  </si>
  <si>
    <t xml:space="preserve"> Republic of the Philippines DEPARTMENT OF HEALTH WESTERN VISAYAS Center for Health Development INVITATION TO BID FOR THE  Procurement of Drugs and Medicines for Botika ng Bayan,  IB No. SB-2020-035 1.	The Department of Health – WV CHD, through the 2020 NC</t>
  </si>
  <si>
    <t xml:space="preserve"> 1	CABINET FILING, DOUBLE, 4 LAYERS	5	UNIT	 	 18,500.00</t>
  </si>
  <si>
    <t xml:space="preserve"> Republic of the Philippines DEPARTMENT OF HEALTH WESTERN VISAYAS Center for Health Development INVITATION TO BID FOR THE  Procurement of Lubricated Male Condoms IB No. SB-2020-033 1.	The Department of Health – WV CHD, through the SAA-2020-04-0726 fund  in</t>
  </si>
  <si>
    <t xml:space="preserve"> 1	INK REFILL FOR CONTINUOUS INK SYSTEM PRINTER, 4BOTS/SET (BLACK, YELLOW, CYAN, MAGENTA) EPSON L3110	1	SET	 4,000.00  2	RIBBON CARTRIDGE EPSON LX-310 (C13S015632), BLACK	2	PC		 2,000.00  3	TONER HP M577-BLACK, COLORED	1	SET		 60,000.00</t>
  </si>
  <si>
    <t xml:space="preserve"> Republic of the Philippines Region X Province of Lanao del Norte Gov. Arsenio A. Quibranza Provincial Government Center Invitation to Bid for the CONCRETING OF MAIGO-MENTRING-INOMA PROVINCIAL ROAD Sta. 5+237.00 -Sta. 6+007.40; Sta. 6+914.24 – Sta. 10+470.</t>
  </si>
  <si>
    <t xml:space="preserve"> 1	FUSER ASSEMBLY FOR HP LASERJET 605 SERIES	1	SET	  35,600.00  2	RIBBON CARTRIDGE EPSON LX310 (C13S015632), BLACK	6	PC		 250.00  3	TONER CARTRIDGE CF281A HP LASERJET M605	2	PC		 12,500.00  4	TONER CARTRIDGE FOR HP 600 #90A	3	PC		 12,500.00</t>
  </si>
  <si>
    <t xml:space="preserve"> Republic of the Philippines Province of Oriental Mindoro MUNICIPALITY OF PINAMALAYAN OFFICE OF THE BIDS AND AWARDS COMMITTEE Invitation to Bid ITB-2020-40 1.  The Municipal Government of Pinamalayan, Oriental Mindoro, through the authorized appropriations</t>
  </si>
  <si>
    <t xml:space="preserve"> Completion of Construction of the whole MPP Building including furniture and fixture and Construction of Car ramp.</t>
  </si>
  <si>
    <t xml:space="preserve"> Republic of the Philippines Province of Oriental Mindoro MUNICIPALITY OF PINAMALAYAN OFFICE OF THE BIDS AND AWARDS COMMITTEE Invitation to Bid ITB-2020-39 1.  The Municipal Government of Pinamalayan, Oriental Mindoro, through the authorized appropriations</t>
  </si>
  <si>
    <t xml:space="preserve"> INVITATION TO BID REFERENCE NO. 2020-08-008 1.The Department of Social Welfare and Development FO VIII, through the GAA OF CY 2020 intends to apply the sum Thirty-Nine Million, Three Hundred Seventy-Five Thousand, Eight Hundred Thirty-Five Pesos and 95/10</t>
  </si>
  <si>
    <t xml:space="preserve"> Republic of the Philippines                                                           MUNICIPALITY OF ECHAGUE                                                                  Province of Isabela INVITATION TO BID FOR  THE  CONCRETE  PAVING OF LIBERTAD-ARA</t>
  </si>
  <si>
    <t xml:space="preserve"> Supply, Delivery and Installation of Furnitures and Fixtures for Councilor’s Offices at 19F – 20F, Makati City Hall Building I - Order of payment for Bid Docs will be available at GSD-Head Office @ 10th Floor Makati City Hall Bldg. 2.  Look for Mr. Reden </t>
  </si>
  <si>
    <t xml:space="preserve"> Republic of the Philippines PROVINCE OF SOUTHERN LEYTE Maasin City Invitation to Bid for the Procurement of Various Fertilizers  Contract ID # 2020-08-28-453PG 1.	The Provincial Government of Southern Leyte through the PAGSO – Agricultural and Marine Supp</t>
  </si>
  <si>
    <t xml:space="preserve"> Supply and Delivery of Airconditioning Units - Order of payment for Bid Docs will be available at GSD-Head Office @ 10th Floor Makati City Hall Bldg. 2.  Look for Mr. Reden Villanueva. - A  complete set of Bidding Documents will be available from day of p</t>
  </si>
  <si>
    <t xml:space="preserve"> LOT 1.	MEDICINES		 	1.	Medicine, Acetylcysteine 600 mg Granules for Solution Mucolytic 	2000	sachet 	2.	Medicine, Aluminum Hydroxide, Magnesium Hydroxide, Simeticone Antacid Chewable 178mg/233mg/30mg	2000	tab 	3.	Medicine, Amoxicillin capsule 500mg 	1700	</t>
  </si>
  <si>
    <t xml:space="preserve"> REINFORCED WORKS MATERIALS AND LABOR</t>
  </si>
  <si>
    <t xml:space="preserve"> Please see attached files for reference. File names: 1. ITB - Pest Control 2. Bid Docs- Pest Control ***nothing follows***</t>
  </si>
  <si>
    <t xml:space="preserve"> INVITATION TO BID IB No. GS-2020 – 075-A Hospital/Medical Equipment for use of OMSDH/ for the Covid &amp; Non Covid patients of OMSDH 1. The  Provincial  Government  of  Oriental  Mindoro  (PGOM)  through  the  20% Development Fund CA 2019 intends  to  apply </t>
  </si>
  <si>
    <t xml:space="preserve"> Republic of the Philippines Department of National Defense PHILIPPINE VETERANS AFFAIRS OFFICE Veterans Compound Camp General Emilio Aguinaldo, Quezon City Invitation to Bid for  REPAIR/RENOVATION OF MSB BUILDING AND CONSTRUCTION OF GREEN PARK AND CAR PARK</t>
  </si>
  <si>
    <t xml:space="preserve"> INVITATION TO BID The Provincial Government of Bulacan (PGB), through its Bids and Awards Committee (BAC), invites contractors to apply for eligibility and to bid for hereunder projects: NO.	PROJECT TITLE	ABC	CONTRACT DURATION	SOURCE OF FUND GOODS-082620-</t>
  </si>
  <si>
    <t xml:space="preserve"> 1.		A4 bondpaper, sub 20 	ream	5 2.		Alcohol, 70% Ethyl 500mL 	bottle	5 3.		Alcohol, 70% Isopropyl 250mL 	bottle	24 4.		Alcohol, 75% Isopropyl 500mL 	bottle	44 5.		Alcohol, 75% Isopropyl 500mL Scented	bottle	150 6.		Ballpen-black good quality	piece	684 7.</t>
  </si>
  <si>
    <t xml:space="preserve"> INVITATION TO BID IB No. GS-2020 – 093 Chemicals and Chemical Products for OMPH patients use 1. The  Provincial  Government  of  Oriental  Mindoro  (PGOM)  through  the  Trust Fund  intends  to  apply  the  sum  of  One Million Three Hundred Thirty Seven </t>
  </si>
  <si>
    <t xml:space="preserve"> Item 103-Structural Excavation, Q= 54.00 cu.m., with 40.00 linear meters, A. Equipment Rental: one (01) unit  jackhammer, and one (01) unit concrete saw, B. Labor: ten (10) manpower, Item 404- Reinforcing Steel, Q= 1,280.79 kls. A. Materials: 16mm x 6.0m </t>
  </si>
  <si>
    <t xml:space="preserve"> Republic of the Philippines MUNICIPALITY OF KAPALONG Province of Davao del Norte 	o0o	 INVITATION TO BID 		 Supply &amp; Delivery of Other Supplies 1.	The Local Government Unit of Kapalong, through the 20% Dev’t. Fund –SB# 2- 2020  intends to apply the sum of</t>
  </si>
  <si>
    <t xml:space="preserve"> FURNISHING OF LABOR, MATERIALS AND EQUIPMENT RENTALS FOR THE CONCRETING OF LEON-OMAMBONG-CORDOVA ROAD, TIGBAUAN, ILOILO.</t>
  </si>
  <si>
    <t xml:space="preserve"> INVITATION TO BID Purchase and Delivery of Cover All and Mask Set for Front Liners ITB 2020-08-043 (GOODS) 1. 	The Municipality of Tuba, through the Budget for the contract approved by the Sangguniang Bayan for CY 2019 intends to apply the sum of Three Hu</t>
  </si>
  <si>
    <t xml:space="preserve"> INVITATION TO BID IB No. GS-2020 – 094 Chemicals and Chemical Products for use of the OMPH patients/2nd quarter 2020 1. The  Provincial  Government  of  Oriental  Mindoro  (PGOM)  through  the  Trust Fund intends  to  apply  the  sum  of  One Million Five</t>
  </si>
  <si>
    <t xml:space="preserve"> INVITATION TO BID NO. DRD-GOODS-CO-1-2020 1.	The National Irrigation Administration - Upper Pampanga River Integrated Irrigation Systems, Dam and Reservoir Division (NIA-UPRIIS, DRD). Bids received in excess of the ABC shall be automatically rejected at b</t>
  </si>
  <si>
    <t xml:space="preserve"> INVITATION TO BID IB No. GS-2020 – 092 Chemicals and Chemical Products for OMPH patients use 1. The  Provincial  Government  of  Oriental  Mindoro  (PGOM)  through  the  Trust Fund  intends  to  apply  the  sum  of  One Million Three Hundred Eighty Eight </t>
  </si>
  <si>
    <t xml:space="preserve"> Republic of the Philippines Province of Palawan Municipality of Narra INVITATION TO BID 1.	The Municipal Government of Narra, through Ord. No, 2019-904 intends to apply the sum of FOUR MILLION FIVE HUNDRED THOUSAND PESOS (PHP 4,500,000.00) being the Appro</t>
  </si>
  <si>
    <t xml:space="preserve"> 1.	The Provincial Government of Davao del Norte, through CY 2020 Annual Budget hereby invites all interested PhilGEPS registered suppliers to submit bids for the procurement of goods. Bids received in excess of the ABC shall be automatically rejected at b</t>
  </si>
  <si>
    <t xml:space="preserve"> Invitation to Bid for Supply and Delivery of Office Supplies for the Printing of Self-Learning Modules in DepED Division of Oroquieta City  1.	The DepED, Division of Oroquieta City, through the Letter of Advice of Allotment No. LAA-10-20-192 dated July 24</t>
  </si>
  <si>
    <t xml:space="preserve"> INVITATION TO BID IB No. GS-2020 – 100 Information Technology Parts and Accessories &amp; Perip for OMSDH use 1. The  Provincial  Government  of  Oriental  Mindoro  (PGOM)  through  the  General Fund CA 2019  intends  to  apply  the  sum  of  One Million Eigh</t>
  </si>
  <si>
    <t xml:space="preserve"> INVITATION TO BID IB No. GS-2020 – 096 Construction Materials and Supplies for use in the Improvement of Barangay Hall at Brgy. Bagumbayan, Roxas, Oriental Mindoro/ Repair of Kinder and Grade 1 Classroom at San Juan E/S, Brgy. Cantil Roxas, Oriental Mindo</t>
  </si>
  <si>
    <t xml:space="preserve"> Fund Source: Trust Liabilities- DRRM Types of Work to be Done: Provision of safety and health program/ provision of billboard/ removal of structures and obstruction (other than concrete)/ structure excavation/ grouted riprap, class A</t>
  </si>
  <si>
    <t xml:space="preserve"> INVITATION TO BID IB No. GS-2020 – 095 Construction Materials and Supplies for use in the Construction of SSG Office at San Teodro NHS, San Teodoro, Oriental Mindoro/ Completion of Gymnasium at Ma. Estrella E/S, Tawiran, Calapan City, Oriental Mindoro/ Co</t>
  </si>
  <si>
    <t xml:space="preserve"> Republic of the Philippines DEPARTMENT OF EDUCATION REGION VI–WESTERN VISAYAS DIVISION OF NEGROS OCCIDENTAL Cottage Road, Bacolod City Tel/Fax # - (034) 435–3960 e–mail: negros.occidental001@deped.gov.ph Website: www.depednegrosoccidental.weebly.com _____</t>
  </si>
  <si>
    <t xml:space="preserve"> INVITATION TO BID The Municipal Government of Nampicuan, through its Bids and Awards Committee (BAC), invites Contractors to apply for eligibility and to bid for the hereunder projects: Name of Project	Approved Budget of the Contract	Bid Document Fee (Non</t>
  </si>
  <si>
    <t xml:space="preserve"> INVITATION TO BID The __DEPARTMENT OF PUBLIC WORKS AND HIGHWAYS - DISTRICT ENGINEER’S OFFICE ZAMBOANGA CITY__, through its Bids and Awards Committee (BAC), invites contractors to submit bids for the following Contract: Contract ID: 20JA0094   (RE-ADVERTIS</t>
  </si>
  <si>
    <t xml:space="preserve"> Fund Source: 20% PDF 2019 Types of work to be Done: provision of billboard/ occupational safety and health program/ structure excavation/ structural concrete/ reinforcing steel bar/ forms and falseworks/ cement plaster finish/ masonry works</t>
  </si>
  <si>
    <t xml:space="preserve"> INVITATION TO BID The Iligan City Government Bids and Awards Committee (BAC), invites contractors registered by the Philippine Contractors Accreditation Board (PCAB) to bid for the hereunder contract: Name of Project 	  : Construction of Iligan’s Best Dis</t>
  </si>
  <si>
    <t xml:space="preserve"> INVITATION TO BID The Department of Public Works and Highways - Pampanga 1st District Engineering Office, through its Bids and Awards Committee (BAC), invites contractors to submit bids for the following Contract: 1.	 Procurement ID/Contract ID	:	20CG0267</t>
  </si>
  <si>
    <t xml:space="preserve"> The Municipality of Baliwag, through its Bids and Awards Committee (BAC), invites contractors to apply for eligibility and to bid the here ender project: Name of Project	:	PRINTING AND INFORMATION AND COMMUNICATION  				TECHNOLOGY (ICT) EQUIPMENT FOR VARI</t>
  </si>
  <si>
    <t xml:space="preserve"> Republic of the Philippines Province of Iloilo BIDS AND AWARDS COMMITTEE INVITATION TO BID Purchase ofOffice Equipment Bid No.PPO-20-0937-B  1. The Iloilo Provincial Government, through the 2020 CAPITAL OUTLAY intends to apply the sum of THREE HUNDRED SIX</t>
  </si>
  <si>
    <t xml:space="preserve"> a.CONTRACT  ID : ANTIPOLO-27AUGUST2020-02 b. NAME OF PROJECT : Improvement of Drainage Canal and Pavement along V.V. Soliven Avenue, Brgy. Mayamot, Antipolo City c. LOCATION : Brgy. Mayamot, Antipolo City d. BRIEF DESCRIPTION : Improvement of Drainage Can</t>
  </si>
  <si>
    <t xml:space="preserve"> supply and deliver various furniture (see attached for the list of furniture)</t>
  </si>
  <si>
    <t xml:space="preserve"> Republic of the Philippines CITY OF PANABO Province of Davao del Norte BIDS AND AWARDS COMMITTEE -o0o- INVITATION TO BID  SUPPLY OF 1 UNIT PRINTER 1.	The City of Panabo, through LSB/DEP.ED-CAPITAL OUTLAY 2020 intends to apply the sum of One Million Three </t>
  </si>
  <si>
    <t xml:space="preserve"> PROCUREMENT OF DRUGS, MEDICINES AND CHEMICAL SUPPLIES FOR THE USE OF TIGBAUAN MUNICIPAL HEALTH AND BIRTHING CENTER, TIGBAUAN, ILOILO.</t>
  </si>
  <si>
    <t xml:space="preserve"> Please see attached Bid Document</t>
  </si>
  <si>
    <t xml:space="preserve"> PROCUREMENT OF SUPPLY, DELIVERY, CONFIGURATION  AND INSTALLATION SERVICES  OF NETWORK EQUIPMENT AND INFRASTRUCTURE  FOR PSA-RSSO V OFFICE BUILDING</t>
  </si>
  <si>
    <t xml:space="preserve"> a.CONTRACT  ID : ANTIPOLO-27AUGUST2020-04 b. NAME OF PROJECT : Improvement of Drainage Canal and Concreting of Road at Portion of Napoleon Street  &amp; Louis Street, Edward VIII Street, Kingsville Subdivision, Barangay Mayamot &amp; Barangay Mambugan, Antipolo C</t>
  </si>
  <si>
    <t xml:space="preserve"> INVITATION TO BID PROCUREMENT OF BOND PAPER (A4 S-20) 					        For the Reproduction of Self-Learning Modules for Quarter 1 1.	The Schools Division Office of Catanduanes, through the General Appropriation Act (GAA) CY 2020 intends to apply the sum of  </t>
  </si>
  <si>
    <t xml:space="preserve"> PROJECT:  PERIMETER FENCE AND GATE LOCATION: BARANGAY CASTILLO, CONCEPCION, TARLAC APPROVED BUDGET FOR THE CONTRACT: PHP 522,131.33 SOURCE OF FUND: 20% BDF The contract to be performed by the successful bidder shall be specified in the Technical Quotation</t>
  </si>
  <si>
    <t xml:space="preserve"> I	10.00	UNIT	LAPTOP		 			Specifications		 			Raizen 5		 			4GB RAM		 			Quad Core, 2.1 ghz		 			1 TB Hardrive		 			128SSD		 			14" Monitor		 			Wifi &amp; Bluetooth Ready		 			with Camera		 			Windows 10</t>
  </si>
  <si>
    <t xml:space="preserve"> a.CONTRACT  ID : ANTIPOLO-27AUGUST2020-05 b. NAME OF PROJECT : Rehabilitation/Improvement/Construction of Drainage System at M. Santos Extension, Barangay San Jose, Antipolo City c. LOCATION : Barangay San Jose, Antipolo City d. BRIEF DESCRIPTION : Rehabi</t>
  </si>
  <si>
    <t xml:space="preserve"> INVITATION TO BID  The DPWH, Negros Occidental 2nd District Engineering Office, Binalbagan, Negros Occidental, through its Bids and Awards Committee (BAC), invites contractors to submit bids for the following Contract: Contract ID		:  20GL0095 Contract Na</t>
  </si>
  <si>
    <t xml:space="preserve"> CONSTRUCTION OF 1 UNIT 4STY 4LAB, SCHOOL BUILDING</t>
  </si>
  <si>
    <t xml:space="preserve"> a.CONTRACT  ID : ANTIPOLO-27AUGUST2020-07 b. NAME OF PROJECT : Construction of Drainage System Phase II at Maguey Road, Brgy. San Isidro &amp; San Luis, Antipolo City c. LOCATION : Brgy. San Isidro &amp; San Luis, Antipolo City d. BRIEF DESCRIPTION : Construction</t>
  </si>
  <si>
    <t xml:space="preserve"> a.CONTRACT  ID : ANTIPOLO-27AUGUST2020-03 b. NAME OF PROJECT : Construction of Drainage System from Frederick St., Gustavos St., Michael St. Open Space (Area 7) to Creek, Kingsville Subdivision, Brgy. Mambugan, Antipolo City c. LOCATION : Brgy. Mambugan, </t>
  </si>
  <si>
    <t xml:space="preserve"> Fund Source: 20% PDF 2020 Types of Work to be Done:  Project billboard/ signboard/ occupational safety and health program/ removal of structures and obstruction/ roadway excavation/ structure excavation (common soil)/ grouted riprap (class A)</t>
  </si>
  <si>
    <t xml:space="preserve"> a.CONTRACT  ID : ANTIPOLO-27AUGUST2020-01 b. NAME OF PROJECT : Construction of Single Barrel Box Culvert along Binoog Creek across V.V. Soliven Avenue, Brgy. Mayamot, Antipolo City c. LOCATION : Brgy. Mayamot, Antipolo City d. BRIEF DESCRIPTION : Construc</t>
  </si>
  <si>
    <t xml:space="preserve"> CONCRETING OF FARM TO MARKET ROAD</t>
  </si>
  <si>
    <t xml:space="preserve"> Invitation to Bid For   Printing of Various LANDBANK Forms 1.	The LAND BANK OF THE PHILIPPINES (LANDBANK), through its Corporate Budget for the contract approved by the Board of Directors for 2020 intends to apply the total sum of Ten Million Seven Hundre</t>
  </si>
  <si>
    <t xml:space="preserve"> Republic of the Philippines                                                        Province of Batangas                                                   Nasugbu, Batangas                                                                                    </t>
  </si>
  <si>
    <t xml:space="preserve"> Invitation to Bid for Supply and Delivery of Office Supplies and IT Equipment for the Implementation of Learning Continuity Plan in DepED Division of Oroquieta City  1.	The DepED, Division of Oroquieta City, through the 2019 Special Education Fund intends</t>
  </si>
  <si>
    <t xml:space="preserve"> a.CONTRACT  ID : ANTIPOLO-27AUGUST2020-06 b. NAME OF PROJECT : Construction of Stone Masonry Riverwall (Portion), Trash Trap and Box Culvert along Labahan Creek at Poseidon Street, Crestview Subdivision, Brgy. Cupang, Antipolo City c. LOCATION : Brgy. Cup</t>
  </si>
  <si>
    <t xml:space="preserve"> CONSTRUCTION OF 4STY 24CL SCHOOL BUUILDING</t>
  </si>
  <si>
    <t xml:space="preserve"> INVITATION TO BID  The DPWH, Negros Occidental 2nd District Engineering Office, Binalbagan, Negros Occidental, through its Bids and Awards Committee (BAC), invites contractors to submit bids for the following Contract:       Contract ID		:  20GL0096      </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</si>
  <si>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</si>
  <si>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1 CU.M DEMOLITION 25 SQ.M CLEARING &amp; LAY OUT 8 CU.M. EXCAVATION FOR STRUCTURE 10 CU.M EMBANKMENT 66 SQ.M FORMWORKS AND SCAFFOLDINGS 11 CU.M CONCRETE WORKS 1,060.50 KGS REBARS 112 SQ.M. MASONRY WORKS 136 SQ.M. PLASTERING 2.82 SQ.M TILE WORKS 1 L.S. DOORS A</t>
  </si>
  <si>
    <t xml:space="preserve"> Republic of the Philippines CITY OF PANABO Province of Davao del Norte BIDS AND AWARDS COMMITTEE -o0o- INVITATION TO BID  SUPPLY OF 5 UNITS PHOTOCOPIER 1.	The City of Panabo, through LSB/DEP.ED-CAPITAL OUTLAY 2020 intends to apply the sum of One Million O</t>
  </si>
  <si>
    <t xml:space="preserve"> Item &amp; Description							Unit of Issue	Quantity (6-23 months) Fortified Instant Cereal Baby Food Blend (Rice + Mongo) 30grams        pc		15,300 Rich Nutty Chocolate Flavored Complementary Food 25grams	      pc		5,100 (Pregnant Women) Brown Rice Bar (Ready</t>
  </si>
  <si>
    <t xml:space="preserve"> Republic of the Philippines Province of Cagayan Municipality of Camalaniugan  Barangay Catotoran Norte August 6, 2020 Invitation to Bid for the CONSTRUCTION &amp; INSTALLATION OF STREETLIGHT @ BARANGAY CATOTORAN NORTE        1.	The Barangay Catotoran Norte, t</t>
  </si>
  <si>
    <t xml:space="preserve"> Invitation to Bid for Supply and Delivery of Office Supplies and Equipment for the Implementation of Learning Continuity Plan in DepED Division of Oroquieta City  1.	The DepED, Division of Oroquieta City, through the 2019 Special Education Fund intends to</t>
  </si>
  <si>
    <t xml:space="preserve"> PROCUREMENT OF OFFICE SUPPLIES, JANITORIAL AND OTHER SUPPLIES FOR THE USE OF LGU-TIGBAUAN, ILOILO.</t>
  </si>
  <si>
    <t xml:space="preserve"> Various School forms  FORM 137 FORM 138 SF10 HEALTH CARD others Total  20,300.00</t>
  </si>
  <si>
    <t xml:space="preserve"> The Bureau of Fisheries and Aquatic Resources Region XI now invites bids for the Supply and Delivery of 6-Wheeler Light Duty Truck with Refrigerated Van, Type-4 cylinder, 5-6 speed Manual, 100L tank capacity, and displacement of 2,500-3,500 cc for BFAR XI</t>
  </si>
  <si>
    <t xml:space="preserve"> CONSTRUCTION OF CONCRETE ROAD</t>
  </si>
  <si>
    <t xml:space="preserve"> REPUBLIC of the Philippines DEPARTMENT OF PUBLIC WORKS AND HIGHWAYS CAMARINES SUR 5TH  DISTRICT ENGINEERING OFFICE REGIONAL OFFICE V Sta. Teresita, Baao, Camarines Sur INVITATION TO BID FOR The Department of Public Works and Highways Camarines Sur 5TH, Di</t>
  </si>
  <si>
    <t xml:space="preserve"> The Municipal Government of San Mariano, Isabela intends to apply the sum of Two Hundred Thousand Pesos Only (Php. 200, 000.00) chargeable against 2020 Capital Outlay (Medical Equipment)Fund being the Approved Budget for the Contract (ABC) for payment und</t>
  </si>
  <si>
    <t xml:space="preserve"> Republic of the Philippines Province of Surigao del Sur MUNICIPALITY OF TAGBINA BIDS AND AWARDS COMMITTEE  (BAC) INVITATION TO BID SUPPLY AND DELIVERY OF MATERIALS FOR THE REHABILITATION OF MUNICIPAL HALL, THIS MUNICIPALITY The municipality of Tagbina, th</t>
  </si>
  <si>
    <t xml:space="preserve"> INVITATION TO BID  The DPWH, Negros Occidental 2nd District Engineering Office, Binalbagan, Negros Occidental, through its Bids and Awards Committee (BAC), invites contractors to submit bids for the following Contract: Contract ID		:  20GL0097 Contract Na</t>
  </si>
  <si>
    <t xml:space="preserve"> Supply and delivery of various office supplies. Bidders may participate for any one or all lots: Lot 1 - Office Supplies (MPDC)    ABC - P 19, 404.95 Lot 2 - Office Supplies (MCR)      ABC - P 20, 690.00 Lot 3 - Office Supplies (Accounting Office)   ABC -</t>
  </si>
  <si>
    <t xml:space="preserve"> Invitation to Bid For Supply, Delivery and Installation of Advanced Malware Protection System with Three (3) Years Warranty and Subscription  1.	The LAND BANK OF THE PHILIPPINES (LANDBANK), through its Corporate Budget for the contract approved by the Boa</t>
  </si>
  <si>
    <t xml:space="preserve"> Republic of the Philippines PROVINCE OF ZAMBOANGA SIBUGAY Municipality of Buug BIDS AND AWARDS COMMITTEE Invitation to Bid for the Rehabiliation of Barangay Road(Delmonte) 1. The Barangay Delmonte of Buug, Zamboanga Sibugay, through the General Fund inten</t>
  </si>
  <si>
    <t xml:space="preserve"> The City Government of Naga, through the General Services Offices (GSO) budget, intends to apply the sum of One Million One Hundred Ten Thousand Six Hundred Forty (P 1,110,640.00) Pesos being the Approved Budget for the Contract (ABC) to payment under the</t>
  </si>
  <si>
    <t xml:space="preserve"> Invitation to Bid For Supply, Delivery, Installation and Configuration of Network and Security Automated Backup &amp; Recovery Solution with Hardware Infrastructure with Three (3) Years Warranty 1.	The LAND BANK OF THE PHILIPPINES (LANDBANK), through its Corp</t>
  </si>
  <si>
    <t xml:space="preserve"> Republic of the Philippines PROVINCE OF ZAMBOANGA SIBUGAY Municipality of Buug BIDS AND AWARDS COMMITTEE Invitation to Bid for the  Construction Materials for Water Tank Construction(Guminta) 1. The Barangay Guminta of Buug, Zamboanga Sibugay, through the</t>
  </si>
  <si>
    <t xml:space="preserve"> Republic of the Philippines DEPARTMENT OF AGRICULTURE Regional Field Office IX, Zamboanga Peninsula INVITATION TO BID FOR SUPPLY AND DELIVERY 21,909 BAGS OF UREA FERTILIZER 1.	The Department of Agriculture Regional Field Office IX, through the GAA (Nation</t>
  </si>
  <si>
    <t xml:space="preserve"> Invitation to Bid Rehabilitation / Improvement of DepEd School Division Office  Building , and  COA Office Building  1.	The Department of Education (DepED) Division of Zamboanga del Sur, through the TRUST FUND intends to apply the sum of Three Million, Tw</t>
  </si>
  <si>
    <t xml:space="preserve"> 1.	The Norzagaray Water District (NorWD) through its Corporate Budget for the contract approved by the governing Boards intends to apply the sum of One Million Two  Hundred  Thousand Pesos (Php. 1,200,000.00 ) a year  being the Approved Budget for the Con</t>
  </si>
  <si>
    <t xml:space="preserve"> National Power Corporation INVITATION TO BID PUBLIC BIDDING 2020-0269 1.	The NATIONAL POWER CORPORATION (NPC), through       its        approved       Corporate Budget of CY 2020 intends to apply   the   sum   of (Please see schedule below) being the Appr</t>
  </si>
  <si>
    <t xml:space="preserve"> Republic of the Philippines CITY GOVERNMENT OF ANTIPOLO Antipolo City INVITATION TO BID For the Supply &amp; Delivery of Laboratory Machine Reagents including the Lending of Laboratory Machine through Ordering Agreement Modality The City Government of Antipol</t>
  </si>
  <si>
    <t xml:space="preserve"> supply and delivery of various veterinary medicine, feeds and pet ID tags (see attached for the list of items)</t>
  </si>
  <si>
    <t xml:space="preserve"> Republic of the Philippines Department of Public Works and Highways OFFICE OF THE DISTRICT ENGINEER Catarman, Northern Samar 		Telephone No.: (055) 500-0559 Invitation to Bid For 1.	Contract ID 		: 20GIH0017       Contract Name 	: Supply and Delivery of O</t>
  </si>
  <si>
    <t xml:space="preserve"> Please see attached bid documents</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</si>
  <si>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</si>
  <si>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The City Government of Naga, through the Drugs and Medicines Account of Naga City Hospital (NCH), intends to apply the sum of Four Million Six Hundred Eighty Five Thousand Six Hundred Ninety Nine &amp; 56/100 (P 4,685,699.56) Pesos being the Approved Budget f</t>
  </si>
  <si>
    <t xml:space="preserve"> Page 1 of 3 Invitation to Bid 20GFC0044-49 Republic of the Philippines DEPARTMENT OF PUBLIC WORKS AND HIGHWAYS CAMARINES NORTE DISTRICT ENGINEERING OFFICE REGIONAL OFFICE V Daet, Camarines Norte INVITATION TO BID The Department of Public Works and Highway</t>
  </si>
  <si>
    <t xml:space="preserve"> Please see attached bid document</t>
  </si>
  <si>
    <t xml:space="preserve"> INVITATION TO BID    SUPPLY AND DELIVERY OF 11,300,000 ROUNDS BRAND NEW CTG 9MM, BALL FOR THE PHILIPPINE ARMY (PA)    Bid Reference No. MPG-BI-2020-418 Approved Budget for the Contract - ₱ 175,037,000.00    1. The Philippine International Trading Corporat</t>
  </si>
  <si>
    <t xml:space="preserve"> One Unit Brand New Rescue Transport Van, 2.5 liter inline 4, 129 HP, 356 NM Torque VGS, Automatic Transmission, 15 seaters, 65 liters fuel capacity bubble top with bilinker and siren.</t>
  </si>
  <si>
    <t xml:space="preserve"> The MINISTRY OF SOCIAL SERVICES AND DEVELOPMENT BARMM, intends to apply the sum of THREE MILLION TWO HUNDRED FORTY-SIX THOUSAND AND SIX HUNDRED PESOS (P3,246,600.00) being the Approved Budget for the Contract (ABC) to payments under the contract for the p</t>
  </si>
  <si>
    <t xml:space="preserve"> FENCING OF NEW SLAUGHTERHOUSE</t>
  </si>
  <si>
    <t xml:space="preserve"> Invitation to Bid For One (1) Lot Supply, Delivery, and Installation of 300 Units Automated Teller Machines (Thru-the-Wall Type) inclusive of a Four (4) Year Maintenance Support Services and Spare Parts 1.	The LAND BANK OF THE PHILIPPINES (LANDBANK), thro</t>
  </si>
  <si>
    <t xml:space="preserve"> INVITATION TO BID FOR  Procurement and Delivery of Materials for the Reproduction of Modules PB No. 2020-08-0053 1.	The Department of Education, Division of El Salvador City, through the General Appropriations Act CY 2020 intends to apply the sum of One M</t>
  </si>
  <si>
    <t xml:space="preserve"> Invitation to Bid for the Concreting of Box Culvert Approach  at Barangay Paranum 1.	The Municipal Government of Lal-lo, through the 20% Development Fund-Continuing Appropriation intends to apply the sum of Three Hundred Fifty-Four Thousand and Thirty Pes</t>
  </si>
  <si>
    <t xml:space="preserve"> CONSTRUCTION OF SIBUL-CEMETERY ROAD</t>
  </si>
  <si>
    <t xml:space="preserve"> FENCING AND SITE DEVELOPMENT OF NEW CEMETERY</t>
  </si>
  <si>
    <t xml:space="preserve"> Lot 1 Repair of Classrooms for Conversion to Dental Clinics under CY 2019 BEFF at Salvador CES,Salvador,LDN and Magsaysay CES, Magsaysay,LDN Contract Duration : 45 Calendar Dys ABC: Php947,264.44 Bidding Cost: 1,000.00 Lot 2 Repair of Classrooms for Conve</t>
  </si>
  <si>
    <t xml:space="preserve"> Invitation to Bid for the Construction of Protection Works  at Barangay Dalaya 	 1.	The Municipal Government of Lal-lo, through the 20% Development Fund intends to apply the sum of One Million One Hundred Eighty Thousand Pesos (Php 1,180,000.00) being the</t>
  </si>
  <si>
    <t xml:space="preserve"> REPAIR AND MAINTENANCE- MARKET (IMPROVEMENT OF MEAT SECTION)</t>
  </si>
  <si>
    <t xml:space="preserve"> The PRA now invites bids for Road Repair Works of PDMB, Asean Ave. and J.W. Diokno (Bay) Boulevard, with a total area of 3,932.68 square meters (sqm).  Completion of the Works is required within SIXTY calendar days (60 c.d.) from the receipt of Notice to </t>
  </si>
  <si>
    <t xml:space="preserve"> REPAIR AND MAINTENANCE- MARKET (IMPROVEMENT OF PROPOSED FISH SECTION)</t>
  </si>
  <si>
    <t xml:space="preserve"> PROCUREMENT OF GREENHOUSE MATERIALS (TUNNEL TYPE GREENHOUSE/NETHOUSE W/ INSTALLATION AND DELIVERY)</t>
  </si>
  <si>
    <t xml:space="preserve"> PROCUREMENT OF DRUGS AND MEDICINES</t>
  </si>
  <si>
    <t xml:space="preserve"> Republic of the Philippines                   Department of Health	       CENTRAL OFFICE BIDS AND AWARDS COMMITTEE  INVITATION TO BID FOR THE PROCUREMENT OF ADDITIONAL SERVICES FOR THE TEMPERATURE-CONTROLLED PACKAGING AND TRANSPORT OF VACCINES INCLUDING D</t>
  </si>
  <si>
    <t xml:space="preserve"> PROCUREMENT OF GENERATOR SET</t>
  </si>
  <si>
    <t xml:space="preserve"> Please see attached link for bidding documents: https://drive.google.com/file/d/1gR_O-zEf_Skq8FbOzNEOPhGECHRIgTpM/view?usp=drivesdk ------------------------------------------------------------------------------------------------------------ INVITATION TO </t>
  </si>
  <si>
    <t xml:space="preserve"> Republic of the Philippines                   Department of Health	       CENTRAL OFFICE BIDS AND AWARDS COMMITTEE  INVITATION TO BID FOR THE PROCUREMENT OF ADDITIONAL SERVICES FOR BROKERAGE  IB NO. 2020-233 1.	The Department of Health (DOH), through the </t>
  </si>
  <si>
    <t xml:space="preserve"> Republic of the Philippines DEPARTMENT OF PUBLIC WORKS AND HIGHWAYS CAMARINES SUR 2ND DISTRICT ENGINEERING OFFICE Regional Office V Baras, Canaman, Camarines Sur INVITATION TO BID  FOR   20GFE0017 – SUPPLY OF MATERIALS FOR EROSION CONTROL, TRAFFIC SERVICE</t>
  </si>
  <si>
    <t xml:space="preserve"> Republic of the Philippines Province of Batangas MUNICIPALITY OF ALITAGTAG INVITATION TO BID FOR CONSTRUCTION/ IMPROVEMENT OF EVACUATION CENTER AT PINAGKURUSAN, ALITAGTAG, BATANGAS The Municipal Government of Alitagtag through the General Fund- Annual Bud</t>
  </si>
  <si>
    <t xml:space="preserve"> INVITATION TO BID FOR THE CATERING SERVICES FOR THE VARIOUS COMMITTEES ACTIVITIES  1.	The Provincial Government of La Union (PGLU), through the PGLU Annual Budget CY 2020 intends to apply the sum of One Million Five Hundred Forty Five Thousand Twenty Five</t>
  </si>
  <si>
    <t xml:space="preserve"> PROCUREMENT OF MEDICAL SUPPLIES</t>
  </si>
  <si>
    <t xml:space="preserve"> INVITATION TO BID FOR THE SUPPLY AND DELIVERY OF OFFICE SUPPLIES 1.	The Provincial Government of La Union (PGLU), through the PGLU Annual Budget CY 2020 (General Fund) intends to apply the sum of One Million Nine Hundred Thirty-Five Thousand Seven Hundred</t>
  </si>
  <si>
    <t xml:space="preserve"> PROCUREMENT OF ANTI RABIES</t>
  </si>
  <si>
    <t xml:space="preserve"> Invitation to Bid for Construction and Installation of Street Lights 1.	The Barangay Del Rosario, Baao, Camarines Sur, through the Budget for the contract approved by the Sangunian 2019 intends to apply the sum of Three Hundred Ninety-Three Thousand Two H</t>
  </si>
  <si>
    <t xml:space="preserve"> PHILIPPINE ARMY ARMOR (PAMBATO) DIVISION,  SPECIAL BIDS AND AWARDS COMMITTEE Camp O’Donnell, Sta. Lucia, Capas, Tarlac Invitation to Bid The Armed Forces of the Philippines, through the Special Bids and Awards Committee Armor Division, Philippine Army, in</t>
  </si>
  <si>
    <t xml:space="preserve"> PROCUREMENT OF 1 UNIT SERVICE VEHICLE</t>
  </si>
  <si>
    <t xml:space="preserve"> The MINISTRY OF SOCIAL SERVICES AND DEVELOPMENT BARMM, intends to apply the sum of ONE MILLION FOUR HUNDRED NINETY-NINE THOUSAND AND FIVE HUNDRED PESOS (P1,499,500.00) being the Approved Budget for the Contract (ABC) to payments under the contract for the</t>
  </si>
  <si>
    <t xml:space="preserve"> INVITATION TO BID FOR SUPPLY AND DELIVERY OF 2 UNITS GENERATOR SET FOR MULTI-PURPOSE CENTER 1.	The Municipal Government of Lal-lo, through the 20% Development Fund intends to apply the sum of Four Million Pesos (Php 4,000,000.00) being the Approved Budget</t>
  </si>
  <si>
    <t xml:space="preserve"> PHILIPPINE ARMY ARMOR (PAMBATO) DIVISION, SPECIAL BIDS AND AWARDS COMMITTEE Camp O’Donnell, Sta. Lucia, Capas, Tarlac Invitation to Bid The Armed Forces of the Philippines, through the Special Bids and Awards Committee Armor Division, Philippine Army, inv</t>
  </si>
  <si>
    <t xml:space="preserve"> PROCUREMENT OF 1-UNIT AMBULANCE (FULLY EQUIPPED)</t>
  </si>
  <si>
    <t xml:space="preserve"> INVITATION TO BID FOR SUPPLY AND DELIVERY OF 2 UNITS  20 KVA GENERATOR SET 1.	The Municipal Government of Lal-lo, through the LDRRMF intends to apply the sum of Six Hundred Thousand Pesos (Php 600,000.00) being the Approved Budget for the Contract (ABC) t</t>
  </si>
  <si>
    <t xml:space="preserve"> Invitation to Bid for the Construction of RHU Extension Building 1.	The Municipal Government of Lal-lo, through the 20% Development Fund-Continuing Appropriation intends to apply the sum of Seven Hundred Twenty Thousand Pesos (Php 720,000.00) being the Ap</t>
  </si>
  <si>
    <t xml:space="preserve"> 1. Procurement ID/Contract ID:	20GD0111 Contract Name:	REPAIR/MAINTENANCE OF DRAINAGE (CLUSTERED) 	                                                            1.	Repair/Maintenance of Drainage along Iloilo East Coast – Capiz Road KO106+558 (B/S) 2.	Repair</t>
  </si>
  <si>
    <t xml:space="preserve"> Contract ID No. 20OH0159 Contract Name : Proposed Construction of One (1) Unit 5-Storey Officer’s Condominium at CJVAB, Pasay City Contract Location: Pasay City	 Scope of Work: Construction of Building Source of Fund and Year: GAA 2020 Approved Budget for</t>
  </si>
  <si>
    <t xml:space="preserve"> Contract ID No. 20OH0158 Contract Name : Proposed Construction of One (1) Unit 4-Storey Transient officers Quarters at CJVAB, Pasay City Contract Location: Pasay City	 Scope of Work: Construction of Building Source of Fund and Year: GAA 2020 Approved Budg</t>
  </si>
  <si>
    <t xml:space="preserve"> Earthworks, Bridge Construction, Slope Protection Structure, Miscellaneous</t>
  </si>
  <si>
    <t xml:space="preserve"> INVITATION TO BID FOR SUPPLY AND DELIVERY OF 1 UNIT MULTI-PURPOSE VEHICLE 1.	The Municipal Government of Lal-lo, through the FY 2020 General Fund intends to apply the sum of One Million Two Hundred Thousand Pesos (Php 1,200,000.00) being the Approved Budg</t>
  </si>
  <si>
    <t xml:space="preserve"> National Power Corporation INVITATION TO BID PUBLIC BIDDING 2020-0273 1.	The NATIONAL POWER CORPORATION (NPC), through       its        approved       Corporate Budget of CY 2020 intends to apply   the   sum   of (Please see schedule below) being the Appr</t>
  </si>
  <si>
    <t xml:space="preserve"> CONSTRUCTION OF THREE-STOREY MULTI PURPOSE BUILDING (PHASE 2) ADDITIONAL WORKS/RETROFITTING/CONSTRUCTION OF BUILDING AND STRUCTURE</t>
  </si>
  <si>
    <t xml:space="preserve"> Contract ID No. 20OH0160 Contract Name : Proposed Installation of Waterline Distribution System (Phase 1-6) at CJVAB, Pasay City Contract Location: Pasay City	 Scope of Work: Installation of Waterline Distribution System Source of Fund and Year: GAA 2020 </t>
  </si>
  <si>
    <t xml:space="preserve"> GEN. REQUIREMENTS, CLEARING, LAY-OUT &amp; STAKING, EXCAVATION, BACKFILL, CONCRETE WORKS, ROOF AND ROOF FRAMING, ARCHITECTURAL, PLUMBING WORKS, ELECTRICAL WORKS</t>
  </si>
  <si>
    <t xml:space="preserve"> Department of Education Region VI-Western Visayas Division of Cadiz City Alimatoc Elementary School INVITATION TO BID FOR PROCUREMENT OF 2 SETS of PRINTER FOR 2020 1. The Alimatoc Elementary School of Cadiz City, through the Schools MOOE Fund CY 2020 inte</t>
  </si>
  <si>
    <t xml:space="preserve"> INVITATION TO APPLY FOR ELIGIBILITY AND TO BID (IAEB) August 6, 2020 The Barangay Dalaon of Molave, Zamboanga del Sur, through its Bids and Awards Committe (BAC), invites interested bidders to apply for eligibility and to bid for the hereunder project: Co</t>
  </si>
  <si>
    <t xml:space="preserve"> Republic of the Philippines DEPARTMENT OF HEALTH Center for Health Development 3 JOSE B. LINGAD MEMORIAL GENERAL HOSPITAL BIDS AND AWARDS COMMITTEE City of San Fernando, Pampanga Telephone No. (045) 961-3921/(045) 409-6688 loc 127 INVITATION TO BID FOR  P</t>
  </si>
  <si>
    <t xml:space="preserve"> Contract ID No. 20OH0156 Contract Name :  Proposed Renovation and Installation of Modular Partition at Asec. Pipo’s Office, DPWH Main Office, Bonifacio Drive, Port Area, Manila Contract Location: Manila City	 Scope of Work: Renovation of Building Source o</t>
  </si>
  <si>
    <t xml:space="preserve"> Heavy Duty Risograph Digital Duplicator machine Print Speed: 130 pages/minute(max). Paper Capacity:300x300dpi Paper Weight:46gsm to 210 gsm Master-making/printing methods: High Speed digital Masker-making/fully automatic stencil printing Image processing </t>
  </si>
  <si>
    <t xml:space="preserve"> STRAIGHT CONTRACT</t>
  </si>
  <si>
    <t xml:space="preserve"> Republic of the Philippines Province of Sarangani Municipality of Malapatan Invitation to Bid  	 2020-B2- INSTALLATION OF BASKETBALL GOAL FIBER GLASS BOARD WITH RING AT SITO PROPER BRGY. KINAM , MALAPATAN SARANGANI PROVINCE  1. The Local Government Unit o</t>
  </si>
  <si>
    <t xml:space="preserve"> Department of Education Region VI-Western Visayas Cadiz City Alimatoc Elementary School Invitation to BID for the Procurement of Improvement of Kindergarten Comfortroom 1. The Alimatoc Elementary School, through the School’s MOOE 2020 intends to apply the</t>
  </si>
  <si>
    <t xml:space="preserve"> Republic of the Philippines Province of Cagayan Municipality of Baggao INVITATION TO BID FOR THE PROCUREMENT OF GOODS The Barangay San Miguel, Baggao, Cagayan, through the Financial Assistance intends to apply the sum of Five Hundred Thousand Pesos (PHP50</t>
  </si>
  <si>
    <t xml:space="preserve"> INVITATION TO BID  PROCUREMENT OF DRUGS AND MEDICINES MRH-009-2020 1.	The Margosatubig Regional Hospital, through the funding source of REVOLVING FUND intends to apply the sum of Sixteen Million Fifty-Three Thousand Five Hundred Ninety-Three Pesos and 05/</t>
  </si>
  <si>
    <t xml:space="preserve"> Multi-Purpose Vehicle (MPV) Dual AC Euro 4 -2.2L Diesel Turbocharge and Intercooled CRDi Engine Electronic Common Rail Direct Injection  -5-speed Manual Transmission. Rigid Body design. 17 persons capacity -Independent wishbone with coil spring and stabil</t>
  </si>
  <si>
    <t xml:space="preserve"> Republic of the Philippines Province of Cagayan Municipality of Baggao INVITATION TO BID FOR THE PROCUREMENT OF GOODS The Barangay San Antonio, Baggao, Cagayan, through the Financial Assistance  intends to apply the sum of Three Hundred Fifty Thousand Pes</t>
  </si>
  <si>
    <t xml:space="preserve"> 3 units COPY PRINTER														 Type: Digital, Desktop														 Printing Process: Fully-Automatic one-drum 														      Stencil System														 Originals: Sheet (one original sheet only)														 Original Size:  Minimum 80-100 x 1</t>
  </si>
  <si>
    <t xml:space="preserve"> Republic of the Philippines     Province of Bohol     Municipality of Loon INVITATION TO BID FOR THE COMPLETION OF MULTI-PURPOSE BUILDING  (LOON TOWN SQUARE) 1.	The Local Government Unit of Loon, Bohol through its appropriation from trust fund intends to </t>
  </si>
  <si>
    <t xml:space="preserve"> Republic of the Philippines PROVINCE OF SOUTHERN LEYTE BIDS AND AWARDS COMMITTEE                                                          INVITATION TO BID Invitation to Bid for the Supply/Delivery &amp; Installation of Brand New Air Condition Units (19 Units</t>
  </si>
  <si>
    <t xml:space="preserve"> Republic of the Philippines Province of Cagayan Municipality of Baggao INVITATION TO BID FOR THE PROCUREMENT OF GOODS The Barangay San Vicente, Baggao, Cagayan, through the 20% BDF CY 2020 intends to apply the sum of One Hundred Thirty Three Thousand One </t>
  </si>
  <si>
    <t xml:space="preserve"> MATERIALS FOR THE RM OF SCHOOL FENCE</t>
  </si>
  <si>
    <t xml:space="preserve"> Contract ID No. 20OH0157 Contract Name : Proposed Repair, Renovation and Installation of Modular Partition at Usec. Ramos Office, DPWH Main Office, Bonifacio Drive, Port Area, Manila Contract Location: Manila City	 Scope of Work: Renovation of Building So</t>
  </si>
  <si>
    <t xml:space="preserve"> Invitation to Bid  Supply, Delivery and Installation of Modular Work Stations, Tables and Pantry Cabinet for POPCOM Region IV-A. 1.	The Commission on Population and Development- Region IV (POPCOM IV-A), through the 2020 General Appropriations Act (GAA) in</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</si>
  <si>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</si>
  <si>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BID FOR THE SUPPLY AND DELIVERY OF CLINICAL WEIGHING SCALE   1.	The City of Iloilo, through the 20% Development Fund CY 2020 intends to apply the sum of One Million Four Hundred Ninety-Eight Thousand Five Hundred Pesos (P1,498,500.00) being </t>
  </si>
  <si>
    <t xml:space="preserve"> 1 lot Gypsum #6x1 for wood at 100pcs per box etc.- Supply and Installation of various office equipment and furnitures Phase II NOTE:To all suppliers bid documents and BAC Resolution 2020-029  are available at BAC Office and LGU website.</t>
  </si>
  <si>
    <t xml:space="preserve"> Republic of the Philippines Province of Cagayan Municipality of Baggao INVITATION TO BID FOR THE PROCUREMENT OF GOODS The Barangay Alba, Baggao, Cagayan, through the 20% Brgy. Development Fund CY 2020 intends to apply the sum of One Hundred Seventy Four T</t>
  </si>
  <si>
    <t xml:space="preserve"> Republic of the Philippines City of Cagayan de Oro BIDS AND AWARDS COMMITTEE Invitation to Bid  for Concrete Paving of Road with Drainage at Purok XI, Tablon; SN 183 - 2020 1.	The City Government of Cagayan de Oro, through the Current Appropriation CY 202</t>
  </si>
  <si>
    <t xml:space="preserve"> Republic of the Philippines 		MUNICIPALITY OF LEYTE LEYTE -oOo- INVITATION TO BID FOR THE REPAIR/IMPROVEMENT OF CIVIC CENTER (Brgy. Culasi, Leyte, Leyte) P.R No: LL-28-20 The Municipality of Leyte, through its Bids and Awards Committee intends to apply th</t>
  </si>
  <si>
    <t xml:space="preserve"> INVITATION TO BID FOR THE SUPPLY AND DELIVERY OF ICT EQUIPMENT   1.	The City of Iloilo, through the Capital Outlay - General Fund CY 2020 intends to apply the sum of Three Million Five Hundred Thousand Four Hundred Sixty-Five Pesos (P3,500,465.00) being t</t>
  </si>
  <si>
    <t xml:space="preserve"> Republic of the Philippines City of Cagayan de Oro BIDS AND AWARDS COMMITTEE Invitation to Bid  for Construction of Drainage System Along Ramon Chaves St. from Corrales to V. Roa St., Brgy. 30; SN 186 - 2020 1.	The City Government of Cagayan de Oro, throu</t>
  </si>
  <si>
    <t xml:space="preserve"> Republic of the Philippines City of Cagayan de Oro BIDS AND AWARDS COMMITTEE Invitation to Bid  for Construction of Drainage at Bantiles Zone 1, Bugo; SN 187 - 2020 1.	The City Government of Cagayan de Oro, through the Continuing Appropriation CY 2019 - N</t>
  </si>
  <si>
    <t xml:space="preserve"> Straight Contract for Construction of Farm to Market Road  See attached link/Url under OTHER INFORMATION BOX</t>
  </si>
  <si>
    <t xml:space="preserve"> Straight Contract for Construction of Farm to Market Road See attached link/Url under OTHER INFORMATION BOX</t>
  </si>
  <si>
    <t xml:space="preserve"> Republic of the Philippines City of Cagayan de Oro BIDS AND AWARDS COMMITTEE Invitation to Bid  for Concrete Paving of Malasag Circumferential Road Cugman (Phase 4); SN 185 - 2020 1.	The City Government of Cagayan de Oro, through the Current Appropriation</t>
  </si>
  <si>
    <t xml:space="preserve"> Republic of the Philippines Province of Ilocos Norte MUNICIPALITY OF CURRIMAO INVITATION TO BID FOR  PURCHASE OF LIVELIHOOD STARTER KITS 1.	The Municipality of Currimao,  through the DOLE Support and LGU General Fund intends to apply the sum of [One Milli</t>
  </si>
  <si>
    <t xml:space="preserve"> Kindly see attached Terms of Reference (TOR) and Purchase Request (PR) for your perusal. Please take note that the availability of Bidding Documents will be on August 11, 2020. Contact Persons: DICT-Batangas Carmela Valencia (BAC Chairperson) carmela.vale</t>
  </si>
  <si>
    <t xml:space="preserve"> Construction of FOOD PROCESSING AREA, OFFICE LOUNGE AND RECEIVING AREA and SHOW ROOM</t>
  </si>
  <si>
    <t xml:space="preserve"> Republic of the Philippines                   Department of Health	       CENTRAL OFFICE BIDS AND AWARDS COMMITTEE  INVITATION TO BID FOR THE  Procurement of DOH Web Application Firewall IB NO. 2020-190 1.	The Department of Health (DOH), through the Gener</t>
  </si>
  <si>
    <t xml:space="preserve"> Invitation to Bid  For the Construction of Two (2) Storey Ten (10) Classrooms Building at Jalandoni Memorial Elementary School, Lapuz, Iloilo City 1.	The City of Iloilo, through the SEF Capital Outlay CY2020 intends to apply the sum of Twenty Eight Millio</t>
  </si>
  <si>
    <t xml:space="preserve"> Section I. Invitation to Bid Republic of the Philippines Province of Romblon INVITATION TO BID FOR  Procurement of Medical Supplies for use of Romblon Provincial Hospital, Odiongan, Romblon. August 06, 2020 1.	The Provincial Government of Romblon, through</t>
  </si>
  <si>
    <t xml:space="preserve"> SectionI. Invitation to Bid Republic of the Philippines Province of Misamis Occidental MUNICIPALITY OF PANAON Invitation to Bid for CONSTRUCTION OF MANPOWER DEVELOPMENT CENTER 									August 4, 2020 1.	The Municipality of Panaon, Misamis Occidental,utili</t>
  </si>
  <si>
    <t xml:space="preserve"> Invitation to Bid  For the Construction of Two (2) Storey Eight (8) Classrooms Building at Hibao-an Elementary School, Mandurriao, Iloilo City 1.	The City of Iloilo, through the SEF Capital Outlay CY2019 intends to apply the sum of Nineteen Million Pesos </t>
  </si>
  <si>
    <t xml:space="preserve"> Invitation to Bid for  	EXPANSION OF CONCRETE DRAINAGE CANAL 1.	The Barangay San Juan of Sta. Fe, Leyte through the Barangay General Fund CY  2020  intends to apply the sum of Two Hundred Thousand Pesos Only (Php200.000.00) being the Approved Budget for t</t>
  </si>
  <si>
    <t xml:space="preserve"> Invitation to Bid  For the Construction/Rehabilitation/Repair/Widening of Roads at Brgy. Tabuc Suba (Hechanova Subdivision), Jaro, Iloilo City 1.	The City of Iloilo, through the 20% Development Fund CY2020 intends to apply the sum of Three Million Two Hun</t>
  </si>
  <si>
    <t xml:space="preserve"> Invitation to Re-bid ITB No. 2020 - 33 1.The Dr. Jose Fabella Memorial Hospital, through the Hospital Income intends to apply the sum of Fifteen Million Five Hundred Thousand pesos (Php 15,500,000.00) being the Approved Budget for the Contract (ABC) to pa</t>
  </si>
  <si>
    <t xml:space="preserve"> Republic of the Philippines 		MUNICIPALITY OF LEYTE LEYTE -oOo- INVITATION TO BID FOR THE CONSTRUCTION/REHAB. OF CONCRETE PAVEMENT (Brgy. Bachao, Leyte, Leyte) P.R No: LL-29-20 The Municipality of Leyte, through its Bids and Awards Committee intends to ap</t>
  </si>
  <si>
    <t xml:space="preserve"> Invitation to Bid  For the Construction/Rehabilitation/Improvement of Multi-Purpose Hall at Brgy. North Baluarte, Molo, Iloilo City 1.	The City of Iloilo, through the 20% Development Fund, CY2020 intends to apply the sum of Three Million Six Hundred Thous</t>
  </si>
  <si>
    <t xml:space="preserve"> Republic of the Philippines City of Cagayan de Oro BIDS AND AWARDS COMMITTEE Invitation to Bid  for Construction of Roads at Soldier’s Hill Bulua to Camp Evangelista; SN 180 - 2020 1.	The City Government of Cagayan de Oro, through the Current Appropriatio</t>
  </si>
  <si>
    <t xml:space="preserve"> Republic of the Philippines City of Cagayan de Oro BIDS AND AWARDS COMMITTEE Invitation to Bid  for Construction of Bigaan River Flood Mitigation Structure (Cugman Phase 2); SN 184 - 2020 1.	The City Government of Cagayan de Oro, through the Current Appro</t>
  </si>
  <si>
    <t xml:space="preserve"> Republic of the Philippines City of Cagayan de Oro BIDS AND AWARDS COMMITTEE Invitation to Bid  for Concrete Paving of Road at Grotto St., Bulua; SN 179 - 2020 1.	The City Government of Cagayan de Oro, through the Current Appropriation CY 2020 Non-Office:</t>
  </si>
  <si>
    <t xml:space="preserve"> Republic of the Philippines City of Cagayan de Oro BIDS AND AWARDS COMMITTEE Invitation to Bid  for Concrete Paving of Balubal CDORSHIP 4 Roads with Drainage (Phase 2); SN 178 - 2020 1.	The City Government of Cagayan de Oro, through the Current Appropriat</t>
  </si>
  <si>
    <t xml:space="preserve"> Republic of the Philippines City of Cagayan de Oro BIDS AND AWARDS COMMITTEE Invitation to Bid  for Concrete Paving of Road at Caritas to Ecoverde Subd. with Drainage, Indahag; SN 181 - 2020 1.	The City Government of Cagayan de Oro, through the Current Ap</t>
  </si>
  <si>
    <t xml:space="preserve"> Invitation to Bid  For the Construction of Two (2) Storey Ten (10) Classrooms Building at Sto. Niño Sur Elementary School, Arevalo, Iloilo City 1.	The City of Iloilo, through the SEF Capital Outlay CY2019 intends to apply the sum of Twenty Five Million Pe</t>
  </si>
  <si>
    <t xml:space="preserve"> Clearing &amp; grubbing, pipe culvert(installation, embankment slope protection w/ headwall, borrow fill, base coarse preparation, PCCP.</t>
  </si>
  <si>
    <t xml:space="preserve"> Republic of the Philippines City of Cagayan de Oro BIDS AND AWARDS COMMITTEE Invitation to Bid  for Concrete Paving of Melecia Homes Subd. Road with Drainage, Macasandig (Phase 3); SN 182 - 2020 1.	The City Government of Cagayan de Oro, through the Curren</t>
  </si>
  <si>
    <t xml:space="preserve"> Removal Of structures And Obstruction Excavation Structural Concrete Masonry Works Carpentry Tile Works Painting</t>
  </si>
  <si>
    <t xml:space="preserve"> Section I. Invitation to Bid Republic of the Philippines Province of Romblon INVITATION TO BID FOR  Procurement of Drugs for use of Romblon Provincial Hospital, Odiongan, Romblon. August 06, 2020 1.	The Provincial Government of Romblon, through the  PDRRM</t>
  </si>
  <si>
    <t xml:space="preserve"> Surface preparation, base coarse preparation(compacted), PCCP, cross drainage, shouldering</t>
  </si>
  <si>
    <t xml:space="preserve"> Republic of the Philippines Province of Leyte Municipality of Hilongos INVITATION TO RE-BID FOR THE PROCUREMENT OF 1 UNIT SOFA-3 SEATERS 1.  The Local Government Unit of Hilongos, through GENERAL FUND-SUPPLEMENTAL BUDGET NO. 2020-05 intends to apply the s</t>
  </si>
  <si>
    <t xml:space="preserve"> Republic of the Philippines Province of Leyte Municipality of Hilongos INVITATION TO RE-BID FOR THE PURCHASE OF 1 UNIT SPLIT TYPE AIRCON 1.  The Local Government Unit of Hilongos, through GENERAL FUND-SUPPLEMENTAL BUDGET NO. 2020-05 intends to apply the s</t>
  </si>
  <si>
    <t xml:space="preserve"> Surface preparation,105(1)2, base coarse preparation,201(1)a, PCCP, road shoulder.</t>
  </si>
  <si>
    <t xml:space="preserve"> Clearing &amp; grubbing, earthworks(roadway excavation)soft rock, pipe culvert, base coarse preparation PCCP.</t>
  </si>
  <si>
    <t xml:space="preserve"> Republic of the Philippines     Province of Bohol     Municipality of Loon INVITATION TO BID FOR THE PROPOSED MULTI-PURPOSE BUILDING  (MERCADO DE LOON TUBAAN) 1.	The Local Government Unit of Loon, Bohol through its appropriation from general fund intends </t>
  </si>
  <si>
    <t xml:space="preserve"> Invitation to Bid  For the Construction of Two (2) Storey Four (4) Classrooms Building with Demolition at Bakhaw Elementary School, Mandurriao, Iloilo City 1.	The City of Iloilo, through the SEF Capital Outlay CY2018 intends to apply the sum of Ten Millio</t>
  </si>
  <si>
    <t xml:space="preserve"> Republic of the Philippines Province of Leyte Municipality of Hilongos INVITATION TO RE-BID FOR THE PROCUREMENT OF OFFICE SUPPLIES 1.  The Local Government Unit of Hilongos, through GENERAL FUND-CURRENT APPROPRIATION intends to apply the sum TEN THOUSAND </t>
  </si>
  <si>
    <t xml:space="preserve"> Excavation, concrete works, masonry works, steel works, electrical works, painting works.</t>
  </si>
  <si>
    <t xml:space="preserve"> Republic of the Philippines PROVINCE OF BILIRAN Municipality of Naval – 6560 Project Reference Number: ITB No. 20-30     INVITATION TO BID FOR THE SUPPLY AND DELIVERY OF 18 UNITS DESKTOP  COMPUTER &amp; OTHER RELATED PARTS &amp; ACCESSORIES (RE-BIDDING) 	1.	The P</t>
  </si>
  <si>
    <t xml:space="preserve"> INVITATION TO BID ITB 2020 - 34 1.The Dr. Jose Fabella Memorial Hospital, through General Appropriations Act 2020 (GAA 2020) intends to apply the amount of Five Million Three Hundred Fourteen Thousand Nine Hundred Pesos and Sixty Centavos (Php 5,314,900.6</t>
  </si>
  <si>
    <t xml:space="preserve"> Prospective bidders should have experience  in undertaking a similar project within the last two (2) years with an amount of at least 50% of the proposed project for bidding and have key personnel and equipment (owned, leased or under purchase) available </t>
  </si>
  <si>
    <t xml:space="preserve"> FEASIBILITY STUDY</t>
  </si>
  <si>
    <t xml:space="preserve"> Diesel=50,000 liters Gasoline= 6,250 liters</t>
  </si>
  <si>
    <t xml:space="preserve"> Republic of the Philippines City of Cagayan de Oro BIDS AND AWARDS COMMITTEE  INVITATION TO BID  FOR  Supply and Delivery of Five (5) Units Basic Life Support (BLS) Ambulance Vehicle with Complete Accessories; PR No. 19-1240 dated 16 May 2019; SN 174 - 20</t>
  </si>
  <si>
    <t xml:space="preserve"> Issuance of Bid Documents Starts: August 5, 2020 Cost of Bid Document: Php 2,000.00 Venue of Dropping and Opening Bids: BAC Conference Room, Leyte SMED Center, Provincial Capitol Grounds, Tacloban City</t>
  </si>
  <si>
    <t xml:space="preserve"> Isuzu Dmax 4x4 LT MT RZ4E</t>
  </si>
  <si>
    <t xml:space="preserve"> Earthworks	70.02	cu.m. Reinforcing Steel Bar	1,175.52	kgs. Structural Concrete	13.38	cu.m. Fabrication/Erection &amp; Framing Works	1.00	lot Tinsmithry	648.00	sq.m. PCCP (T=0.10m)	630.00	cu.m. Construction Safety &amp; Health	4.00	mos. Project Billboard	64.00	sq.</t>
  </si>
  <si>
    <t xml:space="preserve"> Name of Project: Purchase of Various Medicines Location: Rural Health Unit, Pura, Tarlac ABC: Php 801,230.00 200	Boxes	Amlodipine 5mg/tab 400	Boxes	Amlodipine 10mg 50	BOTTLE	Amoxicillin(as Trihydrate) drops 100mg/ml, 15ml 100	BOTTLE	Amoxicillin (as Trihyd</t>
  </si>
  <si>
    <t xml:space="preserve"> Excavation, concrete works, masonry works, painting works, steel works, tile works(cladding) hardscape, landscape, drainage system, mechanical works.</t>
  </si>
  <si>
    <t xml:space="preserve"> Republic of the Philippines Province of Leyte Municipality of Hilongos INVITATION TO RE-BID FOR THE PROCUREMENT OF PRODUCTION INPUTS OF SWINE FATTENING LIVELIHOOD PROJECT FOR DATAG FARMER’S ASSOCIATION 1.  The Local Government Unit of Hilongos, through TR</t>
  </si>
  <si>
    <t xml:space="preserve"> Republic of the Philippines CITY GOVERNMENT OF LA CARLOTA BIDS AND AWARDS COMMITTEE OFFICE TEL. NO.  735-1370                                                                                                      	               	 INVITATION TO BID FOR THE </t>
  </si>
  <si>
    <t xml:space="preserve"> SEE ATTACHED PURCHASE REQUEST (PR)</t>
  </si>
  <si>
    <t xml:space="preserve"> Issuance of Bid Documents Starts: August 5, 2020 Cost of Bid Document: Php 1,500.00 Venue of Dropping and Opening Bids: BAC Conference Room, Leyte SMED Center, Provincial Capitol Grounds, Tacloban City</t>
  </si>
  <si>
    <t xml:space="preserve"> Republic of the Philippines Province of Agusan del Sur Municipality of Trento BARANGAY CUEVAS BIDS &amp; AWARDS COMMITTEE INVITATION TO BID  FOR THE INSTALLATION OF GUTTER FOR MULTI-PURPOSE BUILDING 1.	The BLGU-Cuevas, through the 20% BDF intends to apply the</t>
  </si>
  <si>
    <t xml:space="preserve"> Republic of the Philippines  Province of Nueva Ecija City Government of Palayan INVITATION TO BID FOR THE CONSTRUCTION OF COMMUNITY PRECINT (COMPAC) @ BRGY. MANACNAC, PALAYAN CITY 1.	The City Government of Palayan, through the General Fund intends to appl</t>
  </si>
  <si>
    <t xml:space="preserve"> ITEM DESCRIPTION UNIT QUANTITY CONCRETE WORKS Portland Cement bags 37 Gravel G1(6 wheeler DT) load 1 Screened sand S1 (6 wheeler DT) load 2 10mmØx.omX6m RSB pcs 5 Welding rod kg 1/2 STEEL WORKS 3"ØX20'GI pipe pcs 3 1/4"x2"x4"x20' channel bar pcs 7 2"x3"x2</t>
  </si>
  <si>
    <t xml:space="preserve"> Republic of the Philippines     Province of Bohol     Municipality of Loon INVITATION TO BID FOR THE PROPOSED MULTI-PURPOSE BUILDING SHED  (MERCADO DE LOON TABO-AN) 1.	The Local Government Unit of Loon, Bohol through its appropriation from general fund in</t>
  </si>
  <si>
    <t xml:space="preserve"> Republic of the Philippines City of Cagayan de Oro BIDS AND AWARDS COMMITTEE  INVITATION TO BID  FOR  Supply and Delivery of Mechanical Ventilator with Compressor and Other Items; PR No. 20-1618 dated 09 June 2020; SN 172 - 2020 1.	The City Government of </t>
  </si>
  <si>
    <t xml:space="preserve"> - The Municipality of Baliguian, request for quotation for the Acquisition including installation of CCTV Camera. - The Estimated Budget Cost fr this Project is Six Hundred Thousand Pesos (Php600,000.00) - Interested suppliers/bidders may obtain further i</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</si>
  <si>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</si>
  <si>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1.00       lot      Concreting Works</t>
  </si>
  <si>
    <t xml:space="preserve"> DESCRIPTION: One (1) Unit Dump Truck SPECIFICATIONS: 4 Cylinder Diesel Engine 4x4 (6 wheeler) 5 speed (Manual Transmission) 3.9 Liters (Turbo Intercooler) 8.25-16 &amp; 6.5-16 (Tire &amp; Rim) 8500 kg. Gross Vehicle Weight INCLUSIVE OF: 120 Ton Jack 1 Set Early W</t>
  </si>
  <si>
    <t xml:space="preserve"> Republic of the Philippines                                               Province of Aklan                                         MUNICIPALITY OF LIBACAO                                                           * * * The Local Government Unit of Libaca</t>
  </si>
  <si>
    <t xml:space="preserve"> Project No.: GOODS-2020-08-003 INVITATION TO BID Provision of Supply and Delivery of Printing Materials for the Reproduction of Self-Learning Materials for Kinder to Grade 11 1. The Department of Education, Division of Masbate, through its Bids and Awards</t>
  </si>
  <si>
    <t xml:space="preserve"> The Department of Education –Schools Division of Calbayog City, through the General Appropriations Act (GAA) CY 2020 intends to apply the sum of One Million Eight Hundred Eighty-Two Thousand One Hundred Eighteen Pesos &amp; 05/100 Only (Php 1,882,118.05) bein</t>
  </si>
  <si>
    <t xml:space="preserve"> Republic of the Philippines                                                                   PROVINCE OF SAMAR                                                                      INVITATION TO BID                                                         </t>
  </si>
  <si>
    <t xml:space="preserve"> The Local Government Unit of Isabel, Leyte through its Bids and Awards Committee (BAC), invites eligible bidders to bid the hereunder: Name of Project :Construction of one-storey evacuation center (35m x 12m) Location: Mahayag, Isabel, Leyte Brief Descrip</t>
  </si>
  <si>
    <t xml:space="preserve"> The Department of Education –Schools Division of Calbayog City, through the General Appropriations Act (GAA) CY 2020 intends to apply the sum of Two Million Nine Hundred Thirty-One Thousand One Hundred Thirty-Eight Pesos &amp; 81/100 Only (Php 2,931,138.81) b</t>
  </si>
  <si>
    <t xml:space="preserve"> The Department of Education –Schools Division of Calbayog City, through the General Appropriations Act (GAA) CY 2020 intends to apply the sum of One Million Seven Hundred Thirty-One Thousand OneHundred Ninety-One Pesos &amp; 68/100 Only (Php 1,731,191.68) bei</t>
  </si>
  <si>
    <t xml:space="preserve"> Issuance of Bid Documents Starts: August 5, 2020 Cost of Bid Document: Php 1,000.00 Venue of Dropping and Opening Bids: BAC Conference Room, Leyte SMED Center, Provincial Capitol Grounds, Tacloban City</t>
  </si>
  <si>
    <t xml:space="preserve"> Republic of the Philippines Department of Education Region V SCHOOLS DIVISION OFFICE OF CAMARINES SUR Office of the Bids and Awards Committee INVITATION TO BID FOR:   SUPPLY, DELIVERY AND INSTALLATION OF AIR-CONDITIONING UNIT FOR THE NEW BUILDING ITB No. </t>
  </si>
  <si>
    <t xml:space="preserve"> Bicol Medical Center Concepcion Pequeña, Naga City, 4400 (0998-247-0239/0906-256-9238          E-mail Address: bmc.bacoffice@gmail.com INIVITATION TO BID PROCUREMENT OF MEDICAL &amp; OTHER HEALTH RELATED EQUIPMENT (3) ITB No. 2020-30 1.	The BICOL MEDICAL CENT</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</si>
  <si>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</si>
  <si>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Section I. Invitation to Bid FOR THE UPLB-RES-037-08-20  SUPPLY AND DELIVERY OF BRANDED AND BRAND NEW REAL-TIME PCR DETECTION SYSTEM FOR IPB 1.	The UNIVERSITY OF THE PHILIPPINES LOS BAÑOS (UPLB), through the GOP (LB04011001-C002497-N827621) intends to app</t>
  </si>
  <si>
    <t xml:space="preserve"> Republic of the Philippines										 BIDS AND AWARDS COMMITTEE										 Baguio City										 (074) 300-6537/ (074)442-8795										 BID FORM										 CP No. 2020-56 Bidding									August 5, 2020	 Circular Proposal No.									Date Prepared	 								</t>
  </si>
  <si>
    <t xml:space="preserve"> Spcl ITEM I. Removal of Damage Concrete Pavement ITEM 102. Common Borrow Excavation ITEM 105. Sub-grade Preparation ITEM 200. Aggregate  Sub-base Coarse Materials ITEM 311. Portland Cement Concrete Pavement Spcl ITEM II. Billboard &amp; Signages Installation </t>
  </si>
  <si>
    <t xml:space="preserve"> Republic of the Philippines										 BIDS AND AWARDS COMMITTEE										 Baguio City										 (074) 300-6537/ (074)442-8795										 BID FORM										 CP No. 2020-55 Bidding									August 5, 2020	 Circular Proposal No.									Date Prepared	 								</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</si>
  <si>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</si>
  <si>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1. 2,200 Bag Cement 2. 300 Cu.m Mixed Gravel and Sand 3. 3,400 Pcs Steel bars (10mm x 6m) 4. 2,400 Pcs Steel bars (9mm x 6m) 5. 300 Pcs Steel bars (12mm x 6m) 6. 466 Kg Tie Wire #16 7. 2000 Bdft Coco lumber (1” x 8ft x 10”) 8. 3,000 Bdft Coco lumber (1” x</t>
  </si>
  <si>
    <t xml:space="preserve"> Invitation to Bid for Improvement of Other DRRM Facilities (Supply &amp; Installation of Solar Panel at ALERT 161 Center ) at Talaba IV 1.	The City Government of Bacoor, Cavite, through the APP No. GF -03-2020 intends to apply the sum of NINE MILLION PESOS AN</t>
  </si>
  <si>
    <t xml:space="preserve"> Republic of the Philippines Province of Eastern Samar Municipality of Llorente Invitation to Bid for the Construction of Municipal Drainage System 1.	The Local Government of Llorente, through the Budget Approved by the Respective Sanggunian intends to app</t>
  </si>
  <si>
    <t xml:space="preserve"> Invitation to Bid The National Irrigation Administration – Upper Pampanga River Integrated Irrigation Systems, Dam and Reservoir Division (NIA-UPRIIS-DRD), through the GAA  2020 intends to bid out the projects listed below: CONTRACT ID NO.: 2020-DRD-INF-0</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</si>
  <si>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</si>
  <si>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Length of Railings - 33 1.m. with 11 steel post (3'' diameter x +/-1.1m ht. sch - 40) &amp;  foundation (0.40m x 0.40m x 0.2m). (concrete pedestal = 0.20m dia. x+/-1.80m)</t>
  </si>
  <si>
    <t xml:space="preserve"> ITEM 102. Common Borrow Excavation ITEM 105. Sub-grade Preparation ITEM 200. Aggregate  Sub-base Coarse Materials ITEM 311. Portland Cement Concrete Pavement Spcl ITEM II. Billboard &amp; Signages Installation Spcl ITEM III. Construction Safety and Health Sta</t>
  </si>
  <si>
    <t xml:space="preserve"> Republic of the Philippines Province of Camarines Sur MUNICIPALITY OF MINALABAC -o0o- Invitation to Bid for REBLOCKING OF ROAD at Manapao, Minalabac, Camarines Sur 1. LGU-Minalabac, Camarines Sur, through 20% EDF, CY 2020, intends to apply the sum of One </t>
  </si>
  <si>
    <t xml:space="preserve"> Republic of the Philippines Province of Cotabato Municipality of Antipas BIDS AND AWARDS COMMITTEE Invitation to Bid for  Concreting of Highway-Demo Farm Road 1.	The Municipal Government of Antipas, through the Budget Approved by the Sanggunian, intends t</t>
  </si>
  <si>
    <t xml:space="preserve"> REPUBLIC OF THE PHILIPPINES MUNICIPALITY OF SANTA ROSA  PROVINCE OF NUEVA ECIJA DIPACULAO WATER DISTRICT North Poblacion., Dipaculao, Aurora 3203 INVITATION TO BID FOR   SUPPLY, DELIVERY, INSTALLATION, TESTING AND COMMISSIONING OF PUMPING EQUIPMENT FOR TH</t>
  </si>
  <si>
    <t xml:space="preserve"> Republic of the Philippines BIDS AND AWARDS COMMITTEE 9017 Población, El Salvador City Misamis Oriental  Email: bac.elsalvadorcity@gmail.com INVITATION TO BID for the PROCUREMENT OF 4x2 VAN PICK-UP DRIVEN WITH ACCESSORIES 		(BRAND NEW) (GOODS) 	 The LGU-E</t>
  </si>
  <si>
    <t xml:space="preserve"> SEE ATTACHED LINK TO"OTHER INFORMATION"</t>
  </si>
  <si>
    <t xml:space="preserve"> Furnishing of Labor, Materials and Equipment for the Construction of 2 Class Room School Building with Two Toilets at Hanopol National High School at Hanopol, Balilihan, Bohol, by the Provincial Engineer's Office, New Capitol Building, Tagbilaran City ABC</t>
  </si>
  <si>
    <t xml:space="preserve"> Republic of the Philippines										 BIDS AND AWARDS COMMITTEE										 Baguio City										 (074) 300-6537/ (074)442-8795										 BID FORM										 CP No. 2020-57 Bidding									August 5, 2020	 Circular Proposal No.									Date Prepared	 								</t>
  </si>
  <si>
    <t xml:space="preserve"> Republic of the Philippines Department of Justice BUREAU OF CORRECTIONS Muntinlupa City INVITATION TO BID FOR  SUPPLY AND DELIVERY OF FIRE TRUCKS FOR DAVAO PRISON AND PENAL FARM (DPPF) AND SAN RAMON PRISON AND PENAL FARM (SRPPF) LOT 3 RE-BID 1.	The Bureau</t>
  </si>
  <si>
    <t xml:space="preserve"> Republic of the Philippines Province of South Cotabato BIDS AND AWARDS COMMITTEE City of Koronadal  INF-ITB 20-040 INVITATION TO BID  1.	The Provincial Government of South Cotabato, through the PEO-8751 CA-2020-8-GF intends to apply the sum of            </t>
  </si>
  <si>
    <t xml:space="preserve"> INVITATION TO BID FOR THE REGRAVELLING OF ROADS AT VARIOUS BARANGAYS, MUNICIPALITY OF HINIGARAN, NEGROS OCCIDENTAL 1.	The Local Government Unit of Hinigaran, through Supplemental Budget for 20% Development Fund 2020 intends to apply the sum of ₱ 2,666,630</t>
  </si>
  <si>
    <t xml:space="preserve"> 25	ltrs	Albendazole (Microzole)(1 liter) * 10	btls	Amoxicillin Lorey Acting (LA)* (100ml) 35	btls	Amoxicillin Injection, (150 mg)* 3,430	btls	Anti-rabies vaccine (Rabisin 10ml ) 1	bag	Antibiotic Powder (Robistrep 2.27kls) 100	amp	Atropine Sulfate (1ml) 20</t>
  </si>
  <si>
    <t xml:space="preserve"> Republic of the Philippines Province of Davao de Oro MUNICIPALITY OF COMPOSTELA BIDS AND AWARDS COMMITTEE CP#: 0998-571-7569 INVITATION TO BID FOR CONSTRUCTION OF TEMPORARY MARKET STALLS FOR P-3 CROSSING GABI (Procurement of Materials) ITB NO. 2020-08-042</t>
  </si>
  <si>
    <t xml:space="preserve"> 1.	1	unit	Brand New Ambulance Vehicle 			DOH Standard Compliance inclusive of vehicle, accessories and consumables 			ENGINE SPECIFICATIONS Engine Technology: 4 Cylinders, In-Line Type Type: 16-Valve DOHC Displacement cc: 2,755 Maximum Output Ps/Rpm: 176/</t>
  </si>
  <si>
    <t xml:space="preserve"> National Power Corporation INVITATION TO BID PUBLIC BIDDING 2020-0263 1.	The NATIONAL POWER CORPORATION (NPC), through       its        approved       Corporate Budget of CY 2020 intends to apply   the   sum   of (Please see schedule below) being the Appr</t>
  </si>
  <si>
    <t xml:space="preserve"> INVITATION TO BID FOR THE Rehabilitation of Cable Foot Bridge LGU-Kabugao, Apayao 1.	The Local Government Unit of Kabugao, through Appropriation Ordinance No. 02-Series of 2019 (FY 2020 Annual Budget)   intends to apply the sum of Seven Hundred Thousand P</t>
  </si>
  <si>
    <t xml:space="preserve"> 1 UNIT AIRCON</t>
  </si>
  <si>
    <t xml:space="preserve"> Section I. Invitation to Bid FOR THE UPLB-RES-039-08-20  SUPPLY AND DELIVERY OF BRANDED AND BRAND NEW LABORATORY SUPPLIES AND SCIENTIFIC EQUIPMENT FOR MNH 1.	The UNIVERSITY OF THE PHILIPPINES LOS BAÑOS (UPLB), through the GOP (LB03024001-C0002470; N9A9000</t>
  </si>
  <si>
    <t xml:space="preserve"> Republic of the Philippines Province of Agusan del Norte BIDS AND AWARDS COMMITTEE Capitol, Butuan City Invitation to Bid for Upgrading/Improvement of Sanghan-Luna-Calulutay-Calamba  Provincial Road, Cabadbaran City, Agusan del Norte The Provincial Govern</t>
  </si>
  <si>
    <t xml:space="preserve"> Embankment Subgrade Preparation Aggregate Sub-base Course PCCP</t>
  </si>
  <si>
    <t xml:space="preserve"> Republic of the Philippines Province of Agusan del Norte BIDS AND AWARDS COMMITTEE Capitol, Butuan City Invitation to Bid for Rehabilitation of Tribal House, Sitio Lombuyan,  Brgy. Guinabsan, Buenavista, Agusan del Norte The Provincial Government of Agusa</t>
  </si>
  <si>
    <t xml:space="preserve"> 100 UNIT	DIGITAL DUPLICATOR (for various Schools)		 		 Master Making method: Thermal	Master  Making Interval: 45	seconds				 Resolution: Scan (input) resolution: 300x360 dpi				 Print (output) Resolution: 300x360 dpi				 Master Punch Density: 300x360 dpi	</t>
  </si>
  <si>
    <t xml:space="preserve"> Republic of the Philippines Province of Agusan del Norte BIDS AND AWARDS COMMITTEE Capitol, Butuan City Invitation to Bid for Construction of Bodega GSO, Capitol Compound,  Butuan City, Agusan del Norte The Provincial Government of Agusan del Norte, throu</t>
  </si>
  <si>
    <t xml:space="preserve"> The Local Government Unit of Aglipay through 20% Municipal Development Fund CY 2020  intends to apply the sum of Four Hundred Eighty Three Thousand Seven Hundred Fourteen Pesos (Php 483, 714.00) being the Approved Budget for the Contract (ABC) to payments</t>
  </si>
  <si>
    <t xml:space="preserve"> Concrete works (Beam, Column, suspended &amp; grade slab, Masonry works</t>
  </si>
  <si>
    <t xml:space="preserve"> INVITATION TO BID FOR THE Construction &amp; Rehabilitation of Potable Water Supply Level II LGU-Kabugao, Apayao 1.	The Local Government Unit of Kabugao, through Appropriation Ordinance No. 02-Series of 2019 (FY 2020 Annual Budget - 20% MDF)   intends to appl</t>
  </si>
  <si>
    <t xml:space="preserve"> Clearing and Grubbing Embankment Aggregate Sub-base Course Diameter 1.20m RCPC Riprap and Grouted Riprap Hand Laid Rock Embankment</t>
  </si>
  <si>
    <t xml:space="preserve"> INVITATION TO BID  Supply and Delivery of Lot 1 – Seven (7) units Palay Thresher with Blower and Lot 2 – Ten (10) units Hand Tractor for Implementation under 2020 Rice Program 1.	The Department of Agriculture Regional Field Office No. 5, through the Gener</t>
  </si>
  <si>
    <t xml:space="preserve"> PLEASE SEE ATTACHED ITB.</t>
  </si>
  <si>
    <t xml:space="preserve"> The DPWH-Regional Office I, through its Bids and Awards Committee (BAC), invites contractors to submit bids for the following Contract: Contract ID: 21A00004 Contract Name: Retrofitting/Strengthening of Permanent Bridges, Bauang Bridge 1 (B02644LZ) along </t>
  </si>
  <si>
    <t xml:space="preserve"> 1	958	bags	Cement 2	44	cu.m	Crushed Gravel (G1) 3	52	cu.m	Crushed Gravel(3/4) 4	60	cu.m	Albay Sand 5	6	cu.m	Boulders Class A 6	614	pcs	12mm RSB 7	712	pcs	10mm RSB 8	5	rolls	# 16 Tie Wire 9	4	boxes	4”  CW Nail 10	3	boxes	3” CW Nail 11	2	boxes	2” CW Nail 12</t>
  </si>
  <si>
    <t xml:space="preserve"> Republic of the Philippines Province of Eastern Samar Municipality of Guiuan Invitation to Bid  for  PROPOSED CONSTRUCTION OF DRAINAGE SYSTEM ALONG MANAGANTAN STREET,  BARANGAY 09-A, GUIUAN, E. SAMAR The LOCAL GOVERNMENT UNIT OF GUIUAN, through the  20% D</t>
  </si>
  <si>
    <t xml:space="preserve"> SEE ATTACHED ASSOCIATED COMPONENT DOCUMENTS</t>
  </si>
  <si>
    <t xml:space="preserve"> The DPWH-Regional Office I, through its Bids and Awards Committee (BAC), invites contractors to submit bids for the following Contract: Contract ID: 21A00003 Contract Name: Bridge Rehabilitation, Rehabilitation of Padilla Bridge (B02144LZ) along Pangasina</t>
  </si>
  <si>
    <t xml:space="preserve"> The DPWH-Regional Office I, through its Bids and Awards Committee (BAC), invites contractors to submit bids for the following Contract: Contract ID: 21A00002 Contract Name: Retrofitting/Strengthening of Permanent Bridges, Cagubay Bridge (B00679LZ) along P</t>
  </si>
  <si>
    <t xml:space="preserve"> The DPWH-Regional Office I, through its Bids and Awards Committee (BAC), invites contractors to submit bids for the following Contract: Contract ID: 21A00001 Contract Name: Retrofitting/Strengthening of Permanent Bridges, Don Teofilo Sison Bridge (B00722L</t>
  </si>
  <si>
    <t xml:space="preserve"> 2 units - Combine Harvester Location: 1 unit - Occidental Mindoro 1 unit - Palawan</t>
  </si>
  <si>
    <t xml:space="preserve"> INVITATION TO BID FOR THE SUPPLY, DELIVERY AND INSTALLATION OF 1 LOT GERMINATOR RCEF GOODS 20-07-05A 1.	The Philippine Rice Research Institute, through the 2020 Rice Competitiveness Enhancement Fund intends to apply the sum of ONE MILLION TWO HUNDRED THOU</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</si>
  <si>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</si>
  <si>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Bohol Island State University-Calape Campus Calape, Bohol Invitation to Bid for the Procurement of Office Supplies PRN- 632-2020 1.	The Bohol Island State University Calape Campus,  through the Special Trust Fund (STF) 2020  in</t>
  </si>
  <si>
    <t xml:space="preserve"> Republic of the Philippines Province of Nueva Vizcaya Municipality of Solano -o0o- INVITATION TO BID FOR Construction of One (1) Classroom School Building Phase II Brgy. Concepcion, SNV.   (SOLANO 090-2020) 1.	The Local Government Unit of Solano, Nueva Vi</t>
  </si>
  <si>
    <t xml:space="preserve"> Republic of the Philippines Bohol Island State University-Calape Campus Calape, Bohol Invitation to Bid for the Procurement of (CTAS) Electricity Equipment PRN- 488-2020 1.	The Bohol Island State University Calape Campus,  through the Special Trust Fund (</t>
  </si>
  <si>
    <t xml:space="preserve"> Construction of 6 unit street lights</t>
  </si>
  <si>
    <t xml:space="preserve"> 950 heads - Improved/Free-range/Native Chicken (Rooster) Age not less than 14 weeks Minimum bodyweight of 800 grms - 1 kg upon delivery Must not possess physical defects or undesirable characteristics Pre-delivery Requirement: (Inter-island shipment) Test</t>
  </si>
  <si>
    <t xml:space="preserve"> Invitation to bid for the procurement of Supply and Delivery of Commonly-Used Supplies of SPAMAST for FY 2020 (2nd Posting)</t>
  </si>
  <si>
    <t xml:space="preserve"> Republic of the Philippines DEPARTMENT OF PUBLIC WORKS AND HIGHWAYS ILOILO CITY DISTRICT ENGINEERING OFFICE REGION VI Fort San Pedro, Iloilo City INVITATION TO BID FOR 20GGJ0061 - Supply and Delivery of Office Supplies/Furniture for the use of Planning an</t>
  </si>
  <si>
    <t xml:space="preserve"> Acquisition of Motorcycle and Office Equipments for the Bureau of Fire Protection Items: 1. 1 unit - motorcycle Specs: Engine Type: 4 Stroke, Air-Cooled, Overhead Cam Displacement: 125cc Transmission Type: Electric and Kick Transmission Type: Semi-Manual </t>
  </si>
  <si>
    <t xml:space="preserve"> Republic of the Philippines DEPARTMENT OF PUBLIC WORKS AND HIGHWAYS REGIONAL OFFICE VIII Baras, Palo, Leyte    INVITATION TO BID No. 2020-08-005 August 3, 2020 1.	The Department of Public Works and Highways Regional Office VIII, Baras, Palo, Leyte, throug</t>
  </si>
  <si>
    <t xml:space="preserve"> The Department of Agriculture-RFO 3, invites interested suppliers/ bidders to submit bid proposal(s) for the hereunder requirement, to wit: 1,175 bottles SPINETORAM (250ml/bottle) Composition: Water: 832.2 g/L Dispersant: 30.8 g/L Other Inert: 93.6 g/L Sp</t>
  </si>
  <si>
    <t xml:space="preserve"> Civil work that includes concrete work</t>
  </si>
  <si>
    <t xml:space="preserve"> Engineering tools and equipment</t>
  </si>
  <si>
    <t xml:space="preserve"> Republic of the Philippines DEPARTMENT OF PUBLIC WORKS AND HIGHWAYS REGIONAL OFFICE VIII Baras, Palo, Leyte    INVITATION TO BID No. 2020-08-006 August 3, 2020 1.	The Department of Public Works and Highways Regional Office VIII, Baras, Palo, Leyte, throug</t>
  </si>
  <si>
    <t xml:space="preserve"> GENERAL HEADQUARTERS ARMED FORCES OF THE PHILIPPINES GHQ BIDS AND AWARDS COMMITTEE 2 Camp General Emilio Aguinaldo, Quezon City INVITATION TO BID Supply and Delivery of PHILAR PAT Uniforms 1st Re-Bidding  (GB2-PB-02-20) 1.   The Armed Forces of the Philip</t>
  </si>
  <si>
    <t xml:space="preserve"> Republic of the Philippines Province of Nueva Vizcaya Municipality of Solano -o0o- INVITATION TO BID FOR Supply &amp; Delivery of materials for the Construction of  Multi Purpose Hall, brgy. Uddiawan, SNV.   (SOLANO 092-2020) 1.	The Local Government Unit of S</t>
  </si>
  <si>
    <t xml:space="preserve"> Section I. Invitation to Bid  Republic of the Philippines Province of Nueva Vizcaya Municipality of Solano -o0o- Supply &amp; Delivery of Ten (10) Wooden Table for use in Pasalubong Center   (SOLANO 094-2020) 1.	The Local Government Unit of Solano, Nueva Vizc</t>
  </si>
  <si>
    <t xml:space="preserve"> Republic of the Philippines Province of Agusan del Norte BIDS AND AWARDS COMMITTEE Capitol, Butuan City Invitation to Bid for Construction of Provincial Jail Covered Court,  Brgy. Libertad, Butuan City, Agusan del Norte The Provincial Government of Agusan</t>
  </si>
  <si>
    <t xml:space="preserve"> Plastic Crates    - 50 kgs capacity,outside dimension: 23.60 x 15.75 x 12 inches,inside dimension 22.4 x 14.6 x 11.4 inches, with print od DA logo and Kadiwa MiMaRoPa, for vegetables, double wall heavy duty perforated plastic crate, food grade certified b</t>
  </si>
  <si>
    <t xml:space="preserve"> Republic of the Philippines Bohol Island State University-Calape Campus Calape, Bohol Invitation to Bid for the Procurement of Kitchen Equipment  PRN- 617-2020 1.	The Bohol Island State University Calape Campus,  through the Special Trust Fund (STF) 2020 </t>
  </si>
  <si>
    <t xml:space="preserve"> Republic of the Philippines Province of Davao Oriental CITY OF MATI INVITATION TO BID REPAIR AND MAINTENANCE OF KOMATSU GRADER Name of Project 1.	The City Government of Mati, through the City Mayor’s Office intends to apply the sum of Eight Hundred Twenty</t>
  </si>
  <si>
    <t xml:space="preserve"> Republic of the Philippines BOHOL ISLAND STATE UNIVERSITY- Calape Campus Calape, Bohol INVITATION TO BID FOR THE PROCUREMENT OF ELECTRICAL SUPPLIES, INSTRUMENT, SECURITY AND EMERGENCY DEVICES  (PRN-497-2020) 1.	The Bohol Island State University- Calape Ca</t>
  </si>
  <si>
    <t xml:space="preserve"> Republic of the Philippines Province of Nueva Vizcaya Municipality of Solano -o0o- INVITATION TO BID FOR  Renovation of Female &amp; Male Comfort Room at 2nd Floor Executive Building, Municipal Hall, SNV.  (SOLANO 091-2020) 1.	The Local Government Unit of Sol</t>
  </si>
  <si>
    <t xml:space="preserve"> 760 heads - Animal Feeds Chick Grower Crumble (50kgs/bag) Delivery: Occidental Mindoro - 168 bags Oriental Mindoro - 168 bags Marinduque - 224 bags Romblon - 200 bags</t>
  </si>
  <si>
    <t xml:space="preserve"> Republic of the Philippines Bohol Island State University-Calape Campus Calape, Bohol Invitation to Bid for the Procurement of Office IT Equipment and Supplies PRN- 659-2020 1.	The Bohol Island State University Calape Campus,  through the Special Trust Fu</t>
  </si>
  <si>
    <t xml:space="preserve"> 1	8090	PACK	NUTRI PASTA SAUCE SPAGHETTI 2	8090	PACK	MACARONI SOUP 3	8090	PACK	CREAM OF CHICKEN AND CORN 4	8090	PACK	BURGER STEAK 5	8090	PACK	CHICKEN ALA KING 6	8090	PACK	BEEF  7	8090	PACK	CHAMPORADO 8	8090	PACK	MACARONI SOUP(BEEF) 9	8090	PACK	MACARONI SOU</t>
  </si>
  <si>
    <t xml:space="preserve"> Republic of the Philippines Department of Health CENTRAL OFFICE BIDS AND AWARDS COMMITTEE Name of the Procuring Entity: Department of Health Name of the Project: Procurement of Various ICT Equipment SVP No. 2020-044	 _____________________________         </t>
  </si>
  <si>
    <t xml:space="preserve"> INVITATION TO BID FOR THE Construction of River Flood Control LGU-Kabugao, Apayao 1.	The Local Government Unit of Kabugao, through Appropriation Ordinance No. 02-Series of 2019 (FY 2020 Annual Budget)   intends to apply the sum of One Million Pesos (₱1,00</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</si>
  <si>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</si>
  <si>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INVITATION TO BID FOR THE Construction of Potable Water Supply Level II LGU-Kabugao, Apayao 1.	The Local Government Unit of Kabugao, through Appropriation Ordinance No. 02-Series of 2019 (FY 2020 Annual Budget - 20% MDF)   intends to apply the sum of Four</t>
  </si>
  <si>
    <t xml:space="preserve"> 166 heads - Upgraded Goats (Crossbred of Anglo-nubian or Boer) Animals should be sourced from BAI accredited multiplier farm 166 does feminine appearance &amp; apparently healthy Minimum bodyweight of 20 kg in female upon delivery Tested free for CAE and Bruc</t>
  </si>
  <si>
    <t xml:space="preserve"> The DPWH-Regional Office I, through its Bids and Awards Committee (BAC), invites contractors to submit bids for the following Contract: Contract ID: 21A00005 Contract Name: Retrofitting/Strengthening of Permanent Bridges, Bued Bridge (B00735LZ) along Mani</t>
  </si>
  <si>
    <t xml:space="preserve"> Republic of the Philippines Province of Pangasinan Municipality of Bugallon OFFICE OF THE BIDS AND AWARDS COMMITTEE INVITATION TO BID The Barangay Polong of the Municipality of Bugallon, Pangasinan, through its Bids and Awards Committee (BAC), invites con</t>
  </si>
  <si>
    <t xml:space="preserve"> INVITATION TO BID FOR THE PROCUREMENT OF SERVICES – COLLECTION, HAULING, AND DISPOSAL OF SOLID WASTE AT THE CITY OF BACOOR - CENRO 1.	The City Government of Bacoor, Cavite, through the General Fund Year 2020 intends to apply the sum of SEVENTY FIVE MILLIO</t>
  </si>
  <si>
    <t xml:space="preserve"> The Municipality of Sta. Cruz through its Bids and Awards Committee (BAC), invites suppliers to apply for eligibility and if found eligible, to bid for the hereunder contract: Name of Project		: Supply, Delivery and Installation of one (1) unit Pressure V</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</si>
  <si>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</si>
  <si>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Item No.			Qty							Unit	Item Description					 1			1							lot	"Contract for the Supply of Labor, Materials, Tools and Equipments necessary for the Construction of Evacuation Center at Barangay Salvacion and La Paz, Carmen, Davao del Norte Scope of Works</t>
  </si>
  <si>
    <t xml:space="preserve"> 1.	The OCCIDENTAL MINDORO STATE COLLEGE (OMSC), through the Special Trust Fund intend to apply the sum of Five Million Pesos Only (Php5,000,000.00) being the Approved Budget for the Contract (ABC) to payments under the contract for Improvement of Quadrang</t>
  </si>
  <si>
    <t xml:space="preserve"> Construction of Reservoir at Brgy. Tubod, Merida, Leyte</t>
  </si>
  <si>
    <t xml:space="preserve"> Invitation to Bid for the Catering Services for Training Programs and Extension Activities for Third and Fourth Quarter of 2020 IB-ATI-RTC2-2020-08-002 1.	The Agricultural Training Institute-Regional Training Center 02, through the 2020 General Appropriat</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</si>
  <si>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</si>
  <si>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36"Ø RCPC 22pcs. Cement 12bags 3/4"Ø P.E. Pipe 2roll labor</t>
  </si>
  <si>
    <t xml:space="preserve"> Construction of Reservoir at Brgy. Calunasan, Merida, Leyte</t>
  </si>
  <si>
    <t xml:space="preserve"> REPUBLIC OF THE PHILIPPINES  DEPARTMENT OF SOCIAL WELFARE AND DEVELOPMENT MIMAROPA REGION 1680 F. T Benitez cor Malvar Sts. Malate, Manila INVITATION TO BID FOR PROCUREMENT OF CATERING SERVICES FOR THE KALAHI CEAC ACTIVITIES-2ND POSTING PROJECT ID NO: DSW</t>
  </si>
  <si>
    <t xml:space="preserve"> Republic of the Philippines Province of Masbate MUNICIPALITY OF CATAINGAN BARANGAY PAWICAN   			                                                                                              AUGUST 6, 2020 INVITATION TO APPLY FOR ELIGIBILITY AND TO BID The</t>
  </si>
  <si>
    <t xml:space="preserve"> Republic of the Philippines PROVINCE OF ZAMBOANGA SIBUGAY Municipality of Buug BIDS AND AWARDS COMMITTEE Invitation to Bid for the Procurement of Agong 1.	The Local Government Unit of Buug, through the General  Fund of 2020 intends to apply the sum of Two</t>
  </si>
  <si>
    <t xml:space="preserve"> NOTICE TO THE PUBLIC  REQUEST FOR QUOTATION                                                 AMP SVP-D NO: 20-08-0082C	              The University of the Philippines, Diliman (UPD) hereby informs the public that it will be procuring the following item/s t</t>
  </si>
  <si>
    <t xml:space="preserve"> Construction of Reservoir at Brgy. Masumbang, Merida, Leyte</t>
  </si>
  <si>
    <t xml:space="preserve"> Construction/Rehab. of Multi-Purpose Building at Brgy. Poblacion, Merida, Leyte</t>
  </si>
  <si>
    <t xml:space="preserve"> Installation of Solar Street Lights</t>
  </si>
  <si>
    <t xml:space="preserve"> Rehabilitation/Improvement of OSCA Building at Brgy. Poblacion, Merida, Leyte</t>
  </si>
  <si>
    <t xml:space="preserve"> I. PERMITS AND CLEARANCES II. MOBILIZATION/DEMOBILIZATION III. CONSTRUCTION OF TEMPORARY FACILITIES IV. PROJECT SIGNAGE AND BILLBOARD V. REMOVAL OF EXISTING CONCRETE PAVEMENT VI. EARTHWORKS VII. FORMWORKS VIII. CONCRETE WORKS IX. MASONRY WORKS X. ROOF AND</t>
  </si>
  <si>
    <t xml:space="preserve"> Improvement of Drainage System at Brgy. Poblacion, Merida, Leyte</t>
  </si>
  <si>
    <t xml:space="preserve"> Supply and Delivery of Handwashing Facilities</t>
  </si>
  <si>
    <t xml:space="preserve"> Supply and Delivery of 1 Unit Passenger Van -	Transmission: 4 speed automatic gate-type,  -	Suspension Front/Rear: double wishbone with stabilizer bar/rigid axle, leaf soring or its equivalent,  -	Tires: 225/70R15,  -	Wheels: 611x 15 alloy wheel,  -	Engin</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</si>
  <si>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</si>
  <si>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ITEM NO.	UNIT		QTY		DESCRIPTION		 							 1	 unit 		1		MULTI PURPOSE VEHICLE		 					 Engine: 4JB1-CN 		 					 Displacement: 2.8 liters 		 					 Max. Power: 72kw/98ps (HP) 		 					 Max. Torque: 220N.m 		 					 Drive Type: 4 x 2 (Manual Drive) 		 					 Fuel</t>
  </si>
  <si>
    <t xml:space="preserve"> Completion of Evacuation Center at Brgy. Poblacion, Merida, Leyte</t>
  </si>
  <si>
    <t xml:space="preserve"> 1.    The Davao del Norte State College through the Trust Receipts (Fund-163)- Product Development of Vacuum Fried Tuna  Skin intends to apply the sum of One Million Three  Hundred Thousand Pesos Only (Php 1,300,000.00) being the Approved Budget for the C</t>
  </si>
  <si>
    <t xml:space="preserve"> Republic of the Philippines Province of Cagayan Municipality of Solana -o0o- BIDS AND AWARDS COMMITTEE (BAC) INVITATION TO BID FOR  Purchase of Motor Boat Fiberglass (Modified “V” Hull) -MDRRMO-LGU Solana, Cagayan 1.	The Municipal Government of Solana, th</t>
  </si>
  <si>
    <t xml:space="preserve"> INVITATION TO BID NO. PB-G2020-08-03 Supply and Delivery of Bond Papers for the Reproduction of Quarter 2 Learning Activity Sheets/Modules 1.	The Department of Education – Division of Bohol, through the General Appropriations Act CY 2020 intends to apply </t>
  </si>
  <si>
    <t xml:space="preserve"> INVITATION TO BID NO. PB-G2020-08-02 Supply and Delivery of Bond Papers for the Reproduction of Quarter 1 Learning Activity Sheets/Modules 1.	The Department of Education – Division of Bohol, through the General Appropriations Act CY 2020 intends to apply </t>
  </si>
  <si>
    <t xml:space="preserve"> Printing and binding (softbound) of modules: Specifications for printing: •	bond paper size: A4, subs. 24 •	colored printing for Kindergarten and Grade 1 modules •	grayscale printing for Grade 2 to Grade 12 modules Specifications for binding: •	front and </t>
  </si>
  <si>
    <t xml:space="preserve"> Republic of the Philippines DEPARTMENT OF PUBLIC WORKS &amp; HIGHWAYS BUKIDNON 3RD DISTRICT ENGINEERING OFFICE REGION X Dicklum, Manolo Fortich, Bukidnon SOIL TESTING / EXPLORATION FOR THE WIDENING OF PERMANENT BRIDGE (5 SITE LOCATIONS), KALILANGAN &amp; PANGANTU</t>
  </si>
  <si>
    <t xml:space="preserve"> 1.	1 unit FIBERGLASS EXTENSION LADDER	 Heavy duty fiberglass extension ladder -	Load Capacity: 300 lbs -	Reaches from 16 ft to an extendable  length of 29 ft -	Self-leveling 2-way swivel safety shoes -	Main Material: Fiberglass -	Weight: 29 kgs -	ANSI 14.</t>
  </si>
  <si>
    <t xml:space="preserve"> Republic of the Philippines DEPARTMENT OF PUBLIC WORKS AND HIGHWAYS CAMARINES SUR 2ND DISTRICT ENGINEERING OFFICE Regional Office V Baras, Canaman, Camarines Sur INVITATION TO BID  FOR   20GFE0015- PROCUREMENT OF EQUIPMENT/APPARATUS, OFFICE, IT AND JANITO</t>
  </si>
  <si>
    <t xml:space="preserve"> Quantity  unit of issue     items description 2                 units               XRM 125  DSX Standard                                            Specification: 124.8 cc, 9hp, kick and electric, gasoline</t>
  </si>
  <si>
    <t xml:space="preserve"> Construction of Reservoir at Brgy. Mahayag, Merida, Leyte</t>
  </si>
  <si>
    <t xml:space="preserve"> Item I -  Earthworks   1.73  cu.m. Item II - Concrete Works  2.30  cu.m. Item III - Installation of Flood Marker Equipment and Accessories   3   sets SPCL-I -  Standard Project Billboard  1  lot Invitation to Bid   INSTALLATION OF ASSESSMENT AND WARNING D</t>
  </si>
  <si>
    <t xml:space="preserve"> 1   lot   Supply and Delivery of Commonly-Used Supplies</t>
  </si>
  <si>
    <t xml:space="preserve"> Item I - Concrete Works   60.35  cu.m. Item II - Ceiling Works     102.38  sets Item III - Tile Works          78.94   sq.m. Item IV -  Carpentry Works  72.00  sq.m. Item V -  Fabrication and Installation Works  6.00  sets Item VI - Plumbing Works   1.00 </t>
  </si>
  <si>
    <t xml:space="preserve"> GENERAL HEADQUARTERS ARMED FORCES OF THE PHILIPPINES GHQ BIDS AND AWARDS COMMITTEE 2 Camp General Emilio Aguinaldo, Quezon City INVITATION TO BID Procurement of ICIE (PHILARPAT Uniforms and 2 other items – (Lot 10) 2nd Re-Bidding  (GB2-PB-01-20) 1.   The </t>
  </si>
  <si>
    <t xml:space="preserve"> Please see attached associated components &amp; download the bidding documents through the link below.</t>
  </si>
  <si>
    <t xml:space="preserve"> Republic of the Philippines Department of Education Region V SCHOOLS DIVISION OFFICE OF CAMARINES SUR Office of the Bids and Awards Committee INVITATION TO BID FOR:   REPRODUCTION OF SELF-LEARNING MODULES ITB No. 2020-08-008 1.	The DepEd, Division of Cama</t>
  </si>
  <si>
    <t xml:space="preserve"> Development of a Prototype Trimaran Multipurpose Fishing Vessel CENTER HULL      Length Overall       :          17.54 mtrs.      L.B.P.                     :          15.00 mtrs      Breadth                   :           2.00 mtrs.      Total Breadth    </t>
  </si>
  <si>
    <t xml:space="preserve"> Republic of the Philippines BIDS AND AWARDS COMMITTEE Province of Iloilo Invitation to Bid Purchase of DUPLICATING MACHINE Bid No. DRL-20-0326-B  1. The Iloilo Provincial Government, through the SUPPLEMENTAL BUDGET 2019 CAPITAL OUTLAY intends to apply the</t>
  </si>
  <si>
    <t xml:space="preserve"> 1. The Energy Regulatory Commission (ERC), through the continuing Appropriation for Fiscal Year 2019, intends to apply the sum of Three Million Pesos (PhP3,000,000.00), inclusive of all government taxes and other charges and fees, being the Approved Budge</t>
  </si>
  <si>
    <t xml:space="preserve"> ARMED FORCES OF THE PHILIPPINES PHILIPPINE AIR FORCE OFFICE OF THE PAF BIDS AND AWARDS COMMITTEE Colonel Jesus Villamor Air Base, Pasay City Ref. Nr. 2020-07-05-10 Invitation to Bid The Armed Forces of the Philippines, through the PAF Bids and Awards Comm</t>
  </si>
  <si>
    <t xml:space="preserve"> Republic of the Philippines BIDS AND AWARDS COMMITTEE Province of Iloilo Invitation to Bid Purchase of CAUTERY MACHINE Bid No. DRL-20-0743-B  1. The Iloilo Provincial Government, through the 20% IRA-HMO SB3 intends to apply the sum of TWO HUNDRED THOUSAND</t>
  </si>
  <si>
    <t xml:space="preserve"> Republic of the Philippines BIDS AND AWARDS COMMITTEE Province of Iloilo Invitation to Bid Purchase of PORTABLE DROPLIGHT Bid No. DRL-20-0723-B  1. The Iloilo Provincial Government, through the SB3  IRA CY 2018 intends to apply the sum of FORTY TWO THOUSA</t>
  </si>
  <si>
    <t xml:space="preserve"> Republic of the Philippines BIDS AND AWARDS COMMITTEE Province of Iloilo Invitation to Bid Purchase of SUCTION MACHINE Bid No. DRL-20-0745-B  1. The Iloilo Provincial Government, through the 20% IRA-HMO CY 2019 intends to apply the sum of FORTY THOUSAND P</t>
  </si>
  <si>
    <t xml:space="preserve"> Republic of the Philippines Region XII Province of Cotabato CITY OF KIDAPAWAN BIDS AND AWARDS COMMITTEE Invitation to Bid 						  		            Date: August 5, 2020 1.	The City Government of Kidapawan, through the 20% EDF CY 2020 Appropriation Ordinance 2</t>
  </si>
  <si>
    <t xml:space="preserve"> Republic of the Philippines BIDS AND AWARDS COMMITTEE Province of Iloilo Invitation to Bid Purchase of INFANT WEIGHING SCALE Bid No. DRL-20-0744-B  1. The Iloilo Provincial Government, through the 20% IRA-HMO SB 2018 intends to apply the sum of SEVENTEEN </t>
  </si>
  <si>
    <t xml:space="preserve"> Republic of the Philippines BIDS AND AWARDS COMMITTEE Province of Iloilo Invitation to Bid Purchase of DIGITAL COPIER PRINTER SCANNER Bid No. DRL-20-0327-B  1. The Iloilo Provincial Government, through the SUPPLEMENTAL BUDGET 2019 CAPITAL OUTLAY intends t</t>
  </si>
  <si>
    <t xml:space="preserve"> Republic of the Philippines BIDS AND AWARDS COMMITTEE Province of Iloilo Invitation to Bid Purchase of EMERGENCY CART TROLLY Bid No. DRL-20-0721-B  1. The Iloilo Provincial Government, through the SB3-IRA-HMO CY 2018 intends to apply the sum of ONE HUNDRE</t>
  </si>
  <si>
    <t xml:space="preserve"> 1.	The Local Government Unit of Kawayan, through the Local Government Support Fund-Assistance to Municipalities (LGSF-AM) Program  intends to apply the sum of Eleven Million Eight Hundred Ninety-Seven Thousand Pesos only (P11,897,000.00) being the Approve</t>
  </si>
  <si>
    <t xml:space="preserve"> INVITATION TO BID FOR  ESTABLISHMENT OF THREE (3) UNITS OF SMALL WATER IMPOUNDING SYSTEM (SWIS) AT BRGY. ROSACARA, BANSUD, ORIENTAL MINDORO 1.	The DENR PENRO – Oriental Mindoro, through the RA 11465, GAA 2020 intends to apply the sum of Three Million Nine</t>
  </si>
  <si>
    <t xml:space="preserve"> Republic of the Philippines BIDS AND AWARDS COMMITTEE Province of Iloilo Invitation to Bid Purchase of NEBULIZER MACHINE Bid No. DRL-20-0722-B  1. The Iloilo Provincial Government, through the SB3 IRA-HMO CY 2018 intends to apply the sum of EIGHTY ONE THO</t>
  </si>
  <si>
    <t xml:space="preserve"> 1. The OCCIDENTAL MINDORO STATE COLLEGE (OMSC), through the Special  Trust Fund (Php600,000.00) and General Fund (Php 250,000.00) intends to apply the sum of Eight Hundred Fifty Thousand Pesos Only (Php850,000.00) being the Approved Budget for the Contrac</t>
  </si>
  <si>
    <t xml:space="preserve"> The Bids and Awards Committee (BAC) of the LGU-Lubang, Occidental Mindoro invites contractors to bid for the aforementioned project: Contract I.D.:				ML-2020-04-18 Contract Name:	Purchase of One (1) Unit Ambulance Contract Location:	Lubang, Occidental Mi</t>
  </si>
  <si>
    <t xml:space="preserve"> BIDS AND AWARDS COMMITTEE INVITATION TO BID No. 051-2020 The METRO ROXAS WATER DISTRICT (MRWD), through its Bids and Awards Committee (BAC), invites Manufacturers/Suppliers/Distributors to apply for eligibility and to bid for the hereunder project: Name o</t>
  </si>
  <si>
    <t xml:space="preserve"> 3 units - Full Truss-1; 3 units - Ridge Truss &amp; 3 spans - Roofing</t>
  </si>
  <si>
    <t xml:space="preserve"> Republic of the Philippines Region XII Province of Cotabato City of Kidapawan OFFICE OF THE BIDS AND AWARD COMMITTEE August 5, 2020 INVITATION TO BID FOR  SUPPLY, DELIVERY AND INSTALLATION OF MULTI-FUNCTION FULL COLOR INKJET PRINTER FOR THE PRINTING AND R</t>
  </si>
  <si>
    <t xml:space="preserve"> Installation of Water System at Brgy. Poblacion, Merida, Leyte</t>
  </si>
  <si>
    <t xml:space="preserve"> SCHEDULE OF ACTIVITIES: BID EVALUATION - SEPTEMBER 8, 2020 POST QUALIFICATION - SEPTEMBER 10, 2020 NOTICE OF AWARD - SEPTEMBER 14, 2020 NOTICE TO PROCEED - SEPTEMBER 21, 2020</t>
  </si>
  <si>
    <t xml:space="preserve"> Invitation to Bid for Procurement of Works for the Proposed Renovation of Provincial Capitol Lobby (REBID) 1. The Provincial Government of Misamis Occidental, through the General Funds 20193 intends to apply the sum of One Million Five Hundred Twenty Thou</t>
  </si>
  <si>
    <t xml:space="preserve"> Invitation to Bid for Procurement of Civil Works for the Rehabilitation of Bahay Pag-asa Development Center 1. The Provincial Government of Misamis Occidental, through the General Funds 20203 intends to apply the sum of Two Million Six Hundred Eleven Thou</t>
  </si>
  <si>
    <t xml:space="preserve"> INVITATION TO BID The Bureau of Fisheries and Aquatic Resources Region 5 (BFAR 5), through the Government of the Philippines (GOP), for CY 2020 intends to apply the sum of Three Million Nine Hundred Ninety Six Thousand Five Hundred Pesos (PhP3,996,500.00)</t>
  </si>
  <si>
    <t xml:space="preserve"> Supply, Delivery, Installation, and Configuration of the TSU WiFi Modernization for the Lucinda Campus (Phase 1) Invitation to Bid No. 2020-011 1.	The Tarlac State University, through the Special Budget (SB) Fund intends to apply the sum of Four Million E</t>
  </si>
  <si>
    <t xml:space="preserve"> QTY	UNIT	ITEM DESCRIPTION 		  92.00 	lmtr	RC Pipe Laying with Manhole</t>
  </si>
  <si>
    <t xml:space="preserve"> QTY	UNIT	ITEM DESCRIPTION 		  1.00 	l.s.	Demolition  48.00 	sq.m.	Improvement of Sidewalk</t>
  </si>
  <si>
    <t xml:space="preserve"> Invitation to Bid for Procurement of Goods for Repainting of Capitol Old and New Building (Exterior Surface) 1. The Province of Misamis Occidental through the General Funds intends to apply the sum of One Million Nine Hundred Seventy-three Thousand Six Hu</t>
  </si>
  <si>
    <t xml:space="preserve"> Section I. Invitation to Bid for Procurement of 1 unit 6x4 Water Truck for PGO 1. The Province of Misamis Occidental through the General Funds intends to apply the sum of Four Million Pesos (P 4,000,000.00) being the Approved Budget for the Contract (ABC)</t>
  </si>
  <si>
    <t xml:space="preserve"> QTY	UNIT	ITEM DESCRIPTION 		  20.00 	lmtr	Fabrication / Installation of Streetlights</t>
  </si>
  <si>
    <t xml:space="preserve"> 2 units - street light post</t>
  </si>
  <si>
    <t xml:space="preserve"> Republic of the Philippines Province of Oriental Mindoro MUNICIPALITY OF SAN TEODORO INVITATION TO BID FOR THE  CONSTRUCTION OF PUBLIC MARKET No. 2020-15 August 4, 2020 1.	The Municipality of San Teodoro intends to apply the sum of Fifteen Million Five Hu</t>
  </si>
  <si>
    <t xml:space="preserve"> VARIOUS CONSTRUCTION MATERIALS AND SUPPLIES (ATTACHED REQUEST FOR QUOTATION)</t>
  </si>
  <si>
    <t xml:space="preserve"> Republic of the Philippines PROVINCE OF BUKIDNON Municipality of Sumilao INVITATION TO BID  ITB NO. CW-2020-10 REHABILITATION OF BARANGAY ROADS AT SUMILAO AREA 2020 1.	The Local Government Unit of Sumilao, through its Bds Awards Committee (BAC) invites co</t>
  </si>
  <si>
    <t xml:space="preserve"> L=72m, W=4.m, T=0.15m, Using Class"A" Concrete Mixture</t>
  </si>
  <si>
    <t xml:space="preserve"> Bid-Opening-August 27,2020 at 2:00 p.m. at Municipal Conference Room</t>
  </si>
  <si>
    <t xml:space="preserve"> Republic of the Philippines Province of Leyte Municipality of La Paz OFFICE OF THE BIDS AND AWARDS COMMITTEE INVITATION TO BID (ITB) – NO. : 2020 - 006 Procuring Entity : Municipality of La Paz, Leyte Title of Project : CONSTRUCTION OF LOCAL ACCESS ROAD (</t>
  </si>
  <si>
    <t xml:space="preserve"> Invitation to Bid No. 2020-03 Procurement of Various I.T. Equipment 1. The West Visayas State University- Janiuay Campus, through Fund 164intends to apply the sum of ONE MILLION TWENTY-SEVEN THOUSAND FIVE HUNDRED PESOS (PhP1,027,500.00) being the Approved</t>
  </si>
  <si>
    <t xml:space="preserve"> Invitation to Bid for SUPPLY AND DELIVERY OF OFFICE EQUIPMENT  FOR MUNICIPAL ENGINEERING OFFICE The Municipal Government of Looc, Romblon, through the AO-NO. 021-2020 Supplemental Appropriation1 intends to apply the sum of Ninety-Five Thousand Seven Hundr</t>
  </si>
  <si>
    <t xml:space="preserve"> Republic of the Philippines Municipality of Tabuelan Invitation to Bid  The Philippine Government Electronic Procurement System Office – Procurement Service invites PhilGEPS registered suppliers to bid for the hereunder items Attached: Description: 100 Un</t>
  </si>
  <si>
    <t xml:space="preserve"> Invitation to Bid for SUPPLY AND DELIVERY OF OFFICE EQUIPMENT  FOR MUNICIPAL SOCIAL WELFARE AND DEVELOPMENT OFFICE The Municipal Government of Looc, Romblon, through the AO-NO. 021-2020 Supplemental Appropriation1 intends to apply the sum of One Hundred T</t>
  </si>
  <si>
    <t xml:space="preserve"> Information Technology- 1.	1 set Transit Total Station (GNSSRTK)                       Support Multi Constellations &amp; Frequencies: -	GPL L1C/A, L2C, L2P, L5 -	GLONASS L1C/A, L2C/A -	BeiDou B1, B2, B3 -	Galileo E1, E5A, E5B -	QZSS L1C/A, L1C, L2C, L5 -	SBA</t>
  </si>
  <si>
    <t xml:space="preserve"> 1 lot- Installation of Upgraded Local Government System ----a   Treasury Management and Information System ----b   business permit and licensing system ----c   water billing and collection system ----d   market management and information system ----e   re</t>
  </si>
  <si>
    <t xml:space="preserve"> Section I. Invitation to Bid FOR THE UPLB-S-030-08-20 REBID  PROCUREMENT OF SIPHONING SERVICES OF SEPTIC TANKS FOR UPLB DORMITORIES (NEW DORMITORY, VETMED DORMITORY, FORESTRY RESIDENCE HALL, NEW FORESTRY RESIDENCE HALL) REBID 1.	The UNIVERSITY OF THE PHIL</t>
  </si>
  <si>
    <t xml:space="preserve"> DOUBLE CAB 4X2  6 WHEELER  4 CYLINDER DIESEL ENGINE  3,059 CC  94 HP  FIVE(5) SPEED MANUAL TRANSMISSION  GIGA TYPE  MECHANICAL WINDOW RISER  FLAT LOW  POWER STEERING 4X2 WITH AIRCON  WITH HARDTOP CANOPY AND FOLDING CHAIR  WITH COMPLETE ACCESSORIES, LTO RE</t>
  </si>
  <si>
    <t xml:space="preserve"> DOUBLE CAB 4X2   6 WHEELER   4 CYLINDER DIESEL ENGINE   2,835 CC   94 HP   FIVE (5) SPEED MANUAL TRANSMISSION   KC TYPE   POWER STEERING   4X2   WITH COMPLETE ACCESSORIES AND FREE LTO REGISTRATION AND INSURANCE</t>
  </si>
  <si>
    <t xml:space="preserve"> Invitation to Bid for SUPPLY AND DELIVERY OF OFFICE EQUIPMENT  FOR PDAO The Municipal Government of Looc, Romblon, through the AO-NO. 018-2019 Regular1 intends to apply the sum of Fifty Thousand Pesos Only (P 50,000.00) being the Approved Budget for the C</t>
  </si>
  <si>
    <t xml:space="preserve"> 1.	The Oroquieta City Water District, through the National Government 2017 intends to apply the sum of Two Million Nine Hundred Seventy Five Thousand Six Hundred Sixty Eight Pesos (Php 2,975,668.00) being the Approved Budget for the Contract (ABC) to paym</t>
  </si>
  <si>
    <t xml:space="preserve"> Republic of the Philippines PROVINCE OF NORTHERN SAMAR BIDS AND AWARDS COMMITTEE Catarman Purchase of Medical and Laboratory Supplies for the Northern Samar Provincial Hospital Barangay Acacia Catarman, Northern Samar NS-08-05-20-01 1.	The Provincial Gove</t>
  </si>
  <si>
    <t xml:space="preserve"> Invitation to Bid for Procurement of Pipes for Transmission and Distribution, Solar Pumps for Water System 1. The Province of Misamis Occidental through the General Funds intends to apply the sum of Nine Million Six Hundred Fifty Thousand Fifteen and Sixt</t>
  </si>
  <si>
    <t xml:space="preserve"> Please See Attachment</t>
  </si>
  <si>
    <t xml:space="preserve"> Issuance of Bid Documents Starts: August 5, 2020 Cost of Bid Document: Php 3,000.00 Venue of Dropping and Opening Bids: BAC Conference Room, Leyte SMED Center, Provincial Capitol Grounds, Tacloban City</t>
  </si>
  <si>
    <t xml:space="preserve"> Common Electrical Supplies, Office Supplies, Office Equipment, Cleaning/ Janitorial Supplies and Computer Consumable (By Lot).</t>
  </si>
  <si>
    <t xml:space="preserve"> Issuance of Bid Documents Starts: August 5, 2020 Cost of Bid Document: Php 4,000.00 Venue of Dropping and Opening Bids: BAC Conference Room, Leyte SMED Center, Provincial Capitol Grounds, Tacloban City</t>
  </si>
  <si>
    <t xml:space="preserve"> Masonry, plastering and tiles works, windows, windows Grills and Door</t>
  </si>
  <si>
    <t xml:space="preserve"> PLEASE SEE ATTACHED FILES FOR YOUR REFERENCE.</t>
  </si>
  <si>
    <t xml:space="preserve"> Issuance of Bid Documents Starts: August 5, 2020 Cost of Bid Document: Php 3,500.00 Venue of Dropping and Opening Bids: BAC Conference Room, Leyte SMED Center, Provincial Capitol Grounds, Tacloban City</t>
  </si>
  <si>
    <t xml:space="preserve"> Sub-grade Preparation, Aggregate Base Course  &amp; PCCP</t>
  </si>
  <si>
    <t xml:space="preserve"> VARIOUS MUSICAL INSTRUMENTS (ATTACHED REQUEST FOR QUOTATION)</t>
  </si>
  <si>
    <t xml:space="preserve"> BId-Opening-August 27,2020 at 2:00 p.m. at Municipal Conference Room</t>
  </si>
  <si>
    <t xml:space="preserve"> REQUEST FOR EXPRESSION OF INTEREST FOR CONSULTING SERVICES FOR THE PREPARATION OF SAN ISIDRO MALL (AGRO MALL), PUBLIC MARKET AND TRANSPORT TERMINAL FEASIBILITY STUDY, PLAN AND DETAILED ENGINEERING DESIGN Solicitation No.: Consulting Services-2020-01 The M</t>
  </si>
  <si>
    <t xml:space="preserve"> Section I. Invitation to Bid FOR THE UPLB-S-050-08-20  SUPPLY AND DELIVERY OF BOOKS FOR UNIVERSITY LIBRARY 1.	The UNIVERSITY OF THE PHILIPPINES LOS BAÑOS (UPLB), through the GOP intends to apply the sum of NINE HUNDRED EIGHTEEN THOUSAND SIX HUNDRED TWENTY</t>
  </si>
  <si>
    <t xml:space="preserve"> Republic of the Philippines DEPARTMENT OF PUBLIC WORKS &amp; HIGHWAYS, REGION X OFFICE OF THE DISTRICT ENGINEER Lanao del Norte 1st District Engineering Office 0054 Seminary Drive, Del Carmen, Iligan City (063) 225-4244  INVITATION TO BID/REQUEST FOR EXPRESSI</t>
  </si>
  <si>
    <t xml:space="preserve"> INVITATION TO BID Voice &amp; Data subscription for Inmarsat Disaster Emergency Communication Equipment 1.	The Department of Social Welfare and Development, Field Office V, through the General Appropriations Act (GAA), intends to apply the sum of Two Million </t>
  </si>
  <si>
    <t xml:space="preserve"> INVITATION TO BID FOR THE REBIDDING OF THE SUPPLY, DELIVERY, INSTALLATION AND COMMISSIONING OF ONE (1) UNIT ENT-HNS DIGITAL VIDEO STROBOSCOPE (IB NO. 2020-GOODS-014R-01-0805) 1.	The ILOCOS TRAINING AND REGIONAL MEDICAL CENTER (ITRMC), through the GAA, FY </t>
  </si>
  <si>
    <t xml:space="preserve"> Issuance of Bid Documents Starts: August 5, 2020 Cost of Bid Document: Php 2,500.00 Venue of Dropping and Opening Bids: BAC Conference Room, Leyte SMED Center, Provincial Capitol Grounds, Tacloban City</t>
  </si>
  <si>
    <t xml:space="preserve"> Republic of the Philippines DEPARTMENT OF PUBLIC WORKS &amp; HIGHWAYS BUKIDNON 3RD DISTRICT ENGINEERING OFFICE REGION X Dicklum, Manolo Fortich, Bukidnon SOIL TESTING / EXPLORATION FOR THE WIDENING OF PERMANENT BRIDGE (3 SITE LOCATIONS), MANOLO FORTICH, TALAK</t>
  </si>
  <si>
    <t xml:space="preserve"> Republic of the Philippines Province of Misamis Occidental MUNICIPALITY OF PANAON INVITATION TO BID FOR  PROCUREMENT OF ONE (1) UNIT AUV 2.8 L DIESEL, AUTOMATIC (Procurement of Goods) 									August 4, 2020 1.	The Local Government Unit of Panaon, Misamis</t>
  </si>
  <si>
    <t xml:space="preserve"> Invitation to Bid for Procurement of Works for the Construction of Multi- Capitol, Oroquieta City 1. The Provincial Government of Misamis Occidental, through the General Funds 20203 intends to apply the sum of Three Million Nine Hundred Seventy-three Thou</t>
  </si>
  <si>
    <t xml:space="preserve"> One (1) Job Contract for the Proposed 60 L.M. Hanging Foot Bridge, Brgy. Sarapan, Passi City, Iloilo/CEO</t>
  </si>
  <si>
    <t xml:space="preserve"> MG-A7M20-010..TOTAL REPLACEMENT OF STOP LOGS IN THE TAILRACE OF UNITS 1 &amp; 2 ABC  : P 10,000,000.00 PLACE OF DELIVERY : AGUS 6 &amp; 7 HEP WAREHOUSE MARIA CRISTINA, ILIGAN CITY AMOUNT OF BID DOCUMENTS : P10,000.00</t>
  </si>
  <si>
    <t xml:space="preserve"> Republic of the Philippines DEPARTMENT OF PUBLIC WORKS AND HIGHWAYS ILOILO CITY DISTRICT ENGINEERING OFFICE REGION VI Fort San Pedro, Iloilo City INVITATION TO BID FOR 20GGJ0059 - Supply and Delivery of Materials for the Instructional/Coordination Meeting</t>
  </si>
  <si>
    <t xml:space="preserve"> Republic of the Philippines DEPARTMENT OF PUBLIC WORKS AND HIGHWAYS ILOILO CITY DISTRICT ENGINEERING OFFICE REGION VI Fort San Pedro, Iloilo City INVITATION TO BID FOR 20GGJ0060 - Supply and Delivery of Office Equipment (3rd Quarter, CY 2020) for the use </t>
  </si>
  <si>
    <t xml:space="preserve"> INVITATION TO BID  Supply and Delivery of 24,592 bags Hybrid Palay Seeds for use of Rice Program 2020 1.	The Department of Agriculture Regional Field Office No. 5, through the General Appropriations Act (GAA) for CY 2020--Rice  intends to apply the sum of</t>
  </si>
  <si>
    <t xml:space="preserve"> Vehicles- 1.	1 unit Stake Truck 6 wheelers Specs: No. of Cylinders: 4 Displacement: 2771 Drive Layout: Rear Wheel Drive Max Output (kw/Hp/rpm): 80kw (108Hp) Max Torque (Nm/rpm): 260Nm Transmission: Getrag 5 speed manual Gross Weight: 4495 kgs. Wheelbase: </t>
  </si>
  <si>
    <t xml:space="preserve"> Construction Projects-Housing &amp; Resettlement Project Access Road to LGU Lot No. 2793, Mabua, Tandag City</t>
  </si>
  <si>
    <t xml:space="preserve"> Republic of the Philippines Province of Misamis Occidental MUNICIPALITY OF PANAON INVITATION TO BID FOR  PROCUREMENT OF ONE (1) UNIT AUV 2.8 L DIESEL, MANUAL (Procurement of Goods) 									August 4, 2020 1.	The Local Government Unit of Panaon, Misamis Oc</t>
  </si>
  <si>
    <t xml:space="preserve"> QTY	UNIT	ITEM DESCRIPTION 		  20.00 	unit/s	Fabrication / Installation of Streetlights</t>
  </si>
  <si>
    <t xml:space="preserve"> QTY	UNIT	ITEM DESCRIPTION 		  11.00 	unit/s	Fabrication / Installation of Streetlights</t>
  </si>
  <si>
    <t xml:space="preserve"> QTY	UNIT	ITEM DESCRIPTION 		  1.00 	unit	Service Vehicle 		Body Type: Pick -up 		5-Speed Automatic Transmission 		At least 2.4L, 4 Cylinder Diesel Engine 		&lt;3000 cc displacement 		Max. Output: At least 145 hp/3400 rpm 		Max. Torque: At least 340 Nm/1400-2</t>
  </si>
  <si>
    <t xml:space="preserve"> 1. The Department of Agrarian Reform Provincial Office, through CONVERGE intends to apply the sum of TWO HUNDRED TWENTY-FIVE THOUSAND Only (PHP 225,0000) being the Approved Budget for the Contract (ABC) to payments under the contract for CONSULTANCY SERVI</t>
  </si>
  <si>
    <t xml:space="preserve"> Issuance of Bid Documents Starts: August 5, 2020 Cost of Bid Document: Php 4,500.00 Venue of Dropping and Opening Bids: BAC Conference Room, Leyte SMED Center, Provincial Capitol Grounds, Tacloban City</t>
  </si>
  <si>
    <t xml:space="preserve"> QTY	UNIT	ITEM DESCRIPTION 		  55.00 	unit/s	Fabrication / Installation of Streetlights</t>
  </si>
  <si>
    <t xml:space="preserve"> See the attached Invitation and Checklist</t>
  </si>
  <si>
    <t xml:space="preserve"> INVITATION TO BID FOR THE FOLLOWING:   SUPPLY, DELIVERY, INSTALLATION, AND COMMISSIONING OF ONE (1) UNIT 32 SLICE COMPUTED TOMOGRAPHY- SCAN MACHINE (CT-SCAN) (IB NO. 2020-GOODS-016-01-0805) 1.	The ILOCOS TRAINING AND REGIONAL MEDICAL CENTER (ITRMC), throu</t>
  </si>
  <si>
    <t xml:space="preserve"> QTY	UNIT	ITEM DESCRIPTION	QTY	UNIT 				  55.00 	unit/s	Fabrication / Installation of Streetlights	 55.00 	unit/s</t>
  </si>
  <si>
    <t xml:space="preserve"> 1.	The Municipality of Daram, through the General Fund-2020 intends to apply the sum of One Million Pesos (P1,000,000.00) being the Approved Budget for the Contract (ABC) to payments under the contract for the Supply and Delivery of 400pcs. Toilet Bowl an</t>
  </si>
  <si>
    <t xml:space="preserve"> 20 Units	Computer printer -	A3 + Printing -	High yield ink bottles -	Print speed up to 15 ipm -	Print Resolution up to 5760 x 144 dpi -	Warranty of 2 years or 30,000 pages whichever comes first 39 units Computer printer -	Compact integrated tank design -	</t>
  </si>
  <si>
    <t xml:space="preserve"> Repair of 13.20 m. x 10.15m roofing of Public Market.</t>
  </si>
  <si>
    <t xml:space="preserve"> Republic of the Philippines Region XII Province of Cotabato City of Kidapawan OFFICE OF THE BIDS AND AWARD COMMITTEE August 5, 2020 INVITATION TO BID FOR  SUPPLY AND DELIVERY OF RESCUE EQUIPMENTS AND APPAREL FOR THE USE OF THE CDRRMO/CALL 911, KIDAPAWAN C</t>
  </si>
  <si>
    <t xml:space="preserve"> Provision for Janitorial and General Support Services for Pag-IBIG Fund Bicol Area      Janitor (6-day work/week) - 10      Janitor (5-day work/week) - 2      Driver (5-day work/week) - 5      Reproduction Machine Operator (5-day work/week) - 1      Carpe</t>
  </si>
  <si>
    <t xml:space="preserve"> 2 Units Digital Duplicator -	Print speed: 5 levels (60,80,100,120,130 rpm) -	Print Resolution: 300 dpi x 600 dpi -	Ink capacity: 1000 ml -	128 x 64 dot LCD panel -	Standard equipment pf PC-1/F -	Direct Printing from USB flash drive -	Up to B4 size -	One y</t>
  </si>
  <si>
    <t xml:space="preserve"> MG-A5C20-011..BATTERY BANK, 125VDC INDUSTRIAL LEAD ACID BATTERIES, 60 UNITS ABC  : P 3,500,000.00 PLACE OF DELIVERY  : AGUS 5 HEP WAREHOUSE DITUCALAN, ILIGAN CITY AMOUNT OF BID DOCUMENTS : P 5,000.00</t>
  </si>
  <si>
    <t xml:space="preserve"> INVITATION TO BID FOR the Supply and delivery of Supply and delivery of various livelihood materials for swine production, rice trading, sari-sari store, dried fish and pusit trading and carpentry under DOLE-SFO (second posting) 1.	The Department of Labor</t>
  </si>
  <si>
    <t xml:space="preserve"> INVITATION TO BID FOR THE PROCUREMENT OF SUPPLY &amp; DELIVERY OF 38 SETS LAYER POULTRY PACKAGE     1.	The Department of Agriculture Regional Field Office 6 through the General Appropriations Act (GAA) of 2020 intends to apply the sum of One Million Nine Hund</t>
  </si>
  <si>
    <t xml:space="preserve"> MG-A7M20-006..FABRICATION OF TRASH RACKS AT AGUS 6 HEP UNIT 3 ABC  : P 10,000,000.00 PLACE OF DELIVERY : AGUS 6 &amp; 7 HEP WAREHOUSE MARIA CRISTINA, ILIGAN CITY AMOUNT OF BID DOCUMENTS : P 10,000.00</t>
  </si>
  <si>
    <t xml:space="preserve"> Engine Specification:  Model: 1GD-FTV 1 unit 2.8 Diesel A/T  Type: 4 cylinder, 16 valve DOHC Variable Nozzle Turbo charger  Displacement: 2,755 cc Max. Output: A/T171 (M/T 167)/3,400 Max. Torque: A/T 360 (M/T 343)/1,200-3,400 Fuel system: Direct Injection</t>
  </si>
  <si>
    <t xml:space="preserve"> Plastic Envelopes Long and Transparent with handle,  any color Prospective Bidders must have completed a contract similar to the project with the amount of at least 50% of the ABC. Bidding will be conducted through open competitive bidding procedures usin</t>
  </si>
  <si>
    <t xml:space="preserve"> INVITATION TO REBID FOR THE PROCUREMENT OF SUPPLY &amp; DELIVERY OF INORGANIC FERTILIZERS      1.	The Department of Agriculture Regional Field Office 6 through the General Appropriations Act (GAA) of 2020 intends to apply the sum of Forty Five Million Seven H</t>
  </si>
  <si>
    <t xml:space="preserve"> Development and Deployment of the Philippines Anti-Illegal Drugs Strategy – Agency Reporting and Monitoring System (PADS-ARMS) Please see attached Terms of Reference (TOR).</t>
  </si>
  <si>
    <t xml:space="preserve"> INVITATION TO BID The Department of Public Works and Highways - Pampanga 1st District Engineering Office, through its Bids and Awards Committee (BAC), invites contractors to submit bids for the following Contract: 1.	 Procurement ID/Contract ID	:	20CG0259</t>
  </si>
  <si>
    <t xml:space="preserve"> PGSO-2020-0194 PR2020-0561 INVITATION TO BID FOR THE PROCUREMENT OF CANOPY FOR TENT AND TENTS WITH CANOPY FOR USE AT PGBH ACTIVITIES AT NEW CAPITOL BUILDING AND OTHER FACILITIES ABC: P 1,002,000.00 COST OF BID DOCUMENTS: P 5,000.00 ADVERTISEMENT PERIOD: A</t>
  </si>
  <si>
    <t xml:space="preserve"> I N V I T A T I O N   T O   B I D 2020 - 148 August 5, 2020 1.	The Provincial Government of Tarlac through the PGO - Other Land Improvements intends to apply the sum of Two Million Four Hundred Fifty Thousand Nine Hundred Eighty-Seven Pesos and 95/100 (Ph</t>
  </si>
  <si>
    <t xml:space="preserve"> I N V I T A T I O N   T O   B I D 2020 - 147 August 5, 2020 1.	The Provincial Government of Tarlac through the Trust Fund (CMGP 2020) intends to apply the sum of Fourteen Million Six Hundred Eighty-Nine Thousand One Hundred Seventy-Six Pesos Only (PhP 14,</t>
  </si>
  <si>
    <t xml:space="preserve"> BLGU-San Juan - Padre Burgos, Southern Leyte Invitation to Bid for Rehabilitation of Street Lighting  1.	The BLGU –San Juan, Padre Burgos, Southern Leyte, through the Barangay 20% EDF 2020  intends to apply the sum of One Hundred Ninety Four Thousand One </t>
  </si>
  <si>
    <t xml:space="preserve"> PEO-2020-0195 PR2020-0562 INVITATION TO BID FOR THE PROCUREMENT OF ANAPOG FOR REGRAVELLING OF BAGACAY TO ABACHANAN BARANGAY ROAD, SIERRA BULLONES, BOHOL ABC: P 1,153,565.00 COST OF BID DOCUMENTS: P 5,000.00 ADVERTISEMENT PERIOD: AUGUST 5 - 26, 2020 PRE-BI</t>
  </si>
  <si>
    <t xml:space="preserve"> I N V I T A T I O N   T O   B I D 2020 - 146 August 5, 2020 1.	The Provincial Government of Tarlac through the Trust Fund (CMGP 2020) intends to apply the sum of Forty-One Million Four Hundred Five Thousand Six Hundred Twenty-Six Pesos Only (PhP 41,405,62</t>
  </si>
  <si>
    <t xml:space="preserve"> BLGU-San Juan - Padre Burgos, Southern Leyte Invitation to Bid for Proposed Pathway to Basketball Court 1.	The BLGU –San Juan, Padre Burgos, Southern Leyte, through the Barangay 20% EDF,   intends to apply the sum of Ninety Three Thousand Pesos only (Php9</t>
  </si>
  <si>
    <t xml:space="preserve"> I N V I T A T I O N   T O   B I D 2020 - 145 August 5, 2020 1.	The Provincial Government of Tarlac through the Trust Fund (CMGP 2020) intends to apply the sum of Forty-Seven Million Three Hundred Forty-Seven Thousand Nine Hundred Two Pesos Only (PhP 47,34</t>
  </si>
  <si>
    <t xml:space="preserve"> LOT 1		 4	copies	Mandarin 1 Revised Ed./ Morillo, 2019 4	copies	Fundamentals in Lodging Operations/ Maranan, 2019 4	copies	Cruise Tourism /Escabillas,2019 4	copies	Legal Aspects in Tourism &amp; Hospitality/Maranan, 2019 4	copies	A Macro Perspective on Touris</t>
  </si>
  <si>
    <t xml:space="preserve"> Invitation to Bid for Procurement of Two (2) units 6-Wheeler 4000L PTO Fire Truck 1. The Province of Misamis Occidental through the General Funds intends to apply the sum of Fifteen Million Four Hundred Fifty-six Thousand Pesos (Php. 15,456,000.00) being </t>
  </si>
  <si>
    <t xml:space="preserve"> REQUEST FOR EXPRESSION OF INTEREST FOR  CONSULTING SERVICES FOR THE PREPARATION OF FEASIBILITY STUDY (FS), SURVEY AND DETAILED ENGINEERING DESIGN (D.E.D.) OF THE PHILIPPINE RURAL DEVELOPMENT PROJECT (PRDP): 1) CONCRETING OF RIZAL WEST-RAMOS WEST-RAMOS EAS</t>
  </si>
  <si>
    <t xml:space="preserve"> PEO-2020-0197 PR2020-0575 INVITATION TO BID FOR THE PROCUREMENT OF LABOR, MATERIALS, AND EQUIPMENT FOR THE CONSTRUCTION OF 2-CLASSROOM SCHOOL BUILDING WITH PWD TOILETS AT MAHANAY HIGH SCHOOL AT MAHANAY, TALIBON, BOHOL ABC: P 3,077,874.05 COST OF BID DOCUM</t>
  </si>
  <si>
    <t xml:space="preserve"> INVITATION TO BID FOR THE PROCUREMENT OF PERISHABLE ITEMS FOR BANGUN IMPLEMENTATION IN BASILAN PROVINCE The Department of Social Welfare and Development (DSWD) Field Office IX through the Government of the Philippines General Appropriations Act of 2020 in</t>
  </si>
  <si>
    <t xml:space="preserve"> INVITATION TO BID  FOR PROCUREMENT OF CONSTRUCTION MATERIALS FOR  CONSTRUCTION OF POTABLE WATER SYSTEM @ LAYA 1.	The Local Government of Alfonso Lista Ifugao through the 20% Development Fund FY 2020 intends to apply the sum of One Million One Hundred Eigh</t>
  </si>
  <si>
    <t xml:space="preserve"> ASSTD</t>
  </si>
  <si>
    <t xml:space="preserve"> INVITATION TO REBID The Iligan City Government Bids and Awards Committee (BAC), through TRUST FUND intends to apply the sum of P 1,481,955.00 being the Approved Budget for the Contract (ABC) to payments under the Contract for Procurement of Rental of Heav</t>
  </si>
  <si>
    <t xml:space="preserve"> 1 pc Printing Machine (Risograph) Direct Printing from a USB flash Drive Direct from PC Print Print Speed 60 to 130 paper per minute (5 steps variable) Original Type Book ,Sheet Master Supply-250 sheets per roll Print Resolution-300x600dpi Printing Area m</t>
  </si>
  <si>
    <t xml:space="preserve"> MG-A5C20-021..BUCHHOLZ RELAY, AGUS 5 HE PLANT ABC  : P 2,000,000.00 PLACE OF DELIVERY  : AGUS 5 HEP WAREHOUSE DITUCALAN, ILIGAN CITY AMOUNT OF BID DOCUMENTS : P 3,000.00</t>
  </si>
  <si>
    <t xml:space="preserve"> supply and delivery of the following: Lot 1 - Gasoline, Oil and Lubricants Expenses			-	1,934,460.00 5,575 Ltrs - Gasoline (Tricycle Drivers)				 16, 666 Ltrs - Gasoline (Fisherfolks) 				 12, 000 Ltrs - Diesel				 				 Lot 2 - Agricultural Supplies Expen</t>
  </si>
  <si>
    <t xml:space="preserve"> ASSORTED SIZES</t>
  </si>
  <si>
    <t xml:space="preserve"> 250V</t>
  </si>
  <si>
    <t xml:space="preserve"> 1. The ENERGY REGULATORY COMMISSION (ERC), through the Government of the Philippines (GOP), intends to apply the sum of Seven Million Three Hundred Eighteen Thousand Five Hundred Pesos (PhP7,318,500.00), inclusive of all government taxes, and other fees a</t>
  </si>
  <si>
    <t xml:space="preserve"> The Roxas City Government, through the GOP-2020 intends to apply the total amount of One Hundred Fifty Thousand Pesos (P 150,000.00) being the Approved Budget for the Contract (ABC) to payments under the contract for Public Bidding for the Supply and Deli</t>
  </si>
  <si>
    <t xml:space="preserve"> for replacement of old tires of various service vehicle</t>
  </si>
  <si>
    <t xml:space="preserve"> INVITATION TO BID Procurement of Calibration Equipment in Batangas State University, Pablo Borbon Main II The Batangas State University, through the Supplemental 2020 intends to apply the sum of Ten Million Pesos only (Php 10,000,000.00) being the Approve</t>
  </si>
  <si>
    <t xml:space="preserve"> INVERTER TYPE</t>
  </si>
  <si>
    <t xml:space="preserve"> MICA</t>
  </si>
  <si>
    <t xml:space="preserve"> Republic of the Philippines BOHOL ISLAND STATE UNIVERSITY Main Campus, Tagbilaran City INVITATION TO BID FOR RE-BIDDING: SUPPLY AND DELIVERY OF ARM CHAIRS AND SALA SETS (PR NO. 2020-02-0376, 2020-02-0240, 2020-02-0371) 1.	The Bohol Island State University</t>
  </si>
  <si>
    <t xml:space="preserve"> Medical Equipment</t>
  </si>
  <si>
    <t xml:space="preserve"> INVITATION TO BID FOR Procurement of Equipment and CCTV Set for New I.T. Building           The CAMARINES SUR POLYTECHNIC COLLEGES, through the GAA (2020) intends to apply the sum of Two Million One Hundred Twenty Five Thousand One Hundred Seventy Pesos (</t>
  </si>
  <si>
    <t xml:space="preserve"> INVITATION TO BID Procurement of Three (3) Units Passenger Van and One (1)	Unit Multi-Purpose Vehicle in Batangas State University, Pablo Borbon Main I The Batangas State University, through the Supplemental 2019 intends to apply the sum of Six Million Fi</t>
  </si>
  <si>
    <t xml:space="preserve"> Republic of the Philippines BOHOL ISLAND STATE UNIVERSITY Main Campus, Tagbilaran City INVITATION TO BID FOR RE-BIDDING: SUPPLY AND DELIVERY OF PLAQUE FOR THE PRAISE AWARDING 2020 (PR NO. 2020-06-0584) 1.	The Bohol Island State University – Main Campus, T</t>
  </si>
  <si>
    <t xml:space="preserve"> Form No. 	IFD-SP-PROC002-001 			BOHOL ISLAND STATE UNIVERSITY	Revision: 	00 			Main Campus	Effectivity Date:	June 17, 2019 			  C.P.G. North Avenue, Tagbilaran City, Bohol	Related Process:	BISU-SP-PROC-002 				REQUEST FOR QUOTATION	 					 The Bohol Island</t>
  </si>
  <si>
    <t xml:space="preserve"> INVITATION TO BID LGU-El Salvador City, Misamis Oriental through its BAC, invites interested bidders to apply for eligibility and if found eligible to bid for the contract: 1.	Contract ID No.	:	ITB No. 2020-08-075/Project ID No. 20-027-SB#1-ENGG Name of P</t>
  </si>
  <si>
    <t xml:space="preserve"> Construction of Ramp and Other PWD Requirements (Various Public Schools and Public Buildings), located at Makati City - Order of payment for Bid Docs will be available at GSD-Head Office @ 10th Floor Makati City Hall Bldg. 2.  Look for Mr. Reden Villanuev</t>
  </si>
  <si>
    <t xml:space="preserve"> Renovation and Improvement of Pitogo Community Complex located at Cebu St. Cor. Luzon St., Brgy. Pitogo, Makati City - Order of payment for Bid Docs will be available at GSD-Head Office @ 10th Floor Makati City Hall Bldg. 2.  Look for Mr. Reden Villanueva</t>
  </si>
  <si>
    <t xml:space="preserve"> CLARK DEVELOPMENT CORPORATION CLARK FREEPORT ZONE INVITATION TO BID The Clark Development Corporation, through its Bids and Awards Committee (BAC), invites Audio-Visual Equipment Suppliers to bid for the hereunder project: Name of Project:Supply and Insta</t>
  </si>
  <si>
    <t xml:space="preserve"> Rehabilitation, Repair, Renovation and Repainting of Cembo Talipapa located at Narra St. Brgy. Cembo, Makati City - Order of payment for Bid Docs will be available at GSD-Head Office @ 10th Floor Makati City Hall Bldg. 2.  Look for Mr. Reden Villanueva. -</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</si>
  <si>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</si>
  <si>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Department of Public Works and Highways (DPWH) Contract ID: 20G00114 Contract Name: Construction of River bank protection works along Kalibo River, Kalibo Bridge III, Tigayon, Kalibo Section, Aklan Location of the Contract: Tigayon, Kalibo, Aklan --------</t>
  </si>
  <si>
    <t xml:space="preserve"> Department of Public Works and Highways (DPWH) Contract ID: 20G00115 Contract Name: Construction of River Bank Protection Works along Kalibo River, Kalibo Bridge III, Mina, Lezo Section, Aklan Location of the Contract: Lezo, Aklan ------------------------</t>
  </si>
  <si>
    <t xml:space="preserve"> Proposed Construction of Police Headquarters, Mapsa Headquarters &amp; Cental Fire Station, located at Malugay Street, Brgy. San Antonio, Makati City - Order of payment for Bid Docs will be available at GSD-Head Office @ 10th Floor Makati City Hall Bldg. 2.  </t>
  </si>
  <si>
    <t xml:space="preserve"> Form No. 	IFD-SP-PROC002-001			 			BOHOL ISLAND STATE UNIVERSITY	Revision: 	00			 			Main Campus	Effectivity Date:	June 17, 2019			 			  C.P.G. North Avenue, Tagbilaran City, Bohol	Related Process:	BISU-SP-PROC-002			 				REQUEST FOR QUOTATION				 							</t>
  </si>
  <si>
    <t xml:space="preserve"> Construction of Comfort Room, Riprapping and Construction of Perimeter Fence at Public Market New Public Market, Capalonga,  Camarines Norte</t>
  </si>
  <si>
    <t xml:space="preserve"> Name of the Procuring Entity: TONDO MEDICAL CENTER Name of the Project:  Procurement of Platform Truck and Electric Shower Heater      			                                          Location of the Project: Tondo Medical Center Balut, Tondo Manila          </t>
  </si>
  <si>
    <t xml:space="preserve"> BUKIDNON 1ST DISTRICT ENGINEERING OFFICE REGIONAL OFFICE 10 Malaybalay City REQUEST FOR EXPRESSION OF INTEREST (REOI) FOR CONTRACT ID NO. 20CSKA0001 Contract ID	:	20CSKA0001 Contract Name	:	Conduct of Soil Testing/Exploration for F.Y. 2021 Projects Contra</t>
  </si>
  <si>
    <t xml:space="preserve"> INVITATION TO BID FOR PROCUREMENT AND DELIVERY OF HOSPITAL FIXTURE AND MEDICAL AND LABORATORY EQUIPMENT 1.	The DOH-CHD I through the Continuing Appropriations (CONAP) 2019 for Projects 1-4 &amp; 9 and GOP CY 2020 for Projects 5-8 intends to apply the sums bei</t>
  </si>
  <si>
    <t xml:space="preserve"> 524 bags Complete Fertilizer 14-14-14 at 50 kgs. 524 bags Urea Fertilizer 46-0-0 at 50 kgs. 140 bottles Prevatone, 250 ml Terms and Conditions: 1.	With FPA License. 2.	15 days delivery period. 3.	Delivered at Municipal Hall, Solsona, Ilocos Norte. 4.	Haul</t>
  </si>
  <si>
    <t xml:space="preserve"> INVITATION TO BID FOR SUPPLY AND DELIVERY OF STRETCH FILM TO BE USED FOR THE PRODUCTION OF FAMILY FOOD PACKS FOR CY 2020 THROUGH FRAMEWORK AGREEMENT —  ITB NO. GOP/20-DSWD-028-B — (PR NO. 01-20001-PR-2020-02-00038) 1. The Department of Social Welfare and </t>
  </si>
  <si>
    <t xml:space="preserve"> LOT 1-Refrigerated Van (Brand New)  Minimum Specification:6 wheeler mounted with 14 footer refrigerated van, Engine Size: 4.0L Engine Displacement 3,933,150 PS @2,500 rpm, 570N-m @ 1400rpm  Euro IV 4 cylinder Turbocharger with intercooler, Common Rail Dir</t>
  </si>
  <si>
    <t xml:space="preserve"> Proposed Rehabilitation and Upgrading of Existing Streetlighting along Antipolo Street (Phase 1 and 2) located at Barangay Poblacion/Valenzuela, Makati City - Order of payment for Bid Docs will be available at GSD-Head Office @ 10th Floor Makati City Hall</t>
  </si>
  <si>
    <t xml:space="preserve"> &lt; Name and Location of Contracts&gt;						Bill of Quantities	 Item No.		Description		Unit	Quantity	Unit Price	Amount in 1	SITE WORKS						 2	EXTERIOR FENCE						 3	INTERIOR FENCE						 4	PAINTING WORKS						 5	FORMWORKS &amp; SCAFFOLDINGS						 6	MISCELLANEOUS W</t>
  </si>
  <si>
    <t xml:space="preserve"> Proposed Perimeter Fence along Residential Area at Makati Homes-I, located at H. Santos Street, Brgy. Tejeros, Makati City - Order of payment for Bid Docs will be available at GSD-Head Office @ 10th Floor Makati City Hall Bldg. 2.  Look for Mr. Reden Vill</t>
  </si>
  <si>
    <t xml:space="preserve"> REQUEST FOR QUOTATION -Supply, Delivery, Wiring and Installation of One (1) Unit Automatic Transfer Switch                                           for 80KVACummins Genset Area of Delivery	:	DBP Dipolog Branch Building Approved Budget	:	P150,000.00 Deliv</t>
  </si>
  <si>
    <t xml:space="preserve"> Proposed Entry Landmark in Various Locations at Makati City - Order of payment for Bid Docs will be available at GSD-Head Office @ 10th Floor Makati City Hall Bldg. 2.  Look for Mr. Reden Villanueva. - A  complete set of Bidding Documents will be availabl</t>
  </si>
  <si>
    <t xml:space="preserve"> INVITATION TO BID FOR THE  PROCUREMENT OF PLASTIC PALLET  IB NO. 2020-232 1.	The Department of Health (DOH), through the General Appropriations Act of 2020 intends to apply the sum of Two Million Five Hundred Philippine Pesos (PhP2,500,000.00) being the A</t>
  </si>
  <si>
    <t xml:space="preserve"> 1. The ENERGY REGULATORY COMMISSION (ERC), through the Government of the Philippines (GOP), intends to apply the sum of One Million Three Hundred Thirty-three Thousand Three Hundred Thirty-three Pesos and Thirty-three Centavos (PhP1,333,333.33), inclusive</t>
  </si>
  <si>
    <t xml:space="preserve"> PROVINCE OF BILIRAN		                                                                     Project Reference Number: ITB No. 20-29 Name of Procuring Entity      INVITATION TO BID FOR THE SALE OF VARIOUS UNSERVICEABLE PROPERTIES ON “AS IS, WHERE IS” BASIS T</t>
  </si>
  <si>
    <t xml:space="preserve"> INVITATION TO BID LGU-El Salvador City, Misamis Oriental through its BAC, invites interested bidders to apply for eligibility and if found eligible to bid for the contract: 1.	Contract ID No.	:	ITB No. 2020-08-076/Project ID No. 20-023-20% Name of Project</t>
  </si>
  <si>
    <t xml:space="preserve"> INVITATION TO BID (2020-07-04) The Department of Justice (DOJ), through the Bids and Awards Committee (BAC) is inviting interested parties to bid for the following projects:                                                                                Pr</t>
  </si>
  <si>
    <t xml:space="preserve"> 1. The ENERGY REGULATORY COMMISSION (ERC), through the Government of the Philippines (GOP), intends to apply the sum of Four Million Three Hundred Eighty-One Thousand Six Hundred Sixty-Six Pesos and Sixty-Seven Centavos (PhP4,381,666.67), inclusive of all</t>
  </si>
  <si>
    <t xml:space="preserve"> INVITATION TO BID FOR THE PROCUREMENT OF GROCERY ITEMS FOR BANGUN IMPLEMENTATION IN BASILAN PROVINCE The Department of Social Welfare and Development (DSWD) Field Office IX through the Government of the Philippines General Appropriations Act of 2020 inten</t>
  </si>
  <si>
    <t xml:space="preserve"> INVITATION TO BID FOR THE PROCUREMENT OF PERISHABLE ITEMS FOR BANGUN IMPLEMENTATION IN SULU PROVINCE The Department of Social Welfare and Development (DSWD) Field Office IX through the Government of the Philippines General Appropriations Act of 2020 inten</t>
  </si>
  <si>
    <t xml:space="preserve"> Invitation to Bid for SOPDP 2020 1.The Philippine Coconut Authority – XI, through the authorized appropriations under the continuing appropriation of FY 2020 General Appropriations Act (GAA), intends to apply the sum of  Two Million One Hundred Ninety Tho</t>
  </si>
  <si>
    <t xml:space="preserve"> INVITATION TO BID FOR  1.	The Municipal Government of Coron, Palawan, through the 2020 Annual Municipal Budget intends to apply the sum of Nine Million Nine Hundred Ninety Six Thousand  Pesos (PhP9,996,000.00) being the Approved Budget for the Contract (A</t>
  </si>
  <si>
    <t xml:space="preserve"> Pediatric Medicines: 4,320	bottle	 Ascorbic Acid + Zinc Syrup 60 ml 4,320	bottle	Multivitamins Syrup 60ml 		 		 Adult Medicines-Capsules and Tablets: 800	Box	Amlodipine 5 mg tablet 100/box 800	Box	Amlodipine 10 mg tablet 100/box 6,000	Box	Losartan Potassi</t>
  </si>
  <si>
    <t xml:space="preserve"> 16,394 BOX SODIUM ASCORBATE( VITAMIN C) CAPSULE 500 MG 100 PCS/BOX</t>
  </si>
  <si>
    <t xml:space="preserve"> INVITATION TO BID FOR THE PROCUREMENT PROJECT: REPRODUCTION AND DOOR TO DOOR DELIVERY TO SCHOOLS DIVISION OFFICES OF REGION VII OF SELF-LEARNING MODULES PROVIDED BY THE DEPED CENTRAL OFFICE FOR QUARTER I 1.	The Department of Education- Region VII, through</t>
  </si>
  <si>
    <t xml:space="preserve"> ENGINE:		 4-cylinder, in-line, direct injection, turbocharged and		 intercooled diesel engine; volume displacement= 4.1-4.3 liters;		 power output: 95-100kW @ 2,800 rpm; torque: ≥ 380N-m @ 		 1,400 - 1,800 rpm		 WEIGHT AND DIMENSION:		 gross vehicle weigh</t>
  </si>
  <si>
    <t xml:space="preserve"> INVITATION TO BID LGU-El Salvador City, Misamis Oriental through its BAC, invites interested bidders to apply for eligibility and if found eligible to bid for the contract: 1.	Contract ID No.	:	ITB No. 2020-08-077/Project ID No. 20-043-SB#1-20% Name of Pr</t>
  </si>
  <si>
    <t xml:space="preserve"> INVITATION TO BID (2020-07-04) The Department of Justice (DOJ), through the Bids and Awards Committee (BAC) is inviting interested parties to bid for the following projects:                                                                    Project			:	Pu</t>
  </si>
  <si>
    <t xml:space="preserve"> One  (1) Lot Office Equipment ( Supply, Delivery,  Installation, Testing and Commissioning of Air- Conditioning Units) 2020-03 for PRO III  				 				03 units AIRCON -Ceiling Cassette Type; 2.5 HP Cooling 				     Capacity; Power Supply: 220V; Single Phase</t>
  </si>
  <si>
    <t xml:space="preserve"> Please see attached bidding documents or you may visit our website @www.prc.gov.ph.</t>
  </si>
  <si>
    <t xml:space="preserve"> INVITATION TO BID FOR THE PROCUREMENT OF SEMI-PERISHABLE ITEMS FOR BANGUN IMPLEMENTATION IN TAWI-TAWI PROVINCE The Department of Social Welfare and Development (DSWD) Field Office IX through the Government of the Philippines General Appropriations Act of </t>
  </si>
  <si>
    <t xml:space="preserve"> INVITATION TO BID FOR THE PROCUREMENT OF SEMI-PERISHABLE ITEMS FOR BANGUN IMPLEMENTATION IN SULU PROVINCE The Department of Social Welfare and Development (DSWD) Field Office IX through the Government of the Philippines General Appropriations Act of 2020 </t>
  </si>
  <si>
    <t xml:space="preserve"> (3rd Bidding) 1.	The Government Service Insurance System (GSIS) through the GSIS Corporate Operating Budget for CY 2020 intends to apply the sum of One Hundred Two Million Eight Hundred Seventy Thousand Two Hundred Ninety One Pesos and Forty One Centavos </t>
  </si>
  <si>
    <t xml:space="preserve"> INVITATION TO BID FOR THE PROCUREMENT OF SEMI-PERISHABLE ITEMS FOR BANGUN IMPLEMENTATION IN BASILAN PROVINCE The Department of Social Welfare and Development (DSWD) Field Office IX through the Government of the Philippines General Appropriations Act of 20</t>
  </si>
  <si>
    <t xml:space="preserve"> INVITATION TO BID FOR THE PROCUREMENT OF GROCERY ITEMS FOR BANGUN IMPLEMENTATION IN SULU PROVINCE The Department of Social Welfare and Development (DSWD) Field Office IX through the Government of the Philippines General Appropriations Act of 2020 intends </t>
  </si>
  <si>
    <t xml:space="preserve"> supply and delivery of the following: Lot 1 - LIVESTOCK                                         pHP 1,352,500.00 127 Heads - Upgraded Native Goat Specification: • Matured kid ready for breeding • Female kid • Not less than 8kgs. 2,050 heads - Native chick</t>
  </si>
  <si>
    <t xml:space="preserve"> INVITATION TO BID FOR THE PROCUREMENT OF GROCERY ITEMS FOR BANGUN IMPLEMENTATION IN TAWI-TAWI PROVINCE The Department of Social Welfare and Development (DSWD) Field Office IX through the Government of the Philippines General Appropriations Act of 2020 int</t>
  </si>
  <si>
    <t xml:space="preserve"> Computer,HArd drive Opening of bidding is on August 14, 2020 9:00am at Barangay Hall, Barangay Southside, Makati City</t>
  </si>
  <si>
    <t xml:space="preserve"> SCOPE OF WORKS: A.1.1(8)	Provision of Field Office	8.00	month B.3	Project Billboard &amp; Signboard	2.00	each B.7	Occupational Safety and Health Program	8.00	months B.8 (2)	Traffic Management	1.00	l.s B.9	Mobilization/Demobilization	1.00	l.s 101(6)	Removal of</t>
  </si>
  <si>
    <t xml:space="preserve"> Tarpaulin. garbage bag, trash bin opening of bid will be on august 14, 2020 9:00am at Barangay Hall,Barangay Southside, Makati City</t>
  </si>
  <si>
    <t xml:space="preserve"> Openning of bids will be on Aguust 14, 2020 9:00am at Barangay Hall, Barangay Southside Makati City</t>
  </si>
  <si>
    <t xml:space="preserve"> INVITATION TO BID FOR THE PROCUREMENT OF GOODS AND SERVICES FOR FISH PRODUCTION-RELATED PROGRAM IN SUPPORT TO BAYANIHAN TO HEAL AS ONE ACT  (ITB NO. 2020-09) 1. The Bureau of Fisheries and Aquatic Resources-Regional Fisheries Office I (BFAR-RFO I, through</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</si>
  <si>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</si>
  <si>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Republic of the Philippines BIDS AND AWARDS COMMITTEE Province of Iloilo Invitation to Bid Purchase of DIESEL FUEL Bid No. GOV-20-0942-B 1. The Iloilo Provincial Government, through the GENERAL FUND 2020 intends to apply the sum of  ONE MILLION SEVEN HUND</t>
  </si>
  <si>
    <t xml:space="preserve"> INVITATION TO BID Procurement of Desktop Computers for Various Offices and Campuses in Batangas State University 1.	The Batangas State University, through the Supplemental Budget 2018, PRE FY 2018, STF 2018  intends to apply the sum of Six Million Nine Hu</t>
  </si>
  <si>
    <t xml:space="preserve"> Republic of the Philippines Province of Iloilo Municipality of Ajuy BIDS AND AWARD COMMITTEE INVITATION TO APPLY FOR ELIGIBILITY AND TO BID 	The Local Government of Ajuy, Iloilo invites Accredited Supplier to apply for eligibility and to bid for the Concr</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</si>
  <si>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</si>
  <si>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3	Unit	Brand New Shuttle Bus	 (Completely Built- Unit)	 Overall Dimension: (mm)	 11000x2500x3600	 Front/Rear Overhang: (mm)	 2250/3190	 Wheelbase : (mm)	 5550 regular bus	 Luggage Compartment volume	 Max 8.2 m3	 Engine: 270HP(Euro 4)	 Transmission: Manual</t>
  </si>
  <si>
    <t xml:space="preserve"> 112	ROLL	ADDING MACHINE SLIP ADVANCE 57MM X 70M*	 75	PC	BALLPEN HBW ASSORTED* 7263	PC	BALLPEN HBW BLACK*	 812	PC	BALLPEN HBW BLUE*	 757	PC	BALLPEN HBW RED*	 792	PC	BALLPEN PANDA BLACK*	 216	PC	BALLPEN PANDA BLUE*	 216	PC	BALLPEN PANDA RED*	 50	PC	BALLPEN </t>
  </si>
  <si>
    <t xml:space="preserve"> 4	Unit	Brand New Jet Ski with trailer	 		Engine Type: 3 clinder, 4 stroke 	 		Electronic Fuel Injection	 		Displacement: 1,049 cc	 		Fuel Capacity: 70L/18.5gal 	 		unleaded gasoline	 		Rider Capacity: 1-3 persons	 		Storage Capacity: 93.2L/24.6 gal	 		Dim</t>
  </si>
  <si>
    <t xml:space="preserve"> 1	Lot	HIGH PRESSURE VEHICLE EXTRICATION KIT		 		Inclusions:		 		1 Unit High Pressure Power Unit		 		Specification:		 		Max. Working Pressure: 10,500 PSI - 		 		724 BAR		 		Length: 21.20 in - 538.5 mm		 		Width: 15.50 in - 393.7 mm		 		Height: 15.0 in - 38</t>
  </si>
  <si>
    <t xml:space="preserve"> 120	CAN	AIR FRESHENER CAN (CALIFORNIA	 		SCENT)*	 92	CAN	AIR FRESHENER CAN (SHALDAN)*	 413	BTL	AIR FRESHENER GLADE 320ML SPRAY*	 96	BTL	ALCOHOL ISOPROPHYL 70% (GREEN	 		CROSS) 250ML*	 232	BAR	BATH SOAP (SAFEGUARD) 90G*	 6	PC	BOWL BRUSH &amp; CUDDY	 4	PC	BROOM</t>
  </si>
  <si>
    <t xml:space="preserve"> 118 	bags	        Portland Cement 13	cu.m.	Washed Gravel 1-1/2 9	cu.m.	Washed Sand 10	pcs.	        12mm DRB 8	pcs.	        2” x 6” x 10’  Coco Lumber/Forms 1	KLS.	        4” CW Nails</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</si>
  <si>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</si>
  <si>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OFFICE SUPPLIES AND MATERIALS: 10	pcs.	USB3.0-Flash drive 32GB 10	pcs.	USB3.0-Flash drive 64GB 		 OTHER SUPPLIES AND MATERIALS: 4	pck	Cable tie 4x150mm (100/pck) 30	pcs	Spiral wrap 1M 10	pcs	Adhesive 100gms (no more nails) 5	box	UTP cable CAT5e (305m/box)</t>
  </si>
  <si>
    <t xml:space="preserve"> Invitation to Bid for Rejuvenation thru Fertilization CY 2020 1.The Philippine Coconut Authority – XI, through the authorized appropriations under the continuing appropriation of FY 2020 General Appropriations Act (GAA), intends to apply the sum of  One M</t>
  </si>
  <si>
    <t xml:space="preserve"> Invitation to Bid for Rejuvenation thru Fertilization CY 2020 1.The Philippine Coconut Authority – XI, through the authorized appropriations under the continuing appropriation of FY 2020 General Appropriations Act (GAA), intends to apply the sum of  Seven</t>
  </si>
  <si>
    <t xml:space="preserve"> Landscaping of pathways, Plastic/ Styro Densifier, Brick Mold Machine Prebidding conference will be on August 10, 2020 9:00am at Barangay Hall, Barangay Southside, Makati City Opening of Bids will be on August 14, 2020 9:00am at Barangay Hall, Barangay So</t>
  </si>
  <si>
    <t xml:space="preserve"> BIDS AND AWARDS COMMITTEE-SECURITY PLANT COMPLEX INVITATION TO BID 1. The Bangko Sentral ng Pilipinas (BSP), through its Bids and Awards Committee-Security Plant Complex, invites Bidders to apply for eligibility and to bid for the hereunder requirement: N</t>
  </si>
  <si>
    <t xml:space="preserve"> 85	bags	Portland Cement 5	cu.m.	Washed Gravel ¾” 8	cu.m.	Washed Sand 20	pcs.	10mm DRB 3	kls.	#16 GI Tie Wires 500	pcs. 	4” CHB 30	pcs	6mm Steel Matting 8	pcs.	1-1/2 Dia GI Pipe Sch. 40 2	kls.	Concrete Nails 1	box	Steel Cutting Disc 5	pcs.	Stone Grinding D</t>
  </si>
  <si>
    <t xml:space="preserve"> Republic of the Philippines										 BIDS AND AWARDS COMMITTEE										 Baguio City										 (074) 300-6537/ (074)442-8795										 BID FORM										 CP No. 2020-51 Bidding									July 30, 2020	 Circular Proposal No.									Date Prepared	 									</t>
  </si>
  <si>
    <t xml:space="preserve"> Republic of the Philippines										 BIDS AND AWARDS COMMITTEE										 Baguio City										 (074) 300-6537/ (074)442-8795										 BID FORM										 CP No. 2020-50 Bidding									July 29, 2020	 Circular Proposal No.									Date Prepared	 									</t>
  </si>
  <si>
    <t xml:space="preserve"> Description Attached</t>
  </si>
  <si>
    <t xml:space="preserve"> CP No. 2020-49 Bidding									July 29, 2020	 Circular Proposal No.									Date Prepared	 										 The City Government of Baguio, through its Bids and Awards Committee desires to purchase the articles listed below										 From Oct. 1, 2020 to Sept. 3</t>
  </si>
  <si>
    <t xml:space="preserve"> 2.	Contract ID	No. 	      	: 20AD0098 Contract Name	      	: Construction of Candon Sports Complex, Phase I Contract Location	      	: Bagani Campo, Candon City, Ilocos Sur	       Brief Description	      	: Construction of Sports Complex Approved Budget f</t>
  </si>
  <si>
    <t xml:space="preserve"> 1.	Contract ID	No. 	      	: 20AD0097 Contract Name	      	: Construction of Candon Sports Complex, Phase II Contract Location	      	: Bagani Campo, Candon City, Ilocos Sur	       Brief Description	      	: Construction of Sports Complex Approved Budget </t>
  </si>
  <si>
    <t xml:space="preserve"> Republic of the Philippines										 BIDS AND AWARDS COMMITTEE										 Baguio City										 (074) 300-6537/ (074)442-8795										 BID FORM										 CP No. 2020-52 Bidding									July 30, 2020	 Circular Proposal No.									Date Prepared	 									</t>
  </si>
  <si>
    <t xml:space="preserve"> Procuring of the following Farm Machineries/Equipments   1. Mechanical Rice Transplanter   2.Rice reaper   3. Floating Tiller   4. Open Source Water Pump   5.Pressurized Power Sprayer   6. 2 Stroke Brush Cutter</t>
  </si>
  <si>
    <t xml:space="preserve"> PROJECT REFERENCE NO. CWD 35-2020 Invitation to Bid for  Drilling of Exploratory Well in  Various Areas of Calamba City, Laguna Item No.	Item Description	Qty.	Unit	Unit Cost	Total Amount 1	Brgy. Turbina, Glenwood Subdivision (200 mtrs)	1	Lot	4,828,110.00 </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</si>
  <si>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</si>
  <si>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Supply and Delivery of Carbon Brush for Staplex Air Sampler</t>
  </si>
  <si>
    <t xml:space="preserve"> Republic of the Philippines										 BIDS AND AWARDS COMMITTEE										 Baguio City										 (074) 300-6537/ (074)442-8795										 BID FORM										 CP No. 2020-45 Bidding									July 21, 2020	 Circular Proposal No.									Date Prepared	 									</t>
  </si>
  <si>
    <t xml:space="preserve"> INVITATION TO APPLY FOR ELIGIBILITY AND TO BID The local Government Unit of Can-avid, through is Bid and Awards Committee (BAC). Invites suppliers to apply for eligibility, to bid for the hereunder contract: Name of Contract: 	PURCHASE AND DELIVERY OF MAT</t>
  </si>
  <si>
    <t xml:space="preserve"> Contract for the Supply of Various Spare Parts (Kit Mimic Panel HMI, Fuse 200A, Fuse 10A, etc.) under PR No. RS-0620-008 and ITB No. 2007-038-01 Schedule of Activities  Pre-bid Conference		: 07 August 2020 @ 10:00 A.M. 				  Cafeteria, LRTA Line 2- Depot,</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</si>
  <si>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</si>
  <si>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1. The Energy Regulatory Commission (ERC), through the continuing Appropriation for Fiscal Year 2019, intends to apply the sum of Four Million Eight Hundred Thousand (PhP4,800,000.00), inclusive of all government taxes and other fees and charges, being th</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</si>
  <si>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</si>
  <si>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Invitation to Bid Supply and Delivery of Food Items (1 lot) for the Supplementary Feeding Program for the 10th cycle implementation CY 2020    1. The Department of Social Welfare and Development, Field Office 02, through the Government of the Philippines </t>
  </si>
  <si>
    <t xml:space="preserve"> Supply and Delivery of Office equipment, Semi-Expendable Furniture &amp; Fixtures and Furniture &amp; Fixtures &amp; Semi-Expendable Information and Communication Technology Equipment.</t>
  </si>
  <si>
    <t xml:space="preserve"> SECTION I. REQUEST FOR EXPRESSION OF INTEREST  Consulting Services For The  Revenue and Finance Operation Modernization Project 1.	The Municipal Government of Maramag, Bukidnon, through the General Fund intends to apply the sum of Php 20,000,000 being the</t>
  </si>
  <si>
    <t xml:space="preserve"> REQUEST FOR EXPRESSION OF INTEREST (REOI) FOR          Consulting Services for the Concept Study of Baler By-Pass Road, Baler, Aurora 1.	The Department of Public Works and Highways – Aurora District Engineering Office, through the FY-2019 Preliminary Deta</t>
  </si>
  <si>
    <t xml:space="preserve"> 1st Bidding The Local Government Unit of Paracale,Camarines Norte ,through its Bids and Awards Committe (BAC ) invites a contractor registered with and classified by the Philippine Contractors Accreditation Board ( PCAB) to apply for eligibility and to be</t>
  </si>
  <si>
    <t xml:space="preserve"> Barangay Government Unit										 Imelda, Zamboanga Sibugay										 										 INVITATION TO APPLY FOR ELIGIBILITY AND TO BID										 										 The Barangay Government Unit  of Imelda, Zamboanga Sibugay , through its Bids and  Awards Committee (BAC)</t>
  </si>
  <si>
    <t xml:space="preserve"> Republic of the Philippines MUNICIPALITY OF ORION Province of Bataan Bids and Awards Committee Secretariat Office, 2nd Floor Municipal Building, San Vicente, Orion, Bataan Telephone No. 244-9611 local 101 20ITB-G-03-00053 Invitation to Bid 1.	The Municipa</t>
  </si>
  <si>
    <t xml:space="preserve"> Republic of the Philippines Region XII Province of Cotabato City of Kidapawan OFFICE OF THE BIDS AND AWARD COMMITTEE July 30, 2020 INVITATION TO BID FOR  SUPPLY OF FUEL FOR THE PROPOSED ROAD REHABILITATION/CROWNING AND COMPACTION OF VARIOUS BARANGAY ROADS</t>
  </si>
  <si>
    <t xml:space="preserve"> Republic of the Philippines Region XII Province of Cotabato CITY OF KIDAPAWAN BIDS AND AWARDS COMMITTEE Invitation to Bid 						  		             Date: July 30, 2020 1.	The City Government of Kidapawan, through the LDRRMF ORDINANCE No. 19-107 Disaster Prev</t>
  </si>
  <si>
    <t xml:space="preserve"> Republic of the Philippines Province of Sarangani Municipality of Maitum Invitation to Bid for Construction of Lined Canal within Brgy. Malalag The Local Government of Maitum, through LGSF – FA FY 2019 intends to apply the sum of Php 8,000,000.00 being th</t>
  </si>
  <si>
    <t xml:space="preserve"> SECTION I. INVITATION TO BID SUPPLY AND DELIVERY OF CONSERVATION, PRESERVATION AND EXHIBITION MATERIALS FOR THE NATIONAL LIBRARY OF THE PHILIPPINES The National Library of the Philippines (NLP) through the authorized appropriation for FY 2020 General Appr</t>
  </si>
  <si>
    <t xml:space="preserve"> Republic of the Philippines City of Gapan Province of Nueva Ecija -------------------------------------------------------------------------- Invitation to Bid for the Installation of Fiber Optic, CCTV, Early Warning System, and other Paraphernalia for Cen</t>
  </si>
  <si>
    <t xml:space="preserve"> AS PER CRITERIA ATTACHED IN THE REQUEST FOR EXPRESSION OF INTEREST</t>
  </si>
  <si>
    <t xml:space="preserve"> Republic of the Philippines City of Gapan Province of Nueva Ecija -------------------------------------------------------------------------- Invitation to Bid for the Construction of “Ang Lumang Gapan Project” 1.	The City Government of Gapan, through the </t>
  </si>
  <si>
    <t xml:space="preserve"> Per compliance with the GPPB Resolution 03-2020 and BAC Resolution 2020-0018, The PCOO - BAC has issued a new notice for the resumption of the negotiated procurement of the Supply and Delivery of Office Supplies. The Meeting will be conducted via Google M</t>
  </si>
  <si>
    <t xml:space="preserve"> Republic of the Philippines Province of zamboanga Sibugay Municipality of Olutanga 7014 JULY 30,2020 NOTICE TO THE PUBLIC INVITIATION TO APPLY FOR ELIGIBILITY AND TO BID All interested bidders are invited to Pre-qualify and participate in sealed bidding f</t>
  </si>
  <si>
    <t xml:space="preserve"> The Supreme Court of the Philippines, through the Bids &amp; Awards Committee for the Halls of Justice, invites bids for the Repair and Rehabilitation of the Hall of Justice in Baler, Aurora and Refurbishment of Leased Property for the Courts in Imus City, Ca</t>
  </si>
  <si>
    <t xml:space="preserve"> INVITATION TO APPLY FOR ELIGIBILITY AND TO BID The local Government Unit of Can-avid, through is Bid and Awards Committee (BAC). Invites suppliers to apply for eligibility, to bid for the hereunder contract: Name of Contract: 	PURCHASE AND DELIVERY OF OFF</t>
  </si>
  <si>
    <t xml:space="preserve"> SCOPE OF WORKS: B.5	Project Billboard &amp; Signboard	2.00	each B.7 (1)	Occupational Safety and Health Program	6.00	mos.	 103(1)a.1	Removal of Existing Concrete Pavement (0.20 m thk.)	18.00	cu.m. 103(1)a	Structure Excavation (Common Soil, RCPC)	1.91	cu.m. 104</t>
  </si>
  <si>
    <t xml:space="preserve"> SCOPE OF WORKS: B.5	Project Billboard &amp; Signboard	2.00	each 101(1)	Removal of Structure and Obstruction (Overflow Bridge)	1.00	l.s 101(4)a3	Removal of Structure and Obstruction , 910 mm dia. RCPC	7.00	l.m 102(2)	Roadway Excavation (Surplus Common)	1,201.4</t>
  </si>
  <si>
    <t xml:space="preserve"> SCOPE OF WORKS: B.5	Project Billboard &amp; Signboard	2.00	each	 102(2)	Roadway Excavation (Surplus Common)	196.25	cu.m. 103(6)a	Pipe Culverts &amp; Drainage Excavation, Common Soil	3.99	cu.m. 104(1)a	Embankment from Road Excavation	175.00	cu.m. 105(1)a	Subgrade </t>
  </si>
  <si>
    <t xml:space="preserve"> SCOPE OF WORKS: B.5	Project Billboard &amp; Signboard	2.00	each		 101(4)a3	Removal of Structures/Obstructions, 910 mm dia. RCPC	5.00	ln.m. 102(2)	Roadway Excavation (Surplus Common)	1,311.25	cu.m. 103(6)a	Pipe Culverts and Drain Excavation (Common Soil)	31.30</t>
  </si>
  <si>
    <t xml:space="preserve"> 1.	The Bohol Island State University-Clarin Campus, Poblacion Norte, Clarin, Bohol, through the Corporate Budget for the contract approved by the governing Boards for CY 2020  intends to apply the sum of Five Hundred Thousand Pesos (Php 500,000.00) being </t>
  </si>
  <si>
    <t xml:space="preserve"> Supply and Delivery of IT equipment, Parts Tools and Software for Installation and Configuration of Communication Networking Equipment including System Integration .</t>
  </si>
  <si>
    <t xml:space="preserve"> Republic of the Philippines Province of Samar Catbalogan City INVITATION TO BID FOR Goods 2020-018 Supply and Delivery of  Computer Equipment (Laptop and printer)  and Nine (9) units Office Equipment (aircondition) 1.	The City Government of Catbalogan, th</t>
  </si>
  <si>
    <t xml:space="preserve"> INVITATION TO BID The Iligan City Government Bids and Awards Committee (BAC), through  2016 GENERAL FUND-Proper intends to apply the sum of  P 3,300,000.00 being the Approved Budget for the Contract (ABC) to payments under the Contract for Supply and Deli</t>
  </si>
  <si>
    <t xml:space="preserve"> To provide catering services for the conduct of Training of Trainers on the NTP Manual of Procedure, 6th Edition August 25-28, 2020 in General Santos City.</t>
  </si>
  <si>
    <t xml:space="preserve"> Procurement of One (1) unit Brand New 4X2, 6-wheeler Cab for the Use of the Assets Management Office. To view Bidding Documents please copy this link on your browser: https://drive.google.com/file/d/1cDQo0TPrclBSM9Bd4TO5oDJECYPSsl1O/view?usp=sharing -----</t>
  </si>
  <si>
    <t xml:space="preserve"> Procurement of licenses, Network Access Control (NAC) appliance inclusive of 1,200 device license scalable (up to 5,000 devices) with implementation, support and trainings for the enhancement of OP Network Access Control. To view Bidding Documents please </t>
  </si>
  <si>
    <t xml:space="preserve"> INVITATION TO BID No. 20-004 ONE (1) YEAR GARBAGE COLLECTION, TRANSPORT AND DISPOSAL SERVICES (2nd Posting) 1.	The Cultural Center of the Philippines (CCP), through  its Corporate Operating Budget of 2020 intends to apply the sum of Two Million Nine Hundr</t>
  </si>
  <si>
    <t xml:space="preserve"> Concreting of Barangay Road W-4.00m x L-0.94km</t>
  </si>
  <si>
    <t xml:space="preserve"> INVITATION TO BID  Procurement of Security Services for Batangas State University  1.	The Batangas State University, through the MDS / STF / SUPPLEMENTAL BUDGET 2020 intends to apply the sum of Thirty Four Million Nine Hundred Nineteen Thousand Four Hundr</t>
  </si>
  <si>
    <t xml:space="preserve"> Concreting of Barangay Road W-2.00 x L-350m and Gravelled Raod W-2.00 x L-350m</t>
  </si>
  <si>
    <t xml:space="preserve"> Invitation to Bid No. LGU-Lupao- 2020-044 The Local Government of Lupao, Nueva Ecija Invitation to Bid for the Concreting of Farm to Market Road located at Brgy. San Roque of this municipality with Identification No. 2020-044 1. The Municipality of Lupao </t>
  </si>
  <si>
    <t xml:space="preserve"> Invitation to Bid No. LGU-Lupao- 2020-043 The Local Government of Lupao, Nueva Ecija Invitation to Bid for the Concreting of Farm to Market Road located at Brgy. Balbalungao ( Sitio Baybayabas ) of this municipality with Identification No. 2020-043 1. The</t>
  </si>
  <si>
    <t xml:space="preserve"> DP 160-3a, 60 LPS @ 68mts TDH, 6"Ø NPT,  SS 316, submersible pump, coupled to 75.0 Hp, 460 V, 3 phase, 3 wires, 8"Ø Franklin Submersible motor - 1 set 82-A3 Splicing Kit - 2	pcs 3C - 50mm² / #1.0 AWG submersible wire (flat wire preferred)  - 68 meters VFD</t>
  </si>
  <si>
    <t xml:space="preserve"> REPUBLIC OF THE PHILIPPINES Province of Nueva Ecija MUNICIPALITY OF LUPAO Invitation to Bid No. LGU-Lupao- 2020-042 The Local Government of Lupao, Nueva Ecija Invitation to Bid for the Concreting of Farm to Market Road located at Agupalo Este of this muni</t>
  </si>
  <si>
    <t xml:space="preserve"> see associated components for downloadable RFQ 2020-4235)</t>
  </si>
  <si>
    <t xml:space="preserve"> REQUEST FOR EXPRESSION OF INTEREST FOR CONSULTANCY SERVICES FOR THE PREPARATION OF DETAILED ENGINEERING DESIGN FOR THE REHABILITATION OF SHIP REPAIR FACILITIES (SRF) PIER AND WHARVES PROJECT (SBMA-BAC-CONS-RFEI-20-03 1.	The Subic Bay Metropolitan Authorit</t>
  </si>
  <si>
    <t xml:space="preserve"> The Local Government Unit of San Andres. Quezon is Requesting for Quotation for the Purchase of Materials for the Fabrication of Wooden windows Mosquito Net Frame at Bryg. Poblacion, San Andres, Quezon amounting to Php 56,735.00.</t>
  </si>
  <si>
    <t xml:space="preserve"> PROJECT REFERENCE NO. CWD 36-2020 INVITATION TO BID FOR  Supply and Delivery of Various I.T Equipment of Different Departments ITEM NO.	PARTICULAR	QTY	UNIT	UNIT COST	TOTAL 1	CPU - i7	3	units	50,000.00	150,000.00 2	Printer 3 in 1	1	unit	20,000.00	20,000.00</t>
  </si>
  <si>
    <t xml:space="preserve"> GOODS 2020-06-046 PURCHASE OF MEDICAL, DENTAL &amp; LABORATORY SUPPLIES ALLOCATION FOR 2020 FOR RHU 2 FOR MINGLANILLA, CEBU The Municipality of Minglanilla, through the Local Fund of Municipality of Minglanilla intends to apply the sum of TWO MILLION NINE HUN</t>
  </si>
  <si>
    <t xml:space="preserve"> Contract for One (1) Lot Cloud Storage, 20TB under P.R. No. KMT-2002-008 and ITB No. 2006-029-10 Schedule of Activities  Pre-bid Conference		: 05 August 2020 @ 10:00 A.M. 				  Cafeteria, LRTA Line 2- Depot, Santolan, Pasig City Submission of Bids		: 19 A</t>
  </si>
  <si>
    <t xml:space="preserve"> GOODS 2020-06-045 PURCHASE OF MEDICAL, DENTAL &amp; LABORATORY SUPPLIES ALLOCATION FOR 2020 FOR RHU 1 FOR MINGLANILLA, CEBU The Municipality of Minglanilla, through the Local Fund of Municipality of Minglanilla intends  to  apply  the  sum  of   THREE MILLION</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</si>
  <si>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</si>
  <si>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</si>
  <si>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</si>
  <si>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Republic of the Philippines Province of Davao Occidental MUNICIPALITY OF SARANGANI Invitation to Bid CONSTRUCTION OF MULTI-PURPOSE BUILDING (BODEGA) (8000-2-2-15) MABILA, SARANGANI, DAVAO OCCIDENTAL. The Municipality of Sarangani, through 20% Devt.  Fund </t>
  </si>
  <si>
    <t xml:space="preserve"> Republic of the Philippines City of Dapitan BIDS AND AWARDS COMMITTEE INVITATION TO BID July 28, 2020 	 The City Government of Dapitan, through its Bids and Awards Committee (BAC), invites interested parties to apply for eligibility and, if found eligible</t>
  </si>
  <si>
    <t xml:space="preserve"> 4" Check Valve  - 1 set 3" Check Valve  - 1 set 10" Mechanical Flowmeter with pulser 	- 1 set 6" Mechanical Flowmeter with Pulser  - 1 set 4" Mechanical Flowmeter - 1 set 2" Mechanical Flowmeter - 1 set 6" Y-Strainer - 1	set 4" Y-Strainer - 1	set 2" Y-Str</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</si>
  <si>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</si>
  <si>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Use for the fabrication of playground set at San Pedro West Day Care Center/CSAP Housing</t>
  </si>
  <si>
    <t xml:space="preserve"> The Zamboanga State College of Marine Sciences and Technology (ZSCMST), through its Bids and Awards Committee, is inviting PhilGeps registered suppliers to apply for eligibility and to submit bids for the items mentioned hereunder: B-045-2020-A SUPPLY AND</t>
  </si>
  <si>
    <t xml:space="preserve"> INVITATION TO BID ITB NO.: A6-2020 The East Avenue Medical Center through its Hospital Bids and Awards Committee (BAC) through the General Appropriations Act (GAA) 2020, Revolving Fund, and/or Hospital Income, invites suppliers / manufacturers / distribut</t>
  </si>
  <si>
    <t xml:space="preserve"> The Zamboanga State College of Marine Sciences and Technology (ZSCMST), through its Bids and Awards Committee, is inviting PhilGeps registered suppliers to apply for eligibility and to submit bids for the items mentioned hereunder: B-044-2020  PROCUREMENT</t>
  </si>
  <si>
    <t xml:space="preserve"> 1.	The Bureau of Soils and Water Management, through the General Appropriation Act for CY 2020 intends to apply the sum of One Million Two Hundred Fifty Thousand pesos (Php 1,250,000.00) being the Approved Budget for the Contract (ABC) to payments under t</t>
  </si>
  <si>
    <t xml:space="preserve"> INFRA 2020-06-044  IMPROVEMENT  OF BRGY. WARD I COVERED COURT/ MULTI-PURPOSE BUILDING (PHASE III) AT BRGY. WARD I, MINGLANILLA, CEBU 1.	The MUNICIPALITY OF MINGLANILLA, through the Local Fund intends to apply the sum of   Two  Million   Nine   Hundred   N</t>
  </si>
  <si>
    <t xml:space="preserve"> Invitation to Bid for the “PROPOSED CONSTRUCTION OF STORAGE FACILITY FOR HAZARDOUS MATERIALS” 1. The Subic Bay Metropolitan Authority, through the 2020 Corporate Operating Budget for the contract approved by the SBMA Governing Board, intends to apply the </t>
  </si>
  <si>
    <t xml:space="preserve"> The Zamboanga State College of Marine Sciences and Technology (ZSCMST), through its Bids and Awards Committee, is inviting PhilGeps registered suppliers to apply for eligibility and to submit bids for the items mentioned hereunder: B-043-2020  CONTINUOUS </t>
  </si>
  <si>
    <t xml:space="preserve"> Invitation to Bid For Supply and Delivery of Additional 120 Units for Existing Cisco ISR 4221 Routers 1.	The LAND BANK OF THE PHILIPPINES (LANDBANK), through its Corporate Budget for the contract Thirty One Million Four Hundred Five Thousand Pesos Only (P</t>
  </si>
  <si>
    <t xml:space="preserve"> Section I. Invitation to Bid FOR THE UPLB-S-048-08-20  SUPPLY AND DELIVERY OF BRANDED AND BRAND NEW CHEMICALS AND CHEMICAL PRODUCTS FOR BIOTECH 1.	The UNIVERSITY OF THE PHILIPPINES LOS BAÑOS (UPLB), through the GOP intends to apply the sum of TWO MILLION </t>
  </si>
  <si>
    <t xml:space="preserve"> Contract for the Supply of Various Spare Parts (Static Inverter IGBT, Static Inverter Gate Drive Unit, and SIV Fuse) under P.R. No. RS-0720-010 and ITB No.2007-037-01 Schedule of Activities  Pre-bid Conference		: 05 August 2020 @ 10:00 A.M. 				  Cafeteri</t>
  </si>
  <si>
    <t xml:space="preserve"> Invitation to Bid for the “REHABILITATION OF MT. STA. RITA COMMUNICATION FACILITY” 1. The Subic Bay Metropolitan Authority, through the 2020 Corporate Operating Budget for the contract approved by the SBMA Governing Board, intends to apply the sum of Six </t>
  </si>
  <si>
    <t xml:space="preserve"> REQUEST FOR EXPRESSION OF INTEREST FOR THE PROCUREMENT OF CONSULTING SERVICES TO DEVELOP THE COMMISSION ON HUMAN RIGHTS ORGANIZATIONAL STRUCTURE AND STAFFING PATTERN AND PREPARATION FOR LEVEL 2 PRIME HRM ACCREDITATION 1.	The Commission on Human Rights (CH</t>
  </si>
  <si>
    <t xml:space="preserve"> Request for Quotation for the Procurement of 753 bags of Chicken Dung 1.	The Department of Agriculture-Regional Field Office 7 (DA-RFO 7), through the General Appropriation Act for CY 2020 intends to apply the sum of One Hundred Twelve Thousand Nine Hundr</t>
  </si>
  <si>
    <t xml:space="preserve"> The Local Government Unit of Santa Fe, Nueva Vizcaya, through its Bids &amp; Awards Committee invites contractors to bid for the following project: Contract Name: 	CONCRETING OF TACTAC-ATBU ROAD Contract Location: Tactac, Santa Fe, Nueva Vizcaya Approve Budge</t>
  </si>
  <si>
    <t xml:space="preserve"> Section I. Invitation to Bid FOR THE UPLB-S-049-08-20  PROCUREMENT FOR THE REHABILITATION/UPGRADE OF INTERNET CONNECTION FOR BAC SECRETARIAT OFFICE 1.	The UNIVERSITY OF THE PHILIPPINES LOS BAÑOS (UPLB), through the GOP intends to apply the sum of EIGHT HU</t>
  </si>
  <si>
    <t xml:space="preserve"> 1.	The Sultan Kudarat Water District, through the Corporate Budget Approved by the Governing Board  intends to apply the sum of P 2,520,000.00 being the Approved Budget for the Contract (ABC) to payments under the contract. Bids received in excess of the </t>
  </si>
  <si>
    <t xml:space="preserve"> Lot 1: Books ABC Php 147,115.00 3	copies  	Animation and Multimedia: K-12, 3rd ed./Jemma Development Group ©2017 3	copies  	Animation: Intermediate with DVD, 2nd ed./3G E-Learning ©2018 3	copies  	Art Appreciation/Solmerano, E. ©2019 3	copies  	Biology 2/</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</si>
  <si>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</si>
  <si>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</si>
  <si>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Upgrading of Internet Infrastructure •	Mobilization/ Demobilization and Logistics, Installation, Cable Pulling(Rough-ins), Grounding for Racks, Termination, Configuration, Labor •	Network Unifi AC-LR Access Point, UTP CAT5E Cable 300m, Fiber Optic Cable, </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</si>
  <si>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</si>
  <si>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ROAD CONCRETING, (LENGTH=150 MTS.,WIDE=2.50 MTS.,THICK=0.10 MTS.</t>
  </si>
  <si>
    <t xml:space="preserve"> 1.	The Bureau of Soils and Water Management, through the General Appropriation Act for CY 2020 intends to apply the sum of: LOT 1- Supply and Delivery of Palay and Vegetable seeds in the amount of One Million Three Hundred Seventy-Seven Thousand Seven Hun</t>
  </si>
  <si>
    <t xml:space="preserve"> AREA FOR REPAIR-68.82M; T=2.5"; VOL.4.30M; H=5CHB; T=3" CONCRETE BENCH- L=25LM; W=0.3M</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</si>
  <si>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</si>
  <si>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Section I. Request for Expression of Interest Consulting Service for the Support and Maintenance of the Business Name Registration System Next Generation (BNRSNextGEN) 1.	The Department of Trade and Industry, through the CY 2020 General Appropriations Act</t>
  </si>
  <si>
    <t xml:space="preserve"> Republic of the Philippines BIDS AND AWARDS COMMITTEE Province of Iloilo Invitation to Bid Purchase of Medical &amp; Laboratory Supplies Bid No. DIS-20-0817-B 1. The Iloilo Provincial Government, through the LDRRM TRUST FUND intends to apply the sum of ONE MI</t>
  </si>
  <si>
    <t xml:space="preserve"> 14 males security personnel 3 females security personnel The Mindanao Central Sanitarium, through the General Appropriations Act of 2020 intends to apply the sum of Three Million Three Hundred Seventy-Eight Thousand Six Hundred Sixty-Eight &amp; 40/100 Pesos </t>
  </si>
  <si>
    <t xml:space="preserve"> Invitation to Bid for COMPLETION OF TECHNOLOGY HUB SND ONE STOP SHOP, MARIANO M. MONDOÑEDO AVE., UPLB, COLLEGE, LAGUNA 1.	The U.P. LOS BAÑOS, through the GOP through UPLB REPROGRAMMED FUND intends to apply the sum of ₱6,757,122.34 being the Approved Budge</t>
  </si>
  <si>
    <t xml:space="preserve"> INVITATION TO BID  PROCUREMENT  OF TWO (2) UNITS  BRAND NEW MEDICAL AMBULANCE   GS 2020-007-025 1.	The City Government of Sorsogon    intends to apply the sum of   Four   Million   Four Hundred      Thousand      Pesos (P 4,400,000.00) being the Approved </t>
  </si>
  <si>
    <t xml:space="preserve"> 100 "Bag(s)" "Fertilizer, Organic, Vermicast -" "" 10 "Bag(s)" "Fertilizer, Urea (46-0-0) -" "" 10 "Bag(s)" "Fertilizer, Complete (14-14-14) - 60 "Bundle(s)" "Plastic Black PE -" "(Polyethelyne Bag Expanded) 7x7x10x0.003" 4 "Pack(s)" "Seeds, Pechay, OPV -</t>
  </si>
  <si>
    <t xml:space="preserve"> Section I. Invitation to Bid Supply and Delivery of Laptop Computers for the Department of Trade &amp; Industry (DTI) 1. The Department of Trade and Industry, through the General Appropriations Act for CY 2020, intends to apply the sum of Twenty-Six Million O</t>
  </si>
  <si>
    <t xml:space="preserve"> Various Medical Supplies Line items type of Bidding</t>
  </si>
  <si>
    <t xml:space="preserve"> Republic of the Philippines Region X PROVINCE OF LANAO DEL NORTE Gov. Arsenio A. Quibranza Provincial Government Center Pigcarangan, Tubod, Lanao del Norte OFFICE OF THE CHAIRPERSON OF THE BIDS AND AWARDS COMMITTEE Provincial Government of Lanao del Norte</t>
  </si>
  <si>
    <t xml:space="preserve"> Delivery of materials and Scope of Project</t>
  </si>
  <si>
    <t xml:space="preserve"> 2” Sleeve Type Coupling - 80.00	Pcs 3” Sleeve Type Coupling - 50.00	Pcs 4” Sleeve Type Coupling - 70.00	Pcs 6” Sleeve Type Coupling - 50.00	Pcs 8” Sleeve Type Coupling - 35.00	Pcs Hot dipped galvanized 9/16” x 14” threaded rods with minimum of 4” thread l</t>
  </si>
  <si>
    <t xml:space="preserve"> Sub Soil Exploration</t>
  </si>
  <si>
    <t xml:space="preserve"> INVITATION TO BID SUPPLY, DELIVERY AND IMPLEMENTATION OF VARIOUS NETWORK EQUIPMENT AND STRUCTURED FIBER-OPTIC NETWORK BACKBONE CABLING The Pag-IBIG Fund Corporate Headquarters, through its Bids and Awards Committee – Information Technology Resources (BAC-</t>
  </si>
  <si>
    <t xml:space="preserve"> Republic of the Philippines SUGAR REGULATORY ADMINISTRATION North Avenue, Diliman, Quezon City 													                                            7/23/2020 										         Date REQUEST FOR QUOTATION Gentlemen: 		Please quote your lowest prices, t</t>
  </si>
  <si>
    <t xml:space="preserve"> Republic of the Philippines BIDS AND AWARDS COMMITTEE Bacolod City INVITATION TO BID FOR THE PROJECT FOR IMPROVEMENT OF BACOLOD ARTS CENTER, BCNHS CPD., BRGY. TACULING, BACOLOD CITY 1.	The City of Bacolod, through the Sangguniang Panlungsod 2020 intends t</t>
  </si>
  <si>
    <t xml:space="preserve"> Republic of the Philippines BIDS AND AWARDS COMMITTEE Bacolod City INVITATION TO BID FOR THE CONSTRUCTION OF DRUG REHABILITATION CENTER BRGY. ALIJIS, BACOLOD CITY 1.	The City of Bacolod, through the Sangguniang Panlungsod 2020 intends to apply the sum of </t>
  </si>
  <si>
    <t xml:space="preserve"> Republic of the Philippines BIDS AND AWARDS COMMITTEE Bacolod City INVITATION TO BID FOR THE PROJECT FOR CONSTRUCTION/REHABILITATION/ IMPROVEMENT OF DRAINAGE SYSTEM @ BRGY. 27 1.	The City of Bacolod, through the Sangguniang Panlungsod 2020 intends to appl</t>
  </si>
  <si>
    <t xml:space="preserve"> 1.	The Bangko Sentral ng Pilipinas (BSP), through its Bids and Awards Committee-Security Plant Complex (BAC-SPC), invites Bidders to apply for eligibility and to bid for the hereunder requirement: Name of Requirement/Brief Description:  One (1) lot Supply</t>
  </si>
  <si>
    <t xml:space="preserve"> Consulting Services</t>
  </si>
  <si>
    <t xml:space="preserve"> Republic of the Philippines Province of Batangas Municipality of Sto. Tomas Barangay San Vicente INVITATION TO BID The Barangay Government of San Vicente, Sto. Tomas, Batangas through its Bids and Awards Committee ( BAC) invites suppliers/dealers/contract</t>
  </si>
  <si>
    <t xml:space="preserve"> The Zamboanga State College of Marine Sciences and Technology (ZSCMST), through its Bids and Awards Committee, is inviting PhilGeps registered suppliers to apply for eligibility and to submit bids for the items mentioned hereunder: B-046-2020-A	 SUPPLY, D</t>
  </si>
  <si>
    <t xml:space="preserve"> 250 vials Flu Vaccine  &gt; Quadrivalent (4 strains)</t>
  </si>
  <si>
    <t xml:space="preserve"> Republic of the Philippines BIDS AND AWARDS COMMITTEE Bacolod City INVITATION TO BID FOR THE 	 1.	The City of Bacolod, through the Sangguniang Panlungsod 2020 intends to apply the sum of                                                                     </t>
  </si>
  <si>
    <t xml:space="preserve"> Republic of the Philippines DEPARTMENT OF PUBLIC WORKS AND HIGHWAYS BATANGAS III DISTRICT ENGINEERING OFFICE REGIONAL OFFICE IV-A J. Gonzales St., Barangay 4, Tanauan City REQUEST FOR EXPRESSION OF INTEREST (CONSL-2020-04) for the 20CSDD04 - Consultancy S</t>
  </si>
  <si>
    <t xml:space="preserve"> Republic of the Philippines BOHOL ISLAND STATE UNIVERSITY Main Campus, Tagbilaran City INVITATION TO BID FOR RE-BIDDING: PR NO. 2020-02-0267-MAIN-SUPPLY AND DELIVERY OF COSMETOLOGY EQUIPMENT FOR THE COSMETOLOGY TECHNOLOGY LABORATORY OF CTAS 1.	The Bohol I</t>
  </si>
  <si>
    <t xml:space="preserve"> Republic of the Philippines DEPARTMENT OF PUBLIC WORKS AND HIGHWAYS BATANGAS III DISTRICT ENGINEERING OFFICE REGIONAL OFFICE IV-A J. Gonzales St., Barangay 4, Tanauan City REQUEST FOR EXPRESSION OF INTEREST (CONSL-2020-03) for the 20CSDD03 - Consultancy S</t>
  </si>
  <si>
    <t xml:space="preserve"> Republic of the Philippines BOHOL ISLAND STATE UNIVERSITY Main Campus, Tagbilaran City INVITATION TO BID FOR RE-BIDDING: PR NO. 2020-02-0252-MAIN-SUPPLY AND DELIVERY OF RFID LIBRARY SECURITY SYSTEM 1.	The Bohol Island State University – Main Campus, Tagbi</t>
  </si>
  <si>
    <t xml:space="preserve"> see attached Invitation to Bid</t>
  </si>
  <si>
    <t xml:space="preserve"> Republic of the Philippines BOHOL ISLAND STATE UNIVERSITY Main Campus, Tagbilaran City INVITATION TO BID FOR PR NO. 2020-03-0432-MAIN - SUPPLY AND DELIVERY OF MECHANICAL TECHNOLOGY LABORATORY EQUIPMENT FOR CTAS 1.	The Bohol Island State University – Main </t>
  </si>
  <si>
    <t xml:space="preserve"> Republic of the Philippines BIDS AND AWARDS COMMITTEE Bacolod City INVITATION TO BID FOR THE PURCHASE OF MATERIALS FOR THE ROAD IMPROVEMENT AT SAN SEBASTIAN ST. (DAWIS), BRGY. 13 (SAN JUAN ST. TO PALANCA ST.) 1.	The City of Bacolod, through the Sanggunian</t>
  </si>
  <si>
    <t xml:space="preserve"> BIDS AND AWARDS COMMITTEE – HEAD OFFICE INVITATION TO BID 1. The Bangko Sentral ng Pilipinas (BSP), through its Bids and Awards Committee – Head Office (BAC-HO), invites Bidders to apply for eligibility and to bid for the hereunder requirement: Descriptio</t>
  </si>
  <si>
    <t xml:space="preserve"> Republic of the Philippines BIDS AND AWARDS COMMITTEE Bacolod City INVITATION TO BID FOR THE PURCHASE OF MATERIALS FOR THE CONCRETING OF ROAD AT FORTUNE TOWNE, 5TH ROAD, BRGY. ESTEFANIA 1.	The City of Bacolod, through the Sangguniang Panlungsod 2020 inten</t>
  </si>
  <si>
    <t xml:space="preserve"> Please see attached files for reference. File names: 1. ITB - Corporate Giveaways 2. Bid Docs- Corporate Giveaways ***nothing follows***</t>
  </si>
  <si>
    <t xml:space="preserve"> INVITATION TO BID 1)	The DPWH- Davao City District Engineering Office through its Bids and Awards Committee (BAC), invites contractors to submit bids for the following contract; 1. Procurement ID /          Contract ID No.	:	20LB0191     Contract Name	:	R</t>
  </si>
  <si>
    <t xml:space="preserve"> CONSTRUCTION OF MATERIALS RECOVERY FACILITY, MERCED, BANATE, ILOILO</t>
  </si>
  <si>
    <t xml:space="preserve"> PROVISION OF A QUANTITATIVE SURVEY ON LEVELS OF AWARENESS  AND PREFERENCE ON PAG-IBIG FUND PRODUCTS  The Pag-IBIG Fund Corporate Headquarters, through its Bids and Awards Committee – Goods and Services (BAC-GS) intends to apply the sum of One Million Five</t>
  </si>
  <si>
    <t xml:space="preserve"> PARTICULARS	DATE Pre-bid Conference @ BAC Conference Room, GSO, 1st floor, New Capitol Blg, Pigcarangan, Tubod,LDN.	August 6,  2020 @ 10:00 AM Deadline for Submission of Eligibility requirements and bidding documents for bid opening (all bids must be plac</t>
  </si>
  <si>
    <t xml:space="preserve"> July 13, 2020 INVITATION TO BID  The Department of Public Works and Highways, Mindoro Occidental District Engineering Office, Mamburao, Occidental Mindoro, through its Bids and Award Committee (BAC), invites contractors to submit bids for the following Co</t>
  </si>
  <si>
    <t xml:space="preserve"> BIDS AND AWARDS COMMITTEE INVITATION TO BID No. 070-2020 The METRO ROXAS WATER DISTRICT (MRWD), through its Bids and Awards Committee (BAC), invites Manufacturers/Suppliers/Distributors to apply for eligibility and to bid for the hereunder project: Name o</t>
  </si>
  <si>
    <t xml:space="preserve"> One  (1)  Lot  Engagement  of  Consultant  for  the Assessment  of  Enterprise  Risk,  Business  Continuity  Management  Frameworks  and Development  of  Compliance  Management Framework and Program for the Bangko Sentral ng  Pilipinas  (BSP),  as  per  B</t>
  </si>
  <si>
    <t xml:space="preserve"> PARTICULARS	DATE Pre-bid Conference @ BAC Conference Room, GSO, 1st floor, New Capitol Blg, Pigcarangan, Tubod,LDN on August 6,  2020 @ 10:00 AM Deadline for Submission of Eligibility requirements and bidding documents for  bid opening (all bids must be p</t>
  </si>
  <si>
    <t xml:space="preserve"> Department of Agriculture		 BUREAU OF PLANT INDUSTRY 692 San Andres Street Malate, Manila, Philippines E-mail Address: bpibac@yahoo.com Tel. No.: (02) 8526-7859, (02) 8691-0736 | Website: bpi.da.gov.ph SOLICITATION NO.: ITB PR NO. 1564-20BAC  INVITATION T</t>
  </si>
  <si>
    <t xml:space="preserve"> Invitation to Bid for Construction of Power House in Batangas State University, Balayan 1.	The Batangas State University, through the Supplemental Budget FY 2020 intends to apply the sum of One Million Two Hundred Twenty Six Thousand Three Hundred Pesos o</t>
  </si>
  <si>
    <t xml:space="preserve"> The PhilGEPS registered suppliers are invited to bid for the following attached in PDF Form. Please download the attached file.</t>
  </si>
  <si>
    <t xml:space="preserve"> INVITATION TO BID The Philippine Children’s Medical Center, through GAA/HFEP (DOH) CY 2019/2020 intends to apply the sum of Eleven Million Seven Hundred Eight-Nine Thousand Forty Pesos (Php 11,789,040.00) being the Approved Budget for the Contract (ABC)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</si>
  <si>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</si>
  <si>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see associated componnets for downloadable Bidding Documents</t>
  </si>
  <si>
    <t xml:space="preserve"> see associated components for downloadable Bidding documents</t>
  </si>
  <si>
    <t xml:space="preserve"> 1.	The Bangko Sentral ng Pilipinas (BSP), through its Bids and Awards Committee – Information Technology, Infrastructure and Other Related Components (BAC-ITIO), invites interested contractors to bid for the project described below: Name of Requirement/ B</t>
  </si>
  <si>
    <t xml:space="preserve"> Invitation to Bid for the Supply, Delivery,  Installation and Commissioning  of 24  Units Solar Powered Pumps  NIAR6-GAA-SOLAR-GS03-20 1.	The National Irrigation Administration Regional Office VI, Iloilo City, through the General Appropriation Act (GAA) C</t>
  </si>
  <si>
    <t xml:space="preserve"> see associated components for downloadable Bidding Documents</t>
  </si>
  <si>
    <t xml:space="preserve"> REQUEST FOR EXPRESSION OF INTEREST    DESIGN AND DEVELOPMENT OF THE INTRAMUROS ADMINISTRATION INTEGRATED INFORMATION SYSTEM (RE-BID) Project No. 2020-02 1.	The INTRAMUROS ADMINISTRATION, through the General Appropriations Act of CY 2020 intends to apply t</t>
  </si>
  <si>
    <t xml:space="preserve"> 2 units Radio Base		 &gt; Band: VHF		 &gt; Frequency:136-174MHz		 &gt; Lower Power Output:1-25W		 &gt; High Power Output: 25-45W		 &gt; Channel Spacing: 12.5,25kHz		 &gt; Channel Capacity: 1000		 &gt; Dimension (HxWxD): 53x175x206m		 &gt; Weight: 1.8kg		 &gt; Power Supply (Nominal)</t>
  </si>
  <si>
    <t xml:space="preserve"> SEE ATTACHED LINK TO OTHER INFORMATION</t>
  </si>
  <si>
    <t xml:space="preserve"> 1.	The Sultan Kudarat Water District, through the Corporate Budget Approved by the Governing Board  intends to apply the sum of P 1,420,000.00 being the Approved Budget for the Contract (ABC) to payments under the contract. Bids received in excess of the </t>
  </si>
  <si>
    <t xml:space="preserve"> Item-	Description	-ABC	-Unit	-Qty. 	LOT BID			 1.	WIRELESS RETROFIT DIRECT RADIOGRAPHY SYSTEM WITH PACS AND RIS	-12,000,000.00	-LOT	-1 TERMS OF REFERENCE   Project Title: ONE (1) LOT WIRELESS RETROFIT DIRECT 	RADIOGRAPHY SYSTEM WITH PACS AND RIS  ABC: Twe</t>
  </si>
  <si>
    <t xml:space="preserve"> Item	-Description-	ABC	-Unit	-Qty. 	LOT BID			 1	ONE (1) YEAR HAULING OF NON-INFECTIOUS (WET &amp; DRY) WASTE FROM CORAZON LOCSIN MONTELIBANO MEMORIAL REGIONAL HOSPITAL (CLMMRH) TO THE AUTHORIZED/DESIGNATED CITY DUMPSITE	-2,420,000.00	-JOB	-1 Terms of Referen</t>
  </si>
  <si>
    <t xml:space="preserve"> The CAGAYAN STATE UNIVERSITY (Andrews Campus), through the Trust Fund for the contract approved by the governing Board intends to apply the sum Seven Million Seven Hundred Twenty Thousand Seven Hundred Pesos and 00/100 (7,720,700.00) being the Approved Bu</t>
  </si>
  <si>
    <t xml:space="preserve"> Item-	Description	-ABC	-Unit 	-Qty 	LOT BID			 1	ARTERIAL BLOOD GAS REAGENT	-1,259,968.50	-TESTS-	9,450 Terms of Reference for Medical Equipment &amp; Supplies I.	The Corazon Locsin Montelibano Memorial Regional Hospital (CLMMRH) under Medical Division/ Pulmo</t>
  </si>
  <si>
    <t xml:space="preserve"> Republic of the Philippines BIDS AND AWARDS COMMITTEE Bacolod City INVITATION TO BID FOR THE PURCHASE OF MATERIALS FOR IMPROVEMENT OF FACILITIES AT SOCIAL DEVELOPMENT CENTER, BRGY. SINGCANG-AIRPORT, BACOLOD CITY 1.	The City of Bacolod, through the Sanggun</t>
  </si>
  <si>
    <t xml:space="preserve"> INVITATION TO BID The National Irrigation Administration (NIA) JRMP II Region VI, through its Bids and Awards Committee (BAC),  invites suppliers/manufacturers/distributors/contractors to apply for Eligibility and to bid for the hereunder contract: Name o</t>
  </si>
  <si>
    <t xml:space="preserve"> PHILIPPINE DEPOSIT INSURANCE CORPORATION Makati City REQUEST FOR EXPRESSION OF INTEREST FOR THE Procurement of a Consultancy Service Provider (CSP) for the Review and Design of PDIC’s Organizational Structure and Staffing Pattern(OSSP) 1.	The Philippine D</t>
  </si>
  <si>
    <t xml:space="preserve"> Republic of the Philippines BIDS AND AWARDS COMMITTEE Bacolod City INVITATION TO BID FOR THE PURCHASE OF MATERIALS FOR THE ROAD IMPROVEMENT OF STA. ANA ST., BRGY. 30 &amp; 31 (FROM EXISTING PAVEMENT-LUZURIAGA ST.)  1.	The City of Bacolod, through the Sangguni</t>
  </si>
  <si>
    <t xml:space="preserve"> Procurement of supply and delivery of  Mechanical Corn sheller 5	unit	Mechanical Corn Sheller 		1.	Output capacity: 2.0 tons/hr (minimum) With brand new pneumatic tires 2.	Engine (Prime Mover) •	Brand New •	10 Hp (Min.) •	Air-cooled engine •	Maximum power</t>
  </si>
  <si>
    <t xml:space="preserve"> Republic of the Philippines COMMISSION ON ELECTIONS M a n i l a INVITATION TO BID Supply and Delivery of Various Supplies to be used by the Field Election Officers for the 2020 Resumption of the Continuing Registration of Voters in connection with 2022 NL</t>
  </si>
  <si>
    <t xml:space="preserve"> Republic of the Philippines COMMISSION ON ELECTIONS M a n i l a INVITATION TO BID Supply and Delivery of HD Webcam for  Various Field Offices of the Commission (BAC Ref No. 06-2020WC) Approved Budget for the Contract:  Php1,913,678.00 1.	The   Commission </t>
  </si>
  <si>
    <t xml:space="preserve"> Invitation to Bid  for the  CONSTRUCTION OF NEW CLARK CITY CONNECTING ROAD PACKAGE 1  New Clark City, Capas, Tarlac Public Bidding No. 20-021-1  1.	The Bases Conversion and Development Authority (BCDA) and the Procurement Service – Department of Budget an</t>
  </si>
  <si>
    <t xml:space="preserve"> Republic of the Philippines City of Dapitan BIDS AND AWARDS COMMITTEE INVITATION TO BID July 16, 2020 	 The City Government of Dapitan, through its Bids and Awards Committee (BAC), invites interested parties to apply for eligibility and, if found eligible</t>
  </si>
  <si>
    <t xml:space="preserve"> INVITATION TO BID The DPWH Bukidnon 1st District Engineering Office, Malaybalay City, through its Bids and Awards Committee (BAC), invites contractors to submit bids for the following Contracts:   Contract ID 	:	20KA0101(Readvertisement) Contract Name 	:	</t>
  </si>
  <si>
    <t xml:space="preserve"> I.	Invitation to Apply for Eligibility and to Bid Supply and Delivery of Various IT Equipment for the Educating Science Teachers for All (ESTA) Project 1. The Philippine Normal University, through TL intends to apply the sum of One Million Three Hundred F</t>
  </si>
  <si>
    <t xml:space="preserve"> SUPPLY AND DELIVERY OF FOUR UNITS SOLAR PANEL</t>
  </si>
  <si>
    <t xml:space="preserve"> Republic of the Philippines SUGAR REGULATORY ADMINISTRATION North Avenue, Diliman, Quezon City 													                                           7/20/2020 										         Date REQUEST FOR QUOTATION Gentlemen: 		Please quote your lowest prices, ta</t>
  </si>
  <si>
    <t xml:space="preserve"> Republic of the Philippines COMMISSION ON ELECTIONS M a n i l a INVITATION TO BID Supply and Delivery of Brand-New Desktop Computers for Issuance/Replacement of Defective/Beyond Economic Repair of Voter Registration Machines in Various Field Offices of th</t>
  </si>
  <si>
    <t xml:space="preserve"> The CAGAYAN STATE UNIVERSITY (Andrews Campus), through the Trust Fund for the contract approved by the governing Board intends to apply the sum Two Million Eight Hundred Fifty-Nine Thousand Three Hundred Pesos and 00/100 (2,859,300.00) being the Approved </t>
  </si>
  <si>
    <t xml:space="preserve"> INVITATION TO BID FOR Construction of Reinforced Concrete Slope Protection for CY 2020 1.	The Department of Education, Butuan City Division, through the GAA FY 2020 intends to apply the sum of  Php 3,820,757.90 RCS-2020-001 (Lot 1), and Php 3,408,125.05 R</t>
  </si>
  <si>
    <t xml:space="preserve"> The purchase of one (unit) of Multi-Purpose Vehicle of Barangay Manibaug Pasig, Porac, Pampanga *not exceeding 2800cc engine displacement diesel-fed and 4 cylinder</t>
  </si>
  <si>
    <t xml:space="preserve"> Republic of the Philippines COMMISSION ON ELECTIONS M a n i l a INVITATION TO BID Supply and Delivery of Brother HL-L5100DN Toner Cartridges to be used for the Overseas Registration Period (BAC Ref No. 08-2020BTC) Approved Budget for the Contract:  Php1,7</t>
  </si>
  <si>
    <t xml:space="preserve"> Item	Description	ABC	Unit 	Qty. 	LINE BID			 1	ADM. SET (MACROSET) WITH Y PORT &amp; SAFETY LOCK (1ML=20 DROPS/ 1 DROP=0.05ML)	472,500.00	SET	13,500 2	ADM. SET (MICROSET) WITH Y PORT &amp; SAFETY LOCK (1ML=60DROPS/ 1 DROP=0.016ML)	315,000.00	SET	9,000 3	CARBON DI</t>
  </si>
  <si>
    <t xml:space="preserve"> Item	Description	ABC	Unit 	Qty. 	LOT BID			 1	BCG SYRINGE G-27 X 3/8 (0.05ML) 100’S STERILE	14,400.00	BOX	12 2	INSULIN SYRINGE 1CC, THICKNESS: NOT LESS THAN G-30X5/16” (100’S/BOX) STERILE	800,000.00	BOX	1,000 3	SYRINGE DISPOSABLE 1ML G-26 X ½”, LUER LOCK </t>
  </si>
  <si>
    <t xml:space="preserve"> Item	Description	ABC	Unit 	Qty. 	LOT BID			 1	BLOOD GLUCOSE TIP, STERILE, INDIVIDUALLY SEALED (MUST BE COMPATIBLE WITH HOSPITAL OWNED BLOOD GLUCOSE MONITORING DEVICE)	2,625,000.00	PCS	75,000 2	BLOOD LANCET WITH FREE USE OF LANCING DEVICE (MUST BE COMPATIB</t>
  </si>
  <si>
    <t xml:space="preserve"> Item	Description	ABC	Unit	Qty. 	LINE BID			 1	CHLORHEXIDINE DIGLUCONATE SPRAY 0.2% SOL’N., ANTISEPTIC 60 ML	1,400,000.00	BOTTLE	7,000 2	DIGITAL THERMOMETER, GOOD QUALITY	75,000.00	PCS	750 3	ICE BAG 9” ADULT, GOOD QUALITY	23,750.00	PCS	250 4	NASOGASTRIC TU</t>
  </si>
  <si>
    <t xml:space="preserve"> Item	Description	ABC	Unit	Qty. 	LOT BID			 1	ADMIN. SET FOR INFUSION PUMP (20 DROPS/ML)	2,100,000.00	PCS	35,000 2	ADMIN. SET FOR INFUSION PUMP (60 DROPS/ML)	1,800,000.00	PCS	30,000 3	IV CANNULA G18 WITH SAFETY LOCK WITH INJECTION PORT, LUER LOCK PLUG WITH</t>
  </si>
  <si>
    <t xml:space="preserve"> Item	Description	ABC	Unit 	Qty 	LOT BID			 1	RICE (WHITE SPECIAL RICE 50KG PER SACK)	-1,381,380.00-	SACK-	546 TERMS OF REFERENCE   RICE (WHITE RICE) General Requirements: •	Updated Government Permits: o	Business Permit o	Sanitary Permit o	Health Permits o</t>
  </si>
  <si>
    <t xml:space="preserve"> Item	Description	ABC	Unit	Qty. 	LINE BID			 1	NYLON 3-0 W/ NEEDLE 3/8 CURVE REVERSE CUTTING EDGE 26 MM, STAINLESS STEEL NEEDLE, SHARP, WELL POLISHED, STERILE	315,000.00	PCS	900 2	NYLON 4-0 CUTTING NEEDLE, STERILE	315,000.00	PCS	900 3	POLYGLACTIN/POLYGLYCO</t>
  </si>
  <si>
    <t xml:space="preserve"> PROVISION OF ADDITIONAL FISHING GEARS AS AN ALTERNATIVE LIVELIHOOD TO MUNICIPAL MODIFIED DANISH SEINE (HULBOT – HULBOT DE MANO) A.	Gill Net		 •	Net (0.25 twine, 7k mesh, 50)	270	Paldo •	Floats (No. 1 Cylindrical) (100/pack)	270	Packs B.	Fish Pot (Bobo)		 </t>
  </si>
  <si>
    <t xml:space="preserve"> Item	Description	ABC	Unit 	Qty. 	LINE BID			 1	CHLORHEXIDINE DIGLUCONATE SURGICAL HANDWASHING 4% (NON-IONIC SURFACTANTS, EMOLIENTS, MOISTURIZERS &amp; STAIN FREE; 5LITERS/GAL	300,000.00	GALLON	100 2	ENZYMATIC DETERGENT (@LEAST 3.78 LITERS OR MORE/GAL.)	525,00</t>
  </si>
  <si>
    <t xml:space="preserve"> Item	Description	ABC	Unit 	Qty. 	LINE BID			 1	CADAVER SHEET (PLASTIC SOFT WHITE 48”X50METERS)	80,000.00	ROLL	100 2	HYPOCHLORITE SOLUTION 5.5% BRANDED ATLEAST 3785ML (ATLEAST 5% HYPOCHLORITE SOLUTION)	72,000.00	GAL	400 3	MEDICINE BAG 120 X 170MM	20,000.00</t>
  </si>
  <si>
    <t xml:space="preserve"> Item	Description	ABC	Unit	Qty. 	LINE BID			 1	ADM. SET (BLOOD TRANSFUSION SET) 20 DROPS/ML WITH VENIPUNCTURE NEEDLE STERILE	300,000.00	SET	3,000 2	ASEPTO SYRINGE 60 ML PLASTIC STERILE	300,000.00	PCS	6,000 3	CATHETER UMBILICAL FR. 3.5 STERILE	15,000.00	PCS</t>
  </si>
  <si>
    <t xml:space="preserve"> Item	Description	ABC	Unit	Qty. 	LINE BID			 1	ADHESIVE PLASTER, BROWN CLOTH 1” (2.5 CM X 1 M) STICK WELL/STRONG ADHESION Size: At least 2.5 cm x 1 meter	180,000.00	SPOOL	2,000 2	ADHESIVE PLASTER, WHITE CLOTH 2” X 10 YDS (SILK TAPE, STICK WELL/STRONG ADHES</t>
  </si>
  <si>
    <t xml:space="preserve"> Item	Description	ABC	Unit	Qty. 	LINE BID			 1	EXAMINING GLOVES LARGE (100’S/BOX) LATEX/RUBBER FLEXIBLE POWDER FREE	1,125,000.00	BOX	2,500 2	EXAMINING GLOVES MEDIUM (100’S/BOX) LATEX/RUBBER FLEXIBLE POWDER FREE	1,574,100.00	BOX	3,498 3	EXAMINING GLOVES SMA</t>
  </si>
  <si>
    <t xml:space="preserve"> Item	Description	ABC	Unit 	Qty. 	LINE BID			 1	CATHETER SET DOUBLE LUMEN FR. 12, CURVED EXTENSIONS, STERILE, FOR HEMODIALYSIS	437,500.00	SET	125 2	CATHETER SET TRIPPLE LUMEN FR. 12, CURVED EXTENSIONS, STERILE, FOR HEMODIALYSIS	520,000.00	SET	130 3	FLEX C-</t>
  </si>
  <si>
    <t xml:space="preserve"> Item	Description	ABC	Unit 	Qty. 	LINE BID			 1	NATURAL CITRUS OIL 100%, HIGHLY CONCENTRATED DEODORIZER, CLEANER, DEGREASER	927,000.00	GAL	100 2	BROAD SPECTRUM CLEANER, DISINFECTANT, BIODEGRADABLE	365,080.00	GAL	100 3	ORGANIC ODOR SUPRESSANT &amp; AIR FRESHENE</t>
  </si>
  <si>
    <t xml:space="preserve"> Item	Description	ABC	Unit 	Qty. 	LINE BID			 1	INTERLOCKING NAIL ORIGINAL 8MM X 32CM TIBIA	100,000.00	PCS	5 2	INTERLOCKING NAIL ORIGINAL 8MM X 34CM FEMUR	100,000.00	PCS	5 3	INTERLOCKING NAIL ORIGINAL 8MM X 36CM FEMUR	100,000.00	PCS	5 4	INTERLOCKING NAIL O</t>
  </si>
  <si>
    <t xml:space="preserve"> Item-	Description-	ABC-	Unit 	-Qty. 1	CT SCAN MACHINE (AT LEAST 64-SLICE)	-45,000,000.00	-LOT-	1 	Terms of Reference and Technical Specifications Item No.	Configuration for CT scan Machine (At Least 64-Slice) Standard Scanning System Configuration 1	Scann</t>
  </si>
  <si>
    <t xml:space="preserve"> Item	Description	ABC	Unit	Qty. 	LINE BID			 1	AIRWAY GUEDEL 70 MM STERILE	15,000.00	PCS	250 2	AIRWAY GUEDEL 80 MM STERILE	36,000.00	PCS	600 3	BS/LAPARATOMY SPONGE BLUE LOOP W/ X-RAY THREAD, STERILE (1’S/PACK 18” X 18” X 12 PLY, 28 X 24 MESH)	40,000.00	PCS</t>
  </si>
  <si>
    <t xml:space="preserve"> Section I. Invitation to Bid FOR THE UPLB-S-047-08-20  SUPPLY AND DELIVERY OF BRANDED AND BRAND NEW VARIOUS INFORMATION TECHNOLOGY, PARTS &amp; ACCESSORIES &amp; PERIPHERALS 1.	The UNIVERSITY OF THE PHILIPPINES LOS BAÑOS (UPLB), through the GOP intends to apply t</t>
  </si>
  <si>
    <t xml:space="preserve"> Item	Description	ABC	Unit 	Qty. 	LINE BID			 1	ALL PURPOSE POWDER SOAP	71,500.00	KILO	1,000 2	OXALIC POWDER, STAIN REMOVER	42,000.00	KILO	600 3	GLASS CLEANER	42,432.00	GALLON	16 4	INSECTICIDE SPRAY, 500 ML/CAN	25,342.24	CAN	68 5	LIQUID FLOOR WAX, WHITE, C</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</si>
  <si>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</si>
  <si>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Item-	Description	-ABC-	Unit-	Qty. 	LOT BID			 1	INTEGRATED HOSPITAL INFORMATION SYSTEM	-13,500,000.00	-LOT	-1 Integrated Hospital Information System Project Corazon Locsin Montelibano Memorial Regional Hospital Terms of Reference Software Provider Scope </t>
  </si>
  <si>
    <t xml:space="preserve"> Item	Description	ABC	Unit	Qty. 	LINE BID			 1	BOND PAPER (LONG), 8 1/2" X 13” – SUBSTANCE 24/80 GSM, ULTRA WHITE, GLOSS	250,000.00	REAM	1,000 2	BOND PAPER (SHORT) 8 1/2" X 11” – SUBSTANCE 24/80 GSM, ULTRA WHITE, GLOSS	1,320,000.00	REAM	6,000</t>
  </si>
  <si>
    <t xml:space="preserve"> ELECTRODES</t>
  </si>
  <si>
    <t xml:space="preserve"> Item	-Description-	ABC-	Unit-	Qty. 	LOT BID			 1	OXYGEN TANK (MEDICAL OXYGEN 1800 PSI) 99% 02, UNIFORMED CYLINDER SIZE 6 CU. M	-5,520,000.00	-TANK	-24,000 TERMS OF REFERENCE •	Cylinders are free of use. •	Cylinder Pressure: At least 1,800 PSI •	Oxygen Pur</t>
  </si>
  <si>
    <t xml:space="preserve"> Item	Description	ABC	Unit	Qty. 	LOT BID			 1	REAGENTS/SUPPLIES FOR AUTOMATED URINE SEDIMENT ANALYSER WITH AUTOMATED URINE CHEMISTRY ANALYSER GOOD FOR 30,240 TESTS WHICH WILL INCLUDE REPORTABLE TEST, CONTROL RUNS AND REPETITIONS	1,800,000.00	SET	1 	TERMS O</t>
  </si>
  <si>
    <t xml:space="preserve"> Item	Description	ABC	Unit	Qty. 	LINE BID			 1	AUTOPSY APRON (PLASTIC, UP TO KNEE)	7,500.00	PCS	30 2	AUTOPSY SAW BLADE/CUTTER BLADE MOPEC BD. 101	25,000.00	SET	1 3	DIAMOND PEN (STAINLESS)	3,690.00	PCS	1 4	ELBOW LENGTH GLOVES, SIZE 7	4,500.00	PCS	30 5	EYE W</t>
  </si>
  <si>
    <t xml:space="preserve"> Item	Description	ABC	Unit	Quantity 	LINE BID			 1	ANTI-RABIES SERUM (EQUINE) 200IU/ML, 5ML VIAL (IM)	21,600.00	VIAL	20 2	BUPIVACAINE HYDROCHLORIDE 0.5%, 4ML AMPULE (HEAVY)	352,320.00	AMPULE	3,000 3	CALCIUM CARBONATE 500MG TABLET OR CHEWABLE TABLET (EQUIV </t>
  </si>
  <si>
    <t xml:space="preserve"> For Office Supplies of Various Cebu City Government Offices.</t>
  </si>
  <si>
    <t xml:space="preserve"> Item	Description	ABC	Unit	Qty. 	LOT BID			 1	10X EZ PREP SOLUTION AT LEAST 1 L/BOTTLE	32,000.00	BOTTLE	1 2	3M STICKER LABELS (EBAR LABEL 5 ROLLS X 500 LABELS/PACK	1,000.00	PACKS	1 3	CELL CONDITIONING SOLUTION CC1 (630 TESTS/PACK)	41,000.00	PACKS	1 4	DAB C</t>
  </si>
  <si>
    <t xml:space="preserve"> Item	Description	ABC	Unit	Quantity 	LINE BID			 1	0.9% SODIUM CHLORIDE SOLUTION 1L BOTTLE OR BAG (IV INFUSION)	1,330,000.00	PCS	35,000 2	10% DEXTROSE IN WATER 500CC BOTTLE OR BAG (IV INFUSION)	12,870.00	PCS	300 3	5% DEXTROSE IN 0.3% SODIUM CHLORIDE 500ML </t>
  </si>
  <si>
    <t xml:space="preserve"> Item	Description	ABC	Unit	Qty. 	LINE BID			 1	DISTILLED WATER, 4 LITERS	600.00	BOTTLE	6 2	LUGOL’S IODINE SOLUTION, 250 ML	980.00	BOTTLE	2 3	PREGNANCY TEST KIT DUO (URINE &amp; SERUM)	288,000.00	PCS	3,600 4	URINE STRIP (10 PARAMETERS), 100 STRIPS/BOTTLE	136,80</t>
  </si>
  <si>
    <t xml:space="preserve"> Item	Description	ABC	Unit	Qty. 	LINE BID			 1	COVER GLASS (24 X 50 MM OPTICALLY CLEAR) 100’S/BOX	600.00	BOX	3 2	COVER GLASS (24 X 60 MM OPTICALLY CLEAR) 100’S/BOX	15,000.00	BOX	75 3	CRYOGEL 120 ML/BOTTLE	3,000.00	BOTTLE	3 4	CRYOSPRAY AT LEAST 10 OZ PER CA</t>
  </si>
  <si>
    <t xml:space="preserve"> Item	Description	ABC	Unit 	Qty. 	LINE BID			 1	BACTO AGAR 500 GRAMS	        4,400.00 	BOTTLE	1 2	BILE ESCULIN AGAR, 500G	        4,794.05 	BOTTLE	1 3	CARY-BLAIR MEDIUM AGAR 500 GRAMS	        7,900.00 	BOTTLE	1 4	DNASE AGAR 500 GRAMS	      16,500.00 	BOTTL</t>
  </si>
  <si>
    <t xml:space="preserve"> Item	Description	ABC	Unit	Qty. 	LOT BID			 1	GRAM NEGATIVE ID CARD	102,000.00	PCS	240 2	GRAM NEGATIVE SUSCEPTIBILITY CARD	102,000.00	PCS	240 3	MUELLER HINTON AGAR II WITH SHEEPS BLOOD (COMMERCIALLY PREPARED)	15,750.00	PCS	150 4	TSA WITH 5% SHEEPS BLOOD (C</t>
  </si>
  <si>
    <t xml:space="preserve"> Item	Description	ABC	Unit	Qty. 	LOT BID			 1	REAGENTS FOR HPLC HEMOGLOBIN A1C EXAMINATION WITH CONTROL CALIBRATORS, SAMPLE CUPS, FILTER, COLUMN, THERMAL PAPER &amp; OTHER ACCESSORIES	1,000,000.00	SET	2,500 	TERMS OF REFERENCE FOR PROCUREMENT OF HEMOGLOBIN A1c</t>
  </si>
  <si>
    <t xml:space="preserve"> Item	Description	ABC	Unit	Qty. 	LOT BID			 1	RIFAMPICIN 5 UG, 50 DISKS/CART	1,500.00	CART	5 2	NITROFURANTOIN 300 UG, 50 DISKS/CART	600.00	CART	2 3	MEROPENEM 10 UG, 50 DISKS/CART	3,500.00	CART	10 4	IMIPENEM 10 UG, 50 DISKS/CART	3,250.00	CART	10 5	LINEZOLID</t>
  </si>
  <si>
    <t xml:space="preserve"> Item	Description	ABC	Unit 	Qty. 	LINE BID			 1	ALLIS CLAMP, 6”, STAINLESS STEEL AISI 400 SERIES	168,000.00	PCS	24 2	ALLIS CLAMP, 8 ¾”, STAINLESS STEEL AISI 400 SERIES	121,200.00	PCS	12 3	BLADE HOLDER, 8 ¼, #3 LONG, 400 STAINLESS SERIES	27,000.00	PCS	6 4	B</t>
  </si>
  <si>
    <t xml:space="preserve"> Item-	Description-	ABC-	Unit	-Qty. 	LOT BID			 1	HAZARDOUS WASTE TRANSPORT AND TREATMENT	-12,154,375.00-	LOT	-1 TERMS OF REFERENCE Project Name: 	Hazardous Waste Transport and Treatment Project Cost:	P12,154,375.00 Project Duration: 	Six Months Or Total T</t>
  </si>
  <si>
    <t xml:space="preserve"> Item	Description	ABC	Unit	Qty. 1	DEFIBRILLATOR	3,750,000.00	UNIT	5 	Features: 	Must be not more than 200 Joules with pulsed bi-phasic 	With selectable energy levels: 2, 4, 15, 30, 50, 70, 90, 120 	Not more than 6” Monitor as compact defibrillator 	Can</t>
  </si>
  <si>
    <t xml:space="preserve"> Item	Description	ABC	Unit 	Qty. 	LINE BID			 1	6 HOLE 1/3 TUBULAR PLATE	44,000.00	PCS	20 2	7 HOLE 1/3 TUBULAR PLATE	60,000.00	PCS	20 3	7 HOLE L-PLATE LEFT TIBIA	24,000.00	PCS	6 4	CORTEX SCREW, 3.5MM X 14MM	11,000.00	PCS	50 5	CORTEX SCREW, 3.5MM X 16MM	66,</t>
  </si>
  <si>
    <t xml:space="preserve"> Item	Description	ABC	Unit	Qty. 	LOT BID			 1	CD 20 (50 TESTS/PACK)	36,000.00	PACKS	1 2	CD3 (50 TESTS/PACK)	35,000.00	PACKS	1 3	CD45 (50 TESTS)	35,000.00	PACKS	1 4	CK20 (50 TESTS/PACK)	36,000.00	PACKS	1 5	CK7 (50 TESTS/PACK)	36,000.00	PACKS	1 6	DESMIN (50 </t>
  </si>
  <si>
    <t xml:space="preserve"> AGUS 6 UNITS 3,4 &amp; 5</t>
  </si>
  <si>
    <t xml:space="preserve"> Project Reference No.: I-2020-17  Date:          July 29, 2020 INVITATION TO BID FOR “MODERN AUDIO VISUAL ROOM AT  LABORATORY HIGH SCHOOL (LHS)” (INFRA-2020-17)      1.	The Bulacan State University (BulSU), through the Income Fund 2020 intends to apply th</t>
  </si>
  <si>
    <t xml:space="preserve"> Item	Description	ABC	Unit	Qty. 	LOT BID			 1	COMBO TEST FOR HBV, HCV AND HIV (NAT) 96 TEST/KIT	920,000.00	KIT	10 	TERMS OF REFERENCE FOR PROCUREMENT OF REAGENTS AND RELATED SUPPLIES FOR TTI TESTING BY NAT THIS IS LOT BID The supplier awarded to supply the</t>
  </si>
  <si>
    <t xml:space="preserve"> 66.0 LPS@ 65mTDH SS-316 submersible pump (preferrably DPM 215-2a or equivalent) coupled to 75Hp, 460 volts, 3 phase 8"Ø Franklin submersible motor with 2 pcs-Splicing Kit #3M 82-A3)   - 1 set 4.0 LPS (240 liters per min) @85m TDH pump, SS 316 (preferrably</t>
  </si>
  <si>
    <t xml:space="preserve"> Invitation to Bid for the Supply and Delivery of Branded and Brand New Printers and Consumables 1 Lot The Philippine Fiber Industry Development Authority (PhilFIDA), through the Republic Act No. 11465 GAA FY 2020 Fund intends to apply the sum of Two Milli</t>
  </si>
  <si>
    <t xml:space="preserve"> Item	Description	ABC	Unit	Qty. 1	BIOLOGICAL REFRIGERATOR-DOUBLE DOOR	8,000,000.00	UNIT	4 	PRODUCT FEATURES •	With door lock •	With forced air-cooling system •	With drawers (12 drawers) •	With recorder preferably •	Thermal printer type •	Glass door •	Safet</t>
  </si>
  <si>
    <t xml:space="preserve"> Item	Description	ABC	Unit	Qty. 	LOT BID			 1	HEP2 ANA (IFA) 10 X 6 WELLS) 60 TESTS/KIT	45,000.00	KIT	1 	TERMS OF REFERENCE FOR PROCUREMENT OF REAGENTS AND RELATED SUPPLIES FOR INDIRECT IMMUNOFLUORESCENT MICROSCOPY FOR THE DETECTION OF ANTI-NUCLEAR ANTIBOD</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</si>
  <si>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</si>
  <si>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Item	Description	ABC	Unit 	Qty. 	LINE BID			 1	CRESCENT (OPHTHALMIC SURGICAL CRESCENT (BLADES BETWEEN 2.5MM TO 2.75 MM)	150,000.00	PCS	150 2	KERATOME (OPHTHALMIC KERATOME BLADES, SLIT BLADES ANGLED WITH HANDLE 2.2MM)	120,000.00	PCS	120 3	OPHTHALMIC SOLUTI</t>
  </si>
  <si>
    <t xml:space="preserve"> Invitation to Bid ITB-SSS-Goods-2020-022 	 PARTIAL REPLACEMENT OF 3-SET CIRCUIT BREAKERS FOR LOW VOLTAGE SWITCHGEAR (LVS) AT POWER SUBSTATION #1 (ATS AND STANDARD CONFIGURATION) 	 Approved Budget for the Contract (ABC)      :        PhP 1,500,000.00 Sourc</t>
  </si>
  <si>
    <t xml:space="preserve"> Invitation to Bid for Construction of Five (5) Storey Higher Education  Building in Batangas State University, JLPC - Malvar (Phase I) 1.	The Batangas State University, through the Supplemental Budget FY 2020 intends to apply the sum of One Hundred Millio</t>
  </si>
  <si>
    <t xml:space="preserve"> Name of the Procuring Entity: TONDO MEDICAL CENTER Name of the Project:  Procurement of Yellow Plastic Bag of  Housekeeping Section      			                                          Location of the Project: Tondo Medical Center Balut, Tondo Manila        </t>
  </si>
  <si>
    <t xml:space="preserve"> Item	Description	ABC	Unit 	Quantity 	LINE BID			 1	ALLOPURINOL 300MG TABLET	300.00	TABLET	200 2	ATRACURIUM BESILATE 10MG/ML, 2.5ML AMPULE (IV)	172,660.00	AMPULE	2,000 3	AZATHIOPRINE 50MG TABLET	6,000.00	TABLET	200 4	CALCIUM CARBONATE 500MG TABLET OR CHEWA</t>
  </si>
  <si>
    <t xml:space="preserve"> Various Agricultural &amp; Marine Supplies See attached link under OTHER INFORMATION BOX</t>
  </si>
  <si>
    <t xml:space="preserve"> Item	Description	ABC	Unit	Quantity 	LINE BID			 1	ACETYLCYSTEINE 600MG EFFERVESCENT TABLET	110,000.00	TABLET	5,000 2	ALBUMIN, HUMAN 20%, 50ML BOTTLE, (IV, IV INFUSION)	384,022.00	VIAL	200 3	ANTI-TETANUS SERUM (EQUINE) 1500”IU”/0.7ML SOLUTION FOR INJECTION</t>
  </si>
  <si>
    <t xml:space="preserve"> Item	Description	ABC	Unit 	Quantity 	LINE BID			 1	BULLDOG VASCULAR CLAMP, DE BAKEY HEISS, 1 ½” LENGTH, 3/8” JAW SERRATION, STAINLESS STEEL AISI 400 SERIES	34,000.00	PCS	2 2	BULLDOG VASCULAR CLAMP, DIETRICH, 1 7/8” LENGTH, ½” JAW SERRATION, ANGLED 1/1, ST</t>
  </si>
  <si>
    <t xml:space="preserve"> Item	Description	ABC	Unit	Quantity 	LINE BID			 1	BUTORPHANOL TARTRATE 2MG/ML, 1ML VIAL/AMPULE, (IM, IV)	436,220.00	PCS	1,000 2	DIAZEPAM 5MG/ML, 2ML AMPULE, (IM, IV)	142,848.00	AMPULE	1,800 3	EPHEDRINE SULFATE 50MG/ML, 1ML AMPULE (IM, IV)	91,500.00	AMPULE</t>
  </si>
  <si>
    <t xml:space="preserve"> Item	Description	ABC	Unit	Qty. 	LINE BID			 1	ANTI HUMAN GLOBULIN (AHG) (10 ML PER VIAL)	4,800.00	VIALS	6 2	ANTI-D BLOOD TYPING SERA 10 ML/VIAL	27,000.00	VIALS	45 3	POLYPROPYLENE BAG, SPECS (PLASTIC BAG, 175 X 300 MM (7 X 12 INCHES), 1000S/BAG	9,000.00	BA</t>
  </si>
  <si>
    <t xml:space="preserve"> Item	Description	ABC	Unit	Quantity 	LINE BID			 1	ASPARAGINASE LYOPHILIZED POWDER 10,000 IU VIAL, IV	169,800.00	VIAL	100 2	BLEOMYCIN POWDER, 15IU AMPULE OR VIAL (IM, IV) (AS SULFATE)	57,000.00	PCS	30 3	CAPECITABINE 500MG TABLET	51,000.00	TABLET	1,000 4	CA</t>
  </si>
  <si>
    <t xml:space="preserve"> Item	Description	ABC	Unit	Qty. 	LOT BID			 1	HBS-AG (ELISA) 480 TEST/KIT	529,200.00	KIT	9 2	HCV-AG/AB (ELISA) 480 TEST/KIT	1,337,400.00	KIT	9 3	HIV-AG/AB I &amp; II 480 TEST/KIT ELISA	788,400.00	KIT	9 4	SYPHILIS IMMUNOASSAY 960 TEST/KIT	344,000.00	KIT	4 	TERM</t>
  </si>
  <si>
    <t xml:space="preserve"> Item	Description	ABC	Unit	Qty. 	LOT BID			 1	450 CC DOUBLE BLOOD BAGS	247,500.00	PCS	900 2	450 CC SINGLE BLOOD BAGS	630,000.00	PCS	3,600 3	TOP AND BOTTOM BLOOD COLLECTION BAG	63,000.00	PCS	63 4	TUBE WELDER COPPER WAFER 140’S/BOX	105,000.00	BOX	10 	TERMS O</t>
  </si>
  <si>
    <t xml:space="preserve"> DP 160-3a, 50.0 LPS @ 84.0 mts TDH, 6"Ø NPT, SS316, submersible pump, coupled to 75.0 Hp, 460 V, 3 phase, 3 wires, 8"Ø Franklin submersible motor  -	1 Set 3C - 50mm²/ #1.0 AWG submersible wire (flat wire preferred) - 84 Meters 6” Ø/150mm Ø X 6.0 mm thick </t>
  </si>
  <si>
    <t xml:space="preserve"> ITB NO. 2020-0015 or Supply, Delivery, Design and Retrofitting of the Quezon City TV Broadcast Transmitter Tower including Rehabilitation of Building/Transmitter Shelter, Grounding and Lightning Protection System and Installation of Digital Terrestrial Te</t>
  </si>
  <si>
    <t xml:space="preserve"> Item	Description	ABC	Unit	Qty. 	LOT BID			 1	HEMOGLOBIN MICROCUVETTE	225,000.00	PCS	4,500 	TERMS OF REFERENCE FOR PROCUREMENT  OF REAGENTS AND RELATED SUPPLIES FOR ON SITE HEMOGLOBIN AND HEMATOCRIT TESTING DURING MOBILE BLOOD DONATION THIS IS LOT BID The </t>
  </si>
  <si>
    <t xml:space="preserve"> Invitation to Bid for  Construction of Four (4) Storey Student Services Center Building in Batangas State University, ARASOF – Nasugbu (Phase I) 1.	The Batangas State University, through the Supplemental Budget FY 2020 intends to apply the sum of One Hund</t>
  </si>
  <si>
    <t xml:space="preserve"> Item	Description	ABC	Unit	Quantity 	LINE BID			 1	ADENOSINE 3MG/ML, 2ML VIAL (IV)	22,132.00	VIAL	100 2	AMIODARONE HYDROCHLORIDE 200MG TABLET	10,915.00	TABLET	500 3	AMIODARONE HYDROCHLORIDE 50MG/ML, 3ML AMPULE (IV)	88,500.00	AMPULE	300 4	AMLODIPINE BESILAT</t>
  </si>
  <si>
    <t xml:space="preserve"> Invitation to Bid No. LGU-Lupao- 2020-040 The Local Government of Lupao, Nueva Ecija Invitation to Bid for the Concreting of Farm to Market Road located at San Isidro to Mapangpang Road of this municipality with Identification No. 2020-040 1. The Municipa</t>
  </si>
  <si>
    <t xml:space="preserve"> Item	Description	ABC	Unit	Quantity 	LINE BID			 1	AMPHOTERICIN B CHOLESTERYL COMPLEX 50MG VIAL COLLOIDAL DISPERSION (LIPID COMPLEX), IV INFUSION	521,244.00	VIAL	50 2	AMPHOTERICIN B DEOXYCHOLATE 50MG LYOPHILIZED POWDER VIAL, NON LIPID COMPLEX, IV INFUSION	</t>
  </si>
  <si>
    <t xml:space="preserve"> Republic of the Philippines BIDS AND AWARDS COMMITTEE Province of Iloilo Invitation to Bid Purchase of I.T EQUIPMENT AND SOFTWARE For Bid No. ACC-20-0918-B 1. The Iloilo Provincial Government, through the  CAPITAL OUTLAY (SUPPLEMENTAL BUDGET 2017) intends</t>
  </si>
  <si>
    <t xml:space="preserve"> Item	Description	ABC	Unit	Qty. 	LOT BID			 1	ABO BLOOD GROUPING REAGENT (160 TEST/KIT)	2,475,000.00	KIT	150 2	ANTIBODY SCREENING REAGENT (192 TEST/KIT)	792,000.00	KIT	18 	TERMS OF REFERENCE FOR PROCUREMENT OF REAGENTS AND RELATED SUPPLIES FOR AUTOMATED BL</t>
  </si>
  <si>
    <t xml:space="preserve"> Invitation to Bid No. LGU-Lupao- 2020-041 The Local Government of Lupao, Nueva Ecija Invitation to Bid for the Concreting of Farm to Market Road located at San Isidro of this municipality with Identification No. 2020-041 1. The Municipality of Lupao has a</t>
  </si>
  <si>
    <t xml:space="preserve"> Generator set, diesel, brand new equipped with sound attenuated enclosure and automatic transfer switch (ATS) with over voltage and under voltage (OVUV) protection Specifications: &gt; Engine: 	 	  Engine Data Sheet: Diesel Engine, 4 steps air to air cooling</t>
  </si>
  <si>
    <t xml:space="preserve"> Item No. 1 1338 bags Complete Fertilizer 14-14-14 at 50 kgs. 1338 bags Urea Fertilizer 46-0-0 at 50 kgs. Terms and Conditions: 1.	With FPA License. 2.	15 days delivery period. 3.	Delivered at Municipal Hall, Solsona, Ilocos Norte. 4.	Hauling and unloading</t>
  </si>
  <si>
    <t xml:space="preserve"> Republic of the Philippines BOHOL ISLAND STATE UNIVERSITY Main Campus, Tagbilaran City INVITATION TO BID FOR SUPPLY AND DELIVERY OF LAPTOPS (PR NO. 2020-02-0226, 2020-02-0210, 2020-02-0280) 1.	The Bohol Island State University – Main Campus, Tagbilaran Ci</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</si>
  <si>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</si>
  <si>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Project: CONCRETING OF BARANGAY ROAD Location: Sitio Duhat, San Gabriel, Laurel, Batangas ABC: PHP1,499,958.05 Advertisement	August 4-11, 2020	 Pre-bid Conference	August 14, 2020-2:00 PM at 2F R204 Municipal Hall of Laurel, Batangas-Pob. 2, Laurel, Batang</t>
  </si>
  <si>
    <t xml:space="preserve"> Republic of the Philippines BOHOL ISLAND STATE UNIVERSITY Main Campus, Tagbilaran City INVITATION TO BID FOR SUPPLY AND DELIVERY OF PRINTERS AND SCANNER (PR NO. 2020-06-0593, 2020-05-0507, 2020-02-0243, 2020-02-0308, 2020-02-0210, 2020-03-0462, 2020-02-03</t>
  </si>
  <si>
    <t xml:space="preserve"> Clearing and Grubbing	 100.00 	 sq.m.  Structure Excavation	 51.80 	 cu.m.  Embankment	 40.26 	 cu.m.  Forms and Falseworks	 120.20 	 sq.m.  Structural Concrete	 20.47 	 cu.m.  Reinforcing Steel	 2,715.44 	 kgs  Masonry Works	 172.73 	 sq.m.  Cement Plast</t>
  </si>
  <si>
    <t xml:space="preserve"> Republic of the Philippines BOHOL ISLAND STATE UNIVERSITY Main Campus, Tagbilaran City INVITATION TO BID FOR SUPPLY AND DELIVERY OF DESKTOP COMPUTERS (PR NO. 2020-01-0054, 2020-02-0308, 2020-02-0204, 2020-06-0563) 1.	The Bohol Island State University – Ma</t>
  </si>
  <si>
    <t xml:space="preserve"> Description: 2.80G 4x4 m/t white Pick-up diesel engine with accessories DIMENSION AND WEIGHT: Overall Dimension 5,335x1,855x1,855 Wheel base (mm) 3,085 Seating Capacity 5 Engine Displacement 2,755 Maximum Output (ps/rpm) 174/3,400 Maximum Torque / Nm/Rpm </t>
  </si>
  <si>
    <t xml:space="preserve"> INVITATION TO BID FOR THE PROCUREMENT OF PERISHABLE ITEMS FOR BANGUN IMPLEMENTATION IN TAWI-TAWI PROVINCE The Department of Social Welfare and Development (DSWD) Field Office IX through the Government of the Philippines General Appropriations Act of 2020 </t>
  </si>
  <si>
    <t xml:space="preserve"> Construction/Concreting</t>
  </si>
  <si>
    <t xml:space="preserve"> Proposed Improvement of STP at Makati Homes-I located at H. Santos Street, Barangay Tejeros, Makati City - Order of payment for Bid Docs will be available at GSD-Head Office @ 10th Floor Makati City Hall Bldg. 2.  Look for Mr. Reden Villanueva. - A  compl</t>
  </si>
  <si>
    <t xml:space="preserve"> Installation</t>
  </si>
  <si>
    <t xml:space="preserve"> SCOPE OF WORKS: A.1.1(3)	Construction of Field Office for the Engineer	1.00	l.s A.1.2(2)	Provision of 4X4 Pick Up Type Service Vehicle for the Engineer on Bare Rental Basis	6.27	mo.	 B.4(1)	Construction Survey and Staking	2.81	km. B.5	        Project Bill</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</si>
  <si>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</si>
  <si>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3	unit	Smart TV'55 		UHD 4K NU7300 n Series 7 		Real 4k Curved Inspired,slim Design 		HDR (High Dynamic Range) 		Elite 		Digital TV 		Motion Rate 120 		Sound Output 20W 		Wireless LAN Wifi 		Mounting Bracket 		HDMI Cord 		Remote Control</t>
  </si>
  <si>
    <t xml:space="preserve"> Republic of the Philippines BOHOL ISLAND STATE UNIVERSITY Main Campus, Tagbilaran City INVITATION TO BID FOR RE-BIDDING: SUPPLY AND DELIVERY OF HOTEL PROPERTY MANAGEMENT SYSTEM (PMS) SOFTWARE (PR NO. 2020-03-0474) 1.	The Bohol Island State University – Ma</t>
  </si>
  <si>
    <t xml:space="preserve"> INVITATION TO BID  Supply and Delivery of 80,260 bags Urea Fertilizer (Granular) for use under National Rice Program 2020 FLR 1.	The Department of Agriculture Regional Field Office No. 5, through the General Appropriations Act (GAA) for CY 2020--Rice  int</t>
  </si>
  <si>
    <t xml:space="preserve"> 5	unit 	Printer; Printer type: Print, Scan, Copy; Print speed: Photo default -  10 x 15 cm / 4 x 6":Approx. 69 sec per photo (Border) / 90 sec per photo (Borderless) Draft, A4 (Black/Colour): Up to 33 ppm / 15 ppm ISO 24734, A4 Simplex (Black / Colour): U</t>
  </si>
  <si>
    <t xml:space="preserve"> Republic of the Philippines 		Department of Social Welfare and Development IBP Road, Constitution Hills, Quezon City Telephone Nos. (02) 931-8101 to 07 Local 122 or 124 Email: bacsec@dswd.gov.ph INVITATION TO BID FOR SUPPLY, DELIVERY AND INSTALLATION OF O</t>
  </si>
  <si>
    <t xml:space="preserve"> UNIT.      2    DX2430 COPY PRINTER DIGITAL DUPLICATING MACHINE		                      W/ STEEL MACHINE CABINET OR STAND SPECIFICATION:                      DRUM TYPE : DETACHABLE DRUM                      PRINTING SPEED : 90 PRINTS PER MINUTE (PPM)      </t>
  </si>
  <si>
    <t xml:space="preserve"> 1,041 CAVAN  LOCAL WELL-MILLED RICE MAX.: 10% BROKEN (50KGS/CAVAN)</t>
  </si>
  <si>
    <t xml:space="preserve"> Proposed Rehabilitation and Upgrading of Existing Streetlighting along H. Santos Street located at Barangay Tejeros, Makati City - Order of payment for Bid Docs will be available at GSD-Head Office @ 10th Floor Makati City Hall Bldg. 2.  Look for Mr. Rede</t>
  </si>
  <si>
    <t xml:space="preserve"> SCO[E OF WORKS: A.1.1(3)	Construction of Field Office for the Engineer	1.00	l.s A.1.2(2)	Provision of 4X4 Pick Up Type Service Vehicle for the Engineer on Bare Rental Basis	6.70	mo. Part B	Other General Requirements		 B.4(1)	Construction Survey and Stakin</t>
  </si>
  <si>
    <t xml:space="preserve"> I. MOBILIZATION/DEMOB./EXCAVATION II. MASONRY WORKS III.STEEL WORKS IV. ELECTRICAL WORKS</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</si>
  <si>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</si>
  <si>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1	unit 	Computer sets, Processor - Intel i7 8700, 8th Gen, Base Frequency - 3.2 GHz, Turbo Frequency - 4.6 GHz, Cache - 12 MB Cache, No. of Cores - 6 cores, Lithography - 14nm, Threads - 12 threads, Thermal Design  Power - 65W, Memory - 16GB DDR4, upgrada</t>
  </si>
  <si>
    <t xml:space="preserve"> CONSTRUCTION OF EVACUATION CENTER</t>
  </si>
  <si>
    <t xml:space="preserve"> This is intended for the purchase of medicines and medical supplies used at RHU. (See attached Purchase Request)</t>
  </si>
  <si>
    <t xml:space="preserve"> INSTALLATION OF NEW DISTRIBUTION OF WATER SYSTEM</t>
  </si>
  <si>
    <t xml:space="preserve"> Procurement of Groundwood Paper (A3) to be used for the Public School of Libungan.</t>
  </si>
  <si>
    <t xml:space="preserve"> CLEARING RIVER UPSTREAM AND BACKFILING OF 50.0M X 7.50M X 0.50M RIVER BED.</t>
  </si>
  <si>
    <t xml:space="preserve"> Excavation Gravel Fill Structural Concrete Masonry Roofing Plumbing Doors And Windows Tiles Painting Hardware Materials</t>
  </si>
  <si>
    <t xml:space="preserve"> Excavation Subgrade Preparation Aggregate Base Course Portland Cement Concrete Pavement</t>
  </si>
  <si>
    <t xml:space="preserve"> Name of Project: Completion of Barangay Health Facitility (To served as Covid-19 Isolation Facility)  Location: Brgy. Maungib, Pura, Tarlac ABC: Php 550,000.00</t>
  </si>
  <si>
    <t xml:space="preserve"> INVITATION TO BID The DPWH Isabela 4th District Engineering Office through its Bids and Awards Committee (BAC), invites contractors to submit bids for the following Contract: Procurement ID / Contract ID			: 20BH0161 Contract Name/                        </t>
  </si>
  <si>
    <t xml:space="preserve"> INVITATION TO BID Procurement of One (1) Unit Passenger Van  in Batangas State University, JPLPC-Mlvar The Batangas State University, through the Supplemental 2019 intends to apply the sum of One Million Five Hundred Thousand Pesos only (Php 1,500,00.00) </t>
  </si>
  <si>
    <t xml:space="preserve"> Supply and Delivery of Electrical Materials and Supplies for Installation of Solar Street Lights Additional (All Sitio's)</t>
  </si>
  <si>
    <t xml:space="preserve"> Republic of the Philippines Province of Masbate MUNICIPALITY OF CATAINGAN BARANGAY NADAWISAN   			                                                                                              AUGUST 6, 2019 INVITATION TO APPLY FOR ELIGIBILITY AND TO BID T</t>
  </si>
  <si>
    <t xml:space="preserve"> Reinforced concrete, masonry w/ plastering, roofing &amp; trusses, ceiling works(inc. GF), finishes w/concrete topping, electrical works, painting works(inlc. GF), metal works, plumbing &amp; fixtures, formworks &amp; scaffoldings, doors &amp; windows.</t>
  </si>
  <si>
    <t xml:space="preserve"> Republic of the Philippines                                                          Province of Aklan                                                MUNICIPALITY OF LIBACAO                                                                * * * The Local Go</t>
  </si>
  <si>
    <t xml:space="preserve"> TRANSFORMER WITH ACCESSORIES, 3 PHASE  PRIMARY LINE, CONSTRUCTION OF POWER HOUSE</t>
  </si>
  <si>
    <t xml:space="preserve"> 2020 25TH PUBLIC BIDDING PROCUREMENT OF HOUSEKEEPING AND LINEN AND LAUNDRY SUPPLIES FOR 2020 2ND SEMESTER CONSUMPTION</t>
  </si>
  <si>
    <t xml:space="preserve"> Please see attached link for bidding documents: https://drive.google.com/file/d/1aJqjJ8uv548uxhfdQtWa9e7TXohDxl28/view?usp=drivesdk ------------------------------------------------------------------------------------------------------------ INVITATION TO </t>
  </si>
  <si>
    <t xml:space="preserve"> Republic of the Philippines Province of Iloilo Municipality of Ajuy BIDS AND AWARD COMMITTEE INVITATION TO APPLY FOR ELIGIBILITY AND TO BID 	The Local Government of Ajuy, Iloilo invites Accredited Supplier to apply for eligibility and to bid for the Const</t>
  </si>
  <si>
    <t xml:space="preserve"> Section I. Invitation to Bid Republic of the Philippines Province of Romblon INVITATION TO BID FOR  Procurement of Medicines for use of Romblon Provincial Hospital, Odiongan, Romblon. August 06, 2020 1.	The Provincial Government of Romblon, through the  P</t>
  </si>
  <si>
    <t xml:space="preserve"> Bid Bulletin and Bidding Documents</t>
  </si>
  <si>
    <t xml:space="preserve"> Republic of the Philippines DEPARTMENT OF PUBLIC WORKS and HIGHWAYS SULTAN KUDARAT 2 ND DISTRICT ENGINEERING OFFICE REGION XII Lebak, Sultan Kudarat INVITATION TO BID FOR  SUPPLY/DELIVERY OF ONE(1) UNIT GENERATOR SET, DIESEL ENGINE AND SUPPLY/INSTALLATION</t>
  </si>
  <si>
    <t xml:space="preserve"> 233	dose	Influenza Polyvalent Vaccine	 		- Pre-filled syringe and with free alcohol	 			 			 			 			 			 			 		The following documents must be included in the submission of	 		sealed price quotation.	 		1. Mayor's/Business Permit	 		2. PhiGEPS Registratio</t>
  </si>
  <si>
    <t xml:space="preserve"> Please see attached files for reference. File names: 1. ITB - Manpower Lot Nos. I-V (v07.16.2020) 2. Bid Docs - Manpower Lot No. II - Accounting (v07.16.2020) ***nothing follows***</t>
  </si>
  <si>
    <t xml:space="preserve"> NOTICE TO THE PUBLIC REQUEST FOR PROPOSAL Purchase Request No: PUR20-05-0386  The Philippine General Hospital hereby informs the public that it will be procuring the following item/s through Small Value Procurement: 4 unit		PATSLIDE PATIENT TRANSFER, bran</t>
  </si>
  <si>
    <t xml:space="preserve"> Please see attached files for reference. File names: 1. ITB - Manpower Lot Nos. I-V (v07.16.2020) 2. Bid Docs - Manpower Lot No. I - Clerical (v07.16.2020) ***nothing follows***</t>
  </si>
  <si>
    <t xml:space="preserve"> Please submit your lowest  bid  for the Multiband scanning receiver and post processing tools as described in the technical specifications of the bid documents.</t>
  </si>
  <si>
    <t xml:space="preserve"> REQUEST FOR EXPRESSION OF INTEREST FOR CONTRACT ID NO.:	     20CSC003  Procurement of Consulting Services for the Feasibility Study of Tarlac River Right Dike Bypass Road, Tarlac and EGSA and Ala-Uli Flyovers, Bataan.  Location         		:   Provinces of </t>
  </si>
  <si>
    <t xml:space="preserve"> REQUEST FOR EXPRESSION OF INTEREST FOR CONTRACT ID NO.:	     20CSC001  Procurement of Consulting Services for the Feasibility Study of San Ildefonso-Candaba Bypass Road and Balagtas Bypass Road.  Location         		:   Provinces of Pampanga and Bulacan  S</t>
  </si>
  <si>
    <t xml:space="preserve"> 165 SQ.M. CLEARING AND LAY OUT 108.8 CU.M EXCAVATION FOR STRUCTURE 16 CU.M. EMBANKMENT 95.04 SQ.M FORMWORKS AND SCAFFOLDING 198 SQ.M MASONRY WORKS 264 SQ.M PLASTERING 1587.30 KGS REBARS 17.3 CU.M CONCRETE WORKS</t>
  </si>
  <si>
    <t xml:space="preserve"> BIDS AND AWARDS COMMITTEE                                                   SECTION I - INVITATION TO BID            SUPPLY OF LABOR AND MATERIALS FOR THE REPAIR AND ALIGNMENT OF THE OPERABLE WALL                                                           </t>
  </si>
  <si>
    <t xml:space="preserve"> BIDS AND AWARDS COMMITTEE                                              SECTION I - INVITATION TO BID                                     SUPPLY, DELIVERY AND INSTALLATION OF RACKS FOR                                                    THE STORAGE PANTRY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</si>
  <si>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</si>
  <si>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Please see attached files for reference. File names: 1. ITB - Manpower Lot Nos. I-V (v07.16.2020) 2. Bid Docs - Manpower Lot No. IV - Management (v07.16.2020) ***nothing follows***</t>
  </si>
  <si>
    <t xml:space="preserve"> REQUEST FOR EXPRESSION OF INTEREST FOR CONTRACT ID NO.:	     20CSC002  Procurement of Consulting Services for the Feasibility Study of Sto. Tomas-Arayat Bypass Road and Arayat-Magalang-Sta. Ana-Mexico Circumferential Road.  Location         		:   Province</t>
  </si>
  <si>
    <t xml:space="preserve"> Please see attached files for reference. File names: 1. ITB - Manpower Lot Nos. I-V (v07.16.2020) 2. Bid Docs - Manpower Lot No. V - IT (v07.16.2020) ***nothing follows***</t>
  </si>
  <si>
    <t xml:space="preserve"> For the use of Bureau of Research and Standards 																																																						 				 DPWH TECHNICAL JOURNAL DECEMBER 2019 																																																						  1 				 Number of page: 52 pages 																						</t>
  </si>
  <si>
    <t xml:space="preserve"> REQUEST FOR QUOTATION Date	:	July 15, 2020 Project Title	:	SUPPLY, FABRICATION AND DELIVERY OF STEEL GATE AND WINDOW GLASS FOR THE REHABILITATION AND IMPROVEMENT OF ANTIPOLO REPEATER TOWER ITB No.             	:	FB20-03-007COR Approved Budget for the Cont</t>
  </si>
  <si>
    <t xml:space="preserve"> Request for Proposal  The Bureau of Fisheries and Aquatic Resources Regional Office No. 5 (BFAR RO 5), Fabrica, Bula, Camarines Sur is requesting from prospective suppliers to submit written proposal for the Labor for the Installation of Fishery Product T</t>
  </si>
  <si>
    <t xml:space="preserve"> BIDS AND AWARDS COMMITTEE                                                 SECTION I - INVITATION TO BID  SUPPLY, DELIVERY, INSTALLATION AND CONFIGURATION OF ADDITIONAL ACCESS POINT WITH FIBER OPTICS, CAT6 CABLE AND ACCESSORIES  The Philippine Internationa</t>
  </si>
  <si>
    <t xml:space="preserve"> Const. of Slope Protection</t>
  </si>
  <si>
    <t xml:space="preserve"> NOTICE TO THE PUBLIC REQUEST FOR PROPOSAL Purchase Request No: PUR20-07-0568 The Philippine General Hospital hereby informs the public that it will be procuring the following item/s through Small Value Procurement: 					 1	8	pc	Alcohol lamp,glass at least</t>
  </si>
  <si>
    <t xml:space="preserve"> 1.	The General Mariano Alvarez Water District (GMAWD). through the GMAWD General Fund, intends to apply the sum of One Million and Two Hundred Thousand Pesos (Php 1,200,000.00) being the Approved Budget for the Contract (ABC) to payments under the contrac</t>
  </si>
  <si>
    <t xml:space="preserve"> Request for Quotation RFQ No.		SVP-037-2020 MR No.		10224 Requisition No. 	AMD-096-2020 Posting Date:         	July 17, 2020 Deadline of  Submission:		July 24, 2020 at 9:00 AM Opening Date:	July 24, 2020 at 10:00 AM TO:	Name of Supplier: _________________</t>
  </si>
  <si>
    <t xml:space="preserve"> Please see attached files for reference. File names: 1. ITB - Manpower Lot Nos. I-V (v07.16.2020) 2. Bid Docs - Manpower Lot No. III - Marketing (v07.16.2020) ***nothing follows***</t>
  </si>
  <si>
    <t xml:space="preserve"> INVITATION TO BID SUPPLY AND DELIVERY OF SIX (6) UNITS GROUND PENETRATING RADAR (GPR) FOR THE USE OF DPWH REGIONAL OFFICES (FY 2020) The Department of Public Works and Highways [DPWH] thru its Bids and Awards Committee for Goods, through GAA 2020, intends</t>
  </si>
  <si>
    <t xml:space="preserve"> Please see attached RFQ # 20-1151 and Technical Specifications Submit your Sign and Sealed Quotation together with your UPDATED ELIGIBILITY Requirements at 3/F ATI Building Department of Agriculture Region IV-MiMaRoPa, Property&amp;Supply Unit/BAC Secretariat</t>
  </si>
  <si>
    <t xml:space="preserve"> INVITATION TO BID SUPPLY AND DELIVERY OF SIX (6) UNITS 24-CHANNEL SEISMOGRAPH FOR THE USE OF DPWH REGIONAL OFFICES (FY 2020) The Department of Public Works and Highways [DPWH] thru its Bids and Awards Committee for Goods, through GAA 2020, intends to appl</t>
  </si>
  <si>
    <t xml:space="preserve"> Please see attached RFQ # 20-1217 Submit your Sign and Sealed Quotation together with your UPDATED ELIGIBILITY Requirements For more details please call PSU (927-5263) or Email us at damimaropasvp@gmail.com For more details please call AMAD (426-0634) Off</t>
  </si>
  <si>
    <t xml:space="preserve"> BIDS AND AWARDS COMMITTEE                                                       SECTION I - INVITATION TO BID  SUPPLY OF LABOR AND MATERIALS FOR THE CORRECTIVE/REPAIR WORKS OF FIRE ENGINE PUMP AND ITS CONTROL SYSTEM AT POWERHOUSE     The Philippine Intern</t>
  </si>
  <si>
    <t xml:space="preserve"> MICROFINIHSING</t>
  </si>
  <si>
    <t xml:space="preserve"> INVITATION TO BID FOR THE SUPPLY, DELIVERY, INSTALLATION AND COMMISSIONING OF CENTRALLY-MANAGED WIRELESS ACCESS POINTS (WAP) The Department of Public Works and Highways thru its Bids and Awards Committee for Goods, through the GAA 2020, intends to apply t</t>
  </si>
  <si>
    <t xml:space="preserve"> A) REQUEST FOR QUOTATION 1. 5 pails Flat Latex, white 2. 16 pails Semi-gloss Latex, white 3. 20 kilos Patching Compound 4. 4 pcs Paint Roller 9” cotton w/ tray 5. 4 pcs Paint Brush 4”  Note: Delivery Period: Fifteen (15) Calendar days B) USE COMPANY LETTE</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</si>
  <si>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</si>
  <si>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Please see attached documents for your reference.</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</si>
  <si>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</si>
  <si>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1.	The Government Service Insurance System (GSIS) through the GSIS Corporate Operating Budget for CY 2020 intends to apply the sum of One Million Three Hundred Thousand Pesos (Php1,300,000.00) being the Approved Budget for the Contract (ABC) to payments u</t>
  </si>
  <si>
    <t xml:space="preserve"> Name of Requirement/Brief Description 	 One (1) Lot Structural Engineering Audit/Investigation and Design Consultancy Services for the Proposed BSP Museum at PICC Project, as per BSP Terms of Reference Approved Budget for the Contract (inclusive of all ap</t>
  </si>
  <si>
    <t xml:space="preserve"> Invitation to Bid For Three (3) Years Subscription for Web Security Protection for LANDBANK Branches (700 Users)  1.	The LAND BANK OF THE PHILIPPINES (LANDBANK), through its Corporate Budget for the contract approved by the Board of Directors for 2020 int</t>
  </si>
  <si>
    <t xml:space="preserve"> 1 lot Provision of Security Services for a Period of One (1) Year in the DOLE Central Office from October 2020 to October 2021</t>
  </si>
  <si>
    <t xml:space="preserve"> Procurement of supply and delivery of NATIVE CHICKEN 341	head	Pullet 84	head	cockerel 		Native chicken- strains of either Darag, Joloaon and crosses of other native strains •	Not less than 6 months but not more than 1 year of age •	Not less than 1 kilogra</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</si>
  <si>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</si>
  <si>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LOT.#1 Construction of Steel Gate @ Purok 3 (Php100,000.00), LOT.#2 Rehab of MPB @ Purok 3 (Php100,000.00), LOT. #3 Cons. Of MPB - (store Stall) Phase 2 @ P3 (Php200,000.00), LOT.#4 Crossdrain (Culvert) @ Purok 1(Php100,000.00), LOT.#5 Rehab of MPP @ Puro</t>
  </si>
  <si>
    <t xml:space="preserve"> Please submit your lowest bid price for one (1) unit brand new motor vehicle with an engine displacement not less than 2.0 Liter if gasoline-fed; or 2.5 Liter, if diesel-fed; with an engine not exceeding 4 cylinders.  The type of vehicle can either be Cro</t>
  </si>
  <si>
    <t xml:space="preserve"> Thirty (30) sets Solar Kit See attached link under OTHER INFORMATION BOX</t>
  </si>
  <si>
    <t xml:space="preserve"> REQUEST FOR EXPRESSION OF INTEREST FOR FEASIBILITY STUDY The NIA- CARAGA Region, through the FS of CY 2020 FUNDS intends to apply the sum of  Twenty Four Million Two Hundred Seventy One Thousand Eight Hundred Forty Four Pesos and 65/100 Centavos Only (P 2</t>
  </si>
  <si>
    <t xml:space="preserve"> REQUEST FOR EXPRESSION OF INTEREST The National Capital Region (NCR) - North Sector Regional Office of the National Housing Authority (NHA), through Corporate Receipts approved by the NHA Board for the year 2020, intends to invite collection service provi</t>
  </si>
  <si>
    <t xml:space="preserve"> Construction of Bridge</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</si>
  <si>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</si>
  <si>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</si>
  <si>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Invitation to Bid The Manila International Airport Authority, through its Bids and Awards Committee (BAC), invites contractors to apply for eligibility and if found eligible, to bid for the hereunder contract:  Name of Contract                            </t>
  </si>
  <si>
    <t xml:space="preserve"> CSC-CO  BIDS AND AWARDS COMMITTEE                                                CSC-ITB No.  2020 - 09                 (Proc. of Anti-Virus Licenses)                                                                     June  29, 2020     INVITATION TO BID</t>
  </si>
  <si>
    <t xml:space="preserve"> NOTICE TO THE PUBLIC REQUEST FOR PROPOSAL Purchase Request No: PUR19-10-1204 The Philippine General Hospital hereby informs the public that it will be procuring the following item/s through Small Value Procurement: SUPPLY,DELIVERY,TESTING AND COMMISSIONIN</t>
  </si>
  <si>
    <t xml:space="preserve"> Republic of the Philippines																					 BIDS AND AWARDS COMMITTEE																					 Dagupan City																					 																					 																					 Request for Quotation (RFQ)																					 																					 Procuremen</t>
  </si>
  <si>
    <t xml:space="preserve"> CSC-CO  BIDS AND AWARDS COMMITTEE    								                               CSC-ITB No.  2020 - 10  (Proc. of Primary Internet Services)      June 29, 2020   INVITATION TO BID  (Mode of Procurement:   Public Bidding) The Civil Service Commission (CSC), th</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</si>
  <si>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</si>
  <si>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Construction of Multi – Purpose Building</t>
  </si>
  <si>
    <t xml:space="preserve"> MG-TSE20-018..METER MULTIFUNCTION CAN MEASURE VOLTAGE, CURRENT, ACTIVE POWER ABC  : P 1,500,000.00 PLACE OF DELIVERY : CMTSD WAREHOUSE DITUCALAN, ILIGAN CITY AMOUNT OF BID DOCUMENTS : P 3,000.00</t>
  </si>
  <si>
    <t xml:space="preserve"> Rehabilitation of Paved Road</t>
  </si>
  <si>
    <t xml:space="preserve"> Construction of Flood Mitigation Structure</t>
  </si>
  <si>
    <t xml:space="preserve"> Preventive Maintenance of Road: Asphalt Overlay</t>
  </si>
  <si>
    <t xml:space="preserve"> Construction of Flood Mitigation Facility</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</si>
  <si>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</si>
  <si>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</si>
  <si>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</si>
  <si>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Request for Quotation RFQ No.		SVP-022-2020 MR No.		10221 Requisition No. 	AMD-093-2020 Posting Date:         	July 1, 2020 Deadline of  Submission:		July 6, 2020 at 9:00 AM Opening Date:	July 6, 2020 at 10:00 AM TO:	Name of Supplier: ____________________</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</si>
  <si>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</si>
  <si>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</si>
  <si>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CSC-CO  BIDS AND AWARDS COMMITTEE                                          CSC-ITB No.  2020-_08_               (Proc. of Laptops &amp; Printers)                                                                  June 29, 2020    INVITATION TO BID  (Mode of Pro</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</si>
  <si>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</si>
  <si>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</si>
  <si>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</si>
  <si>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</si>
  <si>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</si>
  <si>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</si>
  <si>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</si>
  <si>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</si>
  <si>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</si>
  <si>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</si>
  <si>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</si>
  <si>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</si>
  <si>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</si>
  <si>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</si>
  <si>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</si>
  <si>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</si>
  <si>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</si>
  <si>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</si>
  <si>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</si>
  <si>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BAC1-20-008 SUPPLY AND DELIVERY OF VARIOUS CONSTRUCTION SUPPLIES - PAINTING  FOR 2020                                                            INVITATION  TO BID 1. The University of the Philippines Manila through its Bids and Awards Committee I (BAC 1)</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</si>
  <si>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</si>
  <si>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BAC1-20-008 SUPPLY AND DELIVERY OF VARIOUS CONSTRUCTION SUPPLIES - MECHANICAL/CMGVS FOR 2020                                                            INVITATION  TO BID 1. The University of the Philippines Manila through its Bids and Awards Committee I </t>
  </si>
  <si>
    <t xml:space="preserve"> Please see attached RFQ # 20-710-2 Submit your Sign and Sealed Quotation together with your UPDATED ELIGIBILITY Requirements For more details please call BUB/Planning (426-0593)  Technical Requirements: 1. Valid Business Permit / Mayor's Permit 2. Valid P</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</si>
  <si>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</si>
  <si>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</si>
  <si>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Seven (7) units Motorcycles See attached link under OTHER INFORMATION BOX</t>
  </si>
  <si>
    <t xml:space="preserve"> BAC1-20-006 SUPPLY AND DELIVERY OF VARIOUS CONSTRUCTION SUPPLIES - PABX –  FOR 2020                                                      INVITATION  TO BID 1. The University of the Philippines Manila through its Bids and Awards Committee I (BAC 1), invite</t>
  </si>
  <si>
    <t xml:space="preserve"> Construction of Concrete Road</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</si>
  <si>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</si>
  <si>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</si>
  <si>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</si>
  <si>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</si>
  <si>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</si>
  <si>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</si>
  <si>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</si>
  <si>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</si>
  <si>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</si>
  <si>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</si>
  <si>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REPAIR OF PHYTON CAGE NOTE: (FOR JOB ORDER) REQUEST FOR QUOTATION SHALL BE THRU EMAIL DUE TO COVID 19.   YOU CAN DROP YOUR QUOTATIONS AT OUR BID BOX SITUATED IN FRONT OF OUR MAINGATE GUARDHOUSE – AGUS 6/7 HPPC.</t>
  </si>
  <si>
    <t xml:space="preserve"> Rehabilitation/ Major Repair of Multi – Purpose Building</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</si>
  <si>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</si>
  <si>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</si>
  <si>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</si>
  <si>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</si>
  <si>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</si>
  <si>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</si>
  <si>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SUPPLY AND DELIVERY OF FOURTEEN (14) SETS BRAND NEW TRACK ASSY (T130) FOR M113 APC OF THE PHILIPPINE ARMY (PA)  Bid Reference No. MPG-B1-2020-002 Approved Budget for the Contract - ₱ 10,769,230.64     1. Philippine International Trading</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</si>
  <si>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</si>
  <si>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</si>
  <si>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</si>
  <si>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INVITATION TO BID    Design and Build of Pagadian City and Navotas City Fire Stations for the  Bureau of Fire Protection – National Headquarters (BFP-NHQ)  Bid Ref. No. GPG-B2-2020-103 2ND REBID   (Previous Bid Ref. No. GPG-B2-2019-116 and GPG-B2-2019-487</t>
  </si>
  <si>
    <t xml:space="preserve"> PROVISION OF WATCHMAN SERVICES FROM MARCH 1-DECEMBER 31, 2020</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</si>
  <si>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</si>
  <si>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</si>
  <si>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</si>
  <si>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</si>
  <si>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</si>
  <si>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INVITATION TO BID SUPPLY, DELIVERY, INSTALLATION, TESTING AND COMMISSIONING OF ONE (1) LOT BRAND NEW AIR-CONDITIONING UNITS FOR THE NATIONAL BUREAU OF INVESTIGATION (NBI) Bid Reference No. GPG-B1-2020-220 3RD REBID  (Previous Bid Ref. Nos. GPG-B1-2018-236</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</si>
  <si>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</si>
  <si>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PR NO. 20-02-0028								 DATE: March 18, 2020 Gentlemen/Ladies: The Technological University of the Philippines – Manila intends to Procure  HARDWARE SUPPLIES AND MATERIALS with an Approved Budget for the Contract of One Hundred Thousand Twenty Pesos (Ph</t>
  </si>
  <si>
    <t xml:space="preserve"> PR NO. 20-02-0027								 DATE: March 18, 2020 Gentlemen/Ladies: The Technological University of the Philippines – Manila intends to Procure  3D PRINTING CONSUMABLES with an Approved Budget for the Contract of Ninety-Six Thousand Pesos (PhP 96,000.00). Pl</t>
  </si>
  <si>
    <t xml:space="preserve"> 20M00079- Construction/Improvement of Various Infrastructure in Support of National Security – Construction of SK Pendatun Municipal Police Station Building, Gen. Salipada SK Pendatun, Maguindanao</t>
  </si>
  <si>
    <t xml:space="preserve"> SUPPLY AND DELIVERY OF BRAND NEW 2,031 PIECES MILITARY BINOCULAR, COMPACT, MODEL 1 FOR THE PHILIPPINE ARMY (PA)   Bid Reference No. MPG-BI 2020-318 4 th  Rebid  (Previous Bid Ref. Nos. MPG-BI-2018-113, MPG-B1-2018-264, Rebid,                              </t>
  </si>
  <si>
    <t xml:space="preserve"> MA-A2H20-006..BATTERY BANK, STATION BATTERY, AGUS 1 HE PLANT ABC  : P 8,500,000.00 PLACE OF DELIVERY  : AGUS 1 HEP WAREHOUSE MARAWI CITY AMOUNT OF BID DOCUMENTS  : P 10,000.00</t>
  </si>
  <si>
    <t xml:space="preserve"> INVITATION TO BID    SUPPLY AND DELIVERY OF ONE LOT BRAND NEW OPHTHALMIC OPERATING MICROSCOPE AND BRAND NEW OPHTHALMIC CHAIR AND STAND FOR THE PHILIPPINE ARMY (PA)   Bid Reference No. MPG-BI-2020-231 Rebid (Previous Bid Reference No. MPG-BI-2019-169)     </t>
  </si>
  <si>
    <t xml:space="preserve"> PR NO. 20-03-0040								 DATE: March 18, 2020 Gentlemen/Ladies: The Technological University of the Philippines – Manila intends to Procure STEEL CABINET with an Approved Budget for the Contract of Sixty Thousand Pesos (PhP 60,000.00). Please quote your </t>
  </si>
  <si>
    <t xml:space="preserve"> PR NO. 20-01-0012								 DATE: March 18, 2020 Gentlemen/Ladies: The Technological University of the Philippines – Manila intends to Procure  SPORTS EQUIPMENT with an Approved Budget for the Contract of Seven Hundred Seventy-Five Pesos (PhP 775,000.00). P</t>
  </si>
  <si>
    <t xml:space="preserve"> PR NO. 20-03-0043								 DATE: March 18, 2020 Gentlemen/Ladies: The Technological University of the Philippines – Manila intends to Procure HANDHELD PRINTER with an Approved Budget for the Contract of Fifty-Two Thousand Pesos (PhP 52,000.00). Please quot</t>
  </si>
  <si>
    <t xml:space="preserve"> PR NO. 20-03-0044								 DATE: March 18, 2020 Gentlemen/Ladies: The Technological University of the Philippines – Manila intends to Procure HARDWARE MATERIALS AND CONSUMABLES with an Approved Budget for the Contract of Eighty-Three Thousand Six Hundred P</t>
  </si>
  <si>
    <t xml:space="preserve"> PR NO. 20-02-0029								 DATE: March 18, 2020 Gentlemen/Ladies: The Technological University of the Philippines – Manila intends to Procure PRINTER TONER with an Approved Budget for the Contract of One Hundred Twenty-Eight Thousand Pesos (PhP 128,000.00)</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</si>
  <si>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</si>
  <si>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</si>
  <si>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PR NO. 20-02-0026								 DATE: March 18, 2020 Gentlemen/Ladies: The Technological University of the Philippines – Manila intends to Procure  PAPERS AND PRINTING SUPPLY AND CONSUMABLES with an Approved Budget for the Contract of One Hundred Twenty-Three T</t>
  </si>
  <si>
    <t xml:space="preserve"> Procurement of supply and delivery of flour mill 1	unit	Flour Mill with 4 electric hotplate cooking range (for the development of white flint corn value adding products) 		Flour Mill Specifications: Weight- Approx-26kg Size HXBXL- 58cm x 30 cm Size of Eme</t>
  </si>
  <si>
    <t xml:space="preserve"> PR NO. 20-02-0030								 DATE: March 18, 2020 Gentlemen/Ladies: The Technological University of the Philippines – Manila intends to Procure PAPERS AND CONSUMABLES with an Approved Budget for the Contract of Five Hundred Seventy-Six Thousand Pesos (PhP 57</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</si>
  <si>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</si>
  <si>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INVITATION TO BID    RENOVATION OF VARIOUS LABORATORIES AND TRAINING FACILITIES OF THE UNIVERSITY OF THE PHILIPPINES LOS BAÑOS – COLLEGE OF VETERINARY MEDICINE (UPLB – CVM)    Bid Ref. No. GPG-B2-2020-272 2nd Rebid (Prev. Bid Ref. Nos. GPG-B2-2019-301 and</t>
  </si>
  <si>
    <t xml:space="preserve"> Invitation to Bid  PROCUREMENT OF REPAIR AND REHABILITATION OF VARIOUS SCHOOL BUILDING (REPAIR OF 11 CLASSROOMS) IN SINALOC ELEMENTARY SCHOOL Project 2020-03-0023 1.	The Department of Education, Division of El Salvador City, through the General Appropriat</t>
  </si>
  <si>
    <t xml:space="preserve"> NVITATION TO BID    SUPPLY AND DELIVERY OF BRAND NEW 3,552 PAIRS TANKER SUIT, PHILARPAT FOR THE PHILIPPINE ARMY (PA)   Bid Reference No. MPG-BI-2020-415 Approved Budget for the Contract - ₱ 9,615,264.00     1. The Philippine International Trading Corporat</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</si>
  <si>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</si>
  <si>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</si>
  <si>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</si>
  <si>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</si>
  <si>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Supply of various requirements relative to the conduct of upcoming Gender Sensitivity Training (PR#20-02-0205) Kindly see attached LINK for the requirements/details: https://drive.google.com/file/d/1ONAZQ5B_xUmyid9ADIgq0L3aNdDZ3TsX/view?usp=drivesdk</t>
  </si>
  <si>
    <t xml:space="preserve"> Construction and/or Repair/Rehabilitation of Multi-Purpose Building</t>
  </si>
  <si>
    <t xml:space="preserve"> INVITATION TO BID SUPPLY AND DELIVERY OF BRAND NEW KM 500 TIRE 11.00-20, 16PR  (LUG TRACTION DESIGN) FOR THE PHILIPPINE NAVY (PN)    Bid Ref. No. MPG-B1-2019-562 3rd Rebid  (Previous Bid Ref. Nos. MPG-B1-2018-397, MPG-B1-2018-597 Rebid and MPG-B1-2019-307</t>
  </si>
  <si>
    <t xml:space="preserve"> INVITATION TO BID    SUPPLY AND DELIVERY OF BRAND NEW 14,871 SETS TOWEL BATH AND FACE, MICROFIBER OD FOR THE PHILIPPINE ARMY (PA)   Bid Reference No. MPG-BI-2020-250 Approved Budget for the Contract - ₱ 8,579,377.32     1. The Philippine International Tra</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</si>
  <si>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</si>
  <si>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</si>
  <si>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</si>
  <si>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</si>
  <si>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</si>
  <si>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A. Clearing. Layout and false works B. Excavation C. Concrete Line Canal with Concrete Cover and Concrete Shoulder D. Concrete Line Canal</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</si>
  <si>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</si>
  <si>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INVITATION TO BID SUPPLY AND DELIVERY OF VARIOUS MEDICAL EQUIPMENT OF THE DEPARTMENT OF HEALTH – CENTER FOR HEALTH  DEVELOPMENT 1 (DOH-CHD1) BID REFERENCE NO.: GPG-B1-2020-011 1.	The Philippine International Trading Corporation (PITC) and the Department o</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</si>
  <si>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</si>
  <si>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SUPPLY AND DELIVERY OF BRAND NEW 17,059 PAIRS PHILIPPINE ARMY RUBBER SHOES BLACK FOR THE PHILIPPINE ARMY (PA)   Bid Reference No. MPG-BI-2020-054  Approved Budget for the Contract - ₱ 62,631,947.91     1. The Philippine International </t>
  </si>
  <si>
    <t xml:space="preserve"> INVITATION TO BID    REPAIR/RENOVATION OF DEPARTMENT OF HEALTH (DOH) BUILDING NO. 1   Bid Reference No. GPG-B2-2020-282 2nd Rebid (Prev. Bid Ref. No. GPG-B2-2019-402 Rebid and GPG-B2-2019-196)   Approved Budget for the Contract (ABC): ₱10,118,081.88    1.</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</si>
  <si>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</si>
  <si>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INVITATION TO BID SUPPLY AND DELIVERY OF VARIOUS BRAND NEW MEDICAL EQUIPMENT FOR THE DEPARTMENT OF HEALTH – CENTER FOR HEALTH DEVELOPMENT I  (DOH – CHD I) Bid Reference No.: GPG-B1-2020-010 1.	The Philippine International Trading Corporation (PITC) and th</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</si>
  <si>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</si>
  <si>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Republic of the Philippines				 				                   Office of the Municipal Mayor				 					       BIDS AND AWARDS COMMITTEE				 					            Sta. Barbara, Pangasinan				 									 					               Invitation to Bid 				 					                    </t>
  </si>
  <si>
    <t xml:space="preserve"> INVITATION TO BID    SUPPLY AND DELIVERY OF 9,615 BRAND NEW INDIVIDUAL FIRST AID KITSFOR THE PHILIPPINE ARMY (PA)  Bid Reference No. MPG-B1-2019-416    Approved Budget for the Contract – P 36,663,533.40   1.  The Philippine International Trading Corporati</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</si>
  <si>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</si>
  <si>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Contract Name: Continuation of Multi – Purpose Building, Brgy. 259, Tondo, Manila Contract Location: Manila City      Brief Description: Rehabilitation of Multi – Purpose Building      Approved Budget for the Contract (ABC):  Php 14,849,659.73      Source</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</si>
  <si>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</si>
  <si>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A) REQUEST FOR QUOTATION NISSAN SENTRA UQB-607, UQX-606 AND UQX-609 1. 15 pc Tires, 185/65 R14 Tubeless Tire NISSAN URVAN LHK-605 AND UQX-607 2. 2 pc Battery-Maintenance Free 3SMF (15 plates) NISSAN SENTRA UQB-607, UQX-606 AND UQX-609 3. 3 pc Battery-Main</t>
  </si>
  <si>
    <t xml:space="preserve"> DATA BACKUP STORAGE NETWORK ATTACHED STORAGE (NAS)/DISK STATION, RAID TECHNICAL SPEC: HARDWARE:  CPU: REALTEK RTD 1296 QUADCORE 1.4 GHZ HARDWARE ENCRYPTION ENGINE: YES HARDWARE TRANSCODING ENGINE:     *SUPPORTED CODEC: MPEG-4 PART 2(XVID, DIVX5), MPEG-2, </t>
  </si>
  <si>
    <t xml:space="preserve"> Republic of the Philippines Province of Cavite City of General Trias Invitation to Bid for  Project Reference No. INFR-20-016– CONSTRUCTION OF HIMLAYANG GENERAL TRIAS ANNEX (PHASE II) AT BARANGAY BUENAVISTA III, CITY OF GEN. TRIAS, CAVITE 1.	The City Gove</t>
  </si>
  <si>
    <t xml:space="preserve"> Republic of the Philippines										 BIDS AND AWARDS COMMITTEE										 Province of Pangasinan										 Municipality of Sta. Barbara										 										 Invitation to Bid										  for 										 Improvement of Public Plaza										 Poblacion Norte,</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</si>
  <si>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</si>
  <si>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</si>
  <si>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INVITATION FOR NEGOTIATION    SUPPLY OF LABOR AND MATERIALS FOR THE REPAIR AND IMPROVEMENT OF GEN. RICARTE SHRINE GROUNDS AND ATTENDANT PARKS OF THE PHILIPPINE VETERANS AFFAIRS OFFICE (PVAO)    Bid Ref No. MPG-B2-2020-310 Nego  (Previous Bid Ref No. 2019-</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</si>
  <si>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</si>
  <si>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Supply of printer, voice recorder and external hdd (PR#20-02-0213; 20-02-0213; 20-01-0060) Kindly see attached LINK below for the specifications. https://drive.google.com/file/d/1vLkSTiwWmldjHHs7VMsmjRtmM3gmJJf0/view?usp=drivesdk</t>
  </si>
  <si>
    <t xml:space="preserve"> Request for Quotation for the Procurement of 1 unit Generator Set  1.	The Department of Agriculture-Regional Field Office 7 (DA-RFO 7), through the General Appropriation Act for CY 2020 intends to apply the sum of Three Hundred Thousand Pesos (P 300,000.0</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</si>
  <si>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</si>
  <si>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</si>
  <si>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DOCUMENT SCANNER AUTO DOCUMENT FEEDER, DUPLEX SCANNING, MAX RESOLUTION SCAN FUNCTION:                SCANNER TYPE: A4 FLATBED COLOUR IMAGE SCANNER                SENSOR TYPE: 4-LINE COLOUR CCS                LIGHT SOURCE: WHITE LED                OPTICAL </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</si>
  <si>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</si>
  <si>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None</t>
  </si>
  <si>
    <t xml:space="preserve"> Total Estimated Cost of Labor - 20,010.00</t>
  </si>
  <si>
    <t xml:space="preserve"> You may download the bid documents thru the link https://drive.google.com/file/d/1nWTUKQiXs0Dw4c382z1Zx9O6IQV06HhZ/view?usp=drivesdk</t>
  </si>
  <si>
    <t xml:space="preserve"> NONE</t>
  </si>
  <si>
    <t xml:space="preserve"> MODE OF PROCUREMENT IS DIRECT CONTRACTING (Section 50 of 2016 Revised IRR of 9184)</t>
  </si>
  <si>
    <t xml:space="preserve"> LOT I - Concreting of Highway Jct.-Ala-Salabaca-New Panay Road, 1,940 linear meters</t>
  </si>
  <si>
    <t xml:space="preserve"> https://drive.google.com/file/d/1_Owf0IO7LsfDNTetXcvrpKzWm9pvyvdk/view?usp=drivesdk</t>
  </si>
  <si>
    <t xml:space="preserve"> https://drive.google.com/file/d/1fANTzIPt9p0nUI8pyQQW8eFgJFuSR4w3/view?usp=drivesdk</t>
  </si>
  <si>
    <t xml:space="preserve"> https://drive.google.com/file/d/1rp_epzrYYCbMDgEFJSoLK5dTcJy_BPO5/view?usp=drivesdk</t>
  </si>
  <si>
    <t xml:space="preserve"> https://drive.google.com/file/d/1h9gqTO8qzRJIOlA9EL0mEhEYce-buitV/view?usp=drivesdk</t>
  </si>
  <si>
    <t xml:space="preserve"> https://drive.google.com/file/d/1JK-aFCN82MioFPhrGEkUAfH02tw2w40f/view?usp=drivesdk</t>
  </si>
  <si>
    <t xml:space="preserve"> Please bring valid medical certificates upon attendance ( only certificates issued one week prior to the date of attendance are to be accepted)</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</si>
  <si>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</si>
  <si>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</si>
  <si>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1.Suppliers/Bidders must download the attached Bid Document in the associated component section.</t>
  </si>
  <si>
    <t xml:space="preserve"> Please bring valid medical clearances. </t>
  </si>
  <si>
    <t xml:space="preserve"> https://drive.google.com/file/d/1ZAdneBVobBWUSUrmGw7clGsyn2ctkOSy/view?usp=drivesdk</t>
  </si>
  <si>
    <t xml:space="preserve"> https://drive.google.com/file/d/1QvP-4ceAKP0CjhXZfI4QR7uiKWqzS_RO/view?usp=drivesdk</t>
  </si>
  <si>
    <t xml:space="preserve"> The BAC shall issue bidding documents upon payment of Five Thousand Pesos Only (Php5,000.00) to the disbursing/ collecting officer of the LGU.</t>
  </si>
  <si>
    <t xml:space="preserve"> The BAC shall issue bidding documents upon payment of Five Hundred Pesos Only (Php500.00) to the disbursing/ collecting officer of the LGU.</t>
  </si>
  <si>
    <t xml:space="preserve"> The BAC shall issue bidding documents upon payment of Five Thousand Pesos (Php5,000.00) respectively to the disbursing/ collecting officer of the LGU.</t>
  </si>
  <si>
    <t xml:space="preserve"> Please see attached Invitation To Bid.</t>
  </si>
  <si>
    <t xml:space="preserve"> Opening of bids shall be done 48 hours after the deadline of submission of bid or on SEPTEMBER 3, 2020 (THURSDAY), 2:00 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t>
  </si>
  <si>
    <t xml:space="preserve"> https://drive.google.com/file/d/1QlhKe8zBGE5ZLDGy7Wxcx6Lmba4iPpFg/view?usp=drivesdk</t>
  </si>
  <si>
    <t xml:space="preserve"> NOTE: WEAR FACE MASK, FACE SHIELD AND OBSERVED SOCIAL DISTANCING DURING THE OPENING OF BIDS.</t>
  </si>
  <si>
    <t xml:space="preserve"> NOTE: THIS IS A REBIDDING FOR ALL ITEMS IN THIS PURCHASE REQUEST..</t>
  </si>
  <si>
    <t xml:space="preserve"> NOTE: THIS IS A REBIDDING FOR THE SAID ITEM IN THIS PURCHASE REQUEST.</t>
  </si>
  <si>
    <t xml:space="preserve"> https://drive.google.com/file/d/12tyfqawKtCN6vQV2AHPZuzyua0AabiSb/view?usp=drivesdk</t>
  </si>
  <si>
    <t xml:space="preserve"> The complete schedule of activities is listed, as follows:</t>
  </si>
  <si>
    <t xml:space="preserve"> For information inquire at BAC Secretariat of Atimonan, Quezon</t>
  </si>
  <si>
    <t xml:space="preserve"> Instruction for Suppliers on How to View/Download the document:</t>
  </si>
  <si>
    <t xml:space="preserve"> Concreting Road 330m x 4m , thickness 0.20m and 0.80m shouldering both sides.</t>
  </si>
  <si>
    <t xml:space="preserve"> 1. Funded under the General fund, 20% Development fund with an ABC of Php 99,931.13</t>
  </si>
  <si>
    <t xml:space="preserve"> https://drive.google.com/file/d/1FczUnDgQalbmbebBNTs-6Gs_Jx4EhF6o/view?usp=drivesdk</t>
  </si>
  <si>
    <t xml:space="preserve"> https://drive.google.com/file/d/17N17EWFvbMYsla8OhT2Mnt0Ozh06rOcs/view?usp=drivesdk</t>
  </si>
  <si>
    <t xml:space="preserve"> PLEASE SEE SIMILAR POSTING AT THE PROCURING ENTITY'S WEBSITE</t>
  </si>
  <si>
    <t xml:space="preserve"> Please see attached Bidding Documents for more details.</t>
  </si>
  <si>
    <t xml:space="preserve"> Please be informed that the Bid Documents can't be downloaded from the website. Interested bidders are requested to acquire the documents directly and personally from the Mayor's Office upon payment of a corresponding fee of Php1,000.00 for the said project at the Municipal Treasury Office.</t>
  </si>
  <si>
    <t xml:space="preserve"> FOR 2ND BIDDING</t>
  </si>
  <si>
    <t xml:space="preserve"> Please be informed that the Bid Documents can't be downloaded from the website. Interested bidders are requested to acquire the documents directly and personally from the Mayor's Office upon payment of a corresponding fee of Php25,000.00 for the said project at the Municipal Treasury Office.</t>
  </si>
  <si>
    <t xml:space="preserve"> Issuance of Bid Documents: August 31-September 10, 2020</t>
  </si>
  <si>
    <t xml:space="preserve"> Issuance of Bid Documents: August 26-September 1, 2020</t>
  </si>
  <si>
    <t xml:space="preserve"> Issuance of Bid Documents: August 26-Sept. 1, 2020</t>
  </si>
  <si>
    <t xml:space="preserve"> Receipt and Issuance of Letter of Intent (LOI) -  August 25 - September 1, 2020</t>
  </si>
  <si>
    <t xml:space="preserve"> Date of Posting- August 22-August 28,2020</t>
  </si>
  <si>
    <t xml:space="preserve"> Date of Posting August 22-28,2020</t>
  </si>
  <si>
    <t xml:space="preserve"> You may download the Bidding Documents through the link below:</t>
  </si>
  <si>
    <t xml:space="preserve"> Bidding Documents  will be available to prospective bidder who purchase the Bidding Doc at the Office of the Municipal Treasurer of the Local Government Unit of Magpet.</t>
  </si>
  <si>
    <t xml:space="preserve"> PLEASE SEE ATTACHED ASSOCIATED COMPONENTS.</t>
  </si>
  <si>
    <t xml:space="preserve"> Bidding Documents are available to prospective bidders who purchase the bidding documents from the office of the Municipal Treasurer of the Local Government Unit of Magpet</t>
  </si>
  <si>
    <t xml:space="preserve"> Please call 0998-247-0239 / 0906-256-9238 for other details...</t>
  </si>
  <si>
    <t xml:space="preserve"> Issuance of bidding documents at BAC Office on August 25, 2020 to September 9, 2020 at 10:00 a.m.</t>
  </si>
  <si>
    <t xml:space="preserve"> Please give us a call at 924-6101 local 1063/1067</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</si>
  <si>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</si>
  <si>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Please DOWNLOAD attached file/s for Specifications.</t>
  </si>
  <si>
    <t xml:space="preserve"> 50 pads Application Forms (Bus. Permit) page 1 -  Carbonated</t>
  </si>
  <si>
    <t xml:space="preserve"> Item No.	Description	Qty.	Unit</t>
  </si>
  <si>
    <t xml:space="preserve"> INVITATION TO APPLY FOR ELIGIBILITY AND TO BID</t>
  </si>
  <si>
    <t xml:space="preserve"> 1825 roll Garbage bag, Large</t>
  </si>
  <si>
    <t xml:space="preserve"> For more information, please see or contact the BAC Members of Brgy. Hubo, Magallanes, Sorsogon.</t>
  </si>
  <si>
    <t xml:space="preserve"> For other information and queries, visit us at Headquarters 113th Contracting Office, AFPPS, Camp O'Donnell, Brgy Sta Lucia, Capas Tarlac and look for Chief 113th CO, AFPPS. Submission of Request for Quotation must reach to this Office not later than 281000H August 2020 for the opening of Canvass at 113th CO conference room.</t>
  </si>
  <si>
    <t xml:space="preserve"> MS. DONA D. SALMOS, RN, MAN</t>
  </si>
  <si>
    <t xml:space="preserve"> 	Option to reserve the stock for the VMMC: seven (7) working days after the opening of this canvass</t>
  </si>
  <si>
    <t xml:space="preserve"> SEE REQUEST FOR QUOTATION</t>
  </si>
  <si>
    <t xml:space="preserve"> Please send an email to santiago_neilaldrich@yahoo.com for the RFQ or contact 09051002169.</t>
  </si>
  <si>
    <t xml:space="preserve"> 100 vial Vaccine (Antirabies)</t>
  </si>
  <si>
    <t xml:space="preserve"> Bidding Documents will be available to prospective bidders who purchase the bidding documents from the office of the Municipal Treasurer of the Local Government Unit of Magpet.</t>
  </si>
  <si>
    <t xml:space="preserve"> For more information, please see or contact the BAC Members of Brgy. Pili, Magallanes, Sorsogon.</t>
  </si>
  <si>
    <t xml:space="preserve"> REMINDERS:</t>
  </si>
  <si>
    <t xml:space="preserve"> Please see the BAC secretariat for the main documents</t>
  </si>
  <si>
    <t xml:space="preserve"> ABOVE LISTED ITEMS ARE TO BE CHARGED TO TWO(2) SEPARATE MOOE ACCOUNTS, THEREFORE IT SHOULD BE NOTICED THAT WE REQUEST TO BE ISSUED 2 DIFFERENT SET OF RECEIPTS..</t>
  </si>
  <si>
    <t xml:space="preserve"> The deadline of Submission and opening of the RFQ are as follows:	</t>
  </si>
  <si>
    <t xml:space="preserve"> https://drive.google.com/file/d/1QF490bEihP_mz7nPkcLqeG5OFT1hyhfB/view?usp=drivesdk</t>
  </si>
  <si>
    <t xml:space="preserve"> For more information, please contact Mrs. Lilibeth Tambasacan - Brgy. Treasurer with her mobile no. 09095891463</t>
  </si>
  <si>
    <t xml:space="preserve"> SUPPLIERS/BIDDERS MUST DOWNLOAD THE ATTACHED DOCUMENT IN THE ASSOCIATED COMPONENT SECTION.</t>
  </si>
  <si>
    <t xml:space="preserve"> oOption to reserve the stock for the VMMC: seven (3) working days after the opening of this canvass</t>
  </si>
  <si>
    <t xml:space="preserve"> Please see the BAC Secretariat for the main documents.</t>
  </si>
  <si>
    <t xml:space="preserve"> Posted at three conspicuous places.</t>
  </si>
  <si>
    <t xml:space="preserve"> Purpose: Training Equipment for the Completed Three (3) Storey Building of the ZSCMST Regional Maritime Training Center for Basic Training (Formerly SOLAS).</t>
  </si>
  <si>
    <t xml:space="preserve"> FOR MORE INFORMATION AND DETAILS, PLEASE CONTACT THE BAC SECRETARIAT</t>
  </si>
  <si>
    <t xml:space="preserve"> Other Information</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</si>
  <si>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</si>
  <si>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ANALY A. ESCALADA </t>
  </si>
  <si>
    <t xml:space="preserve"> Please look BAC Secretary/TWG for bidding documents/clarification,failure of submitting necessary documents will be subjected to disqualification.</t>
  </si>
  <si>
    <t xml:space="preserve"> PLEASE SEE ATTACHED ASSOCIATED COMPONENTS</t>
  </si>
  <si>
    <t xml:space="preserve"> INSTALLATION OF CCTV CAMERA BRGY. POB.5</t>
  </si>
  <si>
    <t xml:space="preserve"> DRONE </t>
  </si>
  <si>
    <t xml:space="preserve"> Ruel Capucao de Loyola</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</si>
  <si>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</si>
  <si>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Fund 101</t>
  </si>
  <si>
    <t xml:space="preserve"> ALL INTERESTED BIDDERS ARE REQUIRED TO SUBMIT THEIR COMPLETE ELIGIBILITY REQUIREMENTS TO THE BAC FOR EVALUATION DURING THE PRE-BID CONFERENCE ON SEPTEMBER 2, 2020 8:00A.M. AT THE BAC SECRETARIAT OFFICE, 2ND FLOOR, CITY HALL OF DASMARIÑAS, CAVITE. BIDDERS WHO SHALL FAIL TO ATTEND THE PRE-BID SHALL NOT BE ALLOWED TO JOIN THE BIDDING FOR THE AFORESAID PROJECT. </t>
  </si>
  <si>
    <t xml:space="preserve"> August 25, 2020 - Issuance of Bidding Documents</t>
  </si>
  <si>
    <t xml:space="preserve"> The BAC has the sole responsibility to accept and reject incomplete bids. The cost of Bid Documents is P5,000.00 which is non-refundable.</t>
  </si>
  <si>
    <t xml:space="preserve"> ALL BIDDERS MUST BE FROM WITHIN THE 2ND AND 3RD DISTRICT OF ZAMBOANGA DEL NORTE</t>
  </si>
  <si>
    <t xml:space="preserve"> https://drive.google.com/file/d/19JYUih6845pTmJgJ143hFfP1H_3NLILE/view?usp=drivesdk</t>
  </si>
  <si>
    <t xml:space="preserve"> Download Bidding Documents from this link: https://drive.google.com/file/d/1SOwZ6nlUhHkD-dPmi1a03Gpj_2smjU3E/view?usp=drivesdk</t>
  </si>
  <si>
    <t xml:space="preserve"> For More Info. Please Contact:</t>
  </si>
  <si>
    <t xml:space="preserve"> Please contact the Procurement Unit for your question and clarification.</t>
  </si>
  <si>
    <t xml:space="preserve"> MOOE THIRD QUARTER</t>
  </si>
  <si>
    <t xml:space="preserve"> 1	Bidders are required to read the instructions  and fill ALL the blanks in typewritten form or written legibly in permanent ink.						</t>
  </si>
  <si>
    <t xml:space="preserve"> Please download RFQ online under Associated Components.</t>
  </si>
  <si>
    <t xml:space="preserve"> ALL BIDDERS MUST BE FROM WITHIN THE 3RD DISTRICT OF ZAMBOANGA DEL NORTE ONLY AND MUST HAVE A PHYSICAL ADDRESS WITHIN THE MENTIONED DISTRICT</t>
  </si>
  <si>
    <t xml:space="preserve"> For more information, please see or contact the BAC Members of Brgy. Biton, Magallanes, Sorsogon.</t>
  </si>
  <si>
    <t xml:space="preserve"> Download Bidding Documents at: https://drive.google.com/file/d/1SOwZ6nlUhHkD-dPmi1a03Gpj_2smjU3E/view?usp=drivesdk</t>
  </si>
  <si>
    <t xml:space="preserve"> The submission of request for quotation form is on or before the closing date at 2nd floor, BAC Office, Municipal Hall of Don Carlos, Bukidnon.</t>
  </si>
  <si>
    <t xml:space="preserve"> See attached Bill of Quantities</t>
  </si>
  <si>
    <t xml:space="preserve"> ELIGIBILITY CHECK REQUIREMENTS FOR THE PROCUREMENT OF GOODS</t>
  </si>
  <si>
    <t xml:space="preserve"> MARITES L. ESPINOSA</t>
  </si>
  <si>
    <t xml:space="preserve"> Other Information:</t>
  </si>
  <si>
    <t xml:space="preserve"> Date of Bidding: September 2, 2020</t>
  </si>
  <si>
    <t xml:space="preserve"> For more information, please see or contact the BAC Members of Brgy. Lapinig, Magallanes, Sorsogon.</t>
  </si>
  <si>
    <t xml:space="preserve"> 25	pc.	BALLPEN, 0.5mm tip, black</t>
  </si>
  <si>
    <t xml:space="preserve"> Please visit BAC Office at Ticala Island San Pablo Zad.</t>
  </si>
  <si>
    <t xml:space="preserve"> For Particular, Inquire at BAC Secretariat of Brgy. San Andres Labak  Atimonan,Quezon</t>
  </si>
  <si>
    <t xml:space="preserve"> Reservation Clause:</t>
  </si>
  <si>
    <t xml:space="preserve"> Mayors permit</t>
  </si>
  <si>
    <t xml:space="preserve"> For Particular,Inquire at BAC Secretariat of Brgy. San Andres Bundok Atimonan, Quezon</t>
  </si>
  <si>
    <t xml:space="preserve"> bidding date on September 17, 2020,at Brgy. Hall, Brgy.Ulay-Bugang,Alimodian Iloilo at 9:00 am</t>
  </si>
  <si>
    <t xml:space="preserve"> Negotiated.</t>
  </si>
  <si>
    <t xml:space="preserve"> Contact Person</t>
  </si>
  <si>
    <t xml:space="preserve"> 1.Suppliers/Bidders must download the attached Document/RFQ in the associated component section.</t>
  </si>
  <si>
    <t xml:space="preserve"> NOTE: To all Suppliers,</t>
  </si>
  <si>
    <t xml:space="preserve"> For further information, please refer to:</t>
  </si>
  <si>
    <t xml:space="preserve"> Project Description:</t>
  </si>
  <si>
    <t xml:space="preserve"> SPECIFICATIONS:</t>
  </si>
  <si>
    <t xml:space="preserve"> To all interested bidder/s or representative/s please follow our Local Inter-Agency Task Force's protocol.</t>
  </si>
  <si>
    <t xml:space="preserve"> PLEASE SEE ATTACHED DOCUMENT FOR THE LINE ITEMS AND ESTIMATED UNIT COST OF OFFICE SUPPLIES.</t>
  </si>
  <si>
    <t xml:space="preserve"> https://drive.google.com/file/d/1FgM5ER_eD7r-6AiYf3NkhtnDSTV85IDq/view?usp=drivesdk</t>
  </si>
  <si>
    <t xml:space="preserve"> https://drive.google.com/file/d/1peFHnkPPwGZQ67nEkgvra2YTaK8i6EgP/view?usp=drivesdk</t>
  </si>
  <si>
    <t xml:space="preserve"> Please download Bid Documents</t>
  </si>
  <si>
    <t xml:space="preserve"> https://drive.google.com/file/d/1o6otke-d0JjFozn-zCs7y8FxA8u2qon1/view?usp=drivesdk</t>
  </si>
  <si>
    <t xml:space="preserve"> Requirements:</t>
  </si>
  <si>
    <t xml:space="preserve"> FOR MORE INFORMATION  CONTACT  MR NELSON  BAUTISTA   PRINCIPAL SAN FRANCISCO ELEM. SCHOOL</t>
  </si>
  <si>
    <t xml:space="preserve"> SEALED QUOTATION SHOULD BE RECEIVED BY THE BAC ON OR BEFORE AUGUST 28, 2020 @5PM.</t>
  </si>
  <si>
    <t xml:space="preserve"> OPENING OF PRICE QUOTATION ON SEPTEMBER 2, 2020 2:00 P.M.  AT DENR-PENR OFFICE, SAN VICTORIES ST., BRGY. 9, MALAYBALAY CITY</t>
  </si>
  <si>
    <t xml:space="preserve"> FOR MORE INFO AND CLARIFICATION, PLEASE SEE HEAD BAC SECRETARIAT OF BRGY. SAN AGUSTIN COUNCIL, BRGY. SAN AGUSTIN HALL, BRGY. SAN AGUSTIN, DULAG LEYTE FROM MONDAY TO FRIDAY (8:00 A.M. TO 5:00 P.M.)</t>
  </si>
  <si>
    <t xml:space="preserve"> Please ensure a complete quote, including ALL charges necessary for complete installation of the units.  Ocular inspection is encouraged for a more accurate quote. Incomplete quotes shall automatically be non-responsive.</t>
  </si>
  <si>
    <t xml:space="preserve"> Delivery must be 5 days after the award done</t>
  </si>
  <si>
    <t xml:space="preserve"> PNOC EC reserves the right to accept or reject any proposal, to annul the bidding process, and to reject any and all proposals at any time, without thereby incurring any liability to the affected bidders. PNOC EC assumes no responsibility whatsoever to compensate or indemnify bidders for any expenses incurred in the preparation of the bid.</t>
  </si>
  <si>
    <t xml:space="preserve"> Bidders/Suppliers must download the attached document in the associated component Section</t>
  </si>
  <si>
    <t xml:space="preserve"> The BAC is conducting the public bidding for this Contract in accordance with Republic Act No. 9184 and its Implementing Rules and Regulations (IRR).</t>
  </si>
  <si>
    <t xml:space="preserve"> For more information, please contact Ms. Roselyn Batarra at 8924-6031 loc 220.</t>
  </si>
  <si>
    <t xml:space="preserve"> https://drive.google.com/file/d/1p4x5Rre-JE1mCpn14nqvkZ7FIslgRydy/view?usp=drivesdk</t>
  </si>
  <si>
    <t xml:space="preserve"> https://drive.google.com/file/d/1xMFMMNjCFV5KGzgn23BKWD__EEuP7k6i/view?usp=drivesdk</t>
  </si>
  <si>
    <t xml:space="preserve"> See attached Quotation form</t>
  </si>
  <si>
    <t xml:space="preserve"> Reminder:</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</si>
  <si>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</si>
  <si>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Download RFQ and Memo at the associated components and submit both documents.</t>
  </si>
  <si>
    <t xml:space="preserve"> Deadline of Submission of QUOTATION SEPTEMBER 1 2020 10:00AM</t>
  </si>
  <si>
    <t xml:space="preserve"> Please attach sample pictures for reference of the BAC.</t>
  </si>
  <si>
    <t xml:space="preserve"> List of Requirement:</t>
  </si>
  <si>
    <t xml:space="preserve"> NOTE: INCLUDE IN YOUR PROPOSAL BRAND, MAKE AND COUNTRY OF ORIGIN</t>
  </si>
  <si>
    <t xml:space="preserve"> Please download bid documents at:</t>
  </si>
  <si>
    <t xml:space="preserve"> Submission and Opening of Bid Quotation: September 1, 2020 10:00 AM</t>
  </si>
  <si>
    <t xml:space="preserve"> https://drive.google.com/file/d/15s6FCKL1in9Ogcz7h5c0GYBlbonSvFUy/view?usp=drivesdk</t>
  </si>
  <si>
    <t xml:space="preserve"> https://drive.google.com/file/d/18pGM_VhRuXaAwt3S7lHjuGeeAzXXGXSp/view?usp=drivesdk</t>
  </si>
  <si>
    <t xml:space="preserve"> For use in the office of the Ministry of Public Works Maguindanao 1st DEO</t>
  </si>
  <si>
    <t xml:space="preserve"> https://drive.google.com/file/d/1QqK3LP63pJZBXMEpsMFGLIpoXruGTzib/view?usp=drivesdk</t>
  </si>
  <si>
    <t xml:space="preserve"> See Request for Quotation</t>
  </si>
  <si>
    <t xml:space="preserve"> See attached Quotation form, Program of Works and Engineering Design</t>
  </si>
  <si>
    <t xml:space="preserve"> For further information please contact  the concern person.</t>
  </si>
  <si>
    <t xml:space="preserve"> Please download RFQ in the Associated Components for Quotation.</t>
  </si>
  <si>
    <t xml:space="preserve"> CONTACT PERSON:</t>
  </si>
  <si>
    <t xml:space="preserve"> Buyer: J.F. Ramos</t>
  </si>
  <si>
    <t xml:space="preserve"> https://drive.google.com/file/d/1jn_iolK6x06S1Mwojqj9WOpu_1r4KSgP/view?usp=drivesdk</t>
  </si>
  <si>
    <t xml:space="preserve"> DESKTOP, CORE i7 (CPU, Monitor, UPS)</t>
  </si>
  <si>
    <t xml:space="preserve"> https://drive.google.com/file/d/1DYUTmxLwLpPvJz3lL6ZnazaECIkHUcsa/view?usp=drivesdk</t>
  </si>
  <si>
    <t xml:space="preserve"> FOR: NISSAN NAVARA OV8024</t>
  </si>
  <si>
    <t xml:space="preserve"> Please send Bidding Documents to:</t>
  </si>
  <si>
    <t xml:space="preserve"> Terms and Conditions:</t>
  </si>
  <si>
    <t xml:space="preserve"> Pls send your quotation to:</t>
  </si>
  <si>
    <t xml:space="preserve"> Terms of Payment : 30 days from complete receipt of all materials</t>
  </si>
  <si>
    <t xml:space="preserve"> Please download the Bid Document in the Associated.</t>
  </si>
  <si>
    <t xml:space="preserve"> TECHNICAL SPECIFICATIONS</t>
  </si>
  <si>
    <t xml:space="preserve"> SUPPLIERS MUST DOWNLOAD THE DOCUMENT IN THE ATTACHED COMPONENT</t>
  </si>
  <si>
    <t xml:space="preserve"> Contact Number </t>
  </si>
  <si>
    <t xml:space="preserve"> BIDDERS MUST DOWNLOAD ELECTRONIC COPY OF BIDDING DOCUMENTS IN THE LINK BELOW:</t>
  </si>
  <si>
    <t xml:space="preserve"> Please look Ms. MHELET BEÑALES and Ms. Rowena Rodriguez for other information.</t>
  </si>
  <si>
    <t xml:space="preserve"> The submission of request for quotation form is on or before the closing date at  2nd floor, BAC Office, Municipal Hall of Don Carlos, Bukidnon</t>
  </si>
  <si>
    <t xml:space="preserve"> AVAILABILITY OF BIDDING DOCUMENTS-AUGUST 26,2020</t>
  </si>
  <si>
    <t xml:space="preserve"> R.F.Q. IS AVAILABLE AT THE BAC OFFICE DURING OFFICE HOUR.</t>
  </si>
  <si>
    <t xml:space="preserve"> SEE DESCRIPTION</t>
  </si>
  <si>
    <t xml:space="preserve"> https://drive.google.com/file/d/1ooKLKhTyMF8hXhKiJeLBdYAfqt8xCk_B/view?usp=drivesdk</t>
  </si>
  <si>
    <t xml:space="preserve"> For inquiries, please call:</t>
  </si>
  <si>
    <t xml:space="preserve"> September 1, 2020, 9:30am	- 	Deadline of submission Quotation</t>
  </si>
  <si>
    <t xml:space="preserve"> Check associated components.</t>
  </si>
  <si>
    <t xml:space="preserve"> Refer to request for Quotation for more information.</t>
  </si>
  <si>
    <t xml:space="preserve"> -VAT Inclusive</t>
  </si>
  <si>
    <t xml:space="preserve"> Bidding Document Cost: P/ 10,000.00</t>
  </si>
  <si>
    <t xml:space="preserve"> Bidding Document is available to prospective bidders who purchase the bidding documents from the office of the Municipal treasurer of the LOcal Government Unit of Magpet.</t>
  </si>
  <si>
    <t xml:space="preserve"> For more information please contact Mr. Mario Siwa @ 8-932-64-22 loc. 111</t>
  </si>
  <si>
    <t xml:space="preserve"> Only materials  for quotation</t>
  </si>
  <si>
    <t xml:space="preserve"> INSTRUCTION:</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</si>
  <si>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</si>
  <si>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https://drive.google.com/file/d/1qP7_1Uxbs2KENyZ_PmnMmyfo7ZfkMysS/view?usp=drivesdk</t>
  </si>
  <si>
    <t xml:space="preserve"> For more information and details, please contact the BAC Secretariat</t>
  </si>
  <si>
    <t xml:space="preserve"> https://drive.google.com/file/d/1SfYvyeXrzWx7t2SaV2-3UGcVW8Oayi1S/view?usp=drivesdk</t>
  </si>
  <si>
    <t xml:space="preserve"> BAC Schedule of Activities;</t>
  </si>
  <si>
    <t xml:space="preserve"> For more information, please contact Ms. Alita Sangalang at 8924-6031 loc 207.</t>
  </si>
  <si>
    <t xml:space="preserve"> For more information, please contact  Mr. Jason Pujeda at 8924-6031 loc 231.</t>
  </si>
  <si>
    <t xml:space="preserve"> You can also download the items and specifications at our official website: www.cebucity.gov.ph under For</t>
  </si>
  <si>
    <t xml:space="preserve"> Please see attached associated components</t>
  </si>
  <si>
    <t xml:space="preserve"> Name of Project: Completion of Concreting of Brgy. Road going to E. Inocillas Elem. School</t>
  </si>
  <si>
    <t xml:space="preserve"> o	Option to reserve the stock for the VMMC: seven (7) working days after the opening of this canvass</t>
  </si>
  <si>
    <t xml:space="preserve"> For inquiry, you may contact us at Telefax no. 527-9757 or email us at bacsecretariat@customs.gov.ph.</t>
  </si>
  <si>
    <t xml:space="preserve"> Republic of the Philippines</t>
  </si>
  <si>
    <t xml:space="preserve"> The DICT-FOO-MC3 through its committee for SVP mode of procurement intend to procure AIRCON SYSTEM  UNIT as per specification above. As such, the supplier of known qualifications is hereby invited to submit their quotations/price proposals not later than SEPTEMBER 2, 2020 at DICT-F. Torres St., Davao City The supplier must submit the ff. requirements:																																						</t>
  </si>
  <si>
    <t xml:space="preserve"> https://drive.google.com/file/d/1kH4DjDxJpRG-PY5xVrgpwXLvMH9ZJ6Nz/view?usp=drivesdk</t>
  </si>
  <si>
    <t xml:space="preserve"> For more information, please see or contact the BAC Members of LGU-Magallanes, Sorsogon.</t>
  </si>
  <si>
    <t xml:space="preserve"> 1ST POSTING.</t>
  </si>
  <si>
    <t xml:space="preserve"> Availability of Bid Documents: August 26 – September 14, 2020; 8:00 AM-5:00 PM; Monday through Friday</t>
  </si>
  <si>
    <t xml:space="preserve"> https://drive.google.com/file/d/1pAwHh5-m7JC3OwUFo3uMGax1ycP2S3xF/view?usp=drivesdk</t>
  </si>
  <si>
    <t xml:space="preserve"> For more details you may call/visit BAC Secretariat @ LGU POLANCO, Polanco, Z. N.</t>
  </si>
  <si>
    <t xml:space="preserve"> see attached specs</t>
  </si>
  <si>
    <t xml:space="preserve"> https://drive.google.com/file/d/1v9wKQhQCj0LFcd5iKm2PhGb33bSePfNJ/view?usp=drivesdk</t>
  </si>
  <si>
    <t xml:space="preserve"> Bidders must download the attached document in the associated components section.</t>
  </si>
  <si>
    <t xml:space="preserve"> The DICT-FOO-MC3 through its committee for SVP mode of procurement intend to procure SOUND SYSTEM UNIT as per specification above. As such, the supplier of known qualifications is hereby invited to submit their quotations/price proposals not later than SEPT. 2, 2020 at DICT-F. Torres St., Davao City The supplier must submit the ff. requirements:																																						</t>
  </si>
  <si>
    <t xml:space="preserve"> The school supplies for procurement are as follows:</t>
  </si>
  <si>
    <t xml:space="preserve"> https://drive.google.com/file/d/1lxobzTgSx3wNhbJ_BGEwxpMkLYJtd0H6/view?usp=drivesdk</t>
  </si>
  <si>
    <t xml:space="preserve"> https://drive.google.com/file/d/1kWOPQvBd-eq7mpga1rtZwKBgI-8FO4Ml/view?usp=drivesdk</t>
  </si>
  <si>
    <t xml:space="preserve"> For more information, please contact Mr. Ofel Espayos at 8924-6031 loc 231.</t>
  </si>
  <si>
    <t xml:space="preserve"> https://drive.google.com/file/d/11HCOT6oa8fb8LrZgz21rEYZZoIXlXZCD/view?usp=drivesdk</t>
  </si>
  <si>
    <t xml:space="preserve"> Note: Upon submission, Please attach the following requirements:</t>
  </si>
  <si>
    <t xml:space="preserve"> Mayors Permit</t>
  </si>
  <si>
    <t xml:space="preserve"> For more information, please contact Mr. Darwin R. Tejerero at 8924-6031 loc 226/210.</t>
  </si>
  <si>
    <t xml:space="preserve"> BID DOC is available at the BAC Office during Office Hour.</t>
  </si>
  <si>
    <t xml:space="preserve"> For copies of Request for Quotation, Specification and Scope of Works, kindly click the associated components.</t>
  </si>
  <si>
    <t xml:space="preserve"> Approved Budget for the Contract - Php 100,000.00</t>
  </si>
  <si>
    <t xml:space="preserve"> Please see file on associated component</t>
  </si>
  <si>
    <t xml:space="preserve"> Deadline for submission of bids will be on SEPTEMBER 15, 2020, 10:00 A.M. at the Supply Office, Town Hall, Poblacion, Kibungan, Benguet.</t>
  </si>
  <si>
    <t xml:space="preserve"> Suppliers must submit the following legal documents to be eligible to participate in the bidding:</t>
  </si>
  <si>
    <t xml:space="preserve"> *Total cost is inclusive of VAT</t>
  </si>
  <si>
    <t xml:space="preserve"> Ms. Melody Jane L. Rojo/Mr. Jonald D. Karingal / Rose Ann Delos Santos</t>
  </si>
  <si>
    <t xml:space="preserve"> Please see attached files</t>
  </si>
  <si>
    <t xml:space="preserve"> BID DOCUMENT is available at the BAC Office during Office Hour.</t>
  </si>
  <si>
    <t xml:space="preserve"> Pls. submit or email</t>
  </si>
  <si>
    <t xml:space="preserve"> RFQ is available at the associated components page.</t>
  </si>
  <si>
    <t xml:space="preserve"> Please Quote your lowest price on the item/s listed below, subject to the General Conditions, stating the shortest time of delivery and submit your quotation duly signed by your representative not later than September 01, 2020 (9:00 AM) 3rd Floor Provincial Capitol,Bontoc Mountain Province.</t>
  </si>
  <si>
    <t xml:space="preserve"> Name of Project: Concreting of Barangay Road</t>
  </si>
  <si>
    <t xml:space="preserve"> INSTRUCTIONS/TERMS AND CONDITIONS:								</t>
  </si>
  <si>
    <t xml:space="preserve"> for General Services Office Service Vehicles and Equipments use</t>
  </si>
  <si>
    <t xml:space="preserve"> Kindly submit your Price Quotation together with the ff. reqs at ncmb.philgeps@gmail.com</t>
  </si>
  <si>
    <t xml:space="preserve"> Please look Mr. MITCHELLE M. ICAWAT and Ms. Rowena Rodriguez for other information.</t>
  </si>
  <si>
    <t xml:space="preserve"> https://drive.google.com/file/d/1wQ_hl6ZZKfZ2rtv4Pkvhejwuq4QQOKEz/view?usp=drivesdk</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</si>
  <si>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</si>
  <si>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Check Associated Components</t>
  </si>
  <si>
    <t xml:space="preserve"> Deadline of Submission is until August 31, 2020 at 1:00 PM along with the following eligibility requirements:</t>
  </si>
  <si>
    <t xml:space="preserve"> https://drive.google.com/file/d/1CMF_Iyx26V9jnXyGluaj_7NFb1MQ7bYd/view?usp=drivesdk</t>
  </si>
  <si>
    <t xml:space="preserve"> IMPORTANT:</t>
  </si>
  <si>
    <t xml:space="preserve"> Please look Ms. NESTLE MARIE TAGLE and Ms. Rowena Rodriguez for other information.</t>
  </si>
  <si>
    <t xml:space="preserve"> https://drive.google.com/file/d/11Mxhj-QR_yuly8CNXny7owjcDIjH4lfH/view?usp=drivesdk</t>
  </si>
  <si>
    <t xml:space="preserve"> Name of Project: Construction of Drainage Canal</t>
  </si>
  <si>
    <t xml:space="preserve"> https://drive.google.com/file/d/1x3S3ZgFLI7K8pU6nntBbV-qpUd5lXhQ8/view?usp=drivesdk</t>
  </si>
  <si>
    <t xml:space="preserve"> Name of Project: Construction of Flood Control (Gabion)</t>
  </si>
  <si>
    <t xml:space="preserve"> Please contact BAC Secretariat @ CP No: 09277480252</t>
  </si>
  <si>
    <t xml:space="preserve"> Bidders must download the attached document in the associated component section.</t>
  </si>
  <si>
    <t xml:space="preserve"> Prospective bidder/s should attach PhilGEPS Registration Certificate and Notarized Omnibus Sworn Statement with the quotation.</t>
  </si>
  <si>
    <t xml:space="preserve"> 1. Please see attached Request for Quotation of Prices (RFQP) form in the “Associated</t>
  </si>
  <si>
    <t xml:space="preserve"> • Similar Contracts: Supply and Delivery of Lead-Acid (LA) Battery for Industrial Applications</t>
  </si>
  <si>
    <t xml:space="preserve"> All representatives are required to bring appropriate/proper identification or authorization when attending the Pre-bid Conference.</t>
  </si>
  <si>
    <t xml:space="preserve"> Venue:  Mariveles, Bataan</t>
  </si>
  <si>
    <t xml:space="preserve"> • Similar Contracts: Supply and Delivery of Diesel Generating Sets or Mechanical and/or Electrical Parts / Components / Equipment for Diesel Generating Sets</t>
  </si>
  <si>
    <t xml:space="preserve"> Deadline for submission of bids will be on SEPTEMBER 02, 2020, 10:00 A.M. at the Supply Office, Town Hall, Poblacion, Kibungan, Benguet.</t>
  </si>
  <si>
    <t xml:space="preserve"> Bidding Documents may be secured from the Bids and Awards Committee, Office of the Municipal Mayor upon payment to the MTO Cashier of a non-refundable amount of ₱ 10,000.00. </t>
  </si>
  <si>
    <t xml:space="preserve"> Bidding Documents may be secured from the Bids and Awards Committee, Office of the Municipal Mayor upon payment to the MTO Cashier of a non-refundable amount of ₱5,000.00.  </t>
  </si>
  <si>
    <t xml:space="preserve"> OTHER INFORMATION FOR PHILGEPS:</t>
  </si>
  <si>
    <t xml:space="preserve"> • Similar Contracts: Supply, delivery and installation of collapsible, containerized house / office or staff room or other similar collapsible / containerized structures </t>
  </si>
  <si>
    <t xml:space="preserve"> Please look Mr. Dominick M. Diaz and Ms. Rowena Rodriguez for other information.</t>
  </si>
  <si>
    <t xml:space="preserve"> To be delivered in DENR-PENRO Quezon</t>
  </si>
  <si>
    <t xml:space="preserve"> Interested supplier/service provider is required to submit the following documents:</t>
  </si>
  <si>
    <t xml:space="preserve"> Bidding Documents Alternative download link: https://drive.google.com/file/d/177cOFdJb9gorwL0FKRnY7JT9n04fepS3/view?usp=drivesdk</t>
  </si>
  <si>
    <t xml:space="preserve"> Bidding Documents Alternative download link: https://drive.google.com/file/d/1CrmSkdPqUfn6_FSJsRE0-9R_xL9FWef4/view?usp=drivesdk</t>
  </si>
  <si>
    <t xml:space="preserve"> Bidding Documents Alternative download link: https://drive.google.com/file/d/1xefDsnjP8oN41DkjuEV6D9HOr7KQzxhF/view?usp=drivesdk</t>
  </si>
  <si>
    <t xml:space="preserve"> Bidding Documents Alternative download link: https://drive.google.com/file/d/17h--EWv4BvOOfHhanJo0VIgb3hY54WuF/view?usp=drivesdk</t>
  </si>
  <si>
    <t xml:space="preserve"> Suppliers are required to submit their quotation/written proposal with the following documents on or  SEPTEMBER 01, 2020 9:00 AM at BAC Office, this LGU, to wit:</t>
  </si>
  <si>
    <t xml:space="preserve"> Kindly see attached LINK for specifications:</t>
  </si>
  <si>
    <t xml:space="preserve"> Please submit your quotation and legal documents on or before 28 AUGUST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</si>
  <si>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Kindly fill out the attached quotation form and send it to mez.rfq@gmail.com</t>
  </si>
  <si>
    <t xml:space="preserve"> Please submit your quotation and legal documents on or before 31 AUGUST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</si>
  <si>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It will be appreciated if we can have your SEALED QUOTATION to be dropped at:</t>
  </si>
  <si>
    <t xml:space="preserve"> PLEASE SEND YOUR QUOTATION AT robyjames.daza@deped.gov.ph or deparo_es_deped@yahoo.com in pdf.</t>
  </si>
  <si>
    <t xml:space="preserve"> It will be appreciated if we can have your quotation sent via email to:</t>
  </si>
  <si>
    <t xml:space="preserve"> https://drive.google.com/file/d/1zPnuAambP7fjEpdsBvegygzvP32KNeZS/view?usp=drivesdk</t>
  </si>
  <si>
    <t xml:space="preserve"> https://drive.google.com/file/d/1UCQHS0apBXpYeZlDOBTtfvOusgEUkm_G/view?usp=drivesdk</t>
  </si>
  <si>
    <t xml:space="preserve"> https://drive.google.com/file/d/19zeZCwhRglxZy95VigQTPFKcjAajpaeM/view?usp=drivesdk</t>
  </si>
  <si>
    <t xml:space="preserve"> https://drive.google.com/file/d/1maoPgzB2f05TXeIh04oUhKSVML7YmJjq/view?usp=drivesdk</t>
  </si>
  <si>
    <t xml:space="preserve"> The Schedule of BAC Activities is as follows:</t>
  </si>
  <si>
    <t xml:space="preserve"> Please send RFQ directly to Upper Carmen Elementary SChool</t>
  </si>
  <si>
    <t xml:space="preserve"> Download our RFQ in the associated component</t>
  </si>
  <si>
    <t xml:space="preserve"> https://drive.google.com/file/d/1Rl2dP-zi1MaN3mpabz-nxghE8PnIDL6r/view?usp=drivesdk</t>
  </si>
  <si>
    <t xml:space="preserve"> See Associated Components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</si>
  <si>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</si>
  <si>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THOMAS ADRIAN GRIARTE</t>
  </si>
  <si>
    <t xml:space="preserve"> Please see attach file</t>
  </si>
  <si>
    <t xml:space="preserve"> Section VII. Technical Specifications</t>
  </si>
  <si>
    <t xml:space="preserve"> Interested suppliers are required to submit their valid and current Mayor’s Permit, DTI Registration, BIR Registration, Tax Clearance, Philgeps Registration and price quotation (Annex “A”).</t>
  </si>
  <si>
    <t xml:space="preserve"> Source of Fund: 20% BDF CY 2020</t>
  </si>
  <si>
    <t xml:space="preserve"> Schedule of Activities:</t>
  </si>
  <si>
    <t xml:space="preserve"> Kindly see the specifications</t>
  </si>
  <si>
    <t xml:space="preserve"> https://drive.google.com/file/d/1Y9L5-d7rGc9_bOAbC2ughCB8JeHgDbC3/view?usp=drivesdk</t>
  </si>
  <si>
    <t xml:space="preserve"> Schedule of Bidding</t>
  </si>
  <si>
    <t xml:space="preserve"> Please attach the following documents together with your quotation/bid</t>
  </si>
  <si>
    <t xml:space="preserve"> send your quotation at my email address; valeantonio014@gmail.com</t>
  </si>
  <si>
    <t xml:space="preserve"> BAC Secretariat will set the schedule of bidding. Interested supplier will send a letter of Intent to BAC Secretariat.</t>
  </si>
  <si>
    <t xml:space="preserve"> https://drive.google.com/file/d/1bwwXrAk16LxGVbATsEtdgKQdSzz53vy-/view?usp=drivesdk</t>
  </si>
  <si>
    <t xml:space="preserve"> Please quote us the estimated price/s for the above items and state the earliest time within which you can deliver the goods.  It will be appreciated if we can have your SEALED quotation in the office of the INTERNAL AUDIT OFFICE, UNIVERSITY OF THE PHILIPPINES MANILA, 8th Floor, PGH Central Block Building, Taft Avenue, Ermita, Manila not later than 1:00 PM on 1 September 2020. Thank you.</t>
  </si>
  <si>
    <t xml:space="preserve"> PLEASE SEE ATTACHED DOCUMENTS IN THE ASSOCIATED COMPONENTS</t>
  </si>
  <si>
    <t xml:space="preserve"> https://drive.google.com/file/d/1g5YmijGSnm4pFquAw1U4jmkZkJGuvfwB/view?usp=drivesdk</t>
  </si>
  <si>
    <t xml:space="preserve"> MIGUELA B. APAO P-II</t>
  </si>
  <si>
    <t xml:space="preserve"> https://drive.google.com/file/d/1kcV6VkvZa8qEFI4_jpcJ2KmKItvo4Std/view?usp=drivesdk</t>
  </si>
  <si>
    <t xml:space="preserve"> Interested bidders shall pay 500 for the bids docs</t>
  </si>
  <si>
    <t xml:space="preserve"> Pub: August 25-27, 2020</t>
  </si>
  <si>
    <t xml:space="preserve"> Bidders/Suppliers Must Download the Attached Document in the Associated Component Section </t>
  </si>
  <si>
    <t xml:space="preserve"> A complete set of bidding document may be purchased by interested bidders on August 25, 2020 to September 14, 2020 from the address below upon payment of a non-refundable fee for the bidding documents in the amount of P5000.00</t>
  </si>
  <si>
    <t xml:space="preserve"> The BAC is conducting the public bidding for this Contract in accordance with Republic Act NO. 9184 and its implementing Rules and Regulations (IRR).</t>
  </si>
  <si>
    <t xml:space="preserve"> BRIEF DESCRIPTION				: </t>
  </si>
  <si>
    <t xml:space="preserve"> BASE RADIO</t>
  </si>
  <si>
    <t xml:space="preserve"> Small Value Procurement documents are available at Cantibas Barangay Hall</t>
  </si>
  <si>
    <t xml:space="preserve"> For other information and queries, visit us at Headquarters 113th Contracting Office, AFPPS, Camp O'Donnell, Brgy Sta Lucia, Capas Tarlac and look for Chief 113th CO, AFPPS. Submission of Request for Quotation must reach to this Office not later than 281330H August 2020 for the opening of Canvass at 113th CO conference room.</t>
  </si>
  <si>
    <t xml:space="preserve"> BAC Activities	Schedule	</t>
  </si>
  <si>
    <t xml:space="preserve"> A.  Please submit your quotation in a sealed envelope, addressed to:</t>
  </si>
  <si>
    <t xml:space="preserve"> GENERAL INSTRUCTIONS TO BIDDERS:							</t>
  </si>
  <si>
    <t xml:space="preserve"> Opening of bid will be on September 14, 2020 - 9:30 in the morning at 3rd Floor BFP Conference Room, General Macario Peralta Jr., Drive, Iloilo City</t>
  </si>
  <si>
    <t xml:space="preserve"> BIDDING DATE: SEPTEMBER 14, 2020 @ 9:00 A.M.</t>
  </si>
  <si>
    <t xml:space="preserve"> CREATED BY BAC CHAIRMAN</t>
  </si>
  <si>
    <t xml:space="preserve"> 1.	Availability of Bidding Documents – August 25, 2020 – Sept. 1, 2020</t>
  </si>
  <si>
    <t xml:space="preserve"> For New suppliers please submit Mayor's Permit and Philgeps Registration</t>
  </si>
  <si>
    <t xml:space="preserve"> Small Value Procurement documents are available at Luca Barangay Hall</t>
  </si>
  <si>
    <t xml:space="preserve"> You may see the Municipal Health Physician, RHU, Municipality of Caibiran</t>
  </si>
  <si>
    <t xml:space="preserve"> Suppliers must download the attached documents in the associated component section.</t>
  </si>
  <si>
    <t xml:space="preserve"> Pre-Bid Conference</t>
  </si>
  <si>
    <t xml:space="preserve"> 1. Bidders are required to read the instructions and fill ALL the blanks in typewritten form or written legibly in permanent ink. </t>
  </si>
  <si>
    <t xml:space="preserve"> 1			Lot	Document Authentication System (Barcode Printing Software, Equipment and Supplies)				</t>
  </si>
  <si>
    <t xml:space="preserve"> BAC 2020-I04 BDS,SSC AND TECHNICAL SPECS PROJ.1</t>
  </si>
  <si>
    <t xml:space="preserve"> Quotation shall be submitted via email (lbphobac@mail.landbank.com) not later than September 7, 2020, Monday, 12:00 P.M.</t>
  </si>
  <si>
    <t xml:space="preserve"> BID DOCS 500.00</t>
  </si>
  <si>
    <t xml:space="preserve"> DADATE OF PUBLIC BIDDING: SEPTEMBER 03, 2020 @ 10:00 A.M</t>
  </si>
  <si>
    <t xml:space="preserve"> QUOTATIONS THRU EMAIL WILL BE STRICTLY CONFIDENTIAL.</t>
  </si>
  <si>
    <t xml:space="preserve"> DATE OF PUBLIC BIDDING: SEPTEMBER 03, 2020 @ 11:00 A.M</t>
  </si>
  <si>
    <t xml:space="preserve"> https://drive.google.com/file/d/1At1gE8nNs2Iac3Yyu1vKlVQ6BtgbYNzD/view?usp=drivesdk</t>
  </si>
  <si>
    <t xml:space="preserve"> Please quote at your government price inclusive of  VAT and state the time within which you can make delivery.   It will be appreciated if we can have your quotation duly signed by your representative at the PROCUREMENT OFFICE located at UPM Student Dormitory Building located at along Pedro Gil, Taft Ave., Manila not later than 5:00 PM, AUGUST 28, 2020, or you can email your quotation at mbdeleon6@up.edu.ph c/o Ms. Cecil De Leon.</t>
  </si>
  <si>
    <t xml:space="preserve"> CONTACT PERSON MRS SAHLEE B. CERILLO PRINCIPAL SAN NICOLAS ELEM. SCHOOL</t>
  </si>
  <si>
    <t xml:space="preserve"> Please send e-mail to 103773MAES@gmail.com or call cp # 09756209110 for the RFQ and more details</t>
  </si>
  <si>
    <t xml:space="preserve"> All bidders must download the attached document in the associated component section.</t>
  </si>
  <si>
    <t xml:space="preserve"> Items:</t>
  </si>
  <si>
    <t xml:space="preserve"> https://drive.google.com/file/d/1KNcpKjnR6yIi89yu3sEiGk5FcCbMnfuR/view?usp=drivesdk</t>
  </si>
  <si>
    <t xml:space="preserve"> https://drive.google.com/file/d/1REp_i9EC60xOwtB4TF_VVVatC-ooBkZA/view?usp=drivesdk</t>
  </si>
  <si>
    <t xml:space="preserve"> Bid Opening is on September 9, 2020 at the Mun. Session Hall, Mun. Bldg., Pagsanghan, Samar</t>
  </si>
  <si>
    <t xml:space="preserve"> Weekly Inspection and monitoring for six month, and monthly inspection and monitoring thereafter.</t>
  </si>
  <si>
    <t xml:space="preserve"> The Department of Public Works and Highways (DPWH) assumes no responsibility whatsoever to compensate or indemnify the bidder for any expenses incurred in the preparation of the bid and reserves the right to reject any or all bids, waive any defect contained therein and accept the offer most advantageous to the government.</t>
  </si>
  <si>
    <t xml:space="preserve"> Submit your quotation at BAC Secretariat office 2nd Floor, Municipal building, New Bataan, Davao de Oro, or you can also email your quotation at bacnewbataan@gmail.com.</t>
  </si>
  <si>
    <t xml:space="preserve"> Suppliers/bidders must download the attached documents in the associated component section.</t>
  </si>
  <si>
    <t xml:space="preserve"> All quotations must be in the prescribed canvass form and suppliers or its duly authorized representative shall personally submit the same to the City Procurement Office, City Government of Antipolo.</t>
  </si>
  <si>
    <t xml:space="preserve"> Project Title: Rewind and Overhauling of Two (2) Units Aircon Compressors</t>
  </si>
  <si>
    <t xml:space="preserve"> 1.)  All entries must be type written or legibly written.</t>
  </si>
  <si>
    <t xml:space="preserve"> Contact person: Ronald/Alquiros</t>
  </si>
  <si>
    <t xml:space="preserve"> A complete set of Bidding Documents may be acquired by interested bidders on August 26, 2020 from the address below and upon payment of a non-refundable fee for the Bidding Documents, pursuant to the latest Guidelines issued by the GPPB, in the amount of Three Thousand Five Hundred Pesos (P3,500.00). </t>
  </si>
  <si>
    <t xml:space="preserve"> 5A complete set of Bidding Documents may be acquired by interested bidders on August 26, 2020 from the address below and upon payment of a non-refundable fee for the Bidding Documents, pursuant to the latest Guidelines issued by the GPPB, in the amount of One Thousand Five Hundred Pesos (P1,500.00). </t>
  </si>
  <si>
    <t xml:space="preserve"> Mary Grace D. Mangao</t>
  </si>
  <si>
    <t xml:space="preserve"> Bid documents shall be available for issuance at the PNOC-Property and Supply Management Division (PSMD) at the G/F of the PNOC Building from 9:00 AM – 3:00 PM.</t>
  </si>
  <si>
    <t xml:space="preserve"> Please download attached quotation (RFQ) form / TOR, completely fill-out and submit quotation through or any of the following:</t>
  </si>
  <si>
    <t xml:space="preserve"> To Our Supplier, Bid Documents are Available at BAC Secretariat</t>
  </si>
  <si>
    <t xml:space="preserve"> For more details please coordinate or contact the Local BAC Secretariat at SSS Bacolod East Branch, East One Atrium Bldg., Burgos Ext., Brgy. Villamonte, Bacolod City, at Tel. No. (034) 441-6599 or at Bacolod Branch at Tel. Nos. (034) 709-0880/709-0413-17 at local 210 and 311 and Administrative Section,  Western Visayas 1 Division at  Tel. Nos. (034)  433 5988 or at (034) 709-0880 at local 208 and 210</t>
  </si>
  <si>
    <t xml:space="preserve"> https://drive.google.com/file/d/1WLT3jX8cDRyz-F8AgrO-eWz1K7BYFK1z/view?usp=drivesdk</t>
  </si>
  <si>
    <t xml:space="preserve"> Inclusive delivery Charge.  Onsite delivery. This is an emergency in nature for module reproduction.</t>
  </si>
  <si>
    <t xml:space="preserve"> RAMON B. LUTAP</t>
  </si>
  <si>
    <t xml:space="preserve"> urgent</t>
  </si>
  <si>
    <t xml:space="preserve"> OFFICE OF THE BIDS AND AWARD COMMITTEE</t>
  </si>
  <si>
    <t xml:space="preserve"> Note: Kindly submit your updated PhilGEPS documents, Tax Clearance, Mayor’s permit, SEC Certificate/DTI permit, and brochures if any.</t>
  </si>
  <si>
    <t xml:space="preserve"> Contact Contact Person</t>
  </si>
  <si>
    <t xml:space="preserve"> A complete set of bidding document may be purchased by interested bidders on August 25, 2020 to September 14, 2020 from the address below upon payment of a non-refundable fee for the bidding documents in the amount of P500.00</t>
  </si>
  <si>
    <t xml:space="preserve"> Interested supplier's please submit certificate of philgeps registration, mayor's permit &amp; tax clearance.</t>
  </si>
  <si>
    <t xml:space="preserve"> For inquiries, please call the following:</t>
  </si>
  <si>
    <t xml:space="preserve"> Interested bidders may obtain further information from the PNOC-Procurement Management Division and inspect the Bidding Documents at the address given below from 9:00 AM to 3:00 PM.</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</si>
  <si>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</si>
  <si>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Please download associated component/s</t>
  </si>
  <si>
    <t xml:space="preserve"> https://drive.google.com/file/d/1oHLVOWJpKa54aG1VrlOz7bw78dRbMCIA/view?usp=drivesdk</t>
  </si>
  <si>
    <t xml:space="preserve"> Please send your quotations to jc.mudlong@philrice.gov.ph or jonathanmudlong@gmail.com</t>
  </si>
  <si>
    <t xml:space="preserve"> 1. All prospective suppliers must first submit photocopies of Class “A” Documents, and other</t>
  </si>
  <si>
    <t xml:space="preserve"> PLEASE SEE ATTACHED FILE</t>
  </si>
  <si>
    <t xml:space="preserve"> Bidders must download the attached document in the associated component section and can also be downloaded for free at www.ilocossur.gov.ph.</t>
  </si>
  <si>
    <t xml:space="preserve"> Please contact rene napenas at tel. no. 8-527-21-92 to 98</t>
  </si>
  <si>
    <t xml:space="preserve"> Please see attached quotation..</t>
  </si>
  <si>
    <t xml:space="preserve"> https://drive.google.com/file/d/1UtElIT7oXvVnwpeFphHl8mBgcowpPj-i/view?usp=drivesdk</t>
  </si>
  <si>
    <t xml:space="preserve"> https://drive.google.com/file/d/1I0VHHxW5yoi8cx8n8_Oa9ZYhGoLtFmjH/view?usp=drivesdk</t>
  </si>
  <si>
    <t xml:space="preserve"> the Bidding will be held at the Barangay Session Hall of Barangay Baao, Mauban, Quezon opening of Bid Documents for the Bidder is on September 11, 2020 at 9:00 in the morning, Source of Fund (Barangay Fund)</t>
  </si>
  <si>
    <t xml:space="preserve"> SUBMIT YOUR SEALED QUOTATION (ADDRESS TO THE REGIONAL DIRECTOR, ATTENTION TO: BAC CHAIRMAN) TOGETHER WITH THE FF. DOC'S; 1) CURRENT MAYOR'S/BUSINESS PERMIT 2) SEC/DTI REGISTRATION CERTIFICATE 3) PHILGEPS CERTIFICATE OF REGISTRATION 4) TAX CLEARANCE AT RM 205 PPRD OFFICE, OFFICE OF THE BAC SECRETARIAT, DEPED NCR, 1A BRGY. STO.CRISTO, MISAMIS ST., BAGO BANTAY, QC. LOOK FOR MS. ARLYN J. CABITEN.</t>
  </si>
  <si>
    <t xml:space="preserve"> Please see attached quotation.</t>
  </si>
  <si>
    <t xml:space="preserve"> Contact Person: 					</t>
  </si>
  <si>
    <t xml:space="preserve"> MARIE ROSE AGUILAR DELOS REYES</t>
  </si>
  <si>
    <t xml:space="preserve"> https://drive.google.com/file/d/1liO8mcxCYTVUubdKHR9N0apQzNWHUlXN/view?usp=drivesdk</t>
  </si>
  <si>
    <t xml:space="preserve"> All suppliers must submit their quotation together with the following:</t>
  </si>
  <si>
    <t xml:space="preserve"> SEE RFQ</t>
  </si>
  <si>
    <t xml:space="preserve"> Supply and Delivery of Configuration of Computer Set, System Unit and Power Adapters for Office Use</t>
  </si>
  <si>
    <t xml:space="preserve"> SUBMIT QUOTATION ON OR BEFORE SEPTEMBER 1, 2020-10:00AM TA BAC OFFICE</t>
  </si>
  <si>
    <t xml:space="preserve"> FOR INQUIRIES, PLEASE CALL THE FOLLOWING:</t>
  </si>
  <si>
    <t xml:space="preserve"> Please do not forget to download associated component.</t>
  </si>
  <si>
    <t xml:space="preserve"> For inquiries/clarifications, kindly call Ms. Mags at (074) 444-9862/444-8361/446-0375 loc 4503</t>
  </si>
  <si>
    <t xml:space="preserve"> Place of Delivery:Sipalay City, Negros Occidental</t>
  </si>
  <si>
    <t xml:space="preserve"> Deadline for submission of the quotation shall be on August 28, 2020, at 01:30 PM in Municipal Conference Room, Libungan, Cotabato.</t>
  </si>
  <si>
    <t xml:space="preserve"> https://drive.google.com/file/d/1s1O9LiXEelyvzPrb53uEJBX_4ZcC_3Gf/view?usp=drivesdk</t>
  </si>
  <si>
    <t xml:space="preserve"> Deadline for submission of the quotation shall be on August 28, 2020, at 01:00 PM in Municipal Conference Room, Libungan, Cotabato.</t>
  </si>
  <si>
    <t xml:space="preserve"> Note:</t>
  </si>
  <si>
    <t xml:space="preserve"> Interested bidders shall pay 500 for the bid docs</t>
  </si>
  <si>
    <t xml:space="preserve"> A Business tax will be levied to the winning supplier/contractor based on the total contract cost pursuant to Chapter 2. Article 1. Section 11 in relation to Chapter 2. Article 1. Section 7 (a) to (h) of the Revised Revenue Code of Nabunturan 2016.</t>
  </si>
  <si>
    <t xml:space="preserve"> Please contact engr. christian saguion at tel. no. 8-527-21-92 to 98</t>
  </si>
  <si>
    <t xml:space="preserve"> Please Download Associated components</t>
  </si>
  <si>
    <t xml:space="preserve"> Created By: Carolyne A. Santiago</t>
  </si>
  <si>
    <t xml:space="preserve"> UPON SUBMISSION OF LEGAL DOCUMENTS AND REQUIREMENTS</t>
  </si>
  <si>
    <t xml:space="preserve"> https://drive.google.com/file/d/1nRj02qzOCa8eT4A1DzSQMN8hWQ6YJPMi/view?usp=drivesdk</t>
  </si>
  <si>
    <t xml:space="preserve"> A copy of your legal requirements (CPR, Mayor's/Business Permit, Platinum Philgeps Certificate, Business Tax/ITR, Sec, Tax Clearance and Omnibus Sworn Statement ) is also required to be submitted along with your quotation / proposal.</t>
  </si>
  <si>
    <t xml:space="preserve"> DESCRIPTION                   ABC         PRE-BID CONFERENCE      OPENING OF BIDS</t>
  </si>
  <si>
    <t xml:space="preserve"> Please submit sealed quotation</t>
  </si>
  <si>
    <t xml:space="preserve"> Bidding Documents:</t>
  </si>
  <si>
    <t xml:space="preserve"> none</t>
  </si>
  <si>
    <t xml:space="preserve"> THE FOLLOWING REQUIRE SHALL BE SUBMITTED UPON SUBMISSION OF OFFERS. 1) MAYOR'S PERMIT 2) PHILGEPS</t>
  </si>
  <si>
    <t xml:space="preserve"> Prospective bidders should have the experience in undertaking a similar contract within the last five ( 5 ) years .Bidding will be conducted through open competitive bidding procedures using a non-discretionary “Pass/fail “criterion as specified under Implementing Rules and Regulations of R.A.9184 otherwise known as the “Government Procurement Reform Act”</t>
  </si>
  <si>
    <t xml:space="preserve"> PLS SEE ATTACHED ITB</t>
  </si>
  <si>
    <t xml:space="preserve"> Interested Bidders shall pay 500 for the bid docs</t>
  </si>
  <si>
    <t xml:space="preserve"> Requesting Office: MPDO</t>
  </si>
  <si>
    <t xml:space="preserve"> https://drive.google.com/file/d/1bHe6iM97luGLqkOy0Rxo2of3_8uyPAW6/view?usp=drivesdk</t>
  </si>
  <si>
    <t xml:space="preserve"> ATTACHED PR</t>
  </si>
  <si>
    <t xml:space="preserve"> Submit your proposal to BAC Secretariat, Office of the Procurement Services, EARIST or email to pjacorn@yahoo.com together with your legal documents philgeps, mayors  permit, omnibus sworn statement , income/business tax clearance, secretary’s certificate in case of corporation</t>
  </si>
  <si>
    <t xml:space="preserve"> OPENING OF BID QUOTATION</t>
  </si>
  <si>
    <t xml:space="preserve"> Pre-Bid : September 2,2020  - 10:00AM</t>
  </si>
  <si>
    <t xml:space="preserve"> Interested bidders shall pay 500 bid docs</t>
  </si>
  <si>
    <t xml:space="preserve"> https://drive.google.com/file/d/15e_8HK1ljDQZ0000VRmYpz5YdnJ3qpc9/view?usp=drivesdk</t>
  </si>
  <si>
    <t xml:space="preserve"> Kindly download the attached file in the associated component section</t>
  </si>
  <si>
    <t xml:space="preserve"> ***Please copy the link below and paste to the web browser to download the complete set of bidding documents.</t>
  </si>
  <si>
    <t xml:space="preserve"> with free marking on side "FOR OFFICIAL USE ONLY"</t>
  </si>
  <si>
    <t xml:space="preserve"> Pls email your quotation and attachments/requirements needed in the email address stated in this post.</t>
  </si>
  <si>
    <t xml:space="preserve"> For Inquiry</t>
  </si>
  <si>
    <t xml:space="preserve"> https://drive.google.com/file/d/1xO4x1QzyP2YvKZmDDl0VTx57EhW6fd20/view?usp=drivesdk</t>
  </si>
  <si>
    <t xml:space="preserve"> &gt; 500 Sack Rice (160, 50 kilos/sack)</t>
  </si>
  <si>
    <t xml:space="preserve"> The Local Government Unit of Pilar, through the General Fund  intends to apply the sum of One Million, One Hundred Thousand Pesos (P1,100,000.00)  being the Approved Budget for the Contract (ABC) to payment under the contract for the Procurement of 1 Unit Rescue Vehicle.  Bids received in excess of the ABC shall be automatically rejected at bid opening.</t>
  </si>
  <si>
    <t xml:space="preserve"> For further information, please contact Ms. JOCELYN A. FERNANDO, MPMG, SBAC Secretariat at 5238231-38 local 2469, National Bureau of Investigation, Taft Avenue, Ermita, Manila.</t>
  </si>
  <si>
    <t xml:space="preserve"> Please Contact:</t>
  </si>
  <si>
    <t xml:space="preserve"> The BPI-Bids and Awards Committee (BAC)						</t>
  </si>
  <si>
    <t xml:space="preserve"> Bidders/Suppliers must download the attached document in the Associated Components Section.</t>
  </si>
  <si>
    <t xml:space="preserve"> For copies of Request for Quotation and Specifications, kindly click the associated components.</t>
  </si>
  <si>
    <t xml:space="preserve"> Activity	Date &amp; Time	Venue</t>
  </si>
  <si>
    <t xml:space="preserve"> The Municipal Government of Lamut, through its Bids and Awards Committee (BAC), will undertake a Small Value Procurement of Tap water of Municipal Mayor's Office In accordance with section 53.9 of the implementing rules and regulation of the Republic Act No. 9184 invites suppliers to submit their eligibility and to quote for the hereunder project:								</t>
  </si>
  <si>
    <t xml:space="preserve"> For use of 505th SRG.</t>
  </si>
  <si>
    <t xml:space="preserve"> see request fro quotation</t>
  </si>
  <si>
    <t xml:space="preserve"> FOR MORE INFORMATION AND DETAILS, PLEASE CONTACT BRGY. CANABUAN BIDS AND AWARDS COMMITTEE, CANABUAN BRGY. HALL C/O BRGY. SECRETARY EVELYN FURTON WITH CELLPHONE NO. 0948-949-8853.</t>
  </si>
  <si>
    <t xml:space="preserve"> 1. Receipt from the Bidders of Letter of Intent-- August  25 to Sept 2, 2020</t>
  </si>
  <si>
    <t xml:space="preserve"> For use of OA-4.</t>
  </si>
  <si>
    <t xml:space="preserve"> For use of 950TH CEISG.</t>
  </si>
  <si>
    <t xml:space="preserve"> 1. Receipt from the Bidders of Letter of Intent - August 25 - September 3, 2020</t>
  </si>
  <si>
    <t xml:space="preserve"> Note: </t>
  </si>
  <si>
    <t xml:space="preserve"> For use of 520TH ABW.</t>
  </si>
  <si>
    <t xml:space="preserve"> 220 liters Chemical Mist Spray (Deltamethrin)</t>
  </si>
  <si>
    <t xml:space="preserve"> https://drive.google.com/file/d/1ZnJzYRDiGoHvetUNailx9sT9fa14NVp9/view?usp=drivesdk</t>
  </si>
  <si>
    <t xml:space="preserve"> 1. Receipt from the Bidders of Letter of Intent - Aug. 25 - Sept. 2, 2020</t>
  </si>
  <si>
    <t xml:space="preserve"> For use of AFFC.</t>
  </si>
  <si>
    <t xml:space="preserve"> For use of 950th CEISG.</t>
  </si>
  <si>
    <t xml:space="preserve"> Please refer to attached RFQ</t>
  </si>
  <si>
    <t xml:space="preserve"> BAC ACTIVITY DATES:</t>
  </si>
  <si>
    <t xml:space="preserve"> GASOLINE, OIL &amp; LUBRICANTS EXPENSES		</t>
  </si>
  <si>
    <t xml:space="preserve"> Medical Oxygen Refill 1800 lbs	1239	tank</t>
  </si>
  <si>
    <t xml:space="preserve"> PLEASE CHECK SIMILAR INFORMATION POSTED  AT THE  PROCURING ENTITY'S WEBSITE</t>
  </si>
  <si>
    <t xml:space="preserve"> For compltete details get a copy of program of works</t>
  </si>
  <si>
    <t xml:space="preserve"> All interested bidders must purchase bid document at Municipal Treasury Office together with the letter of intent before going to the BAC Office, 3rd floor, Municipal Bldg. Abatan, Buguias, Benguet from September 1, 2020 starting 3:00 PM - 4:00 PM.</t>
  </si>
  <si>
    <t xml:space="preserve"> For Legislative Use</t>
  </si>
  <si>
    <t xml:space="preserve"> TED B. AZARES</t>
  </si>
  <si>
    <t xml:space="preserve"> Deadline for submission of the quotation shall be on August 27, 2020, at 01:00 PM in Municipal Conference Room, Libungan, Cotabato.</t>
  </si>
  <si>
    <t xml:space="preserve"> 1. Issuance of Bidding Documents</t>
  </si>
  <si>
    <t xml:space="preserve"> Republic of the Philippines </t>
  </si>
  <si>
    <t xml:space="preserve"> Republic of the  Philippines </t>
  </si>
  <si>
    <t xml:space="preserve"> Prospective bidder should have experience in undertaking a similar project with the proposed project for bidding. The eligibility check/screening as well as the preliminary Examination of Bids shall use nondiscretionary “pass/fail” criteria. Post-qualification of the lowest calculated bid shall be conducted. All particulars relative to Eligibility Statement and Screening, Bid Security, Performance Security, Pre-bidding Conference(s), Evaluation of Bids, Post-qualification and Awards of Contract shall be governed by the pertinent provisions of RA 9184 and its Implementing Rules and Regulation (IRR).</t>
  </si>
  <si>
    <t xml:space="preserve"> The Local Government Unit of Pilar, through the General Fund  intends to apply the sum of One Million, Three Hundred Thousand Pesos (P1,300,000.00)  being the Approved Budget for the Contract (ABC) to payment under the contract for the Procurement of 1 Unit Ambulance.  Bids received in excess of the ABC shall be automatically rejected at bid opening.</t>
  </si>
  <si>
    <t xml:space="preserve"> 1 SET DENTAL CHAIR</t>
  </si>
  <si>
    <t xml:space="preserve"> 2020 20% DF</t>
  </si>
  <si>
    <t xml:space="preserve"> QTY/UNIT/ITEM DESCRIPTION</t>
  </si>
  <si>
    <t xml:space="preserve"> Interested Bidders are encouraged to attend the Pre-bid Conference on the scheduled date</t>
  </si>
  <si>
    <t xml:space="preserve"> Pre-bid Conference is open to all interested bidders.</t>
  </si>
  <si>
    <t xml:space="preserve"> Deadline for submission of the quotation shall be on August 27, 2020, at 01:30 PM in Municipal Conference Room, Libungan, Cotabato.</t>
  </si>
  <si>
    <t xml:space="preserve"> Deadline for submission of the quotation shall be on August 27, 2020, at 02:00 PM in Municipal Conference Room, Libungan, Cotabato.</t>
  </si>
  <si>
    <t xml:space="preserve"> Terms of Reference:			</t>
  </si>
  <si>
    <t xml:space="preserve"> The  schedule of activities is listed, as follows:							</t>
  </si>
  <si>
    <t xml:space="preserve"> SPL- I	2.00     units        Installation of Billboard	</t>
  </si>
  <si>
    <t xml:space="preserve"> - Prospective Bidders are encouraged to attend the Pre-bid Conference on the scheduled date</t>
  </si>
  <si>
    <t xml:space="preserve"> Deadline Submission of Price Quotation:   August 27, 2020</t>
  </si>
  <si>
    <t xml:space="preserve"> 1.	All prospective suppliers must first submit photocopies of Class “A” Documents, and other</t>
  </si>
  <si>
    <t xml:space="preserve"> INTERESTED BIDDER MAY CONTACT HON. ARVIN G. GABAISEN, BARANGAY CAPTAIN OF BARANGAY DANICOP, ANTEQUERA, BOHOL WITH A CEL NO. 09295700263.</t>
  </si>
  <si>
    <t xml:space="preserve"> Please download the attached Request for Quotation form to be included in the Document Request List &amp; Bidders List...</t>
  </si>
  <si>
    <t xml:space="preserve"> https://drive.google.com/file/d/116e8n-Ip-PeETidTWw8NaSWJMNUxGh6-/view?usp=drivesdk</t>
  </si>
  <si>
    <t xml:space="preserve"> For the use of 76IBN, 2ID, PA</t>
  </si>
  <si>
    <t xml:space="preserve"> Please download ITB &amp; Biddocs in the Associated Components for reference.</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</si>
  <si>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</si>
  <si>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For the use of 68IB, 2ID, PA</t>
  </si>
  <si>
    <t xml:space="preserve"> For inquiry, pls. send email at delegated procurement@bsp.gov.ph</t>
  </si>
  <si>
    <t xml:space="preserve"> For more information, please see or contact the BAC Members of LGU Magallanes, Sorsogon.</t>
  </si>
  <si>
    <t xml:space="preserve"> For the use of 2IMB, ASCOM, PA</t>
  </si>
  <si>
    <t xml:space="preserve"> For the use of HARESCOM</t>
  </si>
  <si>
    <t xml:space="preserve"> Installation of CCTV</t>
  </si>
  <si>
    <t xml:space="preserve"> for Preventive Maintenance of Digital X-Ray</t>
  </si>
  <si>
    <t xml:space="preserve"> for the operation of Bahay Pag-asa (for CICL Mat-e)</t>
  </si>
  <si>
    <t xml:space="preserve"> For the use of 201BDE, 2ID, PA</t>
  </si>
  <si>
    <t xml:space="preserve"> for the use of Camarines Norte Provincial Jail Office</t>
  </si>
  <si>
    <t xml:space="preserve"> for the use Camarines Norte Provincial Jail Office</t>
  </si>
  <si>
    <t xml:space="preserve"> for use in support to pili, cacao, coffee production</t>
  </si>
  <si>
    <t xml:space="preserve"> ***Please see attached Request for Quotation...</t>
  </si>
  <si>
    <t xml:space="preserve"> For the use of 2CAVBn</t>
  </si>
  <si>
    <t xml:space="preserve"> for Hemodialysis facilities use</t>
  </si>
  <si>
    <t xml:space="preserve"> Repair and Maintenance of PSWDO Service Vehicle NL-0085 L300 FB</t>
  </si>
  <si>
    <t xml:space="preserve"> for Preventive Maintenance of CT Scan</t>
  </si>
  <si>
    <t xml:space="preserve"> Bidding Documents can also be downloaded at the link below. Copy and paste it in web browser address bar.</t>
  </si>
  <si>
    <t xml:space="preserve"> For the use of 2MIB, 2ID, PA</t>
  </si>
  <si>
    <t xml:space="preserve"> Repair and Maintenance of Government Vehicle with Plate No. SFY 601.</t>
  </si>
  <si>
    <t xml:space="preserve"> created by:          CYNTHIA GABIONZA</t>
  </si>
  <si>
    <t xml:space="preserve"> RM of Furniture &amp; Fixtures</t>
  </si>
  <si>
    <t xml:space="preserve"> A complete set of Bidding Documents may be acquired by interested bidders on August 24, 2020 to September 15,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</si>
  <si>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Funded under the General Fund, 20% Development Fund with an ABC of Php 99,848.45</t>
  </si>
  <si>
    <t xml:space="preserve"> 1. DTI Business Name Registration or SEC registration, CDA, Registration </t>
  </si>
  <si>
    <t xml:space="preserve"> For Particular, Inquire at BAC Secretariat of Brgy. Zone III-Poblacion, Atimonan, Quezon</t>
  </si>
  <si>
    <t xml:space="preserve"> Click order link of the associated components</t>
  </si>
  <si>
    <t xml:space="preserve"> 1. Funded under the General Fund, 20% Development fund with an ABC of Php 99,789.38.</t>
  </si>
  <si>
    <t xml:space="preserve"> 1.)	30	bots	Ibupreofen 100mg/5ml syrup</t>
  </si>
  <si>
    <t xml:space="preserve"> https://drive.google.com/file/d/1jrx40qvd94xFq-cgGHX1axtesK3muBbw/view?usp=drivesdk</t>
  </si>
  <si>
    <t xml:space="preserve"> Pre-Bid Conference via videoconferencing on September 2, 2020, 2:00 P.M. (PST), which shall be open to prospective bidders.  Request for the meeting ID/link and password must be communicated with the BAC Secretariat via email at sm_tas_admin@pagibigfund.gov.ph, at least one (1) calendar day prior to the schedule of Pre-Bid Conference and shall be limited only to one (1) representative per company.  The said meeting ID/link must be for exclusive use of the authorized representative of the bidder.  Bidders’ access to meeting will automatically be locked once the activity started.</t>
  </si>
  <si>
    <t xml:space="preserve"> Pls. send your quotation to:</t>
  </si>
  <si>
    <t xml:space="preserve"> Bidding Documents may be secured from the Bids and Awards Committee, Office of the Municipal Mayor upon payment to the MTO Cashier of a non-refundable amount of ₱ 500.00. </t>
  </si>
  <si>
    <t xml:space="preserve"> LOOK FOR TREASURER MARIKITA CRUZ</t>
  </si>
  <si>
    <t xml:space="preserve"> Lot 	PR		Unit/ Quantity	Unit	Total	Over all	ABC	Fund	Program</t>
  </si>
  <si>
    <t xml:space="preserve"> Lot 	PR		Qty.	Unit	Unit	Total	Over all	ABC	Fund	Program</t>
  </si>
  <si>
    <t xml:space="preserve"> Lot 	PR		Qty.	Unit	Brand	Unit	Total	Over all	ABC	Fund	Program</t>
  </si>
  <si>
    <t xml:space="preserve"> Lot 	PR		Qty.	Unit	Brand Name	Unit	Total	Over all		Fund	Program</t>
  </si>
  <si>
    <t xml:space="preserve"> Lot 	PR		Unit/ Quantity	Brand Name	Unit	Total	Over all		Fund	Program</t>
  </si>
  <si>
    <t xml:space="preserve"> Lot	PR	Name of Project	Schedule	No. of	No. of	Unit	Total	Over all	ABC	Fund	Program</t>
  </si>
  <si>
    <t xml:space="preserve"> https://drive.google.com/file/d/10WgOtAivYDNlDE3YGQrbCfMLREWRFBxq/view?usp=drivesdk</t>
  </si>
  <si>
    <t xml:space="preserve"> Concreting of Roads 230m x 3m, thickness 0.20m with 0.50m shouldering both sides.</t>
  </si>
  <si>
    <t xml:space="preserve"> Lot	Description				Total Price			ABC</t>
  </si>
  <si>
    <t xml:space="preserve"> Lot 	PR	Name of Project	Unit/ Quantity	Unit	Total	Over all		Fund	Program</t>
  </si>
  <si>
    <t xml:space="preserve"> Please visit the brgy. during office hours for further information..</t>
  </si>
  <si>
    <t xml:space="preserve"> Lot 	PR	Name of Project	Qty.	 Unit 	Brand Name	Unit	Total	Over all		Fund	Program</t>
  </si>
  <si>
    <t xml:space="preserve"> Bidding Documents may be secured from the Bids and Awards Committee, Office of the Municipal Mayor upon payment to the MTO Cashier of a non-refundable amount of ₱ 5,000.00. </t>
  </si>
  <si>
    <t xml:space="preserve"> Fore queries, please refer to:</t>
  </si>
  <si>
    <t xml:space="preserve"> https://drive.google.com/file/d/1LUqImyy80WY2S9KqjXxQvShIWMqsL9Xf/view?usp=drivesdk</t>
  </si>
  <si>
    <t xml:space="preserve"> Concreting of Road 500m x 4m, thickness 0.20m with 0.80m shouldering bothsides.</t>
  </si>
  <si>
    <t xml:space="preserve"> PROCEED TO BARANGAY MAHIPON</t>
  </si>
  <si>
    <t xml:space="preserve"> Supplier within Sipalay City only</t>
  </si>
  <si>
    <t xml:space="preserve"> See request for quotation</t>
  </si>
  <si>
    <t xml:space="preserve"> BAC ACTIVITIES</t>
  </si>
  <si>
    <t xml:space="preserve"> Source of Fund : MDRRMF</t>
  </si>
  <si>
    <t xml:space="preserve"> Source of Fund: MDRRMF</t>
  </si>
  <si>
    <t xml:space="preserve"> For more clarifications and Information please contact Engr. Derwin Babor and Engr. Alvin Estrada thru Cell  Phone No's.09364761425  or 09368665741</t>
  </si>
  <si>
    <t xml:space="preserve"> Please visit BAC Office</t>
  </si>
  <si>
    <t xml:space="preserve"> bounded per subject</t>
  </si>
  <si>
    <t xml:space="preserve"> Deliver your proposal on or before the closing time. Late proposal will not be accepted.</t>
  </si>
  <si>
    <t xml:space="preserve"> For Bidding Schedule, Please contact the BAC Secretariat.</t>
  </si>
  <si>
    <t xml:space="preserve"> Submission of Quotation and Eligibility documents is on or before 5:00 P.M. of August 27, 2020 at BAC Secretariat Office located at Second Floor, Municipal Building, Alfonso, Cavite.</t>
  </si>
  <si>
    <t xml:space="preserve"> Bids received in excess of the ABC shall be automatically rejected at bid opening.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</si>
  <si>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https://drive.google.com/file/d/1tChNcomn1Q6XMnJTXPYbnV7_2XJN0Vk3/view?usp=drivesdk</t>
  </si>
  <si>
    <t xml:space="preserve"> Annex “A”</t>
  </si>
  <si>
    <t xml:space="preserve"> Posting and Issuance of BID Documents: August 23 to September 1, 2020; 01:00 PM</t>
  </si>
  <si>
    <t xml:space="preserve"> Posting and Issuance of BID Documents : August 23 to September 1, 2020; 01:00 PM</t>
  </si>
  <si>
    <t xml:space="preserve"> Posting and Issuance of BID Documents: August  23 to September 1, 2020; 01:00 PM</t>
  </si>
  <si>
    <t xml:space="preserve"> Submission of Quotation and Eligibility documents is on or before 5:00 P.M. of August 27, 2020 at BAC Secretariat Office located at Second Floor, Municipal Building, Alfonso, Cavite</t>
  </si>
  <si>
    <t xml:space="preserve"> RFQ should be delivered to school</t>
  </si>
  <si>
    <t xml:space="preserve"> For inquiry, call BAC sec</t>
  </si>
  <si>
    <t xml:space="preserve"> Inquire at the Office of Quezon Medical Center for details.</t>
  </si>
  <si>
    <t xml:space="preserve"> Inquire at the Office of San Francisco Municipal Hospital for details.</t>
  </si>
  <si>
    <t xml:space="preserve"> Inquire at the Office of the Provincial Treasurer for details.</t>
  </si>
  <si>
    <t xml:space="preserve"> Inquire at the Office of the Provincial Veterinarian for details.</t>
  </si>
  <si>
    <t xml:space="preserve"> Inquire at the Office of the Provincial Agriculturist for details.</t>
  </si>
  <si>
    <t xml:space="preserve"> Inquire at the Office of Economic Enterprise Unit for details.</t>
  </si>
  <si>
    <t xml:space="preserve"> The FINAL Bidding Documents and/or Request for Proposals (RFP) are also posted in the DPWH website</t>
  </si>
  <si>
    <t xml:space="preserve"> Please download RFQ in the associated component.</t>
  </si>
  <si>
    <t xml:space="preserve"> 1. The AGUS 4&amp;5 HPP COMPLEX, through its approved Corporate Budget of CY 2020 intends to apply the sum of (Please see schedule below) being the Approved Budget for the Contract (ABC) to payments under the contract. Bids received in excess of the ABC shall be automatically rejected at Bid Opening.</t>
  </si>
  <si>
    <t xml:space="preserve"> Posting and Issuance of Bid Documents: August 23 to September 1, 2020; 01:00 PM</t>
  </si>
  <si>
    <t xml:space="preserve"> Interested Supplier/s may download attached documents located in the Associated Components Section.</t>
  </si>
  <si>
    <t xml:space="preserve"> Inquire at the Office of the Provincial Governor/BAC for details.</t>
  </si>
  <si>
    <t xml:space="preserve"> Printed Modules in Elementary grade 1-6</t>
  </si>
  <si>
    <t xml:space="preserve"> Inquire at the Office of the Provincial Engineer for details.</t>
  </si>
  <si>
    <t xml:space="preserve"> Inquire at the Office of the PGO-BAC for details.</t>
  </si>
  <si>
    <t xml:space="preserve"> Inquire at the Office of Sangguniang Panlalawigan - BM Sio for details.</t>
  </si>
  <si>
    <t xml:space="preserve"> Deliver your proposal on or before the closing time, late proposal will not be accepted.</t>
  </si>
  <si>
    <t xml:space="preserve"> • Similar Contracts: Supply and delivery of electrical testing equipment / instruments</t>
  </si>
  <si>
    <t xml:space="preserve"> Amount of Bidding Documents: Php. 1,000.00</t>
  </si>
  <si>
    <t xml:space="preserve"> Purpose: To be use for the Foot Hand Washing and Disinfection stations for health and sanitation</t>
  </si>
  <si>
    <t xml:space="preserve"> https://drive.google.com/file/d/1yDOA9_8VnlP-mB_Yzt7rEHrP7rljdPUV/view?usp=drivesdk</t>
  </si>
  <si>
    <t xml:space="preserve"> https://drive.google.com/file/d/1lcNwiXYdlxZubCCj3DfmsIkqEbG4gut8/view?usp=drivesdk</t>
  </si>
  <si>
    <t xml:space="preserve"> uploaded docs are also available in dpwh website</t>
  </si>
  <si>
    <t xml:space="preserve"> Interested bidders may download attached documents located in the Associated Component Section.</t>
  </si>
  <si>
    <t xml:space="preserve"> see bid docs attached</t>
  </si>
  <si>
    <t xml:space="preserve"> BIDDERS MUST DOWNLOAD THE ATTACHED DOCUMENT IN THE ASSOCIATED COMPONENT SECTION</t>
  </si>
  <si>
    <t xml:space="preserve"> The closing date shall be on the 3rd day after the date published on the Philgeps website</t>
  </si>
  <si>
    <t xml:space="preserve"> Cost of Documents: Php5,000.00</t>
  </si>
  <si>
    <t xml:space="preserve"> Cost of Documents: Php1,000.00</t>
  </si>
  <si>
    <t xml:space="preserve"> 1. DTI Business Name Registration or SEC Registration, CDA, Registration</t>
  </si>
  <si>
    <t xml:space="preserve"> ITB20-08-033B</t>
  </si>
  <si>
    <t xml:space="preserve"> ITB20-08-033A</t>
  </si>
  <si>
    <t xml:space="preserve"> ITB20-08-033C</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</si>
  <si>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</si>
  <si>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For inquiries, please refer to:</t>
  </si>
  <si>
    <t xml:space="preserve"> ITB20-08-033E</t>
  </si>
  <si>
    <t xml:space="preserve"> The local Government Unit Of Soledad, San Jose, Camarines Sur through the Provincial Government Subsidy</t>
  </si>
  <si>
    <t xml:space="preserve"> ITB20-08-033D</t>
  </si>
  <si>
    <t xml:space="preserve"> This is also available in DPWH Website.</t>
  </si>
  <si>
    <t xml:space="preserve"> Also available in the DPWH Website</t>
  </si>
  <si>
    <t xml:space="preserve"> TCity Schools Division of the City of Tayabas</t>
  </si>
  <si>
    <t xml:space="preserve"> Barangay Tubod is a barangay that composed of Barangay Officials and Constituents.</t>
  </si>
  <si>
    <t xml:space="preserve"> see attached bill of quantities for details</t>
  </si>
  <si>
    <t xml:space="preserve"> PROCEED TO BRGY. BUKAL</t>
  </si>
  <si>
    <t xml:space="preserve"> Please use link below so you can get the Bidding Document for this project.</t>
  </si>
  <si>
    <t xml:space="preserve"> City Schools Division of the City of Tayabas</t>
  </si>
  <si>
    <t xml:space="preserve"> DEADLINE FOR SUBMISSION OF BIDS:</t>
  </si>
  <si>
    <t xml:space="preserve"> 1. Bidders must download the attached document in the associated component section and can also be downloaded for free at www.ilocossur.gov.ph.</t>
  </si>
  <si>
    <t xml:space="preserve"> See attached bill of quantities for details</t>
  </si>
  <si>
    <t xml:space="preserve"> Alexander G. Diez</t>
  </si>
  <si>
    <t xml:space="preserve"> ATTENDANCE IN PRE-BID CONFERENCE MUST BE NEEDED.</t>
  </si>
  <si>
    <t xml:space="preserve"> See associated components</t>
  </si>
  <si>
    <t xml:space="preserve"> Bidders are required to read the instructions:</t>
  </si>
  <si>
    <t xml:space="preserve"> Please refer to the Purchase Request for the complete list of materials</t>
  </si>
  <si>
    <t xml:space="preserve"> https://drive.google.com/file/d/1BT0HO5gOXfST491u3INKIUNwtyaYfYZj/view?usp=drivesdk</t>
  </si>
  <si>
    <t xml:space="preserve"> You may see the Municipal Agriculturist, Municipality of Caibiran</t>
  </si>
  <si>
    <t xml:space="preserve"> Other information</t>
  </si>
  <si>
    <t xml:space="preserve"> You may see the Supply Officer, Municipality of Caibiran</t>
  </si>
  <si>
    <t xml:space="preserve"> kindly specify brand names on your sealed quotation</t>
  </si>
  <si>
    <t xml:space="preserve"> For more information please visit or contact the BAC Secretariat at Brgy New Carcar, La Libertad Z.N</t>
  </si>
  <si>
    <t xml:space="preserve"> INVITATION TO BID</t>
  </si>
  <si>
    <t xml:space="preserve"> The deadline of submission of bids is on or before September 8, 2020 at 1:30 in the afternoon, 2nd floor, BAC Office, Municipal Hall of Don Carlos, Bukidnon.</t>
  </si>
  <si>
    <t xml:space="preserve"> Please download the document at the associated components.</t>
  </si>
  <si>
    <t xml:space="preserve"> See attached quotation form</t>
  </si>
  <si>
    <t xml:space="preserve"> PLEASE DELIVERED 3 DAYS AFTER</t>
  </si>
  <si>
    <t xml:space="preserve"> 708	pcs	RSB 9mmØ x 6m</t>
  </si>
  <si>
    <t xml:space="preserve"> Bid Documents will be available only to prospective bidders upon payment of a non-refundable amount of Five Pesos (PhP. 500.00) to the Office of the Barangay Treasurer Cashier.</t>
  </si>
  <si>
    <t xml:space="preserve"> https://drive.google.com/file/d/1XLLCUQhnK-Dt4s7XmtqoIeBvecpQS32i/view?usp=drivesdk</t>
  </si>
  <si>
    <t xml:space="preserve"> Welding Machine - 7 days rental - 6,293.00</t>
  </si>
  <si>
    <t xml:space="preserve"> The bidders must download the attached documents in the associated components section.</t>
  </si>
  <si>
    <t xml:space="preserve"> 1.)	139	Pcs	T-SHIRT with PRINT</t>
  </si>
  <si>
    <t xml:space="preserve"> You may send your quotation and other necessary documents on a soft copy through email.</t>
  </si>
  <si>
    <t xml:space="preserve"> https://drive.google.com/file/d/1DWMAqVfRoVt7Cin1nOGvDKF-nRUlp2iI/view?usp=drivesdk</t>
  </si>
  <si>
    <t xml:space="preserve"> I.	SUPPLY PIPELINES (From Source to Collecting Box)</t>
  </si>
  <si>
    <t xml:space="preserve"> CHECKLIST FOR BIDDING OF GOODS</t>
  </si>
  <si>
    <t xml:space="preserve"> Rental of Plate Compactor - 3 days rental - 2,519.85</t>
  </si>
  <si>
    <t xml:space="preserve"> Please Email us your, Price Quotation (warranty,delivery, validity, payment), Business Permit, Tax Clearance, PhilGEPS Certificate, Certificate of Registration, Etc.</t>
  </si>
  <si>
    <t xml:space="preserve"> Bidders must download the attached documents in the associated component</t>
  </si>
  <si>
    <t xml:space="preserve"> https://drive.google.com/file/d/1aB_8uOSIpI9a5Q4DvFAjtUYakyOcoBBI/view?usp=drivesdk</t>
  </si>
  <si>
    <t xml:space="preserve"> We will accept quotation of bid through a soft copy via email.</t>
  </si>
  <si>
    <t xml:space="preserve"> INVITATION TO BID FOR </t>
  </si>
  <si>
    <t xml:space="preserve"> 1.) 1 Unit 3-TON FLOOR MOUNTED INVERTER TYPE</t>
  </si>
  <si>
    <t xml:space="preserve"> 1.) 1 Unit 4.0HP FLOOR MOUNTED NON-INVERTER TYPE</t>
  </si>
  <si>
    <t xml:space="preserve"> https://drive.google.com/file/d/18eqa6YjQH7hB4o9PGyt6CTHOyyWWpTCJ/view?usp=drivesdk</t>
  </si>
  <si>
    <t xml:space="preserve"> Pls. see attached files...</t>
  </si>
  <si>
    <t xml:space="preserve"> https://drive.google.com/file/d/1ppfPhPQ8kK5dHN5esZNBBZSdEQwJgMg0/view?usp=drivesdk</t>
  </si>
  <si>
    <t xml:space="preserve"> Please call To :  0998-247-0239  &amp;  0906-256-9238  for other details . . .</t>
  </si>
  <si>
    <t xml:space="preserve"> Please call To : 0998-247-0239  &amp; 0906-256-9238  for other details . . .</t>
  </si>
  <si>
    <t xml:space="preserve"> Source of Fund: 1021 - Capital Outlay</t>
  </si>
  <si>
    <t xml:space="preserve"> ://drive.google.com/file/d/1A0VkD7_LZMSxTcKynkxHZdWz7Y8NplsU/view?usp=drivesdk</t>
  </si>
  <si>
    <t xml:space="preserve"> Conditions:</t>
  </si>
  <si>
    <t xml:space="preserve"> Area of Delivery: Quezon City</t>
  </si>
  <si>
    <t xml:space="preserve"> SUPPLIER OR BIDDER MUST  DOWNLOAD THE ATTACHED DOCUMENT IN THE ASSOCIATED COMPONENT SECTION.</t>
  </si>
  <si>
    <t xml:space="preserve"> See attached RFQ for complete specifications, terms &amp; conditions.</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</si>
  <si>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</si>
  <si>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1. Interested suppliers are required to submit their valid and current Mayor's Permit, DTI Registration, BIR Registration, Tax Clearance, PhilGEPS Platinum Registration Certificate and Price Quotation (Annex "A").</t>
  </si>
  <si>
    <t xml:space="preserve"> Quantity		Unit 		Item Description		Stock</t>
  </si>
  <si>
    <t xml:space="preserve"> 10.	For further information, please refer to:</t>
  </si>
  <si>
    <t xml:space="preserve"> FOR INQUIRY PROCEED TO BARANGAY HALL OF BARANGAY GUINHAWA TAYSAN BATANGAS</t>
  </si>
  <si>
    <t xml:space="preserve"> FOR INQUIRY PROCEED TO BARANGAY HALL AT BARANGAY STO. NIÑO TAYSAN BATANGAS</t>
  </si>
  <si>
    <t xml:space="preserve"> Source of Funds: Annual Budget 2020</t>
  </si>
  <si>
    <t xml:space="preserve"> PLANT SITE DELIVERY, DINAGAT DPP</t>
  </si>
  <si>
    <t xml:space="preserve"> Date of Bidding: August 28, 2020</t>
  </si>
  <si>
    <t xml:space="preserve"> BIDDING DATE: SEPTEMBER 9, 2020 @ 9:00 A.M.</t>
  </si>
  <si>
    <t xml:space="preserve"> kindly download the attached bidding documents for the requirements and specifications.</t>
  </si>
  <si>
    <t xml:space="preserve"> Source of Funds: Annual Budget 2019</t>
  </si>
  <si>
    <t xml:space="preserve"> JONAS FELICIANO C. DOMINGO</t>
  </si>
  <si>
    <t xml:space="preserve"> Bidding Document Cost: P/ 500.00</t>
  </si>
  <si>
    <t xml:space="preserve"> Checklist for Alternative Mode of Procurement</t>
  </si>
  <si>
    <t xml:space="preserve"> https://drive.google.com/file/d/1KX0DSGysWjwCF4fdFez2Fbk47qaFbo6e/view?usp=drivesdk</t>
  </si>
  <si>
    <t xml:space="preserve"> LCRB</t>
  </si>
  <si>
    <t xml:space="preserve"> Bidding Document Cost: P/ 1,000.00</t>
  </si>
  <si>
    <t xml:space="preserve"> Rebid.</t>
  </si>
  <si>
    <t xml:space="preserve"> Instruction for Suppliers on how to View/Download the document just go to the link below:</t>
  </si>
  <si>
    <t xml:space="preserve"> PLEASE SEE ASSOCIATED COMPONENTS FOR THE COMPLETE SET OF BIDDING DOCUMENTS</t>
  </si>
  <si>
    <t xml:space="preserve"> For more details, please contact Barangay Captain Juvenile P. Medequiso, Sr. with his Mobile No. 09483976852.</t>
  </si>
  <si>
    <t xml:space="preserve"> Please download bidding document and ITB in the associated component</t>
  </si>
  <si>
    <t xml:space="preserve"> for more information please call 411-0100 local 1407 BAC Office</t>
  </si>
  <si>
    <t xml:space="preserve"> Buyer: Z.C. Tayao</t>
  </si>
  <si>
    <t xml:space="preserve"> For inquiry, pls. email at delegatedprocurement@bsp.gov.ph</t>
  </si>
  <si>
    <t xml:space="preserve"> https://drive.google.com/file/d/1ZF0015MX9unGXx5R6dQ1D2Sm7BGSfKs3/view?usp=drivesdk</t>
  </si>
  <si>
    <t xml:space="preserve"> Source of Fund: special Education Fund - Capital Outlay</t>
  </si>
  <si>
    <t xml:space="preserve"> https://drive.google.com/file/d/1aAisVl1zGAv1uIGiXrtCmg9J2Vf7Ptu4/view?usp=drivesdk</t>
  </si>
  <si>
    <t xml:space="preserve"> 1.	THIS IS THE FIRST PUBLICATION FOR THIS PROCUREMENT.</t>
  </si>
  <si>
    <t xml:space="preserve"> BAC ACTIVITIES AND SCHEDULE</t>
  </si>
  <si>
    <t xml:space="preserve"> Criteria: Pass or Fail </t>
  </si>
  <si>
    <t xml:space="preserve"> Deadline for submission of price quotation will be on August 27, 2020 at 9:00 a.m.</t>
  </si>
  <si>
    <t xml:space="preserve"> PARTIAL BID IS ALLOWED</t>
  </si>
  <si>
    <t xml:space="preserve"> Bidding Document Cost: P/ 5,000.00</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</si>
  <si>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</si>
  <si>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contact BAC Secretariat for specs &amp; requirements</t>
  </si>
  <si>
    <t xml:space="preserve"> For further information, please refer to: MS. Milou Paraiso at milouparaiso@yahoo.com</t>
  </si>
  <si>
    <t xml:space="preserve"> Please submit sealed quotation.</t>
  </si>
  <si>
    <t xml:space="preserve"> deliver at project site</t>
  </si>
  <si>
    <t xml:space="preserve"> Province of Iloilo</t>
  </si>
  <si>
    <t xml:space="preserve"> Please refer to the attached Request for Quotation (RFQ) for complete and detailed specifications. For queries, please call at 317-1768 local 772 and look for Dr. Erminda C. Fortes.</t>
  </si>
  <si>
    <t xml:space="preserve"> https://drive.google.com/file/d/1S_aUtkNMDUJld4etcIlIA9BXskItwVOa/view?usp=drivesdk</t>
  </si>
  <si>
    <t xml:space="preserve"> BIDDER AND SUPPLIER MUST DOWNLOAD THE ATTACHED DOCUMENT TO THE ASSOCIATED COMPONENT SECTION.</t>
  </si>
  <si>
    <t xml:space="preserve"> Submission and Opening of Bids: September 3, 2020  10:00 AM</t>
  </si>
  <si>
    <t xml:space="preserve"> BIDDER OR SUPPLIER MUST DOWNLOAD THE ATTACHED DOCUMENT IN THE ASSOCIATED COMPONENT SECTION.</t>
  </si>
  <si>
    <t xml:space="preserve"> The Schedule of BAC activities are as follows:						</t>
  </si>
  <si>
    <t xml:space="preserve"> Submission &amp; Opening of Bid Quotation: August 28, 2020 10:00 AM</t>
  </si>
  <si>
    <t xml:space="preserve"> Laveling and Scrapping School Ground of Cristo Rey High School, Iriga City</t>
  </si>
  <si>
    <t xml:space="preserve"> SUPPLIER OR BIDDER MUST DOWNLOAD THE ATTACHED DOCUMENT TO THE ASSOCIATED COMPONENT SECTION.</t>
  </si>
  <si>
    <t xml:space="preserve"> https://drive.google.com/file/d/10mt9JaCA4qGHLSz84-kilvuLKWwBEPcU/view?usp=drivesdk</t>
  </si>
  <si>
    <t xml:space="preserve"> Sealed quotations must be submitted at the Office of the BAC Secretariat, LGU- Donsol, Sorsogon on or before August 27, 2020  at  9:00 o’clock in the morning.</t>
  </si>
  <si>
    <t xml:space="preserve"> For inquiry, pls. send email at delegatedprocurement@bsp.gov.ph</t>
  </si>
  <si>
    <t xml:space="preserve"> BID DOCUMENTS IS AVAILABLE ONLY TO PROSPECTIVE BIDDER UPON PAYMENT OF NON-REFUNDABLE FEE IN THE</t>
  </si>
  <si>
    <t xml:space="preserve"> Terms of Payment : COD</t>
  </si>
  <si>
    <t xml:space="preserve"> Please submit sealed quotation .</t>
  </si>
  <si>
    <t xml:space="preserve"> BIDDING DOCUMENTS AVAILABLE AT BAC OFFICE  OF BRGY SAN ISIDRO, BOBON N SAMAR</t>
  </si>
  <si>
    <t xml:space="preserve"> Please visit MPDO/BAC Office for details.</t>
  </si>
  <si>
    <t xml:space="preserve"> MONTHLY SUPPLY OF SUPPLY OF FUEL, OIL AND LUBRICANTS FOR AUGUST TO DECEMBER 2020</t>
  </si>
  <si>
    <t xml:space="preserve"> For information inquire at BAC Secretariat of Atimonan, Quezon.</t>
  </si>
  <si>
    <t xml:space="preserve"> see links for bidding docs</t>
  </si>
  <si>
    <t xml:space="preserve"> LINKS TO DOWNLOAD THE BIDDING DOCUMENTS, TERMS OF REFERENCE AND PLANS</t>
  </si>
  <si>
    <t xml:space="preserve"> Sealed quotations must be submitted at the Office of the BAC Secretariat, LGU- Donsol, Sorsogon on or before     August 27, 2020  at  9:00 o’clock in the morning.</t>
  </si>
  <si>
    <t xml:space="preserve"> For further information including drawings please refer to:</t>
  </si>
  <si>
    <t xml:space="preserve"> Purchase of Medical Supplies - P 84,259.00</t>
  </si>
  <si>
    <t xml:space="preserve"> Please see attached E-file for further Information</t>
  </si>
  <si>
    <t xml:space="preserve"> 1. Receipt from the Bidders of Letter of intent – August 21-27,2020 @ 8:00am to 5:00 pm</t>
  </si>
  <si>
    <t xml:space="preserve"> https://drive.google.com/file/d/1Srb6-Gm3_WTwWr6OSvJU3oJFTt6G4Ns_/view?usp=drivesdk</t>
  </si>
  <si>
    <t xml:space="preserve"> Pre-bid conference is not required for ABC is below 1M.</t>
  </si>
  <si>
    <t xml:space="preserve"> For more information Please contact Barangay Treasurer - 09462126979</t>
  </si>
  <si>
    <t xml:space="preserve"> Cost of Bid Docs: Php 50,000.00</t>
  </si>
  <si>
    <t xml:space="preserve"> Cost of Bid Docs: Php 25,000.00</t>
  </si>
  <si>
    <t xml:space="preserve"> Interested bidders are encourage to attend the Pre-bid Conference on the above-stated schedule and venue.</t>
  </si>
  <si>
    <t xml:space="preserve"> All quotation must be submitted in a sealed envelope directly to LPGH&amp;STC, address to Ms. Cecille P. Manipon, BAC Chairman or email, together with the following requirements;</t>
  </si>
  <si>
    <t xml:space="preserve"> EL NIDO NATIONAL HIGH SCHOOL</t>
  </si>
  <si>
    <t xml:space="preserve"> Issuance of bidding documents at BAC Office on August 20, 2020 to September 9, 2020 at 10:00 a.m.</t>
  </si>
  <si>
    <t xml:space="preserve"> BIDDERS MUST DOWNLOAD THE ATTACHED DOCUMENTS IN THE ASSOCIATED COMPONENTS SECTION</t>
  </si>
  <si>
    <t xml:space="preserve"> alll copies will be given to the supplier in soft copy</t>
  </si>
  <si>
    <t xml:space="preserve"> To participate in the Pre-Bid Conference, Pre-register here: https://docs.google.com/forms/d/14e9OfDtXunawfjhKp8OF9jLVIoqUTLAttpI7ekJNCZs/viewform?edit_requested=true </t>
  </si>
  <si>
    <t xml:space="preserve"> September 9, 2020- Bid Opening, 10:00 AM</t>
  </si>
  <si>
    <t xml:space="preserve"> ITEM NO.	ITEM &amp; DESCRIPTION	UNIT	QTY</t>
  </si>
  <si>
    <t xml:space="preserve"> BID TENDER							</t>
  </si>
  <si>
    <t xml:space="preserve"> ITEM NO.	ITEM &amp; DESCRIPTION	QTY	UNIT</t>
  </si>
  <si>
    <t xml:space="preserve"> CRIMINOLOGY</t>
  </si>
  <si>
    <t xml:space="preserve"> Stock 	Unit 	DESCRIPTION 	QTY</t>
  </si>
  <si>
    <t xml:space="preserve"> Please download ITB and bidding documents in the associated component</t>
  </si>
  <si>
    <t xml:space="preserve"> https://drive.google.com/file/d/1rCdpnmo0DsrquBteLjaVQg-81mrjcdKr/view?usp=drivesdk</t>
  </si>
  <si>
    <t xml:space="preserve"> https://drive.google.com/file/d/1zH0sOfM3JYlvfv4nWUZKX2ayE8mUakD-/view?usp=drivesdk</t>
  </si>
  <si>
    <t xml:space="preserve"> Kindly download the attached bidding documents for requirements and specifications.</t>
  </si>
  <si>
    <t xml:space="preserve"> Please download ITB and bidding document in the associated component</t>
  </si>
  <si>
    <t xml:space="preserve"> https://drive.google.com/file/d/1xSGWK1yezg2b5CPqi-kotTVjksdJiBJm/view?usp=drivesdk</t>
  </si>
  <si>
    <t xml:space="preserve"> This is PAYABLE for 3 years upon completion of the Project.</t>
  </si>
  <si>
    <t xml:space="preserve"> Posting and Issuance of BID Documents ; August 20 to September 2, 2020; 01:00 PM</t>
  </si>
  <si>
    <t xml:space="preserve"> BIDDER’S MUST DOWLOAD THE DOCUMENTS IN THE ASSOCIATED COMPONENT SECTION.</t>
  </si>
  <si>
    <t xml:space="preserve"> Bidding Activities	Schedule / Venue</t>
  </si>
  <si>
    <t xml:space="preserve"> For Inquiries please contact Mr. MONICO S. SUTACIO</t>
  </si>
  <si>
    <t xml:space="preserve"> https://drive.google.com/file/d/1DU58wcSBHREcElm-VFgo0AC-ppgaAW2Z/view?usp=drivesdk</t>
  </si>
  <si>
    <t xml:space="preserve"> 1			        FACILITIES FOR THE ENGINEERS:</t>
  </si>
  <si>
    <t xml:space="preserve"> 3. https://drive.google.com/file/d/1PWiPLxyV9Iimt4E5XbNaMgwQE8uT3r-H/view?usp=drivesdk</t>
  </si>
  <si>
    <t xml:space="preserve"> 6. https://drive.google.com/file/d/19GXySS-V5I5wVhVHUO30DLcsOh5GhnYO/view?usp=drivesdk</t>
  </si>
  <si>
    <t xml:space="preserve"> 4. https://drive.google.com/file/d/18aKMaXgcVRKNwFZymwcDtqGHWZqZfPrd/view?usp=drivesdk</t>
  </si>
  <si>
    <t xml:space="preserve"> 2. https://drive.google.com/file/d/1Ijb3nrm3ZJFVb8dC5pMLDLCB7yfF3TMq/view?usp=drivesdk</t>
  </si>
  <si>
    <t xml:space="preserve"> 1. https://drive.google.com/file/d/1-VRR-AuTuy5Rc-VE3W4bdlwUXVJJo_sN/view?usp=drivesdk</t>
  </si>
  <si>
    <t xml:space="preserve"> 5. https://drive.google.com/file/d/1JNi4oR_fsLXKetqEgTaIRNVuqnxOZjG9/view?usp=drivesdk</t>
  </si>
  <si>
    <t xml:space="preserve"> 11. https://drive.google.com/file/d/11veyKrZYppz0XBiPYN7m7vRwsvchEbgF/view?usp=drivesdk</t>
  </si>
  <si>
    <t xml:space="preserve"> 7. https://drive.google.com/file/d/1JoLMoEHgcvT4BHYc8AgTuJlQRLIH2VEn/view?usp=drivesdk</t>
  </si>
  <si>
    <t xml:space="preserve"> College of Physical Therapy								</t>
  </si>
  <si>
    <t xml:space="preserve"> Date of posting : August 20-27, 2020</t>
  </si>
  <si>
    <t xml:space="preserve"> 10. https://drive.google.com/file/d/1PMx0k0FQhmeLEZcCREuDATjaBQ7EolKV/view?usp=drivesdk</t>
  </si>
  <si>
    <t xml:space="preserve"> 16. https://drive.google.com/file/d/1KNRfzQXgzfqB0ZiWnoCSvW3VVJQUPVQK/view?usp=drivesdk</t>
  </si>
  <si>
    <t xml:space="preserve"> 14.  https://drive.google.com/file/d/13yzrX8H9V9YXIuzBZ4snmiRItprqCDJd/view?usp=drivesdk</t>
  </si>
  <si>
    <t xml:space="preserve"> 12. https://drive.google.com/file/d/1mkl_B9eVToqZxoUAvrR4qcdS3QQe4XGk/view?usp=drivesdk</t>
  </si>
  <si>
    <t xml:space="preserve"> Bids received in excess of the ABC shall be automatically rejected at the opening of the Financial Proposals.</t>
  </si>
  <si>
    <t xml:space="preserve"> 15. https://drive.google.com/file/d/1zWpfzg7tlLMi1KUBQ3GjQM4OYslTb_Zz/view?usp=drivesdk</t>
  </si>
  <si>
    <t xml:space="preserve"> 19. https://drive.google.com/file/d/15TVNRvc65V6PsPgQpFvW3cQOki5kcE8p/view?usp=drivesdk</t>
  </si>
  <si>
    <t xml:space="preserve"> 18. https://drive.google.com/file/d/11G62KORIpMiYJmMumjP6fAE7WQiO4Kr9/view?usp=drivesdk</t>
  </si>
  <si>
    <t xml:space="preserve"> https://drive.google.com/file/d/1jZp93hiNuvRzLwxvM6mPCu30-_9VwdDA/view?usp=drivesdk</t>
  </si>
  <si>
    <t xml:space="preserve"> 9. https://drive.google.com/file/d/11oRKIn6dqqx1vhlTN_-gwgGEPaCdAlCK/view?usp=drivesdk</t>
  </si>
  <si>
    <t xml:space="preserve"> 17. https://drive.google.com/file/d/1Dbb9FXx2foaSKj_0dx3WSjdXOr_342TV/view?usp=drivesdk</t>
  </si>
  <si>
    <t xml:space="preserve"> 8. https://drive.google.com/file/d/1JCDFH6_NTcN3HjMV5oJX-pl9q6_oNMoH/view?usp=drivesdk</t>
  </si>
  <si>
    <t xml:space="preserve"> 13. https://drive.google.com/file/d/1ZgaMNG0ghaSMlPmOESHfy-cJzHjy6h7H/view?usp=drivesdk</t>
  </si>
  <si>
    <t xml:space="preserve"> 21. https://drive.google.com/file/d/1RNqmzmGjn4lzx3ChJRurg-okNQcKtewn/view?usp=drivesdk</t>
  </si>
  <si>
    <t xml:space="preserve"> 20. https://drive.google.com/file/d/1m_o0QvCCdBFHxLJp3BUZv8s3O9fkFLJC/view?usp=drivesdk</t>
  </si>
  <si>
    <t xml:space="preserve"> 23. https://drive.google.com/file/d/1fBH7UtuoZ1xdym6b0Yc5_C4Q_GqXqJG0/view?usp=drivesdk</t>
  </si>
  <si>
    <t xml:space="preserve"> 24. https://drive.google.com/file/d/1igq6xgqS71unfuZxHLQs5qc_Y4c-F4pL/view?usp=drivesdk</t>
  </si>
  <si>
    <t xml:space="preserve"> For more clarifications regarding details on specifications, please call Ms. Sharon Africano at 074 424-1422 loc 0150 or Ms Carmen Pavon at 074 448-0041 loc 0117.</t>
  </si>
  <si>
    <t xml:space="preserve"> 22. https://drive.google.com/file/d/17x0xewT8RqrRaGnuzAoweyC1iuBnQTvy/view?usp=drivesdk</t>
  </si>
  <si>
    <t xml:space="preserve"> Please See attached file</t>
  </si>
  <si>
    <t xml:space="preserve"> please see file on associated component</t>
  </si>
  <si>
    <t xml:space="preserve"> BID OPENING: AUGUST 27, 2020 AT 1:00 PM   BAC OFFICE, MUNICIPAL HALL, STA. MARCELA, APAYAO</t>
  </si>
  <si>
    <t xml:space="preserve"> 25. https://drive.google.com/file/d/17LDxuPubVUrh891tycKLBe4TchpH1Cas/view?usp=drivesdk</t>
  </si>
  <si>
    <t xml:space="preserve"> NORMAN B. CASIPLE </t>
  </si>
  <si>
    <t xml:space="preserve"> 26. https://drive.google.com/file/d/19IzP3am6ja_rEN70txlo0Wx0EM5-eQ7x/view?usp=drivesdk</t>
  </si>
  <si>
    <t xml:space="preserve"> 27. https://drive.google.com/file/d/14ofPb4BAXM8hu_WE1paatHdk_6Go5ife/view?usp=drivesdk</t>
  </si>
  <si>
    <t xml:space="preserve"> For more clarifications, please call Ms Carmen Pavon @ 074 448-0041 loc 0117</t>
  </si>
  <si>
    <t xml:space="preserve"> PLEASE SEE FILE ON ASSOCIATED COMPONENT</t>
  </si>
  <si>
    <t xml:space="preserve"> PLEASE DO NOT FORGET TO ATTACHED THE FOLLOWING REQUIREMENTS;</t>
  </si>
  <si>
    <t xml:space="preserve"> 28. https://drive.google.com/file/d/1w4zGT0q2mok4jPkk2SChqs3y5d3Z8D2s/view?usp=drivesdk</t>
  </si>
  <si>
    <t xml:space="preserve"> 29. https://drive.google.com/file/d/1ULoPtePU-OpgtvmGcCAbZYwPeEUUjqUK/view?usp=drivesdk</t>
  </si>
  <si>
    <t xml:space="preserve"> Fir information only.</t>
  </si>
  <si>
    <t xml:space="preserve"> BID OPENING: SEPTEMBER 8, 2020 1:00 PM LIGA NG MGA BARANGAY OFFICE</t>
  </si>
  <si>
    <t xml:space="preserve"> Schedule of Activities: </t>
  </si>
  <si>
    <t xml:space="preserve"> Bidding Documents may be purchased by the Interested Bidders on August 24, 2020 from 8:00 A.M to 5:00 P.M. and upon payment of non - refundable fee of Five Hundred Pesos (Php 500.00).</t>
  </si>
  <si>
    <t xml:space="preserve"> To all eligible bidders you may contact this number 09465881691 JULIET N. SIAO BAC Chairperson</t>
  </si>
  <si>
    <t xml:space="preserve"> GET RFQ FROM BAC SECRETARIAT</t>
  </si>
  <si>
    <t xml:space="preserve"> ACTIVITIES SCHEDULE:</t>
  </si>
  <si>
    <t xml:space="preserve"> Bidding Documents may be purchased by the Interested Bidders on August 24, 2020 from 8:00 A.M to 5:00 P.M. and upon payment of non - refundable fee of Two Thousand Pesos (Php 2,000.00).</t>
  </si>
  <si>
    <t xml:space="preserve"> 32. https://drive.google.com/file/d/1av4LpbywPEQ8uHZ3bFSSBuqF25_BbtDP/view</t>
  </si>
  <si>
    <t xml:space="preserve"> Submission of LOI : August 20, 2020 to August 27, 2020</t>
  </si>
  <si>
    <t xml:space="preserve"> SCHEDULE OF ACTIVITIES</t>
  </si>
  <si>
    <t xml:space="preserve"> For inquiry proceed to Barangay hall of Barangay San Marcelino Taysan Batangas</t>
  </si>
  <si>
    <t xml:space="preserve"> Cost of Documents: P5,000.00</t>
  </si>
  <si>
    <t xml:space="preserve"> 31. https://drive.google.com/file/d/1BMZfvKnV_TpzZjlsDbjjEj2k-16jCiTx/view?usp=drivesdk</t>
  </si>
  <si>
    <t xml:space="preserve"> The winning bidder will  deliver the Chickens at the designated area  of Columbio, Sultan Kudarat.</t>
  </si>
  <si>
    <t xml:space="preserve"> 30. https://drive.google.com/file/d/1nZR8Mx4I00qu4ueVXnH5ewNT4PgcrFHE/view?usp=drivesdk</t>
  </si>
  <si>
    <t xml:space="preserve"> 1. Availability of Bidding Documents - August 20 - 27, 2020</t>
  </si>
  <si>
    <t xml:space="preserve"> Certificate of Site Inspection can be downloaded at the attached associated component.</t>
  </si>
  <si>
    <t xml:space="preserve"> 33. https://drive.google.com/file/d/1qGGWC-mGra3BHMQAMb9cpgtFxQGN_PzT/view?usp=drivesdk</t>
  </si>
  <si>
    <t xml:space="preserve"> 34. https://drive.google.com/file/d/185JTq3YxQRxv5JAiy4Vt1pjARX_7N9Wy/view?usp=drivesdk</t>
  </si>
  <si>
    <t xml:space="preserve"> https://drive.google.com/file/d/1GOGA7rL8LhmKM3mII5fcaOoK5-lM2Rrw/view?usp=drivesdk</t>
  </si>
  <si>
    <t xml:space="preserve"> 36. https://drive.google.com/file/d/1gSSwNZ0aViS93ySAmTau1REjaQXwlRzX/view?usp=drivesdk</t>
  </si>
  <si>
    <t xml:space="preserve"> 1. DTI Business Name Registration or SEC Registration ,CDA Registration</t>
  </si>
  <si>
    <t xml:space="preserve"> 35. https://drive.google.com/file/d/1UyJMEYsW47LxcMXV5PxeTu_NnQnXijkG/view?usp=drivesdk</t>
  </si>
  <si>
    <t xml:space="preserve"> The winning bidder will deliver the Chickens at the designated place at Maitum, Sarangani Province.</t>
  </si>
  <si>
    <t xml:space="preserve"> PLEASE COPY AND PASTE IN THE BROWSER THE LINK BELOW TO VIEW BIDDING DOCUMENTS: </t>
  </si>
  <si>
    <t xml:space="preserve"> Please come on time...</t>
  </si>
  <si>
    <t xml:space="preserve"> Project Description: Concreting of FMR with 0.20m thk. x 5.0m width x 481m length</t>
  </si>
  <si>
    <t xml:space="preserve"> 38. https://drive.google.com/file/d/1_IdDvg2zsD8GodRimhkR7FhiDgZ0mR2C/view?usp=drivesdk</t>
  </si>
  <si>
    <t xml:space="preserve"> Bid Document Section 1-7 is Available</t>
  </si>
  <si>
    <t xml:space="preserve"> 39. https://drive.google.com/file/d/1YjfYm5qgj-5RB-5P1mSnqP_BXMVgHXxZ/view</t>
  </si>
  <si>
    <t xml:space="preserve"> Mayors Per</t>
  </si>
  <si>
    <t xml:space="preserve"> Please download document in associate component</t>
  </si>
  <si>
    <t xml:space="preserve"> Project Description: Concreting of FMR with length of 1,114m x 5m width x 0.20m thk</t>
  </si>
  <si>
    <t xml:space="preserve"> 40. https://drive.google.com/file/d/1mNYXaZGmk2Ogs9ysTjut2920c4kqJrkO/view</t>
  </si>
  <si>
    <t xml:space="preserve"> Bidding Date - September 9 ,2020, 2:00PM at the Municipal Conference Hall, Galimuyod, Ilocos Sur</t>
  </si>
  <si>
    <t xml:space="preserve"> SALE OF DOCUMENTS: SEPTEMBER 2 TO SEPTEMBER 10, 2020(8:30 AM TO 4:30 P.M.)</t>
  </si>
  <si>
    <t xml:space="preserve"> 37. https://drive.google.com/file/d/1dwMWIIG-Q1CF8V-1w1j6p3LxIT3zvlE4/view?usp=drivesdk</t>
  </si>
  <si>
    <t xml:space="preserve"> 1. ISSUANCE OF BID DOCUMENTS   -  AUG. 19, 2020 - SEPTEMBER 3, 2020</t>
  </si>
  <si>
    <t xml:space="preserve"> 42. https://drive.google.com/file/d/1bgJ2dNPFPzKKCMdFyXdzwklJmgVZ_4bC/view?usp=drivesdk</t>
  </si>
  <si>
    <t xml:space="preserve"> 43. https://drive.google.com/file/d/1Mo6N77BglOUpqSxb3bh4xc1Hnd-skNv0/view?usp=drivesdk</t>
  </si>
  <si>
    <t xml:space="preserve"> 45. https://drive.google.com/file/d/19wAvX-y8X1L8zwMjjBOLMYD_92vzVnFY/view?usp=drivesdk</t>
  </si>
  <si>
    <t xml:space="preserve"> Opening of Bid – September 9, 2020</t>
  </si>
  <si>
    <t xml:space="preserve"> 50. https://drive.google.com/file/d/1kLnBYmD4ONbrAR-5_C2IS1WZf5GVKs_t/view?usp=drivesdk</t>
  </si>
  <si>
    <t xml:space="preserve"> 49. https://drive.google.com/file/d/1OfycxR7EgnxeQdlQMEU0U8i3mw3s6S_b/view?usp=drivesdk</t>
  </si>
  <si>
    <t xml:space="preserve"> 1			FACILITIES FOR THE ENGINEERS:</t>
  </si>
  <si>
    <t xml:space="preserve"> 47. https://drive.google.com/file/d/1Gcp3Rc6IVmV3jT6XQFqIYUxKCv5R3AGq/view?usp=drivesdk</t>
  </si>
  <si>
    <t xml:space="preserve"> 48. https://drive.google.com/file/d/1wXZKOWtge2t_ZmAJ_rd6J5OwvrniAxzp/view?usp=drivesdk</t>
  </si>
  <si>
    <t xml:space="preserve"> For further information, please refer to:						</t>
  </si>
  <si>
    <t xml:space="preserve"> All interested Bidders must download the attached documents at the Associated Component Section for Instructions and Specifications.</t>
  </si>
  <si>
    <t xml:space="preserve"> https://drive.google.com/file/d/1FrrwYtRECEPGgnqL_GyKkWaS24vv2g6z/view?usp=drivesdk</t>
  </si>
  <si>
    <t xml:space="preserve"> Interested parties may send their VAT inclusive price quotation to elmer.valenzuela@cbaa.gov.ph</t>
  </si>
  <si>
    <t xml:space="preserve"> Note: Please see the uploaded file at associated components.</t>
  </si>
  <si>
    <t xml:space="preserve"> 54. https://drive.google.com/file/d/1cLmuFi7-VIdj9_FFfoXvAYNWktqn89oo/view?usp=drivesdk</t>
  </si>
  <si>
    <t xml:space="preserve"> 53. https://drive.google.com/file/d/1stxuFJRa0LEh5k4PwZSvoNWMjlC41f-k/view?usp=drivesdk</t>
  </si>
  <si>
    <t xml:space="preserve"> 52. https://drive.google.com/file/d/1AZC3oik61F9e6U7rROjKKRQFKZ6ssi5v/view?usp=drivesdk</t>
  </si>
  <si>
    <t xml:space="preserve"> For other concern please contact:</t>
  </si>
  <si>
    <t xml:space="preserve"> KINDLY DOWNLOAD RFQ DOCS ON THE ASSOCIATED COMPONENT.</t>
  </si>
  <si>
    <t xml:space="preserve"> All interested Bidders/Suppliers must download the attached documents at the Associated Component Section for instructions and specifications.</t>
  </si>
  <si>
    <t xml:space="preserve"> 59. https://drive.google.com/file/d/1_NusNnpVfoB1LBSl3NckwCRSvc-jnC65/view?usp=drivesdk</t>
  </si>
  <si>
    <t xml:space="preserve"> 56. https://drive.google.com/file/d/1rhw_GxzjeFXkz7evy9_xmuzNMCjLesFv/view?usp=drivesdk</t>
  </si>
  <si>
    <t xml:space="preserve"> 57. https://drive.google.com/file/d/1r5XqywEPOx37kl7hRyb7GWs6m-yooHMV/view?usp=drivesdk</t>
  </si>
  <si>
    <t xml:space="preserve"> 51. https://drive.google.com/file/d/1oEC5ar0Y3vBeQPXgyaadxUV7UrFVhzMj/view?usp=drivesdk</t>
  </si>
  <si>
    <t xml:space="preserve"> 55. https://drive.google.com/file/d/1etgt38vc7EUByPR0hvy1PEFa5BAnBsMb/view?usp=drivesdk</t>
  </si>
  <si>
    <t xml:space="preserve"> 58. https://drive.google.com/file/d/18fROBx4Q9n7Ue5OvxIzhsR9_r8Ur4wFz/view?usp=drivesdk</t>
  </si>
  <si>
    <t xml:space="preserve"> 60. https://drive.google.com/file/d/1qAovNAId0ydufFAUR29dH_DecYkdiCbX/view?usp=drivesdk</t>
  </si>
  <si>
    <t xml:space="preserve"> Note: Please see the uploaded file at the associated components.</t>
  </si>
  <si>
    <t xml:space="preserve"> KINDLY DOWNLOAD BID DOCS ON THE ASSOCIATED COMPONENT.</t>
  </si>
  <si>
    <t xml:space="preserve"> Please contact Mr. Reno C. Salazar the BAC Secretary with CP # 09459852914 or you may call to Ms. Ma. Teresa L. Minguez the BAC Chairperson. Thanks and God Bless us all.</t>
  </si>
  <si>
    <t xml:space="preserve"> USE LINK TO VIEW THE BIDDING DOCUMENTS</t>
  </si>
  <si>
    <t xml:space="preserve"> https://drive.google.com/file/d/1bqzQUL0h91hsFk15coE5QXnxj_Cc1a-i/view?usp=drivesdk</t>
  </si>
  <si>
    <t xml:space="preserve"> SUPPLIERS MUST DOWNLOAD THE ATTACHED DOCUMENT IN THE ASSOCIATED COMPONENT</t>
  </si>
  <si>
    <t xml:space="preserve"> The Local Government Unit of Pilar, through the General Fund intends to apply the sum of Five Hundred Thousand Pesos (P500,000.00)  being the Approved Budget for the Contract (ABC) to payment under the contract for the Procurement of Services (Publication of Municipal Ordinances).  Bids received in excess of the ABC shall be automatically rejected at bid opening.</t>
  </si>
  <si>
    <t xml:space="preserve"> 46. https://drive.google.com/file/d/1Puyn79ZJFI3hA6SdHxPnBdPI5hG2BQqZ/view?usp=drivesdk</t>
  </si>
  <si>
    <t xml:space="preserve"> 44. https://drive.google.com/file/d/15rALjOkWG8N-SJRcsixxKvEAYXusfe-G/view?usp=drivesdk</t>
  </si>
  <si>
    <t xml:space="preserve"> 64. https://drive.google.com/file/d/14iIVwYbmYbK03aBYL2kKbJLAnuUXzScC/view?usp=drivesdk</t>
  </si>
  <si>
    <t xml:space="preserve"> 63. https://drive.google.com/file/d/1ANlcuWaWy_INlbSptBjsBLMqqUV2p92x/view?usp=drivesdk</t>
  </si>
  <si>
    <t xml:space="preserve"> https://drive.google.com/file/d/1bN9NXOatMdIifqg22K4s9X0CR7W7Jg9M/view?usp=drivesdk</t>
  </si>
  <si>
    <t xml:space="preserve"> 61. https://drive.google.com/file/d/10T-9S_1F3394r6X9vE1QxGwEhn3e2Gde/view?usp=drivesdk</t>
  </si>
  <si>
    <t xml:space="preserve"> 62. https://drive.google.com/file/d/1ypIwRds3-CAnzBOxpjKO6I_WyB7_En0k/view?usp=drivesdk</t>
  </si>
  <si>
    <t xml:space="preserve"> Bidding Documents may be purchased by the Interested Bidders on August 24, 2020 from 8:00 A.M to 5:00 P.M. and upon payment of non - refundable fee of One Thousand Pesos (Php 1,000.00).</t>
  </si>
  <si>
    <t xml:space="preserve"> 41. https://drive.google.com/file/d/1oNIsRzHaALe-zImwh-LXmZ-1Fm4UTGFX/view</t>
  </si>
  <si>
    <t xml:space="preserve"> Contact BAC Secretariat, Laua-an, Antique</t>
  </si>
  <si>
    <t xml:space="preserve"> For interested suppliers, please also submit the following documents along with the accomplished RFQ:</t>
  </si>
  <si>
    <t xml:space="preserve"> Interested supplier must visit site for actual measurement and estimate.</t>
  </si>
  <si>
    <t xml:space="preserve"> 66. https://drive.google.com/file/d/14pKcSsO-DryF-78Cfp7-Tdbir4WEpkvW/view?usp=drivesdk</t>
  </si>
  <si>
    <t xml:space="preserve"> BID DOCUMENT IS AVAILABLE AT ENGINEERING OFFICE, BAC SECRETARIAT</t>
  </si>
  <si>
    <t xml:space="preserve"> 65. https://drive.google.com/file/d/1V8O-kOihZSxvgJCPpp_drV2YwNjyIUkC/view?usp=drivesdk</t>
  </si>
  <si>
    <t xml:space="preserve"> Kindly submit your quotations in a sealed envelope addressed to Ms. Rosalia G. Climaco  Chairman of the Bids and Awards Committee (BAC) of POPCOM Caraga located at Butuan-Cagayan-Iligan Road, Purok 1 Abilan, Buenavista, Agusan del Norte on or before 10:00am of September 1, 2020.</t>
  </si>
  <si>
    <t xml:space="preserve"> 67. https://drive.google.com/file/d/1OjzLyrHuGWSy8bTWsSY0bCznYZQPW7Da/view?usp=drivesdk</t>
  </si>
  <si>
    <t xml:space="preserve"> CONTACT 4354619</t>
  </si>
  <si>
    <t xml:space="preserve"> Please attach with the duly accomplished RFQ:</t>
  </si>
  <si>
    <t xml:space="preserve"> Mixed Gravel described herein is a mix of Course Aggregate and Fine Sand/S1</t>
  </si>
  <si>
    <t xml:space="preserve"> 68. https://drive.google.com/file/d/1rCp70gNMQr8lOwR9pTal2rMn4_96HHrt/view?usp=drivesdk</t>
  </si>
  <si>
    <t xml:space="preserve"> For more information kindly contact: </t>
  </si>
  <si>
    <t xml:space="preserve"> 69. https://drive.google.com/file/d/1Tu6p4TOhbFsXGilGq8yKxs9wdEArNSB5/view?usp=drivesdk</t>
  </si>
  <si>
    <t xml:space="preserve"> For other information please contact</t>
  </si>
  <si>
    <t xml:space="preserve"> Please submit the following documents with the duly accomplished RFQ</t>
  </si>
  <si>
    <t xml:space="preserve"> Repair of Weighbridge</t>
  </si>
  <si>
    <t xml:space="preserve"> Please download RFQ thru the Associated Component under the Bid Notice Abstract</t>
  </si>
  <si>
    <t xml:space="preserve"> 70. https://drive.google.com/file/d/1_N6zkPtg1TQYMgRWorFSZqh7UUEIX_Xs/view?usp=drivesdk</t>
  </si>
  <si>
    <t xml:space="preserve"> 71. https://drive.google.com/file/d/118C5zN9xNlPQHciL0qyePIq2A20QbL8P/view?usp=drivesdk</t>
  </si>
  <si>
    <t xml:space="preserve"> CONTACT BAC SECRETARIAT</t>
  </si>
  <si>
    <t xml:space="preserve"> 74. https://drive.google.com/file/d/1q6zM4pV1vSGDAr_6O0MKwwBABxAtPvR7/view?usp=drivesdk</t>
  </si>
  <si>
    <t xml:space="preserve"> 1.  Please see associated components to download Request for Quotation Form</t>
  </si>
  <si>
    <t xml:space="preserve"> 73. https://drive.google.com/file/d/1h5MeO_ekKd1Hiop2R4m4n7NeTCeiEp1S/view?usp=drivesdk</t>
  </si>
  <si>
    <t xml:space="preserve"> Please look Mr. FREDERICK VILLAS and Ms. Rowena Rodriguez for other information.</t>
  </si>
  <si>
    <t xml:space="preserve"> 72. https://drive.google.com/file/d/1SkU1RiAiZa8IZT-RL4kcfRsAxT9kpNfz/view</t>
  </si>
  <si>
    <t xml:space="preserve"> 76. https://drive.google.com/file/d/1S7HcXsODfPyM_rjorU8jCa0MUmcxZLNI/view?usp=drivesdk</t>
  </si>
  <si>
    <t xml:space="preserve"> 75. https://drive.google.com/file/d/1O2JJ3TAph_KlqClI1jgjP9SXI6M_A6wd/view?usp=drivesdk</t>
  </si>
  <si>
    <t xml:space="preserve"> You may download bidding documents using the link below:</t>
  </si>
  <si>
    <t xml:space="preserve"> 78. https://drive.google.com/file/d/1cvARIIogm9Tb9sz4l5LuV_gcCHlG7XTB/view?usp=drivesdk</t>
  </si>
  <si>
    <t xml:space="preserve"> PLEASE INCLUDE THE FF: EMAIL ADDRESSES IN SENDING THE QUOTATION/S:</t>
  </si>
  <si>
    <t xml:space="preserve"> Submission and Opening of Bids: August 28, 2020 @ 11:00 a.m.</t>
  </si>
  <si>
    <t xml:space="preserve"> The Local Government Unit of Pilar, through the 20% Economic Development Fund intends to apply the sum of Three Hundred Seventy Eight Thousand, Seven Hundred Eighty Pesos Only (P378,780.00) being the Approved Budget for the Contract (ABC) to payment under the contract for the Balai Silangan Rehabilitation for Covid-19 Isolation Facility at  Pilar, Sorsogon. Bids received in excess of the ABC shall be automatically rejected at bid opening.</t>
  </si>
  <si>
    <t xml:space="preserve"> https://drive.google.com/file/d/1CtM2B96SbRGqR0-XRuZuR8IX5LcMhsSw/view?usp=drivesdk</t>
  </si>
  <si>
    <t xml:space="preserve"> 77. https://drive.google.com/file/d/1ORkaGvWJu4fm_8pfpG5gf1CaZQRxDlP1/view?usp=drivesdk</t>
  </si>
  <si>
    <t xml:space="preserve"> Submission and Opening of Bids: September 9, 2020 @ 10:00 a.m.</t>
  </si>
  <si>
    <t xml:space="preserve"> FOB / DELIVERY POINT: CARCAR WATER DISTRICT SAN VICENTE ST., POB. 1, CARCAR CITY CEBU</t>
  </si>
  <si>
    <t xml:space="preserve"> 3 Units Printer (Epson L3110)</t>
  </si>
  <si>
    <t xml:space="preserve"> Instruction for Suppliers on how to View/Download Documents:</t>
  </si>
  <si>
    <t xml:space="preserve"> Notice of Alternative Method of Proc., BAC Notice, RFQ - PR-2020-08-0044</t>
  </si>
  <si>
    <t xml:space="preserve"> https://drive.google.com/file/d/15hEPQ_0obUSoAEJZximATKOKF2SQkrro/view?usp=drivesdk</t>
  </si>
  <si>
    <t xml:space="preserve"> BIDDER MUST DOWNLOAD THE ATTACHED DOCUMENT IN THE ASSOCIATE COMPONENT</t>
  </si>
  <si>
    <t xml:space="preserve"> Also available in DPWH Website</t>
  </si>
  <si>
    <t xml:space="preserve"> Fund Source: AM 2020</t>
  </si>
  <si>
    <t xml:space="preserve"> see attachment</t>
  </si>
  <si>
    <t xml:space="preserve"> see attachement</t>
  </si>
  <si>
    <t xml:space="preserve"> BID TENDER														</t>
  </si>
  <si>
    <t xml:space="preserve"> Quotation shall be submitted via email (lbphobac@mail.landbank.com) not later than September 1, 2020, Monday, 9:00 A.M.</t>
  </si>
  <si>
    <t xml:space="preserve"> BID TENDER																</t>
  </si>
  <si>
    <t xml:space="preserve"> Bid Docs Fee P/10,000.00</t>
  </si>
  <si>
    <t xml:space="preserve"> Bid Docs Fee P/500.00 per lot</t>
  </si>
  <si>
    <t xml:space="preserve"> KINDLY DOWNLOAD THE ATTACHMENT IN THE ASSOCIATED COMPONENTS.</t>
  </si>
  <si>
    <t xml:space="preserve"> Bidding documents available at Agumaymayan Barangay Hall from August 20, 2020 - August 26, 2020 @ 8:00AM to 5:00 PM.</t>
  </si>
  <si>
    <t xml:space="preserve"> 1. Issuance of Bid Documents	August 19 – September 8, 2020 12:00 NN</t>
  </si>
  <si>
    <t xml:space="preserve"> Bidding documents available at Agumaymayan Barangay Hall from August 20, 2020 to August 26, 2020 @ 8:00AM - 5:00PM.</t>
  </si>
  <si>
    <t xml:space="preserve"> Please see Associated Component attached.</t>
  </si>
  <si>
    <t xml:space="preserve"> Note: Inclusive of free delivery.</t>
  </si>
  <si>
    <t xml:space="preserve"> 20IH0113  (ITB, Bid Docs, POW, Plan)</t>
  </si>
  <si>
    <t xml:space="preserve"> 20IH0114  (ITB, Bid Docs, POW)</t>
  </si>
  <si>
    <t xml:space="preserve"> 20IH0116  (ITB, Bid Docs, POW, Plan 1)</t>
  </si>
  <si>
    <t xml:space="preserve"> For clarification on details, you may call tel. # (074) 444-2929 (SSS Baguio)</t>
  </si>
  <si>
    <t xml:space="preserve"> https://drive.google.com/file/d/1a6_7BKJ5Z9pBh5G5NcqxZioieirSoMA4/view?usp=drivesdk</t>
  </si>
  <si>
    <t xml:space="preserve"> Specification:</t>
  </si>
  <si>
    <t xml:space="preserve"> Please click the Associated Components for the Checklist of Requirements. Thank you.</t>
  </si>
  <si>
    <t xml:space="preserve"> The BAC is conducting the public bidding for this Contracts in accordance with RA 9184 and its Revised Implementing Rules and Regulations. Bids received in excess of the ABC shall be automatically rejected at bid opening.</t>
  </si>
  <si>
    <t xml:space="preserve"> 20IH0115  (ITB, Bid Docs, POW, Plan)</t>
  </si>
  <si>
    <t xml:space="preserve"> The Local Government Unit of Pilar, through the Trust Fund intends to apply the sum of Nine Million, Seven Hundred Thousand Pesos Only (P9,700,000.00) being the Approved Budget for the Contract (ABC) to payment under the contract for the Construction of Legislative Building at Calongay, Pilar, Sorsogon. Bids received in excess of the ABC shall be automatically rejected at bid opening.</t>
  </si>
  <si>
    <t xml:space="preserve"> *Inclusive: Free delivery</t>
  </si>
  <si>
    <t xml:space="preserve"> Note: Inclusive for free delivery.</t>
  </si>
  <si>
    <t xml:space="preserve"> The Local Government Unit of Pilar, through the Trust Fund intends to apply the sum of Two Million, Three Hundred Thousand Pesos (P2,300,000.00)  being the Approved Budget for the Contract (ABC) to payment under the contract for the Procurement of One (1) Unit Wheel Loader. Bids received in excess of the ABC shall be automatically rejected at bid opening.</t>
  </si>
  <si>
    <t xml:space="preserve"> The submission of request for quotation form is on or before the closing date at  2nd floor, BAC Office, Municipal Hall of Don Carlos, Bukidnon.</t>
  </si>
  <si>
    <t xml:space="preserve"> Bid Documents will be available only to prospective bidders upon payment of a non-refundable amount									</t>
  </si>
  <si>
    <t xml:space="preserve"> REGIONAL BIDS AND AWARDS COMMITTEE – CEBU REGIONAL OFFICE</t>
  </si>
  <si>
    <t xml:space="preserve"> Tentative Schedule is on September 9 - 11, 2020</t>
  </si>
  <si>
    <t xml:space="preserve"> Visit MPDO/BAC Office for details</t>
  </si>
  <si>
    <t xml:space="preserve"> All quotations will be collated and checked a day after the 7 days posting.</t>
  </si>
  <si>
    <t xml:space="preserve"> Bid Documents will be available only to prospective bidders upon payment of a non-refundable amount										</t>
  </si>
  <si>
    <t xml:space="preserve"> REGIONAL BIDS AND AWARDS COMMITTEE - CEBU REGIONAL OFFICE</t>
  </si>
  <si>
    <t xml:space="preserve"> Generic names of medicines are available upon payment of the Bid docs</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</si>
  <si>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</si>
  <si>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created by:     JAY MAXWELL</t>
  </si>
  <si>
    <t xml:space="preserve"> Bid Docs Fee P/1,000.00</t>
  </si>
  <si>
    <t xml:space="preserve"> Bid Docs Fee P/5,000.00</t>
  </si>
  <si>
    <t xml:space="preserve"> Schedule of Bidding Activities: </t>
  </si>
  <si>
    <t xml:space="preserve"> Invitation to Bid for Completion of Evacuation Center</t>
  </si>
  <si>
    <t xml:space="preserve"> created by:          CYNTHIA GABIOZA</t>
  </si>
  <si>
    <t xml:space="preserve"> DATE OF POSTING: AUGUST 20-27, 2020</t>
  </si>
  <si>
    <t xml:space="preserve"> Created By: Elrene C. Villar</t>
  </si>
  <si>
    <t xml:space="preserve"> Please download the attached Invitation to bid, Bidding Documents, Eligibility Checklist and Drawing in the associated component.</t>
  </si>
  <si>
    <t xml:space="preserve"> For more details please contact the following:</t>
  </si>
  <si>
    <t xml:space="preserve"> BID DOCUMENT IS AVAILABLE AT ENGINEERING OFFICE, BAC SECRETARIAT.</t>
  </si>
  <si>
    <t xml:space="preserve"> OPENING OF BIDS IS ON SEPTEMBER 2, 2020 (09:00 AM) AT THE BOARD ROOM, ADMIN. BUILDING</t>
  </si>
  <si>
    <t xml:space="preserve"> created by:    EMERITA ILIGAN</t>
  </si>
  <si>
    <t xml:space="preserve"> For inquiries, you may call the following:</t>
  </si>
  <si>
    <t xml:space="preserve"> Please Contact</t>
  </si>
  <si>
    <t xml:space="preserve"> Kindly download the attached bidding documents for the requirements and specifications.</t>
  </si>
  <si>
    <t xml:space="preserve"> please see attached documents.</t>
  </si>
  <si>
    <t xml:space="preserve"> Please see attached bidding documents for the complete details of the Weight Criteria and Terms of Reference.</t>
  </si>
  <si>
    <t xml:space="preserve"> BID TENDER								</t>
  </si>
  <si>
    <t xml:space="preserve"> Please see attached Invitation to Bid.</t>
  </si>
  <si>
    <t xml:space="preserve"> FUEL, OIL &amp; LUBRICANTS		</t>
  </si>
  <si>
    <t xml:space="preserve"> By Administrative</t>
  </si>
  <si>
    <t xml:space="preserve"> Cost of Documents: P500.00</t>
  </si>
  <si>
    <t xml:space="preserve"> Obtain further info @ the Office of the BAC Secretariat/TWG</t>
  </si>
  <si>
    <t xml:space="preserve"> Terms and Condition: </t>
  </si>
  <si>
    <t xml:space="preserve"> FOR SDS-678,SLD-710,SGR-191,SFB-600,SGP-534,SGR-149,SGR-171,SFB-563,SFB-554 &amp; SGP-590		</t>
  </si>
  <si>
    <t xml:space="preserve"> The Municipal Government of Dauin, Negros Oriental, through Supplemental #2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</si>
  <si>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wheel type hydraulic excavator with breaker line;</t>
  </si>
  <si>
    <t xml:space="preserve"> Check associated components</t>
  </si>
  <si>
    <t xml:space="preserve"> https://drive.google.com/file/d/1611BOCwGSdOUeceHdpYt-DK-ozNldlxI/view?usp=drivesdk</t>
  </si>
  <si>
    <t xml:space="preserve"> Please download RFQ in the associated components.</t>
  </si>
  <si>
    <t xml:space="preserve"> Please see attached PDF file for more information.</t>
  </si>
  <si>
    <t xml:space="preserve"> SB1 2019</t>
  </si>
  <si>
    <t xml:space="preserve"> Publication - August 18, 2020</t>
  </si>
  <si>
    <t xml:space="preserve"> BIDDERS MUST DOWNLOAD THE ATTACHED DOCUMENT IN THE ASSOCIATED COMPONENT</t>
  </si>
  <si>
    <t xml:space="preserve"> FOR MORE INFORMATION PLEASE CONTACT:</t>
  </si>
  <si>
    <t xml:space="preserve"> https://drive.google.com/file/d/15bLEdQmsD3l63r09nFRdgwngxtPVMtYc/view?usp=drivesdk</t>
  </si>
  <si>
    <t xml:space="preserve"> https://drive.google.com/file/d/1h7BxzDcuLnnY7ab1RpeIBLTQcgTevgjr/view?usp=drivesdk</t>
  </si>
  <si>
    <t xml:space="preserve"> Interested Bidder may purchase Bidding Documents in the amount of 500.00 pesos at the BAC Secretariat, Treasurer's Office, Municipal Hall Building.</t>
  </si>
  <si>
    <t xml:space="preserve"> BAC Office, Engineering Office, Municipal Hall for Bidding forms and other inquiries</t>
  </si>
  <si>
    <t xml:space="preserve"> https://drive.google.com/file/d/1CE3u82KXKsjA4mHJi_0MhHQvm88S-umr/view?usp=drivesdk</t>
  </si>
  <si>
    <t xml:space="preserve"> All interested Bidders must download the  attached document at the Associated Component Section for instructions and specifications.</t>
  </si>
  <si>
    <t xml:space="preserve"> Freight on Board to LGU, Looc, Occidental Mindoro</t>
  </si>
  <si>
    <t xml:space="preserve"> Kindly download Associated Components for full details.</t>
  </si>
  <si>
    <t xml:space="preserve"> Please see Attached Files</t>
  </si>
  <si>
    <t xml:space="preserve"> 1. Date of First Publication: AUGUST 19, 2020</t>
  </si>
  <si>
    <t xml:space="preserve"> Bid Opening shall be on September 8, 2020 @ 09:30 AM at the Conference Room, Office of the Mayor, 2/f Municipal Hall Building, Municipal Compound, Brgy. Poblacion, Calintaan, Occ. Mindoro.</t>
  </si>
  <si>
    <t xml:space="preserve"> Pay Item No.	Description	Unit	Quantity</t>
  </si>
  <si>
    <t xml:space="preserve"> https://drive.google.com/file/d/1THkj7SWOOiaymxo1znMhgGFVt9PMZ6dp/view?usp=drivesdk</t>
  </si>
  <si>
    <t xml:space="preserve"> ITEM	QUANTITY	UNIT	DESCRIPTION</t>
  </si>
  <si>
    <t xml:space="preserve"> Publication: August 19-25, 2020</t>
  </si>
  <si>
    <t xml:space="preserve"> For more information kindly contact:</t>
  </si>
  <si>
    <t xml:space="preserve"> Any requests for additional information concerning this bidding shall be directed to the following:</t>
  </si>
  <si>
    <t xml:space="preserve"> Check to DL: https://drive.google.com/file/d/1PL8lEJ650N9SmGR8bh-tCt3D0Vq6fqpk/view?usp=drivesdk</t>
  </si>
  <si>
    <t xml:space="preserve"> Deadline for submission August 26, 2020, 9am.</t>
  </si>
  <si>
    <t xml:space="preserve"> Interested Bidders may download attached documents located in the Associated Components Section.</t>
  </si>
  <si>
    <t xml:space="preserve"> Prospective bidder may seek further information through BAC Office @ 469-9056.</t>
  </si>
  <si>
    <t xml:space="preserve"> Please see the attached in the associated components</t>
  </si>
  <si>
    <t xml:space="preserve"> PLS. REFER TO BID DOCS ATTACHED.</t>
  </si>
  <si>
    <t xml:space="preserve"> https://drive.google.com/file/d/1AcjoCeibJsKW-bhi-nju-j5NQNy9S9Rt/view?usp=drivesdk</t>
  </si>
  <si>
    <t xml:space="preserve"> https://drive.google.com/file/d/1zkIG7YapmcdHTdn4ePr8OpCXlGyapkUR/view?usp=drivesdk</t>
  </si>
  <si>
    <t xml:space="preserve"> The schedule of opening of bid will be on September 5, 2020 at exactly 2:00 o'clock in the afternoon at the BAC Office LGU Dauis, Bohol</t>
  </si>
  <si>
    <t xml:space="preserve"> 1. PRE-BID CONFERENCE - AUGUST 27, 2020 @ 10:00 A.M.</t>
  </si>
  <si>
    <t xml:space="preserve"> Please get the printed RFQ at the Admin Office, 2nd Floor, Admin Building of Cabangan HIgh School.</t>
  </si>
  <si>
    <t xml:space="preserve"> Please see personally the head of the BAC Secretariat for the availability of the bid document upon payment of the non-refundable amount of P 500.00 to the Cashier.</t>
  </si>
  <si>
    <t xml:space="preserve"> The Works consists of Replacement of Plumbing Fixtures, Installation of plumbing fixtures, replacement deteriorated door jamb, replacement of destroyed PVC Door and destroyed door knob.</t>
  </si>
  <si>
    <t xml:space="preserve"> Item Number	Description	Quantity	Total	Delivered, Weeks/Months</t>
  </si>
  <si>
    <t xml:space="preserve"> Delivery Point: SPUG-MOD Warehouse, Zamboanga City</t>
  </si>
  <si>
    <t xml:space="preserve"> For queries, please contact Mr. Eric A. Teves, Head of RBAC Secretariat thru telephone #(035) 430-0230.</t>
  </si>
  <si>
    <t xml:space="preserve"> Buyer: J.S. Medina</t>
  </si>
  <si>
    <t xml:space="preserve"> The Works consists of Improvement of perimeter fence, earthworks, concreting masonry and fabrication, installation of steel framed cyclone wires and painting works.</t>
  </si>
  <si>
    <t xml:space="preserve"> The Works consists of Construction of 170.00 ln.m. 4” THK CHB 2 layers canal lining with concrete column and stiffener spaced at every 5.00m.</t>
  </si>
  <si>
    <t xml:space="preserve"> For further information, please contact:</t>
  </si>
  <si>
    <t xml:space="preserve"> Buyer: N.R. Abarquez</t>
  </si>
  <si>
    <t xml:space="preserve"> Delivery Point: Plantsite / JOLO DPP, Sulu Province</t>
  </si>
  <si>
    <t xml:space="preserve"> https://drive.google.com/file/d/10hrR-QHD6Q-f3JBCQyiPo_4y57Xl7-Cb/view?usp=drivesdk</t>
  </si>
  <si>
    <t xml:space="preserve"> The winning bidder will deliver the chickens at the designated place at Matalam, Cotabato.</t>
  </si>
  <si>
    <t xml:space="preserve"> Please see personally the BAC secretariat for the availability of the Bid Document upon payment of the non-refundable amount of P 500.00 to the Cashier.</t>
  </si>
  <si>
    <t xml:space="preserve"> Please take note that this project is part of the Early Procurement Activities of the university. This means that the project will be awarded this year (2020) but will be implemented the following year (2021) upon the issuance of the VSU GAA 2021 by DBM.</t>
  </si>
  <si>
    <t xml:space="preserve"> https://drive.google.com/file/d/1zTtS925FGorjo1awNSQUIc19IfiBv5c6/view?usp=drivesdk</t>
  </si>
  <si>
    <t xml:space="preserve"> https://drive.google.com/file/d/17kesj8gmHhvmdHtWPLBWlLe6IxDBoKe-/view?usp=drivesdk</t>
  </si>
  <si>
    <t xml:space="preserve"> Bidders must download the attached document in the associated component.</t>
  </si>
  <si>
    <t xml:space="preserve"> https://drive.google.com/file/d/1PnFpLr3qmEEt_Rxz4J4y-3EqGwEGF3eC/view?usp=drivesdk</t>
  </si>
  <si>
    <t xml:space="preserve"> Please see personally the BAC secretariat for the availability of the bid document upon payment of the non-refundable amount of P 500.00 to the Cashier.</t>
  </si>
  <si>
    <t xml:space="preserve"> https://drive.google.com/file/d/1lCKwEQXSoFcKI9iU8FqDx5M0mBgLMhwv/view?usp=drivesdk</t>
  </si>
  <si>
    <t xml:space="preserve"> receipts and opening of bid will be on September 1,2020 at 9:00 am. </t>
  </si>
  <si>
    <t xml:space="preserve"> https://drive.google.com/file/d/1PPPwm8_nky7X1n7Bh-vbSr4rFlNN-U0E/view?usp=drivesdk</t>
  </si>
  <si>
    <t xml:space="preserve"> BID DOCS CAN BE BOUGHT AT PRINCIPAL OFFICE, CAUAYAN SOUTH CENTRAL SCHOOL</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</si>
  <si>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</si>
  <si>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Fund 1010</t>
  </si>
  <si>
    <t xml:space="preserve"> LEVI C. EDMA</t>
  </si>
  <si>
    <t xml:space="preserve"> Please see attached at Associated Components</t>
  </si>
  <si>
    <t xml:space="preserve"> https://drive.google.com/file/d/1OnLLKQ_qbMGgBBueiBn_GfBbI075xm4Z/view?usp=drivesdk</t>
  </si>
  <si>
    <t xml:space="preserve"> Please be informed that the Bid Documents can't be downloaded from the website. Interested bidders are requested to acquire the documents directly and personally from the Mayor's Office upon payment of a corresponding fee of Php500.00 for the said project at the Municipal Treasury Office.</t>
  </si>
  <si>
    <t xml:space="preserve"> Fund 164</t>
  </si>
  <si>
    <t xml:space="preserve"> Brand names of all items must be indicated in the bid.</t>
  </si>
  <si>
    <t xml:space="preserve"> Pre-bid Conference will be done through teleconference. Any interested bidder you could contact the Head BAC Secretariat or email us.</t>
  </si>
  <si>
    <t xml:space="preserve"> Terms of payment : 30 days from receipt of all materials</t>
  </si>
  <si>
    <t xml:space="preserve"> PHILIPPINE BIDDING DOCUMENTS</t>
  </si>
  <si>
    <t xml:space="preserve"> Please download the Bid Document in the Associated Component.</t>
  </si>
  <si>
    <t xml:space="preserve"> Please see attached bidding documents for complete specifications and Terms of Reference.</t>
  </si>
  <si>
    <t xml:space="preserve"> New Contact Person</t>
  </si>
  <si>
    <t xml:space="preserve"> https://drive.google.com/file/d/1-GXCWOmdJt6Ei5LVD4A5L6yTRjV8uor3/view?usp=drivesdk</t>
  </si>
  <si>
    <t xml:space="preserve"> TERMS OF PAYMENT = 30 DAYS</t>
  </si>
  <si>
    <t xml:space="preserve"> Please see accompanying document attached.</t>
  </si>
  <si>
    <t xml:space="preserve"> https://drive.google.com/file/d/1eQzAhYy55jt6cTZscq5pFGFP81YAOVdR/view?usp=drivesdk</t>
  </si>
  <si>
    <t xml:space="preserve"> HON. DULCENIA T. DE GUZMAN</t>
  </si>
  <si>
    <t xml:space="preserve"> The winning bidder will deliver the Goats at the designated area at Alabel, Sarangani Province.</t>
  </si>
  <si>
    <t xml:space="preserve"> Instruction for Suppliers on how to View/ Download the document:</t>
  </si>
  <si>
    <t xml:space="preserve"> Prisoners Subsistence Allowance 153 days x 650	650	pax</t>
  </si>
  <si>
    <t xml:space="preserve"> Please Download the Associated Components</t>
  </si>
  <si>
    <t xml:space="preserve"> Deadline of the Submission and opening of bids will be on September 11, 2020 @ 9:00 AM</t>
  </si>
  <si>
    <t xml:space="preserve"> BID OPENING: SEPTEMBER 7, 2020  1:00PM  BAC OFFICE, MUNICIPAL HALL, STA. MARCELA, APAYAO</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</si>
  <si>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</si>
  <si>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1.	THIS IS A SECOND PUBLICATION FOR THIS PROCUREMENT.</t>
  </si>
  <si>
    <t xml:space="preserve"> • Similar Contracts: Supply and delivery of Diesel Generating Sets or Mechanical and/or Electrical Parts / Components / Equipment for Diesel Generating Sets</t>
  </si>
  <si>
    <t xml:space="preserve"> https://drive.google.com/file/d/1OXK9MTe1t1IneItMI4EcPj-WiaYMCmjx/view?usp=drivesdk</t>
  </si>
  <si>
    <t xml:space="preserve"> https://drive.google.com/file/d/1f9jfTUj6UDI-xaKlKrOXiNMQk0QLY6Nh/view?usp=drivesdk</t>
  </si>
  <si>
    <t xml:space="preserve"> SB No. 2 CY 2018</t>
  </si>
  <si>
    <t xml:space="preserve"> https://drive.google.com/file/d/15oHG8onaqY9ci0HnKOFtzzUCba2v5g3C/view?usp=drivesdk</t>
  </si>
  <si>
    <t xml:space="preserve"> Bidding Documents: </t>
  </si>
  <si>
    <t xml:space="preserve"> https://drive.google.com/file/d/1VwDREOC0RF4gBuCYrNuQrzTi4-sa0xh8/view?usp=drivesdk</t>
  </si>
  <si>
    <t xml:space="preserve"> PLEASE CHECK SIMILAR INFORMATION POSTED AT THE PROCURING ENTITY'S WEBSITE</t>
  </si>
  <si>
    <t xml:space="preserve"> https://drive.google.com/file/d/1i5WrY1kUC4uPgVn0VaKgqT2uIxtw9_SM/view?usp=drivesdk</t>
  </si>
  <si>
    <t xml:space="preserve"> https://drive.google.com/file/d/1rZVDXzSXXVQ-IP-Nr-iXi08B1FyNN0SG/view?usp=drivesdk</t>
  </si>
  <si>
    <t xml:space="preserve"> https://drive.google.com/file/d/1O-vy1LobuIXOF0V6yutn9Xuxj-NZ3cU9/view?usp=drivesdk</t>
  </si>
  <si>
    <t xml:space="preserve"> FOR MORE INFORMATION AND DETAILS, KINDLY CONTACT BRGY. NAGBA BIDS AND AWARDS COMMITTEE, BRGY. NAGBA HALL C/O BAC CHAIRMAN VIZENN TOMESA WITH CELLPHONE NO. 0928-8184636.</t>
  </si>
  <si>
    <t xml:space="preserve"> Please download the attached Request for Expression of Interest (REI), Bidding Document, Eligibility Checklist and Terms of Reference in the associated component.</t>
  </si>
  <si>
    <t xml:space="preserve"> The deadline of submission of Bids is on or before September 8, 2020 at 1:30 in the afternoon, 2nd floor, BAC Office, Municipal Hall of Don Carlos, Bukidnon.</t>
  </si>
  <si>
    <t xml:space="preserve"> Bid opening shall be on  August 27, 2020 @ 2:00 o’clock in the afternoon at  Dampas Barangay Session Hall, Barangay Dampas, Tagbilaran City.  Bids will be opened in the presence of the bidders’ representatives who choose to attend at the address below. Late bids shall not be accepted.</t>
  </si>
  <si>
    <t xml:space="preserve"> ELIGIBILITY REQUIREMENTS:</t>
  </si>
  <si>
    <t xml:space="preserve"> created by:        Consuelo Reyes</t>
  </si>
  <si>
    <t xml:space="preserve"> created by:      BERNADETTE VILLANUEVA</t>
  </si>
  <si>
    <t xml:space="preserve"> 1. Letter of Intent of Contractor must be signed original attached with certified photocopy of PhilGEPS Certificate of Registration (Platinum Category) and Valid PCAB License and Registration.</t>
  </si>
  <si>
    <t xml:space="preserve"> created by:         RONALD ACHA</t>
  </si>
  <si>
    <t xml:space="preserve"> Paper size – paper size used on layout (A4)</t>
  </si>
  <si>
    <t xml:space="preserve"> https://drive.google.com/file/d/1ojr-e9CPVRZxddqyKJFYcyCuvZiY9ua_/view?usp=drivesdk</t>
  </si>
  <si>
    <t xml:space="preserve"> bid dcoc posted:August 18, 2020, Tuesday</t>
  </si>
  <si>
    <t xml:space="preserve"> Classification: Building</t>
  </si>
  <si>
    <t xml:space="preserve"> https://drive.google.com/file/d/1qKR0_0-iwJAQeg0a1S7AT8lmh6z7pO_M/view?usp=drivesdk</t>
  </si>
  <si>
    <t xml:space="preserve"> https://drive.google.com/file/d/1LkOGa0sF3LWb-SoR8Vl-zBDmSv8Mptu5/view?usp=drivesdk</t>
  </si>
  <si>
    <t xml:space="preserve"> https://drive.google.com/file/d/1kviDMnBCZXqz9IM75AmnJxsL6io5jCHQ/view?usp=drivesdk</t>
  </si>
  <si>
    <t xml:space="preserve"> https://drive.google.com/file/d/1RA22qLgK_jV8IhfuNaGGFbiaFpuvEHb3/view?usp=drivesdk</t>
  </si>
  <si>
    <t xml:space="preserve"> The labor is by Administration</t>
  </si>
  <si>
    <t xml:space="preserve"> https://drive.google.com/file/d/12adpPZOv6sJ2FCeeTn6TyevFIPBz5DCo/view?usp=drivesdk</t>
  </si>
  <si>
    <t xml:space="preserve"> https://drive.google.com/file/d/1BaokO9oxJpIGz95Zji5vQb7YnvyLFrJ2/view?usp=drivesdk</t>
  </si>
  <si>
    <t xml:space="preserve"> https://drive.google.com/file/d/1Y-2sp9ESqgwNpeAJQxadE16Wo7cvwHxD/view?usp=drivesdk</t>
  </si>
  <si>
    <t xml:space="preserve"> https://drive.google.com/file/d/1v_AaGlyoWy23AA9kQzYOXfUtLxD8_Svs/view?usp=drivesdk</t>
  </si>
  <si>
    <t xml:space="preserve"> https://drive.google.com/file/d/1z3sEGsvdmvWJDZhqpO-Zu1EeUhiIKAsG/view?usp=drivesdk</t>
  </si>
  <si>
    <t xml:space="preserve"> https://drive.google.com/file/d/1qFkUHIsbLjYkYbOsLs1ee5HTHB9sasXX/view?usp=drivesdk</t>
  </si>
  <si>
    <t xml:space="preserve"> Bid Documents must be secured from the BAC Secretariat, Leyte SMED Center, Provincial Capitol Grounds, Tacloban City</t>
  </si>
  <si>
    <t xml:space="preserve"> Also available at DPWH website.</t>
  </si>
  <si>
    <t xml:space="preserve"> https://drive.google.com/file/d/1HPHceTnX5a2EocJRiOiFLEajLVmPAC-C/view?usp=drivesdk</t>
  </si>
  <si>
    <t xml:space="preserve"> For more information and clarification, please feel free to contact our BAC Secretariat.</t>
  </si>
  <si>
    <t xml:space="preserve"> For easier download of attached Bidding Document please copy and paste the link below in the URL</t>
  </si>
  <si>
    <t xml:space="preserve"> https://drive.google.com/file/d/15B1lHy3IVTLZOUM2jp9eVxNK3oVqM7SP/view?usp=drivesdk</t>
  </si>
  <si>
    <t xml:space="preserve"> https://drive.google.com/file/d/1fMmH73pdtZvu8pt9v5ROBMuhjXG7QSMc/view?usp=drivesdk</t>
  </si>
  <si>
    <t xml:space="preserve"> https://drive.google.com/file/d/1uf5ntMOWnmgDCpnba30nPWx_HTn_LlrF/view?usp=drivesdk</t>
  </si>
  <si>
    <t xml:space="preserve"> For easier download of attached bidding document please copy and paste the link below in the URL</t>
  </si>
  <si>
    <t xml:space="preserve"> For easier download of attached bidding document please copy and paste the link below in the URL.</t>
  </si>
  <si>
    <t xml:space="preserve"> Instruction for Suppliers on how to View/Download the document:</t>
  </si>
  <si>
    <t xml:space="preserve"> Downloads available at the Associated Components/Bid Supplements pages.</t>
  </si>
  <si>
    <t xml:space="preserve"> Please check link below to download Plan.</t>
  </si>
  <si>
    <t xml:space="preserve"> The Bidding will be held at the Barangay Session Hall located at Sitio Cruz, Barangay San Isidro, Mauban, Quezon</t>
  </si>
  <si>
    <t xml:space="preserve"> https://drive.google.com/file/d/1R_lf9bNUdzXDdXuS7RszY944abgl5y06/view?usp=drivesdk</t>
  </si>
  <si>
    <t xml:space="preserve"> 1.	BIDDERS ARE ADVISED TO DOWNLOAD ALL ASSOCIATED COMPONENTS FOR GUIDANCE AND REFERENCE.</t>
  </si>
  <si>
    <t xml:space="preserve"> 1. Please download ITB and bidding documents in the associated component</t>
  </si>
  <si>
    <t xml:space="preserve"> Quick Guide up to Cost Breakdown</t>
  </si>
  <si>
    <t xml:space="preserve"> https://drive.google.com/file/d/1FMIAXgmaZV11HpZM-IeyR1ZyFtCty_wy/view?usp=drivesdk</t>
  </si>
  <si>
    <t xml:space="preserve"> https://drive.google.com/file/d/1qdlIHLykZRhbTytBUqlPOc9fYanI9Qk4/view?usp=drivesdk</t>
  </si>
  <si>
    <t xml:space="preserve"> FUEL, OIL AND LUBRICANTS EXP.		</t>
  </si>
  <si>
    <t xml:space="preserve"> Tail Light Assembly Light	5	Pc</t>
  </si>
  <si>
    <t xml:space="preserve"> Diesel	115,052.00	liters</t>
  </si>
  <si>
    <t xml:space="preserve"> 1.Please download ITB and  bidding documents in the associated component</t>
  </si>
  <si>
    <t xml:space="preserve"> 1.Please download ITB and bidding documents in the associated component</t>
  </si>
  <si>
    <t xml:space="preserve"> pls notify Sec Nor of Linglingay</t>
  </si>
  <si>
    <t xml:space="preserve"> BID DOCS PhP 500.00</t>
  </si>
  <si>
    <t xml:space="preserve"> Rice, Well-milled Banay-Banay Local	44	sacks</t>
  </si>
  <si>
    <t xml:space="preserve"> FOR EASIER DOWNLOAD OF ATTACHED BIDDING DOCUMENT PLEASE COPY AND PASTE THE LINK BELOW IN THE URL.</t>
  </si>
  <si>
    <t xml:space="preserve"> FOR EASIER DOWNLOAD OF ATTACHED BIDDING DOCUMENT PLEASE COPY AND PASTE THE LINK BELOW TO THE URL.</t>
  </si>
  <si>
    <t xml:space="preserve"> Due to Covid 19, all prospective bidders are required to wear face masks and face shields when transacting with the LGU.</t>
  </si>
  <si>
    <t xml:space="preserve"> https://drive.google.com/file/d/1teD6NJMg3-d_VztkevKe1HgA0NwL3chx/view?usp=drivesdk</t>
  </si>
  <si>
    <t xml:space="preserve"> https://drive.google.com/file/d/1tOMj2w4yUmtuyXF1cwDDGHfNMPw-EQKJ/view?usp=drivesdk</t>
  </si>
  <si>
    <t xml:space="preserve"> FOR EASIER DOWNLOAD OF ATTACHED BIDDING DOCUMENT PLEASE COPY AND PASTE THE LINK BELOW IN THE URL</t>
  </si>
  <si>
    <t xml:space="preserve"> https://drive.google.com/file/d/1tv6IHgT2Zw7C3RlwSA7ifaaiV3oEIM3G/view?usp=drivesdk</t>
  </si>
  <si>
    <t xml:space="preserve"> https://drive.google.com/file/d/1_CMY3EcfCXvon8I-5pDvy_i5LbT78LRk/view?usp=drivesdk</t>
  </si>
  <si>
    <t xml:space="preserve"> Bid documents are available at Cantuod Barangay Hall</t>
  </si>
  <si>
    <t xml:space="preserve"> bidding date,Sept. 10, 2020 at Brgy. Hall, Brgy. Punong,alimodian Iloilo at 9:00 am</t>
  </si>
  <si>
    <t xml:space="preserve"> Concreting of 304.00 x 4.00m wide x 0.15m thick PCCP; Concreting of 51.00ln.m. x 0.80m wide x 0.15m thick additional plain PCCP of existing tire path; Concreting of 51.ln.m. x 1.80m wide x 0.15m thick additional Plain PCCP shoulder of existing tire path.</t>
  </si>
  <si>
    <t xml:space="preserve"> Bungulan Suckers/Balangon Suckers		15,000.00	pcs</t>
  </si>
  <si>
    <t xml:space="preserve"> bidding date September 10, 2020,at Brgy. Hall,Brgy. Cagay,Alimodian Iloilo at 11:00 am</t>
  </si>
  <si>
    <t xml:space="preserve"> Installation/Roofing</t>
  </si>
  <si>
    <t xml:space="preserve"> Please download canvass (RFQ) form/TOR, completely fill-out and submit either through any  of the following:</t>
  </si>
  <si>
    <t xml:space="preserve"> BAC Secretariat</t>
  </si>
  <si>
    <t xml:space="preserve"> Meeting with the Bidders</t>
  </si>
  <si>
    <t xml:space="preserve"> Bid opening on August 26, 2020 at 9:00A.M at the Municipal Hall.</t>
  </si>
  <si>
    <t xml:space="preserve"> see or call Basilio D. Uy , Head BAC Secretariat , Division of Zamboanga City , Baliwasan Chico Zamboanga City # 0917-155-1801</t>
  </si>
  <si>
    <t xml:space="preserve"> For more information, please contact with this number 09076210257. Thank you.</t>
  </si>
  <si>
    <t xml:space="preserve"> The PRO 7 BAC will issue a complete set of Bidding Documents upon payment in cash of a non-refundable amount ofFive Thousand Pesos (₱ 5,000.00) for the project with ABC of 1M-5M.Prospective Bidders may obtain further information at the PRO 7-BAC Secretariat, PRO 7, Camp Sergio Osmeña Sr., Cebu City at telephone numbers (032) 255-0364 Look for PSSg Ryan D Delos Reyes.</t>
  </si>
  <si>
    <t xml:space="preserve"> Should you be interested, please submit your "open" quotations on or before  20 August 2020, 4:00PM through email address: jrr_pttc@yahoo.com or jasminrio@pttc.gov.ph or fax no. 833-7403. Please download/ submit the filled up Quotation Form.Thank you!</t>
  </si>
  <si>
    <t xml:space="preserve"> For more information, please contact us in this number 09076210257 or 09306316170. Thank you and God bless.</t>
  </si>
  <si>
    <t xml:space="preserve"> https://drive.google.com/file/d/11qPxQhLb1apEnyyRuZs9eCJ53rf43LAE/view?usp=drivesdk</t>
  </si>
  <si>
    <t xml:space="preserve"> Delivery at the job site.</t>
  </si>
  <si>
    <t xml:space="preserve"> https://drive.google.com/file/d/1d80FVqhwxEGpPptjIHl3fnRwRYOXnqVz/view?usp=drivesdk</t>
  </si>
  <si>
    <t xml:space="preserve"> Inquire at BAC OFFICE, MUNICIPAL HALL, TAMBULIG, ZAMBOANGA DEL SUR</t>
  </si>
  <si>
    <t xml:space="preserve"> REQUEST FOR QUOTATION FORM WILL BE AVAILABLE AT GINGOOG CITY WATER DISTRICT OFFICE</t>
  </si>
  <si>
    <t xml:space="preserve"> MARECIL C. BUENAFE</t>
  </si>
  <si>
    <t xml:space="preserve"> Documents uploaded are also available in DPWH website</t>
  </si>
  <si>
    <t xml:space="preserve"> Issuance of Bid Documents  : 8:00AM - 5:00PM August 18, 2020 to 8:00AM - 09:30AM, September 02, 2020</t>
  </si>
  <si>
    <t xml:space="preserve"> Bid opening shall be on September 9, 2020, 10:00 AM at the PNOC Bldg. 6, Energy Center, Rizal Drive, BGC, Taguig City.  Bids will be opened in the presence of the bidders’ representatives who choose to attend at the address below. Late bids shall not be accepted.</t>
  </si>
  <si>
    <t xml:space="preserve"> SEE ASSOCIATED COMPONENTS</t>
  </si>
  <si>
    <t xml:space="preserve"> 1	set	Ambulance Blinker built-in Siren</t>
  </si>
  <si>
    <t xml:space="preserve"> PR0126-20 PEO</t>
  </si>
  <si>
    <t xml:space="preserve"> You may see the Municipal Engineer, Municipality of Caibiran</t>
  </si>
  <si>
    <t xml:space="preserve"> Bidding Documents Cost: P 5,000.00</t>
  </si>
  <si>
    <t xml:space="preserve"> Interested bidders may obtain further information from Bids and Awards Committee Secretariat and inspect the Bidding Documents at the address given below from 9:00am to 5:00pm.</t>
  </si>
  <si>
    <t xml:space="preserve"> The Works consists of Concreting of 219.07 m long x 6.10m wide x 0.20m thick plain PCCP and provision of 56.2 l.m. l.m. stone masonry slope protection structure.</t>
  </si>
  <si>
    <t xml:space="preserve"> Please Download attachments</t>
  </si>
  <si>
    <t xml:space="preserve"> A complete set of Bidding Documents can  be obtained from the BAC Office only upon payment of corresponding fees.</t>
  </si>
  <si>
    <t xml:space="preserve"> A complete set of Bidding documents vcan be obtained at the BAC Office only upon payment of corresponding fees.</t>
  </si>
  <si>
    <t xml:space="preserve"> A complete set of Bidding Document can be obtained at the BAC Ofiice only upon payment corresponding fees.</t>
  </si>
  <si>
    <t xml:space="preserve"> Brand New</t>
  </si>
  <si>
    <t xml:space="preserve"> A complete set of Bidding documents can be obtained at the BAC Office only upon payment of corresponding fees.</t>
  </si>
  <si>
    <t xml:space="preserve"> Please download attachments.</t>
  </si>
  <si>
    <t xml:space="preserve"> https://drive.google.com/file/d/1CihcAkGdZcFik1_ODrfiOcK7Zy5-4ySa/view?usp=drivesdk</t>
  </si>
  <si>
    <t xml:space="preserve"> https://drive.google.com/file/d/1R_N9gvjXHHbGgt3aO2uwL-sUSfFZfnJa/view?usp=drivesdk</t>
  </si>
  <si>
    <t xml:space="preserve"> https://drive.google.com/file/d/1kOjii8Jn0ZS6AzhvmDJ2BFLNMkWRd4gU/view?usp=drivesdk https://drive.google.com/file/d/1yj_t7LSZPjcl1jowrB_CIVYBH5xc3sQ7/view?usp=drivesdk</t>
  </si>
  <si>
    <t xml:space="preserve"> A complete set of Bidding Documents can be obtained at the BAC Office only upon payment of corresponding fees.</t>
  </si>
  <si>
    <t xml:space="preserve"> https://drive.google.com/file/d/11SaEiMByw10BSj0OSYDNiReVaSvtbPby/view?usp=drivesdk</t>
  </si>
  <si>
    <t xml:space="preserve"> https://drive.google.com/file/d/1TUYkxg9UHGSGQxQdHIU8BgwmUFIwUrZu/view?usp=drivesdk</t>
  </si>
  <si>
    <t xml:space="preserve"> https://drive.google.com/file/d/1wHf9oHeVxTbjM5agPqpr24MDk830Q48h/view?usp=drivesdk</t>
  </si>
  <si>
    <t xml:space="preserve"> https://drive.google.com/file/d/1mJ5oaDm04F2XVX6zp9Z4vD0AlPAcg1pb/view?usp=drivesdk</t>
  </si>
  <si>
    <t xml:space="preserve"> A complete set of Bidding Documents can be obtained at the BAC Office only upon payment of coresponding fees.</t>
  </si>
  <si>
    <t xml:space="preserve"> 6.	Supplier shall submit together with the RFQ the following:</t>
  </si>
  <si>
    <t xml:space="preserve"> https://drive.google.com/file/d/1AdAlcntDveOQElzbACvm0cdal8Hr_f0G/view?usp=drivesdk</t>
  </si>
  <si>
    <t xml:space="preserve"> IB and Bidding Documents:</t>
  </si>
  <si>
    <t xml:space="preserve"> 1.)	1	set	Piston ring (STD)		</t>
  </si>
  <si>
    <t xml:space="preserve"> 6,000 Kilos ROOTCROPS (Purple Ube and Taro or Colocasia Esculenta)</t>
  </si>
  <si>
    <t xml:space="preserve"> 25,000 Pcs ABACA Suckers/Shoots</t>
  </si>
  <si>
    <t xml:space="preserve"> Procuring Entity: Barangay La Medalla, Baao, Cam. SUr</t>
  </si>
  <si>
    <t xml:space="preserve"> 4,624 Liters DIESEL FUEL</t>
  </si>
  <si>
    <t xml:space="preserve"> General Description			 Quantity/Size 	 Unit </t>
  </si>
  <si>
    <t xml:space="preserve"> Procuring Entity: La Medalla, Baao, Cam. SUr</t>
  </si>
  <si>
    <t xml:space="preserve"> 1.)	1	set	Oil filter (503/513)</t>
  </si>
  <si>
    <t xml:space="preserve"> 1.)	37	sacks	Chicken Grower Crumble</t>
  </si>
  <si>
    <t xml:space="preserve"> 1 JO General repair of aircon malfunction of one (1) unit Ford Ranger with the following scope of works:		</t>
  </si>
  <si>
    <t xml:space="preserve"> kindly see the plan and specification</t>
  </si>
  <si>
    <t xml:space="preserve"> 1.)	1	pc	Wheel bearing</t>
  </si>
  <si>
    <t xml:space="preserve"> All interested bidders must purchase bid document at Municipal Treasury Office together with the letter of intent before going to the BAC Office, 3rd floor, Municipal Bldg. Abatan, Buguias, Benguet from August 25, 2020 starting 3:00 PM - 4:00 PM.</t>
  </si>
  <si>
    <t xml:space="preserve"> https://drive.google.com/file/d/1MN9_joA7NQtEILLno-5C4DgJu1gQge6v/view?usp=drivesdk</t>
  </si>
  <si>
    <t xml:space="preserve"> BID TENDER											</t>
  </si>
  <si>
    <t xml:space="preserve"> Bidding will set by BAC upon submission of COA request</t>
  </si>
  <si>
    <t xml:space="preserve"> further information from the Barangay Poblacion, Sibonga Cebu and inspect the Bidding Documents or one may call the Secretariat at (032) 486-9030 / 09309383186 from Monday to Friday 8:00 A.M to 5:00 P.M.</t>
  </si>
  <si>
    <t xml:space="preserve"> A complete set of bidding Documents can be obtained at the BAC Office only upon payment of corresponding fees.</t>
  </si>
  <si>
    <t xml:space="preserve"> LOT 1 – VARIOUS FILTERS (ABC – P465,415.00)</t>
  </si>
  <si>
    <t xml:space="preserve"> A complete set of Bidding Documents can be  obtained at the BAC Office only upon payment of corresponding fees.</t>
  </si>
  <si>
    <t xml:space="preserve"> Item No.         Description                                                                   Unit                       Quantity</t>
  </si>
  <si>
    <t xml:space="preserve"> SALINTUBIG</t>
  </si>
  <si>
    <t xml:space="preserve"> ADDITIONAL REQUIREMENTS TO BE COMPLIED ON THE PROCUREMENT OF MEDICINE:</t>
  </si>
  <si>
    <t xml:space="preserve"> Note:  	</t>
  </si>
  <si>
    <t xml:space="preserve"> ATTACHED POW</t>
  </si>
  <si>
    <t xml:space="preserve"> A complete set of Bidding Documents may be acquired by interested bidders on AUGUST 17, 2020 to SEPTEMBER 8,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</si>
  <si>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INVITATION TO BID FOR</t>
  </si>
  <si>
    <t xml:space="preserve"> 1	unit	PASSENGER VAN (for conversion into an ambulance and fitted with necessary medical equipment and apparatus)</t>
  </si>
  <si>
    <t xml:space="preserve"> BID TENDER												</t>
  </si>
  <si>
    <t xml:space="preserve"> To be Open on September 2,2020 at Barangay Hall at 2:00pm.</t>
  </si>
  <si>
    <t xml:space="preserve"> 1.   A complete set of Bidding Documents may be purchased by interested Bidders from the address below starting on August 17, 2020 and upon payment of a nonrefundable fee for the Bidding Documents in the amount of Five Hundred Pesos (P500.00) at the Municipal Treasury Office, Amdalao, Guinaang, Pasil, Kalinga.   					</t>
  </si>
  <si>
    <t xml:space="preserve"> Other details, visit BAC Office at Multi Purpose Hall, Brgy. San Roque, Alaminos City, Pangasinan</t>
  </si>
  <si>
    <t xml:space="preserve"> https://drive.google.com/file/d/17SGmoB-hcY6RCBxQMfb49Orx_LcRhoCG/view?usp=drivesdk</t>
  </si>
  <si>
    <t xml:space="preserve"> 3	unit  Medical Ambulance				</t>
  </si>
  <si>
    <t xml:space="preserve"> Submission of Bids before 10 a.m. of August 26, 2020</t>
  </si>
  <si>
    <t xml:space="preserve"> https://drive.google.com/file/d/1V9HjLSBDYLdLMf9wwxsN6y1GvNdbmAKx/view?usp=drivesdk</t>
  </si>
  <si>
    <t xml:space="preserve"> https://drive.google.com/file/d/1mf32NJUOrxg8EUB4QhKlRZV8HDRPthFY/view?usp=drivesdk</t>
  </si>
  <si>
    <t xml:space="preserve"> Deadline of Submission of BIDDING DOCUMENTS SEPTEMBER 9 2020 10:00AM</t>
  </si>
  <si>
    <t xml:space="preserve"> https://drive.google.com/file/d/17-XO7XvDxsDjYd8FjArxZ3mrrPilAWti/view?usp=drivesdk</t>
  </si>
  <si>
    <t xml:space="preserve"> https://drive.google.com/file/d/16jr1fgaNc1XAivn1yXeOd5qxukIb4Uxd/view?usp=drivesdk</t>
  </si>
  <si>
    <t xml:space="preserve"> THE SUPPLIER MUST DOWNLOAD THE ATTACHED DOCUMENTS IN THE ASSOCIATED COMPONENT.</t>
  </si>
  <si>
    <t xml:space="preserve"> THE SUPPLIER MUST DOWNLOAD THE ATTACHED DOCUMENTS IN THE ASSOCIATED COMPONENTS.</t>
  </si>
  <si>
    <t xml:space="preserve"> PLEASE SEE ATTACHED ASSOCIATED COMPONENT</t>
  </si>
  <si>
    <t xml:space="preserve"> Please visit the BSP website for complete set of bidding documents or you may request thru email at ubaldomc@bsp.gov.ph.</t>
  </si>
  <si>
    <t xml:space="preserve"> https://drive.google.com/file/d/1gxLjyD4JRo8sJQpFlF1xJdZWrbJH3Kr0/view?usp=drivesdk</t>
  </si>
  <si>
    <t xml:space="preserve"> https://drive.google.com/file/d/1k_cVMCbTAgE09B4zA9IL-YLOtSYov08R/view?usp=drivesdk</t>
  </si>
  <si>
    <t xml:space="preserve"> https://drive.google.com/file/d/1IIAascXE-Ba4R6WhoiGVjKEuBtXFoBSZ/view?usp=drivesdk</t>
  </si>
  <si>
    <t xml:space="preserve"> https://drive.google.com/file/d/1yvkqkRzjj-lDmhn2xb14kaUTF1qM6tbw/view?usp=drivesdk</t>
  </si>
  <si>
    <t xml:space="preserve"> Please see associated files attached.</t>
  </si>
  <si>
    <t xml:space="preserve"> https://drive.google.com/file/d/1nh1gZiicwz7zgaYXa35vgLtMGcdo6NWy/view?usp=drivesdk</t>
  </si>
  <si>
    <t xml:space="preserve"> • Similar Contracts: Lease of Modular Diesel Generating Sets or Operation and Maintenance (O &amp; M) of Diesel Generating Sets</t>
  </si>
  <si>
    <t xml:space="preserve"> • Similar Contracts:Supply and Delivery of Diesel / Bunker Generating Sets or Mechanical and/or Electrical Parts / Components / Equipment for Diesel Generating Sets</t>
  </si>
  <si>
    <t xml:space="preserve"> Below is the link of the Bidding Document for this Project.</t>
  </si>
  <si>
    <t xml:space="preserve"> https://drive.google.com/file/d/1l64ha01EhjYxQEKVR0n0je1g0tT3c5gr/view?usp=drivesdk</t>
  </si>
  <si>
    <t xml:space="preserve"> Please copy the link below and paste it on new tab:</t>
  </si>
  <si>
    <t xml:space="preserve"> For pre-bid conference:</t>
  </si>
  <si>
    <t xml:space="preserve"> For the pre-bid conference:</t>
  </si>
  <si>
    <t xml:space="preserve"> For inquiry proceed to barangay hall of Barangay Panghayaan Taysan Batangas</t>
  </si>
  <si>
    <t xml:space="preserve"> Please refer to the attached bidding document for reference</t>
  </si>
  <si>
    <t xml:space="preserve"> For inquiry proceed to Barangay Hall at Barangay Panghayaan Taysan Batangas</t>
  </si>
  <si>
    <t xml:space="preserve"> BARANGAY RITAGLENDA, BASILISA, DINAGAT ISLANDS</t>
  </si>
  <si>
    <t xml:space="preserve"> NOTE TO PROSPECTIVE BIDDER/SUPPLIER</t>
  </si>
  <si>
    <t xml:space="preserve"> Pre-Bid Conference - August 20, 2020 at 2:00 PM</t>
  </si>
  <si>
    <t xml:space="preserve"> NOTICE TO PROSPECTIVE BIDDER/SUPPLIER</t>
  </si>
  <si>
    <t xml:space="preserve"> Bidding requirements of non-refundable in the amount of P10, 000.00</t>
  </si>
  <si>
    <t xml:space="preserve"> Opening of Bids: September 4, 2020</t>
  </si>
  <si>
    <t xml:space="preserve"> A complete set of Bidding Documents may be acquired by interested Bidders on August 17, 2020 from the address below and upon payment of the applicable fee for the Bidding Documents, pursuant to the latest Guidelines issued by the GPPB, in the amount of One Thousand Pesos (Php500.00).</t>
  </si>
  <si>
    <t xml:space="preserve"> https://drive.google.com/file/d/1UdDAgDKJ7AJktyXtYABEe84zqiIGi6zO/view?usp=drivesdk</t>
  </si>
  <si>
    <t xml:space="preserve"> For 1 Sanitary Toilet</t>
  </si>
  <si>
    <t xml:space="preserve"> ITEM No.	QTY.	UNIT	DESCRIPTION				</t>
  </si>
  <si>
    <t xml:space="preserve"> RFQs and documentary requirements may be submitted at the BAC Office or at email address at wvsbac.procurement@gmail.com on or before August 21, 2020, 5:00 pm.</t>
  </si>
  <si>
    <t xml:space="preserve"> https://drive.google.com/file/d/11KyUJM2cd0B8YurCq47RFEoj_JerEUsh/view?usp=drivesdk</t>
  </si>
  <si>
    <t xml:space="preserve"> Pre-bid conference will be on August 24, 2020, 2:00 pm at MPDO, Municipal Hall, Sibulan, Negros Oriental and opening of bids will be on September 7, 2020, 2:00 pm at the same venue.</t>
  </si>
  <si>
    <t xml:space="preserve"> https://drive.google.com/file/d/1VyjTa07vzGdPihWPkz7N51pgCsLzGDqs/view?usp=drivesdk</t>
  </si>
  <si>
    <t xml:space="preserve"> ITB, Bidding Documents and RFQ can be download in the Associated Components.</t>
  </si>
  <si>
    <t xml:space="preserve"> https://drive.google.com/file/d/1CGdtHGJAcIjcYH3YXhCby4bCJ0cie2XR/view?usp=drivesdk</t>
  </si>
  <si>
    <t xml:space="preserve"> FOR MORE INFORMATION AND DETAILS, PLEASE CONTACT BRGY. NAPNAPAN NORTE BIDS AND AWARDS COMMITTEE, BRGY. NAPNAPAN NORTE HALL C/O BRGY. SECRETARY CECILIA CAIN WITH CELLPHONE NO. </t>
  </si>
  <si>
    <t xml:space="preserve"> FIRST ENVELOPE (ELIGIBILITY &amp; TECHNICAL COMPONENTS) </t>
  </si>
  <si>
    <t xml:space="preserve"> 1	unit	Wheeled Backhoe				</t>
  </si>
  <si>
    <t xml:space="preserve"> 1	unit	Brand New Small Bulldozer				</t>
  </si>
  <si>
    <t xml:space="preserve"> Please see attached ITB and Bid Documents</t>
  </si>
  <si>
    <t xml:space="preserve"> 1.	Issuance of bid documents is on August 15, 2020 until 9:00 am of August 26, 2020 (working days only).</t>
  </si>
  <si>
    <t xml:space="preserve"> Please check/see other associated components.</t>
  </si>
  <si>
    <t xml:space="preserve"> Please see attached Documents.</t>
  </si>
  <si>
    <t xml:space="preserve"> https://drive.google.com/file/d/1sLqyUxKYsQBue8FEWSMGf_e4zjrmuGCZ/view?usp=drivesdk</t>
  </si>
  <si>
    <t xml:space="preserve"> ITB20-08-032B</t>
  </si>
  <si>
    <t xml:space="preserve"> ITB20-08-032A</t>
  </si>
  <si>
    <t xml:space="preserve"> Please email us on macalinaoelementaryschool@gamail.com for more information.</t>
  </si>
  <si>
    <t xml:space="preserve"> Criselle Mhae Hilario Rele</t>
  </si>
  <si>
    <t xml:space="preserve"> Also available in DPWH Website. Thank you.</t>
  </si>
  <si>
    <t xml:space="preserve"> No responsive bid received.</t>
  </si>
  <si>
    <t xml:space="preserve"> BAC Office, LGU-Leon B. Postigo, Z.N.</t>
  </si>
  <si>
    <t xml:space="preserve"> Labor by administration</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</si>
  <si>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</si>
  <si>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For more information, please call the BAC Secretariat Section Office at telephone nos. 8522-7252 / 5335-1777 or 87 loc. 397.</t>
  </si>
  <si>
    <t xml:space="preserve"> BIDDER MUST DOWNLOAD THE ATTACHED DOCUMENT IN THE ASSOCIATED COMPONENT SECTION.</t>
  </si>
  <si>
    <t xml:space="preserve"> SUPPLIERS/ BIDDERS MUST DOWNLOAD THE ATTACHED DOCUMENT IN ASSOCIATED COMPONENT SECTION.</t>
  </si>
  <si>
    <t xml:space="preserve"> BAC ACTIVITIES	SCHEDULE</t>
  </si>
  <si>
    <t xml:space="preserve"> for furthers information please see attached and link of bidding document or contact BAC Secretariat.</t>
  </si>
  <si>
    <t xml:space="preserve"> Kindly see the specification</t>
  </si>
  <si>
    <t xml:space="preserve"> for further information please see attached and link of bidding documents or contact BAC Secretariat.</t>
  </si>
  <si>
    <t xml:space="preserve"> 1. Pre-Bid Conference: August 24, 2020, 2:00PM at the Municipal Conference Hall, Galimuyod, Ilocos Sur</t>
  </si>
  <si>
    <t xml:space="preserve"> See Attachment</t>
  </si>
  <si>
    <t xml:space="preserve"> Bidding Documents will be available to prospective bidders who will purchase the bidding documents from the office of the Municipal Treasurer of the Local Government Unit of Magpet..</t>
  </si>
  <si>
    <t xml:space="preserve"> Bid Opening on August 26, 2020 at 9:00A.M. at the Municipal Function Hall</t>
  </si>
  <si>
    <t xml:space="preserve"> 1. Pre-Bid Conference: August 24, 2020, 2:00PM at the Municipal Conference Hall, Galimuyod, Ilocos Sur.</t>
  </si>
  <si>
    <t xml:space="preserve"> PR 0086-20 (P181,650.00)</t>
  </si>
  <si>
    <t xml:space="preserve"> Bidding documents will be available to prospective Bidders who will purchase the bidding Documents to the office of the Municipal Treasurer of the LOcal Government Unit of Magpet</t>
  </si>
  <si>
    <t xml:space="preserve"> PLEASE COPY AND PASTE IN THE BROWSER THE LINK BELOW TO VIEW RFQ OR CANVASS:</t>
  </si>
  <si>
    <t xml:space="preserve"> https://drive.google.com/file/d/1-tCg9xke2RyC3Rplf5zrTgTT_y5I2Nnf/view?usp=drivesdk</t>
  </si>
  <si>
    <t xml:space="preserve"> Bidding Documents will be available to prospective bidders who will purchase the bidding Documents to the office of the Muncipal Treasurer of the Local Government Unit of Magpet</t>
  </si>
  <si>
    <t xml:space="preserve"> PR 0095-20 (P604,060.00)</t>
  </si>
  <si>
    <t xml:space="preserve"> The ERC now invites suppliers to submit their best offer or quotation for the contract which must be delivered in a sealed envelope to:</t>
  </si>
  <si>
    <t xml:space="preserve"> YOU CAN CONTACT THE SECRETARIAT DURING OFFICE HOURS</t>
  </si>
  <si>
    <t xml:space="preserve"> 8.For further information, please refer to:</t>
  </si>
  <si>
    <t xml:space="preserve"> Bidding is on September 4, 2020 at 10:00 AM at the Conference Hall, Siniloan Municipal Hall</t>
  </si>
  <si>
    <t xml:space="preserve"> Bidding is on September 4, 2020 at 10:00 AM at the Conference Hall, Siniloan Municipal Office</t>
  </si>
  <si>
    <t xml:space="preserve"> Bidding Documents  amount is Php 1000.00.</t>
  </si>
  <si>
    <t xml:space="preserve"> Bidding Documents amount is Php 500.00.</t>
  </si>
  <si>
    <t xml:space="preserve"> kindly download the attached bidding documents for requirements and specifications.</t>
  </si>
  <si>
    <t xml:space="preserve"> Implementation Arrangement pls. contact: JUDITTE L. ASUNCION</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</si>
  <si>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</si>
  <si>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1.  1,800 pcs      Washable Face Mask (with LGU Logo) green/pink</t>
  </si>
  <si>
    <t xml:space="preserve"> Mayors per</t>
  </si>
  <si>
    <t xml:space="preserve"> ttps://drive.google.com/file/d/1B7PpofML3-gSQXsaQjQ3sEVGXpd1UwYp/view?usp=drivesdk</t>
  </si>
  <si>
    <t xml:space="preserve"> Suppliers must download the attached document in the associated component section, or you may also download the attachments at the OSG website : www.osg.gov.ph</t>
  </si>
  <si>
    <t xml:space="preserve"> Instruction to Bidders:</t>
  </si>
  <si>
    <t xml:space="preserve"> to be delivered on site</t>
  </si>
  <si>
    <t xml:space="preserve"> The Works consists of Concreting of 291 , long x 4.00m wide x 0.20m THK and 190.85m long x 6.10m wide by 0.20m thk plain PCCP Provincial Road; Provision of 18.0m (92.60cu.m.) stone masonry headwall catch basin &amp; apron and laying of 25 l.m ø910mm RCPC.</t>
  </si>
  <si>
    <t xml:space="preserve"> 1. Issuance of Bid Documents August 17 to August 31, 2020 9:00 AM</t>
  </si>
  <si>
    <t xml:space="preserve"> The Works consists of Provision of 82.5 l.m. stone masonry slope protection structure, 9 l.m headwall, 2-units apron, 2-units catch basin, 29.3 l.m. reinforced concrete canal lining and 24 l.m. 910mmø RCPC.</t>
  </si>
  <si>
    <t xml:space="preserve"> The BAC will use NON-DISCRETIONARY PASS/FAIL CRITERIA in the Eligibility Check/Screening as well as the Preliminary Examination of Bids.  The BAC will conduct post-qualification of the lowest calculated bid.</t>
  </si>
  <si>
    <t xml:space="preserve"> https://drive.google.com/file/d/1Pl9M4DgRWJbtlKF3BeBiAM9F_hqZ1tw-/view?usp=drivesdk</t>
  </si>
  <si>
    <t xml:space="preserve"> https://drive.google.com/file/d/1cZcyIkZMOfx-VNwRJRk40ikyRCAeHHwf/view?usp=drivesdk</t>
  </si>
  <si>
    <t xml:space="preserve"> The Works consists of Provision of One pc. Ø910mm RCPC with 38 l.m. (388.46 cu.m.) rubble concrete protection structure, 12.20 lm. (35.41 cu.m.) stone masonry headwall &amp; slope protection structure, 40 l.m. 88.0cu.m.) Gabion w/ mattress bedding and 5.70 l.m. (4.42 cu.m.) Grouted Riprap spillway flooring.</t>
  </si>
  <si>
    <t xml:space="preserve"> BID OPENING: SEPTEMBER 2, 2020  1:00 PM   BAC OFFICE, MUNICIPAL HALL, STA. MARCELA, APAYAO</t>
  </si>
  <si>
    <t xml:space="preserve"> Pre-Bid Conference  - August 26, 2020, 9:30 A.M. at ABc Conference Room, Municipal Hall Building, Lingayen, Pangasinan</t>
  </si>
  <si>
    <t xml:space="preserve"> The Works consists of Provision of 61.00 l.m. grouted riprap, 61.00 l.m. rubble concrete, 36.2 l.m. stone masonry slope protection structure, 149 l.m. curb &amp; gutter and 246.2 l.m. concrete shoulder.</t>
  </si>
  <si>
    <t xml:space="preserve"> https://drive.google.com/file/d/1d62RiLDkVsQcxJA6Qiba0ku7Q2EeXLT-/view?usp=drivesdk</t>
  </si>
  <si>
    <t xml:space="preserve"> https://drive.google.com/file/d/1Rx_4rolo6cWWZ0TgSB-chXcIT7chRNu3/view?usp=drivesdk</t>
  </si>
  <si>
    <t xml:space="preserve"> • PR Nos.: S3-MOD20-018, S4-PIC20-018, S4-WMG20-003, HO-PAW20-007 </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</si>
  <si>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</si>
  <si>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FOR INQUIRY PLEASE PROCEED TO BAC OFFICE</t>
  </si>
  <si>
    <t xml:space="preserve"> Interested bidders must download the bidding documents in this link:</t>
  </si>
  <si>
    <t xml:space="preserve"> FOR MORE INFORMATION AND DETAILS, PLEASE CONTACT BRGY. NAPNAPAN NORTE BIDS AND AWARDS COMMITTEE, BRGY. NAPNAPAN NORTE HALL C/O BRGY. SECRETARY CECILIA CAIN WITH CELLPHONE NO.</t>
  </si>
  <si>
    <t xml:space="preserve"> https://drive.google.com/file/d/1wmy4fRHuJWFihZWo5NGT6_ygDj0OavJE/view?usp=drivesdk</t>
  </si>
  <si>
    <t xml:space="preserve"> 1	328	boxes	Azithromycin 3's/box	</t>
  </si>
  <si>
    <t xml:space="preserve"> https://drive.google.com/file/d/14yUYvunYvOJd65SetxE1FuoCLvUVfJft/view?usp=drivesdk</t>
  </si>
  <si>
    <t xml:space="preserve"> https://drive.google.com/file/d/1ohc_cz5sSEFUnaET6l-xqJ34IND0tNQW/view?usp=drivesdk</t>
  </si>
  <si>
    <t xml:space="preserve"> https://drive.google.com/file/d/1Xq-6qxFJK5PJ_Npl80SMeSxmDKAcypYS/view?usp=drivesdk</t>
  </si>
  <si>
    <t xml:space="preserve"> for more information just contact barangay secretariat of Barangay Linobayan Tigbauan, Iloilo</t>
  </si>
  <si>
    <t xml:space="preserve"> https://drive.google.com/file/d/1c9gW3SQ8g4DqJ2Sr-3_Kp9bHlEMh40TR/view?usp=drivesdk</t>
  </si>
  <si>
    <t xml:space="preserve"> BAC Activity Schedule:</t>
  </si>
  <si>
    <t xml:space="preserve"> Issuance of Bid Documents  : 8:00AM - 5:00PM August 13, 2020 to 8:00AM - 09:30AM, September 02, 2020</t>
  </si>
  <si>
    <t xml:space="preserve"> Equipment Requirement:</t>
  </si>
  <si>
    <t xml:space="preserve"> The BAC is conducting the public bidding for this Contract in accordance with the 2016 Revised IRR of RA 9184.</t>
  </si>
  <si>
    <t xml:space="preserve"> 1.	Bidders should have completed a contract similar to the Project. The description of an eligible bidder is contained in the Bidding Documents, particularly, in Section 2. Instructions to Bidders.</t>
  </si>
  <si>
    <t xml:space="preserve"> A complete set of bidding document may be purchased by interested bidders on August 13, 2020 to September 01, 2020 from the address below upon payment of a non-refundable fee for the bidding documents in the amount of P500.00</t>
  </si>
  <si>
    <t xml:space="preserve"> Bidder must download the attached documents in Associated Components.</t>
  </si>
  <si>
    <t xml:space="preserve"> Contact:</t>
  </si>
  <si>
    <t xml:space="preserve"> 2	pcs 	Panel Door - 0.80 x 2.10 Solid Core</t>
  </si>
  <si>
    <t xml:space="preserve"> https://drive.google.com/file/d/1XON-fMntV6Zx72-NN9u5Dw5KwDuUPSYy/view?usp=drivesdk</t>
  </si>
  <si>
    <t xml:space="preserve"> For Particulars: Inquire at the Bac Secretariat of Barangay San Rafael, Atimonan, Quezon</t>
  </si>
  <si>
    <t xml:space="preserve"> Item Number	Description	Quantity	Unit</t>
  </si>
  <si>
    <t xml:space="preserve"> 1.	All interested bidders/suppliers may now submit Eligibility Documents and other documents.</t>
  </si>
  <si>
    <t xml:space="preserve"> • PR Nos.: S3-BAD20-013, S3-BAD20-011, S3-CTW20-023, S3-TAU20-003, S3-SIT20-001 </t>
  </si>
  <si>
    <t xml:space="preserve"> Please Contact BAC Sec at</t>
  </si>
  <si>
    <t xml:space="preserve"> 1	Barber chair (Revolving)	Unit 	3		</t>
  </si>
  <si>
    <t xml:space="preserve"> Please use this link below for the bidding documents.</t>
  </si>
  <si>
    <t xml:space="preserve"> Please use this link blow for the bidding documents.</t>
  </si>
  <si>
    <t xml:space="preserve"> Please use link below for the bidding documents.</t>
  </si>
  <si>
    <t xml:space="preserve"> Opening of Bids: September 2, 2020</t>
  </si>
  <si>
    <t xml:space="preserve"> Qnty  Unit  Item Description</t>
  </si>
  <si>
    <t xml:space="preserve"> Please Contact BAC Secretraiat @ </t>
  </si>
  <si>
    <t xml:space="preserve"> For further information about the project, please contact Brgy. Balirong through the given contact number.</t>
  </si>
  <si>
    <t xml:space="preserve"> bring the following buying bid documents:</t>
  </si>
  <si>
    <t xml:space="preserve"> 1  lot Disinfection and Sanitization Services</t>
  </si>
  <si>
    <t xml:space="preserve"> For further information, please refer to:		</t>
  </si>
  <si>
    <t xml:space="preserve"> https://drive.google.com/file/d/1QsIN0HApwULL8BF7Syoowqrn8xTu3NBo/view?usp=drivesdk</t>
  </si>
  <si>
    <t xml:space="preserve"> 20,000 pouch/box Fortified Powdered Milk Drink</t>
  </si>
  <si>
    <t xml:space="preserve"> 1. Submission of canvass on or before August 26, 2020 @2:00 P.M.</t>
  </si>
  <si>
    <t xml:space="preserve"> Bid Opening</t>
  </si>
  <si>
    <t xml:space="preserve"> BIDDERS MUST BE FROM WITHIN THE PROVINCE OF ZAMBOANGA DEL NORTE AND MUST HAVE A PHYSICAL OFFICE WITHIN THE MENTIONED PROVINCE</t>
  </si>
  <si>
    <t xml:space="preserve"> The Works consists of Provision of 9.00 length by 7.475m wide Flat Slab Bridge, 20 pcs. Ø910mm RCPC with 11.28 l.m. (12.768 cu.m.) stone masonry headwall, 14.726 l.m. (27.51 cu.m.) stone masonry protection structure, 53.483 cu.m. stone masonry apron w/ buffle and sidewall , 818.52 cu.m. rubble concrete, 5.-0.13 cu.m. grouted riprap, concreting of 73.78 sq.m. x 0.20m thick reinforced PCCP and 6.0m long x 5.0m wide overflow bridge  (detour).</t>
  </si>
  <si>
    <t xml:space="preserve"> https://drive.google.com/file/d/1HXHfZx4Hc3Z0B70t8z_xfNnheefziIp1/view?usp=drivesdk</t>
  </si>
  <si>
    <t xml:space="preserve"> SUPPLY AND DELIVERY OF VARIOUS TOOLS AND MATERIALS FOR DEPW </t>
  </si>
  <si>
    <t xml:space="preserve"> The Works consists of Completion of 13.75m x 45.25m Ancillary Building with Water Tank.</t>
  </si>
  <si>
    <t xml:space="preserve"> PRE-BID  :  AUGUST 20,2020 - 10:00 AM</t>
  </si>
  <si>
    <t xml:space="preserve"> For more details, please contact Barangay Captain Lucita B. Jumawan with her Mobile No. 09483388096.</t>
  </si>
  <si>
    <t xml:space="preserve"> The Works consists of Construction of 10.10m x 3.00m covered pathway.</t>
  </si>
  <si>
    <t xml:space="preserve"> The DPWH, MNDEO - BAC is conducting the public bidding for this Contract in accordance with Republic Act No. 9184 and its Implementing Rules and Regulations (IRR).</t>
  </si>
  <si>
    <t xml:space="preserve"> The Works consists of Provision of 288.25 lm. CHB Canal Lining 110.00l.m. concrete shoulder 58 l.m. stone masonry slope protection structure,14.4l.m. stone masonry headwall, 3 units catch basin, 3 units apron and 25 pcs ø910mm RCPC.</t>
  </si>
  <si>
    <t xml:space="preserve"> Bids received in excess of the ABC shall be automatically rejected at bid opening.</t>
  </si>
  <si>
    <t xml:space="preserve"> 1	Submission of Letter of Intent						August 13-20,2020		</t>
  </si>
  <si>
    <t xml:space="preserve"> Vehicles Specifications; Elf, 4 cylinder Engine, Six Wheelers, Six Studs @ 1,300,00.00 and Forklift 4.5 tons Cap. @ 500,000.00</t>
  </si>
  <si>
    <t xml:space="preserve"> FOR MORE INFO AND CLARIFICATION, SEE HEAD-BAC SECRETARIAT, ENGR. CATHERINE B. CAPILI AT ENGINEERING OFFICE (LGU DULAG) FROM MONDAY TO FRIDAY (8:00 A.M. TO 5:00 P.M.)</t>
  </si>
  <si>
    <t xml:space="preserve"> https://drive.google.com/file/d/1xO2cIiGOdywjn_S0Qin_Jj-L6Mdw2tWT/view?usp=drivesdk</t>
  </si>
  <si>
    <t xml:space="preserve"> 1. Submission of canvass on or before August 12, 2020 @ 2:00 P.M.</t>
  </si>
  <si>
    <t xml:space="preserve"> https://drive.google.com/file/d/1xcj33IBes2rN5XBk8K-pDMLKskf-m-1J/view?usp=drivesdk</t>
  </si>
  <si>
    <t xml:space="preserve"> https://drive.google.com/file/d/1_RJm3QSxiafjQhx2deerN3Eu-E3CnRqy/view?usp=drivesdk</t>
  </si>
  <si>
    <t xml:space="preserve"> BID OPENING: SEPTEMBER 1, 2020  1:00 PM   BAC OFFICE, MUNICIPAL HALL, STA. MARCELA, APAYAO</t>
  </si>
  <si>
    <t xml:space="preserve"> INQUIRE AT BAC OFFICE, MUNICIPAL HALL, TAMBULIG, ZAMBOANGA DEL SUR</t>
  </si>
  <si>
    <t xml:space="preserve"> N/A</t>
  </si>
  <si>
    <t xml:space="preserve"> https://drive.google.com/file/d/1e8M0OoS2iQm-Hf5v09onN9FtC-xvGV-U/view?usp=drivesdk</t>
  </si>
  <si>
    <t xml:space="preserve"> FOR MORE INFO AND CLARIFICATION, PLEASE SEE HEAD-BAC SECRETARIAT, ENGR. CATHERINE B. CAPILI AT ENGINEERING OFFICE (LGU-DULAG) FROM MONDAY TO FRIDAY (8:00 A.M. TO 5:00 P.M.)</t>
  </si>
  <si>
    <t xml:space="preserve"> https://www.philgeps.gov.ph/GEPSNONPILOT/Tender/CreateNoticeStep2UI.aspx?RefID=7172697</t>
  </si>
  <si>
    <t xml:space="preserve"> The Works consists of Construction of 7.50m x 12.80m health building.</t>
  </si>
  <si>
    <t xml:space="preserve"> Schedule of Bidding Activities:</t>
  </si>
  <si>
    <t xml:space="preserve"> See the attached Technical and Special Conditions</t>
  </si>
  <si>
    <t xml:space="preserve"> 1	1	unit	Turck mounted boom crane with manlift basket	</t>
  </si>
  <si>
    <t xml:space="preserve"> 3.	https://drive.google.com/file/d/1LYr27ueqrN1q6E7b8GZFEEYtfCIvqogr/view?usp=drivesdk</t>
  </si>
  <si>
    <t xml:space="preserve"> https://drive.google.com/file/d/1ykPZHkx1tYfhKpKSLfKG9AYBWIO9UKAr/view?usp=drivesdk</t>
  </si>
  <si>
    <t xml:space="preserve"> https://drive.google.com/file/d/10WDWviM4yNANVrvHAKOB8YPAOdjGCfQb/view?usp=drivesdk</t>
  </si>
  <si>
    <t xml:space="preserve"> • Similar Contracts: Supply and delivery of various Personnel Protective Equipment (PPE) and/or any two (2) similar items under this contract</t>
  </si>
  <si>
    <t xml:space="preserve"> THE BAC WILL ISSUE PROSPECTIVE BIDDER BIDDING DOCUMENTS AT THE MUNICIPALITY OF BACOLOR, BACOLOR, PAMPANGA UPON THEIR PAYMENT OF A NON REFUNDABLE AMOUNT OF P 5,000.00 TO THE BAC SECRETARIAT, THE MUNICIPALITY OF BACOLOR ASSUMES NO RESPONSIBILITY WHATSOEVER TO COMPENSATE OR IDENTIFY BIDDERS FOR ANY EXPENSES INCURRED IN THE PREPARATION OF THEIR BIDS.</t>
  </si>
  <si>
    <t xml:space="preserve"> https://drive.google.com/file/d/1TgDjgEUbnDfvBrFYwE67eXYSiYZ5B4a0/view?usp=drivesdk</t>
  </si>
  <si>
    <t xml:space="preserve"> For inquiries you may contact the BAC Secretariat at (082) 227-4073/2463 local 1142 or 0923-7216533/0917-3156929/0999-8878095(call only) local 1142 Email address: proc_chd11@yahoo.com.ph</t>
  </si>
  <si>
    <t xml:space="preserve"> • Similar Contracts: Supply, delivery, installation and test of outdoor, three phase Automatic Circuit Recloser / Breaker intended for 15kV and above</t>
  </si>
  <si>
    <t xml:space="preserve"> Proposed Seawall is funded by GOP through Local Government Support Fund of FY 2020</t>
  </si>
  <si>
    <t xml:space="preserve"> • Similar Contracts: Supply, Delivery, Installation, Configuration and Testing of Data Analytics License and/or enterprise application software</t>
  </si>
  <si>
    <t xml:space="preserve"> PLEASE COMPLY WITH THE SEALING OF ENVELOPS</t>
  </si>
  <si>
    <t xml:space="preserve"> For project survey of various CY 2020 BARMM - Regular Infra Projects (Month of August)</t>
  </si>
  <si>
    <t xml:space="preserve"> FOR MORE INFORMATION PLEASE CONTRACT ARLAINE M. DE VERA, BAC SECRETARIAT AT (075) 955-5862 OR EMAIL AT arlainemdevera@gmail.com</t>
  </si>
  <si>
    <t xml:space="preserve"> BILL OF QUANTITIES</t>
  </si>
  <si>
    <t xml:space="preserve"> BID FORM</t>
  </si>
  <si>
    <t xml:space="preserve"> https://drive.google.com/file/d/1hauPir2L9ow9hOyFy2BWn6M3LOgMtU5S/view?usp=drivesdk</t>
  </si>
  <si>
    <t xml:space="preserve"> copy this link to google drive to download bidding documents:</t>
  </si>
  <si>
    <t xml:space="preserve"> https://drive.google.com/file/d/1haSm5evaj4brV31HWbzXFAcq-P5Wsb9X/view?usp=drivesdk</t>
  </si>
  <si>
    <t xml:space="preserve"> 1.         1 ROLL ACETATE, THICKNESS: 0.075MM MIN (GAUGE #3)</t>
  </si>
  <si>
    <t xml:space="preserve"> https://drive.google.com/file/d/1YSGaS6_gOzBk9oq9XRwSQcdVKxjUraGi/view?usp=drivesdk</t>
  </si>
  <si>
    <t xml:space="preserve"> copy this link to google drive to download bidding documens:</t>
  </si>
  <si>
    <t xml:space="preserve"> Note:  * Re-bid projects		</t>
  </si>
  <si>
    <t xml:space="preserve"> https://drive.google.com/file/d/1AzkkDvMMCTi0LicZqOG3UHOyNZTMF16Y/view?usp=drivesdk</t>
  </si>
  <si>
    <t xml:space="preserve"> Please see attached Blank POW and Blank DE for reference.</t>
  </si>
  <si>
    <t xml:space="preserve"> 1 15 Pair attack shoes 5mm high cut 75,000.00 </t>
  </si>
  <si>
    <t xml:space="preserve"> Manuel Marcos Sr., Mem. E/S, Barangay Bayani		</t>
  </si>
  <si>
    <t xml:space="preserve"> https://drive.google.com/file/d/1CFyNkVrl5P8oXUnGfERm18bOvnUr5Y28/view?usp=drivesdk</t>
  </si>
  <si>
    <t xml:space="preserve"> Inclusion:</t>
  </si>
  <si>
    <t xml:space="preserve"> 1. Issuance of Bidding Documents	:	August 12, 2020 to September 02, 2020</t>
  </si>
  <si>
    <t xml:space="preserve"> Pls. see attached PDF file.</t>
  </si>
  <si>
    <t xml:space="preserve"> Bidding documents:</t>
  </si>
  <si>
    <t xml:space="preserve"> 1 3 Unit Circular Saw - with blades 30,000.00 </t>
  </si>
  <si>
    <t xml:space="preserve"> Pls. see attached PDF File.</t>
  </si>
  <si>
    <t xml:space="preserve"> Please check links below to download Plan.</t>
  </si>
  <si>
    <t xml:space="preserve"> Please inquire at the Office of BAC Secretariat for more details.</t>
  </si>
  <si>
    <t xml:space="preserve"> Lot No.	                                                         ABC per LOT Item             Amount of Bid Document</t>
  </si>
  <si>
    <t xml:space="preserve"> Issuance of bid documents - August 12, 2020 to September 1, 2020</t>
  </si>
  <si>
    <t xml:space="preserve"> Bidders must download the attached documents in the associated component section.</t>
  </si>
  <si>
    <t xml:space="preserve"> Note: Please copy the link below and paste to the web browser for the attached set of Bidding Documents.</t>
  </si>
  <si>
    <t xml:space="preserve"> CHECKLIST OF REQUIREMENTS FOR BIDDERS</t>
  </si>
  <si>
    <t xml:space="preserve"> The Local Government Unit of Barangay Mambago-B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</si>
  <si>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Allopurinol 100mg		2	bxs</t>
  </si>
  <si>
    <t xml:space="preserve"> - All interested PCAB Licensed Contractors are advised to inquire at the Municipal Engineering Office for verification of plans, specifications, items of work and other matters pertaining to this procurement.</t>
  </si>
  <si>
    <t xml:space="preserve"> The Region II Trauma and Medical Center will be conducting the Negotiation on     August 19, 2020 at 2:00 PM at the MCC Conference Room, 2nd Floor Old Administration Building, Region II Trauma and Medical Center, Brgy. Magsaysay, Bayombong, Nueva Vizcaya.</t>
  </si>
  <si>
    <t xml:space="preserve"> LINE ITEM DETAILS:</t>
  </si>
  <si>
    <t xml:space="preserve"> 1	lot	Earthworks</t>
  </si>
  <si>
    <t xml:space="preserve"> https://drive.google.com/file/d/1rRNv1UTuhwloo3YbRJHehezN3ewB2W7e/view?usp=drivesdk</t>
  </si>
  <si>
    <t xml:space="preserve"> 2.	https://drive.google.com/file/d/1GWtt4W_7H2_xH76rjZVVFZkUIOrcKcA5/view?usp=drivesdk</t>
  </si>
  <si>
    <t xml:space="preserve"> 1.	https://drive.google.com/file/d/1Ehq8wU2mNRFmkSJaPGkq2FY-AZBSSnBA/view?usp=drivesdk</t>
  </si>
  <si>
    <t xml:space="preserve"> 100 unit Laptop</t>
  </si>
  <si>
    <t xml:space="preserve"> 1	4	units	LED WORKLIGHT	</t>
  </si>
  <si>
    <t xml:space="preserve"> 1. Submission of canvass on or before August 26, 2020 @ 2:00 P.M.</t>
  </si>
  <si>
    <t xml:space="preserve"> https://drive.google.com/file/d/18QOetMeShsT-McqJ8TLjvkAWx7Xeavke/view?usp=drivesdk</t>
  </si>
  <si>
    <t xml:space="preserve"> 1	COMPUTER DESKSTOP W/ ACCESSORIES	5 UNITS</t>
  </si>
  <si>
    <t xml:space="preserve"> NOTE: WEAR FACE MASK AND OBSERVED SOCIAL DISTANCING DURING THE OPENING OF BIDS.</t>
  </si>
  <si>
    <t xml:space="preserve"> Please download the Bidding Requirements using the links below:</t>
  </si>
  <si>
    <t xml:space="preserve"> INTERESTED BIDDERS MAY CONTACT MS. ANGELIKA T. LABAG,  BRGY. DATAL BILA SECRETARIAT OR MS. BELEN JICA @ TELEPHONE NUMBER 0948-8959422</t>
  </si>
  <si>
    <t xml:space="preserve"> For inquiries you may contact the BAC Secretariat at (082) 227-4073/2463 local 1142 or 0923-7216533/0917-3156929/0999-8878095(call only) local 1142</t>
  </si>
  <si>
    <t xml:space="preserve"> https://drive.google.com/file/d/1p_NQoEFDx7_QndMj2MW53mOVIRgo6_j5/view?usp=drivesdk</t>
  </si>
  <si>
    <t xml:space="preserve"> Schedule of Bidding Activities</t>
  </si>
  <si>
    <t xml:space="preserve"> Please see the BAC Chairperson/Secretary for the Bidding Documents.</t>
  </si>
  <si>
    <t xml:space="preserve"> https://drive.google.com/file/d/125NgNt6keFjf5J28CsWVP_OeuNDtLPgd/view?usp=drivesdk</t>
  </si>
  <si>
    <t xml:space="preserve"> https://drive.google.com/file/d/11-agvtYPXyx3Wzi30HMVZCysakw35q3A/view?usp=drivesdk</t>
  </si>
  <si>
    <t xml:space="preserve"> Please call tel # (056) 333-6310 and look for BAC Secretariat or email at mmwd_1978@yahoo.com</t>
  </si>
  <si>
    <t xml:space="preserve"> SOURCE OF FUND: SUPPLEMENTAL BUDGET CY 2019</t>
  </si>
  <si>
    <t xml:space="preserve"> ITB-PROPOSED REHABILITATION OF MULTI-PURPOSE HALL</t>
  </si>
  <si>
    <t xml:space="preserve"> Bid Opening on August 26, 2020 at 9:00A.M at the Municipal Function Hall</t>
  </si>
  <si>
    <t xml:space="preserve"> https://drive.google.com/file/d/1QVp9e4GzrSb3c-StRdiOTjrJJSsIVj5l/view?usp=drivesdk</t>
  </si>
  <si>
    <t xml:space="preserve"> SOURCE OF FUND: 20% MDF CY 2020</t>
  </si>
  <si>
    <t xml:space="preserve"> 1 Collapsible Dryer 24	Unit 960,000.00</t>
  </si>
  <si>
    <t xml:space="preserve"> For further information, please refer to the following:</t>
  </si>
  <si>
    <t xml:space="preserve"> SOURCE OF FUND: 20% MDF CY 2020 &amp; SUPPLEMENTAL BUDGET CY 2019</t>
  </si>
  <si>
    <t xml:space="preserve"> Issuance of Bid Documents  : 8:00AM - 5:00PM August 11, 2020 to 8:00AM - 09:30AM, August 26, 2020</t>
  </si>
  <si>
    <t xml:space="preserve"> Contact Persons: Atty. Chery Sheil T. Valenzuela, Engr. June C. Caberoy</t>
  </si>
  <si>
    <t xml:space="preserve"> Bid documents are available at the office of the Punong Barangay</t>
  </si>
  <si>
    <t xml:space="preserve"> FOR MORE INFO AND CLARIFICATION, PLEASE SEE HEAD-BAC SECRETARIAT,  ENGR. CATHERINE B. CAPILI AT ENGINEERING OFFICE (LGU-DULAG) FROM MONDAY TO FRIDAY (8:00 A.M. TO 5:00 P.M.)</t>
  </si>
  <si>
    <t xml:space="preserve"> ECCD (NCC)</t>
  </si>
  <si>
    <t xml:space="preserve"> Bid Documents are available at the Office of the Punong Barangay</t>
  </si>
  <si>
    <t xml:space="preserve"> A complete set of bidding document may be purchased by interested bidders on August 11, 2020 to September 01, 2020 from the address below upon payment of a non-refundable fee for the bidding documents in the amount of P500.00</t>
  </si>
  <si>
    <t xml:space="preserve"> https://drive.google.com/file/d/10qmpEiHGdSLWe-l0iC3t02nbmDWadgFj/view?usp=drivesdk</t>
  </si>
  <si>
    <t xml:space="preserve"> Procurement of One (1) unit of Vehicle for Administration and for Multipurpose use  of SK Barangay Magallanes </t>
  </si>
  <si>
    <t xml:space="preserve"> Bid Documents are available at the office of the Punong Barangay</t>
  </si>
  <si>
    <t xml:space="preserve"> Schedule of Activities</t>
  </si>
  <si>
    <t xml:space="preserve"> https://drive.google.com/file/d/1AFGFLDMBl_AH6t-pCMVIVD4uFpX_bsul/view?usp=drivesdk</t>
  </si>
  <si>
    <t xml:space="preserve"> https://drive.google.com/file/d/1R-QJPBTylaTSZKPhhmhNFdhqlc_moYaK/view?usp=drivesdk</t>
  </si>
  <si>
    <t xml:space="preserve"> 1	Supply and Delivery of Land Ambulance with Medical Equipment and Accessories (Repeat Order)</t>
  </si>
  <si>
    <t xml:space="preserve"> https://drive.google.com/file/d/18BL24skvCoDUynutRpsB3xl42PA1n2X_/view?usp=drivesdk</t>
  </si>
  <si>
    <t xml:space="preserve"> https://drive.google.com/file/d/1t_GfhpS45YPMtY0diOEmF1Qyl8dy36tD/view?usp=drivesdk</t>
  </si>
  <si>
    <t xml:space="preserve"> https://drive.google.com/file/d/1EiUVEHZMRjqjd2mSYIOLrn5R9cFeMTb1/view?usp=drivesdk</t>
  </si>
  <si>
    <t xml:space="preserve"> https://drive.google.com/file/d/1YAbafVqoO-6rTRHA7AOGLARNdLRPX8w_/view?usp=drivesdk</t>
  </si>
  <si>
    <t xml:space="preserve"> https://drive.google.com/file/d/1RmLJ6a4XgFavvAhEzanOQR92G4AOfgWD/view?usp=drivesdk</t>
  </si>
  <si>
    <t xml:space="preserve"> 1	Submission of Letter of Intent						August 11-17,2020		</t>
  </si>
  <si>
    <t xml:space="preserve"> Bidding Documents Alternative download link: https://drive.google.com/file/d/1SP7BAohhyU5GI4GAAAmXWgVHJNShfbq0/view?usp=drivesdk</t>
  </si>
  <si>
    <t xml:space="preserve"> https://drive.google.com/file/d/15ZlHlTCibaazC9YpX-RIUR_KqwHxQ16F/view?usp=drivesdk</t>
  </si>
  <si>
    <t xml:space="preserve"> FOR HINO DUMP TRUCK: 1137, 1014, 1131, 1046, 1123, 1119, 1124, 1122, 1135, 1061, 1112, 1085, 1086, 1111, 1049, 1090, 1113, 1155, 1156, 1157		</t>
  </si>
  <si>
    <t xml:space="preserve"> RENT TO OWN TO BE PAID FOR 12 MONTHS WITH AN AMOUNT OF 15,000 IN EVERY 30TH DAY OF THE MONTH.</t>
  </si>
  <si>
    <t xml:space="preserve"> Bidding Documents Alternative download link: https://drive.google.com/file/d/19fpsGzMtGG9No1OflFrALne21jCa2Nfw/view?usp=drivesdk</t>
  </si>
  <si>
    <t xml:space="preserve"> I.	DEMOLITION WORKS		</t>
  </si>
  <si>
    <t xml:space="preserve"> NOTE:</t>
  </si>
  <si>
    <t xml:space="preserve"> GUIDELINES:</t>
  </si>
  <si>
    <t xml:space="preserve"> All interested bidders must purchase bid document at Municipal Treasury Office together with the letter of intent before going to the BAC Office, 3rd floor, Municipal Bldg. Abatan, Buguias, Benguet from August 18, 2020 starting 3:00 PM - 4:00 PM.</t>
  </si>
  <si>
    <t xml:space="preserve"> Buyer: K.C. Lacatan</t>
  </si>
  <si>
    <t xml:space="preserve"> Bidding Documents Alternative download link: https://drive.google.com/file/d/1x5U30FV4d1WBJxgOylnbSRnfbvyG-jyT/view?usp=drivesdk</t>
  </si>
  <si>
    <t xml:space="preserve"> https://drive.google.com/file/d/1ICC-yPvj442SKxpPhx4GCdbz_3mJuoPU/view?usp=drivesdk</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</si>
  <si>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</si>
  <si>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ACCESS THE LINK BELOW TO VIEW/DOWNLOAD THE BIDDING DOCUMENTS:</t>
  </si>
  <si>
    <t xml:space="preserve"> Bidding requirements/bid forms may be obtained, beginning August 13, 2020  from C.A. General Service upon payment of a non-refundable fee of P4,000.00.  Interested parties may get in touch with Ms. Weng Mirhan, BAC Secretariat at telephone no. 8834-2708.</t>
  </si>
  <si>
    <t xml:space="preserve"> 1 		15				Bottle				50gr Oral Glucose Tolerance Test													3,000.00	</t>
  </si>
  <si>
    <t xml:space="preserve"> For quotation our official form is attach and downloadable. Send quotation at ncr.quezoncity@tesda.gov.ph.</t>
  </si>
  <si>
    <t xml:space="preserve"> 1 		100			Pack				 Sterile Gauze 4 x 4, 50s														16,500.00	</t>
  </si>
  <si>
    <t xml:space="preserve"> A complete set of Bidding Documents may be acquired by interested bidders on AUGUST 10, 2020 to SEPTEMBER 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</si>
  <si>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15	 canister 	Residual Peroxide Test Stips 100's	 30,000.00 </t>
  </si>
  <si>
    <t xml:space="preserve"> attached Program of works</t>
  </si>
  <si>
    <t xml:space="preserve"> Bidder's must download the documents in the associated component section.</t>
  </si>
  <si>
    <t xml:space="preserve"> https://drive.google.com/file/d/1QTRjnuksvxzaUpNpKcl8dcI50OyeIhaB/view?usp=drivesdk</t>
  </si>
  <si>
    <t xml:space="preserve"> Bid document will be available on August 12, 2020 at the Cashier's office at 8:00am to 5:00Pm. Bid documents cost is 1000.00</t>
  </si>
  <si>
    <t xml:space="preserve"> INTERESTED BIDDER MUST PRESENT A VALID COMPANY ID. FOR REPRESENTATIVES, PLEASE BRING YOUR VALID ID, VALID COMPANY ID OF THE PERSON BEING REPRESENTED, SPA AND DRL FOR THE PROJECT</t>
  </si>
  <si>
    <t xml:space="preserve"> INTERESTED BIDDER MUST PRESENT A VALID COMPANY ID. FOR REPRESENTATIVE, PLEASE BRING VALID COMPANY ID OF THE PERSON BEING REPRESENTED, SPA, HIS/HER VALID ID AND DRL FOR THE PROJECT</t>
  </si>
  <si>
    <t xml:space="preserve"> https://drive.google.com/file/d/1qoZ2ULzmjXYj0K1J38lqqtOe7cYwmWPe/view?usp=drivesdk</t>
  </si>
  <si>
    <t xml:space="preserve"> ITB </t>
  </si>
  <si>
    <t xml:space="preserve"> For More Details Please Contact: Floro E. Bejona -BAC Chairman 09333123724</t>
  </si>
  <si>
    <t xml:space="preserve"> click the links below to download plans</t>
  </si>
  <si>
    <t xml:space="preserve"> Please see attached Specifications</t>
  </si>
  <si>
    <t xml:space="preserve"> A complete set of bidding document may be purchased by interested bidders on August 08, 2020 to September 01, 2020 from the address below upon payment of a non-refundable fee for the bidding documents in the amount of P500.00</t>
  </si>
  <si>
    <t xml:space="preserve"> BID DOCUMENT IS AVAILABLE AT THE BAC OFFICE DURING OFFICE HOUR.</t>
  </si>
  <si>
    <t xml:space="preserve"> https://drive.google.com/file/d/1UYvUNmDViaiyy-3bhJNcngVBb-MMiAUr/view?usp=drivesdk</t>
  </si>
  <si>
    <t xml:space="preserve"> https://drive.google.com/file/d/1WVMPo3Ik_hBGIojvC13Cy4UMAgZEzIQe/view?usp=drivesdk</t>
  </si>
  <si>
    <t xml:space="preserve"> https://drive.google.com/file/d/13EbDMMjAPg0Jum2U9q16BWAcMekLQK1M/view?usp=drivesdk</t>
  </si>
  <si>
    <t xml:space="preserve"> Links to download the plans</t>
  </si>
  <si>
    <t xml:space="preserve"> https://drive.google.com/file/d/18HOul5YRbZ09DNUldM7kQeFcmNjVEeRw/view?usp=drivesdk</t>
  </si>
  <si>
    <t xml:space="preserve"> PLEASE SEE/READ AND AGREE TO THE ATTACHED TERMS OF REFERENCES.</t>
  </si>
  <si>
    <t xml:space="preserve"> with Free Lifetime Service and has an authorized Service Center Based in Naga City, Camarines Sur. </t>
  </si>
  <si>
    <t xml:space="preserve"> https://drive.google.com/file/d/1d04MixEot8ZAJPCrJ0h_y7SMh4NfxcM9/view?usp=drivesdk</t>
  </si>
  <si>
    <t xml:space="preserve"> Please see attached Bidding Document</t>
  </si>
  <si>
    <t xml:space="preserve"> THE BAC WILL ISSUE PROSPECTIVE BIDDER BIDDING DOCUMENTS AT THE MUNICIPALITY OF BACOLOR, BACOLOR, PAMPANGA UPON THEIR PAYMENT OF A NON REFUNDABLE AMOUNT OF P 1,000.00 TO THE BAC SECRETARIAT, THE MUNICIPALITY OF BACOLOR ASSUMES NO RESPONSIBILITY WHATSOEVER TO COMPENSATE OR IDENTIFY BIDDERS FOR ANY EXPENSES INCURRED IN THE PREPARATION OF THEIR BIDS.</t>
  </si>
  <si>
    <t xml:space="preserve"> PLEASE SEE/READ AND AGREE TO THE ATTACHED TERMS OF REFERENCES</t>
  </si>
  <si>
    <t xml:space="preserve"> https://drive.google.com/file/d/13QO46KlXdUmRjpd_uYR1bmlULtrPQSON/view?usp=drivesdk</t>
  </si>
  <si>
    <t xml:space="preserve"> https://drive.google.com/file/d/1blg_bfibgfmyqM8xKLRkUkV95mVY4KmM/view?usp=drivesdk</t>
  </si>
  <si>
    <t xml:space="preserve"> Also available at DPWH website</t>
  </si>
  <si>
    <t xml:space="preserve"> Stock	Unit	Item Description	Qty.</t>
  </si>
  <si>
    <t xml:space="preserve"> 3  units	1000 Liter Intermediate Bulk Container</t>
  </si>
  <si>
    <t xml:space="preserve"> No.  unit     Description	                                       Qty.</t>
  </si>
  <si>
    <t xml:space="preserve"> Unit	Item Description	Qty.</t>
  </si>
  <si>
    <t xml:space="preserve"> Cycle	Pills (branded)	1500</t>
  </si>
  <si>
    <t xml:space="preserve"> ALL INTERESTED BIDDERS ARE REQUIRED TO SUBMIT THEIR COMPLETE ELIGIBILITY REQUIREMENTS TO THE BAC FOR EVALUATION DURING THE PRE-BID CONFERENCE ON AUGUST 14, 2020 1:00P.M. AT THE DASMARIÑAS COMMUNITY AFFAIRS (DASCA) BUILDING LOCATED AT BRGY. BUROL I, CITY OF DASMARIÑAS, CAVITE. BIDDERS WHO SHALL FAIL TO ATTEND THE PRE-BID SHALL NOT BE ALLOWED TO JOIN THE BIDDING FOR THE AFORESAID PROJECT. </t>
  </si>
  <si>
    <t xml:space="preserve"> stock         Unit	Item Description	Qty.</t>
  </si>
  <si>
    <t xml:space="preserve"> 9.	For further information, please refer to:</t>
  </si>
  <si>
    <t xml:space="preserve"> ALL INTERESTED BIDDERS ARE REQUIRED TO SUBMIT THEIR COMPLETE ELIGIBILITY REQUIREMENTS TO THE BAC FOR EVALUATION DURING THE PRE-BID CONFERENCE ON AUGUST 14, 2020 1:00 P.M. AT THE DASMARIÑAS COMMUNITY AFFAIRS (DASCA) BUILDING, BRGY. BUROL I, CITY OF DASMARIÑAS, CAVITE. BIDDERS WHO SHALL FAIL TO ATTEND THE PRE-BID SHALL NOT BE ALLOWED TO JOIN THE BIDDING FOR THE AFORESAID PROJECT. </t>
  </si>
  <si>
    <t xml:space="preserve"> The BAC shall issue bidding documents upon payment of One Thousand Pesos Only  (Php1,000.00) to the disbursing/ collecting officer of the LGU.</t>
  </si>
  <si>
    <t xml:space="preserve"> ALL INTERESTED BIDDERS ARE REQUIRED TO SUBMIT THEIR COMPLETE ELIGIBILITY REQUIREMENTS TO THE BAC FOR EVALUATION DURING THE PRE-BID CONFERENCE ON AUGUST 14, 2020 1:00 P.M. AT THE DASMARIÑAS COMMUNITY AFFAIRS (DASCA) BUILDING LOCATED AT BRGY. BUROL I, CITY OF DASMARIÑAS, CAVITE. BIDDERS WHO SHALL FAIL TO ATTEND THE PRE-BID SHALL NOT BE ALLOWED TO JOIN THE BIDDING FOR THE AFORESAID PROJECT. </t>
  </si>
  <si>
    <t xml:space="preserve"> FOR MORE INFO AND CLARIFICATION, PLEASE SEE HEAD-BAC SECRETARIAT, ENGR. CATHERINE B. CAPILI AT ENGINEERING OFFICE FROM MONDAY TO FRIDAY (8:00 A.M. TO 5:00 P.M.)</t>
  </si>
  <si>
    <t xml:space="preserve"> • Similar Contracts: Supply, Delivery, Test and Commissioning of Diesel Power Generations Systems with aggregate output capacity of at least 5.0 MW e.</t>
  </si>
  <si>
    <t xml:space="preserve"> https://drive.google.com/file/d/1AatwWOrxBnVdh2qJ41E86_yuBjp5zFbn/view?usp=drivesdk</t>
  </si>
  <si>
    <t xml:space="preserve"> Please download Invitation to Bid and Bid Documents</t>
  </si>
  <si>
    <t xml:space="preserve"> Please see attached bidding document in associated component</t>
  </si>
  <si>
    <t xml:space="preserve"> Bid opening shall be on August 27, 2020 at 9:00 A.M. at the Municipal Hall, Poblacion, Santa Fe, Romblon</t>
  </si>
  <si>
    <t xml:space="preserve"> Purpose: To maintain reasonable stocks of common goods, office and school supplies necessary in the operation of different colleges and offices for 3rd and 4th quarter.</t>
  </si>
  <si>
    <t xml:space="preserve"> https://drive.google.com/file/d/1MO1nTHLiIpCK1EnwCV3FwZR5Fx1PiVNf/view?usp=drivesdk</t>
  </si>
  <si>
    <t xml:space="preserve"> https://drive.google.com/file/d/1NMmOC3veN2DjzCyFwK4E2iMkL0BV2odS/view?usp=drivesdk</t>
  </si>
  <si>
    <t xml:space="preserve"> Also available at the DPWH Website.</t>
  </si>
  <si>
    <t xml:space="preserve"> Availability of Bid Documents: August 07-26, 2020; 8:00 AM-5:00 PM; Monday through Friday</t>
  </si>
  <si>
    <t xml:space="preserve"> Pre-Bid and Opening of Bids will be done through video conference. Bid submission is through online.</t>
  </si>
  <si>
    <t xml:space="preserve"> 1.00	  	L.S	Mobilization and Demobilization</t>
  </si>
  <si>
    <t xml:space="preserve"> https://drive.google.com/file/d/1Djw3iQ4-m6jWdsvIrRs8zH0w4HTrzoDg/view?usp=drivesdk</t>
  </si>
  <si>
    <t xml:space="preserve"> 1.)	400	bags	Rice</t>
  </si>
  <si>
    <t xml:space="preserve"> See attachments</t>
  </si>
  <si>
    <t xml:space="preserve"> Submit LOI</t>
  </si>
  <si>
    <t xml:space="preserve"> https://drive.google.com/file/d/1rFmRTQYTVpaSx4fBwjptS-htYOPXTFRP/view?usp=drivesdk</t>
  </si>
  <si>
    <t xml:space="preserve"> Please copy the link below and print for a copy of BIDDING DOCUMENT</t>
  </si>
  <si>
    <t xml:space="preserve"> Please be informed that the bid documents cannot be downloaded from the website. It is non – electronic. </t>
  </si>
  <si>
    <t xml:space="preserve"> https://drive.google.com/file/d/1WJsdaKpV6-agfmjXr1_omG7We8VXYR7P/view?usp=drivesdk</t>
  </si>
  <si>
    <t xml:space="preserve"> Please be informed that the Bid Documents can't be downloaded from the website. Prospective bidders are requested to acquire the documents directly and personally from the BAC Secretariat upon payment at the Barangay Treasurer a corresponding fee of Php 500.00 for the said project.</t>
  </si>
  <si>
    <t xml:space="preserve"> PRE-BID CONFERENCE WILL BE ON AUGUST 14, 2020, 2:00 PM AT MUNICIPAL HALL, SIBULAN, NEGROS ORIENTAL</t>
  </si>
  <si>
    <t xml:space="preserve"> Submission of Bids August 7, 2020 until September 1, 2020 @12noon</t>
  </si>
  <si>
    <t xml:space="preserve"> PRE-BID CONFERENCE WILL BE ON AUGUST 14, 2020, 2:00 PM AT MUNICIPAL HALL, SIBULAN, NEGROS ORIENTAL AND OPENING OF BIDS WILL BE ON AUGUST 26, 2020, 2:00 PM AT THE SAME VENUE</t>
  </si>
  <si>
    <t xml:space="preserve"> Pre-Bid Conference	2:00 P.M. August 13, 2020	DPWH Pampanga 2nd DEO BAC-Office</t>
  </si>
  <si>
    <t xml:space="preserve"> Please copy and paste the following URL into your web browser:</t>
  </si>
  <si>
    <t xml:space="preserve"> I.  To be funded under General Fund, with an ABC of Php 14,400,000.00</t>
  </si>
  <si>
    <t xml:space="preserve"> Bidders must download the attached documents to the associate component section.</t>
  </si>
  <si>
    <t xml:space="preserve"> Bidders must download the attached document to the associate  component section.</t>
  </si>
  <si>
    <t xml:space="preserve"> 1		2	Piece	3V Lithium Batteries		220.00</t>
  </si>
  <si>
    <t xml:space="preserve"> 2nd Publication</t>
  </si>
  <si>
    <t xml:space="preserve"> Bidding Date - August 27, 2020, 2:00PM at the Municipal Conference Hall, Galimuyod, Ilocos Sur</t>
  </si>
  <si>
    <t xml:space="preserve"> 1	 156 	vial	0.9% Sodium Chloride 50ml	 9,409.92 </t>
  </si>
  <si>
    <t xml:space="preserve"> 1.	Drinking Water Disinfectant, 100 ml/Bottle	4,000	Bottles	260,000.00	On or Before October 30, 2020	DOH – WV CHD</t>
  </si>
  <si>
    <t xml:space="preserve"> https://drive.google.com/file/d/1yR8K8gmjzgO5WAJ1-u9LqKUinFsDGlKr/view?usp=drivesdk</t>
  </si>
  <si>
    <t xml:space="preserve"> For more Information and details please contact the Secretariat, BAC Office, LGU Tigbauan, Iloilo at (033) 511-8790.</t>
  </si>
  <si>
    <t xml:space="preserve"> BID OPENING: AUGUST 26, 2020  1:00PM  BAC OFFICE, MUNICIPAL HALL, STA. MARCELA, APAYAO</t>
  </si>
  <si>
    <t xml:space="preserve"> 1	5	pack	Activated Charcoal Sachet	 990.00 </t>
  </si>
  <si>
    <t xml:space="preserve"> 1 		120			Vials				0.9% Saline, 50 ml.														7,238.40	</t>
  </si>
  <si>
    <t xml:space="preserve"> 1 		150				Vials				0.9% Saline, 50 ml.													9,048.00	</t>
  </si>
  <si>
    <t xml:space="preserve"> Submission of sealed envelopes and opening of bids: August 27, 2020/ 10:00 A.M./ Alimodian Municipal Conference Room</t>
  </si>
  <si>
    <t xml:space="preserve"> SUPPLEMENTAL/BID BULLETIN</t>
  </si>
  <si>
    <t xml:space="preserve"> 1.	N95 MASK (20’s / box) 	100	Boxes	304,000.00	Within 60 Calendar Days from receipt of NTP	DOH – WV CHD</t>
  </si>
  <si>
    <t xml:space="preserve"> Please follow this link for the complete bidding documents and other attachments: </t>
  </si>
  <si>
    <t xml:space="preserve"> 1.		Biperiden Hydrochloride, 2mg/Tablet	45,435	Tablets	238,988.10	Within 4th Quarter of 2020	DOH – WV CHD</t>
  </si>
  <si>
    <t xml:space="preserve"> 1.	HIGH LOW OXYGEN NASAL CANNULA	200	Units	500,000.00	Within 30 Calendar Days from receipt of the NTP	Dr. Rafael S. Tumbokon Memorial Hospital (50), Roxas Memorial Provincial Hospital (50), Dr. Catalino G. Nava Provincial Hospital (50) and Iloilo Provincial Hospital (50)</t>
  </si>
  <si>
    <t xml:space="preserve"> https://drive.google.com/file/d/1dx1kQJBc1msaBu2mOCVdrycctwDtAadM/view?usp=drivesdk</t>
  </si>
  <si>
    <t xml:space="preserve"> 1.		Amlodipine 10 mg Tablet	77,120	Tablets	57,068.80	Within 30 Calendar Days from receipt of NTP	Based on Allocation Lists</t>
  </si>
  <si>
    <t xml:space="preserve"> 1.	Lubricated Male Condoms	134,862	Pieces	1,078,896.00	Within 4th Quarter of 2020	DOH – WV CHD</t>
  </si>
  <si>
    <t xml:space="preserve"> https://drive.google.com/file/d/18Tcgk6Y1BhgfjO0gbUIY7g0cfaVzB41Z/view?usp=drivesdk</t>
  </si>
  <si>
    <t xml:space="preserve"> For more Information and details please contact the BAC Secretariat, LGU Tigbauan at (033) 511-8790.</t>
  </si>
  <si>
    <t xml:space="preserve"> 20IH0109 (ITB, Bid Docs, POW)</t>
  </si>
  <si>
    <t xml:space="preserve"> INTERESTED BIDDER MUST PRESENT A VALID COMPANY ID, AUTHORIZED PERSONNEL SHALL BEAR THE ID OF PERSON BEING REPRESENTED, SPA AND HIS/HER VALID ID. FAILURE TO COMPLY WILL BE CONSIDERED AS BOGUS/HOAX/DUMMY AND WILL NOT BE ENTERTAINED.</t>
  </si>
  <si>
    <t xml:space="preserve"> https://drive.google.com/file/d/1dcwk7odnPPybkhfkDCrg_RoSZiQ8l-qj/view?usp=drivesdk</t>
  </si>
  <si>
    <t xml:space="preserve"> 20IH0110 (ITB, Bid Docs, POW)</t>
  </si>
  <si>
    <t xml:space="preserve"> 20IH0108 (ITB, Bid Docs, POW)</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</si>
  <si>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</si>
  <si>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bring the following when buying bid documents</t>
  </si>
  <si>
    <t xml:space="preserve"> Opening and reading of quotation shall be on August 27, 2020, 9:00 in the morning at the Municipal Hall, Poblacion, Santa Fe, Romblon.</t>
  </si>
  <si>
    <t xml:space="preserve"> For more Information and details please contact the BAC Secretariat, LGU Tigbauan, Iloilo at (033) 511-8790.</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</si>
  <si>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Five Hundred Pesos Only (Php500.00) at the Cashier’s Office, Provincial Capitol, Bontoc, Mountain Province.</t>
  </si>
  <si>
    <t xml:space="preserve"> 20IH0111 (ITB, Bid Docs, POW)</t>
  </si>
  <si>
    <t xml:space="preserve"> https://drive.google.com/file/d/1iPp3k4Z_7JzPbzz6rAoMsHxlUN2u8Qf5/view?usp=drivesdk</t>
  </si>
  <si>
    <t xml:space="preserve"> SALEOF BID DOCUMENTS: AUGUST 13 TO AUGUST 27, 2020 (8:00A.M. TO 5:00 P.M.)</t>
  </si>
  <si>
    <t xml:space="preserve"> 20IH0112 (ITB, Bid Docs, POW)</t>
  </si>
  <si>
    <t xml:space="preserve"> For more Information and details pls. contact the BAC Secretariat, LGU-Tigbauan, Iloilo at (033) 511-8790.</t>
  </si>
  <si>
    <t xml:space="preserve"> • Supply and Delivery of Diesel Generating Sets or Mechanical and/or Electrical Parts / Components / Equipment for Diesel Generating Sets</t>
  </si>
  <si>
    <t xml:space="preserve"> LABORATORY MACHINE REAGENT			</t>
  </si>
  <si>
    <t xml:space="preserve"> Opening and reading of quotations shall be on August 27, 2020, 9:00 o'clock in the morning at the Municipal Hall, Poblacion, Santa Fe, Romblon.</t>
  </si>
  <si>
    <t xml:space="preserve"> The work covers the design and build for the Construction of Alternative Water Supply (Level III) consisting of intake structure, earthworks/pipelaying, installation of transfer pipe, installation of transmission pipeline that can handle minimum volume of 40 liters per second, provision of flow meter, installation of distribution pipeline up to Sitio Tinago Brgy. Benolho, and installation of standpipes.</t>
  </si>
  <si>
    <t xml:space="preserve"> Bid Documents will be available only to prospective bidders upon payment of a non-refundable amount of Php 5,000.00 per set to the Municipal Treasurer of LGU- GATTARAN.</t>
  </si>
  <si>
    <t xml:space="preserve"> • PCAB License: License Category of at least “Category B – General Building” and registration classification of at least “Medium A – Building or Industrial Plant”</t>
  </si>
  <si>
    <t xml:space="preserve"> Please checked associated components.</t>
  </si>
  <si>
    <t xml:space="preserve"> please download the associated documents</t>
  </si>
  <si>
    <t xml:space="preserve"> Please see attached links for bidding documents: </t>
  </si>
  <si>
    <t xml:space="preserve"> Special Bids and Awards Committee Secretariat, Armor Div, PA	</t>
  </si>
  <si>
    <t xml:space="preserve"> For more information, please call the:</t>
  </si>
  <si>
    <t xml:space="preserve"> • Similar Contracts: Supply and Delivery of Protection and Meters and/or Substation Protection and Equipment</t>
  </si>
  <si>
    <t xml:space="preserve"> I AGGREGATES</t>
  </si>
  <si>
    <t xml:space="preserve"> Please download the attached file in the Associated Components section.</t>
  </si>
  <si>
    <t xml:space="preserve"> 2 units Hang Type &amp; Folded Basketball Goal supported structural steel of 5 mm x 2 " &amp; 5mm x 1.5" Angle Bar " sch. 40 bi PIpes, 12mm steel cable wire anchored with 1 ton heavy duty pully installed with thk x 1.20m x 1.80 m transparent original tempered glass with frame heavy duty ring with spring net and transluscent sticker</t>
  </si>
  <si>
    <t xml:space="preserve"> Issuance of Bid Documents  : 8:00AM - 5:00PM August 06, 2020 to 8:00AM - 09:30AM, August 26, 2020</t>
  </si>
  <si>
    <t xml:space="preserve"> Schedule of Bidding Activities: Sale and Issuance of Bid Mondays to Fridays Starting August 6, 2020 (8AM to 3PM only) DOE-BAC Secretariat, Procurement Management Division 3/F DOE Main Bldg., Energy Center, Rizal Drive, Bonifacio Global City, Taguig City Pre-Bid Conference August 13, 2020 – 9:00 AM to 11:00 AM at DOE BAC Main Office through video conferencing (Microsoft Teams). The bidders are required to submit the following information through jaymeedeogracias@gmail.com or jaymee.deogracias@doe.gov.ph: 1. Complete name of the authorized company representative who will participate in the Pre- Bid Conference. Complete company Name, address and contact details; 2. Active email addresses where the invitation/link will be sent; and 3. Indicate the item/s the company would like to participate Deadline of submission of information is on or before 11 August 2020. Video conferencing will be through MS Teams, prospective bidders are advised to download MS Teams app prior to the date of the Pre-bid Conference. Submission of Bids Mondays to Fridays 8AM to 3PM only DOE-Procurement Management Division 3/F DOE Main Bldg., Energy Center, Rizal Drive, Bonifacio Global City, Taguig City OR submission could be made through courier service provided it will be stamped-received by the DOE Records Management Division. Deadline of Submission of Bids August 27, 2020 –9:00 AM 3/F Procurement Management Division (PMD) DOE Main Bldg., Energy Center, Rizal Drive, Bonifacio Global City, Taguig City OR submission could be made through courier service provided it will be stamped-received by the DOE Records Management Division. Opening of Bids August 27, 2020 – 9:30 AM DOE- Audio Visual Room (AVR) Energy Center, Rizal Drive, Bonifacio Global City, Taguig.</t>
  </si>
  <si>
    <t xml:space="preserve"> At brgy Sto.Niño(Loblobon), Maasin City, Southern Leyte</t>
  </si>
  <si>
    <t xml:space="preserve"> At brgy Cambo-oc(half lane), Maasin City, Southern Leyte</t>
  </si>
  <si>
    <t xml:space="preserve"> At brgy Bactul II, Maasin City, Southern Leyte</t>
  </si>
  <si>
    <t xml:space="preserve"> At brgy Soro-soro, Maasin City, Southern Leyte</t>
  </si>
  <si>
    <t xml:space="preserve"> At Different Schools, Maasin City, Southern Leyte</t>
  </si>
  <si>
    <t xml:space="preserve"> see attached invitation to bid</t>
  </si>
  <si>
    <t xml:space="preserve"> with barangay logo and siren</t>
  </si>
  <si>
    <t xml:space="preserve"> 1. Pre-bid conference - August 14, 2020, 2:00PM at the Municipal Conference Hall, Galimuyod, Ilocos Sur</t>
  </si>
  <si>
    <t xml:space="preserve"> At brgy Combado, Maasin City, Southern Leyte</t>
  </si>
  <si>
    <t xml:space="preserve"> Amount of Bid Documents: Php1,000.00</t>
  </si>
  <si>
    <t xml:space="preserve"> Amount of Bid Documents: Php10,000.00</t>
  </si>
  <si>
    <t xml:space="preserve"> Please visit BAC office</t>
  </si>
  <si>
    <t xml:space="preserve"> Amount of Bid Documents: Php5,000.00</t>
  </si>
  <si>
    <t xml:space="preserve"> See Attachments</t>
  </si>
  <si>
    <t xml:space="preserve"> https://drive.google.com/file/d/1sfnR_iq9uznsa7k2LRonRFrbr23zRfWy/view?usp=drivesdk</t>
  </si>
  <si>
    <t xml:space="preserve"> ATTACHMENT CAN BE DOWNLOADED THROUGH THE ASSOCIATED COMPONENTS.</t>
  </si>
  <si>
    <t xml:space="preserve"> bidders must download attached documents in the associated components</t>
  </si>
  <si>
    <t xml:space="preserve"> A complete set of Bidding Documents will be provided by PNBAC Secretariat to the interested Bidders upon payment of a non-refundable fee in the amount of TWENTY FIVE THOUSAND PESOS (P 25,000.00) only at CRB, CPMU, Philippine Navy Finance Center (PNFC), Naval Station Jose Francisco, Fort Bonifacio, Taguig City.</t>
  </si>
  <si>
    <t xml:space="preserve"> Project Title : REBLOCKING OF ROAD</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</si>
  <si>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</si>
  <si>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https://drive.google.com/file/d/1A0DvWVjLZK95mCJ0daLfjyDWYKK6yCHz/view?usp=drivesdk</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</si>
  <si>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</si>
  <si>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</si>
  <si>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Bidding Documents may be purchased by the Interested Bidders on August 12-13, 2020 from 8:00 A.M to 5:00 P.M. and upon payment of non - refundable fee of Five Hundred Pesos (Php 500.00).</t>
  </si>
  <si>
    <t xml:space="preserve"> ATTACHMENT CAN BE DOWNLOADED IN THE ASSOCIATED COMPONENTS.</t>
  </si>
  <si>
    <t xml:space="preserve"> COPY OF DRAWINGS MAY BE REQUESTED AT THE BAC SECRETARIAT THROUGH MSCBAC2011@GMAIL.COM. PRE-BID CONFERENCE MAYBE CONDUCTED VIA AN ONLINE PLATFORM; REQUEST FOR CONFERENCE INVITATION MAY BE SENT TO THE BAC SECRETARIAT AT THE AFOREMENTIONED EMAIL ADDRESS.</t>
  </si>
  <si>
    <t xml:space="preserve"> https://drive.google.com/file/d/1EXLhi9nqwv_travGD_gPDWB6ifGQOoeu/view?usp=drivesdk</t>
  </si>
  <si>
    <t xml:space="preserve"> https://drive.google.com/file/d/194lfDfNf0YPgxU9AjxwoEeGBT0YwzyLY/view?usp=drivesdk</t>
  </si>
  <si>
    <t xml:space="preserve"> https://drive.google.com/file/d/1dCH8ByXU3e4gQdvIwX0CJByvoQKwV3yO/view?usp=drivesdk</t>
  </si>
  <si>
    <t xml:space="preserve"> https://drive.google.com/file/d/124MJXl7B8igH6HHQ5vbkg79u7xfpCQeX/view?usp=drivesdk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</si>
  <si>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</si>
  <si>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https://drive.google.com/file/d/1uwRlHA9CkfQimdA-ebrOQjSGAI4lrD5E/view?usp=drivesdk</t>
  </si>
  <si>
    <t xml:space="preserve"> https://drive.google.com/file/d/16kkAOlEkEzPbqeu01JAOMtJt5gaE6Blz/view?usp=drivesdk</t>
  </si>
  <si>
    <t xml:space="preserve"> Please see attached Invitation to Bid and Technical Specifications.</t>
  </si>
  <si>
    <t xml:space="preserve"> https://drive.google.com/file/d/1n6gIbGKYGa7XJmHsqNx2a-Sbtxq0MP5j/view?usp=drivesdk</t>
  </si>
  <si>
    <t xml:space="preserve"> All inquiries shall be directed to Dr. Rolando O. Borrinaga, Chairman, Bids and Awards Committee, UP Manila – School of Health Sciences, Palo, Leyte.</t>
  </si>
  <si>
    <t xml:space="preserve"> Quantity	Item / Description</t>
  </si>
  <si>
    <t xml:space="preserve"> Click on the link to download bidding documents</t>
  </si>
  <si>
    <t xml:space="preserve"> Lot 1	Quantity	Item/Description</t>
  </si>
  <si>
    <t xml:space="preserve"> • Similar Contracts: Engineering, design services, manufacturing, installation of piping integrity restoration works for gas plant or similar projects (e.g. power plant, industrial plant)</t>
  </si>
  <si>
    <t xml:space="preserve"> https://drive.google.com/file/d/1tyhKrV5NDz5p028KrszRbI0g9dC2ew_X/view?usp=drivesdk</t>
  </si>
  <si>
    <t xml:space="preserve"> https://drive.google.com/file/d/1MX3mZU44V84vVBRDb5gwpIIx20lAHWB9/view?usp=drivesdk</t>
  </si>
  <si>
    <t xml:space="preserve"> https://drive.google.com/file/d/1MWyMO6y2H8Rzx7teU5rU8zHVXvJmp0k_/view?usp=drivesdk</t>
  </si>
  <si>
    <t xml:space="preserve"> https://drive.google.com/file/d/1xy6ANLHNMCVHjL1-KL2oWmhwZLA4JH0E/view?usp=drivesdk</t>
  </si>
  <si>
    <t xml:space="preserve"> • Similar Contract: Supply and Delivery of Diesel Generating Sets or Mechanical and/or Electrical Parts / Components / Equipment for Diesel Generating Sets</t>
  </si>
  <si>
    <t xml:space="preserve"> Construction of one-unit (1.5m x 1.5m x 1.5m) Source Tank, one-unit (1.5m x 1.5m x 1.5m) Outlet/Distribution tank and one-unit (5m x 5m x 2.8m) Storage/Collection Tank with water pipelines with total volume of 76.75.</t>
  </si>
  <si>
    <t xml:space="preserve"> Bid documents are available at the office of Punong Banrangay</t>
  </si>
  <si>
    <t xml:space="preserve"> SPECS: </t>
  </si>
  <si>
    <t xml:space="preserve"> Please bring valid medical certificates upon attendance (note: certificates should be issued one week prior to the date of attendance)</t>
  </si>
  <si>
    <t xml:space="preserve"> Bid documents are available at the office of Punong Barangay</t>
  </si>
  <si>
    <t xml:space="preserve"> Kindly see the Plan and details</t>
  </si>
  <si>
    <t xml:space="preserve"> https://drive.google.com/file/d/1KVBLVGaf1k4MtciBlvJLfHPoXODr6aKK/view?usp=drivesdk (Bidding Documents)</t>
  </si>
  <si>
    <t xml:space="preserve"> AS PER BAC INTERNAL RULE, YOU ARE REQUIRED TO ATTEND THE PREBID CONFERENCE AS SCHEDULED.</t>
  </si>
  <si>
    <t xml:space="preserve"> issuance of bid documents - August 5-26, 2020</t>
  </si>
  <si>
    <t xml:space="preserve"> Bidding documents can also be downloaded thru this link:</t>
  </si>
  <si>
    <t xml:space="preserve"> Please download the Associated Components</t>
  </si>
  <si>
    <t xml:space="preserve"> bid docs PhP 500.00</t>
  </si>
  <si>
    <t xml:space="preserve"> https://drive.google.com/file/d/1vRAG27wI8my0TJfjoJJhpXci6DqXqfEX/view?usp=drivesdk</t>
  </si>
  <si>
    <t xml:space="preserve"> https://drive.google.com/file/d/169ZHvq0ebrDsxDvKUB98H6rVgJ0GTwFu/view?usp=drivesdk</t>
  </si>
  <si>
    <t xml:space="preserve"> https://drive.google.com/file/d/187Uzytzb5-BVT0bFhucnSgrw5mpjGnP5/view?usp=drivesdk</t>
  </si>
  <si>
    <t xml:space="preserve"> Please see attached Bidding Document for more details.</t>
  </si>
  <si>
    <t xml:space="preserve"> You can download the Bidding Documents Here:</t>
  </si>
  <si>
    <t xml:space="preserve"> Interested bidders/suppliers may download attached documents located in the Associated Component Section.</t>
  </si>
  <si>
    <t xml:space="preserve"> BAC Meetings will be conducted thru video conferencing via MS Team</t>
  </si>
  <si>
    <t xml:space="preserve"> For copies of the Bidding Documents, Scope of Works, Drawing and Bill of Quantities, kindly click the associated components.</t>
  </si>
  <si>
    <t xml:space="preserve"> QTYUNIT/ITEM DESCRIPTION</t>
  </si>
  <si>
    <t xml:space="preserve"> Interested bidders may obtain further information from Palawan 2nd District Engineering Office (BAC Secretariat) and inspect the Bidding Documents at the address given below during 8:00am to 5:00pm.</t>
  </si>
  <si>
    <t xml:space="preserve"> Bidder / Supplier must download the attached documents in Associated Components.</t>
  </si>
  <si>
    <t xml:space="preserve"> https://drive.google.com/file/d/1E2UqFx3DeUbpU8T4fCoLx0ooK0p8E2ws/view?usp=drivesdk</t>
  </si>
  <si>
    <t xml:space="preserve"> Pre Register here: https://docs.google.com/forms/d/14e9OfDtXunawfjhKp8OF9jLVIoqUTLAttpI7ekJNCZs/viewform?edit_requested=true</t>
  </si>
  <si>
    <t xml:space="preserve"> For copies of the Bidding Documents and Specifications, kindly click the associated components.</t>
  </si>
  <si>
    <t xml:space="preserve"> Purpose: 	 Upgrading the office equipment and facilities and accessories of the CFMS</t>
  </si>
  <si>
    <t xml:space="preserve"> Purpose: 	For Medical use, For Dental use</t>
  </si>
  <si>
    <t xml:space="preserve"> Purpose: 	Electronic Resources (E-books) for Learning Resource Center.</t>
  </si>
  <si>
    <t xml:space="preserve"> for query, pls. contact MS. JAM FABELLA at tel no. 8 5512200 locals 2452, 2453; email address: jamfabella@gmail.com</t>
  </si>
  <si>
    <t xml:space="preserve"> Double Cab Truck w/ Customized Casket Compartment</t>
  </si>
  <si>
    <t xml:space="preserve"> Floating Ball Buoy</t>
  </si>
  <si>
    <t xml:space="preserve"> Mini Dump Truck</t>
  </si>
  <si>
    <t xml:space="preserve"> PLEASE CHECK SIMILAR INFORMATION IN THE WEBSITE OF THE PROCURING ENTITY</t>
  </si>
  <si>
    <t xml:space="preserve"> Interested consultants must submit their eligibility documents on or before July 30, 2020 2:00 P.M at the Bids and Awards Committee (BAC) for Consulting Services, BAC Conference Room, DPWH-Pampanga 2nd District Engineering Office, San Antonio, Guagua, Pampanga.   The short list shall consist of three (3) prospective bidders who will be entitled to attend the pre-bid conference on August 07, 2020 at 10:00 A.M. at the Department of Public Works &amp; Highways  Pampanga 2nd  DEO, San Antonio, Guagua, Pampanga. Submission of bids is on August 19, 2020 until  10:00 in the morning.</t>
  </si>
  <si>
    <t xml:space="preserve"> Bidders must download the attached documents  in the associated component</t>
  </si>
  <si>
    <t xml:space="preserve"> Interested consultants must submit their eligibility documents on or before July 30, 2020 2:00 P.M at the Bids and Awards Committee (BAC) for Consulting Services, BAC Conference Room, DPWH-Pampanga 2nd District Engineering Office, San Antonio, Guagua, Pampanga.   The short list shall consist of three (3) prospective bidders who will be entitled to attend the pre-bid conference on August 07, 2020 at 10:00 A.M. at the Department of Public Works &amp; Highways  Pampanga 2nd  DEO, San Antonio, Guagua, Pampanga. Submission of bids is on August 19, 2020            until  10:00 in the morning.</t>
  </si>
  <si>
    <t xml:space="preserve"> Purpose: 	Upgrade of Maritime Education Laboratories and Equipment.</t>
  </si>
  <si>
    <t xml:space="preserve"> https://drive.google.com/file/d/1_D42cYW00CEetGDOOB8QRSpp0QR_Zswz/view?usp=drivesdk</t>
  </si>
  <si>
    <t xml:space="preserve"> https://drive.google.com/file/d/1In1fRSipB71_g7GENLNnhXnCEg6gpwNz/view?usp=drivesdk</t>
  </si>
  <si>
    <t xml:space="preserve"> Bidding Documents Alternative download link: https://drive.google.com/file/d/1wEJKBdJqKvE6ZE3oTdAyLHFZT1PnQWqm/view?usp=drivesdk</t>
  </si>
  <si>
    <t xml:space="preserve"> Bidding Documents Alternative download link: https://drive.google.com/file/d/1znXAcm-pIPmqdk0z-QQVk1e_r_BtsVqG/view?usp=drivesdk</t>
  </si>
  <si>
    <t xml:space="preserve"> https://drive.google.com/file/d/1IUIbz0__pti_t0vJ_SWaKc1nVpVH4BoM/view?usp=drivesdk</t>
  </si>
  <si>
    <t xml:space="preserve"> Bidding Documents Alternative download link: https://drive.google.com/file/d/1Z_P9ClPhYXoDORNi9kTMIcYrEwa8b1sx/view?usp=drivesdk</t>
  </si>
  <si>
    <t xml:space="preserve"> Bidding Documents Alternative download link: https://drive.google.com/file/d/1TMhTVEXSl_yqXqGKs2GiKBhDYi01uG-N/view?usp=drivesdk</t>
  </si>
  <si>
    <t xml:space="preserve"> Bidding Documents Alternative download link: https://drive.google.com/file/d/11Qrfqnnpqy36lSft6vuolAF-hTVPzx90/view?usp=drivesdk</t>
  </si>
  <si>
    <t xml:space="preserve"> Bidding Documents Alternative download link: https://drive.google.com/file/d/1BKU763574_lUauoQ9b9dqTd44SzvQ7FM/view?usp=drivesdk</t>
  </si>
  <si>
    <t xml:space="preserve"> Bidding Documents Alternative download link: https://drive.google.com/file/d/1jp5Yx0fm5ndrKeiKGD8f8LM6qEP9CF2g/view?usp=drivesdk</t>
  </si>
  <si>
    <t xml:space="preserve"> FOR BID DOCS:</t>
  </si>
  <si>
    <t xml:space="preserve"> Bidding Documents Alternative download link: https://drive.google.com/file/d/1L0tv1jhd8FJjizLJKPgKLgJNyDMOgOlS/view?usp=drivesdk</t>
  </si>
  <si>
    <t xml:space="preserve"> https://drive.google.com/file/d/1ZUgWceyqB6h9cAndkFZnLJ21Ls1BjoLd/view?usp=drivesdk</t>
  </si>
  <si>
    <t xml:space="preserve"> ONE (1) ASSEMBLY MAIN ECB 3000AT, 3PHASE, 460V NEMA 1 (NATIONAL ELECTRICAL MANUFACTURERS ASSOCIATION) (FREE STANDING) MOULDED CASE CIRCUIT BREAKER AND ONE (1) ASSEMBLY AUTOMATIC TRANSFER SWITCH (ATS) 3000AT. 85KAIC, 460V, 3P, 60HZ INCLUDING INSTALLATION, TESTING, AND COMMISSIONING; ONE HUNDRED TWENTY (120) METERS 500 MM2 THW STRANDED COPPER WIRE AND TWENTY-FOUR (24) PIECES 500 MM2 MECHANICAL LUGS; TWO-CONDUCTOR</t>
  </si>
  <si>
    <t xml:space="preserve"> Kindly see attached Invitation to Bid and Public Bidding Documents</t>
  </si>
  <si>
    <t xml:space="preserve"> https://drive.google.com/file/d/1a61i6rDWwf5GemzvzjWGF-r2Dl3bRn99/view?usp=drivesdk</t>
  </si>
  <si>
    <t xml:space="preserve"> Please download attached file</t>
  </si>
  <si>
    <t xml:space="preserve"> Please download attached document.</t>
  </si>
  <si>
    <t xml:space="preserve"> Due to the current Community Quarantine brought about by the Covid-19 pandemic, PhilFIDA shall hold a virtual Pre-Bid Conference through O365 Teams on July 27, 2020, 10:00 A.M. Prospective bidders should submit a valid email address one day before the Pre-bid Conference.</t>
  </si>
  <si>
    <t xml:space="preserve"> Issuance of Bid Documents  : 8:00AM - 5:00PM July 19, 2020 to 8:00AM - 10:00AM, July 28, 2020</t>
  </si>
  <si>
    <t xml:space="preserve"> https://drive.google.com/file/d/1W_WX7pP21K-Jk9MTtDnBz1UIbpd_Dvsc/view?usp=drivesdk</t>
  </si>
  <si>
    <t xml:space="preserve"> https://drive.google.com/file/d/1CnZBB1cAQMchL0uDwboDoGw9gX0IlYeb/view?usp=drivesdk</t>
  </si>
  <si>
    <t xml:space="preserve"> https://drive.google.com/file/d/1-4aM7F3I-A_ynk0yWPmwH2sK4nm-xMaC/view?usp=drivesdk</t>
  </si>
  <si>
    <t xml:space="preserve"> Medicine and Medical Supplies Rack, 1st bay double side, 7 levels, H1.8mx W 6.870m x L900mm, Wire Mesh racking, Beige Color, Powder Coated, 100Kg Load capacity per level	9	unit</t>
  </si>
  <si>
    <t xml:space="preserve"> https://drive.google.com/file/d/1Jnte8yPm8Z2pFeItEECoTbFGwygniyum/view?usp=drivesdk</t>
  </si>
  <si>
    <t xml:space="preserve"> OTHER INFORMATION</t>
  </si>
  <si>
    <t xml:space="preserve"> At Different Brgys, Maasin City, Southern Leyte</t>
  </si>
  <si>
    <t xml:space="preserve"> At brgy Tunga-tunga, Maasin City, Southern Leyte</t>
  </si>
  <si>
    <t xml:space="preserve"> ITEM NO.                          SCOPE OF WORK                                              UNIT                   QUANTITY</t>
  </si>
  <si>
    <t xml:space="preserve"> Please see attached link for bidding documents:</t>
  </si>
  <si>
    <t xml:space="preserve"> ENGR. ROBERTO SE</t>
  </si>
  <si>
    <t xml:space="preserve"> Bidding documents are available at the BAC Secretariat Office, 4th Floor, Core A, Senate of the Philippines, Diokno Avenue, Pasay City.</t>
  </si>
  <si>
    <t xml:space="preserve"> Pre-Bid Conference	2:00 P.M. July 21, 2020	</t>
  </si>
  <si>
    <t xml:space="preserve"> Buyer: J. F. Ramos</t>
  </si>
  <si>
    <t xml:space="preserve"> Please see attached RFQ # 20-1151 and Technical Specifications</t>
  </si>
  <si>
    <t xml:space="preserve"> Please see attached RFQ # 20-1217</t>
  </si>
  <si>
    <t xml:space="preserve"> Below is the link of the bidding document for this Project.</t>
  </si>
  <si>
    <t xml:space="preserve"> for queries, pls contact MS. JENKIN DY at 8-5512200 locals 2290, 2979; email address: jenkindy26@yahoo.com</t>
  </si>
  <si>
    <t xml:space="preserve"> for queries, pls contact MS. ANJ EMETERIO at tel no. 405-7233 to 34, email address: mqemetrio@gmail.com</t>
  </si>
  <si>
    <t xml:space="preserve"> Issuance of Bid Documents  : 8:00AM - 5:00PM July 03, 2020 to 8:00AM - 10:00AM, July 14, 2020</t>
  </si>
  <si>
    <t xml:space="preserve"> https://drive.google.com/file/d/1ppLQ06pqjivr1QSmIp4t9EtO6rj5rNKk/view?usp=drivesdk</t>
  </si>
  <si>
    <t xml:space="preserve"> for queries, pls. contact MS. LUBELLE LUMABAS, tel no. 8-405-7233 to 34; email address: landbank2290@gmail.com</t>
  </si>
  <si>
    <t xml:space="preserve"> Bidders must download the document in the associated component section.</t>
  </si>
  <si>
    <t xml:space="preserve"> https://drive.google.com/file/d/1BLzW9kq3CQC1wOpc5Jbqpbj_6g7PQyFB/view?usp=drivesdk PLAN 20CN0073</t>
  </si>
  <si>
    <t xml:space="preserve"> Issuance of Bid Documents  : 8:00AM - 5:00PM June 20, 2020 to 8:00AM - 10:00AM, July 14, 2020</t>
  </si>
  <si>
    <t xml:space="preserve"> 2.	https://drive.google.com/file/d/1idHJ8D1pmUXgEU8-TWy_VILC8id1Gidv/view?usp=drivesdk</t>
  </si>
  <si>
    <t xml:space="preserve"> for queries, you may email Ms. Anj Emeterio at mqemeterio@gmail.com</t>
  </si>
  <si>
    <t xml:space="preserve"> for queries, you may email MS. KIM STO. TOMAS  at kimjoyangeles@yahoo.com</t>
  </si>
  <si>
    <t xml:space="preserve"> for inquiries, pls contact MS. ARVIE ESTRELLA at tel no. 8-405-7233 to 34, 8-5512200 locals 2452, 2453, 2731, 2609, 2979 &amp; 2290</t>
  </si>
  <si>
    <t xml:space="preserve"> for queries, pls. contact MR. CHARM FLORIDO at tel nos. 85512200 locals 2452, 2453; 84057233 to 34</t>
  </si>
  <si>
    <t xml:space="preserve"> See attached other associated components.</t>
  </si>
  <si>
    <t xml:space="preserve"> please download associated documents</t>
  </si>
  <si>
    <t xml:space="preserve"> Kindly see attached LINK for the requirements/details:</t>
  </si>
  <si>
    <t xml:space="preserve"> https://drive.google.com/file/d/1NXXiu6oT-T8aIyAvcGZjbafYDCmP_pZD/view?usp=drivesdk</t>
  </si>
  <si>
    <t xml:space="preserve"> for queries, you may contact MS. LUBELLE LUMABAS AT TEL NO. 84057233 TO 34</t>
  </si>
  <si>
    <t xml:space="preserve"> Also available at DPWH Website.</t>
  </si>
  <si>
    <t xml:space="preserve"> https://drive.google.com/file/d/1VX63br-L5q7cwB7jf3kttxaRtaN2z325/view?usp=drivesdk</t>
  </si>
  <si>
    <t xml:space="preserve"> Kindly see attached LINK below for the specifications.</t>
  </si>
  <si>
    <t xml:space="preserve"> https://drive.google.com/file/d/1KgHRA1CgLn0h8QZo9dFR0kgGgD4506Np/view?usp=drivesdk</t>
  </si>
  <si>
    <t>Marife Aglosolos</t>
  </si>
  <si>
    <t>Rosario Fe Quizon Arevalo</t>
  </si>
  <si>
    <t>Manuel Jesus Dufourt Roxas III</t>
  </si>
  <si>
    <t>Nelzar Borres Arsenio</t>
  </si>
  <si>
    <t>Fe P Sagre</t>
  </si>
  <si>
    <t>VALERIE VERBO SAGIBO</t>
  </si>
  <si>
    <t>Frenzel Ray Kitan Tomas</t>
  </si>
  <si>
    <t>Kimberlee G. Lanuza</t>
  </si>
  <si>
    <t>Dionesia B. Lagas</t>
  </si>
  <si>
    <t>Buenaventura Zaldivar Flandez</t>
  </si>
  <si>
    <t>Harold C. Duremdes</t>
  </si>
  <si>
    <t>AIVIE MAE BUTUAN ALIUDIN</t>
  </si>
  <si>
    <t>M.A Cueva</t>
  </si>
  <si>
    <t>Arthur Molenilla Balmadrid</t>
  </si>
  <si>
    <t>Maylen Asuncion</t>
  </si>
  <si>
    <t>Eduardo D. Fernandez</t>
  </si>
  <si>
    <t>Perry Origenes Bague</t>
  </si>
  <si>
    <t>Noli U. Guiad</t>
  </si>
  <si>
    <t>dipolog water bac</t>
  </si>
  <si>
    <t>Joseph Cañas Hernani</t>
  </si>
  <si>
    <t>Sherrymine C. Lazaga</t>
  </si>
  <si>
    <t>Socorro Brenda Acuna</t>
  </si>
  <si>
    <t>Carlos J Martus</t>
  </si>
  <si>
    <t>DELIZA M CUTARA</t>
  </si>
  <si>
    <t>Marilou Seno Villanueva</t>
  </si>
  <si>
    <t>Redan I Cognito</t>
  </si>
  <si>
    <t>Richard San Juan Miguel</t>
  </si>
  <si>
    <t>ALODIA U MAPANAO</t>
  </si>
  <si>
    <t>Lezzth Ibias Duran</t>
  </si>
  <si>
    <t>Lorna Sario Salagan</t>
  </si>
  <si>
    <t>JAZERA DINOPOL OYAO</t>
  </si>
  <si>
    <t>Rose Anne Cortez Maputi</t>
  </si>
  <si>
    <t>Cynthlyn Alfante Gutierez</t>
  </si>
  <si>
    <t>Johnnyline Pastor Jagdon</t>
  </si>
  <si>
    <t>Michael Rey Villaluz Biado</t>
  </si>
  <si>
    <t>RONALD S LANGBAN</t>
  </si>
  <si>
    <t>Nathaniel G Echano</t>
  </si>
  <si>
    <t>ROMMEL G. GRAGASIN</t>
  </si>
  <si>
    <t>Sheila Marie S Chua</t>
  </si>
  <si>
    <t>Haydee Asparin Espinosa</t>
  </si>
  <si>
    <t>Loel Bacatan Fajardo</t>
  </si>
  <si>
    <t>REYSHA  T.  QUIMADO</t>
  </si>
  <si>
    <t>Brian D. Lumague</t>
  </si>
  <si>
    <t>Ramer B. Panes</t>
  </si>
  <si>
    <t>RANDY R MALIWAT</t>
  </si>
  <si>
    <t>Mark Andrew Abas Dilay</t>
  </si>
  <si>
    <t>Sharmaine J. Vicente</t>
  </si>
  <si>
    <t>Jovellen G. Diaz</t>
  </si>
  <si>
    <t>MARY ANNE C LADO</t>
  </si>
  <si>
    <t>Nerichelle R Bobis</t>
  </si>
  <si>
    <t>MARLYN BARREZA SUMAYA</t>
  </si>
  <si>
    <t>Pinky Miriam D Canlas</t>
  </si>
  <si>
    <t>Roxanne C. Pimentel</t>
  </si>
  <si>
    <t>Christian Ian Caligagan Villarin</t>
  </si>
  <si>
    <t>Veronica CV Esguerra</t>
  </si>
  <si>
    <t>Ronelio N Hernandez</t>
  </si>
  <si>
    <t>Josie Delos Santos Villanueva</t>
  </si>
  <si>
    <t>Jevic Gadon Daguno</t>
  </si>
  <si>
    <t>Marlone Dagle Alejado</t>
  </si>
  <si>
    <t>Genevieve Nuñez</t>
  </si>
  <si>
    <t>Korina Sibulo Tronqued</t>
  </si>
  <si>
    <t>Bazil Nacman Cabria</t>
  </si>
  <si>
    <t>Nurhima Injani Badol</t>
  </si>
  <si>
    <t>MANUEL JR. FLORES GASCO</t>
  </si>
  <si>
    <t>Michael Angelo J. Paras</t>
  </si>
  <si>
    <t>Angelika A. Paladan</t>
  </si>
  <si>
    <t>marivic manlabao rioja</t>
  </si>
  <si>
    <t>Abdul Rafi M. Lomondaya</t>
  </si>
  <si>
    <t>Benjamin C Mina</t>
  </si>
  <si>
    <t>Julio M Ramos</t>
  </si>
  <si>
    <t>MELLANY DAVE</t>
  </si>
  <si>
    <t>RAFAEL LACBAYO SANTIAGO</t>
  </si>
  <si>
    <t>Victor Jimenez Sotelo</t>
  </si>
  <si>
    <t>Arniel A. Abellonar</t>
  </si>
  <si>
    <t>ALLAN ELIEZER M. MAL-IN</t>
  </si>
  <si>
    <t>ANECITA A. SESPEÑE</t>
  </si>
  <si>
    <t>Michael, Jr. N Quizon</t>
  </si>
  <si>
    <t>Irma Danganan Lugue</t>
  </si>
  <si>
    <t>Atila S. Barre</t>
  </si>
  <si>
    <t>ELLEN ROSE C. BAUTISTA</t>
  </si>
  <si>
    <t>Ma. Nena T. Zapico</t>
  </si>
  <si>
    <t>Lorena Pasco Bodoso</t>
  </si>
  <si>
    <t>Engimer A. Ludovice</t>
  </si>
  <si>
    <t>Jhune M Rivera</t>
  </si>
  <si>
    <t>Edmundo Jr M Abueg</t>
  </si>
  <si>
    <t>Ryan Saguyod Apolonio</t>
  </si>
  <si>
    <t>Diphdalyn Aguillo Salazar</t>
  </si>
  <si>
    <t>Czarina Facunla Palencia</t>
  </si>
  <si>
    <t>Aaron Joshua L. Reyes</t>
  </si>
  <si>
    <t>Ethyl M Deodor</t>
  </si>
  <si>
    <t>Roderick D Domasig</t>
  </si>
  <si>
    <t>Jennylyn Fernando Macapagal</t>
  </si>
  <si>
    <t>ALLEN JOY M. ESCALONA</t>
  </si>
  <si>
    <t>Jose Marlowe Torrefranca Echem</t>
  </si>
  <si>
    <t>Daisy Acero Umbina</t>
  </si>
  <si>
    <t>Rosemarie B. Rivera</t>
  </si>
  <si>
    <t>Mark J. Arceo</t>
  </si>
  <si>
    <t>Glory Vi A. Mesina</t>
  </si>
  <si>
    <t>Jhea E Ebal</t>
  </si>
  <si>
    <t>Mark Joseph Justimbaste Calinao</t>
  </si>
  <si>
    <t>Roxanne Padilla</t>
  </si>
  <si>
    <t>Elrey Garcia Belga</t>
  </si>
  <si>
    <t>Raymond Pulido Gelacio</t>
  </si>
  <si>
    <t>Lindy C. Llona</t>
  </si>
  <si>
    <t>Grace Ipongan Daniel</t>
  </si>
  <si>
    <t>Marino E Martinquilla</t>
  </si>
  <si>
    <t>LORY MAHINAY GUANI</t>
  </si>
  <si>
    <t>Rodelio Jr. Abordo Vera</t>
  </si>
  <si>
    <t>Gemma Pugong Luglug</t>
  </si>
  <si>
    <t>Liza C Dorado</t>
  </si>
  <si>
    <t>Zandro A. Samarista</t>
  </si>
  <si>
    <t>Lydia Yumang Vinculado</t>
  </si>
  <si>
    <t>Marc Alexis M Arabe</t>
  </si>
  <si>
    <t>Ciara Joy Cabrera Esteban</t>
  </si>
  <si>
    <t>Raquel Soriano Familara</t>
  </si>
  <si>
    <t>Generoso Jr. Projillo Maghopoy</t>
  </si>
  <si>
    <t>BIENVENIDA PAMAN DULCERO</t>
  </si>
  <si>
    <t>Melchor Talosig Halog</t>
  </si>
  <si>
    <t>Roy C Gonzales</t>
  </si>
  <si>
    <t>Katherine V Veracruz</t>
  </si>
  <si>
    <t>Alito D Rafales</t>
  </si>
  <si>
    <t>Melanie Calura Rufino</t>
  </si>
  <si>
    <t>Rommel T Reamico</t>
  </si>
  <si>
    <t>MARILOU DERION PEDOS</t>
  </si>
  <si>
    <t>Brett Andrew Surell</t>
  </si>
  <si>
    <t>Juanito Biadnes Acorin</t>
  </si>
  <si>
    <t>Jenalyn Julaton Acosta</t>
  </si>
  <si>
    <t>Mary Grace L. Romero</t>
  </si>
  <si>
    <t>Rodel H. Lim</t>
  </si>
  <si>
    <t>ELIZABETH S. FERNANDEZ</t>
  </si>
  <si>
    <t>Cheryl J. Siana</t>
  </si>
  <si>
    <t>Mary Zhane Acosta</t>
  </si>
  <si>
    <t>Isidro Alabag Gumpad</t>
  </si>
  <si>
    <t>Reynold Q. Velos</t>
  </si>
  <si>
    <t>Roland Dayuno Morales</t>
  </si>
  <si>
    <t>ROEL B CADAGAT</t>
  </si>
  <si>
    <t>ZORAYA B. MASAKAL</t>
  </si>
  <si>
    <t>Amelia P. Santos</t>
  </si>
  <si>
    <t>Vince Kyle Dizon Timbol</t>
  </si>
  <si>
    <t>Castor Gracilla Verdeblanco</t>
  </si>
  <si>
    <t>Aurelia Araoarao Bongcac</t>
  </si>
  <si>
    <t>Philip Al C. Estacion</t>
  </si>
  <si>
    <t>Jed D Panes</t>
  </si>
  <si>
    <t>Jasmin Macaspag Dacaynos</t>
  </si>
  <si>
    <t>EMMA SARAYAN LUBRINO</t>
  </si>
  <si>
    <t>Joel R Perez</t>
  </si>
  <si>
    <t>Leonor F.  Santos</t>
  </si>
  <si>
    <t>11/02/2020</t>
  </si>
  <si>
    <t>09/06/2020</t>
  </si>
  <si>
    <t>28/11/2019</t>
  </si>
  <si>
    <t>15/10/2019</t>
  </si>
  <si>
    <t>11/03/2019</t>
  </si>
  <si>
    <t>04/02/2020</t>
  </si>
  <si>
    <t>16/09/2019</t>
  </si>
  <si>
    <t>06/02/2019</t>
  </si>
  <si>
    <t>25/05/2015</t>
  </si>
  <si>
    <t>06/05/2020</t>
  </si>
  <si>
    <t>02/08/2020</t>
  </si>
  <si>
    <t>26/07/2020</t>
  </si>
  <si>
    <t>22/06/2020</t>
  </si>
  <si>
    <t>16/06/2020</t>
  </si>
  <si>
    <t>05/06/2020</t>
  </si>
  <si>
    <t>01/06/2020</t>
  </si>
  <si>
    <t>31/03/2020</t>
  </si>
  <si>
    <t>16/04/2020</t>
  </si>
  <si>
    <t>25/04/2020</t>
  </si>
  <si>
    <t>26/03/2020</t>
  </si>
  <si>
    <t>29/04/2020</t>
  </si>
  <si>
    <t>02/03/2020</t>
  </si>
  <si>
    <t>21/04/2020</t>
  </si>
  <si>
    <t>11/03/2020</t>
  </si>
  <si>
    <t>09/03/2020</t>
  </si>
  <si>
    <t>24/02/2020</t>
  </si>
  <si>
    <t>29/01/2020</t>
  </si>
  <si>
    <t>18/02/2020</t>
  </si>
  <si>
    <t>23/01/2020</t>
  </si>
  <si>
    <t>05/02/2020</t>
  </si>
  <si>
    <t>19/12/2019</t>
  </si>
  <si>
    <t>17/02/2020</t>
  </si>
  <si>
    <t>13/02/2020</t>
  </si>
  <si>
    <t>13/05/2020</t>
  </si>
  <si>
    <t>21/05/2020</t>
  </si>
  <si>
    <t>20/05/2020</t>
  </si>
  <si>
    <t>27/05/2020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</si>
</sst>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940"/>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HYPERLINK("https://www.philgeps.gov.ph/GEPSNONPILOT/Tender/SplashBidNoticeAbstractUI.aspx?menuIndex=3&amp;refID=7084199&amp;Result=3","7084199")</f>
        <v>0</v>
      </c>
      <c r="B2" t="s">
        <v>24</v>
      </c>
      <c r="C2" t="s">
        <v>3916</v>
      </c>
      <c r="D2" t="s">
        <v>18986</v>
      </c>
      <c r="E2" t="s">
        <v>19095</v>
      </c>
      <c r="F2" t="s">
        <v>32606</v>
      </c>
      <c r="G2" t="s">
        <v>32613</v>
      </c>
      <c r="H2" t="s">
        <v>14201</v>
      </c>
      <c r="I2" t="s">
        <v>6931</v>
      </c>
      <c r="J2" t="s">
        <v>32751</v>
      </c>
      <c r="K2" t="s">
        <v>42622</v>
      </c>
      <c r="M2" t="s">
        <v>42921</v>
      </c>
      <c r="N2" t="s">
        <v>47304</v>
      </c>
      <c r="O2" t="s">
        <v>47305</v>
      </c>
      <c r="P2">
        <v>0</v>
      </c>
      <c r="Q2">
        <v>0</v>
      </c>
      <c r="R2" t="s">
        <v>47306</v>
      </c>
      <c r="S2" t="s">
        <v>47414</v>
      </c>
      <c r="T2" t="s">
        <v>48969</v>
      </c>
      <c r="U2" t="s">
        <v>49549</v>
      </c>
      <c r="V2" t="s">
        <v>62641</v>
      </c>
      <c r="W2" t="s">
        <v>42921</v>
      </c>
      <c r="X2" t="s">
        <v>47358</v>
      </c>
    </row>
    <row r="3" spans="1:24">
      <c r="A3">
        <f>HYPERLINK("https://www.philgeps.gov.ph/GEPSNONPILOT/Tender/SplashBidNoticeAbstractUI.aspx?menuIndex=3&amp;refID=7164713&amp;Result=3","7164713")</f>
        <v>0</v>
      </c>
      <c r="B3" t="s">
        <v>25</v>
      </c>
      <c r="C3" t="s">
        <v>3917</v>
      </c>
      <c r="D3" t="s">
        <v>18987</v>
      </c>
      <c r="E3" t="s">
        <v>19096</v>
      </c>
      <c r="F3" t="s">
        <v>32607</v>
      </c>
      <c r="G3" t="s">
        <v>32613</v>
      </c>
      <c r="H3" t="s">
        <v>32623</v>
      </c>
      <c r="I3" t="s">
        <v>17648</v>
      </c>
      <c r="J3" t="s">
        <v>32752</v>
      </c>
      <c r="K3" t="s">
        <v>42623</v>
      </c>
      <c r="L3" t="s">
        <v>25</v>
      </c>
      <c r="M3" t="s">
        <v>42922</v>
      </c>
      <c r="N3" t="s">
        <v>47304</v>
      </c>
      <c r="O3" t="s">
        <v>47305</v>
      </c>
      <c r="P3">
        <v>0</v>
      </c>
      <c r="Q3">
        <v>0</v>
      </c>
      <c r="R3" t="s">
        <v>47306</v>
      </c>
      <c r="S3" t="s">
        <v>47414</v>
      </c>
      <c r="T3" t="s">
        <v>48970</v>
      </c>
      <c r="U3" t="s">
        <v>49550</v>
      </c>
      <c r="V3" t="s">
        <v>62642</v>
      </c>
      <c r="W3" t="s">
        <v>42922</v>
      </c>
      <c r="X3" t="s">
        <v>47323</v>
      </c>
    </row>
    <row r="4" spans="1:24">
      <c r="A4">
        <f>HYPERLINK("https://www.philgeps.gov.ph/GEPSNONPILOT/Tender/SplashBidNoticeAbstractUI.aspx?menuIndex=3&amp;refID=7162512&amp;Result=3","7162512")</f>
        <v>0</v>
      </c>
      <c r="B4" t="s">
        <v>26</v>
      </c>
      <c r="C4" t="s">
        <v>3918</v>
      </c>
      <c r="D4" t="s">
        <v>18988</v>
      </c>
      <c r="E4" t="s">
        <v>19097</v>
      </c>
      <c r="F4" t="s">
        <v>32606</v>
      </c>
      <c r="G4" t="s">
        <v>32614</v>
      </c>
      <c r="H4" t="s">
        <v>14201</v>
      </c>
      <c r="I4" t="s">
        <v>32626</v>
      </c>
      <c r="J4" t="s">
        <v>32753</v>
      </c>
      <c r="K4" t="s">
        <v>42624</v>
      </c>
      <c r="M4" t="s">
        <v>42923</v>
      </c>
      <c r="N4" t="s">
        <v>47304</v>
      </c>
      <c r="O4" t="s">
        <v>47305</v>
      </c>
      <c r="P4">
        <v>0</v>
      </c>
      <c r="Q4">
        <v>0</v>
      </c>
      <c r="R4" t="s">
        <v>47306</v>
      </c>
      <c r="S4" t="s">
        <v>47414</v>
      </c>
      <c r="T4" t="s">
        <v>48971</v>
      </c>
      <c r="U4" t="s">
        <v>49551</v>
      </c>
      <c r="W4" t="s">
        <v>42923</v>
      </c>
      <c r="X4" t="s">
        <v>47325</v>
      </c>
    </row>
    <row r="5" spans="1:24">
      <c r="A5">
        <f>HYPERLINK("https://www.philgeps.gov.ph/GEPSNONPILOT/Tender/SplashBidNoticeAbstractUI.aspx?menuIndex=3&amp;refID=7164966&amp;Result=3","7164966")</f>
        <v>0</v>
      </c>
      <c r="B5" t="s">
        <v>27</v>
      </c>
      <c r="C5" t="s">
        <v>3919</v>
      </c>
      <c r="D5" t="s">
        <v>18988</v>
      </c>
      <c r="E5" t="s">
        <v>19098</v>
      </c>
      <c r="F5" t="s">
        <v>32606</v>
      </c>
      <c r="G5" t="s">
        <v>32615</v>
      </c>
      <c r="H5" t="s">
        <v>14201</v>
      </c>
      <c r="I5" t="s">
        <v>32626</v>
      </c>
      <c r="J5" t="s">
        <v>32754</v>
      </c>
      <c r="K5" t="s">
        <v>42625</v>
      </c>
      <c r="M5" t="s">
        <v>42924</v>
      </c>
      <c r="N5" t="s">
        <v>47304</v>
      </c>
      <c r="O5" t="s">
        <v>47305</v>
      </c>
      <c r="P5">
        <v>0</v>
      </c>
      <c r="Q5">
        <v>0</v>
      </c>
      <c r="R5" t="s">
        <v>47306</v>
      </c>
      <c r="S5" t="s">
        <v>47414</v>
      </c>
      <c r="T5" t="s">
        <v>48972</v>
      </c>
      <c r="U5" t="s">
        <v>49552</v>
      </c>
      <c r="W5" t="s">
        <v>42924</v>
      </c>
      <c r="X5" t="s">
        <v>47323</v>
      </c>
    </row>
    <row r="6" spans="1:24">
      <c r="A6">
        <f>HYPERLINK("https://www.philgeps.gov.ph/GEPSNONPILOT/Tender/SplashBidNoticeAbstractUI.aspx?menuIndex=3&amp;refID=7164967&amp;Result=3","7164967")</f>
        <v>0</v>
      </c>
      <c r="B6" t="s">
        <v>27</v>
      </c>
      <c r="C6" t="s">
        <v>3920</v>
      </c>
      <c r="D6" t="s">
        <v>18988</v>
      </c>
      <c r="E6" t="s">
        <v>19099</v>
      </c>
      <c r="F6" t="s">
        <v>32606</v>
      </c>
      <c r="G6" t="s">
        <v>32615</v>
      </c>
      <c r="H6" t="s">
        <v>14201</v>
      </c>
      <c r="I6" t="s">
        <v>4369</v>
      </c>
      <c r="J6" t="s">
        <v>32755</v>
      </c>
      <c r="K6" t="s">
        <v>42625</v>
      </c>
      <c r="M6" t="s">
        <v>42924</v>
      </c>
      <c r="N6" t="s">
        <v>47304</v>
      </c>
      <c r="O6" t="s">
        <v>47305</v>
      </c>
      <c r="P6">
        <v>0</v>
      </c>
      <c r="Q6">
        <v>1</v>
      </c>
      <c r="R6" t="s">
        <v>47306</v>
      </c>
      <c r="S6" t="s">
        <v>47414</v>
      </c>
      <c r="T6" t="s">
        <v>48972</v>
      </c>
      <c r="U6" t="s">
        <v>49553</v>
      </c>
      <c r="W6" t="s">
        <v>42924</v>
      </c>
      <c r="X6" t="s">
        <v>47323</v>
      </c>
    </row>
    <row r="7" spans="1:24">
      <c r="A7">
        <f>HYPERLINK("https://www.philgeps.gov.ph/GEPSNONPILOT/Tender/SplashBidNoticeAbstractUI.aspx?menuIndex=3&amp;refID=7151683&amp;Result=3","7151683")</f>
        <v>0</v>
      </c>
      <c r="B7" t="s">
        <v>28</v>
      </c>
      <c r="C7" t="s">
        <v>3921</v>
      </c>
      <c r="E7" t="s">
        <v>19100</v>
      </c>
      <c r="F7" t="s">
        <v>32606</v>
      </c>
      <c r="G7" t="s">
        <v>32616</v>
      </c>
      <c r="H7" t="s">
        <v>32624</v>
      </c>
      <c r="I7" t="s">
        <v>32627</v>
      </c>
      <c r="J7" t="s">
        <v>32756</v>
      </c>
      <c r="K7" t="s">
        <v>42626</v>
      </c>
      <c r="M7" t="s">
        <v>42925</v>
      </c>
      <c r="N7" t="s">
        <v>47304</v>
      </c>
      <c r="O7" t="s">
        <v>47305</v>
      </c>
      <c r="P7">
        <v>0</v>
      </c>
      <c r="Q7">
        <v>2</v>
      </c>
      <c r="R7" t="s">
        <v>47306</v>
      </c>
      <c r="S7" t="s">
        <v>47414</v>
      </c>
      <c r="T7" t="s">
        <v>48973</v>
      </c>
      <c r="U7" t="s">
        <v>49554</v>
      </c>
      <c r="V7" t="s">
        <v>62643</v>
      </c>
      <c r="W7" t="s">
        <v>42925</v>
      </c>
      <c r="X7" t="s">
        <v>47329</v>
      </c>
    </row>
    <row r="8" spans="1:24">
      <c r="A8">
        <f>HYPERLINK("https://www.philgeps.gov.ph/GEPSNONPILOT/Tender/SplashBidNoticeAbstractUI.aspx?menuIndex=3&amp;refID=7130686&amp;Result=3","7130686")</f>
        <v>0</v>
      </c>
      <c r="B8" t="s">
        <v>24</v>
      </c>
      <c r="C8" t="s">
        <v>3922</v>
      </c>
      <c r="D8" t="s">
        <v>18986</v>
      </c>
      <c r="E8" t="s">
        <v>19101</v>
      </c>
      <c r="F8" t="s">
        <v>32606</v>
      </c>
      <c r="G8" t="s">
        <v>32613</v>
      </c>
      <c r="H8" t="s">
        <v>14201</v>
      </c>
      <c r="I8" t="s">
        <v>6931</v>
      </c>
      <c r="J8" t="s">
        <v>32757</v>
      </c>
      <c r="K8" t="s">
        <v>42622</v>
      </c>
      <c r="M8" t="s">
        <v>42921</v>
      </c>
      <c r="N8" t="s">
        <v>47304</v>
      </c>
      <c r="O8" t="s">
        <v>47305</v>
      </c>
      <c r="P8">
        <v>0</v>
      </c>
      <c r="Q8">
        <v>0</v>
      </c>
      <c r="R8" t="s">
        <v>47306</v>
      </c>
      <c r="S8" t="s">
        <v>47414</v>
      </c>
      <c r="T8" t="s">
        <v>48974</v>
      </c>
      <c r="U8" t="s">
        <v>49555</v>
      </c>
      <c r="V8" t="s">
        <v>62644</v>
      </c>
      <c r="W8" t="s">
        <v>42921</v>
      </c>
      <c r="X8" t="s">
        <v>47339</v>
      </c>
    </row>
    <row r="9" spans="1:24">
      <c r="A9">
        <f>HYPERLINK("https://www.philgeps.gov.ph/GEPSNONPILOT/Tender/SplashBidNoticeAbstractUI.aspx?menuIndex=3&amp;refID=7164959&amp;Result=3","7164959")</f>
        <v>0</v>
      </c>
      <c r="B9" t="s">
        <v>27</v>
      </c>
      <c r="C9" t="s">
        <v>3923</v>
      </c>
      <c r="D9" t="s">
        <v>18988</v>
      </c>
      <c r="E9" t="s">
        <v>19102</v>
      </c>
      <c r="F9" t="s">
        <v>32606</v>
      </c>
      <c r="G9" t="s">
        <v>32615</v>
      </c>
      <c r="H9" t="s">
        <v>14201</v>
      </c>
      <c r="I9" t="s">
        <v>4369</v>
      </c>
      <c r="J9" t="s">
        <v>32758</v>
      </c>
      <c r="K9" t="s">
        <v>42625</v>
      </c>
      <c r="M9" t="s">
        <v>42924</v>
      </c>
      <c r="N9" t="s">
        <v>47304</v>
      </c>
      <c r="O9" t="s">
        <v>47305</v>
      </c>
      <c r="P9">
        <v>0</v>
      </c>
      <c r="Q9">
        <v>1</v>
      </c>
      <c r="R9" t="s">
        <v>47306</v>
      </c>
      <c r="S9" t="s">
        <v>47414</v>
      </c>
      <c r="T9" t="s">
        <v>48975</v>
      </c>
      <c r="U9" t="s">
        <v>49553</v>
      </c>
      <c r="W9" t="s">
        <v>42924</v>
      </c>
      <c r="X9" t="s">
        <v>47323</v>
      </c>
    </row>
    <row r="10" spans="1:24">
      <c r="A10">
        <f>HYPERLINK("https://www.philgeps.gov.ph/GEPSNONPILOT/Tender/SplashBidNoticeAbstractUI.aspx?menuIndex=3&amp;refID=7147407&amp;Result=3","7147407")</f>
        <v>0</v>
      </c>
      <c r="B10" t="s">
        <v>29</v>
      </c>
      <c r="C10" t="s">
        <v>3924</v>
      </c>
      <c r="E10" t="s">
        <v>19103</v>
      </c>
      <c r="F10" t="s">
        <v>32606</v>
      </c>
      <c r="G10" t="s">
        <v>32613</v>
      </c>
      <c r="H10" t="s">
        <v>32623</v>
      </c>
      <c r="I10" t="s">
        <v>32628</v>
      </c>
      <c r="J10" t="s">
        <v>32759</v>
      </c>
      <c r="K10" t="s">
        <v>42624</v>
      </c>
      <c r="M10" t="s">
        <v>42926</v>
      </c>
      <c r="N10" t="s">
        <v>47304</v>
      </c>
      <c r="O10" t="s">
        <v>47305</v>
      </c>
      <c r="P10">
        <v>0</v>
      </c>
      <c r="Q10">
        <v>0</v>
      </c>
      <c r="R10" t="s">
        <v>47306</v>
      </c>
      <c r="S10" t="s">
        <v>47414</v>
      </c>
      <c r="T10" t="s">
        <v>48976</v>
      </c>
      <c r="U10" t="s">
        <v>49556</v>
      </c>
      <c r="W10" t="s">
        <v>42926</v>
      </c>
      <c r="X10" t="s">
        <v>47332</v>
      </c>
    </row>
    <row r="11" spans="1:24">
      <c r="A11">
        <f>HYPERLINK("https://www.philgeps.gov.ph/GEPSNONPILOT/Tender/SplashBidNoticeAbstractUI.aspx?menuIndex=3&amp;refID=7168795&amp;Result=3","7168795")</f>
        <v>0</v>
      </c>
      <c r="B11" t="s">
        <v>30</v>
      </c>
      <c r="C11" t="s">
        <v>3925</v>
      </c>
      <c r="D11" t="s">
        <v>18989</v>
      </c>
      <c r="E11" t="s">
        <v>19104</v>
      </c>
      <c r="F11" t="s">
        <v>32606</v>
      </c>
      <c r="G11" t="s">
        <v>32614</v>
      </c>
      <c r="H11" t="s">
        <v>14201</v>
      </c>
      <c r="I11" t="s">
        <v>6309</v>
      </c>
      <c r="J11" t="s">
        <v>32760</v>
      </c>
      <c r="K11" t="s">
        <v>42627</v>
      </c>
      <c r="M11" t="s">
        <v>42927</v>
      </c>
      <c r="N11" t="s">
        <v>47304</v>
      </c>
      <c r="O11" t="s">
        <v>47305</v>
      </c>
      <c r="P11">
        <v>0</v>
      </c>
      <c r="Q11">
        <v>1</v>
      </c>
      <c r="R11" t="s">
        <v>47306</v>
      </c>
      <c r="S11" t="s">
        <v>47414</v>
      </c>
      <c r="T11" t="s">
        <v>48977</v>
      </c>
      <c r="U11" t="s">
        <v>49557</v>
      </c>
      <c r="V11" t="s">
        <v>62645</v>
      </c>
      <c r="W11" t="s">
        <v>42927</v>
      </c>
      <c r="X11" t="s">
        <v>47321</v>
      </c>
    </row>
    <row r="12" spans="1:24">
      <c r="A12">
        <f>HYPERLINK("https://www.philgeps.gov.ph/GEPSNONPILOT/Tender/SplashBidNoticeAbstractUI.aspx?menuIndex=3&amp;refID=7164871&amp;Result=3","7164871")</f>
        <v>0</v>
      </c>
      <c r="B12" t="s">
        <v>27</v>
      </c>
      <c r="C12" t="s">
        <v>3926</v>
      </c>
      <c r="D12" t="s">
        <v>18988</v>
      </c>
      <c r="E12" t="s">
        <v>19105</v>
      </c>
      <c r="F12" t="s">
        <v>32606</v>
      </c>
      <c r="G12" t="s">
        <v>32615</v>
      </c>
      <c r="H12" t="s">
        <v>14201</v>
      </c>
      <c r="I12" t="s">
        <v>4114</v>
      </c>
      <c r="J12" t="s">
        <v>32761</v>
      </c>
      <c r="K12" t="s">
        <v>42625</v>
      </c>
      <c r="M12" t="s">
        <v>42924</v>
      </c>
      <c r="N12" t="s">
        <v>47304</v>
      </c>
      <c r="O12" t="s">
        <v>47305</v>
      </c>
      <c r="P12">
        <v>0</v>
      </c>
      <c r="Q12">
        <v>1</v>
      </c>
      <c r="R12" t="s">
        <v>47306</v>
      </c>
      <c r="S12" t="s">
        <v>47414</v>
      </c>
      <c r="T12" t="s">
        <v>48972</v>
      </c>
      <c r="U12" t="s">
        <v>49552</v>
      </c>
      <c r="W12" t="s">
        <v>42924</v>
      </c>
      <c r="X12" t="s">
        <v>47323</v>
      </c>
    </row>
    <row r="13" spans="1:24">
      <c r="A13">
        <f>HYPERLINK("https://www.philgeps.gov.ph/GEPSNONPILOT/Tender/SplashBidNoticeAbstractUI.aspx?menuIndex=3&amp;refID=7162052&amp;Result=3","7162052")</f>
        <v>0</v>
      </c>
      <c r="B13" t="s">
        <v>31</v>
      </c>
      <c r="C13" t="s">
        <v>3927</v>
      </c>
      <c r="D13" t="s">
        <v>18990</v>
      </c>
      <c r="E13" t="s">
        <v>19106</v>
      </c>
      <c r="F13" t="s">
        <v>32606</v>
      </c>
      <c r="G13" t="s">
        <v>32613</v>
      </c>
      <c r="H13" t="s">
        <v>32623</v>
      </c>
      <c r="I13" t="s">
        <v>17648</v>
      </c>
      <c r="J13" t="s">
        <v>32762</v>
      </c>
      <c r="K13" t="s">
        <v>42628</v>
      </c>
      <c r="M13" t="s">
        <v>42928</v>
      </c>
      <c r="N13" t="s">
        <v>47304</v>
      </c>
      <c r="O13" t="s">
        <v>47305</v>
      </c>
      <c r="P13">
        <v>0</v>
      </c>
      <c r="Q13">
        <v>2</v>
      </c>
      <c r="R13" t="s">
        <v>47306</v>
      </c>
      <c r="S13" t="s">
        <v>47414</v>
      </c>
      <c r="T13" t="s">
        <v>48978</v>
      </c>
      <c r="U13" t="s">
        <v>49558</v>
      </c>
      <c r="V13" t="s">
        <v>62646</v>
      </c>
      <c r="W13" t="s">
        <v>42928</v>
      </c>
      <c r="X13" t="s">
        <v>47325</v>
      </c>
    </row>
    <row r="14" spans="1:24">
      <c r="A14">
        <f>HYPERLINK("https://www.philgeps.gov.ph/GEPSNONPILOT/Tender/SplashBidNoticeAbstractUI.aspx?menuIndex=3&amp;refID=7167096&amp;Result=3","7167096")</f>
        <v>0</v>
      </c>
      <c r="B14" t="s">
        <v>32</v>
      </c>
      <c r="C14" t="s">
        <v>3928</v>
      </c>
      <c r="D14" t="s">
        <v>18991</v>
      </c>
      <c r="E14" t="s">
        <v>19107</v>
      </c>
      <c r="F14" t="s">
        <v>32606</v>
      </c>
      <c r="G14" t="s">
        <v>32617</v>
      </c>
      <c r="H14" t="s">
        <v>14201</v>
      </c>
      <c r="I14" t="s">
        <v>6478</v>
      </c>
      <c r="J14" t="s">
        <v>32763</v>
      </c>
      <c r="K14" t="s">
        <v>42629</v>
      </c>
      <c r="M14" t="s">
        <v>42929</v>
      </c>
      <c r="N14" t="s">
        <v>47304</v>
      </c>
      <c r="O14" t="s">
        <v>47305</v>
      </c>
      <c r="P14">
        <v>0</v>
      </c>
      <c r="Q14">
        <v>3</v>
      </c>
      <c r="R14" t="s">
        <v>47306</v>
      </c>
      <c r="S14" t="s">
        <v>47414</v>
      </c>
      <c r="T14" t="s">
        <v>48979</v>
      </c>
      <c r="U14" t="s">
        <v>49559</v>
      </c>
      <c r="W14" t="s">
        <v>42929</v>
      </c>
      <c r="X14" t="s">
        <v>47322</v>
      </c>
    </row>
    <row r="15" spans="1:24">
      <c r="A15">
        <f>HYPERLINK("https://www.philgeps.gov.ph/GEPSNONPILOT/Tender/SplashBidNoticeAbstractUI.aspx?menuIndex=3&amp;refID=7169819&amp;Result=3","7169819")</f>
        <v>0</v>
      </c>
      <c r="B15" t="s">
        <v>33</v>
      </c>
      <c r="C15" t="s">
        <v>3929</v>
      </c>
      <c r="D15" t="s">
        <v>18992</v>
      </c>
      <c r="E15" t="s">
        <v>19108</v>
      </c>
      <c r="F15" t="s">
        <v>32606</v>
      </c>
      <c r="G15" t="s">
        <v>32614</v>
      </c>
      <c r="H15" t="s">
        <v>14201</v>
      </c>
      <c r="I15" t="s">
        <v>32629</v>
      </c>
      <c r="J15" t="s">
        <v>32764</v>
      </c>
      <c r="K15" t="s">
        <v>42630</v>
      </c>
      <c r="M15" t="s">
        <v>42930</v>
      </c>
      <c r="N15" t="s">
        <v>47304</v>
      </c>
      <c r="O15" t="s">
        <v>47305</v>
      </c>
      <c r="P15">
        <v>0</v>
      </c>
      <c r="Q15">
        <v>0</v>
      </c>
      <c r="R15" t="s">
        <v>47306</v>
      </c>
      <c r="S15" t="s">
        <v>47414</v>
      </c>
      <c r="T15" t="s">
        <v>48980</v>
      </c>
      <c r="U15" t="s">
        <v>49560</v>
      </c>
      <c r="W15" t="s">
        <v>42930</v>
      </c>
      <c r="X15" t="s">
        <v>47321</v>
      </c>
    </row>
    <row r="16" spans="1:24">
      <c r="A16">
        <f>HYPERLINK("https://www.philgeps.gov.ph/GEPSNONPILOT/Tender/SplashBidNoticeAbstractUI.aspx?menuIndex=3&amp;refID=7166499&amp;Result=3","7166499")</f>
        <v>0</v>
      </c>
      <c r="B16" t="s">
        <v>34</v>
      </c>
      <c r="C16" t="s">
        <v>3930</v>
      </c>
      <c r="D16" t="s">
        <v>18993</v>
      </c>
      <c r="E16" t="s">
        <v>19109</v>
      </c>
      <c r="F16" t="s">
        <v>32606</v>
      </c>
      <c r="G16" t="s">
        <v>32613</v>
      </c>
      <c r="H16" t="s">
        <v>14201</v>
      </c>
      <c r="I16" t="s">
        <v>32630</v>
      </c>
      <c r="J16" t="s">
        <v>32765</v>
      </c>
      <c r="K16" t="s">
        <v>42631</v>
      </c>
      <c r="M16" t="s">
        <v>42931</v>
      </c>
      <c r="N16" t="s">
        <v>47304</v>
      </c>
      <c r="O16" t="s">
        <v>47305</v>
      </c>
      <c r="P16">
        <v>0</v>
      </c>
      <c r="Q16">
        <v>1</v>
      </c>
      <c r="R16" t="s">
        <v>47306</v>
      </c>
      <c r="S16" t="s">
        <v>47414</v>
      </c>
      <c r="T16" t="s">
        <v>48981</v>
      </c>
      <c r="U16" t="s">
        <v>49561</v>
      </c>
      <c r="W16" t="s">
        <v>42931</v>
      </c>
      <c r="X16" t="s">
        <v>47322</v>
      </c>
    </row>
    <row r="17" spans="1:24">
      <c r="A17">
        <f>HYPERLINK("https://www.philgeps.gov.ph/GEPSNONPILOT/Tender/SplashBidNoticeAbstractUI.aspx?menuIndex=3&amp;refID=7173846&amp;Result=3","7173846")</f>
        <v>0</v>
      </c>
      <c r="B17" t="s">
        <v>35</v>
      </c>
      <c r="C17" t="s">
        <v>3931</v>
      </c>
      <c r="D17" t="s">
        <v>18994</v>
      </c>
      <c r="E17" t="s">
        <v>19110</v>
      </c>
      <c r="F17" t="s">
        <v>32606</v>
      </c>
      <c r="G17" t="s">
        <v>32617</v>
      </c>
      <c r="H17" t="s">
        <v>14201</v>
      </c>
      <c r="I17" t="s">
        <v>6478</v>
      </c>
      <c r="J17" t="s">
        <v>32766</v>
      </c>
      <c r="K17" t="s">
        <v>42632</v>
      </c>
      <c r="M17" t="s">
        <v>42932</v>
      </c>
      <c r="N17" t="s">
        <v>47304</v>
      </c>
      <c r="O17" t="s">
        <v>47305</v>
      </c>
      <c r="P17">
        <v>0</v>
      </c>
      <c r="Q17">
        <v>0</v>
      </c>
      <c r="R17" t="s">
        <v>47306</v>
      </c>
      <c r="S17" t="s">
        <v>47414</v>
      </c>
      <c r="T17" t="s">
        <v>48979</v>
      </c>
      <c r="U17" t="s">
        <v>49562</v>
      </c>
      <c r="W17" t="s">
        <v>42932</v>
      </c>
      <c r="X17" t="s">
        <v>47320</v>
      </c>
    </row>
    <row r="18" spans="1:24">
      <c r="A18">
        <f>HYPERLINK("https://www.philgeps.gov.ph/GEPSNONPILOT/Tender/SplashBidNoticeAbstractUI.aspx?menuIndex=3&amp;refID=7182690&amp;Result=3","7182690")</f>
        <v>0</v>
      </c>
      <c r="B18" t="s">
        <v>36</v>
      </c>
      <c r="C18" t="s">
        <v>3932</v>
      </c>
      <c r="D18" t="s">
        <v>18995</v>
      </c>
      <c r="E18" t="s">
        <v>19111</v>
      </c>
      <c r="F18" t="s">
        <v>32606</v>
      </c>
      <c r="G18" t="s">
        <v>32613</v>
      </c>
      <c r="H18" t="s">
        <v>32623</v>
      </c>
      <c r="I18" t="s">
        <v>17648</v>
      </c>
      <c r="J18" t="s">
        <v>32767</v>
      </c>
      <c r="K18" t="s">
        <v>42624</v>
      </c>
      <c r="M18" t="s">
        <v>42933</v>
      </c>
      <c r="N18" t="s">
        <v>47304</v>
      </c>
      <c r="O18" t="s">
        <v>47305</v>
      </c>
      <c r="P18">
        <v>0</v>
      </c>
      <c r="Q18">
        <v>1</v>
      </c>
      <c r="R18" t="s">
        <v>47306</v>
      </c>
      <c r="S18" t="s">
        <v>47414</v>
      </c>
      <c r="T18" t="s">
        <v>48982</v>
      </c>
      <c r="U18" t="s">
        <v>49563</v>
      </c>
      <c r="V18" t="s">
        <v>62647</v>
      </c>
      <c r="W18" t="s">
        <v>42933</v>
      </c>
      <c r="X18" t="s">
        <v>47315</v>
      </c>
    </row>
    <row r="19" spans="1:24">
      <c r="A19">
        <f>HYPERLINK("https://www.philgeps.gov.ph/GEPSNONPILOT/Tender/SplashBidNoticeAbstractUI.aspx?menuIndex=3&amp;refID=7164972&amp;Result=3","7164972")</f>
        <v>0</v>
      </c>
      <c r="B19" t="s">
        <v>27</v>
      </c>
      <c r="C19" t="s">
        <v>3933</v>
      </c>
      <c r="D19" t="s">
        <v>18996</v>
      </c>
      <c r="E19" t="s">
        <v>19112</v>
      </c>
      <c r="F19" t="s">
        <v>32606</v>
      </c>
      <c r="G19" t="s">
        <v>32615</v>
      </c>
      <c r="H19" t="s">
        <v>14201</v>
      </c>
      <c r="I19" t="s">
        <v>4114</v>
      </c>
      <c r="J19" t="s">
        <v>32768</v>
      </c>
      <c r="K19" t="s">
        <v>42625</v>
      </c>
      <c r="M19" t="s">
        <v>42924</v>
      </c>
      <c r="N19" t="s">
        <v>47304</v>
      </c>
      <c r="O19" t="s">
        <v>47305</v>
      </c>
      <c r="P19">
        <v>0</v>
      </c>
      <c r="Q19">
        <v>1</v>
      </c>
      <c r="R19" t="s">
        <v>47306</v>
      </c>
      <c r="S19" t="s">
        <v>47414</v>
      </c>
      <c r="T19" t="s">
        <v>48972</v>
      </c>
      <c r="U19" t="s">
        <v>49552</v>
      </c>
      <c r="W19" t="s">
        <v>42924</v>
      </c>
      <c r="X19" t="s">
        <v>47323</v>
      </c>
    </row>
    <row r="20" spans="1:24">
      <c r="A20">
        <f>HYPERLINK("https://www.philgeps.gov.ph/GEPSNONPILOT/Tender/SplashBidNoticeAbstractUI.aspx?menuIndex=3&amp;refID=7182654&amp;Result=3","7182654")</f>
        <v>0</v>
      </c>
      <c r="B20" t="s">
        <v>36</v>
      </c>
      <c r="C20" t="s">
        <v>3934</v>
      </c>
      <c r="D20" t="s">
        <v>18995</v>
      </c>
      <c r="E20" t="s">
        <v>19113</v>
      </c>
      <c r="F20" t="s">
        <v>32606</v>
      </c>
      <c r="G20" t="s">
        <v>32613</v>
      </c>
      <c r="H20" t="s">
        <v>32623</v>
      </c>
      <c r="I20" t="s">
        <v>17648</v>
      </c>
      <c r="J20" t="s">
        <v>32767</v>
      </c>
      <c r="K20" t="s">
        <v>42624</v>
      </c>
      <c r="M20" t="s">
        <v>42933</v>
      </c>
      <c r="N20" t="s">
        <v>47304</v>
      </c>
      <c r="O20" t="s">
        <v>47305</v>
      </c>
      <c r="P20">
        <v>0</v>
      </c>
      <c r="Q20">
        <v>1</v>
      </c>
      <c r="R20" t="s">
        <v>47306</v>
      </c>
      <c r="S20" t="s">
        <v>47414</v>
      </c>
      <c r="T20" t="s">
        <v>48982</v>
      </c>
      <c r="U20" t="s">
        <v>49564</v>
      </c>
      <c r="V20" t="s">
        <v>62648</v>
      </c>
      <c r="W20" t="s">
        <v>42933</v>
      </c>
      <c r="X20" t="s">
        <v>47315</v>
      </c>
    </row>
    <row r="21" spans="1:24">
      <c r="A21">
        <f>HYPERLINK("https://www.philgeps.gov.ph/GEPSNONPILOT/Tender/SplashBidNoticeAbstractUI.aspx?menuIndex=3&amp;refID=7183063&amp;Result=3","7183063")</f>
        <v>0</v>
      </c>
      <c r="B21" t="s">
        <v>37</v>
      </c>
      <c r="C21" t="s">
        <v>3935</v>
      </c>
      <c r="D21" t="s">
        <v>18997</v>
      </c>
      <c r="E21" t="s">
        <v>19114</v>
      </c>
      <c r="F21" t="s">
        <v>32606</v>
      </c>
      <c r="G21" t="s">
        <v>32613</v>
      </c>
      <c r="H21" t="s">
        <v>32623</v>
      </c>
      <c r="I21" t="s">
        <v>17648</v>
      </c>
      <c r="J21" t="s">
        <v>32769</v>
      </c>
      <c r="K21" t="s">
        <v>42633</v>
      </c>
      <c r="M21" t="s">
        <v>42934</v>
      </c>
      <c r="N21" t="s">
        <v>47304</v>
      </c>
      <c r="O21" t="s">
        <v>47305</v>
      </c>
      <c r="P21">
        <v>0</v>
      </c>
      <c r="Q21">
        <v>1</v>
      </c>
      <c r="R21" t="s">
        <v>47306</v>
      </c>
      <c r="S21" t="s">
        <v>47414</v>
      </c>
      <c r="T21" t="s">
        <v>48983</v>
      </c>
      <c r="U21" t="s">
        <v>49565</v>
      </c>
      <c r="W21" t="s">
        <v>42934</v>
      </c>
      <c r="X21" t="s">
        <v>47315</v>
      </c>
    </row>
    <row r="22" spans="1:24">
      <c r="A22">
        <f>HYPERLINK("https://www.philgeps.gov.ph/GEPSNONPILOT/Tender/SplashBidNoticeAbstractUI.aspx?menuIndex=3&amp;refID=7182787&amp;Result=3","7182787")</f>
        <v>0</v>
      </c>
      <c r="B22" t="s">
        <v>36</v>
      </c>
      <c r="C22" t="s">
        <v>3936</v>
      </c>
      <c r="D22" t="s">
        <v>18995</v>
      </c>
      <c r="E22" t="s">
        <v>19115</v>
      </c>
      <c r="F22" t="s">
        <v>32606</v>
      </c>
      <c r="G22" t="s">
        <v>32613</v>
      </c>
      <c r="H22" t="s">
        <v>32623</v>
      </c>
      <c r="I22" t="s">
        <v>17648</v>
      </c>
      <c r="J22" t="s">
        <v>32770</v>
      </c>
      <c r="K22" t="s">
        <v>42624</v>
      </c>
      <c r="M22" t="s">
        <v>42933</v>
      </c>
      <c r="N22" t="s">
        <v>47304</v>
      </c>
      <c r="O22" t="s">
        <v>47305</v>
      </c>
      <c r="P22">
        <v>0</v>
      </c>
      <c r="Q22">
        <v>1</v>
      </c>
      <c r="R22" t="s">
        <v>47306</v>
      </c>
      <c r="S22" t="s">
        <v>47414</v>
      </c>
      <c r="T22" t="s">
        <v>48982</v>
      </c>
      <c r="U22" t="s">
        <v>49566</v>
      </c>
      <c r="V22" t="s">
        <v>62649</v>
      </c>
      <c r="W22" t="s">
        <v>42933</v>
      </c>
      <c r="X22" t="s">
        <v>47315</v>
      </c>
    </row>
    <row r="23" spans="1:24">
      <c r="A23">
        <f>HYPERLINK("https://www.philgeps.gov.ph/GEPSNONPILOT/Tender/SplashBidNoticeAbstractUI.aspx?menuIndex=3&amp;refID=7182766&amp;Result=3","7182766")</f>
        <v>0</v>
      </c>
      <c r="B23" t="s">
        <v>36</v>
      </c>
      <c r="C23" t="s">
        <v>3937</v>
      </c>
      <c r="D23" t="s">
        <v>18995</v>
      </c>
      <c r="E23" t="s">
        <v>19116</v>
      </c>
      <c r="F23" t="s">
        <v>32606</v>
      </c>
      <c r="G23" t="s">
        <v>32613</v>
      </c>
      <c r="H23" t="s">
        <v>32623</v>
      </c>
      <c r="I23" t="s">
        <v>17648</v>
      </c>
      <c r="J23" t="s">
        <v>32771</v>
      </c>
      <c r="K23" t="s">
        <v>42624</v>
      </c>
      <c r="M23" t="s">
        <v>42933</v>
      </c>
      <c r="N23" t="s">
        <v>47304</v>
      </c>
      <c r="O23" t="s">
        <v>47305</v>
      </c>
      <c r="P23">
        <v>0</v>
      </c>
      <c r="Q23">
        <v>1</v>
      </c>
      <c r="R23" t="s">
        <v>47306</v>
      </c>
      <c r="S23" t="s">
        <v>47414</v>
      </c>
      <c r="T23" t="s">
        <v>48982</v>
      </c>
      <c r="U23" t="s">
        <v>49567</v>
      </c>
      <c r="V23" t="s">
        <v>62650</v>
      </c>
      <c r="W23" t="s">
        <v>42933</v>
      </c>
      <c r="X23" t="s">
        <v>47315</v>
      </c>
    </row>
    <row r="24" spans="1:24">
      <c r="A24">
        <f>HYPERLINK("https://www.philgeps.gov.ph/GEPSNONPILOT/Tender/SplashBidNoticeAbstractUI.aspx?menuIndex=3&amp;refID=7182717&amp;Result=3","7182717")</f>
        <v>0</v>
      </c>
      <c r="B24" t="s">
        <v>36</v>
      </c>
      <c r="C24" t="s">
        <v>3938</v>
      </c>
      <c r="D24" t="s">
        <v>18995</v>
      </c>
      <c r="E24" t="s">
        <v>19117</v>
      </c>
      <c r="F24" t="s">
        <v>32606</v>
      </c>
      <c r="G24" t="s">
        <v>32613</v>
      </c>
      <c r="H24" t="s">
        <v>32623</v>
      </c>
      <c r="I24" t="s">
        <v>17648</v>
      </c>
      <c r="J24" t="s">
        <v>32772</v>
      </c>
      <c r="K24" t="s">
        <v>42624</v>
      </c>
      <c r="M24" t="s">
        <v>42933</v>
      </c>
      <c r="N24" t="s">
        <v>47304</v>
      </c>
      <c r="O24" t="s">
        <v>47305</v>
      </c>
      <c r="P24">
        <v>0</v>
      </c>
      <c r="Q24">
        <v>1</v>
      </c>
      <c r="R24" t="s">
        <v>47306</v>
      </c>
      <c r="S24" t="s">
        <v>47414</v>
      </c>
      <c r="T24" t="s">
        <v>48982</v>
      </c>
      <c r="U24" t="s">
        <v>49568</v>
      </c>
      <c r="V24" t="s">
        <v>62651</v>
      </c>
      <c r="W24" t="s">
        <v>42933</v>
      </c>
      <c r="X24" t="s">
        <v>47315</v>
      </c>
    </row>
    <row r="25" spans="1:24">
      <c r="A25">
        <f>HYPERLINK("https://www.philgeps.gov.ph/GEPSNONPILOT/Tender/SplashBidNoticeAbstractUI.aspx?menuIndex=3&amp;refID=7180445&amp;Result=3","7180445")</f>
        <v>0</v>
      </c>
      <c r="B25" t="s">
        <v>38</v>
      </c>
      <c r="C25" t="s">
        <v>3939</v>
      </c>
      <c r="D25" t="s">
        <v>18998</v>
      </c>
      <c r="E25" t="s">
        <v>19118</v>
      </c>
      <c r="F25" t="s">
        <v>32606</v>
      </c>
      <c r="G25" t="s">
        <v>32614</v>
      </c>
      <c r="H25" t="s">
        <v>14201</v>
      </c>
      <c r="I25" t="s">
        <v>32631</v>
      </c>
      <c r="J25" t="s">
        <v>32773</v>
      </c>
      <c r="K25" t="s">
        <v>42631</v>
      </c>
      <c r="M25" t="s">
        <v>42935</v>
      </c>
      <c r="N25" t="s">
        <v>47304</v>
      </c>
      <c r="O25" t="s">
        <v>47305</v>
      </c>
      <c r="P25">
        <v>0</v>
      </c>
      <c r="Q25">
        <v>0</v>
      </c>
      <c r="R25" t="s">
        <v>47306</v>
      </c>
      <c r="S25" t="s">
        <v>47414</v>
      </c>
      <c r="T25" t="s">
        <v>48984</v>
      </c>
      <c r="U25" t="s">
        <v>49569</v>
      </c>
      <c r="W25" t="s">
        <v>64419</v>
      </c>
      <c r="X25" t="s">
        <v>47316</v>
      </c>
    </row>
    <row r="26" spans="1:24">
      <c r="A26">
        <f>HYPERLINK("https://www.philgeps.gov.ph/GEPSNONPILOT/Tender/SplashBidNoticeAbstractUI.aspx?menuIndex=3&amp;refID=7180437&amp;Result=3","7180437")</f>
        <v>0</v>
      </c>
      <c r="B26" t="s">
        <v>39</v>
      </c>
      <c r="C26" t="s">
        <v>3940</v>
      </c>
      <c r="D26" t="s">
        <v>18990</v>
      </c>
      <c r="E26" t="s">
        <v>19119</v>
      </c>
      <c r="F26" t="s">
        <v>32606</v>
      </c>
      <c r="G26" t="s">
        <v>32613</v>
      </c>
      <c r="H26" t="s">
        <v>32623</v>
      </c>
      <c r="I26" t="s">
        <v>17648</v>
      </c>
      <c r="J26" t="s">
        <v>32774</v>
      </c>
      <c r="K26" t="s">
        <v>42634</v>
      </c>
      <c r="M26" t="s">
        <v>42936</v>
      </c>
      <c r="N26" t="s">
        <v>47304</v>
      </c>
      <c r="O26" t="s">
        <v>47305</v>
      </c>
      <c r="P26">
        <v>0</v>
      </c>
      <c r="Q26">
        <v>0</v>
      </c>
      <c r="R26" t="s">
        <v>47306</v>
      </c>
      <c r="S26" t="s">
        <v>47414</v>
      </c>
      <c r="T26" t="s">
        <v>48985</v>
      </c>
      <c r="U26" t="s">
        <v>49570</v>
      </c>
      <c r="W26" t="s">
        <v>42936</v>
      </c>
      <c r="X26" t="s">
        <v>47316</v>
      </c>
    </row>
    <row r="27" spans="1:24">
      <c r="A27">
        <f>HYPERLINK("https://www.philgeps.gov.ph/GEPSNONPILOT/Tender/SplashBidNoticeAbstractUI.aspx?menuIndex=3&amp;refID=7174818&amp;Result=3","7174818")</f>
        <v>0</v>
      </c>
      <c r="B27" t="s">
        <v>40</v>
      </c>
      <c r="C27" t="s">
        <v>3941</v>
      </c>
      <c r="D27" t="s">
        <v>18999</v>
      </c>
      <c r="E27" t="s">
        <v>19120</v>
      </c>
      <c r="F27" t="s">
        <v>32606</v>
      </c>
      <c r="G27" t="s">
        <v>32617</v>
      </c>
      <c r="H27" t="s">
        <v>14201</v>
      </c>
      <c r="I27" t="s">
        <v>6478</v>
      </c>
      <c r="J27" t="s">
        <v>32775</v>
      </c>
      <c r="K27" t="s">
        <v>42623</v>
      </c>
      <c r="M27" t="s">
        <v>42937</v>
      </c>
      <c r="N27" t="s">
        <v>47304</v>
      </c>
      <c r="O27" t="s">
        <v>47305</v>
      </c>
      <c r="P27">
        <v>0</v>
      </c>
      <c r="Q27">
        <v>1</v>
      </c>
      <c r="R27" t="s">
        <v>47306</v>
      </c>
      <c r="S27" t="s">
        <v>47414</v>
      </c>
      <c r="T27" t="s">
        <v>48979</v>
      </c>
      <c r="U27" t="s">
        <v>49571</v>
      </c>
      <c r="W27" t="s">
        <v>42937</v>
      </c>
      <c r="X27" t="s">
        <v>47319</v>
      </c>
    </row>
    <row r="28" spans="1:24">
      <c r="A28">
        <f>HYPERLINK("https://www.philgeps.gov.ph/GEPSNONPILOT/Tender/SplashBidNoticeAbstractUI.aspx?menuIndex=3&amp;refID=7178832&amp;Result=3","7178832")</f>
        <v>0</v>
      </c>
      <c r="B28" t="s">
        <v>41</v>
      </c>
      <c r="C28" t="s">
        <v>3942</v>
      </c>
      <c r="D28" t="s">
        <v>19000</v>
      </c>
      <c r="E28" t="s">
        <v>19121</v>
      </c>
      <c r="F28" t="s">
        <v>32606</v>
      </c>
      <c r="G28" t="s">
        <v>32613</v>
      </c>
      <c r="H28" t="s">
        <v>32623</v>
      </c>
      <c r="I28" t="s">
        <v>17648</v>
      </c>
      <c r="J28" t="s">
        <v>32776</v>
      </c>
      <c r="K28" t="s">
        <v>42635</v>
      </c>
      <c r="M28" t="s">
        <v>42938</v>
      </c>
      <c r="N28" t="s">
        <v>47304</v>
      </c>
      <c r="O28" t="s">
        <v>47305</v>
      </c>
      <c r="P28">
        <v>0</v>
      </c>
      <c r="Q28">
        <v>0</v>
      </c>
      <c r="R28" t="s">
        <v>47306</v>
      </c>
      <c r="S28" t="s">
        <v>47414</v>
      </c>
      <c r="T28" t="s">
        <v>48986</v>
      </c>
      <c r="U28" t="s">
        <v>49572</v>
      </c>
      <c r="W28" t="s">
        <v>42938</v>
      </c>
      <c r="X28" t="s">
        <v>47318</v>
      </c>
    </row>
    <row r="29" spans="1:24">
      <c r="A29">
        <f>HYPERLINK("https://www.philgeps.gov.ph/GEPSNONPILOT/Tender/SplashBidNoticeAbstractUI.aspx?menuIndex=3&amp;refID=7172183&amp;Result=3","7172183")</f>
        <v>0</v>
      </c>
      <c r="B29" t="s">
        <v>42</v>
      </c>
      <c r="C29" t="s">
        <v>3943</v>
      </c>
      <c r="E29" t="s">
        <v>19122</v>
      </c>
      <c r="F29" t="s">
        <v>32606</v>
      </c>
      <c r="G29" t="s">
        <v>32614</v>
      </c>
      <c r="H29" t="s">
        <v>14201</v>
      </c>
      <c r="I29" t="s">
        <v>32632</v>
      </c>
      <c r="J29" t="s">
        <v>32777</v>
      </c>
      <c r="K29" t="s">
        <v>42630</v>
      </c>
      <c r="M29" t="s">
        <v>42939</v>
      </c>
      <c r="N29" t="s">
        <v>47304</v>
      </c>
      <c r="O29" t="s">
        <v>47305</v>
      </c>
      <c r="P29">
        <v>0</v>
      </c>
      <c r="Q29">
        <v>3</v>
      </c>
      <c r="R29" t="s">
        <v>47306</v>
      </c>
      <c r="S29" t="s">
        <v>47414</v>
      </c>
      <c r="T29" t="s">
        <v>48987</v>
      </c>
      <c r="U29" t="s">
        <v>49573</v>
      </c>
      <c r="W29" t="s">
        <v>42939</v>
      </c>
      <c r="X29" t="s">
        <v>47320</v>
      </c>
    </row>
    <row r="30" spans="1:24">
      <c r="A30">
        <f>HYPERLINK("https://www.philgeps.gov.ph/GEPSNONPILOT/Tender/SplashBidNoticeAbstractUI.aspx?menuIndex=3&amp;refID=7178779&amp;Result=3","7178779")</f>
        <v>0</v>
      </c>
      <c r="B30" t="s">
        <v>43</v>
      </c>
      <c r="C30" t="s">
        <v>3942</v>
      </c>
      <c r="D30" t="s">
        <v>19000</v>
      </c>
      <c r="E30" t="s">
        <v>19123</v>
      </c>
      <c r="F30" t="s">
        <v>32606</v>
      </c>
      <c r="G30" t="s">
        <v>32613</v>
      </c>
      <c r="H30" t="s">
        <v>32623</v>
      </c>
      <c r="I30" t="s">
        <v>17648</v>
      </c>
      <c r="J30" t="s">
        <v>32778</v>
      </c>
      <c r="K30" t="s">
        <v>42623</v>
      </c>
      <c r="M30" t="s">
        <v>42940</v>
      </c>
      <c r="N30" t="s">
        <v>47304</v>
      </c>
      <c r="O30" t="s">
        <v>47305</v>
      </c>
      <c r="P30">
        <v>0</v>
      </c>
      <c r="Q30">
        <v>0</v>
      </c>
      <c r="R30" t="s">
        <v>47306</v>
      </c>
      <c r="S30" t="s">
        <v>47414</v>
      </c>
      <c r="T30" t="s">
        <v>48986</v>
      </c>
      <c r="U30" t="s">
        <v>49574</v>
      </c>
      <c r="W30" t="s">
        <v>42940</v>
      </c>
      <c r="X30" t="s">
        <v>47318</v>
      </c>
    </row>
    <row r="31" spans="1:24">
      <c r="A31">
        <f>HYPERLINK("https://www.philgeps.gov.ph/GEPSNONPILOT/Tender/SplashBidNoticeAbstractUI.aspx?menuIndex=3&amp;refID=7167770&amp;Result=3","7167770")</f>
        <v>0</v>
      </c>
      <c r="B31" t="s">
        <v>44</v>
      </c>
      <c r="C31" t="s">
        <v>3944</v>
      </c>
      <c r="D31" t="s">
        <v>19001</v>
      </c>
      <c r="E31" t="s">
        <v>19124</v>
      </c>
      <c r="F31" t="s">
        <v>32606</v>
      </c>
      <c r="G31" t="s">
        <v>32613</v>
      </c>
      <c r="H31" t="s">
        <v>14201</v>
      </c>
      <c r="I31" t="s">
        <v>32633</v>
      </c>
      <c r="J31" t="s">
        <v>32779</v>
      </c>
      <c r="K31" t="s">
        <v>42636</v>
      </c>
      <c r="M31" t="s">
        <v>42941</v>
      </c>
      <c r="N31" t="s">
        <v>47304</v>
      </c>
      <c r="O31" t="s">
        <v>47305</v>
      </c>
      <c r="P31">
        <v>0</v>
      </c>
      <c r="Q31">
        <v>1</v>
      </c>
      <c r="R31" t="s">
        <v>47306</v>
      </c>
      <c r="S31" t="s">
        <v>47414</v>
      </c>
      <c r="T31" t="s">
        <v>48983</v>
      </c>
      <c r="U31" t="s">
        <v>49575</v>
      </c>
      <c r="V31" t="s">
        <v>62652</v>
      </c>
      <c r="W31" t="s">
        <v>42941</v>
      </c>
      <c r="X31" t="s">
        <v>47322</v>
      </c>
    </row>
    <row r="32" spans="1:24">
      <c r="A32">
        <f>HYPERLINK("https://www.philgeps.gov.ph/GEPSNONPILOT/Tender/SplashBidNoticeAbstractUI.aspx?menuIndex=3&amp;refID=7177749&amp;Result=3","7177749")</f>
        <v>0</v>
      </c>
      <c r="B32" t="s">
        <v>45</v>
      </c>
      <c r="C32" t="s">
        <v>3945</v>
      </c>
      <c r="D32" t="s">
        <v>19002</v>
      </c>
      <c r="E32" t="s">
        <v>19125</v>
      </c>
      <c r="F32" t="s">
        <v>32606</v>
      </c>
      <c r="G32" t="s">
        <v>32613</v>
      </c>
      <c r="H32" t="s">
        <v>14201</v>
      </c>
      <c r="I32" t="s">
        <v>9013</v>
      </c>
      <c r="J32" t="s">
        <v>32780</v>
      </c>
      <c r="K32" t="s">
        <v>42623</v>
      </c>
      <c r="M32" t="s">
        <v>42942</v>
      </c>
      <c r="N32" t="s">
        <v>47304</v>
      </c>
      <c r="O32" t="s">
        <v>47305</v>
      </c>
      <c r="P32">
        <v>0</v>
      </c>
      <c r="Q32">
        <v>0</v>
      </c>
      <c r="R32" t="s">
        <v>47306</v>
      </c>
      <c r="S32" t="s">
        <v>47414</v>
      </c>
      <c r="T32" t="s">
        <v>48988</v>
      </c>
      <c r="U32" t="s">
        <v>49576</v>
      </c>
      <c r="W32" t="s">
        <v>42942</v>
      </c>
      <c r="X32" t="s">
        <v>47318</v>
      </c>
    </row>
    <row r="33" spans="1:24">
      <c r="A33">
        <f>HYPERLINK("https://www.philgeps.gov.ph/GEPSNONPILOT/Tender/SplashBidNoticeAbstractUI.aspx?menuIndex=3&amp;refID=7178211&amp;Result=3","7178211")</f>
        <v>0</v>
      </c>
      <c r="B33" t="s">
        <v>46</v>
      </c>
      <c r="C33" t="s">
        <v>3946</v>
      </c>
      <c r="D33" t="s">
        <v>19000</v>
      </c>
      <c r="E33" t="s">
        <v>19126</v>
      </c>
      <c r="F33" t="s">
        <v>32606</v>
      </c>
      <c r="G33" t="s">
        <v>32613</v>
      </c>
      <c r="H33" t="s">
        <v>32623</v>
      </c>
      <c r="I33" t="s">
        <v>17648</v>
      </c>
      <c r="J33" t="s">
        <v>32781</v>
      </c>
      <c r="K33" t="s">
        <v>42637</v>
      </c>
      <c r="M33" t="s">
        <v>42943</v>
      </c>
      <c r="N33" t="s">
        <v>47304</v>
      </c>
      <c r="O33" t="s">
        <v>47305</v>
      </c>
      <c r="P33">
        <v>0</v>
      </c>
      <c r="Q33">
        <v>0</v>
      </c>
      <c r="R33" t="s">
        <v>47306</v>
      </c>
      <c r="S33" t="s">
        <v>47414</v>
      </c>
      <c r="T33" t="s">
        <v>48986</v>
      </c>
      <c r="U33" t="s">
        <v>49577</v>
      </c>
      <c r="W33" t="s">
        <v>42943</v>
      </c>
      <c r="X33" t="s">
        <v>47318</v>
      </c>
    </row>
    <row r="34" spans="1:24">
      <c r="A34">
        <f>HYPERLINK("https://www.philgeps.gov.ph/GEPSNONPILOT/Tender/SplashBidNoticeAbstractUI.aspx?menuIndex=3&amp;refID=7179833&amp;Result=3","7179833")</f>
        <v>0</v>
      </c>
      <c r="B34" t="s">
        <v>47</v>
      </c>
      <c r="C34" t="s">
        <v>3947</v>
      </c>
      <c r="E34" t="s">
        <v>19127</v>
      </c>
      <c r="F34" t="s">
        <v>32606</v>
      </c>
      <c r="G34" t="s">
        <v>32613</v>
      </c>
      <c r="H34" t="s">
        <v>14201</v>
      </c>
      <c r="I34" t="s">
        <v>7064</v>
      </c>
      <c r="J34" t="s">
        <v>32782</v>
      </c>
      <c r="K34" t="s">
        <v>42624</v>
      </c>
      <c r="M34" t="s">
        <v>42944</v>
      </c>
      <c r="N34" t="s">
        <v>47304</v>
      </c>
      <c r="O34" t="s">
        <v>47305</v>
      </c>
      <c r="P34">
        <v>0</v>
      </c>
      <c r="Q34">
        <v>0</v>
      </c>
      <c r="R34" t="s">
        <v>47306</v>
      </c>
      <c r="S34" t="s">
        <v>47414</v>
      </c>
      <c r="T34" t="s">
        <v>48989</v>
      </c>
      <c r="U34" t="s">
        <v>49578</v>
      </c>
      <c r="W34" t="s">
        <v>42944</v>
      </c>
      <c r="X34" t="s">
        <v>47318</v>
      </c>
    </row>
    <row r="35" spans="1:24">
      <c r="A35">
        <f>HYPERLINK("https://www.philgeps.gov.ph/GEPSNONPILOT/Tender/SplashBidNoticeAbstractUI.aspx?menuIndex=3&amp;refID=7187591&amp;Result=3","7187591")</f>
        <v>0</v>
      </c>
      <c r="B35" t="s">
        <v>48</v>
      </c>
      <c r="C35" t="s">
        <v>3948</v>
      </c>
      <c r="D35" t="s">
        <v>19003</v>
      </c>
      <c r="E35" t="s">
        <v>19128</v>
      </c>
      <c r="F35" t="s">
        <v>32606</v>
      </c>
      <c r="G35" t="s">
        <v>32618</v>
      </c>
      <c r="H35" t="s">
        <v>32623</v>
      </c>
      <c r="I35" t="s">
        <v>17648</v>
      </c>
      <c r="J35" t="s">
        <v>32783</v>
      </c>
      <c r="K35" t="s">
        <v>42624</v>
      </c>
      <c r="L35" t="s">
        <v>48</v>
      </c>
      <c r="M35" t="s">
        <v>42945</v>
      </c>
      <c r="N35" t="s">
        <v>47304</v>
      </c>
      <c r="O35" t="s">
        <v>47305</v>
      </c>
      <c r="P35">
        <v>0</v>
      </c>
      <c r="Q35">
        <v>0</v>
      </c>
      <c r="R35" t="s">
        <v>47306</v>
      </c>
      <c r="S35" t="s">
        <v>47414</v>
      </c>
      <c r="T35" t="s">
        <v>48990</v>
      </c>
      <c r="U35" t="s">
        <v>49579</v>
      </c>
      <c r="W35" t="s">
        <v>42945</v>
      </c>
      <c r="X35" t="s">
        <v>47313</v>
      </c>
    </row>
    <row r="36" spans="1:24">
      <c r="A36">
        <f>HYPERLINK("https://www.philgeps.gov.ph/GEPSNONPILOT/Tender/SplashBidNoticeAbstractUI.aspx?menuIndex=3&amp;refID=7187588&amp;Result=3","7187588")</f>
        <v>0</v>
      </c>
      <c r="B36" t="s">
        <v>49</v>
      </c>
      <c r="C36" t="s">
        <v>3949</v>
      </c>
      <c r="D36" t="s">
        <v>19004</v>
      </c>
      <c r="E36" t="s">
        <v>19129</v>
      </c>
      <c r="F36" t="s">
        <v>32606</v>
      </c>
      <c r="G36" t="s">
        <v>32614</v>
      </c>
      <c r="H36" t="s">
        <v>14201</v>
      </c>
      <c r="I36" t="s">
        <v>4678</v>
      </c>
      <c r="J36" t="s">
        <v>32784</v>
      </c>
      <c r="K36" t="s">
        <v>42638</v>
      </c>
      <c r="M36" t="s">
        <v>42946</v>
      </c>
      <c r="N36" t="s">
        <v>47304</v>
      </c>
      <c r="O36" t="s">
        <v>47305</v>
      </c>
      <c r="P36">
        <v>0</v>
      </c>
      <c r="Q36">
        <v>4</v>
      </c>
      <c r="R36" t="s">
        <v>47306</v>
      </c>
      <c r="S36" t="s">
        <v>47414</v>
      </c>
      <c r="T36" t="s">
        <v>48980</v>
      </c>
      <c r="U36" t="s">
        <v>49580</v>
      </c>
      <c r="V36" t="s">
        <v>62653</v>
      </c>
      <c r="W36" t="s">
        <v>42946</v>
      </c>
      <c r="X36" t="s">
        <v>47313</v>
      </c>
    </row>
    <row r="37" spans="1:24">
      <c r="A37">
        <f>HYPERLINK("https://www.philgeps.gov.ph/GEPSNONPILOT/Tender/SplashBidNoticeAbstractUI.aspx?menuIndex=3&amp;refID=7187461&amp;Result=3","7187461")</f>
        <v>0</v>
      </c>
      <c r="B37" t="s">
        <v>49</v>
      </c>
      <c r="C37" t="s">
        <v>3950</v>
      </c>
      <c r="D37" t="s">
        <v>19004</v>
      </c>
      <c r="E37" t="s">
        <v>19130</v>
      </c>
      <c r="F37" t="s">
        <v>32606</v>
      </c>
      <c r="G37" t="s">
        <v>32614</v>
      </c>
      <c r="H37" t="s">
        <v>14201</v>
      </c>
      <c r="I37" t="s">
        <v>6298</v>
      </c>
      <c r="J37" t="s">
        <v>32785</v>
      </c>
      <c r="K37" t="s">
        <v>42631</v>
      </c>
      <c r="M37" t="s">
        <v>42946</v>
      </c>
      <c r="N37" t="s">
        <v>47304</v>
      </c>
      <c r="O37" t="s">
        <v>47305</v>
      </c>
      <c r="P37">
        <v>0</v>
      </c>
      <c r="Q37">
        <v>1</v>
      </c>
      <c r="R37" t="s">
        <v>47306</v>
      </c>
      <c r="S37" t="s">
        <v>47414</v>
      </c>
      <c r="T37" t="s">
        <v>48980</v>
      </c>
      <c r="U37" t="s">
        <v>49581</v>
      </c>
      <c r="V37" t="s">
        <v>62654</v>
      </c>
      <c r="W37" t="s">
        <v>42946</v>
      </c>
      <c r="X37" t="s">
        <v>47313</v>
      </c>
    </row>
    <row r="38" spans="1:24">
      <c r="A38">
        <f>HYPERLINK("https://www.philgeps.gov.ph/GEPSNONPILOT/Tender/SplashBidNoticeAbstractUI.aspx?menuIndex=3&amp;refID=7187366&amp;Result=3","7187366")</f>
        <v>0</v>
      </c>
      <c r="B38" t="s">
        <v>50</v>
      </c>
      <c r="C38" t="s">
        <v>3951</v>
      </c>
      <c r="D38" t="s">
        <v>19005</v>
      </c>
      <c r="E38" t="s">
        <v>19131</v>
      </c>
      <c r="F38" t="s">
        <v>32606</v>
      </c>
      <c r="G38" t="s">
        <v>32613</v>
      </c>
      <c r="H38" t="s">
        <v>14201</v>
      </c>
      <c r="I38" t="s">
        <v>7677</v>
      </c>
      <c r="J38" t="s">
        <v>32786</v>
      </c>
      <c r="K38" t="s">
        <v>42623</v>
      </c>
      <c r="M38" t="s">
        <v>42947</v>
      </c>
      <c r="N38" t="s">
        <v>47304</v>
      </c>
      <c r="O38" t="s">
        <v>47305</v>
      </c>
      <c r="P38">
        <v>0</v>
      </c>
      <c r="Q38">
        <v>5</v>
      </c>
      <c r="R38" t="s">
        <v>47306</v>
      </c>
      <c r="S38" t="s">
        <v>47414</v>
      </c>
      <c r="T38" t="s">
        <v>48991</v>
      </c>
      <c r="U38" t="s">
        <v>49582</v>
      </c>
      <c r="V38" t="s">
        <v>62655</v>
      </c>
      <c r="W38" t="s">
        <v>42947</v>
      </c>
      <c r="X38" t="s">
        <v>47313</v>
      </c>
    </row>
    <row r="39" spans="1:24">
      <c r="A39">
        <f>HYPERLINK("https://www.philgeps.gov.ph/GEPSNONPILOT/Tender/SplashBidNoticeAbstractUI.aspx?menuIndex=3&amp;refID=7164956&amp;Result=3","7164956")</f>
        <v>0</v>
      </c>
      <c r="B39" t="s">
        <v>27</v>
      </c>
      <c r="C39" t="s">
        <v>3933</v>
      </c>
      <c r="D39" t="s">
        <v>18988</v>
      </c>
      <c r="E39" t="s">
        <v>19105</v>
      </c>
      <c r="F39" t="s">
        <v>32606</v>
      </c>
      <c r="G39" t="s">
        <v>32615</v>
      </c>
      <c r="H39" t="s">
        <v>14201</v>
      </c>
      <c r="I39" t="s">
        <v>4114</v>
      </c>
      <c r="J39" t="s">
        <v>32787</v>
      </c>
      <c r="K39" t="s">
        <v>42625</v>
      </c>
      <c r="M39" t="s">
        <v>42924</v>
      </c>
      <c r="N39" t="s">
        <v>47304</v>
      </c>
      <c r="O39" t="s">
        <v>47305</v>
      </c>
      <c r="P39">
        <v>0</v>
      </c>
      <c r="Q39">
        <v>2</v>
      </c>
      <c r="R39" t="s">
        <v>47306</v>
      </c>
      <c r="S39" t="s">
        <v>47414</v>
      </c>
      <c r="T39" t="s">
        <v>48972</v>
      </c>
      <c r="U39" t="s">
        <v>49583</v>
      </c>
      <c r="W39" t="s">
        <v>42924</v>
      </c>
      <c r="X39" t="s">
        <v>47323</v>
      </c>
    </row>
    <row r="40" spans="1:24">
      <c r="A40">
        <f>HYPERLINK("https://www.philgeps.gov.ph/GEPSNONPILOT/Tender/SplashBidNoticeAbstractUI.aspx?menuIndex=3&amp;refID=7187289&amp;Result=3","7187289")</f>
        <v>0</v>
      </c>
      <c r="B40" t="s">
        <v>50</v>
      </c>
      <c r="C40" t="s">
        <v>3952</v>
      </c>
      <c r="D40" t="s">
        <v>19005</v>
      </c>
      <c r="E40" t="s">
        <v>19132</v>
      </c>
      <c r="F40" t="s">
        <v>32606</v>
      </c>
      <c r="G40" t="s">
        <v>32613</v>
      </c>
      <c r="H40" t="s">
        <v>14201</v>
      </c>
      <c r="I40" t="s">
        <v>7677</v>
      </c>
      <c r="J40" t="s">
        <v>32788</v>
      </c>
      <c r="K40" t="s">
        <v>42623</v>
      </c>
      <c r="M40" t="s">
        <v>42947</v>
      </c>
      <c r="N40" t="s">
        <v>47304</v>
      </c>
      <c r="O40" t="s">
        <v>47305</v>
      </c>
      <c r="P40">
        <v>0</v>
      </c>
      <c r="Q40">
        <v>6</v>
      </c>
      <c r="R40" t="s">
        <v>47306</v>
      </c>
      <c r="S40" t="s">
        <v>47414</v>
      </c>
      <c r="T40" t="s">
        <v>48991</v>
      </c>
      <c r="U40" t="s">
        <v>49584</v>
      </c>
      <c r="V40" t="s">
        <v>62655</v>
      </c>
      <c r="W40" t="s">
        <v>42947</v>
      </c>
      <c r="X40" t="s">
        <v>47313</v>
      </c>
    </row>
    <row r="41" spans="1:24">
      <c r="A41">
        <f>HYPERLINK("https://www.philgeps.gov.ph/GEPSNONPILOT/Tender/SplashBidNoticeAbstractUI.aspx?menuIndex=3&amp;refID=7187250&amp;Result=3","7187250")</f>
        <v>0</v>
      </c>
      <c r="B41" t="s">
        <v>51</v>
      </c>
      <c r="C41" t="s">
        <v>3953</v>
      </c>
      <c r="D41" t="s">
        <v>19006</v>
      </c>
      <c r="E41" t="s">
        <v>19133</v>
      </c>
      <c r="F41" t="s">
        <v>32606</v>
      </c>
      <c r="G41" t="s">
        <v>32613</v>
      </c>
      <c r="H41" t="s">
        <v>14201</v>
      </c>
      <c r="I41" t="s">
        <v>32634</v>
      </c>
      <c r="J41" t="s">
        <v>32789</v>
      </c>
      <c r="K41" t="s">
        <v>42622</v>
      </c>
      <c r="L41" t="s">
        <v>51</v>
      </c>
      <c r="M41" t="s">
        <v>42948</v>
      </c>
      <c r="N41" t="s">
        <v>47304</v>
      </c>
      <c r="O41" t="s">
        <v>47305</v>
      </c>
      <c r="P41">
        <v>0</v>
      </c>
      <c r="Q41">
        <v>0</v>
      </c>
      <c r="R41" t="s">
        <v>47306</v>
      </c>
      <c r="S41" t="s">
        <v>47414</v>
      </c>
      <c r="T41" t="s">
        <v>48992</v>
      </c>
      <c r="U41" t="s">
        <v>49585</v>
      </c>
      <c r="W41" t="s">
        <v>42948</v>
      </c>
      <c r="X41" t="s">
        <v>47313</v>
      </c>
    </row>
    <row r="42" spans="1:24">
      <c r="A42">
        <f>HYPERLINK("https://www.philgeps.gov.ph/GEPSNONPILOT/Tender/SplashBidNoticeAbstractUI.aspx?menuIndex=3&amp;refID=7187077&amp;Result=3","7187077")</f>
        <v>0</v>
      </c>
      <c r="B42" t="s">
        <v>52</v>
      </c>
      <c r="C42" t="s">
        <v>3954</v>
      </c>
      <c r="D42" t="s">
        <v>19007</v>
      </c>
      <c r="E42" t="s">
        <v>19134</v>
      </c>
      <c r="F42" t="s">
        <v>32606</v>
      </c>
      <c r="G42" t="s">
        <v>32613</v>
      </c>
      <c r="H42" t="s">
        <v>14201</v>
      </c>
      <c r="I42" t="s">
        <v>4114</v>
      </c>
      <c r="J42" t="s">
        <v>32790</v>
      </c>
      <c r="K42" t="s">
        <v>42631</v>
      </c>
      <c r="M42" t="s">
        <v>42949</v>
      </c>
      <c r="N42" t="s">
        <v>47304</v>
      </c>
      <c r="O42" t="s">
        <v>47305</v>
      </c>
      <c r="P42">
        <v>0</v>
      </c>
      <c r="Q42">
        <v>3</v>
      </c>
      <c r="R42" t="s">
        <v>47306</v>
      </c>
      <c r="S42" t="s">
        <v>47414</v>
      </c>
      <c r="T42" t="s">
        <v>48993</v>
      </c>
      <c r="U42" t="s">
        <v>49586</v>
      </c>
      <c r="W42" t="s">
        <v>42949</v>
      </c>
      <c r="X42" t="s">
        <v>47313</v>
      </c>
    </row>
    <row r="43" spans="1:24">
      <c r="A43">
        <f>HYPERLINK("https://www.philgeps.gov.ph/GEPSNONPILOT/Tender/SplashBidNoticeAbstractUI.aspx?menuIndex=3&amp;refID=7186941&amp;Result=3","7186941")</f>
        <v>0</v>
      </c>
      <c r="B43" t="s">
        <v>53</v>
      </c>
      <c r="C43" t="s">
        <v>3955</v>
      </c>
      <c r="D43" t="s">
        <v>19007</v>
      </c>
      <c r="E43" t="s">
        <v>19135</v>
      </c>
      <c r="F43" t="s">
        <v>32606</v>
      </c>
      <c r="G43" t="s">
        <v>32613</v>
      </c>
      <c r="H43" t="s">
        <v>32623</v>
      </c>
      <c r="I43" t="s">
        <v>17648</v>
      </c>
      <c r="J43" t="s">
        <v>32791</v>
      </c>
      <c r="K43" t="s">
        <v>42631</v>
      </c>
      <c r="M43" t="s">
        <v>42950</v>
      </c>
      <c r="N43" t="s">
        <v>47304</v>
      </c>
      <c r="O43" t="s">
        <v>47305</v>
      </c>
      <c r="P43">
        <v>0</v>
      </c>
      <c r="Q43">
        <v>0</v>
      </c>
      <c r="R43" t="s">
        <v>47306</v>
      </c>
      <c r="S43" t="s">
        <v>47414</v>
      </c>
      <c r="T43" t="s">
        <v>48988</v>
      </c>
      <c r="U43" t="s">
        <v>49587</v>
      </c>
      <c r="W43" t="s">
        <v>42950</v>
      </c>
      <c r="X43" t="s">
        <v>47313</v>
      </c>
    </row>
    <row r="44" spans="1:24">
      <c r="A44">
        <f>HYPERLINK("https://www.philgeps.gov.ph/GEPSNONPILOT/Tender/SplashBidNoticeAbstractUI.aspx?menuIndex=3&amp;refID=7186938&amp;Result=3","7186938")</f>
        <v>0</v>
      </c>
      <c r="B44" t="s">
        <v>53</v>
      </c>
      <c r="C44" t="s">
        <v>3956</v>
      </c>
      <c r="D44" t="s">
        <v>19007</v>
      </c>
      <c r="E44" t="s">
        <v>19136</v>
      </c>
      <c r="F44" t="s">
        <v>32606</v>
      </c>
      <c r="G44" t="s">
        <v>32613</v>
      </c>
      <c r="H44" t="s">
        <v>32623</v>
      </c>
      <c r="I44" t="s">
        <v>17648</v>
      </c>
      <c r="J44" t="s">
        <v>32792</v>
      </c>
      <c r="K44" t="s">
        <v>42639</v>
      </c>
      <c r="M44" t="s">
        <v>42950</v>
      </c>
      <c r="N44" t="s">
        <v>47304</v>
      </c>
      <c r="O44" t="s">
        <v>47305</v>
      </c>
      <c r="P44">
        <v>0</v>
      </c>
      <c r="Q44">
        <v>0</v>
      </c>
      <c r="R44" t="s">
        <v>47306</v>
      </c>
      <c r="S44" t="s">
        <v>47414</v>
      </c>
      <c r="T44" t="s">
        <v>48988</v>
      </c>
      <c r="U44" t="s">
        <v>49588</v>
      </c>
      <c r="W44" t="s">
        <v>42950</v>
      </c>
      <c r="X44" t="s">
        <v>47313</v>
      </c>
    </row>
    <row r="45" spans="1:24">
      <c r="A45">
        <f>HYPERLINK("https://www.philgeps.gov.ph/GEPSNONPILOT/Tender/SplashBidNoticeAbstractUI.aspx?menuIndex=3&amp;refID=7186935&amp;Result=3","7186935")</f>
        <v>0</v>
      </c>
      <c r="B45" t="s">
        <v>53</v>
      </c>
      <c r="C45" t="s">
        <v>3957</v>
      </c>
      <c r="D45" t="s">
        <v>19007</v>
      </c>
      <c r="E45" t="s">
        <v>19137</v>
      </c>
      <c r="F45" t="s">
        <v>32606</v>
      </c>
      <c r="G45" t="s">
        <v>32613</v>
      </c>
      <c r="H45" t="s">
        <v>32623</v>
      </c>
      <c r="I45" t="s">
        <v>17648</v>
      </c>
      <c r="J45" t="s">
        <v>32793</v>
      </c>
      <c r="K45" t="s">
        <v>42631</v>
      </c>
      <c r="M45" t="s">
        <v>42950</v>
      </c>
      <c r="N45" t="s">
        <v>47304</v>
      </c>
      <c r="O45" t="s">
        <v>47305</v>
      </c>
      <c r="P45">
        <v>0</v>
      </c>
      <c r="Q45">
        <v>0</v>
      </c>
      <c r="R45" t="s">
        <v>47306</v>
      </c>
      <c r="S45" t="s">
        <v>47414</v>
      </c>
      <c r="T45" t="s">
        <v>48988</v>
      </c>
      <c r="U45" t="s">
        <v>49589</v>
      </c>
      <c r="W45" t="s">
        <v>42950</v>
      </c>
      <c r="X45" t="s">
        <v>47313</v>
      </c>
    </row>
    <row r="46" spans="1:24">
      <c r="A46">
        <f>HYPERLINK("https://www.philgeps.gov.ph/GEPSNONPILOT/Tender/SplashBidNoticeAbstractUI.aspx?menuIndex=3&amp;refID=7185603&amp;Result=3","7185603")</f>
        <v>0</v>
      </c>
      <c r="B46" t="s">
        <v>54</v>
      </c>
      <c r="C46" t="s">
        <v>3958</v>
      </c>
      <c r="D46" t="s">
        <v>19008</v>
      </c>
      <c r="E46" t="s">
        <v>19138</v>
      </c>
      <c r="F46" t="s">
        <v>32607</v>
      </c>
      <c r="G46" t="s">
        <v>32619</v>
      </c>
      <c r="H46" t="s">
        <v>14201</v>
      </c>
      <c r="I46" t="s">
        <v>4114</v>
      </c>
      <c r="J46" t="s">
        <v>32794</v>
      </c>
      <c r="K46" t="s">
        <v>42630</v>
      </c>
      <c r="M46" t="s">
        <v>42951</v>
      </c>
      <c r="N46" t="s">
        <v>47304</v>
      </c>
      <c r="O46" t="s">
        <v>47305</v>
      </c>
      <c r="P46">
        <v>0</v>
      </c>
      <c r="Q46">
        <v>1</v>
      </c>
      <c r="R46" t="s">
        <v>47306</v>
      </c>
      <c r="S46" t="s">
        <v>47414</v>
      </c>
      <c r="T46" t="s">
        <v>48994</v>
      </c>
      <c r="U46" t="s">
        <v>49590</v>
      </c>
      <c r="W46" t="s">
        <v>42951</v>
      </c>
      <c r="X46" t="s">
        <v>47314</v>
      </c>
    </row>
    <row r="47" spans="1:24">
      <c r="A47">
        <f>HYPERLINK("https://www.philgeps.gov.ph/GEPSNONPILOT/Tender/SplashBidNoticeAbstractUI.aspx?menuIndex=3&amp;refID=7187178&amp;Result=3","7187178")</f>
        <v>0</v>
      </c>
      <c r="B47" t="s">
        <v>50</v>
      </c>
      <c r="C47" t="s">
        <v>3959</v>
      </c>
      <c r="D47" t="s">
        <v>19005</v>
      </c>
      <c r="E47" t="s">
        <v>19139</v>
      </c>
      <c r="F47" t="s">
        <v>32606</v>
      </c>
      <c r="G47" t="s">
        <v>32613</v>
      </c>
      <c r="H47" t="s">
        <v>14201</v>
      </c>
      <c r="I47" t="s">
        <v>32635</v>
      </c>
      <c r="J47" t="s">
        <v>32795</v>
      </c>
      <c r="K47" t="s">
        <v>42636</v>
      </c>
      <c r="M47" t="s">
        <v>42947</v>
      </c>
      <c r="N47" t="s">
        <v>47304</v>
      </c>
      <c r="O47" t="s">
        <v>47305</v>
      </c>
      <c r="P47">
        <v>0</v>
      </c>
      <c r="Q47">
        <v>1</v>
      </c>
      <c r="R47" t="s">
        <v>47306</v>
      </c>
      <c r="S47" t="s">
        <v>47414</v>
      </c>
      <c r="T47" t="s">
        <v>48991</v>
      </c>
      <c r="U47" t="s">
        <v>49591</v>
      </c>
      <c r="V47" t="s">
        <v>62655</v>
      </c>
      <c r="W47" t="s">
        <v>42947</v>
      </c>
      <c r="X47" t="s">
        <v>47313</v>
      </c>
    </row>
    <row r="48" spans="1:24">
      <c r="A48">
        <f>HYPERLINK("https://www.philgeps.gov.ph/GEPSNONPILOT/Tender/SplashBidNoticeAbstractUI.aspx?menuIndex=3&amp;refID=7185354&amp;Result=3","7185354")</f>
        <v>0</v>
      </c>
      <c r="B48" t="s">
        <v>55</v>
      </c>
      <c r="C48" t="s">
        <v>3960</v>
      </c>
      <c r="E48" t="s">
        <v>19140</v>
      </c>
      <c r="F48" t="s">
        <v>32606</v>
      </c>
      <c r="G48" t="s">
        <v>32613</v>
      </c>
      <c r="H48" t="s">
        <v>14201</v>
      </c>
      <c r="I48" t="s">
        <v>6478</v>
      </c>
      <c r="J48" t="s">
        <v>32796</v>
      </c>
      <c r="K48" t="s">
        <v>42624</v>
      </c>
      <c r="M48" t="s">
        <v>42952</v>
      </c>
      <c r="N48" t="s">
        <v>47304</v>
      </c>
      <c r="O48" t="s">
        <v>47305</v>
      </c>
      <c r="P48">
        <v>0</v>
      </c>
      <c r="Q48">
        <v>2</v>
      </c>
      <c r="R48" t="s">
        <v>47306</v>
      </c>
      <c r="S48" t="s">
        <v>47414</v>
      </c>
      <c r="T48" t="s">
        <v>48995</v>
      </c>
      <c r="U48" t="s">
        <v>49592</v>
      </c>
      <c r="W48" t="s">
        <v>42952</v>
      </c>
      <c r="X48" t="s">
        <v>47314</v>
      </c>
    </row>
    <row r="49" spans="1:24">
      <c r="A49">
        <f>HYPERLINK("https://www.philgeps.gov.ph/GEPSNONPILOT/Tender/SplashBidNoticeAbstractUI.aspx?menuIndex=3&amp;refID=7185332&amp;Result=3","7185332")</f>
        <v>0</v>
      </c>
      <c r="B49" t="s">
        <v>56</v>
      </c>
      <c r="C49" t="s">
        <v>3961</v>
      </c>
      <c r="D49" t="s">
        <v>19009</v>
      </c>
      <c r="E49" t="s">
        <v>19141</v>
      </c>
      <c r="F49" t="s">
        <v>32606</v>
      </c>
      <c r="G49" t="s">
        <v>32613</v>
      </c>
      <c r="H49" t="s">
        <v>14201</v>
      </c>
      <c r="I49" t="s">
        <v>6931</v>
      </c>
      <c r="J49" t="s">
        <v>32797</v>
      </c>
      <c r="K49" t="s">
        <v>42631</v>
      </c>
      <c r="M49" t="s">
        <v>42953</v>
      </c>
      <c r="N49" t="s">
        <v>47304</v>
      </c>
      <c r="O49" t="s">
        <v>47305</v>
      </c>
      <c r="P49">
        <v>0</v>
      </c>
      <c r="Q49">
        <v>0</v>
      </c>
      <c r="R49" t="s">
        <v>47306</v>
      </c>
      <c r="S49" t="s">
        <v>47414</v>
      </c>
      <c r="T49" t="s">
        <v>48996</v>
      </c>
      <c r="U49" t="s">
        <v>49593</v>
      </c>
      <c r="W49" t="s">
        <v>42953</v>
      </c>
      <c r="X49" t="s">
        <v>47314</v>
      </c>
    </row>
    <row r="50" spans="1:24">
      <c r="A50">
        <f>HYPERLINK("https://www.philgeps.gov.ph/GEPSNONPILOT/Tender/SplashBidNoticeAbstractUI.aspx?menuIndex=3&amp;refID=7183615&amp;Result=3","7183615")</f>
        <v>0</v>
      </c>
      <c r="B50" t="s">
        <v>57</v>
      </c>
      <c r="C50" t="s">
        <v>3962</v>
      </c>
      <c r="D50" t="s">
        <v>19010</v>
      </c>
      <c r="E50" t="s">
        <v>19142</v>
      </c>
      <c r="F50" t="s">
        <v>32606</v>
      </c>
      <c r="G50" t="s">
        <v>32613</v>
      </c>
      <c r="H50" t="s">
        <v>14201</v>
      </c>
      <c r="I50" t="s">
        <v>4678</v>
      </c>
      <c r="J50" t="s">
        <v>32798</v>
      </c>
      <c r="K50" t="s">
        <v>42624</v>
      </c>
      <c r="M50" t="s">
        <v>42954</v>
      </c>
      <c r="N50" t="s">
        <v>47304</v>
      </c>
      <c r="O50" t="s">
        <v>47305</v>
      </c>
      <c r="P50">
        <v>0</v>
      </c>
      <c r="Q50">
        <v>3</v>
      </c>
      <c r="R50" t="s">
        <v>47306</v>
      </c>
      <c r="S50" t="s">
        <v>47414</v>
      </c>
      <c r="T50" t="s">
        <v>48976</v>
      </c>
      <c r="U50" t="s">
        <v>49594</v>
      </c>
      <c r="W50" t="s">
        <v>42954</v>
      </c>
      <c r="X50" t="s">
        <v>47315</v>
      </c>
    </row>
    <row r="51" spans="1:24">
      <c r="A51">
        <f>HYPERLINK("https://www.philgeps.gov.ph/GEPSNONPILOT/Tender/SplashBidNoticeAbstractUI.aspx?menuIndex=3&amp;refID=7186013&amp;Result=3","7186013")</f>
        <v>0</v>
      </c>
      <c r="B51" t="s">
        <v>58</v>
      </c>
      <c r="C51" t="s">
        <v>3963</v>
      </c>
      <c r="D51" t="s">
        <v>19011</v>
      </c>
      <c r="E51" t="s">
        <v>19143</v>
      </c>
      <c r="F51" t="s">
        <v>32606</v>
      </c>
      <c r="G51" t="s">
        <v>32614</v>
      </c>
      <c r="H51" t="s">
        <v>14201</v>
      </c>
      <c r="I51" t="s">
        <v>32636</v>
      </c>
      <c r="J51" t="s">
        <v>32799</v>
      </c>
      <c r="K51" t="s">
        <v>42624</v>
      </c>
      <c r="M51" t="s">
        <v>42955</v>
      </c>
      <c r="N51" t="s">
        <v>47304</v>
      </c>
      <c r="O51" t="s">
        <v>47305</v>
      </c>
      <c r="P51">
        <v>0</v>
      </c>
      <c r="Q51">
        <v>0</v>
      </c>
      <c r="R51" t="s">
        <v>47306</v>
      </c>
      <c r="S51" t="s">
        <v>47414</v>
      </c>
      <c r="T51" t="s">
        <v>48979</v>
      </c>
      <c r="U51" t="s">
        <v>49595</v>
      </c>
      <c r="W51" t="s">
        <v>42955</v>
      </c>
      <c r="X51" t="s">
        <v>47314</v>
      </c>
    </row>
    <row r="52" spans="1:24">
      <c r="A52">
        <f>HYPERLINK("https://www.philgeps.gov.ph/GEPSNONPILOT/Tender/SplashBidNoticeAbstractUI.aspx?menuIndex=3&amp;refID=7183162&amp;Result=3","7183162")</f>
        <v>0</v>
      </c>
      <c r="B52" t="s">
        <v>59</v>
      </c>
      <c r="C52" t="s">
        <v>3964</v>
      </c>
      <c r="D52" t="s">
        <v>19003</v>
      </c>
      <c r="E52" t="s">
        <v>19144</v>
      </c>
      <c r="F52" t="s">
        <v>32606</v>
      </c>
      <c r="G52" t="s">
        <v>32614</v>
      </c>
      <c r="H52" t="s">
        <v>14201</v>
      </c>
      <c r="I52" t="s">
        <v>32637</v>
      </c>
      <c r="J52" t="s">
        <v>32800</v>
      </c>
      <c r="K52" t="s">
        <v>42631</v>
      </c>
      <c r="M52" t="s">
        <v>42956</v>
      </c>
      <c r="N52" t="s">
        <v>47304</v>
      </c>
      <c r="O52" t="s">
        <v>47305</v>
      </c>
      <c r="P52">
        <v>0</v>
      </c>
      <c r="Q52">
        <v>1</v>
      </c>
      <c r="R52" t="s">
        <v>47306</v>
      </c>
      <c r="S52" t="s">
        <v>47414</v>
      </c>
      <c r="T52" t="s">
        <v>48997</v>
      </c>
      <c r="U52" t="s">
        <v>49596</v>
      </c>
      <c r="W52" t="s">
        <v>42956</v>
      </c>
      <c r="X52" t="s">
        <v>47315</v>
      </c>
    </row>
    <row r="53" spans="1:24">
      <c r="A53">
        <f>HYPERLINK("https://www.philgeps.gov.ph/GEPSNONPILOT/Tender/SplashBidNoticeAbstractUI.aspx?menuIndex=3&amp;refID=7177725&amp;Result=3","7177725")</f>
        <v>0</v>
      </c>
      <c r="B53" t="s">
        <v>60</v>
      </c>
      <c r="C53" t="s">
        <v>3945</v>
      </c>
      <c r="D53" t="s">
        <v>19002</v>
      </c>
      <c r="E53" t="s">
        <v>19125</v>
      </c>
      <c r="F53" t="s">
        <v>32606</v>
      </c>
      <c r="G53" t="s">
        <v>32613</v>
      </c>
      <c r="H53" t="s">
        <v>14201</v>
      </c>
      <c r="I53" t="s">
        <v>9013</v>
      </c>
      <c r="J53" t="s">
        <v>32780</v>
      </c>
      <c r="K53" t="s">
        <v>42623</v>
      </c>
      <c r="M53" t="s">
        <v>42957</v>
      </c>
      <c r="N53" t="s">
        <v>47304</v>
      </c>
      <c r="O53" t="s">
        <v>47305</v>
      </c>
      <c r="P53">
        <v>0</v>
      </c>
      <c r="Q53">
        <v>0</v>
      </c>
      <c r="R53" t="s">
        <v>47306</v>
      </c>
      <c r="S53" t="s">
        <v>47414</v>
      </c>
      <c r="T53" t="s">
        <v>48988</v>
      </c>
      <c r="U53" t="s">
        <v>49576</v>
      </c>
      <c r="W53" t="s">
        <v>42957</v>
      </c>
      <c r="X53" t="s">
        <v>47318</v>
      </c>
    </row>
    <row r="54" spans="1:24">
      <c r="A54">
        <f>HYPERLINK("https://www.philgeps.gov.ph/GEPSNONPILOT/Tender/SplashBidNoticeAbstractUI.aspx?menuIndex=3&amp;refID=7175700&amp;Result=3","7175700")</f>
        <v>0</v>
      </c>
      <c r="B54" t="s">
        <v>61</v>
      </c>
      <c r="C54" t="s">
        <v>3965</v>
      </c>
      <c r="D54" t="s">
        <v>19012</v>
      </c>
      <c r="E54" t="s">
        <v>19145</v>
      </c>
      <c r="F54" t="s">
        <v>32606</v>
      </c>
      <c r="G54" t="s">
        <v>32619</v>
      </c>
      <c r="H54" t="s">
        <v>14201</v>
      </c>
      <c r="I54" t="s">
        <v>6931</v>
      </c>
      <c r="J54" t="s">
        <v>32801</v>
      </c>
      <c r="K54" t="s">
        <v>42622</v>
      </c>
      <c r="M54" t="s">
        <v>42958</v>
      </c>
      <c r="N54" t="s">
        <v>47304</v>
      </c>
      <c r="O54" t="s">
        <v>47305</v>
      </c>
      <c r="P54">
        <v>0</v>
      </c>
      <c r="Q54">
        <v>0</v>
      </c>
      <c r="R54" t="s">
        <v>47306</v>
      </c>
      <c r="S54" t="s">
        <v>47414</v>
      </c>
      <c r="T54" t="s">
        <v>48998</v>
      </c>
      <c r="U54" t="s">
        <v>49597</v>
      </c>
      <c r="W54" t="s">
        <v>42958</v>
      </c>
      <c r="X54" t="s">
        <v>47319</v>
      </c>
    </row>
    <row r="55" spans="1:24">
      <c r="A55">
        <f>HYPERLINK("https://www.philgeps.gov.ph/GEPSNONPILOT/Tender/SplashBidNoticeAbstractUI.aspx?menuIndex=3&amp;refID=7167785&amp;Result=3","7167785")</f>
        <v>0</v>
      </c>
      <c r="B55" t="s">
        <v>44</v>
      </c>
      <c r="C55" t="s">
        <v>3966</v>
      </c>
      <c r="D55" t="s">
        <v>19001</v>
      </c>
      <c r="E55" t="s">
        <v>19146</v>
      </c>
      <c r="F55" t="s">
        <v>32606</v>
      </c>
      <c r="G55" t="s">
        <v>32613</v>
      </c>
      <c r="H55" t="s">
        <v>14201</v>
      </c>
      <c r="I55" t="s">
        <v>32638</v>
      </c>
      <c r="J55" t="s">
        <v>32802</v>
      </c>
      <c r="K55" t="s">
        <v>42636</v>
      </c>
      <c r="M55" t="s">
        <v>42941</v>
      </c>
      <c r="N55" t="s">
        <v>47304</v>
      </c>
      <c r="O55" t="s">
        <v>47305</v>
      </c>
      <c r="P55">
        <v>0</v>
      </c>
      <c r="Q55">
        <v>32</v>
      </c>
      <c r="R55" t="s">
        <v>47306</v>
      </c>
      <c r="S55" t="s">
        <v>47414</v>
      </c>
      <c r="T55" t="s">
        <v>48999</v>
      </c>
      <c r="U55" t="s">
        <v>49598</v>
      </c>
      <c r="V55" t="s">
        <v>62656</v>
      </c>
      <c r="W55" t="s">
        <v>42941</v>
      </c>
      <c r="X55" t="s">
        <v>47322</v>
      </c>
    </row>
    <row r="56" spans="1:24">
      <c r="A56">
        <f>HYPERLINK("https://www.philgeps.gov.ph/GEPSNONPILOT/Tender/SplashBidNoticeAbstractUI.aspx?menuIndex=3&amp;refID=7189005&amp;Result=3","7189005")</f>
        <v>0</v>
      </c>
      <c r="B56" t="s">
        <v>62</v>
      </c>
      <c r="C56" t="s">
        <v>3967</v>
      </c>
      <c r="D56" t="s">
        <v>19013</v>
      </c>
      <c r="E56" t="s">
        <v>19147</v>
      </c>
      <c r="F56" t="s">
        <v>32606</v>
      </c>
      <c r="G56" t="s">
        <v>32613</v>
      </c>
      <c r="H56" t="s">
        <v>32623</v>
      </c>
      <c r="I56" t="s">
        <v>6931</v>
      </c>
      <c r="J56" t="s">
        <v>32803</v>
      </c>
      <c r="K56" t="s">
        <v>42640</v>
      </c>
      <c r="M56" t="s">
        <v>42959</v>
      </c>
      <c r="N56" t="s">
        <v>47304</v>
      </c>
      <c r="O56" t="s">
        <v>47305</v>
      </c>
      <c r="P56">
        <v>0</v>
      </c>
      <c r="Q56">
        <v>1</v>
      </c>
      <c r="R56" t="s">
        <v>47306</v>
      </c>
      <c r="S56" t="s">
        <v>47414</v>
      </c>
      <c r="T56" t="s">
        <v>48990</v>
      </c>
      <c r="U56" t="s">
        <v>49599</v>
      </c>
      <c r="W56" t="s">
        <v>42959</v>
      </c>
      <c r="X56" t="s">
        <v>47313</v>
      </c>
    </row>
    <row r="57" spans="1:24">
      <c r="A57">
        <f>HYPERLINK("https://www.philgeps.gov.ph/GEPSNONPILOT/Tender/SplashBidNoticeAbstractUI.aspx?menuIndex=3&amp;refID=7189092&amp;Result=3","7189092")</f>
        <v>0</v>
      </c>
      <c r="B57" t="s">
        <v>63</v>
      </c>
      <c r="C57" t="s">
        <v>3968</v>
      </c>
      <c r="D57" t="s">
        <v>19014</v>
      </c>
      <c r="E57" t="s">
        <v>19148</v>
      </c>
      <c r="F57" t="s">
        <v>32606</v>
      </c>
      <c r="G57" t="s">
        <v>32619</v>
      </c>
      <c r="H57" t="s">
        <v>14201</v>
      </c>
      <c r="I57" t="s">
        <v>32639</v>
      </c>
      <c r="J57" t="s">
        <v>32804</v>
      </c>
      <c r="K57" t="s">
        <v>42630</v>
      </c>
      <c r="M57" t="s">
        <v>42960</v>
      </c>
      <c r="N57" t="s">
        <v>47304</v>
      </c>
      <c r="O57" t="s">
        <v>47305</v>
      </c>
      <c r="P57">
        <v>0</v>
      </c>
      <c r="Q57">
        <v>2</v>
      </c>
      <c r="R57" t="s">
        <v>47306</v>
      </c>
      <c r="S57" t="s">
        <v>47414</v>
      </c>
      <c r="T57" t="s">
        <v>49000</v>
      </c>
      <c r="U57" t="s">
        <v>49600</v>
      </c>
      <c r="W57" t="s">
        <v>42960</v>
      </c>
      <c r="X57" t="s">
        <v>47313</v>
      </c>
    </row>
    <row r="58" spans="1:24">
      <c r="A58">
        <f>HYPERLINK("https://www.philgeps.gov.ph/GEPSNONPILOT/Tender/SplashBidNoticeAbstractUI.aspx?menuIndex=3&amp;refID=7189073&amp;Result=3","7189073")</f>
        <v>0</v>
      </c>
      <c r="B58" t="s">
        <v>63</v>
      </c>
      <c r="C58" t="s">
        <v>3969</v>
      </c>
      <c r="D58" t="s">
        <v>19014</v>
      </c>
      <c r="E58" t="s">
        <v>19149</v>
      </c>
      <c r="F58" t="s">
        <v>32606</v>
      </c>
      <c r="G58" t="s">
        <v>32619</v>
      </c>
      <c r="H58" t="s">
        <v>14201</v>
      </c>
      <c r="I58" t="s">
        <v>32640</v>
      </c>
      <c r="J58" t="s">
        <v>32805</v>
      </c>
      <c r="K58" t="s">
        <v>42630</v>
      </c>
      <c r="M58" t="s">
        <v>42960</v>
      </c>
      <c r="N58" t="s">
        <v>47304</v>
      </c>
      <c r="O58" t="s">
        <v>47305</v>
      </c>
      <c r="P58">
        <v>0</v>
      </c>
      <c r="Q58">
        <v>2</v>
      </c>
      <c r="R58" t="s">
        <v>47306</v>
      </c>
      <c r="S58" t="s">
        <v>47414</v>
      </c>
      <c r="T58" t="s">
        <v>49000</v>
      </c>
      <c r="U58" t="s">
        <v>49601</v>
      </c>
      <c r="W58" t="s">
        <v>42960</v>
      </c>
      <c r="X58" t="s">
        <v>47313</v>
      </c>
    </row>
    <row r="59" spans="1:24">
      <c r="A59">
        <f>HYPERLINK("https://www.philgeps.gov.ph/GEPSNONPILOT/Tender/SplashBidNoticeAbstractUI.aspx?menuIndex=3&amp;refID=7189037&amp;Result=3","7189037")</f>
        <v>0</v>
      </c>
      <c r="B59" t="s">
        <v>64</v>
      </c>
      <c r="C59" t="s">
        <v>3970</v>
      </c>
      <c r="D59" t="s">
        <v>19004</v>
      </c>
      <c r="E59" t="s">
        <v>19150</v>
      </c>
      <c r="F59" t="s">
        <v>32606</v>
      </c>
      <c r="G59" t="s">
        <v>32613</v>
      </c>
      <c r="H59" t="s">
        <v>14201</v>
      </c>
      <c r="I59" t="s">
        <v>13131</v>
      </c>
      <c r="J59" t="s">
        <v>32806</v>
      </c>
      <c r="K59" t="s">
        <v>42623</v>
      </c>
      <c r="M59" t="s">
        <v>42961</v>
      </c>
      <c r="N59" t="s">
        <v>47304</v>
      </c>
      <c r="O59" t="s">
        <v>47305</v>
      </c>
      <c r="P59">
        <v>0</v>
      </c>
      <c r="Q59">
        <v>4</v>
      </c>
      <c r="R59" t="s">
        <v>47306</v>
      </c>
      <c r="S59" t="s">
        <v>47414</v>
      </c>
      <c r="T59" t="s">
        <v>49001</v>
      </c>
      <c r="U59" t="s">
        <v>49602</v>
      </c>
      <c r="W59" t="s">
        <v>64420</v>
      </c>
      <c r="X59" t="s">
        <v>47313</v>
      </c>
    </row>
    <row r="60" spans="1:24">
      <c r="A60">
        <f>HYPERLINK("https://www.philgeps.gov.ph/GEPSNONPILOT/Tender/SplashBidNoticeAbstractUI.aspx?menuIndex=3&amp;refID=7189022&amp;Result=3","7189022")</f>
        <v>0</v>
      </c>
      <c r="B60" t="s">
        <v>65</v>
      </c>
      <c r="C60" t="s">
        <v>3971</v>
      </c>
      <c r="D60" t="s">
        <v>19015</v>
      </c>
      <c r="E60" t="s">
        <v>19151</v>
      </c>
      <c r="F60" t="s">
        <v>32606</v>
      </c>
      <c r="G60" t="s">
        <v>32613</v>
      </c>
      <c r="H60" t="s">
        <v>14201</v>
      </c>
      <c r="I60" t="s">
        <v>4120</v>
      </c>
      <c r="J60" t="s">
        <v>32807</v>
      </c>
      <c r="K60" t="s">
        <v>42622</v>
      </c>
      <c r="M60" t="s">
        <v>42962</v>
      </c>
      <c r="N60" t="s">
        <v>47304</v>
      </c>
      <c r="O60" t="s">
        <v>47305</v>
      </c>
      <c r="P60">
        <v>0</v>
      </c>
      <c r="Q60">
        <v>2</v>
      </c>
      <c r="R60" t="s">
        <v>47306</v>
      </c>
      <c r="S60" t="s">
        <v>47414</v>
      </c>
      <c r="T60" t="s">
        <v>49002</v>
      </c>
      <c r="U60" t="s">
        <v>49603</v>
      </c>
      <c r="W60" t="s">
        <v>42962</v>
      </c>
      <c r="X60" t="s">
        <v>47313</v>
      </c>
    </row>
    <row r="61" spans="1:24">
      <c r="A61">
        <f>HYPERLINK("https://www.philgeps.gov.ph/GEPSNONPILOT/Tender/SplashBidNoticeAbstractUI.aspx?menuIndex=3&amp;refID=7188994&amp;Result=3","7188994")</f>
        <v>0</v>
      </c>
      <c r="B61" t="s">
        <v>64</v>
      </c>
      <c r="C61" t="s">
        <v>3972</v>
      </c>
      <c r="D61" t="s">
        <v>19004</v>
      </c>
      <c r="E61" t="s">
        <v>19152</v>
      </c>
      <c r="F61" t="s">
        <v>32606</v>
      </c>
      <c r="G61" t="s">
        <v>32613</v>
      </c>
      <c r="H61" t="s">
        <v>14201</v>
      </c>
      <c r="I61" t="s">
        <v>32638</v>
      </c>
      <c r="J61" t="s">
        <v>32808</v>
      </c>
      <c r="K61" t="s">
        <v>42622</v>
      </c>
      <c r="M61" t="s">
        <v>42961</v>
      </c>
      <c r="N61" t="s">
        <v>47304</v>
      </c>
      <c r="O61" t="s">
        <v>47305</v>
      </c>
      <c r="P61">
        <v>0</v>
      </c>
      <c r="Q61">
        <v>11</v>
      </c>
      <c r="R61" t="s">
        <v>47306</v>
      </c>
      <c r="S61" t="s">
        <v>47414</v>
      </c>
      <c r="T61" t="s">
        <v>49001</v>
      </c>
      <c r="U61" t="s">
        <v>49604</v>
      </c>
      <c r="W61" t="s">
        <v>64420</v>
      </c>
      <c r="X61" t="s">
        <v>47313</v>
      </c>
    </row>
    <row r="62" spans="1:24">
      <c r="A62">
        <f>HYPERLINK("https://www.philgeps.gov.ph/GEPSNONPILOT/Tender/SplashBidNoticeAbstractUI.aspx?menuIndex=3&amp;refID=7188947&amp;Result=3","7188947")</f>
        <v>0</v>
      </c>
      <c r="B62" t="s">
        <v>37</v>
      </c>
      <c r="C62" t="s">
        <v>3973</v>
      </c>
      <c r="D62" t="s">
        <v>18997</v>
      </c>
      <c r="E62" t="s">
        <v>19153</v>
      </c>
      <c r="F62" t="s">
        <v>32606</v>
      </c>
      <c r="G62" t="s">
        <v>32613</v>
      </c>
      <c r="H62" t="s">
        <v>14201</v>
      </c>
      <c r="I62" t="s">
        <v>9008</v>
      </c>
      <c r="J62" t="s">
        <v>32809</v>
      </c>
      <c r="K62" t="s">
        <v>42623</v>
      </c>
      <c r="M62" t="s">
        <v>42934</v>
      </c>
      <c r="N62" t="s">
        <v>47304</v>
      </c>
      <c r="O62" t="s">
        <v>47305</v>
      </c>
      <c r="P62">
        <v>0</v>
      </c>
      <c r="Q62">
        <v>0</v>
      </c>
      <c r="R62" t="s">
        <v>47306</v>
      </c>
      <c r="S62" t="s">
        <v>47414</v>
      </c>
      <c r="T62" t="s">
        <v>48987</v>
      </c>
      <c r="U62" t="s">
        <v>49605</v>
      </c>
      <c r="W62" t="s">
        <v>42934</v>
      </c>
      <c r="X62" t="s">
        <v>47313</v>
      </c>
    </row>
    <row r="63" spans="1:24">
      <c r="A63">
        <f>HYPERLINK("https://www.philgeps.gov.ph/GEPSNONPILOT/Tender/SplashBidNoticeAbstractUI.aspx?menuIndex=3&amp;refID=7189042&amp;Result=3","7189042")</f>
        <v>0</v>
      </c>
      <c r="B63" t="s">
        <v>63</v>
      </c>
      <c r="C63" t="s">
        <v>3969</v>
      </c>
      <c r="D63" t="s">
        <v>19014</v>
      </c>
      <c r="E63" t="s">
        <v>19154</v>
      </c>
      <c r="F63" t="s">
        <v>32606</v>
      </c>
      <c r="G63" t="s">
        <v>32619</v>
      </c>
      <c r="H63" t="s">
        <v>14201</v>
      </c>
      <c r="I63" t="s">
        <v>32640</v>
      </c>
      <c r="J63" t="s">
        <v>32810</v>
      </c>
      <c r="K63" t="s">
        <v>42630</v>
      </c>
      <c r="M63" t="s">
        <v>42960</v>
      </c>
      <c r="N63" t="s">
        <v>47304</v>
      </c>
      <c r="O63" t="s">
        <v>47305</v>
      </c>
      <c r="P63">
        <v>0</v>
      </c>
      <c r="Q63">
        <v>4</v>
      </c>
      <c r="R63" t="s">
        <v>47306</v>
      </c>
      <c r="S63" t="s">
        <v>47414</v>
      </c>
      <c r="T63" t="s">
        <v>49000</v>
      </c>
      <c r="U63" t="s">
        <v>49606</v>
      </c>
      <c r="W63" t="s">
        <v>42960</v>
      </c>
      <c r="X63" t="s">
        <v>47313</v>
      </c>
    </row>
    <row r="64" spans="1:24">
      <c r="A64">
        <f>HYPERLINK("https://www.philgeps.gov.ph/GEPSNONPILOT/Tender/SplashBidNoticeAbstractUI.aspx?menuIndex=3&amp;refID=7189007&amp;Result=3","7189007")</f>
        <v>0</v>
      </c>
      <c r="B64" t="s">
        <v>37</v>
      </c>
      <c r="C64" t="s">
        <v>3974</v>
      </c>
      <c r="D64" t="s">
        <v>18997</v>
      </c>
      <c r="E64" t="s">
        <v>19155</v>
      </c>
      <c r="F64" t="s">
        <v>32606</v>
      </c>
      <c r="G64" t="s">
        <v>32613</v>
      </c>
      <c r="H64" t="s">
        <v>14201</v>
      </c>
      <c r="I64" t="s">
        <v>6298</v>
      </c>
      <c r="J64" t="s">
        <v>32765</v>
      </c>
      <c r="K64" t="s">
        <v>42631</v>
      </c>
      <c r="M64" t="s">
        <v>42934</v>
      </c>
      <c r="N64" t="s">
        <v>47304</v>
      </c>
      <c r="O64" t="s">
        <v>47305</v>
      </c>
      <c r="P64">
        <v>0</v>
      </c>
      <c r="Q64">
        <v>0</v>
      </c>
      <c r="R64" t="s">
        <v>47306</v>
      </c>
      <c r="S64" t="s">
        <v>47414</v>
      </c>
      <c r="T64" t="s">
        <v>48987</v>
      </c>
      <c r="U64" t="s">
        <v>49607</v>
      </c>
      <c r="W64" t="s">
        <v>42934</v>
      </c>
      <c r="X64" t="s">
        <v>47313</v>
      </c>
    </row>
    <row r="65" spans="1:24">
      <c r="A65">
        <f>HYPERLINK("https://www.philgeps.gov.ph/GEPSNONPILOT/Tender/SplashBidNoticeAbstractUI.aspx?menuIndex=3&amp;refID=7164963&amp;Result=3","7164963")</f>
        <v>0</v>
      </c>
      <c r="B65" t="s">
        <v>27</v>
      </c>
      <c r="C65" t="s">
        <v>3975</v>
      </c>
      <c r="D65" t="s">
        <v>18988</v>
      </c>
      <c r="E65" t="s">
        <v>19156</v>
      </c>
      <c r="F65" t="s">
        <v>32606</v>
      </c>
      <c r="G65" t="s">
        <v>32615</v>
      </c>
      <c r="H65" t="s">
        <v>14201</v>
      </c>
      <c r="I65" t="s">
        <v>32641</v>
      </c>
      <c r="J65" t="s">
        <v>32811</v>
      </c>
      <c r="K65" t="s">
        <v>42625</v>
      </c>
      <c r="M65" t="s">
        <v>42924</v>
      </c>
      <c r="N65" t="s">
        <v>47304</v>
      </c>
      <c r="O65" t="s">
        <v>47305</v>
      </c>
      <c r="P65">
        <v>0</v>
      </c>
      <c r="Q65">
        <v>0</v>
      </c>
      <c r="R65" t="s">
        <v>47306</v>
      </c>
      <c r="S65" t="s">
        <v>47414</v>
      </c>
      <c r="T65" t="s">
        <v>48972</v>
      </c>
      <c r="U65" t="s">
        <v>49608</v>
      </c>
      <c r="W65" t="s">
        <v>42924</v>
      </c>
      <c r="X65" t="s">
        <v>47323</v>
      </c>
    </row>
    <row r="66" spans="1:24">
      <c r="A66">
        <f>HYPERLINK("https://www.philgeps.gov.ph/GEPSNONPILOT/Tender/SplashBidNoticeAbstractUI.aspx?menuIndex=3&amp;refID=7188894&amp;Result=3","7188894")</f>
        <v>0</v>
      </c>
      <c r="B66" t="s">
        <v>64</v>
      </c>
      <c r="C66" t="s">
        <v>3976</v>
      </c>
      <c r="D66" t="s">
        <v>19004</v>
      </c>
      <c r="E66" t="s">
        <v>19157</v>
      </c>
      <c r="F66" t="s">
        <v>32606</v>
      </c>
      <c r="G66" t="s">
        <v>32613</v>
      </c>
      <c r="H66" t="s">
        <v>14201</v>
      </c>
      <c r="I66" t="s">
        <v>32638</v>
      </c>
      <c r="J66" t="s">
        <v>32812</v>
      </c>
      <c r="K66" t="s">
        <v>42622</v>
      </c>
      <c r="M66" t="s">
        <v>42961</v>
      </c>
      <c r="N66" t="s">
        <v>47304</v>
      </c>
      <c r="O66" t="s">
        <v>47305</v>
      </c>
      <c r="P66">
        <v>0</v>
      </c>
      <c r="Q66">
        <v>21</v>
      </c>
      <c r="R66" t="s">
        <v>47306</v>
      </c>
      <c r="S66" t="s">
        <v>47414</v>
      </c>
      <c r="T66" t="s">
        <v>49001</v>
      </c>
      <c r="U66" t="s">
        <v>49609</v>
      </c>
      <c r="W66" t="s">
        <v>64420</v>
      </c>
      <c r="X66" t="s">
        <v>47313</v>
      </c>
    </row>
    <row r="67" spans="1:24">
      <c r="A67">
        <f>HYPERLINK("https://www.philgeps.gov.ph/GEPSNONPILOT/Tender/SplashBidNoticeAbstractUI.aspx?menuIndex=3&amp;refID=7188887&amp;Result=3","7188887")</f>
        <v>0</v>
      </c>
      <c r="B67" t="s">
        <v>37</v>
      </c>
      <c r="C67" t="s">
        <v>3977</v>
      </c>
      <c r="D67" t="s">
        <v>18997</v>
      </c>
      <c r="E67" t="s">
        <v>19158</v>
      </c>
      <c r="F67" t="s">
        <v>32606</v>
      </c>
      <c r="G67" t="s">
        <v>32613</v>
      </c>
      <c r="H67" t="s">
        <v>14201</v>
      </c>
      <c r="I67" t="s">
        <v>32642</v>
      </c>
      <c r="J67" t="s">
        <v>32813</v>
      </c>
      <c r="K67" t="s">
        <v>42623</v>
      </c>
      <c r="M67" t="s">
        <v>42934</v>
      </c>
      <c r="N67" t="s">
        <v>47304</v>
      </c>
      <c r="O67" t="s">
        <v>47305</v>
      </c>
      <c r="P67">
        <v>0</v>
      </c>
      <c r="Q67">
        <v>0</v>
      </c>
      <c r="R67" t="s">
        <v>47306</v>
      </c>
      <c r="S67" t="s">
        <v>47414</v>
      </c>
      <c r="T67" t="s">
        <v>48987</v>
      </c>
      <c r="U67" t="s">
        <v>49610</v>
      </c>
      <c r="W67" t="s">
        <v>42934</v>
      </c>
      <c r="X67" t="s">
        <v>47313</v>
      </c>
    </row>
    <row r="68" spans="1:24">
      <c r="A68">
        <f>HYPERLINK("https://www.philgeps.gov.ph/GEPSNONPILOT/Tender/SplashBidNoticeAbstractUI.aspx?menuIndex=3&amp;refID=7188280&amp;Result=3","7188280")</f>
        <v>0</v>
      </c>
      <c r="B68" t="s">
        <v>66</v>
      </c>
      <c r="C68" t="s">
        <v>3978</v>
      </c>
      <c r="D68" t="s">
        <v>19010</v>
      </c>
      <c r="E68" t="s">
        <v>19159</v>
      </c>
      <c r="F68" t="s">
        <v>32606</v>
      </c>
      <c r="G68" t="s">
        <v>32613</v>
      </c>
      <c r="H68" t="s">
        <v>32623</v>
      </c>
      <c r="I68" t="s">
        <v>17648</v>
      </c>
      <c r="J68" t="s">
        <v>32772</v>
      </c>
      <c r="K68" t="s">
        <v>42641</v>
      </c>
      <c r="M68" t="s">
        <v>42963</v>
      </c>
      <c r="N68" t="s">
        <v>47304</v>
      </c>
      <c r="O68" t="s">
        <v>47305</v>
      </c>
      <c r="P68">
        <v>0</v>
      </c>
      <c r="Q68">
        <v>1</v>
      </c>
      <c r="R68" t="s">
        <v>47306</v>
      </c>
      <c r="S68" t="s">
        <v>47414</v>
      </c>
      <c r="T68" t="s">
        <v>49003</v>
      </c>
      <c r="U68" t="s">
        <v>49611</v>
      </c>
      <c r="W68" t="s">
        <v>42963</v>
      </c>
      <c r="X68" t="s">
        <v>47313</v>
      </c>
    </row>
    <row r="69" spans="1:24">
      <c r="A69">
        <f>HYPERLINK("https://www.philgeps.gov.ph/GEPSNONPILOT/Tender/SplashBidNoticeAbstractUI.aspx?menuIndex=3&amp;refID=7187079&amp;Result=3","7187079")</f>
        <v>0</v>
      </c>
      <c r="B69" t="s">
        <v>50</v>
      </c>
      <c r="C69" t="s">
        <v>3979</v>
      </c>
      <c r="D69" t="s">
        <v>19005</v>
      </c>
      <c r="E69" t="s">
        <v>19160</v>
      </c>
      <c r="F69" t="s">
        <v>32606</v>
      </c>
      <c r="G69" t="s">
        <v>32613</v>
      </c>
      <c r="H69" t="s">
        <v>14201</v>
      </c>
      <c r="I69" t="s">
        <v>7677</v>
      </c>
      <c r="J69" t="s">
        <v>32814</v>
      </c>
      <c r="K69" t="s">
        <v>42623</v>
      </c>
      <c r="M69" t="s">
        <v>42947</v>
      </c>
      <c r="N69" t="s">
        <v>47304</v>
      </c>
      <c r="O69" t="s">
        <v>47305</v>
      </c>
      <c r="P69">
        <v>0</v>
      </c>
      <c r="Q69">
        <v>6</v>
      </c>
      <c r="R69" t="s">
        <v>47306</v>
      </c>
      <c r="S69" t="s">
        <v>47414</v>
      </c>
      <c r="T69" t="s">
        <v>48991</v>
      </c>
      <c r="U69" t="s">
        <v>49612</v>
      </c>
      <c r="V69" t="s">
        <v>62655</v>
      </c>
      <c r="W69" t="s">
        <v>42947</v>
      </c>
      <c r="X69" t="s">
        <v>47313</v>
      </c>
    </row>
    <row r="70" spans="1:24">
      <c r="A70">
        <f>HYPERLINK("https://www.philgeps.gov.ph/GEPSNONPILOT/Tender/SplashBidNoticeAbstractUI.aspx?menuIndex=3&amp;refID=7190545&amp;Result=3","7190545")</f>
        <v>0</v>
      </c>
      <c r="B70" t="s">
        <v>67</v>
      </c>
      <c r="C70" t="s">
        <v>3980</v>
      </c>
      <c r="D70" t="s">
        <v>19012</v>
      </c>
      <c r="E70" t="s">
        <v>19161</v>
      </c>
      <c r="F70" t="s">
        <v>32606</v>
      </c>
      <c r="G70" t="s">
        <v>32614</v>
      </c>
      <c r="H70" t="s">
        <v>14201</v>
      </c>
      <c r="I70" t="s">
        <v>4112</v>
      </c>
      <c r="J70" t="s">
        <v>32789</v>
      </c>
      <c r="K70" t="s">
        <v>42630</v>
      </c>
      <c r="M70" t="s">
        <v>42964</v>
      </c>
      <c r="N70" t="s">
        <v>47304</v>
      </c>
      <c r="O70" t="s">
        <v>47305</v>
      </c>
      <c r="P70">
        <v>0</v>
      </c>
      <c r="Q70">
        <v>0</v>
      </c>
      <c r="R70" t="s">
        <v>47306</v>
      </c>
      <c r="S70" t="s">
        <v>47414</v>
      </c>
      <c r="T70" t="s">
        <v>49004</v>
      </c>
      <c r="U70" t="s">
        <v>49613</v>
      </c>
      <c r="W70" t="s">
        <v>42964</v>
      </c>
      <c r="X70" t="s">
        <v>47312</v>
      </c>
    </row>
    <row r="71" spans="1:24">
      <c r="A71">
        <f>HYPERLINK("https://www.philgeps.gov.ph/GEPSNONPILOT/Tender/SplashBidNoticeAbstractUI.aspx?menuIndex=3&amp;refID=7188908&amp;Result=3","7188908")</f>
        <v>0</v>
      </c>
      <c r="B71" t="s">
        <v>68</v>
      </c>
      <c r="C71" t="s">
        <v>3981</v>
      </c>
      <c r="D71" t="s">
        <v>19016</v>
      </c>
      <c r="E71" t="s">
        <v>19162</v>
      </c>
      <c r="F71" t="s">
        <v>32606</v>
      </c>
      <c r="G71" t="s">
        <v>32613</v>
      </c>
      <c r="H71" t="s">
        <v>32623</v>
      </c>
      <c r="I71" t="s">
        <v>32643</v>
      </c>
      <c r="J71" t="s">
        <v>32815</v>
      </c>
      <c r="K71" t="s">
        <v>42642</v>
      </c>
      <c r="M71" t="s">
        <v>42965</v>
      </c>
      <c r="N71" t="s">
        <v>47304</v>
      </c>
      <c r="O71" t="s">
        <v>47305</v>
      </c>
      <c r="P71">
        <v>0</v>
      </c>
      <c r="Q71">
        <v>1</v>
      </c>
      <c r="R71" t="s">
        <v>47306</v>
      </c>
      <c r="S71" t="s">
        <v>47414</v>
      </c>
      <c r="T71" t="s">
        <v>49005</v>
      </c>
      <c r="U71" t="s">
        <v>49614</v>
      </c>
      <c r="W71" t="s">
        <v>42965</v>
      </c>
      <c r="X71" t="s">
        <v>47313</v>
      </c>
    </row>
    <row r="72" spans="1:24">
      <c r="A72">
        <f>HYPERLINK("https://www.philgeps.gov.ph/GEPSNONPILOT/Tender/SplashBidNoticeAbstractUI.aspx?menuIndex=3&amp;refID=7190529&amp;Result=3","7190529")</f>
        <v>0</v>
      </c>
      <c r="B72" t="s">
        <v>69</v>
      </c>
      <c r="C72" t="s">
        <v>3982</v>
      </c>
      <c r="D72" t="s">
        <v>18995</v>
      </c>
      <c r="E72" t="s">
        <v>19163</v>
      </c>
      <c r="F72" t="s">
        <v>32606</v>
      </c>
      <c r="G72" t="s">
        <v>32614</v>
      </c>
      <c r="H72" t="s">
        <v>14201</v>
      </c>
      <c r="I72" t="s">
        <v>6007</v>
      </c>
      <c r="J72" t="s">
        <v>32816</v>
      </c>
      <c r="K72" t="s">
        <v>42629</v>
      </c>
      <c r="M72" t="s">
        <v>42966</v>
      </c>
      <c r="N72" t="s">
        <v>47304</v>
      </c>
      <c r="O72" t="s">
        <v>47305</v>
      </c>
      <c r="P72">
        <v>0</v>
      </c>
      <c r="Q72">
        <v>0</v>
      </c>
      <c r="R72" t="s">
        <v>47306</v>
      </c>
      <c r="S72" t="s">
        <v>47414</v>
      </c>
      <c r="T72" t="s">
        <v>49006</v>
      </c>
      <c r="U72" t="s">
        <v>49615</v>
      </c>
      <c r="W72" t="s">
        <v>42966</v>
      </c>
      <c r="X72" t="s">
        <v>47312</v>
      </c>
    </row>
    <row r="73" spans="1:24">
      <c r="A73">
        <f>HYPERLINK("https://www.philgeps.gov.ph/GEPSNONPILOT/Tender/SplashBidNoticeAbstractUI.aspx?menuIndex=3&amp;refID=7188355&amp;Result=3","7188355")</f>
        <v>0</v>
      </c>
      <c r="B73" t="s">
        <v>66</v>
      </c>
      <c r="C73" t="s">
        <v>3983</v>
      </c>
      <c r="D73" t="s">
        <v>19010</v>
      </c>
      <c r="E73" t="s">
        <v>19164</v>
      </c>
      <c r="F73" t="s">
        <v>32606</v>
      </c>
      <c r="G73" t="s">
        <v>32613</v>
      </c>
      <c r="H73" t="s">
        <v>32623</v>
      </c>
      <c r="I73" t="s">
        <v>17648</v>
      </c>
      <c r="J73" t="s">
        <v>32770</v>
      </c>
      <c r="K73" t="s">
        <v>42631</v>
      </c>
      <c r="M73" t="s">
        <v>42963</v>
      </c>
      <c r="N73" t="s">
        <v>47304</v>
      </c>
      <c r="O73" t="s">
        <v>47305</v>
      </c>
      <c r="P73">
        <v>0</v>
      </c>
      <c r="Q73">
        <v>1</v>
      </c>
      <c r="R73" t="s">
        <v>47306</v>
      </c>
      <c r="S73" t="s">
        <v>47414</v>
      </c>
      <c r="T73" t="s">
        <v>49003</v>
      </c>
      <c r="U73" t="s">
        <v>49616</v>
      </c>
      <c r="W73" t="s">
        <v>42963</v>
      </c>
      <c r="X73" t="s">
        <v>47313</v>
      </c>
    </row>
    <row r="74" spans="1:24">
      <c r="A74">
        <f>HYPERLINK("https://www.philgeps.gov.ph/GEPSNONPILOT/Tender/SplashBidNoticeAbstractUI.aspx?menuIndex=3&amp;refID=7190489&amp;Result=3","7190489")</f>
        <v>0</v>
      </c>
      <c r="B74" t="s">
        <v>70</v>
      </c>
      <c r="C74" t="s">
        <v>3984</v>
      </c>
      <c r="D74" t="s">
        <v>18993</v>
      </c>
      <c r="E74" t="s">
        <v>19165</v>
      </c>
      <c r="F74" t="s">
        <v>32606</v>
      </c>
      <c r="G74" t="s">
        <v>32613</v>
      </c>
      <c r="H74" t="s">
        <v>14201</v>
      </c>
      <c r="I74" t="s">
        <v>6298</v>
      </c>
      <c r="J74" t="s">
        <v>32817</v>
      </c>
      <c r="K74" t="s">
        <v>42623</v>
      </c>
      <c r="M74" t="s">
        <v>42967</v>
      </c>
      <c r="N74" t="s">
        <v>47304</v>
      </c>
      <c r="O74" t="s">
        <v>47305</v>
      </c>
      <c r="P74">
        <v>0</v>
      </c>
      <c r="Q74">
        <v>2</v>
      </c>
      <c r="R74" t="s">
        <v>47306</v>
      </c>
      <c r="S74" t="s">
        <v>47414</v>
      </c>
      <c r="T74" t="s">
        <v>48990</v>
      </c>
      <c r="U74" t="s">
        <v>49617</v>
      </c>
      <c r="W74" t="s">
        <v>42967</v>
      </c>
      <c r="X74" t="s">
        <v>47312</v>
      </c>
    </row>
    <row r="75" spans="1:24">
      <c r="A75">
        <f>HYPERLINK("https://www.philgeps.gov.ph/GEPSNONPILOT/Tender/SplashBidNoticeAbstractUI.aspx?menuIndex=3&amp;refID=7187274&amp;Result=3","7187274")</f>
        <v>0</v>
      </c>
      <c r="B75" t="s">
        <v>71</v>
      </c>
      <c r="C75" t="s">
        <v>3985</v>
      </c>
      <c r="D75" t="s">
        <v>19017</v>
      </c>
      <c r="E75" t="s">
        <v>19166</v>
      </c>
      <c r="F75" t="s">
        <v>32606</v>
      </c>
      <c r="G75" t="s">
        <v>32613</v>
      </c>
      <c r="H75" t="s">
        <v>14201</v>
      </c>
      <c r="I75" t="s">
        <v>32644</v>
      </c>
      <c r="J75" t="s">
        <v>32818</v>
      </c>
      <c r="K75" t="s">
        <v>42630</v>
      </c>
      <c r="M75" t="s">
        <v>42968</v>
      </c>
      <c r="N75" t="s">
        <v>47304</v>
      </c>
      <c r="O75" t="s">
        <v>47305</v>
      </c>
      <c r="P75">
        <v>0</v>
      </c>
      <c r="Q75">
        <v>1</v>
      </c>
      <c r="R75" t="s">
        <v>47306</v>
      </c>
      <c r="S75" t="s">
        <v>47414</v>
      </c>
      <c r="T75" t="s">
        <v>49007</v>
      </c>
      <c r="U75" t="s">
        <v>49618</v>
      </c>
      <c r="W75" t="s">
        <v>42968</v>
      </c>
      <c r="X75" t="s">
        <v>47313</v>
      </c>
    </row>
    <row r="76" spans="1:24">
      <c r="A76">
        <f>HYPERLINK("https://www.philgeps.gov.ph/GEPSNONPILOT/Tender/SplashBidNoticeAbstractUI.aspx?menuIndex=3&amp;refID=7190476&amp;Result=3","7190476")</f>
        <v>0</v>
      </c>
      <c r="B76" t="s">
        <v>72</v>
      </c>
      <c r="C76" t="s">
        <v>3986</v>
      </c>
      <c r="D76" t="s">
        <v>19018</v>
      </c>
      <c r="E76" t="s">
        <v>19167</v>
      </c>
      <c r="F76" t="s">
        <v>32606</v>
      </c>
      <c r="G76" t="s">
        <v>32613</v>
      </c>
      <c r="H76" t="s">
        <v>14201</v>
      </c>
      <c r="I76" t="s">
        <v>6931</v>
      </c>
      <c r="J76" t="s">
        <v>32819</v>
      </c>
      <c r="K76" t="s">
        <v>42631</v>
      </c>
      <c r="M76" t="s">
        <v>42969</v>
      </c>
      <c r="N76" t="s">
        <v>47304</v>
      </c>
      <c r="O76" t="s">
        <v>47305</v>
      </c>
      <c r="P76">
        <v>0</v>
      </c>
      <c r="Q76">
        <v>1</v>
      </c>
      <c r="R76" t="s">
        <v>47306</v>
      </c>
      <c r="S76" t="s">
        <v>47414</v>
      </c>
      <c r="T76" t="s">
        <v>49008</v>
      </c>
      <c r="U76" t="s">
        <v>49619</v>
      </c>
      <c r="V76" t="s">
        <v>62657</v>
      </c>
      <c r="W76" t="s">
        <v>42969</v>
      </c>
      <c r="X76" t="s">
        <v>47312</v>
      </c>
    </row>
    <row r="77" spans="1:24">
      <c r="A77">
        <f>HYPERLINK("https://www.philgeps.gov.ph/GEPSNONPILOT/Tender/SplashBidNoticeAbstractUI.aspx?menuIndex=3&amp;refID=7190426&amp;Result=3","7190426")</f>
        <v>0</v>
      </c>
      <c r="B77" t="s">
        <v>73</v>
      </c>
      <c r="C77" t="s">
        <v>3987</v>
      </c>
      <c r="D77" t="s">
        <v>18989</v>
      </c>
      <c r="E77" t="s">
        <v>19168</v>
      </c>
      <c r="F77" t="s">
        <v>32606</v>
      </c>
      <c r="G77" t="s">
        <v>32613</v>
      </c>
      <c r="H77" t="s">
        <v>14201</v>
      </c>
      <c r="I77" t="s">
        <v>7064</v>
      </c>
      <c r="J77" t="s">
        <v>32820</v>
      </c>
      <c r="K77" t="s">
        <v>42623</v>
      </c>
      <c r="M77" t="s">
        <v>42970</v>
      </c>
      <c r="N77" t="s">
        <v>47304</v>
      </c>
      <c r="O77" t="s">
        <v>47305</v>
      </c>
      <c r="P77">
        <v>0</v>
      </c>
      <c r="Q77">
        <v>0</v>
      </c>
      <c r="R77" t="s">
        <v>47306</v>
      </c>
      <c r="S77" t="s">
        <v>47414</v>
      </c>
      <c r="T77" t="s">
        <v>49009</v>
      </c>
      <c r="U77" t="s">
        <v>49620</v>
      </c>
      <c r="W77" t="s">
        <v>42970</v>
      </c>
      <c r="X77" t="s">
        <v>47312</v>
      </c>
    </row>
    <row r="78" spans="1:24">
      <c r="A78">
        <f>HYPERLINK("https://www.philgeps.gov.ph/GEPSNONPILOT/Tender/SplashBidNoticeAbstractUI.aspx?menuIndex=3&amp;refID=7190093&amp;Result=3","7190093")</f>
        <v>0</v>
      </c>
      <c r="B78" t="s">
        <v>74</v>
      </c>
      <c r="C78" t="s">
        <v>3988</v>
      </c>
      <c r="E78" t="s">
        <v>19169</v>
      </c>
      <c r="F78" t="s">
        <v>32606</v>
      </c>
      <c r="G78" t="s">
        <v>32613</v>
      </c>
      <c r="H78" t="s">
        <v>32623</v>
      </c>
      <c r="I78" t="s">
        <v>17648</v>
      </c>
      <c r="J78" t="s">
        <v>32821</v>
      </c>
      <c r="K78" t="s">
        <v>42624</v>
      </c>
      <c r="M78" t="s">
        <v>42971</v>
      </c>
      <c r="N78" t="s">
        <v>47304</v>
      </c>
      <c r="O78" t="s">
        <v>47305</v>
      </c>
      <c r="P78">
        <v>0</v>
      </c>
      <c r="Q78">
        <v>0</v>
      </c>
      <c r="R78" t="s">
        <v>47306</v>
      </c>
      <c r="S78" t="s">
        <v>47414</v>
      </c>
      <c r="T78" t="s">
        <v>49008</v>
      </c>
      <c r="U78" t="s">
        <v>49621</v>
      </c>
      <c r="W78" t="s">
        <v>42971</v>
      </c>
      <c r="X78" t="s">
        <v>47312</v>
      </c>
    </row>
    <row r="79" spans="1:24">
      <c r="A79">
        <f>HYPERLINK("https://www.philgeps.gov.ph/GEPSNONPILOT/Tender/SplashBidNoticeAbstractUI.aspx?menuIndex=3&amp;refID=7190081&amp;Result=3","7190081")</f>
        <v>0</v>
      </c>
      <c r="B79" t="s">
        <v>74</v>
      </c>
      <c r="C79" t="s">
        <v>3989</v>
      </c>
      <c r="E79" t="s">
        <v>19170</v>
      </c>
      <c r="F79" t="s">
        <v>32606</v>
      </c>
      <c r="G79" t="s">
        <v>32613</v>
      </c>
      <c r="H79" t="s">
        <v>14201</v>
      </c>
      <c r="I79" t="s">
        <v>6931</v>
      </c>
      <c r="J79" t="s">
        <v>32822</v>
      </c>
      <c r="K79" t="s">
        <v>42624</v>
      </c>
      <c r="M79" t="s">
        <v>42971</v>
      </c>
      <c r="N79" t="s">
        <v>47304</v>
      </c>
      <c r="O79" t="s">
        <v>47305</v>
      </c>
      <c r="P79">
        <v>0</v>
      </c>
      <c r="Q79">
        <v>0</v>
      </c>
      <c r="R79" t="s">
        <v>47306</v>
      </c>
      <c r="S79" t="s">
        <v>47414</v>
      </c>
      <c r="T79" t="s">
        <v>48986</v>
      </c>
      <c r="U79" t="s">
        <v>49622</v>
      </c>
      <c r="W79" t="s">
        <v>42971</v>
      </c>
      <c r="X79" t="s">
        <v>47312</v>
      </c>
    </row>
    <row r="80" spans="1:24">
      <c r="A80">
        <f>HYPERLINK("https://www.philgeps.gov.ph/GEPSNONPILOT/Tender/SplashBidNoticeAbstractUI.aspx?menuIndex=3&amp;refID=7190495&amp;Result=3","7190495")</f>
        <v>0</v>
      </c>
      <c r="B80" t="s">
        <v>70</v>
      </c>
      <c r="C80" t="s">
        <v>3990</v>
      </c>
      <c r="D80" t="s">
        <v>18993</v>
      </c>
      <c r="E80" t="s">
        <v>19171</v>
      </c>
      <c r="F80" t="s">
        <v>32606</v>
      </c>
      <c r="G80" t="s">
        <v>32613</v>
      </c>
      <c r="H80" t="s">
        <v>14201</v>
      </c>
      <c r="I80" t="s">
        <v>6298</v>
      </c>
      <c r="J80" t="s">
        <v>32823</v>
      </c>
      <c r="K80" t="s">
        <v>42623</v>
      </c>
      <c r="M80" t="s">
        <v>42967</v>
      </c>
      <c r="N80" t="s">
        <v>47304</v>
      </c>
      <c r="O80" t="s">
        <v>47305</v>
      </c>
      <c r="P80">
        <v>0</v>
      </c>
      <c r="Q80">
        <v>0</v>
      </c>
      <c r="R80" t="s">
        <v>47306</v>
      </c>
      <c r="S80" t="s">
        <v>47414</v>
      </c>
      <c r="T80" t="s">
        <v>48990</v>
      </c>
      <c r="U80" t="s">
        <v>49623</v>
      </c>
      <c r="W80" t="s">
        <v>42967</v>
      </c>
      <c r="X80" t="s">
        <v>47312</v>
      </c>
    </row>
    <row r="81" spans="1:24">
      <c r="A81">
        <f>HYPERLINK("https://www.philgeps.gov.ph/GEPSNONPILOT/Tender/SplashBidNoticeAbstractUI.aspx?menuIndex=3&amp;refID=7189538&amp;Result=3","7189538")</f>
        <v>0</v>
      </c>
      <c r="B81" t="s">
        <v>59</v>
      </c>
      <c r="C81" t="s">
        <v>3991</v>
      </c>
      <c r="D81" t="s">
        <v>19003</v>
      </c>
      <c r="E81" t="s">
        <v>19172</v>
      </c>
      <c r="F81" t="s">
        <v>32606</v>
      </c>
      <c r="G81" t="s">
        <v>32614</v>
      </c>
      <c r="H81" t="s">
        <v>14201</v>
      </c>
      <c r="I81" t="s">
        <v>32645</v>
      </c>
      <c r="J81" t="s">
        <v>32824</v>
      </c>
      <c r="K81" t="s">
        <v>42631</v>
      </c>
      <c r="M81" t="s">
        <v>42956</v>
      </c>
      <c r="N81" t="s">
        <v>47304</v>
      </c>
      <c r="O81" t="s">
        <v>47305</v>
      </c>
      <c r="P81">
        <v>0</v>
      </c>
      <c r="Q81">
        <v>3</v>
      </c>
      <c r="R81" t="s">
        <v>47306</v>
      </c>
      <c r="S81" t="s">
        <v>47414</v>
      </c>
      <c r="T81" t="s">
        <v>49010</v>
      </c>
      <c r="U81" t="s">
        <v>49624</v>
      </c>
      <c r="W81" t="s">
        <v>42956</v>
      </c>
      <c r="X81" t="s">
        <v>47313</v>
      </c>
    </row>
    <row r="82" spans="1:24">
      <c r="A82">
        <f>HYPERLINK("https://www.philgeps.gov.ph/GEPSNONPILOT/Tender/SplashBidNoticeAbstractUI.aspx?menuIndex=3&amp;refID=7189727&amp;Result=3","7189727")</f>
        <v>0</v>
      </c>
      <c r="B82" t="s">
        <v>65</v>
      </c>
      <c r="C82" t="s">
        <v>3992</v>
      </c>
      <c r="D82" t="s">
        <v>19015</v>
      </c>
      <c r="E82" t="s">
        <v>19173</v>
      </c>
      <c r="F82" t="s">
        <v>32606</v>
      </c>
      <c r="G82" t="s">
        <v>32615</v>
      </c>
      <c r="H82" t="s">
        <v>14201</v>
      </c>
      <c r="I82" t="s">
        <v>7064</v>
      </c>
      <c r="J82" t="s">
        <v>32825</v>
      </c>
      <c r="K82" t="s">
        <v>42622</v>
      </c>
      <c r="M82" t="s">
        <v>42962</v>
      </c>
      <c r="N82" t="s">
        <v>47304</v>
      </c>
      <c r="O82" t="s">
        <v>47305</v>
      </c>
      <c r="P82">
        <v>0</v>
      </c>
      <c r="Q82">
        <v>0</v>
      </c>
      <c r="R82" t="s">
        <v>47306</v>
      </c>
      <c r="S82" t="s">
        <v>47414</v>
      </c>
      <c r="T82" t="s">
        <v>49002</v>
      </c>
      <c r="U82" t="s">
        <v>49625</v>
      </c>
      <c r="W82" t="s">
        <v>42962</v>
      </c>
      <c r="X82" t="s">
        <v>47313</v>
      </c>
    </row>
    <row r="83" spans="1:24">
      <c r="A83">
        <f>HYPERLINK("https://www.philgeps.gov.ph/GEPSNONPILOT/Tender/SplashBidNoticeAbstractUI.aspx?menuIndex=3&amp;refID=7189585&amp;Result=3","7189585")</f>
        <v>0</v>
      </c>
      <c r="B83" t="s">
        <v>75</v>
      </c>
      <c r="C83" t="s">
        <v>3993</v>
      </c>
      <c r="D83" t="s">
        <v>19013</v>
      </c>
      <c r="E83" t="s">
        <v>19174</v>
      </c>
      <c r="F83" t="s">
        <v>32606</v>
      </c>
      <c r="G83" t="s">
        <v>32613</v>
      </c>
      <c r="H83" t="s">
        <v>32623</v>
      </c>
      <c r="I83" t="s">
        <v>17648</v>
      </c>
      <c r="J83" t="s">
        <v>32826</v>
      </c>
      <c r="K83" t="s">
        <v>42643</v>
      </c>
      <c r="M83" t="s">
        <v>42972</v>
      </c>
      <c r="N83" t="s">
        <v>47304</v>
      </c>
      <c r="O83" t="s">
        <v>47305</v>
      </c>
      <c r="P83">
        <v>0</v>
      </c>
      <c r="Q83">
        <v>0</v>
      </c>
      <c r="R83" t="s">
        <v>47306</v>
      </c>
      <c r="S83" t="s">
        <v>47414</v>
      </c>
      <c r="T83" t="s">
        <v>48990</v>
      </c>
      <c r="U83" t="s">
        <v>49626</v>
      </c>
      <c r="V83" t="s">
        <v>62658</v>
      </c>
      <c r="W83" t="s">
        <v>42972</v>
      </c>
      <c r="X83" t="s">
        <v>47313</v>
      </c>
    </row>
    <row r="84" spans="1:24">
      <c r="A84">
        <f>HYPERLINK("https://www.philgeps.gov.ph/GEPSNONPILOT/Tender/SplashBidNoticeAbstractUI.aspx?menuIndex=3&amp;refID=7188944&amp;Result=3","7188944")</f>
        <v>0</v>
      </c>
      <c r="B84" t="s">
        <v>64</v>
      </c>
      <c r="C84" t="s">
        <v>3994</v>
      </c>
      <c r="D84" t="s">
        <v>19004</v>
      </c>
      <c r="E84" t="s">
        <v>19175</v>
      </c>
      <c r="F84" t="s">
        <v>32606</v>
      </c>
      <c r="G84" t="s">
        <v>32613</v>
      </c>
      <c r="H84" t="s">
        <v>14201</v>
      </c>
      <c r="I84" t="s">
        <v>32633</v>
      </c>
      <c r="J84" t="s">
        <v>32827</v>
      </c>
      <c r="K84" t="s">
        <v>42622</v>
      </c>
      <c r="M84" t="s">
        <v>42961</v>
      </c>
      <c r="N84" t="s">
        <v>47304</v>
      </c>
      <c r="O84" t="s">
        <v>47305</v>
      </c>
      <c r="P84">
        <v>0</v>
      </c>
      <c r="Q84">
        <v>12</v>
      </c>
      <c r="R84" t="s">
        <v>47306</v>
      </c>
      <c r="S84" t="s">
        <v>47414</v>
      </c>
      <c r="T84" t="s">
        <v>49001</v>
      </c>
      <c r="U84" t="s">
        <v>49627</v>
      </c>
      <c r="W84" t="s">
        <v>64420</v>
      </c>
      <c r="X84" t="s">
        <v>47313</v>
      </c>
    </row>
    <row r="85" spans="1:24">
      <c r="A85">
        <f>HYPERLINK("https://www.philgeps.gov.ph/GEPSNONPILOT/Tender/SplashBidNoticeAbstractUI.aspx?menuIndex=3&amp;refID=7189631&amp;Result=3","7189631")</f>
        <v>0</v>
      </c>
      <c r="B85" t="s">
        <v>59</v>
      </c>
      <c r="C85" t="s">
        <v>3995</v>
      </c>
      <c r="D85" t="s">
        <v>19003</v>
      </c>
      <c r="E85" t="s">
        <v>19176</v>
      </c>
      <c r="F85" t="s">
        <v>32606</v>
      </c>
      <c r="G85" t="s">
        <v>32614</v>
      </c>
      <c r="H85" t="s">
        <v>32625</v>
      </c>
      <c r="I85" t="s">
        <v>32625</v>
      </c>
      <c r="J85" t="s">
        <v>32828</v>
      </c>
      <c r="K85" t="s">
        <v>42644</v>
      </c>
      <c r="M85" t="s">
        <v>42956</v>
      </c>
      <c r="N85" t="s">
        <v>47304</v>
      </c>
      <c r="O85" t="s">
        <v>47305</v>
      </c>
      <c r="P85">
        <v>0</v>
      </c>
      <c r="Q85">
        <v>4</v>
      </c>
      <c r="R85" t="s">
        <v>47306</v>
      </c>
      <c r="S85" t="s">
        <v>47414</v>
      </c>
      <c r="T85" t="s">
        <v>48980</v>
      </c>
      <c r="U85" t="s">
        <v>49628</v>
      </c>
      <c r="W85" t="s">
        <v>42956</v>
      </c>
      <c r="X85" t="s">
        <v>47313</v>
      </c>
    </row>
    <row r="86" spans="1:24">
      <c r="A86">
        <f>HYPERLINK("https://www.philgeps.gov.ph/GEPSNONPILOT/Tender/SplashBidNoticeAbstractUI.aspx?menuIndex=3&amp;refID=7191179&amp;Result=3","7191179")</f>
        <v>0</v>
      </c>
      <c r="B86" t="s">
        <v>76</v>
      </c>
      <c r="C86" t="s">
        <v>3996</v>
      </c>
      <c r="D86" t="s">
        <v>19010</v>
      </c>
      <c r="E86" t="s">
        <v>19177</v>
      </c>
      <c r="F86" t="s">
        <v>32606</v>
      </c>
      <c r="G86" t="s">
        <v>32615</v>
      </c>
      <c r="H86" t="s">
        <v>14201</v>
      </c>
      <c r="I86" t="s">
        <v>4120</v>
      </c>
      <c r="J86" t="s">
        <v>32829</v>
      </c>
      <c r="K86" t="s">
        <v>42624</v>
      </c>
      <c r="M86" t="s">
        <v>42973</v>
      </c>
      <c r="N86" t="s">
        <v>47304</v>
      </c>
      <c r="O86" t="s">
        <v>47305</v>
      </c>
      <c r="P86">
        <v>0</v>
      </c>
      <c r="Q86">
        <v>0</v>
      </c>
      <c r="R86" t="s">
        <v>47306</v>
      </c>
      <c r="S86" t="s">
        <v>47414</v>
      </c>
      <c r="T86" t="s">
        <v>49011</v>
      </c>
      <c r="U86" t="s">
        <v>49629</v>
      </c>
      <c r="W86" t="s">
        <v>64421</v>
      </c>
      <c r="X86" t="s">
        <v>47312</v>
      </c>
    </row>
    <row r="87" spans="1:24">
      <c r="A87">
        <f>HYPERLINK("https://www.philgeps.gov.ph/GEPSNONPILOT/Tender/SplashBidNoticeAbstractUI.aspx?menuIndex=3&amp;refID=7191159&amp;Result=3","7191159")</f>
        <v>0</v>
      </c>
      <c r="B87" t="s">
        <v>77</v>
      </c>
      <c r="C87" t="s">
        <v>3997</v>
      </c>
      <c r="D87" t="s">
        <v>19019</v>
      </c>
      <c r="E87" t="s">
        <v>19178</v>
      </c>
      <c r="F87" t="s">
        <v>32606</v>
      </c>
      <c r="G87" t="s">
        <v>32613</v>
      </c>
      <c r="H87" t="s">
        <v>32623</v>
      </c>
      <c r="I87" t="s">
        <v>17648</v>
      </c>
      <c r="J87" t="s">
        <v>32830</v>
      </c>
      <c r="K87" t="s">
        <v>42636</v>
      </c>
      <c r="M87" t="s">
        <v>42974</v>
      </c>
      <c r="N87" t="s">
        <v>47304</v>
      </c>
      <c r="O87" t="s">
        <v>47305</v>
      </c>
      <c r="P87">
        <v>0</v>
      </c>
      <c r="Q87">
        <v>0</v>
      </c>
      <c r="R87" t="s">
        <v>47306</v>
      </c>
      <c r="S87" t="s">
        <v>47414</v>
      </c>
      <c r="T87" t="s">
        <v>48995</v>
      </c>
      <c r="U87" t="s">
        <v>49630</v>
      </c>
      <c r="V87" t="s">
        <v>62659</v>
      </c>
      <c r="W87" t="s">
        <v>42974</v>
      </c>
      <c r="X87" t="s">
        <v>47312</v>
      </c>
    </row>
    <row r="88" spans="1:24">
      <c r="A88">
        <f>HYPERLINK("https://www.philgeps.gov.ph/GEPSNONPILOT/Tender/SplashBidNoticeAbstractUI.aspx?menuIndex=3&amp;refID=7191127&amp;Result=3","7191127")</f>
        <v>0</v>
      </c>
      <c r="B88" t="s">
        <v>76</v>
      </c>
      <c r="C88" t="s">
        <v>3998</v>
      </c>
      <c r="D88" t="s">
        <v>19010</v>
      </c>
      <c r="E88" t="s">
        <v>19179</v>
      </c>
      <c r="F88" t="s">
        <v>32606</v>
      </c>
      <c r="G88" t="s">
        <v>32615</v>
      </c>
      <c r="H88" t="s">
        <v>14201</v>
      </c>
      <c r="I88" t="s">
        <v>32640</v>
      </c>
      <c r="J88" t="s">
        <v>32831</v>
      </c>
      <c r="K88" t="s">
        <v>42624</v>
      </c>
      <c r="M88" t="s">
        <v>42973</v>
      </c>
      <c r="N88" t="s">
        <v>47304</v>
      </c>
      <c r="O88" t="s">
        <v>47305</v>
      </c>
      <c r="P88">
        <v>0</v>
      </c>
      <c r="Q88">
        <v>4</v>
      </c>
      <c r="R88" t="s">
        <v>47306</v>
      </c>
      <c r="S88" t="s">
        <v>47414</v>
      </c>
      <c r="T88" t="s">
        <v>49011</v>
      </c>
      <c r="U88" t="s">
        <v>49631</v>
      </c>
      <c r="W88" t="s">
        <v>64421</v>
      </c>
      <c r="X88" t="s">
        <v>47312</v>
      </c>
    </row>
    <row r="89" spans="1:24">
      <c r="A89">
        <f>HYPERLINK("https://www.philgeps.gov.ph/GEPSNONPILOT/Tender/SplashBidNoticeAbstractUI.aspx?menuIndex=3&amp;refID=7191189&amp;Result=3","7191189")</f>
        <v>0</v>
      </c>
      <c r="B89" t="s">
        <v>77</v>
      </c>
      <c r="C89" t="s">
        <v>3999</v>
      </c>
      <c r="D89" t="s">
        <v>19019</v>
      </c>
      <c r="E89" t="s">
        <v>19180</v>
      </c>
      <c r="F89" t="s">
        <v>32606</v>
      </c>
      <c r="G89" t="s">
        <v>32613</v>
      </c>
      <c r="H89" t="s">
        <v>32623</v>
      </c>
      <c r="I89" t="s">
        <v>17648</v>
      </c>
      <c r="J89" t="s">
        <v>32832</v>
      </c>
      <c r="K89" t="s">
        <v>42645</v>
      </c>
      <c r="M89" t="s">
        <v>42974</v>
      </c>
      <c r="N89" t="s">
        <v>47304</v>
      </c>
      <c r="O89" t="s">
        <v>47305</v>
      </c>
      <c r="P89">
        <v>0</v>
      </c>
      <c r="Q89">
        <v>0</v>
      </c>
      <c r="R89" t="s">
        <v>47306</v>
      </c>
      <c r="S89" t="s">
        <v>47414</v>
      </c>
      <c r="T89" t="s">
        <v>48995</v>
      </c>
      <c r="U89" t="s">
        <v>49632</v>
      </c>
      <c r="V89" t="s">
        <v>62659</v>
      </c>
      <c r="W89" t="s">
        <v>42974</v>
      </c>
      <c r="X89" t="s">
        <v>47312</v>
      </c>
    </row>
    <row r="90" spans="1:24">
      <c r="A90">
        <f>HYPERLINK("https://www.philgeps.gov.ph/GEPSNONPILOT/Tender/SplashBidNoticeAbstractUI.aspx?menuIndex=3&amp;refID=7191104&amp;Result=3","7191104")</f>
        <v>0</v>
      </c>
      <c r="B90" t="s">
        <v>77</v>
      </c>
      <c r="C90" t="s">
        <v>4000</v>
      </c>
      <c r="D90" t="s">
        <v>19019</v>
      </c>
      <c r="E90" t="s">
        <v>19181</v>
      </c>
      <c r="F90" t="s">
        <v>32606</v>
      </c>
      <c r="G90" t="s">
        <v>32613</v>
      </c>
      <c r="H90" t="s">
        <v>32623</v>
      </c>
      <c r="I90" t="s">
        <v>17648</v>
      </c>
      <c r="J90" t="s">
        <v>32833</v>
      </c>
      <c r="K90" t="s">
        <v>42639</v>
      </c>
      <c r="M90" t="s">
        <v>42974</v>
      </c>
      <c r="N90" t="s">
        <v>47304</v>
      </c>
      <c r="O90" t="s">
        <v>47305</v>
      </c>
      <c r="P90">
        <v>0</v>
      </c>
      <c r="Q90">
        <v>0</v>
      </c>
      <c r="R90" t="s">
        <v>47306</v>
      </c>
      <c r="S90" t="s">
        <v>47414</v>
      </c>
      <c r="T90" t="s">
        <v>48995</v>
      </c>
      <c r="U90" t="s">
        <v>49633</v>
      </c>
      <c r="V90" t="s">
        <v>62660</v>
      </c>
      <c r="W90" t="s">
        <v>42974</v>
      </c>
      <c r="X90" t="s">
        <v>47312</v>
      </c>
    </row>
    <row r="91" spans="1:24">
      <c r="A91">
        <f>HYPERLINK("https://www.philgeps.gov.ph/GEPSNONPILOT/Tender/SplashBidNoticeAbstractUI.aspx?menuIndex=3&amp;refID=7191099&amp;Result=3","7191099")</f>
        <v>0</v>
      </c>
      <c r="B91" t="s">
        <v>76</v>
      </c>
      <c r="C91" t="s">
        <v>4001</v>
      </c>
      <c r="D91" t="s">
        <v>19010</v>
      </c>
      <c r="E91" t="s">
        <v>19182</v>
      </c>
      <c r="F91" t="s">
        <v>32606</v>
      </c>
      <c r="G91" t="s">
        <v>32615</v>
      </c>
      <c r="H91" t="s">
        <v>14201</v>
      </c>
      <c r="I91" t="s">
        <v>32646</v>
      </c>
      <c r="J91" t="s">
        <v>32834</v>
      </c>
      <c r="K91" t="s">
        <v>42624</v>
      </c>
      <c r="M91" t="s">
        <v>42973</v>
      </c>
      <c r="N91" t="s">
        <v>47304</v>
      </c>
      <c r="O91" t="s">
        <v>47305</v>
      </c>
      <c r="P91">
        <v>0</v>
      </c>
      <c r="Q91">
        <v>0</v>
      </c>
      <c r="R91" t="s">
        <v>47306</v>
      </c>
      <c r="S91" t="s">
        <v>47414</v>
      </c>
      <c r="T91" t="s">
        <v>49011</v>
      </c>
      <c r="U91" t="s">
        <v>49634</v>
      </c>
      <c r="W91" t="s">
        <v>64421</v>
      </c>
      <c r="X91" t="s">
        <v>47312</v>
      </c>
    </row>
    <row r="92" spans="1:24">
      <c r="A92">
        <f>HYPERLINK("https://www.philgeps.gov.ph/GEPSNONPILOT/Tender/SplashBidNoticeAbstractUI.aspx?menuIndex=3&amp;refID=7191056&amp;Result=3","7191056")</f>
        <v>0</v>
      </c>
      <c r="B92" t="s">
        <v>58</v>
      </c>
      <c r="C92" t="s">
        <v>4002</v>
      </c>
      <c r="D92" t="s">
        <v>19011</v>
      </c>
      <c r="E92" t="s">
        <v>19183</v>
      </c>
      <c r="F92" t="s">
        <v>32606</v>
      </c>
      <c r="G92" t="s">
        <v>32615</v>
      </c>
      <c r="H92" t="s">
        <v>14201</v>
      </c>
      <c r="I92" t="s">
        <v>32647</v>
      </c>
      <c r="J92" t="s">
        <v>32835</v>
      </c>
      <c r="K92" t="s">
        <v>42624</v>
      </c>
      <c r="M92" t="s">
        <v>42955</v>
      </c>
      <c r="N92" t="s">
        <v>47304</v>
      </c>
      <c r="O92" t="s">
        <v>47305</v>
      </c>
      <c r="P92">
        <v>0</v>
      </c>
      <c r="Q92">
        <v>0</v>
      </c>
      <c r="R92" t="s">
        <v>47306</v>
      </c>
      <c r="S92" t="s">
        <v>47414</v>
      </c>
      <c r="T92" t="s">
        <v>48979</v>
      </c>
      <c r="U92" t="s">
        <v>49635</v>
      </c>
      <c r="W92" t="s">
        <v>42955</v>
      </c>
      <c r="X92" t="s">
        <v>47312</v>
      </c>
    </row>
    <row r="93" spans="1:24">
      <c r="A93">
        <f>HYPERLINK("https://www.philgeps.gov.ph/GEPSNONPILOT/Tender/SplashBidNoticeAbstractUI.aspx?menuIndex=3&amp;refID=7190503&amp;Result=3","7190503")</f>
        <v>0</v>
      </c>
      <c r="B93" t="s">
        <v>69</v>
      </c>
      <c r="C93" t="s">
        <v>4003</v>
      </c>
      <c r="D93" t="s">
        <v>18995</v>
      </c>
      <c r="E93" t="s">
        <v>19184</v>
      </c>
      <c r="F93" t="s">
        <v>32606</v>
      </c>
      <c r="G93" t="s">
        <v>32614</v>
      </c>
      <c r="H93" t="s">
        <v>14201</v>
      </c>
      <c r="I93" t="s">
        <v>9013</v>
      </c>
      <c r="J93" t="s">
        <v>32836</v>
      </c>
      <c r="K93" t="s">
        <v>42630</v>
      </c>
      <c r="M93" t="s">
        <v>42966</v>
      </c>
      <c r="N93" t="s">
        <v>47304</v>
      </c>
      <c r="O93" t="s">
        <v>47305</v>
      </c>
      <c r="Q93">
        <v>4</v>
      </c>
      <c r="R93" t="s">
        <v>47306</v>
      </c>
      <c r="S93" t="s">
        <v>47415</v>
      </c>
      <c r="T93" t="s">
        <v>49012</v>
      </c>
      <c r="U93" t="s">
        <v>49636</v>
      </c>
      <c r="W93" t="s">
        <v>42966</v>
      </c>
      <c r="X93" t="s">
        <v>47312</v>
      </c>
    </row>
    <row r="94" spans="1:24">
      <c r="A94">
        <f>HYPERLINK("https://www.philgeps.gov.ph/GEPSNONPILOT/Tender/SplashBidNoticeAbstractUI.aspx?menuIndex=3&amp;refID=7191160&amp;Result=3","7191160")</f>
        <v>0</v>
      </c>
      <c r="B94" t="s">
        <v>76</v>
      </c>
      <c r="C94" t="s">
        <v>4004</v>
      </c>
      <c r="D94" t="s">
        <v>19010</v>
      </c>
      <c r="E94" t="s">
        <v>19185</v>
      </c>
      <c r="F94" t="s">
        <v>32606</v>
      </c>
      <c r="G94" t="s">
        <v>32615</v>
      </c>
      <c r="H94" t="s">
        <v>14201</v>
      </c>
      <c r="I94" t="s">
        <v>32648</v>
      </c>
      <c r="J94" t="s">
        <v>32837</v>
      </c>
      <c r="K94" t="s">
        <v>42624</v>
      </c>
      <c r="M94" t="s">
        <v>42973</v>
      </c>
      <c r="N94" t="s">
        <v>47304</v>
      </c>
      <c r="O94" t="s">
        <v>47305</v>
      </c>
      <c r="P94">
        <v>0</v>
      </c>
      <c r="Q94">
        <v>5</v>
      </c>
      <c r="R94" t="s">
        <v>47306</v>
      </c>
      <c r="S94" t="s">
        <v>47414</v>
      </c>
      <c r="T94" t="s">
        <v>49011</v>
      </c>
      <c r="U94" t="s">
        <v>49637</v>
      </c>
      <c r="W94" t="s">
        <v>64421</v>
      </c>
      <c r="X94" t="s">
        <v>47312</v>
      </c>
    </row>
    <row r="95" spans="1:24">
      <c r="A95">
        <f>HYPERLINK("https://www.philgeps.gov.ph/GEPSNONPILOT/Tender/SplashBidNoticeAbstractUI.aspx?menuIndex=3&amp;refID=7190927&amp;Result=3","7190927")</f>
        <v>0</v>
      </c>
      <c r="B95" t="s">
        <v>78</v>
      </c>
      <c r="C95" t="s">
        <v>4005</v>
      </c>
      <c r="D95" t="s">
        <v>19020</v>
      </c>
      <c r="E95" t="s">
        <v>19186</v>
      </c>
      <c r="F95" t="s">
        <v>32606</v>
      </c>
      <c r="G95" t="s">
        <v>32613</v>
      </c>
      <c r="H95" t="s">
        <v>14201</v>
      </c>
      <c r="I95" t="s">
        <v>6931</v>
      </c>
      <c r="J95" t="s">
        <v>32838</v>
      </c>
      <c r="K95" t="s">
        <v>42631</v>
      </c>
      <c r="M95" t="s">
        <v>42975</v>
      </c>
      <c r="N95" t="s">
        <v>47304</v>
      </c>
      <c r="O95" t="s">
        <v>47305</v>
      </c>
      <c r="P95">
        <v>0</v>
      </c>
      <c r="Q95">
        <v>0</v>
      </c>
      <c r="R95" t="s">
        <v>47306</v>
      </c>
      <c r="S95" t="s">
        <v>47414</v>
      </c>
      <c r="T95" t="s">
        <v>49013</v>
      </c>
      <c r="U95" t="s">
        <v>49638</v>
      </c>
      <c r="W95" t="s">
        <v>42975</v>
      </c>
      <c r="X95" t="s">
        <v>47312</v>
      </c>
    </row>
    <row r="96" spans="1:24">
      <c r="A96">
        <f>HYPERLINK("https://www.philgeps.gov.ph/GEPSNONPILOT/Tender/SplashBidNoticeAbstractUI.aspx?menuIndex=3&amp;refID=7190863&amp;Result=3","7190863")</f>
        <v>0</v>
      </c>
      <c r="B96" t="s">
        <v>79</v>
      </c>
      <c r="C96" t="s">
        <v>4006</v>
      </c>
      <c r="D96" t="s">
        <v>18993</v>
      </c>
      <c r="E96" t="s">
        <v>19187</v>
      </c>
      <c r="F96" t="s">
        <v>32606</v>
      </c>
      <c r="G96" t="s">
        <v>32614</v>
      </c>
      <c r="H96" t="s">
        <v>14201</v>
      </c>
      <c r="I96" t="s">
        <v>32648</v>
      </c>
      <c r="J96" t="s">
        <v>32839</v>
      </c>
      <c r="K96" t="s">
        <v>42623</v>
      </c>
      <c r="M96" t="s">
        <v>42976</v>
      </c>
      <c r="N96" t="s">
        <v>47304</v>
      </c>
      <c r="O96" t="s">
        <v>47305</v>
      </c>
      <c r="P96">
        <v>0</v>
      </c>
      <c r="Q96">
        <v>11</v>
      </c>
      <c r="R96" t="s">
        <v>47306</v>
      </c>
      <c r="S96" t="s">
        <v>47414</v>
      </c>
      <c r="T96" t="s">
        <v>48980</v>
      </c>
      <c r="U96" t="s">
        <v>49639</v>
      </c>
      <c r="W96" t="s">
        <v>42976</v>
      </c>
      <c r="X96" t="s">
        <v>47312</v>
      </c>
    </row>
    <row r="97" spans="1:24">
      <c r="A97">
        <f>HYPERLINK("https://www.philgeps.gov.ph/GEPSNONPILOT/Tender/SplashBidNoticeAbstractUI.aspx?menuIndex=3&amp;refID=7190840&amp;Result=3","7190840")</f>
        <v>0</v>
      </c>
      <c r="B97" t="s">
        <v>80</v>
      </c>
      <c r="C97" t="s">
        <v>4007</v>
      </c>
      <c r="D97" t="s">
        <v>18993</v>
      </c>
      <c r="E97" t="s">
        <v>19188</v>
      </c>
      <c r="F97" t="s">
        <v>32606</v>
      </c>
      <c r="G97" t="s">
        <v>32617</v>
      </c>
      <c r="H97" t="s">
        <v>14201</v>
      </c>
      <c r="I97" t="s">
        <v>6298</v>
      </c>
      <c r="J97" t="s">
        <v>32840</v>
      </c>
      <c r="K97" t="s">
        <v>42631</v>
      </c>
      <c r="M97" t="s">
        <v>42977</v>
      </c>
      <c r="N97" t="s">
        <v>47304</v>
      </c>
      <c r="O97" t="s">
        <v>47305</v>
      </c>
      <c r="P97">
        <v>0</v>
      </c>
      <c r="Q97">
        <v>0</v>
      </c>
      <c r="R97" t="s">
        <v>47306</v>
      </c>
      <c r="S97" t="s">
        <v>47414</v>
      </c>
      <c r="T97" t="s">
        <v>49014</v>
      </c>
      <c r="U97" t="s">
        <v>49640</v>
      </c>
      <c r="W97" t="s">
        <v>42977</v>
      </c>
      <c r="X97" t="s">
        <v>47312</v>
      </c>
    </row>
    <row r="98" spans="1:24">
      <c r="A98">
        <f>HYPERLINK("https://www.philgeps.gov.ph/GEPSNONPILOT/Tender/SplashBidNoticeAbstractUI.aspx?menuIndex=3&amp;refID=7191361&amp;Result=3","7191361")</f>
        <v>0</v>
      </c>
      <c r="B98" t="s">
        <v>81</v>
      </c>
      <c r="C98" t="s">
        <v>4008</v>
      </c>
      <c r="D98" t="s">
        <v>18995</v>
      </c>
      <c r="E98" t="s">
        <v>19189</v>
      </c>
      <c r="F98" t="s">
        <v>32606</v>
      </c>
      <c r="G98" t="s">
        <v>32614</v>
      </c>
      <c r="H98" t="s">
        <v>14201</v>
      </c>
      <c r="I98" t="s">
        <v>32633</v>
      </c>
      <c r="J98" t="s">
        <v>32841</v>
      </c>
      <c r="K98" t="s">
        <v>42624</v>
      </c>
      <c r="M98" t="s">
        <v>42978</v>
      </c>
      <c r="N98" t="s">
        <v>47304</v>
      </c>
      <c r="O98" t="s">
        <v>47305</v>
      </c>
      <c r="P98">
        <v>0</v>
      </c>
      <c r="Q98">
        <v>19</v>
      </c>
      <c r="R98" t="s">
        <v>47306</v>
      </c>
      <c r="S98" t="s">
        <v>47414</v>
      </c>
      <c r="T98" t="s">
        <v>48980</v>
      </c>
      <c r="U98" t="s">
        <v>49641</v>
      </c>
      <c r="W98" t="s">
        <v>42978</v>
      </c>
      <c r="X98" t="s">
        <v>47312</v>
      </c>
    </row>
    <row r="99" spans="1:24">
      <c r="A99">
        <f>HYPERLINK("https://www.philgeps.gov.ph/GEPSNONPILOT/Tender/SplashBidNoticeAbstractUI.aspx?menuIndex=3&amp;refID=7191088&amp;Result=3","7191088")</f>
        <v>0</v>
      </c>
      <c r="B99" t="s">
        <v>77</v>
      </c>
      <c r="C99" t="s">
        <v>4009</v>
      </c>
      <c r="D99" t="s">
        <v>19019</v>
      </c>
      <c r="E99" t="s">
        <v>19190</v>
      </c>
      <c r="F99" t="s">
        <v>32606</v>
      </c>
      <c r="G99" t="s">
        <v>32613</v>
      </c>
      <c r="H99" t="s">
        <v>32623</v>
      </c>
      <c r="I99" t="s">
        <v>17648</v>
      </c>
      <c r="J99" t="s">
        <v>32842</v>
      </c>
      <c r="K99" t="s">
        <v>42646</v>
      </c>
      <c r="M99" t="s">
        <v>42974</v>
      </c>
      <c r="N99" t="s">
        <v>47304</v>
      </c>
      <c r="O99" t="s">
        <v>47305</v>
      </c>
      <c r="P99">
        <v>0</v>
      </c>
      <c r="Q99">
        <v>0</v>
      </c>
      <c r="R99" t="s">
        <v>47306</v>
      </c>
      <c r="S99" t="s">
        <v>47414</v>
      </c>
      <c r="T99" t="s">
        <v>48995</v>
      </c>
      <c r="U99" t="s">
        <v>49642</v>
      </c>
      <c r="V99" t="s">
        <v>62661</v>
      </c>
      <c r="W99" t="s">
        <v>42974</v>
      </c>
      <c r="X99" t="s">
        <v>47312</v>
      </c>
    </row>
    <row r="100" spans="1:24">
      <c r="A100">
        <f>HYPERLINK("https://www.philgeps.gov.ph/GEPSNONPILOT/Tender/SplashBidNoticeAbstractUI.aspx?menuIndex=3&amp;refID=7191004&amp;Result=3","7191004")</f>
        <v>0</v>
      </c>
      <c r="B100" t="s">
        <v>66</v>
      </c>
      <c r="C100" t="s">
        <v>4010</v>
      </c>
      <c r="D100" t="s">
        <v>19010</v>
      </c>
      <c r="E100" t="s">
        <v>19191</v>
      </c>
      <c r="F100" t="s">
        <v>32606</v>
      </c>
      <c r="G100" t="s">
        <v>32613</v>
      </c>
      <c r="H100" t="s">
        <v>14201</v>
      </c>
      <c r="I100" t="s">
        <v>32640</v>
      </c>
      <c r="J100" t="s">
        <v>32843</v>
      </c>
      <c r="K100" t="s">
        <v>42636</v>
      </c>
      <c r="M100" t="s">
        <v>42963</v>
      </c>
      <c r="N100" t="s">
        <v>47304</v>
      </c>
      <c r="O100" t="s">
        <v>47305</v>
      </c>
      <c r="P100">
        <v>0</v>
      </c>
      <c r="Q100">
        <v>1</v>
      </c>
      <c r="R100" t="s">
        <v>47306</v>
      </c>
      <c r="S100" t="s">
        <v>47414</v>
      </c>
      <c r="T100" t="s">
        <v>49003</v>
      </c>
      <c r="U100" t="s">
        <v>49643</v>
      </c>
      <c r="W100" t="s">
        <v>42963</v>
      </c>
      <c r="X100" t="s">
        <v>47312</v>
      </c>
    </row>
    <row r="101" spans="1:24">
      <c r="A101">
        <f>HYPERLINK("https://www.philgeps.gov.ph/GEPSNONPILOT/Tender/SplashBidNoticeAbstractUI.aspx?menuIndex=3&amp;refID=7191916&amp;Result=3","7191916")</f>
        <v>0</v>
      </c>
      <c r="B101" t="s">
        <v>82</v>
      </c>
      <c r="C101" t="s">
        <v>4011</v>
      </c>
      <c r="D101" t="s">
        <v>19011</v>
      </c>
      <c r="E101" t="s">
        <v>19192</v>
      </c>
      <c r="F101" t="s">
        <v>32606</v>
      </c>
      <c r="G101" t="s">
        <v>32614</v>
      </c>
      <c r="H101" t="s">
        <v>14201</v>
      </c>
      <c r="I101" t="s">
        <v>32637</v>
      </c>
      <c r="J101" t="s">
        <v>32770</v>
      </c>
      <c r="K101" t="s">
        <v>42624</v>
      </c>
      <c r="M101" t="s">
        <v>42979</v>
      </c>
      <c r="N101" t="s">
        <v>47304</v>
      </c>
      <c r="O101" t="s">
        <v>47305</v>
      </c>
      <c r="P101">
        <v>0</v>
      </c>
      <c r="Q101">
        <v>1</v>
      </c>
      <c r="R101" t="s">
        <v>47306</v>
      </c>
      <c r="S101" t="s">
        <v>47414</v>
      </c>
      <c r="T101" t="s">
        <v>49014</v>
      </c>
      <c r="U101" t="s">
        <v>49644</v>
      </c>
      <c r="W101" t="s">
        <v>42979</v>
      </c>
      <c r="X101" t="s">
        <v>47312</v>
      </c>
    </row>
    <row r="102" spans="1:24">
      <c r="A102">
        <f>HYPERLINK("https://www.philgeps.gov.ph/GEPSNONPILOT/Tender/SplashBidNoticeAbstractUI.aspx?menuIndex=3&amp;refID=7191743&amp;Result=3","7191743")</f>
        <v>0</v>
      </c>
      <c r="B102" t="s">
        <v>81</v>
      </c>
      <c r="C102" t="s">
        <v>4012</v>
      </c>
      <c r="D102" t="s">
        <v>18995</v>
      </c>
      <c r="E102" t="s">
        <v>19193</v>
      </c>
      <c r="F102" t="s">
        <v>32606</v>
      </c>
      <c r="G102" t="s">
        <v>32614</v>
      </c>
      <c r="H102" t="s">
        <v>14201</v>
      </c>
      <c r="I102" t="s">
        <v>32633</v>
      </c>
      <c r="J102" t="s">
        <v>32844</v>
      </c>
      <c r="K102" t="s">
        <v>42624</v>
      </c>
      <c r="M102" t="s">
        <v>42978</v>
      </c>
      <c r="N102" t="s">
        <v>47304</v>
      </c>
      <c r="O102" t="s">
        <v>47305</v>
      </c>
      <c r="P102">
        <v>0</v>
      </c>
      <c r="Q102">
        <v>3</v>
      </c>
      <c r="R102" t="s">
        <v>47306</v>
      </c>
      <c r="S102" t="s">
        <v>47414</v>
      </c>
      <c r="T102" t="s">
        <v>49014</v>
      </c>
      <c r="U102" t="s">
        <v>49645</v>
      </c>
      <c r="W102" t="s">
        <v>42978</v>
      </c>
      <c r="X102" t="s">
        <v>47312</v>
      </c>
    </row>
    <row r="103" spans="1:24">
      <c r="A103">
        <f>HYPERLINK("https://www.philgeps.gov.ph/GEPSNONPILOT/Tender/SplashBidNoticeAbstractUI.aspx?menuIndex=3&amp;refID=7185219&amp;Result=3","7185219")</f>
        <v>0</v>
      </c>
      <c r="B103" t="s">
        <v>83</v>
      </c>
      <c r="C103" t="s">
        <v>4013</v>
      </c>
      <c r="D103" t="s">
        <v>19021</v>
      </c>
      <c r="E103" t="s">
        <v>19194</v>
      </c>
      <c r="F103" t="s">
        <v>32606</v>
      </c>
      <c r="G103" t="s">
        <v>32614</v>
      </c>
      <c r="H103" t="s">
        <v>14201</v>
      </c>
      <c r="I103" t="s">
        <v>4120</v>
      </c>
      <c r="J103" t="s">
        <v>32845</v>
      </c>
      <c r="K103" t="s">
        <v>42630</v>
      </c>
      <c r="M103" t="s">
        <v>42980</v>
      </c>
      <c r="N103" t="s">
        <v>47304</v>
      </c>
      <c r="O103" t="s">
        <v>47305</v>
      </c>
      <c r="P103">
        <v>0</v>
      </c>
      <c r="Q103">
        <v>1</v>
      </c>
      <c r="R103" t="s">
        <v>47306</v>
      </c>
      <c r="S103" t="s">
        <v>47414</v>
      </c>
      <c r="T103" t="s">
        <v>49015</v>
      </c>
      <c r="U103" t="s">
        <v>49646</v>
      </c>
      <c r="W103" t="s">
        <v>42980</v>
      </c>
      <c r="X103" t="s">
        <v>47314</v>
      </c>
    </row>
    <row r="104" spans="1:24">
      <c r="A104">
        <f>HYPERLINK("https://www.philgeps.gov.ph/GEPSNONPILOT/Tender/SplashBidNoticeAbstractUI.aspx?menuIndex=3&amp;refID=7191860&amp;Result=3","7191860")</f>
        <v>0</v>
      </c>
      <c r="B104" t="s">
        <v>81</v>
      </c>
      <c r="C104" t="s">
        <v>4012</v>
      </c>
      <c r="D104" t="s">
        <v>18995</v>
      </c>
      <c r="E104" t="s">
        <v>19195</v>
      </c>
      <c r="F104" t="s">
        <v>32606</v>
      </c>
      <c r="G104" t="s">
        <v>32614</v>
      </c>
      <c r="H104" t="s">
        <v>14201</v>
      </c>
      <c r="I104" t="s">
        <v>32633</v>
      </c>
      <c r="J104" t="s">
        <v>32846</v>
      </c>
      <c r="K104" t="s">
        <v>42624</v>
      </c>
      <c r="M104" t="s">
        <v>42978</v>
      </c>
      <c r="N104" t="s">
        <v>47304</v>
      </c>
      <c r="O104" t="s">
        <v>47305</v>
      </c>
      <c r="P104">
        <v>0</v>
      </c>
      <c r="Q104">
        <v>1</v>
      </c>
      <c r="R104" t="s">
        <v>47306</v>
      </c>
      <c r="S104" t="s">
        <v>47414</v>
      </c>
      <c r="T104" t="s">
        <v>49014</v>
      </c>
      <c r="U104" t="s">
        <v>49647</v>
      </c>
      <c r="W104" t="s">
        <v>42978</v>
      </c>
      <c r="X104" t="s">
        <v>47312</v>
      </c>
    </row>
    <row r="105" spans="1:24">
      <c r="A105">
        <f>HYPERLINK("https://www.philgeps.gov.ph/GEPSNONPILOT/Tender/SplashBidNoticeAbstractUI.aspx?menuIndex=3&amp;refID=7191695&amp;Result=3","7191695")</f>
        <v>0</v>
      </c>
      <c r="B105" t="s">
        <v>84</v>
      </c>
      <c r="C105" t="s">
        <v>4014</v>
      </c>
      <c r="D105" t="s">
        <v>19014</v>
      </c>
      <c r="E105" t="s">
        <v>19196</v>
      </c>
      <c r="F105" t="s">
        <v>32606</v>
      </c>
      <c r="G105" t="s">
        <v>32613</v>
      </c>
      <c r="H105" t="s">
        <v>14201</v>
      </c>
      <c r="I105" t="s">
        <v>7529</v>
      </c>
      <c r="J105" t="s">
        <v>32847</v>
      </c>
      <c r="K105" t="s">
        <v>42631</v>
      </c>
      <c r="M105" t="s">
        <v>42981</v>
      </c>
      <c r="N105" t="s">
        <v>47304</v>
      </c>
      <c r="O105" t="s">
        <v>47305</v>
      </c>
      <c r="P105">
        <v>0</v>
      </c>
      <c r="Q105">
        <v>3</v>
      </c>
      <c r="R105" t="s">
        <v>47306</v>
      </c>
      <c r="S105" t="s">
        <v>47414</v>
      </c>
      <c r="T105" t="s">
        <v>49008</v>
      </c>
      <c r="U105" t="s">
        <v>49648</v>
      </c>
      <c r="V105" t="s">
        <v>62662</v>
      </c>
      <c r="W105" t="s">
        <v>42981</v>
      </c>
      <c r="X105" t="s">
        <v>47312</v>
      </c>
    </row>
    <row r="106" spans="1:24">
      <c r="A106">
        <f>HYPERLINK("https://www.philgeps.gov.ph/GEPSNONPILOT/Tender/SplashBidNoticeAbstractUI.aspx?menuIndex=3&amp;refID=7191826&amp;Result=3","7191826")</f>
        <v>0</v>
      </c>
      <c r="B106" t="s">
        <v>81</v>
      </c>
      <c r="C106" t="s">
        <v>4012</v>
      </c>
      <c r="D106" t="s">
        <v>18995</v>
      </c>
      <c r="E106" t="s">
        <v>19197</v>
      </c>
      <c r="F106" t="s">
        <v>32606</v>
      </c>
      <c r="G106" t="s">
        <v>32614</v>
      </c>
      <c r="H106" t="s">
        <v>14201</v>
      </c>
      <c r="I106" t="s">
        <v>32633</v>
      </c>
      <c r="J106" t="s">
        <v>32848</v>
      </c>
      <c r="K106" t="s">
        <v>42624</v>
      </c>
      <c r="M106" t="s">
        <v>42978</v>
      </c>
      <c r="N106" t="s">
        <v>47304</v>
      </c>
      <c r="O106" t="s">
        <v>47305</v>
      </c>
      <c r="P106">
        <v>0</v>
      </c>
      <c r="Q106">
        <v>1</v>
      </c>
      <c r="R106" t="s">
        <v>47306</v>
      </c>
      <c r="S106" t="s">
        <v>47414</v>
      </c>
      <c r="T106" t="s">
        <v>49014</v>
      </c>
      <c r="U106" t="s">
        <v>49649</v>
      </c>
      <c r="W106" t="s">
        <v>42978</v>
      </c>
      <c r="X106" t="s">
        <v>47312</v>
      </c>
    </row>
    <row r="107" spans="1:24">
      <c r="A107">
        <f>HYPERLINK("https://www.philgeps.gov.ph/GEPSNONPILOT/Tender/SplashBidNoticeAbstractUI.aspx?menuIndex=3&amp;refID=7191763&amp;Result=3","7191763")</f>
        <v>0</v>
      </c>
      <c r="B107" t="s">
        <v>81</v>
      </c>
      <c r="C107" t="s">
        <v>4012</v>
      </c>
      <c r="D107" t="s">
        <v>18995</v>
      </c>
      <c r="E107" t="s">
        <v>19198</v>
      </c>
      <c r="F107" t="s">
        <v>32606</v>
      </c>
      <c r="G107" t="s">
        <v>32614</v>
      </c>
      <c r="H107" t="s">
        <v>14201</v>
      </c>
      <c r="I107" t="s">
        <v>32633</v>
      </c>
      <c r="J107" t="s">
        <v>32849</v>
      </c>
      <c r="K107" t="s">
        <v>42624</v>
      </c>
      <c r="M107" t="s">
        <v>42978</v>
      </c>
      <c r="N107" t="s">
        <v>47304</v>
      </c>
      <c r="O107" t="s">
        <v>47305</v>
      </c>
      <c r="P107">
        <v>0</v>
      </c>
      <c r="Q107">
        <v>3</v>
      </c>
      <c r="R107" t="s">
        <v>47306</v>
      </c>
      <c r="S107" t="s">
        <v>47414</v>
      </c>
      <c r="T107" t="s">
        <v>49014</v>
      </c>
      <c r="U107" t="s">
        <v>49650</v>
      </c>
      <c r="W107" t="s">
        <v>42978</v>
      </c>
      <c r="X107" t="s">
        <v>47312</v>
      </c>
    </row>
    <row r="108" spans="1:24">
      <c r="A108">
        <f>HYPERLINK("https://www.philgeps.gov.ph/GEPSNONPILOT/Tender/SplashBidNoticeAbstractUI.aspx?menuIndex=3&amp;refID=7191688&amp;Result=3","7191688")</f>
        <v>0</v>
      </c>
      <c r="B108" t="s">
        <v>81</v>
      </c>
      <c r="C108" t="s">
        <v>4015</v>
      </c>
      <c r="D108" t="s">
        <v>18995</v>
      </c>
      <c r="E108" t="s">
        <v>19199</v>
      </c>
      <c r="F108" t="s">
        <v>32606</v>
      </c>
      <c r="G108" t="s">
        <v>32614</v>
      </c>
      <c r="H108" t="s">
        <v>14201</v>
      </c>
      <c r="I108" t="s">
        <v>32633</v>
      </c>
      <c r="J108" t="s">
        <v>32850</v>
      </c>
      <c r="K108" t="s">
        <v>42624</v>
      </c>
      <c r="M108" t="s">
        <v>42978</v>
      </c>
      <c r="N108" t="s">
        <v>47304</v>
      </c>
      <c r="O108" t="s">
        <v>47305</v>
      </c>
      <c r="P108">
        <v>0</v>
      </c>
      <c r="Q108">
        <v>5</v>
      </c>
      <c r="R108" t="s">
        <v>47306</v>
      </c>
      <c r="S108" t="s">
        <v>47414</v>
      </c>
      <c r="T108" t="s">
        <v>49014</v>
      </c>
      <c r="U108" t="s">
        <v>49651</v>
      </c>
      <c r="W108" t="s">
        <v>42978</v>
      </c>
      <c r="X108" t="s">
        <v>47312</v>
      </c>
    </row>
    <row r="109" spans="1:24">
      <c r="A109">
        <f>HYPERLINK("https://www.philgeps.gov.ph/GEPSNONPILOT/Tender/SplashBidNoticeAbstractUI.aspx?menuIndex=3&amp;refID=7191664&amp;Result=3","7191664")</f>
        <v>0</v>
      </c>
      <c r="B109" t="s">
        <v>81</v>
      </c>
      <c r="C109" t="s">
        <v>4016</v>
      </c>
      <c r="D109" t="s">
        <v>18995</v>
      </c>
      <c r="E109" t="s">
        <v>19200</v>
      </c>
      <c r="F109" t="s">
        <v>32606</v>
      </c>
      <c r="G109" t="s">
        <v>32614</v>
      </c>
      <c r="H109" t="s">
        <v>14201</v>
      </c>
      <c r="I109" t="s">
        <v>32633</v>
      </c>
      <c r="J109" t="s">
        <v>32851</v>
      </c>
      <c r="K109" t="s">
        <v>42624</v>
      </c>
      <c r="M109" t="s">
        <v>42978</v>
      </c>
      <c r="N109" t="s">
        <v>47304</v>
      </c>
      <c r="O109" t="s">
        <v>47305</v>
      </c>
      <c r="P109">
        <v>0</v>
      </c>
      <c r="Q109">
        <v>8</v>
      </c>
      <c r="R109" t="s">
        <v>47306</v>
      </c>
      <c r="S109" t="s">
        <v>47414</v>
      </c>
      <c r="T109" t="s">
        <v>49014</v>
      </c>
      <c r="U109" t="s">
        <v>49652</v>
      </c>
      <c r="W109" t="s">
        <v>42978</v>
      </c>
      <c r="X109" t="s">
        <v>47312</v>
      </c>
    </row>
    <row r="110" spans="1:24">
      <c r="A110">
        <f>HYPERLINK("https://www.philgeps.gov.ph/GEPSNONPILOT/Tender/SplashBidNoticeAbstractUI.aspx?menuIndex=3&amp;refID=7191630&amp;Result=3","7191630")</f>
        <v>0</v>
      </c>
      <c r="B110" t="s">
        <v>42</v>
      </c>
      <c r="C110" t="s">
        <v>4017</v>
      </c>
      <c r="E110" t="s">
        <v>19201</v>
      </c>
      <c r="F110" t="s">
        <v>32606</v>
      </c>
      <c r="G110" t="s">
        <v>32614</v>
      </c>
      <c r="H110" t="s">
        <v>14201</v>
      </c>
      <c r="I110" t="s">
        <v>7233</v>
      </c>
      <c r="J110" t="s">
        <v>32852</v>
      </c>
      <c r="K110" t="s">
        <v>42627</v>
      </c>
      <c r="M110" t="s">
        <v>42982</v>
      </c>
      <c r="N110" t="s">
        <v>47304</v>
      </c>
      <c r="O110" t="s">
        <v>47305</v>
      </c>
      <c r="P110">
        <v>0</v>
      </c>
      <c r="Q110">
        <v>0</v>
      </c>
      <c r="R110" t="s">
        <v>47306</v>
      </c>
      <c r="S110" t="s">
        <v>47414</v>
      </c>
      <c r="T110" t="s">
        <v>48987</v>
      </c>
      <c r="U110" t="s">
        <v>49653</v>
      </c>
      <c r="W110" t="s">
        <v>42982</v>
      </c>
      <c r="X110" t="s">
        <v>47312</v>
      </c>
    </row>
    <row r="111" spans="1:24">
      <c r="A111">
        <f>HYPERLINK("https://www.philgeps.gov.ph/GEPSNONPILOT/Tender/SplashBidNoticeAbstractUI.aspx?menuIndex=3&amp;refID=7191594&amp;Result=3","7191594")</f>
        <v>0</v>
      </c>
      <c r="B111" t="s">
        <v>81</v>
      </c>
      <c r="C111" t="s">
        <v>4018</v>
      </c>
      <c r="D111" t="s">
        <v>18995</v>
      </c>
      <c r="E111" t="s">
        <v>19202</v>
      </c>
      <c r="F111" t="s">
        <v>32606</v>
      </c>
      <c r="G111" t="s">
        <v>32614</v>
      </c>
      <c r="H111" t="s">
        <v>14201</v>
      </c>
      <c r="I111" t="s">
        <v>32633</v>
      </c>
      <c r="J111" t="s">
        <v>32853</v>
      </c>
      <c r="K111" t="s">
        <v>42624</v>
      </c>
      <c r="M111" t="s">
        <v>42978</v>
      </c>
      <c r="N111" t="s">
        <v>47304</v>
      </c>
      <c r="O111" t="s">
        <v>47305</v>
      </c>
      <c r="P111">
        <v>0</v>
      </c>
      <c r="Q111">
        <v>2</v>
      </c>
      <c r="R111" t="s">
        <v>47306</v>
      </c>
      <c r="S111" t="s">
        <v>47414</v>
      </c>
      <c r="T111" t="s">
        <v>49014</v>
      </c>
      <c r="U111" t="s">
        <v>49654</v>
      </c>
      <c r="W111" t="s">
        <v>42978</v>
      </c>
      <c r="X111" t="s">
        <v>47312</v>
      </c>
    </row>
    <row r="112" spans="1:24">
      <c r="A112">
        <f>HYPERLINK("https://www.philgeps.gov.ph/GEPSNONPILOT/Tender/SplashBidNoticeAbstractUI.aspx?menuIndex=3&amp;refID=7191551&amp;Result=3","7191551")</f>
        <v>0</v>
      </c>
      <c r="B112" t="s">
        <v>85</v>
      </c>
      <c r="C112" t="s">
        <v>4019</v>
      </c>
      <c r="D112" t="s">
        <v>19022</v>
      </c>
      <c r="E112" t="s">
        <v>19203</v>
      </c>
      <c r="F112" t="s">
        <v>32606</v>
      </c>
      <c r="G112" t="s">
        <v>32614</v>
      </c>
      <c r="H112" t="s">
        <v>14201</v>
      </c>
      <c r="I112" t="s">
        <v>6993</v>
      </c>
      <c r="J112" t="s">
        <v>32854</v>
      </c>
      <c r="K112" t="s">
        <v>42624</v>
      </c>
      <c r="M112" t="s">
        <v>42983</v>
      </c>
      <c r="N112" t="s">
        <v>47304</v>
      </c>
      <c r="O112" t="s">
        <v>47305</v>
      </c>
      <c r="P112">
        <v>0</v>
      </c>
      <c r="Q112">
        <v>0</v>
      </c>
      <c r="R112" t="s">
        <v>47306</v>
      </c>
      <c r="S112" t="s">
        <v>47414</v>
      </c>
      <c r="T112" t="s">
        <v>49016</v>
      </c>
      <c r="U112" t="s">
        <v>49655</v>
      </c>
      <c r="W112" t="s">
        <v>42983</v>
      </c>
      <c r="X112" t="s">
        <v>47312</v>
      </c>
    </row>
    <row r="113" spans="1:24">
      <c r="A113">
        <f>HYPERLINK("https://www.philgeps.gov.ph/GEPSNONPILOT/Tender/SplashBidNoticeAbstractUI.aspx?menuIndex=3&amp;refID=7191425&amp;Result=3","7191425")</f>
        <v>0</v>
      </c>
      <c r="B113" t="s">
        <v>81</v>
      </c>
      <c r="C113" t="s">
        <v>4020</v>
      </c>
      <c r="D113" t="s">
        <v>18995</v>
      </c>
      <c r="E113" t="s">
        <v>19204</v>
      </c>
      <c r="F113" t="s">
        <v>32606</v>
      </c>
      <c r="G113" t="s">
        <v>32614</v>
      </c>
      <c r="H113" t="s">
        <v>14201</v>
      </c>
      <c r="I113" t="s">
        <v>32633</v>
      </c>
      <c r="J113" t="s">
        <v>32855</v>
      </c>
      <c r="K113" t="s">
        <v>42624</v>
      </c>
      <c r="M113" t="s">
        <v>42978</v>
      </c>
      <c r="N113" t="s">
        <v>47304</v>
      </c>
      <c r="O113" t="s">
        <v>47305</v>
      </c>
      <c r="P113">
        <v>0</v>
      </c>
      <c r="Q113">
        <v>4</v>
      </c>
      <c r="R113" t="s">
        <v>47306</v>
      </c>
      <c r="S113" t="s">
        <v>47414</v>
      </c>
      <c r="T113" t="s">
        <v>49014</v>
      </c>
      <c r="U113" t="s">
        <v>49656</v>
      </c>
      <c r="W113" t="s">
        <v>42978</v>
      </c>
      <c r="X113" t="s">
        <v>47312</v>
      </c>
    </row>
    <row r="114" spans="1:24">
      <c r="A114">
        <f>HYPERLINK("https://www.philgeps.gov.ph/GEPSNONPILOT/Tender/SplashBidNoticeAbstractUI.aspx?menuIndex=3&amp;refID=7191812&amp;Result=3","7191812")</f>
        <v>0</v>
      </c>
      <c r="B114" t="s">
        <v>86</v>
      </c>
      <c r="C114" t="s">
        <v>4021</v>
      </c>
      <c r="D114" t="s">
        <v>19004</v>
      </c>
      <c r="E114" t="s">
        <v>19205</v>
      </c>
      <c r="F114" t="s">
        <v>32606</v>
      </c>
      <c r="G114" t="s">
        <v>32613</v>
      </c>
      <c r="H114" t="s">
        <v>14201</v>
      </c>
      <c r="I114" t="s">
        <v>7064</v>
      </c>
      <c r="J114" t="s">
        <v>32856</v>
      </c>
      <c r="K114" t="s">
        <v>42636</v>
      </c>
      <c r="M114" t="s">
        <v>42984</v>
      </c>
      <c r="N114" t="s">
        <v>47304</v>
      </c>
      <c r="O114" t="s">
        <v>47305</v>
      </c>
      <c r="P114">
        <v>0</v>
      </c>
      <c r="Q114">
        <v>7</v>
      </c>
      <c r="R114" t="s">
        <v>47306</v>
      </c>
      <c r="S114" t="s">
        <v>47414</v>
      </c>
      <c r="T114" t="s">
        <v>48987</v>
      </c>
      <c r="U114" t="s">
        <v>49657</v>
      </c>
      <c r="V114" t="s">
        <v>62663</v>
      </c>
      <c r="W114" t="s">
        <v>42984</v>
      </c>
      <c r="X114" t="s">
        <v>47312</v>
      </c>
    </row>
    <row r="115" spans="1:24">
      <c r="A115">
        <f>HYPERLINK("https://www.philgeps.gov.ph/GEPSNONPILOT/Tender/SplashBidNoticeAbstractUI.aspx?menuIndex=3&amp;refID=7191397&amp;Result=3","7191397")</f>
        <v>0</v>
      </c>
      <c r="B115" t="s">
        <v>87</v>
      </c>
      <c r="C115" t="s">
        <v>4022</v>
      </c>
      <c r="D115" t="s">
        <v>19013</v>
      </c>
      <c r="E115" t="s">
        <v>19147</v>
      </c>
      <c r="F115" t="s">
        <v>32606</v>
      </c>
      <c r="G115" t="s">
        <v>32613</v>
      </c>
      <c r="H115" t="s">
        <v>32623</v>
      </c>
      <c r="I115" t="s">
        <v>17648</v>
      </c>
      <c r="J115" t="s">
        <v>32857</v>
      </c>
      <c r="K115" t="s">
        <v>42647</v>
      </c>
      <c r="M115" t="s">
        <v>42985</v>
      </c>
      <c r="N115" t="s">
        <v>47304</v>
      </c>
      <c r="O115" t="s">
        <v>47305</v>
      </c>
      <c r="P115">
        <v>0</v>
      </c>
      <c r="Q115">
        <v>0</v>
      </c>
      <c r="R115" t="s">
        <v>47306</v>
      </c>
      <c r="S115" t="s">
        <v>47414</v>
      </c>
      <c r="T115" t="s">
        <v>48973</v>
      </c>
      <c r="U115" t="s">
        <v>49658</v>
      </c>
      <c r="V115" t="s">
        <v>62664</v>
      </c>
      <c r="W115" t="s">
        <v>42985</v>
      </c>
      <c r="X115" t="s">
        <v>47312</v>
      </c>
    </row>
    <row r="116" spans="1:24">
      <c r="A116">
        <f>HYPERLINK("https://www.philgeps.gov.ph/GEPSNONPILOT/Tender/SplashBidNoticeAbstractUI.aspx?menuIndex=3&amp;refID=7191356&amp;Result=3","7191356")</f>
        <v>0</v>
      </c>
      <c r="B116" t="s">
        <v>42</v>
      </c>
      <c r="C116" t="s">
        <v>4023</v>
      </c>
      <c r="E116" t="s">
        <v>19206</v>
      </c>
      <c r="F116" t="s">
        <v>32606</v>
      </c>
      <c r="G116" t="s">
        <v>32614</v>
      </c>
      <c r="H116" t="s">
        <v>14201</v>
      </c>
      <c r="I116" t="s">
        <v>32633</v>
      </c>
      <c r="J116" t="s">
        <v>32858</v>
      </c>
      <c r="K116" t="s">
        <v>42627</v>
      </c>
      <c r="M116" t="s">
        <v>42982</v>
      </c>
      <c r="N116" t="s">
        <v>47304</v>
      </c>
      <c r="O116" t="s">
        <v>47305</v>
      </c>
      <c r="P116">
        <v>0</v>
      </c>
      <c r="Q116">
        <v>2</v>
      </c>
      <c r="R116" t="s">
        <v>47306</v>
      </c>
      <c r="S116" t="s">
        <v>47414</v>
      </c>
      <c r="T116" t="s">
        <v>48987</v>
      </c>
      <c r="U116" t="s">
        <v>49659</v>
      </c>
      <c r="W116" t="s">
        <v>42982</v>
      </c>
      <c r="X116" t="s">
        <v>47312</v>
      </c>
    </row>
    <row r="117" spans="1:24">
      <c r="A117">
        <f>HYPERLINK("https://www.philgeps.gov.ph/GEPSNONPILOT/Tender/SplashBidNoticeAbstractUI.aspx?menuIndex=3&amp;refID=7191247&amp;Result=3","7191247")</f>
        <v>0</v>
      </c>
      <c r="B117" t="s">
        <v>42</v>
      </c>
      <c r="C117" t="s">
        <v>4024</v>
      </c>
      <c r="E117" t="s">
        <v>19207</v>
      </c>
      <c r="F117" t="s">
        <v>32606</v>
      </c>
      <c r="G117" t="s">
        <v>32614</v>
      </c>
      <c r="H117" t="s">
        <v>14201</v>
      </c>
      <c r="I117" t="s">
        <v>4369</v>
      </c>
      <c r="J117" t="s">
        <v>32778</v>
      </c>
      <c r="K117" t="s">
        <v>42627</v>
      </c>
      <c r="M117" t="s">
        <v>42982</v>
      </c>
      <c r="N117" t="s">
        <v>47304</v>
      </c>
      <c r="O117" t="s">
        <v>47305</v>
      </c>
      <c r="P117">
        <v>0</v>
      </c>
      <c r="Q117">
        <v>8</v>
      </c>
      <c r="R117" t="s">
        <v>47306</v>
      </c>
      <c r="S117" t="s">
        <v>47414</v>
      </c>
      <c r="T117" t="s">
        <v>48987</v>
      </c>
      <c r="U117" t="s">
        <v>49653</v>
      </c>
      <c r="W117" t="s">
        <v>42982</v>
      </c>
      <c r="X117" t="s">
        <v>47312</v>
      </c>
    </row>
    <row r="118" spans="1:24">
      <c r="A118">
        <f>HYPERLINK("https://www.philgeps.gov.ph/GEPSNONPILOT/Tender/SplashBidNoticeAbstractUI.aspx?menuIndex=3&amp;refID=7191413&amp;Result=3","7191413")</f>
        <v>0</v>
      </c>
      <c r="B118" t="s">
        <v>42</v>
      </c>
      <c r="C118" t="s">
        <v>4025</v>
      </c>
      <c r="E118" t="s">
        <v>19208</v>
      </c>
      <c r="F118" t="s">
        <v>32606</v>
      </c>
      <c r="G118" t="s">
        <v>32614</v>
      </c>
      <c r="H118" t="s">
        <v>14201</v>
      </c>
      <c r="I118" t="s">
        <v>6298</v>
      </c>
      <c r="J118" t="s">
        <v>32859</v>
      </c>
      <c r="K118" t="s">
        <v>42630</v>
      </c>
      <c r="M118" t="s">
        <v>42982</v>
      </c>
      <c r="N118" t="s">
        <v>47304</v>
      </c>
      <c r="O118" t="s">
        <v>47305</v>
      </c>
      <c r="P118">
        <v>0</v>
      </c>
      <c r="Q118">
        <v>3</v>
      </c>
      <c r="R118" t="s">
        <v>47306</v>
      </c>
      <c r="S118" t="s">
        <v>47414</v>
      </c>
      <c r="T118" t="s">
        <v>48987</v>
      </c>
      <c r="U118" t="s">
        <v>49653</v>
      </c>
      <c r="W118" t="s">
        <v>42982</v>
      </c>
      <c r="X118" t="s">
        <v>47312</v>
      </c>
    </row>
    <row r="119" spans="1:24">
      <c r="A119">
        <f>HYPERLINK("https://www.philgeps.gov.ph/GEPSNONPILOT/Tender/SplashBidNoticeAbstractUI.aspx?menuIndex=3&amp;refID=7190767&amp;Result=3","7190767")</f>
        <v>0</v>
      </c>
      <c r="B119" t="s">
        <v>86</v>
      </c>
      <c r="C119" t="s">
        <v>4026</v>
      </c>
      <c r="D119" t="s">
        <v>19004</v>
      </c>
      <c r="E119" t="s">
        <v>19209</v>
      </c>
      <c r="F119" t="s">
        <v>32606</v>
      </c>
      <c r="G119" t="s">
        <v>32613</v>
      </c>
      <c r="H119" t="s">
        <v>14201</v>
      </c>
      <c r="I119" t="s">
        <v>4678</v>
      </c>
      <c r="J119" t="s">
        <v>32798</v>
      </c>
      <c r="K119" t="s">
        <v>42631</v>
      </c>
      <c r="M119" t="s">
        <v>42984</v>
      </c>
      <c r="N119" t="s">
        <v>47304</v>
      </c>
      <c r="O119" t="s">
        <v>47305</v>
      </c>
      <c r="P119">
        <v>0</v>
      </c>
      <c r="Q119">
        <v>3</v>
      </c>
      <c r="R119" t="s">
        <v>47306</v>
      </c>
      <c r="S119" t="s">
        <v>47414</v>
      </c>
      <c r="T119" t="s">
        <v>48987</v>
      </c>
      <c r="U119" t="s">
        <v>49660</v>
      </c>
      <c r="V119" t="s">
        <v>62663</v>
      </c>
      <c r="W119" t="s">
        <v>42984</v>
      </c>
      <c r="X119" t="s">
        <v>47312</v>
      </c>
    </row>
    <row r="120" spans="1:24">
      <c r="A120">
        <f>HYPERLINK("https://www.philgeps.gov.ph/GEPSNONPILOT/Tender/SplashBidNoticeAbstractUI.aspx?menuIndex=3&amp;refID=7190670&amp;Result=3","7190670")</f>
        <v>0</v>
      </c>
      <c r="B120" t="s">
        <v>88</v>
      </c>
      <c r="C120" t="s">
        <v>4027</v>
      </c>
      <c r="D120" t="s">
        <v>19013</v>
      </c>
      <c r="E120" t="s">
        <v>19210</v>
      </c>
      <c r="F120" t="s">
        <v>32606</v>
      </c>
      <c r="G120" t="s">
        <v>32613</v>
      </c>
      <c r="H120" t="s">
        <v>32623</v>
      </c>
      <c r="I120" t="s">
        <v>17648</v>
      </c>
      <c r="J120" t="s">
        <v>32860</v>
      </c>
      <c r="K120" t="s">
        <v>42648</v>
      </c>
      <c r="M120" t="s">
        <v>42986</v>
      </c>
      <c r="N120" t="s">
        <v>47304</v>
      </c>
      <c r="O120" t="s">
        <v>47305</v>
      </c>
      <c r="P120">
        <v>0</v>
      </c>
      <c r="Q120">
        <v>0</v>
      </c>
      <c r="R120" t="s">
        <v>47306</v>
      </c>
      <c r="S120" t="s">
        <v>47414</v>
      </c>
      <c r="T120" t="s">
        <v>48990</v>
      </c>
      <c r="U120" t="s">
        <v>49661</v>
      </c>
      <c r="W120" t="s">
        <v>42986</v>
      </c>
      <c r="X120" t="s">
        <v>47312</v>
      </c>
    </row>
    <row r="121" spans="1:24">
      <c r="A121">
        <f>HYPERLINK("https://www.philgeps.gov.ph/GEPSNONPILOT/Tender/SplashBidNoticeAbstractUI.aspx?menuIndex=3&amp;refID=7190763&amp;Result=3","7190763")</f>
        <v>0</v>
      </c>
      <c r="B121" t="s">
        <v>88</v>
      </c>
      <c r="C121" t="s">
        <v>4028</v>
      </c>
      <c r="D121" t="s">
        <v>19013</v>
      </c>
      <c r="E121" t="s">
        <v>19211</v>
      </c>
      <c r="F121" t="s">
        <v>32606</v>
      </c>
      <c r="G121" t="s">
        <v>32613</v>
      </c>
      <c r="H121" t="s">
        <v>32623</v>
      </c>
      <c r="I121" t="s">
        <v>17648</v>
      </c>
      <c r="J121" t="s">
        <v>32861</v>
      </c>
      <c r="K121" t="s">
        <v>42649</v>
      </c>
      <c r="M121" t="s">
        <v>42986</v>
      </c>
      <c r="N121" t="s">
        <v>47304</v>
      </c>
      <c r="O121" t="s">
        <v>47305</v>
      </c>
      <c r="P121">
        <v>0</v>
      </c>
      <c r="Q121">
        <v>0</v>
      </c>
      <c r="R121" t="s">
        <v>47306</v>
      </c>
      <c r="S121" t="s">
        <v>47414</v>
      </c>
      <c r="T121" t="s">
        <v>48990</v>
      </c>
      <c r="U121" t="s">
        <v>49662</v>
      </c>
      <c r="W121" t="s">
        <v>42986</v>
      </c>
      <c r="X121" t="s">
        <v>47312</v>
      </c>
    </row>
    <row r="122" spans="1:24">
      <c r="A122">
        <f>HYPERLINK("https://www.philgeps.gov.ph/GEPSNONPILOT/Tender/SplashBidNoticeAbstractUI.aspx?menuIndex=3&amp;refID=7191344&amp;Result=3","7191344")</f>
        <v>0</v>
      </c>
      <c r="B122" t="s">
        <v>81</v>
      </c>
      <c r="C122" t="s">
        <v>4029</v>
      </c>
      <c r="D122" t="s">
        <v>18995</v>
      </c>
      <c r="E122" t="s">
        <v>19212</v>
      </c>
      <c r="F122" t="s">
        <v>32606</v>
      </c>
      <c r="G122" t="s">
        <v>32614</v>
      </c>
      <c r="H122" t="s">
        <v>14201</v>
      </c>
      <c r="I122" t="s">
        <v>32633</v>
      </c>
      <c r="J122" t="s">
        <v>32862</v>
      </c>
      <c r="K122" t="s">
        <v>42624</v>
      </c>
      <c r="M122" t="s">
        <v>42978</v>
      </c>
      <c r="N122" t="s">
        <v>47304</v>
      </c>
      <c r="O122" t="s">
        <v>47305</v>
      </c>
      <c r="P122">
        <v>0</v>
      </c>
      <c r="Q122">
        <v>1</v>
      </c>
      <c r="R122" t="s">
        <v>47306</v>
      </c>
      <c r="S122" t="s">
        <v>47414</v>
      </c>
      <c r="T122" t="s">
        <v>49014</v>
      </c>
      <c r="U122" t="s">
        <v>49663</v>
      </c>
      <c r="W122" t="s">
        <v>42978</v>
      </c>
      <c r="X122" t="s">
        <v>47312</v>
      </c>
    </row>
    <row r="123" spans="1:24">
      <c r="A123">
        <f>HYPERLINK("https://www.philgeps.gov.ph/GEPSNONPILOT/Tender/SplashBidNoticeAbstractUI.aspx?menuIndex=3&amp;refID=7190653&amp;Result=3","7190653")</f>
        <v>0</v>
      </c>
      <c r="B123" t="s">
        <v>52</v>
      </c>
      <c r="C123" t="s">
        <v>4030</v>
      </c>
      <c r="D123" t="s">
        <v>19007</v>
      </c>
      <c r="E123" t="s">
        <v>19213</v>
      </c>
      <c r="F123" t="s">
        <v>32606</v>
      </c>
      <c r="G123" t="s">
        <v>32613</v>
      </c>
      <c r="H123" t="s">
        <v>14201</v>
      </c>
      <c r="I123" t="s">
        <v>7064</v>
      </c>
      <c r="J123" t="s">
        <v>32863</v>
      </c>
      <c r="K123" t="s">
        <v>42631</v>
      </c>
      <c r="M123" t="s">
        <v>42949</v>
      </c>
      <c r="N123" t="s">
        <v>47304</v>
      </c>
      <c r="O123" t="s">
        <v>47305</v>
      </c>
      <c r="P123">
        <v>0</v>
      </c>
      <c r="Q123">
        <v>4</v>
      </c>
      <c r="R123" t="s">
        <v>47306</v>
      </c>
      <c r="S123" t="s">
        <v>47414</v>
      </c>
      <c r="T123" t="s">
        <v>48993</v>
      </c>
      <c r="U123" t="s">
        <v>49586</v>
      </c>
      <c r="W123" t="s">
        <v>42949</v>
      </c>
      <c r="X123" t="s">
        <v>47312</v>
      </c>
    </row>
    <row r="124" spans="1:24">
      <c r="A124">
        <f>HYPERLINK("https://www.philgeps.gov.ph/GEPSNONPILOT/Tender/SplashBidNoticeAbstractUI.aspx?menuIndex=3&amp;refID=7190826&amp;Result=3","7190826")</f>
        <v>0</v>
      </c>
      <c r="B124" t="s">
        <v>88</v>
      </c>
      <c r="C124" t="s">
        <v>4031</v>
      </c>
      <c r="D124" t="s">
        <v>19013</v>
      </c>
      <c r="E124" t="s">
        <v>19214</v>
      </c>
      <c r="F124" t="s">
        <v>32606</v>
      </c>
      <c r="G124" t="s">
        <v>32613</v>
      </c>
      <c r="H124" t="s">
        <v>32623</v>
      </c>
      <c r="I124" t="s">
        <v>17648</v>
      </c>
      <c r="J124" t="s">
        <v>32770</v>
      </c>
      <c r="K124" t="s">
        <v>42639</v>
      </c>
      <c r="M124" t="s">
        <v>42986</v>
      </c>
      <c r="N124" t="s">
        <v>47304</v>
      </c>
      <c r="O124" t="s">
        <v>47305</v>
      </c>
      <c r="P124">
        <v>0</v>
      </c>
      <c r="Q124">
        <v>0</v>
      </c>
      <c r="R124" t="s">
        <v>47306</v>
      </c>
      <c r="S124" t="s">
        <v>47414</v>
      </c>
      <c r="T124" t="s">
        <v>49017</v>
      </c>
      <c r="U124" t="s">
        <v>49664</v>
      </c>
      <c r="W124" t="s">
        <v>42986</v>
      </c>
      <c r="X124" t="s">
        <v>47312</v>
      </c>
    </row>
    <row r="125" spans="1:24">
      <c r="A125">
        <f>HYPERLINK("https://www.philgeps.gov.ph/GEPSNONPILOT/Tender/SplashBidNoticeAbstractUI.aspx?menuIndex=3&amp;refID=7191511&amp;Result=3","7191511")</f>
        <v>0</v>
      </c>
      <c r="B125" t="s">
        <v>89</v>
      </c>
      <c r="C125" t="s">
        <v>4032</v>
      </c>
      <c r="D125" t="s">
        <v>19018</v>
      </c>
      <c r="E125" t="s">
        <v>19215</v>
      </c>
      <c r="F125" t="s">
        <v>32606</v>
      </c>
      <c r="G125" t="s">
        <v>32613</v>
      </c>
      <c r="H125" t="s">
        <v>32623</v>
      </c>
      <c r="I125" t="s">
        <v>17648</v>
      </c>
      <c r="J125" t="s">
        <v>32864</v>
      </c>
      <c r="K125" t="s">
        <v>42646</v>
      </c>
      <c r="M125" t="s">
        <v>42987</v>
      </c>
      <c r="N125" t="s">
        <v>47304</v>
      </c>
      <c r="O125" t="s">
        <v>47305</v>
      </c>
      <c r="P125">
        <v>0</v>
      </c>
      <c r="Q125">
        <v>0</v>
      </c>
      <c r="R125" t="s">
        <v>47306</v>
      </c>
      <c r="S125" t="s">
        <v>47414</v>
      </c>
      <c r="T125" t="s">
        <v>49008</v>
      </c>
      <c r="U125" t="s">
        <v>49665</v>
      </c>
      <c r="W125" t="s">
        <v>42987</v>
      </c>
      <c r="X125" t="s">
        <v>47312</v>
      </c>
    </row>
    <row r="126" spans="1:24">
      <c r="A126">
        <f>HYPERLINK("https://www.philgeps.gov.ph/GEPSNONPILOT/Tender/SplashBidNoticeAbstractUI.aspx?menuIndex=3&amp;refID=7192305&amp;Result=3","7192305")</f>
        <v>0</v>
      </c>
      <c r="B126" t="s">
        <v>90</v>
      </c>
      <c r="C126" t="s">
        <v>4033</v>
      </c>
      <c r="D126" t="s">
        <v>18988</v>
      </c>
      <c r="E126" t="s">
        <v>19216</v>
      </c>
      <c r="F126" t="s">
        <v>32606</v>
      </c>
      <c r="G126" t="s">
        <v>32613</v>
      </c>
      <c r="H126" t="s">
        <v>14201</v>
      </c>
      <c r="I126" t="s">
        <v>6298</v>
      </c>
      <c r="J126" t="s">
        <v>32865</v>
      </c>
      <c r="K126" t="s">
        <v>42624</v>
      </c>
      <c r="M126" t="s">
        <v>42988</v>
      </c>
      <c r="N126" t="s">
        <v>47304</v>
      </c>
      <c r="O126" t="s">
        <v>47305</v>
      </c>
      <c r="P126">
        <v>0</v>
      </c>
      <c r="Q126">
        <v>1</v>
      </c>
      <c r="R126" t="s">
        <v>47306</v>
      </c>
      <c r="S126" t="s">
        <v>47414</v>
      </c>
      <c r="T126" t="s">
        <v>49018</v>
      </c>
      <c r="U126" t="s">
        <v>49666</v>
      </c>
      <c r="V126" t="s">
        <v>62665</v>
      </c>
      <c r="W126" t="s">
        <v>42988</v>
      </c>
      <c r="X126" t="s">
        <v>47312</v>
      </c>
    </row>
    <row r="127" spans="1:24">
      <c r="A127">
        <f>HYPERLINK("https://www.philgeps.gov.ph/GEPSNONPILOT/Tender/SplashBidNoticeAbstractUI.aspx?menuIndex=3&amp;refID=7192281&amp;Result=3","7192281")</f>
        <v>0</v>
      </c>
      <c r="B127" t="s">
        <v>90</v>
      </c>
      <c r="C127" t="s">
        <v>4034</v>
      </c>
      <c r="D127" t="s">
        <v>18988</v>
      </c>
      <c r="E127" t="s">
        <v>19217</v>
      </c>
      <c r="F127" t="s">
        <v>32606</v>
      </c>
      <c r="G127" t="s">
        <v>32613</v>
      </c>
      <c r="H127" t="s">
        <v>14201</v>
      </c>
      <c r="I127" t="s">
        <v>32640</v>
      </c>
      <c r="J127" t="s">
        <v>32866</v>
      </c>
      <c r="K127" t="s">
        <v>42624</v>
      </c>
      <c r="M127" t="s">
        <v>42988</v>
      </c>
      <c r="N127" t="s">
        <v>47304</v>
      </c>
      <c r="O127" t="s">
        <v>47305</v>
      </c>
      <c r="P127">
        <v>0</v>
      </c>
      <c r="Q127">
        <v>1</v>
      </c>
      <c r="R127" t="s">
        <v>47306</v>
      </c>
      <c r="S127" t="s">
        <v>47414</v>
      </c>
      <c r="T127" t="s">
        <v>49018</v>
      </c>
      <c r="U127" t="s">
        <v>49667</v>
      </c>
      <c r="V127" t="s">
        <v>62666</v>
      </c>
      <c r="W127" t="s">
        <v>42988</v>
      </c>
      <c r="X127" t="s">
        <v>47312</v>
      </c>
    </row>
    <row r="128" spans="1:24">
      <c r="A128">
        <f>HYPERLINK("https://www.philgeps.gov.ph/GEPSNONPILOT/Tender/SplashBidNoticeAbstractUI.aspx?menuIndex=3&amp;refID=7191913&amp;Result=3","7191913")</f>
        <v>0</v>
      </c>
      <c r="B128" t="s">
        <v>91</v>
      </c>
      <c r="C128" t="s">
        <v>4035</v>
      </c>
      <c r="D128" t="s">
        <v>19023</v>
      </c>
      <c r="E128" t="s">
        <v>19218</v>
      </c>
      <c r="F128" t="s">
        <v>32606</v>
      </c>
      <c r="G128" t="s">
        <v>32613</v>
      </c>
      <c r="H128" t="s">
        <v>14201</v>
      </c>
      <c r="I128" t="s">
        <v>6931</v>
      </c>
      <c r="J128" t="s">
        <v>32867</v>
      </c>
      <c r="K128" t="s">
        <v>42636</v>
      </c>
      <c r="M128" t="s">
        <v>42989</v>
      </c>
      <c r="N128" t="s">
        <v>47304</v>
      </c>
      <c r="O128" t="s">
        <v>47305</v>
      </c>
      <c r="P128">
        <v>0</v>
      </c>
      <c r="Q128">
        <v>0</v>
      </c>
      <c r="R128" t="s">
        <v>47306</v>
      </c>
      <c r="S128" t="s">
        <v>47414</v>
      </c>
      <c r="T128" t="s">
        <v>49009</v>
      </c>
      <c r="U128" t="s">
        <v>49668</v>
      </c>
      <c r="W128" t="s">
        <v>42989</v>
      </c>
      <c r="X128" t="s">
        <v>47312</v>
      </c>
    </row>
    <row r="129" spans="1:24">
      <c r="A129">
        <f>HYPERLINK("https://www.philgeps.gov.ph/GEPSNONPILOT/Tender/SplashBidNoticeAbstractUI.aspx?menuIndex=3&amp;refID=7178913&amp;Result=3","7178913")</f>
        <v>0</v>
      </c>
      <c r="B129" t="s">
        <v>92</v>
      </c>
      <c r="C129" t="s">
        <v>3946</v>
      </c>
      <c r="D129" t="s">
        <v>19000</v>
      </c>
      <c r="E129" t="s">
        <v>19219</v>
      </c>
      <c r="F129" t="s">
        <v>32606</v>
      </c>
      <c r="G129" t="s">
        <v>32613</v>
      </c>
      <c r="H129" t="s">
        <v>32623</v>
      </c>
      <c r="I129" t="s">
        <v>17648</v>
      </c>
      <c r="J129" t="s">
        <v>32765</v>
      </c>
      <c r="K129" t="s">
        <v>42637</v>
      </c>
      <c r="M129" t="s">
        <v>42990</v>
      </c>
      <c r="N129" t="s">
        <v>47304</v>
      </c>
      <c r="O129" t="s">
        <v>47305</v>
      </c>
      <c r="P129">
        <v>0</v>
      </c>
      <c r="Q129">
        <v>0</v>
      </c>
      <c r="R129" t="s">
        <v>47306</v>
      </c>
      <c r="S129" t="s">
        <v>47414</v>
      </c>
      <c r="T129" t="s">
        <v>48986</v>
      </c>
      <c r="U129" t="s">
        <v>49669</v>
      </c>
      <c r="W129" t="s">
        <v>42990</v>
      </c>
      <c r="X129" t="s">
        <v>47318</v>
      </c>
    </row>
    <row r="130" spans="1:24">
      <c r="A130">
        <f>HYPERLINK("https://www.philgeps.gov.ph/GEPSNONPILOT/Tender/SplashBidNoticeAbstractUI.aspx?menuIndex=3&amp;refID=7192344&amp;Result=3","7192344")</f>
        <v>0</v>
      </c>
      <c r="B130" t="s">
        <v>90</v>
      </c>
      <c r="C130" t="s">
        <v>4036</v>
      </c>
      <c r="D130" t="s">
        <v>18988</v>
      </c>
      <c r="E130" t="s">
        <v>19220</v>
      </c>
      <c r="F130" t="s">
        <v>32606</v>
      </c>
      <c r="G130" t="s">
        <v>32613</v>
      </c>
      <c r="H130" t="s">
        <v>14201</v>
      </c>
      <c r="I130" t="s">
        <v>6298</v>
      </c>
      <c r="J130" t="s">
        <v>32868</v>
      </c>
      <c r="K130" t="s">
        <v>42624</v>
      </c>
      <c r="M130" t="s">
        <v>42988</v>
      </c>
      <c r="N130" t="s">
        <v>47304</v>
      </c>
      <c r="O130" t="s">
        <v>47305</v>
      </c>
      <c r="P130">
        <v>0</v>
      </c>
      <c r="Q130">
        <v>0</v>
      </c>
      <c r="R130" t="s">
        <v>47306</v>
      </c>
      <c r="S130" t="s">
        <v>47414</v>
      </c>
      <c r="T130" t="s">
        <v>49018</v>
      </c>
      <c r="U130" t="s">
        <v>49670</v>
      </c>
      <c r="V130" t="s">
        <v>62665</v>
      </c>
      <c r="W130" t="s">
        <v>42988</v>
      </c>
      <c r="X130" t="s">
        <v>47312</v>
      </c>
    </row>
    <row r="131" spans="1:24">
      <c r="A131">
        <f>HYPERLINK("https://www.philgeps.gov.ph/GEPSNONPILOT/Tender/SplashBidNoticeAbstractUI.aspx?menuIndex=3&amp;refID=7192174&amp;Result=3","7192174")</f>
        <v>0</v>
      </c>
      <c r="B131" t="s">
        <v>93</v>
      </c>
      <c r="C131" t="s">
        <v>4037</v>
      </c>
      <c r="D131" t="s">
        <v>19024</v>
      </c>
      <c r="E131" t="s">
        <v>19221</v>
      </c>
      <c r="F131" t="s">
        <v>32606</v>
      </c>
      <c r="G131" t="s">
        <v>32619</v>
      </c>
      <c r="H131" t="s">
        <v>14201</v>
      </c>
      <c r="I131" t="s">
        <v>4114</v>
      </c>
      <c r="J131" t="s">
        <v>32869</v>
      </c>
      <c r="K131" t="s">
        <v>42627</v>
      </c>
      <c r="M131" t="s">
        <v>42991</v>
      </c>
      <c r="N131" t="s">
        <v>47304</v>
      </c>
      <c r="O131" t="s">
        <v>47305</v>
      </c>
      <c r="P131">
        <v>0</v>
      </c>
      <c r="Q131">
        <v>1</v>
      </c>
      <c r="R131" t="s">
        <v>47306</v>
      </c>
      <c r="S131" t="s">
        <v>47414</v>
      </c>
      <c r="T131" t="s">
        <v>49019</v>
      </c>
      <c r="U131" t="s">
        <v>49671</v>
      </c>
      <c r="W131" t="s">
        <v>42991</v>
      </c>
      <c r="X131" t="s">
        <v>47312</v>
      </c>
    </row>
    <row r="132" spans="1:24">
      <c r="A132">
        <f>HYPERLINK("https://www.philgeps.gov.ph/GEPSNONPILOT/Tender/SplashBidNoticeAbstractUI.aspx?menuIndex=3&amp;refID=7192328&amp;Result=3","7192328")</f>
        <v>0</v>
      </c>
      <c r="B132" t="s">
        <v>90</v>
      </c>
      <c r="C132" t="s">
        <v>4038</v>
      </c>
      <c r="D132" t="s">
        <v>18988</v>
      </c>
      <c r="E132" t="s">
        <v>19222</v>
      </c>
      <c r="F132" t="s">
        <v>32606</v>
      </c>
      <c r="G132" t="s">
        <v>32613</v>
      </c>
      <c r="H132" t="s">
        <v>14201</v>
      </c>
      <c r="I132" t="s">
        <v>7577</v>
      </c>
      <c r="J132" t="s">
        <v>32870</v>
      </c>
      <c r="K132" t="s">
        <v>42624</v>
      </c>
      <c r="M132" t="s">
        <v>42988</v>
      </c>
      <c r="N132" t="s">
        <v>47304</v>
      </c>
      <c r="O132" t="s">
        <v>47305</v>
      </c>
      <c r="P132">
        <v>0</v>
      </c>
      <c r="Q132">
        <v>1</v>
      </c>
      <c r="R132" t="s">
        <v>47306</v>
      </c>
      <c r="S132" t="s">
        <v>47414</v>
      </c>
      <c r="T132" t="s">
        <v>49018</v>
      </c>
      <c r="U132" t="s">
        <v>49672</v>
      </c>
      <c r="V132" t="s">
        <v>62665</v>
      </c>
      <c r="W132" t="s">
        <v>42988</v>
      </c>
      <c r="X132" t="s">
        <v>47312</v>
      </c>
    </row>
    <row r="133" spans="1:24">
      <c r="A133">
        <f>HYPERLINK("https://www.philgeps.gov.ph/GEPSNONPILOT/Tender/SplashBidNoticeAbstractUI.aspx?menuIndex=3&amp;refID=7192162&amp;Result=3","7192162")</f>
        <v>0</v>
      </c>
      <c r="B133" t="s">
        <v>81</v>
      </c>
      <c r="C133" t="s">
        <v>4039</v>
      </c>
      <c r="D133" t="s">
        <v>18995</v>
      </c>
      <c r="E133" t="s">
        <v>19223</v>
      </c>
      <c r="F133" t="s">
        <v>32606</v>
      </c>
      <c r="G133" t="s">
        <v>32614</v>
      </c>
      <c r="H133" t="s">
        <v>14201</v>
      </c>
      <c r="I133" t="s">
        <v>7677</v>
      </c>
      <c r="J133" t="s">
        <v>32871</v>
      </c>
      <c r="K133" t="s">
        <v>42624</v>
      </c>
      <c r="M133" t="s">
        <v>42978</v>
      </c>
      <c r="N133" t="s">
        <v>47304</v>
      </c>
      <c r="O133" t="s">
        <v>47305</v>
      </c>
      <c r="P133">
        <v>0</v>
      </c>
      <c r="Q133">
        <v>0</v>
      </c>
      <c r="R133" t="s">
        <v>47306</v>
      </c>
      <c r="S133" t="s">
        <v>47414</v>
      </c>
      <c r="T133" t="s">
        <v>49014</v>
      </c>
      <c r="U133" t="s">
        <v>49673</v>
      </c>
      <c r="W133" t="s">
        <v>42978</v>
      </c>
      <c r="X133" t="s">
        <v>47312</v>
      </c>
    </row>
    <row r="134" spans="1:24">
      <c r="A134">
        <f>HYPERLINK("https://www.philgeps.gov.ph/GEPSNONPILOT/Tender/SplashBidNoticeAbstractUI.aspx?menuIndex=3&amp;refID=7192131&amp;Result=3","7192131")</f>
        <v>0</v>
      </c>
      <c r="B134" t="s">
        <v>81</v>
      </c>
      <c r="C134" t="s">
        <v>4040</v>
      </c>
      <c r="D134" t="s">
        <v>18995</v>
      </c>
      <c r="E134" t="s">
        <v>19224</v>
      </c>
      <c r="F134" t="s">
        <v>32606</v>
      </c>
      <c r="G134" t="s">
        <v>32614</v>
      </c>
      <c r="H134" t="s">
        <v>14201</v>
      </c>
      <c r="I134" t="s">
        <v>7677</v>
      </c>
      <c r="J134" t="s">
        <v>32872</v>
      </c>
      <c r="K134" t="s">
        <v>42624</v>
      </c>
      <c r="M134" t="s">
        <v>42978</v>
      </c>
      <c r="N134" t="s">
        <v>47304</v>
      </c>
      <c r="O134" t="s">
        <v>47305</v>
      </c>
      <c r="P134">
        <v>0</v>
      </c>
      <c r="Q134">
        <v>1</v>
      </c>
      <c r="R134" t="s">
        <v>47306</v>
      </c>
      <c r="S134" t="s">
        <v>47414</v>
      </c>
      <c r="T134" t="s">
        <v>49014</v>
      </c>
      <c r="U134" t="s">
        <v>49674</v>
      </c>
      <c r="W134" t="s">
        <v>42978</v>
      </c>
      <c r="X134" t="s">
        <v>47312</v>
      </c>
    </row>
    <row r="135" spans="1:24">
      <c r="A135">
        <f>HYPERLINK("https://www.philgeps.gov.ph/GEPSNONPILOT/Tender/SplashBidNoticeAbstractUI.aspx?menuIndex=3&amp;refID=7192085&amp;Result=3","7192085")</f>
        <v>0</v>
      </c>
      <c r="B135" t="s">
        <v>86</v>
      </c>
      <c r="C135" t="s">
        <v>4041</v>
      </c>
      <c r="D135" t="s">
        <v>19004</v>
      </c>
      <c r="E135" t="s">
        <v>19225</v>
      </c>
      <c r="F135" t="s">
        <v>32606</v>
      </c>
      <c r="G135" t="s">
        <v>32613</v>
      </c>
      <c r="H135" t="s">
        <v>14201</v>
      </c>
      <c r="I135" t="s">
        <v>32632</v>
      </c>
      <c r="J135" t="s">
        <v>32873</v>
      </c>
      <c r="K135" t="s">
        <v>42630</v>
      </c>
      <c r="M135" t="s">
        <v>42984</v>
      </c>
      <c r="N135" t="s">
        <v>47304</v>
      </c>
      <c r="O135" t="s">
        <v>47305</v>
      </c>
      <c r="P135">
        <v>0</v>
      </c>
      <c r="Q135">
        <v>4</v>
      </c>
      <c r="R135" t="s">
        <v>47306</v>
      </c>
      <c r="S135" t="s">
        <v>47414</v>
      </c>
      <c r="T135" t="s">
        <v>48987</v>
      </c>
      <c r="U135" t="s">
        <v>49675</v>
      </c>
      <c r="V135" t="s">
        <v>62663</v>
      </c>
      <c r="W135" t="s">
        <v>42984</v>
      </c>
      <c r="X135" t="s">
        <v>47312</v>
      </c>
    </row>
    <row r="136" spans="1:24">
      <c r="A136">
        <f>HYPERLINK("https://www.philgeps.gov.ph/GEPSNONPILOT/Tender/SplashBidNoticeAbstractUI.aspx?menuIndex=3&amp;refID=7192264&amp;Result=3","7192264")</f>
        <v>0</v>
      </c>
      <c r="B136" t="s">
        <v>90</v>
      </c>
      <c r="C136" t="s">
        <v>4042</v>
      </c>
      <c r="D136" t="s">
        <v>18988</v>
      </c>
      <c r="E136" t="s">
        <v>19226</v>
      </c>
      <c r="F136" t="s">
        <v>32606</v>
      </c>
      <c r="G136" t="s">
        <v>32613</v>
      </c>
      <c r="H136" t="s">
        <v>14201</v>
      </c>
      <c r="I136" t="s">
        <v>6993</v>
      </c>
      <c r="J136" t="s">
        <v>32874</v>
      </c>
      <c r="K136" t="s">
        <v>42624</v>
      </c>
      <c r="M136" t="s">
        <v>42988</v>
      </c>
      <c r="N136" t="s">
        <v>47304</v>
      </c>
      <c r="O136" t="s">
        <v>47305</v>
      </c>
      <c r="P136">
        <v>0</v>
      </c>
      <c r="Q136">
        <v>0</v>
      </c>
      <c r="R136" t="s">
        <v>47306</v>
      </c>
      <c r="S136" t="s">
        <v>47414</v>
      </c>
      <c r="T136" t="s">
        <v>49018</v>
      </c>
      <c r="U136" t="s">
        <v>49676</v>
      </c>
      <c r="V136" t="s">
        <v>62667</v>
      </c>
      <c r="W136" t="s">
        <v>42988</v>
      </c>
      <c r="X136" t="s">
        <v>47312</v>
      </c>
    </row>
    <row r="137" spans="1:24">
      <c r="A137">
        <f>HYPERLINK("https://www.philgeps.gov.ph/GEPSNONPILOT/Tender/SplashBidNoticeAbstractUI.aspx?menuIndex=3&amp;refID=7192253&amp;Result=3","7192253")</f>
        <v>0</v>
      </c>
      <c r="B137" t="s">
        <v>94</v>
      </c>
      <c r="C137" t="s">
        <v>4043</v>
      </c>
      <c r="D137" t="s">
        <v>19025</v>
      </c>
      <c r="E137" t="s">
        <v>19227</v>
      </c>
      <c r="F137" t="s">
        <v>32606</v>
      </c>
      <c r="G137" t="s">
        <v>32613</v>
      </c>
      <c r="H137" t="s">
        <v>14201</v>
      </c>
      <c r="I137" t="s">
        <v>6931</v>
      </c>
      <c r="J137" t="s">
        <v>32781</v>
      </c>
      <c r="K137" t="s">
        <v>42623</v>
      </c>
      <c r="M137" t="s">
        <v>42992</v>
      </c>
      <c r="N137" t="s">
        <v>47304</v>
      </c>
      <c r="O137" t="s">
        <v>47305</v>
      </c>
      <c r="P137">
        <v>0</v>
      </c>
      <c r="Q137">
        <v>0</v>
      </c>
      <c r="R137" t="s">
        <v>47306</v>
      </c>
      <c r="S137" t="s">
        <v>47414</v>
      </c>
      <c r="T137" t="s">
        <v>48986</v>
      </c>
      <c r="U137" t="s">
        <v>49677</v>
      </c>
      <c r="V137" t="s">
        <v>62668</v>
      </c>
      <c r="W137" t="s">
        <v>42992</v>
      </c>
      <c r="X137" t="s">
        <v>47312</v>
      </c>
    </row>
    <row r="138" spans="1:24">
      <c r="A138">
        <f>HYPERLINK("https://www.philgeps.gov.ph/GEPSNONPILOT/Tender/SplashBidNoticeAbstractUI.aspx?menuIndex=3&amp;refID=7191998&amp;Result=3","7191998")</f>
        <v>0</v>
      </c>
      <c r="B138" t="s">
        <v>81</v>
      </c>
      <c r="C138" t="s">
        <v>4044</v>
      </c>
      <c r="D138" t="s">
        <v>18995</v>
      </c>
      <c r="E138" t="s">
        <v>19228</v>
      </c>
      <c r="F138" t="s">
        <v>32606</v>
      </c>
      <c r="G138" t="s">
        <v>32614</v>
      </c>
      <c r="H138" t="s">
        <v>14201</v>
      </c>
      <c r="I138" t="s">
        <v>7677</v>
      </c>
      <c r="J138" t="s">
        <v>32875</v>
      </c>
      <c r="K138" t="s">
        <v>42624</v>
      </c>
      <c r="M138" t="s">
        <v>42978</v>
      </c>
      <c r="N138" t="s">
        <v>47304</v>
      </c>
      <c r="O138" t="s">
        <v>47305</v>
      </c>
      <c r="P138">
        <v>0</v>
      </c>
      <c r="Q138">
        <v>2</v>
      </c>
      <c r="R138" t="s">
        <v>47306</v>
      </c>
      <c r="S138" t="s">
        <v>47414</v>
      </c>
      <c r="T138" t="s">
        <v>49014</v>
      </c>
      <c r="U138" t="s">
        <v>49678</v>
      </c>
      <c r="W138" t="s">
        <v>42978</v>
      </c>
      <c r="X138" t="s">
        <v>47312</v>
      </c>
    </row>
    <row r="139" spans="1:24">
      <c r="A139">
        <f>HYPERLINK("https://www.philgeps.gov.ph/GEPSNONPILOT/Tender/SplashBidNoticeAbstractUI.aspx?menuIndex=3&amp;refID=7191982&amp;Result=3","7191982")</f>
        <v>0</v>
      </c>
      <c r="B139" t="s">
        <v>81</v>
      </c>
      <c r="C139" t="s">
        <v>4012</v>
      </c>
      <c r="D139" t="s">
        <v>18995</v>
      </c>
      <c r="E139" t="s">
        <v>19229</v>
      </c>
      <c r="F139" t="s">
        <v>32606</v>
      </c>
      <c r="G139" t="s">
        <v>32614</v>
      </c>
      <c r="H139" t="s">
        <v>14201</v>
      </c>
      <c r="I139" t="s">
        <v>32633</v>
      </c>
      <c r="J139" t="s">
        <v>32876</v>
      </c>
      <c r="K139" t="s">
        <v>42624</v>
      </c>
      <c r="M139" t="s">
        <v>42978</v>
      </c>
      <c r="N139" t="s">
        <v>47304</v>
      </c>
      <c r="O139" t="s">
        <v>47305</v>
      </c>
      <c r="P139">
        <v>0</v>
      </c>
      <c r="Q139">
        <v>2</v>
      </c>
      <c r="R139" t="s">
        <v>47306</v>
      </c>
      <c r="S139" t="s">
        <v>47414</v>
      </c>
      <c r="T139" t="s">
        <v>49014</v>
      </c>
      <c r="U139" t="s">
        <v>49679</v>
      </c>
      <c r="W139" t="s">
        <v>42978</v>
      </c>
      <c r="X139" t="s">
        <v>47312</v>
      </c>
    </row>
    <row r="140" spans="1:24">
      <c r="A140">
        <f>HYPERLINK("https://www.philgeps.gov.ph/GEPSNONPILOT/Tender/SplashBidNoticeAbstractUI.aspx?menuIndex=3&amp;refID=7191934&amp;Result=3","7191934")</f>
        <v>0</v>
      </c>
      <c r="B140" t="s">
        <v>81</v>
      </c>
      <c r="C140" t="s">
        <v>4012</v>
      </c>
      <c r="D140" t="s">
        <v>18995</v>
      </c>
      <c r="E140" t="s">
        <v>19230</v>
      </c>
      <c r="F140" t="s">
        <v>32606</v>
      </c>
      <c r="G140" t="s">
        <v>32614</v>
      </c>
      <c r="H140" t="s">
        <v>14201</v>
      </c>
      <c r="I140" t="s">
        <v>32633</v>
      </c>
      <c r="J140" t="s">
        <v>32877</v>
      </c>
      <c r="K140" t="s">
        <v>42624</v>
      </c>
      <c r="M140" t="s">
        <v>42978</v>
      </c>
      <c r="N140" t="s">
        <v>47304</v>
      </c>
      <c r="O140" t="s">
        <v>47305</v>
      </c>
      <c r="P140">
        <v>0</v>
      </c>
      <c r="Q140">
        <v>3</v>
      </c>
      <c r="R140" t="s">
        <v>47306</v>
      </c>
      <c r="S140" t="s">
        <v>47414</v>
      </c>
      <c r="T140" t="s">
        <v>49014</v>
      </c>
      <c r="U140" t="s">
        <v>49680</v>
      </c>
      <c r="W140" t="s">
        <v>42978</v>
      </c>
      <c r="X140" t="s">
        <v>47312</v>
      </c>
    </row>
    <row r="141" spans="1:24">
      <c r="A141">
        <f>HYPERLINK("https://www.philgeps.gov.ph/GEPSNONPILOT/Tender/SplashBidNoticeAbstractUI.aspx?menuIndex=3&amp;refID=7191920&amp;Result=3","7191920")</f>
        <v>0</v>
      </c>
      <c r="B141" t="s">
        <v>81</v>
      </c>
      <c r="C141" t="s">
        <v>4012</v>
      </c>
      <c r="D141" t="s">
        <v>18995</v>
      </c>
      <c r="E141" t="s">
        <v>19231</v>
      </c>
      <c r="F141" t="s">
        <v>32606</v>
      </c>
      <c r="G141" t="s">
        <v>32614</v>
      </c>
      <c r="H141" t="s">
        <v>14201</v>
      </c>
      <c r="I141" t="s">
        <v>32633</v>
      </c>
      <c r="J141" t="s">
        <v>32878</v>
      </c>
      <c r="K141" t="s">
        <v>42624</v>
      </c>
      <c r="M141" t="s">
        <v>42978</v>
      </c>
      <c r="N141" t="s">
        <v>47304</v>
      </c>
      <c r="O141" t="s">
        <v>47305</v>
      </c>
      <c r="P141">
        <v>0</v>
      </c>
      <c r="Q141">
        <v>2</v>
      </c>
      <c r="R141" t="s">
        <v>47306</v>
      </c>
      <c r="S141" t="s">
        <v>47414</v>
      </c>
      <c r="T141" t="s">
        <v>49014</v>
      </c>
      <c r="U141" t="s">
        <v>49681</v>
      </c>
      <c r="W141" t="s">
        <v>42978</v>
      </c>
      <c r="X141" t="s">
        <v>47312</v>
      </c>
    </row>
    <row r="142" spans="1:24">
      <c r="A142">
        <f>HYPERLINK("https://www.philgeps.gov.ph/GEPSNONPILOT/Tender/SplashBidNoticeAbstractUI.aspx?menuIndex=3&amp;refID=7190964&amp;Result=3","7190964")</f>
        <v>0</v>
      </c>
      <c r="B142" t="s">
        <v>77</v>
      </c>
      <c r="C142" t="s">
        <v>4045</v>
      </c>
      <c r="D142" t="s">
        <v>19019</v>
      </c>
      <c r="E142" t="s">
        <v>19232</v>
      </c>
      <c r="F142" t="s">
        <v>32606</v>
      </c>
      <c r="G142" t="s">
        <v>32613</v>
      </c>
      <c r="H142" t="s">
        <v>32623</v>
      </c>
      <c r="I142" t="s">
        <v>17648</v>
      </c>
      <c r="J142" t="s">
        <v>32879</v>
      </c>
      <c r="K142" t="s">
        <v>42639</v>
      </c>
      <c r="M142" t="s">
        <v>42974</v>
      </c>
      <c r="N142" t="s">
        <v>47304</v>
      </c>
      <c r="O142" t="s">
        <v>47305</v>
      </c>
      <c r="P142">
        <v>0</v>
      </c>
      <c r="Q142">
        <v>0</v>
      </c>
      <c r="R142" t="s">
        <v>47306</v>
      </c>
      <c r="S142" t="s">
        <v>47414</v>
      </c>
      <c r="T142" t="s">
        <v>48995</v>
      </c>
      <c r="U142" t="s">
        <v>49682</v>
      </c>
      <c r="V142" t="s">
        <v>62659</v>
      </c>
      <c r="W142" t="s">
        <v>42974</v>
      </c>
      <c r="X142" t="s">
        <v>47312</v>
      </c>
    </row>
    <row r="143" spans="1:24">
      <c r="A143">
        <f>HYPERLINK("https://www.philgeps.gov.ph/GEPSNONPILOT/Tender/SplashBidNoticeAbstractUI.aspx?menuIndex=3&amp;refID=7189526&amp;Result=3","7189526")</f>
        <v>0</v>
      </c>
      <c r="B143" t="s">
        <v>95</v>
      </c>
      <c r="C143" t="s">
        <v>4046</v>
      </c>
      <c r="D143" t="s">
        <v>19006</v>
      </c>
      <c r="E143" t="s">
        <v>19233</v>
      </c>
      <c r="F143" t="s">
        <v>32606</v>
      </c>
      <c r="G143" t="s">
        <v>32613</v>
      </c>
      <c r="H143" t="s">
        <v>14201</v>
      </c>
      <c r="I143" t="s">
        <v>32626</v>
      </c>
      <c r="J143" t="s">
        <v>32880</v>
      </c>
      <c r="K143" t="s">
        <v>42622</v>
      </c>
      <c r="M143" t="s">
        <v>42993</v>
      </c>
      <c r="N143" t="s">
        <v>47304</v>
      </c>
      <c r="O143" t="s">
        <v>47305</v>
      </c>
      <c r="P143">
        <v>0</v>
      </c>
      <c r="Q143">
        <v>0</v>
      </c>
      <c r="R143" t="s">
        <v>47306</v>
      </c>
      <c r="S143" t="s">
        <v>47414</v>
      </c>
      <c r="T143" t="s">
        <v>48988</v>
      </c>
      <c r="U143" t="s">
        <v>49683</v>
      </c>
      <c r="W143" t="s">
        <v>42993</v>
      </c>
      <c r="X143" t="s">
        <v>47313</v>
      </c>
    </row>
    <row r="144" spans="1:24">
      <c r="A144">
        <f>HYPERLINK("https://www.philgeps.gov.ph/GEPSNONPILOT/Tender/SplashBidNoticeAbstractUI.aspx?menuIndex=3&amp;refID=7192183&amp;Result=3","7192183")</f>
        <v>0</v>
      </c>
      <c r="B144" t="s">
        <v>96</v>
      </c>
      <c r="C144" t="s">
        <v>4047</v>
      </c>
      <c r="D144" t="s">
        <v>18995</v>
      </c>
      <c r="E144" t="s">
        <v>19234</v>
      </c>
      <c r="F144" t="s">
        <v>32606</v>
      </c>
      <c r="G144" t="s">
        <v>32613</v>
      </c>
      <c r="H144" t="s">
        <v>32623</v>
      </c>
      <c r="I144" t="s">
        <v>32649</v>
      </c>
      <c r="J144" t="s">
        <v>32881</v>
      </c>
      <c r="K144" t="s">
        <v>42636</v>
      </c>
      <c r="M144" t="s">
        <v>42994</v>
      </c>
      <c r="N144" t="s">
        <v>47304</v>
      </c>
      <c r="O144" t="s">
        <v>47305</v>
      </c>
      <c r="P144">
        <v>0</v>
      </c>
      <c r="Q144">
        <v>2</v>
      </c>
      <c r="R144" t="s">
        <v>47306</v>
      </c>
      <c r="S144" t="s">
        <v>47414</v>
      </c>
      <c r="T144" t="s">
        <v>48990</v>
      </c>
      <c r="U144" t="s">
        <v>49684</v>
      </c>
      <c r="W144" t="s">
        <v>42994</v>
      </c>
      <c r="X144" t="s">
        <v>47312</v>
      </c>
    </row>
    <row r="145" spans="1:24">
      <c r="A145">
        <f>HYPERLINK("https://www.philgeps.gov.ph/GEPSNONPILOT/Tender/SplashBidNoticeAbstractUI.aspx?menuIndex=3&amp;refID=7189358&amp;Result=3","7189358")</f>
        <v>0</v>
      </c>
      <c r="B145" t="s">
        <v>68</v>
      </c>
      <c r="C145" t="s">
        <v>4048</v>
      </c>
      <c r="D145" t="s">
        <v>19016</v>
      </c>
      <c r="E145" t="s">
        <v>19235</v>
      </c>
      <c r="F145" t="s">
        <v>32606</v>
      </c>
      <c r="G145" t="s">
        <v>32613</v>
      </c>
      <c r="H145" t="s">
        <v>32623</v>
      </c>
      <c r="I145" t="s">
        <v>32649</v>
      </c>
      <c r="J145" t="s">
        <v>32882</v>
      </c>
      <c r="K145" t="s">
        <v>42650</v>
      </c>
      <c r="M145" t="s">
        <v>42965</v>
      </c>
      <c r="N145" t="s">
        <v>47304</v>
      </c>
      <c r="O145" t="s">
        <v>47305</v>
      </c>
      <c r="P145">
        <v>0</v>
      </c>
      <c r="Q145">
        <v>0</v>
      </c>
      <c r="R145" t="s">
        <v>47306</v>
      </c>
      <c r="S145" t="s">
        <v>47414</v>
      </c>
      <c r="T145" t="s">
        <v>49005</v>
      </c>
      <c r="U145" t="s">
        <v>49685</v>
      </c>
      <c r="W145" t="s">
        <v>42965</v>
      </c>
      <c r="X145" t="s">
        <v>47313</v>
      </c>
    </row>
    <row r="146" spans="1:24">
      <c r="A146">
        <f>HYPERLINK("https://www.philgeps.gov.ph/GEPSNONPILOT/Tender/SplashBidNoticeAbstractUI.aspx?menuIndex=3&amp;refID=7192113&amp;Result=3","7192113")</f>
        <v>0</v>
      </c>
      <c r="B146" t="s">
        <v>81</v>
      </c>
      <c r="C146" t="s">
        <v>4040</v>
      </c>
      <c r="D146" t="s">
        <v>18995</v>
      </c>
      <c r="E146" t="s">
        <v>19236</v>
      </c>
      <c r="F146" t="s">
        <v>32606</v>
      </c>
      <c r="G146" t="s">
        <v>32614</v>
      </c>
      <c r="H146" t="s">
        <v>14201</v>
      </c>
      <c r="I146" t="s">
        <v>7677</v>
      </c>
      <c r="J146" t="s">
        <v>32883</v>
      </c>
      <c r="K146" t="s">
        <v>42624</v>
      </c>
      <c r="M146" t="s">
        <v>42978</v>
      </c>
      <c r="N146" t="s">
        <v>47304</v>
      </c>
      <c r="O146" t="s">
        <v>47305</v>
      </c>
      <c r="P146">
        <v>0</v>
      </c>
      <c r="Q146">
        <v>1</v>
      </c>
      <c r="R146" t="s">
        <v>47306</v>
      </c>
      <c r="S146" t="s">
        <v>47414</v>
      </c>
      <c r="T146" t="s">
        <v>49014</v>
      </c>
      <c r="U146" t="s">
        <v>49686</v>
      </c>
      <c r="W146" t="s">
        <v>42978</v>
      </c>
      <c r="X146" t="s">
        <v>47312</v>
      </c>
    </row>
    <row r="147" spans="1:24">
      <c r="A147">
        <f>HYPERLINK("https://www.philgeps.gov.ph/GEPSNONPILOT/Tender/SplashBidNoticeAbstractUI.aspx?menuIndex=3&amp;refID=7189198&amp;Result=3","7189198")</f>
        <v>0</v>
      </c>
      <c r="B147" t="s">
        <v>64</v>
      </c>
      <c r="C147" t="s">
        <v>4049</v>
      </c>
      <c r="D147" t="s">
        <v>19004</v>
      </c>
      <c r="E147" t="s">
        <v>19237</v>
      </c>
      <c r="F147" t="s">
        <v>32606</v>
      </c>
      <c r="G147" t="s">
        <v>32613</v>
      </c>
      <c r="H147" t="s">
        <v>14201</v>
      </c>
      <c r="I147" t="s">
        <v>7677</v>
      </c>
      <c r="J147" t="s">
        <v>32884</v>
      </c>
      <c r="K147" t="s">
        <v>42622</v>
      </c>
      <c r="M147" t="s">
        <v>42961</v>
      </c>
      <c r="N147" t="s">
        <v>47304</v>
      </c>
      <c r="O147" t="s">
        <v>47305</v>
      </c>
      <c r="P147">
        <v>0</v>
      </c>
      <c r="Q147">
        <v>3</v>
      </c>
      <c r="R147" t="s">
        <v>47306</v>
      </c>
      <c r="S147" t="s">
        <v>47414</v>
      </c>
      <c r="T147" t="s">
        <v>49001</v>
      </c>
      <c r="U147" t="s">
        <v>49687</v>
      </c>
      <c r="W147" t="s">
        <v>64420</v>
      </c>
      <c r="X147" t="s">
        <v>47313</v>
      </c>
    </row>
    <row r="148" spans="1:24">
      <c r="A148">
        <f>HYPERLINK("https://www.philgeps.gov.ph/GEPSNONPILOT/Tender/SplashBidNoticeAbstractUI.aspx?menuIndex=3&amp;refID=7191966&amp;Result=3","7191966")</f>
        <v>0</v>
      </c>
      <c r="B148" t="s">
        <v>81</v>
      </c>
      <c r="C148" t="s">
        <v>4050</v>
      </c>
      <c r="D148" t="s">
        <v>18995</v>
      </c>
      <c r="E148" t="s">
        <v>19238</v>
      </c>
      <c r="F148" t="s">
        <v>32606</v>
      </c>
      <c r="G148" t="s">
        <v>32614</v>
      </c>
      <c r="H148" t="s">
        <v>14201</v>
      </c>
      <c r="I148" t="s">
        <v>7677</v>
      </c>
      <c r="J148" t="s">
        <v>32770</v>
      </c>
      <c r="K148" t="s">
        <v>42624</v>
      </c>
      <c r="M148" t="s">
        <v>42978</v>
      </c>
      <c r="N148" t="s">
        <v>47304</v>
      </c>
      <c r="O148" t="s">
        <v>47305</v>
      </c>
      <c r="P148">
        <v>0</v>
      </c>
      <c r="Q148">
        <v>1</v>
      </c>
      <c r="R148" t="s">
        <v>47306</v>
      </c>
      <c r="S148" t="s">
        <v>47414</v>
      </c>
      <c r="T148" t="s">
        <v>49014</v>
      </c>
      <c r="U148" t="s">
        <v>49688</v>
      </c>
      <c r="W148" t="s">
        <v>42978</v>
      </c>
      <c r="X148" t="s">
        <v>47312</v>
      </c>
    </row>
    <row r="149" spans="1:24">
      <c r="A149">
        <f>HYPERLINK("https://www.philgeps.gov.ph/GEPSNONPILOT/Tender/SplashBidNoticeAbstractUI.aspx?menuIndex=3&amp;refID=7192356&amp;Result=3","7192356")</f>
        <v>0</v>
      </c>
      <c r="B149" t="s">
        <v>97</v>
      </c>
      <c r="C149" t="s">
        <v>4051</v>
      </c>
      <c r="D149" t="s">
        <v>19026</v>
      </c>
      <c r="E149" t="s">
        <v>19239</v>
      </c>
      <c r="F149" t="s">
        <v>32606</v>
      </c>
      <c r="G149" t="s">
        <v>32614</v>
      </c>
      <c r="H149" t="s">
        <v>14201</v>
      </c>
      <c r="I149" t="s">
        <v>32650</v>
      </c>
      <c r="J149" t="s">
        <v>32885</v>
      </c>
      <c r="K149" t="s">
        <v>42622</v>
      </c>
      <c r="M149" t="s">
        <v>42995</v>
      </c>
      <c r="N149" t="s">
        <v>47304</v>
      </c>
      <c r="O149" t="s">
        <v>47305</v>
      </c>
      <c r="P149">
        <v>0</v>
      </c>
      <c r="Q149">
        <v>1</v>
      </c>
      <c r="R149" t="s">
        <v>47306</v>
      </c>
      <c r="S149" t="s">
        <v>47414</v>
      </c>
      <c r="T149" t="s">
        <v>49014</v>
      </c>
      <c r="U149" t="s">
        <v>49689</v>
      </c>
      <c r="W149" t="s">
        <v>42995</v>
      </c>
      <c r="X149" t="s">
        <v>47312</v>
      </c>
    </row>
    <row r="150" spans="1:24">
      <c r="A150">
        <f>HYPERLINK("https://www.philgeps.gov.ph/GEPSNONPILOT/Tender/SplashBidNoticeAbstractUI.aspx?menuIndex=3&amp;refID=7192021&amp;Result=3","7192021")</f>
        <v>0</v>
      </c>
      <c r="B150" t="s">
        <v>42</v>
      </c>
      <c r="C150" t="s">
        <v>4052</v>
      </c>
      <c r="E150" t="s">
        <v>19240</v>
      </c>
      <c r="F150" t="s">
        <v>32606</v>
      </c>
      <c r="G150" t="s">
        <v>32614</v>
      </c>
      <c r="H150" t="s">
        <v>14201</v>
      </c>
      <c r="I150" t="s">
        <v>32651</v>
      </c>
      <c r="J150" t="s">
        <v>32778</v>
      </c>
      <c r="K150" t="s">
        <v>42631</v>
      </c>
      <c r="M150" t="s">
        <v>42982</v>
      </c>
      <c r="N150" t="s">
        <v>47304</v>
      </c>
      <c r="O150" t="s">
        <v>47305</v>
      </c>
      <c r="P150">
        <v>0</v>
      </c>
      <c r="Q150">
        <v>2</v>
      </c>
      <c r="R150" t="s">
        <v>47306</v>
      </c>
      <c r="S150" t="s">
        <v>47414</v>
      </c>
      <c r="T150" t="s">
        <v>48987</v>
      </c>
      <c r="U150" t="s">
        <v>49653</v>
      </c>
      <c r="W150" t="s">
        <v>42982</v>
      </c>
      <c r="X150" t="s">
        <v>47312</v>
      </c>
    </row>
    <row r="151" spans="1:24">
      <c r="A151">
        <f>HYPERLINK("https://www.philgeps.gov.ph/GEPSNONPILOT/Tender/SplashBidNoticeAbstractUI.aspx?menuIndex=3&amp;refID=7189499&amp;Result=3","7189499")</f>
        <v>0</v>
      </c>
      <c r="B151" t="s">
        <v>98</v>
      </c>
      <c r="C151" t="s">
        <v>4053</v>
      </c>
      <c r="D151" t="s">
        <v>19014</v>
      </c>
      <c r="E151" t="s">
        <v>19241</v>
      </c>
      <c r="F151" t="s">
        <v>32606</v>
      </c>
      <c r="G151" t="s">
        <v>32619</v>
      </c>
      <c r="H151" t="s">
        <v>14201</v>
      </c>
      <c r="I151" t="s">
        <v>32652</v>
      </c>
      <c r="J151" t="s">
        <v>32886</v>
      </c>
      <c r="K151" t="s">
        <v>42624</v>
      </c>
      <c r="M151" t="s">
        <v>42996</v>
      </c>
      <c r="N151" t="s">
        <v>47304</v>
      </c>
      <c r="O151" t="s">
        <v>47305</v>
      </c>
      <c r="P151">
        <v>0</v>
      </c>
      <c r="Q151">
        <v>0</v>
      </c>
      <c r="R151" t="s">
        <v>47306</v>
      </c>
      <c r="S151" t="s">
        <v>47414</v>
      </c>
      <c r="T151" t="s">
        <v>49020</v>
      </c>
      <c r="U151" t="s">
        <v>49690</v>
      </c>
      <c r="W151" t="s">
        <v>42996</v>
      </c>
      <c r="X151" t="s">
        <v>47313</v>
      </c>
    </row>
    <row r="152" spans="1:24">
      <c r="A152">
        <f>HYPERLINK("https://www.philgeps.gov.ph/GEPSNONPILOT/Tender/SplashBidNoticeAbstractUI.aspx?menuIndex=3&amp;refID=7192826&amp;Result=3","7192826")</f>
        <v>0</v>
      </c>
      <c r="B152" t="s">
        <v>66</v>
      </c>
      <c r="C152" t="s">
        <v>4054</v>
      </c>
      <c r="D152" t="s">
        <v>19010</v>
      </c>
      <c r="E152" t="s">
        <v>19242</v>
      </c>
      <c r="F152" t="s">
        <v>32606</v>
      </c>
      <c r="G152" t="s">
        <v>32613</v>
      </c>
      <c r="H152" t="s">
        <v>14201</v>
      </c>
      <c r="I152" t="s">
        <v>4120</v>
      </c>
      <c r="J152" t="s">
        <v>32887</v>
      </c>
      <c r="K152" t="s">
        <v>42636</v>
      </c>
      <c r="M152" t="s">
        <v>42963</v>
      </c>
      <c r="N152" t="s">
        <v>47304</v>
      </c>
      <c r="O152" t="s">
        <v>47305</v>
      </c>
      <c r="P152">
        <v>0</v>
      </c>
      <c r="Q152">
        <v>2</v>
      </c>
      <c r="R152" t="s">
        <v>47306</v>
      </c>
      <c r="S152" t="s">
        <v>47414</v>
      </c>
      <c r="T152" t="s">
        <v>49003</v>
      </c>
      <c r="U152" t="s">
        <v>49691</v>
      </c>
      <c r="W152" t="s">
        <v>42963</v>
      </c>
      <c r="X152" t="s">
        <v>47312</v>
      </c>
    </row>
    <row r="153" spans="1:24">
      <c r="A153">
        <f>HYPERLINK("https://www.philgeps.gov.ph/GEPSNONPILOT/Tender/SplashBidNoticeAbstractUI.aspx?menuIndex=3&amp;refID=7189281&amp;Result=3","7189281")</f>
        <v>0</v>
      </c>
      <c r="B153" t="s">
        <v>64</v>
      </c>
      <c r="C153" t="s">
        <v>4055</v>
      </c>
      <c r="D153" t="s">
        <v>19004</v>
      </c>
      <c r="E153" t="s">
        <v>19243</v>
      </c>
      <c r="F153" t="s">
        <v>32606</v>
      </c>
      <c r="G153" t="s">
        <v>32613</v>
      </c>
      <c r="H153" t="s">
        <v>14201</v>
      </c>
      <c r="I153" t="s">
        <v>7677</v>
      </c>
      <c r="J153" t="s">
        <v>32888</v>
      </c>
      <c r="K153" t="s">
        <v>42622</v>
      </c>
      <c r="M153" t="s">
        <v>42961</v>
      </c>
      <c r="N153" t="s">
        <v>47304</v>
      </c>
      <c r="O153" t="s">
        <v>47305</v>
      </c>
      <c r="P153">
        <v>0</v>
      </c>
      <c r="Q153">
        <v>2</v>
      </c>
      <c r="R153" t="s">
        <v>47306</v>
      </c>
      <c r="S153" t="s">
        <v>47414</v>
      </c>
      <c r="T153" t="s">
        <v>49001</v>
      </c>
      <c r="U153" t="s">
        <v>49692</v>
      </c>
      <c r="W153" t="s">
        <v>64420</v>
      </c>
      <c r="X153" t="s">
        <v>47313</v>
      </c>
    </row>
    <row r="154" spans="1:24">
      <c r="A154">
        <f>HYPERLINK("https://www.philgeps.gov.ph/GEPSNONPILOT/Tender/SplashBidNoticeAbstractUI.aspx?menuIndex=3&amp;refID=7192749&amp;Result=3","7192749")</f>
        <v>0</v>
      </c>
      <c r="B154" t="s">
        <v>99</v>
      </c>
      <c r="C154" t="s">
        <v>4056</v>
      </c>
      <c r="D154" t="s">
        <v>19027</v>
      </c>
      <c r="E154" t="s">
        <v>19244</v>
      </c>
      <c r="F154" t="s">
        <v>32606</v>
      </c>
      <c r="G154" t="s">
        <v>32613</v>
      </c>
      <c r="H154" t="s">
        <v>32623</v>
      </c>
      <c r="I154" t="s">
        <v>17648</v>
      </c>
      <c r="J154" t="s">
        <v>32889</v>
      </c>
      <c r="K154" t="s">
        <v>42651</v>
      </c>
      <c r="L154" t="s">
        <v>99</v>
      </c>
      <c r="M154" t="s">
        <v>42997</v>
      </c>
      <c r="N154" t="s">
        <v>47304</v>
      </c>
      <c r="O154" t="s">
        <v>47305</v>
      </c>
      <c r="P154">
        <v>0</v>
      </c>
      <c r="Q154">
        <v>1</v>
      </c>
      <c r="R154" t="s">
        <v>47306</v>
      </c>
      <c r="S154" t="s">
        <v>47414</v>
      </c>
      <c r="T154" t="s">
        <v>48985</v>
      </c>
      <c r="U154" t="s">
        <v>49693</v>
      </c>
      <c r="V154" t="s">
        <v>62669</v>
      </c>
      <c r="W154" t="s">
        <v>42997</v>
      </c>
      <c r="X154" t="s">
        <v>47312</v>
      </c>
    </row>
    <row r="155" spans="1:24">
      <c r="A155">
        <f>HYPERLINK("https://www.philgeps.gov.ph/GEPSNONPILOT/Tender/SplashBidNoticeAbstractUI.aspx?menuIndex=3&amp;refID=7192658&amp;Result=3","7192658")</f>
        <v>0</v>
      </c>
      <c r="B155" t="s">
        <v>100</v>
      </c>
      <c r="C155" t="s">
        <v>4057</v>
      </c>
      <c r="D155" t="s">
        <v>19010</v>
      </c>
      <c r="E155" t="s">
        <v>19245</v>
      </c>
      <c r="F155" t="s">
        <v>32606</v>
      </c>
      <c r="G155" t="s">
        <v>32613</v>
      </c>
      <c r="H155" t="s">
        <v>14201</v>
      </c>
      <c r="I155" t="s">
        <v>32631</v>
      </c>
      <c r="J155" t="s">
        <v>32890</v>
      </c>
      <c r="K155" t="s">
        <v>42624</v>
      </c>
      <c r="M155" t="s">
        <v>42998</v>
      </c>
      <c r="N155" t="s">
        <v>47304</v>
      </c>
      <c r="O155" t="s">
        <v>47305</v>
      </c>
      <c r="P155">
        <v>0</v>
      </c>
      <c r="Q155">
        <v>1</v>
      </c>
      <c r="R155" t="s">
        <v>47306</v>
      </c>
      <c r="S155" t="s">
        <v>47414</v>
      </c>
      <c r="T155" t="s">
        <v>49017</v>
      </c>
      <c r="U155" t="s">
        <v>49694</v>
      </c>
      <c r="V155" t="s">
        <v>62670</v>
      </c>
      <c r="W155" t="s">
        <v>42998</v>
      </c>
      <c r="X155" t="s">
        <v>47312</v>
      </c>
    </row>
    <row r="156" spans="1:24">
      <c r="A156">
        <f>HYPERLINK("https://www.philgeps.gov.ph/GEPSNONPILOT/Tender/SplashBidNoticeAbstractUI.aspx?menuIndex=3&amp;refID=7192636&amp;Result=3","7192636")</f>
        <v>0</v>
      </c>
      <c r="B156" t="s">
        <v>101</v>
      </c>
      <c r="C156" t="s">
        <v>4058</v>
      </c>
      <c r="D156" t="s">
        <v>18993</v>
      </c>
      <c r="E156" t="s">
        <v>19246</v>
      </c>
      <c r="F156" t="s">
        <v>32606</v>
      </c>
      <c r="G156" t="s">
        <v>32617</v>
      </c>
      <c r="H156" t="s">
        <v>14201</v>
      </c>
      <c r="I156" t="s">
        <v>4114</v>
      </c>
      <c r="J156" t="s">
        <v>32891</v>
      </c>
      <c r="K156" t="s">
        <v>42631</v>
      </c>
      <c r="M156" t="s">
        <v>42999</v>
      </c>
      <c r="N156" t="s">
        <v>47304</v>
      </c>
      <c r="O156" t="s">
        <v>47305</v>
      </c>
      <c r="P156">
        <v>0</v>
      </c>
      <c r="Q156">
        <v>16</v>
      </c>
      <c r="R156" t="s">
        <v>47306</v>
      </c>
      <c r="S156" t="s">
        <v>47414</v>
      </c>
      <c r="T156" t="s">
        <v>48980</v>
      </c>
      <c r="U156" t="s">
        <v>49695</v>
      </c>
      <c r="W156" t="s">
        <v>42999</v>
      </c>
      <c r="X156" t="s">
        <v>47312</v>
      </c>
    </row>
    <row r="157" spans="1:24">
      <c r="A157">
        <f>HYPERLINK("https://www.philgeps.gov.ph/GEPSNONPILOT/Tender/SplashBidNoticeAbstractUI.aspx?menuIndex=3&amp;refID=7192626&amp;Result=3","7192626")</f>
        <v>0</v>
      </c>
      <c r="B157" t="s">
        <v>101</v>
      </c>
      <c r="C157" t="s">
        <v>4059</v>
      </c>
      <c r="D157" t="s">
        <v>18993</v>
      </c>
      <c r="E157" t="s">
        <v>19247</v>
      </c>
      <c r="F157" t="s">
        <v>32606</v>
      </c>
      <c r="G157" t="s">
        <v>32617</v>
      </c>
      <c r="H157" t="s">
        <v>14201</v>
      </c>
      <c r="I157" t="s">
        <v>13131</v>
      </c>
      <c r="J157" t="s">
        <v>32892</v>
      </c>
      <c r="K157" t="s">
        <v>42631</v>
      </c>
      <c r="M157" t="s">
        <v>42999</v>
      </c>
      <c r="N157" t="s">
        <v>47304</v>
      </c>
      <c r="O157" t="s">
        <v>47305</v>
      </c>
      <c r="P157">
        <v>0</v>
      </c>
      <c r="Q157">
        <v>13</v>
      </c>
      <c r="R157" t="s">
        <v>47306</v>
      </c>
      <c r="S157" t="s">
        <v>47414</v>
      </c>
      <c r="T157" t="s">
        <v>48980</v>
      </c>
      <c r="U157" t="s">
        <v>49695</v>
      </c>
      <c r="W157" t="s">
        <v>42999</v>
      </c>
      <c r="X157" t="s">
        <v>47312</v>
      </c>
    </row>
    <row r="158" spans="1:24">
      <c r="A158">
        <f>HYPERLINK("https://www.philgeps.gov.ph/GEPSNONPILOT/Tender/SplashBidNoticeAbstractUI.aspx?menuIndex=3&amp;refID=7192517&amp;Result=3","7192517")</f>
        <v>0</v>
      </c>
      <c r="B158" t="s">
        <v>102</v>
      </c>
      <c r="C158" t="s">
        <v>4060</v>
      </c>
      <c r="D158" t="s">
        <v>19006</v>
      </c>
      <c r="E158" t="s">
        <v>19248</v>
      </c>
      <c r="F158" t="s">
        <v>32606</v>
      </c>
      <c r="G158" t="s">
        <v>32615</v>
      </c>
      <c r="H158" t="s">
        <v>14201</v>
      </c>
      <c r="I158" t="s">
        <v>7064</v>
      </c>
      <c r="J158" t="s">
        <v>32893</v>
      </c>
      <c r="K158" t="s">
        <v>42623</v>
      </c>
      <c r="M158" t="s">
        <v>43000</v>
      </c>
      <c r="N158" t="s">
        <v>47304</v>
      </c>
      <c r="O158" t="s">
        <v>47305</v>
      </c>
      <c r="P158">
        <v>0</v>
      </c>
      <c r="Q158">
        <v>4</v>
      </c>
      <c r="R158" t="s">
        <v>47306</v>
      </c>
      <c r="S158" t="s">
        <v>47414</v>
      </c>
      <c r="T158" t="s">
        <v>49021</v>
      </c>
      <c r="U158" t="s">
        <v>49696</v>
      </c>
      <c r="W158" t="s">
        <v>43000</v>
      </c>
      <c r="X158" t="s">
        <v>47312</v>
      </c>
    </row>
    <row r="159" spans="1:24">
      <c r="A159">
        <f>HYPERLINK("https://www.philgeps.gov.ph/GEPSNONPILOT/Tender/SplashBidNoticeAbstractUI.aspx?menuIndex=3&amp;refID=7192510&amp;Result=3","7192510")</f>
        <v>0</v>
      </c>
      <c r="B159" t="s">
        <v>103</v>
      </c>
      <c r="C159" t="s">
        <v>4061</v>
      </c>
      <c r="D159" t="s">
        <v>19028</v>
      </c>
      <c r="E159" t="s">
        <v>19249</v>
      </c>
      <c r="F159" t="s">
        <v>32606</v>
      </c>
      <c r="G159" t="s">
        <v>32614</v>
      </c>
      <c r="H159" t="s">
        <v>14201</v>
      </c>
      <c r="I159" t="s">
        <v>4369</v>
      </c>
      <c r="J159" t="s">
        <v>32781</v>
      </c>
      <c r="K159" t="s">
        <v>42623</v>
      </c>
      <c r="M159" t="s">
        <v>43001</v>
      </c>
      <c r="N159" t="s">
        <v>47304</v>
      </c>
      <c r="O159" t="s">
        <v>47305</v>
      </c>
      <c r="P159">
        <v>0</v>
      </c>
      <c r="Q159">
        <v>2</v>
      </c>
      <c r="R159" t="s">
        <v>47306</v>
      </c>
      <c r="S159" t="s">
        <v>47414</v>
      </c>
      <c r="T159" t="s">
        <v>49022</v>
      </c>
      <c r="U159" t="s">
        <v>49697</v>
      </c>
      <c r="W159" t="s">
        <v>43001</v>
      </c>
      <c r="X159" t="s">
        <v>47312</v>
      </c>
    </row>
    <row r="160" spans="1:24">
      <c r="A160">
        <f>HYPERLINK("https://www.philgeps.gov.ph/GEPSNONPILOT/Tender/SplashBidNoticeAbstractUI.aspx?menuIndex=3&amp;refID=7192480&amp;Result=3","7192480")</f>
        <v>0</v>
      </c>
      <c r="B160" t="s">
        <v>104</v>
      </c>
      <c r="C160" t="s">
        <v>4062</v>
      </c>
      <c r="D160" t="s">
        <v>18993</v>
      </c>
      <c r="E160" t="s">
        <v>19250</v>
      </c>
      <c r="F160" t="s">
        <v>32606</v>
      </c>
      <c r="G160" t="s">
        <v>32613</v>
      </c>
      <c r="H160" t="s">
        <v>32624</v>
      </c>
      <c r="I160" t="s">
        <v>32640</v>
      </c>
      <c r="J160" t="s">
        <v>32894</v>
      </c>
      <c r="K160" t="s">
        <v>42652</v>
      </c>
      <c r="M160" t="s">
        <v>43002</v>
      </c>
      <c r="N160" t="s">
        <v>47304</v>
      </c>
      <c r="O160" t="s">
        <v>47305</v>
      </c>
      <c r="P160">
        <v>0</v>
      </c>
      <c r="Q160">
        <v>6</v>
      </c>
      <c r="R160" t="s">
        <v>47306</v>
      </c>
      <c r="S160" t="s">
        <v>47414</v>
      </c>
      <c r="T160" t="s">
        <v>49008</v>
      </c>
      <c r="U160" t="s">
        <v>49698</v>
      </c>
      <c r="W160" t="s">
        <v>43002</v>
      </c>
      <c r="X160" t="s">
        <v>47312</v>
      </c>
    </row>
    <row r="161" spans="1:24">
      <c r="A161">
        <f>HYPERLINK("https://www.philgeps.gov.ph/GEPSNONPILOT/Tender/SplashBidNoticeAbstractUI.aspx?menuIndex=3&amp;refID=7192465&amp;Result=3","7192465")</f>
        <v>0</v>
      </c>
      <c r="B161" t="s">
        <v>105</v>
      </c>
      <c r="C161" t="s">
        <v>4063</v>
      </c>
      <c r="D161" t="s">
        <v>18993</v>
      </c>
      <c r="E161" t="s">
        <v>19251</v>
      </c>
      <c r="F161" t="s">
        <v>32606</v>
      </c>
      <c r="G161" t="s">
        <v>32614</v>
      </c>
      <c r="H161" t="s">
        <v>14201</v>
      </c>
      <c r="I161" t="s">
        <v>32640</v>
      </c>
      <c r="J161" t="s">
        <v>32895</v>
      </c>
      <c r="K161" t="s">
        <v>42639</v>
      </c>
      <c r="M161" t="s">
        <v>43003</v>
      </c>
      <c r="N161" t="s">
        <v>47304</v>
      </c>
      <c r="O161" t="s">
        <v>47305</v>
      </c>
      <c r="P161">
        <v>0</v>
      </c>
      <c r="Q161">
        <v>13</v>
      </c>
      <c r="R161" t="s">
        <v>47306</v>
      </c>
      <c r="S161" t="s">
        <v>47414</v>
      </c>
      <c r="T161" t="s">
        <v>49023</v>
      </c>
      <c r="U161" t="s">
        <v>49699</v>
      </c>
      <c r="W161" t="s">
        <v>43003</v>
      </c>
      <c r="X161" t="s">
        <v>47312</v>
      </c>
    </row>
    <row r="162" spans="1:24">
      <c r="A162">
        <f>HYPERLINK("https://www.philgeps.gov.ph/GEPSNONPILOT/Tender/SplashBidNoticeAbstractUI.aspx?menuIndex=3&amp;refID=7192810&amp;Result=3","7192810")</f>
        <v>0</v>
      </c>
      <c r="B162" t="s">
        <v>99</v>
      </c>
      <c r="C162" t="s">
        <v>4064</v>
      </c>
      <c r="D162" t="s">
        <v>19027</v>
      </c>
      <c r="E162" t="s">
        <v>19252</v>
      </c>
      <c r="F162" t="s">
        <v>32606</v>
      </c>
      <c r="G162" t="s">
        <v>32613</v>
      </c>
      <c r="H162" t="s">
        <v>32623</v>
      </c>
      <c r="I162" t="s">
        <v>17648</v>
      </c>
      <c r="J162" t="s">
        <v>32896</v>
      </c>
      <c r="K162" t="s">
        <v>42648</v>
      </c>
      <c r="L162" t="s">
        <v>99</v>
      </c>
      <c r="M162" t="s">
        <v>42997</v>
      </c>
      <c r="N162" t="s">
        <v>47304</v>
      </c>
      <c r="O162" t="s">
        <v>47305</v>
      </c>
      <c r="P162">
        <v>0</v>
      </c>
      <c r="Q162">
        <v>1</v>
      </c>
      <c r="R162" t="s">
        <v>47306</v>
      </c>
      <c r="S162" t="s">
        <v>47414</v>
      </c>
      <c r="T162" t="s">
        <v>48985</v>
      </c>
      <c r="U162" t="s">
        <v>49700</v>
      </c>
      <c r="V162" t="s">
        <v>62669</v>
      </c>
      <c r="W162" t="s">
        <v>42997</v>
      </c>
      <c r="X162" t="s">
        <v>47312</v>
      </c>
    </row>
    <row r="163" spans="1:24">
      <c r="A163">
        <f>HYPERLINK("https://www.philgeps.gov.ph/GEPSNONPILOT/Tender/SplashBidNoticeAbstractUI.aspx?menuIndex=3&amp;refID=7192447&amp;Result=3","7192447")</f>
        <v>0</v>
      </c>
      <c r="B163" t="s">
        <v>90</v>
      </c>
      <c r="C163" t="s">
        <v>4065</v>
      </c>
      <c r="D163" t="s">
        <v>18988</v>
      </c>
      <c r="E163" t="s">
        <v>19253</v>
      </c>
      <c r="F163" t="s">
        <v>32606</v>
      </c>
      <c r="G163" t="s">
        <v>32613</v>
      </c>
      <c r="H163" t="s">
        <v>14201</v>
      </c>
      <c r="I163" t="s">
        <v>5233</v>
      </c>
      <c r="J163" t="s">
        <v>32897</v>
      </c>
      <c r="K163" t="s">
        <v>42624</v>
      </c>
      <c r="M163" t="s">
        <v>42988</v>
      </c>
      <c r="N163" t="s">
        <v>47304</v>
      </c>
      <c r="O163" t="s">
        <v>47305</v>
      </c>
      <c r="P163">
        <v>0</v>
      </c>
      <c r="Q163">
        <v>0</v>
      </c>
      <c r="R163" t="s">
        <v>47306</v>
      </c>
      <c r="S163" t="s">
        <v>47414</v>
      </c>
      <c r="T163" t="s">
        <v>49018</v>
      </c>
      <c r="U163" t="s">
        <v>49701</v>
      </c>
      <c r="V163" t="s">
        <v>62665</v>
      </c>
      <c r="W163" t="s">
        <v>42988</v>
      </c>
      <c r="X163" t="s">
        <v>47312</v>
      </c>
    </row>
    <row r="164" spans="1:24">
      <c r="A164">
        <f>HYPERLINK("https://www.philgeps.gov.ph/GEPSNONPILOT/Tender/SplashBidNoticeAbstractUI.aspx?menuIndex=3&amp;refID=7192878&amp;Result=3","7192878")</f>
        <v>0</v>
      </c>
      <c r="B164" t="s">
        <v>66</v>
      </c>
      <c r="C164" t="s">
        <v>4066</v>
      </c>
      <c r="D164" t="s">
        <v>19010</v>
      </c>
      <c r="E164" t="s">
        <v>19254</v>
      </c>
      <c r="F164" t="s">
        <v>32606</v>
      </c>
      <c r="G164" t="s">
        <v>32613</v>
      </c>
      <c r="H164" t="s">
        <v>14201</v>
      </c>
      <c r="I164" t="s">
        <v>8682</v>
      </c>
      <c r="J164" t="s">
        <v>32898</v>
      </c>
      <c r="K164" t="s">
        <v>42636</v>
      </c>
      <c r="M164" t="s">
        <v>42963</v>
      </c>
      <c r="N164" t="s">
        <v>47304</v>
      </c>
      <c r="O164" t="s">
        <v>47305</v>
      </c>
      <c r="P164">
        <v>0</v>
      </c>
      <c r="Q164">
        <v>2</v>
      </c>
      <c r="R164" t="s">
        <v>47306</v>
      </c>
      <c r="S164" t="s">
        <v>47414</v>
      </c>
      <c r="T164" t="s">
        <v>49003</v>
      </c>
      <c r="U164" t="s">
        <v>49702</v>
      </c>
      <c r="W164" t="s">
        <v>42963</v>
      </c>
      <c r="X164" t="s">
        <v>47312</v>
      </c>
    </row>
    <row r="165" spans="1:24">
      <c r="A165">
        <f>HYPERLINK("https://www.philgeps.gov.ph/GEPSNONPILOT/Tender/SplashBidNoticeAbstractUI.aspx?menuIndex=3&amp;refID=7189105&amp;Result=3","7189105")</f>
        <v>0</v>
      </c>
      <c r="B165" t="s">
        <v>64</v>
      </c>
      <c r="C165" t="s">
        <v>4067</v>
      </c>
      <c r="D165" t="s">
        <v>19004</v>
      </c>
      <c r="E165" t="s">
        <v>19255</v>
      </c>
      <c r="F165" t="s">
        <v>32606</v>
      </c>
      <c r="G165" t="s">
        <v>32613</v>
      </c>
      <c r="H165" t="s">
        <v>14201</v>
      </c>
      <c r="I165" t="s">
        <v>32653</v>
      </c>
      <c r="J165" t="s">
        <v>32899</v>
      </c>
      <c r="K165" t="s">
        <v>42624</v>
      </c>
      <c r="M165" t="s">
        <v>42961</v>
      </c>
      <c r="N165" t="s">
        <v>47304</v>
      </c>
      <c r="O165" t="s">
        <v>47305</v>
      </c>
      <c r="P165">
        <v>0</v>
      </c>
      <c r="Q165">
        <v>0</v>
      </c>
      <c r="R165" t="s">
        <v>47306</v>
      </c>
      <c r="S165" t="s">
        <v>47414</v>
      </c>
      <c r="T165" t="s">
        <v>49001</v>
      </c>
      <c r="U165" t="s">
        <v>49703</v>
      </c>
      <c r="W165" t="s">
        <v>64420</v>
      </c>
      <c r="X165" t="s">
        <v>47313</v>
      </c>
    </row>
    <row r="166" spans="1:24">
      <c r="A166">
        <f>HYPERLINK("https://www.philgeps.gov.ph/GEPSNONPILOT/Tender/SplashBidNoticeAbstractUI.aspx?menuIndex=3&amp;refID=7193451&amp;Result=3","7193451")</f>
        <v>0</v>
      </c>
      <c r="B166" t="s">
        <v>106</v>
      </c>
      <c r="C166" t="s">
        <v>4068</v>
      </c>
      <c r="E166" t="s">
        <v>19256</v>
      </c>
      <c r="F166" t="s">
        <v>32606</v>
      </c>
      <c r="G166" t="s">
        <v>32618</v>
      </c>
      <c r="H166" t="s">
        <v>14201</v>
      </c>
      <c r="I166" t="s">
        <v>32654</v>
      </c>
      <c r="J166" t="s">
        <v>32900</v>
      </c>
      <c r="K166" t="s">
        <v>42636</v>
      </c>
      <c r="M166" t="s">
        <v>43004</v>
      </c>
      <c r="N166" t="s">
        <v>47304</v>
      </c>
      <c r="O166" t="s">
        <v>47305</v>
      </c>
      <c r="P166">
        <v>0</v>
      </c>
      <c r="Q166">
        <v>0</v>
      </c>
      <c r="R166" t="s">
        <v>47306</v>
      </c>
      <c r="S166" t="s">
        <v>47414</v>
      </c>
      <c r="T166" t="s">
        <v>49024</v>
      </c>
      <c r="U166" t="s">
        <v>49704</v>
      </c>
      <c r="V166" t="s">
        <v>62671</v>
      </c>
      <c r="W166" t="s">
        <v>43004</v>
      </c>
      <c r="X166" t="s">
        <v>47311</v>
      </c>
    </row>
    <row r="167" spans="1:24">
      <c r="A167">
        <f>HYPERLINK("https://www.philgeps.gov.ph/GEPSNONPILOT/Tender/SplashBidNoticeAbstractUI.aspx?menuIndex=3&amp;refID=7193449&amp;Result=3","7193449")</f>
        <v>0</v>
      </c>
      <c r="B167" t="s">
        <v>39</v>
      </c>
      <c r="C167" t="s">
        <v>4069</v>
      </c>
      <c r="D167" t="s">
        <v>18990</v>
      </c>
      <c r="E167" t="s">
        <v>19257</v>
      </c>
      <c r="F167" t="s">
        <v>32606</v>
      </c>
      <c r="G167" t="s">
        <v>32613</v>
      </c>
      <c r="H167" t="s">
        <v>14201</v>
      </c>
      <c r="I167" t="s">
        <v>32652</v>
      </c>
      <c r="J167" t="s">
        <v>32901</v>
      </c>
      <c r="K167" t="s">
        <v>42624</v>
      </c>
      <c r="M167" t="s">
        <v>43005</v>
      </c>
      <c r="N167" t="s">
        <v>47304</v>
      </c>
      <c r="O167" t="s">
        <v>47305</v>
      </c>
      <c r="P167">
        <v>0</v>
      </c>
      <c r="Q167">
        <v>0</v>
      </c>
      <c r="R167" t="s">
        <v>47306</v>
      </c>
      <c r="S167" t="s">
        <v>47414</v>
      </c>
      <c r="T167" t="s">
        <v>49018</v>
      </c>
      <c r="U167" t="s">
        <v>49705</v>
      </c>
      <c r="W167" t="s">
        <v>64422</v>
      </c>
      <c r="X167" t="s">
        <v>47311</v>
      </c>
    </row>
    <row r="168" spans="1:24">
      <c r="A168">
        <f>HYPERLINK("https://www.philgeps.gov.ph/GEPSNONPILOT/Tender/SplashBidNoticeAbstractUI.aspx?menuIndex=3&amp;refID=7192782&amp;Result=3","7192782")</f>
        <v>0</v>
      </c>
      <c r="B168" t="s">
        <v>99</v>
      </c>
      <c r="C168" t="s">
        <v>4070</v>
      </c>
      <c r="D168" t="s">
        <v>19027</v>
      </c>
      <c r="E168" t="s">
        <v>19258</v>
      </c>
      <c r="F168" t="s">
        <v>32606</v>
      </c>
      <c r="G168" t="s">
        <v>32613</v>
      </c>
      <c r="H168" t="s">
        <v>32623</v>
      </c>
      <c r="I168" t="s">
        <v>17648</v>
      </c>
      <c r="J168" t="s">
        <v>32902</v>
      </c>
      <c r="K168" t="s">
        <v>42645</v>
      </c>
      <c r="L168" t="s">
        <v>99</v>
      </c>
      <c r="M168" t="s">
        <v>42997</v>
      </c>
      <c r="N168" t="s">
        <v>47304</v>
      </c>
      <c r="O168" t="s">
        <v>47305</v>
      </c>
      <c r="P168">
        <v>0</v>
      </c>
      <c r="Q168">
        <v>0</v>
      </c>
      <c r="R168" t="s">
        <v>47306</v>
      </c>
      <c r="S168" t="s">
        <v>47414</v>
      </c>
      <c r="T168" t="s">
        <v>48985</v>
      </c>
      <c r="U168" t="s">
        <v>49706</v>
      </c>
      <c r="V168" t="s">
        <v>62669</v>
      </c>
      <c r="W168" t="s">
        <v>42997</v>
      </c>
      <c r="X168" t="s">
        <v>47312</v>
      </c>
    </row>
    <row r="169" spans="1:24">
      <c r="A169">
        <f>HYPERLINK("https://www.philgeps.gov.ph/GEPSNONPILOT/Tender/SplashBidNoticeAbstractUI.aspx?menuIndex=3&amp;refID=7189250&amp;Result=3","7189250")</f>
        <v>0</v>
      </c>
      <c r="B169" t="s">
        <v>64</v>
      </c>
      <c r="C169" t="s">
        <v>4071</v>
      </c>
      <c r="D169" t="s">
        <v>19004</v>
      </c>
      <c r="E169" t="s">
        <v>19259</v>
      </c>
      <c r="F169" t="s">
        <v>32606</v>
      </c>
      <c r="G169" t="s">
        <v>32613</v>
      </c>
      <c r="H169" t="s">
        <v>14201</v>
      </c>
      <c r="I169" t="s">
        <v>7677</v>
      </c>
      <c r="J169" t="s">
        <v>32903</v>
      </c>
      <c r="K169" t="s">
        <v>42622</v>
      </c>
      <c r="M169" t="s">
        <v>42961</v>
      </c>
      <c r="N169" t="s">
        <v>47304</v>
      </c>
      <c r="O169" t="s">
        <v>47305</v>
      </c>
      <c r="P169">
        <v>0</v>
      </c>
      <c r="Q169">
        <v>0</v>
      </c>
      <c r="R169" t="s">
        <v>47306</v>
      </c>
      <c r="S169" t="s">
        <v>47414</v>
      </c>
      <c r="T169" t="s">
        <v>49001</v>
      </c>
      <c r="U169" t="s">
        <v>49707</v>
      </c>
      <c r="W169" t="s">
        <v>64420</v>
      </c>
      <c r="X169" t="s">
        <v>47313</v>
      </c>
    </row>
    <row r="170" spans="1:24">
      <c r="A170">
        <f>HYPERLINK("https://www.philgeps.gov.ph/GEPSNONPILOT/Tender/SplashBidNoticeAbstractUI.aspx?menuIndex=3&amp;refID=7193446&amp;Result=3","7193446")</f>
        <v>0</v>
      </c>
      <c r="B170" t="s">
        <v>39</v>
      </c>
      <c r="C170" t="s">
        <v>4072</v>
      </c>
      <c r="D170" t="s">
        <v>18990</v>
      </c>
      <c r="E170" t="s">
        <v>19260</v>
      </c>
      <c r="F170" t="s">
        <v>32606</v>
      </c>
      <c r="G170" t="s">
        <v>32613</v>
      </c>
      <c r="H170" t="s">
        <v>14201</v>
      </c>
      <c r="I170" t="s">
        <v>32652</v>
      </c>
      <c r="J170" t="s">
        <v>32904</v>
      </c>
      <c r="K170" t="s">
        <v>42624</v>
      </c>
      <c r="M170" t="s">
        <v>43005</v>
      </c>
      <c r="N170" t="s">
        <v>47304</v>
      </c>
      <c r="O170" t="s">
        <v>47305</v>
      </c>
      <c r="P170">
        <v>0</v>
      </c>
      <c r="Q170">
        <v>0</v>
      </c>
      <c r="R170" t="s">
        <v>47306</v>
      </c>
      <c r="S170" t="s">
        <v>47414</v>
      </c>
      <c r="T170" t="s">
        <v>49018</v>
      </c>
      <c r="U170" t="s">
        <v>49705</v>
      </c>
      <c r="W170" t="s">
        <v>64422</v>
      </c>
      <c r="X170" t="s">
        <v>47311</v>
      </c>
    </row>
    <row r="171" spans="1:24">
      <c r="A171">
        <f>HYPERLINK("https://www.philgeps.gov.ph/GEPSNONPILOT/Tender/SplashBidNoticeAbstractUI.aspx?menuIndex=3&amp;refID=7192437&amp;Result=3","7192437")</f>
        <v>0</v>
      </c>
      <c r="B171" t="s">
        <v>90</v>
      </c>
      <c r="C171" t="s">
        <v>4073</v>
      </c>
      <c r="D171" t="s">
        <v>18988</v>
      </c>
      <c r="E171" t="s">
        <v>19261</v>
      </c>
      <c r="F171" t="s">
        <v>32606</v>
      </c>
      <c r="G171" t="s">
        <v>32613</v>
      </c>
      <c r="H171" t="s">
        <v>14201</v>
      </c>
      <c r="I171" t="s">
        <v>7233</v>
      </c>
      <c r="J171" t="s">
        <v>32752</v>
      </c>
      <c r="K171" t="s">
        <v>42624</v>
      </c>
      <c r="M171" t="s">
        <v>42988</v>
      </c>
      <c r="N171" t="s">
        <v>47304</v>
      </c>
      <c r="O171" t="s">
        <v>47305</v>
      </c>
      <c r="P171">
        <v>0</v>
      </c>
      <c r="Q171">
        <v>0</v>
      </c>
      <c r="R171" t="s">
        <v>47306</v>
      </c>
      <c r="S171" t="s">
        <v>47414</v>
      </c>
      <c r="T171" t="s">
        <v>49018</v>
      </c>
      <c r="U171" t="s">
        <v>49708</v>
      </c>
      <c r="V171" t="s">
        <v>62665</v>
      </c>
      <c r="W171" t="s">
        <v>42988</v>
      </c>
      <c r="X171" t="s">
        <v>47312</v>
      </c>
    </row>
    <row r="172" spans="1:24">
      <c r="A172">
        <f>HYPERLINK("https://www.philgeps.gov.ph/GEPSNONPILOT/Tender/SplashBidNoticeAbstractUI.aspx?menuIndex=3&amp;refID=7193432&amp;Result=3","7193432")</f>
        <v>0</v>
      </c>
      <c r="B172" t="s">
        <v>39</v>
      </c>
      <c r="C172" t="s">
        <v>4074</v>
      </c>
      <c r="D172" t="s">
        <v>18990</v>
      </c>
      <c r="E172" t="s">
        <v>19262</v>
      </c>
      <c r="F172" t="s">
        <v>32606</v>
      </c>
      <c r="G172" t="s">
        <v>32613</v>
      </c>
      <c r="H172" t="s">
        <v>14201</v>
      </c>
      <c r="I172" t="s">
        <v>4120</v>
      </c>
      <c r="J172" t="s">
        <v>32905</v>
      </c>
      <c r="K172" t="s">
        <v>42624</v>
      </c>
      <c r="M172" t="s">
        <v>43005</v>
      </c>
      <c r="N172" t="s">
        <v>47304</v>
      </c>
      <c r="O172" t="s">
        <v>47305</v>
      </c>
      <c r="P172">
        <v>0</v>
      </c>
      <c r="Q172">
        <v>1</v>
      </c>
      <c r="R172" t="s">
        <v>47306</v>
      </c>
      <c r="S172" t="s">
        <v>47414</v>
      </c>
      <c r="T172" t="s">
        <v>49018</v>
      </c>
      <c r="U172" t="s">
        <v>49709</v>
      </c>
      <c r="W172" t="s">
        <v>64422</v>
      </c>
      <c r="X172" t="s">
        <v>47311</v>
      </c>
    </row>
    <row r="173" spans="1:24">
      <c r="A173">
        <f>HYPERLINK("https://www.philgeps.gov.ph/GEPSNONPILOT/Tender/SplashBidNoticeAbstractUI.aspx?menuIndex=3&amp;refID=7193428&amp;Result=3","7193428")</f>
        <v>0</v>
      </c>
      <c r="B173" t="s">
        <v>106</v>
      </c>
      <c r="C173" t="s">
        <v>4075</v>
      </c>
      <c r="E173" t="s">
        <v>19263</v>
      </c>
      <c r="F173" t="s">
        <v>32606</v>
      </c>
      <c r="G173" t="s">
        <v>32618</v>
      </c>
      <c r="H173" t="s">
        <v>14201</v>
      </c>
      <c r="I173" t="s">
        <v>32654</v>
      </c>
      <c r="J173" t="s">
        <v>32906</v>
      </c>
      <c r="K173" t="s">
        <v>42636</v>
      </c>
      <c r="M173" t="s">
        <v>43004</v>
      </c>
      <c r="N173" t="s">
        <v>47304</v>
      </c>
      <c r="O173" t="s">
        <v>47305</v>
      </c>
      <c r="P173">
        <v>0</v>
      </c>
      <c r="Q173">
        <v>0</v>
      </c>
      <c r="R173" t="s">
        <v>47306</v>
      </c>
      <c r="S173" t="s">
        <v>47414</v>
      </c>
      <c r="T173" t="s">
        <v>49025</v>
      </c>
      <c r="U173" t="s">
        <v>49710</v>
      </c>
      <c r="V173" t="s">
        <v>62671</v>
      </c>
      <c r="W173" t="s">
        <v>43004</v>
      </c>
      <c r="X173" t="s">
        <v>47311</v>
      </c>
    </row>
    <row r="174" spans="1:24">
      <c r="A174">
        <f>HYPERLINK("https://www.philgeps.gov.ph/GEPSNONPILOT/Tender/SplashBidNoticeAbstractUI.aspx?menuIndex=3&amp;refID=7193426&amp;Result=3","7193426")</f>
        <v>0</v>
      </c>
      <c r="B174" t="s">
        <v>39</v>
      </c>
      <c r="C174" t="s">
        <v>4076</v>
      </c>
      <c r="D174" t="s">
        <v>18990</v>
      </c>
      <c r="E174" t="s">
        <v>19264</v>
      </c>
      <c r="F174" t="s">
        <v>32606</v>
      </c>
      <c r="G174" t="s">
        <v>32613</v>
      </c>
      <c r="H174" t="s">
        <v>14201</v>
      </c>
      <c r="I174" t="s">
        <v>4120</v>
      </c>
      <c r="J174" t="s">
        <v>32907</v>
      </c>
      <c r="K174" t="s">
        <v>42624</v>
      </c>
      <c r="M174" t="s">
        <v>43005</v>
      </c>
      <c r="N174" t="s">
        <v>47304</v>
      </c>
      <c r="O174" t="s">
        <v>47305</v>
      </c>
      <c r="P174">
        <v>0</v>
      </c>
      <c r="Q174">
        <v>0</v>
      </c>
      <c r="R174" t="s">
        <v>47306</v>
      </c>
      <c r="S174" t="s">
        <v>47414</v>
      </c>
      <c r="T174" t="s">
        <v>49018</v>
      </c>
      <c r="U174" t="s">
        <v>49711</v>
      </c>
      <c r="W174" t="s">
        <v>64422</v>
      </c>
      <c r="X174" t="s">
        <v>47311</v>
      </c>
    </row>
    <row r="175" spans="1:24">
      <c r="A175">
        <f>HYPERLINK("https://www.philgeps.gov.ph/GEPSNONPILOT/Tender/SplashBidNoticeAbstractUI.aspx?menuIndex=3&amp;refID=7193418&amp;Result=3","7193418")</f>
        <v>0</v>
      </c>
      <c r="B175" t="s">
        <v>39</v>
      </c>
      <c r="C175" t="s">
        <v>4077</v>
      </c>
      <c r="D175" t="s">
        <v>18990</v>
      </c>
      <c r="E175" t="s">
        <v>19265</v>
      </c>
      <c r="F175" t="s">
        <v>32606</v>
      </c>
      <c r="G175" t="s">
        <v>32613</v>
      </c>
      <c r="H175" t="s">
        <v>14201</v>
      </c>
      <c r="I175" t="s">
        <v>6931</v>
      </c>
      <c r="J175" t="s">
        <v>32908</v>
      </c>
      <c r="K175" t="s">
        <v>42624</v>
      </c>
      <c r="M175" t="s">
        <v>43005</v>
      </c>
      <c r="N175" t="s">
        <v>47304</v>
      </c>
      <c r="O175" t="s">
        <v>47305</v>
      </c>
      <c r="P175">
        <v>0</v>
      </c>
      <c r="Q175">
        <v>0</v>
      </c>
      <c r="R175" t="s">
        <v>47306</v>
      </c>
      <c r="S175" t="s">
        <v>47414</v>
      </c>
      <c r="T175" t="s">
        <v>49018</v>
      </c>
      <c r="U175" t="s">
        <v>49705</v>
      </c>
      <c r="W175" t="s">
        <v>64422</v>
      </c>
      <c r="X175" t="s">
        <v>47311</v>
      </c>
    </row>
    <row r="176" spans="1:24">
      <c r="A176">
        <f>HYPERLINK("https://www.philgeps.gov.ph/GEPSNONPILOT/Tender/SplashBidNoticeAbstractUI.aspx?menuIndex=3&amp;refID=7193410&amp;Result=3","7193410")</f>
        <v>0</v>
      </c>
      <c r="B176" t="s">
        <v>106</v>
      </c>
      <c r="C176" t="s">
        <v>4078</v>
      </c>
      <c r="E176" t="s">
        <v>19263</v>
      </c>
      <c r="F176" t="s">
        <v>32606</v>
      </c>
      <c r="G176" t="s">
        <v>32618</v>
      </c>
      <c r="H176" t="s">
        <v>14201</v>
      </c>
      <c r="I176" t="s">
        <v>32654</v>
      </c>
      <c r="J176" t="s">
        <v>32909</v>
      </c>
      <c r="K176" t="s">
        <v>42636</v>
      </c>
      <c r="M176" t="s">
        <v>43004</v>
      </c>
      <c r="N176" t="s">
        <v>47304</v>
      </c>
      <c r="O176" t="s">
        <v>47305</v>
      </c>
      <c r="P176">
        <v>0</v>
      </c>
      <c r="Q176">
        <v>0</v>
      </c>
      <c r="R176" t="s">
        <v>47306</v>
      </c>
      <c r="S176" t="s">
        <v>47414</v>
      </c>
      <c r="T176" t="s">
        <v>49009</v>
      </c>
      <c r="U176" t="s">
        <v>49710</v>
      </c>
      <c r="V176" t="s">
        <v>62671</v>
      </c>
      <c r="W176" t="s">
        <v>43004</v>
      </c>
      <c r="X176" t="s">
        <v>47311</v>
      </c>
    </row>
    <row r="177" spans="1:24">
      <c r="A177">
        <f>HYPERLINK("https://www.philgeps.gov.ph/GEPSNONPILOT/Tender/SplashBidNoticeAbstractUI.aspx?menuIndex=3&amp;refID=7193408&amp;Result=3","7193408")</f>
        <v>0</v>
      </c>
      <c r="B177" t="s">
        <v>107</v>
      </c>
      <c r="C177" t="s">
        <v>4079</v>
      </c>
      <c r="D177" t="s">
        <v>19013</v>
      </c>
      <c r="E177" t="s">
        <v>19266</v>
      </c>
      <c r="F177" t="s">
        <v>32606</v>
      </c>
      <c r="G177" t="s">
        <v>32613</v>
      </c>
      <c r="H177" t="s">
        <v>32623</v>
      </c>
      <c r="I177" t="s">
        <v>17648</v>
      </c>
      <c r="J177" t="s">
        <v>32910</v>
      </c>
      <c r="K177" t="s">
        <v>42653</v>
      </c>
      <c r="M177" t="s">
        <v>43006</v>
      </c>
      <c r="N177" t="s">
        <v>47304</v>
      </c>
      <c r="O177" t="s">
        <v>47305</v>
      </c>
      <c r="P177">
        <v>0</v>
      </c>
      <c r="Q177">
        <v>1</v>
      </c>
      <c r="R177" t="s">
        <v>47306</v>
      </c>
      <c r="S177" t="s">
        <v>47414</v>
      </c>
      <c r="T177" t="s">
        <v>49008</v>
      </c>
      <c r="U177" t="s">
        <v>49712</v>
      </c>
      <c r="V177" t="s">
        <v>62672</v>
      </c>
      <c r="W177" t="s">
        <v>43006</v>
      </c>
      <c r="X177" t="s">
        <v>47311</v>
      </c>
    </row>
    <row r="178" spans="1:24">
      <c r="A178">
        <f>HYPERLINK("https://www.philgeps.gov.ph/GEPSNONPILOT/Tender/SplashBidNoticeAbstractUI.aspx?menuIndex=3&amp;refID=7193439&amp;Result=3","7193439")</f>
        <v>0</v>
      </c>
      <c r="B178" t="s">
        <v>39</v>
      </c>
      <c r="C178" t="s">
        <v>4080</v>
      </c>
      <c r="D178" t="s">
        <v>18990</v>
      </c>
      <c r="E178" t="s">
        <v>19262</v>
      </c>
      <c r="F178" t="s">
        <v>32606</v>
      </c>
      <c r="G178" t="s">
        <v>32613</v>
      </c>
      <c r="H178" t="s">
        <v>14201</v>
      </c>
      <c r="I178" t="s">
        <v>6014</v>
      </c>
      <c r="J178" t="s">
        <v>32911</v>
      </c>
      <c r="K178" t="s">
        <v>42624</v>
      </c>
      <c r="M178" t="s">
        <v>43005</v>
      </c>
      <c r="N178" t="s">
        <v>47304</v>
      </c>
      <c r="O178" t="s">
        <v>47305</v>
      </c>
      <c r="P178">
        <v>0</v>
      </c>
      <c r="Q178">
        <v>0</v>
      </c>
      <c r="R178" t="s">
        <v>47306</v>
      </c>
      <c r="S178" t="s">
        <v>47414</v>
      </c>
      <c r="T178" t="s">
        <v>49018</v>
      </c>
      <c r="U178" t="s">
        <v>49713</v>
      </c>
      <c r="W178" t="s">
        <v>64422</v>
      </c>
      <c r="X178" t="s">
        <v>47311</v>
      </c>
    </row>
    <row r="179" spans="1:24">
      <c r="A179">
        <f>HYPERLINK("https://www.philgeps.gov.ph/GEPSNONPILOT/Tender/SplashBidNoticeAbstractUI.aspx?menuIndex=3&amp;refID=7193422&amp;Result=3","7193422")</f>
        <v>0</v>
      </c>
      <c r="B179" t="s">
        <v>39</v>
      </c>
      <c r="C179" t="s">
        <v>4081</v>
      </c>
      <c r="D179" t="s">
        <v>18990</v>
      </c>
      <c r="E179" t="s">
        <v>19267</v>
      </c>
      <c r="F179" t="s">
        <v>32606</v>
      </c>
      <c r="G179" t="s">
        <v>32613</v>
      </c>
      <c r="H179" t="s">
        <v>14201</v>
      </c>
      <c r="I179" t="s">
        <v>32655</v>
      </c>
      <c r="J179" t="s">
        <v>32912</v>
      </c>
      <c r="K179" t="s">
        <v>42624</v>
      </c>
      <c r="M179" t="s">
        <v>43005</v>
      </c>
      <c r="N179" t="s">
        <v>47304</v>
      </c>
      <c r="O179" t="s">
        <v>47305</v>
      </c>
      <c r="P179">
        <v>0</v>
      </c>
      <c r="Q179">
        <v>1</v>
      </c>
      <c r="R179" t="s">
        <v>47306</v>
      </c>
      <c r="S179" t="s">
        <v>47414</v>
      </c>
      <c r="T179" t="s">
        <v>49018</v>
      </c>
      <c r="U179" t="s">
        <v>49714</v>
      </c>
      <c r="W179" t="s">
        <v>64422</v>
      </c>
      <c r="X179" t="s">
        <v>47311</v>
      </c>
    </row>
    <row r="180" spans="1:24">
      <c r="A180">
        <f>HYPERLINK("https://www.philgeps.gov.ph/GEPSNONPILOT/Tender/SplashBidNoticeAbstractUI.aspx?menuIndex=3&amp;refID=7193407&amp;Result=3","7193407")</f>
        <v>0</v>
      </c>
      <c r="B180" t="s">
        <v>39</v>
      </c>
      <c r="C180" t="s">
        <v>4082</v>
      </c>
      <c r="D180" t="s">
        <v>18990</v>
      </c>
      <c r="E180" t="s">
        <v>19268</v>
      </c>
      <c r="F180" t="s">
        <v>32606</v>
      </c>
      <c r="G180" t="s">
        <v>32613</v>
      </c>
      <c r="H180" t="s">
        <v>14201</v>
      </c>
      <c r="I180" t="s">
        <v>32640</v>
      </c>
      <c r="J180" t="s">
        <v>32913</v>
      </c>
      <c r="K180" t="s">
        <v>42624</v>
      </c>
      <c r="M180" t="s">
        <v>43005</v>
      </c>
      <c r="N180" t="s">
        <v>47304</v>
      </c>
      <c r="O180" t="s">
        <v>47305</v>
      </c>
      <c r="P180">
        <v>0</v>
      </c>
      <c r="Q180">
        <v>0</v>
      </c>
      <c r="R180" t="s">
        <v>47306</v>
      </c>
      <c r="S180" t="s">
        <v>47414</v>
      </c>
      <c r="T180" t="s">
        <v>49018</v>
      </c>
      <c r="U180" t="s">
        <v>49715</v>
      </c>
      <c r="W180" t="s">
        <v>64422</v>
      </c>
      <c r="X180" t="s">
        <v>47311</v>
      </c>
    </row>
    <row r="181" spans="1:24">
      <c r="A181">
        <f>HYPERLINK("https://www.philgeps.gov.ph/GEPSNONPILOT/Tender/SplashBidNoticeAbstractUI.aspx?menuIndex=3&amp;refID=7193251&amp;Result=3","7193251")</f>
        <v>0</v>
      </c>
      <c r="B181" t="s">
        <v>108</v>
      </c>
      <c r="C181" t="s">
        <v>4083</v>
      </c>
      <c r="D181" t="s">
        <v>18997</v>
      </c>
      <c r="E181" t="s">
        <v>19269</v>
      </c>
      <c r="F181" t="s">
        <v>32606</v>
      </c>
      <c r="G181" t="s">
        <v>32613</v>
      </c>
      <c r="H181" t="s">
        <v>14201</v>
      </c>
      <c r="I181" t="s">
        <v>6298</v>
      </c>
      <c r="J181" t="s">
        <v>32914</v>
      </c>
      <c r="K181" t="s">
        <v>42630</v>
      </c>
      <c r="M181" t="s">
        <v>43007</v>
      </c>
      <c r="N181" t="s">
        <v>47304</v>
      </c>
      <c r="O181" t="s">
        <v>47305</v>
      </c>
      <c r="P181">
        <v>0</v>
      </c>
      <c r="Q181">
        <v>0</v>
      </c>
      <c r="R181" t="s">
        <v>47306</v>
      </c>
      <c r="S181" t="s">
        <v>47414</v>
      </c>
      <c r="T181" t="s">
        <v>49002</v>
      </c>
      <c r="U181" t="s">
        <v>49716</v>
      </c>
      <c r="W181" t="s">
        <v>43007</v>
      </c>
      <c r="X181" t="s">
        <v>47311</v>
      </c>
    </row>
    <row r="182" spans="1:24">
      <c r="A182">
        <f>HYPERLINK("https://www.philgeps.gov.ph/GEPSNONPILOT/Tender/SplashBidNoticeAbstractUI.aspx?menuIndex=3&amp;refID=7193096&amp;Result=3","7193096")</f>
        <v>0</v>
      </c>
      <c r="B182" t="s">
        <v>109</v>
      </c>
      <c r="C182" t="s">
        <v>4084</v>
      </c>
      <c r="D182" t="s">
        <v>19029</v>
      </c>
      <c r="E182" t="s">
        <v>19270</v>
      </c>
      <c r="F182" t="s">
        <v>32606</v>
      </c>
      <c r="G182" t="s">
        <v>32613</v>
      </c>
      <c r="H182" t="s">
        <v>32623</v>
      </c>
      <c r="I182" t="s">
        <v>17648</v>
      </c>
      <c r="J182" t="s">
        <v>32915</v>
      </c>
      <c r="K182" t="s">
        <v>42654</v>
      </c>
      <c r="L182" t="s">
        <v>109</v>
      </c>
      <c r="M182" t="s">
        <v>43008</v>
      </c>
      <c r="N182" t="s">
        <v>47304</v>
      </c>
      <c r="O182" t="s">
        <v>47305</v>
      </c>
      <c r="P182">
        <v>0</v>
      </c>
      <c r="Q182">
        <v>0</v>
      </c>
      <c r="R182" t="s">
        <v>47306</v>
      </c>
      <c r="S182" t="s">
        <v>47414</v>
      </c>
      <c r="T182" t="s">
        <v>48986</v>
      </c>
      <c r="U182" t="s">
        <v>49717</v>
      </c>
      <c r="V182" t="s">
        <v>62673</v>
      </c>
      <c r="W182" t="s">
        <v>43008</v>
      </c>
      <c r="X182" t="s">
        <v>47311</v>
      </c>
    </row>
    <row r="183" spans="1:24">
      <c r="A183">
        <f>HYPERLINK("https://www.philgeps.gov.ph/GEPSNONPILOT/Tender/SplashBidNoticeAbstractUI.aspx?menuIndex=3&amp;refID=7192422&amp;Result=3","7192422")</f>
        <v>0</v>
      </c>
      <c r="B183" t="s">
        <v>90</v>
      </c>
      <c r="C183" t="s">
        <v>4085</v>
      </c>
      <c r="D183" t="s">
        <v>18988</v>
      </c>
      <c r="E183" t="s">
        <v>19271</v>
      </c>
      <c r="F183" t="s">
        <v>32606</v>
      </c>
      <c r="G183" t="s">
        <v>32613</v>
      </c>
      <c r="H183" t="s">
        <v>14201</v>
      </c>
      <c r="I183" t="s">
        <v>6993</v>
      </c>
      <c r="J183" t="s">
        <v>32799</v>
      </c>
      <c r="K183" t="s">
        <v>42624</v>
      </c>
      <c r="M183" t="s">
        <v>42988</v>
      </c>
      <c r="N183" t="s">
        <v>47304</v>
      </c>
      <c r="O183" t="s">
        <v>47305</v>
      </c>
      <c r="P183">
        <v>0</v>
      </c>
      <c r="Q183">
        <v>0</v>
      </c>
      <c r="R183" t="s">
        <v>47306</v>
      </c>
      <c r="S183" t="s">
        <v>47414</v>
      </c>
      <c r="T183" t="s">
        <v>49018</v>
      </c>
      <c r="U183" t="s">
        <v>49718</v>
      </c>
      <c r="V183" t="s">
        <v>62665</v>
      </c>
      <c r="W183" t="s">
        <v>42988</v>
      </c>
      <c r="X183" t="s">
        <v>47312</v>
      </c>
    </row>
    <row r="184" spans="1:24">
      <c r="A184">
        <f>HYPERLINK("https://www.philgeps.gov.ph/GEPSNONPILOT/Tender/SplashBidNoticeAbstractUI.aspx?menuIndex=3&amp;refID=7192894&amp;Result=3","7192894")</f>
        <v>0</v>
      </c>
      <c r="B184" t="s">
        <v>66</v>
      </c>
      <c r="C184" t="s">
        <v>4086</v>
      </c>
      <c r="D184" t="s">
        <v>19010</v>
      </c>
      <c r="E184" t="s">
        <v>19272</v>
      </c>
      <c r="F184" t="s">
        <v>32606</v>
      </c>
      <c r="G184" t="s">
        <v>32614</v>
      </c>
      <c r="H184" t="s">
        <v>14201</v>
      </c>
      <c r="I184" t="s">
        <v>6993</v>
      </c>
      <c r="J184" t="s">
        <v>32916</v>
      </c>
      <c r="K184" t="s">
        <v>42636</v>
      </c>
      <c r="M184" t="s">
        <v>43009</v>
      </c>
      <c r="N184" t="s">
        <v>47304</v>
      </c>
      <c r="O184" t="s">
        <v>47305</v>
      </c>
      <c r="P184">
        <v>0</v>
      </c>
      <c r="Q184">
        <v>3</v>
      </c>
      <c r="R184" t="s">
        <v>47306</v>
      </c>
      <c r="S184" t="s">
        <v>47414</v>
      </c>
      <c r="T184" t="s">
        <v>49003</v>
      </c>
      <c r="U184" t="s">
        <v>49719</v>
      </c>
      <c r="W184" t="s">
        <v>43009</v>
      </c>
      <c r="X184" t="s">
        <v>47312</v>
      </c>
    </row>
    <row r="185" spans="1:24">
      <c r="A185">
        <f>HYPERLINK("https://www.philgeps.gov.ph/GEPSNONPILOT/Tender/SplashBidNoticeAbstractUI.aspx?menuIndex=3&amp;refID=7192861&amp;Result=3","7192861")</f>
        <v>0</v>
      </c>
      <c r="B185" t="s">
        <v>66</v>
      </c>
      <c r="C185" t="s">
        <v>4087</v>
      </c>
      <c r="D185" t="s">
        <v>19010</v>
      </c>
      <c r="E185" t="s">
        <v>19273</v>
      </c>
      <c r="F185" t="s">
        <v>32606</v>
      </c>
      <c r="G185" t="s">
        <v>32617</v>
      </c>
      <c r="H185" t="s">
        <v>14201</v>
      </c>
      <c r="I185" t="s">
        <v>4114</v>
      </c>
      <c r="J185" t="s">
        <v>32917</v>
      </c>
      <c r="K185" t="s">
        <v>42636</v>
      </c>
      <c r="M185" t="s">
        <v>42963</v>
      </c>
      <c r="N185" t="s">
        <v>47304</v>
      </c>
      <c r="O185" t="s">
        <v>47305</v>
      </c>
      <c r="P185">
        <v>0</v>
      </c>
      <c r="Q185">
        <v>4</v>
      </c>
      <c r="R185" t="s">
        <v>47306</v>
      </c>
      <c r="S185" t="s">
        <v>47414</v>
      </c>
      <c r="T185" t="s">
        <v>49003</v>
      </c>
      <c r="U185" t="s">
        <v>49719</v>
      </c>
      <c r="W185" t="s">
        <v>42963</v>
      </c>
      <c r="X185" t="s">
        <v>47312</v>
      </c>
    </row>
    <row r="186" spans="1:24">
      <c r="A186">
        <f>HYPERLINK("https://www.philgeps.gov.ph/GEPSNONPILOT/Tender/SplashBidNoticeAbstractUI.aspx?menuIndex=3&amp;refID=7192399&amp;Result=3","7192399")</f>
        <v>0</v>
      </c>
      <c r="B186" t="s">
        <v>90</v>
      </c>
      <c r="C186" t="s">
        <v>4088</v>
      </c>
      <c r="D186" t="s">
        <v>18988</v>
      </c>
      <c r="E186" t="s">
        <v>19274</v>
      </c>
      <c r="F186" t="s">
        <v>32606</v>
      </c>
      <c r="G186" t="s">
        <v>32613</v>
      </c>
      <c r="H186" t="s">
        <v>14201</v>
      </c>
      <c r="I186" t="s">
        <v>32629</v>
      </c>
      <c r="J186" t="s">
        <v>32918</v>
      </c>
      <c r="K186" t="s">
        <v>42624</v>
      </c>
      <c r="M186" t="s">
        <v>42988</v>
      </c>
      <c r="N186" t="s">
        <v>47304</v>
      </c>
      <c r="O186" t="s">
        <v>47305</v>
      </c>
      <c r="P186">
        <v>0</v>
      </c>
      <c r="Q186">
        <v>1</v>
      </c>
      <c r="R186" t="s">
        <v>47306</v>
      </c>
      <c r="S186" t="s">
        <v>47414</v>
      </c>
      <c r="T186" t="s">
        <v>49018</v>
      </c>
      <c r="U186" t="s">
        <v>49720</v>
      </c>
      <c r="V186" t="s">
        <v>62665</v>
      </c>
      <c r="W186" t="s">
        <v>42988</v>
      </c>
      <c r="X186" t="s">
        <v>47312</v>
      </c>
    </row>
    <row r="187" spans="1:24">
      <c r="A187">
        <f>HYPERLINK("https://www.philgeps.gov.ph/GEPSNONPILOT/Tender/SplashBidNoticeAbstractUI.aspx?menuIndex=3&amp;refID=7193276&amp;Result=3","7193276")</f>
        <v>0</v>
      </c>
      <c r="B187" t="s">
        <v>110</v>
      </c>
      <c r="C187" t="s">
        <v>4089</v>
      </c>
      <c r="D187" t="s">
        <v>19025</v>
      </c>
      <c r="E187" t="s">
        <v>19275</v>
      </c>
      <c r="F187" t="s">
        <v>32606</v>
      </c>
      <c r="G187" t="s">
        <v>32613</v>
      </c>
      <c r="H187" t="s">
        <v>14201</v>
      </c>
      <c r="I187" t="s">
        <v>4678</v>
      </c>
      <c r="J187" t="s">
        <v>32767</v>
      </c>
      <c r="K187" t="s">
        <v>42636</v>
      </c>
      <c r="M187" t="s">
        <v>43010</v>
      </c>
      <c r="N187" t="s">
        <v>47304</v>
      </c>
      <c r="O187" t="s">
        <v>47305</v>
      </c>
      <c r="P187">
        <v>0</v>
      </c>
      <c r="Q187">
        <v>4</v>
      </c>
      <c r="R187" t="s">
        <v>47306</v>
      </c>
      <c r="S187" t="s">
        <v>47414</v>
      </c>
      <c r="T187" t="s">
        <v>48999</v>
      </c>
      <c r="U187" t="s">
        <v>49721</v>
      </c>
      <c r="W187" t="s">
        <v>43010</v>
      </c>
      <c r="X187" t="s">
        <v>47311</v>
      </c>
    </row>
    <row r="188" spans="1:24">
      <c r="A188">
        <f>HYPERLINK("https://www.philgeps.gov.ph/GEPSNONPILOT/Tender/SplashBidNoticeAbstractUI.aspx?menuIndex=3&amp;refID=7193205&amp;Result=3","7193205")</f>
        <v>0</v>
      </c>
      <c r="B188" t="s">
        <v>108</v>
      </c>
      <c r="C188" t="s">
        <v>4090</v>
      </c>
      <c r="D188" t="s">
        <v>18997</v>
      </c>
      <c r="E188" t="s">
        <v>19276</v>
      </c>
      <c r="F188" t="s">
        <v>32606</v>
      </c>
      <c r="G188" t="s">
        <v>32613</v>
      </c>
      <c r="H188" t="s">
        <v>14201</v>
      </c>
      <c r="I188" t="s">
        <v>6298</v>
      </c>
      <c r="J188" t="s">
        <v>32919</v>
      </c>
      <c r="K188" t="s">
        <v>42630</v>
      </c>
      <c r="M188" t="s">
        <v>43007</v>
      </c>
      <c r="N188" t="s">
        <v>47304</v>
      </c>
      <c r="O188" t="s">
        <v>47305</v>
      </c>
      <c r="P188">
        <v>0</v>
      </c>
      <c r="Q188">
        <v>0</v>
      </c>
      <c r="R188" t="s">
        <v>47306</v>
      </c>
      <c r="S188" t="s">
        <v>47414</v>
      </c>
      <c r="T188" t="s">
        <v>49002</v>
      </c>
      <c r="U188" t="s">
        <v>49722</v>
      </c>
      <c r="W188" t="s">
        <v>43007</v>
      </c>
      <c r="X188" t="s">
        <v>47311</v>
      </c>
    </row>
    <row r="189" spans="1:24">
      <c r="A189">
        <f>HYPERLINK("https://www.philgeps.gov.ph/GEPSNONPILOT/Tender/SplashBidNoticeAbstractUI.aspx?menuIndex=3&amp;refID=7192352&amp;Result=3","7192352")</f>
        <v>0</v>
      </c>
      <c r="B189" t="s">
        <v>111</v>
      </c>
      <c r="C189" t="s">
        <v>4091</v>
      </c>
      <c r="D189" t="s">
        <v>19030</v>
      </c>
      <c r="E189" t="s">
        <v>19277</v>
      </c>
      <c r="F189" t="s">
        <v>32606</v>
      </c>
      <c r="G189" t="s">
        <v>32613</v>
      </c>
      <c r="H189" t="s">
        <v>32623</v>
      </c>
      <c r="I189" t="s">
        <v>17648</v>
      </c>
      <c r="J189" t="s">
        <v>32920</v>
      </c>
      <c r="K189" t="s">
        <v>42639</v>
      </c>
      <c r="M189" t="s">
        <v>43011</v>
      </c>
      <c r="N189" t="s">
        <v>47304</v>
      </c>
      <c r="O189" t="s">
        <v>47305</v>
      </c>
      <c r="P189">
        <v>0</v>
      </c>
      <c r="Q189">
        <v>0</v>
      </c>
      <c r="R189" t="s">
        <v>47306</v>
      </c>
      <c r="S189" t="s">
        <v>47414</v>
      </c>
      <c r="T189" t="s">
        <v>49009</v>
      </c>
      <c r="U189" t="s">
        <v>49723</v>
      </c>
      <c r="W189" t="s">
        <v>43011</v>
      </c>
      <c r="X189" t="s">
        <v>47312</v>
      </c>
    </row>
    <row r="190" spans="1:24">
      <c r="A190">
        <f>HYPERLINK("https://www.philgeps.gov.ph/GEPSNONPILOT/Tender/SplashBidNoticeAbstractUI.aspx?menuIndex=3&amp;refID=7192026&amp;Result=3","7192026")</f>
        <v>0</v>
      </c>
      <c r="B190" t="s">
        <v>81</v>
      </c>
      <c r="C190" t="s">
        <v>4040</v>
      </c>
      <c r="D190" t="s">
        <v>18995</v>
      </c>
      <c r="E190" t="s">
        <v>19278</v>
      </c>
      <c r="F190" t="s">
        <v>32606</v>
      </c>
      <c r="G190" t="s">
        <v>32614</v>
      </c>
      <c r="H190" t="s">
        <v>14201</v>
      </c>
      <c r="I190" t="s">
        <v>7677</v>
      </c>
      <c r="J190" t="s">
        <v>32921</v>
      </c>
      <c r="K190" t="s">
        <v>42624</v>
      </c>
      <c r="M190" t="s">
        <v>42978</v>
      </c>
      <c r="N190" t="s">
        <v>47304</v>
      </c>
      <c r="O190" t="s">
        <v>47305</v>
      </c>
      <c r="P190">
        <v>0</v>
      </c>
      <c r="Q190">
        <v>1</v>
      </c>
      <c r="R190" t="s">
        <v>47306</v>
      </c>
      <c r="S190" t="s">
        <v>47414</v>
      </c>
      <c r="T190" t="s">
        <v>49014</v>
      </c>
      <c r="U190" t="s">
        <v>49724</v>
      </c>
      <c r="W190" t="s">
        <v>42978</v>
      </c>
      <c r="X190" t="s">
        <v>47312</v>
      </c>
    </row>
    <row r="191" spans="1:24">
      <c r="A191">
        <f>HYPERLINK("https://www.philgeps.gov.ph/GEPSNONPILOT/Tender/SplashBidNoticeAbstractUI.aspx?menuIndex=3&amp;refID=7192347&amp;Result=3","7192347")</f>
        <v>0</v>
      </c>
      <c r="B191" t="s">
        <v>112</v>
      </c>
      <c r="C191" t="s">
        <v>4092</v>
      </c>
      <c r="D191" t="s">
        <v>19013</v>
      </c>
      <c r="E191" t="s">
        <v>19147</v>
      </c>
      <c r="F191" t="s">
        <v>32606</v>
      </c>
      <c r="G191" t="s">
        <v>32613</v>
      </c>
      <c r="H191" t="s">
        <v>32623</v>
      </c>
      <c r="I191" t="s">
        <v>17648</v>
      </c>
      <c r="J191" t="s">
        <v>32922</v>
      </c>
      <c r="K191" t="s">
        <v>42655</v>
      </c>
      <c r="M191" t="s">
        <v>43012</v>
      </c>
      <c r="N191" t="s">
        <v>47304</v>
      </c>
      <c r="O191" t="s">
        <v>47305</v>
      </c>
      <c r="P191">
        <v>0</v>
      </c>
      <c r="Q191">
        <v>0</v>
      </c>
      <c r="R191" t="s">
        <v>47306</v>
      </c>
      <c r="S191" t="s">
        <v>47414</v>
      </c>
      <c r="T191" t="s">
        <v>49009</v>
      </c>
      <c r="U191" t="s">
        <v>49725</v>
      </c>
      <c r="V191" t="s">
        <v>62674</v>
      </c>
      <c r="W191" t="s">
        <v>43012</v>
      </c>
      <c r="X191" t="s">
        <v>47312</v>
      </c>
    </row>
    <row r="192" spans="1:24">
      <c r="A192">
        <f>HYPERLINK("https://www.philgeps.gov.ph/GEPSNONPILOT/Tender/SplashBidNoticeAbstractUI.aspx?menuIndex=3&amp;refID=7188211&amp;Result=3","7188211")</f>
        <v>0</v>
      </c>
      <c r="B192" t="s">
        <v>113</v>
      </c>
      <c r="C192" t="s">
        <v>4093</v>
      </c>
      <c r="D192" t="s">
        <v>19016</v>
      </c>
      <c r="E192" t="s">
        <v>19279</v>
      </c>
      <c r="F192" t="s">
        <v>32606</v>
      </c>
      <c r="G192" t="s">
        <v>32614</v>
      </c>
      <c r="H192" t="s">
        <v>14201</v>
      </c>
      <c r="I192" t="s">
        <v>4120</v>
      </c>
      <c r="J192" t="s">
        <v>32923</v>
      </c>
      <c r="K192" t="s">
        <v>42632</v>
      </c>
      <c r="M192" t="s">
        <v>43013</v>
      </c>
      <c r="N192" t="s">
        <v>47304</v>
      </c>
      <c r="O192" t="s">
        <v>47305</v>
      </c>
      <c r="P192">
        <v>0</v>
      </c>
      <c r="Q192">
        <v>2</v>
      </c>
      <c r="R192" t="s">
        <v>47306</v>
      </c>
      <c r="S192" t="s">
        <v>47414</v>
      </c>
      <c r="T192" t="s">
        <v>49014</v>
      </c>
      <c r="U192" t="s">
        <v>49726</v>
      </c>
      <c r="W192" t="s">
        <v>43013</v>
      </c>
      <c r="X192" t="s">
        <v>47313</v>
      </c>
    </row>
    <row r="193" spans="1:24">
      <c r="A193">
        <f>HYPERLINK("https://www.philgeps.gov.ph/GEPSNONPILOT/Tender/SplashBidNoticeAbstractUI.aspx?menuIndex=3&amp;refID=7187799&amp;Result=3","7187799")</f>
        <v>0</v>
      </c>
      <c r="B193" t="s">
        <v>49</v>
      </c>
      <c r="C193" t="s">
        <v>4094</v>
      </c>
      <c r="D193" t="s">
        <v>19004</v>
      </c>
      <c r="E193" t="s">
        <v>19280</v>
      </c>
      <c r="F193" t="s">
        <v>32606</v>
      </c>
      <c r="G193" t="s">
        <v>32614</v>
      </c>
      <c r="H193" t="s">
        <v>14201</v>
      </c>
      <c r="I193" t="s">
        <v>6298</v>
      </c>
      <c r="J193" t="s">
        <v>32924</v>
      </c>
      <c r="K193" t="s">
        <v>42630</v>
      </c>
      <c r="M193" t="s">
        <v>42946</v>
      </c>
      <c r="N193" t="s">
        <v>47304</v>
      </c>
      <c r="O193" t="s">
        <v>47305</v>
      </c>
      <c r="P193">
        <v>0</v>
      </c>
      <c r="Q193">
        <v>0</v>
      </c>
      <c r="R193" t="s">
        <v>47306</v>
      </c>
      <c r="S193" t="s">
        <v>47414</v>
      </c>
      <c r="T193" t="s">
        <v>48980</v>
      </c>
      <c r="U193" t="s">
        <v>49727</v>
      </c>
      <c r="V193" t="s">
        <v>62653</v>
      </c>
      <c r="W193" t="s">
        <v>42946</v>
      </c>
      <c r="X193" t="s">
        <v>47313</v>
      </c>
    </row>
    <row r="194" spans="1:24">
      <c r="A194">
        <f>HYPERLINK("https://www.philgeps.gov.ph/GEPSNONPILOT/Tender/SplashBidNoticeAbstractUI.aspx?menuIndex=3&amp;refID=7187704&amp;Result=3","7187704")</f>
        <v>0</v>
      </c>
      <c r="B194" t="s">
        <v>49</v>
      </c>
      <c r="C194" t="s">
        <v>4095</v>
      </c>
      <c r="D194" t="s">
        <v>19004</v>
      </c>
      <c r="E194" t="s">
        <v>19281</v>
      </c>
      <c r="F194" t="s">
        <v>32606</v>
      </c>
      <c r="G194" t="s">
        <v>32617</v>
      </c>
      <c r="H194" t="s">
        <v>14201</v>
      </c>
      <c r="I194" t="s">
        <v>6014</v>
      </c>
      <c r="J194" t="s">
        <v>32925</v>
      </c>
      <c r="K194" t="s">
        <v>42630</v>
      </c>
      <c r="M194" t="s">
        <v>42946</v>
      </c>
      <c r="N194" t="s">
        <v>47304</v>
      </c>
      <c r="O194" t="s">
        <v>47305</v>
      </c>
      <c r="P194">
        <v>0</v>
      </c>
      <c r="Q194">
        <v>4</v>
      </c>
      <c r="R194" t="s">
        <v>47306</v>
      </c>
      <c r="S194" t="s">
        <v>47414</v>
      </c>
      <c r="T194" t="s">
        <v>48980</v>
      </c>
      <c r="U194" t="s">
        <v>49728</v>
      </c>
      <c r="V194" t="s">
        <v>62653</v>
      </c>
      <c r="W194" t="s">
        <v>42946</v>
      </c>
      <c r="X194" t="s">
        <v>47313</v>
      </c>
    </row>
    <row r="195" spans="1:24">
      <c r="A195">
        <f>HYPERLINK("https://www.philgeps.gov.ph/GEPSNONPILOT/Tender/SplashBidNoticeAbstractUI.aspx?menuIndex=3&amp;refID=7192411&amp;Result=3","7192411")</f>
        <v>0</v>
      </c>
      <c r="B195" t="s">
        <v>34</v>
      </c>
      <c r="C195" t="s">
        <v>4096</v>
      </c>
      <c r="D195" t="s">
        <v>18993</v>
      </c>
      <c r="E195" t="s">
        <v>19282</v>
      </c>
      <c r="F195" t="s">
        <v>32606</v>
      </c>
      <c r="G195" t="s">
        <v>32613</v>
      </c>
      <c r="H195" t="s">
        <v>32623</v>
      </c>
      <c r="I195" t="s">
        <v>17648</v>
      </c>
      <c r="J195" t="s">
        <v>32772</v>
      </c>
      <c r="K195" t="s">
        <v>42636</v>
      </c>
      <c r="M195" t="s">
        <v>42931</v>
      </c>
      <c r="N195" t="s">
        <v>47304</v>
      </c>
      <c r="O195" t="s">
        <v>47305</v>
      </c>
      <c r="P195">
        <v>0</v>
      </c>
      <c r="Q195">
        <v>0</v>
      </c>
      <c r="R195" t="s">
        <v>47306</v>
      </c>
      <c r="S195" t="s">
        <v>47414</v>
      </c>
      <c r="T195" t="s">
        <v>48981</v>
      </c>
      <c r="U195" t="s">
        <v>49729</v>
      </c>
      <c r="W195" t="s">
        <v>42931</v>
      </c>
      <c r="X195" t="s">
        <v>47312</v>
      </c>
    </row>
    <row r="196" spans="1:24">
      <c r="A196">
        <f>HYPERLINK("https://www.philgeps.gov.ph/GEPSNONPILOT/Tender/SplashBidNoticeAbstractUI.aspx?menuIndex=3&amp;refID=7193412&amp;Result=3","7193412")</f>
        <v>0</v>
      </c>
      <c r="B196" t="s">
        <v>39</v>
      </c>
      <c r="C196" t="s">
        <v>4097</v>
      </c>
      <c r="D196" t="s">
        <v>18990</v>
      </c>
      <c r="E196" t="s">
        <v>19283</v>
      </c>
      <c r="F196" t="s">
        <v>32606</v>
      </c>
      <c r="G196" t="s">
        <v>32613</v>
      </c>
      <c r="H196" t="s">
        <v>14201</v>
      </c>
      <c r="I196" t="s">
        <v>32640</v>
      </c>
      <c r="J196" t="s">
        <v>32926</v>
      </c>
      <c r="K196" t="s">
        <v>42624</v>
      </c>
      <c r="M196" t="s">
        <v>43005</v>
      </c>
      <c r="N196" t="s">
        <v>47304</v>
      </c>
      <c r="O196" t="s">
        <v>47305</v>
      </c>
      <c r="P196">
        <v>0</v>
      </c>
      <c r="Q196">
        <v>2</v>
      </c>
      <c r="R196" t="s">
        <v>47306</v>
      </c>
      <c r="S196" t="s">
        <v>47414</v>
      </c>
      <c r="T196" t="s">
        <v>49018</v>
      </c>
      <c r="U196" t="s">
        <v>49730</v>
      </c>
      <c r="W196" t="s">
        <v>64422</v>
      </c>
      <c r="X196" t="s">
        <v>47311</v>
      </c>
    </row>
    <row r="197" spans="1:24">
      <c r="A197">
        <f>HYPERLINK("https://www.philgeps.gov.ph/GEPSNONPILOT/Tender/SplashBidNoticeAbstractUI.aspx?menuIndex=3&amp;refID=7192377&amp;Result=3","7192377")</f>
        <v>0</v>
      </c>
      <c r="B197" t="s">
        <v>90</v>
      </c>
      <c r="C197" t="s">
        <v>4098</v>
      </c>
      <c r="D197" t="s">
        <v>18988</v>
      </c>
      <c r="E197" t="s">
        <v>19284</v>
      </c>
      <c r="F197" t="s">
        <v>32606</v>
      </c>
      <c r="G197" t="s">
        <v>32613</v>
      </c>
      <c r="H197" t="s">
        <v>14201</v>
      </c>
      <c r="I197" t="s">
        <v>32640</v>
      </c>
      <c r="J197" t="s">
        <v>32927</v>
      </c>
      <c r="K197" t="s">
        <v>42624</v>
      </c>
      <c r="M197" t="s">
        <v>42988</v>
      </c>
      <c r="N197" t="s">
        <v>47304</v>
      </c>
      <c r="O197" t="s">
        <v>47305</v>
      </c>
      <c r="P197">
        <v>0</v>
      </c>
      <c r="Q197">
        <v>1</v>
      </c>
      <c r="R197" t="s">
        <v>47306</v>
      </c>
      <c r="S197" t="s">
        <v>47414</v>
      </c>
      <c r="T197" t="s">
        <v>49018</v>
      </c>
      <c r="U197" t="s">
        <v>49731</v>
      </c>
      <c r="V197" t="s">
        <v>62665</v>
      </c>
      <c r="W197" t="s">
        <v>42988</v>
      </c>
      <c r="X197" t="s">
        <v>47312</v>
      </c>
    </row>
    <row r="198" spans="1:24">
      <c r="A198">
        <f>HYPERLINK("https://www.philgeps.gov.ph/GEPSNONPILOT/Tender/SplashBidNoticeAbstractUI.aspx?menuIndex=3&amp;refID=7188206&amp;Result=3","7188206")</f>
        <v>0</v>
      </c>
      <c r="B198" t="s">
        <v>114</v>
      </c>
      <c r="C198" t="s">
        <v>4099</v>
      </c>
      <c r="E198" t="s">
        <v>19285</v>
      </c>
      <c r="F198" t="s">
        <v>32606</v>
      </c>
      <c r="G198" t="s">
        <v>32613</v>
      </c>
      <c r="H198" t="s">
        <v>32624</v>
      </c>
      <c r="I198" t="s">
        <v>6993</v>
      </c>
      <c r="J198" t="s">
        <v>32928</v>
      </c>
      <c r="K198" t="s">
        <v>42630</v>
      </c>
      <c r="M198" t="s">
        <v>43014</v>
      </c>
      <c r="N198" t="s">
        <v>47304</v>
      </c>
      <c r="O198" t="s">
        <v>47305</v>
      </c>
      <c r="P198">
        <v>0</v>
      </c>
      <c r="Q198">
        <v>0</v>
      </c>
      <c r="R198" t="s">
        <v>47306</v>
      </c>
      <c r="S198" t="s">
        <v>47414</v>
      </c>
      <c r="T198" t="s">
        <v>48987</v>
      </c>
      <c r="U198" t="s">
        <v>49732</v>
      </c>
      <c r="W198" t="s">
        <v>43014</v>
      </c>
      <c r="X198" t="s">
        <v>47313</v>
      </c>
    </row>
    <row r="199" spans="1:24">
      <c r="A199">
        <f>HYPERLINK("https://www.philgeps.gov.ph/GEPSNONPILOT/Tender/SplashBidNoticeAbstractUI.aspx?menuIndex=3&amp;refID=7187784&amp;Result=3","7187784")</f>
        <v>0</v>
      </c>
      <c r="B199" t="s">
        <v>49</v>
      </c>
      <c r="C199" t="s">
        <v>4100</v>
      </c>
      <c r="D199" t="s">
        <v>19004</v>
      </c>
      <c r="E199" t="s">
        <v>19286</v>
      </c>
      <c r="F199" t="s">
        <v>32606</v>
      </c>
      <c r="G199" t="s">
        <v>32614</v>
      </c>
      <c r="H199" t="s">
        <v>14201</v>
      </c>
      <c r="I199" t="s">
        <v>32634</v>
      </c>
      <c r="J199" t="s">
        <v>32929</v>
      </c>
      <c r="K199" t="s">
        <v>42631</v>
      </c>
      <c r="M199" t="s">
        <v>42946</v>
      </c>
      <c r="N199" t="s">
        <v>47304</v>
      </c>
      <c r="O199" t="s">
        <v>47305</v>
      </c>
      <c r="P199">
        <v>0</v>
      </c>
      <c r="Q199">
        <v>3</v>
      </c>
      <c r="R199" t="s">
        <v>47306</v>
      </c>
      <c r="S199" t="s">
        <v>47414</v>
      </c>
      <c r="T199" t="s">
        <v>48980</v>
      </c>
      <c r="U199" t="s">
        <v>49733</v>
      </c>
      <c r="V199" t="s">
        <v>62653</v>
      </c>
      <c r="W199" t="s">
        <v>42946</v>
      </c>
      <c r="X199" t="s">
        <v>47313</v>
      </c>
    </row>
    <row r="200" spans="1:24">
      <c r="A200">
        <f>HYPERLINK("https://www.philgeps.gov.ph/GEPSNONPILOT/Tender/SplashBidNoticeAbstractUI.aspx?menuIndex=3&amp;refID=7174977&amp;Result=3","7174977")</f>
        <v>0</v>
      </c>
      <c r="B200" t="s">
        <v>115</v>
      </c>
      <c r="C200" t="s">
        <v>4101</v>
      </c>
      <c r="D200" t="s">
        <v>19031</v>
      </c>
      <c r="E200" t="s">
        <v>19287</v>
      </c>
      <c r="F200" t="s">
        <v>32606</v>
      </c>
      <c r="G200" t="s">
        <v>32613</v>
      </c>
      <c r="H200" t="s">
        <v>32625</v>
      </c>
      <c r="I200" t="s">
        <v>32625</v>
      </c>
      <c r="J200" t="s">
        <v>32930</v>
      </c>
      <c r="K200" t="s">
        <v>42656</v>
      </c>
      <c r="M200" t="s">
        <v>43015</v>
      </c>
      <c r="N200" t="s">
        <v>47304</v>
      </c>
      <c r="O200" t="s">
        <v>47305</v>
      </c>
      <c r="P200">
        <v>0</v>
      </c>
      <c r="Q200">
        <v>2</v>
      </c>
      <c r="R200" t="s">
        <v>47306</v>
      </c>
      <c r="S200" t="s">
        <v>47414</v>
      </c>
      <c r="T200" t="s">
        <v>49026</v>
      </c>
      <c r="U200" t="s">
        <v>49734</v>
      </c>
      <c r="V200" t="s">
        <v>62675</v>
      </c>
      <c r="W200" t="s">
        <v>43015</v>
      </c>
      <c r="X200" t="s">
        <v>47319</v>
      </c>
    </row>
    <row r="201" spans="1:24">
      <c r="A201">
        <f>HYPERLINK("https://www.philgeps.gov.ph/GEPSNONPILOT/Tender/SplashBidNoticeAbstractUI.aspx?menuIndex=3&amp;refID=7193614&amp;Result=3","7193614")</f>
        <v>0</v>
      </c>
      <c r="B201" t="s">
        <v>101</v>
      </c>
      <c r="C201" t="s">
        <v>4102</v>
      </c>
      <c r="D201" t="s">
        <v>18993</v>
      </c>
      <c r="E201" t="s">
        <v>19288</v>
      </c>
      <c r="F201" t="s">
        <v>32606</v>
      </c>
      <c r="G201" t="s">
        <v>32617</v>
      </c>
      <c r="H201" t="s">
        <v>14201</v>
      </c>
      <c r="I201" t="s">
        <v>8606</v>
      </c>
      <c r="J201" t="s">
        <v>32931</v>
      </c>
      <c r="K201" t="s">
        <v>42623</v>
      </c>
      <c r="M201" t="s">
        <v>43016</v>
      </c>
      <c r="N201" t="s">
        <v>47304</v>
      </c>
      <c r="O201" t="s">
        <v>47305</v>
      </c>
      <c r="P201">
        <v>0</v>
      </c>
      <c r="Q201">
        <v>1</v>
      </c>
      <c r="R201" t="s">
        <v>47306</v>
      </c>
      <c r="S201" t="s">
        <v>47414</v>
      </c>
      <c r="T201" t="s">
        <v>48980</v>
      </c>
      <c r="U201" t="s">
        <v>49735</v>
      </c>
      <c r="W201" t="s">
        <v>43016</v>
      </c>
      <c r="X201" t="s">
        <v>47311</v>
      </c>
    </row>
    <row r="202" spans="1:24">
      <c r="A202">
        <f>HYPERLINK("https://www.philgeps.gov.ph/GEPSNONPILOT/Tender/SplashBidNoticeAbstractUI.aspx?menuIndex=3&amp;refID=7192077&amp;Result=3","7192077")</f>
        <v>0</v>
      </c>
      <c r="B202" t="s">
        <v>81</v>
      </c>
      <c r="C202" t="s">
        <v>4040</v>
      </c>
      <c r="D202" t="s">
        <v>18995</v>
      </c>
      <c r="E202" t="s">
        <v>19289</v>
      </c>
      <c r="F202" t="s">
        <v>32606</v>
      </c>
      <c r="G202" t="s">
        <v>32614</v>
      </c>
      <c r="H202" t="s">
        <v>14201</v>
      </c>
      <c r="I202" t="s">
        <v>7677</v>
      </c>
      <c r="J202" t="s">
        <v>32932</v>
      </c>
      <c r="K202" t="s">
        <v>42624</v>
      </c>
      <c r="M202" t="s">
        <v>42978</v>
      </c>
      <c r="N202" t="s">
        <v>47304</v>
      </c>
      <c r="O202" t="s">
        <v>47305</v>
      </c>
      <c r="P202">
        <v>0</v>
      </c>
      <c r="Q202">
        <v>2</v>
      </c>
      <c r="R202" t="s">
        <v>47306</v>
      </c>
      <c r="S202" t="s">
        <v>47414</v>
      </c>
      <c r="T202" t="s">
        <v>49014</v>
      </c>
      <c r="U202" t="s">
        <v>49736</v>
      </c>
      <c r="W202" t="s">
        <v>42978</v>
      </c>
      <c r="X202" t="s">
        <v>47312</v>
      </c>
    </row>
    <row r="203" spans="1:24">
      <c r="A203">
        <f>HYPERLINK("https://www.philgeps.gov.ph/GEPSNONPILOT/Tender/SplashBidNoticeAbstractUI.aspx?menuIndex=3&amp;refID=7193474&amp;Result=3","7193474")</f>
        <v>0</v>
      </c>
      <c r="B203" t="s">
        <v>106</v>
      </c>
      <c r="C203" t="s">
        <v>4103</v>
      </c>
      <c r="E203" t="s">
        <v>19290</v>
      </c>
      <c r="F203" t="s">
        <v>32606</v>
      </c>
      <c r="G203" t="s">
        <v>32618</v>
      </c>
      <c r="H203" t="s">
        <v>14201</v>
      </c>
      <c r="I203" t="s">
        <v>5233</v>
      </c>
      <c r="J203" t="s">
        <v>32933</v>
      </c>
      <c r="K203" t="s">
        <v>42636</v>
      </c>
      <c r="M203" t="s">
        <v>43004</v>
      </c>
      <c r="N203" t="s">
        <v>47304</v>
      </c>
      <c r="O203" t="s">
        <v>47305</v>
      </c>
      <c r="P203">
        <v>0</v>
      </c>
      <c r="Q203">
        <v>0</v>
      </c>
      <c r="R203" t="s">
        <v>47306</v>
      </c>
      <c r="S203" t="s">
        <v>47414</v>
      </c>
      <c r="T203" t="s">
        <v>49027</v>
      </c>
      <c r="U203" t="s">
        <v>49737</v>
      </c>
      <c r="V203" t="s">
        <v>62671</v>
      </c>
      <c r="W203" t="s">
        <v>43004</v>
      </c>
      <c r="X203" t="s">
        <v>47311</v>
      </c>
    </row>
    <row r="204" spans="1:24">
      <c r="A204">
        <f>HYPERLINK("https://www.philgeps.gov.ph/GEPSNONPILOT/Tender/SplashBidNoticeAbstractUI.aspx?menuIndex=3&amp;refID=7193607&amp;Result=3","7193607")</f>
        <v>0</v>
      </c>
      <c r="B204" t="s">
        <v>101</v>
      </c>
      <c r="C204" t="s">
        <v>4104</v>
      </c>
      <c r="D204" t="s">
        <v>18993</v>
      </c>
      <c r="E204" t="s">
        <v>19291</v>
      </c>
      <c r="F204" t="s">
        <v>32606</v>
      </c>
      <c r="G204" t="s">
        <v>32617</v>
      </c>
      <c r="H204" t="s">
        <v>14201</v>
      </c>
      <c r="I204" t="s">
        <v>4114</v>
      </c>
      <c r="J204" t="s">
        <v>32934</v>
      </c>
      <c r="K204" t="s">
        <v>42631</v>
      </c>
      <c r="M204" t="s">
        <v>43016</v>
      </c>
      <c r="N204" t="s">
        <v>47304</v>
      </c>
      <c r="O204" t="s">
        <v>47305</v>
      </c>
      <c r="P204">
        <v>0</v>
      </c>
      <c r="Q204">
        <v>12</v>
      </c>
      <c r="R204" t="s">
        <v>47306</v>
      </c>
      <c r="S204" t="s">
        <v>47414</v>
      </c>
      <c r="T204" t="s">
        <v>48980</v>
      </c>
      <c r="U204" t="s">
        <v>49695</v>
      </c>
      <c r="W204" t="s">
        <v>43016</v>
      </c>
      <c r="X204" t="s">
        <v>47311</v>
      </c>
    </row>
    <row r="205" spans="1:24">
      <c r="A205">
        <f>HYPERLINK("https://www.philgeps.gov.ph/GEPSNONPILOT/Tender/SplashBidNoticeAbstractUI.aspx?menuIndex=3&amp;refID=7193602&amp;Result=3","7193602")</f>
        <v>0</v>
      </c>
      <c r="B205" t="s">
        <v>101</v>
      </c>
      <c r="C205" t="s">
        <v>4105</v>
      </c>
      <c r="D205" t="s">
        <v>18993</v>
      </c>
      <c r="E205" t="s">
        <v>19292</v>
      </c>
      <c r="F205" t="s">
        <v>32606</v>
      </c>
      <c r="G205" t="s">
        <v>32617</v>
      </c>
      <c r="H205" t="s">
        <v>14201</v>
      </c>
      <c r="I205" t="s">
        <v>4114</v>
      </c>
      <c r="J205" t="s">
        <v>32935</v>
      </c>
      <c r="K205" t="s">
        <v>42631</v>
      </c>
      <c r="M205" t="s">
        <v>43016</v>
      </c>
      <c r="N205" t="s">
        <v>47304</v>
      </c>
      <c r="O205" t="s">
        <v>47305</v>
      </c>
      <c r="P205">
        <v>0</v>
      </c>
      <c r="Q205">
        <v>5</v>
      </c>
      <c r="R205" t="s">
        <v>47306</v>
      </c>
      <c r="S205" t="s">
        <v>47414</v>
      </c>
      <c r="T205" t="s">
        <v>48980</v>
      </c>
      <c r="U205" t="s">
        <v>49695</v>
      </c>
      <c r="W205" t="s">
        <v>43016</v>
      </c>
      <c r="X205" t="s">
        <v>47311</v>
      </c>
    </row>
    <row r="206" spans="1:24">
      <c r="A206">
        <f>HYPERLINK("https://www.philgeps.gov.ph/GEPSNONPILOT/Tender/SplashBidNoticeAbstractUI.aspx?menuIndex=3&amp;refID=7193598&amp;Result=3","7193598")</f>
        <v>0</v>
      </c>
      <c r="B206" t="s">
        <v>101</v>
      </c>
      <c r="C206" t="s">
        <v>4106</v>
      </c>
      <c r="D206" t="s">
        <v>18993</v>
      </c>
      <c r="E206" t="s">
        <v>19293</v>
      </c>
      <c r="F206" t="s">
        <v>32606</v>
      </c>
      <c r="G206" t="s">
        <v>32614</v>
      </c>
      <c r="H206" t="s">
        <v>14201</v>
      </c>
      <c r="I206" t="s">
        <v>32656</v>
      </c>
      <c r="J206" t="s">
        <v>32936</v>
      </c>
      <c r="K206" t="s">
        <v>42631</v>
      </c>
      <c r="M206" t="s">
        <v>43016</v>
      </c>
      <c r="N206" t="s">
        <v>47304</v>
      </c>
      <c r="O206" t="s">
        <v>47305</v>
      </c>
      <c r="P206">
        <v>0</v>
      </c>
      <c r="Q206">
        <v>4</v>
      </c>
      <c r="R206" t="s">
        <v>47306</v>
      </c>
      <c r="S206" t="s">
        <v>47414</v>
      </c>
      <c r="T206" t="s">
        <v>48980</v>
      </c>
      <c r="U206" t="s">
        <v>49738</v>
      </c>
      <c r="W206" t="s">
        <v>43016</v>
      </c>
      <c r="X206" t="s">
        <v>47311</v>
      </c>
    </row>
    <row r="207" spans="1:24">
      <c r="A207">
        <f>HYPERLINK("https://www.philgeps.gov.ph/GEPSNONPILOT/Tender/SplashBidNoticeAbstractUI.aspx?menuIndex=3&amp;refID=7193577&amp;Result=3","7193577")</f>
        <v>0</v>
      </c>
      <c r="B207" t="s">
        <v>116</v>
      </c>
      <c r="C207" t="s">
        <v>4107</v>
      </c>
      <c r="D207" t="s">
        <v>19024</v>
      </c>
      <c r="E207" t="s">
        <v>19294</v>
      </c>
      <c r="F207" t="s">
        <v>32606</v>
      </c>
      <c r="G207" t="s">
        <v>32613</v>
      </c>
      <c r="H207" t="s">
        <v>14201</v>
      </c>
      <c r="I207" t="s">
        <v>32631</v>
      </c>
      <c r="J207" t="s">
        <v>32937</v>
      </c>
      <c r="K207" t="s">
        <v>42623</v>
      </c>
      <c r="M207" t="s">
        <v>43017</v>
      </c>
      <c r="N207" t="s">
        <v>47304</v>
      </c>
      <c r="O207" t="s">
        <v>47305</v>
      </c>
      <c r="P207">
        <v>0</v>
      </c>
      <c r="Q207">
        <v>0</v>
      </c>
      <c r="R207" t="s">
        <v>47306</v>
      </c>
      <c r="S207" t="s">
        <v>47414</v>
      </c>
      <c r="T207" t="s">
        <v>49009</v>
      </c>
      <c r="U207" t="s">
        <v>49739</v>
      </c>
      <c r="W207" t="s">
        <v>43017</v>
      </c>
      <c r="X207" t="s">
        <v>47311</v>
      </c>
    </row>
    <row r="208" spans="1:24">
      <c r="A208">
        <f>HYPERLINK("https://www.philgeps.gov.ph/GEPSNONPILOT/Tender/SplashBidNoticeAbstractUI.aspx?menuIndex=3&amp;refID=7193570&amp;Result=3","7193570")</f>
        <v>0</v>
      </c>
      <c r="B208" t="s">
        <v>117</v>
      </c>
      <c r="C208" t="s">
        <v>4108</v>
      </c>
      <c r="D208" t="s">
        <v>19024</v>
      </c>
      <c r="E208" t="s">
        <v>19295</v>
      </c>
      <c r="F208" t="s">
        <v>32606</v>
      </c>
      <c r="G208" t="s">
        <v>32613</v>
      </c>
      <c r="H208" t="s">
        <v>14201</v>
      </c>
      <c r="I208" t="s">
        <v>32631</v>
      </c>
      <c r="J208" t="s">
        <v>32938</v>
      </c>
      <c r="K208" t="s">
        <v>42623</v>
      </c>
      <c r="M208" t="s">
        <v>43018</v>
      </c>
      <c r="N208" t="s">
        <v>47304</v>
      </c>
      <c r="O208" t="s">
        <v>47305</v>
      </c>
      <c r="P208">
        <v>0</v>
      </c>
      <c r="Q208">
        <v>0</v>
      </c>
      <c r="R208" t="s">
        <v>47306</v>
      </c>
      <c r="S208" t="s">
        <v>47414</v>
      </c>
      <c r="T208" t="s">
        <v>49009</v>
      </c>
      <c r="U208" t="s">
        <v>49740</v>
      </c>
      <c r="W208" t="s">
        <v>43018</v>
      </c>
      <c r="X208" t="s">
        <v>47311</v>
      </c>
    </row>
    <row r="209" spans="1:24">
      <c r="A209">
        <f>HYPERLINK("https://www.philgeps.gov.ph/GEPSNONPILOT/Tender/SplashBidNoticeAbstractUI.aspx?menuIndex=3&amp;refID=7193522&amp;Result=3","7193522")</f>
        <v>0</v>
      </c>
      <c r="B209" t="s">
        <v>118</v>
      </c>
      <c r="C209" t="s">
        <v>4109</v>
      </c>
      <c r="D209" t="s">
        <v>19024</v>
      </c>
      <c r="E209" t="s">
        <v>19296</v>
      </c>
      <c r="F209" t="s">
        <v>32606</v>
      </c>
      <c r="G209" t="s">
        <v>32613</v>
      </c>
      <c r="H209" t="s">
        <v>14201</v>
      </c>
      <c r="I209" t="s">
        <v>32631</v>
      </c>
      <c r="J209" t="s">
        <v>32939</v>
      </c>
      <c r="K209" t="s">
        <v>42623</v>
      </c>
      <c r="M209" t="s">
        <v>43019</v>
      </c>
      <c r="N209" t="s">
        <v>47304</v>
      </c>
      <c r="O209" t="s">
        <v>47305</v>
      </c>
      <c r="P209">
        <v>0</v>
      </c>
      <c r="Q209">
        <v>0</v>
      </c>
      <c r="R209" t="s">
        <v>47306</v>
      </c>
      <c r="S209" t="s">
        <v>47414</v>
      </c>
      <c r="T209" t="s">
        <v>49009</v>
      </c>
      <c r="U209" t="s">
        <v>49741</v>
      </c>
      <c r="W209" t="s">
        <v>43019</v>
      </c>
      <c r="X209" t="s">
        <v>47311</v>
      </c>
    </row>
    <row r="210" spans="1:24">
      <c r="A210">
        <f>HYPERLINK("https://www.philgeps.gov.ph/GEPSNONPILOT/Tender/SplashBidNoticeAbstractUI.aspx?menuIndex=3&amp;refID=7193509&amp;Result=3","7193509")</f>
        <v>0</v>
      </c>
      <c r="B210" t="s">
        <v>118</v>
      </c>
      <c r="C210" t="s">
        <v>4110</v>
      </c>
      <c r="D210" t="s">
        <v>19024</v>
      </c>
      <c r="E210" t="s">
        <v>19297</v>
      </c>
      <c r="F210" t="s">
        <v>32606</v>
      </c>
      <c r="G210" t="s">
        <v>32613</v>
      </c>
      <c r="H210" t="s">
        <v>14201</v>
      </c>
      <c r="I210" t="s">
        <v>32631</v>
      </c>
      <c r="J210" t="s">
        <v>32940</v>
      </c>
      <c r="K210" t="s">
        <v>42623</v>
      </c>
      <c r="M210" t="s">
        <v>43019</v>
      </c>
      <c r="N210" t="s">
        <v>47304</v>
      </c>
      <c r="O210" t="s">
        <v>47305</v>
      </c>
      <c r="P210">
        <v>0</v>
      </c>
      <c r="Q210">
        <v>0</v>
      </c>
      <c r="R210" t="s">
        <v>47306</v>
      </c>
      <c r="S210" t="s">
        <v>47414</v>
      </c>
      <c r="T210" t="s">
        <v>49009</v>
      </c>
      <c r="U210" t="s">
        <v>49742</v>
      </c>
      <c r="W210" t="s">
        <v>43019</v>
      </c>
      <c r="X210" t="s">
        <v>47311</v>
      </c>
    </row>
    <row r="211" spans="1:24">
      <c r="A211">
        <f>HYPERLINK("https://www.philgeps.gov.ph/GEPSNONPILOT/Tender/SplashBidNoticeAbstractUI.aspx?menuIndex=3&amp;refID=7193454&amp;Result=3","7193454")</f>
        <v>0</v>
      </c>
      <c r="B211" t="s">
        <v>39</v>
      </c>
      <c r="C211" t="s">
        <v>4111</v>
      </c>
      <c r="D211" t="s">
        <v>18990</v>
      </c>
      <c r="E211" t="s">
        <v>19298</v>
      </c>
      <c r="F211" t="s">
        <v>32606</v>
      </c>
      <c r="G211" t="s">
        <v>32613</v>
      </c>
      <c r="H211" t="s">
        <v>14201</v>
      </c>
      <c r="I211" t="s">
        <v>8606</v>
      </c>
      <c r="J211" t="s">
        <v>32752</v>
      </c>
      <c r="K211" t="s">
        <v>42624</v>
      </c>
      <c r="M211" t="s">
        <v>43005</v>
      </c>
      <c r="N211" t="s">
        <v>47304</v>
      </c>
      <c r="O211" t="s">
        <v>47305</v>
      </c>
      <c r="P211">
        <v>0</v>
      </c>
      <c r="Q211">
        <v>1</v>
      </c>
      <c r="R211" t="s">
        <v>47306</v>
      </c>
      <c r="S211" t="s">
        <v>47414</v>
      </c>
      <c r="T211" t="s">
        <v>49018</v>
      </c>
      <c r="U211" t="s">
        <v>49743</v>
      </c>
      <c r="W211" t="s">
        <v>64422</v>
      </c>
      <c r="X211" t="s">
        <v>47311</v>
      </c>
    </row>
    <row r="212" spans="1:24">
      <c r="A212">
        <f>HYPERLINK("https://www.philgeps.gov.ph/GEPSNONPILOT/Tender/SplashBidNoticeAbstractUI.aspx?menuIndex=3&amp;refID=7193843&amp;Result=3","7193843")</f>
        <v>0</v>
      </c>
      <c r="B212" t="s">
        <v>119</v>
      </c>
      <c r="C212" t="s">
        <v>4112</v>
      </c>
      <c r="D212" t="s">
        <v>19006</v>
      </c>
      <c r="E212" t="s">
        <v>19299</v>
      </c>
      <c r="F212" t="s">
        <v>32606</v>
      </c>
      <c r="G212" t="s">
        <v>32614</v>
      </c>
      <c r="H212" t="s">
        <v>14201</v>
      </c>
      <c r="I212" t="s">
        <v>4112</v>
      </c>
      <c r="J212" t="s">
        <v>32778</v>
      </c>
      <c r="K212" t="s">
        <v>42631</v>
      </c>
      <c r="M212" t="s">
        <v>43020</v>
      </c>
      <c r="N212" t="s">
        <v>47304</v>
      </c>
      <c r="O212" t="s">
        <v>47305</v>
      </c>
      <c r="P212">
        <v>0</v>
      </c>
      <c r="Q212">
        <v>2</v>
      </c>
      <c r="R212" t="s">
        <v>47306</v>
      </c>
      <c r="S212" t="s">
        <v>47414</v>
      </c>
      <c r="T212" t="s">
        <v>49023</v>
      </c>
      <c r="U212" t="s">
        <v>49744</v>
      </c>
      <c r="W212" t="s">
        <v>43020</v>
      </c>
      <c r="X212" t="s">
        <v>47310</v>
      </c>
    </row>
    <row r="213" spans="1:24">
      <c r="A213">
        <f>HYPERLINK("https://www.philgeps.gov.ph/GEPSNONPILOT/Tender/SplashBidNoticeAbstractUI.aspx?menuIndex=3&amp;refID=7193616&amp;Result=3","7193616")</f>
        <v>0</v>
      </c>
      <c r="B213" t="s">
        <v>120</v>
      </c>
      <c r="C213" t="s">
        <v>4113</v>
      </c>
      <c r="D213" t="s">
        <v>19024</v>
      </c>
      <c r="E213" t="s">
        <v>19300</v>
      </c>
      <c r="F213" t="s">
        <v>32606</v>
      </c>
      <c r="G213" t="s">
        <v>32613</v>
      </c>
      <c r="H213" t="s">
        <v>14201</v>
      </c>
      <c r="I213" t="s">
        <v>32631</v>
      </c>
      <c r="J213" t="s">
        <v>32941</v>
      </c>
      <c r="K213" t="s">
        <v>42623</v>
      </c>
      <c r="M213" t="s">
        <v>43021</v>
      </c>
      <c r="N213" t="s">
        <v>47304</v>
      </c>
      <c r="O213" t="s">
        <v>47305</v>
      </c>
      <c r="P213">
        <v>0</v>
      </c>
      <c r="Q213">
        <v>0</v>
      </c>
      <c r="R213" t="s">
        <v>47306</v>
      </c>
      <c r="S213" t="s">
        <v>47414</v>
      </c>
      <c r="T213" t="s">
        <v>49009</v>
      </c>
      <c r="U213" t="s">
        <v>49745</v>
      </c>
      <c r="W213" t="s">
        <v>43021</v>
      </c>
      <c r="X213" t="s">
        <v>47311</v>
      </c>
    </row>
    <row r="214" spans="1:24">
      <c r="A214">
        <f>HYPERLINK("https://www.philgeps.gov.ph/GEPSNONPILOT/Tender/SplashBidNoticeAbstractUI.aspx?menuIndex=3&amp;refID=7193837&amp;Result=3","7193837")</f>
        <v>0</v>
      </c>
      <c r="B214" t="s">
        <v>119</v>
      </c>
      <c r="C214" t="s">
        <v>4114</v>
      </c>
      <c r="D214" t="s">
        <v>19006</v>
      </c>
      <c r="E214" t="s">
        <v>19301</v>
      </c>
      <c r="F214" t="s">
        <v>32606</v>
      </c>
      <c r="G214" t="s">
        <v>32617</v>
      </c>
      <c r="H214" t="s">
        <v>14201</v>
      </c>
      <c r="I214" t="s">
        <v>4114</v>
      </c>
      <c r="J214" t="s">
        <v>32942</v>
      </c>
      <c r="K214" t="s">
        <v>42631</v>
      </c>
      <c r="M214" t="s">
        <v>43020</v>
      </c>
      <c r="N214" t="s">
        <v>47304</v>
      </c>
      <c r="O214" t="s">
        <v>47305</v>
      </c>
      <c r="P214">
        <v>0</v>
      </c>
      <c r="Q214">
        <v>2</v>
      </c>
      <c r="R214" t="s">
        <v>47306</v>
      </c>
      <c r="S214" t="s">
        <v>47414</v>
      </c>
      <c r="T214" t="s">
        <v>49023</v>
      </c>
      <c r="U214" t="s">
        <v>49746</v>
      </c>
      <c r="W214" t="s">
        <v>43020</v>
      </c>
      <c r="X214" t="s">
        <v>47310</v>
      </c>
    </row>
    <row r="215" spans="1:24">
      <c r="A215">
        <f>HYPERLINK("https://www.philgeps.gov.ph/GEPSNONPILOT/Tender/SplashBidNoticeAbstractUI.aspx?menuIndex=3&amp;refID=7193836&amp;Result=3","7193836")</f>
        <v>0</v>
      </c>
      <c r="B215" t="s">
        <v>119</v>
      </c>
      <c r="C215" t="s">
        <v>4115</v>
      </c>
      <c r="D215" t="s">
        <v>19006</v>
      </c>
      <c r="E215" t="s">
        <v>19302</v>
      </c>
      <c r="F215" t="s">
        <v>32606</v>
      </c>
      <c r="G215" t="s">
        <v>32614</v>
      </c>
      <c r="H215" t="s">
        <v>14201</v>
      </c>
      <c r="I215" t="s">
        <v>4115</v>
      </c>
      <c r="J215" t="s">
        <v>32943</v>
      </c>
      <c r="K215" t="s">
        <v>42631</v>
      </c>
      <c r="M215" t="s">
        <v>43020</v>
      </c>
      <c r="N215" t="s">
        <v>47304</v>
      </c>
      <c r="O215" t="s">
        <v>47305</v>
      </c>
      <c r="P215">
        <v>0</v>
      </c>
      <c r="Q215">
        <v>6</v>
      </c>
      <c r="R215" t="s">
        <v>47306</v>
      </c>
      <c r="S215" t="s">
        <v>47414</v>
      </c>
      <c r="T215" t="s">
        <v>49023</v>
      </c>
      <c r="U215" t="s">
        <v>49747</v>
      </c>
      <c r="W215" t="s">
        <v>43020</v>
      </c>
      <c r="X215" t="s">
        <v>47310</v>
      </c>
    </row>
    <row r="216" spans="1:24">
      <c r="A216">
        <f>HYPERLINK("https://www.philgeps.gov.ph/GEPSNONPILOT/Tender/SplashBidNoticeAbstractUI.aspx?menuIndex=3&amp;refID=7193538&amp;Result=3","7193538")</f>
        <v>0</v>
      </c>
      <c r="B216" t="s">
        <v>116</v>
      </c>
      <c r="C216" t="s">
        <v>4116</v>
      </c>
      <c r="D216" t="s">
        <v>19024</v>
      </c>
      <c r="E216" t="s">
        <v>19303</v>
      </c>
      <c r="F216" t="s">
        <v>32606</v>
      </c>
      <c r="G216" t="s">
        <v>32613</v>
      </c>
      <c r="H216" t="s">
        <v>14201</v>
      </c>
      <c r="I216" t="s">
        <v>32631</v>
      </c>
      <c r="J216" t="s">
        <v>32944</v>
      </c>
      <c r="K216" t="s">
        <v>42623</v>
      </c>
      <c r="M216" t="s">
        <v>43017</v>
      </c>
      <c r="N216" t="s">
        <v>47304</v>
      </c>
      <c r="O216" t="s">
        <v>47305</v>
      </c>
      <c r="P216">
        <v>0</v>
      </c>
      <c r="Q216">
        <v>0</v>
      </c>
      <c r="R216" t="s">
        <v>47306</v>
      </c>
      <c r="S216" t="s">
        <v>47414</v>
      </c>
      <c r="T216" t="s">
        <v>49009</v>
      </c>
      <c r="U216" t="s">
        <v>49748</v>
      </c>
      <c r="W216" t="s">
        <v>43017</v>
      </c>
      <c r="X216" t="s">
        <v>47311</v>
      </c>
    </row>
    <row r="217" spans="1:24">
      <c r="A217">
        <f>HYPERLINK("https://www.philgeps.gov.ph/GEPSNONPILOT/Tender/SplashBidNoticeAbstractUI.aspx?menuIndex=3&amp;refID=7193879&amp;Result=3","7193879")</f>
        <v>0</v>
      </c>
      <c r="B217" t="s">
        <v>121</v>
      </c>
      <c r="C217" t="s">
        <v>4117</v>
      </c>
      <c r="D217" t="s">
        <v>19002</v>
      </c>
      <c r="E217" t="s">
        <v>19304</v>
      </c>
      <c r="F217" t="s">
        <v>32606</v>
      </c>
      <c r="G217" t="s">
        <v>32614</v>
      </c>
      <c r="H217" t="s">
        <v>14201</v>
      </c>
      <c r="I217" t="s">
        <v>4369</v>
      </c>
      <c r="J217" t="s">
        <v>32945</v>
      </c>
      <c r="K217" t="s">
        <v>42639</v>
      </c>
      <c r="M217" t="s">
        <v>43022</v>
      </c>
      <c r="N217" t="s">
        <v>47304</v>
      </c>
      <c r="O217" t="s">
        <v>47305</v>
      </c>
      <c r="P217">
        <v>0</v>
      </c>
      <c r="Q217">
        <v>5</v>
      </c>
      <c r="R217" t="s">
        <v>47306</v>
      </c>
      <c r="S217" t="s">
        <v>47414</v>
      </c>
      <c r="T217" t="s">
        <v>48976</v>
      </c>
      <c r="U217" t="s">
        <v>49749</v>
      </c>
      <c r="W217" t="s">
        <v>43022</v>
      </c>
      <c r="X217" t="s">
        <v>47310</v>
      </c>
    </row>
    <row r="218" spans="1:24">
      <c r="A218">
        <f>HYPERLINK("https://www.philgeps.gov.ph/GEPSNONPILOT/Tender/SplashBidNoticeAbstractUI.aspx?menuIndex=3&amp;refID=7193813&amp;Result=3","7193813")</f>
        <v>0</v>
      </c>
      <c r="B218" t="s">
        <v>122</v>
      </c>
      <c r="C218" t="s">
        <v>4118</v>
      </c>
      <c r="D218" t="s">
        <v>19011</v>
      </c>
      <c r="E218" t="s">
        <v>19305</v>
      </c>
      <c r="F218" t="s">
        <v>32606</v>
      </c>
      <c r="G218" t="s">
        <v>32617</v>
      </c>
      <c r="H218" t="s">
        <v>14201</v>
      </c>
      <c r="I218" t="s">
        <v>7577</v>
      </c>
      <c r="J218" t="s">
        <v>32946</v>
      </c>
      <c r="K218" t="s">
        <v>42630</v>
      </c>
      <c r="M218" t="s">
        <v>43023</v>
      </c>
      <c r="N218" t="s">
        <v>47304</v>
      </c>
      <c r="O218" t="s">
        <v>47305</v>
      </c>
      <c r="P218">
        <v>0</v>
      </c>
      <c r="Q218">
        <v>1</v>
      </c>
      <c r="R218" t="s">
        <v>47306</v>
      </c>
      <c r="S218" t="s">
        <v>47414</v>
      </c>
      <c r="T218" t="s">
        <v>49014</v>
      </c>
      <c r="U218" t="s">
        <v>49750</v>
      </c>
      <c r="W218" t="s">
        <v>43023</v>
      </c>
      <c r="X218" t="s">
        <v>47310</v>
      </c>
    </row>
    <row r="219" spans="1:24">
      <c r="A219">
        <f>HYPERLINK("https://www.philgeps.gov.ph/GEPSNONPILOT/Tender/SplashBidNoticeAbstractUI.aspx?menuIndex=3&amp;refID=7193835&amp;Result=3","7193835")</f>
        <v>0</v>
      </c>
      <c r="B219" t="s">
        <v>119</v>
      </c>
      <c r="C219" t="s">
        <v>4119</v>
      </c>
      <c r="D219" t="s">
        <v>19006</v>
      </c>
      <c r="E219" t="s">
        <v>19306</v>
      </c>
      <c r="F219" t="s">
        <v>32606</v>
      </c>
      <c r="G219" t="s">
        <v>32614</v>
      </c>
      <c r="H219" t="s">
        <v>14201</v>
      </c>
      <c r="I219" t="s">
        <v>32657</v>
      </c>
      <c r="J219" t="s">
        <v>32947</v>
      </c>
      <c r="K219" t="s">
        <v>42631</v>
      </c>
      <c r="M219" t="s">
        <v>43020</v>
      </c>
      <c r="N219" t="s">
        <v>47304</v>
      </c>
      <c r="O219" t="s">
        <v>47305</v>
      </c>
      <c r="P219">
        <v>0</v>
      </c>
      <c r="Q219">
        <v>0</v>
      </c>
      <c r="R219" t="s">
        <v>47306</v>
      </c>
      <c r="S219" t="s">
        <v>47414</v>
      </c>
      <c r="T219" t="s">
        <v>49023</v>
      </c>
      <c r="U219" t="s">
        <v>49751</v>
      </c>
      <c r="W219" t="s">
        <v>43020</v>
      </c>
      <c r="X219" t="s">
        <v>47310</v>
      </c>
    </row>
    <row r="220" spans="1:24">
      <c r="A220">
        <f>HYPERLINK("https://www.philgeps.gov.ph/GEPSNONPILOT/Tender/SplashBidNoticeAbstractUI.aspx?menuIndex=3&amp;refID=7193838&amp;Result=3","7193838")</f>
        <v>0</v>
      </c>
      <c r="B220" t="s">
        <v>119</v>
      </c>
      <c r="C220" t="s">
        <v>4120</v>
      </c>
      <c r="D220" t="s">
        <v>19006</v>
      </c>
      <c r="E220" t="s">
        <v>19307</v>
      </c>
      <c r="F220" t="s">
        <v>32606</v>
      </c>
      <c r="G220" t="s">
        <v>32617</v>
      </c>
      <c r="H220" t="s">
        <v>14201</v>
      </c>
      <c r="I220" t="s">
        <v>4120</v>
      </c>
      <c r="J220" t="s">
        <v>32948</v>
      </c>
      <c r="K220" t="s">
        <v>42631</v>
      </c>
      <c r="M220" t="s">
        <v>43020</v>
      </c>
      <c r="N220" t="s">
        <v>47304</v>
      </c>
      <c r="O220" t="s">
        <v>47305</v>
      </c>
      <c r="P220">
        <v>0</v>
      </c>
      <c r="Q220">
        <v>3</v>
      </c>
      <c r="R220" t="s">
        <v>47306</v>
      </c>
      <c r="S220" t="s">
        <v>47414</v>
      </c>
      <c r="T220" t="s">
        <v>49023</v>
      </c>
      <c r="U220" t="s">
        <v>49752</v>
      </c>
      <c r="W220" t="s">
        <v>43020</v>
      </c>
      <c r="X220" t="s">
        <v>47310</v>
      </c>
    </row>
    <row r="221" spans="1:24">
      <c r="A221">
        <f>HYPERLINK("https://www.philgeps.gov.ph/GEPSNONPILOT/Tender/SplashBidNoticeAbstractUI.aspx?menuIndex=3&amp;refID=7193859&amp;Result=3","7193859")</f>
        <v>0</v>
      </c>
      <c r="B221" t="s">
        <v>119</v>
      </c>
      <c r="C221" t="s">
        <v>4121</v>
      </c>
      <c r="D221" t="s">
        <v>19006</v>
      </c>
      <c r="E221" t="s">
        <v>19308</v>
      </c>
      <c r="F221" t="s">
        <v>32606</v>
      </c>
      <c r="G221" t="s">
        <v>32614</v>
      </c>
      <c r="H221" t="s">
        <v>14201</v>
      </c>
      <c r="I221" t="s">
        <v>4121</v>
      </c>
      <c r="J221" t="s">
        <v>32949</v>
      </c>
      <c r="K221" t="s">
        <v>42631</v>
      </c>
      <c r="M221" t="s">
        <v>43020</v>
      </c>
      <c r="N221" t="s">
        <v>47304</v>
      </c>
      <c r="O221" t="s">
        <v>47305</v>
      </c>
      <c r="P221">
        <v>0</v>
      </c>
      <c r="Q221">
        <v>0</v>
      </c>
      <c r="R221" t="s">
        <v>47306</v>
      </c>
      <c r="S221" t="s">
        <v>47414</v>
      </c>
      <c r="T221" t="s">
        <v>49023</v>
      </c>
      <c r="U221" t="s">
        <v>49753</v>
      </c>
      <c r="W221" t="s">
        <v>43020</v>
      </c>
      <c r="X221" t="s">
        <v>47310</v>
      </c>
    </row>
    <row r="222" spans="1:24">
      <c r="A222">
        <f>HYPERLINK("https://www.philgeps.gov.ph/GEPSNONPILOT/Tender/SplashBidNoticeAbstractUI.aspx?menuIndex=3&amp;refID=7193691&amp;Result=3","7193691")</f>
        <v>0</v>
      </c>
      <c r="B222" t="s">
        <v>123</v>
      </c>
      <c r="C222" t="s">
        <v>4122</v>
      </c>
      <c r="D222" t="s">
        <v>18993</v>
      </c>
      <c r="E222" t="s">
        <v>19309</v>
      </c>
      <c r="F222" t="s">
        <v>32606</v>
      </c>
      <c r="G222" t="s">
        <v>32614</v>
      </c>
      <c r="H222" t="s">
        <v>14201</v>
      </c>
      <c r="I222" t="s">
        <v>4369</v>
      </c>
      <c r="J222" t="s">
        <v>32950</v>
      </c>
      <c r="K222" t="s">
        <v>42624</v>
      </c>
      <c r="M222" t="s">
        <v>43024</v>
      </c>
      <c r="N222" t="s">
        <v>47304</v>
      </c>
      <c r="O222" t="s">
        <v>47305</v>
      </c>
      <c r="P222">
        <v>0</v>
      </c>
      <c r="Q222">
        <v>5</v>
      </c>
      <c r="R222" t="s">
        <v>47306</v>
      </c>
      <c r="S222" t="s">
        <v>47414</v>
      </c>
      <c r="T222" t="s">
        <v>48979</v>
      </c>
      <c r="U222" t="s">
        <v>49754</v>
      </c>
      <c r="W222" t="s">
        <v>43024</v>
      </c>
      <c r="X222" t="s">
        <v>47311</v>
      </c>
    </row>
    <row r="223" spans="1:24">
      <c r="A223">
        <f>HYPERLINK("https://www.philgeps.gov.ph/GEPSNONPILOT/Tender/SplashBidNoticeAbstractUI.aspx?menuIndex=3&amp;refID=7194083&amp;Result=3","7194083")</f>
        <v>0</v>
      </c>
      <c r="B223" t="s">
        <v>124</v>
      </c>
      <c r="C223" t="s">
        <v>4123</v>
      </c>
      <c r="D223" t="s">
        <v>19005</v>
      </c>
      <c r="E223" t="s">
        <v>19310</v>
      </c>
      <c r="F223" t="s">
        <v>32606</v>
      </c>
      <c r="G223" t="s">
        <v>32613</v>
      </c>
      <c r="H223" t="s">
        <v>14201</v>
      </c>
      <c r="I223" t="s">
        <v>4678</v>
      </c>
      <c r="J223" t="s">
        <v>32799</v>
      </c>
      <c r="K223" t="s">
        <v>42622</v>
      </c>
      <c r="M223" t="s">
        <v>43025</v>
      </c>
      <c r="N223" t="s">
        <v>47304</v>
      </c>
      <c r="O223" t="s">
        <v>47305</v>
      </c>
      <c r="P223">
        <v>0</v>
      </c>
      <c r="Q223">
        <v>1</v>
      </c>
      <c r="R223" t="s">
        <v>47306</v>
      </c>
      <c r="S223" t="s">
        <v>47414</v>
      </c>
      <c r="T223" t="s">
        <v>49028</v>
      </c>
      <c r="U223" t="s">
        <v>49755</v>
      </c>
      <c r="W223" t="s">
        <v>43025</v>
      </c>
      <c r="X223" t="s">
        <v>47309</v>
      </c>
    </row>
    <row r="224" spans="1:24">
      <c r="A224">
        <f>HYPERLINK("https://www.philgeps.gov.ph/GEPSNONPILOT/Tender/SplashBidNoticeAbstractUI.aspx?menuIndex=3&amp;refID=7194081&amp;Result=3","7194081")</f>
        <v>0</v>
      </c>
      <c r="B224" t="s">
        <v>124</v>
      </c>
      <c r="C224" t="s">
        <v>4124</v>
      </c>
      <c r="D224" t="s">
        <v>19005</v>
      </c>
      <c r="E224" t="s">
        <v>19311</v>
      </c>
      <c r="F224" t="s">
        <v>32606</v>
      </c>
      <c r="G224" t="s">
        <v>32617</v>
      </c>
      <c r="H224" t="s">
        <v>14201</v>
      </c>
      <c r="I224" t="s">
        <v>13131</v>
      </c>
      <c r="J224" t="s">
        <v>32951</v>
      </c>
      <c r="K224" t="s">
        <v>42630</v>
      </c>
      <c r="M224" t="s">
        <v>43025</v>
      </c>
      <c r="N224" t="s">
        <v>47304</v>
      </c>
      <c r="O224" t="s">
        <v>47305</v>
      </c>
      <c r="P224">
        <v>0</v>
      </c>
      <c r="Q224">
        <v>1</v>
      </c>
      <c r="R224" t="s">
        <v>47306</v>
      </c>
      <c r="S224" t="s">
        <v>47414</v>
      </c>
      <c r="T224" t="s">
        <v>48976</v>
      </c>
      <c r="U224" t="s">
        <v>49756</v>
      </c>
      <c r="W224" t="s">
        <v>43025</v>
      </c>
      <c r="X224" t="s">
        <v>47309</v>
      </c>
    </row>
    <row r="225" spans="1:24">
      <c r="A225">
        <f>HYPERLINK("https://www.philgeps.gov.ph/GEPSNONPILOT/Tender/SplashBidNoticeAbstractUI.aspx?menuIndex=3&amp;refID=7194075&amp;Result=3","7194075")</f>
        <v>0</v>
      </c>
      <c r="B225" t="s">
        <v>125</v>
      </c>
      <c r="C225" t="s">
        <v>4125</v>
      </c>
      <c r="D225" t="s">
        <v>19005</v>
      </c>
      <c r="E225" t="s">
        <v>19312</v>
      </c>
      <c r="F225" t="s">
        <v>32606</v>
      </c>
      <c r="G225" t="s">
        <v>32613</v>
      </c>
      <c r="H225" t="s">
        <v>14201</v>
      </c>
      <c r="I225" t="s">
        <v>32631</v>
      </c>
      <c r="J225" t="s">
        <v>32952</v>
      </c>
      <c r="K225" t="s">
        <v>42631</v>
      </c>
      <c r="M225" t="s">
        <v>43026</v>
      </c>
      <c r="N225" t="s">
        <v>47304</v>
      </c>
      <c r="O225" t="s">
        <v>47305</v>
      </c>
      <c r="P225">
        <v>0</v>
      </c>
      <c r="Q225">
        <v>2</v>
      </c>
      <c r="R225" t="s">
        <v>47306</v>
      </c>
      <c r="S225" t="s">
        <v>47414</v>
      </c>
      <c r="T225" t="s">
        <v>48976</v>
      </c>
      <c r="U225" t="s">
        <v>49757</v>
      </c>
      <c r="W225" t="s">
        <v>43026</v>
      </c>
      <c r="X225" t="s">
        <v>47309</v>
      </c>
    </row>
    <row r="226" spans="1:24">
      <c r="A226">
        <f>HYPERLINK("https://www.philgeps.gov.ph/GEPSNONPILOT/Tender/SplashBidNoticeAbstractUI.aspx?menuIndex=3&amp;refID=7194146&amp;Result=3","7194146")</f>
        <v>0</v>
      </c>
      <c r="B226" t="s">
        <v>126</v>
      </c>
      <c r="C226" t="s">
        <v>4126</v>
      </c>
      <c r="D226" t="s">
        <v>19005</v>
      </c>
      <c r="E226" t="s">
        <v>19313</v>
      </c>
      <c r="F226" t="s">
        <v>32606</v>
      </c>
      <c r="G226" t="s">
        <v>32614</v>
      </c>
      <c r="H226" t="s">
        <v>14201</v>
      </c>
      <c r="I226" t="s">
        <v>32631</v>
      </c>
      <c r="J226" t="s">
        <v>32953</v>
      </c>
      <c r="K226" t="s">
        <v>42630</v>
      </c>
      <c r="M226" t="s">
        <v>43027</v>
      </c>
      <c r="N226" t="s">
        <v>47304</v>
      </c>
      <c r="O226" t="s">
        <v>47305</v>
      </c>
      <c r="P226">
        <v>0</v>
      </c>
      <c r="Q226">
        <v>1</v>
      </c>
      <c r="R226" t="s">
        <v>47306</v>
      </c>
      <c r="S226" t="s">
        <v>47414</v>
      </c>
      <c r="T226" t="s">
        <v>48976</v>
      </c>
      <c r="U226" t="s">
        <v>49758</v>
      </c>
      <c r="W226" t="s">
        <v>43027</v>
      </c>
      <c r="X226" t="s">
        <v>47309</v>
      </c>
    </row>
    <row r="227" spans="1:24">
      <c r="A227">
        <f>HYPERLINK("https://www.philgeps.gov.ph/GEPSNONPILOT/Tender/SplashBidNoticeAbstractUI.aspx?menuIndex=3&amp;refID=7194092&amp;Result=3","7194092")</f>
        <v>0</v>
      </c>
      <c r="B227" t="s">
        <v>127</v>
      </c>
      <c r="C227" t="s">
        <v>4127</v>
      </c>
      <c r="D227" t="s">
        <v>19005</v>
      </c>
      <c r="E227" t="s">
        <v>19314</v>
      </c>
      <c r="F227" t="s">
        <v>32606</v>
      </c>
      <c r="G227" t="s">
        <v>32613</v>
      </c>
      <c r="H227" t="s">
        <v>32623</v>
      </c>
      <c r="I227" t="s">
        <v>17648</v>
      </c>
      <c r="J227" t="s">
        <v>32954</v>
      </c>
      <c r="K227" t="s">
        <v>42657</v>
      </c>
      <c r="M227" t="s">
        <v>43028</v>
      </c>
      <c r="N227" t="s">
        <v>47304</v>
      </c>
      <c r="O227" t="s">
        <v>47305</v>
      </c>
      <c r="P227">
        <v>0</v>
      </c>
      <c r="Q227">
        <v>0</v>
      </c>
      <c r="R227" t="s">
        <v>47306</v>
      </c>
      <c r="S227" t="s">
        <v>47414</v>
      </c>
      <c r="T227" t="s">
        <v>48976</v>
      </c>
      <c r="U227" t="s">
        <v>49759</v>
      </c>
      <c r="W227" t="s">
        <v>43028</v>
      </c>
      <c r="X227" t="s">
        <v>47309</v>
      </c>
    </row>
    <row r="228" spans="1:24">
      <c r="A228">
        <f>HYPERLINK("https://www.philgeps.gov.ph/GEPSNONPILOT/Tender/SplashBidNoticeAbstractUI.aspx?menuIndex=3&amp;refID=7194084&amp;Result=3","7194084")</f>
        <v>0</v>
      </c>
      <c r="B228" t="s">
        <v>128</v>
      </c>
      <c r="C228" t="s">
        <v>4128</v>
      </c>
      <c r="D228" t="s">
        <v>19016</v>
      </c>
      <c r="E228" t="s">
        <v>19315</v>
      </c>
      <c r="F228" t="s">
        <v>32606</v>
      </c>
      <c r="G228" t="s">
        <v>32619</v>
      </c>
      <c r="H228" t="s">
        <v>14201</v>
      </c>
      <c r="I228" t="s">
        <v>32658</v>
      </c>
      <c r="J228" t="s">
        <v>32955</v>
      </c>
      <c r="K228" t="s">
        <v>42629</v>
      </c>
      <c r="M228" t="s">
        <v>43029</v>
      </c>
      <c r="N228" t="s">
        <v>47304</v>
      </c>
      <c r="O228" t="s">
        <v>47305</v>
      </c>
      <c r="P228">
        <v>0</v>
      </c>
      <c r="Q228">
        <v>2</v>
      </c>
      <c r="R228" t="s">
        <v>47306</v>
      </c>
      <c r="S228" t="s">
        <v>47414</v>
      </c>
      <c r="T228" t="s">
        <v>49015</v>
      </c>
      <c r="U228" t="s">
        <v>49760</v>
      </c>
      <c r="W228" t="s">
        <v>43029</v>
      </c>
      <c r="X228" t="s">
        <v>47309</v>
      </c>
    </row>
    <row r="229" spans="1:24">
      <c r="A229">
        <f>HYPERLINK("https://www.philgeps.gov.ph/GEPSNONPILOT/Tender/SplashBidNoticeAbstractUI.aspx?menuIndex=3&amp;refID=7194099&amp;Result=3","7194099")</f>
        <v>0</v>
      </c>
      <c r="B229" t="s">
        <v>127</v>
      </c>
      <c r="C229" t="s">
        <v>4123</v>
      </c>
      <c r="D229" t="s">
        <v>19005</v>
      </c>
      <c r="E229" t="s">
        <v>19316</v>
      </c>
      <c r="F229" t="s">
        <v>32606</v>
      </c>
      <c r="G229" t="s">
        <v>32613</v>
      </c>
      <c r="H229" t="s">
        <v>14201</v>
      </c>
      <c r="I229" t="s">
        <v>4678</v>
      </c>
      <c r="J229" t="s">
        <v>32956</v>
      </c>
      <c r="K229" t="s">
        <v>42623</v>
      </c>
      <c r="M229" t="s">
        <v>43028</v>
      </c>
      <c r="N229" t="s">
        <v>47304</v>
      </c>
      <c r="O229" t="s">
        <v>47305</v>
      </c>
      <c r="P229">
        <v>0</v>
      </c>
      <c r="Q229">
        <v>0</v>
      </c>
      <c r="R229" t="s">
        <v>47306</v>
      </c>
      <c r="S229" t="s">
        <v>47414</v>
      </c>
      <c r="T229" t="s">
        <v>48976</v>
      </c>
      <c r="U229" t="s">
        <v>49761</v>
      </c>
      <c r="W229" t="s">
        <v>43028</v>
      </c>
      <c r="X229" t="s">
        <v>47309</v>
      </c>
    </row>
    <row r="230" spans="1:24">
      <c r="A230">
        <f>HYPERLINK("https://www.philgeps.gov.ph/GEPSNONPILOT/Tender/SplashBidNoticeAbstractUI.aspx?menuIndex=3&amp;refID=7194098&amp;Result=3","7194098")</f>
        <v>0</v>
      </c>
      <c r="B230" t="s">
        <v>127</v>
      </c>
      <c r="C230" t="s">
        <v>4124</v>
      </c>
      <c r="D230" t="s">
        <v>19005</v>
      </c>
      <c r="E230" t="s">
        <v>19317</v>
      </c>
      <c r="F230" t="s">
        <v>32606</v>
      </c>
      <c r="G230" t="s">
        <v>32617</v>
      </c>
      <c r="H230" t="s">
        <v>14201</v>
      </c>
      <c r="I230" t="s">
        <v>13131</v>
      </c>
      <c r="J230" t="s">
        <v>32957</v>
      </c>
      <c r="K230" t="s">
        <v>42630</v>
      </c>
      <c r="M230" t="s">
        <v>43028</v>
      </c>
      <c r="N230" t="s">
        <v>47304</v>
      </c>
      <c r="O230" t="s">
        <v>47305</v>
      </c>
      <c r="P230">
        <v>0</v>
      </c>
      <c r="Q230">
        <v>0</v>
      </c>
      <c r="R230" t="s">
        <v>47306</v>
      </c>
      <c r="S230" t="s">
        <v>47414</v>
      </c>
      <c r="T230" t="s">
        <v>48976</v>
      </c>
      <c r="U230" t="s">
        <v>49762</v>
      </c>
      <c r="W230" t="s">
        <v>43028</v>
      </c>
      <c r="X230" t="s">
        <v>47309</v>
      </c>
    </row>
    <row r="231" spans="1:24">
      <c r="A231">
        <f>HYPERLINK("https://www.philgeps.gov.ph/GEPSNONPILOT/Tender/SplashBidNoticeAbstractUI.aspx?menuIndex=3&amp;refID=7194096&amp;Result=3","7194096")</f>
        <v>0</v>
      </c>
      <c r="B231" t="s">
        <v>127</v>
      </c>
      <c r="C231" t="s">
        <v>4129</v>
      </c>
      <c r="D231" t="s">
        <v>19005</v>
      </c>
      <c r="E231" t="s">
        <v>19318</v>
      </c>
      <c r="F231" t="s">
        <v>32606</v>
      </c>
      <c r="G231" t="s">
        <v>32617</v>
      </c>
      <c r="H231" t="s">
        <v>14201</v>
      </c>
      <c r="I231" t="s">
        <v>4120</v>
      </c>
      <c r="J231" t="s">
        <v>32958</v>
      </c>
      <c r="K231" t="s">
        <v>42630</v>
      </c>
      <c r="M231" t="s">
        <v>43028</v>
      </c>
      <c r="N231" t="s">
        <v>47304</v>
      </c>
      <c r="O231" t="s">
        <v>47305</v>
      </c>
      <c r="P231">
        <v>0</v>
      </c>
      <c r="Q231">
        <v>0</v>
      </c>
      <c r="R231" t="s">
        <v>47306</v>
      </c>
      <c r="S231" t="s">
        <v>47414</v>
      </c>
      <c r="T231" t="s">
        <v>48976</v>
      </c>
      <c r="U231" t="s">
        <v>49763</v>
      </c>
      <c r="W231" t="s">
        <v>43028</v>
      </c>
      <c r="X231" t="s">
        <v>47309</v>
      </c>
    </row>
    <row r="232" spans="1:24">
      <c r="A232">
        <f>HYPERLINK("https://www.philgeps.gov.ph/GEPSNONPILOT/Tender/SplashBidNoticeAbstractUI.aspx?menuIndex=3&amp;refID=7193894&amp;Result=3","7193894")</f>
        <v>0</v>
      </c>
      <c r="B232" t="s">
        <v>76</v>
      </c>
      <c r="C232" t="s">
        <v>4130</v>
      </c>
      <c r="D232" t="s">
        <v>19010</v>
      </c>
      <c r="E232" t="s">
        <v>19319</v>
      </c>
      <c r="F232" t="s">
        <v>32606</v>
      </c>
      <c r="G232" t="s">
        <v>32618</v>
      </c>
      <c r="H232" t="s">
        <v>32623</v>
      </c>
      <c r="I232" t="s">
        <v>17648</v>
      </c>
      <c r="J232" t="s">
        <v>32959</v>
      </c>
      <c r="K232" t="s">
        <v>42651</v>
      </c>
      <c r="M232" t="s">
        <v>42973</v>
      </c>
      <c r="N232" t="s">
        <v>47304</v>
      </c>
      <c r="O232" t="s">
        <v>47305</v>
      </c>
      <c r="P232">
        <v>0</v>
      </c>
      <c r="Q232">
        <v>1</v>
      </c>
      <c r="R232" t="s">
        <v>47306</v>
      </c>
      <c r="S232" t="s">
        <v>47414</v>
      </c>
      <c r="T232" t="s">
        <v>49029</v>
      </c>
      <c r="U232" t="s">
        <v>49764</v>
      </c>
      <c r="W232" t="s">
        <v>44791</v>
      </c>
      <c r="X232" t="s">
        <v>47310</v>
      </c>
    </row>
    <row r="233" spans="1:24">
      <c r="A233">
        <f>HYPERLINK("https://www.philgeps.gov.ph/GEPSNONPILOT/Tender/SplashBidNoticeAbstractUI.aspx?menuIndex=3&amp;refID=7193887&amp;Result=3","7193887")</f>
        <v>0</v>
      </c>
      <c r="B233" t="s">
        <v>129</v>
      </c>
      <c r="C233" t="s">
        <v>4131</v>
      </c>
      <c r="E233" t="s">
        <v>19320</v>
      </c>
      <c r="F233" t="s">
        <v>32606</v>
      </c>
      <c r="G233" t="s">
        <v>32613</v>
      </c>
      <c r="H233" t="s">
        <v>14201</v>
      </c>
      <c r="I233" t="s">
        <v>17648</v>
      </c>
      <c r="J233" t="s">
        <v>32960</v>
      </c>
      <c r="K233" t="s">
        <v>42624</v>
      </c>
      <c r="M233" t="s">
        <v>43030</v>
      </c>
      <c r="N233" t="s">
        <v>47304</v>
      </c>
      <c r="O233" t="s">
        <v>47305</v>
      </c>
      <c r="P233">
        <v>0</v>
      </c>
      <c r="Q233">
        <v>2</v>
      </c>
      <c r="R233" t="s">
        <v>47306</v>
      </c>
      <c r="S233" t="s">
        <v>47414</v>
      </c>
      <c r="T233" t="s">
        <v>49030</v>
      </c>
      <c r="U233" t="s">
        <v>49765</v>
      </c>
      <c r="W233" t="s">
        <v>43030</v>
      </c>
      <c r="X233" t="s">
        <v>47310</v>
      </c>
    </row>
    <row r="234" spans="1:24">
      <c r="A234">
        <f>HYPERLINK("https://www.philgeps.gov.ph/GEPSNONPILOT/Tender/SplashBidNoticeAbstractUI.aspx?menuIndex=3&amp;refID=7193882&amp;Result=3","7193882")</f>
        <v>0</v>
      </c>
      <c r="B234" t="s">
        <v>119</v>
      </c>
      <c r="C234" t="s">
        <v>4132</v>
      </c>
      <c r="D234" t="s">
        <v>19006</v>
      </c>
      <c r="E234" t="s">
        <v>19321</v>
      </c>
      <c r="F234" t="s">
        <v>32606</v>
      </c>
      <c r="G234" t="s">
        <v>32614</v>
      </c>
      <c r="H234" t="s">
        <v>14201</v>
      </c>
      <c r="I234" t="s">
        <v>32634</v>
      </c>
      <c r="J234" t="s">
        <v>32961</v>
      </c>
      <c r="K234" t="s">
        <v>42631</v>
      </c>
      <c r="M234" t="s">
        <v>43020</v>
      </c>
      <c r="N234" t="s">
        <v>47304</v>
      </c>
      <c r="O234" t="s">
        <v>47305</v>
      </c>
      <c r="P234">
        <v>0</v>
      </c>
      <c r="Q234">
        <v>0</v>
      </c>
      <c r="R234" t="s">
        <v>47306</v>
      </c>
      <c r="S234" t="s">
        <v>47414</v>
      </c>
      <c r="T234" t="s">
        <v>49023</v>
      </c>
      <c r="U234" t="s">
        <v>49766</v>
      </c>
      <c r="W234" t="s">
        <v>43020</v>
      </c>
      <c r="X234" t="s">
        <v>47310</v>
      </c>
    </row>
    <row r="235" spans="1:24">
      <c r="A235">
        <f>HYPERLINK("https://www.philgeps.gov.ph/GEPSNONPILOT/Tender/SplashBidNoticeAbstractUI.aspx?menuIndex=3&amp;refID=7193880&amp;Result=3","7193880")</f>
        <v>0</v>
      </c>
      <c r="B235" t="s">
        <v>119</v>
      </c>
      <c r="C235" t="s">
        <v>4114</v>
      </c>
      <c r="D235" t="s">
        <v>19006</v>
      </c>
      <c r="E235" t="s">
        <v>19322</v>
      </c>
      <c r="F235" t="s">
        <v>32606</v>
      </c>
      <c r="G235" t="s">
        <v>32614</v>
      </c>
      <c r="H235" t="s">
        <v>14201</v>
      </c>
      <c r="I235" t="s">
        <v>4114</v>
      </c>
      <c r="J235" t="s">
        <v>32962</v>
      </c>
      <c r="K235" t="s">
        <v>42631</v>
      </c>
      <c r="M235" t="s">
        <v>43020</v>
      </c>
      <c r="N235" t="s">
        <v>47304</v>
      </c>
      <c r="O235" t="s">
        <v>47305</v>
      </c>
      <c r="P235">
        <v>0</v>
      </c>
      <c r="Q235">
        <v>1</v>
      </c>
      <c r="R235" t="s">
        <v>47306</v>
      </c>
      <c r="S235" t="s">
        <v>47414</v>
      </c>
      <c r="T235" t="s">
        <v>49023</v>
      </c>
      <c r="U235" t="s">
        <v>49767</v>
      </c>
      <c r="W235" t="s">
        <v>43020</v>
      </c>
      <c r="X235" t="s">
        <v>47310</v>
      </c>
    </row>
    <row r="236" spans="1:24">
      <c r="A236">
        <f>HYPERLINK("https://www.philgeps.gov.ph/GEPSNONPILOT/Tender/SplashBidNoticeAbstractUI.aspx?menuIndex=3&amp;refID=7194155&amp;Result=3","7194155")</f>
        <v>0</v>
      </c>
      <c r="B236" t="s">
        <v>126</v>
      </c>
      <c r="C236" t="s">
        <v>4124</v>
      </c>
      <c r="D236" t="s">
        <v>19005</v>
      </c>
      <c r="E236" t="s">
        <v>19317</v>
      </c>
      <c r="F236" t="s">
        <v>32606</v>
      </c>
      <c r="G236" t="s">
        <v>32617</v>
      </c>
      <c r="H236" t="s">
        <v>14201</v>
      </c>
      <c r="I236" t="s">
        <v>13131</v>
      </c>
      <c r="J236" t="s">
        <v>32963</v>
      </c>
      <c r="K236" t="s">
        <v>42630</v>
      </c>
      <c r="M236" t="s">
        <v>43027</v>
      </c>
      <c r="N236" t="s">
        <v>47304</v>
      </c>
      <c r="O236" t="s">
        <v>47305</v>
      </c>
      <c r="P236">
        <v>0</v>
      </c>
      <c r="Q236">
        <v>1</v>
      </c>
      <c r="R236" t="s">
        <v>47306</v>
      </c>
      <c r="S236" t="s">
        <v>47414</v>
      </c>
      <c r="T236" t="s">
        <v>48976</v>
      </c>
      <c r="U236" t="s">
        <v>49768</v>
      </c>
      <c r="W236" t="s">
        <v>43027</v>
      </c>
      <c r="X236" t="s">
        <v>47309</v>
      </c>
    </row>
    <row r="237" spans="1:24">
      <c r="A237">
        <f>HYPERLINK("https://www.philgeps.gov.ph/GEPSNONPILOT/Tender/SplashBidNoticeAbstractUI.aspx?menuIndex=3&amp;refID=7194133&amp;Result=3","7194133")</f>
        <v>0</v>
      </c>
      <c r="B237" t="s">
        <v>130</v>
      </c>
      <c r="C237" t="s">
        <v>4133</v>
      </c>
      <c r="D237" t="s">
        <v>19015</v>
      </c>
      <c r="E237" t="s">
        <v>19323</v>
      </c>
      <c r="F237" t="s">
        <v>32606</v>
      </c>
      <c r="G237" t="s">
        <v>32613</v>
      </c>
      <c r="H237" t="s">
        <v>14201</v>
      </c>
      <c r="I237" t="s">
        <v>6478</v>
      </c>
      <c r="J237" t="s">
        <v>32964</v>
      </c>
      <c r="K237" t="s">
        <v>42631</v>
      </c>
      <c r="M237" t="s">
        <v>43031</v>
      </c>
      <c r="N237" t="s">
        <v>47304</v>
      </c>
      <c r="O237" t="s">
        <v>47305</v>
      </c>
      <c r="P237">
        <v>0</v>
      </c>
      <c r="Q237">
        <v>4</v>
      </c>
      <c r="R237" t="s">
        <v>47306</v>
      </c>
      <c r="S237" t="s">
        <v>47414</v>
      </c>
      <c r="T237" t="s">
        <v>49031</v>
      </c>
      <c r="U237" t="s">
        <v>49769</v>
      </c>
      <c r="V237" t="s">
        <v>62676</v>
      </c>
      <c r="W237" t="s">
        <v>43031</v>
      </c>
      <c r="X237" t="s">
        <v>47309</v>
      </c>
    </row>
    <row r="238" spans="1:24">
      <c r="A238">
        <f>HYPERLINK("https://www.philgeps.gov.ph/GEPSNONPILOT/Tender/SplashBidNoticeAbstractUI.aspx?menuIndex=3&amp;refID=7194013&amp;Result=3","7194013")</f>
        <v>0</v>
      </c>
      <c r="B238" t="s">
        <v>131</v>
      </c>
      <c r="C238" t="s">
        <v>4134</v>
      </c>
      <c r="D238" t="s">
        <v>18993</v>
      </c>
      <c r="E238" t="s">
        <v>19324</v>
      </c>
      <c r="F238" t="s">
        <v>32606</v>
      </c>
      <c r="G238" t="s">
        <v>32613</v>
      </c>
      <c r="H238" t="s">
        <v>14201</v>
      </c>
      <c r="I238" t="s">
        <v>7064</v>
      </c>
      <c r="J238" t="s">
        <v>32861</v>
      </c>
      <c r="K238" t="s">
        <v>42631</v>
      </c>
      <c r="L238" t="s">
        <v>131</v>
      </c>
      <c r="M238" t="s">
        <v>43032</v>
      </c>
      <c r="N238" t="s">
        <v>47304</v>
      </c>
      <c r="O238" t="s">
        <v>47305</v>
      </c>
      <c r="P238">
        <v>0</v>
      </c>
      <c r="Q238">
        <v>4</v>
      </c>
      <c r="R238" t="s">
        <v>47306</v>
      </c>
      <c r="S238" t="s">
        <v>47414</v>
      </c>
      <c r="T238" t="s">
        <v>49032</v>
      </c>
      <c r="U238" t="s">
        <v>49770</v>
      </c>
      <c r="W238" t="s">
        <v>43032</v>
      </c>
      <c r="X238" t="s">
        <v>47310</v>
      </c>
    </row>
    <row r="239" spans="1:24">
      <c r="A239">
        <f>HYPERLINK("https://www.philgeps.gov.ph/GEPSNONPILOT/Tender/SplashBidNoticeAbstractUI.aspx?menuIndex=3&amp;refID=7194194&amp;Result=3","7194194")</f>
        <v>0</v>
      </c>
      <c r="B239" t="s">
        <v>132</v>
      </c>
      <c r="C239" t="s">
        <v>4135</v>
      </c>
      <c r="D239" t="s">
        <v>18993</v>
      </c>
      <c r="E239" t="s">
        <v>19325</v>
      </c>
      <c r="F239" t="s">
        <v>32606</v>
      </c>
      <c r="G239" t="s">
        <v>32613</v>
      </c>
      <c r="H239" t="s">
        <v>14201</v>
      </c>
      <c r="I239" t="s">
        <v>32640</v>
      </c>
      <c r="J239" t="s">
        <v>32965</v>
      </c>
      <c r="K239" t="s">
        <v>42624</v>
      </c>
      <c r="M239" t="s">
        <v>43033</v>
      </c>
      <c r="N239" t="s">
        <v>47304</v>
      </c>
      <c r="O239" t="s">
        <v>47305</v>
      </c>
      <c r="P239">
        <v>0</v>
      </c>
      <c r="Q239">
        <v>15</v>
      </c>
      <c r="R239" t="s">
        <v>47306</v>
      </c>
      <c r="S239" t="s">
        <v>47414</v>
      </c>
      <c r="T239" t="s">
        <v>49033</v>
      </c>
      <c r="U239" t="s">
        <v>49771</v>
      </c>
      <c r="V239" t="s">
        <v>62677</v>
      </c>
      <c r="W239" t="s">
        <v>43033</v>
      </c>
      <c r="X239" t="s">
        <v>47309</v>
      </c>
    </row>
    <row r="240" spans="1:24">
      <c r="A240">
        <f>HYPERLINK("https://www.philgeps.gov.ph/GEPSNONPILOT/Tender/SplashBidNoticeAbstractUI.aspx?menuIndex=3&amp;refID=7194086&amp;Result=3","7194086")</f>
        <v>0</v>
      </c>
      <c r="B240" t="s">
        <v>133</v>
      </c>
      <c r="C240" t="s">
        <v>4123</v>
      </c>
      <c r="D240" t="s">
        <v>19005</v>
      </c>
      <c r="E240" t="s">
        <v>19313</v>
      </c>
      <c r="F240" t="s">
        <v>32606</v>
      </c>
      <c r="G240" t="s">
        <v>32613</v>
      </c>
      <c r="H240" t="s">
        <v>14201</v>
      </c>
      <c r="I240" t="s">
        <v>4678</v>
      </c>
      <c r="J240" t="s">
        <v>32799</v>
      </c>
      <c r="K240" t="s">
        <v>42623</v>
      </c>
      <c r="M240" t="s">
        <v>43034</v>
      </c>
      <c r="N240" t="s">
        <v>47304</v>
      </c>
      <c r="O240" t="s">
        <v>47305</v>
      </c>
      <c r="P240">
        <v>0</v>
      </c>
      <c r="Q240">
        <v>1</v>
      </c>
      <c r="R240" t="s">
        <v>47306</v>
      </c>
      <c r="S240" t="s">
        <v>47414</v>
      </c>
      <c r="T240" t="s">
        <v>48976</v>
      </c>
      <c r="U240" t="s">
        <v>49772</v>
      </c>
      <c r="W240" t="s">
        <v>43034</v>
      </c>
      <c r="X240" t="s">
        <v>47309</v>
      </c>
    </row>
    <row r="241" spans="1:24">
      <c r="A241">
        <f>HYPERLINK("https://www.philgeps.gov.ph/GEPSNONPILOT/Tender/SplashBidNoticeAbstractUI.aspx?menuIndex=3&amp;refID=7194158&amp;Result=3","7194158")</f>
        <v>0</v>
      </c>
      <c r="B241" t="s">
        <v>126</v>
      </c>
      <c r="C241" t="s">
        <v>4136</v>
      </c>
      <c r="D241" t="s">
        <v>19005</v>
      </c>
      <c r="E241" t="s">
        <v>19326</v>
      </c>
      <c r="F241" t="s">
        <v>32606</v>
      </c>
      <c r="G241" t="s">
        <v>32614</v>
      </c>
      <c r="H241" t="s">
        <v>14201</v>
      </c>
      <c r="I241" t="s">
        <v>6298</v>
      </c>
      <c r="J241" t="s">
        <v>32966</v>
      </c>
      <c r="K241" t="s">
        <v>42630</v>
      </c>
      <c r="M241" t="s">
        <v>43027</v>
      </c>
      <c r="N241" t="s">
        <v>47304</v>
      </c>
      <c r="O241" t="s">
        <v>47305</v>
      </c>
      <c r="P241">
        <v>0</v>
      </c>
      <c r="Q241">
        <v>0</v>
      </c>
      <c r="R241" t="s">
        <v>47306</v>
      </c>
      <c r="S241" t="s">
        <v>47414</v>
      </c>
      <c r="T241" t="s">
        <v>48976</v>
      </c>
      <c r="U241" t="s">
        <v>49773</v>
      </c>
      <c r="W241" t="s">
        <v>43027</v>
      </c>
      <c r="X241" t="s">
        <v>47309</v>
      </c>
    </row>
    <row r="242" spans="1:24">
      <c r="A242">
        <f>HYPERLINK("https://www.philgeps.gov.ph/GEPSNONPILOT/Tender/SplashBidNoticeAbstractUI.aspx?menuIndex=3&amp;refID=7194191&amp;Result=3","7194191")</f>
        <v>0</v>
      </c>
      <c r="B242" t="s">
        <v>134</v>
      </c>
      <c r="C242" t="s">
        <v>4123</v>
      </c>
      <c r="D242" t="s">
        <v>19005</v>
      </c>
      <c r="E242" t="s">
        <v>19327</v>
      </c>
      <c r="F242" t="s">
        <v>32606</v>
      </c>
      <c r="G242" t="s">
        <v>32613</v>
      </c>
      <c r="H242" t="s">
        <v>14201</v>
      </c>
      <c r="I242" t="s">
        <v>4678</v>
      </c>
      <c r="J242" t="s">
        <v>32967</v>
      </c>
      <c r="K242" t="s">
        <v>42623</v>
      </c>
      <c r="M242" t="s">
        <v>43035</v>
      </c>
      <c r="N242" t="s">
        <v>47304</v>
      </c>
      <c r="O242" t="s">
        <v>47305</v>
      </c>
      <c r="P242">
        <v>0</v>
      </c>
      <c r="Q242">
        <v>1</v>
      </c>
      <c r="R242" t="s">
        <v>47306</v>
      </c>
      <c r="S242" t="s">
        <v>47414</v>
      </c>
      <c r="T242" t="s">
        <v>48976</v>
      </c>
      <c r="U242" t="s">
        <v>49774</v>
      </c>
      <c r="W242" t="s">
        <v>43035</v>
      </c>
      <c r="X242" t="s">
        <v>47309</v>
      </c>
    </row>
    <row r="243" spans="1:24">
      <c r="A243">
        <f>HYPERLINK("https://www.philgeps.gov.ph/GEPSNONPILOT/Tender/SplashBidNoticeAbstractUI.aspx?menuIndex=3&amp;refID=7194268&amp;Result=3","7194268")</f>
        <v>0</v>
      </c>
      <c r="B243" t="s">
        <v>135</v>
      </c>
      <c r="C243" t="s">
        <v>4137</v>
      </c>
      <c r="D243" t="s">
        <v>19009</v>
      </c>
      <c r="E243" t="s">
        <v>19328</v>
      </c>
      <c r="F243" t="s">
        <v>32606</v>
      </c>
      <c r="G243" t="s">
        <v>32613</v>
      </c>
      <c r="H243" t="s">
        <v>32623</v>
      </c>
      <c r="I243" t="s">
        <v>17648</v>
      </c>
      <c r="J243" t="s">
        <v>32968</v>
      </c>
      <c r="K243" t="s">
        <v>42658</v>
      </c>
      <c r="M243" t="s">
        <v>43036</v>
      </c>
      <c r="N243" t="s">
        <v>47304</v>
      </c>
      <c r="O243" t="s">
        <v>47305</v>
      </c>
      <c r="P243">
        <v>0</v>
      </c>
      <c r="Q243">
        <v>0</v>
      </c>
      <c r="R243" t="s">
        <v>47306</v>
      </c>
      <c r="S243" t="s">
        <v>47414</v>
      </c>
      <c r="T243" t="s">
        <v>49032</v>
      </c>
      <c r="U243" t="s">
        <v>49775</v>
      </c>
      <c r="V243" t="s">
        <v>62678</v>
      </c>
      <c r="W243" t="s">
        <v>43036</v>
      </c>
      <c r="X243" t="s">
        <v>47309</v>
      </c>
    </row>
    <row r="244" spans="1:24">
      <c r="A244">
        <f>HYPERLINK("https://www.philgeps.gov.ph/GEPSNONPILOT/Tender/SplashBidNoticeAbstractUI.aspx?menuIndex=3&amp;refID=7193501&amp;Result=3","7193501")</f>
        <v>0</v>
      </c>
      <c r="B244" t="s">
        <v>136</v>
      </c>
      <c r="C244" t="s">
        <v>4138</v>
      </c>
      <c r="D244" t="s">
        <v>19024</v>
      </c>
      <c r="E244" t="s">
        <v>19329</v>
      </c>
      <c r="F244" t="s">
        <v>32606</v>
      </c>
      <c r="G244" t="s">
        <v>32613</v>
      </c>
      <c r="H244" t="s">
        <v>14201</v>
      </c>
      <c r="I244" t="s">
        <v>32631</v>
      </c>
      <c r="J244" t="s">
        <v>32969</v>
      </c>
      <c r="K244" t="s">
        <v>42623</v>
      </c>
      <c r="M244" t="s">
        <v>43037</v>
      </c>
      <c r="N244" t="s">
        <v>47304</v>
      </c>
      <c r="O244" t="s">
        <v>47305</v>
      </c>
      <c r="P244">
        <v>0</v>
      </c>
      <c r="Q244">
        <v>0</v>
      </c>
      <c r="R244" t="s">
        <v>47306</v>
      </c>
      <c r="S244" t="s">
        <v>47414</v>
      </c>
      <c r="T244" t="s">
        <v>49009</v>
      </c>
      <c r="U244" t="s">
        <v>49776</v>
      </c>
      <c r="W244" t="s">
        <v>43037</v>
      </c>
      <c r="X244" t="s">
        <v>47311</v>
      </c>
    </row>
    <row r="245" spans="1:24">
      <c r="A245">
        <f>HYPERLINK("https://www.philgeps.gov.ph/GEPSNONPILOT/Tender/SplashBidNoticeAbstractUI.aspx?menuIndex=3&amp;refID=7194193&amp;Result=3","7194193")</f>
        <v>0</v>
      </c>
      <c r="B245" t="s">
        <v>137</v>
      </c>
      <c r="C245" t="s">
        <v>4123</v>
      </c>
      <c r="D245" t="s">
        <v>19005</v>
      </c>
      <c r="E245" t="s">
        <v>19330</v>
      </c>
      <c r="F245" t="s">
        <v>32606</v>
      </c>
      <c r="G245" t="s">
        <v>32613</v>
      </c>
      <c r="H245" t="s">
        <v>14201</v>
      </c>
      <c r="I245" t="s">
        <v>4678</v>
      </c>
      <c r="J245" t="s">
        <v>32967</v>
      </c>
      <c r="K245" t="s">
        <v>42630</v>
      </c>
      <c r="M245" t="s">
        <v>43038</v>
      </c>
      <c r="N245" t="s">
        <v>47304</v>
      </c>
      <c r="O245" t="s">
        <v>47305</v>
      </c>
      <c r="P245">
        <v>0</v>
      </c>
      <c r="Q245">
        <v>0</v>
      </c>
      <c r="R245" t="s">
        <v>47306</v>
      </c>
      <c r="S245" t="s">
        <v>47414</v>
      </c>
      <c r="T245" t="s">
        <v>48976</v>
      </c>
      <c r="U245" t="s">
        <v>49777</v>
      </c>
      <c r="W245" t="s">
        <v>43038</v>
      </c>
      <c r="X245" t="s">
        <v>47309</v>
      </c>
    </row>
    <row r="246" spans="1:24">
      <c r="A246">
        <f>HYPERLINK("https://www.philgeps.gov.ph/GEPSNONPILOT/Tender/SplashBidNoticeAbstractUI.aspx?menuIndex=3&amp;refID=7194204&amp;Result=3","7194204")</f>
        <v>0</v>
      </c>
      <c r="B246" t="s">
        <v>138</v>
      </c>
      <c r="C246" t="s">
        <v>4124</v>
      </c>
      <c r="D246" t="s">
        <v>19005</v>
      </c>
      <c r="E246" t="s">
        <v>19331</v>
      </c>
      <c r="F246" t="s">
        <v>32606</v>
      </c>
      <c r="G246" t="s">
        <v>32613</v>
      </c>
      <c r="H246" t="s">
        <v>14201</v>
      </c>
      <c r="I246" t="s">
        <v>13131</v>
      </c>
      <c r="J246" t="s">
        <v>32970</v>
      </c>
      <c r="K246" t="s">
        <v>42638</v>
      </c>
      <c r="M246" t="s">
        <v>43039</v>
      </c>
      <c r="N246" t="s">
        <v>47304</v>
      </c>
      <c r="O246" t="s">
        <v>47305</v>
      </c>
      <c r="P246">
        <v>0</v>
      </c>
      <c r="Q246">
        <v>0</v>
      </c>
      <c r="R246" t="s">
        <v>47306</v>
      </c>
      <c r="S246" t="s">
        <v>47414</v>
      </c>
      <c r="T246" t="s">
        <v>48976</v>
      </c>
      <c r="U246" t="s">
        <v>49778</v>
      </c>
      <c r="W246" t="s">
        <v>43039</v>
      </c>
      <c r="X246" t="s">
        <v>47309</v>
      </c>
    </row>
    <row r="247" spans="1:24">
      <c r="A247">
        <f>HYPERLINK("https://www.philgeps.gov.ph/GEPSNONPILOT/Tender/SplashBidNoticeAbstractUI.aspx?menuIndex=3&amp;refID=7194186&amp;Result=3","7194186")</f>
        <v>0</v>
      </c>
      <c r="B247" t="s">
        <v>139</v>
      </c>
      <c r="C247" t="s">
        <v>4123</v>
      </c>
      <c r="D247" t="s">
        <v>19005</v>
      </c>
      <c r="E247" t="s">
        <v>19332</v>
      </c>
      <c r="F247" t="s">
        <v>32606</v>
      </c>
      <c r="G247" t="s">
        <v>32613</v>
      </c>
      <c r="H247" t="s">
        <v>14201</v>
      </c>
      <c r="I247" t="s">
        <v>4678</v>
      </c>
      <c r="J247" t="s">
        <v>32752</v>
      </c>
      <c r="K247" t="s">
        <v>42623</v>
      </c>
      <c r="M247" t="s">
        <v>43040</v>
      </c>
      <c r="N247" t="s">
        <v>47304</v>
      </c>
      <c r="O247" t="s">
        <v>47305</v>
      </c>
      <c r="P247">
        <v>0</v>
      </c>
      <c r="Q247">
        <v>0</v>
      </c>
      <c r="R247" t="s">
        <v>47306</v>
      </c>
      <c r="S247" t="s">
        <v>47414</v>
      </c>
      <c r="T247" t="s">
        <v>48976</v>
      </c>
      <c r="U247" t="s">
        <v>49779</v>
      </c>
      <c r="W247" t="s">
        <v>43040</v>
      </c>
      <c r="X247" t="s">
        <v>47309</v>
      </c>
    </row>
    <row r="248" spans="1:24">
      <c r="A248">
        <f>HYPERLINK("https://www.philgeps.gov.ph/GEPSNONPILOT/Tender/SplashBidNoticeAbstractUI.aspx?menuIndex=3&amp;refID=7194182&amp;Result=3","7194182")</f>
        <v>0</v>
      </c>
      <c r="B248" t="s">
        <v>140</v>
      </c>
      <c r="C248" t="s">
        <v>4123</v>
      </c>
      <c r="D248" t="s">
        <v>19005</v>
      </c>
      <c r="E248" t="s">
        <v>19316</v>
      </c>
      <c r="F248" t="s">
        <v>32606</v>
      </c>
      <c r="G248" t="s">
        <v>32613</v>
      </c>
      <c r="H248" t="s">
        <v>14201</v>
      </c>
      <c r="I248" t="s">
        <v>4678</v>
      </c>
      <c r="J248" t="s">
        <v>32971</v>
      </c>
      <c r="K248" t="s">
        <v>42630</v>
      </c>
      <c r="M248" t="s">
        <v>43041</v>
      </c>
      <c r="N248" t="s">
        <v>47304</v>
      </c>
      <c r="O248" t="s">
        <v>47305</v>
      </c>
      <c r="P248">
        <v>0</v>
      </c>
      <c r="Q248">
        <v>1</v>
      </c>
      <c r="R248" t="s">
        <v>47306</v>
      </c>
      <c r="S248" t="s">
        <v>47414</v>
      </c>
      <c r="T248" t="s">
        <v>48976</v>
      </c>
      <c r="U248" t="s">
        <v>49780</v>
      </c>
      <c r="W248" t="s">
        <v>43041</v>
      </c>
      <c r="X248" t="s">
        <v>47309</v>
      </c>
    </row>
    <row r="249" spans="1:24">
      <c r="A249">
        <f>HYPERLINK("https://www.philgeps.gov.ph/GEPSNONPILOT/Tender/SplashBidNoticeAbstractUI.aspx?menuIndex=3&amp;refID=7194267&amp;Result=3","7194267")</f>
        <v>0</v>
      </c>
      <c r="B249" t="s">
        <v>141</v>
      </c>
      <c r="C249" t="s">
        <v>4139</v>
      </c>
      <c r="E249" t="s">
        <v>19333</v>
      </c>
      <c r="F249" t="s">
        <v>32606</v>
      </c>
      <c r="G249" t="s">
        <v>32617</v>
      </c>
      <c r="H249" t="s">
        <v>14201</v>
      </c>
      <c r="I249" t="s">
        <v>4120</v>
      </c>
      <c r="J249" t="s">
        <v>32972</v>
      </c>
      <c r="K249" t="s">
        <v>42624</v>
      </c>
      <c r="M249" t="s">
        <v>43042</v>
      </c>
      <c r="N249" t="s">
        <v>47304</v>
      </c>
      <c r="O249" t="s">
        <v>47305</v>
      </c>
      <c r="P249">
        <v>0</v>
      </c>
      <c r="Q249">
        <v>0</v>
      </c>
      <c r="R249" t="s">
        <v>47306</v>
      </c>
      <c r="S249" t="s">
        <v>47414</v>
      </c>
      <c r="T249" t="s">
        <v>49004</v>
      </c>
      <c r="U249" t="s">
        <v>49781</v>
      </c>
      <c r="W249" t="s">
        <v>43042</v>
      </c>
      <c r="X249" t="s">
        <v>47309</v>
      </c>
    </row>
    <row r="250" spans="1:24">
      <c r="A250">
        <f>HYPERLINK("https://www.philgeps.gov.ph/GEPSNONPILOT/Tender/SplashBidNoticeAbstractUI.aspx?menuIndex=3&amp;refID=7194180&amp;Result=3","7194180")</f>
        <v>0</v>
      </c>
      <c r="B250" t="s">
        <v>140</v>
      </c>
      <c r="C250" t="s">
        <v>4129</v>
      </c>
      <c r="D250" t="s">
        <v>19005</v>
      </c>
      <c r="E250" t="s">
        <v>19317</v>
      </c>
      <c r="F250" t="s">
        <v>32606</v>
      </c>
      <c r="G250" t="s">
        <v>32617</v>
      </c>
      <c r="H250" t="s">
        <v>14201</v>
      </c>
      <c r="I250" t="s">
        <v>4120</v>
      </c>
      <c r="J250" t="s">
        <v>32973</v>
      </c>
      <c r="K250" t="s">
        <v>42630</v>
      </c>
      <c r="M250" t="s">
        <v>43041</v>
      </c>
      <c r="N250" t="s">
        <v>47304</v>
      </c>
      <c r="O250" t="s">
        <v>47305</v>
      </c>
      <c r="P250">
        <v>0</v>
      </c>
      <c r="Q250">
        <v>0</v>
      </c>
      <c r="R250" t="s">
        <v>47306</v>
      </c>
      <c r="S250" t="s">
        <v>47414</v>
      </c>
      <c r="T250" t="s">
        <v>48976</v>
      </c>
      <c r="U250" t="s">
        <v>49782</v>
      </c>
      <c r="W250" t="s">
        <v>43041</v>
      </c>
      <c r="X250" t="s">
        <v>47309</v>
      </c>
    </row>
    <row r="251" spans="1:24">
      <c r="A251">
        <f>HYPERLINK("https://www.philgeps.gov.ph/GEPSNONPILOT/Tender/SplashBidNoticeAbstractUI.aspx?menuIndex=3&amp;refID=7194207&amp;Result=3","7194207")</f>
        <v>0</v>
      </c>
      <c r="B251" t="s">
        <v>138</v>
      </c>
      <c r="C251" t="s">
        <v>4129</v>
      </c>
      <c r="D251" t="s">
        <v>19005</v>
      </c>
      <c r="E251" t="s">
        <v>19334</v>
      </c>
      <c r="F251" t="s">
        <v>32606</v>
      </c>
      <c r="G251" t="s">
        <v>32617</v>
      </c>
      <c r="H251" t="s">
        <v>14201</v>
      </c>
      <c r="I251" t="s">
        <v>4120</v>
      </c>
      <c r="J251" t="s">
        <v>32974</v>
      </c>
      <c r="K251" t="s">
        <v>42630</v>
      </c>
      <c r="M251" t="s">
        <v>43039</v>
      </c>
      <c r="N251" t="s">
        <v>47304</v>
      </c>
      <c r="O251" t="s">
        <v>47305</v>
      </c>
      <c r="P251">
        <v>0</v>
      </c>
      <c r="Q251">
        <v>0</v>
      </c>
      <c r="R251" t="s">
        <v>47306</v>
      </c>
      <c r="S251" t="s">
        <v>47414</v>
      </c>
      <c r="T251" t="s">
        <v>48976</v>
      </c>
      <c r="U251" t="s">
        <v>49783</v>
      </c>
      <c r="W251" t="s">
        <v>43039</v>
      </c>
      <c r="X251" t="s">
        <v>47309</v>
      </c>
    </row>
    <row r="252" spans="1:24">
      <c r="A252">
        <f>HYPERLINK("https://www.philgeps.gov.ph/GEPSNONPILOT/Tender/SplashBidNoticeAbstractUI.aspx?menuIndex=3&amp;refID=7194168&amp;Result=3","7194168")</f>
        <v>0</v>
      </c>
      <c r="B252" t="s">
        <v>126</v>
      </c>
      <c r="C252" t="s">
        <v>4123</v>
      </c>
      <c r="D252" t="s">
        <v>19005</v>
      </c>
      <c r="E252" t="s">
        <v>19120</v>
      </c>
      <c r="F252" t="s">
        <v>32606</v>
      </c>
      <c r="G252" t="s">
        <v>32613</v>
      </c>
      <c r="H252" t="s">
        <v>14201</v>
      </c>
      <c r="I252" t="s">
        <v>4678</v>
      </c>
      <c r="J252" t="s">
        <v>32975</v>
      </c>
      <c r="K252" t="s">
        <v>42623</v>
      </c>
      <c r="M252" t="s">
        <v>43027</v>
      </c>
      <c r="N252" t="s">
        <v>47304</v>
      </c>
      <c r="O252" t="s">
        <v>47305</v>
      </c>
      <c r="P252">
        <v>0</v>
      </c>
      <c r="Q252">
        <v>1</v>
      </c>
      <c r="R252" t="s">
        <v>47306</v>
      </c>
      <c r="S252" t="s">
        <v>47414</v>
      </c>
      <c r="T252" t="s">
        <v>48976</v>
      </c>
      <c r="U252" t="s">
        <v>49784</v>
      </c>
      <c r="W252" t="s">
        <v>43027</v>
      </c>
      <c r="X252" t="s">
        <v>47309</v>
      </c>
    </row>
    <row r="253" spans="1:24">
      <c r="A253">
        <f>HYPERLINK("https://www.philgeps.gov.ph/GEPSNONPILOT/Tender/SplashBidNoticeAbstractUI.aspx?menuIndex=3&amp;refID=7194189&amp;Result=3","7194189")</f>
        <v>0</v>
      </c>
      <c r="B253" t="s">
        <v>142</v>
      </c>
      <c r="C253" t="s">
        <v>4123</v>
      </c>
      <c r="D253" t="s">
        <v>19005</v>
      </c>
      <c r="E253" t="s">
        <v>19327</v>
      </c>
      <c r="F253" t="s">
        <v>32606</v>
      </c>
      <c r="G253" t="s">
        <v>32613</v>
      </c>
      <c r="H253" t="s">
        <v>14201</v>
      </c>
      <c r="I253" t="s">
        <v>4678</v>
      </c>
      <c r="J253" t="s">
        <v>32967</v>
      </c>
      <c r="K253" t="s">
        <v>42623</v>
      </c>
      <c r="M253" t="s">
        <v>43043</v>
      </c>
      <c r="N253" t="s">
        <v>47304</v>
      </c>
      <c r="O253" t="s">
        <v>47305</v>
      </c>
      <c r="P253">
        <v>0</v>
      </c>
      <c r="Q253">
        <v>1</v>
      </c>
      <c r="R253" t="s">
        <v>47306</v>
      </c>
      <c r="S253" t="s">
        <v>47414</v>
      </c>
      <c r="T253" t="s">
        <v>48976</v>
      </c>
      <c r="U253" t="s">
        <v>49785</v>
      </c>
      <c r="W253" t="s">
        <v>43043</v>
      </c>
      <c r="X253" t="s">
        <v>47309</v>
      </c>
    </row>
    <row r="254" spans="1:24">
      <c r="A254">
        <f>HYPERLINK("https://www.philgeps.gov.ph/GEPSNONPILOT/Tender/SplashBidNoticeAbstractUI.aspx?menuIndex=3&amp;refID=7194354&amp;Result=3","7194354")</f>
        <v>0</v>
      </c>
      <c r="B254" t="s">
        <v>38</v>
      </c>
      <c r="C254" t="s">
        <v>4140</v>
      </c>
      <c r="D254" t="s">
        <v>18998</v>
      </c>
      <c r="E254" t="s">
        <v>19335</v>
      </c>
      <c r="F254" t="s">
        <v>32606</v>
      </c>
      <c r="G254" t="s">
        <v>32613</v>
      </c>
      <c r="H254" t="s">
        <v>14201</v>
      </c>
      <c r="I254" t="s">
        <v>32638</v>
      </c>
      <c r="J254" t="s">
        <v>32976</v>
      </c>
      <c r="K254" t="s">
        <v>42631</v>
      </c>
      <c r="M254" t="s">
        <v>42935</v>
      </c>
      <c r="N254" t="s">
        <v>47304</v>
      </c>
      <c r="O254" t="s">
        <v>47305</v>
      </c>
      <c r="P254">
        <v>0</v>
      </c>
      <c r="Q254">
        <v>16</v>
      </c>
      <c r="R254" t="s">
        <v>47306</v>
      </c>
      <c r="S254" t="s">
        <v>47414</v>
      </c>
      <c r="T254" t="s">
        <v>48995</v>
      </c>
      <c r="U254" t="s">
        <v>49786</v>
      </c>
      <c r="W254" t="s">
        <v>42935</v>
      </c>
      <c r="X254" t="s">
        <v>47308</v>
      </c>
    </row>
    <row r="255" spans="1:24">
      <c r="A255">
        <f>HYPERLINK("https://www.philgeps.gov.ph/GEPSNONPILOT/Tender/SplashBidNoticeAbstractUI.aspx?menuIndex=3&amp;refID=7194177&amp;Result=3","7194177")</f>
        <v>0</v>
      </c>
      <c r="B255" t="s">
        <v>140</v>
      </c>
      <c r="C255" t="s">
        <v>4141</v>
      </c>
      <c r="D255" t="s">
        <v>19005</v>
      </c>
      <c r="E255" t="s">
        <v>19318</v>
      </c>
      <c r="F255" t="s">
        <v>32606</v>
      </c>
      <c r="G255" t="s">
        <v>32617</v>
      </c>
      <c r="H255" t="s">
        <v>14201</v>
      </c>
      <c r="I255" t="s">
        <v>13131</v>
      </c>
      <c r="J255" t="s">
        <v>32977</v>
      </c>
      <c r="K255" t="s">
        <v>42630</v>
      </c>
      <c r="M255" t="s">
        <v>43041</v>
      </c>
      <c r="N255" t="s">
        <v>47304</v>
      </c>
      <c r="O255" t="s">
        <v>47305</v>
      </c>
      <c r="P255">
        <v>0</v>
      </c>
      <c r="Q255">
        <v>0</v>
      </c>
      <c r="R255" t="s">
        <v>47306</v>
      </c>
      <c r="S255" t="s">
        <v>47414</v>
      </c>
      <c r="T255" t="s">
        <v>48976</v>
      </c>
      <c r="U255" t="s">
        <v>49787</v>
      </c>
      <c r="W255" t="s">
        <v>43041</v>
      </c>
      <c r="X255" t="s">
        <v>47309</v>
      </c>
    </row>
    <row r="256" spans="1:24">
      <c r="A256">
        <f>HYPERLINK("https://www.philgeps.gov.ph/GEPSNONPILOT/Tender/SplashBidNoticeAbstractUI.aspx?menuIndex=3&amp;refID=7194094&amp;Result=3","7194094")</f>
        <v>0</v>
      </c>
      <c r="B256" t="s">
        <v>127</v>
      </c>
      <c r="C256" t="s">
        <v>4142</v>
      </c>
      <c r="D256" t="s">
        <v>19005</v>
      </c>
      <c r="E256" t="s">
        <v>19313</v>
      </c>
      <c r="F256" t="s">
        <v>32606</v>
      </c>
      <c r="G256" t="s">
        <v>32613</v>
      </c>
      <c r="H256" t="s">
        <v>32623</v>
      </c>
      <c r="I256" t="s">
        <v>17648</v>
      </c>
      <c r="J256" t="s">
        <v>32978</v>
      </c>
      <c r="K256" t="s">
        <v>42635</v>
      </c>
      <c r="M256" t="s">
        <v>43028</v>
      </c>
      <c r="N256" t="s">
        <v>47304</v>
      </c>
      <c r="O256" t="s">
        <v>47305</v>
      </c>
      <c r="P256">
        <v>0</v>
      </c>
      <c r="Q256">
        <v>0</v>
      </c>
      <c r="R256" t="s">
        <v>47306</v>
      </c>
      <c r="S256" t="s">
        <v>47414</v>
      </c>
      <c r="T256" t="s">
        <v>48976</v>
      </c>
      <c r="U256" t="s">
        <v>49788</v>
      </c>
      <c r="W256" t="s">
        <v>43028</v>
      </c>
      <c r="X256" t="s">
        <v>47309</v>
      </c>
    </row>
    <row r="257" spans="1:24">
      <c r="A257">
        <f>HYPERLINK("https://www.philgeps.gov.ph/GEPSNONPILOT/Tender/SplashBidNoticeAbstractUI.aspx?menuIndex=3&amp;refID=7194351&amp;Result=3","7194351")</f>
        <v>0</v>
      </c>
      <c r="B257" t="s">
        <v>143</v>
      </c>
      <c r="C257" t="s">
        <v>4143</v>
      </c>
      <c r="D257" t="s">
        <v>19032</v>
      </c>
      <c r="E257" t="s">
        <v>19336</v>
      </c>
      <c r="F257" t="s">
        <v>32606</v>
      </c>
      <c r="G257" t="s">
        <v>32613</v>
      </c>
      <c r="H257" t="s">
        <v>14201</v>
      </c>
      <c r="I257" t="s">
        <v>32633</v>
      </c>
      <c r="J257" t="s">
        <v>32979</v>
      </c>
      <c r="K257" t="s">
        <v>42632</v>
      </c>
      <c r="M257" t="s">
        <v>43044</v>
      </c>
      <c r="N257" t="s">
        <v>47304</v>
      </c>
      <c r="O257" t="s">
        <v>47305</v>
      </c>
      <c r="P257">
        <v>0</v>
      </c>
      <c r="Q257">
        <v>1</v>
      </c>
      <c r="R257" t="s">
        <v>47306</v>
      </c>
      <c r="S257" t="s">
        <v>47414</v>
      </c>
      <c r="T257" t="s">
        <v>48987</v>
      </c>
      <c r="U257" t="s">
        <v>49789</v>
      </c>
      <c r="W257" t="s">
        <v>43044</v>
      </c>
      <c r="X257" t="s">
        <v>47308</v>
      </c>
    </row>
    <row r="258" spans="1:24">
      <c r="A258">
        <f>HYPERLINK("https://www.philgeps.gov.ph/GEPSNONPILOT/Tender/SplashBidNoticeAbstractUI.aspx?menuIndex=3&amp;refID=7194171&amp;Result=3","7194171")</f>
        <v>0</v>
      </c>
      <c r="B258" t="s">
        <v>144</v>
      </c>
      <c r="C258" t="s">
        <v>4144</v>
      </c>
      <c r="D258" t="s">
        <v>19007</v>
      </c>
      <c r="E258" t="s">
        <v>19337</v>
      </c>
      <c r="F258" t="s">
        <v>32606</v>
      </c>
      <c r="G258" t="s">
        <v>32613</v>
      </c>
      <c r="H258" t="s">
        <v>32623</v>
      </c>
      <c r="I258" t="s">
        <v>17648</v>
      </c>
      <c r="J258" t="s">
        <v>32980</v>
      </c>
      <c r="K258" t="s">
        <v>42636</v>
      </c>
      <c r="M258" t="s">
        <v>43045</v>
      </c>
      <c r="N258" t="s">
        <v>47304</v>
      </c>
      <c r="O258" t="s">
        <v>47305</v>
      </c>
      <c r="P258">
        <v>0</v>
      </c>
      <c r="Q258">
        <v>0</v>
      </c>
      <c r="R258" t="s">
        <v>47306</v>
      </c>
      <c r="S258" t="s">
        <v>47414</v>
      </c>
      <c r="T258" t="s">
        <v>49002</v>
      </c>
      <c r="U258" t="s">
        <v>49790</v>
      </c>
      <c r="W258" t="s">
        <v>43045</v>
      </c>
      <c r="X258" t="s">
        <v>47309</v>
      </c>
    </row>
    <row r="259" spans="1:24">
      <c r="A259">
        <f>HYPERLINK("https://www.philgeps.gov.ph/GEPSNONPILOT/Tender/SplashBidNoticeAbstractUI.aspx?menuIndex=3&amp;refID=7194201&amp;Result=3","7194201")</f>
        <v>0</v>
      </c>
      <c r="B259" t="s">
        <v>138</v>
      </c>
      <c r="C259" t="s">
        <v>4123</v>
      </c>
      <c r="D259" t="s">
        <v>19005</v>
      </c>
      <c r="E259" t="s">
        <v>19338</v>
      </c>
      <c r="F259" t="s">
        <v>32606</v>
      </c>
      <c r="G259" t="s">
        <v>32613</v>
      </c>
      <c r="H259" t="s">
        <v>14201</v>
      </c>
      <c r="I259" t="s">
        <v>4678</v>
      </c>
      <c r="J259" t="s">
        <v>32981</v>
      </c>
      <c r="K259" t="s">
        <v>42638</v>
      </c>
      <c r="M259" t="s">
        <v>43039</v>
      </c>
      <c r="N259" t="s">
        <v>47304</v>
      </c>
      <c r="O259" t="s">
        <v>47305</v>
      </c>
      <c r="P259">
        <v>0</v>
      </c>
      <c r="Q259">
        <v>2</v>
      </c>
      <c r="R259" t="s">
        <v>47306</v>
      </c>
      <c r="S259" t="s">
        <v>47414</v>
      </c>
      <c r="T259" t="s">
        <v>48976</v>
      </c>
      <c r="U259" t="s">
        <v>49791</v>
      </c>
      <c r="W259" t="s">
        <v>43039</v>
      </c>
      <c r="X259" t="s">
        <v>47309</v>
      </c>
    </row>
    <row r="260" spans="1:24">
      <c r="A260">
        <f>HYPERLINK("https://www.philgeps.gov.ph/GEPSNONPILOT/Tender/SplashBidNoticeAbstractUI.aspx?menuIndex=3&amp;refID=7194345&amp;Result=3","7194345")</f>
        <v>0</v>
      </c>
      <c r="B260" t="s">
        <v>145</v>
      </c>
      <c r="C260" t="s">
        <v>4145</v>
      </c>
      <c r="D260" t="s">
        <v>19033</v>
      </c>
      <c r="E260" t="s">
        <v>19339</v>
      </c>
      <c r="F260" t="s">
        <v>32606</v>
      </c>
      <c r="G260" t="s">
        <v>32613</v>
      </c>
      <c r="H260" t="s">
        <v>32623</v>
      </c>
      <c r="I260" t="s">
        <v>32659</v>
      </c>
      <c r="J260" t="s">
        <v>32981</v>
      </c>
      <c r="K260" t="s">
        <v>42631</v>
      </c>
      <c r="M260" t="s">
        <v>43046</v>
      </c>
      <c r="N260" t="s">
        <v>47304</v>
      </c>
      <c r="O260" t="s">
        <v>47305</v>
      </c>
      <c r="P260">
        <v>0</v>
      </c>
      <c r="Q260">
        <v>0</v>
      </c>
      <c r="R260" t="s">
        <v>47306</v>
      </c>
      <c r="S260" t="s">
        <v>47414</v>
      </c>
      <c r="T260" t="s">
        <v>48971</v>
      </c>
      <c r="U260" t="s">
        <v>49792</v>
      </c>
      <c r="W260" t="s">
        <v>43046</v>
      </c>
      <c r="X260" t="s">
        <v>47309</v>
      </c>
    </row>
    <row r="261" spans="1:24">
      <c r="A261">
        <f>HYPERLINK("https://www.philgeps.gov.ph/GEPSNONPILOT/Tender/SplashBidNoticeAbstractUI.aspx?menuIndex=3&amp;refID=7194335&amp;Result=3","7194335")</f>
        <v>0</v>
      </c>
      <c r="B261" t="s">
        <v>145</v>
      </c>
      <c r="C261" t="s">
        <v>4146</v>
      </c>
      <c r="D261" t="s">
        <v>19033</v>
      </c>
      <c r="E261" t="s">
        <v>19340</v>
      </c>
      <c r="F261" t="s">
        <v>32606</v>
      </c>
      <c r="G261" t="s">
        <v>32613</v>
      </c>
      <c r="H261" t="s">
        <v>32623</v>
      </c>
      <c r="I261" t="s">
        <v>32659</v>
      </c>
      <c r="J261" t="s">
        <v>32981</v>
      </c>
      <c r="K261" t="s">
        <v>42631</v>
      </c>
      <c r="M261" t="s">
        <v>43046</v>
      </c>
      <c r="N261" t="s">
        <v>47304</v>
      </c>
      <c r="O261" t="s">
        <v>47305</v>
      </c>
      <c r="P261">
        <v>0</v>
      </c>
      <c r="Q261">
        <v>0</v>
      </c>
      <c r="R261" t="s">
        <v>47306</v>
      </c>
      <c r="S261" t="s">
        <v>47414</v>
      </c>
      <c r="T261" t="s">
        <v>48971</v>
      </c>
      <c r="U261" t="s">
        <v>49793</v>
      </c>
      <c r="W261" t="s">
        <v>43046</v>
      </c>
      <c r="X261" t="s">
        <v>47309</v>
      </c>
    </row>
    <row r="262" spans="1:24">
      <c r="A262">
        <f>HYPERLINK("https://www.philgeps.gov.ph/GEPSNONPILOT/Tender/SplashBidNoticeAbstractUI.aspx?menuIndex=3&amp;refID=7194151&amp;Result=3","7194151")</f>
        <v>0</v>
      </c>
      <c r="B262" t="s">
        <v>126</v>
      </c>
      <c r="C262" t="s">
        <v>4129</v>
      </c>
      <c r="D262" t="s">
        <v>19005</v>
      </c>
      <c r="E262" t="s">
        <v>19318</v>
      </c>
      <c r="F262" t="s">
        <v>32606</v>
      </c>
      <c r="G262" t="s">
        <v>32617</v>
      </c>
      <c r="H262" t="s">
        <v>14201</v>
      </c>
      <c r="I262" t="s">
        <v>4120</v>
      </c>
      <c r="J262" t="s">
        <v>32982</v>
      </c>
      <c r="K262" t="s">
        <v>42630</v>
      </c>
      <c r="M262" t="s">
        <v>43027</v>
      </c>
      <c r="N262" t="s">
        <v>47304</v>
      </c>
      <c r="O262" t="s">
        <v>47305</v>
      </c>
      <c r="P262">
        <v>0</v>
      </c>
      <c r="Q262">
        <v>0</v>
      </c>
      <c r="R262" t="s">
        <v>47306</v>
      </c>
      <c r="S262" t="s">
        <v>47414</v>
      </c>
      <c r="T262" t="s">
        <v>48976</v>
      </c>
      <c r="U262" t="s">
        <v>49794</v>
      </c>
      <c r="W262" t="s">
        <v>43027</v>
      </c>
      <c r="X262" t="s">
        <v>47309</v>
      </c>
    </row>
    <row r="263" spans="1:24">
      <c r="A263">
        <f>HYPERLINK("https://www.philgeps.gov.ph/GEPSNONPILOT/Tender/SplashBidNoticeAbstractUI.aspx?menuIndex=3&amp;refID=7194331&amp;Result=3","7194331")</f>
        <v>0</v>
      </c>
      <c r="B263" t="s">
        <v>38</v>
      </c>
      <c r="C263" t="s">
        <v>4147</v>
      </c>
      <c r="D263" t="s">
        <v>18998</v>
      </c>
      <c r="E263" t="s">
        <v>19341</v>
      </c>
      <c r="F263" t="s">
        <v>32606</v>
      </c>
      <c r="G263" t="s">
        <v>32613</v>
      </c>
      <c r="H263" t="s">
        <v>14201</v>
      </c>
      <c r="I263" t="s">
        <v>32638</v>
      </c>
      <c r="J263" t="s">
        <v>32983</v>
      </c>
      <c r="K263" t="s">
        <v>42631</v>
      </c>
      <c r="M263" t="s">
        <v>42935</v>
      </c>
      <c r="N263" t="s">
        <v>47304</v>
      </c>
      <c r="O263" t="s">
        <v>47305</v>
      </c>
      <c r="P263">
        <v>0</v>
      </c>
      <c r="Q263">
        <v>18</v>
      </c>
      <c r="R263" t="s">
        <v>47306</v>
      </c>
      <c r="S263" t="s">
        <v>47414</v>
      </c>
      <c r="T263" t="s">
        <v>49034</v>
      </c>
      <c r="U263" t="s">
        <v>49795</v>
      </c>
      <c r="W263" t="s">
        <v>42935</v>
      </c>
      <c r="X263" t="s">
        <v>47309</v>
      </c>
    </row>
    <row r="264" spans="1:24">
      <c r="A264">
        <f>HYPERLINK("https://www.philgeps.gov.ph/GEPSNONPILOT/Tender/SplashBidNoticeAbstractUI.aspx?menuIndex=3&amp;refID=7194352&amp;Result=3","7194352")</f>
        <v>0</v>
      </c>
      <c r="B264" t="s">
        <v>38</v>
      </c>
      <c r="C264" t="s">
        <v>4148</v>
      </c>
      <c r="D264" t="s">
        <v>18998</v>
      </c>
      <c r="E264" t="s">
        <v>19342</v>
      </c>
      <c r="F264" t="s">
        <v>32606</v>
      </c>
      <c r="G264" t="s">
        <v>32613</v>
      </c>
      <c r="H264" t="s">
        <v>14201</v>
      </c>
      <c r="I264" t="s">
        <v>32638</v>
      </c>
      <c r="J264" t="s">
        <v>32984</v>
      </c>
      <c r="K264" t="s">
        <v>42631</v>
      </c>
      <c r="M264" t="s">
        <v>42935</v>
      </c>
      <c r="N264" t="s">
        <v>47304</v>
      </c>
      <c r="O264" t="s">
        <v>47305</v>
      </c>
      <c r="P264">
        <v>0</v>
      </c>
      <c r="Q264">
        <v>14</v>
      </c>
      <c r="R264" t="s">
        <v>47306</v>
      </c>
      <c r="S264" t="s">
        <v>47414</v>
      </c>
      <c r="T264" t="s">
        <v>49034</v>
      </c>
      <c r="U264" t="s">
        <v>49796</v>
      </c>
      <c r="W264" t="s">
        <v>42935</v>
      </c>
      <c r="X264" t="s">
        <v>47308</v>
      </c>
    </row>
    <row r="265" spans="1:24">
      <c r="A265">
        <f>HYPERLINK("https://www.philgeps.gov.ph/GEPSNONPILOT/Tender/SplashBidNoticeAbstractUI.aspx?menuIndex=3&amp;refID=7194349&amp;Result=3","7194349")</f>
        <v>0</v>
      </c>
      <c r="B265" t="s">
        <v>143</v>
      </c>
      <c r="C265" t="s">
        <v>4149</v>
      </c>
      <c r="D265" t="s">
        <v>19032</v>
      </c>
      <c r="E265" t="s">
        <v>19343</v>
      </c>
      <c r="F265" t="s">
        <v>32606</v>
      </c>
      <c r="G265" t="s">
        <v>32613</v>
      </c>
      <c r="H265" t="s">
        <v>14201</v>
      </c>
      <c r="I265" t="s">
        <v>32658</v>
      </c>
      <c r="J265" t="s">
        <v>32985</v>
      </c>
      <c r="K265" t="s">
        <v>42632</v>
      </c>
      <c r="M265" t="s">
        <v>43044</v>
      </c>
      <c r="N265" t="s">
        <v>47304</v>
      </c>
      <c r="O265" t="s">
        <v>47305</v>
      </c>
      <c r="P265">
        <v>0</v>
      </c>
      <c r="Q265">
        <v>1</v>
      </c>
      <c r="R265" t="s">
        <v>47306</v>
      </c>
      <c r="S265" t="s">
        <v>47414</v>
      </c>
      <c r="T265" t="s">
        <v>48987</v>
      </c>
      <c r="U265" t="s">
        <v>49797</v>
      </c>
      <c r="W265" t="s">
        <v>43044</v>
      </c>
      <c r="X265" t="s">
        <v>47308</v>
      </c>
    </row>
    <row r="266" spans="1:24">
      <c r="A266">
        <f>HYPERLINK("https://www.philgeps.gov.ph/GEPSNONPILOT/Tender/SplashBidNoticeAbstractUI.aspx?menuIndex=3&amp;refID=7194322&amp;Result=3","7194322")</f>
        <v>0</v>
      </c>
      <c r="B266" t="s">
        <v>146</v>
      </c>
      <c r="C266" t="s">
        <v>4150</v>
      </c>
      <c r="D266" t="s">
        <v>19011</v>
      </c>
      <c r="E266" t="s">
        <v>19344</v>
      </c>
      <c r="F266" t="s">
        <v>32606</v>
      </c>
      <c r="G266" t="s">
        <v>32613</v>
      </c>
      <c r="H266" t="s">
        <v>32623</v>
      </c>
      <c r="I266" t="s">
        <v>17648</v>
      </c>
      <c r="J266" t="s">
        <v>32765</v>
      </c>
      <c r="K266" t="s">
        <v>42627</v>
      </c>
      <c r="M266" t="s">
        <v>43047</v>
      </c>
      <c r="N266" t="s">
        <v>47304</v>
      </c>
      <c r="O266" t="s">
        <v>47305</v>
      </c>
      <c r="P266">
        <v>0</v>
      </c>
      <c r="Q266">
        <v>0</v>
      </c>
      <c r="R266" t="s">
        <v>47306</v>
      </c>
      <c r="S266" t="s">
        <v>47414</v>
      </c>
      <c r="T266" t="s">
        <v>49035</v>
      </c>
      <c r="U266" t="s">
        <v>49798</v>
      </c>
      <c r="V266" t="s">
        <v>62679</v>
      </c>
      <c r="W266" t="s">
        <v>43047</v>
      </c>
      <c r="X266" t="s">
        <v>47309</v>
      </c>
    </row>
    <row r="267" spans="1:24">
      <c r="A267">
        <f>HYPERLINK("https://www.philgeps.gov.ph/GEPSNONPILOT/Tender/SplashBidNoticeAbstractUI.aspx?menuIndex=3&amp;refID=7194312&amp;Result=3","7194312")</f>
        <v>0</v>
      </c>
      <c r="B267" t="s">
        <v>141</v>
      </c>
      <c r="C267" t="s">
        <v>4151</v>
      </c>
      <c r="E267" t="s">
        <v>19345</v>
      </c>
      <c r="F267" t="s">
        <v>32606</v>
      </c>
      <c r="G267" t="s">
        <v>32614</v>
      </c>
      <c r="H267" t="s">
        <v>14201</v>
      </c>
      <c r="I267" t="s">
        <v>32634</v>
      </c>
      <c r="J267" t="s">
        <v>32986</v>
      </c>
      <c r="K267" t="s">
        <v>42624</v>
      </c>
      <c r="M267" t="s">
        <v>43042</v>
      </c>
      <c r="N267" t="s">
        <v>47304</v>
      </c>
      <c r="O267" t="s">
        <v>47305</v>
      </c>
      <c r="P267">
        <v>0</v>
      </c>
      <c r="Q267">
        <v>0</v>
      </c>
      <c r="R267" t="s">
        <v>47306</v>
      </c>
      <c r="S267" t="s">
        <v>47414</v>
      </c>
      <c r="T267" t="s">
        <v>48979</v>
      </c>
      <c r="U267" t="s">
        <v>49781</v>
      </c>
      <c r="W267" t="s">
        <v>43042</v>
      </c>
      <c r="X267" t="s">
        <v>47309</v>
      </c>
    </row>
    <row r="268" spans="1:24">
      <c r="A268">
        <f>HYPERLINK("https://www.philgeps.gov.ph/GEPSNONPILOT/Tender/SplashBidNoticeAbstractUI.aspx?menuIndex=3&amp;refID=7194353&amp;Result=3","7194353")</f>
        <v>0</v>
      </c>
      <c r="B268" t="s">
        <v>147</v>
      </c>
      <c r="C268" t="s">
        <v>4152</v>
      </c>
      <c r="D268" t="s">
        <v>19010</v>
      </c>
      <c r="E268" t="s">
        <v>19125</v>
      </c>
      <c r="F268" t="s">
        <v>32606</v>
      </c>
      <c r="G268" t="s">
        <v>32613</v>
      </c>
      <c r="H268" t="s">
        <v>14201</v>
      </c>
      <c r="I268" t="s">
        <v>6931</v>
      </c>
      <c r="J268" t="s">
        <v>32987</v>
      </c>
      <c r="K268" t="s">
        <v>42631</v>
      </c>
      <c r="M268" t="s">
        <v>43048</v>
      </c>
      <c r="N268" t="s">
        <v>47304</v>
      </c>
      <c r="O268" t="s">
        <v>47305</v>
      </c>
      <c r="P268">
        <v>0</v>
      </c>
      <c r="Q268">
        <v>0</v>
      </c>
      <c r="R268" t="s">
        <v>47306</v>
      </c>
      <c r="S268" t="s">
        <v>47414</v>
      </c>
      <c r="T268" t="s">
        <v>49036</v>
      </c>
      <c r="U268" t="s">
        <v>49799</v>
      </c>
      <c r="W268" t="s">
        <v>43048</v>
      </c>
      <c r="X268" t="s">
        <v>47308</v>
      </c>
    </row>
    <row r="269" spans="1:24">
      <c r="A269">
        <f>HYPERLINK("https://www.philgeps.gov.ph/GEPSNONPILOT/Tender/SplashBidNoticeAbstractUI.aspx?menuIndex=3&amp;refID=7194334&amp;Result=3","7194334")</f>
        <v>0</v>
      </c>
      <c r="B269" t="s">
        <v>146</v>
      </c>
      <c r="C269" t="s">
        <v>4153</v>
      </c>
      <c r="D269" t="s">
        <v>19011</v>
      </c>
      <c r="E269" t="s">
        <v>19346</v>
      </c>
      <c r="F269" t="s">
        <v>32606</v>
      </c>
      <c r="G269" t="s">
        <v>32613</v>
      </c>
      <c r="H269" t="s">
        <v>14201</v>
      </c>
      <c r="I269" t="s">
        <v>6931</v>
      </c>
      <c r="J269" t="s">
        <v>32765</v>
      </c>
      <c r="K269" t="s">
        <v>42624</v>
      </c>
      <c r="M269" t="s">
        <v>43047</v>
      </c>
      <c r="N269" t="s">
        <v>47304</v>
      </c>
      <c r="O269" t="s">
        <v>47305</v>
      </c>
      <c r="P269">
        <v>0</v>
      </c>
      <c r="Q269">
        <v>1</v>
      </c>
      <c r="R269" t="s">
        <v>47306</v>
      </c>
      <c r="S269" t="s">
        <v>47414</v>
      </c>
      <c r="T269" t="s">
        <v>49037</v>
      </c>
      <c r="U269" t="s">
        <v>49800</v>
      </c>
      <c r="V269" t="s">
        <v>62679</v>
      </c>
      <c r="W269" t="s">
        <v>43047</v>
      </c>
      <c r="X269" t="s">
        <v>47309</v>
      </c>
    </row>
    <row r="270" spans="1:24">
      <c r="A270">
        <f>HYPERLINK("https://www.philgeps.gov.ph/GEPSNONPILOT/Tender/SplashBidNoticeAbstractUI.aspx?menuIndex=3&amp;refID=7194333&amp;Result=3","7194333")</f>
        <v>0</v>
      </c>
      <c r="B270" t="s">
        <v>146</v>
      </c>
      <c r="C270" t="s">
        <v>4154</v>
      </c>
      <c r="D270" t="s">
        <v>19011</v>
      </c>
      <c r="E270" t="s">
        <v>19347</v>
      </c>
      <c r="F270" t="s">
        <v>32606</v>
      </c>
      <c r="G270" t="s">
        <v>32613</v>
      </c>
      <c r="H270" t="s">
        <v>14201</v>
      </c>
      <c r="I270" t="s">
        <v>9013</v>
      </c>
      <c r="J270" t="s">
        <v>32981</v>
      </c>
      <c r="K270" t="s">
        <v>42624</v>
      </c>
      <c r="M270" t="s">
        <v>43047</v>
      </c>
      <c r="N270" t="s">
        <v>47304</v>
      </c>
      <c r="O270" t="s">
        <v>47305</v>
      </c>
      <c r="P270">
        <v>0</v>
      </c>
      <c r="Q270">
        <v>2</v>
      </c>
      <c r="R270" t="s">
        <v>47306</v>
      </c>
      <c r="S270" t="s">
        <v>47414</v>
      </c>
      <c r="T270" t="s">
        <v>49037</v>
      </c>
      <c r="U270" t="s">
        <v>49801</v>
      </c>
      <c r="V270" t="s">
        <v>62679</v>
      </c>
      <c r="W270" t="s">
        <v>43047</v>
      </c>
      <c r="X270" t="s">
        <v>47309</v>
      </c>
    </row>
    <row r="271" spans="1:24">
      <c r="A271">
        <f>HYPERLINK("https://www.philgeps.gov.ph/GEPSNONPILOT/Tender/SplashBidNoticeAbstractUI.aspx?menuIndex=3&amp;refID=7194288&amp;Result=3","7194288")</f>
        <v>0</v>
      </c>
      <c r="B271" t="s">
        <v>135</v>
      </c>
      <c r="C271" t="s">
        <v>4155</v>
      </c>
      <c r="D271" t="s">
        <v>19009</v>
      </c>
      <c r="E271" t="s">
        <v>19348</v>
      </c>
      <c r="F271" t="s">
        <v>32606</v>
      </c>
      <c r="G271" t="s">
        <v>32613</v>
      </c>
      <c r="H271" t="s">
        <v>32623</v>
      </c>
      <c r="I271" t="s">
        <v>17648</v>
      </c>
      <c r="J271" t="s">
        <v>32988</v>
      </c>
      <c r="K271" t="s">
        <v>42659</v>
      </c>
      <c r="M271" t="s">
        <v>43036</v>
      </c>
      <c r="N271" t="s">
        <v>47304</v>
      </c>
      <c r="O271" t="s">
        <v>47305</v>
      </c>
      <c r="P271">
        <v>0</v>
      </c>
      <c r="Q271">
        <v>0</v>
      </c>
      <c r="R271" t="s">
        <v>47306</v>
      </c>
      <c r="S271" t="s">
        <v>47414</v>
      </c>
      <c r="T271" t="s">
        <v>49032</v>
      </c>
      <c r="U271" t="s">
        <v>49802</v>
      </c>
      <c r="V271" t="s">
        <v>62680</v>
      </c>
      <c r="W271" t="s">
        <v>43036</v>
      </c>
      <c r="X271" t="s">
        <v>47309</v>
      </c>
    </row>
    <row r="272" spans="1:24">
      <c r="A272">
        <f>HYPERLINK("https://www.philgeps.gov.ph/GEPSNONPILOT/Tender/SplashBidNoticeAbstractUI.aspx?menuIndex=3&amp;refID=7194293&amp;Result=3","7194293")</f>
        <v>0</v>
      </c>
      <c r="B272" t="s">
        <v>141</v>
      </c>
      <c r="C272" t="s">
        <v>4139</v>
      </c>
      <c r="E272" t="s">
        <v>19349</v>
      </c>
      <c r="F272" t="s">
        <v>32606</v>
      </c>
      <c r="G272" t="s">
        <v>32617</v>
      </c>
      <c r="H272" t="s">
        <v>14201</v>
      </c>
      <c r="I272" t="s">
        <v>4120</v>
      </c>
      <c r="J272" t="s">
        <v>32989</v>
      </c>
      <c r="K272" t="s">
        <v>42624</v>
      </c>
      <c r="M272" t="s">
        <v>43042</v>
      </c>
      <c r="N272" t="s">
        <v>47304</v>
      </c>
      <c r="O272" t="s">
        <v>47305</v>
      </c>
      <c r="P272">
        <v>0</v>
      </c>
      <c r="Q272">
        <v>1</v>
      </c>
      <c r="R272" t="s">
        <v>47306</v>
      </c>
      <c r="S272" t="s">
        <v>47414</v>
      </c>
      <c r="T272" t="s">
        <v>49004</v>
      </c>
      <c r="U272" t="s">
        <v>49803</v>
      </c>
      <c r="W272" t="s">
        <v>43042</v>
      </c>
      <c r="X272" t="s">
        <v>47309</v>
      </c>
    </row>
    <row r="273" spans="1:24">
      <c r="A273">
        <f>HYPERLINK("https://www.philgeps.gov.ph/GEPSNONPILOT/Tender/SplashBidNoticeAbstractUI.aspx?menuIndex=3&amp;refID=7194376&amp;Result=3","7194376")</f>
        <v>0</v>
      </c>
      <c r="B273" t="s">
        <v>148</v>
      </c>
      <c r="C273" t="s">
        <v>4156</v>
      </c>
      <c r="E273" t="s">
        <v>19350</v>
      </c>
      <c r="F273" t="s">
        <v>32606</v>
      </c>
      <c r="G273" t="s">
        <v>32614</v>
      </c>
      <c r="H273" t="s">
        <v>14201</v>
      </c>
      <c r="I273" t="s">
        <v>32640</v>
      </c>
      <c r="J273" t="s">
        <v>32981</v>
      </c>
      <c r="K273" t="s">
        <v>42623</v>
      </c>
      <c r="M273" t="s">
        <v>43049</v>
      </c>
      <c r="N273" t="s">
        <v>47304</v>
      </c>
      <c r="O273" t="s">
        <v>47305</v>
      </c>
      <c r="P273">
        <v>0</v>
      </c>
      <c r="Q273">
        <v>1</v>
      </c>
      <c r="R273" t="s">
        <v>47306</v>
      </c>
      <c r="S273" t="s">
        <v>47414</v>
      </c>
      <c r="T273" t="s">
        <v>49012</v>
      </c>
      <c r="U273" t="s">
        <v>49804</v>
      </c>
      <c r="W273" t="s">
        <v>43049</v>
      </c>
      <c r="X273" t="s">
        <v>47308</v>
      </c>
    </row>
    <row r="274" spans="1:24">
      <c r="A274">
        <f>HYPERLINK("https://www.philgeps.gov.ph/GEPSNONPILOT/Tender/SplashBidNoticeAbstractUI.aspx?menuIndex=3&amp;refID=7193853&amp;Result=3","7193853")</f>
        <v>0</v>
      </c>
      <c r="B274" t="s">
        <v>119</v>
      </c>
      <c r="C274" t="s">
        <v>4157</v>
      </c>
      <c r="D274" t="s">
        <v>19006</v>
      </c>
      <c r="E274" t="s">
        <v>19351</v>
      </c>
      <c r="F274" t="s">
        <v>32606</v>
      </c>
      <c r="G274" t="s">
        <v>32614</v>
      </c>
      <c r="H274" t="s">
        <v>14201</v>
      </c>
      <c r="I274" t="s">
        <v>32660</v>
      </c>
      <c r="J274" t="s">
        <v>32990</v>
      </c>
      <c r="K274" t="s">
        <v>42631</v>
      </c>
      <c r="M274" t="s">
        <v>43020</v>
      </c>
      <c r="N274" t="s">
        <v>47304</v>
      </c>
      <c r="O274" t="s">
        <v>47305</v>
      </c>
      <c r="P274">
        <v>0</v>
      </c>
      <c r="Q274">
        <v>0</v>
      </c>
      <c r="R274" t="s">
        <v>47306</v>
      </c>
      <c r="S274" t="s">
        <v>47414</v>
      </c>
      <c r="T274" t="s">
        <v>49023</v>
      </c>
      <c r="U274" t="s">
        <v>49805</v>
      </c>
      <c r="W274" t="s">
        <v>43020</v>
      </c>
      <c r="X274" t="s">
        <v>47310</v>
      </c>
    </row>
    <row r="275" spans="1:24">
      <c r="A275">
        <f>HYPERLINK("https://www.philgeps.gov.ph/GEPSNONPILOT/Tender/SplashBidNoticeAbstractUI.aspx?menuIndex=3&amp;refID=7194308&amp;Result=3","7194308")</f>
        <v>0</v>
      </c>
      <c r="B275" t="s">
        <v>141</v>
      </c>
      <c r="C275" t="s">
        <v>4158</v>
      </c>
      <c r="E275" t="s">
        <v>19352</v>
      </c>
      <c r="F275" t="s">
        <v>32606</v>
      </c>
      <c r="G275" t="s">
        <v>32614</v>
      </c>
      <c r="H275" t="s">
        <v>14201</v>
      </c>
      <c r="I275" t="s">
        <v>4678</v>
      </c>
      <c r="J275" t="s">
        <v>32991</v>
      </c>
      <c r="K275" t="s">
        <v>42624</v>
      </c>
      <c r="M275" t="s">
        <v>43042</v>
      </c>
      <c r="N275" t="s">
        <v>47304</v>
      </c>
      <c r="O275" t="s">
        <v>47305</v>
      </c>
      <c r="P275">
        <v>0</v>
      </c>
      <c r="Q275">
        <v>2</v>
      </c>
      <c r="R275" t="s">
        <v>47306</v>
      </c>
      <c r="S275" t="s">
        <v>47414</v>
      </c>
      <c r="T275" t="s">
        <v>49004</v>
      </c>
      <c r="U275" t="s">
        <v>49781</v>
      </c>
      <c r="W275" t="s">
        <v>43042</v>
      </c>
      <c r="X275" t="s">
        <v>47309</v>
      </c>
    </row>
    <row r="276" spans="1:24">
      <c r="A276">
        <f>HYPERLINK("https://www.philgeps.gov.ph/GEPSNONPILOT/Tender/SplashBidNoticeAbstractUI.aspx?menuIndex=3&amp;refID=7194374&amp;Result=3","7194374")</f>
        <v>0</v>
      </c>
      <c r="B276" t="s">
        <v>148</v>
      </c>
      <c r="C276" t="s">
        <v>4159</v>
      </c>
      <c r="E276" t="s">
        <v>19353</v>
      </c>
      <c r="F276" t="s">
        <v>32606</v>
      </c>
      <c r="G276" t="s">
        <v>32614</v>
      </c>
      <c r="H276" t="s">
        <v>14201</v>
      </c>
      <c r="I276" t="s">
        <v>7577</v>
      </c>
      <c r="J276" t="s">
        <v>32992</v>
      </c>
      <c r="K276" t="s">
        <v>42623</v>
      </c>
      <c r="M276" t="s">
        <v>43049</v>
      </c>
      <c r="N276" t="s">
        <v>47304</v>
      </c>
      <c r="O276" t="s">
        <v>47305</v>
      </c>
      <c r="P276">
        <v>0</v>
      </c>
      <c r="Q276">
        <v>0</v>
      </c>
      <c r="R276" t="s">
        <v>47306</v>
      </c>
      <c r="S276" t="s">
        <v>47414</v>
      </c>
      <c r="T276" t="s">
        <v>49038</v>
      </c>
      <c r="U276" t="s">
        <v>49806</v>
      </c>
      <c r="W276" t="s">
        <v>43049</v>
      </c>
      <c r="X276" t="s">
        <v>47308</v>
      </c>
    </row>
    <row r="277" spans="1:24">
      <c r="A277">
        <f>HYPERLINK("https://www.philgeps.gov.ph/GEPSNONPILOT/Tender/SplashBidNoticeAbstractUI.aspx?menuIndex=3&amp;refID=7194304&amp;Result=3","7194304")</f>
        <v>0</v>
      </c>
      <c r="B277" t="s">
        <v>141</v>
      </c>
      <c r="C277" t="s">
        <v>4139</v>
      </c>
      <c r="E277" t="s">
        <v>19354</v>
      </c>
      <c r="F277" t="s">
        <v>32606</v>
      </c>
      <c r="G277" t="s">
        <v>32617</v>
      </c>
      <c r="H277" t="s">
        <v>14201</v>
      </c>
      <c r="I277" t="s">
        <v>4120</v>
      </c>
      <c r="J277" t="s">
        <v>32993</v>
      </c>
      <c r="K277" t="s">
        <v>42624</v>
      </c>
      <c r="M277" t="s">
        <v>43042</v>
      </c>
      <c r="N277" t="s">
        <v>47304</v>
      </c>
      <c r="O277" t="s">
        <v>47305</v>
      </c>
      <c r="P277">
        <v>0</v>
      </c>
      <c r="Q277">
        <v>0</v>
      </c>
      <c r="R277" t="s">
        <v>47306</v>
      </c>
      <c r="S277" t="s">
        <v>47414</v>
      </c>
      <c r="T277" t="s">
        <v>49004</v>
      </c>
      <c r="U277" t="s">
        <v>49807</v>
      </c>
      <c r="W277" t="s">
        <v>43042</v>
      </c>
      <c r="X277" t="s">
        <v>47309</v>
      </c>
    </row>
    <row r="278" spans="1:24">
      <c r="A278">
        <f>HYPERLINK("https://www.philgeps.gov.ph/GEPSNONPILOT/Tender/SplashBidNoticeAbstractUI.aspx?menuIndex=3&amp;refID=7194373&amp;Result=3","7194373")</f>
        <v>0</v>
      </c>
      <c r="B278" t="s">
        <v>149</v>
      </c>
      <c r="C278" t="s">
        <v>4160</v>
      </c>
      <c r="D278" t="s">
        <v>19034</v>
      </c>
      <c r="E278" t="s">
        <v>19355</v>
      </c>
      <c r="F278" t="s">
        <v>32606</v>
      </c>
      <c r="G278" t="s">
        <v>32613</v>
      </c>
      <c r="H278" t="s">
        <v>32623</v>
      </c>
      <c r="I278" t="s">
        <v>17648</v>
      </c>
      <c r="J278" t="s">
        <v>32994</v>
      </c>
      <c r="K278" t="s">
        <v>42660</v>
      </c>
      <c r="M278" t="s">
        <v>43050</v>
      </c>
      <c r="N278" t="s">
        <v>47304</v>
      </c>
      <c r="O278" t="s">
        <v>47305</v>
      </c>
      <c r="P278">
        <v>0</v>
      </c>
      <c r="Q278">
        <v>2</v>
      </c>
      <c r="R278" t="s">
        <v>47306</v>
      </c>
      <c r="S278" t="s">
        <v>47414</v>
      </c>
      <c r="T278" t="s">
        <v>49039</v>
      </c>
      <c r="U278" t="s">
        <v>49808</v>
      </c>
      <c r="V278" t="s">
        <v>62681</v>
      </c>
      <c r="W278" t="s">
        <v>43050</v>
      </c>
      <c r="X278" t="s">
        <v>47308</v>
      </c>
    </row>
    <row r="279" spans="1:24">
      <c r="A279">
        <f>HYPERLINK("https://www.philgeps.gov.ph/GEPSNONPILOT/Tender/SplashBidNoticeAbstractUI.aspx?menuIndex=3&amp;refID=7194325&amp;Result=3","7194325")</f>
        <v>0</v>
      </c>
      <c r="B279" t="s">
        <v>146</v>
      </c>
      <c r="C279" t="s">
        <v>4161</v>
      </c>
      <c r="D279" t="s">
        <v>19011</v>
      </c>
      <c r="E279" t="s">
        <v>19356</v>
      </c>
      <c r="F279" t="s">
        <v>32606</v>
      </c>
      <c r="G279" t="s">
        <v>32613</v>
      </c>
      <c r="H279" t="s">
        <v>32623</v>
      </c>
      <c r="I279" t="s">
        <v>17648</v>
      </c>
      <c r="J279" t="s">
        <v>32995</v>
      </c>
      <c r="K279" t="s">
        <v>42661</v>
      </c>
      <c r="M279" t="s">
        <v>43047</v>
      </c>
      <c r="N279" t="s">
        <v>47304</v>
      </c>
      <c r="O279" t="s">
        <v>47305</v>
      </c>
      <c r="P279">
        <v>0</v>
      </c>
      <c r="Q279">
        <v>0</v>
      </c>
      <c r="R279" t="s">
        <v>47306</v>
      </c>
      <c r="S279" t="s">
        <v>47414</v>
      </c>
      <c r="T279" t="s">
        <v>49037</v>
      </c>
      <c r="U279" t="s">
        <v>49809</v>
      </c>
      <c r="V279" t="s">
        <v>62679</v>
      </c>
      <c r="W279" t="s">
        <v>43047</v>
      </c>
      <c r="X279" t="s">
        <v>47309</v>
      </c>
    </row>
    <row r="280" spans="1:24">
      <c r="A280">
        <f>HYPERLINK("https://www.philgeps.gov.ph/GEPSNONPILOT/Tender/SplashBidNoticeAbstractUI.aspx?menuIndex=3&amp;refID=7194375&amp;Result=3","7194375")</f>
        <v>0</v>
      </c>
      <c r="B280" t="s">
        <v>149</v>
      </c>
      <c r="C280" t="s">
        <v>4162</v>
      </c>
      <c r="D280" t="s">
        <v>19034</v>
      </c>
      <c r="E280" t="s">
        <v>19357</v>
      </c>
      <c r="F280" t="s">
        <v>32606</v>
      </c>
      <c r="G280" t="s">
        <v>32613</v>
      </c>
      <c r="H280" t="s">
        <v>32623</v>
      </c>
      <c r="I280" t="s">
        <v>17648</v>
      </c>
      <c r="J280" t="s">
        <v>32996</v>
      </c>
      <c r="K280" t="s">
        <v>42662</v>
      </c>
      <c r="M280" t="s">
        <v>43050</v>
      </c>
      <c r="N280" t="s">
        <v>47304</v>
      </c>
      <c r="O280" t="s">
        <v>47305</v>
      </c>
      <c r="P280">
        <v>0</v>
      </c>
      <c r="Q280">
        <v>0</v>
      </c>
      <c r="R280" t="s">
        <v>47306</v>
      </c>
      <c r="S280" t="s">
        <v>47414</v>
      </c>
      <c r="T280" t="s">
        <v>48986</v>
      </c>
      <c r="U280" t="s">
        <v>49808</v>
      </c>
      <c r="V280" t="s">
        <v>62682</v>
      </c>
      <c r="W280" t="s">
        <v>43050</v>
      </c>
      <c r="X280" t="s">
        <v>47308</v>
      </c>
    </row>
    <row r="281" spans="1:24">
      <c r="A281">
        <f>HYPERLINK("https://www.philgeps.gov.ph/GEPSNONPILOT/Tender/SplashBidNoticeAbstractUI.aspx?menuIndex=3&amp;refID=7194372&amp;Result=3","7194372")</f>
        <v>0</v>
      </c>
      <c r="B281" t="s">
        <v>150</v>
      </c>
      <c r="C281" t="s">
        <v>4163</v>
      </c>
      <c r="D281" t="s">
        <v>19003</v>
      </c>
      <c r="E281" t="s">
        <v>19358</v>
      </c>
      <c r="F281" t="s">
        <v>32607</v>
      </c>
      <c r="G281" t="s">
        <v>32617</v>
      </c>
      <c r="H281" t="s">
        <v>14201</v>
      </c>
      <c r="I281" t="s">
        <v>4120</v>
      </c>
      <c r="J281" t="s">
        <v>32997</v>
      </c>
      <c r="K281" t="s">
        <v>42663</v>
      </c>
      <c r="M281" t="s">
        <v>43051</v>
      </c>
      <c r="N281" t="s">
        <v>47304</v>
      </c>
      <c r="O281" t="s">
        <v>47305</v>
      </c>
      <c r="P281">
        <v>0</v>
      </c>
      <c r="Q281">
        <v>0</v>
      </c>
      <c r="R281" t="s">
        <v>47306</v>
      </c>
      <c r="S281" t="s">
        <v>47414</v>
      </c>
      <c r="T281" t="s">
        <v>48976</v>
      </c>
      <c r="U281" t="s">
        <v>49810</v>
      </c>
      <c r="W281" t="s">
        <v>43051</v>
      </c>
      <c r="X281" t="s">
        <v>47308</v>
      </c>
    </row>
    <row r="282" spans="1:24">
      <c r="A282">
        <f>HYPERLINK("https://www.philgeps.gov.ph/GEPSNONPILOT/Tender/SplashBidNoticeAbstractUI.aspx?menuIndex=3&amp;refID=7194367&amp;Result=3","7194367")</f>
        <v>0</v>
      </c>
      <c r="B282" t="s">
        <v>149</v>
      </c>
      <c r="C282" t="s">
        <v>4164</v>
      </c>
      <c r="D282" t="s">
        <v>19034</v>
      </c>
      <c r="E282" t="s">
        <v>19359</v>
      </c>
      <c r="F282" t="s">
        <v>32606</v>
      </c>
      <c r="G282" t="s">
        <v>32613</v>
      </c>
      <c r="H282" t="s">
        <v>32623</v>
      </c>
      <c r="I282" t="s">
        <v>17648</v>
      </c>
      <c r="J282" t="s">
        <v>32998</v>
      </c>
      <c r="K282" t="s">
        <v>42653</v>
      </c>
      <c r="M282" t="s">
        <v>43050</v>
      </c>
      <c r="N282" t="s">
        <v>47304</v>
      </c>
      <c r="O282" t="s">
        <v>47305</v>
      </c>
      <c r="P282">
        <v>0</v>
      </c>
      <c r="Q282">
        <v>1</v>
      </c>
      <c r="R282" t="s">
        <v>47306</v>
      </c>
      <c r="S282" t="s">
        <v>47414</v>
      </c>
      <c r="T282" t="s">
        <v>48986</v>
      </c>
      <c r="U282" t="s">
        <v>49808</v>
      </c>
      <c r="V282" t="s">
        <v>62683</v>
      </c>
      <c r="W282" t="s">
        <v>43050</v>
      </c>
      <c r="X282" t="s">
        <v>47308</v>
      </c>
    </row>
    <row r="283" spans="1:24">
      <c r="A283">
        <f>HYPERLINK("https://www.philgeps.gov.ph/GEPSNONPILOT/Tender/SplashBidNoticeAbstractUI.aspx?menuIndex=3&amp;refID=7194366&amp;Result=3","7194366")</f>
        <v>0</v>
      </c>
      <c r="B283" t="s">
        <v>151</v>
      </c>
      <c r="C283" t="s">
        <v>4165</v>
      </c>
      <c r="D283" t="s">
        <v>18995</v>
      </c>
      <c r="E283" t="s">
        <v>19360</v>
      </c>
      <c r="F283" t="s">
        <v>32608</v>
      </c>
      <c r="G283" t="s">
        <v>32613</v>
      </c>
      <c r="H283" t="s">
        <v>14201</v>
      </c>
      <c r="I283" t="s">
        <v>17648</v>
      </c>
      <c r="J283" t="s">
        <v>32999</v>
      </c>
      <c r="K283" t="s">
        <v>42629</v>
      </c>
      <c r="M283" t="s">
        <v>43052</v>
      </c>
      <c r="N283" t="s">
        <v>47304</v>
      </c>
      <c r="O283" t="s">
        <v>47305</v>
      </c>
      <c r="P283">
        <v>0</v>
      </c>
      <c r="Q283">
        <v>0</v>
      </c>
      <c r="R283" t="s">
        <v>47306</v>
      </c>
      <c r="S283" t="s">
        <v>47414</v>
      </c>
      <c r="T283" t="s">
        <v>49040</v>
      </c>
      <c r="U283" t="s">
        <v>49811</v>
      </c>
      <c r="W283" t="s">
        <v>43052</v>
      </c>
      <c r="X283" t="s">
        <v>47308</v>
      </c>
    </row>
    <row r="284" spans="1:24">
      <c r="A284">
        <f>HYPERLINK("https://www.philgeps.gov.ph/GEPSNONPILOT/Tender/SplashBidNoticeAbstractUI.aspx?menuIndex=3&amp;refID=7194369&amp;Result=3","7194369")</f>
        <v>0</v>
      </c>
      <c r="B284" t="s">
        <v>152</v>
      </c>
      <c r="C284" t="s">
        <v>4166</v>
      </c>
      <c r="D284" t="s">
        <v>19024</v>
      </c>
      <c r="E284" t="s">
        <v>19361</v>
      </c>
      <c r="F284" t="s">
        <v>32606</v>
      </c>
      <c r="G284" t="s">
        <v>32613</v>
      </c>
      <c r="H284" t="s">
        <v>14201</v>
      </c>
      <c r="I284" t="s">
        <v>6931</v>
      </c>
      <c r="J284" t="s">
        <v>33000</v>
      </c>
      <c r="K284" t="s">
        <v>42631</v>
      </c>
      <c r="M284" t="s">
        <v>43053</v>
      </c>
      <c r="N284" t="s">
        <v>47304</v>
      </c>
      <c r="O284" t="s">
        <v>47305</v>
      </c>
      <c r="P284">
        <v>0</v>
      </c>
      <c r="Q284">
        <v>0</v>
      </c>
      <c r="R284" t="s">
        <v>47306</v>
      </c>
      <c r="S284" t="s">
        <v>47414</v>
      </c>
      <c r="T284" t="s">
        <v>49041</v>
      </c>
      <c r="U284" t="s">
        <v>49812</v>
      </c>
      <c r="W284" t="s">
        <v>43053</v>
      </c>
      <c r="X284" t="s">
        <v>47308</v>
      </c>
    </row>
    <row r="285" spans="1:24">
      <c r="A285">
        <f>HYPERLINK("https://www.philgeps.gov.ph/GEPSNONPILOT/Tender/SplashBidNoticeAbstractUI.aspx?menuIndex=3&amp;refID=7194371&amp;Result=3","7194371")</f>
        <v>0</v>
      </c>
      <c r="B285" t="s">
        <v>153</v>
      </c>
      <c r="C285" t="s">
        <v>4167</v>
      </c>
      <c r="D285" t="s">
        <v>19035</v>
      </c>
      <c r="E285" t="s">
        <v>19362</v>
      </c>
      <c r="F285" t="s">
        <v>32606</v>
      </c>
      <c r="G285" t="s">
        <v>32619</v>
      </c>
      <c r="H285" t="s">
        <v>14201</v>
      </c>
      <c r="I285" t="s">
        <v>4114</v>
      </c>
      <c r="J285" t="s">
        <v>33001</v>
      </c>
      <c r="K285" t="s">
        <v>42630</v>
      </c>
      <c r="M285" t="s">
        <v>43054</v>
      </c>
      <c r="N285" t="s">
        <v>47304</v>
      </c>
      <c r="O285" t="s">
        <v>47305</v>
      </c>
      <c r="P285">
        <v>0</v>
      </c>
      <c r="Q285">
        <v>2</v>
      </c>
      <c r="R285" t="s">
        <v>47306</v>
      </c>
      <c r="S285" t="s">
        <v>47414</v>
      </c>
      <c r="T285" t="s">
        <v>48979</v>
      </c>
      <c r="U285" t="s">
        <v>49813</v>
      </c>
      <c r="W285" t="s">
        <v>43054</v>
      </c>
      <c r="X285" t="s">
        <v>47308</v>
      </c>
    </row>
    <row r="286" spans="1:24">
      <c r="A286">
        <f>HYPERLINK("https://www.philgeps.gov.ph/GEPSNONPILOT/Tender/SplashBidNoticeAbstractUI.aspx?menuIndex=3&amp;refID=7194368&amp;Result=3","7194368")</f>
        <v>0</v>
      </c>
      <c r="B286" t="s">
        <v>153</v>
      </c>
      <c r="C286" t="s">
        <v>4168</v>
      </c>
      <c r="D286" t="s">
        <v>19035</v>
      </c>
      <c r="E286" t="s">
        <v>19363</v>
      </c>
      <c r="F286" t="s">
        <v>32606</v>
      </c>
      <c r="G286" t="s">
        <v>32619</v>
      </c>
      <c r="H286" t="s">
        <v>14201</v>
      </c>
      <c r="I286" t="s">
        <v>4114</v>
      </c>
      <c r="J286" t="s">
        <v>33002</v>
      </c>
      <c r="K286" t="s">
        <v>42630</v>
      </c>
      <c r="M286" t="s">
        <v>43054</v>
      </c>
      <c r="N286" t="s">
        <v>47304</v>
      </c>
      <c r="O286" t="s">
        <v>47305</v>
      </c>
      <c r="P286">
        <v>0</v>
      </c>
      <c r="Q286">
        <v>2</v>
      </c>
      <c r="R286" t="s">
        <v>47306</v>
      </c>
      <c r="S286" t="s">
        <v>47414</v>
      </c>
      <c r="T286" t="s">
        <v>48979</v>
      </c>
      <c r="U286" t="s">
        <v>49814</v>
      </c>
      <c r="W286" t="s">
        <v>43054</v>
      </c>
      <c r="X286" t="s">
        <v>47308</v>
      </c>
    </row>
    <row r="287" spans="1:24">
      <c r="A287">
        <f>HYPERLINK("https://www.philgeps.gov.ph/GEPSNONPILOT/Tender/SplashBidNoticeAbstractUI.aspx?menuIndex=3&amp;refID=7194361&amp;Result=3","7194361")</f>
        <v>0</v>
      </c>
      <c r="B287" t="s">
        <v>154</v>
      </c>
      <c r="C287" t="s">
        <v>4169</v>
      </c>
      <c r="D287" t="s">
        <v>19016</v>
      </c>
      <c r="E287" t="s">
        <v>19311</v>
      </c>
      <c r="F287" t="s">
        <v>32606</v>
      </c>
      <c r="G287" t="s">
        <v>32613</v>
      </c>
      <c r="H287" t="s">
        <v>32623</v>
      </c>
      <c r="I287" t="s">
        <v>17648</v>
      </c>
      <c r="J287" t="s">
        <v>32789</v>
      </c>
      <c r="K287" t="s">
        <v>42631</v>
      </c>
      <c r="M287" t="s">
        <v>43055</v>
      </c>
      <c r="N287" t="s">
        <v>47304</v>
      </c>
      <c r="O287" t="s">
        <v>47305</v>
      </c>
      <c r="P287">
        <v>0</v>
      </c>
      <c r="Q287">
        <v>1</v>
      </c>
      <c r="R287" t="s">
        <v>47306</v>
      </c>
      <c r="S287" t="s">
        <v>47414</v>
      </c>
      <c r="T287" t="s">
        <v>48986</v>
      </c>
      <c r="U287" t="s">
        <v>49815</v>
      </c>
      <c r="V287" t="s">
        <v>62684</v>
      </c>
      <c r="W287" t="s">
        <v>43055</v>
      </c>
      <c r="X287" t="s">
        <v>47308</v>
      </c>
    </row>
    <row r="288" spans="1:24">
      <c r="A288">
        <f>HYPERLINK("https://www.philgeps.gov.ph/GEPSNONPILOT/Tender/SplashBidNoticeAbstractUI.aspx?menuIndex=3&amp;refID=7194370&amp;Result=3","7194370")</f>
        <v>0</v>
      </c>
      <c r="B288" t="s">
        <v>148</v>
      </c>
      <c r="C288" t="s">
        <v>4156</v>
      </c>
      <c r="E288" t="s">
        <v>19364</v>
      </c>
      <c r="F288" t="s">
        <v>32606</v>
      </c>
      <c r="G288" t="s">
        <v>32614</v>
      </c>
      <c r="H288" t="s">
        <v>14201</v>
      </c>
      <c r="I288" t="s">
        <v>32640</v>
      </c>
      <c r="J288" t="s">
        <v>32981</v>
      </c>
      <c r="K288" t="s">
        <v>42623</v>
      </c>
      <c r="M288" t="s">
        <v>43049</v>
      </c>
      <c r="N288" t="s">
        <v>47304</v>
      </c>
      <c r="O288" t="s">
        <v>47305</v>
      </c>
      <c r="P288">
        <v>0</v>
      </c>
      <c r="Q288">
        <v>1</v>
      </c>
      <c r="R288" t="s">
        <v>47306</v>
      </c>
      <c r="S288" t="s">
        <v>47414</v>
      </c>
      <c r="T288" t="s">
        <v>49004</v>
      </c>
      <c r="U288" t="s">
        <v>49806</v>
      </c>
      <c r="W288" t="s">
        <v>43049</v>
      </c>
      <c r="X288" t="s">
        <v>47308</v>
      </c>
    </row>
    <row r="289" spans="1:24">
      <c r="A289">
        <f>HYPERLINK("https://www.philgeps.gov.ph/GEPSNONPILOT/Tender/SplashBidNoticeAbstractUI.aspx?menuIndex=3&amp;refID=7194362&amp;Result=3","7194362")</f>
        <v>0</v>
      </c>
      <c r="B289" t="s">
        <v>152</v>
      </c>
      <c r="C289" t="s">
        <v>4170</v>
      </c>
      <c r="D289" t="s">
        <v>19024</v>
      </c>
      <c r="E289" t="s">
        <v>19365</v>
      </c>
      <c r="F289" t="s">
        <v>32606</v>
      </c>
      <c r="G289" t="s">
        <v>32613</v>
      </c>
      <c r="H289" t="s">
        <v>14201</v>
      </c>
      <c r="I289" t="s">
        <v>6931</v>
      </c>
      <c r="J289" t="s">
        <v>33003</v>
      </c>
      <c r="K289" t="s">
        <v>42631</v>
      </c>
      <c r="M289" t="s">
        <v>43053</v>
      </c>
      <c r="N289" t="s">
        <v>47304</v>
      </c>
      <c r="O289" t="s">
        <v>47305</v>
      </c>
      <c r="P289">
        <v>0</v>
      </c>
      <c r="Q289">
        <v>0</v>
      </c>
      <c r="R289" t="s">
        <v>47306</v>
      </c>
      <c r="S289" t="s">
        <v>47414</v>
      </c>
      <c r="T289" t="s">
        <v>49028</v>
      </c>
      <c r="U289" t="s">
        <v>49816</v>
      </c>
      <c r="W289" t="s">
        <v>43053</v>
      </c>
      <c r="X289" t="s">
        <v>47308</v>
      </c>
    </row>
    <row r="290" spans="1:24">
      <c r="A290">
        <f>HYPERLINK("https://www.philgeps.gov.ph/GEPSNONPILOT/Tender/SplashBidNoticeAbstractUI.aspx?menuIndex=3&amp;refID=7194365&amp;Result=3","7194365")</f>
        <v>0</v>
      </c>
      <c r="B290" t="s">
        <v>155</v>
      </c>
      <c r="C290" t="s">
        <v>4171</v>
      </c>
      <c r="D290" t="s">
        <v>19016</v>
      </c>
      <c r="E290" t="s">
        <v>19366</v>
      </c>
      <c r="F290" t="s">
        <v>32606</v>
      </c>
      <c r="G290" t="s">
        <v>32613</v>
      </c>
      <c r="H290" t="s">
        <v>32623</v>
      </c>
      <c r="I290" t="s">
        <v>17648</v>
      </c>
      <c r="J290" t="s">
        <v>32752</v>
      </c>
      <c r="K290" t="s">
        <v>42630</v>
      </c>
      <c r="M290" t="s">
        <v>43056</v>
      </c>
      <c r="N290" t="s">
        <v>47304</v>
      </c>
      <c r="O290" t="s">
        <v>47305</v>
      </c>
      <c r="P290">
        <v>0</v>
      </c>
      <c r="Q290">
        <v>0</v>
      </c>
      <c r="R290" t="s">
        <v>47306</v>
      </c>
      <c r="S290" t="s">
        <v>47414</v>
      </c>
      <c r="T290" t="s">
        <v>48976</v>
      </c>
      <c r="U290" t="s">
        <v>49817</v>
      </c>
      <c r="V290" t="s">
        <v>62685</v>
      </c>
      <c r="W290" t="s">
        <v>43056</v>
      </c>
      <c r="X290" t="s">
        <v>47308</v>
      </c>
    </row>
    <row r="291" spans="1:24">
      <c r="A291">
        <f>HYPERLINK("https://www.philgeps.gov.ph/GEPSNONPILOT/Tender/SplashBidNoticeAbstractUI.aspx?menuIndex=3&amp;refID=7194358&amp;Result=3","7194358")</f>
        <v>0</v>
      </c>
      <c r="B291" t="s">
        <v>149</v>
      </c>
      <c r="C291" t="s">
        <v>4172</v>
      </c>
      <c r="D291" t="s">
        <v>19034</v>
      </c>
      <c r="E291" t="s">
        <v>19367</v>
      </c>
      <c r="F291" t="s">
        <v>32606</v>
      </c>
      <c r="G291" t="s">
        <v>32613</v>
      </c>
      <c r="H291" t="s">
        <v>32623</v>
      </c>
      <c r="I291" t="s">
        <v>17648</v>
      </c>
      <c r="J291" t="s">
        <v>33004</v>
      </c>
      <c r="K291" t="s">
        <v>42653</v>
      </c>
      <c r="M291" t="s">
        <v>43050</v>
      </c>
      <c r="N291" t="s">
        <v>47304</v>
      </c>
      <c r="O291" t="s">
        <v>47305</v>
      </c>
      <c r="P291">
        <v>0</v>
      </c>
      <c r="Q291">
        <v>0</v>
      </c>
      <c r="R291" t="s">
        <v>47306</v>
      </c>
      <c r="S291" t="s">
        <v>47414</v>
      </c>
      <c r="T291" t="s">
        <v>48986</v>
      </c>
      <c r="U291" t="s">
        <v>49808</v>
      </c>
      <c r="V291" t="s">
        <v>62683</v>
      </c>
      <c r="W291" t="s">
        <v>43050</v>
      </c>
      <c r="X291" t="s">
        <v>47308</v>
      </c>
    </row>
    <row r="292" spans="1:24">
      <c r="A292">
        <f>HYPERLINK("https://www.philgeps.gov.ph/GEPSNONPILOT/Tender/SplashBidNoticeAbstractUI.aspx?menuIndex=3&amp;refID=7194400&amp;Result=3","7194400")</f>
        <v>0</v>
      </c>
      <c r="B292" t="s">
        <v>156</v>
      </c>
      <c r="C292" t="s">
        <v>4173</v>
      </c>
      <c r="E292" t="s">
        <v>19368</v>
      </c>
      <c r="F292" t="s">
        <v>32606</v>
      </c>
      <c r="G292" t="s">
        <v>32613</v>
      </c>
      <c r="H292" t="s">
        <v>14201</v>
      </c>
      <c r="I292" t="s">
        <v>7064</v>
      </c>
      <c r="J292" t="s">
        <v>33005</v>
      </c>
      <c r="K292" t="s">
        <v>42664</v>
      </c>
      <c r="M292" t="s">
        <v>43057</v>
      </c>
      <c r="N292" t="s">
        <v>47304</v>
      </c>
      <c r="O292" t="s">
        <v>47305</v>
      </c>
      <c r="P292">
        <v>0</v>
      </c>
      <c r="Q292">
        <v>0</v>
      </c>
      <c r="R292" t="s">
        <v>47306</v>
      </c>
      <c r="S292" t="s">
        <v>47414</v>
      </c>
      <c r="T292" t="s">
        <v>49041</v>
      </c>
      <c r="U292" t="s">
        <v>49818</v>
      </c>
      <c r="W292" t="s">
        <v>43057</v>
      </c>
      <c r="X292" t="s">
        <v>47308</v>
      </c>
    </row>
    <row r="293" spans="1:24">
      <c r="A293">
        <f>HYPERLINK("https://www.philgeps.gov.ph/GEPSNONPILOT/Tender/SplashBidNoticeAbstractUI.aspx?menuIndex=3&amp;refID=7194340&amp;Result=3","7194340")</f>
        <v>0</v>
      </c>
      <c r="B293" t="s">
        <v>145</v>
      </c>
      <c r="C293" t="s">
        <v>4174</v>
      </c>
      <c r="D293" t="s">
        <v>19033</v>
      </c>
      <c r="E293" t="s">
        <v>19369</v>
      </c>
      <c r="F293" t="s">
        <v>32606</v>
      </c>
      <c r="G293" t="s">
        <v>32613</v>
      </c>
      <c r="H293" t="s">
        <v>32623</v>
      </c>
      <c r="I293" t="s">
        <v>32659</v>
      </c>
      <c r="J293" t="s">
        <v>32981</v>
      </c>
      <c r="K293" t="s">
        <v>42631</v>
      </c>
      <c r="M293" t="s">
        <v>43046</v>
      </c>
      <c r="N293" t="s">
        <v>47304</v>
      </c>
      <c r="O293" t="s">
        <v>47305</v>
      </c>
      <c r="P293">
        <v>0</v>
      </c>
      <c r="Q293">
        <v>0</v>
      </c>
      <c r="R293" t="s">
        <v>47306</v>
      </c>
      <c r="S293" t="s">
        <v>47414</v>
      </c>
      <c r="T293" t="s">
        <v>48971</v>
      </c>
      <c r="U293" t="s">
        <v>49819</v>
      </c>
      <c r="W293" t="s">
        <v>43046</v>
      </c>
      <c r="X293" t="s">
        <v>47309</v>
      </c>
    </row>
    <row r="294" spans="1:24">
      <c r="A294">
        <f>HYPERLINK("https://www.philgeps.gov.ph/GEPSNONPILOT/Tender/SplashBidNoticeAbstractUI.aspx?menuIndex=3&amp;refID=7194398&amp;Result=3","7194398")</f>
        <v>0</v>
      </c>
      <c r="B294" t="s">
        <v>157</v>
      </c>
      <c r="C294" t="s">
        <v>4175</v>
      </c>
      <c r="D294" t="s">
        <v>19003</v>
      </c>
      <c r="E294" t="s">
        <v>19370</v>
      </c>
      <c r="F294" t="s">
        <v>32606</v>
      </c>
      <c r="G294" t="s">
        <v>32614</v>
      </c>
      <c r="H294" t="s">
        <v>14201</v>
      </c>
      <c r="I294" t="s">
        <v>4114</v>
      </c>
      <c r="J294" t="s">
        <v>33006</v>
      </c>
      <c r="K294" t="s">
        <v>42630</v>
      </c>
      <c r="M294" t="s">
        <v>43058</v>
      </c>
      <c r="N294" t="s">
        <v>47304</v>
      </c>
      <c r="O294" t="s">
        <v>47305</v>
      </c>
      <c r="P294">
        <v>0</v>
      </c>
      <c r="Q294">
        <v>1</v>
      </c>
      <c r="R294" t="s">
        <v>47306</v>
      </c>
      <c r="S294" t="s">
        <v>47414</v>
      </c>
      <c r="T294" t="s">
        <v>49042</v>
      </c>
      <c r="U294" t="s">
        <v>49820</v>
      </c>
      <c r="W294" t="s">
        <v>43058</v>
      </c>
      <c r="X294" t="s">
        <v>47308</v>
      </c>
    </row>
    <row r="295" spans="1:24">
      <c r="A295">
        <f>HYPERLINK("https://www.philgeps.gov.ph/GEPSNONPILOT/Tender/SplashBidNoticeAbstractUI.aspx?menuIndex=3&amp;refID=7194395&amp;Result=3","7194395")</f>
        <v>0</v>
      </c>
      <c r="B295" t="s">
        <v>76</v>
      </c>
      <c r="C295" t="s">
        <v>4176</v>
      </c>
      <c r="D295" t="s">
        <v>19010</v>
      </c>
      <c r="E295" t="s">
        <v>19371</v>
      </c>
      <c r="F295" t="s">
        <v>32606</v>
      </c>
      <c r="G295" t="s">
        <v>32613</v>
      </c>
      <c r="H295" t="s">
        <v>14201</v>
      </c>
      <c r="I295" t="s">
        <v>32640</v>
      </c>
      <c r="J295" t="s">
        <v>33007</v>
      </c>
      <c r="K295" t="s">
        <v>42624</v>
      </c>
      <c r="M295" t="s">
        <v>42973</v>
      </c>
      <c r="N295" t="s">
        <v>47304</v>
      </c>
      <c r="O295" t="s">
        <v>47305</v>
      </c>
      <c r="P295">
        <v>0</v>
      </c>
      <c r="Q295">
        <v>1</v>
      </c>
      <c r="R295" t="s">
        <v>47306</v>
      </c>
      <c r="S295" t="s">
        <v>47414</v>
      </c>
      <c r="T295" t="s">
        <v>49011</v>
      </c>
      <c r="U295" t="s">
        <v>49821</v>
      </c>
      <c r="W295" t="s">
        <v>64421</v>
      </c>
      <c r="X295" t="s">
        <v>47308</v>
      </c>
    </row>
    <row r="296" spans="1:24">
      <c r="A296">
        <f>HYPERLINK("https://www.philgeps.gov.ph/GEPSNONPILOT/Tender/SplashBidNoticeAbstractUI.aspx?menuIndex=3&amp;refID=7194359&amp;Result=3","7194359")</f>
        <v>0</v>
      </c>
      <c r="B296" t="s">
        <v>158</v>
      </c>
      <c r="C296" t="s">
        <v>4177</v>
      </c>
      <c r="E296" t="s">
        <v>19372</v>
      </c>
      <c r="F296" t="s">
        <v>32606</v>
      </c>
      <c r="G296" t="s">
        <v>32613</v>
      </c>
      <c r="H296" t="s">
        <v>32623</v>
      </c>
      <c r="I296" t="s">
        <v>17648</v>
      </c>
      <c r="J296" t="s">
        <v>32789</v>
      </c>
      <c r="K296" t="s">
        <v>42624</v>
      </c>
      <c r="M296" t="s">
        <v>43059</v>
      </c>
      <c r="N296" t="s">
        <v>47304</v>
      </c>
      <c r="O296" t="s">
        <v>47305</v>
      </c>
      <c r="P296">
        <v>0</v>
      </c>
      <c r="Q296">
        <v>0</v>
      </c>
      <c r="R296" t="s">
        <v>47306</v>
      </c>
      <c r="S296" t="s">
        <v>47414</v>
      </c>
      <c r="T296" t="s">
        <v>49040</v>
      </c>
      <c r="U296" t="s">
        <v>49822</v>
      </c>
      <c r="W296" t="s">
        <v>43059</v>
      </c>
      <c r="X296" t="s">
        <v>47308</v>
      </c>
    </row>
    <row r="297" spans="1:24">
      <c r="A297">
        <f>HYPERLINK("https://www.philgeps.gov.ph/GEPSNONPILOT/Tender/SplashBidNoticeAbstractUI.aspx?menuIndex=3&amp;refID=7194394&amp;Result=3","7194394")</f>
        <v>0</v>
      </c>
      <c r="B297" t="s">
        <v>76</v>
      </c>
      <c r="C297" t="s">
        <v>4178</v>
      </c>
      <c r="D297" t="s">
        <v>19010</v>
      </c>
      <c r="E297" t="s">
        <v>19373</v>
      </c>
      <c r="F297" t="s">
        <v>32606</v>
      </c>
      <c r="G297" t="s">
        <v>32613</v>
      </c>
      <c r="H297" t="s">
        <v>14201</v>
      </c>
      <c r="I297" t="s">
        <v>32634</v>
      </c>
      <c r="J297" t="s">
        <v>33008</v>
      </c>
      <c r="K297" t="s">
        <v>42624</v>
      </c>
      <c r="M297" t="s">
        <v>42973</v>
      </c>
      <c r="N297" t="s">
        <v>47304</v>
      </c>
      <c r="O297" t="s">
        <v>47305</v>
      </c>
      <c r="P297">
        <v>0</v>
      </c>
      <c r="Q297">
        <v>1</v>
      </c>
      <c r="R297" t="s">
        <v>47306</v>
      </c>
      <c r="S297" t="s">
        <v>47414</v>
      </c>
      <c r="T297" t="s">
        <v>49024</v>
      </c>
      <c r="U297" t="s">
        <v>49823</v>
      </c>
      <c r="W297" t="s">
        <v>64421</v>
      </c>
      <c r="X297" t="s">
        <v>47308</v>
      </c>
    </row>
    <row r="298" spans="1:24">
      <c r="A298">
        <f>HYPERLINK("https://www.philgeps.gov.ph/GEPSNONPILOT/Tender/SplashBidNoticeAbstractUI.aspx?menuIndex=3&amp;refID=7194364&amp;Result=3","7194364")</f>
        <v>0</v>
      </c>
      <c r="B298" t="s">
        <v>155</v>
      </c>
      <c r="C298" t="s">
        <v>4179</v>
      </c>
      <c r="D298" t="s">
        <v>19016</v>
      </c>
      <c r="E298" t="s">
        <v>19374</v>
      </c>
      <c r="F298" t="s">
        <v>32606</v>
      </c>
      <c r="G298" t="s">
        <v>32613</v>
      </c>
      <c r="H298" t="s">
        <v>32623</v>
      </c>
      <c r="I298" t="s">
        <v>17648</v>
      </c>
      <c r="J298" t="s">
        <v>33009</v>
      </c>
      <c r="K298" t="s">
        <v>42630</v>
      </c>
      <c r="M298" t="s">
        <v>43056</v>
      </c>
      <c r="N298" t="s">
        <v>47304</v>
      </c>
      <c r="O298" t="s">
        <v>47305</v>
      </c>
      <c r="P298">
        <v>0</v>
      </c>
      <c r="Q298">
        <v>0</v>
      </c>
      <c r="R298" t="s">
        <v>47306</v>
      </c>
      <c r="S298" t="s">
        <v>47414</v>
      </c>
      <c r="T298" t="s">
        <v>48976</v>
      </c>
      <c r="U298" t="s">
        <v>49824</v>
      </c>
      <c r="V298" t="s">
        <v>62686</v>
      </c>
      <c r="W298" t="s">
        <v>43056</v>
      </c>
      <c r="X298" t="s">
        <v>47308</v>
      </c>
    </row>
    <row r="299" spans="1:24">
      <c r="A299">
        <f>HYPERLINK("https://www.philgeps.gov.ph/GEPSNONPILOT/Tender/SplashBidNoticeAbstractUI.aspx?menuIndex=3&amp;refID=7194393&amp;Result=3","7194393")</f>
        <v>0</v>
      </c>
      <c r="B299" t="s">
        <v>76</v>
      </c>
      <c r="C299" t="s">
        <v>4180</v>
      </c>
      <c r="D299" t="s">
        <v>19010</v>
      </c>
      <c r="E299" t="s">
        <v>19375</v>
      </c>
      <c r="F299" t="s">
        <v>32606</v>
      </c>
      <c r="G299" t="s">
        <v>32613</v>
      </c>
      <c r="H299" t="s">
        <v>14201</v>
      </c>
      <c r="I299" t="s">
        <v>32640</v>
      </c>
      <c r="J299" t="s">
        <v>33010</v>
      </c>
      <c r="K299" t="s">
        <v>42624</v>
      </c>
      <c r="M299" t="s">
        <v>42973</v>
      </c>
      <c r="N299" t="s">
        <v>47304</v>
      </c>
      <c r="O299" t="s">
        <v>47305</v>
      </c>
      <c r="P299">
        <v>0</v>
      </c>
      <c r="Q299">
        <v>4</v>
      </c>
      <c r="R299" t="s">
        <v>47306</v>
      </c>
      <c r="S299" t="s">
        <v>47414</v>
      </c>
      <c r="T299" t="s">
        <v>49024</v>
      </c>
      <c r="U299" t="s">
        <v>49825</v>
      </c>
      <c r="W299" t="s">
        <v>64421</v>
      </c>
      <c r="X299" t="s">
        <v>47308</v>
      </c>
    </row>
    <row r="300" spans="1:24">
      <c r="A300">
        <f>HYPERLINK("https://www.philgeps.gov.ph/GEPSNONPILOT/Tender/SplashBidNoticeAbstractUI.aspx?menuIndex=3&amp;refID=7194357&amp;Result=3","7194357")</f>
        <v>0</v>
      </c>
      <c r="B300" t="s">
        <v>159</v>
      </c>
      <c r="C300" t="s">
        <v>4181</v>
      </c>
      <c r="D300" t="s">
        <v>19024</v>
      </c>
      <c r="E300" t="s">
        <v>19376</v>
      </c>
      <c r="F300" t="s">
        <v>32606</v>
      </c>
      <c r="G300" t="s">
        <v>32613</v>
      </c>
      <c r="H300" t="s">
        <v>14201</v>
      </c>
      <c r="I300" t="s">
        <v>6931</v>
      </c>
      <c r="J300" t="s">
        <v>33011</v>
      </c>
      <c r="K300" t="s">
        <v>42631</v>
      </c>
      <c r="M300" t="s">
        <v>43060</v>
      </c>
      <c r="N300" t="s">
        <v>47304</v>
      </c>
      <c r="O300" t="s">
        <v>47305</v>
      </c>
      <c r="P300">
        <v>0</v>
      </c>
      <c r="Q300">
        <v>0</v>
      </c>
      <c r="R300" t="s">
        <v>47306</v>
      </c>
      <c r="S300" t="s">
        <v>47414</v>
      </c>
      <c r="T300" t="s">
        <v>48976</v>
      </c>
      <c r="U300" t="s">
        <v>49826</v>
      </c>
      <c r="W300" t="s">
        <v>43060</v>
      </c>
      <c r="X300" t="s">
        <v>47308</v>
      </c>
    </row>
    <row r="301" spans="1:24">
      <c r="A301">
        <f>HYPERLINK("https://www.philgeps.gov.ph/GEPSNONPILOT/Tender/SplashBidNoticeAbstractUI.aspx?menuIndex=3&amp;refID=7194392&amp;Result=3","7194392")</f>
        <v>0</v>
      </c>
      <c r="B301" t="s">
        <v>76</v>
      </c>
      <c r="C301" t="s">
        <v>4182</v>
      </c>
      <c r="D301" t="s">
        <v>19010</v>
      </c>
      <c r="E301" t="s">
        <v>19377</v>
      </c>
      <c r="F301" t="s">
        <v>32606</v>
      </c>
      <c r="G301" t="s">
        <v>32613</v>
      </c>
      <c r="H301" t="s">
        <v>14201</v>
      </c>
      <c r="I301" t="s">
        <v>32640</v>
      </c>
      <c r="J301" t="s">
        <v>33012</v>
      </c>
      <c r="K301" t="s">
        <v>42624</v>
      </c>
      <c r="M301" t="s">
        <v>42973</v>
      </c>
      <c r="N301" t="s">
        <v>47304</v>
      </c>
      <c r="O301" t="s">
        <v>47305</v>
      </c>
      <c r="P301">
        <v>0</v>
      </c>
      <c r="Q301">
        <v>4</v>
      </c>
      <c r="R301" t="s">
        <v>47306</v>
      </c>
      <c r="S301" t="s">
        <v>47414</v>
      </c>
      <c r="T301" t="s">
        <v>49024</v>
      </c>
      <c r="U301" t="s">
        <v>49827</v>
      </c>
      <c r="W301" t="s">
        <v>64421</v>
      </c>
      <c r="X301" t="s">
        <v>47308</v>
      </c>
    </row>
    <row r="302" spans="1:24">
      <c r="A302">
        <f>HYPERLINK("https://www.philgeps.gov.ph/GEPSNONPILOT/Tender/SplashBidNoticeAbstractUI.aspx?menuIndex=3&amp;refID=7194390&amp;Result=3","7194390")</f>
        <v>0</v>
      </c>
      <c r="B302" t="s">
        <v>160</v>
      </c>
      <c r="C302" t="s">
        <v>4183</v>
      </c>
      <c r="D302" t="s">
        <v>19036</v>
      </c>
      <c r="E302" t="s">
        <v>19378</v>
      </c>
      <c r="F302" t="s">
        <v>32606</v>
      </c>
      <c r="G302" t="s">
        <v>32613</v>
      </c>
      <c r="H302" t="s">
        <v>14201</v>
      </c>
      <c r="I302" t="s">
        <v>32650</v>
      </c>
      <c r="J302" t="s">
        <v>33013</v>
      </c>
      <c r="K302" t="s">
        <v>42631</v>
      </c>
      <c r="L302" t="s">
        <v>160</v>
      </c>
      <c r="M302" t="s">
        <v>43061</v>
      </c>
      <c r="N302" t="s">
        <v>47304</v>
      </c>
      <c r="O302" t="s">
        <v>47305</v>
      </c>
      <c r="P302">
        <v>0</v>
      </c>
      <c r="Q302">
        <v>2</v>
      </c>
      <c r="R302" t="s">
        <v>47306</v>
      </c>
      <c r="S302" t="s">
        <v>47414</v>
      </c>
      <c r="T302" t="s">
        <v>49005</v>
      </c>
      <c r="U302" t="s">
        <v>49828</v>
      </c>
      <c r="W302" t="s">
        <v>43061</v>
      </c>
      <c r="X302" t="s">
        <v>47308</v>
      </c>
    </row>
    <row r="303" spans="1:24">
      <c r="A303">
        <f>HYPERLINK("https://www.philgeps.gov.ph/GEPSNONPILOT/Tender/SplashBidNoticeAbstractUI.aspx?menuIndex=3&amp;refID=7194388&amp;Result=3","7194388")</f>
        <v>0</v>
      </c>
      <c r="B303" t="s">
        <v>161</v>
      </c>
      <c r="C303" t="s">
        <v>4184</v>
      </c>
      <c r="D303" t="s">
        <v>18993</v>
      </c>
      <c r="E303" t="s">
        <v>19379</v>
      </c>
      <c r="F303" t="s">
        <v>32606</v>
      </c>
      <c r="G303" t="s">
        <v>32619</v>
      </c>
      <c r="H303" t="s">
        <v>14201</v>
      </c>
      <c r="I303" t="s">
        <v>6993</v>
      </c>
      <c r="J303" t="s">
        <v>33014</v>
      </c>
      <c r="K303" t="s">
        <v>42632</v>
      </c>
      <c r="M303" t="s">
        <v>43062</v>
      </c>
      <c r="N303" t="s">
        <v>47304</v>
      </c>
      <c r="O303" t="s">
        <v>47305</v>
      </c>
      <c r="P303">
        <v>0</v>
      </c>
      <c r="Q303">
        <v>2</v>
      </c>
      <c r="R303" t="s">
        <v>47306</v>
      </c>
      <c r="S303" t="s">
        <v>47414</v>
      </c>
      <c r="T303" t="s">
        <v>49023</v>
      </c>
      <c r="U303" t="s">
        <v>49829</v>
      </c>
      <c r="W303" t="s">
        <v>43062</v>
      </c>
      <c r="X303" t="s">
        <v>47308</v>
      </c>
    </row>
    <row r="304" spans="1:24">
      <c r="A304">
        <f>HYPERLINK("https://www.philgeps.gov.ph/GEPSNONPILOT/Tender/SplashBidNoticeAbstractUI.aspx?menuIndex=3&amp;refID=7194387&amp;Result=3","7194387")</f>
        <v>0</v>
      </c>
      <c r="B304" t="s">
        <v>162</v>
      </c>
      <c r="C304" t="s">
        <v>4185</v>
      </c>
      <c r="D304" t="s">
        <v>19010</v>
      </c>
      <c r="E304" t="s">
        <v>19380</v>
      </c>
      <c r="F304" t="s">
        <v>32606</v>
      </c>
      <c r="G304" t="s">
        <v>32613</v>
      </c>
      <c r="H304" t="s">
        <v>32623</v>
      </c>
      <c r="I304" t="s">
        <v>17648</v>
      </c>
      <c r="J304" t="s">
        <v>33015</v>
      </c>
      <c r="K304" t="s">
        <v>42639</v>
      </c>
      <c r="M304" t="s">
        <v>43063</v>
      </c>
      <c r="N304" t="s">
        <v>47304</v>
      </c>
      <c r="O304" t="s">
        <v>47305</v>
      </c>
      <c r="P304">
        <v>0</v>
      </c>
      <c r="Q304">
        <v>0</v>
      </c>
      <c r="R304" t="s">
        <v>47306</v>
      </c>
      <c r="S304" t="s">
        <v>47414</v>
      </c>
      <c r="T304" t="s">
        <v>48986</v>
      </c>
      <c r="U304" t="s">
        <v>49830</v>
      </c>
      <c r="W304" t="s">
        <v>43063</v>
      </c>
      <c r="X304" t="s">
        <v>47308</v>
      </c>
    </row>
    <row r="305" spans="1:24">
      <c r="A305">
        <f>HYPERLINK("https://www.philgeps.gov.ph/GEPSNONPILOT/Tender/SplashBidNoticeAbstractUI.aspx?menuIndex=3&amp;refID=7194397&amp;Result=3","7194397")</f>
        <v>0</v>
      </c>
      <c r="B305" t="s">
        <v>76</v>
      </c>
      <c r="C305" t="s">
        <v>4186</v>
      </c>
      <c r="D305" t="s">
        <v>19010</v>
      </c>
      <c r="E305" t="s">
        <v>19381</v>
      </c>
      <c r="F305" t="s">
        <v>32606</v>
      </c>
      <c r="G305" t="s">
        <v>32613</v>
      </c>
      <c r="H305" t="s">
        <v>14201</v>
      </c>
      <c r="I305" t="s">
        <v>32661</v>
      </c>
      <c r="J305" t="s">
        <v>32778</v>
      </c>
      <c r="K305" t="s">
        <v>42624</v>
      </c>
      <c r="M305" t="s">
        <v>42973</v>
      </c>
      <c r="N305" t="s">
        <v>47304</v>
      </c>
      <c r="O305" t="s">
        <v>47305</v>
      </c>
      <c r="P305">
        <v>0</v>
      </c>
      <c r="Q305">
        <v>1</v>
      </c>
      <c r="R305" t="s">
        <v>47306</v>
      </c>
      <c r="S305" t="s">
        <v>47414</v>
      </c>
      <c r="T305" t="s">
        <v>49011</v>
      </c>
      <c r="U305" t="s">
        <v>49831</v>
      </c>
      <c r="W305" t="s">
        <v>64421</v>
      </c>
      <c r="X305" t="s">
        <v>47308</v>
      </c>
    </row>
    <row r="306" spans="1:24">
      <c r="A306">
        <f>HYPERLINK("https://www.philgeps.gov.ph/GEPSNONPILOT/Tender/SplashBidNoticeAbstractUI.aspx?menuIndex=3&amp;refID=7194382&amp;Result=3","7194382")</f>
        <v>0</v>
      </c>
      <c r="B306" t="s">
        <v>160</v>
      </c>
      <c r="C306" t="s">
        <v>4187</v>
      </c>
      <c r="D306" t="s">
        <v>19036</v>
      </c>
      <c r="E306" t="s">
        <v>19382</v>
      </c>
      <c r="F306" t="s">
        <v>32606</v>
      </c>
      <c r="G306" t="s">
        <v>32613</v>
      </c>
      <c r="H306" t="s">
        <v>32623</v>
      </c>
      <c r="I306" t="s">
        <v>17648</v>
      </c>
      <c r="J306" t="s">
        <v>33016</v>
      </c>
      <c r="K306" t="s">
        <v>42636</v>
      </c>
      <c r="L306" t="s">
        <v>160</v>
      </c>
      <c r="M306" t="s">
        <v>43061</v>
      </c>
      <c r="N306" t="s">
        <v>47304</v>
      </c>
      <c r="O306" t="s">
        <v>47305</v>
      </c>
      <c r="P306">
        <v>0</v>
      </c>
      <c r="Q306">
        <v>0</v>
      </c>
      <c r="R306" t="s">
        <v>47306</v>
      </c>
      <c r="S306" t="s">
        <v>47414</v>
      </c>
      <c r="T306" t="s">
        <v>49005</v>
      </c>
      <c r="U306" t="s">
        <v>49832</v>
      </c>
      <c r="W306" t="s">
        <v>43061</v>
      </c>
      <c r="X306" t="s">
        <v>47308</v>
      </c>
    </row>
    <row r="307" spans="1:24">
      <c r="A307">
        <f>HYPERLINK("https://www.philgeps.gov.ph/GEPSNONPILOT/Tender/SplashBidNoticeAbstractUI.aspx?menuIndex=3&amp;refID=7194297&amp;Result=3","7194297")</f>
        <v>0</v>
      </c>
      <c r="B307" t="s">
        <v>141</v>
      </c>
      <c r="C307" t="s">
        <v>4139</v>
      </c>
      <c r="E307" t="s">
        <v>19383</v>
      </c>
      <c r="F307" t="s">
        <v>32606</v>
      </c>
      <c r="G307" t="s">
        <v>32617</v>
      </c>
      <c r="H307" t="s">
        <v>14201</v>
      </c>
      <c r="I307" t="s">
        <v>4120</v>
      </c>
      <c r="J307" t="s">
        <v>33017</v>
      </c>
      <c r="K307" t="s">
        <v>42624</v>
      </c>
      <c r="M307" t="s">
        <v>43042</v>
      </c>
      <c r="N307" t="s">
        <v>47304</v>
      </c>
      <c r="O307" t="s">
        <v>47305</v>
      </c>
      <c r="P307">
        <v>0</v>
      </c>
      <c r="Q307">
        <v>1</v>
      </c>
      <c r="R307" t="s">
        <v>47306</v>
      </c>
      <c r="S307" t="s">
        <v>47414</v>
      </c>
      <c r="T307" t="s">
        <v>48979</v>
      </c>
      <c r="U307" t="s">
        <v>49803</v>
      </c>
      <c r="W307" t="s">
        <v>43042</v>
      </c>
      <c r="X307" t="s">
        <v>47309</v>
      </c>
    </row>
    <row r="308" spans="1:24">
      <c r="A308">
        <f>HYPERLINK("https://www.philgeps.gov.ph/GEPSNONPILOT/Tender/SplashBidNoticeAbstractUI.aspx?menuIndex=3&amp;refID=7194399&amp;Result=3","7194399")</f>
        <v>0</v>
      </c>
      <c r="B308" t="s">
        <v>76</v>
      </c>
      <c r="C308" t="s">
        <v>4188</v>
      </c>
      <c r="D308" t="s">
        <v>19010</v>
      </c>
      <c r="E308" t="s">
        <v>19384</v>
      </c>
      <c r="F308" t="s">
        <v>32606</v>
      </c>
      <c r="G308" t="s">
        <v>32613</v>
      </c>
      <c r="H308" t="s">
        <v>14201</v>
      </c>
      <c r="I308" t="s">
        <v>9013</v>
      </c>
      <c r="J308" t="s">
        <v>33018</v>
      </c>
      <c r="K308" t="s">
        <v>42624</v>
      </c>
      <c r="M308" t="s">
        <v>42973</v>
      </c>
      <c r="N308" t="s">
        <v>47304</v>
      </c>
      <c r="O308" t="s">
        <v>47305</v>
      </c>
      <c r="P308">
        <v>0</v>
      </c>
      <c r="Q308">
        <v>0</v>
      </c>
      <c r="R308" t="s">
        <v>47306</v>
      </c>
      <c r="S308" t="s">
        <v>47414</v>
      </c>
      <c r="T308" t="s">
        <v>49011</v>
      </c>
      <c r="U308" t="s">
        <v>49833</v>
      </c>
      <c r="W308" t="s">
        <v>64421</v>
      </c>
      <c r="X308" t="s">
        <v>47308</v>
      </c>
    </row>
    <row r="309" spans="1:24">
      <c r="A309">
        <f>HYPERLINK("https://www.philgeps.gov.ph/GEPSNONPILOT/Tender/SplashBidNoticeAbstractUI.aspx?menuIndex=3&amp;refID=7194377&amp;Result=3","7194377")</f>
        <v>0</v>
      </c>
      <c r="B309" t="s">
        <v>148</v>
      </c>
      <c r="C309" t="s">
        <v>4189</v>
      </c>
      <c r="E309" t="s">
        <v>19385</v>
      </c>
      <c r="F309" t="s">
        <v>32606</v>
      </c>
      <c r="G309" t="s">
        <v>32614</v>
      </c>
      <c r="H309" t="s">
        <v>14201</v>
      </c>
      <c r="I309" t="s">
        <v>6931</v>
      </c>
      <c r="J309" t="s">
        <v>33019</v>
      </c>
      <c r="K309" t="s">
        <v>42623</v>
      </c>
      <c r="M309" t="s">
        <v>43049</v>
      </c>
      <c r="N309" t="s">
        <v>47304</v>
      </c>
      <c r="O309" t="s">
        <v>47305</v>
      </c>
      <c r="P309">
        <v>0</v>
      </c>
      <c r="Q309">
        <v>0</v>
      </c>
      <c r="R309" t="s">
        <v>47306</v>
      </c>
      <c r="S309" t="s">
        <v>47414</v>
      </c>
      <c r="T309" t="s">
        <v>49043</v>
      </c>
      <c r="U309" t="s">
        <v>49834</v>
      </c>
      <c r="W309" t="s">
        <v>43049</v>
      </c>
      <c r="X309" t="s">
        <v>47308</v>
      </c>
    </row>
    <row r="310" spans="1:24">
      <c r="A310">
        <f>HYPERLINK("https://www.philgeps.gov.ph/GEPSNONPILOT/Tender/SplashBidNoticeAbstractUI.aspx?menuIndex=3&amp;refID=7194389&amp;Result=3","7194389")</f>
        <v>0</v>
      </c>
      <c r="B310" t="s">
        <v>163</v>
      </c>
      <c r="C310" t="s">
        <v>4190</v>
      </c>
      <c r="D310" t="s">
        <v>19003</v>
      </c>
      <c r="E310" t="s">
        <v>19386</v>
      </c>
      <c r="F310" t="s">
        <v>32606</v>
      </c>
      <c r="G310" t="s">
        <v>32617</v>
      </c>
      <c r="H310" t="s">
        <v>14201</v>
      </c>
      <c r="I310" t="s">
        <v>6478</v>
      </c>
      <c r="J310" t="s">
        <v>33020</v>
      </c>
      <c r="K310" t="s">
        <v>42632</v>
      </c>
      <c r="M310" t="s">
        <v>43064</v>
      </c>
      <c r="N310" t="s">
        <v>47304</v>
      </c>
      <c r="O310" t="s">
        <v>47305</v>
      </c>
      <c r="P310">
        <v>0</v>
      </c>
      <c r="Q310">
        <v>1</v>
      </c>
      <c r="R310" t="s">
        <v>47306</v>
      </c>
      <c r="S310" t="s">
        <v>47414</v>
      </c>
      <c r="T310" t="s">
        <v>48997</v>
      </c>
      <c r="U310" t="s">
        <v>49835</v>
      </c>
      <c r="W310" t="s">
        <v>43064</v>
      </c>
      <c r="X310" t="s">
        <v>47308</v>
      </c>
    </row>
    <row r="311" spans="1:24">
      <c r="A311">
        <f>HYPERLINK("https://www.philgeps.gov.ph/GEPSNONPILOT/Tender/SplashBidNoticeAbstractUI.aspx?menuIndex=3&amp;refID=7194356&amp;Result=3","7194356")</f>
        <v>0</v>
      </c>
      <c r="B311" t="s">
        <v>164</v>
      </c>
      <c r="C311" t="s">
        <v>4191</v>
      </c>
      <c r="D311" t="s">
        <v>19037</v>
      </c>
      <c r="E311" t="s">
        <v>19387</v>
      </c>
      <c r="F311" t="s">
        <v>32606</v>
      </c>
      <c r="G311" t="s">
        <v>32613</v>
      </c>
      <c r="H311" t="s">
        <v>14201</v>
      </c>
      <c r="I311" t="s">
        <v>6931</v>
      </c>
      <c r="J311" t="s">
        <v>33021</v>
      </c>
      <c r="K311" t="s">
        <v>42624</v>
      </c>
      <c r="M311" t="s">
        <v>43065</v>
      </c>
      <c r="N311" t="s">
        <v>47304</v>
      </c>
      <c r="O311" t="s">
        <v>47305</v>
      </c>
      <c r="P311">
        <v>0</v>
      </c>
      <c r="Q311">
        <v>0</v>
      </c>
      <c r="R311" t="s">
        <v>47306</v>
      </c>
      <c r="S311" t="s">
        <v>47414</v>
      </c>
      <c r="T311" t="s">
        <v>48988</v>
      </c>
      <c r="U311" t="s">
        <v>49836</v>
      </c>
      <c r="W311" t="s">
        <v>43065</v>
      </c>
      <c r="X311" t="s">
        <v>47308</v>
      </c>
    </row>
    <row r="312" spans="1:24">
      <c r="A312">
        <f>HYPERLINK("https://www.philgeps.gov.ph/GEPSNONPILOT/Tender/SplashBidNoticeAbstractUI.aspx?menuIndex=3&amp;refID=7194385&amp;Result=3","7194385")</f>
        <v>0</v>
      </c>
      <c r="B312" t="s">
        <v>148</v>
      </c>
      <c r="C312" t="s">
        <v>4156</v>
      </c>
      <c r="E312" t="s">
        <v>19388</v>
      </c>
      <c r="F312" t="s">
        <v>32606</v>
      </c>
      <c r="G312" t="s">
        <v>32614</v>
      </c>
      <c r="H312" t="s">
        <v>14201</v>
      </c>
      <c r="I312" t="s">
        <v>32640</v>
      </c>
      <c r="J312" t="s">
        <v>32981</v>
      </c>
      <c r="K312" t="s">
        <v>42623</v>
      </c>
      <c r="M312" t="s">
        <v>43049</v>
      </c>
      <c r="N312" t="s">
        <v>47304</v>
      </c>
      <c r="O312" t="s">
        <v>47305</v>
      </c>
      <c r="P312">
        <v>0</v>
      </c>
      <c r="Q312">
        <v>1</v>
      </c>
      <c r="R312" t="s">
        <v>47306</v>
      </c>
      <c r="S312" t="s">
        <v>47414</v>
      </c>
      <c r="T312" t="s">
        <v>49006</v>
      </c>
      <c r="U312" t="s">
        <v>49804</v>
      </c>
      <c r="W312" t="s">
        <v>43049</v>
      </c>
      <c r="X312" t="s">
        <v>47308</v>
      </c>
    </row>
    <row r="313" spans="1:24">
      <c r="A313">
        <f>HYPERLINK("https://www.philgeps.gov.ph/GEPSNONPILOT/Tender/SplashBidNoticeAbstractUI.aspx?menuIndex=3&amp;refID=7194355&amp;Result=3","7194355")</f>
        <v>0</v>
      </c>
      <c r="B313" t="s">
        <v>165</v>
      </c>
      <c r="C313" t="s">
        <v>4192</v>
      </c>
      <c r="D313" t="s">
        <v>18993</v>
      </c>
      <c r="E313" t="s">
        <v>19389</v>
      </c>
      <c r="F313" t="s">
        <v>32606</v>
      </c>
      <c r="G313" t="s">
        <v>32619</v>
      </c>
      <c r="H313" t="s">
        <v>14201</v>
      </c>
      <c r="I313" t="s">
        <v>32640</v>
      </c>
      <c r="J313" t="s">
        <v>33022</v>
      </c>
      <c r="K313" t="s">
        <v>42623</v>
      </c>
      <c r="M313" t="s">
        <v>43066</v>
      </c>
      <c r="N313" t="s">
        <v>47304</v>
      </c>
      <c r="O313" t="s">
        <v>47305</v>
      </c>
      <c r="P313">
        <v>0</v>
      </c>
      <c r="Q313">
        <v>14</v>
      </c>
      <c r="R313" t="s">
        <v>47306</v>
      </c>
      <c r="S313" t="s">
        <v>47414</v>
      </c>
      <c r="T313" t="s">
        <v>49014</v>
      </c>
      <c r="U313" t="s">
        <v>49837</v>
      </c>
      <c r="W313" t="s">
        <v>43066</v>
      </c>
      <c r="X313" t="s">
        <v>47308</v>
      </c>
    </row>
    <row r="314" spans="1:24">
      <c r="A314">
        <f>HYPERLINK("https://www.philgeps.gov.ph/GEPSNONPILOT/Tender/SplashBidNoticeAbstractUI.aspx?menuIndex=3&amp;refID=7194166&amp;Result=3","7194166")</f>
        <v>0</v>
      </c>
      <c r="B314" t="s">
        <v>86</v>
      </c>
      <c r="C314" t="s">
        <v>4193</v>
      </c>
      <c r="D314" t="s">
        <v>19004</v>
      </c>
      <c r="E314" t="s">
        <v>19390</v>
      </c>
      <c r="F314" t="s">
        <v>32606</v>
      </c>
      <c r="G314" t="s">
        <v>32613</v>
      </c>
      <c r="H314" t="s">
        <v>14201</v>
      </c>
      <c r="I314" t="s">
        <v>6931</v>
      </c>
      <c r="J314" t="s">
        <v>33023</v>
      </c>
      <c r="K314" t="s">
        <v>42630</v>
      </c>
      <c r="M314" t="s">
        <v>42984</v>
      </c>
      <c r="N314" t="s">
        <v>47304</v>
      </c>
      <c r="O314" t="s">
        <v>47305</v>
      </c>
      <c r="P314">
        <v>0</v>
      </c>
      <c r="Q314">
        <v>2</v>
      </c>
      <c r="R314" t="s">
        <v>47306</v>
      </c>
      <c r="S314" t="s">
        <v>47414</v>
      </c>
      <c r="T314" t="s">
        <v>48987</v>
      </c>
      <c r="U314" t="s">
        <v>49838</v>
      </c>
      <c r="V314" t="s">
        <v>62663</v>
      </c>
      <c r="W314" t="s">
        <v>42984</v>
      </c>
      <c r="X314" t="s">
        <v>47309</v>
      </c>
    </row>
    <row r="315" spans="1:24">
      <c r="A315">
        <f>HYPERLINK("https://www.philgeps.gov.ph/GEPSNONPILOT/Tender/SplashBidNoticeAbstractUI.aspx?menuIndex=3&amp;refID=7194379&amp;Result=3","7194379")</f>
        <v>0</v>
      </c>
      <c r="B315" t="s">
        <v>148</v>
      </c>
      <c r="C315" t="s">
        <v>4194</v>
      </c>
      <c r="E315" t="s">
        <v>19391</v>
      </c>
      <c r="F315" t="s">
        <v>32606</v>
      </c>
      <c r="G315" t="s">
        <v>32614</v>
      </c>
      <c r="H315" t="s">
        <v>14201</v>
      </c>
      <c r="I315" t="s">
        <v>6993</v>
      </c>
      <c r="J315" t="s">
        <v>33024</v>
      </c>
      <c r="K315" t="s">
        <v>42623</v>
      </c>
      <c r="M315" t="s">
        <v>43049</v>
      </c>
      <c r="N315" t="s">
        <v>47304</v>
      </c>
      <c r="O315" t="s">
        <v>47305</v>
      </c>
      <c r="P315">
        <v>0</v>
      </c>
      <c r="Q315">
        <v>0</v>
      </c>
      <c r="R315" t="s">
        <v>47306</v>
      </c>
      <c r="S315" t="s">
        <v>47414</v>
      </c>
      <c r="T315" t="s">
        <v>48980</v>
      </c>
      <c r="U315" t="s">
        <v>49804</v>
      </c>
      <c r="W315" t="s">
        <v>43049</v>
      </c>
      <c r="X315" t="s">
        <v>47308</v>
      </c>
    </row>
    <row r="316" spans="1:24">
      <c r="A316">
        <f>HYPERLINK("https://www.philgeps.gov.ph/GEPSNONPILOT/Tender/SplashBidNoticeAbstractUI.aspx?menuIndex=3&amp;refID=7194422&amp;Result=3","7194422")</f>
        <v>0</v>
      </c>
      <c r="B316" t="s">
        <v>157</v>
      </c>
      <c r="C316" t="s">
        <v>4175</v>
      </c>
      <c r="D316" t="s">
        <v>19003</v>
      </c>
      <c r="E316" t="s">
        <v>19370</v>
      </c>
      <c r="F316" t="s">
        <v>32606</v>
      </c>
      <c r="G316" t="s">
        <v>32614</v>
      </c>
      <c r="H316" t="s">
        <v>14201</v>
      </c>
      <c r="I316" t="s">
        <v>4114</v>
      </c>
      <c r="J316" t="s">
        <v>33025</v>
      </c>
      <c r="K316" t="s">
        <v>42630</v>
      </c>
      <c r="M316" t="s">
        <v>43058</v>
      </c>
      <c r="N316" t="s">
        <v>47304</v>
      </c>
      <c r="O316" t="s">
        <v>47305</v>
      </c>
      <c r="P316">
        <v>0</v>
      </c>
      <c r="Q316">
        <v>1</v>
      </c>
      <c r="R316" t="s">
        <v>47306</v>
      </c>
      <c r="S316" t="s">
        <v>47414</v>
      </c>
      <c r="T316" t="s">
        <v>49042</v>
      </c>
      <c r="U316" t="s">
        <v>49839</v>
      </c>
      <c r="W316" t="s">
        <v>43058</v>
      </c>
      <c r="X316" t="s">
        <v>47308</v>
      </c>
    </row>
    <row r="317" spans="1:24">
      <c r="A317">
        <f>HYPERLINK("https://www.philgeps.gov.ph/GEPSNONPILOT/Tender/SplashBidNoticeAbstractUI.aspx?menuIndex=3&amp;refID=7194421&amp;Result=3","7194421")</f>
        <v>0</v>
      </c>
      <c r="B317" t="s">
        <v>166</v>
      </c>
      <c r="C317" t="s">
        <v>4195</v>
      </c>
      <c r="E317" t="s">
        <v>19392</v>
      </c>
      <c r="F317" t="s">
        <v>32606</v>
      </c>
      <c r="G317" t="s">
        <v>32619</v>
      </c>
      <c r="H317" t="s">
        <v>14201</v>
      </c>
      <c r="I317" t="s">
        <v>6931</v>
      </c>
      <c r="J317" t="s">
        <v>33026</v>
      </c>
      <c r="K317" t="s">
        <v>42624</v>
      </c>
      <c r="M317" t="s">
        <v>43067</v>
      </c>
      <c r="N317" t="s">
        <v>47304</v>
      </c>
      <c r="O317" t="s">
        <v>47305</v>
      </c>
      <c r="P317">
        <v>0</v>
      </c>
      <c r="Q317">
        <v>0</v>
      </c>
      <c r="R317" t="s">
        <v>47306</v>
      </c>
      <c r="S317" t="s">
        <v>47414</v>
      </c>
      <c r="T317" t="s">
        <v>49044</v>
      </c>
      <c r="U317" t="s">
        <v>49840</v>
      </c>
      <c r="W317" t="s">
        <v>43067</v>
      </c>
      <c r="X317" t="s">
        <v>47308</v>
      </c>
    </row>
    <row r="318" spans="1:24">
      <c r="A318">
        <f>HYPERLINK("https://www.philgeps.gov.ph/GEPSNONPILOT/Tender/SplashBidNoticeAbstractUI.aspx?menuIndex=3&amp;refID=7194378&amp;Result=3","7194378")</f>
        <v>0</v>
      </c>
      <c r="B318" t="s">
        <v>161</v>
      </c>
      <c r="C318" t="s">
        <v>4196</v>
      </c>
      <c r="D318" t="s">
        <v>18993</v>
      </c>
      <c r="E318" t="s">
        <v>19393</v>
      </c>
      <c r="F318" t="s">
        <v>32606</v>
      </c>
      <c r="G318" t="s">
        <v>32614</v>
      </c>
      <c r="H318" t="s">
        <v>14201</v>
      </c>
      <c r="I318" t="s">
        <v>7233</v>
      </c>
      <c r="J318" t="s">
        <v>33027</v>
      </c>
      <c r="K318" t="s">
        <v>42632</v>
      </c>
      <c r="M318" t="s">
        <v>43062</v>
      </c>
      <c r="N318" t="s">
        <v>47304</v>
      </c>
      <c r="O318" t="s">
        <v>47305</v>
      </c>
      <c r="P318">
        <v>0</v>
      </c>
      <c r="Q318">
        <v>3</v>
      </c>
      <c r="R318" t="s">
        <v>47306</v>
      </c>
      <c r="S318" t="s">
        <v>47414</v>
      </c>
      <c r="T318" t="s">
        <v>49023</v>
      </c>
      <c r="U318" t="s">
        <v>49841</v>
      </c>
      <c r="W318" t="s">
        <v>43062</v>
      </c>
      <c r="X318" t="s">
        <v>47308</v>
      </c>
    </row>
    <row r="319" spans="1:24">
      <c r="A319">
        <f>HYPERLINK("https://www.philgeps.gov.ph/GEPSNONPILOT/Tender/SplashBidNoticeAbstractUI.aspx?menuIndex=3&amp;refID=7194420&amp;Result=3","7194420")</f>
        <v>0</v>
      </c>
      <c r="B319" t="s">
        <v>76</v>
      </c>
      <c r="C319" t="s">
        <v>4197</v>
      </c>
      <c r="D319" t="s">
        <v>19010</v>
      </c>
      <c r="E319" t="s">
        <v>19394</v>
      </c>
      <c r="F319" t="s">
        <v>32606</v>
      </c>
      <c r="G319" t="s">
        <v>32613</v>
      </c>
      <c r="H319" t="s">
        <v>14201</v>
      </c>
      <c r="I319" t="s">
        <v>32640</v>
      </c>
      <c r="J319" t="s">
        <v>33028</v>
      </c>
      <c r="K319" t="s">
        <v>42624</v>
      </c>
      <c r="M319" t="s">
        <v>42973</v>
      </c>
      <c r="N319" t="s">
        <v>47304</v>
      </c>
      <c r="O319" t="s">
        <v>47305</v>
      </c>
      <c r="P319">
        <v>0</v>
      </c>
      <c r="Q319">
        <v>0</v>
      </c>
      <c r="R319" t="s">
        <v>47306</v>
      </c>
      <c r="S319" t="s">
        <v>47414</v>
      </c>
      <c r="T319" t="s">
        <v>49011</v>
      </c>
      <c r="U319" t="s">
        <v>49842</v>
      </c>
      <c r="W319" t="s">
        <v>64421</v>
      </c>
      <c r="X319" t="s">
        <v>47308</v>
      </c>
    </row>
    <row r="320" spans="1:24">
      <c r="A320">
        <f>HYPERLINK("https://www.philgeps.gov.ph/GEPSNONPILOT/Tender/SplashBidNoticeAbstractUI.aspx?menuIndex=3&amp;refID=7194419&amp;Result=3","7194419")</f>
        <v>0</v>
      </c>
      <c r="B320" t="s">
        <v>167</v>
      </c>
      <c r="C320" t="s">
        <v>4198</v>
      </c>
      <c r="D320" t="s">
        <v>19033</v>
      </c>
      <c r="E320" t="s">
        <v>19395</v>
      </c>
      <c r="F320" t="s">
        <v>32606</v>
      </c>
      <c r="G320" t="s">
        <v>32613</v>
      </c>
      <c r="H320" t="s">
        <v>14201</v>
      </c>
      <c r="I320" t="s">
        <v>32662</v>
      </c>
      <c r="J320" t="s">
        <v>33029</v>
      </c>
      <c r="K320" t="s">
        <v>42639</v>
      </c>
      <c r="M320" t="s">
        <v>43068</v>
      </c>
      <c r="N320" t="s">
        <v>47304</v>
      </c>
      <c r="O320" t="s">
        <v>47305</v>
      </c>
      <c r="P320">
        <v>0</v>
      </c>
      <c r="Q320">
        <v>6</v>
      </c>
      <c r="R320" t="s">
        <v>47306</v>
      </c>
      <c r="S320" t="s">
        <v>47414</v>
      </c>
      <c r="T320" t="s">
        <v>48983</v>
      </c>
      <c r="U320" t="s">
        <v>49843</v>
      </c>
      <c r="W320" t="s">
        <v>43068</v>
      </c>
      <c r="X320" t="s">
        <v>47308</v>
      </c>
    </row>
    <row r="321" spans="1:24">
      <c r="A321">
        <f>HYPERLINK("https://www.philgeps.gov.ph/GEPSNONPILOT/Tender/SplashBidNoticeAbstractUI.aspx?menuIndex=3&amp;refID=7194416&amp;Result=3","7194416")</f>
        <v>0</v>
      </c>
      <c r="B321" t="s">
        <v>168</v>
      </c>
      <c r="C321" t="s">
        <v>4199</v>
      </c>
      <c r="D321" t="s">
        <v>19038</v>
      </c>
      <c r="E321" t="s">
        <v>19396</v>
      </c>
      <c r="F321" t="s">
        <v>32606</v>
      </c>
      <c r="G321" t="s">
        <v>32614</v>
      </c>
      <c r="H321" t="s">
        <v>14201</v>
      </c>
      <c r="I321" t="s">
        <v>7233</v>
      </c>
      <c r="J321" t="s">
        <v>33030</v>
      </c>
      <c r="K321" t="s">
        <v>42624</v>
      </c>
      <c r="M321" t="s">
        <v>43069</v>
      </c>
      <c r="N321" t="s">
        <v>47304</v>
      </c>
      <c r="O321" t="s">
        <v>47305</v>
      </c>
      <c r="P321">
        <v>0</v>
      </c>
      <c r="Q321">
        <v>0</v>
      </c>
      <c r="R321" t="s">
        <v>47306</v>
      </c>
      <c r="S321" t="s">
        <v>47414</v>
      </c>
      <c r="T321" t="s">
        <v>49014</v>
      </c>
      <c r="U321" t="s">
        <v>49844</v>
      </c>
      <c r="W321" t="s">
        <v>43069</v>
      </c>
      <c r="X321" t="s">
        <v>47308</v>
      </c>
    </row>
    <row r="322" spans="1:24">
      <c r="A322">
        <f>HYPERLINK("https://www.philgeps.gov.ph/GEPSNONPILOT/Tender/SplashBidNoticeAbstractUI.aspx?menuIndex=3&amp;refID=7194284&amp;Result=3","7194284")</f>
        <v>0</v>
      </c>
      <c r="B322" t="s">
        <v>135</v>
      </c>
      <c r="C322" t="s">
        <v>4200</v>
      </c>
      <c r="D322" t="s">
        <v>19009</v>
      </c>
      <c r="E322" t="s">
        <v>19397</v>
      </c>
      <c r="F322" t="s">
        <v>32606</v>
      </c>
      <c r="G322" t="s">
        <v>32613</v>
      </c>
      <c r="H322" t="s">
        <v>32623</v>
      </c>
      <c r="I322" t="s">
        <v>17648</v>
      </c>
      <c r="J322" t="s">
        <v>33031</v>
      </c>
      <c r="K322" t="s">
        <v>42649</v>
      </c>
      <c r="M322" t="s">
        <v>43036</v>
      </c>
      <c r="N322" t="s">
        <v>47304</v>
      </c>
      <c r="O322" t="s">
        <v>47305</v>
      </c>
      <c r="P322">
        <v>0</v>
      </c>
      <c r="Q322">
        <v>0</v>
      </c>
      <c r="R322" t="s">
        <v>47306</v>
      </c>
      <c r="S322" t="s">
        <v>47414</v>
      </c>
      <c r="T322" t="s">
        <v>49032</v>
      </c>
      <c r="U322" t="s">
        <v>49845</v>
      </c>
      <c r="V322" t="s">
        <v>62678</v>
      </c>
      <c r="W322" t="s">
        <v>43036</v>
      </c>
      <c r="X322" t="s">
        <v>47309</v>
      </c>
    </row>
    <row r="323" spans="1:24">
      <c r="A323">
        <f>HYPERLINK("https://www.philgeps.gov.ph/GEPSNONPILOT/Tender/SplashBidNoticeAbstractUI.aspx?menuIndex=3&amp;refID=7194381&amp;Result=3","7194381")</f>
        <v>0</v>
      </c>
      <c r="B323" t="s">
        <v>148</v>
      </c>
      <c r="C323" t="s">
        <v>4156</v>
      </c>
      <c r="E323" t="s">
        <v>19398</v>
      </c>
      <c r="F323" t="s">
        <v>32606</v>
      </c>
      <c r="G323" t="s">
        <v>32614</v>
      </c>
      <c r="H323" t="s">
        <v>14201</v>
      </c>
      <c r="I323" t="s">
        <v>32640</v>
      </c>
      <c r="J323" t="s">
        <v>32981</v>
      </c>
      <c r="K323" t="s">
        <v>42623</v>
      </c>
      <c r="M323" t="s">
        <v>43049</v>
      </c>
      <c r="N323" t="s">
        <v>47304</v>
      </c>
      <c r="O323" t="s">
        <v>47305</v>
      </c>
      <c r="P323">
        <v>0</v>
      </c>
      <c r="Q323">
        <v>1</v>
      </c>
      <c r="R323" t="s">
        <v>47306</v>
      </c>
      <c r="S323" t="s">
        <v>47414</v>
      </c>
      <c r="T323" t="s">
        <v>49045</v>
      </c>
      <c r="U323" t="s">
        <v>49804</v>
      </c>
      <c r="W323" t="s">
        <v>43049</v>
      </c>
      <c r="X323" t="s">
        <v>47308</v>
      </c>
    </row>
    <row r="324" spans="1:24">
      <c r="A324">
        <f>HYPERLINK("https://www.philgeps.gov.ph/GEPSNONPILOT/Tender/SplashBidNoticeAbstractUI.aspx?menuIndex=3&amp;refID=7194391&amp;Result=3","7194391")</f>
        <v>0</v>
      </c>
      <c r="B324" t="s">
        <v>169</v>
      </c>
      <c r="C324" t="s">
        <v>4201</v>
      </c>
      <c r="D324" t="s">
        <v>19010</v>
      </c>
      <c r="E324" t="s">
        <v>19399</v>
      </c>
      <c r="F324" t="s">
        <v>32606</v>
      </c>
      <c r="G324" t="s">
        <v>32619</v>
      </c>
      <c r="H324" t="s">
        <v>14201</v>
      </c>
      <c r="I324" t="s">
        <v>32663</v>
      </c>
      <c r="J324" t="s">
        <v>33032</v>
      </c>
      <c r="K324" t="s">
        <v>42623</v>
      </c>
      <c r="M324" t="s">
        <v>43070</v>
      </c>
      <c r="N324" t="s">
        <v>47304</v>
      </c>
      <c r="O324" t="s">
        <v>47305</v>
      </c>
      <c r="P324">
        <v>0</v>
      </c>
      <c r="Q324">
        <v>0</v>
      </c>
      <c r="R324" t="s">
        <v>47306</v>
      </c>
      <c r="S324" t="s">
        <v>47414</v>
      </c>
      <c r="T324" t="s">
        <v>49014</v>
      </c>
      <c r="U324" t="s">
        <v>49846</v>
      </c>
      <c r="W324" t="s">
        <v>43070</v>
      </c>
      <c r="X324" t="s">
        <v>47308</v>
      </c>
    </row>
    <row r="325" spans="1:24">
      <c r="A325">
        <f>HYPERLINK("https://www.philgeps.gov.ph/GEPSNONPILOT/Tender/SplashBidNoticeAbstractUI.aspx?menuIndex=3&amp;refID=7194411&amp;Result=3","7194411")</f>
        <v>0</v>
      </c>
      <c r="B325" t="s">
        <v>170</v>
      </c>
      <c r="C325" t="s">
        <v>4202</v>
      </c>
      <c r="E325" t="s">
        <v>19400</v>
      </c>
      <c r="F325" t="s">
        <v>32606</v>
      </c>
      <c r="G325" t="s">
        <v>32619</v>
      </c>
      <c r="H325" t="s">
        <v>14201</v>
      </c>
      <c r="I325" t="s">
        <v>32644</v>
      </c>
      <c r="J325" t="s">
        <v>33033</v>
      </c>
      <c r="K325" t="s">
        <v>42624</v>
      </c>
      <c r="M325" t="s">
        <v>43071</v>
      </c>
      <c r="N325" t="s">
        <v>47304</v>
      </c>
      <c r="O325" t="s">
        <v>47305</v>
      </c>
      <c r="P325">
        <v>0</v>
      </c>
      <c r="Q325">
        <v>0</v>
      </c>
      <c r="R325" t="s">
        <v>47306</v>
      </c>
      <c r="S325" t="s">
        <v>47414</v>
      </c>
      <c r="T325" t="s">
        <v>49046</v>
      </c>
      <c r="U325" t="s">
        <v>49847</v>
      </c>
      <c r="W325" t="s">
        <v>43071</v>
      </c>
      <c r="X325" t="s">
        <v>47308</v>
      </c>
    </row>
    <row r="326" spans="1:24">
      <c r="A326">
        <f>HYPERLINK("https://www.philgeps.gov.ph/GEPSNONPILOT/Tender/SplashBidNoticeAbstractUI.aspx?menuIndex=3&amp;refID=7194410&amp;Result=3","7194410")</f>
        <v>0</v>
      </c>
      <c r="B326" t="s">
        <v>171</v>
      </c>
      <c r="C326" t="s">
        <v>4203</v>
      </c>
      <c r="E326" t="s">
        <v>19401</v>
      </c>
      <c r="F326" t="s">
        <v>32606</v>
      </c>
      <c r="G326" t="s">
        <v>32614</v>
      </c>
      <c r="H326" t="s">
        <v>14201</v>
      </c>
      <c r="I326" t="s">
        <v>8606</v>
      </c>
      <c r="J326" t="s">
        <v>32885</v>
      </c>
      <c r="K326" t="s">
        <v>42630</v>
      </c>
      <c r="M326" t="s">
        <v>43072</v>
      </c>
      <c r="N326" t="s">
        <v>47304</v>
      </c>
      <c r="O326" t="s">
        <v>47305</v>
      </c>
      <c r="P326">
        <v>0</v>
      </c>
      <c r="Q326">
        <v>1</v>
      </c>
      <c r="R326" t="s">
        <v>47306</v>
      </c>
      <c r="S326" t="s">
        <v>47414</v>
      </c>
      <c r="T326" t="s">
        <v>48979</v>
      </c>
      <c r="U326" t="s">
        <v>49848</v>
      </c>
      <c r="W326" t="s">
        <v>43072</v>
      </c>
      <c r="X326" t="s">
        <v>47308</v>
      </c>
    </row>
    <row r="327" spans="1:24">
      <c r="A327">
        <f>HYPERLINK("https://www.philgeps.gov.ph/GEPSNONPILOT/Tender/SplashBidNoticeAbstractUI.aspx?menuIndex=3&amp;refID=7194408&amp;Result=3","7194408")</f>
        <v>0</v>
      </c>
      <c r="B327" t="s">
        <v>172</v>
      </c>
      <c r="C327" t="s">
        <v>4204</v>
      </c>
      <c r="D327" t="s">
        <v>19006</v>
      </c>
      <c r="E327" t="s">
        <v>19402</v>
      </c>
      <c r="F327" t="s">
        <v>32606</v>
      </c>
      <c r="G327" t="s">
        <v>32613</v>
      </c>
      <c r="H327" t="s">
        <v>14201</v>
      </c>
      <c r="I327" t="s">
        <v>32664</v>
      </c>
      <c r="J327" t="s">
        <v>33034</v>
      </c>
      <c r="K327" t="s">
        <v>42623</v>
      </c>
      <c r="M327" t="s">
        <v>43073</v>
      </c>
      <c r="N327" t="s">
        <v>47304</v>
      </c>
      <c r="O327" t="s">
        <v>47305</v>
      </c>
      <c r="P327">
        <v>0</v>
      </c>
      <c r="Q327">
        <v>0</v>
      </c>
      <c r="R327" t="s">
        <v>47306</v>
      </c>
      <c r="S327" t="s">
        <v>47414</v>
      </c>
      <c r="T327" t="s">
        <v>49017</v>
      </c>
      <c r="U327" t="s">
        <v>49849</v>
      </c>
      <c r="W327" t="s">
        <v>43073</v>
      </c>
      <c r="X327" t="s">
        <v>47308</v>
      </c>
    </row>
    <row r="328" spans="1:24">
      <c r="A328">
        <f>HYPERLINK("https://www.philgeps.gov.ph/GEPSNONPILOT/Tender/SplashBidNoticeAbstractUI.aspx?menuIndex=3&amp;refID=7194412&amp;Result=3","7194412")</f>
        <v>0</v>
      </c>
      <c r="B328" t="s">
        <v>76</v>
      </c>
      <c r="C328" t="s">
        <v>4205</v>
      </c>
      <c r="D328" t="s">
        <v>19010</v>
      </c>
      <c r="E328" t="s">
        <v>19403</v>
      </c>
      <c r="F328" t="s">
        <v>32606</v>
      </c>
      <c r="G328" t="s">
        <v>32613</v>
      </c>
      <c r="H328" t="s">
        <v>14201</v>
      </c>
      <c r="I328" t="s">
        <v>32631</v>
      </c>
      <c r="J328" t="s">
        <v>33035</v>
      </c>
      <c r="K328" t="s">
        <v>42624</v>
      </c>
      <c r="M328" t="s">
        <v>42973</v>
      </c>
      <c r="N328" t="s">
        <v>47304</v>
      </c>
      <c r="O328" t="s">
        <v>47305</v>
      </c>
      <c r="P328">
        <v>0</v>
      </c>
      <c r="Q328">
        <v>0</v>
      </c>
      <c r="R328" t="s">
        <v>47306</v>
      </c>
      <c r="S328" t="s">
        <v>47414</v>
      </c>
      <c r="T328" t="s">
        <v>49011</v>
      </c>
      <c r="U328" t="s">
        <v>49850</v>
      </c>
      <c r="W328" t="s">
        <v>64421</v>
      </c>
      <c r="X328" t="s">
        <v>47308</v>
      </c>
    </row>
    <row r="329" spans="1:24">
      <c r="A329">
        <f>HYPERLINK("https://www.philgeps.gov.ph/GEPSNONPILOT/Tender/SplashBidNoticeAbstractUI.aspx?menuIndex=3&amp;refID=7194384&amp;Result=3","7194384")</f>
        <v>0</v>
      </c>
      <c r="B329" t="s">
        <v>160</v>
      </c>
      <c r="C329" t="s">
        <v>4206</v>
      </c>
      <c r="D329" t="s">
        <v>19036</v>
      </c>
      <c r="E329" t="s">
        <v>19404</v>
      </c>
      <c r="F329" t="s">
        <v>32606</v>
      </c>
      <c r="G329" t="s">
        <v>32613</v>
      </c>
      <c r="H329" t="s">
        <v>32623</v>
      </c>
      <c r="I329" t="s">
        <v>17648</v>
      </c>
      <c r="J329" t="s">
        <v>33036</v>
      </c>
      <c r="K329" t="s">
        <v>42648</v>
      </c>
      <c r="L329" t="s">
        <v>160</v>
      </c>
      <c r="M329" t="s">
        <v>43061</v>
      </c>
      <c r="N329" t="s">
        <v>47304</v>
      </c>
      <c r="O329" t="s">
        <v>47305</v>
      </c>
      <c r="P329">
        <v>0</v>
      </c>
      <c r="Q329">
        <v>0</v>
      </c>
      <c r="R329" t="s">
        <v>47306</v>
      </c>
      <c r="S329" t="s">
        <v>47414</v>
      </c>
      <c r="T329" t="s">
        <v>49005</v>
      </c>
      <c r="U329" t="s">
        <v>49851</v>
      </c>
      <c r="W329" t="s">
        <v>43061</v>
      </c>
      <c r="X329" t="s">
        <v>47308</v>
      </c>
    </row>
    <row r="330" spans="1:24">
      <c r="A330">
        <f>HYPERLINK("https://www.philgeps.gov.ph/GEPSNONPILOT/Tender/SplashBidNoticeAbstractUI.aspx?menuIndex=3&amp;refID=7194405&amp;Result=3","7194405")</f>
        <v>0</v>
      </c>
      <c r="B330" t="s">
        <v>76</v>
      </c>
      <c r="C330" t="s">
        <v>4207</v>
      </c>
      <c r="D330" t="s">
        <v>19010</v>
      </c>
      <c r="E330" t="s">
        <v>19405</v>
      </c>
      <c r="F330" t="s">
        <v>32606</v>
      </c>
      <c r="G330" t="s">
        <v>32613</v>
      </c>
      <c r="H330" t="s">
        <v>14201</v>
      </c>
      <c r="I330" t="s">
        <v>32640</v>
      </c>
      <c r="J330" t="s">
        <v>33037</v>
      </c>
      <c r="K330" t="s">
        <v>42624</v>
      </c>
      <c r="M330" t="s">
        <v>42973</v>
      </c>
      <c r="N330" t="s">
        <v>47304</v>
      </c>
      <c r="O330" t="s">
        <v>47305</v>
      </c>
      <c r="P330">
        <v>0</v>
      </c>
      <c r="Q330">
        <v>2</v>
      </c>
      <c r="R330" t="s">
        <v>47306</v>
      </c>
      <c r="S330" t="s">
        <v>47414</v>
      </c>
      <c r="T330" t="s">
        <v>49011</v>
      </c>
      <c r="U330" t="s">
        <v>49852</v>
      </c>
      <c r="W330" t="s">
        <v>64421</v>
      </c>
      <c r="X330" t="s">
        <v>47308</v>
      </c>
    </row>
    <row r="331" spans="1:24">
      <c r="A331">
        <f>HYPERLINK("https://www.philgeps.gov.ph/GEPSNONPILOT/Tender/SplashBidNoticeAbstractUI.aspx?menuIndex=3&amp;refID=7194409&amp;Result=3","7194409")</f>
        <v>0</v>
      </c>
      <c r="B331" t="s">
        <v>173</v>
      </c>
      <c r="C331" t="s">
        <v>4208</v>
      </c>
      <c r="E331" t="s">
        <v>19406</v>
      </c>
      <c r="F331" t="s">
        <v>32606</v>
      </c>
      <c r="G331" t="s">
        <v>32615</v>
      </c>
      <c r="H331" t="s">
        <v>14201</v>
      </c>
      <c r="I331" t="s">
        <v>32644</v>
      </c>
      <c r="J331" t="s">
        <v>32813</v>
      </c>
      <c r="K331" t="s">
        <v>42624</v>
      </c>
      <c r="M331" t="s">
        <v>43074</v>
      </c>
      <c r="N331" t="s">
        <v>47304</v>
      </c>
      <c r="O331" t="s">
        <v>47305</v>
      </c>
      <c r="P331">
        <v>0</v>
      </c>
      <c r="Q331">
        <v>0</v>
      </c>
      <c r="R331" t="s">
        <v>47306</v>
      </c>
      <c r="S331" t="s">
        <v>47414</v>
      </c>
      <c r="T331" t="s">
        <v>49010</v>
      </c>
      <c r="U331" t="s">
        <v>49853</v>
      </c>
      <c r="W331" t="s">
        <v>43074</v>
      </c>
      <c r="X331" t="s">
        <v>47308</v>
      </c>
    </row>
    <row r="332" spans="1:24">
      <c r="A332">
        <f>HYPERLINK("https://www.philgeps.gov.ph/GEPSNONPILOT/Tender/SplashBidNoticeAbstractUI.aspx?menuIndex=3&amp;refID=7194403&amp;Result=3","7194403")</f>
        <v>0</v>
      </c>
      <c r="B332" t="s">
        <v>174</v>
      </c>
      <c r="C332" t="s">
        <v>4209</v>
      </c>
      <c r="D332" t="s">
        <v>19029</v>
      </c>
      <c r="E332" t="s">
        <v>19407</v>
      </c>
      <c r="F332" t="s">
        <v>32606</v>
      </c>
      <c r="G332" t="s">
        <v>32619</v>
      </c>
      <c r="H332" t="s">
        <v>14201</v>
      </c>
      <c r="I332" t="s">
        <v>4678</v>
      </c>
      <c r="J332" t="s">
        <v>33038</v>
      </c>
      <c r="K332" t="s">
        <v>42623</v>
      </c>
      <c r="M332" t="s">
        <v>43075</v>
      </c>
      <c r="N332" t="s">
        <v>47304</v>
      </c>
      <c r="O332" t="s">
        <v>47305</v>
      </c>
      <c r="P332">
        <v>0</v>
      </c>
      <c r="Q332">
        <v>0</v>
      </c>
      <c r="R332" t="s">
        <v>47306</v>
      </c>
      <c r="S332" t="s">
        <v>47414</v>
      </c>
      <c r="T332" t="s">
        <v>49047</v>
      </c>
      <c r="U332" t="s">
        <v>49854</v>
      </c>
      <c r="W332" t="s">
        <v>43075</v>
      </c>
      <c r="X332" t="s">
        <v>47308</v>
      </c>
    </row>
    <row r="333" spans="1:24">
      <c r="A333">
        <f>HYPERLINK("https://www.philgeps.gov.ph/GEPSNONPILOT/Tender/SplashBidNoticeAbstractUI.aspx?menuIndex=3&amp;refID=7194414&amp;Result=3","7194414")</f>
        <v>0</v>
      </c>
      <c r="B333" t="s">
        <v>167</v>
      </c>
      <c r="C333" t="s">
        <v>4210</v>
      </c>
      <c r="D333" t="s">
        <v>19033</v>
      </c>
      <c r="E333" t="s">
        <v>19408</v>
      </c>
      <c r="F333" t="s">
        <v>32606</v>
      </c>
      <c r="G333" t="s">
        <v>32613</v>
      </c>
      <c r="H333" t="s">
        <v>14201</v>
      </c>
      <c r="I333" t="s">
        <v>32662</v>
      </c>
      <c r="J333" t="s">
        <v>33039</v>
      </c>
      <c r="K333" t="s">
        <v>42639</v>
      </c>
      <c r="M333" t="s">
        <v>43068</v>
      </c>
      <c r="N333" t="s">
        <v>47304</v>
      </c>
      <c r="O333" t="s">
        <v>47305</v>
      </c>
      <c r="P333">
        <v>0</v>
      </c>
      <c r="Q333">
        <v>9</v>
      </c>
      <c r="R333" t="s">
        <v>47306</v>
      </c>
      <c r="S333" t="s">
        <v>47414</v>
      </c>
      <c r="T333" t="s">
        <v>48983</v>
      </c>
      <c r="U333" t="s">
        <v>49855</v>
      </c>
      <c r="W333" t="s">
        <v>43068</v>
      </c>
      <c r="X333" t="s">
        <v>47308</v>
      </c>
    </row>
    <row r="334" spans="1:24">
      <c r="A334">
        <f>HYPERLINK("https://www.philgeps.gov.ph/GEPSNONPILOT/Tender/SplashBidNoticeAbstractUI.aspx?menuIndex=3&amp;refID=7194413&amp;Result=3","7194413")</f>
        <v>0</v>
      </c>
      <c r="B334" t="s">
        <v>76</v>
      </c>
      <c r="C334" t="s">
        <v>4211</v>
      </c>
      <c r="D334" t="s">
        <v>19010</v>
      </c>
      <c r="E334" t="s">
        <v>19409</v>
      </c>
      <c r="F334" t="s">
        <v>32606</v>
      </c>
      <c r="G334" t="s">
        <v>32613</v>
      </c>
      <c r="H334" t="s">
        <v>14201</v>
      </c>
      <c r="I334" t="s">
        <v>32631</v>
      </c>
      <c r="J334" t="s">
        <v>33040</v>
      </c>
      <c r="K334" t="s">
        <v>42624</v>
      </c>
      <c r="M334" t="s">
        <v>42973</v>
      </c>
      <c r="N334" t="s">
        <v>47304</v>
      </c>
      <c r="O334" t="s">
        <v>47305</v>
      </c>
      <c r="P334">
        <v>0</v>
      </c>
      <c r="Q334">
        <v>0</v>
      </c>
      <c r="R334" t="s">
        <v>47306</v>
      </c>
      <c r="S334" t="s">
        <v>47414</v>
      </c>
      <c r="T334" t="s">
        <v>49011</v>
      </c>
      <c r="U334" t="s">
        <v>49856</v>
      </c>
      <c r="W334" t="s">
        <v>64421</v>
      </c>
      <c r="X334" t="s">
        <v>47308</v>
      </c>
    </row>
    <row r="335" spans="1:24">
      <c r="A335">
        <f>HYPERLINK("https://www.philgeps.gov.ph/GEPSNONPILOT/Tender/SplashBidNoticeAbstractUI.aspx?menuIndex=3&amp;refID=7194407&amp;Result=3","7194407")</f>
        <v>0</v>
      </c>
      <c r="B335" t="s">
        <v>76</v>
      </c>
      <c r="C335" t="s">
        <v>4212</v>
      </c>
      <c r="D335" t="s">
        <v>19010</v>
      </c>
      <c r="E335" t="s">
        <v>19410</v>
      </c>
      <c r="F335" t="s">
        <v>32606</v>
      </c>
      <c r="G335" t="s">
        <v>32613</v>
      </c>
      <c r="H335" t="s">
        <v>14201</v>
      </c>
      <c r="I335" t="s">
        <v>32631</v>
      </c>
      <c r="J335" t="s">
        <v>33041</v>
      </c>
      <c r="K335" t="s">
        <v>42624</v>
      </c>
      <c r="M335" t="s">
        <v>42973</v>
      </c>
      <c r="N335" t="s">
        <v>47304</v>
      </c>
      <c r="O335" t="s">
        <v>47305</v>
      </c>
      <c r="P335">
        <v>0</v>
      </c>
      <c r="Q335">
        <v>1</v>
      </c>
      <c r="R335" t="s">
        <v>47306</v>
      </c>
      <c r="S335" t="s">
        <v>47414</v>
      </c>
      <c r="T335" t="s">
        <v>49011</v>
      </c>
      <c r="U335" t="s">
        <v>49857</v>
      </c>
      <c r="W335" t="s">
        <v>64421</v>
      </c>
      <c r="X335" t="s">
        <v>47308</v>
      </c>
    </row>
    <row r="336" spans="1:24">
      <c r="A336">
        <f>HYPERLINK("https://www.philgeps.gov.ph/GEPSNONPILOT/Tender/SplashBidNoticeAbstractUI.aspx?menuIndex=3&amp;refID=7194163&amp;Result=3","7194163")</f>
        <v>0</v>
      </c>
      <c r="B336" t="s">
        <v>126</v>
      </c>
      <c r="C336" t="s">
        <v>4213</v>
      </c>
      <c r="D336" t="s">
        <v>19005</v>
      </c>
      <c r="E336" t="s">
        <v>19120</v>
      </c>
      <c r="F336" t="s">
        <v>32606</v>
      </c>
      <c r="G336" t="s">
        <v>32613</v>
      </c>
      <c r="H336" t="s">
        <v>14201</v>
      </c>
      <c r="I336" t="s">
        <v>6298</v>
      </c>
      <c r="J336" t="s">
        <v>33042</v>
      </c>
      <c r="K336" t="s">
        <v>42623</v>
      </c>
      <c r="M336" t="s">
        <v>43027</v>
      </c>
      <c r="N336" t="s">
        <v>47304</v>
      </c>
      <c r="O336" t="s">
        <v>47305</v>
      </c>
      <c r="P336">
        <v>0</v>
      </c>
      <c r="Q336">
        <v>1</v>
      </c>
      <c r="R336" t="s">
        <v>47306</v>
      </c>
      <c r="S336" t="s">
        <v>47414</v>
      </c>
      <c r="T336" t="s">
        <v>48976</v>
      </c>
      <c r="U336" t="s">
        <v>49858</v>
      </c>
      <c r="W336" t="s">
        <v>43027</v>
      </c>
      <c r="X336" t="s">
        <v>47309</v>
      </c>
    </row>
    <row r="337" spans="1:24">
      <c r="A337">
        <f>HYPERLINK("https://www.philgeps.gov.ph/GEPSNONPILOT/Tender/SplashBidNoticeAbstractUI.aspx?menuIndex=3&amp;refID=7194439&amp;Result=3","7194439")</f>
        <v>0</v>
      </c>
      <c r="B337" t="s">
        <v>175</v>
      </c>
      <c r="C337" t="s">
        <v>4214</v>
      </c>
      <c r="D337" t="s">
        <v>19018</v>
      </c>
      <c r="E337" t="s">
        <v>19411</v>
      </c>
      <c r="F337" t="s">
        <v>32606</v>
      </c>
      <c r="G337" t="s">
        <v>32613</v>
      </c>
      <c r="H337" t="s">
        <v>32624</v>
      </c>
      <c r="I337" t="s">
        <v>32652</v>
      </c>
      <c r="J337" t="s">
        <v>33043</v>
      </c>
      <c r="K337" t="s">
        <v>42665</v>
      </c>
      <c r="M337" t="s">
        <v>43076</v>
      </c>
      <c r="N337" t="s">
        <v>47304</v>
      </c>
      <c r="O337" t="s">
        <v>47305</v>
      </c>
      <c r="P337">
        <v>0</v>
      </c>
      <c r="Q337">
        <v>5</v>
      </c>
      <c r="R337" t="s">
        <v>47306</v>
      </c>
      <c r="S337" t="s">
        <v>47414</v>
      </c>
      <c r="T337" t="s">
        <v>49048</v>
      </c>
      <c r="U337" t="s">
        <v>49859</v>
      </c>
      <c r="V337" t="s">
        <v>62687</v>
      </c>
      <c r="W337" t="s">
        <v>43076</v>
      </c>
      <c r="X337" t="s">
        <v>47308</v>
      </c>
    </row>
    <row r="338" spans="1:24">
      <c r="A338">
        <f>HYPERLINK("https://www.philgeps.gov.ph/GEPSNONPILOT/Tender/SplashBidNoticeAbstractUI.aspx?menuIndex=3&amp;refID=7194445&amp;Result=3","7194445")</f>
        <v>0</v>
      </c>
      <c r="B338" t="s">
        <v>176</v>
      </c>
      <c r="C338" t="s">
        <v>4215</v>
      </c>
      <c r="D338" t="s">
        <v>19039</v>
      </c>
      <c r="E338" t="s">
        <v>19412</v>
      </c>
      <c r="F338" t="s">
        <v>32606</v>
      </c>
      <c r="G338" t="s">
        <v>32613</v>
      </c>
      <c r="H338" t="s">
        <v>14201</v>
      </c>
      <c r="I338" t="s">
        <v>4112</v>
      </c>
      <c r="J338" t="s">
        <v>33044</v>
      </c>
      <c r="K338" t="s">
        <v>42630</v>
      </c>
      <c r="M338" t="s">
        <v>43077</v>
      </c>
      <c r="N338" t="s">
        <v>47304</v>
      </c>
      <c r="O338" t="s">
        <v>47305</v>
      </c>
      <c r="P338">
        <v>0</v>
      </c>
      <c r="Q338">
        <v>0</v>
      </c>
      <c r="R338" t="s">
        <v>47306</v>
      </c>
      <c r="S338" t="s">
        <v>47414</v>
      </c>
      <c r="T338" t="s">
        <v>49049</v>
      </c>
      <c r="U338" t="s">
        <v>49860</v>
      </c>
      <c r="W338" t="s">
        <v>43077</v>
      </c>
      <c r="X338" t="s">
        <v>47308</v>
      </c>
    </row>
    <row r="339" spans="1:24">
      <c r="A339">
        <f>HYPERLINK("https://www.philgeps.gov.ph/GEPSNONPILOT/Tender/SplashBidNoticeAbstractUI.aspx?menuIndex=3&amp;refID=7194418&amp;Result=3","7194418")</f>
        <v>0</v>
      </c>
      <c r="B339" t="s">
        <v>177</v>
      </c>
      <c r="C339" t="s">
        <v>4216</v>
      </c>
      <c r="D339" t="s">
        <v>19040</v>
      </c>
      <c r="E339" t="s">
        <v>19413</v>
      </c>
      <c r="F339" t="s">
        <v>32607</v>
      </c>
      <c r="G339" t="s">
        <v>32619</v>
      </c>
      <c r="H339" t="s">
        <v>14201</v>
      </c>
      <c r="I339" t="s">
        <v>4678</v>
      </c>
      <c r="J339" t="s">
        <v>32999</v>
      </c>
      <c r="K339" t="s">
        <v>42622</v>
      </c>
      <c r="M339" t="s">
        <v>43078</v>
      </c>
      <c r="N339" t="s">
        <v>47304</v>
      </c>
      <c r="O339" t="s">
        <v>47305</v>
      </c>
      <c r="P339">
        <v>0</v>
      </c>
      <c r="Q339">
        <v>0</v>
      </c>
      <c r="R339" t="s">
        <v>47306</v>
      </c>
      <c r="S339" t="s">
        <v>47414</v>
      </c>
      <c r="T339" t="s">
        <v>49002</v>
      </c>
      <c r="U339" t="s">
        <v>49861</v>
      </c>
      <c r="W339" t="s">
        <v>43078</v>
      </c>
      <c r="X339" t="s">
        <v>47308</v>
      </c>
    </row>
    <row r="340" spans="1:24">
      <c r="A340">
        <f>HYPERLINK("https://www.philgeps.gov.ph/GEPSNONPILOT/Tender/SplashBidNoticeAbstractUI.aspx?menuIndex=3&amp;refID=7194443&amp;Result=3","7194443")</f>
        <v>0</v>
      </c>
      <c r="B340" t="s">
        <v>178</v>
      </c>
      <c r="C340" t="s">
        <v>4217</v>
      </c>
      <c r="D340" t="s">
        <v>18993</v>
      </c>
      <c r="E340" t="s">
        <v>19414</v>
      </c>
      <c r="F340" t="s">
        <v>32606</v>
      </c>
      <c r="G340" t="s">
        <v>32614</v>
      </c>
      <c r="H340" t="s">
        <v>14201</v>
      </c>
      <c r="I340" t="s">
        <v>32662</v>
      </c>
      <c r="J340" t="s">
        <v>33045</v>
      </c>
      <c r="K340" t="s">
        <v>42630</v>
      </c>
      <c r="M340" t="s">
        <v>43079</v>
      </c>
      <c r="N340" t="s">
        <v>47304</v>
      </c>
      <c r="O340" t="s">
        <v>47305</v>
      </c>
      <c r="P340">
        <v>0</v>
      </c>
      <c r="Q340">
        <v>2</v>
      </c>
      <c r="R340" t="s">
        <v>47306</v>
      </c>
      <c r="S340" t="s">
        <v>47414</v>
      </c>
      <c r="T340" t="s">
        <v>49050</v>
      </c>
      <c r="U340" t="s">
        <v>49862</v>
      </c>
      <c r="W340" t="s">
        <v>43079</v>
      </c>
      <c r="X340" t="s">
        <v>47308</v>
      </c>
    </row>
    <row r="341" spans="1:24">
      <c r="A341">
        <f>HYPERLINK("https://www.philgeps.gov.ph/GEPSNONPILOT/Tender/SplashBidNoticeAbstractUI.aspx?menuIndex=3&amp;refID=7194442&amp;Result=3","7194442")</f>
        <v>0</v>
      </c>
      <c r="B341" t="s">
        <v>166</v>
      </c>
      <c r="C341" t="s">
        <v>4218</v>
      </c>
      <c r="E341" t="s">
        <v>19415</v>
      </c>
      <c r="F341" t="s">
        <v>32606</v>
      </c>
      <c r="G341" t="s">
        <v>32619</v>
      </c>
      <c r="H341" t="s">
        <v>14201</v>
      </c>
      <c r="I341" t="s">
        <v>32655</v>
      </c>
      <c r="J341" t="s">
        <v>33046</v>
      </c>
      <c r="K341" t="s">
        <v>42624</v>
      </c>
      <c r="M341" t="s">
        <v>43067</v>
      </c>
      <c r="N341" t="s">
        <v>47304</v>
      </c>
      <c r="O341" t="s">
        <v>47305</v>
      </c>
      <c r="P341">
        <v>0</v>
      </c>
      <c r="Q341">
        <v>2</v>
      </c>
      <c r="R341" t="s">
        <v>47306</v>
      </c>
      <c r="S341" t="s">
        <v>47414</v>
      </c>
      <c r="T341" t="s">
        <v>49051</v>
      </c>
      <c r="U341" t="s">
        <v>49863</v>
      </c>
      <c r="W341" t="s">
        <v>43067</v>
      </c>
      <c r="X341" t="s">
        <v>47308</v>
      </c>
    </row>
    <row r="342" spans="1:24">
      <c r="A342">
        <f>HYPERLINK("https://www.philgeps.gov.ph/GEPSNONPILOT/Tender/SplashBidNoticeAbstractUI.aspx?menuIndex=3&amp;refID=7194438&amp;Result=3","7194438")</f>
        <v>0</v>
      </c>
      <c r="B342" t="s">
        <v>76</v>
      </c>
      <c r="C342" t="s">
        <v>4219</v>
      </c>
      <c r="D342" t="s">
        <v>19010</v>
      </c>
      <c r="E342" t="s">
        <v>19416</v>
      </c>
      <c r="F342" t="s">
        <v>32606</v>
      </c>
      <c r="G342" t="s">
        <v>32613</v>
      </c>
      <c r="H342" t="s">
        <v>14201</v>
      </c>
      <c r="I342" t="s">
        <v>32640</v>
      </c>
      <c r="J342" t="s">
        <v>33047</v>
      </c>
      <c r="K342" t="s">
        <v>42624</v>
      </c>
      <c r="M342" t="s">
        <v>42973</v>
      </c>
      <c r="N342" t="s">
        <v>47304</v>
      </c>
      <c r="O342" t="s">
        <v>47305</v>
      </c>
      <c r="P342">
        <v>0</v>
      </c>
      <c r="Q342">
        <v>1</v>
      </c>
      <c r="R342" t="s">
        <v>47306</v>
      </c>
      <c r="S342" t="s">
        <v>47414</v>
      </c>
      <c r="T342" t="s">
        <v>49011</v>
      </c>
      <c r="U342" t="s">
        <v>49864</v>
      </c>
      <c r="W342" t="s">
        <v>64421</v>
      </c>
      <c r="X342" t="s">
        <v>47308</v>
      </c>
    </row>
    <row r="343" spans="1:24">
      <c r="A343">
        <f>HYPERLINK("https://www.philgeps.gov.ph/GEPSNONPILOT/Tender/SplashBidNoticeAbstractUI.aspx?menuIndex=3&amp;refID=7194402&amp;Result=3","7194402")</f>
        <v>0</v>
      </c>
      <c r="B343" t="s">
        <v>169</v>
      </c>
      <c r="C343" t="s">
        <v>4220</v>
      </c>
      <c r="D343" t="s">
        <v>19010</v>
      </c>
      <c r="E343" t="s">
        <v>19417</v>
      </c>
      <c r="F343" t="s">
        <v>32606</v>
      </c>
      <c r="G343" t="s">
        <v>32619</v>
      </c>
      <c r="H343" t="s">
        <v>14201</v>
      </c>
      <c r="I343" t="s">
        <v>4678</v>
      </c>
      <c r="J343" t="s">
        <v>33048</v>
      </c>
      <c r="K343" t="s">
        <v>42623</v>
      </c>
      <c r="M343" t="s">
        <v>43070</v>
      </c>
      <c r="N343" t="s">
        <v>47304</v>
      </c>
      <c r="O343" t="s">
        <v>47305</v>
      </c>
      <c r="P343">
        <v>0</v>
      </c>
      <c r="Q343">
        <v>0</v>
      </c>
      <c r="R343" t="s">
        <v>47306</v>
      </c>
      <c r="S343" t="s">
        <v>47414</v>
      </c>
      <c r="T343" t="s">
        <v>49014</v>
      </c>
      <c r="U343" t="s">
        <v>49865</v>
      </c>
      <c r="W343" t="s">
        <v>43070</v>
      </c>
      <c r="X343" t="s">
        <v>47308</v>
      </c>
    </row>
    <row r="344" spans="1:24">
      <c r="A344">
        <f>HYPERLINK("https://www.philgeps.gov.ph/GEPSNONPILOT/Tender/SplashBidNoticeAbstractUI.aspx?menuIndex=3&amp;refID=7194401&amp;Result=3","7194401")</f>
        <v>0</v>
      </c>
      <c r="B344" t="s">
        <v>172</v>
      </c>
      <c r="C344" t="s">
        <v>4221</v>
      </c>
      <c r="D344" t="s">
        <v>19006</v>
      </c>
      <c r="E344" t="s">
        <v>19418</v>
      </c>
      <c r="F344" t="s">
        <v>32606</v>
      </c>
      <c r="G344" t="s">
        <v>32613</v>
      </c>
      <c r="H344" t="s">
        <v>14201</v>
      </c>
      <c r="I344" t="s">
        <v>6931</v>
      </c>
      <c r="J344" t="s">
        <v>33049</v>
      </c>
      <c r="K344" t="s">
        <v>42623</v>
      </c>
      <c r="M344" t="s">
        <v>43073</v>
      </c>
      <c r="N344" t="s">
        <v>47304</v>
      </c>
      <c r="O344" t="s">
        <v>47305</v>
      </c>
      <c r="P344">
        <v>0</v>
      </c>
      <c r="Q344">
        <v>0</v>
      </c>
      <c r="R344" t="s">
        <v>47306</v>
      </c>
      <c r="S344" t="s">
        <v>47414</v>
      </c>
      <c r="T344" t="s">
        <v>49017</v>
      </c>
      <c r="U344" t="s">
        <v>49866</v>
      </c>
      <c r="W344" t="s">
        <v>43073</v>
      </c>
      <c r="X344" t="s">
        <v>47308</v>
      </c>
    </row>
    <row r="345" spans="1:24">
      <c r="A345">
        <f>HYPERLINK("https://www.philgeps.gov.ph/GEPSNONPILOT/Tender/SplashBidNoticeAbstractUI.aspx?menuIndex=3&amp;refID=7194437&amp;Result=3","7194437")</f>
        <v>0</v>
      </c>
      <c r="B345" t="s">
        <v>179</v>
      </c>
      <c r="C345" t="s">
        <v>4222</v>
      </c>
      <c r="D345" t="s">
        <v>19041</v>
      </c>
      <c r="E345" t="s">
        <v>19419</v>
      </c>
      <c r="F345" t="s">
        <v>32606</v>
      </c>
      <c r="G345" t="s">
        <v>32614</v>
      </c>
      <c r="H345" t="s">
        <v>14201</v>
      </c>
      <c r="I345" t="s">
        <v>4369</v>
      </c>
      <c r="J345" t="s">
        <v>33050</v>
      </c>
      <c r="K345" t="s">
        <v>42623</v>
      </c>
      <c r="M345" t="s">
        <v>43080</v>
      </c>
      <c r="N345" t="s">
        <v>47304</v>
      </c>
      <c r="O345" t="s">
        <v>47305</v>
      </c>
      <c r="P345">
        <v>0</v>
      </c>
      <c r="Q345">
        <v>3</v>
      </c>
      <c r="R345" t="s">
        <v>47306</v>
      </c>
      <c r="S345" t="s">
        <v>47414</v>
      </c>
      <c r="T345" t="s">
        <v>49002</v>
      </c>
      <c r="U345" t="s">
        <v>49867</v>
      </c>
      <c r="W345" t="s">
        <v>43080</v>
      </c>
      <c r="X345" t="s">
        <v>47308</v>
      </c>
    </row>
    <row r="346" spans="1:24">
      <c r="A346">
        <f>HYPERLINK("https://www.philgeps.gov.ph/GEPSNONPILOT/Tender/SplashBidNoticeAbstractUI.aspx?menuIndex=3&amp;refID=7194434&amp;Result=3","7194434")</f>
        <v>0</v>
      </c>
      <c r="B346" t="s">
        <v>180</v>
      </c>
      <c r="C346" t="s">
        <v>4223</v>
      </c>
      <c r="D346" t="s">
        <v>18993</v>
      </c>
      <c r="E346" t="s">
        <v>19420</v>
      </c>
      <c r="F346" t="s">
        <v>32606</v>
      </c>
      <c r="G346" t="s">
        <v>32613</v>
      </c>
      <c r="H346" t="s">
        <v>14201</v>
      </c>
      <c r="I346" t="s">
        <v>6298</v>
      </c>
      <c r="J346" t="s">
        <v>33051</v>
      </c>
      <c r="K346" t="s">
        <v>42666</v>
      </c>
      <c r="M346" t="s">
        <v>43081</v>
      </c>
      <c r="N346" t="s">
        <v>47304</v>
      </c>
      <c r="O346" t="s">
        <v>47305</v>
      </c>
      <c r="P346">
        <v>0</v>
      </c>
      <c r="Q346">
        <v>1</v>
      </c>
      <c r="R346" t="s">
        <v>47306</v>
      </c>
      <c r="S346" t="s">
        <v>47414</v>
      </c>
      <c r="T346" t="s">
        <v>49052</v>
      </c>
      <c r="U346" t="s">
        <v>49868</v>
      </c>
      <c r="W346" t="s">
        <v>43081</v>
      </c>
      <c r="X346" t="s">
        <v>47308</v>
      </c>
    </row>
    <row r="347" spans="1:24">
      <c r="A347">
        <f>HYPERLINK("https://www.philgeps.gov.ph/GEPSNONPILOT/Tender/SplashBidNoticeAbstractUI.aspx?menuIndex=3&amp;refID=7194415&amp;Result=3","7194415")</f>
        <v>0</v>
      </c>
      <c r="B347" t="s">
        <v>181</v>
      </c>
      <c r="C347" t="s">
        <v>4224</v>
      </c>
      <c r="D347" t="s">
        <v>19029</v>
      </c>
      <c r="E347" t="s">
        <v>19421</v>
      </c>
      <c r="F347" t="s">
        <v>32606</v>
      </c>
      <c r="G347" t="s">
        <v>32619</v>
      </c>
      <c r="H347" t="s">
        <v>14201</v>
      </c>
      <c r="I347" t="s">
        <v>4120</v>
      </c>
      <c r="J347" t="s">
        <v>32977</v>
      </c>
      <c r="K347" t="s">
        <v>42625</v>
      </c>
      <c r="M347" t="s">
        <v>43082</v>
      </c>
      <c r="N347" t="s">
        <v>47304</v>
      </c>
      <c r="O347" t="s">
        <v>47305</v>
      </c>
      <c r="P347">
        <v>0</v>
      </c>
      <c r="Q347">
        <v>0</v>
      </c>
      <c r="R347" t="s">
        <v>47306</v>
      </c>
      <c r="S347" t="s">
        <v>47414</v>
      </c>
      <c r="T347" t="s">
        <v>48998</v>
      </c>
      <c r="U347" t="s">
        <v>49869</v>
      </c>
      <c r="W347" t="s">
        <v>43082</v>
      </c>
      <c r="X347" t="s">
        <v>47308</v>
      </c>
    </row>
    <row r="348" spans="1:24">
      <c r="A348">
        <f>HYPERLINK("https://www.philgeps.gov.ph/GEPSNONPILOT/Tender/SplashBidNoticeAbstractUI.aspx?menuIndex=3&amp;refID=7194431&amp;Result=3","7194431")</f>
        <v>0</v>
      </c>
      <c r="B348" t="s">
        <v>76</v>
      </c>
      <c r="C348" t="s">
        <v>4225</v>
      </c>
      <c r="D348" t="s">
        <v>19010</v>
      </c>
      <c r="E348" t="s">
        <v>19422</v>
      </c>
      <c r="F348" t="s">
        <v>32606</v>
      </c>
      <c r="G348" t="s">
        <v>32613</v>
      </c>
      <c r="H348" t="s">
        <v>14201</v>
      </c>
      <c r="I348" t="s">
        <v>32633</v>
      </c>
      <c r="J348" t="s">
        <v>33052</v>
      </c>
      <c r="K348" t="s">
        <v>42624</v>
      </c>
      <c r="M348" t="s">
        <v>42973</v>
      </c>
      <c r="N348" t="s">
        <v>47304</v>
      </c>
      <c r="O348" t="s">
        <v>47305</v>
      </c>
      <c r="P348">
        <v>0</v>
      </c>
      <c r="Q348">
        <v>3</v>
      </c>
      <c r="R348" t="s">
        <v>47306</v>
      </c>
      <c r="S348" t="s">
        <v>47414</v>
      </c>
      <c r="T348" t="s">
        <v>49011</v>
      </c>
      <c r="U348" t="s">
        <v>49870</v>
      </c>
      <c r="W348" t="s">
        <v>64421</v>
      </c>
      <c r="X348" t="s">
        <v>47308</v>
      </c>
    </row>
    <row r="349" spans="1:24">
      <c r="A349">
        <f>HYPERLINK("https://www.philgeps.gov.ph/GEPSNONPILOT/Tender/SplashBidNoticeAbstractUI.aspx?menuIndex=3&amp;refID=7194404&amp;Result=3","7194404")</f>
        <v>0</v>
      </c>
      <c r="B349" t="s">
        <v>76</v>
      </c>
      <c r="C349" t="s">
        <v>4226</v>
      </c>
      <c r="D349" t="s">
        <v>19010</v>
      </c>
      <c r="E349" t="s">
        <v>19423</v>
      </c>
      <c r="F349" t="s">
        <v>32606</v>
      </c>
      <c r="G349" t="s">
        <v>32613</v>
      </c>
      <c r="H349" t="s">
        <v>14201</v>
      </c>
      <c r="I349" t="s">
        <v>32640</v>
      </c>
      <c r="J349" t="s">
        <v>33053</v>
      </c>
      <c r="K349" t="s">
        <v>42624</v>
      </c>
      <c r="M349" t="s">
        <v>42973</v>
      </c>
      <c r="N349" t="s">
        <v>47304</v>
      </c>
      <c r="O349" t="s">
        <v>47305</v>
      </c>
      <c r="P349">
        <v>0</v>
      </c>
      <c r="Q349">
        <v>6</v>
      </c>
      <c r="R349" t="s">
        <v>47306</v>
      </c>
      <c r="S349" t="s">
        <v>47414</v>
      </c>
      <c r="T349" t="s">
        <v>49011</v>
      </c>
      <c r="U349" t="s">
        <v>49871</v>
      </c>
      <c r="W349" t="s">
        <v>64421</v>
      </c>
      <c r="X349" t="s">
        <v>47308</v>
      </c>
    </row>
    <row r="350" spans="1:24">
      <c r="A350">
        <f>HYPERLINK("https://www.philgeps.gov.ph/GEPSNONPILOT/Tender/SplashBidNoticeAbstractUI.aspx?menuIndex=3&amp;refID=7194440&amp;Result=3","7194440")</f>
        <v>0</v>
      </c>
      <c r="B350" t="s">
        <v>167</v>
      </c>
      <c r="C350" t="s">
        <v>4227</v>
      </c>
      <c r="D350" t="s">
        <v>19033</v>
      </c>
      <c r="E350" t="s">
        <v>19424</v>
      </c>
      <c r="F350" t="s">
        <v>32606</v>
      </c>
      <c r="G350" t="s">
        <v>32613</v>
      </c>
      <c r="H350" t="s">
        <v>14201</v>
      </c>
      <c r="I350" t="s">
        <v>32662</v>
      </c>
      <c r="J350" t="s">
        <v>33054</v>
      </c>
      <c r="K350" t="s">
        <v>42639</v>
      </c>
      <c r="M350" t="s">
        <v>43068</v>
      </c>
      <c r="N350" t="s">
        <v>47304</v>
      </c>
      <c r="O350" t="s">
        <v>47305</v>
      </c>
      <c r="P350">
        <v>0</v>
      </c>
      <c r="Q350">
        <v>7</v>
      </c>
      <c r="R350" t="s">
        <v>47306</v>
      </c>
      <c r="S350" t="s">
        <v>47414</v>
      </c>
      <c r="T350" t="s">
        <v>48983</v>
      </c>
      <c r="U350" t="s">
        <v>49872</v>
      </c>
      <c r="W350" t="s">
        <v>43068</v>
      </c>
      <c r="X350" t="s">
        <v>47308</v>
      </c>
    </row>
    <row r="351" spans="1:24">
      <c r="A351">
        <f>HYPERLINK("https://www.philgeps.gov.ph/GEPSNONPILOT/Tender/SplashBidNoticeAbstractUI.aspx?menuIndex=3&amp;refID=7194430&amp;Result=3","7194430")</f>
        <v>0</v>
      </c>
      <c r="B351" t="s">
        <v>182</v>
      </c>
      <c r="C351" t="s">
        <v>4228</v>
      </c>
      <c r="D351" t="s">
        <v>19007</v>
      </c>
      <c r="E351" t="s">
        <v>19310</v>
      </c>
      <c r="F351" t="s">
        <v>32606</v>
      </c>
      <c r="G351" t="s">
        <v>32613</v>
      </c>
      <c r="H351" t="s">
        <v>32623</v>
      </c>
      <c r="I351" t="s">
        <v>17648</v>
      </c>
      <c r="J351" t="s">
        <v>32789</v>
      </c>
      <c r="K351" t="s">
        <v>42631</v>
      </c>
      <c r="M351" t="s">
        <v>43083</v>
      </c>
      <c r="N351" t="s">
        <v>47304</v>
      </c>
      <c r="O351" t="s">
        <v>47305</v>
      </c>
      <c r="P351">
        <v>0</v>
      </c>
      <c r="Q351">
        <v>0</v>
      </c>
      <c r="R351" t="s">
        <v>47306</v>
      </c>
      <c r="S351" t="s">
        <v>47414</v>
      </c>
      <c r="T351" t="s">
        <v>49002</v>
      </c>
      <c r="U351" t="s">
        <v>49873</v>
      </c>
      <c r="W351" t="s">
        <v>43083</v>
      </c>
      <c r="X351" t="s">
        <v>47308</v>
      </c>
    </row>
    <row r="352" spans="1:24">
      <c r="A352">
        <f>HYPERLINK("https://www.philgeps.gov.ph/GEPSNONPILOT/Tender/SplashBidNoticeAbstractUI.aspx?menuIndex=3&amp;refID=7194425&amp;Result=3","7194425")</f>
        <v>0</v>
      </c>
      <c r="B352" t="s">
        <v>183</v>
      </c>
      <c r="C352" t="s">
        <v>4229</v>
      </c>
      <c r="D352" t="s">
        <v>19002</v>
      </c>
      <c r="E352" t="s">
        <v>19425</v>
      </c>
      <c r="F352" t="s">
        <v>32606</v>
      </c>
      <c r="G352" t="s">
        <v>32613</v>
      </c>
      <c r="H352" t="s">
        <v>14201</v>
      </c>
      <c r="I352" t="s">
        <v>4678</v>
      </c>
      <c r="J352" t="s">
        <v>33055</v>
      </c>
      <c r="K352" t="s">
        <v>42631</v>
      </c>
      <c r="M352" t="s">
        <v>43084</v>
      </c>
      <c r="N352" t="s">
        <v>47304</v>
      </c>
      <c r="O352" t="s">
        <v>47305</v>
      </c>
      <c r="P352">
        <v>0</v>
      </c>
      <c r="Q352">
        <v>2</v>
      </c>
      <c r="R352" t="s">
        <v>47306</v>
      </c>
      <c r="S352" t="s">
        <v>47414</v>
      </c>
      <c r="T352" t="s">
        <v>48973</v>
      </c>
      <c r="U352" t="s">
        <v>49874</v>
      </c>
      <c r="V352" t="s">
        <v>62688</v>
      </c>
      <c r="W352" t="s">
        <v>43084</v>
      </c>
      <c r="X352" t="s">
        <v>47308</v>
      </c>
    </row>
    <row r="353" spans="1:24">
      <c r="A353">
        <f>HYPERLINK("https://www.philgeps.gov.ph/GEPSNONPILOT/Tender/SplashBidNoticeAbstractUI.aspx?menuIndex=3&amp;refID=7194436&amp;Result=3","7194436")</f>
        <v>0</v>
      </c>
      <c r="B353" t="s">
        <v>167</v>
      </c>
      <c r="C353" t="s">
        <v>4230</v>
      </c>
      <c r="D353" t="s">
        <v>19033</v>
      </c>
      <c r="E353" t="s">
        <v>19426</v>
      </c>
      <c r="F353" t="s">
        <v>32606</v>
      </c>
      <c r="G353" t="s">
        <v>32613</v>
      </c>
      <c r="H353" t="s">
        <v>14201</v>
      </c>
      <c r="I353" t="s">
        <v>32662</v>
      </c>
      <c r="J353" t="s">
        <v>33056</v>
      </c>
      <c r="K353" t="s">
        <v>42639</v>
      </c>
      <c r="M353" t="s">
        <v>43068</v>
      </c>
      <c r="N353" t="s">
        <v>47304</v>
      </c>
      <c r="O353" t="s">
        <v>47305</v>
      </c>
      <c r="P353">
        <v>0</v>
      </c>
      <c r="Q353">
        <v>5</v>
      </c>
      <c r="R353" t="s">
        <v>47306</v>
      </c>
      <c r="S353" t="s">
        <v>47414</v>
      </c>
      <c r="T353" t="s">
        <v>48983</v>
      </c>
      <c r="U353" t="s">
        <v>49875</v>
      </c>
      <c r="W353" t="s">
        <v>43068</v>
      </c>
      <c r="X353" t="s">
        <v>47308</v>
      </c>
    </row>
    <row r="354" spans="1:24">
      <c r="A354">
        <f>HYPERLINK("https://www.philgeps.gov.ph/GEPSNONPILOT/Tender/SplashBidNoticeAbstractUI.aspx?menuIndex=3&amp;refID=7194424&amp;Result=3","7194424")</f>
        <v>0</v>
      </c>
      <c r="B354" t="s">
        <v>167</v>
      </c>
      <c r="C354" t="s">
        <v>4231</v>
      </c>
      <c r="D354" t="s">
        <v>19033</v>
      </c>
      <c r="E354" t="s">
        <v>19427</v>
      </c>
      <c r="F354" t="s">
        <v>32606</v>
      </c>
      <c r="G354" t="s">
        <v>32613</v>
      </c>
      <c r="H354" t="s">
        <v>14201</v>
      </c>
      <c r="I354" t="s">
        <v>32662</v>
      </c>
      <c r="J354" t="s">
        <v>33057</v>
      </c>
      <c r="K354" t="s">
        <v>42639</v>
      </c>
      <c r="M354" t="s">
        <v>43068</v>
      </c>
      <c r="N354" t="s">
        <v>47304</v>
      </c>
      <c r="O354" t="s">
        <v>47305</v>
      </c>
      <c r="P354">
        <v>0</v>
      </c>
      <c r="Q354">
        <v>6</v>
      </c>
      <c r="R354" t="s">
        <v>47306</v>
      </c>
      <c r="S354" t="s">
        <v>47414</v>
      </c>
      <c r="T354" t="s">
        <v>48983</v>
      </c>
      <c r="U354" t="s">
        <v>49876</v>
      </c>
      <c r="W354" t="s">
        <v>43068</v>
      </c>
      <c r="X354" t="s">
        <v>47308</v>
      </c>
    </row>
    <row r="355" spans="1:24">
      <c r="A355">
        <f>HYPERLINK("https://www.philgeps.gov.ph/GEPSNONPILOT/Tender/SplashBidNoticeAbstractUI.aspx?menuIndex=3&amp;refID=7194423&amp;Result=3","7194423")</f>
        <v>0</v>
      </c>
      <c r="B355" t="s">
        <v>184</v>
      </c>
      <c r="C355" t="s">
        <v>4232</v>
      </c>
      <c r="D355" t="s">
        <v>19042</v>
      </c>
      <c r="E355" t="s">
        <v>19428</v>
      </c>
      <c r="F355" t="s">
        <v>32606</v>
      </c>
      <c r="G355" t="s">
        <v>32619</v>
      </c>
      <c r="H355" t="s">
        <v>14201</v>
      </c>
      <c r="I355" t="s">
        <v>32626</v>
      </c>
      <c r="J355" t="s">
        <v>33058</v>
      </c>
      <c r="K355" t="s">
        <v>42622</v>
      </c>
      <c r="M355" t="s">
        <v>43085</v>
      </c>
      <c r="N355" t="s">
        <v>47304</v>
      </c>
      <c r="O355" t="s">
        <v>47305</v>
      </c>
      <c r="P355">
        <v>0</v>
      </c>
      <c r="Q355">
        <v>0</v>
      </c>
      <c r="R355" t="s">
        <v>47306</v>
      </c>
      <c r="S355" t="s">
        <v>47414</v>
      </c>
      <c r="T355" t="s">
        <v>48998</v>
      </c>
      <c r="U355" t="s">
        <v>49877</v>
      </c>
      <c r="V355" t="s">
        <v>62689</v>
      </c>
      <c r="W355" t="s">
        <v>43085</v>
      </c>
      <c r="X355" t="s">
        <v>47308</v>
      </c>
    </row>
    <row r="356" spans="1:24">
      <c r="A356">
        <f>HYPERLINK("https://www.philgeps.gov.ph/GEPSNONPILOT/Tender/SplashBidNoticeAbstractUI.aspx?menuIndex=3&amp;refID=7194447&amp;Result=3","7194447")</f>
        <v>0</v>
      </c>
      <c r="B356" t="s">
        <v>185</v>
      </c>
      <c r="C356" t="s">
        <v>4233</v>
      </c>
      <c r="D356" t="s">
        <v>19025</v>
      </c>
      <c r="E356" t="s">
        <v>19429</v>
      </c>
      <c r="F356" t="s">
        <v>32606</v>
      </c>
      <c r="G356" t="s">
        <v>32619</v>
      </c>
      <c r="H356" t="s">
        <v>14201</v>
      </c>
      <c r="I356" t="s">
        <v>7677</v>
      </c>
      <c r="J356" t="s">
        <v>33059</v>
      </c>
      <c r="K356" t="s">
        <v>42622</v>
      </c>
      <c r="M356" t="s">
        <v>43086</v>
      </c>
      <c r="N356" t="s">
        <v>47304</v>
      </c>
      <c r="O356" t="s">
        <v>47305</v>
      </c>
      <c r="P356">
        <v>0</v>
      </c>
      <c r="Q356">
        <v>2</v>
      </c>
      <c r="R356" t="s">
        <v>47306</v>
      </c>
      <c r="S356" t="s">
        <v>47414</v>
      </c>
      <c r="T356" t="s">
        <v>49053</v>
      </c>
      <c r="U356" t="s">
        <v>49878</v>
      </c>
      <c r="W356" t="s">
        <v>43086</v>
      </c>
      <c r="X356" t="s">
        <v>47308</v>
      </c>
    </row>
    <row r="357" spans="1:24">
      <c r="A357">
        <f>HYPERLINK("https://www.philgeps.gov.ph/GEPSNONPILOT/Tender/SplashBidNoticeAbstractUI.aspx?menuIndex=3&amp;refID=7194446&amp;Result=3","7194446")</f>
        <v>0</v>
      </c>
      <c r="B357" t="s">
        <v>76</v>
      </c>
      <c r="C357" t="s">
        <v>4234</v>
      </c>
      <c r="D357" t="s">
        <v>19010</v>
      </c>
      <c r="E357" t="s">
        <v>19430</v>
      </c>
      <c r="F357" t="s">
        <v>32606</v>
      </c>
      <c r="G357" t="s">
        <v>32613</v>
      </c>
      <c r="H357" t="s">
        <v>14201</v>
      </c>
      <c r="I357" t="s">
        <v>32640</v>
      </c>
      <c r="J357" t="s">
        <v>33060</v>
      </c>
      <c r="K357" t="s">
        <v>42624</v>
      </c>
      <c r="M357" t="s">
        <v>42973</v>
      </c>
      <c r="N357" t="s">
        <v>47304</v>
      </c>
      <c r="O357" t="s">
        <v>47305</v>
      </c>
      <c r="P357">
        <v>0</v>
      </c>
      <c r="Q357">
        <v>2</v>
      </c>
      <c r="R357" t="s">
        <v>47306</v>
      </c>
      <c r="S357" t="s">
        <v>47414</v>
      </c>
      <c r="T357" t="s">
        <v>49011</v>
      </c>
      <c r="U357" t="s">
        <v>49879</v>
      </c>
      <c r="W357" t="s">
        <v>64421</v>
      </c>
      <c r="X357" t="s">
        <v>47308</v>
      </c>
    </row>
    <row r="358" spans="1:24">
      <c r="A358">
        <f>HYPERLINK("https://www.philgeps.gov.ph/GEPSNONPILOT/Tender/SplashBidNoticeAbstractUI.aspx?menuIndex=3&amp;refID=7194462&amp;Result=3","7194462")</f>
        <v>0</v>
      </c>
      <c r="B358" t="s">
        <v>183</v>
      </c>
      <c r="C358" t="s">
        <v>3971</v>
      </c>
      <c r="D358" t="s">
        <v>19002</v>
      </c>
      <c r="E358" t="s">
        <v>19431</v>
      </c>
      <c r="F358" t="s">
        <v>32606</v>
      </c>
      <c r="G358" t="s">
        <v>32613</v>
      </c>
      <c r="H358" t="s">
        <v>14201</v>
      </c>
      <c r="I358" t="s">
        <v>4120</v>
      </c>
      <c r="J358" t="s">
        <v>33061</v>
      </c>
      <c r="K358" t="s">
        <v>42630</v>
      </c>
      <c r="M358" t="s">
        <v>43084</v>
      </c>
      <c r="N358" t="s">
        <v>47304</v>
      </c>
      <c r="O358" t="s">
        <v>47305</v>
      </c>
      <c r="P358">
        <v>0</v>
      </c>
      <c r="Q358">
        <v>2</v>
      </c>
      <c r="R358" t="s">
        <v>47306</v>
      </c>
      <c r="S358" t="s">
        <v>47414</v>
      </c>
      <c r="T358" t="s">
        <v>48973</v>
      </c>
      <c r="U358" t="s">
        <v>49880</v>
      </c>
      <c r="V358" t="s">
        <v>62690</v>
      </c>
      <c r="W358" t="s">
        <v>43084</v>
      </c>
      <c r="X358" t="s">
        <v>47308</v>
      </c>
    </row>
    <row r="359" spans="1:24">
      <c r="A359">
        <f>HYPERLINK("https://www.philgeps.gov.ph/GEPSNONPILOT/Tender/SplashBidNoticeAbstractUI.aspx?menuIndex=3&amp;refID=7194428&amp;Result=3","7194428")</f>
        <v>0</v>
      </c>
      <c r="B359" t="s">
        <v>168</v>
      </c>
      <c r="C359" t="s">
        <v>4199</v>
      </c>
      <c r="D359" t="s">
        <v>19038</v>
      </c>
      <c r="E359" t="s">
        <v>19432</v>
      </c>
      <c r="F359" t="s">
        <v>32606</v>
      </c>
      <c r="G359" t="s">
        <v>32614</v>
      </c>
      <c r="H359" t="s">
        <v>14201</v>
      </c>
      <c r="I359" t="s">
        <v>7233</v>
      </c>
      <c r="J359" t="s">
        <v>33062</v>
      </c>
      <c r="K359" t="s">
        <v>42624</v>
      </c>
      <c r="M359" t="s">
        <v>43069</v>
      </c>
      <c r="N359" t="s">
        <v>47304</v>
      </c>
      <c r="O359" t="s">
        <v>47305</v>
      </c>
      <c r="P359">
        <v>0</v>
      </c>
      <c r="Q359">
        <v>0</v>
      </c>
      <c r="R359" t="s">
        <v>47306</v>
      </c>
      <c r="S359" t="s">
        <v>47414</v>
      </c>
      <c r="T359" t="s">
        <v>49014</v>
      </c>
      <c r="U359" t="s">
        <v>49844</v>
      </c>
      <c r="W359" t="s">
        <v>43069</v>
      </c>
      <c r="X359" t="s">
        <v>47308</v>
      </c>
    </row>
    <row r="360" spans="1:24">
      <c r="A360">
        <f>HYPERLINK("https://www.philgeps.gov.ph/GEPSNONPILOT/Tender/SplashBidNoticeAbstractUI.aspx?menuIndex=3&amp;refID=7194429&amp;Result=3","7194429")</f>
        <v>0</v>
      </c>
      <c r="B360" t="s">
        <v>167</v>
      </c>
      <c r="C360" t="s">
        <v>4235</v>
      </c>
      <c r="D360" t="s">
        <v>19033</v>
      </c>
      <c r="E360" t="s">
        <v>19433</v>
      </c>
      <c r="F360" t="s">
        <v>32606</v>
      </c>
      <c r="G360" t="s">
        <v>32613</v>
      </c>
      <c r="H360" t="s">
        <v>14201</v>
      </c>
      <c r="I360" t="s">
        <v>32662</v>
      </c>
      <c r="J360" t="s">
        <v>33063</v>
      </c>
      <c r="K360" t="s">
        <v>42639</v>
      </c>
      <c r="M360" t="s">
        <v>43068</v>
      </c>
      <c r="N360" t="s">
        <v>47304</v>
      </c>
      <c r="O360" t="s">
        <v>47305</v>
      </c>
      <c r="P360">
        <v>0</v>
      </c>
      <c r="Q360">
        <v>4</v>
      </c>
      <c r="R360" t="s">
        <v>47306</v>
      </c>
      <c r="S360" t="s">
        <v>47414</v>
      </c>
      <c r="T360" t="s">
        <v>48983</v>
      </c>
      <c r="U360" t="s">
        <v>49881</v>
      </c>
      <c r="W360" t="s">
        <v>43068</v>
      </c>
      <c r="X360" t="s">
        <v>47308</v>
      </c>
    </row>
    <row r="361" spans="1:24">
      <c r="A361">
        <f>HYPERLINK("https://www.philgeps.gov.ph/GEPSNONPILOT/Tender/SplashBidNoticeAbstractUI.aspx?menuIndex=3&amp;refID=7194460&amp;Result=3","7194460")</f>
        <v>0</v>
      </c>
      <c r="B361" t="s">
        <v>186</v>
      </c>
      <c r="C361" t="s">
        <v>4236</v>
      </c>
      <c r="D361" t="s">
        <v>19011</v>
      </c>
      <c r="E361" t="s">
        <v>19434</v>
      </c>
      <c r="F361" t="s">
        <v>32606</v>
      </c>
      <c r="G361" t="s">
        <v>32614</v>
      </c>
      <c r="H361" t="s">
        <v>14201</v>
      </c>
      <c r="I361" t="s">
        <v>6993</v>
      </c>
      <c r="J361" t="s">
        <v>32949</v>
      </c>
      <c r="K361" t="s">
        <v>42623</v>
      </c>
      <c r="M361" t="s">
        <v>43087</v>
      </c>
      <c r="N361" t="s">
        <v>47304</v>
      </c>
      <c r="O361" t="s">
        <v>47305</v>
      </c>
      <c r="P361">
        <v>0</v>
      </c>
      <c r="Q361">
        <v>1</v>
      </c>
      <c r="R361" t="s">
        <v>47306</v>
      </c>
      <c r="S361" t="s">
        <v>47414</v>
      </c>
      <c r="T361" t="s">
        <v>48980</v>
      </c>
      <c r="U361" t="s">
        <v>49882</v>
      </c>
      <c r="W361" t="s">
        <v>43087</v>
      </c>
      <c r="X361" t="s">
        <v>47308</v>
      </c>
    </row>
    <row r="362" spans="1:24">
      <c r="A362">
        <f>HYPERLINK("https://www.philgeps.gov.ph/GEPSNONPILOT/Tender/SplashBidNoticeAbstractUI.aspx?menuIndex=3&amp;refID=7194459&amp;Result=3","7194459")</f>
        <v>0</v>
      </c>
      <c r="B362" t="s">
        <v>187</v>
      </c>
      <c r="C362" t="s">
        <v>4237</v>
      </c>
      <c r="D362" t="s">
        <v>19038</v>
      </c>
      <c r="E362" t="s">
        <v>19435</v>
      </c>
      <c r="F362" t="s">
        <v>32606</v>
      </c>
      <c r="G362" t="s">
        <v>32614</v>
      </c>
      <c r="H362" t="s">
        <v>14201</v>
      </c>
      <c r="I362" t="s">
        <v>4112</v>
      </c>
      <c r="J362" t="s">
        <v>33064</v>
      </c>
      <c r="K362" t="s">
        <v>42630</v>
      </c>
      <c r="M362" t="s">
        <v>43088</v>
      </c>
      <c r="N362" t="s">
        <v>47304</v>
      </c>
      <c r="O362" t="s">
        <v>47305</v>
      </c>
      <c r="P362">
        <v>0</v>
      </c>
      <c r="Q362">
        <v>0</v>
      </c>
      <c r="R362" t="s">
        <v>47306</v>
      </c>
      <c r="S362" t="s">
        <v>47414</v>
      </c>
      <c r="T362" t="s">
        <v>48986</v>
      </c>
      <c r="U362" t="s">
        <v>49883</v>
      </c>
      <c r="W362" t="s">
        <v>43088</v>
      </c>
      <c r="X362" t="s">
        <v>47308</v>
      </c>
    </row>
    <row r="363" spans="1:24">
      <c r="A363">
        <f>HYPERLINK("https://www.philgeps.gov.ph/GEPSNONPILOT/Tender/SplashBidNoticeAbstractUI.aspx?menuIndex=3&amp;refID=7194432&amp;Result=3","7194432")</f>
        <v>0</v>
      </c>
      <c r="B363" t="s">
        <v>166</v>
      </c>
      <c r="C363" t="s">
        <v>4012</v>
      </c>
      <c r="E363" t="s">
        <v>19392</v>
      </c>
      <c r="F363" t="s">
        <v>32606</v>
      </c>
      <c r="G363" t="s">
        <v>32619</v>
      </c>
      <c r="H363" t="s">
        <v>14201</v>
      </c>
      <c r="I363" t="s">
        <v>32633</v>
      </c>
      <c r="J363" t="s">
        <v>33065</v>
      </c>
      <c r="K363" t="s">
        <v>42624</v>
      </c>
      <c r="M363" t="s">
        <v>43067</v>
      </c>
      <c r="N363" t="s">
        <v>47304</v>
      </c>
      <c r="O363" t="s">
        <v>47305</v>
      </c>
      <c r="P363">
        <v>0</v>
      </c>
      <c r="Q363">
        <v>1</v>
      </c>
      <c r="R363" t="s">
        <v>47306</v>
      </c>
      <c r="S363" t="s">
        <v>47414</v>
      </c>
      <c r="T363" t="s">
        <v>49054</v>
      </c>
      <c r="U363" t="s">
        <v>49884</v>
      </c>
      <c r="W363" t="s">
        <v>43067</v>
      </c>
      <c r="X363" t="s">
        <v>47308</v>
      </c>
    </row>
    <row r="364" spans="1:24">
      <c r="A364">
        <f>HYPERLINK("https://www.philgeps.gov.ph/GEPSNONPILOT/Tender/SplashBidNoticeAbstractUI.aspx?menuIndex=3&amp;refID=7194471&amp;Result=3","7194471")</f>
        <v>0</v>
      </c>
      <c r="B364" t="s">
        <v>188</v>
      </c>
      <c r="C364" t="s">
        <v>4238</v>
      </c>
      <c r="D364" t="s">
        <v>19043</v>
      </c>
      <c r="E364" t="s">
        <v>19436</v>
      </c>
      <c r="F364" t="s">
        <v>32606</v>
      </c>
      <c r="G364" t="s">
        <v>32613</v>
      </c>
      <c r="H364" t="s">
        <v>14201</v>
      </c>
      <c r="I364" t="s">
        <v>6478</v>
      </c>
      <c r="J364" t="s">
        <v>33066</v>
      </c>
      <c r="K364" t="s">
        <v>42624</v>
      </c>
      <c r="M364" t="s">
        <v>43089</v>
      </c>
      <c r="N364" t="s">
        <v>47304</v>
      </c>
      <c r="O364" t="s">
        <v>47305</v>
      </c>
      <c r="P364">
        <v>0</v>
      </c>
      <c r="Q364">
        <v>0</v>
      </c>
      <c r="R364" t="s">
        <v>47306</v>
      </c>
      <c r="S364" t="s">
        <v>47414</v>
      </c>
      <c r="T364" t="s">
        <v>49055</v>
      </c>
      <c r="U364" t="s">
        <v>49885</v>
      </c>
      <c r="W364" t="s">
        <v>43089</v>
      </c>
      <c r="X364" t="s">
        <v>47308</v>
      </c>
    </row>
    <row r="365" spans="1:24">
      <c r="A365">
        <f>HYPERLINK("https://www.philgeps.gov.ph/GEPSNONPILOT/Tender/SplashBidNoticeAbstractUI.aspx?menuIndex=3&amp;refID=7194467&amp;Result=3","7194467")</f>
        <v>0</v>
      </c>
      <c r="B365" t="s">
        <v>189</v>
      </c>
      <c r="C365" t="s">
        <v>4239</v>
      </c>
      <c r="D365" t="s">
        <v>19006</v>
      </c>
      <c r="E365" t="s">
        <v>19437</v>
      </c>
      <c r="F365" t="s">
        <v>32606</v>
      </c>
      <c r="G365" t="s">
        <v>32614</v>
      </c>
      <c r="H365" t="s">
        <v>14201</v>
      </c>
      <c r="I365" t="s">
        <v>6298</v>
      </c>
      <c r="J365" t="s">
        <v>33067</v>
      </c>
      <c r="K365" t="s">
        <v>42624</v>
      </c>
      <c r="M365" t="s">
        <v>43090</v>
      </c>
      <c r="N365" t="s">
        <v>47304</v>
      </c>
      <c r="O365" t="s">
        <v>47305</v>
      </c>
      <c r="P365">
        <v>0</v>
      </c>
      <c r="Q365">
        <v>1</v>
      </c>
      <c r="R365" t="s">
        <v>47306</v>
      </c>
      <c r="S365" t="s">
        <v>47414</v>
      </c>
      <c r="T365" t="s">
        <v>48979</v>
      </c>
      <c r="U365" t="s">
        <v>49886</v>
      </c>
      <c r="W365" t="s">
        <v>43090</v>
      </c>
      <c r="X365" t="s">
        <v>47308</v>
      </c>
    </row>
    <row r="366" spans="1:24">
      <c r="A366">
        <f>HYPERLINK("https://www.philgeps.gov.ph/GEPSNONPILOT/Tender/SplashBidNoticeAbstractUI.aspx?menuIndex=3&amp;refID=7194461&amp;Result=3","7194461")</f>
        <v>0</v>
      </c>
      <c r="B366" t="s">
        <v>190</v>
      </c>
      <c r="C366" t="s">
        <v>4240</v>
      </c>
      <c r="D366" t="s">
        <v>19022</v>
      </c>
      <c r="E366" t="s">
        <v>19438</v>
      </c>
      <c r="F366" t="s">
        <v>32606</v>
      </c>
      <c r="G366" t="s">
        <v>32614</v>
      </c>
      <c r="H366" t="s">
        <v>14201</v>
      </c>
      <c r="I366" t="s">
        <v>6993</v>
      </c>
      <c r="J366" t="s">
        <v>33068</v>
      </c>
      <c r="K366" t="s">
        <v>42624</v>
      </c>
      <c r="M366" t="s">
        <v>43091</v>
      </c>
      <c r="N366" t="s">
        <v>47304</v>
      </c>
      <c r="O366" t="s">
        <v>47305</v>
      </c>
      <c r="P366">
        <v>0</v>
      </c>
      <c r="Q366">
        <v>0</v>
      </c>
      <c r="R366" t="s">
        <v>47306</v>
      </c>
      <c r="S366" t="s">
        <v>47414</v>
      </c>
      <c r="T366" t="s">
        <v>49011</v>
      </c>
      <c r="U366" t="s">
        <v>49887</v>
      </c>
      <c r="W366" t="s">
        <v>43091</v>
      </c>
      <c r="X366" t="s">
        <v>47308</v>
      </c>
    </row>
    <row r="367" spans="1:24">
      <c r="A367">
        <f>HYPERLINK("https://www.philgeps.gov.ph/GEPSNONPILOT/Tender/SplashBidNoticeAbstractUI.aspx?menuIndex=3&amp;refID=7194466&amp;Result=3","7194466")</f>
        <v>0</v>
      </c>
      <c r="B367" t="s">
        <v>191</v>
      </c>
      <c r="C367" t="s">
        <v>4241</v>
      </c>
      <c r="D367" t="s">
        <v>19013</v>
      </c>
      <c r="E367" t="s">
        <v>19439</v>
      </c>
      <c r="F367" t="s">
        <v>32606</v>
      </c>
      <c r="G367" t="s">
        <v>32613</v>
      </c>
      <c r="H367" t="s">
        <v>14201</v>
      </c>
      <c r="I367" t="s">
        <v>6931</v>
      </c>
      <c r="J367" t="s">
        <v>33069</v>
      </c>
      <c r="K367" t="s">
        <v>42623</v>
      </c>
      <c r="M367" t="s">
        <v>43092</v>
      </c>
      <c r="N367" t="s">
        <v>47304</v>
      </c>
      <c r="O367" t="s">
        <v>47305</v>
      </c>
      <c r="P367">
        <v>0</v>
      </c>
      <c r="Q367">
        <v>1</v>
      </c>
      <c r="R367" t="s">
        <v>47306</v>
      </c>
      <c r="S367" t="s">
        <v>47414</v>
      </c>
      <c r="T367" t="s">
        <v>49007</v>
      </c>
      <c r="U367" t="s">
        <v>49888</v>
      </c>
      <c r="W367" t="s">
        <v>43092</v>
      </c>
      <c r="X367" t="s">
        <v>47308</v>
      </c>
    </row>
    <row r="368" spans="1:24">
      <c r="A368">
        <f>HYPERLINK("https://www.philgeps.gov.ph/GEPSNONPILOT/Tender/SplashBidNoticeAbstractUI.aspx?menuIndex=3&amp;refID=7194456&amp;Result=3","7194456")</f>
        <v>0</v>
      </c>
      <c r="B368" t="s">
        <v>192</v>
      </c>
      <c r="C368" t="s">
        <v>4242</v>
      </c>
      <c r="D368" t="s">
        <v>19016</v>
      </c>
      <c r="E368" t="s">
        <v>19440</v>
      </c>
      <c r="F368" t="s">
        <v>32606</v>
      </c>
      <c r="G368" t="s">
        <v>32619</v>
      </c>
      <c r="H368" t="s">
        <v>14201</v>
      </c>
      <c r="I368" t="s">
        <v>32665</v>
      </c>
      <c r="J368" t="s">
        <v>33070</v>
      </c>
      <c r="K368" t="s">
        <v>42624</v>
      </c>
      <c r="M368" t="s">
        <v>43093</v>
      </c>
      <c r="N368" t="s">
        <v>47304</v>
      </c>
      <c r="O368" t="s">
        <v>47305</v>
      </c>
      <c r="P368">
        <v>0</v>
      </c>
      <c r="Q368">
        <v>1</v>
      </c>
      <c r="R368" t="s">
        <v>47306</v>
      </c>
      <c r="S368" t="s">
        <v>47414</v>
      </c>
      <c r="T368" t="s">
        <v>49014</v>
      </c>
      <c r="U368" t="s">
        <v>49889</v>
      </c>
      <c r="V368" t="s">
        <v>62691</v>
      </c>
      <c r="W368" t="s">
        <v>43093</v>
      </c>
      <c r="X368" t="s">
        <v>47308</v>
      </c>
    </row>
    <row r="369" spans="1:24">
      <c r="A369">
        <f>HYPERLINK("https://www.philgeps.gov.ph/GEPSNONPILOT/Tender/SplashBidNoticeAbstractUI.aspx?menuIndex=3&amp;refID=7194457&amp;Result=3","7194457")</f>
        <v>0</v>
      </c>
      <c r="B369" t="s">
        <v>76</v>
      </c>
      <c r="C369" t="s">
        <v>4243</v>
      </c>
      <c r="D369" t="s">
        <v>19010</v>
      </c>
      <c r="E369" t="s">
        <v>19441</v>
      </c>
      <c r="F369" t="s">
        <v>32606</v>
      </c>
      <c r="G369" t="s">
        <v>32613</v>
      </c>
      <c r="H369" t="s">
        <v>14201</v>
      </c>
      <c r="I369" t="s">
        <v>32640</v>
      </c>
      <c r="J369" t="s">
        <v>33060</v>
      </c>
      <c r="K369" t="s">
        <v>42624</v>
      </c>
      <c r="M369" t="s">
        <v>42973</v>
      </c>
      <c r="N369" t="s">
        <v>47304</v>
      </c>
      <c r="O369" t="s">
        <v>47305</v>
      </c>
      <c r="P369">
        <v>0</v>
      </c>
      <c r="Q369">
        <v>2</v>
      </c>
      <c r="R369" t="s">
        <v>47306</v>
      </c>
      <c r="S369" t="s">
        <v>47414</v>
      </c>
      <c r="T369" t="s">
        <v>49011</v>
      </c>
      <c r="U369" t="s">
        <v>49879</v>
      </c>
      <c r="W369" t="s">
        <v>64421</v>
      </c>
      <c r="X369" t="s">
        <v>47308</v>
      </c>
    </row>
    <row r="370" spans="1:24">
      <c r="A370">
        <f>HYPERLINK("https://www.philgeps.gov.ph/GEPSNONPILOT/Tender/SplashBidNoticeAbstractUI.aspx?menuIndex=3&amp;refID=7194454&amp;Result=3","7194454")</f>
        <v>0</v>
      </c>
      <c r="B370" t="s">
        <v>193</v>
      </c>
      <c r="C370" t="s">
        <v>4244</v>
      </c>
      <c r="D370" t="s">
        <v>19044</v>
      </c>
      <c r="E370" t="s">
        <v>19442</v>
      </c>
      <c r="F370" t="s">
        <v>32606</v>
      </c>
      <c r="G370" t="s">
        <v>32613</v>
      </c>
      <c r="H370" t="s">
        <v>32623</v>
      </c>
      <c r="I370" t="s">
        <v>17648</v>
      </c>
      <c r="J370" t="s">
        <v>33071</v>
      </c>
      <c r="K370" t="s">
        <v>42648</v>
      </c>
      <c r="M370" t="s">
        <v>43094</v>
      </c>
      <c r="N370" t="s">
        <v>47304</v>
      </c>
      <c r="O370" t="s">
        <v>47305</v>
      </c>
      <c r="P370">
        <v>0</v>
      </c>
      <c r="Q370">
        <v>0</v>
      </c>
      <c r="R370" t="s">
        <v>47306</v>
      </c>
      <c r="S370" t="s">
        <v>47414</v>
      </c>
      <c r="T370" t="s">
        <v>49056</v>
      </c>
      <c r="U370" t="s">
        <v>49890</v>
      </c>
      <c r="W370" t="s">
        <v>43094</v>
      </c>
      <c r="X370" t="s">
        <v>47308</v>
      </c>
    </row>
    <row r="371" spans="1:24">
      <c r="A371">
        <f>HYPERLINK("https://www.philgeps.gov.ph/GEPSNONPILOT/Tender/SplashBidNoticeAbstractUI.aspx?menuIndex=3&amp;refID=7194451&amp;Result=3","7194451")</f>
        <v>0</v>
      </c>
      <c r="B371" t="s">
        <v>76</v>
      </c>
      <c r="C371" t="s">
        <v>4245</v>
      </c>
      <c r="D371" t="s">
        <v>19010</v>
      </c>
      <c r="E371" t="s">
        <v>19443</v>
      </c>
      <c r="F371" t="s">
        <v>32606</v>
      </c>
      <c r="G371" t="s">
        <v>32613</v>
      </c>
      <c r="H371" t="s">
        <v>14201</v>
      </c>
      <c r="I371" t="s">
        <v>32640</v>
      </c>
      <c r="J371" t="s">
        <v>33060</v>
      </c>
      <c r="K371" t="s">
        <v>42624</v>
      </c>
      <c r="M371" t="s">
        <v>42973</v>
      </c>
      <c r="N371" t="s">
        <v>47304</v>
      </c>
      <c r="O371" t="s">
        <v>47305</v>
      </c>
      <c r="P371">
        <v>0</v>
      </c>
      <c r="Q371">
        <v>2</v>
      </c>
      <c r="R371" t="s">
        <v>47306</v>
      </c>
      <c r="S371" t="s">
        <v>47414</v>
      </c>
      <c r="T371" t="s">
        <v>49011</v>
      </c>
      <c r="U371" t="s">
        <v>49879</v>
      </c>
      <c r="W371" t="s">
        <v>64421</v>
      </c>
      <c r="X371" t="s">
        <v>47308</v>
      </c>
    </row>
    <row r="372" spans="1:24">
      <c r="A372">
        <f>HYPERLINK("https://www.philgeps.gov.ph/GEPSNONPILOT/Tender/SplashBidNoticeAbstractUI.aspx?menuIndex=3&amp;refID=7194469&amp;Result=3","7194469")</f>
        <v>0</v>
      </c>
      <c r="B372" t="s">
        <v>194</v>
      </c>
      <c r="C372" t="s">
        <v>4246</v>
      </c>
      <c r="D372" t="s">
        <v>19003</v>
      </c>
      <c r="E372" t="s">
        <v>19444</v>
      </c>
      <c r="F372" t="s">
        <v>32606</v>
      </c>
      <c r="G372" t="s">
        <v>32614</v>
      </c>
      <c r="H372" t="s">
        <v>14201</v>
      </c>
      <c r="I372" t="s">
        <v>4114</v>
      </c>
      <c r="J372" t="s">
        <v>33072</v>
      </c>
      <c r="K372" t="s">
        <v>42629</v>
      </c>
      <c r="M372" t="s">
        <v>43095</v>
      </c>
      <c r="N372" t="s">
        <v>47304</v>
      </c>
      <c r="O372" t="s">
        <v>47305</v>
      </c>
      <c r="P372">
        <v>0</v>
      </c>
      <c r="Q372">
        <v>0</v>
      </c>
      <c r="R372" t="s">
        <v>47306</v>
      </c>
      <c r="S372" t="s">
        <v>47414</v>
      </c>
      <c r="T372" t="s">
        <v>48977</v>
      </c>
      <c r="U372" t="s">
        <v>49891</v>
      </c>
      <c r="W372" t="s">
        <v>43095</v>
      </c>
      <c r="X372" t="s">
        <v>47308</v>
      </c>
    </row>
    <row r="373" spans="1:24">
      <c r="A373">
        <f>HYPERLINK("https://www.philgeps.gov.ph/GEPSNONPILOT/Tender/SplashBidNoticeAbstractUI.aspx?menuIndex=3&amp;refID=7194450&amp;Result=3","7194450")</f>
        <v>0</v>
      </c>
      <c r="B373" t="s">
        <v>195</v>
      </c>
      <c r="C373" t="s">
        <v>4247</v>
      </c>
      <c r="D373" t="s">
        <v>19045</v>
      </c>
      <c r="E373" t="s">
        <v>19445</v>
      </c>
      <c r="F373" t="s">
        <v>32606</v>
      </c>
      <c r="G373" t="s">
        <v>32613</v>
      </c>
      <c r="H373" t="s">
        <v>14201</v>
      </c>
      <c r="I373" t="s">
        <v>6931</v>
      </c>
      <c r="J373" t="s">
        <v>33073</v>
      </c>
      <c r="K373" t="s">
        <v>42622</v>
      </c>
      <c r="M373" t="s">
        <v>43096</v>
      </c>
      <c r="N373" t="s">
        <v>47304</v>
      </c>
      <c r="O373" t="s">
        <v>47305</v>
      </c>
      <c r="P373">
        <v>0</v>
      </c>
      <c r="Q373">
        <v>0</v>
      </c>
      <c r="R373" t="s">
        <v>47306</v>
      </c>
      <c r="S373" t="s">
        <v>47414</v>
      </c>
      <c r="T373" t="s">
        <v>49037</v>
      </c>
      <c r="U373" t="s">
        <v>49892</v>
      </c>
      <c r="V373" t="s">
        <v>62692</v>
      </c>
      <c r="W373" t="s">
        <v>43096</v>
      </c>
      <c r="X373" t="s">
        <v>47308</v>
      </c>
    </row>
    <row r="374" spans="1:24">
      <c r="A374">
        <f>HYPERLINK("https://www.philgeps.gov.ph/GEPSNONPILOT/Tender/SplashBidNoticeAbstractUI.aspx?menuIndex=3&amp;refID=7194465&amp;Result=3","7194465")</f>
        <v>0</v>
      </c>
      <c r="B374" t="s">
        <v>196</v>
      </c>
      <c r="C374" t="s">
        <v>4248</v>
      </c>
      <c r="D374" t="s">
        <v>19027</v>
      </c>
      <c r="E374" t="s">
        <v>19446</v>
      </c>
      <c r="F374" t="s">
        <v>32607</v>
      </c>
      <c r="G374" t="s">
        <v>32613</v>
      </c>
      <c r="H374" t="s">
        <v>14201</v>
      </c>
      <c r="I374" t="s">
        <v>7677</v>
      </c>
      <c r="J374" t="s">
        <v>33074</v>
      </c>
      <c r="K374" t="s">
        <v>42623</v>
      </c>
      <c r="M374" t="s">
        <v>43097</v>
      </c>
      <c r="N374" t="s">
        <v>47304</v>
      </c>
      <c r="O374" t="s">
        <v>47305</v>
      </c>
      <c r="P374">
        <v>0</v>
      </c>
      <c r="Q374">
        <v>5</v>
      </c>
      <c r="R374" t="s">
        <v>47306</v>
      </c>
      <c r="S374" t="s">
        <v>47414</v>
      </c>
      <c r="T374" t="s">
        <v>49057</v>
      </c>
      <c r="U374" t="s">
        <v>49893</v>
      </c>
      <c r="W374" t="s">
        <v>43097</v>
      </c>
      <c r="X374" t="s">
        <v>47308</v>
      </c>
    </row>
    <row r="375" spans="1:24">
      <c r="A375">
        <f>HYPERLINK("https://www.philgeps.gov.ph/GEPSNONPILOT/Tender/SplashBidNoticeAbstractUI.aspx?menuIndex=3&amp;refID=7194482&amp;Result=3","7194482")</f>
        <v>0</v>
      </c>
      <c r="B375" t="s">
        <v>181</v>
      </c>
      <c r="C375" t="s">
        <v>4249</v>
      </c>
      <c r="D375" t="s">
        <v>19029</v>
      </c>
      <c r="E375" t="s">
        <v>19447</v>
      </c>
      <c r="F375" t="s">
        <v>32606</v>
      </c>
      <c r="G375" t="s">
        <v>32619</v>
      </c>
      <c r="H375" t="s">
        <v>14201</v>
      </c>
      <c r="I375" t="s">
        <v>32626</v>
      </c>
      <c r="J375" t="s">
        <v>33075</v>
      </c>
      <c r="K375" t="s">
        <v>42625</v>
      </c>
      <c r="M375" t="s">
        <v>43082</v>
      </c>
      <c r="N375" t="s">
        <v>47304</v>
      </c>
      <c r="O375" t="s">
        <v>47305</v>
      </c>
      <c r="P375">
        <v>0</v>
      </c>
      <c r="Q375">
        <v>2</v>
      </c>
      <c r="R375" t="s">
        <v>47306</v>
      </c>
      <c r="S375" t="s">
        <v>47414</v>
      </c>
      <c r="T375" t="s">
        <v>48998</v>
      </c>
      <c r="U375" t="s">
        <v>49894</v>
      </c>
      <c r="W375" t="s">
        <v>43082</v>
      </c>
      <c r="X375" t="s">
        <v>47308</v>
      </c>
    </row>
    <row r="376" spans="1:24">
      <c r="A376">
        <f>HYPERLINK("https://www.philgeps.gov.ph/GEPSNONPILOT/Tender/SplashBidNoticeAbstractUI.aspx?menuIndex=3&amp;refID=7194455&amp;Result=3","7194455")</f>
        <v>0</v>
      </c>
      <c r="B376" t="s">
        <v>169</v>
      </c>
      <c r="C376" t="s">
        <v>4250</v>
      </c>
      <c r="D376" t="s">
        <v>19010</v>
      </c>
      <c r="E376" t="s">
        <v>19448</v>
      </c>
      <c r="F376" t="s">
        <v>32606</v>
      </c>
      <c r="G376" t="s">
        <v>32619</v>
      </c>
      <c r="H376" t="s">
        <v>14201</v>
      </c>
      <c r="I376" t="s">
        <v>4678</v>
      </c>
      <c r="J376" t="s">
        <v>33009</v>
      </c>
      <c r="K376" t="s">
        <v>42623</v>
      </c>
      <c r="M376" t="s">
        <v>43070</v>
      </c>
      <c r="N376" t="s">
        <v>47304</v>
      </c>
      <c r="O376" t="s">
        <v>47305</v>
      </c>
      <c r="P376">
        <v>0</v>
      </c>
      <c r="Q376">
        <v>1</v>
      </c>
      <c r="R376" t="s">
        <v>47306</v>
      </c>
      <c r="S376" t="s">
        <v>47414</v>
      </c>
      <c r="T376" t="s">
        <v>49014</v>
      </c>
      <c r="U376" t="s">
        <v>49895</v>
      </c>
      <c r="W376" t="s">
        <v>43070</v>
      </c>
      <c r="X376" t="s">
        <v>47308</v>
      </c>
    </row>
    <row r="377" spans="1:24">
      <c r="A377">
        <f>HYPERLINK("https://www.philgeps.gov.ph/GEPSNONPILOT/Tender/SplashBidNoticeAbstractUI.aspx?menuIndex=3&amp;refID=7194481&amp;Result=3","7194481")</f>
        <v>0</v>
      </c>
      <c r="B377" t="s">
        <v>156</v>
      </c>
      <c r="C377" t="s">
        <v>4251</v>
      </c>
      <c r="E377" t="s">
        <v>19449</v>
      </c>
      <c r="F377" t="s">
        <v>32606</v>
      </c>
      <c r="G377" t="s">
        <v>32613</v>
      </c>
      <c r="H377" t="s">
        <v>14201</v>
      </c>
      <c r="I377" t="s">
        <v>6931</v>
      </c>
      <c r="J377" t="s">
        <v>33076</v>
      </c>
      <c r="K377" t="s">
        <v>42664</v>
      </c>
      <c r="M377" t="s">
        <v>43057</v>
      </c>
      <c r="N377" t="s">
        <v>47304</v>
      </c>
      <c r="O377" t="s">
        <v>47305</v>
      </c>
      <c r="P377">
        <v>0</v>
      </c>
      <c r="Q377">
        <v>0</v>
      </c>
      <c r="R377" t="s">
        <v>47306</v>
      </c>
      <c r="S377" t="s">
        <v>47414</v>
      </c>
      <c r="T377" t="s">
        <v>49041</v>
      </c>
      <c r="U377" t="s">
        <v>49896</v>
      </c>
      <c r="W377" t="s">
        <v>43057</v>
      </c>
      <c r="X377" t="s">
        <v>47308</v>
      </c>
    </row>
    <row r="378" spans="1:24">
      <c r="A378">
        <f>HYPERLINK("https://www.philgeps.gov.ph/GEPSNONPILOT/Tender/SplashBidNoticeAbstractUI.aspx?menuIndex=3&amp;refID=7194453&amp;Result=3","7194453")</f>
        <v>0</v>
      </c>
      <c r="B378" t="s">
        <v>197</v>
      </c>
      <c r="C378" t="s">
        <v>4252</v>
      </c>
      <c r="D378" t="s">
        <v>19027</v>
      </c>
      <c r="E378" t="s">
        <v>19450</v>
      </c>
      <c r="F378" t="s">
        <v>32606</v>
      </c>
      <c r="G378" t="s">
        <v>32614</v>
      </c>
      <c r="H378" t="s">
        <v>14201</v>
      </c>
      <c r="I378" t="s">
        <v>6993</v>
      </c>
      <c r="J378" t="s">
        <v>32868</v>
      </c>
      <c r="K378" t="s">
        <v>42625</v>
      </c>
      <c r="M378" t="s">
        <v>43098</v>
      </c>
      <c r="N378" t="s">
        <v>47304</v>
      </c>
      <c r="O378" t="s">
        <v>47305</v>
      </c>
      <c r="P378">
        <v>0</v>
      </c>
      <c r="Q378">
        <v>1</v>
      </c>
      <c r="R378" t="s">
        <v>47306</v>
      </c>
      <c r="S378" t="s">
        <v>47414</v>
      </c>
      <c r="T378" t="s">
        <v>48975</v>
      </c>
      <c r="U378" t="s">
        <v>49897</v>
      </c>
      <c r="W378" t="s">
        <v>43098</v>
      </c>
      <c r="X378" t="s">
        <v>47308</v>
      </c>
    </row>
    <row r="379" spans="1:24">
      <c r="A379">
        <f>HYPERLINK("https://www.philgeps.gov.ph/GEPSNONPILOT/Tender/SplashBidNoticeAbstractUI.aspx?menuIndex=3&amp;refID=7194493&amp;Result=3","7194493")</f>
        <v>0</v>
      </c>
      <c r="B379" t="s">
        <v>198</v>
      </c>
      <c r="C379" t="s">
        <v>4253</v>
      </c>
      <c r="D379" t="s">
        <v>19010</v>
      </c>
      <c r="E379" t="s">
        <v>19451</v>
      </c>
      <c r="F379" t="s">
        <v>32606</v>
      </c>
      <c r="G379" t="s">
        <v>32614</v>
      </c>
      <c r="H379" t="s">
        <v>14201</v>
      </c>
      <c r="I379" t="s">
        <v>9013</v>
      </c>
      <c r="J379" t="s">
        <v>33077</v>
      </c>
      <c r="K379" t="s">
        <v>42630</v>
      </c>
      <c r="M379" t="s">
        <v>43099</v>
      </c>
      <c r="N379" t="s">
        <v>47304</v>
      </c>
      <c r="O379" t="s">
        <v>47305</v>
      </c>
      <c r="P379">
        <v>0</v>
      </c>
      <c r="Q379">
        <v>1</v>
      </c>
      <c r="R379" t="s">
        <v>47306</v>
      </c>
      <c r="S379" t="s">
        <v>47414</v>
      </c>
      <c r="T379" t="s">
        <v>48997</v>
      </c>
      <c r="U379" t="s">
        <v>49898</v>
      </c>
      <c r="W379" t="s">
        <v>43099</v>
      </c>
      <c r="X379" t="s">
        <v>47308</v>
      </c>
    </row>
    <row r="380" spans="1:24">
      <c r="A380">
        <f>HYPERLINK("https://www.philgeps.gov.ph/GEPSNONPILOT/Tender/SplashBidNoticeAbstractUI.aspx?menuIndex=3&amp;refID=7194435&amp;Result=3","7194435")</f>
        <v>0</v>
      </c>
      <c r="B380" t="s">
        <v>169</v>
      </c>
      <c r="C380" t="s">
        <v>4254</v>
      </c>
      <c r="D380" t="s">
        <v>19010</v>
      </c>
      <c r="E380" t="s">
        <v>19452</v>
      </c>
      <c r="F380" t="s">
        <v>32606</v>
      </c>
      <c r="G380" t="s">
        <v>32614</v>
      </c>
      <c r="H380" t="s">
        <v>32623</v>
      </c>
      <c r="I380" t="s">
        <v>17648</v>
      </c>
      <c r="J380" t="s">
        <v>33078</v>
      </c>
      <c r="K380" t="s">
        <v>42631</v>
      </c>
      <c r="M380" t="s">
        <v>43070</v>
      </c>
      <c r="N380" t="s">
        <v>47304</v>
      </c>
      <c r="O380" t="s">
        <v>47305</v>
      </c>
      <c r="P380">
        <v>0</v>
      </c>
      <c r="Q380">
        <v>0</v>
      </c>
      <c r="R380" t="s">
        <v>47306</v>
      </c>
      <c r="S380" t="s">
        <v>47414</v>
      </c>
      <c r="T380" t="s">
        <v>48979</v>
      </c>
      <c r="U380" t="s">
        <v>49899</v>
      </c>
      <c r="W380" t="s">
        <v>43070</v>
      </c>
      <c r="X380" t="s">
        <v>47308</v>
      </c>
    </row>
    <row r="381" spans="1:24">
      <c r="A381">
        <f>HYPERLINK("https://www.philgeps.gov.ph/GEPSNONPILOT/Tender/SplashBidNoticeAbstractUI.aspx?menuIndex=3&amp;refID=7194426&amp;Result=3","7194426")</f>
        <v>0</v>
      </c>
      <c r="B381" t="s">
        <v>76</v>
      </c>
      <c r="C381" t="s">
        <v>4255</v>
      </c>
      <c r="D381" t="s">
        <v>19010</v>
      </c>
      <c r="E381" t="s">
        <v>19453</v>
      </c>
      <c r="F381" t="s">
        <v>32606</v>
      </c>
      <c r="G381" t="s">
        <v>32613</v>
      </c>
      <c r="H381" t="s">
        <v>14201</v>
      </c>
      <c r="I381" t="s">
        <v>32633</v>
      </c>
      <c r="J381" t="s">
        <v>33079</v>
      </c>
      <c r="K381" t="s">
        <v>42624</v>
      </c>
      <c r="M381" t="s">
        <v>42973</v>
      </c>
      <c r="N381" t="s">
        <v>47304</v>
      </c>
      <c r="O381" t="s">
        <v>47305</v>
      </c>
      <c r="P381">
        <v>0</v>
      </c>
      <c r="Q381">
        <v>3</v>
      </c>
      <c r="R381" t="s">
        <v>47306</v>
      </c>
      <c r="S381" t="s">
        <v>47414</v>
      </c>
      <c r="T381" t="s">
        <v>49011</v>
      </c>
      <c r="U381" t="s">
        <v>49900</v>
      </c>
      <c r="W381" t="s">
        <v>64421</v>
      </c>
      <c r="X381" t="s">
        <v>47308</v>
      </c>
    </row>
    <row r="382" spans="1:24">
      <c r="A382">
        <f>HYPERLINK("https://www.philgeps.gov.ph/GEPSNONPILOT/Tender/SplashBidNoticeAbstractUI.aspx?menuIndex=3&amp;refID=7194492&amp;Result=3","7194492")</f>
        <v>0</v>
      </c>
      <c r="B382" t="s">
        <v>190</v>
      </c>
      <c r="C382" t="s">
        <v>4256</v>
      </c>
      <c r="D382" t="s">
        <v>19022</v>
      </c>
      <c r="E382" t="s">
        <v>19454</v>
      </c>
      <c r="F382" t="s">
        <v>32606</v>
      </c>
      <c r="G382" t="s">
        <v>32614</v>
      </c>
      <c r="H382" t="s">
        <v>14201</v>
      </c>
      <c r="I382" t="s">
        <v>6993</v>
      </c>
      <c r="J382" t="s">
        <v>33080</v>
      </c>
      <c r="K382" t="s">
        <v>42624</v>
      </c>
      <c r="M382" t="s">
        <v>43091</v>
      </c>
      <c r="N382" t="s">
        <v>47304</v>
      </c>
      <c r="O382" t="s">
        <v>47305</v>
      </c>
      <c r="P382">
        <v>0</v>
      </c>
      <c r="Q382">
        <v>0</v>
      </c>
      <c r="R382" t="s">
        <v>47306</v>
      </c>
      <c r="S382" t="s">
        <v>47414</v>
      </c>
      <c r="T382" t="s">
        <v>49011</v>
      </c>
      <c r="U382" t="s">
        <v>49887</v>
      </c>
      <c r="W382" t="s">
        <v>43091</v>
      </c>
      <c r="X382" t="s">
        <v>47308</v>
      </c>
    </row>
    <row r="383" spans="1:24">
      <c r="A383">
        <f>HYPERLINK("https://www.philgeps.gov.ph/GEPSNONPILOT/Tender/SplashBidNoticeAbstractUI.aspx?menuIndex=3&amp;refID=7194449&amp;Result=3","7194449")</f>
        <v>0</v>
      </c>
      <c r="B383" t="s">
        <v>199</v>
      </c>
      <c r="C383" t="s">
        <v>4257</v>
      </c>
      <c r="D383" t="s">
        <v>18991</v>
      </c>
      <c r="E383" t="s">
        <v>19455</v>
      </c>
      <c r="F383" t="s">
        <v>32606</v>
      </c>
      <c r="G383" t="s">
        <v>32614</v>
      </c>
      <c r="H383" t="s">
        <v>14201</v>
      </c>
      <c r="I383" t="s">
        <v>6931</v>
      </c>
      <c r="J383" t="s">
        <v>33081</v>
      </c>
      <c r="K383" t="s">
        <v>42630</v>
      </c>
      <c r="M383" t="s">
        <v>43100</v>
      </c>
      <c r="N383" t="s">
        <v>47304</v>
      </c>
      <c r="O383" t="s">
        <v>47305</v>
      </c>
      <c r="P383">
        <v>0</v>
      </c>
      <c r="Q383">
        <v>0</v>
      </c>
      <c r="R383" t="s">
        <v>47306</v>
      </c>
      <c r="S383" t="s">
        <v>47414</v>
      </c>
      <c r="T383" t="s">
        <v>48980</v>
      </c>
      <c r="U383" t="s">
        <v>49901</v>
      </c>
      <c r="W383" t="s">
        <v>43100</v>
      </c>
      <c r="X383" t="s">
        <v>47308</v>
      </c>
    </row>
    <row r="384" spans="1:24">
      <c r="A384">
        <f>HYPERLINK("https://www.philgeps.gov.ph/GEPSNONPILOT/Tender/SplashBidNoticeAbstractUI.aspx?menuIndex=3&amp;refID=7194490&amp;Result=3","7194490")</f>
        <v>0</v>
      </c>
      <c r="B384" t="s">
        <v>200</v>
      </c>
      <c r="C384" t="s">
        <v>4258</v>
      </c>
      <c r="D384" t="s">
        <v>18993</v>
      </c>
      <c r="E384" t="s">
        <v>19456</v>
      </c>
      <c r="F384" t="s">
        <v>32606</v>
      </c>
      <c r="G384" t="s">
        <v>32613</v>
      </c>
      <c r="H384" t="s">
        <v>14201</v>
      </c>
      <c r="I384" t="s">
        <v>32662</v>
      </c>
      <c r="J384" t="s">
        <v>33082</v>
      </c>
      <c r="K384" t="s">
        <v>42636</v>
      </c>
      <c r="M384" t="s">
        <v>43101</v>
      </c>
      <c r="N384" t="s">
        <v>47304</v>
      </c>
      <c r="O384" t="s">
        <v>47305</v>
      </c>
      <c r="P384">
        <v>0</v>
      </c>
      <c r="Q384">
        <v>8</v>
      </c>
      <c r="R384" t="s">
        <v>47306</v>
      </c>
      <c r="S384" t="s">
        <v>47414</v>
      </c>
      <c r="T384" t="s">
        <v>48990</v>
      </c>
      <c r="U384" t="s">
        <v>49902</v>
      </c>
      <c r="V384" t="s">
        <v>62693</v>
      </c>
      <c r="W384" t="s">
        <v>43101</v>
      </c>
      <c r="X384" t="s">
        <v>47308</v>
      </c>
    </row>
    <row r="385" spans="1:24">
      <c r="A385">
        <f>HYPERLINK("https://www.philgeps.gov.ph/GEPSNONPILOT/Tender/SplashBidNoticeAbstractUI.aspx?menuIndex=3&amp;refID=7194448&amp;Result=3","7194448")</f>
        <v>0</v>
      </c>
      <c r="B385" t="s">
        <v>201</v>
      </c>
      <c r="C385" t="s">
        <v>4259</v>
      </c>
      <c r="D385" t="s">
        <v>18993</v>
      </c>
      <c r="E385" t="s">
        <v>19457</v>
      </c>
      <c r="F385" t="s">
        <v>32606</v>
      </c>
      <c r="G385" t="s">
        <v>32613</v>
      </c>
      <c r="H385" t="s">
        <v>14201</v>
      </c>
      <c r="I385" t="s">
        <v>6298</v>
      </c>
      <c r="J385" t="s">
        <v>33083</v>
      </c>
      <c r="K385" t="s">
        <v>42630</v>
      </c>
      <c r="M385" t="s">
        <v>43102</v>
      </c>
      <c r="N385" t="s">
        <v>47304</v>
      </c>
      <c r="O385" t="s">
        <v>47305</v>
      </c>
      <c r="P385">
        <v>0</v>
      </c>
      <c r="Q385">
        <v>3</v>
      </c>
      <c r="R385" t="s">
        <v>47306</v>
      </c>
      <c r="S385" t="s">
        <v>47414</v>
      </c>
      <c r="T385" t="s">
        <v>49011</v>
      </c>
      <c r="U385" t="s">
        <v>49903</v>
      </c>
      <c r="W385" t="s">
        <v>43102</v>
      </c>
      <c r="X385" t="s">
        <v>47308</v>
      </c>
    </row>
    <row r="386" spans="1:24">
      <c r="A386">
        <f>HYPERLINK("https://www.philgeps.gov.ph/GEPSNONPILOT/Tender/SplashBidNoticeAbstractUI.aspx?menuIndex=3&amp;refID=7194488&amp;Result=3","7194488")</f>
        <v>0</v>
      </c>
      <c r="B386" t="s">
        <v>202</v>
      </c>
      <c r="C386" t="s">
        <v>4260</v>
      </c>
      <c r="D386" t="s">
        <v>19043</v>
      </c>
      <c r="E386" t="s">
        <v>19458</v>
      </c>
      <c r="F386" t="s">
        <v>32606</v>
      </c>
      <c r="G386" t="s">
        <v>32613</v>
      </c>
      <c r="H386" t="s">
        <v>14201</v>
      </c>
      <c r="I386" t="s">
        <v>4678</v>
      </c>
      <c r="J386" t="s">
        <v>33084</v>
      </c>
      <c r="K386" t="s">
        <v>42631</v>
      </c>
      <c r="M386" t="s">
        <v>43103</v>
      </c>
      <c r="N386" t="s">
        <v>47304</v>
      </c>
      <c r="O386" t="s">
        <v>47305</v>
      </c>
      <c r="P386">
        <v>0</v>
      </c>
      <c r="Q386">
        <v>0</v>
      </c>
      <c r="R386" t="s">
        <v>47306</v>
      </c>
      <c r="S386" t="s">
        <v>47414</v>
      </c>
      <c r="T386" t="s">
        <v>49023</v>
      </c>
      <c r="U386" t="s">
        <v>49904</v>
      </c>
      <c r="V386" t="s">
        <v>62694</v>
      </c>
      <c r="W386" t="s">
        <v>43103</v>
      </c>
      <c r="X386" t="s">
        <v>47308</v>
      </c>
    </row>
    <row r="387" spans="1:24">
      <c r="A387">
        <f>HYPERLINK("https://www.philgeps.gov.ph/GEPSNONPILOT/Tender/SplashBidNoticeAbstractUI.aspx?menuIndex=3&amp;refID=7194486&amp;Result=3","7194486")</f>
        <v>0</v>
      </c>
      <c r="B387" t="s">
        <v>76</v>
      </c>
      <c r="C387" t="s">
        <v>4261</v>
      </c>
      <c r="D387" t="s">
        <v>19010</v>
      </c>
      <c r="E387" t="s">
        <v>19459</v>
      </c>
      <c r="F387" t="s">
        <v>32606</v>
      </c>
      <c r="G387" t="s">
        <v>32613</v>
      </c>
      <c r="H387" t="s">
        <v>14201</v>
      </c>
      <c r="I387" t="s">
        <v>32640</v>
      </c>
      <c r="J387" t="s">
        <v>33060</v>
      </c>
      <c r="K387" t="s">
        <v>42624</v>
      </c>
      <c r="M387" t="s">
        <v>42973</v>
      </c>
      <c r="N387" t="s">
        <v>47304</v>
      </c>
      <c r="O387" t="s">
        <v>47305</v>
      </c>
      <c r="P387">
        <v>0</v>
      </c>
      <c r="Q387">
        <v>3</v>
      </c>
      <c r="R387" t="s">
        <v>47306</v>
      </c>
      <c r="S387" t="s">
        <v>47414</v>
      </c>
      <c r="T387" t="s">
        <v>49011</v>
      </c>
      <c r="U387" t="s">
        <v>49879</v>
      </c>
      <c r="W387" t="s">
        <v>64421</v>
      </c>
      <c r="X387" t="s">
        <v>47308</v>
      </c>
    </row>
    <row r="388" spans="1:24">
      <c r="A388">
        <f>HYPERLINK("https://www.philgeps.gov.ph/GEPSNONPILOT/Tender/SplashBidNoticeAbstractUI.aspx?menuIndex=3&amp;refID=7194485&amp;Result=3","7194485")</f>
        <v>0</v>
      </c>
      <c r="B388" t="s">
        <v>203</v>
      </c>
      <c r="C388" t="s">
        <v>4262</v>
      </c>
      <c r="D388" t="s">
        <v>19003</v>
      </c>
      <c r="E388" t="s">
        <v>19460</v>
      </c>
      <c r="F388" t="s">
        <v>32606</v>
      </c>
      <c r="G388" t="s">
        <v>32614</v>
      </c>
      <c r="H388" t="s">
        <v>14201</v>
      </c>
      <c r="I388" t="s">
        <v>4112</v>
      </c>
      <c r="J388" t="s">
        <v>33085</v>
      </c>
      <c r="K388" t="s">
        <v>42622</v>
      </c>
      <c r="M388" t="s">
        <v>43104</v>
      </c>
      <c r="N388" t="s">
        <v>47304</v>
      </c>
      <c r="O388" t="s">
        <v>47305</v>
      </c>
      <c r="P388">
        <v>0</v>
      </c>
      <c r="Q388">
        <v>2</v>
      </c>
      <c r="R388" t="s">
        <v>47306</v>
      </c>
      <c r="S388" t="s">
        <v>47414</v>
      </c>
      <c r="T388" t="s">
        <v>48987</v>
      </c>
      <c r="U388" t="s">
        <v>49905</v>
      </c>
      <c r="W388" t="s">
        <v>43104</v>
      </c>
      <c r="X388" t="s">
        <v>47308</v>
      </c>
    </row>
    <row r="389" spans="1:24">
      <c r="A389">
        <f>HYPERLINK("https://www.philgeps.gov.ph/GEPSNONPILOT/Tender/SplashBidNoticeAbstractUI.aspx?menuIndex=3&amp;refID=7194479&amp;Result=3","7194479")</f>
        <v>0</v>
      </c>
      <c r="B389" t="s">
        <v>157</v>
      </c>
      <c r="C389" t="s">
        <v>4175</v>
      </c>
      <c r="D389" t="s">
        <v>19003</v>
      </c>
      <c r="E389" t="s">
        <v>19370</v>
      </c>
      <c r="F389" t="s">
        <v>32606</v>
      </c>
      <c r="G389" t="s">
        <v>32614</v>
      </c>
      <c r="H389" t="s">
        <v>14201</v>
      </c>
      <c r="I389" t="s">
        <v>32633</v>
      </c>
      <c r="J389" t="s">
        <v>33086</v>
      </c>
      <c r="K389" t="s">
        <v>42630</v>
      </c>
      <c r="M389" t="s">
        <v>43058</v>
      </c>
      <c r="N389" t="s">
        <v>47304</v>
      </c>
      <c r="O389" t="s">
        <v>47305</v>
      </c>
      <c r="P389">
        <v>0</v>
      </c>
      <c r="Q389">
        <v>1</v>
      </c>
      <c r="R389" t="s">
        <v>47306</v>
      </c>
      <c r="S389" t="s">
        <v>47414</v>
      </c>
      <c r="T389" t="s">
        <v>49042</v>
      </c>
      <c r="U389" t="s">
        <v>49906</v>
      </c>
      <c r="W389" t="s">
        <v>43058</v>
      </c>
      <c r="X389" t="s">
        <v>47308</v>
      </c>
    </row>
    <row r="390" spans="1:24">
      <c r="A390">
        <f>HYPERLINK("https://www.philgeps.gov.ph/GEPSNONPILOT/Tender/SplashBidNoticeAbstractUI.aspx?menuIndex=3&amp;refID=7194478&amp;Result=3","7194478")</f>
        <v>0</v>
      </c>
      <c r="B390" t="s">
        <v>173</v>
      </c>
      <c r="C390" t="s">
        <v>4263</v>
      </c>
      <c r="E390" t="s">
        <v>19461</v>
      </c>
      <c r="F390" t="s">
        <v>32606</v>
      </c>
      <c r="G390" t="s">
        <v>32614</v>
      </c>
      <c r="H390" t="s">
        <v>14201</v>
      </c>
      <c r="I390" t="s">
        <v>32640</v>
      </c>
      <c r="J390" t="s">
        <v>33087</v>
      </c>
      <c r="K390" t="s">
        <v>42624</v>
      </c>
      <c r="M390" t="s">
        <v>43074</v>
      </c>
      <c r="N390" t="s">
        <v>47304</v>
      </c>
      <c r="O390" t="s">
        <v>47305</v>
      </c>
      <c r="P390">
        <v>0</v>
      </c>
      <c r="Q390">
        <v>1</v>
      </c>
      <c r="R390" t="s">
        <v>47306</v>
      </c>
      <c r="S390" t="s">
        <v>47414</v>
      </c>
      <c r="T390" t="s">
        <v>49010</v>
      </c>
      <c r="U390" t="s">
        <v>49907</v>
      </c>
      <c r="W390" t="s">
        <v>43074</v>
      </c>
      <c r="X390" t="s">
        <v>47308</v>
      </c>
    </row>
    <row r="391" spans="1:24">
      <c r="A391">
        <f>HYPERLINK("https://www.philgeps.gov.ph/GEPSNONPILOT/Tender/SplashBidNoticeAbstractUI.aspx?menuIndex=3&amp;refID=7194491&amp;Result=3","7194491")</f>
        <v>0</v>
      </c>
      <c r="B391" t="s">
        <v>204</v>
      </c>
      <c r="C391" t="s">
        <v>4264</v>
      </c>
      <c r="D391" t="s">
        <v>18989</v>
      </c>
      <c r="E391" t="s">
        <v>19462</v>
      </c>
      <c r="F391" t="s">
        <v>32606</v>
      </c>
      <c r="G391" t="s">
        <v>32613</v>
      </c>
      <c r="H391" t="s">
        <v>14201</v>
      </c>
      <c r="I391" t="s">
        <v>4120</v>
      </c>
      <c r="J391" t="s">
        <v>33088</v>
      </c>
      <c r="K391" t="s">
        <v>42646</v>
      </c>
      <c r="M391" t="s">
        <v>43105</v>
      </c>
      <c r="N391" t="s">
        <v>47304</v>
      </c>
      <c r="O391" t="s">
        <v>47305</v>
      </c>
      <c r="P391">
        <v>0</v>
      </c>
      <c r="Q391">
        <v>0</v>
      </c>
      <c r="R391" t="s">
        <v>47306</v>
      </c>
      <c r="S391" t="s">
        <v>47414</v>
      </c>
      <c r="T391" t="s">
        <v>48971</v>
      </c>
      <c r="U391" t="s">
        <v>49908</v>
      </c>
      <c r="W391" t="s">
        <v>43105</v>
      </c>
      <c r="X391" t="s">
        <v>47308</v>
      </c>
    </row>
    <row r="392" spans="1:24">
      <c r="A392">
        <f>HYPERLINK("https://www.philgeps.gov.ph/GEPSNONPILOT/Tender/SplashBidNoticeAbstractUI.aspx?menuIndex=3&amp;refID=7194476&amp;Result=3","7194476")</f>
        <v>0</v>
      </c>
      <c r="B392" t="s">
        <v>205</v>
      </c>
      <c r="C392" t="s">
        <v>4265</v>
      </c>
      <c r="D392" t="s">
        <v>19046</v>
      </c>
      <c r="E392" t="s">
        <v>19337</v>
      </c>
      <c r="F392" t="s">
        <v>32606</v>
      </c>
      <c r="G392" t="s">
        <v>32614</v>
      </c>
      <c r="H392" t="s">
        <v>14201</v>
      </c>
      <c r="I392" t="s">
        <v>7233</v>
      </c>
      <c r="J392" t="s">
        <v>33089</v>
      </c>
      <c r="K392" t="s">
        <v>42622</v>
      </c>
      <c r="L392" t="s">
        <v>205</v>
      </c>
      <c r="M392" t="s">
        <v>43106</v>
      </c>
      <c r="N392" t="s">
        <v>47304</v>
      </c>
      <c r="O392" t="s">
        <v>47305</v>
      </c>
      <c r="P392">
        <v>0</v>
      </c>
      <c r="Q392">
        <v>0</v>
      </c>
      <c r="R392" t="s">
        <v>47306</v>
      </c>
      <c r="S392" t="s">
        <v>47414</v>
      </c>
      <c r="T392" t="s">
        <v>48980</v>
      </c>
      <c r="U392" t="s">
        <v>49909</v>
      </c>
      <c r="W392" t="s">
        <v>43106</v>
      </c>
      <c r="X392" t="s">
        <v>47308</v>
      </c>
    </row>
    <row r="393" spans="1:24">
      <c r="A393">
        <f>HYPERLINK("https://www.philgeps.gov.ph/GEPSNONPILOT/Tender/SplashBidNoticeAbstractUI.aspx?menuIndex=3&amp;refID=7194487&amp;Result=3","7194487")</f>
        <v>0</v>
      </c>
      <c r="B393" t="s">
        <v>176</v>
      </c>
      <c r="C393" t="s">
        <v>4266</v>
      </c>
      <c r="D393" t="s">
        <v>19039</v>
      </c>
      <c r="E393" t="s">
        <v>19463</v>
      </c>
      <c r="F393" t="s">
        <v>32606</v>
      </c>
      <c r="G393" t="s">
        <v>32613</v>
      </c>
      <c r="H393" t="s">
        <v>14201</v>
      </c>
      <c r="I393" t="s">
        <v>32625</v>
      </c>
      <c r="J393" t="s">
        <v>32765</v>
      </c>
      <c r="K393" t="s">
        <v>42630</v>
      </c>
      <c r="M393" t="s">
        <v>43077</v>
      </c>
      <c r="N393" t="s">
        <v>47304</v>
      </c>
      <c r="O393" t="s">
        <v>47305</v>
      </c>
      <c r="P393">
        <v>0</v>
      </c>
      <c r="Q393">
        <v>0</v>
      </c>
      <c r="R393" t="s">
        <v>47306</v>
      </c>
      <c r="S393" t="s">
        <v>47414</v>
      </c>
      <c r="T393" t="s">
        <v>49058</v>
      </c>
      <c r="U393" t="s">
        <v>49910</v>
      </c>
      <c r="W393" t="s">
        <v>43077</v>
      </c>
      <c r="X393" t="s">
        <v>47308</v>
      </c>
    </row>
    <row r="394" spans="1:24">
      <c r="A394">
        <f>HYPERLINK("https://www.philgeps.gov.ph/GEPSNONPILOT/Tender/SplashBidNoticeAbstractUI.aspx?menuIndex=3&amp;refID=7194473&amp;Result=3","7194473")</f>
        <v>0</v>
      </c>
      <c r="B394" t="s">
        <v>206</v>
      </c>
      <c r="C394" t="s">
        <v>4267</v>
      </c>
      <c r="D394" t="s">
        <v>19034</v>
      </c>
      <c r="E394" t="s">
        <v>19464</v>
      </c>
      <c r="F394" t="s">
        <v>32609</v>
      </c>
      <c r="G394" t="s">
        <v>32613</v>
      </c>
      <c r="H394" t="s">
        <v>32623</v>
      </c>
      <c r="I394" t="s">
        <v>17648</v>
      </c>
      <c r="J394" t="s">
        <v>33090</v>
      </c>
      <c r="K394" t="s">
        <v>42624</v>
      </c>
      <c r="M394" t="s">
        <v>43107</v>
      </c>
      <c r="N394" t="s">
        <v>47304</v>
      </c>
      <c r="O394" t="s">
        <v>47305</v>
      </c>
      <c r="P394">
        <v>0</v>
      </c>
      <c r="Q394">
        <v>5</v>
      </c>
      <c r="R394" t="s">
        <v>47306</v>
      </c>
      <c r="S394" t="s">
        <v>47414</v>
      </c>
      <c r="T394" t="s">
        <v>49059</v>
      </c>
      <c r="U394" t="s">
        <v>49911</v>
      </c>
      <c r="W394" t="s">
        <v>43107</v>
      </c>
      <c r="X394" t="s">
        <v>47308</v>
      </c>
    </row>
    <row r="395" spans="1:24">
      <c r="A395">
        <f>HYPERLINK("https://www.philgeps.gov.ph/GEPSNONPILOT/Tender/SplashBidNoticeAbstractUI.aspx?menuIndex=3&amp;refID=7194483&amp;Result=3","7194483")</f>
        <v>0</v>
      </c>
      <c r="B395" t="s">
        <v>207</v>
      </c>
      <c r="C395" t="s">
        <v>4268</v>
      </c>
      <c r="D395" t="s">
        <v>19047</v>
      </c>
      <c r="E395" t="s">
        <v>19465</v>
      </c>
      <c r="F395" t="s">
        <v>32606</v>
      </c>
      <c r="G395" t="s">
        <v>32614</v>
      </c>
      <c r="H395" t="s">
        <v>14201</v>
      </c>
      <c r="I395" t="s">
        <v>8682</v>
      </c>
      <c r="J395" t="s">
        <v>33091</v>
      </c>
      <c r="K395" t="s">
        <v>42630</v>
      </c>
      <c r="M395" t="s">
        <v>43108</v>
      </c>
      <c r="N395" t="s">
        <v>47304</v>
      </c>
      <c r="O395" t="s">
        <v>47305</v>
      </c>
      <c r="P395">
        <v>0</v>
      </c>
      <c r="Q395">
        <v>2</v>
      </c>
      <c r="R395" t="s">
        <v>47306</v>
      </c>
      <c r="S395" t="s">
        <v>47414</v>
      </c>
      <c r="T395" t="s">
        <v>48986</v>
      </c>
      <c r="U395" t="s">
        <v>49912</v>
      </c>
      <c r="V395" t="s">
        <v>62695</v>
      </c>
      <c r="W395" t="s">
        <v>43108</v>
      </c>
      <c r="X395" t="s">
        <v>47308</v>
      </c>
    </row>
    <row r="396" spans="1:24">
      <c r="A396">
        <f>HYPERLINK("https://www.philgeps.gov.ph/GEPSNONPILOT/Tender/SplashBidNoticeAbstractUI.aspx?menuIndex=3&amp;refID=7194472&amp;Result=3","7194472")</f>
        <v>0</v>
      </c>
      <c r="B396" t="s">
        <v>208</v>
      </c>
      <c r="C396" t="s">
        <v>4269</v>
      </c>
      <c r="D396" t="s">
        <v>19027</v>
      </c>
      <c r="E396" t="s">
        <v>19466</v>
      </c>
      <c r="F396" t="s">
        <v>32606</v>
      </c>
      <c r="G396" t="s">
        <v>32614</v>
      </c>
      <c r="H396" t="s">
        <v>14201</v>
      </c>
      <c r="I396" t="s">
        <v>32664</v>
      </c>
      <c r="J396" t="s">
        <v>33092</v>
      </c>
      <c r="K396" t="s">
        <v>42630</v>
      </c>
      <c r="M396" t="s">
        <v>43109</v>
      </c>
      <c r="N396" t="s">
        <v>47304</v>
      </c>
      <c r="O396" t="s">
        <v>47305</v>
      </c>
      <c r="P396">
        <v>0</v>
      </c>
      <c r="Q396">
        <v>0</v>
      </c>
      <c r="R396" t="s">
        <v>47306</v>
      </c>
      <c r="S396" t="s">
        <v>47414</v>
      </c>
      <c r="T396" t="s">
        <v>49050</v>
      </c>
      <c r="U396" t="s">
        <v>49913</v>
      </c>
      <c r="W396" t="s">
        <v>43109</v>
      </c>
      <c r="X396" t="s">
        <v>47308</v>
      </c>
    </row>
    <row r="397" spans="1:24">
      <c r="A397">
        <f>HYPERLINK("https://www.philgeps.gov.ph/GEPSNONPILOT/Tender/SplashBidNoticeAbstractUI.aspx?menuIndex=3&amp;refID=7194480&amp;Result=3","7194480")</f>
        <v>0</v>
      </c>
      <c r="B397" t="s">
        <v>192</v>
      </c>
      <c r="C397" t="s">
        <v>4270</v>
      </c>
      <c r="D397" t="s">
        <v>19016</v>
      </c>
      <c r="E397" t="s">
        <v>19467</v>
      </c>
      <c r="F397" t="s">
        <v>32606</v>
      </c>
      <c r="G397" t="s">
        <v>32614</v>
      </c>
      <c r="H397" t="s">
        <v>14201</v>
      </c>
      <c r="I397" t="s">
        <v>32633</v>
      </c>
      <c r="J397" t="s">
        <v>33093</v>
      </c>
      <c r="K397" t="s">
        <v>42624</v>
      </c>
      <c r="M397" t="s">
        <v>43093</v>
      </c>
      <c r="N397" t="s">
        <v>47304</v>
      </c>
      <c r="O397" t="s">
        <v>47305</v>
      </c>
      <c r="P397">
        <v>0</v>
      </c>
      <c r="Q397">
        <v>2</v>
      </c>
      <c r="R397" t="s">
        <v>47306</v>
      </c>
      <c r="S397" t="s">
        <v>47414</v>
      </c>
      <c r="T397" t="s">
        <v>49014</v>
      </c>
      <c r="U397" t="s">
        <v>49914</v>
      </c>
      <c r="V397" t="s">
        <v>62691</v>
      </c>
      <c r="W397" t="s">
        <v>43093</v>
      </c>
      <c r="X397" t="s">
        <v>47308</v>
      </c>
    </row>
    <row r="398" spans="1:24">
      <c r="A398">
        <f>HYPERLINK("https://www.philgeps.gov.ph/GEPSNONPILOT/Tender/SplashBidNoticeAbstractUI.aspx?menuIndex=3&amp;refID=7194496&amp;Result=3","7194496")</f>
        <v>0</v>
      </c>
      <c r="B398" t="s">
        <v>76</v>
      </c>
      <c r="C398" t="s">
        <v>4271</v>
      </c>
      <c r="D398" t="s">
        <v>19010</v>
      </c>
      <c r="E398" t="s">
        <v>19468</v>
      </c>
      <c r="F398" t="s">
        <v>32606</v>
      </c>
      <c r="G398" t="s">
        <v>32613</v>
      </c>
      <c r="H398" t="s">
        <v>14201</v>
      </c>
      <c r="I398" t="s">
        <v>32640</v>
      </c>
      <c r="J398" t="s">
        <v>33060</v>
      </c>
      <c r="K398" t="s">
        <v>42624</v>
      </c>
      <c r="M398" t="s">
        <v>42973</v>
      </c>
      <c r="N398" t="s">
        <v>47304</v>
      </c>
      <c r="O398" t="s">
        <v>47305</v>
      </c>
      <c r="P398">
        <v>0</v>
      </c>
      <c r="Q398">
        <v>1</v>
      </c>
      <c r="R398" t="s">
        <v>47306</v>
      </c>
      <c r="S398" t="s">
        <v>47414</v>
      </c>
      <c r="T398" t="s">
        <v>49011</v>
      </c>
      <c r="U398" t="s">
        <v>49879</v>
      </c>
      <c r="W398" t="s">
        <v>64421</v>
      </c>
      <c r="X398" t="s">
        <v>47308</v>
      </c>
    </row>
    <row r="399" spans="1:24">
      <c r="A399">
        <f>HYPERLINK("https://www.philgeps.gov.ph/GEPSNONPILOT/Tender/SplashBidNoticeAbstractUI.aspx?menuIndex=3&amp;refID=7194507&amp;Result=3","7194507")</f>
        <v>0</v>
      </c>
      <c r="B399" t="s">
        <v>76</v>
      </c>
      <c r="C399" t="s">
        <v>4272</v>
      </c>
      <c r="D399" t="s">
        <v>19010</v>
      </c>
      <c r="E399" t="s">
        <v>19469</v>
      </c>
      <c r="F399" t="s">
        <v>32606</v>
      </c>
      <c r="G399" t="s">
        <v>32613</v>
      </c>
      <c r="H399" t="s">
        <v>14201</v>
      </c>
      <c r="I399" t="s">
        <v>32640</v>
      </c>
      <c r="J399" t="s">
        <v>33094</v>
      </c>
      <c r="K399" t="s">
        <v>42624</v>
      </c>
      <c r="M399" t="s">
        <v>42973</v>
      </c>
      <c r="N399" t="s">
        <v>47304</v>
      </c>
      <c r="O399" t="s">
        <v>47305</v>
      </c>
      <c r="P399">
        <v>0</v>
      </c>
      <c r="Q399">
        <v>3</v>
      </c>
      <c r="R399" t="s">
        <v>47306</v>
      </c>
      <c r="S399" t="s">
        <v>47414</v>
      </c>
      <c r="T399" t="s">
        <v>49060</v>
      </c>
      <c r="U399" t="s">
        <v>49915</v>
      </c>
      <c r="W399" t="s">
        <v>64421</v>
      </c>
      <c r="X399" t="s">
        <v>47308</v>
      </c>
    </row>
    <row r="400" spans="1:24">
      <c r="A400">
        <f>HYPERLINK("https://www.philgeps.gov.ph/GEPSNONPILOT/Tender/SplashBidNoticeAbstractUI.aspx?menuIndex=3&amp;refID=7194441&amp;Result=3","7194441")</f>
        <v>0</v>
      </c>
      <c r="B400" t="s">
        <v>209</v>
      </c>
      <c r="C400" t="s">
        <v>4273</v>
      </c>
      <c r="D400" t="s">
        <v>19001</v>
      </c>
      <c r="E400" t="s">
        <v>19470</v>
      </c>
      <c r="F400" t="s">
        <v>32606</v>
      </c>
      <c r="G400" t="s">
        <v>32614</v>
      </c>
      <c r="H400" t="s">
        <v>14201</v>
      </c>
      <c r="I400" t="s">
        <v>4369</v>
      </c>
      <c r="J400" t="s">
        <v>33095</v>
      </c>
      <c r="K400" t="s">
        <v>42623</v>
      </c>
      <c r="M400" t="s">
        <v>43110</v>
      </c>
      <c r="N400" t="s">
        <v>47304</v>
      </c>
      <c r="O400" t="s">
        <v>47305</v>
      </c>
      <c r="P400">
        <v>0</v>
      </c>
      <c r="Q400">
        <v>0</v>
      </c>
      <c r="R400" t="s">
        <v>47306</v>
      </c>
      <c r="S400" t="s">
        <v>47414</v>
      </c>
      <c r="T400" t="s">
        <v>48980</v>
      </c>
      <c r="U400" t="s">
        <v>49916</v>
      </c>
      <c r="V400" t="s">
        <v>62696</v>
      </c>
      <c r="W400" t="s">
        <v>43110</v>
      </c>
      <c r="X400" t="s">
        <v>47308</v>
      </c>
    </row>
    <row r="401" spans="1:24">
      <c r="A401">
        <f>HYPERLINK("https://www.philgeps.gov.ph/GEPSNONPILOT/Tender/SplashBidNoticeAbstractUI.aspx?menuIndex=3&amp;refID=7194506&amp;Result=3","7194506")</f>
        <v>0</v>
      </c>
      <c r="B401" t="s">
        <v>210</v>
      </c>
      <c r="C401" t="s">
        <v>4274</v>
      </c>
      <c r="D401" t="s">
        <v>18986</v>
      </c>
      <c r="E401" t="s">
        <v>19471</v>
      </c>
      <c r="F401" t="s">
        <v>32606</v>
      </c>
      <c r="G401" t="s">
        <v>32613</v>
      </c>
      <c r="H401" t="s">
        <v>32623</v>
      </c>
      <c r="I401" t="s">
        <v>17648</v>
      </c>
      <c r="J401" t="s">
        <v>33096</v>
      </c>
      <c r="K401" t="s">
        <v>42667</v>
      </c>
      <c r="M401" t="s">
        <v>43111</v>
      </c>
      <c r="N401" t="s">
        <v>47304</v>
      </c>
      <c r="O401" t="s">
        <v>47305</v>
      </c>
      <c r="P401">
        <v>0</v>
      </c>
      <c r="Q401">
        <v>0</v>
      </c>
      <c r="R401" t="s">
        <v>47306</v>
      </c>
      <c r="S401" t="s">
        <v>47414</v>
      </c>
      <c r="T401" t="s">
        <v>48971</v>
      </c>
      <c r="U401" t="s">
        <v>49917</v>
      </c>
      <c r="W401" t="s">
        <v>43111</v>
      </c>
      <c r="X401" t="s">
        <v>47308</v>
      </c>
    </row>
    <row r="402" spans="1:24">
      <c r="A402">
        <f>HYPERLINK("https://www.philgeps.gov.ph/GEPSNONPILOT/Tender/SplashBidNoticeAbstractUI.aspx?menuIndex=3&amp;refID=7194475&amp;Result=3","7194475")</f>
        <v>0</v>
      </c>
      <c r="B402" t="s">
        <v>211</v>
      </c>
      <c r="C402" t="s">
        <v>4275</v>
      </c>
      <c r="D402" t="s">
        <v>19007</v>
      </c>
      <c r="E402" t="s">
        <v>19472</v>
      </c>
      <c r="F402" t="s">
        <v>32606</v>
      </c>
      <c r="G402" t="s">
        <v>32614</v>
      </c>
      <c r="H402" t="s">
        <v>14201</v>
      </c>
      <c r="I402" t="s">
        <v>7677</v>
      </c>
      <c r="J402" t="s">
        <v>33097</v>
      </c>
      <c r="K402" t="s">
        <v>42624</v>
      </c>
      <c r="M402" t="s">
        <v>43112</v>
      </c>
      <c r="N402" t="s">
        <v>47304</v>
      </c>
      <c r="O402" t="s">
        <v>47305</v>
      </c>
      <c r="P402">
        <v>0</v>
      </c>
      <c r="Q402">
        <v>2</v>
      </c>
      <c r="R402" t="s">
        <v>47306</v>
      </c>
      <c r="S402" t="s">
        <v>47414</v>
      </c>
      <c r="T402" t="s">
        <v>49061</v>
      </c>
      <c r="U402" t="s">
        <v>49918</v>
      </c>
      <c r="W402" t="s">
        <v>43112</v>
      </c>
      <c r="X402" t="s">
        <v>47308</v>
      </c>
    </row>
    <row r="403" spans="1:24">
      <c r="A403">
        <f>HYPERLINK("https://www.philgeps.gov.ph/GEPSNONPILOT/Tender/SplashBidNoticeAbstractUI.aspx?menuIndex=3&amp;refID=7194494&amp;Result=3","7194494")</f>
        <v>0</v>
      </c>
      <c r="B403" t="s">
        <v>212</v>
      </c>
      <c r="C403" t="s">
        <v>4276</v>
      </c>
      <c r="D403" t="s">
        <v>19007</v>
      </c>
      <c r="E403" t="s">
        <v>19473</v>
      </c>
      <c r="F403" t="s">
        <v>32606</v>
      </c>
      <c r="G403" t="s">
        <v>32614</v>
      </c>
      <c r="H403" t="s">
        <v>14201</v>
      </c>
      <c r="I403" t="s">
        <v>4120</v>
      </c>
      <c r="J403" t="s">
        <v>33098</v>
      </c>
      <c r="K403" t="s">
        <v>42631</v>
      </c>
      <c r="M403" t="s">
        <v>43113</v>
      </c>
      <c r="N403" t="s">
        <v>47304</v>
      </c>
      <c r="O403" t="s">
        <v>47305</v>
      </c>
      <c r="P403">
        <v>0</v>
      </c>
      <c r="Q403">
        <v>8</v>
      </c>
      <c r="R403" t="s">
        <v>47306</v>
      </c>
      <c r="S403" t="s">
        <v>47414</v>
      </c>
      <c r="T403" t="s">
        <v>48988</v>
      </c>
      <c r="U403" t="s">
        <v>49919</v>
      </c>
      <c r="W403" t="s">
        <v>43113</v>
      </c>
      <c r="X403" t="s">
        <v>47308</v>
      </c>
    </row>
    <row r="404" spans="1:24">
      <c r="A404">
        <f>HYPERLINK("https://www.philgeps.gov.ph/GEPSNONPILOT/Tender/SplashBidNoticeAbstractUI.aspx?menuIndex=3&amp;refID=7194521&amp;Result=3","7194521")</f>
        <v>0</v>
      </c>
      <c r="B404" t="s">
        <v>213</v>
      </c>
      <c r="C404" t="s">
        <v>4277</v>
      </c>
      <c r="D404" t="s">
        <v>19027</v>
      </c>
      <c r="E404" t="s">
        <v>19474</v>
      </c>
      <c r="F404" t="s">
        <v>32606</v>
      </c>
      <c r="G404" t="s">
        <v>32614</v>
      </c>
      <c r="H404" t="s">
        <v>14201</v>
      </c>
      <c r="I404" t="s">
        <v>32655</v>
      </c>
      <c r="J404" t="s">
        <v>33099</v>
      </c>
      <c r="K404" t="s">
        <v>42623</v>
      </c>
      <c r="M404" t="s">
        <v>43114</v>
      </c>
      <c r="N404" t="s">
        <v>47304</v>
      </c>
      <c r="O404" t="s">
        <v>47305</v>
      </c>
      <c r="P404">
        <v>0</v>
      </c>
      <c r="Q404">
        <v>4</v>
      </c>
      <c r="R404" t="s">
        <v>47306</v>
      </c>
      <c r="S404" t="s">
        <v>47414</v>
      </c>
      <c r="T404" t="s">
        <v>49062</v>
      </c>
      <c r="U404" t="s">
        <v>49920</v>
      </c>
      <c r="V404" t="s">
        <v>62697</v>
      </c>
      <c r="W404" t="s">
        <v>43114</v>
      </c>
      <c r="X404" t="s">
        <v>47308</v>
      </c>
    </row>
    <row r="405" spans="1:24">
      <c r="A405">
        <f>HYPERLINK("https://www.philgeps.gov.ph/GEPSNONPILOT/Tender/SplashBidNoticeAbstractUI.aspx?menuIndex=3&amp;refID=7194520&amp;Result=3","7194520")</f>
        <v>0</v>
      </c>
      <c r="B405" t="s">
        <v>214</v>
      </c>
      <c r="C405" t="s">
        <v>4278</v>
      </c>
      <c r="D405" t="s">
        <v>19048</v>
      </c>
      <c r="E405" t="s">
        <v>19475</v>
      </c>
      <c r="F405" t="s">
        <v>32606</v>
      </c>
      <c r="G405" t="s">
        <v>32613</v>
      </c>
      <c r="H405" t="s">
        <v>14201</v>
      </c>
      <c r="I405" t="s">
        <v>32635</v>
      </c>
      <c r="J405" t="s">
        <v>33100</v>
      </c>
      <c r="K405" t="s">
        <v>42646</v>
      </c>
      <c r="M405" t="s">
        <v>43115</v>
      </c>
      <c r="N405" t="s">
        <v>47304</v>
      </c>
      <c r="O405" t="s">
        <v>47305</v>
      </c>
      <c r="P405">
        <v>0</v>
      </c>
      <c r="Q405">
        <v>2</v>
      </c>
      <c r="R405" t="s">
        <v>47306</v>
      </c>
      <c r="S405" t="s">
        <v>47414</v>
      </c>
      <c r="T405" t="s">
        <v>49063</v>
      </c>
      <c r="U405" t="s">
        <v>49921</v>
      </c>
      <c r="V405" t="s">
        <v>62698</v>
      </c>
      <c r="W405" t="s">
        <v>43115</v>
      </c>
      <c r="X405" t="s">
        <v>47308</v>
      </c>
    </row>
    <row r="406" spans="1:24">
      <c r="A406">
        <f>HYPERLINK("https://www.philgeps.gov.ph/GEPSNONPILOT/Tender/SplashBidNoticeAbstractUI.aspx?menuIndex=3&amp;refID=7194518&amp;Result=3","7194518")</f>
        <v>0</v>
      </c>
      <c r="B406" t="s">
        <v>196</v>
      </c>
      <c r="C406" t="s">
        <v>4279</v>
      </c>
      <c r="D406" t="s">
        <v>19027</v>
      </c>
      <c r="E406" t="s">
        <v>19476</v>
      </c>
      <c r="F406" t="s">
        <v>32607</v>
      </c>
      <c r="G406" t="s">
        <v>32613</v>
      </c>
      <c r="H406" t="s">
        <v>32623</v>
      </c>
      <c r="I406" t="s">
        <v>17648</v>
      </c>
      <c r="J406" t="s">
        <v>33101</v>
      </c>
      <c r="K406" t="s">
        <v>42648</v>
      </c>
      <c r="M406" t="s">
        <v>43097</v>
      </c>
      <c r="N406" t="s">
        <v>47304</v>
      </c>
      <c r="O406" t="s">
        <v>47305</v>
      </c>
      <c r="P406">
        <v>0</v>
      </c>
      <c r="Q406">
        <v>0</v>
      </c>
      <c r="R406" t="s">
        <v>47306</v>
      </c>
      <c r="S406" t="s">
        <v>47414</v>
      </c>
      <c r="T406" t="s">
        <v>49064</v>
      </c>
      <c r="U406" t="s">
        <v>49922</v>
      </c>
      <c r="W406" t="s">
        <v>43097</v>
      </c>
      <c r="X406" t="s">
        <v>47308</v>
      </c>
    </row>
    <row r="407" spans="1:24">
      <c r="A407">
        <f>HYPERLINK("https://www.philgeps.gov.ph/GEPSNONPILOT/Tender/SplashBidNoticeAbstractUI.aspx?menuIndex=3&amp;refID=7194477&amp;Result=3","7194477")</f>
        <v>0</v>
      </c>
      <c r="B407" t="s">
        <v>215</v>
      </c>
      <c r="C407" t="s">
        <v>4280</v>
      </c>
      <c r="D407" t="s">
        <v>18992</v>
      </c>
      <c r="E407" t="s">
        <v>19477</v>
      </c>
      <c r="F407" t="s">
        <v>32606</v>
      </c>
      <c r="G407" t="s">
        <v>32613</v>
      </c>
      <c r="H407" t="s">
        <v>14201</v>
      </c>
      <c r="I407" t="s">
        <v>7529</v>
      </c>
      <c r="J407" t="s">
        <v>32833</v>
      </c>
      <c r="K407" t="s">
        <v>42624</v>
      </c>
      <c r="M407" t="s">
        <v>43116</v>
      </c>
      <c r="N407" t="s">
        <v>47304</v>
      </c>
      <c r="O407" t="s">
        <v>47305</v>
      </c>
      <c r="P407">
        <v>0</v>
      </c>
      <c r="Q407">
        <v>0</v>
      </c>
      <c r="R407" t="s">
        <v>47306</v>
      </c>
      <c r="S407" t="s">
        <v>47414</v>
      </c>
      <c r="T407" t="s">
        <v>49023</v>
      </c>
      <c r="U407" t="s">
        <v>49923</v>
      </c>
      <c r="W407" t="s">
        <v>43116</v>
      </c>
      <c r="X407" t="s">
        <v>47308</v>
      </c>
    </row>
    <row r="408" spans="1:24">
      <c r="A408">
        <f>HYPERLINK("https://www.philgeps.gov.ph/GEPSNONPILOT/Tender/SplashBidNoticeAbstractUI.aspx?menuIndex=3&amp;refID=7194505&amp;Result=3","7194505")</f>
        <v>0</v>
      </c>
      <c r="B408" t="s">
        <v>216</v>
      </c>
      <c r="C408" t="s">
        <v>4281</v>
      </c>
      <c r="D408" t="s">
        <v>19006</v>
      </c>
      <c r="E408" t="s">
        <v>19478</v>
      </c>
      <c r="F408" t="s">
        <v>32606</v>
      </c>
      <c r="G408" t="s">
        <v>32613</v>
      </c>
      <c r="H408" t="s">
        <v>32623</v>
      </c>
      <c r="I408" t="s">
        <v>17648</v>
      </c>
      <c r="J408" t="s">
        <v>33102</v>
      </c>
      <c r="K408" t="s">
        <v>42637</v>
      </c>
      <c r="M408" t="s">
        <v>43117</v>
      </c>
      <c r="N408" t="s">
        <v>47304</v>
      </c>
      <c r="O408" t="s">
        <v>47305</v>
      </c>
      <c r="P408">
        <v>0</v>
      </c>
      <c r="Q408">
        <v>0</v>
      </c>
      <c r="R408" t="s">
        <v>47306</v>
      </c>
      <c r="S408" t="s">
        <v>47414</v>
      </c>
      <c r="T408" t="s">
        <v>49065</v>
      </c>
      <c r="U408" t="s">
        <v>49924</v>
      </c>
      <c r="W408" t="s">
        <v>43117</v>
      </c>
      <c r="X408" t="s">
        <v>47308</v>
      </c>
    </row>
    <row r="409" spans="1:24">
      <c r="A409">
        <f>HYPERLINK("https://www.philgeps.gov.ph/GEPSNONPILOT/Tender/SplashBidNoticeAbstractUI.aspx?menuIndex=3&amp;refID=7194515&amp;Result=3","7194515")</f>
        <v>0</v>
      </c>
      <c r="B409" t="s">
        <v>217</v>
      </c>
      <c r="C409" t="s">
        <v>4282</v>
      </c>
      <c r="D409" t="s">
        <v>19049</v>
      </c>
      <c r="E409" t="s">
        <v>19479</v>
      </c>
      <c r="F409" t="s">
        <v>32606</v>
      </c>
      <c r="G409" t="s">
        <v>32614</v>
      </c>
      <c r="H409" t="s">
        <v>14201</v>
      </c>
      <c r="I409" t="s">
        <v>32638</v>
      </c>
      <c r="J409" t="s">
        <v>33103</v>
      </c>
      <c r="K409" t="s">
        <v>42636</v>
      </c>
      <c r="M409" t="s">
        <v>43118</v>
      </c>
      <c r="N409" t="s">
        <v>47304</v>
      </c>
      <c r="O409" t="s">
        <v>47305</v>
      </c>
      <c r="P409">
        <v>0</v>
      </c>
      <c r="Q409">
        <v>7</v>
      </c>
      <c r="R409" t="s">
        <v>47306</v>
      </c>
      <c r="S409" t="s">
        <v>47414</v>
      </c>
      <c r="T409" t="s">
        <v>48980</v>
      </c>
      <c r="U409" t="s">
        <v>49925</v>
      </c>
      <c r="W409" t="s">
        <v>43118</v>
      </c>
      <c r="X409" t="s">
        <v>47308</v>
      </c>
    </row>
    <row r="410" spans="1:24">
      <c r="A410">
        <f>HYPERLINK("https://www.philgeps.gov.ph/GEPSNONPILOT/Tender/SplashBidNoticeAbstractUI.aspx?menuIndex=3&amp;refID=7194501&amp;Result=3","7194501")</f>
        <v>0</v>
      </c>
      <c r="B410" t="s">
        <v>218</v>
      </c>
      <c r="C410" t="s">
        <v>4283</v>
      </c>
      <c r="D410" t="s">
        <v>19029</v>
      </c>
      <c r="E410" t="s">
        <v>19480</v>
      </c>
      <c r="F410" t="s">
        <v>32606</v>
      </c>
      <c r="G410" t="s">
        <v>32614</v>
      </c>
      <c r="H410" t="s">
        <v>14201</v>
      </c>
      <c r="I410" t="s">
        <v>32634</v>
      </c>
      <c r="J410" t="s">
        <v>32914</v>
      </c>
      <c r="K410" t="s">
        <v>42622</v>
      </c>
      <c r="M410" t="s">
        <v>43119</v>
      </c>
      <c r="N410" t="s">
        <v>47304</v>
      </c>
      <c r="O410" t="s">
        <v>47305</v>
      </c>
      <c r="P410">
        <v>0</v>
      </c>
      <c r="Q410">
        <v>0</v>
      </c>
      <c r="R410" t="s">
        <v>47306</v>
      </c>
      <c r="S410" t="s">
        <v>47414</v>
      </c>
      <c r="T410" t="s">
        <v>49010</v>
      </c>
      <c r="U410" t="s">
        <v>49926</v>
      </c>
      <c r="W410" t="s">
        <v>64423</v>
      </c>
      <c r="X410" t="s">
        <v>47308</v>
      </c>
    </row>
    <row r="411" spans="1:24">
      <c r="A411">
        <f>HYPERLINK("https://www.philgeps.gov.ph/GEPSNONPILOT/Tender/SplashBidNoticeAbstractUI.aspx?menuIndex=3&amp;refID=7194514&amp;Result=3","7194514")</f>
        <v>0</v>
      </c>
      <c r="B411" t="s">
        <v>219</v>
      </c>
      <c r="C411" t="s">
        <v>4284</v>
      </c>
      <c r="D411" t="s">
        <v>19050</v>
      </c>
      <c r="E411" t="s">
        <v>19481</v>
      </c>
      <c r="F411" t="s">
        <v>32606</v>
      </c>
      <c r="G411" t="s">
        <v>32613</v>
      </c>
      <c r="H411" t="s">
        <v>32623</v>
      </c>
      <c r="I411" t="s">
        <v>17648</v>
      </c>
      <c r="J411" t="s">
        <v>33104</v>
      </c>
      <c r="K411" t="s">
        <v>42668</v>
      </c>
      <c r="M411" t="s">
        <v>43120</v>
      </c>
      <c r="N411" t="s">
        <v>47304</v>
      </c>
      <c r="O411" t="s">
        <v>47305</v>
      </c>
      <c r="P411">
        <v>0</v>
      </c>
      <c r="Q411">
        <v>0</v>
      </c>
      <c r="R411" t="s">
        <v>47306</v>
      </c>
      <c r="S411" t="s">
        <v>47414</v>
      </c>
      <c r="T411" t="s">
        <v>49066</v>
      </c>
      <c r="U411" t="s">
        <v>49927</v>
      </c>
      <c r="W411" t="s">
        <v>43120</v>
      </c>
      <c r="X411" t="s">
        <v>47308</v>
      </c>
    </row>
    <row r="412" spans="1:24">
      <c r="A412">
        <f>HYPERLINK("https://www.philgeps.gov.ph/GEPSNONPILOT/Tender/SplashBidNoticeAbstractUI.aspx?menuIndex=3&amp;refID=7194499&amp;Result=3","7194499")</f>
        <v>0</v>
      </c>
      <c r="B412" t="s">
        <v>220</v>
      </c>
      <c r="C412" t="s">
        <v>4285</v>
      </c>
      <c r="D412" t="s">
        <v>19046</v>
      </c>
      <c r="E412" t="s">
        <v>19482</v>
      </c>
      <c r="F412" t="s">
        <v>32606</v>
      </c>
      <c r="G412" t="s">
        <v>32614</v>
      </c>
      <c r="H412" t="s">
        <v>14201</v>
      </c>
      <c r="I412" t="s">
        <v>32666</v>
      </c>
      <c r="J412" t="s">
        <v>33105</v>
      </c>
      <c r="K412" t="s">
        <v>42630</v>
      </c>
      <c r="M412" t="s">
        <v>43121</v>
      </c>
      <c r="N412" t="s">
        <v>47304</v>
      </c>
      <c r="O412" t="s">
        <v>47305</v>
      </c>
      <c r="P412">
        <v>0</v>
      </c>
      <c r="Q412">
        <v>0</v>
      </c>
      <c r="R412" t="s">
        <v>47306</v>
      </c>
      <c r="S412" t="s">
        <v>47414</v>
      </c>
      <c r="T412" t="s">
        <v>49050</v>
      </c>
      <c r="U412" t="s">
        <v>49928</v>
      </c>
      <c r="W412" t="s">
        <v>43121</v>
      </c>
      <c r="X412" t="s">
        <v>47308</v>
      </c>
    </row>
    <row r="413" spans="1:24">
      <c r="A413">
        <f>HYPERLINK("https://www.philgeps.gov.ph/GEPSNONPILOT/Tender/SplashBidNoticeAbstractUI.aspx?menuIndex=3&amp;refID=7194519&amp;Result=3","7194519")</f>
        <v>0</v>
      </c>
      <c r="B413" t="s">
        <v>207</v>
      </c>
      <c r="C413" t="s">
        <v>4286</v>
      </c>
      <c r="D413" t="s">
        <v>19047</v>
      </c>
      <c r="E413" t="s">
        <v>19483</v>
      </c>
      <c r="F413" t="s">
        <v>32606</v>
      </c>
      <c r="G413" t="s">
        <v>32614</v>
      </c>
      <c r="H413" t="s">
        <v>14201</v>
      </c>
      <c r="I413" t="s">
        <v>6478</v>
      </c>
      <c r="J413" t="s">
        <v>33106</v>
      </c>
      <c r="K413" t="s">
        <v>42630</v>
      </c>
      <c r="M413" t="s">
        <v>43108</v>
      </c>
      <c r="N413" t="s">
        <v>47304</v>
      </c>
      <c r="O413" t="s">
        <v>47305</v>
      </c>
      <c r="P413">
        <v>0</v>
      </c>
      <c r="Q413">
        <v>0</v>
      </c>
      <c r="R413" t="s">
        <v>47306</v>
      </c>
      <c r="S413" t="s">
        <v>47414</v>
      </c>
      <c r="T413" t="s">
        <v>48986</v>
      </c>
      <c r="U413" t="s">
        <v>49912</v>
      </c>
      <c r="V413" t="s">
        <v>62695</v>
      </c>
      <c r="W413" t="s">
        <v>43108</v>
      </c>
      <c r="X413" t="s">
        <v>47308</v>
      </c>
    </row>
    <row r="414" spans="1:24">
      <c r="A414">
        <f>HYPERLINK("https://www.philgeps.gov.ph/GEPSNONPILOT/Tender/SplashBidNoticeAbstractUI.aspx?menuIndex=3&amp;refID=7194497&amp;Result=3","7194497")</f>
        <v>0</v>
      </c>
      <c r="B414" t="s">
        <v>221</v>
      </c>
      <c r="C414" t="s">
        <v>4287</v>
      </c>
      <c r="D414" t="s">
        <v>19005</v>
      </c>
      <c r="E414" t="s">
        <v>19484</v>
      </c>
      <c r="F414" t="s">
        <v>32606</v>
      </c>
      <c r="G414" t="s">
        <v>32614</v>
      </c>
      <c r="H414" t="s">
        <v>14201</v>
      </c>
      <c r="I414" t="s">
        <v>32629</v>
      </c>
      <c r="J414" t="s">
        <v>33107</v>
      </c>
      <c r="K414" t="s">
        <v>42669</v>
      </c>
      <c r="M414" t="s">
        <v>43122</v>
      </c>
      <c r="N414" t="s">
        <v>47304</v>
      </c>
      <c r="O414" t="s">
        <v>47305</v>
      </c>
      <c r="P414">
        <v>0</v>
      </c>
      <c r="Q414">
        <v>0</v>
      </c>
      <c r="R414" t="s">
        <v>47306</v>
      </c>
      <c r="S414" t="s">
        <v>47414</v>
      </c>
      <c r="T414" t="s">
        <v>48980</v>
      </c>
      <c r="U414" t="s">
        <v>49929</v>
      </c>
      <c r="W414" t="s">
        <v>43122</v>
      </c>
      <c r="X414" t="s">
        <v>47308</v>
      </c>
    </row>
    <row r="415" spans="1:24">
      <c r="A415">
        <f>HYPERLINK("https://www.philgeps.gov.ph/GEPSNONPILOT/Tender/SplashBidNoticeAbstractUI.aspx?menuIndex=3&amp;refID=7194516&amp;Result=3","7194516")</f>
        <v>0</v>
      </c>
      <c r="B415" t="s">
        <v>190</v>
      </c>
      <c r="C415" t="s">
        <v>4288</v>
      </c>
      <c r="D415" t="s">
        <v>19022</v>
      </c>
      <c r="E415" t="s">
        <v>19485</v>
      </c>
      <c r="F415" t="s">
        <v>32606</v>
      </c>
      <c r="G415" t="s">
        <v>32614</v>
      </c>
      <c r="H415" t="s">
        <v>14201</v>
      </c>
      <c r="I415" t="s">
        <v>7233</v>
      </c>
      <c r="J415" t="s">
        <v>33108</v>
      </c>
      <c r="K415" t="s">
        <v>42624</v>
      </c>
      <c r="M415" t="s">
        <v>43091</v>
      </c>
      <c r="N415" t="s">
        <v>47304</v>
      </c>
      <c r="O415" t="s">
        <v>47305</v>
      </c>
      <c r="P415">
        <v>0</v>
      </c>
      <c r="Q415">
        <v>0</v>
      </c>
      <c r="R415" t="s">
        <v>47306</v>
      </c>
      <c r="S415" t="s">
        <v>47414</v>
      </c>
      <c r="T415" t="s">
        <v>49011</v>
      </c>
      <c r="U415" t="s">
        <v>49887</v>
      </c>
      <c r="W415" t="s">
        <v>43091</v>
      </c>
      <c r="X415" t="s">
        <v>47308</v>
      </c>
    </row>
    <row r="416" spans="1:24">
      <c r="A416">
        <f>HYPERLINK("https://www.philgeps.gov.ph/GEPSNONPILOT/Tender/SplashBidNoticeAbstractUI.aspx?menuIndex=3&amp;refID=7194503&amp;Result=3","7194503")</f>
        <v>0</v>
      </c>
      <c r="B416" t="s">
        <v>195</v>
      </c>
      <c r="C416" t="s">
        <v>4289</v>
      </c>
      <c r="D416" t="s">
        <v>19045</v>
      </c>
      <c r="E416" t="s">
        <v>19486</v>
      </c>
      <c r="F416" t="s">
        <v>32606</v>
      </c>
      <c r="G416" t="s">
        <v>32613</v>
      </c>
      <c r="H416" t="s">
        <v>14201</v>
      </c>
      <c r="I416" t="s">
        <v>6931</v>
      </c>
      <c r="J416" t="s">
        <v>33109</v>
      </c>
      <c r="K416" t="s">
        <v>42622</v>
      </c>
      <c r="M416" t="s">
        <v>43096</v>
      </c>
      <c r="N416" t="s">
        <v>47304</v>
      </c>
      <c r="O416" t="s">
        <v>47305</v>
      </c>
      <c r="P416">
        <v>0</v>
      </c>
      <c r="Q416">
        <v>0</v>
      </c>
      <c r="R416" t="s">
        <v>47306</v>
      </c>
      <c r="S416" t="s">
        <v>47414</v>
      </c>
      <c r="T416" t="s">
        <v>49037</v>
      </c>
      <c r="U416" t="s">
        <v>49892</v>
      </c>
      <c r="V416" t="s">
        <v>62692</v>
      </c>
      <c r="W416" t="s">
        <v>43096</v>
      </c>
      <c r="X416" t="s">
        <v>47308</v>
      </c>
    </row>
    <row r="417" spans="1:24">
      <c r="A417">
        <f>HYPERLINK("https://www.philgeps.gov.ph/GEPSNONPILOT/Tender/SplashBidNoticeAbstractUI.aspx?menuIndex=3&amp;refID=7194509&amp;Result=3","7194509")</f>
        <v>0</v>
      </c>
      <c r="B417" t="s">
        <v>222</v>
      </c>
      <c r="C417" t="s">
        <v>4290</v>
      </c>
      <c r="D417" t="s">
        <v>19005</v>
      </c>
      <c r="E417" t="s">
        <v>19487</v>
      </c>
      <c r="F417" t="s">
        <v>32606</v>
      </c>
      <c r="G417" t="s">
        <v>32613</v>
      </c>
      <c r="H417" t="s">
        <v>14201</v>
      </c>
      <c r="I417" t="s">
        <v>6298</v>
      </c>
      <c r="J417" t="s">
        <v>32949</v>
      </c>
      <c r="K417" t="s">
        <v>42623</v>
      </c>
      <c r="M417" t="s">
        <v>43123</v>
      </c>
      <c r="N417" t="s">
        <v>47304</v>
      </c>
      <c r="O417" t="s">
        <v>47305</v>
      </c>
      <c r="P417">
        <v>0</v>
      </c>
      <c r="Q417">
        <v>0</v>
      </c>
      <c r="R417" t="s">
        <v>47306</v>
      </c>
      <c r="S417" t="s">
        <v>47414</v>
      </c>
      <c r="T417" t="s">
        <v>48986</v>
      </c>
      <c r="U417" t="s">
        <v>49930</v>
      </c>
      <c r="W417" t="s">
        <v>43123</v>
      </c>
      <c r="X417" t="s">
        <v>47308</v>
      </c>
    </row>
    <row r="418" spans="1:24">
      <c r="A418">
        <f>HYPERLINK("https://www.philgeps.gov.ph/GEPSNONPILOT/Tender/SplashBidNoticeAbstractUI.aspx?menuIndex=3&amp;refID=7194517&amp;Result=3","7194517")</f>
        <v>0</v>
      </c>
      <c r="B418" t="s">
        <v>76</v>
      </c>
      <c r="C418" t="s">
        <v>4291</v>
      </c>
      <c r="D418" t="s">
        <v>19010</v>
      </c>
      <c r="E418" t="s">
        <v>19488</v>
      </c>
      <c r="F418" t="s">
        <v>32606</v>
      </c>
      <c r="G418" t="s">
        <v>32613</v>
      </c>
      <c r="H418" t="s">
        <v>14201</v>
      </c>
      <c r="I418" t="s">
        <v>32640</v>
      </c>
      <c r="J418" t="s">
        <v>33110</v>
      </c>
      <c r="K418" t="s">
        <v>42624</v>
      </c>
      <c r="M418" t="s">
        <v>42973</v>
      </c>
      <c r="N418" t="s">
        <v>47304</v>
      </c>
      <c r="O418" t="s">
        <v>47305</v>
      </c>
      <c r="P418">
        <v>0</v>
      </c>
      <c r="Q418">
        <v>2</v>
      </c>
      <c r="R418" t="s">
        <v>47306</v>
      </c>
      <c r="S418" t="s">
        <v>47414</v>
      </c>
      <c r="T418" t="s">
        <v>49011</v>
      </c>
      <c r="U418" t="s">
        <v>49931</v>
      </c>
      <c r="W418" t="s">
        <v>64421</v>
      </c>
      <c r="X418" t="s">
        <v>47308</v>
      </c>
    </row>
    <row r="419" spans="1:24">
      <c r="A419">
        <f>HYPERLINK("https://www.philgeps.gov.ph/GEPSNONPILOT/Tender/SplashBidNoticeAbstractUI.aspx?menuIndex=3&amp;refID=7194498&amp;Result=3","7194498")</f>
        <v>0</v>
      </c>
      <c r="B419" t="s">
        <v>207</v>
      </c>
      <c r="C419" t="s">
        <v>4292</v>
      </c>
      <c r="D419" t="s">
        <v>19047</v>
      </c>
      <c r="E419" t="s">
        <v>19489</v>
      </c>
      <c r="F419" t="s">
        <v>32606</v>
      </c>
      <c r="G419" t="s">
        <v>32614</v>
      </c>
      <c r="H419" t="s">
        <v>14201</v>
      </c>
      <c r="I419" t="s">
        <v>6007</v>
      </c>
      <c r="J419" t="s">
        <v>32765</v>
      </c>
      <c r="K419" t="s">
        <v>42630</v>
      </c>
      <c r="M419" t="s">
        <v>43108</v>
      </c>
      <c r="N419" t="s">
        <v>47304</v>
      </c>
      <c r="O419" t="s">
        <v>47305</v>
      </c>
      <c r="P419">
        <v>0</v>
      </c>
      <c r="Q419">
        <v>0</v>
      </c>
      <c r="R419" t="s">
        <v>47306</v>
      </c>
      <c r="S419" t="s">
        <v>47414</v>
      </c>
      <c r="T419" t="s">
        <v>48986</v>
      </c>
      <c r="U419" t="s">
        <v>49912</v>
      </c>
      <c r="V419" t="s">
        <v>62695</v>
      </c>
      <c r="W419" t="s">
        <v>43108</v>
      </c>
      <c r="X419" t="s">
        <v>47308</v>
      </c>
    </row>
    <row r="420" spans="1:24">
      <c r="A420">
        <f>HYPERLINK("https://www.philgeps.gov.ph/GEPSNONPILOT/Tender/SplashBidNoticeAbstractUI.aspx?menuIndex=3&amp;refID=7194546&amp;Result=3","7194546")</f>
        <v>0</v>
      </c>
      <c r="B420" t="s">
        <v>211</v>
      </c>
      <c r="C420" t="s">
        <v>4293</v>
      </c>
      <c r="D420" t="s">
        <v>19007</v>
      </c>
      <c r="E420" t="s">
        <v>19490</v>
      </c>
      <c r="F420" t="s">
        <v>32606</v>
      </c>
      <c r="G420" t="s">
        <v>32614</v>
      </c>
      <c r="H420" t="s">
        <v>14201</v>
      </c>
      <c r="I420" t="s">
        <v>32633</v>
      </c>
      <c r="J420" t="s">
        <v>33111</v>
      </c>
      <c r="K420" t="s">
        <v>42624</v>
      </c>
      <c r="M420" t="s">
        <v>43112</v>
      </c>
      <c r="N420" t="s">
        <v>47304</v>
      </c>
      <c r="O420" t="s">
        <v>47305</v>
      </c>
      <c r="P420">
        <v>0</v>
      </c>
      <c r="Q420">
        <v>3</v>
      </c>
      <c r="R420" t="s">
        <v>47306</v>
      </c>
      <c r="S420" t="s">
        <v>47414</v>
      </c>
      <c r="T420" t="s">
        <v>49061</v>
      </c>
      <c r="U420" t="s">
        <v>49932</v>
      </c>
      <c r="W420" t="s">
        <v>43112</v>
      </c>
      <c r="X420" t="s">
        <v>47308</v>
      </c>
    </row>
    <row r="421" spans="1:24">
      <c r="A421">
        <f>HYPERLINK("https://www.philgeps.gov.ph/GEPSNONPILOT/Tender/SplashBidNoticeAbstractUI.aspx?menuIndex=3&amp;refID=7194543&amp;Result=3","7194543")</f>
        <v>0</v>
      </c>
      <c r="B421" t="s">
        <v>223</v>
      </c>
      <c r="C421" t="s">
        <v>4294</v>
      </c>
      <c r="D421" t="s">
        <v>19008</v>
      </c>
      <c r="E421" t="s">
        <v>19491</v>
      </c>
      <c r="F421" t="s">
        <v>32606</v>
      </c>
      <c r="G421" t="s">
        <v>32614</v>
      </c>
      <c r="H421" t="s">
        <v>14201</v>
      </c>
      <c r="I421" t="s">
        <v>32629</v>
      </c>
      <c r="J421" t="s">
        <v>33112</v>
      </c>
      <c r="K421" t="s">
        <v>42639</v>
      </c>
      <c r="M421" t="s">
        <v>43124</v>
      </c>
      <c r="N421" t="s">
        <v>47304</v>
      </c>
      <c r="O421" t="s">
        <v>47305</v>
      </c>
      <c r="P421">
        <v>0</v>
      </c>
      <c r="Q421">
        <v>0</v>
      </c>
      <c r="R421" t="s">
        <v>47306</v>
      </c>
      <c r="S421" t="s">
        <v>47414</v>
      </c>
      <c r="T421" t="s">
        <v>48986</v>
      </c>
      <c r="U421" t="s">
        <v>49933</v>
      </c>
      <c r="W421" t="s">
        <v>43124</v>
      </c>
      <c r="X421" t="s">
        <v>47308</v>
      </c>
    </row>
    <row r="422" spans="1:24">
      <c r="A422">
        <f>HYPERLINK("https://www.philgeps.gov.ph/GEPSNONPILOT/Tender/SplashBidNoticeAbstractUI.aspx?menuIndex=3&amp;refID=7194524&amp;Result=3","7194524")</f>
        <v>0</v>
      </c>
      <c r="B422" t="s">
        <v>224</v>
      </c>
      <c r="C422" t="s">
        <v>4295</v>
      </c>
      <c r="D422" t="s">
        <v>19012</v>
      </c>
      <c r="E422" t="s">
        <v>19492</v>
      </c>
      <c r="F422" t="s">
        <v>32606</v>
      </c>
      <c r="G422" t="s">
        <v>32614</v>
      </c>
      <c r="H422" t="s">
        <v>14201</v>
      </c>
      <c r="I422" t="s">
        <v>32667</v>
      </c>
      <c r="J422" t="s">
        <v>33113</v>
      </c>
      <c r="K422" t="s">
        <v>42631</v>
      </c>
      <c r="M422" t="s">
        <v>43125</v>
      </c>
      <c r="N422" t="s">
        <v>47304</v>
      </c>
      <c r="O422" t="s">
        <v>47305</v>
      </c>
      <c r="P422">
        <v>0</v>
      </c>
      <c r="Q422">
        <v>0</v>
      </c>
      <c r="R422" t="s">
        <v>47306</v>
      </c>
      <c r="S422" t="s">
        <v>47414</v>
      </c>
      <c r="T422" t="s">
        <v>49014</v>
      </c>
      <c r="U422" t="s">
        <v>49934</v>
      </c>
      <c r="W422" t="s">
        <v>43125</v>
      </c>
      <c r="X422" t="s">
        <v>47308</v>
      </c>
    </row>
    <row r="423" spans="1:24">
      <c r="A423">
        <f>HYPERLINK("https://www.philgeps.gov.ph/GEPSNONPILOT/Tender/SplashBidNoticeAbstractUI.aspx?menuIndex=3&amp;refID=7194513&amp;Result=3","7194513")</f>
        <v>0</v>
      </c>
      <c r="B423" t="s">
        <v>195</v>
      </c>
      <c r="C423" t="s">
        <v>4296</v>
      </c>
      <c r="D423" t="s">
        <v>19045</v>
      </c>
      <c r="E423" t="s">
        <v>19493</v>
      </c>
      <c r="F423" t="s">
        <v>32606</v>
      </c>
      <c r="G423" t="s">
        <v>32613</v>
      </c>
      <c r="H423" t="s">
        <v>14201</v>
      </c>
      <c r="I423" t="s">
        <v>6931</v>
      </c>
      <c r="J423" t="s">
        <v>33114</v>
      </c>
      <c r="K423" t="s">
        <v>42622</v>
      </c>
      <c r="M423" t="s">
        <v>43096</v>
      </c>
      <c r="N423" t="s">
        <v>47304</v>
      </c>
      <c r="O423" t="s">
        <v>47305</v>
      </c>
      <c r="P423">
        <v>0</v>
      </c>
      <c r="Q423">
        <v>0</v>
      </c>
      <c r="R423" t="s">
        <v>47306</v>
      </c>
      <c r="S423" t="s">
        <v>47414</v>
      </c>
      <c r="T423" t="s">
        <v>49037</v>
      </c>
      <c r="U423" t="s">
        <v>49892</v>
      </c>
      <c r="V423" t="s">
        <v>62692</v>
      </c>
      <c r="W423" t="s">
        <v>43096</v>
      </c>
      <c r="X423" t="s">
        <v>47308</v>
      </c>
    </row>
    <row r="424" spans="1:24">
      <c r="A424">
        <f>HYPERLINK("https://www.philgeps.gov.ph/GEPSNONPILOT/Tender/SplashBidNoticeAbstractUI.aspx?menuIndex=3&amp;refID=7194542&amp;Result=3","7194542")</f>
        <v>0</v>
      </c>
      <c r="B424" t="s">
        <v>207</v>
      </c>
      <c r="C424" t="s">
        <v>4297</v>
      </c>
      <c r="D424" t="s">
        <v>19047</v>
      </c>
      <c r="E424" t="s">
        <v>19494</v>
      </c>
      <c r="F424" t="s">
        <v>32606</v>
      </c>
      <c r="G424" t="s">
        <v>32614</v>
      </c>
      <c r="H424" t="s">
        <v>14201</v>
      </c>
      <c r="I424" t="s">
        <v>6298</v>
      </c>
      <c r="J424" t="s">
        <v>33115</v>
      </c>
      <c r="K424" t="s">
        <v>42630</v>
      </c>
      <c r="M424" t="s">
        <v>43108</v>
      </c>
      <c r="N424" t="s">
        <v>47304</v>
      </c>
      <c r="O424" t="s">
        <v>47305</v>
      </c>
      <c r="P424">
        <v>0</v>
      </c>
      <c r="Q424">
        <v>0</v>
      </c>
      <c r="R424" t="s">
        <v>47306</v>
      </c>
      <c r="S424" t="s">
        <v>47414</v>
      </c>
      <c r="T424" t="s">
        <v>48986</v>
      </c>
      <c r="U424" t="s">
        <v>49912</v>
      </c>
      <c r="V424" t="s">
        <v>62695</v>
      </c>
      <c r="W424" t="s">
        <v>43108</v>
      </c>
      <c r="X424" t="s">
        <v>47308</v>
      </c>
    </row>
    <row r="425" spans="1:24">
      <c r="A425">
        <f>HYPERLINK("https://www.philgeps.gov.ph/GEPSNONPILOT/Tender/SplashBidNoticeAbstractUI.aspx?menuIndex=3&amp;refID=7194500&amp;Result=3","7194500")</f>
        <v>0</v>
      </c>
      <c r="B425" t="s">
        <v>157</v>
      </c>
      <c r="C425" t="s">
        <v>4175</v>
      </c>
      <c r="D425" t="s">
        <v>19003</v>
      </c>
      <c r="E425" t="s">
        <v>19370</v>
      </c>
      <c r="F425" t="s">
        <v>32606</v>
      </c>
      <c r="G425" t="s">
        <v>32614</v>
      </c>
      <c r="H425" t="s">
        <v>14201</v>
      </c>
      <c r="I425" t="s">
        <v>4114</v>
      </c>
      <c r="J425" t="s">
        <v>33116</v>
      </c>
      <c r="K425" t="s">
        <v>42630</v>
      </c>
      <c r="M425" t="s">
        <v>43058</v>
      </c>
      <c r="N425" t="s">
        <v>47304</v>
      </c>
      <c r="O425" t="s">
        <v>47305</v>
      </c>
      <c r="P425">
        <v>0</v>
      </c>
      <c r="Q425">
        <v>0</v>
      </c>
      <c r="R425" t="s">
        <v>47306</v>
      </c>
      <c r="S425" t="s">
        <v>47414</v>
      </c>
      <c r="T425" t="s">
        <v>49042</v>
      </c>
      <c r="U425" t="s">
        <v>49935</v>
      </c>
      <c r="W425" t="s">
        <v>43058</v>
      </c>
      <c r="X425" t="s">
        <v>47308</v>
      </c>
    </row>
    <row r="426" spans="1:24">
      <c r="A426">
        <f>HYPERLINK("https://www.philgeps.gov.ph/GEPSNONPILOT/Tender/SplashBidNoticeAbstractUI.aspx?menuIndex=3&amp;refID=7194536&amp;Result=3","7194536")</f>
        <v>0</v>
      </c>
      <c r="B426" t="s">
        <v>209</v>
      </c>
      <c r="C426" t="s">
        <v>4298</v>
      </c>
      <c r="D426" t="s">
        <v>19001</v>
      </c>
      <c r="E426" t="s">
        <v>19495</v>
      </c>
      <c r="F426" t="s">
        <v>32606</v>
      </c>
      <c r="G426" t="s">
        <v>32614</v>
      </c>
      <c r="H426" t="s">
        <v>14201</v>
      </c>
      <c r="I426" t="s">
        <v>6298</v>
      </c>
      <c r="J426" t="s">
        <v>33117</v>
      </c>
      <c r="K426" t="s">
        <v>42630</v>
      </c>
      <c r="M426" t="s">
        <v>43110</v>
      </c>
      <c r="N426" t="s">
        <v>47304</v>
      </c>
      <c r="O426" t="s">
        <v>47305</v>
      </c>
      <c r="P426">
        <v>0</v>
      </c>
      <c r="Q426">
        <v>1</v>
      </c>
      <c r="R426" t="s">
        <v>47306</v>
      </c>
      <c r="S426" t="s">
        <v>47414</v>
      </c>
      <c r="T426" t="s">
        <v>48980</v>
      </c>
      <c r="U426" t="s">
        <v>49936</v>
      </c>
      <c r="V426" t="s">
        <v>62699</v>
      </c>
      <c r="W426" t="s">
        <v>43110</v>
      </c>
      <c r="X426" t="s">
        <v>47308</v>
      </c>
    </row>
    <row r="427" spans="1:24">
      <c r="A427">
        <f>HYPERLINK("https://www.philgeps.gov.ph/GEPSNONPILOT/Tender/SplashBidNoticeAbstractUI.aspx?menuIndex=3&amp;refID=7194535&amp;Result=3","7194535")</f>
        <v>0</v>
      </c>
      <c r="B427" t="s">
        <v>225</v>
      </c>
      <c r="C427" t="s">
        <v>4299</v>
      </c>
      <c r="D427" t="s">
        <v>19011</v>
      </c>
      <c r="E427" t="s">
        <v>19496</v>
      </c>
      <c r="F427" t="s">
        <v>32606</v>
      </c>
      <c r="G427" t="s">
        <v>32614</v>
      </c>
      <c r="H427" t="s">
        <v>14201</v>
      </c>
      <c r="I427" t="s">
        <v>4369</v>
      </c>
      <c r="J427" t="s">
        <v>33118</v>
      </c>
      <c r="K427" t="s">
        <v>42623</v>
      </c>
      <c r="M427" t="s">
        <v>43126</v>
      </c>
      <c r="N427" t="s">
        <v>47304</v>
      </c>
      <c r="O427" t="s">
        <v>47305</v>
      </c>
      <c r="P427">
        <v>0</v>
      </c>
      <c r="Q427">
        <v>4</v>
      </c>
      <c r="R427" t="s">
        <v>47306</v>
      </c>
      <c r="S427" t="s">
        <v>47414</v>
      </c>
      <c r="T427" t="s">
        <v>48997</v>
      </c>
      <c r="U427" t="s">
        <v>49937</v>
      </c>
      <c r="W427" t="s">
        <v>43126</v>
      </c>
      <c r="X427" t="s">
        <v>47308</v>
      </c>
    </row>
    <row r="428" spans="1:24">
      <c r="A428">
        <f>HYPERLINK("https://www.philgeps.gov.ph/GEPSNONPILOT/Tender/SplashBidNoticeAbstractUI.aspx?menuIndex=3&amp;refID=7194533&amp;Result=3","7194533")</f>
        <v>0</v>
      </c>
      <c r="B428" t="s">
        <v>226</v>
      </c>
      <c r="C428" t="s">
        <v>4300</v>
      </c>
      <c r="D428" t="s">
        <v>19049</v>
      </c>
      <c r="E428" t="s">
        <v>19497</v>
      </c>
      <c r="F428" t="s">
        <v>32606</v>
      </c>
      <c r="G428" t="s">
        <v>32619</v>
      </c>
      <c r="H428" t="s">
        <v>14201</v>
      </c>
      <c r="I428" t="s">
        <v>32648</v>
      </c>
      <c r="J428" t="s">
        <v>33119</v>
      </c>
      <c r="K428" t="s">
        <v>42622</v>
      </c>
      <c r="M428" t="s">
        <v>43127</v>
      </c>
      <c r="N428" t="s">
        <v>47304</v>
      </c>
      <c r="O428" t="s">
        <v>47305</v>
      </c>
      <c r="P428">
        <v>0</v>
      </c>
      <c r="Q428">
        <v>0</v>
      </c>
      <c r="R428" t="s">
        <v>47306</v>
      </c>
      <c r="S428" t="s">
        <v>47414</v>
      </c>
      <c r="T428" t="s">
        <v>49067</v>
      </c>
      <c r="U428" t="s">
        <v>49938</v>
      </c>
      <c r="W428" t="s">
        <v>43127</v>
      </c>
      <c r="X428" t="s">
        <v>47308</v>
      </c>
    </row>
    <row r="429" spans="1:24">
      <c r="A429">
        <f>HYPERLINK("https://www.philgeps.gov.ph/GEPSNONPILOT/Tender/SplashBidNoticeAbstractUI.aspx?menuIndex=3&amp;refID=7194545&amp;Result=3","7194545")</f>
        <v>0</v>
      </c>
      <c r="B429" t="s">
        <v>58</v>
      </c>
      <c r="C429" t="s">
        <v>4301</v>
      </c>
      <c r="D429" t="s">
        <v>19011</v>
      </c>
      <c r="E429" t="s">
        <v>19498</v>
      </c>
      <c r="F429" t="s">
        <v>32606</v>
      </c>
      <c r="G429" t="s">
        <v>32614</v>
      </c>
      <c r="H429" t="s">
        <v>14201</v>
      </c>
      <c r="I429" t="s">
        <v>7064</v>
      </c>
      <c r="J429" t="s">
        <v>33120</v>
      </c>
      <c r="K429" t="s">
        <v>42624</v>
      </c>
      <c r="M429" t="s">
        <v>42955</v>
      </c>
      <c r="N429" t="s">
        <v>47304</v>
      </c>
      <c r="O429" t="s">
        <v>47305</v>
      </c>
      <c r="P429">
        <v>0</v>
      </c>
      <c r="Q429">
        <v>0</v>
      </c>
      <c r="R429" t="s">
        <v>47306</v>
      </c>
      <c r="S429" t="s">
        <v>47414</v>
      </c>
      <c r="T429" t="s">
        <v>48979</v>
      </c>
      <c r="U429" t="s">
        <v>49939</v>
      </c>
      <c r="W429" t="s">
        <v>42955</v>
      </c>
      <c r="X429" t="s">
        <v>47308</v>
      </c>
    </row>
    <row r="430" spans="1:24">
      <c r="A430">
        <f>HYPERLINK("https://www.philgeps.gov.ph/GEPSNONPILOT/Tender/SplashBidNoticeAbstractUI.aspx?menuIndex=3&amp;refID=7194574&amp;Result=3","7194574")</f>
        <v>0</v>
      </c>
      <c r="B430" t="s">
        <v>227</v>
      </c>
      <c r="C430" t="s">
        <v>4302</v>
      </c>
      <c r="D430" t="s">
        <v>19051</v>
      </c>
      <c r="E430" t="s">
        <v>19499</v>
      </c>
      <c r="F430" t="s">
        <v>32606</v>
      </c>
      <c r="G430" t="s">
        <v>32614</v>
      </c>
      <c r="H430" t="s">
        <v>14201</v>
      </c>
      <c r="I430" t="s">
        <v>7677</v>
      </c>
      <c r="J430" t="s">
        <v>33121</v>
      </c>
      <c r="K430" t="s">
        <v>42630</v>
      </c>
      <c r="L430" t="s">
        <v>227</v>
      </c>
      <c r="M430" t="s">
        <v>43128</v>
      </c>
      <c r="N430" t="s">
        <v>47304</v>
      </c>
      <c r="O430" t="s">
        <v>47305</v>
      </c>
      <c r="P430">
        <v>0</v>
      </c>
      <c r="Q430">
        <v>3</v>
      </c>
      <c r="R430" t="s">
        <v>47306</v>
      </c>
      <c r="S430" t="s">
        <v>47414</v>
      </c>
      <c r="T430" t="s">
        <v>49014</v>
      </c>
      <c r="U430" t="s">
        <v>49940</v>
      </c>
      <c r="W430" t="s">
        <v>43128</v>
      </c>
      <c r="X430" t="s">
        <v>47308</v>
      </c>
    </row>
    <row r="431" spans="1:24">
      <c r="A431">
        <f>HYPERLINK("https://www.philgeps.gov.ph/GEPSNONPILOT/Tender/SplashBidNoticeAbstractUI.aspx?menuIndex=3&amp;refID=7194550&amp;Result=3","7194550")</f>
        <v>0</v>
      </c>
      <c r="B431" t="s">
        <v>228</v>
      </c>
      <c r="C431" t="s">
        <v>4303</v>
      </c>
      <c r="D431" t="s">
        <v>19030</v>
      </c>
      <c r="E431" t="s">
        <v>19500</v>
      </c>
      <c r="F431" t="s">
        <v>32606</v>
      </c>
      <c r="G431" t="s">
        <v>32614</v>
      </c>
      <c r="H431" t="s">
        <v>14201</v>
      </c>
      <c r="I431" t="s">
        <v>4120</v>
      </c>
      <c r="J431" t="s">
        <v>33122</v>
      </c>
      <c r="K431" t="s">
        <v>42622</v>
      </c>
      <c r="M431" t="s">
        <v>43129</v>
      </c>
      <c r="N431" t="s">
        <v>47304</v>
      </c>
      <c r="O431" t="s">
        <v>47305</v>
      </c>
      <c r="P431">
        <v>0</v>
      </c>
      <c r="Q431">
        <v>0</v>
      </c>
      <c r="R431" t="s">
        <v>47306</v>
      </c>
      <c r="S431" t="s">
        <v>47414</v>
      </c>
      <c r="T431" t="s">
        <v>49023</v>
      </c>
      <c r="U431" t="s">
        <v>49941</v>
      </c>
      <c r="W431" t="s">
        <v>43129</v>
      </c>
      <c r="X431" t="s">
        <v>47308</v>
      </c>
    </row>
    <row r="432" spans="1:24">
      <c r="A432">
        <f>HYPERLINK("https://www.philgeps.gov.ph/GEPSNONPILOT/Tender/SplashBidNoticeAbstractUI.aspx?menuIndex=3&amp;refID=7194572&amp;Result=3","7194572")</f>
        <v>0</v>
      </c>
      <c r="B432" t="s">
        <v>77</v>
      </c>
      <c r="C432" t="s">
        <v>4304</v>
      </c>
      <c r="D432" t="s">
        <v>19019</v>
      </c>
      <c r="E432" t="s">
        <v>19501</v>
      </c>
      <c r="F432" t="s">
        <v>32606</v>
      </c>
      <c r="G432" t="s">
        <v>32614</v>
      </c>
      <c r="H432" t="s">
        <v>14201</v>
      </c>
      <c r="I432" t="s">
        <v>32634</v>
      </c>
      <c r="J432" t="s">
        <v>32949</v>
      </c>
      <c r="K432" t="s">
        <v>42631</v>
      </c>
      <c r="M432" t="s">
        <v>42974</v>
      </c>
      <c r="N432" t="s">
        <v>47304</v>
      </c>
      <c r="O432" t="s">
        <v>47305</v>
      </c>
      <c r="P432">
        <v>0</v>
      </c>
      <c r="Q432">
        <v>0</v>
      </c>
      <c r="R432" t="s">
        <v>47306</v>
      </c>
      <c r="S432" t="s">
        <v>47414</v>
      </c>
      <c r="T432" t="s">
        <v>49004</v>
      </c>
      <c r="U432" t="s">
        <v>49942</v>
      </c>
      <c r="W432" t="s">
        <v>42974</v>
      </c>
      <c r="X432" t="s">
        <v>47308</v>
      </c>
    </row>
    <row r="433" spans="1:24">
      <c r="A433">
        <f>HYPERLINK("https://www.philgeps.gov.ph/GEPSNONPILOT/Tender/SplashBidNoticeAbstractUI.aspx?menuIndex=3&amp;refID=7194541&amp;Result=3","7194541")</f>
        <v>0</v>
      </c>
      <c r="B433" t="s">
        <v>76</v>
      </c>
      <c r="C433" t="s">
        <v>4305</v>
      </c>
      <c r="D433" t="s">
        <v>19010</v>
      </c>
      <c r="E433" t="s">
        <v>19502</v>
      </c>
      <c r="F433" t="s">
        <v>32606</v>
      </c>
      <c r="G433" t="s">
        <v>32613</v>
      </c>
      <c r="H433" t="s">
        <v>14201</v>
      </c>
      <c r="I433" t="s">
        <v>32640</v>
      </c>
      <c r="J433" t="s">
        <v>33123</v>
      </c>
      <c r="K433" t="s">
        <v>42624</v>
      </c>
      <c r="M433" t="s">
        <v>42973</v>
      </c>
      <c r="N433" t="s">
        <v>47304</v>
      </c>
      <c r="O433" t="s">
        <v>47305</v>
      </c>
      <c r="P433">
        <v>0</v>
      </c>
      <c r="Q433">
        <v>3</v>
      </c>
      <c r="R433" t="s">
        <v>47306</v>
      </c>
      <c r="S433" t="s">
        <v>47414</v>
      </c>
      <c r="T433" t="s">
        <v>49011</v>
      </c>
      <c r="U433" t="s">
        <v>49943</v>
      </c>
      <c r="W433" t="s">
        <v>64421</v>
      </c>
      <c r="X433" t="s">
        <v>47308</v>
      </c>
    </row>
    <row r="434" spans="1:24">
      <c r="A434">
        <f>HYPERLINK("https://www.philgeps.gov.ph/GEPSNONPILOT/Tender/SplashBidNoticeAbstractUI.aspx?menuIndex=3&amp;refID=7194568&amp;Result=3","7194568")</f>
        <v>0</v>
      </c>
      <c r="B434" t="s">
        <v>229</v>
      </c>
      <c r="C434" t="s">
        <v>4306</v>
      </c>
      <c r="D434" t="s">
        <v>18992</v>
      </c>
      <c r="E434" t="s">
        <v>19503</v>
      </c>
      <c r="F434" t="s">
        <v>32606</v>
      </c>
      <c r="G434" t="s">
        <v>32619</v>
      </c>
      <c r="H434" t="s">
        <v>14201</v>
      </c>
      <c r="I434" t="s">
        <v>6993</v>
      </c>
      <c r="J434" t="s">
        <v>33124</v>
      </c>
      <c r="K434" t="s">
        <v>42627</v>
      </c>
      <c r="M434" t="s">
        <v>43130</v>
      </c>
      <c r="N434" t="s">
        <v>47304</v>
      </c>
      <c r="O434" t="s">
        <v>47305</v>
      </c>
      <c r="P434">
        <v>0</v>
      </c>
      <c r="Q434">
        <v>0</v>
      </c>
      <c r="R434" t="s">
        <v>47306</v>
      </c>
      <c r="S434" t="s">
        <v>47414</v>
      </c>
      <c r="T434" t="s">
        <v>49068</v>
      </c>
      <c r="U434" t="s">
        <v>49944</v>
      </c>
      <c r="W434" t="s">
        <v>43130</v>
      </c>
      <c r="X434" t="s">
        <v>47308</v>
      </c>
    </row>
    <row r="435" spans="1:24">
      <c r="A435">
        <f>HYPERLINK("https://www.philgeps.gov.ph/GEPSNONPILOT/Tender/SplashBidNoticeAbstractUI.aspx?menuIndex=3&amp;refID=7194548&amp;Result=3","7194548")</f>
        <v>0</v>
      </c>
      <c r="B435" t="s">
        <v>230</v>
      </c>
      <c r="C435" t="s">
        <v>4307</v>
      </c>
      <c r="D435" t="s">
        <v>19015</v>
      </c>
      <c r="E435" t="s">
        <v>19504</v>
      </c>
      <c r="F435" t="s">
        <v>32606</v>
      </c>
      <c r="G435" t="s">
        <v>32613</v>
      </c>
      <c r="H435" t="s">
        <v>32623</v>
      </c>
      <c r="I435" t="s">
        <v>17648</v>
      </c>
      <c r="J435" t="s">
        <v>33125</v>
      </c>
      <c r="K435" t="s">
        <v>42630</v>
      </c>
      <c r="M435" t="s">
        <v>43131</v>
      </c>
      <c r="N435" t="s">
        <v>47304</v>
      </c>
      <c r="O435" t="s">
        <v>47305</v>
      </c>
      <c r="P435">
        <v>0</v>
      </c>
      <c r="Q435">
        <v>1</v>
      </c>
      <c r="R435" t="s">
        <v>47306</v>
      </c>
      <c r="S435" t="s">
        <v>47414</v>
      </c>
      <c r="T435" t="s">
        <v>48989</v>
      </c>
      <c r="U435" t="s">
        <v>49945</v>
      </c>
      <c r="V435" t="s">
        <v>62700</v>
      </c>
      <c r="W435" t="s">
        <v>43131</v>
      </c>
      <c r="X435" t="s">
        <v>47308</v>
      </c>
    </row>
    <row r="436" spans="1:24">
      <c r="A436">
        <f>HYPERLINK("https://www.philgeps.gov.ph/GEPSNONPILOT/Tender/SplashBidNoticeAbstractUI.aspx?menuIndex=3&amp;refID=7194566&amp;Result=3","7194566")</f>
        <v>0</v>
      </c>
      <c r="B436" t="s">
        <v>228</v>
      </c>
      <c r="C436" t="s">
        <v>4129</v>
      </c>
      <c r="D436" t="s">
        <v>19030</v>
      </c>
      <c r="E436" t="s">
        <v>19505</v>
      </c>
      <c r="F436" t="s">
        <v>32606</v>
      </c>
      <c r="G436" t="s">
        <v>32614</v>
      </c>
      <c r="H436" t="s">
        <v>14201</v>
      </c>
      <c r="I436" t="s">
        <v>4120</v>
      </c>
      <c r="J436" t="s">
        <v>33126</v>
      </c>
      <c r="K436" t="s">
        <v>42622</v>
      </c>
      <c r="M436" t="s">
        <v>43129</v>
      </c>
      <c r="N436" t="s">
        <v>47304</v>
      </c>
      <c r="O436" t="s">
        <v>47305</v>
      </c>
      <c r="P436">
        <v>0</v>
      </c>
      <c r="Q436">
        <v>0</v>
      </c>
      <c r="R436" t="s">
        <v>47306</v>
      </c>
      <c r="S436" t="s">
        <v>47414</v>
      </c>
      <c r="T436" t="s">
        <v>49023</v>
      </c>
      <c r="U436" t="s">
        <v>49946</v>
      </c>
      <c r="W436" t="s">
        <v>43129</v>
      </c>
      <c r="X436" t="s">
        <v>47308</v>
      </c>
    </row>
    <row r="437" spans="1:24">
      <c r="A437">
        <f>HYPERLINK("https://www.philgeps.gov.ph/GEPSNONPILOT/Tender/SplashBidNoticeAbstractUI.aspx?menuIndex=3&amp;refID=7194539&amp;Result=3","7194539")</f>
        <v>0</v>
      </c>
      <c r="B437" t="s">
        <v>231</v>
      </c>
      <c r="C437" t="s">
        <v>4308</v>
      </c>
      <c r="E437" t="s">
        <v>19506</v>
      </c>
      <c r="F437" t="s">
        <v>32606</v>
      </c>
      <c r="G437" t="s">
        <v>32613</v>
      </c>
      <c r="H437" t="s">
        <v>14201</v>
      </c>
      <c r="I437" t="s">
        <v>7677</v>
      </c>
      <c r="J437" t="s">
        <v>33127</v>
      </c>
      <c r="K437" t="s">
        <v>42624</v>
      </c>
      <c r="M437" t="s">
        <v>43132</v>
      </c>
      <c r="N437" t="s">
        <v>47304</v>
      </c>
      <c r="O437" t="s">
        <v>47305</v>
      </c>
      <c r="P437">
        <v>0</v>
      </c>
      <c r="Q437">
        <v>8</v>
      </c>
      <c r="R437" t="s">
        <v>47306</v>
      </c>
      <c r="S437" t="s">
        <v>47414</v>
      </c>
      <c r="T437" t="s">
        <v>49002</v>
      </c>
      <c r="U437" t="s">
        <v>49947</v>
      </c>
      <c r="W437" t="s">
        <v>43132</v>
      </c>
      <c r="X437" t="s">
        <v>47308</v>
      </c>
    </row>
    <row r="438" spans="1:24">
      <c r="A438">
        <f>HYPERLINK("https://www.philgeps.gov.ph/GEPSNONPILOT/Tender/SplashBidNoticeAbstractUI.aspx?menuIndex=3&amp;refID=7194571&amp;Result=3","7194571")</f>
        <v>0</v>
      </c>
      <c r="B438" t="s">
        <v>232</v>
      </c>
      <c r="C438" t="s">
        <v>4309</v>
      </c>
      <c r="D438" t="s">
        <v>19017</v>
      </c>
      <c r="E438" t="s">
        <v>19507</v>
      </c>
      <c r="F438" t="s">
        <v>32606</v>
      </c>
      <c r="G438" t="s">
        <v>32613</v>
      </c>
      <c r="H438" t="s">
        <v>32623</v>
      </c>
      <c r="I438" t="s">
        <v>17648</v>
      </c>
      <c r="J438" t="s">
        <v>33128</v>
      </c>
      <c r="K438" t="s">
        <v>42670</v>
      </c>
      <c r="M438" t="s">
        <v>43133</v>
      </c>
      <c r="N438" t="s">
        <v>47304</v>
      </c>
      <c r="O438" t="s">
        <v>47305</v>
      </c>
      <c r="P438">
        <v>0</v>
      </c>
      <c r="Q438">
        <v>0</v>
      </c>
      <c r="R438" t="s">
        <v>47306</v>
      </c>
      <c r="S438" t="s">
        <v>47414</v>
      </c>
      <c r="T438" t="s">
        <v>49069</v>
      </c>
      <c r="U438" t="s">
        <v>49948</v>
      </c>
      <c r="W438" t="s">
        <v>43133</v>
      </c>
      <c r="X438" t="s">
        <v>47308</v>
      </c>
    </row>
    <row r="439" spans="1:24">
      <c r="A439">
        <f>HYPERLINK("https://www.philgeps.gov.ph/GEPSNONPILOT/Tender/SplashBidNoticeAbstractUI.aspx?menuIndex=3&amp;refID=7194562&amp;Result=3","7194562")</f>
        <v>0</v>
      </c>
      <c r="B439" t="s">
        <v>217</v>
      </c>
      <c r="C439" t="s">
        <v>4310</v>
      </c>
      <c r="D439" t="s">
        <v>19049</v>
      </c>
      <c r="E439" t="s">
        <v>19508</v>
      </c>
      <c r="F439" t="s">
        <v>32606</v>
      </c>
      <c r="G439" t="s">
        <v>32614</v>
      </c>
      <c r="H439" t="s">
        <v>14201</v>
      </c>
      <c r="I439" t="s">
        <v>32638</v>
      </c>
      <c r="J439" t="s">
        <v>33129</v>
      </c>
      <c r="K439" t="s">
        <v>42636</v>
      </c>
      <c r="M439" t="s">
        <v>43118</v>
      </c>
      <c r="N439" t="s">
        <v>47304</v>
      </c>
      <c r="O439" t="s">
        <v>47305</v>
      </c>
      <c r="P439">
        <v>0</v>
      </c>
      <c r="Q439">
        <v>4</v>
      </c>
      <c r="R439" t="s">
        <v>47306</v>
      </c>
      <c r="S439" t="s">
        <v>47414</v>
      </c>
      <c r="T439" t="s">
        <v>48980</v>
      </c>
      <c r="U439" t="s">
        <v>49949</v>
      </c>
      <c r="W439" t="s">
        <v>43118</v>
      </c>
      <c r="X439" t="s">
        <v>47308</v>
      </c>
    </row>
    <row r="440" spans="1:24">
      <c r="A440">
        <f>HYPERLINK("https://www.philgeps.gov.ph/GEPSNONPILOT/Tender/SplashBidNoticeAbstractUI.aspx?menuIndex=3&amp;refID=7194570&amp;Result=3","7194570")</f>
        <v>0</v>
      </c>
      <c r="B440" t="s">
        <v>228</v>
      </c>
      <c r="C440" t="s">
        <v>4311</v>
      </c>
      <c r="D440" t="s">
        <v>19030</v>
      </c>
      <c r="E440" t="s">
        <v>19509</v>
      </c>
      <c r="F440" t="s">
        <v>32606</v>
      </c>
      <c r="G440" t="s">
        <v>32614</v>
      </c>
      <c r="H440" t="s">
        <v>32623</v>
      </c>
      <c r="I440" t="s">
        <v>17648</v>
      </c>
      <c r="J440" t="s">
        <v>32789</v>
      </c>
      <c r="K440" t="s">
        <v>42639</v>
      </c>
      <c r="M440" t="s">
        <v>43129</v>
      </c>
      <c r="N440" t="s">
        <v>47304</v>
      </c>
      <c r="O440" t="s">
        <v>47305</v>
      </c>
      <c r="P440">
        <v>0</v>
      </c>
      <c r="Q440">
        <v>0</v>
      </c>
      <c r="R440" t="s">
        <v>47306</v>
      </c>
      <c r="S440" t="s">
        <v>47414</v>
      </c>
      <c r="T440" t="s">
        <v>49023</v>
      </c>
      <c r="U440" t="s">
        <v>49950</v>
      </c>
      <c r="W440" t="s">
        <v>43129</v>
      </c>
      <c r="X440" t="s">
        <v>47308</v>
      </c>
    </row>
    <row r="441" spans="1:24">
      <c r="A441">
        <f>HYPERLINK("https://www.philgeps.gov.ph/GEPSNONPILOT/Tender/SplashBidNoticeAbstractUI.aspx?menuIndex=3&amp;refID=7194558&amp;Result=3","7194558")</f>
        <v>0</v>
      </c>
      <c r="B441" t="s">
        <v>233</v>
      </c>
      <c r="C441" t="s">
        <v>4312</v>
      </c>
      <c r="D441" t="s">
        <v>18997</v>
      </c>
      <c r="E441" t="s">
        <v>19510</v>
      </c>
      <c r="F441" t="s">
        <v>32606</v>
      </c>
      <c r="G441" t="s">
        <v>32615</v>
      </c>
      <c r="H441" t="s">
        <v>14201</v>
      </c>
      <c r="I441" t="s">
        <v>6931</v>
      </c>
      <c r="J441" t="s">
        <v>33130</v>
      </c>
      <c r="K441" t="s">
        <v>42631</v>
      </c>
      <c r="M441" t="s">
        <v>43134</v>
      </c>
      <c r="N441" t="s">
        <v>47304</v>
      </c>
      <c r="O441" t="s">
        <v>47305</v>
      </c>
      <c r="P441">
        <v>0</v>
      </c>
      <c r="Q441">
        <v>0</v>
      </c>
      <c r="R441" t="s">
        <v>47306</v>
      </c>
      <c r="S441" t="s">
        <v>47414</v>
      </c>
      <c r="T441" t="s">
        <v>49023</v>
      </c>
      <c r="U441" t="s">
        <v>49951</v>
      </c>
      <c r="W441" t="s">
        <v>43134</v>
      </c>
      <c r="X441" t="s">
        <v>47308</v>
      </c>
    </row>
    <row r="442" spans="1:24">
      <c r="A442">
        <f>HYPERLINK("https://www.philgeps.gov.ph/GEPSNONPILOT/Tender/SplashBidNoticeAbstractUI.aspx?menuIndex=3&amp;refID=7194565&amp;Result=3","7194565")</f>
        <v>0</v>
      </c>
      <c r="B442" t="s">
        <v>234</v>
      </c>
      <c r="C442" t="s">
        <v>4229</v>
      </c>
      <c r="D442" t="s">
        <v>19052</v>
      </c>
      <c r="E442" t="s">
        <v>19511</v>
      </c>
      <c r="F442" t="s">
        <v>32606</v>
      </c>
      <c r="G442" t="s">
        <v>32614</v>
      </c>
      <c r="H442" t="s">
        <v>14201</v>
      </c>
      <c r="I442" t="s">
        <v>4678</v>
      </c>
      <c r="J442" t="s">
        <v>33131</v>
      </c>
      <c r="K442" t="s">
        <v>42631</v>
      </c>
      <c r="M442" t="s">
        <v>43135</v>
      </c>
      <c r="N442" t="s">
        <v>47304</v>
      </c>
      <c r="O442" t="s">
        <v>47305</v>
      </c>
      <c r="P442">
        <v>0</v>
      </c>
      <c r="Q442">
        <v>2</v>
      </c>
      <c r="R442" t="s">
        <v>47306</v>
      </c>
      <c r="S442" t="s">
        <v>47414</v>
      </c>
      <c r="T442" t="s">
        <v>49050</v>
      </c>
      <c r="U442" t="s">
        <v>49952</v>
      </c>
      <c r="V442" t="s">
        <v>62641</v>
      </c>
      <c r="W442" t="s">
        <v>43135</v>
      </c>
      <c r="X442" t="s">
        <v>47308</v>
      </c>
    </row>
    <row r="443" spans="1:24">
      <c r="A443">
        <f>HYPERLINK("https://www.philgeps.gov.ph/GEPSNONPILOT/Tender/SplashBidNoticeAbstractUI.aspx?menuIndex=3&amp;refID=7194557&amp;Result=3","7194557")</f>
        <v>0</v>
      </c>
      <c r="B443" t="s">
        <v>235</v>
      </c>
      <c r="C443" t="s">
        <v>4313</v>
      </c>
      <c r="D443" t="s">
        <v>19001</v>
      </c>
      <c r="E443" t="s">
        <v>19512</v>
      </c>
      <c r="F443" t="s">
        <v>32606</v>
      </c>
      <c r="G443" t="s">
        <v>32614</v>
      </c>
      <c r="H443" t="s">
        <v>14201</v>
      </c>
      <c r="I443" t="s">
        <v>6931</v>
      </c>
      <c r="J443" t="s">
        <v>33047</v>
      </c>
      <c r="K443" t="s">
        <v>42623</v>
      </c>
      <c r="M443" t="s">
        <v>43136</v>
      </c>
      <c r="N443" t="s">
        <v>47304</v>
      </c>
      <c r="O443" t="s">
        <v>47305</v>
      </c>
      <c r="P443">
        <v>0</v>
      </c>
      <c r="Q443">
        <v>0</v>
      </c>
      <c r="R443" t="s">
        <v>47306</v>
      </c>
      <c r="S443" t="s">
        <v>47414</v>
      </c>
      <c r="T443" t="s">
        <v>48980</v>
      </c>
      <c r="U443" t="s">
        <v>49953</v>
      </c>
      <c r="V443" t="s">
        <v>62701</v>
      </c>
      <c r="W443" t="s">
        <v>43136</v>
      </c>
      <c r="X443" t="s">
        <v>47308</v>
      </c>
    </row>
    <row r="444" spans="1:24">
      <c r="A444">
        <f>HYPERLINK("https://www.philgeps.gov.ph/GEPSNONPILOT/Tender/SplashBidNoticeAbstractUI.aspx?menuIndex=3&amp;refID=7194555&amp;Result=3","7194555")</f>
        <v>0</v>
      </c>
      <c r="B444" t="s">
        <v>236</v>
      </c>
      <c r="C444" t="s">
        <v>4314</v>
      </c>
      <c r="D444" t="s">
        <v>19018</v>
      </c>
      <c r="E444" t="s">
        <v>19513</v>
      </c>
      <c r="F444" t="s">
        <v>32606</v>
      </c>
      <c r="G444" t="s">
        <v>32613</v>
      </c>
      <c r="H444" t="s">
        <v>14201</v>
      </c>
      <c r="I444" t="s">
        <v>32631</v>
      </c>
      <c r="J444" t="s">
        <v>32778</v>
      </c>
      <c r="K444" t="s">
        <v>42623</v>
      </c>
      <c r="M444" t="s">
        <v>43137</v>
      </c>
      <c r="N444" t="s">
        <v>47304</v>
      </c>
      <c r="O444" t="s">
        <v>47305</v>
      </c>
      <c r="P444">
        <v>0</v>
      </c>
      <c r="Q444">
        <v>0</v>
      </c>
      <c r="R444" t="s">
        <v>47306</v>
      </c>
      <c r="S444" t="s">
        <v>47414</v>
      </c>
      <c r="T444" t="s">
        <v>48995</v>
      </c>
      <c r="U444" t="s">
        <v>49954</v>
      </c>
      <c r="W444" t="s">
        <v>43137</v>
      </c>
      <c r="X444" t="s">
        <v>47308</v>
      </c>
    </row>
    <row r="445" spans="1:24">
      <c r="A445">
        <f>HYPERLINK("https://www.philgeps.gov.ph/GEPSNONPILOT/Tender/SplashBidNoticeAbstractUI.aspx?menuIndex=3&amp;refID=7194564&amp;Result=3","7194564")</f>
        <v>0</v>
      </c>
      <c r="B445" t="s">
        <v>237</v>
      </c>
      <c r="C445" t="s">
        <v>4315</v>
      </c>
      <c r="E445" t="s">
        <v>19514</v>
      </c>
      <c r="F445" t="s">
        <v>32606</v>
      </c>
      <c r="G445" t="s">
        <v>32617</v>
      </c>
      <c r="H445" t="s">
        <v>14201</v>
      </c>
      <c r="I445" t="s">
        <v>4120</v>
      </c>
      <c r="J445" t="s">
        <v>33132</v>
      </c>
      <c r="K445" t="s">
        <v>42630</v>
      </c>
      <c r="M445" t="s">
        <v>43138</v>
      </c>
      <c r="N445" t="s">
        <v>47304</v>
      </c>
      <c r="O445" t="s">
        <v>47305</v>
      </c>
      <c r="P445">
        <v>0</v>
      </c>
      <c r="Q445">
        <v>2</v>
      </c>
      <c r="R445" t="s">
        <v>47306</v>
      </c>
      <c r="S445" t="s">
        <v>47414</v>
      </c>
      <c r="T445" t="s">
        <v>48986</v>
      </c>
      <c r="U445" t="s">
        <v>49955</v>
      </c>
      <c r="V445" t="s">
        <v>62702</v>
      </c>
      <c r="W445" t="s">
        <v>43138</v>
      </c>
      <c r="X445" t="s">
        <v>47308</v>
      </c>
    </row>
    <row r="446" spans="1:24">
      <c r="A446">
        <f>HYPERLINK("https://www.philgeps.gov.ph/GEPSNONPILOT/Tender/SplashBidNoticeAbstractUI.aspx?menuIndex=3&amp;refID=7194554&amp;Result=3","7194554")</f>
        <v>0</v>
      </c>
      <c r="B446" t="s">
        <v>76</v>
      </c>
      <c r="C446" t="s">
        <v>4316</v>
      </c>
      <c r="D446" t="s">
        <v>19010</v>
      </c>
      <c r="E446" t="s">
        <v>19515</v>
      </c>
      <c r="F446" t="s">
        <v>32606</v>
      </c>
      <c r="G446" t="s">
        <v>32613</v>
      </c>
      <c r="H446" t="s">
        <v>14201</v>
      </c>
      <c r="I446" t="s">
        <v>4120</v>
      </c>
      <c r="J446" t="s">
        <v>33133</v>
      </c>
      <c r="K446" t="s">
        <v>42624</v>
      </c>
      <c r="M446" t="s">
        <v>42973</v>
      </c>
      <c r="N446" t="s">
        <v>47304</v>
      </c>
      <c r="O446" t="s">
        <v>47305</v>
      </c>
      <c r="P446">
        <v>0</v>
      </c>
      <c r="Q446">
        <v>0</v>
      </c>
      <c r="R446" t="s">
        <v>47306</v>
      </c>
      <c r="S446" t="s">
        <v>47414</v>
      </c>
      <c r="T446" t="s">
        <v>49011</v>
      </c>
      <c r="U446" t="s">
        <v>49956</v>
      </c>
      <c r="W446" t="s">
        <v>64421</v>
      </c>
      <c r="X446" t="s">
        <v>47308</v>
      </c>
    </row>
    <row r="447" spans="1:24">
      <c r="A447">
        <f>HYPERLINK("https://www.philgeps.gov.ph/GEPSNONPILOT/Tender/SplashBidNoticeAbstractUI.aspx?menuIndex=3&amp;refID=7194553&amp;Result=3","7194553")</f>
        <v>0</v>
      </c>
      <c r="B447" t="s">
        <v>232</v>
      </c>
      <c r="C447" t="s">
        <v>4317</v>
      </c>
      <c r="D447" t="s">
        <v>19017</v>
      </c>
      <c r="E447" t="s">
        <v>19516</v>
      </c>
      <c r="F447" t="s">
        <v>32606</v>
      </c>
      <c r="G447" t="s">
        <v>32613</v>
      </c>
      <c r="H447" t="s">
        <v>32623</v>
      </c>
      <c r="I447" t="s">
        <v>17648</v>
      </c>
      <c r="J447" t="s">
        <v>32795</v>
      </c>
      <c r="K447" t="s">
        <v>42671</v>
      </c>
      <c r="M447" t="s">
        <v>43133</v>
      </c>
      <c r="N447" t="s">
        <v>47304</v>
      </c>
      <c r="O447" t="s">
        <v>47305</v>
      </c>
      <c r="P447">
        <v>0</v>
      </c>
      <c r="Q447">
        <v>0</v>
      </c>
      <c r="R447" t="s">
        <v>47306</v>
      </c>
      <c r="S447" t="s">
        <v>47414</v>
      </c>
      <c r="T447" t="s">
        <v>48995</v>
      </c>
      <c r="U447" t="s">
        <v>49957</v>
      </c>
      <c r="W447" t="s">
        <v>43133</v>
      </c>
      <c r="X447" t="s">
        <v>47308</v>
      </c>
    </row>
    <row r="448" spans="1:24">
      <c r="A448">
        <f>HYPERLINK("https://www.philgeps.gov.ph/GEPSNONPILOT/Tender/SplashBidNoticeAbstractUI.aspx?menuIndex=3&amp;refID=7194561&amp;Result=3","7194561")</f>
        <v>0</v>
      </c>
      <c r="B448" t="s">
        <v>221</v>
      </c>
      <c r="C448" t="s">
        <v>4318</v>
      </c>
      <c r="D448" t="s">
        <v>19005</v>
      </c>
      <c r="E448" t="s">
        <v>19517</v>
      </c>
      <c r="F448" t="s">
        <v>32606</v>
      </c>
      <c r="G448" t="s">
        <v>32614</v>
      </c>
      <c r="H448" t="s">
        <v>14201</v>
      </c>
      <c r="I448" t="s">
        <v>32640</v>
      </c>
      <c r="J448" t="s">
        <v>33134</v>
      </c>
      <c r="K448" t="s">
        <v>42622</v>
      </c>
      <c r="M448" t="s">
        <v>43122</v>
      </c>
      <c r="N448" t="s">
        <v>47304</v>
      </c>
      <c r="O448" t="s">
        <v>47305</v>
      </c>
      <c r="P448">
        <v>0</v>
      </c>
      <c r="Q448">
        <v>1</v>
      </c>
      <c r="R448" t="s">
        <v>47306</v>
      </c>
      <c r="S448" t="s">
        <v>47414</v>
      </c>
      <c r="T448" t="s">
        <v>48980</v>
      </c>
      <c r="U448" t="s">
        <v>49958</v>
      </c>
      <c r="W448" t="s">
        <v>43122</v>
      </c>
      <c r="X448" t="s">
        <v>47308</v>
      </c>
    </row>
    <row r="449" spans="1:24">
      <c r="A449">
        <f>HYPERLINK("https://www.philgeps.gov.ph/GEPSNONPILOT/Tender/SplashBidNoticeAbstractUI.aspx?menuIndex=3&amp;refID=7194575&amp;Result=3","7194575")</f>
        <v>0</v>
      </c>
      <c r="B449" t="s">
        <v>76</v>
      </c>
      <c r="C449" t="s">
        <v>4319</v>
      </c>
      <c r="D449" t="s">
        <v>19010</v>
      </c>
      <c r="E449" t="s">
        <v>19518</v>
      </c>
      <c r="F449" t="s">
        <v>32606</v>
      </c>
      <c r="G449" t="s">
        <v>32613</v>
      </c>
      <c r="H449" t="s">
        <v>14201</v>
      </c>
      <c r="I449" t="s">
        <v>6014</v>
      </c>
      <c r="J449" t="s">
        <v>33135</v>
      </c>
      <c r="K449" t="s">
        <v>42624</v>
      </c>
      <c r="M449" t="s">
        <v>42973</v>
      </c>
      <c r="N449" t="s">
        <v>47304</v>
      </c>
      <c r="O449" t="s">
        <v>47305</v>
      </c>
      <c r="P449">
        <v>0</v>
      </c>
      <c r="Q449">
        <v>1</v>
      </c>
      <c r="R449" t="s">
        <v>47306</v>
      </c>
      <c r="S449" t="s">
        <v>47414</v>
      </c>
      <c r="T449" t="s">
        <v>49011</v>
      </c>
      <c r="U449" t="s">
        <v>49959</v>
      </c>
      <c r="W449" t="s">
        <v>64421</v>
      </c>
      <c r="X449" t="s">
        <v>47308</v>
      </c>
    </row>
    <row r="450" spans="1:24">
      <c r="A450">
        <f>HYPERLINK("https://www.philgeps.gov.ph/GEPSNONPILOT/Tender/SplashBidNoticeAbstractUI.aspx?menuIndex=3&amp;refID=7194601&amp;Result=3","7194601")</f>
        <v>0</v>
      </c>
      <c r="B450" t="s">
        <v>238</v>
      </c>
      <c r="C450" t="s">
        <v>4320</v>
      </c>
      <c r="D450" t="s">
        <v>18993</v>
      </c>
      <c r="E450" t="s">
        <v>19519</v>
      </c>
      <c r="F450" t="s">
        <v>32606</v>
      </c>
      <c r="G450" t="s">
        <v>32619</v>
      </c>
      <c r="H450" t="s">
        <v>14201</v>
      </c>
      <c r="I450" t="s">
        <v>6298</v>
      </c>
      <c r="J450" t="s">
        <v>33136</v>
      </c>
      <c r="K450" t="s">
        <v>42622</v>
      </c>
      <c r="M450" t="s">
        <v>43139</v>
      </c>
      <c r="N450" t="s">
        <v>47304</v>
      </c>
      <c r="O450" t="s">
        <v>47305</v>
      </c>
      <c r="P450">
        <v>0</v>
      </c>
      <c r="Q450">
        <v>1</v>
      </c>
      <c r="R450" t="s">
        <v>47306</v>
      </c>
      <c r="S450" t="s">
        <v>47414</v>
      </c>
      <c r="T450" t="s">
        <v>49070</v>
      </c>
      <c r="U450" t="s">
        <v>49960</v>
      </c>
      <c r="V450" t="s">
        <v>62703</v>
      </c>
      <c r="W450" t="s">
        <v>43139</v>
      </c>
      <c r="X450" t="s">
        <v>47308</v>
      </c>
    </row>
    <row r="451" spans="1:24">
      <c r="A451">
        <f>HYPERLINK("https://www.philgeps.gov.ph/GEPSNONPILOT/Tender/SplashBidNoticeAbstractUI.aspx?menuIndex=3&amp;refID=7194556&amp;Result=3","7194556")</f>
        <v>0</v>
      </c>
      <c r="B451" t="s">
        <v>239</v>
      </c>
      <c r="C451" t="s">
        <v>4129</v>
      </c>
      <c r="D451" t="s">
        <v>19010</v>
      </c>
      <c r="E451" t="s">
        <v>19520</v>
      </c>
      <c r="F451" t="s">
        <v>32606</v>
      </c>
      <c r="G451" t="s">
        <v>32613</v>
      </c>
      <c r="H451" t="s">
        <v>14201</v>
      </c>
      <c r="I451" t="s">
        <v>4120</v>
      </c>
      <c r="J451" t="s">
        <v>32999</v>
      </c>
      <c r="K451" t="s">
        <v>42630</v>
      </c>
      <c r="M451" t="s">
        <v>43140</v>
      </c>
      <c r="N451" t="s">
        <v>47304</v>
      </c>
      <c r="O451" t="s">
        <v>47305</v>
      </c>
      <c r="P451">
        <v>0</v>
      </c>
      <c r="Q451">
        <v>1</v>
      </c>
      <c r="R451" t="s">
        <v>47306</v>
      </c>
      <c r="S451" t="s">
        <v>47414</v>
      </c>
      <c r="T451" t="s">
        <v>48987</v>
      </c>
      <c r="U451" t="s">
        <v>49961</v>
      </c>
      <c r="W451" t="s">
        <v>43140</v>
      </c>
      <c r="X451" t="s">
        <v>47308</v>
      </c>
    </row>
    <row r="452" spans="1:24">
      <c r="A452">
        <f>HYPERLINK("https://www.philgeps.gov.ph/GEPSNONPILOT/Tender/SplashBidNoticeAbstractUI.aspx?menuIndex=3&amp;refID=7194598&amp;Result=3","7194598")</f>
        <v>0</v>
      </c>
      <c r="B452" t="s">
        <v>240</v>
      </c>
      <c r="C452" t="s">
        <v>4321</v>
      </c>
      <c r="D452" t="s">
        <v>19019</v>
      </c>
      <c r="E452" t="s">
        <v>19521</v>
      </c>
      <c r="F452" t="s">
        <v>32606</v>
      </c>
      <c r="G452" t="s">
        <v>32619</v>
      </c>
      <c r="H452" t="s">
        <v>14201</v>
      </c>
      <c r="I452" t="s">
        <v>6298</v>
      </c>
      <c r="J452" t="s">
        <v>33137</v>
      </c>
      <c r="K452" t="s">
        <v>42625</v>
      </c>
      <c r="M452" t="s">
        <v>43141</v>
      </c>
      <c r="N452" t="s">
        <v>47304</v>
      </c>
      <c r="O452" t="s">
        <v>47305</v>
      </c>
      <c r="P452">
        <v>0</v>
      </c>
      <c r="Q452">
        <v>0</v>
      </c>
      <c r="R452" t="s">
        <v>47306</v>
      </c>
      <c r="S452" t="s">
        <v>47414</v>
      </c>
      <c r="T452" t="s">
        <v>49047</v>
      </c>
      <c r="U452" t="s">
        <v>49962</v>
      </c>
      <c r="V452" t="s">
        <v>62704</v>
      </c>
      <c r="W452" t="s">
        <v>43141</v>
      </c>
      <c r="X452" t="s">
        <v>47308</v>
      </c>
    </row>
    <row r="453" spans="1:24">
      <c r="A453">
        <f>HYPERLINK("https://www.philgeps.gov.ph/GEPSNONPILOT/Tender/SplashBidNoticeAbstractUI.aspx?menuIndex=3&amp;refID=7194549&amp;Result=3","7194549")</f>
        <v>0</v>
      </c>
      <c r="B453" t="s">
        <v>241</v>
      </c>
      <c r="C453" t="s">
        <v>4322</v>
      </c>
      <c r="D453" t="s">
        <v>19024</v>
      </c>
      <c r="E453" t="s">
        <v>19522</v>
      </c>
      <c r="F453" t="s">
        <v>32606</v>
      </c>
      <c r="G453" t="s">
        <v>32619</v>
      </c>
      <c r="H453" t="s">
        <v>14201</v>
      </c>
      <c r="I453" t="s">
        <v>6993</v>
      </c>
      <c r="J453" t="s">
        <v>32811</v>
      </c>
      <c r="K453" t="s">
        <v>42630</v>
      </c>
      <c r="M453" t="s">
        <v>43142</v>
      </c>
      <c r="N453" t="s">
        <v>47304</v>
      </c>
      <c r="O453" t="s">
        <v>47305</v>
      </c>
      <c r="P453">
        <v>0</v>
      </c>
      <c r="Q453">
        <v>0</v>
      </c>
      <c r="R453" t="s">
        <v>47306</v>
      </c>
      <c r="S453" t="s">
        <v>47414</v>
      </c>
      <c r="T453" t="s">
        <v>49071</v>
      </c>
      <c r="U453" t="s">
        <v>49963</v>
      </c>
      <c r="W453" t="s">
        <v>43142</v>
      </c>
      <c r="X453" t="s">
        <v>47308</v>
      </c>
    </row>
    <row r="454" spans="1:24">
      <c r="A454">
        <f>HYPERLINK("https://www.philgeps.gov.ph/GEPSNONPILOT/Tender/SplashBidNoticeAbstractUI.aspx?menuIndex=3&amp;refID=7194596&amp;Result=3","7194596")</f>
        <v>0</v>
      </c>
      <c r="B454" t="s">
        <v>242</v>
      </c>
      <c r="C454" t="s">
        <v>4323</v>
      </c>
      <c r="D454" t="s">
        <v>19019</v>
      </c>
      <c r="E454" t="s">
        <v>19523</v>
      </c>
      <c r="F454" t="s">
        <v>32606</v>
      </c>
      <c r="G454" t="s">
        <v>32619</v>
      </c>
      <c r="H454" t="s">
        <v>14201</v>
      </c>
      <c r="I454" t="s">
        <v>4114</v>
      </c>
      <c r="J454" t="s">
        <v>33138</v>
      </c>
      <c r="K454" t="s">
        <v>42663</v>
      </c>
      <c r="M454" t="s">
        <v>43143</v>
      </c>
      <c r="N454" t="s">
        <v>47304</v>
      </c>
      <c r="O454" t="s">
        <v>47305</v>
      </c>
      <c r="P454">
        <v>0</v>
      </c>
      <c r="Q454">
        <v>2</v>
      </c>
      <c r="R454" t="s">
        <v>47306</v>
      </c>
      <c r="S454" t="s">
        <v>47414</v>
      </c>
      <c r="T454" t="s">
        <v>49072</v>
      </c>
      <c r="U454" t="s">
        <v>49964</v>
      </c>
      <c r="W454" t="s">
        <v>43143</v>
      </c>
      <c r="X454" t="s">
        <v>47308</v>
      </c>
    </row>
    <row r="455" spans="1:24">
      <c r="A455">
        <f>HYPERLINK("https://www.philgeps.gov.ph/GEPSNONPILOT/Tender/SplashBidNoticeAbstractUI.aspx?menuIndex=3&amp;refID=7194551&amp;Result=3","7194551")</f>
        <v>0</v>
      </c>
      <c r="B455" t="s">
        <v>243</v>
      </c>
      <c r="C455" t="s">
        <v>4324</v>
      </c>
      <c r="D455" t="s">
        <v>19027</v>
      </c>
      <c r="E455" t="s">
        <v>19524</v>
      </c>
      <c r="F455" t="s">
        <v>32606</v>
      </c>
      <c r="G455" t="s">
        <v>32619</v>
      </c>
      <c r="H455" t="s">
        <v>14201</v>
      </c>
      <c r="I455" t="s">
        <v>6931</v>
      </c>
      <c r="J455" t="s">
        <v>33139</v>
      </c>
      <c r="K455" t="s">
        <v>42624</v>
      </c>
      <c r="M455" t="s">
        <v>43144</v>
      </c>
      <c r="N455" t="s">
        <v>47304</v>
      </c>
      <c r="O455" t="s">
        <v>47305</v>
      </c>
      <c r="P455">
        <v>0</v>
      </c>
      <c r="Q455">
        <v>0</v>
      </c>
      <c r="R455" t="s">
        <v>47306</v>
      </c>
      <c r="S455" t="s">
        <v>47414</v>
      </c>
      <c r="T455" t="s">
        <v>48996</v>
      </c>
      <c r="U455" t="s">
        <v>49965</v>
      </c>
      <c r="W455" t="s">
        <v>43144</v>
      </c>
      <c r="X455" t="s">
        <v>47308</v>
      </c>
    </row>
    <row r="456" spans="1:24">
      <c r="A456">
        <f>HYPERLINK("https://www.philgeps.gov.ph/GEPSNONPILOT/Tender/SplashBidNoticeAbstractUI.aspx?menuIndex=3&amp;refID=7194569&amp;Result=3","7194569")</f>
        <v>0</v>
      </c>
      <c r="B456" t="s">
        <v>244</v>
      </c>
      <c r="C456" t="s">
        <v>4325</v>
      </c>
      <c r="D456" t="s">
        <v>18989</v>
      </c>
      <c r="E456" t="s">
        <v>19525</v>
      </c>
      <c r="F456" t="s">
        <v>32606</v>
      </c>
      <c r="G456" t="s">
        <v>32614</v>
      </c>
      <c r="H456" t="s">
        <v>14201</v>
      </c>
      <c r="I456" t="s">
        <v>9008</v>
      </c>
      <c r="J456" t="s">
        <v>33140</v>
      </c>
      <c r="K456" t="s">
        <v>42636</v>
      </c>
      <c r="M456" t="s">
        <v>43145</v>
      </c>
      <c r="N456" t="s">
        <v>47304</v>
      </c>
      <c r="O456" t="s">
        <v>47305</v>
      </c>
      <c r="P456">
        <v>0</v>
      </c>
      <c r="Q456">
        <v>1</v>
      </c>
      <c r="R456" t="s">
        <v>47306</v>
      </c>
      <c r="S456" t="s">
        <v>47414</v>
      </c>
      <c r="T456" t="s">
        <v>48979</v>
      </c>
      <c r="U456" t="s">
        <v>49966</v>
      </c>
      <c r="W456" t="s">
        <v>64424</v>
      </c>
      <c r="X456" t="s">
        <v>47308</v>
      </c>
    </row>
    <row r="457" spans="1:24">
      <c r="A457">
        <f>HYPERLINK("https://www.philgeps.gov.ph/GEPSNONPILOT/Tender/SplashBidNoticeAbstractUI.aspx?menuIndex=3&amp;refID=7194592&amp;Result=3","7194592")</f>
        <v>0</v>
      </c>
      <c r="B457" t="s">
        <v>232</v>
      </c>
      <c r="C457" t="s">
        <v>4326</v>
      </c>
      <c r="D457" t="s">
        <v>19017</v>
      </c>
      <c r="E457" t="s">
        <v>19526</v>
      </c>
      <c r="F457" t="s">
        <v>32606</v>
      </c>
      <c r="G457" t="s">
        <v>32613</v>
      </c>
      <c r="H457" t="s">
        <v>32623</v>
      </c>
      <c r="I457" t="s">
        <v>17648</v>
      </c>
      <c r="J457" t="s">
        <v>33141</v>
      </c>
      <c r="K457" t="s">
        <v>42672</v>
      </c>
      <c r="M457" t="s">
        <v>43133</v>
      </c>
      <c r="N457" t="s">
        <v>47304</v>
      </c>
      <c r="O457" t="s">
        <v>47305</v>
      </c>
      <c r="P457">
        <v>0</v>
      </c>
      <c r="Q457">
        <v>0</v>
      </c>
      <c r="R457" t="s">
        <v>47306</v>
      </c>
      <c r="S457" t="s">
        <v>47414</v>
      </c>
      <c r="T457" t="s">
        <v>48995</v>
      </c>
      <c r="U457" t="s">
        <v>49967</v>
      </c>
      <c r="W457" t="s">
        <v>43133</v>
      </c>
      <c r="X457" t="s">
        <v>47308</v>
      </c>
    </row>
    <row r="458" spans="1:24">
      <c r="A458">
        <f>HYPERLINK("https://www.philgeps.gov.ph/GEPSNONPILOT/Tender/SplashBidNoticeAbstractUI.aspx?menuIndex=3&amp;refID=7194591&amp;Result=3","7194591")</f>
        <v>0</v>
      </c>
      <c r="B458" t="s">
        <v>173</v>
      </c>
      <c r="C458" t="s">
        <v>4327</v>
      </c>
      <c r="E458" t="s">
        <v>19527</v>
      </c>
      <c r="F458" t="s">
        <v>32606</v>
      </c>
      <c r="G458" t="s">
        <v>32615</v>
      </c>
      <c r="H458" t="s">
        <v>14201</v>
      </c>
      <c r="I458" t="s">
        <v>4120</v>
      </c>
      <c r="J458" t="s">
        <v>33142</v>
      </c>
      <c r="K458" t="s">
        <v>42624</v>
      </c>
      <c r="M458" t="s">
        <v>43074</v>
      </c>
      <c r="N458" t="s">
        <v>47304</v>
      </c>
      <c r="O458" t="s">
        <v>47305</v>
      </c>
      <c r="P458">
        <v>0</v>
      </c>
      <c r="Q458">
        <v>1</v>
      </c>
      <c r="R458" t="s">
        <v>47306</v>
      </c>
      <c r="S458" t="s">
        <v>47414</v>
      </c>
      <c r="T458" t="s">
        <v>49010</v>
      </c>
      <c r="U458" t="s">
        <v>49968</v>
      </c>
      <c r="W458" t="s">
        <v>43074</v>
      </c>
      <c r="X458" t="s">
        <v>47308</v>
      </c>
    </row>
    <row r="459" spans="1:24">
      <c r="A459">
        <f>HYPERLINK("https://www.philgeps.gov.ph/GEPSNONPILOT/Tender/SplashBidNoticeAbstractUI.aspx?menuIndex=3&amp;refID=7194590&amp;Result=3","7194590")</f>
        <v>0</v>
      </c>
      <c r="B459" t="s">
        <v>245</v>
      </c>
      <c r="C459" t="s">
        <v>4328</v>
      </c>
      <c r="D459" t="s">
        <v>19007</v>
      </c>
      <c r="E459" t="s">
        <v>19528</v>
      </c>
      <c r="F459" t="s">
        <v>32606</v>
      </c>
      <c r="G459" t="s">
        <v>32619</v>
      </c>
      <c r="H459" t="s">
        <v>14201</v>
      </c>
      <c r="I459" t="s">
        <v>8682</v>
      </c>
      <c r="J459" t="s">
        <v>32913</v>
      </c>
      <c r="K459" t="s">
        <v>42623</v>
      </c>
      <c r="M459" t="s">
        <v>43146</v>
      </c>
      <c r="N459" t="s">
        <v>47304</v>
      </c>
      <c r="O459" t="s">
        <v>47305</v>
      </c>
      <c r="P459">
        <v>0</v>
      </c>
      <c r="Q459">
        <v>1</v>
      </c>
      <c r="R459" t="s">
        <v>47306</v>
      </c>
      <c r="S459" t="s">
        <v>47414</v>
      </c>
      <c r="T459" t="s">
        <v>49023</v>
      </c>
      <c r="U459" t="s">
        <v>49969</v>
      </c>
      <c r="W459" t="s">
        <v>43146</v>
      </c>
      <c r="X459" t="s">
        <v>47308</v>
      </c>
    </row>
    <row r="460" spans="1:24">
      <c r="A460">
        <f>HYPERLINK("https://www.philgeps.gov.ph/GEPSNONPILOT/Tender/SplashBidNoticeAbstractUI.aspx?menuIndex=3&amp;refID=7194588&amp;Result=3","7194588")</f>
        <v>0</v>
      </c>
      <c r="B460" t="s">
        <v>156</v>
      </c>
      <c r="C460" t="s">
        <v>4251</v>
      </c>
      <c r="E460" t="s">
        <v>19529</v>
      </c>
      <c r="F460" t="s">
        <v>32606</v>
      </c>
      <c r="G460" t="s">
        <v>32613</v>
      </c>
      <c r="H460" t="s">
        <v>14201</v>
      </c>
      <c r="I460" t="s">
        <v>6931</v>
      </c>
      <c r="J460" t="s">
        <v>33143</v>
      </c>
      <c r="K460" t="s">
        <v>42664</v>
      </c>
      <c r="M460" t="s">
        <v>43057</v>
      </c>
      <c r="N460" t="s">
        <v>47304</v>
      </c>
      <c r="O460" t="s">
        <v>47305</v>
      </c>
      <c r="P460">
        <v>0</v>
      </c>
      <c r="Q460">
        <v>0</v>
      </c>
      <c r="R460" t="s">
        <v>47306</v>
      </c>
      <c r="S460" t="s">
        <v>47414</v>
      </c>
      <c r="T460" t="s">
        <v>49041</v>
      </c>
      <c r="U460" t="s">
        <v>49970</v>
      </c>
      <c r="W460" t="s">
        <v>43057</v>
      </c>
      <c r="X460" t="s">
        <v>47308</v>
      </c>
    </row>
    <row r="461" spans="1:24">
      <c r="A461">
        <f>HYPERLINK("https://www.philgeps.gov.ph/GEPSNONPILOT/Tender/SplashBidNoticeAbstractUI.aspx?menuIndex=3&amp;refID=7194586&amp;Result=3","7194586")</f>
        <v>0</v>
      </c>
      <c r="B461" t="s">
        <v>246</v>
      </c>
      <c r="C461" t="s">
        <v>4329</v>
      </c>
      <c r="D461" t="s">
        <v>19019</v>
      </c>
      <c r="E461" t="s">
        <v>19530</v>
      </c>
      <c r="F461" t="s">
        <v>32606</v>
      </c>
      <c r="G461" t="s">
        <v>32619</v>
      </c>
      <c r="H461" t="s">
        <v>14201</v>
      </c>
      <c r="I461" t="s">
        <v>6298</v>
      </c>
      <c r="J461" t="s">
        <v>33144</v>
      </c>
      <c r="K461" t="s">
        <v>42625</v>
      </c>
      <c r="M461" t="s">
        <v>43147</v>
      </c>
      <c r="N461" t="s">
        <v>47304</v>
      </c>
      <c r="O461" t="s">
        <v>47305</v>
      </c>
      <c r="P461">
        <v>0</v>
      </c>
      <c r="Q461">
        <v>0</v>
      </c>
      <c r="R461" t="s">
        <v>47306</v>
      </c>
      <c r="S461" t="s">
        <v>47414</v>
      </c>
      <c r="T461" t="s">
        <v>49072</v>
      </c>
      <c r="U461" t="s">
        <v>49971</v>
      </c>
      <c r="V461" t="s">
        <v>62705</v>
      </c>
      <c r="W461" t="s">
        <v>43147</v>
      </c>
      <c r="X461" t="s">
        <v>47308</v>
      </c>
    </row>
    <row r="462" spans="1:24">
      <c r="A462">
        <f>HYPERLINK("https://www.philgeps.gov.ph/GEPSNONPILOT/Tender/SplashBidNoticeAbstractUI.aspx?menuIndex=3&amp;refID=7194585&amp;Result=3","7194585")</f>
        <v>0</v>
      </c>
      <c r="B462" t="s">
        <v>247</v>
      </c>
      <c r="C462" t="s">
        <v>4330</v>
      </c>
      <c r="D462" t="s">
        <v>18993</v>
      </c>
      <c r="E462" t="s">
        <v>19531</v>
      </c>
      <c r="F462" t="s">
        <v>32606</v>
      </c>
      <c r="G462" t="s">
        <v>32614</v>
      </c>
      <c r="H462" t="s">
        <v>14201</v>
      </c>
      <c r="I462" t="s">
        <v>32668</v>
      </c>
      <c r="J462" t="s">
        <v>33120</v>
      </c>
      <c r="K462" t="s">
        <v>42631</v>
      </c>
      <c r="M462" t="s">
        <v>43148</v>
      </c>
      <c r="N462" t="s">
        <v>47304</v>
      </c>
      <c r="O462" t="s">
        <v>47305</v>
      </c>
      <c r="P462">
        <v>0</v>
      </c>
      <c r="Q462">
        <v>9</v>
      </c>
      <c r="R462" t="s">
        <v>47306</v>
      </c>
      <c r="S462" t="s">
        <v>47414</v>
      </c>
      <c r="T462" t="s">
        <v>49014</v>
      </c>
      <c r="U462" t="s">
        <v>49972</v>
      </c>
      <c r="W462" t="s">
        <v>43148</v>
      </c>
      <c r="X462" t="s">
        <v>47308</v>
      </c>
    </row>
    <row r="463" spans="1:24">
      <c r="A463">
        <f>HYPERLINK("https://www.philgeps.gov.ph/GEPSNONPILOT/Tender/SplashBidNoticeAbstractUI.aspx?menuIndex=3&amp;refID=7194584&amp;Result=3","7194584")</f>
        <v>0</v>
      </c>
      <c r="B463" t="s">
        <v>58</v>
      </c>
      <c r="C463" t="s">
        <v>4331</v>
      </c>
      <c r="D463" t="s">
        <v>19011</v>
      </c>
      <c r="E463" t="s">
        <v>19532</v>
      </c>
      <c r="F463" t="s">
        <v>32606</v>
      </c>
      <c r="G463" t="s">
        <v>32614</v>
      </c>
      <c r="H463" t="s">
        <v>14201</v>
      </c>
      <c r="I463" t="s">
        <v>4678</v>
      </c>
      <c r="J463" t="s">
        <v>32981</v>
      </c>
      <c r="K463" t="s">
        <v>42624</v>
      </c>
      <c r="M463" t="s">
        <v>42955</v>
      </c>
      <c r="N463" t="s">
        <v>47304</v>
      </c>
      <c r="O463" t="s">
        <v>47305</v>
      </c>
      <c r="P463">
        <v>0</v>
      </c>
      <c r="Q463">
        <v>1</v>
      </c>
      <c r="R463" t="s">
        <v>47306</v>
      </c>
      <c r="S463" t="s">
        <v>47414</v>
      </c>
      <c r="T463" t="s">
        <v>48979</v>
      </c>
      <c r="U463" t="s">
        <v>49973</v>
      </c>
      <c r="W463" t="s">
        <v>42955</v>
      </c>
      <c r="X463" t="s">
        <v>47308</v>
      </c>
    </row>
    <row r="464" spans="1:24">
      <c r="A464">
        <f>HYPERLINK("https://www.philgeps.gov.ph/GEPSNONPILOT/Tender/SplashBidNoticeAbstractUI.aspx?menuIndex=3&amp;refID=7194583&amp;Result=3","7194583")</f>
        <v>0</v>
      </c>
      <c r="B464" t="s">
        <v>248</v>
      </c>
      <c r="C464" t="s">
        <v>4332</v>
      </c>
      <c r="D464" t="s">
        <v>19053</v>
      </c>
      <c r="E464" t="s">
        <v>19533</v>
      </c>
      <c r="F464" t="s">
        <v>32606</v>
      </c>
      <c r="G464" t="s">
        <v>32614</v>
      </c>
      <c r="H464" t="s">
        <v>14201</v>
      </c>
      <c r="I464" t="s">
        <v>32633</v>
      </c>
      <c r="J464" t="s">
        <v>32868</v>
      </c>
      <c r="K464" t="s">
        <v>42622</v>
      </c>
      <c r="M464" t="s">
        <v>43149</v>
      </c>
      <c r="N464" t="s">
        <v>47304</v>
      </c>
      <c r="O464" t="s">
        <v>47305</v>
      </c>
      <c r="P464">
        <v>0</v>
      </c>
      <c r="Q464">
        <v>4</v>
      </c>
      <c r="R464" t="s">
        <v>47306</v>
      </c>
      <c r="S464" t="s">
        <v>47414</v>
      </c>
      <c r="T464" t="s">
        <v>49014</v>
      </c>
      <c r="U464" t="s">
        <v>49974</v>
      </c>
      <c r="W464" t="s">
        <v>64425</v>
      </c>
      <c r="X464" t="s">
        <v>47308</v>
      </c>
    </row>
    <row r="465" spans="1:24">
      <c r="A465">
        <f>HYPERLINK("https://www.philgeps.gov.ph/GEPSNONPILOT/Tender/SplashBidNoticeAbstractUI.aspx?menuIndex=3&amp;refID=7194563&amp;Result=3","7194563")</f>
        <v>0</v>
      </c>
      <c r="B465" t="s">
        <v>207</v>
      </c>
      <c r="C465" t="s">
        <v>4333</v>
      </c>
      <c r="D465" t="s">
        <v>19047</v>
      </c>
      <c r="E465" t="s">
        <v>19534</v>
      </c>
      <c r="F465" t="s">
        <v>32606</v>
      </c>
      <c r="G465" t="s">
        <v>32614</v>
      </c>
      <c r="H465" t="s">
        <v>14201</v>
      </c>
      <c r="I465" t="s">
        <v>32631</v>
      </c>
      <c r="J465" t="s">
        <v>33145</v>
      </c>
      <c r="K465" t="s">
        <v>42630</v>
      </c>
      <c r="M465" t="s">
        <v>43108</v>
      </c>
      <c r="N465" t="s">
        <v>47304</v>
      </c>
      <c r="O465" t="s">
        <v>47305</v>
      </c>
      <c r="P465">
        <v>0</v>
      </c>
      <c r="Q465">
        <v>1</v>
      </c>
      <c r="R465" t="s">
        <v>47306</v>
      </c>
      <c r="S465" t="s">
        <v>47414</v>
      </c>
      <c r="T465" t="s">
        <v>48986</v>
      </c>
      <c r="U465" t="s">
        <v>49912</v>
      </c>
      <c r="V465" t="s">
        <v>62695</v>
      </c>
      <c r="W465" t="s">
        <v>43108</v>
      </c>
      <c r="X465" t="s">
        <v>47308</v>
      </c>
    </row>
    <row r="466" spans="1:24">
      <c r="A466">
        <f>HYPERLINK("https://www.philgeps.gov.ph/GEPSNONPILOT/Tender/SplashBidNoticeAbstractUI.aspx?menuIndex=3&amp;refID=7194581&amp;Result=3","7194581")</f>
        <v>0</v>
      </c>
      <c r="B466" t="s">
        <v>209</v>
      </c>
      <c r="C466" t="s">
        <v>4334</v>
      </c>
      <c r="D466" t="s">
        <v>19001</v>
      </c>
      <c r="E466" t="s">
        <v>19535</v>
      </c>
      <c r="F466" t="s">
        <v>32606</v>
      </c>
      <c r="G466" t="s">
        <v>32614</v>
      </c>
      <c r="H466" t="s">
        <v>14201</v>
      </c>
      <c r="I466" t="s">
        <v>32650</v>
      </c>
      <c r="J466" t="s">
        <v>33146</v>
      </c>
      <c r="K466" t="s">
        <v>42630</v>
      </c>
      <c r="M466" t="s">
        <v>43110</v>
      </c>
      <c r="N466" t="s">
        <v>47304</v>
      </c>
      <c r="O466" t="s">
        <v>47305</v>
      </c>
      <c r="P466">
        <v>0</v>
      </c>
      <c r="Q466">
        <v>0</v>
      </c>
      <c r="R466" t="s">
        <v>47306</v>
      </c>
      <c r="S466" t="s">
        <v>47414</v>
      </c>
      <c r="T466" t="s">
        <v>48980</v>
      </c>
      <c r="U466" t="s">
        <v>49975</v>
      </c>
      <c r="V466" t="s">
        <v>62706</v>
      </c>
      <c r="W466" t="s">
        <v>43110</v>
      </c>
      <c r="X466" t="s">
        <v>47308</v>
      </c>
    </row>
    <row r="467" spans="1:24">
      <c r="A467">
        <f>HYPERLINK("https://www.philgeps.gov.ph/GEPSNONPILOT/Tender/SplashBidNoticeAbstractUI.aspx?menuIndex=3&amp;refID=7194580&amp;Result=3","7194580")</f>
        <v>0</v>
      </c>
      <c r="B467" t="s">
        <v>249</v>
      </c>
      <c r="C467" t="s">
        <v>4335</v>
      </c>
      <c r="D467" t="s">
        <v>19037</v>
      </c>
      <c r="E467" t="s">
        <v>19133</v>
      </c>
      <c r="F467" t="s">
        <v>32606</v>
      </c>
      <c r="G467" t="s">
        <v>32614</v>
      </c>
      <c r="H467" t="s">
        <v>14201</v>
      </c>
      <c r="I467" t="s">
        <v>7064</v>
      </c>
      <c r="J467" t="s">
        <v>32949</v>
      </c>
      <c r="K467" t="s">
        <v>42630</v>
      </c>
      <c r="M467" t="s">
        <v>43150</v>
      </c>
      <c r="N467" t="s">
        <v>47304</v>
      </c>
      <c r="O467" t="s">
        <v>47305</v>
      </c>
      <c r="P467">
        <v>0</v>
      </c>
      <c r="Q467">
        <v>0</v>
      </c>
      <c r="R467" t="s">
        <v>47306</v>
      </c>
      <c r="S467" t="s">
        <v>47414</v>
      </c>
      <c r="T467" t="s">
        <v>49014</v>
      </c>
      <c r="U467" t="s">
        <v>49976</v>
      </c>
      <c r="W467" t="s">
        <v>43150</v>
      </c>
      <c r="X467" t="s">
        <v>47308</v>
      </c>
    </row>
    <row r="468" spans="1:24">
      <c r="A468">
        <f>HYPERLINK("https://www.philgeps.gov.ph/GEPSNONPILOT/Tender/SplashBidNoticeAbstractUI.aspx?menuIndex=3&amp;refID=7194589&amp;Result=3","7194589")</f>
        <v>0</v>
      </c>
      <c r="B468" t="s">
        <v>228</v>
      </c>
      <c r="C468" t="s">
        <v>4336</v>
      </c>
      <c r="D468" t="s">
        <v>19030</v>
      </c>
      <c r="E468" t="s">
        <v>19536</v>
      </c>
      <c r="F468" t="s">
        <v>32606</v>
      </c>
      <c r="G468" t="s">
        <v>32613</v>
      </c>
      <c r="H468" t="s">
        <v>32623</v>
      </c>
      <c r="I468" t="s">
        <v>17648</v>
      </c>
      <c r="J468" t="s">
        <v>32767</v>
      </c>
      <c r="K468" t="s">
        <v>42673</v>
      </c>
      <c r="M468" t="s">
        <v>43129</v>
      </c>
      <c r="N468" t="s">
        <v>47304</v>
      </c>
      <c r="O468" t="s">
        <v>47305</v>
      </c>
      <c r="P468">
        <v>0</v>
      </c>
      <c r="Q468">
        <v>0</v>
      </c>
      <c r="R468" t="s">
        <v>47306</v>
      </c>
      <c r="S468" t="s">
        <v>47414</v>
      </c>
      <c r="T468" t="s">
        <v>49009</v>
      </c>
      <c r="U468" t="s">
        <v>49977</v>
      </c>
      <c r="W468" t="s">
        <v>43129</v>
      </c>
      <c r="X468" t="s">
        <v>47308</v>
      </c>
    </row>
    <row r="469" spans="1:24">
      <c r="A469">
        <f>HYPERLINK("https://www.philgeps.gov.ph/GEPSNONPILOT/Tender/SplashBidNoticeAbstractUI.aspx?menuIndex=3&amp;refID=7194531&amp;Result=3","7194531")</f>
        <v>0</v>
      </c>
      <c r="B469" t="s">
        <v>250</v>
      </c>
      <c r="C469" t="s">
        <v>4337</v>
      </c>
      <c r="D469" t="s">
        <v>19054</v>
      </c>
      <c r="E469" t="s">
        <v>19537</v>
      </c>
      <c r="F469" t="s">
        <v>32606</v>
      </c>
      <c r="G469" t="s">
        <v>32614</v>
      </c>
      <c r="H469" t="s">
        <v>14201</v>
      </c>
      <c r="I469" t="s">
        <v>6478</v>
      </c>
      <c r="J469" t="s">
        <v>33147</v>
      </c>
      <c r="K469" t="s">
        <v>42674</v>
      </c>
      <c r="L469" t="s">
        <v>250</v>
      </c>
      <c r="M469" t="s">
        <v>43151</v>
      </c>
      <c r="N469" t="s">
        <v>47304</v>
      </c>
      <c r="O469" t="s">
        <v>47305</v>
      </c>
      <c r="P469">
        <v>0</v>
      </c>
      <c r="Q469">
        <v>0</v>
      </c>
      <c r="R469" t="s">
        <v>47306</v>
      </c>
      <c r="S469" t="s">
        <v>47414</v>
      </c>
      <c r="T469" t="s">
        <v>48980</v>
      </c>
      <c r="U469" t="s">
        <v>49978</v>
      </c>
      <c r="W469" t="s">
        <v>43151</v>
      </c>
      <c r="X469" t="s">
        <v>47308</v>
      </c>
    </row>
    <row r="470" spans="1:24">
      <c r="A470">
        <f>HYPERLINK("https://www.philgeps.gov.ph/GEPSNONPILOT/Tender/SplashBidNoticeAbstractUI.aspx?menuIndex=3&amp;refID=7194530&amp;Result=3","7194530")</f>
        <v>0</v>
      </c>
      <c r="B470" t="s">
        <v>76</v>
      </c>
      <c r="C470" t="s">
        <v>4338</v>
      </c>
      <c r="D470" t="s">
        <v>19010</v>
      </c>
      <c r="E470" t="s">
        <v>19538</v>
      </c>
      <c r="F470" t="s">
        <v>32606</v>
      </c>
      <c r="G470" t="s">
        <v>32613</v>
      </c>
      <c r="H470" t="s">
        <v>14201</v>
      </c>
      <c r="I470" t="s">
        <v>32640</v>
      </c>
      <c r="J470" t="s">
        <v>33123</v>
      </c>
      <c r="K470" t="s">
        <v>42624</v>
      </c>
      <c r="M470" t="s">
        <v>42973</v>
      </c>
      <c r="N470" t="s">
        <v>47304</v>
      </c>
      <c r="O470" t="s">
        <v>47305</v>
      </c>
      <c r="P470">
        <v>0</v>
      </c>
      <c r="Q470">
        <v>2</v>
      </c>
      <c r="R470" t="s">
        <v>47306</v>
      </c>
      <c r="S470" t="s">
        <v>47414</v>
      </c>
      <c r="T470" t="s">
        <v>49011</v>
      </c>
      <c r="U470" t="s">
        <v>49943</v>
      </c>
      <c r="W470" t="s">
        <v>64421</v>
      </c>
      <c r="X470" t="s">
        <v>47308</v>
      </c>
    </row>
    <row r="471" spans="1:24">
      <c r="A471">
        <f>HYPERLINK("https://www.philgeps.gov.ph/GEPSNONPILOT/Tender/SplashBidNoticeAbstractUI.aspx?menuIndex=3&amp;refID=7194527&amp;Result=3","7194527")</f>
        <v>0</v>
      </c>
      <c r="B471" t="s">
        <v>220</v>
      </c>
      <c r="C471" t="s">
        <v>4339</v>
      </c>
      <c r="D471" t="s">
        <v>19046</v>
      </c>
      <c r="E471" t="s">
        <v>19539</v>
      </c>
      <c r="F471" t="s">
        <v>32606</v>
      </c>
      <c r="G471" t="s">
        <v>32614</v>
      </c>
      <c r="H471" t="s">
        <v>32624</v>
      </c>
      <c r="I471" t="s">
        <v>6007</v>
      </c>
      <c r="J471" t="s">
        <v>33148</v>
      </c>
      <c r="K471" t="s">
        <v>42630</v>
      </c>
      <c r="M471" t="s">
        <v>43121</v>
      </c>
      <c r="N471" t="s">
        <v>47304</v>
      </c>
      <c r="O471" t="s">
        <v>47305</v>
      </c>
      <c r="P471">
        <v>0</v>
      </c>
      <c r="Q471">
        <v>0</v>
      </c>
      <c r="R471" t="s">
        <v>47306</v>
      </c>
      <c r="S471" t="s">
        <v>47414</v>
      </c>
      <c r="T471" t="s">
        <v>49050</v>
      </c>
      <c r="U471" t="s">
        <v>49928</v>
      </c>
      <c r="W471" t="s">
        <v>43121</v>
      </c>
      <c r="X471" t="s">
        <v>47308</v>
      </c>
    </row>
    <row r="472" spans="1:24">
      <c r="A472">
        <f>HYPERLINK("https://www.philgeps.gov.ph/GEPSNONPILOT/Tender/SplashBidNoticeAbstractUI.aspx?menuIndex=3&amp;refID=7194595&amp;Result=3","7194595")</f>
        <v>0</v>
      </c>
      <c r="B472" t="s">
        <v>251</v>
      </c>
      <c r="C472" t="s">
        <v>4340</v>
      </c>
      <c r="D472" t="s">
        <v>19023</v>
      </c>
      <c r="E472" t="s">
        <v>19540</v>
      </c>
      <c r="F472" t="s">
        <v>32606</v>
      </c>
      <c r="G472" t="s">
        <v>32614</v>
      </c>
      <c r="H472" t="s">
        <v>14201</v>
      </c>
      <c r="I472" t="s">
        <v>4678</v>
      </c>
      <c r="J472" t="s">
        <v>33149</v>
      </c>
      <c r="K472" t="s">
        <v>42632</v>
      </c>
      <c r="M472" t="s">
        <v>43152</v>
      </c>
      <c r="N472" t="s">
        <v>47304</v>
      </c>
      <c r="O472" t="s">
        <v>47305</v>
      </c>
      <c r="P472">
        <v>0</v>
      </c>
      <c r="Q472">
        <v>1</v>
      </c>
      <c r="R472" t="s">
        <v>47306</v>
      </c>
      <c r="S472" t="s">
        <v>47414</v>
      </c>
      <c r="T472" t="s">
        <v>49061</v>
      </c>
      <c r="U472" t="s">
        <v>49979</v>
      </c>
      <c r="W472" t="s">
        <v>43152</v>
      </c>
      <c r="X472" t="s">
        <v>47308</v>
      </c>
    </row>
    <row r="473" spans="1:24">
      <c r="A473">
        <f>HYPERLINK("https://www.philgeps.gov.ph/GEPSNONPILOT/Tender/SplashBidNoticeAbstractUI.aspx?menuIndex=3&amp;refID=7194552&amp;Result=3","7194552")</f>
        <v>0</v>
      </c>
      <c r="B473" t="s">
        <v>252</v>
      </c>
      <c r="C473" t="s">
        <v>4341</v>
      </c>
      <c r="D473" t="s">
        <v>19010</v>
      </c>
      <c r="E473" t="s">
        <v>19541</v>
      </c>
      <c r="F473" t="s">
        <v>32606</v>
      </c>
      <c r="G473" t="s">
        <v>32613</v>
      </c>
      <c r="H473" t="s">
        <v>32623</v>
      </c>
      <c r="I473" t="s">
        <v>17648</v>
      </c>
      <c r="J473" t="s">
        <v>33150</v>
      </c>
      <c r="K473" t="s">
        <v>42645</v>
      </c>
      <c r="M473" t="s">
        <v>43153</v>
      </c>
      <c r="N473" t="s">
        <v>47304</v>
      </c>
      <c r="O473" t="s">
        <v>47305</v>
      </c>
      <c r="P473">
        <v>0</v>
      </c>
      <c r="Q473">
        <v>0</v>
      </c>
      <c r="R473" t="s">
        <v>47306</v>
      </c>
      <c r="S473" t="s">
        <v>47414</v>
      </c>
      <c r="T473" t="s">
        <v>49017</v>
      </c>
      <c r="U473" t="s">
        <v>49980</v>
      </c>
      <c r="W473" t="s">
        <v>43153</v>
      </c>
      <c r="X473" t="s">
        <v>47308</v>
      </c>
    </row>
    <row r="474" spans="1:24">
      <c r="A474">
        <f>HYPERLINK("https://www.philgeps.gov.ph/GEPSNONPILOT/Tender/SplashBidNoticeAbstractUI.aspx?menuIndex=3&amp;refID=7194525&amp;Result=3","7194525")</f>
        <v>0</v>
      </c>
      <c r="B474" t="s">
        <v>253</v>
      </c>
      <c r="C474" t="s">
        <v>4342</v>
      </c>
      <c r="D474" t="s">
        <v>19043</v>
      </c>
      <c r="E474" t="s">
        <v>19542</v>
      </c>
      <c r="F474" t="s">
        <v>32606</v>
      </c>
      <c r="G474" t="s">
        <v>32613</v>
      </c>
      <c r="H474" t="s">
        <v>14201</v>
      </c>
      <c r="I474" t="s">
        <v>6931</v>
      </c>
      <c r="J474" t="s">
        <v>33151</v>
      </c>
      <c r="K474" t="s">
        <v>42622</v>
      </c>
      <c r="M474" t="s">
        <v>43154</v>
      </c>
      <c r="N474" t="s">
        <v>47304</v>
      </c>
      <c r="O474" t="s">
        <v>47305</v>
      </c>
      <c r="P474">
        <v>0</v>
      </c>
      <c r="Q474">
        <v>0</v>
      </c>
      <c r="R474" t="s">
        <v>47306</v>
      </c>
      <c r="S474" t="s">
        <v>47414</v>
      </c>
      <c r="T474" t="s">
        <v>49073</v>
      </c>
      <c r="U474" t="s">
        <v>49981</v>
      </c>
      <c r="W474" t="s">
        <v>43154</v>
      </c>
      <c r="X474" t="s">
        <v>47308</v>
      </c>
    </row>
    <row r="475" spans="1:24">
      <c r="A475">
        <f>HYPERLINK("https://www.philgeps.gov.ph/GEPSNONPILOT/Tender/SplashBidNoticeAbstractUI.aspx?menuIndex=3&amp;refID=7194602&amp;Result=3","7194602")</f>
        <v>0</v>
      </c>
      <c r="B475" t="s">
        <v>254</v>
      </c>
      <c r="C475" t="s">
        <v>4343</v>
      </c>
      <c r="D475" t="s">
        <v>19002</v>
      </c>
      <c r="E475" t="s">
        <v>19543</v>
      </c>
      <c r="F475" t="s">
        <v>32606</v>
      </c>
      <c r="G475" t="s">
        <v>32614</v>
      </c>
      <c r="H475" t="s">
        <v>14201</v>
      </c>
      <c r="I475" t="s">
        <v>32669</v>
      </c>
      <c r="J475" t="s">
        <v>32981</v>
      </c>
      <c r="K475" t="s">
        <v>42624</v>
      </c>
      <c r="M475" t="s">
        <v>43155</v>
      </c>
      <c r="N475" t="s">
        <v>47304</v>
      </c>
      <c r="O475" t="s">
        <v>47305</v>
      </c>
      <c r="P475">
        <v>0</v>
      </c>
      <c r="Q475">
        <v>2</v>
      </c>
      <c r="R475" t="s">
        <v>47306</v>
      </c>
      <c r="S475" t="s">
        <v>47414</v>
      </c>
      <c r="T475" t="s">
        <v>48979</v>
      </c>
      <c r="U475" t="s">
        <v>49982</v>
      </c>
      <c r="W475" t="s">
        <v>43155</v>
      </c>
      <c r="X475" t="s">
        <v>47308</v>
      </c>
    </row>
    <row r="476" spans="1:24">
      <c r="A476">
        <f>HYPERLINK("https://www.philgeps.gov.ph/GEPSNONPILOT/Tender/SplashBidNoticeAbstractUI.aspx?menuIndex=3&amp;refID=7194528&amp;Result=3","7194528")</f>
        <v>0</v>
      </c>
      <c r="B476" t="s">
        <v>255</v>
      </c>
      <c r="C476" t="s">
        <v>4344</v>
      </c>
      <c r="E476" t="s">
        <v>19544</v>
      </c>
      <c r="F476" t="s">
        <v>32606</v>
      </c>
      <c r="G476" t="s">
        <v>32613</v>
      </c>
      <c r="H476" t="s">
        <v>32623</v>
      </c>
      <c r="I476" t="s">
        <v>17648</v>
      </c>
      <c r="J476" t="s">
        <v>32772</v>
      </c>
      <c r="K476" t="s">
        <v>42675</v>
      </c>
      <c r="M476" t="s">
        <v>43156</v>
      </c>
      <c r="N476" t="s">
        <v>47304</v>
      </c>
      <c r="O476" t="s">
        <v>47305</v>
      </c>
      <c r="P476">
        <v>0</v>
      </c>
      <c r="Q476">
        <v>0</v>
      </c>
      <c r="R476" t="s">
        <v>47306</v>
      </c>
      <c r="S476" t="s">
        <v>47414</v>
      </c>
      <c r="T476" t="s">
        <v>48983</v>
      </c>
      <c r="U476" t="s">
        <v>49983</v>
      </c>
      <c r="W476" t="s">
        <v>43156</v>
      </c>
      <c r="X476" t="s">
        <v>47308</v>
      </c>
    </row>
    <row r="477" spans="1:24">
      <c r="A477">
        <f>HYPERLINK("https://www.philgeps.gov.ph/GEPSNONPILOT/Tender/SplashBidNoticeAbstractUI.aspx?menuIndex=3&amp;refID=7194616&amp;Result=3","7194616")</f>
        <v>0</v>
      </c>
      <c r="B477" t="s">
        <v>81</v>
      </c>
      <c r="C477" t="s">
        <v>4345</v>
      </c>
      <c r="D477" t="s">
        <v>18995</v>
      </c>
      <c r="E477" t="s">
        <v>19545</v>
      </c>
      <c r="F477" t="s">
        <v>32606</v>
      </c>
      <c r="G477" t="s">
        <v>32614</v>
      </c>
      <c r="H477" t="s">
        <v>14201</v>
      </c>
      <c r="I477" t="s">
        <v>7677</v>
      </c>
      <c r="J477" t="s">
        <v>33152</v>
      </c>
      <c r="K477" t="s">
        <v>42624</v>
      </c>
      <c r="M477" t="s">
        <v>42978</v>
      </c>
      <c r="N477" t="s">
        <v>47304</v>
      </c>
      <c r="O477" t="s">
        <v>47305</v>
      </c>
      <c r="P477">
        <v>0</v>
      </c>
      <c r="Q477">
        <v>1</v>
      </c>
      <c r="R477" t="s">
        <v>47306</v>
      </c>
      <c r="S477" t="s">
        <v>47414</v>
      </c>
      <c r="T477" t="s">
        <v>49014</v>
      </c>
      <c r="U477" t="s">
        <v>49984</v>
      </c>
      <c r="W477" t="s">
        <v>42978</v>
      </c>
      <c r="X477" t="s">
        <v>47308</v>
      </c>
    </row>
    <row r="478" spans="1:24">
      <c r="A478">
        <f>HYPERLINK("https://www.philgeps.gov.ph/GEPSNONPILOT/Tender/SplashBidNoticeAbstractUI.aspx?menuIndex=3&amp;refID=7194623&amp;Result=3","7194623")</f>
        <v>0</v>
      </c>
      <c r="B478" t="s">
        <v>251</v>
      </c>
      <c r="C478" t="s">
        <v>4346</v>
      </c>
      <c r="D478" t="s">
        <v>19023</v>
      </c>
      <c r="E478" t="s">
        <v>19546</v>
      </c>
      <c r="F478" t="s">
        <v>32606</v>
      </c>
      <c r="G478" t="s">
        <v>32614</v>
      </c>
      <c r="H478" t="s">
        <v>14201</v>
      </c>
      <c r="I478" t="s">
        <v>32646</v>
      </c>
      <c r="J478" t="s">
        <v>32765</v>
      </c>
      <c r="K478" t="s">
        <v>42632</v>
      </c>
      <c r="M478" t="s">
        <v>43152</v>
      </c>
      <c r="N478" t="s">
        <v>47304</v>
      </c>
      <c r="O478" t="s">
        <v>47305</v>
      </c>
      <c r="P478">
        <v>0</v>
      </c>
      <c r="Q478">
        <v>1</v>
      </c>
      <c r="R478" t="s">
        <v>47306</v>
      </c>
      <c r="S478" t="s">
        <v>47414</v>
      </c>
      <c r="T478" t="s">
        <v>49061</v>
      </c>
      <c r="U478" t="s">
        <v>49985</v>
      </c>
      <c r="W478" t="s">
        <v>43152</v>
      </c>
      <c r="X478" t="s">
        <v>47308</v>
      </c>
    </row>
    <row r="479" spans="1:24">
      <c r="A479">
        <f>HYPERLINK("https://www.philgeps.gov.ph/GEPSNONPILOT/Tender/SplashBidNoticeAbstractUI.aspx?menuIndex=3&amp;refID=7194523&amp;Result=3","7194523")</f>
        <v>0</v>
      </c>
      <c r="B479" t="s">
        <v>193</v>
      </c>
      <c r="C479" t="s">
        <v>4347</v>
      </c>
      <c r="D479" t="s">
        <v>19044</v>
      </c>
      <c r="E479" t="s">
        <v>19547</v>
      </c>
      <c r="F479" t="s">
        <v>32606</v>
      </c>
      <c r="G479" t="s">
        <v>32613</v>
      </c>
      <c r="H479" t="s">
        <v>14201</v>
      </c>
      <c r="I479" t="s">
        <v>6931</v>
      </c>
      <c r="J479" t="s">
        <v>33153</v>
      </c>
      <c r="K479" t="s">
        <v>42631</v>
      </c>
      <c r="M479" t="s">
        <v>43094</v>
      </c>
      <c r="N479" t="s">
        <v>47304</v>
      </c>
      <c r="O479" t="s">
        <v>47305</v>
      </c>
      <c r="P479">
        <v>0</v>
      </c>
      <c r="Q479">
        <v>0</v>
      </c>
      <c r="R479" t="s">
        <v>47306</v>
      </c>
      <c r="S479" t="s">
        <v>47414</v>
      </c>
      <c r="T479" t="s">
        <v>49074</v>
      </c>
      <c r="U479" t="s">
        <v>49986</v>
      </c>
      <c r="W479" t="s">
        <v>43094</v>
      </c>
      <c r="X479" t="s">
        <v>47308</v>
      </c>
    </row>
    <row r="480" spans="1:24">
      <c r="A480">
        <f>HYPERLINK("https://www.philgeps.gov.ph/GEPSNONPILOT/Tender/SplashBidNoticeAbstractUI.aspx?menuIndex=3&amp;refID=7194522&amp;Result=3","7194522")</f>
        <v>0</v>
      </c>
      <c r="B480" t="s">
        <v>76</v>
      </c>
      <c r="C480" t="s">
        <v>4348</v>
      </c>
      <c r="D480" t="s">
        <v>19010</v>
      </c>
      <c r="E480" t="s">
        <v>19548</v>
      </c>
      <c r="F480" t="s">
        <v>32606</v>
      </c>
      <c r="G480" t="s">
        <v>32613</v>
      </c>
      <c r="H480" t="s">
        <v>14201</v>
      </c>
      <c r="I480" t="s">
        <v>32640</v>
      </c>
      <c r="J480" t="s">
        <v>33094</v>
      </c>
      <c r="K480" t="s">
        <v>42624</v>
      </c>
      <c r="M480" t="s">
        <v>42973</v>
      </c>
      <c r="N480" t="s">
        <v>47304</v>
      </c>
      <c r="O480" t="s">
        <v>47305</v>
      </c>
      <c r="P480">
        <v>0</v>
      </c>
      <c r="Q480">
        <v>1</v>
      </c>
      <c r="R480" t="s">
        <v>47306</v>
      </c>
      <c r="S480" t="s">
        <v>47414</v>
      </c>
      <c r="T480" t="s">
        <v>49011</v>
      </c>
      <c r="U480" t="s">
        <v>49915</v>
      </c>
      <c r="W480" t="s">
        <v>64421</v>
      </c>
      <c r="X480" t="s">
        <v>47308</v>
      </c>
    </row>
    <row r="481" spans="1:24">
      <c r="A481">
        <f>HYPERLINK("https://www.philgeps.gov.ph/GEPSNONPILOT/Tender/SplashBidNoticeAbstractUI.aspx?menuIndex=3&amp;refID=7194621&amp;Result=3","7194621")</f>
        <v>0</v>
      </c>
      <c r="B481" t="s">
        <v>256</v>
      </c>
      <c r="C481" t="s">
        <v>4349</v>
      </c>
      <c r="E481" t="s">
        <v>19549</v>
      </c>
      <c r="F481" t="s">
        <v>32606</v>
      </c>
      <c r="G481" t="s">
        <v>32614</v>
      </c>
      <c r="H481" t="s">
        <v>14201</v>
      </c>
      <c r="I481" t="s">
        <v>32658</v>
      </c>
      <c r="J481" t="s">
        <v>32799</v>
      </c>
      <c r="K481" t="s">
        <v>42631</v>
      </c>
      <c r="M481" t="s">
        <v>43157</v>
      </c>
      <c r="N481" t="s">
        <v>47304</v>
      </c>
      <c r="O481" t="s">
        <v>47305</v>
      </c>
      <c r="P481">
        <v>0</v>
      </c>
      <c r="Q481">
        <v>1</v>
      </c>
      <c r="R481" t="s">
        <v>47306</v>
      </c>
      <c r="S481" t="s">
        <v>47414</v>
      </c>
      <c r="T481" t="s">
        <v>49010</v>
      </c>
      <c r="U481" t="s">
        <v>49987</v>
      </c>
      <c r="W481" t="s">
        <v>43157</v>
      </c>
      <c r="X481" t="s">
        <v>47308</v>
      </c>
    </row>
    <row r="482" spans="1:24">
      <c r="A482">
        <f>HYPERLINK("https://www.philgeps.gov.ph/GEPSNONPILOT/Tender/SplashBidNoticeAbstractUI.aspx?menuIndex=3&amp;refID=7194620&amp;Result=3","7194620")</f>
        <v>0</v>
      </c>
      <c r="B482" t="s">
        <v>257</v>
      </c>
      <c r="C482" t="s">
        <v>4350</v>
      </c>
      <c r="D482" t="s">
        <v>19019</v>
      </c>
      <c r="E482" t="s">
        <v>19550</v>
      </c>
      <c r="F482" t="s">
        <v>32606</v>
      </c>
      <c r="G482" t="s">
        <v>32614</v>
      </c>
      <c r="H482" t="s">
        <v>14201</v>
      </c>
      <c r="I482" t="s">
        <v>6931</v>
      </c>
      <c r="J482" t="s">
        <v>33154</v>
      </c>
      <c r="K482" t="s">
        <v>42623</v>
      </c>
      <c r="M482" t="s">
        <v>43158</v>
      </c>
      <c r="N482" t="s">
        <v>47304</v>
      </c>
      <c r="O482" t="s">
        <v>47305</v>
      </c>
      <c r="P482">
        <v>0</v>
      </c>
      <c r="Q482">
        <v>0</v>
      </c>
      <c r="R482" t="s">
        <v>47306</v>
      </c>
      <c r="S482" t="s">
        <v>47414</v>
      </c>
      <c r="T482" t="s">
        <v>49014</v>
      </c>
      <c r="U482" t="s">
        <v>49988</v>
      </c>
      <c r="W482" t="s">
        <v>43158</v>
      </c>
      <c r="X482" t="s">
        <v>47308</v>
      </c>
    </row>
    <row r="483" spans="1:24">
      <c r="A483">
        <f>HYPERLINK("https://www.philgeps.gov.ph/GEPSNONPILOT/Tender/SplashBidNoticeAbstractUI.aspx?menuIndex=3&amp;refID=7194619&amp;Result=3","7194619")</f>
        <v>0</v>
      </c>
      <c r="B483" t="s">
        <v>258</v>
      </c>
      <c r="C483" t="s">
        <v>4351</v>
      </c>
      <c r="D483" t="s">
        <v>19038</v>
      </c>
      <c r="E483" t="s">
        <v>19551</v>
      </c>
      <c r="F483" t="s">
        <v>32606</v>
      </c>
      <c r="G483" t="s">
        <v>32614</v>
      </c>
      <c r="H483" t="s">
        <v>14201</v>
      </c>
      <c r="I483" t="s">
        <v>6298</v>
      </c>
      <c r="J483" t="s">
        <v>33155</v>
      </c>
      <c r="K483" t="s">
        <v>42623</v>
      </c>
      <c r="M483" t="s">
        <v>43159</v>
      </c>
      <c r="N483" t="s">
        <v>47304</v>
      </c>
      <c r="O483" t="s">
        <v>47305</v>
      </c>
      <c r="P483">
        <v>0</v>
      </c>
      <c r="Q483">
        <v>0</v>
      </c>
      <c r="R483" t="s">
        <v>47306</v>
      </c>
      <c r="S483" t="s">
        <v>47414</v>
      </c>
      <c r="T483" t="s">
        <v>48988</v>
      </c>
      <c r="U483" t="s">
        <v>49989</v>
      </c>
      <c r="W483" t="s">
        <v>43159</v>
      </c>
      <c r="X483" t="s">
        <v>47308</v>
      </c>
    </row>
    <row r="484" spans="1:24">
      <c r="A484">
        <f>HYPERLINK("https://www.philgeps.gov.ph/GEPSNONPILOT/Tender/SplashBidNoticeAbstractUI.aspx?menuIndex=3&amp;refID=7194594&amp;Result=3","7194594")</f>
        <v>0</v>
      </c>
      <c r="B484" t="s">
        <v>259</v>
      </c>
      <c r="C484" t="s">
        <v>4352</v>
      </c>
      <c r="D484" t="s">
        <v>19019</v>
      </c>
      <c r="E484" t="s">
        <v>4352</v>
      </c>
      <c r="F484" t="s">
        <v>32606</v>
      </c>
      <c r="G484" t="s">
        <v>32614</v>
      </c>
      <c r="H484" t="s">
        <v>14201</v>
      </c>
      <c r="I484" t="s">
        <v>7064</v>
      </c>
      <c r="J484" t="s">
        <v>32868</v>
      </c>
      <c r="K484" t="s">
        <v>42636</v>
      </c>
      <c r="M484" t="s">
        <v>43160</v>
      </c>
      <c r="N484" t="s">
        <v>47304</v>
      </c>
      <c r="O484" t="s">
        <v>47305</v>
      </c>
      <c r="P484">
        <v>0</v>
      </c>
      <c r="Q484">
        <v>0</v>
      </c>
      <c r="R484" t="s">
        <v>47306</v>
      </c>
      <c r="S484" t="s">
        <v>47414</v>
      </c>
      <c r="T484" t="s">
        <v>49075</v>
      </c>
      <c r="U484" t="s">
        <v>49990</v>
      </c>
      <c r="W484" t="s">
        <v>43160</v>
      </c>
      <c r="X484" t="s">
        <v>47308</v>
      </c>
    </row>
    <row r="485" spans="1:24">
      <c r="A485">
        <f>HYPERLINK("https://www.philgeps.gov.ph/GEPSNONPILOT/Tender/SplashBidNoticeAbstractUI.aspx?menuIndex=3&amp;refID=7194579&amp;Result=3","7194579")</f>
        <v>0</v>
      </c>
      <c r="B485" t="s">
        <v>207</v>
      </c>
      <c r="C485" t="s">
        <v>4353</v>
      </c>
      <c r="D485" t="s">
        <v>19047</v>
      </c>
      <c r="E485" t="s">
        <v>19552</v>
      </c>
      <c r="F485" t="s">
        <v>32606</v>
      </c>
      <c r="G485" t="s">
        <v>32614</v>
      </c>
      <c r="H485" t="s">
        <v>14201</v>
      </c>
      <c r="I485" t="s">
        <v>6478</v>
      </c>
      <c r="J485" t="s">
        <v>33156</v>
      </c>
      <c r="K485" t="s">
        <v>42630</v>
      </c>
      <c r="M485" t="s">
        <v>43108</v>
      </c>
      <c r="N485" t="s">
        <v>47304</v>
      </c>
      <c r="O485" t="s">
        <v>47305</v>
      </c>
      <c r="P485">
        <v>0</v>
      </c>
      <c r="Q485">
        <v>0</v>
      </c>
      <c r="R485" t="s">
        <v>47306</v>
      </c>
      <c r="S485" t="s">
        <v>47414</v>
      </c>
      <c r="T485" t="s">
        <v>48986</v>
      </c>
      <c r="U485" t="s">
        <v>49991</v>
      </c>
      <c r="V485" t="s">
        <v>62695</v>
      </c>
      <c r="W485" t="s">
        <v>43108</v>
      </c>
      <c r="X485" t="s">
        <v>47308</v>
      </c>
    </row>
    <row r="486" spans="1:24">
      <c r="A486">
        <f>HYPERLINK("https://www.philgeps.gov.ph/GEPSNONPILOT/Tender/SplashBidNoticeAbstractUI.aspx?menuIndex=3&amp;refID=7194576&amp;Result=3","7194576")</f>
        <v>0</v>
      </c>
      <c r="B486" t="s">
        <v>181</v>
      </c>
      <c r="C486" t="s">
        <v>4354</v>
      </c>
      <c r="D486" t="s">
        <v>19029</v>
      </c>
      <c r="E486" t="s">
        <v>19553</v>
      </c>
      <c r="F486" t="s">
        <v>32606</v>
      </c>
      <c r="G486" t="s">
        <v>32619</v>
      </c>
      <c r="H486" t="s">
        <v>14201</v>
      </c>
      <c r="I486" t="s">
        <v>4115</v>
      </c>
      <c r="J486" t="s">
        <v>32811</v>
      </c>
      <c r="K486" t="s">
        <v>42625</v>
      </c>
      <c r="M486" t="s">
        <v>43082</v>
      </c>
      <c r="N486" t="s">
        <v>47304</v>
      </c>
      <c r="O486" t="s">
        <v>47305</v>
      </c>
      <c r="P486">
        <v>0</v>
      </c>
      <c r="Q486">
        <v>0</v>
      </c>
      <c r="R486" t="s">
        <v>47306</v>
      </c>
      <c r="S486" t="s">
        <v>47414</v>
      </c>
      <c r="T486" t="s">
        <v>48998</v>
      </c>
      <c r="U486" t="s">
        <v>49992</v>
      </c>
      <c r="W486" t="s">
        <v>43082</v>
      </c>
      <c r="X486" t="s">
        <v>47308</v>
      </c>
    </row>
    <row r="487" spans="1:24">
      <c r="A487">
        <f>HYPERLINK("https://www.philgeps.gov.ph/GEPSNONPILOT/Tender/SplashBidNoticeAbstractUI.aspx?menuIndex=3&amp;refID=7194622&amp;Result=3","7194622")</f>
        <v>0</v>
      </c>
      <c r="B487" t="s">
        <v>247</v>
      </c>
      <c r="C487" t="s">
        <v>4355</v>
      </c>
      <c r="D487" t="s">
        <v>18993</v>
      </c>
      <c r="E487" t="s">
        <v>19554</v>
      </c>
      <c r="F487" t="s">
        <v>32606</v>
      </c>
      <c r="G487" t="s">
        <v>32614</v>
      </c>
      <c r="H487" t="s">
        <v>14201</v>
      </c>
      <c r="I487" t="s">
        <v>32668</v>
      </c>
      <c r="J487" t="s">
        <v>33157</v>
      </c>
      <c r="K487" t="s">
        <v>42631</v>
      </c>
      <c r="M487" t="s">
        <v>43148</v>
      </c>
      <c r="N487" t="s">
        <v>47304</v>
      </c>
      <c r="O487" t="s">
        <v>47305</v>
      </c>
      <c r="P487">
        <v>0</v>
      </c>
      <c r="Q487">
        <v>4</v>
      </c>
      <c r="R487" t="s">
        <v>47306</v>
      </c>
      <c r="S487" t="s">
        <v>47414</v>
      </c>
      <c r="T487" t="s">
        <v>49014</v>
      </c>
      <c r="U487" t="s">
        <v>49993</v>
      </c>
      <c r="W487" t="s">
        <v>43148</v>
      </c>
      <c r="X487" t="s">
        <v>47308</v>
      </c>
    </row>
    <row r="488" spans="1:24">
      <c r="A488">
        <f>HYPERLINK("https://www.philgeps.gov.ph/GEPSNONPILOT/Tender/SplashBidNoticeAbstractUI.aspx?menuIndex=3&amp;refID=7194613&amp;Result=3","7194613")</f>
        <v>0</v>
      </c>
      <c r="B488" t="s">
        <v>233</v>
      </c>
      <c r="C488" t="s">
        <v>4356</v>
      </c>
      <c r="D488" t="s">
        <v>18997</v>
      </c>
      <c r="E488" t="s">
        <v>19555</v>
      </c>
      <c r="F488" t="s">
        <v>32606</v>
      </c>
      <c r="G488" t="s">
        <v>32615</v>
      </c>
      <c r="H488" t="s">
        <v>14201</v>
      </c>
      <c r="I488" t="s">
        <v>6931</v>
      </c>
      <c r="J488" t="s">
        <v>33158</v>
      </c>
      <c r="K488" t="s">
        <v>42631</v>
      </c>
      <c r="M488" t="s">
        <v>43134</v>
      </c>
      <c r="N488" t="s">
        <v>47304</v>
      </c>
      <c r="O488" t="s">
        <v>47305</v>
      </c>
      <c r="P488">
        <v>0</v>
      </c>
      <c r="Q488">
        <v>0</v>
      </c>
      <c r="R488" t="s">
        <v>47306</v>
      </c>
      <c r="S488" t="s">
        <v>47414</v>
      </c>
      <c r="T488" t="s">
        <v>49023</v>
      </c>
      <c r="U488" t="s">
        <v>49951</v>
      </c>
      <c r="W488" t="s">
        <v>43134</v>
      </c>
      <c r="X488" t="s">
        <v>47308</v>
      </c>
    </row>
    <row r="489" spans="1:24">
      <c r="A489">
        <f>HYPERLINK("https://www.philgeps.gov.ph/GEPSNONPILOT/Tender/SplashBidNoticeAbstractUI.aspx?menuIndex=3&amp;refID=7194612&amp;Result=3","7194612")</f>
        <v>0</v>
      </c>
      <c r="B489" t="s">
        <v>260</v>
      </c>
      <c r="C489" t="s">
        <v>4357</v>
      </c>
      <c r="D489" t="s">
        <v>19030</v>
      </c>
      <c r="E489" t="s">
        <v>19556</v>
      </c>
      <c r="F489" t="s">
        <v>32606</v>
      </c>
      <c r="G489" t="s">
        <v>32614</v>
      </c>
      <c r="H489" t="s">
        <v>14201</v>
      </c>
      <c r="I489" t="s">
        <v>4115</v>
      </c>
      <c r="J489" t="s">
        <v>33159</v>
      </c>
      <c r="K489" t="s">
        <v>42622</v>
      </c>
      <c r="M489" t="s">
        <v>43161</v>
      </c>
      <c r="N489" t="s">
        <v>47304</v>
      </c>
      <c r="O489" t="s">
        <v>47305</v>
      </c>
      <c r="P489">
        <v>0</v>
      </c>
      <c r="Q489">
        <v>0</v>
      </c>
      <c r="R489" t="s">
        <v>47306</v>
      </c>
      <c r="S489" t="s">
        <v>47414</v>
      </c>
      <c r="T489" t="s">
        <v>48997</v>
      </c>
      <c r="U489" t="s">
        <v>49994</v>
      </c>
      <c r="W489" t="s">
        <v>43161</v>
      </c>
      <c r="X489" t="s">
        <v>47308</v>
      </c>
    </row>
    <row r="490" spans="1:24">
      <c r="A490">
        <f>HYPERLINK("https://www.philgeps.gov.ph/GEPSNONPILOT/Tender/SplashBidNoticeAbstractUI.aspx?menuIndex=3&amp;refID=7194611&amp;Result=3","7194611")</f>
        <v>0</v>
      </c>
      <c r="B490" t="s">
        <v>261</v>
      </c>
      <c r="C490" t="s">
        <v>4358</v>
      </c>
      <c r="D490" t="s">
        <v>19004</v>
      </c>
      <c r="E490" t="s">
        <v>19557</v>
      </c>
      <c r="F490" t="s">
        <v>32606</v>
      </c>
      <c r="G490" t="s">
        <v>32614</v>
      </c>
      <c r="H490" t="s">
        <v>14201</v>
      </c>
      <c r="I490" t="s">
        <v>32634</v>
      </c>
      <c r="J490" t="s">
        <v>33160</v>
      </c>
      <c r="K490" t="s">
        <v>42624</v>
      </c>
      <c r="M490" t="s">
        <v>43162</v>
      </c>
      <c r="N490" t="s">
        <v>47304</v>
      </c>
      <c r="O490" t="s">
        <v>47305</v>
      </c>
      <c r="P490">
        <v>0</v>
      </c>
      <c r="Q490">
        <v>2</v>
      </c>
      <c r="R490" t="s">
        <v>47306</v>
      </c>
      <c r="S490" t="s">
        <v>47414</v>
      </c>
      <c r="T490" t="s">
        <v>49041</v>
      </c>
      <c r="U490" t="s">
        <v>49995</v>
      </c>
      <c r="W490" t="s">
        <v>43162</v>
      </c>
      <c r="X490" t="s">
        <v>47308</v>
      </c>
    </row>
    <row r="491" spans="1:24">
      <c r="A491">
        <f>HYPERLINK("https://www.philgeps.gov.ph/GEPSNONPILOT/Tender/SplashBidNoticeAbstractUI.aspx?menuIndex=3&amp;refID=7194610&amp;Result=3","7194610")</f>
        <v>0</v>
      </c>
      <c r="B491" t="s">
        <v>262</v>
      </c>
      <c r="C491" t="s">
        <v>4129</v>
      </c>
      <c r="D491" t="s">
        <v>19038</v>
      </c>
      <c r="E491" t="s">
        <v>19558</v>
      </c>
      <c r="F491" t="s">
        <v>32606</v>
      </c>
      <c r="G491" t="s">
        <v>32619</v>
      </c>
      <c r="H491" t="s">
        <v>14201</v>
      </c>
      <c r="I491" t="s">
        <v>4120</v>
      </c>
      <c r="J491" t="s">
        <v>33161</v>
      </c>
      <c r="K491" t="s">
        <v>42630</v>
      </c>
      <c r="M491" t="s">
        <v>43163</v>
      </c>
      <c r="N491" t="s">
        <v>47304</v>
      </c>
      <c r="O491" t="s">
        <v>47305</v>
      </c>
      <c r="P491">
        <v>0</v>
      </c>
      <c r="Q491">
        <v>0</v>
      </c>
      <c r="R491" t="s">
        <v>47306</v>
      </c>
      <c r="S491" t="s">
        <v>47414</v>
      </c>
      <c r="T491" t="s">
        <v>48986</v>
      </c>
      <c r="U491" t="s">
        <v>49996</v>
      </c>
      <c r="W491" t="s">
        <v>43163</v>
      </c>
      <c r="X491" t="s">
        <v>47308</v>
      </c>
    </row>
    <row r="492" spans="1:24">
      <c r="A492">
        <f>HYPERLINK("https://www.philgeps.gov.ph/GEPSNONPILOT/Tender/SplashBidNoticeAbstractUI.aspx?menuIndex=3&amp;refID=7194637&amp;Result=3","7194637")</f>
        <v>0</v>
      </c>
      <c r="B492" t="s">
        <v>183</v>
      </c>
      <c r="C492" t="s">
        <v>4359</v>
      </c>
      <c r="D492" t="s">
        <v>19002</v>
      </c>
      <c r="E492" t="s">
        <v>19559</v>
      </c>
      <c r="F492" t="s">
        <v>32606</v>
      </c>
      <c r="G492" t="s">
        <v>32613</v>
      </c>
      <c r="H492" t="s">
        <v>14201</v>
      </c>
      <c r="I492" t="s">
        <v>6931</v>
      </c>
      <c r="J492" t="s">
        <v>33162</v>
      </c>
      <c r="K492" t="s">
        <v>42631</v>
      </c>
      <c r="M492" t="s">
        <v>43084</v>
      </c>
      <c r="N492" t="s">
        <v>47304</v>
      </c>
      <c r="O492" t="s">
        <v>47305</v>
      </c>
      <c r="P492">
        <v>0</v>
      </c>
      <c r="Q492">
        <v>0</v>
      </c>
      <c r="R492" t="s">
        <v>47306</v>
      </c>
      <c r="S492" t="s">
        <v>47414</v>
      </c>
      <c r="T492" t="s">
        <v>48973</v>
      </c>
      <c r="U492" t="s">
        <v>49997</v>
      </c>
      <c r="V492" t="s">
        <v>62707</v>
      </c>
      <c r="W492" t="s">
        <v>43084</v>
      </c>
      <c r="X492" t="s">
        <v>47308</v>
      </c>
    </row>
    <row r="493" spans="1:24">
      <c r="A493">
        <f>HYPERLINK("https://www.philgeps.gov.ph/GEPSNONPILOT/Tender/SplashBidNoticeAbstractUI.aspx?menuIndex=3&amp;refID=7194618&amp;Result=3","7194618")</f>
        <v>0</v>
      </c>
      <c r="B493" t="s">
        <v>263</v>
      </c>
      <c r="C493" t="s">
        <v>4360</v>
      </c>
      <c r="D493" t="s">
        <v>19008</v>
      </c>
      <c r="E493" t="s">
        <v>19560</v>
      </c>
      <c r="F493" t="s">
        <v>32606</v>
      </c>
      <c r="G493" t="s">
        <v>32613</v>
      </c>
      <c r="H493" t="s">
        <v>14201</v>
      </c>
      <c r="I493" t="s">
        <v>6931</v>
      </c>
      <c r="J493" t="s">
        <v>33163</v>
      </c>
      <c r="K493" t="s">
        <v>42636</v>
      </c>
      <c r="M493" t="s">
        <v>43164</v>
      </c>
      <c r="N493" t="s">
        <v>47304</v>
      </c>
      <c r="O493" t="s">
        <v>47305</v>
      </c>
      <c r="P493">
        <v>0</v>
      </c>
      <c r="Q493">
        <v>0</v>
      </c>
      <c r="R493" t="s">
        <v>47306</v>
      </c>
      <c r="S493" t="s">
        <v>47414</v>
      </c>
      <c r="T493" t="s">
        <v>48988</v>
      </c>
      <c r="U493" t="s">
        <v>49998</v>
      </c>
      <c r="W493" t="s">
        <v>43164</v>
      </c>
      <c r="X493" t="s">
        <v>47308</v>
      </c>
    </row>
    <row r="494" spans="1:24">
      <c r="A494">
        <f>HYPERLINK("https://www.philgeps.gov.ph/GEPSNONPILOT/Tender/SplashBidNoticeAbstractUI.aspx?menuIndex=3&amp;refID=7194615&amp;Result=3","7194615")</f>
        <v>0</v>
      </c>
      <c r="B494" t="s">
        <v>264</v>
      </c>
      <c r="C494" t="s">
        <v>4361</v>
      </c>
      <c r="D494" t="s">
        <v>19024</v>
      </c>
      <c r="E494" t="s">
        <v>19561</v>
      </c>
      <c r="F494" t="s">
        <v>32606</v>
      </c>
      <c r="G494" t="s">
        <v>32615</v>
      </c>
      <c r="H494" t="s">
        <v>14201</v>
      </c>
      <c r="I494" t="s">
        <v>6931</v>
      </c>
      <c r="J494" t="s">
        <v>33164</v>
      </c>
      <c r="K494" t="s">
        <v>42639</v>
      </c>
      <c r="M494" t="s">
        <v>43165</v>
      </c>
      <c r="N494" t="s">
        <v>47304</v>
      </c>
      <c r="O494" t="s">
        <v>47305</v>
      </c>
      <c r="P494">
        <v>0</v>
      </c>
      <c r="Q494">
        <v>0</v>
      </c>
      <c r="R494" t="s">
        <v>47306</v>
      </c>
      <c r="S494" t="s">
        <v>47414</v>
      </c>
      <c r="T494" t="s">
        <v>49052</v>
      </c>
      <c r="U494" t="s">
        <v>49999</v>
      </c>
      <c r="W494" t="s">
        <v>43165</v>
      </c>
      <c r="X494" t="s">
        <v>47308</v>
      </c>
    </row>
    <row r="495" spans="1:24">
      <c r="A495">
        <f>HYPERLINK("https://www.philgeps.gov.ph/GEPSNONPILOT/Tender/SplashBidNoticeAbstractUI.aspx?menuIndex=3&amp;refID=7194614&amp;Result=3","7194614")</f>
        <v>0</v>
      </c>
      <c r="B495" t="s">
        <v>228</v>
      </c>
      <c r="C495" t="s">
        <v>4362</v>
      </c>
      <c r="D495" t="s">
        <v>19030</v>
      </c>
      <c r="E495" t="s">
        <v>19562</v>
      </c>
      <c r="F495" t="s">
        <v>32606</v>
      </c>
      <c r="G495" t="s">
        <v>32613</v>
      </c>
      <c r="H495" t="s">
        <v>32623</v>
      </c>
      <c r="I495" t="s">
        <v>17648</v>
      </c>
      <c r="J495" t="s">
        <v>32770</v>
      </c>
      <c r="K495" t="s">
        <v>42657</v>
      </c>
      <c r="M495" t="s">
        <v>43129</v>
      </c>
      <c r="N495" t="s">
        <v>47304</v>
      </c>
      <c r="O495" t="s">
        <v>47305</v>
      </c>
      <c r="P495">
        <v>0</v>
      </c>
      <c r="Q495">
        <v>0</v>
      </c>
      <c r="R495" t="s">
        <v>47306</v>
      </c>
      <c r="S495" t="s">
        <v>47414</v>
      </c>
      <c r="T495" t="s">
        <v>49009</v>
      </c>
      <c r="U495" t="s">
        <v>50000</v>
      </c>
      <c r="W495" t="s">
        <v>43129</v>
      </c>
      <c r="X495" t="s">
        <v>47308</v>
      </c>
    </row>
    <row r="496" spans="1:24">
      <c r="A496">
        <f>HYPERLINK("https://www.philgeps.gov.ph/GEPSNONPILOT/Tender/SplashBidNoticeAbstractUI.aspx?menuIndex=3&amp;refID=7194642&amp;Result=3","7194642")</f>
        <v>0</v>
      </c>
      <c r="B496" t="s">
        <v>265</v>
      </c>
      <c r="C496" t="s">
        <v>4012</v>
      </c>
      <c r="D496" t="s">
        <v>19035</v>
      </c>
      <c r="E496" t="s">
        <v>19563</v>
      </c>
      <c r="F496" t="s">
        <v>32606</v>
      </c>
      <c r="G496" t="s">
        <v>32614</v>
      </c>
      <c r="H496" t="s">
        <v>14201</v>
      </c>
      <c r="I496" t="s">
        <v>32633</v>
      </c>
      <c r="J496" t="s">
        <v>33165</v>
      </c>
      <c r="K496" t="s">
        <v>42624</v>
      </c>
      <c r="M496" t="s">
        <v>43166</v>
      </c>
      <c r="N496" t="s">
        <v>47304</v>
      </c>
      <c r="O496" t="s">
        <v>47305</v>
      </c>
      <c r="P496">
        <v>0</v>
      </c>
      <c r="Q496">
        <v>4</v>
      </c>
      <c r="R496" t="s">
        <v>47306</v>
      </c>
      <c r="S496" t="s">
        <v>47414</v>
      </c>
      <c r="T496" t="s">
        <v>49076</v>
      </c>
      <c r="U496" t="s">
        <v>50001</v>
      </c>
      <c r="W496" t="s">
        <v>43166</v>
      </c>
      <c r="X496" t="s">
        <v>47308</v>
      </c>
    </row>
    <row r="497" spans="1:24">
      <c r="A497">
        <f>HYPERLINK("https://www.philgeps.gov.ph/GEPSNONPILOT/Tender/SplashBidNoticeAbstractUI.aspx?menuIndex=3&amp;refID=7194641&amp;Result=3","7194641")</f>
        <v>0</v>
      </c>
      <c r="B497" t="s">
        <v>266</v>
      </c>
      <c r="C497" t="s">
        <v>4363</v>
      </c>
      <c r="D497" t="s">
        <v>19055</v>
      </c>
      <c r="E497" t="s">
        <v>19564</v>
      </c>
      <c r="F497" t="s">
        <v>32606</v>
      </c>
      <c r="G497" t="s">
        <v>32613</v>
      </c>
      <c r="H497" t="s">
        <v>32623</v>
      </c>
      <c r="I497" t="s">
        <v>17648</v>
      </c>
      <c r="J497" t="s">
        <v>33166</v>
      </c>
      <c r="K497" t="s">
        <v>42636</v>
      </c>
      <c r="M497" t="s">
        <v>43167</v>
      </c>
      <c r="N497" t="s">
        <v>47304</v>
      </c>
      <c r="O497" t="s">
        <v>47305</v>
      </c>
      <c r="P497">
        <v>0</v>
      </c>
      <c r="Q497">
        <v>0</v>
      </c>
      <c r="R497" t="s">
        <v>47306</v>
      </c>
      <c r="S497" t="s">
        <v>47414</v>
      </c>
      <c r="T497" t="s">
        <v>49077</v>
      </c>
      <c r="U497" t="s">
        <v>50002</v>
      </c>
      <c r="W497" t="s">
        <v>43167</v>
      </c>
      <c r="X497" t="s">
        <v>47308</v>
      </c>
    </row>
    <row r="498" spans="1:24">
      <c r="A498">
        <f>HYPERLINK("https://www.philgeps.gov.ph/GEPSNONPILOT/Tender/SplashBidNoticeAbstractUI.aspx?menuIndex=3&amp;refID=7194607&amp;Result=3","7194607")</f>
        <v>0</v>
      </c>
      <c r="B498" t="s">
        <v>267</v>
      </c>
      <c r="C498" t="s">
        <v>4364</v>
      </c>
      <c r="D498" t="s">
        <v>19006</v>
      </c>
      <c r="E498" t="s">
        <v>19565</v>
      </c>
      <c r="F498" t="s">
        <v>32606</v>
      </c>
      <c r="G498" t="s">
        <v>32613</v>
      </c>
      <c r="H498" t="s">
        <v>32623</v>
      </c>
      <c r="I498" t="s">
        <v>17648</v>
      </c>
      <c r="J498" t="s">
        <v>32981</v>
      </c>
      <c r="K498" t="s">
        <v>42632</v>
      </c>
      <c r="M498" t="s">
        <v>43168</v>
      </c>
      <c r="N498" t="s">
        <v>47304</v>
      </c>
      <c r="O498" t="s">
        <v>47305</v>
      </c>
      <c r="P498">
        <v>0</v>
      </c>
      <c r="Q498">
        <v>0</v>
      </c>
      <c r="R498" t="s">
        <v>47306</v>
      </c>
      <c r="S498" t="s">
        <v>47414</v>
      </c>
      <c r="T498" t="s">
        <v>49065</v>
      </c>
      <c r="U498" t="s">
        <v>50003</v>
      </c>
      <c r="W498" t="s">
        <v>43168</v>
      </c>
      <c r="X498" t="s">
        <v>47308</v>
      </c>
    </row>
    <row r="499" spans="1:24">
      <c r="A499">
        <f>HYPERLINK("https://www.philgeps.gov.ph/GEPSNONPILOT/Tender/SplashBidNoticeAbstractUI.aspx?menuIndex=3&amp;refID=7194638&amp;Result=3","7194638")</f>
        <v>0</v>
      </c>
      <c r="B499" t="s">
        <v>268</v>
      </c>
      <c r="C499" t="s">
        <v>4365</v>
      </c>
      <c r="D499" t="s">
        <v>18993</v>
      </c>
      <c r="E499" t="s">
        <v>19566</v>
      </c>
      <c r="F499" t="s">
        <v>32606</v>
      </c>
      <c r="G499" t="s">
        <v>32614</v>
      </c>
      <c r="H499" t="s">
        <v>14201</v>
      </c>
      <c r="I499" t="s">
        <v>4115</v>
      </c>
      <c r="J499" t="s">
        <v>33167</v>
      </c>
      <c r="K499" t="s">
        <v>42632</v>
      </c>
      <c r="M499" t="s">
        <v>43169</v>
      </c>
      <c r="N499" t="s">
        <v>47304</v>
      </c>
      <c r="O499" t="s">
        <v>47305</v>
      </c>
      <c r="P499">
        <v>0</v>
      </c>
      <c r="Q499">
        <v>17</v>
      </c>
      <c r="R499" t="s">
        <v>47306</v>
      </c>
      <c r="S499" t="s">
        <v>47414</v>
      </c>
      <c r="T499" t="s">
        <v>48979</v>
      </c>
      <c r="U499" t="s">
        <v>50004</v>
      </c>
      <c r="W499" t="s">
        <v>43169</v>
      </c>
      <c r="X499" t="s">
        <v>47308</v>
      </c>
    </row>
    <row r="500" spans="1:24">
      <c r="A500">
        <f>HYPERLINK("https://www.philgeps.gov.ph/GEPSNONPILOT/Tender/SplashBidNoticeAbstractUI.aspx?menuIndex=3&amp;refID=7194636&amp;Result=3","7194636")</f>
        <v>0</v>
      </c>
      <c r="B500" t="s">
        <v>262</v>
      </c>
      <c r="C500" t="s">
        <v>4366</v>
      </c>
      <c r="D500" t="s">
        <v>19038</v>
      </c>
      <c r="E500" t="s">
        <v>19567</v>
      </c>
      <c r="F500" t="s">
        <v>32606</v>
      </c>
      <c r="G500" t="s">
        <v>32619</v>
      </c>
      <c r="H500" t="s">
        <v>14201</v>
      </c>
      <c r="I500" t="s">
        <v>32648</v>
      </c>
      <c r="J500" t="s">
        <v>33168</v>
      </c>
      <c r="K500" t="s">
        <v>42630</v>
      </c>
      <c r="M500" t="s">
        <v>43163</v>
      </c>
      <c r="N500" t="s">
        <v>47304</v>
      </c>
      <c r="O500" t="s">
        <v>47305</v>
      </c>
      <c r="P500">
        <v>0</v>
      </c>
      <c r="Q500">
        <v>0</v>
      </c>
      <c r="R500" t="s">
        <v>47306</v>
      </c>
      <c r="S500" t="s">
        <v>47414</v>
      </c>
      <c r="T500" t="s">
        <v>48986</v>
      </c>
      <c r="U500" t="s">
        <v>50005</v>
      </c>
      <c r="W500" t="s">
        <v>43163</v>
      </c>
      <c r="X500" t="s">
        <v>47308</v>
      </c>
    </row>
    <row r="501" spans="1:24">
      <c r="A501">
        <f>HYPERLINK("https://www.philgeps.gov.ph/GEPSNONPILOT/Tender/SplashBidNoticeAbstractUI.aspx?menuIndex=3&amp;refID=7194578&amp;Result=3","7194578")</f>
        <v>0</v>
      </c>
      <c r="B501" t="s">
        <v>269</v>
      </c>
      <c r="C501" t="s">
        <v>4367</v>
      </c>
      <c r="D501" t="s">
        <v>19023</v>
      </c>
      <c r="E501" t="s">
        <v>19568</v>
      </c>
      <c r="F501" t="s">
        <v>32606</v>
      </c>
      <c r="G501" t="s">
        <v>32614</v>
      </c>
      <c r="H501" t="s">
        <v>14201</v>
      </c>
      <c r="I501" t="s">
        <v>6993</v>
      </c>
      <c r="J501" t="s">
        <v>33169</v>
      </c>
      <c r="K501" t="s">
        <v>42622</v>
      </c>
      <c r="M501" t="s">
        <v>43170</v>
      </c>
      <c r="N501" t="s">
        <v>47304</v>
      </c>
      <c r="O501" t="s">
        <v>47305</v>
      </c>
      <c r="P501">
        <v>0</v>
      </c>
      <c r="Q501">
        <v>0</v>
      </c>
      <c r="R501" t="s">
        <v>47306</v>
      </c>
      <c r="S501" t="s">
        <v>47414</v>
      </c>
      <c r="T501" t="s">
        <v>49050</v>
      </c>
      <c r="U501" t="s">
        <v>50006</v>
      </c>
      <c r="W501" t="s">
        <v>43170</v>
      </c>
      <c r="X501" t="s">
        <v>47308</v>
      </c>
    </row>
    <row r="502" spans="1:24">
      <c r="A502">
        <f>HYPERLINK("https://www.philgeps.gov.ph/GEPSNONPILOT/Tender/SplashBidNoticeAbstractUI.aspx?menuIndex=3&amp;refID=7194634&amp;Result=3","7194634")</f>
        <v>0</v>
      </c>
      <c r="B502" t="s">
        <v>230</v>
      </c>
      <c r="C502" t="s">
        <v>4368</v>
      </c>
      <c r="D502" t="s">
        <v>19015</v>
      </c>
      <c r="E502" t="s">
        <v>19569</v>
      </c>
      <c r="F502" t="s">
        <v>32606</v>
      </c>
      <c r="G502" t="s">
        <v>32613</v>
      </c>
      <c r="H502" t="s">
        <v>32623</v>
      </c>
      <c r="I502" t="s">
        <v>17648</v>
      </c>
      <c r="J502" t="s">
        <v>32789</v>
      </c>
      <c r="K502" t="s">
        <v>42630</v>
      </c>
      <c r="M502" t="s">
        <v>43131</v>
      </c>
      <c r="N502" t="s">
        <v>47304</v>
      </c>
      <c r="O502" t="s">
        <v>47305</v>
      </c>
      <c r="P502">
        <v>0</v>
      </c>
      <c r="Q502">
        <v>1</v>
      </c>
      <c r="R502" t="s">
        <v>47306</v>
      </c>
      <c r="S502" t="s">
        <v>47414</v>
      </c>
      <c r="T502" t="s">
        <v>48989</v>
      </c>
      <c r="U502" t="s">
        <v>50007</v>
      </c>
      <c r="V502" t="s">
        <v>62708</v>
      </c>
      <c r="W502" t="s">
        <v>43131</v>
      </c>
      <c r="X502" t="s">
        <v>47308</v>
      </c>
    </row>
    <row r="503" spans="1:24">
      <c r="A503">
        <f>HYPERLINK("https://www.philgeps.gov.ph/GEPSNONPILOT/Tender/SplashBidNoticeAbstractUI.aspx?menuIndex=3&amp;refID=7194643&amp;Result=3","7194643")</f>
        <v>0</v>
      </c>
      <c r="B503" t="s">
        <v>270</v>
      </c>
      <c r="C503" t="s">
        <v>4369</v>
      </c>
      <c r="D503" t="s">
        <v>18993</v>
      </c>
      <c r="E503" t="s">
        <v>19570</v>
      </c>
      <c r="F503" t="s">
        <v>32606</v>
      </c>
      <c r="G503" t="s">
        <v>32614</v>
      </c>
      <c r="H503" t="s">
        <v>14201</v>
      </c>
      <c r="I503" t="s">
        <v>4369</v>
      </c>
      <c r="J503" t="s">
        <v>33170</v>
      </c>
      <c r="K503" t="s">
        <v>42630</v>
      </c>
      <c r="M503" t="s">
        <v>43171</v>
      </c>
      <c r="N503" t="s">
        <v>47304</v>
      </c>
      <c r="O503" t="s">
        <v>47305</v>
      </c>
      <c r="P503">
        <v>0</v>
      </c>
      <c r="Q503">
        <v>11</v>
      </c>
      <c r="R503" t="s">
        <v>47306</v>
      </c>
      <c r="S503" t="s">
        <v>47414</v>
      </c>
      <c r="T503" t="s">
        <v>49010</v>
      </c>
      <c r="U503" t="s">
        <v>50008</v>
      </c>
      <c r="V503" t="s">
        <v>62709</v>
      </c>
      <c r="W503" t="s">
        <v>43171</v>
      </c>
      <c r="X503" t="s">
        <v>47308</v>
      </c>
    </row>
    <row r="504" spans="1:24">
      <c r="A504">
        <f>HYPERLINK("https://www.philgeps.gov.ph/GEPSNONPILOT/Tender/SplashBidNoticeAbstractUI.aspx?menuIndex=3&amp;refID=7194632&amp;Result=3","7194632")</f>
        <v>0</v>
      </c>
      <c r="B504" t="s">
        <v>271</v>
      </c>
      <c r="C504" t="s">
        <v>4370</v>
      </c>
      <c r="D504" t="s">
        <v>19040</v>
      </c>
      <c r="E504" t="s">
        <v>19571</v>
      </c>
      <c r="F504" t="s">
        <v>32606</v>
      </c>
      <c r="G504" t="s">
        <v>32614</v>
      </c>
      <c r="H504" t="s">
        <v>14201</v>
      </c>
      <c r="I504" t="s">
        <v>32670</v>
      </c>
      <c r="J504" t="s">
        <v>32999</v>
      </c>
      <c r="K504" t="s">
        <v>42623</v>
      </c>
      <c r="M504" t="s">
        <v>43172</v>
      </c>
      <c r="N504" t="s">
        <v>47304</v>
      </c>
      <c r="O504" t="s">
        <v>47305</v>
      </c>
      <c r="P504">
        <v>0</v>
      </c>
      <c r="Q504">
        <v>2</v>
      </c>
      <c r="R504" t="s">
        <v>47306</v>
      </c>
      <c r="S504" t="s">
        <v>47414</v>
      </c>
      <c r="T504" t="s">
        <v>49014</v>
      </c>
      <c r="U504" t="s">
        <v>50009</v>
      </c>
      <c r="W504" t="s">
        <v>43172</v>
      </c>
      <c r="X504" t="s">
        <v>47308</v>
      </c>
    </row>
    <row r="505" spans="1:24">
      <c r="A505">
        <f>HYPERLINK("https://www.philgeps.gov.ph/GEPSNONPILOT/Tender/SplashBidNoticeAbstractUI.aspx?menuIndex=3&amp;refID=7194630&amp;Result=3","7194630")</f>
        <v>0</v>
      </c>
      <c r="B505" t="s">
        <v>272</v>
      </c>
      <c r="C505" t="s">
        <v>4371</v>
      </c>
      <c r="D505" t="s">
        <v>19002</v>
      </c>
      <c r="E505" t="s">
        <v>19572</v>
      </c>
      <c r="F505" t="s">
        <v>32606</v>
      </c>
      <c r="G505" t="s">
        <v>32613</v>
      </c>
      <c r="H505" t="s">
        <v>14201</v>
      </c>
      <c r="I505" t="s">
        <v>7064</v>
      </c>
      <c r="J505" t="s">
        <v>33171</v>
      </c>
      <c r="K505" t="s">
        <v>42624</v>
      </c>
      <c r="M505" t="s">
        <v>43173</v>
      </c>
      <c r="N505" t="s">
        <v>47304</v>
      </c>
      <c r="O505" t="s">
        <v>47305</v>
      </c>
      <c r="P505">
        <v>0</v>
      </c>
      <c r="Q505">
        <v>0</v>
      </c>
      <c r="R505" t="s">
        <v>47306</v>
      </c>
      <c r="S505" t="s">
        <v>47414</v>
      </c>
      <c r="T505" t="s">
        <v>48977</v>
      </c>
      <c r="U505" t="s">
        <v>50010</v>
      </c>
      <c r="W505" t="s">
        <v>43173</v>
      </c>
      <c r="X505" t="s">
        <v>47308</v>
      </c>
    </row>
    <row r="506" spans="1:24">
      <c r="A506">
        <f>HYPERLINK("https://www.philgeps.gov.ph/GEPSNONPILOT/Tender/SplashBidNoticeAbstractUI.aspx?menuIndex=3&amp;refID=7194608&amp;Result=3","7194608")</f>
        <v>0</v>
      </c>
      <c r="B506" t="s">
        <v>273</v>
      </c>
      <c r="C506" t="s">
        <v>4372</v>
      </c>
      <c r="D506" t="s">
        <v>19037</v>
      </c>
      <c r="E506" t="s">
        <v>19573</v>
      </c>
      <c r="F506" t="s">
        <v>32606</v>
      </c>
      <c r="G506" t="s">
        <v>32614</v>
      </c>
      <c r="H506" t="s">
        <v>14201</v>
      </c>
      <c r="I506" t="s">
        <v>32633</v>
      </c>
      <c r="J506" t="s">
        <v>33172</v>
      </c>
      <c r="K506" t="s">
        <v>42623</v>
      </c>
      <c r="M506" t="s">
        <v>43174</v>
      </c>
      <c r="N506" t="s">
        <v>47304</v>
      </c>
      <c r="O506" t="s">
        <v>47305</v>
      </c>
      <c r="P506">
        <v>0</v>
      </c>
      <c r="Q506">
        <v>2</v>
      </c>
      <c r="R506" t="s">
        <v>47306</v>
      </c>
      <c r="S506" t="s">
        <v>47414</v>
      </c>
      <c r="T506" t="s">
        <v>48987</v>
      </c>
      <c r="U506" t="s">
        <v>50011</v>
      </c>
      <c r="W506" t="s">
        <v>43174</v>
      </c>
      <c r="X506" t="s">
        <v>47308</v>
      </c>
    </row>
    <row r="507" spans="1:24">
      <c r="A507">
        <f>HYPERLINK("https://www.philgeps.gov.ph/GEPSNONPILOT/Tender/SplashBidNoticeAbstractUI.aspx?menuIndex=3&amp;refID=7194635&amp;Result=3","7194635")</f>
        <v>0</v>
      </c>
      <c r="B507" t="s">
        <v>274</v>
      </c>
      <c r="C507" t="s">
        <v>4373</v>
      </c>
      <c r="D507" t="s">
        <v>19014</v>
      </c>
      <c r="E507" t="s">
        <v>19574</v>
      </c>
      <c r="F507" t="s">
        <v>32606</v>
      </c>
      <c r="G507" t="s">
        <v>32619</v>
      </c>
      <c r="H507" t="s">
        <v>14201</v>
      </c>
      <c r="I507" t="s">
        <v>4120</v>
      </c>
      <c r="J507" t="s">
        <v>33173</v>
      </c>
      <c r="K507" t="s">
        <v>42674</v>
      </c>
      <c r="M507" t="s">
        <v>43175</v>
      </c>
      <c r="N507" t="s">
        <v>47304</v>
      </c>
      <c r="O507" t="s">
        <v>47305</v>
      </c>
      <c r="P507">
        <v>0</v>
      </c>
      <c r="Q507">
        <v>2</v>
      </c>
      <c r="R507" t="s">
        <v>47306</v>
      </c>
      <c r="S507" t="s">
        <v>47414</v>
      </c>
      <c r="T507" t="s">
        <v>49004</v>
      </c>
      <c r="U507" t="s">
        <v>50012</v>
      </c>
      <c r="V507" t="s">
        <v>62710</v>
      </c>
      <c r="W507" t="s">
        <v>43175</v>
      </c>
      <c r="X507" t="s">
        <v>47308</v>
      </c>
    </row>
    <row r="508" spans="1:24">
      <c r="A508">
        <f>HYPERLINK("https://www.philgeps.gov.ph/GEPSNONPILOT/Tender/SplashBidNoticeAbstractUI.aspx?menuIndex=3&amp;refID=7194644&amp;Result=3","7194644")</f>
        <v>0</v>
      </c>
      <c r="B508" t="s">
        <v>275</v>
      </c>
      <c r="C508" t="s">
        <v>4374</v>
      </c>
      <c r="D508" t="s">
        <v>19011</v>
      </c>
      <c r="E508" t="s">
        <v>19575</v>
      </c>
      <c r="F508" t="s">
        <v>32606</v>
      </c>
      <c r="G508" t="s">
        <v>32619</v>
      </c>
      <c r="H508" t="s">
        <v>14201</v>
      </c>
      <c r="I508" t="s">
        <v>4114</v>
      </c>
      <c r="J508" t="s">
        <v>33174</v>
      </c>
      <c r="K508" t="s">
        <v>42629</v>
      </c>
      <c r="M508" t="s">
        <v>43176</v>
      </c>
      <c r="N508" t="s">
        <v>47304</v>
      </c>
      <c r="O508" t="s">
        <v>47305</v>
      </c>
      <c r="P508">
        <v>0</v>
      </c>
      <c r="Q508">
        <v>2</v>
      </c>
      <c r="R508" t="s">
        <v>47306</v>
      </c>
      <c r="S508" t="s">
        <v>47414</v>
      </c>
      <c r="T508" t="s">
        <v>49014</v>
      </c>
      <c r="U508" t="s">
        <v>50013</v>
      </c>
      <c r="V508" t="s">
        <v>62711</v>
      </c>
      <c r="W508" t="s">
        <v>43176</v>
      </c>
      <c r="X508" t="s">
        <v>47308</v>
      </c>
    </row>
    <row r="509" spans="1:24">
      <c r="A509">
        <f>HYPERLINK("https://www.philgeps.gov.ph/GEPSNONPILOT/Tender/SplashBidNoticeAbstractUI.aspx?menuIndex=3&amp;refID=7194665&amp;Result=3","7194665")</f>
        <v>0</v>
      </c>
      <c r="B509" t="s">
        <v>252</v>
      </c>
      <c r="C509" t="s">
        <v>4375</v>
      </c>
      <c r="D509" t="s">
        <v>19010</v>
      </c>
      <c r="E509" t="s">
        <v>19576</v>
      </c>
      <c r="F509" t="s">
        <v>32606</v>
      </c>
      <c r="G509" t="s">
        <v>32613</v>
      </c>
      <c r="H509" t="s">
        <v>32623</v>
      </c>
      <c r="I509" t="s">
        <v>17648</v>
      </c>
      <c r="J509" t="s">
        <v>33175</v>
      </c>
      <c r="K509" t="s">
        <v>42676</v>
      </c>
      <c r="M509" t="s">
        <v>43153</v>
      </c>
      <c r="N509" t="s">
        <v>47304</v>
      </c>
      <c r="O509" t="s">
        <v>47305</v>
      </c>
      <c r="P509">
        <v>0</v>
      </c>
      <c r="Q509">
        <v>0</v>
      </c>
      <c r="R509" t="s">
        <v>47306</v>
      </c>
      <c r="S509" t="s">
        <v>47414</v>
      </c>
      <c r="T509" t="s">
        <v>48990</v>
      </c>
      <c r="U509" t="s">
        <v>50014</v>
      </c>
      <c r="W509" t="s">
        <v>43153</v>
      </c>
      <c r="X509" t="s">
        <v>47308</v>
      </c>
    </row>
    <row r="510" spans="1:24">
      <c r="A510">
        <f>HYPERLINK("https://www.philgeps.gov.ph/GEPSNONPILOT/Tender/SplashBidNoticeAbstractUI.aspx?menuIndex=3&amp;refID=7194633&amp;Result=3","7194633")</f>
        <v>0</v>
      </c>
      <c r="B510" t="s">
        <v>228</v>
      </c>
      <c r="C510" t="s">
        <v>4376</v>
      </c>
      <c r="D510" t="s">
        <v>19030</v>
      </c>
      <c r="E510" t="s">
        <v>19577</v>
      </c>
      <c r="F510" t="s">
        <v>32606</v>
      </c>
      <c r="G510" t="s">
        <v>32613</v>
      </c>
      <c r="H510" t="s">
        <v>32623</v>
      </c>
      <c r="I510" t="s">
        <v>17648</v>
      </c>
      <c r="J510" t="s">
        <v>32767</v>
      </c>
      <c r="K510" t="s">
        <v>42672</v>
      </c>
      <c r="M510" t="s">
        <v>43129</v>
      </c>
      <c r="N510" t="s">
        <v>47304</v>
      </c>
      <c r="O510" t="s">
        <v>47305</v>
      </c>
      <c r="P510">
        <v>0</v>
      </c>
      <c r="Q510">
        <v>0</v>
      </c>
      <c r="R510" t="s">
        <v>47306</v>
      </c>
      <c r="S510" t="s">
        <v>47414</v>
      </c>
      <c r="T510" t="s">
        <v>49009</v>
      </c>
      <c r="U510" t="s">
        <v>50015</v>
      </c>
      <c r="W510" t="s">
        <v>43129</v>
      </c>
      <c r="X510" t="s">
        <v>47308</v>
      </c>
    </row>
    <row r="511" spans="1:24">
      <c r="A511">
        <f>HYPERLINK("https://www.philgeps.gov.ph/GEPSNONPILOT/Tender/SplashBidNoticeAbstractUI.aspx?menuIndex=3&amp;refID=7194664&amp;Result=3","7194664")</f>
        <v>0</v>
      </c>
      <c r="B511" t="s">
        <v>276</v>
      </c>
      <c r="C511" t="s">
        <v>4377</v>
      </c>
      <c r="D511" t="s">
        <v>19001</v>
      </c>
      <c r="E511" t="s">
        <v>19578</v>
      </c>
      <c r="F511" t="s">
        <v>32606</v>
      </c>
      <c r="G511" t="s">
        <v>32614</v>
      </c>
      <c r="H511" t="s">
        <v>14201</v>
      </c>
      <c r="I511" t="s">
        <v>6298</v>
      </c>
      <c r="J511" t="s">
        <v>32765</v>
      </c>
      <c r="K511" t="s">
        <v>42622</v>
      </c>
      <c r="M511" t="s">
        <v>43177</v>
      </c>
      <c r="N511" t="s">
        <v>47304</v>
      </c>
      <c r="O511" t="s">
        <v>47305</v>
      </c>
      <c r="P511">
        <v>0</v>
      </c>
      <c r="Q511">
        <v>3</v>
      </c>
      <c r="R511" t="s">
        <v>47306</v>
      </c>
      <c r="S511" t="s">
        <v>47414</v>
      </c>
      <c r="T511" t="s">
        <v>48986</v>
      </c>
      <c r="U511" t="s">
        <v>50016</v>
      </c>
      <c r="W511" t="s">
        <v>43177</v>
      </c>
      <c r="X511" t="s">
        <v>47308</v>
      </c>
    </row>
    <row r="512" spans="1:24">
      <c r="A512">
        <f>HYPERLINK("https://www.philgeps.gov.ph/GEPSNONPILOT/Tender/SplashBidNoticeAbstractUI.aspx?menuIndex=3&amp;refID=7194631&amp;Result=3","7194631")</f>
        <v>0</v>
      </c>
      <c r="B512" t="s">
        <v>277</v>
      </c>
      <c r="C512" t="s">
        <v>4378</v>
      </c>
      <c r="D512" t="s">
        <v>19014</v>
      </c>
      <c r="E512" t="s">
        <v>19579</v>
      </c>
      <c r="F512" t="s">
        <v>32606</v>
      </c>
      <c r="G512" t="s">
        <v>32617</v>
      </c>
      <c r="H512" t="s">
        <v>14201</v>
      </c>
      <c r="I512" t="s">
        <v>8682</v>
      </c>
      <c r="J512" t="s">
        <v>33176</v>
      </c>
      <c r="K512" t="s">
        <v>42624</v>
      </c>
      <c r="M512" t="s">
        <v>43178</v>
      </c>
      <c r="N512" t="s">
        <v>47304</v>
      </c>
      <c r="O512" t="s">
        <v>47305</v>
      </c>
      <c r="P512">
        <v>0</v>
      </c>
      <c r="Q512">
        <v>3</v>
      </c>
      <c r="R512" t="s">
        <v>47306</v>
      </c>
      <c r="S512" t="s">
        <v>47414</v>
      </c>
      <c r="T512" t="s">
        <v>49004</v>
      </c>
      <c r="U512" t="s">
        <v>50017</v>
      </c>
      <c r="W512" t="s">
        <v>64426</v>
      </c>
      <c r="X512" t="s">
        <v>47308</v>
      </c>
    </row>
    <row r="513" spans="1:24">
      <c r="A513">
        <f>HYPERLINK("https://www.philgeps.gov.ph/GEPSNONPILOT/Tender/SplashBidNoticeAbstractUI.aspx?menuIndex=3&amp;refID=7194629&amp;Result=3","7194629")</f>
        <v>0</v>
      </c>
      <c r="B513" t="s">
        <v>99</v>
      </c>
      <c r="C513" t="s">
        <v>4379</v>
      </c>
      <c r="D513" t="s">
        <v>19027</v>
      </c>
      <c r="E513" t="s">
        <v>19580</v>
      </c>
      <c r="F513" t="s">
        <v>32606</v>
      </c>
      <c r="G513" t="s">
        <v>32614</v>
      </c>
      <c r="H513" t="s">
        <v>14201</v>
      </c>
      <c r="I513" t="s">
        <v>32667</v>
      </c>
      <c r="J513" t="s">
        <v>33177</v>
      </c>
      <c r="K513" t="s">
        <v>42630</v>
      </c>
      <c r="L513" t="s">
        <v>99</v>
      </c>
      <c r="M513" t="s">
        <v>42997</v>
      </c>
      <c r="N513" t="s">
        <v>47304</v>
      </c>
      <c r="O513" t="s">
        <v>47305</v>
      </c>
      <c r="P513">
        <v>0</v>
      </c>
      <c r="Q513">
        <v>0</v>
      </c>
      <c r="R513" t="s">
        <v>47306</v>
      </c>
      <c r="S513" t="s">
        <v>47414</v>
      </c>
      <c r="T513" t="s">
        <v>49067</v>
      </c>
      <c r="U513" t="s">
        <v>50018</v>
      </c>
      <c r="V513" t="s">
        <v>62712</v>
      </c>
      <c r="W513" t="s">
        <v>42997</v>
      </c>
      <c r="X513" t="s">
        <v>47308</v>
      </c>
    </row>
    <row r="514" spans="1:24">
      <c r="A514">
        <f>HYPERLINK("https://www.philgeps.gov.ph/GEPSNONPILOT/Tender/SplashBidNoticeAbstractUI.aspx?menuIndex=3&amp;refID=7194639&amp;Result=3","7194639")</f>
        <v>0</v>
      </c>
      <c r="B514" t="s">
        <v>278</v>
      </c>
      <c r="C514" t="s">
        <v>4380</v>
      </c>
      <c r="D514" t="s">
        <v>18993</v>
      </c>
      <c r="E514" t="s">
        <v>19581</v>
      </c>
      <c r="F514" t="s">
        <v>32606</v>
      </c>
      <c r="G514" t="s">
        <v>32614</v>
      </c>
      <c r="H514" t="s">
        <v>14201</v>
      </c>
      <c r="I514" t="s">
        <v>6993</v>
      </c>
      <c r="J514" t="s">
        <v>33178</v>
      </c>
      <c r="K514" t="s">
        <v>42631</v>
      </c>
      <c r="M514" t="s">
        <v>43179</v>
      </c>
      <c r="N514" t="s">
        <v>47304</v>
      </c>
      <c r="O514" t="s">
        <v>47305</v>
      </c>
      <c r="P514">
        <v>0</v>
      </c>
      <c r="Q514">
        <v>1</v>
      </c>
      <c r="R514" t="s">
        <v>47306</v>
      </c>
      <c r="S514" t="s">
        <v>47414</v>
      </c>
      <c r="T514" t="s">
        <v>49004</v>
      </c>
      <c r="U514" t="s">
        <v>50019</v>
      </c>
      <c r="W514" t="s">
        <v>43179</v>
      </c>
      <c r="X514" t="s">
        <v>47308</v>
      </c>
    </row>
    <row r="515" spans="1:24">
      <c r="A515">
        <f>HYPERLINK("https://www.philgeps.gov.ph/GEPSNONPILOT/Tender/SplashBidNoticeAbstractUI.aspx?menuIndex=3&amp;refID=7194663&amp;Result=3","7194663")</f>
        <v>0</v>
      </c>
      <c r="B515" t="s">
        <v>183</v>
      </c>
      <c r="C515" t="s">
        <v>4381</v>
      </c>
      <c r="D515" t="s">
        <v>19002</v>
      </c>
      <c r="E515" t="s">
        <v>19582</v>
      </c>
      <c r="F515" t="s">
        <v>32606</v>
      </c>
      <c r="G515" t="s">
        <v>32614</v>
      </c>
      <c r="H515" t="s">
        <v>14201</v>
      </c>
      <c r="I515" t="s">
        <v>6993</v>
      </c>
      <c r="J515" t="s">
        <v>33179</v>
      </c>
      <c r="K515" t="s">
        <v>42630</v>
      </c>
      <c r="M515" t="s">
        <v>43084</v>
      </c>
      <c r="N515" t="s">
        <v>47304</v>
      </c>
      <c r="O515" t="s">
        <v>47305</v>
      </c>
      <c r="P515">
        <v>0</v>
      </c>
      <c r="Q515">
        <v>0</v>
      </c>
      <c r="R515" t="s">
        <v>47306</v>
      </c>
      <c r="S515" t="s">
        <v>47414</v>
      </c>
      <c r="T515" t="s">
        <v>48986</v>
      </c>
      <c r="U515" t="s">
        <v>50020</v>
      </c>
      <c r="W515" t="s">
        <v>43084</v>
      </c>
      <c r="X515" t="s">
        <v>47308</v>
      </c>
    </row>
    <row r="516" spans="1:24">
      <c r="A516">
        <f>HYPERLINK("https://www.philgeps.gov.ph/GEPSNONPILOT/Tender/SplashBidNoticeAbstractUI.aspx?menuIndex=3&amp;refID=7194658&amp;Result=3","7194658")</f>
        <v>0</v>
      </c>
      <c r="B516" t="s">
        <v>279</v>
      </c>
      <c r="C516" t="s">
        <v>4382</v>
      </c>
      <c r="D516" t="s">
        <v>19047</v>
      </c>
      <c r="E516" t="s">
        <v>19583</v>
      </c>
      <c r="F516" t="s">
        <v>32606</v>
      </c>
      <c r="G516" t="s">
        <v>32617</v>
      </c>
      <c r="H516" t="s">
        <v>14201</v>
      </c>
      <c r="I516" t="s">
        <v>4114</v>
      </c>
      <c r="J516" t="s">
        <v>33180</v>
      </c>
      <c r="K516" t="s">
        <v>42627</v>
      </c>
      <c r="M516" t="s">
        <v>43180</v>
      </c>
      <c r="N516" t="s">
        <v>47304</v>
      </c>
      <c r="O516" t="s">
        <v>47305</v>
      </c>
      <c r="P516">
        <v>0</v>
      </c>
      <c r="Q516">
        <v>4</v>
      </c>
      <c r="R516" t="s">
        <v>47306</v>
      </c>
      <c r="S516" t="s">
        <v>47414</v>
      </c>
      <c r="T516" t="s">
        <v>49004</v>
      </c>
      <c r="U516" t="s">
        <v>50021</v>
      </c>
      <c r="V516" t="s">
        <v>62713</v>
      </c>
      <c r="W516" t="s">
        <v>43180</v>
      </c>
      <c r="X516" t="s">
        <v>47308</v>
      </c>
    </row>
    <row r="517" spans="1:24">
      <c r="A517">
        <f>HYPERLINK("https://www.philgeps.gov.ph/GEPSNONPILOT/Tender/SplashBidNoticeAbstractUI.aspx?menuIndex=3&amp;refID=7194656&amp;Result=3","7194656")</f>
        <v>0</v>
      </c>
      <c r="B517" t="s">
        <v>228</v>
      </c>
      <c r="C517" t="s">
        <v>4383</v>
      </c>
      <c r="D517" t="s">
        <v>19030</v>
      </c>
      <c r="E517" t="s">
        <v>19584</v>
      </c>
      <c r="F517" t="s">
        <v>32606</v>
      </c>
      <c r="G517" t="s">
        <v>32613</v>
      </c>
      <c r="H517" t="s">
        <v>32623</v>
      </c>
      <c r="I517" t="s">
        <v>17648</v>
      </c>
      <c r="J517" t="s">
        <v>32778</v>
      </c>
      <c r="K517" t="s">
        <v>42677</v>
      </c>
      <c r="M517" t="s">
        <v>43129</v>
      </c>
      <c r="N517" t="s">
        <v>47304</v>
      </c>
      <c r="O517" t="s">
        <v>47305</v>
      </c>
      <c r="P517">
        <v>0</v>
      </c>
      <c r="Q517">
        <v>0</v>
      </c>
      <c r="R517" t="s">
        <v>47306</v>
      </c>
      <c r="S517" t="s">
        <v>47414</v>
      </c>
      <c r="T517" t="s">
        <v>49009</v>
      </c>
      <c r="U517" t="s">
        <v>50022</v>
      </c>
      <c r="W517" t="s">
        <v>43129</v>
      </c>
      <c r="X517" t="s">
        <v>47308</v>
      </c>
    </row>
    <row r="518" spans="1:24">
      <c r="A518">
        <f>HYPERLINK("https://www.philgeps.gov.ph/GEPSNONPILOT/Tender/SplashBidNoticeAbstractUI.aspx?menuIndex=3&amp;refID=7194662&amp;Result=3","7194662")</f>
        <v>0</v>
      </c>
      <c r="B518" t="s">
        <v>272</v>
      </c>
      <c r="C518" t="s">
        <v>4384</v>
      </c>
      <c r="D518" t="s">
        <v>19002</v>
      </c>
      <c r="E518" t="s">
        <v>19572</v>
      </c>
      <c r="F518" t="s">
        <v>32606</v>
      </c>
      <c r="G518" t="s">
        <v>32613</v>
      </c>
      <c r="H518" t="s">
        <v>14201</v>
      </c>
      <c r="I518" t="s">
        <v>6931</v>
      </c>
      <c r="J518" t="s">
        <v>33181</v>
      </c>
      <c r="K518" t="s">
        <v>42624</v>
      </c>
      <c r="M518" t="s">
        <v>43173</v>
      </c>
      <c r="N518" t="s">
        <v>47304</v>
      </c>
      <c r="O518" t="s">
        <v>47305</v>
      </c>
      <c r="P518">
        <v>0</v>
      </c>
      <c r="Q518">
        <v>0</v>
      </c>
      <c r="R518" t="s">
        <v>47306</v>
      </c>
      <c r="S518" t="s">
        <v>47414</v>
      </c>
      <c r="T518" t="s">
        <v>48977</v>
      </c>
      <c r="U518" t="s">
        <v>50023</v>
      </c>
      <c r="W518" t="s">
        <v>43173</v>
      </c>
      <c r="X518" t="s">
        <v>47308</v>
      </c>
    </row>
    <row r="519" spans="1:24">
      <c r="A519">
        <f>HYPERLINK("https://www.philgeps.gov.ph/GEPSNONPILOT/Tender/SplashBidNoticeAbstractUI.aspx?menuIndex=3&amp;refID=7194655&amp;Result=3","7194655")</f>
        <v>0</v>
      </c>
      <c r="B519" t="s">
        <v>280</v>
      </c>
      <c r="C519" t="s">
        <v>4385</v>
      </c>
      <c r="D519" t="s">
        <v>19028</v>
      </c>
      <c r="E519" t="s">
        <v>19585</v>
      </c>
      <c r="F519" t="s">
        <v>32607</v>
      </c>
      <c r="G519" t="s">
        <v>32614</v>
      </c>
      <c r="H519" t="s">
        <v>14201</v>
      </c>
      <c r="I519" t="s">
        <v>6298</v>
      </c>
      <c r="J519" t="s">
        <v>33182</v>
      </c>
      <c r="K519" t="s">
        <v>42623</v>
      </c>
      <c r="M519" t="s">
        <v>43181</v>
      </c>
      <c r="N519" t="s">
        <v>47304</v>
      </c>
      <c r="O519" t="s">
        <v>47305</v>
      </c>
      <c r="P519">
        <v>0</v>
      </c>
      <c r="Q519">
        <v>0</v>
      </c>
      <c r="R519" t="s">
        <v>47306</v>
      </c>
      <c r="S519" t="s">
        <v>47414</v>
      </c>
      <c r="T519" t="s">
        <v>49002</v>
      </c>
      <c r="U519" t="s">
        <v>50024</v>
      </c>
      <c r="W519" t="s">
        <v>43181</v>
      </c>
      <c r="X519" t="s">
        <v>47308</v>
      </c>
    </row>
    <row r="520" spans="1:24">
      <c r="A520">
        <f>HYPERLINK("https://www.philgeps.gov.ph/GEPSNONPILOT/Tender/SplashBidNoticeAbstractUI.aspx?menuIndex=3&amp;refID=7194654&amp;Result=3","7194654")</f>
        <v>0</v>
      </c>
      <c r="B520" t="s">
        <v>281</v>
      </c>
      <c r="C520" t="s">
        <v>4386</v>
      </c>
      <c r="D520" t="s">
        <v>18994</v>
      </c>
      <c r="E520" t="s">
        <v>19586</v>
      </c>
      <c r="F520" t="s">
        <v>32606</v>
      </c>
      <c r="G520" t="s">
        <v>32614</v>
      </c>
      <c r="H520" t="s">
        <v>14201</v>
      </c>
      <c r="I520" t="s">
        <v>6007</v>
      </c>
      <c r="J520" t="s">
        <v>33183</v>
      </c>
      <c r="K520" t="s">
        <v>42625</v>
      </c>
      <c r="M520" t="s">
        <v>43182</v>
      </c>
      <c r="N520" t="s">
        <v>47304</v>
      </c>
      <c r="O520" t="s">
        <v>47305</v>
      </c>
      <c r="P520">
        <v>0</v>
      </c>
      <c r="Q520">
        <v>1</v>
      </c>
      <c r="R520" t="s">
        <v>47306</v>
      </c>
      <c r="S520" t="s">
        <v>47414</v>
      </c>
      <c r="T520" t="s">
        <v>48979</v>
      </c>
      <c r="U520" t="s">
        <v>50025</v>
      </c>
      <c r="W520" t="s">
        <v>43182</v>
      </c>
      <c r="X520" t="s">
        <v>47308</v>
      </c>
    </row>
    <row r="521" spans="1:24">
      <c r="A521">
        <f>HYPERLINK("https://www.philgeps.gov.ph/GEPSNONPILOT/Tender/SplashBidNoticeAbstractUI.aspx?menuIndex=3&amp;refID=7194660&amp;Result=3","7194660")</f>
        <v>0</v>
      </c>
      <c r="B521" t="s">
        <v>282</v>
      </c>
      <c r="C521" t="s">
        <v>4387</v>
      </c>
      <c r="D521" t="s">
        <v>19051</v>
      </c>
      <c r="E521" t="s">
        <v>19587</v>
      </c>
      <c r="F521" t="s">
        <v>32606</v>
      </c>
      <c r="G521" t="s">
        <v>32617</v>
      </c>
      <c r="H521" t="s">
        <v>14201</v>
      </c>
      <c r="I521" t="s">
        <v>6993</v>
      </c>
      <c r="J521" t="s">
        <v>33184</v>
      </c>
      <c r="K521" t="s">
        <v>42631</v>
      </c>
      <c r="M521" t="s">
        <v>43183</v>
      </c>
      <c r="N521" t="s">
        <v>47304</v>
      </c>
      <c r="O521" t="s">
        <v>47305</v>
      </c>
      <c r="P521">
        <v>0</v>
      </c>
      <c r="Q521">
        <v>0</v>
      </c>
      <c r="R521" t="s">
        <v>47306</v>
      </c>
      <c r="S521" t="s">
        <v>47414</v>
      </c>
      <c r="T521" t="s">
        <v>48980</v>
      </c>
      <c r="U521" t="s">
        <v>50026</v>
      </c>
      <c r="W521" t="s">
        <v>43183</v>
      </c>
      <c r="X521" t="s">
        <v>47308</v>
      </c>
    </row>
    <row r="522" spans="1:24">
      <c r="A522">
        <f>HYPERLINK("https://www.philgeps.gov.ph/GEPSNONPILOT/Tender/SplashBidNoticeAbstractUI.aspx?menuIndex=3&amp;refID=7194653&amp;Result=3","7194653")</f>
        <v>0</v>
      </c>
      <c r="B522" t="s">
        <v>229</v>
      </c>
      <c r="C522" t="s">
        <v>4388</v>
      </c>
      <c r="D522" t="s">
        <v>18992</v>
      </c>
      <c r="E522" t="s">
        <v>19588</v>
      </c>
      <c r="F522" t="s">
        <v>32606</v>
      </c>
      <c r="G522" t="s">
        <v>32619</v>
      </c>
      <c r="H522" t="s">
        <v>14201</v>
      </c>
      <c r="I522" t="s">
        <v>6993</v>
      </c>
      <c r="J522" t="s">
        <v>33185</v>
      </c>
      <c r="K522" t="s">
        <v>42627</v>
      </c>
      <c r="M522" t="s">
        <v>43130</v>
      </c>
      <c r="N522" t="s">
        <v>47304</v>
      </c>
      <c r="O522" t="s">
        <v>47305</v>
      </c>
      <c r="P522">
        <v>0</v>
      </c>
      <c r="Q522">
        <v>0</v>
      </c>
      <c r="R522" t="s">
        <v>47306</v>
      </c>
      <c r="S522" t="s">
        <v>47414</v>
      </c>
      <c r="T522" t="s">
        <v>49068</v>
      </c>
      <c r="U522" t="s">
        <v>50027</v>
      </c>
      <c r="W522" t="s">
        <v>43130</v>
      </c>
      <c r="X522" t="s">
        <v>47308</v>
      </c>
    </row>
    <row r="523" spans="1:24">
      <c r="A523">
        <f>HYPERLINK("https://www.philgeps.gov.ph/GEPSNONPILOT/Tender/SplashBidNoticeAbstractUI.aspx?menuIndex=3&amp;refID=7194650&amp;Result=3","7194650")</f>
        <v>0</v>
      </c>
      <c r="B523" t="s">
        <v>283</v>
      </c>
      <c r="C523" t="s">
        <v>4389</v>
      </c>
      <c r="E523" t="s">
        <v>19589</v>
      </c>
      <c r="F523" t="s">
        <v>32606</v>
      </c>
      <c r="G523" t="s">
        <v>32614</v>
      </c>
      <c r="H523" t="s">
        <v>14201</v>
      </c>
      <c r="I523" t="s">
        <v>13131</v>
      </c>
      <c r="J523" t="s">
        <v>32868</v>
      </c>
      <c r="K523" t="s">
        <v>42624</v>
      </c>
      <c r="M523" t="s">
        <v>43184</v>
      </c>
      <c r="N523" t="s">
        <v>47304</v>
      </c>
      <c r="O523" t="s">
        <v>47305</v>
      </c>
      <c r="P523">
        <v>0</v>
      </c>
      <c r="Q523">
        <v>4</v>
      </c>
      <c r="R523" t="s">
        <v>47306</v>
      </c>
      <c r="S523" t="s">
        <v>47414</v>
      </c>
      <c r="T523" t="s">
        <v>48972</v>
      </c>
      <c r="U523" t="s">
        <v>50028</v>
      </c>
      <c r="W523" t="s">
        <v>43184</v>
      </c>
      <c r="X523" t="s">
        <v>47308</v>
      </c>
    </row>
    <row r="524" spans="1:24">
      <c r="A524">
        <f>HYPERLINK("https://www.philgeps.gov.ph/GEPSNONPILOT/Tender/SplashBidNoticeAbstractUI.aspx?menuIndex=3&amp;refID=7194647&amp;Result=3","7194647")</f>
        <v>0</v>
      </c>
      <c r="B524" t="s">
        <v>284</v>
      </c>
      <c r="C524" t="s">
        <v>4390</v>
      </c>
      <c r="D524" t="s">
        <v>19024</v>
      </c>
      <c r="E524" t="s">
        <v>19561</v>
      </c>
      <c r="F524" t="s">
        <v>32606</v>
      </c>
      <c r="G524" t="s">
        <v>32613</v>
      </c>
      <c r="H524" t="s">
        <v>14201</v>
      </c>
      <c r="I524" t="s">
        <v>7064</v>
      </c>
      <c r="J524" t="s">
        <v>32981</v>
      </c>
      <c r="K524" t="s">
        <v>42631</v>
      </c>
      <c r="M524" t="s">
        <v>43185</v>
      </c>
      <c r="N524" t="s">
        <v>47304</v>
      </c>
      <c r="O524" t="s">
        <v>47305</v>
      </c>
      <c r="P524">
        <v>0</v>
      </c>
      <c r="Q524">
        <v>0</v>
      </c>
      <c r="R524" t="s">
        <v>47306</v>
      </c>
      <c r="S524" t="s">
        <v>47414</v>
      </c>
      <c r="T524" t="s">
        <v>49052</v>
      </c>
      <c r="U524" t="s">
        <v>50029</v>
      </c>
      <c r="W524" t="s">
        <v>43185</v>
      </c>
      <c r="X524" t="s">
        <v>47308</v>
      </c>
    </row>
    <row r="525" spans="1:24">
      <c r="A525">
        <f>HYPERLINK("https://www.philgeps.gov.ph/GEPSNONPILOT/Tender/SplashBidNoticeAbstractUI.aspx?menuIndex=3&amp;refID=7194657&amp;Result=3","7194657")</f>
        <v>0</v>
      </c>
      <c r="B525" t="s">
        <v>82</v>
      </c>
      <c r="C525" t="s">
        <v>4391</v>
      </c>
      <c r="D525" t="s">
        <v>19011</v>
      </c>
      <c r="E525" t="s">
        <v>19590</v>
      </c>
      <c r="F525" t="s">
        <v>32606</v>
      </c>
      <c r="G525" t="s">
        <v>32614</v>
      </c>
      <c r="H525" t="s">
        <v>14201</v>
      </c>
      <c r="I525" t="s">
        <v>7064</v>
      </c>
      <c r="J525" t="s">
        <v>32752</v>
      </c>
      <c r="K525" t="s">
        <v>42624</v>
      </c>
      <c r="M525" t="s">
        <v>42979</v>
      </c>
      <c r="N525" t="s">
        <v>47304</v>
      </c>
      <c r="O525" t="s">
        <v>47305</v>
      </c>
      <c r="P525">
        <v>0</v>
      </c>
      <c r="Q525">
        <v>0</v>
      </c>
      <c r="R525" t="s">
        <v>47306</v>
      </c>
      <c r="S525" t="s">
        <v>47414</v>
      </c>
      <c r="T525" t="s">
        <v>49014</v>
      </c>
      <c r="U525" t="s">
        <v>50030</v>
      </c>
      <c r="W525" t="s">
        <v>42979</v>
      </c>
      <c r="X525" t="s">
        <v>47308</v>
      </c>
    </row>
    <row r="526" spans="1:24">
      <c r="A526">
        <f>HYPERLINK("https://www.philgeps.gov.ph/GEPSNONPILOT/Tender/SplashBidNoticeAbstractUI.aspx?menuIndex=3&amp;refID=7194667&amp;Result=3","7194667")</f>
        <v>0</v>
      </c>
      <c r="B526" t="s">
        <v>285</v>
      </c>
      <c r="C526" t="s">
        <v>4392</v>
      </c>
      <c r="D526" t="s">
        <v>19050</v>
      </c>
      <c r="E526" t="s">
        <v>19591</v>
      </c>
      <c r="F526" t="s">
        <v>32606</v>
      </c>
      <c r="G526" t="s">
        <v>32619</v>
      </c>
      <c r="H526" t="s">
        <v>14201</v>
      </c>
      <c r="I526" t="s">
        <v>7064</v>
      </c>
      <c r="J526" t="s">
        <v>33186</v>
      </c>
      <c r="K526" t="s">
        <v>42632</v>
      </c>
      <c r="L526" t="s">
        <v>285</v>
      </c>
      <c r="M526" t="s">
        <v>43186</v>
      </c>
      <c r="N526" t="s">
        <v>47304</v>
      </c>
      <c r="O526" t="s">
        <v>47305</v>
      </c>
      <c r="P526">
        <v>0</v>
      </c>
      <c r="Q526">
        <v>0</v>
      </c>
      <c r="R526" t="s">
        <v>47306</v>
      </c>
      <c r="S526" t="s">
        <v>47414</v>
      </c>
      <c r="T526" t="s">
        <v>49016</v>
      </c>
      <c r="U526" t="s">
        <v>50031</v>
      </c>
      <c r="W526" t="s">
        <v>43186</v>
      </c>
      <c r="X526" t="s">
        <v>47308</v>
      </c>
    </row>
    <row r="527" spans="1:24">
      <c r="A527">
        <f>HYPERLINK("https://www.philgeps.gov.ph/GEPSNONPILOT/Tender/SplashBidNoticeAbstractUI.aspx?menuIndex=3&amp;refID=7194686&amp;Result=3","7194686")</f>
        <v>0</v>
      </c>
      <c r="B527" t="s">
        <v>286</v>
      </c>
      <c r="C527" t="s">
        <v>4393</v>
      </c>
      <c r="D527" t="s">
        <v>19008</v>
      </c>
      <c r="E527" t="s">
        <v>19249</v>
      </c>
      <c r="F527" t="s">
        <v>32606</v>
      </c>
      <c r="G527" t="s">
        <v>32614</v>
      </c>
      <c r="H527" t="s">
        <v>14201</v>
      </c>
      <c r="I527" t="s">
        <v>7577</v>
      </c>
      <c r="J527" t="s">
        <v>32868</v>
      </c>
      <c r="K527" t="s">
        <v>42638</v>
      </c>
      <c r="M527" t="s">
        <v>43187</v>
      </c>
      <c r="N527" t="s">
        <v>47304</v>
      </c>
      <c r="O527" t="s">
        <v>47305</v>
      </c>
      <c r="P527">
        <v>0</v>
      </c>
      <c r="Q527">
        <v>1</v>
      </c>
      <c r="R527" t="s">
        <v>47306</v>
      </c>
      <c r="S527" t="s">
        <v>47414</v>
      </c>
      <c r="T527" t="s">
        <v>48979</v>
      </c>
      <c r="U527" t="s">
        <v>50032</v>
      </c>
      <c r="W527" t="s">
        <v>43187</v>
      </c>
      <c r="X527" t="s">
        <v>47308</v>
      </c>
    </row>
    <row r="528" spans="1:24">
      <c r="A528">
        <f>HYPERLINK("https://www.philgeps.gov.ph/GEPSNONPILOT/Tender/SplashBidNoticeAbstractUI.aspx?menuIndex=3&amp;refID=7194617&amp;Result=3","7194617")</f>
        <v>0</v>
      </c>
      <c r="B528" t="s">
        <v>287</v>
      </c>
      <c r="C528" t="s">
        <v>4394</v>
      </c>
      <c r="D528" t="s">
        <v>19007</v>
      </c>
      <c r="E528" t="s">
        <v>19592</v>
      </c>
      <c r="F528" t="s">
        <v>32607</v>
      </c>
      <c r="G528" t="s">
        <v>32619</v>
      </c>
      <c r="H528" t="s">
        <v>14201</v>
      </c>
      <c r="I528" t="s">
        <v>4120</v>
      </c>
      <c r="J528" t="s">
        <v>33187</v>
      </c>
      <c r="K528" t="s">
        <v>42625</v>
      </c>
      <c r="M528" t="s">
        <v>43188</v>
      </c>
      <c r="N528" t="s">
        <v>47304</v>
      </c>
      <c r="O528" t="s">
        <v>47305</v>
      </c>
      <c r="P528">
        <v>0</v>
      </c>
      <c r="Q528">
        <v>0</v>
      </c>
      <c r="R528" t="s">
        <v>47306</v>
      </c>
      <c r="S528" t="s">
        <v>47414</v>
      </c>
      <c r="T528" t="s">
        <v>49078</v>
      </c>
      <c r="U528" t="s">
        <v>50033</v>
      </c>
      <c r="W528" t="s">
        <v>43188</v>
      </c>
      <c r="X528" t="s">
        <v>47308</v>
      </c>
    </row>
    <row r="529" spans="1:24">
      <c r="A529">
        <f>HYPERLINK("https://www.philgeps.gov.ph/GEPSNONPILOT/Tender/SplashBidNoticeAbstractUI.aspx?menuIndex=3&amp;refID=7194648&amp;Result=3","7194648")</f>
        <v>0</v>
      </c>
      <c r="B529" t="s">
        <v>288</v>
      </c>
      <c r="C529" t="s">
        <v>4395</v>
      </c>
      <c r="D529" t="s">
        <v>19034</v>
      </c>
      <c r="E529" t="s">
        <v>19593</v>
      </c>
      <c r="F529" t="s">
        <v>32606</v>
      </c>
      <c r="G529" t="s">
        <v>32613</v>
      </c>
      <c r="H529" t="s">
        <v>14201</v>
      </c>
      <c r="I529" t="s">
        <v>17648</v>
      </c>
      <c r="J529" t="s">
        <v>33188</v>
      </c>
      <c r="K529" t="s">
        <v>42631</v>
      </c>
      <c r="M529" t="s">
        <v>43189</v>
      </c>
      <c r="N529" t="s">
        <v>47304</v>
      </c>
      <c r="O529" t="s">
        <v>47305</v>
      </c>
      <c r="P529">
        <v>0</v>
      </c>
      <c r="Q529">
        <v>2</v>
      </c>
      <c r="R529" t="s">
        <v>47306</v>
      </c>
      <c r="S529" t="s">
        <v>47414</v>
      </c>
      <c r="T529" t="s">
        <v>48973</v>
      </c>
      <c r="U529" t="s">
        <v>50034</v>
      </c>
      <c r="W529" t="s">
        <v>64427</v>
      </c>
      <c r="X529" t="s">
        <v>47308</v>
      </c>
    </row>
    <row r="530" spans="1:24">
      <c r="A530">
        <f>HYPERLINK("https://www.philgeps.gov.ph/GEPSNONPILOT/Tender/SplashBidNoticeAbstractUI.aspx?menuIndex=3&amp;refID=7194661&amp;Result=3","7194661")</f>
        <v>0</v>
      </c>
      <c r="B530" t="s">
        <v>251</v>
      </c>
      <c r="C530" t="s">
        <v>4396</v>
      </c>
      <c r="D530" t="s">
        <v>19023</v>
      </c>
      <c r="E530" t="s">
        <v>19594</v>
      </c>
      <c r="F530" t="s">
        <v>32606</v>
      </c>
      <c r="G530" t="s">
        <v>32614</v>
      </c>
      <c r="H530" t="s">
        <v>14201</v>
      </c>
      <c r="I530" t="s">
        <v>32640</v>
      </c>
      <c r="J530" t="s">
        <v>32999</v>
      </c>
      <c r="K530" t="s">
        <v>42632</v>
      </c>
      <c r="M530" t="s">
        <v>43152</v>
      </c>
      <c r="N530" t="s">
        <v>47304</v>
      </c>
      <c r="O530" t="s">
        <v>47305</v>
      </c>
      <c r="P530">
        <v>0</v>
      </c>
      <c r="Q530">
        <v>0</v>
      </c>
      <c r="R530" t="s">
        <v>47306</v>
      </c>
      <c r="S530" t="s">
        <v>47414</v>
      </c>
      <c r="T530" t="s">
        <v>49061</v>
      </c>
      <c r="U530" t="s">
        <v>50035</v>
      </c>
      <c r="W530" t="s">
        <v>43152</v>
      </c>
      <c r="X530" t="s">
        <v>47308</v>
      </c>
    </row>
    <row r="531" spans="1:24">
      <c r="A531">
        <f>HYPERLINK("https://www.philgeps.gov.ph/GEPSNONPILOT/Tender/SplashBidNoticeAbstractUI.aspx?menuIndex=3&amp;refID=7194670&amp;Result=3","7194670")</f>
        <v>0</v>
      </c>
      <c r="B531" t="s">
        <v>228</v>
      </c>
      <c r="C531" t="s">
        <v>4397</v>
      </c>
      <c r="D531" t="s">
        <v>19030</v>
      </c>
      <c r="E531" t="s">
        <v>19595</v>
      </c>
      <c r="F531" t="s">
        <v>32606</v>
      </c>
      <c r="G531" t="s">
        <v>32613</v>
      </c>
      <c r="H531" t="s">
        <v>32623</v>
      </c>
      <c r="I531" t="s">
        <v>17648</v>
      </c>
      <c r="J531" t="s">
        <v>32821</v>
      </c>
      <c r="K531" t="s">
        <v>42646</v>
      </c>
      <c r="M531" t="s">
        <v>43129</v>
      </c>
      <c r="N531" t="s">
        <v>47304</v>
      </c>
      <c r="O531" t="s">
        <v>47305</v>
      </c>
      <c r="P531">
        <v>0</v>
      </c>
      <c r="Q531">
        <v>1</v>
      </c>
      <c r="R531" t="s">
        <v>47306</v>
      </c>
      <c r="S531" t="s">
        <v>47414</v>
      </c>
      <c r="T531" t="s">
        <v>49009</v>
      </c>
      <c r="U531" t="s">
        <v>50036</v>
      </c>
      <c r="W531" t="s">
        <v>43129</v>
      </c>
      <c r="X531" t="s">
        <v>47308</v>
      </c>
    </row>
    <row r="532" spans="1:24">
      <c r="A532">
        <f>HYPERLINK("https://www.philgeps.gov.ph/GEPSNONPILOT/Tender/SplashBidNoticeAbstractUI.aspx?menuIndex=3&amp;refID=7194688&amp;Result=3","7194688")</f>
        <v>0</v>
      </c>
      <c r="B532" t="s">
        <v>276</v>
      </c>
      <c r="C532" t="s">
        <v>4398</v>
      </c>
      <c r="D532" t="s">
        <v>19001</v>
      </c>
      <c r="E532" t="s">
        <v>19596</v>
      </c>
      <c r="F532" t="s">
        <v>32606</v>
      </c>
      <c r="G532" t="s">
        <v>32614</v>
      </c>
      <c r="H532" t="s">
        <v>14201</v>
      </c>
      <c r="I532" t="s">
        <v>32640</v>
      </c>
      <c r="J532" t="s">
        <v>33189</v>
      </c>
      <c r="K532" t="s">
        <v>42622</v>
      </c>
      <c r="M532" t="s">
        <v>43177</v>
      </c>
      <c r="N532" t="s">
        <v>47304</v>
      </c>
      <c r="O532" t="s">
        <v>47305</v>
      </c>
      <c r="P532">
        <v>0</v>
      </c>
      <c r="Q532">
        <v>2</v>
      </c>
      <c r="R532" t="s">
        <v>47306</v>
      </c>
      <c r="S532" t="s">
        <v>47414</v>
      </c>
      <c r="T532" t="s">
        <v>48986</v>
      </c>
      <c r="U532" t="s">
        <v>50037</v>
      </c>
      <c r="W532" t="s">
        <v>43177</v>
      </c>
      <c r="X532" t="s">
        <v>47308</v>
      </c>
    </row>
    <row r="533" spans="1:24">
      <c r="A533">
        <f>HYPERLINK("https://www.philgeps.gov.ph/GEPSNONPILOT/Tender/SplashBidNoticeAbstractUI.aspx?menuIndex=3&amp;refID=7194683&amp;Result=3","7194683")</f>
        <v>0</v>
      </c>
      <c r="B533" t="s">
        <v>262</v>
      </c>
      <c r="C533" t="s">
        <v>4399</v>
      </c>
      <c r="D533" t="s">
        <v>19038</v>
      </c>
      <c r="E533" t="s">
        <v>19597</v>
      </c>
      <c r="F533" t="s">
        <v>32606</v>
      </c>
      <c r="G533" t="s">
        <v>32619</v>
      </c>
      <c r="H533" t="s">
        <v>14201</v>
      </c>
      <c r="I533" t="s">
        <v>4678</v>
      </c>
      <c r="J533" t="s">
        <v>32949</v>
      </c>
      <c r="K533" t="s">
        <v>42630</v>
      </c>
      <c r="M533" t="s">
        <v>43163</v>
      </c>
      <c r="N533" t="s">
        <v>47304</v>
      </c>
      <c r="O533" t="s">
        <v>47305</v>
      </c>
      <c r="P533">
        <v>0</v>
      </c>
      <c r="Q533">
        <v>0</v>
      </c>
      <c r="R533" t="s">
        <v>47306</v>
      </c>
      <c r="S533" t="s">
        <v>47414</v>
      </c>
      <c r="T533" t="s">
        <v>48986</v>
      </c>
      <c r="U533" t="s">
        <v>50038</v>
      </c>
      <c r="W533" t="s">
        <v>43163</v>
      </c>
      <c r="X533" t="s">
        <v>47308</v>
      </c>
    </row>
    <row r="534" spans="1:24">
      <c r="A534">
        <f>HYPERLINK("https://www.philgeps.gov.ph/GEPSNONPILOT/Tender/SplashBidNoticeAbstractUI.aspx?menuIndex=3&amp;refID=7194681&amp;Result=3","7194681")</f>
        <v>0</v>
      </c>
      <c r="B534" t="s">
        <v>197</v>
      </c>
      <c r="C534" t="s">
        <v>4400</v>
      </c>
      <c r="D534" t="s">
        <v>19027</v>
      </c>
      <c r="E534" t="s">
        <v>19598</v>
      </c>
      <c r="F534" t="s">
        <v>32606</v>
      </c>
      <c r="G534" t="s">
        <v>32618</v>
      </c>
      <c r="H534" t="s">
        <v>32623</v>
      </c>
      <c r="I534" t="s">
        <v>17648</v>
      </c>
      <c r="J534" t="s">
        <v>33190</v>
      </c>
      <c r="K534" t="s">
        <v>42645</v>
      </c>
      <c r="M534" t="s">
        <v>43098</v>
      </c>
      <c r="N534" t="s">
        <v>47304</v>
      </c>
      <c r="O534" t="s">
        <v>47305</v>
      </c>
      <c r="P534">
        <v>0</v>
      </c>
      <c r="Q534">
        <v>1</v>
      </c>
      <c r="R534" t="s">
        <v>47306</v>
      </c>
      <c r="S534" t="s">
        <v>47414</v>
      </c>
      <c r="T534" t="s">
        <v>49079</v>
      </c>
      <c r="U534" t="s">
        <v>50039</v>
      </c>
      <c r="W534" t="s">
        <v>43098</v>
      </c>
      <c r="X534" t="s">
        <v>47308</v>
      </c>
    </row>
    <row r="535" spans="1:24">
      <c r="A535">
        <f>HYPERLINK("https://www.philgeps.gov.ph/GEPSNONPILOT/Tender/SplashBidNoticeAbstractUI.aspx?menuIndex=3&amp;refID=7194651&amp;Result=3","7194651")</f>
        <v>0</v>
      </c>
      <c r="B535" t="s">
        <v>289</v>
      </c>
      <c r="C535" t="s">
        <v>4401</v>
      </c>
      <c r="D535" t="s">
        <v>19027</v>
      </c>
      <c r="E535" t="s">
        <v>19599</v>
      </c>
      <c r="F535" t="s">
        <v>32606</v>
      </c>
      <c r="G535" t="s">
        <v>32613</v>
      </c>
      <c r="H535" t="s">
        <v>14201</v>
      </c>
      <c r="I535" t="s">
        <v>6931</v>
      </c>
      <c r="J535" t="s">
        <v>33191</v>
      </c>
      <c r="K535" t="s">
        <v>42623</v>
      </c>
      <c r="M535" t="s">
        <v>43190</v>
      </c>
      <c r="N535" t="s">
        <v>47304</v>
      </c>
      <c r="O535" t="s">
        <v>47305</v>
      </c>
      <c r="P535">
        <v>0</v>
      </c>
      <c r="Q535">
        <v>0</v>
      </c>
      <c r="R535" t="s">
        <v>47306</v>
      </c>
      <c r="S535" t="s">
        <v>47414</v>
      </c>
      <c r="T535" t="s">
        <v>49080</v>
      </c>
      <c r="U535" t="s">
        <v>50040</v>
      </c>
      <c r="V535" t="s">
        <v>62714</v>
      </c>
      <c r="W535" t="s">
        <v>43190</v>
      </c>
      <c r="X535" t="s">
        <v>47308</v>
      </c>
    </row>
    <row r="536" spans="1:24">
      <c r="A536">
        <f>HYPERLINK("https://www.philgeps.gov.ph/GEPSNONPILOT/Tender/SplashBidNoticeAbstractUI.aspx?menuIndex=3&amp;refID=7194680&amp;Result=3","7194680")</f>
        <v>0</v>
      </c>
      <c r="B536" t="s">
        <v>280</v>
      </c>
      <c r="C536" t="s">
        <v>4385</v>
      </c>
      <c r="D536" t="s">
        <v>19028</v>
      </c>
      <c r="E536" t="s">
        <v>19600</v>
      </c>
      <c r="F536" t="s">
        <v>32607</v>
      </c>
      <c r="G536" t="s">
        <v>32614</v>
      </c>
      <c r="H536" t="s">
        <v>14201</v>
      </c>
      <c r="I536" t="s">
        <v>6298</v>
      </c>
      <c r="J536" t="s">
        <v>33192</v>
      </c>
      <c r="K536" t="s">
        <v>42623</v>
      </c>
      <c r="M536" t="s">
        <v>43181</v>
      </c>
      <c r="N536" t="s">
        <v>47304</v>
      </c>
      <c r="O536" t="s">
        <v>47305</v>
      </c>
      <c r="P536">
        <v>0</v>
      </c>
      <c r="Q536">
        <v>0</v>
      </c>
      <c r="R536" t="s">
        <v>47306</v>
      </c>
      <c r="S536" t="s">
        <v>47414</v>
      </c>
      <c r="T536" t="s">
        <v>49002</v>
      </c>
      <c r="U536" t="s">
        <v>50041</v>
      </c>
      <c r="W536" t="s">
        <v>43181</v>
      </c>
      <c r="X536" t="s">
        <v>47308</v>
      </c>
    </row>
    <row r="537" spans="1:24">
      <c r="A537">
        <f>HYPERLINK("https://www.philgeps.gov.ph/GEPSNONPILOT/Tender/SplashBidNoticeAbstractUI.aspx?menuIndex=3&amp;refID=7194679&amp;Result=3","7194679")</f>
        <v>0</v>
      </c>
      <c r="B537" t="s">
        <v>290</v>
      </c>
      <c r="C537" t="s">
        <v>4402</v>
      </c>
      <c r="D537" t="s">
        <v>19056</v>
      </c>
      <c r="E537" t="s">
        <v>19601</v>
      </c>
      <c r="F537" t="s">
        <v>32606</v>
      </c>
      <c r="G537" t="s">
        <v>32613</v>
      </c>
      <c r="H537" t="s">
        <v>32623</v>
      </c>
      <c r="I537" t="s">
        <v>17648</v>
      </c>
      <c r="J537" t="s">
        <v>33193</v>
      </c>
      <c r="K537" t="s">
        <v>42661</v>
      </c>
      <c r="M537" t="s">
        <v>43191</v>
      </c>
      <c r="N537" t="s">
        <v>47304</v>
      </c>
      <c r="O537" t="s">
        <v>47305</v>
      </c>
      <c r="P537">
        <v>0</v>
      </c>
      <c r="Q537">
        <v>0</v>
      </c>
      <c r="R537" t="s">
        <v>47306</v>
      </c>
      <c r="S537" t="s">
        <v>47414</v>
      </c>
      <c r="T537" t="s">
        <v>48976</v>
      </c>
      <c r="U537" t="s">
        <v>50042</v>
      </c>
      <c r="W537" t="s">
        <v>43191</v>
      </c>
      <c r="X537" t="s">
        <v>47308</v>
      </c>
    </row>
    <row r="538" spans="1:24">
      <c r="A538">
        <f>HYPERLINK("https://www.philgeps.gov.ph/GEPSNONPILOT/Tender/SplashBidNoticeAbstractUI.aspx?menuIndex=3&amp;refID=7194678&amp;Result=3","7194678")</f>
        <v>0</v>
      </c>
      <c r="B538" t="s">
        <v>284</v>
      </c>
      <c r="C538" t="s">
        <v>4403</v>
      </c>
      <c r="D538" t="s">
        <v>19024</v>
      </c>
      <c r="E538" t="s">
        <v>19522</v>
      </c>
      <c r="F538" t="s">
        <v>32606</v>
      </c>
      <c r="G538" t="s">
        <v>32613</v>
      </c>
      <c r="H538" t="s">
        <v>32623</v>
      </c>
      <c r="I538" t="s">
        <v>17648</v>
      </c>
      <c r="J538" t="s">
        <v>33194</v>
      </c>
      <c r="K538" t="s">
        <v>42639</v>
      </c>
      <c r="M538" t="s">
        <v>43185</v>
      </c>
      <c r="N538" t="s">
        <v>47304</v>
      </c>
      <c r="O538" t="s">
        <v>47305</v>
      </c>
      <c r="P538">
        <v>0</v>
      </c>
      <c r="Q538">
        <v>0</v>
      </c>
      <c r="R538" t="s">
        <v>47306</v>
      </c>
      <c r="S538" t="s">
        <v>47414</v>
      </c>
      <c r="T538" t="s">
        <v>49052</v>
      </c>
      <c r="U538" t="s">
        <v>50043</v>
      </c>
      <c r="W538" t="s">
        <v>43185</v>
      </c>
      <c r="X538" t="s">
        <v>47308</v>
      </c>
    </row>
    <row r="539" spans="1:24">
      <c r="A539">
        <f>HYPERLINK("https://www.philgeps.gov.ph/GEPSNONPILOT/Tender/SplashBidNoticeAbstractUI.aspx?menuIndex=3&amp;refID=7194676&amp;Result=3","7194676")</f>
        <v>0</v>
      </c>
      <c r="B539" t="s">
        <v>291</v>
      </c>
      <c r="C539" t="s">
        <v>4404</v>
      </c>
      <c r="D539" t="s">
        <v>19014</v>
      </c>
      <c r="E539" t="s">
        <v>19404</v>
      </c>
      <c r="F539" t="s">
        <v>32606</v>
      </c>
      <c r="G539" t="s">
        <v>32614</v>
      </c>
      <c r="H539" t="s">
        <v>14201</v>
      </c>
      <c r="I539" t="s">
        <v>4369</v>
      </c>
      <c r="J539" t="s">
        <v>33195</v>
      </c>
      <c r="K539" t="s">
        <v>42631</v>
      </c>
      <c r="M539" t="s">
        <v>43192</v>
      </c>
      <c r="N539" t="s">
        <v>47304</v>
      </c>
      <c r="O539" t="s">
        <v>47305</v>
      </c>
      <c r="P539">
        <v>0</v>
      </c>
      <c r="Q539">
        <v>8</v>
      </c>
      <c r="R539" t="s">
        <v>47306</v>
      </c>
      <c r="S539" t="s">
        <v>47414</v>
      </c>
      <c r="T539" t="s">
        <v>48979</v>
      </c>
      <c r="U539" t="s">
        <v>50044</v>
      </c>
      <c r="W539" t="s">
        <v>43192</v>
      </c>
      <c r="X539" t="s">
        <v>47308</v>
      </c>
    </row>
    <row r="540" spans="1:24">
      <c r="A540">
        <f>HYPERLINK("https://www.philgeps.gov.ph/GEPSNONPILOT/Tender/SplashBidNoticeAbstractUI.aspx?menuIndex=3&amp;refID=7194675&amp;Result=3","7194675")</f>
        <v>0</v>
      </c>
      <c r="B540" t="s">
        <v>173</v>
      </c>
      <c r="C540" t="s">
        <v>4405</v>
      </c>
      <c r="E540" t="s">
        <v>19602</v>
      </c>
      <c r="F540" t="s">
        <v>32606</v>
      </c>
      <c r="G540" t="s">
        <v>32615</v>
      </c>
      <c r="H540" t="s">
        <v>14201</v>
      </c>
      <c r="I540" t="s">
        <v>4120</v>
      </c>
      <c r="J540" t="s">
        <v>33196</v>
      </c>
      <c r="K540" t="s">
        <v>42624</v>
      </c>
      <c r="M540" t="s">
        <v>43074</v>
      </c>
      <c r="N540" t="s">
        <v>47304</v>
      </c>
      <c r="O540" t="s">
        <v>47305</v>
      </c>
      <c r="P540">
        <v>0</v>
      </c>
      <c r="Q540">
        <v>0</v>
      </c>
      <c r="R540" t="s">
        <v>47306</v>
      </c>
      <c r="S540" t="s">
        <v>47414</v>
      </c>
      <c r="T540" t="s">
        <v>49010</v>
      </c>
      <c r="U540" t="s">
        <v>50045</v>
      </c>
      <c r="W540" t="s">
        <v>43074</v>
      </c>
      <c r="X540" t="s">
        <v>47308</v>
      </c>
    </row>
    <row r="541" spans="1:24">
      <c r="A541">
        <f>HYPERLINK("https://www.philgeps.gov.ph/GEPSNONPILOT/Tender/SplashBidNoticeAbstractUI.aspx?menuIndex=3&amp;refID=7194674&amp;Result=3","7194674")</f>
        <v>0</v>
      </c>
      <c r="B541" t="s">
        <v>292</v>
      </c>
      <c r="C541" t="s">
        <v>4406</v>
      </c>
      <c r="D541" t="s">
        <v>18999</v>
      </c>
      <c r="E541" t="s">
        <v>19603</v>
      </c>
      <c r="F541" t="s">
        <v>32606</v>
      </c>
      <c r="G541" t="s">
        <v>32613</v>
      </c>
      <c r="H541" t="s">
        <v>14201</v>
      </c>
      <c r="I541" t="s">
        <v>6931</v>
      </c>
      <c r="J541" t="s">
        <v>33197</v>
      </c>
      <c r="K541" t="s">
        <v>42622</v>
      </c>
      <c r="M541" t="s">
        <v>43193</v>
      </c>
      <c r="N541" t="s">
        <v>47304</v>
      </c>
      <c r="O541" t="s">
        <v>47305</v>
      </c>
      <c r="P541">
        <v>0</v>
      </c>
      <c r="Q541">
        <v>0</v>
      </c>
      <c r="R541" t="s">
        <v>47306</v>
      </c>
      <c r="S541" t="s">
        <v>47414</v>
      </c>
      <c r="T541" t="s">
        <v>48986</v>
      </c>
      <c r="U541" t="s">
        <v>50046</v>
      </c>
      <c r="V541" t="s">
        <v>62715</v>
      </c>
      <c r="W541" t="s">
        <v>43193</v>
      </c>
      <c r="X541" t="s">
        <v>47308</v>
      </c>
    </row>
    <row r="542" spans="1:24">
      <c r="A542">
        <f>HYPERLINK("https://www.philgeps.gov.ph/GEPSNONPILOT/Tender/SplashBidNoticeAbstractUI.aspx?menuIndex=3&amp;refID=7194695&amp;Result=3","7194695")</f>
        <v>0</v>
      </c>
      <c r="B542" t="s">
        <v>271</v>
      </c>
      <c r="C542" t="s">
        <v>4407</v>
      </c>
      <c r="D542" t="s">
        <v>19040</v>
      </c>
      <c r="E542" t="s">
        <v>19604</v>
      </c>
      <c r="F542" t="s">
        <v>32606</v>
      </c>
      <c r="G542" t="s">
        <v>32614</v>
      </c>
      <c r="H542" t="s">
        <v>14201</v>
      </c>
      <c r="I542" t="s">
        <v>32642</v>
      </c>
      <c r="J542" t="s">
        <v>33198</v>
      </c>
      <c r="K542" t="s">
        <v>42623</v>
      </c>
      <c r="M542" t="s">
        <v>43172</v>
      </c>
      <c r="N542" t="s">
        <v>47304</v>
      </c>
      <c r="O542" t="s">
        <v>47305</v>
      </c>
      <c r="P542">
        <v>0</v>
      </c>
      <c r="Q542">
        <v>0</v>
      </c>
      <c r="R542" t="s">
        <v>47306</v>
      </c>
      <c r="S542" t="s">
        <v>47414</v>
      </c>
      <c r="T542" t="s">
        <v>49014</v>
      </c>
      <c r="U542" t="s">
        <v>50047</v>
      </c>
      <c r="W542" t="s">
        <v>43172</v>
      </c>
      <c r="X542" t="s">
        <v>47308</v>
      </c>
    </row>
    <row r="543" spans="1:24">
      <c r="A543">
        <f>HYPERLINK("https://www.philgeps.gov.ph/GEPSNONPILOT/Tender/SplashBidNoticeAbstractUI.aspx?menuIndex=3&amp;refID=7194684&amp;Result=3","7194684")</f>
        <v>0</v>
      </c>
      <c r="B543" t="s">
        <v>81</v>
      </c>
      <c r="C543" t="s">
        <v>4408</v>
      </c>
      <c r="D543" t="s">
        <v>18995</v>
      </c>
      <c r="E543" t="s">
        <v>19605</v>
      </c>
      <c r="F543" t="s">
        <v>32606</v>
      </c>
      <c r="G543" t="s">
        <v>32614</v>
      </c>
      <c r="H543" t="s">
        <v>14201</v>
      </c>
      <c r="I543" t="s">
        <v>7677</v>
      </c>
      <c r="J543" t="s">
        <v>33199</v>
      </c>
      <c r="K543" t="s">
        <v>42624</v>
      </c>
      <c r="M543" t="s">
        <v>42978</v>
      </c>
      <c r="N543" t="s">
        <v>47304</v>
      </c>
      <c r="O543" t="s">
        <v>47305</v>
      </c>
      <c r="P543">
        <v>0</v>
      </c>
      <c r="Q543">
        <v>2</v>
      </c>
      <c r="R543" t="s">
        <v>47306</v>
      </c>
      <c r="S543" t="s">
        <v>47414</v>
      </c>
      <c r="T543" t="s">
        <v>49014</v>
      </c>
      <c r="U543" t="s">
        <v>50048</v>
      </c>
      <c r="W543" t="s">
        <v>42978</v>
      </c>
      <c r="X543" t="s">
        <v>47308</v>
      </c>
    </row>
    <row r="544" spans="1:24">
      <c r="A544">
        <f>HYPERLINK("https://www.philgeps.gov.ph/GEPSNONPILOT/Tender/SplashBidNoticeAbstractUI.aspx?menuIndex=3&amp;refID=7194713&amp;Result=3","7194713")</f>
        <v>0</v>
      </c>
      <c r="B544" t="s">
        <v>238</v>
      </c>
      <c r="C544" t="s">
        <v>4409</v>
      </c>
      <c r="D544" t="s">
        <v>18993</v>
      </c>
      <c r="E544" t="s">
        <v>19606</v>
      </c>
      <c r="F544" t="s">
        <v>32606</v>
      </c>
      <c r="G544" t="s">
        <v>32619</v>
      </c>
      <c r="H544" t="s">
        <v>14201</v>
      </c>
      <c r="I544" t="s">
        <v>4114</v>
      </c>
      <c r="J544" t="s">
        <v>33200</v>
      </c>
      <c r="K544" t="s">
        <v>42622</v>
      </c>
      <c r="M544" t="s">
        <v>43194</v>
      </c>
      <c r="N544" t="s">
        <v>47304</v>
      </c>
      <c r="O544" t="s">
        <v>47305</v>
      </c>
      <c r="P544">
        <v>0</v>
      </c>
      <c r="Q544">
        <v>1</v>
      </c>
      <c r="R544" t="s">
        <v>47306</v>
      </c>
      <c r="S544" t="s">
        <v>47414</v>
      </c>
      <c r="T544" t="s">
        <v>49070</v>
      </c>
      <c r="U544" t="s">
        <v>50049</v>
      </c>
      <c r="V544" t="s">
        <v>62716</v>
      </c>
      <c r="W544" t="s">
        <v>43194</v>
      </c>
      <c r="X544" t="s">
        <v>47308</v>
      </c>
    </row>
    <row r="545" spans="1:24">
      <c r="A545">
        <f>HYPERLINK("https://www.philgeps.gov.ph/GEPSNONPILOT/Tender/SplashBidNoticeAbstractUI.aspx?menuIndex=3&amp;refID=7194711&amp;Result=3","7194711")</f>
        <v>0</v>
      </c>
      <c r="B545" t="s">
        <v>284</v>
      </c>
      <c r="C545" t="s">
        <v>4410</v>
      </c>
      <c r="D545" t="s">
        <v>19024</v>
      </c>
      <c r="E545" t="s">
        <v>19522</v>
      </c>
      <c r="F545" t="s">
        <v>32606</v>
      </c>
      <c r="G545" t="s">
        <v>32613</v>
      </c>
      <c r="H545" t="s">
        <v>32623</v>
      </c>
      <c r="I545" t="s">
        <v>17648</v>
      </c>
      <c r="J545" t="s">
        <v>33201</v>
      </c>
      <c r="K545" t="s">
        <v>42639</v>
      </c>
      <c r="M545" t="s">
        <v>43185</v>
      </c>
      <c r="N545" t="s">
        <v>47304</v>
      </c>
      <c r="O545" t="s">
        <v>47305</v>
      </c>
      <c r="P545">
        <v>0</v>
      </c>
      <c r="Q545">
        <v>0</v>
      </c>
      <c r="R545" t="s">
        <v>47306</v>
      </c>
      <c r="S545" t="s">
        <v>47414</v>
      </c>
      <c r="T545" t="s">
        <v>49052</v>
      </c>
      <c r="U545" t="s">
        <v>50050</v>
      </c>
      <c r="W545" t="s">
        <v>43185</v>
      </c>
      <c r="X545" t="s">
        <v>47308</v>
      </c>
    </row>
    <row r="546" spans="1:24">
      <c r="A546">
        <f>HYPERLINK("https://www.philgeps.gov.ph/GEPSNONPILOT/Tender/SplashBidNoticeAbstractUI.aspx?menuIndex=3&amp;refID=7194691&amp;Result=3","7194691")</f>
        <v>0</v>
      </c>
      <c r="B546" t="s">
        <v>293</v>
      </c>
      <c r="C546" t="s">
        <v>4411</v>
      </c>
      <c r="D546" t="s">
        <v>19016</v>
      </c>
      <c r="E546" t="s">
        <v>19607</v>
      </c>
      <c r="F546" t="s">
        <v>32607</v>
      </c>
      <c r="G546" t="s">
        <v>32614</v>
      </c>
      <c r="H546" t="s">
        <v>14201</v>
      </c>
      <c r="I546" t="s">
        <v>32640</v>
      </c>
      <c r="J546" t="s">
        <v>32949</v>
      </c>
      <c r="K546" t="s">
        <v>42630</v>
      </c>
      <c r="M546" t="s">
        <v>43195</v>
      </c>
      <c r="N546" t="s">
        <v>47304</v>
      </c>
      <c r="O546" t="s">
        <v>47305</v>
      </c>
      <c r="P546">
        <v>0</v>
      </c>
      <c r="Q546">
        <v>0</v>
      </c>
      <c r="R546" t="s">
        <v>47306</v>
      </c>
      <c r="S546" t="s">
        <v>47414</v>
      </c>
      <c r="T546" t="s">
        <v>49023</v>
      </c>
      <c r="U546" t="s">
        <v>50051</v>
      </c>
      <c r="W546" t="s">
        <v>43195</v>
      </c>
      <c r="X546" t="s">
        <v>47308</v>
      </c>
    </row>
    <row r="547" spans="1:24">
      <c r="A547">
        <f>HYPERLINK("https://www.philgeps.gov.ph/GEPSNONPILOT/Tender/SplashBidNoticeAbstractUI.aspx?menuIndex=3&amp;refID=7194689&amp;Result=3","7194689")</f>
        <v>0</v>
      </c>
      <c r="B547" t="s">
        <v>294</v>
      </c>
      <c r="C547" t="s">
        <v>4412</v>
      </c>
      <c r="D547" t="s">
        <v>19019</v>
      </c>
      <c r="E547" t="s">
        <v>19608</v>
      </c>
      <c r="F547" t="s">
        <v>32606</v>
      </c>
      <c r="G547" t="s">
        <v>32614</v>
      </c>
      <c r="H547" t="s">
        <v>14201</v>
      </c>
      <c r="I547" t="s">
        <v>7233</v>
      </c>
      <c r="J547" t="s">
        <v>33202</v>
      </c>
      <c r="K547" t="s">
        <v>42631</v>
      </c>
      <c r="M547" t="s">
        <v>43196</v>
      </c>
      <c r="N547" t="s">
        <v>47304</v>
      </c>
      <c r="O547" t="s">
        <v>47305</v>
      </c>
      <c r="P547">
        <v>0</v>
      </c>
      <c r="Q547">
        <v>0</v>
      </c>
      <c r="R547" t="s">
        <v>47306</v>
      </c>
      <c r="S547" t="s">
        <v>47414</v>
      </c>
      <c r="T547" t="s">
        <v>49014</v>
      </c>
      <c r="U547" t="s">
        <v>50052</v>
      </c>
      <c r="W547" t="s">
        <v>43196</v>
      </c>
      <c r="X547" t="s">
        <v>47308</v>
      </c>
    </row>
    <row r="548" spans="1:24">
      <c r="A548">
        <f>HYPERLINK("https://www.philgeps.gov.ph/GEPSNONPILOT/Tender/SplashBidNoticeAbstractUI.aspx?menuIndex=3&amp;refID=7194710&amp;Result=3","7194710")</f>
        <v>0</v>
      </c>
      <c r="B548" t="s">
        <v>295</v>
      </c>
      <c r="C548" t="s">
        <v>4413</v>
      </c>
      <c r="D548" t="s">
        <v>19033</v>
      </c>
      <c r="E548" t="s">
        <v>19609</v>
      </c>
      <c r="F548" t="s">
        <v>32606</v>
      </c>
      <c r="G548" t="s">
        <v>32613</v>
      </c>
      <c r="H548" t="s">
        <v>14201</v>
      </c>
      <c r="I548" t="s">
        <v>4120</v>
      </c>
      <c r="J548" t="s">
        <v>33203</v>
      </c>
      <c r="K548" t="s">
        <v>42631</v>
      </c>
      <c r="M548" t="s">
        <v>43197</v>
      </c>
      <c r="N548" t="s">
        <v>47304</v>
      </c>
      <c r="O548" t="s">
        <v>47305</v>
      </c>
      <c r="P548">
        <v>0</v>
      </c>
      <c r="Q548">
        <v>1</v>
      </c>
      <c r="R548" t="s">
        <v>47306</v>
      </c>
      <c r="S548" t="s">
        <v>47414</v>
      </c>
      <c r="T548" t="s">
        <v>49024</v>
      </c>
      <c r="U548" t="s">
        <v>50053</v>
      </c>
      <c r="W548" t="s">
        <v>43197</v>
      </c>
      <c r="X548" t="s">
        <v>47308</v>
      </c>
    </row>
    <row r="549" spans="1:24">
      <c r="A549">
        <f>HYPERLINK("https://www.philgeps.gov.ph/GEPSNONPILOT/Tender/SplashBidNoticeAbstractUI.aspx?menuIndex=3&amp;refID=7194708&amp;Result=3","7194708")</f>
        <v>0</v>
      </c>
      <c r="B549" t="s">
        <v>280</v>
      </c>
      <c r="C549" t="s">
        <v>4385</v>
      </c>
      <c r="D549" t="s">
        <v>19028</v>
      </c>
      <c r="E549" t="s">
        <v>19610</v>
      </c>
      <c r="F549" t="s">
        <v>32607</v>
      </c>
      <c r="G549" t="s">
        <v>32614</v>
      </c>
      <c r="H549" t="s">
        <v>14201</v>
      </c>
      <c r="I549" t="s">
        <v>6298</v>
      </c>
      <c r="J549" t="s">
        <v>33204</v>
      </c>
      <c r="K549" t="s">
        <v>42623</v>
      </c>
      <c r="M549" t="s">
        <v>43181</v>
      </c>
      <c r="N549" t="s">
        <v>47304</v>
      </c>
      <c r="O549" t="s">
        <v>47305</v>
      </c>
      <c r="P549">
        <v>0</v>
      </c>
      <c r="Q549">
        <v>0</v>
      </c>
      <c r="R549" t="s">
        <v>47306</v>
      </c>
      <c r="S549" t="s">
        <v>47414</v>
      </c>
      <c r="T549" t="s">
        <v>49002</v>
      </c>
      <c r="U549" t="s">
        <v>50054</v>
      </c>
      <c r="W549" t="s">
        <v>43181</v>
      </c>
      <c r="X549" t="s">
        <v>47308</v>
      </c>
    </row>
    <row r="550" spans="1:24">
      <c r="A550">
        <f>HYPERLINK("https://www.philgeps.gov.ph/GEPSNONPILOT/Tender/SplashBidNoticeAbstractUI.aspx?menuIndex=3&amp;refID=7194705&amp;Result=3","7194705")</f>
        <v>0</v>
      </c>
      <c r="B550" t="s">
        <v>274</v>
      </c>
      <c r="C550" t="s">
        <v>4414</v>
      </c>
      <c r="D550" t="s">
        <v>19014</v>
      </c>
      <c r="E550" t="s">
        <v>19611</v>
      </c>
      <c r="F550" t="s">
        <v>32606</v>
      </c>
      <c r="G550" t="s">
        <v>32619</v>
      </c>
      <c r="H550" t="s">
        <v>14201</v>
      </c>
      <c r="I550" t="s">
        <v>4120</v>
      </c>
      <c r="J550" t="s">
        <v>33030</v>
      </c>
      <c r="K550" t="s">
        <v>42674</v>
      </c>
      <c r="M550" t="s">
        <v>43175</v>
      </c>
      <c r="N550" t="s">
        <v>47304</v>
      </c>
      <c r="O550" t="s">
        <v>47305</v>
      </c>
      <c r="P550">
        <v>0</v>
      </c>
      <c r="Q550">
        <v>0</v>
      </c>
      <c r="R550" t="s">
        <v>47306</v>
      </c>
      <c r="S550" t="s">
        <v>47414</v>
      </c>
      <c r="T550" t="s">
        <v>49004</v>
      </c>
      <c r="U550" t="s">
        <v>50055</v>
      </c>
      <c r="V550" t="s">
        <v>62717</v>
      </c>
      <c r="W550" t="s">
        <v>43175</v>
      </c>
      <c r="X550" t="s">
        <v>47308</v>
      </c>
    </row>
    <row r="551" spans="1:24">
      <c r="A551">
        <f>HYPERLINK("https://www.philgeps.gov.ph/GEPSNONPILOT/Tender/SplashBidNoticeAbstractUI.aspx?menuIndex=3&amp;refID=7194703&amp;Result=3","7194703")</f>
        <v>0</v>
      </c>
      <c r="B551" t="s">
        <v>270</v>
      </c>
      <c r="C551" t="s">
        <v>4415</v>
      </c>
      <c r="D551" t="s">
        <v>18993</v>
      </c>
      <c r="E551" t="s">
        <v>19612</v>
      </c>
      <c r="F551" t="s">
        <v>32606</v>
      </c>
      <c r="G551" t="s">
        <v>32614</v>
      </c>
      <c r="H551" t="s">
        <v>14201</v>
      </c>
      <c r="I551" t="s">
        <v>32646</v>
      </c>
      <c r="J551" t="s">
        <v>33205</v>
      </c>
      <c r="K551" t="s">
        <v>42630</v>
      </c>
      <c r="M551" t="s">
        <v>43171</v>
      </c>
      <c r="N551" t="s">
        <v>47304</v>
      </c>
      <c r="O551" t="s">
        <v>47305</v>
      </c>
      <c r="P551">
        <v>0</v>
      </c>
      <c r="Q551">
        <v>8</v>
      </c>
      <c r="R551" t="s">
        <v>47306</v>
      </c>
      <c r="S551" t="s">
        <v>47414</v>
      </c>
      <c r="T551" t="s">
        <v>49010</v>
      </c>
      <c r="U551" t="s">
        <v>50056</v>
      </c>
      <c r="V551" t="s">
        <v>62709</v>
      </c>
      <c r="W551" t="s">
        <v>43171</v>
      </c>
      <c r="X551" t="s">
        <v>47308</v>
      </c>
    </row>
    <row r="552" spans="1:24">
      <c r="A552">
        <f>HYPERLINK("https://www.philgeps.gov.ph/GEPSNONPILOT/Tender/SplashBidNoticeAbstractUI.aspx?menuIndex=3&amp;refID=7194712&amp;Result=3","7194712")</f>
        <v>0</v>
      </c>
      <c r="B552" t="s">
        <v>219</v>
      </c>
      <c r="C552" t="s">
        <v>4416</v>
      </c>
      <c r="D552" t="s">
        <v>19050</v>
      </c>
      <c r="E552" t="s">
        <v>19613</v>
      </c>
      <c r="F552" t="s">
        <v>32606</v>
      </c>
      <c r="G552" t="s">
        <v>32613</v>
      </c>
      <c r="H552" t="s">
        <v>14201</v>
      </c>
      <c r="I552" t="s">
        <v>32646</v>
      </c>
      <c r="J552" t="s">
        <v>33206</v>
      </c>
      <c r="K552" t="s">
        <v>42636</v>
      </c>
      <c r="M552" t="s">
        <v>43120</v>
      </c>
      <c r="N552" t="s">
        <v>47304</v>
      </c>
      <c r="O552" t="s">
        <v>47305</v>
      </c>
      <c r="P552">
        <v>0</v>
      </c>
      <c r="Q552">
        <v>1</v>
      </c>
      <c r="R552" t="s">
        <v>47306</v>
      </c>
      <c r="S552" t="s">
        <v>47414</v>
      </c>
      <c r="T552" t="s">
        <v>49066</v>
      </c>
      <c r="U552" t="s">
        <v>50057</v>
      </c>
      <c r="W552" t="s">
        <v>43120</v>
      </c>
      <c r="X552" t="s">
        <v>47308</v>
      </c>
    </row>
    <row r="553" spans="1:24">
      <c r="A553">
        <f>HYPERLINK("https://www.philgeps.gov.ph/GEPSNONPILOT/Tender/SplashBidNoticeAbstractUI.aspx?menuIndex=3&amp;refID=7194666&amp;Result=3","7194666")</f>
        <v>0</v>
      </c>
      <c r="B553" t="s">
        <v>280</v>
      </c>
      <c r="C553" t="s">
        <v>4385</v>
      </c>
      <c r="D553" t="s">
        <v>19028</v>
      </c>
      <c r="E553" t="s">
        <v>19614</v>
      </c>
      <c r="F553" t="s">
        <v>32607</v>
      </c>
      <c r="G553" t="s">
        <v>32614</v>
      </c>
      <c r="H553" t="s">
        <v>14201</v>
      </c>
      <c r="I553" t="s">
        <v>6298</v>
      </c>
      <c r="J553" t="s">
        <v>33207</v>
      </c>
      <c r="K553" t="s">
        <v>42623</v>
      </c>
      <c r="M553" t="s">
        <v>43181</v>
      </c>
      <c r="N553" t="s">
        <v>47304</v>
      </c>
      <c r="O553" t="s">
        <v>47305</v>
      </c>
      <c r="P553">
        <v>0</v>
      </c>
      <c r="Q553">
        <v>0</v>
      </c>
      <c r="R553" t="s">
        <v>47306</v>
      </c>
      <c r="S553" t="s">
        <v>47414</v>
      </c>
      <c r="T553" t="s">
        <v>49002</v>
      </c>
      <c r="U553" t="s">
        <v>50058</v>
      </c>
      <c r="W553" t="s">
        <v>43181</v>
      </c>
      <c r="X553" t="s">
        <v>47308</v>
      </c>
    </row>
    <row r="554" spans="1:24">
      <c r="A554">
        <f>HYPERLINK("https://www.philgeps.gov.ph/GEPSNONPILOT/Tender/SplashBidNoticeAbstractUI.aspx?menuIndex=3&amp;refID=7194709&amp;Result=3","7194709")</f>
        <v>0</v>
      </c>
      <c r="B554" t="s">
        <v>81</v>
      </c>
      <c r="C554" t="s">
        <v>4040</v>
      </c>
      <c r="D554" t="s">
        <v>18995</v>
      </c>
      <c r="E554" t="s">
        <v>19615</v>
      </c>
      <c r="F554" t="s">
        <v>32606</v>
      </c>
      <c r="G554" t="s">
        <v>32614</v>
      </c>
      <c r="H554" t="s">
        <v>14201</v>
      </c>
      <c r="I554" t="s">
        <v>7677</v>
      </c>
      <c r="J554" t="s">
        <v>33208</v>
      </c>
      <c r="K554" t="s">
        <v>42624</v>
      </c>
      <c r="M554" t="s">
        <v>42978</v>
      </c>
      <c r="N554" t="s">
        <v>47304</v>
      </c>
      <c r="O554" t="s">
        <v>47305</v>
      </c>
      <c r="P554">
        <v>0</v>
      </c>
      <c r="Q554">
        <v>1</v>
      </c>
      <c r="R554" t="s">
        <v>47306</v>
      </c>
      <c r="S554" t="s">
        <v>47414</v>
      </c>
      <c r="T554" t="s">
        <v>49014</v>
      </c>
      <c r="U554" t="s">
        <v>50059</v>
      </c>
      <c r="W554" t="s">
        <v>42978</v>
      </c>
      <c r="X554" t="s">
        <v>47308</v>
      </c>
    </row>
    <row r="555" spans="1:24">
      <c r="A555">
        <f>HYPERLINK("https://www.philgeps.gov.ph/GEPSNONPILOT/Tender/SplashBidNoticeAbstractUI.aspx?menuIndex=3&amp;refID=7194700&amp;Result=3","7194700")</f>
        <v>0</v>
      </c>
      <c r="B555" t="s">
        <v>280</v>
      </c>
      <c r="C555" t="s">
        <v>4385</v>
      </c>
      <c r="D555" t="s">
        <v>19028</v>
      </c>
      <c r="E555" t="s">
        <v>19616</v>
      </c>
      <c r="F555" t="s">
        <v>32607</v>
      </c>
      <c r="G555" t="s">
        <v>32614</v>
      </c>
      <c r="H555" t="s">
        <v>14201</v>
      </c>
      <c r="I555" t="s">
        <v>6298</v>
      </c>
      <c r="J555" t="s">
        <v>33209</v>
      </c>
      <c r="K555" t="s">
        <v>42623</v>
      </c>
      <c r="M555" t="s">
        <v>43181</v>
      </c>
      <c r="N555" t="s">
        <v>47304</v>
      </c>
      <c r="O555" t="s">
        <v>47305</v>
      </c>
      <c r="P555">
        <v>0</v>
      </c>
      <c r="Q555">
        <v>0</v>
      </c>
      <c r="R555" t="s">
        <v>47306</v>
      </c>
      <c r="S555" t="s">
        <v>47414</v>
      </c>
      <c r="T555" t="s">
        <v>49002</v>
      </c>
      <c r="U555" t="s">
        <v>50060</v>
      </c>
      <c r="W555" t="s">
        <v>43181</v>
      </c>
      <c r="X555" t="s">
        <v>47308</v>
      </c>
    </row>
    <row r="556" spans="1:24">
      <c r="A556">
        <f>HYPERLINK("https://www.philgeps.gov.ph/GEPSNONPILOT/Tender/SplashBidNoticeAbstractUI.aspx?menuIndex=3&amp;refID=7194706&amp;Result=3","7194706")</f>
        <v>0</v>
      </c>
      <c r="B556" t="s">
        <v>251</v>
      </c>
      <c r="C556" t="s">
        <v>4417</v>
      </c>
      <c r="D556" t="s">
        <v>19023</v>
      </c>
      <c r="E556" t="s">
        <v>19617</v>
      </c>
      <c r="F556" t="s">
        <v>32606</v>
      </c>
      <c r="G556" t="s">
        <v>32614</v>
      </c>
      <c r="H556" t="s">
        <v>14201</v>
      </c>
      <c r="I556" t="s">
        <v>32671</v>
      </c>
      <c r="J556" t="s">
        <v>32914</v>
      </c>
      <c r="K556" t="s">
        <v>42632</v>
      </c>
      <c r="M556" t="s">
        <v>43152</v>
      </c>
      <c r="N556" t="s">
        <v>47304</v>
      </c>
      <c r="O556" t="s">
        <v>47305</v>
      </c>
      <c r="P556">
        <v>0</v>
      </c>
      <c r="Q556">
        <v>0</v>
      </c>
      <c r="R556" t="s">
        <v>47306</v>
      </c>
      <c r="S556" t="s">
        <v>47414</v>
      </c>
      <c r="T556" t="s">
        <v>49061</v>
      </c>
      <c r="U556" t="s">
        <v>50061</v>
      </c>
      <c r="W556" t="s">
        <v>43152</v>
      </c>
      <c r="X556" t="s">
        <v>47308</v>
      </c>
    </row>
    <row r="557" spans="1:24">
      <c r="A557">
        <f>HYPERLINK("https://www.philgeps.gov.ph/GEPSNONPILOT/Tender/SplashBidNoticeAbstractUI.aspx?menuIndex=3&amp;refID=7194698&amp;Result=3","7194698")</f>
        <v>0</v>
      </c>
      <c r="B557" t="s">
        <v>296</v>
      </c>
      <c r="C557" t="s">
        <v>4418</v>
      </c>
      <c r="D557" t="s">
        <v>19038</v>
      </c>
      <c r="E557" t="s">
        <v>19618</v>
      </c>
      <c r="F557" t="s">
        <v>32606</v>
      </c>
      <c r="G557" t="s">
        <v>32614</v>
      </c>
      <c r="H557" t="s">
        <v>14201</v>
      </c>
      <c r="I557" t="s">
        <v>32633</v>
      </c>
      <c r="J557" t="s">
        <v>33210</v>
      </c>
      <c r="K557" t="s">
        <v>42624</v>
      </c>
      <c r="M557" t="s">
        <v>43198</v>
      </c>
      <c r="N557" t="s">
        <v>47304</v>
      </c>
      <c r="O557" t="s">
        <v>47305</v>
      </c>
      <c r="P557">
        <v>0</v>
      </c>
      <c r="Q557">
        <v>2</v>
      </c>
      <c r="R557" t="s">
        <v>47306</v>
      </c>
      <c r="S557" t="s">
        <v>47414</v>
      </c>
      <c r="T557" t="s">
        <v>48997</v>
      </c>
      <c r="U557" t="s">
        <v>50062</v>
      </c>
      <c r="W557" t="s">
        <v>43198</v>
      </c>
      <c r="X557" t="s">
        <v>47308</v>
      </c>
    </row>
    <row r="558" spans="1:24">
      <c r="A558">
        <f>HYPERLINK("https://www.philgeps.gov.ph/GEPSNONPILOT/Tender/SplashBidNoticeAbstractUI.aspx?menuIndex=3&amp;refID=7194649&amp;Result=3","7194649")</f>
        <v>0</v>
      </c>
      <c r="B558" t="s">
        <v>58</v>
      </c>
      <c r="C558" t="s">
        <v>4419</v>
      </c>
      <c r="D558" t="s">
        <v>19011</v>
      </c>
      <c r="E558" t="s">
        <v>19619</v>
      </c>
      <c r="F558" t="s">
        <v>32606</v>
      </c>
      <c r="G558" t="s">
        <v>32614</v>
      </c>
      <c r="H558" t="s">
        <v>14201</v>
      </c>
      <c r="I558" t="s">
        <v>32640</v>
      </c>
      <c r="J558" t="s">
        <v>32981</v>
      </c>
      <c r="K558" t="s">
        <v>42624</v>
      </c>
      <c r="M558" t="s">
        <v>42955</v>
      </c>
      <c r="N558" t="s">
        <v>47304</v>
      </c>
      <c r="O558" t="s">
        <v>47305</v>
      </c>
      <c r="P558">
        <v>0</v>
      </c>
      <c r="Q558">
        <v>2</v>
      </c>
      <c r="R558" t="s">
        <v>47306</v>
      </c>
      <c r="S558" t="s">
        <v>47414</v>
      </c>
      <c r="T558" t="s">
        <v>48979</v>
      </c>
      <c r="U558" t="s">
        <v>50063</v>
      </c>
      <c r="W558" t="s">
        <v>42955</v>
      </c>
      <c r="X558" t="s">
        <v>47308</v>
      </c>
    </row>
    <row r="559" spans="1:24">
      <c r="A559">
        <f>HYPERLINK("https://www.philgeps.gov.ph/GEPSNONPILOT/Tender/SplashBidNoticeAbstractUI.aspx?menuIndex=3&amp;refID=7194697&amp;Result=3","7194697")</f>
        <v>0</v>
      </c>
      <c r="B559" t="s">
        <v>297</v>
      </c>
      <c r="C559" t="s">
        <v>4420</v>
      </c>
      <c r="D559" t="s">
        <v>19052</v>
      </c>
      <c r="E559" t="s">
        <v>19620</v>
      </c>
      <c r="F559" t="s">
        <v>32606</v>
      </c>
      <c r="G559" t="s">
        <v>32613</v>
      </c>
      <c r="H559" t="s">
        <v>32623</v>
      </c>
      <c r="I559" t="s">
        <v>17648</v>
      </c>
      <c r="J559" t="s">
        <v>32795</v>
      </c>
      <c r="K559" t="s">
        <v>42646</v>
      </c>
      <c r="M559" t="s">
        <v>43199</v>
      </c>
      <c r="N559" t="s">
        <v>47304</v>
      </c>
      <c r="O559" t="s">
        <v>47305</v>
      </c>
      <c r="P559">
        <v>0</v>
      </c>
      <c r="Q559">
        <v>0</v>
      </c>
      <c r="R559" t="s">
        <v>47306</v>
      </c>
      <c r="S559" t="s">
        <v>47414</v>
      </c>
      <c r="T559" t="s">
        <v>49081</v>
      </c>
      <c r="U559" t="s">
        <v>50064</v>
      </c>
      <c r="W559" t="s">
        <v>43199</v>
      </c>
      <c r="X559" t="s">
        <v>47308</v>
      </c>
    </row>
    <row r="560" spans="1:24">
      <c r="A560">
        <f>HYPERLINK("https://www.philgeps.gov.ph/GEPSNONPILOT/Tender/SplashBidNoticeAbstractUI.aspx?menuIndex=3&amp;refID=7194696&amp;Result=3","7194696")</f>
        <v>0</v>
      </c>
      <c r="B560" t="s">
        <v>298</v>
      </c>
      <c r="C560" t="s">
        <v>4421</v>
      </c>
      <c r="D560" t="s">
        <v>18993</v>
      </c>
      <c r="E560" t="s">
        <v>19621</v>
      </c>
      <c r="F560" t="s">
        <v>32606</v>
      </c>
      <c r="G560" t="s">
        <v>32614</v>
      </c>
      <c r="H560" t="s">
        <v>14201</v>
      </c>
      <c r="I560" t="s">
        <v>17648</v>
      </c>
      <c r="J560" t="s">
        <v>33211</v>
      </c>
      <c r="K560" t="s">
        <v>42641</v>
      </c>
      <c r="M560" t="s">
        <v>43200</v>
      </c>
      <c r="N560" t="s">
        <v>47304</v>
      </c>
      <c r="O560" t="s">
        <v>47305</v>
      </c>
      <c r="P560">
        <v>0</v>
      </c>
      <c r="Q560">
        <v>1</v>
      </c>
      <c r="R560" t="s">
        <v>47306</v>
      </c>
      <c r="S560" t="s">
        <v>47414</v>
      </c>
      <c r="T560" t="s">
        <v>48980</v>
      </c>
      <c r="U560" t="s">
        <v>50065</v>
      </c>
      <c r="W560" t="s">
        <v>43200</v>
      </c>
      <c r="X560" t="s">
        <v>47308</v>
      </c>
    </row>
    <row r="561" spans="1:24">
      <c r="A561">
        <f>HYPERLINK("https://www.philgeps.gov.ph/GEPSNONPILOT/Tender/SplashBidNoticeAbstractUI.aspx?menuIndex=3&amp;refID=7194694&amp;Result=3","7194694")</f>
        <v>0</v>
      </c>
      <c r="B561" t="s">
        <v>272</v>
      </c>
      <c r="C561" t="s">
        <v>4422</v>
      </c>
      <c r="D561" t="s">
        <v>19002</v>
      </c>
      <c r="E561" t="s">
        <v>19572</v>
      </c>
      <c r="F561" t="s">
        <v>32606</v>
      </c>
      <c r="G561" t="s">
        <v>32613</v>
      </c>
      <c r="H561" t="s">
        <v>14201</v>
      </c>
      <c r="I561" t="s">
        <v>6931</v>
      </c>
      <c r="J561" t="s">
        <v>33212</v>
      </c>
      <c r="K561" t="s">
        <v>42624</v>
      </c>
      <c r="M561" t="s">
        <v>43173</v>
      </c>
      <c r="N561" t="s">
        <v>47304</v>
      </c>
      <c r="O561" t="s">
        <v>47305</v>
      </c>
      <c r="P561">
        <v>0</v>
      </c>
      <c r="Q561">
        <v>0</v>
      </c>
      <c r="R561" t="s">
        <v>47306</v>
      </c>
      <c r="S561" t="s">
        <v>47414</v>
      </c>
      <c r="T561" t="s">
        <v>48977</v>
      </c>
      <c r="U561" t="s">
        <v>50066</v>
      </c>
      <c r="W561" t="s">
        <v>43173</v>
      </c>
      <c r="X561" t="s">
        <v>47308</v>
      </c>
    </row>
    <row r="562" spans="1:24">
      <c r="A562">
        <f>HYPERLINK("https://www.philgeps.gov.ph/GEPSNONPILOT/Tender/SplashBidNoticeAbstractUI.aspx?menuIndex=3&amp;refID=7194733&amp;Result=3","7194733")</f>
        <v>0</v>
      </c>
      <c r="B562" t="s">
        <v>299</v>
      </c>
      <c r="C562" t="s">
        <v>4423</v>
      </c>
      <c r="D562" t="s">
        <v>19057</v>
      </c>
      <c r="E562" t="s">
        <v>19622</v>
      </c>
      <c r="F562" t="s">
        <v>32606</v>
      </c>
      <c r="G562" t="s">
        <v>32614</v>
      </c>
      <c r="H562" t="s">
        <v>14201</v>
      </c>
      <c r="I562" t="s">
        <v>32635</v>
      </c>
      <c r="J562" t="s">
        <v>33213</v>
      </c>
      <c r="K562" t="s">
        <v>42678</v>
      </c>
      <c r="M562" t="s">
        <v>43201</v>
      </c>
      <c r="N562" t="s">
        <v>47304</v>
      </c>
      <c r="O562" t="s">
        <v>47305</v>
      </c>
      <c r="P562">
        <v>0</v>
      </c>
      <c r="Q562">
        <v>2</v>
      </c>
      <c r="R562" t="s">
        <v>47306</v>
      </c>
      <c r="S562" t="s">
        <v>47414</v>
      </c>
      <c r="T562" t="s">
        <v>49010</v>
      </c>
      <c r="U562" t="s">
        <v>50067</v>
      </c>
      <c r="W562" t="s">
        <v>43201</v>
      </c>
      <c r="X562" t="s">
        <v>47308</v>
      </c>
    </row>
    <row r="563" spans="1:24">
      <c r="A563">
        <f>HYPERLINK("https://www.philgeps.gov.ph/GEPSNONPILOT/Tender/SplashBidNoticeAbstractUI.aspx?menuIndex=3&amp;refID=7194701&amp;Result=3","7194701")</f>
        <v>0</v>
      </c>
      <c r="B563" t="s">
        <v>260</v>
      </c>
      <c r="C563" t="s">
        <v>4424</v>
      </c>
      <c r="D563" t="s">
        <v>19030</v>
      </c>
      <c r="E563" t="s">
        <v>19623</v>
      </c>
      <c r="F563" t="s">
        <v>32606</v>
      </c>
      <c r="G563" t="s">
        <v>32619</v>
      </c>
      <c r="H563" t="s">
        <v>14201</v>
      </c>
      <c r="I563" t="s">
        <v>4120</v>
      </c>
      <c r="J563" t="s">
        <v>33214</v>
      </c>
      <c r="K563" t="s">
        <v>42622</v>
      </c>
      <c r="M563" t="s">
        <v>43161</v>
      </c>
      <c r="N563" t="s">
        <v>47304</v>
      </c>
      <c r="O563" t="s">
        <v>47305</v>
      </c>
      <c r="P563">
        <v>0</v>
      </c>
      <c r="Q563">
        <v>3</v>
      </c>
      <c r="R563" t="s">
        <v>47306</v>
      </c>
      <c r="S563" t="s">
        <v>47414</v>
      </c>
      <c r="T563" t="s">
        <v>48997</v>
      </c>
      <c r="U563" t="s">
        <v>50068</v>
      </c>
      <c r="W563" t="s">
        <v>43161</v>
      </c>
      <c r="X563" t="s">
        <v>47308</v>
      </c>
    </row>
    <row r="564" spans="1:24">
      <c r="A564">
        <f>HYPERLINK("https://www.philgeps.gov.ph/GEPSNONPILOT/Tender/SplashBidNoticeAbstractUI.aspx?menuIndex=3&amp;refID=7194732&amp;Result=3","7194732")</f>
        <v>0</v>
      </c>
      <c r="B564" t="s">
        <v>300</v>
      </c>
      <c r="C564" t="s">
        <v>4425</v>
      </c>
      <c r="D564" t="s">
        <v>19024</v>
      </c>
      <c r="E564" t="s">
        <v>19522</v>
      </c>
      <c r="F564" t="s">
        <v>32606</v>
      </c>
      <c r="G564" t="s">
        <v>32613</v>
      </c>
      <c r="H564" t="s">
        <v>14201</v>
      </c>
      <c r="I564" t="s">
        <v>7064</v>
      </c>
      <c r="J564" t="s">
        <v>32778</v>
      </c>
      <c r="K564" t="s">
        <v>42629</v>
      </c>
      <c r="M564" t="s">
        <v>43202</v>
      </c>
      <c r="N564" t="s">
        <v>47304</v>
      </c>
      <c r="O564" t="s">
        <v>47305</v>
      </c>
      <c r="P564">
        <v>0</v>
      </c>
      <c r="Q564">
        <v>0</v>
      </c>
      <c r="R564" t="s">
        <v>47306</v>
      </c>
      <c r="S564" t="s">
        <v>47414</v>
      </c>
      <c r="T564" t="s">
        <v>49052</v>
      </c>
      <c r="U564" t="s">
        <v>50069</v>
      </c>
      <c r="W564" t="s">
        <v>43202</v>
      </c>
      <c r="X564" t="s">
        <v>47308</v>
      </c>
    </row>
    <row r="565" spans="1:24">
      <c r="A565">
        <f>HYPERLINK("https://www.philgeps.gov.ph/GEPSNONPILOT/Tender/SplashBidNoticeAbstractUI.aspx?menuIndex=3&amp;refID=7194731&amp;Result=3","7194731")</f>
        <v>0</v>
      </c>
      <c r="B565" t="s">
        <v>58</v>
      </c>
      <c r="C565" t="s">
        <v>4426</v>
      </c>
      <c r="D565" t="s">
        <v>19011</v>
      </c>
      <c r="E565" t="s">
        <v>19624</v>
      </c>
      <c r="F565" t="s">
        <v>32606</v>
      </c>
      <c r="G565" t="s">
        <v>32614</v>
      </c>
      <c r="H565" t="s">
        <v>14201</v>
      </c>
      <c r="I565" t="s">
        <v>9013</v>
      </c>
      <c r="J565" t="s">
        <v>33215</v>
      </c>
      <c r="K565" t="s">
        <v>42624</v>
      </c>
      <c r="M565" t="s">
        <v>42955</v>
      </c>
      <c r="N565" t="s">
        <v>47304</v>
      </c>
      <c r="O565" t="s">
        <v>47305</v>
      </c>
      <c r="P565">
        <v>0</v>
      </c>
      <c r="Q565">
        <v>4</v>
      </c>
      <c r="R565" t="s">
        <v>47306</v>
      </c>
      <c r="S565" t="s">
        <v>47414</v>
      </c>
      <c r="T565" t="s">
        <v>48979</v>
      </c>
      <c r="U565" t="s">
        <v>50070</v>
      </c>
      <c r="W565" t="s">
        <v>42955</v>
      </c>
      <c r="X565" t="s">
        <v>47308</v>
      </c>
    </row>
    <row r="566" spans="1:24">
      <c r="A566">
        <f>HYPERLINK("https://www.philgeps.gov.ph/GEPSNONPILOT/Tender/SplashBidNoticeAbstractUI.aspx?menuIndex=3&amp;refID=7194677&amp;Result=3","7194677")</f>
        <v>0</v>
      </c>
      <c r="B566" t="s">
        <v>301</v>
      </c>
      <c r="C566" t="s">
        <v>4427</v>
      </c>
      <c r="D566" t="s">
        <v>19011</v>
      </c>
      <c r="E566" t="s">
        <v>19625</v>
      </c>
      <c r="F566" t="s">
        <v>32606</v>
      </c>
      <c r="G566" t="s">
        <v>32619</v>
      </c>
      <c r="H566" t="s">
        <v>14201</v>
      </c>
      <c r="I566" t="s">
        <v>4678</v>
      </c>
      <c r="J566" t="s">
        <v>32927</v>
      </c>
      <c r="K566" t="s">
        <v>42622</v>
      </c>
      <c r="M566" t="s">
        <v>43203</v>
      </c>
      <c r="N566" t="s">
        <v>47304</v>
      </c>
      <c r="O566" t="s">
        <v>47305</v>
      </c>
      <c r="P566">
        <v>0</v>
      </c>
      <c r="Q566">
        <v>0</v>
      </c>
      <c r="R566" t="s">
        <v>47306</v>
      </c>
      <c r="S566" t="s">
        <v>47414</v>
      </c>
      <c r="T566" t="s">
        <v>48977</v>
      </c>
      <c r="U566" t="s">
        <v>50071</v>
      </c>
      <c r="W566" t="s">
        <v>43203</v>
      </c>
      <c r="X566" t="s">
        <v>47308</v>
      </c>
    </row>
    <row r="567" spans="1:24">
      <c r="A567">
        <f>HYPERLINK("https://www.philgeps.gov.ph/GEPSNONPILOT/Tender/SplashBidNoticeAbstractUI.aspx?menuIndex=3&amp;refID=7194728&amp;Result=3","7194728")</f>
        <v>0</v>
      </c>
      <c r="B567" t="s">
        <v>286</v>
      </c>
      <c r="C567" t="s">
        <v>4428</v>
      </c>
      <c r="D567" t="s">
        <v>19008</v>
      </c>
      <c r="E567" t="s">
        <v>19626</v>
      </c>
      <c r="F567" t="s">
        <v>32606</v>
      </c>
      <c r="G567" t="s">
        <v>32614</v>
      </c>
      <c r="H567" t="s">
        <v>14201</v>
      </c>
      <c r="I567" t="s">
        <v>6931</v>
      </c>
      <c r="J567" t="s">
        <v>32778</v>
      </c>
      <c r="K567" t="s">
        <v>42630</v>
      </c>
      <c r="M567" t="s">
        <v>43187</v>
      </c>
      <c r="N567" t="s">
        <v>47304</v>
      </c>
      <c r="O567" t="s">
        <v>47305</v>
      </c>
      <c r="P567">
        <v>0</v>
      </c>
      <c r="Q567">
        <v>2</v>
      </c>
      <c r="R567" t="s">
        <v>47306</v>
      </c>
      <c r="S567" t="s">
        <v>47414</v>
      </c>
      <c r="T567" t="s">
        <v>49004</v>
      </c>
      <c r="U567" t="s">
        <v>50072</v>
      </c>
      <c r="W567" t="s">
        <v>43187</v>
      </c>
      <c r="X567" t="s">
        <v>47308</v>
      </c>
    </row>
    <row r="568" spans="1:24">
      <c r="A568">
        <f>HYPERLINK("https://www.philgeps.gov.ph/GEPSNONPILOT/Tender/SplashBidNoticeAbstractUI.aspx?menuIndex=3&amp;refID=7194693&amp;Result=3","7194693")</f>
        <v>0</v>
      </c>
      <c r="B568" t="s">
        <v>253</v>
      </c>
      <c r="C568" t="s">
        <v>4342</v>
      </c>
      <c r="D568" t="s">
        <v>19043</v>
      </c>
      <c r="E568" t="s">
        <v>19627</v>
      </c>
      <c r="F568" t="s">
        <v>32606</v>
      </c>
      <c r="G568" t="s">
        <v>32613</v>
      </c>
      <c r="H568" t="s">
        <v>14201</v>
      </c>
      <c r="I568" t="s">
        <v>6931</v>
      </c>
      <c r="J568" t="s">
        <v>33151</v>
      </c>
      <c r="K568" t="s">
        <v>42622</v>
      </c>
      <c r="M568" t="s">
        <v>43154</v>
      </c>
      <c r="N568" t="s">
        <v>47304</v>
      </c>
      <c r="O568" t="s">
        <v>47305</v>
      </c>
      <c r="P568">
        <v>0</v>
      </c>
      <c r="Q568">
        <v>0</v>
      </c>
      <c r="R568" t="s">
        <v>47306</v>
      </c>
      <c r="S568" t="s">
        <v>47414</v>
      </c>
      <c r="T568" t="s">
        <v>49073</v>
      </c>
      <c r="U568" t="s">
        <v>50073</v>
      </c>
      <c r="W568" t="s">
        <v>43154</v>
      </c>
      <c r="X568" t="s">
        <v>47308</v>
      </c>
    </row>
    <row r="569" spans="1:24">
      <c r="A569">
        <f>HYPERLINK("https://www.philgeps.gov.ph/GEPSNONPILOT/Tender/SplashBidNoticeAbstractUI.aspx?menuIndex=3&amp;refID=7194727&amp;Result=3","7194727")</f>
        <v>0</v>
      </c>
      <c r="B569" t="s">
        <v>280</v>
      </c>
      <c r="C569" t="s">
        <v>4385</v>
      </c>
      <c r="D569" t="s">
        <v>19028</v>
      </c>
      <c r="E569" t="s">
        <v>19628</v>
      </c>
      <c r="F569" t="s">
        <v>32607</v>
      </c>
      <c r="G569" t="s">
        <v>32614</v>
      </c>
      <c r="H569" t="s">
        <v>14201</v>
      </c>
      <c r="I569" t="s">
        <v>6298</v>
      </c>
      <c r="J569" t="s">
        <v>33216</v>
      </c>
      <c r="K569" t="s">
        <v>42623</v>
      </c>
      <c r="M569" t="s">
        <v>43181</v>
      </c>
      <c r="N569" t="s">
        <v>47304</v>
      </c>
      <c r="O569" t="s">
        <v>47305</v>
      </c>
      <c r="P569">
        <v>0</v>
      </c>
      <c r="Q569">
        <v>1</v>
      </c>
      <c r="R569" t="s">
        <v>47306</v>
      </c>
      <c r="S569" t="s">
        <v>47414</v>
      </c>
      <c r="T569" t="s">
        <v>49002</v>
      </c>
      <c r="U569" t="s">
        <v>50074</v>
      </c>
      <c r="W569" t="s">
        <v>43181</v>
      </c>
      <c r="X569" t="s">
        <v>47308</v>
      </c>
    </row>
    <row r="570" spans="1:24">
      <c r="A570">
        <f>HYPERLINK("https://www.philgeps.gov.ph/GEPSNONPILOT/Tender/SplashBidNoticeAbstractUI.aspx?menuIndex=3&amp;refID=7194735&amp;Result=3","7194735")</f>
        <v>0</v>
      </c>
      <c r="B570" t="s">
        <v>302</v>
      </c>
      <c r="C570" t="s">
        <v>4429</v>
      </c>
      <c r="D570" t="s">
        <v>19003</v>
      </c>
      <c r="E570" t="s">
        <v>19629</v>
      </c>
      <c r="F570" t="s">
        <v>32606</v>
      </c>
      <c r="G570" t="s">
        <v>32613</v>
      </c>
      <c r="H570" t="s">
        <v>14201</v>
      </c>
      <c r="I570" t="s">
        <v>4678</v>
      </c>
      <c r="J570" t="s">
        <v>32999</v>
      </c>
      <c r="K570" t="s">
        <v>42622</v>
      </c>
      <c r="M570" t="s">
        <v>43204</v>
      </c>
      <c r="N570" t="s">
        <v>47304</v>
      </c>
      <c r="O570" t="s">
        <v>47305</v>
      </c>
      <c r="P570">
        <v>0</v>
      </c>
      <c r="Q570">
        <v>0</v>
      </c>
      <c r="R570" t="s">
        <v>47306</v>
      </c>
      <c r="S570" t="s">
        <v>47414</v>
      </c>
      <c r="T570" t="s">
        <v>49082</v>
      </c>
      <c r="U570" t="s">
        <v>50075</v>
      </c>
      <c r="V570" t="s">
        <v>62718</v>
      </c>
      <c r="W570" t="s">
        <v>43204</v>
      </c>
      <c r="X570" t="s">
        <v>47308</v>
      </c>
    </row>
    <row r="571" spans="1:24">
      <c r="A571">
        <f>HYPERLINK("https://www.philgeps.gov.ph/GEPSNONPILOT/Tender/SplashBidNoticeAbstractUI.aspx?menuIndex=3&amp;refID=7194725&amp;Result=3","7194725")</f>
        <v>0</v>
      </c>
      <c r="B571" t="s">
        <v>303</v>
      </c>
      <c r="C571" t="s">
        <v>4430</v>
      </c>
      <c r="D571" t="s">
        <v>19039</v>
      </c>
      <c r="E571" t="s">
        <v>19630</v>
      </c>
      <c r="F571" t="s">
        <v>32606</v>
      </c>
      <c r="G571" t="s">
        <v>32613</v>
      </c>
      <c r="H571" t="s">
        <v>14201</v>
      </c>
      <c r="I571" t="s">
        <v>32672</v>
      </c>
      <c r="J571" t="s">
        <v>33217</v>
      </c>
      <c r="K571" t="s">
        <v>42646</v>
      </c>
      <c r="M571" t="s">
        <v>43205</v>
      </c>
      <c r="N571" t="s">
        <v>47304</v>
      </c>
      <c r="O571" t="s">
        <v>47305</v>
      </c>
      <c r="P571">
        <v>0</v>
      </c>
      <c r="Q571">
        <v>0</v>
      </c>
      <c r="R571" t="s">
        <v>47306</v>
      </c>
      <c r="S571" t="s">
        <v>47414</v>
      </c>
      <c r="T571" t="s">
        <v>49048</v>
      </c>
      <c r="U571" t="s">
        <v>50076</v>
      </c>
      <c r="V571" t="s">
        <v>62719</v>
      </c>
      <c r="W571" t="s">
        <v>43205</v>
      </c>
      <c r="X571" t="s">
        <v>47308</v>
      </c>
    </row>
    <row r="572" spans="1:24">
      <c r="A572">
        <f>HYPERLINK("https://www.philgeps.gov.ph/GEPSNONPILOT/Tender/SplashBidNoticeAbstractUI.aspx?menuIndex=3&amp;refID=7194723&amp;Result=3","7194723")</f>
        <v>0</v>
      </c>
      <c r="B572" t="s">
        <v>304</v>
      </c>
      <c r="C572" t="s">
        <v>4431</v>
      </c>
      <c r="D572" t="s">
        <v>18994</v>
      </c>
      <c r="E572" t="s">
        <v>19631</v>
      </c>
      <c r="F572" t="s">
        <v>32606</v>
      </c>
      <c r="G572" t="s">
        <v>32614</v>
      </c>
      <c r="H572" t="s">
        <v>14201</v>
      </c>
      <c r="I572" t="s">
        <v>32633</v>
      </c>
      <c r="J572" t="s">
        <v>33218</v>
      </c>
      <c r="K572" t="s">
        <v>42629</v>
      </c>
      <c r="M572" t="s">
        <v>43206</v>
      </c>
      <c r="N572" t="s">
        <v>47304</v>
      </c>
      <c r="O572" t="s">
        <v>47305</v>
      </c>
      <c r="P572">
        <v>0</v>
      </c>
      <c r="Q572">
        <v>7</v>
      </c>
      <c r="R572" t="s">
        <v>47306</v>
      </c>
      <c r="S572" t="s">
        <v>47414</v>
      </c>
      <c r="T572" t="s">
        <v>49004</v>
      </c>
      <c r="U572" t="s">
        <v>50077</v>
      </c>
      <c r="V572" t="s">
        <v>62720</v>
      </c>
      <c r="W572" t="s">
        <v>43206</v>
      </c>
      <c r="X572" t="s">
        <v>47308</v>
      </c>
    </row>
    <row r="573" spans="1:24">
      <c r="A573">
        <f>HYPERLINK("https://www.philgeps.gov.ph/GEPSNONPILOT/Tender/SplashBidNoticeAbstractUI.aspx?menuIndex=3&amp;refID=7194699&amp;Result=3","7194699")</f>
        <v>0</v>
      </c>
      <c r="B573" t="s">
        <v>305</v>
      </c>
      <c r="C573" t="s">
        <v>4432</v>
      </c>
      <c r="D573" t="s">
        <v>19006</v>
      </c>
      <c r="E573" t="s">
        <v>19632</v>
      </c>
      <c r="F573" t="s">
        <v>32606</v>
      </c>
      <c r="G573" t="s">
        <v>32614</v>
      </c>
      <c r="H573" t="s">
        <v>14201</v>
      </c>
      <c r="I573" t="s">
        <v>32629</v>
      </c>
      <c r="J573" t="s">
        <v>33123</v>
      </c>
      <c r="K573" t="s">
        <v>42631</v>
      </c>
      <c r="M573" t="s">
        <v>43207</v>
      </c>
      <c r="N573" t="s">
        <v>47304</v>
      </c>
      <c r="O573" t="s">
        <v>47305</v>
      </c>
      <c r="P573">
        <v>0</v>
      </c>
      <c r="Q573">
        <v>0</v>
      </c>
      <c r="R573" t="s">
        <v>47306</v>
      </c>
      <c r="S573" t="s">
        <v>47414</v>
      </c>
      <c r="T573" t="s">
        <v>48980</v>
      </c>
      <c r="U573" t="s">
        <v>50078</v>
      </c>
      <c r="W573" t="s">
        <v>43207</v>
      </c>
      <c r="X573" t="s">
        <v>47308</v>
      </c>
    </row>
    <row r="574" spans="1:24">
      <c r="A574">
        <f>HYPERLINK("https://www.philgeps.gov.ph/GEPSNONPILOT/Tender/SplashBidNoticeAbstractUI.aspx?menuIndex=3&amp;refID=7194721&amp;Result=3","7194721")</f>
        <v>0</v>
      </c>
      <c r="B574" t="s">
        <v>306</v>
      </c>
      <c r="C574" t="s">
        <v>4433</v>
      </c>
      <c r="D574" t="s">
        <v>19005</v>
      </c>
      <c r="E574" t="s">
        <v>19633</v>
      </c>
      <c r="F574" t="s">
        <v>32606</v>
      </c>
      <c r="G574" t="s">
        <v>32614</v>
      </c>
      <c r="H574" t="s">
        <v>14201</v>
      </c>
      <c r="I574" t="s">
        <v>32673</v>
      </c>
      <c r="J574" t="s">
        <v>33219</v>
      </c>
      <c r="K574" t="s">
        <v>42623</v>
      </c>
      <c r="M574" t="s">
        <v>43208</v>
      </c>
      <c r="N574" t="s">
        <v>47304</v>
      </c>
      <c r="O574" t="s">
        <v>47305</v>
      </c>
      <c r="P574">
        <v>0</v>
      </c>
      <c r="Q574">
        <v>0</v>
      </c>
      <c r="R574" t="s">
        <v>47306</v>
      </c>
      <c r="S574" t="s">
        <v>47414</v>
      </c>
      <c r="T574" t="s">
        <v>49076</v>
      </c>
      <c r="U574" t="s">
        <v>50079</v>
      </c>
      <c r="W574" t="s">
        <v>43208</v>
      </c>
      <c r="X574" t="s">
        <v>47308</v>
      </c>
    </row>
    <row r="575" spans="1:24">
      <c r="A575">
        <f>HYPERLINK("https://www.philgeps.gov.ph/GEPSNONPILOT/Tender/SplashBidNoticeAbstractUI.aspx?menuIndex=3&amp;refID=7194751&amp;Result=3","7194751")</f>
        <v>0</v>
      </c>
      <c r="B575" t="s">
        <v>307</v>
      </c>
      <c r="C575" t="s">
        <v>4434</v>
      </c>
      <c r="D575" t="s">
        <v>19016</v>
      </c>
      <c r="E575" t="s">
        <v>19634</v>
      </c>
      <c r="F575" t="s">
        <v>32606</v>
      </c>
      <c r="G575" t="s">
        <v>32619</v>
      </c>
      <c r="H575" t="s">
        <v>14201</v>
      </c>
      <c r="I575" t="s">
        <v>32633</v>
      </c>
      <c r="J575" t="s">
        <v>33220</v>
      </c>
      <c r="K575" t="s">
        <v>42623</v>
      </c>
      <c r="M575" t="s">
        <v>43209</v>
      </c>
      <c r="N575" t="s">
        <v>47304</v>
      </c>
      <c r="O575" t="s">
        <v>47305</v>
      </c>
      <c r="P575">
        <v>0</v>
      </c>
      <c r="Q575">
        <v>11</v>
      </c>
      <c r="R575" t="s">
        <v>47306</v>
      </c>
      <c r="S575" t="s">
        <v>47414</v>
      </c>
      <c r="T575" t="s">
        <v>48997</v>
      </c>
      <c r="U575" t="s">
        <v>50080</v>
      </c>
      <c r="W575" t="s">
        <v>43209</v>
      </c>
      <c r="X575" t="s">
        <v>47308</v>
      </c>
    </row>
    <row r="576" spans="1:24">
      <c r="A576">
        <f>HYPERLINK("https://www.philgeps.gov.ph/GEPSNONPILOT/Tender/SplashBidNoticeAbstractUI.aspx?menuIndex=3&amp;refID=7194734&amp;Result=3","7194734")</f>
        <v>0</v>
      </c>
      <c r="B576" t="s">
        <v>248</v>
      </c>
      <c r="C576" t="s">
        <v>4435</v>
      </c>
      <c r="D576" t="s">
        <v>19053</v>
      </c>
      <c r="E576" t="s">
        <v>19635</v>
      </c>
      <c r="F576" t="s">
        <v>32606</v>
      </c>
      <c r="G576" t="s">
        <v>32614</v>
      </c>
      <c r="H576" t="s">
        <v>14201</v>
      </c>
      <c r="I576" t="s">
        <v>32633</v>
      </c>
      <c r="J576" t="s">
        <v>33221</v>
      </c>
      <c r="K576" t="s">
        <v>42622</v>
      </c>
      <c r="M576" t="s">
        <v>43149</v>
      </c>
      <c r="N576" t="s">
        <v>47304</v>
      </c>
      <c r="O576" t="s">
        <v>47305</v>
      </c>
      <c r="P576">
        <v>0</v>
      </c>
      <c r="Q576">
        <v>2</v>
      </c>
      <c r="R576" t="s">
        <v>47306</v>
      </c>
      <c r="S576" t="s">
        <v>47414</v>
      </c>
      <c r="T576" t="s">
        <v>49014</v>
      </c>
      <c r="U576" t="s">
        <v>50081</v>
      </c>
      <c r="W576" t="s">
        <v>64425</v>
      </c>
      <c r="X576" t="s">
        <v>47308</v>
      </c>
    </row>
    <row r="577" spans="1:24">
      <c r="A577">
        <f>HYPERLINK("https://www.philgeps.gov.ph/GEPSNONPILOT/Tender/SplashBidNoticeAbstractUI.aspx?menuIndex=3&amp;refID=7194726&amp;Result=3","7194726")</f>
        <v>0</v>
      </c>
      <c r="B577" t="s">
        <v>238</v>
      </c>
      <c r="C577" t="s">
        <v>4436</v>
      </c>
      <c r="D577" t="s">
        <v>18993</v>
      </c>
      <c r="E577" t="s">
        <v>19636</v>
      </c>
      <c r="F577" t="s">
        <v>32606</v>
      </c>
      <c r="G577" t="s">
        <v>32619</v>
      </c>
      <c r="H577" t="s">
        <v>14201</v>
      </c>
      <c r="I577" t="s">
        <v>4114</v>
      </c>
      <c r="J577" t="s">
        <v>33222</v>
      </c>
      <c r="K577" t="s">
        <v>42622</v>
      </c>
      <c r="M577" t="s">
        <v>43194</v>
      </c>
      <c r="N577" t="s">
        <v>47304</v>
      </c>
      <c r="O577" t="s">
        <v>47305</v>
      </c>
      <c r="P577">
        <v>0</v>
      </c>
      <c r="Q577">
        <v>1</v>
      </c>
      <c r="R577" t="s">
        <v>47306</v>
      </c>
      <c r="S577" t="s">
        <v>47414</v>
      </c>
      <c r="T577" t="s">
        <v>49070</v>
      </c>
      <c r="U577" t="s">
        <v>50082</v>
      </c>
      <c r="V577" t="s">
        <v>62716</v>
      </c>
      <c r="W577" t="s">
        <v>43194</v>
      </c>
      <c r="X577" t="s">
        <v>47308</v>
      </c>
    </row>
    <row r="578" spans="1:24">
      <c r="A578">
        <f>HYPERLINK("https://www.philgeps.gov.ph/GEPSNONPILOT/Tender/SplashBidNoticeAbstractUI.aspx?menuIndex=3&amp;refID=7194722&amp;Result=3","7194722")</f>
        <v>0</v>
      </c>
      <c r="B578" t="s">
        <v>280</v>
      </c>
      <c r="C578" t="s">
        <v>4385</v>
      </c>
      <c r="D578" t="s">
        <v>19028</v>
      </c>
      <c r="E578" t="s">
        <v>19637</v>
      </c>
      <c r="F578" t="s">
        <v>32607</v>
      </c>
      <c r="G578" t="s">
        <v>32614</v>
      </c>
      <c r="H578" t="s">
        <v>14201</v>
      </c>
      <c r="I578" t="s">
        <v>6298</v>
      </c>
      <c r="J578" t="s">
        <v>33223</v>
      </c>
      <c r="K578" t="s">
        <v>42623</v>
      </c>
      <c r="M578" t="s">
        <v>43181</v>
      </c>
      <c r="N578" t="s">
        <v>47304</v>
      </c>
      <c r="O578" t="s">
        <v>47305</v>
      </c>
      <c r="P578">
        <v>0</v>
      </c>
      <c r="Q578">
        <v>0</v>
      </c>
      <c r="R578" t="s">
        <v>47306</v>
      </c>
      <c r="S578" t="s">
        <v>47414</v>
      </c>
      <c r="T578" t="s">
        <v>49002</v>
      </c>
      <c r="U578" t="s">
        <v>50083</v>
      </c>
      <c r="W578" t="s">
        <v>43181</v>
      </c>
      <c r="X578" t="s">
        <v>47308</v>
      </c>
    </row>
    <row r="579" spans="1:24">
      <c r="A579">
        <f>HYPERLINK("https://www.philgeps.gov.ph/GEPSNONPILOT/Tender/SplashBidNoticeAbstractUI.aspx?menuIndex=3&amp;refID=7194754&amp;Result=3","7194754")</f>
        <v>0</v>
      </c>
      <c r="B579" t="s">
        <v>58</v>
      </c>
      <c r="C579" t="s">
        <v>4437</v>
      </c>
      <c r="D579" t="s">
        <v>19011</v>
      </c>
      <c r="E579" t="s">
        <v>19638</v>
      </c>
      <c r="F579" t="s">
        <v>32606</v>
      </c>
      <c r="G579" t="s">
        <v>32614</v>
      </c>
      <c r="H579" t="s">
        <v>14201</v>
      </c>
      <c r="I579" t="s">
        <v>13131</v>
      </c>
      <c r="J579" t="s">
        <v>33224</v>
      </c>
      <c r="K579" t="s">
        <v>42624</v>
      </c>
      <c r="M579" t="s">
        <v>42955</v>
      </c>
      <c r="N579" t="s">
        <v>47304</v>
      </c>
      <c r="O579" t="s">
        <v>47305</v>
      </c>
      <c r="P579">
        <v>0</v>
      </c>
      <c r="Q579">
        <v>3</v>
      </c>
      <c r="R579" t="s">
        <v>47306</v>
      </c>
      <c r="S579" t="s">
        <v>47414</v>
      </c>
      <c r="T579" t="s">
        <v>48979</v>
      </c>
      <c r="U579" t="s">
        <v>50084</v>
      </c>
      <c r="W579" t="s">
        <v>42955</v>
      </c>
      <c r="X579" t="s">
        <v>47308</v>
      </c>
    </row>
    <row r="580" spans="1:24">
      <c r="A580">
        <f>HYPERLINK("https://www.philgeps.gov.ph/GEPSNONPILOT/Tender/SplashBidNoticeAbstractUI.aspx?menuIndex=3&amp;refID=7194752&amp;Result=3","7194752")</f>
        <v>0</v>
      </c>
      <c r="B580" t="s">
        <v>308</v>
      </c>
      <c r="C580" t="s">
        <v>4438</v>
      </c>
      <c r="D580" t="s">
        <v>19038</v>
      </c>
      <c r="E580" t="s">
        <v>19639</v>
      </c>
      <c r="F580" t="s">
        <v>32606</v>
      </c>
      <c r="G580" t="s">
        <v>32619</v>
      </c>
      <c r="H580" t="s">
        <v>32624</v>
      </c>
      <c r="I580" t="s">
        <v>32628</v>
      </c>
      <c r="J580" t="s">
        <v>33225</v>
      </c>
      <c r="K580" t="s">
        <v>42679</v>
      </c>
      <c r="M580" t="s">
        <v>43210</v>
      </c>
      <c r="N580" t="s">
        <v>47304</v>
      </c>
      <c r="O580" t="s">
        <v>47305</v>
      </c>
      <c r="P580">
        <v>0</v>
      </c>
      <c r="Q580">
        <v>0</v>
      </c>
      <c r="R580" t="s">
        <v>47306</v>
      </c>
      <c r="S580" t="s">
        <v>47414</v>
      </c>
      <c r="T580" t="s">
        <v>49047</v>
      </c>
      <c r="U580" t="s">
        <v>50085</v>
      </c>
      <c r="W580" t="s">
        <v>43210</v>
      </c>
      <c r="X580" t="s">
        <v>47308</v>
      </c>
    </row>
    <row r="581" spans="1:24">
      <c r="A581">
        <f>HYPERLINK("https://www.philgeps.gov.ph/GEPSNONPILOT/Tender/SplashBidNoticeAbstractUI.aspx?menuIndex=3&amp;refID=7194720&amp;Result=3","7194720")</f>
        <v>0</v>
      </c>
      <c r="B581" t="s">
        <v>309</v>
      </c>
      <c r="C581" t="s">
        <v>4439</v>
      </c>
      <c r="D581" t="s">
        <v>18991</v>
      </c>
      <c r="E581" t="s">
        <v>19640</v>
      </c>
      <c r="F581" t="s">
        <v>32606</v>
      </c>
      <c r="G581" t="s">
        <v>32613</v>
      </c>
      <c r="H581" t="s">
        <v>32623</v>
      </c>
      <c r="I581" t="s">
        <v>17648</v>
      </c>
      <c r="J581" t="s">
        <v>33226</v>
      </c>
      <c r="K581" t="s">
        <v>42680</v>
      </c>
      <c r="M581" t="s">
        <v>43211</v>
      </c>
      <c r="N581" t="s">
        <v>47304</v>
      </c>
      <c r="O581" t="s">
        <v>47305</v>
      </c>
      <c r="P581">
        <v>0</v>
      </c>
      <c r="Q581">
        <v>1</v>
      </c>
      <c r="R581" t="s">
        <v>47306</v>
      </c>
      <c r="S581" t="s">
        <v>47414</v>
      </c>
      <c r="T581" t="s">
        <v>49008</v>
      </c>
      <c r="U581" t="s">
        <v>50086</v>
      </c>
      <c r="W581" t="s">
        <v>43211</v>
      </c>
      <c r="X581" t="s">
        <v>47308</v>
      </c>
    </row>
    <row r="582" spans="1:24">
      <c r="A582">
        <f>HYPERLINK("https://www.philgeps.gov.ph/GEPSNONPILOT/Tender/SplashBidNoticeAbstractUI.aspx?menuIndex=3&amp;refID=7194702&amp;Result=3","7194702")</f>
        <v>0</v>
      </c>
      <c r="B582" t="s">
        <v>310</v>
      </c>
      <c r="C582" t="s">
        <v>4440</v>
      </c>
      <c r="D582" t="s">
        <v>19038</v>
      </c>
      <c r="E582" t="s">
        <v>19641</v>
      </c>
      <c r="F582" t="s">
        <v>32607</v>
      </c>
      <c r="G582" t="s">
        <v>32613</v>
      </c>
      <c r="H582" t="s">
        <v>14201</v>
      </c>
      <c r="I582" t="s">
        <v>32656</v>
      </c>
      <c r="J582" t="s">
        <v>32920</v>
      </c>
      <c r="K582" t="s">
        <v>42631</v>
      </c>
      <c r="M582" t="s">
        <v>43212</v>
      </c>
      <c r="N582" t="s">
        <v>47304</v>
      </c>
      <c r="O582" t="s">
        <v>47305</v>
      </c>
      <c r="P582">
        <v>0</v>
      </c>
      <c r="Q582">
        <v>1</v>
      </c>
      <c r="R582" t="s">
        <v>47306</v>
      </c>
      <c r="S582" t="s">
        <v>47414</v>
      </c>
      <c r="T582" t="s">
        <v>49075</v>
      </c>
      <c r="U582" t="s">
        <v>50087</v>
      </c>
      <c r="W582" t="s">
        <v>43212</v>
      </c>
      <c r="X582" t="s">
        <v>47308</v>
      </c>
    </row>
    <row r="583" spans="1:24">
      <c r="A583">
        <f>HYPERLINK("https://www.philgeps.gov.ph/GEPSNONPILOT/Tender/SplashBidNoticeAbstractUI.aspx?menuIndex=3&amp;refID=7194757&amp;Result=3","7194757")</f>
        <v>0</v>
      </c>
      <c r="B583" t="s">
        <v>311</v>
      </c>
      <c r="C583" t="s">
        <v>4441</v>
      </c>
      <c r="D583" t="s">
        <v>18993</v>
      </c>
      <c r="E583" t="s">
        <v>19642</v>
      </c>
      <c r="F583" t="s">
        <v>32606</v>
      </c>
      <c r="G583" t="s">
        <v>32619</v>
      </c>
      <c r="H583" t="s">
        <v>14201</v>
      </c>
      <c r="I583" t="s">
        <v>32629</v>
      </c>
      <c r="J583" t="s">
        <v>32833</v>
      </c>
      <c r="K583" t="s">
        <v>42625</v>
      </c>
      <c r="M583" t="s">
        <v>43213</v>
      </c>
      <c r="N583" t="s">
        <v>47304</v>
      </c>
      <c r="O583" t="s">
        <v>47305</v>
      </c>
      <c r="P583">
        <v>0</v>
      </c>
      <c r="Q583">
        <v>0</v>
      </c>
      <c r="R583" t="s">
        <v>47306</v>
      </c>
      <c r="S583" t="s">
        <v>47414</v>
      </c>
      <c r="T583" t="s">
        <v>49083</v>
      </c>
      <c r="U583" t="s">
        <v>50088</v>
      </c>
      <c r="W583" t="s">
        <v>43213</v>
      </c>
      <c r="X583" t="s">
        <v>47308</v>
      </c>
    </row>
    <row r="584" spans="1:24">
      <c r="A584">
        <f>HYPERLINK("https://www.philgeps.gov.ph/GEPSNONPILOT/Tender/SplashBidNoticeAbstractUI.aspx?menuIndex=3&amp;refID=7194746&amp;Result=3","7194746")</f>
        <v>0</v>
      </c>
      <c r="B584" t="s">
        <v>262</v>
      </c>
      <c r="C584" t="s">
        <v>4442</v>
      </c>
      <c r="D584" t="s">
        <v>19038</v>
      </c>
      <c r="E584" t="s">
        <v>19643</v>
      </c>
      <c r="F584" t="s">
        <v>32606</v>
      </c>
      <c r="G584" t="s">
        <v>32619</v>
      </c>
      <c r="H584" t="s">
        <v>14201</v>
      </c>
      <c r="I584" t="s">
        <v>4678</v>
      </c>
      <c r="J584" t="s">
        <v>33227</v>
      </c>
      <c r="K584" t="s">
        <v>42630</v>
      </c>
      <c r="M584" t="s">
        <v>43163</v>
      </c>
      <c r="N584" t="s">
        <v>47304</v>
      </c>
      <c r="O584" t="s">
        <v>47305</v>
      </c>
      <c r="P584">
        <v>0</v>
      </c>
      <c r="Q584">
        <v>0</v>
      </c>
      <c r="R584" t="s">
        <v>47306</v>
      </c>
      <c r="S584" t="s">
        <v>47414</v>
      </c>
      <c r="T584" t="s">
        <v>48986</v>
      </c>
      <c r="U584" t="s">
        <v>50089</v>
      </c>
      <c r="W584" t="s">
        <v>43163</v>
      </c>
      <c r="X584" t="s">
        <v>47308</v>
      </c>
    </row>
    <row r="585" spans="1:24">
      <c r="A585">
        <f>HYPERLINK("https://www.philgeps.gov.ph/GEPSNONPILOT/Tender/SplashBidNoticeAbstractUI.aspx?menuIndex=3&amp;refID=7194755&amp;Result=3","7194755")</f>
        <v>0</v>
      </c>
      <c r="B585" t="s">
        <v>312</v>
      </c>
      <c r="C585" t="s">
        <v>4443</v>
      </c>
      <c r="D585" t="s">
        <v>19046</v>
      </c>
      <c r="E585" t="s">
        <v>19644</v>
      </c>
      <c r="F585" t="s">
        <v>32606</v>
      </c>
      <c r="G585" t="s">
        <v>32614</v>
      </c>
      <c r="H585" t="s">
        <v>14201</v>
      </c>
      <c r="I585" t="s">
        <v>32640</v>
      </c>
      <c r="J585" t="s">
        <v>33228</v>
      </c>
      <c r="K585" t="s">
        <v>42622</v>
      </c>
      <c r="M585" t="s">
        <v>43214</v>
      </c>
      <c r="N585" t="s">
        <v>47304</v>
      </c>
      <c r="O585" t="s">
        <v>47305</v>
      </c>
      <c r="P585">
        <v>0</v>
      </c>
      <c r="Q585">
        <v>0</v>
      </c>
      <c r="R585" t="s">
        <v>47306</v>
      </c>
      <c r="S585" t="s">
        <v>47414</v>
      </c>
      <c r="T585" t="s">
        <v>49014</v>
      </c>
      <c r="U585" t="s">
        <v>50090</v>
      </c>
      <c r="W585" t="s">
        <v>43214</v>
      </c>
      <c r="X585" t="s">
        <v>47308</v>
      </c>
    </row>
    <row r="586" spans="1:24">
      <c r="A586">
        <f>HYPERLINK("https://www.philgeps.gov.ph/GEPSNONPILOT/Tender/SplashBidNoticeAbstractUI.aspx?menuIndex=3&amp;refID=7194729&amp;Result=3","7194729")</f>
        <v>0</v>
      </c>
      <c r="B586" t="s">
        <v>81</v>
      </c>
      <c r="C586" t="s">
        <v>4040</v>
      </c>
      <c r="D586" t="s">
        <v>18995</v>
      </c>
      <c r="E586" t="s">
        <v>19645</v>
      </c>
      <c r="F586" t="s">
        <v>32606</v>
      </c>
      <c r="G586" t="s">
        <v>32614</v>
      </c>
      <c r="H586" t="s">
        <v>14201</v>
      </c>
      <c r="I586" t="s">
        <v>7677</v>
      </c>
      <c r="J586" t="s">
        <v>33229</v>
      </c>
      <c r="K586" t="s">
        <v>42624</v>
      </c>
      <c r="M586" t="s">
        <v>42978</v>
      </c>
      <c r="N586" t="s">
        <v>47304</v>
      </c>
      <c r="O586" t="s">
        <v>47305</v>
      </c>
      <c r="P586">
        <v>0</v>
      </c>
      <c r="Q586">
        <v>3</v>
      </c>
      <c r="R586" t="s">
        <v>47306</v>
      </c>
      <c r="S586" t="s">
        <v>47414</v>
      </c>
      <c r="T586" t="s">
        <v>49014</v>
      </c>
      <c r="U586" t="s">
        <v>50091</v>
      </c>
      <c r="W586" t="s">
        <v>42978</v>
      </c>
      <c r="X586" t="s">
        <v>47308</v>
      </c>
    </row>
    <row r="587" spans="1:24">
      <c r="A587">
        <f>HYPERLINK("https://www.philgeps.gov.ph/GEPSNONPILOT/Tender/SplashBidNoticeAbstractUI.aspx?menuIndex=3&amp;refID=7194744&amp;Result=3","7194744")</f>
        <v>0</v>
      </c>
      <c r="B587" t="s">
        <v>313</v>
      </c>
      <c r="C587" t="s">
        <v>4444</v>
      </c>
      <c r="D587" t="s">
        <v>18993</v>
      </c>
      <c r="E587" t="s">
        <v>4444</v>
      </c>
      <c r="F587" t="s">
        <v>32606</v>
      </c>
      <c r="G587" t="s">
        <v>32614</v>
      </c>
      <c r="H587" t="s">
        <v>14201</v>
      </c>
      <c r="I587" t="s">
        <v>4120</v>
      </c>
      <c r="J587" t="s">
        <v>33230</v>
      </c>
      <c r="K587" t="s">
        <v>42631</v>
      </c>
      <c r="M587" t="s">
        <v>43215</v>
      </c>
      <c r="N587" t="s">
        <v>47304</v>
      </c>
      <c r="O587" t="s">
        <v>47305</v>
      </c>
      <c r="P587">
        <v>0</v>
      </c>
      <c r="Q587">
        <v>6</v>
      </c>
      <c r="R587" t="s">
        <v>47306</v>
      </c>
      <c r="S587" t="s">
        <v>47414</v>
      </c>
      <c r="T587" t="s">
        <v>49014</v>
      </c>
      <c r="U587" t="s">
        <v>50092</v>
      </c>
      <c r="W587" t="s">
        <v>43215</v>
      </c>
      <c r="X587" t="s">
        <v>47308</v>
      </c>
    </row>
    <row r="588" spans="1:24">
      <c r="A588">
        <f>HYPERLINK("https://www.philgeps.gov.ph/GEPSNONPILOT/Tender/SplashBidNoticeAbstractUI.aspx?menuIndex=3&amp;refID=7194750&amp;Result=3","7194750")</f>
        <v>0</v>
      </c>
      <c r="B588" t="s">
        <v>314</v>
      </c>
      <c r="C588" t="s">
        <v>4445</v>
      </c>
      <c r="D588" t="s">
        <v>19052</v>
      </c>
      <c r="E588" t="s">
        <v>19646</v>
      </c>
      <c r="F588" t="s">
        <v>32606</v>
      </c>
      <c r="G588" t="s">
        <v>32613</v>
      </c>
      <c r="H588" t="s">
        <v>14201</v>
      </c>
      <c r="I588" t="s">
        <v>7064</v>
      </c>
      <c r="J588" t="s">
        <v>33231</v>
      </c>
      <c r="K588" t="s">
        <v>42624</v>
      </c>
      <c r="M588" t="s">
        <v>43216</v>
      </c>
      <c r="N588" t="s">
        <v>47304</v>
      </c>
      <c r="O588" t="s">
        <v>47305</v>
      </c>
      <c r="P588">
        <v>0</v>
      </c>
      <c r="Q588">
        <v>3</v>
      </c>
      <c r="R588" t="s">
        <v>47306</v>
      </c>
      <c r="S588" t="s">
        <v>47414</v>
      </c>
      <c r="T588" t="s">
        <v>48976</v>
      </c>
      <c r="U588" t="s">
        <v>50093</v>
      </c>
      <c r="W588" t="s">
        <v>43216</v>
      </c>
      <c r="X588" t="s">
        <v>47308</v>
      </c>
    </row>
    <row r="589" spans="1:24">
      <c r="A589">
        <f>HYPERLINK("https://www.philgeps.gov.ph/GEPSNONPILOT/Tender/SplashBidNoticeAbstractUI.aspx?menuIndex=3&amp;refID=7194742&amp;Result=3","7194742")</f>
        <v>0</v>
      </c>
      <c r="B589" t="s">
        <v>81</v>
      </c>
      <c r="C589" t="s">
        <v>4040</v>
      </c>
      <c r="D589" t="s">
        <v>18995</v>
      </c>
      <c r="E589" t="s">
        <v>19647</v>
      </c>
      <c r="F589" t="s">
        <v>32606</v>
      </c>
      <c r="G589" t="s">
        <v>32614</v>
      </c>
      <c r="H589" t="s">
        <v>14201</v>
      </c>
      <c r="I589" t="s">
        <v>7677</v>
      </c>
      <c r="J589" t="s">
        <v>33232</v>
      </c>
      <c r="K589" t="s">
        <v>42624</v>
      </c>
      <c r="M589" t="s">
        <v>42978</v>
      </c>
      <c r="N589" t="s">
        <v>47304</v>
      </c>
      <c r="O589" t="s">
        <v>47305</v>
      </c>
      <c r="P589">
        <v>0</v>
      </c>
      <c r="Q589">
        <v>1</v>
      </c>
      <c r="R589" t="s">
        <v>47306</v>
      </c>
      <c r="S589" t="s">
        <v>47414</v>
      </c>
      <c r="T589" t="s">
        <v>49014</v>
      </c>
      <c r="U589" t="s">
        <v>50094</v>
      </c>
      <c r="W589" t="s">
        <v>42978</v>
      </c>
      <c r="X589" t="s">
        <v>47308</v>
      </c>
    </row>
    <row r="590" spans="1:24">
      <c r="A590">
        <f>HYPERLINK("https://www.philgeps.gov.ph/GEPSNONPILOT/Tender/SplashBidNoticeAbstractUI.aspx?menuIndex=3&amp;refID=7194748&amp;Result=3","7194748")</f>
        <v>0</v>
      </c>
      <c r="B590" t="s">
        <v>315</v>
      </c>
      <c r="C590" t="s">
        <v>4446</v>
      </c>
      <c r="D590" t="s">
        <v>18991</v>
      </c>
      <c r="E590" t="s">
        <v>19648</v>
      </c>
      <c r="F590" t="s">
        <v>32606</v>
      </c>
      <c r="G590" t="s">
        <v>32614</v>
      </c>
      <c r="H590" t="s">
        <v>14201</v>
      </c>
      <c r="I590" t="s">
        <v>32633</v>
      </c>
      <c r="J590" t="s">
        <v>33233</v>
      </c>
      <c r="K590" t="s">
        <v>42631</v>
      </c>
      <c r="M590" t="s">
        <v>43217</v>
      </c>
      <c r="N590" t="s">
        <v>47304</v>
      </c>
      <c r="O590" t="s">
        <v>47305</v>
      </c>
      <c r="P590">
        <v>0</v>
      </c>
      <c r="Q590">
        <v>2</v>
      </c>
      <c r="R590" t="s">
        <v>47306</v>
      </c>
      <c r="S590" t="s">
        <v>47414</v>
      </c>
      <c r="T590" t="s">
        <v>49004</v>
      </c>
      <c r="U590" t="s">
        <v>50095</v>
      </c>
      <c r="W590" t="s">
        <v>43217</v>
      </c>
      <c r="X590" t="s">
        <v>47308</v>
      </c>
    </row>
    <row r="591" spans="1:24">
      <c r="A591">
        <f>HYPERLINK("https://www.philgeps.gov.ph/GEPSNONPILOT/Tender/SplashBidNoticeAbstractUI.aspx?menuIndex=3&amp;refID=7194779&amp;Result=3","7194779")</f>
        <v>0</v>
      </c>
      <c r="B591" t="s">
        <v>316</v>
      </c>
      <c r="C591" t="s">
        <v>4447</v>
      </c>
      <c r="E591" t="s">
        <v>19649</v>
      </c>
      <c r="F591" t="s">
        <v>32606</v>
      </c>
      <c r="G591" t="s">
        <v>32614</v>
      </c>
      <c r="H591" t="s">
        <v>14201</v>
      </c>
      <c r="I591" t="s">
        <v>4120</v>
      </c>
      <c r="J591" t="s">
        <v>33234</v>
      </c>
      <c r="K591" t="s">
        <v>42624</v>
      </c>
      <c r="M591" t="s">
        <v>43218</v>
      </c>
      <c r="N591" t="s">
        <v>47304</v>
      </c>
      <c r="O591" t="s">
        <v>47305</v>
      </c>
      <c r="P591">
        <v>0</v>
      </c>
      <c r="Q591">
        <v>0</v>
      </c>
      <c r="R591" t="s">
        <v>47306</v>
      </c>
      <c r="S591" t="s">
        <v>47414</v>
      </c>
      <c r="T591" t="s">
        <v>48975</v>
      </c>
      <c r="U591" t="s">
        <v>50096</v>
      </c>
      <c r="V591" t="s">
        <v>62721</v>
      </c>
      <c r="W591" t="s">
        <v>43218</v>
      </c>
      <c r="X591" t="s">
        <v>47308</v>
      </c>
    </row>
    <row r="592" spans="1:24">
      <c r="A592">
        <f>HYPERLINK("https://www.philgeps.gov.ph/GEPSNONPILOT/Tender/SplashBidNoticeAbstractUI.aspx?menuIndex=3&amp;refID=7194745&amp;Result=3","7194745")</f>
        <v>0</v>
      </c>
      <c r="B592" t="s">
        <v>317</v>
      </c>
      <c r="C592" t="s">
        <v>4448</v>
      </c>
      <c r="D592" t="s">
        <v>19011</v>
      </c>
      <c r="E592" t="s">
        <v>19315</v>
      </c>
      <c r="F592" t="s">
        <v>32606</v>
      </c>
      <c r="G592" t="s">
        <v>32613</v>
      </c>
      <c r="H592" t="s">
        <v>32623</v>
      </c>
      <c r="I592" t="s">
        <v>32626</v>
      </c>
      <c r="J592" t="s">
        <v>33235</v>
      </c>
      <c r="K592" t="s">
        <v>42622</v>
      </c>
      <c r="M592" t="s">
        <v>43219</v>
      </c>
      <c r="N592" t="s">
        <v>47304</v>
      </c>
      <c r="O592" t="s">
        <v>47305</v>
      </c>
      <c r="P592">
        <v>0</v>
      </c>
      <c r="Q592">
        <v>1</v>
      </c>
      <c r="R592" t="s">
        <v>47306</v>
      </c>
      <c r="S592" t="s">
        <v>47414</v>
      </c>
      <c r="T592" t="s">
        <v>49017</v>
      </c>
      <c r="U592" t="s">
        <v>50097</v>
      </c>
      <c r="W592" t="s">
        <v>43219</v>
      </c>
      <c r="X592" t="s">
        <v>47308</v>
      </c>
    </row>
    <row r="593" spans="1:24">
      <c r="A593">
        <f>HYPERLINK("https://www.philgeps.gov.ph/GEPSNONPILOT/Tender/SplashBidNoticeAbstractUI.aspx?menuIndex=3&amp;refID=7194774&amp;Result=3","7194774")</f>
        <v>0</v>
      </c>
      <c r="B593" t="s">
        <v>318</v>
      </c>
      <c r="C593" t="s">
        <v>4449</v>
      </c>
      <c r="D593" t="s">
        <v>19025</v>
      </c>
      <c r="E593" t="s">
        <v>19650</v>
      </c>
      <c r="F593" t="s">
        <v>32606</v>
      </c>
      <c r="G593" t="s">
        <v>32614</v>
      </c>
      <c r="H593" t="s">
        <v>14201</v>
      </c>
      <c r="I593" t="s">
        <v>4678</v>
      </c>
      <c r="J593" t="s">
        <v>33236</v>
      </c>
      <c r="K593" t="s">
        <v>42624</v>
      </c>
      <c r="M593" t="s">
        <v>43220</v>
      </c>
      <c r="N593" t="s">
        <v>47304</v>
      </c>
      <c r="O593" t="s">
        <v>47305</v>
      </c>
      <c r="P593">
        <v>0</v>
      </c>
      <c r="Q593">
        <v>0</v>
      </c>
      <c r="R593" t="s">
        <v>47306</v>
      </c>
      <c r="S593" t="s">
        <v>47414</v>
      </c>
      <c r="T593" t="s">
        <v>49084</v>
      </c>
      <c r="U593" t="s">
        <v>50098</v>
      </c>
      <c r="W593" t="s">
        <v>43220</v>
      </c>
      <c r="X593" t="s">
        <v>47308</v>
      </c>
    </row>
    <row r="594" spans="1:24">
      <c r="A594">
        <f>HYPERLINK("https://www.philgeps.gov.ph/GEPSNONPILOT/Tender/SplashBidNoticeAbstractUI.aspx?menuIndex=3&amp;refID=7194743&amp;Result=3","7194743")</f>
        <v>0</v>
      </c>
      <c r="B594" t="s">
        <v>82</v>
      </c>
      <c r="C594" t="s">
        <v>4450</v>
      </c>
      <c r="D594" t="s">
        <v>19011</v>
      </c>
      <c r="E594" t="s">
        <v>19651</v>
      </c>
      <c r="F594" t="s">
        <v>32606</v>
      </c>
      <c r="G594" t="s">
        <v>32614</v>
      </c>
      <c r="H594" t="s">
        <v>14201</v>
      </c>
      <c r="I594" t="s">
        <v>32653</v>
      </c>
      <c r="J594" t="s">
        <v>33237</v>
      </c>
      <c r="K594" t="s">
        <v>42624</v>
      </c>
      <c r="M594" t="s">
        <v>42979</v>
      </c>
      <c r="N594" t="s">
        <v>47304</v>
      </c>
      <c r="O594" t="s">
        <v>47305</v>
      </c>
      <c r="P594">
        <v>0</v>
      </c>
      <c r="Q594">
        <v>0</v>
      </c>
      <c r="R594" t="s">
        <v>47306</v>
      </c>
      <c r="S594" t="s">
        <v>47414</v>
      </c>
      <c r="T594" t="s">
        <v>49014</v>
      </c>
      <c r="U594" t="s">
        <v>50099</v>
      </c>
      <c r="W594" t="s">
        <v>42979</v>
      </c>
      <c r="X594" t="s">
        <v>47308</v>
      </c>
    </row>
    <row r="595" spans="1:24">
      <c r="A595">
        <f>HYPERLINK("https://www.philgeps.gov.ph/GEPSNONPILOT/Tender/SplashBidNoticeAbstractUI.aspx?menuIndex=3&amp;refID=7194773&amp;Result=3","7194773")</f>
        <v>0</v>
      </c>
      <c r="B595" t="s">
        <v>276</v>
      </c>
      <c r="C595" t="s">
        <v>4451</v>
      </c>
      <c r="D595" t="s">
        <v>19001</v>
      </c>
      <c r="E595" t="s">
        <v>19652</v>
      </c>
      <c r="F595" t="s">
        <v>32606</v>
      </c>
      <c r="G595" t="s">
        <v>32614</v>
      </c>
      <c r="H595" t="s">
        <v>14201</v>
      </c>
      <c r="I595" t="s">
        <v>6007</v>
      </c>
      <c r="J595" t="s">
        <v>32799</v>
      </c>
      <c r="K595" t="s">
        <v>42622</v>
      </c>
      <c r="M595" t="s">
        <v>43177</v>
      </c>
      <c r="N595" t="s">
        <v>47304</v>
      </c>
      <c r="O595" t="s">
        <v>47305</v>
      </c>
      <c r="P595">
        <v>0</v>
      </c>
      <c r="Q595">
        <v>0</v>
      </c>
      <c r="R595" t="s">
        <v>47306</v>
      </c>
      <c r="S595" t="s">
        <v>47414</v>
      </c>
      <c r="T595" t="s">
        <v>48986</v>
      </c>
      <c r="U595" t="s">
        <v>50100</v>
      </c>
      <c r="W595" t="s">
        <v>43177</v>
      </c>
      <c r="X595" t="s">
        <v>47308</v>
      </c>
    </row>
    <row r="596" spans="1:24">
      <c r="A596">
        <f>HYPERLINK("https://www.philgeps.gov.ph/GEPSNONPILOT/Tender/SplashBidNoticeAbstractUI.aspx?menuIndex=3&amp;refID=7194772&amp;Result=3","7194772")</f>
        <v>0</v>
      </c>
      <c r="B596" t="s">
        <v>280</v>
      </c>
      <c r="C596" t="s">
        <v>4385</v>
      </c>
      <c r="D596" t="s">
        <v>19028</v>
      </c>
      <c r="E596" t="s">
        <v>19653</v>
      </c>
      <c r="F596" t="s">
        <v>32607</v>
      </c>
      <c r="G596" t="s">
        <v>32614</v>
      </c>
      <c r="H596" t="s">
        <v>14201</v>
      </c>
      <c r="I596" t="s">
        <v>6298</v>
      </c>
      <c r="J596" t="s">
        <v>33238</v>
      </c>
      <c r="K596" t="s">
        <v>42623</v>
      </c>
      <c r="M596" t="s">
        <v>43181</v>
      </c>
      <c r="N596" t="s">
        <v>47304</v>
      </c>
      <c r="O596" t="s">
        <v>47305</v>
      </c>
      <c r="P596">
        <v>0</v>
      </c>
      <c r="Q596">
        <v>0</v>
      </c>
      <c r="R596" t="s">
        <v>47306</v>
      </c>
      <c r="S596" t="s">
        <v>47414</v>
      </c>
      <c r="T596" t="s">
        <v>49002</v>
      </c>
      <c r="U596" t="s">
        <v>50101</v>
      </c>
      <c r="W596" t="s">
        <v>43181</v>
      </c>
      <c r="X596" t="s">
        <v>47308</v>
      </c>
    </row>
    <row r="597" spans="1:24">
      <c r="A597">
        <f>HYPERLINK("https://www.philgeps.gov.ph/GEPSNONPILOT/Tender/SplashBidNoticeAbstractUI.aspx?menuIndex=3&amp;refID=7194771&amp;Result=3","7194771")</f>
        <v>0</v>
      </c>
      <c r="B597" t="s">
        <v>302</v>
      </c>
      <c r="C597" t="s">
        <v>4452</v>
      </c>
      <c r="D597" t="s">
        <v>19003</v>
      </c>
      <c r="E597" t="s">
        <v>19654</v>
      </c>
      <c r="F597" t="s">
        <v>32606</v>
      </c>
      <c r="G597" t="s">
        <v>32613</v>
      </c>
      <c r="H597" t="s">
        <v>14201</v>
      </c>
      <c r="I597" t="s">
        <v>4112</v>
      </c>
      <c r="J597" t="s">
        <v>33239</v>
      </c>
      <c r="K597" t="s">
        <v>42622</v>
      </c>
      <c r="M597" t="s">
        <v>43204</v>
      </c>
      <c r="N597" t="s">
        <v>47304</v>
      </c>
      <c r="O597" t="s">
        <v>47305</v>
      </c>
      <c r="P597">
        <v>0</v>
      </c>
      <c r="Q597">
        <v>1</v>
      </c>
      <c r="R597" t="s">
        <v>47306</v>
      </c>
      <c r="S597" t="s">
        <v>47414</v>
      </c>
      <c r="T597" t="s">
        <v>48985</v>
      </c>
      <c r="U597" t="s">
        <v>50102</v>
      </c>
      <c r="V597" t="s">
        <v>62718</v>
      </c>
      <c r="W597" t="s">
        <v>43204</v>
      </c>
      <c r="X597" t="s">
        <v>47308</v>
      </c>
    </row>
    <row r="598" spans="1:24">
      <c r="A598">
        <f>HYPERLINK("https://www.philgeps.gov.ph/GEPSNONPILOT/Tender/SplashBidNoticeAbstractUI.aspx?menuIndex=3&amp;refID=7194770&amp;Result=3","7194770")</f>
        <v>0</v>
      </c>
      <c r="B598" t="s">
        <v>296</v>
      </c>
      <c r="C598" t="s">
        <v>4453</v>
      </c>
      <c r="D598" t="s">
        <v>19038</v>
      </c>
      <c r="E598" t="s">
        <v>19655</v>
      </c>
      <c r="F598" t="s">
        <v>32606</v>
      </c>
      <c r="G598" t="s">
        <v>32613</v>
      </c>
      <c r="H598" t="s">
        <v>14201</v>
      </c>
      <c r="I598" t="s">
        <v>4678</v>
      </c>
      <c r="J598" t="s">
        <v>33111</v>
      </c>
      <c r="K598" t="s">
        <v>42624</v>
      </c>
      <c r="M598" t="s">
        <v>43198</v>
      </c>
      <c r="N598" t="s">
        <v>47304</v>
      </c>
      <c r="O598" t="s">
        <v>47305</v>
      </c>
      <c r="P598">
        <v>0</v>
      </c>
      <c r="Q598">
        <v>0</v>
      </c>
      <c r="R598" t="s">
        <v>47306</v>
      </c>
      <c r="S598" t="s">
        <v>47414</v>
      </c>
      <c r="T598" t="s">
        <v>49017</v>
      </c>
      <c r="U598" t="s">
        <v>50103</v>
      </c>
      <c r="W598" t="s">
        <v>43198</v>
      </c>
      <c r="X598" t="s">
        <v>47308</v>
      </c>
    </row>
    <row r="599" spans="1:24">
      <c r="A599">
        <f>HYPERLINK("https://www.philgeps.gov.ph/GEPSNONPILOT/Tender/SplashBidNoticeAbstractUI.aspx?menuIndex=3&amp;refID=7194769&amp;Result=3","7194769")</f>
        <v>0</v>
      </c>
      <c r="B599" t="s">
        <v>319</v>
      </c>
      <c r="C599" t="s">
        <v>4454</v>
      </c>
      <c r="E599" t="s">
        <v>19656</v>
      </c>
      <c r="F599" t="s">
        <v>32606</v>
      </c>
      <c r="G599" t="s">
        <v>32614</v>
      </c>
      <c r="H599" t="s">
        <v>14201</v>
      </c>
      <c r="I599" t="s">
        <v>6007</v>
      </c>
      <c r="J599" t="s">
        <v>33240</v>
      </c>
      <c r="K599" t="s">
        <v>42624</v>
      </c>
      <c r="M599" t="s">
        <v>43221</v>
      </c>
      <c r="N599" t="s">
        <v>47304</v>
      </c>
      <c r="O599" t="s">
        <v>47305</v>
      </c>
      <c r="P599">
        <v>0</v>
      </c>
      <c r="Q599">
        <v>1</v>
      </c>
      <c r="R599" t="s">
        <v>47306</v>
      </c>
      <c r="S599" t="s">
        <v>47414</v>
      </c>
      <c r="T599" t="s">
        <v>48979</v>
      </c>
      <c r="U599" t="s">
        <v>50104</v>
      </c>
      <c r="W599" t="s">
        <v>43221</v>
      </c>
      <c r="X599" t="s">
        <v>47308</v>
      </c>
    </row>
    <row r="600" spans="1:24">
      <c r="A600">
        <f>HYPERLINK("https://www.philgeps.gov.ph/GEPSNONPILOT/Tender/SplashBidNoticeAbstractUI.aspx?menuIndex=3&amp;refID=7194768&amp;Result=3","7194768")</f>
        <v>0</v>
      </c>
      <c r="B600" t="s">
        <v>320</v>
      </c>
      <c r="C600" t="s">
        <v>4455</v>
      </c>
      <c r="D600" t="s">
        <v>19037</v>
      </c>
      <c r="E600" t="s">
        <v>19657</v>
      </c>
      <c r="F600" t="s">
        <v>32606</v>
      </c>
      <c r="G600" t="s">
        <v>32614</v>
      </c>
      <c r="H600" t="s">
        <v>14201</v>
      </c>
      <c r="I600" t="s">
        <v>4678</v>
      </c>
      <c r="J600" t="s">
        <v>33241</v>
      </c>
      <c r="K600" t="s">
        <v>42631</v>
      </c>
      <c r="M600" t="s">
        <v>43222</v>
      </c>
      <c r="N600" t="s">
        <v>47304</v>
      </c>
      <c r="O600" t="s">
        <v>47305</v>
      </c>
      <c r="P600">
        <v>0</v>
      </c>
      <c r="Q600">
        <v>0</v>
      </c>
      <c r="R600" t="s">
        <v>47306</v>
      </c>
      <c r="S600" t="s">
        <v>47414</v>
      </c>
      <c r="T600" t="s">
        <v>49010</v>
      </c>
      <c r="U600" t="s">
        <v>50105</v>
      </c>
      <c r="W600" t="s">
        <v>43222</v>
      </c>
      <c r="X600" t="s">
        <v>47308</v>
      </c>
    </row>
    <row r="601" spans="1:24">
      <c r="A601">
        <f>HYPERLINK("https://www.philgeps.gov.ph/GEPSNONPILOT/Tender/SplashBidNoticeAbstractUI.aspx?menuIndex=3&amp;refID=7194767&amp;Result=3","7194767")</f>
        <v>0</v>
      </c>
      <c r="B601" t="s">
        <v>58</v>
      </c>
      <c r="C601" t="s">
        <v>4456</v>
      </c>
      <c r="D601" t="s">
        <v>19011</v>
      </c>
      <c r="E601" t="s">
        <v>19658</v>
      </c>
      <c r="F601" t="s">
        <v>32606</v>
      </c>
      <c r="G601" t="s">
        <v>32614</v>
      </c>
      <c r="H601" t="s">
        <v>14201</v>
      </c>
      <c r="I601" t="s">
        <v>32640</v>
      </c>
      <c r="J601" t="s">
        <v>33242</v>
      </c>
      <c r="K601" t="s">
        <v>42624</v>
      </c>
      <c r="M601" t="s">
        <v>42955</v>
      </c>
      <c r="N601" t="s">
        <v>47304</v>
      </c>
      <c r="O601" t="s">
        <v>47305</v>
      </c>
      <c r="P601">
        <v>0</v>
      </c>
      <c r="Q601">
        <v>1</v>
      </c>
      <c r="R601" t="s">
        <v>47306</v>
      </c>
      <c r="S601" t="s">
        <v>47414</v>
      </c>
      <c r="T601" t="s">
        <v>48979</v>
      </c>
      <c r="U601" t="s">
        <v>50106</v>
      </c>
      <c r="W601" t="s">
        <v>42955</v>
      </c>
      <c r="X601" t="s">
        <v>47308</v>
      </c>
    </row>
    <row r="602" spans="1:24">
      <c r="A602">
        <f>HYPERLINK("https://www.philgeps.gov.ph/GEPSNONPILOT/Tender/SplashBidNoticeAbstractUI.aspx?menuIndex=3&amp;refID=7194747&amp;Result=3","7194747")</f>
        <v>0</v>
      </c>
      <c r="B602" t="s">
        <v>321</v>
      </c>
      <c r="C602" t="s">
        <v>4457</v>
      </c>
      <c r="D602" t="s">
        <v>19048</v>
      </c>
      <c r="E602" t="s">
        <v>19659</v>
      </c>
      <c r="F602" t="s">
        <v>32606</v>
      </c>
      <c r="G602" t="s">
        <v>32614</v>
      </c>
      <c r="H602" t="s">
        <v>14201</v>
      </c>
      <c r="I602" t="s">
        <v>6993</v>
      </c>
      <c r="J602" t="s">
        <v>33243</v>
      </c>
      <c r="K602" t="s">
        <v>42624</v>
      </c>
      <c r="M602" t="s">
        <v>43223</v>
      </c>
      <c r="N602" t="s">
        <v>47304</v>
      </c>
      <c r="O602" t="s">
        <v>47305</v>
      </c>
      <c r="P602">
        <v>0</v>
      </c>
      <c r="Q602">
        <v>2</v>
      </c>
      <c r="R602" t="s">
        <v>47306</v>
      </c>
      <c r="S602" t="s">
        <v>47414</v>
      </c>
      <c r="T602" t="s">
        <v>49061</v>
      </c>
      <c r="U602" t="s">
        <v>50107</v>
      </c>
      <c r="W602" t="s">
        <v>43223</v>
      </c>
      <c r="X602" t="s">
        <v>47308</v>
      </c>
    </row>
    <row r="603" spans="1:24">
      <c r="A603">
        <f>HYPERLINK("https://www.philgeps.gov.ph/GEPSNONPILOT/Tender/SplashBidNoticeAbstractUI.aspx?menuIndex=3&amp;refID=7194766&amp;Result=3","7194766")</f>
        <v>0</v>
      </c>
      <c r="B603" t="s">
        <v>181</v>
      </c>
      <c r="C603" t="s">
        <v>4458</v>
      </c>
      <c r="D603" t="s">
        <v>19029</v>
      </c>
      <c r="E603" t="s">
        <v>19660</v>
      </c>
      <c r="F603" t="s">
        <v>32606</v>
      </c>
      <c r="G603" t="s">
        <v>32619</v>
      </c>
      <c r="H603" t="s">
        <v>14201</v>
      </c>
      <c r="I603" t="s">
        <v>4112</v>
      </c>
      <c r="J603" t="s">
        <v>33244</v>
      </c>
      <c r="K603" t="s">
        <v>42681</v>
      </c>
      <c r="M603" t="s">
        <v>43082</v>
      </c>
      <c r="N603" t="s">
        <v>47304</v>
      </c>
      <c r="O603" t="s">
        <v>47305</v>
      </c>
      <c r="P603">
        <v>0</v>
      </c>
      <c r="Q603">
        <v>0</v>
      </c>
      <c r="R603" t="s">
        <v>47306</v>
      </c>
      <c r="S603" t="s">
        <v>47414</v>
      </c>
      <c r="T603" t="s">
        <v>48998</v>
      </c>
      <c r="U603" t="s">
        <v>50108</v>
      </c>
      <c r="W603" t="s">
        <v>43082</v>
      </c>
      <c r="X603" t="s">
        <v>47308</v>
      </c>
    </row>
    <row r="604" spans="1:24">
      <c r="A604">
        <f>HYPERLINK("https://www.philgeps.gov.ph/GEPSNONPILOT/Tender/SplashBidNoticeAbstractUI.aspx?menuIndex=3&amp;refID=7194765&amp;Result=3","7194765")</f>
        <v>0</v>
      </c>
      <c r="B604" t="s">
        <v>81</v>
      </c>
      <c r="C604" t="s">
        <v>4459</v>
      </c>
      <c r="D604" t="s">
        <v>18995</v>
      </c>
      <c r="E604" t="s">
        <v>19661</v>
      </c>
      <c r="F604" t="s">
        <v>32606</v>
      </c>
      <c r="G604" t="s">
        <v>32614</v>
      </c>
      <c r="H604" t="s">
        <v>14201</v>
      </c>
      <c r="I604" t="s">
        <v>4112</v>
      </c>
      <c r="J604" t="s">
        <v>33245</v>
      </c>
      <c r="K604" t="s">
        <v>42624</v>
      </c>
      <c r="M604" t="s">
        <v>42978</v>
      </c>
      <c r="N604" t="s">
        <v>47304</v>
      </c>
      <c r="O604" t="s">
        <v>47305</v>
      </c>
      <c r="P604">
        <v>0</v>
      </c>
      <c r="Q604">
        <v>0</v>
      </c>
      <c r="R604" t="s">
        <v>47306</v>
      </c>
      <c r="S604" t="s">
        <v>47414</v>
      </c>
      <c r="T604" t="s">
        <v>49014</v>
      </c>
      <c r="U604" t="s">
        <v>50109</v>
      </c>
      <c r="W604" t="s">
        <v>42978</v>
      </c>
      <c r="X604" t="s">
        <v>47308</v>
      </c>
    </row>
    <row r="605" spans="1:24">
      <c r="A605">
        <f>HYPERLINK("https://www.philgeps.gov.ph/GEPSNONPILOT/Tender/SplashBidNoticeAbstractUI.aspx?menuIndex=3&amp;refID=7194764&amp;Result=3","7194764")</f>
        <v>0</v>
      </c>
      <c r="B605" t="s">
        <v>207</v>
      </c>
      <c r="C605" t="s">
        <v>4460</v>
      </c>
      <c r="D605" t="s">
        <v>19047</v>
      </c>
      <c r="E605" t="s">
        <v>19662</v>
      </c>
      <c r="F605" t="s">
        <v>32606</v>
      </c>
      <c r="G605" t="s">
        <v>32613</v>
      </c>
      <c r="H605" t="s">
        <v>14201</v>
      </c>
      <c r="I605" t="s">
        <v>32629</v>
      </c>
      <c r="J605" t="s">
        <v>33246</v>
      </c>
      <c r="K605" t="s">
        <v>42680</v>
      </c>
      <c r="M605" t="s">
        <v>43108</v>
      </c>
      <c r="N605" t="s">
        <v>47304</v>
      </c>
      <c r="O605" t="s">
        <v>47305</v>
      </c>
      <c r="P605">
        <v>0</v>
      </c>
      <c r="Q605">
        <v>0</v>
      </c>
      <c r="R605" t="s">
        <v>47306</v>
      </c>
      <c r="S605" t="s">
        <v>47414</v>
      </c>
      <c r="T605" t="s">
        <v>49039</v>
      </c>
      <c r="U605" t="s">
        <v>49912</v>
      </c>
      <c r="V605" t="s">
        <v>62695</v>
      </c>
      <c r="W605" t="s">
        <v>43108</v>
      </c>
      <c r="X605" t="s">
        <v>47308</v>
      </c>
    </row>
    <row r="606" spans="1:24">
      <c r="A606">
        <f>HYPERLINK("https://www.philgeps.gov.ph/GEPSNONPILOT/Tender/SplashBidNoticeAbstractUI.aspx?menuIndex=3&amp;refID=7194762&amp;Result=3","7194762")</f>
        <v>0</v>
      </c>
      <c r="B606" t="s">
        <v>322</v>
      </c>
      <c r="C606" t="s">
        <v>4461</v>
      </c>
      <c r="D606" t="s">
        <v>19049</v>
      </c>
      <c r="E606" t="s">
        <v>19663</v>
      </c>
      <c r="F606" t="s">
        <v>32606</v>
      </c>
      <c r="G606" t="s">
        <v>32614</v>
      </c>
      <c r="H606" t="s">
        <v>32623</v>
      </c>
      <c r="I606" t="s">
        <v>32661</v>
      </c>
      <c r="J606" t="s">
        <v>33034</v>
      </c>
      <c r="K606" t="s">
        <v>42631</v>
      </c>
      <c r="M606" t="s">
        <v>43224</v>
      </c>
      <c r="N606" t="s">
        <v>47304</v>
      </c>
      <c r="O606" t="s">
        <v>47305</v>
      </c>
      <c r="P606">
        <v>0</v>
      </c>
      <c r="Q606">
        <v>0</v>
      </c>
      <c r="R606" t="s">
        <v>47306</v>
      </c>
      <c r="S606" t="s">
        <v>47414</v>
      </c>
      <c r="T606" t="s">
        <v>49002</v>
      </c>
      <c r="U606" t="s">
        <v>50110</v>
      </c>
      <c r="W606" t="s">
        <v>43224</v>
      </c>
      <c r="X606" t="s">
        <v>47308</v>
      </c>
    </row>
    <row r="607" spans="1:24">
      <c r="A607">
        <f>HYPERLINK("https://www.philgeps.gov.ph/GEPSNONPILOT/Tender/SplashBidNoticeAbstractUI.aspx?menuIndex=3&amp;refID=7194761&amp;Result=3","7194761")</f>
        <v>0</v>
      </c>
      <c r="B607" t="s">
        <v>252</v>
      </c>
      <c r="C607" t="s">
        <v>4462</v>
      </c>
      <c r="D607" t="s">
        <v>19010</v>
      </c>
      <c r="E607" t="s">
        <v>19664</v>
      </c>
      <c r="F607" t="s">
        <v>32606</v>
      </c>
      <c r="G607" t="s">
        <v>32613</v>
      </c>
      <c r="H607" t="s">
        <v>32623</v>
      </c>
      <c r="I607" t="s">
        <v>17648</v>
      </c>
      <c r="J607" t="s">
        <v>33247</v>
      </c>
      <c r="K607" t="s">
        <v>42680</v>
      </c>
      <c r="M607" t="s">
        <v>43153</v>
      </c>
      <c r="N607" t="s">
        <v>47304</v>
      </c>
      <c r="O607" t="s">
        <v>47305</v>
      </c>
      <c r="P607">
        <v>0</v>
      </c>
      <c r="Q607">
        <v>1</v>
      </c>
      <c r="R607" t="s">
        <v>47306</v>
      </c>
      <c r="S607" t="s">
        <v>47414</v>
      </c>
      <c r="T607" t="s">
        <v>48990</v>
      </c>
      <c r="U607" t="s">
        <v>50111</v>
      </c>
      <c r="W607" t="s">
        <v>43153</v>
      </c>
      <c r="X607" t="s">
        <v>47308</v>
      </c>
    </row>
    <row r="608" spans="1:24">
      <c r="A608">
        <f>HYPERLINK("https://www.philgeps.gov.ph/GEPSNONPILOT/Tender/SplashBidNoticeAbstractUI.aspx?menuIndex=3&amp;refID=7194775&amp;Result=3","7194775")</f>
        <v>0</v>
      </c>
      <c r="B608" t="s">
        <v>211</v>
      </c>
      <c r="C608" t="s">
        <v>4463</v>
      </c>
      <c r="D608" t="s">
        <v>19007</v>
      </c>
      <c r="E608" t="s">
        <v>19665</v>
      </c>
      <c r="F608" t="s">
        <v>32606</v>
      </c>
      <c r="G608" t="s">
        <v>32614</v>
      </c>
      <c r="H608" t="s">
        <v>14201</v>
      </c>
      <c r="I608" t="s">
        <v>4112</v>
      </c>
      <c r="J608" t="s">
        <v>33248</v>
      </c>
      <c r="K608" t="s">
        <v>42624</v>
      </c>
      <c r="M608" t="s">
        <v>43112</v>
      </c>
      <c r="N608" t="s">
        <v>47304</v>
      </c>
      <c r="O608" t="s">
        <v>47305</v>
      </c>
      <c r="P608">
        <v>0</v>
      </c>
      <c r="Q608">
        <v>1</v>
      </c>
      <c r="R608" t="s">
        <v>47306</v>
      </c>
      <c r="S608" t="s">
        <v>47414</v>
      </c>
      <c r="T608" t="s">
        <v>49061</v>
      </c>
      <c r="U608" t="s">
        <v>50112</v>
      </c>
      <c r="W608" t="s">
        <v>43112</v>
      </c>
      <c r="X608" t="s">
        <v>47308</v>
      </c>
    </row>
    <row r="609" spans="1:24">
      <c r="A609">
        <f>HYPERLINK("https://www.philgeps.gov.ph/GEPSNONPILOT/Tender/SplashBidNoticeAbstractUI.aspx?menuIndex=3&amp;refID=7194760&amp;Result=3","7194760")</f>
        <v>0</v>
      </c>
      <c r="B609" t="s">
        <v>323</v>
      </c>
      <c r="C609" t="s">
        <v>4464</v>
      </c>
      <c r="D609" t="s">
        <v>19024</v>
      </c>
      <c r="E609" t="s">
        <v>19522</v>
      </c>
      <c r="F609" t="s">
        <v>32606</v>
      </c>
      <c r="G609" t="s">
        <v>32619</v>
      </c>
      <c r="H609" t="s">
        <v>14201</v>
      </c>
      <c r="I609" t="s">
        <v>4678</v>
      </c>
      <c r="J609" t="s">
        <v>33249</v>
      </c>
      <c r="K609" t="s">
        <v>42630</v>
      </c>
      <c r="M609" t="s">
        <v>43225</v>
      </c>
      <c r="N609" t="s">
        <v>47304</v>
      </c>
      <c r="O609" t="s">
        <v>47305</v>
      </c>
      <c r="P609">
        <v>0</v>
      </c>
      <c r="Q609">
        <v>0</v>
      </c>
      <c r="R609" t="s">
        <v>47306</v>
      </c>
      <c r="S609" t="s">
        <v>47414</v>
      </c>
      <c r="T609" t="s">
        <v>49071</v>
      </c>
      <c r="U609" t="s">
        <v>50113</v>
      </c>
      <c r="W609" t="s">
        <v>43225</v>
      </c>
      <c r="X609" t="s">
        <v>47308</v>
      </c>
    </row>
    <row r="610" spans="1:24">
      <c r="A610">
        <f>HYPERLINK("https://www.philgeps.gov.ph/GEPSNONPILOT/Tender/SplashBidNoticeAbstractUI.aspx?menuIndex=3&amp;refID=7194759&amp;Result=3","7194759")</f>
        <v>0</v>
      </c>
      <c r="B610" t="s">
        <v>324</v>
      </c>
      <c r="C610" t="s">
        <v>4465</v>
      </c>
      <c r="D610" t="s">
        <v>19006</v>
      </c>
      <c r="E610" t="s">
        <v>19666</v>
      </c>
      <c r="F610" t="s">
        <v>32606</v>
      </c>
      <c r="G610" t="s">
        <v>32617</v>
      </c>
      <c r="H610" t="s">
        <v>14201</v>
      </c>
      <c r="I610" t="s">
        <v>32626</v>
      </c>
      <c r="J610" t="s">
        <v>33250</v>
      </c>
      <c r="K610" t="s">
        <v>42631</v>
      </c>
      <c r="M610" t="s">
        <v>43226</v>
      </c>
      <c r="N610" t="s">
        <v>47304</v>
      </c>
      <c r="O610" t="s">
        <v>47305</v>
      </c>
      <c r="P610">
        <v>0</v>
      </c>
      <c r="Q610">
        <v>6</v>
      </c>
      <c r="R610" t="s">
        <v>47306</v>
      </c>
      <c r="S610" t="s">
        <v>47414</v>
      </c>
      <c r="T610" t="s">
        <v>48988</v>
      </c>
      <c r="U610" t="s">
        <v>50114</v>
      </c>
      <c r="V610" t="s">
        <v>62722</v>
      </c>
      <c r="W610" t="s">
        <v>64428</v>
      </c>
      <c r="X610" t="s">
        <v>47308</v>
      </c>
    </row>
    <row r="611" spans="1:24">
      <c r="A611">
        <f>HYPERLINK("https://www.philgeps.gov.ph/GEPSNONPILOT/Tender/SplashBidNoticeAbstractUI.aspx?menuIndex=3&amp;refID=7194758&amp;Result=3","7194758")</f>
        <v>0</v>
      </c>
      <c r="B611" t="s">
        <v>325</v>
      </c>
      <c r="C611" t="s">
        <v>4466</v>
      </c>
      <c r="D611" t="s">
        <v>18992</v>
      </c>
      <c r="E611" t="s">
        <v>19667</v>
      </c>
      <c r="F611" t="s">
        <v>32606</v>
      </c>
      <c r="G611" t="s">
        <v>32614</v>
      </c>
      <c r="H611" t="s">
        <v>14201</v>
      </c>
      <c r="I611" t="s">
        <v>4678</v>
      </c>
      <c r="J611" t="s">
        <v>32778</v>
      </c>
      <c r="K611" t="s">
        <v>42622</v>
      </c>
      <c r="M611" t="s">
        <v>43227</v>
      </c>
      <c r="N611" t="s">
        <v>47304</v>
      </c>
      <c r="O611" t="s">
        <v>47305</v>
      </c>
      <c r="P611">
        <v>0</v>
      </c>
      <c r="Q611">
        <v>0</v>
      </c>
      <c r="R611" t="s">
        <v>47306</v>
      </c>
      <c r="S611" t="s">
        <v>47414</v>
      </c>
      <c r="T611" t="s">
        <v>48979</v>
      </c>
      <c r="U611" t="s">
        <v>50115</v>
      </c>
      <c r="W611" t="s">
        <v>43227</v>
      </c>
      <c r="X611" t="s">
        <v>47308</v>
      </c>
    </row>
    <row r="612" spans="1:24">
      <c r="A612">
        <f>HYPERLINK("https://www.philgeps.gov.ph/GEPSNONPILOT/Tender/SplashBidNoticeAbstractUI.aspx?menuIndex=3&amp;refID=7194741&amp;Result=3","7194741")</f>
        <v>0</v>
      </c>
      <c r="B612" t="s">
        <v>276</v>
      </c>
      <c r="C612" t="s">
        <v>4467</v>
      </c>
      <c r="D612" t="s">
        <v>19001</v>
      </c>
      <c r="E612" t="s">
        <v>19668</v>
      </c>
      <c r="F612" t="s">
        <v>32606</v>
      </c>
      <c r="G612" t="s">
        <v>32614</v>
      </c>
      <c r="H612" t="s">
        <v>14201</v>
      </c>
      <c r="I612" t="s">
        <v>32640</v>
      </c>
      <c r="J612" t="s">
        <v>33251</v>
      </c>
      <c r="K612" t="s">
        <v>42622</v>
      </c>
      <c r="M612" t="s">
        <v>43177</v>
      </c>
      <c r="N612" t="s">
        <v>47304</v>
      </c>
      <c r="O612" t="s">
        <v>47305</v>
      </c>
      <c r="P612">
        <v>0</v>
      </c>
      <c r="Q612">
        <v>0</v>
      </c>
      <c r="R612" t="s">
        <v>47306</v>
      </c>
      <c r="S612" t="s">
        <v>47414</v>
      </c>
      <c r="T612" t="s">
        <v>48986</v>
      </c>
      <c r="U612" t="s">
        <v>50116</v>
      </c>
      <c r="W612" t="s">
        <v>43177</v>
      </c>
      <c r="X612" t="s">
        <v>47308</v>
      </c>
    </row>
    <row r="613" spans="1:24">
      <c r="A613">
        <f>HYPERLINK("https://www.philgeps.gov.ph/GEPSNONPILOT/Tender/SplashBidNoticeAbstractUI.aspx?menuIndex=3&amp;refID=7194740&amp;Result=3","7194740")</f>
        <v>0</v>
      </c>
      <c r="B613" t="s">
        <v>326</v>
      </c>
      <c r="C613" t="s">
        <v>4468</v>
      </c>
      <c r="D613" t="s">
        <v>19046</v>
      </c>
      <c r="E613" t="s">
        <v>19669</v>
      </c>
      <c r="F613" t="s">
        <v>32606</v>
      </c>
      <c r="G613" t="s">
        <v>32613</v>
      </c>
      <c r="H613" t="s">
        <v>14201</v>
      </c>
      <c r="I613" t="s">
        <v>6931</v>
      </c>
      <c r="J613" t="s">
        <v>33252</v>
      </c>
      <c r="K613" t="s">
        <v>42623</v>
      </c>
      <c r="L613" t="s">
        <v>326</v>
      </c>
      <c r="M613" t="s">
        <v>43228</v>
      </c>
      <c r="N613" t="s">
        <v>47304</v>
      </c>
      <c r="O613" t="s">
        <v>47305</v>
      </c>
      <c r="P613">
        <v>0</v>
      </c>
      <c r="Q613">
        <v>0</v>
      </c>
      <c r="R613" t="s">
        <v>47306</v>
      </c>
      <c r="S613" t="s">
        <v>47414</v>
      </c>
      <c r="T613" t="s">
        <v>49085</v>
      </c>
      <c r="U613" t="s">
        <v>50117</v>
      </c>
      <c r="V613" t="s">
        <v>62723</v>
      </c>
      <c r="W613" t="s">
        <v>43228</v>
      </c>
      <c r="X613" t="s">
        <v>47308</v>
      </c>
    </row>
    <row r="614" spans="1:24">
      <c r="A614">
        <f>HYPERLINK("https://www.philgeps.gov.ph/GEPSNONPILOT/Tender/SplashBidNoticeAbstractUI.aspx?menuIndex=3&amp;refID=7194737&amp;Result=3","7194737")</f>
        <v>0</v>
      </c>
      <c r="B614" t="s">
        <v>322</v>
      </c>
      <c r="C614" t="s">
        <v>4469</v>
      </c>
      <c r="D614" t="s">
        <v>19049</v>
      </c>
      <c r="E614" t="s">
        <v>19670</v>
      </c>
      <c r="F614" t="s">
        <v>32606</v>
      </c>
      <c r="G614" t="s">
        <v>32614</v>
      </c>
      <c r="H614" t="s">
        <v>32623</v>
      </c>
      <c r="I614" t="s">
        <v>32661</v>
      </c>
      <c r="J614" t="s">
        <v>32885</v>
      </c>
      <c r="K614" t="s">
        <v>42631</v>
      </c>
      <c r="M614" t="s">
        <v>43224</v>
      </c>
      <c r="N614" t="s">
        <v>47304</v>
      </c>
      <c r="O614" t="s">
        <v>47305</v>
      </c>
      <c r="P614">
        <v>0</v>
      </c>
      <c r="Q614">
        <v>1</v>
      </c>
      <c r="R614" t="s">
        <v>47306</v>
      </c>
      <c r="S614" t="s">
        <v>47414</v>
      </c>
      <c r="T614" t="s">
        <v>49002</v>
      </c>
      <c r="U614" t="s">
        <v>50118</v>
      </c>
      <c r="W614" t="s">
        <v>43224</v>
      </c>
      <c r="X614" t="s">
        <v>47308</v>
      </c>
    </row>
    <row r="615" spans="1:24">
      <c r="A615">
        <f>HYPERLINK("https://www.philgeps.gov.ph/GEPSNONPILOT/Tender/SplashBidNoticeAbstractUI.aspx?menuIndex=3&amp;refID=7194763&amp;Result=3","7194763")</f>
        <v>0</v>
      </c>
      <c r="B615" t="s">
        <v>251</v>
      </c>
      <c r="C615" t="s">
        <v>4470</v>
      </c>
      <c r="D615" t="s">
        <v>19023</v>
      </c>
      <c r="E615" t="s">
        <v>19671</v>
      </c>
      <c r="F615" t="s">
        <v>32606</v>
      </c>
      <c r="G615" t="s">
        <v>32614</v>
      </c>
      <c r="H615" t="s">
        <v>14201</v>
      </c>
      <c r="I615" t="s">
        <v>32674</v>
      </c>
      <c r="J615" t="s">
        <v>32981</v>
      </c>
      <c r="K615" t="s">
        <v>42632</v>
      </c>
      <c r="M615" t="s">
        <v>43152</v>
      </c>
      <c r="N615" t="s">
        <v>47304</v>
      </c>
      <c r="O615" t="s">
        <v>47305</v>
      </c>
      <c r="P615">
        <v>0</v>
      </c>
      <c r="Q615">
        <v>1</v>
      </c>
      <c r="R615" t="s">
        <v>47306</v>
      </c>
      <c r="S615" t="s">
        <v>47414</v>
      </c>
      <c r="T615" t="s">
        <v>49061</v>
      </c>
      <c r="U615" t="s">
        <v>50119</v>
      </c>
      <c r="W615" t="s">
        <v>43152</v>
      </c>
      <c r="X615" t="s">
        <v>47308</v>
      </c>
    </row>
    <row r="616" spans="1:24">
      <c r="A616">
        <f>HYPERLINK("https://www.philgeps.gov.ph/GEPSNONPILOT/Tender/SplashBidNoticeAbstractUI.aspx?menuIndex=3&amp;refID=7194736&amp;Result=3","7194736")</f>
        <v>0</v>
      </c>
      <c r="B616" t="s">
        <v>238</v>
      </c>
      <c r="C616" t="s">
        <v>4471</v>
      </c>
      <c r="D616" t="s">
        <v>18993</v>
      </c>
      <c r="E616" t="s">
        <v>19672</v>
      </c>
      <c r="F616" t="s">
        <v>32606</v>
      </c>
      <c r="G616" t="s">
        <v>32619</v>
      </c>
      <c r="H616" t="s">
        <v>14201</v>
      </c>
      <c r="I616" t="s">
        <v>4114</v>
      </c>
      <c r="J616" t="s">
        <v>33253</v>
      </c>
      <c r="K616" t="s">
        <v>42622</v>
      </c>
      <c r="M616" t="s">
        <v>43194</v>
      </c>
      <c r="N616" t="s">
        <v>47304</v>
      </c>
      <c r="O616" t="s">
        <v>47305</v>
      </c>
      <c r="P616">
        <v>0</v>
      </c>
      <c r="Q616">
        <v>3</v>
      </c>
      <c r="R616" t="s">
        <v>47306</v>
      </c>
      <c r="S616" t="s">
        <v>47414</v>
      </c>
      <c r="T616" t="s">
        <v>49070</v>
      </c>
      <c r="U616" t="s">
        <v>50120</v>
      </c>
      <c r="V616" t="s">
        <v>62716</v>
      </c>
      <c r="W616" t="s">
        <v>43194</v>
      </c>
      <c r="X616" t="s">
        <v>47308</v>
      </c>
    </row>
    <row r="617" spans="1:24">
      <c r="A617">
        <f>HYPERLINK("https://www.philgeps.gov.ph/GEPSNONPILOT/Tender/SplashBidNoticeAbstractUI.aspx?menuIndex=3&amp;refID=7194719&amp;Result=3","7194719")</f>
        <v>0</v>
      </c>
      <c r="B617" t="s">
        <v>327</v>
      </c>
      <c r="C617" t="s">
        <v>4472</v>
      </c>
      <c r="D617" t="s">
        <v>19037</v>
      </c>
      <c r="E617" t="s">
        <v>19673</v>
      </c>
      <c r="F617" t="s">
        <v>32606</v>
      </c>
      <c r="G617" t="s">
        <v>32614</v>
      </c>
      <c r="H617" t="s">
        <v>14201</v>
      </c>
      <c r="I617" t="s">
        <v>4114</v>
      </c>
      <c r="J617" t="s">
        <v>33254</v>
      </c>
      <c r="K617" t="s">
        <v>42630</v>
      </c>
      <c r="M617" t="s">
        <v>43229</v>
      </c>
      <c r="N617" t="s">
        <v>47304</v>
      </c>
      <c r="O617" t="s">
        <v>47305</v>
      </c>
      <c r="P617">
        <v>0</v>
      </c>
      <c r="Q617">
        <v>0</v>
      </c>
      <c r="R617" t="s">
        <v>47306</v>
      </c>
      <c r="S617" t="s">
        <v>47414</v>
      </c>
      <c r="T617" t="s">
        <v>49002</v>
      </c>
      <c r="U617" t="s">
        <v>50121</v>
      </c>
      <c r="V617" t="s">
        <v>62724</v>
      </c>
      <c r="W617" t="s">
        <v>43229</v>
      </c>
      <c r="X617" t="s">
        <v>47308</v>
      </c>
    </row>
    <row r="618" spans="1:24">
      <c r="A618">
        <f>HYPERLINK("https://www.philgeps.gov.ph/GEPSNONPILOT/Tender/SplashBidNoticeAbstractUI.aspx?menuIndex=3&amp;refID=7194717&amp;Result=3","7194717")</f>
        <v>0</v>
      </c>
      <c r="B618" t="s">
        <v>328</v>
      </c>
      <c r="C618" t="s">
        <v>4473</v>
      </c>
      <c r="D618" t="s">
        <v>19028</v>
      </c>
      <c r="E618" t="s">
        <v>19674</v>
      </c>
      <c r="F618" t="s">
        <v>32606</v>
      </c>
      <c r="G618" t="s">
        <v>32614</v>
      </c>
      <c r="H618" t="s">
        <v>14201</v>
      </c>
      <c r="I618" t="s">
        <v>8606</v>
      </c>
      <c r="J618" t="s">
        <v>33246</v>
      </c>
      <c r="K618" t="s">
        <v>42631</v>
      </c>
      <c r="M618" t="s">
        <v>43230</v>
      </c>
      <c r="N618" t="s">
        <v>47304</v>
      </c>
      <c r="O618" t="s">
        <v>47305</v>
      </c>
      <c r="P618">
        <v>0</v>
      </c>
      <c r="Q618">
        <v>1</v>
      </c>
      <c r="R618" t="s">
        <v>47306</v>
      </c>
      <c r="S618" t="s">
        <v>47414</v>
      </c>
      <c r="T618" t="s">
        <v>48979</v>
      </c>
      <c r="U618" t="s">
        <v>50122</v>
      </c>
      <c r="W618" t="s">
        <v>43230</v>
      </c>
      <c r="X618" t="s">
        <v>47308</v>
      </c>
    </row>
    <row r="619" spans="1:24">
      <c r="A619">
        <f>HYPERLINK("https://www.philgeps.gov.ph/GEPSNONPILOT/Tender/SplashBidNoticeAbstractUI.aspx?menuIndex=3&amp;refID=7194716&amp;Result=3","7194716")</f>
        <v>0</v>
      </c>
      <c r="B619" t="s">
        <v>58</v>
      </c>
      <c r="C619" t="s">
        <v>4474</v>
      </c>
      <c r="D619" t="s">
        <v>19011</v>
      </c>
      <c r="E619" t="s">
        <v>19675</v>
      </c>
      <c r="F619" t="s">
        <v>32606</v>
      </c>
      <c r="G619" t="s">
        <v>32614</v>
      </c>
      <c r="H619" t="s">
        <v>14201</v>
      </c>
      <c r="I619" t="s">
        <v>9008</v>
      </c>
      <c r="J619" t="s">
        <v>32770</v>
      </c>
      <c r="K619" t="s">
        <v>42624</v>
      </c>
      <c r="M619" t="s">
        <v>42955</v>
      </c>
      <c r="N619" t="s">
        <v>47304</v>
      </c>
      <c r="O619" t="s">
        <v>47305</v>
      </c>
      <c r="P619">
        <v>0</v>
      </c>
      <c r="Q619">
        <v>0</v>
      </c>
      <c r="R619" t="s">
        <v>47306</v>
      </c>
      <c r="S619" t="s">
        <v>47414</v>
      </c>
      <c r="T619" t="s">
        <v>48979</v>
      </c>
      <c r="U619" t="s">
        <v>50123</v>
      </c>
      <c r="W619" t="s">
        <v>42955</v>
      </c>
      <c r="X619" t="s">
        <v>47308</v>
      </c>
    </row>
    <row r="620" spans="1:24">
      <c r="A620">
        <f>HYPERLINK("https://www.philgeps.gov.ph/GEPSNONPILOT/Tender/SplashBidNoticeAbstractUI.aspx?menuIndex=3&amp;refID=7194715&amp;Result=3","7194715")</f>
        <v>0</v>
      </c>
      <c r="B620" t="s">
        <v>329</v>
      </c>
      <c r="C620" t="s">
        <v>4475</v>
      </c>
      <c r="D620" t="s">
        <v>19058</v>
      </c>
      <c r="E620" t="s">
        <v>19676</v>
      </c>
      <c r="F620" t="s">
        <v>32606</v>
      </c>
      <c r="G620" t="s">
        <v>32614</v>
      </c>
      <c r="H620" t="s">
        <v>14201</v>
      </c>
      <c r="I620" t="s">
        <v>4369</v>
      </c>
      <c r="J620" t="s">
        <v>33255</v>
      </c>
      <c r="K620" t="s">
        <v>42630</v>
      </c>
      <c r="M620" t="s">
        <v>43231</v>
      </c>
      <c r="N620" t="s">
        <v>47304</v>
      </c>
      <c r="O620" t="s">
        <v>47305</v>
      </c>
      <c r="P620">
        <v>0</v>
      </c>
      <c r="Q620">
        <v>3</v>
      </c>
      <c r="R620" t="s">
        <v>47306</v>
      </c>
      <c r="S620" t="s">
        <v>47414</v>
      </c>
      <c r="T620" t="s">
        <v>49002</v>
      </c>
      <c r="U620" t="s">
        <v>50124</v>
      </c>
      <c r="W620" t="s">
        <v>43231</v>
      </c>
      <c r="X620" t="s">
        <v>47308</v>
      </c>
    </row>
    <row r="621" spans="1:24">
      <c r="A621">
        <f>HYPERLINK("https://www.philgeps.gov.ph/GEPSNONPILOT/Tender/SplashBidNoticeAbstractUI.aspx?menuIndex=3&amp;refID=7194714&amp;Result=3","7194714")</f>
        <v>0</v>
      </c>
      <c r="B621" t="s">
        <v>280</v>
      </c>
      <c r="C621" t="s">
        <v>4385</v>
      </c>
      <c r="D621" t="s">
        <v>19028</v>
      </c>
      <c r="E621" t="s">
        <v>19677</v>
      </c>
      <c r="F621" t="s">
        <v>32607</v>
      </c>
      <c r="G621" t="s">
        <v>32614</v>
      </c>
      <c r="H621" t="s">
        <v>14201</v>
      </c>
      <c r="I621" t="s">
        <v>6298</v>
      </c>
      <c r="J621" t="s">
        <v>33256</v>
      </c>
      <c r="K621" t="s">
        <v>42623</v>
      </c>
      <c r="M621" t="s">
        <v>43181</v>
      </c>
      <c r="N621" t="s">
        <v>47304</v>
      </c>
      <c r="O621" t="s">
        <v>47305</v>
      </c>
      <c r="P621">
        <v>0</v>
      </c>
      <c r="Q621">
        <v>0</v>
      </c>
      <c r="R621" t="s">
        <v>47306</v>
      </c>
      <c r="S621" t="s">
        <v>47414</v>
      </c>
      <c r="T621" t="s">
        <v>49002</v>
      </c>
      <c r="U621" t="s">
        <v>50125</v>
      </c>
      <c r="W621" t="s">
        <v>43181</v>
      </c>
      <c r="X621" t="s">
        <v>47308</v>
      </c>
    </row>
    <row r="622" spans="1:24">
      <c r="A622">
        <f>HYPERLINK("https://www.philgeps.gov.ph/GEPSNONPILOT/Tender/SplashBidNoticeAbstractUI.aspx?menuIndex=3&amp;refID=7194692&amp;Result=3","7194692")</f>
        <v>0</v>
      </c>
      <c r="B622" t="s">
        <v>229</v>
      </c>
      <c r="C622" t="s">
        <v>4476</v>
      </c>
      <c r="D622" t="s">
        <v>18992</v>
      </c>
      <c r="E622" t="s">
        <v>19678</v>
      </c>
      <c r="F622" t="s">
        <v>32606</v>
      </c>
      <c r="G622" t="s">
        <v>32619</v>
      </c>
      <c r="H622" t="s">
        <v>14201</v>
      </c>
      <c r="I622" t="s">
        <v>4114</v>
      </c>
      <c r="J622" t="s">
        <v>33257</v>
      </c>
      <c r="K622" t="s">
        <v>42622</v>
      </c>
      <c r="M622" t="s">
        <v>43130</v>
      </c>
      <c r="N622" t="s">
        <v>47304</v>
      </c>
      <c r="O622" t="s">
        <v>47305</v>
      </c>
      <c r="P622">
        <v>0</v>
      </c>
      <c r="Q622">
        <v>0</v>
      </c>
      <c r="R622" t="s">
        <v>47306</v>
      </c>
      <c r="S622" t="s">
        <v>47414</v>
      </c>
      <c r="T622" t="s">
        <v>49068</v>
      </c>
      <c r="U622" t="s">
        <v>50126</v>
      </c>
      <c r="W622" t="s">
        <v>43130</v>
      </c>
      <c r="X622" t="s">
        <v>47308</v>
      </c>
    </row>
    <row r="623" spans="1:24">
      <c r="A623">
        <f>HYPERLINK("https://www.philgeps.gov.ph/GEPSNONPILOT/Tender/SplashBidNoticeAbstractUI.aspx?menuIndex=3&amp;refID=7194673&amp;Result=3","7194673")</f>
        <v>0</v>
      </c>
      <c r="B623" t="s">
        <v>330</v>
      </c>
      <c r="C623" t="s">
        <v>4477</v>
      </c>
      <c r="D623" t="s">
        <v>19059</v>
      </c>
      <c r="E623" t="s">
        <v>19679</v>
      </c>
      <c r="F623" t="s">
        <v>32606</v>
      </c>
      <c r="G623" t="s">
        <v>32619</v>
      </c>
      <c r="H623" t="s">
        <v>14201</v>
      </c>
      <c r="I623" t="s">
        <v>4120</v>
      </c>
      <c r="J623" t="s">
        <v>33258</v>
      </c>
      <c r="K623" t="s">
        <v>42639</v>
      </c>
      <c r="M623" t="s">
        <v>43232</v>
      </c>
      <c r="N623" t="s">
        <v>47304</v>
      </c>
      <c r="O623" t="s">
        <v>47305</v>
      </c>
      <c r="P623">
        <v>0</v>
      </c>
      <c r="Q623">
        <v>0</v>
      </c>
      <c r="R623" t="s">
        <v>47306</v>
      </c>
      <c r="S623" t="s">
        <v>47414</v>
      </c>
      <c r="T623" t="s">
        <v>48976</v>
      </c>
      <c r="U623" t="s">
        <v>50127</v>
      </c>
      <c r="W623" t="s">
        <v>43232</v>
      </c>
      <c r="X623" t="s">
        <v>47308</v>
      </c>
    </row>
    <row r="624" spans="1:24">
      <c r="A624">
        <f>HYPERLINK("https://www.philgeps.gov.ph/GEPSNONPILOT/Tender/SplashBidNoticeAbstractUI.aspx?menuIndex=3&amp;refID=7194776&amp;Result=3","7194776")</f>
        <v>0</v>
      </c>
      <c r="B624" t="s">
        <v>307</v>
      </c>
      <c r="C624" t="s">
        <v>4478</v>
      </c>
      <c r="D624" t="s">
        <v>19016</v>
      </c>
      <c r="E624" t="s">
        <v>19680</v>
      </c>
      <c r="F624" t="s">
        <v>32606</v>
      </c>
      <c r="G624" t="s">
        <v>32619</v>
      </c>
      <c r="H624" t="s">
        <v>14201</v>
      </c>
      <c r="I624" t="s">
        <v>32633</v>
      </c>
      <c r="J624" t="s">
        <v>33259</v>
      </c>
      <c r="K624" t="s">
        <v>42623</v>
      </c>
      <c r="M624" t="s">
        <v>43209</v>
      </c>
      <c r="N624" t="s">
        <v>47304</v>
      </c>
      <c r="O624" t="s">
        <v>47305</v>
      </c>
      <c r="P624">
        <v>0</v>
      </c>
      <c r="Q624">
        <v>7</v>
      </c>
      <c r="R624" t="s">
        <v>47306</v>
      </c>
      <c r="S624" t="s">
        <v>47414</v>
      </c>
      <c r="T624" t="s">
        <v>48997</v>
      </c>
      <c r="U624" t="s">
        <v>50128</v>
      </c>
      <c r="W624" t="s">
        <v>43209</v>
      </c>
      <c r="X624" t="s">
        <v>47308</v>
      </c>
    </row>
    <row r="625" spans="1:24">
      <c r="A625">
        <f>HYPERLINK("https://www.philgeps.gov.ph/GEPSNONPILOT/Tender/SplashBidNoticeAbstractUI.aspx?menuIndex=3&amp;refID=7194672&amp;Result=3","7194672")</f>
        <v>0</v>
      </c>
      <c r="B625" t="s">
        <v>184</v>
      </c>
      <c r="C625" t="s">
        <v>4479</v>
      </c>
      <c r="D625" t="s">
        <v>19042</v>
      </c>
      <c r="E625" t="s">
        <v>19681</v>
      </c>
      <c r="F625" t="s">
        <v>32606</v>
      </c>
      <c r="G625" t="s">
        <v>32619</v>
      </c>
      <c r="H625" t="s">
        <v>14201</v>
      </c>
      <c r="I625" t="s">
        <v>6993</v>
      </c>
      <c r="J625" t="s">
        <v>33260</v>
      </c>
      <c r="K625" t="s">
        <v>42622</v>
      </c>
      <c r="M625" t="s">
        <v>43085</v>
      </c>
      <c r="N625" t="s">
        <v>47304</v>
      </c>
      <c r="O625" t="s">
        <v>47305</v>
      </c>
      <c r="P625">
        <v>0</v>
      </c>
      <c r="Q625">
        <v>0</v>
      </c>
      <c r="R625" t="s">
        <v>47306</v>
      </c>
      <c r="S625" t="s">
        <v>47414</v>
      </c>
      <c r="T625" t="s">
        <v>48998</v>
      </c>
      <c r="U625" t="s">
        <v>50129</v>
      </c>
      <c r="V625" t="s">
        <v>62725</v>
      </c>
      <c r="W625" t="s">
        <v>43085</v>
      </c>
      <c r="X625" t="s">
        <v>47308</v>
      </c>
    </row>
    <row r="626" spans="1:24">
      <c r="A626">
        <f>HYPERLINK("https://www.philgeps.gov.ph/GEPSNONPILOT/Tender/SplashBidNoticeAbstractUI.aspx?menuIndex=3&amp;refID=7194753&amp;Result=3","7194753")</f>
        <v>0</v>
      </c>
      <c r="B626" t="s">
        <v>331</v>
      </c>
      <c r="C626" t="s">
        <v>4480</v>
      </c>
      <c r="D626" t="s">
        <v>18999</v>
      </c>
      <c r="E626" t="s">
        <v>19682</v>
      </c>
      <c r="F626" t="s">
        <v>32606</v>
      </c>
      <c r="G626" t="s">
        <v>32614</v>
      </c>
      <c r="H626" t="s">
        <v>14201</v>
      </c>
      <c r="I626" t="s">
        <v>32631</v>
      </c>
      <c r="J626" t="s">
        <v>33261</v>
      </c>
      <c r="K626" t="s">
        <v>42632</v>
      </c>
      <c r="M626" t="s">
        <v>43233</v>
      </c>
      <c r="N626" t="s">
        <v>47304</v>
      </c>
      <c r="O626" t="s">
        <v>47305</v>
      </c>
      <c r="P626">
        <v>0</v>
      </c>
      <c r="Q626">
        <v>2</v>
      </c>
      <c r="R626" t="s">
        <v>47306</v>
      </c>
      <c r="S626" t="s">
        <v>47414</v>
      </c>
      <c r="T626" t="s">
        <v>48972</v>
      </c>
      <c r="U626" t="s">
        <v>50130</v>
      </c>
      <c r="V626" t="s">
        <v>50585</v>
      </c>
      <c r="W626" t="s">
        <v>43233</v>
      </c>
      <c r="X626" t="s">
        <v>47308</v>
      </c>
    </row>
    <row r="627" spans="1:24">
      <c r="A627">
        <f>HYPERLINK("https://www.philgeps.gov.ph/GEPSNONPILOT/Tender/SplashBidNoticeAbstractUI.aspx?menuIndex=3&amp;refID=7194718&amp;Result=3","7194718")</f>
        <v>0</v>
      </c>
      <c r="B627" t="s">
        <v>262</v>
      </c>
      <c r="C627" t="s">
        <v>4481</v>
      </c>
      <c r="D627" t="s">
        <v>19038</v>
      </c>
      <c r="E627" t="s">
        <v>19683</v>
      </c>
      <c r="F627" t="s">
        <v>32606</v>
      </c>
      <c r="G627" t="s">
        <v>32619</v>
      </c>
      <c r="H627" t="s">
        <v>14201</v>
      </c>
      <c r="I627" t="s">
        <v>4120</v>
      </c>
      <c r="J627" t="s">
        <v>33262</v>
      </c>
      <c r="K627" t="s">
        <v>42630</v>
      </c>
      <c r="M627" t="s">
        <v>43163</v>
      </c>
      <c r="N627" t="s">
        <v>47304</v>
      </c>
      <c r="O627" t="s">
        <v>47305</v>
      </c>
      <c r="P627">
        <v>0</v>
      </c>
      <c r="Q627">
        <v>0</v>
      </c>
      <c r="R627" t="s">
        <v>47306</v>
      </c>
      <c r="S627" t="s">
        <v>47414</v>
      </c>
      <c r="T627" t="s">
        <v>48986</v>
      </c>
      <c r="U627" t="s">
        <v>50131</v>
      </c>
      <c r="W627" t="s">
        <v>43163</v>
      </c>
      <c r="X627" t="s">
        <v>47308</v>
      </c>
    </row>
    <row r="628" spans="1:24">
      <c r="A628">
        <f>HYPERLINK("https://www.philgeps.gov.ph/GEPSNONPILOT/Tender/SplashBidNoticeAbstractUI.aspx?menuIndex=3&amp;refID=7194646&amp;Result=3","7194646")</f>
        <v>0</v>
      </c>
      <c r="B628" t="s">
        <v>332</v>
      </c>
      <c r="C628" t="s">
        <v>4482</v>
      </c>
      <c r="D628" t="s">
        <v>19028</v>
      </c>
      <c r="E628" t="s">
        <v>19684</v>
      </c>
      <c r="F628" t="s">
        <v>32607</v>
      </c>
      <c r="G628" t="s">
        <v>32613</v>
      </c>
      <c r="H628" t="s">
        <v>14201</v>
      </c>
      <c r="I628" t="s">
        <v>32656</v>
      </c>
      <c r="J628" t="s">
        <v>32765</v>
      </c>
      <c r="K628" t="s">
        <v>42632</v>
      </c>
      <c r="M628" t="s">
        <v>43234</v>
      </c>
      <c r="N628" t="s">
        <v>47304</v>
      </c>
      <c r="O628" t="s">
        <v>47305</v>
      </c>
      <c r="P628">
        <v>0</v>
      </c>
      <c r="Q628">
        <v>1</v>
      </c>
      <c r="R628" t="s">
        <v>47306</v>
      </c>
      <c r="S628" t="s">
        <v>47414</v>
      </c>
      <c r="T628" t="s">
        <v>49086</v>
      </c>
      <c r="U628" t="s">
        <v>50132</v>
      </c>
      <c r="V628" t="s">
        <v>62726</v>
      </c>
      <c r="W628" t="s">
        <v>43234</v>
      </c>
      <c r="X628" t="s">
        <v>47308</v>
      </c>
    </row>
    <row r="629" spans="1:24">
      <c r="A629">
        <f>HYPERLINK("https://www.philgeps.gov.ph/GEPSNONPILOT/Tender/SplashBidNoticeAbstractUI.aspx?menuIndex=3&amp;refID=7194645&amp;Result=3","7194645")</f>
        <v>0</v>
      </c>
      <c r="B629" t="s">
        <v>81</v>
      </c>
      <c r="C629" t="s">
        <v>4040</v>
      </c>
      <c r="D629" t="s">
        <v>18995</v>
      </c>
      <c r="E629" t="s">
        <v>19685</v>
      </c>
      <c r="F629" t="s">
        <v>32606</v>
      </c>
      <c r="G629" t="s">
        <v>32614</v>
      </c>
      <c r="H629" t="s">
        <v>14201</v>
      </c>
      <c r="I629" t="s">
        <v>7677</v>
      </c>
      <c r="J629" t="s">
        <v>33263</v>
      </c>
      <c r="K629" t="s">
        <v>42624</v>
      </c>
      <c r="M629" t="s">
        <v>42978</v>
      </c>
      <c r="N629" t="s">
        <v>47304</v>
      </c>
      <c r="O629" t="s">
        <v>47305</v>
      </c>
      <c r="P629">
        <v>0</v>
      </c>
      <c r="Q629">
        <v>1</v>
      </c>
      <c r="R629" t="s">
        <v>47306</v>
      </c>
      <c r="S629" t="s">
        <v>47414</v>
      </c>
      <c r="T629" t="s">
        <v>49014</v>
      </c>
      <c r="U629" t="s">
        <v>50133</v>
      </c>
      <c r="W629" t="s">
        <v>42978</v>
      </c>
      <c r="X629" t="s">
        <v>47308</v>
      </c>
    </row>
    <row r="630" spans="1:24">
      <c r="A630">
        <f>HYPERLINK("https://www.philgeps.gov.ph/GEPSNONPILOT/Tender/SplashBidNoticeAbstractUI.aspx?menuIndex=3&amp;refID=7194628&amp;Result=3","7194628")</f>
        <v>0</v>
      </c>
      <c r="B630" t="s">
        <v>276</v>
      </c>
      <c r="C630" t="s">
        <v>4483</v>
      </c>
      <c r="D630" t="s">
        <v>19001</v>
      </c>
      <c r="E630" t="s">
        <v>19686</v>
      </c>
      <c r="F630" t="s">
        <v>32606</v>
      </c>
      <c r="G630" t="s">
        <v>32614</v>
      </c>
      <c r="H630" t="s">
        <v>14201</v>
      </c>
      <c r="I630" t="s">
        <v>32640</v>
      </c>
      <c r="J630" t="s">
        <v>32833</v>
      </c>
      <c r="K630" t="s">
        <v>42622</v>
      </c>
      <c r="M630" t="s">
        <v>43177</v>
      </c>
      <c r="N630" t="s">
        <v>47304</v>
      </c>
      <c r="O630" t="s">
        <v>47305</v>
      </c>
      <c r="P630">
        <v>0</v>
      </c>
      <c r="Q630">
        <v>4</v>
      </c>
      <c r="R630" t="s">
        <v>47306</v>
      </c>
      <c r="S630" t="s">
        <v>47414</v>
      </c>
      <c r="T630" t="s">
        <v>48986</v>
      </c>
      <c r="U630" t="s">
        <v>50134</v>
      </c>
      <c r="W630" t="s">
        <v>43177</v>
      </c>
      <c r="X630" t="s">
        <v>47308</v>
      </c>
    </row>
    <row r="631" spans="1:24">
      <c r="A631">
        <f>HYPERLINK("https://www.philgeps.gov.ph/GEPSNONPILOT/Tender/SplashBidNoticeAbstractUI.aspx?menuIndex=3&amp;refID=7194749&amp;Result=3","7194749")</f>
        <v>0</v>
      </c>
      <c r="B631" t="s">
        <v>333</v>
      </c>
      <c r="C631" t="s">
        <v>4484</v>
      </c>
      <c r="D631" t="s">
        <v>19004</v>
      </c>
      <c r="E631" t="s">
        <v>19687</v>
      </c>
      <c r="F631" t="s">
        <v>32606</v>
      </c>
      <c r="G631" t="s">
        <v>32619</v>
      </c>
      <c r="H631" t="s">
        <v>14201</v>
      </c>
      <c r="I631" t="s">
        <v>4120</v>
      </c>
      <c r="J631" t="s">
        <v>33264</v>
      </c>
      <c r="K631" t="s">
        <v>42623</v>
      </c>
      <c r="M631" t="s">
        <v>43235</v>
      </c>
      <c r="N631" t="s">
        <v>47304</v>
      </c>
      <c r="O631" t="s">
        <v>47305</v>
      </c>
      <c r="P631">
        <v>0</v>
      </c>
      <c r="Q631">
        <v>0</v>
      </c>
      <c r="R631" t="s">
        <v>47306</v>
      </c>
      <c r="S631" t="s">
        <v>47414</v>
      </c>
      <c r="T631" t="s">
        <v>48979</v>
      </c>
      <c r="U631" t="s">
        <v>50135</v>
      </c>
      <c r="W631" t="s">
        <v>43235</v>
      </c>
      <c r="X631" t="s">
        <v>47308</v>
      </c>
    </row>
    <row r="632" spans="1:24">
      <c r="A632">
        <f>HYPERLINK("https://www.philgeps.gov.ph/GEPSNONPILOT/Tender/SplashBidNoticeAbstractUI.aspx?menuIndex=3&amp;refID=7194624&amp;Result=3","7194624")</f>
        <v>0</v>
      </c>
      <c r="B632" t="s">
        <v>334</v>
      </c>
      <c r="C632" t="s">
        <v>4485</v>
      </c>
      <c r="D632" t="s">
        <v>19057</v>
      </c>
      <c r="E632" t="s">
        <v>19688</v>
      </c>
      <c r="F632" t="s">
        <v>32606</v>
      </c>
      <c r="G632" t="s">
        <v>32619</v>
      </c>
      <c r="H632" t="s">
        <v>14201</v>
      </c>
      <c r="I632" t="s">
        <v>32675</v>
      </c>
      <c r="J632" t="s">
        <v>33265</v>
      </c>
      <c r="K632" t="s">
        <v>42622</v>
      </c>
      <c r="M632" t="s">
        <v>43236</v>
      </c>
      <c r="N632" t="s">
        <v>47304</v>
      </c>
      <c r="O632" t="s">
        <v>47305</v>
      </c>
      <c r="P632">
        <v>0</v>
      </c>
      <c r="Q632">
        <v>0</v>
      </c>
      <c r="R632" t="s">
        <v>47306</v>
      </c>
      <c r="S632" t="s">
        <v>47414</v>
      </c>
      <c r="T632" t="s">
        <v>48986</v>
      </c>
      <c r="U632" t="s">
        <v>50136</v>
      </c>
      <c r="W632" t="s">
        <v>43236</v>
      </c>
      <c r="X632" t="s">
        <v>47308</v>
      </c>
    </row>
    <row r="633" spans="1:24">
      <c r="A633">
        <f>HYPERLINK("https://www.philgeps.gov.ph/GEPSNONPILOT/Tender/SplashBidNoticeAbstractUI.aspx?menuIndex=3&amp;refID=7194606&amp;Result=3","7194606")</f>
        <v>0</v>
      </c>
      <c r="B633" t="s">
        <v>232</v>
      </c>
      <c r="C633" t="s">
        <v>4486</v>
      </c>
      <c r="D633" t="s">
        <v>19017</v>
      </c>
      <c r="E633" t="s">
        <v>19689</v>
      </c>
      <c r="F633" t="s">
        <v>32606</v>
      </c>
      <c r="G633" t="s">
        <v>32613</v>
      </c>
      <c r="H633" t="s">
        <v>32623</v>
      </c>
      <c r="I633" t="s">
        <v>17648</v>
      </c>
      <c r="J633" t="s">
        <v>32795</v>
      </c>
      <c r="K633" t="s">
        <v>42636</v>
      </c>
      <c r="M633" t="s">
        <v>43133</v>
      </c>
      <c r="N633" t="s">
        <v>47304</v>
      </c>
      <c r="O633" t="s">
        <v>47305</v>
      </c>
      <c r="P633">
        <v>0</v>
      </c>
      <c r="Q633">
        <v>0</v>
      </c>
      <c r="R633" t="s">
        <v>47306</v>
      </c>
      <c r="S633" t="s">
        <v>47414</v>
      </c>
      <c r="T633" t="s">
        <v>48995</v>
      </c>
      <c r="U633" t="s">
        <v>50137</v>
      </c>
      <c r="W633" t="s">
        <v>43133</v>
      </c>
      <c r="X633" t="s">
        <v>47308</v>
      </c>
    </row>
    <row r="634" spans="1:24">
      <c r="A634">
        <f>HYPERLINK("https://www.philgeps.gov.ph/GEPSNONPILOT/Tender/SplashBidNoticeAbstractUI.aspx?menuIndex=3&amp;refID=7194671&amp;Result=3","7194671")</f>
        <v>0</v>
      </c>
      <c r="B634" t="s">
        <v>335</v>
      </c>
      <c r="C634" t="s">
        <v>4487</v>
      </c>
      <c r="D634" t="s">
        <v>19058</v>
      </c>
      <c r="E634" t="s">
        <v>19690</v>
      </c>
      <c r="F634" t="s">
        <v>32607</v>
      </c>
      <c r="G634" t="s">
        <v>32617</v>
      </c>
      <c r="H634" t="s">
        <v>14201</v>
      </c>
      <c r="I634" t="s">
        <v>4120</v>
      </c>
      <c r="J634" t="s">
        <v>33266</v>
      </c>
      <c r="K634" t="s">
        <v>42630</v>
      </c>
      <c r="M634" t="s">
        <v>43237</v>
      </c>
      <c r="N634" t="s">
        <v>47304</v>
      </c>
      <c r="O634" t="s">
        <v>47305</v>
      </c>
      <c r="P634">
        <v>0</v>
      </c>
      <c r="Q634">
        <v>4</v>
      </c>
      <c r="R634" t="s">
        <v>47306</v>
      </c>
      <c r="S634" t="s">
        <v>47414</v>
      </c>
      <c r="T634" t="s">
        <v>49002</v>
      </c>
      <c r="U634" t="s">
        <v>50138</v>
      </c>
      <c r="W634" t="s">
        <v>43237</v>
      </c>
      <c r="X634" t="s">
        <v>47308</v>
      </c>
    </row>
    <row r="635" spans="1:24">
      <c r="A635">
        <f>HYPERLINK("https://www.philgeps.gov.ph/GEPSNONPILOT/Tender/SplashBidNoticeAbstractUI.aspx?menuIndex=3&amp;refID=7194605&amp;Result=3","7194605")</f>
        <v>0</v>
      </c>
      <c r="B635" t="s">
        <v>336</v>
      </c>
      <c r="C635" t="s">
        <v>4488</v>
      </c>
      <c r="D635" t="s">
        <v>18999</v>
      </c>
      <c r="E635" t="s">
        <v>19315</v>
      </c>
      <c r="F635" t="s">
        <v>32606</v>
      </c>
      <c r="G635" t="s">
        <v>32615</v>
      </c>
      <c r="H635" t="s">
        <v>14201</v>
      </c>
      <c r="I635" t="s">
        <v>6931</v>
      </c>
      <c r="J635" t="s">
        <v>33267</v>
      </c>
      <c r="K635" t="s">
        <v>42622</v>
      </c>
      <c r="M635" t="s">
        <v>43238</v>
      </c>
      <c r="N635" t="s">
        <v>47304</v>
      </c>
      <c r="O635" t="s">
        <v>47305</v>
      </c>
      <c r="P635">
        <v>0</v>
      </c>
      <c r="Q635">
        <v>0</v>
      </c>
      <c r="R635" t="s">
        <v>47306</v>
      </c>
      <c r="S635" t="s">
        <v>47414</v>
      </c>
      <c r="T635" t="s">
        <v>49087</v>
      </c>
      <c r="U635" t="s">
        <v>50046</v>
      </c>
      <c r="V635" t="s">
        <v>62715</v>
      </c>
      <c r="W635" t="s">
        <v>43238</v>
      </c>
      <c r="X635" t="s">
        <v>47308</v>
      </c>
    </row>
    <row r="636" spans="1:24">
      <c r="A636">
        <f>HYPERLINK("https://www.philgeps.gov.ph/GEPSNONPILOT/Tender/SplashBidNoticeAbstractUI.aspx?menuIndex=3&amp;refID=7194627&amp;Result=3","7194627")</f>
        <v>0</v>
      </c>
      <c r="B636" t="s">
        <v>227</v>
      </c>
      <c r="C636" t="s">
        <v>4489</v>
      </c>
      <c r="D636" t="s">
        <v>19051</v>
      </c>
      <c r="E636" t="s">
        <v>19691</v>
      </c>
      <c r="F636" t="s">
        <v>32606</v>
      </c>
      <c r="G636" t="s">
        <v>32614</v>
      </c>
      <c r="H636" t="s">
        <v>14201</v>
      </c>
      <c r="I636" t="s">
        <v>4120</v>
      </c>
      <c r="J636" t="s">
        <v>33189</v>
      </c>
      <c r="K636" t="s">
        <v>42630</v>
      </c>
      <c r="L636" t="s">
        <v>227</v>
      </c>
      <c r="M636" t="s">
        <v>43128</v>
      </c>
      <c r="N636" t="s">
        <v>47304</v>
      </c>
      <c r="O636" t="s">
        <v>47305</v>
      </c>
      <c r="P636">
        <v>0</v>
      </c>
      <c r="Q636">
        <v>1</v>
      </c>
      <c r="R636" t="s">
        <v>47306</v>
      </c>
      <c r="S636" t="s">
        <v>47414</v>
      </c>
      <c r="T636" t="s">
        <v>49014</v>
      </c>
      <c r="U636" t="s">
        <v>50139</v>
      </c>
      <c r="W636" t="s">
        <v>43128</v>
      </c>
      <c r="X636" t="s">
        <v>47308</v>
      </c>
    </row>
    <row r="637" spans="1:24">
      <c r="A637">
        <f>HYPERLINK("https://www.philgeps.gov.ph/GEPSNONPILOT/Tender/SplashBidNoticeAbstractUI.aspx?menuIndex=3&amp;refID=7194784&amp;Result=3","7194784")</f>
        <v>0</v>
      </c>
      <c r="B637" t="s">
        <v>337</v>
      </c>
      <c r="C637" t="s">
        <v>4490</v>
      </c>
      <c r="D637" t="s">
        <v>19039</v>
      </c>
      <c r="E637" t="s">
        <v>19692</v>
      </c>
      <c r="F637" t="s">
        <v>32606</v>
      </c>
      <c r="G637" t="s">
        <v>32619</v>
      </c>
      <c r="H637" t="s">
        <v>14201</v>
      </c>
      <c r="I637" t="s">
        <v>4112</v>
      </c>
      <c r="J637" t="s">
        <v>32977</v>
      </c>
      <c r="K637" t="s">
        <v>42622</v>
      </c>
      <c r="M637" t="s">
        <v>43239</v>
      </c>
      <c r="N637" t="s">
        <v>47304</v>
      </c>
      <c r="O637" t="s">
        <v>47305</v>
      </c>
      <c r="P637">
        <v>0</v>
      </c>
      <c r="Q637">
        <v>0</v>
      </c>
      <c r="R637" t="s">
        <v>47306</v>
      </c>
      <c r="S637" t="s">
        <v>47414</v>
      </c>
      <c r="T637" t="s">
        <v>48980</v>
      </c>
      <c r="U637" t="s">
        <v>50140</v>
      </c>
      <c r="W637" t="s">
        <v>43239</v>
      </c>
      <c r="X637" t="s">
        <v>47308</v>
      </c>
    </row>
    <row r="638" spans="1:24">
      <c r="A638">
        <f>HYPERLINK("https://www.philgeps.gov.ph/GEPSNONPILOT/Tender/SplashBidNoticeAbstractUI.aspx?menuIndex=3&amp;refID=7194626&amp;Result=3","7194626")</f>
        <v>0</v>
      </c>
      <c r="B638" t="s">
        <v>255</v>
      </c>
      <c r="C638" t="s">
        <v>4491</v>
      </c>
      <c r="E638" t="s">
        <v>19693</v>
      </c>
      <c r="F638" t="s">
        <v>32606</v>
      </c>
      <c r="G638" t="s">
        <v>32615</v>
      </c>
      <c r="H638" t="s">
        <v>14201</v>
      </c>
      <c r="I638" t="s">
        <v>32629</v>
      </c>
      <c r="J638" t="s">
        <v>33268</v>
      </c>
      <c r="K638" t="s">
        <v>42624</v>
      </c>
      <c r="M638" t="s">
        <v>43156</v>
      </c>
      <c r="N638" t="s">
        <v>47304</v>
      </c>
      <c r="O638" t="s">
        <v>47305</v>
      </c>
      <c r="P638">
        <v>0</v>
      </c>
      <c r="Q638">
        <v>0</v>
      </c>
      <c r="R638" t="s">
        <v>47306</v>
      </c>
      <c r="S638" t="s">
        <v>47414</v>
      </c>
      <c r="T638" t="s">
        <v>49081</v>
      </c>
      <c r="U638" t="s">
        <v>50141</v>
      </c>
      <c r="W638" t="s">
        <v>43156</v>
      </c>
      <c r="X638" t="s">
        <v>47308</v>
      </c>
    </row>
    <row r="639" spans="1:24">
      <c r="A639">
        <f>HYPERLINK("https://www.philgeps.gov.ph/GEPSNONPILOT/Tender/SplashBidNoticeAbstractUI.aspx?menuIndex=3&amp;refID=7194780&amp;Result=3","7194780")</f>
        <v>0</v>
      </c>
      <c r="B639" t="s">
        <v>338</v>
      </c>
      <c r="C639" t="s">
        <v>4492</v>
      </c>
      <c r="D639" t="s">
        <v>19060</v>
      </c>
      <c r="E639" t="s">
        <v>19694</v>
      </c>
      <c r="F639" t="s">
        <v>32606</v>
      </c>
      <c r="G639" t="s">
        <v>32613</v>
      </c>
      <c r="H639" t="s">
        <v>14201</v>
      </c>
      <c r="I639" t="s">
        <v>7064</v>
      </c>
      <c r="J639" t="s">
        <v>33269</v>
      </c>
      <c r="K639" t="s">
        <v>42623</v>
      </c>
      <c r="M639" t="s">
        <v>43240</v>
      </c>
      <c r="N639" t="s">
        <v>47304</v>
      </c>
      <c r="O639" t="s">
        <v>47305</v>
      </c>
      <c r="P639">
        <v>0</v>
      </c>
      <c r="Q639">
        <v>2</v>
      </c>
      <c r="R639" t="s">
        <v>47306</v>
      </c>
      <c r="S639" t="s">
        <v>47414</v>
      </c>
      <c r="T639" t="s">
        <v>48977</v>
      </c>
      <c r="U639" t="s">
        <v>50142</v>
      </c>
      <c r="W639" t="s">
        <v>43240</v>
      </c>
      <c r="X639" t="s">
        <v>47308</v>
      </c>
    </row>
    <row r="640" spans="1:24">
      <c r="A640">
        <f>HYPERLINK("https://www.philgeps.gov.ph/GEPSNONPILOT/Tender/SplashBidNoticeAbstractUI.aspx?menuIndex=3&amp;refID=7194625&amp;Result=3","7194625")</f>
        <v>0</v>
      </c>
      <c r="B640" t="s">
        <v>314</v>
      </c>
      <c r="C640" t="s">
        <v>4493</v>
      </c>
      <c r="D640" t="s">
        <v>19052</v>
      </c>
      <c r="E640" t="s">
        <v>19695</v>
      </c>
      <c r="F640" t="s">
        <v>32606</v>
      </c>
      <c r="G640" t="s">
        <v>32613</v>
      </c>
      <c r="H640" t="s">
        <v>32623</v>
      </c>
      <c r="I640" t="s">
        <v>17648</v>
      </c>
      <c r="J640" t="s">
        <v>32821</v>
      </c>
      <c r="K640" t="s">
        <v>42624</v>
      </c>
      <c r="M640" t="s">
        <v>43216</v>
      </c>
      <c r="N640" t="s">
        <v>47304</v>
      </c>
      <c r="O640" t="s">
        <v>47305</v>
      </c>
      <c r="P640">
        <v>0</v>
      </c>
      <c r="Q640">
        <v>0</v>
      </c>
      <c r="R640" t="s">
        <v>47306</v>
      </c>
      <c r="S640" t="s">
        <v>47414</v>
      </c>
      <c r="T640" t="s">
        <v>48976</v>
      </c>
      <c r="U640" t="s">
        <v>50143</v>
      </c>
      <c r="W640" t="s">
        <v>43216</v>
      </c>
      <c r="X640" t="s">
        <v>47308</v>
      </c>
    </row>
    <row r="641" spans="1:24">
      <c r="A641">
        <f>HYPERLINK("https://www.philgeps.gov.ph/GEPSNONPILOT/Tender/SplashBidNoticeAbstractUI.aspx?menuIndex=3&amp;refID=7194796&amp;Result=3","7194796")</f>
        <v>0</v>
      </c>
      <c r="B641" t="s">
        <v>339</v>
      </c>
      <c r="C641" t="s">
        <v>4494</v>
      </c>
      <c r="D641" t="s">
        <v>19024</v>
      </c>
      <c r="E641" t="s">
        <v>19696</v>
      </c>
      <c r="F641" t="s">
        <v>32606</v>
      </c>
      <c r="G641" t="s">
        <v>32613</v>
      </c>
      <c r="H641" t="s">
        <v>14201</v>
      </c>
      <c r="I641" t="s">
        <v>4678</v>
      </c>
      <c r="J641" t="s">
        <v>33270</v>
      </c>
      <c r="K641" t="s">
        <v>42624</v>
      </c>
      <c r="M641" t="s">
        <v>43241</v>
      </c>
      <c r="N641" t="s">
        <v>47304</v>
      </c>
      <c r="O641" t="s">
        <v>47305</v>
      </c>
      <c r="P641">
        <v>0</v>
      </c>
      <c r="Q641">
        <v>5</v>
      </c>
      <c r="R641" t="s">
        <v>47306</v>
      </c>
      <c r="S641" t="s">
        <v>47414</v>
      </c>
      <c r="T641" t="s">
        <v>49088</v>
      </c>
      <c r="U641" t="s">
        <v>50144</v>
      </c>
      <c r="W641" t="s">
        <v>43241</v>
      </c>
      <c r="X641" t="s">
        <v>47308</v>
      </c>
    </row>
    <row r="642" spans="1:24">
      <c r="A642">
        <f>HYPERLINK("https://www.philgeps.gov.ph/GEPSNONPILOT/Tender/SplashBidNoticeAbstractUI.aspx?menuIndex=3&amp;refID=7194799&amp;Result=3","7194799")</f>
        <v>0</v>
      </c>
      <c r="B642" t="s">
        <v>340</v>
      </c>
      <c r="C642" t="s">
        <v>4495</v>
      </c>
      <c r="D642" t="s">
        <v>19029</v>
      </c>
      <c r="E642" t="s">
        <v>19697</v>
      </c>
      <c r="F642" t="s">
        <v>32606</v>
      </c>
      <c r="G642" t="s">
        <v>32619</v>
      </c>
      <c r="H642" t="s">
        <v>14201</v>
      </c>
      <c r="I642" t="s">
        <v>32640</v>
      </c>
      <c r="J642" t="s">
        <v>32782</v>
      </c>
      <c r="K642" t="s">
        <v>42624</v>
      </c>
      <c r="M642" t="s">
        <v>43242</v>
      </c>
      <c r="N642" t="s">
        <v>47304</v>
      </c>
      <c r="O642" t="s">
        <v>47305</v>
      </c>
      <c r="P642">
        <v>0</v>
      </c>
      <c r="Q642">
        <v>1</v>
      </c>
      <c r="R642" t="s">
        <v>47306</v>
      </c>
      <c r="S642" t="s">
        <v>47414</v>
      </c>
      <c r="T642" t="s">
        <v>49068</v>
      </c>
      <c r="U642" t="s">
        <v>50145</v>
      </c>
      <c r="V642" t="s">
        <v>62727</v>
      </c>
      <c r="W642" t="s">
        <v>43242</v>
      </c>
      <c r="X642" t="s">
        <v>47308</v>
      </c>
    </row>
    <row r="643" spans="1:24">
      <c r="A643">
        <f>HYPERLINK("https://www.philgeps.gov.ph/GEPSNONPILOT/Tender/SplashBidNoticeAbstractUI.aspx?menuIndex=3&amp;refID=7194795&amp;Result=3","7194795")</f>
        <v>0</v>
      </c>
      <c r="B643" t="s">
        <v>341</v>
      </c>
      <c r="C643" t="s">
        <v>4496</v>
      </c>
      <c r="D643" t="s">
        <v>19030</v>
      </c>
      <c r="E643" t="s">
        <v>19698</v>
      </c>
      <c r="F643" t="s">
        <v>32606</v>
      </c>
      <c r="G643" t="s">
        <v>32614</v>
      </c>
      <c r="H643" t="s">
        <v>14201</v>
      </c>
      <c r="I643" t="s">
        <v>4112</v>
      </c>
      <c r="J643" t="s">
        <v>33271</v>
      </c>
      <c r="K643" t="s">
        <v>42631</v>
      </c>
      <c r="M643" t="s">
        <v>43243</v>
      </c>
      <c r="N643" t="s">
        <v>47304</v>
      </c>
      <c r="O643" t="s">
        <v>47305</v>
      </c>
      <c r="P643">
        <v>0</v>
      </c>
      <c r="Q643">
        <v>0</v>
      </c>
      <c r="R643" t="s">
        <v>47306</v>
      </c>
      <c r="S643" t="s">
        <v>47414</v>
      </c>
      <c r="T643" t="s">
        <v>49061</v>
      </c>
      <c r="U643" t="s">
        <v>50146</v>
      </c>
      <c r="W643" t="s">
        <v>64429</v>
      </c>
      <c r="X643" t="s">
        <v>47308</v>
      </c>
    </row>
    <row r="644" spans="1:24">
      <c r="A644">
        <f>HYPERLINK("https://www.philgeps.gov.ph/GEPSNONPILOT/Tender/SplashBidNoticeAbstractUI.aspx?menuIndex=3&amp;refID=7194603&amp;Result=3","7194603")</f>
        <v>0</v>
      </c>
      <c r="B644" t="s">
        <v>342</v>
      </c>
      <c r="C644" t="s">
        <v>4497</v>
      </c>
      <c r="D644" t="s">
        <v>19039</v>
      </c>
      <c r="E644" t="s">
        <v>19699</v>
      </c>
      <c r="F644" t="s">
        <v>32606</v>
      </c>
      <c r="G644" t="s">
        <v>32614</v>
      </c>
      <c r="H644" t="s">
        <v>14201</v>
      </c>
      <c r="I644" t="s">
        <v>8606</v>
      </c>
      <c r="J644" t="s">
        <v>33272</v>
      </c>
      <c r="K644" t="s">
        <v>42624</v>
      </c>
      <c r="M644" t="s">
        <v>43244</v>
      </c>
      <c r="N644" t="s">
        <v>47304</v>
      </c>
      <c r="O644" t="s">
        <v>47305</v>
      </c>
      <c r="P644">
        <v>0</v>
      </c>
      <c r="Q644">
        <v>0</v>
      </c>
      <c r="R644" t="s">
        <v>47306</v>
      </c>
      <c r="S644" t="s">
        <v>47414</v>
      </c>
      <c r="T644" t="s">
        <v>48997</v>
      </c>
      <c r="U644" t="s">
        <v>50147</v>
      </c>
      <c r="W644" t="s">
        <v>43244</v>
      </c>
      <c r="X644" t="s">
        <v>47308</v>
      </c>
    </row>
    <row r="645" spans="1:24">
      <c r="A645">
        <f>HYPERLINK("https://www.philgeps.gov.ph/GEPSNONPILOT/Tender/SplashBidNoticeAbstractUI.aspx?menuIndex=3&amp;refID=7194783&amp;Result=3","7194783")</f>
        <v>0</v>
      </c>
      <c r="B645" t="s">
        <v>343</v>
      </c>
      <c r="C645" t="s">
        <v>4498</v>
      </c>
      <c r="D645" t="s">
        <v>18993</v>
      </c>
      <c r="E645" t="s">
        <v>4498</v>
      </c>
      <c r="F645" t="s">
        <v>32606</v>
      </c>
      <c r="G645" t="s">
        <v>32613</v>
      </c>
      <c r="H645" t="s">
        <v>14201</v>
      </c>
      <c r="I645" t="s">
        <v>4112</v>
      </c>
      <c r="J645" t="s">
        <v>33273</v>
      </c>
      <c r="K645" t="s">
        <v>42624</v>
      </c>
      <c r="M645" t="s">
        <v>43245</v>
      </c>
      <c r="N645" t="s">
        <v>47304</v>
      </c>
      <c r="O645" t="s">
        <v>47305</v>
      </c>
      <c r="P645">
        <v>0</v>
      </c>
      <c r="Q645">
        <v>0</v>
      </c>
      <c r="R645" t="s">
        <v>47306</v>
      </c>
      <c r="S645" t="s">
        <v>47414</v>
      </c>
      <c r="T645" t="s">
        <v>49009</v>
      </c>
      <c r="U645" t="s">
        <v>50148</v>
      </c>
      <c r="W645" t="s">
        <v>43245</v>
      </c>
      <c r="X645" t="s">
        <v>47308</v>
      </c>
    </row>
    <row r="646" spans="1:24">
      <c r="A646">
        <f>HYPERLINK("https://www.philgeps.gov.ph/GEPSNONPILOT/Tender/SplashBidNoticeAbstractUI.aspx?menuIndex=3&amp;refID=7194739&amp;Result=3","7194739")</f>
        <v>0</v>
      </c>
      <c r="B646" t="s">
        <v>58</v>
      </c>
      <c r="C646" t="s">
        <v>4499</v>
      </c>
      <c r="D646" t="s">
        <v>19011</v>
      </c>
      <c r="E646" t="s">
        <v>19700</v>
      </c>
      <c r="F646" t="s">
        <v>32606</v>
      </c>
      <c r="G646" t="s">
        <v>32614</v>
      </c>
      <c r="H646" t="s">
        <v>14201</v>
      </c>
      <c r="I646" t="s">
        <v>32633</v>
      </c>
      <c r="J646" t="s">
        <v>33274</v>
      </c>
      <c r="K646" t="s">
        <v>42624</v>
      </c>
      <c r="M646" t="s">
        <v>42955</v>
      </c>
      <c r="N646" t="s">
        <v>47304</v>
      </c>
      <c r="O646" t="s">
        <v>47305</v>
      </c>
      <c r="P646">
        <v>0</v>
      </c>
      <c r="Q646">
        <v>5</v>
      </c>
      <c r="R646" t="s">
        <v>47306</v>
      </c>
      <c r="S646" t="s">
        <v>47414</v>
      </c>
      <c r="T646" t="s">
        <v>48979</v>
      </c>
      <c r="U646" t="s">
        <v>50149</v>
      </c>
      <c r="W646" t="s">
        <v>42955</v>
      </c>
      <c r="X646" t="s">
        <v>47308</v>
      </c>
    </row>
    <row r="647" spans="1:24">
      <c r="A647">
        <f>HYPERLINK("https://www.philgeps.gov.ph/GEPSNONPILOT/Tender/SplashBidNoticeAbstractUI.aspx?menuIndex=3&amp;refID=7194781&amp;Result=3","7194781")</f>
        <v>0</v>
      </c>
      <c r="B647" t="s">
        <v>238</v>
      </c>
      <c r="C647" t="s">
        <v>4500</v>
      </c>
      <c r="D647" t="s">
        <v>18993</v>
      </c>
      <c r="E647" t="s">
        <v>19701</v>
      </c>
      <c r="F647" t="s">
        <v>32606</v>
      </c>
      <c r="G647" t="s">
        <v>32619</v>
      </c>
      <c r="H647" t="s">
        <v>14201</v>
      </c>
      <c r="I647" t="s">
        <v>4114</v>
      </c>
      <c r="J647" t="s">
        <v>33275</v>
      </c>
      <c r="K647" t="s">
        <v>42622</v>
      </c>
      <c r="M647" t="s">
        <v>43194</v>
      </c>
      <c r="N647" t="s">
        <v>47304</v>
      </c>
      <c r="O647" t="s">
        <v>47305</v>
      </c>
      <c r="P647">
        <v>0</v>
      </c>
      <c r="Q647">
        <v>3</v>
      </c>
      <c r="R647" t="s">
        <v>47306</v>
      </c>
      <c r="S647" t="s">
        <v>47414</v>
      </c>
      <c r="T647" t="s">
        <v>49070</v>
      </c>
      <c r="U647" t="s">
        <v>50120</v>
      </c>
      <c r="V647" t="s">
        <v>62716</v>
      </c>
      <c r="W647" t="s">
        <v>43194</v>
      </c>
      <c r="X647" t="s">
        <v>47308</v>
      </c>
    </row>
    <row r="648" spans="1:24">
      <c r="A648">
        <f>HYPERLINK("https://www.philgeps.gov.ph/GEPSNONPILOT/Tender/SplashBidNoticeAbstractUI.aspx?menuIndex=3&amp;refID=7194804&amp;Result=3","7194804")</f>
        <v>0</v>
      </c>
      <c r="B648" t="s">
        <v>344</v>
      </c>
      <c r="C648" t="s">
        <v>4501</v>
      </c>
      <c r="D648" t="s">
        <v>19002</v>
      </c>
      <c r="E648" t="s">
        <v>19702</v>
      </c>
      <c r="F648" t="s">
        <v>32606</v>
      </c>
      <c r="G648" t="s">
        <v>32614</v>
      </c>
      <c r="H648" t="s">
        <v>14201</v>
      </c>
      <c r="I648" t="s">
        <v>32676</v>
      </c>
      <c r="J648" t="s">
        <v>33276</v>
      </c>
      <c r="K648" t="s">
        <v>42622</v>
      </c>
      <c r="M648" t="s">
        <v>43246</v>
      </c>
      <c r="N648" t="s">
        <v>47304</v>
      </c>
      <c r="O648" t="s">
        <v>47305</v>
      </c>
      <c r="P648">
        <v>0</v>
      </c>
      <c r="Q648">
        <v>0</v>
      </c>
      <c r="R648" t="s">
        <v>47306</v>
      </c>
      <c r="S648" t="s">
        <v>47414</v>
      </c>
      <c r="T648" t="s">
        <v>48996</v>
      </c>
      <c r="U648" t="s">
        <v>50150</v>
      </c>
      <c r="W648" t="s">
        <v>43246</v>
      </c>
      <c r="X648" t="s">
        <v>47308</v>
      </c>
    </row>
    <row r="649" spans="1:24">
      <c r="A649">
        <f>HYPERLINK("https://www.philgeps.gov.ph/GEPSNONPILOT/Tender/SplashBidNoticeAbstractUI.aspx?menuIndex=3&amp;refID=7194802&amp;Result=3","7194802")</f>
        <v>0</v>
      </c>
      <c r="B649" t="s">
        <v>345</v>
      </c>
      <c r="C649" t="s">
        <v>4502</v>
      </c>
      <c r="D649" t="s">
        <v>19024</v>
      </c>
      <c r="E649" t="s">
        <v>19561</v>
      </c>
      <c r="F649" t="s">
        <v>32606</v>
      </c>
      <c r="G649" t="s">
        <v>32615</v>
      </c>
      <c r="H649" t="s">
        <v>14201</v>
      </c>
      <c r="I649" t="s">
        <v>6931</v>
      </c>
      <c r="J649" t="s">
        <v>33277</v>
      </c>
      <c r="K649" t="s">
        <v>42631</v>
      </c>
      <c r="M649" t="s">
        <v>43247</v>
      </c>
      <c r="N649" t="s">
        <v>47304</v>
      </c>
      <c r="O649" t="s">
        <v>47305</v>
      </c>
      <c r="P649">
        <v>0</v>
      </c>
      <c r="Q649">
        <v>0</v>
      </c>
      <c r="R649" t="s">
        <v>47306</v>
      </c>
      <c r="S649" t="s">
        <v>47414</v>
      </c>
      <c r="T649" t="s">
        <v>49052</v>
      </c>
      <c r="U649" t="s">
        <v>50151</v>
      </c>
      <c r="W649" t="s">
        <v>43247</v>
      </c>
      <c r="X649" t="s">
        <v>47308</v>
      </c>
    </row>
    <row r="650" spans="1:24">
      <c r="A650">
        <f>HYPERLINK("https://www.philgeps.gov.ph/GEPSNONPILOT/Tender/SplashBidNoticeAbstractUI.aspx?menuIndex=3&amp;refID=7194801&amp;Result=3","7194801")</f>
        <v>0</v>
      </c>
      <c r="B650" t="s">
        <v>346</v>
      </c>
      <c r="C650" t="s">
        <v>4503</v>
      </c>
      <c r="D650" t="s">
        <v>19044</v>
      </c>
      <c r="E650" t="s">
        <v>19703</v>
      </c>
      <c r="F650" t="s">
        <v>32606</v>
      </c>
      <c r="G650" t="s">
        <v>32613</v>
      </c>
      <c r="H650" t="s">
        <v>14201</v>
      </c>
      <c r="I650" t="s">
        <v>6931</v>
      </c>
      <c r="J650" t="s">
        <v>33278</v>
      </c>
      <c r="K650" t="s">
        <v>42631</v>
      </c>
      <c r="M650" t="s">
        <v>43248</v>
      </c>
      <c r="N650" t="s">
        <v>47304</v>
      </c>
      <c r="O650" t="s">
        <v>47305</v>
      </c>
      <c r="P650">
        <v>0</v>
      </c>
      <c r="Q650">
        <v>0</v>
      </c>
      <c r="R650" t="s">
        <v>47306</v>
      </c>
      <c r="S650" t="s">
        <v>47414</v>
      </c>
      <c r="T650" t="s">
        <v>49080</v>
      </c>
      <c r="U650" t="s">
        <v>50152</v>
      </c>
      <c r="W650" t="s">
        <v>43248</v>
      </c>
      <c r="X650" t="s">
        <v>47308</v>
      </c>
    </row>
    <row r="651" spans="1:24">
      <c r="A651">
        <f>HYPERLINK("https://www.philgeps.gov.ph/GEPSNONPILOT/Tender/SplashBidNoticeAbstractUI.aspx?menuIndex=3&amp;refID=7194791&amp;Result=3","7194791")</f>
        <v>0</v>
      </c>
      <c r="B651" t="s">
        <v>81</v>
      </c>
      <c r="C651" t="s">
        <v>4459</v>
      </c>
      <c r="D651" t="s">
        <v>18995</v>
      </c>
      <c r="E651" t="s">
        <v>19704</v>
      </c>
      <c r="F651" t="s">
        <v>32606</v>
      </c>
      <c r="G651" t="s">
        <v>32614</v>
      </c>
      <c r="H651" t="s">
        <v>14201</v>
      </c>
      <c r="I651" t="s">
        <v>4112</v>
      </c>
      <c r="J651" t="s">
        <v>33221</v>
      </c>
      <c r="K651" t="s">
        <v>42624</v>
      </c>
      <c r="M651" t="s">
        <v>42978</v>
      </c>
      <c r="N651" t="s">
        <v>47304</v>
      </c>
      <c r="O651" t="s">
        <v>47305</v>
      </c>
      <c r="P651">
        <v>0</v>
      </c>
      <c r="Q651">
        <v>0</v>
      </c>
      <c r="R651" t="s">
        <v>47306</v>
      </c>
      <c r="S651" t="s">
        <v>47414</v>
      </c>
      <c r="T651" t="s">
        <v>49014</v>
      </c>
      <c r="U651" t="s">
        <v>50153</v>
      </c>
      <c r="W651" t="s">
        <v>42978</v>
      </c>
      <c r="X651" t="s">
        <v>47308</v>
      </c>
    </row>
    <row r="652" spans="1:24">
      <c r="A652">
        <f>HYPERLINK("https://www.philgeps.gov.ph/GEPSNONPILOT/Tender/SplashBidNoticeAbstractUI.aspx?menuIndex=3&amp;refID=7194790&amp;Result=3","7194790")</f>
        <v>0</v>
      </c>
      <c r="B652" t="s">
        <v>240</v>
      </c>
      <c r="C652" t="s">
        <v>4504</v>
      </c>
      <c r="D652" t="s">
        <v>19019</v>
      </c>
      <c r="E652" t="s">
        <v>19705</v>
      </c>
      <c r="F652" t="s">
        <v>32606</v>
      </c>
      <c r="G652" t="s">
        <v>32619</v>
      </c>
      <c r="H652" t="s">
        <v>14201</v>
      </c>
      <c r="I652" t="s">
        <v>6298</v>
      </c>
      <c r="J652" t="s">
        <v>33279</v>
      </c>
      <c r="K652" t="s">
        <v>42625</v>
      </c>
      <c r="M652" t="s">
        <v>43141</v>
      </c>
      <c r="N652" t="s">
        <v>47304</v>
      </c>
      <c r="O652" t="s">
        <v>47305</v>
      </c>
      <c r="P652">
        <v>0</v>
      </c>
      <c r="Q652">
        <v>0</v>
      </c>
      <c r="R652" t="s">
        <v>47306</v>
      </c>
      <c r="S652" t="s">
        <v>47414</v>
      </c>
      <c r="T652" t="s">
        <v>49072</v>
      </c>
      <c r="U652" t="s">
        <v>50154</v>
      </c>
      <c r="W652" t="s">
        <v>43141</v>
      </c>
      <c r="X652" t="s">
        <v>47308</v>
      </c>
    </row>
    <row r="653" spans="1:24">
      <c r="A653">
        <f>HYPERLINK("https://www.philgeps.gov.ph/GEPSNONPILOT/Tender/SplashBidNoticeAbstractUI.aspx?menuIndex=3&amp;refID=7194789&amp;Result=3","7194789")</f>
        <v>0</v>
      </c>
      <c r="B653" t="s">
        <v>309</v>
      </c>
      <c r="C653" t="s">
        <v>4505</v>
      </c>
      <c r="D653" t="s">
        <v>18991</v>
      </c>
      <c r="E653" t="s">
        <v>19706</v>
      </c>
      <c r="F653" t="s">
        <v>32606</v>
      </c>
      <c r="G653" t="s">
        <v>32613</v>
      </c>
      <c r="H653" t="s">
        <v>32623</v>
      </c>
      <c r="I653" t="s">
        <v>17648</v>
      </c>
      <c r="J653" t="s">
        <v>32821</v>
      </c>
      <c r="K653" t="s">
        <v>42682</v>
      </c>
      <c r="M653" t="s">
        <v>43211</v>
      </c>
      <c r="N653" t="s">
        <v>47304</v>
      </c>
      <c r="O653" t="s">
        <v>47305</v>
      </c>
      <c r="P653">
        <v>0</v>
      </c>
      <c r="Q653">
        <v>1</v>
      </c>
      <c r="R653" t="s">
        <v>47306</v>
      </c>
      <c r="S653" t="s">
        <v>47414</v>
      </c>
      <c r="T653" t="s">
        <v>49074</v>
      </c>
      <c r="U653" t="s">
        <v>50155</v>
      </c>
      <c r="W653" t="s">
        <v>43211</v>
      </c>
      <c r="X653" t="s">
        <v>47308</v>
      </c>
    </row>
    <row r="654" spans="1:24">
      <c r="A654">
        <f>HYPERLINK("https://www.philgeps.gov.ph/GEPSNONPILOT/Tender/SplashBidNoticeAbstractUI.aspx?menuIndex=3&amp;refID=7194788&amp;Result=3","7194788")</f>
        <v>0</v>
      </c>
      <c r="B654" t="s">
        <v>275</v>
      </c>
      <c r="C654" t="s">
        <v>4506</v>
      </c>
      <c r="D654" t="s">
        <v>19011</v>
      </c>
      <c r="E654" t="s">
        <v>19707</v>
      </c>
      <c r="F654" t="s">
        <v>32606</v>
      </c>
      <c r="G654" t="s">
        <v>32614</v>
      </c>
      <c r="H654" t="s">
        <v>14201</v>
      </c>
      <c r="I654" t="s">
        <v>4114</v>
      </c>
      <c r="J654" t="s">
        <v>32995</v>
      </c>
      <c r="K654" t="s">
        <v>42629</v>
      </c>
      <c r="M654" t="s">
        <v>43176</v>
      </c>
      <c r="N654" t="s">
        <v>47304</v>
      </c>
      <c r="O654" t="s">
        <v>47305</v>
      </c>
      <c r="P654">
        <v>0</v>
      </c>
      <c r="Q654">
        <v>0</v>
      </c>
      <c r="R654" t="s">
        <v>47306</v>
      </c>
      <c r="S654" t="s">
        <v>47414</v>
      </c>
      <c r="T654" t="s">
        <v>49014</v>
      </c>
      <c r="U654" t="s">
        <v>50156</v>
      </c>
      <c r="V654" t="s">
        <v>62711</v>
      </c>
      <c r="W654" t="s">
        <v>43176</v>
      </c>
      <c r="X654" t="s">
        <v>47308</v>
      </c>
    </row>
    <row r="655" spans="1:24">
      <c r="A655">
        <f>HYPERLINK("https://www.philgeps.gov.ph/GEPSNONPILOT/Tender/SplashBidNoticeAbstractUI.aspx?menuIndex=3&amp;refID=7194792&amp;Result=3","7194792")</f>
        <v>0</v>
      </c>
      <c r="B655" t="s">
        <v>347</v>
      </c>
      <c r="C655" t="s">
        <v>4507</v>
      </c>
      <c r="D655" t="s">
        <v>19016</v>
      </c>
      <c r="E655" t="s">
        <v>19708</v>
      </c>
      <c r="F655" t="s">
        <v>32606</v>
      </c>
      <c r="G655" t="s">
        <v>32614</v>
      </c>
      <c r="H655" t="s">
        <v>14201</v>
      </c>
      <c r="I655" t="s">
        <v>6007</v>
      </c>
      <c r="J655" t="s">
        <v>33227</v>
      </c>
      <c r="K655" t="s">
        <v>42631</v>
      </c>
      <c r="M655" t="s">
        <v>43249</v>
      </c>
      <c r="N655" t="s">
        <v>47304</v>
      </c>
      <c r="O655" t="s">
        <v>47305</v>
      </c>
      <c r="P655">
        <v>0</v>
      </c>
      <c r="Q655">
        <v>2</v>
      </c>
      <c r="R655" t="s">
        <v>47306</v>
      </c>
      <c r="S655" t="s">
        <v>47414</v>
      </c>
      <c r="T655" t="s">
        <v>49089</v>
      </c>
      <c r="U655" t="s">
        <v>50157</v>
      </c>
      <c r="V655" t="s">
        <v>62728</v>
      </c>
      <c r="W655" t="s">
        <v>43249</v>
      </c>
      <c r="X655" t="s">
        <v>47308</v>
      </c>
    </row>
    <row r="656" spans="1:24">
      <c r="A656">
        <f>HYPERLINK("https://www.philgeps.gov.ph/GEPSNONPILOT/Tender/SplashBidNoticeAbstractUI.aspx?menuIndex=3&amp;refID=7194787&amp;Result=3","7194787")</f>
        <v>0</v>
      </c>
      <c r="B656" t="s">
        <v>348</v>
      </c>
      <c r="C656" t="s">
        <v>4508</v>
      </c>
      <c r="D656" t="s">
        <v>19058</v>
      </c>
      <c r="E656" t="s">
        <v>19709</v>
      </c>
      <c r="F656" t="s">
        <v>32606</v>
      </c>
      <c r="G656" t="s">
        <v>32619</v>
      </c>
      <c r="H656" t="s">
        <v>14201</v>
      </c>
      <c r="I656" t="s">
        <v>6931</v>
      </c>
      <c r="J656" t="s">
        <v>32765</v>
      </c>
      <c r="K656" t="s">
        <v>42630</v>
      </c>
      <c r="M656" t="s">
        <v>43250</v>
      </c>
      <c r="N656" t="s">
        <v>47304</v>
      </c>
      <c r="O656" t="s">
        <v>47305</v>
      </c>
      <c r="P656">
        <v>0</v>
      </c>
      <c r="Q656">
        <v>2</v>
      </c>
      <c r="R656" t="s">
        <v>47306</v>
      </c>
      <c r="S656" t="s">
        <v>47414</v>
      </c>
      <c r="T656" t="s">
        <v>48975</v>
      </c>
      <c r="U656" t="s">
        <v>50158</v>
      </c>
      <c r="W656" t="s">
        <v>43250</v>
      </c>
      <c r="X656" t="s">
        <v>47308</v>
      </c>
    </row>
    <row r="657" spans="1:24">
      <c r="A657">
        <f>HYPERLINK("https://www.philgeps.gov.ph/GEPSNONPILOT/Tender/SplashBidNoticeAbstractUI.aspx?menuIndex=3&amp;refID=7194785&amp;Result=3","7194785")</f>
        <v>0</v>
      </c>
      <c r="B657" t="s">
        <v>349</v>
      </c>
      <c r="C657" t="s">
        <v>4509</v>
      </c>
      <c r="D657" t="s">
        <v>19028</v>
      </c>
      <c r="E657" t="s">
        <v>19710</v>
      </c>
      <c r="F657" t="s">
        <v>32606</v>
      </c>
      <c r="G657" t="s">
        <v>32613</v>
      </c>
      <c r="H657" t="s">
        <v>14201</v>
      </c>
      <c r="I657" t="s">
        <v>32640</v>
      </c>
      <c r="J657" t="s">
        <v>33280</v>
      </c>
      <c r="K657" t="s">
        <v>42631</v>
      </c>
      <c r="M657" t="s">
        <v>43251</v>
      </c>
      <c r="N657" t="s">
        <v>47304</v>
      </c>
      <c r="O657" t="s">
        <v>47305</v>
      </c>
      <c r="P657">
        <v>0</v>
      </c>
      <c r="Q657">
        <v>8</v>
      </c>
      <c r="R657" t="s">
        <v>47306</v>
      </c>
      <c r="S657" t="s">
        <v>47414</v>
      </c>
      <c r="T657" t="s">
        <v>49008</v>
      </c>
      <c r="U657" t="s">
        <v>50159</v>
      </c>
      <c r="W657" t="s">
        <v>43251</v>
      </c>
      <c r="X657" t="s">
        <v>47308</v>
      </c>
    </row>
    <row r="658" spans="1:24">
      <c r="A658">
        <f>HYPERLINK("https://www.philgeps.gov.ph/GEPSNONPILOT/Tender/SplashBidNoticeAbstractUI.aspx?menuIndex=3&amp;refID=7194797&amp;Result=3","7194797")</f>
        <v>0</v>
      </c>
      <c r="B658" t="s">
        <v>350</v>
      </c>
      <c r="C658" t="s">
        <v>4510</v>
      </c>
      <c r="D658" t="s">
        <v>19057</v>
      </c>
      <c r="E658" t="s">
        <v>19711</v>
      </c>
      <c r="F658" t="s">
        <v>32606</v>
      </c>
      <c r="G658" t="s">
        <v>32613</v>
      </c>
      <c r="H658" t="s">
        <v>32623</v>
      </c>
      <c r="I658" t="s">
        <v>17648</v>
      </c>
      <c r="J658" t="s">
        <v>32767</v>
      </c>
      <c r="K658" t="s">
        <v>42683</v>
      </c>
      <c r="M658" t="s">
        <v>43252</v>
      </c>
      <c r="N658" t="s">
        <v>47304</v>
      </c>
      <c r="O658" t="s">
        <v>47305</v>
      </c>
      <c r="P658">
        <v>0</v>
      </c>
      <c r="Q658">
        <v>1</v>
      </c>
      <c r="R658" t="s">
        <v>47306</v>
      </c>
      <c r="S658" t="s">
        <v>47414</v>
      </c>
      <c r="T658" t="s">
        <v>49008</v>
      </c>
      <c r="U658" t="s">
        <v>50160</v>
      </c>
      <c r="W658" t="s">
        <v>43252</v>
      </c>
      <c r="X658" t="s">
        <v>47308</v>
      </c>
    </row>
    <row r="659" spans="1:24">
      <c r="A659">
        <f>HYPERLINK("https://www.philgeps.gov.ph/GEPSNONPILOT/Tender/SplashBidNoticeAbstractUI.aspx?menuIndex=3&amp;refID=7194794&amp;Result=3","7194794")</f>
        <v>0</v>
      </c>
      <c r="B659" t="s">
        <v>351</v>
      </c>
      <c r="C659" t="s">
        <v>4511</v>
      </c>
      <c r="D659" t="s">
        <v>19002</v>
      </c>
      <c r="E659" t="s">
        <v>19712</v>
      </c>
      <c r="F659" t="s">
        <v>32606</v>
      </c>
      <c r="G659" t="s">
        <v>32615</v>
      </c>
      <c r="H659" t="s">
        <v>14201</v>
      </c>
      <c r="I659" t="s">
        <v>6931</v>
      </c>
      <c r="J659" t="s">
        <v>33281</v>
      </c>
      <c r="K659" t="s">
        <v>42624</v>
      </c>
      <c r="M659" t="s">
        <v>43253</v>
      </c>
      <c r="N659" t="s">
        <v>47304</v>
      </c>
      <c r="O659" t="s">
        <v>47305</v>
      </c>
      <c r="P659">
        <v>0</v>
      </c>
      <c r="Q659">
        <v>0</v>
      </c>
      <c r="R659" t="s">
        <v>47306</v>
      </c>
      <c r="S659" t="s">
        <v>47414</v>
      </c>
      <c r="T659" t="s">
        <v>49004</v>
      </c>
      <c r="U659" t="s">
        <v>50161</v>
      </c>
      <c r="W659" t="s">
        <v>43253</v>
      </c>
      <c r="X659" t="s">
        <v>47308</v>
      </c>
    </row>
    <row r="660" spans="1:24">
      <c r="A660">
        <f>HYPERLINK("https://www.philgeps.gov.ph/GEPSNONPILOT/Tender/SplashBidNoticeAbstractUI.aspx?menuIndex=3&amp;refID=7194807&amp;Result=3","7194807")</f>
        <v>0</v>
      </c>
      <c r="B660" t="s">
        <v>280</v>
      </c>
      <c r="C660" t="s">
        <v>4385</v>
      </c>
      <c r="D660" t="s">
        <v>19028</v>
      </c>
      <c r="E660" t="s">
        <v>19713</v>
      </c>
      <c r="F660" t="s">
        <v>32607</v>
      </c>
      <c r="G660" t="s">
        <v>32614</v>
      </c>
      <c r="H660" t="s">
        <v>14201</v>
      </c>
      <c r="I660" t="s">
        <v>6298</v>
      </c>
      <c r="J660" t="s">
        <v>33282</v>
      </c>
      <c r="K660" t="s">
        <v>42623</v>
      </c>
      <c r="M660" t="s">
        <v>43181</v>
      </c>
      <c r="N660" t="s">
        <v>47304</v>
      </c>
      <c r="O660" t="s">
        <v>47305</v>
      </c>
      <c r="P660">
        <v>0</v>
      </c>
      <c r="Q660">
        <v>0</v>
      </c>
      <c r="R660" t="s">
        <v>47306</v>
      </c>
      <c r="S660" t="s">
        <v>47414</v>
      </c>
      <c r="T660" t="s">
        <v>49002</v>
      </c>
      <c r="U660" t="s">
        <v>50162</v>
      </c>
      <c r="W660" t="s">
        <v>43181</v>
      </c>
      <c r="X660" t="s">
        <v>47308</v>
      </c>
    </row>
    <row r="661" spans="1:24">
      <c r="A661">
        <f>HYPERLINK("https://www.philgeps.gov.ph/GEPSNONPILOT/Tender/SplashBidNoticeAbstractUI.aspx?menuIndex=3&amp;refID=7194803&amp;Result=3","7194803")</f>
        <v>0</v>
      </c>
      <c r="B661" t="s">
        <v>58</v>
      </c>
      <c r="C661" t="s">
        <v>4512</v>
      </c>
      <c r="D661" t="s">
        <v>19011</v>
      </c>
      <c r="E661" t="s">
        <v>19714</v>
      </c>
      <c r="F661" t="s">
        <v>32606</v>
      </c>
      <c r="G661" t="s">
        <v>32614</v>
      </c>
      <c r="H661" t="s">
        <v>14201</v>
      </c>
      <c r="I661" t="s">
        <v>13131</v>
      </c>
      <c r="J661" t="s">
        <v>32923</v>
      </c>
      <c r="K661" t="s">
        <v>42624</v>
      </c>
      <c r="M661" t="s">
        <v>42955</v>
      </c>
      <c r="N661" t="s">
        <v>47304</v>
      </c>
      <c r="O661" t="s">
        <v>47305</v>
      </c>
      <c r="P661">
        <v>0</v>
      </c>
      <c r="Q661">
        <v>1</v>
      </c>
      <c r="R661" t="s">
        <v>47306</v>
      </c>
      <c r="S661" t="s">
        <v>47414</v>
      </c>
      <c r="T661" t="s">
        <v>48979</v>
      </c>
      <c r="U661" t="s">
        <v>50163</v>
      </c>
      <c r="W661" t="s">
        <v>42955</v>
      </c>
      <c r="X661" t="s">
        <v>47308</v>
      </c>
    </row>
    <row r="662" spans="1:24">
      <c r="A662">
        <f>HYPERLINK("https://www.philgeps.gov.ph/GEPSNONPILOT/Tender/SplashBidNoticeAbstractUI.aspx?menuIndex=3&amp;refID=7194820&amp;Result=3","7194820")</f>
        <v>0</v>
      </c>
      <c r="B662" t="s">
        <v>280</v>
      </c>
      <c r="C662" t="s">
        <v>4385</v>
      </c>
      <c r="D662" t="s">
        <v>19028</v>
      </c>
      <c r="E662" t="s">
        <v>19715</v>
      </c>
      <c r="F662" t="s">
        <v>32607</v>
      </c>
      <c r="G662" t="s">
        <v>32614</v>
      </c>
      <c r="H662" t="s">
        <v>14201</v>
      </c>
      <c r="I662" t="s">
        <v>6298</v>
      </c>
      <c r="J662" t="s">
        <v>33283</v>
      </c>
      <c r="K662" t="s">
        <v>42623</v>
      </c>
      <c r="M662" t="s">
        <v>43181</v>
      </c>
      <c r="N662" t="s">
        <v>47304</v>
      </c>
      <c r="O662" t="s">
        <v>47305</v>
      </c>
      <c r="P662">
        <v>0</v>
      </c>
      <c r="Q662">
        <v>0</v>
      </c>
      <c r="R662" t="s">
        <v>47306</v>
      </c>
      <c r="S662" t="s">
        <v>47414</v>
      </c>
      <c r="T662" t="s">
        <v>49002</v>
      </c>
      <c r="U662" t="s">
        <v>50164</v>
      </c>
      <c r="W662" t="s">
        <v>43181</v>
      </c>
      <c r="X662" t="s">
        <v>47308</v>
      </c>
    </row>
    <row r="663" spans="1:24">
      <c r="A663">
        <f>HYPERLINK("https://www.philgeps.gov.ph/GEPSNONPILOT/Tender/SplashBidNoticeAbstractUI.aspx?menuIndex=3&amp;refID=7194819&amp;Result=3","7194819")</f>
        <v>0</v>
      </c>
      <c r="B663" t="s">
        <v>352</v>
      </c>
      <c r="C663" t="s">
        <v>4513</v>
      </c>
      <c r="E663" t="s">
        <v>19716</v>
      </c>
      <c r="F663" t="s">
        <v>32606</v>
      </c>
      <c r="G663" t="s">
        <v>32614</v>
      </c>
      <c r="H663" t="s">
        <v>14201</v>
      </c>
      <c r="I663" t="s">
        <v>32633</v>
      </c>
      <c r="J663" t="s">
        <v>33284</v>
      </c>
      <c r="K663" t="s">
        <v>42624</v>
      </c>
      <c r="M663" t="s">
        <v>43254</v>
      </c>
      <c r="N663" t="s">
        <v>47304</v>
      </c>
      <c r="O663" t="s">
        <v>47305</v>
      </c>
      <c r="P663">
        <v>0</v>
      </c>
      <c r="Q663">
        <v>7</v>
      </c>
      <c r="R663" t="s">
        <v>47306</v>
      </c>
      <c r="S663" t="s">
        <v>47414</v>
      </c>
      <c r="T663" t="s">
        <v>49004</v>
      </c>
      <c r="U663" t="s">
        <v>50165</v>
      </c>
      <c r="W663" t="s">
        <v>43254</v>
      </c>
      <c r="X663" t="s">
        <v>47308</v>
      </c>
    </row>
    <row r="664" spans="1:24">
      <c r="A664">
        <f>HYPERLINK("https://www.philgeps.gov.ph/GEPSNONPILOT/Tender/SplashBidNoticeAbstractUI.aspx?menuIndex=3&amp;refID=7194668&amp;Result=3","7194668")</f>
        <v>0</v>
      </c>
      <c r="B664" t="s">
        <v>273</v>
      </c>
      <c r="C664" t="s">
        <v>4514</v>
      </c>
      <c r="D664" t="s">
        <v>19037</v>
      </c>
      <c r="E664" t="s">
        <v>19717</v>
      </c>
      <c r="F664" t="s">
        <v>32606</v>
      </c>
      <c r="G664" t="s">
        <v>32614</v>
      </c>
      <c r="H664" t="s">
        <v>14201</v>
      </c>
      <c r="I664" t="s">
        <v>32677</v>
      </c>
      <c r="J664" t="s">
        <v>33285</v>
      </c>
      <c r="K664" t="s">
        <v>42623</v>
      </c>
      <c r="M664" t="s">
        <v>43174</v>
      </c>
      <c r="N664" t="s">
        <v>47304</v>
      </c>
      <c r="O664" t="s">
        <v>47305</v>
      </c>
      <c r="P664">
        <v>0</v>
      </c>
      <c r="Q664">
        <v>4</v>
      </c>
      <c r="R664" t="s">
        <v>47306</v>
      </c>
      <c r="S664" t="s">
        <v>47414</v>
      </c>
      <c r="T664" t="s">
        <v>48987</v>
      </c>
      <c r="U664" t="s">
        <v>50011</v>
      </c>
      <c r="W664" t="s">
        <v>43174</v>
      </c>
      <c r="X664" t="s">
        <v>47308</v>
      </c>
    </row>
    <row r="665" spans="1:24">
      <c r="A665">
        <f>HYPERLINK("https://www.philgeps.gov.ph/GEPSNONPILOT/Tender/SplashBidNoticeAbstractUI.aspx?menuIndex=3&amp;refID=7194818&amp;Result=3","7194818")</f>
        <v>0</v>
      </c>
      <c r="B665" t="s">
        <v>277</v>
      </c>
      <c r="C665" t="s">
        <v>4515</v>
      </c>
      <c r="D665" t="s">
        <v>19014</v>
      </c>
      <c r="E665" t="s">
        <v>19718</v>
      </c>
      <c r="F665" t="s">
        <v>32606</v>
      </c>
      <c r="G665" t="s">
        <v>32617</v>
      </c>
      <c r="H665" t="s">
        <v>14201</v>
      </c>
      <c r="I665" t="s">
        <v>32633</v>
      </c>
      <c r="J665" t="s">
        <v>33286</v>
      </c>
      <c r="K665" t="s">
        <v>42624</v>
      </c>
      <c r="M665" t="s">
        <v>43178</v>
      </c>
      <c r="N665" t="s">
        <v>47304</v>
      </c>
      <c r="O665" t="s">
        <v>47305</v>
      </c>
      <c r="P665">
        <v>0</v>
      </c>
      <c r="Q665">
        <v>5</v>
      </c>
      <c r="R665" t="s">
        <v>47306</v>
      </c>
      <c r="S665" t="s">
        <v>47414</v>
      </c>
      <c r="T665" t="s">
        <v>49050</v>
      </c>
      <c r="U665" t="s">
        <v>50166</v>
      </c>
      <c r="W665" t="s">
        <v>64426</v>
      </c>
      <c r="X665" t="s">
        <v>47308</v>
      </c>
    </row>
    <row r="666" spans="1:24">
      <c r="A666">
        <f>HYPERLINK("https://www.philgeps.gov.ph/GEPSNONPILOT/Tender/SplashBidNoticeAbstractUI.aspx?menuIndex=3&amp;refID=7194816&amp;Result=3","7194816")</f>
        <v>0</v>
      </c>
      <c r="B666" t="s">
        <v>353</v>
      </c>
      <c r="C666" t="s">
        <v>4516</v>
      </c>
      <c r="D666" t="s">
        <v>19012</v>
      </c>
      <c r="E666" t="s">
        <v>19719</v>
      </c>
      <c r="F666" t="s">
        <v>32606</v>
      </c>
      <c r="G666" t="s">
        <v>32614</v>
      </c>
      <c r="H666" t="s">
        <v>14201</v>
      </c>
      <c r="I666" t="s">
        <v>32650</v>
      </c>
      <c r="J666" t="s">
        <v>33287</v>
      </c>
      <c r="K666" t="s">
        <v>42631</v>
      </c>
      <c r="M666" t="s">
        <v>43255</v>
      </c>
      <c r="N666" t="s">
        <v>47304</v>
      </c>
      <c r="O666" t="s">
        <v>47305</v>
      </c>
      <c r="P666">
        <v>0</v>
      </c>
      <c r="Q666">
        <v>0</v>
      </c>
      <c r="R666" t="s">
        <v>47306</v>
      </c>
      <c r="S666" t="s">
        <v>47414</v>
      </c>
      <c r="T666" t="s">
        <v>49014</v>
      </c>
      <c r="U666" t="s">
        <v>50167</v>
      </c>
      <c r="W666" t="s">
        <v>43255</v>
      </c>
      <c r="X666" t="s">
        <v>47308</v>
      </c>
    </row>
    <row r="667" spans="1:24">
      <c r="A667">
        <f>HYPERLINK("https://www.philgeps.gov.ph/GEPSNONPILOT/Tender/SplashBidNoticeAbstractUI.aspx?menuIndex=3&amp;refID=7194815&amp;Result=3","7194815")</f>
        <v>0</v>
      </c>
      <c r="B667" t="s">
        <v>149</v>
      </c>
      <c r="C667" t="s">
        <v>4517</v>
      </c>
      <c r="D667" t="s">
        <v>19034</v>
      </c>
      <c r="E667" t="s">
        <v>19720</v>
      </c>
      <c r="F667" t="s">
        <v>32606</v>
      </c>
      <c r="G667" t="s">
        <v>32613</v>
      </c>
      <c r="H667" t="s">
        <v>14201</v>
      </c>
      <c r="I667" t="s">
        <v>7577</v>
      </c>
      <c r="J667" t="s">
        <v>33288</v>
      </c>
      <c r="K667" t="s">
        <v>42631</v>
      </c>
      <c r="M667" t="s">
        <v>43050</v>
      </c>
      <c r="N667" t="s">
        <v>47304</v>
      </c>
      <c r="O667" t="s">
        <v>47305</v>
      </c>
      <c r="P667">
        <v>0</v>
      </c>
      <c r="Q667">
        <v>2</v>
      </c>
      <c r="R667" t="s">
        <v>47306</v>
      </c>
      <c r="S667" t="s">
        <v>47414</v>
      </c>
      <c r="T667" t="s">
        <v>48986</v>
      </c>
      <c r="U667" t="s">
        <v>50168</v>
      </c>
      <c r="W667" t="s">
        <v>43050</v>
      </c>
      <c r="X667" t="s">
        <v>47308</v>
      </c>
    </row>
    <row r="668" spans="1:24">
      <c r="A668">
        <f>HYPERLINK("https://www.philgeps.gov.ph/GEPSNONPILOT/Tender/SplashBidNoticeAbstractUI.aspx?menuIndex=3&amp;refID=7194814&amp;Result=3","7194814")</f>
        <v>0</v>
      </c>
      <c r="B668" t="s">
        <v>81</v>
      </c>
      <c r="C668" t="s">
        <v>4459</v>
      </c>
      <c r="D668" t="s">
        <v>18995</v>
      </c>
      <c r="E668" t="s">
        <v>19721</v>
      </c>
      <c r="F668" t="s">
        <v>32606</v>
      </c>
      <c r="G668" t="s">
        <v>32614</v>
      </c>
      <c r="H668" t="s">
        <v>14201</v>
      </c>
      <c r="I668" t="s">
        <v>4112</v>
      </c>
      <c r="J668" t="s">
        <v>33289</v>
      </c>
      <c r="K668" t="s">
        <v>42624</v>
      </c>
      <c r="M668" t="s">
        <v>42978</v>
      </c>
      <c r="N668" t="s">
        <v>47304</v>
      </c>
      <c r="O668" t="s">
        <v>47305</v>
      </c>
      <c r="P668">
        <v>0</v>
      </c>
      <c r="Q668">
        <v>0</v>
      </c>
      <c r="R668" t="s">
        <v>47306</v>
      </c>
      <c r="S668" t="s">
        <v>47414</v>
      </c>
      <c r="T668" t="s">
        <v>49014</v>
      </c>
      <c r="U668" t="s">
        <v>50169</v>
      </c>
      <c r="W668" t="s">
        <v>42978</v>
      </c>
      <c r="X668" t="s">
        <v>47308</v>
      </c>
    </row>
    <row r="669" spans="1:24">
      <c r="A669">
        <f>HYPERLINK("https://www.philgeps.gov.ph/GEPSNONPILOT/Tender/SplashBidNoticeAbstractUI.aspx?menuIndex=3&amp;refID=7194813&amp;Result=3","7194813")</f>
        <v>0</v>
      </c>
      <c r="B669" t="s">
        <v>211</v>
      </c>
      <c r="C669" t="s">
        <v>4463</v>
      </c>
      <c r="D669" t="s">
        <v>19007</v>
      </c>
      <c r="E669" t="s">
        <v>19722</v>
      </c>
      <c r="F669" t="s">
        <v>32606</v>
      </c>
      <c r="G669" t="s">
        <v>32614</v>
      </c>
      <c r="H669" t="s">
        <v>14201</v>
      </c>
      <c r="I669" t="s">
        <v>4112</v>
      </c>
      <c r="J669" t="s">
        <v>33290</v>
      </c>
      <c r="K669" t="s">
        <v>42624</v>
      </c>
      <c r="M669" t="s">
        <v>43112</v>
      </c>
      <c r="N669" t="s">
        <v>47304</v>
      </c>
      <c r="O669" t="s">
        <v>47305</v>
      </c>
      <c r="P669">
        <v>0</v>
      </c>
      <c r="Q669">
        <v>1</v>
      </c>
      <c r="R669" t="s">
        <v>47306</v>
      </c>
      <c r="S669" t="s">
        <v>47414</v>
      </c>
      <c r="T669" t="s">
        <v>49061</v>
      </c>
      <c r="U669" t="s">
        <v>50112</v>
      </c>
      <c r="W669" t="s">
        <v>43112</v>
      </c>
      <c r="X669" t="s">
        <v>47308</v>
      </c>
    </row>
    <row r="670" spans="1:24">
      <c r="A670">
        <f>HYPERLINK("https://www.philgeps.gov.ph/GEPSNONPILOT/Tender/SplashBidNoticeAbstractUI.aspx?menuIndex=3&amp;refID=7194828&amp;Result=3","7194828")</f>
        <v>0</v>
      </c>
      <c r="B670" t="s">
        <v>58</v>
      </c>
      <c r="C670" t="s">
        <v>4518</v>
      </c>
      <c r="D670" t="s">
        <v>19011</v>
      </c>
      <c r="E670" t="s">
        <v>19723</v>
      </c>
      <c r="F670" t="s">
        <v>32606</v>
      </c>
      <c r="G670" t="s">
        <v>32614</v>
      </c>
      <c r="H670" t="s">
        <v>14201</v>
      </c>
      <c r="I670" t="s">
        <v>4114</v>
      </c>
      <c r="J670" t="s">
        <v>33291</v>
      </c>
      <c r="K670" t="s">
        <v>42624</v>
      </c>
      <c r="M670" t="s">
        <v>42955</v>
      </c>
      <c r="N670" t="s">
        <v>47304</v>
      </c>
      <c r="O670" t="s">
        <v>47305</v>
      </c>
      <c r="P670">
        <v>0</v>
      </c>
      <c r="Q670">
        <v>0</v>
      </c>
      <c r="R670" t="s">
        <v>47306</v>
      </c>
      <c r="S670" t="s">
        <v>47414</v>
      </c>
      <c r="T670" t="s">
        <v>48979</v>
      </c>
      <c r="U670" t="s">
        <v>50170</v>
      </c>
      <c r="W670" t="s">
        <v>42955</v>
      </c>
      <c r="X670" t="s">
        <v>47308</v>
      </c>
    </row>
    <row r="671" spans="1:24">
      <c r="A671">
        <f>HYPERLINK("https://www.philgeps.gov.ph/GEPSNONPILOT/Tender/SplashBidNoticeAbstractUI.aspx?menuIndex=3&amp;refID=7194827&amp;Result=3","7194827")</f>
        <v>0</v>
      </c>
      <c r="B671" t="s">
        <v>280</v>
      </c>
      <c r="C671" t="s">
        <v>4385</v>
      </c>
      <c r="D671" t="s">
        <v>19028</v>
      </c>
      <c r="E671" t="s">
        <v>19724</v>
      </c>
      <c r="F671" t="s">
        <v>32607</v>
      </c>
      <c r="G671" t="s">
        <v>32614</v>
      </c>
      <c r="H671" t="s">
        <v>14201</v>
      </c>
      <c r="I671" t="s">
        <v>6298</v>
      </c>
      <c r="J671" t="s">
        <v>33292</v>
      </c>
      <c r="K671" t="s">
        <v>42623</v>
      </c>
      <c r="M671" t="s">
        <v>43181</v>
      </c>
      <c r="N671" t="s">
        <v>47304</v>
      </c>
      <c r="O671" t="s">
        <v>47305</v>
      </c>
      <c r="P671">
        <v>0</v>
      </c>
      <c r="Q671">
        <v>0</v>
      </c>
      <c r="R671" t="s">
        <v>47306</v>
      </c>
      <c r="S671" t="s">
        <v>47414</v>
      </c>
      <c r="T671" t="s">
        <v>49002</v>
      </c>
      <c r="U671" t="s">
        <v>50171</v>
      </c>
      <c r="W671" t="s">
        <v>43181</v>
      </c>
      <c r="X671" t="s">
        <v>47308</v>
      </c>
    </row>
    <row r="672" spans="1:24">
      <c r="A672">
        <f>HYPERLINK("https://www.philgeps.gov.ph/GEPSNONPILOT/Tender/SplashBidNoticeAbstractUI.aspx?menuIndex=3&amp;refID=7194826&amp;Result=3","7194826")</f>
        <v>0</v>
      </c>
      <c r="B672" t="s">
        <v>260</v>
      </c>
      <c r="C672" t="s">
        <v>4519</v>
      </c>
      <c r="D672" t="s">
        <v>19030</v>
      </c>
      <c r="E672" t="s">
        <v>19725</v>
      </c>
      <c r="F672" t="s">
        <v>32606</v>
      </c>
      <c r="G672" t="s">
        <v>32614</v>
      </c>
      <c r="H672" t="s">
        <v>14201</v>
      </c>
      <c r="I672" t="s">
        <v>4678</v>
      </c>
      <c r="J672" t="s">
        <v>33293</v>
      </c>
      <c r="K672" t="s">
        <v>42623</v>
      </c>
      <c r="M672" t="s">
        <v>43161</v>
      </c>
      <c r="N672" t="s">
        <v>47304</v>
      </c>
      <c r="O672" t="s">
        <v>47305</v>
      </c>
      <c r="P672">
        <v>0</v>
      </c>
      <c r="Q672">
        <v>0</v>
      </c>
      <c r="R672" t="s">
        <v>47306</v>
      </c>
      <c r="S672" t="s">
        <v>47414</v>
      </c>
      <c r="T672" t="s">
        <v>48997</v>
      </c>
      <c r="U672" t="s">
        <v>50172</v>
      </c>
      <c r="W672" t="s">
        <v>43161</v>
      </c>
      <c r="X672" t="s">
        <v>47308</v>
      </c>
    </row>
    <row r="673" spans="1:24">
      <c r="A673">
        <f>HYPERLINK("https://www.philgeps.gov.ph/GEPSNONPILOT/Tender/SplashBidNoticeAbstractUI.aspx?menuIndex=3&amp;refID=7194817&amp;Result=3","7194817")</f>
        <v>0</v>
      </c>
      <c r="B673" t="s">
        <v>238</v>
      </c>
      <c r="C673" t="s">
        <v>4520</v>
      </c>
      <c r="D673" t="s">
        <v>18993</v>
      </c>
      <c r="E673" t="s">
        <v>19726</v>
      </c>
      <c r="F673" t="s">
        <v>32606</v>
      </c>
      <c r="G673" t="s">
        <v>32619</v>
      </c>
      <c r="H673" t="s">
        <v>14201</v>
      </c>
      <c r="I673" t="s">
        <v>4114</v>
      </c>
      <c r="J673" t="s">
        <v>33294</v>
      </c>
      <c r="K673" t="s">
        <v>42622</v>
      </c>
      <c r="M673" t="s">
        <v>43194</v>
      </c>
      <c r="N673" t="s">
        <v>47304</v>
      </c>
      <c r="O673" t="s">
        <v>47305</v>
      </c>
      <c r="P673">
        <v>0</v>
      </c>
      <c r="Q673">
        <v>0</v>
      </c>
      <c r="R673" t="s">
        <v>47306</v>
      </c>
      <c r="S673" t="s">
        <v>47414</v>
      </c>
      <c r="T673" t="s">
        <v>49070</v>
      </c>
      <c r="U673" t="s">
        <v>50120</v>
      </c>
      <c r="V673" t="s">
        <v>62716</v>
      </c>
      <c r="W673" t="s">
        <v>43194</v>
      </c>
      <c r="X673" t="s">
        <v>47308</v>
      </c>
    </row>
    <row r="674" spans="1:24">
      <c r="A674">
        <f>HYPERLINK("https://www.philgeps.gov.ph/GEPSNONPILOT/Tender/SplashBidNoticeAbstractUI.aspx?menuIndex=3&amp;refID=7194806&amp;Result=3","7194806")</f>
        <v>0</v>
      </c>
      <c r="B674" t="s">
        <v>327</v>
      </c>
      <c r="C674" t="s">
        <v>4521</v>
      </c>
      <c r="D674" t="s">
        <v>19037</v>
      </c>
      <c r="E674" t="s">
        <v>19727</v>
      </c>
      <c r="F674" t="s">
        <v>32606</v>
      </c>
      <c r="G674" t="s">
        <v>32614</v>
      </c>
      <c r="H674" t="s">
        <v>14201</v>
      </c>
      <c r="I674" t="s">
        <v>4114</v>
      </c>
      <c r="J674" t="s">
        <v>33295</v>
      </c>
      <c r="K674" t="s">
        <v>42630</v>
      </c>
      <c r="M674" t="s">
        <v>43229</v>
      </c>
      <c r="N674" t="s">
        <v>47304</v>
      </c>
      <c r="O674" t="s">
        <v>47305</v>
      </c>
      <c r="P674">
        <v>0</v>
      </c>
      <c r="Q674">
        <v>0</v>
      </c>
      <c r="R674" t="s">
        <v>47306</v>
      </c>
      <c r="S674" t="s">
        <v>47414</v>
      </c>
      <c r="T674" t="s">
        <v>49002</v>
      </c>
      <c r="U674" t="s">
        <v>50173</v>
      </c>
      <c r="V674" t="s">
        <v>62724</v>
      </c>
      <c r="W674" t="s">
        <v>43229</v>
      </c>
      <c r="X674" t="s">
        <v>47308</v>
      </c>
    </row>
    <row r="675" spans="1:24">
      <c r="A675">
        <f>HYPERLINK("https://www.philgeps.gov.ph/GEPSNONPILOT/Tender/SplashBidNoticeAbstractUI.aspx?menuIndex=3&amp;refID=7194823&amp;Result=3","7194823")</f>
        <v>0</v>
      </c>
      <c r="B675" t="s">
        <v>207</v>
      </c>
      <c r="C675" t="s">
        <v>4522</v>
      </c>
      <c r="D675" t="s">
        <v>19047</v>
      </c>
      <c r="E675" t="s">
        <v>19728</v>
      </c>
      <c r="F675" t="s">
        <v>32606</v>
      </c>
      <c r="G675" t="s">
        <v>32613</v>
      </c>
      <c r="H675" t="s">
        <v>14201</v>
      </c>
      <c r="I675" t="s">
        <v>32633</v>
      </c>
      <c r="J675" t="s">
        <v>33296</v>
      </c>
      <c r="K675" t="s">
        <v>42630</v>
      </c>
      <c r="M675" t="s">
        <v>43108</v>
      </c>
      <c r="N675" t="s">
        <v>47304</v>
      </c>
      <c r="O675" t="s">
        <v>47305</v>
      </c>
      <c r="P675">
        <v>0</v>
      </c>
      <c r="Q675">
        <v>7</v>
      </c>
      <c r="R675" t="s">
        <v>47306</v>
      </c>
      <c r="S675" t="s">
        <v>47414</v>
      </c>
      <c r="T675" t="s">
        <v>49080</v>
      </c>
      <c r="U675" t="s">
        <v>49912</v>
      </c>
      <c r="V675" t="s">
        <v>62695</v>
      </c>
      <c r="W675" t="s">
        <v>43108</v>
      </c>
      <c r="X675" t="s">
        <v>47308</v>
      </c>
    </row>
    <row r="676" spans="1:24">
      <c r="A676">
        <f>HYPERLINK("https://www.philgeps.gov.ph/GEPSNONPILOT/Tender/SplashBidNoticeAbstractUI.aspx?menuIndex=3&amp;refID=7194833&amp;Result=3","7194833")</f>
        <v>0</v>
      </c>
      <c r="B676" t="s">
        <v>354</v>
      </c>
      <c r="C676" t="s">
        <v>4523</v>
      </c>
      <c r="D676" t="s">
        <v>19005</v>
      </c>
      <c r="E676" t="s">
        <v>19729</v>
      </c>
      <c r="F676" t="s">
        <v>32606</v>
      </c>
      <c r="G676" t="s">
        <v>32613</v>
      </c>
      <c r="H676" t="s">
        <v>14201</v>
      </c>
      <c r="I676" t="s">
        <v>6931</v>
      </c>
      <c r="J676" t="s">
        <v>33297</v>
      </c>
      <c r="K676" t="s">
        <v>42622</v>
      </c>
      <c r="M676" t="s">
        <v>43256</v>
      </c>
      <c r="N676" t="s">
        <v>47304</v>
      </c>
      <c r="O676" t="s">
        <v>47305</v>
      </c>
      <c r="P676">
        <v>0</v>
      </c>
      <c r="Q676">
        <v>1</v>
      </c>
      <c r="R676" t="s">
        <v>47306</v>
      </c>
      <c r="S676" t="s">
        <v>47414</v>
      </c>
      <c r="T676" t="s">
        <v>49090</v>
      </c>
      <c r="U676" t="s">
        <v>50174</v>
      </c>
      <c r="W676" t="s">
        <v>43256</v>
      </c>
      <c r="X676" t="s">
        <v>47308</v>
      </c>
    </row>
    <row r="677" spans="1:24">
      <c r="A677">
        <f>HYPERLINK("https://www.philgeps.gov.ph/GEPSNONPILOT/Tender/SplashBidNoticeAbstractUI.aspx?menuIndex=3&amp;refID=7194832&amp;Result=3","7194832")</f>
        <v>0</v>
      </c>
      <c r="B677" t="s">
        <v>355</v>
      </c>
      <c r="C677" t="s">
        <v>4524</v>
      </c>
      <c r="D677" t="s">
        <v>19021</v>
      </c>
      <c r="E677" t="s">
        <v>19730</v>
      </c>
      <c r="F677" t="s">
        <v>32606</v>
      </c>
      <c r="G677" t="s">
        <v>32620</v>
      </c>
      <c r="H677" t="s">
        <v>32625</v>
      </c>
      <c r="I677" t="s">
        <v>32625</v>
      </c>
      <c r="J677" t="s">
        <v>32772</v>
      </c>
      <c r="K677" t="s">
        <v>42648</v>
      </c>
      <c r="M677" t="s">
        <v>43257</v>
      </c>
      <c r="N677" t="s">
        <v>47304</v>
      </c>
      <c r="O677" t="s">
        <v>47305</v>
      </c>
      <c r="P677">
        <v>0</v>
      </c>
      <c r="Q677">
        <v>1</v>
      </c>
      <c r="R677" t="s">
        <v>47306</v>
      </c>
      <c r="S677" t="s">
        <v>47414</v>
      </c>
      <c r="T677" t="s">
        <v>48987</v>
      </c>
      <c r="U677" t="s">
        <v>50175</v>
      </c>
      <c r="W677" t="s">
        <v>43257</v>
      </c>
      <c r="X677" t="s">
        <v>47308</v>
      </c>
    </row>
    <row r="678" spans="1:24">
      <c r="A678">
        <f>HYPERLINK("https://www.philgeps.gov.ph/GEPSNONPILOT/Tender/SplashBidNoticeAbstractUI.aspx?menuIndex=3&amp;refID=7194831&amp;Result=3","7194831")</f>
        <v>0</v>
      </c>
      <c r="B678" t="s">
        <v>238</v>
      </c>
      <c r="C678" t="s">
        <v>4525</v>
      </c>
      <c r="D678" t="s">
        <v>18993</v>
      </c>
      <c r="E678" t="s">
        <v>19731</v>
      </c>
      <c r="F678" t="s">
        <v>32606</v>
      </c>
      <c r="G678" t="s">
        <v>32619</v>
      </c>
      <c r="H678" t="s">
        <v>14201</v>
      </c>
      <c r="I678" t="s">
        <v>4114</v>
      </c>
      <c r="J678" t="s">
        <v>33298</v>
      </c>
      <c r="K678" t="s">
        <v>42622</v>
      </c>
      <c r="M678" t="s">
        <v>43194</v>
      </c>
      <c r="N678" t="s">
        <v>47304</v>
      </c>
      <c r="O678" t="s">
        <v>47305</v>
      </c>
      <c r="P678">
        <v>0</v>
      </c>
      <c r="Q678">
        <v>0</v>
      </c>
      <c r="R678" t="s">
        <v>47306</v>
      </c>
      <c r="S678" t="s">
        <v>47414</v>
      </c>
      <c r="T678" t="s">
        <v>49070</v>
      </c>
      <c r="U678" t="s">
        <v>50120</v>
      </c>
      <c r="V678" t="s">
        <v>62716</v>
      </c>
      <c r="W678" t="s">
        <v>43194</v>
      </c>
      <c r="X678" t="s">
        <v>47308</v>
      </c>
    </row>
    <row r="679" spans="1:24">
      <c r="A679">
        <f>HYPERLINK("https://www.philgeps.gov.ph/GEPSNONPILOT/Tender/SplashBidNoticeAbstractUI.aspx?menuIndex=3&amp;refID=7194825&amp;Result=3","7194825")</f>
        <v>0</v>
      </c>
      <c r="B679" t="s">
        <v>337</v>
      </c>
      <c r="C679" t="s">
        <v>4526</v>
      </c>
      <c r="D679" t="s">
        <v>19039</v>
      </c>
      <c r="E679" t="s">
        <v>19732</v>
      </c>
      <c r="F679" t="s">
        <v>32606</v>
      </c>
      <c r="G679" t="s">
        <v>32619</v>
      </c>
      <c r="H679" t="s">
        <v>14201</v>
      </c>
      <c r="I679" t="s">
        <v>4678</v>
      </c>
      <c r="J679" t="s">
        <v>33299</v>
      </c>
      <c r="K679" t="s">
        <v>42622</v>
      </c>
      <c r="M679" t="s">
        <v>43239</v>
      </c>
      <c r="N679" t="s">
        <v>47304</v>
      </c>
      <c r="O679" t="s">
        <v>47305</v>
      </c>
      <c r="P679">
        <v>0</v>
      </c>
      <c r="Q679">
        <v>0</v>
      </c>
      <c r="R679" t="s">
        <v>47306</v>
      </c>
      <c r="S679" t="s">
        <v>47414</v>
      </c>
      <c r="T679" t="s">
        <v>49091</v>
      </c>
      <c r="U679" t="s">
        <v>50176</v>
      </c>
      <c r="W679" t="s">
        <v>43239</v>
      </c>
      <c r="X679" t="s">
        <v>47308</v>
      </c>
    </row>
    <row r="680" spans="1:24">
      <c r="A680">
        <f>HYPERLINK("https://www.philgeps.gov.ph/GEPSNONPILOT/Tender/SplashBidNoticeAbstractUI.aspx?menuIndex=3&amp;refID=7194849&amp;Result=3","7194849")</f>
        <v>0</v>
      </c>
      <c r="B680" t="s">
        <v>219</v>
      </c>
      <c r="C680" t="s">
        <v>4527</v>
      </c>
      <c r="D680" t="s">
        <v>19050</v>
      </c>
      <c r="E680" t="s">
        <v>19733</v>
      </c>
      <c r="F680" t="s">
        <v>32606</v>
      </c>
      <c r="G680" t="s">
        <v>32613</v>
      </c>
      <c r="H680" t="s">
        <v>14201</v>
      </c>
      <c r="I680" t="s">
        <v>6014</v>
      </c>
      <c r="J680" t="s">
        <v>33300</v>
      </c>
      <c r="K680" t="s">
        <v>42636</v>
      </c>
      <c r="M680" t="s">
        <v>43120</v>
      </c>
      <c r="N680" t="s">
        <v>47304</v>
      </c>
      <c r="O680" t="s">
        <v>47305</v>
      </c>
      <c r="P680">
        <v>0</v>
      </c>
      <c r="Q680">
        <v>0</v>
      </c>
      <c r="R680" t="s">
        <v>47306</v>
      </c>
      <c r="S680" t="s">
        <v>47414</v>
      </c>
      <c r="T680" t="s">
        <v>49066</v>
      </c>
      <c r="U680" t="s">
        <v>50177</v>
      </c>
      <c r="W680" t="s">
        <v>43120</v>
      </c>
      <c r="X680" t="s">
        <v>47308</v>
      </c>
    </row>
    <row r="681" spans="1:24">
      <c r="A681">
        <f>HYPERLINK("https://www.philgeps.gov.ph/GEPSNONPILOT/Tender/SplashBidNoticeAbstractUI.aspx?menuIndex=3&amp;refID=7194848&amp;Result=3","7194848")</f>
        <v>0</v>
      </c>
      <c r="B681" t="s">
        <v>356</v>
      </c>
      <c r="C681" t="s">
        <v>4528</v>
      </c>
      <c r="D681" t="s">
        <v>19014</v>
      </c>
      <c r="E681" t="s">
        <v>19734</v>
      </c>
      <c r="F681" t="s">
        <v>32606</v>
      </c>
      <c r="G681" t="s">
        <v>32613</v>
      </c>
      <c r="H681" t="s">
        <v>14201</v>
      </c>
      <c r="I681" t="s">
        <v>6931</v>
      </c>
      <c r="J681" t="s">
        <v>33301</v>
      </c>
      <c r="K681" t="s">
        <v>42631</v>
      </c>
      <c r="M681" t="s">
        <v>43258</v>
      </c>
      <c r="N681" t="s">
        <v>47304</v>
      </c>
      <c r="O681" t="s">
        <v>47305</v>
      </c>
      <c r="P681">
        <v>0</v>
      </c>
      <c r="Q681">
        <v>10</v>
      </c>
      <c r="R681" t="s">
        <v>47306</v>
      </c>
      <c r="S681" t="s">
        <v>47414</v>
      </c>
      <c r="T681" t="s">
        <v>49092</v>
      </c>
      <c r="U681" t="s">
        <v>50178</v>
      </c>
      <c r="W681" t="s">
        <v>43258</v>
      </c>
      <c r="X681" t="s">
        <v>47308</v>
      </c>
    </row>
    <row r="682" spans="1:24">
      <c r="A682">
        <f>HYPERLINK("https://www.philgeps.gov.ph/GEPSNONPILOT/Tender/SplashBidNoticeAbstractUI.aspx?menuIndex=3&amp;refID=7194805&amp;Result=3","7194805")</f>
        <v>0</v>
      </c>
      <c r="B682" t="s">
        <v>307</v>
      </c>
      <c r="C682" t="s">
        <v>4529</v>
      </c>
      <c r="D682" t="s">
        <v>19016</v>
      </c>
      <c r="E682" t="s">
        <v>19735</v>
      </c>
      <c r="F682" t="s">
        <v>32606</v>
      </c>
      <c r="G682" t="s">
        <v>32619</v>
      </c>
      <c r="H682" t="s">
        <v>14201</v>
      </c>
      <c r="I682" t="s">
        <v>32633</v>
      </c>
      <c r="J682" t="s">
        <v>33302</v>
      </c>
      <c r="K682" t="s">
        <v>42623</v>
      </c>
      <c r="M682" t="s">
        <v>43209</v>
      </c>
      <c r="N682" t="s">
        <v>47304</v>
      </c>
      <c r="O682" t="s">
        <v>47305</v>
      </c>
      <c r="P682">
        <v>0</v>
      </c>
      <c r="Q682">
        <v>4</v>
      </c>
      <c r="R682" t="s">
        <v>47306</v>
      </c>
      <c r="S682" t="s">
        <v>47414</v>
      </c>
      <c r="T682" t="s">
        <v>48979</v>
      </c>
      <c r="U682" t="s">
        <v>50179</v>
      </c>
      <c r="W682" t="s">
        <v>43209</v>
      </c>
      <c r="X682" t="s">
        <v>47308</v>
      </c>
    </row>
    <row r="683" spans="1:24">
      <c r="A683">
        <f>HYPERLINK("https://www.philgeps.gov.ph/GEPSNONPILOT/Tender/SplashBidNoticeAbstractUI.aspx?menuIndex=3&amp;refID=7194847&amp;Result=3","7194847")</f>
        <v>0</v>
      </c>
      <c r="B683" t="s">
        <v>357</v>
      </c>
      <c r="C683" t="s">
        <v>4530</v>
      </c>
      <c r="D683" t="s">
        <v>19010</v>
      </c>
      <c r="E683" t="s">
        <v>19736</v>
      </c>
      <c r="F683" t="s">
        <v>32606</v>
      </c>
      <c r="G683" t="s">
        <v>32613</v>
      </c>
      <c r="H683" t="s">
        <v>32623</v>
      </c>
      <c r="I683" t="s">
        <v>32649</v>
      </c>
      <c r="J683" t="s">
        <v>33303</v>
      </c>
      <c r="K683" t="s">
        <v>42646</v>
      </c>
      <c r="M683" t="s">
        <v>43259</v>
      </c>
      <c r="N683" t="s">
        <v>47304</v>
      </c>
      <c r="O683" t="s">
        <v>47305</v>
      </c>
      <c r="P683">
        <v>0</v>
      </c>
      <c r="Q683">
        <v>0</v>
      </c>
      <c r="R683" t="s">
        <v>47306</v>
      </c>
      <c r="S683" t="s">
        <v>47414</v>
      </c>
      <c r="T683" t="s">
        <v>49008</v>
      </c>
      <c r="U683" t="s">
        <v>50180</v>
      </c>
      <c r="V683" t="s">
        <v>62729</v>
      </c>
      <c r="W683" t="s">
        <v>43259</v>
      </c>
      <c r="X683" t="s">
        <v>47308</v>
      </c>
    </row>
    <row r="684" spans="1:24">
      <c r="A684">
        <f>HYPERLINK("https://www.philgeps.gov.ph/GEPSNONPILOT/Tender/SplashBidNoticeAbstractUI.aspx?menuIndex=3&amp;refID=7194846&amp;Result=3","7194846")</f>
        <v>0</v>
      </c>
      <c r="B684" t="s">
        <v>280</v>
      </c>
      <c r="C684" t="s">
        <v>4385</v>
      </c>
      <c r="D684" t="s">
        <v>19028</v>
      </c>
      <c r="E684" t="s">
        <v>19737</v>
      </c>
      <c r="F684" t="s">
        <v>32607</v>
      </c>
      <c r="G684" t="s">
        <v>32614</v>
      </c>
      <c r="H684" t="s">
        <v>14201</v>
      </c>
      <c r="I684" t="s">
        <v>6298</v>
      </c>
      <c r="J684" t="s">
        <v>33304</v>
      </c>
      <c r="K684" t="s">
        <v>42623</v>
      </c>
      <c r="M684" t="s">
        <v>43181</v>
      </c>
      <c r="N684" t="s">
        <v>47304</v>
      </c>
      <c r="O684" t="s">
        <v>47305</v>
      </c>
      <c r="P684">
        <v>0</v>
      </c>
      <c r="Q684">
        <v>0</v>
      </c>
      <c r="R684" t="s">
        <v>47306</v>
      </c>
      <c r="S684" t="s">
        <v>47414</v>
      </c>
      <c r="T684" t="s">
        <v>49002</v>
      </c>
      <c r="U684" t="s">
        <v>50181</v>
      </c>
      <c r="W684" t="s">
        <v>43181</v>
      </c>
      <c r="X684" t="s">
        <v>47308</v>
      </c>
    </row>
    <row r="685" spans="1:24">
      <c r="A685">
        <f>HYPERLINK("https://www.philgeps.gov.ph/GEPSNONPILOT/Tender/SplashBidNoticeAbstractUI.aspx?menuIndex=3&amp;refID=7194852&amp;Result=3","7194852")</f>
        <v>0</v>
      </c>
      <c r="B685" t="s">
        <v>358</v>
      </c>
      <c r="C685" t="s">
        <v>4531</v>
      </c>
      <c r="D685" t="s">
        <v>19002</v>
      </c>
      <c r="E685" t="s">
        <v>19738</v>
      </c>
      <c r="F685" t="s">
        <v>32606</v>
      </c>
      <c r="G685" t="s">
        <v>32613</v>
      </c>
      <c r="H685" t="s">
        <v>14201</v>
      </c>
      <c r="I685" t="s">
        <v>6931</v>
      </c>
      <c r="J685" t="s">
        <v>33305</v>
      </c>
      <c r="K685" t="s">
        <v>42624</v>
      </c>
      <c r="M685" t="s">
        <v>43260</v>
      </c>
      <c r="N685" t="s">
        <v>47304</v>
      </c>
      <c r="O685" t="s">
        <v>47305</v>
      </c>
      <c r="P685">
        <v>0</v>
      </c>
      <c r="Q685">
        <v>0</v>
      </c>
      <c r="R685" t="s">
        <v>47306</v>
      </c>
      <c r="S685" t="s">
        <v>47414</v>
      </c>
      <c r="T685" t="s">
        <v>48977</v>
      </c>
      <c r="U685" t="s">
        <v>50182</v>
      </c>
      <c r="W685" t="s">
        <v>43260</v>
      </c>
      <c r="X685" t="s">
        <v>47308</v>
      </c>
    </row>
    <row r="686" spans="1:24">
      <c r="A686">
        <f>HYPERLINK("https://www.philgeps.gov.ph/GEPSNONPILOT/Tender/SplashBidNoticeAbstractUI.aspx?menuIndex=3&amp;refID=7194851&amp;Result=3","7194851")</f>
        <v>0</v>
      </c>
      <c r="B686" t="s">
        <v>359</v>
      </c>
      <c r="C686" t="s">
        <v>4532</v>
      </c>
      <c r="D686" t="s">
        <v>19027</v>
      </c>
      <c r="E686" t="s">
        <v>19232</v>
      </c>
      <c r="F686" t="s">
        <v>32606</v>
      </c>
      <c r="G686" t="s">
        <v>32614</v>
      </c>
      <c r="H686" t="s">
        <v>14201</v>
      </c>
      <c r="I686" t="s">
        <v>32629</v>
      </c>
      <c r="J686" t="s">
        <v>33306</v>
      </c>
      <c r="K686" t="s">
        <v>42629</v>
      </c>
      <c r="M686" t="s">
        <v>43261</v>
      </c>
      <c r="N686" t="s">
        <v>47304</v>
      </c>
      <c r="O686" t="s">
        <v>47305</v>
      </c>
      <c r="P686">
        <v>0</v>
      </c>
      <c r="Q686">
        <v>0</v>
      </c>
      <c r="R686" t="s">
        <v>47306</v>
      </c>
      <c r="S686" t="s">
        <v>47414</v>
      </c>
      <c r="T686" t="s">
        <v>49093</v>
      </c>
      <c r="U686" t="s">
        <v>50183</v>
      </c>
      <c r="W686" t="s">
        <v>43261</v>
      </c>
      <c r="X686" t="s">
        <v>47308</v>
      </c>
    </row>
    <row r="687" spans="1:24">
      <c r="A687">
        <f>HYPERLINK("https://www.philgeps.gov.ph/GEPSNONPILOT/Tender/SplashBidNoticeAbstractUI.aspx?menuIndex=3&amp;refID=7194845&amp;Result=3","7194845")</f>
        <v>0</v>
      </c>
      <c r="B687" t="s">
        <v>360</v>
      </c>
      <c r="C687" t="s">
        <v>4533</v>
      </c>
      <c r="D687" t="s">
        <v>19040</v>
      </c>
      <c r="E687" t="s">
        <v>19739</v>
      </c>
      <c r="F687" t="s">
        <v>32606</v>
      </c>
      <c r="G687" t="s">
        <v>32614</v>
      </c>
      <c r="H687" t="s">
        <v>14201</v>
      </c>
      <c r="I687" t="s">
        <v>4120</v>
      </c>
      <c r="J687" t="s">
        <v>33307</v>
      </c>
      <c r="K687" t="s">
        <v>42630</v>
      </c>
      <c r="M687" t="s">
        <v>43262</v>
      </c>
      <c r="N687" t="s">
        <v>47304</v>
      </c>
      <c r="O687" t="s">
        <v>47305</v>
      </c>
      <c r="P687">
        <v>0</v>
      </c>
      <c r="Q687">
        <v>3</v>
      </c>
      <c r="R687" t="s">
        <v>47306</v>
      </c>
      <c r="S687" t="s">
        <v>47414</v>
      </c>
      <c r="T687" t="s">
        <v>49050</v>
      </c>
      <c r="U687" t="s">
        <v>50184</v>
      </c>
      <c r="W687" t="s">
        <v>43262</v>
      </c>
      <c r="X687" t="s">
        <v>47308</v>
      </c>
    </row>
    <row r="688" spans="1:24">
      <c r="A688">
        <f>HYPERLINK("https://www.philgeps.gov.ph/GEPSNONPILOT/Tender/SplashBidNoticeAbstractUI.aspx?menuIndex=3&amp;refID=7194844&amp;Result=3","7194844")</f>
        <v>0</v>
      </c>
      <c r="B688" t="s">
        <v>361</v>
      </c>
      <c r="C688" t="s">
        <v>4534</v>
      </c>
      <c r="D688" t="s">
        <v>19051</v>
      </c>
      <c r="E688" t="s">
        <v>19740</v>
      </c>
      <c r="F688" t="s">
        <v>32606</v>
      </c>
      <c r="G688" t="s">
        <v>32614</v>
      </c>
      <c r="H688" t="s">
        <v>14201</v>
      </c>
      <c r="I688" t="s">
        <v>7677</v>
      </c>
      <c r="J688" t="s">
        <v>33302</v>
      </c>
      <c r="K688" t="s">
        <v>42631</v>
      </c>
      <c r="M688" t="s">
        <v>43263</v>
      </c>
      <c r="N688" t="s">
        <v>47304</v>
      </c>
      <c r="O688" t="s">
        <v>47305</v>
      </c>
      <c r="P688">
        <v>0</v>
      </c>
      <c r="Q688">
        <v>2</v>
      </c>
      <c r="R688" t="s">
        <v>47306</v>
      </c>
      <c r="S688" t="s">
        <v>47414</v>
      </c>
      <c r="T688" t="s">
        <v>48980</v>
      </c>
      <c r="U688" t="s">
        <v>50185</v>
      </c>
      <c r="W688" t="s">
        <v>43263</v>
      </c>
      <c r="X688" t="s">
        <v>47308</v>
      </c>
    </row>
    <row r="689" spans="1:24">
      <c r="A689">
        <f>HYPERLINK("https://www.philgeps.gov.ph/GEPSNONPILOT/Tender/SplashBidNoticeAbstractUI.aspx?menuIndex=3&amp;refID=7194812&amp;Result=3","7194812")</f>
        <v>0</v>
      </c>
      <c r="B689" t="s">
        <v>280</v>
      </c>
      <c r="C689" t="s">
        <v>4385</v>
      </c>
      <c r="D689" t="s">
        <v>19028</v>
      </c>
      <c r="E689" t="s">
        <v>19741</v>
      </c>
      <c r="F689" t="s">
        <v>32607</v>
      </c>
      <c r="G689" t="s">
        <v>32614</v>
      </c>
      <c r="H689" t="s">
        <v>14201</v>
      </c>
      <c r="I689" t="s">
        <v>6298</v>
      </c>
      <c r="J689" t="s">
        <v>33308</v>
      </c>
      <c r="K689" t="s">
        <v>42623</v>
      </c>
      <c r="M689" t="s">
        <v>43181</v>
      </c>
      <c r="N689" t="s">
        <v>47304</v>
      </c>
      <c r="O689" t="s">
        <v>47305</v>
      </c>
      <c r="P689">
        <v>0</v>
      </c>
      <c r="Q689">
        <v>0</v>
      </c>
      <c r="R689" t="s">
        <v>47306</v>
      </c>
      <c r="S689" t="s">
        <v>47414</v>
      </c>
      <c r="T689" t="s">
        <v>49002</v>
      </c>
      <c r="U689" t="s">
        <v>50186</v>
      </c>
      <c r="W689" t="s">
        <v>43181</v>
      </c>
      <c r="X689" t="s">
        <v>47308</v>
      </c>
    </row>
    <row r="690" spans="1:24">
      <c r="A690">
        <f>HYPERLINK("https://www.philgeps.gov.ph/GEPSNONPILOT/Tender/SplashBidNoticeAbstractUI.aspx?menuIndex=3&amp;refID=7194843&amp;Result=3","7194843")</f>
        <v>0</v>
      </c>
      <c r="B690" t="s">
        <v>362</v>
      </c>
      <c r="C690" t="s">
        <v>4535</v>
      </c>
      <c r="D690" t="s">
        <v>19023</v>
      </c>
      <c r="E690" t="s">
        <v>19742</v>
      </c>
      <c r="F690" t="s">
        <v>32606</v>
      </c>
      <c r="G690" t="s">
        <v>32613</v>
      </c>
      <c r="H690" t="s">
        <v>32623</v>
      </c>
      <c r="I690" t="s">
        <v>17648</v>
      </c>
      <c r="J690" t="s">
        <v>33309</v>
      </c>
      <c r="K690" t="s">
        <v>42645</v>
      </c>
      <c r="M690" t="s">
        <v>43264</v>
      </c>
      <c r="N690" t="s">
        <v>47304</v>
      </c>
      <c r="O690" t="s">
        <v>47305</v>
      </c>
      <c r="P690">
        <v>0</v>
      </c>
      <c r="Q690">
        <v>3</v>
      </c>
      <c r="R690" t="s">
        <v>47306</v>
      </c>
      <c r="S690" t="s">
        <v>47414</v>
      </c>
      <c r="T690" t="s">
        <v>49094</v>
      </c>
      <c r="U690" t="s">
        <v>50187</v>
      </c>
      <c r="W690" t="s">
        <v>43264</v>
      </c>
      <c r="X690" t="s">
        <v>47308</v>
      </c>
    </row>
    <row r="691" spans="1:24">
      <c r="A691">
        <f>HYPERLINK("https://www.philgeps.gov.ph/GEPSNONPILOT/Tender/SplashBidNoticeAbstractUI.aspx?menuIndex=3&amp;refID=7194842&amp;Result=3","7194842")</f>
        <v>0</v>
      </c>
      <c r="B691" t="s">
        <v>363</v>
      </c>
      <c r="C691" t="s">
        <v>4536</v>
      </c>
      <c r="D691" t="s">
        <v>18999</v>
      </c>
      <c r="E691" t="s">
        <v>19743</v>
      </c>
      <c r="F691" t="s">
        <v>32606</v>
      </c>
      <c r="G691" t="s">
        <v>32614</v>
      </c>
      <c r="H691" t="s">
        <v>14201</v>
      </c>
      <c r="I691" t="s">
        <v>6931</v>
      </c>
      <c r="J691" t="s">
        <v>32778</v>
      </c>
      <c r="K691" t="s">
        <v>42629</v>
      </c>
      <c r="M691" t="s">
        <v>43265</v>
      </c>
      <c r="N691" t="s">
        <v>47304</v>
      </c>
      <c r="O691" t="s">
        <v>47305</v>
      </c>
      <c r="P691">
        <v>0</v>
      </c>
      <c r="Q691">
        <v>1</v>
      </c>
      <c r="R691" t="s">
        <v>47306</v>
      </c>
      <c r="S691" t="s">
        <v>47414</v>
      </c>
      <c r="T691" t="s">
        <v>48979</v>
      </c>
      <c r="U691" t="s">
        <v>50188</v>
      </c>
      <c r="W691" t="s">
        <v>43265</v>
      </c>
      <c r="X691" t="s">
        <v>47308</v>
      </c>
    </row>
    <row r="692" spans="1:24">
      <c r="A692">
        <f>HYPERLINK("https://www.philgeps.gov.ph/GEPSNONPILOT/Tender/SplashBidNoticeAbstractUI.aspx?menuIndex=3&amp;refID=7194841&amp;Result=3","7194841")</f>
        <v>0</v>
      </c>
      <c r="B692" t="s">
        <v>341</v>
      </c>
      <c r="C692" t="s">
        <v>4537</v>
      </c>
      <c r="D692" t="s">
        <v>19030</v>
      </c>
      <c r="E692" t="s">
        <v>19744</v>
      </c>
      <c r="F692" t="s">
        <v>32606</v>
      </c>
      <c r="G692" t="s">
        <v>32614</v>
      </c>
      <c r="H692" t="s">
        <v>14201</v>
      </c>
      <c r="I692" t="s">
        <v>4112</v>
      </c>
      <c r="J692" t="s">
        <v>33310</v>
      </c>
      <c r="K692" t="s">
        <v>42631</v>
      </c>
      <c r="M692" t="s">
        <v>43243</v>
      </c>
      <c r="N692" t="s">
        <v>47304</v>
      </c>
      <c r="O692" t="s">
        <v>47305</v>
      </c>
      <c r="P692">
        <v>0</v>
      </c>
      <c r="Q692">
        <v>0</v>
      </c>
      <c r="R692" t="s">
        <v>47306</v>
      </c>
      <c r="S692" t="s">
        <v>47414</v>
      </c>
      <c r="T692" t="s">
        <v>49061</v>
      </c>
      <c r="U692" t="s">
        <v>50189</v>
      </c>
      <c r="W692" t="s">
        <v>64429</v>
      </c>
      <c r="X692" t="s">
        <v>47308</v>
      </c>
    </row>
    <row r="693" spans="1:24">
      <c r="A693">
        <f>HYPERLINK("https://www.philgeps.gov.ph/GEPSNONPILOT/Tender/SplashBidNoticeAbstractUI.aspx?menuIndex=3&amp;refID=7194838&amp;Result=3","7194838")</f>
        <v>0</v>
      </c>
      <c r="B693" t="s">
        <v>81</v>
      </c>
      <c r="C693" t="s">
        <v>4459</v>
      </c>
      <c r="D693" t="s">
        <v>18995</v>
      </c>
      <c r="E693" t="s">
        <v>19745</v>
      </c>
      <c r="F693" t="s">
        <v>32606</v>
      </c>
      <c r="G693" t="s">
        <v>32614</v>
      </c>
      <c r="H693" t="s">
        <v>14201</v>
      </c>
      <c r="I693" t="s">
        <v>4112</v>
      </c>
      <c r="J693" t="s">
        <v>33311</v>
      </c>
      <c r="K693" t="s">
        <v>42624</v>
      </c>
      <c r="M693" t="s">
        <v>42978</v>
      </c>
      <c r="N693" t="s">
        <v>47304</v>
      </c>
      <c r="O693" t="s">
        <v>47305</v>
      </c>
      <c r="P693">
        <v>0</v>
      </c>
      <c r="Q693">
        <v>0</v>
      </c>
      <c r="R693" t="s">
        <v>47306</v>
      </c>
      <c r="S693" t="s">
        <v>47414</v>
      </c>
      <c r="T693" t="s">
        <v>49014</v>
      </c>
      <c r="U693" t="s">
        <v>50190</v>
      </c>
      <c r="W693" t="s">
        <v>42978</v>
      </c>
      <c r="X693" t="s">
        <v>47308</v>
      </c>
    </row>
    <row r="694" spans="1:24">
      <c r="A694">
        <f>HYPERLINK("https://www.philgeps.gov.ph/GEPSNONPILOT/Tender/SplashBidNoticeAbstractUI.aspx?menuIndex=3&amp;refID=7194837&amp;Result=3","7194837")</f>
        <v>0</v>
      </c>
      <c r="B694" t="s">
        <v>276</v>
      </c>
      <c r="C694" t="s">
        <v>4538</v>
      </c>
      <c r="D694" t="s">
        <v>19001</v>
      </c>
      <c r="E694" t="s">
        <v>19746</v>
      </c>
      <c r="F694" t="s">
        <v>32606</v>
      </c>
      <c r="G694" t="s">
        <v>32614</v>
      </c>
      <c r="H694" t="s">
        <v>14201</v>
      </c>
      <c r="I694" t="s">
        <v>9013</v>
      </c>
      <c r="J694" t="s">
        <v>33312</v>
      </c>
      <c r="K694" t="s">
        <v>42622</v>
      </c>
      <c r="M694" t="s">
        <v>43177</v>
      </c>
      <c r="N694" t="s">
        <v>47304</v>
      </c>
      <c r="O694" t="s">
        <v>47305</v>
      </c>
      <c r="P694">
        <v>0</v>
      </c>
      <c r="Q694">
        <v>1</v>
      </c>
      <c r="R694" t="s">
        <v>47306</v>
      </c>
      <c r="S694" t="s">
        <v>47414</v>
      </c>
      <c r="T694" t="s">
        <v>48986</v>
      </c>
      <c r="U694" t="s">
        <v>50191</v>
      </c>
      <c r="W694" t="s">
        <v>43177</v>
      </c>
      <c r="X694" t="s">
        <v>47308</v>
      </c>
    </row>
    <row r="695" spans="1:24">
      <c r="A695">
        <f>HYPERLINK("https://www.philgeps.gov.ph/GEPSNONPILOT/Tender/SplashBidNoticeAbstractUI.aspx?menuIndex=3&amp;refID=7194834&amp;Result=3","7194834")</f>
        <v>0</v>
      </c>
      <c r="B695" t="s">
        <v>364</v>
      </c>
      <c r="C695" t="s">
        <v>4539</v>
      </c>
      <c r="D695" t="s">
        <v>19061</v>
      </c>
      <c r="E695" t="s">
        <v>19622</v>
      </c>
      <c r="F695" t="s">
        <v>32606</v>
      </c>
      <c r="G695" t="s">
        <v>32613</v>
      </c>
      <c r="H695" t="s">
        <v>14201</v>
      </c>
      <c r="I695" t="s">
        <v>4112</v>
      </c>
      <c r="J695" t="s">
        <v>32923</v>
      </c>
      <c r="K695" t="s">
        <v>42630</v>
      </c>
      <c r="M695" t="s">
        <v>43266</v>
      </c>
      <c r="N695" t="s">
        <v>47304</v>
      </c>
      <c r="O695" t="s">
        <v>47305</v>
      </c>
      <c r="P695">
        <v>0</v>
      </c>
      <c r="Q695">
        <v>0</v>
      </c>
      <c r="R695" t="s">
        <v>47306</v>
      </c>
      <c r="S695" t="s">
        <v>47414</v>
      </c>
      <c r="T695" t="s">
        <v>48986</v>
      </c>
      <c r="U695" t="s">
        <v>50192</v>
      </c>
      <c r="W695" t="s">
        <v>43266</v>
      </c>
      <c r="X695" t="s">
        <v>47308</v>
      </c>
    </row>
    <row r="696" spans="1:24">
      <c r="A696">
        <f>HYPERLINK("https://www.philgeps.gov.ph/GEPSNONPILOT/Tender/SplashBidNoticeAbstractUI.aspx?menuIndex=3&amp;refID=7194854&amp;Result=3","7194854")</f>
        <v>0</v>
      </c>
      <c r="B696" t="s">
        <v>307</v>
      </c>
      <c r="C696" t="s">
        <v>4540</v>
      </c>
      <c r="D696" t="s">
        <v>19016</v>
      </c>
      <c r="E696" t="s">
        <v>19747</v>
      </c>
      <c r="F696" t="s">
        <v>32606</v>
      </c>
      <c r="G696" t="s">
        <v>32619</v>
      </c>
      <c r="H696" t="s">
        <v>14201</v>
      </c>
      <c r="I696" t="s">
        <v>32633</v>
      </c>
      <c r="J696" t="s">
        <v>33313</v>
      </c>
      <c r="K696" t="s">
        <v>42623</v>
      </c>
      <c r="M696" t="s">
        <v>43209</v>
      </c>
      <c r="N696" t="s">
        <v>47304</v>
      </c>
      <c r="O696" t="s">
        <v>47305</v>
      </c>
      <c r="P696">
        <v>0</v>
      </c>
      <c r="Q696">
        <v>17</v>
      </c>
      <c r="R696" t="s">
        <v>47306</v>
      </c>
      <c r="S696" t="s">
        <v>47414</v>
      </c>
      <c r="T696" t="s">
        <v>48997</v>
      </c>
      <c r="U696" t="s">
        <v>50193</v>
      </c>
      <c r="W696" t="s">
        <v>43209</v>
      </c>
      <c r="X696" t="s">
        <v>47308</v>
      </c>
    </row>
    <row r="697" spans="1:24">
      <c r="A697">
        <f>HYPERLINK("https://www.philgeps.gov.ph/GEPSNONPILOT/Tender/SplashBidNoticeAbstractUI.aspx?menuIndex=3&amp;refID=7194809&amp;Result=3","7194809")</f>
        <v>0</v>
      </c>
      <c r="B697" t="s">
        <v>108</v>
      </c>
      <c r="C697" t="s">
        <v>4541</v>
      </c>
      <c r="D697" t="s">
        <v>18997</v>
      </c>
      <c r="E697" t="s">
        <v>19748</v>
      </c>
      <c r="F697" t="s">
        <v>32606</v>
      </c>
      <c r="G697" t="s">
        <v>32619</v>
      </c>
      <c r="H697" t="s">
        <v>14201</v>
      </c>
      <c r="I697" t="s">
        <v>6007</v>
      </c>
      <c r="J697" t="s">
        <v>32973</v>
      </c>
      <c r="K697" t="s">
        <v>42629</v>
      </c>
      <c r="M697" t="s">
        <v>43007</v>
      </c>
      <c r="N697" t="s">
        <v>47304</v>
      </c>
      <c r="O697" t="s">
        <v>47305</v>
      </c>
      <c r="P697">
        <v>0</v>
      </c>
      <c r="Q697">
        <v>0</v>
      </c>
      <c r="R697" t="s">
        <v>47306</v>
      </c>
      <c r="S697" t="s">
        <v>47414</v>
      </c>
      <c r="T697" t="s">
        <v>49010</v>
      </c>
      <c r="U697" t="s">
        <v>50194</v>
      </c>
      <c r="W697" t="s">
        <v>43007</v>
      </c>
      <c r="X697" t="s">
        <v>47308</v>
      </c>
    </row>
    <row r="698" spans="1:24">
      <c r="A698">
        <f>HYPERLINK("https://www.philgeps.gov.ph/GEPSNONPILOT/Tender/SplashBidNoticeAbstractUI.aspx?menuIndex=3&amp;refID=7194870&amp;Result=3","7194870")</f>
        <v>0</v>
      </c>
      <c r="B698" t="s">
        <v>280</v>
      </c>
      <c r="C698" t="s">
        <v>4385</v>
      </c>
      <c r="D698" t="s">
        <v>19062</v>
      </c>
      <c r="E698" t="s">
        <v>19749</v>
      </c>
      <c r="F698" t="s">
        <v>32607</v>
      </c>
      <c r="G698" t="s">
        <v>32614</v>
      </c>
      <c r="H698" t="s">
        <v>14201</v>
      </c>
      <c r="I698" t="s">
        <v>6298</v>
      </c>
      <c r="J698" t="s">
        <v>33314</v>
      </c>
      <c r="K698" t="s">
        <v>42623</v>
      </c>
      <c r="M698" t="s">
        <v>43181</v>
      </c>
      <c r="N698" t="s">
        <v>47304</v>
      </c>
      <c r="O698" t="s">
        <v>47305</v>
      </c>
      <c r="P698">
        <v>0</v>
      </c>
      <c r="Q698">
        <v>0</v>
      </c>
      <c r="R698" t="s">
        <v>47306</v>
      </c>
      <c r="S698" t="s">
        <v>47414</v>
      </c>
      <c r="T698" t="s">
        <v>49002</v>
      </c>
      <c r="U698" t="s">
        <v>50195</v>
      </c>
      <c r="W698" t="s">
        <v>43181</v>
      </c>
      <c r="X698" t="s">
        <v>47308</v>
      </c>
    </row>
    <row r="699" spans="1:24">
      <c r="A699">
        <f>HYPERLINK("https://www.philgeps.gov.ph/GEPSNONPILOT/Tender/SplashBidNoticeAbstractUI.aspx?menuIndex=3&amp;refID=7194840&amp;Result=3","7194840")</f>
        <v>0</v>
      </c>
      <c r="B699" t="s">
        <v>58</v>
      </c>
      <c r="C699" t="s">
        <v>4542</v>
      </c>
      <c r="D699" t="s">
        <v>19011</v>
      </c>
      <c r="E699" t="s">
        <v>19750</v>
      </c>
      <c r="F699" t="s">
        <v>32606</v>
      </c>
      <c r="G699" t="s">
        <v>32614</v>
      </c>
      <c r="H699" t="s">
        <v>14201</v>
      </c>
      <c r="I699" t="s">
        <v>32640</v>
      </c>
      <c r="J699" t="s">
        <v>32981</v>
      </c>
      <c r="K699" t="s">
        <v>42624</v>
      </c>
      <c r="M699" t="s">
        <v>42955</v>
      </c>
      <c r="N699" t="s">
        <v>47304</v>
      </c>
      <c r="O699" t="s">
        <v>47305</v>
      </c>
      <c r="P699">
        <v>0</v>
      </c>
      <c r="Q699">
        <v>1</v>
      </c>
      <c r="R699" t="s">
        <v>47306</v>
      </c>
      <c r="S699" t="s">
        <v>47414</v>
      </c>
      <c r="T699" t="s">
        <v>48979</v>
      </c>
      <c r="U699" t="s">
        <v>50196</v>
      </c>
      <c r="W699" t="s">
        <v>42955</v>
      </c>
      <c r="X699" t="s">
        <v>47308</v>
      </c>
    </row>
    <row r="700" spans="1:24">
      <c r="A700">
        <f>HYPERLINK("https://www.philgeps.gov.ph/GEPSNONPILOT/Tender/SplashBidNoticeAbstractUI.aspx?menuIndex=3&amp;refID=7194850&amp;Result=3","7194850")</f>
        <v>0</v>
      </c>
      <c r="B700" t="s">
        <v>365</v>
      </c>
      <c r="C700" t="s">
        <v>4543</v>
      </c>
      <c r="D700" t="s">
        <v>19039</v>
      </c>
      <c r="E700" t="s">
        <v>19751</v>
      </c>
      <c r="F700" t="s">
        <v>32606</v>
      </c>
      <c r="G700" t="s">
        <v>32614</v>
      </c>
      <c r="H700" t="s">
        <v>14201</v>
      </c>
      <c r="I700" t="s">
        <v>32648</v>
      </c>
      <c r="J700" t="s">
        <v>33315</v>
      </c>
      <c r="K700" t="s">
        <v>42627</v>
      </c>
      <c r="M700" t="s">
        <v>43267</v>
      </c>
      <c r="N700" t="s">
        <v>47304</v>
      </c>
      <c r="O700" t="s">
        <v>47305</v>
      </c>
      <c r="P700">
        <v>0</v>
      </c>
      <c r="Q700">
        <v>3</v>
      </c>
      <c r="R700" t="s">
        <v>47306</v>
      </c>
      <c r="S700" t="s">
        <v>47414</v>
      </c>
      <c r="T700" t="s">
        <v>49014</v>
      </c>
      <c r="U700" t="s">
        <v>50197</v>
      </c>
      <c r="W700" t="s">
        <v>43267</v>
      </c>
      <c r="X700" t="s">
        <v>47308</v>
      </c>
    </row>
    <row r="701" spans="1:24">
      <c r="A701">
        <f>HYPERLINK("https://www.philgeps.gov.ph/GEPSNONPILOT/Tender/SplashBidNoticeAbstractUI.aspx?menuIndex=3&amp;refID=7194855&amp;Result=3","7194855")</f>
        <v>0</v>
      </c>
      <c r="B701" t="s">
        <v>280</v>
      </c>
      <c r="C701" t="s">
        <v>4385</v>
      </c>
      <c r="D701" t="s">
        <v>19028</v>
      </c>
      <c r="E701" t="s">
        <v>19752</v>
      </c>
      <c r="F701" t="s">
        <v>32607</v>
      </c>
      <c r="G701" t="s">
        <v>32614</v>
      </c>
      <c r="H701" t="s">
        <v>14201</v>
      </c>
      <c r="I701" t="s">
        <v>6298</v>
      </c>
      <c r="J701" t="s">
        <v>33316</v>
      </c>
      <c r="K701" t="s">
        <v>42623</v>
      </c>
      <c r="M701" t="s">
        <v>43181</v>
      </c>
      <c r="N701" t="s">
        <v>47304</v>
      </c>
      <c r="O701" t="s">
        <v>47305</v>
      </c>
      <c r="P701">
        <v>0</v>
      </c>
      <c r="Q701">
        <v>0</v>
      </c>
      <c r="R701" t="s">
        <v>47306</v>
      </c>
      <c r="S701" t="s">
        <v>47414</v>
      </c>
      <c r="T701" t="s">
        <v>49002</v>
      </c>
      <c r="U701" t="s">
        <v>50198</v>
      </c>
      <c r="W701" t="s">
        <v>43181</v>
      </c>
      <c r="X701" t="s">
        <v>47308</v>
      </c>
    </row>
    <row r="702" spans="1:24">
      <c r="A702">
        <f>HYPERLINK("https://www.philgeps.gov.ph/GEPSNONPILOT/Tender/SplashBidNoticeAbstractUI.aspx?menuIndex=3&amp;refID=7194824&amp;Result=3","7194824")</f>
        <v>0</v>
      </c>
      <c r="B702" t="s">
        <v>99</v>
      </c>
      <c r="C702" t="s">
        <v>4544</v>
      </c>
      <c r="D702" t="s">
        <v>19027</v>
      </c>
      <c r="E702" t="s">
        <v>19753</v>
      </c>
      <c r="F702" t="s">
        <v>32606</v>
      </c>
      <c r="G702" t="s">
        <v>32619</v>
      </c>
      <c r="H702" t="s">
        <v>14201</v>
      </c>
      <c r="I702" t="s">
        <v>32668</v>
      </c>
      <c r="J702" t="s">
        <v>33317</v>
      </c>
      <c r="K702" t="s">
        <v>42630</v>
      </c>
      <c r="L702" t="s">
        <v>99</v>
      </c>
      <c r="M702" t="s">
        <v>42997</v>
      </c>
      <c r="N702" t="s">
        <v>47304</v>
      </c>
      <c r="O702" t="s">
        <v>47305</v>
      </c>
      <c r="P702">
        <v>0</v>
      </c>
      <c r="Q702">
        <v>1</v>
      </c>
      <c r="R702" t="s">
        <v>47306</v>
      </c>
      <c r="S702" t="s">
        <v>47414</v>
      </c>
      <c r="T702" t="s">
        <v>49095</v>
      </c>
      <c r="U702" t="s">
        <v>50199</v>
      </c>
      <c r="V702" t="s">
        <v>62712</v>
      </c>
      <c r="W702" t="s">
        <v>42997</v>
      </c>
      <c r="X702" t="s">
        <v>47308</v>
      </c>
    </row>
    <row r="703" spans="1:24">
      <c r="A703">
        <f>HYPERLINK("https://www.philgeps.gov.ph/GEPSNONPILOT/Tender/SplashBidNoticeAbstractUI.aspx?menuIndex=3&amp;refID=7194875&amp;Result=3","7194875")</f>
        <v>0</v>
      </c>
      <c r="B703" t="s">
        <v>280</v>
      </c>
      <c r="C703" t="s">
        <v>4385</v>
      </c>
      <c r="D703" t="s">
        <v>19028</v>
      </c>
      <c r="E703" t="s">
        <v>19754</v>
      </c>
      <c r="F703" t="s">
        <v>32607</v>
      </c>
      <c r="G703" t="s">
        <v>32614</v>
      </c>
      <c r="H703" t="s">
        <v>14201</v>
      </c>
      <c r="I703" t="s">
        <v>6298</v>
      </c>
      <c r="J703" t="s">
        <v>33318</v>
      </c>
      <c r="K703" t="s">
        <v>42623</v>
      </c>
      <c r="M703" t="s">
        <v>43181</v>
      </c>
      <c r="N703" t="s">
        <v>47304</v>
      </c>
      <c r="O703" t="s">
        <v>47305</v>
      </c>
      <c r="P703">
        <v>0</v>
      </c>
      <c r="Q703">
        <v>0</v>
      </c>
      <c r="R703" t="s">
        <v>47306</v>
      </c>
      <c r="S703" t="s">
        <v>47414</v>
      </c>
      <c r="T703" t="s">
        <v>49002</v>
      </c>
      <c r="U703" t="s">
        <v>50200</v>
      </c>
      <c r="W703" t="s">
        <v>43181</v>
      </c>
      <c r="X703" t="s">
        <v>47308</v>
      </c>
    </row>
    <row r="704" spans="1:24">
      <c r="A704">
        <f>HYPERLINK("https://www.philgeps.gov.ph/GEPSNONPILOT/Tender/SplashBidNoticeAbstractUI.aspx?menuIndex=3&amp;refID=7194872&amp;Result=3","7194872")</f>
        <v>0</v>
      </c>
      <c r="B704" t="s">
        <v>356</v>
      </c>
      <c r="C704" t="s">
        <v>4545</v>
      </c>
      <c r="D704" t="s">
        <v>19014</v>
      </c>
      <c r="E704" t="s">
        <v>19755</v>
      </c>
      <c r="F704" t="s">
        <v>32606</v>
      </c>
      <c r="G704" t="s">
        <v>32613</v>
      </c>
      <c r="H704" t="s">
        <v>14201</v>
      </c>
      <c r="I704" t="s">
        <v>6931</v>
      </c>
      <c r="J704" t="s">
        <v>33319</v>
      </c>
      <c r="K704" t="s">
        <v>42631</v>
      </c>
      <c r="M704" t="s">
        <v>43258</v>
      </c>
      <c r="N704" t="s">
        <v>47304</v>
      </c>
      <c r="O704" t="s">
        <v>47305</v>
      </c>
      <c r="P704">
        <v>0</v>
      </c>
      <c r="Q704">
        <v>10</v>
      </c>
      <c r="R704" t="s">
        <v>47306</v>
      </c>
      <c r="S704" t="s">
        <v>47414</v>
      </c>
      <c r="T704" t="s">
        <v>49092</v>
      </c>
      <c r="U704" t="s">
        <v>50201</v>
      </c>
      <c r="W704" t="s">
        <v>43258</v>
      </c>
      <c r="X704" t="s">
        <v>47308</v>
      </c>
    </row>
    <row r="705" spans="1:24">
      <c r="A705">
        <f>HYPERLINK("https://www.philgeps.gov.ph/GEPSNONPILOT/Tender/SplashBidNoticeAbstractUI.aspx?menuIndex=3&amp;refID=7194871&amp;Result=3","7194871")</f>
        <v>0</v>
      </c>
      <c r="B705" t="s">
        <v>81</v>
      </c>
      <c r="C705" t="s">
        <v>4459</v>
      </c>
      <c r="D705" t="s">
        <v>18995</v>
      </c>
      <c r="E705" t="s">
        <v>19756</v>
      </c>
      <c r="F705" t="s">
        <v>32606</v>
      </c>
      <c r="G705" t="s">
        <v>32614</v>
      </c>
      <c r="H705" t="s">
        <v>14201</v>
      </c>
      <c r="I705" t="s">
        <v>4112</v>
      </c>
      <c r="J705" t="s">
        <v>33320</v>
      </c>
      <c r="K705" t="s">
        <v>42624</v>
      </c>
      <c r="M705" t="s">
        <v>42978</v>
      </c>
      <c r="N705" t="s">
        <v>47304</v>
      </c>
      <c r="O705" t="s">
        <v>47305</v>
      </c>
      <c r="P705">
        <v>0</v>
      </c>
      <c r="Q705">
        <v>0</v>
      </c>
      <c r="R705" t="s">
        <v>47306</v>
      </c>
      <c r="S705" t="s">
        <v>47414</v>
      </c>
      <c r="T705" t="s">
        <v>49014</v>
      </c>
      <c r="U705" t="s">
        <v>50202</v>
      </c>
      <c r="W705" t="s">
        <v>42978</v>
      </c>
      <c r="X705" t="s">
        <v>47308</v>
      </c>
    </row>
    <row r="706" spans="1:24">
      <c r="A706">
        <f>HYPERLINK("https://www.philgeps.gov.ph/GEPSNONPILOT/Tender/SplashBidNoticeAbstractUI.aspx?menuIndex=3&amp;refID=7194873&amp;Result=3","7194873")</f>
        <v>0</v>
      </c>
      <c r="B706" t="s">
        <v>366</v>
      </c>
      <c r="C706" t="s">
        <v>4546</v>
      </c>
      <c r="D706" t="s">
        <v>19057</v>
      </c>
      <c r="E706" t="s">
        <v>19757</v>
      </c>
      <c r="F706" t="s">
        <v>32606</v>
      </c>
      <c r="G706" t="s">
        <v>32614</v>
      </c>
      <c r="H706" t="s">
        <v>14201</v>
      </c>
      <c r="I706" t="s">
        <v>6298</v>
      </c>
      <c r="J706" t="s">
        <v>33321</v>
      </c>
      <c r="K706" t="s">
        <v>42623</v>
      </c>
      <c r="M706" t="s">
        <v>43268</v>
      </c>
      <c r="N706" t="s">
        <v>47304</v>
      </c>
      <c r="O706" t="s">
        <v>47305</v>
      </c>
      <c r="P706">
        <v>0</v>
      </c>
      <c r="Q706">
        <v>0</v>
      </c>
      <c r="R706" t="s">
        <v>47306</v>
      </c>
      <c r="S706" t="s">
        <v>47414</v>
      </c>
      <c r="T706" t="s">
        <v>48982</v>
      </c>
      <c r="U706" t="s">
        <v>50203</v>
      </c>
      <c r="W706" t="s">
        <v>43268</v>
      </c>
      <c r="X706" t="s">
        <v>47308</v>
      </c>
    </row>
    <row r="707" spans="1:24">
      <c r="A707">
        <f>HYPERLINK("https://www.philgeps.gov.ph/GEPSNONPILOT/Tender/SplashBidNoticeAbstractUI.aspx?menuIndex=3&amp;refID=7194868&amp;Result=3","7194868")</f>
        <v>0</v>
      </c>
      <c r="B707" t="s">
        <v>149</v>
      </c>
      <c r="C707" t="s">
        <v>4547</v>
      </c>
      <c r="D707" t="s">
        <v>19034</v>
      </c>
      <c r="E707" t="s">
        <v>19758</v>
      </c>
      <c r="F707" t="s">
        <v>32606</v>
      </c>
      <c r="G707" t="s">
        <v>32613</v>
      </c>
      <c r="H707" t="s">
        <v>14201</v>
      </c>
      <c r="I707" t="s">
        <v>4114</v>
      </c>
      <c r="J707" t="s">
        <v>33322</v>
      </c>
      <c r="K707" t="s">
        <v>42631</v>
      </c>
      <c r="M707" t="s">
        <v>43050</v>
      </c>
      <c r="N707" t="s">
        <v>47304</v>
      </c>
      <c r="O707" t="s">
        <v>47305</v>
      </c>
      <c r="P707">
        <v>0</v>
      </c>
      <c r="Q707">
        <v>3</v>
      </c>
      <c r="R707" t="s">
        <v>47306</v>
      </c>
      <c r="S707" t="s">
        <v>47414</v>
      </c>
      <c r="T707" t="s">
        <v>48986</v>
      </c>
      <c r="U707" t="s">
        <v>49808</v>
      </c>
      <c r="W707" t="s">
        <v>43050</v>
      </c>
      <c r="X707" t="s">
        <v>47308</v>
      </c>
    </row>
    <row r="708" spans="1:24">
      <c r="A708">
        <f>HYPERLINK("https://www.philgeps.gov.ph/GEPSNONPILOT/Tender/SplashBidNoticeAbstractUI.aspx?menuIndex=3&amp;refID=7194867&amp;Result=3","7194867")</f>
        <v>0</v>
      </c>
      <c r="B708" t="s">
        <v>252</v>
      </c>
      <c r="C708" t="s">
        <v>4548</v>
      </c>
      <c r="D708" t="s">
        <v>19010</v>
      </c>
      <c r="E708" t="s">
        <v>19759</v>
      </c>
      <c r="F708" t="s">
        <v>32606</v>
      </c>
      <c r="G708" t="s">
        <v>32613</v>
      </c>
      <c r="H708" t="s">
        <v>32623</v>
      </c>
      <c r="I708" t="s">
        <v>17648</v>
      </c>
      <c r="J708" t="s">
        <v>33323</v>
      </c>
      <c r="K708" t="s">
        <v>42627</v>
      </c>
      <c r="M708" t="s">
        <v>43153</v>
      </c>
      <c r="N708" t="s">
        <v>47304</v>
      </c>
      <c r="O708" t="s">
        <v>47305</v>
      </c>
      <c r="P708">
        <v>0</v>
      </c>
      <c r="Q708">
        <v>0</v>
      </c>
      <c r="R708" t="s">
        <v>47306</v>
      </c>
      <c r="S708" t="s">
        <v>47414</v>
      </c>
      <c r="T708" t="s">
        <v>49017</v>
      </c>
      <c r="U708" t="s">
        <v>50204</v>
      </c>
      <c r="W708" t="s">
        <v>43153</v>
      </c>
      <c r="X708" t="s">
        <v>47308</v>
      </c>
    </row>
    <row r="709" spans="1:24">
      <c r="A709">
        <f>HYPERLINK("https://www.philgeps.gov.ph/GEPSNONPILOT/Tender/SplashBidNoticeAbstractUI.aspx?menuIndex=3&amp;refID=7194829&amp;Result=3","7194829")</f>
        <v>0</v>
      </c>
      <c r="B709" t="s">
        <v>367</v>
      </c>
      <c r="C709" t="s">
        <v>4549</v>
      </c>
      <c r="D709" t="s">
        <v>18988</v>
      </c>
      <c r="E709" t="s">
        <v>19690</v>
      </c>
      <c r="F709" t="s">
        <v>32606</v>
      </c>
      <c r="G709" t="s">
        <v>32614</v>
      </c>
      <c r="H709" t="s">
        <v>32624</v>
      </c>
      <c r="I709" t="s">
        <v>32675</v>
      </c>
      <c r="J709" t="s">
        <v>32765</v>
      </c>
      <c r="K709" t="s">
        <v>42623</v>
      </c>
      <c r="M709" t="s">
        <v>43269</v>
      </c>
      <c r="N709" t="s">
        <v>47304</v>
      </c>
      <c r="O709" t="s">
        <v>47305</v>
      </c>
      <c r="P709">
        <v>0</v>
      </c>
      <c r="Q709">
        <v>0</v>
      </c>
      <c r="R709" t="s">
        <v>47306</v>
      </c>
      <c r="S709" t="s">
        <v>47414</v>
      </c>
      <c r="T709" t="s">
        <v>49096</v>
      </c>
      <c r="U709" t="s">
        <v>50205</v>
      </c>
      <c r="W709" t="s">
        <v>43269</v>
      </c>
      <c r="X709" t="s">
        <v>47308</v>
      </c>
    </row>
    <row r="710" spans="1:24">
      <c r="A710">
        <f>HYPERLINK("https://www.philgeps.gov.ph/GEPSNONPILOT/Tender/SplashBidNoticeAbstractUI.aspx?menuIndex=3&amp;refID=7194864&amp;Result=3","7194864")</f>
        <v>0</v>
      </c>
      <c r="B710" t="s">
        <v>294</v>
      </c>
      <c r="C710" t="s">
        <v>4550</v>
      </c>
      <c r="D710" t="s">
        <v>19019</v>
      </c>
      <c r="E710" t="s">
        <v>19760</v>
      </c>
      <c r="F710" t="s">
        <v>32606</v>
      </c>
      <c r="G710" t="s">
        <v>32614</v>
      </c>
      <c r="H710" t="s">
        <v>14201</v>
      </c>
      <c r="I710" t="s">
        <v>32660</v>
      </c>
      <c r="J710" t="s">
        <v>33324</v>
      </c>
      <c r="K710" t="s">
        <v>42631</v>
      </c>
      <c r="M710" t="s">
        <v>43196</v>
      </c>
      <c r="N710" t="s">
        <v>47304</v>
      </c>
      <c r="O710" t="s">
        <v>47305</v>
      </c>
      <c r="P710">
        <v>0</v>
      </c>
      <c r="Q710">
        <v>3</v>
      </c>
      <c r="R710" t="s">
        <v>47306</v>
      </c>
      <c r="S710" t="s">
        <v>47414</v>
      </c>
      <c r="T710" t="s">
        <v>49014</v>
      </c>
      <c r="U710" t="s">
        <v>50052</v>
      </c>
      <c r="W710" t="s">
        <v>43196</v>
      </c>
      <c r="X710" t="s">
        <v>47308</v>
      </c>
    </row>
    <row r="711" spans="1:24">
      <c r="A711">
        <f>HYPERLINK("https://www.philgeps.gov.ph/GEPSNONPILOT/Tender/SplashBidNoticeAbstractUI.aspx?menuIndex=3&amp;refID=7194861&amp;Result=3","7194861")</f>
        <v>0</v>
      </c>
      <c r="B711" t="s">
        <v>313</v>
      </c>
      <c r="C711" t="s">
        <v>4551</v>
      </c>
      <c r="D711" t="s">
        <v>18993</v>
      </c>
      <c r="E711" t="s">
        <v>4551</v>
      </c>
      <c r="F711" t="s">
        <v>32606</v>
      </c>
      <c r="G711" t="s">
        <v>32614</v>
      </c>
      <c r="H711" t="s">
        <v>14201</v>
      </c>
      <c r="I711" t="s">
        <v>4120</v>
      </c>
      <c r="J711" t="s">
        <v>33325</v>
      </c>
      <c r="K711" t="s">
        <v>42631</v>
      </c>
      <c r="M711" t="s">
        <v>43215</v>
      </c>
      <c r="N711" t="s">
        <v>47304</v>
      </c>
      <c r="O711" t="s">
        <v>47305</v>
      </c>
      <c r="P711">
        <v>0</v>
      </c>
      <c r="Q711">
        <v>4</v>
      </c>
      <c r="R711" t="s">
        <v>47306</v>
      </c>
      <c r="S711" t="s">
        <v>47414</v>
      </c>
      <c r="T711" t="s">
        <v>49014</v>
      </c>
      <c r="U711" t="s">
        <v>50206</v>
      </c>
      <c r="W711" t="s">
        <v>43215</v>
      </c>
      <c r="X711" t="s">
        <v>47308</v>
      </c>
    </row>
    <row r="712" spans="1:24">
      <c r="A712">
        <f>HYPERLINK("https://www.philgeps.gov.ph/GEPSNONPILOT/Tender/SplashBidNoticeAbstractUI.aspx?menuIndex=3&amp;refID=7194853&amp;Result=3","7194853")</f>
        <v>0</v>
      </c>
      <c r="B712" t="s">
        <v>368</v>
      </c>
      <c r="C712" t="s">
        <v>4552</v>
      </c>
      <c r="D712" t="s">
        <v>19012</v>
      </c>
      <c r="E712" t="s">
        <v>19761</v>
      </c>
      <c r="F712" t="s">
        <v>32606</v>
      </c>
      <c r="G712" t="s">
        <v>32614</v>
      </c>
      <c r="H712" t="s">
        <v>14201</v>
      </c>
      <c r="I712" t="s">
        <v>32650</v>
      </c>
      <c r="J712" t="s">
        <v>33326</v>
      </c>
      <c r="K712" t="s">
        <v>42622</v>
      </c>
      <c r="M712" t="s">
        <v>43270</v>
      </c>
      <c r="N712" t="s">
        <v>47304</v>
      </c>
      <c r="O712" t="s">
        <v>47305</v>
      </c>
      <c r="P712">
        <v>0</v>
      </c>
      <c r="Q712">
        <v>1</v>
      </c>
      <c r="R712" t="s">
        <v>47306</v>
      </c>
      <c r="S712" t="s">
        <v>47414</v>
      </c>
      <c r="T712" t="s">
        <v>49004</v>
      </c>
      <c r="U712" t="s">
        <v>50207</v>
      </c>
      <c r="W712" t="s">
        <v>43270</v>
      </c>
      <c r="X712" t="s">
        <v>47308</v>
      </c>
    </row>
    <row r="713" spans="1:24">
      <c r="A713">
        <f>HYPERLINK("https://www.philgeps.gov.ph/GEPSNONPILOT/Tender/SplashBidNoticeAbstractUI.aspx?menuIndex=3&amp;refID=7194857&amp;Result=3","7194857")</f>
        <v>0</v>
      </c>
      <c r="B713" t="s">
        <v>369</v>
      </c>
      <c r="C713" t="s">
        <v>4553</v>
      </c>
      <c r="D713" t="s">
        <v>19004</v>
      </c>
      <c r="E713" t="s">
        <v>19762</v>
      </c>
      <c r="F713" t="s">
        <v>32606</v>
      </c>
      <c r="G713" t="s">
        <v>32613</v>
      </c>
      <c r="H713" t="s">
        <v>14201</v>
      </c>
      <c r="I713" t="s">
        <v>6931</v>
      </c>
      <c r="J713" t="s">
        <v>33327</v>
      </c>
      <c r="K713" t="s">
        <v>42630</v>
      </c>
      <c r="M713" t="s">
        <v>43271</v>
      </c>
      <c r="N713" t="s">
        <v>47304</v>
      </c>
      <c r="O713" t="s">
        <v>47305</v>
      </c>
      <c r="P713">
        <v>0</v>
      </c>
      <c r="Q713">
        <v>1</v>
      </c>
      <c r="R713" t="s">
        <v>47306</v>
      </c>
      <c r="S713" t="s">
        <v>47414</v>
      </c>
      <c r="T713" t="s">
        <v>48976</v>
      </c>
      <c r="U713" t="s">
        <v>50208</v>
      </c>
      <c r="W713" t="s">
        <v>43271</v>
      </c>
      <c r="X713" t="s">
        <v>47308</v>
      </c>
    </row>
    <row r="714" spans="1:24">
      <c r="A714">
        <f>HYPERLINK("https://www.philgeps.gov.ph/GEPSNONPILOT/Tender/SplashBidNoticeAbstractUI.aspx?menuIndex=3&amp;refID=7194866&amp;Result=3","7194866")</f>
        <v>0</v>
      </c>
      <c r="B714" t="s">
        <v>211</v>
      </c>
      <c r="C714" t="s">
        <v>4463</v>
      </c>
      <c r="D714" t="s">
        <v>19007</v>
      </c>
      <c r="E714" t="s">
        <v>19763</v>
      </c>
      <c r="F714" t="s">
        <v>32606</v>
      </c>
      <c r="G714" t="s">
        <v>32614</v>
      </c>
      <c r="H714" t="s">
        <v>14201</v>
      </c>
      <c r="I714" t="s">
        <v>9008</v>
      </c>
      <c r="J714" t="s">
        <v>33328</v>
      </c>
      <c r="K714" t="s">
        <v>42624</v>
      </c>
      <c r="M714" t="s">
        <v>43112</v>
      </c>
      <c r="N714" t="s">
        <v>47304</v>
      </c>
      <c r="O714" t="s">
        <v>47305</v>
      </c>
      <c r="P714">
        <v>0</v>
      </c>
      <c r="Q714">
        <v>1</v>
      </c>
      <c r="R714" t="s">
        <v>47306</v>
      </c>
      <c r="S714" t="s">
        <v>47414</v>
      </c>
      <c r="T714" t="s">
        <v>49061</v>
      </c>
      <c r="U714" t="s">
        <v>50112</v>
      </c>
      <c r="W714" t="s">
        <v>43112</v>
      </c>
      <c r="X714" t="s">
        <v>47308</v>
      </c>
    </row>
    <row r="715" spans="1:24">
      <c r="A715">
        <f>HYPERLINK("https://www.philgeps.gov.ph/GEPSNONPILOT/Tender/SplashBidNoticeAbstractUI.aspx?menuIndex=3&amp;refID=7194869&amp;Result=3","7194869")</f>
        <v>0</v>
      </c>
      <c r="B715" t="s">
        <v>320</v>
      </c>
      <c r="C715" t="s">
        <v>4554</v>
      </c>
      <c r="D715" t="s">
        <v>19037</v>
      </c>
      <c r="E715" t="s">
        <v>19764</v>
      </c>
      <c r="F715" t="s">
        <v>32606</v>
      </c>
      <c r="G715" t="s">
        <v>32614</v>
      </c>
      <c r="H715" t="s">
        <v>14201</v>
      </c>
      <c r="I715" t="s">
        <v>4678</v>
      </c>
      <c r="J715" t="s">
        <v>33329</v>
      </c>
      <c r="K715" t="s">
        <v>42631</v>
      </c>
      <c r="M715" t="s">
        <v>43222</v>
      </c>
      <c r="N715" t="s">
        <v>47304</v>
      </c>
      <c r="O715" t="s">
        <v>47305</v>
      </c>
      <c r="P715">
        <v>0</v>
      </c>
      <c r="Q715">
        <v>1</v>
      </c>
      <c r="R715" t="s">
        <v>47306</v>
      </c>
      <c r="S715" t="s">
        <v>47414</v>
      </c>
      <c r="T715" t="s">
        <v>49010</v>
      </c>
      <c r="U715" t="s">
        <v>50209</v>
      </c>
      <c r="W715" t="s">
        <v>43222</v>
      </c>
      <c r="X715" t="s">
        <v>47308</v>
      </c>
    </row>
    <row r="716" spans="1:24">
      <c r="A716">
        <f>HYPERLINK("https://www.philgeps.gov.ph/GEPSNONPILOT/Tender/SplashBidNoticeAbstractUI.aspx?menuIndex=3&amp;refID=7194856&amp;Result=3","7194856")</f>
        <v>0</v>
      </c>
      <c r="B716" t="s">
        <v>370</v>
      </c>
      <c r="C716" t="s">
        <v>4555</v>
      </c>
      <c r="D716" t="s">
        <v>19006</v>
      </c>
      <c r="E716" t="s">
        <v>19765</v>
      </c>
      <c r="F716" t="s">
        <v>32606</v>
      </c>
      <c r="G716" t="s">
        <v>32614</v>
      </c>
      <c r="H716" t="s">
        <v>14201</v>
      </c>
      <c r="I716" t="s">
        <v>6931</v>
      </c>
      <c r="J716" t="s">
        <v>32999</v>
      </c>
      <c r="K716" t="s">
        <v>42632</v>
      </c>
      <c r="M716" t="s">
        <v>43272</v>
      </c>
      <c r="N716" t="s">
        <v>47304</v>
      </c>
      <c r="O716" t="s">
        <v>47305</v>
      </c>
      <c r="P716">
        <v>0</v>
      </c>
      <c r="Q716">
        <v>0</v>
      </c>
      <c r="R716" t="s">
        <v>47306</v>
      </c>
      <c r="S716" t="s">
        <v>47414</v>
      </c>
      <c r="T716" t="s">
        <v>49004</v>
      </c>
      <c r="U716" t="s">
        <v>50210</v>
      </c>
      <c r="W716" t="s">
        <v>43272</v>
      </c>
      <c r="X716" t="s">
        <v>47308</v>
      </c>
    </row>
    <row r="717" spans="1:24">
      <c r="A717">
        <f>HYPERLINK("https://www.philgeps.gov.ph/GEPSNONPILOT/Tender/SplashBidNoticeAbstractUI.aspx?menuIndex=3&amp;refID=7194822&amp;Result=3","7194822")</f>
        <v>0</v>
      </c>
      <c r="B717" t="s">
        <v>346</v>
      </c>
      <c r="C717" t="s">
        <v>4556</v>
      </c>
      <c r="D717" t="s">
        <v>19044</v>
      </c>
      <c r="E717" t="s">
        <v>19766</v>
      </c>
      <c r="F717" t="s">
        <v>32606</v>
      </c>
      <c r="G717" t="s">
        <v>32613</v>
      </c>
      <c r="H717" t="s">
        <v>14201</v>
      </c>
      <c r="I717" t="s">
        <v>6931</v>
      </c>
      <c r="J717" t="s">
        <v>33278</v>
      </c>
      <c r="K717" t="s">
        <v>42631</v>
      </c>
      <c r="M717" t="s">
        <v>43248</v>
      </c>
      <c r="N717" t="s">
        <v>47304</v>
      </c>
      <c r="O717" t="s">
        <v>47305</v>
      </c>
      <c r="P717">
        <v>0</v>
      </c>
      <c r="Q717">
        <v>0</v>
      </c>
      <c r="R717" t="s">
        <v>47306</v>
      </c>
      <c r="S717" t="s">
        <v>47414</v>
      </c>
      <c r="T717" t="s">
        <v>49097</v>
      </c>
      <c r="U717" t="s">
        <v>50152</v>
      </c>
      <c r="W717" t="s">
        <v>43248</v>
      </c>
      <c r="X717" t="s">
        <v>47308</v>
      </c>
    </row>
    <row r="718" spans="1:24">
      <c r="A718">
        <f>HYPERLINK("https://www.philgeps.gov.ph/GEPSNONPILOT/Tender/SplashBidNoticeAbstractUI.aspx?menuIndex=3&amp;refID=7198248&amp;Result=3","7198248")</f>
        <v>0</v>
      </c>
      <c r="B718" t="s">
        <v>371</v>
      </c>
      <c r="C718" t="s">
        <v>4557</v>
      </c>
      <c r="D718" t="s">
        <v>18997</v>
      </c>
      <c r="E718" t="s">
        <v>19767</v>
      </c>
      <c r="F718" t="s">
        <v>32606</v>
      </c>
      <c r="G718" t="s">
        <v>32613</v>
      </c>
      <c r="H718" t="s">
        <v>32623</v>
      </c>
      <c r="I718" t="s">
        <v>17648</v>
      </c>
      <c r="J718" t="s">
        <v>33330</v>
      </c>
      <c r="K718" t="s">
        <v>42648</v>
      </c>
      <c r="M718" t="s">
        <v>43273</v>
      </c>
      <c r="N718" t="s">
        <v>47304</v>
      </c>
      <c r="O718" t="s">
        <v>47305</v>
      </c>
      <c r="P718">
        <v>0</v>
      </c>
      <c r="Q718">
        <v>0</v>
      </c>
      <c r="R718" t="s">
        <v>47307</v>
      </c>
      <c r="S718" t="s">
        <v>47416</v>
      </c>
      <c r="T718" t="s">
        <v>49017</v>
      </c>
      <c r="U718" t="s">
        <v>50211</v>
      </c>
      <c r="W718" t="s">
        <v>43273</v>
      </c>
      <c r="X718" t="s">
        <v>47306</v>
      </c>
    </row>
    <row r="719" spans="1:24">
      <c r="A719">
        <f>HYPERLINK("https://www.philgeps.gov.ph/GEPSNONPILOT/Tender/SplashBidNoticeAbstractUI.aspx?menuIndex=3&amp;refID=7198263&amp;Result=3","7198263")</f>
        <v>0</v>
      </c>
      <c r="B719" t="s">
        <v>372</v>
      </c>
      <c r="C719" t="s">
        <v>4558</v>
      </c>
      <c r="D719" t="s">
        <v>19006</v>
      </c>
      <c r="E719" t="s">
        <v>19768</v>
      </c>
      <c r="F719" t="s">
        <v>32606</v>
      </c>
      <c r="G719" t="s">
        <v>32614</v>
      </c>
      <c r="H719" t="s">
        <v>14201</v>
      </c>
      <c r="I719" t="s">
        <v>6931</v>
      </c>
      <c r="J719" t="s">
        <v>33331</v>
      </c>
      <c r="K719" t="s">
        <v>42630</v>
      </c>
      <c r="M719" t="s">
        <v>43274</v>
      </c>
      <c r="N719" t="s">
        <v>47304</v>
      </c>
      <c r="O719" t="s">
        <v>47305</v>
      </c>
      <c r="P719">
        <v>0</v>
      </c>
      <c r="Q719">
        <v>0</v>
      </c>
      <c r="R719" t="s">
        <v>47307</v>
      </c>
      <c r="S719" t="s">
        <v>47416</v>
      </c>
      <c r="T719" t="s">
        <v>49098</v>
      </c>
      <c r="U719" t="s">
        <v>50212</v>
      </c>
      <c r="W719" t="s">
        <v>43274</v>
      </c>
      <c r="X719" t="s">
        <v>47306</v>
      </c>
    </row>
    <row r="720" spans="1:24">
      <c r="A720">
        <f>HYPERLINK("https://www.philgeps.gov.ph/GEPSNONPILOT/Tender/SplashBidNoticeAbstractUI.aspx?menuIndex=3&amp;refID=7198261&amp;Result=3","7198261")</f>
        <v>0</v>
      </c>
      <c r="B720" t="s">
        <v>373</v>
      </c>
      <c r="C720" t="s">
        <v>4559</v>
      </c>
      <c r="D720" t="s">
        <v>19002</v>
      </c>
      <c r="E720" t="s">
        <v>19769</v>
      </c>
      <c r="F720" t="s">
        <v>32606</v>
      </c>
      <c r="G720" t="s">
        <v>32613</v>
      </c>
      <c r="H720" t="s">
        <v>14201</v>
      </c>
      <c r="I720" t="s">
        <v>6309</v>
      </c>
      <c r="J720" t="s">
        <v>33332</v>
      </c>
      <c r="K720" t="s">
        <v>42639</v>
      </c>
      <c r="M720" t="s">
        <v>43275</v>
      </c>
      <c r="N720" t="s">
        <v>47304</v>
      </c>
      <c r="O720" t="s">
        <v>47305</v>
      </c>
      <c r="P720">
        <v>0</v>
      </c>
      <c r="Q720">
        <v>0</v>
      </c>
      <c r="R720" t="s">
        <v>47307</v>
      </c>
      <c r="S720" t="s">
        <v>47416</v>
      </c>
      <c r="T720" t="s">
        <v>49099</v>
      </c>
      <c r="U720" t="s">
        <v>50213</v>
      </c>
      <c r="V720" t="s">
        <v>62730</v>
      </c>
      <c r="W720" t="s">
        <v>64430</v>
      </c>
      <c r="X720" t="s">
        <v>47306</v>
      </c>
    </row>
    <row r="721" spans="1:24">
      <c r="A721">
        <f>HYPERLINK("https://www.philgeps.gov.ph/GEPSNONPILOT/Tender/SplashBidNoticeAbstractUI.aspx?menuIndex=3&amp;refID=7194859&amp;Result=3","7194859")</f>
        <v>0</v>
      </c>
      <c r="B721" t="s">
        <v>280</v>
      </c>
      <c r="C721" t="s">
        <v>4385</v>
      </c>
      <c r="D721" t="s">
        <v>19028</v>
      </c>
      <c r="E721" t="s">
        <v>19770</v>
      </c>
      <c r="F721" t="s">
        <v>32607</v>
      </c>
      <c r="G721" t="s">
        <v>32614</v>
      </c>
      <c r="H721" t="s">
        <v>14201</v>
      </c>
      <c r="I721" t="s">
        <v>6298</v>
      </c>
      <c r="J721" t="s">
        <v>33333</v>
      </c>
      <c r="K721" t="s">
        <v>42623</v>
      </c>
      <c r="M721" t="s">
        <v>43181</v>
      </c>
      <c r="N721" t="s">
        <v>47304</v>
      </c>
      <c r="O721" t="s">
        <v>47305</v>
      </c>
      <c r="P721">
        <v>0</v>
      </c>
      <c r="Q721">
        <v>0</v>
      </c>
      <c r="R721" t="s">
        <v>47306</v>
      </c>
      <c r="S721" t="s">
        <v>47414</v>
      </c>
      <c r="T721" t="s">
        <v>49002</v>
      </c>
      <c r="U721" t="s">
        <v>50214</v>
      </c>
      <c r="W721" t="s">
        <v>43181</v>
      </c>
      <c r="X721" t="s">
        <v>47308</v>
      </c>
    </row>
    <row r="722" spans="1:24">
      <c r="A722">
        <f>HYPERLINK("https://www.philgeps.gov.ph/GEPSNONPILOT/Tender/SplashBidNoticeAbstractUI.aspx?menuIndex=3&amp;refID=7198258&amp;Result=3","7198258")</f>
        <v>0</v>
      </c>
      <c r="B722" t="s">
        <v>374</v>
      </c>
      <c r="C722" t="s">
        <v>4560</v>
      </c>
      <c r="D722" t="s">
        <v>18999</v>
      </c>
      <c r="E722" t="s">
        <v>19771</v>
      </c>
      <c r="F722" t="s">
        <v>32606</v>
      </c>
      <c r="G722" t="s">
        <v>32614</v>
      </c>
      <c r="H722" t="s">
        <v>14201</v>
      </c>
      <c r="I722" t="s">
        <v>32652</v>
      </c>
      <c r="J722" t="s">
        <v>33334</v>
      </c>
      <c r="K722" t="s">
        <v>42623</v>
      </c>
      <c r="M722" t="s">
        <v>43276</v>
      </c>
      <c r="N722" t="s">
        <v>47304</v>
      </c>
      <c r="O722" t="s">
        <v>47305</v>
      </c>
      <c r="P722">
        <v>0</v>
      </c>
      <c r="Q722">
        <v>0</v>
      </c>
      <c r="R722" t="s">
        <v>47307</v>
      </c>
      <c r="S722" t="s">
        <v>47416</v>
      </c>
      <c r="T722" t="s">
        <v>49100</v>
      </c>
      <c r="U722" t="s">
        <v>50215</v>
      </c>
      <c r="W722" t="s">
        <v>43276</v>
      </c>
      <c r="X722" t="s">
        <v>47306</v>
      </c>
    </row>
    <row r="723" spans="1:24">
      <c r="A723">
        <f>HYPERLINK("https://www.philgeps.gov.ph/GEPSNONPILOT/Tender/SplashBidNoticeAbstractUI.aspx?menuIndex=3&amp;refID=7198257&amp;Result=3","7198257")</f>
        <v>0</v>
      </c>
      <c r="B723" t="s">
        <v>375</v>
      </c>
      <c r="C723" t="s">
        <v>4561</v>
      </c>
      <c r="D723" t="s">
        <v>18988</v>
      </c>
      <c r="E723" t="s">
        <v>19772</v>
      </c>
      <c r="F723" t="s">
        <v>32606</v>
      </c>
      <c r="G723" t="s">
        <v>32615</v>
      </c>
      <c r="H723" t="s">
        <v>14201</v>
      </c>
      <c r="I723" t="s">
        <v>6931</v>
      </c>
      <c r="J723" t="s">
        <v>33335</v>
      </c>
      <c r="K723" t="s">
        <v>42624</v>
      </c>
      <c r="M723" t="s">
        <v>43277</v>
      </c>
      <c r="N723" t="s">
        <v>47304</v>
      </c>
      <c r="O723" t="s">
        <v>47305</v>
      </c>
      <c r="P723">
        <v>0</v>
      </c>
      <c r="Q723">
        <v>0</v>
      </c>
      <c r="R723" t="s">
        <v>47307</v>
      </c>
      <c r="S723" t="s">
        <v>47416</v>
      </c>
      <c r="T723" t="s">
        <v>49023</v>
      </c>
      <c r="U723" t="s">
        <v>50216</v>
      </c>
      <c r="W723" t="s">
        <v>43277</v>
      </c>
      <c r="X723" t="s">
        <v>47306</v>
      </c>
    </row>
    <row r="724" spans="1:24">
      <c r="A724">
        <f>HYPERLINK("https://www.philgeps.gov.ph/GEPSNONPILOT/Tender/SplashBidNoticeAbstractUI.aspx?menuIndex=3&amp;refID=7198272&amp;Result=3","7198272")</f>
        <v>0</v>
      </c>
      <c r="B724" t="s">
        <v>376</v>
      </c>
      <c r="C724" t="s">
        <v>4562</v>
      </c>
      <c r="D724" t="s">
        <v>19039</v>
      </c>
      <c r="E724" t="s">
        <v>19773</v>
      </c>
      <c r="F724" t="s">
        <v>32606</v>
      </c>
      <c r="G724" t="s">
        <v>32614</v>
      </c>
      <c r="H724" t="s">
        <v>14201</v>
      </c>
      <c r="I724" t="s">
        <v>32640</v>
      </c>
      <c r="J724" t="s">
        <v>33336</v>
      </c>
      <c r="K724" t="s">
        <v>42630</v>
      </c>
      <c r="M724" t="s">
        <v>43278</v>
      </c>
      <c r="N724" t="s">
        <v>47304</v>
      </c>
      <c r="O724" t="s">
        <v>47305</v>
      </c>
      <c r="P724">
        <v>0</v>
      </c>
      <c r="Q724">
        <v>0</v>
      </c>
      <c r="R724" t="s">
        <v>47307</v>
      </c>
      <c r="S724" t="s">
        <v>47416</v>
      </c>
      <c r="T724" t="s">
        <v>48975</v>
      </c>
      <c r="U724" t="s">
        <v>50217</v>
      </c>
      <c r="W724" t="s">
        <v>43278</v>
      </c>
      <c r="X724" t="s">
        <v>47306</v>
      </c>
    </row>
    <row r="725" spans="1:24">
      <c r="A725">
        <f>HYPERLINK("https://www.philgeps.gov.ph/GEPSNONPILOT/Tender/SplashBidNoticeAbstractUI.aspx?menuIndex=3&amp;refID=7198271&amp;Result=3","7198271")</f>
        <v>0</v>
      </c>
      <c r="B725" t="s">
        <v>377</v>
      </c>
      <c r="C725" t="s">
        <v>4563</v>
      </c>
      <c r="D725" t="s">
        <v>19028</v>
      </c>
      <c r="E725" t="s">
        <v>19774</v>
      </c>
      <c r="F725" t="s">
        <v>32606</v>
      </c>
      <c r="G725" t="s">
        <v>32613</v>
      </c>
      <c r="H725" t="s">
        <v>14201</v>
      </c>
      <c r="I725" t="s">
        <v>7064</v>
      </c>
      <c r="J725" t="s">
        <v>33337</v>
      </c>
      <c r="K725" t="s">
        <v>42623</v>
      </c>
      <c r="M725" t="s">
        <v>43279</v>
      </c>
      <c r="N725" t="s">
        <v>47304</v>
      </c>
      <c r="O725" t="s">
        <v>47305</v>
      </c>
      <c r="P725">
        <v>0</v>
      </c>
      <c r="Q725">
        <v>3</v>
      </c>
      <c r="R725" t="s">
        <v>47307</v>
      </c>
      <c r="S725" t="s">
        <v>47416</v>
      </c>
      <c r="T725" t="s">
        <v>48973</v>
      </c>
      <c r="U725" t="s">
        <v>50218</v>
      </c>
      <c r="V725" t="s">
        <v>62731</v>
      </c>
      <c r="W725" t="s">
        <v>43279</v>
      </c>
      <c r="X725" t="s">
        <v>47306</v>
      </c>
    </row>
    <row r="726" spans="1:24">
      <c r="A726">
        <f>HYPERLINK("https://www.philgeps.gov.ph/GEPSNONPILOT/Tender/SplashBidNoticeAbstractUI.aspx?menuIndex=3&amp;refID=7198249&amp;Result=3","7198249")</f>
        <v>0</v>
      </c>
      <c r="B726" t="s">
        <v>378</v>
      </c>
      <c r="C726" t="s">
        <v>4564</v>
      </c>
      <c r="D726" t="s">
        <v>19018</v>
      </c>
      <c r="E726" t="s">
        <v>19775</v>
      </c>
      <c r="F726" t="s">
        <v>32606</v>
      </c>
      <c r="G726" t="s">
        <v>32614</v>
      </c>
      <c r="H726" t="s">
        <v>14201</v>
      </c>
      <c r="I726" t="s">
        <v>6931</v>
      </c>
      <c r="J726" t="s">
        <v>33338</v>
      </c>
      <c r="K726" t="s">
        <v>42622</v>
      </c>
      <c r="M726" t="s">
        <v>43280</v>
      </c>
      <c r="N726" t="s">
        <v>47304</v>
      </c>
      <c r="O726" t="s">
        <v>47305</v>
      </c>
      <c r="P726">
        <v>0</v>
      </c>
      <c r="Q726">
        <v>0</v>
      </c>
      <c r="R726" t="s">
        <v>47307</v>
      </c>
      <c r="S726" t="s">
        <v>47416</v>
      </c>
      <c r="T726" t="s">
        <v>48972</v>
      </c>
      <c r="U726" t="s">
        <v>50219</v>
      </c>
      <c r="W726" t="s">
        <v>43280</v>
      </c>
      <c r="X726" t="s">
        <v>47306</v>
      </c>
    </row>
    <row r="727" spans="1:24">
      <c r="A727">
        <f>HYPERLINK("https://www.philgeps.gov.ph/GEPSNONPILOT/Tender/SplashBidNoticeAbstractUI.aspx?menuIndex=3&amp;refID=7198269&amp;Result=3","7198269")</f>
        <v>0</v>
      </c>
      <c r="B727" t="s">
        <v>379</v>
      </c>
      <c r="C727" t="s">
        <v>4565</v>
      </c>
      <c r="D727" t="s">
        <v>19049</v>
      </c>
      <c r="E727" t="s">
        <v>19776</v>
      </c>
      <c r="F727" t="s">
        <v>32606</v>
      </c>
      <c r="G727" t="s">
        <v>32619</v>
      </c>
      <c r="H727" t="s">
        <v>14201</v>
      </c>
      <c r="I727" t="s">
        <v>32678</v>
      </c>
      <c r="J727" t="s">
        <v>32949</v>
      </c>
      <c r="K727" t="s">
        <v>42629</v>
      </c>
      <c r="M727" t="s">
        <v>43281</v>
      </c>
      <c r="N727" t="s">
        <v>47304</v>
      </c>
      <c r="O727" t="s">
        <v>47305</v>
      </c>
      <c r="P727">
        <v>0</v>
      </c>
      <c r="Q727">
        <v>0</v>
      </c>
      <c r="R727" t="s">
        <v>47307</v>
      </c>
      <c r="S727" t="s">
        <v>47416</v>
      </c>
      <c r="T727" t="s">
        <v>48979</v>
      </c>
      <c r="U727" t="s">
        <v>50220</v>
      </c>
      <c r="W727" t="s">
        <v>43281</v>
      </c>
      <c r="X727" t="s">
        <v>47306</v>
      </c>
    </row>
    <row r="728" spans="1:24">
      <c r="A728">
        <f>HYPERLINK("https://www.philgeps.gov.ph/GEPSNONPILOT/Tender/SplashBidNoticeAbstractUI.aspx?menuIndex=3&amp;refID=7198266&amp;Result=3","7198266")</f>
        <v>0</v>
      </c>
      <c r="B728" t="s">
        <v>181</v>
      </c>
      <c r="C728" t="s">
        <v>4354</v>
      </c>
      <c r="D728" t="s">
        <v>19029</v>
      </c>
      <c r="E728" t="s">
        <v>19777</v>
      </c>
      <c r="F728" t="s">
        <v>32606</v>
      </c>
      <c r="G728" t="s">
        <v>32619</v>
      </c>
      <c r="H728" t="s">
        <v>14201</v>
      </c>
      <c r="I728" t="s">
        <v>7529</v>
      </c>
      <c r="J728" t="s">
        <v>33225</v>
      </c>
      <c r="K728" t="s">
        <v>42625</v>
      </c>
      <c r="M728" t="s">
        <v>43082</v>
      </c>
      <c r="N728" t="s">
        <v>47304</v>
      </c>
      <c r="O728" t="s">
        <v>47305</v>
      </c>
      <c r="P728">
        <v>0</v>
      </c>
      <c r="Q728">
        <v>0</v>
      </c>
      <c r="R728" t="s">
        <v>47307</v>
      </c>
      <c r="S728" t="s">
        <v>47416</v>
      </c>
      <c r="T728" t="s">
        <v>48980</v>
      </c>
      <c r="U728" t="s">
        <v>50221</v>
      </c>
      <c r="W728" t="s">
        <v>43082</v>
      </c>
      <c r="X728" t="s">
        <v>47306</v>
      </c>
    </row>
    <row r="729" spans="1:24">
      <c r="A729">
        <f>HYPERLINK("https://www.philgeps.gov.ph/GEPSNONPILOT/Tender/SplashBidNoticeAbstractUI.aspx?menuIndex=3&amp;refID=7198264&amp;Result=3","7198264")</f>
        <v>0</v>
      </c>
      <c r="B729" t="s">
        <v>380</v>
      </c>
      <c r="C729" t="s">
        <v>4566</v>
      </c>
      <c r="D729" t="s">
        <v>18990</v>
      </c>
      <c r="E729" t="s">
        <v>19778</v>
      </c>
      <c r="F729" t="s">
        <v>32606</v>
      </c>
      <c r="G729" t="s">
        <v>32614</v>
      </c>
      <c r="H729" t="s">
        <v>14201</v>
      </c>
      <c r="I729" t="s">
        <v>6931</v>
      </c>
      <c r="J729" t="s">
        <v>33339</v>
      </c>
      <c r="K729" t="s">
        <v>42631</v>
      </c>
      <c r="M729" t="s">
        <v>43282</v>
      </c>
      <c r="N729" t="s">
        <v>47304</v>
      </c>
      <c r="O729" t="s">
        <v>47305</v>
      </c>
      <c r="P729">
        <v>0</v>
      </c>
      <c r="Q729">
        <v>0</v>
      </c>
      <c r="R729" t="s">
        <v>47307</v>
      </c>
      <c r="S729" t="s">
        <v>47416</v>
      </c>
      <c r="T729" t="s">
        <v>48986</v>
      </c>
      <c r="U729" t="s">
        <v>50222</v>
      </c>
      <c r="W729" t="s">
        <v>43282</v>
      </c>
      <c r="X729" t="s">
        <v>47306</v>
      </c>
    </row>
    <row r="730" spans="1:24">
      <c r="A730">
        <f>HYPERLINK("https://www.philgeps.gov.ph/GEPSNONPILOT/Tender/SplashBidNoticeAbstractUI.aspx?menuIndex=3&amp;refID=7198256&amp;Result=3","7198256")</f>
        <v>0</v>
      </c>
      <c r="B730" t="s">
        <v>381</v>
      </c>
      <c r="C730" t="s">
        <v>4567</v>
      </c>
      <c r="E730" t="s">
        <v>19779</v>
      </c>
      <c r="F730" t="s">
        <v>32606</v>
      </c>
      <c r="G730" t="s">
        <v>32614</v>
      </c>
      <c r="H730" t="s">
        <v>14201</v>
      </c>
      <c r="I730" t="s">
        <v>32676</v>
      </c>
      <c r="J730" t="s">
        <v>33340</v>
      </c>
      <c r="K730" t="s">
        <v>42624</v>
      </c>
      <c r="M730" t="s">
        <v>43283</v>
      </c>
      <c r="N730" t="s">
        <v>47304</v>
      </c>
      <c r="O730" t="s">
        <v>47305</v>
      </c>
      <c r="P730">
        <v>0</v>
      </c>
      <c r="Q730">
        <v>0</v>
      </c>
      <c r="R730" t="s">
        <v>47307</v>
      </c>
      <c r="S730" t="s">
        <v>47416</v>
      </c>
      <c r="T730" t="s">
        <v>48972</v>
      </c>
      <c r="U730" t="s">
        <v>50223</v>
      </c>
      <c r="W730" t="s">
        <v>43283</v>
      </c>
      <c r="X730" t="s">
        <v>47306</v>
      </c>
    </row>
    <row r="731" spans="1:24">
      <c r="A731">
        <f>HYPERLINK("https://www.philgeps.gov.ph/GEPSNONPILOT/Tender/SplashBidNoticeAbstractUI.aspx?menuIndex=3&amp;refID=7198255&amp;Result=3","7198255")</f>
        <v>0</v>
      </c>
      <c r="B731" t="s">
        <v>61</v>
      </c>
      <c r="C731" t="s">
        <v>4568</v>
      </c>
      <c r="D731" t="s">
        <v>19012</v>
      </c>
      <c r="E731" t="s">
        <v>19780</v>
      </c>
      <c r="F731" t="s">
        <v>32606</v>
      </c>
      <c r="G731" t="s">
        <v>32619</v>
      </c>
      <c r="H731" t="s">
        <v>14201</v>
      </c>
      <c r="I731" t="s">
        <v>6007</v>
      </c>
      <c r="J731" t="s">
        <v>33341</v>
      </c>
      <c r="K731" t="s">
        <v>42622</v>
      </c>
      <c r="M731" t="s">
        <v>42958</v>
      </c>
      <c r="N731" t="s">
        <v>47304</v>
      </c>
      <c r="O731" t="s">
        <v>47305</v>
      </c>
      <c r="P731">
        <v>0</v>
      </c>
      <c r="Q731">
        <v>0</v>
      </c>
      <c r="R731" t="s">
        <v>47307</v>
      </c>
      <c r="S731" t="s">
        <v>47416</v>
      </c>
      <c r="T731" t="s">
        <v>49087</v>
      </c>
      <c r="U731" t="s">
        <v>50224</v>
      </c>
      <c r="V731" t="s">
        <v>50845</v>
      </c>
      <c r="W731" t="s">
        <v>42958</v>
      </c>
      <c r="X731" t="s">
        <v>47306</v>
      </c>
    </row>
    <row r="732" spans="1:24">
      <c r="A732">
        <f>HYPERLINK("https://www.philgeps.gov.ph/GEPSNONPILOT/Tender/SplashBidNoticeAbstractUI.aspx?menuIndex=3&amp;refID=7198265&amp;Result=3","7198265")</f>
        <v>0</v>
      </c>
      <c r="B732" t="s">
        <v>382</v>
      </c>
      <c r="C732" t="s">
        <v>4569</v>
      </c>
      <c r="D732" t="s">
        <v>19002</v>
      </c>
      <c r="E732" t="s">
        <v>19781</v>
      </c>
      <c r="F732" t="s">
        <v>32606</v>
      </c>
      <c r="G732" t="s">
        <v>32613</v>
      </c>
      <c r="H732" t="s">
        <v>14201</v>
      </c>
      <c r="I732" t="s">
        <v>6931</v>
      </c>
      <c r="J732" t="s">
        <v>33342</v>
      </c>
      <c r="K732" t="s">
        <v>42624</v>
      </c>
      <c r="M732" t="s">
        <v>43284</v>
      </c>
      <c r="N732" t="s">
        <v>47304</v>
      </c>
      <c r="O732" t="s">
        <v>47305</v>
      </c>
      <c r="P732">
        <v>0</v>
      </c>
      <c r="Q732">
        <v>0</v>
      </c>
      <c r="R732" t="s">
        <v>47307</v>
      </c>
      <c r="S732" t="s">
        <v>47416</v>
      </c>
      <c r="T732" t="s">
        <v>49101</v>
      </c>
      <c r="U732" t="s">
        <v>50225</v>
      </c>
      <c r="W732" t="s">
        <v>43284</v>
      </c>
      <c r="X732" t="s">
        <v>47306</v>
      </c>
    </row>
    <row r="733" spans="1:24">
      <c r="A733">
        <f>HYPERLINK("https://www.philgeps.gov.ph/GEPSNONPILOT/Tender/SplashBidNoticeAbstractUI.aspx?menuIndex=3&amp;refID=7194858&amp;Result=3","7194858")</f>
        <v>0</v>
      </c>
      <c r="B733" t="s">
        <v>288</v>
      </c>
      <c r="C733" t="s">
        <v>4570</v>
      </c>
      <c r="D733" t="s">
        <v>19034</v>
      </c>
      <c r="E733" t="s">
        <v>19782</v>
      </c>
      <c r="F733" t="s">
        <v>32606</v>
      </c>
      <c r="G733" t="s">
        <v>32613</v>
      </c>
      <c r="H733" t="s">
        <v>14201</v>
      </c>
      <c r="I733" t="s">
        <v>7529</v>
      </c>
      <c r="J733" t="s">
        <v>33343</v>
      </c>
      <c r="K733" t="s">
        <v>42631</v>
      </c>
      <c r="M733" t="s">
        <v>43285</v>
      </c>
      <c r="N733" t="s">
        <v>47304</v>
      </c>
      <c r="O733" t="s">
        <v>47305</v>
      </c>
      <c r="P733">
        <v>0</v>
      </c>
      <c r="Q733">
        <v>2</v>
      </c>
      <c r="R733" t="s">
        <v>47306</v>
      </c>
      <c r="S733" t="s">
        <v>47414</v>
      </c>
      <c r="T733" t="s">
        <v>48973</v>
      </c>
      <c r="U733" t="s">
        <v>50226</v>
      </c>
      <c r="W733" t="s">
        <v>64427</v>
      </c>
      <c r="X733" t="s">
        <v>47308</v>
      </c>
    </row>
    <row r="734" spans="1:24">
      <c r="A734">
        <f>HYPERLINK("https://www.philgeps.gov.ph/GEPSNONPILOT/Tender/SplashBidNoticeAbstractUI.aspx?menuIndex=3&amp;refID=7194863&amp;Result=3","7194863")</f>
        <v>0</v>
      </c>
      <c r="B734" t="s">
        <v>296</v>
      </c>
      <c r="C734" t="s">
        <v>4571</v>
      </c>
      <c r="D734" t="s">
        <v>19038</v>
      </c>
      <c r="E734" t="s">
        <v>19783</v>
      </c>
      <c r="F734" t="s">
        <v>32606</v>
      </c>
      <c r="G734" t="s">
        <v>32613</v>
      </c>
      <c r="H734" t="s">
        <v>14201</v>
      </c>
      <c r="I734" t="s">
        <v>4678</v>
      </c>
      <c r="J734" t="s">
        <v>33299</v>
      </c>
      <c r="K734" t="s">
        <v>42624</v>
      </c>
      <c r="M734" t="s">
        <v>43198</v>
      </c>
      <c r="N734" t="s">
        <v>47304</v>
      </c>
      <c r="O734" t="s">
        <v>47305</v>
      </c>
      <c r="P734">
        <v>0</v>
      </c>
      <c r="Q734">
        <v>0</v>
      </c>
      <c r="R734" t="s">
        <v>47306</v>
      </c>
      <c r="S734" t="s">
        <v>47414</v>
      </c>
      <c r="T734" t="s">
        <v>49017</v>
      </c>
      <c r="U734" t="s">
        <v>50103</v>
      </c>
      <c r="W734" t="s">
        <v>43198</v>
      </c>
      <c r="X734" t="s">
        <v>47308</v>
      </c>
    </row>
    <row r="735" spans="1:24">
      <c r="A735">
        <f>HYPERLINK("https://www.philgeps.gov.ph/GEPSNONPILOT/Tender/SplashBidNoticeAbstractUI.aspx?menuIndex=3&amp;refID=7198270&amp;Result=3","7198270")</f>
        <v>0</v>
      </c>
      <c r="B735" t="s">
        <v>383</v>
      </c>
      <c r="C735" t="s">
        <v>4572</v>
      </c>
      <c r="E735" t="s">
        <v>19784</v>
      </c>
      <c r="F735" t="s">
        <v>32606</v>
      </c>
      <c r="G735" t="s">
        <v>32615</v>
      </c>
      <c r="H735" t="s">
        <v>14201</v>
      </c>
      <c r="I735" t="s">
        <v>32629</v>
      </c>
      <c r="J735" t="s">
        <v>33344</v>
      </c>
      <c r="K735" t="s">
        <v>42624</v>
      </c>
      <c r="M735" t="s">
        <v>43286</v>
      </c>
      <c r="N735" t="s">
        <v>47304</v>
      </c>
      <c r="O735" t="s">
        <v>47305</v>
      </c>
      <c r="P735">
        <v>0</v>
      </c>
      <c r="Q735">
        <v>0</v>
      </c>
      <c r="R735" t="s">
        <v>47307</v>
      </c>
      <c r="S735" t="s">
        <v>47416</v>
      </c>
      <c r="T735" t="s">
        <v>49102</v>
      </c>
      <c r="U735" t="s">
        <v>50227</v>
      </c>
      <c r="W735" t="s">
        <v>43286</v>
      </c>
      <c r="X735" t="s">
        <v>47306</v>
      </c>
    </row>
    <row r="736" spans="1:24">
      <c r="A736">
        <f>HYPERLINK("https://www.philgeps.gov.ph/GEPSNONPILOT/Tender/SplashBidNoticeAbstractUI.aspx?menuIndex=3&amp;refID=7198250&amp;Result=3","7198250")</f>
        <v>0</v>
      </c>
      <c r="B736" t="s">
        <v>384</v>
      </c>
      <c r="C736" t="s">
        <v>4573</v>
      </c>
      <c r="D736" t="s">
        <v>18995</v>
      </c>
      <c r="E736" t="s">
        <v>19785</v>
      </c>
      <c r="F736" t="s">
        <v>32606</v>
      </c>
      <c r="G736" t="s">
        <v>32614</v>
      </c>
      <c r="H736" t="s">
        <v>32623</v>
      </c>
      <c r="I736" t="s">
        <v>17648</v>
      </c>
      <c r="J736" t="s">
        <v>33345</v>
      </c>
      <c r="K736" t="s">
        <v>42684</v>
      </c>
      <c r="M736" t="s">
        <v>43287</v>
      </c>
      <c r="N736" t="s">
        <v>47304</v>
      </c>
      <c r="O736" t="s">
        <v>47305</v>
      </c>
      <c r="P736">
        <v>0</v>
      </c>
      <c r="Q736">
        <v>0</v>
      </c>
      <c r="R736" t="s">
        <v>47307</v>
      </c>
      <c r="S736" t="s">
        <v>47416</v>
      </c>
      <c r="T736" t="s">
        <v>49087</v>
      </c>
      <c r="U736" t="s">
        <v>50228</v>
      </c>
      <c r="W736" t="s">
        <v>43287</v>
      </c>
      <c r="X736" t="s">
        <v>47306</v>
      </c>
    </row>
    <row r="737" spans="1:24">
      <c r="A737">
        <f>HYPERLINK("https://www.philgeps.gov.ph/GEPSNONPILOT/Tender/SplashBidNoticeAbstractUI.aspx?menuIndex=3&amp;refID=7198253&amp;Result=3","7198253")</f>
        <v>0</v>
      </c>
      <c r="B737" t="s">
        <v>385</v>
      </c>
      <c r="C737" t="s">
        <v>4574</v>
      </c>
      <c r="D737" t="s">
        <v>19008</v>
      </c>
      <c r="E737" t="s">
        <v>19786</v>
      </c>
      <c r="F737" t="s">
        <v>32606</v>
      </c>
      <c r="G737" t="s">
        <v>32613</v>
      </c>
      <c r="H737" t="s">
        <v>14201</v>
      </c>
      <c r="I737" t="s">
        <v>7677</v>
      </c>
      <c r="J737" t="s">
        <v>33346</v>
      </c>
      <c r="K737" t="s">
        <v>42631</v>
      </c>
      <c r="M737" t="s">
        <v>43288</v>
      </c>
      <c r="N737" t="s">
        <v>47304</v>
      </c>
      <c r="O737" t="s">
        <v>47305</v>
      </c>
      <c r="P737">
        <v>0</v>
      </c>
      <c r="Q737">
        <v>0</v>
      </c>
      <c r="R737" t="s">
        <v>47307</v>
      </c>
      <c r="S737" t="s">
        <v>47416</v>
      </c>
      <c r="T737" t="s">
        <v>48995</v>
      </c>
      <c r="U737" t="s">
        <v>50229</v>
      </c>
      <c r="W737" t="s">
        <v>43288</v>
      </c>
      <c r="X737" t="s">
        <v>47306</v>
      </c>
    </row>
    <row r="738" spans="1:24">
      <c r="A738">
        <f>HYPERLINK("https://www.philgeps.gov.ph/GEPSNONPILOT/Tender/SplashBidNoticeAbstractUI.aspx?menuIndex=3&amp;refID=7198275&amp;Result=3","7198275")</f>
        <v>0</v>
      </c>
      <c r="B738" t="s">
        <v>386</v>
      </c>
      <c r="C738" t="s">
        <v>4575</v>
      </c>
      <c r="D738" t="s">
        <v>19028</v>
      </c>
      <c r="E738" t="s">
        <v>19787</v>
      </c>
      <c r="F738" t="s">
        <v>32606</v>
      </c>
      <c r="G738" t="s">
        <v>32613</v>
      </c>
      <c r="H738" t="s">
        <v>32623</v>
      </c>
      <c r="I738" t="s">
        <v>17648</v>
      </c>
      <c r="J738" t="s">
        <v>33347</v>
      </c>
      <c r="K738" t="s">
        <v>42685</v>
      </c>
      <c r="M738" t="s">
        <v>43289</v>
      </c>
      <c r="N738" t="s">
        <v>47304</v>
      </c>
      <c r="O738" t="s">
        <v>47305</v>
      </c>
      <c r="P738">
        <v>0</v>
      </c>
      <c r="Q738">
        <v>0</v>
      </c>
      <c r="R738" t="s">
        <v>47307</v>
      </c>
      <c r="S738" t="s">
        <v>47416</v>
      </c>
      <c r="T738" t="s">
        <v>49041</v>
      </c>
      <c r="U738" t="s">
        <v>50230</v>
      </c>
      <c r="W738" t="s">
        <v>43289</v>
      </c>
      <c r="X738" t="s">
        <v>47306</v>
      </c>
    </row>
    <row r="739" spans="1:24">
      <c r="A739">
        <f>HYPERLINK("https://www.philgeps.gov.ph/GEPSNONPILOT/Tender/SplashBidNoticeAbstractUI.aspx?menuIndex=3&amp;refID=7198274&amp;Result=3","7198274")</f>
        <v>0</v>
      </c>
      <c r="B739" t="s">
        <v>387</v>
      </c>
      <c r="C739" t="s">
        <v>4576</v>
      </c>
      <c r="D739" t="s">
        <v>18988</v>
      </c>
      <c r="E739" t="s">
        <v>19788</v>
      </c>
      <c r="F739" t="s">
        <v>32606</v>
      </c>
      <c r="G739" t="s">
        <v>32613</v>
      </c>
      <c r="H739" t="s">
        <v>14201</v>
      </c>
      <c r="I739" t="s">
        <v>32644</v>
      </c>
      <c r="J739" t="s">
        <v>33348</v>
      </c>
      <c r="K739" t="s">
        <v>42627</v>
      </c>
      <c r="M739" t="s">
        <v>43290</v>
      </c>
      <c r="N739" t="s">
        <v>47304</v>
      </c>
      <c r="O739" t="s">
        <v>47305</v>
      </c>
      <c r="P739">
        <v>0</v>
      </c>
      <c r="Q739">
        <v>0</v>
      </c>
      <c r="R739" t="s">
        <v>47307</v>
      </c>
      <c r="S739" t="s">
        <v>47416</v>
      </c>
      <c r="T739" t="s">
        <v>49103</v>
      </c>
      <c r="U739" t="s">
        <v>50231</v>
      </c>
      <c r="W739" t="s">
        <v>64431</v>
      </c>
      <c r="X739" t="s">
        <v>47306</v>
      </c>
    </row>
    <row r="740" spans="1:24">
      <c r="A740">
        <f>HYPERLINK("https://www.philgeps.gov.ph/GEPSNONPILOT/Tender/SplashBidNoticeAbstractUI.aspx?menuIndex=3&amp;refID=7198288&amp;Result=3","7198288")</f>
        <v>0</v>
      </c>
      <c r="B740" t="s">
        <v>388</v>
      </c>
      <c r="C740" t="s">
        <v>4577</v>
      </c>
      <c r="D740" t="s">
        <v>19040</v>
      </c>
      <c r="E740" t="s">
        <v>19789</v>
      </c>
      <c r="F740" t="s">
        <v>32606</v>
      </c>
      <c r="G740" t="s">
        <v>32614</v>
      </c>
      <c r="H740" t="s">
        <v>14201</v>
      </c>
      <c r="I740" t="s">
        <v>4369</v>
      </c>
      <c r="J740" t="s">
        <v>33349</v>
      </c>
      <c r="K740" t="s">
        <v>42632</v>
      </c>
      <c r="M740" t="s">
        <v>43291</v>
      </c>
      <c r="N740" t="s">
        <v>47304</v>
      </c>
      <c r="O740" t="s">
        <v>47305</v>
      </c>
      <c r="P740">
        <v>0</v>
      </c>
      <c r="Q740">
        <v>0</v>
      </c>
      <c r="R740" t="s">
        <v>47307</v>
      </c>
      <c r="S740" t="s">
        <v>47416</v>
      </c>
      <c r="T740" t="s">
        <v>48972</v>
      </c>
      <c r="U740" t="s">
        <v>50232</v>
      </c>
      <c r="W740" t="s">
        <v>43291</v>
      </c>
      <c r="X740" t="s">
        <v>47306</v>
      </c>
    </row>
    <row r="741" spans="1:24">
      <c r="A741">
        <f>HYPERLINK("https://www.philgeps.gov.ph/GEPSNONPILOT/Tender/SplashBidNoticeAbstractUI.aspx?menuIndex=3&amp;refID=7198287&amp;Result=3","7198287")</f>
        <v>0</v>
      </c>
      <c r="B741" t="s">
        <v>389</v>
      </c>
      <c r="C741" t="s">
        <v>4578</v>
      </c>
      <c r="D741" t="s">
        <v>18999</v>
      </c>
      <c r="E741" t="s">
        <v>19790</v>
      </c>
      <c r="F741" t="s">
        <v>32606</v>
      </c>
      <c r="G741" t="s">
        <v>32613</v>
      </c>
      <c r="H741" t="s">
        <v>14201</v>
      </c>
      <c r="I741" t="s">
        <v>32633</v>
      </c>
      <c r="J741" t="s">
        <v>33350</v>
      </c>
      <c r="K741" t="s">
        <v>42623</v>
      </c>
      <c r="M741" t="s">
        <v>43292</v>
      </c>
      <c r="N741" t="s">
        <v>47304</v>
      </c>
      <c r="O741" t="s">
        <v>47305</v>
      </c>
      <c r="P741">
        <v>0</v>
      </c>
      <c r="Q741">
        <v>0</v>
      </c>
      <c r="R741" t="s">
        <v>47307</v>
      </c>
      <c r="S741" t="s">
        <v>47416</v>
      </c>
      <c r="T741" t="s">
        <v>49032</v>
      </c>
      <c r="U741" t="s">
        <v>50233</v>
      </c>
      <c r="W741" t="s">
        <v>43292</v>
      </c>
      <c r="X741" t="s">
        <v>47306</v>
      </c>
    </row>
    <row r="742" spans="1:24">
      <c r="A742">
        <f>HYPERLINK("https://www.philgeps.gov.ph/GEPSNONPILOT/Tender/SplashBidNoticeAbstractUI.aspx?menuIndex=3&amp;refID=7198285&amp;Result=3","7198285")</f>
        <v>0</v>
      </c>
      <c r="B742" t="s">
        <v>390</v>
      </c>
      <c r="C742" t="s">
        <v>4579</v>
      </c>
      <c r="D742" t="s">
        <v>18988</v>
      </c>
      <c r="E742" t="s">
        <v>19791</v>
      </c>
      <c r="F742" t="s">
        <v>32606</v>
      </c>
      <c r="G742" t="s">
        <v>32613</v>
      </c>
      <c r="H742" t="s">
        <v>14201</v>
      </c>
      <c r="I742" t="s">
        <v>32629</v>
      </c>
      <c r="J742" t="s">
        <v>33351</v>
      </c>
      <c r="K742" t="s">
        <v>42624</v>
      </c>
      <c r="M742" t="s">
        <v>43293</v>
      </c>
      <c r="N742" t="s">
        <v>47304</v>
      </c>
      <c r="O742" t="s">
        <v>47305</v>
      </c>
      <c r="P742">
        <v>0</v>
      </c>
      <c r="Q742">
        <v>0</v>
      </c>
      <c r="R742" t="s">
        <v>47307</v>
      </c>
      <c r="S742" t="s">
        <v>47416</v>
      </c>
      <c r="T742" t="s">
        <v>49103</v>
      </c>
      <c r="U742" t="s">
        <v>50234</v>
      </c>
      <c r="V742" t="s">
        <v>62732</v>
      </c>
      <c r="W742" t="s">
        <v>43293</v>
      </c>
      <c r="X742" t="s">
        <v>47306</v>
      </c>
    </row>
    <row r="743" spans="1:24">
      <c r="A743">
        <f>HYPERLINK("https://www.philgeps.gov.ph/GEPSNONPILOT/Tender/SplashBidNoticeAbstractUI.aspx?menuIndex=3&amp;refID=7198292&amp;Result=3","7198292")</f>
        <v>0</v>
      </c>
      <c r="B743" t="s">
        <v>391</v>
      </c>
      <c r="C743" t="s">
        <v>4580</v>
      </c>
      <c r="D743" t="s">
        <v>18993</v>
      </c>
      <c r="E743" t="s">
        <v>19315</v>
      </c>
      <c r="F743" t="s">
        <v>32606</v>
      </c>
      <c r="G743" t="s">
        <v>32614</v>
      </c>
      <c r="H743" t="s">
        <v>14201</v>
      </c>
      <c r="I743" t="s">
        <v>32633</v>
      </c>
      <c r="J743" t="s">
        <v>32813</v>
      </c>
      <c r="K743" t="s">
        <v>42631</v>
      </c>
      <c r="M743" t="s">
        <v>43294</v>
      </c>
      <c r="N743" t="s">
        <v>47304</v>
      </c>
      <c r="O743" t="s">
        <v>47305</v>
      </c>
      <c r="P743">
        <v>0</v>
      </c>
      <c r="Q743">
        <v>1</v>
      </c>
      <c r="R743" t="s">
        <v>47307</v>
      </c>
      <c r="S743" t="s">
        <v>47416</v>
      </c>
      <c r="T743" t="s">
        <v>49104</v>
      </c>
      <c r="U743" t="s">
        <v>50235</v>
      </c>
      <c r="W743" t="s">
        <v>43294</v>
      </c>
      <c r="X743" t="s">
        <v>47306</v>
      </c>
    </row>
    <row r="744" spans="1:24">
      <c r="A744">
        <f>HYPERLINK("https://www.philgeps.gov.ph/GEPSNONPILOT/Tender/SplashBidNoticeAbstractUI.aspx?menuIndex=3&amp;refID=7198291&amp;Result=3","7198291")</f>
        <v>0</v>
      </c>
      <c r="B744" t="s">
        <v>392</v>
      </c>
      <c r="C744" t="s">
        <v>4581</v>
      </c>
      <c r="D744" t="s">
        <v>18993</v>
      </c>
      <c r="E744" t="s">
        <v>19792</v>
      </c>
      <c r="F744" t="s">
        <v>32606</v>
      </c>
      <c r="G744" t="s">
        <v>32614</v>
      </c>
      <c r="H744" t="s">
        <v>14201</v>
      </c>
      <c r="I744" t="s">
        <v>32640</v>
      </c>
      <c r="J744" t="s">
        <v>33352</v>
      </c>
      <c r="K744" t="s">
        <v>42630</v>
      </c>
      <c r="M744" t="s">
        <v>43295</v>
      </c>
      <c r="N744" t="s">
        <v>47304</v>
      </c>
      <c r="O744" t="s">
        <v>47305</v>
      </c>
      <c r="P744">
        <v>0</v>
      </c>
      <c r="Q744">
        <v>0</v>
      </c>
      <c r="R744" t="s">
        <v>47307</v>
      </c>
      <c r="S744" t="s">
        <v>47416</v>
      </c>
      <c r="T744" t="s">
        <v>49018</v>
      </c>
      <c r="U744" t="s">
        <v>50236</v>
      </c>
      <c r="W744" t="s">
        <v>43295</v>
      </c>
      <c r="X744" t="s">
        <v>47306</v>
      </c>
    </row>
    <row r="745" spans="1:24">
      <c r="A745">
        <f>HYPERLINK("https://www.philgeps.gov.ph/GEPSNONPILOT/Tender/SplashBidNoticeAbstractUI.aspx?menuIndex=3&amp;refID=7198290&amp;Result=3","7198290")</f>
        <v>0</v>
      </c>
      <c r="B745" t="s">
        <v>276</v>
      </c>
      <c r="C745" t="s">
        <v>4582</v>
      </c>
      <c r="D745" t="s">
        <v>19001</v>
      </c>
      <c r="E745" t="s">
        <v>19793</v>
      </c>
      <c r="F745" t="s">
        <v>32606</v>
      </c>
      <c r="G745" t="s">
        <v>32614</v>
      </c>
      <c r="H745" t="s">
        <v>14201</v>
      </c>
      <c r="I745" t="s">
        <v>32640</v>
      </c>
      <c r="J745" t="s">
        <v>33189</v>
      </c>
      <c r="K745" t="s">
        <v>42622</v>
      </c>
      <c r="M745" t="s">
        <v>43177</v>
      </c>
      <c r="N745" t="s">
        <v>47304</v>
      </c>
      <c r="O745" t="s">
        <v>47305</v>
      </c>
      <c r="P745">
        <v>0</v>
      </c>
      <c r="Q745">
        <v>0</v>
      </c>
      <c r="R745" t="s">
        <v>47307</v>
      </c>
      <c r="S745" t="s">
        <v>47416</v>
      </c>
      <c r="T745" t="s">
        <v>48986</v>
      </c>
      <c r="U745" t="s">
        <v>50237</v>
      </c>
      <c r="W745" t="s">
        <v>43177</v>
      </c>
      <c r="X745" t="s">
        <v>47306</v>
      </c>
    </row>
    <row r="746" spans="1:24">
      <c r="A746">
        <f>HYPERLINK("https://www.philgeps.gov.ph/GEPSNONPILOT/Tender/SplashBidNoticeAbstractUI.aspx?menuIndex=3&amp;refID=7198289&amp;Result=3","7198289")</f>
        <v>0</v>
      </c>
      <c r="B746" t="s">
        <v>393</v>
      </c>
      <c r="C746" t="s">
        <v>4583</v>
      </c>
      <c r="D746" t="s">
        <v>19001</v>
      </c>
      <c r="E746" t="s">
        <v>19794</v>
      </c>
      <c r="F746" t="s">
        <v>32606</v>
      </c>
      <c r="G746" t="s">
        <v>32613</v>
      </c>
      <c r="H746" t="s">
        <v>14201</v>
      </c>
      <c r="I746" t="s">
        <v>32650</v>
      </c>
      <c r="J746" t="s">
        <v>33353</v>
      </c>
      <c r="K746" t="s">
        <v>42622</v>
      </c>
      <c r="M746" t="s">
        <v>43296</v>
      </c>
      <c r="N746" t="s">
        <v>47304</v>
      </c>
      <c r="O746" t="s">
        <v>47305</v>
      </c>
      <c r="P746">
        <v>0</v>
      </c>
      <c r="Q746">
        <v>0</v>
      </c>
      <c r="R746" t="s">
        <v>47307</v>
      </c>
      <c r="S746" t="s">
        <v>47416</v>
      </c>
      <c r="T746" t="s">
        <v>48996</v>
      </c>
      <c r="U746" t="s">
        <v>50238</v>
      </c>
      <c r="V746" t="s">
        <v>62733</v>
      </c>
      <c r="W746" t="s">
        <v>43296</v>
      </c>
      <c r="X746" t="s">
        <v>47306</v>
      </c>
    </row>
    <row r="747" spans="1:24">
      <c r="A747">
        <f>HYPERLINK("https://www.philgeps.gov.ph/GEPSNONPILOT/Tender/SplashBidNoticeAbstractUI.aspx?menuIndex=3&amp;refID=7198254&amp;Result=3","7198254")</f>
        <v>0</v>
      </c>
      <c r="B747" t="s">
        <v>394</v>
      </c>
      <c r="C747" t="s">
        <v>4584</v>
      </c>
      <c r="D747" t="s">
        <v>19015</v>
      </c>
      <c r="E747" t="s">
        <v>19795</v>
      </c>
      <c r="F747" t="s">
        <v>32606</v>
      </c>
      <c r="G747" t="s">
        <v>32614</v>
      </c>
      <c r="H747" t="s">
        <v>14201</v>
      </c>
      <c r="I747" t="s">
        <v>17648</v>
      </c>
      <c r="J747" t="s">
        <v>33354</v>
      </c>
      <c r="K747" t="s">
        <v>42624</v>
      </c>
      <c r="M747" t="s">
        <v>43297</v>
      </c>
      <c r="N747" t="s">
        <v>47304</v>
      </c>
      <c r="O747" t="s">
        <v>47305</v>
      </c>
      <c r="P747">
        <v>0</v>
      </c>
      <c r="Q747">
        <v>0</v>
      </c>
      <c r="R747" t="s">
        <v>47307</v>
      </c>
      <c r="S747" t="s">
        <v>47416</v>
      </c>
      <c r="T747" t="s">
        <v>49023</v>
      </c>
      <c r="U747" t="s">
        <v>50239</v>
      </c>
      <c r="W747" t="s">
        <v>43297</v>
      </c>
      <c r="X747" t="s">
        <v>47306</v>
      </c>
    </row>
    <row r="748" spans="1:24">
      <c r="A748">
        <f>HYPERLINK("https://www.philgeps.gov.ph/GEPSNONPILOT/Tender/SplashBidNoticeAbstractUI.aspx?menuIndex=3&amp;refID=7198284&amp;Result=3","7198284")</f>
        <v>0</v>
      </c>
      <c r="B748" t="s">
        <v>395</v>
      </c>
      <c r="C748" t="s">
        <v>4585</v>
      </c>
      <c r="D748" t="s">
        <v>18997</v>
      </c>
      <c r="E748" t="s">
        <v>19796</v>
      </c>
      <c r="F748" t="s">
        <v>32606</v>
      </c>
      <c r="G748" t="s">
        <v>32614</v>
      </c>
      <c r="H748" t="s">
        <v>14201</v>
      </c>
      <c r="I748" t="s">
        <v>5233</v>
      </c>
      <c r="J748" t="s">
        <v>33355</v>
      </c>
      <c r="K748" t="s">
        <v>42630</v>
      </c>
      <c r="M748" t="s">
        <v>43298</v>
      </c>
      <c r="N748" t="s">
        <v>47304</v>
      </c>
      <c r="O748" t="s">
        <v>47305</v>
      </c>
      <c r="P748">
        <v>0</v>
      </c>
      <c r="Q748">
        <v>0</v>
      </c>
      <c r="R748" t="s">
        <v>47307</v>
      </c>
      <c r="S748" t="s">
        <v>47416</v>
      </c>
      <c r="T748" t="s">
        <v>49105</v>
      </c>
      <c r="U748" t="s">
        <v>50240</v>
      </c>
      <c r="V748" t="s">
        <v>62734</v>
      </c>
      <c r="W748" t="s">
        <v>43298</v>
      </c>
      <c r="X748" t="s">
        <v>47306</v>
      </c>
    </row>
    <row r="749" spans="1:24">
      <c r="A749">
        <f>HYPERLINK("https://www.philgeps.gov.ph/GEPSNONPILOT/Tender/SplashBidNoticeAbstractUI.aspx?menuIndex=3&amp;refID=7198286&amp;Result=3","7198286")</f>
        <v>0</v>
      </c>
      <c r="B749" t="s">
        <v>173</v>
      </c>
      <c r="C749" t="s">
        <v>4586</v>
      </c>
      <c r="E749" t="s">
        <v>19797</v>
      </c>
      <c r="F749" t="s">
        <v>32606</v>
      </c>
      <c r="G749" t="s">
        <v>32613</v>
      </c>
      <c r="H749" t="s">
        <v>14201</v>
      </c>
      <c r="I749" t="s">
        <v>4112</v>
      </c>
      <c r="J749" t="s">
        <v>32772</v>
      </c>
      <c r="K749" t="s">
        <v>42624</v>
      </c>
      <c r="M749" t="s">
        <v>43074</v>
      </c>
      <c r="N749" t="s">
        <v>47304</v>
      </c>
      <c r="O749" t="s">
        <v>47305</v>
      </c>
      <c r="P749">
        <v>0</v>
      </c>
      <c r="Q749">
        <v>0</v>
      </c>
      <c r="R749" t="s">
        <v>47307</v>
      </c>
      <c r="S749" t="s">
        <v>47416</v>
      </c>
      <c r="T749" t="s">
        <v>49031</v>
      </c>
      <c r="U749" t="s">
        <v>50241</v>
      </c>
      <c r="W749" t="s">
        <v>43074</v>
      </c>
      <c r="X749" t="s">
        <v>47306</v>
      </c>
    </row>
    <row r="750" spans="1:24">
      <c r="A750">
        <f>HYPERLINK("https://www.philgeps.gov.ph/GEPSNONPILOT/Tender/SplashBidNoticeAbstractUI.aspx?menuIndex=3&amp;refID=7198283&amp;Result=3","7198283")</f>
        <v>0</v>
      </c>
      <c r="B750" t="s">
        <v>384</v>
      </c>
      <c r="C750" t="s">
        <v>4587</v>
      </c>
      <c r="D750" t="s">
        <v>18995</v>
      </c>
      <c r="E750" t="s">
        <v>19798</v>
      </c>
      <c r="F750" t="s">
        <v>32606</v>
      </c>
      <c r="G750" t="s">
        <v>32614</v>
      </c>
      <c r="H750" t="s">
        <v>32624</v>
      </c>
      <c r="I750" t="s">
        <v>6993</v>
      </c>
      <c r="J750" t="s">
        <v>33356</v>
      </c>
      <c r="K750" t="s">
        <v>42622</v>
      </c>
      <c r="M750" t="s">
        <v>43287</v>
      </c>
      <c r="N750" t="s">
        <v>47304</v>
      </c>
      <c r="O750" t="s">
        <v>47305</v>
      </c>
      <c r="P750">
        <v>0</v>
      </c>
      <c r="Q750">
        <v>0</v>
      </c>
      <c r="R750" t="s">
        <v>47307</v>
      </c>
      <c r="S750" t="s">
        <v>47416</v>
      </c>
      <c r="T750" t="s">
        <v>49087</v>
      </c>
      <c r="U750" t="s">
        <v>50228</v>
      </c>
      <c r="W750" t="s">
        <v>43287</v>
      </c>
      <c r="X750" t="s">
        <v>47306</v>
      </c>
    </row>
    <row r="751" spans="1:24">
      <c r="A751">
        <f>HYPERLINK("https://www.philgeps.gov.ph/GEPSNONPILOT/Tender/SplashBidNoticeAbstractUI.aspx?menuIndex=3&amp;refID=7194862&amp;Result=3","7194862")</f>
        <v>0</v>
      </c>
      <c r="B751" t="s">
        <v>396</v>
      </c>
      <c r="C751" t="s">
        <v>4588</v>
      </c>
      <c r="D751" t="s">
        <v>19038</v>
      </c>
      <c r="E751" t="s">
        <v>19799</v>
      </c>
      <c r="F751" t="s">
        <v>32606</v>
      </c>
      <c r="G751" t="s">
        <v>32619</v>
      </c>
      <c r="H751" t="s">
        <v>14201</v>
      </c>
      <c r="I751" t="s">
        <v>32671</v>
      </c>
      <c r="J751" t="s">
        <v>33357</v>
      </c>
      <c r="K751" t="s">
        <v>42630</v>
      </c>
      <c r="M751" t="s">
        <v>43299</v>
      </c>
      <c r="N751" t="s">
        <v>47304</v>
      </c>
      <c r="O751" t="s">
        <v>47305</v>
      </c>
      <c r="P751">
        <v>0</v>
      </c>
      <c r="Q751">
        <v>0</v>
      </c>
      <c r="R751" t="s">
        <v>47306</v>
      </c>
      <c r="S751" t="s">
        <v>47414</v>
      </c>
      <c r="T751" t="s">
        <v>48988</v>
      </c>
      <c r="U751" t="s">
        <v>50242</v>
      </c>
      <c r="V751" t="s">
        <v>62735</v>
      </c>
      <c r="W751" t="s">
        <v>43299</v>
      </c>
      <c r="X751" t="s">
        <v>47308</v>
      </c>
    </row>
    <row r="752" spans="1:24">
      <c r="A752">
        <f>HYPERLINK("https://www.philgeps.gov.ph/GEPSNONPILOT/Tender/SplashBidNoticeAbstractUI.aspx?menuIndex=3&amp;refID=7198282&amp;Result=3","7198282")</f>
        <v>0</v>
      </c>
      <c r="B752" t="s">
        <v>397</v>
      </c>
      <c r="C752" t="s">
        <v>4589</v>
      </c>
      <c r="D752" t="s">
        <v>18992</v>
      </c>
      <c r="E752" t="s">
        <v>19800</v>
      </c>
      <c r="F752" t="s">
        <v>32606</v>
      </c>
      <c r="G752" t="s">
        <v>32613</v>
      </c>
      <c r="H752" t="s">
        <v>14201</v>
      </c>
      <c r="I752" t="s">
        <v>4678</v>
      </c>
      <c r="J752" t="s">
        <v>33358</v>
      </c>
      <c r="K752" t="s">
        <v>42631</v>
      </c>
      <c r="M752" t="s">
        <v>43300</v>
      </c>
      <c r="N752" t="s">
        <v>47304</v>
      </c>
      <c r="O752" t="s">
        <v>47305</v>
      </c>
      <c r="P752">
        <v>0</v>
      </c>
      <c r="Q752">
        <v>0</v>
      </c>
      <c r="R752" t="s">
        <v>47307</v>
      </c>
      <c r="S752" t="s">
        <v>47416</v>
      </c>
      <c r="T752" t="s">
        <v>48996</v>
      </c>
      <c r="U752" t="s">
        <v>50243</v>
      </c>
      <c r="W752" t="s">
        <v>43300</v>
      </c>
      <c r="X752" t="s">
        <v>47306</v>
      </c>
    </row>
    <row r="753" spans="1:24">
      <c r="A753">
        <f>HYPERLINK("https://www.philgeps.gov.ph/GEPSNONPILOT/Tender/SplashBidNoticeAbstractUI.aspx?menuIndex=3&amp;refID=7198280&amp;Result=3","7198280")</f>
        <v>0</v>
      </c>
      <c r="B753" t="s">
        <v>398</v>
      </c>
      <c r="C753" t="s">
        <v>4590</v>
      </c>
      <c r="D753" t="s">
        <v>19013</v>
      </c>
      <c r="E753" t="s">
        <v>19801</v>
      </c>
      <c r="F753" t="s">
        <v>32606</v>
      </c>
      <c r="G753" t="s">
        <v>32614</v>
      </c>
      <c r="H753" t="s">
        <v>14201</v>
      </c>
      <c r="I753" t="s">
        <v>6007</v>
      </c>
      <c r="J753" t="s">
        <v>33359</v>
      </c>
      <c r="K753" t="s">
        <v>42681</v>
      </c>
      <c r="M753" t="s">
        <v>43301</v>
      </c>
      <c r="N753" t="s">
        <v>47304</v>
      </c>
      <c r="O753" t="s">
        <v>47305</v>
      </c>
      <c r="P753">
        <v>0</v>
      </c>
      <c r="Q753">
        <v>0</v>
      </c>
      <c r="R753" t="s">
        <v>47307</v>
      </c>
      <c r="S753" t="s">
        <v>47416</v>
      </c>
      <c r="T753" t="s">
        <v>49023</v>
      </c>
      <c r="U753" t="s">
        <v>50244</v>
      </c>
      <c r="W753" t="s">
        <v>43301</v>
      </c>
      <c r="X753" t="s">
        <v>47306</v>
      </c>
    </row>
    <row r="754" spans="1:24">
      <c r="A754">
        <f>HYPERLINK("https://www.philgeps.gov.ph/GEPSNONPILOT/Tender/SplashBidNoticeAbstractUI.aspx?menuIndex=3&amp;refID=7198277&amp;Result=3","7198277")</f>
        <v>0</v>
      </c>
      <c r="B754" t="s">
        <v>399</v>
      </c>
      <c r="C754" t="s">
        <v>4591</v>
      </c>
      <c r="E754" t="s">
        <v>19802</v>
      </c>
      <c r="F754" t="s">
        <v>32606</v>
      </c>
      <c r="G754" t="s">
        <v>32613</v>
      </c>
      <c r="H754" t="s">
        <v>14201</v>
      </c>
      <c r="I754" t="s">
        <v>32650</v>
      </c>
      <c r="J754" t="s">
        <v>33360</v>
      </c>
      <c r="K754" t="s">
        <v>42624</v>
      </c>
      <c r="M754" t="s">
        <v>43302</v>
      </c>
      <c r="N754" t="s">
        <v>47304</v>
      </c>
      <c r="O754" t="s">
        <v>47305</v>
      </c>
      <c r="P754">
        <v>0</v>
      </c>
      <c r="Q754">
        <v>0</v>
      </c>
      <c r="R754" t="s">
        <v>47307</v>
      </c>
      <c r="S754" t="s">
        <v>47416</v>
      </c>
      <c r="T754" t="s">
        <v>49065</v>
      </c>
      <c r="U754" t="s">
        <v>50245</v>
      </c>
      <c r="W754" t="s">
        <v>43302</v>
      </c>
      <c r="X754" t="s">
        <v>47306</v>
      </c>
    </row>
    <row r="755" spans="1:24">
      <c r="A755">
        <f>HYPERLINK("https://www.philgeps.gov.ph/GEPSNONPILOT/Tender/SplashBidNoticeAbstractUI.aspx?menuIndex=3&amp;refID=7198293&amp;Result=3","7198293")</f>
        <v>0</v>
      </c>
      <c r="B755" t="s">
        <v>207</v>
      </c>
      <c r="C755" t="s">
        <v>4592</v>
      </c>
      <c r="D755" t="s">
        <v>19047</v>
      </c>
      <c r="E755" t="s">
        <v>19803</v>
      </c>
      <c r="F755" t="s">
        <v>32606</v>
      </c>
      <c r="G755" t="s">
        <v>32615</v>
      </c>
      <c r="H755" t="s">
        <v>14201</v>
      </c>
      <c r="I755" t="s">
        <v>32631</v>
      </c>
      <c r="J755" t="s">
        <v>33361</v>
      </c>
      <c r="K755" t="s">
        <v>42630</v>
      </c>
      <c r="M755" t="s">
        <v>43108</v>
      </c>
      <c r="N755" t="s">
        <v>47304</v>
      </c>
      <c r="O755" t="s">
        <v>47305</v>
      </c>
      <c r="P755">
        <v>0</v>
      </c>
      <c r="Q755">
        <v>0</v>
      </c>
      <c r="R755" t="s">
        <v>47307</v>
      </c>
      <c r="S755" t="s">
        <v>47416</v>
      </c>
      <c r="T755" t="s">
        <v>49087</v>
      </c>
      <c r="U755" t="s">
        <v>50246</v>
      </c>
      <c r="V755" t="s">
        <v>62695</v>
      </c>
      <c r="W755" t="s">
        <v>43108</v>
      </c>
      <c r="X755" t="s">
        <v>47306</v>
      </c>
    </row>
    <row r="756" spans="1:24">
      <c r="A756">
        <f>HYPERLINK("https://www.philgeps.gov.ph/GEPSNONPILOT/Tender/SplashBidNoticeAbstractUI.aspx?menuIndex=3&amp;refID=7198281&amp;Result=3","7198281")</f>
        <v>0</v>
      </c>
      <c r="B756" t="s">
        <v>400</v>
      </c>
      <c r="C756" t="s">
        <v>4593</v>
      </c>
      <c r="D756" t="s">
        <v>19002</v>
      </c>
      <c r="E756" t="s">
        <v>19804</v>
      </c>
      <c r="F756" t="s">
        <v>32606</v>
      </c>
      <c r="G756" t="s">
        <v>32619</v>
      </c>
      <c r="H756" t="s">
        <v>14201</v>
      </c>
      <c r="I756" t="s">
        <v>6298</v>
      </c>
      <c r="J756" t="s">
        <v>33362</v>
      </c>
      <c r="K756" t="s">
        <v>42624</v>
      </c>
      <c r="M756" t="s">
        <v>43303</v>
      </c>
      <c r="N756" t="s">
        <v>47304</v>
      </c>
      <c r="O756" t="s">
        <v>47305</v>
      </c>
      <c r="P756">
        <v>0</v>
      </c>
      <c r="Q756">
        <v>0</v>
      </c>
      <c r="R756" t="s">
        <v>47307</v>
      </c>
      <c r="S756" t="s">
        <v>47416</v>
      </c>
      <c r="T756" t="s">
        <v>48997</v>
      </c>
      <c r="U756" t="s">
        <v>50247</v>
      </c>
      <c r="W756" t="s">
        <v>43303</v>
      </c>
      <c r="X756" t="s">
        <v>47306</v>
      </c>
    </row>
    <row r="757" spans="1:24">
      <c r="A757">
        <f>HYPERLINK("https://www.philgeps.gov.ph/GEPSNONPILOT/Tender/SplashBidNoticeAbstractUI.aspx?menuIndex=3&amp;refID=7198278&amp;Result=3","7198278")</f>
        <v>0</v>
      </c>
      <c r="B757" t="s">
        <v>401</v>
      </c>
      <c r="C757" t="s">
        <v>4594</v>
      </c>
      <c r="D757" t="s">
        <v>19033</v>
      </c>
      <c r="E757" t="s">
        <v>19805</v>
      </c>
      <c r="F757" t="s">
        <v>32606</v>
      </c>
      <c r="G757" t="s">
        <v>32614</v>
      </c>
      <c r="H757" t="s">
        <v>14201</v>
      </c>
      <c r="I757" t="s">
        <v>4112</v>
      </c>
      <c r="J757" t="s">
        <v>33257</v>
      </c>
      <c r="K757" t="s">
        <v>42630</v>
      </c>
      <c r="M757" t="s">
        <v>43304</v>
      </c>
      <c r="N757" t="s">
        <v>47304</v>
      </c>
      <c r="O757" t="s">
        <v>47305</v>
      </c>
      <c r="P757">
        <v>0</v>
      </c>
      <c r="Q757">
        <v>0</v>
      </c>
      <c r="R757" t="s">
        <v>47307</v>
      </c>
      <c r="S757" t="s">
        <v>47416</v>
      </c>
      <c r="T757" t="s">
        <v>49016</v>
      </c>
      <c r="U757" t="s">
        <v>50248</v>
      </c>
      <c r="W757" t="s">
        <v>43304</v>
      </c>
      <c r="X757" t="s">
        <v>47306</v>
      </c>
    </row>
    <row r="758" spans="1:24">
      <c r="A758">
        <f>HYPERLINK("https://www.philgeps.gov.ph/GEPSNONPILOT/Tender/SplashBidNoticeAbstractUI.aspx?menuIndex=3&amp;refID=7198273&amp;Result=3","7198273")</f>
        <v>0</v>
      </c>
      <c r="B758" t="s">
        <v>402</v>
      </c>
      <c r="C758" t="s">
        <v>4595</v>
      </c>
      <c r="D758" t="s">
        <v>19017</v>
      </c>
      <c r="E758" t="s">
        <v>19806</v>
      </c>
      <c r="F758" t="s">
        <v>32606</v>
      </c>
      <c r="G758" t="s">
        <v>32614</v>
      </c>
      <c r="H758" t="s">
        <v>14201</v>
      </c>
      <c r="I758" t="s">
        <v>7529</v>
      </c>
      <c r="J758" t="s">
        <v>32765</v>
      </c>
      <c r="K758" t="s">
        <v>42623</v>
      </c>
      <c r="M758" t="s">
        <v>43305</v>
      </c>
      <c r="N758" t="s">
        <v>47304</v>
      </c>
      <c r="O758" t="s">
        <v>47305</v>
      </c>
      <c r="P758">
        <v>0</v>
      </c>
      <c r="Q758">
        <v>0</v>
      </c>
      <c r="R758" t="s">
        <v>47307</v>
      </c>
      <c r="S758" t="s">
        <v>47416</v>
      </c>
      <c r="T758" t="s">
        <v>48986</v>
      </c>
      <c r="U758" t="s">
        <v>50249</v>
      </c>
      <c r="W758" t="s">
        <v>43305</v>
      </c>
      <c r="X758" t="s">
        <v>47306</v>
      </c>
    </row>
    <row r="759" spans="1:24">
      <c r="A759">
        <f>HYPERLINK("https://www.philgeps.gov.ph/GEPSNONPILOT/Tender/SplashBidNoticeAbstractUI.aspx?menuIndex=3&amp;refID=7198313&amp;Result=3","7198313")</f>
        <v>0</v>
      </c>
      <c r="B759" t="s">
        <v>403</v>
      </c>
      <c r="C759" t="s">
        <v>4596</v>
      </c>
      <c r="D759" t="s">
        <v>18999</v>
      </c>
      <c r="E759" t="s">
        <v>19807</v>
      </c>
      <c r="F759" t="s">
        <v>32606</v>
      </c>
      <c r="G759" t="s">
        <v>32619</v>
      </c>
      <c r="H759" t="s">
        <v>14201</v>
      </c>
      <c r="I759" t="s">
        <v>32626</v>
      </c>
      <c r="J759" t="s">
        <v>33363</v>
      </c>
      <c r="K759" t="s">
        <v>42623</v>
      </c>
      <c r="M759" t="s">
        <v>43306</v>
      </c>
      <c r="N759" t="s">
        <v>47304</v>
      </c>
      <c r="O759" t="s">
        <v>47305</v>
      </c>
      <c r="P759">
        <v>0</v>
      </c>
      <c r="Q759">
        <v>0</v>
      </c>
      <c r="R759" t="s">
        <v>47307</v>
      </c>
      <c r="S759" t="s">
        <v>47416</v>
      </c>
      <c r="T759" t="s">
        <v>49050</v>
      </c>
      <c r="U759" t="s">
        <v>50250</v>
      </c>
      <c r="W759" t="s">
        <v>43306</v>
      </c>
      <c r="X759" t="s">
        <v>47306</v>
      </c>
    </row>
    <row r="760" spans="1:24">
      <c r="A760">
        <f>HYPERLINK("https://www.philgeps.gov.ph/GEPSNONPILOT/Tender/SplashBidNoticeAbstractUI.aspx?menuIndex=3&amp;refID=7198312&amp;Result=3","7198312")</f>
        <v>0</v>
      </c>
      <c r="B760" t="s">
        <v>384</v>
      </c>
      <c r="C760" t="s">
        <v>4597</v>
      </c>
      <c r="D760" t="s">
        <v>18995</v>
      </c>
      <c r="E760" t="s">
        <v>19808</v>
      </c>
      <c r="F760" t="s">
        <v>32606</v>
      </c>
      <c r="G760" t="s">
        <v>32614</v>
      </c>
      <c r="H760" t="s">
        <v>14201</v>
      </c>
      <c r="I760" t="s">
        <v>6298</v>
      </c>
      <c r="J760" t="s">
        <v>33364</v>
      </c>
      <c r="K760" t="s">
        <v>42622</v>
      </c>
      <c r="M760" t="s">
        <v>43287</v>
      </c>
      <c r="N760" t="s">
        <v>47304</v>
      </c>
      <c r="O760" t="s">
        <v>47305</v>
      </c>
      <c r="P760">
        <v>0</v>
      </c>
      <c r="Q760">
        <v>0</v>
      </c>
      <c r="R760" t="s">
        <v>47307</v>
      </c>
      <c r="S760" t="s">
        <v>47416</v>
      </c>
      <c r="T760" t="s">
        <v>49087</v>
      </c>
      <c r="U760" t="s">
        <v>50228</v>
      </c>
      <c r="W760" t="s">
        <v>43287</v>
      </c>
      <c r="X760" t="s">
        <v>47306</v>
      </c>
    </row>
    <row r="761" spans="1:24">
      <c r="A761">
        <f>HYPERLINK("https://www.philgeps.gov.ph/GEPSNONPILOT/Tender/SplashBidNoticeAbstractUI.aspx?menuIndex=3&amp;refID=7198310&amp;Result=3","7198310")</f>
        <v>0</v>
      </c>
      <c r="B761" t="s">
        <v>391</v>
      </c>
      <c r="C761" t="s">
        <v>4598</v>
      </c>
      <c r="D761" t="s">
        <v>18993</v>
      </c>
      <c r="E761" t="s">
        <v>19809</v>
      </c>
      <c r="F761" t="s">
        <v>32606</v>
      </c>
      <c r="G761" t="s">
        <v>32614</v>
      </c>
      <c r="H761" t="s">
        <v>14201</v>
      </c>
      <c r="I761" t="s">
        <v>32679</v>
      </c>
      <c r="J761" t="s">
        <v>32813</v>
      </c>
      <c r="K761" t="s">
        <v>42631</v>
      </c>
      <c r="M761" t="s">
        <v>43294</v>
      </c>
      <c r="N761" t="s">
        <v>47304</v>
      </c>
      <c r="O761" t="s">
        <v>47305</v>
      </c>
      <c r="P761">
        <v>0</v>
      </c>
      <c r="Q761">
        <v>0</v>
      </c>
      <c r="R761" t="s">
        <v>47307</v>
      </c>
      <c r="S761" t="s">
        <v>47416</v>
      </c>
      <c r="T761" t="s">
        <v>49106</v>
      </c>
      <c r="U761" t="s">
        <v>50251</v>
      </c>
      <c r="W761" t="s">
        <v>43294</v>
      </c>
      <c r="X761" t="s">
        <v>47306</v>
      </c>
    </row>
    <row r="762" spans="1:24">
      <c r="A762">
        <f>HYPERLINK("https://www.philgeps.gov.ph/GEPSNONPILOT/Tender/SplashBidNoticeAbstractUI.aspx?menuIndex=3&amp;refID=7198251&amp;Result=3","7198251")</f>
        <v>0</v>
      </c>
      <c r="B762" t="s">
        <v>400</v>
      </c>
      <c r="C762" t="s">
        <v>4599</v>
      </c>
      <c r="D762" t="s">
        <v>19002</v>
      </c>
      <c r="E762" t="s">
        <v>19810</v>
      </c>
      <c r="F762" t="s">
        <v>32606</v>
      </c>
      <c r="G762" t="s">
        <v>32619</v>
      </c>
      <c r="H762" t="s">
        <v>14201</v>
      </c>
      <c r="I762" t="s">
        <v>6007</v>
      </c>
      <c r="J762" t="s">
        <v>33341</v>
      </c>
      <c r="K762" t="s">
        <v>42624</v>
      </c>
      <c r="M762" t="s">
        <v>43303</v>
      </c>
      <c r="N762" t="s">
        <v>47304</v>
      </c>
      <c r="O762" t="s">
        <v>47305</v>
      </c>
      <c r="P762">
        <v>0</v>
      </c>
      <c r="Q762">
        <v>0</v>
      </c>
      <c r="R762" t="s">
        <v>47307</v>
      </c>
      <c r="S762" t="s">
        <v>47416</v>
      </c>
      <c r="T762" t="s">
        <v>48997</v>
      </c>
      <c r="U762" t="s">
        <v>50252</v>
      </c>
      <c r="W762" t="s">
        <v>43303</v>
      </c>
      <c r="X762" t="s">
        <v>47306</v>
      </c>
    </row>
    <row r="763" spans="1:24">
      <c r="A763">
        <f>HYPERLINK("https://www.philgeps.gov.ph/GEPSNONPILOT/Tender/SplashBidNoticeAbstractUI.aspx?menuIndex=3&amp;refID=7198279&amp;Result=3","7198279")</f>
        <v>0</v>
      </c>
      <c r="B763" t="s">
        <v>28</v>
      </c>
      <c r="C763" t="s">
        <v>4600</v>
      </c>
      <c r="E763" t="s">
        <v>19811</v>
      </c>
      <c r="F763" t="s">
        <v>32606</v>
      </c>
      <c r="G763" t="s">
        <v>32613</v>
      </c>
      <c r="H763" t="s">
        <v>32624</v>
      </c>
      <c r="I763" t="s">
        <v>32640</v>
      </c>
      <c r="J763" t="s">
        <v>33365</v>
      </c>
      <c r="K763" t="s">
        <v>42626</v>
      </c>
      <c r="M763" t="s">
        <v>43307</v>
      </c>
      <c r="N763" t="s">
        <v>47304</v>
      </c>
      <c r="O763" t="s">
        <v>47305</v>
      </c>
      <c r="P763">
        <v>0</v>
      </c>
      <c r="Q763">
        <v>0</v>
      </c>
      <c r="R763" t="s">
        <v>47307</v>
      </c>
      <c r="S763" t="s">
        <v>47416</v>
      </c>
      <c r="T763" t="s">
        <v>49001</v>
      </c>
      <c r="U763" t="s">
        <v>50253</v>
      </c>
      <c r="V763" t="s">
        <v>62736</v>
      </c>
      <c r="W763" t="s">
        <v>43307</v>
      </c>
      <c r="X763" t="s">
        <v>47306</v>
      </c>
    </row>
    <row r="764" spans="1:24">
      <c r="A764">
        <f>HYPERLINK("https://www.philgeps.gov.ph/GEPSNONPILOT/Tender/SplashBidNoticeAbstractUI.aspx?menuIndex=3&amp;refID=7198311&amp;Result=3","7198311")</f>
        <v>0</v>
      </c>
      <c r="B764" t="s">
        <v>399</v>
      </c>
      <c r="C764" t="s">
        <v>4601</v>
      </c>
      <c r="E764" t="s">
        <v>19812</v>
      </c>
      <c r="F764" t="s">
        <v>32606</v>
      </c>
      <c r="G764" t="s">
        <v>32613</v>
      </c>
      <c r="H764" t="s">
        <v>14201</v>
      </c>
      <c r="I764" t="s">
        <v>7677</v>
      </c>
      <c r="J764" t="s">
        <v>33366</v>
      </c>
      <c r="K764" t="s">
        <v>42624</v>
      </c>
      <c r="M764" t="s">
        <v>43302</v>
      </c>
      <c r="N764" t="s">
        <v>47304</v>
      </c>
      <c r="O764" t="s">
        <v>47305</v>
      </c>
      <c r="P764">
        <v>0</v>
      </c>
      <c r="Q764">
        <v>0</v>
      </c>
      <c r="R764" t="s">
        <v>47307</v>
      </c>
      <c r="S764" t="s">
        <v>47416</v>
      </c>
      <c r="T764" t="s">
        <v>49107</v>
      </c>
      <c r="U764" t="s">
        <v>50254</v>
      </c>
      <c r="W764" t="s">
        <v>43302</v>
      </c>
      <c r="X764" t="s">
        <v>47306</v>
      </c>
    </row>
    <row r="765" spans="1:24">
      <c r="A765">
        <f>HYPERLINK("https://www.philgeps.gov.ph/GEPSNONPILOT/Tender/SplashBidNoticeAbstractUI.aspx?menuIndex=3&amp;refID=7198307&amp;Result=3","7198307")</f>
        <v>0</v>
      </c>
      <c r="B765" t="s">
        <v>404</v>
      </c>
      <c r="C765" t="s">
        <v>4602</v>
      </c>
      <c r="D765" t="s">
        <v>19023</v>
      </c>
      <c r="E765" t="s">
        <v>19813</v>
      </c>
      <c r="F765" t="s">
        <v>32606</v>
      </c>
      <c r="G765" t="s">
        <v>32613</v>
      </c>
      <c r="H765" t="s">
        <v>14201</v>
      </c>
      <c r="I765" t="s">
        <v>6298</v>
      </c>
      <c r="J765" t="s">
        <v>33367</v>
      </c>
      <c r="K765" t="s">
        <v>42664</v>
      </c>
      <c r="M765" t="s">
        <v>43308</v>
      </c>
      <c r="N765" t="s">
        <v>47304</v>
      </c>
      <c r="O765" t="s">
        <v>47305</v>
      </c>
      <c r="P765">
        <v>0</v>
      </c>
      <c r="Q765">
        <v>0</v>
      </c>
      <c r="R765" t="s">
        <v>47307</v>
      </c>
      <c r="S765" t="s">
        <v>47416</v>
      </c>
      <c r="T765" t="s">
        <v>48971</v>
      </c>
      <c r="U765" t="s">
        <v>50255</v>
      </c>
      <c r="V765" t="s">
        <v>62737</v>
      </c>
      <c r="W765" t="s">
        <v>43308</v>
      </c>
      <c r="X765" t="s">
        <v>47306</v>
      </c>
    </row>
    <row r="766" spans="1:24">
      <c r="A766">
        <f>HYPERLINK("https://www.philgeps.gov.ph/GEPSNONPILOT/Tender/SplashBidNoticeAbstractUI.aspx?menuIndex=3&amp;refID=7198314&amp;Result=3","7198314")</f>
        <v>0</v>
      </c>
      <c r="B766" t="s">
        <v>405</v>
      </c>
      <c r="C766" t="s">
        <v>4603</v>
      </c>
      <c r="D766" t="s">
        <v>19014</v>
      </c>
      <c r="E766" t="s">
        <v>19814</v>
      </c>
      <c r="F766" t="s">
        <v>32606</v>
      </c>
      <c r="G766" t="s">
        <v>32614</v>
      </c>
      <c r="H766" t="s">
        <v>32623</v>
      </c>
      <c r="I766" t="s">
        <v>17648</v>
      </c>
      <c r="J766" t="s">
        <v>33368</v>
      </c>
      <c r="K766" t="s">
        <v>42624</v>
      </c>
      <c r="L766" t="s">
        <v>405</v>
      </c>
      <c r="M766" t="s">
        <v>43309</v>
      </c>
      <c r="N766" t="s">
        <v>47304</v>
      </c>
      <c r="O766" t="s">
        <v>47305</v>
      </c>
      <c r="P766">
        <v>0</v>
      </c>
      <c r="Q766">
        <v>0</v>
      </c>
      <c r="R766" t="s">
        <v>47307</v>
      </c>
      <c r="S766" t="s">
        <v>47416</v>
      </c>
      <c r="T766" t="s">
        <v>49108</v>
      </c>
      <c r="U766" t="s">
        <v>50256</v>
      </c>
      <c r="W766" t="s">
        <v>43309</v>
      </c>
      <c r="X766" t="s">
        <v>47306</v>
      </c>
    </row>
    <row r="767" spans="1:24">
      <c r="A767">
        <f>HYPERLINK("https://www.philgeps.gov.ph/GEPSNONPILOT/Tender/SplashBidNoticeAbstractUI.aspx?menuIndex=3&amp;refID=7198260&amp;Result=3","7198260")</f>
        <v>0</v>
      </c>
      <c r="B767" t="s">
        <v>406</v>
      </c>
      <c r="C767" t="s">
        <v>4604</v>
      </c>
      <c r="D767" t="s">
        <v>19057</v>
      </c>
      <c r="E767" t="s">
        <v>4604</v>
      </c>
      <c r="F767" t="s">
        <v>32606</v>
      </c>
      <c r="G767" t="s">
        <v>32614</v>
      </c>
      <c r="H767" t="s">
        <v>14201</v>
      </c>
      <c r="I767" t="s">
        <v>7529</v>
      </c>
      <c r="J767" t="s">
        <v>32789</v>
      </c>
      <c r="K767" t="s">
        <v>42623</v>
      </c>
      <c r="M767" t="s">
        <v>43310</v>
      </c>
      <c r="N767" t="s">
        <v>47304</v>
      </c>
      <c r="O767" t="s">
        <v>47305</v>
      </c>
      <c r="P767">
        <v>0</v>
      </c>
      <c r="Q767">
        <v>0</v>
      </c>
      <c r="R767" t="s">
        <v>47307</v>
      </c>
      <c r="S767" t="s">
        <v>47416</v>
      </c>
      <c r="T767" t="s">
        <v>49041</v>
      </c>
      <c r="U767" t="s">
        <v>50257</v>
      </c>
      <c r="W767" t="s">
        <v>43310</v>
      </c>
      <c r="X767" t="s">
        <v>47306</v>
      </c>
    </row>
    <row r="768" spans="1:24">
      <c r="A768">
        <f>HYPERLINK("https://www.philgeps.gov.ph/GEPSNONPILOT/Tender/SplashBidNoticeAbstractUI.aspx?menuIndex=3&amp;refID=7198309&amp;Result=3","7198309")</f>
        <v>0</v>
      </c>
      <c r="B768" t="s">
        <v>394</v>
      </c>
      <c r="C768" t="s">
        <v>4605</v>
      </c>
      <c r="D768" t="s">
        <v>19014</v>
      </c>
      <c r="E768" t="s">
        <v>19815</v>
      </c>
      <c r="F768" t="s">
        <v>32606</v>
      </c>
      <c r="G768" t="s">
        <v>32614</v>
      </c>
      <c r="H768" t="s">
        <v>14201</v>
      </c>
      <c r="I768" t="s">
        <v>32634</v>
      </c>
      <c r="J768" t="s">
        <v>32752</v>
      </c>
      <c r="K768" t="s">
        <v>42624</v>
      </c>
      <c r="M768" t="s">
        <v>43297</v>
      </c>
      <c r="N768" t="s">
        <v>47304</v>
      </c>
      <c r="O768" t="s">
        <v>47305</v>
      </c>
      <c r="P768">
        <v>0</v>
      </c>
      <c r="Q768">
        <v>0</v>
      </c>
      <c r="R768" t="s">
        <v>47307</v>
      </c>
      <c r="S768" t="s">
        <v>47416</v>
      </c>
      <c r="T768" t="s">
        <v>49023</v>
      </c>
      <c r="U768" t="s">
        <v>50258</v>
      </c>
      <c r="W768" t="s">
        <v>43297</v>
      </c>
      <c r="X768" t="s">
        <v>47306</v>
      </c>
    </row>
    <row r="769" spans="1:24">
      <c r="A769">
        <f>HYPERLINK("https://www.philgeps.gov.ph/GEPSNONPILOT/Tender/SplashBidNoticeAbstractUI.aspx?menuIndex=3&amp;refID=7198304&amp;Result=3","7198304")</f>
        <v>0</v>
      </c>
      <c r="B769" t="s">
        <v>407</v>
      </c>
      <c r="C769" t="s">
        <v>4606</v>
      </c>
      <c r="D769" t="s">
        <v>19019</v>
      </c>
      <c r="E769" t="s">
        <v>19816</v>
      </c>
      <c r="F769" t="s">
        <v>32606</v>
      </c>
      <c r="G769" t="s">
        <v>32619</v>
      </c>
      <c r="H769" t="s">
        <v>14201</v>
      </c>
      <c r="I769" t="s">
        <v>7577</v>
      </c>
      <c r="J769" t="s">
        <v>33034</v>
      </c>
      <c r="K769" t="s">
        <v>42631</v>
      </c>
      <c r="M769" t="s">
        <v>43311</v>
      </c>
      <c r="N769" t="s">
        <v>47304</v>
      </c>
      <c r="O769" t="s">
        <v>47305</v>
      </c>
      <c r="P769">
        <v>0</v>
      </c>
      <c r="Q769">
        <v>0</v>
      </c>
      <c r="R769" t="s">
        <v>47307</v>
      </c>
      <c r="S769" t="s">
        <v>47416</v>
      </c>
      <c r="T769" t="s">
        <v>49076</v>
      </c>
      <c r="U769" t="s">
        <v>50259</v>
      </c>
      <c r="W769" t="s">
        <v>43311</v>
      </c>
      <c r="X769" t="s">
        <v>47306</v>
      </c>
    </row>
    <row r="770" spans="1:24">
      <c r="A770">
        <f>HYPERLINK("https://www.philgeps.gov.ph/GEPSNONPILOT/Tender/SplashBidNoticeAbstractUI.aspx?menuIndex=3&amp;refID=7198317&amp;Result=3","7198317")</f>
        <v>0</v>
      </c>
      <c r="B770" t="s">
        <v>383</v>
      </c>
      <c r="C770" t="s">
        <v>4607</v>
      </c>
      <c r="E770" t="s">
        <v>19817</v>
      </c>
      <c r="F770" t="s">
        <v>32606</v>
      </c>
      <c r="G770" t="s">
        <v>32615</v>
      </c>
      <c r="H770" t="s">
        <v>14201</v>
      </c>
      <c r="I770" t="s">
        <v>32680</v>
      </c>
      <c r="J770" t="s">
        <v>33369</v>
      </c>
      <c r="K770" t="s">
        <v>42624</v>
      </c>
      <c r="M770" t="s">
        <v>43286</v>
      </c>
      <c r="N770" t="s">
        <v>47304</v>
      </c>
      <c r="O770" t="s">
        <v>47305</v>
      </c>
      <c r="P770">
        <v>0</v>
      </c>
      <c r="Q770">
        <v>0</v>
      </c>
      <c r="R770" t="s">
        <v>47307</v>
      </c>
      <c r="S770" t="s">
        <v>47416</v>
      </c>
      <c r="T770" t="s">
        <v>49102</v>
      </c>
      <c r="U770" t="s">
        <v>50260</v>
      </c>
      <c r="W770" t="s">
        <v>43286</v>
      </c>
      <c r="X770" t="s">
        <v>47306</v>
      </c>
    </row>
    <row r="771" spans="1:24">
      <c r="A771">
        <f>HYPERLINK("https://www.philgeps.gov.ph/GEPSNONPILOT/Tender/SplashBidNoticeAbstractUI.aspx?menuIndex=3&amp;refID=7198305&amp;Result=3","7198305")</f>
        <v>0</v>
      </c>
      <c r="B771" t="s">
        <v>408</v>
      </c>
      <c r="C771" t="s">
        <v>4608</v>
      </c>
      <c r="D771" t="s">
        <v>19007</v>
      </c>
      <c r="E771" t="s">
        <v>19818</v>
      </c>
      <c r="F771" t="s">
        <v>32606</v>
      </c>
      <c r="G771" t="s">
        <v>32613</v>
      </c>
      <c r="H771" t="s">
        <v>32623</v>
      </c>
      <c r="I771" t="s">
        <v>17648</v>
      </c>
      <c r="J771" t="s">
        <v>33370</v>
      </c>
      <c r="K771" t="s">
        <v>42686</v>
      </c>
      <c r="M771" t="s">
        <v>43312</v>
      </c>
      <c r="N771" t="s">
        <v>47304</v>
      </c>
      <c r="O771" t="s">
        <v>47305</v>
      </c>
      <c r="P771">
        <v>0</v>
      </c>
      <c r="Q771">
        <v>0</v>
      </c>
      <c r="R771" t="s">
        <v>47307</v>
      </c>
      <c r="S771" t="s">
        <v>47416</v>
      </c>
      <c r="T771" t="s">
        <v>48995</v>
      </c>
      <c r="U771" t="s">
        <v>50261</v>
      </c>
      <c r="W771" t="s">
        <v>43312</v>
      </c>
      <c r="X771" t="s">
        <v>47306</v>
      </c>
    </row>
    <row r="772" spans="1:24">
      <c r="A772">
        <f>HYPERLINK("https://www.philgeps.gov.ph/GEPSNONPILOT/Tender/SplashBidNoticeAbstractUI.aspx?menuIndex=3&amp;refID=7198336&amp;Result=3","7198336")</f>
        <v>0</v>
      </c>
      <c r="B772" t="s">
        <v>409</v>
      </c>
      <c r="C772" t="s">
        <v>4609</v>
      </c>
      <c r="D772" t="s">
        <v>18993</v>
      </c>
      <c r="E772" t="s">
        <v>19690</v>
      </c>
      <c r="F772" t="s">
        <v>32606</v>
      </c>
      <c r="G772" t="s">
        <v>32614</v>
      </c>
      <c r="H772" t="s">
        <v>14201</v>
      </c>
      <c r="I772" t="s">
        <v>4120</v>
      </c>
      <c r="J772" t="s">
        <v>32813</v>
      </c>
      <c r="K772" t="s">
        <v>42625</v>
      </c>
      <c r="M772" t="s">
        <v>43313</v>
      </c>
      <c r="N772" t="s">
        <v>47304</v>
      </c>
      <c r="O772" t="s">
        <v>47305</v>
      </c>
      <c r="P772">
        <v>0</v>
      </c>
      <c r="Q772">
        <v>0</v>
      </c>
      <c r="R772" t="s">
        <v>47307</v>
      </c>
      <c r="S772" t="s">
        <v>47416</v>
      </c>
      <c r="T772" t="s">
        <v>48976</v>
      </c>
      <c r="U772" t="s">
        <v>50262</v>
      </c>
      <c r="W772" t="s">
        <v>43313</v>
      </c>
      <c r="X772" t="s">
        <v>47306</v>
      </c>
    </row>
    <row r="773" spans="1:24">
      <c r="A773">
        <f>HYPERLINK("https://www.philgeps.gov.ph/GEPSNONPILOT/Tender/SplashBidNoticeAbstractUI.aspx?menuIndex=3&amp;refID=7198334&amp;Result=3","7198334")</f>
        <v>0</v>
      </c>
      <c r="B773" t="s">
        <v>410</v>
      </c>
      <c r="C773" t="s">
        <v>4610</v>
      </c>
      <c r="D773" t="s">
        <v>18994</v>
      </c>
      <c r="E773" t="s">
        <v>19819</v>
      </c>
      <c r="F773" t="s">
        <v>32606</v>
      </c>
      <c r="G773" t="s">
        <v>32614</v>
      </c>
      <c r="H773" t="s">
        <v>14201</v>
      </c>
      <c r="I773" t="s">
        <v>4678</v>
      </c>
      <c r="J773" t="s">
        <v>33221</v>
      </c>
      <c r="K773" t="s">
        <v>42629</v>
      </c>
      <c r="M773" t="s">
        <v>43314</v>
      </c>
      <c r="N773" t="s">
        <v>47304</v>
      </c>
      <c r="O773" t="s">
        <v>47305</v>
      </c>
      <c r="P773">
        <v>0</v>
      </c>
      <c r="Q773">
        <v>0</v>
      </c>
      <c r="R773" t="s">
        <v>47307</v>
      </c>
      <c r="S773" t="s">
        <v>47416</v>
      </c>
      <c r="T773" t="s">
        <v>49108</v>
      </c>
      <c r="U773" t="s">
        <v>50263</v>
      </c>
      <c r="W773" t="s">
        <v>43314</v>
      </c>
      <c r="X773" t="s">
        <v>47306</v>
      </c>
    </row>
    <row r="774" spans="1:24">
      <c r="A774">
        <f>HYPERLINK("https://www.philgeps.gov.ph/GEPSNONPILOT/Tender/SplashBidNoticeAbstractUI.aspx?menuIndex=3&amp;refID=7198276&amp;Result=3","7198276")</f>
        <v>0</v>
      </c>
      <c r="B774" t="s">
        <v>408</v>
      </c>
      <c r="C774" t="s">
        <v>4611</v>
      </c>
      <c r="D774" t="s">
        <v>19007</v>
      </c>
      <c r="E774" t="s">
        <v>19820</v>
      </c>
      <c r="F774" t="s">
        <v>32606</v>
      </c>
      <c r="G774" t="s">
        <v>32613</v>
      </c>
      <c r="H774" t="s">
        <v>32623</v>
      </c>
      <c r="I774" t="s">
        <v>17648</v>
      </c>
      <c r="J774" t="s">
        <v>33370</v>
      </c>
      <c r="K774" t="s">
        <v>42686</v>
      </c>
      <c r="M774" t="s">
        <v>43312</v>
      </c>
      <c r="N774" t="s">
        <v>47304</v>
      </c>
      <c r="O774" t="s">
        <v>47305</v>
      </c>
      <c r="P774">
        <v>0</v>
      </c>
      <c r="Q774">
        <v>0</v>
      </c>
      <c r="R774" t="s">
        <v>47307</v>
      </c>
      <c r="S774" t="s">
        <v>47416</v>
      </c>
      <c r="T774" t="s">
        <v>48995</v>
      </c>
      <c r="U774" t="s">
        <v>50264</v>
      </c>
      <c r="W774" t="s">
        <v>43312</v>
      </c>
      <c r="X774" t="s">
        <v>47306</v>
      </c>
    </row>
    <row r="775" spans="1:24">
      <c r="A775">
        <f>HYPERLINK("https://www.philgeps.gov.ph/GEPSNONPILOT/Tender/SplashBidNoticeAbstractUI.aspx?menuIndex=3&amp;refID=7198308&amp;Result=3","7198308")</f>
        <v>0</v>
      </c>
      <c r="B775" t="s">
        <v>411</v>
      </c>
      <c r="C775" t="s">
        <v>4612</v>
      </c>
      <c r="D775" t="s">
        <v>19047</v>
      </c>
      <c r="E775" t="s">
        <v>19821</v>
      </c>
      <c r="F775" t="s">
        <v>32606</v>
      </c>
      <c r="G775" t="s">
        <v>32614</v>
      </c>
      <c r="H775" t="s">
        <v>14201</v>
      </c>
      <c r="I775" t="s">
        <v>6931</v>
      </c>
      <c r="J775" t="s">
        <v>33371</v>
      </c>
      <c r="K775" t="s">
        <v>42622</v>
      </c>
      <c r="M775" t="s">
        <v>43315</v>
      </c>
      <c r="N775" t="s">
        <v>47304</v>
      </c>
      <c r="O775" t="s">
        <v>47305</v>
      </c>
      <c r="P775">
        <v>0</v>
      </c>
      <c r="Q775">
        <v>0</v>
      </c>
      <c r="R775" t="s">
        <v>47307</v>
      </c>
      <c r="S775" t="s">
        <v>47416</v>
      </c>
      <c r="T775" t="s">
        <v>49023</v>
      </c>
      <c r="U775" t="s">
        <v>50265</v>
      </c>
      <c r="W775" t="s">
        <v>43315</v>
      </c>
      <c r="X775" t="s">
        <v>47306</v>
      </c>
    </row>
    <row r="776" spans="1:24">
      <c r="A776">
        <f>HYPERLINK("https://www.philgeps.gov.ph/GEPSNONPILOT/Tender/SplashBidNoticeAbstractUI.aspx?menuIndex=3&amp;refID=7198330&amp;Result=3","7198330")</f>
        <v>0</v>
      </c>
      <c r="B776" t="s">
        <v>412</v>
      </c>
      <c r="C776" t="s">
        <v>4613</v>
      </c>
      <c r="D776" t="s">
        <v>18994</v>
      </c>
      <c r="E776" t="s">
        <v>19822</v>
      </c>
      <c r="F776" t="s">
        <v>32606</v>
      </c>
      <c r="G776" t="s">
        <v>32614</v>
      </c>
      <c r="H776" t="s">
        <v>14201</v>
      </c>
      <c r="I776" t="s">
        <v>32633</v>
      </c>
      <c r="J776" t="s">
        <v>33372</v>
      </c>
      <c r="K776" t="s">
        <v>42630</v>
      </c>
      <c r="M776" t="s">
        <v>43316</v>
      </c>
      <c r="N776" t="s">
        <v>47304</v>
      </c>
      <c r="O776" t="s">
        <v>47305</v>
      </c>
      <c r="P776">
        <v>0</v>
      </c>
      <c r="Q776">
        <v>0</v>
      </c>
      <c r="R776" t="s">
        <v>47307</v>
      </c>
      <c r="S776" t="s">
        <v>47416</v>
      </c>
      <c r="T776" t="s">
        <v>49016</v>
      </c>
      <c r="U776" t="s">
        <v>50266</v>
      </c>
      <c r="V776" t="s">
        <v>62738</v>
      </c>
      <c r="W776" t="s">
        <v>43316</v>
      </c>
      <c r="X776" t="s">
        <v>47306</v>
      </c>
    </row>
    <row r="777" spans="1:24">
      <c r="A777">
        <f>HYPERLINK("https://www.philgeps.gov.ph/GEPSNONPILOT/Tender/SplashBidNoticeAbstractUI.aspx?menuIndex=3&amp;refID=7198329&amp;Result=3","7198329")</f>
        <v>0</v>
      </c>
      <c r="B777" t="s">
        <v>413</v>
      </c>
      <c r="C777" t="s">
        <v>4614</v>
      </c>
      <c r="D777" t="s">
        <v>18988</v>
      </c>
      <c r="E777" t="s">
        <v>19823</v>
      </c>
      <c r="F777" t="s">
        <v>32606</v>
      </c>
      <c r="G777" t="s">
        <v>32614</v>
      </c>
      <c r="H777" t="s">
        <v>14201</v>
      </c>
      <c r="I777" t="s">
        <v>4120</v>
      </c>
      <c r="J777" t="s">
        <v>33373</v>
      </c>
      <c r="K777" t="s">
        <v>42632</v>
      </c>
      <c r="L777" t="s">
        <v>413</v>
      </c>
      <c r="M777" t="s">
        <v>43317</v>
      </c>
      <c r="N777" t="s">
        <v>47304</v>
      </c>
      <c r="O777" t="s">
        <v>47305</v>
      </c>
      <c r="P777">
        <v>0</v>
      </c>
      <c r="Q777">
        <v>0</v>
      </c>
      <c r="R777" t="s">
        <v>47307</v>
      </c>
      <c r="S777" t="s">
        <v>47416</v>
      </c>
      <c r="T777" t="s">
        <v>49100</v>
      </c>
      <c r="U777" t="s">
        <v>50267</v>
      </c>
      <c r="V777" t="s">
        <v>62739</v>
      </c>
      <c r="W777" t="s">
        <v>43317</v>
      </c>
      <c r="X777" t="s">
        <v>47306</v>
      </c>
    </row>
    <row r="778" spans="1:24">
      <c r="A778">
        <f>HYPERLINK("https://www.philgeps.gov.ph/GEPSNONPILOT/Tender/SplashBidNoticeAbstractUI.aspx?menuIndex=3&amp;refID=7198327&amp;Result=3","7198327")</f>
        <v>0</v>
      </c>
      <c r="B778" t="s">
        <v>414</v>
      </c>
      <c r="C778" t="s">
        <v>4615</v>
      </c>
      <c r="E778" t="s">
        <v>19824</v>
      </c>
      <c r="F778" t="s">
        <v>32606</v>
      </c>
      <c r="G778" t="s">
        <v>32613</v>
      </c>
      <c r="H778" t="s">
        <v>14201</v>
      </c>
      <c r="I778" t="s">
        <v>6931</v>
      </c>
      <c r="J778" t="s">
        <v>33374</v>
      </c>
      <c r="K778" t="s">
        <v>42624</v>
      </c>
      <c r="M778" t="s">
        <v>43318</v>
      </c>
      <c r="N778" t="s">
        <v>47304</v>
      </c>
      <c r="O778" t="s">
        <v>47305</v>
      </c>
      <c r="P778">
        <v>0</v>
      </c>
      <c r="Q778">
        <v>0</v>
      </c>
      <c r="R778" t="s">
        <v>47307</v>
      </c>
      <c r="S778" t="s">
        <v>47416</v>
      </c>
      <c r="T778" t="s">
        <v>49017</v>
      </c>
      <c r="U778" t="s">
        <v>50268</v>
      </c>
      <c r="W778" t="s">
        <v>43318</v>
      </c>
      <c r="X778" t="s">
        <v>47306</v>
      </c>
    </row>
    <row r="779" spans="1:24">
      <c r="A779">
        <f>HYPERLINK("https://www.philgeps.gov.ph/GEPSNONPILOT/Tender/SplashBidNoticeAbstractUI.aspx?menuIndex=3&amp;refID=7198302&amp;Result=3","7198302")</f>
        <v>0</v>
      </c>
      <c r="B779" t="s">
        <v>387</v>
      </c>
      <c r="C779" t="s">
        <v>4616</v>
      </c>
      <c r="D779" t="s">
        <v>18988</v>
      </c>
      <c r="E779" t="s">
        <v>19825</v>
      </c>
      <c r="F779" t="s">
        <v>32606</v>
      </c>
      <c r="G779" t="s">
        <v>32613</v>
      </c>
      <c r="H779" t="s">
        <v>14201</v>
      </c>
      <c r="I779" t="s">
        <v>6931</v>
      </c>
      <c r="J779" t="s">
        <v>33375</v>
      </c>
      <c r="K779" t="s">
        <v>42627</v>
      </c>
      <c r="M779" t="s">
        <v>43290</v>
      </c>
      <c r="N779" t="s">
        <v>47304</v>
      </c>
      <c r="O779" t="s">
        <v>47305</v>
      </c>
      <c r="P779">
        <v>0</v>
      </c>
      <c r="Q779">
        <v>0</v>
      </c>
      <c r="R779" t="s">
        <v>47307</v>
      </c>
      <c r="S779" t="s">
        <v>47416</v>
      </c>
      <c r="T779" t="s">
        <v>49103</v>
      </c>
      <c r="U779" t="s">
        <v>50231</v>
      </c>
      <c r="W779" t="s">
        <v>64431</v>
      </c>
      <c r="X779" t="s">
        <v>47306</v>
      </c>
    </row>
    <row r="780" spans="1:24">
      <c r="A780">
        <f>HYPERLINK("https://www.philgeps.gov.ph/GEPSNONPILOT/Tender/SplashBidNoticeAbstractUI.aspx?menuIndex=3&amp;refID=7198323&amp;Result=3","7198323")</f>
        <v>0</v>
      </c>
      <c r="B780" t="s">
        <v>400</v>
      </c>
      <c r="C780" t="s">
        <v>4617</v>
      </c>
      <c r="D780" t="s">
        <v>19002</v>
      </c>
      <c r="E780" t="s">
        <v>19826</v>
      </c>
      <c r="F780" t="s">
        <v>32606</v>
      </c>
      <c r="G780" t="s">
        <v>32619</v>
      </c>
      <c r="H780" t="s">
        <v>14201</v>
      </c>
      <c r="I780" t="s">
        <v>4678</v>
      </c>
      <c r="J780" t="s">
        <v>32789</v>
      </c>
      <c r="K780" t="s">
        <v>42624</v>
      </c>
      <c r="M780" t="s">
        <v>43303</v>
      </c>
      <c r="N780" t="s">
        <v>47304</v>
      </c>
      <c r="O780" t="s">
        <v>47305</v>
      </c>
      <c r="P780">
        <v>0</v>
      </c>
      <c r="Q780">
        <v>0</v>
      </c>
      <c r="R780" t="s">
        <v>47307</v>
      </c>
      <c r="S780" t="s">
        <v>47416</v>
      </c>
      <c r="T780" t="s">
        <v>48997</v>
      </c>
      <c r="U780" t="s">
        <v>50269</v>
      </c>
      <c r="W780" t="s">
        <v>43303</v>
      </c>
      <c r="X780" t="s">
        <v>47306</v>
      </c>
    </row>
    <row r="781" spans="1:24">
      <c r="A781">
        <f>HYPERLINK("https://www.philgeps.gov.ph/GEPSNONPILOT/Tender/SplashBidNoticeAbstractUI.aspx?menuIndex=3&amp;refID=7198332&amp;Result=3","7198332")</f>
        <v>0</v>
      </c>
      <c r="B781" t="s">
        <v>415</v>
      </c>
      <c r="C781" t="s">
        <v>4618</v>
      </c>
      <c r="E781" t="s">
        <v>19827</v>
      </c>
      <c r="F781" t="s">
        <v>32606</v>
      </c>
      <c r="G781" t="s">
        <v>32614</v>
      </c>
      <c r="H781" t="s">
        <v>14201</v>
      </c>
      <c r="I781" t="s">
        <v>32638</v>
      </c>
      <c r="J781" t="s">
        <v>33376</v>
      </c>
      <c r="K781" t="s">
        <v>42630</v>
      </c>
      <c r="M781" t="s">
        <v>43319</v>
      </c>
      <c r="N781" t="s">
        <v>47304</v>
      </c>
      <c r="O781" t="s">
        <v>47305</v>
      </c>
      <c r="P781">
        <v>0</v>
      </c>
      <c r="Q781">
        <v>0</v>
      </c>
      <c r="R781" t="s">
        <v>47307</v>
      </c>
      <c r="S781" t="s">
        <v>47416</v>
      </c>
      <c r="T781" t="s">
        <v>48988</v>
      </c>
      <c r="U781" t="s">
        <v>50270</v>
      </c>
      <c r="V781" t="s">
        <v>62740</v>
      </c>
      <c r="W781" t="s">
        <v>43319</v>
      </c>
      <c r="X781" t="s">
        <v>47306</v>
      </c>
    </row>
    <row r="782" spans="1:24">
      <c r="A782">
        <f>HYPERLINK("https://www.philgeps.gov.ph/GEPSNONPILOT/Tender/SplashBidNoticeAbstractUI.aspx?menuIndex=3&amp;refID=7198306&amp;Result=3","7198306")</f>
        <v>0</v>
      </c>
      <c r="B782" t="s">
        <v>416</v>
      </c>
      <c r="C782" t="s">
        <v>4619</v>
      </c>
      <c r="D782" t="s">
        <v>18994</v>
      </c>
      <c r="E782" t="s">
        <v>19682</v>
      </c>
      <c r="F782" t="s">
        <v>32606</v>
      </c>
      <c r="G782" t="s">
        <v>32614</v>
      </c>
      <c r="H782" t="s">
        <v>14201</v>
      </c>
      <c r="I782" t="s">
        <v>6007</v>
      </c>
      <c r="J782" t="s">
        <v>32776</v>
      </c>
      <c r="K782" t="s">
        <v>42632</v>
      </c>
      <c r="M782" t="s">
        <v>43320</v>
      </c>
      <c r="N782" t="s">
        <v>47304</v>
      </c>
      <c r="O782" t="s">
        <v>47305</v>
      </c>
      <c r="P782">
        <v>0</v>
      </c>
      <c r="Q782">
        <v>0</v>
      </c>
      <c r="R782" t="s">
        <v>47307</v>
      </c>
      <c r="S782" t="s">
        <v>47416</v>
      </c>
      <c r="T782" t="s">
        <v>48976</v>
      </c>
      <c r="U782" t="s">
        <v>50271</v>
      </c>
      <c r="V782" t="s">
        <v>62741</v>
      </c>
      <c r="W782" t="s">
        <v>43320</v>
      </c>
      <c r="X782" t="s">
        <v>47306</v>
      </c>
    </row>
    <row r="783" spans="1:24">
      <c r="A783">
        <f>HYPERLINK("https://www.philgeps.gov.ph/GEPSNONPILOT/Tender/SplashBidNoticeAbstractUI.aspx?menuIndex=3&amp;refID=7198322&amp;Result=3","7198322")</f>
        <v>0</v>
      </c>
      <c r="B783" t="s">
        <v>390</v>
      </c>
      <c r="C783" t="s">
        <v>4620</v>
      </c>
      <c r="D783" t="s">
        <v>18988</v>
      </c>
      <c r="E783" t="s">
        <v>19828</v>
      </c>
      <c r="F783" t="s">
        <v>32606</v>
      </c>
      <c r="G783" t="s">
        <v>32613</v>
      </c>
      <c r="H783" t="s">
        <v>14201</v>
      </c>
      <c r="I783" t="s">
        <v>32681</v>
      </c>
      <c r="J783" t="s">
        <v>33377</v>
      </c>
      <c r="K783" t="s">
        <v>42624</v>
      </c>
      <c r="M783" t="s">
        <v>43293</v>
      </c>
      <c r="N783" t="s">
        <v>47304</v>
      </c>
      <c r="O783" t="s">
        <v>47305</v>
      </c>
      <c r="P783">
        <v>0</v>
      </c>
      <c r="Q783">
        <v>0</v>
      </c>
      <c r="R783" t="s">
        <v>47307</v>
      </c>
      <c r="S783" t="s">
        <v>47416</v>
      </c>
      <c r="T783" t="s">
        <v>49103</v>
      </c>
      <c r="U783" t="s">
        <v>50272</v>
      </c>
      <c r="V783" t="s">
        <v>62732</v>
      </c>
      <c r="W783" t="s">
        <v>43293</v>
      </c>
      <c r="X783" t="s">
        <v>47306</v>
      </c>
    </row>
    <row r="784" spans="1:24">
      <c r="A784">
        <f>HYPERLINK("https://www.philgeps.gov.ph/GEPSNONPILOT/Tender/SplashBidNoticeAbstractUI.aspx?menuIndex=3&amp;refID=7198331&amp;Result=3","7198331")</f>
        <v>0</v>
      </c>
      <c r="B784" t="s">
        <v>388</v>
      </c>
      <c r="C784" t="s">
        <v>4621</v>
      </c>
      <c r="D784" t="s">
        <v>19040</v>
      </c>
      <c r="E784" t="s">
        <v>19829</v>
      </c>
      <c r="F784" t="s">
        <v>32606</v>
      </c>
      <c r="G784" t="s">
        <v>32614</v>
      </c>
      <c r="H784" t="s">
        <v>14201</v>
      </c>
      <c r="I784" t="s">
        <v>4114</v>
      </c>
      <c r="J784" t="s">
        <v>33378</v>
      </c>
      <c r="K784" t="s">
        <v>42632</v>
      </c>
      <c r="M784" t="s">
        <v>43291</v>
      </c>
      <c r="N784" t="s">
        <v>47304</v>
      </c>
      <c r="O784" t="s">
        <v>47305</v>
      </c>
      <c r="P784">
        <v>0</v>
      </c>
      <c r="Q784">
        <v>0</v>
      </c>
      <c r="R784" t="s">
        <v>47307</v>
      </c>
      <c r="S784" t="s">
        <v>47416</v>
      </c>
      <c r="T784" t="s">
        <v>48975</v>
      </c>
      <c r="U784" t="s">
        <v>50273</v>
      </c>
      <c r="W784" t="s">
        <v>43291</v>
      </c>
      <c r="X784" t="s">
        <v>47306</v>
      </c>
    </row>
    <row r="785" spans="1:24">
      <c r="A785">
        <f>HYPERLINK("https://www.philgeps.gov.ph/GEPSNONPILOT/Tender/SplashBidNoticeAbstractUI.aspx?menuIndex=3&amp;refID=7198328&amp;Result=3","7198328")</f>
        <v>0</v>
      </c>
      <c r="B785" t="s">
        <v>417</v>
      </c>
      <c r="C785" t="s">
        <v>4622</v>
      </c>
      <c r="D785" t="s">
        <v>19063</v>
      </c>
      <c r="E785" t="s">
        <v>19830</v>
      </c>
      <c r="F785" t="s">
        <v>32606</v>
      </c>
      <c r="G785" t="s">
        <v>32619</v>
      </c>
      <c r="H785" t="s">
        <v>14201</v>
      </c>
      <c r="I785" t="s">
        <v>4114</v>
      </c>
      <c r="J785" t="s">
        <v>33379</v>
      </c>
      <c r="K785" t="s">
        <v>42630</v>
      </c>
      <c r="M785" t="s">
        <v>43321</v>
      </c>
      <c r="N785" t="s">
        <v>47304</v>
      </c>
      <c r="O785" t="s">
        <v>47305</v>
      </c>
      <c r="P785">
        <v>0</v>
      </c>
      <c r="Q785">
        <v>0</v>
      </c>
      <c r="R785" t="s">
        <v>47307</v>
      </c>
      <c r="S785" t="s">
        <v>47416</v>
      </c>
      <c r="T785" t="s">
        <v>48975</v>
      </c>
      <c r="U785" t="s">
        <v>50274</v>
      </c>
      <c r="W785" t="s">
        <v>43321</v>
      </c>
      <c r="X785" t="s">
        <v>47306</v>
      </c>
    </row>
    <row r="786" spans="1:24">
      <c r="A786">
        <f>HYPERLINK("https://www.philgeps.gov.ph/GEPSNONPILOT/Tender/SplashBidNoticeAbstractUI.aspx?menuIndex=3&amp;refID=7198333&amp;Result=3","7198333")</f>
        <v>0</v>
      </c>
      <c r="B786" t="s">
        <v>418</v>
      </c>
      <c r="C786" t="s">
        <v>4623</v>
      </c>
      <c r="D786" t="s">
        <v>19006</v>
      </c>
      <c r="E786" t="s">
        <v>19831</v>
      </c>
      <c r="F786" t="s">
        <v>32606</v>
      </c>
      <c r="G786" t="s">
        <v>32614</v>
      </c>
      <c r="H786" t="s">
        <v>14201</v>
      </c>
      <c r="I786" t="s">
        <v>7577</v>
      </c>
      <c r="J786" t="s">
        <v>33317</v>
      </c>
      <c r="K786" t="s">
        <v>42629</v>
      </c>
      <c r="M786" t="s">
        <v>43322</v>
      </c>
      <c r="N786" t="s">
        <v>47304</v>
      </c>
      <c r="O786" t="s">
        <v>47305</v>
      </c>
      <c r="P786">
        <v>0</v>
      </c>
      <c r="Q786">
        <v>0</v>
      </c>
      <c r="R786" t="s">
        <v>47307</v>
      </c>
      <c r="S786" t="s">
        <v>47416</v>
      </c>
      <c r="T786" t="s">
        <v>48988</v>
      </c>
      <c r="U786" t="s">
        <v>50275</v>
      </c>
      <c r="W786" t="s">
        <v>43322</v>
      </c>
      <c r="X786" t="s">
        <v>47306</v>
      </c>
    </row>
    <row r="787" spans="1:24">
      <c r="A787">
        <f>HYPERLINK("https://www.philgeps.gov.ph/GEPSNONPILOT/Tender/SplashBidNoticeAbstractUI.aspx?menuIndex=3&amp;refID=7198352&amp;Result=3","7198352")</f>
        <v>0</v>
      </c>
      <c r="B787" t="s">
        <v>419</v>
      </c>
      <c r="C787" t="s">
        <v>4624</v>
      </c>
      <c r="D787" t="s">
        <v>18993</v>
      </c>
      <c r="E787" t="s">
        <v>19832</v>
      </c>
      <c r="F787" t="s">
        <v>32607</v>
      </c>
      <c r="G787" t="s">
        <v>32613</v>
      </c>
      <c r="H787" t="s">
        <v>14201</v>
      </c>
      <c r="I787" t="s">
        <v>4678</v>
      </c>
      <c r="J787" t="s">
        <v>32770</v>
      </c>
      <c r="K787" t="s">
        <v>42631</v>
      </c>
      <c r="L787" t="s">
        <v>419</v>
      </c>
      <c r="M787" t="s">
        <v>43323</v>
      </c>
      <c r="N787" t="s">
        <v>47304</v>
      </c>
      <c r="O787" t="s">
        <v>47305</v>
      </c>
      <c r="P787">
        <v>0</v>
      </c>
      <c r="Q787">
        <v>0</v>
      </c>
      <c r="R787" t="s">
        <v>47307</v>
      </c>
      <c r="S787" t="s">
        <v>47416</v>
      </c>
      <c r="T787" t="s">
        <v>49057</v>
      </c>
      <c r="U787" t="s">
        <v>50276</v>
      </c>
      <c r="W787" t="s">
        <v>43323</v>
      </c>
      <c r="X787" t="s">
        <v>47306</v>
      </c>
    </row>
    <row r="788" spans="1:24">
      <c r="A788">
        <f>HYPERLINK("https://www.philgeps.gov.ph/GEPSNONPILOT/Tender/SplashBidNoticeAbstractUI.aspx?menuIndex=3&amp;refID=7198326&amp;Result=3","7198326")</f>
        <v>0</v>
      </c>
      <c r="B788" t="s">
        <v>391</v>
      </c>
      <c r="C788" t="s">
        <v>4625</v>
      </c>
      <c r="D788" t="s">
        <v>18993</v>
      </c>
      <c r="E788" t="s">
        <v>19833</v>
      </c>
      <c r="F788" t="s">
        <v>32606</v>
      </c>
      <c r="G788" t="s">
        <v>32614</v>
      </c>
      <c r="H788" t="s">
        <v>14201</v>
      </c>
      <c r="I788" t="s">
        <v>32633</v>
      </c>
      <c r="J788" t="s">
        <v>33111</v>
      </c>
      <c r="K788" t="s">
        <v>42631</v>
      </c>
      <c r="M788" t="s">
        <v>43294</v>
      </c>
      <c r="N788" t="s">
        <v>47304</v>
      </c>
      <c r="O788" t="s">
        <v>47305</v>
      </c>
      <c r="P788">
        <v>0</v>
      </c>
      <c r="Q788">
        <v>0</v>
      </c>
      <c r="R788" t="s">
        <v>47307</v>
      </c>
      <c r="S788" t="s">
        <v>47416</v>
      </c>
      <c r="T788" t="s">
        <v>49084</v>
      </c>
      <c r="U788" t="s">
        <v>50277</v>
      </c>
      <c r="W788" t="s">
        <v>43294</v>
      </c>
      <c r="X788" t="s">
        <v>47306</v>
      </c>
    </row>
    <row r="789" spans="1:24">
      <c r="A789">
        <f>HYPERLINK("https://www.philgeps.gov.ph/GEPSNONPILOT/Tender/SplashBidNoticeAbstractUI.aspx?menuIndex=3&amp;refID=7198360&amp;Result=3","7198360")</f>
        <v>0</v>
      </c>
      <c r="B789" t="s">
        <v>420</v>
      </c>
      <c r="C789" t="s">
        <v>4626</v>
      </c>
      <c r="D789" t="s">
        <v>19036</v>
      </c>
      <c r="E789" t="s">
        <v>19834</v>
      </c>
      <c r="F789" t="s">
        <v>32610</v>
      </c>
      <c r="G789" t="s">
        <v>32614</v>
      </c>
      <c r="H789" t="s">
        <v>14201</v>
      </c>
      <c r="I789" t="s">
        <v>6007</v>
      </c>
      <c r="J789" t="s">
        <v>33067</v>
      </c>
      <c r="K789" t="s">
        <v>42624</v>
      </c>
      <c r="M789" t="s">
        <v>43324</v>
      </c>
      <c r="N789" t="s">
        <v>47304</v>
      </c>
      <c r="O789" t="s">
        <v>47305</v>
      </c>
      <c r="P789">
        <v>0</v>
      </c>
      <c r="Q789">
        <v>0</v>
      </c>
      <c r="R789" t="s">
        <v>47307</v>
      </c>
      <c r="S789" t="s">
        <v>47416</v>
      </c>
      <c r="T789" t="s">
        <v>49109</v>
      </c>
      <c r="U789" t="s">
        <v>50278</v>
      </c>
      <c r="W789" t="s">
        <v>43324</v>
      </c>
      <c r="X789" t="s">
        <v>47306</v>
      </c>
    </row>
    <row r="790" spans="1:24">
      <c r="A790">
        <f>HYPERLINK("https://www.philgeps.gov.ph/GEPSNONPILOT/Tender/SplashBidNoticeAbstractUI.aspx?menuIndex=3&amp;refID=7198357&amp;Result=3","7198357")</f>
        <v>0</v>
      </c>
      <c r="B790" t="s">
        <v>385</v>
      </c>
      <c r="C790" t="s">
        <v>4627</v>
      </c>
      <c r="D790" t="s">
        <v>19008</v>
      </c>
      <c r="E790" t="s">
        <v>19835</v>
      </c>
      <c r="F790" t="s">
        <v>32606</v>
      </c>
      <c r="G790" t="s">
        <v>32613</v>
      </c>
      <c r="H790" t="s">
        <v>14201</v>
      </c>
      <c r="I790" t="s">
        <v>32633</v>
      </c>
      <c r="J790" t="s">
        <v>32770</v>
      </c>
      <c r="K790" t="s">
        <v>42631</v>
      </c>
      <c r="M790" t="s">
        <v>43288</v>
      </c>
      <c r="N790" t="s">
        <v>47304</v>
      </c>
      <c r="O790" t="s">
        <v>47305</v>
      </c>
      <c r="P790">
        <v>0</v>
      </c>
      <c r="Q790">
        <v>0</v>
      </c>
      <c r="R790" t="s">
        <v>47307</v>
      </c>
      <c r="S790" t="s">
        <v>47416</v>
      </c>
      <c r="T790" t="s">
        <v>48995</v>
      </c>
      <c r="U790" t="s">
        <v>50279</v>
      </c>
      <c r="W790" t="s">
        <v>43288</v>
      </c>
      <c r="X790" t="s">
        <v>47306</v>
      </c>
    </row>
    <row r="791" spans="1:24">
      <c r="A791">
        <f>HYPERLINK("https://www.philgeps.gov.ph/GEPSNONPILOT/Tender/SplashBidNoticeAbstractUI.aspx?menuIndex=3&amp;refID=7198356&amp;Result=3","7198356")</f>
        <v>0</v>
      </c>
      <c r="B791" t="s">
        <v>421</v>
      </c>
      <c r="C791" t="s">
        <v>4628</v>
      </c>
      <c r="D791" t="s">
        <v>18988</v>
      </c>
      <c r="E791" t="s">
        <v>19836</v>
      </c>
      <c r="F791" t="s">
        <v>32606</v>
      </c>
      <c r="G791" t="s">
        <v>32614</v>
      </c>
      <c r="H791" t="s">
        <v>14201</v>
      </c>
      <c r="I791" t="s">
        <v>7577</v>
      </c>
      <c r="J791" t="s">
        <v>33380</v>
      </c>
      <c r="K791" t="s">
        <v>42622</v>
      </c>
      <c r="M791" t="s">
        <v>43325</v>
      </c>
      <c r="N791" t="s">
        <v>47304</v>
      </c>
      <c r="O791" t="s">
        <v>47305</v>
      </c>
      <c r="P791">
        <v>0</v>
      </c>
      <c r="Q791">
        <v>0</v>
      </c>
      <c r="R791" t="s">
        <v>47307</v>
      </c>
      <c r="S791" t="s">
        <v>47416</v>
      </c>
      <c r="T791" t="s">
        <v>49015</v>
      </c>
      <c r="U791" t="s">
        <v>50280</v>
      </c>
      <c r="W791" t="s">
        <v>47268</v>
      </c>
      <c r="X791" t="s">
        <v>47306</v>
      </c>
    </row>
    <row r="792" spans="1:24">
      <c r="A792">
        <f>HYPERLINK("https://www.philgeps.gov.ph/GEPSNONPILOT/Tender/SplashBidNoticeAbstractUI.aspx?menuIndex=3&amp;refID=7198339&amp;Result=3","7198339")</f>
        <v>0</v>
      </c>
      <c r="B792" t="s">
        <v>422</v>
      </c>
      <c r="C792" t="s">
        <v>4629</v>
      </c>
      <c r="D792" t="s">
        <v>19030</v>
      </c>
      <c r="E792" t="s">
        <v>19837</v>
      </c>
      <c r="F792" t="s">
        <v>32606</v>
      </c>
      <c r="G792" t="s">
        <v>32614</v>
      </c>
      <c r="H792" t="s">
        <v>14201</v>
      </c>
      <c r="I792" t="s">
        <v>6014</v>
      </c>
      <c r="J792" t="s">
        <v>33131</v>
      </c>
      <c r="K792" t="s">
        <v>42622</v>
      </c>
      <c r="M792" t="s">
        <v>43326</v>
      </c>
      <c r="N792" t="s">
        <v>47304</v>
      </c>
      <c r="O792" t="s">
        <v>47305</v>
      </c>
      <c r="P792">
        <v>0</v>
      </c>
      <c r="Q792">
        <v>0</v>
      </c>
      <c r="R792" t="s">
        <v>47307</v>
      </c>
      <c r="S792" t="s">
        <v>47416</v>
      </c>
      <c r="T792" t="s">
        <v>48989</v>
      </c>
      <c r="U792" t="s">
        <v>50281</v>
      </c>
      <c r="W792" t="s">
        <v>43326</v>
      </c>
      <c r="X792" t="s">
        <v>47306</v>
      </c>
    </row>
    <row r="793" spans="1:24">
      <c r="A793">
        <f>HYPERLINK("https://www.philgeps.gov.ph/GEPSNONPILOT/Tender/SplashBidNoticeAbstractUI.aspx?menuIndex=3&amp;refID=7198354&amp;Result=3","7198354")</f>
        <v>0</v>
      </c>
      <c r="B793" t="s">
        <v>423</v>
      </c>
      <c r="C793" t="s">
        <v>4630</v>
      </c>
      <c r="D793" t="s">
        <v>18997</v>
      </c>
      <c r="E793" t="s">
        <v>19838</v>
      </c>
      <c r="F793" t="s">
        <v>32606</v>
      </c>
      <c r="G793" t="s">
        <v>32613</v>
      </c>
      <c r="H793" t="s">
        <v>32623</v>
      </c>
      <c r="I793" t="s">
        <v>17648</v>
      </c>
      <c r="J793" t="s">
        <v>33381</v>
      </c>
      <c r="K793" t="s">
        <v>42646</v>
      </c>
      <c r="M793" t="s">
        <v>43327</v>
      </c>
      <c r="N793" t="s">
        <v>47304</v>
      </c>
      <c r="O793" t="s">
        <v>47305</v>
      </c>
      <c r="P793">
        <v>0</v>
      </c>
      <c r="Q793">
        <v>0</v>
      </c>
      <c r="R793" t="s">
        <v>47307</v>
      </c>
      <c r="S793" t="s">
        <v>47416</v>
      </c>
      <c r="T793" t="s">
        <v>49110</v>
      </c>
      <c r="U793" t="s">
        <v>50282</v>
      </c>
      <c r="W793" t="s">
        <v>43327</v>
      </c>
      <c r="X793" t="s">
        <v>47306</v>
      </c>
    </row>
    <row r="794" spans="1:24">
      <c r="A794">
        <f>HYPERLINK("https://www.philgeps.gov.ph/GEPSNONPILOT/Tender/SplashBidNoticeAbstractUI.aspx?menuIndex=3&amp;refID=7198353&amp;Result=3","7198353")</f>
        <v>0</v>
      </c>
      <c r="B794" t="s">
        <v>424</v>
      </c>
      <c r="C794" t="s">
        <v>4631</v>
      </c>
      <c r="D794" t="s">
        <v>18992</v>
      </c>
      <c r="E794" t="s">
        <v>19839</v>
      </c>
      <c r="F794" t="s">
        <v>32606</v>
      </c>
      <c r="G794" t="s">
        <v>32613</v>
      </c>
      <c r="H794" t="s">
        <v>32623</v>
      </c>
      <c r="I794" t="s">
        <v>32661</v>
      </c>
      <c r="J794" t="s">
        <v>33382</v>
      </c>
      <c r="K794" t="s">
        <v>42687</v>
      </c>
      <c r="M794" t="s">
        <v>43328</v>
      </c>
      <c r="N794" t="s">
        <v>47304</v>
      </c>
      <c r="O794" t="s">
        <v>47305</v>
      </c>
      <c r="P794">
        <v>0</v>
      </c>
      <c r="Q794">
        <v>0</v>
      </c>
      <c r="R794" t="s">
        <v>47307</v>
      </c>
      <c r="S794" t="s">
        <v>47416</v>
      </c>
      <c r="T794" t="s">
        <v>49111</v>
      </c>
      <c r="U794" t="s">
        <v>50283</v>
      </c>
      <c r="W794" t="s">
        <v>43328</v>
      </c>
      <c r="X794" t="s">
        <v>47306</v>
      </c>
    </row>
    <row r="795" spans="1:24">
      <c r="A795">
        <f>HYPERLINK("https://www.philgeps.gov.ph/GEPSNONPILOT/Tender/SplashBidNoticeAbstractUI.aspx?menuIndex=3&amp;refID=7198324&amp;Result=3","7198324")</f>
        <v>0</v>
      </c>
      <c r="B795" t="s">
        <v>425</v>
      </c>
      <c r="C795" t="s">
        <v>4632</v>
      </c>
      <c r="D795" t="s">
        <v>19015</v>
      </c>
      <c r="E795" t="s">
        <v>19840</v>
      </c>
      <c r="F795" t="s">
        <v>32606</v>
      </c>
      <c r="G795" t="s">
        <v>32613</v>
      </c>
      <c r="H795" t="s">
        <v>14201</v>
      </c>
      <c r="I795" t="s">
        <v>7064</v>
      </c>
      <c r="J795" t="s">
        <v>33383</v>
      </c>
      <c r="K795" t="s">
        <v>42648</v>
      </c>
      <c r="M795" t="s">
        <v>43329</v>
      </c>
      <c r="N795" t="s">
        <v>47304</v>
      </c>
      <c r="O795" t="s">
        <v>47305</v>
      </c>
      <c r="P795">
        <v>0</v>
      </c>
      <c r="Q795">
        <v>2</v>
      </c>
      <c r="R795" t="s">
        <v>47307</v>
      </c>
      <c r="S795" t="s">
        <v>47416</v>
      </c>
      <c r="T795" t="s">
        <v>48990</v>
      </c>
      <c r="U795" t="s">
        <v>50284</v>
      </c>
      <c r="W795" t="s">
        <v>64432</v>
      </c>
      <c r="X795" t="s">
        <v>47306</v>
      </c>
    </row>
    <row r="796" spans="1:24">
      <c r="A796">
        <f>HYPERLINK("https://www.philgeps.gov.ph/GEPSNONPILOT/Tender/SplashBidNoticeAbstractUI.aspx?menuIndex=3&amp;refID=7198351&amp;Result=3","7198351")</f>
        <v>0</v>
      </c>
      <c r="B796" t="s">
        <v>426</v>
      </c>
      <c r="C796" t="s">
        <v>4633</v>
      </c>
      <c r="D796" t="s">
        <v>19029</v>
      </c>
      <c r="E796" t="s">
        <v>19841</v>
      </c>
      <c r="F796" t="s">
        <v>32606</v>
      </c>
      <c r="G796" t="s">
        <v>32614</v>
      </c>
      <c r="H796" t="s">
        <v>14201</v>
      </c>
      <c r="I796" t="s">
        <v>7677</v>
      </c>
      <c r="J796" t="s">
        <v>33384</v>
      </c>
      <c r="K796" t="s">
        <v>42622</v>
      </c>
      <c r="M796" t="s">
        <v>43330</v>
      </c>
      <c r="N796" t="s">
        <v>47304</v>
      </c>
      <c r="O796" t="s">
        <v>47305</v>
      </c>
      <c r="P796">
        <v>0</v>
      </c>
      <c r="Q796">
        <v>0</v>
      </c>
      <c r="R796" t="s">
        <v>47307</v>
      </c>
      <c r="S796" t="s">
        <v>47416</v>
      </c>
      <c r="T796" t="s">
        <v>48988</v>
      </c>
      <c r="U796" t="s">
        <v>50285</v>
      </c>
      <c r="W796" t="s">
        <v>43330</v>
      </c>
      <c r="X796" t="s">
        <v>47306</v>
      </c>
    </row>
    <row r="797" spans="1:24">
      <c r="A797">
        <f>HYPERLINK("https://www.philgeps.gov.ph/GEPSNONPILOT/Tender/SplashBidNoticeAbstractUI.aspx?menuIndex=3&amp;refID=7198359&amp;Result=3","7198359")</f>
        <v>0</v>
      </c>
      <c r="B797" t="s">
        <v>371</v>
      </c>
      <c r="C797" t="s">
        <v>4634</v>
      </c>
      <c r="D797" t="s">
        <v>18997</v>
      </c>
      <c r="E797" t="s">
        <v>19842</v>
      </c>
      <c r="F797" t="s">
        <v>32606</v>
      </c>
      <c r="G797" t="s">
        <v>32613</v>
      </c>
      <c r="H797" t="s">
        <v>14201</v>
      </c>
      <c r="I797" t="s">
        <v>4112</v>
      </c>
      <c r="J797" t="s">
        <v>33385</v>
      </c>
      <c r="K797" t="s">
        <v>42622</v>
      </c>
      <c r="M797" t="s">
        <v>43273</v>
      </c>
      <c r="N797" t="s">
        <v>47304</v>
      </c>
      <c r="O797" t="s">
        <v>47305</v>
      </c>
      <c r="P797">
        <v>0</v>
      </c>
      <c r="Q797">
        <v>0</v>
      </c>
      <c r="R797" t="s">
        <v>47307</v>
      </c>
      <c r="S797" t="s">
        <v>47416</v>
      </c>
      <c r="T797" t="s">
        <v>49017</v>
      </c>
      <c r="U797" t="s">
        <v>50286</v>
      </c>
      <c r="W797" t="s">
        <v>43273</v>
      </c>
      <c r="X797" t="s">
        <v>47306</v>
      </c>
    </row>
    <row r="798" spans="1:24">
      <c r="A798">
        <f>HYPERLINK("https://www.philgeps.gov.ph/GEPSNONPILOT/Tender/SplashBidNoticeAbstractUI.aspx?menuIndex=3&amp;refID=7198348&amp;Result=3","7198348")</f>
        <v>0</v>
      </c>
      <c r="B798" t="s">
        <v>404</v>
      </c>
      <c r="C798" t="s">
        <v>4635</v>
      </c>
      <c r="D798" t="s">
        <v>19023</v>
      </c>
      <c r="E798" t="s">
        <v>19843</v>
      </c>
      <c r="F798" t="s">
        <v>32606</v>
      </c>
      <c r="G798" t="s">
        <v>32613</v>
      </c>
      <c r="H798" t="s">
        <v>14201</v>
      </c>
      <c r="I798" t="s">
        <v>5233</v>
      </c>
      <c r="J798" t="s">
        <v>33386</v>
      </c>
      <c r="K798" t="s">
        <v>42664</v>
      </c>
      <c r="M798" t="s">
        <v>43308</v>
      </c>
      <c r="N798" t="s">
        <v>47304</v>
      </c>
      <c r="O798" t="s">
        <v>47305</v>
      </c>
      <c r="P798">
        <v>0</v>
      </c>
      <c r="Q798">
        <v>0</v>
      </c>
      <c r="R798" t="s">
        <v>47307</v>
      </c>
      <c r="S798" t="s">
        <v>47416</v>
      </c>
      <c r="T798" t="s">
        <v>48971</v>
      </c>
      <c r="U798" t="s">
        <v>50287</v>
      </c>
      <c r="V798" t="s">
        <v>62737</v>
      </c>
      <c r="W798" t="s">
        <v>43308</v>
      </c>
      <c r="X798" t="s">
        <v>47306</v>
      </c>
    </row>
    <row r="799" spans="1:24">
      <c r="A799">
        <f>HYPERLINK("https://www.philgeps.gov.ph/GEPSNONPILOT/Tender/SplashBidNoticeAbstractUI.aspx?menuIndex=3&amp;refID=7198347&amp;Result=3","7198347")</f>
        <v>0</v>
      </c>
      <c r="B799" t="s">
        <v>427</v>
      </c>
      <c r="C799" t="s">
        <v>4636</v>
      </c>
      <c r="D799" t="s">
        <v>18995</v>
      </c>
      <c r="E799" t="s">
        <v>19844</v>
      </c>
      <c r="F799" t="s">
        <v>32606</v>
      </c>
      <c r="G799" t="s">
        <v>32614</v>
      </c>
      <c r="H799" t="s">
        <v>14201</v>
      </c>
      <c r="I799" t="s">
        <v>32661</v>
      </c>
      <c r="J799" t="s">
        <v>33387</v>
      </c>
      <c r="K799" t="s">
        <v>42663</v>
      </c>
      <c r="M799" t="s">
        <v>43331</v>
      </c>
      <c r="N799" t="s">
        <v>47304</v>
      </c>
      <c r="O799" t="s">
        <v>47305</v>
      </c>
      <c r="P799">
        <v>0</v>
      </c>
      <c r="Q799">
        <v>0</v>
      </c>
      <c r="R799" t="s">
        <v>47307</v>
      </c>
      <c r="S799" t="s">
        <v>47416</v>
      </c>
      <c r="T799" t="s">
        <v>49016</v>
      </c>
      <c r="U799" t="s">
        <v>50288</v>
      </c>
      <c r="W799" t="s">
        <v>43331</v>
      </c>
      <c r="X799" t="s">
        <v>47306</v>
      </c>
    </row>
    <row r="800" spans="1:24">
      <c r="A800">
        <f>HYPERLINK("https://www.philgeps.gov.ph/GEPSNONPILOT/Tender/SplashBidNoticeAbstractUI.aspx?menuIndex=3&amp;refID=7198321&amp;Result=3","7198321")</f>
        <v>0</v>
      </c>
      <c r="B800" t="s">
        <v>360</v>
      </c>
      <c r="C800" t="s">
        <v>4637</v>
      </c>
      <c r="D800" t="s">
        <v>19040</v>
      </c>
      <c r="E800" t="s">
        <v>19845</v>
      </c>
      <c r="F800" t="s">
        <v>32606</v>
      </c>
      <c r="G800" t="s">
        <v>32613</v>
      </c>
      <c r="H800" t="s">
        <v>14201</v>
      </c>
      <c r="I800" t="s">
        <v>32663</v>
      </c>
      <c r="J800" t="s">
        <v>33388</v>
      </c>
      <c r="K800" t="s">
        <v>42631</v>
      </c>
      <c r="M800" t="s">
        <v>43332</v>
      </c>
      <c r="N800" t="s">
        <v>47304</v>
      </c>
      <c r="O800" t="s">
        <v>47305</v>
      </c>
      <c r="P800">
        <v>0</v>
      </c>
      <c r="Q800">
        <v>0</v>
      </c>
      <c r="R800" t="s">
        <v>47307</v>
      </c>
      <c r="S800" t="s">
        <v>47416</v>
      </c>
      <c r="T800" t="s">
        <v>48992</v>
      </c>
      <c r="U800" t="s">
        <v>50289</v>
      </c>
      <c r="W800" t="s">
        <v>43332</v>
      </c>
      <c r="X800" t="s">
        <v>47306</v>
      </c>
    </row>
    <row r="801" spans="1:24">
      <c r="A801">
        <f>HYPERLINK("https://www.philgeps.gov.ph/GEPSNONPILOT/Tender/SplashBidNoticeAbstractUI.aspx?menuIndex=3&amp;refID=7198345&amp;Result=3","7198345")</f>
        <v>0</v>
      </c>
      <c r="B801" t="s">
        <v>381</v>
      </c>
      <c r="C801" t="s">
        <v>4638</v>
      </c>
      <c r="E801" t="s">
        <v>19846</v>
      </c>
      <c r="F801" t="s">
        <v>32606</v>
      </c>
      <c r="G801" t="s">
        <v>32614</v>
      </c>
      <c r="H801" t="s">
        <v>32623</v>
      </c>
      <c r="I801" t="s">
        <v>17648</v>
      </c>
      <c r="J801" t="s">
        <v>33389</v>
      </c>
      <c r="K801" t="s">
        <v>42624</v>
      </c>
      <c r="M801" t="s">
        <v>43283</v>
      </c>
      <c r="N801" t="s">
        <v>47304</v>
      </c>
      <c r="O801" t="s">
        <v>47305</v>
      </c>
      <c r="P801">
        <v>0</v>
      </c>
      <c r="Q801">
        <v>0</v>
      </c>
      <c r="R801" t="s">
        <v>47307</v>
      </c>
      <c r="S801" t="s">
        <v>47416</v>
      </c>
      <c r="T801" t="s">
        <v>48982</v>
      </c>
      <c r="U801" t="s">
        <v>50290</v>
      </c>
      <c r="W801" t="s">
        <v>43283</v>
      </c>
      <c r="X801" t="s">
        <v>47306</v>
      </c>
    </row>
    <row r="802" spans="1:24">
      <c r="A802">
        <f>HYPERLINK("https://www.philgeps.gov.ph/GEPSNONPILOT/Tender/SplashBidNoticeAbstractUI.aspx?menuIndex=3&amp;refID=7198362&amp;Result=3","7198362")</f>
        <v>0</v>
      </c>
      <c r="B802" t="s">
        <v>391</v>
      </c>
      <c r="C802" t="s">
        <v>4639</v>
      </c>
      <c r="D802" t="s">
        <v>18993</v>
      </c>
      <c r="E802" t="s">
        <v>19847</v>
      </c>
      <c r="F802" t="s">
        <v>32606</v>
      </c>
      <c r="G802" t="s">
        <v>32614</v>
      </c>
      <c r="H802" t="s">
        <v>14201</v>
      </c>
      <c r="I802" t="s">
        <v>32633</v>
      </c>
      <c r="J802" t="s">
        <v>32794</v>
      </c>
      <c r="K802" t="s">
        <v>42631</v>
      </c>
      <c r="M802" t="s">
        <v>43294</v>
      </c>
      <c r="N802" t="s">
        <v>47304</v>
      </c>
      <c r="O802" t="s">
        <v>47305</v>
      </c>
      <c r="P802">
        <v>0</v>
      </c>
      <c r="Q802">
        <v>0</v>
      </c>
      <c r="R802" t="s">
        <v>47307</v>
      </c>
      <c r="S802" t="s">
        <v>47416</v>
      </c>
      <c r="T802" t="s">
        <v>49112</v>
      </c>
      <c r="U802" t="s">
        <v>50277</v>
      </c>
      <c r="W802" t="s">
        <v>43294</v>
      </c>
      <c r="X802" t="s">
        <v>47306</v>
      </c>
    </row>
    <row r="803" spans="1:24">
      <c r="A803">
        <f>HYPERLINK("https://www.philgeps.gov.ph/GEPSNONPILOT/Tender/SplashBidNoticeAbstractUI.aspx?menuIndex=3&amp;refID=7198385&amp;Result=3","7198385")</f>
        <v>0</v>
      </c>
      <c r="B803" t="s">
        <v>395</v>
      </c>
      <c r="C803" t="s">
        <v>4640</v>
      </c>
      <c r="D803" t="s">
        <v>18997</v>
      </c>
      <c r="E803" t="s">
        <v>19848</v>
      </c>
      <c r="F803" t="s">
        <v>32606</v>
      </c>
      <c r="G803" t="s">
        <v>32613</v>
      </c>
      <c r="H803" t="s">
        <v>14201</v>
      </c>
      <c r="I803" t="s">
        <v>7529</v>
      </c>
      <c r="J803" t="s">
        <v>33148</v>
      </c>
      <c r="K803" t="s">
        <v>42631</v>
      </c>
      <c r="M803" t="s">
        <v>43298</v>
      </c>
      <c r="N803" t="s">
        <v>47304</v>
      </c>
      <c r="O803" t="s">
        <v>47305</v>
      </c>
      <c r="P803">
        <v>0</v>
      </c>
      <c r="Q803">
        <v>0</v>
      </c>
      <c r="R803" t="s">
        <v>47307</v>
      </c>
      <c r="S803" t="s">
        <v>47416</v>
      </c>
      <c r="T803" t="s">
        <v>49113</v>
      </c>
      <c r="U803" t="s">
        <v>50291</v>
      </c>
      <c r="V803" t="s">
        <v>62742</v>
      </c>
      <c r="W803" t="s">
        <v>43298</v>
      </c>
      <c r="X803" t="s">
        <v>47306</v>
      </c>
    </row>
    <row r="804" spans="1:24">
      <c r="A804">
        <f>HYPERLINK("https://www.philgeps.gov.ph/GEPSNONPILOT/Tender/SplashBidNoticeAbstractUI.aspx?menuIndex=3&amp;refID=7198384&amp;Result=3","7198384")</f>
        <v>0</v>
      </c>
      <c r="B804" t="s">
        <v>404</v>
      </c>
      <c r="C804" t="s">
        <v>4641</v>
      </c>
      <c r="D804" t="s">
        <v>19023</v>
      </c>
      <c r="E804" t="s">
        <v>19849</v>
      </c>
      <c r="F804" t="s">
        <v>32606</v>
      </c>
      <c r="G804" t="s">
        <v>32613</v>
      </c>
      <c r="H804" t="s">
        <v>14201</v>
      </c>
      <c r="I804" t="s">
        <v>32650</v>
      </c>
      <c r="J804" t="s">
        <v>33390</v>
      </c>
      <c r="K804" t="s">
        <v>42664</v>
      </c>
      <c r="M804" t="s">
        <v>43308</v>
      </c>
      <c r="N804" t="s">
        <v>47304</v>
      </c>
      <c r="O804" t="s">
        <v>47305</v>
      </c>
      <c r="P804">
        <v>0</v>
      </c>
      <c r="Q804">
        <v>0</v>
      </c>
      <c r="R804" t="s">
        <v>47307</v>
      </c>
      <c r="S804" t="s">
        <v>47416</v>
      </c>
      <c r="T804" t="s">
        <v>48971</v>
      </c>
      <c r="U804" t="s">
        <v>50292</v>
      </c>
      <c r="V804" t="s">
        <v>62737</v>
      </c>
      <c r="W804" t="s">
        <v>43308</v>
      </c>
      <c r="X804" t="s">
        <v>47306</v>
      </c>
    </row>
    <row r="805" spans="1:24">
      <c r="A805">
        <f>HYPERLINK("https://www.philgeps.gov.ph/GEPSNONPILOT/Tender/SplashBidNoticeAbstractUI.aspx?menuIndex=3&amp;refID=7198382&amp;Result=3","7198382")</f>
        <v>0</v>
      </c>
      <c r="B805" t="s">
        <v>428</v>
      </c>
      <c r="C805" t="s">
        <v>4642</v>
      </c>
      <c r="D805" t="s">
        <v>19025</v>
      </c>
      <c r="E805" t="s">
        <v>19850</v>
      </c>
      <c r="F805" t="s">
        <v>32606</v>
      </c>
      <c r="G805" t="s">
        <v>32613</v>
      </c>
      <c r="H805" t="s">
        <v>14201</v>
      </c>
      <c r="I805" t="s">
        <v>32633</v>
      </c>
      <c r="J805" t="s">
        <v>33391</v>
      </c>
      <c r="K805" t="s">
        <v>42622</v>
      </c>
      <c r="M805" t="s">
        <v>43333</v>
      </c>
      <c r="N805" t="s">
        <v>47304</v>
      </c>
      <c r="O805" t="s">
        <v>47305</v>
      </c>
      <c r="P805">
        <v>0</v>
      </c>
      <c r="Q805">
        <v>0</v>
      </c>
      <c r="R805" t="s">
        <v>47307</v>
      </c>
      <c r="S805" t="s">
        <v>47416</v>
      </c>
      <c r="T805" t="s">
        <v>49109</v>
      </c>
      <c r="U805" t="s">
        <v>50293</v>
      </c>
      <c r="W805" t="s">
        <v>43333</v>
      </c>
      <c r="X805" t="s">
        <v>47306</v>
      </c>
    </row>
    <row r="806" spans="1:24">
      <c r="A806">
        <f>HYPERLINK("https://www.philgeps.gov.ph/GEPSNONPILOT/Tender/SplashBidNoticeAbstractUI.aspx?menuIndex=3&amp;refID=7198381&amp;Result=3","7198381")</f>
        <v>0</v>
      </c>
      <c r="B806" t="s">
        <v>384</v>
      </c>
      <c r="C806" t="s">
        <v>4643</v>
      </c>
      <c r="D806" t="s">
        <v>18995</v>
      </c>
      <c r="E806" t="s">
        <v>19851</v>
      </c>
      <c r="F806" t="s">
        <v>32606</v>
      </c>
      <c r="G806" t="s">
        <v>32614</v>
      </c>
      <c r="H806" t="s">
        <v>14201</v>
      </c>
      <c r="I806" t="s">
        <v>6298</v>
      </c>
      <c r="J806" t="s">
        <v>33392</v>
      </c>
      <c r="K806" t="s">
        <v>42622</v>
      </c>
      <c r="M806" t="s">
        <v>43287</v>
      </c>
      <c r="N806" t="s">
        <v>47304</v>
      </c>
      <c r="O806" t="s">
        <v>47305</v>
      </c>
      <c r="P806">
        <v>0</v>
      </c>
      <c r="Q806">
        <v>0</v>
      </c>
      <c r="R806" t="s">
        <v>47307</v>
      </c>
      <c r="S806" t="s">
        <v>47416</v>
      </c>
      <c r="T806" t="s">
        <v>49087</v>
      </c>
      <c r="U806" t="s">
        <v>50228</v>
      </c>
      <c r="W806" t="s">
        <v>43287</v>
      </c>
      <c r="X806" t="s">
        <v>47306</v>
      </c>
    </row>
    <row r="807" spans="1:24">
      <c r="A807">
        <f>HYPERLINK("https://www.philgeps.gov.ph/GEPSNONPILOT/Tender/SplashBidNoticeAbstractUI.aspx?menuIndex=3&amp;refID=7198355&amp;Result=3","7198355")</f>
        <v>0</v>
      </c>
      <c r="B807" t="s">
        <v>429</v>
      </c>
      <c r="C807" t="s">
        <v>4644</v>
      </c>
      <c r="D807" t="s">
        <v>18993</v>
      </c>
      <c r="E807" t="s">
        <v>19852</v>
      </c>
      <c r="F807" t="s">
        <v>32606</v>
      </c>
      <c r="G807" t="s">
        <v>32619</v>
      </c>
      <c r="H807" t="s">
        <v>14201</v>
      </c>
      <c r="I807" t="s">
        <v>4114</v>
      </c>
      <c r="J807" t="s">
        <v>33393</v>
      </c>
      <c r="K807" t="s">
        <v>42624</v>
      </c>
      <c r="M807" t="s">
        <v>43334</v>
      </c>
      <c r="N807" t="s">
        <v>47304</v>
      </c>
      <c r="O807" t="s">
        <v>47305</v>
      </c>
      <c r="P807">
        <v>0</v>
      </c>
      <c r="Q807">
        <v>0</v>
      </c>
      <c r="R807" t="s">
        <v>47307</v>
      </c>
      <c r="S807" t="s">
        <v>47416</v>
      </c>
      <c r="T807" t="s">
        <v>49114</v>
      </c>
      <c r="U807" t="s">
        <v>50294</v>
      </c>
      <c r="W807" t="s">
        <v>43334</v>
      </c>
      <c r="X807" t="s">
        <v>47306</v>
      </c>
    </row>
    <row r="808" spans="1:24">
      <c r="A808">
        <f>HYPERLINK("https://www.philgeps.gov.ph/GEPSNONPILOT/Tender/SplashBidNoticeAbstractUI.aspx?menuIndex=3&amp;refID=7198379&amp;Result=3","7198379")</f>
        <v>0</v>
      </c>
      <c r="B808" t="s">
        <v>394</v>
      </c>
      <c r="C808" t="s">
        <v>4645</v>
      </c>
      <c r="D808" t="s">
        <v>19014</v>
      </c>
      <c r="E808" t="s">
        <v>19853</v>
      </c>
      <c r="F808" t="s">
        <v>32606</v>
      </c>
      <c r="G808" t="s">
        <v>32614</v>
      </c>
      <c r="H808" t="s">
        <v>14201</v>
      </c>
      <c r="I808" t="s">
        <v>32633</v>
      </c>
      <c r="J808" t="s">
        <v>33034</v>
      </c>
      <c r="K808" t="s">
        <v>42624</v>
      </c>
      <c r="M808" t="s">
        <v>43297</v>
      </c>
      <c r="N808" t="s">
        <v>47304</v>
      </c>
      <c r="O808" t="s">
        <v>47305</v>
      </c>
      <c r="P808">
        <v>0</v>
      </c>
      <c r="Q808">
        <v>0</v>
      </c>
      <c r="R808" t="s">
        <v>47307</v>
      </c>
      <c r="S808" t="s">
        <v>47416</v>
      </c>
      <c r="T808" t="s">
        <v>49023</v>
      </c>
      <c r="U808" t="s">
        <v>50295</v>
      </c>
      <c r="W808" t="s">
        <v>43297</v>
      </c>
      <c r="X808" t="s">
        <v>47306</v>
      </c>
    </row>
    <row r="809" spans="1:24">
      <c r="A809">
        <f>HYPERLINK("https://www.philgeps.gov.ph/GEPSNONPILOT/Tender/SplashBidNoticeAbstractUI.aspx?menuIndex=3&amp;refID=7198377&amp;Result=3","7198377")</f>
        <v>0</v>
      </c>
      <c r="B809" t="s">
        <v>430</v>
      </c>
      <c r="C809" t="s">
        <v>4646</v>
      </c>
      <c r="E809" t="s">
        <v>19743</v>
      </c>
      <c r="F809" t="s">
        <v>32606</v>
      </c>
      <c r="G809" t="s">
        <v>32614</v>
      </c>
      <c r="H809" t="s">
        <v>14201</v>
      </c>
      <c r="I809" t="s">
        <v>32631</v>
      </c>
      <c r="J809" t="s">
        <v>33394</v>
      </c>
      <c r="K809" t="s">
        <v>42624</v>
      </c>
      <c r="M809" t="s">
        <v>43335</v>
      </c>
      <c r="N809" t="s">
        <v>47304</v>
      </c>
      <c r="O809" t="s">
        <v>47305</v>
      </c>
      <c r="P809">
        <v>0</v>
      </c>
      <c r="Q809">
        <v>0</v>
      </c>
      <c r="R809" t="s">
        <v>47307</v>
      </c>
      <c r="S809" t="s">
        <v>47416</v>
      </c>
      <c r="T809" t="s">
        <v>48972</v>
      </c>
      <c r="U809" t="s">
        <v>50296</v>
      </c>
      <c r="W809" t="s">
        <v>43335</v>
      </c>
      <c r="X809" t="s">
        <v>47306</v>
      </c>
    </row>
    <row r="810" spans="1:24">
      <c r="A810">
        <f>HYPERLINK("https://www.philgeps.gov.ph/GEPSNONPILOT/Tender/SplashBidNoticeAbstractUI.aspx?menuIndex=3&amp;refID=7198376&amp;Result=3","7198376")</f>
        <v>0</v>
      </c>
      <c r="B810" t="s">
        <v>399</v>
      </c>
      <c r="C810" t="s">
        <v>4647</v>
      </c>
      <c r="E810" t="s">
        <v>19854</v>
      </c>
      <c r="F810" t="s">
        <v>32606</v>
      </c>
      <c r="G810" t="s">
        <v>32613</v>
      </c>
      <c r="H810" t="s">
        <v>14201</v>
      </c>
      <c r="I810" t="s">
        <v>6931</v>
      </c>
      <c r="J810" t="s">
        <v>33395</v>
      </c>
      <c r="K810" t="s">
        <v>42624</v>
      </c>
      <c r="M810" t="s">
        <v>43302</v>
      </c>
      <c r="N810" t="s">
        <v>47304</v>
      </c>
      <c r="O810" t="s">
        <v>47305</v>
      </c>
      <c r="P810">
        <v>0</v>
      </c>
      <c r="Q810">
        <v>0</v>
      </c>
      <c r="R810" t="s">
        <v>47307</v>
      </c>
      <c r="S810" t="s">
        <v>47416</v>
      </c>
      <c r="T810" t="s">
        <v>49115</v>
      </c>
      <c r="U810" t="s">
        <v>50297</v>
      </c>
      <c r="W810" t="s">
        <v>43302</v>
      </c>
      <c r="X810" t="s">
        <v>47306</v>
      </c>
    </row>
    <row r="811" spans="1:24">
      <c r="A811">
        <f>HYPERLINK("https://www.philgeps.gov.ph/GEPSNONPILOT/Tender/SplashBidNoticeAbstractUI.aspx?menuIndex=3&amp;refID=7198373&amp;Result=3","7198373")</f>
        <v>0</v>
      </c>
      <c r="B811" t="s">
        <v>387</v>
      </c>
      <c r="C811" t="s">
        <v>4648</v>
      </c>
      <c r="D811" t="s">
        <v>18988</v>
      </c>
      <c r="E811" t="s">
        <v>19855</v>
      </c>
      <c r="F811" t="s">
        <v>32606</v>
      </c>
      <c r="G811" t="s">
        <v>32613</v>
      </c>
      <c r="H811" t="s">
        <v>14201</v>
      </c>
      <c r="I811" t="s">
        <v>32640</v>
      </c>
      <c r="J811" t="s">
        <v>33396</v>
      </c>
      <c r="K811" t="s">
        <v>42627</v>
      </c>
      <c r="M811" t="s">
        <v>43290</v>
      </c>
      <c r="N811" t="s">
        <v>47304</v>
      </c>
      <c r="O811" t="s">
        <v>47305</v>
      </c>
      <c r="P811">
        <v>0</v>
      </c>
      <c r="Q811">
        <v>0</v>
      </c>
      <c r="R811" t="s">
        <v>47307</v>
      </c>
      <c r="S811" t="s">
        <v>47416</v>
      </c>
      <c r="T811" t="s">
        <v>49103</v>
      </c>
      <c r="U811" t="s">
        <v>50231</v>
      </c>
      <c r="W811" t="s">
        <v>64431</v>
      </c>
      <c r="X811" t="s">
        <v>47306</v>
      </c>
    </row>
    <row r="812" spans="1:24">
      <c r="A812">
        <f>HYPERLINK("https://www.philgeps.gov.ph/GEPSNONPILOT/Tender/SplashBidNoticeAbstractUI.aspx?menuIndex=3&amp;refID=7198372&amp;Result=3","7198372")</f>
        <v>0</v>
      </c>
      <c r="B812" t="s">
        <v>230</v>
      </c>
      <c r="C812" t="s">
        <v>4649</v>
      </c>
      <c r="D812" t="s">
        <v>19015</v>
      </c>
      <c r="E812" t="s">
        <v>19856</v>
      </c>
      <c r="F812" t="s">
        <v>32606</v>
      </c>
      <c r="G812" t="s">
        <v>32613</v>
      </c>
      <c r="H812" t="s">
        <v>32623</v>
      </c>
      <c r="I812" t="s">
        <v>17648</v>
      </c>
      <c r="J812" t="s">
        <v>32765</v>
      </c>
      <c r="K812" t="s">
        <v>42630</v>
      </c>
      <c r="M812" t="s">
        <v>43131</v>
      </c>
      <c r="N812" t="s">
        <v>47304</v>
      </c>
      <c r="O812" t="s">
        <v>47305</v>
      </c>
      <c r="P812">
        <v>0</v>
      </c>
      <c r="Q812">
        <v>0</v>
      </c>
      <c r="R812" t="s">
        <v>47307</v>
      </c>
      <c r="S812" t="s">
        <v>47416</v>
      </c>
      <c r="T812" t="s">
        <v>49107</v>
      </c>
      <c r="U812" t="s">
        <v>50298</v>
      </c>
      <c r="V812" t="s">
        <v>62743</v>
      </c>
      <c r="W812" t="s">
        <v>43131</v>
      </c>
      <c r="X812" t="s">
        <v>47306</v>
      </c>
    </row>
    <row r="813" spans="1:24">
      <c r="A813">
        <f>HYPERLINK("https://www.philgeps.gov.ph/GEPSNONPILOT/Tender/SplashBidNoticeAbstractUI.aspx?menuIndex=3&amp;refID=7198349&amp;Result=3","7198349")</f>
        <v>0</v>
      </c>
      <c r="B813" t="s">
        <v>310</v>
      </c>
      <c r="C813" t="s">
        <v>4650</v>
      </c>
      <c r="D813" t="s">
        <v>19038</v>
      </c>
      <c r="E813" t="s">
        <v>19857</v>
      </c>
      <c r="F813" t="s">
        <v>32607</v>
      </c>
      <c r="G813" t="s">
        <v>32613</v>
      </c>
      <c r="H813" t="s">
        <v>14201</v>
      </c>
      <c r="I813" t="s">
        <v>9013</v>
      </c>
      <c r="J813" t="s">
        <v>33397</v>
      </c>
      <c r="K813" t="s">
        <v>42631</v>
      </c>
      <c r="M813" t="s">
        <v>43336</v>
      </c>
      <c r="N813" t="s">
        <v>47304</v>
      </c>
      <c r="O813" t="s">
        <v>47305</v>
      </c>
      <c r="P813">
        <v>0</v>
      </c>
      <c r="Q813">
        <v>0</v>
      </c>
      <c r="R813" t="s">
        <v>47307</v>
      </c>
      <c r="S813" t="s">
        <v>47416</v>
      </c>
      <c r="T813" t="s">
        <v>49037</v>
      </c>
      <c r="U813" t="s">
        <v>50299</v>
      </c>
      <c r="W813" t="s">
        <v>43336</v>
      </c>
      <c r="X813" t="s">
        <v>47306</v>
      </c>
    </row>
    <row r="814" spans="1:24">
      <c r="A814">
        <f>HYPERLINK("https://www.philgeps.gov.ph/GEPSNONPILOT/Tender/SplashBidNoticeAbstractUI.aspx?menuIndex=3&amp;refID=7198371&amp;Result=3","7198371")</f>
        <v>0</v>
      </c>
      <c r="B814" t="s">
        <v>207</v>
      </c>
      <c r="C814" t="s">
        <v>4651</v>
      </c>
      <c r="D814" t="s">
        <v>19047</v>
      </c>
      <c r="E814" t="s">
        <v>19858</v>
      </c>
      <c r="F814" t="s">
        <v>32606</v>
      </c>
      <c r="G814" t="s">
        <v>32615</v>
      </c>
      <c r="H814" t="s">
        <v>14201</v>
      </c>
      <c r="I814" t="s">
        <v>32631</v>
      </c>
      <c r="J814" t="s">
        <v>33398</v>
      </c>
      <c r="K814" t="s">
        <v>42630</v>
      </c>
      <c r="M814" t="s">
        <v>43108</v>
      </c>
      <c r="N814" t="s">
        <v>47304</v>
      </c>
      <c r="O814" t="s">
        <v>47305</v>
      </c>
      <c r="P814">
        <v>0</v>
      </c>
      <c r="Q814">
        <v>0</v>
      </c>
      <c r="R814" t="s">
        <v>47307</v>
      </c>
      <c r="S814" t="s">
        <v>47416</v>
      </c>
      <c r="T814" t="s">
        <v>49087</v>
      </c>
      <c r="U814" t="s">
        <v>50246</v>
      </c>
      <c r="V814" t="s">
        <v>62695</v>
      </c>
      <c r="W814" t="s">
        <v>43108</v>
      </c>
      <c r="X814" t="s">
        <v>47306</v>
      </c>
    </row>
    <row r="815" spans="1:24">
      <c r="A815">
        <f>HYPERLINK("https://www.philgeps.gov.ph/GEPSNONPILOT/Tender/SplashBidNoticeAbstractUI.aspx?menuIndex=3&amp;refID=7198346&amp;Result=3","7198346")</f>
        <v>0</v>
      </c>
      <c r="B815" t="s">
        <v>207</v>
      </c>
      <c r="C815" t="s">
        <v>4652</v>
      </c>
      <c r="D815" t="s">
        <v>19047</v>
      </c>
      <c r="E815" t="s">
        <v>19859</v>
      </c>
      <c r="F815" t="s">
        <v>32606</v>
      </c>
      <c r="G815" t="s">
        <v>32615</v>
      </c>
      <c r="H815" t="s">
        <v>14201</v>
      </c>
      <c r="I815" t="s">
        <v>32631</v>
      </c>
      <c r="J815" t="s">
        <v>33399</v>
      </c>
      <c r="K815" t="s">
        <v>42630</v>
      </c>
      <c r="M815" t="s">
        <v>43108</v>
      </c>
      <c r="N815" t="s">
        <v>47304</v>
      </c>
      <c r="O815" t="s">
        <v>47305</v>
      </c>
      <c r="P815">
        <v>0</v>
      </c>
      <c r="Q815">
        <v>0</v>
      </c>
      <c r="R815" t="s">
        <v>47307</v>
      </c>
      <c r="S815" t="s">
        <v>47416</v>
      </c>
      <c r="T815" t="s">
        <v>49087</v>
      </c>
      <c r="U815" t="s">
        <v>50300</v>
      </c>
      <c r="V815" t="s">
        <v>62695</v>
      </c>
      <c r="W815" t="s">
        <v>43108</v>
      </c>
      <c r="X815" t="s">
        <v>47306</v>
      </c>
    </row>
    <row r="816" spans="1:24">
      <c r="A816">
        <f>HYPERLINK("https://www.philgeps.gov.ph/GEPSNONPILOT/Tender/SplashBidNoticeAbstractUI.aspx?menuIndex=3&amp;refID=7198380&amp;Result=3","7198380")</f>
        <v>0</v>
      </c>
      <c r="B816" t="s">
        <v>431</v>
      </c>
      <c r="C816" t="s">
        <v>4653</v>
      </c>
      <c r="D816" t="s">
        <v>19001</v>
      </c>
      <c r="E816" t="s">
        <v>19860</v>
      </c>
      <c r="F816" t="s">
        <v>32606</v>
      </c>
      <c r="G816" t="s">
        <v>32619</v>
      </c>
      <c r="H816" t="s">
        <v>14201</v>
      </c>
      <c r="I816" t="s">
        <v>6298</v>
      </c>
      <c r="J816" t="s">
        <v>33400</v>
      </c>
      <c r="K816" t="s">
        <v>42629</v>
      </c>
      <c r="M816" t="s">
        <v>43337</v>
      </c>
      <c r="N816" t="s">
        <v>47304</v>
      </c>
      <c r="O816" t="s">
        <v>47305</v>
      </c>
      <c r="P816">
        <v>0</v>
      </c>
      <c r="Q816">
        <v>0</v>
      </c>
      <c r="R816" t="s">
        <v>47307</v>
      </c>
      <c r="S816" t="s">
        <v>47416</v>
      </c>
      <c r="T816" t="s">
        <v>48976</v>
      </c>
      <c r="U816" t="s">
        <v>50301</v>
      </c>
      <c r="W816" t="s">
        <v>43337</v>
      </c>
      <c r="X816" t="s">
        <v>47306</v>
      </c>
    </row>
    <row r="817" spans="1:24">
      <c r="A817">
        <f>HYPERLINK("https://www.philgeps.gov.ph/GEPSNONPILOT/Tender/SplashBidNoticeAbstractUI.aspx?menuIndex=3&amp;refID=7198358&amp;Result=3","7198358")</f>
        <v>0</v>
      </c>
      <c r="B817" t="s">
        <v>432</v>
      </c>
      <c r="C817" t="s">
        <v>4654</v>
      </c>
      <c r="D817" t="s">
        <v>19032</v>
      </c>
      <c r="E817" t="s">
        <v>19861</v>
      </c>
      <c r="F817" t="s">
        <v>32606</v>
      </c>
      <c r="G817" t="s">
        <v>32619</v>
      </c>
      <c r="H817" t="s">
        <v>14201</v>
      </c>
      <c r="I817" t="s">
        <v>6993</v>
      </c>
      <c r="J817" t="s">
        <v>33401</v>
      </c>
      <c r="K817" t="s">
        <v>42624</v>
      </c>
      <c r="M817" t="s">
        <v>43338</v>
      </c>
      <c r="N817" t="s">
        <v>47304</v>
      </c>
      <c r="O817" t="s">
        <v>47305</v>
      </c>
      <c r="P817">
        <v>0</v>
      </c>
      <c r="Q817">
        <v>0</v>
      </c>
      <c r="R817" t="s">
        <v>47307</v>
      </c>
      <c r="S817" t="s">
        <v>47416</v>
      </c>
      <c r="T817" t="s">
        <v>49014</v>
      </c>
      <c r="U817" t="s">
        <v>50302</v>
      </c>
      <c r="W817" t="s">
        <v>43338</v>
      </c>
      <c r="X817" t="s">
        <v>47306</v>
      </c>
    </row>
    <row r="818" spans="1:24">
      <c r="A818">
        <f>HYPERLINK("https://www.philgeps.gov.ph/GEPSNONPILOT/Tender/SplashBidNoticeAbstractUI.aspx?menuIndex=3&amp;refID=7198412&amp;Result=3","7198412")</f>
        <v>0</v>
      </c>
      <c r="B818" t="s">
        <v>28</v>
      </c>
      <c r="C818" t="s">
        <v>4655</v>
      </c>
      <c r="E818" t="s">
        <v>19811</v>
      </c>
      <c r="F818" t="s">
        <v>32606</v>
      </c>
      <c r="G818" t="s">
        <v>32613</v>
      </c>
      <c r="H818" t="s">
        <v>32624</v>
      </c>
      <c r="I818" t="s">
        <v>32640</v>
      </c>
      <c r="J818" t="s">
        <v>33402</v>
      </c>
      <c r="K818" t="s">
        <v>42626</v>
      </c>
      <c r="M818" t="s">
        <v>43307</v>
      </c>
      <c r="N818" t="s">
        <v>47304</v>
      </c>
      <c r="O818" t="s">
        <v>47305</v>
      </c>
      <c r="P818">
        <v>0</v>
      </c>
      <c r="Q818">
        <v>0</v>
      </c>
      <c r="R818" t="s">
        <v>47307</v>
      </c>
      <c r="S818" t="s">
        <v>47416</v>
      </c>
      <c r="T818" t="s">
        <v>49001</v>
      </c>
      <c r="U818" t="s">
        <v>50253</v>
      </c>
      <c r="V818" t="s">
        <v>62744</v>
      </c>
      <c r="W818" t="s">
        <v>43307</v>
      </c>
      <c r="X818" t="s">
        <v>47306</v>
      </c>
    </row>
    <row r="819" spans="1:24">
      <c r="A819">
        <f>HYPERLINK("https://www.philgeps.gov.ph/GEPSNONPILOT/Tender/SplashBidNoticeAbstractUI.aspx?menuIndex=3&amp;refID=7198375&amp;Result=3","7198375")</f>
        <v>0</v>
      </c>
      <c r="B819" t="s">
        <v>433</v>
      </c>
      <c r="C819" t="s">
        <v>4656</v>
      </c>
      <c r="D819" t="s">
        <v>19012</v>
      </c>
      <c r="E819" t="s">
        <v>19862</v>
      </c>
      <c r="F819" t="s">
        <v>32606</v>
      </c>
      <c r="G819" t="s">
        <v>32614</v>
      </c>
      <c r="H819" t="s">
        <v>14201</v>
      </c>
      <c r="I819" t="s">
        <v>32652</v>
      </c>
      <c r="J819" t="s">
        <v>33403</v>
      </c>
      <c r="K819" t="s">
        <v>42688</v>
      </c>
      <c r="M819" t="s">
        <v>43339</v>
      </c>
      <c r="N819" t="s">
        <v>47304</v>
      </c>
      <c r="O819" t="s">
        <v>47305</v>
      </c>
      <c r="P819">
        <v>0</v>
      </c>
      <c r="Q819">
        <v>0</v>
      </c>
      <c r="R819" t="s">
        <v>47307</v>
      </c>
      <c r="S819" t="s">
        <v>47416</v>
      </c>
      <c r="T819" t="s">
        <v>49017</v>
      </c>
      <c r="U819" t="s">
        <v>50303</v>
      </c>
      <c r="W819" t="s">
        <v>43339</v>
      </c>
      <c r="X819" t="s">
        <v>47306</v>
      </c>
    </row>
    <row r="820" spans="1:24">
      <c r="A820">
        <f>HYPERLINK("https://www.philgeps.gov.ph/GEPSNONPILOT/Tender/SplashBidNoticeAbstractUI.aspx?menuIndex=3&amp;refID=7198410&amp;Result=3","7198410")</f>
        <v>0</v>
      </c>
      <c r="B820" t="s">
        <v>61</v>
      </c>
      <c r="C820" t="s">
        <v>4657</v>
      </c>
      <c r="D820" t="s">
        <v>19012</v>
      </c>
      <c r="E820" t="s">
        <v>19863</v>
      </c>
      <c r="F820" t="s">
        <v>32606</v>
      </c>
      <c r="G820" t="s">
        <v>32619</v>
      </c>
      <c r="H820" t="s">
        <v>14201</v>
      </c>
      <c r="I820" t="s">
        <v>6007</v>
      </c>
      <c r="J820" t="s">
        <v>33404</v>
      </c>
      <c r="K820" t="s">
        <v>42622</v>
      </c>
      <c r="M820" t="s">
        <v>42958</v>
      </c>
      <c r="N820" t="s">
        <v>47304</v>
      </c>
      <c r="O820" t="s">
        <v>47305</v>
      </c>
      <c r="P820">
        <v>0</v>
      </c>
      <c r="Q820">
        <v>0</v>
      </c>
      <c r="R820" t="s">
        <v>47307</v>
      </c>
      <c r="S820" t="s">
        <v>47416</v>
      </c>
      <c r="T820" t="s">
        <v>49087</v>
      </c>
      <c r="U820" t="s">
        <v>50304</v>
      </c>
      <c r="V820" t="s">
        <v>50845</v>
      </c>
      <c r="W820" t="s">
        <v>42958</v>
      </c>
      <c r="X820" t="s">
        <v>47306</v>
      </c>
    </row>
    <row r="821" spans="1:24">
      <c r="A821">
        <f>HYPERLINK("https://www.philgeps.gov.ph/GEPSNONPILOT/Tender/SplashBidNoticeAbstractUI.aspx?menuIndex=3&amp;refID=7198409&amp;Result=3","7198409")</f>
        <v>0</v>
      </c>
      <c r="B821" t="s">
        <v>434</v>
      </c>
      <c r="C821" t="s">
        <v>4658</v>
      </c>
      <c r="D821" t="s">
        <v>18991</v>
      </c>
      <c r="E821" t="s">
        <v>19864</v>
      </c>
      <c r="F821" t="s">
        <v>32606</v>
      </c>
      <c r="G821" t="s">
        <v>32613</v>
      </c>
      <c r="H821" t="s">
        <v>32623</v>
      </c>
      <c r="I821" t="s">
        <v>17648</v>
      </c>
      <c r="J821" t="s">
        <v>33405</v>
      </c>
      <c r="K821" t="s">
        <v>42648</v>
      </c>
      <c r="M821" t="s">
        <v>43340</v>
      </c>
      <c r="N821" t="s">
        <v>47304</v>
      </c>
      <c r="O821" t="s">
        <v>47305</v>
      </c>
      <c r="P821">
        <v>0</v>
      </c>
      <c r="Q821">
        <v>0</v>
      </c>
      <c r="R821" t="s">
        <v>47307</v>
      </c>
      <c r="S821" t="s">
        <v>47416</v>
      </c>
      <c r="T821" t="s">
        <v>48996</v>
      </c>
      <c r="U821" t="s">
        <v>50305</v>
      </c>
      <c r="W821" t="s">
        <v>43340</v>
      </c>
      <c r="X821" t="s">
        <v>47306</v>
      </c>
    </row>
    <row r="822" spans="1:24">
      <c r="A822">
        <f>HYPERLINK("https://www.philgeps.gov.ph/GEPSNONPILOT/Tender/SplashBidNoticeAbstractUI.aspx?menuIndex=3&amp;refID=7198340&amp;Result=3","7198340")</f>
        <v>0</v>
      </c>
      <c r="B822" t="s">
        <v>433</v>
      </c>
      <c r="C822" t="s">
        <v>4659</v>
      </c>
      <c r="D822" t="s">
        <v>19012</v>
      </c>
      <c r="E822" t="s">
        <v>19865</v>
      </c>
      <c r="F822" t="s">
        <v>32606</v>
      </c>
      <c r="G822" t="s">
        <v>32614</v>
      </c>
      <c r="H822" t="s">
        <v>14201</v>
      </c>
      <c r="I822" t="s">
        <v>32631</v>
      </c>
      <c r="J822" t="s">
        <v>33406</v>
      </c>
      <c r="K822" t="s">
        <v>42623</v>
      </c>
      <c r="M822" t="s">
        <v>43339</v>
      </c>
      <c r="N822" t="s">
        <v>47304</v>
      </c>
      <c r="O822" t="s">
        <v>47305</v>
      </c>
      <c r="P822">
        <v>0</v>
      </c>
      <c r="Q822">
        <v>0</v>
      </c>
      <c r="R822" t="s">
        <v>47307</v>
      </c>
      <c r="S822" t="s">
        <v>47416</v>
      </c>
      <c r="T822" t="s">
        <v>49017</v>
      </c>
      <c r="U822" t="s">
        <v>50306</v>
      </c>
      <c r="W822" t="s">
        <v>43339</v>
      </c>
      <c r="X822" t="s">
        <v>47306</v>
      </c>
    </row>
    <row r="823" spans="1:24">
      <c r="A823">
        <f>HYPERLINK("https://www.philgeps.gov.ph/GEPSNONPILOT/Tender/SplashBidNoticeAbstractUI.aspx?menuIndex=3&amp;refID=7198408&amp;Result=3","7198408")</f>
        <v>0</v>
      </c>
      <c r="B823" t="s">
        <v>394</v>
      </c>
      <c r="C823" t="s">
        <v>4660</v>
      </c>
      <c r="D823" t="s">
        <v>19014</v>
      </c>
      <c r="E823" t="s">
        <v>19866</v>
      </c>
      <c r="F823" t="s">
        <v>32606</v>
      </c>
      <c r="G823" t="s">
        <v>32614</v>
      </c>
      <c r="H823" t="s">
        <v>14201</v>
      </c>
      <c r="I823" t="s">
        <v>7233</v>
      </c>
      <c r="J823" t="s">
        <v>33407</v>
      </c>
      <c r="K823" t="s">
        <v>42624</v>
      </c>
      <c r="M823" t="s">
        <v>43297</v>
      </c>
      <c r="N823" t="s">
        <v>47304</v>
      </c>
      <c r="O823" t="s">
        <v>47305</v>
      </c>
      <c r="P823">
        <v>0</v>
      </c>
      <c r="Q823">
        <v>0</v>
      </c>
      <c r="R823" t="s">
        <v>47307</v>
      </c>
      <c r="S823" t="s">
        <v>47416</v>
      </c>
      <c r="T823" t="s">
        <v>49023</v>
      </c>
      <c r="U823" t="s">
        <v>50258</v>
      </c>
      <c r="W823" t="s">
        <v>43297</v>
      </c>
      <c r="X823" t="s">
        <v>47306</v>
      </c>
    </row>
    <row r="824" spans="1:24">
      <c r="A824">
        <f>HYPERLINK("https://www.philgeps.gov.ph/GEPSNONPILOT/Tender/SplashBidNoticeAbstractUI.aspx?menuIndex=3&amp;refID=7198406&amp;Result=3","7198406")</f>
        <v>0</v>
      </c>
      <c r="B824" t="s">
        <v>435</v>
      </c>
      <c r="C824" t="s">
        <v>4661</v>
      </c>
      <c r="D824" t="s">
        <v>19010</v>
      </c>
      <c r="E824" t="s">
        <v>19315</v>
      </c>
      <c r="F824" t="s">
        <v>32606</v>
      </c>
      <c r="G824" t="s">
        <v>32613</v>
      </c>
      <c r="H824" t="s">
        <v>14201</v>
      </c>
      <c r="I824" t="s">
        <v>32634</v>
      </c>
      <c r="J824" t="s">
        <v>32999</v>
      </c>
      <c r="K824" t="s">
        <v>42630</v>
      </c>
      <c r="M824" t="s">
        <v>43341</v>
      </c>
      <c r="N824" t="s">
        <v>47304</v>
      </c>
      <c r="O824" t="s">
        <v>47305</v>
      </c>
      <c r="P824">
        <v>0</v>
      </c>
      <c r="Q824">
        <v>0</v>
      </c>
      <c r="R824" t="s">
        <v>47307</v>
      </c>
      <c r="S824" t="s">
        <v>47416</v>
      </c>
      <c r="T824" t="s">
        <v>49116</v>
      </c>
      <c r="U824" t="s">
        <v>50307</v>
      </c>
      <c r="W824" t="s">
        <v>43341</v>
      </c>
      <c r="X824" t="s">
        <v>47306</v>
      </c>
    </row>
    <row r="825" spans="1:24">
      <c r="A825">
        <f>HYPERLINK("https://www.philgeps.gov.ph/GEPSNONPILOT/Tender/SplashBidNoticeAbstractUI.aspx?menuIndex=3&amp;refID=7198404&amp;Result=3","7198404")</f>
        <v>0</v>
      </c>
      <c r="B825" t="s">
        <v>422</v>
      </c>
      <c r="C825" t="s">
        <v>4662</v>
      </c>
      <c r="D825" t="s">
        <v>19030</v>
      </c>
      <c r="E825" t="s">
        <v>19867</v>
      </c>
      <c r="F825" t="s">
        <v>32606</v>
      </c>
      <c r="G825" t="s">
        <v>32614</v>
      </c>
      <c r="H825" t="s">
        <v>14201</v>
      </c>
      <c r="I825" t="s">
        <v>32682</v>
      </c>
      <c r="J825" t="s">
        <v>33380</v>
      </c>
      <c r="K825" t="s">
        <v>42622</v>
      </c>
      <c r="M825" t="s">
        <v>43326</v>
      </c>
      <c r="N825" t="s">
        <v>47304</v>
      </c>
      <c r="O825" t="s">
        <v>47305</v>
      </c>
      <c r="P825">
        <v>0</v>
      </c>
      <c r="Q825">
        <v>0</v>
      </c>
      <c r="R825" t="s">
        <v>47307</v>
      </c>
      <c r="S825" t="s">
        <v>47416</v>
      </c>
      <c r="T825" t="s">
        <v>48989</v>
      </c>
      <c r="U825" t="s">
        <v>50308</v>
      </c>
      <c r="W825" t="s">
        <v>43326</v>
      </c>
      <c r="X825" t="s">
        <v>47306</v>
      </c>
    </row>
    <row r="826" spans="1:24">
      <c r="A826">
        <f>HYPERLINK("https://www.philgeps.gov.ph/GEPSNONPILOT/Tender/SplashBidNoticeAbstractUI.aspx?menuIndex=3&amp;refID=7198369&amp;Result=3","7198369")</f>
        <v>0</v>
      </c>
      <c r="B826" t="s">
        <v>436</v>
      </c>
      <c r="C826" t="s">
        <v>4663</v>
      </c>
      <c r="D826" t="s">
        <v>19050</v>
      </c>
      <c r="E826" t="s">
        <v>19868</v>
      </c>
      <c r="F826" t="s">
        <v>32606</v>
      </c>
      <c r="G826" t="s">
        <v>32613</v>
      </c>
      <c r="H826" t="s">
        <v>14201</v>
      </c>
      <c r="I826" t="s">
        <v>32629</v>
      </c>
      <c r="J826" t="s">
        <v>32789</v>
      </c>
      <c r="K826" t="s">
        <v>42630</v>
      </c>
      <c r="M826" t="s">
        <v>43342</v>
      </c>
      <c r="N826" t="s">
        <v>47304</v>
      </c>
      <c r="O826" t="s">
        <v>47305</v>
      </c>
      <c r="P826">
        <v>0</v>
      </c>
      <c r="Q826">
        <v>0</v>
      </c>
      <c r="R826" t="s">
        <v>47307</v>
      </c>
      <c r="S826" t="s">
        <v>47416</v>
      </c>
      <c r="T826" t="s">
        <v>49107</v>
      </c>
      <c r="U826" t="s">
        <v>50309</v>
      </c>
      <c r="W826" t="s">
        <v>43342</v>
      </c>
      <c r="X826" t="s">
        <v>47306</v>
      </c>
    </row>
    <row r="827" spans="1:24">
      <c r="A827">
        <f>HYPERLINK("https://www.philgeps.gov.ph/GEPSNONPILOT/Tender/SplashBidNoticeAbstractUI.aspx?menuIndex=3&amp;refID=7198386&amp;Result=3","7198386")</f>
        <v>0</v>
      </c>
      <c r="B827" t="s">
        <v>437</v>
      </c>
      <c r="C827" t="s">
        <v>4664</v>
      </c>
      <c r="D827" t="s">
        <v>19003</v>
      </c>
      <c r="E827" t="s">
        <v>19869</v>
      </c>
      <c r="F827" t="s">
        <v>32606</v>
      </c>
      <c r="G827" t="s">
        <v>32614</v>
      </c>
      <c r="H827" t="s">
        <v>14201</v>
      </c>
      <c r="I827" t="s">
        <v>6931</v>
      </c>
      <c r="J827" t="s">
        <v>33408</v>
      </c>
      <c r="K827" t="s">
        <v>42623</v>
      </c>
      <c r="M827" t="s">
        <v>43343</v>
      </c>
      <c r="N827" t="s">
        <v>47304</v>
      </c>
      <c r="O827" t="s">
        <v>47305</v>
      </c>
      <c r="P827">
        <v>0</v>
      </c>
      <c r="Q827">
        <v>0</v>
      </c>
      <c r="R827" t="s">
        <v>47307</v>
      </c>
      <c r="S827" t="s">
        <v>47416</v>
      </c>
      <c r="T827" t="s">
        <v>49117</v>
      </c>
      <c r="U827" t="s">
        <v>50310</v>
      </c>
      <c r="V827" t="s">
        <v>62745</v>
      </c>
      <c r="W827" t="s">
        <v>43343</v>
      </c>
      <c r="X827" t="s">
        <v>47306</v>
      </c>
    </row>
    <row r="828" spans="1:24">
      <c r="A828">
        <f>HYPERLINK("https://www.philgeps.gov.ph/GEPSNONPILOT/Tender/SplashBidNoticeAbstractUI.aspx?menuIndex=3&amp;refID=7198403&amp;Result=3","7198403")</f>
        <v>0</v>
      </c>
      <c r="B828" t="s">
        <v>328</v>
      </c>
      <c r="C828" t="s">
        <v>4665</v>
      </c>
      <c r="D828" t="s">
        <v>19028</v>
      </c>
      <c r="E828" t="s">
        <v>19870</v>
      </c>
      <c r="F828" t="s">
        <v>32606</v>
      </c>
      <c r="G828" t="s">
        <v>32613</v>
      </c>
      <c r="H828" t="s">
        <v>14201</v>
      </c>
      <c r="I828" t="s">
        <v>32644</v>
      </c>
      <c r="J828" t="s">
        <v>32841</v>
      </c>
      <c r="K828" t="s">
        <v>42631</v>
      </c>
      <c r="M828" t="s">
        <v>43230</v>
      </c>
      <c r="N828" t="s">
        <v>47304</v>
      </c>
      <c r="O828" t="s">
        <v>47305</v>
      </c>
      <c r="P828">
        <v>0</v>
      </c>
      <c r="Q828">
        <v>0</v>
      </c>
      <c r="R828" t="s">
        <v>47307</v>
      </c>
      <c r="S828" t="s">
        <v>47416</v>
      </c>
      <c r="T828" t="s">
        <v>49096</v>
      </c>
      <c r="U828" t="s">
        <v>50311</v>
      </c>
      <c r="W828" t="s">
        <v>43230</v>
      </c>
      <c r="X828" t="s">
        <v>47306</v>
      </c>
    </row>
    <row r="829" spans="1:24">
      <c r="A829">
        <f>HYPERLINK("https://www.philgeps.gov.ph/GEPSNONPILOT/Tender/SplashBidNoticeAbstractUI.aspx?menuIndex=3&amp;refID=7198405&amp;Result=3","7198405")</f>
        <v>0</v>
      </c>
      <c r="B829" t="s">
        <v>102</v>
      </c>
      <c r="C829" t="s">
        <v>4666</v>
      </c>
      <c r="D829" t="s">
        <v>19006</v>
      </c>
      <c r="E829" t="s">
        <v>19871</v>
      </c>
      <c r="F829" t="s">
        <v>32606</v>
      </c>
      <c r="G829" t="s">
        <v>32613</v>
      </c>
      <c r="H829" t="s">
        <v>14201</v>
      </c>
      <c r="I829" t="s">
        <v>6309</v>
      </c>
      <c r="J829" t="s">
        <v>32765</v>
      </c>
      <c r="K829" t="s">
        <v>42631</v>
      </c>
      <c r="M829" t="s">
        <v>43344</v>
      </c>
      <c r="N829" t="s">
        <v>47304</v>
      </c>
      <c r="O829" t="s">
        <v>47305</v>
      </c>
      <c r="P829">
        <v>0</v>
      </c>
      <c r="Q829">
        <v>0</v>
      </c>
      <c r="R829" t="s">
        <v>47307</v>
      </c>
      <c r="S829" t="s">
        <v>47416</v>
      </c>
      <c r="T829" t="s">
        <v>49118</v>
      </c>
      <c r="U829" t="s">
        <v>50312</v>
      </c>
      <c r="V829" t="s">
        <v>62746</v>
      </c>
      <c r="W829" t="s">
        <v>43344</v>
      </c>
      <c r="X829" t="s">
        <v>47306</v>
      </c>
    </row>
    <row r="830" spans="1:24">
      <c r="A830">
        <f>HYPERLINK("https://www.philgeps.gov.ph/GEPSNONPILOT/Tender/SplashBidNoticeAbstractUI.aspx?menuIndex=3&amp;refID=7198394&amp;Result=3","7198394")</f>
        <v>0</v>
      </c>
      <c r="B830" t="s">
        <v>438</v>
      </c>
      <c r="C830" t="s">
        <v>4667</v>
      </c>
      <c r="D830" t="s">
        <v>19003</v>
      </c>
      <c r="E830" t="s">
        <v>19872</v>
      </c>
      <c r="F830" t="s">
        <v>32606</v>
      </c>
      <c r="G830" t="s">
        <v>32614</v>
      </c>
      <c r="H830" t="s">
        <v>14201</v>
      </c>
      <c r="I830" t="s">
        <v>7577</v>
      </c>
      <c r="J830" t="s">
        <v>32981</v>
      </c>
      <c r="K830" t="s">
        <v>42638</v>
      </c>
      <c r="M830" t="s">
        <v>43345</v>
      </c>
      <c r="N830" t="s">
        <v>47304</v>
      </c>
      <c r="O830" t="s">
        <v>47305</v>
      </c>
      <c r="P830">
        <v>0</v>
      </c>
      <c r="Q830">
        <v>0</v>
      </c>
      <c r="R830" t="s">
        <v>47307</v>
      </c>
      <c r="S830" t="s">
        <v>47416</v>
      </c>
      <c r="T830" t="s">
        <v>49017</v>
      </c>
      <c r="U830" t="s">
        <v>50313</v>
      </c>
      <c r="W830" t="s">
        <v>43345</v>
      </c>
      <c r="X830" t="s">
        <v>47306</v>
      </c>
    </row>
    <row r="831" spans="1:24">
      <c r="A831">
        <f>HYPERLINK("https://www.philgeps.gov.ph/GEPSNONPILOT/Tender/SplashBidNoticeAbstractUI.aspx?menuIndex=3&amp;refID=7198392&amp;Result=3","7198392")</f>
        <v>0</v>
      </c>
      <c r="B831" t="s">
        <v>400</v>
      </c>
      <c r="C831" t="s">
        <v>4668</v>
      </c>
      <c r="D831" t="s">
        <v>19002</v>
      </c>
      <c r="E831" t="s">
        <v>19873</v>
      </c>
      <c r="F831" t="s">
        <v>32606</v>
      </c>
      <c r="G831" t="s">
        <v>32619</v>
      </c>
      <c r="H831" t="s">
        <v>14201</v>
      </c>
      <c r="I831" t="s">
        <v>32629</v>
      </c>
      <c r="J831" t="s">
        <v>33409</v>
      </c>
      <c r="K831" t="s">
        <v>42624</v>
      </c>
      <c r="M831" t="s">
        <v>43303</v>
      </c>
      <c r="N831" t="s">
        <v>47304</v>
      </c>
      <c r="O831" t="s">
        <v>47305</v>
      </c>
      <c r="P831">
        <v>0</v>
      </c>
      <c r="Q831">
        <v>0</v>
      </c>
      <c r="R831" t="s">
        <v>47307</v>
      </c>
      <c r="S831" t="s">
        <v>47416</v>
      </c>
      <c r="T831" t="s">
        <v>48997</v>
      </c>
      <c r="U831" t="s">
        <v>50314</v>
      </c>
      <c r="W831" t="s">
        <v>43303</v>
      </c>
      <c r="X831" t="s">
        <v>47306</v>
      </c>
    </row>
    <row r="832" spans="1:24">
      <c r="A832">
        <f>HYPERLINK("https://www.philgeps.gov.ph/GEPSNONPILOT/Tender/SplashBidNoticeAbstractUI.aspx?menuIndex=3&amp;refID=7198390&amp;Result=3","7198390")</f>
        <v>0</v>
      </c>
      <c r="B832" t="s">
        <v>181</v>
      </c>
      <c r="C832" t="s">
        <v>4669</v>
      </c>
      <c r="D832" t="s">
        <v>19029</v>
      </c>
      <c r="E832" t="s">
        <v>19874</v>
      </c>
      <c r="F832" t="s">
        <v>32606</v>
      </c>
      <c r="G832" t="s">
        <v>32619</v>
      </c>
      <c r="H832" t="s">
        <v>14201</v>
      </c>
      <c r="I832" t="s">
        <v>4678</v>
      </c>
      <c r="J832" t="s">
        <v>33410</v>
      </c>
      <c r="K832" t="s">
        <v>42625</v>
      </c>
      <c r="M832" t="s">
        <v>43082</v>
      </c>
      <c r="N832" t="s">
        <v>47304</v>
      </c>
      <c r="O832" t="s">
        <v>47305</v>
      </c>
      <c r="P832">
        <v>0</v>
      </c>
      <c r="Q832">
        <v>0</v>
      </c>
      <c r="R832" t="s">
        <v>47307</v>
      </c>
      <c r="S832" t="s">
        <v>47416</v>
      </c>
      <c r="T832" t="s">
        <v>48980</v>
      </c>
      <c r="U832" t="s">
        <v>50315</v>
      </c>
      <c r="W832" t="s">
        <v>43082</v>
      </c>
      <c r="X832" t="s">
        <v>47306</v>
      </c>
    </row>
    <row r="833" spans="1:24">
      <c r="A833">
        <f>HYPERLINK("https://www.philgeps.gov.ph/GEPSNONPILOT/Tender/SplashBidNoticeAbstractUI.aspx?menuIndex=3&amp;refID=7198370&amp;Result=3","7198370")</f>
        <v>0</v>
      </c>
      <c r="B833" t="s">
        <v>439</v>
      </c>
      <c r="C833" t="s">
        <v>4670</v>
      </c>
      <c r="D833" t="s">
        <v>19054</v>
      </c>
      <c r="E833" t="s">
        <v>19875</v>
      </c>
      <c r="F833" t="s">
        <v>32606</v>
      </c>
      <c r="G833" t="s">
        <v>32615</v>
      </c>
      <c r="H833" t="s">
        <v>14201</v>
      </c>
      <c r="I833" t="s">
        <v>4678</v>
      </c>
      <c r="J833" t="s">
        <v>33411</v>
      </c>
      <c r="K833" t="s">
        <v>42631</v>
      </c>
      <c r="M833" t="s">
        <v>43346</v>
      </c>
      <c r="N833" t="s">
        <v>47304</v>
      </c>
      <c r="O833" t="s">
        <v>47305</v>
      </c>
      <c r="P833">
        <v>0</v>
      </c>
      <c r="Q833">
        <v>0</v>
      </c>
      <c r="R833" t="s">
        <v>47307</v>
      </c>
      <c r="S833" t="s">
        <v>47416</v>
      </c>
      <c r="T833" t="s">
        <v>48987</v>
      </c>
      <c r="U833" t="s">
        <v>50316</v>
      </c>
      <c r="W833" t="s">
        <v>43346</v>
      </c>
      <c r="X833" t="s">
        <v>47306</v>
      </c>
    </row>
    <row r="834" spans="1:24">
      <c r="A834">
        <f>HYPERLINK("https://www.philgeps.gov.ph/GEPSNONPILOT/Tender/SplashBidNoticeAbstractUI.aspx?menuIndex=3&amp;refID=7198400&amp;Result=3","7198400")</f>
        <v>0</v>
      </c>
      <c r="B834" t="s">
        <v>371</v>
      </c>
      <c r="C834" t="s">
        <v>4671</v>
      </c>
      <c r="D834" t="s">
        <v>18997</v>
      </c>
      <c r="E834" t="s">
        <v>19876</v>
      </c>
      <c r="F834" t="s">
        <v>32606</v>
      </c>
      <c r="G834" t="s">
        <v>32613</v>
      </c>
      <c r="H834" t="s">
        <v>14201</v>
      </c>
      <c r="I834" t="s">
        <v>32626</v>
      </c>
      <c r="J834" t="s">
        <v>33412</v>
      </c>
      <c r="K834" t="s">
        <v>42622</v>
      </c>
      <c r="M834" t="s">
        <v>43273</v>
      </c>
      <c r="N834" t="s">
        <v>47304</v>
      </c>
      <c r="O834" t="s">
        <v>47305</v>
      </c>
      <c r="P834">
        <v>0</v>
      </c>
      <c r="Q834">
        <v>0</v>
      </c>
      <c r="R834" t="s">
        <v>47307</v>
      </c>
      <c r="S834" t="s">
        <v>47416</v>
      </c>
      <c r="T834" t="s">
        <v>49017</v>
      </c>
      <c r="U834" t="s">
        <v>50317</v>
      </c>
      <c r="W834" t="s">
        <v>43273</v>
      </c>
      <c r="X834" t="s">
        <v>47306</v>
      </c>
    </row>
    <row r="835" spans="1:24">
      <c r="A835">
        <f>HYPERLINK("https://www.philgeps.gov.ph/GEPSNONPILOT/Tender/SplashBidNoticeAbstractUI.aspx?menuIndex=3&amp;refID=7198399&amp;Result=3","7198399")</f>
        <v>0</v>
      </c>
      <c r="B835" t="s">
        <v>440</v>
      </c>
      <c r="C835" t="s">
        <v>4672</v>
      </c>
      <c r="D835" t="s">
        <v>19049</v>
      </c>
      <c r="E835" t="s">
        <v>19877</v>
      </c>
      <c r="F835" t="s">
        <v>32606</v>
      </c>
      <c r="G835" t="s">
        <v>32614</v>
      </c>
      <c r="H835" t="s">
        <v>14201</v>
      </c>
      <c r="I835" t="s">
        <v>32629</v>
      </c>
      <c r="J835" t="s">
        <v>33413</v>
      </c>
      <c r="K835" t="s">
        <v>42631</v>
      </c>
      <c r="M835" t="s">
        <v>43347</v>
      </c>
      <c r="N835" t="s">
        <v>47304</v>
      </c>
      <c r="O835" t="s">
        <v>47305</v>
      </c>
      <c r="P835">
        <v>0</v>
      </c>
      <c r="Q835">
        <v>0</v>
      </c>
      <c r="R835" t="s">
        <v>47307</v>
      </c>
      <c r="S835" t="s">
        <v>47416</v>
      </c>
      <c r="T835" t="s">
        <v>49119</v>
      </c>
      <c r="U835" t="s">
        <v>50318</v>
      </c>
      <c r="W835" t="s">
        <v>43347</v>
      </c>
      <c r="X835" t="s">
        <v>47306</v>
      </c>
    </row>
    <row r="836" spans="1:24">
      <c r="A836">
        <f>HYPERLINK("https://www.philgeps.gov.ph/GEPSNONPILOT/Tender/SplashBidNoticeAbstractUI.aspx?menuIndex=3&amp;refID=7198368&amp;Result=3","7198368")</f>
        <v>0</v>
      </c>
      <c r="B836" t="s">
        <v>441</v>
      </c>
      <c r="C836" t="s">
        <v>4673</v>
      </c>
      <c r="D836" t="s">
        <v>18993</v>
      </c>
      <c r="E836" t="s">
        <v>19878</v>
      </c>
      <c r="F836" t="s">
        <v>32606</v>
      </c>
      <c r="G836" t="s">
        <v>32614</v>
      </c>
      <c r="H836" t="s">
        <v>14201</v>
      </c>
      <c r="I836" t="s">
        <v>4114</v>
      </c>
      <c r="J836" t="s">
        <v>33414</v>
      </c>
      <c r="K836" t="s">
        <v>42629</v>
      </c>
      <c r="M836" t="s">
        <v>43348</v>
      </c>
      <c r="N836" t="s">
        <v>47304</v>
      </c>
      <c r="O836" t="s">
        <v>47305</v>
      </c>
      <c r="P836">
        <v>0</v>
      </c>
      <c r="Q836">
        <v>0</v>
      </c>
      <c r="R836" t="s">
        <v>47307</v>
      </c>
      <c r="S836" t="s">
        <v>47416</v>
      </c>
      <c r="T836" t="s">
        <v>49093</v>
      </c>
      <c r="U836" t="s">
        <v>50319</v>
      </c>
      <c r="W836" t="s">
        <v>43348</v>
      </c>
      <c r="X836" t="s">
        <v>47306</v>
      </c>
    </row>
    <row r="837" spans="1:24">
      <c r="A837">
        <f>HYPERLINK("https://www.philgeps.gov.ph/GEPSNONPILOT/Tender/SplashBidNoticeAbstractUI.aspx?menuIndex=3&amp;refID=7198396&amp;Result=3","7198396")</f>
        <v>0</v>
      </c>
      <c r="B837" t="s">
        <v>442</v>
      </c>
      <c r="C837" t="s">
        <v>4674</v>
      </c>
      <c r="D837" t="s">
        <v>18993</v>
      </c>
      <c r="E837" t="s">
        <v>4674</v>
      </c>
      <c r="F837" t="s">
        <v>32606</v>
      </c>
      <c r="G837" t="s">
        <v>32617</v>
      </c>
      <c r="H837" t="s">
        <v>14201</v>
      </c>
      <c r="I837" t="s">
        <v>4120</v>
      </c>
      <c r="J837" t="s">
        <v>32781</v>
      </c>
      <c r="K837" t="s">
        <v>42624</v>
      </c>
      <c r="M837" t="s">
        <v>43349</v>
      </c>
      <c r="N837" t="s">
        <v>47304</v>
      </c>
      <c r="O837" t="s">
        <v>47305</v>
      </c>
      <c r="P837">
        <v>0</v>
      </c>
      <c r="Q837">
        <v>1</v>
      </c>
      <c r="R837" t="s">
        <v>47307</v>
      </c>
      <c r="S837" t="s">
        <v>47416</v>
      </c>
      <c r="T837" t="s">
        <v>49120</v>
      </c>
      <c r="U837" t="s">
        <v>50320</v>
      </c>
      <c r="W837" t="s">
        <v>43349</v>
      </c>
      <c r="X837" t="s">
        <v>47306</v>
      </c>
    </row>
    <row r="838" spans="1:24">
      <c r="A838">
        <f>HYPERLINK("https://www.philgeps.gov.ph/GEPSNONPILOT/Tender/SplashBidNoticeAbstractUI.aspx?menuIndex=3&amp;refID=7198388&amp;Result=3","7198388")</f>
        <v>0</v>
      </c>
      <c r="B838" t="s">
        <v>185</v>
      </c>
      <c r="C838" t="s">
        <v>4675</v>
      </c>
      <c r="D838" t="s">
        <v>19025</v>
      </c>
      <c r="E838" t="s">
        <v>19879</v>
      </c>
      <c r="F838" t="s">
        <v>32606</v>
      </c>
      <c r="G838" t="s">
        <v>32613</v>
      </c>
      <c r="H838" t="s">
        <v>14201</v>
      </c>
      <c r="I838" t="s">
        <v>32629</v>
      </c>
      <c r="J838" t="s">
        <v>33415</v>
      </c>
      <c r="K838" t="s">
        <v>42622</v>
      </c>
      <c r="M838" t="s">
        <v>43350</v>
      </c>
      <c r="N838" t="s">
        <v>47304</v>
      </c>
      <c r="O838" t="s">
        <v>47305</v>
      </c>
      <c r="P838">
        <v>0</v>
      </c>
      <c r="Q838">
        <v>0</v>
      </c>
      <c r="R838" t="s">
        <v>47307</v>
      </c>
      <c r="S838" t="s">
        <v>47416</v>
      </c>
      <c r="T838" t="s">
        <v>49121</v>
      </c>
      <c r="U838" t="s">
        <v>50321</v>
      </c>
      <c r="V838" t="s">
        <v>62747</v>
      </c>
      <c r="W838" t="s">
        <v>64433</v>
      </c>
      <c r="X838" t="s">
        <v>47306</v>
      </c>
    </row>
    <row r="839" spans="1:24">
      <c r="A839">
        <f>HYPERLINK("https://www.philgeps.gov.ph/GEPSNONPILOT/Tender/SplashBidNoticeAbstractUI.aspx?menuIndex=3&amp;refID=7198401&amp;Result=3","7198401")</f>
        <v>0</v>
      </c>
      <c r="B839" t="s">
        <v>443</v>
      </c>
      <c r="C839" t="s">
        <v>4676</v>
      </c>
      <c r="D839" t="s">
        <v>19041</v>
      </c>
      <c r="E839" t="s">
        <v>19880</v>
      </c>
      <c r="F839" t="s">
        <v>32606</v>
      </c>
      <c r="G839" t="s">
        <v>32614</v>
      </c>
      <c r="H839" t="s">
        <v>14201</v>
      </c>
      <c r="I839" t="s">
        <v>32633</v>
      </c>
      <c r="J839" t="s">
        <v>33416</v>
      </c>
      <c r="K839" t="s">
        <v>42625</v>
      </c>
      <c r="M839" t="s">
        <v>43351</v>
      </c>
      <c r="N839" t="s">
        <v>47304</v>
      </c>
      <c r="O839" t="s">
        <v>47305</v>
      </c>
      <c r="P839">
        <v>0</v>
      </c>
      <c r="Q839">
        <v>1</v>
      </c>
      <c r="R839" t="s">
        <v>47307</v>
      </c>
      <c r="S839" t="s">
        <v>47416</v>
      </c>
      <c r="T839" t="s">
        <v>48975</v>
      </c>
      <c r="U839" t="s">
        <v>50322</v>
      </c>
      <c r="W839" t="s">
        <v>43351</v>
      </c>
      <c r="X839" t="s">
        <v>47306</v>
      </c>
    </row>
    <row r="840" spans="1:24">
      <c r="A840">
        <f>HYPERLINK("https://www.philgeps.gov.ph/GEPSNONPILOT/Tender/SplashBidNoticeAbstractUI.aspx?menuIndex=3&amp;refID=7198387&amp;Result=3","7198387")</f>
        <v>0</v>
      </c>
      <c r="B840" t="s">
        <v>210</v>
      </c>
      <c r="C840" t="s">
        <v>4677</v>
      </c>
      <c r="D840" t="s">
        <v>18986</v>
      </c>
      <c r="E840" t="s">
        <v>19881</v>
      </c>
      <c r="F840" t="s">
        <v>32606</v>
      </c>
      <c r="G840" t="s">
        <v>32613</v>
      </c>
      <c r="H840" t="s">
        <v>14201</v>
      </c>
      <c r="I840" t="s">
        <v>6931</v>
      </c>
      <c r="J840" t="s">
        <v>33417</v>
      </c>
      <c r="K840" t="s">
        <v>42623</v>
      </c>
      <c r="M840" t="s">
        <v>43111</v>
      </c>
      <c r="N840" t="s">
        <v>47304</v>
      </c>
      <c r="O840" t="s">
        <v>47305</v>
      </c>
      <c r="P840">
        <v>0</v>
      </c>
      <c r="Q840">
        <v>0</v>
      </c>
      <c r="R840" t="s">
        <v>47307</v>
      </c>
      <c r="S840" t="s">
        <v>47416</v>
      </c>
      <c r="T840" t="s">
        <v>48971</v>
      </c>
      <c r="U840" t="s">
        <v>50323</v>
      </c>
      <c r="W840" t="s">
        <v>43111</v>
      </c>
      <c r="X840" t="s">
        <v>47306</v>
      </c>
    </row>
    <row r="841" spans="1:24">
      <c r="A841">
        <f>HYPERLINK("https://www.philgeps.gov.ph/GEPSNONPILOT/Tender/SplashBidNoticeAbstractUI.aspx?menuIndex=3&amp;refID=7198439&amp;Result=3","7198439")</f>
        <v>0</v>
      </c>
      <c r="B841" t="s">
        <v>383</v>
      </c>
      <c r="C841" t="s">
        <v>4678</v>
      </c>
      <c r="E841" t="s">
        <v>19882</v>
      </c>
      <c r="F841" t="s">
        <v>32606</v>
      </c>
      <c r="G841" t="s">
        <v>32615</v>
      </c>
      <c r="H841" t="s">
        <v>14201</v>
      </c>
      <c r="I841" t="s">
        <v>4678</v>
      </c>
      <c r="J841" t="s">
        <v>33418</v>
      </c>
      <c r="K841" t="s">
        <v>42624</v>
      </c>
      <c r="M841" t="s">
        <v>43286</v>
      </c>
      <c r="N841" t="s">
        <v>47304</v>
      </c>
      <c r="O841" t="s">
        <v>47305</v>
      </c>
      <c r="P841">
        <v>0</v>
      </c>
      <c r="Q841">
        <v>0</v>
      </c>
      <c r="R841" t="s">
        <v>47307</v>
      </c>
      <c r="S841" t="s">
        <v>47416</v>
      </c>
      <c r="T841" t="s">
        <v>49102</v>
      </c>
      <c r="U841" t="s">
        <v>50324</v>
      </c>
      <c r="W841" t="s">
        <v>43286</v>
      </c>
      <c r="X841" t="s">
        <v>47306</v>
      </c>
    </row>
    <row r="842" spans="1:24">
      <c r="A842">
        <f>HYPERLINK("https://www.philgeps.gov.ph/GEPSNONPILOT/Tender/SplashBidNoticeAbstractUI.aspx?menuIndex=3&amp;refID=7198435&amp;Result=3","7198435")</f>
        <v>0</v>
      </c>
      <c r="B842" t="s">
        <v>376</v>
      </c>
      <c r="C842" t="s">
        <v>4679</v>
      </c>
      <c r="D842" t="s">
        <v>19039</v>
      </c>
      <c r="E842" t="s">
        <v>19883</v>
      </c>
      <c r="F842" t="s">
        <v>32606</v>
      </c>
      <c r="G842" t="s">
        <v>32614</v>
      </c>
      <c r="H842" t="s">
        <v>14201</v>
      </c>
      <c r="I842" t="s">
        <v>4112</v>
      </c>
      <c r="J842" t="s">
        <v>32752</v>
      </c>
      <c r="K842" t="s">
        <v>42630</v>
      </c>
      <c r="M842" t="s">
        <v>43278</v>
      </c>
      <c r="N842" t="s">
        <v>47304</v>
      </c>
      <c r="O842" t="s">
        <v>47305</v>
      </c>
      <c r="P842">
        <v>0</v>
      </c>
      <c r="Q842">
        <v>0</v>
      </c>
      <c r="R842" t="s">
        <v>47307</v>
      </c>
      <c r="S842" t="s">
        <v>47416</v>
      </c>
      <c r="T842" t="s">
        <v>49117</v>
      </c>
      <c r="U842" t="s">
        <v>50325</v>
      </c>
      <c r="W842" t="s">
        <v>43278</v>
      </c>
      <c r="X842" t="s">
        <v>47306</v>
      </c>
    </row>
    <row r="843" spans="1:24">
      <c r="A843">
        <f>HYPERLINK("https://www.philgeps.gov.ph/GEPSNONPILOT/Tender/SplashBidNoticeAbstractUI.aspx?menuIndex=3&amp;refID=7198434&amp;Result=3","7198434")</f>
        <v>0</v>
      </c>
      <c r="B843" t="s">
        <v>394</v>
      </c>
      <c r="C843" t="s">
        <v>4680</v>
      </c>
      <c r="D843" t="s">
        <v>19014</v>
      </c>
      <c r="E843" t="s">
        <v>19884</v>
      </c>
      <c r="F843" t="s">
        <v>32606</v>
      </c>
      <c r="G843" t="s">
        <v>32614</v>
      </c>
      <c r="H843" t="s">
        <v>14201</v>
      </c>
      <c r="I843" t="s">
        <v>32634</v>
      </c>
      <c r="J843" t="s">
        <v>33419</v>
      </c>
      <c r="K843" t="s">
        <v>42624</v>
      </c>
      <c r="M843" t="s">
        <v>43297</v>
      </c>
      <c r="N843" t="s">
        <v>47304</v>
      </c>
      <c r="O843" t="s">
        <v>47305</v>
      </c>
      <c r="P843">
        <v>0</v>
      </c>
      <c r="Q843">
        <v>0</v>
      </c>
      <c r="R843" t="s">
        <v>47307</v>
      </c>
      <c r="S843" t="s">
        <v>47416</v>
      </c>
      <c r="T843" t="s">
        <v>49023</v>
      </c>
      <c r="U843" t="s">
        <v>50295</v>
      </c>
      <c r="W843" t="s">
        <v>43297</v>
      </c>
      <c r="X843" t="s">
        <v>47306</v>
      </c>
    </row>
    <row r="844" spans="1:24">
      <c r="A844">
        <f>HYPERLINK("https://www.philgeps.gov.ph/GEPSNONPILOT/Tender/SplashBidNoticeAbstractUI.aspx?menuIndex=3&amp;refID=7198432&amp;Result=3","7198432")</f>
        <v>0</v>
      </c>
      <c r="B844" t="s">
        <v>432</v>
      </c>
      <c r="C844" t="s">
        <v>4681</v>
      </c>
      <c r="D844" t="s">
        <v>19032</v>
      </c>
      <c r="E844" t="s">
        <v>19885</v>
      </c>
      <c r="F844" t="s">
        <v>32606</v>
      </c>
      <c r="G844" t="s">
        <v>32619</v>
      </c>
      <c r="H844" t="s">
        <v>14201</v>
      </c>
      <c r="I844" t="s">
        <v>7233</v>
      </c>
      <c r="J844" t="s">
        <v>33420</v>
      </c>
      <c r="K844" t="s">
        <v>42624</v>
      </c>
      <c r="M844" t="s">
        <v>43338</v>
      </c>
      <c r="N844" t="s">
        <v>47304</v>
      </c>
      <c r="O844" t="s">
        <v>47305</v>
      </c>
      <c r="P844">
        <v>0</v>
      </c>
      <c r="Q844">
        <v>0</v>
      </c>
      <c r="R844" t="s">
        <v>47307</v>
      </c>
      <c r="S844" t="s">
        <v>47416</v>
      </c>
      <c r="T844" t="s">
        <v>49014</v>
      </c>
      <c r="U844" t="s">
        <v>50326</v>
      </c>
      <c r="W844" t="s">
        <v>43338</v>
      </c>
      <c r="X844" t="s">
        <v>47306</v>
      </c>
    </row>
    <row r="845" spans="1:24">
      <c r="A845">
        <f>HYPERLINK("https://www.philgeps.gov.ph/GEPSNONPILOT/Tender/SplashBidNoticeAbstractUI.aspx?menuIndex=3&amp;refID=7198431&amp;Result=3","7198431")</f>
        <v>0</v>
      </c>
      <c r="B845" t="s">
        <v>444</v>
      </c>
      <c r="C845" t="s">
        <v>4682</v>
      </c>
      <c r="D845" t="s">
        <v>19006</v>
      </c>
      <c r="E845" t="s">
        <v>19886</v>
      </c>
      <c r="F845" t="s">
        <v>32606</v>
      </c>
      <c r="G845" t="s">
        <v>32613</v>
      </c>
      <c r="H845" t="s">
        <v>14201</v>
      </c>
      <c r="I845" t="s">
        <v>6298</v>
      </c>
      <c r="J845" t="s">
        <v>33421</v>
      </c>
      <c r="K845" t="s">
        <v>42639</v>
      </c>
      <c r="M845" t="s">
        <v>43352</v>
      </c>
      <c r="N845" t="s">
        <v>47304</v>
      </c>
      <c r="O845" t="s">
        <v>47305</v>
      </c>
      <c r="P845">
        <v>0</v>
      </c>
      <c r="Q845">
        <v>0</v>
      </c>
      <c r="R845" t="s">
        <v>47307</v>
      </c>
      <c r="S845" t="s">
        <v>47416</v>
      </c>
      <c r="T845" t="s">
        <v>49122</v>
      </c>
      <c r="U845" t="s">
        <v>50327</v>
      </c>
      <c r="W845" t="s">
        <v>43352</v>
      </c>
      <c r="X845" t="s">
        <v>47306</v>
      </c>
    </row>
    <row r="846" spans="1:24">
      <c r="A846">
        <f>HYPERLINK("https://www.philgeps.gov.ph/GEPSNONPILOT/Tender/SplashBidNoticeAbstractUI.aspx?menuIndex=3&amp;refID=7198430&amp;Result=3","7198430")</f>
        <v>0</v>
      </c>
      <c r="B846" t="s">
        <v>445</v>
      </c>
      <c r="C846" t="s">
        <v>4683</v>
      </c>
      <c r="D846" t="s">
        <v>19056</v>
      </c>
      <c r="E846" t="s">
        <v>19887</v>
      </c>
      <c r="F846" t="s">
        <v>32606</v>
      </c>
      <c r="G846" t="s">
        <v>32613</v>
      </c>
      <c r="H846" t="s">
        <v>32623</v>
      </c>
      <c r="I846" t="s">
        <v>17648</v>
      </c>
      <c r="J846" t="s">
        <v>33422</v>
      </c>
      <c r="K846" t="s">
        <v>42682</v>
      </c>
      <c r="M846" t="s">
        <v>43353</v>
      </c>
      <c r="N846" t="s">
        <v>47304</v>
      </c>
      <c r="O846" t="s">
        <v>47305</v>
      </c>
      <c r="P846">
        <v>0</v>
      </c>
      <c r="Q846">
        <v>0</v>
      </c>
      <c r="R846" t="s">
        <v>47307</v>
      </c>
      <c r="S846" t="s">
        <v>47416</v>
      </c>
      <c r="T846" t="s">
        <v>48999</v>
      </c>
      <c r="U846" t="s">
        <v>50328</v>
      </c>
      <c r="W846" t="s">
        <v>64434</v>
      </c>
      <c r="X846" t="s">
        <v>47306</v>
      </c>
    </row>
    <row r="847" spans="1:24">
      <c r="A847">
        <f>HYPERLINK("https://www.philgeps.gov.ph/GEPSNONPILOT/Tender/SplashBidNoticeAbstractUI.aspx?menuIndex=3&amp;refID=7198429&amp;Result=3","7198429")</f>
        <v>0</v>
      </c>
      <c r="B847" t="s">
        <v>446</v>
      </c>
      <c r="C847" t="s">
        <v>4684</v>
      </c>
      <c r="D847" t="s">
        <v>19010</v>
      </c>
      <c r="E847" t="s">
        <v>19888</v>
      </c>
      <c r="F847" t="s">
        <v>32606</v>
      </c>
      <c r="G847" t="s">
        <v>32613</v>
      </c>
      <c r="H847" t="s">
        <v>14201</v>
      </c>
      <c r="I847" t="s">
        <v>6931</v>
      </c>
      <c r="J847" t="s">
        <v>33423</v>
      </c>
      <c r="K847" t="s">
        <v>42677</v>
      </c>
      <c r="M847" t="s">
        <v>43354</v>
      </c>
      <c r="N847" t="s">
        <v>47304</v>
      </c>
      <c r="O847" t="s">
        <v>47305</v>
      </c>
      <c r="P847">
        <v>0</v>
      </c>
      <c r="Q847">
        <v>0</v>
      </c>
      <c r="R847" t="s">
        <v>47307</v>
      </c>
      <c r="S847" t="s">
        <v>47416</v>
      </c>
      <c r="T847" t="s">
        <v>49065</v>
      </c>
      <c r="U847" t="s">
        <v>50329</v>
      </c>
      <c r="W847" t="s">
        <v>64435</v>
      </c>
      <c r="X847" t="s">
        <v>47306</v>
      </c>
    </row>
    <row r="848" spans="1:24">
      <c r="A848">
        <f>HYPERLINK("https://www.philgeps.gov.ph/GEPSNONPILOT/Tender/SplashBidNoticeAbstractUI.aspx?menuIndex=3&amp;refID=7198428&amp;Result=3","7198428")</f>
        <v>0</v>
      </c>
      <c r="B848" t="s">
        <v>447</v>
      </c>
      <c r="C848" t="s">
        <v>4685</v>
      </c>
      <c r="D848" t="s">
        <v>18990</v>
      </c>
      <c r="E848" t="s">
        <v>19889</v>
      </c>
      <c r="F848" t="s">
        <v>32606</v>
      </c>
      <c r="G848" t="s">
        <v>32614</v>
      </c>
      <c r="H848" t="s">
        <v>14201</v>
      </c>
      <c r="I848" t="s">
        <v>6931</v>
      </c>
      <c r="J848" t="s">
        <v>33424</v>
      </c>
      <c r="K848" t="s">
        <v>42625</v>
      </c>
      <c r="M848" t="s">
        <v>43355</v>
      </c>
      <c r="N848" t="s">
        <v>47304</v>
      </c>
      <c r="O848" t="s">
        <v>47305</v>
      </c>
      <c r="P848">
        <v>0</v>
      </c>
      <c r="Q848">
        <v>0</v>
      </c>
      <c r="R848" t="s">
        <v>47307</v>
      </c>
      <c r="S848" t="s">
        <v>47416</v>
      </c>
      <c r="T848" t="s">
        <v>49015</v>
      </c>
      <c r="U848" t="s">
        <v>50330</v>
      </c>
      <c r="V848" t="s">
        <v>62748</v>
      </c>
      <c r="W848" t="s">
        <v>43355</v>
      </c>
      <c r="X848" t="s">
        <v>47306</v>
      </c>
    </row>
    <row r="849" spans="1:24">
      <c r="A849">
        <f>HYPERLINK("https://www.philgeps.gov.ph/GEPSNONPILOT/Tender/SplashBidNoticeAbstractUI.aspx?menuIndex=3&amp;refID=7198427&amp;Result=3","7198427")</f>
        <v>0</v>
      </c>
      <c r="B849" t="s">
        <v>448</v>
      </c>
      <c r="C849" t="s">
        <v>4686</v>
      </c>
      <c r="D849" t="s">
        <v>18995</v>
      </c>
      <c r="E849" t="s">
        <v>19890</v>
      </c>
      <c r="F849" t="s">
        <v>32606</v>
      </c>
      <c r="G849" t="s">
        <v>32617</v>
      </c>
      <c r="H849" t="s">
        <v>14201</v>
      </c>
      <c r="I849" t="s">
        <v>4678</v>
      </c>
      <c r="J849" t="s">
        <v>33034</v>
      </c>
      <c r="K849" t="s">
        <v>42631</v>
      </c>
      <c r="M849" t="s">
        <v>43356</v>
      </c>
      <c r="N849" t="s">
        <v>47304</v>
      </c>
      <c r="O849" t="s">
        <v>47305</v>
      </c>
      <c r="P849">
        <v>0</v>
      </c>
      <c r="Q849">
        <v>0</v>
      </c>
      <c r="R849" t="s">
        <v>47307</v>
      </c>
      <c r="S849" t="s">
        <v>47416</v>
      </c>
      <c r="T849" t="s">
        <v>49108</v>
      </c>
      <c r="U849" t="s">
        <v>50331</v>
      </c>
      <c r="W849" t="s">
        <v>43356</v>
      </c>
      <c r="X849" t="s">
        <v>47306</v>
      </c>
    </row>
    <row r="850" spans="1:24">
      <c r="A850">
        <f>HYPERLINK("https://www.philgeps.gov.ph/GEPSNONPILOT/Tender/SplashBidNoticeAbstractUI.aspx?menuIndex=3&amp;refID=7198426&amp;Result=3","7198426")</f>
        <v>0</v>
      </c>
      <c r="B850" t="s">
        <v>238</v>
      </c>
      <c r="C850" t="s">
        <v>4687</v>
      </c>
      <c r="D850" t="s">
        <v>18993</v>
      </c>
      <c r="E850" t="s">
        <v>19891</v>
      </c>
      <c r="F850" t="s">
        <v>32606</v>
      </c>
      <c r="G850" t="s">
        <v>32619</v>
      </c>
      <c r="H850" t="s">
        <v>14201</v>
      </c>
      <c r="I850" t="s">
        <v>32683</v>
      </c>
      <c r="J850" t="s">
        <v>33425</v>
      </c>
      <c r="K850" t="s">
        <v>42622</v>
      </c>
      <c r="M850" t="s">
        <v>43357</v>
      </c>
      <c r="N850" t="s">
        <v>47304</v>
      </c>
      <c r="O850" t="s">
        <v>47305</v>
      </c>
      <c r="P850">
        <v>0</v>
      </c>
      <c r="Q850">
        <v>0</v>
      </c>
      <c r="R850" t="s">
        <v>47307</v>
      </c>
      <c r="S850" t="s">
        <v>47416</v>
      </c>
      <c r="T850" t="s">
        <v>49123</v>
      </c>
      <c r="U850" t="s">
        <v>50332</v>
      </c>
      <c r="V850" t="s">
        <v>62749</v>
      </c>
      <c r="W850" t="s">
        <v>43357</v>
      </c>
      <c r="X850" t="s">
        <v>47306</v>
      </c>
    </row>
    <row r="851" spans="1:24">
      <c r="A851">
        <f>HYPERLINK("https://www.philgeps.gov.ph/GEPSNONPILOT/Tender/SplashBidNoticeAbstractUI.aspx?menuIndex=3&amp;refID=7198425&amp;Result=3","7198425")</f>
        <v>0</v>
      </c>
      <c r="B851" t="s">
        <v>409</v>
      </c>
      <c r="C851" t="s">
        <v>4688</v>
      </c>
      <c r="D851" t="s">
        <v>18993</v>
      </c>
      <c r="E851" t="s">
        <v>19372</v>
      </c>
      <c r="F851" t="s">
        <v>32606</v>
      </c>
      <c r="G851" t="s">
        <v>32614</v>
      </c>
      <c r="H851" t="s">
        <v>14201</v>
      </c>
      <c r="I851" t="s">
        <v>6014</v>
      </c>
      <c r="J851" t="s">
        <v>32977</v>
      </c>
      <c r="K851" t="s">
        <v>42625</v>
      </c>
      <c r="M851" t="s">
        <v>43313</v>
      </c>
      <c r="N851" t="s">
        <v>47304</v>
      </c>
      <c r="O851" t="s">
        <v>47305</v>
      </c>
      <c r="P851">
        <v>0</v>
      </c>
      <c r="Q851">
        <v>0</v>
      </c>
      <c r="R851" t="s">
        <v>47307</v>
      </c>
      <c r="S851" t="s">
        <v>47416</v>
      </c>
      <c r="T851" t="s">
        <v>48976</v>
      </c>
      <c r="U851" t="s">
        <v>50333</v>
      </c>
      <c r="W851" t="s">
        <v>43313</v>
      </c>
      <c r="X851" t="s">
        <v>47306</v>
      </c>
    </row>
    <row r="852" spans="1:24">
      <c r="A852">
        <f>HYPERLINK("https://www.philgeps.gov.ph/GEPSNONPILOT/Tender/SplashBidNoticeAbstractUI.aspx?menuIndex=3&amp;refID=7198423&amp;Result=3","7198423")</f>
        <v>0</v>
      </c>
      <c r="B852" t="s">
        <v>316</v>
      </c>
      <c r="C852" t="s">
        <v>4689</v>
      </c>
      <c r="D852" t="s">
        <v>18994</v>
      </c>
      <c r="E852" t="s">
        <v>19892</v>
      </c>
      <c r="F852" t="s">
        <v>32606</v>
      </c>
      <c r="G852" t="s">
        <v>32614</v>
      </c>
      <c r="H852" t="s">
        <v>14201</v>
      </c>
      <c r="I852" t="s">
        <v>6298</v>
      </c>
      <c r="J852" t="s">
        <v>33426</v>
      </c>
      <c r="K852" t="s">
        <v>42624</v>
      </c>
      <c r="M852" t="s">
        <v>43218</v>
      </c>
      <c r="N852" t="s">
        <v>47304</v>
      </c>
      <c r="O852" t="s">
        <v>47305</v>
      </c>
      <c r="P852">
        <v>0</v>
      </c>
      <c r="Q852">
        <v>0</v>
      </c>
      <c r="R852" t="s">
        <v>47307</v>
      </c>
      <c r="S852" t="s">
        <v>47416</v>
      </c>
      <c r="T852" t="s">
        <v>48975</v>
      </c>
      <c r="U852" t="s">
        <v>50096</v>
      </c>
      <c r="V852" t="s">
        <v>62721</v>
      </c>
      <c r="W852" t="s">
        <v>43218</v>
      </c>
      <c r="X852" t="s">
        <v>47306</v>
      </c>
    </row>
    <row r="853" spans="1:24">
      <c r="A853">
        <f>HYPERLINK("https://www.philgeps.gov.ph/GEPSNONPILOT/Tender/SplashBidNoticeAbstractUI.aspx?menuIndex=3&amp;refID=7198422&amp;Result=3","7198422")</f>
        <v>0</v>
      </c>
      <c r="B853" t="s">
        <v>400</v>
      </c>
      <c r="C853" t="s">
        <v>4690</v>
      </c>
      <c r="D853" t="s">
        <v>19002</v>
      </c>
      <c r="E853" t="s">
        <v>19893</v>
      </c>
      <c r="F853" t="s">
        <v>32606</v>
      </c>
      <c r="G853" t="s">
        <v>32619</v>
      </c>
      <c r="H853" t="s">
        <v>14201</v>
      </c>
      <c r="I853" t="s">
        <v>6007</v>
      </c>
      <c r="J853" t="s">
        <v>33427</v>
      </c>
      <c r="K853" t="s">
        <v>42624</v>
      </c>
      <c r="M853" t="s">
        <v>43303</v>
      </c>
      <c r="N853" t="s">
        <v>47304</v>
      </c>
      <c r="O853" t="s">
        <v>47305</v>
      </c>
      <c r="P853">
        <v>0</v>
      </c>
      <c r="Q853">
        <v>0</v>
      </c>
      <c r="R853" t="s">
        <v>47307</v>
      </c>
      <c r="S853" t="s">
        <v>47416</v>
      </c>
      <c r="T853" t="s">
        <v>48997</v>
      </c>
      <c r="U853" t="s">
        <v>50334</v>
      </c>
      <c r="W853" t="s">
        <v>43303</v>
      </c>
      <c r="X853" t="s">
        <v>47306</v>
      </c>
    </row>
    <row r="854" spans="1:24">
      <c r="A854">
        <f>HYPERLINK("https://www.philgeps.gov.ph/GEPSNONPILOT/Tender/SplashBidNoticeAbstractUI.aspx?menuIndex=3&amp;refID=7198420&amp;Result=3","7198420")</f>
        <v>0</v>
      </c>
      <c r="B854" t="s">
        <v>449</v>
      </c>
      <c r="C854" t="s">
        <v>4547</v>
      </c>
      <c r="D854" t="s">
        <v>19061</v>
      </c>
      <c r="E854" t="s">
        <v>19894</v>
      </c>
      <c r="F854" t="s">
        <v>32606</v>
      </c>
      <c r="G854" t="s">
        <v>32619</v>
      </c>
      <c r="H854" t="s">
        <v>14201</v>
      </c>
      <c r="I854" t="s">
        <v>4114</v>
      </c>
      <c r="J854" t="s">
        <v>33428</v>
      </c>
      <c r="K854" t="s">
        <v>42624</v>
      </c>
      <c r="M854" t="s">
        <v>43358</v>
      </c>
      <c r="N854" t="s">
        <v>47304</v>
      </c>
      <c r="O854" t="s">
        <v>47305</v>
      </c>
      <c r="P854">
        <v>0</v>
      </c>
      <c r="Q854">
        <v>0</v>
      </c>
      <c r="R854" t="s">
        <v>47307</v>
      </c>
      <c r="S854" t="s">
        <v>47416</v>
      </c>
      <c r="T854" t="s">
        <v>48975</v>
      </c>
      <c r="U854" t="s">
        <v>50335</v>
      </c>
      <c r="W854" t="s">
        <v>43358</v>
      </c>
      <c r="X854" t="s">
        <v>47306</v>
      </c>
    </row>
    <row r="855" spans="1:24">
      <c r="A855">
        <f>HYPERLINK("https://www.philgeps.gov.ph/GEPSNONPILOT/Tender/SplashBidNoticeAbstractUI.aspx?menuIndex=3&amp;refID=7198418&amp;Result=3","7198418")</f>
        <v>0</v>
      </c>
      <c r="B855" t="s">
        <v>427</v>
      </c>
      <c r="C855" t="s">
        <v>4691</v>
      </c>
      <c r="D855" t="s">
        <v>18995</v>
      </c>
      <c r="E855" t="s">
        <v>19895</v>
      </c>
      <c r="F855" t="s">
        <v>32606</v>
      </c>
      <c r="G855" t="s">
        <v>32614</v>
      </c>
      <c r="H855" t="s">
        <v>14201</v>
      </c>
      <c r="I855" t="s">
        <v>32684</v>
      </c>
      <c r="J855" t="s">
        <v>32963</v>
      </c>
      <c r="K855" t="s">
        <v>42625</v>
      </c>
      <c r="M855" t="s">
        <v>43331</v>
      </c>
      <c r="N855" t="s">
        <v>47304</v>
      </c>
      <c r="O855" t="s">
        <v>47305</v>
      </c>
      <c r="P855">
        <v>0</v>
      </c>
      <c r="Q855">
        <v>0</v>
      </c>
      <c r="R855" t="s">
        <v>47307</v>
      </c>
      <c r="S855" t="s">
        <v>47416</v>
      </c>
      <c r="T855" t="s">
        <v>49016</v>
      </c>
      <c r="U855" t="s">
        <v>50336</v>
      </c>
      <c r="W855" t="s">
        <v>43331</v>
      </c>
      <c r="X855" t="s">
        <v>47306</v>
      </c>
    </row>
    <row r="856" spans="1:24">
      <c r="A856">
        <f>HYPERLINK("https://www.philgeps.gov.ph/GEPSNONPILOT/Tender/SplashBidNoticeAbstractUI.aspx?menuIndex=3&amp;refID=7198366&amp;Result=3","7198366")</f>
        <v>0</v>
      </c>
      <c r="B856" t="s">
        <v>400</v>
      </c>
      <c r="C856" t="s">
        <v>4692</v>
      </c>
      <c r="D856" t="s">
        <v>19002</v>
      </c>
      <c r="E856" t="s">
        <v>19896</v>
      </c>
      <c r="F856" t="s">
        <v>32606</v>
      </c>
      <c r="G856" t="s">
        <v>32619</v>
      </c>
      <c r="H856" t="s">
        <v>14201</v>
      </c>
      <c r="I856" t="s">
        <v>4678</v>
      </c>
      <c r="J856" t="s">
        <v>32765</v>
      </c>
      <c r="K856" t="s">
        <v>42624</v>
      </c>
      <c r="M856" t="s">
        <v>43303</v>
      </c>
      <c r="N856" t="s">
        <v>47304</v>
      </c>
      <c r="O856" t="s">
        <v>47305</v>
      </c>
      <c r="P856">
        <v>0</v>
      </c>
      <c r="Q856">
        <v>0</v>
      </c>
      <c r="R856" t="s">
        <v>47307</v>
      </c>
      <c r="S856" t="s">
        <v>47416</v>
      </c>
      <c r="T856" t="s">
        <v>48997</v>
      </c>
      <c r="U856" t="s">
        <v>50337</v>
      </c>
      <c r="W856" t="s">
        <v>43303</v>
      </c>
      <c r="X856" t="s">
        <v>47306</v>
      </c>
    </row>
    <row r="857" spans="1:24">
      <c r="A857">
        <f>HYPERLINK("https://www.philgeps.gov.ph/GEPSNONPILOT/Tender/SplashBidNoticeAbstractUI.aspx?menuIndex=3&amp;refID=7198416&amp;Result=3","7198416")</f>
        <v>0</v>
      </c>
      <c r="B857" t="s">
        <v>185</v>
      </c>
      <c r="C857" t="s">
        <v>4693</v>
      </c>
      <c r="D857" t="s">
        <v>19025</v>
      </c>
      <c r="E857" t="s">
        <v>19897</v>
      </c>
      <c r="F857" t="s">
        <v>32606</v>
      </c>
      <c r="G857" t="s">
        <v>32613</v>
      </c>
      <c r="H857" t="s">
        <v>14201</v>
      </c>
      <c r="I857" t="s">
        <v>32629</v>
      </c>
      <c r="J857" t="s">
        <v>33429</v>
      </c>
      <c r="K857" t="s">
        <v>42622</v>
      </c>
      <c r="M857" t="s">
        <v>43350</v>
      </c>
      <c r="N857" t="s">
        <v>47304</v>
      </c>
      <c r="O857" t="s">
        <v>47305</v>
      </c>
      <c r="P857">
        <v>0</v>
      </c>
      <c r="Q857">
        <v>0</v>
      </c>
      <c r="R857" t="s">
        <v>47307</v>
      </c>
      <c r="S857" t="s">
        <v>47416</v>
      </c>
      <c r="T857" t="s">
        <v>49121</v>
      </c>
      <c r="U857" t="s">
        <v>50321</v>
      </c>
      <c r="V857" t="s">
        <v>62747</v>
      </c>
      <c r="W857" t="s">
        <v>64433</v>
      </c>
      <c r="X857" t="s">
        <v>47306</v>
      </c>
    </row>
    <row r="858" spans="1:24">
      <c r="A858">
        <f>HYPERLINK("https://www.philgeps.gov.ph/GEPSNONPILOT/Tender/SplashBidNoticeAbstractUI.aspx?menuIndex=3&amp;refID=7198414&amp;Result=3","7198414")</f>
        <v>0</v>
      </c>
      <c r="B858" t="s">
        <v>450</v>
      </c>
      <c r="C858" t="s">
        <v>4694</v>
      </c>
      <c r="D858" t="s">
        <v>19019</v>
      </c>
      <c r="E858" t="s">
        <v>19898</v>
      </c>
      <c r="F858" t="s">
        <v>32606</v>
      </c>
      <c r="G858" t="s">
        <v>32614</v>
      </c>
      <c r="H858" t="s">
        <v>14201</v>
      </c>
      <c r="I858" t="s">
        <v>32633</v>
      </c>
      <c r="J858" t="s">
        <v>33430</v>
      </c>
      <c r="K858" t="s">
        <v>42632</v>
      </c>
      <c r="M858" t="s">
        <v>43359</v>
      </c>
      <c r="N858" t="s">
        <v>47304</v>
      </c>
      <c r="O858" t="s">
        <v>47305</v>
      </c>
      <c r="P858">
        <v>0</v>
      </c>
      <c r="Q858">
        <v>0</v>
      </c>
      <c r="R858" t="s">
        <v>47307</v>
      </c>
      <c r="S858" t="s">
        <v>47416</v>
      </c>
      <c r="T858" t="s">
        <v>49065</v>
      </c>
      <c r="U858" t="s">
        <v>50338</v>
      </c>
      <c r="W858" t="s">
        <v>43359</v>
      </c>
      <c r="X858" t="s">
        <v>47306</v>
      </c>
    </row>
    <row r="859" spans="1:24">
      <c r="A859">
        <f>HYPERLINK("https://www.philgeps.gov.ph/GEPSNONPILOT/Tender/SplashBidNoticeAbstractUI.aspx?menuIndex=3&amp;refID=7198364&amp;Result=3","7198364")</f>
        <v>0</v>
      </c>
      <c r="B859" t="s">
        <v>451</v>
      </c>
      <c r="C859" t="s">
        <v>4695</v>
      </c>
      <c r="D859" t="s">
        <v>19008</v>
      </c>
      <c r="E859" t="s">
        <v>19899</v>
      </c>
      <c r="F859" t="s">
        <v>32606</v>
      </c>
      <c r="G859" t="s">
        <v>32613</v>
      </c>
      <c r="H859" t="s">
        <v>14201</v>
      </c>
      <c r="I859" t="s">
        <v>6931</v>
      </c>
      <c r="J859" t="s">
        <v>33431</v>
      </c>
      <c r="K859" t="s">
        <v>42623</v>
      </c>
      <c r="M859" t="s">
        <v>43360</v>
      </c>
      <c r="N859" t="s">
        <v>47304</v>
      </c>
      <c r="O859" t="s">
        <v>47305</v>
      </c>
      <c r="P859">
        <v>0</v>
      </c>
      <c r="Q859">
        <v>0</v>
      </c>
      <c r="R859" t="s">
        <v>47307</v>
      </c>
      <c r="S859" t="s">
        <v>47416</v>
      </c>
      <c r="T859" t="s">
        <v>49028</v>
      </c>
      <c r="U859" t="s">
        <v>50339</v>
      </c>
      <c r="V859" t="s">
        <v>62750</v>
      </c>
      <c r="W859" t="s">
        <v>43360</v>
      </c>
      <c r="X859" t="s">
        <v>47306</v>
      </c>
    </row>
    <row r="860" spans="1:24">
      <c r="A860">
        <f>HYPERLINK("https://www.philgeps.gov.ph/GEPSNONPILOT/Tender/SplashBidNoticeAbstractUI.aspx?menuIndex=3&amp;refID=7198363&amp;Result=3","7198363")</f>
        <v>0</v>
      </c>
      <c r="B860" t="s">
        <v>452</v>
      </c>
      <c r="C860" t="s">
        <v>4696</v>
      </c>
      <c r="D860" t="s">
        <v>19042</v>
      </c>
      <c r="E860" t="s">
        <v>19900</v>
      </c>
      <c r="F860" t="s">
        <v>32606</v>
      </c>
      <c r="G860" t="s">
        <v>32613</v>
      </c>
      <c r="H860" t="s">
        <v>14201</v>
      </c>
      <c r="I860" t="s">
        <v>32640</v>
      </c>
      <c r="J860" t="s">
        <v>33432</v>
      </c>
      <c r="K860" t="s">
        <v>42622</v>
      </c>
      <c r="M860" t="s">
        <v>43361</v>
      </c>
      <c r="N860" t="s">
        <v>47304</v>
      </c>
      <c r="O860" t="s">
        <v>47305</v>
      </c>
      <c r="P860">
        <v>0</v>
      </c>
      <c r="Q860">
        <v>0</v>
      </c>
      <c r="R860" t="s">
        <v>47307</v>
      </c>
      <c r="S860" t="s">
        <v>47416</v>
      </c>
      <c r="T860" t="s">
        <v>49124</v>
      </c>
      <c r="U860" t="s">
        <v>50340</v>
      </c>
      <c r="W860" t="s">
        <v>43361</v>
      </c>
      <c r="X860" t="s">
        <v>47306</v>
      </c>
    </row>
    <row r="861" spans="1:24">
      <c r="A861">
        <f>HYPERLINK("https://www.philgeps.gov.ph/GEPSNONPILOT/Tender/SplashBidNoticeAbstractUI.aspx?menuIndex=3&amp;refID=7198411&amp;Result=3","7198411")</f>
        <v>0</v>
      </c>
      <c r="B861" t="s">
        <v>387</v>
      </c>
      <c r="C861" t="s">
        <v>4697</v>
      </c>
      <c r="D861" t="s">
        <v>18988</v>
      </c>
      <c r="E861" t="s">
        <v>19901</v>
      </c>
      <c r="F861" t="s">
        <v>32606</v>
      </c>
      <c r="G861" t="s">
        <v>32613</v>
      </c>
      <c r="H861" t="s">
        <v>14201</v>
      </c>
      <c r="I861" t="s">
        <v>32659</v>
      </c>
      <c r="J861" t="s">
        <v>32981</v>
      </c>
      <c r="K861" t="s">
        <v>42627</v>
      </c>
      <c r="M861" t="s">
        <v>43290</v>
      </c>
      <c r="N861" t="s">
        <v>47304</v>
      </c>
      <c r="O861" t="s">
        <v>47305</v>
      </c>
      <c r="P861">
        <v>0</v>
      </c>
      <c r="Q861">
        <v>0</v>
      </c>
      <c r="R861" t="s">
        <v>47307</v>
      </c>
      <c r="S861" t="s">
        <v>47416</v>
      </c>
      <c r="T861" t="s">
        <v>49103</v>
      </c>
      <c r="U861" t="s">
        <v>50231</v>
      </c>
      <c r="W861" t="s">
        <v>64431</v>
      </c>
      <c r="X861" t="s">
        <v>47306</v>
      </c>
    </row>
    <row r="862" spans="1:24">
      <c r="A862">
        <f>HYPERLINK("https://www.philgeps.gov.ph/GEPSNONPILOT/Tender/SplashBidNoticeAbstractUI.aspx?menuIndex=3&amp;refID=7198419&amp;Result=3","7198419")</f>
        <v>0</v>
      </c>
      <c r="B862" t="s">
        <v>429</v>
      </c>
      <c r="C862" t="s">
        <v>4698</v>
      </c>
      <c r="D862" t="s">
        <v>18993</v>
      </c>
      <c r="E862" t="s">
        <v>19902</v>
      </c>
      <c r="F862" t="s">
        <v>32606</v>
      </c>
      <c r="G862" t="s">
        <v>32619</v>
      </c>
      <c r="H862" t="s">
        <v>14201</v>
      </c>
      <c r="I862" t="s">
        <v>4120</v>
      </c>
      <c r="J862" t="s">
        <v>33433</v>
      </c>
      <c r="K862" t="s">
        <v>42624</v>
      </c>
      <c r="M862" t="s">
        <v>43362</v>
      </c>
      <c r="N862" t="s">
        <v>47304</v>
      </c>
      <c r="O862" t="s">
        <v>47305</v>
      </c>
      <c r="P862">
        <v>0</v>
      </c>
      <c r="Q862">
        <v>1</v>
      </c>
      <c r="R862" t="s">
        <v>47307</v>
      </c>
      <c r="S862" t="s">
        <v>47416</v>
      </c>
      <c r="T862" t="s">
        <v>49114</v>
      </c>
      <c r="U862" t="s">
        <v>50341</v>
      </c>
      <c r="W862" t="s">
        <v>43362</v>
      </c>
      <c r="X862" t="s">
        <v>47306</v>
      </c>
    </row>
    <row r="863" spans="1:24">
      <c r="A863">
        <f>HYPERLINK("https://www.philgeps.gov.ph/GEPSNONPILOT/Tender/SplashBidNoticeAbstractUI.aspx?menuIndex=3&amp;refID=7198391&amp;Result=3","7198391")</f>
        <v>0</v>
      </c>
      <c r="B863" t="s">
        <v>376</v>
      </c>
      <c r="C863" t="s">
        <v>4699</v>
      </c>
      <c r="D863" t="s">
        <v>19039</v>
      </c>
      <c r="E863" t="s">
        <v>19903</v>
      </c>
      <c r="F863" t="s">
        <v>32606</v>
      </c>
      <c r="G863" t="s">
        <v>32614</v>
      </c>
      <c r="H863" t="s">
        <v>14201</v>
      </c>
      <c r="I863" t="s">
        <v>4112</v>
      </c>
      <c r="J863" t="s">
        <v>33288</v>
      </c>
      <c r="K863" t="s">
        <v>42630</v>
      </c>
      <c r="M863" t="s">
        <v>43278</v>
      </c>
      <c r="N863" t="s">
        <v>47304</v>
      </c>
      <c r="O863" t="s">
        <v>47305</v>
      </c>
      <c r="P863">
        <v>0</v>
      </c>
      <c r="Q863">
        <v>0</v>
      </c>
      <c r="R863" t="s">
        <v>47307</v>
      </c>
      <c r="S863" t="s">
        <v>47416</v>
      </c>
      <c r="T863" t="s">
        <v>49125</v>
      </c>
      <c r="U863" t="s">
        <v>50342</v>
      </c>
      <c r="W863" t="s">
        <v>43278</v>
      </c>
      <c r="X863" t="s">
        <v>47306</v>
      </c>
    </row>
    <row r="864" spans="1:24">
      <c r="A864">
        <f>HYPERLINK("https://www.philgeps.gov.ph/GEPSNONPILOT/Tender/SplashBidNoticeAbstractUI.aspx?menuIndex=3&amp;refID=7198343&amp;Result=3","7198343")</f>
        <v>0</v>
      </c>
      <c r="B864" t="s">
        <v>447</v>
      </c>
      <c r="C864" t="s">
        <v>4700</v>
      </c>
      <c r="D864" t="s">
        <v>18990</v>
      </c>
      <c r="E864" t="s">
        <v>19904</v>
      </c>
      <c r="F864" t="s">
        <v>32606</v>
      </c>
      <c r="G864" t="s">
        <v>32614</v>
      </c>
      <c r="H864" t="s">
        <v>14201</v>
      </c>
      <c r="I864" t="s">
        <v>17648</v>
      </c>
      <c r="J864" t="s">
        <v>33434</v>
      </c>
      <c r="K864" t="s">
        <v>42622</v>
      </c>
      <c r="M864" t="s">
        <v>43355</v>
      </c>
      <c r="N864" t="s">
        <v>47304</v>
      </c>
      <c r="O864" t="s">
        <v>47305</v>
      </c>
      <c r="P864">
        <v>0</v>
      </c>
      <c r="Q864">
        <v>0</v>
      </c>
      <c r="R864" t="s">
        <v>47307</v>
      </c>
      <c r="S864" t="s">
        <v>47416</v>
      </c>
      <c r="T864" t="s">
        <v>49015</v>
      </c>
      <c r="U864" t="s">
        <v>50343</v>
      </c>
      <c r="V864" t="s">
        <v>62748</v>
      </c>
      <c r="W864" t="s">
        <v>43355</v>
      </c>
      <c r="X864" t="s">
        <v>47306</v>
      </c>
    </row>
    <row r="865" spans="1:24">
      <c r="A865">
        <f>HYPERLINK("https://www.philgeps.gov.ph/GEPSNONPILOT/Tender/SplashBidNoticeAbstractUI.aspx?menuIndex=3&amp;refID=7198365&amp;Result=3","7198365")</f>
        <v>0</v>
      </c>
      <c r="B865" t="s">
        <v>383</v>
      </c>
      <c r="C865" t="s">
        <v>4701</v>
      </c>
      <c r="E865" t="s">
        <v>19905</v>
      </c>
      <c r="F865" t="s">
        <v>32606</v>
      </c>
      <c r="G865" t="s">
        <v>32615</v>
      </c>
      <c r="H865" t="s">
        <v>14201</v>
      </c>
      <c r="I865" t="s">
        <v>32685</v>
      </c>
      <c r="J865" t="s">
        <v>33435</v>
      </c>
      <c r="K865" t="s">
        <v>42624</v>
      </c>
      <c r="M865" t="s">
        <v>43286</v>
      </c>
      <c r="N865" t="s">
        <v>47304</v>
      </c>
      <c r="O865" t="s">
        <v>47305</v>
      </c>
      <c r="P865">
        <v>0</v>
      </c>
      <c r="Q865">
        <v>0</v>
      </c>
      <c r="R865" t="s">
        <v>47307</v>
      </c>
      <c r="S865" t="s">
        <v>47416</v>
      </c>
      <c r="T865" t="s">
        <v>49102</v>
      </c>
      <c r="U865" t="s">
        <v>50344</v>
      </c>
      <c r="W865" t="s">
        <v>43286</v>
      </c>
      <c r="X865" t="s">
        <v>47306</v>
      </c>
    </row>
    <row r="866" spans="1:24">
      <c r="A866">
        <f>HYPERLINK("https://www.philgeps.gov.ph/GEPSNONPILOT/Tender/SplashBidNoticeAbstractUI.aspx?menuIndex=3&amp;refID=7198318&amp;Result=3","7198318")</f>
        <v>0</v>
      </c>
      <c r="B866" t="s">
        <v>328</v>
      </c>
      <c r="C866" t="s">
        <v>4702</v>
      </c>
      <c r="D866" t="s">
        <v>19028</v>
      </c>
      <c r="E866" t="s">
        <v>19906</v>
      </c>
      <c r="F866" t="s">
        <v>32606</v>
      </c>
      <c r="G866" t="s">
        <v>32613</v>
      </c>
      <c r="H866" t="s">
        <v>14201</v>
      </c>
      <c r="I866" t="s">
        <v>32686</v>
      </c>
      <c r="J866" t="s">
        <v>33436</v>
      </c>
      <c r="K866" t="s">
        <v>42631</v>
      </c>
      <c r="M866" t="s">
        <v>43230</v>
      </c>
      <c r="N866" t="s">
        <v>47304</v>
      </c>
      <c r="O866" t="s">
        <v>47305</v>
      </c>
      <c r="P866">
        <v>0</v>
      </c>
      <c r="Q866">
        <v>0</v>
      </c>
      <c r="R866" t="s">
        <v>47307</v>
      </c>
      <c r="S866" t="s">
        <v>47416</v>
      </c>
      <c r="T866" t="s">
        <v>49096</v>
      </c>
      <c r="U866" t="s">
        <v>50311</v>
      </c>
      <c r="W866" t="s">
        <v>43230</v>
      </c>
      <c r="X866" t="s">
        <v>47306</v>
      </c>
    </row>
    <row r="867" spans="1:24">
      <c r="A867">
        <f>HYPERLINK("https://www.philgeps.gov.ph/GEPSNONPILOT/Tender/SplashBidNoticeAbstractUI.aspx?menuIndex=3&amp;refID=7198413&amp;Result=3","7198413")</f>
        <v>0</v>
      </c>
      <c r="B867" t="s">
        <v>383</v>
      </c>
      <c r="C867" t="s">
        <v>4703</v>
      </c>
      <c r="E867" t="s">
        <v>19907</v>
      </c>
      <c r="F867" t="s">
        <v>32606</v>
      </c>
      <c r="G867" t="s">
        <v>32615</v>
      </c>
      <c r="H867" t="s">
        <v>14201</v>
      </c>
      <c r="I867" t="s">
        <v>32650</v>
      </c>
      <c r="J867" t="s">
        <v>33437</v>
      </c>
      <c r="K867" t="s">
        <v>42624</v>
      </c>
      <c r="M867" t="s">
        <v>43286</v>
      </c>
      <c r="N867" t="s">
        <v>47304</v>
      </c>
      <c r="O867" t="s">
        <v>47305</v>
      </c>
      <c r="P867">
        <v>0</v>
      </c>
      <c r="Q867">
        <v>0</v>
      </c>
      <c r="R867" t="s">
        <v>47307</v>
      </c>
      <c r="S867" t="s">
        <v>47416</v>
      </c>
      <c r="T867" t="s">
        <v>49102</v>
      </c>
      <c r="U867" t="s">
        <v>50345</v>
      </c>
      <c r="W867" t="s">
        <v>43286</v>
      </c>
      <c r="X867" t="s">
        <v>47306</v>
      </c>
    </row>
    <row r="868" spans="1:24">
      <c r="A868">
        <f>HYPERLINK("https://www.philgeps.gov.ph/GEPSNONPILOT/Tender/SplashBidNoticeAbstractUI.aspx?menuIndex=3&amp;refID=7198315&amp;Result=3","7198315")</f>
        <v>0</v>
      </c>
      <c r="B868" t="s">
        <v>418</v>
      </c>
      <c r="C868" t="s">
        <v>4704</v>
      </c>
      <c r="D868" t="s">
        <v>19006</v>
      </c>
      <c r="E868" t="s">
        <v>19908</v>
      </c>
      <c r="F868" t="s">
        <v>32606</v>
      </c>
      <c r="G868" t="s">
        <v>32614</v>
      </c>
      <c r="H868" t="s">
        <v>14201</v>
      </c>
      <c r="I868" t="s">
        <v>4120</v>
      </c>
      <c r="J868" t="s">
        <v>33438</v>
      </c>
      <c r="K868" t="s">
        <v>42629</v>
      </c>
      <c r="M868" t="s">
        <v>43322</v>
      </c>
      <c r="N868" t="s">
        <v>47304</v>
      </c>
      <c r="O868" t="s">
        <v>47305</v>
      </c>
      <c r="P868">
        <v>0</v>
      </c>
      <c r="Q868">
        <v>0</v>
      </c>
      <c r="R868" t="s">
        <v>47307</v>
      </c>
      <c r="S868" t="s">
        <v>47416</v>
      </c>
      <c r="T868" t="s">
        <v>48988</v>
      </c>
      <c r="U868" t="s">
        <v>50346</v>
      </c>
      <c r="W868" t="s">
        <v>43322</v>
      </c>
      <c r="X868" t="s">
        <v>47306</v>
      </c>
    </row>
    <row r="869" spans="1:24">
      <c r="A869">
        <f>HYPERLINK("https://www.philgeps.gov.ph/GEPSNONPILOT/Tender/SplashBidNoticeAbstractUI.aspx?menuIndex=3&amp;refID=7198320&amp;Result=3","7198320")</f>
        <v>0</v>
      </c>
      <c r="B869" t="s">
        <v>453</v>
      </c>
      <c r="C869" t="s">
        <v>4705</v>
      </c>
      <c r="D869" t="s">
        <v>19001</v>
      </c>
      <c r="E869" t="s">
        <v>19909</v>
      </c>
      <c r="F869" t="s">
        <v>32606</v>
      </c>
      <c r="G869" t="s">
        <v>32613</v>
      </c>
      <c r="H869" t="s">
        <v>14201</v>
      </c>
      <c r="I869" t="s">
        <v>32650</v>
      </c>
      <c r="J869" t="s">
        <v>33439</v>
      </c>
      <c r="K869" t="s">
        <v>42630</v>
      </c>
      <c r="M869" t="s">
        <v>43363</v>
      </c>
      <c r="N869" t="s">
        <v>47304</v>
      </c>
      <c r="O869" t="s">
        <v>47305</v>
      </c>
      <c r="P869">
        <v>0</v>
      </c>
      <c r="Q869">
        <v>0</v>
      </c>
      <c r="R869" t="s">
        <v>47307</v>
      </c>
      <c r="S869" t="s">
        <v>47416</v>
      </c>
      <c r="T869" t="s">
        <v>49107</v>
      </c>
      <c r="U869" t="s">
        <v>50347</v>
      </c>
      <c r="W869" t="s">
        <v>43363</v>
      </c>
      <c r="X869" t="s">
        <v>47306</v>
      </c>
    </row>
    <row r="870" spans="1:24">
      <c r="A870">
        <f>HYPERLINK("https://www.philgeps.gov.ph/GEPSNONPILOT/Tender/SplashBidNoticeAbstractUI.aspx?menuIndex=3&amp;refID=7198468&amp;Result=3","7198468")</f>
        <v>0</v>
      </c>
      <c r="B870" t="s">
        <v>454</v>
      </c>
      <c r="C870" t="s">
        <v>4706</v>
      </c>
      <c r="D870" t="s">
        <v>19007</v>
      </c>
      <c r="E870" t="s">
        <v>19910</v>
      </c>
      <c r="F870" t="s">
        <v>32606</v>
      </c>
      <c r="G870" t="s">
        <v>32613</v>
      </c>
      <c r="H870" t="s">
        <v>14201</v>
      </c>
      <c r="I870" t="s">
        <v>7677</v>
      </c>
      <c r="J870" t="s">
        <v>32765</v>
      </c>
      <c r="K870" t="s">
        <v>42624</v>
      </c>
      <c r="M870" t="s">
        <v>43364</v>
      </c>
      <c r="N870" t="s">
        <v>47304</v>
      </c>
      <c r="O870" t="s">
        <v>47305</v>
      </c>
      <c r="P870">
        <v>0</v>
      </c>
      <c r="Q870">
        <v>0</v>
      </c>
      <c r="R870" t="s">
        <v>47307</v>
      </c>
      <c r="S870" t="s">
        <v>47416</v>
      </c>
      <c r="T870" t="s">
        <v>49017</v>
      </c>
      <c r="U870" t="s">
        <v>50348</v>
      </c>
      <c r="W870" t="s">
        <v>43364</v>
      </c>
      <c r="X870" t="s">
        <v>47306</v>
      </c>
    </row>
    <row r="871" spans="1:24">
      <c r="A871">
        <f>HYPERLINK("https://www.philgeps.gov.ph/GEPSNONPILOT/Tender/SplashBidNoticeAbstractUI.aspx?menuIndex=3&amp;refID=7198467&amp;Result=3","7198467")</f>
        <v>0</v>
      </c>
      <c r="B871" t="s">
        <v>455</v>
      </c>
      <c r="C871" t="s">
        <v>4707</v>
      </c>
      <c r="D871" t="s">
        <v>18990</v>
      </c>
      <c r="E871" t="s">
        <v>19911</v>
      </c>
      <c r="F871" t="s">
        <v>32606</v>
      </c>
      <c r="G871" t="s">
        <v>32614</v>
      </c>
      <c r="H871" t="s">
        <v>14201</v>
      </c>
      <c r="I871" t="s">
        <v>6993</v>
      </c>
      <c r="J871" t="s">
        <v>33440</v>
      </c>
      <c r="K871" t="s">
        <v>42631</v>
      </c>
      <c r="M871" t="s">
        <v>43365</v>
      </c>
      <c r="N871" t="s">
        <v>47304</v>
      </c>
      <c r="O871" t="s">
        <v>47305</v>
      </c>
      <c r="P871">
        <v>0</v>
      </c>
      <c r="Q871">
        <v>0</v>
      </c>
      <c r="R871" t="s">
        <v>47307</v>
      </c>
      <c r="S871" t="s">
        <v>47416</v>
      </c>
      <c r="T871" t="s">
        <v>49107</v>
      </c>
      <c r="U871" t="s">
        <v>50349</v>
      </c>
      <c r="W871" t="s">
        <v>43365</v>
      </c>
      <c r="X871" t="s">
        <v>47306</v>
      </c>
    </row>
    <row r="872" spans="1:24">
      <c r="A872">
        <f>HYPERLINK("https://www.philgeps.gov.ph/GEPSNONPILOT/Tender/SplashBidNoticeAbstractUI.aspx?menuIndex=3&amp;refID=7198301&amp;Result=3","7198301")</f>
        <v>0</v>
      </c>
      <c r="B872" t="s">
        <v>371</v>
      </c>
      <c r="C872" t="s">
        <v>4557</v>
      </c>
      <c r="D872" t="s">
        <v>18997</v>
      </c>
      <c r="E872" t="s">
        <v>19912</v>
      </c>
      <c r="F872" t="s">
        <v>32606</v>
      </c>
      <c r="G872" t="s">
        <v>32613</v>
      </c>
      <c r="H872" t="s">
        <v>32623</v>
      </c>
      <c r="I872" t="s">
        <v>17648</v>
      </c>
      <c r="J872" t="s">
        <v>33330</v>
      </c>
      <c r="K872" t="s">
        <v>42648</v>
      </c>
      <c r="M872" t="s">
        <v>43273</v>
      </c>
      <c r="N872" t="s">
        <v>47304</v>
      </c>
      <c r="O872" t="s">
        <v>47305</v>
      </c>
      <c r="P872">
        <v>0</v>
      </c>
      <c r="Q872">
        <v>0</v>
      </c>
      <c r="R872" t="s">
        <v>47307</v>
      </c>
      <c r="S872" t="s">
        <v>47416</v>
      </c>
      <c r="T872" t="s">
        <v>49017</v>
      </c>
      <c r="U872" t="s">
        <v>50350</v>
      </c>
      <c r="W872" t="s">
        <v>43273</v>
      </c>
      <c r="X872" t="s">
        <v>47306</v>
      </c>
    </row>
    <row r="873" spans="1:24">
      <c r="A873">
        <f>HYPERLINK("https://www.philgeps.gov.ph/GEPSNONPILOT/Tender/SplashBidNoticeAbstractUI.aspx?menuIndex=3&amp;refID=7198462&amp;Result=3","7198462")</f>
        <v>0</v>
      </c>
      <c r="B873" t="s">
        <v>376</v>
      </c>
      <c r="C873" t="s">
        <v>4708</v>
      </c>
      <c r="D873" t="s">
        <v>19039</v>
      </c>
      <c r="E873" t="s">
        <v>19913</v>
      </c>
      <c r="F873" t="s">
        <v>32606</v>
      </c>
      <c r="G873" t="s">
        <v>32614</v>
      </c>
      <c r="H873" t="s">
        <v>14201</v>
      </c>
      <c r="I873" t="s">
        <v>4112</v>
      </c>
      <c r="J873" t="s">
        <v>32752</v>
      </c>
      <c r="K873" t="s">
        <v>42630</v>
      </c>
      <c r="M873" t="s">
        <v>43278</v>
      </c>
      <c r="N873" t="s">
        <v>47304</v>
      </c>
      <c r="O873" t="s">
        <v>47305</v>
      </c>
      <c r="P873">
        <v>0</v>
      </c>
      <c r="Q873">
        <v>0</v>
      </c>
      <c r="R873" t="s">
        <v>47307</v>
      </c>
      <c r="S873" t="s">
        <v>47416</v>
      </c>
      <c r="T873" t="s">
        <v>49126</v>
      </c>
      <c r="U873" t="s">
        <v>50351</v>
      </c>
      <c r="W873" t="s">
        <v>43278</v>
      </c>
      <c r="X873" t="s">
        <v>47306</v>
      </c>
    </row>
    <row r="874" spans="1:24">
      <c r="A874">
        <f>HYPERLINK("https://www.philgeps.gov.ph/GEPSNONPILOT/Tender/SplashBidNoticeAbstractUI.aspx?menuIndex=3&amp;refID=7198319&amp;Result=3","7198319")</f>
        <v>0</v>
      </c>
      <c r="B874" t="s">
        <v>181</v>
      </c>
      <c r="C874" t="s">
        <v>4709</v>
      </c>
      <c r="D874" t="s">
        <v>19029</v>
      </c>
      <c r="E874" t="s">
        <v>19914</v>
      </c>
      <c r="F874" t="s">
        <v>32606</v>
      </c>
      <c r="G874" t="s">
        <v>32619</v>
      </c>
      <c r="H874" t="s">
        <v>14201</v>
      </c>
      <c r="I874" t="s">
        <v>7529</v>
      </c>
      <c r="J874" t="s">
        <v>33225</v>
      </c>
      <c r="K874" t="s">
        <v>42625</v>
      </c>
      <c r="M874" t="s">
        <v>43082</v>
      </c>
      <c r="N874" t="s">
        <v>47304</v>
      </c>
      <c r="O874" t="s">
        <v>47305</v>
      </c>
      <c r="P874">
        <v>0</v>
      </c>
      <c r="Q874">
        <v>0</v>
      </c>
      <c r="R874" t="s">
        <v>47307</v>
      </c>
      <c r="S874" t="s">
        <v>47416</v>
      </c>
      <c r="T874" t="s">
        <v>48980</v>
      </c>
      <c r="U874" t="s">
        <v>50352</v>
      </c>
      <c r="W874" t="s">
        <v>43082</v>
      </c>
      <c r="X874" t="s">
        <v>47306</v>
      </c>
    </row>
    <row r="875" spans="1:24">
      <c r="A875">
        <f>HYPERLINK("https://www.philgeps.gov.ph/GEPSNONPILOT/Tender/SplashBidNoticeAbstractUI.aspx?menuIndex=3&amp;refID=7198460&amp;Result=3","7198460")</f>
        <v>0</v>
      </c>
      <c r="B875" t="s">
        <v>432</v>
      </c>
      <c r="C875" t="s">
        <v>4710</v>
      </c>
      <c r="D875" t="s">
        <v>19032</v>
      </c>
      <c r="E875" t="s">
        <v>19915</v>
      </c>
      <c r="F875" t="s">
        <v>32606</v>
      </c>
      <c r="G875" t="s">
        <v>32619</v>
      </c>
      <c r="H875" t="s">
        <v>14201</v>
      </c>
      <c r="I875" t="s">
        <v>4369</v>
      </c>
      <c r="J875" t="s">
        <v>33441</v>
      </c>
      <c r="K875" t="s">
        <v>42624</v>
      </c>
      <c r="M875" t="s">
        <v>43338</v>
      </c>
      <c r="N875" t="s">
        <v>47304</v>
      </c>
      <c r="O875" t="s">
        <v>47305</v>
      </c>
      <c r="P875">
        <v>0</v>
      </c>
      <c r="Q875">
        <v>0</v>
      </c>
      <c r="R875" t="s">
        <v>47307</v>
      </c>
      <c r="S875" t="s">
        <v>47416</v>
      </c>
      <c r="T875" t="s">
        <v>49014</v>
      </c>
      <c r="U875" t="s">
        <v>50353</v>
      </c>
      <c r="W875" t="s">
        <v>43338</v>
      </c>
      <c r="X875" t="s">
        <v>47306</v>
      </c>
    </row>
    <row r="876" spans="1:24">
      <c r="A876">
        <f>HYPERLINK("https://www.philgeps.gov.ph/GEPSNONPILOT/Tender/SplashBidNoticeAbstractUI.aspx?menuIndex=3&amp;refID=7198458&amp;Result=3","7198458")</f>
        <v>0</v>
      </c>
      <c r="B876" t="s">
        <v>426</v>
      </c>
      <c r="C876" t="s">
        <v>4711</v>
      </c>
      <c r="D876" t="s">
        <v>19029</v>
      </c>
      <c r="E876" t="s">
        <v>19916</v>
      </c>
      <c r="F876" t="s">
        <v>32606</v>
      </c>
      <c r="G876" t="s">
        <v>32614</v>
      </c>
      <c r="H876" t="s">
        <v>14201</v>
      </c>
      <c r="I876" t="s">
        <v>7677</v>
      </c>
      <c r="J876" t="s">
        <v>32778</v>
      </c>
      <c r="K876" t="s">
        <v>42622</v>
      </c>
      <c r="M876" t="s">
        <v>43330</v>
      </c>
      <c r="N876" t="s">
        <v>47304</v>
      </c>
      <c r="O876" t="s">
        <v>47305</v>
      </c>
      <c r="P876">
        <v>0</v>
      </c>
      <c r="Q876">
        <v>0</v>
      </c>
      <c r="R876" t="s">
        <v>47307</v>
      </c>
      <c r="S876" t="s">
        <v>47416</v>
      </c>
      <c r="T876" t="s">
        <v>48988</v>
      </c>
      <c r="U876" t="s">
        <v>50354</v>
      </c>
      <c r="W876" t="s">
        <v>43330</v>
      </c>
      <c r="X876" t="s">
        <v>47306</v>
      </c>
    </row>
    <row r="877" spans="1:24">
      <c r="A877">
        <f>HYPERLINK("https://www.philgeps.gov.ph/GEPSNONPILOT/Tender/SplashBidNoticeAbstractUI.aspx?menuIndex=3&amp;refID=7198415&amp;Result=3","7198415")</f>
        <v>0</v>
      </c>
      <c r="B877" t="s">
        <v>456</v>
      </c>
      <c r="C877" t="s">
        <v>4712</v>
      </c>
      <c r="D877" t="s">
        <v>19024</v>
      </c>
      <c r="E877" t="s">
        <v>19917</v>
      </c>
      <c r="F877" t="s">
        <v>32606</v>
      </c>
      <c r="G877" t="s">
        <v>32619</v>
      </c>
      <c r="H877" t="s">
        <v>14201</v>
      </c>
      <c r="I877" t="s">
        <v>4114</v>
      </c>
      <c r="J877" t="s">
        <v>33291</v>
      </c>
      <c r="K877" t="s">
        <v>42624</v>
      </c>
      <c r="M877" t="s">
        <v>43366</v>
      </c>
      <c r="N877" t="s">
        <v>47304</v>
      </c>
      <c r="O877" t="s">
        <v>47305</v>
      </c>
      <c r="P877">
        <v>0</v>
      </c>
      <c r="Q877">
        <v>1</v>
      </c>
      <c r="R877" t="s">
        <v>47307</v>
      </c>
      <c r="S877" t="s">
        <v>47416</v>
      </c>
      <c r="T877" t="s">
        <v>49004</v>
      </c>
      <c r="U877" t="s">
        <v>50355</v>
      </c>
      <c r="W877" t="s">
        <v>43366</v>
      </c>
      <c r="X877" t="s">
        <v>47306</v>
      </c>
    </row>
    <row r="878" spans="1:24">
      <c r="A878">
        <f>HYPERLINK("https://www.philgeps.gov.ph/GEPSNONPILOT/Tender/SplashBidNoticeAbstractUI.aspx?menuIndex=3&amp;refID=7198456&amp;Result=3","7198456")</f>
        <v>0</v>
      </c>
      <c r="B878" t="s">
        <v>391</v>
      </c>
      <c r="C878" t="s">
        <v>4713</v>
      </c>
      <c r="D878" t="s">
        <v>18993</v>
      </c>
      <c r="E878" t="s">
        <v>19918</v>
      </c>
      <c r="F878" t="s">
        <v>32606</v>
      </c>
      <c r="G878" t="s">
        <v>32614</v>
      </c>
      <c r="H878" t="s">
        <v>14201</v>
      </c>
      <c r="I878" t="s">
        <v>32633</v>
      </c>
      <c r="J878" t="s">
        <v>32794</v>
      </c>
      <c r="K878" t="s">
        <v>42631</v>
      </c>
      <c r="M878" t="s">
        <v>43294</v>
      </c>
      <c r="N878" t="s">
        <v>47304</v>
      </c>
      <c r="O878" t="s">
        <v>47305</v>
      </c>
      <c r="P878">
        <v>0</v>
      </c>
      <c r="Q878">
        <v>0</v>
      </c>
      <c r="R878" t="s">
        <v>47307</v>
      </c>
      <c r="S878" t="s">
        <v>47416</v>
      </c>
      <c r="T878" t="s">
        <v>49127</v>
      </c>
      <c r="U878" t="s">
        <v>50356</v>
      </c>
      <c r="W878" t="s">
        <v>43294</v>
      </c>
      <c r="X878" t="s">
        <v>47306</v>
      </c>
    </row>
    <row r="879" spans="1:24">
      <c r="A879">
        <f>HYPERLINK("https://www.philgeps.gov.ph/GEPSNONPILOT/Tender/SplashBidNoticeAbstractUI.aspx?menuIndex=3&amp;refID=7198466&amp;Result=3","7198466")</f>
        <v>0</v>
      </c>
      <c r="B879" t="s">
        <v>456</v>
      </c>
      <c r="C879" t="s">
        <v>4714</v>
      </c>
      <c r="D879" t="s">
        <v>19024</v>
      </c>
      <c r="E879" t="s">
        <v>19919</v>
      </c>
      <c r="F879" t="s">
        <v>32606</v>
      </c>
      <c r="G879" t="s">
        <v>32619</v>
      </c>
      <c r="H879" t="s">
        <v>14201</v>
      </c>
      <c r="I879" t="s">
        <v>4114</v>
      </c>
      <c r="J879" t="s">
        <v>33024</v>
      </c>
      <c r="K879" t="s">
        <v>42624</v>
      </c>
      <c r="M879" t="s">
        <v>43366</v>
      </c>
      <c r="N879" t="s">
        <v>47304</v>
      </c>
      <c r="O879" t="s">
        <v>47305</v>
      </c>
      <c r="P879">
        <v>0</v>
      </c>
      <c r="Q879">
        <v>0</v>
      </c>
      <c r="R879" t="s">
        <v>47307</v>
      </c>
      <c r="S879" t="s">
        <v>47416</v>
      </c>
      <c r="T879" t="s">
        <v>49004</v>
      </c>
      <c r="U879" t="s">
        <v>50357</v>
      </c>
      <c r="W879" t="s">
        <v>43366</v>
      </c>
      <c r="X879" t="s">
        <v>47306</v>
      </c>
    </row>
    <row r="880" spans="1:24">
      <c r="A880">
        <f>HYPERLINK("https://www.philgeps.gov.ph/GEPSNONPILOT/Tender/SplashBidNoticeAbstractUI.aspx?menuIndex=3&amp;refID=7198455&amp;Result=3","7198455")</f>
        <v>0</v>
      </c>
      <c r="B880" t="s">
        <v>437</v>
      </c>
      <c r="C880" t="s">
        <v>4715</v>
      </c>
      <c r="D880" t="s">
        <v>19003</v>
      </c>
      <c r="E880" t="s">
        <v>19920</v>
      </c>
      <c r="F880" t="s">
        <v>32606</v>
      </c>
      <c r="G880" t="s">
        <v>32614</v>
      </c>
      <c r="H880" t="s">
        <v>14201</v>
      </c>
      <c r="I880" t="s">
        <v>6931</v>
      </c>
      <c r="J880" t="s">
        <v>32813</v>
      </c>
      <c r="K880" t="s">
        <v>42623</v>
      </c>
      <c r="M880" t="s">
        <v>43343</v>
      </c>
      <c r="N880" t="s">
        <v>47304</v>
      </c>
      <c r="O880" t="s">
        <v>47305</v>
      </c>
      <c r="P880">
        <v>0</v>
      </c>
      <c r="Q880">
        <v>0</v>
      </c>
      <c r="R880" t="s">
        <v>47307</v>
      </c>
      <c r="S880" t="s">
        <v>47416</v>
      </c>
      <c r="T880" t="s">
        <v>49100</v>
      </c>
      <c r="U880" t="s">
        <v>50358</v>
      </c>
      <c r="W880" t="s">
        <v>43343</v>
      </c>
      <c r="X880" t="s">
        <v>47306</v>
      </c>
    </row>
    <row r="881" spans="1:24">
      <c r="A881">
        <f>HYPERLINK("https://www.philgeps.gov.ph/GEPSNONPILOT/Tender/SplashBidNoticeAbstractUI.aspx?menuIndex=3&amp;refID=7198337&amp;Result=3","7198337")</f>
        <v>0</v>
      </c>
      <c r="B881" t="s">
        <v>457</v>
      </c>
      <c r="C881" t="s">
        <v>4716</v>
      </c>
      <c r="E881" t="s">
        <v>19921</v>
      </c>
      <c r="F881" t="s">
        <v>32606</v>
      </c>
      <c r="G881" t="s">
        <v>32614</v>
      </c>
      <c r="H881" t="s">
        <v>14201</v>
      </c>
      <c r="I881" t="s">
        <v>4369</v>
      </c>
      <c r="J881" t="s">
        <v>32868</v>
      </c>
      <c r="K881" t="s">
        <v>42624</v>
      </c>
      <c r="M881" t="s">
        <v>43367</v>
      </c>
      <c r="N881" t="s">
        <v>47304</v>
      </c>
      <c r="O881" t="s">
        <v>47305</v>
      </c>
      <c r="P881">
        <v>0</v>
      </c>
      <c r="Q881">
        <v>0</v>
      </c>
      <c r="R881" t="s">
        <v>47307</v>
      </c>
      <c r="S881" t="s">
        <v>47416</v>
      </c>
      <c r="T881" t="s">
        <v>49015</v>
      </c>
      <c r="U881" t="s">
        <v>50359</v>
      </c>
      <c r="W881" t="s">
        <v>43367</v>
      </c>
      <c r="X881" t="s">
        <v>47306</v>
      </c>
    </row>
    <row r="882" spans="1:24">
      <c r="A882">
        <f>HYPERLINK("https://www.philgeps.gov.ph/GEPSNONPILOT/Tender/SplashBidNoticeAbstractUI.aspx?menuIndex=3&amp;refID=7198459&amp;Result=3","7198459")</f>
        <v>0</v>
      </c>
      <c r="B882" t="s">
        <v>387</v>
      </c>
      <c r="C882" t="s">
        <v>4717</v>
      </c>
      <c r="D882" t="s">
        <v>18988</v>
      </c>
      <c r="E882" t="s">
        <v>19922</v>
      </c>
      <c r="F882" t="s">
        <v>32606</v>
      </c>
      <c r="G882" t="s">
        <v>32613</v>
      </c>
      <c r="H882" t="s">
        <v>14201</v>
      </c>
      <c r="I882" t="s">
        <v>32629</v>
      </c>
      <c r="J882" t="s">
        <v>33442</v>
      </c>
      <c r="K882" t="s">
        <v>42627</v>
      </c>
      <c r="M882" t="s">
        <v>43290</v>
      </c>
      <c r="N882" t="s">
        <v>47304</v>
      </c>
      <c r="O882" t="s">
        <v>47305</v>
      </c>
      <c r="P882">
        <v>0</v>
      </c>
      <c r="Q882">
        <v>0</v>
      </c>
      <c r="R882" t="s">
        <v>47307</v>
      </c>
      <c r="S882" t="s">
        <v>47416</v>
      </c>
      <c r="T882" t="s">
        <v>49103</v>
      </c>
      <c r="U882" t="s">
        <v>50231</v>
      </c>
      <c r="W882" t="s">
        <v>64431</v>
      </c>
      <c r="X882" t="s">
        <v>47306</v>
      </c>
    </row>
    <row r="883" spans="1:24">
      <c r="A883">
        <f>HYPERLINK("https://www.philgeps.gov.ph/GEPSNONPILOT/Tender/SplashBidNoticeAbstractUI.aspx?menuIndex=3&amp;refID=7198492&amp;Result=3","7198492")</f>
        <v>0</v>
      </c>
      <c r="B883" t="s">
        <v>458</v>
      </c>
      <c r="C883" t="s">
        <v>4718</v>
      </c>
      <c r="D883" t="s">
        <v>18994</v>
      </c>
      <c r="E883" t="s">
        <v>19923</v>
      </c>
      <c r="F883" t="s">
        <v>32606</v>
      </c>
      <c r="G883" t="s">
        <v>32614</v>
      </c>
      <c r="H883" t="s">
        <v>14201</v>
      </c>
      <c r="I883" t="s">
        <v>4120</v>
      </c>
      <c r="J883" t="s">
        <v>33443</v>
      </c>
      <c r="K883" t="s">
        <v>42630</v>
      </c>
      <c r="M883" t="s">
        <v>43368</v>
      </c>
      <c r="N883" t="s">
        <v>47304</v>
      </c>
      <c r="O883" t="s">
        <v>47305</v>
      </c>
      <c r="P883">
        <v>0</v>
      </c>
      <c r="Q883">
        <v>0</v>
      </c>
      <c r="R883" t="s">
        <v>47307</v>
      </c>
      <c r="S883" t="s">
        <v>47416</v>
      </c>
      <c r="T883" t="s">
        <v>48977</v>
      </c>
      <c r="U883" t="s">
        <v>50360</v>
      </c>
      <c r="W883" t="s">
        <v>43368</v>
      </c>
      <c r="X883" t="s">
        <v>47306</v>
      </c>
    </row>
    <row r="884" spans="1:24">
      <c r="A884">
        <f>HYPERLINK("https://www.philgeps.gov.ph/GEPSNONPILOT/Tender/SplashBidNoticeAbstractUI.aspx?menuIndex=3&amp;refID=7198344&amp;Result=3","7198344")</f>
        <v>0</v>
      </c>
      <c r="B884" t="s">
        <v>421</v>
      </c>
      <c r="C884" t="s">
        <v>4719</v>
      </c>
      <c r="D884" t="s">
        <v>18988</v>
      </c>
      <c r="E884" t="s">
        <v>19924</v>
      </c>
      <c r="F884" t="s">
        <v>32606</v>
      </c>
      <c r="G884" t="s">
        <v>32614</v>
      </c>
      <c r="H884" t="s">
        <v>32624</v>
      </c>
      <c r="I884" t="s">
        <v>32675</v>
      </c>
      <c r="J884" t="s">
        <v>33051</v>
      </c>
      <c r="K884" t="s">
        <v>42665</v>
      </c>
      <c r="M884" t="s">
        <v>43325</v>
      </c>
      <c r="N884" t="s">
        <v>47304</v>
      </c>
      <c r="O884" t="s">
        <v>47305</v>
      </c>
      <c r="P884">
        <v>0</v>
      </c>
      <c r="Q884">
        <v>0</v>
      </c>
      <c r="R884" t="s">
        <v>47307</v>
      </c>
      <c r="S884" t="s">
        <v>47416</v>
      </c>
      <c r="T884" t="s">
        <v>49015</v>
      </c>
      <c r="U884" t="s">
        <v>50361</v>
      </c>
      <c r="W884" t="s">
        <v>47268</v>
      </c>
      <c r="X884" t="s">
        <v>47306</v>
      </c>
    </row>
    <row r="885" spans="1:24">
      <c r="A885">
        <f>HYPERLINK("https://www.philgeps.gov.ph/GEPSNONPILOT/Tender/SplashBidNoticeAbstractUI.aspx?menuIndex=3&amp;refID=7198488&amp;Result=3","7198488")</f>
        <v>0</v>
      </c>
      <c r="B885" t="s">
        <v>459</v>
      </c>
      <c r="C885" t="s">
        <v>4720</v>
      </c>
      <c r="D885" t="s">
        <v>19038</v>
      </c>
      <c r="E885" t="s">
        <v>19925</v>
      </c>
      <c r="F885" t="s">
        <v>32606</v>
      </c>
      <c r="G885" t="s">
        <v>32614</v>
      </c>
      <c r="H885" t="s">
        <v>14201</v>
      </c>
      <c r="I885" t="s">
        <v>32626</v>
      </c>
      <c r="J885" t="s">
        <v>33444</v>
      </c>
      <c r="K885" t="s">
        <v>42630</v>
      </c>
      <c r="M885" t="s">
        <v>43369</v>
      </c>
      <c r="N885" t="s">
        <v>47304</v>
      </c>
      <c r="O885" t="s">
        <v>47305</v>
      </c>
      <c r="P885">
        <v>0</v>
      </c>
      <c r="Q885">
        <v>0</v>
      </c>
      <c r="R885" t="s">
        <v>47307</v>
      </c>
      <c r="S885" t="s">
        <v>47416</v>
      </c>
      <c r="T885" t="s">
        <v>48987</v>
      </c>
      <c r="U885" t="s">
        <v>50362</v>
      </c>
      <c r="W885" t="s">
        <v>43369</v>
      </c>
      <c r="X885" t="s">
        <v>47306</v>
      </c>
    </row>
    <row r="886" spans="1:24">
      <c r="A886">
        <f>HYPERLINK("https://www.philgeps.gov.ph/GEPSNONPILOT/Tender/SplashBidNoticeAbstractUI.aspx?menuIndex=3&amp;refID=7198454&amp;Result=3","7198454")</f>
        <v>0</v>
      </c>
      <c r="B886" t="s">
        <v>460</v>
      </c>
      <c r="C886" t="s">
        <v>4721</v>
      </c>
      <c r="D886" t="s">
        <v>18995</v>
      </c>
      <c r="E886" t="s">
        <v>19926</v>
      </c>
      <c r="F886" t="s">
        <v>32606</v>
      </c>
      <c r="G886" t="s">
        <v>32614</v>
      </c>
      <c r="H886" t="s">
        <v>14201</v>
      </c>
      <c r="I886" t="s">
        <v>7577</v>
      </c>
      <c r="J886" t="s">
        <v>33239</v>
      </c>
      <c r="K886" t="s">
        <v>42630</v>
      </c>
      <c r="M886" t="s">
        <v>43370</v>
      </c>
      <c r="N886" t="s">
        <v>47304</v>
      </c>
      <c r="O886" t="s">
        <v>47305</v>
      </c>
      <c r="P886">
        <v>0</v>
      </c>
      <c r="Q886">
        <v>0</v>
      </c>
      <c r="R886" t="s">
        <v>47307</v>
      </c>
      <c r="S886" t="s">
        <v>47416</v>
      </c>
      <c r="T886" t="s">
        <v>48976</v>
      </c>
      <c r="U886" t="s">
        <v>50363</v>
      </c>
      <c r="W886" t="s">
        <v>43370</v>
      </c>
      <c r="X886" t="s">
        <v>47306</v>
      </c>
    </row>
    <row r="887" spans="1:24">
      <c r="A887">
        <f>HYPERLINK("https://www.philgeps.gov.ph/GEPSNONPILOT/Tender/SplashBidNoticeAbstractUI.aspx?menuIndex=3&amp;refID=7198483&amp;Result=3","7198483")</f>
        <v>0</v>
      </c>
      <c r="B887" t="s">
        <v>461</v>
      </c>
      <c r="C887" t="s">
        <v>4722</v>
      </c>
      <c r="D887" t="s">
        <v>19011</v>
      </c>
      <c r="E887" t="s">
        <v>19927</v>
      </c>
      <c r="F887" t="s">
        <v>32606</v>
      </c>
      <c r="G887" t="s">
        <v>32619</v>
      </c>
      <c r="H887" t="s">
        <v>14201</v>
      </c>
      <c r="I887" t="s">
        <v>32687</v>
      </c>
      <c r="J887" t="s">
        <v>32977</v>
      </c>
      <c r="K887" t="s">
        <v>42624</v>
      </c>
      <c r="M887" t="s">
        <v>43371</v>
      </c>
      <c r="N887" t="s">
        <v>47304</v>
      </c>
      <c r="O887" t="s">
        <v>47305</v>
      </c>
      <c r="P887">
        <v>0</v>
      </c>
      <c r="Q887">
        <v>0</v>
      </c>
      <c r="R887" t="s">
        <v>47307</v>
      </c>
      <c r="S887" t="s">
        <v>47416</v>
      </c>
      <c r="T887" t="s">
        <v>49050</v>
      </c>
      <c r="U887" t="s">
        <v>50364</v>
      </c>
      <c r="W887" t="s">
        <v>43371</v>
      </c>
      <c r="X887" t="s">
        <v>47306</v>
      </c>
    </row>
    <row r="888" spans="1:24">
      <c r="A888">
        <f>HYPERLINK("https://www.philgeps.gov.ph/GEPSNONPILOT/Tender/SplashBidNoticeAbstractUI.aspx?menuIndex=3&amp;refID=7198481&amp;Result=3","7198481")</f>
        <v>0</v>
      </c>
      <c r="B888" t="s">
        <v>400</v>
      </c>
      <c r="C888" t="s">
        <v>4723</v>
      </c>
      <c r="D888" t="s">
        <v>19002</v>
      </c>
      <c r="E888" t="s">
        <v>19928</v>
      </c>
      <c r="F888" t="s">
        <v>32606</v>
      </c>
      <c r="G888" t="s">
        <v>32619</v>
      </c>
      <c r="H888" t="s">
        <v>14201</v>
      </c>
      <c r="I888" t="s">
        <v>4678</v>
      </c>
      <c r="J888" t="s">
        <v>32752</v>
      </c>
      <c r="K888" t="s">
        <v>42624</v>
      </c>
      <c r="M888" t="s">
        <v>43303</v>
      </c>
      <c r="N888" t="s">
        <v>47304</v>
      </c>
      <c r="O888" t="s">
        <v>47305</v>
      </c>
      <c r="P888">
        <v>0</v>
      </c>
      <c r="Q888">
        <v>0</v>
      </c>
      <c r="R888" t="s">
        <v>47307</v>
      </c>
      <c r="S888" t="s">
        <v>47416</v>
      </c>
      <c r="T888" t="s">
        <v>48997</v>
      </c>
      <c r="U888" t="s">
        <v>50365</v>
      </c>
      <c r="W888" t="s">
        <v>43303</v>
      </c>
      <c r="X888" t="s">
        <v>47306</v>
      </c>
    </row>
    <row r="889" spans="1:24">
      <c r="A889">
        <f>HYPERLINK("https://www.philgeps.gov.ph/GEPSNONPILOT/Tender/SplashBidNoticeAbstractUI.aspx?menuIndex=3&amp;refID=7198457&amp;Result=3","7198457")</f>
        <v>0</v>
      </c>
      <c r="B889" t="s">
        <v>462</v>
      </c>
      <c r="C889" t="s">
        <v>4724</v>
      </c>
      <c r="E889" t="s">
        <v>19929</v>
      </c>
      <c r="F889" t="s">
        <v>32606</v>
      </c>
      <c r="G889" t="s">
        <v>32613</v>
      </c>
      <c r="H889" t="s">
        <v>14201</v>
      </c>
      <c r="I889" t="s">
        <v>7064</v>
      </c>
      <c r="J889" t="s">
        <v>33445</v>
      </c>
      <c r="K889" t="s">
        <v>42639</v>
      </c>
      <c r="M889" t="s">
        <v>43372</v>
      </c>
      <c r="N889" t="s">
        <v>47304</v>
      </c>
      <c r="O889" t="s">
        <v>47305</v>
      </c>
      <c r="P889">
        <v>0</v>
      </c>
      <c r="Q889">
        <v>3</v>
      </c>
      <c r="R889" t="s">
        <v>47307</v>
      </c>
      <c r="S889" t="s">
        <v>47416</v>
      </c>
      <c r="T889" t="s">
        <v>49128</v>
      </c>
      <c r="U889" t="s">
        <v>50366</v>
      </c>
      <c r="W889" t="s">
        <v>64436</v>
      </c>
      <c r="X889" t="s">
        <v>47306</v>
      </c>
    </row>
    <row r="890" spans="1:24">
      <c r="A890">
        <f>HYPERLINK("https://www.philgeps.gov.ph/GEPSNONPILOT/Tender/SplashBidNoticeAbstractUI.aspx?menuIndex=3&amp;refID=7198491&amp;Result=3","7198491")</f>
        <v>0</v>
      </c>
      <c r="B890" t="s">
        <v>185</v>
      </c>
      <c r="C890" t="s">
        <v>4725</v>
      </c>
      <c r="D890" t="s">
        <v>19025</v>
      </c>
      <c r="E890" t="s">
        <v>19930</v>
      </c>
      <c r="F890" t="s">
        <v>32606</v>
      </c>
      <c r="G890" t="s">
        <v>32613</v>
      </c>
      <c r="H890" t="s">
        <v>14201</v>
      </c>
      <c r="I890" t="s">
        <v>32629</v>
      </c>
      <c r="J890" t="s">
        <v>33446</v>
      </c>
      <c r="K890" t="s">
        <v>42622</v>
      </c>
      <c r="M890" t="s">
        <v>43350</v>
      </c>
      <c r="N890" t="s">
        <v>47304</v>
      </c>
      <c r="O890" t="s">
        <v>47305</v>
      </c>
      <c r="P890">
        <v>0</v>
      </c>
      <c r="Q890">
        <v>0</v>
      </c>
      <c r="R890" t="s">
        <v>47307</v>
      </c>
      <c r="S890" t="s">
        <v>47416</v>
      </c>
      <c r="T890" t="s">
        <v>49121</v>
      </c>
      <c r="U890" t="s">
        <v>50321</v>
      </c>
      <c r="V890" t="s">
        <v>62747</v>
      </c>
      <c r="W890" t="s">
        <v>64433</v>
      </c>
      <c r="X890" t="s">
        <v>47306</v>
      </c>
    </row>
    <row r="891" spans="1:24">
      <c r="A891">
        <f>HYPERLINK("https://www.philgeps.gov.ph/GEPSNONPILOT/Tender/SplashBidNoticeAbstractUI.aspx?menuIndex=3&amp;refID=7198480&amp;Result=3","7198480")</f>
        <v>0</v>
      </c>
      <c r="B891" t="s">
        <v>463</v>
      </c>
      <c r="C891" t="s">
        <v>4726</v>
      </c>
      <c r="D891" t="s">
        <v>19013</v>
      </c>
      <c r="E891" t="s">
        <v>19690</v>
      </c>
      <c r="F891" t="s">
        <v>32606</v>
      </c>
      <c r="G891" t="s">
        <v>32613</v>
      </c>
      <c r="H891" t="s">
        <v>32623</v>
      </c>
      <c r="I891" t="s">
        <v>17648</v>
      </c>
      <c r="J891" t="s">
        <v>33447</v>
      </c>
      <c r="K891" t="s">
        <v>42689</v>
      </c>
      <c r="M891" t="s">
        <v>43373</v>
      </c>
      <c r="N891" t="s">
        <v>47304</v>
      </c>
      <c r="O891" t="s">
        <v>47305</v>
      </c>
      <c r="P891">
        <v>0</v>
      </c>
      <c r="Q891">
        <v>0</v>
      </c>
      <c r="R891" t="s">
        <v>47307</v>
      </c>
      <c r="S891" t="s">
        <v>47416</v>
      </c>
      <c r="T891" t="s">
        <v>48971</v>
      </c>
      <c r="U891" t="s">
        <v>50367</v>
      </c>
      <c r="W891" t="s">
        <v>43373</v>
      </c>
      <c r="X891" t="s">
        <v>47306</v>
      </c>
    </row>
    <row r="892" spans="1:24">
      <c r="A892">
        <f>HYPERLINK("https://www.philgeps.gov.ph/GEPSNONPILOT/Tender/SplashBidNoticeAbstractUI.aspx?menuIndex=3&amp;refID=7198478&amp;Result=3","7198478")</f>
        <v>0</v>
      </c>
      <c r="B892" t="s">
        <v>427</v>
      </c>
      <c r="C892" t="s">
        <v>4727</v>
      </c>
      <c r="D892" t="s">
        <v>18995</v>
      </c>
      <c r="E892" t="s">
        <v>19931</v>
      </c>
      <c r="F892" t="s">
        <v>32606</v>
      </c>
      <c r="G892" t="s">
        <v>32614</v>
      </c>
      <c r="H892" t="s">
        <v>14201</v>
      </c>
      <c r="I892" t="s">
        <v>7064</v>
      </c>
      <c r="J892" t="s">
        <v>33387</v>
      </c>
      <c r="K892" t="s">
        <v>42625</v>
      </c>
      <c r="M892" t="s">
        <v>43331</v>
      </c>
      <c r="N892" t="s">
        <v>47304</v>
      </c>
      <c r="O892" t="s">
        <v>47305</v>
      </c>
      <c r="P892">
        <v>0</v>
      </c>
      <c r="Q892">
        <v>0</v>
      </c>
      <c r="R892" t="s">
        <v>47307</v>
      </c>
      <c r="S892" t="s">
        <v>47416</v>
      </c>
      <c r="T892" t="s">
        <v>49016</v>
      </c>
      <c r="U892" t="s">
        <v>50368</v>
      </c>
      <c r="W892" t="s">
        <v>43331</v>
      </c>
      <c r="X892" t="s">
        <v>47306</v>
      </c>
    </row>
    <row r="893" spans="1:24">
      <c r="A893">
        <f>HYPERLINK("https://www.philgeps.gov.ph/GEPSNONPILOT/Tender/SplashBidNoticeAbstractUI.aspx?menuIndex=3&amp;refID=7198477&amp;Result=3","7198477")</f>
        <v>0</v>
      </c>
      <c r="B893" t="s">
        <v>230</v>
      </c>
      <c r="C893" t="s">
        <v>4307</v>
      </c>
      <c r="D893" t="s">
        <v>19015</v>
      </c>
      <c r="E893" t="s">
        <v>19932</v>
      </c>
      <c r="F893" t="s">
        <v>32606</v>
      </c>
      <c r="G893" t="s">
        <v>32613</v>
      </c>
      <c r="H893" t="s">
        <v>32623</v>
      </c>
      <c r="I893" t="s">
        <v>17648</v>
      </c>
      <c r="J893" t="s">
        <v>32765</v>
      </c>
      <c r="K893" t="s">
        <v>42630</v>
      </c>
      <c r="M893" t="s">
        <v>43131</v>
      </c>
      <c r="N893" t="s">
        <v>47304</v>
      </c>
      <c r="O893" t="s">
        <v>47305</v>
      </c>
      <c r="P893">
        <v>0</v>
      </c>
      <c r="Q893">
        <v>0</v>
      </c>
      <c r="R893" t="s">
        <v>47307</v>
      </c>
      <c r="S893" t="s">
        <v>47416</v>
      </c>
      <c r="T893" t="s">
        <v>49107</v>
      </c>
      <c r="U893" t="s">
        <v>50369</v>
      </c>
      <c r="V893" t="s">
        <v>62751</v>
      </c>
      <c r="W893" t="s">
        <v>43131</v>
      </c>
      <c r="X893" t="s">
        <v>47306</v>
      </c>
    </row>
    <row r="894" spans="1:24">
      <c r="A894">
        <f>HYPERLINK("https://www.philgeps.gov.ph/GEPSNONPILOT/Tender/SplashBidNoticeAbstractUI.aspx?menuIndex=3&amp;refID=7198482&amp;Result=3","7198482")</f>
        <v>0</v>
      </c>
      <c r="B894" t="s">
        <v>424</v>
      </c>
      <c r="C894" t="s">
        <v>4728</v>
      </c>
      <c r="D894" t="s">
        <v>18992</v>
      </c>
      <c r="E894" t="s">
        <v>19933</v>
      </c>
      <c r="F894" t="s">
        <v>32606</v>
      </c>
      <c r="G894" t="s">
        <v>32614</v>
      </c>
      <c r="H894" t="s">
        <v>32623</v>
      </c>
      <c r="I894" t="s">
        <v>17648</v>
      </c>
      <c r="J894" t="s">
        <v>32813</v>
      </c>
      <c r="K894" t="s">
        <v>42636</v>
      </c>
      <c r="M894" t="s">
        <v>43328</v>
      </c>
      <c r="N894" t="s">
        <v>47304</v>
      </c>
      <c r="O894" t="s">
        <v>47305</v>
      </c>
      <c r="P894">
        <v>0</v>
      </c>
      <c r="Q894">
        <v>0</v>
      </c>
      <c r="R894" t="s">
        <v>47307</v>
      </c>
      <c r="S894" t="s">
        <v>47416</v>
      </c>
      <c r="T894" t="s">
        <v>48996</v>
      </c>
      <c r="U894" t="s">
        <v>50370</v>
      </c>
      <c r="W894" t="s">
        <v>43328</v>
      </c>
      <c r="X894" t="s">
        <v>47306</v>
      </c>
    </row>
    <row r="895" spans="1:24">
      <c r="A895">
        <f>HYPERLINK("https://www.philgeps.gov.ph/GEPSNONPILOT/Tender/SplashBidNoticeAbstractUI.aspx?menuIndex=3&amp;refID=7198525&amp;Result=3","7198525")</f>
        <v>0</v>
      </c>
      <c r="B895" t="s">
        <v>464</v>
      </c>
      <c r="C895" t="s">
        <v>4729</v>
      </c>
      <c r="D895" t="s">
        <v>19044</v>
      </c>
      <c r="E895" t="s">
        <v>19934</v>
      </c>
      <c r="F895" t="s">
        <v>32606</v>
      </c>
      <c r="G895" t="s">
        <v>32613</v>
      </c>
      <c r="H895" t="s">
        <v>14201</v>
      </c>
      <c r="I895" t="s">
        <v>4114</v>
      </c>
      <c r="J895" t="s">
        <v>33448</v>
      </c>
      <c r="K895" t="s">
        <v>42631</v>
      </c>
      <c r="M895" t="s">
        <v>43374</v>
      </c>
      <c r="N895" t="s">
        <v>47304</v>
      </c>
      <c r="O895" t="s">
        <v>47305</v>
      </c>
      <c r="P895">
        <v>0</v>
      </c>
      <c r="Q895">
        <v>0</v>
      </c>
      <c r="R895" t="s">
        <v>47307</v>
      </c>
      <c r="S895" t="s">
        <v>47416</v>
      </c>
      <c r="T895" t="s">
        <v>49129</v>
      </c>
      <c r="U895" t="s">
        <v>50371</v>
      </c>
      <c r="V895" t="s">
        <v>62752</v>
      </c>
      <c r="W895" t="s">
        <v>43374</v>
      </c>
      <c r="X895" t="s">
        <v>47306</v>
      </c>
    </row>
    <row r="896" spans="1:24">
      <c r="A896">
        <f>HYPERLINK("https://www.philgeps.gov.ph/GEPSNONPILOT/Tender/SplashBidNoticeAbstractUI.aspx?menuIndex=3&amp;refID=7198489&amp;Result=3","7198489")</f>
        <v>0</v>
      </c>
      <c r="B896" t="s">
        <v>442</v>
      </c>
      <c r="C896" t="s">
        <v>4730</v>
      </c>
      <c r="E896" t="s">
        <v>19935</v>
      </c>
      <c r="F896" t="s">
        <v>32606</v>
      </c>
      <c r="G896" t="s">
        <v>32619</v>
      </c>
      <c r="H896" t="s">
        <v>14201</v>
      </c>
      <c r="I896" t="s">
        <v>32640</v>
      </c>
      <c r="J896" t="s">
        <v>33449</v>
      </c>
      <c r="K896" t="s">
        <v>42624</v>
      </c>
      <c r="M896" t="s">
        <v>43375</v>
      </c>
      <c r="N896" t="s">
        <v>47304</v>
      </c>
      <c r="O896" t="s">
        <v>47305</v>
      </c>
      <c r="P896">
        <v>0</v>
      </c>
      <c r="Q896">
        <v>0</v>
      </c>
      <c r="R896" t="s">
        <v>47307</v>
      </c>
      <c r="S896" t="s">
        <v>47416</v>
      </c>
      <c r="T896" t="s">
        <v>49092</v>
      </c>
      <c r="U896" t="s">
        <v>50372</v>
      </c>
      <c r="W896" t="s">
        <v>43375</v>
      </c>
      <c r="X896" t="s">
        <v>47306</v>
      </c>
    </row>
    <row r="897" spans="1:24">
      <c r="A897">
        <f>HYPERLINK("https://www.philgeps.gov.ph/GEPSNONPILOT/Tender/SplashBidNoticeAbstractUI.aspx?menuIndex=3&amp;refID=7198521&amp;Result=3","7198521")</f>
        <v>0</v>
      </c>
      <c r="B897" t="s">
        <v>391</v>
      </c>
      <c r="C897" t="s">
        <v>4731</v>
      </c>
      <c r="D897" t="s">
        <v>18993</v>
      </c>
      <c r="E897" t="s">
        <v>19312</v>
      </c>
      <c r="F897" t="s">
        <v>32606</v>
      </c>
      <c r="G897" t="s">
        <v>32614</v>
      </c>
      <c r="H897" t="s">
        <v>14201</v>
      </c>
      <c r="I897" t="s">
        <v>32633</v>
      </c>
      <c r="J897" t="s">
        <v>32794</v>
      </c>
      <c r="K897" t="s">
        <v>42631</v>
      </c>
      <c r="M897" t="s">
        <v>43294</v>
      </c>
      <c r="N897" t="s">
        <v>47304</v>
      </c>
      <c r="O897" t="s">
        <v>47305</v>
      </c>
      <c r="P897">
        <v>0</v>
      </c>
      <c r="Q897">
        <v>0</v>
      </c>
      <c r="R897" t="s">
        <v>47307</v>
      </c>
      <c r="S897" t="s">
        <v>47416</v>
      </c>
      <c r="T897" t="s">
        <v>49130</v>
      </c>
      <c r="U897" t="s">
        <v>50277</v>
      </c>
      <c r="W897" t="s">
        <v>43294</v>
      </c>
      <c r="X897" t="s">
        <v>47306</v>
      </c>
    </row>
    <row r="898" spans="1:24">
      <c r="A898">
        <f>HYPERLINK("https://www.philgeps.gov.ph/GEPSNONPILOT/Tender/SplashBidNoticeAbstractUI.aspx?menuIndex=3&amp;refID=7198484&amp;Result=3","7198484")</f>
        <v>0</v>
      </c>
      <c r="B898" t="s">
        <v>432</v>
      </c>
      <c r="C898" t="s">
        <v>4732</v>
      </c>
      <c r="D898" t="s">
        <v>19032</v>
      </c>
      <c r="E898" t="s">
        <v>19936</v>
      </c>
      <c r="F898" t="s">
        <v>32606</v>
      </c>
      <c r="G898" t="s">
        <v>32619</v>
      </c>
      <c r="H898" t="s">
        <v>14201</v>
      </c>
      <c r="I898" t="s">
        <v>32638</v>
      </c>
      <c r="J898" t="s">
        <v>33288</v>
      </c>
      <c r="K898" t="s">
        <v>42624</v>
      </c>
      <c r="M898" t="s">
        <v>43338</v>
      </c>
      <c r="N898" t="s">
        <v>47304</v>
      </c>
      <c r="O898" t="s">
        <v>47305</v>
      </c>
      <c r="P898">
        <v>0</v>
      </c>
      <c r="Q898">
        <v>0</v>
      </c>
      <c r="R898" t="s">
        <v>47307</v>
      </c>
      <c r="S898" t="s">
        <v>47416</v>
      </c>
      <c r="T898" t="s">
        <v>49014</v>
      </c>
      <c r="U898" t="s">
        <v>50373</v>
      </c>
      <c r="W898" t="s">
        <v>43338</v>
      </c>
      <c r="X898" t="s">
        <v>47306</v>
      </c>
    </row>
    <row r="899" spans="1:24">
      <c r="A899">
        <f>HYPERLINK("https://www.philgeps.gov.ph/GEPSNONPILOT/Tender/SplashBidNoticeAbstractUI.aspx?menuIndex=3&amp;refID=7198519&amp;Result=3","7198519")</f>
        <v>0</v>
      </c>
      <c r="B899" t="s">
        <v>465</v>
      </c>
      <c r="C899" t="s">
        <v>4733</v>
      </c>
      <c r="D899" t="s">
        <v>18994</v>
      </c>
      <c r="E899" t="s">
        <v>19937</v>
      </c>
      <c r="F899" t="s">
        <v>32606</v>
      </c>
      <c r="G899" t="s">
        <v>32613</v>
      </c>
      <c r="H899" t="s">
        <v>14201</v>
      </c>
      <c r="I899" t="s">
        <v>6931</v>
      </c>
      <c r="J899" t="s">
        <v>33380</v>
      </c>
      <c r="K899" t="s">
        <v>42630</v>
      </c>
      <c r="M899" t="s">
        <v>43376</v>
      </c>
      <c r="N899" t="s">
        <v>47304</v>
      </c>
      <c r="O899" t="s">
        <v>47305</v>
      </c>
      <c r="P899">
        <v>0</v>
      </c>
      <c r="Q899">
        <v>0</v>
      </c>
      <c r="R899" t="s">
        <v>47307</v>
      </c>
      <c r="S899" t="s">
        <v>47416</v>
      </c>
      <c r="T899" t="s">
        <v>48983</v>
      </c>
      <c r="U899" t="s">
        <v>50374</v>
      </c>
      <c r="W899" t="s">
        <v>43376</v>
      </c>
      <c r="X899" t="s">
        <v>47306</v>
      </c>
    </row>
    <row r="900" spans="1:24">
      <c r="A900">
        <f>HYPERLINK("https://www.philgeps.gov.ph/GEPSNONPILOT/Tender/SplashBidNoticeAbstractUI.aspx?menuIndex=3&amp;refID=7198518&amp;Result=3","7198518")</f>
        <v>0</v>
      </c>
      <c r="B900" t="s">
        <v>466</v>
      </c>
      <c r="C900" t="s">
        <v>4734</v>
      </c>
      <c r="D900" t="s">
        <v>19022</v>
      </c>
      <c r="E900" t="s">
        <v>19938</v>
      </c>
      <c r="F900" t="s">
        <v>32606</v>
      </c>
      <c r="G900" t="s">
        <v>32614</v>
      </c>
      <c r="H900" t="s">
        <v>14201</v>
      </c>
      <c r="I900" t="s">
        <v>4112</v>
      </c>
      <c r="J900" t="s">
        <v>33450</v>
      </c>
      <c r="K900" t="s">
        <v>42623</v>
      </c>
      <c r="M900" t="s">
        <v>43377</v>
      </c>
      <c r="N900" t="s">
        <v>47304</v>
      </c>
      <c r="O900" t="s">
        <v>47305</v>
      </c>
      <c r="P900">
        <v>0</v>
      </c>
      <c r="Q900">
        <v>0</v>
      </c>
      <c r="R900" t="s">
        <v>47307</v>
      </c>
      <c r="S900" t="s">
        <v>47416</v>
      </c>
      <c r="T900" t="s">
        <v>49011</v>
      </c>
      <c r="U900" t="s">
        <v>50375</v>
      </c>
      <c r="W900" t="s">
        <v>43377</v>
      </c>
      <c r="X900" t="s">
        <v>47306</v>
      </c>
    </row>
    <row r="901" spans="1:24">
      <c r="A901">
        <f>HYPERLINK("https://www.philgeps.gov.ph/GEPSNONPILOT/Tender/SplashBidNoticeAbstractUI.aspx?menuIndex=3&amp;refID=7198493&amp;Result=3","7198493")</f>
        <v>0</v>
      </c>
      <c r="B901" t="s">
        <v>467</v>
      </c>
      <c r="C901" t="s">
        <v>4735</v>
      </c>
      <c r="D901" t="s">
        <v>19004</v>
      </c>
      <c r="E901" t="s">
        <v>19939</v>
      </c>
      <c r="F901" t="s">
        <v>32606</v>
      </c>
      <c r="G901" t="s">
        <v>32617</v>
      </c>
      <c r="H901" t="s">
        <v>14201</v>
      </c>
      <c r="I901" t="s">
        <v>6931</v>
      </c>
      <c r="J901" t="s">
        <v>33451</v>
      </c>
      <c r="K901" t="s">
        <v>42624</v>
      </c>
      <c r="M901" t="s">
        <v>43378</v>
      </c>
      <c r="N901" t="s">
        <v>47304</v>
      </c>
      <c r="O901" t="s">
        <v>47305</v>
      </c>
      <c r="P901">
        <v>0</v>
      </c>
      <c r="Q901">
        <v>0</v>
      </c>
      <c r="R901" t="s">
        <v>47307</v>
      </c>
      <c r="S901" t="s">
        <v>47416</v>
      </c>
      <c r="T901" t="s">
        <v>48986</v>
      </c>
      <c r="U901" t="s">
        <v>50376</v>
      </c>
      <c r="W901" t="s">
        <v>43378</v>
      </c>
      <c r="X901" t="s">
        <v>47306</v>
      </c>
    </row>
    <row r="902" spans="1:24">
      <c r="A902">
        <f>HYPERLINK("https://www.philgeps.gov.ph/GEPSNONPILOT/Tender/SplashBidNoticeAbstractUI.aspx?menuIndex=3&amp;refID=7198515&amp;Result=3","7198515")</f>
        <v>0</v>
      </c>
      <c r="B902" t="s">
        <v>468</v>
      </c>
      <c r="C902" t="s">
        <v>4736</v>
      </c>
      <c r="D902" t="s">
        <v>18989</v>
      </c>
      <c r="E902" t="s">
        <v>19940</v>
      </c>
      <c r="F902" t="s">
        <v>32606</v>
      </c>
      <c r="G902" t="s">
        <v>32614</v>
      </c>
      <c r="H902" t="s">
        <v>14201</v>
      </c>
      <c r="I902" t="s">
        <v>32664</v>
      </c>
      <c r="J902" t="s">
        <v>32813</v>
      </c>
      <c r="K902" t="s">
        <v>42629</v>
      </c>
      <c r="M902" t="s">
        <v>43379</v>
      </c>
      <c r="N902" t="s">
        <v>47304</v>
      </c>
      <c r="O902" t="s">
        <v>47305</v>
      </c>
      <c r="P902">
        <v>0</v>
      </c>
      <c r="Q902">
        <v>0</v>
      </c>
      <c r="R902" t="s">
        <v>47307</v>
      </c>
      <c r="S902" t="s">
        <v>47416</v>
      </c>
      <c r="T902" t="s">
        <v>49131</v>
      </c>
      <c r="U902" t="s">
        <v>50377</v>
      </c>
      <c r="W902" t="s">
        <v>43379</v>
      </c>
      <c r="X902" t="s">
        <v>47306</v>
      </c>
    </row>
    <row r="903" spans="1:24">
      <c r="A903">
        <f>HYPERLINK("https://www.philgeps.gov.ph/GEPSNONPILOT/Tender/SplashBidNoticeAbstractUI.aspx?menuIndex=3&amp;refID=7198514&amp;Result=3","7198514")</f>
        <v>0</v>
      </c>
      <c r="B903" t="s">
        <v>451</v>
      </c>
      <c r="C903" t="s">
        <v>4737</v>
      </c>
      <c r="D903" t="s">
        <v>19008</v>
      </c>
      <c r="E903" t="s">
        <v>19941</v>
      </c>
      <c r="F903" t="s">
        <v>32606</v>
      </c>
      <c r="G903" t="s">
        <v>32613</v>
      </c>
      <c r="H903" t="s">
        <v>14201</v>
      </c>
      <c r="I903" t="s">
        <v>6931</v>
      </c>
      <c r="J903" t="s">
        <v>33452</v>
      </c>
      <c r="K903" t="s">
        <v>42623</v>
      </c>
      <c r="M903" t="s">
        <v>43360</v>
      </c>
      <c r="N903" t="s">
        <v>47304</v>
      </c>
      <c r="O903" t="s">
        <v>47305</v>
      </c>
      <c r="P903">
        <v>0</v>
      </c>
      <c r="Q903">
        <v>0</v>
      </c>
      <c r="R903" t="s">
        <v>47307</v>
      </c>
      <c r="S903" t="s">
        <v>47416</v>
      </c>
      <c r="T903" t="s">
        <v>49028</v>
      </c>
      <c r="U903" t="s">
        <v>50378</v>
      </c>
      <c r="V903" t="s">
        <v>62750</v>
      </c>
      <c r="W903" t="s">
        <v>43360</v>
      </c>
      <c r="X903" t="s">
        <v>47306</v>
      </c>
    </row>
    <row r="904" spans="1:24">
      <c r="A904">
        <f>HYPERLINK("https://www.philgeps.gov.ph/GEPSNONPILOT/Tender/SplashBidNoticeAbstractUI.aspx?menuIndex=3&amp;refID=7198509&amp;Result=3","7198509")</f>
        <v>0</v>
      </c>
      <c r="B904" t="s">
        <v>469</v>
      </c>
      <c r="C904" t="s">
        <v>4738</v>
      </c>
      <c r="D904" t="s">
        <v>19022</v>
      </c>
      <c r="E904" t="s">
        <v>19942</v>
      </c>
      <c r="F904" t="s">
        <v>32606</v>
      </c>
      <c r="G904" t="s">
        <v>32614</v>
      </c>
      <c r="H904" t="s">
        <v>14201</v>
      </c>
      <c r="I904" t="s">
        <v>7529</v>
      </c>
      <c r="J904" t="s">
        <v>33453</v>
      </c>
      <c r="K904" t="s">
        <v>42632</v>
      </c>
      <c r="M904" t="s">
        <v>43380</v>
      </c>
      <c r="N904" t="s">
        <v>47304</v>
      </c>
      <c r="O904" t="s">
        <v>47305</v>
      </c>
      <c r="P904">
        <v>0</v>
      </c>
      <c r="Q904">
        <v>0</v>
      </c>
      <c r="R904" t="s">
        <v>47307</v>
      </c>
      <c r="S904" t="s">
        <v>47416</v>
      </c>
      <c r="T904" t="s">
        <v>48996</v>
      </c>
      <c r="U904" t="s">
        <v>50379</v>
      </c>
      <c r="W904" t="s">
        <v>43380</v>
      </c>
      <c r="X904" t="s">
        <v>47306</v>
      </c>
    </row>
    <row r="905" spans="1:24">
      <c r="A905">
        <f>HYPERLINK("https://www.philgeps.gov.ph/GEPSNONPILOT/Tender/SplashBidNoticeAbstractUI.aspx?menuIndex=3&amp;refID=7198524&amp;Result=3","7198524")</f>
        <v>0</v>
      </c>
      <c r="B905" t="s">
        <v>470</v>
      </c>
      <c r="C905" t="s">
        <v>4739</v>
      </c>
      <c r="D905" t="s">
        <v>19039</v>
      </c>
      <c r="E905" t="s">
        <v>19943</v>
      </c>
      <c r="F905" t="s">
        <v>32606</v>
      </c>
      <c r="G905" t="s">
        <v>32613</v>
      </c>
      <c r="H905" t="s">
        <v>14201</v>
      </c>
      <c r="I905" t="s">
        <v>6931</v>
      </c>
      <c r="J905" t="s">
        <v>33363</v>
      </c>
      <c r="K905" t="s">
        <v>42631</v>
      </c>
      <c r="M905" t="s">
        <v>43381</v>
      </c>
      <c r="N905" t="s">
        <v>47304</v>
      </c>
      <c r="O905" t="s">
        <v>47305</v>
      </c>
      <c r="P905">
        <v>0</v>
      </c>
      <c r="Q905">
        <v>0</v>
      </c>
      <c r="R905" t="s">
        <v>47307</v>
      </c>
      <c r="S905" t="s">
        <v>47416</v>
      </c>
      <c r="T905" t="s">
        <v>49028</v>
      </c>
      <c r="U905" t="s">
        <v>50380</v>
      </c>
      <c r="V905" t="s">
        <v>62753</v>
      </c>
      <c r="W905" t="s">
        <v>43381</v>
      </c>
      <c r="X905" t="s">
        <v>47306</v>
      </c>
    </row>
    <row r="906" spans="1:24">
      <c r="A906">
        <f>HYPERLINK("https://www.philgeps.gov.ph/GEPSNONPILOT/Tender/SplashBidNoticeAbstractUI.aspx?menuIndex=3&amp;refID=7198508&amp;Result=3","7198508")</f>
        <v>0</v>
      </c>
      <c r="B906" t="s">
        <v>360</v>
      </c>
      <c r="C906" t="s">
        <v>4740</v>
      </c>
      <c r="D906" t="s">
        <v>19040</v>
      </c>
      <c r="E906" t="s">
        <v>19944</v>
      </c>
      <c r="F906" t="s">
        <v>32606</v>
      </c>
      <c r="G906" t="s">
        <v>32613</v>
      </c>
      <c r="H906" t="s">
        <v>14201</v>
      </c>
      <c r="I906" t="s">
        <v>32640</v>
      </c>
      <c r="J906" t="s">
        <v>33454</v>
      </c>
      <c r="K906" t="s">
        <v>42631</v>
      </c>
      <c r="M906" t="s">
        <v>43332</v>
      </c>
      <c r="N906" t="s">
        <v>47304</v>
      </c>
      <c r="O906" t="s">
        <v>47305</v>
      </c>
      <c r="P906">
        <v>0</v>
      </c>
      <c r="Q906">
        <v>0</v>
      </c>
      <c r="R906" t="s">
        <v>47307</v>
      </c>
      <c r="S906" t="s">
        <v>47416</v>
      </c>
      <c r="T906" t="s">
        <v>48992</v>
      </c>
      <c r="U906" t="s">
        <v>50381</v>
      </c>
      <c r="W906" t="s">
        <v>43332</v>
      </c>
      <c r="X906" t="s">
        <v>47306</v>
      </c>
    </row>
    <row r="907" spans="1:24">
      <c r="A907">
        <f>HYPERLINK("https://www.philgeps.gov.ph/GEPSNONPILOT/Tender/SplashBidNoticeAbstractUI.aspx?menuIndex=3&amp;refID=7198316&amp;Result=3","7198316")</f>
        <v>0</v>
      </c>
      <c r="B907" t="s">
        <v>99</v>
      </c>
      <c r="C907" t="s">
        <v>4741</v>
      </c>
      <c r="D907" t="s">
        <v>19027</v>
      </c>
      <c r="E907" t="s">
        <v>19945</v>
      </c>
      <c r="F907" t="s">
        <v>32606</v>
      </c>
      <c r="G907" t="s">
        <v>32613</v>
      </c>
      <c r="H907" t="s">
        <v>14201</v>
      </c>
      <c r="I907" t="s">
        <v>7064</v>
      </c>
      <c r="J907" t="s">
        <v>33231</v>
      </c>
      <c r="K907" t="s">
        <v>42636</v>
      </c>
      <c r="L907" t="s">
        <v>99</v>
      </c>
      <c r="M907" t="s">
        <v>42997</v>
      </c>
      <c r="N907" t="s">
        <v>47304</v>
      </c>
      <c r="O907" t="s">
        <v>47305</v>
      </c>
      <c r="P907">
        <v>0</v>
      </c>
      <c r="Q907">
        <v>2</v>
      </c>
      <c r="R907" t="s">
        <v>47307</v>
      </c>
      <c r="S907" t="s">
        <v>47416</v>
      </c>
      <c r="T907" t="s">
        <v>48985</v>
      </c>
      <c r="U907" t="s">
        <v>50382</v>
      </c>
      <c r="V907" t="s">
        <v>62669</v>
      </c>
      <c r="W907" t="s">
        <v>42997</v>
      </c>
      <c r="X907" t="s">
        <v>47306</v>
      </c>
    </row>
    <row r="908" spans="1:24">
      <c r="A908">
        <f>HYPERLINK("https://www.philgeps.gov.ph/GEPSNONPILOT/Tender/SplashBidNoticeAbstractUI.aspx?menuIndex=3&amp;refID=7198510&amp;Result=3","7198510")</f>
        <v>0</v>
      </c>
      <c r="B908" t="s">
        <v>471</v>
      </c>
      <c r="C908" t="s">
        <v>4742</v>
      </c>
      <c r="D908" t="s">
        <v>19028</v>
      </c>
      <c r="E908" t="s">
        <v>19946</v>
      </c>
      <c r="F908" t="s">
        <v>32606</v>
      </c>
      <c r="G908" t="s">
        <v>32614</v>
      </c>
      <c r="H908" t="s">
        <v>14201</v>
      </c>
      <c r="I908" t="s">
        <v>8682</v>
      </c>
      <c r="J908" t="s">
        <v>33455</v>
      </c>
      <c r="K908" t="s">
        <v>42631</v>
      </c>
      <c r="M908" t="s">
        <v>43382</v>
      </c>
      <c r="N908" t="s">
        <v>47304</v>
      </c>
      <c r="O908" t="s">
        <v>47305</v>
      </c>
      <c r="P908">
        <v>0</v>
      </c>
      <c r="Q908">
        <v>0</v>
      </c>
      <c r="R908" t="s">
        <v>47307</v>
      </c>
      <c r="S908" t="s">
        <v>47416</v>
      </c>
      <c r="T908" t="s">
        <v>49087</v>
      </c>
      <c r="U908" t="s">
        <v>50383</v>
      </c>
      <c r="W908" t="s">
        <v>43382</v>
      </c>
      <c r="X908" t="s">
        <v>47306</v>
      </c>
    </row>
    <row r="909" spans="1:24">
      <c r="A909">
        <f>HYPERLINK("https://www.philgeps.gov.ph/GEPSNONPILOT/Tender/SplashBidNoticeAbstractUI.aspx?menuIndex=3&amp;refID=7198552&amp;Result=3","7198552")</f>
        <v>0</v>
      </c>
      <c r="B909" t="s">
        <v>185</v>
      </c>
      <c r="C909" t="s">
        <v>4743</v>
      </c>
      <c r="D909" t="s">
        <v>19025</v>
      </c>
      <c r="E909" t="s">
        <v>19947</v>
      </c>
      <c r="F909" t="s">
        <v>32606</v>
      </c>
      <c r="G909" t="s">
        <v>32613</v>
      </c>
      <c r="H909" t="s">
        <v>14201</v>
      </c>
      <c r="I909" t="s">
        <v>32629</v>
      </c>
      <c r="J909" t="s">
        <v>33456</v>
      </c>
      <c r="K909" t="s">
        <v>42622</v>
      </c>
      <c r="M909" t="s">
        <v>43350</v>
      </c>
      <c r="N909" t="s">
        <v>47304</v>
      </c>
      <c r="O909" t="s">
        <v>47305</v>
      </c>
      <c r="P909">
        <v>0</v>
      </c>
      <c r="Q909">
        <v>0</v>
      </c>
      <c r="R909" t="s">
        <v>47307</v>
      </c>
      <c r="S909" t="s">
        <v>47416</v>
      </c>
      <c r="T909" t="s">
        <v>49121</v>
      </c>
      <c r="U909" t="s">
        <v>50321</v>
      </c>
      <c r="V909" t="s">
        <v>62747</v>
      </c>
      <c r="W909" t="s">
        <v>64433</v>
      </c>
      <c r="X909" t="s">
        <v>47306</v>
      </c>
    </row>
    <row r="910" spans="1:24">
      <c r="A910">
        <f>HYPERLINK("https://www.philgeps.gov.ph/GEPSNONPILOT/Tender/SplashBidNoticeAbstractUI.aspx?menuIndex=3&amp;refID=7198506&amp;Result=3","7198506")</f>
        <v>0</v>
      </c>
      <c r="B910" t="s">
        <v>185</v>
      </c>
      <c r="C910" t="s">
        <v>4744</v>
      </c>
      <c r="D910" t="s">
        <v>19025</v>
      </c>
      <c r="E910" t="s">
        <v>19948</v>
      </c>
      <c r="F910" t="s">
        <v>32606</v>
      </c>
      <c r="G910" t="s">
        <v>32613</v>
      </c>
      <c r="H910" t="s">
        <v>14201</v>
      </c>
      <c r="I910" t="s">
        <v>32629</v>
      </c>
      <c r="J910" t="s">
        <v>33457</v>
      </c>
      <c r="K910" t="s">
        <v>42622</v>
      </c>
      <c r="M910" t="s">
        <v>43350</v>
      </c>
      <c r="N910" t="s">
        <v>47304</v>
      </c>
      <c r="O910" t="s">
        <v>47305</v>
      </c>
      <c r="P910">
        <v>0</v>
      </c>
      <c r="Q910">
        <v>0</v>
      </c>
      <c r="R910" t="s">
        <v>47307</v>
      </c>
      <c r="S910" t="s">
        <v>47416</v>
      </c>
      <c r="T910" t="s">
        <v>49121</v>
      </c>
      <c r="U910" t="s">
        <v>50321</v>
      </c>
      <c r="V910" t="s">
        <v>62747</v>
      </c>
      <c r="W910" t="s">
        <v>64433</v>
      </c>
      <c r="X910" t="s">
        <v>47306</v>
      </c>
    </row>
    <row r="911" spans="1:24">
      <c r="A911">
        <f>HYPERLINK("https://www.philgeps.gov.ph/GEPSNONPILOT/Tender/SplashBidNoticeAbstractUI.aspx?menuIndex=3&amp;refID=7198549&amp;Result=3","7198549")</f>
        <v>0</v>
      </c>
      <c r="B911" t="s">
        <v>472</v>
      </c>
      <c r="C911" t="s">
        <v>4745</v>
      </c>
      <c r="D911" t="s">
        <v>19010</v>
      </c>
      <c r="E911" t="s">
        <v>19949</v>
      </c>
      <c r="F911" t="s">
        <v>32606</v>
      </c>
      <c r="G911" t="s">
        <v>32619</v>
      </c>
      <c r="H911" t="s">
        <v>14201</v>
      </c>
      <c r="I911" t="s">
        <v>6931</v>
      </c>
      <c r="J911" t="s">
        <v>33458</v>
      </c>
      <c r="K911" t="s">
        <v>42630</v>
      </c>
      <c r="M911" t="s">
        <v>43383</v>
      </c>
      <c r="N911" t="s">
        <v>47304</v>
      </c>
      <c r="O911" t="s">
        <v>47305</v>
      </c>
      <c r="P911">
        <v>0</v>
      </c>
      <c r="Q911">
        <v>0</v>
      </c>
      <c r="R911" t="s">
        <v>47307</v>
      </c>
      <c r="S911" t="s">
        <v>47416</v>
      </c>
      <c r="T911" t="s">
        <v>49023</v>
      </c>
      <c r="U911" t="s">
        <v>50384</v>
      </c>
      <c r="V911" t="s">
        <v>62754</v>
      </c>
      <c r="W911" t="s">
        <v>43383</v>
      </c>
      <c r="X911" t="s">
        <v>47306</v>
      </c>
    </row>
    <row r="912" spans="1:24">
      <c r="A912">
        <f>HYPERLINK("https://www.philgeps.gov.ph/GEPSNONPILOT/Tender/SplashBidNoticeAbstractUI.aspx?menuIndex=3&amp;refID=7198546&amp;Result=3","7198546")</f>
        <v>0</v>
      </c>
      <c r="B912" t="s">
        <v>392</v>
      </c>
      <c r="C912" t="s">
        <v>4746</v>
      </c>
      <c r="D912" t="s">
        <v>18993</v>
      </c>
      <c r="E912" t="s">
        <v>19950</v>
      </c>
      <c r="F912" t="s">
        <v>32606</v>
      </c>
      <c r="G912" t="s">
        <v>32613</v>
      </c>
      <c r="H912" t="s">
        <v>14201</v>
      </c>
      <c r="I912" t="s">
        <v>7064</v>
      </c>
      <c r="J912" t="s">
        <v>32893</v>
      </c>
      <c r="K912" t="s">
        <v>42631</v>
      </c>
      <c r="M912" t="s">
        <v>43295</v>
      </c>
      <c r="N912" t="s">
        <v>47304</v>
      </c>
      <c r="O912" t="s">
        <v>47305</v>
      </c>
      <c r="P912">
        <v>0</v>
      </c>
      <c r="Q912">
        <v>3</v>
      </c>
      <c r="R912" t="s">
        <v>47307</v>
      </c>
      <c r="S912" t="s">
        <v>47416</v>
      </c>
      <c r="T912" t="s">
        <v>49005</v>
      </c>
      <c r="U912" t="s">
        <v>50385</v>
      </c>
      <c r="W912" t="s">
        <v>43295</v>
      </c>
      <c r="X912" t="s">
        <v>47306</v>
      </c>
    </row>
    <row r="913" spans="1:24">
      <c r="A913">
        <f>HYPERLINK("https://www.philgeps.gov.ph/GEPSNONPILOT/Tender/SplashBidNoticeAbstractUI.aspx?menuIndex=3&amp;refID=7198541&amp;Result=3","7198541")</f>
        <v>0</v>
      </c>
      <c r="B913" t="s">
        <v>473</v>
      </c>
      <c r="C913" t="s">
        <v>4747</v>
      </c>
      <c r="D913" t="s">
        <v>19051</v>
      </c>
      <c r="E913" t="s">
        <v>19951</v>
      </c>
      <c r="F913" t="s">
        <v>32606</v>
      </c>
      <c r="G913" t="s">
        <v>32614</v>
      </c>
      <c r="H913" t="s">
        <v>14201</v>
      </c>
      <c r="I913" t="s">
        <v>4678</v>
      </c>
      <c r="J913" t="s">
        <v>32981</v>
      </c>
      <c r="K913" t="s">
        <v>42631</v>
      </c>
      <c r="M913" t="s">
        <v>43384</v>
      </c>
      <c r="N913" t="s">
        <v>47304</v>
      </c>
      <c r="O913" t="s">
        <v>47305</v>
      </c>
      <c r="P913">
        <v>0</v>
      </c>
      <c r="Q913">
        <v>0</v>
      </c>
      <c r="R913" t="s">
        <v>47307</v>
      </c>
      <c r="S913" t="s">
        <v>47416</v>
      </c>
      <c r="T913" t="s">
        <v>48972</v>
      </c>
      <c r="U913" t="s">
        <v>50386</v>
      </c>
      <c r="V913" t="s">
        <v>62755</v>
      </c>
      <c r="W913" t="s">
        <v>43384</v>
      </c>
      <c r="X913" t="s">
        <v>47306</v>
      </c>
    </row>
    <row r="914" spans="1:24">
      <c r="A914">
        <f>HYPERLINK("https://www.philgeps.gov.ph/GEPSNONPILOT/Tender/SplashBidNoticeAbstractUI.aspx?menuIndex=3&amp;refID=7198523&amp;Result=3","7198523")</f>
        <v>0</v>
      </c>
      <c r="B914" t="s">
        <v>387</v>
      </c>
      <c r="C914" t="s">
        <v>4748</v>
      </c>
      <c r="D914" t="s">
        <v>18988</v>
      </c>
      <c r="E914" t="s">
        <v>19952</v>
      </c>
      <c r="F914" t="s">
        <v>32606</v>
      </c>
      <c r="G914" t="s">
        <v>32613</v>
      </c>
      <c r="H914" t="s">
        <v>14201</v>
      </c>
      <c r="I914" t="s">
        <v>32647</v>
      </c>
      <c r="J914" t="s">
        <v>33459</v>
      </c>
      <c r="K914" t="s">
        <v>42627</v>
      </c>
      <c r="M914" t="s">
        <v>43290</v>
      </c>
      <c r="N914" t="s">
        <v>47304</v>
      </c>
      <c r="O914" t="s">
        <v>47305</v>
      </c>
      <c r="P914">
        <v>0</v>
      </c>
      <c r="Q914">
        <v>0</v>
      </c>
      <c r="R914" t="s">
        <v>47307</v>
      </c>
      <c r="S914" t="s">
        <v>47416</v>
      </c>
      <c r="T914" t="s">
        <v>49103</v>
      </c>
      <c r="U914" t="s">
        <v>50231</v>
      </c>
      <c r="W914" t="s">
        <v>64431</v>
      </c>
      <c r="X914" t="s">
        <v>47306</v>
      </c>
    </row>
    <row r="915" spans="1:24">
      <c r="A915">
        <f>HYPERLINK("https://www.philgeps.gov.ph/GEPSNONPILOT/Tender/SplashBidNoticeAbstractUI.aspx?menuIndex=3&amp;refID=7198479&amp;Result=3","7198479")</f>
        <v>0</v>
      </c>
      <c r="B915" t="s">
        <v>474</v>
      </c>
      <c r="C915" t="s">
        <v>4749</v>
      </c>
      <c r="D915" t="s">
        <v>19006</v>
      </c>
      <c r="E915" t="s">
        <v>19953</v>
      </c>
      <c r="F915" t="s">
        <v>32606</v>
      </c>
      <c r="G915" t="s">
        <v>32613</v>
      </c>
      <c r="H915" t="s">
        <v>14201</v>
      </c>
      <c r="I915" t="s">
        <v>32631</v>
      </c>
      <c r="J915" t="s">
        <v>33460</v>
      </c>
      <c r="K915" t="s">
        <v>42636</v>
      </c>
      <c r="M915" t="s">
        <v>43385</v>
      </c>
      <c r="N915" t="s">
        <v>47304</v>
      </c>
      <c r="O915" t="s">
        <v>47305</v>
      </c>
      <c r="P915">
        <v>0</v>
      </c>
      <c r="Q915">
        <v>0</v>
      </c>
      <c r="R915" t="s">
        <v>47307</v>
      </c>
      <c r="S915" t="s">
        <v>47416</v>
      </c>
      <c r="T915" t="s">
        <v>48996</v>
      </c>
      <c r="U915" t="s">
        <v>49892</v>
      </c>
      <c r="V915" t="s">
        <v>62756</v>
      </c>
      <c r="W915" t="s">
        <v>43385</v>
      </c>
      <c r="X915" t="s">
        <v>47306</v>
      </c>
    </row>
    <row r="916" spans="1:24">
      <c r="A916">
        <f>HYPERLINK("https://www.philgeps.gov.ph/GEPSNONPILOT/Tender/SplashBidNoticeAbstractUI.aspx?menuIndex=3&amp;refID=7198538&amp;Result=3","7198538")</f>
        <v>0</v>
      </c>
      <c r="B916" t="s">
        <v>475</v>
      </c>
      <c r="C916" t="s">
        <v>4750</v>
      </c>
      <c r="D916" t="s">
        <v>19010</v>
      </c>
      <c r="E916" t="s">
        <v>19954</v>
      </c>
      <c r="F916" t="s">
        <v>32606</v>
      </c>
      <c r="G916" t="s">
        <v>32619</v>
      </c>
      <c r="H916" t="s">
        <v>14201</v>
      </c>
      <c r="I916" t="s">
        <v>4112</v>
      </c>
      <c r="J916" t="s">
        <v>33461</v>
      </c>
      <c r="K916" t="s">
        <v>42630</v>
      </c>
      <c r="M916" t="s">
        <v>43386</v>
      </c>
      <c r="N916" t="s">
        <v>47304</v>
      </c>
      <c r="O916" t="s">
        <v>47305</v>
      </c>
      <c r="P916">
        <v>0</v>
      </c>
      <c r="Q916">
        <v>0</v>
      </c>
      <c r="R916" t="s">
        <v>47307</v>
      </c>
      <c r="S916" t="s">
        <v>47416</v>
      </c>
      <c r="T916" t="s">
        <v>49023</v>
      </c>
      <c r="U916" t="s">
        <v>50387</v>
      </c>
      <c r="V916" t="s">
        <v>62757</v>
      </c>
      <c r="W916" t="s">
        <v>43386</v>
      </c>
      <c r="X916" t="s">
        <v>47306</v>
      </c>
    </row>
    <row r="917" spans="1:24">
      <c r="A917">
        <f>HYPERLINK("https://www.philgeps.gov.ph/GEPSNONPILOT/Tender/SplashBidNoticeAbstractUI.aspx?menuIndex=3&amp;refID=7198542&amp;Result=3","7198542")</f>
        <v>0</v>
      </c>
      <c r="B917" t="s">
        <v>476</v>
      </c>
      <c r="C917" t="s">
        <v>4751</v>
      </c>
      <c r="D917" t="s">
        <v>19019</v>
      </c>
      <c r="E917" t="s">
        <v>19775</v>
      </c>
      <c r="F917" t="s">
        <v>32606</v>
      </c>
      <c r="G917" t="s">
        <v>32619</v>
      </c>
      <c r="H917" t="s">
        <v>14201</v>
      </c>
      <c r="I917" t="s">
        <v>6931</v>
      </c>
      <c r="J917" t="s">
        <v>33462</v>
      </c>
      <c r="K917" t="s">
        <v>42625</v>
      </c>
      <c r="M917" t="s">
        <v>43387</v>
      </c>
      <c r="N917" t="s">
        <v>47304</v>
      </c>
      <c r="O917" t="s">
        <v>47305</v>
      </c>
      <c r="P917">
        <v>0</v>
      </c>
      <c r="Q917">
        <v>0</v>
      </c>
      <c r="R917" t="s">
        <v>47307</v>
      </c>
      <c r="S917" t="s">
        <v>47416</v>
      </c>
      <c r="T917" t="s">
        <v>49014</v>
      </c>
      <c r="U917" t="s">
        <v>50388</v>
      </c>
      <c r="W917" t="s">
        <v>43387</v>
      </c>
      <c r="X917" t="s">
        <v>47306</v>
      </c>
    </row>
    <row r="918" spans="1:24">
      <c r="A918">
        <f>HYPERLINK("https://www.philgeps.gov.ph/GEPSNONPILOT/Tender/SplashBidNoticeAbstractUI.aspx?menuIndex=3&amp;refID=7198544&amp;Result=3","7198544")</f>
        <v>0</v>
      </c>
      <c r="B918" t="s">
        <v>432</v>
      </c>
      <c r="C918" t="s">
        <v>4315</v>
      </c>
      <c r="D918" t="s">
        <v>19032</v>
      </c>
      <c r="E918" t="s">
        <v>19955</v>
      </c>
      <c r="F918" t="s">
        <v>32606</v>
      </c>
      <c r="G918" t="s">
        <v>32619</v>
      </c>
      <c r="H918" t="s">
        <v>14201</v>
      </c>
      <c r="I918" t="s">
        <v>4120</v>
      </c>
      <c r="J918" t="s">
        <v>33463</v>
      </c>
      <c r="K918" t="s">
        <v>42624</v>
      </c>
      <c r="M918" t="s">
        <v>43338</v>
      </c>
      <c r="N918" t="s">
        <v>47304</v>
      </c>
      <c r="O918" t="s">
        <v>47305</v>
      </c>
      <c r="P918">
        <v>0</v>
      </c>
      <c r="Q918">
        <v>0</v>
      </c>
      <c r="R918" t="s">
        <v>47307</v>
      </c>
      <c r="S918" t="s">
        <v>47416</v>
      </c>
      <c r="T918" t="s">
        <v>49014</v>
      </c>
      <c r="U918" t="s">
        <v>50389</v>
      </c>
      <c r="W918" t="s">
        <v>43338</v>
      </c>
      <c r="X918" t="s">
        <v>47306</v>
      </c>
    </row>
    <row r="919" spans="1:24">
      <c r="A919">
        <f>HYPERLINK("https://www.philgeps.gov.ph/GEPSNONPILOT/Tender/SplashBidNoticeAbstractUI.aspx?menuIndex=3&amp;refID=7198540&amp;Result=3","7198540")</f>
        <v>0</v>
      </c>
      <c r="B919" t="s">
        <v>477</v>
      </c>
      <c r="C919" t="s">
        <v>4752</v>
      </c>
      <c r="D919" t="s">
        <v>19019</v>
      </c>
      <c r="E919" t="s">
        <v>19956</v>
      </c>
      <c r="F919" t="s">
        <v>32606</v>
      </c>
      <c r="G919" t="s">
        <v>32613</v>
      </c>
      <c r="H919" t="s">
        <v>32623</v>
      </c>
      <c r="I919" t="s">
        <v>17648</v>
      </c>
      <c r="J919" t="s">
        <v>33464</v>
      </c>
      <c r="K919" t="s">
        <v>42646</v>
      </c>
      <c r="M919" t="s">
        <v>43388</v>
      </c>
      <c r="N919" t="s">
        <v>47304</v>
      </c>
      <c r="O919" t="s">
        <v>47305</v>
      </c>
      <c r="P919">
        <v>0</v>
      </c>
      <c r="Q919">
        <v>0</v>
      </c>
      <c r="R919" t="s">
        <v>47307</v>
      </c>
      <c r="S919" t="s">
        <v>47416</v>
      </c>
      <c r="T919" t="s">
        <v>48995</v>
      </c>
      <c r="U919" t="s">
        <v>50390</v>
      </c>
      <c r="W919" t="s">
        <v>43388</v>
      </c>
      <c r="X919" t="s">
        <v>47306</v>
      </c>
    </row>
    <row r="920" spans="1:24">
      <c r="A920">
        <f>HYPERLINK("https://www.philgeps.gov.ph/GEPSNONPILOT/Tender/SplashBidNoticeAbstractUI.aspx?menuIndex=3&amp;refID=7198533&amp;Result=3","7198533")</f>
        <v>0</v>
      </c>
      <c r="B920" t="s">
        <v>478</v>
      </c>
      <c r="C920" t="s">
        <v>4753</v>
      </c>
      <c r="E920" t="s">
        <v>19957</v>
      </c>
      <c r="F920" t="s">
        <v>32606</v>
      </c>
      <c r="G920" t="s">
        <v>32619</v>
      </c>
      <c r="H920" t="s">
        <v>14201</v>
      </c>
      <c r="I920" t="s">
        <v>6478</v>
      </c>
      <c r="J920" t="s">
        <v>33465</v>
      </c>
      <c r="K920" t="s">
        <v>42624</v>
      </c>
      <c r="M920" t="s">
        <v>43389</v>
      </c>
      <c r="N920" t="s">
        <v>47304</v>
      </c>
      <c r="O920" t="s">
        <v>47305</v>
      </c>
      <c r="P920">
        <v>0</v>
      </c>
      <c r="Q920">
        <v>0</v>
      </c>
      <c r="R920" t="s">
        <v>47307</v>
      </c>
      <c r="S920" t="s">
        <v>47416</v>
      </c>
      <c r="T920" t="s">
        <v>49072</v>
      </c>
      <c r="U920" t="s">
        <v>50391</v>
      </c>
      <c r="W920" t="s">
        <v>43389</v>
      </c>
      <c r="X920" t="s">
        <v>47306</v>
      </c>
    </row>
    <row r="921" spans="1:24">
      <c r="A921">
        <f>HYPERLINK("https://www.philgeps.gov.ph/GEPSNONPILOT/Tender/SplashBidNoticeAbstractUI.aspx?menuIndex=3&amp;refID=7198539&amp;Result=3","7198539")</f>
        <v>0</v>
      </c>
      <c r="B921" t="s">
        <v>360</v>
      </c>
      <c r="C921" t="s">
        <v>4754</v>
      </c>
      <c r="D921" t="s">
        <v>19040</v>
      </c>
      <c r="E921" t="s">
        <v>19958</v>
      </c>
      <c r="F921" t="s">
        <v>32606</v>
      </c>
      <c r="G921" t="s">
        <v>32613</v>
      </c>
      <c r="H921" t="s">
        <v>14201</v>
      </c>
      <c r="I921" t="s">
        <v>32662</v>
      </c>
      <c r="J921" t="s">
        <v>33466</v>
      </c>
      <c r="K921" t="s">
        <v>42623</v>
      </c>
      <c r="M921" t="s">
        <v>43332</v>
      </c>
      <c r="N921" t="s">
        <v>47304</v>
      </c>
      <c r="O921" t="s">
        <v>47305</v>
      </c>
      <c r="P921">
        <v>0</v>
      </c>
      <c r="Q921">
        <v>0</v>
      </c>
      <c r="R921" t="s">
        <v>47307</v>
      </c>
      <c r="S921" t="s">
        <v>47416</v>
      </c>
      <c r="T921" t="s">
        <v>48992</v>
      </c>
      <c r="U921" t="s">
        <v>50392</v>
      </c>
      <c r="W921" t="s">
        <v>43332</v>
      </c>
      <c r="X921" t="s">
        <v>47306</v>
      </c>
    </row>
    <row r="922" spans="1:24">
      <c r="A922">
        <f>HYPERLINK("https://www.philgeps.gov.ph/GEPSNONPILOT/Tender/SplashBidNoticeAbstractUI.aspx?menuIndex=3&amp;refID=7198537&amp;Result=3","7198537")</f>
        <v>0</v>
      </c>
      <c r="B922" t="s">
        <v>380</v>
      </c>
      <c r="C922" t="s">
        <v>4755</v>
      </c>
      <c r="D922" t="s">
        <v>18990</v>
      </c>
      <c r="E922" t="s">
        <v>19959</v>
      </c>
      <c r="F922" t="s">
        <v>32606</v>
      </c>
      <c r="G922" t="s">
        <v>32614</v>
      </c>
      <c r="H922" t="s">
        <v>14201</v>
      </c>
      <c r="I922" t="s">
        <v>32629</v>
      </c>
      <c r="J922" t="s">
        <v>32853</v>
      </c>
      <c r="K922" t="s">
        <v>42631</v>
      </c>
      <c r="M922" t="s">
        <v>43282</v>
      </c>
      <c r="N922" t="s">
        <v>47304</v>
      </c>
      <c r="O922" t="s">
        <v>47305</v>
      </c>
      <c r="P922">
        <v>0</v>
      </c>
      <c r="Q922">
        <v>0</v>
      </c>
      <c r="R922" t="s">
        <v>47307</v>
      </c>
      <c r="S922" t="s">
        <v>47416</v>
      </c>
      <c r="T922" t="s">
        <v>48986</v>
      </c>
      <c r="U922" t="s">
        <v>50393</v>
      </c>
      <c r="W922" t="s">
        <v>43282</v>
      </c>
      <c r="X922" t="s">
        <v>47306</v>
      </c>
    </row>
    <row r="923" spans="1:24">
      <c r="A923">
        <f>HYPERLINK("https://www.philgeps.gov.ph/GEPSNONPILOT/Tender/SplashBidNoticeAbstractUI.aspx?menuIndex=3&amp;refID=7198535&amp;Result=3","7198535")</f>
        <v>0</v>
      </c>
      <c r="B923" t="s">
        <v>479</v>
      </c>
      <c r="C923" t="s">
        <v>4756</v>
      </c>
      <c r="E923" t="s">
        <v>19960</v>
      </c>
      <c r="F923" t="s">
        <v>32606</v>
      </c>
      <c r="G923" t="s">
        <v>32614</v>
      </c>
      <c r="H923" t="s">
        <v>32623</v>
      </c>
      <c r="I923" t="s">
        <v>6931</v>
      </c>
      <c r="J923" t="s">
        <v>33467</v>
      </c>
      <c r="K923" t="s">
        <v>42624</v>
      </c>
      <c r="M923" t="s">
        <v>43390</v>
      </c>
      <c r="N923" t="s">
        <v>47304</v>
      </c>
      <c r="O923" t="s">
        <v>47305</v>
      </c>
      <c r="P923">
        <v>0</v>
      </c>
      <c r="Q923">
        <v>0</v>
      </c>
      <c r="R923" t="s">
        <v>47307</v>
      </c>
      <c r="S923" t="s">
        <v>47416</v>
      </c>
      <c r="T923" t="s">
        <v>48996</v>
      </c>
      <c r="U923" t="s">
        <v>50394</v>
      </c>
      <c r="W923" t="s">
        <v>43390</v>
      </c>
      <c r="X923" t="s">
        <v>47306</v>
      </c>
    </row>
    <row r="924" spans="1:24">
      <c r="A924">
        <f>HYPERLINK("https://www.philgeps.gov.ph/GEPSNONPILOT/Tender/SplashBidNoticeAbstractUI.aspx?menuIndex=3&amp;refID=7198545&amp;Result=3","7198545")</f>
        <v>0</v>
      </c>
      <c r="B924" t="s">
        <v>480</v>
      </c>
      <c r="C924" t="s">
        <v>4757</v>
      </c>
      <c r="D924" t="s">
        <v>19011</v>
      </c>
      <c r="E924" t="s">
        <v>19961</v>
      </c>
      <c r="F924" t="s">
        <v>32606</v>
      </c>
      <c r="G924" t="s">
        <v>32619</v>
      </c>
      <c r="H924" t="s">
        <v>14201</v>
      </c>
      <c r="I924" t="s">
        <v>6993</v>
      </c>
      <c r="J924" t="s">
        <v>32885</v>
      </c>
      <c r="K924" t="s">
        <v>42631</v>
      </c>
      <c r="M924" t="s">
        <v>43391</v>
      </c>
      <c r="N924" t="s">
        <v>47304</v>
      </c>
      <c r="O924" t="s">
        <v>47305</v>
      </c>
      <c r="P924">
        <v>0</v>
      </c>
      <c r="Q924">
        <v>1</v>
      </c>
      <c r="R924" t="s">
        <v>47307</v>
      </c>
      <c r="S924" t="s">
        <v>47416</v>
      </c>
      <c r="T924" t="s">
        <v>49014</v>
      </c>
      <c r="U924" t="s">
        <v>49938</v>
      </c>
      <c r="W924" t="s">
        <v>43391</v>
      </c>
      <c r="X924" t="s">
        <v>47306</v>
      </c>
    </row>
    <row r="925" spans="1:24">
      <c r="A925">
        <f>HYPERLINK("https://www.philgeps.gov.ph/GEPSNONPILOT/Tender/SplashBidNoticeAbstractUI.aspx?menuIndex=3&amp;refID=7198548&amp;Result=3","7198548")</f>
        <v>0</v>
      </c>
      <c r="B925" t="s">
        <v>481</v>
      </c>
      <c r="C925" t="s">
        <v>4758</v>
      </c>
      <c r="D925" t="s">
        <v>18993</v>
      </c>
      <c r="E925" t="s">
        <v>19962</v>
      </c>
      <c r="F925" t="s">
        <v>32606</v>
      </c>
      <c r="G925" t="s">
        <v>32617</v>
      </c>
      <c r="H925" t="s">
        <v>14201</v>
      </c>
      <c r="I925" t="s">
        <v>4114</v>
      </c>
      <c r="J925" t="s">
        <v>33468</v>
      </c>
      <c r="K925" t="s">
        <v>42622</v>
      </c>
      <c r="M925" t="s">
        <v>43392</v>
      </c>
      <c r="N925" t="s">
        <v>47304</v>
      </c>
      <c r="O925" t="s">
        <v>47305</v>
      </c>
      <c r="P925">
        <v>0</v>
      </c>
      <c r="Q925">
        <v>0</v>
      </c>
      <c r="R925" t="s">
        <v>47307</v>
      </c>
      <c r="S925" t="s">
        <v>47416</v>
      </c>
      <c r="T925" t="s">
        <v>49081</v>
      </c>
      <c r="U925" t="s">
        <v>50395</v>
      </c>
      <c r="W925" t="s">
        <v>43392</v>
      </c>
      <c r="X925" t="s">
        <v>47306</v>
      </c>
    </row>
    <row r="926" spans="1:24">
      <c r="A926">
        <f>HYPERLINK("https://www.philgeps.gov.ph/GEPSNONPILOT/Tender/SplashBidNoticeAbstractUI.aspx?menuIndex=3&amp;refID=7198532&amp;Result=3","7198532")</f>
        <v>0</v>
      </c>
      <c r="B926" t="s">
        <v>391</v>
      </c>
      <c r="C926" t="s">
        <v>4759</v>
      </c>
      <c r="D926" t="s">
        <v>18993</v>
      </c>
      <c r="E926" t="s">
        <v>19670</v>
      </c>
      <c r="F926" t="s">
        <v>32606</v>
      </c>
      <c r="G926" t="s">
        <v>32614</v>
      </c>
      <c r="H926" t="s">
        <v>14201</v>
      </c>
      <c r="I926" t="s">
        <v>32633</v>
      </c>
      <c r="J926" t="s">
        <v>32794</v>
      </c>
      <c r="K926" t="s">
        <v>42631</v>
      </c>
      <c r="M926" t="s">
        <v>43294</v>
      </c>
      <c r="N926" t="s">
        <v>47304</v>
      </c>
      <c r="O926" t="s">
        <v>47305</v>
      </c>
      <c r="P926">
        <v>0</v>
      </c>
      <c r="Q926">
        <v>0</v>
      </c>
      <c r="R926" t="s">
        <v>47307</v>
      </c>
      <c r="S926" t="s">
        <v>47416</v>
      </c>
      <c r="T926" t="s">
        <v>49132</v>
      </c>
      <c r="U926" t="s">
        <v>50277</v>
      </c>
      <c r="W926" t="s">
        <v>43294</v>
      </c>
      <c r="X926" t="s">
        <v>47306</v>
      </c>
    </row>
    <row r="927" spans="1:24">
      <c r="A927">
        <f>HYPERLINK("https://www.philgeps.gov.ph/GEPSNONPILOT/Tender/SplashBidNoticeAbstractUI.aspx?menuIndex=3&amp;refID=7198575&amp;Result=3","7198575")</f>
        <v>0</v>
      </c>
      <c r="B927" t="s">
        <v>482</v>
      </c>
      <c r="C927" t="s">
        <v>4760</v>
      </c>
      <c r="D927" t="s">
        <v>19007</v>
      </c>
      <c r="E927" t="s">
        <v>19963</v>
      </c>
      <c r="F927" t="s">
        <v>32606</v>
      </c>
      <c r="G927" t="s">
        <v>32614</v>
      </c>
      <c r="H927" t="s">
        <v>14201</v>
      </c>
      <c r="I927" t="s">
        <v>7233</v>
      </c>
      <c r="J927" t="s">
        <v>33469</v>
      </c>
      <c r="K927" t="s">
        <v>42624</v>
      </c>
      <c r="M927" t="s">
        <v>43393</v>
      </c>
      <c r="N927" t="s">
        <v>47304</v>
      </c>
      <c r="O927" t="s">
        <v>47305</v>
      </c>
      <c r="P927">
        <v>0</v>
      </c>
      <c r="Q927">
        <v>0</v>
      </c>
      <c r="R927" t="s">
        <v>47307</v>
      </c>
      <c r="S927" t="s">
        <v>47416</v>
      </c>
      <c r="T927" t="s">
        <v>48972</v>
      </c>
      <c r="U927" t="s">
        <v>50396</v>
      </c>
      <c r="W927" t="s">
        <v>43393</v>
      </c>
      <c r="X927" t="s">
        <v>47306</v>
      </c>
    </row>
    <row r="928" spans="1:24">
      <c r="A928">
        <f>HYPERLINK("https://www.philgeps.gov.ph/GEPSNONPILOT/Tender/SplashBidNoticeAbstractUI.aspx?menuIndex=3&amp;refID=7198578&amp;Result=3","7198578")</f>
        <v>0</v>
      </c>
      <c r="B928" t="s">
        <v>359</v>
      </c>
      <c r="C928" t="s">
        <v>4761</v>
      </c>
      <c r="D928" t="s">
        <v>19027</v>
      </c>
      <c r="E928" t="s">
        <v>19181</v>
      </c>
      <c r="F928" t="s">
        <v>32606</v>
      </c>
      <c r="G928" t="s">
        <v>32613</v>
      </c>
      <c r="H928" t="s">
        <v>32623</v>
      </c>
      <c r="I928" t="s">
        <v>17648</v>
      </c>
      <c r="J928" t="s">
        <v>33470</v>
      </c>
      <c r="K928" t="s">
        <v>42648</v>
      </c>
      <c r="M928" t="s">
        <v>43261</v>
      </c>
      <c r="N928" t="s">
        <v>47304</v>
      </c>
      <c r="O928" t="s">
        <v>47305</v>
      </c>
      <c r="P928">
        <v>0</v>
      </c>
      <c r="Q928">
        <v>0</v>
      </c>
      <c r="R928" t="s">
        <v>47307</v>
      </c>
      <c r="S928" t="s">
        <v>47416</v>
      </c>
      <c r="T928" t="s">
        <v>49032</v>
      </c>
      <c r="U928" t="s">
        <v>50397</v>
      </c>
      <c r="W928" t="s">
        <v>43261</v>
      </c>
      <c r="X928" t="s">
        <v>47306</v>
      </c>
    </row>
    <row r="929" spans="1:24">
      <c r="A929">
        <f>HYPERLINK("https://www.philgeps.gov.ph/GEPSNONPILOT/Tender/SplashBidNoticeAbstractUI.aspx?menuIndex=3&amp;refID=7198517&amp;Result=3","7198517")</f>
        <v>0</v>
      </c>
      <c r="B929" t="s">
        <v>477</v>
      </c>
      <c r="C929" t="s">
        <v>4762</v>
      </c>
      <c r="D929" t="s">
        <v>19019</v>
      </c>
      <c r="E929" t="s">
        <v>19964</v>
      </c>
      <c r="F929" t="s">
        <v>32606</v>
      </c>
      <c r="G929" t="s">
        <v>32613</v>
      </c>
      <c r="H929" t="s">
        <v>32623</v>
      </c>
      <c r="I929" t="s">
        <v>17648</v>
      </c>
      <c r="J929" t="s">
        <v>33471</v>
      </c>
      <c r="K929" t="s">
        <v>42646</v>
      </c>
      <c r="M929" t="s">
        <v>43388</v>
      </c>
      <c r="N929" t="s">
        <v>47304</v>
      </c>
      <c r="O929" t="s">
        <v>47305</v>
      </c>
      <c r="P929">
        <v>0</v>
      </c>
      <c r="Q929">
        <v>0</v>
      </c>
      <c r="R929" t="s">
        <v>47307</v>
      </c>
      <c r="S929" t="s">
        <v>47416</v>
      </c>
      <c r="T929" t="s">
        <v>48995</v>
      </c>
      <c r="U929" t="s">
        <v>50398</v>
      </c>
      <c r="W929" t="s">
        <v>43388</v>
      </c>
      <c r="X929" t="s">
        <v>47306</v>
      </c>
    </row>
    <row r="930" spans="1:24">
      <c r="A930">
        <f>HYPERLINK("https://www.philgeps.gov.ph/GEPSNONPILOT/Tender/SplashBidNoticeAbstractUI.aspx?menuIndex=3&amp;refID=7198568&amp;Result=3","7198568")</f>
        <v>0</v>
      </c>
      <c r="B930" t="s">
        <v>483</v>
      </c>
      <c r="C930" t="s">
        <v>4763</v>
      </c>
      <c r="D930" t="s">
        <v>19056</v>
      </c>
      <c r="E930" t="s">
        <v>19313</v>
      </c>
      <c r="F930" t="s">
        <v>32606</v>
      </c>
      <c r="G930" t="s">
        <v>32613</v>
      </c>
      <c r="H930" t="s">
        <v>32623</v>
      </c>
      <c r="I930" t="s">
        <v>17648</v>
      </c>
      <c r="J930" t="s">
        <v>33472</v>
      </c>
      <c r="K930" t="s">
        <v>42690</v>
      </c>
      <c r="M930" t="s">
        <v>43394</v>
      </c>
      <c r="N930" t="s">
        <v>47304</v>
      </c>
      <c r="O930" t="s">
        <v>47305</v>
      </c>
      <c r="P930">
        <v>0</v>
      </c>
      <c r="Q930">
        <v>0</v>
      </c>
      <c r="R930" t="s">
        <v>47307</v>
      </c>
      <c r="S930" t="s">
        <v>47416</v>
      </c>
      <c r="T930" t="s">
        <v>49133</v>
      </c>
      <c r="U930" t="s">
        <v>50399</v>
      </c>
      <c r="W930" t="s">
        <v>43394</v>
      </c>
      <c r="X930" t="s">
        <v>47306</v>
      </c>
    </row>
    <row r="931" spans="1:24">
      <c r="A931">
        <f>HYPERLINK("https://www.philgeps.gov.ph/GEPSNONPILOT/Tender/SplashBidNoticeAbstractUI.aspx?menuIndex=3&amp;refID=7198567&amp;Result=3","7198567")</f>
        <v>0</v>
      </c>
      <c r="B931" t="s">
        <v>484</v>
      </c>
      <c r="C931" t="s">
        <v>4764</v>
      </c>
      <c r="D931" t="s">
        <v>19008</v>
      </c>
      <c r="E931" t="s">
        <v>19690</v>
      </c>
      <c r="F931" t="s">
        <v>32606</v>
      </c>
      <c r="G931" t="s">
        <v>32613</v>
      </c>
      <c r="H931" t="s">
        <v>14201</v>
      </c>
      <c r="I931" t="s">
        <v>6931</v>
      </c>
      <c r="J931" t="s">
        <v>33473</v>
      </c>
      <c r="K931" t="s">
        <v>42623</v>
      </c>
      <c r="M931" t="s">
        <v>43395</v>
      </c>
      <c r="N931" t="s">
        <v>47304</v>
      </c>
      <c r="O931" t="s">
        <v>47305</v>
      </c>
      <c r="P931">
        <v>0</v>
      </c>
      <c r="Q931">
        <v>0</v>
      </c>
      <c r="R931" t="s">
        <v>47307</v>
      </c>
      <c r="S931" t="s">
        <v>47416</v>
      </c>
      <c r="T931" t="s">
        <v>49115</v>
      </c>
      <c r="U931" t="s">
        <v>50400</v>
      </c>
      <c r="V931" t="s">
        <v>62758</v>
      </c>
      <c r="W931" t="s">
        <v>43395</v>
      </c>
      <c r="X931" t="s">
        <v>47306</v>
      </c>
    </row>
    <row r="932" spans="1:24">
      <c r="A932">
        <f>HYPERLINK("https://www.philgeps.gov.ph/GEPSNONPILOT/Tender/SplashBidNoticeAbstractUI.aspx?menuIndex=3&amp;refID=7198569&amp;Result=3","7198569")</f>
        <v>0</v>
      </c>
      <c r="B932" t="s">
        <v>387</v>
      </c>
      <c r="C932" t="s">
        <v>4765</v>
      </c>
      <c r="D932" t="s">
        <v>18988</v>
      </c>
      <c r="E932" t="s">
        <v>19965</v>
      </c>
      <c r="F932" t="s">
        <v>32606</v>
      </c>
      <c r="G932" t="s">
        <v>32613</v>
      </c>
      <c r="H932" t="s">
        <v>14201</v>
      </c>
      <c r="I932" t="s">
        <v>4120</v>
      </c>
      <c r="J932" t="s">
        <v>32981</v>
      </c>
      <c r="K932" t="s">
        <v>42627</v>
      </c>
      <c r="M932" t="s">
        <v>43290</v>
      </c>
      <c r="N932" t="s">
        <v>47304</v>
      </c>
      <c r="O932" t="s">
        <v>47305</v>
      </c>
      <c r="P932">
        <v>0</v>
      </c>
      <c r="Q932">
        <v>0</v>
      </c>
      <c r="R932" t="s">
        <v>47307</v>
      </c>
      <c r="S932" t="s">
        <v>47416</v>
      </c>
      <c r="T932" t="s">
        <v>49103</v>
      </c>
      <c r="U932" t="s">
        <v>50231</v>
      </c>
      <c r="W932" t="s">
        <v>64431</v>
      </c>
      <c r="X932" t="s">
        <v>47306</v>
      </c>
    </row>
    <row r="933" spans="1:24">
      <c r="A933">
        <f>HYPERLINK("https://www.philgeps.gov.ph/GEPSNONPILOT/Tender/SplashBidNoticeAbstractUI.aspx?menuIndex=3&amp;refID=7198577&amp;Result=3","7198577")</f>
        <v>0</v>
      </c>
      <c r="B933" t="s">
        <v>185</v>
      </c>
      <c r="C933" t="s">
        <v>4766</v>
      </c>
      <c r="D933" t="s">
        <v>19025</v>
      </c>
      <c r="E933" t="s">
        <v>19966</v>
      </c>
      <c r="F933" t="s">
        <v>32606</v>
      </c>
      <c r="G933" t="s">
        <v>32613</v>
      </c>
      <c r="H933" t="s">
        <v>14201</v>
      </c>
      <c r="I933" t="s">
        <v>32629</v>
      </c>
      <c r="J933" t="s">
        <v>33456</v>
      </c>
      <c r="K933" t="s">
        <v>42622</v>
      </c>
      <c r="M933" t="s">
        <v>43350</v>
      </c>
      <c r="N933" t="s">
        <v>47304</v>
      </c>
      <c r="O933" t="s">
        <v>47305</v>
      </c>
      <c r="P933">
        <v>0</v>
      </c>
      <c r="Q933">
        <v>0</v>
      </c>
      <c r="R933" t="s">
        <v>47307</v>
      </c>
      <c r="S933" t="s">
        <v>47416</v>
      </c>
      <c r="T933" t="s">
        <v>49121</v>
      </c>
      <c r="U933" t="s">
        <v>50321</v>
      </c>
      <c r="V933" t="s">
        <v>62747</v>
      </c>
      <c r="W933" t="s">
        <v>64433</v>
      </c>
      <c r="X933" t="s">
        <v>47306</v>
      </c>
    </row>
    <row r="934" spans="1:24">
      <c r="A934">
        <f>HYPERLINK("https://www.philgeps.gov.ph/GEPSNONPILOT/Tender/SplashBidNoticeAbstractUI.aspx?menuIndex=3&amp;refID=7198536&amp;Result=3","7198536")</f>
        <v>0</v>
      </c>
      <c r="B934" t="s">
        <v>485</v>
      </c>
      <c r="C934" t="s">
        <v>4767</v>
      </c>
      <c r="D934" t="s">
        <v>19045</v>
      </c>
      <c r="E934" t="s">
        <v>19967</v>
      </c>
      <c r="F934" t="s">
        <v>32606</v>
      </c>
      <c r="G934" t="s">
        <v>32613</v>
      </c>
      <c r="H934" t="s">
        <v>14201</v>
      </c>
      <c r="I934" t="s">
        <v>4369</v>
      </c>
      <c r="J934" t="s">
        <v>32926</v>
      </c>
      <c r="K934" t="s">
        <v>42622</v>
      </c>
      <c r="M934" t="s">
        <v>43396</v>
      </c>
      <c r="N934" t="s">
        <v>47304</v>
      </c>
      <c r="O934" t="s">
        <v>47305</v>
      </c>
      <c r="P934">
        <v>0</v>
      </c>
      <c r="Q934">
        <v>0</v>
      </c>
      <c r="R934" t="s">
        <v>47307</v>
      </c>
      <c r="S934" t="s">
        <v>47416</v>
      </c>
      <c r="T934" t="s">
        <v>49099</v>
      </c>
      <c r="U934" t="s">
        <v>50401</v>
      </c>
      <c r="W934" t="s">
        <v>43396</v>
      </c>
      <c r="X934" t="s">
        <v>47306</v>
      </c>
    </row>
    <row r="935" spans="1:24">
      <c r="A935">
        <f>HYPERLINK("https://www.philgeps.gov.ph/GEPSNONPILOT/Tender/SplashBidNoticeAbstractUI.aspx?menuIndex=3&amp;refID=7198566&amp;Result=3","7198566")</f>
        <v>0</v>
      </c>
      <c r="B935" t="s">
        <v>486</v>
      </c>
      <c r="C935" t="s">
        <v>4129</v>
      </c>
      <c r="D935" t="s">
        <v>19024</v>
      </c>
      <c r="E935" t="s">
        <v>19968</v>
      </c>
      <c r="F935" t="s">
        <v>32606</v>
      </c>
      <c r="G935" t="s">
        <v>32614</v>
      </c>
      <c r="H935" t="s">
        <v>14201</v>
      </c>
      <c r="I935" t="s">
        <v>4114</v>
      </c>
      <c r="J935" t="s">
        <v>33474</v>
      </c>
      <c r="K935" t="s">
        <v>42623</v>
      </c>
      <c r="M935" t="s">
        <v>43397</v>
      </c>
      <c r="N935" t="s">
        <v>47304</v>
      </c>
      <c r="O935" t="s">
        <v>47305</v>
      </c>
      <c r="P935">
        <v>0</v>
      </c>
      <c r="Q935">
        <v>0</v>
      </c>
      <c r="R935" t="s">
        <v>47307</v>
      </c>
      <c r="S935" t="s">
        <v>47416</v>
      </c>
      <c r="T935" t="s">
        <v>49015</v>
      </c>
      <c r="U935" t="s">
        <v>50402</v>
      </c>
      <c r="W935" t="s">
        <v>43397</v>
      </c>
      <c r="X935" t="s">
        <v>47306</v>
      </c>
    </row>
    <row r="936" spans="1:24">
      <c r="A936">
        <f>HYPERLINK("https://www.philgeps.gov.ph/GEPSNONPILOT/Tender/SplashBidNoticeAbstractUI.aspx?menuIndex=3&amp;refID=7198562&amp;Result=3","7198562")</f>
        <v>0</v>
      </c>
      <c r="B936" t="s">
        <v>415</v>
      </c>
      <c r="C936" t="s">
        <v>4768</v>
      </c>
      <c r="D936" t="s">
        <v>19061</v>
      </c>
      <c r="E936" t="s">
        <v>19969</v>
      </c>
      <c r="F936" t="s">
        <v>32606</v>
      </c>
      <c r="G936" t="s">
        <v>32614</v>
      </c>
      <c r="H936" t="s">
        <v>32623</v>
      </c>
      <c r="I936" t="s">
        <v>6931</v>
      </c>
      <c r="J936" t="s">
        <v>33475</v>
      </c>
      <c r="K936" t="s">
        <v>42622</v>
      </c>
      <c r="M936" t="s">
        <v>43398</v>
      </c>
      <c r="N936" t="s">
        <v>47304</v>
      </c>
      <c r="O936" t="s">
        <v>47305</v>
      </c>
      <c r="P936">
        <v>0</v>
      </c>
      <c r="Q936">
        <v>0</v>
      </c>
      <c r="R936" t="s">
        <v>47307</v>
      </c>
      <c r="S936" t="s">
        <v>47416</v>
      </c>
      <c r="T936" t="s">
        <v>48988</v>
      </c>
      <c r="U936" t="s">
        <v>50403</v>
      </c>
      <c r="V936" t="s">
        <v>62740</v>
      </c>
      <c r="W936" t="s">
        <v>43398</v>
      </c>
      <c r="X936" t="s">
        <v>47306</v>
      </c>
    </row>
    <row r="937" spans="1:24">
      <c r="A937">
        <f>HYPERLINK("https://www.philgeps.gov.ph/GEPSNONPILOT/Tender/SplashBidNoticeAbstractUI.aspx?menuIndex=3&amp;refID=7198561&amp;Result=3","7198561")</f>
        <v>0</v>
      </c>
      <c r="B937" t="s">
        <v>487</v>
      </c>
      <c r="C937" t="s">
        <v>4769</v>
      </c>
      <c r="D937" t="s">
        <v>19027</v>
      </c>
      <c r="E937" t="s">
        <v>19970</v>
      </c>
      <c r="F937" t="s">
        <v>32606</v>
      </c>
      <c r="G937" t="s">
        <v>32615</v>
      </c>
      <c r="H937" t="s">
        <v>14201</v>
      </c>
      <c r="I937" t="s">
        <v>32688</v>
      </c>
      <c r="J937" t="s">
        <v>33476</v>
      </c>
      <c r="K937" t="s">
        <v>42623</v>
      </c>
      <c r="M937" t="s">
        <v>43399</v>
      </c>
      <c r="N937" t="s">
        <v>47304</v>
      </c>
      <c r="O937" t="s">
        <v>47305</v>
      </c>
      <c r="P937">
        <v>0</v>
      </c>
      <c r="Q937">
        <v>0</v>
      </c>
      <c r="R937" t="s">
        <v>47307</v>
      </c>
      <c r="S937" t="s">
        <v>47416</v>
      </c>
      <c r="T937" t="s">
        <v>48987</v>
      </c>
      <c r="U937" t="s">
        <v>50404</v>
      </c>
      <c r="V937" t="s">
        <v>62759</v>
      </c>
      <c r="W937" t="s">
        <v>43399</v>
      </c>
      <c r="X937" t="s">
        <v>47306</v>
      </c>
    </row>
    <row r="938" spans="1:24">
      <c r="A938">
        <f>HYPERLINK("https://www.philgeps.gov.ph/GEPSNONPILOT/Tender/SplashBidNoticeAbstractUI.aspx?menuIndex=3&amp;refID=7198563&amp;Result=3","7198563")</f>
        <v>0</v>
      </c>
      <c r="B938" t="s">
        <v>473</v>
      </c>
      <c r="C938" t="s">
        <v>4770</v>
      </c>
      <c r="D938" t="s">
        <v>19051</v>
      </c>
      <c r="E938" t="s">
        <v>19971</v>
      </c>
      <c r="F938" t="s">
        <v>32606</v>
      </c>
      <c r="G938" t="s">
        <v>32619</v>
      </c>
      <c r="H938" t="s">
        <v>14201</v>
      </c>
      <c r="I938" t="s">
        <v>4114</v>
      </c>
      <c r="J938" t="s">
        <v>33477</v>
      </c>
      <c r="K938" t="s">
        <v>42623</v>
      </c>
      <c r="M938" t="s">
        <v>43384</v>
      </c>
      <c r="N938" t="s">
        <v>47304</v>
      </c>
      <c r="O938" t="s">
        <v>47305</v>
      </c>
      <c r="P938">
        <v>0</v>
      </c>
      <c r="Q938">
        <v>0</v>
      </c>
      <c r="R938" t="s">
        <v>47307</v>
      </c>
      <c r="S938" t="s">
        <v>47416</v>
      </c>
      <c r="T938" t="s">
        <v>48972</v>
      </c>
      <c r="U938" t="s">
        <v>50386</v>
      </c>
      <c r="V938" t="s">
        <v>62755</v>
      </c>
      <c r="W938" t="s">
        <v>43384</v>
      </c>
      <c r="X938" t="s">
        <v>47306</v>
      </c>
    </row>
    <row r="939" spans="1:24">
      <c r="A939">
        <f>HYPERLINK("https://www.philgeps.gov.ph/GEPSNONPILOT/Tender/SplashBidNoticeAbstractUI.aspx?menuIndex=3&amp;refID=7198573&amp;Result=3","7198573")</f>
        <v>0</v>
      </c>
      <c r="B939" t="s">
        <v>28</v>
      </c>
      <c r="C939" t="s">
        <v>4771</v>
      </c>
      <c r="D939" t="s">
        <v>18993</v>
      </c>
      <c r="E939" t="s">
        <v>19972</v>
      </c>
      <c r="F939" t="s">
        <v>32606</v>
      </c>
      <c r="G939" t="s">
        <v>32613</v>
      </c>
      <c r="H939" t="s">
        <v>14201</v>
      </c>
      <c r="I939" t="s">
        <v>32640</v>
      </c>
      <c r="J939" t="s">
        <v>33478</v>
      </c>
      <c r="K939" t="s">
        <v>42631</v>
      </c>
      <c r="M939" t="s">
        <v>43400</v>
      </c>
      <c r="N939" t="s">
        <v>47304</v>
      </c>
      <c r="O939" t="s">
        <v>47305</v>
      </c>
      <c r="P939">
        <v>0</v>
      </c>
      <c r="Q939">
        <v>0</v>
      </c>
      <c r="R939" t="s">
        <v>47307</v>
      </c>
      <c r="S939" t="s">
        <v>47416</v>
      </c>
      <c r="T939" t="s">
        <v>49134</v>
      </c>
      <c r="U939" t="s">
        <v>50405</v>
      </c>
      <c r="W939" t="s">
        <v>43400</v>
      </c>
      <c r="X939" t="s">
        <v>47306</v>
      </c>
    </row>
    <row r="940" spans="1:24">
      <c r="A940">
        <f>HYPERLINK("https://www.philgeps.gov.ph/GEPSNONPILOT/Tender/SplashBidNoticeAbstractUI.aspx?menuIndex=3&amp;refID=7198564&amp;Result=3","7198564")</f>
        <v>0</v>
      </c>
      <c r="B940" t="s">
        <v>488</v>
      </c>
      <c r="C940" t="s">
        <v>4772</v>
      </c>
      <c r="D940" t="s">
        <v>19058</v>
      </c>
      <c r="E940" t="s">
        <v>19809</v>
      </c>
      <c r="F940" t="s">
        <v>32606</v>
      </c>
      <c r="G940" t="s">
        <v>32613</v>
      </c>
      <c r="H940" t="s">
        <v>14201</v>
      </c>
      <c r="I940" t="s">
        <v>4120</v>
      </c>
      <c r="J940" t="s">
        <v>33479</v>
      </c>
      <c r="K940" t="s">
        <v>42632</v>
      </c>
      <c r="M940" t="s">
        <v>43401</v>
      </c>
      <c r="N940" t="s">
        <v>47304</v>
      </c>
      <c r="O940" t="s">
        <v>47305</v>
      </c>
      <c r="P940">
        <v>0</v>
      </c>
      <c r="Q940">
        <v>1</v>
      </c>
      <c r="R940" t="s">
        <v>47307</v>
      </c>
      <c r="S940" t="s">
        <v>47416</v>
      </c>
      <c r="T940" t="s">
        <v>49028</v>
      </c>
      <c r="U940" t="s">
        <v>50406</v>
      </c>
      <c r="W940" t="s">
        <v>43401</v>
      </c>
      <c r="X940" t="s">
        <v>47306</v>
      </c>
    </row>
    <row r="941" spans="1:24">
      <c r="A941">
        <f>HYPERLINK("https://www.philgeps.gov.ph/GEPSNONPILOT/Tender/SplashBidNoticeAbstractUI.aspx?menuIndex=3&amp;refID=7198560&amp;Result=3","7198560")</f>
        <v>0</v>
      </c>
      <c r="B941" t="s">
        <v>489</v>
      </c>
      <c r="C941" t="s">
        <v>4773</v>
      </c>
      <c r="D941" t="s">
        <v>19008</v>
      </c>
      <c r="E941" t="s">
        <v>19973</v>
      </c>
      <c r="F941" t="s">
        <v>32606</v>
      </c>
      <c r="G941" t="s">
        <v>32619</v>
      </c>
      <c r="H941" t="s">
        <v>14201</v>
      </c>
      <c r="I941" t="s">
        <v>32633</v>
      </c>
      <c r="J941" t="s">
        <v>32781</v>
      </c>
      <c r="K941" t="s">
        <v>42632</v>
      </c>
      <c r="M941" t="s">
        <v>43402</v>
      </c>
      <c r="N941" t="s">
        <v>47304</v>
      </c>
      <c r="O941" t="s">
        <v>47305</v>
      </c>
      <c r="P941">
        <v>0</v>
      </c>
      <c r="Q941">
        <v>0</v>
      </c>
      <c r="R941" t="s">
        <v>47307</v>
      </c>
      <c r="S941" t="s">
        <v>47416</v>
      </c>
      <c r="T941" t="s">
        <v>49041</v>
      </c>
      <c r="U941" t="s">
        <v>50407</v>
      </c>
      <c r="V941" t="s">
        <v>62760</v>
      </c>
      <c r="W941" t="s">
        <v>43402</v>
      </c>
      <c r="X941" t="s">
        <v>47306</v>
      </c>
    </row>
    <row r="942" spans="1:24">
      <c r="A942">
        <f>HYPERLINK("https://www.philgeps.gov.ph/GEPSNONPILOT/Tender/SplashBidNoticeAbstractUI.aspx?menuIndex=3&amp;refID=7198555&amp;Result=3","7198555")</f>
        <v>0</v>
      </c>
      <c r="B942" t="s">
        <v>490</v>
      </c>
      <c r="C942" t="s">
        <v>4774</v>
      </c>
      <c r="D942" t="s">
        <v>19019</v>
      </c>
      <c r="E942" t="s">
        <v>19974</v>
      </c>
      <c r="F942" t="s">
        <v>32606</v>
      </c>
      <c r="G942" t="s">
        <v>32613</v>
      </c>
      <c r="H942" t="s">
        <v>32623</v>
      </c>
      <c r="I942" t="s">
        <v>17648</v>
      </c>
      <c r="J942" t="s">
        <v>32752</v>
      </c>
      <c r="K942" t="s">
        <v>42622</v>
      </c>
      <c r="M942" t="s">
        <v>43403</v>
      </c>
      <c r="N942" t="s">
        <v>47304</v>
      </c>
      <c r="O942" t="s">
        <v>47305</v>
      </c>
      <c r="P942">
        <v>0</v>
      </c>
      <c r="Q942">
        <v>0</v>
      </c>
      <c r="R942" t="s">
        <v>47307</v>
      </c>
      <c r="S942" t="s">
        <v>47416</v>
      </c>
      <c r="T942" t="s">
        <v>49016</v>
      </c>
      <c r="U942" t="s">
        <v>50408</v>
      </c>
      <c r="W942" t="s">
        <v>43403</v>
      </c>
      <c r="X942" t="s">
        <v>47306</v>
      </c>
    </row>
    <row r="943" spans="1:24">
      <c r="A943">
        <f>HYPERLINK("https://www.philgeps.gov.ph/GEPSNONPILOT/Tender/SplashBidNoticeAbstractUI.aspx?menuIndex=3&amp;refID=7198531&amp;Result=3","7198531")</f>
        <v>0</v>
      </c>
      <c r="B943" t="s">
        <v>50</v>
      </c>
      <c r="C943" t="s">
        <v>4775</v>
      </c>
      <c r="D943" t="s">
        <v>19005</v>
      </c>
      <c r="E943" t="s">
        <v>19975</v>
      </c>
      <c r="F943" t="s">
        <v>32606</v>
      </c>
      <c r="G943" t="s">
        <v>32614</v>
      </c>
      <c r="H943" t="s">
        <v>14201</v>
      </c>
      <c r="I943" t="s">
        <v>32680</v>
      </c>
      <c r="J943" t="s">
        <v>33480</v>
      </c>
      <c r="K943" t="s">
        <v>42623</v>
      </c>
      <c r="M943" t="s">
        <v>42947</v>
      </c>
      <c r="N943" t="s">
        <v>47304</v>
      </c>
      <c r="O943" t="s">
        <v>47305</v>
      </c>
      <c r="P943">
        <v>0</v>
      </c>
      <c r="Q943">
        <v>0</v>
      </c>
      <c r="R943" t="s">
        <v>47307</v>
      </c>
      <c r="S943" t="s">
        <v>47416</v>
      </c>
      <c r="T943" t="s">
        <v>49135</v>
      </c>
      <c r="U943" t="s">
        <v>50409</v>
      </c>
      <c r="V943" t="s">
        <v>62761</v>
      </c>
      <c r="W943" t="s">
        <v>42947</v>
      </c>
      <c r="X943" t="s">
        <v>47306</v>
      </c>
    </row>
    <row r="944" spans="1:24">
      <c r="A944">
        <f>HYPERLINK("https://www.philgeps.gov.ph/GEPSNONPILOT/Tender/SplashBidNoticeAbstractUI.aspx?menuIndex=3&amp;refID=7198557&amp;Result=3","7198557")</f>
        <v>0</v>
      </c>
      <c r="B944" t="s">
        <v>491</v>
      </c>
      <c r="C944" t="s">
        <v>4776</v>
      </c>
      <c r="D944" t="s">
        <v>19006</v>
      </c>
      <c r="E944" t="s">
        <v>19976</v>
      </c>
      <c r="F944" t="s">
        <v>32608</v>
      </c>
      <c r="G944" t="s">
        <v>32614</v>
      </c>
      <c r="H944" t="s">
        <v>14201</v>
      </c>
      <c r="I944" t="s">
        <v>4678</v>
      </c>
      <c r="J944" t="s">
        <v>32868</v>
      </c>
      <c r="K944" t="s">
        <v>42630</v>
      </c>
      <c r="M944" t="s">
        <v>43404</v>
      </c>
      <c r="N944" t="s">
        <v>47304</v>
      </c>
      <c r="O944" t="s">
        <v>47305</v>
      </c>
      <c r="P944">
        <v>0</v>
      </c>
      <c r="Q944">
        <v>0</v>
      </c>
      <c r="R944" t="s">
        <v>47307</v>
      </c>
      <c r="S944" t="s">
        <v>47416</v>
      </c>
      <c r="T944" t="s">
        <v>49052</v>
      </c>
      <c r="U944" t="s">
        <v>50410</v>
      </c>
      <c r="W944" t="s">
        <v>43404</v>
      </c>
      <c r="X944" t="s">
        <v>47306</v>
      </c>
    </row>
    <row r="945" spans="1:24">
      <c r="A945">
        <f>HYPERLINK("https://www.philgeps.gov.ph/GEPSNONPILOT/Tender/SplashBidNoticeAbstractUI.aspx?menuIndex=3&amp;refID=7198556&amp;Result=3","7198556")</f>
        <v>0</v>
      </c>
      <c r="B945" t="s">
        <v>492</v>
      </c>
      <c r="C945" t="s">
        <v>4777</v>
      </c>
      <c r="D945" t="s">
        <v>18997</v>
      </c>
      <c r="E945" t="s">
        <v>19977</v>
      </c>
      <c r="F945" t="s">
        <v>32607</v>
      </c>
      <c r="G945" t="s">
        <v>32613</v>
      </c>
      <c r="H945" t="s">
        <v>14201</v>
      </c>
      <c r="I945" t="s">
        <v>32626</v>
      </c>
      <c r="J945" t="s">
        <v>33481</v>
      </c>
      <c r="K945" t="s">
        <v>42631</v>
      </c>
      <c r="M945" t="s">
        <v>43405</v>
      </c>
      <c r="N945" t="s">
        <v>47304</v>
      </c>
      <c r="O945" t="s">
        <v>47305</v>
      </c>
      <c r="P945">
        <v>0</v>
      </c>
      <c r="Q945">
        <v>0</v>
      </c>
      <c r="R945" t="s">
        <v>47307</v>
      </c>
      <c r="S945" t="s">
        <v>47416</v>
      </c>
      <c r="T945" t="s">
        <v>49064</v>
      </c>
      <c r="U945" t="s">
        <v>50411</v>
      </c>
      <c r="V945" t="s">
        <v>62762</v>
      </c>
      <c r="W945" t="s">
        <v>64437</v>
      </c>
      <c r="X945" t="s">
        <v>47306</v>
      </c>
    </row>
    <row r="946" spans="1:24">
      <c r="A946">
        <f>HYPERLINK("https://www.philgeps.gov.ph/GEPSNONPILOT/Tender/SplashBidNoticeAbstractUI.aspx?menuIndex=3&amp;refID=7198571&amp;Result=3","7198571")</f>
        <v>0</v>
      </c>
      <c r="B946" t="s">
        <v>447</v>
      </c>
      <c r="C946" t="s">
        <v>4778</v>
      </c>
      <c r="D946" t="s">
        <v>18990</v>
      </c>
      <c r="E946" t="s">
        <v>19978</v>
      </c>
      <c r="F946" t="s">
        <v>32606</v>
      </c>
      <c r="G946" t="s">
        <v>32614</v>
      </c>
      <c r="H946" t="s">
        <v>14201</v>
      </c>
      <c r="I946" t="s">
        <v>6931</v>
      </c>
      <c r="J946" t="s">
        <v>33424</v>
      </c>
      <c r="K946" t="s">
        <v>42625</v>
      </c>
      <c r="M946" t="s">
        <v>43355</v>
      </c>
      <c r="N946" t="s">
        <v>47304</v>
      </c>
      <c r="O946" t="s">
        <v>47305</v>
      </c>
      <c r="P946">
        <v>0</v>
      </c>
      <c r="Q946">
        <v>0</v>
      </c>
      <c r="R946" t="s">
        <v>47307</v>
      </c>
      <c r="S946" t="s">
        <v>47416</v>
      </c>
      <c r="T946" t="s">
        <v>49015</v>
      </c>
      <c r="U946" t="s">
        <v>50412</v>
      </c>
      <c r="V946" t="s">
        <v>62748</v>
      </c>
      <c r="W946" t="s">
        <v>43355</v>
      </c>
      <c r="X946" t="s">
        <v>47306</v>
      </c>
    </row>
    <row r="947" spans="1:24">
      <c r="A947">
        <f>HYPERLINK("https://www.philgeps.gov.ph/GEPSNONPILOT/Tender/SplashBidNoticeAbstractUI.aspx?menuIndex=3&amp;refID=7198558&amp;Result=3","7198558")</f>
        <v>0</v>
      </c>
      <c r="B947" t="s">
        <v>468</v>
      </c>
      <c r="C947" t="s">
        <v>4779</v>
      </c>
      <c r="D947" t="s">
        <v>18989</v>
      </c>
      <c r="E947" t="s">
        <v>19940</v>
      </c>
      <c r="F947" t="s">
        <v>32606</v>
      </c>
      <c r="G947" t="s">
        <v>32614</v>
      </c>
      <c r="H947" t="s">
        <v>32623</v>
      </c>
      <c r="I947" t="s">
        <v>32648</v>
      </c>
      <c r="J947" t="s">
        <v>32977</v>
      </c>
      <c r="K947" t="s">
        <v>42663</v>
      </c>
      <c r="M947" t="s">
        <v>43379</v>
      </c>
      <c r="N947" t="s">
        <v>47304</v>
      </c>
      <c r="O947" t="s">
        <v>47305</v>
      </c>
      <c r="P947">
        <v>0</v>
      </c>
      <c r="Q947">
        <v>0</v>
      </c>
      <c r="R947" t="s">
        <v>47307</v>
      </c>
      <c r="S947" t="s">
        <v>47416</v>
      </c>
      <c r="T947" t="s">
        <v>49131</v>
      </c>
      <c r="U947" t="s">
        <v>50413</v>
      </c>
      <c r="W947" t="s">
        <v>43379</v>
      </c>
      <c r="X947" t="s">
        <v>47306</v>
      </c>
    </row>
    <row r="948" spans="1:24">
      <c r="A948">
        <f>HYPERLINK("https://www.philgeps.gov.ph/GEPSNONPILOT/Tender/SplashBidNoticeAbstractUI.aspx?menuIndex=3&amp;refID=7198501&amp;Result=3","7198501")</f>
        <v>0</v>
      </c>
      <c r="B948" t="s">
        <v>466</v>
      </c>
      <c r="C948" t="s">
        <v>4780</v>
      </c>
      <c r="D948" t="s">
        <v>19022</v>
      </c>
      <c r="E948" t="s">
        <v>19979</v>
      </c>
      <c r="F948" t="s">
        <v>32606</v>
      </c>
      <c r="G948" t="s">
        <v>32614</v>
      </c>
      <c r="H948" t="s">
        <v>14201</v>
      </c>
      <c r="I948" t="s">
        <v>6007</v>
      </c>
      <c r="J948" t="s">
        <v>33482</v>
      </c>
      <c r="K948" t="s">
        <v>42623</v>
      </c>
      <c r="M948" t="s">
        <v>43377</v>
      </c>
      <c r="N948" t="s">
        <v>47304</v>
      </c>
      <c r="O948" t="s">
        <v>47305</v>
      </c>
      <c r="P948">
        <v>0</v>
      </c>
      <c r="Q948">
        <v>0</v>
      </c>
      <c r="R948" t="s">
        <v>47307</v>
      </c>
      <c r="S948" t="s">
        <v>47416</v>
      </c>
      <c r="T948" t="s">
        <v>49011</v>
      </c>
      <c r="U948" t="s">
        <v>50375</v>
      </c>
      <c r="W948" t="s">
        <v>43377</v>
      </c>
      <c r="X948" t="s">
        <v>47306</v>
      </c>
    </row>
    <row r="949" spans="1:24">
      <c r="A949">
        <f>HYPERLINK("https://www.philgeps.gov.ph/GEPSNONPILOT/Tender/SplashBidNoticeAbstractUI.aspx?menuIndex=3&amp;refID=7198554&amp;Result=3","7198554")</f>
        <v>0</v>
      </c>
      <c r="B949" t="s">
        <v>493</v>
      </c>
      <c r="C949" t="s">
        <v>4359</v>
      </c>
      <c r="D949" t="s">
        <v>19064</v>
      </c>
      <c r="E949" t="s">
        <v>19980</v>
      </c>
      <c r="F949" t="s">
        <v>32606</v>
      </c>
      <c r="G949" t="s">
        <v>32613</v>
      </c>
      <c r="H949" t="s">
        <v>14201</v>
      </c>
      <c r="I949" t="s">
        <v>6931</v>
      </c>
      <c r="J949" t="s">
        <v>33483</v>
      </c>
      <c r="K949" t="s">
        <v>42630</v>
      </c>
      <c r="M949" t="s">
        <v>43406</v>
      </c>
      <c r="N949" t="s">
        <v>47304</v>
      </c>
      <c r="O949" t="s">
        <v>47305</v>
      </c>
      <c r="P949">
        <v>0</v>
      </c>
      <c r="Q949">
        <v>0</v>
      </c>
      <c r="R949" t="s">
        <v>47307</v>
      </c>
      <c r="S949" t="s">
        <v>47416</v>
      </c>
      <c r="T949" t="s">
        <v>48995</v>
      </c>
      <c r="U949" t="s">
        <v>50414</v>
      </c>
      <c r="V949" t="s">
        <v>62763</v>
      </c>
      <c r="W949" t="s">
        <v>43406</v>
      </c>
      <c r="X949" t="s">
        <v>47306</v>
      </c>
    </row>
    <row r="950" spans="1:24">
      <c r="A950">
        <f>HYPERLINK("https://www.philgeps.gov.ph/GEPSNONPILOT/Tender/SplashBidNoticeAbstractUI.aspx?menuIndex=3&amp;refID=7198553&amp;Result=3","7198553")</f>
        <v>0</v>
      </c>
      <c r="B950" t="s">
        <v>494</v>
      </c>
      <c r="C950" t="s">
        <v>4781</v>
      </c>
      <c r="D950" t="s">
        <v>19006</v>
      </c>
      <c r="E950" t="s">
        <v>19981</v>
      </c>
      <c r="F950" t="s">
        <v>32607</v>
      </c>
      <c r="G950" t="s">
        <v>32613</v>
      </c>
      <c r="H950" t="s">
        <v>14201</v>
      </c>
      <c r="I950" t="s">
        <v>6931</v>
      </c>
      <c r="J950" t="s">
        <v>33484</v>
      </c>
      <c r="K950" t="s">
        <v>42622</v>
      </c>
      <c r="M950" t="s">
        <v>43407</v>
      </c>
      <c r="N950" t="s">
        <v>47304</v>
      </c>
      <c r="O950" t="s">
        <v>47305</v>
      </c>
      <c r="P950">
        <v>0</v>
      </c>
      <c r="Q950">
        <v>0</v>
      </c>
      <c r="R950" t="s">
        <v>47307</v>
      </c>
      <c r="S950" t="s">
        <v>47416</v>
      </c>
      <c r="T950" t="s">
        <v>49008</v>
      </c>
      <c r="U950" t="s">
        <v>50415</v>
      </c>
      <c r="V950" t="s">
        <v>62764</v>
      </c>
      <c r="W950" t="s">
        <v>43407</v>
      </c>
      <c r="X950" t="s">
        <v>47306</v>
      </c>
    </row>
    <row r="951" spans="1:24">
      <c r="A951">
        <f>HYPERLINK("https://www.philgeps.gov.ph/GEPSNONPILOT/Tender/SplashBidNoticeAbstractUI.aspx?menuIndex=3&amp;refID=7198500&amp;Result=3","7198500")</f>
        <v>0</v>
      </c>
      <c r="B951" t="s">
        <v>456</v>
      </c>
      <c r="C951" t="s">
        <v>4782</v>
      </c>
      <c r="D951" t="s">
        <v>19024</v>
      </c>
      <c r="E951" t="s">
        <v>19982</v>
      </c>
      <c r="F951" t="s">
        <v>32606</v>
      </c>
      <c r="G951" t="s">
        <v>32619</v>
      </c>
      <c r="H951" t="s">
        <v>14201</v>
      </c>
      <c r="I951" t="s">
        <v>4114</v>
      </c>
      <c r="J951" t="s">
        <v>33485</v>
      </c>
      <c r="K951" t="s">
        <v>42624</v>
      </c>
      <c r="M951" t="s">
        <v>43366</v>
      </c>
      <c r="N951" t="s">
        <v>47304</v>
      </c>
      <c r="O951" t="s">
        <v>47305</v>
      </c>
      <c r="P951">
        <v>0</v>
      </c>
      <c r="Q951">
        <v>0</v>
      </c>
      <c r="R951" t="s">
        <v>47307</v>
      </c>
      <c r="S951" t="s">
        <v>47416</v>
      </c>
      <c r="T951" t="s">
        <v>49004</v>
      </c>
      <c r="U951" t="s">
        <v>50416</v>
      </c>
      <c r="W951" t="s">
        <v>43366</v>
      </c>
      <c r="X951" t="s">
        <v>47306</v>
      </c>
    </row>
    <row r="952" spans="1:24">
      <c r="A952">
        <f>HYPERLINK("https://www.philgeps.gov.ph/GEPSNONPILOT/Tender/SplashBidNoticeAbstractUI.aspx?menuIndex=3&amp;refID=7198496&amp;Result=3","7198496")</f>
        <v>0</v>
      </c>
      <c r="B952" t="s">
        <v>495</v>
      </c>
      <c r="C952" t="s">
        <v>4783</v>
      </c>
      <c r="D952" t="s">
        <v>19063</v>
      </c>
      <c r="E952" t="s">
        <v>19983</v>
      </c>
      <c r="F952" t="s">
        <v>32606</v>
      </c>
      <c r="G952" t="s">
        <v>32619</v>
      </c>
      <c r="H952" t="s">
        <v>14201</v>
      </c>
      <c r="I952" t="s">
        <v>32633</v>
      </c>
      <c r="J952" t="s">
        <v>32923</v>
      </c>
      <c r="K952" t="s">
        <v>42632</v>
      </c>
      <c r="M952" t="s">
        <v>43408</v>
      </c>
      <c r="N952" t="s">
        <v>47304</v>
      </c>
      <c r="O952" t="s">
        <v>47305</v>
      </c>
      <c r="P952">
        <v>0</v>
      </c>
      <c r="Q952">
        <v>0</v>
      </c>
      <c r="R952" t="s">
        <v>47307</v>
      </c>
      <c r="S952" t="s">
        <v>47416</v>
      </c>
      <c r="T952" t="s">
        <v>48986</v>
      </c>
      <c r="U952" t="s">
        <v>50417</v>
      </c>
      <c r="W952" t="s">
        <v>43408</v>
      </c>
      <c r="X952" t="s">
        <v>47306</v>
      </c>
    </row>
    <row r="953" spans="1:24">
      <c r="A953">
        <f>HYPERLINK("https://www.philgeps.gov.ph/GEPSNONPILOT/Tender/SplashBidNoticeAbstractUI.aspx?menuIndex=3&amp;refID=7198495&amp;Result=3","7198495")</f>
        <v>0</v>
      </c>
      <c r="B953" t="s">
        <v>427</v>
      </c>
      <c r="C953" t="s">
        <v>4784</v>
      </c>
      <c r="D953" t="s">
        <v>18995</v>
      </c>
      <c r="E953" t="s">
        <v>19984</v>
      </c>
      <c r="F953" t="s">
        <v>32606</v>
      </c>
      <c r="G953" t="s">
        <v>32614</v>
      </c>
      <c r="H953" t="s">
        <v>14201</v>
      </c>
      <c r="I953" t="s">
        <v>7577</v>
      </c>
      <c r="J953" t="s">
        <v>33387</v>
      </c>
      <c r="K953" t="s">
        <v>42625</v>
      </c>
      <c r="M953" t="s">
        <v>43331</v>
      </c>
      <c r="N953" t="s">
        <v>47304</v>
      </c>
      <c r="O953" t="s">
        <v>47305</v>
      </c>
      <c r="P953">
        <v>0</v>
      </c>
      <c r="Q953">
        <v>0</v>
      </c>
      <c r="R953" t="s">
        <v>47307</v>
      </c>
      <c r="S953" t="s">
        <v>47416</v>
      </c>
      <c r="T953" t="s">
        <v>49016</v>
      </c>
      <c r="U953" t="s">
        <v>50418</v>
      </c>
      <c r="W953" t="s">
        <v>43331</v>
      </c>
      <c r="X953" t="s">
        <v>47306</v>
      </c>
    </row>
    <row r="954" spans="1:24">
      <c r="A954">
        <f>HYPERLINK("https://www.philgeps.gov.ph/GEPSNONPILOT/Tender/SplashBidNoticeAbstractUI.aspx?menuIndex=3&amp;refID=7198502&amp;Result=3","7198502")</f>
        <v>0</v>
      </c>
      <c r="B954" t="s">
        <v>463</v>
      </c>
      <c r="C954" t="s">
        <v>4785</v>
      </c>
      <c r="D954" t="s">
        <v>19013</v>
      </c>
      <c r="E954" t="s">
        <v>19372</v>
      </c>
      <c r="F954" t="s">
        <v>32606</v>
      </c>
      <c r="G954" t="s">
        <v>32613</v>
      </c>
      <c r="H954" t="s">
        <v>32623</v>
      </c>
      <c r="I954" t="s">
        <v>17648</v>
      </c>
      <c r="J954" t="s">
        <v>33447</v>
      </c>
      <c r="K954" t="s">
        <v>42622</v>
      </c>
      <c r="M954" t="s">
        <v>43373</v>
      </c>
      <c r="N954" t="s">
        <v>47304</v>
      </c>
      <c r="O954" t="s">
        <v>47305</v>
      </c>
      <c r="P954">
        <v>0</v>
      </c>
      <c r="Q954">
        <v>0</v>
      </c>
      <c r="R954" t="s">
        <v>47307</v>
      </c>
      <c r="S954" t="s">
        <v>47416</v>
      </c>
      <c r="T954" t="s">
        <v>48971</v>
      </c>
      <c r="U954" t="s">
        <v>50419</v>
      </c>
      <c r="W954" t="s">
        <v>43373</v>
      </c>
      <c r="X954" t="s">
        <v>47306</v>
      </c>
    </row>
    <row r="955" spans="1:24">
      <c r="A955">
        <f>HYPERLINK("https://www.philgeps.gov.ph/GEPSNONPILOT/Tender/SplashBidNoticeAbstractUI.aspx?menuIndex=3&amp;refID=7198474&amp;Result=3","7198474")</f>
        <v>0</v>
      </c>
      <c r="B955" t="s">
        <v>496</v>
      </c>
      <c r="C955" t="s">
        <v>4786</v>
      </c>
      <c r="D955" t="s">
        <v>19011</v>
      </c>
      <c r="E955" t="s">
        <v>19985</v>
      </c>
      <c r="F955" t="s">
        <v>32606</v>
      </c>
      <c r="G955" t="s">
        <v>32614</v>
      </c>
      <c r="H955" t="s">
        <v>14201</v>
      </c>
      <c r="I955" t="s">
        <v>17648</v>
      </c>
      <c r="J955" t="s">
        <v>33486</v>
      </c>
      <c r="K955" t="s">
        <v>42631</v>
      </c>
      <c r="M955" t="s">
        <v>43409</v>
      </c>
      <c r="N955" t="s">
        <v>47304</v>
      </c>
      <c r="O955" t="s">
        <v>47305</v>
      </c>
      <c r="P955">
        <v>0</v>
      </c>
      <c r="Q955">
        <v>0</v>
      </c>
      <c r="R955" t="s">
        <v>47307</v>
      </c>
      <c r="S955" t="s">
        <v>47416</v>
      </c>
      <c r="T955" t="s">
        <v>48977</v>
      </c>
      <c r="U955" t="s">
        <v>50420</v>
      </c>
      <c r="W955" t="s">
        <v>64438</v>
      </c>
      <c r="X955" t="s">
        <v>47306</v>
      </c>
    </row>
    <row r="956" spans="1:24">
      <c r="A956">
        <f>HYPERLINK("https://www.philgeps.gov.ph/GEPSNONPILOT/Tender/SplashBidNoticeAbstractUI.aspx?menuIndex=3&amp;refID=7198473&amp;Result=3","7198473")</f>
        <v>0</v>
      </c>
      <c r="B956" t="s">
        <v>429</v>
      </c>
      <c r="C956" t="s">
        <v>4787</v>
      </c>
      <c r="D956" t="s">
        <v>18993</v>
      </c>
      <c r="E956" t="s">
        <v>19986</v>
      </c>
      <c r="F956" t="s">
        <v>32606</v>
      </c>
      <c r="G956" t="s">
        <v>32619</v>
      </c>
      <c r="H956" t="s">
        <v>14201</v>
      </c>
      <c r="I956" t="s">
        <v>4120</v>
      </c>
      <c r="J956" t="s">
        <v>33487</v>
      </c>
      <c r="K956" t="s">
        <v>42624</v>
      </c>
      <c r="M956" t="s">
        <v>43362</v>
      </c>
      <c r="N956" t="s">
        <v>47304</v>
      </c>
      <c r="O956" t="s">
        <v>47305</v>
      </c>
      <c r="P956">
        <v>0</v>
      </c>
      <c r="Q956">
        <v>1</v>
      </c>
      <c r="R956" t="s">
        <v>47307</v>
      </c>
      <c r="S956" t="s">
        <v>47416</v>
      </c>
      <c r="T956" t="s">
        <v>49114</v>
      </c>
      <c r="U956" t="s">
        <v>50421</v>
      </c>
      <c r="W956" t="s">
        <v>43362</v>
      </c>
      <c r="X956" t="s">
        <v>47306</v>
      </c>
    </row>
    <row r="957" spans="1:24">
      <c r="A957">
        <f>HYPERLINK("https://www.philgeps.gov.ph/GEPSNONPILOT/Tender/SplashBidNoticeAbstractUI.aspx?menuIndex=3&amp;refID=7198472&amp;Result=3","7198472")</f>
        <v>0</v>
      </c>
      <c r="B957" t="s">
        <v>210</v>
      </c>
      <c r="C957" t="s">
        <v>4788</v>
      </c>
      <c r="D957" t="s">
        <v>18986</v>
      </c>
      <c r="E957" t="s">
        <v>19987</v>
      </c>
      <c r="F957" t="s">
        <v>32606</v>
      </c>
      <c r="G957" t="s">
        <v>32613</v>
      </c>
      <c r="H957" t="s">
        <v>32623</v>
      </c>
      <c r="I957" t="s">
        <v>17648</v>
      </c>
      <c r="J957" t="s">
        <v>33488</v>
      </c>
      <c r="K957" t="s">
        <v>42691</v>
      </c>
      <c r="M957" t="s">
        <v>43111</v>
      </c>
      <c r="N957" t="s">
        <v>47304</v>
      </c>
      <c r="O957" t="s">
        <v>47305</v>
      </c>
      <c r="P957">
        <v>0</v>
      </c>
      <c r="Q957">
        <v>0</v>
      </c>
      <c r="R957" t="s">
        <v>47307</v>
      </c>
      <c r="S957" t="s">
        <v>47416</v>
      </c>
      <c r="T957" t="s">
        <v>49033</v>
      </c>
      <c r="U957" t="s">
        <v>50422</v>
      </c>
      <c r="W957" t="s">
        <v>43111</v>
      </c>
      <c r="X957" t="s">
        <v>47306</v>
      </c>
    </row>
    <row r="958" spans="1:24">
      <c r="A958">
        <f>HYPERLINK("https://www.philgeps.gov.ph/GEPSNONPILOT/Tender/SplashBidNoticeAbstractUI.aspx?menuIndex=3&amp;refID=7198475&amp;Result=3","7198475")</f>
        <v>0</v>
      </c>
      <c r="B958" t="s">
        <v>497</v>
      </c>
      <c r="C958" t="s">
        <v>4789</v>
      </c>
      <c r="D958" t="s">
        <v>18991</v>
      </c>
      <c r="E958" t="s">
        <v>19988</v>
      </c>
      <c r="F958" t="s">
        <v>32606</v>
      </c>
      <c r="G958" t="s">
        <v>32614</v>
      </c>
      <c r="H958" t="s">
        <v>14201</v>
      </c>
      <c r="I958" t="s">
        <v>32689</v>
      </c>
      <c r="J958" t="s">
        <v>33489</v>
      </c>
      <c r="K958" t="s">
        <v>42624</v>
      </c>
      <c r="M958" t="s">
        <v>43410</v>
      </c>
      <c r="N958" t="s">
        <v>47304</v>
      </c>
      <c r="O958" t="s">
        <v>47305</v>
      </c>
      <c r="P958">
        <v>0</v>
      </c>
      <c r="Q958">
        <v>0</v>
      </c>
      <c r="R958" t="s">
        <v>47307</v>
      </c>
      <c r="S958" t="s">
        <v>47416</v>
      </c>
      <c r="T958" t="s">
        <v>49023</v>
      </c>
      <c r="U958" t="s">
        <v>50423</v>
      </c>
      <c r="W958" t="s">
        <v>43410</v>
      </c>
      <c r="X958" t="s">
        <v>47306</v>
      </c>
    </row>
    <row r="959" spans="1:24">
      <c r="A959">
        <f>HYPERLINK("https://www.philgeps.gov.ph/GEPSNONPILOT/Tender/SplashBidNoticeAbstractUI.aspx?menuIndex=3&amp;refID=7198471&amp;Result=3","7198471")</f>
        <v>0</v>
      </c>
      <c r="B959" t="s">
        <v>238</v>
      </c>
      <c r="C959" t="s">
        <v>4790</v>
      </c>
      <c r="D959" t="s">
        <v>18993</v>
      </c>
      <c r="E959" t="s">
        <v>19989</v>
      </c>
      <c r="F959" t="s">
        <v>32606</v>
      </c>
      <c r="G959" t="s">
        <v>32619</v>
      </c>
      <c r="H959" t="s">
        <v>14201</v>
      </c>
      <c r="I959" t="s">
        <v>32690</v>
      </c>
      <c r="J959" t="s">
        <v>33490</v>
      </c>
      <c r="K959" t="s">
        <v>42622</v>
      </c>
      <c r="M959" t="s">
        <v>43357</v>
      </c>
      <c r="N959" t="s">
        <v>47304</v>
      </c>
      <c r="O959" t="s">
        <v>47305</v>
      </c>
      <c r="P959">
        <v>0</v>
      </c>
      <c r="Q959">
        <v>0</v>
      </c>
      <c r="R959" t="s">
        <v>47307</v>
      </c>
      <c r="S959" t="s">
        <v>47416</v>
      </c>
      <c r="T959" t="s">
        <v>49123</v>
      </c>
      <c r="U959" t="s">
        <v>50424</v>
      </c>
      <c r="V959" t="s">
        <v>62749</v>
      </c>
      <c r="W959" t="s">
        <v>43357</v>
      </c>
      <c r="X959" t="s">
        <v>47306</v>
      </c>
    </row>
    <row r="960" spans="1:24">
      <c r="A960">
        <f>HYPERLINK("https://www.philgeps.gov.ph/GEPSNONPILOT/Tender/SplashBidNoticeAbstractUI.aspx?menuIndex=3&amp;refID=7198469&amp;Result=3","7198469")</f>
        <v>0</v>
      </c>
      <c r="B960" t="s">
        <v>498</v>
      </c>
      <c r="C960" t="s">
        <v>4791</v>
      </c>
      <c r="D960" t="s">
        <v>18991</v>
      </c>
      <c r="E960" t="s">
        <v>19990</v>
      </c>
      <c r="F960" t="s">
        <v>32606</v>
      </c>
      <c r="G960" t="s">
        <v>32614</v>
      </c>
      <c r="H960" t="s">
        <v>14201</v>
      </c>
      <c r="I960" t="s">
        <v>6993</v>
      </c>
      <c r="J960" t="s">
        <v>33491</v>
      </c>
      <c r="K960" t="s">
        <v>42631</v>
      </c>
      <c r="M960" t="s">
        <v>43411</v>
      </c>
      <c r="N960" t="s">
        <v>47304</v>
      </c>
      <c r="O960" t="s">
        <v>47305</v>
      </c>
      <c r="P960">
        <v>0</v>
      </c>
      <c r="Q960">
        <v>0</v>
      </c>
      <c r="R960" t="s">
        <v>47307</v>
      </c>
      <c r="S960" t="s">
        <v>47416</v>
      </c>
      <c r="T960" t="s">
        <v>49108</v>
      </c>
      <c r="U960" t="s">
        <v>50425</v>
      </c>
      <c r="V960" t="s">
        <v>62765</v>
      </c>
      <c r="W960" t="s">
        <v>43411</v>
      </c>
      <c r="X960" t="s">
        <v>47306</v>
      </c>
    </row>
    <row r="961" spans="1:24">
      <c r="A961">
        <f>HYPERLINK("https://www.philgeps.gov.ph/GEPSNONPILOT/Tender/SplashBidNoticeAbstractUI.aspx?menuIndex=3&amp;refID=7198453&amp;Result=3","7198453")</f>
        <v>0</v>
      </c>
      <c r="B961" t="s">
        <v>487</v>
      </c>
      <c r="C961" t="s">
        <v>4792</v>
      </c>
      <c r="D961" t="s">
        <v>19027</v>
      </c>
      <c r="E961" t="s">
        <v>19991</v>
      </c>
      <c r="F961" t="s">
        <v>32606</v>
      </c>
      <c r="G961" t="s">
        <v>32614</v>
      </c>
      <c r="H961" t="s">
        <v>14201</v>
      </c>
      <c r="I961" t="s">
        <v>4120</v>
      </c>
      <c r="J961" t="s">
        <v>33492</v>
      </c>
      <c r="K961" t="s">
        <v>42623</v>
      </c>
      <c r="M961" t="s">
        <v>43399</v>
      </c>
      <c r="N961" t="s">
        <v>47304</v>
      </c>
      <c r="O961" t="s">
        <v>47305</v>
      </c>
      <c r="P961">
        <v>0</v>
      </c>
      <c r="Q961">
        <v>0</v>
      </c>
      <c r="R961" t="s">
        <v>47307</v>
      </c>
      <c r="S961" t="s">
        <v>47416</v>
      </c>
      <c r="T961" t="s">
        <v>48987</v>
      </c>
      <c r="U961" t="s">
        <v>50426</v>
      </c>
      <c r="W961" t="s">
        <v>43399</v>
      </c>
      <c r="X961" t="s">
        <v>47306</v>
      </c>
    </row>
    <row r="962" spans="1:24">
      <c r="A962">
        <f>HYPERLINK("https://www.philgeps.gov.ph/GEPSNONPILOT/Tender/SplashBidNoticeAbstractUI.aspx?menuIndex=3&amp;refID=7198528&amp;Result=3","7198528")</f>
        <v>0</v>
      </c>
      <c r="B962" t="s">
        <v>466</v>
      </c>
      <c r="C962" t="s">
        <v>4793</v>
      </c>
      <c r="D962" t="s">
        <v>19022</v>
      </c>
      <c r="E962" t="s">
        <v>19992</v>
      </c>
      <c r="F962" t="s">
        <v>32606</v>
      </c>
      <c r="G962" t="s">
        <v>32614</v>
      </c>
      <c r="H962" t="s">
        <v>14201</v>
      </c>
      <c r="I962" t="s">
        <v>6007</v>
      </c>
      <c r="J962" t="s">
        <v>33416</v>
      </c>
      <c r="K962" t="s">
        <v>42623</v>
      </c>
      <c r="M962" t="s">
        <v>43377</v>
      </c>
      <c r="N962" t="s">
        <v>47304</v>
      </c>
      <c r="O962" t="s">
        <v>47305</v>
      </c>
      <c r="P962">
        <v>0</v>
      </c>
      <c r="Q962">
        <v>0</v>
      </c>
      <c r="R962" t="s">
        <v>47307</v>
      </c>
      <c r="S962" t="s">
        <v>47416</v>
      </c>
      <c r="T962" t="s">
        <v>49011</v>
      </c>
      <c r="U962" t="s">
        <v>50375</v>
      </c>
      <c r="W962" t="s">
        <v>43377</v>
      </c>
      <c r="X962" t="s">
        <v>47306</v>
      </c>
    </row>
    <row r="963" spans="1:24">
      <c r="A963">
        <f>HYPERLINK("https://www.philgeps.gov.ph/GEPSNONPILOT/Tender/SplashBidNoticeAbstractUI.aspx?menuIndex=3&amp;refID=7198450&amp;Result=3","7198450")</f>
        <v>0</v>
      </c>
      <c r="B963" t="s">
        <v>383</v>
      </c>
      <c r="C963" t="s">
        <v>4794</v>
      </c>
      <c r="E963" t="s">
        <v>19993</v>
      </c>
      <c r="F963" t="s">
        <v>32606</v>
      </c>
      <c r="G963" t="s">
        <v>32615</v>
      </c>
      <c r="H963" t="s">
        <v>14201</v>
      </c>
      <c r="I963" t="s">
        <v>32626</v>
      </c>
      <c r="J963" t="s">
        <v>33493</v>
      </c>
      <c r="K963" t="s">
        <v>42624</v>
      </c>
      <c r="M963" t="s">
        <v>43286</v>
      </c>
      <c r="N963" t="s">
        <v>47304</v>
      </c>
      <c r="O963" t="s">
        <v>47305</v>
      </c>
      <c r="P963">
        <v>0</v>
      </c>
      <c r="Q963">
        <v>0</v>
      </c>
      <c r="R963" t="s">
        <v>47307</v>
      </c>
      <c r="S963" t="s">
        <v>47416</v>
      </c>
      <c r="T963" t="s">
        <v>49102</v>
      </c>
      <c r="U963" t="s">
        <v>50427</v>
      </c>
      <c r="W963" t="s">
        <v>43286</v>
      </c>
      <c r="X963" t="s">
        <v>47306</v>
      </c>
    </row>
    <row r="964" spans="1:24">
      <c r="A964">
        <f>HYPERLINK("https://www.philgeps.gov.ph/GEPSNONPILOT/Tender/SplashBidNoticeAbstractUI.aspx?menuIndex=3&amp;refID=7198449&amp;Result=3","7198449")</f>
        <v>0</v>
      </c>
      <c r="B964" t="s">
        <v>185</v>
      </c>
      <c r="C964" t="s">
        <v>4795</v>
      </c>
      <c r="D964" t="s">
        <v>19025</v>
      </c>
      <c r="E964" t="s">
        <v>19994</v>
      </c>
      <c r="F964" t="s">
        <v>32606</v>
      </c>
      <c r="G964" t="s">
        <v>32613</v>
      </c>
      <c r="H964" t="s">
        <v>14201</v>
      </c>
      <c r="I964" t="s">
        <v>32629</v>
      </c>
      <c r="J964" t="s">
        <v>33494</v>
      </c>
      <c r="K964" t="s">
        <v>42622</v>
      </c>
      <c r="M964" t="s">
        <v>43350</v>
      </c>
      <c r="N964" t="s">
        <v>47304</v>
      </c>
      <c r="O964" t="s">
        <v>47305</v>
      </c>
      <c r="P964">
        <v>0</v>
      </c>
      <c r="Q964">
        <v>0</v>
      </c>
      <c r="R964" t="s">
        <v>47307</v>
      </c>
      <c r="S964" t="s">
        <v>47416</v>
      </c>
      <c r="T964" t="s">
        <v>49121</v>
      </c>
      <c r="U964" t="s">
        <v>50321</v>
      </c>
      <c r="V964" t="s">
        <v>62747</v>
      </c>
      <c r="W964" t="s">
        <v>64433</v>
      </c>
      <c r="X964" t="s">
        <v>47306</v>
      </c>
    </row>
    <row r="965" spans="1:24">
      <c r="A965">
        <f>HYPERLINK("https://www.philgeps.gov.ph/GEPSNONPILOT/Tender/SplashBidNoticeAbstractUI.aspx?menuIndex=3&amp;refID=7198445&amp;Result=3","7198445")</f>
        <v>0</v>
      </c>
      <c r="B965" t="s">
        <v>423</v>
      </c>
      <c r="C965" t="s">
        <v>4796</v>
      </c>
      <c r="D965" t="s">
        <v>18997</v>
      </c>
      <c r="E965" t="s">
        <v>19995</v>
      </c>
      <c r="F965" t="s">
        <v>32606</v>
      </c>
      <c r="G965" t="s">
        <v>32613</v>
      </c>
      <c r="H965" t="s">
        <v>32623</v>
      </c>
      <c r="I965" t="s">
        <v>17648</v>
      </c>
      <c r="J965" t="s">
        <v>33495</v>
      </c>
      <c r="K965" t="s">
        <v>42639</v>
      </c>
      <c r="M965" t="s">
        <v>43327</v>
      </c>
      <c r="N965" t="s">
        <v>47304</v>
      </c>
      <c r="O965" t="s">
        <v>47305</v>
      </c>
      <c r="P965">
        <v>0</v>
      </c>
      <c r="Q965">
        <v>0</v>
      </c>
      <c r="R965" t="s">
        <v>47307</v>
      </c>
      <c r="S965" t="s">
        <v>47416</v>
      </c>
      <c r="T965" t="s">
        <v>48992</v>
      </c>
      <c r="U965" t="s">
        <v>50428</v>
      </c>
      <c r="W965" t="s">
        <v>43327</v>
      </c>
      <c r="X965" t="s">
        <v>47306</v>
      </c>
    </row>
    <row r="966" spans="1:24">
      <c r="A966">
        <f>HYPERLINK("https://www.philgeps.gov.ph/GEPSNONPILOT/Tender/SplashBidNoticeAbstractUI.aspx?menuIndex=3&amp;refID=7198444&amp;Result=3","7198444")</f>
        <v>0</v>
      </c>
      <c r="B966" t="s">
        <v>400</v>
      </c>
      <c r="C966" t="s">
        <v>4797</v>
      </c>
      <c r="D966" t="s">
        <v>19002</v>
      </c>
      <c r="E966" t="s">
        <v>19996</v>
      </c>
      <c r="F966" t="s">
        <v>32606</v>
      </c>
      <c r="G966" t="s">
        <v>32619</v>
      </c>
      <c r="H966" t="s">
        <v>14201</v>
      </c>
      <c r="I966" t="s">
        <v>6931</v>
      </c>
      <c r="J966" t="s">
        <v>33496</v>
      </c>
      <c r="K966" t="s">
        <v>42624</v>
      </c>
      <c r="M966" t="s">
        <v>43303</v>
      </c>
      <c r="N966" t="s">
        <v>47304</v>
      </c>
      <c r="O966" t="s">
        <v>47305</v>
      </c>
      <c r="P966">
        <v>0</v>
      </c>
      <c r="Q966">
        <v>0</v>
      </c>
      <c r="R966" t="s">
        <v>47307</v>
      </c>
      <c r="S966" t="s">
        <v>47416</v>
      </c>
      <c r="T966" t="s">
        <v>48997</v>
      </c>
      <c r="U966" t="s">
        <v>50429</v>
      </c>
      <c r="W966" t="s">
        <v>43303</v>
      </c>
      <c r="X966" t="s">
        <v>47306</v>
      </c>
    </row>
    <row r="967" spans="1:24">
      <c r="A967">
        <f>HYPERLINK("https://www.philgeps.gov.ph/GEPSNONPILOT/Tender/SplashBidNoticeAbstractUI.aspx?menuIndex=3&amp;refID=7198441&amp;Result=3","7198441")</f>
        <v>0</v>
      </c>
      <c r="B967" t="s">
        <v>499</v>
      </c>
      <c r="C967" t="s">
        <v>4798</v>
      </c>
      <c r="D967" t="s">
        <v>19010</v>
      </c>
      <c r="E967" t="s">
        <v>19997</v>
      </c>
      <c r="F967" t="s">
        <v>32606</v>
      </c>
      <c r="G967" t="s">
        <v>32614</v>
      </c>
      <c r="H967" t="s">
        <v>14201</v>
      </c>
      <c r="I967" t="s">
        <v>6007</v>
      </c>
      <c r="J967" t="s">
        <v>32765</v>
      </c>
      <c r="K967" t="s">
        <v>42622</v>
      </c>
      <c r="M967" t="s">
        <v>43412</v>
      </c>
      <c r="N967" t="s">
        <v>47304</v>
      </c>
      <c r="O967" t="s">
        <v>47305</v>
      </c>
      <c r="P967">
        <v>0</v>
      </c>
      <c r="Q967">
        <v>0</v>
      </c>
      <c r="R967" t="s">
        <v>47307</v>
      </c>
      <c r="S967" t="s">
        <v>47416</v>
      </c>
      <c r="T967" t="s">
        <v>48986</v>
      </c>
      <c r="U967" t="s">
        <v>50430</v>
      </c>
      <c r="V967" t="s">
        <v>62766</v>
      </c>
      <c r="W967" t="s">
        <v>43412</v>
      </c>
      <c r="X967" t="s">
        <v>47306</v>
      </c>
    </row>
    <row r="968" spans="1:24">
      <c r="A968">
        <f>HYPERLINK("https://www.philgeps.gov.ph/GEPSNONPILOT/Tender/SplashBidNoticeAbstractUI.aspx?menuIndex=3&amp;refID=7198447&amp;Result=3","7198447")</f>
        <v>0</v>
      </c>
      <c r="B968" t="s">
        <v>463</v>
      </c>
      <c r="C968" t="s">
        <v>4799</v>
      </c>
      <c r="D968" t="s">
        <v>19013</v>
      </c>
      <c r="E968" t="s">
        <v>19145</v>
      </c>
      <c r="F968" t="s">
        <v>32606</v>
      </c>
      <c r="G968" t="s">
        <v>32613</v>
      </c>
      <c r="H968" t="s">
        <v>14201</v>
      </c>
      <c r="I968" t="s">
        <v>6931</v>
      </c>
      <c r="J968" t="s">
        <v>33497</v>
      </c>
      <c r="K968" t="s">
        <v>42623</v>
      </c>
      <c r="M968" t="s">
        <v>43373</v>
      </c>
      <c r="N968" t="s">
        <v>47304</v>
      </c>
      <c r="O968" t="s">
        <v>47305</v>
      </c>
      <c r="P968">
        <v>0</v>
      </c>
      <c r="Q968">
        <v>0</v>
      </c>
      <c r="R968" t="s">
        <v>47307</v>
      </c>
      <c r="S968" t="s">
        <v>47416</v>
      </c>
      <c r="T968" t="s">
        <v>48971</v>
      </c>
      <c r="U968" t="s">
        <v>50431</v>
      </c>
      <c r="W968" t="s">
        <v>43373</v>
      </c>
      <c r="X968" t="s">
        <v>47306</v>
      </c>
    </row>
    <row r="969" spans="1:24">
      <c r="A969">
        <f>HYPERLINK("https://www.philgeps.gov.ph/GEPSNONPILOT/Tender/SplashBidNoticeAbstractUI.aspx?menuIndex=3&amp;refID=7198440&amp;Result=3","7198440")</f>
        <v>0</v>
      </c>
      <c r="B969" t="s">
        <v>500</v>
      </c>
      <c r="C969" t="s">
        <v>4800</v>
      </c>
      <c r="D969" t="s">
        <v>19024</v>
      </c>
      <c r="E969" t="s">
        <v>19998</v>
      </c>
      <c r="F969" t="s">
        <v>32607</v>
      </c>
      <c r="G969" t="s">
        <v>32614</v>
      </c>
      <c r="H969" t="s">
        <v>14201</v>
      </c>
      <c r="I969" t="s">
        <v>32633</v>
      </c>
      <c r="J969" t="s">
        <v>33498</v>
      </c>
      <c r="K969" t="s">
        <v>42632</v>
      </c>
      <c r="M969" t="s">
        <v>43413</v>
      </c>
      <c r="N969" t="s">
        <v>47304</v>
      </c>
      <c r="O969" t="s">
        <v>47305</v>
      </c>
      <c r="P969">
        <v>0</v>
      </c>
      <c r="Q969">
        <v>0</v>
      </c>
      <c r="R969" t="s">
        <v>47307</v>
      </c>
      <c r="S969" t="s">
        <v>47416</v>
      </c>
      <c r="T969" t="s">
        <v>49028</v>
      </c>
      <c r="U969" t="s">
        <v>50432</v>
      </c>
      <c r="W969" t="s">
        <v>43413</v>
      </c>
      <c r="X969" t="s">
        <v>47306</v>
      </c>
    </row>
    <row r="970" spans="1:24">
      <c r="A970">
        <f>HYPERLINK("https://www.philgeps.gov.ph/GEPSNONPILOT/Tender/SplashBidNoticeAbstractUI.aspx?menuIndex=3&amp;refID=7198530&amp;Result=3","7198530")</f>
        <v>0</v>
      </c>
      <c r="B970" t="s">
        <v>501</v>
      </c>
      <c r="C970" t="s">
        <v>4801</v>
      </c>
      <c r="D970" t="s">
        <v>19018</v>
      </c>
      <c r="E970" t="s">
        <v>19312</v>
      </c>
      <c r="F970" t="s">
        <v>32606</v>
      </c>
      <c r="G970" t="s">
        <v>32614</v>
      </c>
      <c r="H970" t="s">
        <v>14201</v>
      </c>
      <c r="I970" t="s">
        <v>32646</v>
      </c>
      <c r="J970" t="s">
        <v>32973</v>
      </c>
      <c r="K970" t="s">
        <v>42624</v>
      </c>
      <c r="M970" t="s">
        <v>43414</v>
      </c>
      <c r="N970" t="s">
        <v>47304</v>
      </c>
      <c r="O970" t="s">
        <v>47305</v>
      </c>
      <c r="P970">
        <v>0</v>
      </c>
      <c r="Q970">
        <v>0</v>
      </c>
      <c r="R970" t="s">
        <v>47307</v>
      </c>
      <c r="S970" t="s">
        <v>47416</v>
      </c>
      <c r="T970" t="s">
        <v>48988</v>
      </c>
      <c r="U970" t="s">
        <v>50433</v>
      </c>
      <c r="W970" t="s">
        <v>43414</v>
      </c>
      <c r="X970" t="s">
        <v>47306</v>
      </c>
    </row>
    <row r="971" spans="1:24">
      <c r="A971">
        <f>HYPERLINK("https://www.philgeps.gov.ph/GEPSNONPILOT/Tender/SplashBidNoticeAbstractUI.aspx?menuIndex=3&amp;refID=7198300&amp;Result=3","7198300")</f>
        <v>0</v>
      </c>
      <c r="B971" t="s">
        <v>399</v>
      </c>
      <c r="C971" t="s">
        <v>4802</v>
      </c>
      <c r="E971" t="s">
        <v>19999</v>
      </c>
      <c r="F971" t="s">
        <v>32606</v>
      </c>
      <c r="G971" t="s">
        <v>32613</v>
      </c>
      <c r="H971" t="s">
        <v>14201</v>
      </c>
      <c r="I971" t="s">
        <v>7677</v>
      </c>
      <c r="J971" t="s">
        <v>33499</v>
      </c>
      <c r="K971" t="s">
        <v>42624</v>
      </c>
      <c r="M971" t="s">
        <v>43302</v>
      </c>
      <c r="N971" t="s">
        <v>47304</v>
      </c>
      <c r="O971" t="s">
        <v>47305</v>
      </c>
      <c r="P971">
        <v>0</v>
      </c>
      <c r="Q971">
        <v>0</v>
      </c>
      <c r="R971" t="s">
        <v>47307</v>
      </c>
      <c r="S971" t="s">
        <v>47416</v>
      </c>
      <c r="T971" t="s">
        <v>49103</v>
      </c>
      <c r="U971" t="s">
        <v>50434</v>
      </c>
      <c r="W971" t="s">
        <v>43302</v>
      </c>
      <c r="X971" t="s">
        <v>47306</v>
      </c>
    </row>
    <row r="972" spans="1:24">
      <c r="A972">
        <f>HYPERLINK("https://www.philgeps.gov.ph/GEPSNONPILOT/Tender/SplashBidNoticeAbstractUI.aspx?menuIndex=3&amp;refID=7198297&amp;Result=3","7198297")</f>
        <v>0</v>
      </c>
      <c r="B972" t="s">
        <v>427</v>
      </c>
      <c r="C972" t="s">
        <v>4803</v>
      </c>
      <c r="D972" t="s">
        <v>18995</v>
      </c>
      <c r="E972" t="s">
        <v>20000</v>
      </c>
      <c r="F972" t="s">
        <v>32606</v>
      </c>
      <c r="G972" t="s">
        <v>32614</v>
      </c>
      <c r="H972" t="s">
        <v>14201</v>
      </c>
      <c r="I972" t="s">
        <v>7677</v>
      </c>
      <c r="J972" t="s">
        <v>33387</v>
      </c>
      <c r="K972" t="s">
        <v>42625</v>
      </c>
      <c r="M972" t="s">
        <v>43331</v>
      </c>
      <c r="N972" t="s">
        <v>47304</v>
      </c>
      <c r="O972" t="s">
        <v>47305</v>
      </c>
      <c r="P972">
        <v>0</v>
      </c>
      <c r="Q972">
        <v>0</v>
      </c>
      <c r="R972" t="s">
        <v>47307</v>
      </c>
      <c r="S972" t="s">
        <v>47416</v>
      </c>
      <c r="T972" t="s">
        <v>49028</v>
      </c>
      <c r="U972" t="s">
        <v>50435</v>
      </c>
      <c r="W972" t="s">
        <v>43331</v>
      </c>
      <c r="X972" t="s">
        <v>47306</v>
      </c>
    </row>
    <row r="973" spans="1:24">
      <c r="A973">
        <f>HYPERLINK("https://www.philgeps.gov.ph/GEPSNONPILOT/Tender/SplashBidNoticeAbstractUI.aspx?menuIndex=3&amp;refID=7198581&amp;Result=3","7198581")</f>
        <v>0</v>
      </c>
      <c r="B973" t="s">
        <v>502</v>
      </c>
      <c r="C973" t="s">
        <v>3971</v>
      </c>
      <c r="D973" t="s">
        <v>19061</v>
      </c>
      <c r="E973" t="s">
        <v>20001</v>
      </c>
      <c r="F973" t="s">
        <v>32606</v>
      </c>
      <c r="G973" t="s">
        <v>32621</v>
      </c>
      <c r="H973" t="s">
        <v>14201</v>
      </c>
      <c r="I973" t="s">
        <v>4120</v>
      </c>
      <c r="J973" t="s">
        <v>33500</v>
      </c>
      <c r="K973" t="s">
        <v>42624</v>
      </c>
      <c r="M973" t="s">
        <v>43415</v>
      </c>
      <c r="N973" t="s">
        <v>47304</v>
      </c>
      <c r="O973" t="s">
        <v>47305</v>
      </c>
      <c r="P973">
        <v>0</v>
      </c>
      <c r="Q973">
        <v>0</v>
      </c>
      <c r="R973" t="s">
        <v>47307</v>
      </c>
      <c r="S973" t="s">
        <v>47416</v>
      </c>
      <c r="T973" t="s">
        <v>49015</v>
      </c>
      <c r="U973" t="s">
        <v>50436</v>
      </c>
      <c r="V973" t="s">
        <v>62767</v>
      </c>
      <c r="W973" t="s">
        <v>43415</v>
      </c>
      <c r="X973" t="s">
        <v>47306</v>
      </c>
    </row>
    <row r="974" spans="1:24">
      <c r="A974">
        <f>HYPERLINK("https://www.philgeps.gov.ph/GEPSNONPILOT/Tender/SplashBidNoticeAbstractUI.aspx?menuIndex=3&amp;refID=7198605&amp;Result=3","7198605")</f>
        <v>0</v>
      </c>
      <c r="B974" t="s">
        <v>503</v>
      </c>
      <c r="C974" t="s">
        <v>4804</v>
      </c>
      <c r="D974" t="s">
        <v>19033</v>
      </c>
      <c r="E974" t="s">
        <v>20002</v>
      </c>
      <c r="F974" t="s">
        <v>32606</v>
      </c>
      <c r="G974" t="s">
        <v>32613</v>
      </c>
      <c r="H974" t="s">
        <v>32625</v>
      </c>
      <c r="I974" t="s">
        <v>32625</v>
      </c>
      <c r="J974" t="s">
        <v>33501</v>
      </c>
      <c r="K974" t="s">
        <v>42631</v>
      </c>
      <c r="M974" t="s">
        <v>43416</v>
      </c>
      <c r="N974" t="s">
        <v>47304</v>
      </c>
      <c r="O974" t="s">
        <v>47305</v>
      </c>
      <c r="P974">
        <v>0</v>
      </c>
      <c r="Q974">
        <v>0</v>
      </c>
      <c r="R974" t="s">
        <v>47307</v>
      </c>
      <c r="S974" t="s">
        <v>47416</v>
      </c>
      <c r="T974" t="s">
        <v>49136</v>
      </c>
      <c r="U974" t="s">
        <v>50437</v>
      </c>
      <c r="V974" t="s">
        <v>62768</v>
      </c>
      <c r="W974" t="s">
        <v>43416</v>
      </c>
      <c r="X974" t="s">
        <v>47306</v>
      </c>
    </row>
    <row r="975" spans="1:24">
      <c r="A975">
        <f>HYPERLINK("https://www.philgeps.gov.ph/GEPSNONPILOT/Tender/SplashBidNoticeAbstractUI.aspx?menuIndex=3&amp;refID=7198448&amp;Result=3","7198448")</f>
        <v>0</v>
      </c>
      <c r="B975" t="s">
        <v>238</v>
      </c>
      <c r="C975" t="s">
        <v>4805</v>
      </c>
      <c r="D975" t="s">
        <v>18993</v>
      </c>
      <c r="E975" t="s">
        <v>20003</v>
      </c>
      <c r="F975" t="s">
        <v>32606</v>
      </c>
      <c r="G975" t="s">
        <v>32614</v>
      </c>
      <c r="H975" t="s">
        <v>14201</v>
      </c>
      <c r="I975" t="s">
        <v>32652</v>
      </c>
      <c r="J975" t="s">
        <v>33502</v>
      </c>
      <c r="K975" t="s">
        <v>42622</v>
      </c>
      <c r="M975" t="s">
        <v>43357</v>
      </c>
      <c r="N975" t="s">
        <v>47304</v>
      </c>
      <c r="O975" t="s">
        <v>47305</v>
      </c>
      <c r="P975">
        <v>0</v>
      </c>
      <c r="Q975">
        <v>0</v>
      </c>
      <c r="R975" t="s">
        <v>47307</v>
      </c>
      <c r="S975" t="s">
        <v>47416</v>
      </c>
      <c r="T975" t="s">
        <v>49137</v>
      </c>
      <c r="U975" t="s">
        <v>50438</v>
      </c>
      <c r="V975" t="s">
        <v>62749</v>
      </c>
      <c r="W975" t="s">
        <v>43357</v>
      </c>
      <c r="X975" t="s">
        <v>47306</v>
      </c>
    </row>
    <row r="976" spans="1:24">
      <c r="A976">
        <f>HYPERLINK("https://www.philgeps.gov.ph/GEPSNONPILOT/Tender/SplashBidNoticeAbstractUI.aspx?menuIndex=3&amp;refID=7198298&amp;Result=3","7198298")</f>
        <v>0</v>
      </c>
      <c r="B976" t="s">
        <v>456</v>
      </c>
      <c r="C976" t="s">
        <v>4806</v>
      </c>
      <c r="D976" t="s">
        <v>19024</v>
      </c>
      <c r="E976" t="s">
        <v>20004</v>
      </c>
      <c r="F976" t="s">
        <v>32606</v>
      </c>
      <c r="G976" t="s">
        <v>32614</v>
      </c>
      <c r="H976" t="s">
        <v>14201</v>
      </c>
      <c r="I976" t="s">
        <v>4114</v>
      </c>
      <c r="J976" t="s">
        <v>33503</v>
      </c>
      <c r="K976" t="s">
        <v>42624</v>
      </c>
      <c r="M976" t="s">
        <v>43366</v>
      </c>
      <c r="N976" t="s">
        <v>47304</v>
      </c>
      <c r="O976" t="s">
        <v>47305</v>
      </c>
      <c r="P976">
        <v>0</v>
      </c>
      <c r="Q976">
        <v>0</v>
      </c>
      <c r="R976" t="s">
        <v>47307</v>
      </c>
      <c r="S976" t="s">
        <v>47416</v>
      </c>
      <c r="T976" t="s">
        <v>49015</v>
      </c>
      <c r="U976" t="s">
        <v>50439</v>
      </c>
      <c r="W976" t="s">
        <v>43366</v>
      </c>
      <c r="X976" t="s">
        <v>47306</v>
      </c>
    </row>
    <row r="977" spans="1:24">
      <c r="A977">
        <f>HYPERLINK("https://www.philgeps.gov.ph/GEPSNONPILOT/Tender/SplashBidNoticeAbstractUI.aspx?menuIndex=3&amp;refID=7198494&amp;Result=3","7198494")</f>
        <v>0</v>
      </c>
      <c r="B977" t="s">
        <v>494</v>
      </c>
      <c r="C977" t="s">
        <v>4807</v>
      </c>
      <c r="D977" t="s">
        <v>19006</v>
      </c>
      <c r="E977" t="s">
        <v>20005</v>
      </c>
      <c r="F977" t="s">
        <v>32607</v>
      </c>
      <c r="G977" t="s">
        <v>32613</v>
      </c>
      <c r="H977" t="s">
        <v>14201</v>
      </c>
      <c r="I977" t="s">
        <v>32633</v>
      </c>
      <c r="J977" t="s">
        <v>33504</v>
      </c>
      <c r="K977" t="s">
        <v>42631</v>
      </c>
      <c r="M977" t="s">
        <v>43407</v>
      </c>
      <c r="N977" t="s">
        <v>47304</v>
      </c>
      <c r="O977" t="s">
        <v>47305</v>
      </c>
      <c r="P977">
        <v>0</v>
      </c>
      <c r="Q977">
        <v>0</v>
      </c>
      <c r="R977" t="s">
        <v>47307</v>
      </c>
      <c r="S977" t="s">
        <v>47416</v>
      </c>
      <c r="T977" t="s">
        <v>49008</v>
      </c>
      <c r="U977" t="s">
        <v>50440</v>
      </c>
      <c r="V977" t="s">
        <v>62764</v>
      </c>
      <c r="W977" t="s">
        <v>43407</v>
      </c>
      <c r="X977" t="s">
        <v>47306</v>
      </c>
    </row>
    <row r="978" spans="1:24">
      <c r="A978">
        <f>HYPERLINK("https://www.philgeps.gov.ph/GEPSNONPILOT/Tender/SplashBidNoticeAbstractUI.aspx?menuIndex=3&amp;refID=7198599&amp;Result=3","7198599")</f>
        <v>0</v>
      </c>
      <c r="B978" t="s">
        <v>504</v>
      </c>
      <c r="C978" t="s">
        <v>4808</v>
      </c>
      <c r="D978" t="s">
        <v>19014</v>
      </c>
      <c r="E978" t="s">
        <v>20006</v>
      </c>
      <c r="F978" t="s">
        <v>32606</v>
      </c>
      <c r="G978" t="s">
        <v>32613</v>
      </c>
      <c r="H978" t="s">
        <v>14201</v>
      </c>
      <c r="I978" t="s">
        <v>6931</v>
      </c>
      <c r="J978" t="s">
        <v>33505</v>
      </c>
      <c r="K978" t="s">
        <v>42638</v>
      </c>
      <c r="M978" t="s">
        <v>43417</v>
      </c>
      <c r="N978" t="s">
        <v>47304</v>
      </c>
      <c r="O978" t="s">
        <v>47305</v>
      </c>
      <c r="P978">
        <v>0</v>
      </c>
      <c r="Q978">
        <v>0</v>
      </c>
      <c r="R978" t="s">
        <v>47307</v>
      </c>
      <c r="S978" t="s">
        <v>47416</v>
      </c>
      <c r="T978" t="s">
        <v>49028</v>
      </c>
      <c r="U978" t="s">
        <v>50441</v>
      </c>
      <c r="W978" t="s">
        <v>43417</v>
      </c>
      <c r="X978" t="s">
        <v>47306</v>
      </c>
    </row>
    <row r="979" spans="1:24">
      <c r="A979">
        <f>HYPERLINK("https://www.philgeps.gov.ph/GEPSNONPILOT/Tender/SplashBidNoticeAbstractUI.aspx?menuIndex=3&amp;refID=7198604&amp;Result=3","7198604")</f>
        <v>0</v>
      </c>
      <c r="B979" t="s">
        <v>505</v>
      </c>
      <c r="C979" t="s">
        <v>4809</v>
      </c>
      <c r="D979" t="s">
        <v>19043</v>
      </c>
      <c r="E979" t="s">
        <v>20007</v>
      </c>
      <c r="F979" t="s">
        <v>32606</v>
      </c>
      <c r="G979" t="s">
        <v>32614</v>
      </c>
      <c r="H979" t="s">
        <v>14201</v>
      </c>
      <c r="I979" t="s">
        <v>32625</v>
      </c>
      <c r="J979" t="s">
        <v>33506</v>
      </c>
      <c r="K979" t="s">
        <v>42630</v>
      </c>
      <c r="M979" t="s">
        <v>43418</v>
      </c>
      <c r="N979" t="s">
        <v>47304</v>
      </c>
      <c r="O979" t="s">
        <v>47305</v>
      </c>
      <c r="P979">
        <v>0</v>
      </c>
      <c r="Q979">
        <v>0</v>
      </c>
      <c r="R979" t="s">
        <v>47307</v>
      </c>
      <c r="S979" t="s">
        <v>47416</v>
      </c>
      <c r="T979" t="s">
        <v>48976</v>
      </c>
      <c r="U979" t="s">
        <v>50442</v>
      </c>
      <c r="W979" t="s">
        <v>43418</v>
      </c>
      <c r="X979" t="s">
        <v>47306</v>
      </c>
    </row>
    <row r="980" spans="1:24">
      <c r="A980">
        <f>HYPERLINK("https://www.philgeps.gov.ph/GEPSNONPILOT/Tender/SplashBidNoticeAbstractUI.aspx?menuIndex=3&amp;refID=7198470&amp;Result=3","7198470")</f>
        <v>0</v>
      </c>
      <c r="B980" t="s">
        <v>185</v>
      </c>
      <c r="C980" t="s">
        <v>4810</v>
      </c>
      <c r="D980" t="s">
        <v>19025</v>
      </c>
      <c r="E980" t="s">
        <v>20008</v>
      </c>
      <c r="F980" t="s">
        <v>32606</v>
      </c>
      <c r="G980" t="s">
        <v>32613</v>
      </c>
      <c r="H980" t="s">
        <v>14201</v>
      </c>
      <c r="I980" t="s">
        <v>32629</v>
      </c>
      <c r="J980" t="s">
        <v>33507</v>
      </c>
      <c r="K980" t="s">
        <v>42622</v>
      </c>
      <c r="M980" t="s">
        <v>43350</v>
      </c>
      <c r="N980" t="s">
        <v>47304</v>
      </c>
      <c r="O980" t="s">
        <v>47305</v>
      </c>
      <c r="P980">
        <v>0</v>
      </c>
      <c r="Q980">
        <v>0</v>
      </c>
      <c r="R980" t="s">
        <v>47307</v>
      </c>
      <c r="S980" t="s">
        <v>47416</v>
      </c>
      <c r="T980" t="s">
        <v>49121</v>
      </c>
      <c r="U980" t="s">
        <v>50321</v>
      </c>
      <c r="V980" t="s">
        <v>62747</v>
      </c>
      <c r="W980" t="s">
        <v>64433</v>
      </c>
      <c r="X980" t="s">
        <v>47306</v>
      </c>
    </row>
    <row r="981" spans="1:24">
      <c r="A981">
        <f>HYPERLINK("https://www.philgeps.gov.ph/GEPSNONPILOT/Tender/SplashBidNoticeAbstractUI.aspx?menuIndex=3&amp;refID=7198596&amp;Result=3","7198596")</f>
        <v>0</v>
      </c>
      <c r="B981" t="s">
        <v>447</v>
      </c>
      <c r="C981" t="s">
        <v>4811</v>
      </c>
      <c r="D981" t="s">
        <v>18990</v>
      </c>
      <c r="E981" t="s">
        <v>20009</v>
      </c>
      <c r="F981" t="s">
        <v>32606</v>
      </c>
      <c r="G981" t="s">
        <v>32614</v>
      </c>
      <c r="H981" t="s">
        <v>14201</v>
      </c>
      <c r="I981" t="s">
        <v>6931</v>
      </c>
      <c r="J981" t="s">
        <v>33508</v>
      </c>
      <c r="K981" t="s">
        <v>42625</v>
      </c>
      <c r="M981" t="s">
        <v>43355</v>
      </c>
      <c r="N981" t="s">
        <v>47304</v>
      </c>
      <c r="O981" t="s">
        <v>47305</v>
      </c>
      <c r="P981">
        <v>0</v>
      </c>
      <c r="Q981">
        <v>0</v>
      </c>
      <c r="R981" t="s">
        <v>47307</v>
      </c>
      <c r="S981" t="s">
        <v>47416</v>
      </c>
      <c r="T981" t="s">
        <v>49015</v>
      </c>
      <c r="U981" t="s">
        <v>50443</v>
      </c>
      <c r="V981" t="s">
        <v>62748</v>
      </c>
      <c r="W981" t="s">
        <v>43355</v>
      </c>
      <c r="X981" t="s">
        <v>47306</v>
      </c>
    </row>
    <row r="982" spans="1:24">
      <c r="A982">
        <f>HYPERLINK("https://www.philgeps.gov.ph/GEPSNONPILOT/Tender/SplashBidNoticeAbstractUI.aspx?menuIndex=3&amp;refID=7198594&amp;Result=3","7198594")</f>
        <v>0</v>
      </c>
      <c r="B982" t="s">
        <v>369</v>
      </c>
      <c r="C982" t="s">
        <v>4812</v>
      </c>
      <c r="E982" t="s">
        <v>20010</v>
      </c>
      <c r="F982" t="s">
        <v>32606</v>
      </c>
      <c r="G982" t="s">
        <v>32613</v>
      </c>
      <c r="H982" t="s">
        <v>32623</v>
      </c>
      <c r="I982" t="s">
        <v>6931</v>
      </c>
      <c r="J982" t="s">
        <v>33509</v>
      </c>
      <c r="K982" t="s">
        <v>42630</v>
      </c>
      <c r="M982" t="s">
        <v>43271</v>
      </c>
      <c r="N982" t="s">
        <v>47304</v>
      </c>
      <c r="O982" t="s">
        <v>47305</v>
      </c>
      <c r="P982">
        <v>0</v>
      </c>
      <c r="Q982">
        <v>0</v>
      </c>
      <c r="R982" t="s">
        <v>47307</v>
      </c>
      <c r="S982" t="s">
        <v>47416</v>
      </c>
      <c r="T982" t="s">
        <v>49028</v>
      </c>
      <c r="U982" t="s">
        <v>50444</v>
      </c>
      <c r="W982" t="s">
        <v>43271</v>
      </c>
      <c r="X982" t="s">
        <v>47306</v>
      </c>
    </row>
    <row r="983" spans="1:24">
      <c r="A983">
        <f>HYPERLINK("https://www.philgeps.gov.ph/GEPSNONPILOT/Tender/SplashBidNoticeAbstractUI.aspx?menuIndex=3&amp;refID=7198593&amp;Result=3","7198593")</f>
        <v>0</v>
      </c>
      <c r="B983" t="s">
        <v>506</v>
      </c>
      <c r="C983" t="s">
        <v>4813</v>
      </c>
      <c r="D983" t="s">
        <v>19006</v>
      </c>
      <c r="E983" t="s">
        <v>20011</v>
      </c>
      <c r="F983" t="s">
        <v>32606</v>
      </c>
      <c r="G983" t="s">
        <v>32614</v>
      </c>
      <c r="H983" t="s">
        <v>14201</v>
      </c>
      <c r="I983" t="s">
        <v>4678</v>
      </c>
      <c r="J983" t="s">
        <v>32813</v>
      </c>
      <c r="K983" t="s">
        <v>42632</v>
      </c>
      <c r="M983" t="s">
        <v>43419</v>
      </c>
      <c r="N983" t="s">
        <v>47304</v>
      </c>
      <c r="O983" t="s">
        <v>47305</v>
      </c>
      <c r="P983">
        <v>0</v>
      </c>
      <c r="Q983">
        <v>0</v>
      </c>
      <c r="R983" t="s">
        <v>47307</v>
      </c>
      <c r="S983" t="s">
        <v>47416</v>
      </c>
      <c r="T983" t="s">
        <v>49081</v>
      </c>
      <c r="U983" t="s">
        <v>50445</v>
      </c>
      <c r="W983" t="s">
        <v>43419</v>
      </c>
      <c r="X983" t="s">
        <v>47306</v>
      </c>
    </row>
    <row r="984" spans="1:24">
      <c r="A984">
        <f>HYPERLINK("https://www.philgeps.gov.ph/GEPSNONPILOT/Tender/SplashBidNoticeAbstractUI.aspx?menuIndex=3&amp;refID=7198598&amp;Result=3","7198598")</f>
        <v>0</v>
      </c>
      <c r="B984" t="s">
        <v>210</v>
      </c>
      <c r="C984" t="s">
        <v>4814</v>
      </c>
      <c r="D984" t="s">
        <v>18986</v>
      </c>
      <c r="E984" t="s">
        <v>20012</v>
      </c>
      <c r="F984" t="s">
        <v>32606</v>
      </c>
      <c r="G984" t="s">
        <v>32613</v>
      </c>
      <c r="H984" t="s">
        <v>32623</v>
      </c>
      <c r="I984" t="s">
        <v>17648</v>
      </c>
      <c r="J984" t="s">
        <v>33510</v>
      </c>
      <c r="K984" t="s">
        <v>42692</v>
      </c>
      <c r="M984" t="s">
        <v>43111</v>
      </c>
      <c r="N984" t="s">
        <v>47304</v>
      </c>
      <c r="O984" t="s">
        <v>47305</v>
      </c>
      <c r="P984">
        <v>0</v>
      </c>
      <c r="Q984">
        <v>0</v>
      </c>
      <c r="R984" t="s">
        <v>47307</v>
      </c>
      <c r="S984" t="s">
        <v>47416</v>
      </c>
      <c r="T984" t="s">
        <v>49033</v>
      </c>
      <c r="U984" t="s">
        <v>50446</v>
      </c>
      <c r="W984" t="s">
        <v>43111</v>
      </c>
      <c r="X984" t="s">
        <v>47306</v>
      </c>
    </row>
    <row r="985" spans="1:24">
      <c r="A985">
        <f>HYPERLINK("https://www.philgeps.gov.ph/GEPSNONPILOT/Tender/SplashBidNoticeAbstractUI.aspx?menuIndex=3&amp;refID=7198529&amp;Result=3","7198529")</f>
        <v>0</v>
      </c>
      <c r="B985" t="s">
        <v>447</v>
      </c>
      <c r="C985" t="s">
        <v>4815</v>
      </c>
      <c r="D985" t="s">
        <v>18990</v>
      </c>
      <c r="E985" t="s">
        <v>20013</v>
      </c>
      <c r="F985" t="s">
        <v>32606</v>
      </c>
      <c r="G985" t="s">
        <v>32614</v>
      </c>
      <c r="H985" t="s">
        <v>14201</v>
      </c>
      <c r="I985" t="s">
        <v>6931</v>
      </c>
      <c r="J985" t="s">
        <v>33511</v>
      </c>
      <c r="K985" t="s">
        <v>42625</v>
      </c>
      <c r="M985" t="s">
        <v>43355</v>
      </c>
      <c r="N985" t="s">
        <v>47304</v>
      </c>
      <c r="O985" t="s">
        <v>47305</v>
      </c>
      <c r="P985">
        <v>0</v>
      </c>
      <c r="Q985">
        <v>0</v>
      </c>
      <c r="R985" t="s">
        <v>47307</v>
      </c>
      <c r="S985" t="s">
        <v>47416</v>
      </c>
      <c r="T985" t="s">
        <v>49015</v>
      </c>
      <c r="U985" t="s">
        <v>50447</v>
      </c>
      <c r="V985" t="s">
        <v>62748</v>
      </c>
      <c r="W985" t="s">
        <v>43355</v>
      </c>
      <c r="X985" t="s">
        <v>47306</v>
      </c>
    </row>
    <row r="986" spans="1:24">
      <c r="A986">
        <f>HYPERLINK("https://www.philgeps.gov.ph/GEPSNONPILOT/Tender/SplashBidNoticeAbstractUI.aspx?menuIndex=3&amp;refID=7198589&amp;Result=3","7198589")</f>
        <v>0</v>
      </c>
      <c r="B986" t="s">
        <v>467</v>
      </c>
      <c r="C986" t="s">
        <v>4816</v>
      </c>
      <c r="D986" t="s">
        <v>19004</v>
      </c>
      <c r="E986" t="s">
        <v>20014</v>
      </c>
      <c r="F986" t="s">
        <v>32606</v>
      </c>
      <c r="G986" t="s">
        <v>32614</v>
      </c>
      <c r="H986" t="s">
        <v>14201</v>
      </c>
      <c r="I986" t="s">
        <v>32691</v>
      </c>
      <c r="J986" t="s">
        <v>33512</v>
      </c>
      <c r="K986" t="s">
        <v>42624</v>
      </c>
      <c r="M986" t="s">
        <v>43378</v>
      </c>
      <c r="N986" t="s">
        <v>47304</v>
      </c>
      <c r="O986" t="s">
        <v>47305</v>
      </c>
      <c r="P986">
        <v>0</v>
      </c>
      <c r="Q986">
        <v>0</v>
      </c>
      <c r="R986" t="s">
        <v>47307</v>
      </c>
      <c r="S986" t="s">
        <v>47416</v>
      </c>
      <c r="T986" t="s">
        <v>48996</v>
      </c>
      <c r="U986" t="s">
        <v>50376</v>
      </c>
      <c r="W986" t="s">
        <v>43378</v>
      </c>
      <c r="X986" t="s">
        <v>47306</v>
      </c>
    </row>
    <row r="987" spans="1:24">
      <c r="A987">
        <f>HYPERLINK("https://www.philgeps.gov.ph/GEPSNONPILOT/Tender/SplashBidNoticeAbstractUI.aspx?menuIndex=3&amp;refID=7198631&amp;Result=3","7198631")</f>
        <v>0</v>
      </c>
      <c r="B987" t="s">
        <v>507</v>
      </c>
      <c r="C987" t="s">
        <v>4817</v>
      </c>
      <c r="E987" t="s">
        <v>20015</v>
      </c>
      <c r="F987" t="s">
        <v>32606</v>
      </c>
      <c r="G987" t="s">
        <v>32614</v>
      </c>
      <c r="H987" t="s">
        <v>14201</v>
      </c>
      <c r="I987" t="s">
        <v>4369</v>
      </c>
      <c r="J987" t="s">
        <v>33513</v>
      </c>
      <c r="K987" t="s">
        <v>42624</v>
      </c>
      <c r="M987" t="s">
        <v>43420</v>
      </c>
      <c r="N987" t="s">
        <v>47304</v>
      </c>
      <c r="O987" t="s">
        <v>47305</v>
      </c>
      <c r="P987">
        <v>0</v>
      </c>
      <c r="Q987">
        <v>0</v>
      </c>
      <c r="R987" t="s">
        <v>47307</v>
      </c>
      <c r="S987" t="s">
        <v>47416</v>
      </c>
      <c r="T987" t="s">
        <v>49108</v>
      </c>
      <c r="U987" t="s">
        <v>50448</v>
      </c>
      <c r="W987" t="s">
        <v>43420</v>
      </c>
      <c r="X987" t="s">
        <v>47306</v>
      </c>
    </row>
    <row r="988" spans="1:24">
      <c r="A988">
        <f>HYPERLINK("https://www.philgeps.gov.ph/GEPSNONPILOT/Tender/SplashBidNoticeAbstractUI.aspx?menuIndex=3&amp;refID=7198629&amp;Result=3","7198629")</f>
        <v>0</v>
      </c>
      <c r="B988" t="s">
        <v>328</v>
      </c>
      <c r="C988" t="s">
        <v>4818</v>
      </c>
      <c r="D988" t="s">
        <v>19028</v>
      </c>
      <c r="E988" t="s">
        <v>20016</v>
      </c>
      <c r="F988" t="s">
        <v>32606</v>
      </c>
      <c r="G988" t="s">
        <v>32613</v>
      </c>
      <c r="H988" t="s">
        <v>32623</v>
      </c>
      <c r="I988" t="s">
        <v>17648</v>
      </c>
      <c r="J988" t="s">
        <v>33514</v>
      </c>
      <c r="K988" t="s">
        <v>42646</v>
      </c>
      <c r="M988" t="s">
        <v>43230</v>
      </c>
      <c r="N988" t="s">
        <v>47304</v>
      </c>
      <c r="O988" t="s">
        <v>47305</v>
      </c>
      <c r="P988">
        <v>0</v>
      </c>
      <c r="Q988">
        <v>0</v>
      </c>
      <c r="R988" t="s">
        <v>47307</v>
      </c>
      <c r="S988" t="s">
        <v>47416</v>
      </c>
      <c r="T988" t="s">
        <v>49096</v>
      </c>
      <c r="U988" t="s">
        <v>50449</v>
      </c>
      <c r="W988" t="s">
        <v>43230</v>
      </c>
      <c r="X988" t="s">
        <v>47306</v>
      </c>
    </row>
    <row r="989" spans="1:24">
      <c r="A989">
        <f>HYPERLINK("https://www.philgeps.gov.ph/GEPSNONPILOT/Tender/SplashBidNoticeAbstractUI.aspx?menuIndex=3&amp;refID=7198628&amp;Result=3","7198628")</f>
        <v>0</v>
      </c>
      <c r="B989" t="s">
        <v>419</v>
      </c>
      <c r="C989" t="s">
        <v>4819</v>
      </c>
      <c r="D989" t="s">
        <v>18993</v>
      </c>
      <c r="E989" t="s">
        <v>19832</v>
      </c>
      <c r="F989" t="s">
        <v>32607</v>
      </c>
      <c r="G989" t="s">
        <v>32613</v>
      </c>
      <c r="H989" t="s">
        <v>14201</v>
      </c>
      <c r="I989" t="s">
        <v>6478</v>
      </c>
      <c r="J989" t="s">
        <v>32778</v>
      </c>
      <c r="K989" t="s">
        <v>42631</v>
      </c>
      <c r="L989" t="s">
        <v>419</v>
      </c>
      <c r="M989" t="s">
        <v>43323</v>
      </c>
      <c r="N989" t="s">
        <v>47304</v>
      </c>
      <c r="O989" t="s">
        <v>47305</v>
      </c>
      <c r="P989">
        <v>0</v>
      </c>
      <c r="Q989">
        <v>0</v>
      </c>
      <c r="R989" t="s">
        <v>47307</v>
      </c>
      <c r="S989" t="s">
        <v>47416</v>
      </c>
      <c r="T989" t="s">
        <v>49138</v>
      </c>
      <c r="U989" t="s">
        <v>50450</v>
      </c>
      <c r="W989" t="s">
        <v>43323</v>
      </c>
      <c r="X989" t="s">
        <v>47306</v>
      </c>
    </row>
    <row r="990" spans="1:24">
      <c r="A990">
        <f>HYPERLINK("https://www.philgeps.gov.ph/GEPSNONPILOT/Tender/SplashBidNoticeAbstractUI.aspx?menuIndex=3&amp;refID=7198499&amp;Result=3","7198499")</f>
        <v>0</v>
      </c>
      <c r="B990" t="s">
        <v>508</v>
      </c>
      <c r="C990" t="s">
        <v>4820</v>
      </c>
      <c r="D990" t="s">
        <v>19018</v>
      </c>
      <c r="E990" t="s">
        <v>19918</v>
      </c>
      <c r="F990" t="s">
        <v>32606</v>
      </c>
      <c r="G990" t="s">
        <v>32614</v>
      </c>
      <c r="H990" t="s">
        <v>14201</v>
      </c>
      <c r="I990" t="s">
        <v>32633</v>
      </c>
      <c r="J990" t="s">
        <v>32958</v>
      </c>
      <c r="K990" t="s">
        <v>42624</v>
      </c>
      <c r="M990" t="s">
        <v>43421</v>
      </c>
      <c r="N990" t="s">
        <v>47304</v>
      </c>
      <c r="O990" t="s">
        <v>47305</v>
      </c>
      <c r="P990">
        <v>0</v>
      </c>
      <c r="Q990">
        <v>0</v>
      </c>
      <c r="R990" t="s">
        <v>47307</v>
      </c>
      <c r="S990" t="s">
        <v>47416</v>
      </c>
      <c r="T990" t="s">
        <v>48988</v>
      </c>
      <c r="U990" t="s">
        <v>50433</v>
      </c>
      <c r="W990" t="s">
        <v>43421</v>
      </c>
      <c r="X990" t="s">
        <v>47306</v>
      </c>
    </row>
    <row r="991" spans="1:24">
      <c r="A991">
        <f>HYPERLINK("https://www.philgeps.gov.ph/GEPSNONPILOT/Tender/SplashBidNoticeAbstractUI.aspx?menuIndex=3&amp;refID=7198626&amp;Result=3","7198626")</f>
        <v>0</v>
      </c>
      <c r="B991" t="s">
        <v>509</v>
      </c>
      <c r="C991" t="s">
        <v>4821</v>
      </c>
      <c r="D991" t="s">
        <v>19044</v>
      </c>
      <c r="E991" t="s">
        <v>20017</v>
      </c>
      <c r="F991" t="s">
        <v>32606</v>
      </c>
      <c r="G991" t="s">
        <v>32614</v>
      </c>
      <c r="H991" t="s">
        <v>14201</v>
      </c>
      <c r="I991" t="s">
        <v>17648</v>
      </c>
      <c r="J991" t="s">
        <v>32789</v>
      </c>
      <c r="K991" t="s">
        <v>42625</v>
      </c>
      <c r="M991" t="s">
        <v>43422</v>
      </c>
      <c r="N991" t="s">
        <v>47304</v>
      </c>
      <c r="O991" t="s">
        <v>47305</v>
      </c>
      <c r="P991">
        <v>0</v>
      </c>
      <c r="Q991">
        <v>0</v>
      </c>
      <c r="R991" t="s">
        <v>47307</v>
      </c>
      <c r="S991" t="s">
        <v>47416</v>
      </c>
      <c r="T991" t="s">
        <v>49015</v>
      </c>
      <c r="U991" t="s">
        <v>50451</v>
      </c>
      <c r="W991" t="s">
        <v>43422</v>
      </c>
      <c r="X991" t="s">
        <v>47306</v>
      </c>
    </row>
    <row r="992" spans="1:24">
      <c r="A992">
        <f>HYPERLINK("https://www.philgeps.gov.ph/GEPSNONPILOT/Tender/SplashBidNoticeAbstractUI.aspx?menuIndex=3&amp;refID=7198624&amp;Result=3","7198624")</f>
        <v>0</v>
      </c>
      <c r="B992" t="s">
        <v>432</v>
      </c>
      <c r="C992" t="s">
        <v>4718</v>
      </c>
      <c r="D992" t="s">
        <v>19032</v>
      </c>
      <c r="E992" t="s">
        <v>20018</v>
      </c>
      <c r="F992" t="s">
        <v>32606</v>
      </c>
      <c r="G992" t="s">
        <v>32619</v>
      </c>
      <c r="H992" t="s">
        <v>14201</v>
      </c>
      <c r="I992" t="s">
        <v>4120</v>
      </c>
      <c r="J992" t="s">
        <v>33087</v>
      </c>
      <c r="K992" t="s">
        <v>42624</v>
      </c>
      <c r="M992" t="s">
        <v>43338</v>
      </c>
      <c r="N992" t="s">
        <v>47304</v>
      </c>
      <c r="O992" t="s">
        <v>47305</v>
      </c>
      <c r="P992">
        <v>0</v>
      </c>
      <c r="Q992">
        <v>0</v>
      </c>
      <c r="R992" t="s">
        <v>47307</v>
      </c>
      <c r="S992" t="s">
        <v>47416</v>
      </c>
      <c r="T992" t="s">
        <v>49014</v>
      </c>
      <c r="U992" t="s">
        <v>50452</v>
      </c>
      <c r="W992" t="s">
        <v>43338</v>
      </c>
      <c r="X992" t="s">
        <v>47306</v>
      </c>
    </row>
    <row r="993" spans="1:24">
      <c r="A993">
        <f>HYPERLINK("https://www.philgeps.gov.ph/GEPSNONPILOT/Tender/SplashBidNoticeAbstractUI.aspx?menuIndex=3&amp;refID=7198595&amp;Result=3","7198595")</f>
        <v>0</v>
      </c>
      <c r="B993" t="s">
        <v>387</v>
      </c>
      <c r="C993" t="s">
        <v>4822</v>
      </c>
      <c r="D993" t="s">
        <v>18988</v>
      </c>
      <c r="E993" t="s">
        <v>20019</v>
      </c>
      <c r="F993" t="s">
        <v>32606</v>
      </c>
      <c r="G993" t="s">
        <v>32613</v>
      </c>
      <c r="H993" t="s">
        <v>14201</v>
      </c>
      <c r="I993" t="s">
        <v>6931</v>
      </c>
      <c r="J993" t="s">
        <v>33515</v>
      </c>
      <c r="K993" t="s">
        <v>42627</v>
      </c>
      <c r="M993" t="s">
        <v>43290</v>
      </c>
      <c r="N993" t="s">
        <v>47304</v>
      </c>
      <c r="O993" t="s">
        <v>47305</v>
      </c>
      <c r="P993">
        <v>0</v>
      </c>
      <c r="Q993">
        <v>0</v>
      </c>
      <c r="R993" t="s">
        <v>47307</v>
      </c>
      <c r="S993" t="s">
        <v>47416</v>
      </c>
      <c r="T993" t="s">
        <v>49103</v>
      </c>
      <c r="U993" t="s">
        <v>50231</v>
      </c>
      <c r="W993" t="s">
        <v>64431</v>
      </c>
      <c r="X993" t="s">
        <v>47306</v>
      </c>
    </row>
    <row r="994" spans="1:24">
      <c r="A994">
        <f>HYPERLINK("https://www.philgeps.gov.ph/GEPSNONPILOT/Tender/SplashBidNoticeAbstractUI.aspx?menuIndex=3&amp;refID=7198623&amp;Result=3","7198623")</f>
        <v>0</v>
      </c>
      <c r="B994" t="s">
        <v>510</v>
      </c>
      <c r="C994" t="s">
        <v>4823</v>
      </c>
      <c r="D994" t="s">
        <v>19024</v>
      </c>
      <c r="E994" t="s">
        <v>20020</v>
      </c>
      <c r="F994" t="s">
        <v>32606</v>
      </c>
      <c r="G994" t="s">
        <v>32613</v>
      </c>
      <c r="H994" t="s">
        <v>14201</v>
      </c>
      <c r="I994" t="s">
        <v>6931</v>
      </c>
      <c r="J994" t="s">
        <v>33516</v>
      </c>
      <c r="K994" t="s">
        <v>42623</v>
      </c>
      <c r="M994" t="s">
        <v>43423</v>
      </c>
      <c r="N994" t="s">
        <v>47304</v>
      </c>
      <c r="O994" t="s">
        <v>47305</v>
      </c>
      <c r="P994">
        <v>0</v>
      </c>
      <c r="Q994">
        <v>0</v>
      </c>
      <c r="R994" t="s">
        <v>47307</v>
      </c>
      <c r="S994" t="s">
        <v>47416</v>
      </c>
      <c r="T994" t="s">
        <v>48971</v>
      </c>
      <c r="U994" t="s">
        <v>50453</v>
      </c>
      <c r="W994" t="s">
        <v>43423</v>
      </c>
      <c r="X994" t="s">
        <v>47306</v>
      </c>
    </row>
    <row r="995" spans="1:24">
      <c r="A995">
        <f>HYPERLINK("https://www.philgeps.gov.ph/GEPSNONPILOT/Tender/SplashBidNoticeAbstractUI.aspx?menuIndex=3&amp;refID=7198621&amp;Result=3","7198621")</f>
        <v>0</v>
      </c>
      <c r="B995" t="s">
        <v>511</v>
      </c>
      <c r="C995" t="s">
        <v>4824</v>
      </c>
      <c r="D995" t="s">
        <v>19058</v>
      </c>
      <c r="E995" t="s">
        <v>20021</v>
      </c>
      <c r="F995" t="s">
        <v>32606</v>
      </c>
      <c r="G995" t="s">
        <v>32613</v>
      </c>
      <c r="H995" t="s">
        <v>32623</v>
      </c>
      <c r="I995" t="s">
        <v>17648</v>
      </c>
      <c r="J995" t="s">
        <v>33517</v>
      </c>
      <c r="K995" t="s">
        <v>42624</v>
      </c>
      <c r="M995" t="s">
        <v>43424</v>
      </c>
      <c r="N995" t="s">
        <v>47304</v>
      </c>
      <c r="O995" t="s">
        <v>47305</v>
      </c>
      <c r="P995">
        <v>0</v>
      </c>
      <c r="Q995">
        <v>0</v>
      </c>
      <c r="R995" t="s">
        <v>47307</v>
      </c>
      <c r="S995" t="s">
        <v>47416</v>
      </c>
      <c r="T995" t="s">
        <v>49041</v>
      </c>
      <c r="U995" t="s">
        <v>50454</v>
      </c>
      <c r="W995" t="s">
        <v>43424</v>
      </c>
      <c r="X995" t="s">
        <v>47306</v>
      </c>
    </row>
    <row r="996" spans="1:24">
      <c r="A996">
        <f>HYPERLINK("https://www.philgeps.gov.ph/GEPSNONPILOT/Tender/SplashBidNoticeAbstractUI.aspx?menuIndex=3&amp;refID=7198620&amp;Result=3","7198620")</f>
        <v>0</v>
      </c>
      <c r="B996" t="s">
        <v>503</v>
      </c>
      <c r="C996" t="s">
        <v>4825</v>
      </c>
      <c r="D996" t="s">
        <v>19033</v>
      </c>
      <c r="E996" t="s">
        <v>20022</v>
      </c>
      <c r="F996" t="s">
        <v>32606</v>
      </c>
      <c r="G996" t="s">
        <v>32613</v>
      </c>
      <c r="H996" t="s">
        <v>32625</v>
      </c>
      <c r="I996" t="s">
        <v>17648</v>
      </c>
      <c r="J996" t="s">
        <v>33016</v>
      </c>
      <c r="K996" t="s">
        <v>42645</v>
      </c>
      <c r="M996" t="s">
        <v>43416</v>
      </c>
      <c r="N996" t="s">
        <v>47304</v>
      </c>
      <c r="O996" t="s">
        <v>47305</v>
      </c>
      <c r="P996">
        <v>0</v>
      </c>
      <c r="Q996">
        <v>0</v>
      </c>
      <c r="R996" t="s">
        <v>47307</v>
      </c>
      <c r="S996" t="s">
        <v>47416</v>
      </c>
      <c r="T996" t="s">
        <v>49136</v>
      </c>
      <c r="U996" t="s">
        <v>50437</v>
      </c>
      <c r="V996" t="s">
        <v>62769</v>
      </c>
      <c r="W996" t="s">
        <v>43416</v>
      </c>
      <c r="X996" t="s">
        <v>47306</v>
      </c>
    </row>
    <row r="997" spans="1:24">
      <c r="A997">
        <f>HYPERLINK("https://www.philgeps.gov.ph/GEPSNONPILOT/Tender/SplashBidNoticeAbstractUI.aspx?menuIndex=3&amp;refID=7198597&amp;Result=3","7198597")</f>
        <v>0</v>
      </c>
      <c r="B997" t="s">
        <v>489</v>
      </c>
      <c r="C997" t="s">
        <v>4826</v>
      </c>
      <c r="D997" t="s">
        <v>19008</v>
      </c>
      <c r="E997" t="s">
        <v>20023</v>
      </c>
      <c r="F997" t="s">
        <v>32606</v>
      </c>
      <c r="G997" t="s">
        <v>32619</v>
      </c>
      <c r="H997" t="s">
        <v>14201</v>
      </c>
      <c r="I997" t="s">
        <v>32631</v>
      </c>
      <c r="J997" t="s">
        <v>33518</v>
      </c>
      <c r="K997" t="s">
        <v>42629</v>
      </c>
      <c r="M997" t="s">
        <v>43402</v>
      </c>
      <c r="N997" t="s">
        <v>47304</v>
      </c>
      <c r="O997" t="s">
        <v>47305</v>
      </c>
      <c r="P997">
        <v>0</v>
      </c>
      <c r="Q997">
        <v>0</v>
      </c>
      <c r="R997" t="s">
        <v>47307</v>
      </c>
      <c r="S997" t="s">
        <v>47416</v>
      </c>
      <c r="T997" t="s">
        <v>49014</v>
      </c>
      <c r="U997" t="s">
        <v>50455</v>
      </c>
      <c r="W997" t="s">
        <v>43402</v>
      </c>
      <c r="X997" t="s">
        <v>47306</v>
      </c>
    </row>
    <row r="998" spans="1:24">
      <c r="A998">
        <f>HYPERLINK("https://www.philgeps.gov.ph/GEPSNONPILOT/Tender/SplashBidNoticeAbstractUI.aspx?menuIndex=3&amp;refID=7198619&amp;Result=3","7198619")</f>
        <v>0</v>
      </c>
      <c r="B998" t="s">
        <v>185</v>
      </c>
      <c r="C998" t="s">
        <v>4827</v>
      </c>
      <c r="D998" t="s">
        <v>19025</v>
      </c>
      <c r="E998" t="s">
        <v>20024</v>
      </c>
      <c r="F998" t="s">
        <v>32606</v>
      </c>
      <c r="G998" t="s">
        <v>32613</v>
      </c>
      <c r="H998" t="s">
        <v>14201</v>
      </c>
      <c r="I998" t="s">
        <v>32629</v>
      </c>
      <c r="J998" t="s">
        <v>33519</v>
      </c>
      <c r="K998" t="s">
        <v>42622</v>
      </c>
      <c r="M998" t="s">
        <v>43350</v>
      </c>
      <c r="N998" t="s">
        <v>47304</v>
      </c>
      <c r="O998" t="s">
        <v>47305</v>
      </c>
      <c r="P998">
        <v>0</v>
      </c>
      <c r="Q998">
        <v>0</v>
      </c>
      <c r="R998" t="s">
        <v>47307</v>
      </c>
      <c r="S998" t="s">
        <v>47416</v>
      </c>
      <c r="T998" t="s">
        <v>49121</v>
      </c>
      <c r="U998" t="s">
        <v>50321</v>
      </c>
      <c r="V998" t="s">
        <v>62747</v>
      </c>
      <c r="W998" t="s">
        <v>64433</v>
      </c>
      <c r="X998" t="s">
        <v>47306</v>
      </c>
    </row>
    <row r="999" spans="1:24">
      <c r="A999">
        <f>HYPERLINK("https://www.philgeps.gov.ph/GEPSNONPILOT/Tender/SplashBidNoticeAbstractUI.aspx?menuIndex=3&amp;refID=7198627&amp;Result=3","7198627")</f>
        <v>0</v>
      </c>
      <c r="B999" t="s">
        <v>462</v>
      </c>
      <c r="C999" t="s">
        <v>4828</v>
      </c>
      <c r="E999" t="s">
        <v>20025</v>
      </c>
      <c r="F999" t="s">
        <v>32606</v>
      </c>
      <c r="G999" t="s">
        <v>32613</v>
      </c>
      <c r="H999" t="s">
        <v>14201</v>
      </c>
      <c r="I999" t="s">
        <v>7064</v>
      </c>
      <c r="J999" t="s">
        <v>32767</v>
      </c>
      <c r="K999" t="s">
        <v>42639</v>
      </c>
      <c r="M999" t="s">
        <v>43372</v>
      </c>
      <c r="N999" t="s">
        <v>47304</v>
      </c>
      <c r="O999" t="s">
        <v>47305</v>
      </c>
      <c r="P999">
        <v>0</v>
      </c>
      <c r="Q999">
        <v>2</v>
      </c>
      <c r="R999" t="s">
        <v>47307</v>
      </c>
      <c r="S999" t="s">
        <v>47416</v>
      </c>
      <c r="T999" t="s">
        <v>49139</v>
      </c>
      <c r="U999" t="s">
        <v>50456</v>
      </c>
      <c r="W999" t="s">
        <v>64436</v>
      </c>
      <c r="X999" t="s">
        <v>47306</v>
      </c>
    </row>
    <row r="1000" spans="1:24">
      <c r="A1000">
        <f>HYPERLINK("https://www.philgeps.gov.ph/GEPSNONPILOT/Tender/SplashBidNoticeAbstractUI.aspx?menuIndex=3&amp;refID=7198600&amp;Result=3","7198600")</f>
        <v>0</v>
      </c>
      <c r="B1000" t="s">
        <v>512</v>
      </c>
      <c r="C1000" t="s">
        <v>4329</v>
      </c>
      <c r="D1000" t="s">
        <v>19019</v>
      </c>
      <c r="E1000" t="s">
        <v>19530</v>
      </c>
      <c r="F1000" t="s">
        <v>32606</v>
      </c>
      <c r="G1000" t="s">
        <v>32619</v>
      </c>
      <c r="H1000" t="s">
        <v>14201</v>
      </c>
      <c r="I1000" t="s">
        <v>6298</v>
      </c>
      <c r="J1000" t="s">
        <v>33520</v>
      </c>
      <c r="K1000" t="s">
        <v>42625</v>
      </c>
      <c r="M1000" t="s">
        <v>43425</v>
      </c>
      <c r="N1000" t="s">
        <v>47304</v>
      </c>
      <c r="O1000" t="s">
        <v>47305</v>
      </c>
      <c r="P1000">
        <v>0</v>
      </c>
      <c r="Q1000">
        <v>0</v>
      </c>
      <c r="R1000" t="s">
        <v>47307</v>
      </c>
      <c r="S1000" t="s">
        <v>47416</v>
      </c>
      <c r="T1000" t="s">
        <v>49004</v>
      </c>
      <c r="U1000" t="s">
        <v>50457</v>
      </c>
      <c r="V1000" t="s">
        <v>62704</v>
      </c>
      <c r="W1000" t="s">
        <v>43425</v>
      </c>
      <c r="X1000" t="s">
        <v>47306</v>
      </c>
    </row>
    <row r="1001" spans="1:24">
      <c r="A1001">
        <f>HYPERLINK("https://www.philgeps.gov.ph/GEPSNONPILOT/Tender/SplashBidNoticeAbstractUI.aspx?menuIndex=3&amp;refID=7198613&amp;Result=3","7198613")</f>
        <v>0</v>
      </c>
      <c r="B1001" t="s">
        <v>447</v>
      </c>
      <c r="C1001" t="s">
        <v>4829</v>
      </c>
      <c r="D1001" t="s">
        <v>18990</v>
      </c>
      <c r="E1001" t="s">
        <v>20026</v>
      </c>
      <c r="F1001" t="s">
        <v>32606</v>
      </c>
      <c r="G1001" t="s">
        <v>32614</v>
      </c>
      <c r="H1001" t="s">
        <v>14201</v>
      </c>
      <c r="I1001" t="s">
        <v>6931</v>
      </c>
      <c r="J1001" t="s">
        <v>33521</v>
      </c>
      <c r="K1001" t="s">
        <v>42625</v>
      </c>
      <c r="M1001" t="s">
        <v>43355</v>
      </c>
      <c r="N1001" t="s">
        <v>47304</v>
      </c>
      <c r="O1001" t="s">
        <v>47305</v>
      </c>
      <c r="P1001">
        <v>0</v>
      </c>
      <c r="Q1001">
        <v>0</v>
      </c>
      <c r="R1001" t="s">
        <v>47307</v>
      </c>
      <c r="S1001" t="s">
        <v>47416</v>
      </c>
      <c r="T1001" t="s">
        <v>49015</v>
      </c>
      <c r="U1001" t="s">
        <v>50458</v>
      </c>
      <c r="V1001" t="s">
        <v>62748</v>
      </c>
      <c r="W1001" t="s">
        <v>43355</v>
      </c>
      <c r="X1001" t="s">
        <v>47306</v>
      </c>
    </row>
    <row r="1002" spans="1:24">
      <c r="A1002">
        <f>HYPERLINK("https://www.philgeps.gov.ph/GEPSNONPILOT/Tender/SplashBidNoticeAbstractUI.aspx?menuIndex=3&amp;refID=7198612&amp;Result=3","7198612")</f>
        <v>0</v>
      </c>
      <c r="B1002" t="s">
        <v>513</v>
      </c>
      <c r="C1002" t="s">
        <v>4830</v>
      </c>
      <c r="D1002" t="s">
        <v>19008</v>
      </c>
      <c r="E1002" t="s">
        <v>20027</v>
      </c>
      <c r="F1002" t="s">
        <v>32606</v>
      </c>
      <c r="G1002" t="s">
        <v>32614</v>
      </c>
      <c r="H1002" t="s">
        <v>14201</v>
      </c>
      <c r="I1002" t="s">
        <v>4120</v>
      </c>
      <c r="J1002" t="s">
        <v>33522</v>
      </c>
      <c r="K1002" t="s">
        <v>42631</v>
      </c>
      <c r="M1002" t="s">
        <v>43426</v>
      </c>
      <c r="N1002" t="s">
        <v>47304</v>
      </c>
      <c r="O1002" t="s">
        <v>47305</v>
      </c>
      <c r="P1002">
        <v>0</v>
      </c>
      <c r="Q1002">
        <v>0</v>
      </c>
      <c r="R1002" t="s">
        <v>47307</v>
      </c>
      <c r="S1002" t="s">
        <v>47416</v>
      </c>
      <c r="T1002" t="s">
        <v>48988</v>
      </c>
      <c r="U1002" t="s">
        <v>50452</v>
      </c>
      <c r="W1002" t="s">
        <v>43426</v>
      </c>
      <c r="X1002" t="s">
        <v>47306</v>
      </c>
    </row>
    <row r="1003" spans="1:24">
      <c r="A1003">
        <f>HYPERLINK("https://www.philgeps.gov.ph/GEPSNONPILOT/Tender/SplashBidNoticeAbstractUI.aspx?menuIndex=3&amp;refID=7198611&amp;Result=3","7198611")</f>
        <v>0</v>
      </c>
      <c r="B1003" t="s">
        <v>514</v>
      </c>
      <c r="C1003" t="s">
        <v>4831</v>
      </c>
      <c r="D1003" t="s">
        <v>19008</v>
      </c>
      <c r="E1003" t="s">
        <v>20028</v>
      </c>
      <c r="F1003" t="s">
        <v>32606</v>
      </c>
      <c r="G1003" t="s">
        <v>32613</v>
      </c>
      <c r="H1003" t="s">
        <v>32623</v>
      </c>
      <c r="I1003" t="s">
        <v>6931</v>
      </c>
      <c r="J1003" t="s">
        <v>33523</v>
      </c>
      <c r="K1003" t="s">
        <v>42675</v>
      </c>
      <c r="M1003" t="s">
        <v>43427</v>
      </c>
      <c r="N1003" t="s">
        <v>47304</v>
      </c>
      <c r="O1003" t="s">
        <v>47305</v>
      </c>
      <c r="P1003">
        <v>0</v>
      </c>
      <c r="Q1003">
        <v>0</v>
      </c>
      <c r="R1003" t="s">
        <v>47307</v>
      </c>
      <c r="S1003" t="s">
        <v>47416</v>
      </c>
      <c r="T1003" t="s">
        <v>49140</v>
      </c>
      <c r="U1003" t="s">
        <v>50459</v>
      </c>
      <c r="W1003" t="s">
        <v>43427</v>
      </c>
      <c r="X1003" t="s">
        <v>47306</v>
      </c>
    </row>
    <row r="1004" spans="1:24">
      <c r="A1004">
        <f>HYPERLINK("https://www.philgeps.gov.ph/GEPSNONPILOT/Tender/SplashBidNoticeAbstractUI.aspx?menuIndex=3&amp;refID=7198609&amp;Result=3","7198609")</f>
        <v>0</v>
      </c>
      <c r="B1004" t="s">
        <v>515</v>
      </c>
      <c r="C1004" t="s">
        <v>4832</v>
      </c>
      <c r="D1004" t="s">
        <v>19056</v>
      </c>
      <c r="E1004" t="s">
        <v>20029</v>
      </c>
      <c r="F1004" t="s">
        <v>32606</v>
      </c>
      <c r="G1004" t="s">
        <v>32613</v>
      </c>
      <c r="H1004" t="s">
        <v>14201</v>
      </c>
      <c r="I1004" t="s">
        <v>32633</v>
      </c>
      <c r="J1004" t="s">
        <v>33524</v>
      </c>
      <c r="K1004" t="s">
        <v>42693</v>
      </c>
      <c r="M1004" t="s">
        <v>43428</v>
      </c>
      <c r="N1004" t="s">
        <v>47304</v>
      </c>
      <c r="O1004" t="s">
        <v>47305</v>
      </c>
      <c r="P1004">
        <v>0</v>
      </c>
      <c r="Q1004">
        <v>0</v>
      </c>
      <c r="R1004" t="s">
        <v>47307</v>
      </c>
      <c r="S1004" t="s">
        <v>47416</v>
      </c>
      <c r="T1004" t="s">
        <v>49009</v>
      </c>
      <c r="U1004" t="s">
        <v>50460</v>
      </c>
      <c r="W1004" t="s">
        <v>43428</v>
      </c>
      <c r="X1004" t="s">
        <v>47306</v>
      </c>
    </row>
    <row r="1005" spans="1:24">
      <c r="A1005">
        <f>HYPERLINK("https://www.philgeps.gov.ph/GEPSNONPILOT/Tender/SplashBidNoticeAbstractUI.aspx?menuIndex=3&amp;refID=7198608&amp;Result=3","7198608")</f>
        <v>0</v>
      </c>
      <c r="B1005" t="s">
        <v>494</v>
      </c>
      <c r="C1005" t="s">
        <v>4833</v>
      </c>
      <c r="D1005" t="s">
        <v>19006</v>
      </c>
      <c r="E1005" t="s">
        <v>20030</v>
      </c>
      <c r="F1005" t="s">
        <v>32607</v>
      </c>
      <c r="G1005" t="s">
        <v>32613</v>
      </c>
      <c r="H1005" t="s">
        <v>14201</v>
      </c>
      <c r="I1005" t="s">
        <v>6931</v>
      </c>
      <c r="J1005" t="s">
        <v>33525</v>
      </c>
      <c r="K1005" t="s">
        <v>42631</v>
      </c>
      <c r="M1005" t="s">
        <v>43407</v>
      </c>
      <c r="N1005" t="s">
        <v>47304</v>
      </c>
      <c r="O1005" t="s">
        <v>47305</v>
      </c>
      <c r="P1005">
        <v>0</v>
      </c>
      <c r="Q1005">
        <v>0</v>
      </c>
      <c r="R1005" t="s">
        <v>47307</v>
      </c>
      <c r="S1005" t="s">
        <v>47416</v>
      </c>
      <c r="T1005" t="s">
        <v>49008</v>
      </c>
      <c r="U1005" t="s">
        <v>50415</v>
      </c>
      <c r="V1005" t="s">
        <v>62764</v>
      </c>
      <c r="W1005" t="s">
        <v>43407</v>
      </c>
      <c r="X1005" t="s">
        <v>47306</v>
      </c>
    </row>
    <row r="1006" spans="1:24">
      <c r="A1006">
        <f>HYPERLINK("https://www.philgeps.gov.ph/GEPSNONPILOT/Tender/SplashBidNoticeAbstractUI.aspx?menuIndex=3&amp;refID=7198607&amp;Result=3","7198607")</f>
        <v>0</v>
      </c>
      <c r="B1006" t="s">
        <v>501</v>
      </c>
      <c r="C1006" t="s">
        <v>4834</v>
      </c>
      <c r="D1006" t="s">
        <v>19018</v>
      </c>
      <c r="E1006" t="s">
        <v>19670</v>
      </c>
      <c r="F1006" t="s">
        <v>32606</v>
      </c>
      <c r="G1006" t="s">
        <v>32614</v>
      </c>
      <c r="H1006" t="s">
        <v>14201</v>
      </c>
      <c r="I1006" t="s">
        <v>32640</v>
      </c>
      <c r="J1006" t="s">
        <v>33526</v>
      </c>
      <c r="K1006" t="s">
        <v>42624</v>
      </c>
      <c r="M1006" t="s">
        <v>43414</v>
      </c>
      <c r="N1006" t="s">
        <v>47304</v>
      </c>
      <c r="O1006" t="s">
        <v>47305</v>
      </c>
      <c r="P1006">
        <v>0</v>
      </c>
      <c r="Q1006">
        <v>0</v>
      </c>
      <c r="R1006" t="s">
        <v>47307</v>
      </c>
      <c r="S1006" t="s">
        <v>47416</v>
      </c>
      <c r="T1006" t="s">
        <v>48988</v>
      </c>
      <c r="U1006" t="s">
        <v>50433</v>
      </c>
      <c r="W1006" t="s">
        <v>43414</v>
      </c>
      <c r="X1006" t="s">
        <v>47306</v>
      </c>
    </row>
    <row r="1007" spans="1:24">
      <c r="A1007">
        <f>HYPERLINK("https://www.philgeps.gov.ph/GEPSNONPILOT/Tender/SplashBidNoticeAbstractUI.aspx?menuIndex=3&amp;refID=7198617&amp;Result=3","7198617")</f>
        <v>0</v>
      </c>
      <c r="B1007" t="s">
        <v>490</v>
      </c>
      <c r="C1007" t="s">
        <v>4835</v>
      </c>
      <c r="D1007" t="s">
        <v>19019</v>
      </c>
      <c r="E1007" t="s">
        <v>20031</v>
      </c>
      <c r="F1007" t="s">
        <v>32606</v>
      </c>
      <c r="G1007" t="s">
        <v>32613</v>
      </c>
      <c r="H1007" t="s">
        <v>32623</v>
      </c>
      <c r="I1007" t="s">
        <v>17648</v>
      </c>
      <c r="J1007" t="s">
        <v>33527</v>
      </c>
      <c r="K1007" t="s">
        <v>42666</v>
      </c>
      <c r="M1007" t="s">
        <v>43403</v>
      </c>
      <c r="N1007" t="s">
        <v>47304</v>
      </c>
      <c r="O1007" t="s">
        <v>47305</v>
      </c>
      <c r="P1007">
        <v>0</v>
      </c>
      <c r="Q1007">
        <v>0</v>
      </c>
      <c r="R1007" t="s">
        <v>47307</v>
      </c>
      <c r="S1007" t="s">
        <v>47416</v>
      </c>
      <c r="T1007" t="s">
        <v>49017</v>
      </c>
      <c r="U1007" t="s">
        <v>50461</v>
      </c>
      <c r="W1007" t="s">
        <v>43403</v>
      </c>
      <c r="X1007" t="s">
        <v>47306</v>
      </c>
    </row>
    <row r="1008" spans="1:24">
      <c r="A1008">
        <f>HYPERLINK("https://www.philgeps.gov.ph/GEPSNONPILOT/Tender/SplashBidNoticeAbstractUI.aspx?menuIndex=3&amp;refID=7198586&amp;Result=3","7198586")</f>
        <v>0</v>
      </c>
      <c r="B1008" t="s">
        <v>485</v>
      </c>
      <c r="C1008" t="s">
        <v>4836</v>
      </c>
      <c r="D1008" t="s">
        <v>19045</v>
      </c>
      <c r="E1008" t="s">
        <v>20032</v>
      </c>
      <c r="F1008" t="s">
        <v>32606</v>
      </c>
      <c r="G1008" t="s">
        <v>32613</v>
      </c>
      <c r="H1008" t="s">
        <v>14201</v>
      </c>
      <c r="I1008" t="s">
        <v>6931</v>
      </c>
      <c r="J1008" t="s">
        <v>33528</v>
      </c>
      <c r="K1008" t="s">
        <v>42622</v>
      </c>
      <c r="M1008" t="s">
        <v>43396</v>
      </c>
      <c r="N1008" t="s">
        <v>47304</v>
      </c>
      <c r="O1008" t="s">
        <v>47305</v>
      </c>
      <c r="P1008">
        <v>0</v>
      </c>
      <c r="Q1008">
        <v>0</v>
      </c>
      <c r="R1008" t="s">
        <v>47307</v>
      </c>
      <c r="S1008" t="s">
        <v>47416</v>
      </c>
      <c r="T1008" t="s">
        <v>49099</v>
      </c>
      <c r="U1008" t="s">
        <v>50462</v>
      </c>
      <c r="W1008" t="s">
        <v>43396</v>
      </c>
      <c r="X1008" t="s">
        <v>47306</v>
      </c>
    </row>
    <row r="1009" spans="1:24">
      <c r="A1009">
        <f>HYPERLINK("https://www.philgeps.gov.ph/GEPSNONPILOT/Tender/SplashBidNoticeAbstractUI.aspx?menuIndex=3&amp;refID=7198616&amp;Result=3","7198616")</f>
        <v>0</v>
      </c>
      <c r="B1009" t="s">
        <v>400</v>
      </c>
      <c r="C1009" t="s">
        <v>4837</v>
      </c>
      <c r="D1009" t="s">
        <v>19002</v>
      </c>
      <c r="E1009" t="s">
        <v>20033</v>
      </c>
      <c r="F1009" t="s">
        <v>32606</v>
      </c>
      <c r="G1009" t="s">
        <v>32613</v>
      </c>
      <c r="H1009" t="s">
        <v>32623</v>
      </c>
      <c r="I1009" t="s">
        <v>17648</v>
      </c>
      <c r="J1009" t="s">
        <v>33529</v>
      </c>
      <c r="K1009" t="s">
        <v>42624</v>
      </c>
      <c r="M1009" t="s">
        <v>43303</v>
      </c>
      <c r="N1009" t="s">
        <v>47304</v>
      </c>
      <c r="O1009" t="s">
        <v>47305</v>
      </c>
      <c r="P1009">
        <v>0</v>
      </c>
      <c r="Q1009">
        <v>0</v>
      </c>
      <c r="R1009" t="s">
        <v>47307</v>
      </c>
      <c r="S1009" t="s">
        <v>47416</v>
      </c>
      <c r="T1009" t="s">
        <v>49101</v>
      </c>
      <c r="U1009" t="s">
        <v>50463</v>
      </c>
      <c r="W1009" t="s">
        <v>43303</v>
      </c>
      <c r="X1009" t="s">
        <v>47306</v>
      </c>
    </row>
    <row r="1010" spans="1:24">
      <c r="A1010">
        <f>HYPERLINK("https://www.philgeps.gov.ph/GEPSNONPILOT/Tender/SplashBidNoticeAbstractUI.aspx?menuIndex=3&amp;refID=7198585&amp;Result=3","7198585")</f>
        <v>0</v>
      </c>
      <c r="B1010" t="s">
        <v>400</v>
      </c>
      <c r="C1010" t="s">
        <v>4838</v>
      </c>
      <c r="D1010" t="s">
        <v>19002</v>
      </c>
      <c r="E1010" t="s">
        <v>20034</v>
      </c>
      <c r="F1010" t="s">
        <v>32606</v>
      </c>
      <c r="G1010" t="s">
        <v>32613</v>
      </c>
      <c r="H1010" t="s">
        <v>14201</v>
      </c>
      <c r="I1010" t="s">
        <v>32629</v>
      </c>
      <c r="J1010" t="s">
        <v>33530</v>
      </c>
      <c r="K1010" t="s">
        <v>42624</v>
      </c>
      <c r="M1010" t="s">
        <v>43303</v>
      </c>
      <c r="N1010" t="s">
        <v>47304</v>
      </c>
      <c r="O1010" t="s">
        <v>47305</v>
      </c>
      <c r="P1010">
        <v>0</v>
      </c>
      <c r="Q1010">
        <v>0</v>
      </c>
      <c r="R1010" t="s">
        <v>47307</v>
      </c>
      <c r="S1010" t="s">
        <v>47416</v>
      </c>
      <c r="T1010" t="s">
        <v>49101</v>
      </c>
      <c r="U1010" t="s">
        <v>50464</v>
      </c>
      <c r="W1010" t="s">
        <v>43303</v>
      </c>
      <c r="X1010" t="s">
        <v>47306</v>
      </c>
    </row>
    <row r="1011" spans="1:24">
      <c r="A1011">
        <f>HYPERLINK("https://www.philgeps.gov.ph/GEPSNONPILOT/Tender/SplashBidNoticeAbstractUI.aspx?menuIndex=3&amp;refID=7198583&amp;Result=3","7198583")</f>
        <v>0</v>
      </c>
      <c r="B1011" t="s">
        <v>516</v>
      </c>
      <c r="C1011" t="s">
        <v>4839</v>
      </c>
      <c r="D1011" t="s">
        <v>19006</v>
      </c>
      <c r="E1011" t="s">
        <v>20035</v>
      </c>
      <c r="F1011" t="s">
        <v>32606</v>
      </c>
      <c r="G1011" t="s">
        <v>32613</v>
      </c>
      <c r="H1011" t="s">
        <v>14201</v>
      </c>
      <c r="I1011" t="s">
        <v>6931</v>
      </c>
      <c r="J1011" t="s">
        <v>33531</v>
      </c>
      <c r="K1011" t="s">
        <v>42622</v>
      </c>
      <c r="M1011" t="s">
        <v>43429</v>
      </c>
      <c r="N1011" t="s">
        <v>47304</v>
      </c>
      <c r="O1011" t="s">
        <v>47305</v>
      </c>
      <c r="P1011">
        <v>0</v>
      </c>
      <c r="Q1011">
        <v>0</v>
      </c>
      <c r="R1011" t="s">
        <v>47307</v>
      </c>
      <c r="S1011" t="s">
        <v>47416</v>
      </c>
      <c r="T1011" t="s">
        <v>49141</v>
      </c>
      <c r="U1011" t="s">
        <v>50465</v>
      </c>
      <c r="W1011" t="s">
        <v>43429</v>
      </c>
      <c r="X1011" t="s">
        <v>47306</v>
      </c>
    </row>
    <row r="1012" spans="1:24">
      <c r="A1012">
        <f>HYPERLINK("https://www.philgeps.gov.ph/GEPSNONPILOT/Tender/SplashBidNoticeAbstractUI.aspx?menuIndex=3&amp;refID=7198582&amp;Result=3","7198582")</f>
        <v>0</v>
      </c>
      <c r="B1012" t="s">
        <v>517</v>
      </c>
      <c r="C1012" t="s">
        <v>4840</v>
      </c>
      <c r="D1012" t="s">
        <v>19010</v>
      </c>
      <c r="E1012" t="s">
        <v>20036</v>
      </c>
      <c r="F1012" t="s">
        <v>32606</v>
      </c>
      <c r="G1012" t="s">
        <v>32615</v>
      </c>
      <c r="H1012" t="s">
        <v>14201</v>
      </c>
      <c r="I1012" t="s">
        <v>4369</v>
      </c>
      <c r="J1012" t="s">
        <v>33532</v>
      </c>
      <c r="K1012" t="s">
        <v>42681</v>
      </c>
      <c r="M1012" t="s">
        <v>43430</v>
      </c>
      <c r="N1012" t="s">
        <v>47304</v>
      </c>
      <c r="O1012" t="s">
        <v>47305</v>
      </c>
      <c r="P1012">
        <v>0</v>
      </c>
      <c r="Q1012">
        <v>0</v>
      </c>
      <c r="R1012" t="s">
        <v>47307</v>
      </c>
      <c r="S1012" t="s">
        <v>47416</v>
      </c>
      <c r="T1012" t="s">
        <v>49087</v>
      </c>
      <c r="U1012" t="s">
        <v>50466</v>
      </c>
      <c r="W1012" t="s">
        <v>43430</v>
      </c>
      <c r="X1012" t="s">
        <v>47306</v>
      </c>
    </row>
    <row r="1013" spans="1:24">
      <c r="A1013">
        <f>HYPERLINK("https://www.philgeps.gov.ph/GEPSNONPILOT/Tender/SplashBidNoticeAbstractUI.aspx?menuIndex=3&amp;refID=7198579&amp;Result=3","7198579")</f>
        <v>0</v>
      </c>
      <c r="B1013" t="s">
        <v>488</v>
      </c>
      <c r="C1013" t="s">
        <v>4841</v>
      </c>
      <c r="D1013" t="s">
        <v>19058</v>
      </c>
      <c r="E1013" t="s">
        <v>19603</v>
      </c>
      <c r="F1013" t="s">
        <v>32606</v>
      </c>
      <c r="G1013" t="s">
        <v>32613</v>
      </c>
      <c r="H1013" t="s">
        <v>14201</v>
      </c>
      <c r="I1013" t="s">
        <v>4120</v>
      </c>
      <c r="J1013" t="s">
        <v>33533</v>
      </c>
      <c r="K1013" t="s">
        <v>42632</v>
      </c>
      <c r="M1013" t="s">
        <v>43401</v>
      </c>
      <c r="N1013" t="s">
        <v>47304</v>
      </c>
      <c r="O1013" t="s">
        <v>47305</v>
      </c>
      <c r="P1013">
        <v>0</v>
      </c>
      <c r="Q1013">
        <v>1</v>
      </c>
      <c r="R1013" t="s">
        <v>47307</v>
      </c>
      <c r="S1013" t="s">
        <v>47416</v>
      </c>
      <c r="T1013" t="s">
        <v>49028</v>
      </c>
      <c r="U1013" t="s">
        <v>50467</v>
      </c>
      <c r="W1013" t="s">
        <v>43401</v>
      </c>
      <c r="X1013" t="s">
        <v>47306</v>
      </c>
    </row>
    <row r="1014" spans="1:24">
      <c r="A1014">
        <f>HYPERLINK("https://www.philgeps.gov.ph/GEPSNONPILOT/Tender/SplashBidNoticeAbstractUI.aspx?menuIndex=3&amp;refID=7198296&amp;Result=3","7198296")</f>
        <v>0</v>
      </c>
      <c r="B1014" t="s">
        <v>383</v>
      </c>
      <c r="C1014" t="s">
        <v>4842</v>
      </c>
      <c r="E1014" t="s">
        <v>20037</v>
      </c>
      <c r="F1014" t="s">
        <v>32606</v>
      </c>
      <c r="G1014" t="s">
        <v>32615</v>
      </c>
      <c r="H1014" t="s">
        <v>14201</v>
      </c>
      <c r="I1014" t="s">
        <v>6931</v>
      </c>
      <c r="J1014" t="s">
        <v>33534</v>
      </c>
      <c r="K1014" t="s">
        <v>42624</v>
      </c>
      <c r="M1014" t="s">
        <v>43286</v>
      </c>
      <c r="N1014" t="s">
        <v>47304</v>
      </c>
      <c r="O1014" t="s">
        <v>47305</v>
      </c>
      <c r="P1014">
        <v>0</v>
      </c>
      <c r="Q1014">
        <v>0</v>
      </c>
      <c r="R1014" t="s">
        <v>47307</v>
      </c>
      <c r="S1014" t="s">
        <v>47416</v>
      </c>
      <c r="T1014" t="s">
        <v>49102</v>
      </c>
      <c r="U1014" t="s">
        <v>50468</v>
      </c>
      <c r="W1014" t="s">
        <v>43286</v>
      </c>
      <c r="X1014" t="s">
        <v>47306</v>
      </c>
    </row>
    <row r="1015" spans="1:24">
      <c r="A1015">
        <f>HYPERLINK("https://www.philgeps.gov.ph/GEPSNONPILOT/Tender/SplashBidNoticeAbstractUI.aspx?menuIndex=3&amp;refID=7198295&amp;Result=3","7198295")</f>
        <v>0</v>
      </c>
      <c r="B1015" t="s">
        <v>518</v>
      </c>
      <c r="C1015" t="s">
        <v>4843</v>
      </c>
      <c r="D1015" t="s">
        <v>19003</v>
      </c>
      <c r="E1015" t="s">
        <v>20038</v>
      </c>
      <c r="F1015" t="s">
        <v>32606</v>
      </c>
      <c r="G1015" t="s">
        <v>32614</v>
      </c>
      <c r="H1015" t="s">
        <v>14201</v>
      </c>
      <c r="I1015" t="s">
        <v>4120</v>
      </c>
      <c r="J1015" t="s">
        <v>33535</v>
      </c>
      <c r="K1015" t="s">
        <v>42663</v>
      </c>
      <c r="L1015" t="s">
        <v>518</v>
      </c>
      <c r="M1015" t="s">
        <v>43431</v>
      </c>
      <c r="N1015" t="s">
        <v>47304</v>
      </c>
      <c r="O1015" t="s">
        <v>47305</v>
      </c>
      <c r="P1015">
        <v>0</v>
      </c>
      <c r="Q1015">
        <v>0</v>
      </c>
      <c r="R1015" t="s">
        <v>47307</v>
      </c>
      <c r="S1015" t="s">
        <v>47416</v>
      </c>
      <c r="T1015" t="s">
        <v>48975</v>
      </c>
      <c r="U1015" t="s">
        <v>50469</v>
      </c>
      <c r="W1015" t="s">
        <v>43431</v>
      </c>
      <c r="X1015" t="s">
        <v>47306</v>
      </c>
    </row>
    <row r="1016" spans="1:24">
      <c r="A1016">
        <f>HYPERLINK("https://www.philgeps.gov.ph/GEPSNONPILOT/Tender/SplashBidNoticeAbstractUI.aspx?menuIndex=3&amp;refID=7198588&amp;Result=3","7198588")</f>
        <v>0</v>
      </c>
      <c r="B1016" t="s">
        <v>446</v>
      </c>
      <c r="C1016" t="s">
        <v>4844</v>
      </c>
      <c r="D1016" t="s">
        <v>19010</v>
      </c>
      <c r="E1016" t="s">
        <v>20039</v>
      </c>
      <c r="F1016" t="s">
        <v>32606</v>
      </c>
      <c r="G1016" t="s">
        <v>32613</v>
      </c>
      <c r="H1016" t="s">
        <v>32623</v>
      </c>
      <c r="I1016" t="s">
        <v>17648</v>
      </c>
      <c r="J1016" t="s">
        <v>33536</v>
      </c>
      <c r="K1016" t="s">
        <v>42623</v>
      </c>
      <c r="M1016" t="s">
        <v>43354</v>
      </c>
      <c r="N1016" t="s">
        <v>47304</v>
      </c>
      <c r="O1016" t="s">
        <v>47305</v>
      </c>
      <c r="P1016">
        <v>0</v>
      </c>
      <c r="Q1016">
        <v>0</v>
      </c>
      <c r="R1016" t="s">
        <v>47307</v>
      </c>
      <c r="S1016" t="s">
        <v>47416</v>
      </c>
      <c r="T1016" t="s">
        <v>49065</v>
      </c>
      <c r="U1016" t="s">
        <v>50470</v>
      </c>
      <c r="W1016" t="s">
        <v>64435</v>
      </c>
      <c r="X1016" t="s">
        <v>47306</v>
      </c>
    </row>
    <row r="1017" spans="1:24">
      <c r="A1017">
        <f>HYPERLINK("https://www.philgeps.gov.ph/GEPSNONPILOT/Tender/SplashBidNoticeAbstractUI.aspx?menuIndex=3&amp;refID=7198580&amp;Result=3","7198580")</f>
        <v>0</v>
      </c>
      <c r="B1017" t="s">
        <v>519</v>
      </c>
      <c r="C1017" t="s">
        <v>4845</v>
      </c>
      <c r="E1017" t="s">
        <v>20040</v>
      </c>
      <c r="F1017" t="s">
        <v>32606</v>
      </c>
      <c r="G1017" t="s">
        <v>32614</v>
      </c>
      <c r="H1017" t="s">
        <v>14201</v>
      </c>
      <c r="I1017" t="s">
        <v>32648</v>
      </c>
      <c r="J1017" t="s">
        <v>33537</v>
      </c>
      <c r="K1017" t="s">
        <v>42624</v>
      </c>
      <c r="M1017" t="s">
        <v>43432</v>
      </c>
      <c r="N1017" t="s">
        <v>47304</v>
      </c>
      <c r="O1017" t="s">
        <v>47305</v>
      </c>
      <c r="P1017">
        <v>0</v>
      </c>
      <c r="Q1017">
        <v>0</v>
      </c>
      <c r="R1017" t="s">
        <v>47307</v>
      </c>
      <c r="S1017" t="s">
        <v>47416</v>
      </c>
      <c r="T1017" t="s">
        <v>49087</v>
      </c>
      <c r="U1017" t="s">
        <v>50471</v>
      </c>
      <c r="W1017" t="s">
        <v>43432</v>
      </c>
      <c r="X1017" t="s">
        <v>47306</v>
      </c>
    </row>
    <row r="1018" spans="1:24">
      <c r="A1018">
        <f>HYPERLINK("https://www.philgeps.gov.ph/GEPSNONPILOT/Tender/SplashBidNoticeAbstractUI.aspx?menuIndex=3&amp;refID=7198294&amp;Result=3","7198294")</f>
        <v>0</v>
      </c>
      <c r="B1018" t="s">
        <v>520</v>
      </c>
      <c r="C1018" t="s">
        <v>4846</v>
      </c>
      <c r="D1018" t="s">
        <v>19027</v>
      </c>
      <c r="E1018" t="s">
        <v>20041</v>
      </c>
      <c r="F1018" t="s">
        <v>32606</v>
      </c>
      <c r="G1018" t="s">
        <v>32614</v>
      </c>
      <c r="H1018" t="s">
        <v>14201</v>
      </c>
      <c r="I1018" t="s">
        <v>6478</v>
      </c>
      <c r="J1018" t="s">
        <v>32781</v>
      </c>
      <c r="K1018" t="s">
        <v>42630</v>
      </c>
      <c r="M1018" t="s">
        <v>43433</v>
      </c>
      <c r="N1018" t="s">
        <v>47304</v>
      </c>
      <c r="O1018" t="s">
        <v>47305</v>
      </c>
      <c r="P1018">
        <v>0</v>
      </c>
      <c r="Q1018">
        <v>0</v>
      </c>
      <c r="R1018" t="s">
        <v>47307</v>
      </c>
      <c r="S1018" t="s">
        <v>47416</v>
      </c>
      <c r="T1018" t="s">
        <v>49015</v>
      </c>
      <c r="U1018" t="s">
        <v>50472</v>
      </c>
      <c r="W1018" t="s">
        <v>43433</v>
      </c>
      <c r="X1018" t="s">
        <v>47306</v>
      </c>
    </row>
    <row r="1019" spans="1:24">
      <c r="A1019">
        <f>HYPERLINK("https://www.philgeps.gov.ph/GEPSNONPILOT/Tender/SplashBidNoticeAbstractUI.aspx?menuIndex=3&amp;refID=7198615&amp;Result=3","7198615")</f>
        <v>0</v>
      </c>
      <c r="B1019" t="s">
        <v>521</v>
      </c>
      <c r="C1019" t="s">
        <v>4847</v>
      </c>
      <c r="D1019" t="s">
        <v>18992</v>
      </c>
      <c r="E1019" t="s">
        <v>20042</v>
      </c>
      <c r="F1019" t="s">
        <v>32606</v>
      </c>
      <c r="G1019" t="s">
        <v>32613</v>
      </c>
      <c r="H1019" t="s">
        <v>14201</v>
      </c>
      <c r="I1019" t="s">
        <v>32629</v>
      </c>
      <c r="J1019" t="s">
        <v>33538</v>
      </c>
      <c r="K1019" t="s">
        <v>42677</v>
      </c>
      <c r="M1019" t="s">
        <v>43434</v>
      </c>
      <c r="N1019" t="s">
        <v>47304</v>
      </c>
      <c r="O1019" t="s">
        <v>47305</v>
      </c>
      <c r="P1019">
        <v>0</v>
      </c>
      <c r="Q1019">
        <v>0</v>
      </c>
      <c r="R1019" t="s">
        <v>47307</v>
      </c>
      <c r="S1019" t="s">
        <v>47416</v>
      </c>
      <c r="T1019" t="s">
        <v>48996</v>
      </c>
      <c r="U1019" t="s">
        <v>50473</v>
      </c>
      <c r="W1019" t="s">
        <v>43434</v>
      </c>
      <c r="X1019" t="s">
        <v>47306</v>
      </c>
    </row>
    <row r="1020" spans="1:24">
      <c r="A1020">
        <f>HYPERLINK("https://www.philgeps.gov.ph/GEPSNONPILOT/Tender/SplashBidNoticeAbstractUI.aspx?menuIndex=3&amp;refID=7198630&amp;Result=3","7198630")</f>
        <v>0</v>
      </c>
      <c r="B1020" t="s">
        <v>522</v>
      </c>
      <c r="C1020" t="s">
        <v>4848</v>
      </c>
      <c r="D1020" t="s">
        <v>19040</v>
      </c>
      <c r="E1020" t="s">
        <v>20043</v>
      </c>
      <c r="F1020" t="s">
        <v>32606</v>
      </c>
      <c r="G1020" t="s">
        <v>32613</v>
      </c>
      <c r="H1020" t="s">
        <v>32623</v>
      </c>
      <c r="I1020" t="s">
        <v>17648</v>
      </c>
      <c r="J1020" t="s">
        <v>32772</v>
      </c>
      <c r="K1020" t="s">
        <v>42694</v>
      </c>
      <c r="M1020" t="s">
        <v>43435</v>
      </c>
      <c r="N1020" t="s">
        <v>47304</v>
      </c>
      <c r="O1020" t="s">
        <v>47305</v>
      </c>
      <c r="P1020">
        <v>0</v>
      </c>
      <c r="Q1020">
        <v>0</v>
      </c>
      <c r="R1020" t="s">
        <v>47307</v>
      </c>
      <c r="S1020" t="s">
        <v>47416</v>
      </c>
      <c r="T1020" t="s">
        <v>49142</v>
      </c>
      <c r="U1020" t="s">
        <v>50474</v>
      </c>
      <c r="W1020" t="s">
        <v>43435</v>
      </c>
      <c r="X1020" t="s">
        <v>47306</v>
      </c>
    </row>
    <row r="1021" spans="1:24">
      <c r="A1021">
        <f>HYPERLINK("https://www.philgeps.gov.ph/GEPSNONPILOT/Tender/SplashBidNoticeAbstractUI.aspx?menuIndex=3&amp;refID=7198633&amp;Result=3","7198633")</f>
        <v>0</v>
      </c>
      <c r="B1021" t="s">
        <v>523</v>
      </c>
      <c r="C1021" t="s">
        <v>4849</v>
      </c>
      <c r="D1021" t="s">
        <v>19007</v>
      </c>
      <c r="E1021" t="s">
        <v>20044</v>
      </c>
      <c r="F1021" t="s">
        <v>32606</v>
      </c>
      <c r="G1021" t="s">
        <v>32614</v>
      </c>
      <c r="H1021" t="s">
        <v>14201</v>
      </c>
      <c r="I1021" t="s">
        <v>32692</v>
      </c>
      <c r="J1021" t="s">
        <v>33539</v>
      </c>
      <c r="K1021" t="s">
        <v>42625</v>
      </c>
      <c r="M1021" t="s">
        <v>43436</v>
      </c>
      <c r="N1021" t="s">
        <v>47304</v>
      </c>
      <c r="O1021" t="s">
        <v>47305</v>
      </c>
      <c r="P1021">
        <v>0</v>
      </c>
      <c r="Q1021">
        <v>0</v>
      </c>
      <c r="R1021" t="s">
        <v>47307</v>
      </c>
      <c r="S1021" t="s">
        <v>47416</v>
      </c>
      <c r="T1021" t="s">
        <v>49015</v>
      </c>
      <c r="U1021" t="s">
        <v>50475</v>
      </c>
      <c r="W1021" t="s">
        <v>43436</v>
      </c>
      <c r="X1021" t="s">
        <v>47306</v>
      </c>
    </row>
    <row r="1022" spans="1:24">
      <c r="A1022">
        <f>HYPERLINK("https://www.philgeps.gov.ph/GEPSNONPILOT/Tender/SplashBidNoticeAbstractUI.aspx?menuIndex=3&amp;refID=7198601&amp;Result=3","7198601")</f>
        <v>0</v>
      </c>
      <c r="B1022" t="s">
        <v>524</v>
      </c>
      <c r="C1022" t="s">
        <v>4850</v>
      </c>
      <c r="D1022" t="s">
        <v>18988</v>
      </c>
      <c r="E1022" t="s">
        <v>20045</v>
      </c>
      <c r="F1022" t="s">
        <v>32606</v>
      </c>
      <c r="G1022" t="s">
        <v>32619</v>
      </c>
      <c r="H1022" t="s">
        <v>14201</v>
      </c>
      <c r="I1022" t="s">
        <v>4114</v>
      </c>
      <c r="J1022" t="s">
        <v>33540</v>
      </c>
      <c r="K1022" t="s">
        <v>42625</v>
      </c>
      <c r="M1022" t="s">
        <v>43437</v>
      </c>
      <c r="N1022" t="s">
        <v>47304</v>
      </c>
      <c r="O1022" t="s">
        <v>47305</v>
      </c>
      <c r="P1022">
        <v>0</v>
      </c>
      <c r="Q1022">
        <v>0</v>
      </c>
      <c r="R1022" t="s">
        <v>47307</v>
      </c>
      <c r="S1022" t="s">
        <v>47416</v>
      </c>
      <c r="T1022" t="s">
        <v>49143</v>
      </c>
      <c r="U1022" t="s">
        <v>50476</v>
      </c>
      <c r="W1022" t="s">
        <v>43437</v>
      </c>
      <c r="X1022" t="s">
        <v>47306</v>
      </c>
    </row>
    <row r="1023" spans="1:24">
      <c r="A1023">
        <f>HYPERLINK("https://www.philgeps.gov.ph/GEPSNONPILOT/Tender/SplashBidNoticeAbstractUI.aspx?menuIndex=3&amp;refID=7198646&amp;Result=3","7198646")</f>
        <v>0</v>
      </c>
      <c r="B1023" t="s">
        <v>525</v>
      </c>
      <c r="C1023" t="s">
        <v>4851</v>
      </c>
      <c r="D1023" t="s">
        <v>19024</v>
      </c>
      <c r="E1023" t="s">
        <v>20046</v>
      </c>
      <c r="F1023" t="s">
        <v>32606</v>
      </c>
      <c r="G1023" t="s">
        <v>32614</v>
      </c>
      <c r="H1023" t="s">
        <v>14201</v>
      </c>
      <c r="I1023" t="s">
        <v>13131</v>
      </c>
      <c r="J1023" t="s">
        <v>33541</v>
      </c>
      <c r="K1023" t="s">
        <v>42630</v>
      </c>
      <c r="M1023" t="s">
        <v>43438</v>
      </c>
      <c r="N1023" t="s">
        <v>47304</v>
      </c>
      <c r="O1023" t="s">
        <v>47305</v>
      </c>
      <c r="P1023">
        <v>0</v>
      </c>
      <c r="Q1023">
        <v>0</v>
      </c>
      <c r="R1023" t="s">
        <v>47307</v>
      </c>
      <c r="S1023" t="s">
        <v>47416</v>
      </c>
      <c r="T1023" t="s">
        <v>49144</v>
      </c>
      <c r="U1023" t="s">
        <v>50477</v>
      </c>
      <c r="W1023" t="s">
        <v>43438</v>
      </c>
      <c r="X1023" t="s">
        <v>47306</v>
      </c>
    </row>
    <row r="1024" spans="1:24">
      <c r="A1024">
        <f>HYPERLINK("https://www.philgeps.gov.ph/GEPSNONPILOT/Tender/SplashBidNoticeAbstractUI.aspx?menuIndex=3&amp;refID=7198644&amp;Result=3","7198644")</f>
        <v>0</v>
      </c>
      <c r="B1024" t="s">
        <v>526</v>
      </c>
      <c r="C1024" t="s">
        <v>4852</v>
      </c>
      <c r="D1024" t="s">
        <v>19006</v>
      </c>
      <c r="E1024" t="s">
        <v>20047</v>
      </c>
      <c r="F1024" t="s">
        <v>32606</v>
      </c>
      <c r="G1024" t="s">
        <v>32614</v>
      </c>
      <c r="H1024" t="s">
        <v>32623</v>
      </c>
      <c r="I1024" t="s">
        <v>17648</v>
      </c>
      <c r="J1024" t="s">
        <v>33542</v>
      </c>
      <c r="K1024" t="s">
        <v>42631</v>
      </c>
      <c r="M1024" t="s">
        <v>43439</v>
      </c>
      <c r="N1024" t="s">
        <v>47304</v>
      </c>
      <c r="O1024" t="s">
        <v>47305</v>
      </c>
      <c r="P1024">
        <v>0</v>
      </c>
      <c r="Q1024">
        <v>0</v>
      </c>
      <c r="R1024" t="s">
        <v>47307</v>
      </c>
      <c r="S1024" t="s">
        <v>47416</v>
      </c>
      <c r="T1024" t="s">
        <v>49017</v>
      </c>
      <c r="U1024" t="s">
        <v>50478</v>
      </c>
      <c r="W1024" t="s">
        <v>43439</v>
      </c>
      <c r="X1024" t="s">
        <v>47306</v>
      </c>
    </row>
    <row r="1025" spans="1:24">
      <c r="A1025">
        <f>HYPERLINK("https://www.philgeps.gov.ph/GEPSNONPILOT/Tender/SplashBidNoticeAbstractUI.aspx?menuIndex=3&amp;refID=7198640&amp;Result=3","7198640")</f>
        <v>0</v>
      </c>
      <c r="B1025" t="s">
        <v>387</v>
      </c>
      <c r="C1025" t="s">
        <v>4853</v>
      </c>
      <c r="D1025" t="s">
        <v>18988</v>
      </c>
      <c r="E1025" t="s">
        <v>20048</v>
      </c>
      <c r="F1025" t="s">
        <v>32606</v>
      </c>
      <c r="G1025" t="s">
        <v>32613</v>
      </c>
      <c r="H1025" t="s">
        <v>14201</v>
      </c>
      <c r="I1025" t="s">
        <v>32662</v>
      </c>
      <c r="J1025" t="s">
        <v>33543</v>
      </c>
      <c r="K1025" t="s">
        <v>42627</v>
      </c>
      <c r="M1025" t="s">
        <v>43290</v>
      </c>
      <c r="N1025" t="s">
        <v>47304</v>
      </c>
      <c r="O1025" t="s">
        <v>47305</v>
      </c>
      <c r="P1025">
        <v>0</v>
      </c>
      <c r="Q1025">
        <v>0</v>
      </c>
      <c r="R1025" t="s">
        <v>47307</v>
      </c>
      <c r="S1025" t="s">
        <v>47416</v>
      </c>
      <c r="T1025" t="s">
        <v>49103</v>
      </c>
      <c r="U1025" t="s">
        <v>50231</v>
      </c>
      <c r="W1025" t="s">
        <v>64431</v>
      </c>
      <c r="X1025" t="s">
        <v>47306</v>
      </c>
    </row>
    <row r="1026" spans="1:24">
      <c r="A1026">
        <f>HYPERLINK("https://www.philgeps.gov.ph/GEPSNONPILOT/Tender/SplashBidNoticeAbstractUI.aspx?menuIndex=3&amp;refID=7198637&amp;Result=3","7198637")</f>
        <v>0</v>
      </c>
      <c r="B1026" t="s">
        <v>185</v>
      </c>
      <c r="C1026" t="s">
        <v>4854</v>
      </c>
      <c r="D1026" t="s">
        <v>19025</v>
      </c>
      <c r="E1026" t="s">
        <v>20049</v>
      </c>
      <c r="F1026" t="s">
        <v>32606</v>
      </c>
      <c r="G1026" t="s">
        <v>32613</v>
      </c>
      <c r="H1026" t="s">
        <v>14201</v>
      </c>
      <c r="I1026" t="s">
        <v>32629</v>
      </c>
      <c r="J1026" t="s">
        <v>33544</v>
      </c>
      <c r="K1026" t="s">
        <v>42622</v>
      </c>
      <c r="M1026" t="s">
        <v>43350</v>
      </c>
      <c r="N1026" t="s">
        <v>47304</v>
      </c>
      <c r="O1026" t="s">
        <v>47305</v>
      </c>
      <c r="P1026">
        <v>0</v>
      </c>
      <c r="Q1026">
        <v>0</v>
      </c>
      <c r="R1026" t="s">
        <v>47307</v>
      </c>
      <c r="S1026" t="s">
        <v>47416</v>
      </c>
      <c r="T1026" t="s">
        <v>49121</v>
      </c>
      <c r="U1026" t="s">
        <v>50321</v>
      </c>
      <c r="V1026" t="s">
        <v>62747</v>
      </c>
      <c r="W1026" t="s">
        <v>64433</v>
      </c>
      <c r="X1026" t="s">
        <v>47306</v>
      </c>
    </row>
    <row r="1027" spans="1:24">
      <c r="A1027">
        <f>HYPERLINK("https://www.philgeps.gov.ph/GEPSNONPILOT/Tender/SplashBidNoticeAbstractUI.aspx?menuIndex=3&amp;refID=7198650&amp;Result=3","7198650")</f>
        <v>0</v>
      </c>
      <c r="B1027" t="s">
        <v>527</v>
      </c>
      <c r="C1027" t="s">
        <v>4855</v>
      </c>
      <c r="D1027" t="s">
        <v>19018</v>
      </c>
      <c r="E1027" t="s">
        <v>20050</v>
      </c>
      <c r="F1027" t="s">
        <v>32606</v>
      </c>
      <c r="G1027" t="s">
        <v>32614</v>
      </c>
      <c r="H1027" t="s">
        <v>14201</v>
      </c>
      <c r="I1027" t="s">
        <v>32633</v>
      </c>
      <c r="J1027" t="s">
        <v>32765</v>
      </c>
      <c r="K1027" t="s">
        <v>42630</v>
      </c>
      <c r="M1027" t="s">
        <v>43440</v>
      </c>
      <c r="N1027" t="s">
        <v>47304</v>
      </c>
      <c r="O1027" t="s">
        <v>47305</v>
      </c>
      <c r="P1027">
        <v>0</v>
      </c>
      <c r="Q1027">
        <v>0</v>
      </c>
      <c r="R1027" t="s">
        <v>47307</v>
      </c>
      <c r="S1027" t="s">
        <v>47416</v>
      </c>
      <c r="T1027" t="s">
        <v>49076</v>
      </c>
      <c r="U1027" t="s">
        <v>50479</v>
      </c>
      <c r="W1027" t="s">
        <v>43440</v>
      </c>
      <c r="X1027" t="s">
        <v>47306</v>
      </c>
    </row>
    <row r="1028" spans="1:24">
      <c r="A1028">
        <f>HYPERLINK("https://www.philgeps.gov.ph/GEPSNONPILOT/Tender/SplashBidNoticeAbstractUI.aspx?menuIndex=3&amp;refID=7198635&amp;Result=3","7198635")</f>
        <v>0</v>
      </c>
      <c r="B1028" t="s">
        <v>528</v>
      </c>
      <c r="C1028" t="s">
        <v>4856</v>
      </c>
      <c r="D1028" t="s">
        <v>19036</v>
      </c>
      <c r="E1028" t="s">
        <v>20051</v>
      </c>
      <c r="F1028" t="s">
        <v>32606</v>
      </c>
      <c r="G1028" t="s">
        <v>32613</v>
      </c>
      <c r="H1028" t="s">
        <v>14201</v>
      </c>
      <c r="I1028" t="s">
        <v>4678</v>
      </c>
      <c r="J1028" t="s">
        <v>33404</v>
      </c>
      <c r="K1028" t="s">
        <v>42630</v>
      </c>
      <c r="L1028" t="s">
        <v>528</v>
      </c>
      <c r="M1028" t="s">
        <v>43441</v>
      </c>
      <c r="N1028" t="s">
        <v>47304</v>
      </c>
      <c r="O1028" t="s">
        <v>47305</v>
      </c>
      <c r="P1028">
        <v>0</v>
      </c>
      <c r="Q1028">
        <v>0</v>
      </c>
      <c r="R1028" t="s">
        <v>47307</v>
      </c>
      <c r="S1028" t="s">
        <v>47416</v>
      </c>
      <c r="T1028" t="s">
        <v>49084</v>
      </c>
      <c r="U1028" t="s">
        <v>50480</v>
      </c>
      <c r="V1028" t="s">
        <v>62770</v>
      </c>
      <c r="W1028" t="s">
        <v>43441</v>
      </c>
      <c r="X1028" t="s">
        <v>47306</v>
      </c>
    </row>
    <row r="1029" spans="1:24">
      <c r="A1029">
        <f>HYPERLINK("https://www.philgeps.gov.ph/GEPSNONPILOT/Tender/SplashBidNoticeAbstractUI.aspx?menuIndex=3&amp;refID=7198642&amp;Result=3","7198642")</f>
        <v>0</v>
      </c>
      <c r="B1029" t="s">
        <v>529</v>
      </c>
      <c r="C1029" t="s">
        <v>4857</v>
      </c>
      <c r="E1029" t="s">
        <v>20052</v>
      </c>
      <c r="F1029" t="s">
        <v>32606</v>
      </c>
      <c r="G1029" t="s">
        <v>32613</v>
      </c>
      <c r="H1029" t="s">
        <v>14201</v>
      </c>
      <c r="I1029" t="s">
        <v>6298</v>
      </c>
      <c r="J1029" t="s">
        <v>33545</v>
      </c>
      <c r="K1029" t="s">
        <v>42636</v>
      </c>
      <c r="M1029" t="s">
        <v>43442</v>
      </c>
      <c r="N1029" t="s">
        <v>47304</v>
      </c>
      <c r="O1029" t="s">
        <v>47305</v>
      </c>
      <c r="P1029">
        <v>0</v>
      </c>
      <c r="Q1029">
        <v>0</v>
      </c>
      <c r="R1029" t="s">
        <v>47307</v>
      </c>
      <c r="S1029" t="s">
        <v>47416</v>
      </c>
      <c r="T1029" t="s">
        <v>49008</v>
      </c>
      <c r="U1029" t="s">
        <v>50481</v>
      </c>
      <c r="W1029" t="s">
        <v>43442</v>
      </c>
      <c r="X1029" t="s">
        <v>47306</v>
      </c>
    </row>
    <row r="1030" spans="1:24">
      <c r="A1030">
        <f>HYPERLINK("https://www.philgeps.gov.ph/GEPSNONPILOT/Tender/SplashBidNoticeAbstractUI.aspx?menuIndex=3&amp;refID=7198634&amp;Result=3","7198634")</f>
        <v>0</v>
      </c>
      <c r="B1030" t="s">
        <v>530</v>
      </c>
      <c r="C1030" t="s">
        <v>4858</v>
      </c>
      <c r="D1030" t="s">
        <v>18994</v>
      </c>
      <c r="E1030" t="s">
        <v>19937</v>
      </c>
      <c r="F1030" t="s">
        <v>32606</v>
      </c>
      <c r="G1030" t="s">
        <v>32613</v>
      </c>
      <c r="H1030" t="s">
        <v>32623</v>
      </c>
      <c r="I1030" t="s">
        <v>17648</v>
      </c>
      <c r="J1030" t="s">
        <v>32861</v>
      </c>
      <c r="K1030" t="s">
        <v>42648</v>
      </c>
      <c r="M1030" t="s">
        <v>43443</v>
      </c>
      <c r="N1030" t="s">
        <v>47304</v>
      </c>
      <c r="O1030" t="s">
        <v>47305</v>
      </c>
      <c r="P1030">
        <v>0</v>
      </c>
      <c r="Q1030">
        <v>0</v>
      </c>
      <c r="R1030" t="s">
        <v>47307</v>
      </c>
      <c r="S1030" t="s">
        <v>47416</v>
      </c>
      <c r="T1030" t="s">
        <v>49094</v>
      </c>
      <c r="U1030" t="s">
        <v>50482</v>
      </c>
      <c r="W1030" t="s">
        <v>43443</v>
      </c>
      <c r="X1030" t="s">
        <v>47306</v>
      </c>
    </row>
    <row r="1031" spans="1:24">
      <c r="A1031">
        <f>HYPERLINK("https://www.philgeps.gov.ph/GEPSNONPILOT/Tender/SplashBidNoticeAbstractUI.aspx?menuIndex=3&amp;refID=7198645&amp;Result=3","7198645")</f>
        <v>0</v>
      </c>
      <c r="B1031" t="s">
        <v>531</v>
      </c>
      <c r="C1031" t="s">
        <v>4859</v>
      </c>
      <c r="D1031" t="s">
        <v>18992</v>
      </c>
      <c r="E1031" t="s">
        <v>20053</v>
      </c>
      <c r="F1031" t="s">
        <v>32606</v>
      </c>
      <c r="G1031" t="s">
        <v>32614</v>
      </c>
      <c r="H1031" t="s">
        <v>14201</v>
      </c>
      <c r="I1031" t="s">
        <v>6007</v>
      </c>
      <c r="J1031" t="s">
        <v>33546</v>
      </c>
      <c r="K1031" t="s">
        <v>42695</v>
      </c>
      <c r="M1031" t="s">
        <v>43444</v>
      </c>
      <c r="N1031" t="s">
        <v>47304</v>
      </c>
      <c r="O1031" t="s">
        <v>47305</v>
      </c>
      <c r="P1031">
        <v>0</v>
      </c>
      <c r="Q1031">
        <v>0</v>
      </c>
      <c r="R1031" t="s">
        <v>47307</v>
      </c>
      <c r="S1031" t="s">
        <v>47416</v>
      </c>
      <c r="T1031" t="s">
        <v>49002</v>
      </c>
      <c r="U1031" t="s">
        <v>50483</v>
      </c>
      <c r="W1031" t="s">
        <v>43444</v>
      </c>
      <c r="X1031" t="s">
        <v>47306</v>
      </c>
    </row>
    <row r="1032" spans="1:24">
      <c r="A1032">
        <f>HYPERLINK("https://www.philgeps.gov.ph/GEPSNONPILOT/Tender/SplashBidNoticeAbstractUI.aspx?menuIndex=3&amp;refID=7198654&amp;Result=3","7198654")</f>
        <v>0</v>
      </c>
      <c r="B1032" t="s">
        <v>532</v>
      </c>
      <c r="C1032" t="s">
        <v>4860</v>
      </c>
      <c r="E1032" t="s">
        <v>20054</v>
      </c>
      <c r="F1032" t="s">
        <v>32606</v>
      </c>
      <c r="G1032" t="s">
        <v>32619</v>
      </c>
      <c r="H1032" t="s">
        <v>14201</v>
      </c>
      <c r="I1032" t="s">
        <v>9013</v>
      </c>
      <c r="J1032" t="s">
        <v>33547</v>
      </c>
      <c r="K1032" t="s">
        <v>42624</v>
      </c>
      <c r="M1032" t="s">
        <v>43445</v>
      </c>
      <c r="N1032" t="s">
        <v>47304</v>
      </c>
      <c r="O1032" t="s">
        <v>47305</v>
      </c>
      <c r="P1032">
        <v>0</v>
      </c>
      <c r="Q1032">
        <v>0</v>
      </c>
      <c r="R1032" t="s">
        <v>47307</v>
      </c>
      <c r="S1032" t="s">
        <v>47416</v>
      </c>
      <c r="T1032" t="s">
        <v>48986</v>
      </c>
      <c r="U1032" t="s">
        <v>50484</v>
      </c>
      <c r="W1032" t="s">
        <v>43445</v>
      </c>
      <c r="X1032" t="s">
        <v>47306</v>
      </c>
    </row>
    <row r="1033" spans="1:24">
      <c r="A1033">
        <f>HYPERLINK("https://www.philgeps.gov.ph/GEPSNONPILOT/Tender/SplashBidNoticeAbstractUI.aspx?menuIndex=3&amp;refID=7198653&amp;Result=3","7198653")</f>
        <v>0</v>
      </c>
      <c r="B1033" t="s">
        <v>533</v>
      </c>
      <c r="C1033" t="s">
        <v>4861</v>
      </c>
      <c r="D1033" t="s">
        <v>19016</v>
      </c>
      <c r="E1033" t="s">
        <v>20055</v>
      </c>
      <c r="F1033" t="s">
        <v>32606</v>
      </c>
      <c r="G1033" t="s">
        <v>32614</v>
      </c>
      <c r="H1033" t="s">
        <v>32623</v>
      </c>
      <c r="I1033" t="s">
        <v>17648</v>
      </c>
      <c r="J1033" t="s">
        <v>33548</v>
      </c>
      <c r="K1033" t="s">
        <v>42625</v>
      </c>
      <c r="M1033" t="s">
        <v>43446</v>
      </c>
      <c r="N1033" t="s">
        <v>47304</v>
      </c>
      <c r="O1033" t="s">
        <v>47305</v>
      </c>
      <c r="P1033">
        <v>0</v>
      </c>
      <c r="Q1033">
        <v>0</v>
      </c>
      <c r="R1033" t="s">
        <v>47307</v>
      </c>
      <c r="S1033" t="s">
        <v>47416</v>
      </c>
      <c r="T1033" t="s">
        <v>49087</v>
      </c>
      <c r="U1033" t="s">
        <v>50485</v>
      </c>
      <c r="W1033" t="s">
        <v>43446</v>
      </c>
      <c r="X1033" t="s">
        <v>47306</v>
      </c>
    </row>
    <row r="1034" spans="1:24">
      <c r="A1034">
        <f>HYPERLINK("https://www.philgeps.gov.ph/GEPSNONPILOT/Tender/SplashBidNoticeAbstractUI.aspx?menuIndex=3&amp;refID=7198638&amp;Result=3","7198638")</f>
        <v>0</v>
      </c>
      <c r="B1034" t="s">
        <v>534</v>
      </c>
      <c r="C1034" t="s">
        <v>4862</v>
      </c>
      <c r="D1034" t="s">
        <v>19006</v>
      </c>
      <c r="E1034" t="s">
        <v>20056</v>
      </c>
      <c r="F1034" t="s">
        <v>32606</v>
      </c>
      <c r="G1034" t="s">
        <v>32613</v>
      </c>
      <c r="H1034" t="s">
        <v>14201</v>
      </c>
      <c r="I1034" t="s">
        <v>4120</v>
      </c>
      <c r="J1034" t="s">
        <v>32977</v>
      </c>
      <c r="K1034" t="s">
        <v>42622</v>
      </c>
      <c r="M1034" t="s">
        <v>43447</v>
      </c>
      <c r="N1034" t="s">
        <v>47304</v>
      </c>
      <c r="O1034" t="s">
        <v>47305</v>
      </c>
      <c r="P1034">
        <v>0</v>
      </c>
      <c r="Q1034">
        <v>0</v>
      </c>
      <c r="R1034" t="s">
        <v>47307</v>
      </c>
      <c r="S1034" t="s">
        <v>47416</v>
      </c>
      <c r="T1034" t="s">
        <v>48983</v>
      </c>
      <c r="U1034" t="s">
        <v>50486</v>
      </c>
      <c r="W1034" t="s">
        <v>43447</v>
      </c>
      <c r="X1034" t="s">
        <v>47306</v>
      </c>
    </row>
    <row r="1035" spans="1:24">
      <c r="A1035">
        <f>HYPERLINK("https://www.philgeps.gov.ph/GEPSNONPILOT/Tender/SplashBidNoticeAbstractUI.aspx?menuIndex=3&amp;refID=7198652&amp;Result=3","7198652")</f>
        <v>0</v>
      </c>
      <c r="B1035" t="s">
        <v>490</v>
      </c>
      <c r="C1035" t="s">
        <v>4863</v>
      </c>
      <c r="D1035" t="s">
        <v>19019</v>
      </c>
      <c r="E1035" t="s">
        <v>20057</v>
      </c>
      <c r="F1035" t="s">
        <v>32606</v>
      </c>
      <c r="G1035" t="s">
        <v>32613</v>
      </c>
      <c r="H1035" t="s">
        <v>32623</v>
      </c>
      <c r="I1035" t="s">
        <v>17648</v>
      </c>
      <c r="J1035" t="s">
        <v>33549</v>
      </c>
      <c r="K1035" t="s">
        <v>42666</v>
      </c>
      <c r="M1035" t="s">
        <v>43403</v>
      </c>
      <c r="N1035" t="s">
        <v>47304</v>
      </c>
      <c r="O1035" t="s">
        <v>47305</v>
      </c>
      <c r="P1035">
        <v>0</v>
      </c>
      <c r="Q1035">
        <v>0</v>
      </c>
      <c r="R1035" t="s">
        <v>47307</v>
      </c>
      <c r="S1035" t="s">
        <v>47416</v>
      </c>
      <c r="T1035" t="s">
        <v>49016</v>
      </c>
      <c r="U1035" t="s">
        <v>50487</v>
      </c>
      <c r="W1035" t="s">
        <v>43403</v>
      </c>
      <c r="X1035" t="s">
        <v>47306</v>
      </c>
    </row>
    <row r="1036" spans="1:24">
      <c r="A1036">
        <f>HYPERLINK("https://www.philgeps.gov.ph/GEPSNONPILOT/Tender/SplashBidNoticeAbstractUI.aspx?menuIndex=3&amp;refID=7198651&amp;Result=3","7198651")</f>
        <v>0</v>
      </c>
      <c r="B1036" t="s">
        <v>535</v>
      </c>
      <c r="C1036" t="s">
        <v>4864</v>
      </c>
      <c r="D1036" t="s">
        <v>19031</v>
      </c>
      <c r="E1036" t="s">
        <v>20058</v>
      </c>
      <c r="F1036" t="s">
        <v>32606</v>
      </c>
      <c r="G1036" t="s">
        <v>32617</v>
      </c>
      <c r="H1036" t="s">
        <v>14201</v>
      </c>
      <c r="I1036" t="s">
        <v>6014</v>
      </c>
      <c r="J1036" t="s">
        <v>33550</v>
      </c>
      <c r="K1036" t="s">
        <v>42631</v>
      </c>
      <c r="M1036" t="s">
        <v>43448</v>
      </c>
      <c r="N1036" t="s">
        <v>47304</v>
      </c>
      <c r="O1036" t="s">
        <v>47305</v>
      </c>
      <c r="P1036">
        <v>0</v>
      </c>
      <c r="Q1036">
        <v>0</v>
      </c>
      <c r="R1036" t="s">
        <v>47307</v>
      </c>
      <c r="S1036" t="s">
        <v>47416</v>
      </c>
      <c r="T1036" t="s">
        <v>48987</v>
      </c>
      <c r="U1036" t="s">
        <v>50488</v>
      </c>
      <c r="W1036" t="s">
        <v>43448</v>
      </c>
      <c r="X1036" t="s">
        <v>47306</v>
      </c>
    </row>
    <row r="1037" spans="1:24">
      <c r="A1037">
        <f>HYPERLINK("https://www.philgeps.gov.ph/GEPSNONPILOT/Tender/SplashBidNoticeAbstractUI.aspx?menuIndex=3&amp;refID=7198632&amp;Result=3","7198632")</f>
        <v>0</v>
      </c>
      <c r="B1037" t="s">
        <v>536</v>
      </c>
      <c r="C1037" t="s">
        <v>4865</v>
      </c>
      <c r="D1037" t="s">
        <v>19037</v>
      </c>
      <c r="E1037" t="s">
        <v>20059</v>
      </c>
      <c r="F1037" t="s">
        <v>32606</v>
      </c>
      <c r="G1037" t="s">
        <v>32614</v>
      </c>
      <c r="H1037" t="s">
        <v>14201</v>
      </c>
      <c r="I1037" t="s">
        <v>7064</v>
      </c>
      <c r="J1037" t="s">
        <v>33551</v>
      </c>
      <c r="K1037" t="s">
        <v>42623</v>
      </c>
      <c r="M1037" t="s">
        <v>43449</v>
      </c>
      <c r="N1037" t="s">
        <v>47304</v>
      </c>
      <c r="O1037" t="s">
        <v>47305</v>
      </c>
      <c r="P1037">
        <v>0</v>
      </c>
      <c r="Q1037">
        <v>0</v>
      </c>
      <c r="R1037" t="s">
        <v>47307</v>
      </c>
      <c r="S1037" t="s">
        <v>47416</v>
      </c>
      <c r="T1037" t="s">
        <v>48975</v>
      </c>
      <c r="U1037" t="s">
        <v>50489</v>
      </c>
      <c r="W1037" t="s">
        <v>64439</v>
      </c>
      <c r="X1037" t="s">
        <v>47306</v>
      </c>
    </row>
    <row r="1038" spans="1:24">
      <c r="A1038">
        <f>HYPERLINK("https://www.philgeps.gov.ph/GEPSNONPILOT/Tender/SplashBidNoticeAbstractUI.aspx?menuIndex=3&amp;refID=7198648&amp;Result=3","7198648")</f>
        <v>0</v>
      </c>
      <c r="B1038" t="s">
        <v>185</v>
      </c>
      <c r="C1038" t="s">
        <v>4866</v>
      </c>
      <c r="D1038" t="s">
        <v>19025</v>
      </c>
      <c r="E1038" t="s">
        <v>20060</v>
      </c>
      <c r="F1038" t="s">
        <v>32606</v>
      </c>
      <c r="G1038" t="s">
        <v>32613</v>
      </c>
      <c r="H1038" t="s">
        <v>14201</v>
      </c>
      <c r="I1038" t="s">
        <v>32629</v>
      </c>
      <c r="J1038" t="s">
        <v>33552</v>
      </c>
      <c r="K1038" t="s">
        <v>42622</v>
      </c>
      <c r="M1038" t="s">
        <v>43350</v>
      </c>
      <c r="N1038" t="s">
        <v>47304</v>
      </c>
      <c r="O1038" t="s">
        <v>47305</v>
      </c>
      <c r="P1038">
        <v>0</v>
      </c>
      <c r="Q1038">
        <v>0</v>
      </c>
      <c r="R1038" t="s">
        <v>47307</v>
      </c>
      <c r="S1038" t="s">
        <v>47416</v>
      </c>
      <c r="T1038" t="s">
        <v>49121</v>
      </c>
      <c r="U1038" t="s">
        <v>50321</v>
      </c>
      <c r="V1038" t="s">
        <v>62747</v>
      </c>
      <c r="W1038" t="s">
        <v>64433</v>
      </c>
      <c r="X1038" t="s">
        <v>47306</v>
      </c>
    </row>
    <row r="1039" spans="1:24">
      <c r="A1039">
        <f>HYPERLINK("https://www.philgeps.gov.ph/GEPSNONPILOT/Tender/SplashBidNoticeAbstractUI.aspx?menuIndex=3&amp;refID=7198668&amp;Result=3","7198668")</f>
        <v>0</v>
      </c>
      <c r="B1039" t="s">
        <v>537</v>
      </c>
      <c r="C1039" t="s">
        <v>4867</v>
      </c>
      <c r="D1039" t="s">
        <v>19049</v>
      </c>
      <c r="E1039" t="s">
        <v>20061</v>
      </c>
      <c r="F1039" t="s">
        <v>32606</v>
      </c>
      <c r="G1039" t="s">
        <v>32614</v>
      </c>
      <c r="H1039" t="s">
        <v>14201</v>
      </c>
      <c r="I1039" t="s">
        <v>32652</v>
      </c>
      <c r="J1039" t="s">
        <v>33553</v>
      </c>
      <c r="K1039" t="s">
        <v>42627</v>
      </c>
      <c r="M1039" t="s">
        <v>43450</v>
      </c>
      <c r="N1039" t="s">
        <v>47304</v>
      </c>
      <c r="O1039" t="s">
        <v>47305</v>
      </c>
      <c r="P1039">
        <v>0</v>
      </c>
      <c r="Q1039">
        <v>0</v>
      </c>
      <c r="R1039" t="s">
        <v>47307</v>
      </c>
      <c r="S1039" t="s">
        <v>47416</v>
      </c>
      <c r="T1039" t="s">
        <v>49011</v>
      </c>
      <c r="U1039" t="s">
        <v>50490</v>
      </c>
      <c r="W1039" t="s">
        <v>43450</v>
      </c>
      <c r="X1039" t="s">
        <v>47306</v>
      </c>
    </row>
    <row r="1040" spans="1:24">
      <c r="A1040">
        <f>HYPERLINK("https://www.philgeps.gov.ph/GEPSNONPILOT/Tender/SplashBidNoticeAbstractUI.aspx?menuIndex=3&amp;refID=7198667&amp;Result=3","7198667")</f>
        <v>0</v>
      </c>
      <c r="B1040" t="s">
        <v>538</v>
      </c>
      <c r="C1040" t="s">
        <v>4868</v>
      </c>
      <c r="D1040" t="s">
        <v>19046</v>
      </c>
      <c r="E1040" t="s">
        <v>20062</v>
      </c>
      <c r="F1040" t="s">
        <v>32606</v>
      </c>
      <c r="G1040" t="s">
        <v>32613</v>
      </c>
      <c r="H1040" t="s">
        <v>32623</v>
      </c>
      <c r="I1040" t="s">
        <v>17648</v>
      </c>
      <c r="J1040" t="s">
        <v>33554</v>
      </c>
      <c r="K1040" t="s">
        <v>42624</v>
      </c>
      <c r="M1040" t="s">
        <v>43451</v>
      </c>
      <c r="N1040" t="s">
        <v>47304</v>
      </c>
      <c r="O1040" t="s">
        <v>47305</v>
      </c>
      <c r="P1040">
        <v>0</v>
      </c>
      <c r="Q1040">
        <v>0</v>
      </c>
      <c r="R1040" t="s">
        <v>47307</v>
      </c>
      <c r="S1040" t="s">
        <v>47416</v>
      </c>
      <c r="T1040" t="s">
        <v>49145</v>
      </c>
      <c r="U1040" t="s">
        <v>50491</v>
      </c>
      <c r="V1040" t="s">
        <v>62641</v>
      </c>
      <c r="W1040" t="s">
        <v>43451</v>
      </c>
      <c r="X1040" t="s">
        <v>47306</v>
      </c>
    </row>
    <row r="1041" spans="1:24">
      <c r="A1041">
        <f>HYPERLINK("https://www.philgeps.gov.ph/GEPSNONPILOT/Tender/SplashBidNoticeAbstractUI.aspx?menuIndex=3&amp;refID=7198670&amp;Result=3","7198670")</f>
        <v>0</v>
      </c>
      <c r="B1041" t="s">
        <v>201</v>
      </c>
      <c r="C1041" t="s">
        <v>4869</v>
      </c>
      <c r="D1041" t="s">
        <v>18993</v>
      </c>
      <c r="E1041" t="s">
        <v>20063</v>
      </c>
      <c r="F1041" t="s">
        <v>32606</v>
      </c>
      <c r="G1041" t="s">
        <v>32619</v>
      </c>
      <c r="H1041" t="s">
        <v>14201</v>
      </c>
      <c r="I1041" t="s">
        <v>13131</v>
      </c>
      <c r="J1041" t="s">
        <v>33555</v>
      </c>
      <c r="K1041" t="s">
        <v>42630</v>
      </c>
      <c r="M1041" t="s">
        <v>43452</v>
      </c>
      <c r="N1041" t="s">
        <v>47304</v>
      </c>
      <c r="O1041" t="s">
        <v>47305</v>
      </c>
      <c r="P1041">
        <v>0</v>
      </c>
      <c r="Q1041">
        <v>0</v>
      </c>
      <c r="R1041" t="s">
        <v>47307</v>
      </c>
      <c r="S1041" t="s">
        <v>47416</v>
      </c>
      <c r="T1041" t="s">
        <v>48996</v>
      </c>
      <c r="U1041" t="s">
        <v>50492</v>
      </c>
      <c r="W1041" t="s">
        <v>43452</v>
      </c>
      <c r="X1041" t="s">
        <v>47306</v>
      </c>
    </row>
    <row r="1042" spans="1:24">
      <c r="A1042">
        <f>HYPERLINK("https://www.philgeps.gov.ph/GEPSNONPILOT/Tender/SplashBidNoticeAbstractUI.aspx?menuIndex=3&amp;refID=7198666&amp;Result=3","7198666")</f>
        <v>0</v>
      </c>
      <c r="B1042" t="s">
        <v>387</v>
      </c>
      <c r="C1042" t="s">
        <v>4870</v>
      </c>
      <c r="D1042" t="s">
        <v>18988</v>
      </c>
      <c r="E1042" t="s">
        <v>20064</v>
      </c>
      <c r="F1042" t="s">
        <v>32606</v>
      </c>
      <c r="G1042" t="s">
        <v>32613</v>
      </c>
      <c r="H1042" t="s">
        <v>14201</v>
      </c>
      <c r="I1042" t="s">
        <v>32638</v>
      </c>
      <c r="J1042" t="s">
        <v>33556</v>
      </c>
      <c r="K1042" t="s">
        <v>42627</v>
      </c>
      <c r="M1042" t="s">
        <v>43290</v>
      </c>
      <c r="N1042" t="s">
        <v>47304</v>
      </c>
      <c r="O1042" t="s">
        <v>47305</v>
      </c>
      <c r="P1042">
        <v>0</v>
      </c>
      <c r="Q1042">
        <v>0</v>
      </c>
      <c r="R1042" t="s">
        <v>47307</v>
      </c>
      <c r="S1042" t="s">
        <v>47416</v>
      </c>
      <c r="T1042" t="s">
        <v>49103</v>
      </c>
      <c r="U1042" t="s">
        <v>50231</v>
      </c>
      <c r="W1042" t="s">
        <v>64431</v>
      </c>
      <c r="X1042" t="s">
        <v>47306</v>
      </c>
    </row>
    <row r="1043" spans="1:24">
      <c r="A1043">
        <f>HYPERLINK("https://www.philgeps.gov.ph/GEPSNONPILOT/Tender/SplashBidNoticeAbstractUI.aspx?menuIndex=3&amp;refID=7198665&amp;Result=3","7198665")</f>
        <v>0</v>
      </c>
      <c r="B1043" t="s">
        <v>539</v>
      </c>
      <c r="C1043" t="s">
        <v>4871</v>
      </c>
      <c r="D1043" t="s">
        <v>19007</v>
      </c>
      <c r="E1043" t="s">
        <v>19839</v>
      </c>
      <c r="F1043" t="s">
        <v>32606</v>
      </c>
      <c r="G1043" t="s">
        <v>32619</v>
      </c>
      <c r="H1043" t="s">
        <v>14201</v>
      </c>
      <c r="I1043" t="s">
        <v>4120</v>
      </c>
      <c r="J1043" t="s">
        <v>33557</v>
      </c>
      <c r="K1043" t="s">
        <v>42622</v>
      </c>
      <c r="M1043" t="s">
        <v>43453</v>
      </c>
      <c r="N1043" t="s">
        <v>47304</v>
      </c>
      <c r="O1043" t="s">
        <v>47305</v>
      </c>
      <c r="P1043">
        <v>0</v>
      </c>
      <c r="Q1043">
        <v>0</v>
      </c>
      <c r="R1043" t="s">
        <v>47307</v>
      </c>
      <c r="S1043" t="s">
        <v>47416</v>
      </c>
      <c r="T1043" t="s">
        <v>48979</v>
      </c>
      <c r="U1043" t="s">
        <v>50493</v>
      </c>
      <c r="W1043" t="s">
        <v>43453</v>
      </c>
      <c r="X1043" t="s">
        <v>47306</v>
      </c>
    </row>
    <row r="1044" spans="1:24">
      <c r="A1044">
        <f>HYPERLINK("https://www.philgeps.gov.ph/GEPSNONPILOT/Tender/SplashBidNoticeAbstractUI.aspx?menuIndex=3&amp;refID=7198663&amp;Result=3","7198663")</f>
        <v>0</v>
      </c>
      <c r="B1044" t="s">
        <v>423</v>
      </c>
      <c r="C1044" t="s">
        <v>4872</v>
      </c>
      <c r="D1044" t="s">
        <v>18997</v>
      </c>
      <c r="E1044" t="s">
        <v>20065</v>
      </c>
      <c r="F1044" t="s">
        <v>32606</v>
      </c>
      <c r="G1044" t="s">
        <v>32613</v>
      </c>
      <c r="H1044" t="s">
        <v>32623</v>
      </c>
      <c r="I1044" t="s">
        <v>17648</v>
      </c>
      <c r="J1044" t="s">
        <v>33558</v>
      </c>
      <c r="K1044" t="s">
        <v>42636</v>
      </c>
      <c r="M1044" t="s">
        <v>43327</v>
      </c>
      <c r="N1044" t="s">
        <v>47304</v>
      </c>
      <c r="O1044" t="s">
        <v>47305</v>
      </c>
      <c r="P1044">
        <v>0</v>
      </c>
      <c r="Q1044">
        <v>0</v>
      </c>
      <c r="R1044" t="s">
        <v>47307</v>
      </c>
      <c r="S1044" t="s">
        <v>47416</v>
      </c>
      <c r="T1044" t="s">
        <v>49110</v>
      </c>
      <c r="U1044" t="s">
        <v>50494</v>
      </c>
      <c r="W1044" t="s">
        <v>43327</v>
      </c>
      <c r="X1044" t="s">
        <v>47306</v>
      </c>
    </row>
    <row r="1045" spans="1:24">
      <c r="A1045">
        <f>HYPERLINK("https://www.philgeps.gov.ph/GEPSNONPILOT/Tender/SplashBidNoticeAbstractUI.aspx?menuIndex=3&amp;refID=7198656&amp;Result=3","7198656")</f>
        <v>0</v>
      </c>
      <c r="B1045" t="s">
        <v>196</v>
      </c>
      <c r="C1045" t="s">
        <v>4873</v>
      </c>
      <c r="D1045" t="s">
        <v>19027</v>
      </c>
      <c r="E1045" t="s">
        <v>20066</v>
      </c>
      <c r="F1045" t="s">
        <v>32607</v>
      </c>
      <c r="G1045" t="s">
        <v>32613</v>
      </c>
      <c r="H1045" t="s">
        <v>14201</v>
      </c>
      <c r="I1045" t="s">
        <v>7677</v>
      </c>
      <c r="J1045" t="s">
        <v>32770</v>
      </c>
      <c r="K1045" t="s">
        <v>42623</v>
      </c>
      <c r="M1045" t="s">
        <v>43097</v>
      </c>
      <c r="N1045" t="s">
        <v>47304</v>
      </c>
      <c r="O1045" t="s">
        <v>47305</v>
      </c>
      <c r="P1045">
        <v>0</v>
      </c>
      <c r="Q1045">
        <v>0</v>
      </c>
      <c r="R1045" t="s">
        <v>47307</v>
      </c>
      <c r="S1045" t="s">
        <v>47416</v>
      </c>
      <c r="T1045" t="s">
        <v>49146</v>
      </c>
      <c r="U1045" t="s">
        <v>50495</v>
      </c>
      <c r="W1045" t="s">
        <v>43097</v>
      </c>
      <c r="X1045" t="s">
        <v>47306</v>
      </c>
    </row>
    <row r="1046" spans="1:24">
      <c r="A1046">
        <f>HYPERLINK("https://www.philgeps.gov.ph/GEPSNONPILOT/Tender/SplashBidNoticeAbstractUI.aspx?menuIndex=3&amp;refID=7198664&amp;Result=3","7198664")</f>
        <v>0</v>
      </c>
      <c r="B1046" t="s">
        <v>536</v>
      </c>
      <c r="C1046" t="s">
        <v>4874</v>
      </c>
      <c r="D1046" t="s">
        <v>19037</v>
      </c>
      <c r="E1046" t="s">
        <v>20067</v>
      </c>
      <c r="F1046" t="s">
        <v>32606</v>
      </c>
      <c r="G1046" t="s">
        <v>32614</v>
      </c>
      <c r="H1046" t="s">
        <v>14201</v>
      </c>
      <c r="I1046" t="s">
        <v>9013</v>
      </c>
      <c r="J1046" t="s">
        <v>33559</v>
      </c>
      <c r="K1046" t="s">
        <v>42623</v>
      </c>
      <c r="M1046" t="s">
        <v>43449</v>
      </c>
      <c r="N1046" t="s">
        <v>47304</v>
      </c>
      <c r="O1046" t="s">
        <v>47305</v>
      </c>
      <c r="P1046">
        <v>0</v>
      </c>
      <c r="Q1046">
        <v>0</v>
      </c>
      <c r="R1046" t="s">
        <v>47307</v>
      </c>
      <c r="S1046" t="s">
        <v>47416</v>
      </c>
      <c r="T1046" t="s">
        <v>48975</v>
      </c>
      <c r="U1046" t="s">
        <v>50489</v>
      </c>
      <c r="W1046" t="s">
        <v>64439</v>
      </c>
      <c r="X1046" t="s">
        <v>47306</v>
      </c>
    </row>
    <row r="1047" spans="1:24">
      <c r="A1047">
        <f>HYPERLINK("https://www.philgeps.gov.ph/GEPSNONPILOT/Tender/SplashBidNoticeAbstractUI.aspx?menuIndex=3&amp;refID=7198661&amp;Result=3","7198661")</f>
        <v>0</v>
      </c>
      <c r="B1047" t="s">
        <v>540</v>
      </c>
      <c r="C1047" t="s">
        <v>4875</v>
      </c>
      <c r="D1047" t="s">
        <v>19001</v>
      </c>
      <c r="E1047" t="s">
        <v>20068</v>
      </c>
      <c r="F1047" t="s">
        <v>32606</v>
      </c>
      <c r="G1047" t="s">
        <v>32614</v>
      </c>
      <c r="H1047" t="s">
        <v>14201</v>
      </c>
      <c r="I1047" t="s">
        <v>32666</v>
      </c>
      <c r="J1047" t="s">
        <v>33102</v>
      </c>
      <c r="K1047" t="s">
        <v>42688</v>
      </c>
      <c r="M1047" t="s">
        <v>43454</v>
      </c>
      <c r="N1047" t="s">
        <v>47304</v>
      </c>
      <c r="O1047" t="s">
        <v>47305</v>
      </c>
      <c r="P1047">
        <v>0</v>
      </c>
      <c r="Q1047">
        <v>0</v>
      </c>
      <c r="R1047" t="s">
        <v>47307</v>
      </c>
      <c r="S1047" t="s">
        <v>47416</v>
      </c>
      <c r="T1047" t="s">
        <v>48986</v>
      </c>
      <c r="U1047" t="s">
        <v>50496</v>
      </c>
      <c r="W1047" t="s">
        <v>43454</v>
      </c>
      <c r="X1047" t="s">
        <v>47306</v>
      </c>
    </row>
    <row r="1048" spans="1:24">
      <c r="A1048">
        <f>HYPERLINK("https://www.philgeps.gov.ph/GEPSNONPILOT/Tender/SplashBidNoticeAbstractUI.aspx?menuIndex=3&amp;refID=7198679&amp;Result=3","7198679")</f>
        <v>0</v>
      </c>
      <c r="B1048" t="s">
        <v>432</v>
      </c>
      <c r="C1048" t="s">
        <v>4876</v>
      </c>
      <c r="D1048" t="s">
        <v>19032</v>
      </c>
      <c r="E1048" t="s">
        <v>20069</v>
      </c>
      <c r="F1048" t="s">
        <v>32606</v>
      </c>
      <c r="G1048" t="s">
        <v>32619</v>
      </c>
      <c r="H1048" t="s">
        <v>14201</v>
      </c>
      <c r="I1048" t="s">
        <v>4112</v>
      </c>
      <c r="J1048" t="s">
        <v>33560</v>
      </c>
      <c r="K1048" t="s">
        <v>42624</v>
      </c>
      <c r="M1048" t="s">
        <v>43338</v>
      </c>
      <c r="N1048" t="s">
        <v>47304</v>
      </c>
      <c r="O1048" t="s">
        <v>47305</v>
      </c>
      <c r="P1048">
        <v>0</v>
      </c>
      <c r="Q1048">
        <v>0</v>
      </c>
      <c r="R1048" t="s">
        <v>47307</v>
      </c>
      <c r="S1048" t="s">
        <v>47416</v>
      </c>
      <c r="T1048" t="s">
        <v>49014</v>
      </c>
      <c r="U1048" t="s">
        <v>50497</v>
      </c>
      <c r="W1048" t="s">
        <v>43338</v>
      </c>
      <c r="X1048" t="s">
        <v>47306</v>
      </c>
    </row>
    <row r="1049" spans="1:24">
      <c r="A1049">
        <f>HYPERLINK("https://www.philgeps.gov.ph/GEPSNONPILOT/Tender/SplashBidNoticeAbstractUI.aspx?menuIndex=3&amp;refID=7198662&amp;Result=3","7198662")</f>
        <v>0</v>
      </c>
      <c r="B1049" t="s">
        <v>442</v>
      </c>
      <c r="C1049" t="s">
        <v>4877</v>
      </c>
      <c r="E1049" t="s">
        <v>20070</v>
      </c>
      <c r="F1049" t="s">
        <v>32606</v>
      </c>
      <c r="G1049" t="s">
        <v>32619</v>
      </c>
      <c r="H1049" t="s">
        <v>14201</v>
      </c>
      <c r="I1049" t="s">
        <v>32640</v>
      </c>
      <c r="J1049" t="s">
        <v>32765</v>
      </c>
      <c r="K1049" t="s">
        <v>42624</v>
      </c>
      <c r="M1049" t="s">
        <v>43375</v>
      </c>
      <c r="N1049" t="s">
        <v>47304</v>
      </c>
      <c r="O1049" t="s">
        <v>47305</v>
      </c>
      <c r="P1049">
        <v>0</v>
      </c>
      <c r="Q1049">
        <v>0</v>
      </c>
      <c r="R1049" t="s">
        <v>47307</v>
      </c>
      <c r="S1049" t="s">
        <v>47416</v>
      </c>
      <c r="T1049" t="s">
        <v>49092</v>
      </c>
      <c r="U1049" t="s">
        <v>50498</v>
      </c>
      <c r="W1049" t="s">
        <v>43375</v>
      </c>
      <c r="X1049" t="s">
        <v>47306</v>
      </c>
    </row>
    <row r="1050" spans="1:24">
      <c r="A1050">
        <f>HYPERLINK("https://www.philgeps.gov.ph/GEPSNONPILOT/Tender/SplashBidNoticeAbstractUI.aspx?menuIndex=3&amp;refID=7198676&amp;Result=3","7198676")</f>
        <v>0</v>
      </c>
      <c r="B1050" t="s">
        <v>466</v>
      </c>
      <c r="C1050" t="s">
        <v>4878</v>
      </c>
      <c r="D1050" t="s">
        <v>19022</v>
      </c>
      <c r="E1050" t="s">
        <v>20071</v>
      </c>
      <c r="F1050" t="s">
        <v>32606</v>
      </c>
      <c r="G1050" t="s">
        <v>32613</v>
      </c>
      <c r="H1050" t="s">
        <v>14201</v>
      </c>
      <c r="I1050" t="s">
        <v>32640</v>
      </c>
      <c r="J1050" t="s">
        <v>33561</v>
      </c>
      <c r="K1050" t="s">
        <v>42623</v>
      </c>
      <c r="M1050" t="s">
        <v>43377</v>
      </c>
      <c r="N1050" t="s">
        <v>47304</v>
      </c>
      <c r="O1050" t="s">
        <v>47305</v>
      </c>
      <c r="P1050">
        <v>0</v>
      </c>
      <c r="Q1050">
        <v>0</v>
      </c>
      <c r="R1050" t="s">
        <v>47307</v>
      </c>
      <c r="S1050" t="s">
        <v>47416</v>
      </c>
      <c r="T1050" t="s">
        <v>49103</v>
      </c>
      <c r="U1050" t="s">
        <v>50499</v>
      </c>
      <c r="W1050" t="s">
        <v>43377</v>
      </c>
      <c r="X1050" t="s">
        <v>47306</v>
      </c>
    </row>
    <row r="1051" spans="1:24">
      <c r="A1051">
        <f>HYPERLINK("https://www.philgeps.gov.ph/GEPSNONPILOT/Tender/SplashBidNoticeAbstractUI.aspx?menuIndex=3&amp;refID=7198674&amp;Result=3","7198674")</f>
        <v>0</v>
      </c>
      <c r="B1051" t="s">
        <v>501</v>
      </c>
      <c r="C1051" t="s">
        <v>3971</v>
      </c>
      <c r="D1051" t="s">
        <v>19018</v>
      </c>
      <c r="E1051" t="s">
        <v>19663</v>
      </c>
      <c r="F1051" t="s">
        <v>32606</v>
      </c>
      <c r="G1051" t="s">
        <v>32617</v>
      </c>
      <c r="H1051" t="s">
        <v>14201</v>
      </c>
      <c r="I1051" t="s">
        <v>4114</v>
      </c>
      <c r="J1051" t="s">
        <v>33562</v>
      </c>
      <c r="K1051" t="s">
        <v>42624</v>
      </c>
      <c r="M1051" t="s">
        <v>43414</v>
      </c>
      <c r="N1051" t="s">
        <v>47304</v>
      </c>
      <c r="O1051" t="s">
        <v>47305</v>
      </c>
      <c r="P1051">
        <v>0</v>
      </c>
      <c r="Q1051">
        <v>0</v>
      </c>
      <c r="R1051" t="s">
        <v>47307</v>
      </c>
      <c r="S1051" t="s">
        <v>47416</v>
      </c>
      <c r="T1051" t="s">
        <v>48988</v>
      </c>
      <c r="U1051" t="s">
        <v>50433</v>
      </c>
      <c r="W1051" t="s">
        <v>43414</v>
      </c>
      <c r="X1051" t="s">
        <v>47306</v>
      </c>
    </row>
    <row r="1052" spans="1:24">
      <c r="A1052">
        <f>HYPERLINK("https://www.philgeps.gov.ph/GEPSNONPILOT/Tender/SplashBidNoticeAbstractUI.aspx?menuIndex=3&amp;refID=7198659&amp;Result=3","7198659")</f>
        <v>0</v>
      </c>
      <c r="B1052" t="s">
        <v>541</v>
      </c>
      <c r="C1052" t="s">
        <v>4879</v>
      </c>
      <c r="D1052" t="s">
        <v>19006</v>
      </c>
      <c r="E1052" t="s">
        <v>20072</v>
      </c>
      <c r="F1052" t="s">
        <v>32606</v>
      </c>
      <c r="G1052" t="s">
        <v>32614</v>
      </c>
      <c r="H1052" t="s">
        <v>14201</v>
      </c>
      <c r="I1052" t="s">
        <v>6931</v>
      </c>
      <c r="J1052" t="s">
        <v>33563</v>
      </c>
      <c r="K1052" t="s">
        <v>42622</v>
      </c>
      <c r="M1052" t="s">
        <v>43455</v>
      </c>
      <c r="N1052" t="s">
        <v>47304</v>
      </c>
      <c r="O1052" t="s">
        <v>47305</v>
      </c>
      <c r="P1052">
        <v>0</v>
      </c>
      <c r="Q1052">
        <v>0</v>
      </c>
      <c r="R1052" t="s">
        <v>47307</v>
      </c>
      <c r="S1052" t="s">
        <v>47416</v>
      </c>
      <c r="T1052" t="s">
        <v>49098</v>
      </c>
      <c r="U1052" t="s">
        <v>50500</v>
      </c>
      <c r="W1052" t="s">
        <v>43455</v>
      </c>
      <c r="X1052" t="s">
        <v>47306</v>
      </c>
    </row>
    <row r="1053" spans="1:24">
      <c r="A1053">
        <f>HYPERLINK("https://www.philgeps.gov.ph/GEPSNONPILOT/Tender/SplashBidNoticeAbstractUI.aspx?menuIndex=3&amp;refID=7198677&amp;Result=3","7198677")</f>
        <v>0</v>
      </c>
      <c r="B1053" t="s">
        <v>542</v>
      </c>
      <c r="C1053" t="s">
        <v>4880</v>
      </c>
      <c r="D1053" t="s">
        <v>19023</v>
      </c>
      <c r="E1053" t="s">
        <v>20073</v>
      </c>
      <c r="F1053" t="s">
        <v>32606</v>
      </c>
      <c r="G1053" t="s">
        <v>32617</v>
      </c>
      <c r="H1053" t="s">
        <v>14201</v>
      </c>
      <c r="I1053" t="s">
        <v>4120</v>
      </c>
      <c r="J1053" t="s">
        <v>32778</v>
      </c>
      <c r="K1053" t="s">
        <v>42636</v>
      </c>
      <c r="M1053" t="s">
        <v>43456</v>
      </c>
      <c r="N1053" t="s">
        <v>47304</v>
      </c>
      <c r="O1053" t="s">
        <v>47305</v>
      </c>
      <c r="P1053">
        <v>0</v>
      </c>
      <c r="Q1053">
        <v>0</v>
      </c>
      <c r="R1053" t="s">
        <v>47307</v>
      </c>
      <c r="S1053" t="s">
        <v>47416</v>
      </c>
      <c r="T1053" t="s">
        <v>48975</v>
      </c>
      <c r="U1053" t="s">
        <v>50501</v>
      </c>
      <c r="V1053" t="s">
        <v>62771</v>
      </c>
      <c r="W1053" t="s">
        <v>43456</v>
      </c>
      <c r="X1053" t="s">
        <v>47306</v>
      </c>
    </row>
    <row r="1054" spans="1:24">
      <c r="A1054">
        <f>HYPERLINK("https://www.philgeps.gov.ph/GEPSNONPILOT/Tender/SplashBidNoticeAbstractUI.aspx?menuIndex=3&amp;refID=7198672&amp;Result=3","7198672")</f>
        <v>0</v>
      </c>
      <c r="B1054" t="s">
        <v>419</v>
      </c>
      <c r="C1054" t="s">
        <v>4881</v>
      </c>
      <c r="D1054" t="s">
        <v>18993</v>
      </c>
      <c r="E1054" t="s">
        <v>19832</v>
      </c>
      <c r="F1054" t="s">
        <v>32607</v>
      </c>
      <c r="G1054" t="s">
        <v>32613</v>
      </c>
      <c r="H1054" t="s">
        <v>14201</v>
      </c>
      <c r="I1054" t="s">
        <v>6298</v>
      </c>
      <c r="J1054" t="s">
        <v>33564</v>
      </c>
      <c r="K1054" t="s">
        <v>42631</v>
      </c>
      <c r="L1054" t="s">
        <v>419</v>
      </c>
      <c r="M1054" t="s">
        <v>43323</v>
      </c>
      <c r="N1054" t="s">
        <v>47304</v>
      </c>
      <c r="O1054" t="s">
        <v>47305</v>
      </c>
      <c r="P1054">
        <v>0</v>
      </c>
      <c r="Q1054">
        <v>0</v>
      </c>
      <c r="R1054" t="s">
        <v>47307</v>
      </c>
      <c r="S1054" t="s">
        <v>47416</v>
      </c>
      <c r="T1054" t="s">
        <v>49147</v>
      </c>
      <c r="U1054" t="s">
        <v>50502</v>
      </c>
      <c r="W1054" t="s">
        <v>43323</v>
      </c>
      <c r="X1054" t="s">
        <v>47306</v>
      </c>
    </row>
    <row r="1055" spans="1:24">
      <c r="A1055">
        <f>HYPERLINK("https://www.philgeps.gov.ph/GEPSNONPILOT/Tender/SplashBidNoticeAbstractUI.aspx?menuIndex=3&amp;refID=7198660&amp;Result=3","7198660")</f>
        <v>0</v>
      </c>
      <c r="B1055" t="s">
        <v>482</v>
      </c>
      <c r="C1055" t="s">
        <v>4882</v>
      </c>
      <c r="D1055" t="s">
        <v>19007</v>
      </c>
      <c r="E1055" t="s">
        <v>20074</v>
      </c>
      <c r="F1055" t="s">
        <v>32606</v>
      </c>
      <c r="G1055" t="s">
        <v>32614</v>
      </c>
      <c r="H1055" t="s">
        <v>14201</v>
      </c>
      <c r="I1055" t="s">
        <v>4678</v>
      </c>
      <c r="J1055" t="s">
        <v>32765</v>
      </c>
      <c r="K1055" t="s">
        <v>42624</v>
      </c>
      <c r="M1055" t="s">
        <v>43393</v>
      </c>
      <c r="N1055" t="s">
        <v>47304</v>
      </c>
      <c r="O1055" t="s">
        <v>47305</v>
      </c>
      <c r="P1055">
        <v>0</v>
      </c>
      <c r="Q1055">
        <v>0</v>
      </c>
      <c r="R1055" t="s">
        <v>47307</v>
      </c>
      <c r="S1055" t="s">
        <v>47416</v>
      </c>
      <c r="T1055" t="s">
        <v>48972</v>
      </c>
      <c r="U1055" t="s">
        <v>50503</v>
      </c>
      <c r="W1055" t="s">
        <v>43393</v>
      </c>
      <c r="X1055" t="s">
        <v>47306</v>
      </c>
    </row>
    <row r="1056" spans="1:24">
      <c r="A1056">
        <f>HYPERLINK("https://www.philgeps.gov.ph/GEPSNONPILOT/Tender/SplashBidNoticeAbstractUI.aspx?menuIndex=3&amp;refID=7198680&amp;Result=3","7198680")</f>
        <v>0</v>
      </c>
      <c r="B1056" t="s">
        <v>543</v>
      </c>
      <c r="C1056" t="s">
        <v>4883</v>
      </c>
      <c r="D1056" t="s">
        <v>18997</v>
      </c>
      <c r="E1056" t="s">
        <v>20075</v>
      </c>
      <c r="F1056" t="s">
        <v>32606</v>
      </c>
      <c r="G1056" t="s">
        <v>32617</v>
      </c>
      <c r="H1056" t="s">
        <v>14201</v>
      </c>
      <c r="I1056" t="s">
        <v>32626</v>
      </c>
      <c r="J1056" t="s">
        <v>33565</v>
      </c>
      <c r="K1056" t="s">
        <v>42631</v>
      </c>
      <c r="M1056" t="s">
        <v>43457</v>
      </c>
      <c r="N1056" t="s">
        <v>47304</v>
      </c>
      <c r="O1056" t="s">
        <v>47305</v>
      </c>
      <c r="P1056">
        <v>0</v>
      </c>
      <c r="Q1056">
        <v>0</v>
      </c>
      <c r="R1056" t="s">
        <v>47307</v>
      </c>
      <c r="S1056" t="s">
        <v>47416</v>
      </c>
      <c r="T1056" t="s">
        <v>49023</v>
      </c>
      <c r="U1056" t="s">
        <v>50504</v>
      </c>
      <c r="V1056" t="s">
        <v>62772</v>
      </c>
      <c r="W1056" t="s">
        <v>43457</v>
      </c>
      <c r="X1056" t="s">
        <v>47306</v>
      </c>
    </row>
    <row r="1057" spans="1:24">
      <c r="A1057">
        <f>HYPERLINK("https://www.philgeps.gov.ph/GEPSNONPILOT/Tender/SplashBidNoticeAbstractUI.aspx?menuIndex=3&amp;refID=7198696&amp;Result=3","7198696")</f>
        <v>0</v>
      </c>
      <c r="B1057" t="s">
        <v>544</v>
      </c>
      <c r="C1057" t="s">
        <v>4884</v>
      </c>
      <c r="D1057" t="s">
        <v>19016</v>
      </c>
      <c r="E1057" t="s">
        <v>20076</v>
      </c>
      <c r="F1057" t="s">
        <v>32606</v>
      </c>
      <c r="G1057" t="s">
        <v>32619</v>
      </c>
      <c r="H1057" t="s">
        <v>14201</v>
      </c>
      <c r="I1057" t="s">
        <v>32693</v>
      </c>
      <c r="J1057" t="s">
        <v>33566</v>
      </c>
      <c r="K1057" t="s">
        <v>42622</v>
      </c>
      <c r="M1057" t="s">
        <v>43458</v>
      </c>
      <c r="N1057" t="s">
        <v>47304</v>
      </c>
      <c r="O1057" t="s">
        <v>47305</v>
      </c>
      <c r="P1057">
        <v>0</v>
      </c>
      <c r="Q1057">
        <v>0</v>
      </c>
      <c r="R1057" t="s">
        <v>47307</v>
      </c>
      <c r="S1057" t="s">
        <v>47416</v>
      </c>
      <c r="T1057" t="s">
        <v>48979</v>
      </c>
      <c r="U1057" t="s">
        <v>50505</v>
      </c>
      <c r="V1057" t="s">
        <v>62773</v>
      </c>
      <c r="W1057" t="s">
        <v>43458</v>
      </c>
      <c r="X1057" t="s">
        <v>47306</v>
      </c>
    </row>
    <row r="1058" spans="1:24">
      <c r="A1058">
        <f>HYPERLINK("https://www.philgeps.gov.ph/GEPSNONPILOT/Tender/SplashBidNoticeAbstractUI.aspx?menuIndex=3&amp;refID=7198673&amp;Result=3","7198673")</f>
        <v>0</v>
      </c>
      <c r="B1058" t="s">
        <v>545</v>
      </c>
      <c r="C1058" t="s">
        <v>4885</v>
      </c>
      <c r="D1058" t="s">
        <v>18988</v>
      </c>
      <c r="E1058" t="s">
        <v>20077</v>
      </c>
      <c r="F1058" t="s">
        <v>32606</v>
      </c>
      <c r="G1058" t="s">
        <v>32614</v>
      </c>
      <c r="H1058" t="s">
        <v>14201</v>
      </c>
      <c r="I1058" t="s">
        <v>32640</v>
      </c>
      <c r="J1058" t="s">
        <v>33291</v>
      </c>
      <c r="K1058" t="s">
        <v>42624</v>
      </c>
      <c r="M1058" t="s">
        <v>43459</v>
      </c>
      <c r="N1058" t="s">
        <v>47304</v>
      </c>
      <c r="O1058" t="s">
        <v>47305</v>
      </c>
      <c r="P1058">
        <v>0</v>
      </c>
      <c r="Q1058">
        <v>0</v>
      </c>
      <c r="R1058" t="s">
        <v>47307</v>
      </c>
      <c r="S1058" t="s">
        <v>47416</v>
      </c>
      <c r="T1058" t="s">
        <v>49108</v>
      </c>
      <c r="U1058" t="s">
        <v>50506</v>
      </c>
      <c r="W1058" t="s">
        <v>43459</v>
      </c>
      <c r="X1058" t="s">
        <v>47306</v>
      </c>
    </row>
    <row r="1059" spans="1:24">
      <c r="A1059">
        <f>HYPERLINK("https://www.philgeps.gov.ph/GEPSNONPILOT/Tender/SplashBidNoticeAbstractUI.aspx?menuIndex=3&amp;refID=7198694&amp;Result=3","7198694")</f>
        <v>0</v>
      </c>
      <c r="B1059" t="s">
        <v>540</v>
      </c>
      <c r="C1059" t="s">
        <v>4886</v>
      </c>
      <c r="D1059" t="s">
        <v>19001</v>
      </c>
      <c r="E1059" t="s">
        <v>20078</v>
      </c>
      <c r="F1059" t="s">
        <v>32606</v>
      </c>
      <c r="G1059" t="s">
        <v>32614</v>
      </c>
      <c r="H1059" t="s">
        <v>14201</v>
      </c>
      <c r="I1059" t="s">
        <v>32629</v>
      </c>
      <c r="J1059" t="s">
        <v>33567</v>
      </c>
      <c r="K1059" t="s">
        <v>42622</v>
      </c>
      <c r="M1059" t="s">
        <v>43460</v>
      </c>
      <c r="N1059" t="s">
        <v>47304</v>
      </c>
      <c r="O1059" t="s">
        <v>47305</v>
      </c>
      <c r="P1059">
        <v>0</v>
      </c>
      <c r="Q1059">
        <v>0</v>
      </c>
      <c r="R1059" t="s">
        <v>47307</v>
      </c>
      <c r="S1059" t="s">
        <v>47416</v>
      </c>
      <c r="T1059" t="s">
        <v>48986</v>
      </c>
      <c r="U1059" t="s">
        <v>50507</v>
      </c>
      <c r="W1059" t="s">
        <v>43460</v>
      </c>
      <c r="X1059" t="s">
        <v>47306</v>
      </c>
    </row>
    <row r="1060" spans="1:24">
      <c r="A1060">
        <f>HYPERLINK("https://www.philgeps.gov.ph/GEPSNONPILOT/Tender/SplashBidNoticeAbstractUI.aspx?menuIndex=3&amp;refID=7198681&amp;Result=3","7198681")</f>
        <v>0</v>
      </c>
      <c r="B1060" t="s">
        <v>546</v>
      </c>
      <c r="C1060" t="s">
        <v>4887</v>
      </c>
      <c r="D1060" t="s">
        <v>18993</v>
      </c>
      <c r="E1060" t="s">
        <v>20079</v>
      </c>
      <c r="F1060" t="s">
        <v>32606</v>
      </c>
      <c r="G1060" t="s">
        <v>32613</v>
      </c>
      <c r="H1060" t="s">
        <v>14201</v>
      </c>
      <c r="I1060" t="s">
        <v>32656</v>
      </c>
      <c r="J1060" t="s">
        <v>33568</v>
      </c>
      <c r="K1060" t="s">
        <v>42631</v>
      </c>
      <c r="M1060" t="s">
        <v>43461</v>
      </c>
      <c r="N1060" t="s">
        <v>47304</v>
      </c>
      <c r="O1060" t="s">
        <v>47305</v>
      </c>
      <c r="P1060">
        <v>0</v>
      </c>
      <c r="Q1060">
        <v>0</v>
      </c>
      <c r="R1060" t="s">
        <v>47307</v>
      </c>
      <c r="S1060" t="s">
        <v>47416</v>
      </c>
      <c r="T1060" t="s">
        <v>48996</v>
      </c>
      <c r="U1060" t="s">
        <v>50508</v>
      </c>
      <c r="W1060" t="s">
        <v>43461</v>
      </c>
      <c r="X1060" t="s">
        <v>47306</v>
      </c>
    </row>
    <row r="1061" spans="1:24">
      <c r="A1061">
        <f>HYPERLINK("https://www.philgeps.gov.ph/GEPSNONPILOT/Tender/SplashBidNoticeAbstractUI.aspx?menuIndex=3&amp;refID=7198704&amp;Result=3","7198704")</f>
        <v>0</v>
      </c>
      <c r="B1061" t="s">
        <v>509</v>
      </c>
      <c r="C1061" t="s">
        <v>4888</v>
      </c>
      <c r="D1061" t="s">
        <v>19044</v>
      </c>
      <c r="E1061" t="s">
        <v>20080</v>
      </c>
      <c r="F1061" t="s">
        <v>32606</v>
      </c>
      <c r="G1061" t="s">
        <v>32614</v>
      </c>
      <c r="H1061" t="s">
        <v>14201</v>
      </c>
      <c r="I1061" t="s">
        <v>6007</v>
      </c>
      <c r="J1061" t="s">
        <v>33075</v>
      </c>
      <c r="K1061" t="s">
        <v>42629</v>
      </c>
      <c r="M1061" t="s">
        <v>43422</v>
      </c>
      <c r="N1061" t="s">
        <v>47304</v>
      </c>
      <c r="O1061" t="s">
        <v>47305</v>
      </c>
      <c r="P1061">
        <v>0</v>
      </c>
      <c r="Q1061">
        <v>0</v>
      </c>
      <c r="R1061" t="s">
        <v>47307</v>
      </c>
      <c r="S1061" t="s">
        <v>47416</v>
      </c>
      <c r="T1061" t="s">
        <v>49015</v>
      </c>
      <c r="U1061" t="s">
        <v>50509</v>
      </c>
      <c r="W1061" t="s">
        <v>43422</v>
      </c>
      <c r="X1061" t="s">
        <v>47306</v>
      </c>
    </row>
    <row r="1062" spans="1:24">
      <c r="A1062">
        <f>HYPERLINK("https://www.philgeps.gov.ph/GEPSNONPILOT/Tender/SplashBidNoticeAbstractUI.aspx?menuIndex=3&amp;refID=7198702&amp;Result=3","7198702")</f>
        <v>0</v>
      </c>
      <c r="B1062" t="s">
        <v>387</v>
      </c>
      <c r="C1062" t="s">
        <v>4889</v>
      </c>
      <c r="D1062" t="s">
        <v>18988</v>
      </c>
      <c r="E1062" t="s">
        <v>20081</v>
      </c>
      <c r="F1062" t="s">
        <v>32606</v>
      </c>
      <c r="G1062" t="s">
        <v>32613</v>
      </c>
      <c r="H1062" t="s">
        <v>14201</v>
      </c>
      <c r="I1062" t="s">
        <v>32634</v>
      </c>
      <c r="J1062" t="s">
        <v>33103</v>
      </c>
      <c r="K1062" t="s">
        <v>42627</v>
      </c>
      <c r="M1062" t="s">
        <v>43290</v>
      </c>
      <c r="N1062" t="s">
        <v>47304</v>
      </c>
      <c r="O1062" t="s">
        <v>47305</v>
      </c>
      <c r="P1062">
        <v>0</v>
      </c>
      <c r="Q1062">
        <v>0</v>
      </c>
      <c r="R1062" t="s">
        <v>47307</v>
      </c>
      <c r="S1062" t="s">
        <v>47416</v>
      </c>
      <c r="T1062" t="s">
        <v>49103</v>
      </c>
      <c r="U1062" t="s">
        <v>50231</v>
      </c>
      <c r="W1062" t="s">
        <v>64431</v>
      </c>
      <c r="X1062" t="s">
        <v>47306</v>
      </c>
    </row>
    <row r="1063" spans="1:24">
      <c r="A1063">
        <f>HYPERLINK("https://www.philgeps.gov.ph/GEPSNONPILOT/Tender/SplashBidNoticeAbstractUI.aspx?menuIndex=3&amp;refID=7198701&amp;Result=3","7198701")</f>
        <v>0</v>
      </c>
      <c r="B1063" t="s">
        <v>536</v>
      </c>
      <c r="C1063" t="s">
        <v>4890</v>
      </c>
      <c r="D1063" t="s">
        <v>19037</v>
      </c>
      <c r="E1063" t="s">
        <v>20082</v>
      </c>
      <c r="F1063" t="s">
        <v>32606</v>
      </c>
      <c r="G1063" t="s">
        <v>32614</v>
      </c>
      <c r="H1063" t="s">
        <v>14201</v>
      </c>
      <c r="I1063" t="s">
        <v>32633</v>
      </c>
      <c r="J1063" t="s">
        <v>33569</v>
      </c>
      <c r="K1063" t="s">
        <v>42623</v>
      </c>
      <c r="M1063" t="s">
        <v>43449</v>
      </c>
      <c r="N1063" t="s">
        <v>47304</v>
      </c>
      <c r="O1063" t="s">
        <v>47305</v>
      </c>
      <c r="P1063">
        <v>0</v>
      </c>
      <c r="Q1063">
        <v>1</v>
      </c>
      <c r="R1063" t="s">
        <v>47307</v>
      </c>
      <c r="S1063" t="s">
        <v>47416</v>
      </c>
      <c r="T1063" t="s">
        <v>48975</v>
      </c>
      <c r="U1063" t="s">
        <v>50489</v>
      </c>
      <c r="W1063" t="s">
        <v>64439</v>
      </c>
      <c r="X1063" t="s">
        <v>47306</v>
      </c>
    </row>
    <row r="1064" spans="1:24">
      <c r="A1064">
        <f>HYPERLINK("https://www.philgeps.gov.ph/GEPSNONPILOT/Tender/SplashBidNoticeAbstractUI.aspx?menuIndex=3&amp;refID=7198700&amp;Result=3","7198700")</f>
        <v>0</v>
      </c>
      <c r="B1064" t="s">
        <v>547</v>
      </c>
      <c r="C1064" t="s">
        <v>4891</v>
      </c>
      <c r="D1064" t="s">
        <v>18988</v>
      </c>
      <c r="E1064" t="s">
        <v>20083</v>
      </c>
      <c r="F1064" t="s">
        <v>32606</v>
      </c>
      <c r="G1064" t="s">
        <v>32619</v>
      </c>
      <c r="H1064" t="s">
        <v>14201</v>
      </c>
      <c r="I1064" t="s">
        <v>32626</v>
      </c>
      <c r="J1064" t="s">
        <v>32770</v>
      </c>
      <c r="K1064" t="s">
        <v>42623</v>
      </c>
      <c r="M1064" t="s">
        <v>43462</v>
      </c>
      <c r="N1064" t="s">
        <v>47304</v>
      </c>
      <c r="O1064" t="s">
        <v>47305</v>
      </c>
      <c r="P1064">
        <v>0</v>
      </c>
      <c r="Q1064">
        <v>0</v>
      </c>
      <c r="R1064" t="s">
        <v>47307</v>
      </c>
      <c r="S1064" t="s">
        <v>47416</v>
      </c>
      <c r="T1064" t="s">
        <v>49014</v>
      </c>
      <c r="U1064" t="s">
        <v>50510</v>
      </c>
      <c r="V1064" t="s">
        <v>62774</v>
      </c>
      <c r="W1064" t="s">
        <v>43462</v>
      </c>
      <c r="X1064" t="s">
        <v>47306</v>
      </c>
    </row>
    <row r="1065" spans="1:24">
      <c r="A1065">
        <f>HYPERLINK("https://www.philgeps.gov.ph/GEPSNONPILOT/Tender/SplashBidNoticeAbstractUI.aspx?menuIndex=3&amp;refID=7198699&amp;Result=3","7198699")</f>
        <v>0</v>
      </c>
      <c r="B1065" t="s">
        <v>548</v>
      </c>
      <c r="C1065" t="s">
        <v>4892</v>
      </c>
      <c r="D1065" t="s">
        <v>19003</v>
      </c>
      <c r="E1065" t="s">
        <v>20084</v>
      </c>
      <c r="F1065" t="s">
        <v>32606</v>
      </c>
      <c r="G1065" t="s">
        <v>32614</v>
      </c>
      <c r="H1065" t="s">
        <v>14201</v>
      </c>
      <c r="I1065" t="s">
        <v>7233</v>
      </c>
      <c r="J1065" t="s">
        <v>33570</v>
      </c>
      <c r="K1065" t="s">
        <v>42623</v>
      </c>
      <c r="L1065" t="s">
        <v>548</v>
      </c>
      <c r="M1065" t="s">
        <v>43463</v>
      </c>
      <c r="N1065" t="s">
        <v>47304</v>
      </c>
      <c r="O1065" t="s">
        <v>47305</v>
      </c>
      <c r="P1065">
        <v>0</v>
      </c>
      <c r="Q1065">
        <v>0</v>
      </c>
      <c r="R1065" t="s">
        <v>47307</v>
      </c>
      <c r="S1065" t="s">
        <v>47416</v>
      </c>
      <c r="T1065" t="s">
        <v>49101</v>
      </c>
      <c r="U1065" t="s">
        <v>50511</v>
      </c>
      <c r="V1065" t="s">
        <v>62775</v>
      </c>
      <c r="W1065" t="s">
        <v>43463</v>
      </c>
      <c r="X1065" t="s">
        <v>47306</v>
      </c>
    </row>
    <row r="1066" spans="1:24">
      <c r="A1066">
        <f>HYPERLINK("https://www.philgeps.gov.ph/GEPSNONPILOT/Tender/SplashBidNoticeAbstractUI.aspx?menuIndex=3&amp;refID=7198697&amp;Result=3","7198697")</f>
        <v>0</v>
      </c>
      <c r="B1066" t="s">
        <v>538</v>
      </c>
      <c r="C1066" t="s">
        <v>4893</v>
      </c>
      <c r="D1066" t="s">
        <v>19046</v>
      </c>
      <c r="E1066" t="s">
        <v>20085</v>
      </c>
      <c r="F1066" t="s">
        <v>32606</v>
      </c>
      <c r="G1066" t="s">
        <v>32619</v>
      </c>
      <c r="H1066" t="s">
        <v>14201</v>
      </c>
      <c r="I1066" t="s">
        <v>4114</v>
      </c>
      <c r="J1066" t="s">
        <v>32981</v>
      </c>
      <c r="K1066" t="s">
        <v>42624</v>
      </c>
      <c r="M1066" t="s">
        <v>43451</v>
      </c>
      <c r="N1066" t="s">
        <v>47304</v>
      </c>
      <c r="O1066" t="s">
        <v>47305</v>
      </c>
      <c r="P1066">
        <v>0</v>
      </c>
      <c r="Q1066">
        <v>0</v>
      </c>
      <c r="R1066" t="s">
        <v>47307</v>
      </c>
      <c r="S1066" t="s">
        <v>47416</v>
      </c>
      <c r="T1066" t="s">
        <v>48987</v>
      </c>
      <c r="U1066" t="s">
        <v>50512</v>
      </c>
      <c r="V1066" t="s">
        <v>62641</v>
      </c>
      <c r="W1066" t="s">
        <v>43451</v>
      </c>
      <c r="X1066" t="s">
        <v>47306</v>
      </c>
    </row>
    <row r="1067" spans="1:24">
      <c r="A1067">
        <f>HYPERLINK("https://www.philgeps.gov.ph/GEPSNONPILOT/Tender/SplashBidNoticeAbstractUI.aspx?menuIndex=3&amp;refID=7198675&amp;Result=3","7198675")</f>
        <v>0</v>
      </c>
      <c r="B1067" t="s">
        <v>483</v>
      </c>
      <c r="C1067" t="s">
        <v>4894</v>
      </c>
      <c r="D1067" t="s">
        <v>19056</v>
      </c>
      <c r="E1067" t="s">
        <v>19318</v>
      </c>
      <c r="F1067" t="s">
        <v>32606</v>
      </c>
      <c r="G1067" t="s">
        <v>32613</v>
      </c>
      <c r="H1067" t="s">
        <v>32623</v>
      </c>
      <c r="I1067" t="s">
        <v>17648</v>
      </c>
      <c r="J1067" t="s">
        <v>33571</v>
      </c>
      <c r="K1067" t="s">
        <v>42696</v>
      </c>
      <c r="M1067" t="s">
        <v>43394</v>
      </c>
      <c r="N1067" t="s">
        <v>47304</v>
      </c>
      <c r="O1067" t="s">
        <v>47305</v>
      </c>
      <c r="P1067">
        <v>0</v>
      </c>
      <c r="Q1067">
        <v>0</v>
      </c>
      <c r="R1067" t="s">
        <v>47307</v>
      </c>
      <c r="S1067" t="s">
        <v>47416</v>
      </c>
      <c r="T1067" t="s">
        <v>49133</v>
      </c>
      <c r="U1067" t="s">
        <v>50513</v>
      </c>
      <c r="W1067" t="s">
        <v>43394</v>
      </c>
      <c r="X1067" t="s">
        <v>47306</v>
      </c>
    </row>
    <row r="1068" spans="1:24">
      <c r="A1068">
        <f>HYPERLINK("https://www.philgeps.gov.ph/GEPSNONPILOT/Tender/SplashBidNoticeAbstractUI.aspx?menuIndex=3&amp;refID=7198692&amp;Result=3","7198692")</f>
        <v>0</v>
      </c>
      <c r="B1068" t="s">
        <v>549</v>
      </c>
      <c r="C1068" t="s">
        <v>4895</v>
      </c>
      <c r="D1068" t="s">
        <v>19027</v>
      </c>
      <c r="E1068" t="s">
        <v>20086</v>
      </c>
      <c r="F1068" t="s">
        <v>32606</v>
      </c>
      <c r="G1068" t="s">
        <v>32613</v>
      </c>
      <c r="H1068" t="s">
        <v>32625</v>
      </c>
      <c r="I1068" t="s">
        <v>32625</v>
      </c>
      <c r="J1068" t="s">
        <v>33572</v>
      </c>
      <c r="K1068" t="s">
        <v>42682</v>
      </c>
      <c r="M1068" t="s">
        <v>43464</v>
      </c>
      <c r="N1068" t="s">
        <v>47304</v>
      </c>
      <c r="O1068" t="s">
        <v>47305</v>
      </c>
      <c r="P1068">
        <v>0</v>
      </c>
      <c r="Q1068">
        <v>0</v>
      </c>
      <c r="R1068" t="s">
        <v>47307</v>
      </c>
      <c r="S1068" t="s">
        <v>47416</v>
      </c>
      <c r="T1068" t="s">
        <v>49136</v>
      </c>
      <c r="U1068" t="s">
        <v>50514</v>
      </c>
      <c r="W1068" t="s">
        <v>43464</v>
      </c>
      <c r="X1068" t="s">
        <v>47306</v>
      </c>
    </row>
    <row r="1069" spans="1:24">
      <c r="A1069">
        <f>HYPERLINK("https://www.philgeps.gov.ph/GEPSNONPILOT/Tender/SplashBidNoticeAbstractUI.aspx?menuIndex=3&amp;refID=7198691&amp;Result=3","7198691")</f>
        <v>0</v>
      </c>
      <c r="B1069" t="s">
        <v>446</v>
      </c>
      <c r="C1069" t="s">
        <v>4896</v>
      </c>
      <c r="D1069" t="s">
        <v>19010</v>
      </c>
      <c r="E1069" t="s">
        <v>20087</v>
      </c>
      <c r="F1069" t="s">
        <v>32606</v>
      </c>
      <c r="G1069" t="s">
        <v>32613</v>
      </c>
      <c r="H1069" t="s">
        <v>32623</v>
      </c>
      <c r="I1069" t="s">
        <v>17648</v>
      </c>
      <c r="J1069" t="s">
        <v>33573</v>
      </c>
      <c r="K1069" t="s">
        <v>42639</v>
      </c>
      <c r="M1069" t="s">
        <v>43354</v>
      </c>
      <c r="N1069" t="s">
        <v>47304</v>
      </c>
      <c r="O1069" t="s">
        <v>47305</v>
      </c>
      <c r="P1069">
        <v>0</v>
      </c>
      <c r="Q1069">
        <v>0</v>
      </c>
      <c r="R1069" t="s">
        <v>47307</v>
      </c>
      <c r="S1069" t="s">
        <v>47416</v>
      </c>
      <c r="T1069" t="s">
        <v>49065</v>
      </c>
      <c r="U1069" t="s">
        <v>50515</v>
      </c>
      <c r="W1069" t="s">
        <v>64435</v>
      </c>
      <c r="X1069" t="s">
        <v>47306</v>
      </c>
    </row>
    <row r="1070" spans="1:24">
      <c r="A1070">
        <f>HYPERLINK("https://www.philgeps.gov.ph/GEPSNONPILOT/Tender/SplashBidNoticeAbstractUI.aspx?menuIndex=3&amp;refID=7198657&amp;Result=3","7198657")</f>
        <v>0</v>
      </c>
      <c r="B1070" t="s">
        <v>550</v>
      </c>
      <c r="C1070" t="s">
        <v>4897</v>
      </c>
      <c r="D1070" t="s">
        <v>18989</v>
      </c>
      <c r="E1070" t="s">
        <v>20088</v>
      </c>
      <c r="F1070" t="s">
        <v>32606</v>
      </c>
      <c r="G1070" t="s">
        <v>32614</v>
      </c>
      <c r="H1070" t="s">
        <v>32623</v>
      </c>
      <c r="I1070" t="s">
        <v>17648</v>
      </c>
      <c r="J1070" t="s">
        <v>33574</v>
      </c>
      <c r="K1070" t="s">
        <v>42639</v>
      </c>
      <c r="L1070" t="s">
        <v>550</v>
      </c>
      <c r="M1070" t="s">
        <v>43465</v>
      </c>
      <c r="N1070" t="s">
        <v>47304</v>
      </c>
      <c r="O1070" t="s">
        <v>47305</v>
      </c>
      <c r="P1070">
        <v>0</v>
      </c>
      <c r="Q1070">
        <v>0</v>
      </c>
      <c r="R1070" t="s">
        <v>47307</v>
      </c>
      <c r="S1070" t="s">
        <v>47416</v>
      </c>
      <c r="T1070" t="s">
        <v>48971</v>
      </c>
      <c r="U1070" t="s">
        <v>50516</v>
      </c>
      <c r="W1070" t="s">
        <v>43465</v>
      </c>
      <c r="X1070" t="s">
        <v>47306</v>
      </c>
    </row>
    <row r="1071" spans="1:24">
      <c r="A1071">
        <f>HYPERLINK("https://www.philgeps.gov.ph/GEPSNONPILOT/Tender/SplashBidNoticeAbstractUI.aspx?menuIndex=3&amp;refID=7198689&amp;Result=3","7198689")</f>
        <v>0</v>
      </c>
      <c r="B1071" t="s">
        <v>387</v>
      </c>
      <c r="C1071" t="s">
        <v>4898</v>
      </c>
      <c r="D1071" t="s">
        <v>18988</v>
      </c>
      <c r="E1071" t="s">
        <v>20089</v>
      </c>
      <c r="F1071" t="s">
        <v>32606</v>
      </c>
      <c r="G1071" t="s">
        <v>32613</v>
      </c>
      <c r="H1071" t="s">
        <v>14201</v>
      </c>
      <c r="I1071" t="s">
        <v>32659</v>
      </c>
      <c r="J1071" t="s">
        <v>33575</v>
      </c>
      <c r="K1071" t="s">
        <v>42627</v>
      </c>
      <c r="M1071" t="s">
        <v>43290</v>
      </c>
      <c r="N1071" t="s">
        <v>47304</v>
      </c>
      <c r="O1071" t="s">
        <v>47305</v>
      </c>
      <c r="P1071">
        <v>0</v>
      </c>
      <c r="Q1071">
        <v>0</v>
      </c>
      <c r="R1071" t="s">
        <v>47307</v>
      </c>
      <c r="S1071" t="s">
        <v>47416</v>
      </c>
      <c r="T1071" t="s">
        <v>49103</v>
      </c>
      <c r="U1071" t="s">
        <v>50231</v>
      </c>
      <c r="W1071" t="s">
        <v>64431</v>
      </c>
      <c r="X1071" t="s">
        <v>47306</v>
      </c>
    </row>
    <row r="1072" spans="1:24">
      <c r="A1072">
        <f>HYPERLINK("https://www.philgeps.gov.ph/GEPSNONPILOT/Tender/SplashBidNoticeAbstractUI.aspx?menuIndex=3&amp;refID=7198707&amp;Result=3","7198707")</f>
        <v>0</v>
      </c>
      <c r="B1072" t="s">
        <v>523</v>
      </c>
      <c r="C1072" t="s">
        <v>4849</v>
      </c>
      <c r="D1072" t="s">
        <v>19007</v>
      </c>
      <c r="E1072" t="s">
        <v>20090</v>
      </c>
      <c r="F1072" t="s">
        <v>32606</v>
      </c>
      <c r="G1072" t="s">
        <v>32614</v>
      </c>
      <c r="H1072" t="s">
        <v>14201</v>
      </c>
      <c r="I1072" t="s">
        <v>32692</v>
      </c>
      <c r="J1072" t="s">
        <v>33125</v>
      </c>
      <c r="K1072" t="s">
        <v>42625</v>
      </c>
      <c r="M1072" t="s">
        <v>43436</v>
      </c>
      <c r="N1072" t="s">
        <v>47304</v>
      </c>
      <c r="O1072" t="s">
        <v>47305</v>
      </c>
      <c r="P1072">
        <v>0</v>
      </c>
      <c r="Q1072">
        <v>0</v>
      </c>
      <c r="R1072" t="s">
        <v>47307</v>
      </c>
      <c r="S1072" t="s">
        <v>47416</v>
      </c>
      <c r="T1072" t="s">
        <v>49015</v>
      </c>
      <c r="U1072" t="s">
        <v>50517</v>
      </c>
      <c r="W1072" t="s">
        <v>43436</v>
      </c>
      <c r="X1072" t="s">
        <v>47306</v>
      </c>
    </row>
    <row r="1073" spans="1:24">
      <c r="A1073">
        <f>HYPERLINK("https://www.philgeps.gov.ph/GEPSNONPILOT/Tender/SplashBidNoticeAbstractUI.aspx?menuIndex=3&amp;refID=7198726&amp;Result=3","7198726")</f>
        <v>0</v>
      </c>
      <c r="B1073" t="s">
        <v>551</v>
      </c>
      <c r="C1073" t="s">
        <v>4899</v>
      </c>
      <c r="D1073" t="s">
        <v>19011</v>
      </c>
      <c r="E1073" t="s">
        <v>20091</v>
      </c>
      <c r="F1073" t="s">
        <v>32606</v>
      </c>
      <c r="G1073" t="s">
        <v>32614</v>
      </c>
      <c r="H1073" t="s">
        <v>14201</v>
      </c>
      <c r="I1073" t="s">
        <v>32668</v>
      </c>
      <c r="J1073" t="s">
        <v>33113</v>
      </c>
      <c r="K1073" t="s">
        <v>42675</v>
      </c>
      <c r="M1073" t="s">
        <v>43466</v>
      </c>
      <c r="N1073" t="s">
        <v>47304</v>
      </c>
      <c r="O1073" t="s">
        <v>47305</v>
      </c>
      <c r="P1073">
        <v>0</v>
      </c>
      <c r="Q1073">
        <v>1</v>
      </c>
      <c r="R1073" t="s">
        <v>47307</v>
      </c>
      <c r="S1073" t="s">
        <v>47416</v>
      </c>
      <c r="T1073" t="s">
        <v>48975</v>
      </c>
      <c r="U1073" t="s">
        <v>50518</v>
      </c>
      <c r="W1073" t="s">
        <v>43466</v>
      </c>
      <c r="X1073" t="s">
        <v>47306</v>
      </c>
    </row>
    <row r="1074" spans="1:24">
      <c r="A1074">
        <f>HYPERLINK("https://www.philgeps.gov.ph/GEPSNONPILOT/Tender/SplashBidNoticeAbstractUI.aspx?menuIndex=3&amp;refID=7198693&amp;Result=3","7198693")</f>
        <v>0</v>
      </c>
      <c r="B1074" t="s">
        <v>481</v>
      </c>
      <c r="C1074" t="s">
        <v>4900</v>
      </c>
      <c r="D1074" t="s">
        <v>18993</v>
      </c>
      <c r="E1074" t="s">
        <v>20092</v>
      </c>
      <c r="F1074" t="s">
        <v>32606</v>
      </c>
      <c r="G1074" t="s">
        <v>32614</v>
      </c>
      <c r="H1074" t="s">
        <v>14201</v>
      </c>
      <c r="I1074" t="s">
        <v>32658</v>
      </c>
      <c r="J1074" t="s">
        <v>33576</v>
      </c>
      <c r="K1074" t="s">
        <v>42622</v>
      </c>
      <c r="M1074" t="s">
        <v>43392</v>
      </c>
      <c r="N1074" t="s">
        <v>47304</v>
      </c>
      <c r="O1074" t="s">
        <v>47305</v>
      </c>
      <c r="P1074">
        <v>0</v>
      </c>
      <c r="Q1074">
        <v>0</v>
      </c>
      <c r="R1074" t="s">
        <v>47307</v>
      </c>
      <c r="S1074" t="s">
        <v>47416</v>
      </c>
      <c r="T1074" t="s">
        <v>49081</v>
      </c>
      <c r="U1074" t="s">
        <v>50519</v>
      </c>
      <c r="W1074" t="s">
        <v>43392</v>
      </c>
      <c r="X1074" t="s">
        <v>47306</v>
      </c>
    </row>
    <row r="1075" spans="1:24">
      <c r="A1075">
        <f>HYPERLINK("https://www.philgeps.gov.ph/GEPSNONPILOT/Tender/SplashBidNoticeAbstractUI.aspx?menuIndex=3&amp;refID=7198731&amp;Result=3","7198731")</f>
        <v>0</v>
      </c>
      <c r="B1075" t="s">
        <v>552</v>
      </c>
      <c r="C1075" t="s">
        <v>4901</v>
      </c>
      <c r="D1075" t="s">
        <v>19042</v>
      </c>
      <c r="E1075" t="s">
        <v>20093</v>
      </c>
      <c r="F1075" t="s">
        <v>32606</v>
      </c>
      <c r="G1075" t="s">
        <v>32613</v>
      </c>
      <c r="H1075" t="s">
        <v>32623</v>
      </c>
      <c r="I1075" t="s">
        <v>32636</v>
      </c>
      <c r="J1075" t="s">
        <v>32999</v>
      </c>
      <c r="K1075" t="s">
        <v>42623</v>
      </c>
      <c r="M1075" t="s">
        <v>43467</v>
      </c>
      <c r="N1075" t="s">
        <v>47304</v>
      </c>
      <c r="O1075" t="s">
        <v>47305</v>
      </c>
      <c r="P1075">
        <v>0</v>
      </c>
      <c r="Q1075">
        <v>0</v>
      </c>
      <c r="R1075" t="s">
        <v>47307</v>
      </c>
      <c r="S1075" t="s">
        <v>47416</v>
      </c>
      <c r="T1075" t="s">
        <v>49075</v>
      </c>
      <c r="U1075" t="s">
        <v>50520</v>
      </c>
      <c r="W1075" t="s">
        <v>43467</v>
      </c>
      <c r="X1075" t="s">
        <v>47306</v>
      </c>
    </row>
    <row r="1076" spans="1:24">
      <c r="A1076">
        <f>HYPERLINK("https://www.philgeps.gov.ph/GEPSNONPILOT/Tender/SplashBidNoticeAbstractUI.aspx?menuIndex=3&amp;refID=7198730&amp;Result=3","7198730")</f>
        <v>0</v>
      </c>
      <c r="B1076" t="s">
        <v>553</v>
      </c>
      <c r="C1076" t="s">
        <v>4902</v>
      </c>
      <c r="D1076" t="s">
        <v>19006</v>
      </c>
      <c r="E1076" t="s">
        <v>19314</v>
      </c>
      <c r="F1076" t="s">
        <v>32606</v>
      </c>
      <c r="G1076" t="s">
        <v>32613</v>
      </c>
      <c r="H1076" t="s">
        <v>32623</v>
      </c>
      <c r="I1076" t="s">
        <v>17648</v>
      </c>
      <c r="J1076" t="s">
        <v>33577</v>
      </c>
      <c r="K1076" t="s">
        <v>42631</v>
      </c>
      <c r="M1076" t="s">
        <v>43468</v>
      </c>
      <c r="N1076" t="s">
        <v>47304</v>
      </c>
      <c r="O1076" t="s">
        <v>47305</v>
      </c>
      <c r="P1076">
        <v>0</v>
      </c>
      <c r="Q1076">
        <v>0</v>
      </c>
      <c r="R1076" t="s">
        <v>47307</v>
      </c>
      <c r="S1076" t="s">
        <v>47416</v>
      </c>
      <c r="T1076" t="s">
        <v>49009</v>
      </c>
      <c r="U1076" t="s">
        <v>50521</v>
      </c>
      <c r="V1076" t="s">
        <v>62776</v>
      </c>
      <c r="W1076" t="s">
        <v>43468</v>
      </c>
      <c r="X1076" t="s">
        <v>47306</v>
      </c>
    </row>
    <row r="1077" spans="1:24">
      <c r="A1077">
        <f>HYPERLINK("https://www.philgeps.gov.ph/GEPSNONPILOT/Tender/SplashBidNoticeAbstractUI.aspx?menuIndex=3&amp;refID=7198729&amp;Result=3","7198729")</f>
        <v>0</v>
      </c>
      <c r="B1077" t="s">
        <v>554</v>
      </c>
      <c r="C1077" t="s">
        <v>4903</v>
      </c>
      <c r="D1077" t="s">
        <v>19032</v>
      </c>
      <c r="E1077" t="s">
        <v>20094</v>
      </c>
      <c r="F1077" t="s">
        <v>32606</v>
      </c>
      <c r="G1077" t="s">
        <v>32613</v>
      </c>
      <c r="H1077" t="s">
        <v>14201</v>
      </c>
      <c r="I1077" t="s">
        <v>7064</v>
      </c>
      <c r="J1077" t="s">
        <v>33231</v>
      </c>
      <c r="K1077" t="s">
        <v>42623</v>
      </c>
      <c r="M1077" t="s">
        <v>43469</v>
      </c>
      <c r="N1077" t="s">
        <v>47304</v>
      </c>
      <c r="O1077" t="s">
        <v>47305</v>
      </c>
      <c r="P1077">
        <v>0</v>
      </c>
      <c r="Q1077">
        <v>3</v>
      </c>
      <c r="R1077" t="s">
        <v>47307</v>
      </c>
      <c r="S1077" t="s">
        <v>47416</v>
      </c>
      <c r="T1077" t="s">
        <v>49057</v>
      </c>
      <c r="U1077" t="s">
        <v>50522</v>
      </c>
      <c r="W1077" t="s">
        <v>43469</v>
      </c>
      <c r="X1077" t="s">
        <v>47306</v>
      </c>
    </row>
    <row r="1078" spans="1:24">
      <c r="A1078">
        <f>HYPERLINK("https://www.philgeps.gov.ph/GEPSNONPILOT/Tender/SplashBidNoticeAbstractUI.aspx?menuIndex=3&amp;refID=7198690&amp;Result=3","7198690")</f>
        <v>0</v>
      </c>
      <c r="B1078" t="s">
        <v>555</v>
      </c>
      <c r="C1078" t="s">
        <v>4904</v>
      </c>
      <c r="D1078" t="s">
        <v>18993</v>
      </c>
      <c r="E1078" t="s">
        <v>20095</v>
      </c>
      <c r="F1078" t="s">
        <v>32606</v>
      </c>
      <c r="G1078" t="s">
        <v>32614</v>
      </c>
      <c r="H1078" t="s">
        <v>14201</v>
      </c>
      <c r="I1078" t="s">
        <v>4678</v>
      </c>
      <c r="J1078" t="s">
        <v>33578</v>
      </c>
      <c r="K1078" t="s">
        <v>42631</v>
      </c>
      <c r="M1078" t="s">
        <v>43470</v>
      </c>
      <c r="N1078" t="s">
        <v>47304</v>
      </c>
      <c r="O1078" t="s">
        <v>47305</v>
      </c>
      <c r="P1078">
        <v>0</v>
      </c>
      <c r="Q1078">
        <v>0</v>
      </c>
      <c r="R1078" t="s">
        <v>47307</v>
      </c>
      <c r="S1078" t="s">
        <v>47416</v>
      </c>
      <c r="T1078" t="s">
        <v>49093</v>
      </c>
      <c r="U1078" t="s">
        <v>50523</v>
      </c>
      <c r="W1078" t="s">
        <v>43470</v>
      </c>
      <c r="X1078" t="s">
        <v>47306</v>
      </c>
    </row>
    <row r="1079" spans="1:24">
      <c r="A1079">
        <f>HYPERLINK("https://www.philgeps.gov.ph/GEPSNONPILOT/Tender/SplashBidNoticeAbstractUI.aspx?menuIndex=3&amp;refID=7198727&amp;Result=3","7198727")</f>
        <v>0</v>
      </c>
      <c r="B1079" t="s">
        <v>556</v>
      </c>
      <c r="C1079" t="s">
        <v>4905</v>
      </c>
      <c r="D1079" t="s">
        <v>18993</v>
      </c>
      <c r="E1079" t="s">
        <v>20096</v>
      </c>
      <c r="F1079" t="s">
        <v>32606</v>
      </c>
      <c r="G1079" t="s">
        <v>32613</v>
      </c>
      <c r="H1079" t="s">
        <v>32623</v>
      </c>
      <c r="I1079" t="s">
        <v>17648</v>
      </c>
      <c r="J1079" t="s">
        <v>33579</v>
      </c>
      <c r="K1079" t="s">
        <v>42683</v>
      </c>
      <c r="M1079" t="s">
        <v>43471</v>
      </c>
      <c r="N1079" t="s">
        <v>47304</v>
      </c>
      <c r="O1079" t="s">
        <v>47305</v>
      </c>
      <c r="P1079">
        <v>0</v>
      </c>
      <c r="Q1079">
        <v>0</v>
      </c>
      <c r="R1079" t="s">
        <v>47307</v>
      </c>
      <c r="S1079" t="s">
        <v>47416</v>
      </c>
      <c r="T1079" t="s">
        <v>48973</v>
      </c>
      <c r="U1079" t="s">
        <v>50524</v>
      </c>
      <c r="W1079" t="s">
        <v>43471</v>
      </c>
      <c r="X1079" t="s">
        <v>47306</v>
      </c>
    </row>
    <row r="1080" spans="1:24">
      <c r="A1080">
        <f>HYPERLINK("https://www.philgeps.gov.ph/GEPSNONPILOT/Tender/SplashBidNoticeAbstractUI.aspx?menuIndex=3&amp;refID=7198723&amp;Result=3","7198723")</f>
        <v>0</v>
      </c>
      <c r="B1080" t="s">
        <v>515</v>
      </c>
      <c r="C1080" t="s">
        <v>4906</v>
      </c>
      <c r="D1080" t="s">
        <v>19056</v>
      </c>
      <c r="E1080" t="s">
        <v>20097</v>
      </c>
      <c r="F1080" t="s">
        <v>32606</v>
      </c>
      <c r="G1080" t="s">
        <v>32613</v>
      </c>
      <c r="H1080" t="s">
        <v>14201</v>
      </c>
      <c r="I1080" t="s">
        <v>32633</v>
      </c>
      <c r="J1080" t="s">
        <v>33580</v>
      </c>
      <c r="K1080" t="s">
        <v>42693</v>
      </c>
      <c r="M1080" t="s">
        <v>43428</v>
      </c>
      <c r="N1080" t="s">
        <v>47304</v>
      </c>
      <c r="O1080" t="s">
        <v>47305</v>
      </c>
      <c r="P1080">
        <v>0</v>
      </c>
      <c r="Q1080">
        <v>0</v>
      </c>
      <c r="R1080" t="s">
        <v>47307</v>
      </c>
      <c r="S1080" t="s">
        <v>47416</v>
      </c>
      <c r="T1080" t="s">
        <v>49009</v>
      </c>
      <c r="U1080" t="s">
        <v>50525</v>
      </c>
      <c r="W1080" t="s">
        <v>43428</v>
      </c>
      <c r="X1080" t="s">
        <v>47306</v>
      </c>
    </row>
    <row r="1081" spans="1:24">
      <c r="A1081">
        <f>HYPERLINK("https://www.philgeps.gov.ph/GEPSNONPILOT/Tender/SplashBidNoticeAbstractUI.aspx?menuIndex=3&amp;refID=7198687&amp;Result=3","7198687")</f>
        <v>0</v>
      </c>
      <c r="B1081" t="s">
        <v>185</v>
      </c>
      <c r="C1081" t="s">
        <v>4907</v>
      </c>
      <c r="D1081" t="s">
        <v>19025</v>
      </c>
      <c r="E1081" t="s">
        <v>20098</v>
      </c>
      <c r="F1081" t="s">
        <v>32606</v>
      </c>
      <c r="G1081" t="s">
        <v>32613</v>
      </c>
      <c r="H1081" t="s">
        <v>14201</v>
      </c>
      <c r="I1081" t="s">
        <v>32629</v>
      </c>
      <c r="J1081" t="s">
        <v>33581</v>
      </c>
      <c r="K1081" t="s">
        <v>42622</v>
      </c>
      <c r="M1081" t="s">
        <v>43350</v>
      </c>
      <c r="N1081" t="s">
        <v>47304</v>
      </c>
      <c r="O1081" t="s">
        <v>47305</v>
      </c>
      <c r="P1081">
        <v>0</v>
      </c>
      <c r="Q1081">
        <v>0</v>
      </c>
      <c r="R1081" t="s">
        <v>47307</v>
      </c>
      <c r="S1081" t="s">
        <v>47416</v>
      </c>
      <c r="T1081" t="s">
        <v>49121</v>
      </c>
      <c r="U1081" t="s">
        <v>50321</v>
      </c>
      <c r="V1081" t="s">
        <v>62747</v>
      </c>
      <c r="W1081" t="s">
        <v>64433</v>
      </c>
      <c r="X1081" t="s">
        <v>47306</v>
      </c>
    </row>
    <row r="1082" spans="1:24">
      <c r="A1082">
        <f>HYPERLINK("https://www.philgeps.gov.ph/GEPSNONPILOT/Tender/SplashBidNoticeAbstractUI.aspx?menuIndex=3&amp;refID=7198721&amp;Result=3","7198721")</f>
        <v>0</v>
      </c>
      <c r="B1082" t="s">
        <v>538</v>
      </c>
      <c r="C1082" t="s">
        <v>4908</v>
      </c>
      <c r="D1082" t="s">
        <v>19046</v>
      </c>
      <c r="E1082" t="s">
        <v>20099</v>
      </c>
      <c r="F1082" t="s">
        <v>32606</v>
      </c>
      <c r="G1082" t="s">
        <v>32619</v>
      </c>
      <c r="H1082" t="s">
        <v>14201</v>
      </c>
      <c r="I1082" t="s">
        <v>32633</v>
      </c>
      <c r="J1082" t="s">
        <v>33582</v>
      </c>
      <c r="K1082" t="s">
        <v>42624</v>
      </c>
      <c r="M1082" t="s">
        <v>43451</v>
      </c>
      <c r="N1082" t="s">
        <v>47304</v>
      </c>
      <c r="O1082" t="s">
        <v>47305</v>
      </c>
      <c r="P1082">
        <v>0</v>
      </c>
      <c r="Q1082">
        <v>0</v>
      </c>
      <c r="R1082" t="s">
        <v>47307</v>
      </c>
      <c r="S1082" t="s">
        <v>47416</v>
      </c>
      <c r="T1082" t="s">
        <v>48987</v>
      </c>
      <c r="U1082" t="s">
        <v>50512</v>
      </c>
      <c r="V1082" t="s">
        <v>62641</v>
      </c>
      <c r="W1082" t="s">
        <v>43451</v>
      </c>
      <c r="X1082" t="s">
        <v>47306</v>
      </c>
    </row>
    <row r="1083" spans="1:24">
      <c r="A1083">
        <f>HYPERLINK("https://www.philgeps.gov.ph/GEPSNONPILOT/Tender/SplashBidNoticeAbstractUI.aspx?menuIndex=3&amp;refID=7198720&amp;Result=3","7198720")</f>
        <v>0</v>
      </c>
      <c r="B1083" t="s">
        <v>557</v>
      </c>
      <c r="C1083" t="s">
        <v>4909</v>
      </c>
      <c r="D1083" t="s">
        <v>19019</v>
      </c>
      <c r="E1083" t="s">
        <v>19530</v>
      </c>
      <c r="F1083" t="s">
        <v>32606</v>
      </c>
      <c r="G1083" t="s">
        <v>32619</v>
      </c>
      <c r="H1083" t="s">
        <v>14201</v>
      </c>
      <c r="I1083" t="s">
        <v>6298</v>
      </c>
      <c r="J1083" t="s">
        <v>33583</v>
      </c>
      <c r="K1083" t="s">
        <v>42625</v>
      </c>
      <c r="M1083" t="s">
        <v>43472</v>
      </c>
      <c r="N1083" t="s">
        <v>47304</v>
      </c>
      <c r="O1083" t="s">
        <v>47305</v>
      </c>
      <c r="P1083">
        <v>0</v>
      </c>
      <c r="Q1083">
        <v>0</v>
      </c>
      <c r="R1083" t="s">
        <v>47307</v>
      </c>
      <c r="S1083" t="s">
        <v>47416</v>
      </c>
      <c r="T1083" t="s">
        <v>49010</v>
      </c>
      <c r="U1083" t="s">
        <v>50526</v>
      </c>
      <c r="V1083" t="s">
        <v>62704</v>
      </c>
      <c r="W1083" t="s">
        <v>43472</v>
      </c>
      <c r="X1083" t="s">
        <v>47306</v>
      </c>
    </row>
    <row r="1084" spans="1:24">
      <c r="A1084">
        <f>HYPERLINK("https://www.philgeps.gov.ph/GEPSNONPILOT/Tender/SplashBidNoticeAbstractUI.aspx?menuIndex=3&amp;refID=7198655&amp;Result=3","7198655")</f>
        <v>0</v>
      </c>
      <c r="B1084" t="s">
        <v>558</v>
      </c>
      <c r="C1084" t="s">
        <v>4910</v>
      </c>
      <c r="D1084" t="s">
        <v>19034</v>
      </c>
      <c r="E1084" t="s">
        <v>20100</v>
      </c>
      <c r="F1084" t="s">
        <v>32606</v>
      </c>
      <c r="G1084" t="s">
        <v>32614</v>
      </c>
      <c r="H1084" t="s">
        <v>14201</v>
      </c>
      <c r="I1084" t="s">
        <v>6309</v>
      </c>
      <c r="J1084" t="s">
        <v>32765</v>
      </c>
      <c r="K1084" t="s">
        <v>42623</v>
      </c>
      <c r="M1084" t="s">
        <v>43473</v>
      </c>
      <c r="N1084" t="s">
        <v>47304</v>
      </c>
      <c r="O1084" t="s">
        <v>47305</v>
      </c>
      <c r="P1084">
        <v>0</v>
      </c>
      <c r="Q1084">
        <v>0</v>
      </c>
      <c r="R1084" t="s">
        <v>47307</v>
      </c>
      <c r="S1084" t="s">
        <v>47416</v>
      </c>
      <c r="T1084" t="s">
        <v>49131</v>
      </c>
      <c r="U1084" t="s">
        <v>50527</v>
      </c>
      <c r="W1084" t="s">
        <v>43473</v>
      </c>
      <c r="X1084" t="s">
        <v>47306</v>
      </c>
    </row>
    <row r="1085" spans="1:24">
      <c r="A1085">
        <f>HYPERLINK("https://www.philgeps.gov.ph/GEPSNONPILOT/Tender/SplashBidNoticeAbstractUI.aspx?menuIndex=3&amp;refID=7198714&amp;Result=3","7198714")</f>
        <v>0</v>
      </c>
      <c r="B1085" t="s">
        <v>387</v>
      </c>
      <c r="C1085" t="s">
        <v>4911</v>
      </c>
      <c r="D1085" t="s">
        <v>18988</v>
      </c>
      <c r="E1085" t="s">
        <v>20101</v>
      </c>
      <c r="F1085" t="s">
        <v>32606</v>
      </c>
      <c r="G1085" t="s">
        <v>32613</v>
      </c>
      <c r="H1085" t="s">
        <v>14201</v>
      </c>
      <c r="I1085" t="s">
        <v>4369</v>
      </c>
      <c r="J1085" t="s">
        <v>33584</v>
      </c>
      <c r="K1085" t="s">
        <v>42627</v>
      </c>
      <c r="M1085" t="s">
        <v>43290</v>
      </c>
      <c r="N1085" t="s">
        <v>47304</v>
      </c>
      <c r="O1085" t="s">
        <v>47305</v>
      </c>
      <c r="P1085">
        <v>0</v>
      </c>
      <c r="Q1085">
        <v>0</v>
      </c>
      <c r="R1085" t="s">
        <v>47307</v>
      </c>
      <c r="S1085" t="s">
        <v>47416</v>
      </c>
      <c r="T1085" t="s">
        <v>49103</v>
      </c>
      <c r="U1085" t="s">
        <v>50231</v>
      </c>
      <c r="W1085" t="s">
        <v>64431</v>
      </c>
      <c r="X1085" t="s">
        <v>47306</v>
      </c>
    </row>
    <row r="1086" spans="1:24">
      <c r="A1086">
        <f>HYPERLINK("https://www.philgeps.gov.ph/GEPSNONPILOT/Tender/SplashBidNoticeAbstractUI.aspx?menuIndex=3&amp;refID=7198712&amp;Result=3","7198712")</f>
        <v>0</v>
      </c>
      <c r="B1086" t="s">
        <v>238</v>
      </c>
      <c r="C1086" t="s">
        <v>4912</v>
      </c>
      <c r="D1086" t="s">
        <v>18993</v>
      </c>
      <c r="E1086" t="s">
        <v>20102</v>
      </c>
      <c r="F1086" t="s">
        <v>32606</v>
      </c>
      <c r="G1086" t="s">
        <v>32619</v>
      </c>
      <c r="H1086" t="s">
        <v>14201</v>
      </c>
      <c r="I1086" t="s">
        <v>32634</v>
      </c>
      <c r="J1086" t="s">
        <v>33585</v>
      </c>
      <c r="K1086" t="s">
        <v>42622</v>
      </c>
      <c r="M1086" t="s">
        <v>43357</v>
      </c>
      <c r="N1086" t="s">
        <v>47304</v>
      </c>
      <c r="O1086" t="s">
        <v>47305</v>
      </c>
      <c r="P1086">
        <v>0</v>
      </c>
      <c r="Q1086">
        <v>0</v>
      </c>
      <c r="R1086" t="s">
        <v>47307</v>
      </c>
      <c r="S1086" t="s">
        <v>47416</v>
      </c>
      <c r="T1086" t="s">
        <v>49123</v>
      </c>
      <c r="U1086" t="s">
        <v>50528</v>
      </c>
      <c r="V1086" t="s">
        <v>62749</v>
      </c>
      <c r="W1086" t="s">
        <v>43357</v>
      </c>
      <c r="X1086" t="s">
        <v>47306</v>
      </c>
    </row>
    <row r="1087" spans="1:24">
      <c r="A1087">
        <f>HYPERLINK("https://www.philgeps.gov.ph/GEPSNONPILOT/Tender/SplashBidNoticeAbstractUI.aspx?menuIndex=3&amp;refID=7198728&amp;Result=3","7198728")</f>
        <v>0</v>
      </c>
      <c r="B1087" t="s">
        <v>559</v>
      </c>
      <c r="C1087" t="s">
        <v>4913</v>
      </c>
      <c r="D1087" t="s">
        <v>18993</v>
      </c>
      <c r="E1087" t="s">
        <v>19847</v>
      </c>
      <c r="F1087" t="s">
        <v>32606</v>
      </c>
      <c r="G1087" t="s">
        <v>32614</v>
      </c>
      <c r="H1087" t="s">
        <v>14201</v>
      </c>
      <c r="I1087" t="s">
        <v>32694</v>
      </c>
      <c r="J1087" t="s">
        <v>33586</v>
      </c>
      <c r="K1087" t="s">
        <v>42632</v>
      </c>
      <c r="M1087" t="s">
        <v>43474</v>
      </c>
      <c r="N1087" t="s">
        <v>47304</v>
      </c>
      <c r="O1087" t="s">
        <v>47305</v>
      </c>
      <c r="P1087">
        <v>0</v>
      </c>
      <c r="Q1087">
        <v>0</v>
      </c>
      <c r="R1087" t="s">
        <v>47307</v>
      </c>
      <c r="S1087" t="s">
        <v>47416</v>
      </c>
      <c r="T1087" t="s">
        <v>48975</v>
      </c>
      <c r="U1087" t="s">
        <v>50529</v>
      </c>
      <c r="W1087" t="s">
        <v>43474</v>
      </c>
      <c r="X1087" t="s">
        <v>47306</v>
      </c>
    </row>
    <row r="1088" spans="1:24">
      <c r="A1088">
        <f>HYPERLINK("https://www.philgeps.gov.ph/GEPSNONPILOT/Tender/SplashBidNoticeAbstractUI.aspx?menuIndex=3&amp;refID=7198647&amp;Result=3","7198647")</f>
        <v>0</v>
      </c>
      <c r="B1088" t="s">
        <v>560</v>
      </c>
      <c r="C1088" t="s">
        <v>4914</v>
      </c>
      <c r="D1088" t="s">
        <v>19000</v>
      </c>
      <c r="E1088" t="s">
        <v>20103</v>
      </c>
      <c r="F1088" t="s">
        <v>32606</v>
      </c>
      <c r="G1088" t="s">
        <v>32615</v>
      </c>
      <c r="H1088" t="s">
        <v>32623</v>
      </c>
      <c r="I1088" t="s">
        <v>17648</v>
      </c>
      <c r="J1088" t="s">
        <v>33587</v>
      </c>
      <c r="K1088" t="s">
        <v>42627</v>
      </c>
      <c r="M1088" t="s">
        <v>43475</v>
      </c>
      <c r="N1088" t="s">
        <v>47304</v>
      </c>
      <c r="O1088" t="s">
        <v>47305</v>
      </c>
      <c r="P1088">
        <v>0</v>
      </c>
      <c r="Q1088">
        <v>0</v>
      </c>
      <c r="R1088" t="s">
        <v>47307</v>
      </c>
      <c r="S1088" t="s">
        <v>47416</v>
      </c>
      <c r="T1088" t="s">
        <v>48987</v>
      </c>
      <c r="U1088" t="s">
        <v>50530</v>
      </c>
      <c r="W1088" t="s">
        <v>43475</v>
      </c>
      <c r="X1088" t="s">
        <v>47306</v>
      </c>
    </row>
    <row r="1089" spans="1:24">
      <c r="A1089">
        <f>HYPERLINK("https://www.philgeps.gov.ph/GEPSNONPILOT/Tender/SplashBidNoticeAbstractUI.aspx?menuIndex=3&amp;refID=7198709&amp;Result=3","7198709")</f>
        <v>0</v>
      </c>
      <c r="B1089" t="s">
        <v>561</v>
      </c>
      <c r="C1089" t="s">
        <v>4915</v>
      </c>
      <c r="D1089" t="s">
        <v>19005</v>
      </c>
      <c r="E1089" t="s">
        <v>19188</v>
      </c>
      <c r="F1089" t="s">
        <v>32606</v>
      </c>
      <c r="G1089" t="s">
        <v>32613</v>
      </c>
      <c r="H1089" t="s">
        <v>14201</v>
      </c>
      <c r="I1089" t="s">
        <v>17648</v>
      </c>
      <c r="J1089" t="s">
        <v>33588</v>
      </c>
      <c r="K1089" t="s">
        <v>42630</v>
      </c>
      <c r="M1089" t="s">
        <v>43476</v>
      </c>
      <c r="N1089" t="s">
        <v>47304</v>
      </c>
      <c r="O1089" t="s">
        <v>47305</v>
      </c>
      <c r="P1089">
        <v>0</v>
      </c>
      <c r="Q1089">
        <v>0</v>
      </c>
      <c r="R1089" t="s">
        <v>47307</v>
      </c>
      <c r="S1089" t="s">
        <v>47416</v>
      </c>
      <c r="T1089" t="s">
        <v>48996</v>
      </c>
      <c r="U1089" t="s">
        <v>50531</v>
      </c>
      <c r="W1089" t="s">
        <v>43476</v>
      </c>
      <c r="X1089" t="s">
        <v>47306</v>
      </c>
    </row>
    <row r="1090" spans="1:24">
      <c r="A1090">
        <f>HYPERLINK("https://www.philgeps.gov.ph/GEPSNONPILOT/Tender/SplashBidNoticeAbstractUI.aspx?menuIndex=3&amp;refID=7198708&amp;Result=3","7198708")</f>
        <v>0</v>
      </c>
      <c r="B1090" t="s">
        <v>538</v>
      </c>
      <c r="C1090" t="s">
        <v>4916</v>
      </c>
      <c r="D1090" t="s">
        <v>19046</v>
      </c>
      <c r="E1090" t="s">
        <v>20104</v>
      </c>
      <c r="F1090" t="s">
        <v>32606</v>
      </c>
      <c r="G1090" t="s">
        <v>32619</v>
      </c>
      <c r="H1090" t="s">
        <v>14201</v>
      </c>
      <c r="I1090" t="s">
        <v>32633</v>
      </c>
      <c r="J1090" t="s">
        <v>33302</v>
      </c>
      <c r="K1090" t="s">
        <v>42624</v>
      </c>
      <c r="M1090" t="s">
        <v>43451</v>
      </c>
      <c r="N1090" t="s">
        <v>47304</v>
      </c>
      <c r="O1090" t="s">
        <v>47305</v>
      </c>
      <c r="P1090">
        <v>0</v>
      </c>
      <c r="Q1090">
        <v>0</v>
      </c>
      <c r="R1090" t="s">
        <v>47307</v>
      </c>
      <c r="S1090" t="s">
        <v>47416</v>
      </c>
      <c r="T1090" t="s">
        <v>48987</v>
      </c>
      <c r="U1090" t="s">
        <v>50512</v>
      </c>
      <c r="V1090" t="s">
        <v>62641</v>
      </c>
      <c r="W1090" t="s">
        <v>43451</v>
      </c>
      <c r="X1090" t="s">
        <v>47306</v>
      </c>
    </row>
    <row r="1091" spans="1:24">
      <c r="A1091">
        <f>HYPERLINK("https://www.philgeps.gov.ph/GEPSNONPILOT/Tender/SplashBidNoticeAbstractUI.aspx?menuIndex=3&amp;refID=7198706&amp;Result=3","7198706")</f>
        <v>0</v>
      </c>
      <c r="B1091" t="s">
        <v>562</v>
      </c>
      <c r="C1091" t="s">
        <v>4917</v>
      </c>
      <c r="D1091" t="s">
        <v>19022</v>
      </c>
      <c r="E1091" t="s">
        <v>20105</v>
      </c>
      <c r="F1091" t="s">
        <v>32606</v>
      </c>
      <c r="G1091" t="s">
        <v>32619</v>
      </c>
      <c r="H1091" t="s">
        <v>14201</v>
      </c>
      <c r="I1091" t="s">
        <v>4120</v>
      </c>
      <c r="J1091" t="s">
        <v>33589</v>
      </c>
      <c r="K1091" t="s">
        <v>42631</v>
      </c>
      <c r="M1091" t="s">
        <v>43477</v>
      </c>
      <c r="N1091" t="s">
        <v>47304</v>
      </c>
      <c r="O1091" t="s">
        <v>47305</v>
      </c>
      <c r="P1091">
        <v>0</v>
      </c>
      <c r="Q1091">
        <v>0</v>
      </c>
      <c r="R1091" t="s">
        <v>47307</v>
      </c>
      <c r="S1091" t="s">
        <v>47416</v>
      </c>
      <c r="T1091" t="s">
        <v>49041</v>
      </c>
      <c r="U1091" t="s">
        <v>50532</v>
      </c>
      <c r="W1091" t="s">
        <v>64440</v>
      </c>
      <c r="X1091" t="s">
        <v>47306</v>
      </c>
    </row>
    <row r="1092" spans="1:24">
      <c r="A1092">
        <f>HYPERLINK("https://www.philgeps.gov.ph/GEPSNONPILOT/Tender/SplashBidNoticeAbstractUI.aspx?menuIndex=3&amp;refID=7198686&amp;Result=3","7198686")</f>
        <v>0</v>
      </c>
      <c r="B1092" t="s">
        <v>563</v>
      </c>
      <c r="C1092" t="s">
        <v>4918</v>
      </c>
      <c r="E1092" t="s">
        <v>20106</v>
      </c>
      <c r="F1092" t="s">
        <v>32606</v>
      </c>
      <c r="G1092" t="s">
        <v>32613</v>
      </c>
      <c r="H1092" t="s">
        <v>14201</v>
      </c>
      <c r="I1092" t="s">
        <v>8606</v>
      </c>
      <c r="J1092" t="s">
        <v>32778</v>
      </c>
      <c r="K1092" t="s">
        <v>42622</v>
      </c>
      <c r="M1092" t="s">
        <v>43478</v>
      </c>
      <c r="N1092" t="s">
        <v>47304</v>
      </c>
      <c r="O1092" t="s">
        <v>47305</v>
      </c>
      <c r="P1092">
        <v>0</v>
      </c>
      <c r="Q1092">
        <v>0</v>
      </c>
      <c r="R1092" t="s">
        <v>47307</v>
      </c>
      <c r="S1092" t="s">
        <v>47416</v>
      </c>
      <c r="T1092" t="s">
        <v>49148</v>
      </c>
      <c r="U1092" t="s">
        <v>50533</v>
      </c>
      <c r="W1092" t="s">
        <v>43478</v>
      </c>
      <c r="X1092" t="s">
        <v>47306</v>
      </c>
    </row>
    <row r="1093" spans="1:24">
      <c r="A1093">
        <f>HYPERLINK("https://www.philgeps.gov.ph/GEPSNONPILOT/Tender/SplashBidNoticeAbstractUI.aspx?menuIndex=3&amp;refID=7198684&amp;Result=3","7198684")</f>
        <v>0</v>
      </c>
      <c r="B1093" t="s">
        <v>564</v>
      </c>
      <c r="C1093" t="s">
        <v>4919</v>
      </c>
      <c r="D1093" t="s">
        <v>19014</v>
      </c>
      <c r="E1093" t="s">
        <v>20107</v>
      </c>
      <c r="F1093" t="s">
        <v>32606</v>
      </c>
      <c r="G1093" t="s">
        <v>32614</v>
      </c>
      <c r="H1093" t="s">
        <v>14201</v>
      </c>
      <c r="I1093" t="s">
        <v>32634</v>
      </c>
      <c r="J1093" t="s">
        <v>33590</v>
      </c>
      <c r="K1093" t="s">
        <v>42623</v>
      </c>
      <c r="M1093" t="s">
        <v>43479</v>
      </c>
      <c r="N1093" t="s">
        <v>47304</v>
      </c>
      <c r="O1093" t="s">
        <v>47305</v>
      </c>
      <c r="P1093">
        <v>0</v>
      </c>
      <c r="Q1093">
        <v>0</v>
      </c>
      <c r="R1093" t="s">
        <v>47307</v>
      </c>
      <c r="S1093" t="s">
        <v>47416</v>
      </c>
      <c r="T1093" t="s">
        <v>49108</v>
      </c>
      <c r="U1093" t="s">
        <v>50534</v>
      </c>
      <c r="V1093" t="s">
        <v>62777</v>
      </c>
      <c r="W1093" t="s">
        <v>43479</v>
      </c>
      <c r="X1093" t="s">
        <v>47306</v>
      </c>
    </row>
    <row r="1094" spans="1:24">
      <c r="A1094">
        <f>HYPERLINK("https://www.philgeps.gov.ph/GEPSNONPILOT/Tender/SplashBidNoticeAbstractUI.aspx?menuIndex=3&amp;refID=7198683&amp;Result=3","7198683")</f>
        <v>0</v>
      </c>
      <c r="B1094" t="s">
        <v>565</v>
      </c>
      <c r="C1094" t="s">
        <v>4329</v>
      </c>
      <c r="D1094" t="s">
        <v>19019</v>
      </c>
      <c r="E1094" t="s">
        <v>19530</v>
      </c>
      <c r="F1094" t="s">
        <v>32606</v>
      </c>
      <c r="G1094" t="s">
        <v>32619</v>
      </c>
      <c r="H1094" t="s">
        <v>14201</v>
      </c>
      <c r="I1094" t="s">
        <v>6298</v>
      </c>
      <c r="J1094" t="s">
        <v>33591</v>
      </c>
      <c r="K1094" t="s">
        <v>42625</v>
      </c>
      <c r="M1094" t="s">
        <v>43480</v>
      </c>
      <c r="N1094" t="s">
        <v>47304</v>
      </c>
      <c r="O1094" t="s">
        <v>47305</v>
      </c>
      <c r="P1094">
        <v>0</v>
      </c>
      <c r="Q1094">
        <v>0</v>
      </c>
      <c r="R1094" t="s">
        <v>47307</v>
      </c>
      <c r="S1094" t="s">
        <v>47416</v>
      </c>
      <c r="T1094" t="s">
        <v>49004</v>
      </c>
      <c r="U1094" t="s">
        <v>50535</v>
      </c>
      <c r="V1094" t="s">
        <v>62704</v>
      </c>
      <c r="W1094" t="s">
        <v>43480</v>
      </c>
      <c r="X1094" t="s">
        <v>47306</v>
      </c>
    </row>
    <row r="1095" spans="1:24">
      <c r="A1095">
        <f>HYPERLINK("https://www.philgeps.gov.ph/GEPSNONPILOT/Tender/SplashBidNoticeAbstractUI.aspx?menuIndex=3&amp;refID=7198710&amp;Result=3","7198710")</f>
        <v>0</v>
      </c>
      <c r="B1095" t="s">
        <v>566</v>
      </c>
      <c r="C1095" t="s">
        <v>4920</v>
      </c>
      <c r="D1095" t="s">
        <v>18988</v>
      </c>
      <c r="E1095" t="s">
        <v>19522</v>
      </c>
      <c r="F1095" t="s">
        <v>32606</v>
      </c>
      <c r="G1095" t="s">
        <v>32614</v>
      </c>
      <c r="H1095" t="s">
        <v>14201</v>
      </c>
      <c r="I1095" t="s">
        <v>4114</v>
      </c>
      <c r="J1095" t="s">
        <v>33592</v>
      </c>
      <c r="K1095" t="s">
        <v>42622</v>
      </c>
      <c r="M1095" t="s">
        <v>43481</v>
      </c>
      <c r="N1095" t="s">
        <v>47304</v>
      </c>
      <c r="O1095" t="s">
        <v>47305</v>
      </c>
      <c r="P1095">
        <v>0</v>
      </c>
      <c r="Q1095">
        <v>0</v>
      </c>
      <c r="R1095" t="s">
        <v>47307</v>
      </c>
      <c r="S1095" t="s">
        <v>47416</v>
      </c>
      <c r="T1095" t="s">
        <v>48972</v>
      </c>
      <c r="U1095" t="s">
        <v>50536</v>
      </c>
      <c r="V1095" t="s">
        <v>62778</v>
      </c>
      <c r="W1095" t="s">
        <v>43481</v>
      </c>
      <c r="X1095" t="s">
        <v>47306</v>
      </c>
    </row>
    <row r="1096" spans="1:24">
      <c r="A1096">
        <f>HYPERLINK("https://www.philgeps.gov.ph/GEPSNONPILOT/Tender/SplashBidNoticeAbstractUI.aspx?menuIndex=3&amp;refID=7198753&amp;Result=3","7198753")</f>
        <v>0</v>
      </c>
      <c r="B1096" t="s">
        <v>567</v>
      </c>
      <c r="C1096" t="s">
        <v>4921</v>
      </c>
      <c r="E1096" t="s">
        <v>20108</v>
      </c>
      <c r="F1096" t="s">
        <v>32606</v>
      </c>
      <c r="G1096" t="s">
        <v>32619</v>
      </c>
      <c r="H1096" t="s">
        <v>14201</v>
      </c>
      <c r="I1096" t="s">
        <v>32633</v>
      </c>
      <c r="J1096" t="s">
        <v>33189</v>
      </c>
      <c r="K1096" t="s">
        <v>42624</v>
      </c>
      <c r="M1096" t="s">
        <v>43482</v>
      </c>
      <c r="N1096" t="s">
        <v>47304</v>
      </c>
      <c r="O1096" t="s">
        <v>47305</v>
      </c>
      <c r="P1096">
        <v>0</v>
      </c>
      <c r="Q1096">
        <v>0</v>
      </c>
      <c r="R1096" t="s">
        <v>47307</v>
      </c>
      <c r="S1096" t="s">
        <v>47416</v>
      </c>
      <c r="T1096" t="s">
        <v>48988</v>
      </c>
      <c r="U1096" t="s">
        <v>50537</v>
      </c>
      <c r="W1096" t="s">
        <v>43482</v>
      </c>
      <c r="X1096" t="s">
        <v>47306</v>
      </c>
    </row>
    <row r="1097" spans="1:24">
      <c r="A1097">
        <f>HYPERLINK("https://www.philgeps.gov.ph/GEPSNONPILOT/Tender/SplashBidNoticeAbstractUI.aspx?menuIndex=3&amp;refID=7198752&amp;Result=3","7198752")</f>
        <v>0</v>
      </c>
      <c r="B1097" t="s">
        <v>568</v>
      </c>
      <c r="C1097" t="s">
        <v>4922</v>
      </c>
      <c r="D1097" t="s">
        <v>18993</v>
      </c>
      <c r="E1097" t="s">
        <v>19833</v>
      </c>
      <c r="F1097" t="s">
        <v>32606</v>
      </c>
      <c r="G1097" t="s">
        <v>32614</v>
      </c>
      <c r="H1097" t="s">
        <v>14201</v>
      </c>
      <c r="I1097" t="s">
        <v>32626</v>
      </c>
      <c r="J1097" t="s">
        <v>33593</v>
      </c>
      <c r="K1097" t="s">
        <v>42697</v>
      </c>
      <c r="M1097" t="s">
        <v>43483</v>
      </c>
      <c r="N1097" t="s">
        <v>47304</v>
      </c>
      <c r="O1097" t="s">
        <v>47305</v>
      </c>
      <c r="P1097">
        <v>0</v>
      </c>
      <c r="Q1097">
        <v>0</v>
      </c>
      <c r="R1097" t="s">
        <v>47307</v>
      </c>
      <c r="S1097" t="s">
        <v>47416</v>
      </c>
      <c r="T1097" t="s">
        <v>49087</v>
      </c>
      <c r="U1097" t="s">
        <v>50290</v>
      </c>
      <c r="W1097" t="s">
        <v>43483</v>
      </c>
      <c r="X1097" t="s">
        <v>47306</v>
      </c>
    </row>
    <row r="1098" spans="1:24">
      <c r="A1098">
        <f>HYPERLINK("https://www.philgeps.gov.ph/GEPSNONPILOT/Tender/SplashBidNoticeAbstractUI.aspx?menuIndex=3&amp;refID=7198750&amp;Result=3","7198750")</f>
        <v>0</v>
      </c>
      <c r="B1098" t="s">
        <v>569</v>
      </c>
      <c r="C1098" t="s">
        <v>4923</v>
      </c>
      <c r="D1098" t="s">
        <v>18993</v>
      </c>
      <c r="E1098" t="s">
        <v>20109</v>
      </c>
      <c r="F1098" t="s">
        <v>32606</v>
      </c>
      <c r="G1098" t="s">
        <v>32619</v>
      </c>
      <c r="H1098" t="s">
        <v>14201</v>
      </c>
      <c r="I1098" t="s">
        <v>4369</v>
      </c>
      <c r="J1098" t="s">
        <v>32765</v>
      </c>
      <c r="K1098" t="s">
        <v>42623</v>
      </c>
      <c r="M1098" t="s">
        <v>43484</v>
      </c>
      <c r="N1098" t="s">
        <v>47304</v>
      </c>
      <c r="O1098" t="s">
        <v>47305</v>
      </c>
      <c r="P1098">
        <v>0</v>
      </c>
      <c r="Q1098">
        <v>0</v>
      </c>
      <c r="R1098" t="s">
        <v>47307</v>
      </c>
      <c r="S1098" t="s">
        <v>47416</v>
      </c>
      <c r="T1098" t="s">
        <v>49014</v>
      </c>
      <c r="U1098" t="s">
        <v>50538</v>
      </c>
      <c r="W1098" t="s">
        <v>43484</v>
      </c>
      <c r="X1098" t="s">
        <v>47306</v>
      </c>
    </row>
    <row r="1099" spans="1:24">
      <c r="A1099">
        <f>HYPERLINK("https://www.philgeps.gov.ph/GEPSNONPILOT/Tender/SplashBidNoticeAbstractUI.aspx?menuIndex=3&amp;refID=7198749&amp;Result=3","7198749")</f>
        <v>0</v>
      </c>
      <c r="B1099" t="s">
        <v>570</v>
      </c>
      <c r="C1099" t="s">
        <v>4924</v>
      </c>
      <c r="D1099" t="s">
        <v>18993</v>
      </c>
      <c r="E1099" t="s">
        <v>20110</v>
      </c>
      <c r="F1099" t="s">
        <v>32606</v>
      </c>
      <c r="G1099" t="s">
        <v>32614</v>
      </c>
      <c r="H1099" t="s">
        <v>14201</v>
      </c>
      <c r="I1099" t="s">
        <v>4678</v>
      </c>
      <c r="J1099" t="s">
        <v>33569</v>
      </c>
      <c r="K1099" t="s">
        <v>42638</v>
      </c>
      <c r="M1099" t="s">
        <v>43485</v>
      </c>
      <c r="N1099" t="s">
        <v>47304</v>
      </c>
      <c r="O1099" t="s">
        <v>47305</v>
      </c>
      <c r="P1099">
        <v>0</v>
      </c>
      <c r="Q1099">
        <v>0</v>
      </c>
      <c r="R1099" t="s">
        <v>47307</v>
      </c>
      <c r="S1099" t="s">
        <v>47416</v>
      </c>
      <c r="T1099" t="s">
        <v>49149</v>
      </c>
      <c r="U1099" t="s">
        <v>50539</v>
      </c>
      <c r="W1099" t="s">
        <v>47043</v>
      </c>
      <c r="X1099" t="s">
        <v>47306</v>
      </c>
    </row>
    <row r="1100" spans="1:24">
      <c r="A1100">
        <f>HYPERLINK("https://www.philgeps.gov.ph/GEPSNONPILOT/Tender/SplashBidNoticeAbstractUI.aspx?menuIndex=3&amp;refID=7198718&amp;Result=3","7198718")</f>
        <v>0</v>
      </c>
      <c r="B1100" t="s">
        <v>545</v>
      </c>
      <c r="C1100" t="s">
        <v>4925</v>
      </c>
      <c r="D1100" t="s">
        <v>18988</v>
      </c>
      <c r="E1100" t="s">
        <v>20111</v>
      </c>
      <c r="F1100" t="s">
        <v>32606</v>
      </c>
      <c r="G1100" t="s">
        <v>32614</v>
      </c>
      <c r="H1100" t="s">
        <v>14201</v>
      </c>
      <c r="I1100" t="s">
        <v>32637</v>
      </c>
      <c r="J1100" t="s">
        <v>33594</v>
      </c>
      <c r="K1100" t="s">
        <v>42624</v>
      </c>
      <c r="M1100" t="s">
        <v>43459</v>
      </c>
      <c r="N1100" t="s">
        <v>47304</v>
      </c>
      <c r="O1100" t="s">
        <v>47305</v>
      </c>
      <c r="P1100">
        <v>0</v>
      </c>
      <c r="Q1100">
        <v>1</v>
      </c>
      <c r="R1100" t="s">
        <v>47307</v>
      </c>
      <c r="S1100" t="s">
        <v>47416</v>
      </c>
      <c r="T1100" t="s">
        <v>49108</v>
      </c>
      <c r="U1100" t="s">
        <v>50506</v>
      </c>
      <c r="W1100" t="s">
        <v>43459</v>
      </c>
      <c r="X1100" t="s">
        <v>47306</v>
      </c>
    </row>
    <row r="1101" spans="1:24">
      <c r="A1101">
        <f>HYPERLINK("https://www.philgeps.gov.ph/GEPSNONPILOT/Tender/SplashBidNoticeAbstractUI.aspx?menuIndex=3&amp;refID=7198747&amp;Result=3","7198747")</f>
        <v>0</v>
      </c>
      <c r="B1101" t="s">
        <v>571</v>
      </c>
      <c r="C1101" t="s">
        <v>4926</v>
      </c>
      <c r="D1101" t="s">
        <v>19000</v>
      </c>
      <c r="E1101" t="s">
        <v>19370</v>
      </c>
      <c r="F1101" t="s">
        <v>32606</v>
      </c>
      <c r="G1101" t="s">
        <v>32613</v>
      </c>
      <c r="H1101" t="s">
        <v>14201</v>
      </c>
      <c r="I1101" t="s">
        <v>7064</v>
      </c>
      <c r="J1101" t="s">
        <v>32778</v>
      </c>
      <c r="K1101" t="s">
        <v>42625</v>
      </c>
      <c r="M1101" t="s">
        <v>43486</v>
      </c>
      <c r="N1101" t="s">
        <v>47304</v>
      </c>
      <c r="O1101" t="s">
        <v>47305</v>
      </c>
      <c r="P1101">
        <v>0</v>
      </c>
      <c r="Q1101">
        <v>0</v>
      </c>
      <c r="R1101" t="s">
        <v>47307</v>
      </c>
      <c r="S1101" t="s">
        <v>47416</v>
      </c>
      <c r="T1101" t="s">
        <v>48973</v>
      </c>
      <c r="U1101" t="s">
        <v>50540</v>
      </c>
      <c r="W1101" t="s">
        <v>43486</v>
      </c>
      <c r="X1101" t="s">
        <v>47306</v>
      </c>
    </row>
    <row r="1102" spans="1:24">
      <c r="A1102">
        <f>HYPERLINK("https://www.philgeps.gov.ph/GEPSNONPILOT/Tender/SplashBidNoticeAbstractUI.aspx?menuIndex=3&amp;refID=7198715&amp;Result=3","7198715")</f>
        <v>0</v>
      </c>
      <c r="B1102" t="s">
        <v>572</v>
      </c>
      <c r="C1102" t="s">
        <v>4927</v>
      </c>
      <c r="D1102" t="s">
        <v>19034</v>
      </c>
      <c r="E1102" t="s">
        <v>20112</v>
      </c>
      <c r="F1102" t="s">
        <v>32606</v>
      </c>
      <c r="G1102" t="s">
        <v>32614</v>
      </c>
      <c r="H1102" t="s">
        <v>14201</v>
      </c>
      <c r="I1102" t="s">
        <v>32675</v>
      </c>
      <c r="J1102" t="s">
        <v>33595</v>
      </c>
      <c r="K1102" t="s">
        <v>42623</v>
      </c>
      <c r="M1102" t="s">
        <v>43487</v>
      </c>
      <c r="N1102" t="s">
        <v>47304</v>
      </c>
      <c r="O1102" t="s">
        <v>47305</v>
      </c>
      <c r="P1102">
        <v>0</v>
      </c>
      <c r="Q1102">
        <v>0</v>
      </c>
      <c r="R1102" t="s">
        <v>47307</v>
      </c>
      <c r="S1102" t="s">
        <v>47416</v>
      </c>
      <c r="T1102" t="s">
        <v>49150</v>
      </c>
      <c r="U1102" t="s">
        <v>50541</v>
      </c>
      <c r="V1102" t="s">
        <v>62779</v>
      </c>
      <c r="W1102" t="s">
        <v>43487</v>
      </c>
      <c r="X1102" t="s">
        <v>47306</v>
      </c>
    </row>
    <row r="1103" spans="1:24">
      <c r="A1103">
        <f>HYPERLINK("https://www.philgeps.gov.ph/GEPSNONPILOT/Tender/SplashBidNoticeAbstractUI.aspx?menuIndex=3&amp;refID=7198713&amp;Result=3","7198713")</f>
        <v>0</v>
      </c>
      <c r="B1103" t="s">
        <v>173</v>
      </c>
      <c r="C1103" t="s">
        <v>4928</v>
      </c>
      <c r="E1103" t="s">
        <v>20113</v>
      </c>
      <c r="F1103" t="s">
        <v>32606</v>
      </c>
      <c r="G1103" t="s">
        <v>32613</v>
      </c>
      <c r="H1103" t="s">
        <v>14201</v>
      </c>
      <c r="I1103" t="s">
        <v>6931</v>
      </c>
      <c r="J1103" t="s">
        <v>33596</v>
      </c>
      <c r="K1103" t="s">
        <v>42624</v>
      </c>
      <c r="M1103" t="s">
        <v>43074</v>
      </c>
      <c r="N1103" t="s">
        <v>47304</v>
      </c>
      <c r="O1103" t="s">
        <v>47305</v>
      </c>
      <c r="P1103">
        <v>0</v>
      </c>
      <c r="Q1103">
        <v>0</v>
      </c>
      <c r="R1103" t="s">
        <v>47307</v>
      </c>
      <c r="S1103" t="s">
        <v>47416</v>
      </c>
      <c r="T1103" t="s">
        <v>49116</v>
      </c>
      <c r="U1103" t="s">
        <v>50542</v>
      </c>
      <c r="W1103" t="s">
        <v>43074</v>
      </c>
      <c r="X1103" t="s">
        <v>47306</v>
      </c>
    </row>
    <row r="1104" spans="1:24">
      <c r="A1104">
        <f>HYPERLINK("https://www.philgeps.gov.ph/GEPSNONPILOT/Tender/SplashBidNoticeAbstractUI.aspx?menuIndex=3&amp;refID=7198717&amp;Result=3","7198717")</f>
        <v>0</v>
      </c>
      <c r="B1104" t="s">
        <v>554</v>
      </c>
      <c r="C1104" t="s">
        <v>4929</v>
      </c>
      <c r="D1104" t="s">
        <v>19032</v>
      </c>
      <c r="E1104" t="s">
        <v>20114</v>
      </c>
      <c r="F1104" t="s">
        <v>32606</v>
      </c>
      <c r="G1104" t="s">
        <v>32613</v>
      </c>
      <c r="H1104" t="s">
        <v>14201</v>
      </c>
      <c r="I1104" t="s">
        <v>32640</v>
      </c>
      <c r="J1104" t="s">
        <v>33597</v>
      </c>
      <c r="K1104" t="s">
        <v>42623</v>
      </c>
      <c r="M1104" t="s">
        <v>43469</v>
      </c>
      <c r="N1104" t="s">
        <v>47304</v>
      </c>
      <c r="O1104" t="s">
        <v>47305</v>
      </c>
      <c r="P1104">
        <v>0</v>
      </c>
      <c r="Q1104">
        <v>0</v>
      </c>
      <c r="R1104" t="s">
        <v>47307</v>
      </c>
      <c r="S1104" t="s">
        <v>47416</v>
      </c>
      <c r="T1104" t="s">
        <v>49057</v>
      </c>
      <c r="U1104" t="s">
        <v>50543</v>
      </c>
      <c r="W1104" t="s">
        <v>43469</v>
      </c>
      <c r="X1104" t="s">
        <v>47306</v>
      </c>
    </row>
    <row r="1105" spans="1:24">
      <c r="A1105">
        <f>HYPERLINK("https://www.philgeps.gov.ph/GEPSNONPILOT/Tender/SplashBidNoticeAbstractUI.aspx?menuIndex=3&amp;refID=7198636&amp;Result=3","7198636")</f>
        <v>0</v>
      </c>
      <c r="B1105" t="s">
        <v>573</v>
      </c>
      <c r="C1105" t="s">
        <v>4930</v>
      </c>
      <c r="D1105" t="s">
        <v>19024</v>
      </c>
      <c r="E1105" t="s">
        <v>20115</v>
      </c>
      <c r="F1105" t="s">
        <v>32606</v>
      </c>
      <c r="G1105" t="s">
        <v>32613</v>
      </c>
      <c r="H1105" t="s">
        <v>32624</v>
      </c>
      <c r="I1105" t="s">
        <v>32675</v>
      </c>
      <c r="J1105" t="s">
        <v>33598</v>
      </c>
      <c r="K1105" t="s">
        <v>42636</v>
      </c>
      <c r="M1105" t="s">
        <v>43488</v>
      </c>
      <c r="N1105" t="s">
        <v>47304</v>
      </c>
      <c r="O1105" t="s">
        <v>47305</v>
      </c>
      <c r="P1105">
        <v>0</v>
      </c>
      <c r="Q1105">
        <v>0</v>
      </c>
      <c r="R1105" t="s">
        <v>47307</v>
      </c>
      <c r="S1105" t="s">
        <v>47416</v>
      </c>
      <c r="T1105" t="s">
        <v>48989</v>
      </c>
      <c r="U1105" t="s">
        <v>50544</v>
      </c>
      <c r="W1105" t="s">
        <v>43488</v>
      </c>
      <c r="X1105" t="s">
        <v>47306</v>
      </c>
    </row>
    <row r="1106" spans="1:24">
      <c r="A1106">
        <f>HYPERLINK("https://www.philgeps.gov.ph/GEPSNONPILOT/Tender/SplashBidNoticeAbstractUI.aspx?menuIndex=3&amp;refID=7198746&amp;Result=3","7198746")</f>
        <v>0</v>
      </c>
      <c r="B1106" t="s">
        <v>458</v>
      </c>
      <c r="C1106" t="s">
        <v>4718</v>
      </c>
      <c r="D1106" t="s">
        <v>18994</v>
      </c>
      <c r="E1106" t="s">
        <v>20116</v>
      </c>
      <c r="F1106" t="s">
        <v>32606</v>
      </c>
      <c r="G1106" t="s">
        <v>32614</v>
      </c>
      <c r="H1106" t="s">
        <v>14201</v>
      </c>
      <c r="I1106" t="s">
        <v>4120</v>
      </c>
      <c r="J1106" t="s">
        <v>33599</v>
      </c>
      <c r="K1106" t="s">
        <v>42630</v>
      </c>
      <c r="M1106" t="s">
        <v>43368</v>
      </c>
      <c r="N1106" t="s">
        <v>47304</v>
      </c>
      <c r="O1106" t="s">
        <v>47305</v>
      </c>
      <c r="P1106">
        <v>0</v>
      </c>
      <c r="Q1106">
        <v>0</v>
      </c>
      <c r="R1106" t="s">
        <v>47307</v>
      </c>
      <c r="S1106" t="s">
        <v>47416</v>
      </c>
      <c r="T1106" t="s">
        <v>49151</v>
      </c>
      <c r="U1106" t="s">
        <v>50545</v>
      </c>
      <c r="W1106" t="s">
        <v>43368</v>
      </c>
      <c r="X1106" t="s">
        <v>47306</v>
      </c>
    </row>
    <row r="1107" spans="1:24">
      <c r="A1107">
        <f>HYPERLINK("https://www.philgeps.gov.ph/GEPSNONPILOT/Tender/SplashBidNoticeAbstractUI.aspx?menuIndex=3&amp;refID=7198744&amp;Result=3","7198744")</f>
        <v>0</v>
      </c>
      <c r="B1107" t="s">
        <v>567</v>
      </c>
      <c r="C1107" t="s">
        <v>4931</v>
      </c>
      <c r="E1107" t="s">
        <v>20117</v>
      </c>
      <c r="F1107" t="s">
        <v>32606</v>
      </c>
      <c r="G1107" t="s">
        <v>32619</v>
      </c>
      <c r="H1107" t="s">
        <v>14201</v>
      </c>
      <c r="I1107" t="s">
        <v>32633</v>
      </c>
      <c r="J1107" t="s">
        <v>33047</v>
      </c>
      <c r="K1107" t="s">
        <v>42624</v>
      </c>
      <c r="M1107" t="s">
        <v>43482</v>
      </c>
      <c r="N1107" t="s">
        <v>47304</v>
      </c>
      <c r="O1107" t="s">
        <v>47305</v>
      </c>
      <c r="P1107">
        <v>0</v>
      </c>
      <c r="Q1107">
        <v>0</v>
      </c>
      <c r="R1107" t="s">
        <v>47307</v>
      </c>
      <c r="S1107" t="s">
        <v>47416</v>
      </c>
      <c r="T1107" t="s">
        <v>48988</v>
      </c>
      <c r="U1107" t="s">
        <v>50546</v>
      </c>
      <c r="W1107" t="s">
        <v>43482</v>
      </c>
      <c r="X1107" t="s">
        <v>47306</v>
      </c>
    </row>
    <row r="1108" spans="1:24">
      <c r="A1108">
        <f>HYPERLINK("https://www.philgeps.gov.ph/GEPSNONPILOT/Tender/SplashBidNoticeAbstractUI.aspx?menuIndex=3&amp;refID=7198738&amp;Result=3","7198738")</f>
        <v>0</v>
      </c>
      <c r="B1108" t="s">
        <v>574</v>
      </c>
      <c r="C1108" t="s">
        <v>4932</v>
      </c>
      <c r="D1108" t="s">
        <v>19043</v>
      </c>
      <c r="E1108" t="s">
        <v>20118</v>
      </c>
      <c r="F1108" t="s">
        <v>32606</v>
      </c>
      <c r="G1108" t="s">
        <v>32614</v>
      </c>
      <c r="H1108" t="s">
        <v>14201</v>
      </c>
      <c r="I1108" t="s">
        <v>32652</v>
      </c>
      <c r="J1108" t="s">
        <v>33600</v>
      </c>
      <c r="K1108" t="s">
        <v>42627</v>
      </c>
      <c r="M1108" t="s">
        <v>43489</v>
      </c>
      <c r="N1108" t="s">
        <v>47304</v>
      </c>
      <c r="O1108" t="s">
        <v>47305</v>
      </c>
      <c r="P1108">
        <v>0</v>
      </c>
      <c r="Q1108">
        <v>0</v>
      </c>
      <c r="R1108" t="s">
        <v>47307</v>
      </c>
      <c r="S1108" t="s">
        <v>47416</v>
      </c>
      <c r="T1108" t="s">
        <v>48971</v>
      </c>
      <c r="U1108" t="s">
        <v>50547</v>
      </c>
      <c r="V1108" t="s">
        <v>62780</v>
      </c>
      <c r="W1108" t="s">
        <v>43489</v>
      </c>
      <c r="X1108" t="s">
        <v>47306</v>
      </c>
    </row>
    <row r="1109" spans="1:24">
      <c r="A1109">
        <f>HYPERLINK("https://www.philgeps.gov.ph/GEPSNONPILOT/Tender/SplashBidNoticeAbstractUI.aspx?menuIndex=3&amp;refID=7198737&amp;Result=3","7198737")</f>
        <v>0</v>
      </c>
      <c r="B1109" t="s">
        <v>571</v>
      </c>
      <c r="C1109" t="s">
        <v>4933</v>
      </c>
      <c r="D1109" t="s">
        <v>19000</v>
      </c>
      <c r="E1109" t="s">
        <v>19279</v>
      </c>
      <c r="F1109" t="s">
        <v>32606</v>
      </c>
      <c r="G1109" t="s">
        <v>32613</v>
      </c>
      <c r="H1109" t="s">
        <v>14201</v>
      </c>
      <c r="I1109" t="s">
        <v>7064</v>
      </c>
      <c r="J1109" t="s">
        <v>32770</v>
      </c>
      <c r="K1109" t="s">
        <v>42625</v>
      </c>
      <c r="M1109" t="s">
        <v>43486</v>
      </c>
      <c r="N1109" t="s">
        <v>47304</v>
      </c>
      <c r="O1109" t="s">
        <v>47305</v>
      </c>
      <c r="P1109">
        <v>0</v>
      </c>
      <c r="Q1109">
        <v>0</v>
      </c>
      <c r="R1109" t="s">
        <v>47307</v>
      </c>
      <c r="S1109" t="s">
        <v>47416</v>
      </c>
      <c r="T1109" t="s">
        <v>49009</v>
      </c>
      <c r="U1109" t="s">
        <v>50548</v>
      </c>
      <c r="W1109" t="s">
        <v>43486</v>
      </c>
      <c r="X1109" t="s">
        <v>47306</v>
      </c>
    </row>
    <row r="1110" spans="1:24">
      <c r="A1110">
        <f>HYPERLINK("https://www.philgeps.gov.ph/GEPSNONPILOT/Tender/SplashBidNoticeAbstractUI.aspx?menuIndex=3&amp;refID=7198741&amp;Result=3","7198741")</f>
        <v>0</v>
      </c>
      <c r="B1110" t="s">
        <v>575</v>
      </c>
      <c r="C1110" t="s">
        <v>4934</v>
      </c>
      <c r="D1110" t="s">
        <v>19036</v>
      </c>
      <c r="E1110" t="s">
        <v>20119</v>
      </c>
      <c r="F1110" t="s">
        <v>32606</v>
      </c>
      <c r="G1110" t="s">
        <v>32613</v>
      </c>
      <c r="H1110" t="s">
        <v>14201</v>
      </c>
      <c r="I1110" t="s">
        <v>7064</v>
      </c>
      <c r="J1110" t="s">
        <v>32821</v>
      </c>
      <c r="K1110" t="s">
        <v>42622</v>
      </c>
      <c r="M1110" t="s">
        <v>43490</v>
      </c>
      <c r="N1110" t="s">
        <v>47304</v>
      </c>
      <c r="O1110" t="s">
        <v>47305</v>
      </c>
      <c r="P1110">
        <v>0</v>
      </c>
      <c r="Q1110">
        <v>1</v>
      </c>
      <c r="R1110" t="s">
        <v>47307</v>
      </c>
      <c r="S1110" t="s">
        <v>47416</v>
      </c>
      <c r="T1110" t="s">
        <v>49033</v>
      </c>
      <c r="U1110" t="s">
        <v>50549</v>
      </c>
      <c r="W1110" t="s">
        <v>43490</v>
      </c>
      <c r="X1110" t="s">
        <v>47306</v>
      </c>
    </row>
    <row r="1111" spans="1:24">
      <c r="A1111">
        <f>HYPERLINK("https://www.philgeps.gov.ph/GEPSNONPILOT/Tender/SplashBidNoticeAbstractUI.aspx?menuIndex=3&amp;refID=7198743&amp;Result=3","7198743")</f>
        <v>0</v>
      </c>
      <c r="B1111" t="s">
        <v>576</v>
      </c>
      <c r="C1111" t="s">
        <v>4935</v>
      </c>
      <c r="D1111" t="s">
        <v>19019</v>
      </c>
      <c r="E1111" t="s">
        <v>19530</v>
      </c>
      <c r="F1111" t="s">
        <v>32606</v>
      </c>
      <c r="G1111" t="s">
        <v>32619</v>
      </c>
      <c r="H1111" t="s">
        <v>14201</v>
      </c>
      <c r="I1111" t="s">
        <v>6298</v>
      </c>
      <c r="J1111" t="s">
        <v>33601</v>
      </c>
      <c r="K1111" t="s">
        <v>42625</v>
      </c>
      <c r="M1111" t="s">
        <v>43491</v>
      </c>
      <c r="N1111" t="s">
        <v>47304</v>
      </c>
      <c r="O1111" t="s">
        <v>47305</v>
      </c>
      <c r="P1111">
        <v>0</v>
      </c>
      <c r="Q1111">
        <v>0</v>
      </c>
      <c r="R1111" t="s">
        <v>47307</v>
      </c>
      <c r="S1111" t="s">
        <v>47416</v>
      </c>
      <c r="T1111" t="s">
        <v>49004</v>
      </c>
      <c r="U1111" t="s">
        <v>50550</v>
      </c>
      <c r="V1111" t="s">
        <v>62704</v>
      </c>
      <c r="W1111" t="s">
        <v>43491</v>
      </c>
      <c r="X1111" t="s">
        <v>47306</v>
      </c>
    </row>
    <row r="1112" spans="1:24">
      <c r="A1112">
        <f>HYPERLINK("https://www.philgeps.gov.ph/GEPSNONPILOT/Tender/SplashBidNoticeAbstractUI.aspx?menuIndex=3&amp;refID=7198779&amp;Result=3","7198779")</f>
        <v>0</v>
      </c>
      <c r="B1112" t="s">
        <v>577</v>
      </c>
      <c r="C1112" t="s">
        <v>4936</v>
      </c>
      <c r="E1112" t="s">
        <v>20120</v>
      </c>
      <c r="F1112" t="s">
        <v>32606</v>
      </c>
      <c r="G1112" t="s">
        <v>32613</v>
      </c>
      <c r="H1112" t="s">
        <v>32623</v>
      </c>
      <c r="I1112" t="s">
        <v>17648</v>
      </c>
      <c r="J1112" t="s">
        <v>33602</v>
      </c>
      <c r="K1112" t="s">
        <v>42645</v>
      </c>
      <c r="M1112" t="s">
        <v>43492</v>
      </c>
      <c r="N1112" t="s">
        <v>47304</v>
      </c>
      <c r="O1112" t="s">
        <v>47305</v>
      </c>
      <c r="P1112">
        <v>0</v>
      </c>
      <c r="Q1112">
        <v>0</v>
      </c>
      <c r="R1112" t="s">
        <v>47307</v>
      </c>
      <c r="S1112" t="s">
        <v>47416</v>
      </c>
      <c r="T1112" t="s">
        <v>48995</v>
      </c>
      <c r="U1112" t="s">
        <v>50551</v>
      </c>
      <c r="V1112" t="s">
        <v>62781</v>
      </c>
      <c r="W1112" t="s">
        <v>43492</v>
      </c>
      <c r="X1112" t="s">
        <v>47306</v>
      </c>
    </row>
    <row r="1113" spans="1:24">
      <c r="A1113">
        <f>HYPERLINK("https://www.philgeps.gov.ph/GEPSNONPILOT/Tender/SplashBidNoticeAbstractUI.aspx?menuIndex=3&amp;refID=7198776&amp;Result=3","7198776")</f>
        <v>0</v>
      </c>
      <c r="B1113" t="s">
        <v>238</v>
      </c>
      <c r="C1113" t="s">
        <v>4937</v>
      </c>
      <c r="D1113" t="s">
        <v>18993</v>
      </c>
      <c r="E1113" t="s">
        <v>20121</v>
      </c>
      <c r="F1113" t="s">
        <v>32606</v>
      </c>
      <c r="G1113" t="s">
        <v>32619</v>
      </c>
      <c r="H1113" t="s">
        <v>14201</v>
      </c>
      <c r="I1113" t="s">
        <v>32690</v>
      </c>
      <c r="J1113" t="s">
        <v>33603</v>
      </c>
      <c r="K1113" t="s">
        <v>42622</v>
      </c>
      <c r="M1113" t="s">
        <v>43357</v>
      </c>
      <c r="N1113" t="s">
        <v>47304</v>
      </c>
      <c r="O1113" t="s">
        <v>47305</v>
      </c>
      <c r="P1113">
        <v>0</v>
      </c>
      <c r="Q1113">
        <v>0</v>
      </c>
      <c r="R1113" t="s">
        <v>47307</v>
      </c>
      <c r="S1113" t="s">
        <v>47416</v>
      </c>
      <c r="T1113" t="s">
        <v>49123</v>
      </c>
      <c r="U1113" t="s">
        <v>50552</v>
      </c>
      <c r="V1113" t="s">
        <v>62749</v>
      </c>
      <c r="W1113" t="s">
        <v>43357</v>
      </c>
      <c r="X1113" t="s">
        <v>47306</v>
      </c>
    </row>
    <row r="1114" spans="1:24">
      <c r="A1114">
        <f>HYPERLINK("https://www.philgeps.gov.ph/GEPSNONPILOT/Tender/SplashBidNoticeAbstractUI.aspx?menuIndex=3&amp;refID=7198775&amp;Result=3","7198775")</f>
        <v>0</v>
      </c>
      <c r="B1114" t="s">
        <v>578</v>
      </c>
      <c r="C1114" t="s">
        <v>4938</v>
      </c>
      <c r="D1114" t="s">
        <v>19028</v>
      </c>
      <c r="E1114" t="s">
        <v>20122</v>
      </c>
      <c r="F1114" t="s">
        <v>32606</v>
      </c>
      <c r="G1114" t="s">
        <v>32613</v>
      </c>
      <c r="H1114" t="s">
        <v>32623</v>
      </c>
      <c r="I1114" t="s">
        <v>17648</v>
      </c>
      <c r="J1114" t="s">
        <v>33604</v>
      </c>
      <c r="K1114" t="s">
        <v>42630</v>
      </c>
      <c r="M1114" t="s">
        <v>43493</v>
      </c>
      <c r="N1114" t="s">
        <v>47304</v>
      </c>
      <c r="O1114" t="s">
        <v>47305</v>
      </c>
      <c r="P1114">
        <v>0</v>
      </c>
      <c r="Q1114">
        <v>0</v>
      </c>
      <c r="R1114" t="s">
        <v>47307</v>
      </c>
      <c r="S1114" t="s">
        <v>47416</v>
      </c>
      <c r="T1114" t="s">
        <v>49101</v>
      </c>
      <c r="U1114" t="s">
        <v>50553</v>
      </c>
      <c r="W1114" t="s">
        <v>43493</v>
      </c>
      <c r="X1114" t="s">
        <v>47306</v>
      </c>
    </row>
    <row r="1115" spans="1:24">
      <c r="A1115">
        <f>HYPERLINK("https://www.philgeps.gov.ph/GEPSNONPILOT/Tender/SplashBidNoticeAbstractUI.aspx?menuIndex=3&amp;refID=7198773&amp;Result=3","7198773")</f>
        <v>0</v>
      </c>
      <c r="B1115" t="s">
        <v>579</v>
      </c>
      <c r="C1115" t="s">
        <v>4939</v>
      </c>
      <c r="D1115" t="s">
        <v>19013</v>
      </c>
      <c r="E1115" t="s">
        <v>20123</v>
      </c>
      <c r="F1115" t="s">
        <v>32606</v>
      </c>
      <c r="G1115" t="s">
        <v>32613</v>
      </c>
      <c r="H1115" t="s">
        <v>32623</v>
      </c>
      <c r="I1115" t="s">
        <v>17648</v>
      </c>
      <c r="J1115" t="s">
        <v>33605</v>
      </c>
      <c r="K1115" t="s">
        <v>42682</v>
      </c>
      <c r="M1115" t="s">
        <v>43494</v>
      </c>
      <c r="N1115" t="s">
        <v>47304</v>
      </c>
      <c r="O1115" t="s">
        <v>47305</v>
      </c>
      <c r="P1115">
        <v>0</v>
      </c>
      <c r="Q1115">
        <v>0</v>
      </c>
      <c r="R1115" t="s">
        <v>47307</v>
      </c>
      <c r="S1115" t="s">
        <v>47416</v>
      </c>
      <c r="T1115" t="s">
        <v>48995</v>
      </c>
      <c r="U1115" t="s">
        <v>50554</v>
      </c>
      <c r="W1115" t="s">
        <v>43494</v>
      </c>
      <c r="X1115" t="s">
        <v>47306</v>
      </c>
    </row>
    <row r="1116" spans="1:24">
      <c r="A1116">
        <f>HYPERLINK("https://www.philgeps.gov.ph/GEPSNONPILOT/Tender/SplashBidNoticeAbstractUI.aspx?menuIndex=3&amp;refID=7198751&amp;Result=3","7198751")</f>
        <v>0</v>
      </c>
      <c r="B1116" t="s">
        <v>580</v>
      </c>
      <c r="C1116" t="s">
        <v>4940</v>
      </c>
      <c r="D1116" t="s">
        <v>19016</v>
      </c>
      <c r="E1116" t="s">
        <v>19279</v>
      </c>
      <c r="F1116" t="s">
        <v>32606</v>
      </c>
      <c r="G1116" t="s">
        <v>32614</v>
      </c>
      <c r="H1116" t="s">
        <v>14201</v>
      </c>
      <c r="I1116" t="s">
        <v>4369</v>
      </c>
      <c r="J1116" t="s">
        <v>33606</v>
      </c>
      <c r="K1116" t="s">
        <v>42622</v>
      </c>
      <c r="M1116" t="s">
        <v>43495</v>
      </c>
      <c r="N1116" t="s">
        <v>47304</v>
      </c>
      <c r="O1116" t="s">
        <v>47305</v>
      </c>
      <c r="P1116">
        <v>0</v>
      </c>
      <c r="Q1116">
        <v>1</v>
      </c>
      <c r="R1116" t="s">
        <v>47307</v>
      </c>
      <c r="S1116" t="s">
        <v>47416</v>
      </c>
      <c r="T1116" t="s">
        <v>49096</v>
      </c>
      <c r="U1116" t="s">
        <v>50555</v>
      </c>
      <c r="W1116" t="s">
        <v>43495</v>
      </c>
      <c r="X1116" t="s">
        <v>47306</v>
      </c>
    </row>
    <row r="1117" spans="1:24">
      <c r="A1117">
        <f>HYPERLINK("https://www.philgeps.gov.ph/GEPSNONPILOT/Tender/SplashBidNoticeAbstractUI.aspx?menuIndex=3&amp;refID=7198778&amp;Result=3","7198778")</f>
        <v>0</v>
      </c>
      <c r="B1117" t="s">
        <v>581</v>
      </c>
      <c r="C1117" t="s">
        <v>4941</v>
      </c>
      <c r="D1117" t="s">
        <v>19036</v>
      </c>
      <c r="E1117" t="s">
        <v>20124</v>
      </c>
      <c r="F1117" t="s">
        <v>32606</v>
      </c>
      <c r="G1117" t="s">
        <v>32613</v>
      </c>
      <c r="H1117" t="s">
        <v>14201</v>
      </c>
      <c r="I1117" t="s">
        <v>9008</v>
      </c>
      <c r="J1117" t="s">
        <v>33607</v>
      </c>
      <c r="K1117" t="s">
        <v>42631</v>
      </c>
      <c r="M1117" t="s">
        <v>43496</v>
      </c>
      <c r="N1117" t="s">
        <v>47304</v>
      </c>
      <c r="O1117" t="s">
        <v>47305</v>
      </c>
      <c r="P1117">
        <v>0</v>
      </c>
      <c r="Q1117">
        <v>0</v>
      </c>
      <c r="R1117" t="s">
        <v>47307</v>
      </c>
      <c r="S1117" t="s">
        <v>47416</v>
      </c>
      <c r="T1117" t="s">
        <v>48992</v>
      </c>
      <c r="U1117" t="s">
        <v>50556</v>
      </c>
      <c r="W1117" t="s">
        <v>43496</v>
      </c>
      <c r="X1117" t="s">
        <v>47306</v>
      </c>
    </row>
    <row r="1118" spans="1:24">
      <c r="A1118">
        <f>HYPERLINK("https://www.philgeps.gov.ph/GEPSNONPILOT/Tender/SplashBidNoticeAbstractUI.aspx?menuIndex=3&amp;refID=7198777&amp;Result=3","7198777")</f>
        <v>0</v>
      </c>
      <c r="B1118" t="s">
        <v>567</v>
      </c>
      <c r="C1118" t="s">
        <v>4942</v>
      </c>
      <c r="E1118" t="s">
        <v>20125</v>
      </c>
      <c r="F1118" t="s">
        <v>32606</v>
      </c>
      <c r="G1118" t="s">
        <v>32619</v>
      </c>
      <c r="H1118" t="s">
        <v>14201</v>
      </c>
      <c r="I1118" t="s">
        <v>32633</v>
      </c>
      <c r="J1118" t="s">
        <v>32765</v>
      </c>
      <c r="K1118" t="s">
        <v>42624</v>
      </c>
      <c r="M1118" t="s">
        <v>43482</v>
      </c>
      <c r="N1118" t="s">
        <v>47304</v>
      </c>
      <c r="O1118" t="s">
        <v>47305</v>
      </c>
      <c r="P1118">
        <v>0</v>
      </c>
      <c r="Q1118">
        <v>0</v>
      </c>
      <c r="R1118" t="s">
        <v>47307</v>
      </c>
      <c r="S1118" t="s">
        <v>47416</v>
      </c>
      <c r="T1118" t="s">
        <v>48988</v>
      </c>
      <c r="U1118" t="s">
        <v>50557</v>
      </c>
      <c r="W1118" t="s">
        <v>43482</v>
      </c>
      <c r="X1118" t="s">
        <v>47306</v>
      </c>
    </row>
    <row r="1119" spans="1:24">
      <c r="A1119">
        <f>HYPERLINK("https://www.philgeps.gov.ph/GEPSNONPILOT/Tender/SplashBidNoticeAbstractUI.aspx?menuIndex=3&amp;refID=7198771&amp;Result=3","7198771")</f>
        <v>0</v>
      </c>
      <c r="B1119" t="s">
        <v>582</v>
      </c>
      <c r="C1119" t="s">
        <v>4943</v>
      </c>
      <c r="D1119" t="s">
        <v>19007</v>
      </c>
      <c r="E1119" t="s">
        <v>19372</v>
      </c>
      <c r="F1119" t="s">
        <v>32606</v>
      </c>
      <c r="G1119" t="s">
        <v>32619</v>
      </c>
      <c r="H1119" t="s">
        <v>14201</v>
      </c>
      <c r="I1119" t="s">
        <v>32640</v>
      </c>
      <c r="J1119" t="s">
        <v>33608</v>
      </c>
      <c r="K1119" t="s">
        <v>42630</v>
      </c>
      <c r="M1119" t="s">
        <v>43497</v>
      </c>
      <c r="N1119" t="s">
        <v>47304</v>
      </c>
      <c r="O1119" t="s">
        <v>47305</v>
      </c>
      <c r="P1119">
        <v>0</v>
      </c>
      <c r="Q1119">
        <v>0</v>
      </c>
      <c r="R1119" t="s">
        <v>47307</v>
      </c>
      <c r="S1119" t="s">
        <v>47416</v>
      </c>
      <c r="T1119" t="s">
        <v>49098</v>
      </c>
      <c r="U1119" t="s">
        <v>50558</v>
      </c>
      <c r="W1119" t="s">
        <v>43497</v>
      </c>
      <c r="X1119" t="s">
        <v>47306</v>
      </c>
    </row>
    <row r="1120" spans="1:24">
      <c r="A1120">
        <f>HYPERLINK("https://www.philgeps.gov.ph/GEPSNONPILOT/Tender/SplashBidNoticeAbstractUI.aspx?menuIndex=3&amp;refID=7198770&amp;Result=3","7198770")</f>
        <v>0</v>
      </c>
      <c r="B1120" t="s">
        <v>583</v>
      </c>
      <c r="C1120" t="s">
        <v>4772</v>
      </c>
      <c r="D1120" t="s">
        <v>18995</v>
      </c>
      <c r="E1120" t="s">
        <v>20126</v>
      </c>
      <c r="F1120" t="s">
        <v>32606</v>
      </c>
      <c r="G1120" t="s">
        <v>32614</v>
      </c>
      <c r="H1120" t="s">
        <v>14201</v>
      </c>
      <c r="I1120" t="s">
        <v>4120</v>
      </c>
      <c r="J1120" t="s">
        <v>33257</v>
      </c>
      <c r="K1120" t="s">
        <v>42625</v>
      </c>
      <c r="M1120" t="s">
        <v>43498</v>
      </c>
      <c r="N1120" t="s">
        <v>47304</v>
      </c>
      <c r="O1120" t="s">
        <v>47305</v>
      </c>
      <c r="P1120">
        <v>0</v>
      </c>
      <c r="Q1120">
        <v>0</v>
      </c>
      <c r="R1120" t="s">
        <v>47307</v>
      </c>
      <c r="S1120" t="s">
        <v>47416</v>
      </c>
      <c r="T1120" t="s">
        <v>49023</v>
      </c>
      <c r="U1120" t="s">
        <v>50559</v>
      </c>
      <c r="W1120" t="s">
        <v>43498</v>
      </c>
      <c r="X1120" t="s">
        <v>47306</v>
      </c>
    </row>
    <row r="1121" spans="1:24">
      <c r="A1121">
        <f>HYPERLINK("https://www.philgeps.gov.ph/GEPSNONPILOT/Tender/SplashBidNoticeAbstractUI.aspx?menuIndex=3&amp;refID=7198768&amp;Result=3","7198768")</f>
        <v>0</v>
      </c>
      <c r="B1121" t="s">
        <v>556</v>
      </c>
      <c r="C1121" t="s">
        <v>4944</v>
      </c>
      <c r="D1121" t="s">
        <v>18993</v>
      </c>
      <c r="E1121" t="s">
        <v>20127</v>
      </c>
      <c r="F1121" t="s">
        <v>32606</v>
      </c>
      <c r="G1121" t="s">
        <v>32613</v>
      </c>
      <c r="H1121" t="s">
        <v>32623</v>
      </c>
      <c r="I1121" t="s">
        <v>17648</v>
      </c>
      <c r="J1121" t="s">
        <v>33609</v>
      </c>
      <c r="K1121" t="s">
        <v>42680</v>
      </c>
      <c r="M1121" t="s">
        <v>43471</v>
      </c>
      <c r="N1121" t="s">
        <v>47304</v>
      </c>
      <c r="O1121" t="s">
        <v>47305</v>
      </c>
      <c r="P1121">
        <v>0</v>
      </c>
      <c r="Q1121">
        <v>0</v>
      </c>
      <c r="R1121" t="s">
        <v>47307</v>
      </c>
      <c r="S1121" t="s">
        <v>47416</v>
      </c>
      <c r="T1121" t="s">
        <v>48973</v>
      </c>
      <c r="U1121" t="s">
        <v>50524</v>
      </c>
      <c r="W1121" t="s">
        <v>43471</v>
      </c>
      <c r="X1121" t="s">
        <v>47306</v>
      </c>
    </row>
    <row r="1122" spans="1:24">
      <c r="A1122">
        <f>HYPERLINK("https://www.philgeps.gov.ph/GEPSNONPILOT/Tender/SplashBidNoticeAbstractUI.aspx?menuIndex=3&amp;refID=7198739&amp;Result=3","7198739")</f>
        <v>0</v>
      </c>
      <c r="B1122" t="s">
        <v>567</v>
      </c>
      <c r="C1122" t="s">
        <v>4945</v>
      </c>
      <c r="E1122" t="s">
        <v>20128</v>
      </c>
      <c r="F1122" t="s">
        <v>32606</v>
      </c>
      <c r="G1122" t="s">
        <v>32619</v>
      </c>
      <c r="H1122" t="s">
        <v>14201</v>
      </c>
      <c r="I1122" t="s">
        <v>32633</v>
      </c>
      <c r="J1122" t="s">
        <v>33030</v>
      </c>
      <c r="K1122" t="s">
        <v>42624</v>
      </c>
      <c r="M1122" t="s">
        <v>43482</v>
      </c>
      <c r="N1122" t="s">
        <v>47304</v>
      </c>
      <c r="O1122" t="s">
        <v>47305</v>
      </c>
      <c r="P1122">
        <v>0</v>
      </c>
      <c r="Q1122">
        <v>0</v>
      </c>
      <c r="R1122" t="s">
        <v>47307</v>
      </c>
      <c r="S1122" t="s">
        <v>47416</v>
      </c>
      <c r="T1122" t="s">
        <v>49002</v>
      </c>
      <c r="U1122" t="s">
        <v>50560</v>
      </c>
      <c r="W1122" t="s">
        <v>43482</v>
      </c>
      <c r="X1122" t="s">
        <v>47306</v>
      </c>
    </row>
    <row r="1123" spans="1:24">
      <c r="A1123">
        <f>HYPERLINK("https://www.philgeps.gov.ph/GEPSNONPILOT/Tender/SplashBidNoticeAbstractUI.aspx?menuIndex=3&amp;refID=7198805&amp;Result=3","7198805")</f>
        <v>0</v>
      </c>
      <c r="B1123" t="s">
        <v>584</v>
      </c>
      <c r="C1123" t="s">
        <v>4946</v>
      </c>
      <c r="D1123" t="s">
        <v>18993</v>
      </c>
      <c r="E1123" t="s">
        <v>20129</v>
      </c>
      <c r="F1123" t="s">
        <v>32606</v>
      </c>
      <c r="G1123" t="s">
        <v>32619</v>
      </c>
      <c r="H1123" t="s">
        <v>14201</v>
      </c>
      <c r="I1123" t="s">
        <v>4678</v>
      </c>
      <c r="J1123" t="s">
        <v>33610</v>
      </c>
      <c r="K1123" t="s">
        <v>42623</v>
      </c>
      <c r="M1123" t="s">
        <v>43499</v>
      </c>
      <c r="N1123" t="s">
        <v>47304</v>
      </c>
      <c r="O1123" t="s">
        <v>47305</v>
      </c>
      <c r="P1123">
        <v>0</v>
      </c>
      <c r="Q1123">
        <v>0</v>
      </c>
      <c r="R1123" t="s">
        <v>47307</v>
      </c>
      <c r="S1123" t="s">
        <v>47416</v>
      </c>
      <c r="T1123" t="s">
        <v>49014</v>
      </c>
      <c r="U1123" t="s">
        <v>50561</v>
      </c>
      <c r="V1123" t="s">
        <v>62782</v>
      </c>
      <c r="W1123" t="s">
        <v>43499</v>
      </c>
      <c r="X1123" t="s">
        <v>47306</v>
      </c>
    </row>
    <row r="1124" spans="1:24">
      <c r="A1124">
        <f>HYPERLINK("https://www.philgeps.gov.ph/GEPSNONPILOT/Tender/SplashBidNoticeAbstractUI.aspx?menuIndex=3&amp;refID=7198736&amp;Result=3","7198736")</f>
        <v>0</v>
      </c>
      <c r="B1124" t="s">
        <v>585</v>
      </c>
      <c r="C1124" t="s">
        <v>4772</v>
      </c>
      <c r="D1124" t="s">
        <v>18995</v>
      </c>
      <c r="E1124" t="s">
        <v>20130</v>
      </c>
      <c r="F1124" t="s">
        <v>32606</v>
      </c>
      <c r="G1124" t="s">
        <v>32614</v>
      </c>
      <c r="H1124" t="s">
        <v>14201</v>
      </c>
      <c r="I1124" t="s">
        <v>4120</v>
      </c>
      <c r="J1124" t="s">
        <v>33611</v>
      </c>
      <c r="K1124" t="s">
        <v>42625</v>
      </c>
      <c r="M1124" t="s">
        <v>43500</v>
      </c>
      <c r="N1124" t="s">
        <v>47304</v>
      </c>
      <c r="O1124" t="s">
        <v>47305</v>
      </c>
      <c r="P1124">
        <v>0</v>
      </c>
      <c r="Q1124">
        <v>0</v>
      </c>
      <c r="R1124" t="s">
        <v>47307</v>
      </c>
      <c r="S1124" t="s">
        <v>47416</v>
      </c>
      <c r="T1124" t="s">
        <v>49060</v>
      </c>
      <c r="U1124" t="s">
        <v>50562</v>
      </c>
      <c r="W1124" t="s">
        <v>43500</v>
      </c>
      <c r="X1124" t="s">
        <v>47306</v>
      </c>
    </row>
    <row r="1125" spans="1:24">
      <c r="A1125">
        <f>HYPERLINK("https://www.philgeps.gov.ph/GEPSNONPILOT/Tender/SplashBidNoticeAbstractUI.aspx?menuIndex=3&amp;refID=7198803&amp;Result=3","7198803")</f>
        <v>0</v>
      </c>
      <c r="B1125" t="s">
        <v>581</v>
      </c>
      <c r="C1125" t="s">
        <v>4947</v>
      </c>
      <c r="D1125" t="s">
        <v>19036</v>
      </c>
      <c r="E1125" t="s">
        <v>20131</v>
      </c>
      <c r="F1125" t="s">
        <v>32606</v>
      </c>
      <c r="G1125" t="s">
        <v>32613</v>
      </c>
      <c r="H1125" t="s">
        <v>14201</v>
      </c>
      <c r="I1125" t="s">
        <v>32641</v>
      </c>
      <c r="J1125" t="s">
        <v>33612</v>
      </c>
      <c r="K1125" t="s">
        <v>42631</v>
      </c>
      <c r="M1125" t="s">
        <v>43496</v>
      </c>
      <c r="N1125" t="s">
        <v>47304</v>
      </c>
      <c r="O1125" t="s">
        <v>47305</v>
      </c>
      <c r="P1125">
        <v>0</v>
      </c>
      <c r="Q1125">
        <v>0</v>
      </c>
      <c r="R1125" t="s">
        <v>47307</v>
      </c>
      <c r="S1125" t="s">
        <v>47416</v>
      </c>
      <c r="T1125" t="s">
        <v>49110</v>
      </c>
      <c r="U1125" t="s">
        <v>50563</v>
      </c>
      <c r="W1125" t="s">
        <v>43496</v>
      </c>
      <c r="X1125" t="s">
        <v>47306</v>
      </c>
    </row>
    <row r="1126" spans="1:24">
      <c r="A1126">
        <f>HYPERLINK("https://www.philgeps.gov.ph/GEPSNONPILOT/Tender/SplashBidNoticeAbstractUI.aspx?menuIndex=3&amp;refID=7198799&amp;Result=3","7198799")</f>
        <v>0</v>
      </c>
      <c r="B1126" t="s">
        <v>586</v>
      </c>
      <c r="C1126" t="s">
        <v>4948</v>
      </c>
      <c r="E1126" t="s">
        <v>20132</v>
      </c>
      <c r="F1126" t="s">
        <v>32606</v>
      </c>
      <c r="G1126" t="s">
        <v>32613</v>
      </c>
      <c r="H1126" t="s">
        <v>32623</v>
      </c>
      <c r="I1126" t="s">
        <v>17648</v>
      </c>
      <c r="J1126" t="s">
        <v>33613</v>
      </c>
      <c r="K1126" t="s">
        <v>42649</v>
      </c>
      <c r="M1126" t="s">
        <v>43501</v>
      </c>
      <c r="N1126" t="s">
        <v>47304</v>
      </c>
      <c r="O1126" t="s">
        <v>47305</v>
      </c>
      <c r="P1126">
        <v>0</v>
      </c>
      <c r="Q1126">
        <v>0</v>
      </c>
      <c r="R1126" t="s">
        <v>47307</v>
      </c>
      <c r="S1126" t="s">
        <v>47416</v>
      </c>
      <c r="T1126" t="s">
        <v>49152</v>
      </c>
      <c r="U1126" t="s">
        <v>50564</v>
      </c>
      <c r="W1126" t="s">
        <v>43501</v>
      </c>
      <c r="X1126" t="s">
        <v>47306</v>
      </c>
    </row>
    <row r="1127" spans="1:24">
      <c r="A1127">
        <f>HYPERLINK("https://www.philgeps.gov.ph/GEPSNONPILOT/Tender/SplashBidNoticeAbstractUI.aspx?menuIndex=3&amp;refID=7198798&amp;Result=3","7198798")</f>
        <v>0</v>
      </c>
      <c r="B1127" t="s">
        <v>587</v>
      </c>
      <c r="C1127" t="s">
        <v>4949</v>
      </c>
      <c r="D1127" t="s">
        <v>19023</v>
      </c>
      <c r="E1127" t="s">
        <v>20133</v>
      </c>
      <c r="F1127" t="s">
        <v>32606</v>
      </c>
      <c r="G1127" t="s">
        <v>32613</v>
      </c>
      <c r="H1127" t="s">
        <v>14201</v>
      </c>
      <c r="I1127" t="s">
        <v>6931</v>
      </c>
      <c r="J1127" t="s">
        <v>33614</v>
      </c>
      <c r="K1127" t="s">
        <v>42629</v>
      </c>
      <c r="M1127" t="s">
        <v>43502</v>
      </c>
      <c r="N1127" t="s">
        <v>47304</v>
      </c>
      <c r="O1127" t="s">
        <v>47305</v>
      </c>
      <c r="P1127">
        <v>0</v>
      </c>
      <c r="Q1127">
        <v>0</v>
      </c>
      <c r="R1127" t="s">
        <v>47307</v>
      </c>
      <c r="S1127" t="s">
        <v>47416</v>
      </c>
      <c r="T1127" t="s">
        <v>48996</v>
      </c>
      <c r="U1127" t="s">
        <v>50565</v>
      </c>
      <c r="W1127" t="s">
        <v>43502</v>
      </c>
      <c r="X1127" t="s">
        <v>47306</v>
      </c>
    </row>
    <row r="1128" spans="1:24">
      <c r="A1128">
        <f>HYPERLINK("https://www.philgeps.gov.ph/GEPSNONPILOT/Tender/SplashBidNoticeAbstractUI.aspx?menuIndex=3&amp;refID=7198804&amp;Result=3","7198804")</f>
        <v>0</v>
      </c>
      <c r="B1128" t="s">
        <v>575</v>
      </c>
      <c r="C1128" t="s">
        <v>4950</v>
      </c>
      <c r="D1128" t="s">
        <v>19036</v>
      </c>
      <c r="E1128" t="s">
        <v>20134</v>
      </c>
      <c r="F1128" t="s">
        <v>32606</v>
      </c>
      <c r="G1128" t="s">
        <v>32613</v>
      </c>
      <c r="H1128" t="s">
        <v>14201</v>
      </c>
      <c r="I1128" t="s">
        <v>7064</v>
      </c>
      <c r="J1128" t="s">
        <v>32821</v>
      </c>
      <c r="K1128" t="s">
        <v>42622</v>
      </c>
      <c r="M1128" t="s">
        <v>43490</v>
      </c>
      <c r="N1128" t="s">
        <v>47304</v>
      </c>
      <c r="O1128" t="s">
        <v>47305</v>
      </c>
      <c r="P1128">
        <v>0</v>
      </c>
      <c r="Q1128">
        <v>3</v>
      </c>
      <c r="R1128" t="s">
        <v>47307</v>
      </c>
      <c r="S1128" t="s">
        <v>47416</v>
      </c>
      <c r="T1128" t="s">
        <v>49153</v>
      </c>
      <c r="U1128" t="s">
        <v>50549</v>
      </c>
      <c r="W1128" t="s">
        <v>43490</v>
      </c>
      <c r="X1128" t="s">
        <v>47306</v>
      </c>
    </row>
    <row r="1129" spans="1:24">
      <c r="A1129">
        <f>HYPERLINK("https://www.philgeps.gov.ph/GEPSNONPILOT/Tender/SplashBidNoticeAbstractUI.aspx?menuIndex=3&amp;refID=7198802&amp;Result=3","7198802")</f>
        <v>0</v>
      </c>
      <c r="B1129" t="s">
        <v>588</v>
      </c>
      <c r="C1129" t="s">
        <v>4951</v>
      </c>
      <c r="D1129" t="s">
        <v>19038</v>
      </c>
      <c r="E1129" t="s">
        <v>20135</v>
      </c>
      <c r="F1129" t="s">
        <v>32606</v>
      </c>
      <c r="G1129" t="s">
        <v>32619</v>
      </c>
      <c r="H1129" t="s">
        <v>14201</v>
      </c>
      <c r="I1129" t="s">
        <v>32626</v>
      </c>
      <c r="J1129" t="s">
        <v>33615</v>
      </c>
      <c r="K1129" t="s">
        <v>42627</v>
      </c>
      <c r="M1129" t="s">
        <v>43503</v>
      </c>
      <c r="N1129" t="s">
        <v>47304</v>
      </c>
      <c r="O1129" t="s">
        <v>47305</v>
      </c>
      <c r="P1129">
        <v>0</v>
      </c>
      <c r="Q1129">
        <v>0</v>
      </c>
      <c r="R1129" t="s">
        <v>47307</v>
      </c>
      <c r="S1129" t="s">
        <v>47416</v>
      </c>
      <c r="T1129" t="s">
        <v>49088</v>
      </c>
      <c r="U1129" t="s">
        <v>50566</v>
      </c>
      <c r="W1129" t="s">
        <v>43503</v>
      </c>
      <c r="X1129" t="s">
        <v>47306</v>
      </c>
    </row>
    <row r="1130" spans="1:24">
      <c r="A1130">
        <f>HYPERLINK("https://www.philgeps.gov.ph/GEPSNONPILOT/Tender/SplashBidNoticeAbstractUI.aspx?menuIndex=3&amp;refID=7198766&amp;Result=3","7198766")</f>
        <v>0</v>
      </c>
      <c r="B1130" t="s">
        <v>589</v>
      </c>
      <c r="C1130" t="s">
        <v>4952</v>
      </c>
      <c r="D1130" t="s">
        <v>19003</v>
      </c>
      <c r="E1130" t="s">
        <v>20136</v>
      </c>
      <c r="F1130" t="s">
        <v>32607</v>
      </c>
      <c r="G1130" t="s">
        <v>32613</v>
      </c>
      <c r="H1130" t="s">
        <v>14201</v>
      </c>
      <c r="I1130" t="s">
        <v>6931</v>
      </c>
      <c r="J1130" t="s">
        <v>33616</v>
      </c>
      <c r="K1130" t="s">
        <v>42622</v>
      </c>
      <c r="M1130" t="s">
        <v>43504</v>
      </c>
      <c r="N1130" t="s">
        <v>47304</v>
      </c>
      <c r="O1130" t="s">
        <v>47305</v>
      </c>
      <c r="P1130">
        <v>0</v>
      </c>
      <c r="Q1130">
        <v>0</v>
      </c>
      <c r="R1130" t="s">
        <v>47307</v>
      </c>
      <c r="S1130" t="s">
        <v>47416</v>
      </c>
      <c r="T1130" t="s">
        <v>49154</v>
      </c>
      <c r="U1130" t="s">
        <v>50567</v>
      </c>
      <c r="W1130" t="s">
        <v>43504</v>
      </c>
      <c r="X1130" t="s">
        <v>47306</v>
      </c>
    </row>
    <row r="1131" spans="1:24">
      <c r="A1131">
        <f>HYPERLINK("https://www.philgeps.gov.ph/GEPSNONPILOT/Tender/SplashBidNoticeAbstractUI.aspx?menuIndex=3&amp;refID=7198796&amp;Result=3","7198796")</f>
        <v>0</v>
      </c>
      <c r="B1131" t="s">
        <v>590</v>
      </c>
      <c r="C1131" t="s">
        <v>4953</v>
      </c>
      <c r="D1131" t="s">
        <v>19007</v>
      </c>
      <c r="E1131" t="s">
        <v>20137</v>
      </c>
      <c r="F1131" t="s">
        <v>32606</v>
      </c>
      <c r="G1131" t="s">
        <v>32615</v>
      </c>
      <c r="H1131" t="s">
        <v>32623</v>
      </c>
      <c r="I1131" t="s">
        <v>17648</v>
      </c>
      <c r="J1131" t="s">
        <v>33617</v>
      </c>
      <c r="K1131" t="s">
        <v>42676</v>
      </c>
      <c r="M1131" t="s">
        <v>43505</v>
      </c>
      <c r="N1131" t="s">
        <v>47304</v>
      </c>
      <c r="O1131" t="s">
        <v>47305</v>
      </c>
      <c r="P1131">
        <v>0</v>
      </c>
      <c r="Q1131">
        <v>0</v>
      </c>
      <c r="R1131" t="s">
        <v>47307</v>
      </c>
      <c r="S1131" t="s">
        <v>47416</v>
      </c>
      <c r="T1131" t="s">
        <v>48988</v>
      </c>
      <c r="U1131" t="s">
        <v>50568</v>
      </c>
      <c r="W1131" t="s">
        <v>43505</v>
      </c>
      <c r="X1131" t="s">
        <v>47306</v>
      </c>
    </row>
    <row r="1132" spans="1:24">
      <c r="A1132">
        <f>HYPERLINK("https://www.philgeps.gov.ph/GEPSNONPILOT/Tender/SplashBidNoticeAbstractUI.aspx?menuIndex=3&amp;refID=7198806&amp;Result=3","7198806")</f>
        <v>0</v>
      </c>
      <c r="B1132" t="s">
        <v>591</v>
      </c>
      <c r="C1132" t="s">
        <v>4939</v>
      </c>
      <c r="D1132" t="s">
        <v>19013</v>
      </c>
      <c r="E1132" t="s">
        <v>20123</v>
      </c>
      <c r="F1132" t="s">
        <v>32606</v>
      </c>
      <c r="G1132" t="s">
        <v>32613</v>
      </c>
      <c r="H1132" t="s">
        <v>32623</v>
      </c>
      <c r="I1132" t="s">
        <v>17648</v>
      </c>
      <c r="J1132" t="s">
        <v>33618</v>
      </c>
      <c r="K1132" t="s">
        <v>42639</v>
      </c>
      <c r="M1132" t="s">
        <v>43506</v>
      </c>
      <c r="N1132" t="s">
        <v>47304</v>
      </c>
      <c r="O1132" t="s">
        <v>47305</v>
      </c>
      <c r="P1132">
        <v>0</v>
      </c>
      <c r="Q1132">
        <v>0</v>
      </c>
      <c r="R1132" t="s">
        <v>47307</v>
      </c>
      <c r="S1132" t="s">
        <v>47416</v>
      </c>
      <c r="T1132" t="s">
        <v>49033</v>
      </c>
      <c r="U1132" t="s">
        <v>50569</v>
      </c>
      <c r="W1132" t="s">
        <v>43506</v>
      </c>
      <c r="X1132" t="s">
        <v>47306</v>
      </c>
    </row>
    <row r="1133" spans="1:24">
      <c r="A1133">
        <f>HYPERLINK("https://www.philgeps.gov.ph/GEPSNONPILOT/Tender/SplashBidNoticeAbstractUI.aspx?menuIndex=3&amp;refID=7198742&amp;Result=3","7198742")</f>
        <v>0</v>
      </c>
      <c r="B1133" t="s">
        <v>592</v>
      </c>
      <c r="C1133" t="s">
        <v>4954</v>
      </c>
      <c r="D1133" t="s">
        <v>18995</v>
      </c>
      <c r="E1133" t="s">
        <v>20138</v>
      </c>
      <c r="F1133" t="s">
        <v>32606</v>
      </c>
      <c r="G1133" t="s">
        <v>32614</v>
      </c>
      <c r="H1133" t="s">
        <v>32623</v>
      </c>
      <c r="I1133" t="s">
        <v>17648</v>
      </c>
      <c r="J1133" t="s">
        <v>33619</v>
      </c>
      <c r="K1133" t="s">
        <v>42632</v>
      </c>
      <c r="M1133" t="s">
        <v>43507</v>
      </c>
      <c r="N1133" t="s">
        <v>47304</v>
      </c>
      <c r="O1133" t="s">
        <v>47305</v>
      </c>
      <c r="P1133">
        <v>0</v>
      </c>
      <c r="Q1133">
        <v>0</v>
      </c>
      <c r="R1133" t="s">
        <v>47307</v>
      </c>
      <c r="S1133" t="s">
        <v>47416</v>
      </c>
      <c r="T1133" t="s">
        <v>49023</v>
      </c>
      <c r="U1133" t="s">
        <v>50570</v>
      </c>
      <c r="W1133" t="s">
        <v>43507</v>
      </c>
      <c r="X1133" t="s">
        <v>47306</v>
      </c>
    </row>
    <row r="1134" spans="1:24">
      <c r="A1134">
        <f>HYPERLINK("https://www.philgeps.gov.ph/GEPSNONPILOT/Tender/SplashBidNoticeAbstractUI.aspx?menuIndex=3&amp;refID=7198808&amp;Result=3","7198808")</f>
        <v>0</v>
      </c>
      <c r="B1134" t="s">
        <v>593</v>
      </c>
      <c r="C1134" t="s">
        <v>4955</v>
      </c>
      <c r="D1134" t="s">
        <v>19044</v>
      </c>
      <c r="E1134" t="s">
        <v>20139</v>
      </c>
      <c r="F1134" t="s">
        <v>32606</v>
      </c>
      <c r="G1134" t="s">
        <v>32619</v>
      </c>
      <c r="H1134" t="s">
        <v>14201</v>
      </c>
      <c r="I1134" t="s">
        <v>6931</v>
      </c>
      <c r="J1134" t="s">
        <v>33620</v>
      </c>
      <c r="K1134" t="s">
        <v>42630</v>
      </c>
      <c r="M1134" t="s">
        <v>43508</v>
      </c>
      <c r="N1134" t="s">
        <v>47304</v>
      </c>
      <c r="O1134" t="s">
        <v>47305</v>
      </c>
      <c r="P1134">
        <v>0</v>
      </c>
      <c r="Q1134">
        <v>0</v>
      </c>
      <c r="R1134" t="s">
        <v>47307</v>
      </c>
      <c r="S1134" t="s">
        <v>47416</v>
      </c>
      <c r="T1134" t="s">
        <v>48976</v>
      </c>
      <c r="U1134" t="s">
        <v>50571</v>
      </c>
      <c r="W1134" t="s">
        <v>43508</v>
      </c>
      <c r="X1134" t="s">
        <v>47306</v>
      </c>
    </row>
    <row r="1135" spans="1:24">
      <c r="A1135">
        <f>HYPERLINK("https://www.philgeps.gov.ph/GEPSNONPILOT/Tender/SplashBidNoticeAbstractUI.aspx?menuIndex=3&amp;refID=7198827&amp;Result=3","7198827")</f>
        <v>0</v>
      </c>
      <c r="B1135" t="s">
        <v>594</v>
      </c>
      <c r="C1135" t="s">
        <v>4956</v>
      </c>
      <c r="D1135" t="s">
        <v>19040</v>
      </c>
      <c r="E1135" t="s">
        <v>20140</v>
      </c>
      <c r="F1135" t="s">
        <v>32606</v>
      </c>
      <c r="G1135" t="s">
        <v>32614</v>
      </c>
      <c r="H1135" t="s">
        <v>14201</v>
      </c>
      <c r="I1135" t="s">
        <v>32676</v>
      </c>
      <c r="J1135" t="s">
        <v>33621</v>
      </c>
      <c r="K1135" t="s">
        <v>42629</v>
      </c>
      <c r="M1135" t="s">
        <v>43509</v>
      </c>
      <c r="N1135" t="s">
        <v>47304</v>
      </c>
      <c r="O1135" t="s">
        <v>47305</v>
      </c>
      <c r="P1135">
        <v>0</v>
      </c>
      <c r="Q1135">
        <v>0</v>
      </c>
      <c r="R1135" t="s">
        <v>47307</v>
      </c>
      <c r="S1135" t="s">
        <v>47416</v>
      </c>
      <c r="T1135" t="s">
        <v>49041</v>
      </c>
      <c r="U1135" t="s">
        <v>50572</v>
      </c>
      <c r="W1135" t="s">
        <v>43509</v>
      </c>
      <c r="X1135" t="s">
        <v>47306</v>
      </c>
    </row>
    <row r="1136" spans="1:24">
      <c r="A1136">
        <f>HYPERLINK("https://www.philgeps.gov.ph/GEPSNONPILOT/Tender/SplashBidNoticeAbstractUI.aspx?menuIndex=3&amp;refID=7198826&amp;Result=3","7198826")</f>
        <v>0</v>
      </c>
      <c r="B1136" t="s">
        <v>595</v>
      </c>
      <c r="C1136" t="s">
        <v>4957</v>
      </c>
      <c r="D1136" t="s">
        <v>19050</v>
      </c>
      <c r="E1136" t="s">
        <v>19775</v>
      </c>
      <c r="F1136" t="s">
        <v>32606</v>
      </c>
      <c r="G1136" t="s">
        <v>32614</v>
      </c>
      <c r="H1136" t="s">
        <v>14201</v>
      </c>
      <c r="I1136" t="s">
        <v>4114</v>
      </c>
      <c r="J1136" t="s">
        <v>33622</v>
      </c>
      <c r="K1136" t="s">
        <v>42624</v>
      </c>
      <c r="M1136" t="s">
        <v>43510</v>
      </c>
      <c r="N1136" t="s">
        <v>47304</v>
      </c>
      <c r="O1136" t="s">
        <v>47305</v>
      </c>
      <c r="P1136">
        <v>0</v>
      </c>
      <c r="Q1136">
        <v>0</v>
      </c>
      <c r="R1136" t="s">
        <v>47307</v>
      </c>
      <c r="S1136" t="s">
        <v>47416</v>
      </c>
      <c r="T1136" t="s">
        <v>49023</v>
      </c>
      <c r="U1136" t="s">
        <v>50573</v>
      </c>
      <c r="W1136" t="s">
        <v>43510</v>
      </c>
      <c r="X1136" t="s">
        <v>47306</v>
      </c>
    </row>
    <row r="1137" spans="1:24">
      <c r="A1137">
        <f>HYPERLINK("https://www.philgeps.gov.ph/GEPSNONPILOT/Tender/SplashBidNoticeAbstractUI.aspx?menuIndex=3&amp;refID=7198793&amp;Result=3","7198793")</f>
        <v>0</v>
      </c>
      <c r="B1137" t="s">
        <v>545</v>
      </c>
      <c r="C1137" t="s">
        <v>4958</v>
      </c>
      <c r="D1137" t="s">
        <v>18988</v>
      </c>
      <c r="E1137" t="s">
        <v>20141</v>
      </c>
      <c r="F1137" t="s">
        <v>32606</v>
      </c>
      <c r="G1137" t="s">
        <v>32614</v>
      </c>
      <c r="H1137" t="s">
        <v>14201</v>
      </c>
      <c r="I1137" t="s">
        <v>32640</v>
      </c>
      <c r="J1137" t="s">
        <v>33623</v>
      </c>
      <c r="K1137" t="s">
        <v>42624</v>
      </c>
      <c r="M1137" t="s">
        <v>43459</v>
      </c>
      <c r="N1137" t="s">
        <v>47304</v>
      </c>
      <c r="O1137" t="s">
        <v>47305</v>
      </c>
      <c r="P1137">
        <v>0</v>
      </c>
      <c r="Q1137">
        <v>0</v>
      </c>
      <c r="R1137" t="s">
        <v>47307</v>
      </c>
      <c r="S1137" t="s">
        <v>47416</v>
      </c>
      <c r="T1137" t="s">
        <v>49108</v>
      </c>
      <c r="U1137" t="s">
        <v>50506</v>
      </c>
      <c r="W1137" t="s">
        <v>43459</v>
      </c>
      <c r="X1137" t="s">
        <v>47306</v>
      </c>
    </row>
    <row r="1138" spans="1:24">
      <c r="A1138">
        <f>HYPERLINK("https://www.philgeps.gov.ph/GEPSNONPILOT/Tender/SplashBidNoticeAbstractUI.aspx?menuIndex=3&amp;refID=7198825&amp;Result=3","7198825")</f>
        <v>0</v>
      </c>
      <c r="B1138" t="s">
        <v>596</v>
      </c>
      <c r="C1138" t="s">
        <v>4959</v>
      </c>
      <c r="D1138" t="s">
        <v>19028</v>
      </c>
      <c r="E1138" t="s">
        <v>20142</v>
      </c>
      <c r="F1138" t="s">
        <v>32606</v>
      </c>
      <c r="G1138" t="s">
        <v>32614</v>
      </c>
      <c r="H1138" t="s">
        <v>14201</v>
      </c>
      <c r="I1138" t="s">
        <v>6478</v>
      </c>
      <c r="J1138" t="s">
        <v>33624</v>
      </c>
      <c r="K1138" t="s">
        <v>42632</v>
      </c>
      <c r="M1138" t="s">
        <v>43511</v>
      </c>
      <c r="N1138" t="s">
        <v>47304</v>
      </c>
      <c r="O1138" t="s">
        <v>47305</v>
      </c>
      <c r="P1138">
        <v>0</v>
      </c>
      <c r="Q1138">
        <v>0</v>
      </c>
      <c r="R1138" t="s">
        <v>47307</v>
      </c>
      <c r="S1138" t="s">
        <v>47416</v>
      </c>
      <c r="T1138" t="s">
        <v>49108</v>
      </c>
      <c r="U1138" t="s">
        <v>50574</v>
      </c>
      <c r="W1138" t="s">
        <v>43511</v>
      </c>
      <c r="X1138" t="s">
        <v>47306</v>
      </c>
    </row>
    <row r="1139" spans="1:24">
      <c r="A1139">
        <f>HYPERLINK("https://www.philgeps.gov.ph/GEPSNONPILOT/Tender/SplashBidNoticeAbstractUI.aspx?menuIndex=3&amp;refID=7198797&amp;Result=3","7198797")</f>
        <v>0</v>
      </c>
      <c r="B1139" t="s">
        <v>238</v>
      </c>
      <c r="C1139" t="s">
        <v>4960</v>
      </c>
      <c r="D1139" t="s">
        <v>18993</v>
      </c>
      <c r="E1139" t="s">
        <v>20143</v>
      </c>
      <c r="F1139" t="s">
        <v>32606</v>
      </c>
      <c r="G1139" t="s">
        <v>32619</v>
      </c>
      <c r="H1139" t="s">
        <v>14201</v>
      </c>
      <c r="I1139" t="s">
        <v>9013</v>
      </c>
      <c r="J1139" t="s">
        <v>33625</v>
      </c>
      <c r="K1139" t="s">
        <v>42622</v>
      </c>
      <c r="M1139" t="s">
        <v>43357</v>
      </c>
      <c r="N1139" t="s">
        <v>47304</v>
      </c>
      <c r="O1139" t="s">
        <v>47305</v>
      </c>
      <c r="P1139">
        <v>0</v>
      </c>
      <c r="Q1139">
        <v>0</v>
      </c>
      <c r="R1139" t="s">
        <v>47307</v>
      </c>
      <c r="S1139" t="s">
        <v>47416</v>
      </c>
      <c r="T1139" t="s">
        <v>49123</v>
      </c>
      <c r="U1139" t="s">
        <v>50575</v>
      </c>
      <c r="V1139" t="s">
        <v>62749</v>
      </c>
      <c r="W1139" t="s">
        <v>43357</v>
      </c>
      <c r="X1139" t="s">
        <v>47306</v>
      </c>
    </row>
    <row r="1140" spans="1:24">
      <c r="A1140">
        <f>HYPERLINK("https://www.philgeps.gov.ph/GEPSNONPILOT/Tender/SplashBidNoticeAbstractUI.aspx?menuIndex=3&amp;refID=7198820&amp;Result=3","7198820")</f>
        <v>0</v>
      </c>
      <c r="B1140" t="s">
        <v>597</v>
      </c>
      <c r="C1140" t="s">
        <v>4961</v>
      </c>
      <c r="D1140" t="s">
        <v>18995</v>
      </c>
      <c r="E1140" t="s">
        <v>19380</v>
      </c>
      <c r="F1140" t="s">
        <v>32606</v>
      </c>
      <c r="G1140" t="s">
        <v>32619</v>
      </c>
      <c r="H1140" t="s">
        <v>14201</v>
      </c>
      <c r="I1140" t="s">
        <v>32691</v>
      </c>
      <c r="J1140" t="s">
        <v>33626</v>
      </c>
      <c r="K1140" t="s">
        <v>42632</v>
      </c>
      <c r="M1140" t="s">
        <v>43512</v>
      </c>
      <c r="N1140" t="s">
        <v>47304</v>
      </c>
      <c r="O1140" t="s">
        <v>47305</v>
      </c>
      <c r="P1140">
        <v>0</v>
      </c>
      <c r="Q1140">
        <v>0</v>
      </c>
      <c r="R1140" t="s">
        <v>47307</v>
      </c>
      <c r="S1140" t="s">
        <v>47416</v>
      </c>
      <c r="T1140" t="s">
        <v>48975</v>
      </c>
      <c r="U1140" t="s">
        <v>50576</v>
      </c>
      <c r="W1140" t="s">
        <v>43512</v>
      </c>
      <c r="X1140" t="s">
        <v>47306</v>
      </c>
    </row>
    <row r="1141" spans="1:24">
      <c r="A1141">
        <f>HYPERLINK("https://www.philgeps.gov.ph/GEPSNONPILOT/Tender/SplashBidNoticeAbstractUI.aspx?menuIndex=3&amp;refID=7198824&amp;Result=3","7198824")</f>
        <v>0</v>
      </c>
      <c r="B1141" t="s">
        <v>238</v>
      </c>
      <c r="C1141" t="s">
        <v>4962</v>
      </c>
      <c r="D1141" t="s">
        <v>18993</v>
      </c>
      <c r="E1141" t="s">
        <v>20144</v>
      </c>
      <c r="F1141" t="s">
        <v>32606</v>
      </c>
      <c r="G1141" t="s">
        <v>32619</v>
      </c>
      <c r="H1141" t="s">
        <v>14201</v>
      </c>
      <c r="I1141" t="s">
        <v>32683</v>
      </c>
      <c r="J1141" t="s">
        <v>33627</v>
      </c>
      <c r="K1141" t="s">
        <v>42622</v>
      </c>
      <c r="M1141" t="s">
        <v>43357</v>
      </c>
      <c r="N1141" t="s">
        <v>47304</v>
      </c>
      <c r="O1141" t="s">
        <v>47305</v>
      </c>
      <c r="P1141">
        <v>0</v>
      </c>
      <c r="Q1141">
        <v>0</v>
      </c>
      <c r="R1141" t="s">
        <v>47307</v>
      </c>
      <c r="S1141" t="s">
        <v>47416</v>
      </c>
      <c r="T1141" t="s">
        <v>49123</v>
      </c>
      <c r="U1141" t="s">
        <v>50577</v>
      </c>
      <c r="V1141" t="s">
        <v>62749</v>
      </c>
      <c r="W1141" t="s">
        <v>43357</v>
      </c>
      <c r="X1141" t="s">
        <v>47306</v>
      </c>
    </row>
    <row r="1142" spans="1:24">
      <c r="A1142">
        <f>HYPERLINK("https://www.philgeps.gov.ph/GEPSNONPILOT/Tender/SplashBidNoticeAbstractUI.aspx?menuIndex=3&amp;refID=7198818&amp;Result=3","7198818")</f>
        <v>0</v>
      </c>
      <c r="B1142" t="s">
        <v>325</v>
      </c>
      <c r="C1142" t="s">
        <v>4963</v>
      </c>
      <c r="D1142" t="s">
        <v>18992</v>
      </c>
      <c r="E1142" t="s">
        <v>20145</v>
      </c>
      <c r="F1142" t="s">
        <v>32606</v>
      </c>
      <c r="G1142" t="s">
        <v>32614</v>
      </c>
      <c r="H1142" t="s">
        <v>14201</v>
      </c>
      <c r="I1142" t="s">
        <v>32638</v>
      </c>
      <c r="J1142" t="s">
        <v>33628</v>
      </c>
      <c r="K1142" t="s">
        <v>42622</v>
      </c>
      <c r="M1142" t="s">
        <v>43227</v>
      </c>
      <c r="N1142" t="s">
        <v>47304</v>
      </c>
      <c r="O1142" t="s">
        <v>47305</v>
      </c>
      <c r="P1142">
        <v>0</v>
      </c>
      <c r="Q1142">
        <v>0</v>
      </c>
      <c r="R1142" t="s">
        <v>47307</v>
      </c>
      <c r="S1142" t="s">
        <v>47416</v>
      </c>
      <c r="T1142" t="s">
        <v>48975</v>
      </c>
      <c r="U1142" t="s">
        <v>50578</v>
      </c>
      <c r="W1142" t="s">
        <v>43227</v>
      </c>
      <c r="X1142" t="s">
        <v>47306</v>
      </c>
    </row>
    <row r="1143" spans="1:24">
      <c r="A1143">
        <f>HYPERLINK("https://www.philgeps.gov.ph/GEPSNONPILOT/Tender/SplashBidNoticeAbstractUI.aspx?menuIndex=3&amp;refID=7198823&amp;Result=3","7198823")</f>
        <v>0</v>
      </c>
      <c r="B1143" t="s">
        <v>598</v>
      </c>
      <c r="C1143" t="s">
        <v>4964</v>
      </c>
      <c r="D1143" t="s">
        <v>18992</v>
      </c>
      <c r="E1143" t="s">
        <v>20146</v>
      </c>
      <c r="F1143" t="s">
        <v>32606</v>
      </c>
      <c r="G1143" t="s">
        <v>32614</v>
      </c>
      <c r="H1143" t="s">
        <v>14201</v>
      </c>
      <c r="I1143" t="s">
        <v>6298</v>
      </c>
      <c r="J1143" t="s">
        <v>33629</v>
      </c>
      <c r="K1143" t="s">
        <v>42627</v>
      </c>
      <c r="M1143" t="s">
        <v>43513</v>
      </c>
      <c r="N1143" t="s">
        <v>47304</v>
      </c>
      <c r="O1143" t="s">
        <v>47305</v>
      </c>
      <c r="P1143">
        <v>0</v>
      </c>
      <c r="Q1143">
        <v>0</v>
      </c>
      <c r="R1143" t="s">
        <v>47307</v>
      </c>
      <c r="S1143" t="s">
        <v>47416</v>
      </c>
      <c r="T1143" t="s">
        <v>49041</v>
      </c>
      <c r="U1143" t="s">
        <v>50579</v>
      </c>
      <c r="W1143" t="s">
        <v>43513</v>
      </c>
      <c r="X1143" t="s">
        <v>47306</v>
      </c>
    </row>
    <row r="1144" spans="1:24">
      <c r="A1144">
        <f>HYPERLINK("https://www.philgeps.gov.ph/GEPSNONPILOT/Tender/SplashBidNoticeAbstractUI.aspx?menuIndex=3&amp;refID=7198817&amp;Result=3","7198817")</f>
        <v>0</v>
      </c>
      <c r="B1144" t="s">
        <v>587</v>
      </c>
      <c r="C1144" t="s">
        <v>4965</v>
      </c>
      <c r="D1144" t="s">
        <v>19023</v>
      </c>
      <c r="E1144" t="s">
        <v>20147</v>
      </c>
      <c r="F1144" t="s">
        <v>32606</v>
      </c>
      <c r="G1144" t="s">
        <v>32613</v>
      </c>
      <c r="H1144" t="s">
        <v>14201</v>
      </c>
      <c r="I1144" t="s">
        <v>6931</v>
      </c>
      <c r="J1144" t="s">
        <v>33630</v>
      </c>
      <c r="K1144" t="s">
        <v>42629</v>
      </c>
      <c r="M1144" t="s">
        <v>43502</v>
      </c>
      <c r="N1144" t="s">
        <v>47304</v>
      </c>
      <c r="O1144" t="s">
        <v>47305</v>
      </c>
      <c r="P1144">
        <v>0</v>
      </c>
      <c r="Q1144">
        <v>0</v>
      </c>
      <c r="R1144" t="s">
        <v>47307</v>
      </c>
      <c r="S1144" t="s">
        <v>47416</v>
      </c>
      <c r="T1144" t="s">
        <v>48996</v>
      </c>
      <c r="U1144" t="s">
        <v>50580</v>
      </c>
      <c r="W1144" t="s">
        <v>43502</v>
      </c>
      <c r="X1144" t="s">
        <v>47306</v>
      </c>
    </row>
    <row r="1145" spans="1:24">
      <c r="A1145">
        <f>HYPERLINK("https://www.philgeps.gov.ph/GEPSNONPILOT/Tender/SplashBidNoticeAbstractUI.aspx?menuIndex=3&amp;refID=7198795&amp;Result=3","7198795")</f>
        <v>0</v>
      </c>
      <c r="B1145" t="s">
        <v>542</v>
      </c>
      <c r="C1145" t="s">
        <v>4966</v>
      </c>
      <c r="D1145" t="s">
        <v>19023</v>
      </c>
      <c r="E1145" t="s">
        <v>20148</v>
      </c>
      <c r="F1145" t="s">
        <v>32606</v>
      </c>
      <c r="G1145" t="s">
        <v>32619</v>
      </c>
      <c r="H1145" t="s">
        <v>14201</v>
      </c>
      <c r="I1145" t="s">
        <v>4678</v>
      </c>
      <c r="J1145" t="s">
        <v>32833</v>
      </c>
      <c r="K1145" t="s">
        <v>42636</v>
      </c>
      <c r="M1145" t="s">
        <v>43456</v>
      </c>
      <c r="N1145" t="s">
        <v>47304</v>
      </c>
      <c r="O1145" t="s">
        <v>47305</v>
      </c>
      <c r="P1145">
        <v>0</v>
      </c>
      <c r="Q1145">
        <v>0</v>
      </c>
      <c r="R1145" t="s">
        <v>47307</v>
      </c>
      <c r="S1145" t="s">
        <v>47416</v>
      </c>
      <c r="T1145" t="s">
        <v>49015</v>
      </c>
      <c r="U1145" t="s">
        <v>50581</v>
      </c>
      <c r="V1145" t="s">
        <v>62783</v>
      </c>
      <c r="W1145" t="s">
        <v>43456</v>
      </c>
      <c r="X1145" t="s">
        <v>47306</v>
      </c>
    </row>
    <row r="1146" spans="1:24">
      <c r="A1146">
        <f>HYPERLINK("https://www.philgeps.gov.ph/GEPSNONPILOT/Tender/SplashBidNoticeAbstractUI.aspx?menuIndex=3&amp;refID=7198792&amp;Result=3","7198792")</f>
        <v>0</v>
      </c>
      <c r="B1146" t="s">
        <v>556</v>
      </c>
      <c r="C1146" t="s">
        <v>4967</v>
      </c>
      <c r="D1146" t="s">
        <v>18993</v>
      </c>
      <c r="E1146" t="s">
        <v>20149</v>
      </c>
      <c r="F1146" t="s">
        <v>32606</v>
      </c>
      <c r="G1146" t="s">
        <v>32613</v>
      </c>
      <c r="H1146" t="s">
        <v>32623</v>
      </c>
      <c r="I1146" t="s">
        <v>17648</v>
      </c>
      <c r="J1146" t="s">
        <v>33631</v>
      </c>
      <c r="K1146" t="s">
        <v>42646</v>
      </c>
      <c r="M1146" t="s">
        <v>43471</v>
      </c>
      <c r="N1146" t="s">
        <v>47304</v>
      </c>
      <c r="O1146" t="s">
        <v>47305</v>
      </c>
      <c r="P1146">
        <v>0</v>
      </c>
      <c r="Q1146">
        <v>0</v>
      </c>
      <c r="R1146" t="s">
        <v>47307</v>
      </c>
      <c r="S1146" t="s">
        <v>47416</v>
      </c>
      <c r="T1146" t="s">
        <v>48973</v>
      </c>
      <c r="U1146" t="s">
        <v>50582</v>
      </c>
      <c r="W1146" t="s">
        <v>43471</v>
      </c>
      <c r="X1146" t="s">
        <v>47306</v>
      </c>
    </row>
    <row r="1147" spans="1:24">
      <c r="A1147">
        <f>HYPERLINK("https://www.philgeps.gov.ph/GEPSNONPILOT/Tender/SplashBidNoticeAbstractUI.aspx?menuIndex=3&amp;refID=7198815&amp;Result=3","7198815")</f>
        <v>0</v>
      </c>
      <c r="B1147" t="s">
        <v>599</v>
      </c>
      <c r="C1147" t="s">
        <v>4968</v>
      </c>
      <c r="D1147" t="s">
        <v>18994</v>
      </c>
      <c r="E1147" t="s">
        <v>20150</v>
      </c>
      <c r="F1147" t="s">
        <v>32606</v>
      </c>
      <c r="G1147" t="s">
        <v>32619</v>
      </c>
      <c r="H1147" t="s">
        <v>14201</v>
      </c>
      <c r="I1147" t="s">
        <v>4120</v>
      </c>
      <c r="J1147" t="s">
        <v>33632</v>
      </c>
      <c r="K1147" t="s">
        <v>42623</v>
      </c>
      <c r="M1147" t="s">
        <v>43514</v>
      </c>
      <c r="N1147" t="s">
        <v>47304</v>
      </c>
      <c r="O1147" t="s">
        <v>47305</v>
      </c>
      <c r="P1147">
        <v>0</v>
      </c>
      <c r="Q1147">
        <v>0</v>
      </c>
      <c r="R1147" t="s">
        <v>47307</v>
      </c>
      <c r="S1147" t="s">
        <v>47416</v>
      </c>
      <c r="T1147" t="s">
        <v>49053</v>
      </c>
      <c r="U1147" t="s">
        <v>50583</v>
      </c>
      <c r="W1147" t="s">
        <v>43514</v>
      </c>
      <c r="X1147" t="s">
        <v>47306</v>
      </c>
    </row>
    <row r="1148" spans="1:24">
      <c r="A1148">
        <f>HYPERLINK("https://www.philgeps.gov.ph/GEPSNONPILOT/Tender/SplashBidNoticeAbstractUI.aspx?menuIndex=3&amp;refID=7198814&amp;Result=3","7198814")</f>
        <v>0</v>
      </c>
      <c r="B1148" t="s">
        <v>279</v>
      </c>
      <c r="C1148" t="s">
        <v>4969</v>
      </c>
      <c r="D1148" t="s">
        <v>19047</v>
      </c>
      <c r="E1148" t="s">
        <v>20151</v>
      </c>
      <c r="F1148" t="s">
        <v>32606</v>
      </c>
      <c r="G1148" t="s">
        <v>32614</v>
      </c>
      <c r="H1148" t="s">
        <v>14201</v>
      </c>
      <c r="I1148" t="s">
        <v>5233</v>
      </c>
      <c r="J1148" t="s">
        <v>33633</v>
      </c>
      <c r="K1148" t="s">
        <v>42622</v>
      </c>
      <c r="M1148" t="s">
        <v>43515</v>
      </c>
      <c r="N1148" t="s">
        <v>47304</v>
      </c>
      <c r="O1148" t="s">
        <v>47305</v>
      </c>
      <c r="P1148">
        <v>0</v>
      </c>
      <c r="Q1148">
        <v>0</v>
      </c>
      <c r="R1148" t="s">
        <v>47307</v>
      </c>
      <c r="S1148" t="s">
        <v>47416</v>
      </c>
      <c r="T1148" t="s">
        <v>49023</v>
      </c>
      <c r="U1148" t="s">
        <v>50584</v>
      </c>
      <c r="V1148" t="s">
        <v>62784</v>
      </c>
      <c r="W1148" t="s">
        <v>43515</v>
      </c>
      <c r="X1148" t="s">
        <v>47306</v>
      </c>
    </row>
    <row r="1149" spans="1:24">
      <c r="A1149">
        <f>HYPERLINK("https://www.philgeps.gov.ph/GEPSNONPILOT/Tender/SplashBidNoticeAbstractUI.aspx?menuIndex=3&amp;refID=7198821&amp;Result=3","7198821")</f>
        <v>0</v>
      </c>
      <c r="B1149" t="s">
        <v>480</v>
      </c>
      <c r="C1149" t="s">
        <v>4970</v>
      </c>
      <c r="D1149" t="s">
        <v>19011</v>
      </c>
      <c r="E1149" t="s">
        <v>20152</v>
      </c>
      <c r="F1149" t="s">
        <v>32606</v>
      </c>
      <c r="G1149" t="s">
        <v>32619</v>
      </c>
      <c r="H1149" t="s">
        <v>14201</v>
      </c>
      <c r="I1149" t="s">
        <v>4120</v>
      </c>
      <c r="J1149" t="s">
        <v>33634</v>
      </c>
      <c r="K1149" t="s">
        <v>42631</v>
      </c>
      <c r="M1149" t="s">
        <v>43391</v>
      </c>
      <c r="N1149" t="s">
        <v>47304</v>
      </c>
      <c r="O1149" t="s">
        <v>47305</v>
      </c>
      <c r="P1149">
        <v>0</v>
      </c>
      <c r="Q1149">
        <v>1</v>
      </c>
      <c r="R1149" t="s">
        <v>47307</v>
      </c>
      <c r="S1149" t="s">
        <v>47416</v>
      </c>
      <c r="T1149" t="s">
        <v>49010</v>
      </c>
      <c r="U1149" t="s">
        <v>50585</v>
      </c>
      <c r="W1149" t="s">
        <v>43391</v>
      </c>
      <c r="X1149" t="s">
        <v>47306</v>
      </c>
    </row>
    <row r="1150" spans="1:24">
      <c r="A1150">
        <f>HYPERLINK("https://www.philgeps.gov.ph/GEPSNONPILOT/Tender/SplashBidNoticeAbstractUI.aspx?menuIndex=3&amp;refID=7198852&amp;Result=3","7198852")</f>
        <v>0</v>
      </c>
      <c r="B1150" t="s">
        <v>600</v>
      </c>
      <c r="C1150" t="s">
        <v>4971</v>
      </c>
      <c r="D1150" t="s">
        <v>19010</v>
      </c>
      <c r="E1150" t="s">
        <v>20153</v>
      </c>
      <c r="F1150" t="s">
        <v>32606</v>
      </c>
      <c r="G1150" t="s">
        <v>32614</v>
      </c>
      <c r="H1150" t="s">
        <v>14201</v>
      </c>
      <c r="I1150" t="s">
        <v>6007</v>
      </c>
      <c r="J1150" t="s">
        <v>33441</v>
      </c>
      <c r="K1150" t="s">
        <v>42674</v>
      </c>
      <c r="M1150" t="s">
        <v>43516</v>
      </c>
      <c r="N1150" t="s">
        <v>47304</v>
      </c>
      <c r="O1150" t="s">
        <v>47305</v>
      </c>
      <c r="P1150">
        <v>0</v>
      </c>
      <c r="Q1150">
        <v>0</v>
      </c>
      <c r="R1150" t="s">
        <v>47307</v>
      </c>
      <c r="S1150" t="s">
        <v>47416</v>
      </c>
      <c r="T1150" t="s">
        <v>49015</v>
      </c>
      <c r="U1150" t="s">
        <v>50586</v>
      </c>
      <c r="V1150" t="s">
        <v>62785</v>
      </c>
      <c r="W1150" t="s">
        <v>43516</v>
      </c>
      <c r="X1150" t="s">
        <v>47306</v>
      </c>
    </row>
    <row r="1151" spans="1:24">
      <c r="A1151">
        <f>HYPERLINK("https://www.philgeps.gov.ph/GEPSNONPILOT/Tender/SplashBidNoticeAbstractUI.aspx?menuIndex=3&amp;refID=7198851&amp;Result=3","7198851")</f>
        <v>0</v>
      </c>
      <c r="B1151" t="s">
        <v>601</v>
      </c>
      <c r="C1151" t="s">
        <v>4972</v>
      </c>
      <c r="D1151" t="s">
        <v>19024</v>
      </c>
      <c r="E1151" t="s">
        <v>20154</v>
      </c>
      <c r="F1151" t="s">
        <v>32606</v>
      </c>
      <c r="G1151" t="s">
        <v>32613</v>
      </c>
      <c r="H1151" t="s">
        <v>14201</v>
      </c>
      <c r="I1151" t="s">
        <v>6931</v>
      </c>
      <c r="J1151" t="s">
        <v>33635</v>
      </c>
      <c r="K1151" t="s">
        <v>42632</v>
      </c>
      <c r="M1151" t="s">
        <v>43517</v>
      </c>
      <c r="N1151" t="s">
        <v>47304</v>
      </c>
      <c r="O1151" t="s">
        <v>47305</v>
      </c>
      <c r="P1151">
        <v>0</v>
      </c>
      <c r="Q1151">
        <v>0</v>
      </c>
      <c r="R1151" t="s">
        <v>47307</v>
      </c>
      <c r="S1151" t="s">
        <v>47416</v>
      </c>
      <c r="T1151" t="s">
        <v>48992</v>
      </c>
      <c r="U1151" t="s">
        <v>50587</v>
      </c>
      <c r="W1151" t="s">
        <v>43517</v>
      </c>
      <c r="X1151" t="s">
        <v>47306</v>
      </c>
    </row>
    <row r="1152" spans="1:24">
      <c r="A1152">
        <f>HYPERLINK("https://www.philgeps.gov.ph/GEPSNONPILOT/Tender/SplashBidNoticeAbstractUI.aspx?menuIndex=3&amp;refID=7198847&amp;Result=3","7198847")</f>
        <v>0</v>
      </c>
      <c r="B1152" t="s">
        <v>602</v>
      </c>
      <c r="C1152" t="s">
        <v>4973</v>
      </c>
      <c r="D1152" t="s">
        <v>19013</v>
      </c>
      <c r="E1152" t="s">
        <v>20123</v>
      </c>
      <c r="F1152" t="s">
        <v>32606</v>
      </c>
      <c r="G1152" t="s">
        <v>32613</v>
      </c>
      <c r="H1152" t="s">
        <v>32623</v>
      </c>
      <c r="I1152" t="s">
        <v>17648</v>
      </c>
      <c r="J1152" t="s">
        <v>33636</v>
      </c>
      <c r="K1152" t="s">
        <v>42698</v>
      </c>
      <c r="M1152" t="s">
        <v>43518</v>
      </c>
      <c r="N1152" t="s">
        <v>47304</v>
      </c>
      <c r="O1152" t="s">
        <v>47305</v>
      </c>
      <c r="P1152">
        <v>0</v>
      </c>
      <c r="Q1152">
        <v>0</v>
      </c>
      <c r="R1152" t="s">
        <v>47307</v>
      </c>
      <c r="S1152" t="s">
        <v>47416</v>
      </c>
      <c r="T1152" t="s">
        <v>49155</v>
      </c>
      <c r="U1152" t="s">
        <v>50588</v>
      </c>
      <c r="W1152" t="s">
        <v>43518</v>
      </c>
      <c r="X1152" t="s">
        <v>47306</v>
      </c>
    </row>
    <row r="1153" spans="1:24">
      <c r="A1153">
        <f>HYPERLINK("https://www.philgeps.gov.ph/GEPSNONPILOT/Tender/SplashBidNoticeAbstractUI.aspx?menuIndex=3&amp;refID=7198816&amp;Result=3","7198816")</f>
        <v>0</v>
      </c>
      <c r="B1153" t="s">
        <v>603</v>
      </c>
      <c r="C1153" t="s">
        <v>4974</v>
      </c>
      <c r="D1153" t="s">
        <v>19027</v>
      </c>
      <c r="E1153" t="s">
        <v>20155</v>
      </c>
      <c r="F1153" t="s">
        <v>32606</v>
      </c>
      <c r="G1153" t="s">
        <v>32613</v>
      </c>
      <c r="H1153" t="s">
        <v>32623</v>
      </c>
      <c r="I1153" t="s">
        <v>17648</v>
      </c>
      <c r="J1153" t="s">
        <v>33637</v>
      </c>
      <c r="K1153" t="s">
        <v>42638</v>
      </c>
      <c r="M1153" t="s">
        <v>43519</v>
      </c>
      <c r="N1153" t="s">
        <v>47304</v>
      </c>
      <c r="O1153" t="s">
        <v>47305</v>
      </c>
      <c r="P1153">
        <v>0</v>
      </c>
      <c r="Q1153">
        <v>0</v>
      </c>
      <c r="R1153" t="s">
        <v>47307</v>
      </c>
      <c r="S1153" t="s">
        <v>47416</v>
      </c>
      <c r="T1153" t="s">
        <v>49129</v>
      </c>
      <c r="U1153" t="s">
        <v>50589</v>
      </c>
      <c r="W1153" t="s">
        <v>43519</v>
      </c>
      <c r="X1153" t="s">
        <v>47306</v>
      </c>
    </row>
    <row r="1154" spans="1:24">
      <c r="A1154">
        <f>HYPERLINK("https://www.philgeps.gov.ph/GEPSNONPILOT/Tender/SplashBidNoticeAbstractUI.aspx?menuIndex=3&amp;refID=7198844&amp;Result=3","7198844")</f>
        <v>0</v>
      </c>
      <c r="B1154" t="s">
        <v>604</v>
      </c>
      <c r="C1154" t="s">
        <v>4975</v>
      </c>
      <c r="D1154" t="s">
        <v>19010</v>
      </c>
      <c r="E1154" t="s">
        <v>20156</v>
      </c>
      <c r="F1154" t="s">
        <v>32606</v>
      </c>
      <c r="G1154" t="s">
        <v>32613</v>
      </c>
      <c r="H1154" t="s">
        <v>14201</v>
      </c>
      <c r="I1154" t="s">
        <v>32632</v>
      </c>
      <c r="J1154" t="s">
        <v>33638</v>
      </c>
      <c r="K1154" t="s">
        <v>42630</v>
      </c>
      <c r="M1154" t="s">
        <v>43520</v>
      </c>
      <c r="N1154" t="s">
        <v>47304</v>
      </c>
      <c r="O1154" t="s">
        <v>47305</v>
      </c>
      <c r="P1154">
        <v>0</v>
      </c>
      <c r="Q1154">
        <v>0</v>
      </c>
      <c r="R1154" t="s">
        <v>47307</v>
      </c>
      <c r="S1154" t="s">
        <v>47416</v>
      </c>
      <c r="T1154" t="s">
        <v>49017</v>
      </c>
      <c r="U1154" t="s">
        <v>50590</v>
      </c>
      <c r="W1154" t="s">
        <v>43520</v>
      </c>
      <c r="X1154" t="s">
        <v>47306</v>
      </c>
    </row>
    <row r="1155" spans="1:24">
      <c r="A1155">
        <f>HYPERLINK("https://www.philgeps.gov.ph/GEPSNONPILOT/Tender/SplashBidNoticeAbstractUI.aspx?menuIndex=3&amp;refID=7198819&amp;Result=3","7198819")</f>
        <v>0</v>
      </c>
      <c r="B1155" t="s">
        <v>586</v>
      </c>
      <c r="C1155" t="s">
        <v>4976</v>
      </c>
      <c r="E1155" t="s">
        <v>20157</v>
      </c>
      <c r="F1155" t="s">
        <v>32606</v>
      </c>
      <c r="G1155" t="s">
        <v>32613</v>
      </c>
      <c r="H1155" t="s">
        <v>32623</v>
      </c>
      <c r="I1155" t="s">
        <v>17648</v>
      </c>
      <c r="J1155" t="s">
        <v>33639</v>
      </c>
      <c r="K1155" t="s">
        <v>42699</v>
      </c>
      <c r="M1155" t="s">
        <v>43501</v>
      </c>
      <c r="N1155" t="s">
        <v>47304</v>
      </c>
      <c r="O1155" t="s">
        <v>47305</v>
      </c>
      <c r="P1155">
        <v>0</v>
      </c>
      <c r="Q1155">
        <v>0</v>
      </c>
      <c r="R1155" t="s">
        <v>47307</v>
      </c>
      <c r="S1155" t="s">
        <v>47416</v>
      </c>
      <c r="T1155" t="s">
        <v>49152</v>
      </c>
      <c r="U1155" t="s">
        <v>50591</v>
      </c>
      <c r="W1155" t="s">
        <v>43501</v>
      </c>
      <c r="X1155" t="s">
        <v>47306</v>
      </c>
    </row>
    <row r="1156" spans="1:24">
      <c r="A1156">
        <f>HYPERLINK("https://www.philgeps.gov.ph/GEPSNONPILOT/Tender/SplashBidNoticeAbstractUI.aspx?menuIndex=3&amp;refID=7198831&amp;Result=3","7198831")</f>
        <v>0</v>
      </c>
      <c r="B1156" t="s">
        <v>586</v>
      </c>
      <c r="C1156" t="s">
        <v>4977</v>
      </c>
      <c r="E1156" t="s">
        <v>20158</v>
      </c>
      <c r="F1156" t="s">
        <v>32606</v>
      </c>
      <c r="G1156" t="s">
        <v>32613</v>
      </c>
      <c r="H1156" t="s">
        <v>32623</v>
      </c>
      <c r="I1156" t="s">
        <v>17648</v>
      </c>
      <c r="J1156" t="s">
        <v>33640</v>
      </c>
      <c r="K1156" t="s">
        <v>42700</v>
      </c>
      <c r="M1156" t="s">
        <v>43501</v>
      </c>
      <c r="N1156" t="s">
        <v>47304</v>
      </c>
      <c r="O1156" t="s">
        <v>47305</v>
      </c>
      <c r="P1156">
        <v>0</v>
      </c>
      <c r="Q1156">
        <v>0</v>
      </c>
      <c r="R1156" t="s">
        <v>47307</v>
      </c>
      <c r="S1156" t="s">
        <v>47416</v>
      </c>
      <c r="T1156" t="s">
        <v>49152</v>
      </c>
      <c r="U1156" t="s">
        <v>50592</v>
      </c>
      <c r="W1156" t="s">
        <v>43501</v>
      </c>
      <c r="X1156" t="s">
        <v>47306</v>
      </c>
    </row>
    <row r="1157" spans="1:24">
      <c r="A1157">
        <f>HYPERLINK("https://www.philgeps.gov.ph/GEPSNONPILOT/Tender/SplashBidNoticeAbstractUI.aspx?menuIndex=3&amp;refID=7198843&amp;Result=3","7198843")</f>
        <v>0</v>
      </c>
      <c r="B1157" t="s">
        <v>605</v>
      </c>
      <c r="C1157" t="s">
        <v>4978</v>
      </c>
      <c r="D1157" t="s">
        <v>19024</v>
      </c>
      <c r="E1157" t="s">
        <v>20159</v>
      </c>
      <c r="F1157" t="s">
        <v>32606</v>
      </c>
      <c r="G1157" t="s">
        <v>32613</v>
      </c>
      <c r="H1157" t="s">
        <v>32623</v>
      </c>
      <c r="I1157" t="s">
        <v>17648</v>
      </c>
      <c r="J1157" t="s">
        <v>32770</v>
      </c>
      <c r="K1157" t="s">
        <v>42636</v>
      </c>
      <c r="M1157" t="s">
        <v>43521</v>
      </c>
      <c r="N1157" t="s">
        <v>47304</v>
      </c>
      <c r="O1157" t="s">
        <v>47305</v>
      </c>
      <c r="P1157">
        <v>0</v>
      </c>
      <c r="Q1157">
        <v>0</v>
      </c>
      <c r="R1157" t="s">
        <v>47307</v>
      </c>
      <c r="S1157" t="s">
        <v>47416</v>
      </c>
      <c r="T1157" t="s">
        <v>48996</v>
      </c>
      <c r="U1157" t="s">
        <v>50593</v>
      </c>
      <c r="W1157" t="s">
        <v>43521</v>
      </c>
      <c r="X1157" t="s">
        <v>47306</v>
      </c>
    </row>
    <row r="1158" spans="1:24">
      <c r="A1158">
        <f>HYPERLINK("https://www.philgeps.gov.ph/GEPSNONPILOT/Tender/SplashBidNoticeAbstractUI.aspx?menuIndex=3&amp;refID=7198841&amp;Result=3","7198841")</f>
        <v>0</v>
      </c>
      <c r="B1158" t="s">
        <v>606</v>
      </c>
      <c r="C1158" t="s">
        <v>4979</v>
      </c>
      <c r="D1158" t="s">
        <v>19027</v>
      </c>
      <c r="E1158" t="s">
        <v>20160</v>
      </c>
      <c r="F1158" t="s">
        <v>32606</v>
      </c>
      <c r="G1158" t="s">
        <v>32614</v>
      </c>
      <c r="H1158" t="s">
        <v>14201</v>
      </c>
      <c r="I1158" t="s">
        <v>32691</v>
      </c>
      <c r="J1158" t="s">
        <v>33075</v>
      </c>
      <c r="K1158" t="s">
        <v>42623</v>
      </c>
      <c r="M1158" t="s">
        <v>43522</v>
      </c>
      <c r="N1158" t="s">
        <v>47304</v>
      </c>
      <c r="O1158" t="s">
        <v>47305</v>
      </c>
      <c r="P1158">
        <v>0</v>
      </c>
      <c r="Q1158">
        <v>0</v>
      </c>
      <c r="R1158" t="s">
        <v>47307</v>
      </c>
      <c r="S1158" t="s">
        <v>47416</v>
      </c>
      <c r="T1158" t="s">
        <v>49100</v>
      </c>
      <c r="U1158" t="s">
        <v>50594</v>
      </c>
      <c r="W1158" t="s">
        <v>64441</v>
      </c>
      <c r="X1158" t="s">
        <v>47306</v>
      </c>
    </row>
    <row r="1159" spans="1:24">
      <c r="A1159">
        <f>HYPERLINK("https://www.philgeps.gov.ph/GEPSNONPILOT/Tender/SplashBidNoticeAbstractUI.aspx?menuIndex=3&amp;refID=7198840&amp;Result=3","7198840")</f>
        <v>0</v>
      </c>
      <c r="B1159" t="s">
        <v>566</v>
      </c>
      <c r="C1159" t="s">
        <v>4920</v>
      </c>
      <c r="D1159" t="s">
        <v>18988</v>
      </c>
      <c r="E1159" t="s">
        <v>19522</v>
      </c>
      <c r="F1159" t="s">
        <v>32606</v>
      </c>
      <c r="G1159" t="s">
        <v>32614</v>
      </c>
      <c r="H1159" t="s">
        <v>14201</v>
      </c>
      <c r="I1159" t="s">
        <v>4114</v>
      </c>
      <c r="J1159" t="s">
        <v>33288</v>
      </c>
      <c r="K1159" t="s">
        <v>42622</v>
      </c>
      <c r="M1159" t="s">
        <v>43481</v>
      </c>
      <c r="N1159" t="s">
        <v>47304</v>
      </c>
      <c r="O1159" t="s">
        <v>47305</v>
      </c>
      <c r="P1159">
        <v>0</v>
      </c>
      <c r="Q1159">
        <v>0</v>
      </c>
      <c r="R1159" t="s">
        <v>47307</v>
      </c>
      <c r="S1159" t="s">
        <v>47416</v>
      </c>
      <c r="T1159" t="s">
        <v>48972</v>
      </c>
      <c r="U1159" t="s">
        <v>50595</v>
      </c>
      <c r="V1159" t="s">
        <v>62778</v>
      </c>
      <c r="W1159" t="s">
        <v>43481</v>
      </c>
      <c r="X1159" t="s">
        <v>47306</v>
      </c>
    </row>
    <row r="1160" spans="1:24">
      <c r="A1160">
        <f>HYPERLINK("https://www.philgeps.gov.ph/GEPSNONPILOT/Tender/SplashBidNoticeAbstractUI.aspx?menuIndex=3&amp;refID=7198838&amp;Result=3","7198838")</f>
        <v>0</v>
      </c>
      <c r="B1160" t="s">
        <v>594</v>
      </c>
      <c r="C1160" t="s">
        <v>4980</v>
      </c>
      <c r="D1160" t="s">
        <v>19040</v>
      </c>
      <c r="E1160" t="s">
        <v>20161</v>
      </c>
      <c r="F1160" t="s">
        <v>32606</v>
      </c>
      <c r="G1160" t="s">
        <v>32614</v>
      </c>
      <c r="H1160" t="s">
        <v>14201</v>
      </c>
      <c r="I1160" t="s">
        <v>32678</v>
      </c>
      <c r="J1160" t="s">
        <v>32820</v>
      </c>
      <c r="K1160" t="s">
        <v>42623</v>
      </c>
      <c r="M1160" t="s">
        <v>43523</v>
      </c>
      <c r="N1160" t="s">
        <v>47304</v>
      </c>
      <c r="O1160" t="s">
        <v>47305</v>
      </c>
      <c r="P1160">
        <v>0</v>
      </c>
      <c r="Q1160">
        <v>0</v>
      </c>
      <c r="R1160" t="s">
        <v>47307</v>
      </c>
      <c r="S1160" t="s">
        <v>47416</v>
      </c>
      <c r="T1160" t="s">
        <v>49041</v>
      </c>
      <c r="U1160" t="s">
        <v>50596</v>
      </c>
      <c r="W1160" t="s">
        <v>43523</v>
      </c>
      <c r="X1160" t="s">
        <v>47306</v>
      </c>
    </row>
    <row r="1161" spans="1:24">
      <c r="A1161">
        <f>HYPERLINK("https://www.philgeps.gov.ph/GEPSNONPILOT/Tender/SplashBidNoticeAbstractUI.aspx?menuIndex=3&amp;refID=7198772&amp;Result=3","7198772")</f>
        <v>0</v>
      </c>
      <c r="B1161" t="s">
        <v>586</v>
      </c>
      <c r="C1161" t="s">
        <v>4981</v>
      </c>
      <c r="E1161" t="s">
        <v>20162</v>
      </c>
      <c r="F1161" t="s">
        <v>32606</v>
      </c>
      <c r="G1161" t="s">
        <v>32613</v>
      </c>
      <c r="H1161" t="s">
        <v>32623</v>
      </c>
      <c r="I1161" t="s">
        <v>17648</v>
      </c>
      <c r="J1161" t="s">
        <v>33641</v>
      </c>
      <c r="K1161" t="s">
        <v>42697</v>
      </c>
      <c r="M1161" t="s">
        <v>43501</v>
      </c>
      <c r="N1161" t="s">
        <v>47304</v>
      </c>
      <c r="O1161" t="s">
        <v>47305</v>
      </c>
      <c r="P1161">
        <v>0</v>
      </c>
      <c r="Q1161">
        <v>0</v>
      </c>
      <c r="R1161" t="s">
        <v>47307</v>
      </c>
      <c r="S1161" t="s">
        <v>47416</v>
      </c>
      <c r="T1161" t="s">
        <v>49152</v>
      </c>
      <c r="U1161" t="s">
        <v>50597</v>
      </c>
      <c r="W1161" t="s">
        <v>43501</v>
      </c>
      <c r="X1161" t="s">
        <v>47306</v>
      </c>
    </row>
    <row r="1162" spans="1:24">
      <c r="A1162">
        <f>HYPERLINK("https://www.philgeps.gov.ph/GEPSNONPILOT/Tender/SplashBidNoticeAbstractUI.aspx?menuIndex=3&amp;refID=7198864&amp;Result=3","7198864")</f>
        <v>0</v>
      </c>
      <c r="B1162" t="s">
        <v>173</v>
      </c>
      <c r="C1162" t="s">
        <v>4982</v>
      </c>
      <c r="E1162" t="s">
        <v>20163</v>
      </c>
      <c r="F1162" t="s">
        <v>32606</v>
      </c>
      <c r="G1162" t="s">
        <v>32613</v>
      </c>
      <c r="H1162" t="s">
        <v>14201</v>
      </c>
      <c r="I1162" t="s">
        <v>32626</v>
      </c>
      <c r="J1162" t="s">
        <v>33642</v>
      </c>
      <c r="K1162" t="s">
        <v>42624</v>
      </c>
      <c r="M1162" t="s">
        <v>43074</v>
      </c>
      <c r="N1162" t="s">
        <v>47304</v>
      </c>
      <c r="O1162" t="s">
        <v>47305</v>
      </c>
      <c r="P1162">
        <v>0</v>
      </c>
      <c r="Q1162">
        <v>0</v>
      </c>
      <c r="R1162" t="s">
        <v>47307</v>
      </c>
      <c r="S1162" t="s">
        <v>47416</v>
      </c>
      <c r="T1162" t="s">
        <v>49116</v>
      </c>
      <c r="U1162" t="s">
        <v>50542</v>
      </c>
      <c r="W1162" t="s">
        <v>43074</v>
      </c>
      <c r="X1162" t="s">
        <v>47306</v>
      </c>
    </row>
    <row r="1163" spans="1:24">
      <c r="A1163">
        <f>HYPERLINK("https://www.philgeps.gov.ph/GEPSNONPILOT/Tender/SplashBidNoticeAbstractUI.aspx?menuIndex=3&amp;refID=7198848&amp;Result=3","7198848")</f>
        <v>0</v>
      </c>
      <c r="B1163" t="s">
        <v>586</v>
      </c>
      <c r="C1163" t="s">
        <v>4983</v>
      </c>
      <c r="E1163" t="s">
        <v>20164</v>
      </c>
      <c r="F1163" t="s">
        <v>32606</v>
      </c>
      <c r="G1163" t="s">
        <v>32613</v>
      </c>
      <c r="H1163" t="s">
        <v>32623</v>
      </c>
      <c r="I1163" t="s">
        <v>17648</v>
      </c>
      <c r="J1163" t="s">
        <v>33643</v>
      </c>
      <c r="K1163" t="s">
        <v>42701</v>
      </c>
      <c r="M1163" t="s">
        <v>43501</v>
      </c>
      <c r="N1163" t="s">
        <v>47304</v>
      </c>
      <c r="O1163" t="s">
        <v>47305</v>
      </c>
      <c r="P1163">
        <v>0</v>
      </c>
      <c r="Q1163">
        <v>0</v>
      </c>
      <c r="R1163" t="s">
        <v>47307</v>
      </c>
      <c r="S1163" t="s">
        <v>47416</v>
      </c>
      <c r="T1163" t="s">
        <v>49152</v>
      </c>
      <c r="U1163" t="s">
        <v>50598</v>
      </c>
      <c r="W1163" t="s">
        <v>43501</v>
      </c>
      <c r="X1163" t="s">
        <v>47306</v>
      </c>
    </row>
    <row r="1164" spans="1:24">
      <c r="A1164">
        <f>HYPERLINK("https://www.philgeps.gov.ph/GEPSNONPILOT/Tender/SplashBidNoticeAbstractUI.aspx?menuIndex=3&amp;refID=7198876&amp;Result=3","7198876")</f>
        <v>0</v>
      </c>
      <c r="B1164" t="s">
        <v>607</v>
      </c>
      <c r="C1164" t="s">
        <v>4984</v>
      </c>
      <c r="D1164" t="s">
        <v>19040</v>
      </c>
      <c r="E1164" t="s">
        <v>20165</v>
      </c>
      <c r="F1164" t="s">
        <v>32606</v>
      </c>
      <c r="G1164" t="s">
        <v>32615</v>
      </c>
      <c r="H1164" t="s">
        <v>32623</v>
      </c>
      <c r="I1164" t="s">
        <v>17648</v>
      </c>
      <c r="J1164" t="s">
        <v>32772</v>
      </c>
      <c r="K1164" t="s">
        <v>42682</v>
      </c>
      <c r="M1164" t="s">
        <v>43524</v>
      </c>
      <c r="N1164" t="s">
        <v>47304</v>
      </c>
      <c r="O1164" t="s">
        <v>47305</v>
      </c>
      <c r="P1164">
        <v>0</v>
      </c>
      <c r="Q1164">
        <v>0</v>
      </c>
      <c r="R1164" t="s">
        <v>47307</v>
      </c>
      <c r="S1164" t="s">
        <v>47416</v>
      </c>
      <c r="T1164" t="s">
        <v>48986</v>
      </c>
      <c r="U1164" t="s">
        <v>50599</v>
      </c>
      <c r="W1164" t="s">
        <v>43524</v>
      </c>
      <c r="X1164" t="s">
        <v>47306</v>
      </c>
    </row>
    <row r="1165" spans="1:24">
      <c r="A1165">
        <f>HYPERLINK("https://www.philgeps.gov.ph/GEPSNONPILOT/Tender/SplashBidNoticeAbstractUI.aspx?menuIndex=3&amp;refID=7198846&amp;Result=3","7198846")</f>
        <v>0</v>
      </c>
      <c r="B1165" t="s">
        <v>608</v>
      </c>
      <c r="C1165" t="s">
        <v>4985</v>
      </c>
      <c r="D1165" t="s">
        <v>18993</v>
      </c>
      <c r="E1165" t="s">
        <v>20166</v>
      </c>
      <c r="F1165" t="s">
        <v>32606</v>
      </c>
      <c r="G1165" t="s">
        <v>32614</v>
      </c>
      <c r="H1165" t="s">
        <v>14201</v>
      </c>
      <c r="I1165" t="s">
        <v>32652</v>
      </c>
      <c r="J1165" t="s">
        <v>33644</v>
      </c>
      <c r="K1165" t="s">
        <v>42688</v>
      </c>
      <c r="M1165" t="s">
        <v>43525</v>
      </c>
      <c r="N1165" t="s">
        <v>47304</v>
      </c>
      <c r="O1165" t="s">
        <v>47305</v>
      </c>
      <c r="P1165">
        <v>0</v>
      </c>
      <c r="Q1165">
        <v>0</v>
      </c>
      <c r="R1165" t="s">
        <v>47307</v>
      </c>
      <c r="S1165" t="s">
        <v>47416</v>
      </c>
      <c r="T1165" t="s">
        <v>49108</v>
      </c>
      <c r="U1165" t="s">
        <v>50600</v>
      </c>
      <c r="V1165" t="s">
        <v>62786</v>
      </c>
      <c r="W1165" t="s">
        <v>43525</v>
      </c>
      <c r="X1165" t="s">
        <v>47306</v>
      </c>
    </row>
    <row r="1166" spans="1:24">
      <c r="A1166">
        <f>HYPERLINK("https://www.philgeps.gov.ph/GEPSNONPILOT/Tender/SplashBidNoticeAbstractUI.aspx?menuIndex=3&amp;refID=7198875&amp;Result=3","7198875")</f>
        <v>0</v>
      </c>
      <c r="B1166" t="s">
        <v>609</v>
      </c>
      <c r="C1166" t="s">
        <v>4986</v>
      </c>
      <c r="D1166" t="s">
        <v>19024</v>
      </c>
      <c r="E1166" t="s">
        <v>20167</v>
      </c>
      <c r="F1166" t="s">
        <v>32606</v>
      </c>
      <c r="G1166" t="s">
        <v>32614</v>
      </c>
      <c r="H1166" t="s">
        <v>14201</v>
      </c>
      <c r="I1166" t="s">
        <v>32638</v>
      </c>
      <c r="J1166" t="s">
        <v>32799</v>
      </c>
      <c r="K1166" t="s">
        <v>42624</v>
      </c>
      <c r="M1166" t="s">
        <v>43526</v>
      </c>
      <c r="N1166" t="s">
        <v>47304</v>
      </c>
      <c r="O1166" t="s">
        <v>47305</v>
      </c>
      <c r="P1166">
        <v>0</v>
      </c>
      <c r="Q1166">
        <v>0</v>
      </c>
      <c r="R1166" t="s">
        <v>47307</v>
      </c>
      <c r="S1166" t="s">
        <v>47416</v>
      </c>
      <c r="T1166" t="s">
        <v>48972</v>
      </c>
      <c r="U1166" t="s">
        <v>50601</v>
      </c>
      <c r="W1166" t="s">
        <v>43526</v>
      </c>
      <c r="X1166" t="s">
        <v>47306</v>
      </c>
    </row>
    <row r="1167" spans="1:24">
      <c r="A1167">
        <f>HYPERLINK("https://www.philgeps.gov.ph/GEPSNONPILOT/Tender/SplashBidNoticeAbstractUI.aspx?menuIndex=3&amp;refID=7198845&amp;Result=3","7198845")</f>
        <v>0</v>
      </c>
      <c r="B1167" t="s">
        <v>400</v>
      </c>
      <c r="C1167" t="s">
        <v>4987</v>
      </c>
      <c r="D1167" t="s">
        <v>19002</v>
      </c>
      <c r="E1167" t="s">
        <v>20168</v>
      </c>
      <c r="F1167" t="s">
        <v>32606</v>
      </c>
      <c r="G1167" t="s">
        <v>32613</v>
      </c>
      <c r="H1167" t="s">
        <v>14201</v>
      </c>
      <c r="I1167" t="s">
        <v>6993</v>
      </c>
      <c r="J1167" t="s">
        <v>33645</v>
      </c>
      <c r="K1167" t="s">
        <v>42624</v>
      </c>
      <c r="M1167" t="s">
        <v>43303</v>
      </c>
      <c r="N1167" t="s">
        <v>47304</v>
      </c>
      <c r="O1167" t="s">
        <v>47305</v>
      </c>
      <c r="P1167">
        <v>0</v>
      </c>
      <c r="Q1167">
        <v>0</v>
      </c>
      <c r="R1167" t="s">
        <v>47307</v>
      </c>
      <c r="S1167" t="s">
        <v>47416</v>
      </c>
      <c r="T1167" t="s">
        <v>49101</v>
      </c>
      <c r="U1167" t="s">
        <v>50602</v>
      </c>
      <c r="W1167" t="s">
        <v>43303</v>
      </c>
      <c r="X1167" t="s">
        <v>47306</v>
      </c>
    </row>
    <row r="1168" spans="1:24">
      <c r="A1168">
        <f>HYPERLINK("https://www.philgeps.gov.ph/GEPSNONPILOT/Tender/SplashBidNoticeAbstractUI.aspx?menuIndex=3&amp;refID=7198863&amp;Result=3","7198863")</f>
        <v>0</v>
      </c>
      <c r="B1168" t="s">
        <v>610</v>
      </c>
      <c r="C1168" t="s">
        <v>4988</v>
      </c>
      <c r="D1168" t="s">
        <v>19044</v>
      </c>
      <c r="E1168" t="s">
        <v>20169</v>
      </c>
      <c r="F1168" t="s">
        <v>32606</v>
      </c>
      <c r="G1168" t="s">
        <v>32614</v>
      </c>
      <c r="H1168" t="s">
        <v>14201</v>
      </c>
      <c r="I1168" t="s">
        <v>7577</v>
      </c>
      <c r="J1168" t="s">
        <v>33646</v>
      </c>
      <c r="K1168" t="s">
        <v>42631</v>
      </c>
      <c r="M1168" t="s">
        <v>43527</v>
      </c>
      <c r="N1168" t="s">
        <v>47304</v>
      </c>
      <c r="O1168" t="s">
        <v>47305</v>
      </c>
      <c r="P1168">
        <v>0</v>
      </c>
      <c r="Q1168">
        <v>0</v>
      </c>
      <c r="R1168" t="s">
        <v>47307</v>
      </c>
      <c r="S1168" t="s">
        <v>47416</v>
      </c>
      <c r="T1168" t="s">
        <v>49016</v>
      </c>
      <c r="U1168" t="s">
        <v>50603</v>
      </c>
      <c r="W1168" t="s">
        <v>43527</v>
      </c>
      <c r="X1168" t="s">
        <v>47306</v>
      </c>
    </row>
    <row r="1169" spans="1:24">
      <c r="A1169">
        <f>HYPERLINK("https://www.philgeps.gov.ph/GEPSNONPILOT/Tender/SplashBidNoticeAbstractUI.aspx?menuIndex=3&amp;refID=7198871&amp;Result=3","7198871")</f>
        <v>0</v>
      </c>
      <c r="B1169" t="s">
        <v>106</v>
      </c>
      <c r="C1169" t="s">
        <v>4989</v>
      </c>
      <c r="D1169" t="s">
        <v>18994</v>
      </c>
      <c r="E1169" t="s">
        <v>20170</v>
      </c>
      <c r="F1169" t="s">
        <v>32606</v>
      </c>
      <c r="G1169" t="s">
        <v>32617</v>
      </c>
      <c r="H1169" t="s">
        <v>14201</v>
      </c>
      <c r="I1169" t="s">
        <v>4120</v>
      </c>
      <c r="J1169" t="s">
        <v>33647</v>
      </c>
      <c r="K1169" t="s">
        <v>42638</v>
      </c>
      <c r="M1169" t="s">
        <v>43528</v>
      </c>
      <c r="N1169" t="s">
        <v>47304</v>
      </c>
      <c r="O1169" t="s">
        <v>47305</v>
      </c>
      <c r="P1169">
        <v>0</v>
      </c>
      <c r="Q1169">
        <v>0</v>
      </c>
      <c r="R1169" t="s">
        <v>47307</v>
      </c>
      <c r="S1169" t="s">
        <v>47416</v>
      </c>
      <c r="T1169" t="s">
        <v>49108</v>
      </c>
      <c r="U1169" t="s">
        <v>50604</v>
      </c>
      <c r="V1169" t="s">
        <v>62787</v>
      </c>
      <c r="W1169" t="s">
        <v>43528</v>
      </c>
      <c r="X1169" t="s">
        <v>47306</v>
      </c>
    </row>
    <row r="1170" spans="1:24">
      <c r="A1170">
        <f>HYPERLINK("https://www.philgeps.gov.ph/GEPSNONPILOT/Tender/SplashBidNoticeAbstractUI.aspx?menuIndex=3&amp;refID=7198869&amp;Result=3","7198869")</f>
        <v>0</v>
      </c>
      <c r="B1170" t="s">
        <v>611</v>
      </c>
      <c r="C1170" t="s">
        <v>4990</v>
      </c>
      <c r="D1170" t="s">
        <v>18988</v>
      </c>
      <c r="E1170" t="s">
        <v>20171</v>
      </c>
      <c r="F1170" t="s">
        <v>32606</v>
      </c>
      <c r="G1170" t="s">
        <v>32619</v>
      </c>
      <c r="H1170" t="s">
        <v>14201</v>
      </c>
      <c r="I1170" t="s">
        <v>4114</v>
      </c>
      <c r="J1170" t="s">
        <v>33648</v>
      </c>
      <c r="K1170" t="s">
        <v>42622</v>
      </c>
      <c r="M1170" t="s">
        <v>43529</v>
      </c>
      <c r="N1170" t="s">
        <v>47304</v>
      </c>
      <c r="O1170" t="s">
        <v>47305</v>
      </c>
      <c r="P1170">
        <v>0</v>
      </c>
      <c r="Q1170">
        <v>0</v>
      </c>
      <c r="R1170" t="s">
        <v>47307</v>
      </c>
      <c r="S1170" t="s">
        <v>47416</v>
      </c>
      <c r="T1170" t="s">
        <v>49072</v>
      </c>
      <c r="U1170" t="s">
        <v>50605</v>
      </c>
      <c r="W1170" t="s">
        <v>43529</v>
      </c>
      <c r="X1170" t="s">
        <v>47306</v>
      </c>
    </row>
    <row r="1171" spans="1:24">
      <c r="A1171">
        <f>HYPERLINK("https://www.philgeps.gov.ph/GEPSNONPILOT/Tender/SplashBidNoticeAbstractUI.aspx?menuIndex=3&amp;refID=7198842&amp;Result=3","7198842")</f>
        <v>0</v>
      </c>
      <c r="B1171" t="s">
        <v>577</v>
      </c>
      <c r="C1171" t="s">
        <v>4991</v>
      </c>
      <c r="E1171" t="s">
        <v>20172</v>
      </c>
      <c r="F1171" t="s">
        <v>32606</v>
      </c>
      <c r="G1171" t="s">
        <v>32613</v>
      </c>
      <c r="H1171" t="s">
        <v>32623</v>
      </c>
      <c r="I1171" t="s">
        <v>17648</v>
      </c>
      <c r="J1171" t="s">
        <v>33649</v>
      </c>
      <c r="K1171" t="s">
        <v>42631</v>
      </c>
      <c r="M1171" t="s">
        <v>43492</v>
      </c>
      <c r="N1171" t="s">
        <v>47304</v>
      </c>
      <c r="O1171" t="s">
        <v>47305</v>
      </c>
      <c r="P1171">
        <v>0</v>
      </c>
      <c r="Q1171">
        <v>0</v>
      </c>
      <c r="R1171" t="s">
        <v>47307</v>
      </c>
      <c r="S1171" t="s">
        <v>47416</v>
      </c>
      <c r="T1171" t="s">
        <v>48995</v>
      </c>
      <c r="U1171" t="s">
        <v>50606</v>
      </c>
      <c r="V1171" t="s">
        <v>62781</v>
      </c>
      <c r="W1171" t="s">
        <v>43492</v>
      </c>
      <c r="X1171" t="s">
        <v>47306</v>
      </c>
    </row>
    <row r="1172" spans="1:24">
      <c r="A1172">
        <f>HYPERLINK("https://www.philgeps.gov.ph/GEPSNONPILOT/Tender/SplashBidNoticeAbstractUI.aspx?menuIndex=3&amp;refID=7198868&amp;Result=3","7198868")</f>
        <v>0</v>
      </c>
      <c r="B1172" t="s">
        <v>462</v>
      </c>
      <c r="C1172" t="s">
        <v>4992</v>
      </c>
      <c r="D1172" t="s">
        <v>19040</v>
      </c>
      <c r="E1172" t="s">
        <v>20173</v>
      </c>
      <c r="F1172" t="s">
        <v>32606</v>
      </c>
      <c r="G1172" t="s">
        <v>32614</v>
      </c>
      <c r="H1172" t="s">
        <v>14201</v>
      </c>
      <c r="I1172" t="s">
        <v>4678</v>
      </c>
      <c r="J1172" t="s">
        <v>33650</v>
      </c>
      <c r="K1172" t="s">
        <v>42631</v>
      </c>
      <c r="M1172" t="s">
        <v>43372</v>
      </c>
      <c r="N1172" t="s">
        <v>47304</v>
      </c>
      <c r="O1172" t="s">
        <v>47305</v>
      </c>
      <c r="P1172">
        <v>0</v>
      </c>
      <c r="Q1172">
        <v>0</v>
      </c>
      <c r="R1172" t="s">
        <v>47307</v>
      </c>
      <c r="S1172" t="s">
        <v>47416</v>
      </c>
      <c r="T1172" t="s">
        <v>49156</v>
      </c>
      <c r="U1172" t="s">
        <v>50607</v>
      </c>
      <c r="V1172" t="s">
        <v>62788</v>
      </c>
      <c r="W1172" t="s">
        <v>64442</v>
      </c>
      <c r="X1172" t="s">
        <v>47306</v>
      </c>
    </row>
    <row r="1173" spans="1:24">
      <c r="A1173">
        <f>HYPERLINK("https://www.philgeps.gov.ph/GEPSNONPILOT/Tender/SplashBidNoticeAbstractUI.aspx?menuIndex=3&amp;refID=7198867&amp;Result=3","7198867")</f>
        <v>0</v>
      </c>
      <c r="B1173" t="s">
        <v>586</v>
      </c>
      <c r="C1173" t="s">
        <v>4993</v>
      </c>
      <c r="E1173" t="s">
        <v>20174</v>
      </c>
      <c r="F1173" t="s">
        <v>32606</v>
      </c>
      <c r="G1173" t="s">
        <v>32613</v>
      </c>
      <c r="H1173" t="s">
        <v>32623</v>
      </c>
      <c r="I1173" t="s">
        <v>17648</v>
      </c>
      <c r="J1173" t="s">
        <v>33651</v>
      </c>
      <c r="K1173" t="s">
        <v>42646</v>
      </c>
      <c r="M1173" t="s">
        <v>43501</v>
      </c>
      <c r="N1173" t="s">
        <v>47304</v>
      </c>
      <c r="O1173" t="s">
        <v>47305</v>
      </c>
      <c r="P1173">
        <v>0</v>
      </c>
      <c r="Q1173">
        <v>0</v>
      </c>
      <c r="R1173" t="s">
        <v>47307</v>
      </c>
      <c r="S1173" t="s">
        <v>47416</v>
      </c>
      <c r="T1173" t="s">
        <v>49152</v>
      </c>
      <c r="U1173" t="s">
        <v>50608</v>
      </c>
      <c r="W1173" t="s">
        <v>43501</v>
      </c>
      <c r="X1173" t="s">
        <v>47306</v>
      </c>
    </row>
    <row r="1174" spans="1:24">
      <c r="A1174">
        <f>HYPERLINK("https://www.philgeps.gov.ph/GEPSNONPILOT/Tender/SplashBidNoticeAbstractUI.aspx?menuIndex=3&amp;refID=7198865&amp;Result=3","7198865")</f>
        <v>0</v>
      </c>
      <c r="B1174" t="s">
        <v>477</v>
      </c>
      <c r="C1174" t="s">
        <v>4994</v>
      </c>
      <c r="D1174" t="s">
        <v>19019</v>
      </c>
      <c r="E1174" t="s">
        <v>20175</v>
      </c>
      <c r="F1174" t="s">
        <v>32606</v>
      </c>
      <c r="G1174" t="s">
        <v>32613</v>
      </c>
      <c r="H1174" t="s">
        <v>14201</v>
      </c>
      <c r="I1174" t="s">
        <v>9013</v>
      </c>
      <c r="J1174" t="s">
        <v>33652</v>
      </c>
      <c r="K1174" t="s">
        <v>42631</v>
      </c>
      <c r="M1174" t="s">
        <v>43388</v>
      </c>
      <c r="N1174" t="s">
        <v>47304</v>
      </c>
      <c r="O1174" t="s">
        <v>47305</v>
      </c>
      <c r="P1174">
        <v>0</v>
      </c>
      <c r="Q1174">
        <v>0</v>
      </c>
      <c r="R1174" t="s">
        <v>47307</v>
      </c>
      <c r="S1174" t="s">
        <v>47416</v>
      </c>
      <c r="T1174" t="s">
        <v>48995</v>
      </c>
      <c r="U1174" t="s">
        <v>50609</v>
      </c>
      <c r="W1174" t="s">
        <v>43388</v>
      </c>
      <c r="X1174" t="s">
        <v>47306</v>
      </c>
    </row>
    <row r="1175" spans="1:24">
      <c r="A1175">
        <f>HYPERLINK("https://www.philgeps.gov.ph/GEPSNONPILOT/Tender/SplashBidNoticeAbstractUI.aspx?menuIndex=3&amp;refID=7198839&amp;Result=3","7198839")</f>
        <v>0</v>
      </c>
      <c r="B1175" t="s">
        <v>612</v>
      </c>
      <c r="C1175" t="s">
        <v>4995</v>
      </c>
      <c r="D1175" t="s">
        <v>18993</v>
      </c>
      <c r="E1175" t="s">
        <v>20176</v>
      </c>
      <c r="F1175" t="s">
        <v>32606</v>
      </c>
      <c r="G1175" t="s">
        <v>32613</v>
      </c>
      <c r="H1175" t="s">
        <v>14201</v>
      </c>
      <c r="I1175" t="s">
        <v>6298</v>
      </c>
      <c r="J1175" t="s">
        <v>32981</v>
      </c>
      <c r="K1175" t="s">
        <v>42631</v>
      </c>
      <c r="M1175" t="s">
        <v>43530</v>
      </c>
      <c r="N1175" t="s">
        <v>47304</v>
      </c>
      <c r="O1175" t="s">
        <v>47305</v>
      </c>
      <c r="P1175">
        <v>0</v>
      </c>
      <c r="Q1175">
        <v>0</v>
      </c>
      <c r="R1175" t="s">
        <v>47307</v>
      </c>
      <c r="S1175" t="s">
        <v>47416</v>
      </c>
      <c r="T1175" t="s">
        <v>49157</v>
      </c>
      <c r="U1175" t="s">
        <v>50610</v>
      </c>
      <c r="W1175" t="s">
        <v>43530</v>
      </c>
      <c r="X1175" t="s">
        <v>47306</v>
      </c>
    </row>
    <row r="1176" spans="1:24">
      <c r="A1176">
        <f>HYPERLINK("https://www.philgeps.gov.ph/GEPSNONPILOT/Tender/SplashBidNoticeAbstractUI.aspx?menuIndex=3&amp;refID=7198861&amp;Result=3","7198861")</f>
        <v>0</v>
      </c>
      <c r="B1176" t="s">
        <v>613</v>
      </c>
      <c r="C1176" t="s">
        <v>4996</v>
      </c>
      <c r="D1176" t="s">
        <v>19007</v>
      </c>
      <c r="E1176" t="s">
        <v>20177</v>
      </c>
      <c r="F1176" t="s">
        <v>32606</v>
      </c>
      <c r="G1176" t="s">
        <v>32613</v>
      </c>
      <c r="H1176" t="s">
        <v>14201</v>
      </c>
      <c r="I1176" t="s">
        <v>6931</v>
      </c>
      <c r="J1176" t="s">
        <v>33653</v>
      </c>
      <c r="K1176" t="s">
        <v>42646</v>
      </c>
      <c r="M1176" t="s">
        <v>43531</v>
      </c>
      <c r="N1176" t="s">
        <v>47304</v>
      </c>
      <c r="O1176" t="s">
        <v>47305</v>
      </c>
      <c r="P1176">
        <v>0</v>
      </c>
      <c r="Q1176">
        <v>0</v>
      </c>
      <c r="R1176" t="s">
        <v>47307</v>
      </c>
      <c r="S1176" t="s">
        <v>47416</v>
      </c>
      <c r="T1176" t="s">
        <v>49158</v>
      </c>
      <c r="U1176" t="s">
        <v>50611</v>
      </c>
      <c r="W1176" t="s">
        <v>43531</v>
      </c>
      <c r="X1176" t="s">
        <v>47306</v>
      </c>
    </row>
    <row r="1177" spans="1:24">
      <c r="A1177">
        <f>HYPERLINK("https://www.philgeps.gov.ph/GEPSNONPILOT/Tender/SplashBidNoticeAbstractUI.aspx?menuIndex=3&amp;refID=7198859&amp;Result=3","7198859")</f>
        <v>0</v>
      </c>
      <c r="B1177" t="s">
        <v>614</v>
      </c>
      <c r="C1177" t="s">
        <v>4997</v>
      </c>
      <c r="D1177" t="s">
        <v>19007</v>
      </c>
      <c r="E1177" t="s">
        <v>19690</v>
      </c>
      <c r="F1177" t="s">
        <v>32606</v>
      </c>
      <c r="G1177" t="s">
        <v>32619</v>
      </c>
      <c r="H1177" t="s">
        <v>14201</v>
      </c>
      <c r="I1177" t="s">
        <v>32663</v>
      </c>
      <c r="J1177" t="s">
        <v>33654</v>
      </c>
      <c r="K1177" t="s">
        <v>42632</v>
      </c>
      <c r="M1177" t="s">
        <v>43532</v>
      </c>
      <c r="N1177" t="s">
        <v>47304</v>
      </c>
      <c r="O1177" t="s">
        <v>47305</v>
      </c>
      <c r="P1177">
        <v>0</v>
      </c>
      <c r="Q1177">
        <v>0</v>
      </c>
      <c r="R1177" t="s">
        <v>47307</v>
      </c>
      <c r="S1177" t="s">
        <v>47416</v>
      </c>
      <c r="T1177" t="s">
        <v>49072</v>
      </c>
      <c r="U1177" t="s">
        <v>50612</v>
      </c>
      <c r="W1177" t="s">
        <v>43532</v>
      </c>
      <c r="X1177" t="s">
        <v>47306</v>
      </c>
    </row>
    <row r="1178" spans="1:24">
      <c r="A1178">
        <f>HYPERLINK("https://www.philgeps.gov.ph/GEPSNONPILOT/Tender/SplashBidNoticeAbstractUI.aspx?menuIndex=3&amp;refID=7198874&amp;Result=3","7198874")</f>
        <v>0</v>
      </c>
      <c r="B1178" t="s">
        <v>325</v>
      </c>
      <c r="C1178" t="s">
        <v>4998</v>
      </c>
      <c r="D1178" t="s">
        <v>18992</v>
      </c>
      <c r="E1178" t="s">
        <v>20178</v>
      </c>
      <c r="F1178" t="s">
        <v>32606</v>
      </c>
      <c r="G1178" t="s">
        <v>32614</v>
      </c>
      <c r="H1178" t="s">
        <v>14201</v>
      </c>
      <c r="I1178" t="s">
        <v>32638</v>
      </c>
      <c r="J1178" t="s">
        <v>32778</v>
      </c>
      <c r="K1178" t="s">
        <v>42622</v>
      </c>
      <c r="M1178" t="s">
        <v>43227</v>
      </c>
      <c r="N1178" t="s">
        <v>47304</v>
      </c>
      <c r="O1178" t="s">
        <v>47305</v>
      </c>
      <c r="P1178">
        <v>0</v>
      </c>
      <c r="Q1178">
        <v>0</v>
      </c>
      <c r="R1178" t="s">
        <v>47307</v>
      </c>
      <c r="S1178" t="s">
        <v>47416</v>
      </c>
      <c r="T1178" t="s">
        <v>48975</v>
      </c>
      <c r="U1178" t="s">
        <v>50613</v>
      </c>
      <c r="W1178" t="s">
        <v>43227</v>
      </c>
      <c r="X1178" t="s">
        <v>47306</v>
      </c>
    </row>
    <row r="1179" spans="1:24">
      <c r="A1179">
        <f>HYPERLINK("https://www.philgeps.gov.ph/GEPSNONPILOT/Tender/SplashBidNoticeAbstractUI.aspx?menuIndex=3&amp;refID=7198873&amp;Result=3","7198873")</f>
        <v>0</v>
      </c>
      <c r="B1179" t="s">
        <v>589</v>
      </c>
      <c r="C1179" t="s">
        <v>4999</v>
      </c>
      <c r="D1179" t="s">
        <v>19003</v>
      </c>
      <c r="E1179" t="s">
        <v>20179</v>
      </c>
      <c r="F1179" t="s">
        <v>32607</v>
      </c>
      <c r="G1179" t="s">
        <v>32613</v>
      </c>
      <c r="H1179" t="s">
        <v>14201</v>
      </c>
      <c r="I1179" t="s">
        <v>6931</v>
      </c>
      <c r="J1179" t="s">
        <v>33655</v>
      </c>
      <c r="K1179" t="s">
        <v>42622</v>
      </c>
      <c r="M1179" t="s">
        <v>43504</v>
      </c>
      <c r="N1179" t="s">
        <v>47304</v>
      </c>
      <c r="O1179" t="s">
        <v>47305</v>
      </c>
      <c r="P1179">
        <v>0</v>
      </c>
      <c r="Q1179">
        <v>0</v>
      </c>
      <c r="R1179" t="s">
        <v>47307</v>
      </c>
      <c r="S1179" t="s">
        <v>47416</v>
      </c>
      <c r="T1179" t="s">
        <v>49136</v>
      </c>
      <c r="U1179" t="s">
        <v>50614</v>
      </c>
      <c r="W1179" t="s">
        <v>43504</v>
      </c>
      <c r="X1179" t="s">
        <v>47306</v>
      </c>
    </row>
    <row r="1180" spans="1:24">
      <c r="A1180">
        <f>HYPERLINK("https://www.philgeps.gov.ph/GEPSNONPILOT/Tender/SplashBidNoticeAbstractUI.aspx?menuIndex=3&amp;refID=7198900&amp;Result=3","7198900")</f>
        <v>0</v>
      </c>
      <c r="B1180" t="s">
        <v>444</v>
      </c>
      <c r="C1180" t="s">
        <v>5000</v>
      </c>
      <c r="D1180" t="s">
        <v>19006</v>
      </c>
      <c r="E1180" t="s">
        <v>20180</v>
      </c>
      <c r="F1180" t="s">
        <v>32606</v>
      </c>
      <c r="G1180" t="s">
        <v>32613</v>
      </c>
      <c r="H1180" t="s">
        <v>14201</v>
      </c>
      <c r="I1180" t="s">
        <v>4369</v>
      </c>
      <c r="J1180" t="s">
        <v>33656</v>
      </c>
      <c r="K1180" t="s">
        <v>42639</v>
      </c>
      <c r="M1180" t="s">
        <v>43352</v>
      </c>
      <c r="N1180" t="s">
        <v>47304</v>
      </c>
      <c r="O1180" t="s">
        <v>47305</v>
      </c>
      <c r="P1180">
        <v>0</v>
      </c>
      <c r="Q1180">
        <v>0</v>
      </c>
      <c r="R1180" t="s">
        <v>47307</v>
      </c>
      <c r="S1180" t="s">
        <v>47416</v>
      </c>
      <c r="T1180" t="s">
        <v>49122</v>
      </c>
      <c r="U1180" t="s">
        <v>50615</v>
      </c>
      <c r="W1180" t="s">
        <v>43352</v>
      </c>
      <c r="X1180" t="s">
        <v>47306</v>
      </c>
    </row>
    <row r="1181" spans="1:24">
      <c r="A1181">
        <f>HYPERLINK("https://www.philgeps.gov.ph/GEPSNONPILOT/Tender/SplashBidNoticeAbstractUI.aspx?menuIndex=3&amp;refID=7198899&amp;Result=3","7198899")</f>
        <v>0</v>
      </c>
      <c r="B1181" t="s">
        <v>615</v>
      </c>
      <c r="C1181" t="s">
        <v>5001</v>
      </c>
      <c r="D1181" t="s">
        <v>19065</v>
      </c>
      <c r="E1181" t="s">
        <v>20181</v>
      </c>
      <c r="F1181" t="s">
        <v>32606</v>
      </c>
      <c r="G1181" t="s">
        <v>32614</v>
      </c>
      <c r="H1181" t="s">
        <v>14201</v>
      </c>
      <c r="I1181" t="s">
        <v>32655</v>
      </c>
      <c r="J1181" t="s">
        <v>33657</v>
      </c>
      <c r="K1181" t="s">
        <v>42623</v>
      </c>
      <c r="M1181" t="s">
        <v>43533</v>
      </c>
      <c r="N1181" t="s">
        <v>47304</v>
      </c>
      <c r="O1181" t="s">
        <v>47305</v>
      </c>
      <c r="P1181">
        <v>0</v>
      </c>
      <c r="Q1181">
        <v>0</v>
      </c>
      <c r="R1181" t="s">
        <v>47307</v>
      </c>
      <c r="S1181" t="s">
        <v>47416</v>
      </c>
      <c r="T1181" t="s">
        <v>48972</v>
      </c>
      <c r="U1181" t="s">
        <v>50616</v>
      </c>
      <c r="W1181" t="s">
        <v>43533</v>
      </c>
      <c r="X1181" t="s">
        <v>47306</v>
      </c>
    </row>
    <row r="1182" spans="1:24">
      <c r="A1182">
        <f>HYPERLINK("https://www.philgeps.gov.ph/GEPSNONPILOT/Tender/SplashBidNoticeAbstractUI.aspx?menuIndex=3&amp;refID=7198897&amp;Result=3","7198897")</f>
        <v>0</v>
      </c>
      <c r="B1182" t="s">
        <v>616</v>
      </c>
      <c r="C1182" t="s">
        <v>5002</v>
      </c>
      <c r="D1182" t="s">
        <v>18989</v>
      </c>
      <c r="E1182" t="s">
        <v>20182</v>
      </c>
      <c r="F1182" t="s">
        <v>32606</v>
      </c>
      <c r="G1182" t="s">
        <v>32614</v>
      </c>
      <c r="H1182" t="s">
        <v>14201</v>
      </c>
      <c r="I1182" t="s">
        <v>32633</v>
      </c>
      <c r="J1182" t="s">
        <v>33658</v>
      </c>
      <c r="K1182" t="s">
        <v>42624</v>
      </c>
      <c r="M1182" t="s">
        <v>43534</v>
      </c>
      <c r="N1182" t="s">
        <v>47304</v>
      </c>
      <c r="O1182" t="s">
        <v>47305</v>
      </c>
      <c r="P1182">
        <v>0</v>
      </c>
      <c r="Q1182">
        <v>0</v>
      </c>
      <c r="R1182" t="s">
        <v>47307</v>
      </c>
      <c r="S1182" t="s">
        <v>47416</v>
      </c>
      <c r="T1182" t="s">
        <v>49015</v>
      </c>
      <c r="U1182" t="s">
        <v>50617</v>
      </c>
      <c r="W1182" t="s">
        <v>43534</v>
      </c>
      <c r="X1182" t="s">
        <v>47306</v>
      </c>
    </row>
    <row r="1183" spans="1:24">
      <c r="A1183">
        <f>HYPERLINK("https://www.philgeps.gov.ph/GEPSNONPILOT/Tender/SplashBidNoticeAbstractUI.aspx?menuIndex=3&amp;refID=7198896&amp;Result=3","7198896")</f>
        <v>0</v>
      </c>
      <c r="B1183" t="s">
        <v>594</v>
      </c>
      <c r="C1183" t="s">
        <v>5003</v>
      </c>
      <c r="D1183" t="s">
        <v>19040</v>
      </c>
      <c r="E1183" t="s">
        <v>20183</v>
      </c>
      <c r="F1183" t="s">
        <v>32606</v>
      </c>
      <c r="G1183" t="s">
        <v>32614</v>
      </c>
      <c r="H1183" t="s">
        <v>14201</v>
      </c>
      <c r="I1183" t="s">
        <v>7233</v>
      </c>
      <c r="J1183" t="s">
        <v>33009</v>
      </c>
      <c r="K1183" t="s">
        <v>42623</v>
      </c>
      <c r="M1183" t="s">
        <v>43523</v>
      </c>
      <c r="N1183" t="s">
        <v>47304</v>
      </c>
      <c r="O1183" t="s">
        <v>47305</v>
      </c>
      <c r="P1183">
        <v>0</v>
      </c>
      <c r="Q1183">
        <v>0</v>
      </c>
      <c r="R1183" t="s">
        <v>47307</v>
      </c>
      <c r="S1183" t="s">
        <v>47416</v>
      </c>
      <c r="T1183" t="s">
        <v>49041</v>
      </c>
      <c r="U1183" t="s">
        <v>50618</v>
      </c>
      <c r="W1183" t="s">
        <v>43523</v>
      </c>
      <c r="X1183" t="s">
        <v>47306</v>
      </c>
    </row>
    <row r="1184" spans="1:24">
      <c r="A1184">
        <f>HYPERLINK("https://www.philgeps.gov.ph/GEPSNONPILOT/Tender/SplashBidNoticeAbstractUI.aspx?menuIndex=3&amp;refID=7198895&amp;Result=3","7198895")</f>
        <v>0</v>
      </c>
      <c r="B1184" t="s">
        <v>617</v>
      </c>
      <c r="C1184" t="s">
        <v>5004</v>
      </c>
      <c r="D1184" t="s">
        <v>19058</v>
      </c>
      <c r="E1184" t="s">
        <v>20184</v>
      </c>
      <c r="F1184" t="s">
        <v>32606</v>
      </c>
      <c r="G1184" t="s">
        <v>32614</v>
      </c>
      <c r="H1184" t="s">
        <v>14201</v>
      </c>
      <c r="I1184" t="s">
        <v>32630</v>
      </c>
      <c r="J1184" t="s">
        <v>33659</v>
      </c>
      <c r="K1184" t="s">
        <v>42624</v>
      </c>
      <c r="M1184" t="s">
        <v>43535</v>
      </c>
      <c r="N1184" t="s">
        <v>47304</v>
      </c>
      <c r="O1184" t="s">
        <v>47305</v>
      </c>
      <c r="P1184">
        <v>0</v>
      </c>
      <c r="Q1184">
        <v>0</v>
      </c>
      <c r="R1184" t="s">
        <v>47307</v>
      </c>
      <c r="S1184" t="s">
        <v>47416</v>
      </c>
      <c r="T1184" t="s">
        <v>48988</v>
      </c>
      <c r="U1184" t="s">
        <v>50619</v>
      </c>
      <c r="V1184" t="s">
        <v>62789</v>
      </c>
      <c r="W1184" t="s">
        <v>43535</v>
      </c>
      <c r="X1184" t="s">
        <v>47306</v>
      </c>
    </row>
    <row r="1185" spans="1:24">
      <c r="A1185">
        <f>HYPERLINK("https://www.philgeps.gov.ph/GEPSNONPILOT/Tender/SplashBidNoticeAbstractUI.aspx?menuIndex=3&amp;refID=7198866&amp;Result=3","7198866")</f>
        <v>0</v>
      </c>
      <c r="B1185" t="s">
        <v>618</v>
      </c>
      <c r="C1185" t="s">
        <v>5005</v>
      </c>
      <c r="D1185" t="s">
        <v>19066</v>
      </c>
      <c r="E1185" t="s">
        <v>20185</v>
      </c>
      <c r="F1185" t="s">
        <v>32606</v>
      </c>
      <c r="G1185" t="s">
        <v>32614</v>
      </c>
      <c r="H1185" t="s">
        <v>14201</v>
      </c>
      <c r="I1185" t="s">
        <v>32646</v>
      </c>
      <c r="J1185" t="s">
        <v>33660</v>
      </c>
      <c r="K1185" t="s">
        <v>42631</v>
      </c>
      <c r="M1185" t="s">
        <v>43536</v>
      </c>
      <c r="N1185" t="s">
        <v>47304</v>
      </c>
      <c r="O1185" t="s">
        <v>47305</v>
      </c>
      <c r="P1185">
        <v>0</v>
      </c>
      <c r="Q1185">
        <v>0</v>
      </c>
      <c r="R1185" t="s">
        <v>47307</v>
      </c>
      <c r="S1185" t="s">
        <v>47416</v>
      </c>
      <c r="T1185" t="s">
        <v>49023</v>
      </c>
      <c r="U1185" t="s">
        <v>50620</v>
      </c>
      <c r="V1185" t="s">
        <v>62790</v>
      </c>
      <c r="W1185" t="s">
        <v>43536</v>
      </c>
      <c r="X1185" t="s">
        <v>47306</v>
      </c>
    </row>
    <row r="1186" spans="1:24">
      <c r="A1186">
        <f>HYPERLINK("https://www.philgeps.gov.ph/GEPSNONPILOT/Tender/SplashBidNoticeAbstractUI.aspx?menuIndex=3&amp;refID=7198860&amp;Result=3","7198860")</f>
        <v>0</v>
      </c>
      <c r="B1186" t="s">
        <v>619</v>
      </c>
      <c r="C1186" t="s">
        <v>5006</v>
      </c>
      <c r="D1186" t="s">
        <v>18986</v>
      </c>
      <c r="E1186" t="s">
        <v>20186</v>
      </c>
      <c r="F1186" t="s">
        <v>32606</v>
      </c>
      <c r="G1186" t="s">
        <v>32613</v>
      </c>
      <c r="H1186" t="s">
        <v>14201</v>
      </c>
      <c r="I1186" t="s">
        <v>32695</v>
      </c>
      <c r="J1186" t="s">
        <v>32770</v>
      </c>
      <c r="K1186" t="s">
        <v>42631</v>
      </c>
      <c r="M1186" t="s">
        <v>43537</v>
      </c>
      <c r="N1186" t="s">
        <v>47304</v>
      </c>
      <c r="O1186" t="s">
        <v>47305</v>
      </c>
      <c r="P1186">
        <v>0</v>
      </c>
      <c r="Q1186">
        <v>0</v>
      </c>
      <c r="R1186" t="s">
        <v>47307</v>
      </c>
      <c r="S1186" t="s">
        <v>47416</v>
      </c>
      <c r="T1186" t="s">
        <v>49159</v>
      </c>
      <c r="U1186" t="s">
        <v>50621</v>
      </c>
      <c r="W1186" t="s">
        <v>46670</v>
      </c>
      <c r="X1186" t="s">
        <v>47306</v>
      </c>
    </row>
    <row r="1187" spans="1:24">
      <c r="A1187">
        <f>HYPERLINK("https://www.philgeps.gov.ph/GEPSNONPILOT/Tender/SplashBidNoticeAbstractUI.aspx?menuIndex=3&amp;refID=7198890&amp;Result=3","7198890")</f>
        <v>0</v>
      </c>
      <c r="B1187" t="s">
        <v>613</v>
      </c>
      <c r="C1187" t="s">
        <v>5007</v>
      </c>
      <c r="D1187" t="s">
        <v>19007</v>
      </c>
      <c r="E1187" t="s">
        <v>20187</v>
      </c>
      <c r="F1187" t="s">
        <v>32606</v>
      </c>
      <c r="G1187" t="s">
        <v>32613</v>
      </c>
      <c r="H1187" t="s">
        <v>14201</v>
      </c>
      <c r="I1187" t="s">
        <v>32640</v>
      </c>
      <c r="J1187" t="s">
        <v>33661</v>
      </c>
      <c r="K1187" t="s">
        <v>42683</v>
      </c>
      <c r="M1187" t="s">
        <v>43531</v>
      </c>
      <c r="N1187" t="s">
        <v>47304</v>
      </c>
      <c r="O1187" t="s">
        <v>47305</v>
      </c>
      <c r="P1187">
        <v>0</v>
      </c>
      <c r="Q1187">
        <v>0</v>
      </c>
      <c r="R1187" t="s">
        <v>47307</v>
      </c>
      <c r="S1187" t="s">
        <v>47416</v>
      </c>
      <c r="T1187" t="s">
        <v>49158</v>
      </c>
      <c r="U1187" t="s">
        <v>50611</v>
      </c>
      <c r="W1187" t="s">
        <v>43531</v>
      </c>
      <c r="X1187" t="s">
        <v>47306</v>
      </c>
    </row>
    <row r="1188" spans="1:24">
      <c r="A1188">
        <f>HYPERLINK("https://www.philgeps.gov.ph/GEPSNONPILOT/Tender/SplashBidNoticeAbstractUI.aspx?menuIndex=3&amp;refID=7198889&amp;Result=3","7198889")</f>
        <v>0</v>
      </c>
      <c r="B1188" t="s">
        <v>620</v>
      </c>
      <c r="C1188" t="s">
        <v>5008</v>
      </c>
      <c r="D1188" t="s">
        <v>19012</v>
      </c>
      <c r="E1188" t="s">
        <v>20188</v>
      </c>
      <c r="F1188" t="s">
        <v>32606</v>
      </c>
      <c r="G1188" t="s">
        <v>32614</v>
      </c>
      <c r="H1188" t="s">
        <v>14201</v>
      </c>
      <c r="I1188" t="s">
        <v>6298</v>
      </c>
      <c r="J1188" t="s">
        <v>33022</v>
      </c>
      <c r="K1188" t="s">
        <v>42631</v>
      </c>
      <c r="M1188" t="s">
        <v>43538</v>
      </c>
      <c r="N1188" t="s">
        <v>47304</v>
      </c>
      <c r="O1188" t="s">
        <v>47305</v>
      </c>
      <c r="P1188">
        <v>0</v>
      </c>
      <c r="Q1188">
        <v>0</v>
      </c>
      <c r="R1188" t="s">
        <v>47307</v>
      </c>
      <c r="S1188" t="s">
        <v>47416</v>
      </c>
      <c r="T1188" t="s">
        <v>49087</v>
      </c>
      <c r="U1188" t="s">
        <v>50622</v>
      </c>
      <c r="W1188" t="s">
        <v>43538</v>
      </c>
      <c r="X1188" t="s">
        <v>47306</v>
      </c>
    </row>
    <row r="1189" spans="1:24">
      <c r="A1189">
        <f>HYPERLINK("https://www.philgeps.gov.ph/GEPSNONPILOT/Tender/SplashBidNoticeAbstractUI.aspx?menuIndex=3&amp;refID=7198886&amp;Result=3","7198886")</f>
        <v>0</v>
      </c>
      <c r="B1189" t="s">
        <v>621</v>
      </c>
      <c r="C1189" t="s">
        <v>5009</v>
      </c>
      <c r="D1189" t="s">
        <v>19013</v>
      </c>
      <c r="E1189" t="s">
        <v>20123</v>
      </c>
      <c r="F1189" t="s">
        <v>32606</v>
      </c>
      <c r="G1189" t="s">
        <v>32613</v>
      </c>
      <c r="H1189" t="s">
        <v>32623</v>
      </c>
      <c r="I1189" t="s">
        <v>17648</v>
      </c>
      <c r="J1189" t="s">
        <v>33662</v>
      </c>
      <c r="K1189" t="s">
        <v>42649</v>
      </c>
      <c r="M1189" t="s">
        <v>43539</v>
      </c>
      <c r="N1189" t="s">
        <v>47304</v>
      </c>
      <c r="O1189" t="s">
        <v>47305</v>
      </c>
      <c r="P1189">
        <v>0</v>
      </c>
      <c r="Q1189">
        <v>0</v>
      </c>
      <c r="R1189" t="s">
        <v>47307</v>
      </c>
      <c r="S1189" t="s">
        <v>47416</v>
      </c>
      <c r="T1189" t="s">
        <v>49031</v>
      </c>
      <c r="U1189" t="s">
        <v>50623</v>
      </c>
      <c r="W1189" t="s">
        <v>43539</v>
      </c>
      <c r="X1189" t="s">
        <v>47306</v>
      </c>
    </row>
    <row r="1190" spans="1:24">
      <c r="A1190">
        <f>HYPERLINK("https://www.philgeps.gov.ph/GEPSNONPILOT/Tender/SplashBidNoticeAbstractUI.aspx?menuIndex=3&amp;refID=7198884&amp;Result=3","7198884")</f>
        <v>0</v>
      </c>
      <c r="B1190" t="s">
        <v>539</v>
      </c>
      <c r="C1190" t="s">
        <v>5010</v>
      </c>
      <c r="D1190" t="s">
        <v>19007</v>
      </c>
      <c r="E1190" t="s">
        <v>19933</v>
      </c>
      <c r="F1190" t="s">
        <v>32606</v>
      </c>
      <c r="G1190" t="s">
        <v>32619</v>
      </c>
      <c r="H1190" t="s">
        <v>14201</v>
      </c>
      <c r="I1190" t="s">
        <v>32633</v>
      </c>
      <c r="J1190" t="s">
        <v>33663</v>
      </c>
      <c r="K1190" t="s">
        <v>42622</v>
      </c>
      <c r="M1190" t="s">
        <v>43453</v>
      </c>
      <c r="N1190" t="s">
        <v>47304</v>
      </c>
      <c r="O1190" t="s">
        <v>47305</v>
      </c>
      <c r="P1190">
        <v>0</v>
      </c>
      <c r="Q1190">
        <v>1</v>
      </c>
      <c r="R1190" t="s">
        <v>47307</v>
      </c>
      <c r="S1190" t="s">
        <v>47416</v>
      </c>
      <c r="T1190" t="s">
        <v>49019</v>
      </c>
      <c r="U1190" t="s">
        <v>50624</v>
      </c>
      <c r="W1190" t="s">
        <v>43453</v>
      </c>
      <c r="X1190" t="s">
        <v>47306</v>
      </c>
    </row>
    <row r="1191" spans="1:24">
      <c r="A1191">
        <f>HYPERLINK("https://www.philgeps.gov.ph/GEPSNONPILOT/Tender/SplashBidNoticeAbstractUI.aspx?menuIndex=3&amp;refID=7198883&amp;Result=3","7198883")</f>
        <v>0</v>
      </c>
      <c r="B1191" t="s">
        <v>616</v>
      </c>
      <c r="C1191" t="s">
        <v>5011</v>
      </c>
      <c r="D1191" t="s">
        <v>18989</v>
      </c>
      <c r="E1191" t="s">
        <v>20189</v>
      </c>
      <c r="F1191" t="s">
        <v>32606</v>
      </c>
      <c r="G1191" t="s">
        <v>32614</v>
      </c>
      <c r="H1191" t="s">
        <v>14201</v>
      </c>
      <c r="I1191" t="s">
        <v>7677</v>
      </c>
      <c r="J1191" t="s">
        <v>33664</v>
      </c>
      <c r="K1191" t="s">
        <v>42624</v>
      </c>
      <c r="M1191" t="s">
        <v>43534</v>
      </c>
      <c r="N1191" t="s">
        <v>47304</v>
      </c>
      <c r="O1191" t="s">
        <v>47305</v>
      </c>
      <c r="P1191">
        <v>0</v>
      </c>
      <c r="Q1191">
        <v>0</v>
      </c>
      <c r="R1191" t="s">
        <v>47307</v>
      </c>
      <c r="S1191" t="s">
        <v>47416</v>
      </c>
      <c r="T1191" t="s">
        <v>49015</v>
      </c>
      <c r="U1191" t="s">
        <v>50617</v>
      </c>
      <c r="W1191" t="s">
        <v>43534</v>
      </c>
      <c r="X1191" t="s">
        <v>47306</v>
      </c>
    </row>
    <row r="1192" spans="1:24">
      <c r="A1192">
        <f>HYPERLINK("https://www.philgeps.gov.ph/GEPSNONPILOT/Tender/SplashBidNoticeAbstractUI.aspx?menuIndex=3&amp;refID=7198882&amp;Result=3","7198882")</f>
        <v>0</v>
      </c>
      <c r="B1192" t="s">
        <v>173</v>
      </c>
      <c r="C1192" t="s">
        <v>5012</v>
      </c>
      <c r="E1192" t="s">
        <v>20190</v>
      </c>
      <c r="F1192" t="s">
        <v>32606</v>
      </c>
      <c r="G1192" t="s">
        <v>32613</v>
      </c>
      <c r="H1192" t="s">
        <v>14201</v>
      </c>
      <c r="I1192" t="s">
        <v>4120</v>
      </c>
      <c r="J1192" t="s">
        <v>33665</v>
      </c>
      <c r="K1192" t="s">
        <v>42624</v>
      </c>
      <c r="M1192" t="s">
        <v>43074</v>
      </c>
      <c r="N1192" t="s">
        <v>47304</v>
      </c>
      <c r="O1192" t="s">
        <v>47305</v>
      </c>
      <c r="P1192">
        <v>0</v>
      </c>
      <c r="Q1192">
        <v>0</v>
      </c>
      <c r="R1192" t="s">
        <v>47307</v>
      </c>
      <c r="S1192" t="s">
        <v>47416</v>
      </c>
      <c r="T1192" t="s">
        <v>49116</v>
      </c>
      <c r="U1192" t="s">
        <v>50542</v>
      </c>
      <c r="W1192" t="s">
        <v>43074</v>
      </c>
      <c r="X1192" t="s">
        <v>47306</v>
      </c>
    </row>
    <row r="1193" spans="1:24">
      <c r="A1193">
        <f>HYPERLINK("https://www.philgeps.gov.ph/GEPSNONPILOT/Tender/SplashBidNoticeAbstractUI.aspx?menuIndex=3&amp;refID=7198893&amp;Result=3","7198893")</f>
        <v>0</v>
      </c>
      <c r="B1193" t="s">
        <v>622</v>
      </c>
      <c r="C1193" t="s">
        <v>5013</v>
      </c>
      <c r="D1193" t="s">
        <v>18989</v>
      </c>
      <c r="E1193" t="s">
        <v>20191</v>
      </c>
      <c r="F1193" t="s">
        <v>32606</v>
      </c>
      <c r="G1193" t="s">
        <v>32613</v>
      </c>
      <c r="H1193" t="s">
        <v>32623</v>
      </c>
      <c r="I1193" t="s">
        <v>17648</v>
      </c>
      <c r="J1193" t="s">
        <v>33666</v>
      </c>
      <c r="K1193" t="s">
        <v>42702</v>
      </c>
      <c r="M1193" t="s">
        <v>43540</v>
      </c>
      <c r="N1193" t="s">
        <v>47304</v>
      </c>
      <c r="O1193" t="s">
        <v>47305</v>
      </c>
      <c r="P1193">
        <v>0</v>
      </c>
      <c r="Q1193">
        <v>0</v>
      </c>
      <c r="R1193" t="s">
        <v>47307</v>
      </c>
      <c r="S1193" t="s">
        <v>47416</v>
      </c>
      <c r="T1193" t="s">
        <v>49031</v>
      </c>
      <c r="U1193" t="s">
        <v>50625</v>
      </c>
      <c r="W1193" t="s">
        <v>43540</v>
      </c>
      <c r="X1193" t="s">
        <v>47306</v>
      </c>
    </row>
    <row r="1194" spans="1:24">
      <c r="A1194">
        <f>HYPERLINK("https://www.philgeps.gov.ph/GEPSNONPILOT/Tender/SplashBidNoticeAbstractUI.aspx?menuIndex=3&amp;refID=7198909&amp;Result=3","7198909")</f>
        <v>0</v>
      </c>
      <c r="B1194" t="s">
        <v>623</v>
      </c>
      <c r="C1194" t="s">
        <v>5014</v>
      </c>
      <c r="D1194" t="s">
        <v>19024</v>
      </c>
      <c r="E1194" t="s">
        <v>20192</v>
      </c>
      <c r="F1194" t="s">
        <v>32606</v>
      </c>
      <c r="G1194" t="s">
        <v>32619</v>
      </c>
      <c r="H1194" t="s">
        <v>14201</v>
      </c>
      <c r="I1194" t="s">
        <v>6931</v>
      </c>
      <c r="J1194" t="s">
        <v>33667</v>
      </c>
      <c r="K1194" t="s">
        <v>42630</v>
      </c>
      <c r="M1194" t="s">
        <v>43541</v>
      </c>
      <c r="N1194" t="s">
        <v>47304</v>
      </c>
      <c r="O1194" t="s">
        <v>47305</v>
      </c>
      <c r="P1194">
        <v>0</v>
      </c>
      <c r="Q1194">
        <v>0</v>
      </c>
      <c r="R1194" t="s">
        <v>47307</v>
      </c>
      <c r="S1194" t="s">
        <v>47416</v>
      </c>
      <c r="T1194" t="s">
        <v>49123</v>
      </c>
      <c r="U1194" t="s">
        <v>50626</v>
      </c>
      <c r="W1194" t="s">
        <v>43541</v>
      </c>
      <c r="X1194" t="s">
        <v>47306</v>
      </c>
    </row>
    <row r="1195" spans="1:24">
      <c r="A1195">
        <f>HYPERLINK("https://www.philgeps.gov.ph/GEPSNONPILOT/Tender/SplashBidNoticeAbstractUI.aspx?menuIndex=3&amp;refID=7198887&amp;Result=3","7198887")</f>
        <v>0</v>
      </c>
      <c r="B1195" t="s">
        <v>624</v>
      </c>
      <c r="C1195" t="s">
        <v>5015</v>
      </c>
      <c r="D1195" t="s">
        <v>19041</v>
      </c>
      <c r="E1195" t="s">
        <v>20193</v>
      </c>
      <c r="F1195" t="s">
        <v>32606</v>
      </c>
      <c r="G1195" t="s">
        <v>32613</v>
      </c>
      <c r="H1195" t="s">
        <v>14201</v>
      </c>
      <c r="I1195" t="s">
        <v>32644</v>
      </c>
      <c r="J1195" t="s">
        <v>33043</v>
      </c>
      <c r="K1195" t="s">
        <v>42623</v>
      </c>
      <c r="M1195" t="s">
        <v>43542</v>
      </c>
      <c r="N1195" t="s">
        <v>47304</v>
      </c>
      <c r="O1195" t="s">
        <v>47305</v>
      </c>
      <c r="P1195">
        <v>0</v>
      </c>
      <c r="Q1195">
        <v>0</v>
      </c>
      <c r="R1195" t="s">
        <v>47307</v>
      </c>
      <c r="S1195" t="s">
        <v>47416</v>
      </c>
      <c r="T1195" t="s">
        <v>48973</v>
      </c>
      <c r="U1195" t="s">
        <v>50627</v>
      </c>
      <c r="W1195" t="s">
        <v>43542</v>
      </c>
      <c r="X1195" t="s">
        <v>47306</v>
      </c>
    </row>
    <row r="1196" spans="1:24">
      <c r="A1196">
        <f>HYPERLINK("https://www.philgeps.gov.ph/GEPSNONPILOT/Tender/SplashBidNoticeAbstractUI.aspx?menuIndex=3&amp;refID=7198926&amp;Result=3","7198926")</f>
        <v>0</v>
      </c>
      <c r="B1196" t="s">
        <v>380</v>
      </c>
      <c r="C1196" t="s">
        <v>5016</v>
      </c>
      <c r="D1196" t="s">
        <v>18990</v>
      </c>
      <c r="E1196" t="s">
        <v>20194</v>
      </c>
      <c r="F1196" t="s">
        <v>32606</v>
      </c>
      <c r="G1196" t="s">
        <v>32614</v>
      </c>
      <c r="H1196" t="s">
        <v>14201</v>
      </c>
      <c r="I1196" t="s">
        <v>7233</v>
      </c>
      <c r="J1196" t="s">
        <v>32752</v>
      </c>
      <c r="K1196" t="s">
        <v>42631</v>
      </c>
      <c r="M1196" t="s">
        <v>43282</v>
      </c>
      <c r="N1196" t="s">
        <v>47304</v>
      </c>
      <c r="O1196" t="s">
        <v>47305</v>
      </c>
      <c r="P1196">
        <v>0</v>
      </c>
      <c r="Q1196">
        <v>0</v>
      </c>
      <c r="R1196" t="s">
        <v>47307</v>
      </c>
      <c r="S1196" t="s">
        <v>47416</v>
      </c>
      <c r="T1196" t="s">
        <v>48986</v>
      </c>
      <c r="U1196" t="s">
        <v>50628</v>
      </c>
      <c r="W1196" t="s">
        <v>43282</v>
      </c>
      <c r="X1196" t="s">
        <v>47306</v>
      </c>
    </row>
    <row r="1197" spans="1:24">
      <c r="A1197">
        <f>HYPERLINK("https://www.philgeps.gov.ph/GEPSNONPILOT/Tender/SplashBidNoticeAbstractUI.aspx?menuIndex=3&amp;refID=7198880&amp;Result=3","7198880")</f>
        <v>0</v>
      </c>
      <c r="B1197" t="s">
        <v>400</v>
      </c>
      <c r="C1197" t="s">
        <v>5017</v>
      </c>
      <c r="D1197" t="s">
        <v>19002</v>
      </c>
      <c r="E1197" t="s">
        <v>20033</v>
      </c>
      <c r="F1197" t="s">
        <v>32606</v>
      </c>
      <c r="G1197" t="s">
        <v>32613</v>
      </c>
      <c r="H1197" t="s">
        <v>14201</v>
      </c>
      <c r="I1197" t="s">
        <v>8606</v>
      </c>
      <c r="J1197" t="s">
        <v>33668</v>
      </c>
      <c r="K1197" t="s">
        <v>42624</v>
      </c>
      <c r="M1197" t="s">
        <v>43303</v>
      </c>
      <c r="N1197" t="s">
        <v>47304</v>
      </c>
      <c r="O1197" t="s">
        <v>47305</v>
      </c>
      <c r="P1197">
        <v>0</v>
      </c>
      <c r="Q1197">
        <v>0</v>
      </c>
      <c r="R1197" t="s">
        <v>47307</v>
      </c>
      <c r="S1197" t="s">
        <v>47416</v>
      </c>
      <c r="T1197" t="s">
        <v>49101</v>
      </c>
      <c r="U1197" t="s">
        <v>50629</v>
      </c>
      <c r="W1197" t="s">
        <v>43303</v>
      </c>
      <c r="X1197" t="s">
        <v>47306</v>
      </c>
    </row>
    <row r="1198" spans="1:24">
      <c r="A1198">
        <f>HYPERLINK("https://www.philgeps.gov.ph/GEPSNONPILOT/Tender/SplashBidNoticeAbstractUI.aspx?menuIndex=3&amp;refID=7198925&amp;Result=3","7198925")</f>
        <v>0</v>
      </c>
      <c r="B1198" t="s">
        <v>625</v>
      </c>
      <c r="C1198" t="s">
        <v>5018</v>
      </c>
      <c r="D1198" t="s">
        <v>18993</v>
      </c>
      <c r="E1198" t="s">
        <v>20195</v>
      </c>
      <c r="F1198" t="s">
        <v>32606</v>
      </c>
      <c r="G1198" t="s">
        <v>32617</v>
      </c>
      <c r="H1198" t="s">
        <v>14201</v>
      </c>
      <c r="I1198" t="s">
        <v>4678</v>
      </c>
      <c r="J1198" t="s">
        <v>33669</v>
      </c>
      <c r="K1198" t="s">
        <v>42624</v>
      </c>
      <c r="M1198" t="s">
        <v>43543</v>
      </c>
      <c r="N1198" t="s">
        <v>47304</v>
      </c>
      <c r="O1198" t="s">
        <v>47305</v>
      </c>
      <c r="P1198">
        <v>0</v>
      </c>
      <c r="Q1198">
        <v>0</v>
      </c>
      <c r="R1198" t="s">
        <v>47307</v>
      </c>
      <c r="S1198" t="s">
        <v>47416</v>
      </c>
      <c r="T1198" t="s">
        <v>49160</v>
      </c>
      <c r="U1198" t="s">
        <v>50630</v>
      </c>
      <c r="W1198" t="s">
        <v>43543</v>
      </c>
      <c r="X1198" t="s">
        <v>47306</v>
      </c>
    </row>
    <row r="1199" spans="1:24">
      <c r="A1199">
        <f>HYPERLINK("https://www.philgeps.gov.ph/GEPSNONPILOT/Tender/SplashBidNoticeAbstractUI.aspx?menuIndex=3&amp;refID=7198748&amp;Result=3","7198748")</f>
        <v>0</v>
      </c>
      <c r="B1199" t="s">
        <v>567</v>
      </c>
      <c r="C1199" t="s">
        <v>5019</v>
      </c>
      <c r="E1199" t="s">
        <v>20196</v>
      </c>
      <c r="F1199" t="s">
        <v>32606</v>
      </c>
      <c r="G1199" t="s">
        <v>32619</v>
      </c>
      <c r="H1199" t="s">
        <v>14201</v>
      </c>
      <c r="I1199" t="s">
        <v>32633</v>
      </c>
      <c r="J1199" t="s">
        <v>33103</v>
      </c>
      <c r="K1199" t="s">
        <v>42624</v>
      </c>
      <c r="M1199" t="s">
        <v>43482</v>
      </c>
      <c r="N1199" t="s">
        <v>47304</v>
      </c>
      <c r="O1199" t="s">
        <v>47305</v>
      </c>
      <c r="P1199">
        <v>0</v>
      </c>
      <c r="Q1199">
        <v>0</v>
      </c>
      <c r="R1199" t="s">
        <v>47307</v>
      </c>
      <c r="S1199" t="s">
        <v>47416</v>
      </c>
      <c r="T1199" t="s">
        <v>48988</v>
      </c>
      <c r="U1199" t="s">
        <v>50631</v>
      </c>
      <c r="W1199" t="s">
        <v>43482</v>
      </c>
      <c r="X1199" t="s">
        <v>47306</v>
      </c>
    </row>
    <row r="1200" spans="1:24">
      <c r="A1200">
        <f>HYPERLINK("https://www.philgeps.gov.ph/GEPSNONPILOT/Tender/SplashBidNoticeAbstractUI.aspx?menuIndex=3&amp;refID=7198924&amp;Result=3","7198924")</f>
        <v>0</v>
      </c>
      <c r="B1200" t="s">
        <v>626</v>
      </c>
      <c r="C1200" t="s">
        <v>5020</v>
      </c>
      <c r="D1200" t="s">
        <v>19049</v>
      </c>
      <c r="E1200" t="s">
        <v>20197</v>
      </c>
      <c r="F1200" t="s">
        <v>32606</v>
      </c>
      <c r="G1200" t="s">
        <v>32613</v>
      </c>
      <c r="H1200" t="s">
        <v>14201</v>
      </c>
      <c r="I1200" t="s">
        <v>6007</v>
      </c>
      <c r="J1200" t="s">
        <v>33670</v>
      </c>
      <c r="K1200" t="s">
        <v>42624</v>
      </c>
      <c r="M1200" t="s">
        <v>43544</v>
      </c>
      <c r="N1200" t="s">
        <v>47304</v>
      </c>
      <c r="O1200" t="s">
        <v>47305</v>
      </c>
      <c r="P1200">
        <v>0</v>
      </c>
      <c r="Q1200">
        <v>0</v>
      </c>
      <c r="R1200" t="s">
        <v>47307</v>
      </c>
      <c r="S1200" t="s">
        <v>47416</v>
      </c>
      <c r="T1200" t="s">
        <v>49065</v>
      </c>
      <c r="U1200" t="s">
        <v>50632</v>
      </c>
      <c r="W1200" t="s">
        <v>64443</v>
      </c>
      <c r="X1200" t="s">
        <v>47306</v>
      </c>
    </row>
    <row r="1201" spans="1:24">
      <c r="A1201">
        <f>HYPERLINK("https://www.philgeps.gov.ph/GEPSNONPILOT/Tender/SplashBidNoticeAbstractUI.aspx?menuIndex=3&amp;refID=7198922&amp;Result=3","7198922")</f>
        <v>0</v>
      </c>
      <c r="B1201" t="s">
        <v>627</v>
      </c>
      <c r="C1201" t="s">
        <v>5021</v>
      </c>
      <c r="D1201" t="s">
        <v>19011</v>
      </c>
      <c r="E1201" t="s">
        <v>20198</v>
      </c>
      <c r="F1201" t="s">
        <v>32606</v>
      </c>
      <c r="G1201" t="s">
        <v>32613</v>
      </c>
      <c r="H1201" t="s">
        <v>14201</v>
      </c>
      <c r="I1201" t="s">
        <v>32661</v>
      </c>
      <c r="J1201" t="s">
        <v>33441</v>
      </c>
      <c r="K1201" t="s">
        <v>42623</v>
      </c>
      <c r="M1201" t="s">
        <v>43545</v>
      </c>
      <c r="N1201" t="s">
        <v>47304</v>
      </c>
      <c r="O1201" t="s">
        <v>47305</v>
      </c>
      <c r="P1201">
        <v>0</v>
      </c>
      <c r="Q1201">
        <v>0</v>
      </c>
      <c r="R1201" t="s">
        <v>47307</v>
      </c>
      <c r="S1201" t="s">
        <v>47416</v>
      </c>
      <c r="T1201" t="s">
        <v>49081</v>
      </c>
      <c r="U1201" t="s">
        <v>50633</v>
      </c>
      <c r="W1201" t="s">
        <v>43545</v>
      </c>
      <c r="X1201" t="s">
        <v>47306</v>
      </c>
    </row>
    <row r="1202" spans="1:24">
      <c r="A1202">
        <f>HYPERLINK("https://www.philgeps.gov.ph/GEPSNONPILOT/Tender/SplashBidNoticeAbstractUI.aspx?menuIndex=3&amp;refID=7198920&amp;Result=3","7198920")</f>
        <v>0</v>
      </c>
      <c r="B1202" t="s">
        <v>628</v>
      </c>
      <c r="C1202" t="s">
        <v>5022</v>
      </c>
      <c r="D1202" t="s">
        <v>19029</v>
      </c>
      <c r="E1202" t="s">
        <v>20199</v>
      </c>
      <c r="F1202" t="s">
        <v>32606</v>
      </c>
      <c r="G1202" t="s">
        <v>32614</v>
      </c>
      <c r="H1202" t="s">
        <v>14201</v>
      </c>
      <c r="I1202" t="s">
        <v>32633</v>
      </c>
      <c r="J1202" t="s">
        <v>32949</v>
      </c>
      <c r="K1202" t="s">
        <v>42630</v>
      </c>
      <c r="M1202" t="s">
        <v>43546</v>
      </c>
      <c r="N1202" t="s">
        <v>47304</v>
      </c>
      <c r="O1202" t="s">
        <v>47305</v>
      </c>
      <c r="P1202">
        <v>0</v>
      </c>
      <c r="Q1202">
        <v>1</v>
      </c>
      <c r="R1202" t="s">
        <v>47307</v>
      </c>
      <c r="S1202" t="s">
        <v>47416</v>
      </c>
      <c r="T1202" t="s">
        <v>48975</v>
      </c>
      <c r="U1202" t="s">
        <v>50634</v>
      </c>
      <c r="V1202" t="s">
        <v>62791</v>
      </c>
      <c r="W1202" t="s">
        <v>43546</v>
      </c>
      <c r="X1202" t="s">
        <v>47306</v>
      </c>
    </row>
    <row r="1203" spans="1:24">
      <c r="A1203">
        <f>HYPERLINK("https://www.philgeps.gov.ph/GEPSNONPILOT/Tender/SplashBidNoticeAbstractUI.aspx?menuIndex=3&amp;refID=7198891&amp;Result=3","7198891")</f>
        <v>0</v>
      </c>
      <c r="B1203" t="s">
        <v>201</v>
      </c>
      <c r="C1203" t="s">
        <v>5023</v>
      </c>
      <c r="D1203" t="s">
        <v>19067</v>
      </c>
      <c r="E1203" t="s">
        <v>20200</v>
      </c>
      <c r="F1203" t="s">
        <v>32606</v>
      </c>
      <c r="G1203" t="s">
        <v>32619</v>
      </c>
      <c r="H1203" t="s">
        <v>14201</v>
      </c>
      <c r="I1203" t="s">
        <v>32644</v>
      </c>
      <c r="J1203" t="s">
        <v>33671</v>
      </c>
      <c r="K1203" t="s">
        <v>42625</v>
      </c>
      <c r="M1203" t="s">
        <v>43452</v>
      </c>
      <c r="N1203" t="s">
        <v>47304</v>
      </c>
      <c r="O1203" t="s">
        <v>47305</v>
      </c>
      <c r="P1203">
        <v>0</v>
      </c>
      <c r="Q1203">
        <v>0</v>
      </c>
      <c r="R1203" t="s">
        <v>47307</v>
      </c>
      <c r="S1203" t="s">
        <v>47416</v>
      </c>
      <c r="T1203" t="s">
        <v>48998</v>
      </c>
      <c r="U1203" t="s">
        <v>50635</v>
      </c>
      <c r="W1203" t="s">
        <v>43452</v>
      </c>
      <c r="X1203" t="s">
        <v>47306</v>
      </c>
    </row>
    <row r="1204" spans="1:24">
      <c r="A1204">
        <f>HYPERLINK("https://www.philgeps.gov.ph/GEPSNONPILOT/Tender/SplashBidNoticeAbstractUI.aspx?menuIndex=3&amp;refID=7198916&amp;Result=3","7198916")</f>
        <v>0</v>
      </c>
      <c r="B1204" t="s">
        <v>629</v>
      </c>
      <c r="C1204" t="s">
        <v>5024</v>
      </c>
      <c r="D1204" t="s">
        <v>19024</v>
      </c>
      <c r="E1204" t="s">
        <v>20201</v>
      </c>
      <c r="F1204" t="s">
        <v>32606</v>
      </c>
      <c r="G1204" t="s">
        <v>32614</v>
      </c>
      <c r="H1204" t="s">
        <v>14201</v>
      </c>
      <c r="I1204" t="s">
        <v>32640</v>
      </c>
      <c r="J1204" t="s">
        <v>32868</v>
      </c>
      <c r="K1204" t="s">
        <v>42623</v>
      </c>
      <c r="M1204" t="s">
        <v>43547</v>
      </c>
      <c r="N1204" t="s">
        <v>47304</v>
      </c>
      <c r="O1204" t="s">
        <v>47305</v>
      </c>
      <c r="P1204">
        <v>0</v>
      </c>
      <c r="Q1204">
        <v>0</v>
      </c>
      <c r="R1204" t="s">
        <v>47307</v>
      </c>
      <c r="S1204" t="s">
        <v>47416</v>
      </c>
      <c r="T1204" t="s">
        <v>48988</v>
      </c>
      <c r="U1204" t="s">
        <v>50636</v>
      </c>
      <c r="W1204" t="s">
        <v>43547</v>
      </c>
      <c r="X1204" t="s">
        <v>47306</v>
      </c>
    </row>
    <row r="1205" spans="1:24">
      <c r="A1205">
        <f>HYPERLINK("https://www.philgeps.gov.ph/GEPSNONPILOT/Tender/SplashBidNoticeAbstractUI.aspx?menuIndex=3&amp;refID=7198915&amp;Result=3","7198915")</f>
        <v>0</v>
      </c>
      <c r="B1205" t="s">
        <v>630</v>
      </c>
      <c r="C1205" t="s">
        <v>5025</v>
      </c>
      <c r="D1205" t="s">
        <v>19004</v>
      </c>
      <c r="E1205" t="s">
        <v>20202</v>
      </c>
      <c r="F1205" t="s">
        <v>32606</v>
      </c>
      <c r="G1205" t="s">
        <v>32613</v>
      </c>
      <c r="H1205" t="s">
        <v>14201</v>
      </c>
      <c r="I1205" t="s">
        <v>6931</v>
      </c>
      <c r="J1205" t="s">
        <v>33672</v>
      </c>
      <c r="K1205" t="s">
        <v>42629</v>
      </c>
      <c r="M1205" t="s">
        <v>43548</v>
      </c>
      <c r="N1205" t="s">
        <v>47304</v>
      </c>
      <c r="O1205" t="s">
        <v>47305</v>
      </c>
      <c r="P1205">
        <v>0</v>
      </c>
      <c r="Q1205">
        <v>0</v>
      </c>
      <c r="R1205" t="s">
        <v>47307</v>
      </c>
      <c r="S1205" t="s">
        <v>47416</v>
      </c>
      <c r="T1205" t="s">
        <v>49028</v>
      </c>
      <c r="U1205" t="s">
        <v>50637</v>
      </c>
      <c r="W1205" t="s">
        <v>43548</v>
      </c>
      <c r="X1205" t="s">
        <v>47306</v>
      </c>
    </row>
    <row r="1206" spans="1:24">
      <c r="A1206">
        <f>HYPERLINK("https://www.philgeps.gov.ph/GEPSNONPILOT/Tender/SplashBidNoticeAbstractUI.aspx?menuIndex=3&amp;refID=7198881&amp;Result=3","7198881")</f>
        <v>0</v>
      </c>
      <c r="B1206" t="s">
        <v>603</v>
      </c>
      <c r="C1206" t="s">
        <v>5026</v>
      </c>
      <c r="D1206" t="s">
        <v>19027</v>
      </c>
      <c r="E1206" t="s">
        <v>20203</v>
      </c>
      <c r="F1206" t="s">
        <v>32606</v>
      </c>
      <c r="G1206" t="s">
        <v>32613</v>
      </c>
      <c r="H1206" t="s">
        <v>14201</v>
      </c>
      <c r="I1206" t="s">
        <v>32655</v>
      </c>
      <c r="J1206" t="s">
        <v>33667</v>
      </c>
      <c r="K1206" t="s">
        <v>42638</v>
      </c>
      <c r="M1206" t="s">
        <v>43519</v>
      </c>
      <c r="N1206" t="s">
        <v>47304</v>
      </c>
      <c r="O1206" t="s">
        <v>47305</v>
      </c>
      <c r="P1206">
        <v>0</v>
      </c>
      <c r="Q1206">
        <v>0</v>
      </c>
      <c r="R1206" t="s">
        <v>47307</v>
      </c>
      <c r="S1206" t="s">
        <v>47416</v>
      </c>
      <c r="T1206" t="s">
        <v>49129</v>
      </c>
      <c r="U1206" t="s">
        <v>50638</v>
      </c>
      <c r="W1206" t="s">
        <v>43519</v>
      </c>
      <c r="X1206" t="s">
        <v>47306</v>
      </c>
    </row>
    <row r="1207" spans="1:24">
      <c r="A1207">
        <f>HYPERLINK("https://www.philgeps.gov.ph/GEPSNONPILOT/Tender/SplashBidNoticeAbstractUI.aspx?menuIndex=3&amp;refID=7198898&amp;Result=3","7198898")</f>
        <v>0</v>
      </c>
      <c r="B1207" t="s">
        <v>477</v>
      </c>
      <c r="C1207" t="s">
        <v>5027</v>
      </c>
      <c r="D1207" t="s">
        <v>19019</v>
      </c>
      <c r="E1207" t="s">
        <v>20204</v>
      </c>
      <c r="F1207" t="s">
        <v>32606</v>
      </c>
      <c r="G1207" t="s">
        <v>32613</v>
      </c>
      <c r="H1207" t="s">
        <v>14201</v>
      </c>
      <c r="I1207" t="s">
        <v>32696</v>
      </c>
      <c r="J1207" t="s">
        <v>32893</v>
      </c>
      <c r="K1207" t="s">
        <v>42631</v>
      </c>
      <c r="M1207" t="s">
        <v>43388</v>
      </c>
      <c r="N1207" t="s">
        <v>47304</v>
      </c>
      <c r="O1207" t="s">
        <v>47305</v>
      </c>
      <c r="P1207">
        <v>0</v>
      </c>
      <c r="Q1207">
        <v>0</v>
      </c>
      <c r="R1207" t="s">
        <v>47307</v>
      </c>
      <c r="S1207" t="s">
        <v>47416</v>
      </c>
      <c r="T1207" t="s">
        <v>48995</v>
      </c>
      <c r="U1207" t="s">
        <v>50639</v>
      </c>
      <c r="W1207" t="s">
        <v>43388</v>
      </c>
      <c r="X1207" t="s">
        <v>47306</v>
      </c>
    </row>
    <row r="1208" spans="1:24">
      <c r="A1208">
        <f>HYPERLINK("https://www.philgeps.gov.ph/GEPSNONPILOT/Tender/SplashBidNoticeAbstractUI.aspx?menuIndex=3&amp;refID=7198908&amp;Result=3","7198908")</f>
        <v>0</v>
      </c>
      <c r="B1208" t="s">
        <v>400</v>
      </c>
      <c r="C1208" t="s">
        <v>5028</v>
      </c>
      <c r="D1208" t="s">
        <v>19002</v>
      </c>
      <c r="E1208" t="s">
        <v>20205</v>
      </c>
      <c r="F1208" t="s">
        <v>32606</v>
      </c>
      <c r="G1208" t="s">
        <v>32613</v>
      </c>
      <c r="H1208" t="s">
        <v>14201</v>
      </c>
      <c r="I1208" t="s">
        <v>32697</v>
      </c>
      <c r="J1208" t="s">
        <v>33673</v>
      </c>
      <c r="K1208" t="s">
        <v>42624</v>
      </c>
      <c r="M1208" t="s">
        <v>43303</v>
      </c>
      <c r="N1208" t="s">
        <v>47304</v>
      </c>
      <c r="O1208" t="s">
        <v>47305</v>
      </c>
      <c r="P1208">
        <v>0</v>
      </c>
      <c r="Q1208">
        <v>0</v>
      </c>
      <c r="R1208" t="s">
        <v>47307</v>
      </c>
      <c r="S1208" t="s">
        <v>47416</v>
      </c>
      <c r="T1208" t="s">
        <v>49101</v>
      </c>
      <c r="U1208" t="s">
        <v>50640</v>
      </c>
      <c r="W1208" t="s">
        <v>43303</v>
      </c>
      <c r="X1208" t="s">
        <v>47306</v>
      </c>
    </row>
    <row r="1209" spans="1:24">
      <c r="A1209">
        <f>HYPERLINK("https://www.philgeps.gov.ph/GEPSNONPILOT/Tender/SplashBidNoticeAbstractUI.aspx?menuIndex=3&amp;refID=7198907&amp;Result=3","7198907")</f>
        <v>0</v>
      </c>
      <c r="B1209" t="s">
        <v>631</v>
      </c>
      <c r="C1209" t="s">
        <v>5029</v>
      </c>
      <c r="D1209" t="s">
        <v>18988</v>
      </c>
      <c r="E1209" t="s">
        <v>20206</v>
      </c>
      <c r="F1209" t="s">
        <v>32606</v>
      </c>
      <c r="G1209" t="s">
        <v>32614</v>
      </c>
      <c r="H1209" t="s">
        <v>14201</v>
      </c>
      <c r="I1209" t="s">
        <v>7677</v>
      </c>
      <c r="J1209" t="s">
        <v>33674</v>
      </c>
      <c r="K1209" t="s">
        <v>42631</v>
      </c>
      <c r="M1209" t="s">
        <v>43549</v>
      </c>
      <c r="N1209" t="s">
        <v>47304</v>
      </c>
      <c r="O1209" t="s">
        <v>47305</v>
      </c>
      <c r="P1209">
        <v>0</v>
      </c>
      <c r="Q1209">
        <v>0</v>
      </c>
      <c r="R1209" t="s">
        <v>47307</v>
      </c>
      <c r="S1209" t="s">
        <v>47416</v>
      </c>
      <c r="T1209" t="s">
        <v>49028</v>
      </c>
      <c r="U1209" t="s">
        <v>50641</v>
      </c>
      <c r="W1209" t="s">
        <v>43549</v>
      </c>
      <c r="X1209" t="s">
        <v>47306</v>
      </c>
    </row>
    <row r="1210" spans="1:24">
      <c r="A1210">
        <f>HYPERLINK("https://www.philgeps.gov.ph/GEPSNONPILOT/Tender/SplashBidNoticeAbstractUI.aspx?menuIndex=3&amp;refID=7198901&amp;Result=3","7198901")</f>
        <v>0</v>
      </c>
      <c r="B1210" t="s">
        <v>481</v>
      </c>
      <c r="C1210" t="s">
        <v>5030</v>
      </c>
      <c r="D1210" t="s">
        <v>18993</v>
      </c>
      <c r="E1210" t="s">
        <v>20207</v>
      </c>
      <c r="F1210" t="s">
        <v>32606</v>
      </c>
      <c r="G1210" t="s">
        <v>32617</v>
      </c>
      <c r="H1210" t="s">
        <v>14201</v>
      </c>
      <c r="I1210" t="s">
        <v>7577</v>
      </c>
      <c r="J1210" t="s">
        <v>33675</v>
      </c>
      <c r="K1210" t="s">
        <v>42627</v>
      </c>
      <c r="M1210" t="s">
        <v>43392</v>
      </c>
      <c r="N1210" t="s">
        <v>47304</v>
      </c>
      <c r="O1210" t="s">
        <v>47305</v>
      </c>
      <c r="P1210">
        <v>0</v>
      </c>
      <c r="Q1210">
        <v>0</v>
      </c>
      <c r="R1210" t="s">
        <v>47307</v>
      </c>
      <c r="S1210" t="s">
        <v>47416</v>
      </c>
      <c r="T1210" t="s">
        <v>49081</v>
      </c>
      <c r="U1210" t="s">
        <v>50642</v>
      </c>
      <c r="W1210" t="s">
        <v>43392</v>
      </c>
      <c r="X1210" t="s">
        <v>47306</v>
      </c>
    </row>
    <row r="1211" spans="1:24">
      <c r="A1211">
        <f>HYPERLINK("https://www.philgeps.gov.ph/GEPSNONPILOT/Tender/SplashBidNoticeAbstractUI.aspx?menuIndex=3&amp;refID=7198906&amp;Result=3","7198906")</f>
        <v>0</v>
      </c>
      <c r="B1211" t="s">
        <v>238</v>
      </c>
      <c r="C1211" t="s">
        <v>5031</v>
      </c>
      <c r="D1211" t="s">
        <v>18993</v>
      </c>
      <c r="E1211" t="s">
        <v>20208</v>
      </c>
      <c r="F1211" t="s">
        <v>32606</v>
      </c>
      <c r="G1211" t="s">
        <v>32619</v>
      </c>
      <c r="H1211" t="s">
        <v>14201</v>
      </c>
      <c r="I1211" t="s">
        <v>9013</v>
      </c>
      <c r="J1211" t="s">
        <v>33676</v>
      </c>
      <c r="K1211" t="s">
        <v>42622</v>
      </c>
      <c r="M1211" t="s">
        <v>43357</v>
      </c>
      <c r="N1211" t="s">
        <v>47304</v>
      </c>
      <c r="O1211" t="s">
        <v>47305</v>
      </c>
      <c r="P1211">
        <v>0</v>
      </c>
      <c r="Q1211">
        <v>0</v>
      </c>
      <c r="R1211" t="s">
        <v>47307</v>
      </c>
      <c r="S1211" t="s">
        <v>47416</v>
      </c>
      <c r="T1211" t="s">
        <v>49123</v>
      </c>
      <c r="U1211" t="s">
        <v>50643</v>
      </c>
      <c r="V1211" t="s">
        <v>62749</v>
      </c>
      <c r="W1211" t="s">
        <v>43357</v>
      </c>
      <c r="X1211" t="s">
        <v>47306</v>
      </c>
    </row>
    <row r="1212" spans="1:24">
      <c r="A1212">
        <f>HYPERLINK("https://www.philgeps.gov.ph/GEPSNONPILOT/Tender/SplashBidNoticeAbstractUI.aspx?menuIndex=3&amp;refID=7198905&amp;Result=3","7198905")</f>
        <v>0</v>
      </c>
      <c r="B1212" t="s">
        <v>632</v>
      </c>
      <c r="C1212" t="s">
        <v>5032</v>
      </c>
      <c r="D1212" t="s">
        <v>18994</v>
      </c>
      <c r="E1212" t="s">
        <v>20209</v>
      </c>
      <c r="F1212" t="s">
        <v>32606</v>
      </c>
      <c r="G1212" t="s">
        <v>32614</v>
      </c>
      <c r="H1212" t="s">
        <v>14201</v>
      </c>
      <c r="I1212" t="s">
        <v>13131</v>
      </c>
      <c r="J1212" t="s">
        <v>33677</v>
      </c>
      <c r="K1212" t="s">
        <v>42623</v>
      </c>
      <c r="M1212" t="s">
        <v>43550</v>
      </c>
      <c r="N1212" t="s">
        <v>47304</v>
      </c>
      <c r="O1212" t="s">
        <v>47305</v>
      </c>
      <c r="P1212">
        <v>0</v>
      </c>
      <c r="Q1212">
        <v>0</v>
      </c>
      <c r="R1212" t="s">
        <v>47307</v>
      </c>
      <c r="S1212" t="s">
        <v>47416</v>
      </c>
      <c r="T1212" t="s">
        <v>48972</v>
      </c>
      <c r="U1212" t="s">
        <v>50644</v>
      </c>
      <c r="W1212" t="s">
        <v>43550</v>
      </c>
      <c r="X1212" t="s">
        <v>47306</v>
      </c>
    </row>
    <row r="1213" spans="1:24">
      <c r="A1213">
        <f>HYPERLINK("https://www.philgeps.gov.ph/GEPSNONPILOT/Tender/SplashBidNoticeAbstractUI.aspx?menuIndex=3&amp;refID=7198904&amp;Result=3","7198904")</f>
        <v>0</v>
      </c>
      <c r="B1213" t="s">
        <v>633</v>
      </c>
      <c r="C1213" t="s">
        <v>5033</v>
      </c>
      <c r="D1213" t="s">
        <v>18995</v>
      </c>
      <c r="E1213" t="s">
        <v>20210</v>
      </c>
      <c r="F1213" t="s">
        <v>32606</v>
      </c>
      <c r="G1213" t="s">
        <v>32614</v>
      </c>
      <c r="H1213" t="s">
        <v>14201</v>
      </c>
      <c r="I1213" t="s">
        <v>6478</v>
      </c>
      <c r="J1213" t="s">
        <v>32949</v>
      </c>
      <c r="K1213" t="s">
        <v>42623</v>
      </c>
      <c r="M1213" t="s">
        <v>43551</v>
      </c>
      <c r="N1213" t="s">
        <v>47304</v>
      </c>
      <c r="O1213" t="s">
        <v>47305</v>
      </c>
      <c r="P1213">
        <v>0</v>
      </c>
      <c r="Q1213">
        <v>0</v>
      </c>
      <c r="R1213" t="s">
        <v>47307</v>
      </c>
      <c r="S1213" t="s">
        <v>47416</v>
      </c>
      <c r="T1213" t="s">
        <v>49028</v>
      </c>
      <c r="U1213" t="s">
        <v>50645</v>
      </c>
      <c r="W1213" t="s">
        <v>43551</v>
      </c>
      <c r="X1213" t="s">
        <v>47306</v>
      </c>
    </row>
    <row r="1214" spans="1:24">
      <c r="A1214">
        <f>HYPERLINK("https://www.philgeps.gov.ph/GEPSNONPILOT/Tender/SplashBidNoticeAbstractUI.aspx?menuIndex=3&amp;refID=7198902&amp;Result=3","7198902")</f>
        <v>0</v>
      </c>
      <c r="B1214" t="s">
        <v>618</v>
      </c>
      <c r="C1214" t="s">
        <v>5034</v>
      </c>
      <c r="D1214" t="s">
        <v>19066</v>
      </c>
      <c r="E1214" t="s">
        <v>20211</v>
      </c>
      <c r="F1214" t="s">
        <v>32606</v>
      </c>
      <c r="G1214" t="s">
        <v>32614</v>
      </c>
      <c r="H1214" t="s">
        <v>14201</v>
      </c>
      <c r="I1214" t="s">
        <v>6931</v>
      </c>
      <c r="J1214" t="s">
        <v>33678</v>
      </c>
      <c r="K1214" t="s">
        <v>42624</v>
      </c>
      <c r="M1214" t="s">
        <v>43536</v>
      </c>
      <c r="N1214" t="s">
        <v>47304</v>
      </c>
      <c r="O1214" t="s">
        <v>47305</v>
      </c>
      <c r="P1214">
        <v>0</v>
      </c>
      <c r="Q1214">
        <v>0</v>
      </c>
      <c r="R1214" t="s">
        <v>47307</v>
      </c>
      <c r="S1214" t="s">
        <v>47416</v>
      </c>
      <c r="T1214" t="s">
        <v>49023</v>
      </c>
      <c r="U1214" t="s">
        <v>50620</v>
      </c>
      <c r="W1214" t="s">
        <v>43536</v>
      </c>
      <c r="X1214" t="s">
        <v>47306</v>
      </c>
    </row>
    <row r="1215" spans="1:24">
      <c r="A1215">
        <f>HYPERLINK("https://www.philgeps.gov.ph/GEPSNONPILOT/Tender/SplashBidNoticeAbstractUI.aspx?menuIndex=3&amp;refID=7198879&amp;Result=3","7198879")</f>
        <v>0</v>
      </c>
      <c r="B1215" t="s">
        <v>605</v>
      </c>
      <c r="C1215" t="s">
        <v>5035</v>
      </c>
      <c r="D1215" t="s">
        <v>19024</v>
      </c>
      <c r="E1215" t="s">
        <v>20212</v>
      </c>
      <c r="F1215" t="s">
        <v>32606</v>
      </c>
      <c r="G1215" t="s">
        <v>32613</v>
      </c>
      <c r="H1215" t="s">
        <v>32623</v>
      </c>
      <c r="I1215" t="s">
        <v>17648</v>
      </c>
      <c r="J1215" t="s">
        <v>33103</v>
      </c>
      <c r="K1215" t="s">
        <v>42636</v>
      </c>
      <c r="M1215" t="s">
        <v>43521</v>
      </c>
      <c r="N1215" t="s">
        <v>47304</v>
      </c>
      <c r="O1215" t="s">
        <v>47305</v>
      </c>
      <c r="P1215">
        <v>0</v>
      </c>
      <c r="Q1215">
        <v>0</v>
      </c>
      <c r="R1215" t="s">
        <v>47307</v>
      </c>
      <c r="S1215" t="s">
        <v>47416</v>
      </c>
      <c r="T1215" t="s">
        <v>48996</v>
      </c>
      <c r="U1215" t="s">
        <v>50646</v>
      </c>
      <c r="W1215" t="s">
        <v>43521</v>
      </c>
      <c r="X1215" t="s">
        <v>47306</v>
      </c>
    </row>
    <row r="1216" spans="1:24">
      <c r="A1216">
        <f>HYPERLINK("https://www.philgeps.gov.ph/GEPSNONPILOT/Tender/SplashBidNoticeAbstractUI.aspx?menuIndex=3&amp;refID=7198910&amp;Result=3","7198910")</f>
        <v>0</v>
      </c>
      <c r="B1216" t="s">
        <v>634</v>
      </c>
      <c r="C1216" t="s">
        <v>5036</v>
      </c>
      <c r="D1216" t="s">
        <v>19056</v>
      </c>
      <c r="E1216" t="s">
        <v>20213</v>
      </c>
      <c r="F1216" t="s">
        <v>32606</v>
      </c>
      <c r="G1216" t="s">
        <v>32613</v>
      </c>
      <c r="H1216" t="s">
        <v>14201</v>
      </c>
      <c r="I1216" t="s">
        <v>32635</v>
      </c>
      <c r="J1216" t="s">
        <v>33679</v>
      </c>
      <c r="K1216" t="s">
        <v>42623</v>
      </c>
      <c r="M1216" t="s">
        <v>43552</v>
      </c>
      <c r="N1216" t="s">
        <v>47304</v>
      </c>
      <c r="O1216" t="s">
        <v>47305</v>
      </c>
      <c r="P1216">
        <v>0</v>
      </c>
      <c r="Q1216">
        <v>0</v>
      </c>
      <c r="R1216" t="s">
        <v>47307</v>
      </c>
      <c r="S1216" t="s">
        <v>47416</v>
      </c>
      <c r="T1216" t="s">
        <v>49031</v>
      </c>
      <c r="U1216" t="s">
        <v>50647</v>
      </c>
      <c r="W1216" t="s">
        <v>43552</v>
      </c>
      <c r="X1216" t="s">
        <v>47306</v>
      </c>
    </row>
    <row r="1217" spans="1:24">
      <c r="A1217">
        <f>HYPERLINK("https://www.philgeps.gov.ph/GEPSNONPILOT/Tender/SplashBidNoticeAbstractUI.aspx?menuIndex=3&amp;refID=7198878&amp;Result=3","7198878")</f>
        <v>0</v>
      </c>
      <c r="B1217" t="s">
        <v>635</v>
      </c>
      <c r="C1217" t="s">
        <v>5037</v>
      </c>
      <c r="E1217" t="s">
        <v>20214</v>
      </c>
      <c r="F1217" t="s">
        <v>32606</v>
      </c>
      <c r="G1217" t="s">
        <v>32613</v>
      </c>
      <c r="H1217" t="s">
        <v>14201</v>
      </c>
      <c r="I1217" t="s">
        <v>13131</v>
      </c>
      <c r="J1217" t="s">
        <v>33680</v>
      </c>
      <c r="K1217" t="s">
        <v>42624</v>
      </c>
      <c r="M1217" t="s">
        <v>43553</v>
      </c>
      <c r="N1217" t="s">
        <v>47304</v>
      </c>
      <c r="O1217" t="s">
        <v>47305</v>
      </c>
      <c r="P1217">
        <v>0</v>
      </c>
      <c r="Q1217">
        <v>0</v>
      </c>
      <c r="R1217" t="s">
        <v>47307</v>
      </c>
      <c r="S1217" t="s">
        <v>47416</v>
      </c>
      <c r="T1217" t="s">
        <v>49122</v>
      </c>
      <c r="U1217" t="s">
        <v>50648</v>
      </c>
      <c r="W1217" t="s">
        <v>64444</v>
      </c>
      <c r="X1217" t="s">
        <v>47306</v>
      </c>
    </row>
    <row r="1218" spans="1:24">
      <c r="A1218">
        <f>HYPERLINK("https://www.philgeps.gov.ph/GEPSNONPILOT/Tender/SplashBidNoticeAbstractUI.aspx?menuIndex=3&amp;refID=7198858&amp;Result=3","7198858")</f>
        <v>0</v>
      </c>
      <c r="B1218" t="s">
        <v>586</v>
      </c>
      <c r="C1218" t="s">
        <v>5038</v>
      </c>
      <c r="E1218" t="s">
        <v>20215</v>
      </c>
      <c r="F1218" t="s">
        <v>32606</v>
      </c>
      <c r="G1218" t="s">
        <v>32613</v>
      </c>
      <c r="H1218" t="s">
        <v>32623</v>
      </c>
      <c r="I1218" t="s">
        <v>17648</v>
      </c>
      <c r="J1218" t="s">
        <v>33681</v>
      </c>
      <c r="K1218" t="s">
        <v>42636</v>
      </c>
      <c r="M1218" t="s">
        <v>43501</v>
      </c>
      <c r="N1218" t="s">
        <v>47304</v>
      </c>
      <c r="O1218" t="s">
        <v>47305</v>
      </c>
      <c r="P1218">
        <v>0</v>
      </c>
      <c r="Q1218">
        <v>0</v>
      </c>
      <c r="R1218" t="s">
        <v>47307</v>
      </c>
      <c r="S1218" t="s">
        <v>47416</v>
      </c>
      <c r="T1218" t="s">
        <v>49152</v>
      </c>
      <c r="U1218" t="s">
        <v>50649</v>
      </c>
      <c r="W1218" t="s">
        <v>43501</v>
      </c>
      <c r="X1218" t="s">
        <v>47306</v>
      </c>
    </row>
    <row r="1219" spans="1:24">
      <c r="A1219">
        <f>HYPERLINK("https://www.philgeps.gov.ph/GEPSNONPILOT/Tender/SplashBidNoticeAbstractUI.aspx?menuIndex=3&amp;refID=7198855&amp;Result=3","7198855")</f>
        <v>0</v>
      </c>
      <c r="B1219" t="s">
        <v>467</v>
      </c>
      <c r="C1219" t="s">
        <v>5039</v>
      </c>
      <c r="D1219" t="s">
        <v>19004</v>
      </c>
      <c r="E1219" t="s">
        <v>20216</v>
      </c>
      <c r="F1219" t="s">
        <v>32606</v>
      </c>
      <c r="G1219" t="s">
        <v>32614</v>
      </c>
      <c r="H1219" t="s">
        <v>14201</v>
      </c>
      <c r="I1219" t="s">
        <v>32680</v>
      </c>
      <c r="J1219" t="s">
        <v>32789</v>
      </c>
      <c r="K1219" t="s">
        <v>42624</v>
      </c>
      <c r="M1219" t="s">
        <v>43378</v>
      </c>
      <c r="N1219" t="s">
        <v>47304</v>
      </c>
      <c r="O1219" t="s">
        <v>47305</v>
      </c>
      <c r="P1219">
        <v>0</v>
      </c>
      <c r="Q1219">
        <v>0</v>
      </c>
      <c r="R1219" t="s">
        <v>47307</v>
      </c>
      <c r="S1219" t="s">
        <v>47416</v>
      </c>
      <c r="T1219" t="s">
        <v>48996</v>
      </c>
      <c r="U1219" t="s">
        <v>50376</v>
      </c>
      <c r="W1219" t="s">
        <v>43378</v>
      </c>
      <c r="X1219" t="s">
        <v>47306</v>
      </c>
    </row>
    <row r="1220" spans="1:24">
      <c r="A1220">
        <f>HYPERLINK("https://www.philgeps.gov.ph/GEPSNONPILOT/Tender/SplashBidNoticeAbstractUI.aspx?menuIndex=3&amp;refID=7198917&amp;Result=3","7198917")</f>
        <v>0</v>
      </c>
      <c r="B1220" t="s">
        <v>636</v>
      </c>
      <c r="C1220" t="s">
        <v>5040</v>
      </c>
      <c r="D1220" t="s">
        <v>19019</v>
      </c>
      <c r="E1220" t="s">
        <v>20217</v>
      </c>
      <c r="F1220" t="s">
        <v>32606</v>
      </c>
      <c r="G1220" t="s">
        <v>32613</v>
      </c>
      <c r="H1220" t="s">
        <v>32623</v>
      </c>
      <c r="I1220" t="s">
        <v>17648</v>
      </c>
      <c r="J1220" t="s">
        <v>33682</v>
      </c>
      <c r="K1220" t="s">
        <v>42639</v>
      </c>
      <c r="M1220" t="s">
        <v>43554</v>
      </c>
      <c r="N1220" t="s">
        <v>47304</v>
      </c>
      <c r="O1220" t="s">
        <v>47305</v>
      </c>
      <c r="P1220">
        <v>0</v>
      </c>
      <c r="Q1220">
        <v>0</v>
      </c>
      <c r="R1220" t="s">
        <v>47307</v>
      </c>
      <c r="S1220" t="s">
        <v>47416</v>
      </c>
      <c r="T1220" t="s">
        <v>48973</v>
      </c>
      <c r="U1220" t="s">
        <v>50650</v>
      </c>
      <c r="W1220" t="s">
        <v>43554</v>
      </c>
      <c r="X1220" t="s">
        <v>47306</v>
      </c>
    </row>
    <row r="1221" spans="1:24">
      <c r="A1221">
        <f>HYPERLINK("https://www.philgeps.gov.ph/GEPSNONPILOT/Tender/SplashBidNoticeAbstractUI.aspx?menuIndex=3&amp;refID=7198903&amp;Result=3","7198903")</f>
        <v>0</v>
      </c>
      <c r="B1221" t="s">
        <v>325</v>
      </c>
      <c r="C1221" t="s">
        <v>5041</v>
      </c>
      <c r="D1221" t="s">
        <v>18992</v>
      </c>
      <c r="E1221" t="s">
        <v>20218</v>
      </c>
      <c r="F1221" t="s">
        <v>32606</v>
      </c>
      <c r="G1221" t="s">
        <v>32614</v>
      </c>
      <c r="H1221" t="s">
        <v>14201</v>
      </c>
      <c r="I1221" t="s">
        <v>32638</v>
      </c>
      <c r="J1221" t="s">
        <v>33683</v>
      </c>
      <c r="K1221" t="s">
        <v>42622</v>
      </c>
      <c r="M1221" t="s">
        <v>43227</v>
      </c>
      <c r="N1221" t="s">
        <v>47304</v>
      </c>
      <c r="O1221" t="s">
        <v>47305</v>
      </c>
      <c r="P1221">
        <v>0</v>
      </c>
      <c r="Q1221">
        <v>0</v>
      </c>
      <c r="R1221" t="s">
        <v>47307</v>
      </c>
      <c r="S1221" t="s">
        <v>47416</v>
      </c>
      <c r="T1221" t="s">
        <v>48975</v>
      </c>
      <c r="U1221" t="s">
        <v>50651</v>
      </c>
      <c r="W1221" t="s">
        <v>43227</v>
      </c>
      <c r="X1221" t="s">
        <v>47306</v>
      </c>
    </row>
    <row r="1222" spans="1:24">
      <c r="A1222">
        <f>HYPERLINK("https://www.philgeps.gov.ph/GEPSNONPILOT/Tender/SplashBidNoticeAbstractUI.aspx?menuIndex=3&amp;refID=7198911&amp;Result=3","7198911")</f>
        <v>0</v>
      </c>
      <c r="B1222" t="s">
        <v>637</v>
      </c>
      <c r="C1222" t="s">
        <v>5042</v>
      </c>
      <c r="D1222" t="s">
        <v>19040</v>
      </c>
      <c r="E1222" t="s">
        <v>20219</v>
      </c>
      <c r="F1222" t="s">
        <v>32606</v>
      </c>
      <c r="G1222" t="s">
        <v>32614</v>
      </c>
      <c r="H1222" t="s">
        <v>14201</v>
      </c>
      <c r="I1222" t="s">
        <v>32638</v>
      </c>
      <c r="J1222" t="s">
        <v>33684</v>
      </c>
      <c r="K1222" t="s">
        <v>42636</v>
      </c>
      <c r="M1222" t="s">
        <v>43555</v>
      </c>
      <c r="N1222" t="s">
        <v>47304</v>
      </c>
      <c r="O1222" t="s">
        <v>47305</v>
      </c>
      <c r="P1222">
        <v>0</v>
      </c>
      <c r="Q1222">
        <v>0</v>
      </c>
      <c r="R1222" t="s">
        <v>47307</v>
      </c>
      <c r="S1222" t="s">
        <v>47416</v>
      </c>
      <c r="T1222" t="s">
        <v>49096</v>
      </c>
      <c r="U1222" t="s">
        <v>50652</v>
      </c>
      <c r="W1222" t="s">
        <v>43555</v>
      </c>
      <c r="X1222" t="s">
        <v>47306</v>
      </c>
    </row>
    <row r="1223" spans="1:24">
      <c r="A1223">
        <f>HYPERLINK("https://www.philgeps.gov.ph/GEPSNONPILOT/Tender/SplashBidNoticeAbstractUI.aspx?menuIndex=3&amp;refID=7198877&amp;Result=3","7198877")</f>
        <v>0</v>
      </c>
      <c r="B1223" t="s">
        <v>623</v>
      </c>
      <c r="C1223" t="s">
        <v>5043</v>
      </c>
      <c r="D1223" t="s">
        <v>19024</v>
      </c>
      <c r="E1223" t="s">
        <v>20220</v>
      </c>
      <c r="F1223" t="s">
        <v>32606</v>
      </c>
      <c r="G1223" t="s">
        <v>32619</v>
      </c>
      <c r="H1223" t="s">
        <v>14201</v>
      </c>
      <c r="I1223" t="s">
        <v>6931</v>
      </c>
      <c r="J1223" t="s">
        <v>33667</v>
      </c>
      <c r="K1223" t="s">
        <v>42630</v>
      </c>
      <c r="M1223" t="s">
        <v>43541</v>
      </c>
      <c r="N1223" t="s">
        <v>47304</v>
      </c>
      <c r="O1223" t="s">
        <v>47305</v>
      </c>
      <c r="P1223">
        <v>0</v>
      </c>
      <c r="Q1223">
        <v>0</v>
      </c>
      <c r="R1223" t="s">
        <v>47307</v>
      </c>
      <c r="S1223" t="s">
        <v>47416</v>
      </c>
      <c r="T1223" t="s">
        <v>49123</v>
      </c>
      <c r="U1223" t="s">
        <v>50653</v>
      </c>
      <c r="W1223" t="s">
        <v>43541</v>
      </c>
      <c r="X1223" t="s">
        <v>47306</v>
      </c>
    </row>
    <row r="1224" spans="1:24">
      <c r="A1224">
        <f>HYPERLINK("https://www.philgeps.gov.ph/GEPSNONPILOT/Tender/SplashBidNoticeAbstractUI.aspx?menuIndex=3&amp;refID=7198856&amp;Result=3","7198856")</f>
        <v>0</v>
      </c>
      <c r="B1224" t="s">
        <v>603</v>
      </c>
      <c r="C1224" t="s">
        <v>5044</v>
      </c>
      <c r="D1224" t="s">
        <v>19027</v>
      </c>
      <c r="E1224" t="s">
        <v>20221</v>
      </c>
      <c r="F1224" t="s">
        <v>32606</v>
      </c>
      <c r="G1224" t="s">
        <v>32613</v>
      </c>
      <c r="H1224" t="s">
        <v>14201</v>
      </c>
      <c r="I1224" t="s">
        <v>32655</v>
      </c>
      <c r="J1224" t="s">
        <v>33685</v>
      </c>
      <c r="K1224" t="s">
        <v>42638</v>
      </c>
      <c r="M1224" t="s">
        <v>43519</v>
      </c>
      <c r="N1224" t="s">
        <v>47304</v>
      </c>
      <c r="O1224" t="s">
        <v>47305</v>
      </c>
      <c r="P1224">
        <v>0</v>
      </c>
      <c r="Q1224">
        <v>0</v>
      </c>
      <c r="R1224" t="s">
        <v>47307</v>
      </c>
      <c r="S1224" t="s">
        <v>47416</v>
      </c>
      <c r="T1224" t="s">
        <v>49129</v>
      </c>
      <c r="U1224" t="s">
        <v>50654</v>
      </c>
      <c r="W1224" t="s">
        <v>43519</v>
      </c>
      <c r="X1224" t="s">
        <v>47306</v>
      </c>
    </row>
    <row r="1225" spans="1:24">
      <c r="A1225">
        <f>HYPERLINK("https://www.philgeps.gov.ph/GEPSNONPILOT/Tender/SplashBidNoticeAbstractUI.aspx?menuIndex=3&amp;refID=7198950&amp;Result=3","7198950")</f>
        <v>0</v>
      </c>
      <c r="B1225" t="s">
        <v>638</v>
      </c>
      <c r="C1225" t="s">
        <v>5045</v>
      </c>
      <c r="D1225" t="s">
        <v>19019</v>
      </c>
      <c r="E1225" t="s">
        <v>20222</v>
      </c>
      <c r="F1225" t="s">
        <v>32606</v>
      </c>
      <c r="G1225" t="s">
        <v>32614</v>
      </c>
      <c r="H1225" t="s">
        <v>14201</v>
      </c>
      <c r="I1225" t="s">
        <v>32692</v>
      </c>
      <c r="J1225" t="s">
        <v>33686</v>
      </c>
      <c r="K1225" t="s">
        <v>42630</v>
      </c>
      <c r="M1225" t="s">
        <v>43556</v>
      </c>
      <c r="N1225" t="s">
        <v>47304</v>
      </c>
      <c r="O1225" t="s">
        <v>47305</v>
      </c>
      <c r="P1225">
        <v>0</v>
      </c>
      <c r="Q1225">
        <v>0</v>
      </c>
      <c r="R1225" t="s">
        <v>47307</v>
      </c>
      <c r="S1225" t="s">
        <v>47416</v>
      </c>
      <c r="T1225" t="s">
        <v>49015</v>
      </c>
      <c r="U1225" t="s">
        <v>50655</v>
      </c>
      <c r="W1225" t="s">
        <v>43556</v>
      </c>
      <c r="X1225" t="s">
        <v>47306</v>
      </c>
    </row>
    <row r="1226" spans="1:24">
      <c r="A1226">
        <f>HYPERLINK("https://www.philgeps.gov.ph/GEPSNONPILOT/Tender/SplashBidNoticeAbstractUI.aspx?menuIndex=3&amp;refID=7198947&amp;Result=3","7198947")</f>
        <v>0</v>
      </c>
      <c r="B1226" t="s">
        <v>639</v>
      </c>
      <c r="C1226" t="s">
        <v>5046</v>
      </c>
      <c r="D1226" t="s">
        <v>19006</v>
      </c>
      <c r="E1226" t="s">
        <v>20223</v>
      </c>
      <c r="F1226" t="s">
        <v>32606</v>
      </c>
      <c r="G1226" t="s">
        <v>32614</v>
      </c>
      <c r="H1226" t="s">
        <v>14201</v>
      </c>
      <c r="I1226" t="s">
        <v>6298</v>
      </c>
      <c r="J1226" t="s">
        <v>33687</v>
      </c>
      <c r="K1226" t="s">
        <v>42622</v>
      </c>
      <c r="M1226" t="s">
        <v>43557</v>
      </c>
      <c r="N1226" t="s">
        <v>47304</v>
      </c>
      <c r="O1226" t="s">
        <v>47305</v>
      </c>
      <c r="P1226">
        <v>0</v>
      </c>
      <c r="Q1226">
        <v>0</v>
      </c>
      <c r="R1226" t="s">
        <v>47307</v>
      </c>
      <c r="S1226" t="s">
        <v>47416</v>
      </c>
      <c r="T1226" t="s">
        <v>49015</v>
      </c>
      <c r="U1226" t="s">
        <v>50656</v>
      </c>
      <c r="V1226" t="s">
        <v>62792</v>
      </c>
      <c r="W1226" t="s">
        <v>43557</v>
      </c>
      <c r="X1226" t="s">
        <v>47306</v>
      </c>
    </row>
    <row r="1227" spans="1:24">
      <c r="A1227">
        <f>HYPERLINK("https://www.philgeps.gov.ph/GEPSNONPILOT/Tender/SplashBidNoticeAbstractUI.aspx?menuIndex=3&amp;refID=7198951&amp;Result=3","7198951")</f>
        <v>0</v>
      </c>
      <c r="B1227" t="s">
        <v>605</v>
      </c>
      <c r="C1227" t="s">
        <v>5047</v>
      </c>
      <c r="D1227" t="s">
        <v>19024</v>
      </c>
      <c r="E1227" t="s">
        <v>20224</v>
      </c>
      <c r="F1227" t="s">
        <v>32606</v>
      </c>
      <c r="G1227" t="s">
        <v>32613</v>
      </c>
      <c r="H1227" t="s">
        <v>32623</v>
      </c>
      <c r="I1227" t="s">
        <v>17648</v>
      </c>
      <c r="J1227" t="s">
        <v>33103</v>
      </c>
      <c r="K1227" t="s">
        <v>42636</v>
      </c>
      <c r="M1227" t="s">
        <v>43521</v>
      </c>
      <c r="N1227" t="s">
        <v>47304</v>
      </c>
      <c r="O1227" t="s">
        <v>47305</v>
      </c>
      <c r="P1227">
        <v>0</v>
      </c>
      <c r="Q1227">
        <v>0</v>
      </c>
      <c r="R1227" t="s">
        <v>47307</v>
      </c>
      <c r="S1227" t="s">
        <v>47416</v>
      </c>
      <c r="T1227" t="s">
        <v>48996</v>
      </c>
      <c r="U1227" t="s">
        <v>50646</v>
      </c>
      <c r="W1227" t="s">
        <v>43521</v>
      </c>
      <c r="X1227" t="s">
        <v>47306</v>
      </c>
    </row>
    <row r="1228" spans="1:24">
      <c r="A1228">
        <f>HYPERLINK("https://www.philgeps.gov.ph/GEPSNONPILOT/Tender/SplashBidNoticeAbstractUI.aspx?menuIndex=3&amp;refID=7198913&amp;Result=3","7198913")</f>
        <v>0</v>
      </c>
      <c r="B1228" t="s">
        <v>640</v>
      </c>
      <c r="C1228" t="s">
        <v>5048</v>
      </c>
      <c r="D1228" t="s">
        <v>19066</v>
      </c>
      <c r="E1228" t="s">
        <v>20225</v>
      </c>
      <c r="F1228" t="s">
        <v>32606</v>
      </c>
      <c r="G1228" t="s">
        <v>32614</v>
      </c>
      <c r="H1228" t="s">
        <v>14201</v>
      </c>
      <c r="I1228" t="s">
        <v>4678</v>
      </c>
      <c r="J1228" t="s">
        <v>33688</v>
      </c>
      <c r="K1228" t="s">
        <v>42622</v>
      </c>
      <c r="M1228" t="s">
        <v>43558</v>
      </c>
      <c r="N1228" t="s">
        <v>47304</v>
      </c>
      <c r="O1228" t="s">
        <v>47305</v>
      </c>
      <c r="P1228">
        <v>0</v>
      </c>
      <c r="Q1228">
        <v>0</v>
      </c>
      <c r="R1228" t="s">
        <v>47307</v>
      </c>
      <c r="S1228" t="s">
        <v>47416</v>
      </c>
      <c r="T1228" t="s">
        <v>48987</v>
      </c>
      <c r="U1228" t="s">
        <v>50657</v>
      </c>
      <c r="W1228" t="s">
        <v>43558</v>
      </c>
      <c r="X1228" t="s">
        <v>47306</v>
      </c>
    </row>
    <row r="1229" spans="1:24">
      <c r="A1229">
        <f>HYPERLINK("https://www.philgeps.gov.ph/GEPSNONPILOT/Tender/SplashBidNoticeAbstractUI.aspx?menuIndex=3&amp;refID=7198946&amp;Result=3","7198946")</f>
        <v>0</v>
      </c>
      <c r="B1229" t="s">
        <v>641</v>
      </c>
      <c r="C1229" t="s">
        <v>5049</v>
      </c>
      <c r="D1229" t="s">
        <v>19068</v>
      </c>
      <c r="E1229" t="s">
        <v>19232</v>
      </c>
      <c r="F1229" t="s">
        <v>32606</v>
      </c>
      <c r="G1229" t="s">
        <v>32613</v>
      </c>
      <c r="H1229" t="s">
        <v>14201</v>
      </c>
      <c r="I1229" t="s">
        <v>7677</v>
      </c>
      <c r="J1229" t="s">
        <v>33689</v>
      </c>
      <c r="K1229" t="s">
        <v>42627</v>
      </c>
      <c r="M1229" t="s">
        <v>43559</v>
      </c>
      <c r="N1229" t="s">
        <v>47304</v>
      </c>
      <c r="O1229" t="s">
        <v>47305</v>
      </c>
      <c r="P1229">
        <v>0</v>
      </c>
      <c r="Q1229">
        <v>0</v>
      </c>
      <c r="R1229" t="s">
        <v>47307</v>
      </c>
      <c r="S1229" t="s">
        <v>47416</v>
      </c>
      <c r="T1229" t="s">
        <v>49161</v>
      </c>
      <c r="U1229" t="s">
        <v>50658</v>
      </c>
      <c r="V1229" t="s">
        <v>62793</v>
      </c>
      <c r="W1229" t="s">
        <v>43559</v>
      </c>
      <c r="X1229" t="s">
        <v>47306</v>
      </c>
    </row>
    <row r="1230" spans="1:24">
      <c r="A1230">
        <f>HYPERLINK("https://www.philgeps.gov.ph/GEPSNONPILOT/Tender/SplashBidNoticeAbstractUI.aspx?menuIndex=3&amp;refID=7198927&amp;Result=3","7198927")</f>
        <v>0</v>
      </c>
      <c r="B1230" t="s">
        <v>535</v>
      </c>
      <c r="C1230" t="s">
        <v>5050</v>
      </c>
      <c r="D1230" t="s">
        <v>19031</v>
      </c>
      <c r="E1230" t="s">
        <v>20226</v>
      </c>
      <c r="F1230" t="s">
        <v>32606</v>
      </c>
      <c r="G1230" t="s">
        <v>32613</v>
      </c>
      <c r="H1230" t="s">
        <v>14201</v>
      </c>
      <c r="I1230" t="s">
        <v>4115</v>
      </c>
      <c r="J1230" t="s">
        <v>33690</v>
      </c>
      <c r="K1230" t="s">
        <v>42636</v>
      </c>
      <c r="M1230" t="s">
        <v>43448</v>
      </c>
      <c r="N1230" t="s">
        <v>47304</v>
      </c>
      <c r="O1230" t="s">
        <v>47305</v>
      </c>
      <c r="P1230">
        <v>0</v>
      </c>
      <c r="Q1230">
        <v>0</v>
      </c>
      <c r="R1230" t="s">
        <v>47307</v>
      </c>
      <c r="S1230" t="s">
        <v>47416</v>
      </c>
      <c r="T1230" t="s">
        <v>49008</v>
      </c>
      <c r="U1230" t="s">
        <v>50659</v>
      </c>
      <c r="W1230" t="s">
        <v>43448</v>
      </c>
      <c r="X1230" t="s">
        <v>47306</v>
      </c>
    </row>
    <row r="1231" spans="1:24">
      <c r="A1231">
        <f>HYPERLINK("https://www.philgeps.gov.ph/GEPSNONPILOT/Tender/SplashBidNoticeAbstractUI.aspx?menuIndex=3&amp;refID=7198942&amp;Result=3","7198942")</f>
        <v>0</v>
      </c>
      <c r="B1231" t="s">
        <v>447</v>
      </c>
      <c r="C1231" t="s">
        <v>5051</v>
      </c>
      <c r="D1231" t="s">
        <v>18990</v>
      </c>
      <c r="E1231" t="s">
        <v>20227</v>
      </c>
      <c r="F1231" t="s">
        <v>32606</v>
      </c>
      <c r="G1231" t="s">
        <v>32613</v>
      </c>
      <c r="H1231" t="s">
        <v>14201</v>
      </c>
      <c r="I1231" t="s">
        <v>32661</v>
      </c>
      <c r="J1231" t="s">
        <v>33691</v>
      </c>
      <c r="K1231" t="s">
        <v>42631</v>
      </c>
      <c r="M1231" t="s">
        <v>43355</v>
      </c>
      <c r="N1231" t="s">
        <v>47304</v>
      </c>
      <c r="O1231" t="s">
        <v>47305</v>
      </c>
      <c r="P1231">
        <v>0</v>
      </c>
      <c r="Q1231">
        <v>0</v>
      </c>
      <c r="R1231" t="s">
        <v>47307</v>
      </c>
      <c r="S1231" t="s">
        <v>47416</v>
      </c>
      <c r="T1231" t="s">
        <v>49008</v>
      </c>
      <c r="U1231" t="s">
        <v>50660</v>
      </c>
      <c r="V1231" t="s">
        <v>62748</v>
      </c>
      <c r="W1231" t="s">
        <v>43355</v>
      </c>
      <c r="X1231" t="s">
        <v>47306</v>
      </c>
    </row>
    <row r="1232" spans="1:24">
      <c r="A1232">
        <f>HYPERLINK("https://www.philgeps.gov.ph/GEPSNONPILOT/Tender/SplashBidNoticeAbstractUI.aspx?menuIndex=3&amp;refID=7198939&amp;Result=3","7198939")</f>
        <v>0</v>
      </c>
      <c r="B1232" t="s">
        <v>238</v>
      </c>
      <c r="C1232" t="s">
        <v>5052</v>
      </c>
      <c r="D1232" t="s">
        <v>18993</v>
      </c>
      <c r="E1232" t="s">
        <v>20228</v>
      </c>
      <c r="F1232" t="s">
        <v>32606</v>
      </c>
      <c r="G1232" t="s">
        <v>32619</v>
      </c>
      <c r="H1232" t="s">
        <v>14201</v>
      </c>
      <c r="I1232" t="s">
        <v>32683</v>
      </c>
      <c r="J1232" t="s">
        <v>33692</v>
      </c>
      <c r="K1232" t="s">
        <v>42622</v>
      </c>
      <c r="M1232" t="s">
        <v>43357</v>
      </c>
      <c r="N1232" t="s">
        <v>47304</v>
      </c>
      <c r="O1232" t="s">
        <v>47305</v>
      </c>
      <c r="P1232">
        <v>0</v>
      </c>
      <c r="Q1232">
        <v>0</v>
      </c>
      <c r="R1232" t="s">
        <v>47307</v>
      </c>
      <c r="S1232" t="s">
        <v>47416</v>
      </c>
      <c r="T1232" t="s">
        <v>49123</v>
      </c>
      <c r="U1232" t="s">
        <v>50661</v>
      </c>
      <c r="V1232" t="s">
        <v>62749</v>
      </c>
      <c r="W1232" t="s">
        <v>43357</v>
      </c>
      <c r="X1232" t="s">
        <v>47306</v>
      </c>
    </row>
    <row r="1233" spans="1:24">
      <c r="A1233">
        <f>HYPERLINK("https://www.philgeps.gov.ph/GEPSNONPILOT/Tender/SplashBidNoticeAbstractUI.aspx?menuIndex=3&amp;refID=7198945&amp;Result=3","7198945")</f>
        <v>0</v>
      </c>
      <c r="B1233" t="s">
        <v>404</v>
      </c>
      <c r="C1233" t="s">
        <v>5053</v>
      </c>
      <c r="D1233" t="s">
        <v>19023</v>
      </c>
      <c r="E1233" t="s">
        <v>20229</v>
      </c>
      <c r="F1233" t="s">
        <v>32606</v>
      </c>
      <c r="G1233" t="s">
        <v>32613</v>
      </c>
      <c r="H1233" t="s">
        <v>14201</v>
      </c>
      <c r="I1233" t="s">
        <v>7233</v>
      </c>
      <c r="J1233" t="s">
        <v>32926</v>
      </c>
      <c r="K1233" t="s">
        <v>42664</v>
      </c>
      <c r="M1233" t="s">
        <v>43308</v>
      </c>
      <c r="N1233" t="s">
        <v>47304</v>
      </c>
      <c r="O1233" t="s">
        <v>47305</v>
      </c>
      <c r="P1233">
        <v>0</v>
      </c>
      <c r="Q1233">
        <v>0</v>
      </c>
      <c r="R1233" t="s">
        <v>47307</v>
      </c>
      <c r="S1233" t="s">
        <v>47416</v>
      </c>
      <c r="T1233" t="s">
        <v>48971</v>
      </c>
      <c r="U1233" t="s">
        <v>50662</v>
      </c>
      <c r="V1233" t="s">
        <v>62737</v>
      </c>
      <c r="W1233" t="s">
        <v>43308</v>
      </c>
      <c r="X1233" t="s">
        <v>47306</v>
      </c>
    </row>
    <row r="1234" spans="1:24">
      <c r="A1234">
        <f>HYPERLINK("https://www.philgeps.gov.ph/GEPSNONPILOT/Tender/SplashBidNoticeAbstractUI.aspx?menuIndex=3&amp;refID=7198935&amp;Result=3","7198935")</f>
        <v>0</v>
      </c>
      <c r="B1234" t="s">
        <v>642</v>
      </c>
      <c r="C1234" t="s">
        <v>5054</v>
      </c>
      <c r="E1234" t="s">
        <v>20230</v>
      </c>
      <c r="F1234" t="s">
        <v>32606</v>
      </c>
      <c r="G1234" t="s">
        <v>32614</v>
      </c>
      <c r="H1234" t="s">
        <v>14201</v>
      </c>
      <c r="I1234" t="s">
        <v>32633</v>
      </c>
      <c r="J1234" t="s">
        <v>33693</v>
      </c>
      <c r="K1234" t="s">
        <v>42629</v>
      </c>
      <c r="M1234" t="s">
        <v>43560</v>
      </c>
      <c r="N1234" t="s">
        <v>47304</v>
      </c>
      <c r="O1234" t="s">
        <v>47305</v>
      </c>
      <c r="P1234">
        <v>0</v>
      </c>
      <c r="Q1234">
        <v>0</v>
      </c>
      <c r="R1234" t="s">
        <v>47307</v>
      </c>
      <c r="S1234" t="s">
        <v>47416</v>
      </c>
      <c r="T1234" t="s">
        <v>49108</v>
      </c>
      <c r="U1234" t="s">
        <v>50663</v>
      </c>
      <c r="V1234" t="s">
        <v>62794</v>
      </c>
      <c r="W1234" t="s">
        <v>43560</v>
      </c>
      <c r="X1234" t="s">
        <v>47306</v>
      </c>
    </row>
    <row r="1235" spans="1:24">
      <c r="A1235">
        <f>HYPERLINK("https://www.philgeps.gov.ph/GEPSNONPILOT/Tender/SplashBidNoticeAbstractUI.aspx?menuIndex=3&amp;refID=7198943&amp;Result=3","7198943")</f>
        <v>0</v>
      </c>
      <c r="B1235" t="s">
        <v>643</v>
      </c>
      <c r="C1235" t="s">
        <v>5055</v>
      </c>
      <c r="D1235" t="s">
        <v>19003</v>
      </c>
      <c r="E1235" t="s">
        <v>20231</v>
      </c>
      <c r="F1235" t="s">
        <v>32606</v>
      </c>
      <c r="G1235" t="s">
        <v>32614</v>
      </c>
      <c r="H1235" t="s">
        <v>14201</v>
      </c>
      <c r="I1235" t="s">
        <v>32634</v>
      </c>
      <c r="J1235" t="s">
        <v>32752</v>
      </c>
      <c r="K1235" t="s">
        <v>42631</v>
      </c>
      <c r="M1235" t="s">
        <v>43561</v>
      </c>
      <c r="N1235" t="s">
        <v>47304</v>
      </c>
      <c r="O1235" t="s">
        <v>47305</v>
      </c>
      <c r="P1235">
        <v>0</v>
      </c>
      <c r="Q1235">
        <v>0</v>
      </c>
      <c r="R1235" t="s">
        <v>47307</v>
      </c>
      <c r="S1235" t="s">
        <v>47416</v>
      </c>
      <c r="T1235" t="s">
        <v>49162</v>
      </c>
      <c r="U1235" t="s">
        <v>50664</v>
      </c>
      <c r="W1235" t="s">
        <v>43561</v>
      </c>
      <c r="X1235" t="s">
        <v>47306</v>
      </c>
    </row>
    <row r="1236" spans="1:24">
      <c r="A1236">
        <f>HYPERLINK("https://www.philgeps.gov.ph/GEPSNONPILOT/Tender/SplashBidNoticeAbstractUI.aspx?menuIndex=3&amp;refID=7198949&amp;Result=3","7198949")</f>
        <v>0</v>
      </c>
      <c r="B1236" t="s">
        <v>644</v>
      </c>
      <c r="C1236" t="s">
        <v>5056</v>
      </c>
      <c r="E1236" t="s">
        <v>20232</v>
      </c>
      <c r="F1236" t="s">
        <v>32606</v>
      </c>
      <c r="G1236" t="s">
        <v>32613</v>
      </c>
      <c r="H1236" t="s">
        <v>14201</v>
      </c>
      <c r="I1236" t="s">
        <v>7064</v>
      </c>
      <c r="J1236" t="s">
        <v>32759</v>
      </c>
      <c r="K1236" t="s">
        <v>42624</v>
      </c>
      <c r="M1236" t="s">
        <v>43562</v>
      </c>
      <c r="N1236" t="s">
        <v>47304</v>
      </c>
      <c r="O1236" t="s">
        <v>47305</v>
      </c>
      <c r="P1236">
        <v>0</v>
      </c>
      <c r="Q1236">
        <v>0</v>
      </c>
      <c r="R1236" t="s">
        <v>47307</v>
      </c>
      <c r="S1236" t="s">
        <v>47416</v>
      </c>
      <c r="T1236" t="s">
        <v>49163</v>
      </c>
      <c r="U1236" t="s">
        <v>50665</v>
      </c>
      <c r="W1236" t="s">
        <v>43562</v>
      </c>
      <c r="X1236" t="s">
        <v>47306</v>
      </c>
    </row>
    <row r="1237" spans="1:24">
      <c r="A1237">
        <f>HYPERLINK("https://www.philgeps.gov.ph/GEPSNONPILOT/Tender/SplashBidNoticeAbstractUI.aspx?menuIndex=3&amp;refID=7198934&amp;Result=3","7198934")</f>
        <v>0</v>
      </c>
      <c r="B1237" t="s">
        <v>477</v>
      </c>
      <c r="C1237" t="s">
        <v>5057</v>
      </c>
      <c r="D1237" t="s">
        <v>19019</v>
      </c>
      <c r="E1237" t="s">
        <v>20233</v>
      </c>
      <c r="F1237" t="s">
        <v>32606</v>
      </c>
      <c r="G1237" t="s">
        <v>32613</v>
      </c>
      <c r="H1237" t="s">
        <v>14201</v>
      </c>
      <c r="I1237" t="s">
        <v>4369</v>
      </c>
      <c r="J1237" t="s">
        <v>33694</v>
      </c>
      <c r="K1237" t="s">
        <v>42631</v>
      </c>
      <c r="M1237" t="s">
        <v>43388</v>
      </c>
      <c r="N1237" t="s">
        <v>47304</v>
      </c>
      <c r="O1237" t="s">
        <v>47305</v>
      </c>
      <c r="P1237">
        <v>0</v>
      </c>
      <c r="Q1237">
        <v>0</v>
      </c>
      <c r="R1237" t="s">
        <v>47307</v>
      </c>
      <c r="S1237" t="s">
        <v>47416</v>
      </c>
      <c r="T1237" t="s">
        <v>48995</v>
      </c>
      <c r="U1237" t="s">
        <v>50666</v>
      </c>
      <c r="W1237" t="s">
        <v>43388</v>
      </c>
      <c r="X1237" t="s">
        <v>47306</v>
      </c>
    </row>
    <row r="1238" spans="1:24">
      <c r="A1238">
        <f>HYPERLINK("https://www.philgeps.gov.ph/GEPSNONPILOT/Tender/SplashBidNoticeAbstractUI.aspx?menuIndex=3&amp;refID=7198932&amp;Result=3","7198932")</f>
        <v>0</v>
      </c>
      <c r="B1238" t="s">
        <v>645</v>
      </c>
      <c r="C1238" t="s">
        <v>5058</v>
      </c>
      <c r="D1238" t="s">
        <v>18988</v>
      </c>
      <c r="E1238" t="s">
        <v>20234</v>
      </c>
      <c r="F1238" t="s">
        <v>32606</v>
      </c>
      <c r="G1238" t="s">
        <v>32614</v>
      </c>
      <c r="H1238" t="s">
        <v>14201</v>
      </c>
      <c r="I1238" t="s">
        <v>6298</v>
      </c>
      <c r="J1238" t="s">
        <v>33695</v>
      </c>
      <c r="K1238" t="s">
        <v>42703</v>
      </c>
      <c r="M1238" t="s">
        <v>43563</v>
      </c>
      <c r="N1238" t="s">
        <v>47304</v>
      </c>
      <c r="O1238" t="s">
        <v>47305</v>
      </c>
      <c r="P1238">
        <v>0</v>
      </c>
      <c r="Q1238">
        <v>0</v>
      </c>
      <c r="R1238" t="s">
        <v>47307</v>
      </c>
      <c r="S1238" t="s">
        <v>47416</v>
      </c>
      <c r="T1238" t="s">
        <v>49015</v>
      </c>
      <c r="U1238" t="s">
        <v>50667</v>
      </c>
      <c r="W1238" t="s">
        <v>43563</v>
      </c>
      <c r="X1238" t="s">
        <v>47306</v>
      </c>
    </row>
    <row r="1239" spans="1:24">
      <c r="A1239">
        <f>HYPERLINK("https://www.philgeps.gov.ph/GEPSNONPILOT/Tender/SplashBidNoticeAbstractUI.aspx?menuIndex=3&amp;refID=7198940&amp;Result=3","7198940")</f>
        <v>0</v>
      </c>
      <c r="B1239" t="s">
        <v>646</v>
      </c>
      <c r="C1239" t="s">
        <v>5059</v>
      </c>
      <c r="D1239" t="s">
        <v>19002</v>
      </c>
      <c r="E1239" t="s">
        <v>20235</v>
      </c>
      <c r="F1239" t="s">
        <v>32606</v>
      </c>
      <c r="G1239" t="s">
        <v>32613</v>
      </c>
      <c r="H1239" t="s">
        <v>14201</v>
      </c>
      <c r="I1239" t="s">
        <v>32629</v>
      </c>
      <c r="J1239" t="s">
        <v>33696</v>
      </c>
      <c r="K1239" t="s">
        <v>42622</v>
      </c>
      <c r="M1239" t="s">
        <v>43564</v>
      </c>
      <c r="N1239" t="s">
        <v>47304</v>
      </c>
      <c r="O1239" t="s">
        <v>47305</v>
      </c>
      <c r="P1239">
        <v>0</v>
      </c>
      <c r="Q1239">
        <v>0</v>
      </c>
      <c r="R1239" t="s">
        <v>47307</v>
      </c>
      <c r="S1239" t="s">
        <v>47416</v>
      </c>
      <c r="T1239" t="s">
        <v>49098</v>
      </c>
      <c r="U1239" t="s">
        <v>50668</v>
      </c>
      <c r="W1239" t="s">
        <v>43564</v>
      </c>
      <c r="X1239" t="s">
        <v>47306</v>
      </c>
    </row>
    <row r="1240" spans="1:24">
      <c r="A1240">
        <f>HYPERLINK("https://www.philgeps.gov.ph/GEPSNONPILOT/Tender/SplashBidNoticeAbstractUI.aspx?menuIndex=3&amp;refID=7198937&amp;Result=3","7198937")</f>
        <v>0</v>
      </c>
      <c r="B1240" t="s">
        <v>422</v>
      </c>
      <c r="C1240" t="s">
        <v>5060</v>
      </c>
      <c r="D1240" t="s">
        <v>19030</v>
      </c>
      <c r="E1240" t="s">
        <v>20236</v>
      </c>
      <c r="F1240" t="s">
        <v>32606</v>
      </c>
      <c r="G1240" t="s">
        <v>32614</v>
      </c>
      <c r="H1240" t="s">
        <v>14201</v>
      </c>
      <c r="I1240" t="s">
        <v>6993</v>
      </c>
      <c r="J1240" t="s">
        <v>33697</v>
      </c>
      <c r="K1240" t="s">
        <v>42622</v>
      </c>
      <c r="M1240" t="s">
        <v>43326</v>
      </c>
      <c r="N1240" t="s">
        <v>47304</v>
      </c>
      <c r="O1240" t="s">
        <v>47305</v>
      </c>
      <c r="P1240">
        <v>0</v>
      </c>
      <c r="Q1240">
        <v>0</v>
      </c>
      <c r="R1240" t="s">
        <v>47307</v>
      </c>
      <c r="S1240" t="s">
        <v>47416</v>
      </c>
      <c r="T1240" t="s">
        <v>48989</v>
      </c>
      <c r="U1240" t="s">
        <v>50669</v>
      </c>
      <c r="W1240" t="s">
        <v>43326</v>
      </c>
      <c r="X1240" t="s">
        <v>47306</v>
      </c>
    </row>
    <row r="1241" spans="1:24">
      <c r="A1241">
        <f>HYPERLINK("https://www.philgeps.gov.ph/GEPSNONPILOT/Tender/SplashBidNoticeAbstractUI.aspx?menuIndex=3&amp;refID=7198929&amp;Result=3","7198929")</f>
        <v>0</v>
      </c>
      <c r="B1241" t="s">
        <v>173</v>
      </c>
      <c r="C1241" t="s">
        <v>5061</v>
      </c>
      <c r="E1241" t="s">
        <v>20237</v>
      </c>
      <c r="F1241" t="s">
        <v>32606</v>
      </c>
      <c r="G1241" t="s">
        <v>32613</v>
      </c>
      <c r="H1241" t="s">
        <v>14201</v>
      </c>
      <c r="I1241" t="s">
        <v>6298</v>
      </c>
      <c r="J1241" t="s">
        <v>33698</v>
      </c>
      <c r="K1241" t="s">
        <v>42624</v>
      </c>
      <c r="M1241" t="s">
        <v>43074</v>
      </c>
      <c r="N1241" t="s">
        <v>47304</v>
      </c>
      <c r="O1241" t="s">
        <v>47305</v>
      </c>
      <c r="P1241">
        <v>0</v>
      </c>
      <c r="Q1241">
        <v>0</v>
      </c>
      <c r="R1241" t="s">
        <v>47307</v>
      </c>
      <c r="S1241" t="s">
        <v>47416</v>
      </c>
      <c r="T1241" t="s">
        <v>49116</v>
      </c>
      <c r="U1241" t="s">
        <v>50542</v>
      </c>
      <c r="W1241" t="s">
        <v>43074</v>
      </c>
      <c r="X1241" t="s">
        <v>47306</v>
      </c>
    </row>
    <row r="1242" spans="1:24">
      <c r="A1242">
        <f>HYPERLINK("https://www.philgeps.gov.ph/GEPSNONPILOT/Tender/SplashBidNoticeAbstractUI.aspx?menuIndex=3&amp;refID=7198936&amp;Result=3","7198936")</f>
        <v>0</v>
      </c>
      <c r="B1242" t="s">
        <v>640</v>
      </c>
      <c r="C1242" t="s">
        <v>5062</v>
      </c>
      <c r="D1242" t="s">
        <v>19066</v>
      </c>
      <c r="E1242" t="s">
        <v>20238</v>
      </c>
      <c r="F1242" t="s">
        <v>32606</v>
      </c>
      <c r="G1242" t="s">
        <v>32614</v>
      </c>
      <c r="H1242" t="s">
        <v>14201</v>
      </c>
      <c r="I1242" t="s">
        <v>32653</v>
      </c>
      <c r="J1242" t="s">
        <v>33699</v>
      </c>
      <c r="K1242" t="s">
        <v>42622</v>
      </c>
      <c r="M1242" t="s">
        <v>43558</v>
      </c>
      <c r="N1242" t="s">
        <v>47304</v>
      </c>
      <c r="O1242" t="s">
        <v>47305</v>
      </c>
      <c r="P1242">
        <v>0</v>
      </c>
      <c r="Q1242">
        <v>0</v>
      </c>
      <c r="R1242" t="s">
        <v>47307</v>
      </c>
      <c r="S1242" t="s">
        <v>47416</v>
      </c>
      <c r="T1242" t="s">
        <v>48987</v>
      </c>
      <c r="U1242" t="s">
        <v>50670</v>
      </c>
      <c r="W1242" t="s">
        <v>43558</v>
      </c>
      <c r="X1242" t="s">
        <v>47306</v>
      </c>
    </row>
    <row r="1243" spans="1:24">
      <c r="A1243">
        <f>HYPERLINK("https://www.philgeps.gov.ph/GEPSNONPILOT/Tender/SplashBidNoticeAbstractUI.aspx?menuIndex=3&amp;refID=7198974&amp;Result=3","7198974")</f>
        <v>0</v>
      </c>
      <c r="B1243" t="s">
        <v>647</v>
      </c>
      <c r="C1243" t="s">
        <v>5063</v>
      </c>
      <c r="D1243" t="s">
        <v>19055</v>
      </c>
      <c r="E1243" t="s">
        <v>20239</v>
      </c>
      <c r="F1243" t="s">
        <v>32606</v>
      </c>
      <c r="G1243" t="s">
        <v>32613</v>
      </c>
      <c r="H1243" t="s">
        <v>32623</v>
      </c>
      <c r="I1243" t="s">
        <v>17648</v>
      </c>
      <c r="J1243" t="s">
        <v>33700</v>
      </c>
      <c r="K1243" t="s">
        <v>42636</v>
      </c>
      <c r="M1243" t="s">
        <v>43565</v>
      </c>
      <c r="N1243" t="s">
        <v>47304</v>
      </c>
      <c r="O1243" t="s">
        <v>47305</v>
      </c>
      <c r="P1243">
        <v>0</v>
      </c>
      <c r="Q1243">
        <v>0</v>
      </c>
      <c r="R1243" t="s">
        <v>47307</v>
      </c>
      <c r="S1243" t="s">
        <v>47416</v>
      </c>
      <c r="T1243" t="s">
        <v>48973</v>
      </c>
      <c r="U1243" t="s">
        <v>50671</v>
      </c>
      <c r="V1243" t="s">
        <v>62795</v>
      </c>
      <c r="W1243" t="s">
        <v>43565</v>
      </c>
      <c r="X1243" t="s">
        <v>47306</v>
      </c>
    </row>
    <row r="1244" spans="1:24">
      <c r="A1244">
        <f>HYPERLINK("https://www.philgeps.gov.ph/GEPSNONPILOT/Tender/SplashBidNoticeAbstractUI.aspx?menuIndex=3&amp;refID=7198973&amp;Result=3","7198973")</f>
        <v>0</v>
      </c>
      <c r="B1244" t="s">
        <v>612</v>
      </c>
      <c r="C1244" t="s">
        <v>5064</v>
      </c>
      <c r="D1244" t="s">
        <v>18993</v>
      </c>
      <c r="E1244" t="s">
        <v>20240</v>
      </c>
      <c r="F1244" t="s">
        <v>32606</v>
      </c>
      <c r="G1244" t="s">
        <v>32613</v>
      </c>
      <c r="H1244" t="s">
        <v>14201</v>
      </c>
      <c r="I1244" t="s">
        <v>6298</v>
      </c>
      <c r="J1244" t="s">
        <v>32981</v>
      </c>
      <c r="K1244" t="s">
        <v>42631</v>
      </c>
      <c r="M1244" t="s">
        <v>43530</v>
      </c>
      <c r="N1244" t="s">
        <v>47304</v>
      </c>
      <c r="O1244" t="s">
        <v>47305</v>
      </c>
      <c r="P1244">
        <v>0</v>
      </c>
      <c r="Q1244">
        <v>0</v>
      </c>
      <c r="R1244" t="s">
        <v>47307</v>
      </c>
      <c r="S1244" t="s">
        <v>47416</v>
      </c>
      <c r="T1244" t="s">
        <v>49157</v>
      </c>
      <c r="U1244" t="s">
        <v>50672</v>
      </c>
      <c r="W1244" t="s">
        <v>43530</v>
      </c>
      <c r="X1244" t="s">
        <v>47306</v>
      </c>
    </row>
    <row r="1245" spans="1:24">
      <c r="A1245">
        <f>HYPERLINK("https://www.philgeps.gov.ph/GEPSNONPILOT/Tender/SplashBidNoticeAbstractUI.aspx?menuIndex=3&amp;refID=7198971&amp;Result=3","7198971")</f>
        <v>0</v>
      </c>
      <c r="B1245" t="s">
        <v>648</v>
      </c>
      <c r="C1245" t="s">
        <v>5065</v>
      </c>
      <c r="D1245" t="s">
        <v>19059</v>
      </c>
      <c r="E1245" t="s">
        <v>20241</v>
      </c>
      <c r="F1245" t="s">
        <v>32606</v>
      </c>
      <c r="G1245" t="s">
        <v>32613</v>
      </c>
      <c r="H1245" t="s">
        <v>14201</v>
      </c>
      <c r="I1245" t="s">
        <v>32650</v>
      </c>
      <c r="J1245" t="s">
        <v>33701</v>
      </c>
      <c r="K1245" t="s">
        <v>42639</v>
      </c>
      <c r="M1245" t="s">
        <v>43566</v>
      </c>
      <c r="N1245" t="s">
        <v>47304</v>
      </c>
      <c r="O1245" t="s">
        <v>47305</v>
      </c>
      <c r="P1245">
        <v>0</v>
      </c>
      <c r="Q1245">
        <v>0</v>
      </c>
      <c r="R1245" t="s">
        <v>47307</v>
      </c>
      <c r="S1245" t="s">
        <v>47416</v>
      </c>
      <c r="T1245" t="s">
        <v>49017</v>
      </c>
      <c r="U1245" t="s">
        <v>50673</v>
      </c>
      <c r="W1245" t="s">
        <v>43566</v>
      </c>
      <c r="X1245" t="s">
        <v>47306</v>
      </c>
    </row>
    <row r="1246" spans="1:24">
      <c r="A1246">
        <f>HYPERLINK("https://www.philgeps.gov.ph/GEPSNONPILOT/Tender/SplashBidNoticeAbstractUI.aspx?menuIndex=3&amp;refID=7198970&amp;Result=3","7198970")</f>
        <v>0</v>
      </c>
      <c r="B1246" t="s">
        <v>443</v>
      </c>
      <c r="C1246" t="s">
        <v>5066</v>
      </c>
      <c r="D1246" t="s">
        <v>19003</v>
      </c>
      <c r="E1246" t="s">
        <v>20242</v>
      </c>
      <c r="F1246" t="s">
        <v>32606</v>
      </c>
      <c r="G1246" t="s">
        <v>32617</v>
      </c>
      <c r="H1246" t="s">
        <v>14201</v>
      </c>
      <c r="I1246" t="s">
        <v>4120</v>
      </c>
      <c r="J1246" t="s">
        <v>33702</v>
      </c>
      <c r="K1246" t="s">
        <v>42629</v>
      </c>
      <c r="M1246" t="s">
        <v>43567</v>
      </c>
      <c r="N1246" t="s">
        <v>47304</v>
      </c>
      <c r="O1246" t="s">
        <v>47305</v>
      </c>
      <c r="P1246">
        <v>0</v>
      </c>
      <c r="Q1246">
        <v>0</v>
      </c>
      <c r="R1246" t="s">
        <v>47307</v>
      </c>
      <c r="S1246" t="s">
        <v>47416</v>
      </c>
      <c r="T1246" t="s">
        <v>48972</v>
      </c>
      <c r="U1246" t="s">
        <v>50674</v>
      </c>
      <c r="W1246" t="s">
        <v>43567</v>
      </c>
      <c r="X1246" t="s">
        <v>47306</v>
      </c>
    </row>
    <row r="1247" spans="1:24">
      <c r="A1247">
        <f>HYPERLINK("https://www.philgeps.gov.ph/GEPSNONPILOT/Tender/SplashBidNoticeAbstractUI.aspx?menuIndex=3&amp;refID=7198969&amp;Result=3","7198969")</f>
        <v>0</v>
      </c>
      <c r="B1247" t="s">
        <v>325</v>
      </c>
      <c r="C1247" t="s">
        <v>5067</v>
      </c>
      <c r="D1247" t="s">
        <v>18992</v>
      </c>
      <c r="E1247" t="s">
        <v>20243</v>
      </c>
      <c r="F1247" t="s">
        <v>32606</v>
      </c>
      <c r="G1247" t="s">
        <v>32614</v>
      </c>
      <c r="H1247" t="s">
        <v>14201</v>
      </c>
      <c r="I1247" t="s">
        <v>32638</v>
      </c>
      <c r="J1247" t="s">
        <v>33703</v>
      </c>
      <c r="K1247" t="s">
        <v>42622</v>
      </c>
      <c r="M1247" t="s">
        <v>43227</v>
      </c>
      <c r="N1247" t="s">
        <v>47304</v>
      </c>
      <c r="O1247" t="s">
        <v>47305</v>
      </c>
      <c r="P1247">
        <v>0</v>
      </c>
      <c r="Q1247">
        <v>0</v>
      </c>
      <c r="R1247" t="s">
        <v>47307</v>
      </c>
      <c r="S1247" t="s">
        <v>47416</v>
      </c>
      <c r="T1247" t="s">
        <v>48975</v>
      </c>
      <c r="U1247" t="s">
        <v>50675</v>
      </c>
      <c r="W1247" t="s">
        <v>43227</v>
      </c>
      <c r="X1247" t="s">
        <v>47306</v>
      </c>
    </row>
    <row r="1248" spans="1:24">
      <c r="A1248">
        <f>HYPERLINK("https://www.philgeps.gov.ph/GEPSNONPILOT/Tender/SplashBidNoticeAbstractUI.aspx?menuIndex=3&amp;refID=7198938&amp;Result=3","7198938")</f>
        <v>0</v>
      </c>
      <c r="B1248" t="s">
        <v>649</v>
      </c>
      <c r="C1248" t="s">
        <v>5068</v>
      </c>
      <c r="D1248" t="s">
        <v>19033</v>
      </c>
      <c r="E1248" t="s">
        <v>20244</v>
      </c>
      <c r="F1248" t="s">
        <v>32606</v>
      </c>
      <c r="G1248" t="s">
        <v>32613</v>
      </c>
      <c r="H1248" t="s">
        <v>14201</v>
      </c>
      <c r="I1248" t="s">
        <v>6931</v>
      </c>
      <c r="J1248" t="s">
        <v>32813</v>
      </c>
      <c r="K1248" t="s">
        <v>42624</v>
      </c>
      <c r="M1248" t="s">
        <v>43568</v>
      </c>
      <c r="N1248" t="s">
        <v>47304</v>
      </c>
      <c r="O1248" t="s">
        <v>47305</v>
      </c>
      <c r="P1248">
        <v>0</v>
      </c>
      <c r="Q1248">
        <v>0</v>
      </c>
      <c r="R1248" t="s">
        <v>47307</v>
      </c>
      <c r="S1248" t="s">
        <v>47416</v>
      </c>
      <c r="T1248" t="s">
        <v>49073</v>
      </c>
      <c r="U1248" t="s">
        <v>50676</v>
      </c>
      <c r="W1248" t="s">
        <v>43568</v>
      </c>
      <c r="X1248" t="s">
        <v>47306</v>
      </c>
    </row>
    <row r="1249" spans="1:24">
      <c r="A1249">
        <f>HYPERLINK("https://www.philgeps.gov.ph/GEPSNONPILOT/Tender/SplashBidNoticeAbstractUI.aspx?menuIndex=3&amp;refID=7198968&amp;Result=3","7198968")</f>
        <v>0</v>
      </c>
      <c r="B1249" t="s">
        <v>494</v>
      </c>
      <c r="C1249" t="s">
        <v>5069</v>
      </c>
      <c r="D1249" t="s">
        <v>19006</v>
      </c>
      <c r="E1249" t="s">
        <v>20245</v>
      </c>
      <c r="F1249" t="s">
        <v>32607</v>
      </c>
      <c r="G1249" t="s">
        <v>32614</v>
      </c>
      <c r="H1249" t="s">
        <v>14201</v>
      </c>
      <c r="I1249" t="s">
        <v>32626</v>
      </c>
      <c r="J1249" t="s">
        <v>33704</v>
      </c>
      <c r="K1249" t="s">
        <v>42622</v>
      </c>
      <c r="M1249" t="s">
        <v>43407</v>
      </c>
      <c r="N1249" t="s">
        <v>47304</v>
      </c>
      <c r="O1249" t="s">
        <v>47305</v>
      </c>
      <c r="P1249">
        <v>0</v>
      </c>
      <c r="Q1249">
        <v>0</v>
      </c>
      <c r="R1249" t="s">
        <v>47307</v>
      </c>
      <c r="S1249" t="s">
        <v>47416</v>
      </c>
      <c r="T1249" t="s">
        <v>48996</v>
      </c>
      <c r="U1249" t="s">
        <v>50677</v>
      </c>
      <c r="W1249" t="s">
        <v>43407</v>
      </c>
      <c r="X1249" t="s">
        <v>47306</v>
      </c>
    </row>
    <row r="1250" spans="1:24">
      <c r="A1250">
        <f>HYPERLINK("https://www.philgeps.gov.ph/GEPSNONPILOT/Tender/SplashBidNoticeAbstractUI.aspx?menuIndex=3&amp;refID=7198967&amp;Result=3","7198967")</f>
        <v>0</v>
      </c>
      <c r="B1250" t="s">
        <v>197</v>
      </c>
      <c r="C1250" t="s">
        <v>4252</v>
      </c>
      <c r="E1250" t="s">
        <v>20246</v>
      </c>
      <c r="F1250" t="s">
        <v>32606</v>
      </c>
      <c r="G1250" t="s">
        <v>32618</v>
      </c>
      <c r="H1250" t="s">
        <v>14201</v>
      </c>
      <c r="I1250" t="s">
        <v>6993</v>
      </c>
      <c r="J1250" t="s">
        <v>33705</v>
      </c>
      <c r="K1250" t="s">
        <v>42623</v>
      </c>
      <c r="M1250" t="s">
        <v>43098</v>
      </c>
      <c r="N1250" t="s">
        <v>47304</v>
      </c>
      <c r="O1250" t="s">
        <v>47305</v>
      </c>
      <c r="P1250">
        <v>0</v>
      </c>
      <c r="Q1250">
        <v>0</v>
      </c>
      <c r="R1250" t="s">
        <v>47307</v>
      </c>
      <c r="S1250" t="s">
        <v>47416</v>
      </c>
      <c r="T1250" t="s">
        <v>49098</v>
      </c>
      <c r="U1250" t="s">
        <v>50678</v>
      </c>
      <c r="W1250" t="s">
        <v>43098</v>
      </c>
      <c r="X1250" t="s">
        <v>47306</v>
      </c>
    </row>
    <row r="1251" spans="1:24">
      <c r="A1251">
        <f>HYPERLINK("https://www.philgeps.gov.ph/GEPSNONPILOT/Tender/SplashBidNoticeAbstractUI.aspx?menuIndex=3&amp;refID=7198930&amp;Result=3","7198930")</f>
        <v>0</v>
      </c>
      <c r="B1251" t="s">
        <v>650</v>
      </c>
      <c r="C1251" t="s">
        <v>5070</v>
      </c>
      <c r="D1251" t="s">
        <v>19057</v>
      </c>
      <c r="E1251" t="s">
        <v>20247</v>
      </c>
      <c r="F1251" t="s">
        <v>32606</v>
      </c>
      <c r="G1251" t="s">
        <v>32614</v>
      </c>
      <c r="H1251" t="s">
        <v>14201</v>
      </c>
      <c r="I1251" t="s">
        <v>5233</v>
      </c>
      <c r="J1251" t="s">
        <v>33706</v>
      </c>
      <c r="K1251" t="s">
        <v>42623</v>
      </c>
      <c r="M1251" t="s">
        <v>43569</v>
      </c>
      <c r="N1251" t="s">
        <v>47304</v>
      </c>
      <c r="O1251" t="s">
        <v>47305</v>
      </c>
      <c r="P1251">
        <v>0</v>
      </c>
      <c r="Q1251">
        <v>0</v>
      </c>
      <c r="R1251" t="s">
        <v>47307</v>
      </c>
      <c r="S1251" t="s">
        <v>47416</v>
      </c>
      <c r="T1251" t="s">
        <v>48987</v>
      </c>
      <c r="U1251" t="s">
        <v>50679</v>
      </c>
      <c r="W1251" t="s">
        <v>43569</v>
      </c>
      <c r="X1251" t="s">
        <v>47306</v>
      </c>
    </row>
    <row r="1252" spans="1:24">
      <c r="A1252">
        <f>HYPERLINK("https://www.philgeps.gov.ph/GEPSNONPILOT/Tender/SplashBidNoticeAbstractUI.aspx?menuIndex=3&amp;refID=7198966&amp;Result=3","7198966")</f>
        <v>0</v>
      </c>
      <c r="B1252" t="s">
        <v>431</v>
      </c>
      <c r="C1252" t="s">
        <v>5071</v>
      </c>
      <c r="D1252" t="s">
        <v>19001</v>
      </c>
      <c r="E1252" t="s">
        <v>20248</v>
      </c>
      <c r="F1252" t="s">
        <v>32606</v>
      </c>
      <c r="G1252" t="s">
        <v>32613</v>
      </c>
      <c r="H1252" t="s">
        <v>14201</v>
      </c>
      <c r="I1252" t="s">
        <v>4120</v>
      </c>
      <c r="J1252" t="s">
        <v>33707</v>
      </c>
      <c r="K1252" t="s">
        <v>42638</v>
      </c>
      <c r="M1252" t="s">
        <v>43337</v>
      </c>
      <c r="N1252" t="s">
        <v>47304</v>
      </c>
      <c r="O1252" t="s">
        <v>47305</v>
      </c>
      <c r="P1252">
        <v>0</v>
      </c>
      <c r="Q1252">
        <v>0</v>
      </c>
      <c r="R1252" t="s">
        <v>47307</v>
      </c>
      <c r="S1252" t="s">
        <v>47416</v>
      </c>
      <c r="T1252" t="s">
        <v>49008</v>
      </c>
      <c r="U1252" t="s">
        <v>50680</v>
      </c>
      <c r="W1252" t="s">
        <v>43337</v>
      </c>
      <c r="X1252" t="s">
        <v>47306</v>
      </c>
    </row>
    <row r="1253" spans="1:24">
      <c r="A1253">
        <f>HYPERLINK("https://www.philgeps.gov.ph/GEPSNONPILOT/Tender/SplashBidNoticeAbstractUI.aspx?menuIndex=3&amp;refID=7198962&amp;Result=3","7198962")</f>
        <v>0</v>
      </c>
      <c r="B1253" t="s">
        <v>446</v>
      </c>
      <c r="C1253" t="s">
        <v>5072</v>
      </c>
      <c r="D1253" t="s">
        <v>19010</v>
      </c>
      <c r="E1253" t="s">
        <v>20249</v>
      </c>
      <c r="F1253" t="s">
        <v>32606</v>
      </c>
      <c r="G1253" t="s">
        <v>32613</v>
      </c>
      <c r="H1253" t="s">
        <v>32623</v>
      </c>
      <c r="I1253" t="s">
        <v>17648</v>
      </c>
      <c r="J1253" t="s">
        <v>33708</v>
      </c>
      <c r="K1253" t="s">
        <v>42631</v>
      </c>
      <c r="M1253" t="s">
        <v>43354</v>
      </c>
      <c r="N1253" t="s">
        <v>47304</v>
      </c>
      <c r="O1253" t="s">
        <v>47305</v>
      </c>
      <c r="P1253">
        <v>0</v>
      </c>
      <c r="Q1253">
        <v>0</v>
      </c>
      <c r="R1253" t="s">
        <v>47307</v>
      </c>
      <c r="S1253" t="s">
        <v>47416</v>
      </c>
      <c r="T1253" t="s">
        <v>49065</v>
      </c>
      <c r="U1253" t="s">
        <v>50470</v>
      </c>
      <c r="W1253" t="s">
        <v>64435</v>
      </c>
      <c r="X1253" t="s">
        <v>47306</v>
      </c>
    </row>
    <row r="1254" spans="1:24">
      <c r="A1254">
        <f>HYPERLINK("https://www.philgeps.gov.ph/GEPSNONPILOT/Tender/SplashBidNoticeAbstractUI.aspx?menuIndex=3&amp;refID=7198961&amp;Result=3","7198961")</f>
        <v>0</v>
      </c>
      <c r="B1254" t="s">
        <v>651</v>
      </c>
      <c r="C1254" t="s">
        <v>5073</v>
      </c>
      <c r="D1254" t="s">
        <v>19060</v>
      </c>
      <c r="E1254" t="s">
        <v>20250</v>
      </c>
      <c r="F1254" t="s">
        <v>32606</v>
      </c>
      <c r="G1254" t="s">
        <v>32614</v>
      </c>
      <c r="H1254" t="s">
        <v>14201</v>
      </c>
      <c r="I1254" t="s">
        <v>32632</v>
      </c>
      <c r="J1254" t="s">
        <v>33709</v>
      </c>
      <c r="K1254" t="s">
        <v>42629</v>
      </c>
      <c r="M1254" t="s">
        <v>43570</v>
      </c>
      <c r="N1254" t="s">
        <v>47304</v>
      </c>
      <c r="O1254" t="s">
        <v>47305</v>
      </c>
      <c r="P1254">
        <v>0</v>
      </c>
      <c r="Q1254">
        <v>0</v>
      </c>
      <c r="R1254" t="s">
        <v>47307</v>
      </c>
      <c r="S1254" t="s">
        <v>47416</v>
      </c>
      <c r="T1254" t="s">
        <v>48972</v>
      </c>
      <c r="U1254" t="s">
        <v>50681</v>
      </c>
      <c r="W1254" t="s">
        <v>43570</v>
      </c>
      <c r="X1254" t="s">
        <v>47306</v>
      </c>
    </row>
    <row r="1255" spans="1:24">
      <c r="A1255">
        <f>HYPERLINK("https://www.philgeps.gov.ph/GEPSNONPILOT/Tender/SplashBidNoticeAbstractUI.aspx?menuIndex=3&amp;refID=7198972&amp;Result=3","7198972")</f>
        <v>0</v>
      </c>
      <c r="B1255" t="s">
        <v>643</v>
      </c>
      <c r="C1255" t="s">
        <v>5074</v>
      </c>
      <c r="D1255" t="s">
        <v>19003</v>
      </c>
      <c r="E1255" t="s">
        <v>20251</v>
      </c>
      <c r="F1255" t="s">
        <v>32606</v>
      </c>
      <c r="G1255" t="s">
        <v>32614</v>
      </c>
      <c r="H1255" t="s">
        <v>14201</v>
      </c>
      <c r="I1255" t="s">
        <v>8606</v>
      </c>
      <c r="J1255" t="s">
        <v>33710</v>
      </c>
      <c r="K1255" t="s">
        <v>42631</v>
      </c>
      <c r="M1255" t="s">
        <v>43561</v>
      </c>
      <c r="N1255" t="s">
        <v>47304</v>
      </c>
      <c r="O1255" t="s">
        <v>47305</v>
      </c>
      <c r="P1255">
        <v>0</v>
      </c>
      <c r="Q1255">
        <v>0</v>
      </c>
      <c r="R1255" t="s">
        <v>47307</v>
      </c>
      <c r="S1255" t="s">
        <v>47416</v>
      </c>
      <c r="T1255" t="s">
        <v>49162</v>
      </c>
      <c r="U1255" t="s">
        <v>50664</v>
      </c>
      <c r="W1255" t="s">
        <v>43561</v>
      </c>
      <c r="X1255" t="s">
        <v>47306</v>
      </c>
    </row>
    <row r="1256" spans="1:24">
      <c r="A1256">
        <f>HYPERLINK("https://www.philgeps.gov.ph/GEPSNONPILOT/Tender/SplashBidNoticeAbstractUI.aspx?menuIndex=3&amp;refID=7198956&amp;Result=3","7198956")</f>
        <v>0</v>
      </c>
      <c r="B1256" t="s">
        <v>650</v>
      </c>
      <c r="C1256" t="s">
        <v>5075</v>
      </c>
      <c r="D1256" t="s">
        <v>19057</v>
      </c>
      <c r="E1256" t="s">
        <v>20252</v>
      </c>
      <c r="F1256" t="s">
        <v>32606</v>
      </c>
      <c r="G1256" t="s">
        <v>32614</v>
      </c>
      <c r="H1256" t="s">
        <v>14201</v>
      </c>
      <c r="I1256" t="s">
        <v>6007</v>
      </c>
      <c r="J1256" t="s">
        <v>33167</v>
      </c>
      <c r="K1256" t="s">
        <v>42623</v>
      </c>
      <c r="M1256" t="s">
        <v>43569</v>
      </c>
      <c r="N1256" t="s">
        <v>47304</v>
      </c>
      <c r="O1256" t="s">
        <v>47305</v>
      </c>
      <c r="P1256">
        <v>0</v>
      </c>
      <c r="Q1256">
        <v>0</v>
      </c>
      <c r="R1256" t="s">
        <v>47307</v>
      </c>
      <c r="S1256" t="s">
        <v>47416</v>
      </c>
      <c r="T1256" t="s">
        <v>48987</v>
      </c>
      <c r="U1256" t="s">
        <v>50682</v>
      </c>
      <c r="W1256" t="s">
        <v>43569</v>
      </c>
      <c r="X1256" t="s">
        <v>47306</v>
      </c>
    </row>
    <row r="1257" spans="1:24">
      <c r="A1257">
        <f>HYPERLINK("https://www.philgeps.gov.ph/GEPSNONPILOT/Tender/SplashBidNoticeAbstractUI.aspx?menuIndex=3&amp;refID=7198955&amp;Result=3","7198955")</f>
        <v>0</v>
      </c>
      <c r="B1257" t="s">
        <v>633</v>
      </c>
      <c r="C1257" t="s">
        <v>5076</v>
      </c>
      <c r="D1257" t="s">
        <v>19069</v>
      </c>
      <c r="E1257" t="s">
        <v>20253</v>
      </c>
      <c r="F1257" t="s">
        <v>32606</v>
      </c>
      <c r="G1257" t="s">
        <v>32614</v>
      </c>
      <c r="H1257" t="s">
        <v>14201</v>
      </c>
      <c r="I1257" t="s">
        <v>6478</v>
      </c>
      <c r="J1257" t="s">
        <v>32781</v>
      </c>
      <c r="K1257" t="s">
        <v>42623</v>
      </c>
      <c r="M1257" t="s">
        <v>43551</v>
      </c>
      <c r="N1257" t="s">
        <v>47304</v>
      </c>
      <c r="O1257" t="s">
        <v>47305</v>
      </c>
      <c r="P1257">
        <v>0</v>
      </c>
      <c r="Q1257">
        <v>0</v>
      </c>
      <c r="R1257" t="s">
        <v>47307</v>
      </c>
      <c r="S1257" t="s">
        <v>47416</v>
      </c>
      <c r="T1257" t="s">
        <v>49028</v>
      </c>
      <c r="U1257" t="s">
        <v>50683</v>
      </c>
      <c r="W1257" t="s">
        <v>43551</v>
      </c>
      <c r="X1257" t="s">
        <v>47306</v>
      </c>
    </row>
    <row r="1258" spans="1:24">
      <c r="A1258">
        <f>HYPERLINK("https://www.philgeps.gov.ph/GEPSNONPILOT/Tender/SplashBidNoticeAbstractUI.aspx?menuIndex=3&amp;refID=7198857&amp;Result=3","7198857")</f>
        <v>0</v>
      </c>
      <c r="B1258" t="s">
        <v>238</v>
      </c>
      <c r="C1258" t="s">
        <v>5077</v>
      </c>
      <c r="D1258" t="s">
        <v>18993</v>
      </c>
      <c r="E1258" t="s">
        <v>20254</v>
      </c>
      <c r="F1258" t="s">
        <v>32606</v>
      </c>
      <c r="G1258" t="s">
        <v>32619</v>
      </c>
      <c r="H1258" t="s">
        <v>14201</v>
      </c>
      <c r="I1258" t="s">
        <v>9013</v>
      </c>
      <c r="J1258" t="s">
        <v>33711</v>
      </c>
      <c r="K1258" t="s">
        <v>42622</v>
      </c>
      <c r="M1258" t="s">
        <v>43357</v>
      </c>
      <c r="N1258" t="s">
        <v>47304</v>
      </c>
      <c r="O1258" t="s">
        <v>47305</v>
      </c>
      <c r="P1258">
        <v>0</v>
      </c>
      <c r="Q1258">
        <v>0</v>
      </c>
      <c r="R1258" t="s">
        <v>47307</v>
      </c>
      <c r="S1258" t="s">
        <v>47416</v>
      </c>
      <c r="T1258" t="s">
        <v>49123</v>
      </c>
      <c r="U1258" t="s">
        <v>50575</v>
      </c>
      <c r="V1258" t="s">
        <v>62749</v>
      </c>
      <c r="W1258" t="s">
        <v>43357</v>
      </c>
      <c r="X1258" t="s">
        <v>47306</v>
      </c>
    </row>
    <row r="1259" spans="1:24">
      <c r="A1259">
        <f>HYPERLINK("https://www.philgeps.gov.ph/GEPSNONPILOT/Tender/SplashBidNoticeAbstractUI.aspx?menuIndex=3&amp;refID=7198954&amp;Result=3","7198954")</f>
        <v>0</v>
      </c>
      <c r="B1259" t="s">
        <v>317</v>
      </c>
      <c r="C1259" t="s">
        <v>5078</v>
      </c>
      <c r="D1259" t="s">
        <v>19011</v>
      </c>
      <c r="E1259" t="s">
        <v>20255</v>
      </c>
      <c r="F1259" t="s">
        <v>32606</v>
      </c>
      <c r="G1259" t="s">
        <v>32613</v>
      </c>
      <c r="H1259" t="s">
        <v>14201</v>
      </c>
      <c r="I1259" t="s">
        <v>6931</v>
      </c>
      <c r="J1259" t="s">
        <v>33712</v>
      </c>
      <c r="K1259" t="s">
        <v>42623</v>
      </c>
      <c r="M1259" t="s">
        <v>43571</v>
      </c>
      <c r="N1259" t="s">
        <v>47304</v>
      </c>
      <c r="O1259" t="s">
        <v>47305</v>
      </c>
      <c r="P1259">
        <v>0</v>
      </c>
      <c r="Q1259">
        <v>0</v>
      </c>
      <c r="R1259" t="s">
        <v>47307</v>
      </c>
      <c r="S1259" t="s">
        <v>47416</v>
      </c>
      <c r="T1259" t="s">
        <v>49041</v>
      </c>
      <c r="U1259" t="s">
        <v>50684</v>
      </c>
      <c r="W1259" t="s">
        <v>43571</v>
      </c>
      <c r="X1259" t="s">
        <v>47306</v>
      </c>
    </row>
    <row r="1260" spans="1:24">
      <c r="A1260">
        <f>HYPERLINK("https://www.philgeps.gov.ph/GEPSNONPILOT/Tender/SplashBidNoticeAbstractUI.aspx?menuIndex=3&amp;refID=7198953&amp;Result=3","7198953")</f>
        <v>0</v>
      </c>
      <c r="B1260" t="s">
        <v>652</v>
      </c>
      <c r="C1260" t="s">
        <v>5079</v>
      </c>
      <c r="D1260" t="s">
        <v>18993</v>
      </c>
      <c r="E1260" t="s">
        <v>20256</v>
      </c>
      <c r="F1260" t="s">
        <v>32606</v>
      </c>
      <c r="G1260" t="s">
        <v>32614</v>
      </c>
      <c r="H1260" t="s">
        <v>14201</v>
      </c>
      <c r="I1260" t="s">
        <v>4120</v>
      </c>
      <c r="J1260" t="s">
        <v>33713</v>
      </c>
      <c r="K1260" t="s">
        <v>42631</v>
      </c>
      <c r="M1260" t="s">
        <v>43572</v>
      </c>
      <c r="N1260" t="s">
        <v>47304</v>
      </c>
      <c r="O1260" t="s">
        <v>47305</v>
      </c>
      <c r="P1260">
        <v>0</v>
      </c>
      <c r="Q1260">
        <v>0</v>
      </c>
      <c r="R1260" t="s">
        <v>47307</v>
      </c>
      <c r="S1260" t="s">
        <v>47416</v>
      </c>
      <c r="T1260" t="s">
        <v>49164</v>
      </c>
      <c r="U1260" t="s">
        <v>50685</v>
      </c>
      <c r="W1260" t="s">
        <v>43572</v>
      </c>
      <c r="X1260" t="s">
        <v>47306</v>
      </c>
    </row>
    <row r="1261" spans="1:24">
      <c r="A1261">
        <f>HYPERLINK("https://www.philgeps.gov.ph/GEPSNONPILOT/Tender/SplashBidNoticeAbstractUI.aspx?menuIndex=3&amp;refID=7198997&amp;Result=3","7198997")</f>
        <v>0</v>
      </c>
      <c r="B1261" t="s">
        <v>653</v>
      </c>
      <c r="C1261" t="s">
        <v>5080</v>
      </c>
      <c r="D1261" t="s">
        <v>19010</v>
      </c>
      <c r="E1261" t="s">
        <v>20122</v>
      </c>
      <c r="F1261" t="s">
        <v>32606</v>
      </c>
      <c r="G1261" t="s">
        <v>32613</v>
      </c>
      <c r="H1261" t="s">
        <v>32623</v>
      </c>
      <c r="I1261" t="s">
        <v>17648</v>
      </c>
      <c r="J1261" t="s">
        <v>32776</v>
      </c>
      <c r="K1261" t="s">
        <v>42627</v>
      </c>
      <c r="M1261" t="s">
        <v>43573</v>
      </c>
      <c r="N1261" t="s">
        <v>47304</v>
      </c>
      <c r="O1261" t="s">
        <v>47305</v>
      </c>
      <c r="P1261">
        <v>0</v>
      </c>
      <c r="Q1261">
        <v>0</v>
      </c>
      <c r="R1261" t="s">
        <v>47307</v>
      </c>
      <c r="S1261" t="s">
        <v>47416</v>
      </c>
      <c r="T1261" t="s">
        <v>48971</v>
      </c>
      <c r="U1261" t="s">
        <v>50686</v>
      </c>
      <c r="W1261" t="s">
        <v>43573</v>
      </c>
      <c r="X1261" t="s">
        <v>47306</v>
      </c>
    </row>
    <row r="1262" spans="1:24">
      <c r="A1262">
        <f>HYPERLINK("https://www.philgeps.gov.ph/GEPSNONPILOT/Tender/SplashBidNoticeAbstractUI.aspx?menuIndex=3&amp;refID=7198965&amp;Result=3","7198965")</f>
        <v>0</v>
      </c>
      <c r="B1262" t="s">
        <v>481</v>
      </c>
      <c r="C1262" t="s">
        <v>5081</v>
      </c>
      <c r="D1262" t="s">
        <v>18993</v>
      </c>
      <c r="E1262" t="s">
        <v>20257</v>
      </c>
      <c r="F1262" t="s">
        <v>32606</v>
      </c>
      <c r="G1262" t="s">
        <v>32617</v>
      </c>
      <c r="H1262" t="s">
        <v>14201</v>
      </c>
      <c r="I1262" t="s">
        <v>32633</v>
      </c>
      <c r="J1262" t="s">
        <v>33714</v>
      </c>
      <c r="K1262" t="s">
        <v>42622</v>
      </c>
      <c r="M1262" t="s">
        <v>43392</v>
      </c>
      <c r="N1262" t="s">
        <v>47304</v>
      </c>
      <c r="O1262" t="s">
        <v>47305</v>
      </c>
      <c r="P1262">
        <v>0</v>
      </c>
      <c r="Q1262">
        <v>1</v>
      </c>
      <c r="R1262" t="s">
        <v>47307</v>
      </c>
      <c r="S1262" t="s">
        <v>47416</v>
      </c>
      <c r="T1262" t="s">
        <v>49081</v>
      </c>
      <c r="U1262" t="s">
        <v>50687</v>
      </c>
      <c r="W1262" t="s">
        <v>43392</v>
      </c>
      <c r="X1262" t="s">
        <v>47306</v>
      </c>
    </row>
    <row r="1263" spans="1:24">
      <c r="A1263">
        <f>HYPERLINK("https://www.philgeps.gov.ph/GEPSNONPILOT/Tender/SplashBidNoticeAbstractUI.aspx?menuIndex=3&amp;refID=7198996&amp;Result=3","7198996")</f>
        <v>0</v>
      </c>
      <c r="B1263" t="s">
        <v>654</v>
      </c>
      <c r="C1263" t="s">
        <v>4834</v>
      </c>
      <c r="D1263" t="s">
        <v>19018</v>
      </c>
      <c r="E1263" t="s">
        <v>19312</v>
      </c>
      <c r="F1263" t="s">
        <v>32606</v>
      </c>
      <c r="G1263" t="s">
        <v>32614</v>
      </c>
      <c r="H1263" t="s">
        <v>14201</v>
      </c>
      <c r="I1263" t="s">
        <v>32640</v>
      </c>
      <c r="J1263" t="s">
        <v>32794</v>
      </c>
      <c r="K1263" t="s">
        <v>42624</v>
      </c>
      <c r="M1263" t="s">
        <v>43574</v>
      </c>
      <c r="N1263" t="s">
        <v>47304</v>
      </c>
      <c r="O1263" t="s">
        <v>47305</v>
      </c>
      <c r="P1263">
        <v>0</v>
      </c>
      <c r="Q1263">
        <v>0</v>
      </c>
      <c r="R1263" t="s">
        <v>47307</v>
      </c>
      <c r="S1263" t="s">
        <v>47416</v>
      </c>
      <c r="T1263" t="s">
        <v>48988</v>
      </c>
      <c r="U1263" t="s">
        <v>50433</v>
      </c>
      <c r="W1263" t="s">
        <v>43574</v>
      </c>
      <c r="X1263" t="s">
        <v>47306</v>
      </c>
    </row>
    <row r="1264" spans="1:24">
      <c r="A1264">
        <f>HYPERLINK("https://www.philgeps.gov.ph/GEPSNONPILOT/Tender/SplashBidNoticeAbstractUI.aspx?menuIndex=3&amp;refID=7198957&amp;Result=3","7198957")</f>
        <v>0</v>
      </c>
      <c r="B1264" t="s">
        <v>655</v>
      </c>
      <c r="C1264" t="s">
        <v>5082</v>
      </c>
      <c r="D1264" t="s">
        <v>19022</v>
      </c>
      <c r="E1264" t="s">
        <v>20258</v>
      </c>
      <c r="F1264" t="s">
        <v>32606</v>
      </c>
      <c r="G1264" t="s">
        <v>32619</v>
      </c>
      <c r="H1264" t="s">
        <v>14201</v>
      </c>
      <c r="I1264" t="s">
        <v>32640</v>
      </c>
      <c r="J1264" t="s">
        <v>32949</v>
      </c>
      <c r="K1264" t="s">
        <v>42631</v>
      </c>
      <c r="M1264" t="s">
        <v>43575</v>
      </c>
      <c r="N1264" t="s">
        <v>47304</v>
      </c>
      <c r="O1264" t="s">
        <v>47305</v>
      </c>
      <c r="P1264">
        <v>0</v>
      </c>
      <c r="Q1264">
        <v>0</v>
      </c>
      <c r="R1264" t="s">
        <v>47307</v>
      </c>
      <c r="S1264" t="s">
        <v>47416</v>
      </c>
      <c r="T1264" t="s">
        <v>49014</v>
      </c>
      <c r="U1264" t="s">
        <v>50688</v>
      </c>
      <c r="W1264" t="s">
        <v>43575</v>
      </c>
      <c r="X1264" t="s">
        <v>47306</v>
      </c>
    </row>
    <row r="1265" spans="1:24">
      <c r="A1265">
        <f>HYPERLINK("https://www.philgeps.gov.ph/GEPSNONPILOT/Tender/SplashBidNoticeAbstractUI.aspx?menuIndex=3&amp;refID=7198994&amp;Result=3","7198994")</f>
        <v>0</v>
      </c>
      <c r="B1265" t="s">
        <v>656</v>
      </c>
      <c r="C1265" t="s">
        <v>5083</v>
      </c>
      <c r="D1265" t="s">
        <v>18993</v>
      </c>
      <c r="E1265" t="s">
        <v>20259</v>
      </c>
      <c r="F1265" t="s">
        <v>32606</v>
      </c>
      <c r="G1265" t="s">
        <v>32614</v>
      </c>
      <c r="H1265" t="s">
        <v>14201</v>
      </c>
      <c r="I1265" t="s">
        <v>6309</v>
      </c>
      <c r="J1265" t="s">
        <v>33629</v>
      </c>
      <c r="K1265" t="s">
        <v>42630</v>
      </c>
      <c r="M1265" t="s">
        <v>43576</v>
      </c>
      <c r="N1265" t="s">
        <v>47304</v>
      </c>
      <c r="O1265" t="s">
        <v>47305</v>
      </c>
      <c r="P1265">
        <v>0</v>
      </c>
      <c r="Q1265">
        <v>0</v>
      </c>
      <c r="R1265" t="s">
        <v>47307</v>
      </c>
      <c r="S1265" t="s">
        <v>47416</v>
      </c>
      <c r="T1265" t="s">
        <v>49158</v>
      </c>
      <c r="U1265" t="s">
        <v>50689</v>
      </c>
      <c r="W1265" t="s">
        <v>43576</v>
      </c>
      <c r="X1265" t="s">
        <v>47306</v>
      </c>
    </row>
    <row r="1266" spans="1:24">
      <c r="A1266">
        <f>HYPERLINK("https://www.philgeps.gov.ph/GEPSNONPILOT/Tender/SplashBidNoticeAbstractUI.aspx?menuIndex=3&amp;refID=7198933&amp;Result=3","7198933")</f>
        <v>0</v>
      </c>
      <c r="B1266" t="s">
        <v>657</v>
      </c>
      <c r="C1266" t="s">
        <v>5084</v>
      </c>
      <c r="D1266" t="s">
        <v>18993</v>
      </c>
      <c r="E1266" t="s">
        <v>20260</v>
      </c>
      <c r="F1266" t="s">
        <v>32606</v>
      </c>
      <c r="G1266" t="s">
        <v>32613</v>
      </c>
      <c r="H1266" t="s">
        <v>14201</v>
      </c>
      <c r="I1266" t="s">
        <v>32656</v>
      </c>
      <c r="J1266" t="s">
        <v>33715</v>
      </c>
      <c r="K1266" t="s">
        <v>42632</v>
      </c>
      <c r="M1266" t="s">
        <v>43577</v>
      </c>
      <c r="N1266" t="s">
        <v>47304</v>
      </c>
      <c r="O1266" t="s">
        <v>47305</v>
      </c>
      <c r="P1266">
        <v>0</v>
      </c>
      <c r="Q1266">
        <v>0</v>
      </c>
      <c r="R1266" t="s">
        <v>47307</v>
      </c>
      <c r="S1266" t="s">
        <v>47416</v>
      </c>
      <c r="T1266" t="s">
        <v>49101</v>
      </c>
      <c r="U1266" t="s">
        <v>50690</v>
      </c>
      <c r="W1266" t="s">
        <v>43577</v>
      </c>
      <c r="X1266" t="s">
        <v>47306</v>
      </c>
    </row>
    <row r="1267" spans="1:24">
      <c r="A1267">
        <f>HYPERLINK("https://www.philgeps.gov.ph/GEPSNONPILOT/Tender/SplashBidNoticeAbstractUI.aspx?menuIndex=3&amp;refID=7198992&amp;Result=3","7198992")</f>
        <v>0</v>
      </c>
      <c r="B1267" t="s">
        <v>658</v>
      </c>
      <c r="C1267" t="s">
        <v>5085</v>
      </c>
      <c r="D1267" t="s">
        <v>19007</v>
      </c>
      <c r="E1267" t="s">
        <v>20261</v>
      </c>
      <c r="F1267" t="s">
        <v>32606</v>
      </c>
      <c r="G1267" t="s">
        <v>32619</v>
      </c>
      <c r="H1267" t="s">
        <v>14201</v>
      </c>
      <c r="I1267" t="s">
        <v>6007</v>
      </c>
      <c r="J1267" t="s">
        <v>33716</v>
      </c>
      <c r="K1267" t="s">
        <v>42624</v>
      </c>
      <c r="M1267" t="s">
        <v>43578</v>
      </c>
      <c r="N1267" t="s">
        <v>47304</v>
      </c>
      <c r="O1267" t="s">
        <v>47305</v>
      </c>
      <c r="P1267">
        <v>0</v>
      </c>
      <c r="Q1267">
        <v>0</v>
      </c>
      <c r="R1267" t="s">
        <v>47307</v>
      </c>
      <c r="S1267" t="s">
        <v>47416</v>
      </c>
      <c r="T1267" t="s">
        <v>49165</v>
      </c>
      <c r="U1267" t="s">
        <v>50691</v>
      </c>
      <c r="W1267" t="s">
        <v>43578</v>
      </c>
      <c r="X1267" t="s">
        <v>47306</v>
      </c>
    </row>
    <row r="1268" spans="1:24">
      <c r="A1268">
        <f>HYPERLINK("https://www.philgeps.gov.ph/GEPSNONPILOT/Tender/SplashBidNoticeAbstractUI.aspx?menuIndex=3&amp;refID=7198991&amp;Result=3","7198991")</f>
        <v>0</v>
      </c>
      <c r="B1268" t="s">
        <v>640</v>
      </c>
      <c r="C1268" t="s">
        <v>5086</v>
      </c>
      <c r="D1268" t="s">
        <v>19066</v>
      </c>
      <c r="E1268" t="s">
        <v>20262</v>
      </c>
      <c r="F1268" t="s">
        <v>32606</v>
      </c>
      <c r="G1268" t="s">
        <v>32614</v>
      </c>
      <c r="H1268" t="s">
        <v>14201</v>
      </c>
      <c r="I1268" t="s">
        <v>6931</v>
      </c>
      <c r="J1268" t="s">
        <v>33717</v>
      </c>
      <c r="K1268" t="s">
        <v>42622</v>
      </c>
      <c r="M1268" t="s">
        <v>43558</v>
      </c>
      <c r="N1268" t="s">
        <v>47304</v>
      </c>
      <c r="O1268" t="s">
        <v>47305</v>
      </c>
      <c r="P1268">
        <v>0</v>
      </c>
      <c r="Q1268">
        <v>0</v>
      </c>
      <c r="R1268" t="s">
        <v>47307</v>
      </c>
      <c r="S1268" t="s">
        <v>47416</v>
      </c>
      <c r="T1268" t="s">
        <v>48987</v>
      </c>
      <c r="U1268" t="s">
        <v>50692</v>
      </c>
      <c r="W1268" t="s">
        <v>43558</v>
      </c>
      <c r="X1268" t="s">
        <v>47306</v>
      </c>
    </row>
    <row r="1269" spans="1:24">
      <c r="A1269">
        <f>HYPERLINK("https://www.philgeps.gov.ph/GEPSNONPILOT/Tender/SplashBidNoticeAbstractUI.aspx?menuIndex=3&amp;refID=7198990&amp;Result=3","7198990")</f>
        <v>0</v>
      </c>
      <c r="B1269" t="s">
        <v>659</v>
      </c>
      <c r="C1269" t="s">
        <v>5087</v>
      </c>
      <c r="D1269" t="s">
        <v>19018</v>
      </c>
      <c r="E1269" t="s">
        <v>20263</v>
      </c>
      <c r="F1269" t="s">
        <v>32606</v>
      </c>
      <c r="G1269" t="s">
        <v>32614</v>
      </c>
      <c r="H1269" t="s">
        <v>14201</v>
      </c>
      <c r="I1269" t="s">
        <v>6007</v>
      </c>
      <c r="J1269" t="s">
        <v>33718</v>
      </c>
      <c r="K1269" t="s">
        <v>42625</v>
      </c>
      <c r="M1269" t="s">
        <v>43579</v>
      </c>
      <c r="N1269" t="s">
        <v>47304</v>
      </c>
      <c r="O1269" t="s">
        <v>47305</v>
      </c>
      <c r="P1269">
        <v>0</v>
      </c>
      <c r="Q1269">
        <v>0</v>
      </c>
      <c r="R1269" t="s">
        <v>47307</v>
      </c>
      <c r="S1269" t="s">
        <v>47416</v>
      </c>
      <c r="T1269" t="s">
        <v>48976</v>
      </c>
      <c r="U1269" t="s">
        <v>50693</v>
      </c>
      <c r="W1269" t="s">
        <v>43579</v>
      </c>
      <c r="X1269" t="s">
        <v>47306</v>
      </c>
    </row>
    <row r="1270" spans="1:24">
      <c r="A1270">
        <f>HYPERLINK("https://www.philgeps.gov.ph/GEPSNONPILOT/Tender/SplashBidNoticeAbstractUI.aspx?menuIndex=3&amp;refID=7198989&amp;Result=3","7198989")</f>
        <v>0</v>
      </c>
      <c r="B1270" t="s">
        <v>636</v>
      </c>
      <c r="C1270" t="s">
        <v>5088</v>
      </c>
      <c r="D1270" t="s">
        <v>19019</v>
      </c>
      <c r="E1270" t="s">
        <v>20264</v>
      </c>
      <c r="F1270" t="s">
        <v>32606</v>
      </c>
      <c r="G1270" t="s">
        <v>32613</v>
      </c>
      <c r="H1270" t="s">
        <v>32623</v>
      </c>
      <c r="I1270" t="s">
        <v>17648</v>
      </c>
      <c r="J1270" t="s">
        <v>33719</v>
      </c>
      <c r="K1270" t="s">
        <v>42677</v>
      </c>
      <c r="M1270" t="s">
        <v>43554</v>
      </c>
      <c r="N1270" t="s">
        <v>47304</v>
      </c>
      <c r="O1270" t="s">
        <v>47305</v>
      </c>
      <c r="P1270">
        <v>0</v>
      </c>
      <c r="Q1270">
        <v>0</v>
      </c>
      <c r="R1270" t="s">
        <v>47307</v>
      </c>
      <c r="S1270" t="s">
        <v>47416</v>
      </c>
      <c r="T1270" t="s">
        <v>49166</v>
      </c>
      <c r="U1270" t="s">
        <v>50650</v>
      </c>
      <c r="W1270" t="s">
        <v>43554</v>
      </c>
      <c r="X1270" t="s">
        <v>47306</v>
      </c>
    </row>
    <row r="1271" spans="1:24">
      <c r="A1271">
        <f>HYPERLINK("https://www.philgeps.gov.ph/GEPSNONPILOT/Tender/SplashBidNoticeAbstractUI.aspx?menuIndex=3&amp;refID=7198958&amp;Result=3","7198958")</f>
        <v>0</v>
      </c>
      <c r="B1271" t="s">
        <v>660</v>
      </c>
      <c r="C1271" t="s">
        <v>5089</v>
      </c>
      <c r="D1271" t="s">
        <v>18999</v>
      </c>
      <c r="E1271" t="s">
        <v>19775</v>
      </c>
      <c r="F1271" t="s">
        <v>32606</v>
      </c>
      <c r="G1271" t="s">
        <v>32619</v>
      </c>
      <c r="H1271" t="s">
        <v>14201</v>
      </c>
      <c r="I1271" t="s">
        <v>4369</v>
      </c>
      <c r="J1271" t="s">
        <v>33060</v>
      </c>
      <c r="K1271" t="s">
        <v>42638</v>
      </c>
      <c r="M1271" t="s">
        <v>43580</v>
      </c>
      <c r="N1271" t="s">
        <v>47304</v>
      </c>
      <c r="O1271" t="s">
        <v>47305</v>
      </c>
      <c r="P1271">
        <v>0</v>
      </c>
      <c r="Q1271">
        <v>0</v>
      </c>
      <c r="R1271" t="s">
        <v>47307</v>
      </c>
      <c r="S1271" t="s">
        <v>47416</v>
      </c>
      <c r="T1271" t="s">
        <v>48979</v>
      </c>
      <c r="U1271" t="s">
        <v>50694</v>
      </c>
      <c r="W1271" t="s">
        <v>43580</v>
      </c>
      <c r="X1271" t="s">
        <v>47306</v>
      </c>
    </row>
    <row r="1272" spans="1:24">
      <c r="A1272">
        <f>HYPERLINK("https://www.philgeps.gov.ph/GEPSNONPILOT/Tender/SplashBidNoticeAbstractUI.aspx?menuIndex=3&amp;refID=7198995&amp;Result=3","7198995")</f>
        <v>0</v>
      </c>
      <c r="B1272" t="s">
        <v>661</v>
      </c>
      <c r="C1272" t="s">
        <v>5090</v>
      </c>
      <c r="D1272" t="s">
        <v>19011</v>
      </c>
      <c r="E1272" t="s">
        <v>20265</v>
      </c>
      <c r="F1272" t="s">
        <v>32606</v>
      </c>
      <c r="G1272" t="s">
        <v>32614</v>
      </c>
      <c r="H1272" t="s">
        <v>14201</v>
      </c>
      <c r="I1272" t="s">
        <v>32633</v>
      </c>
      <c r="J1272" t="s">
        <v>33720</v>
      </c>
      <c r="K1272" t="s">
        <v>42630</v>
      </c>
      <c r="M1272" t="s">
        <v>43581</v>
      </c>
      <c r="N1272" t="s">
        <v>47304</v>
      </c>
      <c r="O1272" t="s">
        <v>47305</v>
      </c>
      <c r="P1272">
        <v>0</v>
      </c>
      <c r="Q1272">
        <v>0</v>
      </c>
      <c r="R1272" t="s">
        <v>47307</v>
      </c>
      <c r="S1272" t="s">
        <v>47416</v>
      </c>
      <c r="T1272" t="s">
        <v>48972</v>
      </c>
      <c r="U1272" t="s">
        <v>50695</v>
      </c>
      <c r="W1272" t="s">
        <v>43581</v>
      </c>
      <c r="X1272" t="s">
        <v>47306</v>
      </c>
    </row>
    <row r="1273" spans="1:24">
      <c r="A1273">
        <f>HYPERLINK("https://www.philgeps.gov.ph/GEPSNONPILOT/Tender/SplashBidNoticeAbstractUI.aspx?menuIndex=3&amp;refID=7198985&amp;Result=3","7198985")</f>
        <v>0</v>
      </c>
      <c r="B1273" t="s">
        <v>662</v>
      </c>
      <c r="C1273" t="s">
        <v>5091</v>
      </c>
      <c r="D1273" t="s">
        <v>19023</v>
      </c>
      <c r="E1273" t="s">
        <v>20266</v>
      </c>
      <c r="F1273" t="s">
        <v>32606</v>
      </c>
      <c r="G1273" t="s">
        <v>32613</v>
      </c>
      <c r="H1273" t="s">
        <v>14201</v>
      </c>
      <c r="I1273" t="s">
        <v>4120</v>
      </c>
      <c r="J1273" t="s">
        <v>33721</v>
      </c>
      <c r="K1273" t="s">
        <v>42631</v>
      </c>
      <c r="M1273" t="s">
        <v>43582</v>
      </c>
      <c r="N1273" t="s">
        <v>47304</v>
      </c>
      <c r="O1273" t="s">
        <v>47305</v>
      </c>
      <c r="P1273">
        <v>0</v>
      </c>
      <c r="Q1273">
        <v>0</v>
      </c>
      <c r="R1273" t="s">
        <v>47307</v>
      </c>
      <c r="S1273" t="s">
        <v>47416</v>
      </c>
      <c r="T1273" t="s">
        <v>48995</v>
      </c>
      <c r="U1273" t="s">
        <v>50696</v>
      </c>
      <c r="W1273" t="s">
        <v>43582</v>
      </c>
      <c r="X1273" t="s">
        <v>47306</v>
      </c>
    </row>
    <row r="1274" spans="1:24">
      <c r="A1274">
        <f>HYPERLINK("https://www.philgeps.gov.ph/GEPSNONPILOT/Tender/SplashBidNoticeAbstractUI.aspx?menuIndex=3&amp;refID=7198984&amp;Result=3","7198984")</f>
        <v>0</v>
      </c>
      <c r="B1274" t="s">
        <v>663</v>
      </c>
      <c r="C1274" t="s">
        <v>5092</v>
      </c>
      <c r="D1274" t="s">
        <v>18993</v>
      </c>
      <c r="E1274" t="s">
        <v>20267</v>
      </c>
      <c r="F1274" t="s">
        <v>32606</v>
      </c>
      <c r="G1274" t="s">
        <v>32613</v>
      </c>
      <c r="H1274" t="s">
        <v>14201</v>
      </c>
      <c r="I1274" t="s">
        <v>6298</v>
      </c>
      <c r="J1274" t="s">
        <v>33722</v>
      </c>
      <c r="K1274" t="s">
        <v>42632</v>
      </c>
      <c r="M1274" t="s">
        <v>43583</v>
      </c>
      <c r="N1274" t="s">
        <v>47304</v>
      </c>
      <c r="O1274" t="s">
        <v>47305</v>
      </c>
      <c r="P1274">
        <v>0</v>
      </c>
      <c r="Q1274">
        <v>0</v>
      </c>
      <c r="R1274" t="s">
        <v>47307</v>
      </c>
      <c r="S1274" t="s">
        <v>47416</v>
      </c>
      <c r="T1274" t="s">
        <v>49101</v>
      </c>
      <c r="U1274" t="s">
        <v>50697</v>
      </c>
      <c r="W1274" t="s">
        <v>43583</v>
      </c>
      <c r="X1274" t="s">
        <v>47306</v>
      </c>
    </row>
    <row r="1275" spans="1:24">
      <c r="A1275">
        <f>HYPERLINK("https://www.philgeps.gov.ph/GEPSNONPILOT/Tender/SplashBidNoticeAbstractUI.aspx?menuIndex=3&amp;refID=7198993&amp;Result=3","7198993")</f>
        <v>0</v>
      </c>
      <c r="B1275" t="s">
        <v>644</v>
      </c>
      <c r="C1275" t="s">
        <v>5093</v>
      </c>
      <c r="E1275" t="s">
        <v>20268</v>
      </c>
      <c r="F1275" t="s">
        <v>32606</v>
      </c>
      <c r="G1275" t="s">
        <v>32613</v>
      </c>
      <c r="H1275" t="s">
        <v>14201</v>
      </c>
      <c r="I1275" t="s">
        <v>6993</v>
      </c>
      <c r="J1275" t="s">
        <v>33723</v>
      </c>
      <c r="K1275" t="s">
        <v>42624</v>
      </c>
      <c r="M1275" t="s">
        <v>43562</v>
      </c>
      <c r="N1275" t="s">
        <v>47304</v>
      </c>
      <c r="O1275" t="s">
        <v>47305</v>
      </c>
      <c r="P1275">
        <v>0</v>
      </c>
      <c r="Q1275">
        <v>0</v>
      </c>
      <c r="R1275" t="s">
        <v>47307</v>
      </c>
      <c r="S1275" t="s">
        <v>47416</v>
      </c>
      <c r="T1275" t="s">
        <v>49163</v>
      </c>
      <c r="U1275" t="s">
        <v>50698</v>
      </c>
      <c r="W1275" t="s">
        <v>43562</v>
      </c>
      <c r="X1275" t="s">
        <v>47306</v>
      </c>
    </row>
    <row r="1276" spans="1:24">
      <c r="A1276">
        <f>HYPERLINK("https://www.philgeps.gov.ph/GEPSNONPILOT/Tender/SplashBidNoticeAbstractUI.aspx?menuIndex=3&amp;refID=7198981&amp;Result=3","7198981")</f>
        <v>0</v>
      </c>
      <c r="B1276" t="s">
        <v>605</v>
      </c>
      <c r="C1276" t="s">
        <v>5094</v>
      </c>
      <c r="D1276" t="s">
        <v>19024</v>
      </c>
      <c r="E1276" t="s">
        <v>20269</v>
      </c>
      <c r="F1276" t="s">
        <v>32606</v>
      </c>
      <c r="G1276" t="s">
        <v>32613</v>
      </c>
      <c r="H1276" t="s">
        <v>32623</v>
      </c>
      <c r="I1276" t="s">
        <v>17648</v>
      </c>
      <c r="J1276" t="s">
        <v>33103</v>
      </c>
      <c r="K1276" t="s">
        <v>42636</v>
      </c>
      <c r="M1276" t="s">
        <v>43521</v>
      </c>
      <c r="N1276" t="s">
        <v>47304</v>
      </c>
      <c r="O1276" t="s">
        <v>47305</v>
      </c>
      <c r="P1276">
        <v>0</v>
      </c>
      <c r="Q1276">
        <v>0</v>
      </c>
      <c r="R1276" t="s">
        <v>47307</v>
      </c>
      <c r="S1276" t="s">
        <v>47416</v>
      </c>
      <c r="T1276" t="s">
        <v>48996</v>
      </c>
      <c r="U1276" t="s">
        <v>50646</v>
      </c>
      <c r="W1276" t="s">
        <v>43521</v>
      </c>
      <c r="X1276" t="s">
        <v>47306</v>
      </c>
    </row>
    <row r="1277" spans="1:24">
      <c r="A1277">
        <f>HYPERLINK("https://www.philgeps.gov.ph/GEPSNONPILOT/Tender/SplashBidNoticeAbstractUI.aspx?menuIndex=3&amp;refID=7198979&amp;Result=3","7198979")</f>
        <v>0</v>
      </c>
      <c r="B1277" t="s">
        <v>664</v>
      </c>
      <c r="C1277" t="s">
        <v>5095</v>
      </c>
      <c r="E1277" t="s">
        <v>20270</v>
      </c>
      <c r="F1277" t="s">
        <v>32606</v>
      </c>
      <c r="G1277" t="s">
        <v>32613</v>
      </c>
      <c r="H1277" t="s">
        <v>14201</v>
      </c>
      <c r="I1277" t="s">
        <v>5233</v>
      </c>
      <c r="J1277" t="s">
        <v>33724</v>
      </c>
      <c r="K1277" t="s">
        <v>42624</v>
      </c>
      <c r="M1277" t="s">
        <v>43584</v>
      </c>
      <c r="N1277" t="s">
        <v>47304</v>
      </c>
      <c r="O1277" t="s">
        <v>47305</v>
      </c>
      <c r="P1277">
        <v>0</v>
      </c>
      <c r="Q1277">
        <v>0</v>
      </c>
      <c r="R1277" t="s">
        <v>47307</v>
      </c>
      <c r="S1277" t="s">
        <v>47416</v>
      </c>
      <c r="T1277" t="s">
        <v>48971</v>
      </c>
      <c r="U1277" t="s">
        <v>50699</v>
      </c>
      <c r="W1277" t="s">
        <v>43584</v>
      </c>
      <c r="X1277" t="s">
        <v>47306</v>
      </c>
    </row>
    <row r="1278" spans="1:24">
      <c r="A1278">
        <f>HYPERLINK("https://www.philgeps.gov.ph/GEPSNONPILOT/Tender/SplashBidNoticeAbstractUI.aspx?menuIndex=3&amp;refID=7198975&amp;Result=3","7198975")</f>
        <v>0</v>
      </c>
      <c r="B1278" t="s">
        <v>477</v>
      </c>
      <c r="C1278" t="s">
        <v>5096</v>
      </c>
      <c r="D1278" t="s">
        <v>19019</v>
      </c>
      <c r="E1278" t="s">
        <v>20271</v>
      </c>
      <c r="F1278" t="s">
        <v>32606</v>
      </c>
      <c r="G1278" t="s">
        <v>32613</v>
      </c>
      <c r="H1278" t="s">
        <v>14201</v>
      </c>
      <c r="I1278" t="s">
        <v>6298</v>
      </c>
      <c r="J1278" t="s">
        <v>33725</v>
      </c>
      <c r="K1278" t="s">
        <v>42631</v>
      </c>
      <c r="M1278" t="s">
        <v>43388</v>
      </c>
      <c r="N1278" t="s">
        <v>47304</v>
      </c>
      <c r="O1278" t="s">
        <v>47305</v>
      </c>
      <c r="P1278">
        <v>0</v>
      </c>
      <c r="Q1278">
        <v>0</v>
      </c>
      <c r="R1278" t="s">
        <v>47307</v>
      </c>
      <c r="S1278" t="s">
        <v>47416</v>
      </c>
      <c r="T1278" t="s">
        <v>48995</v>
      </c>
      <c r="U1278" t="s">
        <v>50700</v>
      </c>
      <c r="W1278" t="s">
        <v>43388</v>
      </c>
      <c r="X1278" t="s">
        <v>47306</v>
      </c>
    </row>
    <row r="1279" spans="1:24">
      <c r="A1279">
        <f>HYPERLINK("https://www.philgeps.gov.ph/GEPSNONPILOT/Tender/SplashBidNoticeAbstractUI.aspx?menuIndex=3&amp;refID=7198977&amp;Result=3","7198977")</f>
        <v>0</v>
      </c>
      <c r="B1279" t="s">
        <v>665</v>
      </c>
      <c r="C1279" t="s">
        <v>5097</v>
      </c>
      <c r="D1279" t="s">
        <v>19032</v>
      </c>
      <c r="E1279" t="s">
        <v>20272</v>
      </c>
      <c r="F1279" t="s">
        <v>32606</v>
      </c>
      <c r="G1279" t="s">
        <v>32613</v>
      </c>
      <c r="H1279" t="s">
        <v>14201</v>
      </c>
      <c r="I1279" t="s">
        <v>7677</v>
      </c>
      <c r="J1279" t="s">
        <v>33726</v>
      </c>
      <c r="K1279" t="s">
        <v>42624</v>
      </c>
      <c r="L1279" t="s">
        <v>665</v>
      </c>
      <c r="M1279" t="s">
        <v>43585</v>
      </c>
      <c r="N1279" t="s">
        <v>47304</v>
      </c>
      <c r="O1279" t="s">
        <v>47305</v>
      </c>
      <c r="P1279">
        <v>0</v>
      </c>
      <c r="Q1279">
        <v>0</v>
      </c>
      <c r="R1279" t="s">
        <v>47307</v>
      </c>
      <c r="S1279" t="s">
        <v>47416</v>
      </c>
      <c r="T1279" t="s">
        <v>49167</v>
      </c>
      <c r="U1279" t="s">
        <v>50701</v>
      </c>
      <c r="W1279" t="s">
        <v>43585</v>
      </c>
      <c r="X1279" t="s">
        <v>47306</v>
      </c>
    </row>
    <row r="1280" spans="1:24">
      <c r="A1280">
        <f>HYPERLINK("https://www.philgeps.gov.ph/GEPSNONPILOT/Tender/SplashBidNoticeAbstractUI.aspx?menuIndex=3&amp;refID=7198987&amp;Result=3","7198987")</f>
        <v>0</v>
      </c>
      <c r="B1280" t="s">
        <v>452</v>
      </c>
      <c r="C1280" t="s">
        <v>5098</v>
      </c>
      <c r="D1280" t="s">
        <v>19042</v>
      </c>
      <c r="E1280" t="s">
        <v>20273</v>
      </c>
      <c r="F1280" t="s">
        <v>32606</v>
      </c>
      <c r="G1280" t="s">
        <v>32613</v>
      </c>
      <c r="H1280" t="s">
        <v>14201</v>
      </c>
      <c r="I1280" t="s">
        <v>6298</v>
      </c>
      <c r="J1280" t="s">
        <v>33727</v>
      </c>
      <c r="K1280" t="s">
        <v>42623</v>
      </c>
      <c r="M1280" t="s">
        <v>43361</v>
      </c>
      <c r="N1280" t="s">
        <v>47304</v>
      </c>
      <c r="O1280" t="s">
        <v>47305</v>
      </c>
      <c r="P1280">
        <v>0</v>
      </c>
      <c r="Q1280">
        <v>0</v>
      </c>
      <c r="R1280" t="s">
        <v>47307</v>
      </c>
      <c r="S1280" t="s">
        <v>47416</v>
      </c>
      <c r="T1280" t="s">
        <v>49168</v>
      </c>
      <c r="U1280" t="s">
        <v>50702</v>
      </c>
      <c r="W1280" t="s">
        <v>43361</v>
      </c>
      <c r="X1280" t="s">
        <v>47306</v>
      </c>
    </row>
    <row r="1281" spans="1:24">
      <c r="A1281">
        <f>HYPERLINK("https://www.philgeps.gov.ph/GEPSNONPILOT/Tender/SplashBidNoticeAbstractUI.aspx?menuIndex=3&amp;refID=7198952&amp;Result=3","7198952")</f>
        <v>0</v>
      </c>
      <c r="B1281" t="s">
        <v>666</v>
      </c>
      <c r="C1281" t="s">
        <v>5099</v>
      </c>
      <c r="D1281" t="s">
        <v>19014</v>
      </c>
      <c r="E1281" t="s">
        <v>20274</v>
      </c>
      <c r="F1281" t="s">
        <v>32606</v>
      </c>
      <c r="G1281" t="s">
        <v>32619</v>
      </c>
      <c r="H1281" t="s">
        <v>14201</v>
      </c>
      <c r="I1281" t="s">
        <v>6478</v>
      </c>
      <c r="J1281" t="s">
        <v>33728</v>
      </c>
      <c r="K1281" t="s">
        <v>42624</v>
      </c>
      <c r="M1281" t="s">
        <v>43586</v>
      </c>
      <c r="N1281" t="s">
        <v>47304</v>
      </c>
      <c r="O1281" t="s">
        <v>47305</v>
      </c>
      <c r="P1281">
        <v>0</v>
      </c>
      <c r="Q1281">
        <v>0</v>
      </c>
      <c r="R1281" t="s">
        <v>47307</v>
      </c>
      <c r="S1281" t="s">
        <v>47416</v>
      </c>
      <c r="T1281" t="s">
        <v>49004</v>
      </c>
      <c r="U1281" t="s">
        <v>50703</v>
      </c>
      <c r="W1281" t="s">
        <v>43586</v>
      </c>
      <c r="X1281" t="s">
        <v>47306</v>
      </c>
    </row>
    <row r="1282" spans="1:24">
      <c r="A1282">
        <f>HYPERLINK("https://www.philgeps.gov.ph/GEPSNONPILOT/Tender/SplashBidNoticeAbstractUI.aspx?menuIndex=3&amp;refID=7198986&amp;Result=3","7198986")</f>
        <v>0</v>
      </c>
      <c r="B1282" t="s">
        <v>400</v>
      </c>
      <c r="C1282" t="s">
        <v>5100</v>
      </c>
      <c r="D1282" t="s">
        <v>19002</v>
      </c>
      <c r="E1282" t="s">
        <v>20275</v>
      </c>
      <c r="F1282" t="s">
        <v>32606</v>
      </c>
      <c r="G1282" t="s">
        <v>32615</v>
      </c>
      <c r="H1282" t="s">
        <v>14201</v>
      </c>
      <c r="I1282" t="s">
        <v>32633</v>
      </c>
      <c r="J1282" t="s">
        <v>33729</v>
      </c>
      <c r="K1282" t="s">
        <v>42624</v>
      </c>
      <c r="M1282" t="s">
        <v>43303</v>
      </c>
      <c r="N1282" t="s">
        <v>47304</v>
      </c>
      <c r="O1282" t="s">
        <v>47305</v>
      </c>
      <c r="P1282">
        <v>0</v>
      </c>
      <c r="Q1282">
        <v>0</v>
      </c>
      <c r="R1282" t="s">
        <v>47307</v>
      </c>
      <c r="S1282" t="s">
        <v>47416</v>
      </c>
      <c r="T1282" t="s">
        <v>48977</v>
      </c>
      <c r="U1282" t="s">
        <v>50704</v>
      </c>
      <c r="W1282" t="s">
        <v>43303</v>
      </c>
      <c r="X1282" t="s">
        <v>47306</v>
      </c>
    </row>
    <row r="1283" spans="1:24">
      <c r="A1283">
        <f>HYPERLINK("https://www.philgeps.gov.ph/GEPSNONPILOT/Tender/SplashBidNoticeAbstractUI.aspx?menuIndex=3&amp;refID=7198853&amp;Result=3","7198853")</f>
        <v>0</v>
      </c>
      <c r="B1283" t="s">
        <v>210</v>
      </c>
      <c r="C1283" t="s">
        <v>5101</v>
      </c>
      <c r="D1283" t="s">
        <v>18986</v>
      </c>
      <c r="E1283" t="s">
        <v>20276</v>
      </c>
      <c r="F1283" t="s">
        <v>32606</v>
      </c>
      <c r="G1283" t="s">
        <v>32613</v>
      </c>
      <c r="H1283" t="s">
        <v>32623</v>
      </c>
      <c r="I1283" t="s">
        <v>17648</v>
      </c>
      <c r="J1283" t="s">
        <v>33730</v>
      </c>
      <c r="K1283" t="s">
        <v>42704</v>
      </c>
      <c r="M1283" t="s">
        <v>43111</v>
      </c>
      <c r="N1283" t="s">
        <v>47304</v>
      </c>
      <c r="O1283" t="s">
        <v>47305</v>
      </c>
      <c r="P1283">
        <v>0</v>
      </c>
      <c r="Q1283">
        <v>0</v>
      </c>
      <c r="R1283" t="s">
        <v>47307</v>
      </c>
      <c r="S1283" t="s">
        <v>47416</v>
      </c>
      <c r="T1283" t="s">
        <v>49033</v>
      </c>
      <c r="U1283" t="s">
        <v>50705</v>
      </c>
      <c r="W1283" t="s">
        <v>43111</v>
      </c>
      <c r="X1283" t="s">
        <v>47306</v>
      </c>
    </row>
    <row r="1284" spans="1:24">
      <c r="A1284">
        <f>HYPERLINK("https://www.philgeps.gov.ph/GEPSNONPILOT/Tender/SplashBidNoticeAbstractUI.aspx?menuIndex=3&amp;refID=7198837&amp;Result=3","7198837")</f>
        <v>0</v>
      </c>
      <c r="B1284" t="s">
        <v>624</v>
      </c>
      <c r="C1284" t="s">
        <v>5102</v>
      </c>
      <c r="D1284" t="s">
        <v>19041</v>
      </c>
      <c r="E1284" t="s">
        <v>20277</v>
      </c>
      <c r="F1284" t="s">
        <v>32606</v>
      </c>
      <c r="G1284" t="s">
        <v>32613</v>
      </c>
      <c r="H1284" t="s">
        <v>14201</v>
      </c>
      <c r="I1284" t="s">
        <v>7577</v>
      </c>
      <c r="J1284" t="s">
        <v>33449</v>
      </c>
      <c r="K1284" t="s">
        <v>42623</v>
      </c>
      <c r="M1284" t="s">
        <v>43542</v>
      </c>
      <c r="N1284" t="s">
        <v>47304</v>
      </c>
      <c r="O1284" t="s">
        <v>47305</v>
      </c>
      <c r="P1284">
        <v>0</v>
      </c>
      <c r="Q1284">
        <v>0</v>
      </c>
      <c r="R1284" t="s">
        <v>47307</v>
      </c>
      <c r="S1284" t="s">
        <v>47416</v>
      </c>
      <c r="T1284" t="s">
        <v>49017</v>
      </c>
      <c r="U1284" t="s">
        <v>50627</v>
      </c>
      <c r="W1284" t="s">
        <v>43542</v>
      </c>
      <c r="X1284" t="s">
        <v>47306</v>
      </c>
    </row>
    <row r="1285" spans="1:24">
      <c r="A1285">
        <f>HYPERLINK("https://www.philgeps.gov.ph/GEPSNONPILOT/Tender/SplashBidNoticeAbstractUI.aspx?menuIndex=3&amp;refID=7198834&amp;Result=3","7198834")</f>
        <v>0</v>
      </c>
      <c r="B1285" t="s">
        <v>569</v>
      </c>
      <c r="C1285" t="s">
        <v>5103</v>
      </c>
      <c r="D1285" t="s">
        <v>18993</v>
      </c>
      <c r="E1285" t="s">
        <v>20278</v>
      </c>
      <c r="F1285" t="s">
        <v>32606</v>
      </c>
      <c r="G1285" t="s">
        <v>32619</v>
      </c>
      <c r="H1285" t="s">
        <v>14201</v>
      </c>
      <c r="I1285" t="s">
        <v>6298</v>
      </c>
      <c r="J1285" t="s">
        <v>32885</v>
      </c>
      <c r="K1285" t="s">
        <v>42623</v>
      </c>
      <c r="M1285" t="s">
        <v>43484</v>
      </c>
      <c r="N1285" t="s">
        <v>47304</v>
      </c>
      <c r="O1285" t="s">
        <v>47305</v>
      </c>
      <c r="P1285">
        <v>0</v>
      </c>
      <c r="Q1285">
        <v>0</v>
      </c>
      <c r="R1285" t="s">
        <v>47307</v>
      </c>
      <c r="S1285" t="s">
        <v>47416</v>
      </c>
      <c r="T1285" t="s">
        <v>49050</v>
      </c>
      <c r="U1285" t="s">
        <v>50706</v>
      </c>
      <c r="W1285" t="s">
        <v>43484</v>
      </c>
      <c r="X1285" t="s">
        <v>47306</v>
      </c>
    </row>
    <row r="1286" spans="1:24">
      <c r="A1286">
        <f>HYPERLINK("https://www.philgeps.gov.ph/GEPSNONPILOT/Tender/SplashBidNoticeAbstractUI.aspx?menuIndex=3&amp;refID=7199013&amp;Result=3","7199013")</f>
        <v>0</v>
      </c>
      <c r="B1286" t="s">
        <v>667</v>
      </c>
      <c r="C1286" t="s">
        <v>5104</v>
      </c>
      <c r="E1286" t="s">
        <v>20279</v>
      </c>
      <c r="F1286" t="s">
        <v>32606</v>
      </c>
      <c r="G1286" t="s">
        <v>32613</v>
      </c>
      <c r="H1286" t="s">
        <v>14201</v>
      </c>
      <c r="I1286" t="s">
        <v>13131</v>
      </c>
      <c r="J1286" t="s">
        <v>33731</v>
      </c>
      <c r="K1286" t="s">
        <v>42631</v>
      </c>
      <c r="M1286" t="s">
        <v>43587</v>
      </c>
      <c r="N1286" t="s">
        <v>47304</v>
      </c>
      <c r="O1286" t="s">
        <v>47305</v>
      </c>
      <c r="P1286">
        <v>0</v>
      </c>
      <c r="Q1286">
        <v>0</v>
      </c>
      <c r="R1286" t="s">
        <v>47307</v>
      </c>
      <c r="S1286" t="s">
        <v>47416</v>
      </c>
      <c r="T1286" t="s">
        <v>49104</v>
      </c>
      <c r="U1286" t="s">
        <v>50707</v>
      </c>
      <c r="W1286" t="s">
        <v>43587</v>
      </c>
      <c r="X1286" t="s">
        <v>47306</v>
      </c>
    </row>
    <row r="1287" spans="1:24">
      <c r="A1287">
        <f>HYPERLINK("https://www.philgeps.gov.ph/GEPSNONPILOT/Tender/SplashBidNoticeAbstractUI.aspx?menuIndex=3&amp;refID=7198963&amp;Result=3","7198963")</f>
        <v>0</v>
      </c>
      <c r="B1287" t="s">
        <v>668</v>
      </c>
      <c r="C1287" t="s">
        <v>5105</v>
      </c>
      <c r="D1287" t="s">
        <v>18993</v>
      </c>
      <c r="E1287" t="s">
        <v>20280</v>
      </c>
      <c r="F1287" t="s">
        <v>32606</v>
      </c>
      <c r="G1287" t="s">
        <v>32614</v>
      </c>
      <c r="H1287" t="s">
        <v>14201</v>
      </c>
      <c r="I1287" t="s">
        <v>32690</v>
      </c>
      <c r="J1287" t="s">
        <v>33732</v>
      </c>
      <c r="K1287" t="s">
        <v>42624</v>
      </c>
      <c r="M1287" t="s">
        <v>43588</v>
      </c>
      <c r="N1287" t="s">
        <v>47304</v>
      </c>
      <c r="O1287" t="s">
        <v>47305</v>
      </c>
      <c r="P1287">
        <v>0</v>
      </c>
      <c r="Q1287">
        <v>0</v>
      </c>
      <c r="R1287" t="s">
        <v>47307</v>
      </c>
      <c r="S1287" t="s">
        <v>47416</v>
      </c>
      <c r="T1287" t="s">
        <v>49015</v>
      </c>
      <c r="U1287" t="s">
        <v>50708</v>
      </c>
      <c r="W1287" t="s">
        <v>43588</v>
      </c>
      <c r="X1287" t="s">
        <v>47306</v>
      </c>
    </row>
    <row r="1288" spans="1:24">
      <c r="A1288">
        <f>HYPERLINK("https://www.philgeps.gov.ph/GEPSNONPILOT/Tender/SplashBidNoticeAbstractUI.aspx?menuIndex=3&amp;refID=7198980&amp;Result=3","7198980")</f>
        <v>0</v>
      </c>
      <c r="B1288" t="s">
        <v>650</v>
      </c>
      <c r="C1288" t="s">
        <v>4758</v>
      </c>
      <c r="D1288" t="s">
        <v>19057</v>
      </c>
      <c r="E1288" t="s">
        <v>20281</v>
      </c>
      <c r="F1288" t="s">
        <v>32606</v>
      </c>
      <c r="G1288" t="s">
        <v>32617</v>
      </c>
      <c r="H1288" t="s">
        <v>14201</v>
      </c>
      <c r="I1288" t="s">
        <v>4114</v>
      </c>
      <c r="J1288" t="s">
        <v>33733</v>
      </c>
      <c r="K1288" t="s">
        <v>42623</v>
      </c>
      <c r="M1288" t="s">
        <v>43569</v>
      </c>
      <c r="N1288" t="s">
        <v>47304</v>
      </c>
      <c r="O1288" t="s">
        <v>47305</v>
      </c>
      <c r="P1288">
        <v>0</v>
      </c>
      <c r="Q1288">
        <v>0</v>
      </c>
      <c r="R1288" t="s">
        <v>47307</v>
      </c>
      <c r="S1288" t="s">
        <v>47416</v>
      </c>
      <c r="T1288" t="s">
        <v>48987</v>
      </c>
      <c r="U1288" t="s">
        <v>50709</v>
      </c>
      <c r="W1288" t="s">
        <v>43569</v>
      </c>
      <c r="X1288" t="s">
        <v>47306</v>
      </c>
    </row>
    <row r="1289" spans="1:24">
      <c r="A1289">
        <f>HYPERLINK("https://www.philgeps.gov.ph/GEPSNONPILOT/Tender/SplashBidNoticeAbstractUI.aspx?menuIndex=3&amp;refID=7199020&amp;Result=3","7199020")</f>
        <v>0</v>
      </c>
      <c r="B1289" t="s">
        <v>581</v>
      </c>
      <c r="C1289" t="s">
        <v>5106</v>
      </c>
      <c r="D1289" t="s">
        <v>19036</v>
      </c>
      <c r="E1289" t="s">
        <v>20282</v>
      </c>
      <c r="F1289" t="s">
        <v>32606</v>
      </c>
      <c r="G1289" t="s">
        <v>32613</v>
      </c>
      <c r="H1289" t="s">
        <v>32624</v>
      </c>
      <c r="I1289" t="s">
        <v>32628</v>
      </c>
      <c r="J1289" t="s">
        <v>33734</v>
      </c>
      <c r="K1289" t="s">
        <v>42705</v>
      </c>
      <c r="M1289" t="s">
        <v>43496</v>
      </c>
      <c r="N1289" t="s">
        <v>47304</v>
      </c>
      <c r="O1289" t="s">
        <v>47305</v>
      </c>
      <c r="P1289">
        <v>0</v>
      </c>
      <c r="Q1289">
        <v>0</v>
      </c>
      <c r="R1289" t="s">
        <v>47307</v>
      </c>
      <c r="S1289" t="s">
        <v>47416</v>
      </c>
      <c r="T1289" t="s">
        <v>49110</v>
      </c>
      <c r="U1289" t="s">
        <v>50710</v>
      </c>
      <c r="W1289" t="s">
        <v>43496</v>
      </c>
      <c r="X1289" t="s">
        <v>47306</v>
      </c>
    </row>
    <row r="1290" spans="1:24">
      <c r="A1290">
        <f>HYPERLINK("https://www.philgeps.gov.ph/GEPSNONPILOT/Tender/SplashBidNoticeAbstractUI.aspx?menuIndex=3&amp;refID=7199017&amp;Result=3","7199017")</f>
        <v>0</v>
      </c>
      <c r="B1290" t="s">
        <v>662</v>
      </c>
      <c r="C1290" t="s">
        <v>5107</v>
      </c>
      <c r="D1290" t="s">
        <v>19023</v>
      </c>
      <c r="E1290" t="s">
        <v>20283</v>
      </c>
      <c r="F1290" t="s">
        <v>32606</v>
      </c>
      <c r="G1290" t="s">
        <v>32613</v>
      </c>
      <c r="H1290" t="s">
        <v>14201</v>
      </c>
      <c r="I1290" t="s">
        <v>7064</v>
      </c>
      <c r="J1290" t="s">
        <v>33735</v>
      </c>
      <c r="K1290" t="s">
        <v>42648</v>
      </c>
      <c r="M1290" t="s">
        <v>43582</v>
      </c>
      <c r="N1290" t="s">
        <v>47304</v>
      </c>
      <c r="O1290" t="s">
        <v>47305</v>
      </c>
      <c r="P1290">
        <v>0</v>
      </c>
      <c r="Q1290">
        <v>2</v>
      </c>
      <c r="R1290" t="s">
        <v>47307</v>
      </c>
      <c r="S1290" t="s">
        <v>47416</v>
      </c>
      <c r="T1290" t="s">
        <v>48995</v>
      </c>
      <c r="U1290" t="s">
        <v>50711</v>
      </c>
      <c r="W1290" t="s">
        <v>43582</v>
      </c>
      <c r="X1290" t="s">
        <v>47306</v>
      </c>
    </row>
    <row r="1291" spans="1:24">
      <c r="A1291">
        <f>HYPERLINK("https://www.philgeps.gov.ph/GEPSNONPILOT/Tender/SplashBidNoticeAbstractUI.aspx?menuIndex=3&amp;refID=7199016&amp;Result=3","7199016")</f>
        <v>0</v>
      </c>
      <c r="B1291" t="s">
        <v>666</v>
      </c>
      <c r="C1291" t="s">
        <v>5108</v>
      </c>
      <c r="D1291" t="s">
        <v>19014</v>
      </c>
      <c r="E1291" t="s">
        <v>20284</v>
      </c>
      <c r="F1291" t="s">
        <v>32606</v>
      </c>
      <c r="G1291" t="s">
        <v>32619</v>
      </c>
      <c r="H1291" t="s">
        <v>14201</v>
      </c>
      <c r="I1291" t="s">
        <v>6478</v>
      </c>
      <c r="J1291" t="s">
        <v>33736</v>
      </c>
      <c r="K1291" t="s">
        <v>42624</v>
      </c>
      <c r="M1291" t="s">
        <v>43586</v>
      </c>
      <c r="N1291" t="s">
        <v>47304</v>
      </c>
      <c r="O1291" t="s">
        <v>47305</v>
      </c>
      <c r="P1291">
        <v>0</v>
      </c>
      <c r="Q1291">
        <v>0</v>
      </c>
      <c r="R1291" t="s">
        <v>47307</v>
      </c>
      <c r="S1291" t="s">
        <v>47416</v>
      </c>
      <c r="T1291" t="s">
        <v>49004</v>
      </c>
      <c r="U1291" t="s">
        <v>50703</v>
      </c>
      <c r="W1291" t="s">
        <v>43586</v>
      </c>
      <c r="X1291" t="s">
        <v>47306</v>
      </c>
    </row>
    <row r="1292" spans="1:24">
      <c r="A1292">
        <f>HYPERLINK("https://www.philgeps.gov.ph/GEPSNONPILOT/Tender/SplashBidNoticeAbstractUI.aspx?menuIndex=3&amp;refID=7198976&amp;Result=3","7198976")</f>
        <v>0</v>
      </c>
      <c r="B1292" t="s">
        <v>649</v>
      </c>
      <c r="C1292" t="s">
        <v>5109</v>
      </c>
      <c r="D1292" t="s">
        <v>19033</v>
      </c>
      <c r="E1292" t="s">
        <v>20285</v>
      </c>
      <c r="F1292" t="s">
        <v>32606</v>
      </c>
      <c r="G1292" t="s">
        <v>32613</v>
      </c>
      <c r="H1292" t="s">
        <v>14201</v>
      </c>
      <c r="I1292" t="s">
        <v>6931</v>
      </c>
      <c r="J1292" t="s">
        <v>33526</v>
      </c>
      <c r="K1292" t="s">
        <v>42624</v>
      </c>
      <c r="M1292" t="s">
        <v>43568</v>
      </c>
      <c r="N1292" t="s">
        <v>47304</v>
      </c>
      <c r="O1292" t="s">
        <v>47305</v>
      </c>
      <c r="P1292">
        <v>0</v>
      </c>
      <c r="Q1292">
        <v>0</v>
      </c>
      <c r="R1292" t="s">
        <v>47307</v>
      </c>
      <c r="S1292" t="s">
        <v>47416</v>
      </c>
      <c r="T1292" t="s">
        <v>49080</v>
      </c>
      <c r="U1292" t="s">
        <v>50712</v>
      </c>
      <c r="W1292" t="s">
        <v>43568</v>
      </c>
      <c r="X1292" t="s">
        <v>47306</v>
      </c>
    </row>
    <row r="1293" spans="1:24">
      <c r="A1293">
        <f>HYPERLINK("https://www.philgeps.gov.ph/GEPSNONPILOT/Tender/SplashBidNoticeAbstractUI.aspx?menuIndex=3&amp;refID=7199011&amp;Result=3","7199011")</f>
        <v>0</v>
      </c>
      <c r="B1293" t="s">
        <v>669</v>
      </c>
      <c r="C1293" t="s">
        <v>5110</v>
      </c>
      <c r="D1293" t="s">
        <v>18993</v>
      </c>
      <c r="E1293" t="s">
        <v>20286</v>
      </c>
      <c r="F1293" t="s">
        <v>32606</v>
      </c>
      <c r="G1293" t="s">
        <v>32614</v>
      </c>
      <c r="H1293" t="s">
        <v>32624</v>
      </c>
      <c r="I1293" t="s">
        <v>32633</v>
      </c>
      <c r="J1293" t="s">
        <v>32778</v>
      </c>
      <c r="K1293" t="s">
        <v>42674</v>
      </c>
      <c r="M1293" t="s">
        <v>43589</v>
      </c>
      <c r="N1293" t="s">
        <v>47304</v>
      </c>
      <c r="O1293" t="s">
        <v>47305</v>
      </c>
      <c r="P1293">
        <v>0</v>
      </c>
      <c r="Q1293">
        <v>2</v>
      </c>
      <c r="R1293" t="s">
        <v>47307</v>
      </c>
      <c r="S1293" t="s">
        <v>47416</v>
      </c>
      <c r="T1293" t="s">
        <v>48976</v>
      </c>
      <c r="U1293" t="s">
        <v>50713</v>
      </c>
      <c r="W1293" t="s">
        <v>43589</v>
      </c>
      <c r="X1293" t="s">
        <v>47306</v>
      </c>
    </row>
    <row r="1294" spans="1:24">
      <c r="A1294">
        <f>HYPERLINK("https://www.philgeps.gov.ph/GEPSNONPILOT/Tender/SplashBidNoticeAbstractUI.aspx?menuIndex=3&amp;refID=7198835&amp;Result=3","7198835")</f>
        <v>0</v>
      </c>
      <c r="B1294" t="s">
        <v>670</v>
      </c>
      <c r="C1294" t="s">
        <v>5111</v>
      </c>
      <c r="D1294" t="s">
        <v>19015</v>
      </c>
      <c r="E1294" t="s">
        <v>20122</v>
      </c>
      <c r="F1294" t="s">
        <v>32606</v>
      </c>
      <c r="G1294" t="s">
        <v>32613</v>
      </c>
      <c r="H1294" t="s">
        <v>32623</v>
      </c>
      <c r="I1294" t="s">
        <v>17648</v>
      </c>
      <c r="J1294" t="s">
        <v>33737</v>
      </c>
      <c r="K1294" t="s">
        <v>42639</v>
      </c>
      <c r="M1294" t="s">
        <v>43590</v>
      </c>
      <c r="N1294" t="s">
        <v>47304</v>
      </c>
      <c r="O1294" t="s">
        <v>47305</v>
      </c>
      <c r="P1294">
        <v>0</v>
      </c>
      <c r="Q1294">
        <v>0</v>
      </c>
      <c r="R1294" t="s">
        <v>47307</v>
      </c>
      <c r="S1294" t="s">
        <v>47416</v>
      </c>
      <c r="T1294" t="s">
        <v>48990</v>
      </c>
      <c r="U1294" t="s">
        <v>50714</v>
      </c>
      <c r="W1294" t="s">
        <v>43590</v>
      </c>
      <c r="X1294" t="s">
        <v>47306</v>
      </c>
    </row>
    <row r="1295" spans="1:24">
      <c r="A1295">
        <f>HYPERLINK("https://www.philgeps.gov.ph/GEPSNONPILOT/Tender/SplashBidNoticeAbstractUI.aspx?menuIndex=3&amp;refID=7199010&amp;Result=3","7199010")</f>
        <v>0</v>
      </c>
      <c r="B1295" t="s">
        <v>400</v>
      </c>
      <c r="C1295" t="s">
        <v>5112</v>
      </c>
      <c r="D1295" t="s">
        <v>19002</v>
      </c>
      <c r="E1295" t="s">
        <v>20287</v>
      </c>
      <c r="F1295" t="s">
        <v>32606</v>
      </c>
      <c r="G1295" t="s">
        <v>32615</v>
      </c>
      <c r="H1295" t="s">
        <v>14201</v>
      </c>
      <c r="I1295" t="s">
        <v>6298</v>
      </c>
      <c r="J1295" t="s">
        <v>33738</v>
      </c>
      <c r="K1295" t="s">
        <v>42624</v>
      </c>
      <c r="M1295" t="s">
        <v>43303</v>
      </c>
      <c r="N1295" t="s">
        <v>47304</v>
      </c>
      <c r="O1295" t="s">
        <v>47305</v>
      </c>
      <c r="P1295">
        <v>0</v>
      </c>
      <c r="Q1295">
        <v>0</v>
      </c>
      <c r="R1295" t="s">
        <v>47307</v>
      </c>
      <c r="S1295" t="s">
        <v>47416</v>
      </c>
      <c r="T1295" t="s">
        <v>48977</v>
      </c>
      <c r="U1295" t="s">
        <v>50715</v>
      </c>
      <c r="W1295" t="s">
        <v>43303</v>
      </c>
      <c r="X1295" t="s">
        <v>47306</v>
      </c>
    </row>
    <row r="1296" spans="1:24">
      <c r="A1296">
        <f>HYPERLINK("https://www.philgeps.gov.ph/GEPSNONPILOT/Tender/SplashBidNoticeAbstractUI.aspx?menuIndex=3&amp;refID=7199008&amp;Result=3","7199008")</f>
        <v>0</v>
      </c>
      <c r="B1296" t="s">
        <v>173</v>
      </c>
      <c r="C1296" t="s">
        <v>5113</v>
      </c>
      <c r="E1296" t="s">
        <v>20288</v>
      </c>
      <c r="F1296" t="s">
        <v>32606</v>
      </c>
      <c r="G1296" t="s">
        <v>32613</v>
      </c>
      <c r="H1296" t="s">
        <v>14201</v>
      </c>
      <c r="I1296" t="s">
        <v>7064</v>
      </c>
      <c r="J1296" t="s">
        <v>32795</v>
      </c>
      <c r="K1296" t="s">
        <v>42624</v>
      </c>
      <c r="M1296" t="s">
        <v>43074</v>
      </c>
      <c r="N1296" t="s">
        <v>47304</v>
      </c>
      <c r="O1296" t="s">
        <v>47305</v>
      </c>
      <c r="P1296">
        <v>0</v>
      </c>
      <c r="Q1296">
        <v>0</v>
      </c>
      <c r="R1296" t="s">
        <v>47307</v>
      </c>
      <c r="S1296" t="s">
        <v>47416</v>
      </c>
      <c r="T1296" t="s">
        <v>49116</v>
      </c>
      <c r="U1296" t="s">
        <v>50542</v>
      </c>
      <c r="W1296" t="s">
        <v>43074</v>
      </c>
      <c r="X1296" t="s">
        <v>47306</v>
      </c>
    </row>
    <row r="1297" spans="1:24">
      <c r="A1297">
        <f>HYPERLINK("https://www.philgeps.gov.ph/GEPSNONPILOT/Tender/SplashBidNoticeAbstractUI.aspx?menuIndex=3&amp;refID=7199007&amp;Result=3","7199007")</f>
        <v>0</v>
      </c>
      <c r="B1297" t="s">
        <v>671</v>
      </c>
      <c r="C1297" t="s">
        <v>5114</v>
      </c>
      <c r="D1297" t="s">
        <v>18993</v>
      </c>
      <c r="E1297" t="s">
        <v>20289</v>
      </c>
      <c r="F1297" t="s">
        <v>32606</v>
      </c>
      <c r="G1297" t="s">
        <v>32614</v>
      </c>
      <c r="H1297" t="s">
        <v>14201</v>
      </c>
      <c r="I1297" t="s">
        <v>32675</v>
      </c>
      <c r="J1297" t="s">
        <v>32874</v>
      </c>
      <c r="K1297" t="s">
        <v>42624</v>
      </c>
      <c r="M1297" t="s">
        <v>43591</v>
      </c>
      <c r="N1297" t="s">
        <v>47304</v>
      </c>
      <c r="O1297" t="s">
        <v>47305</v>
      </c>
      <c r="P1297">
        <v>0</v>
      </c>
      <c r="Q1297">
        <v>0</v>
      </c>
      <c r="R1297" t="s">
        <v>47307</v>
      </c>
      <c r="S1297" t="s">
        <v>47416</v>
      </c>
      <c r="T1297" t="s">
        <v>49108</v>
      </c>
      <c r="U1297" t="s">
        <v>50716</v>
      </c>
      <c r="W1297" t="s">
        <v>43591</v>
      </c>
      <c r="X1297" t="s">
        <v>47306</v>
      </c>
    </row>
    <row r="1298" spans="1:24">
      <c r="A1298">
        <f>HYPERLINK("https://www.philgeps.gov.ph/GEPSNONPILOT/Tender/SplashBidNoticeAbstractUI.aspx?menuIndex=3&amp;refID=7199023&amp;Result=3","7199023")</f>
        <v>0</v>
      </c>
      <c r="B1298" t="s">
        <v>213</v>
      </c>
      <c r="C1298" t="s">
        <v>4277</v>
      </c>
      <c r="D1298" t="s">
        <v>19027</v>
      </c>
      <c r="E1298" t="s">
        <v>20290</v>
      </c>
      <c r="F1298" t="s">
        <v>32606</v>
      </c>
      <c r="G1298" t="s">
        <v>32614</v>
      </c>
      <c r="H1298" t="s">
        <v>14201</v>
      </c>
      <c r="I1298" t="s">
        <v>32655</v>
      </c>
      <c r="J1298" t="s">
        <v>33739</v>
      </c>
      <c r="K1298" t="s">
        <v>42623</v>
      </c>
      <c r="M1298" t="s">
        <v>43114</v>
      </c>
      <c r="N1298" t="s">
        <v>47304</v>
      </c>
      <c r="O1298" t="s">
        <v>47305</v>
      </c>
      <c r="P1298">
        <v>0</v>
      </c>
      <c r="Q1298">
        <v>0</v>
      </c>
      <c r="R1298" t="s">
        <v>47307</v>
      </c>
      <c r="S1298" t="s">
        <v>47416</v>
      </c>
      <c r="T1298" t="s">
        <v>49150</v>
      </c>
      <c r="U1298" t="s">
        <v>50717</v>
      </c>
      <c r="V1298" t="s">
        <v>62697</v>
      </c>
      <c r="W1298" t="s">
        <v>43114</v>
      </c>
      <c r="X1298" t="s">
        <v>47306</v>
      </c>
    </row>
    <row r="1299" spans="1:24">
      <c r="A1299">
        <f>HYPERLINK("https://www.philgeps.gov.ph/GEPSNONPILOT/Tender/SplashBidNoticeAbstractUI.aspx?menuIndex=3&amp;refID=7199005&amp;Result=3","7199005")</f>
        <v>0</v>
      </c>
      <c r="B1299" t="s">
        <v>672</v>
      </c>
      <c r="C1299" t="s">
        <v>5115</v>
      </c>
      <c r="D1299" t="s">
        <v>18994</v>
      </c>
      <c r="E1299" t="s">
        <v>20291</v>
      </c>
      <c r="F1299" t="s">
        <v>32606</v>
      </c>
      <c r="G1299" t="s">
        <v>32613</v>
      </c>
      <c r="H1299" t="s">
        <v>14201</v>
      </c>
      <c r="I1299" t="s">
        <v>7677</v>
      </c>
      <c r="J1299" t="s">
        <v>33740</v>
      </c>
      <c r="K1299" t="s">
        <v>42624</v>
      </c>
      <c r="L1299" t="s">
        <v>672</v>
      </c>
      <c r="M1299" t="s">
        <v>43592</v>
      </c>
      <c r="N1299" t="s">
        <v>47304</v>
      </c>
      <c r="O1299" t="s">
        <v>47305</v>
      </c>
      <c r="P1299">
        <v>0</v>
      </c>
      <c r="Q1299">
        <v>0</v>
      </c>
      <c r="R1299" t="s">
        <v>47307</v>
      </c>
      <c r="S1299" t="s">
        <v>47416</v>
      </c>
      <c r="T1299" t="s">
        <v>48995</v>
      </c>
      <c r="U1299" t="s">
        <v>50718</v>
      </c>
      <c r="W1299" t="s">
        <v>43592</v>
      </c>
      <c r="X1299" t="s">
        <v>47306</v>
      </c>
    </row>
    <row r="1300" spans="1:24">
      <c r="A1300">
        <f>HYPERLINK("https://www.philgeps.gov.ph/GEPSNONPILOT/Tender/SplashBidNoticeAbstractUI.aspx?menuIndex=3&amp;refID=7199015&amp;Result=3","7199015")</f>
        <v>0</v>
      </c>
      <c r="B1300" t="s">
        <v>210</v>
      </c>
      <c r="C1300" t="s">
        <v>5116</v>
      </c>
      <c r="D1300" t="s">
        <v>18986</v>
      </c>
      <c r="E1300" t="s">
        <v>20292</v>
      </c>
      <c r="F1300" t="s">
        <v>32606</v>
      </c>
      <c r="G1300" t="s">
        <v>32613</v>
      </c>
      <c r="H1300" t="s">
        <v>32623</v>
      </c>
      <c r="I1300" t="s">
        <v>17648</v>
      </c>
      <c r="J1300" t="s">
        <v>33741</v>
      </c>
      <c r="K1300" t="s">
        <v>42639</v>
      </c>
      <c r="M1300" t="s">
        <v>43111</v>
      </c>
      <c r="N1300" t="s">
        <v>47304</v>
      </c>
      <c r="O1300" t="s">
        <v>47305</v>
      </c>
      <c r="P1300">
        <v>0</v>
      </c>
      <c r="Q1300">
        <v>0</v>
      </c>
      <c r="R1300" t="s">
        <v>47307</v>
      </c>
      <c r="S1300" t="s">
        <v>47416</v>
      </c>
      <c r="T1300" t="s">
        <v>49033</v>
      </c>
      <c r="U1300" t="s">
        <v>50719</v>
      </c>
      <c r="W1300" t="s">
        <v>43111</v>
      </c>
      <c r="X1300" t="s">
        <v>47306</v>
      </c>
    </row>
    <row r="1301" spans="1:24">
      <c r="A1301">
        <f>HYPERLINK("https://www.philgeps.gov.ph/GEPSNONPILOT/Tender/SplashBidNoticeAbstractUI.aspx?menuIndex=3&amp;refID=7199014&amp;Result=3","7199014")</f>
        <v>0</v>
      </c>
      <c r="B1301" t="s">
        <v>396</v>
      </c>
      <c r="C1301" t="s">
        <v>5117</v>
      </c>
      <c r="D1301" t="s">
        <v>19038</v>
      </c>
      <c r="E1301" t="s">
        <v>20293</v>
      </c>
      <c r="F1301" t="s">
        <v>32606</v>
      </c>
      <c r="G1301" t="s">
        <v>32619</v>
      </c>
      <c r="H1301" t="s">
        <v>14201</v>
      </c>
      <c r="I1301" t="s">
        <v>6931</v>
      </c>
      <c r="J1301" t="s">
        <v>33742</v>
      </c>
      <c r="K1301" t="s">
        <v>42630</v>
      </c>
      <c r="M1301" t="s">
        <v>43299</v>
      </c>
      <c r="N1301" t="s">
        <v>47304</v>
      </c>
      <c r="O1301" t="s">
        <v>47305</v>
      </c>
      <c r="P1301">
        <v>0</v>
      </c>
      <c r="Q1301">
        <v>0</v>
      </c>
      <c r="R1301" t="s">
        <v>47307</v>
      </c>
      <c r="S1301" t="s">
        <v>47416</v>
      </c>
      <c r="T1301" t="s">
        <v>49041</v>
      </c>
      <c r="U1301" t="s">
        <v>50720</v>
      </c>
      <c r="V1301" t="s">
        <v>62796</v>
      </c>
      <c r="W1301" t="s">
        <v>43299</v>
      </c>
      <c r="X1301" t="s">
        <v>47306</v>
      </c>
    </row>
    <row r="1302" spans="1:24">
      <c r="A1302">
        <f>HYPERLINK("https://www.philgeps.gov.ph/GEPSNONPILOT/Tender/SplashBidNoticeAbstractUI.aspx?menuIndex=3&amp;refID=7199003&amp;Result=3","7199003")</f>
        <v>0</v>
      </c>
      <c r="B1302" t="s">
        <v>534</v>
      </c>
      <c r="C1302" t="s">
        <v>4862</v>
      </c>
      <c r="D1302" t="s">
        <v>19006</v>
      </c>
      <c r="E1302" t="s">
        <v>20294</v>
      </c>
      <c r="F1302" t="s">
        <v>32606</v>
      </c>
      <c r="G1302" t="s">
        <v>32615</v>
      </c>
      <c r="H1302" t="s">
        <v>14201</v>
      </c>
      <c r="I1302" t="s">
        <v>4120</v>
      </c>
      <c r="J1302" t="s">
        <v>33743</v>
      </c>
      <c r="K1302" t="s">
        <v>42622</v>
      </c>
      <c r="M1302" t="s">
        <v>43447</v>
      </c>
      <c r="N1302" t="s">
        <v>47304</v>
      </c>
      <c r="O1302" t="s">
        <v>47305</v>
      </c>
      <c r="P1302">
        <v>0</v>
      </c>
      <c r="Q1302">
        <v>0</v>
      </c>
      <c r="R1302" t="s">
        <v>47307</v>
      </c>
      <c r="S1302" t="s">
        <v>47416</v>
      </c>
      <c r="T1302" t="s">
        <v>49018</v>
      </c>
      <c r="U1302" t="s">
        <v>50721</v>
      </c>
      <c r="W1302" t="s">
        <v>43447</v>
      </c>
      <c r="X1302" t="s">
        <v>47306</v>
      </c>
    </row>
    <row r="1303" spans="1:24">
      <c r="A1303">
        <f>HYPERLINK("https://www.philgeps.gov.ph/GEPSNONPILOT/Tender/SplashBidNoticeAbstractUI.aspx?menuIndex=3&amp;refID=7199002&amp;Result=3","7199002")</f>
        <v>0</v>
      </c>
      <c r="B1303" t="s">
        <v>673</v>
      </c>
      <c r="C1303" t="s">
        <v>5118</v>
      </c>
      <c r="D1303" t="s">
        <v>19060</v>
      </c>
      <c r="E1303" t="s">
        <v>20295</v>
      </c>
      <c r="F1303" t="s">
        <v>32606</v>
      </c>
      <c r="G1303" t="s">
        <v>32619</v>
      </c>
      <c r="H1303" t="s">
        <v>14201</v>
      </c>
      <c r="I1303" t="s">
        <v>4114</v>
      </c>
      <c r="J1303" t="s">
        <v>33744</v>
      </c>
      <c r="K1303" t="s">
        <v>42630</v>
      </c>
      <c r="M1303" t="s">
        <v>43593</v>
      </c>
      <c r="N1303" t="s">
        <v>47304</v>
      </c>
      <c r="O1303" t="s">
        <v>47305</v>
      </c>
      <c r="P1303">
        <v>0</v>
      </c>
      <c r="Q1303">
        <v>0</v>
      </c>
      <c r="R1303" t="s">
        <v>47307</v>
      </c>
      <c r="S1303" t="s">
        <v>47416</v>
      </c>
      <c r="T1303" t="s">
        <v>48996</v>
      </c>
      <c r="U1303" t="s">
        <v>50722</v>
      </c>
      <c r="V1303" t="s">
        <v>62797</v>
      </c>
      <c r="W1303" t="s">
        <v>43593</v>
      </c>
      <c r="X1303" t="s">
        <v>47306</v>
      </c>
    </row>
    <row r="1304" spans="1:24">
      <c r="A1304">
        <f>HYPERLINK("https://www.philgeps.gov.ph/GEPSNONPILOT/Tender/SplashBidNoticeAbstractUI.aspx?menuIndex=3&amp;refID=7199000&amp;Result=3","7199000")</f>
        <v>0</v>
      </c>
      <c r="B1304" t="s">
        <v>647</v>
      </c>
      <c r="C1304" t="s">
        <v>5119</v>
      </c>
      <c r="D1304" t="s">
        <v>19055</v>
      </c>
      <c r="E1304" t="s">
        <v>20296</v>
      </c>
      <c r="F1304" t="s">
        <v>32606</v>
      </c>
      <c r="G1304" t="s">
        <v>32613</v>
      </c>
      <c r="H1304" t="s">
        <v>32623</v>
      </c>
      <c r="I1304" t="s">
        <v>17648</v>
      </c>
      <c r="J1304" t="s">
        <v>33745</v>
      </c>
      <c r="K1304" t="s">
        <v>42636</v>
      </c>
      <c r="M1304" t="s">
        <v>43565</v>
      </c>
      <c r="N1304" t="s">
        <v>47304</v>
      </c>
      <c r="O1304" t="s">
        <v>47305</v>
      </c>
      <c r="P1304">
        <v>0</v>
      </c>
      <c r="Q1304">
        <v>0</v>
      </c>
      <c r="R1304" t="s">
        <v>47307</v>
      </c>
      <c r="S1304" t="s">
        <v>47416</v>
      </c>
      <c r="T1304" t="s">
        <v>48973</v>
      </c>
      <c r="U1304" t="s">
        <v>50723</v>
      </c>
      <c r="V1304" t="s">
        <v>62798</v>
      </c>
      <c r="W1304" t="s">
        <v>43565</v>
      </c>
      <c r="X1304" t="s">
        <v>47306</v>
      </c>
    </row>
    <row r="1305" spans="1:24">
      <c r="A1305">
        <f>HYPERLINK("https://www.philgeps.gov.ph/GEPSNONPILOT/Tender/SplashBidNoticeAbstractUI.aspx?menuIndex=3&amp;refID=7198978&amp;Result=3","7198978")</f>
        <v>0</v>
      </c>
      <c r="B1305" t="s">
        <v>609</v>
      </c>
      <c r="C1305" t="s">
        <v>5120</v>
      </c>
      <c r="D1305" t="s">
        <v>19024</v>
      </c>
      <c r="E1305" t="s">
        <v>20297</v>
      </c>
      <c r="F1305" t="s">
        <v>32606</v>
      </c>
      <c r="G1305" t="s">
        <v>32614</v>
      </c>
      <c r="H1305" t="s">
        <v>14201</v>
      </c>
      <c r="I1305" t="s">
        <v>32638</v>
      </c>
      <c r="J1305" t="s">
        <v>33746</v>
      </c>
      <c r="K1305" t="s">
        <v>42624</v>
      </c>
      <c r="M1305" t="s">
        <v>43526</v>
      </c>
      <c r="N1305" t="s">
        <v>47304</v>
      </c>
      <c r="O1305" t="s">
        <v>47305</v>
      </c>
      <c r="P1305">
        <v>0</v>
      </c>
      <c r="Q1305">
        <v>0</v>
      </c>
      <c r="R1305" t="s">
        <v>47307</v>
      </c>
      <c r="S1305" t="s">
        <v>47416</v>
      </c>
      <c r="T1305" t="s">
        <v>48972</v>
      </c>
      <c r="U1305" t="s">
        <v>50724</v>
      </c>
      <c r="W1305" t="s">
        <v>43526</v>
      </c>
      <c r="X1305" t="s">
        <v>47306</v>
      </c>
    </row>
    <row r="1306" spans="1:24">
      <c r="A1306">
        <f>HYPERLINK("https://www.philgeps.gov.ph/GEPSNONPILOT/Tender/SplashBidNoticeAbstractUI.aspx?menuIndex=3&amp;refID=7198998&amp;Result=3","7198998")</f>
        <v>0</v>
      </c>
      <c r="B1306" t="s">
        <v>594</v>
      </c>
      <c r="C1306" t="s">
        <v>5121</v>
      </c>
      <c r="D1306" t="s">
        <v>19040</v>
      </c>
      <c r="E1306" t="s">
        <v>20298</v>
      </c>
      <c r="F1306" t="s">
        <v>32606</v>
      </c>
      <c r="G1306" t="s">
        <v>32614</v>
      </c>
      <c r="H1306" t="s">
        <v>14201</v>
      </c>
      <c r="I1306" t="s">
        <v>7233</v>
      </c>
      <c r="J1306" t="s">
        <v>33747</v>
      </c>
      <c r="K1306" t="s">
        <v>42623</v>
      </c>
      <c r="M1306" t="s">
        <v>43523</v>
      </c>
      <c r="N1306" t="s">
        <v>47304</v>
      </c>
      <c r="O1306" t="s">
        <v>47305</v>
      </c>
      <c r="P1306">
        <v>0</v>
      </c>
      <c r="Q1306">
        <v>0</v>
      </c>
      <c r="R1306" t="s">
        <v>47307</v>
      </c>
      <c r="S1306" t="s">
        <v>47416</v>
      </c>
      <c r="T1306" t="s">
        <v>49041</v>
      </c>
      <c r="U1306" t="s">
        <v>50725</v>
      </c>
      <c r="W1306" t="s">
        <v>43523</v>
      </c>
      <c r="X1306" t="s">
        <v>47306</v>
      </c>
    </row>
    <row r="1307" spans="1:24">
      <c r="A1307">
        <f>HYPERLINK("https://www.philgeps.gov.ph/GEPSNONPILOT/Tender/SplashBidNoticeAbstractUI.aspx?menuIndex=3&amp;refID=7198829&amp;Result=3","7198829")</f>
        <v>0</v>
      </c>
      <c r="B1307" t="s">
        <v>674</v>
      </c>
      <c r="C1307" t="s">
        <v>5122</v>
      </c>
      <c r="D1307" t="s">
        <v>18989</v>
      </c>
      <c r="E1307" t="s">
        <v>20053</v>
      </c>
      <c r="F1307" t="s">
        <v>32606</v>
      </c>
      <c r="G1307" t="s">
        <v>32614</v>
      </c>
      <c r="H1307" t="s">
        <v>32624</v>
      </c>
      <c r="I1307" t="s">
        <v>32650</v>
      </c>
      <c r="J1307" t="s">
        <v>33748</v>
      </c>
      <c r="K1307" t="s">
        <v>42623</v>
      </c>
      <c r="M1307" t="s">
        <v>43594</v>
      </c>
      <c r="N1307" t="s">
        <v>47304</v>
      </c>
      <c r="O1307" t="s">
        <v>47305</v>
      </c>
      <c r="P1307">
        <v>0</v>
      </c>
      <c r="Q1307">
        <v>0</v>
      </c>
      <c r="R1307" t="s">
        <v>47307</v>
      </c>
      <c r="S1307" t="s">
        <v>47416</v>
      </c>
      <c r="T1307" t="s">
        <v>49015</v>
      </c>
      <c r="U1307" t="s">
        <v>50726</v>
      </c>
      <c r="W1307" t="s">
        <v>43594</v>
      </c>
      <c r="X1307" t="s">
        <v>47306</v>
      </c>
    </row>
    <row r="1308" spans="1:24">
      <c r="A1308">
        <f>HYPERLINK("https://www.philgeps.gov.ph/GEPSNONPILOT/Tender/SplashBidNoticeAbstractUI.aspx?menuIndex=3&amp;refID=7199006&amp;Result=3","7199006")</f>
        <v>0</v>
      </c>
      <c r="B1308" t="s">
        <v>433</v>
      </c>
      <c r="C1308" t="s">
        <v>5123</v>
      </c>
      <c r="D1308" t="s">
        <v>19012</v>
      </c>
      <c r="E1308" t="s">
        <v>20299</v>
      </c>
      <c r="F1308" t="s">
        <v>32606</v>
      </c>
      <c r="G1308" t="s">
        <v>32614</v>
      </c>
      <c r="H1308" t="s">
        <v>14201</v>
      </c>
      <c r="I1308" t="s">
        <v>6993</v>
      </c>
      <c r="J1308" t="s">
        <v>33749</v>
      </c>
      <c r="K1308" t="s">
        <v>42623</v>
      </c>
      <c r="M1308" t="s">
        <v>43339</v>
      </c>
      <c r="N1308" t="s">
        <v>47304</v>
      </c>
      <c r="O1308" t="s">
        <v>47305</v>
      </c>
      <c r="P1308">
        <v>0</v>
      </c>
      <c r="Q1308">
        <v>0</v>
      </c>
      <c r="R1308" t="s">
        <v>47307</v>
      </c>
      <c r="S1308" t="s">
        <v>47416</v>
      </c>
      <c r="T1308" t="s">
        <v>49017</v>
      </c>
      <c r="U1308" t="s">
        <v>50727</v>
      </c>
      <c r="W1308" t="s">
        <v>43339</v>
      </c>
      <c r="X1308" t="s">
        <v>47306</v>
      </c>
    </row>
    <row r="1309" spans="1:24">
      <c r="A1309">
        <f>HYPERLINK("https://www.philgeps.gov.ph/GEPSNONPILOT/Tender/SplashBidNoticeAbstractUI.aspx?menuIndex=3&amp;refID=7198813&amp;Result=3","7198813")</f>
        <v>0</v>
      </c>
      <c r="B1309" t="s">
        <v>675</v>
      </c>
      <c r="C1309" t="s">
        <v>5124</v>
      </c>
      <c r="D1309" t="s">
        <v>18999</v>
      </c>
      <c r="E1309" t="s">
        <v>20300</v>
      </c>
      <c r="F1309" t="s">
        <v>32606</v>
      </c>
      <c r="G1309" t="s">
        <v>32613</v>
      </c>
      <c r="H1309" t="s">
        <v>14201</v>
      </c>
      <c r="I1309" t="s">
        <v>32662</v>
      </c>
      <c r="J1309" t="s">
        <v>33750</v>
      </c>
      <c r="K1309" t="s">
        <v>42624</v>
      </c>
      <c r="M1309" t="s">
        <v>43595</v>
      </c>
      <c r="N1309" t="s">
        <v>47304</v>
      </c>
      <c r="O1309" t="s">
        <v>47305</v>
      </c>
      <c r="P1309">
        <v>0</v>
      </c>
      <c r="Q1309">
        <v>0</v>
      </c>
      <c r="R1309" t="s">
        <v>47307</v>
      </c>
      <c r="S1309" t="s">
        <v>47416</v>
      </c>
      <c r="T1309" t="s">
        <v>49169</v>
      </c>
      <c r="U1309" t="s">
        <v>50728</v>
      </c>
      <c r="W1309" t="s">
        <v>43595</v>
      </c>
      <c r="X1309" t="s">
        <v>47306</v>
      </c>
    </row>
    <row r="1310" spans="1:24">
      <c r="A1310">
        <f>HYPERLINK("https://www.philgeps.gov.ph/GEPSNONPILOT/Tender/SplashBidNoticeAbstractUI.aspx?menuIndex=3&amp;refID=7198812&amp;Result=3","7198812")</f>
        <v>0</v>
      </c>
      <c r="B1310" t="s">
        <v>676</v>
      </c>
      <c r="C1310" t="s">
        <v>4329</v>
      </c>
      <c r="D1310" t="s">
        <v>19019</v>
      </c>
      <c r="E1310" t="s">
        <v>20301</v>
      </c>
      <c r="F1310" t="s">
        <v>32606</v>
      </c>
      <c r="G1310" t="s">
        <v>32619</v>
      </c>
      <c r="H1310" t="s">
        <v>14201</v>
      </c>
      <c r="I1310" t="s">
        <v>6298</v>
      </c>
      <c r="J1310" t="s">
        <v>33751</v>
      </c>
      <c r="K1310" t="s">
        <v>42625</v>
      </c>
      <c r="M1310" t="s">
        <v>43596</v>
      </c>
      <c r="N1310" t="s">
        <v>47304</v>
      </c>
      <c r="O1310" t="s">
        <v>47305</v>
      </c>
      <c r="P1310">
        <v>0</v>
      </c>
      <c r="Q1310">
        <v>0</v>
      </c>
      <c r="R1310" t="s">
        <v>47307</v>
      </c>
      <c r="S1310" t="s">
        <v>47416</v>
      </c>
      <c r="T1310" t="s">
        <v>48979</v>
      </c>
      <c r="U1310" t="s">
        <v>50729</v>
      </c>
      <c r="V1310" t="s">
        <v>62799</v>
      </c>
      <c r="W1310" t="s">
        <v>43596</v>
      </c>
      <c r="X1310" t="s">
        <v>47306</v>
      </c>
    </row>
    <row r="1311" spans="1:24">
      <c r="A1311">
        <f>HYPERLINK("https://www.philgeps.gov.ph/GEPSNONPILOT/Tender/SplashBidNoticeAbstractUI.aspx?menuIndex=3&amp;refID=7199004&amp;Result=3","7199004")</f>
        <v>0</v>
      </c>
      <c r="B1311" t="s">
        <v>677</v>
      </c>
      <c r="C1311" t="s">
        <v>5125</v>
      </c>
      <c r="D1311" t="s">
        <v>19035</v>
      </c>
      <c r="E1311" t="s">
        <v>19188</v>
      </c>
      <c r="F1311" t="s">
        <v>32606</v>
      </c>
      <c r="G1311" t="s">
        <v>32613</v>
      </c>
      <c r="H1311" t="s">
        <v>14201</v>
      </c>
      <c r="I1311" t="s">
        <v>7577</v>
      </c>
      <c r="J1311" t="s">
        <v>32981</v>
      </c>
      <c r="K1311" t="s">
        <v>42622</v>
      </c>
      <c r="M1311" t="s">
        <v>43597</v>
      </c>
      <c r="N1311" t="s">
        <v>47304</v>
      </c>
      <c r="O1311" t="s">
        <v>47305</v>
      </c>
      <c r="P1311">
        <v>0</v>
      </c>
      <c r="Q1311">
        <v>0</v>
      </c>
      <c r="R1311" t="s">
        <v>47307</v>
      </c>
      <c r="S1311" t="s">
        <v>47416</v>
      </c>
      <c r="T1311" t="s">
        <v>48992</v>
      </c>
      <c r="U1311" t="s">
        <v>50730</v>
      </c>
      <c r="W1311" t="s">
        <v>43597</v>
      </c>
      <c r="X1311" t="s">
        <v>47306</v>
      </c>
    </row>
    <row r="1312" spans="1:24">
      <c r="A1312">
        <f>HYPERLINK("https://www.philgeps.gov.ph/GEPSNONPILOT/Tender/SplashBidNoticeAbstractUI.aspx?menuIndex=3&amp;refID=7198832&amp;Result=3","7198832")</f>
        <v>0</v>
      </c>
      <c r="B1312" t="s">
        <v>678</v>
      </c>
      <c r="C1312" t="s">
        <v>5126</v>
      </c>
      <c r="D1312" t="s">
        <v>18999</v>
      </c>
      <c r="E1312" t="s">
        <v>20302</v>
      </c>
      <c r="F1312" t="s">
        <v>32606</v>
      </c>
      <c r="G1312" t="s">
        <v>32619</v>
      </c>
      <c r="H1312" t="s">
        <v>14201</v>
      </c>
      <c r="I1312" t="s">
        <v>7233</v>
      </c>
      <c r="J1312" t="s">
        <v>33752</v>
      </c>
      <c r="K1312" t="s">
        <v>42630</v>
      </c>
      <c r="M1312" t="s">
        <v>43598</v>
      </c>
      <c r="N1312" t="s">
        <v>47304</v>
      </c>
      <c r="O1312" t="s">
        <v>47305</v>
      </c>
      <c r="P1312">
        <v>0</v>
      </c>
      <c r="Q1312">
        <v>0</v>
      </c>
      <c r="R1312" t="s">
        <v>47307</v>
      </c>
      <c r="S1312" t="s">
        <v>47416</v>
      </c>
      <c r="T1312" t="s">
        <v>49004</v>
      </c>
      <c r="U1312" t="s">
        <v>50731</v>
      </c>
      <c r="W1312" t="s">
        <v>43598</v>
      </c>
      <c r="X1312" t="s">
        <v>47306</v>
      </c>
    </row>
    <row r="1313" spans="1:24">
      <c r="A1313">
        <f>HYPERLINK("https://www.philgeps.gov.ph/GEPSNONPILOT/Tender/SplashBidNoticeAbstractUI.aspx?menuIndex=3&amp;refID=7198809&amp;Result=3","7198809")</f>
        <v>0</v>
      </c>
      <c r="B1313" t="s">
        <v>600</v>
      </c>
      <c r="C1313" t="s">
        <v>5127</v>
      </c>
      <c r="D1313" t="s">
        <v>19007</v>
      </c>
      <c r="E1313" t="s">
        <v>20303</v>
      </c>
      <c r="F1313" t="s">
        <v>32606</v>
      </c>
      <c r="G1313" t="s">
        <v>32614</v>
      </c>
      <c r="H1313" t="s">
        <v>14201</v>
      </c>
      <c r="I1313" t="s">
        <v>17648</v>
      </c>
      <c r="J1313" t="s">
        <v>32920</v>
      </c>
      <c r="K1313" t="s">
        <v>42631</v>
      </c>
      <c r="M1313" t="s">
        <v>43516</v>
      </c>
      <c r="N1313" t="s">
        <v>47304</v>
      </c>
      <c r="O1313" t="s">
        <v>47305</v>
      </c>
      <c r="P1313">
        <v>0</v>
      </c>
      <c r="Q1313">
        <v>0</v>
      </c>
      <c r="R1313" t="s">
        <v>47307</v>
      </c>
      <c r="S1313" t="s">
        <v>47416</v>
      </c>
      <c r="T1313" t="s">
        <v>49108</v>
      </c>
      <c r="U1313" t="s">
        <v>50732</v>
      </c>
      <c r="V1313" t="s">
        <v>62800</v>
      </c>
      <c r="W1313" t="s">
        <v>43516</v>
      </c>
      <c r="X1313" t="s">
        <v>47306</v>
      </c>
    </row>
    <row r="1314" spans="1:24">
      <c r="A1314">
        <f>HYPERLINK("https://www.philgeps.gov.ph/GEPSNONPILOT/Tender/SplashBidNoticeAbstractUI.aspx?menuIndex=3&amp;refID=7198999&amp;Result=3","7198999")</f>
        <v>0</v>
      </c>
      <c r="B1314" t="s">
        <v>540</v>
      </c>
      <c r="C1314" t="s">
        <v>5128</v>
      </c>
      <c r="D1314" t="s">
        <v>19001</v>
      </c>
      <c r="E1314" t="s">
        <v>20304</v>
      </c>
      <c r="F1314" t="s">
        <v>32606</v>
      </c>
      <c r="G1314" t="s">
        <v>32614</v>
      </c>
      <c r="H1314" t="s">
        <v>14201</v>
      </c>
      <c r="I1314" t="s">
        <v>4369</v>
      </c>
      <c r="J1314" t="s">
        <v>33753</v>
      </c>
      <c r="K1314" t="s">
        <v>42622</v>
      </c>
      <c r="M1314" t="s">
        <v>43454</v>
      </c>
      <c r="N1314" t="s">
        <v>47304</v>
      </c>
      <c r="O1314" t="s">
        <v>47305</v>
      </c>
      <c r="P1314">
        <v>0</v>
      </c>
      <c r="Q1314">
        <v>0</v>
      </c>
      <c r="R1314" t="s">
        <v>47307</v>
      </c>
      <c r="S1314" t="s">
        <v>47416</v>
      </c>
      <c r="T1314" t="s">
        <v>48986</v>
      </c>
      <c r="U1314" t="s">
        <v>50733</v>
      </c>
      <c r="W1314" t="s">
        <v>43454</v>
      </c>
      <c r="X1314" t="s">
        <v>47306</v>
      </c>
    </row>
    <row r="1315" spans="1:24">
      <c r="A1315">
        <f>HYPERLINK("https://www.philgeps.gov.ph/GEPSNONPILOT/Tender/SplashBidNoticeAbstractUI.aspx?menuIndex=3&amp;refID=7199049&amp;Result=3","7199049")</f>
        <v>0</v>
      </c>
      <c r="B1315" t="s">
        <v>679</v>
      </c>
      <c r="C1315" t="s">
        <v>5129</v>
      </c>
      <c r="D1315" t="s">
        <v>19054</v>
      </c>
      <c r="E1315" t="s">
        <v>20305</v>
      </c>
      <c r="F1315" t="s">
        <v>32606</v>
      </c>
      <c r="G1315" t="s">
        <v>32614</v>
      </c>
      <c r="H1315" t="s">
        <v>14201</v>
      </c>
      <c r="I1315" t="s">
        <v>32629</v>
      </c>
      <c r="J1315" t="s">
        <v>33754</v>
      </c>
      <c r="K1315" t="s">
        <v>42625</v>
      </c>
      <c r="M1315" t="s">
        <v>43599</v>
      </c>
      <c r="N1315" t="s">
        <v>47304</v>
      </c>
      <c r="O1315" t="s">
        <v>47305</v>
      </c>
      <c r="P1315">
        <v>0</v>
      </c>
      <c r="Q1315">
        <v>0</v>
      </c>
      <c r="R1315" t="s">
        <v>47307</v>
      </c>
      <c r="S1315" t="s">
        <v>47416</v>
      </c>
      <c r="T1315" t="s">
        <v>49023</v>
      </c>
      <c r="U1315" t="s">
        <v>50734</v>
      </c>
      <c r="W1315" t="s">
        <v>43599</v>
      </c>
      <c r="X1315" t="s">
        <v>47306</v>
      </c>
    </row>
    <row r="1316" spans="1:24">
      <c r="A1316">
        <f>HYPERLINK("https://www.philgeps.gov.ph/GEPSNONPILOT/Tender/SplashBidNoticeAbstractUI.aspx?menuIndex=3&amp;refID=7198810&amp;Result=3","7198810")</f>
        <v>0</v>
      </c>
      <c r="B1316" t="s">
        <v>586</v>
      </c>
      <c r="C1316" t="s">
        <v>5130</v>
      </c>
      <c r="E1316" t="s">
        <v>20306</v>
      </c>
      <c r="F1316" t="s">
        <v>32606</v>
      </c>
      <c r="G1316" t="s">
        <v>32613</v>
      </c>
      <c r="H1316" t="s">
        <v>32623</v>
      </c>
      <c r="I1316" t="s">
        <v>17648</v>
      </c>
      <c r="J1316" t="s">
        <v>33755</v>
      </c>
      <c r="K1316" t="s">
        <v>42671</v>
      </c>
      <c r="M1316" t="s">
        <v>43501</v>
      </c>
      <c r="N1316" t="s">
        <v>47304</v>
      </c>
      <c r="O1316" t="s">
        <v>47305</v>
      </c>
      <c r="P1316">
        <v>0</v>
      </c>
      <c r="Q1316">
        <v>0</v>
      </c>
      <c r="R1316" t="s">
        <v>47307</v>
      </c>
      <c r="S1316" t="s">
        <v>47416</v>
      </c>
      <c r="T1316" t="s">
        <v>49152</v>
      </c>
      <c r="U1316" t="s">
        <v>50735</v>
      </c>
      <c r="W1316" t="s">
        <v>43501</v>
      </c>
      <c r="X1316" t="s">
        <v>47306</v>
      </c>
    </row>
    <row r="1317" spans="1:24">
      <c r="A1317">
        <f>HYPERLINK("https://www.philgeps.gov.ph/GEPSNONPILOT/Tender/SplashBidNoticeAbstractUI.aspx?menuIndex=3&amp;refID=7199048&amp;Result=3","7199048")</f>
        <v>0</v>
      </c>
      <c r="B1317" t="s">
        <v>680</v>
      </c>
      <c r="C1317" t="s">
        <v>5131</v>
      </c>
      <c r="D1317" t="s">
        <v>19012</v>
      </c>
      <c r="E1317" t="s">
        <v>20307</v>
      </c>
      <c r="F1317" t="s">
        <v>32606</v>
      </c>
      <c r="G1317" t="s">
        <v>32619</v>
      </c>
      <c r="H1317" t="s">
        <v>14201</v>
      </c>
      <c r="I1317" t="s">
        <v>32633</v>
      </c>
      <c r="J1317" t="s">
        <v>33756</v>
      </c>
      <c r="K1317" t="s">
        <v>42631</v>
      </c>
      <c r="M1317" t="s">
        <v>43600</v>
      </c>
      <c r="N1317" t="s">
        <v>47304</v>
      </c>
      <c r="O1317" t="s">
        <v>47305</v>
      </c>
      <c r="P1317">
        <v>0</v>
      </c>
      <c r="Q1317">
        <v>0</v>
      </c>
      <c r="R1317" t="s">
        <v>47307</v>
      </c>
      <c r="S1317" t="s">
        <v>47416</v>
      </c>
      <c r="T1317" t="s">
        <v>49014</v>
      </c>
      <c r="U1317" t="s">
        <v>50736</v>
      </c>
      <c r="V1317" t="s">
        <v>62801</v>
      </c>
      <c r="W1317" t="s">
        <v>43600</v>
      </c>
      <c r="X1317" t="s">
        <v>47306</v>
      </c>
    </row>
    <row r="1318" spans="1:24">
      <c r="A1318">
        <f>HYPERLINK("https://www.philgeps.gov.ph/GEPSNONPILOT/Tender/SplashBidNoticeAbstractUI.aspx?menuIndex=3&amp;refID=7199046&amp;Result=3","7199046")</f>
        <v>0</v>
      </c>
      <c r="B1318" t="s">
        <v>681</v>
      </c>
      <c r="C1318" t="s">
        <v>5132</v>
      </c>
      <c r="D1318" t="s">
        <v>19054</v>
      </c>
      <c r="E1318" t="s">
        <v>20308</v>
      </c>
      <c r="F1318" t="s">
        <v>32606</v>
      </c>
      <c r="G1318" t="s">
        <v>32613</v>
      </c>
      <c r="H1318" t="s">
        <v>32623</v>
      </c>
      <c r="I1318" t="s">
        <v>17648</v>
      </c>
      <c r="J1318" t="s">
        <v>33757</v>
      </c>
      <c r="K1318" t="s">
        <v>42648</v>
      </c>
      <c r="M1318" t="s">
        <v>43601</v>
      </c>
      <c r="N1318" t="s">
        <v>47304</v>
      </c>
      <c r="O1318" t="s">
        <v>47305</v>
      </c>
      <c r="P1318">
        <v>0</v>
      </c>
      <c r="Q1318">
        <v>0</v>
      </c>
      <c r="R1318" t="s">
        <v>47307</v>
      </c>
      <c r="S1318" t="s">
        <v>47416</v>
      </c>
      <c r="T1318" t="s">
        <v>49155</v>
      </c>
      <c r="U1318" t="s">
        <v>50737</v>
      </c>
      <c r="W1318" t="s">
        <v>43601</v>
      </c>
      <c r="X1318" t="s">
        <v>47306</v>
      </c>
    </row>
    <row r="1319" spans="1:24">
      <c r="A1319">
        <f>HYPERLINK("https://www.philgeps.gov.ph/GEPSNONPILOT/Tender/SplashBidNoticeAbstractUI.aspx?menuIndex=3&amp;refID=7198828&amp;Result=3","7198828")</f>
        <v>0</v>
      </c>
      <c r="B1319" t="s">
        <v>652</v>
      </c>
      <c r="C1319" t="s">
        <v>5133</v>
      </c>
      <c r="D1319" t="s">
        <v>18993</v>
      </c>
      <c r="E1319" t="s">
        <v>20309</v>
      </c>
      <c r="F1319" t="s">
        <v>32606</v>
      </c>
      <c r="G1319" t="s">
        <v>32614</v>
      </c>
      <c r="H1319" t="s">
        <v>14201</v>
      </c>
      <c r="I1319" t="s">
        <v>4678</v>
      </c>
      <c r="J1319" t="s">
        <v>32850</v>
      </c>
      <c r="K1319" t="s">
        <v>42636</v>
      </c>
      <c r="M1319" t="s">
        <v>43572</v>
      </c>
      <c r="N1319" t="s">
        <v>47304</v>
      </c>
      <c r="O1319" t="s">
        <v>47305</v>
      </c>
      <c r="P1319">
        <v>0</v>
      </c>
      <c r="Q1319">
        <v>0</v>
      </c>
      <c r="R1319" t="s">
        <v>47307</v>
      </c>
      <c r="S1319" t="s">
        <v>47416</v>
      </c>
      <c r="T1319" t="s">
        <v>49093</v>
      </c>
      <c r="U1319" t="s">
        <v>50738</v>
      </c>
      <c r="W1319" t="s">
        <v>43572</v>
      </c>
      <c r="X1319" t="s">
        <v>47306</v>
      </c>
    </row>
    <row r="1320" spans="1:24">
      <c r="A1320">
        <f>HYPERLINK("https://www.philgeps.gov.ph/GEPSNONPILOT/Tender/SplashBidNoticeAbstractUI.aspx?menuIndex=3&amp;refID=7199041&amp;Result=3","7199041")</f>
        <v>0</v>
      </c>
      <c r="B1320" t="s">
        <v>682</v>
      </c>
      <c r="C1320" t="s">
        <v>5134</v>
      </c>
      <c r="D1320" t="s">
        <v>19039</v>
      </c>
      <c r="E1320" t="s">
        <v>20310</v>
      </c>
      <c r="F1320" t="s">
        <v>32606</v>
      </c>
      <c r="G1320" t="s">
        <v>32619</v>
      </c>
      <c r="H1320" t="s">
        <v>14201</v>
      </c>
      <c r="I1320" t="s">
        <v>6014</v>
      </c>
      <c r="J1320" t="s">
        <v>33758</v>
      </c>
      <c r="K1320" t="s">
        <v>42623</v>
      </c>
      <c r="M1320" t="s">
        <v>43602</v>
      </c>
      <c r="N1320" t="s">
        <v>47304</v>
      </c>
      <c r="O1320" t="s">
        <v>47305</v>
      </c>
      <c r="P1320">
        <v>0</v>
      </c>
      <c r="Q1320">
        <v>0</v>
      </c>
      <c r="R1320" t="s">
        <v>47307</v>
      </c>
      <c r="S1320" t="s">
        <v>47416</v>
      </c>
      <c r="T1320" t="s">
        <v>49023</v>
      </c>
      <c r="U1320" t="s">
        <v>50739</v>
      </c>
      <c r="W1320" t="s">
        <v>43602</v>
      </c>
      <c r="X1320" t="s">
        <v>47306</v>
      </c>
    </row>
    <row r="1321" spans="1:24">
      <c r="A1321">
        <f>HYPERLINK("https://www.philgeps.gov.ph/GEPSNONPILOT/Tender/SplashBidNoticeAbstractUI.aspx?menuIndex=3&amp;refID=7198811&amp;Result=3","7198811")</f>
        <v>0</v>
      </c>
      <c r="B1321" t="s">
        <v>577</v>
      </c>
      <c r="C1321" t="s">
        <v>5135</v>
      </c>
      <c r="E1321" t="s">
        <v>20311</v>
      </c>
      <c r="F1321" t="s">
        <v>32606</v>
      </c>
      <c r="G1321" t="s">
        <v>32613</v>
      </c>
      <c r="H1321" t="s">
        <v>32623</v>
      </c>
      <c r="I1321" t="s">
        <v>17648</v>
      </c>
      <c r="J1321" t="s">
        <v>33759</v>
      </c>
      <c r="K1321" t="s">
        <v>42646</v>
      </c>
      <c r="M1321" t="s">
        <v>43492</v>
      </c>
      <c r="N1321" t="s">
        <v>47304</v>
      </c>
      <c r="O1321" t="s">
        <v>47305</v>
      </c>
      <c r="P1321">
        <v>0</v>
      </c>
      <c r="Q1321">
        <v>0</v>
      </c>
      <c r="R1321" t="s">
        <v>47307</v>
      </c>
      <c r="S1321" t="s">
        <v>47416</v>
      </c>
      <c r="T1321" t="s">
        <v>48995</v>
      </c>
      <c r="U1321" t="s">
        <v>50740</v>
      </c>
      <c r="V1321" t="s">
        <v>62781</v>
      </c>
      <c r="W1321" t="s">
        <v>43492</v>
      </c>
      <c r="X1321" t="s">
        <v>47306</v>
      </c>
    </row>
    <row r="1322" spans="1:24">
      <c r="A1322">
        <f>HYPERLINK("https://www.philgeps.gov.ph/GEPSNONPILOT/Tender/SplashBidNoticeAbstractUI.aspx?menuIndex=3&amp;refID=7199047&amp;Result=3","7199047")</f>
        <v>0</v>
      </c>
      <c r="B1322" t="s">
        <v>422</v>
      </c>
      <c r="C1322" t="s">
        <v>5136</v>
      </c>
      <c r="D1322" t="s">
        <v>19030</v>
      </c>
      <c r="E1322" t="s">
        <v>20312</v>
      </c>
      <c r="F1322" t="s">
        <v>32606</v>
      </c>
      <c r="G1322" t="s">
        <v>32614</v>
      </c>
      <c r="H1322" t="s">
        <v>14201</v>
      </c>
      <c r="I1322" t="s">
        <v>6993</v>
      </c>
      <c r="J1322" t="s">
        <v>33760</v>
      </c>
      <c r="K1322" t="s">
        <v>42622</v>
      </c>
      <c r="M1322" t="s">
        <v>43326</v>
      </c>
      <c r="N1322" t="s">
        <v>47304</v>
      </c>
      <c r="O1322" t="s">
        <v>47305</v>
      </c>
      <c r="P1322">
        <v>0</v>
      </c>
      <c r="Q1322">
        <v>0</v>
      </c>
      <c r="R1322" t="s">
        <v>47307</v>
      </c>
      <c r="S1322" t="s">
        <v>47416</v>
      </c>
      <c r="T1322" t="s">
        <v>48989</v>
      </c>
      <c r="U1322" t="s">
        <v>50741</v>
      </c>
      <c r="W1322" t="s">
        <v>43326</v>
      </c>
      <c r="X1322" t="s">
        <v>47306</v>
      </c>
    </row>
    <row r="1323" spans="1:24">
      <c r="A1323">
        <f>HYPERLINK("https://www.philgeps.gov.ph/GEPSNONPILOT/Tender/SplashBidNoticeAbstractUI.aspx?menuIndex=3&amp;refID=7199040&amp;Result=3","7199040")</f>
        <v>0</v>
      </c>
      <c r="B1323" t="s">
        <v>477</v>
      </c>
      <c r="C1323" t="s">
        <v>5137</v>
      </c>
      <c r="D1323" t="s">
        <v>19019</v>
      </c>
      <c r="E1323" t="s">
        <v>20313</v>
      </c>
      <c r="F1323" t="s">
        <v>32606</v>
      </c>
      <c r="G1323" t="s">
        <v>32613</v>
      </c>
      <c r="H1323" t="s">
        <v>14201</v>
      </c>
      <c r="I1323" t="s">
        <v>4120</v>
      </c>
      <c r="J1323" t="s">
        <v>33761</v>
      </c>
      <c r="K1323" t="s">
        <v>42631</v>
      </c>
      <c r="M1323" t="s">
        <v>43388</v>
      </c>
      <c r="N1323" t="s">
        <v>47304</v>
      </c>
      <c r="O1323" t="s">
        <v>47305</v>
      </c>
      <c r="P1323">
        <v>0</v>
      </c>
      <c r="Q1323">
        <v>0</v>
      </c>
      <c r="R1323" t="s">
        <v>47307</v>
      </c>
      <c r="S1323" t="s">
        <v>47416</v>
      </c>
      <c r="T1323" t="s">
        <v>48995</v>
      </c>
      <c r="U1323" t="s">
        <v>50742</v>
      </c>
      <c r="W1323" t="s">
        <v>43388</v>
      </c>
      <c r="X1323" t="s">
        <v>47306</v>
      </c>
    </row>
    <row r="1324" spans="1:24">
      <c r="A1324">
        <f>HYPERLINK("https://www.philgeps.gov.ph/GEPSNONPILOT/Tender/SplashBidNoticeAbstractUI.aspx?menuIndex=3&amp;refID=7199039&amp;Result=3","7199039")</f>
        <v>0</v>
      </c>
      <c r="B1324" t="s">
        <v>656</v>
      </c>
      <c r="C1324" t="s">
        <v>5138</v>
      </c>
      <c r="D1324" t="s">
        <v>18993</v>
      </c>
      <c r="E1324" t="s">
        <v>20314</v>
      </c>
      <c r="F1324" t="s">
        <v>32606</v>
      </c>
      <c r="G1324" t="s">
        <v>32614</v>
      </c>
      <c r="H1324" t="s">
        <v>14201</v>
      </c>
      <c r="I1324" t="s">
        <v>32634</v>
      </c>
      <c r="J1324" t="s">
        <v>33762</v>
      </c>
      <c r="K1324" t="s">
        <v>42630</v>
      </c>
      <c r="M1324" t="s">
        <v>43576</v>
      </c>
      <c r="N1324" t="s">
        <v>47304</v>
      </c>
      <c r="O1324" t="s">
        <v>47305</v>
      </c>
      <c r="P1324">
        <v>0</v>
      </c>
      <c r="Q1324">
        <v>0</v>
      </c>
      <c r="R1324" t="s">
        <v>47307</v>
      </c>
      <c r="S1324" t="s">
        <v>47416</v>
      </c>
      <c r="T1324" t="s">
        <v>49158</v>
      </c>
      <c r="U1324" t="s">
        <v>50743</v>
      </c>
      <c r="W1324" t="s">
        <v>43576</v>
      </c>
      <c r="X1324" t="s">
        <v>47306</v>
      </c>
    </row>
    <row r="1325" spans="1:24">
      <c r="A1325">
        <f>HYPERLINK("https://www.philgeps.gov.ph/GEPSNONPILOT/Tender/SplashBidNoticeAbstractUI.aspx?menuIndex=3&amp;refID=7199042&amp;Result=3","7199042")</f>
        <v>0</v>
      </c>
      <c r="B1325" t="s">
        <v>640</v>
      </c>
      <c r="C1325" t="s">
        <v>4718</v>
      </c>
      <c r="D1325" t="s">
        <v>19066</v>
      </c>
      <c r="E1325" t="s">
        <v>20262</v>
      </c>
      <c r="F1325" t="s">
        <v>32606</v>
      </c>
      <c r="G1325" t="s">
        <v>32619</v>
      </c>
      <c r="H1325" t="s">
        <v>14201</v>
      </c>
      <c r="I1325" t="s">
        <v>4120</v>
      </c>
      <c r="J1325" t="s">
        <v>33763</v>
      </c>
      <c r="K1325" t="s">
        <v>42622</v>
      </c>
      <c r="M1325" t="s">
        <v>43558</v>
      </c>
      <c r="N1325" t="s">
        <v>47304</v>
      </c>
      <c r="O1325" t="s">
        <v>47305</v>
      </c>
      <c r="P1325">
        <v>0</v>
      </c>
      <c r="Q1325">
        <v>0</v>
      </c>
      <c r="R1325" t="s">
        <v>47307</v>
      </c>
      <c r="S1325" t="s">
        <v>47416</v>
      </c>
      <c r="T1325" t="s">
        <v>48987</v>
      </c>
      <c r="U1325" t="s">
        <v>50744</v>
      </c>
      <c r="W1325" t="s">
        <v>43558</v>
      </c>
      <c r="X1325" t="s">
        <v>47306</v>
      </c>
    </row>
    <row r="1326" spans="1:24">
      <c r="A1326">
        <f>HYPERLINK("https://www.philgeps.gov.ph/GEPSNONPILOT/Tender/SplashBidNoticeAbstractUI.aspx?menuIndex=3&amp;refID=7199035&amp;Result=3","7199035")</f>
        <v>0</v>
      </c>
      <c r="B1326" t="s">
        <v>683</v>
      </c>
      <c r="C1326" t="s">
        <v>5139</v>
      </c>
      <c r="D1326" t="s">
        <v>19016</v>
      </c>
      <c r="E1326" t="s">
        <v>19310</v>
      </c>
      <c r="F1326" t="s">
        <v>32607</v>
      </c>
      <c r="G1326" t="s">
        <v>32613</v>
      </c>
      <c r="H1326" t="s">
        <v>14201</v>
      </c>
      <c r="I1326" t="s">
        <v>4678</v>
      </c>
      <c r="J1326" t="s">
        <v>33764</v>
      </c>
      <c r="K1326" t="s">
        <v>42622</v>
      </c>
      <c r="L1326" t="s">
        <v>683</v>
      </c>
      <c r="M1326" t="s">
        <v>43603</v>
      </c>
      <c r="N1326" t="s">
        <v>47304</v>
      </c>
      <c r="O1326" t="s">
        <v>47305</v>
      </c>
      <c r="P1326">
        <v>0</v>
      </c>
      <c r="Q1326">
        <v>1</v>
      </c>
      <c r="R1326" t="s">
        <v>47307</v>
      </c>
      <c r="S1326" t="s">
        <v>47416</v>
      </c>
      <c r="T1326" t="s">
        <v>48970</v>
      </c>
      <c r="U1326" t="s">
        <v>50745</v>
      </c>
      <c r="W1326" t="s">
        <v>43603</v>
      </c>
      <c r="X1326" t="s">
        <v>47306</v>
      </c>
    </row>
    <row r="1327" spans="1:24">
      <c r="A1327">
        <f>HYPERLINK("https://www.philgeps.gov.ph/GEPSNONPILOT/Tender/SplashBidNoticeAbstractUI.aspx?menuIndex=3&amp;refID=7199051&amp;Result=3","7199051")</f>
        <v>0</v>
      </c>
      <c r="B1327" t="s">
        <v>616</v>
      </c>
      <c r="C1327" t="s">
        <v>5140</v>
      </c>
      <c r="D1327" t="s">
        <v>18989</v>
      </c>
      <c r="E1327" t="s">
        <v>20315</v>
      </c>
      <c r="F1327" t="s">
        <v>32606</v>
      </c>
      <c r="G1327" t="s">
        <v>32615</v>
      </c>
      <c r="H1327" t="s">
        <v>14201</v>
      </c>
      <c r="I1327" t="s">
        <v>32638</v>
      </c>
      <c r="J1327" t="s">
        <v>33765</v>
      </c>
      <c r="K1327" t="s">
        <v>42624</v>
      </c>
      <c r="M1327" t="s">
        <v>43604</v>
      </c>
      <c r="N1327" t="s">
        <v>47304</v>
      </c>
      <c r="O1327" t="s">
        <v>47305</v>
      </c>
      <c r="P1327">
        <v>0</v>
      </c>
      <c r="Q1327">
        <v>0</v>
      </c>
      <c r="R1327" t="s">
        <v>47307</v>
      </c>
      <c r="S1327" t="s">
        <v>47416</v>
      </c>
      <c r="T1327" t="s">
        <v>48995</v>
      </c>
      <c r="U1327" t="s">
        <v>50746</v>
      </c>
      <c r="W1327" t="s">
        <v>43604</v>
      </c>
      <c r="X1327" t="s">
        <v>47306</v>
      </c>
    </row>
    <row r="1328" spans="1:24">
      <c r="A1328">
        <f>HYPERLINK("https://www.philgeps.gov.ph/GEPSNONPILOT/Tender/SplashBidNoticeAbstractUI.aspx?menuIndex=3&amp;refID=7199025&amp;Result=3","7199025")</f>
        <v>0</v>
      </c>
      <c r="B1328" t="s">
        <v>684</v>
      </c>
      <c r="C1328" t="s">
        <v>5141</v>
      </c>
      <c r="D1328" t="s">
        <v>19012</v>
      </c>
      <c r="E1328" t="s">
        <v>20316</v>
      </c>
      <c r="F1328" t="s">
        <v>32606</v>
      </c>
      <c r="G1328" t="s">
        <v>32614</v>
      </c>
      <c r="H1328" t="s">
        <v>14201</v>
      </c>
      <c r="I1328" t="s">
        <v>9008</v>
      </c>
      <c r="J1328" t="s">
        <v>33766</v>
      </c>
      <c r="K1328" t="s">
        <v>42622</v>
      </c>
      <c r="L1328" t="s">
        <v>684</v>
      </c>
      <c r="M1328" t="s">
        <v>43605</v>
      </c>
      <c r="N1328" t="s">
        <v>47304</v>
      </c>
      <c r="O1328" t="s">
        <v>47305</v>
      </c>
      <c r="P1328">
        <v>0</v>
      </c>
      <c r="Q1328">
        <v>0</v>
      </c>
      <c r="R1328" t="s">
        <v>47307</v>
      </c>
      <c r="S1328" t="s">
        <v>47416</v>
      </c>
      <c r="T1328" t="s">
        <v>48977</v>
      </c>
      <c r="U1328" t="s">
        <v>50747</v>
      </c>
      <c r="V1328" t="s">
        <v>62802</v>
      </c>
      <c r="W1328" t="s">
        <v>43605</v>
      </c>
      <c r="X1328" t="s">
        <v>47306</v>
      </c>
    </row>
    <row r="1329" spans="1:24">
      <c r="A1329">
        <f>HYPERLINK("https://www.philgeps.gov.ph/GEPSNONPILOT/Tender/SplashBidNoticeAbstractUI.aspx?menuIndex=3&amp;refID=7199075&amp;Result=3","7199075")</f>
        <v>0</v>
      </c>
      <c r="B1329" t="s">
        <v>685</v>
      </c>
      <c r="C1329" t="s">
        <v>5142</v>
      </c>
      <c r="D1329" t="s">
        <v>19040</v>
      </c>
      <c r="E1329" t="s">
        <v>20317</v>
      </c>
      <c r="F1329" t="s">
        <v>32606</v>
      </c>
      <c r="G1329" t="s">
        <v>32613</v>
      </c>
      <c r="H1329" t="s">
        <v>32623</v>
      </c>
      <c r="I1329" t="s">
        <v>17648</v>
      </c>
      <c r="J1329" t="s">
        <v>33767</v>
      </c>
      <c r="K1329" t="s">
        <v>42623</v>
      </c>
      <c r="M1329" t="s">
        <v>43606</v>
      </c>
      <c r="N1329" t="s">
        <v>47304</v>
      </c>
      <c r="O1329" t="s">
        <v>47305</v>
      </c>
      <c r="P1329">
        <v>0</v>
      </c>
      <c r="Q1329">
        <v>0</v>
      </c>
      <c r="R1329" t="s">
        <v>47307</v>
      </c>
      <c r="S1329" t="s">
        <v>47416</v>
      </c>
      <c r="T1329" t="s">
        <v>49110</v>
      </c>
      <c r="U1329" t="s">
        <v>50748</v>
      </c>
      <c r="W1329" t="s">
        <v>43606</v>
      </c>
      <c r="X1329" t="s">
        <v>47306</v>
      </c>
    </row>
    <row r="1330" spans="1:24">
      <c r="A1330">
        <f>HYPERLINK("https://www.philgeps.gov.ph/GEPSNONPILOT/Tender/SplashBidNoticeAbstractUI.aspx?menuIndex=3&amp;refID=7199074&amp;Result=3","7199074")</f>
        <v>0</v>
      </c>
      <c r="B1330" t="s">
        <v>573</v>
      </c>
      <c r="C1330" t="s">
        <v>5143</v>
      </c>
      <c r="D1330" t="s">
        <v>19024</v>
      </c>
      <c r="E1330" t="s">
        <v>20318</v>
      </c>
      <c r="F1330" t="s">
        <v>32606</v>
      </c>
      <c r="G1330" t="s">
        <v>32613</v>
      </c>
      <c r="H1330" t="s">
        <v>32624</v>
      </c>
      <c r="I1330" t="s">
        <v>32675</v>
      </c>
      <c r="J1330" t="s">
        <v>33768</v>
      </c>
      <c r="K1330" t="s">
        <v>42636</v>
      </c>
      <c r="M1330" t="s">
        <v>43488</v>
      </c>
      <c r="N1330" t="s">
        <v>47304</v>
      </c>
      <c r="O1330" t="s">
        <v>47305</v>
      </c>
      <c r="P1330">
        <v>0</v>
      </c>
      <c r="Q1330">
        <v>0</v>
      </c>
      <c r="R1330" t="s">
        <v>47307</v>
      </c>
      <c r="S1330" t="s">
        <v>47416</v>
      </c>
      <c r="T1330" t="s">
        <v>48989</v>
      </c>
      <c r="U1330" t="s">
        <v>50749</v>
      </c>
      <c r="W1330" t="s">
        <v>43488</v>
      </c>
      <c r="X1330" t="s">
        <v>47306</v>
      </c>
    </row>
    <row r="1331" spans="1:24">
      <c r="A1331">
        <f>HYPERLINK("https://www.philgeps.gov.ph/GEPSNONPILOT/Tender/SplashBidNoticeAbstractUI.aspx?menuIndex=3&amp;refID=7199072&amp;Result=3","7199072")</f>
        <v>0</v>
      </c>
      <c r="B1331" t="s">
        <v>682</v>
      </c>
      <c r="C1331" t="s">
        <v>5144</v>
      </c>
      <c r="D1331" t="s">
        <v>19039</v>
      </c>
      <c r="E1331" t="s">
        <v>20319</v>
      </c>
      <c r="F1331" t="s">
        <v>32606</v>
      </c>
      <c r="G1331" t="s">
        <v>32619</v>
      </c>
      <c r="H1331" t="s">
        <v>14201</v>
      </c>
      <c r="I1331" t="s">
        <v>4120</v>
      </c>
      <c r="J1331" t="s">
        <v>33769</v>
      </c>
      <c r="K1331" t="s">
        <v>42623</v>
      </c>
      <c r="M1331" t="s">
        <v>43602</v>
      </c>
      <c r="N1331" t="s">
        <v>47304</v>
      </c>
      <c r="O1331" t="s">
        <v>47305</v>
      </c>
      <c r="P1331">
        <v>0</v>
      </c>
      <c r="Q1331">
        <v>0</v>
      </c>
      <c r="R1331" t="s">
        <v>47307</v>
      </c>
      <c r="S1331" t="s">
        <v>47416</v>
      </c>
      <c r="T1331" t="s">
        <v>49023</v>
      </c>
      <c r="U1331" t="s">
        <v>50739</v>
      </c>
      <c r="W1331" t="s">
        <v>43602</v>
      </c>
      <c r="X1331" t="s">
        <v>47306</v>
      </c>
    </row>
    <row r="1332" spans="1:24">
      <c r="A1332">
        <f>HYPERLINK("https://www.philgeps.gov.ph/GEPSNONPILOT/Tender/SplashBidNoticeAbstractUI.aspx?menuIndex=3&amp;refID=7199044&amp;Result=3","7199044")</f>
        <v>0</v>
      </c>
      <c r="B1332" t="s">
        <v>659</v>
      </c>
      <c r="C1332" t="s">
        <v>5145</v>
      </c>
      <c r="D1332" t="s">
        <v>19018</v>
      </c>
      <c r="E1332" t="s">
        <v>20320</v>
      </c>
      <c r="F1332" t="s">
        <v>32606</v>
      </c>
      <c r="G1332" t="s">
        <v>32619</v>
      </c>
      <c r="H1332" t="s">
        <v>14201</v>
      </c>
      <c r="I1332" t="s">
        <v>4120</v>
      </c>
      <c r="J1332" t="s">
        <v>33770</v>
      </c>
      <c r="K1332" t="s">
        <v>42622</v>
      </c>
      <c r="M1332" t="s">
        <v>43579</v>
      </c>
      <c r="N1332" t="s">
        <v>47304</v>
      </c>
      <c r="O1332" t="s">
        <v>47305</v>
      </c>
      <c r="P1332">
        <v>0</v>
      </c>
      <c r="Q1332">
        <v>0</v>
      </c>
      <c r="R1332" t="s">
        <v>47307</v>
      </c>
      <c r="S1332" t="s">
        <v>47416</v>
      </c>
      <c r="T1332" t="s">
        <v>48976</v>
      </c>
      <c r="U1332" t="s">
        <v>50750</v>
      </c>
      <c r="W1332" t="s">
        <v>43579</v>
      </c>
      <c r="X1332" t="s">
        <v>47306</v>
      </c>
    </row>
    <row r="1333" spans="1:24">
      <c r="A1333">
        <f>HYPERLINK("https://www.philgeps.gov.ph/GEPSNONPILOT/Tender/SplashBidNoticeAbstractUI.aspx?menuIndex=3&amp;refID=7199036&amp;Result=3","7199036")</f>
        <v>0</v>
      </c>
      <c r="B1333" t="s">
        <v>540</v>
      </c>
      <c r="C1333" t="s">
        <v>5146</v>
      </c>
      <c r="D1333" t="s">
        <v>19001</v>
      </c>
      <c r="E1333" t="s">
        <v>20321</v>
      </c>
      <c r="F1333" t="s">
        <v>32606</v>
      </c>
      <c r="G1333" t="s">
        <v>32614</v>
      </c>
      <c r="H1333" t="s">
        <v>14201</v>
      </c>
      <c r="I1333" t="s">
        <v>4112</v>
      </c>
      <c r="J1333" t="s">
        <v>32781</v>
      </c>
      <c r="K1333" t="s">
        <v>42622</v>
      </c>
      <c r="M1333" t="s">
        <v>43454</v>
      </c>
      <c r="N1333" t="s">
        <v>47304</v>
      </c>
      <c r="O1333" t="s">
        <v>47305</v>
      </c>
      <c r="P1333">
        <v>0</v>
      </c>
      <c r="Q1333">
        <v>0</v>
      </c>
      <c r="R1333" t="s">
        <v>47307</v>
      </c>
      <c r="S1333" t="s">
        <v>47416</v>
      </c>
      <c r="T1333" t="s">
        <v>48986</v>
      </c>
      <c r="U1333" t="s">
        <v>50751</v>
      </c>
      <c r="W1333" t="s">
        <v>43454</v>
      </c>
      <c r="X1333" t="s">
        <v>47306</v>
      </c>
    </row>
    <row r="1334" spans="1:24">
      <c r="A1334">
        <f>HYPERLINK("https://www.philgeps.gov.ph/GEPSNONPILOT/Tender/SplashBidNoticeAbstractUI.aspx?menuIndex=3&amp;refID=7199073&amp;Result=3","7199073")</f>
        <v>0</v>
      </c>
      <c r="B1334" t="s">
        <v>686</v>
      </c>
      <c r="C1334" t="s">
        <v>5147</v>
      </c>
      <c r="D1334" t="s">
        <v>18993</v>
      </c>
      <c r="E1334" t="s">
        <v>19775</v>
      </c>
      <c r="F1334" t="s">
        <v>32606</v>
      </c>
      <c r="G1334" t="s">
        <v>32614</v>
      </c>
      <c r="H1334" t="s">
        <v>14201</v>
      </c>
      <c r="I1334" t="s">
        <v>32652</v>
      </c>
      <c r="J1334" t="s">
        <v>33771</v>
      </c>
      <c r="K1334" t="s">
        <v>42624</v>
      </c>
      <c r="M1334" t="s">
        <v>43607</v>
      </c>
      <c r="N1334" t="s">
        <v>47304</v>
      </c>
      <c r="O1334" t="s">
        <v>47305</v>
      </c>
      <c r="P1334">
        <v>0</v>
      </c>
      <c r="Q1334">
        <v>0</v>
      </c>
      <c r="R1334" t="s">
        <v>47307</v>
      </c>
      <c r="S1334" t="s">
        <v>47416</v>
      </c>
      <c r="T1334" t="s">
        <v>49108</v>
      </c>
      <c r="U1334" t="s">
        <v>50752</v>
      </c>
      <c r="W1334" t="s">
        <v>43607</v>
      </c>
      <c r="X1334" t="s">
        <v>47306</v>
      </c>
    </row>
    <row r="1335" spans="1:24">
      <c r="A1335">
        <f>HYPERLINK("https://www.philgeps.gov.ph/GEPSNONPILOT/Tender/SplashBidNoticeAbstractUI.aspx?menuIndex=3&amp;refID=7199067&amp;Result=3","7199067")</f>
        <v>0</v>
      </c>
      <c r="B1335" t="s">
        <v>687</v>
      </c>
      <c r="C1335" t="s">
        <v>5148</v>
      </c>
      <c r="D1335" t="s">
        <v>19004</v>
      </c>
      <c r="E1335" t="s">
        <v>20202</v>
      </c>
      <c r="F1335" t="s">
        <v>32606</v>
      </c>
      <c r="G1335" t="s">
        <v>32619</v>
      </c>
      <c r="H1335" t="s">
        <v>14201</v>
      </c>
      <c r="I1335" t="s">
        <v>32633</v>
      </c>
      <c r="J1335" t="s">
        <v>32977</v>
      </c>
      <c r="K1335" t="s">
        <v>42625</v>
      </c>
      <c r="M1335" t="s">
        <v>43608</v>
      </c>
      <c r="N1335" t="s">
        <v>47304</v>
      </c>
      <c r="O1335" t="s">
        <v>47305</v>
      </c>
      <c r="P1335">
        <v>0</v>
      </c>
      <c r="Q1335">
        <v>0</v>
      </c>
      <c r="R1335" t="s">
        <v>47307</v>
      </c>
      <c r="S1335" t="s">
        <v>47416</v>
      </c>
      <c r="T1335" t="s">
        <v>49072</v>
      </c>
      <c r="U1335" t="s">
        <v>50753</v>
      </c>
      <c r="W1335" t="s">
        <v>43608</v>
      </c>
      <c r="X1335" t="s">
        <v>47306</v>
      </c>
    </row>
    <row r="1336" spans="1:24">
      <c r="A1336">
        <f>HYPERLINK("https://www.philgeps.gov.ph/GEPSNONPILOT/Tender/SplashBidNoticeAbstractUI.aspx?menuIndex=3&amp;refID=7199066&amp;Result=3","7199066")</f>
        <v>0</v>
      </c>
      <c r="B1336" t="s">
        <v>688</v>
      </c>
      <c r="C1336" t="s">
        <v>5149</v>
      </c>
      <c r="E1336" t="s">
        <v>20322</v>
      </c>
      <c r="F1336" t="s">
        <v>32606</v>
      </c>
      <c r="G1336" t="s">
        <v>32614</v>
      </c>
      <c r="H1336" t="s">
        <v>14201</v>
      </c>
      <c r="I1336" t="s">
        <v>32652</v>
      </c>
      <c r="J1336" t="s">
        <v>33062</v>
      </c>
      <c r="K1336" t="s">
        <v>42624</v>
      </c>
      <c r="M1336" t="s">
        <v>43609</v>
      </c>
      <c r="N1336" t="s">
        <v>47304</v>
      </c>
      <c r="O1336" t="s">
        <v>47305</v>
      </c>
      <c r="P1336">
        <v>0</v>
      </c>
      <c r="Q1336">
        <v>0</v>
      </c>
      <c r="R1336" t="s">
        <v>47307</v>
      </c>
      <c r="S1336" t="s">
        <v>47416</v>
      </c>
      <c r="T1336" t="s">
        <v>49023</v>
      </c>
      <c r="U1336" t="s">
        <v>50754</v>
      </c>
      <c r="W1336" t="s">
        <v>43609</v>
      </c>
      <c r="X1336" t="s">
        <v>47306</v>
      </c>
    </row>
    <row r="1337" spans="1:24">
      <c r="A1337">
        <f>HYPERLINK("https://www.philgeps.gov.ph/GEPSNONPILOT/Tender/SplashBidNoticeAbstractUI.aspx?menuIndex=3&amp;refID=7199071&amp;Result=3","7199071")</f>
        <v>0</v>
      </c>
      <c r="B1337" t="s">
        <v>617</v>
      </c>
      <c r="C1337" t="s">
        <v>5150</v>
      </c>
      <c r="D1337" t="s">
        <v>19058</v>
      </c>
      <c r="E1337" t="s">
        <v>20323</v>
      </c>
      <c r="F1337" t="s">
        <v>32606</v>
      </c>
      <c r="G1337" t="s">
        <v>32614</v>
      </c>
      <c r="H1337" t="s">
        <v>14201</v>
      </c>
      <c r="I1337" t="s">
        <v>32630</v>
      </c>
      <c r="J1337" t="s">
        <v>33772</v>
      </c>
      <c r="K1337" t="s">
        <v>42624</v>
      </c>
      <c r="M1337" t="s">
        <v>43535</v>
      </c>
      <c r="N1337" t="s">
        <v>47304</v>
      </c>
      <c r="O1337" t="s">
        <v>47305</v>
      </c>
      <c r="P1337">
        <v>0</v>
      </c>
      <c r="Q1337">
        <v>0</v>
      </c>
      <c r="R1337" t="s">
        <v>47307</v>
      </c>
      <c r="S1337" t="s">
        <v>47416</v>
      </c>
      <c r="T1337" t="s">
        <v>48988</v>
      </c>
      <c r="U1337" t="s">
        <v>50755</v>
      </c>
      <c r="V1337" t="s">
        <v>62789</v>
      </c>
      <c r="W1337" t="s">
        <v>43535</v>
      </c>
      <c r="X1337" t="s">
        <v>47306</v>
      </c>
    </row>
    <row r="1338" spans="1:24">
      <c r="A1338">
        <f>HYPERLINK("https://www.philgeps.gov.ph/GEPSNONPILOT/Tender/SplashBidNoticeAbstractUI.aspx?menuIndex=3&amp;refID=7199064&amp;Result=3","7199064")</f>
        <v>0</v>
      </c>
      <c r="B1338" t="s">
        <v>271</v>
      </c>
      <c r="C1338" t="s">
        <v>5151</v>
      </c>
      <c r="D1338" t="s">
        <v>19040</v>
      </c>
      <c r="E1338" t="s">
        <v>20324</v>
      </c>
      <c r="F1338" t="s">
        <v>32606</v>
      </c>
      <c r="G1338" t="s">
        <v>32614</v>
      </c>
      <c r="H1338" t="s">
        <v>14201</v>
      </c>
      <c r="I1338" t="s">
        <v>32698</v>
      </c>
      <c r="J1338" t="s">
        <v>33773</v>
      </c>
      <c r="K1338" t="s">
        <v>42631</v>
      </c>
      <c r="M1338" t="s">
        <v>43172</v>
      </c>
      <c r="N1338" t="s">
        <v>47304</v>
      </c>
      <c r="O1338" t="s">
        <v>47305</v>
      </c>
      <c r="P1338">
        <v>0</v>
      </c>
      <c r="Q1338">
        <v>0</v>
      </c>
      <c r="R1338" t="s">
        <v>47307</v>
      </c>
      <c r="S1338" t="s">
        <v>47416</v>
      </c>
      <c r="T1338" t="s">
        <v>49108</v>
      </c>
      <c r="U1338" t="s">
        <v>50756</v>
      </c>
      <c r="W1338" t="s">
        <v>43172</v>
      </c>
      <c r="X1338" t="s">
        <v>47306</v>
      </c>
    </row>
    <row r="1339" spans="1:24">
      <c r="A1339">
        <f>HYPERLINK("https://www.philgeps.gov.ph/GEPSNONPILOT/Tender/SplashBidNoticeAbstractUI.aspx?menuIndex=3&amp;refID=7199063&amp;Result=3","7199063")</f>
        <v>0</v>
      </c>
      <c r="B1339" t="s">
        <v>645</v>
      </c>
      <c r="C1339" t="s">
        <v>5152</v>
      </c>
      <c r="D1339" t="s">
        <v>18988</v>
      </c>
      <c r="E1339" t="s">
        <v>20325</v>
      </c>
      <c r="F1339" t="s">
        <v>32606</v>
      </c>
      <c r="G1339" t="s">
        <v>32614</v>
      </c>
      <c r="H1339" t="s">
        <v>14201</v>
      </c>
      <c r="I1339" t="s">
        <v>6298</v>
      </c>
      <c r="J1339" t="s">
        <v>32951</v>
      </c>
      <c r="K1339" t="s">
        <v>42703</v>
      </c>
      <c r="M1339" t="s">
        <v>43563</v>
      </c>
      <c r="N1339" t="s">
        <v>47304</v>
      </c>
      <c r="O1339" t="s">
        <v>47305</v>
      </c>
      <c r="P1339">
        <v>0</v>
      </c>
      <c r="Q1339">
        <v>0</v>
      </c>
      <c r="R1339" t="s">
        <v>47307</v>
      </c>
      <c r="S1339" t="s">
        <v>47416</v>
      </c>
      <c r="T1339" t="s">
        <v>49015</v>
      </c>
      <c r="U1339" t="s">
        <v>50757</v>
      </c>
      <c r="W1339" t="s">
        <v>43563</v>
      </c>
      <c r="X1339" t="s">
        <v>47306</v>
      </c>
    </row>
    <row r="1340" spans="1:24">
      <c r="A1340">
        <f>HYPERLINK("https://www.philgeps.gov.ph/GEPSNONPILOT/Tender/SplashBidNoticeAbstractUI.aspx?menuIndex=3&amp;refID=7199068&amp;Result=3","7199068")</f>
        <v>0</v>
      </c>
      <c r="B1340" t="s">
        <v>689</v>
      </c>
      <c r="C1340" t="s">
        <v>5153</v>
      </c>
      <c r="D1340" t="s">
        <v>19004</v>
      </c>
      <c r="E1340" t="s">
        <v>20326</v>
      </c>
      <c r="F1340" t="s">
        <v>32606</v>
      </c>
      <c r="G1340" t="s">
        <v>32619</v>
      </c>
      <c r="H1340" t="s">
        <v>14201</v>
      </c>
      <c r="I1340" t="s">
        <v>6298</v>
      </c>
      <c r="J1340" t="s">
        <v>33774</v>
      </c>
      <c r="K1340" t="s">
        <v>42624</v>
      </c>
      <c r="M1340" t="s">
        <v>43610</v>
      </c>
      <c r="N1340" t="s">
        <v>47304</v>
      </c>
      <c r="O1340" t="s">
        <v>47305</v>
      </c>
      <c r="P1340">
        <v>0</v>
      </c>
      <c r="Q1340">
        <v>0</v>
      </c>
      <c r="R1340" t="s">
        <v>47307</v>
      </c>
      <c r="S1340" t="s">
        <v>47416</v>
      </c>
      <c r="T1340" t="s">
        <v>49160</v>
      </c>
      <c r="U1340" t="s">
        <v>50758</v>
      </c>
      <c r="W1340" t="s">
        <v>43610</v>
      </c>
      <c r="X1340" t="s">
        <v>47306</v>
      </c>
    </row>
    <row r="1341" spans="1:24">
      <c r="A1341">
        <f>HYPERLINK("https://www.philgeps.gov.ph/GEPSNONPILOT/Tender/SplashBidNoticeAbstractUI.aspx?menuIndex=3&amp;refID=7199065&amp;Result=3","7199065")</f>
        <v>0</v>
      </c>
      <c r="B1341" t="s">
        <v>690</v>
      </c>
      <c r="C1341" t="s">
        <v>5154</v>
      </c>
      <c r="D1341" t="s">
        <v>19022</v>
      </c>
      <c r="E1341" t="s">
        <v>20327</v>
      </c>
      <c r="F1341" t="s">
        <v>32606</v>
      </c>
      <c r="G1341" t="s">
        <v>32613</v>
      </c>
      <c r="H1341" t="s">
        <v>32624</v>
      </c>
      <c r="I1341" t="s">
        <v>6007</v>
      </c>
      <c r="J1341" t="s">
        <v>33775</v>
      </c>
      <c r="K1341" t="s">
        <v>42631</v>
      </c>
      <c r="M1341" t="s">
        <v>43611</v>
      </c>
      <c r="N1341" t="s">
        <v>47304</v>
      </c>
      <c r="O1341" t="s">
        <v>47305</v>
      </c>
      <c r="P1341">
        <v>0</v>
      </c>
      <c r="Q1341">
        <v>0</v>
      </c>
      <c r="R1341" t="s">
        <v>47307</v>
      </c>
      <c r="S1341" t="s">
        <v>47416</v>
      </c>
      <c r="T1341" t="s">
        <v>49170</v>
      </c>
      <c r="U1341" t="s">
        <v>50759</v>
      </c>
      <c r="W1341" t="s">
        <v>43611</v>
      </c>
      <c r="X1341" t="s">
        <v>47306</v>
      </c>
    </row>
    <row r="1342" spans="1:24">
      <c r="A1342">
        <f>HYPERLINK("https://www.philgeps.gov.ph/GEPSNONPILOT/Tender/SplashBidNoticeAbstractUI.aspx?menuIndex=3&amp;refID=7199001&amp;Result=3","7199001")</f>
        <v>0</v>
      </c>
      <c r="B1342" t="s">
        <v>444</v>
      </c>
      <c r="C1342" t="s">
        <v>5155</v>
      </c>
      <c r="D1342" t="s">
        <v>19006</v>
      </c>
      <c r="E1342" t="s">
        <v>20328</v>
      </c>
      <c r="F1342" t="s">
        <v>32606</v>
      </c>
      <c r="G1342" t="s">
        <v>32613</v>
      </c>
      <c r="H1342" t="s">
        <v>14201</v>
      </c>
      <c r="I1342" t="s">
        <v>6298</v>
      </c>
      <c r="J1342" t="s">
        <v>33776</v>
      </c>
      <c r="K1342" t="s">
        <v>42639</v>
      </c>
      <c r="M1342" t="s">
        <v>43352</v>
      </c>
      <c r="N1342" t="s">
        <v>47304</v>
      </c>
      <c r="O1342" t="s">
        <v>47305</v>
      </c>
      <c r="P1342">
        <v>0</v>
      </c>
      <c r="Q1342">
        <v>0</v>
      </c>
      <c r="R1342" t="s">
        <v>47307</v>
      </c>
      <c r="S1342" t="s">
        <v>47416</v>
      </c>
      <c r="T1342" t="s">
        <v>49122</v>
      </c>
      <c r="U1342" t="s">
        <v>50760</v>
      </c>
      <c r="W1342" t="s">
        <v>43352</v>
      </c>
      <c r="X1342" t="s">
        <v>47306</v>
      </c>
    </row>
    <row r="1343" spans="1:24">
      <c r="A1343">
        <f>HYPERLINK("https://www.philgeps.gov.ph/GEPSNONPILOT/Tender/SplashBidNoticeAbstractUI.aspx?menuIndex=3&amp;refID=7199050&amp;Result=3","7199050")</f>
        <v>0</v>
      </c>
      <c r="B1343" t="s">
        <v>605</v>
      </c>
      <c r="C1343" t="s">
        <v>5156</v>
      </c>
      <c r="D1343" t="s">
        <v>19024</v>
      </c>
      <c r="E1343" t="s">
        <v>20329</v>
      </c>
      <c r="F1343" t="s">
        <v>32606</v>
      </c>
      <c r="G1343" t="s">
        <v>32613</v>
      </c>
      <c r="H1343" t="s">
        <v>32623</v>
      </c>
      <c r="I1343" t="s">
        <v>17648</v>
      </c>
      <c r="J1343" t="s">
        <v>33103</v>
      </c>
      <c r="K1343" t="s">
        <v>42639</v>
      </c>
      <c r="M1343" t="s">
        <v>43521</v>
      </c>
      <c r="N1343" t="s">
        <v>47304</v>
      </c>
      <c r="O1343" t="s">
        <v>47305</v>
      </c>
      <c r="P1343">
        <v>0</v>
      </c>
      <c r="Q1343">
        <v>0</v>
      </c>
      <c r="R1343" t="s">
        <v>47307</v>
      </c>
      <c r="S1343" t="s">
        <v>47416</v>
      </c>
      <c r="T1343" t="s">
        <v>48996</v>
      </c>
      <c r="U1343" t="s">
        <v>50646</v>
      </c>
      <c r="W1343" t="s">
        <v>43521</v>
      </c>
      <c r="X1343" t="s">
        <v>47306</v>
      </c>
    </row>
    <row r="1344" spans="1:24">
      <c r="A1344">
        <f>HYPERLINK("https://www.philgeps.gov.ph/GEPSNONPILOT/Tender/SplashBidNoticeAbstractUI.aspx?menuIndex=3&amp;refID=7199037&amp;Result=3","7199037")</f>
        <v>0</v>
      </c>
      <c r="B1344" t="s">
        <v>612</v>
      </c>
      <c r="C1344" t="s">
        <v>5157</v>
      </c>
      <c r="D1344" t="s">
        <v>18993</v>
      </c>
      <c r="E1344" t="s">
        <v>20240</v>
      </c>
      <c r="F1344" t="s">
        <v>32606</v>
      </c>
      <c r="G1344" t="s">
        <v>32613</v>
      </c>
      <c r="H1344" t="s">
        <v>14201</v>
      </c>
      <c r="I1344" t="s">
        <v>6298</v>
      </c>
      <c r="J1344" t="s">
        <v>32981</v>
      </c>
      <c r="K1344" t="s">
        <v>42631</v>
      </c>
      <c r="M1344" t="s">
        <v>43530</v>
      </c>
      <c r="N1344" t="s">
        <v>47304</v>
      </c>
      <c r="O1344" t="s">
        <v>47305</v>
      </c>
      <c r="P1344">
        <v>0</v>
      </c>
      <c r="Q1344">
        <v>0</v>
      </c>
      <c r="R1344" t="s">
        <v>47307</v>
      </c>
      <c r="S1344" t="s">
        <v>47416</v>
      </c>
      <c r="T1344" t="s">
        <v>49157</v>
      </c>
      <c r="U1344" t="s">
        <v>50761</v>
      </c>
      <c r="W1344" t="s">
        <v>43530</v>
      </c>
      <c r="X1344" t="s">
        <v>47306</v>
      </c>
    </row>
    <row r="1345" spans="1:24">
      <c r="A1345">
        <f>HYPERLINK("https://www.philgeps.gov.ph/GEPSNONPILOT/Tender/SplashBidNoticeAbstractUI.aspx?menuIndex=3&amp;refID=7199076&amp;Result=3","7199076")</f>
        <v>0</v>
      </c>
      <c r="B1345" t="s">
        <v>691</v>
      </c>
      <c r="C1345" t="s">
        <v>5158</v>
      </c>
      <c r="D1345" t="s">
        <v>19000</v>
      </c>
      <c r="E1345" t="s">
        <v>20330</v>
      </c>
      <c r="F1345" t="s">
        <v>32606</v>
      </c>
      <c r="G1345" t="s">
        <v>32613</v>
      </c>
      <c r="H1345" t="s">
        <v>14201</v>
      </c>
      <c r="I1345" t="s">
        <v>6993</v>
      </c>
      <c r="J1345" t="s">
        <v>33777</v>
      </c>
      <c r="K1345" t="s">
        <v>42631</v>
      </c>
      <c r="M1345" t="s">
        <v>43612</v>
      </c>
      <c r="N1345" t="s">
        <v>47304</v>
      </c>
      <c r="O1345" t="s">
        <v>47305</v>
      </c>
      <c r="P1345">
        <v>0</v>
      </c>
      <c r="Q1345">
        <v>0</v>
      </c>
      <c r="R1345" t="s">
        <v>47307</v>
      </c>
      <c r="S1345" t="s">
        <v>47416</v>
      </c>
      <c r="T1345" t="s">
        <v>49171</v>
      </c>
      <c r="U1345" t="s">
        <v>50762</v>
      </c>
      <c r="V1345" t="s">
        <v>62803</v>
      </c>
      <c r="W1345" t="s">
        <v>43612</v>
      </c>
      <c r="X1345" t="s">
        <v>47306</v>
      </c>
    </row>
    <row r="1346" spans="1:24">
      <c r="A1346">
        <f>HYPERLINK("https://www.philgeps.gov.ph/GEPSNONPILOT/Tender/SplashBidNoticeAbstractUI.aspx?menuIndex=3&amp;refID=7199097&amp;Result=3","7199097")</f>
        <v>0</v>
      </c>
      <c r="B1346" t="s">
        <v>578</v>
      </c>
      <c r="C1346" t="s">
        <v>5159</v>
      </c>
      <c r="D1346" t="s">
        <v>19028</v>
      </c>
      <c r="E1346" t="s">
        <v>19327</v>
      </c>
      <c r="F1346" t="s">
        <v>32606</v>
      </c>
      <c r="G1346" t="s">
        <v>32614</v>
      </c>
      <c r="H1346" t="s">
        <v>14201</v>
      </c>
      <c r="I1346" t="s">
        <v>32640</v>
      </c>
      <c r="J1346" t="s">
        <v>32913</v>
      </c>
      <c r="K1346" t="s">
        <v>42629</v>
      </c>
      <c r="M1346" t="s">
        <v>43493</v>
      </c>
      <c r="N1346" t="s">
        <v>47304</v>
      </c>
      <c r="O1346" t="s">
        <v>47305</v>
      </c>
      <c r="P1346">
        <v>0</v>
      </c>
      <c r="Q1346">
        <v>0</v>
      </c>
      <c r="R1346" t="s">
        <v>47307</v>
      </c>
      <c r="S1346" t="s">
        <v>47416</v>
      </c>
      <c r="T1346" t="s">
        <v>49101</v>
      </c>
      <c r="U1346" t="s">
        <v>50763</v>
      </c>
      <c r="W1346" t="s">
        <v>43493</v>
      </c>
      <c r="X1346" t="s">
        <v>47306</v>
      </c>
    </row>
    <row r="1347" spans="1:24">
      <c r="A1347">
        <f>HYPERLINK("https://www.philgeps.gov.ph/GEPSNONPILOT/Tender/SplashBidNoticeAbstractUI.aspx?menuIndex=3&amp;refID=7199095&amp;Result=3","7199095")</f>
        <v>0</v>
      </c>
      <c r="B1347" t="s">
        <v>666</v>
      </c>
      <c r="C1347" t="s">
        <v>5160</v>
      </c>
      <c r="D1347" t="s">
        <v>19014</v>
      </c>
      <c r="E1347" t="s">
        <v>19232</v>
      </c>
      <c r="F1347" t="s">
        <v>32606</v>
      </c>
      <c r="G1347" t="s">
        <v>32619</v>
      </c>
      <c r="H1347" t="s">
        <v>14201</v>
      </c>
      <c r="I1347" t="s">
        <v>6478</v>
      </c>
      <c r="J1347" t="s">
        <v>33778</v>
      </c>
      <c r="K1347" t="s">
        <v>42624</v>
      </c>
      <c r="M1347" t="s">
        <v>43586</v>
      </c>
      <c r="N1347" t="s">
        <v>47304</v>
      </c>
      <c r="O1347" t="s">
        <v>47305</v>
      </c>
      <c r="P1347">
        <v>0</v>
      </c>
      <c r="Q1347">
        <v>0</v>
      </c>
      <c r="R1347" t="s">
        <v>47307</v>
      </c>
      <c r="S1347" t="s">
        <v>47416</v>
      </c>
      <c r="T1347" t="s">
        <v>49004</v>
      </c>
      <c r="U1347" t="s">
        <v>50703</v>
      </c>
      <c r="W1347" t="s">
        <v>43586</v>
      </c>
      <c r="X1347" t="s">
        <v>47306</v>
      </c>
    </row>
    <row r="1348" spans="1:24">
      <c r="A1348">
        <f>HYPERLINK("https://www.philgeps.gov.ph/GEPSNONPILOT/Tender/SplashBidNoticeAbstractUI.aspx?menuIndex=3&amp;refID=7199093&amp;Result=3","7199093")</f>
        <v>0</v>
      </c>
      <c r="B1348" t="s">
        <v>662</v>
      </c>
      <c r="C1348" t="s">
        <v>5161</v>
      </c>
      <c r="D1348" t="s">
        <v>19023</v>
      </c>
      <c r="E1348" t="s">
        <v>20331</v>
      </c>
      <c r="F1348" t="s">
        <v>32606</v>
      </c>
      <c r="G1348" t="s">
        <v>32613</v>
      </c>
      <c r="H1348" t="s">
        <v>32623</v>
      </c>
      <c r="I1348" t="s">
        <v>17648</v>
      </c>
      <c r="J1348" t="s">
        <v>32830</v>
      </c>
      <c r="K1348" t="s">
        <v>42706</v>
      </c>
      <c r="M1348" t="s">
        <v>43582</v>
      </c>
      <c r="N1348" t="s">
        <v>47304</v>
      </c>
      <c r="O1348" t="s">
        <v>47305</v>
      </c>
      <c r="P1348">
        <v>0</v>
      </c>
      <c r="Q1348">
        <v>0</v>
      </c>
      <c r="R1348" t="s">
        <v>47307</v>
      </c>
      <c r="S1348" t="s">
        <v>47416</v>
      </c>
      <c r="T1348" t="s">
        <v>48995</v>
      </c>
      <c r="U1348" t="s">
        <v>50764</v>
      </c>
      <c r="W1348" t="s">
        <v>43582</v>
      </c>
      <c r="X1348" t="s">
        <v>47306</v>
      </c>
    </row>
    <row r="1349" spans="1:24">
      <c r="A1349">
        <f>HYPERLINK("https://www.philgeps.gov.ph/GEPSNONPILOT/Tender/SplashBidNoticeAbstractUI.aspx?menuIndex=3&amp;refID=7199087&amp;Result=3","7199087")</f>
        <v>0</v>
      </c>
      <c r="B1349" t="s">
        <v>692</v>
      </c>
      <c r="C1349" t="s">
        <v>5162</v>
      </c>
      <c r="D1349" t="s">
        <v>18992</v>
      </c>
      <c r="E1349" t="s">
        <v>20332</v>
      </c>
      <c r="F1349" t="s">
        <v>32606</v>
      </c>
      <c r="G1349" t="s">
        <v>32614</v>
      </c>
      <c r="H1349" t="s">
        <v>14201</v>
      </c>
      <c r="I1349" t="s">
        <v>7677</v>
      </c>
      <c r="J1349" t="s">
        <v>32820</v>
      </c>
      <c r="K1349" t="s">
        <v>42629</v>
      </c>
      <c r="M1349" t="s">
        <v>43613</v>
      </c>
      <c r="N1349" t="s">
        <v>47304</v>
      </c>
      <c r="O1349" t="s">
        <v>47305</v>
      </c>
      <c r="P1349">
        <v>0</v>
      </c>
      <c r="Q1349">
        <v>0</v>
      </c>
      <c r="R1349" t="s">
        <v>47307</v>
      </c>
      <c r="S1349" t="s">
        <v>47416</v>
      </c>
      <c r="T1349" t="s">
        <v>48986</v>
      </c>
      <c r="U1349" t="s">
        <v>50765</v>
      </c>
      <c r="W1349" t="s">
        <v>43613</v>
      </c>
      <c r="X1349" t="s">
        <v>47306</v>
      </c>
    </row>
    <row r="1350" spans="1:24">
      <c r="A1350">
        <f>HYPERLINK("https://www.philgeps.gov.ph/GEPSNONPILOT/Tender/SplashBidNoticeAbstractUI.aspx?menuIndex=3&amp;refID=7199101&amp;Result=3","7199101")</f>
        <v>0</v>
      </c>
      <c r="B1350" t="s">
        <v>644</v>
      </c>
      <c r="C1350" t="s">
        <v>5163</v>
      </c>
      <c r="E1350" t="s">
        <v>20333</v>
      </c>
      <c r="F1350" t="s">
        <v>32606</v>
      </c>
      <c r="G1350" t="s">
        <v>32613</v>
      </c>
      <c r="H1350" t="s">
        <v>14201</v>
      </c>
      <c r="I1350" t="s">
        <v>32646</v>
      </c>
      <c r="J1350" t="s">
        <v>33779</v>
      </c>
      <c r="K1350" t="s">
        <v>42624</v>
      </c>
      <c r="M1350" t="s">
        <v>43562</v>
      </c>
      <c r="N1350" t="s">
        <v>47304</v>
      </c>
      <c r="O1350" t="s">
        <v>47305</v>
      </c>
      <c r="P1350">
        <v>0</v>
      </c>
      <c r="Q1350">
        <v>0</v>
      </c>
      <c r="R1350" t="s">
        <v>47307</v>
      </c>
      <c r="S1350" t="s">
        <v>47416</v>
      </c>
      <c r="T1350" t="s">
        <v>49163</v>
      </c>
      <c r="U1350" t="s">
        <v>50766</v>
      </c>
      <c r="W1350" t="s">
        <v>43562</v>
      </c>
      <c r="X1350" t="s">
        <v>47306</v>
      </c>
    </row>
    <row r="1351" spans="1:24">
      <c r="A1351">
        <f>HYPERLINK("https://www.philgeps.gov.ph/GEPSNONPILOT/Tender/SplashBidNoticeAbstractUI.aspx?menuIndex=3&amp;refID=7199086&amp;Result=3","7199086")</f>
        <v>0</v>
      </c>
      <c r="B1351" t="s">
        <v>693</v>
      </c>
      <c r="C1351" t="s">
        <v>5164</v>
      </c>
      <c r="D1351" t="s">
        <v>18989</v>
      </c>
      <c r="E1351" t="s">
        <v>20334</v>
      </c>
      <c r="F1351" t="s">
        <v>32606</v>
      </c>
      <c r="G1351" t="s">
        <v>32614</v>
      </c>
      <c r="H1351" t="s">
        <v>14201</v>
      </c>
      <c r="I1351" t="s">
        <v>32626</v>
      </c>
      <c r="J1351" t="s">
        <v>33780</v>
      </c>
      <c r="K1351" t="s">
        <v>42622</v>
      </c>
      <c r="M1351" t="s">
        <v>43614</v>
      </c>
      <c r="N1351" t="s">
        <v>47304</v>
      </c>
      <c r="O1351" t="s">
        <v>47305</v>
      </c>
      <c r="P1351">
        <v>0</v>
      </c>
      <c r="Q1351">
        <v>0</v>
      </c>
      <c r="R1351" t="s">
        <v>47307</v>
      </c>
      <c r="S1351" t="s">
        <v>47416</v>
      </c>
      <c r="T1351" t="s">
        <v>49015</v>
      </c>
      <c r="U1351" t="s">
        <v>50767</v>
      </c>
      <c r="W1351" t="s">
        <v>43614</v>
      </c>
      <c r="X1351" t="s">
        <v>47306</v>
      </c>
    </row>
    <row r="1352" spans="1:24">
      <c r="A1352">
        <f>HYPERLINK("https://www.philgeps.gov.ph/GEPSNONPILOT/Tender/SplashBidNoticeAbstractUI.aspx?menuIndex=3&amp;refID=7199084&amp;Result=3","7199084")</f>
        <v>0</v>
      </c>
      <c r="B1352" t="s">
        <v>694</v>
      </c>
      <c r="C1352" t="s">
        <v>5165</v>
      </c>
      <c r="D1352" t="s">
        <v>19012</v>
      </c>
      <c r="E1352" t="s">
        <v>20282</v>
      </c>
      <c r="F1352" t="s">
        <v>32606</v>
      </c>
      <c r="G1352" t="s">
        <v>32613</v>
      </c>
      <c r="H1352" t="s">
        <v>14201</v>
      </c>
      <c r="I1352" t="s">
        <v>6931</v>
      </c>
      <c r="J1352" t="s">
        <v>33781</v>
      </c>
      <c r="K1352" t="s">
        <v>42636</v>
      </c>
      <c r="M1352" t="s">
        <v>43615</v>
      </c>
      <c r="N1352" t="s">
        <v>47304</v>
      </c>
      <c r="O1352" t="s">
        <v>47305</v>
      </c>
      <c r="P1352">
        <v>0</v>
      </c>
      <c r="Q1352">
        <v>0</v>
      </c>
      <c r="R1352" t="s">
        <v>47307</v>
      </c>
      <c r="S1352" t="s">
        <v>47416</v>
      </c>
      <c r="T1352" t="s">
        <v>49157</v>
      </c>
      <c r="U1352" t="s">
        <v>50768</v>
      </c>
      <c r="W1352" t="s">
        <v>43615</v>
      </c>
      <c r="X1352" t="s">
        <v>47306</v>
      </c>
    </row>
    <row r="1353" spans="1:24">
      <c r="A1353">
        <f>HYPERLINK("https://www.philgeps.gov.ph/GEPSNONPILOT/Tender/SplashBidNoticeAbstractUI.aspx?menuIndex=3&amp;refID=7199096&amp;Result=3","7199096")</f>
        <v>0</v>
      </c>
      <c r="B1353" t="s">
        <v>695</v>
      </c>
      <c r="C1353" t="s">
        <v>5166</v>
      </c>
      <c r="D1353" t="s">
        <v>19018</v>
      </c>
      <c r="E1353" t="s">
        <v>20335</v>
      </c>
      <c r="F1353" t="s">
        <v>32606</v>
      </c>
      <c r="G1353" t="s">
        <v>32614</v>
      </c>
      <c r="H1353" t="s">
        <v>14201</v>
      </c>
      <c r="I1353" t="s">
        <v>6931</v>
      </c>
      <c r="J1353" t="s">
        <v>33782</v>
      </c>
      <c r="K1353" t="s">
        <v>42624</v>
      </c>
      <c r="M1353" t="s">
        <v>43616</v>
      </c>
      <c r="N1353" t="s">
        <v>47304</v>
      </c>
      <c r="O1353" t="s">
        <v>47305</v>
      </c>
      <c r="P1353">
        <v>0</v>
      </c>
      <c r="Q1353">
        <v>0</v>
      </c>
      <c r="R1353" t="s">
        <v>47307</v>
      </c>
      <c r="S1353" t="s">
        <v>47416</v>
      </c>
      <c r="T1353" t="s">
        <v>48988</v>
      </c>
      <c r="U1353" t="s">
        <v>50769</v>
      </c>
      <c r="W1353" t="s">
        <v>43616</v>
      </c>
      <c r="X1353" t="s">
        <v>47306</v>
      </c>
    </row>
    <row r="1354" spans="1:24">
      <c r="A1354">
        <f>HYPERLINK("https://www.philgeps.gov.ph/GEPSNONPILOT/Tender/SplashBidNoticeAbstractUI.aspx?menuIndex=3&amp;refID=7199082&amp;Result=3","7199082")</f>
        <v>0</v>
      </c>
      <c r="B1354" t="s">
        <v>696</v>
      </c>
      <c r="C1354" t="s">
        <v>5167</v>
      </c>
      <c r="D1354" t="s">
        <v>18993</v>
      </c>
      <c r="E1354" t="s">
        <v>20336</v>
      </c>
      <c r="F1354" t="s">
        <v>32606</v>
      </c>
      <c r="G1354" t="s">
        <v>32614</v>
      </c>
      <c r="H1354" t="s">
        <v>14201</v>
      </c>
      <c r="I1354" t="s">
        <v>6298</v>
      </c>
      <c r="J1354" t="s">
        <v>33783</v>
      </c>
      <c r="K1354" t="s">
        <v>42627</v>
      </c>
      <c r="M1354" t="s">
        <v>43617</v>
      </c>
      <c r="N1354" t="s">
        <v>47304</v>
      </c>
      <c r="O1354" t="s">
        <v>47305</v>
      </c>
      <c r="P1354">
        <v>0</v>
      </c>
      <c r="Q1354">
        <v>0</v>
      </c>
      <c r="R1354" t="s">
        <v>47307</v>
      </c>
      <c r="S1354" t="s">
        <v>47416</v>
      </c>
      <c r="T1354" t="s">
        <v>49066</v>
      </c>
      <c r="U1354" t="s">
        <v>50770</v>
      </c>
      <c r="V1354" t="s">
        <v>62804</v>
      </c>
      <c r="W1354" t="s">
        <v>43617</v>
      </c>
      <c r="X1354" t="s">
        <v>47306</v>
      </c>
    </row>
    <row r="1355" spans="1:24">
      <c r="A1355">
        <f>HYPERLINK("https://www.philgeps.gov.ph/GEPSNONPILOT/Tender/SplashBidNoticeAbstractUI.aspx?menuIndex=3&amp;refID=7199091&amp;Result=3","7199091")</f>
        <v>0</v>
      </c>
      <c r="B1355" t="s">
        <v>648</v>
      </c>
      <c r="C1355" t="s">
        <v>5168</v>
      </c>
      <c r="D1355" t="s">
        <v>19059</v>
      </c>
      <c r="E1355" t="s">
        <v>20337</v>
      </c>
      <c r="F1355" t="s">
        <v>32606</v>
      </c>
      <c r="G1355" t="s">
        <v>32613</v>
      </c>
      <c r="H1355" t="s">
        <v>14201</v>
      </c>
      <c r="I1355" t="s">
        <v>32650</v>
      </c>
      <c r="J1355" t="s">
        <v>33784</v>
      </c>
      <c r="K1355" t="s">
        <v>42636</v>
      </c>
      <c r="M1355" t="s">
        <v>43566</v>
      </c>
      <c r="N1355" t="s">
        <v>47304</v>
      </c>
      <c r="O1355" t="s">
        <v>47305</v>
      </c>
      <c r="P1355">
        <v>0</v>
      </c>
      <c r="Q1355">
        <v>0</v>
      </c>
      <c r="R1355" t="s">
        <v>47307</v>
      </c>
      <c r="S1355" t="s">
        <v>47416</v>
      </c>
      <c r="T1355" t="s">
        <v>49017</v>
      </c>
      <c r="U1355" t="s">
        <v>50771</v>
      </c>
      <c r="W1355" t="s">
        <v>43566</v>
      </c>
      <c r="X1355" t="s">
        <v>47306</v>
      </c>
    </row>
    <row r="1356" spans="1:24">
      <c r="A1356">
        <f>HYPERLINK("https://www.philgeps.gov.ph/GEPSNONPILOT/Tender/SplashBidNoticeAbstractUI.aspx?menuIndex=3&amp;refID=7199100&amp;Result=3","7199100")</f>
        <v>0</v>
      </c>
      <c r="B1356" t="s">
        <v>697</v>
      </c>
      <c r="C1356" t="s">
        <v>5169</v>
      </c>
      <c r="D1356" t="s">
        <v>19003</v>
      </c>
      <c r="E1356" t="s">
        <v>20338</v>
      </c>
      <c r="F1356" t="s">
        <v>32606</v>
      </c>
      <c r="G1356" t="s">
        <v>32617</v>
      </c>
      <c r="H1356" t="s">
        <v>14201</v>
      </c>
      <c r="I1356" t="s">
        <v>4114</v>
      </c>
      <c r="J1356" t="s">
        <v>33785</v>
      </c>
      <c r="K1356" t="s">
        <v>42624</v>
      </c>
      <c r="M1356" t="s">
        <v>43618</v>
      </c>
      <c r="N1356" t="s">
        <v>47304</v>
      </c>
      <c r="O1356" t="s">
        <v>47305</v>
      </c>
      <c r="P1356">
        <v>0</v>
      </c>
      <c r="Q1356">
        <v>0</v>
      </c>
      <c r="R1356" t="s">
        <v>47307</v>
      </c>
      <c r="S1356" t="s">
        <v>47416</v>
      </c>
      <c r="T1356" t="s">
        <v>49028</v>
      </c>
      <c r="U1356" t="s">
        <v>50772</v>
      </c>
      <c r="W1356" t="s">
        <v>43618</v>
      </c>
      <c r="X1356" t="s">
        <v>47306</v>
      </c>
    </row>
    <row r="1357" spans="1:24">
      <c r="A1357">
        <f>HYPERLINK("https://www.philgeps.gov.ph/GEPSNONPILOT/Tender/SplashBidNoticeAbstractUI.aspx?menuIndex=3&amp;refID=7199081&amp;Result=3","7199081")</f>
        <v>0</v>
      </c>
      <c r="B1357" t="s">
        <v>644</v>
      </c>
      <c r="C1357" t="s">
        <v>5170</v>
      </c>
      <c r="E1357" t="s">
        <v>20339</v>
      </c>
      <c r="F1357" t="s">
        <v>32606</v>
      </c>
      <c r="G1357" t="s">
        <v>32613</v>
      </c>
      <c r="H1357" t="s">
        <v>14201</v>
      </c>
      <c r="I1357" t="s">
        <v>32640</v>
      </c>
      <c r="J1357" t="s">
        <v>33786</v>
      </c>
      <c r="K1357" t="s">
        <v>42624</v>
      </c>
      <c r="M1357" t="s">
        <v>43562</v>
      </c>
      <c r="N1357" t="s">
        <v>47304</v>
      </c>
      <c r="O1357" t="s">
        <v>47305</v>
      </c>
      <c r="P1357">
        <v>0</v>
      </c>
      <c r="Q1357">
        <v>0</v>
      </c>
      <c r="R1357" t="s">
        <v>47307</v>
      </c>
      <c r="S1357" t="s">
        <v>47416</v>
      </c>
      <c r="T1357" t="s">
        <v>49163</v>
      </c>
      <c r="U1357" t="s">
        <v>50773</v>
      </c>
      <c r="W1357" t="s">
        <v>43562</v>
      </c>
      <c r="X1357" t="s">
        <v>47306</v>
      </c>
    </row>
    <row r="1358" spans="1:24">
      <c r="A1358">
        <f>HYPERLINK("https://www.philgeps.gov.ph/GEPSNONPILOT/Tender/SplashBidNoticeAbstractUI.aspx?menuIndex=3&amp;refID=7199085&amp;Result=3","7199085")</f>
        <v>0</v>
      </c>
      <c r="B1358" t="s">
        <v>439</v>
      </c>
      <c r="C1358" t="s">
        <v>5171</v>
      </c>
      <c r="D1358" t="s">
        <v>19054</v>
      </c>
      <c r="E1358" t="s">
        <v>20340</v>
      </c>
      <c r="F1358" t="s">
        <v>32606</v>
      </c>
      <c r="G1358" t="s">
        <v>32619</v>
      </c>
      <c r="H1358" t="s">
        <v>14201</v>
      </c>
      <c r="I1358" t="s">
        <v>9008</v>
      </c>
      <c r="J1358" t="s">
        <v>33787</v>
      </c>
      <c r="K1358" t="s">
        <v>42631</v>
      </c>
      <c r="M1358" t="s">
        <v>43346</v>
      </c>
      <c r="N1358" t="s">
        <v>47304</v>
      </c>
      <c r="O1358" t="s">
        <v>47305</v>
      </c>
      <c r="P1358">
        <v>0</v>
      </c>
      <c r="Q1358">
        <v>0</v>
      </c>
      <c r="R1358" t="s">
        <v>47307</v>
      </c>
      <c r="S1358" t="s">
        <v>47416</v>
      </c>
      <c r="T1358" t="s">
        <v>48987</v>
      </c>
      <c r="U1358" t="s">
        <v>50774</v>
      </c>
      <c r="W1358" t="s">
        <v>43346</v>
      </c>
      <c r="X1358" t="s">
        <v>47306</v>
      </c>
    </row>
    <row r="1359" spans="1:24">
      <c r="A1359">
        <f>HYPERLINK("https://www.philgeps.gov.ph/GEPSNONPILOT/Tender/SplashBidNoticeAbstractUI.aspx?menuIndex=3&amp;refID=7199077&amp;Result=3","7199077")</f>
        <v>0</v>
      </c>
      <c r="B1359" t="s">
        <v>633</v>
      </c>
      <c r="C1359" t="s">
        <v>5172</v>
      </c>
      <c r="D1359" t="s">
        <v>18995</v>
      </c>
      <c r="E1359" t="s">
        <v>20341</v>
      </c>
      <c r="F1359" t="s">
        <v>32606</v>
      </c>
      <c r="G1359" t="s">
        <v>32614</v>
      </c>
      <c r="H1359" t="s">
        <v>14201</v>
      </c>
      <c r="I1359" t="s">
        <v>6478</v>
      </c>
      <c r="J1359" t="s">
        <v>32789</v>
      </c>
      <c r="K1359" t="s">
        <v>42623</v>
      </c>
      <c r="M1359" t="s">
        <v>43551</v>
      </c>
      <c r="N1359" t="s">
        <v>47304</v>
      </c>
      <c r="O1359" t="s">
        <v>47305</v>
      </c>
      <c r="P1359">
        <v>0</v>
      </c>
      <c r="Q1359">
        <v>0</v>
      </c>
      <c r="R1359" t="s">
        <v>47307</v>
      </c>
      <c r="S1359" t="s">
        <v>47416</v>
      </c>
      <c r="T1359" t="s">
        <v>49028</v>
      </c>
      <c r="U1359" t="s">
        <v>50775</v>
      </c>
      <c r="W1359" t="s">
        <v>43551</v>
      </c>
      <c r="X1359" t="s">
        <v>47306</v>
      </c>
    </row>
    <row r="1360" spans="1:24">
      <c r="A1360">
        <f>HYPERLINK("https://www.philgeps.gov.ph/GEPSNONPILOT/Tender/SplashBidNoticeAbstractUI.aspx?menuIndex=3&amp;refID=7199083&amp;Result=3","7199083")</f>
        <v>0</v>
      </c>
      <c r="B1360" t="s">
        <v>671</v>
      </c>
      <c r="C1360" t="s">
        <v>5173</v>
      </c>
      <c r="D1360" t="s">
        <v>18993</v>
      </c>
      <c r="E1360" t="s">
        <v>20342</v>
      </c>
      <c r="F1360" t="s">
        <v>32606</v>
      </c>
      <c r="G1360" t="s">
        <v>32614</v>
      </c>
      <c r="H1360" t="s">
        <v>14201</v>
      </c>
      <c r="I1360" t="s">
        <v>32640</v>
      </c>
      <c r="J1360" t="s">
        <v>33788</v>
      </c>
      <c r="K1360" t="s">
        <v>42624</v>
      </c>
      <c r="M1360" t="s">
        <v>43591</v>
      </c>
      <c r="N1360" t="s">
        <v>47304</v>
      </c>
      <c r="O1360" t="s">
        <v>47305</v>
      </c>
      <c r="P1360">
        <v>0</v>
      </c>
      <c r="Q1360">
        <v>0</v>
      </c>
      <c r="R1360" t="s">
        <v>47307</v>
      </c>
      <c r="S1360" t="s">
        <v>47416</v>
      </c>
      <c r="T1360" t="s">
        <v>49108</v>
      </c>
      <c r="U1360" t="s">
        <v>50716</v>
      </c>
      <c r="W1360" t="s">
        <v>43591</v>
      </c>
      <c r="X1360" t="s">
        <v>47306</v>
      </c>
    </row>
    <row r="1361" spans="1:24">
      <c r="A1361">
        <f>HYPERLINK("https://www.philgeps.gov.ph/GEPSNONPILOT/Tender/SplashBidNoticeAbstractUI.aspx?menuIndex=3&amp;refID=7199060&amp;Result=3","7199060")</f>
        <v>0</v>
      </c>
      <c r="B1361" t="s">
        <v>698</v>
      </c>
      <c r="C1361" t="s">
        <v>5174</v>
      </c>
      <c r="D1361" t="s">
        <v>19040</v>
      </c>
      <c r="E1361" t="s">
        <v>20343</v>
      </c>
      <c r="F1361" t="s">
        <v>32606</v>
      </c>
      <c r="G1361" t="s">
        <v>32614</v>
      </c>
      <c r="H1361" t="s">
        <v>14201</v>
      </c>
      <c r="I1361" t="s">
        <v>6931</v>
      </c>
      <c r="J1361" t="s">
        <v>33789</v>
      </c>
      <c r="K1361" t="s">
        <v>42663</v>
      </c>
      <c r="M1361" t="s">
        <v>43619</v>
      </c>
      <c r="N1361" t="s">
        <v>47304</v>
      </c>
      <c r="O1361" t="s">
        <v>47305</v>
      </c>
      <c r="P1361">
        <v>0</v>
      </c>
      <c r="Q1361">
        <v>0</v>
      </c>
      <c r="R1361" t="s">
        <v>47307</v>
      </c>
      <c r="S1361" t="s">
        <v>47416</v>
      </c>
      <c r="T1361" t="s">
        <v>48988</v>
      </c>
      <c r="U1361" t="s">
        <v>50776</v>
      </c>
      <c r="W1361" t="s">
        <v>43619</v>
      </c>
      <c r="X1361" t="s">
        <v>47306</v>
      </c>
    </row>
    <row r="1362" spans="1:24">
      <c r="A1362">
        <f>HYPERLINK("https://www.philgeps.gov.ph/GEPSNONPILOT/Tender/SplashBidNoticeAbstractUI.aspx?menuIndex=3&amp;refID=7199058&amp;Result=3","7199058")</f>
        <v>0</v>
      </c>
      <c r="B1362" t="s">
        <v>699</v>
      </c>
      <c r="C1362" t="s">
        <v>4329</v>
      </c>
      <c r="D1362" t="s">
        <v>19019</v>
      </c>
      <c r="E1362" t="s">
        <v>19530</v>
      </c>
      <c r="F1362" t="s">
        <v>32606</v>
      </c>
      <c r="G1362" t="s">
        <v>32619</v>
      </c>
      <c r="H1362" t="s">
        <v>14201</v>
      </c>
      <c r="I1362" t="s">
        <v>6298</v>
      </c>
      <c r="J1362" t="s">
        <v>33790</v>
      </c>
      <c r="K1362" t="s">
        <v>42625</v>
      </c>
      <c r="M1362" t="s">
        <v>43620</v>
      </c>
      <c r="N1362" t="s">
        <v>47304</v>
      </c>
      <c r="O1362" t="s">
        <v>47305</v>
      </c>
      <c r="P1362">
        <v>0</v>
      </c>
      <c r="Q1362">
        <v>0</v>
      </c>
      <c r="R1362" t="s">
        <v>47307</v>
      </c>
      <c r="S1362" t="s">
        <v>47416</v>
      </c>
      <c r="T1362" t="s">
        <v>48997</v>
      </c>
      <c r="U1362" t="s">
        <v>50777</v>
      </c>
      <c r="V1362" t="s">
        <v>62704</v>
      </c>
      <c r="W1362" t="s">
        <v>43620</v>
      </c>
      <c r="X1362" t="s">
        <v>47306</v>
      </c>
    </row>
    <row r="1363" spans="1:24">
      <c r="A1363">
        <f>HYPERLINK("https://www.philgeps.gov.ph/GEPSNONPILOT/Tender/SplashBidNoticeAbstractUI.aspx?menuIndex=3&amp;refID=7199078&amp;Result=3","7199078")</f>
        <v>0</v>
      </c>
      <c r="B1363" t="s">
        <v>700</v>
      </c>
      <c r="C1363" t="s">
        <v>5175</v>
      </c>
      <c r="D1363" t="s">
        <v>19054</v>
      </c>
      <c r="E1363" t="s">
        <v>20344</v>
      </c>
      <c r="F1363" t="s">
        <v>32606</v>
      </c>
      <c r="G1363" t="s">
        <v>32614</v>
      </c>
      <c r="H1363" t="s">
        <v>14201</v>
      </c>
      <c r="I1363" t="s">
        <v>32629</v>
      </c>
      <c r="J1363" t="s">
        <v>33791</v>
      </c>
      <c r="K1363" t="s">
        <v>42630</v>
      </c>
      <c r="M1363" t="s">
        <v>43621</v>
      </c>
      <c r="N1363" t="s">
        <v>47304</v>
      </c>
      <c r="O1363" t="s">
        <v>47305</v>
      </c>
      <c r="P1363">
        <v>0</v>
      </c>
      <c r="Q1363">
        <v>0</v>
      </c>
      <c r="R1363" t="s">
        <v>47307</v>
      </c>
      <c r="S1363" t="s">
        <v>47416</v>
      </c>
      <c r="T1363" t="s">
        <v>49087</v>
      </c>
      <c r="U1363" t="s">
        <v>50778</v>
      </c>
      <c r="W1363" t="s">
        <v>43621</v>
      </c>
      <c r="X1363" t="s">
        <v>47306</v>
      </c>
    </row>
    <row r="1364" spans="1:24">
      <c r="A1364">
        <f>HYPERLINK("https://www.philgeps.gov.ph/GEPSNONPILOT/Tender/SplashBidNoticeAbstractUI.aspx?menuIndex=3&amp;refID=7199094&amp;Result=3","7199094")</f>
        <v>0</v>
      </c>
      <c r="B1364" t="s">
        <v>540</v>
      </c>
      <c r="C1364" t="s">
        <v>5176</v>
      </c>
      <c r="D1364" t="s">
        <v>19001</v>
      </c>
      <c r="E1364" t="s">
        <v>20345</v>
      </c>
      <c r="F1364" t="s">
        <v>32606</v>
      </c>
      <c r="G1364" t="s">
        <v>32614</v>
      </c>
      <c r="H1364" t="s">
        <v>14201</v>
      </c>
      <c r="I1364" t="s">
        <v>32666</v>
      </c>
      <c r="J1364" t="s">
        <v>33792</v>
      </c>
      <c r="K1364" t="s">
        <v>42688</v>
      </c>
      <c r="M1364" t="s">
        <v>43454</v>
      </c>
      <c r="N1364" t="s">
        <v>47304</v>
      </c>
      <c r="O1364" t="s">
        <v>47305</v>
      </c>
      <c r="P1364">
        <v>0</v>
      </c>
      <c r="Q1364">
        <v>0</v>
      </c>
      <c r="R1364" t="s">
        <v>47307</v>
      </c>
      <c r="S1364" t="s">
        <v>47416</v>
      </c>
      <c r="T1364" t="s">
        <v>48986</v>
      </c>
      <c r="U1364" t="s">
        <v>50779</v>
      </c>
      <c r="W1364" t="s">
        <v>43454</v>
      </c>
      <c r="X1364" t="s">
        <v>47306</v>
      </c>
    </row>
    <row r="1365" spans="1:24">
      <c r="A1365">
        <f>HYPERLINK("https://www.philgeps.gov.ph/GEPSNONPILOT/Tender/SplashBidNoticeAbstractUI.aspx?menuIndex=3&amp;refID=7199088&amp;Result=3","7199088")</f>
        <v>0</v>
      </c>
      <c r="B1365" t="s">
        <v>594</v>
      </c>
      <c r="C1365" t="s">
        <v>5177</v>
      </c>
      <c r="D1365" t="s">
        <v>19040</v>
      </c>
      <c r="E1365" t="s">
        <v>20346</v>
      </c>
      <c r="F1365" t="s">
        <v>32606</v>
      </c>
      <c r="G1365" t="s">
        <v>32614</v>
      </c>
      <c r="H1365" t="s">
        <v>14201</v>
      </c>
      <c r="I1365" t="s">
        <v>7233</v>
      </c>
      <c r="J1365" t="s">
        <v>33793</v>
      </c>
      <c r="K1365" t="s">
        <v>42623</v>
      </c>
      <c r="M1365" t="s">
        <v>43523</v>
      </c>
      <c r="N1365" t="s">
        <v>47304</v>
      </c>
      <c r="O1365" t="s">
        <v>47305</v>
      </c>
      <c r="P1365">
        <v>0</v>
      </c>
      <c r="Q1365">
        <v>0</v>
      </c>
      <c r="R1365" t="s">
        <v>47307</v>
      </c>
      <c r="S1365" t="s">
        <v>47416</v>
      </c>
      <c r="T1365" t="s">
        <v>49041</v>
      </c>
      <c r="U1365" t="s">
        <v>50780</v>
      </c>
      <c r="W1365" t="s">
        <v>43523</v>
      </c>
      <c r="X1365" t="s">
        <v>47306</v>
      </c>
    </row>
    <row r="1366" spans="1:24">
      <c r="A1366">
        <f>HYPERLINK("https://www.philgeps.gov.ph/GEPSNONPILOT/Tender/SplashBidNoticeAbstractUI.aspx?menuIndex=3&amp;refID=7199053&amp;Result=3","7199053")</f>
        <v>0</v>
      </c>
      <c r="B1366" t="s">
        <v>701</v>
      </c>
      <c r="C1366" t="s">
        <v>5178</v>
      </c>
      <c r="D1366" t="s">
        <v>19015</v>
      </c>
      <c r="E1366" t="s">
        <v>20347</v>
      </c>
      <c r="F1366" t="s">
        <v>32606</v>
      </c>
      <c r="G1366" t="s">
        <v>32614</v>
      </c>
      <c r="H1366" t="s">
        <v>14201</v>
      </c>
      <c r="I1366" t="s">
        <v>32650</v>
      </c>
      <c r="J1366" t="s">
        <v>33794</v>
      </c>
      <c r="K1366" t="s">
        <v>42632</v>
      </c>
      <c r="M1366" t="s">
        <v>43622</v>
      </c>
      <c r="N1366" t="s">
        <v>47304</v>
      </c>
      <c r="O1366" t="s">
        <v>47305</v>
      </c>
      <c r="P1366">
        <v>0</v>
      </c>
      <c r="Q1366">
        <v>0</v>
      </c>
      <c r="R1366" t="s">
        <v>47307</v>
      </c>
      <c r="S1366" t="s">
        <v>47416</v>
      </c>
      <c r="T1366" t="s">
        <v>48972</v>
      </c>
      <c r="U1366" t="s">
        <v>50781</v>
      </c>
      <c r="W1366" t="s">
        <v>43622</v>
      </c>
      <c r="X1366" t="s">
        <v>47306</v>
      </c>
    </row>
    <row r="1367" spans="1:24">
      <c r="A1367">
        <f>HYPERLINK("https://www.philgeps.gov.ph/GEPSNONPILOT/Tender/SplashBidNoticeAbstractUI.aspx?menuIndex=3&amp;refID=7199032&amp;Result=3","7199032")</f>
        <v>0</v>
      </c>
      <c r="B1367" t="s">
        <v>540</v>
      </c>
      <c r="C1367" t="s">
        <v>5179</v>
      </c>
      <c r="D1367" t="s">
        <v>19001</v>
      </c>
      <c r="E1367" t="s">
        <v>20348</v>
      </c>
      <c r="F1367" t="s">
        <v>32606</v>
      </c>
      <c r="G1367" t="s">
        <v>32614</v>
      </c>
      <c r="H1367" t="s">
        <v>14201</v>
      </c>
      <c r="I1367" t="s">
        <v>32629</v>
      </c>
      <c r="J1367" t="s">
        <v>33795</v>
      </c>
      <c r="K1367" t="s">
        <v>42622</v>
      </c>
      <c r="M1367" t="s">
        <v>43460</v>
      </c>
      <c r="N1367" t="s">
        <v>47304</v>
      </c>
      <c r="O1367" t="s">
        <v>47305</v>
      </c>
      <c r="P1367">
        <v>0</v>
      </c>
      <c r="Q1367">
        <v>0</v>
      </c>
      <c r="R1367" t="s">
        <v>47307</v>
      </c>
      <c r="S1367" t="s">
        <v>47416</v>
      </c>
      <c r="T1367" t="s">
        <v>48986</v>
      </c>
      <c r="U1367" t="s">
        <v>50782</v>
      </c>
      <c r="W1367" t="s">
        <v>43460</v>
      </c>
      <c r="X1367" t="s">
        <v>47306</v>
      </c>
    </row>
    <row r="1368" spans="1:24">
      <c r="A1368">
        <f>HYPERLINK("https://www.philgeps.gov.ph/GEPSNONPILOT/Tender/SplashBidNoticeAbstractUI.aspx?menuIndex=3&amp;refID=7199102&amp;Result=3","7199102")</f>
        <v>0</v>
      </c>
      <c r="B1368" t="s">
        <v>702</v>
      </c>
      <c r="C1368" t="s">
        <v>5180</v>
      </c>
      <c r="D1368" t="s">
        <v>19021</v>
      </c>
      <c r="E1368" t="s">
        <v>19315</v>
      </c>
      <c r="F1368" t="s">
        <v>32606</v>
      </c>
      <c r="G1368" t="s">
        <v>32613</v>
      </c>
      <c r="H1368" t="s">
        <v>14201</v>
      </c>
      <c r="I1368" t="s">
        <v>32626</v>
      </c>
      <c r="J1368" t="s">
        <v>33796</v>
      </c>
      <c r="K1368" t="s">
        <v>42630</v>
      </c>
      <c r="M1368" t="s">
        <v>43623</v>
      </c>
      <c r="N1368" t="s">
        <v>47304</v>
      </c>
      <c r="O1368" t="s">
        <v>47305</v>
      </c>
      <c r="P1368">
        <v>0</v>
      </c>
      <c r="Q1368">
        <v>0</v>
      </c>
      <c r="R1368" t="s">
        <v>47307</v>
      </c>
      <c r="S1368" t="s">
        <v>47416</v>
      </c>
      <c r="T1368" t="s">
        <v>49140</v>
      </c>
      <c r="U1368" t="s">
        <v>50783</v>
      </c>
      <c r="W1368" t="s">
        <v>43623</v>
      </c>
      <c r="X1368" t="s">
        <v>47306</v>
      </c>
    </row>
    <row r="1369" spans="1:24">
      <c r="A1369">
        <f>HYPERLINK("https://www.philgeps.gov.ph/GEPSNONPILOT/Tender/SplashBidNoticeAbstractUI.aspx?menuIndex=3&amp;refID=7199128&amp;Result=3","7199128")</f>
        <v>0</v>
      </c>
      <c r="B1369" t="s">
        <v>581</v>
      </c>
      <c r="C1369" t="s">
        <v>5181</v>
      </c>
      <c r="D1369" t="s">
        <v>19036</v>
      </c>
      <c r="E1369" t="s">
        <v>20349</v>
      </c>
      <c r="F1369" t="s">
        <v>32606</v>
      </c>
      <c r="G1369" t="s">
        <v>32613</v>
      </c>
      <c r="H1369" t="s">
        <v>32623</v>
      </c>
      <c r="I1369" t="s">
        <v>17648</v>
      </c>
      <c r="J1369" t="s">
        <v>33797</v>
      </c>
      <c r="K1369" t="s">
        <v>42701</v>
      </c>
      <c r="M1369" t="s">
        <v>43496</v>
      </c>
      <c r="N1369" t="s">
        <v>47304</v>
      </c>
      <c r="O1369" t="s">
        <v>47305</v>
      </c>
      <c r="P1369">
        <v>0</v>
      </c>
      <c r="Q1369">
        <v>0</v>
      </c>
      <c r="R1369" t="s">
        <v>47307</v>
      </c>
      <c r="S1369" t="s">
        <v>47416</v>
      </c>
      <c r="T1369" t="s">
        <v>49110</v>
      </c>
      <c r="U1369" t="s">
        <v>50784</v>
      </c>
      <c r="W1369" t="s">
        <v>43496</v>
      </c>
      <c r="X1369" t="s">
        <v>47306</v>
      </c>
    </row>
    <row r="1370" spans="1:24">
      <c r="A1370">
        <f>HYPERLINK("https://www.philgeps.gov.ph/GEPSNONPILOT/Tender/SplashBidNoticeAbstractUI.aspx?menuIndex=3&amp;refID=7199127&amp;Result=3","7199127")</f>
        <v>0</v>
      </c>
      <c r="B1370" t="s">
        <v>210</v>
      </c>
      <c r="C1370" t="s">
        <v>5182</v>
      </c>
      <c r="D1370" t="s">
        <v>18986</v>
      </c>
      <c r="E1370" t="s">
        <v>20350</v>
      </c>
      <c r="F1370" t="s">
        <v>32606</v>
      </c>
      <c r="G1370" t="s">
        <v>32613</v>
      </c>
      <c r="H1370" t="s">
        <v>32623</v>
      </c>
      <c r="I1370" t="s">
        <v>17648</v>
      </c>
      <c r="J1370" t="s">
        <v>33798</v>
      </c>
      <c r="K1370" t="s">
        <v>42627</v>
      </c>
      <c r="M1370" t="s">
        <v>43111</v>
      </c>
      <c r="N1370" t="s">
        <v>47304</v>
      </c>
      <c r="O1370" t="s">
        <v>47305</v>
      </c>
      <c r="P1370">
        <v>0</v>
      </c>
      <c r="Q1370">
        <v>0</v>
      </c>
      <c r="R1370" t="s">
        <v>47307</v>
      </c>
      <c r="S1370" t="s">
        <v>47416</v>
      </c>
      <c r="T1370" t="s">
        <v>48971</v>
      </c>
      <c r="U1370" t="s">
        <v>50785</v>
      </c>
      <c r="W1370" t="s">
        <v>43111</v>
      </c>
      <c r="X1370" t="s">
        <v>47306</v>
      </c>
    </row>
    <row r="1371" spans="1:24">
      <c r="A1371">
        <f>HYPERLINK("https://www.philgeps.gov.ph/GEPSNONPILOT/Tender/SplashBidNoticeAbstractUI.aspx?menuIndex=3&amp;refID=7199122&amp;Result=3","7199122")</f>
        <v>0</v>
      </c>
      <c r="B1371" t="s">
        <v>612</v>
      </c>
      <c r="C1371" t="s">
        <v>5183</v>
      </c>
      <c r="D1371" t="s">
        <v>18993</v>
      </c>
      <c r="E1371" t="s">
        <v>19786</v>
      </c>
      <c r="F1371" t="s">
        <v>32606</v>
      </c>
      <c r="G1371" t="s">
        <v>32613</v>
      </c>
      <c r="H1371" t="s">
        <v>14201</v>
      </c>
      <c r="I1371" t="s">
        <v>6298</v>
      </c>
      <c r="J1371" t="s">
        <v>33799</v>
      </c>
      <c r="K1371" t="s">
        <v>42631</v>
      </c>
      <c r="M1371" t="s">
        <v>43530</v>
      </c>
      <c r="N1371" t="s">
        <v>47304</v>
      </c>
      <c r="O1371" t="s">
        <v>47305</v>
      </c>
      <c r="P1371">
        <v>0</v>
      </c>
      <c r="Q1371">
        <v>0</v>
      </c>
      <c r="R1371" t="s">
        <v>47307</v>
      </c>
      <c r="S1371" t="s">
        <v>47416</v>
      </c>
      <c r="T1371" t="s">
        <v>49157</v>
      </c>
      <c r="U1371" t="s">
        <v>50786</v>
      </c>
      <c r="W1371" t="s">
        <v>43530</v>
      </c>
      <c r="X1371" t="s">
        <v>47306</v>
      </c>
    </row>
    <row r="1372" spans="1:24">
      <c r="A1372">
        <f>HYPERLINK("https://www.philgeps.gov.ph/GEPSNONPILOT/Tender/SplashBidNoticeAbstractUI.aspx?menuIndex=3&amp;refID=7199057&amp;Result=3","7199057")</f>
        <v>0</v>
      </c>
      <c r="B1372" t="s">
        <v>703</v>
      </c>
      <c r="C1372" t="s">
        <v>5184</v>
      </c>
      <c r="D1372" t="s">
        <v>18992</v>
      </c>
      <c r="E1372" t="s">
        <v>20351</v>
      </c>
      <c r="F1372" t="s">
        <v>32606</v>
      </c>
      <c r="G1372" t="s">
        <v>32613</v>
      </c>
      <c r="H1372" t="s">
        <v>14201</v>
      </c>
      <c r="I1372" t="s">
        <v>4120</v>
      </c>
      <c r="J1372" t="s">
        <v>33800</v>
      </c>
      <c r="K1372" t="s">
        <v>42631</v>
      </c>
      <c r="M1372" t="s">
        <v>43624</v>
      </c>
      <c r="N1372" t="s">
        <v>47304</v>
      </c>
      <c r="O1372" t="s">
        <v>47305</v>
      </c>
      <c r="P1372">
        <v>0</v>
      </c>
      <c r="Q1372">
        <v>0</v>
      </c>
      <c r="R1372" t="s">
        <v>47307</v>
      </c>
      <c r="S1372" t="s">
        <v>47416</v>
      </c>
      <c r="T1372" t="s">
        <v>49172</v>
      </c>
      <c r="U1372" t="s">
        <v>50787</v>
      </c>
      <c r="V1372" t="s">
        <v>62805</v>
      </c>
      <c r="W1372" t="s">
        <v>43624</v>
      </c>
      <c r="X1372" t="s">
        <v>47306</v>
      </c>
    </row>
    <row r="1373" spans="1:24">
      <c r="A1373">
        <f>HYPERLINK("https://www.philgeps.gov.ph/GEPSNONPILOT/Tender/SplashBidNoticeAbstractUI.aspx?menuIndex=3&amp;refID=7199121&amp;Result=3","7199121")</f>
        <v>0</v>
      </c>
      <c r="B1373" t="s">
        <v>685</v>
      </c>
      <c r="C1373" t="s">
        <v>5185</v>
      </c>
      <c r="D1373" t="s">
        <v>19040</v>
      </c>
      <c r="E1373" t="s">
        <v>20352</v>
      </c>
      <c r="F1373" t="s">
        <v>32606</v>
      </c>
      <c r="G1373" t="s">
        <v>32613</v>
      </c>
      <c r="H1373" t="s">
        <v>32623</v>
      </c>
      <c r="I1373" t="s">
        <v>17648</v>
      </c>
      <c r="J1373" t="s">
        <v>33801</v>
      </c>
      <c r="K1373" t="s">
        <v>42635</v>
      </c>
      <c r="M1373" t="s">
        <v>43606</v>
      </c>
      <c r="N1373" t="s">
        <v>47304</v>
      </c>
      <c r="O1373" t="s">
        <v>47305</v>
      </c>
      <c r="P1373">
        <v>0</v>
      </c>
      <c r="Q1373">
        <v>0</v>
      </c>
      <c r="R1373" t="s">
        <v>47307</v>
      </c>
      <c r="S1373" t="s">
        <v>47416</v>
      </c>
      <c r="T1373" t="s">
        <v>49110</v>
      </c>
      <c r="U1373" t="s">
        <v>50788</v>
      </c>
      <c r="W1373" t="s">
        <v>43606</v>
      </c>
      <c r="X1373" t="s">
        <v>47306</v>
      </c>
    </row>
    <row r="1374" spans="1:24">
      <c r="A1374">
        <f>HYPERLINK("https://www.philgeps.gov.ph/GEPSNONPILOT/Tender/SplashBidNoticeAbstractUI.aspx?menuIndex=3&amp;refID=7199059&amp;Result=3","7199059")</f>
        <v>0</v>
      </c>
      <c r="B1374" t="s">
        <v>340</v>
      </c>
      <c r="C1374" t="s">
        <v>5186</v>
      </c>
      <c r="D1374" t="s">
        <v>19029</v>
      </c>
      <c r="E1374" t="s">
        <v>20353</v>
      </c>
      <c r="F1374" t="s">
        <v>32606</v>
      </c>
      <c r="G1374" t="s">
        <v>32619</v>
      </c>
      <c r="H1374" t="s">
        <v>14201</v>
      </c>
      <c r="I1374" t="s">
        <v>32640</v>
      </c>
      <c r="J1374" t="s">
        <v>32967</v>
      </c>
      <c r="K1374" t="s">
        <v>42624</v>
      </c>
      <c r="M1374" t="s">
        <v>43242</v>
      </c>
      <c r="N1374" t="s">
        <v>47304</v>
      </c>
      <c r="O1374" t="s">
        <v>47305</v>
      </c>
      <c r="P1374">
        <v>0</v>
      </c>
      <c r="Q1374">
        <v>0</v>
      </c>
      <c r="R1374" t="s">
        <v>47307</v>
      </c>
      <c r="S1374" t="s">
        <v>47416</v>
      </c>
      <c r="T1374" t="s">
        <v>49050</v>
      </c>
      <c r="U1374" t="s">
        <v>50789</v>
      </c>
      <c r="V1374" t="s">
        <v>62806</v>
      </c>
      <c r="W1374" t="s">
        <v>43242</v>
      </c>
      <c r="X1374" t="s">
        <v>47306</v>
      </c>
    </row>
    <row r="1375" spans="1:24">
      <c r="A1375">
        <f>HYPERLINK("https://www.philgeps.gov.ph/GEPSNONPILOT/Tender/SplashBidNoticeAbstractUI.aspx?menuIndex=3&amp;refID=7199124&amp;Result=3","7199124")</f>
        <v>0</v>
      </c>
      <c r="B1375" t="s">
        <v>609</v>
      </c>
      <c r="C1375" t="s">
        <v>5187</v>
      </c>
      <c r="D1375" t="s">
        <v>19024</v>
      </c>
      <c r="E1375" t="s">
        <v>20354</v>
      </c>
      <c r="F1375" t="s">
        <v>32606</v>
      </c>
      <c r="G1375" t="s">
        <v>32614</v>
      </c>
      <c r="H1375" t="s">
        <v>14201</v>
      </c>
      <c r="I1375" t="s">
        <v>32638</v>
      </c>
      <c r="J1375" t="s">
        <v>33802</v>
      </c>
      <c r="K1375" t="s">
        <v>42624</v>
      </c>
      <c r="M1375" t="s">
        <v>43526</v>
      </c>
      <c r="N1375" t="s">
        <v>47304</v>
      </c>
      <c r="O1375" t="s">
        <v>47305</v>
      </c>
      <c r="P1375">
        <v>0</v>
      </c>
      <c r="Q1375">
        <v>0</v>
      </c>
      <c r="R1375" t="s">
        <v>47307</v>
      </c>
      <c r="S1375" t="s">
        <v>47416</v>
      </c>
      <c r="T1375" t="s">
        <v>48972</v>
      </c>
      <c r="U1375" t="s">
        <v>50790</v>
      </c>
      <c r="W1375" t="s">
        <v>43526</v>
      </c>
      <c r="X1375" t="s">
        <v>47306</v>
      </c>
    </row>
    <row r="1376" spans="1:24">
      <c r="A1376">
        <f>HYPERLINK("https://www.philgeps.gov.ph/GEPSNONPILOT/Tender/SplashBidNoticeAbstractUI.aspx?menuIndex=3&amp;refID=7199080&amp;Result=3","7199080")</f>
        <v>0</v>
      </c>
      <c r="B1376" t="s">
        <v>704</v>
      </c>
      <c r="C1376" t="s">
        <v>5188</v>
      </c>
      <c r="D1376" t="s">
        <v>19031</v>
      </c>
      <c r="E1376" t="s">
        <v>20355</v>
      </c>
      <c r="F1376" t="s">
        <v>32606</v>
      </c>
      <c r="G1376" t="s">
        <v>32619</v>
      </c>
      <c r="H1376" t="s">
        <v>14201</v>
      </c>
      <c r="I1376" t="s">
        <v>6931</v>
      </c>
      <c r="J1376" t="s">
        <v>33803</v>
      </c>
      <c r="K1376" t="s">
        <v>42622</v>
      </c>
      <c r="M1376" t="s">
        <v>43625</v>
      </c>
      <c r="N1376" t="s">
        <v>47304</v>
      </c>
      <c r="O1376" t="s">
        <v>47305</v>
      </c>
      <c r="P1376">
        <v>0</v>
      </c>
      <c r="Q1376">
        <v>0</v>
      </c>
      <c r="R1376" t="s">
        <v>47307</v>
      </c>
      <c r="S1376" t="s">
        <v>47416</v>
      </c>
      <c r="T1376" t="s">
        <v>49062</v>
      </c>
      <c r="U1376" t="s">
        <v>50791</v>
      </c>
      <c r="V1376" t="s">
        <v>62807</v>
      </c>
      <c r="W1376" t="s">
        <v>43625</v>
      </c>
      <c r="X1376" t="s">
        <v>47306</v>
      </c>
    </row>
    <row r="1377" spans="1:24">
      <c r="A1377">
        <f>HYPERLINK("https://www.philgeps.gov.ph/GEPSNONPILOT/Tender/SplashBidNoticeAbstractUI.aspx?menuIndex=3&amp;refID=7199116&amp;Result=3","7199116")</f>
        <v>0</v>
      </c>
      <c r="B1377" t="s">
        <v>584</v>
      </c>
      <c r="C1377" t="s">
        <v>5189</v>
      </c>
      <c r="D1377" t="s">
        <v>18993</v>
      </c>
      <c r="E1377" t="s">
        <v>20356</v>
      </c>
      <c r="F1377" t="s">
        <v>32606</v>
      </c>
      <c r="G1377" t="s">
        <v>32619</v>
      </c>
      <c r="H1377" t="s">
        <v>14201</v>
      </c>
      <c r="I1377" t="s">
        <v>32633</v>
      </c>
      <c r="J1377" t="s">
        <v>33038</v>
      </c>
      <c r="K1377" t="s">
        <v>42630</v>
      </c>
      <c r="M1377" t="s">
        <v>43499</v>
      </c>
      <c r="N1377" t="s">
        <v>47304</v>
      </c>
      <c r="O1377" t="s">
        <v>47305</v>
      </c>
      <c r="P1377">
        <v>0</v>
      </c>
      <c r="Q1377">
        <v>1</v>
      </c>
      <c r="R1377" t="s">
        <v>47307</v>
      </c>
      <c r="S1377" t="s">
        <v>47416</v>
      </c>
      <c r="T1377" t="s">
        <v>49014</v>
      </c>
      <c r="U1377" t="s">
        <v>50792</v>
      </c>
      <c r="V1377" t="s">
        <v>62782</v>
      </c>
      <c r="W1377" t="s">
        <v>43499</v>
      </c>
      <c r="X1377" t="s">
        <v>47306</v>
      </c>
    </row>
    <row r="1378" spans="1:24">
      <c r="A1378">
        <f>HYPERLINK("https://www.philgeps.gov.ph/GEPSNONPILOT/Tender/SplashBidNoticeAbstractUI.aspx?menuIndex=3&amp;refID=7199115&amp;Result=3","7199115")</f>
        <v>0</v>
      </c>
      <c r="B1378" t="s">
        <v>671</v>
      </c>
      <c r="C1378" t="s">
        <v>5190</v>
      </c>
      <c r="D1378" t="s">
        <v>18993</v>
      </c>
      <c r="E1378" t="s">
        <v>20357</v>
      </c>
      <c r="F1378" t="s">
        <v>32606</v>
      </c>
      <c r="G1378" t="s">
        <v>32614</v>
      </c>
      <c r="H1378" t="s">
        <v>14201</v>
      </c>
      <c r="I1378" t="s">
        <v>32675</v>
      </c>
      <c r="J1378" t="s">
        <v>33189</v>
      </c>
      <c r="K1378" t="s">
        <v>42624</v>
      </c>
      <c r="M1378" t="s">
        <v>43591</v>
      </c>
      <c r="N1378" t="s">
        <v>47304</v>
      </c>
      <c r="O1378" t="s">
        <v>47305</v>
      </c>
      <c r="P1378">
        <v>0</v>
      </c>
      <c r="Q1378">
        <v>0</v>
      </c>
      <c r="R1378" t="s">
        <v>47307</v>
      </c>
      <c r="S1378" t="s">
        <v>47416</v>
      </c>
      <c r="T1378" t="s">
        <v>49108</v>
      </c>
      <c r="U1378" t="s">
        <v>50716</v>
      </c>
      <c r="W1378" t="s">
        <v>43591</v>
      </c>
      <c r="X1378" t="s">
        <v>47306</v>
      </c>
    </row>
    <row r="1379" spans="1:24">
      <c r="A1379">
        <f>HYPERLINK("https://www.philgeps.gov.ph/GEPSNONPILOT/Tender/SplashBidNoticeAbstractUI.aspx?menuIndex=3&amp;refID=7199056&amp;Result=3","7199056")</f>
        <v>0</v>
      </c>
      <c r="B1379" t="s">
        <v>662</v>
      </c>
      <c r="C1379" t="s">
        <v>5191</v>
      </c>
      <c r="D1379" t="s">
        <v>19023</v>
      </c>
      <c r="E1379" t="s">
        <v>20358</v>
      </c>
      <c r="F1379" t="s">
        <v>32606</v>
      </c>
      <c r="G1379" t="s">
        <v>32613</v>
      </c>
      <c r="H1379" t="s">
        <v>14201</v>
      </c>
      <c r="I1379" t="s">
        <v>7064</v>
      </c>
      <c r="J1379" t="s">
        <v>33804</v>
      </c>
      <c r="K1379" t="s">
        <v>42648</v>
      </c>
      <c r="M1379" t="s">
        <v>43582</v>
      </c>
      <c r="N1379" t="s">
        <v>47304</v>
      </c>
      <c r="O1379" t="s">
        <v>47305</v>
      </c>
      <c r="P1379">
        <v>0</v>
      </c>
      <c r="Q1379">
        <v>1</v>
      </c>
      <c r="R1379" t="s">
        <v>47307</v>
      </c>
      <c r="S1379" t="s">
        <v>47416</v>
      </c>
      <c r="T1379" t="s">
        <v>48995</v>
      </c>
      <c r="U1379" t="s">
        <v>50793</v>
      </c>
      <c r="W1379" t="s">
        <v>43582</v>
      </c>
      <c r="X1379" t="s">
        <v>47306</v>
      </c>
    </row>
    <row r="1380" spans="1:24">
      <c r="A1380">
        <f>HYPERLINK("https://www.philgeps.gov.ph/GEPSNONPILOT/Tender/SplashBidNoticeAbstractUI.aspx?menuIndex=3&amp;refID=7199114&amp;Result=3","7199114")</f>
        <v>0</v>
      </c>
      <c r="B1380" t="s">
        <v>682</v>
      </c>
      <c r="C1380" t="s">
        <v>5192</v>
      </c>
      <c r="D1380" t="s">
        <v>19039</v>
      </c>
      <c r="E1380" t="s">
        <v>20359</v>
      </c>
      <c r="F1380" t="s">
        <v>32606</v>
      </c>
      <c r="G1380" t="s">
        <v>32614</v>
      </c>
      <c r="H1380" t="s">
        <v>14201</v>
      </c>
      <c r="I1380" t="s">
        <v>32638</v>
      </c>
      <c r="J1380" t="s">
        <v>33529</v>
      </c>
      <c r="K1380" t="s">
        <v>42648</v>
      </c>
      <c r="M1380" t="s">
        <v>43602</v>
      </c>
      <c r="N1380" t="s">
        <v>47304</v>
      </c>
      <c r="O1380" t="s">
        <v>47305</v>
      </c>
      <c r="P1380">
        <v>0</v>
      </c>
      <c r="Q1380">
        <v>0</v>
      </c>
      <c r="R1380" t="s">
        <v>47307</v>
      </c>
      <c r="S1380" t="s">
        <v>47416</v>
      </c>
      <c r="T1380" t="s">
        <v>49023</v>
      </c>
      <c r="U1380" t="s">
        <v>50794</v>
      </c>
      <c r="W1380" t="s">
        <v>43602</v>
      </c>
      <c r="X1380" t="s">
        <v>47306</v>
      </c>
    </row>
    <row r="1381" spans="1:24">
      <c r="A1381">
        <f>HYPERLINK("https://www.philgeps.gov.ph/GEPSNONPILOT/Tender/SplashBidNoticeAbstractUI.aspx?menuIndex=3&amp;refID=7199113&amp;Result=3","7199113")</f>
        <v>0</v>
      </c>
      <c r="B1381" t="s">
        <v>645</v>
      </c>
      <c r="C1381" t="s">
        <v>5193</v>
      </c>
      <c r="D1381" t="s">
        <v>18988</v>
      </c>
      <c r="E1381" t="s">
        <v>20360</v>
      </c>
      <c r="F1381" t="s">
        <v>32606</v>
      </c>
      <c r="G1381" t="s">
        <v>32614</v>
      </c>
      <c r="H1381" t="s">
        <v>14201</v>
      </c>
      <c r="I1381" t="s">
        <v>6298</v>
      </c>
      <c r="J1381" t="s">
        <v>33805</v>
      </c>
      <c r="K1381" t="s">
        <v>42703</v>
      </c>
      <c r="M1381" t="s">
        <v>43563</v>
      </c>
      <c r="N1381" t="s">
        <v>47304</v>
      </c>
      <c r="O1381" t="s">
        <v>47305</v>
      </c>
      <c r="P1381">
        <v>0</v>
      </c>
      <c r="Q1381">
        <v>0</v>
      </c>
      <c r="R1381" t="s">
        <v>47307</v>
      </c>
      <c r="S1381" t="s">
        <v>47416</v>
      </c>
      <c r="T1381" t="s">
        <v>49015</v>
      </c>
      <c r="U1381" t="s">
        <v>50795</v>
      </c>
      <c r="W1381" t="s">
        <v>43563</v>
      </c>
      <c r="X1381" t="s">
        <v>47306</v>
      </c>
    </row>
    <row r="1382" spans="1:24">
      <c r="A1382">
        <f>HYPERLINK("https://www.philgeps.gov.ph/GEPSNONPILOT/Tender/SplashBidNoticeAbstractUI.aspx?menuIndex=3&amp;refID=7199120&amp;Result=3","7199120")</f>
        <v>0</v>
      </c>
      <c r="B1382" t="s">
        <v>575</v>
      </c>
      <c r="C1382" t="s">
        <v>5194</v>
      </c>
      <c r="D1382" t="s">
        <v>19036</v>
      </c>
      <c r="E1382" t="s">
        <v>20361</v>
      </c>
      <c r="F1382" t="s">
        <v>32606</v>
      </c>
      <c r="G1382" t="s">
        <v>32613</v>
      </c>
      <c r="H1382" t="s">
        <v>14201</v>
      </c>
      <c r="I1382" t="s">
        <v>7064</v>
      </c>
      <c r="J1382" t="s">
        <v>32893</v>
      </c>
      <c r="K1382" t="s">
        <v>42622</v>
      </c>
      <c r="M1382" t="s">
        <v>43490</v>
      </c>
      <c r="N1382" t="s">
        <v>47304</v>
      </c>
      <c r="O1382" t="s">
        <v>47305</v>
      </c>
      <c r="P1382">
        <v>0</v>
      </c>
      <c r="Q1382">
        <v>2</v>
      </c>
      <c r="R1382" t="s">
        <v>47307</v>
      </c>
      <c r="S1382" t="s">
        <v>47416</v>
      </c>
      <c r="T1382" t="s">
        <v>49153</v>
      </c>
      <c r="U1382" t="s">
        <v>50796</v>
      </c>
      <c r="W1382" t="s">
        <v>43490</v>
      </c>
      <c r="X1382" t="s">
        <v>47306</v>
      </c>
    </row>
    <row r="1383" spans="1:24">
      <c r="A1383">
        <f>HYPERLINK("https://www.philgeps.gov.ph/GEPSNONPILOT/Tender/SplashBidNoticeAbstractUI.aspx?menuIndex=3&amp;refID=7199154&amp;Result=3","7199154")</f>
        <v>0</v>
      </c>
      <c r="B1383" t="s">
        <v>184</v>
      </c>
      <c r="C1383" t="s">
        <v>5195</v>
      </c>
      <c r="D1383" t="s">
        <v>19042</v>
      </c>
      <c r="E1383" t="s">
        <v>20362</v>
      </c>
      <c r="F1383" t="s">
        <v>32606</v>
      </c>
      <c r="G1383" t="s">
        <v>32619</v>
      </c>
      <c r="H1383" t="s">
        <v>14201</v>
      </c>
      <c r="I1383" t="s">
        <v>32652</v>
      </c>
      <c r="J1383" t="s">
        <v>32781</v>
      </c>
      <c r="K1383" t="s">
        <v>42622</v>
      </c>
      <c r="M1383" t="s">
        <v>43085</v>
      </c>
      <c r="N1383" t="s">
        <v>47304</v>
      </c>
      <c r="O1383" t="s">
        <v>47305</v>
      </c>
      <c r="P1383">
        <v>0</v>
      </c>
      <c r="Q1383">
        <v>0</v>
      </c>
      <c r="R1383" t="s">
        <v>47307</v>
      </c>
      <c r="S1383" t="s">
        <v>47416</v>
      </c>
      <c r="T1383" t="s">
        <v>48980</v>
      </c>
      <c r="U1383" t="s">
        <v>50797</v>
      </c>
      <c r="V1383" t="s">
        <v>62689</v>
      </c>
      <c r="W1383" t="s">
        <v>43085</v>
      </c>
      <c r="X1383" t="s">
        <v>47306</v>
      </c>
    </row>
    <row r="1384" spans="1:24">
      <c r="A1384">
        <f>HYPERLINK("https://www.philgeps.gov.ph/GEPSNONPILOT/Tender/SplashBidNoticeAbstractUI.aspx?menuIndex=3&amp;refID=7199119&amp;Result=3","7199119")</f>
        <v>0</v>
      </c>
      <c r="B1384" t="s">
        <v>439</v>
      </c>
      <c r="C1384" t="s">
        <v>5196</v>
      </c>
      <c r="D1384" t="s">
        <v>19054</v>
      </c>
      <c r="E1384" t="s">
        <v>20363</v>
      </c>
      <c r="F1384" t="s">
        <v>32606</v>
      </c>
      <c r="G1384" t="s">
        <v>32614</v>
      </c>
      <c r="H1384" t="s">
        <v>14201</v>
      </c>
      <c r="I1384" t="s">
        <v>6298</v>
      </c>
      <c r="J1384" t="s">
        <v>32765</v>
      </c>
      <c r="K1384" t="s">
        <v>42631</v>
      </c>
      <c r="M1384" t="s">
        <v>43346</v>
      </c>
      <c r="N1384" t="s">
        <v>47304</v>
      </c>
      <c r="O1384" t="s">
        <v>47305</v>
      </c>
      <c r="P1384">
        <v>0</v>
      </c>
      <c r="Q1384">
        <v>0</v>
      </c>
      <c r="R1384" t="s">
        <v>47307</v>
      </c>
      <c r="S1384" t="s">
        <v>47416</v>
      </c>
      <c r="T1384" t="s">
        <v>48987</v>
      </c>
      <c r="U1384" t="s">
        <v>50798</v>
      </c>
      <c r="W1384" t="s">
        <v>43346</v>
      </c>
      <c r="X1384" t="s">
        <v>47306</v>
      </c>
    </row>
    <row r="1385" spans="1:24">
      <c r="A1385">
        <f>HYPERLINK("https://www.philgeps.gov.ph/GEPSNONPILOT/Tender/SplashBidNoticeAbstractUI.aspx?menuIndex=3&amp;refID=7199151&amp;Result=3","7199151")</f>
        <v>0</v>
      </c>
      <c r="B1385" t="s">
        <v>540</v>
      </c>
      <c r="C1385" t="s">
        <v>5197</v>
      </c>
      <c r="D1385" t="s">
        <v>19001</v>
      </c>
      <c r="E1385" t="s">
        <v>20364</v>
      </c>
      <c r="F1385" t="s">
        <v>32606</v>
      </c>
      <c r="G1385" t="s">
        <v>32614</v>
      </c>
      <c r="H1385" t="s">
        <v>14201</v>
      </c>
      <c r="I1385" t="s">
        <v>4112</v>
      </c>
      <c r="J1385" t="s">
        <v>33219</v>
      </c>
      <c r="K1385" t="s">
        <v>42622</v>
      </c>
      <c r="M1385" t="s">
        <v>43460</v>
      </c>
      <c r="N1385" t="s">
        <v>47304</v>
      </c>
      <c r="O1385" t="s">
        <v>47305</v>
      </c>
      <c r="P1385">
        <v>0</v>
      </c>
      <c r="Q1385">
        <v>0</v>
      </c>
      <c r="R1385" t="s">
        <v>47307</v>
      </c>
      <c r="S1385" t="s">
        <v>47416</v>
      </c>
      <c r="T1385" t="s">
        <v>48986</v>
      </c>
      <c r="U1385" t="s">
        <v>50799</v>
      </c>
      <c r="W1385" t="s">
        <v>43460</v>
      </c>
      <c r="X1385" t="s">
        <v>47306</v>
      </c>
    </row>
    <row r="1386" spans="1:24">
      <c r="A1386">
        <f>HYPERLINK("https://www.philgeps.gov.ph/GEPSNONPILOT/Tender/SplashBidNoticeAbstractUI.aspx?menuIndex=3&amp;refID=7199149&amp;Result=3","7199149")</f>
        <v>0</v>
      </c>
      <c r="B1386" t="s">
        <v>705</v>
      </c>
      <c r="C1386" t="s">
        <v>5198</v>
      </c>
      <c r="D1386" t="s">
        <v>18989</v>
      </c>
      <c r="E1386" t="s">
        <v>19940</v>
      </c>
      <c r="F1386" t="s">
        <v>32606</v>
      </c>
      <c r="G1386" t="s">
        <v>32614</v>
      </c>
      <c r="H1386" t="s">
        <v>14201</v>
      </c>
      <c r="I1386" t="s">
        <v>4112</v>
      </c>
      <c r="J1386" t="s">
        <v>32951</v>
      </c>
      <c r="K1386" t="s">
        <v>42625</v>
      </c>
      <c r="M1386" t="s">
        <v>43626</v>
      </c>
      <c r="N1386" t="s">
        <v>47304</v>
      </c>
      <c r="O1386" t="s">
        <v>47305</v>
      </c>
      <c r="P1386">
        <v>0</v>
      </c>
      <c r="Q1386">
        <v>0</v>
      </c>
      <c r="R1386" t="s">
        <v>47307</v>
      </c>
      <c r="S1386" t="s">
        <v>47416</v>
      </c>
      <c r="T1386" t="s">
        <v>49131</v>
      </c>
      <c r="U1386" t="s">
        <v>50800</v>
      </c>
      <c r="W1386" t="s">
        <v>43626</v>
      </c>
      <c r="X1386" t="s">
        <v>47306</v>
      </c>
    </row>
    <row r="1387" spans="1:24">
      <c r="A1387">
        <f>HYPERLINK("https://www.philgeps.gov.ph/GEPSNONPILOT/Tender/SplashBidNoticeAbstractUI.aspx?menuIndex=3&amp;refID=7199118&amp;Result=3","7199118")</f>
        <v>0</v>
      </c>
      <c r="B1387" t="s">
        <v>487</v>
      </c>
      <c r="C1387" t="s">
        <v>5199</v>
      </c>
      <c r="D1387" t="s">
        <v>19027</v>
      </c>
      <c r="E1387" t="s">
        <v>20365</v>
      </c>
      <c r="F1387" t="s">
        <v>32606</v>
      </c>
      <c r="G1387" t="s">
        <v>32614</v>
      </c>
      <c r="H1387" t="s">
        <v>14201</v>
      </c>
      <c r="I1387" t="s">
        <v>4678</v>
      </c>
      <c r="J1387" t="s">
        <v>33806</v>
      </c>
      <c r="K1387" t="s">
        <v>42623</v>
      </c>
      <c r="M1387" t="s">
        <v>43399</v>
      </c>
      <c r="N1387" t="s">
        <v>47304</v>
      </c>
      <c r="O1387" t="s">
        <v>47305</v>
      </c>
      <c r="P1387">
        <v>0</v>
      </c>
      <c r="Q1387">
        <v>0</v>
      </c>
      <c r="R1387" t="s">
        <v>47307</v>
      </c>
      <c r="S1387" t="s">
        <v>47416</v>
      </c>
      <c r="T1387" t="s">
        <v>48987</v>
      </c>
      <c r="U1387" t="s">
        <v>50801</v>
      </c>
      <c r="W1387" t="s">
        <v>43399</v>
      </c>
      <c r="X1387" t="s">
        <v>47306</v>
      </c>
    </row>
    <row r="1388" spans="1:24">
      <c r="A1388">
        <f>HYPERLINK("https://www.philgeps.gov.ph/GEPSNONPILOT/Tender/SplashBidNoticeAbstractUI.aspx?menuIndex=3&amp;refID=7199148&amp;Result=3","7199148")</f>
        <v>0</v>
      </c>
      <c r="B1388" t="s">
        <v>644</v>
      </c>
      <c r="C1388" t="s">
        <v>5200</v>
      </c>
      <c r="E1388" t="s">
        <v>20366</v>
      </c>
      <c r="F1388" t="s">
        <v>32606</v>
      </c>
      <c r="G1388" t="s">
        <v>32613</v>
      </c>
      <c r="H1388" t="s">
        <v>14201</v>
      </c>
      <c r="I1388" t="s">
        <v>7233</v>
      </c>
      <c r="J1388" t="s">
        <v>33807</v>
      </c>
      <c r="K1388" t="s">
        <v>42624</v>
      </c>
      <c r="M1388" t="s">
        <v>43562</v>
      </c>
      <c r="N1388" t="s">
        <v>47304</v>
      </c>
      <c r="O1388" t="s">
        <v>47305</v>
      </c>
      <c r="P1388">
        <v>0</v>
      </c>
      <c r="Q1388">
        <v>1</v>
      </c>
      <c r="R1388" t="s">
        <v>47307</v>
      </c>
      <c r="S1388" t="s">
        <v>47416</v>
      </c>
      <c r="T1388" t="s">
        <v>49163</v>
      </c>
      <c r="U1388" t="s">
        <v>50802</v>
      </c>
      <c r="W1388" t="s">
        <v>43562</v>
      </c>
      <c r="X1388" t="s">
        <v>47306</v>
      </c>
    </row>
    <row r="1389" spans="1:24">
      <c r="A1389">
        <f>HYPERLINK("https://www.philgeps.gov.ph/GEPSNONPILOT/Tender/SplashBidNoticeAbstractUI.aspx?menuIndex=3&amp;refID=7199143&amp;Result=3","7199143")</f>
        <v>0</v>
      </c>
      <c r="B1389" t="s">
        <v>247</v>
      </c>
      <c r="C1389" t="s">
        <v>5201</v>
      </c>
      <c r="D1389" t="s">
        <v>18993</v>
      </c>
      <c r="E1389" t="s">
        <v>20367</v>
      </c>
      <c r="F1389" t="s">
        <v>32606</v>
      </c>
      <c r="G1389" t="s">
        <v>32614</v>
      </c>
      <c r="H1389" t="s">
        <v>14201</v>
      </c>
      <c r="I1389" t="s">
        <v>7677</v>
      </c>
      <c r="J1389" t="s">
        <v>33102</v>
      </c>
      <c r="K1389" t="s">
        <v>42631</v>
      </c>
      <c r="M1389" t="s">
        <v>43148</v>
      </c>
      <c r="N1389" t="s">
        <v>47304</v>
      </c>
      <c r="O1389" t="s">
        <v>47305</v>
      </c>
      <c r="P1389">
        <v>0</v>
      </c>
      <c r="Q1389">
        <v>0</v>
      </c>
      <c r="R1389" t="s">
        <v>47307</v>
      </c>
      <c r="S1389" t="s">
        <v>47416</v>
      </c>
      <c r="T1389" t="s">
        <v>49108</v>
      </c>
      <c r="U1389" t="s">
        <v>50803</v>
      </c>
      <c r="W1389" t="s">
        <v>43148</v>
      </c>
      <c r="X1389" t="s">
        <v>47306</v>
      </c>
    </row>
    <row r="1390" spans="1:24">
      <c r="A1390">
        <f>HYPERLINK("https://www.philgeps.gov.ph/GEPSNONPILOT/Tender/SplashBidNoticeAbstractUI.aspx?menuIndex=3&amp;refID=7199054&amp;Result=3","7199054")</f>
        <v>0</v>
      </c>
      <c r="B1390" t="s">
        <v>609</v>
      </c>
      <c r="C1390" t="s">
        <v>5202</v>
      </c>
      <c r="D1390" t="s">
        <v>19024</v>
      </c>
      <c r="E1390" t="s">
        <v>20368</v>
      </c>
      <c r="F1390" t="s">
        <v>32606</v>
      </c>
      <c r="G1390" t="s">
        <v>32614</v>
      </c>
      <c r="H1390" t="s">
        <v>14201</v>
      </c>
      <c r="I1390" t="s">
        <v>32638</v>
      </c>
      <c r="J1390" t="s">
        <v>32841</v>
      </c>
      <c r="K1390" t="s">
        <v>42624</v>
      </c>
      <c r="M1390" t="s">
        <v>43526</v>
      </c>
      <c r="N1390" t="s">
        <v>47304</v>
      </c>
      <c r="O1390" t="s">
        <v>47305</v>
      </c>
      <c r="P1390">
        <v>0</v>
      </c>
      <c r="Q1390">
        <v>0</v>
      </c>
      <c r="R1390" t="s">
        <v>47307</v>
      </c>
      <c r="S1390" t="s">
        <v>47416</v>
      </c>
      <c r="T1390" t="s">
        <v>48972</v>
      </c>
      <c r="U1390" t="s">
        <v>50804</v>
      </c>
      <c r="W1390" t="s">
        <v>43526</v>
      </c>
      <c r="X1390" t="s">
        <v>47306</v>
      </c>
    </row>
    <row r="1391" spans="1:24">
      <c r="A1391">
        <f>HYPERLINK("https://www.philgeps.gov.ph/GEPSNONPILOT/Tender/SplashBidNoticeAbstractUI.aspx?menuIndex=3&amp;refID=7199140&amp;Result=3","7199140")</f>
        <v>0</v>
      </c>
      <c r="B1391" t="s">
        <v>646</v>
      </c>
      <c r="C1391" t="s">
        <v>5203</v>
      </c>
      <c r="D1391" t="s">
        <v>19002</v>
      </c>
      <c r="E1391" t="s">
        <v>20369</v>
      </c>
      <c r="F1391" t="s">
        <v>32606</v>
      </c>
      <c r="G1391" t="s">
        <v>32613</v>
      </c>
      <c r="H1391" t="s">
        <v>32623</v>
      </c>
      <c r="I1391" t="s">
        <v>17648</v>
      </c>
      <c r="J1391" t="s">
        <v>32789</v>
      </c>
      <c r="K1391" t="s">
        <v>42661</v>
      </c>
      <c r="M1391" t="s">
        <v>43564</v>
      </c>
      <c r="N1391" t="s">
        <v>47304</v>
      </c>
      <c r="O1391" t="s">
        <v>47305</v>
      </c>
      <c r="P1391">
        <v>0</v>
      </c>
      <c r="Q1391">
        <v>0</v>
      </c>
      <c r="R1391" t="s">
        <v>47307</v>
      </c>
      <c r="S1391" t="s">
        <v>47416</v>
      </c>
      <c r="T1391" t="s">
        <v>49081</v>
      </c>
      <c r="U1391" t="s">
        <v>50805</v>
      </c>
      <c r="W1391" t="s">
        <v>43564</v>
      </c>
      <c r="X1391" t="s">
        <v>47306</v>
      </c>
    </row>
    <row r="1392" spans="1:24">
      <c r="A1392">
        <f>HYPERLINK("https://www.philgeps.gov.ph/GEPSNONPILOT/Tender/SplashBidNoticeAbstractUI.aspx?menuIndex=3&amp;refID=7199150&amp;Result=3","7199150")</f>
        <v>0</v>
      </c>
      <c r="B1392" t="s">
        <v>429</v>
      </c>
      <c r="C1392" t="s">
        <v>5204</v>
      </c>
      <c r="D1392" t="s">
        <v>18993</v>
      </c>
      <c r="E1392" t="s">
        <v>20370</v>
      </c>
      <c r="F1392" t="s">
        <v>32606</v>
      </c>
      <c r="G1392" t="s">
        <v>32619</v>
      </c>
      <c r="H1392" t="s">
        <v>14201</v>
      </c>
      <c r="I1392" t="s">
        <v>4114</v>
      </c>
      <c r="J1392" t="s">
        <v>33808</v>
      </c>
      <c r="K1392" t="s">
        <v>42624</v>
      </c>
      <c r="M1392" t="s">
        <v>43334</v>
      </c>
      <c r="N1392" t="s">
        <v>47304</v>
      </c>
      <c r="O1392" t="s">
        <v>47305</v>
      </c>
      <c r="P1392">
        <v>0</v>
      </c>
      <c r="Q1392">
        <v>0</v>
      </c>
      <c r="R1392" t="s">
        <v>47307</v>
      </c>
      <c r="S1392" t="s">
        <v>47416</v>
      </c>
      <c r="T1392" t="s">
        <v>49114</v>
      </c>
      <c r="U1392" t="s">
        <v>50806</v>
      </c>
      <c r="W1392" t="s">
        <v>43334</v>
      </c>
      <c r="X1392" t="s">
        <v>47306</v>
      </c>
    </row>
    <row r="1393" spans="1:24">
      <c r="A1393">
        <f>HYPERLINK("https://www.philgeps.gov.ph/GEPSNONPILOT/Tender/SplashBidNoticeAbstractUI.aspx?menuIndex=3&amp;refID=7199137&amp;Result=3","7199137")</f>
        <v>0</v>
      </c>
      <c r="B1393" t="s">
        <v>644</v>
      </c>
      <c r="C1393" t="s">
        <v>5205</v>
      </c>
      <c r="E1393" t="s">
        <v>20371</v>
      </c>
      <c r="F1393" t="s">
        <v>32606</v>
      </c>
      <c r="G1393" t="s">
        <v>32613</v>
      </c>
      <c r="H1393" t="s">
        <v>14201</v>
      </c>
      <c r="I1393" t="s">
        <v>32644</v>
      </c>
      <c r="J1393" t="s">
        <v>33809</v>
      </c>
      <c r="K1393" t="s">
        <v>42624</v>
      </c>
      <c r="M1393" t="s">
        <v>43562</v>
      </c>
      <c r="N1393" t="s">
        <v>47304</v>
      </c>
      <c r="O1393" t="s">
        <v>47305</v>
      </c>
      <c r="P1393">
        <v>0</v>
      </c>
      <c r="Q1393">
        <v>0</v>
      </c>
      <c r="R1393" t="s">
        <v>47307</v>
      </c>
      <c r="S1393" t="s">
        <v>47416</v>
      </c>
      <c r="T1393" t="s">
        <v>49163</v>
      </c>
      <c r="U1393" t="s">
        <v>50807</v>
      </c>
      <c r="W1393" t="s">
        <v>43562</v>
      </c>
      <c r="X1393" t="s">
        <v>47306</v>
      </c>
    </row>
    <row r="1394" spans="1:24">
      <c r="A1394">
        <f>HYPERLINK("https://www.philgeps.gov.ph/GEPSNONPILOT/Tender/SplashBidNoticeAbstractUI.aspx?menuIndex=3&amp;refID=7199135&amp;Result=3","7199135")</f>
        <v>0</v>
      </c>
      <c r="B1394" t="s">
        <v>573</v>
      </c>
      <c r="C1394" t="s">
        <v>5206</v>
      </c>
      <c r="D1394" t="s">
        <v>19024</v>
      </c>
      <c r="E1394" t="s">
        <v>20372</v>
      </c>
      <c r="F1394" t="s">
        <v>32606</v>
      </c>
      <c r="G1394" t="s">
        <v>32613</v>
      </c>
      <c r="H1394" t="s">
        <v>32624</v>
      </c>
      <c r="I1394" t="s">
        <v>32675</v>
      </c>
      <c r="J1394" t="s">
        <v>32830</v>
      </c>
      <c r="K1394" t="s">
        <v>42636</v>
      </c>
      <c r="M1394" t="s">
        <v>43488</v>
      </c>
      <c r="N1394" t="s">
        <v>47304</v>
      </c>
      <c r="O1394" t="s">
        <v>47305</v>
      </c>
      <c r="P1394">
        <v>0</v>
      </c>
      <c r="Q1394">
        <v>0</v>
      </c>
      <c r="R1394" t="s">
        <v>47307</v>
      </c>
      <c r="S1394" t="s">
        <v>47416</v>
      </c>
      <c r="T1394" t="s">
        <v>48989</v>
      </c>
      <c r="U1394" t="s">
        <v>50808</v>
      </c>
      <c r="W1394" t="s">
        <v>43488</v>
      </c>
      <c r="X1394" t="s">
        <v>47306</v>
      </c>
    </row>
    <row r="1395" spans="1:24">
      <c r="A1395">
        <f>HYPERLINK("https://www.philgeps.gov.ph/GEPSNONPILOT/Tender/SplashBidNoticeAbstractUI.aspx?menuIndex=3&amp;refID=7199142&amp;Result=3","7199142")</f>
        <v>0</v>
      </c>
      <c r="B1395" t="s">
        <v>682</v>
      </c>
      <c r="C1395" t="s">
        <v>5207</v>
      </c>
      <c r="D1395" t="s">
        <v>19039</v>
      </c>
      <c r="E1395" t="s">
        <v>20373</v>
      </c>
      <c r="F1395" t="s">
        <v>32606</v>
      </c>
      <c r="G1395" t="s">
        <v>32614</v>
      </c>
      <c r="H1395" t="s">
        <v>14201</v>
      </c>
      <c r="I1395" t="s">
        <v>7677</v>
      </c>
      <c r="J1395" t="s">
        <v>33810</v>
      </c>
      <c r="K1395" t="s">
        <v>42623</v>
      </c>
      <c r="M1395" t="s">
        <v>43602</v>
      </c>
      <c r="N1395" t="s">
        <v>47304</v>
      </c>
      <c r="O1395" t="s">
        <v>47305</v>
      </c>
      <c r="P1395">
        <v>0</v>
      </c>
      <c r="Q1395">
        <v>0</v>
      </c>
      <c r="R1395" t="s">
        <v>47307</v>
      </c>
      <c r="S1395" t="s">
        <v>47416</v>
      </c>
      <c r="T1395" t="s">
        <v>49023</v>
      </c>
      <c r="U1395" t="s">
        <v>50809</v>
      </c>
      <c r="W1395" t="s">
        <v>43602</v>
      </c>
      <c r="X1395" t="s">
        <v>47306</v>
      </c>
    </row>
    <row r="1396" spans="1:24">
      <c r="A1396">
        <f>HYPERLINK("https://www.philgeps.gov.ph/GEPSNONPILOT/Tender/SplashBidNoticeAbstractUI.aspx?menuIndex=3&amp;refID=7199134&amp;Result=3","7199134")</f>
        <v>0</v>
      </c>
      <c r="B1396" t="s">
        <v>706</v>
      </c>
      <c r="C1396" t="s">
        <v>5208</v>
      </c>
      <c r="D1396" t="s">
        <v>18986</v>
      </c>
      <c r="E1396" t="s">
        <v>20374</v>
      </c>
      <c r="F1396" t="s">
        <v>32606</v>
      </c>
      <c r="G1396" t="s">
        <v>32613</v>
      </c>
      <c r="H1396" t="s">
        <v>14201</v>
      </c>
      <c r="I1396" t="s">
        <v>32662</v>
      </c>
      <c r="J1396" t="s">
        <v>33811</v>
      </c>
      <c r="K1396" t="s">
        <v>42631</v>
      </c>
      <c r="M1396" t="s">
        <v>43627</v>
      </c>
      <c r="N1396" t="s">
        <v>47304</v>
      </c>
      <c r="O1396" t="s">
        <v>47305</v>
      </c>
      <c r="P1396">
        <v>0</v>
      </c>
      <c r="Q1396">
        <v>0</v>
      </c>
      <c r="R1396" t="s">
        <v>47307</v>
      </c>
      <c r="S1396" t="s">
        <v>47416</v>
      </c>
      <c r="T1396" t="s">
        <v>48996</v>
      </c>
      <c r="U1396" t="s">
        <v>50810</v>
      </c>
      <c r="W1396" t="s">
        <v>43627</v>
      </c>
      <c r="X1396" t="s">
        <v>47306</v>
      </c>
    </row>
    <row r="1397" spans="1:24">
      <c r="A1397">
        <f>HYPERLINK("https://www.philgeps.gov.ph/GEPSNONPILOT/Tender/SplashBidNoticeAbstractUI.aspx?menuIndex=3&amp;refID=7199133&amp;Result=3","7199133")</f>
        <v>0</v>
      </c>
      <c r="B1397" t="s">
        <v>707</v>
      </c>
      <c r="C1397" t="s">
        <v>5209</v>
      </c>
      <c r="D1397" t="s">
        <v>19022</v>
      </c>
      <c r="E1397" t="s">
        <v>20375</v>
      </c>
      <c r="F1397" t="s">
        <v>32606</v>
      </c>
      <c r="G1397" t="s">
        <v>32613</v>
      </c>
      <c r="H1397" t="s">
        <v>32623</v>
      </c>
      <c r="I1397" t="s">
        <v>32683</v>
      </c>
      <c r="J1397" t="s">
        <v>33812</v>
      </c>
      <c r="K1397" t="s">
        <v>42636</v>
      </c>
      <c r="M1397" t="s">
        <v>43628</v>
      </c>
      <c r="N1397" t="s">
        <v>47304</v>
      </c>
      <c r="O1397" t="s">
        <v>47305</v>
      </c>
      <c r="P1397">
        <v>0</v>
      </c>
      <c r="Q1397">
        <v>0</v>
      </c>
      <c r="R1397" t="s">
        <v>47307</v>
      </c>
      <c r="S1397" t="s">
        <v>47416</v>
      </c>
      <c r="T1397" t="s">
        <v>49173</v>
      </c>
      <c r="U1397" t="s">
        <v>50811</v>
      </c>
      <c r="W1397" t="s">
        <v>43628</v>
      </c>
      <c r="X1397" t="s">
        <v>47306</v>
      </c>
    </row>
    <row r="1398" spans="1:24">
      <c r="A1398">
        <f>HYPERLINK("https://www.philgeps.gov.ph/GEPSNONPILOT/Tender/SplashBidNoticeAbstractUI.aspx?menuIndex=3&amp;refID=7199138&amp;Result=3","7199138")</f>
        <v>0</v>
      </c>
      <c r="B1398" t="s">
        <v>534</v>
      </c>
      <c r="C1398" t="s">
        <v>5210</v>
      </c>
      <c r="D1398" t="s">
        <v>19006</v>
      </c>
      <c r="E1398" t="s">
        <v>20376</v>
      </c>
      <c r="F1398" t="s">
        <v>32606</v>
      </c>
      <c r="G1398" t="s">
        <v>32613</v>
      </c>
      <c r="H1398" t="s">
        <v>14201</v>
      </c>
      <c r="I1398" t="s">
        <v>32640</v>
      </c>
      <c r="J1398" t="s">
        <v>32752</v>
      </c>
      <c r="K1398" t="s">
        <v>42623</v>
      </c>
      <c r="M1398" t="s">
        <v>43447</v>
      </c>
      <c r="N1398" t="s">
        <v>47304</v>
      </c>
      <c r="O1398" t="s">
        <v>47305</v>
      </c>
      <c r="P1398">
        <v>0</v>
      </c>
      <c r="Q1398">
        <v>0</v>
      </c>
      <c r="R1398" t="s">
        <v>47307</v>
      </c>
      <c r="S1398" t="s">
        <v>47416</v>
      </c>
      <c r="T1398" t="s">
        <v>48983</v>
      </c>
      <c r="U1398" t="s">
        <v>50812</v>
      </c>
      <c r="W1398" t="s">
        <v>43447</v>
      </c>
      <c r="X1398" t="s">
        <v>47306</v>
      </c>
    </row>
    <row r="1399" spans="1:24">
      <c r="A1399">
        <f>HYPERLINK("https://www.philgeps.gov.ph/GEPSNONPILOT/Tender/SplashBidNoticeAbstractUI.aspx?menuIndex=3&amp;refID=7199130&amp;Result=3","7199130")</f>
        <v>0</v>
      </c>
      <c r="B1399" t="s">
        <v>443</v>
      </c>
      <c r="C1399" t="s">
        <v>5211</v>
      </c>
      <c r="D1399" t="s">
        <v>19003</v>
      </c>
      <c r="E1399" t="s">
        <v>20377</v>
      </c>
      <c r="F1399" t="s">
        <v>32606</v>
      </c>
      <c r="G1399" t="s">
        <v>32614</v>
      </c>
      <c r="H1399" t="s">
        <v>14201</v>
      </c>
      <c r="I1399" t="s">
        <v>4369</v>
      </c>
      <c r="J1399" t="s">
        <v>33083</v>
      </c>
      <c r="K1399" t="s">
        <v>42629</v>
      </c>
      <c r="M1399" t="s">
        <v>43567</v>
      </c>
      <c r="N1399" t="s">
        <v>47304</v>
      </c>
      <c r="O1399" t="s">
        <v>47305</v>
      </c>
      <c r="P1399">
        <v>0</v>
      </c>
      <c r="Q1399">
        <v>0</v>
      </c>
      <c r="R1399" t="s">
        <v>47307</v>
      </c>
      <c r="S1399" t="s">
        <v>47416</v>
      </c>
      <c r="T1399" t="s">
        <v>48975</v>
      </c>
      <c r="U1399" t="s">
        <v>50813</v>
      </c>
      <c r="W1399" t="s">
        <v>43567</v>
      </c>
      <c r="X1399" t="s">
        <v>47306</v>
      </c>
    </row>
    <row r="1400" spans="1:24">
      <c r="A1400">
        <f>HYPERLINK("https://www.philgeps.gov.ph/GEPSNONPILOT/Tender/SplashBidNoticeAbstractUI.aspx?menuIndex=3&amp;refID=7199146&amp;Result=3","7199146")</f>
        <v>0</v>
      </c>
      <c r="B1400" t="s">
        <v>666</v>
      </c>
      <c r="C1400" t="s">
        <v>5212</v>
      </c>
      <c r="D1400" t="s">
        <v>19014</v>
      </c>
      <c r="E1400" t="s">
        <v>20378</v>
      </c>
      <c r="F1400" t="s">
        <v>32606</v>
      </c>
      <c r="G1400" t="s">
        <v>32619</v>
      </c>
      <c r="H1400" t="s">
        <v>14201</v>
      </c>
      <c r="I1400" t="s">
        <v>6478</v>
      </c>
      <c r="J1400" t="s">
        <v>33813</v>
      </c>
      <c r="K1400" t="s">
        <v>42624</v>
      </c>
      <c r="M1400" t="s">
        <v>43586</v>
      </c>
      <c r="N1400" t="s">
        <v>47304</v>
      </c>
      <c r="O1400" t="s">
        <v>47305</v>
      </c>
      <c r="P1400">
        <v>0</v>
      </c>
      <c r="Q1400">
        <v>0</v>
      </c>
      <c r="R1400" t="s">
        <v>47307</v>
      </c>
      <c r="S1400" t="s">
        <v>47416</v>
      </c>
      <c r="T1400" t="s">
        <v>49004</v>
      </c>
      <c r="U1400" t="s">
        <v>50703</v>
      </c>
      <c r="W1400" t="s">
        <v>43586</v>
      </c>
      <c r="X1400" t="s">
        <v>47306</v>
      </c>
    </row>
    <row r="1401" spans="1:24">
      <c r="A1401">
        <f>HYPERLINK("https://www.philgeps.gov.ph/GEPSNONPILOT/Tender/SplashBidNoticeAbstractUI.aspx?menuIndex=3&amp;refID=7199111&amp;Result=3","7199111")</f>
        <v>0</v>
      </c>
      <c r="B1401" t="s">
        <v>340</v>
      </c>
      <c r="C1401" t="s">
        <v>5213</v>
      </c>
      <c r="D1401" t="s">
        <v>19029</v>
      </c>
      <c r="E1401" t="s">
        <v>20379</v>
      </c>
      <c r="F1401" t="s">
        <v>32606</v>
      </c>
      <c r="G1401" t="s">
        <v>32614</v>
      </c>
      <c r="H1401" t="s">
        <v>14201</v>
      </c>
      <c r="I1401" t="s">
        <v>6993</v>
      </c>
      <c r="J1401" t="s">
        <v>33814</v>
      </c>
      <c r="K1401" t="s">
        <v>42624</v>
      </c>
      <c r="M1401" t="s">
        <v>43242</v>
      </c>
      <c r="N1401" t="s">
        <v>47304</v>
      </c>
      <c r="O1401" t="s">
        <v>47305</v>
      </c>
      <c r="P1401">
        <v>0</v>
      </c>
      <c r="Q1401">
        <v>0</v>
      </c>
      <c r="R1401" t="s">
        <v>47307</v>
      </c>
      <c r="S1401" t="s">
        <v>47416</v>
      </c>
      <c r="T1401" t="s">
        <v>48987</v>
      </c>
      <c r="U1401" t="s">
        <v>50814</v>
      </c>
      <c r="V1401" t="s">
        <v>62808</v>
      </c>
      <c r="W1401" t="s">
        <v>43242</v>
      </c>
      <c r="X1401" t="s">
        <v>47306</v>
      </c>
    </row>
    <row r="1402" spans="1:24">
      <c r="A1402">
        <f>HYPERLINK("https://www.philgeps.gov.ph/GEPSNONPILOT/Tender/SplashBidNoticeAbstractUI.aspx?menuIndex=3&amp;refID=7199110&amp;Result=3","7199110")</f>
        <v>0</v>
      </c>
      <c r="B1402" t="s">
        <v>708</v>
      </c>
      <c r="C1402" t="s">
        <v>5214</v>
      </c>
      <c r="D1402" t="s">
        <v>19061</v>
      </c>
      <c r="E1402" t="s">
        <v>20380</v>
      </c>
      <c r="F1402" t="s">
        <v>32606</v>
      </c>
      <c r="G1402" t="s">
        <v>32617</v>
      </c>
      <c r="H1402" t="s">
        <v>14201</v>
      </c>
      <c r="I1402" t="s">
        <v>4678</v>
      </c>
      <c r="J1402" t="s">
        <v>33569</v>
      </c>
      <c r="K1402" t="s">
        <v>42630</v>
      </c>
      <c r="M1402" t="s">
        <v>43629</v>
      </c>
      <c r="N1402" t="s">
        <v>47304</v>
      </c>
      <c r="O1402" t="s">
        <v>47305</v>
      </c>
      <c r="P1402">
        <v>0</v>
      </c>
      <c r="Q1402">
        <v>0</v>
      </c>
      <c r="R1402" t="s">
        <v>47307</v>
      </c>
      <c r="S1402" t="s">
        <v>47416</v>
      </c>
      <c r="T1402" t="s">
        <v>48976</v>
      </c>
      <c r="U1402" t="s">
        <v>50815</v>
      </c>
      <c r="V1402" t="s">
        <v>62809</v>
      </c>
      <c r="W1402" t="s">
        <v>43629</v>
      </c>
      <c r="X1402" t="s">
        <v>47306</v>
      </c>
    </row>
    <row r="1403" spans="1:24">
      <c r="A1403">
        <f>HYPERLINK("https://www.philgeps.gov.ph/GEPSNONPILOT/Tender/SplashBidNoticeAbstractUI.aspx?menuIndex=3&amp;refID=7199153&amp;Result=3","7199153")</f>
        <v>0</v>
      </c>
      <c r="B1403" t="s">
        <v>685</v>
      </c>
      <c r="C1403" t="s">
        <v>5215</v>
      </c>
      <c r="D1403" t="s">
        <v>19040</v>
      </c>
      <c r="E1403" t="s">
        <v>20381</v>
      </c>
      <c r="F1403" t="s">
        <v>32606</v>
      </c>
      <c r="G1403" t="s">
        <v>32613</v>
      </c>
      <c r="H1403" t="s">
        <v>32623</v>
      </c>
      <c r="I1403" t="s">
        <v>17648</v>
      </c>
      <c r="J1403" t="s">
        <v>33801</v>
      </c>
      <c r="K1403" t="s">
        <v>42638</v>
      </c>
      <c r="M1403" t="s">
        <v>43606</v>
      </c>
      <c r="N1403" t="s">
        <v>47304</v>
      </c>
      <c r="O1403" t="s">
        <v>47305</v>
      </c>
      <c r="P1403">
        <v>0</v>
      </c>
      <c r="Q1403">
        <v>0</v>
      </c>
      <c r="R1403" t="s">
        <v>47307</v>
      </c>
      <c r="S1403" t="s">
        <v>47416</v>
      </c>
      <c r="T1403" t="s">
        <v>49174</v>
      </c>
      <c r="U1403" t="s">
        <v>50788</v>
      </c>
      <c r="W1403" t="s">
        <v>43606</v>
      </c>
      <c r="X1403" t="s">
        <v>47306</v>
      </c>
    </row>
    <row r="1404" spans="1:24">
      <c r="A1404">
        <f>HYPERLINK("https://www.philgeps.gov.ph/GEPSNONPILOT/Tender/SplashBidNoticeAbstractUI.aspx?menuIndex=3&amp;refID=7199109&amp;Result=3","7199109")</f>
        <v>0</v>
      </c>
      <c r="B1404" t="s">
        <v>709</v>
      </c>
      <c r="C1404" t="s">
        <v>5216</v>
      </c>
      <c r="D1404" t="s">
        <v>19008</v>
      </c>
      <c r="E1404" t="s">
        <v>20382</v>
      </c>
      <c r="F1404" t="s">
        <v>32606</v>
      </c>
      <c r="G1404" t="s">
        <v>32619</v>
      </c>
      <c r="H1404" t="s">
        <v>14201</v>
      </c>
      <c r="I1404" t="s">
        <v>4678</v>
      </c>
      <c r="J1404" t="s">
        <v>32949</v>
      </c>
      <c r="K1404" t="s">
        <v>42630</v>
      </c>
      <c r="M1404" t="s">
        <v>43630</v>
      </c>
      <c r="N1404" t="s">
        <v>47304</v>
      </c>
      <c r="O1404" t="s">
        <v>47305</v>
      </c>
      <c r="P1404">
        <v>0</v>
      </c>
      <c r="Q1404">
        <v>0</v>
      </c>
      <c r="R1404" t="s">
        <v>47307</v>
      </c>
      <c r="S1404" t="s">
        <v>47416</v>
      </c>
      <c r="T1404" t="s">
        <v>48979</v>
      </c>
      <c r="U1404" t="s">
        <v>50816</v>
      </c>
      <c r="W1404" t="s">
        <v>43630</v>
      </c>
      <c r="X1404" t="s">
        <v>47306</v>
      </c>
    </row>
    <row r="1405" spans="1:24">
      <c r="A1405">
        <f>HYPERLINK("https://www.philgeps.gov.ph/GEPSNONPILOT/Tender/SplashBidNoticeAbstractUI.aspx?menuIndex=3&amp;refID=7199079&amp;Result=3","7199079")</f>
        <v>0</v>
      </c>
      <c r="B1405" t="s">
        <v>710</v>
      </c>
      <c r="C1405" t="s">
        <v>5217</v>
      </c>
      <c r="D1405" t="s">
        <v>18993</v>
      </c>
      <c r="E1405" t="s">
        <v>20383</v>
      </c>
      <c r="F1405" t="s">
        <v>32606</v>
      </c>
      <c r="G1405" t="s">
        <v>32614</v>
      </c>
      <c r="H1405" t="s">
        <v>32624</v>
      </c>
      <c r="I1405" t="s">
        <v>7577</v>
      </c>
      <c r="J1405" t="s">
        <v>33815</v>
      </c>
      <c r="K1405" t="s">
        <v>42631</v>
      </c>
      <c r="M1405" t="s">
        <v>43631</v>
      </c>
      <c r="N1405" t="s">
        <v>47304</v>
      </c>
      <c r="O1405" t="s">
        <v>47305</v>
      </c>
      <c r="P1405">
        <v>0</v>
      </c>
      <c r="Q1405">
        <v>0</v>
      </c>
      <c r="R1405" t="s">
        <v>47307</v>
      </c>
      <c r="S1405" t="s">
        <v>47416</v>
      </c>
      <c r="T1405" t="s">
        <v>49108</v>
      </c>
      <c r="U1405" t="s">
        <v>50817</v>
      </c>
      <c r="V1405" t="s">
        <v>62810</v>
      </c>
      <c r="W1405" t="s">
        <v>43631</v>
      </c>
      <c r="X1405" t="s">
        <v>47306</v>
      </c>
    </row>
    <row r="1406" spans="1:24">
      <c r="A1406">
        <f>HYPERLINK("https://www.philgeps.gov.ph/GEPSNONPILOT/Tender/SplashBidNoticeAbstractUI.aspx?menuIndex=3&amp;refID=7199176&amp;Result=3","7199176")</f>
        <v>0</v>
      </c>
      <c r="B1406" t="s">
        <v>540</v>
      </c>
      <c r="C1406" t="s">
        <v>5218</v>
      </c>
      <c r="D1406" t="s">
        <v>19001</v>
      </c>
      <c r="E1406" t="s">
        <v>20384</v>
      </c>
      <c r="F1406" t="s">
        <v>32606</v>
      </c>
      <c r="G1406" t="s">
        <v>32614</v>
      </c>
      <c r="H1406" t="s">
        <v>14201</v>
      </c>
      <c r="I1406" t="s">
        <v>4369</v>
      </c>
      <c r="J1406" t="s">
        <v>33816</v>
      </c>
      <c r="K1406" t="s">
        <v>42622</v>
      </c>
      <c r="M1406" t="s">
        <v>43454</v>
      </c>
      <c r="N1406" t="s">
        <v>47304</v>
      </c>
      <c r="O1406" t="s">
        <v>47305</v>
      </c>
      <c r="P1406">
        <v>0</v>
      </c>
      <c r="Q1406">
        <v>0</v>
      </c>
      <c r="R1406" t="s">
        <v>47307</v>
      </c>
      <c r="S1406" t="s">
        <v>47416</v>
      </c>
      <c r="T1406" t="s">
        <v>48986</v>
      </c>
      <c r="U1406" t="s">
        <v>50733</v>
      </c>
      <c r="W1406" t="s">
        <v>43454</v>
      </c>
      <c r="X1406" t="s">
        <v>47306</v>
      </c>
    </row>
    <row r="1407" spans="1:24">
      <c r="A1407">
        <f>HYPERLINK("https://www.philgeps.gov.ph/GEPSNONPILOT/Tender/SplashBidNoticeAbstractUI.aspx?menuIndex=3&amp;refID=7199132&amp;Result=3","7199132")</f>
        <v>0</v>
      </c>
      <c r="B1407" t="s">
        <v>711</v>
      </c>
      <c r="C1407" t="s">
        <v>5219</v>
      </c>
      <c r="D1407" t="s">
        <v>19058</v>
      </c>
      <c r="E1407" t="s">
        <v>19380</v>
      </c>
      <c r="F1407" t="s">
        <v>32606</v>
      </c>
      <c r="G1407" t="s">
        <v>32617</v>
      </c>
      <c r="H1407" t="s">
        <v>14201</v>
      </c>
      <c r="I1407" t="s">
        <v>4120</v>
      </c>
      <c r="J1407" t="s">
        <v>33817</v>
      </c>
      <c r="K1407" t="s">
        <v>42630</v>
      </c>
      <c r="M1407" t="s">
        <v>43632</v>
      </c>
      <c r="N1407" t="s">
        <v>47304</v>
      </c>
      <c r="O1407" t="s">
        <v>47305</v>
      </c>
      <c r="P1407">
        <v>0</v>
      </c>
      <c r="Q1407">
        <v>1</v>
      </c>
      <c r="R1407" t="s">
        <v>47307</v>
      </c>
      <c r="S1407" t="s">
        <v>47416</v>
      </c>
      <c r="T1407" t="s">
        <v>49088</v>
      </c>
      <c r="U1407" t="s">
        <v>50818</v>
      </c>
      <c r="W1407" t="s">
        <v>43632</v>
      </c>
      <c r="X1407" t="s">
        <v>47306</v>
      </c>
    </row>
    <row r="1408" spans="1:24">
      <c r="A1408">
        <f>HYPERLINK("https://www.philgeps.gov.ph/GEPSNONPILOT/Tender/SplashBidNoticeAbstractUI.aspx?menuIndex=3&amp;refID=7199175&amp;Result=3","7199175")</f>
        <v>0</v>
      </c>
      <c r="B1408" t="s">
        <v>712</v>
      </c>
      <c r="C1408" t="s">
        <v>5220</v>
      </c>
      <c r="D1408" t="s">
        <v>19040</v>
      </c>
      <c r="E1408" t="s">
        <v>20385</v>
      </c>
      <c r="F1408" t="s">
        <v>32606</v>
      </c>
      <c r="G1408" t="s">
        <v>32614</v>
      </c>
      <c r="H1408" t="s">
        <v>14201</v>
      </c>
      <c r="I1408" t="s">
        <v>32640</v>
      </c>
      <c r="J1408" t="s">
        <v>33818</v>
      </c>
      <c r="K1408" t="s">
        <v>42631</v>
      </c>
      <c r="M1408" t="s">
        <v>43633</v>
      </c>
      <c r="N1408" t="s">
        <v>47304</v>
      </c>
      <c r="O1408" t="s">
        <v>47305</v>
      </c>
      <c r="P1408">
        <v>0</v>
      </c>
      <c r="Q1408">
        <v>0</v>
      </c>
      <c r="R1408" t="s">
        <v>47307</v>
      </c>
      <c r="S1408" t="s">
        <v>47416</v>
      </c>
      <c r="T1408" t="s">
        <v>49108</v>
      </c>
      <c r="U1408" t="s">
        <v>50819</v>
      </c>
      <c r="W1408" t="s">
        <v>43633</v>
      </c>
      <c r="X1408" t="s">
        <v>47306</v>
      </c>
    </row>
    <row r="1409" spans="1:24">
      <c r="A1409">
        <f>HYPERLINK("https://www.philgeps.gov.ph/GEPSNONPILOT/Tender/SplashBidNoticeAbstractUI.aspx?menuIndex=3&amp;refID=7199145&amp;Result=3","7199145")</f>
        <v>0</v>
      </c>
      <c r="B1409" t="s">
        <v>671</v>
      </c>
      <c r="C1409" t="s">
        <v>5221</v>
      </c>
      <c r="D1409" t="s">
        <v>18993</v>
      </c>
      <c r="E1409" t="s">
        <v>20386</v>
      </c>
      <c r="F1409" t="s">
        <v>32606</v>
      </c>
      <c r="G1409" t="s">
        <v>32617</v>
      </c>
      <c r="H1409" t="s">
        <v>14201</v>
      </c>
      <c r="I1409" t="s">
        <v>32633</v>
      </c>
      <c r="J1409" t="s">
        <v>33819</v>
      </c>
      <c r="K1409" t="s">
        <v>42624</v>
      </c>
      <c r="M1409" t="s">
        <v>43591</v>
      </c>
      <c r="N1409" t="s">
        <v>47304</v>
      </c>
      <c r="O1409" t="s">
        <v>47305</v>
      </c>
      <c r="P1409">
        <v>0</v>
      </c>
      <c r="Q1409">
        <v>1</v>
      </c>
      <c r="R1409" t="s">
        <v>47307</v>
      </c>
      <c r="S1409" t="s">
        <v>47416</v>
      </c>
      <c r="T1409" t="s">
        <v>49108</v>
      </c>
      <c r="U1409" t="s">
        <v>50716</v>
      </c>
      <c r="W1409" t="s">
        <v>43591</v>
      </c>
      <c r="X1409" t="s">
        <v>47306</v>
      </c>
    </row>
    <row r="1410" spans="1:24">
      <c r="A1410">
        <f>HYPERLINK("https://www.philgeps.gov.ph/GEPSNONPILOT/Tender/SplashBidNoticeAbstractUI.aspx?menuIndex=3&amp;refID=7199172&amp;Result=3","7199172")</f>
        <v>0</v>
      </c>
      <c r="B1410" t="s">
        <v>645</v>
      </c>
      <c r="C1410" t="s">
        <v>5222</v>
      </c>
      <c r="D1410" t="s">
        <v>18988</v>
      </c>
      <c r="E1410" t="s">
        <v>20387</v>
      </c>
      <c r="F1410" t="s">
        <v>32606</v>
      </c>
      <c r="G1410" t="s">
        <v>32613</v>
      </c>
      <c r="H1410" t="s">
        <v>14201</v>
      </c>
      <c r="I1410" t="s">
        <v>6298</v>
      </c>
      <c r="J1410" t="s">
        <v>33083</v>
      </c>
      <c r="K1410" t="s">
        <v>42703</v>
      </c>
      <c r="M1410" t="s">
        <v>43563</v>
      </c>
      <c r="N1410" t="s">
        <v>47304</v>
      </c>
      <c r="O1410" t="s">
        <v>47305</v>
      </c>
      <c r="P1410">
        <v>0</v>
      </c>
      <c r="Q1410">
        <v>0</v>
      </c>
      <c r="R1410" t="s">
        <v>47307</v>
      </c>
      <c r="S1410" t="s">
        <v>47416</v>
      </c>
      <c r="T1410" t="s">
        <v>49009</v>
      </c>
      <c r="U1410" t="s">
        <v>50820</v>
      </c>
      <c r="W1410" t="s">
        <v>43563</v>
      </c>
      <c r="X1410" t="s">
        <v>47306</v>
      </c>
    </row>
    <row r="1411" spans="1:24">
      <c r="A1411">
        <f>HYPERLINK("https://www.philgeps.gov.ph/GEPSNONPILOT/Tender/SplashBidNoticeAbstractUI.aspx?menuIndex=3&amp;refID=7199171&amp;Result=3","7199171")</f>
        <v>0</v>
      </c>
      <c r="B1411" t="s">
        <v>662</v>
      </c>
      <c r="C1411" t="s">
        <v>5223</v>
      </c>
      <c r="D1411" t="s">
        <v>19023</v>
      </c>
      <c r="E1411" t="s">
        <v>20388</v>
      </c>
      <c r="F1411" t="s">
        <v>32606</v>
      </c>
      <c r="G1411" t="s">
        <v>32613</v>
      </c>
      <c r="H1411" t="s">
        <v>14201</v>
      </c>
      <c r="I1411" t="s">
        <v>32640</v>
      </c>
      <c r="J1411" t="s">
        <v>33016</v>
      </c>
      <c r="K1411" t="s">
        <v>42631</v>
      </c>
      <c r="M1411" t="s">
        <v>43582</v>
      </c>
      <c r="N1411" t="s">
        <v>47304</v>
      </c>
      <c r="O1411" t="s">
        <v>47305</v>
      </c>
      <c r="P1411">
        <v>0</v>
      </c>
      <c r="Q1411">
        <v>0</v>
      </c>
      <c r="R1411" t="s">
        <v>47307</v>
      </c>
      <c r="S1411" t="s">
        <v>47416</v>
      </c>
      <c r="T1411" t="s">
        <v>48995</v>
      </c>
      <c r="U1411" t="s">
        <v>50821</v>
      </c>
      <c r="W1411" t="s">
        <v>43582</v>
      </c>
      <c r="X1411" t="s">
        <v>47306</v>
      </c>
    </row>
    <row r="1412" spans="1:24">
      <c r="A1412">
        <f>HYPERLINK("https://www.philgeps.gov.ph/GEPSNONPILOT/Tender/SplashBidNoticeAbstractUI.aspx?menuIndex=3&amp;refID=7199169&amp;Result=3","7199169")</f>
        <v>0</v>
      </c>
      <c r="B1412" t="s">
        <v>439</v>
      </c>
      <c r="C1412" t="s">
        <v>5224</v>
      </c>
      <c r="D1412" t="s">
        <v>19054</v>
      </c>
      <c r="E1412" t="s">
        <v>20389</v>
      </c>
      <c r="F1412" t="s">
        <v>32606</v>
      </c>
      <c r="G1412" t="s">
        <v>32614</v>
      </c>
      <c r="H1412" t="s">
        <v>14201</v>
      </c>
      <c r="I1412" t="s">
        <v>32634</v>
      </c>
      <c r="J1412" t="s">
        <v>33820</v>
      </c>
      <c r="K1412" t="s">
        <v>42631</v>
      </c>
      <c r="M1412" t="s">
        <v>43346</v>
      </c>
      <c r="N1412" t="s">
        <v>47304</v>
      </c>
      <c r="O1412" t="s">
        <v>47305</v>
      </c>
      <c r="P1412">
        <v>0</v>
      </c>
      <c r="Q1412">
        <v>0</v>
      </c>
      <c r="R1412" t="s">
        <v>47307</v>
      </c>
      <c r="S1412" t="s">
        <v>47416</v>
      </c>
      <c r="T1412" t="s">
        <v>48987</v>
      </c>
      <c r="U1412" t="s">
        <v>50822</v>
      </c>
      <c r="W1412" t="s">
        <v>43346</v>
      </c>
      <c r="X1412" t="s">
        <v>47306</v>
      </c>
    </row>
    <row r="1413" spans="1:24">
      <c r="A1413">
        <f>HYPERLINK("https://www.philgeps.gov.ph/GEPSNONPILOT/Tender/SplashBidNoticeAbstractUI.aspx?menuIndex=3&amp;refID=7199167&amp;Result=3","7199167")</f>
        <v>0</v>
      </c>
      <c r="B1413" t="s">
        <v>713</v>
      </c>
      <c r="C1413" t="s">
        <v>5225</v>
      </c>
      <c r="D1413" t="s">
        <v>19040</v>
      </c>
      <c r="E1413" t="s">
        <v>20390</v>
      </c>
      <c r="F1413" t="s">
        <v>32606</v>
      </c>
      <c r="G1413" t="s">
        <v>32613</v>
      </c>
      <c r="H1413" t="s">
        <v>14201</v>
      </c>
      <c r="I1413" t="s">
        <v>4678</v>
      </c>
      <c r="J1413" t="s">
        <v>33821</v>
      </c>
      <c r="K1413" t="s">
        <v>42622</v>
      </c>
      <c r="M1413" t="s">
        <v>43634</v>
      </c>
      <c r="N1413" t="s">
        <v>47304</v>
      </c>
      <c r="O1413" t="s">
        <v>47305</v>
      </c>
      <c r="P1413">
        <v>0</v>
      </c>
      <c r="Q1413">
        <v>0</v>
      </c>
      <c r="R1413" t="s">
        <v>47307</v>
      </c>
      <c r="S1413" t="s">
        <v>47416</v>
      </c>
      <c r="T1413" t="s">
        <v>48996</v>
      </c>
      <c r="U1413" t="s">
        <v>50823</v>
      </c>
      <c r="W1413" t="s">
        <v>43634</v>
      </c>
      <c r="X1413" t="s">
        <v>47306</v>
      </c>
    </row>
    <row r="1414" spans="1:24">
      <c r="A1414">
        <f>HYPERLINK("https://www.philgeps.gov.ph/GEPSNONPILOT/Tender/SplashBidNoticeAbstractUI.aspx?menuIndex=3&amp;refID=7199136&amp;Result=3","7199136")</f>
        <v>0</v>
      </c>
      <c r="B1414" t="s">
        <v>540</v>
      </c>
      <c r="C1414" t="s">
        <v>5226</v>
      </c>
      <c r="D1414" t="s">
        <v>19001</v>
      </c>
      <c r="E1414" t="s">
        <v>20391</v>
      </c>
      <c r="F1414" t="s">
        <v>32606</v>
      </c>
      <c r="G1414" t="s">
        <v>32614</v>
      </c>
      <c r="H1414" t="s">
        <v>14201</v>
      </c>
      <c r="I1414" t="s">
        <v>4369</v>
      </c>
      <c r="J1414" t="s">
        <v>33822</v>
      </c>
      <c r="K1414" t="s">
        <v>42622</v>
      </c>
      <c r="M1414" t="s">
        <v>43454</v>
      </c>
      <c r="N1414" t="s">
        <v>47304</v>
      </c>
      <c r="O1414" t="s">
        <v>47305</v>
      </c>
      <c r="P1414">
        <v>0</v>
      </c>
      <c r="Q1414">
        <v>0</v>
      </c>
      <c r="R1414" t="s">
        <v>47307</v>
      </c>
      <c r="S1414" t="s">
        <v>47416</v>
      </c>
      <c r="T1414" t="s">
        <v>48986</v>
      </c>
      <c r="U1414" t="s">
        <v>50824</v>
      </c>
      <c r="W1414" t="s">
        <v>43454</v>
      </c>
      <c r="X1414" t="s">
        <v>47306</v>
      </c>
    </row>
    <row r="1415" spans="1:24">
      <c r="A1415">
        <f>HYPERLINK("https://www.philgeps.gov.ph/GEPSNONPILOT/Tender/SplashBidNoticeAbstractUI.aspx?menuIndex=3&amp;refID=7199164&amp;Result=3","7199164")</f>
        <v>0</v>
      </c>
      <c r="B1415" t="s">
        <v>607</v>
      </c>
      <c r="C1415" t="s">
        <v>5227</v>
      </c>
      <c r="D1415" t="s">
        <v>19040</v>
      </c>
      <c r="E1415" t="s">
        <v>20392</v>
      </c>
      <c r="F1415" t="s">
        <v>32606</v>
      </c>
      <c r="G1415" t="s">
        <v>32613</v>
      </c>
      <c r="H1415" t="s">
        <v>32623</v>
      </c>
      <c r="I1415" t="s">
        <v>17648</v>
      </c>
      <c r="J1415" t="s">
        <v>33823</v>
      </c>
      <c r="K1415" t="s">
        <v>42682</v>
      </c>
      <c r="M1415" t="s">
        <v>43524</v>
      </c>
      <c r="N1415" t="s">
        <v>47304</v>
      </c>
      <c r="O1415" t="s">
        <v>47305</v>
      </c>
      <c r="P1415">
        <v>0</v>
      </c>
      <c r="Q1415">
        <v>0</v>
      </c>
      <c r="R1415" t="s">
        <v>47307</v>
      </c>
      <c r="S1415" t="s">
        <v>47416</v>
      </c>
      <c r="T1415" t="s">
        <v>49008</v>
      </c>
      <c r="U1415" t="s">
        <v>50825</v>
      </c>
      <c r="W1415" t="s">
        <v>43524</v>
      </c>
      <c r="X1415" t="s">
        <v>47306</v>
      </c>
    </row>
    <row r="1416" spans="1:24">
      <c r="A1416">
        <f>HYPERLINK("https://www.philgeps.gov.ph/GEPSNONPILOT/Tender/SplashBidNoticeAbstractUI.aspx?menuIndex=3&amp;refID=7199129&amp;Result=3","7199129")</f>
        <v>0</v>
      </c>
      <c r="B1416" t="s">
        <v>714</v>
      </c>
      <c r="C1416" t="s">
        <v>5228</v>
      </c>
      <c r="D1416" t="s">
        <v>18995</v>
      </c>
      <c r="E1416" t="s">
        <v>20393</v>
      </c>
      <c r="F1416" t="s">
        <v>32606</v>
      </c>
      <c r="G1416" t="s">
        <v>32614</v>
      </c>
      <c r="H1416" t="s">
        <v>32623</v>
      </c>
      <c r="I1416" t="s">
        <v>17648</v>
      </c>
      <c r="J1416" t="s">
        <v>33824</v>
      </c>
      <c r="K1416" t="s">
        <v>42631</v>
      </c>
      <c r="M1416" t="s">
        <v>43635</v>
      </c>
      <c r="N1416" t="s">
        <v>47304</v>
      </c>
      <c r="O1416" t="s">
        <v>47305</v>
      </c>
      <c r="P1416">
        <v>0</v>
      </c>
      <c r="Q1416">
        <v>0</v>
      </c>
      <c r="R1416" t="s">
        <v>47307</v>
      </c>
      <c r="S1416" t="s">
        <v>47416</v>
      </c>
      <c r="T1416" t="s">
        <v>48986</v>
      </c>
      <c r="U1416" t="s">
        <v>50826</v>
      </c>
      <c r="W1416" t="s">
        <v>43635</v>
      </c>
      <c r="X1416" t="s">
        <v>47306</v>
      </c>
    </row>
    <row r="1417" spans="1:24">
      <c r="A1417">
        <f>HYPERLINK("https://www.philgeps.gov.ph/GEPSNONPILOT/Tender/SplashBidNoticeAbstractUI.aspx?menuIndex=3&amp;refID=7199163&amp;Result=3","7199163")</f>
        <v>0</v>
      </c>
      <c r="B1417" t="s">
        <v>438</v>
      </c>
      <c r="C1417" t="s">
        <v>5229</v>
      </c>
      <c r="D1417" t="s">
        <v>19003</v>
      </c>
      <c r="E1417" t="s">
        <v>19360</v>
      </c>
      <c r="F1417" t="s">
        <v>32606</v>
      </c>
      <c r="G1417" t="s">
        <v>32614</v>
      </c>
      <c r="H1417" t="s">
        <v>32623</v>
      </c>
      <c r="I1417" t="s">
        <v>17648</v>
      </c>
      <c r="J1417" t="s">
        <v>33825</v>
      </c>
      <c r="K1417" t="s">
        <v>42623</v>
      </c>
      <c r="M1417" t="s">
        <v>43345</v>
      </c>
      <c r="N1417" t="s">
        <v>47304</v>
      </c>
      <c r="O1417" t="s">
        <v>47305</v>
      </c>
      <c r="P1417">
        <v>0</v>
      </c>
      <c r="Q1417">
        <v>0</v>
      </c>
      <c r="R1417" t="s">
        <v>47307</v>
      </c>
      <c r="S1417" t="s">
        <v>47416</v>
      </c>
      <c r="T1417" t="s">
        <v>49017</v>
      </c>
      <c r="U1417" t="s">
        <v>50827</v>
      </c>
      <c r="W1417" t="s">
        <v>43345</v>
      </c>
      <c r="X1417" t="s">
        <v>47306</v>
      </c>
    </row>
    <row r="1418" spans="1:24">
      <c r="A1418">
        <f>HYPERLINK("https://www.philgeps.gov.ph/GEPSNONPILOT/Tender/SplashBidNoticeAbstractUI.aspx?menuIndex=3&amp;refID=7199162&amp;Result=3","7199162")</f>
        <v>0</v>
      </c>
      <c r="B1418" t="s">
        <v>589</v>
      </c>
      <c r="C1418" t="s">
        <v>5230</v>
      </c>
      <c r="D1418" t="s">
        <v>19003</v>
      </c>
      <c r="E1418" t="s">
        <v>20394</v>
      </c>
      <c r="F1418" t="s">
        <v>32607</v>
      </c>
      <c r="G1418" t="s">
        <v>32613</v>
      </c>
      <c r="H1418" t="s">
        <v>14201</v>
      </c>
      <c r="I1418" t="s">
        <v>6931</v>
      </c>
      <c r="J1418" t="s">
        <v>33826</v>
      </c>
      <c r="K1418" t="s">
        <v>42622</v>
      </c>
      <c r="M1418" t="s">
        <v>43504</v>
      </c>
      <c r="N1418" t="s">
        <v>47304</v>
      </c>
      <c r="O1418" t="s">
        <v>47305</v>
      </c>
      <c r="P1418">
        <v>0</v>
      </c>
      <c r="Q1418">
        <v>0</v>
      </c>
      <c r="R1418" t="s">
        <v>47307</v>
      </c>
      <c r="S1418" t="s">
        <v>47416</v>
      </c>
      <c r="T1418" t="s">
        <v>49154</v>
      </c>
      <c r="U1418" t="s">
        <v>50828</v>
      </c>
      <c r="W1418" t="s">
        <v>43504</v>
      </c>
      <c r="X1418" t="s">
        <v>47306</v>
      </c>
    </row>
    <row r="1419" spans="1:24">
      <c r="A1419">
        <f>HYPERLINK("https://www.philgeps.gov.ph/GEPSNONPILOT/Tender/SplashBidNoticeAbstractUI.aspx?menuIndex=3&amp;refID=7199160&amp;Result=3","7199160")</f>
        <v>0</v>
      </c>
      <c r="B1419" t="s">
        <v>715</v>
      </c>
      <c r="C1419" t="s">
        <v>5231</v>
      </c>
      <c r="D1419" t="s">
        <v>19006</v>
      </c>
      <c r="E1419" t="s">
        <v>5231</v>
      </c>
      <c r="F1419" t="s">
        <v>32606</v>
      </c>
      <c r="G1419" t="s">
        <v>32619</v>
      </c>
      <c r="H1419" t="s">
        <v>14201</v>
      </c>
      <c r="I1419" t="s">
        <v>6478</v>
      </c>
      <c r="J1419" t="s">
        <v>32923</v>
      </c>
      <c r="K1419" t="s">
        <v>42630</v>
      </c>
      <c r="M1419" t="s">
        <v>43636</v>
      </c>
      <c r="N1419" t="s">
        <v>47304</v>
      </c>
      <c r="O1419" t="s">
        <v>47305</v>
      </c>
      <c r="P1419">
        <v>0</v>
      </c>
      <c r="Q1419">
        <v>0</v>
      </c>
      <c r="R1419" t="s">
        <v>47307</v>
      </c>
      <c r="S1419" t="s">
        <v>47416</v>
      </c>
      <c r="T1419" t="s">
        <v>49162</v>
      </c>
      <c r="U1419" t="s">
        <v>50829</v>
      </c>
      <c r="W1419" t="s">
        <v>43636</v>
      </c>
      <c r="X1419" t="s">
        <v>47306</v>
      </c>
    </row>
    <row r="1420" spans="1:24">
      <c r="A1420">
        <f>HYPERLINK("https://www.philgeps.gov.ph/GEPSNONPILOT/Tender/SplashBidNoticeAbstractUI.aspx?menuIndex=3&amp;refID=7199165&amp;Result=3","7199165")</f>
        <v>0</v>
      </c>
      <c r="B1420" t="s">
        <v>716</v>
      </c>
      <c r="C1420" t="s">
        <v>5232</v>
      </c>
      <c r="D1420" t="s">
        <v>19008</v>
      </c>
      <c r="E1420" t="s">
        <v>20395</v>
      </c>
      <c r="F1420" t="s">
        <v>32606</v>
      </c>
      <c r="G1420" t="s">
        <v>32614</v>
      </c>
      <c r="H1420" t="s">
        <v>14201</v>
      </c>
      <c r="I1420" t="s">
        <v>7233</v>
      </c>
      <c r="J1420" t="s">
        <v>33827</v>
      </c>
      <c r="K1420" t="s">
        <v>42624</v>
      </c>
      <c r="M1420" t="s">
        <v>43637</v>
      </c>
      <c r="N1420" t="s">
        <v>47304</v>
      </c>
      <c r="O1420" t="s">
        <v>47305</v>
      </c>
      <c r="P1420">
        <v>0</v>
      </c>
      <c r="Q1420">
        <v>0</v>
      </c>
      <c r="R1420" t="s">
        <v>47307</v>
      </c>
      <c r="S1420" t="s">
        <v>47416</v>
      </c>
      <c r="T1420" t="s">
        <v>48988</v>
      </c>
      <c r="U1420" t="s">
        <v>50830</v>
      </c>
      <c r="W1420" t="s">
        <v>43637</v>
      </c>
      <c r="X1420" t="s">
        <v>47306</v>
      </c>
    </row>
    <row r="1421" spans="1:24">
      <c r="A1421">
        <f>HYPERLINK("https://www.philgeps.gov.ph/GEPSNONPILOT/Tender/SplashBidNoticeAbstractUI.aspx?menuIndex=3&amp;refID=7199158&amp;Result=3","7199158")</f>
        <v>0</v>
      </c>
      <c r="B1421" t="s">
        <v>717</v>
      </c>
      <c r="C1421" t="s">
        <v>5233</v>
      </c>
      <c r="D1421" t="s">
        <v>19024</v>
      </c>
      <c r="E1421" t="s">
        <v>20396</v>
      </c>
      <c r="F1421" t="s">
        <v>32606</v>
      </c>
      <c r="G1421" t="s">
        <v>32614</v>
      </c>
      <c r="H1421" t="s">
        <v>14201</v>
      </c>
      <c r="I1421" t="s">
        <v>5233</v>
      </c>
      <c r="J1421" t="s">
        <v>33828</v>
      </c>
      <c r="K1421" t="s">
        <v>42630</v>
      </c>
      <c r="M1421" t="s">
        <v>43638</v>
      </c>
      <c r="N1421" t="s">
        <v>47304</v>
      </c>
      <c r="O1421" t="s">
        <v>47305</v>
      </c>
      <c r="P1421">
        <v>0</v>
      </c>
      <c r="Q1421">
        <v>0</v>
      </c>
      <c r="R1421" t="s">
        <v>47307</v>
      </c>
      <c r="S1421" t="s">
        <v>47416</v>
      </c>
      <c r="T1421" t="s">
        <v>48972</v>
      </c>
      <c r="U1421" t="s">
        <v>50831</v>
      </c>
      <c r="W1421" t="s">
        <v>43638</v>
      </c>
      <c r="X1421" t="s">
        <v>47306</v>
      </c>
    </row>
    <row r="1422" spans="1:24">
      <c r="A1422">
        <f>HYPERLINK("https://www.philgeps.gov.ph/GEPSNONPILOT/Tender/SplashBidNoticeAbstractUI.aspx?menuIndex=3&amp;refID=7199177&amp;Result=3","7199177")</f>
        <v>0</v>
      </c>
      <c r="B1422" t="s">
        <v>581</v>
      </c>
      <c r="C1422" t="s">
        <v>5234</v>
      </c>
      <c r="D1422" t="s">
        <v>19036</v>
      </c>
      <c r="E1422" t="s">
        <v>20397</v>
      </c>
      <c r="F1422" t="s">
        <v>32606</v>
      </c>
      <c r="G1422" t="s">
        <v>32613</v>
      </c>
      <c r="H1422" t="s">
        <v>32624</v>
      </c>
      <c r="I1422" t="s">
        <v>9297</v>
      </c>
      <c r="J1422" t="s">
        <v>33829</v>
      </c>
      <c r="K1422" t="s">
        <v>42707</v>
      </c>
      <c r="M1422" t="s">
        <v>43496</v>
      </c>
      <c r="N1422" t="s">
        <v>47304</v>
      </c>
      <c r="O1422" t="s">
        <v>47305</v>
      </c>
      <c r="P1422">
        <v>0</v>
      </c>
      <c r="Q1422">
        <v>0</v>
      </c>
      <c r="R1422" t="s">
        <v>47307</v>
      </c>
      <c r="S1422" t="s">
        <v>47416</v>
      </c>
      <c r="T1422" t="s">
        <v>49110</v>
      </c>
      <c r="U1422" t="s">
        <v>50832</v>
      </c>
      <c r="W1422" t="s">
        <v>43496</v>
      </c>
      <c r="X1422" t="s">
        <v>47306</v>
      </c>
    </row>
    <row r="1423" spans="1:24">
      <c r="A1423">
        <f>HYPERLINK("https://www.philgeps.gov.ph/GEPSNONPILOT/Tender/SplashBidNoticeAbstractUI.aspx?menuIndex=3&amp;refID=7199157&amp;Result=3","7199157")</f>
        <v>0</v>
      </c>
      <c r="B1423" t="s">
        <v>605</v>
      </c>
      <c r="C1423" t="s">
        <v>5235</v>
      </c>
      <c r="D1423" t="s">
        <v>19024</v>
      </c>
      <c r="E1423" t="s">
        <v>20398</v>
      </c>
      <c r="F1423" t="s">
        <v>32606</v>
      </c>
      <c r="G1423" t="s">
        <v>32613</v>
      </c>
      <c r="H1423" t="s">
        <v>32623</v>
      </c>
      <c r="I1423" t="s">
        <v>17648</v>
      </c>
      <c r="J1423" t="s">
        <v>33103</v>
      </c>
      <c r="K1423" t="s">
        <v>42636</v>
      </c>
      <c r="M1423" t="s">
        <v>43521</v>
      </c>
      <c r="N1423" t="s">
        <v>47304</v>
      </c>
      <c r="O1423" t="s">
        <v>47305</v>
      </c>
      <c r="P1423">
        <v>0</v>
      </c>
      <c r="Q1423">
        <v>0</v>
      </c>
      <c r="R1423" t="s">
        <v>47307</v>
      </c>
      <c r="S1423" t="s">
        <v>47416</v>
      </c>
      <c r="T1423" t="s">
        <v>48996</v>
      </c>
      <c r="U1423" t="s">
        <v>50646</v>
      </c>
      <c r="W1423" t="s">
        <v>43521</v>
      </c>
      <c r="X1423" t="s">
        <v>47306</v>
      </c>
    </row>
    <row r="1424" spans="1:24">
      <c r="A1424">
        <f>HYPERLINK("https://www.philgeps.gov.ph/GEPSNONPILOT/Tender/SplashBidNoticeAbstractUI.aspx?menuIndex=3&amp;refID=7199166&amp;Result=3","7199166")</f>
        <v>0</v>
      </c>
      <c r="B1424" t="s">
        <v>443</v>
      </c>
      <c r="C1424" t="s">
        <v>5236</v>
      </c>
      <c r="D1424" t="s">
        <v>19003</v>
      </c>
      <c r="E1424" t="s">
        <v>20399</v>
      </c>
      <c r="F1424" t="s">
        <v>32606</v>
      </c>
      <c r="G1424" t="s">
        <v>32614</v>
      </c>
      <c r="H1424" t="s">
        <v>14201</v>
      </c>
      <c r="I1424" t="s">
        <v>4678</v>
      </c>
      <c r="J1424" t="s">
        <v>33830</v>
      </c>
      <c r="K1424" t="s">
        <v>42629</v>
      </c>
      <c r="M1424" t="s">
        <v>43567</v>
      </c>
      <c r="N1424" t="s">
        <v>47304</v>
      </c>
      <c r="O1424" t="s">
        <v>47305</v>
      </c>
      <c r="P1424">
        <v>0</v>
      </c>
      <c r="Q1424">
        <v>0</v>
      </c>
      <c r="R1424" t="s">
        <v>47307</v>
      </c>
      <c r="S1424" t="s">
        <v>47416</v>
      </c>
      <c r="T1424" t="s">
        <v>48975</v>
      </c>
      <c r="U1424" t="s">
        <v>50833</v>
      </c>
      <c r="W1424" t="s">
        <v>43567</v>
      </c>
      <c r="X1424" t="s">
        <v>47306</v>
      </c>
    </row>
    <row r="1425" spans="1:24">
      <c r="A1425">
        <f>HYPERLINK("https://www.philgeps.gov.ph/GEPSNONPILOT/Tender/SplashBidNoticeAbstractUI.aspx?menuIndex=3&amp;refID=7199170&amp;Result=3","7199170")</f>
        <v>0</v>
      </c>
      <c r="B1425" t="s">
        <v>690</v>
      </c>
      <c r="C1425" t="s">
        <v>5237</v>
      </c>
      <c r="D1425" t="s">
        <v>19022</v>
      </c>
      <c r="E1425" t="s">
        <v>20400</v>
      </c>
      <c r="F1425" t="s">
        <v>32606</v>
      </c>
      <c r="G1425" t="s">
        <v>32614</v>
      </c>
      <c r="H1425" t="s">
        <v>14201</v>
      </c>
      <c r="I1425" t="s">
        <v>32650</v>
      </c>
      <c r="J1425" t="s">
        <v>32981</v>
      </c>
      <c r="K1425" t="s">
        <v>42623</v>
      </c>
      <c r="M1425" t="s">
        <v>43611</v>
      </c>
      <c r="N1425" t="s">
        <v>47304</v>
      </c>
      <c r="O1425" t="s">
        <v>47305</v>
      </c>
      <c r="P1425">
        <v>0</v>
      </c>
      <c r="Q1425">
        <v>0</v>
      </c>
      <c r="R1425" t="s">
        <v>47307</v>
      </c>
      <c r="S1425" t="s">
        <v>47416</v>
      </c>
      <c r="T1425" t="s">
        <v>49018</v>
      </c>
      <c r="U1425" t="s">
        <v>50834</v>
      </c>
      <c r="W1425" t="s">
        <v>43611</v>
      </c>
      <c r="X1425" t="s">
        <v>47306</v>
      </c>
    </row>
    <row r="1426" spans="1:24">
      <c r="A1426">
        <f>HYPERLINK("https://www.philgeps.gov.ph/GEPSNONPILOT/Tender/SplashBidNoticeAbstractUI.aspx?menuIndex=3&amp;refID=7199104&amp;Result=3","7199104")</f>
        <v>0</v>
      </c>
      <c r="B1426" t="s">
        <v>569</v>
      </c>
      <c r="C1426" t="s">
        <v>5238</v>
      </c>
      <c r="D1426" t="s">
        <v>18993</v>
      </c>
      <c r="E1426" t="s">
        <v>20401</v>
      </c>
      <c r="F1426" t="s">
        <v>32606</v>
      </c>
      <c r="G1426" t="s">
        <v>32619</v>
      </c>
      <c r="H1426" t="s">
        <v>14201</v>
      </c>
      <c r="I1426" t="s">
        <v>4678</v>
      </c>
      <c r="J1426" t="s">
        <v>33831</v>
      </c>
      <c r="K1426" t="s">
        <v>42623</v>
      </c>
      <c r="M1426" t="s">
        <v>43484</v>
      </c>
      <c r="N1426" t="s">
        <v>47304</v>
      </c>
      <c r="O1426" t="s">
        <v>47305</v>
      </c>
      <c r="P1426">
        <v>0</v>
      </c>
      <c r="Q1426">
        <v>0</v>
      </c>
      <c r="R1426" t="s">
        <v>47307</v>
      </c>
      <c r="S1426" t="s">
        <v>47416</v>
      </c>
      <c r="T1426" t="s">
        <v>49050</v>
      </c>
      <c r="U1426" t="s">
        <v>50835</v>
      </c>
      <c r="W1426" t="s">
        <v>43484</v>
      </c>
      <c r="X1426" t="s">
        <v>47306</v>
      </c>
    </row>
    <row r="1427" spans="1:24">
      <c r="A1427">
        <f>HYPERLINK("https://www.philgeps.gov.ph/GEPSNONPILOT/Tender/SplashBidNoticeAbstractUI.aspx?menuIndex=3&amp;refID=7199159&amp;Result=3","7199159")</f>
        <v>0</v>
      </c>
      <c r="B1427" t="s">
        <v>718</v>
      </c>
      <c r="C1427" t="s">
        <v>5239</v>
      </c>
      <c r="D1427" t="s">
        <v>19037</v>
      </c>
      <c r="E1427" t="s">
        <v>20402</v>
      </c>
      <c r="F1427" t="s">
        <v>32606</v>
      </c>
      <c r="G1427" t="s">
        <v>32614</v>
      </c>
      <c r="H1427" t="s">
        <v>14201</v>
      </c>
      <c r="I1427" t="s">
        <v>32675</v>
      </c>
      <c r="J1427" t="s">
        <v>32981</v>
      </c>
      <c r="K1427" t="s">
        <v>42623</v>
      </c>
      <c r="M1427" t="s">
        <v>43639</v>
      </c>
      <c r="N1427" t="s">
        <v>47304</v>
      </c>
      <c r="O1427" t="s">
        <v>47305</v>
      </c>
      <c r="P1427">
        <v>0</v>
      </c>
      <c r="Q1427">
        <v>0</v>
      </c>
      <c r="R1427" t="s">
        <v>47307</v>
      </c>
      <c r="S1427" t="s">
        <v>47416</v>
      </c>
      <c r="T1427" t="s">
        <v>49087</v>
      </c>
      <c r="U1427" t="s">
        <v>50836</v>
      </c>
      <c r="V1427" t="s">
        <v>62811</v>
      </c>
      <c r="W1427" t="s">
        <v>43639</v>
      </c>
      <c r="X1427" t="s">
        <v>47306</v>
      </c>
    </row>
    <row r="1428" spans="1:24">
      <c r="A1428">
        <f>HYPERLINK("https://www.philgeps.gov.ph/GEPSNONPILOT/Tender/SplashBidNoticeAbstractUI.aspx?menuIndex=3&amp;refID=7199179&amp;Result=3","7199179")</f>
        <v>0</v>
      </c>
      <c r="B1428" t="s">
        <v>719</v>
      </c>
      <c r="C1428" t="s">
        <v>5240</v>
      </c>
      <c r="D1428" t="s">
        <v>19004</v>
      </c>
      <c r="E1428" t="s">
        <v>20403</v>
      </c>
      <c r="F1428" t="s">
        <v>32606</v>
      </c>
      <c r="G1428" t="s">
        <v>32619</v>
      </c>
      <c r="H1428" t="s">
        <v>14201</v>
      </c>
      <c r="I1428" t="s">
        <v>4120</v>
      </c>
      <c r="J1428" t="s">
        <v>33832</v>
      </c>
      <c r="K1428" t="s">
        <v>42629</v>
      </c>
      <c r="M1428" t="s">
        <v>43640</v>
      </c>
      <c r="N1428" t="s">
        <v>47304</v>
      </c>
      <c r="O1428" t="s">
        <v>47305</v>
      </c>
      <c r="P1428">
        <v>0</v>
      </c>
      <c r="Q1428">
        <v>0</v>
      </c>
      <c r="R1428" t="s">
        <v>47307</v>
      </c>
      <c r="S1428" t="s">
        <v>47416</v>
      </c>
      <c r="T1428" t="s">
        <v>48975</v>
      </c>
      <c r="U1428" t="s">
        <v>50837</v>
      </c>
      <c r="W1428" t="s">
        <v>43640</v>
      </c>
      <c r="X1428" t="s">
        <v>47306</v>
      </c>
    </row>
    <row r="1429" spans="1:24">
      <c r="A1429">
        <f>HYPERLINK("https://www.philgeps.gov.ph/GEPSNONPILOT/Tender/SplashBidNoticeAbstractUI.aspx?menuIndex=3&amp;refID=7199202&amp;Result=3","7199202")</f>
        <v>0</v>
      </c>
      <c r="B1429" t="s">
        <v>720</v>
      </c>
      <c r="C1429" t="s">
        <v>5241</v>
      </c>
      <c r="D1429" t="s">
        <v>18994</v>
      </c>
      <c r="E1429" t="s">
        <v>20404</v>
      </c>
      <c r="F1429" t="s">
        <v>32606</v>
      </c>
      <c r="G1429" t="s">
        <v>32619</v>
      </c>
      <c r="H1429" t="s">
        <v>14201</v>
      </c>
      <c r="I1429" t="s">
        <v>32626</v>
      </c>
      <c r="J1429" t="s">
        <v>33833</v>
      </c>
      <c r="K1429" t="s">
        <v>42631</v>
      </c>
      <c r="M1429" t="s">
        <v>43641</v>
      </c>
      <c r="N1429" t="s">
        <v>47304</v>
      </c>
      <c r="O1429" t="s">
        <v>47305</v>
      </c>
      <c r="P1429">
        <v>0</v>
      </c>
      <c r="Q1429">
        <v>0</v>
      </c>
      <c r="R1429" t="s">
        <v>47307</v>
      </c>
      <c r="S1429" t="s">
        <v>47416</v>
      </c>
      <c r="T1429" t="s">
        <v>48976</v>
      </c>
      <c r="U1429" t="s">
        <v>50838</v>
      </c>
      <c r="V1429" t="s">
        <v>62812</v>
      </c>
      <c r="W1429" t="s">
        <v>43641</v>
      </c>
      <c r="X1429" t="s">
        <v>47306</v>
      </c>
    </row>
    <row r="1430" spans="1:24">
      <c r="A1430">
        <f>HYPERLINK("https://www.philgeps.gov.ph/GEPSNONPILOT/Tender/SplashBidNoticeAbstractUI.aspx?menuIndex=3&amp;refID=7199108&amp;Result=3","7199108")</f>
        <v>0</v>
      </c>
      <c r="B1430" t="s">
        <v>540</v>
      </c>
      <c r="C1430" t="s">
        <v>5242</v>
      </c>
      <c r="D1430" t="s">
        <v>19001</v>
      </c>
      <c r="E1430" t="s">
        <v>20405</v>
      </c>
      <c r="F1430" t="s">
        <v>32606</v>
      </c>
      <c r="G1430" t="s">
        <v>32614</v>
      </c>
      <c r="H1430" t="s">
        <v>14201</v>
      </c>
      <c r="I1430" t="s">
        <v>32629</v>
      </c>
      <c r="J1430" t="s">
        <v>32789</v>
      </c>
      <c r="K1430" t="s">
        <v>42622</v>
      </c>
      <c r="M1430" t="s">
        <v>43460</v>
      </c>
      <c r="N1430" t="s">
        <v>47304</v>
      </c>
      <c r="O1430" t="s">
        <v>47305</v>
      </c>
      <c r="P1430">
        <v>0</v>
      </c>
      <c r="Q1430">
        <v>0</v>
      </c>
      <c r="R1430" t="s">
        <v>47307</v>
      </c>
      <c r="S1430" t="s">
        <v>47416</v>
      </c>
      <c r="T1430" t="s">
        <v>48986</v>
      </c>
      <c r="U1430" t="s">
        <v>50839</v>
      </c>
      <c r="W1430" t="s">
        <v>43460</v>
      </c>
      <c r="X1430" t="s">
        <v>47306</v>
      </c>
    </row>
    <row r="1431" spans="1:24">
      <c r="A1431">
        <f>HYPERLINK("https://www.philgeps.gov.ph/GEPSNONPILOT/Tender/SplashBidNoticeAbstractUI.aspx?menuIndex=3&amp;refID=7199200&amp;Result=3","7199200")</f>
        <v>0</v>
      </c>
      <c r="B1431" t="s">
        <v>662</v>
      </c>
      <c r="C1431" t="s">
        <v>5243</v>
      </c>
      <c r="D1431" t="s">
        <v>19023</v>
      </c>
      <c r="E1431" t="s">
        <v>20406</v>
      </c>
      <c r="F1431" t="s">
        <v>32606</v>
      </c>
      <c r="G1431" t="s">
        <v>32613</v>
      </c>
      <c r="H1431" t="s">
        <v>14201</v>
      </c>
      <c r="I1431" t="s">
        <v>32640</v>
      </c>
      <c r="J1431" t="s">
        <v>32860</v>
      </c>
      <c r="K1431" t="s">
        <v>42631</v>
      </c>
      <c r="M1431" t="s">
        <v>43582</v>
      </c>
      <c r="N1431" t="s">
        <v>47304</v>
      </c>
      <c r="O1431" t="s">
        <v>47305</v>
      </c>
      <c r="P1431">
        <v>0</v>
      </c>
      <c r="Q1431">
        <v>0</v>
      </c>
      <c r="R1431" t="s">
        <v>47307</v>
      </c>
      <c r="S1431" t="s">
        <v>47416</v>
      </c>
      <c r="T1431" t="s">
        <v>48995</v>
      </c>
      <c r="U1431" t="s">
        <v>50840</v>
      </c>
      <c r="W1431" t="s">
        <v>43582</v>
      </c>
      <c r="X1431" t="s">
        <v>47306</v>
      </c>
    </row>
    <row r="1432" spans="1:24">
      <c r="A1432">
        <f>HYPERLINK("https://www.philgeps.gov.ph/GEPSNONPILOT/Tender/SplashBidNoticeAbstractUI.aspx?menuIndex=3&amp;refID=7199106&amp;Result=3","7199106")</f>
        <v>0</v>
      </c>
      <c r="B1432" t="s">
        <v>692</v>
      </c>
      <c r="C1432" t="s">
        <v>5244</v>
      </c>
      <c r="D1432" t="s">
        <v>18992</v>
      </c>
      <c r="E1432" t="s">
        <v>20332</v>
      </c>
      <c r="F1432" t="s">
        <v>32606</v>
      </c>
      <c r="G1432" t="s">
        <v>32614</v>
      </c>
      <c r="H1432" t="s">
        <v>14201</v>
      </c>
      <c r="I1432" t="s">
        <v>32650</v>
      </c>
      <c r="J1432" t="s">
        <v>33834</v>
      </c>
      <c r="K1432" t="s">
        <v>42629</v>
      </c>
      <c r="M1432" t="s">
        <v>43613</v>
      </c>
      <c r="N1432" t="s">
        <v>47304</v>
      </c>
      <c r="O1432" t="s">
        <v>47305</v>
      </c>
      <c r="P1432">
        <v>0</v>
      </c>
      <c r="Q1432">
        <v>0</v>
      </c>
      <c r="R1432" t="s">
        <v>47307</v>
      </c>
      <c r="S1432" t="s">
        <v>47416</v>
      </c>
      <c r="T1432" t="s">
        <v>48986</v>
      </c>
      <c r="U1432" t="s">
        <v>50841</v>
      </c>
      <c r="W1432" t="s">
        <v>43613</v>
      </c>
      <c r="X1432" t="s">
        <v>47306</v>
      </c>
    </row>
    <row r="1433" spans="1:24">
      <c r="A1433">
        <f>HYPERLINK("https://www.philgeps.gov.ph/GEPSNONPILOT/Tender/SplashBidNoticeAbstractUI.aspx?menuIndex=3&amp;refID=7199161&amp;Result=3","7199161")</f>
        <v>0</v>
      </c>
      <c r="B1433" t="s">
        <v>721</v>
      </c>
      <c r="C1433" t="s">
        <v>5245</v>
      </c>
      <c r="D1433" t="s">
        <v>18994</v>
      </c>
      <c r="E1433" t="s">
        <v>20407</v>
      </c>
      <c r="F1433" t="s">
        <v>32606</v>
      </c>
      <c r="G1433" t="s">
        <v>32613</v>
      </c>
      <c r="H1433" t="s">
        <v>14201</v>
      </c>
      <c r="I1433" t="s">
        <v>32640</v>
      </c>
      <c r="J1433" t="s">
        <v>33835</v>
      </c>
      <c r="K1433" t="s">
        <v>42631</v>
      </c>
      <c r="M1433" t="s">
        <v>43642</v>
      </c>
      <c r="N1433" t="s">
        <v>47304</v>
      </c>
      <c r="O1433" t="s">
        <v>47305</v>
      </c>
      <c r="P1433">
        <v>0</v>
      </c>
      <c r="Q1433">
        <v>0</v>
      </c>
      <c r="R1433" t="s">
        <v>47307</v>
      </c>
      <c r="S1433" t="s">
        <v>47416</v>
      </c>
      <c r="T1433" t="s">
        <v>48971</v>
      </c>
      <c r="U1433" t="s">
        <v>50842</v>
      </c>
      <c r="V1433" t="s">
        <v>62813</v>
      </c>
      <c r="W1433" t="s">
        <v>43642</v>
      </c>
      <c r="X1433" t="s">
        <v>47306</v>
      </c>
    </row>
    <row r="1434" spans="1:24">
      <c r="A1434">
        <f>HYPERLINK("https://www.philgeps.gov.ph/GEPSNONPILOT/Tender/SplashBidNoticeAbstractUI.aspx?menuIndex=3&amp;refID=7199103&amp;Result=3","7199103")</f>
        <v>0</v>
      </c>
      <c r="B1434" t="s">
        <v>706</v>
      </c>
      <c r="C1434" t="s">
        <v>5246</v>
      </c>
      <c r="D1434" t="s">
        <v>18986</v>
      </c>
      <c r="E1434" t="s">
        <v>20408</v>
      </c>
      <c r="F1434" t="s">
        <v>32606</v>
      </c>
      <c r="G1434" t="s">
        <v>32613</v>
      </c>
      <c r="H1434" t="s">
        <v>14201</v>
      </c>
      <c r="I1434" t="s">
        <v>7677</v>
      </c>
      <c r="J1434" t="s">
        <v>33836</v>
      </c>
      <c r="K1434" t="s">
        <v>42631</v>
      </c>
      <c r="M1434" t="s">
        <v>43627</v>
      </c>
      <c r="N1434" t="s">
        <v>47304</v>
      </c>
      <c r="O1434" t="s">
        <v>47305</v>
      </c>
      <c r="P1434">
        <v>0</v>
      </c>
      <c r="Q1434">
        <v>0</v>
      </c>
      <c r="R1434" t="s">
        <v>47307</v>
      </c>
      <c r="S1434" t="s">
        <v>47416</v>
      </c>
      <c r="T1434" t="s">
        <v>48996</v>
      </c>
      <c r="U1434" t="s">
        <v>50843</v>
      </c>
      <c r="W1434" t="s">
        <v>43627</v>
      </c>
      <c r="X1434" t="s">
        <v>47306</v>
      </c>
    </row>
    <row r="1435" spans="1:24">
      <c r="A1435">
        <f>HYPERLINK("https://www.philgeps.gov.ph/GEPSNONPILOT/Tender/SplashBidNoticeAbstractUI.aspx?menuIndex=3&amp;refID=7199199&amp;Result=3","7199199")</f>
        <v>0</v>
      </c>
      <c r="B1435" t="s">
        <v>722</v>
      </c>
      <c r="C1435" t="s">
        <v>5247</v>
      </c>
      <c r="D1435" t="s">
        <v>19056</v>
      </c>
      <c r="E1435" t="s">
        <v>20409</v>
      </c>
      <c r="F1435" t="s">
        <v>32606</v>
      </c>
      <c r="G1435" t="s">
        <v>32613</v>
      </c>
      <c r="H1435" t="s">
        <v>14201</v>
      </c>
      <c r="I1435" t="s">
        <v>32640</v>
      </c>
      <c r="J1435" t="s">
        <v>32795</v>
      </c>
      <c r="K1435" t="s">
        <v>42623</v>
      </c>
      <c r="M1435" t="s">
        <v>43643</v>
      </c>
      <c r="N1435" t="s">
        <v>47304</v>
      </c>
      <c r="O1435" t="s">
        <v>47305</v>
      </c>
      <c r="P1435">
        <v>0</v>
      </c>
      <c r="Q1435">
        <v>0</v>
      </c>
      <c r="R1435" t="s">
        <v>47307</v>
      </c>
      <c r="S1435" t="s">
        <v>47416</v>
      </c>
      <c r="T1435" t="s">
        <v>48995</v>
      </c>
      <c r="U1435" t="s">
        <v>50844</v>
      </c>
      <c r="W1435" t="s">
        <v>43643</v>
      </c>
      <c r="X1435" t="s">
        <v>47306</v>
      </c>
    </row>
    <row r="1436" spans="1:24">
      <c r="A1436">
        <f>HYPERLINK("https://www.philgeps.gov.ph/GEPSNONPILOT/Tender/SplashBidNoticeAbstractUI.aspx?menuIndex=3&amp;refID=7199197&amp;Result=3","7199197")</f>
        <v>0</v>
      </c>
      <c r="B1436" t="s">
        <v>723</v>
      </c>
      <c r="C1436" t="s">
        <v>5248</v>
      </c>
      <c r="D1436" t="s">
        <v>18994</v>
      </c>
      <c r="E1436" t="s">
        <v>20410</v>
      </c>
      <c r="F1436" t="s">
        <v>32606</v>
      </c>
      <c r="G1436" t="s">
        <v>32614</v>
      </c>
      <c r="H1436" t="s">
        <v>14201</v>
      </c>
      <c r="I1436" t="s">
        <v>6007</v>
      </c>
      <c r="J1436" t="s">
        <v>33837</v>
      </c>
      <c r="K1436" t="s">
        <v>42630</v>
      </c>
      <c r="M1436" t="s">
        <v>43644</v>
      </c>
      <c r="N1436" t="s">
        <v>47304</v>
      </c>
      <c r="O1436" t="s">
        <v>47305</v>
      </c>
      <c r="P1436">
        <v>0</v>
      </c>
      <c r="Q1436">
        <v>0</v>
      </c>
      <c r="R1436" t="s">
        <v>47307</v>
      </c>
      <c r="S1436" t="s">
        <v>47416</v>
      </c>
      <c r="T1436" t="s">
        <v>49175</v>
      </c>
      <c r="U1436" t="s">
        <v>50845</v>
      </c>
      <c r="W1436" t="s">
        <v>43644</v>
      </c>
      <c r="X1436" t="s">
        <v>47306</v>
      </c>
    </row>
    <row r="1437" spans="1:24">
      <c r="A1437">
        <f>HYPERLINK("https://www.philgeps.gov.ph/GEPSNONPILOT/Tender/SplashBidNoticeAbstractUI.aspx?menuIndex=3&amp;refID=7199195&amp;Result=3","7199195")</f>
        <v>0</v>
      </c>
      <c r="B1437" t="s">
        <v>84</v>
      </c>
      <c r="C1437" t="s">
        <v>5249</v>
      </c>
      <c r="D1437" t="s">
        <v>19014</v>
      </c>
      <c r="E1437" t="s">
        <v>5249</v>
      </c>
      <c r="F1437" t="s">
        <v>32606</v>
      </c>
      <c r="G1437" t="s">
        <v>32614</v>
      </c>
      <c r="H1437" t="s">
        <v>14201</v>
      </c>
      <c r="I1437" t="s">
        <v>32625</v>
      </c>
      <c r="J1437" t="s">
        <v>33838</v>
      </c>
      <c r="K1437" t="s">
        <v>42624</v>
      </c>
      <c r="M1437" t="s">
        <v>43645</v>
      </c>
      <c r="N1437" t="s">
        <v>47304</v>
      </c>
      <c r="O1437" t="s">
        <v>47305</v>
      </c>
      <c r="P1437">
        <v>0</v>
      </c>
      <c r="Q1437">
        <v>0</v>
      </c>
      <c r="R1437" t="s">
        <v>47307</v>
      </c>
      <c r="S1437" t="s">
        <v>47416</v>
      </c>
      <c r="T1437" t="s">
        <v>48987</v>
      </c>
      <c r="U1437" t="s">
        <v>50846</v>
      </c>
      <c r="W1437" t="s">
        <v>43645</v>
      </c>
      <c r="X1437" t="s">
        <v>47306</v>
      </c>
    </row>
    <row r="1438" spans="1:24">
      <c r="A1438">
        <f>HYPERLINK("https://www.philgeps.gov.ph/GEPSNONPILOT/Tender/SplashBidNoticeAbstractUI.aspx?menuIndex=3&amp;refID=7199174&amp;Result=3","7199174")</f>
        <v>0</v>
      </c>
      <c r="B1438" t="s">
        <v>724</v>
      </c>
      <c r="C1438" t="s">
        <v>5250</v>
      </c>
      <c r="D1438" t="s">
        <v>19049</v>
      </c>
      <c r="E1438" t="s">
        <v>20411</v>
      </c>
      <c r="F1438" t="s">
        <v>32606</v>
      </c>
      <c r="G1438" t="s">
        <v>32613</v>
      </c>
      <c r="H1438" t="s">
        <v>14201</v>
      </c>
      <c r="I1438" t="s">
        <v>32660</v>
      </c>
      <c r="J1438" t="s">
        <v>33839</v>
      </c>
      <c r="K1438" t="s">
        <v>42631</v>
      </c>
      <c r="M1438" t="s">
        <v>43646</v>
      </c>
      <c r="N1438" t="s">
        <v>47304</v>
      </c>
      <c r="O1438" t="s">
        <v>47305</v>
      </c>
      <c r="P1438">
        <v>0</v>
      </c>
      <c r="Q1438">
        <v>0</v>
      </c>
      <c r="R1438" t="s">
        <v>47307</v>
      </c>
      <c r="S1438" t="s">
        <v>47416</v>
      </c>
      <c r="T1438" t="s">
        <v>49001</v>
      </c>
      <c r="U1438" t="s">
        <v>50847</v>
      </c>
      <c r="W1438" t="s">
        <v>43646</v>
      </c>
      <c r="X1438" t="s">
        <v>47306</v>
      </c>
    </row>
    <row r="1439" spans="1:24">
      <c r="A1439">
        <f>HYPERLINK("https://www.philgeps.gov.ph/GEPSNONPILOT/Tender/SplashBidNoticeAbstractUI.aspx?menuIndex=3&amp;refID=7199192&amp;Result=3","7199192")</f>
        <v>0</v>
      </c>
      <c r="B1439" t="s">
        <v>617</v>
      </c>
      <c r="C1439" t="s">
        <v>5251</v>
      </c>
      <c r="D1439" t="s">
        <v>19058</v>
      </c>
      <c r="E1439" t="s">
        <v>20412</v>
      </c>
      <c r="F1439" t="s">
        <v>32606</v>
      </c>
      <c r="G1439" t="s">
        <v>32614</v>
      </c>
      <c r="H1439" t="s">
        <v>14201</v>
      </c>
      <c r="I1439" t="s">
        <v>32630</v>
      </c>
      <c r="J1439" t="s">
        <v>33840</v>
      </c>
      <c r="K1439" t="s">
        <v>42624</v>
      </c>
      <c r="M1439" t="s">
        <v>43535</v>
      </c>
      <c r="N1439" t="s">
        <v>47304</v>
      </c>
      <c r="O1439" t="s">
        <v>47305</v>
      </c>
      <c r="P1439">
        <v>0</v>
      </c>
      <c r="Q1439">
        <v>0</v>
      </c>
      <c r="R1439" t="s">
        <v>47307</v>
      </c>
      <c r="S1439" t="s">
        <v>47416</v>
      </c>
      <c r="T1439" t="s">
        <v>48988</v>
      </c>
      <c r="U1439" t="s">
        <v>50848</v>
      </c>
      <c r="V1439" t="s">
        <v>62789</v>
      </c>
      <c r="W1439" t="s">
        <v>43535</v>
      </c>
      <c r="X1439" t="s">
        <v>47306</v>
      </c>
    </row>
    <row r="1440" spans="1:24">
      <c r="A1440">
        <f>HYPERLINK("https://www.philgeps.gov.ph/GEPSNONPILOT/Tender/SplashBidNoticeAbstractUI.aspx?menuIndex=3&amp;refID=7199155&amp;Result=3","7199155")</f>
        <v>0</v>
      </c>
      <c r="B1440" t="s">
        <v>725</v>
      </c>
      <c r="C1440" t="s">
        <v>5252</v>
      </c>
      <c r="D1440" t="s">
        <v>18988</v>
      </c>
      <c r="E1440" t="s">
        <v>20413</v>
      </c>
      <c r="F1440" t="s">
        <v>32606</v>
      </c>
      <c r="G1440" t="s">
        <v>32619</v>
      </c>
      <c r="H1440" t="s">
        <v>14201</v>
      </c>
      <c r="I1440" t="s">
        <v>4114</v>
      </c>
      <c r="J1440" t="s">
        <v>33841</v>
      </c>
      <c r="K1440" t="s">
        <v>42623</v>
      </c>
      <c r="M1440" t="s">
        <v>43647</v>
      </c>
      <c r="N1440" t="s">
        <v>47304</v>
      </c>
      <c r="O1440" t="s">
        <v>47305</v>
      </c>
      <c r="P1440">
        <v>0</v>
      </c>
      <c r="Q1440">
        <v>0</v>
      </c>
      <c r="R1440" t="s">
        <v>47307</v>
      </c>
      <c r="S1440" t="s">
        <v>47416</v>
      </c>
      <c r="T1440" t="s">
        <v>48979</v>
      </c>
      <c r="U1440" t="s">
        <v>50849</v>
      </c>
      <c r="W1440" t="s">
        <v>43647</v>
      </c>
      <c r="X1440" t="s">
        <v>47306</v>
      </c>
    </row>
    <row r="1441" spans="1:24">
      <c r="A1441">
        <f>HYPERLINK("https://www.philgeps.gov.ph/GEPSNONPILOT/Tender/SplashBidNoticeAbstractUI.aspx?menuIndex=3&amp;refID=7199190&amp;Result=3","7199190")</f>
        <v>0</v>
      </c>
      <c r="B1441" t="s">
        <v>682</v>
      </c>
      <c r="C1441" t="s">
        <v>5253</v>
      </c>
      <c r="D1441" t="s">
        <v>19039</v>
      </c>
      <c r="E1441" t="s">
        <v>20414</v>
      </c>
      <c r="F1441" t="s">
        <v>32606</v>
      </c>
      <c r="G1441" t="s">
        <v>32614</v>
      </c>
      <c r="H1441" t="s">
        <v>14201</v>
      </c>
      <c r="I1441" t="s">
        <v>32673</v>
      </c>
      <c r="J1441" t="s">
        <v>33842</v>
      </c>
      <c r="K1441" t="s">
        <v>42623</v>
      </c>
      <c r="M1441" t="s">
        <v>43602</v>
      </c>
      <c r="N1441" t="s">
        <v>47304</v>
      </c>
      <c r="O1441" t="s">
        <v>47305</v>
      </c>
      <c r="P1441">
        <v>0</v>
      </c>
      <c r="Q1441">
        <v>0</v>
      </c>
      <c r="R1441" t="s">
        <v>47307</v>
      </c>
      <c r="S1441" t="s">
        <v>47416</v>
      </c>
      <c r="T1441" t="s">
        <v>49023</v>
      </c>
      <c r="U1441" t="s">
        <v>50739</v>
      </c>
      <c r="W1441" t="s">
        <v>43602</v>
      </c>
      <c r="X1441" t="s">
        <v>47306</v>
      </c>
    </row>
    <row r="1442" spans="1:24">
      <c r="A1442">
        <f>HYPERLINK("https://www.philgeps.gov.ph/GEPSNONPILOT/Tender/SplashBidNoticeAbstractUI.aspx?menuIndex=3&amp;refID=7199188&amp;Result=3","7199188")</f>
        <v>0</v>
      </c>
      <c r="B1442" t="s">
        <v>481</v>
      </c>
      <c r="C1442" t="s">
        <v>5030</v>
      </c>
      <c r="D1442" t="s">
        <v>18993</v>
      </c>
      <c r="E1442" t="s">
        <v>20415</v>
      </c>
      <c r="F1442" t="s">
        <v>32606</v>
      </c>
      <c r="G1442" t="s">
        <v>32617</v>
      </c>
      <c r="H1442" t="s">
        <v>14201</v>
      </c>
      <c r="I1442" t="s">
        <v>7577</v>
      </c>
      <c r="J1442" t="s">
        <v>33843</v>
      </c>
      <c r="K1442" t="s">
        <v>42627</v>
      </c>
      <c r="M1442" t="s">
        <v>43392</v>
      </c>
      <c r="N1442" t="s">
        <v>47304</v>
      </c>
      <c r="O1442" t="s">
        <v>47305</v>
      </c>
      <c r="P1442">
        <v>0</v>
      </c>
      <c r="Q1442">
        <v>0</v>
      </c>
      <c r="R1442" t="s">
        <v>47307</v>
      </c>
      <c r="S1442" t="s">
        <v>47416</v>
      </c>
      <c r="T1442" t="s">
        <v>49081</v>
      </c>
      <c r="U1442" t="s">
        <v>50850</v>
      </c>
      <c r="W1442" t="s">
        <v>43392</v>
      </c>
      <c r="X1442" t="s">
        <v>47306</v>
      </c>
    </row>
    <row r="1443" spans="1:24">
      <c r="A1443">
        <f>HYPERLINK("https://www.philgeps.gov.ph/GEPSNONPILOT/Tender/SplashBidNoticeAbstractUI.aspx?menuIndex=3&amp;refID=7199186&amp;Result=3","7199186")</f>
        <v>0</v>
      </c>
      <c r="B1443" t="s">
        <v>726</v>
      </c>
      <c r="C1443" t="s">
        <v>5254</v>
      </c>
      <c r="D1443" t="s">
        <v>19009</v>
      </c>
      <c r="E1443" t="s">
        <v>20416</v>
      </c>
      <c r="F1443" t="s">
        <v>32606</v>
      </c>
      <c r="G1443" t="s">
        <v>32615</v>
      </c>
      <c r="H1443" t="s">
        <v>14201</v>
      </c>
      <c r="I1443" t="s">
        <v>32640</v>
      </c>
      <c r="J1443" t="s">
        <v>32752</v>
      </c>
      <c r="K1443" t="s">
        <v>42623</v>
      </c>
      <c r="M1443" t="s">
        <v>43648</v>
      </c>
      <c r="N1443" t="s">
        <v>47304</v>
      </c>
      <c r="O1443" t="s">
        <v>47305</v>
      </c>
      <c r="P1443">
        <v>0</v>
      </c>
      <c r="Q1443">
        <v>0</v>
      </c>
      <c r="R1443" t="s">
        <v>47307</v>
      </c>
      <c r="S1443" t="s">
        <v>47416</v>
      </c>
      <c r="T1443" t="s">
        <v>48977</v>
      </c>
      <c r="U1443" t="s">
        <v>50851</v>
      </c>
      <c r="V1443" t="s">
        <v>62814</v>
      </c>
      <c r="W1443" t="s">
        <v>43648</v>
      </c>
      <c r="X1443" t="s">
        <v>47306</v>
      </c>
    </row>
    <row r="1444" spans="1:24">
      <c r="A1444">
        <f>HYPERLINK("https://www.philgeps.gov.ph/GEPSNONPILOT/Tender/SplashBidNoticeAbstractUI.aspx?menuIndex=3&amp;refID=7199185&amp;Result=3","7199185")</f>
        <v>0</v>
      </c>
      <c r="B1444" t="s">
        <v>727</v>
      </c>
      <c r="C1444" t="s">
        <v>5255</v>
      </c>
      <c r="D1444" t="s">
        <v>19017</v>
      </c>
      <c r="E1444" t="s">
        <v>20417</v>
      </c>
      <c r="F1444" t="s">
        <v>32607</v>
      </c>
      <c r="G1444" t="s">
        <v>32614</v>
      </c>
      <c r="H1444" t="s">
        <v>32625</v>
      </c>
      <c r="I1444" t="s">
        <v>32625</v>
      </c>
      <c r="J1444" t="s">
        <v>32778</v>
      </c>
      <c r="K1444" t="s">
        <v>42630</v>
      </c>
      <c r="M1444" t="s">
        <v>43649</v>
      </c>
      <c r="N1444" t="s">
        <v>47304</v>
      </c>
      <c r="O1444" t="s">
        <v>47305</v>
      </c>
      <c r="P1444">
        <v>0</v>
      </c>
      <c r="Q1444">
        <v>0</v>
      </c>
      <c r="R1444" t="s">
        <v>47307</v>
      </c>
      <c r="S1444" t="s">
        <v>47416</v>
      </c>
      <c r="T1444" t="s">
        <v>49028</v>
      </c>
      <c r="U1444" t="s">
        <v>50852</v>
      </c>
      <c r="W1444" t="s">
        <v>43649</v>
      </c>
      <c r="X1444" t="s">
        <v>47306</v>
      </c>
    </row>
    <row r="1445" spans="1:24">
      <c r="A1445">
        <f>HYPERLINK("https://www.philgeps.gov.ph/GEPSNONPILOT/Tender/SplashBidNoticeAbstractUI.aspx?menuIndex=3&amp;refID=7199184&amp;Result=3","7199184")</f>
        <v>0</v>
      </c>
      <c r="B1445" t="s">
        <v>728</v>
      </c>
      <c r="C1445" t="s">
        <v>5256</v>
      </c>
      <c r="D1445" t="s">
        <v>19025</v>
      </c>
      <c r="E1445" t="s">
        <v>20418</v>
      </c>
      <c r="F1445" t="s">
        <v>32606</v>
      </c>
      <c r="G1445" t="s">
        <v>32614</v>
      </c>
      <c r="H1445" t="s">
        <v>14201</v>
      </c>
      <c r="I1445" t="s">
        <v>6931</v>
      </c>
      <c r="J1445" t="s">
        <v>33844</v>
      </c>
      <c r="K1445" t="s">
        <v>42631</v>
      </c>
      <c r="M1445" t="s">
        <v>43650</v>
      </c>
      <c r="N1445" t="s">
        <v>47304</v>
      </c>
      <c r="O1445" t="s">
        <v>47305</v>
      </c>
      <c r="P1445">
        <v>0</v>
      </c>
      <c r="Q1445">
        <v>0</v>
      </c>
      <c r="R1445" t="s">
        <v>47307</v>
      </c>
      <c r="S1445" t="s">
        <v>47416</v>
      </c>
      <c r="T1445" t="s">
        <v>48986</v>
      </c>
      <c r="U1445" t="s">
        <v>50853</v>
      </c>
      <c r="W1445" t="s">
        <v>43650</v>
      </c>
      <c r="X1445" t="s">
        <v>47306</v>
      </c>
    </row>
    <row r="1446" spans="1:24">
      <c r="A1446">
        <f>HYPERLINK("https://www.philgeps.gov.ph/GEPSNONPILOT/Tender/SplashBidNoticeAbstractUI.aspx?menuIndex=3&amp;refID=7199181&amp;Result=3","7199181")</f>
        <v>0</v>
      </c>
      <c r="B1446" t="s">
        <v>247</v>
      </c>
      <c r="C1446" t="s">
        <v>5257</v>
      </c>
      <c r="D1446" t="s">
        <v>18993</v>
      </c>
      <c r="E1446" t="s">
        <v>20419</v>
      </c>
      <c r="F1446" t="s">
        <v>32606</v>
      </c>
      <c r="G1446" t="s">
        <v>32614</v>
      </c>
      <c r="H1446" t="s">
        <v>14201</v>
      </c>
      <c r="I1446" t="s">
        <v>4120</v>
      </c>
      <c r="J1446" t="s">
        <v>33845</v>
      </c>
      <c r="K1446" t="s">
        <v>42631</v>
      </c>
      <c r="M1446" t="s">
        <v>43148</v>
      </c>
      <c r="N1446" t="s">
        <v>47304</v>
      </c>
      <c r="O1446" t="s">
        <v>47305</v>
      </c>
      <c r="P1446">
        <v>0</v>
      </c>
      <c r="Q1446">
        <v>0</v>
      </c>
      <c r="R1446" t="s">
        <v>47307</v>
      </c>
      <c r="S1446" t="s">
        <v>47416</v>
      </c>
      <c r="T1446" t="s">
        <v>49108</v>
      </c>
      <c r="U1446" t="s">
        <v>50854</v>
      </c>
      <c r="W1446" t="s">
        <v>43148</v>
      </c>
      <c r="X1446" t="s">
        <v>47306</v>
      </c>
    </row>
    <row r="1447" spans="1:24">
      <c r="A1447">
        <f>HYPERLINK("https://www.philgeps.gov.ph/GEPSNONPILOT/Tender/SplashBidNoticeAbstractUI.aspx?menuIndex=3&amp;refID=7199196&amp;Result=3","7199196")</f>
        <v>0</v>
      </c>
      <c r="B1447" t="s">
        <v>729</v>
      </c>
      <c r="C1447" t="s">
        <v>5258</v>
      </c>
      <c r="D1447" t="s">
        <v>19007</v>
      </c>
      <c r="E1447" t="s">
        <v>20420</v>
      </c>
      <c r="F1447" t="s">
        <v>32606</v>
      </c>
      <c r="G1447" t="s">
        <v>32613</v>
      </c>
      <c r="H1447" t="s">
        <v>14201</v>
      </c>
      <c r="I1447" t="s">
        <v>7064</v>
      </c>
      <c r="J1447" t="s">
        <v>33846</v>
      </c>
      <c r="K1447" t="s">
        <v>42624</v>
      </c>
      <c r="M1447" t="s">
        <v>43651</v>
      </c>
      <c r="N1447" t="s">
        <v>47304</v>
      </c>
      <c r="O1447" t="s">
        <v>47305</v>
      </c>
      <c r="P1447">
        <v>0</v>
      </c>
      <c r="Q1447">
        <v>1</v>
      </c>
      <c r="R1447" t="s">
        <v>47307</v>
      </c>
      <c r="S1447" t="s">
        <v>47416</v>
      </c>
      <c r="T1447" t="s">
        <v>49028</v>
      </c>
      <c r="U1447" t="s">
        <v>50855</v>
      </c>
      <c r="W1447" t="s">
        <v>43651</v>
      </c>
      <c r="X1447" t="s">
        <v>47306</v>
      </c>
    </row>
    <row r="1448" spans="1:24">
      <c r="A1448">
        <f>HYPERLINK("https://www.philgeps.gov.ph/GEPSNONPILOT/Tender/SplashBidNoticeAbstractUI.aspx?menuIndex=3&amp;refID=7199194&amp;Result=3","7199194")</f>
        <v>0</v>
      </c>
      <c r="B1448" t="s">
        <v>671</v>
      </c>
      <c r="C1448" t="s">
        <v>5259</v>
      </c>
      <c r="D1448" t="s">
        <v>18993</v>
      </c>
      <c r="E1448" t="s">
        <v>20421</v>
      </c>
      <c r="F1448" t="s">
        <v>32606</v>
      </c>
      <c r="G1448" t="s">
        <v>32617</v>
      </c>
      <c r="H1448" t="s">
        <v>14201</v>
      </c>
      <c r="I1448" t="s">
        <v>32699</v>
      </c>
      <c r="J1448" t="s">
        <v>33847</v>
      </c>
      <c r="K1448" t="s">
        <v>42624</v>
      </c>
      <c r="M1448" t="s">
        <v>43591</v>
      </c>
      <c r="N1448" t="s">
        <v>47304</v>
      </c>
      <c r="O1448" t="s">
        <v>47305</v>
      </c>
      <c r="P1448">
        <v>0</v>
      </c>
      <c r="Q1448">
        <v>0</v>
      </c>
      <c r="R1448" t="s">
        <v>47307</v>
      </c>
      <c r="S1448" t="s">
        <v>47416</v>
      </c>
      <c r="T1448" t="s">
        <v>49108</v>
      </c>
      <c r="U1448" t="s">
        <v>50716</v>
      </c>
      <c r="W1448" t="s">
        <v>43591</v>
      </c>
      <c r="X1448" t="s">
        <v>47306</v>
      </c>
    </row>
    <row r="1449" spans="1:24">
      <c r="A1449">
        <f>HYPERLINK("https://www.philgeps.gov.ph/GEPSNONPILOT/Tender/SplashBidNoticeAbstractUI.aspx?menuIndex=3&amp;refID=7199180&amp;Result=3","7199180")</f>
        <v>0</v>
      </c>
      <c r="B1449" t="s">
        <v>705</v>
      </c>
      <c r="C1449" t="s">
        <v>5260</v>
      </c>
      <c r="D1449" t="s">
        <v>18989</v>
      </c>
      <c r="E1449" t="s">
        <v>19940</v>
      </c>
      <c r="F1449" t="s">
        <v>32606</v>
      </c>
      <c r="G1449" t="s">
        <v>32614</v>
      </c>
      <c r="H1449" t="s">
        <v>14201</v>
      </c>
      <c r="I1449" t="s">
        <v>6298</v>
      </c>
      <c r="J1449" t="s">
        <v>33831</v>
      </c>
      <c r="K1449" t="s">
        <v>42629</v>
      </c>
      <c r="M1449" t="s">
        <v>43626</v>
      </c>
      <c r="N1449" t="s">
        <v>47304</v>
      </c>
      <c r="O1449" t="s">
        <v>47305</v>
      </c>
      <c r="P1449">
        <v>0</v>
      </c>
      <c r="Q1449">
        <v>0</v>
      </c>
      <c r="R1449" t="s">
        <v>47307</v>
      </c>
      <c r="S1449" t="s">
        <v>47416</v>
      </c>
      <c r="T1449" t="s">
        <v>49131</v>
      </c>
      <c r="U1449" t="s">
        <v>50856</v>
      </c>
      <c r="W1449" t="s">
        <v>43626</v>
      </c>
      <c r="X1449" t="s">
        <v>47306</v>
      </c>
    </row>
    <row r="1450" spans="1:24">
      <c r="A1450">
        <f>HYPERLINK("https://www.philgeps.gov.ph/GEPSNONPILOT/Tender/SplashBidNoticeAbstractUI.aspx?menuIndex=3&amp;refID=7199201&amp;Result=3","7199201")</f>
        <v>0</v>
      </c>
      <c r="B1450" t="s">
        <v>730</v>
      </c>
      <c r="C1450" t="s">
        <v>5261</v>
      </c>
      <c r="D1450" t="s">
        <v>19010</v>
      </c>
      <c r="E1450" t="s">
        <v>20422</v>
      </c>
      <c r="F1450" t="s">
        <v>32606</v>
      </c>
      <c r="G1450" t="s">
        <v>32619</v>
      </c>
      <c r="H1450" t="s">
        <v>14201</v>
      </c>
      <c r="I1450" t="s">
        <v>6478</v>
      </c>
      <c r="J1450" t="s">
        <v>33848</v>
      </c>
      <c r="K1450" t="s">
        <v>42625</v>
      </c>
      <c r="M1450" t="s">
        <v>43652</v>
      </c>
      <c r="N1450" t="s">
        <v>47304</v>
      </c>
      <c r="O1450" t="s">
        <v>47305</v>
      </c>
      <c r="P1450">
        <v>0</v>
      </c>
      <c r="Q1450">
        <v>0</v>
      </c>
      <c r="R1450" t="s">
        <v>47307</v>
      </c>
      <c r="S1450" t="s">
        <v>47416</v>
      </c>
      <c r="T1450" t="s">
        <v>49022</v>
      </c>
      <c r="U1450" t="s">
        <v>50857</v>
      </c>
      <c r="W1450" t="s">
        <v>43652</v>
      </c>
      <c r="X1450" t="s">
        <v>47306</v>
      </c>
    </row>
    <row r="1451" spans="1:24">
      <c r="A1451">
        <f>HYPERLINK("https://www.philgeps.gov.ph/GEPSNONPILOT/Tender/SplashBidNoticeAbstractUI.aspx?menuIndex=3&amp;refID=7199182&amp;Result=3","7199182")</f>
        <v>0</v>
      </c>
      <c r="B1451" t="s">
        <v>664</v>
      </c>
      <c r="C1451" t="s">
        <v>5262</v>
      </c>
      <c r="E1451" t="s">
        <v>20423</v>
      </c>
      <c r="F1451" t="s">
        <v>32606</v>
      </c>
      <c r="G1451" t="s">
        <v>32613</v>
      </c>
      <c r="H1451" t="s">
        <v>14201</v>
      </c>
      <c r="I1451" t="s">
        <v>6931</v>
      </c>
      <c r="J1451" t="s">
        <v>33849</v>
      </c>
      <c r="K1451" t="s">
        <v>42624</v>
      </c>
      <c r="M1451" t="s">
        <v>43584</v>
      </c>
      <c r="N1451" t="s">
        <v>47304</v>
      </c>
      <c r="O1451" t="s">
        <v>47305</v>
      </c>
      <c r="P1451">
        <v>0</v>
      </c>
      <c r="Q1451">
        <v>0</v>
      </c>
      <c r="R1451" t="s">
        <v>47307</v>
      </c>
      <c r="S1451" t="s">
        <v>47416</v>
      </c>
      <c r="T1451" t="s">
        <v>48971</v>
      </c>
      <c r="U1451" t="s">
        <v>50858</v>
      </c>
      <c r="W1451" t="s">
        <v>43584</v>
      </c>
      <c r="X1451" t="s">
        <v>47306</v>
      </c>
    </row>
    <row r="1452" spans="1:24">
      <c r="A1452">
        <f>HYPERLINK("https://www.philgeps.gov.ph/GEPSNONPILOT/Tender/SplashBidNoticeAbstractUI.aspx?menuIndex=3&amp;refID=7199026&amp;Result=3","7199026")</f>
        <v>0</v>
      </c>
      <c r="B1452" t="s">
        <v>646</v>
      </c>
      <c r="C1452" t="s">
        <v>5263</v>
      </c>
      <c r="D1452" t="s">
        <v>19002</v>
      </c>
      <c r="E1452" t="s">
        <v>20424</v>
      </c>
      <c r="F1452" t="s">
        <v>32606</v>
      </c>
      <c r="G1452" t="s">
        <v>32619</v>
      </c>
      <c r="H1452" t="s">
        <v>14201</v>
      </c>
      <c r="I1452" t="s">
        <v>4112</v>
      </c>
      <c r="J1452" t="s">
        <v>33850</v>
      </c>
      <c r="K1452" t="s">
        <v>42625</v>
      </c>
      <c r="M1452" t="s">
        <v>43564</v>
      </c>
      <c r="N1452" t="s">
        <v>47304</v>
      </c>
      <c r="O1452" t="s">
        <v>47305</v>
      </c>
      <c r="P1452">
        <v>0</v>
      </c>
      <c r="Q1452">
        <v>0</v>
      </c>
      <c r="R1452" t="s">
        <v>47307</v>
      </c>
      <c r="S1452" t="s">
        <v>47416</v>
      </c>
      <c r="T1452" t="s">
        <v>49068</v>
      </c>
      <c r="U1452" t="s">
        <v>50859</v>
      </c>
      <c r="W1452" t="s">
        <v>43564</v>
      </c>
      <c r="X1452" t="s">
        <v>47306</v>
      </c>
    </row>
    <row r="1453" spans="1:24">
      <c r="A1453">
        <f>HYPERLINK("https://www.philgeps.gov.ph/GEPSNONPILOT/Tender/SplashBidNoticeAbstractUI.aspx?menuIndex=3&amp;refID=7199030&amp;Result=3","7199030")</f>
        <v>0</v>
      </c>
      <c r="B1453" t="s">
        <v>731</v>
      </c>
      <c r="C1453" t="s">
        <v>5264</v>
      </c>
      <c r="D1453" t="s">
        <v>18988</v>
      </c>
      <c r="E1453" t="s">
        <v>20425</v>
      </c>
      <c r="F1453" t="s">
        <v>32606</v>
      </c>
      <c r="G1453" t="s">
        <v>32619</v>
      </c>
      <c r="H1453" t="s">
        <v>14201</v>
      </c>
      <c r="I1453" t="s">
        <v>4114</v>
      </c>
      <c r="J1453" t="s">
        <v>33851</v>
      </c>
      <c r="K1453" t="s">
        <v>42623</v>
      </c>
      <c r="M1453" t="s">
        <v>43653</v>
      </c>
      <c r="N1453" t="s">
        <v>47304</v>
      </c>
      <c r="O1453" t="s">
        <v>47305</v>
      </c>
      <c r="P1453">
        <v>0</v>
      </c>
      <c r="Q1453">
        <v>0</v>
      </c>
      <c r="R1453" t="s">
        <v>47307</v>
      </c>
      <c r="S1453" t="s">
        <v>47416</v>
      </c>
      <c r="T1453" t="s">
        <v>48980</v>
      </c>
      <c r="U1453" t="s">
        <v>50860</v>
      </c>
      <c r="W1453" t="s">
        <v>43653</v>
      </c>
      <c r="X1453" t="s">
        <v>47306</v>
      </c>
    </row>
    <row r="1454" spans="1:24">
      <c r="A1454">
        <f>HYPERLINK("https://www.philgeps.gov.ph/GEPSNONPILOT/Tender/SplashBidNoticeAbstractUI.aspx?menuIndex=3&amp;refID=7198791&amp;Result=3","7198791")</f>
        <v>0</v>
      </c>
      <c r="B1454" t="s">
        <v>403</v>
      </c>
      <c r="C1454" t="s">
        <v>5265</v>
      </c>
      <c r="D1454" t="s">
        <v>18999</v>
      </c>
      <c r="E1454" t="s">
        <v>20426</v>
      </c>
      <c r="F1454" t="s">
        <v>32606</v>
      </c>
      <c r="G1454" t="s">
        <v>32619</v>
      </c>
      <c r="H1454" t="s">
        <v>14201</v>
      </c>
      <c r="I1454" t="s">
        <v>32700</v>
      </c>
      <c r="J1454" t="s">
        <v>33317</v>
      </c>
      <c r="K1454" t="s">
        <v>42623</v>
      </c>
      <c r="M1454" t="s">
        <v>43306</v>
      </c>
      <c r="N1454" t="s">
        <v>47304</v>
      </c>
      <c r="O1454" t="s">
        <v>47305</v>
      </c>
      <c r="P1454">
        <v>0</v>
      </c>
      <c r="Q1454">
        <v>0</v>
      </c>
      <c r="R1454" t="s">
        <v>47307</v>
      </c>
      <c r="S1454" t="s">
        <v>47416</v>
      </c>
      <c r="T1454" t="s">
        <v>49176</v>
      </c>
      <c r="U1454" t="s">
        <v>50861</v>
      </c>
      <c r="W1454" t="s">
        <v>43306</v>
      </c>
      <c r="X1454" t="s">
        <v>47306</v>
      </c>
    </row>
    <row r="1455" spans="1:24">
      <c r="A1455">
        <f>HYPERLINK("https://www.philgeps.gov.ph/GEPSNONPILOT/Tender/SplashBidNoticeAbstractUI.aspx?menuIndex=3&amp;refID=7199183&amp;Result=3","7199183")</f>
        <v>0</v>
      </c>
      <c r="B1455" t="s">
        <v>732</v>
      </c>
      <c r="C1455" t="s">
        <v>5266</v>
      </c>
      <c r="D1455" t="s">
        <v>19016</v>
      </c>
      <c r="E1455" t="s">
        <v>20427</v>
      </c>
      <c r="F1455" t="s">
        <v>32606</v>
      </c>
      <c r="G1455" t="s">
        <v>32614</v>
      </c>
      <c r="H1455" t="s">
        <v>14201</v>
      </c>
      <c r="I1455" t="s">
        <v>32701</v>
      </c>
      <c r="J1455" t="s">
        <v>33852</v>
      </c>
      <c r="K1455" t="s">
        <v>42631</v>
      </c>
      <c r="M1455" t="s">
        <v>43654</v>
      </c>
      <c r="N1455" t="s">
        <v>47304</v>
      </c>
      <c r="O1455" t="s">
        <v>47305</v>
      </c>
      <c r="P1455">
        <v>0</v>
      </c>
      <c r="Q1455">
        <v>0</v>
      </c>
      <c r="R1455" t="s">
        <v>47307</v>
      </c>
      <c r="S1455" t="s">
        <v>47416</v>
      </c>
      <c r="T1455" t="s">
        <v>48996</v>
      </c>
      <c r="U1455" t="s">
        <v>50862</v>
      </c>
      <c r="W1455" t="s">
        <v>43654</v>
      </c>
      <c r="X1455" t="s">
        <v>47306</v>
      </c>
    </row>
    <row r="1456" spans="1:24">
      <c r="A1456">
        <f>HYPERLINK("https://www.philgeps.gov.ph/GEPSNONPILOT/Tender/SplashBidNoticeAbstractUI.aspx?menuIndex=3&amp;refID=7199027&amp;Result=3","7199027")</f>
        <v>0</v>
      </c>
      <c r="B1456" t="s">
        <v>481</v>
      </c>
      <c r="C1456" t="s">
        <v>5267</v>
      </c>
      <c r="D1456" t="s">
        <v>18993</v>
      </c>
      <c r="E1456" t="s">
        <v>20428</v>
      </c>
      <c r="F1456" t="s">
        <v>32606</v>
      </c>
      <c r="G1456" t="s">
        <v>32614</v>
      </c>
      <c r="H1456" t="s">
        <v>14201</v>
      </c>
      <c r="I1456" t="s">
        <v>32634</v>
      </c>
      <c r="J1456" t="s">
        <v>33853</v>
      </c>
      <c r="K1456" t="s">
        <v>42627</v>
      </c>
      <c r="M1456" t="s">
        <v>43392</v>
      </c>
      <c r="N1456" t="s">
        <v>47304</v>
      </c>
      <c r="O1456" t="s">
        <v>47305</v>
      </c>
      <c r="P1456">
        <v>0</v>
      </c>
      <c r="Q1456">
        <v>0</v>
      </c>
      <c r="R1456" t="s">
        <v>47307</v>
      </c>
      <c r="S1456" t="s">
        <v>47416</v>
      </c>
      <c r="T1456" t="s">
        <v>49081</v>
      </c>
      <c r="U1456" t="s">
        <v>50863</v>
      </c>
      <c r="W1456" t="s">
        <v>43392</v>
      </c>
      <c r="X1456" t="s">
        <v>47306</v>
      </c>
    </row>
    <row r="1457" spans="1:24">
      <c r="A1457">
        <f>HYPERLINK("https://www.philgeps.gov.ph/GEPSNONPILOT/Tender/SplashBidNoticeAbstractUI.aspx?menuIndex=3&amp;refID=7198790&amp;Result=3","7198790")</f>
        <v>0</v>
      </c>
      <c r="B1457" t="s">
        <v>586</v>
      </c>
      <c r="C1457" t="s">
        <v>5268</v>
      </c>
      <c r="E1457" t="s">
        <v>20429</v>
      </c>
      <c r="F1457" t="s">
        <v>32606</v>
      </c>
      <c r="G1457" t="s">
        <v>32613</v>
      </c>
      <c r="H1457" t="s">
        <v>32623</v>
      </c>
      <c r="I1457" t="s">
        <v>17648</v>
      </c>
      <c r="J1457" t="s">
        <v>33854</v>
      </c>
      <c r="K1457" t="s">
        <v>42697</v>
      </c>
      <c r="M1457" t="s">
        <v>43501</v>
      </c>
      <c r="N1457" t="s">
        <v>47304</v>
      </c>
      <c r="O1457" t="s">
        <v>47305</v>
      </c>
      <c r="P1457">
        <v>0</v>
      </c>
      <c r="Q1457">
        <v>0</v>
      </c>
      <c r="R1457" t="s">
        <v>47307</v>
      </c>
      <c r="S1457" t="s">
        <v>47416</v>
      </c>
      <c r="T1457" t="s">
        <v>49152</v>
      </c>
      <c r="U1457" t="s">
        <v>50864</v>
      </c>
      <c r="W1457" t="s">
        <v>43501</v>
      </c>
      <c r="X1457" t="s">
        <v>47306</v>
      </c>
    </row>
    <row r="1458" spans="1:24">
      <c r="A1458">
        <f>HYPERLINK("https://www.philgeps.gov.ph/GEPSNONPILOT/Tender/SplashBidNoticeAbstractUI.aspx?menuIndex=3&amp;refID=7199031&amp;Result=3","7199031")</f>
        <v>0</v>
      </c>
      <c r="B1458" t="s">
        <v>733</v>
      </c>
      <c r="C1458" t="s">
        <v>5269</v>
      </c>
      <c r="D1458" t="s">
        <v>19010</v>
      </c>
      <c r="E1458" t="s">
        <v>20430</v>
      </c>
      <c r="F1458" t="s">
        <v>32606</v>
      </c>
      <c r="G1458" t="s">
        <v>32614</v>
      </c>
      <c r="H1458" t="s">
        <v>14201</v>
      </c>
      <c r="I1458" t="s">
        <v>6931</v>
      </c>
      <c r="J1458" t="s">
        <v>33855</v>
      </c>
      <c r="K1458" t="s">
        <v>42624</v>
      </c>
      <c r="M1458" t="s">
        <v>43655</v>
      </c>
      <c r="N1458" t="s">
        <v>47304</v>
      </c>
      <c r="O1458" t="s">
        <v>47305</v>
      </c>
      <c r="P1458">
        <v>0</v>
      </c>
      <c r="Q1458">
        <v>0</v>
      </c>
      <c r="R1458" t="s">
        <v>47307</v>
      </c>
      <c r="S1458" t="s">
        <v>47416</v>
      </c>
      <c r="T1458" t="s">
        <v>49023</v>
      </c>
      <c r="U1458" t="s">
        <v>50865</v>
      </c>
      <c r="W1458" t="s">
        <v>43655</v>
      </c>
      <c r="X1458" t="s">
        <v>47306</v>
      </c>
    </row>
    <row r="1459" spans="1:24">
      <c r="A1459">
        <f>HYPERLINK("https://www.philgeps.gov.ph/GEPSNONPILOT/Tender/SplashBidNoticeAbstractUI.aspx?menuIndex=3&amp;refID=7198788&amp;Result=3","7198788")</f>
        <v>0</v>
      </c>
      <c r="B1459" t="s">
        <v>442</v>
      </c>
      <c r="C1459" t="s">
        <v>4730</v>
      </c>
      <c r="E1459" t="s">
        <v>20431</v>
      </c>
      <c r="F1459" t="s">
        <v>32606</v>
      </c>
      <c r="G1459" t="s">
        <v>32619</v>
      </c>
      <c r="H1459" t="s">
        <v>14201</v>
      </c>
      <c r="I1459" t="s">
        <v>32640</v>
      </c>
      <c r="J1459" t="s">
        <v>32770</v>
      </c>
      <c r="K1459" t="s">
        <v>42624</v>
      </c>
      <c r="M1459" t="s">
        <v>43375</v>
      </c>
      <c r="N1459" t="s">
        <v>47304</v>
      </c>
      <c r="O1459" t="s">
        <v>47305</v>
      </c>
      <c r="P1459">
        <v>0</v>
      </c>
      <c r="Q1459">
        <v>0</v>
      </c>
      <c r="R1459" t="s">
        <v>47307</v>
      </c>
      <c r="S1459" t="s">
        <v>47416</v>
      </c>
      <c r="T1459" t="s">
        <v>49092</v>
      </c>
      <c r="U1459" t="s">
        <v>50866</v>
      </c>
      <c r="W1459" t="s">
        <v>43375</v>
      </c>
      <c r="X1459" t="s">
        <v>47306</v>
      </c>
    </row>
    <row r="1460" spans="1:24">
      <c r="A1460">
        <f>HYPERLINK("https://www.philgeps.gov.ph/GEPSNONPILOT/Tender/SplashBidNoticeAbstractUI.aspx?menuIndex=3&amp;refID=7198781&amp;Result=3","7198781")</f>
        <v>0</v>
      </c>
      <c r="B1460" t="s">
        <v>734</v>
      </c>
      <c r="C1460" t="s">
        <v>5270</v>
      </c>
      <c r="D1460" t="s">
        <v>19015</v>
      </c>
      <c r="E1460" t="s">
        <v>20432</v>
      </c>
      <c r="F1460" t="s">
        <v>32606</v>
      </c>
      <c r="G1460" t="s">
        <v>32613</v>
      </c>
      <c r="H1460" t="s">
        <v>32623</v>
      </c>
      <c r="I1460" t="s">
        <v>17648</v>
      </c>
      <c r="J1460" t="s">
        <v>32752</v>
      </c>
      <c r="K1460" t="s">
        <v>42631</v>
      </c>
      <c r="M1460" t="s">
        <v>43656</v>
      </c>
      <c r="N1460" t="s">
        <v>47304</v>
      </c>
      <c r="O1460" t="s">
        <v>47305</v>
      </c>
      <c r="P1460">
        <v>0</v>
      </c>
      <c r="Q1460">
        <v>0</v>
      </c>
      <c r="R1460" t="s">
        <v>47307</v>
      </c>
      <c r="S1460" t="s">
        <v>47416</v>
      </c>
      <c r="T1460" t="s">
        <v>48973</v>
      </c>
      <c r="U1460" t="s">
        <v>50867</v>
      </c>
      <c r="W1460" t="s">
        <v>43656</v>
      </c>
      <c r="X1460" t="s">
        <v>47306</v>
      </c>
    </row>
    <row r="1461" spans="1:24">
      <c r="A1461">
        <f>HYPERLINK("https://www.philgeps.gov.ph/GEPSNONPILOT/Tender/SplashBidNoticeAbstractUI.aspx?menuIndex=3&amp;refID=7198765&amp;Result=3","7198765")</f>
        <v>0</v>
      </c>
      <c r="B1461" t="s">
        <v>586</v>
      </c>
      <c r="C1461" t="s">
        <v>5271</v>
      </c>
      <c r="E1461" t="s">
        <v>20433</v>
      </c>
      <c r="F1461" t="s">
        <v>32606</v>
      </c>
      <c r="G1461" t="s">
        <v>32613</v>
      </c>
      <c r="H1461" t="s">
        <v>32623</v>
      </c>
      <c r="I1461" t="s">
        <v>17648</v>
      </c>
      <c r="J1461" t="s">
        <v>33856</v>
      </c>
      <c r="K1461" t="s">
        <v>42708</v>
      </c>
      <c r="M1461" t="s">
        <v>43501</v>
      </c>
      <c r="N1461" t="s">
        <v>47304</v>
      </c>
      <c r="O1461" t="s">
        <v>47305</v>
      </c>
      <c r="P1461">
        <v>0</v>
      </c>
      <c r="Q1461">
        <v>0</v>
      </c>
      <c r="R1461" t="s">
        <v>47307</v>
      </c>
      <c r="S1461" t="s">
        <v>47416</v>
      </c>
      <c r="T1461" t="s">
        <v>49152</v>
      </c>
      <c r="U1461" t="s">
        <v>50868</v>
      </c>
      <c r="W1461" t="s">
        <v>43501</v>
      </c>
      <c r="X1461" t="s">
        <v>47306</v>
      </c>
    </row>
    <row r="1462" spans="1:24">
      <c r="A1462">
        <f>HYPERLINK("https://www.philgeps.gov.ph/GEPSNONPILOT/Tender/SplashBidNoticeAbstractUI.aspx?menuIndex=3&amp;refID=7198789&amp;Result=3","7198789")</f>
        <v>0</v>
      </c>
      <c r="B1462" t="s">
        <v>210</v>
      </c>
      <c r="C1462" t="s">
        <v>5272</v>
      </c>
      <c r="D1462" t="s">
        <v>18986</v>
      </c>
      <c r="E1462" t="s">
        <v>20434</v>
      </c>
      <c r="F1462" t="s">
        <v>32606</v>
      </c>
      <c r="G1462" t="s">
        <v>32613</v>
      </c>
      <c r="H1462" t="s">
        <v>32623</v>
      </c>
      <c r="I1462" t="s">
        <v>17648</v>
      </c>
      <c r="J1462" t="s">
        <v>33857</v>
      </c>
      <c r="K1462" t="s">
        <v>42649</v>
      </c>
      <c r="M1462" t="s">
        <v>43111</v>
      </c>
      <c r="N1462" t="s">
        <v>47304</v>
      </c>
      <c r="O1462" t="s">
        <v>47305</v>
      </c>
      <c r="P1462">
        <v>0</v>
      </c>
      <c r="Q1462">
        <v>0</v>
      </c>
      <c r="R1462" t="s">
        <v>47307</v>
      </c>
      <c r="S1462" t="s">
        <v>47416</v>
      </c>
      <c r="T1462" t="s">
        <v>49033</v>
      </c>
      <c r="U1462" t="s">
        <v>50869</v>
      </c>
      <c r="W1462" t="s">
        <v>43111</v>
      </c>
      <c r="X1462" t="s">
        <v>47306</v>
      </c>
    </row>
    <row r="1463" spans="1:24">
      <c r="A1463">
        <f>HYPERLINK("https://www.philgeps.gov.ph/GEPSNONPILOT/Tender/SplashBidNoticeAbstractUI.aspx?menuIndex=3&amp;refID=7199189&amp;Result=3","7199189")</f>
        <v>0</v>
      </c>
      <c r="B1463" t="s">
        <v>735</v>
      </c>
      <c r="C1463" t="s">
        <v>5273</v>
      </c>
      <c r="D1463" t="s">
        <v>19019</v>
      </c>
      <c r="E1463" t="s">
        <v>20435</v>
      </c>
      <c r="F1463" t="s">
        <v>32606</v>
      </c>
      <c r="G1463" t="s">
        <v>32614</v>
      </c>
      <c r="H1463" t="s">
        <v>14201</v>
      </c>
      <c r="I1463" t="s">
        <v>17648</v>
      </c>
      <c r="J1463" t="s">
        <v>33858</v>
      </c>
      <c r="K1463" t="s">
        <v>42632</v>
      </c>
      <c r="M1463" t="s">
        <v>43657</v>
      </c>
      <c r="N1463" t="s">
        <v>47304</v>
      </c>
      <c r="O1463" t="s">
        <v>47305</v>
      </c>
      <c r="P1463">
        <v>0</v>
      </c>
      <c r="Q1463">
        <v>0</v>
      </c>
      <c r="R1463" t="s">
        <v>47307</v>
      </c>
      <c r="S1463" t="s">
        <v>47416</v>
      </c>
      <c r="T1463" t="s">
        <v>48972</v>
      </c>
      <c r="U1463" t="s">
        <v>50870</v>
      </c>
      <c r="W1463" t="s">
        <v>43657</v>
      </c>
      <c r="X1463" t="s">
        <v>47306</v>
      </c>
    </row>
    <row r="1464" spans="1:24">
      <c r="A1464">
        <f>HYPERLINK("https://www.philgeps.gov.ph/GEPSNONPILOT/Tender/SplashBidNoticeAbstractUI.aspx?menuIndex=3&amp;refID=7198787&amp;Result=3","7198787")</f>
        <v>0</v>
      </c>
      <c r="B1464" t="s">
        <v>458</v>
      </c>
      <c r="C1464" t="s">
        <v>4718</v>
      </c>
      <c r="D1464" t="s">
        <v>18994</v>
      </c>
      <c r="E1464" t="s">
        <v>20436</v>
      </c>
      <c r="F1464" t="s">
        <v>32606</v>
      </c>
      <c r="G1464" t="s">
        <v>32614</v>
      </c>
      <c r="H1464" t="s">
        <v>14201</v>
      </c>
      <c r="I1464" t="s">
        <v>4120</v>
      </c>
      <c r="J1464" t="s">
        <v>33859</v>
      </c>
      <c r="K1464" t="s">
        <v>42630</v>
      </c>
      <c r="M1464" t="s">
        <v>43368</v>
      </c>
      <c r="N1464" t="s">
        <v>47304</v>
      </c>
      <c r="O1464" t="s">
        <v>47305</v>
      </c>
      <c r="P1464">
        <v>0</v>
      </c>
      <c r="Q1464">
        <v>0</v>
      </c>
      <c r="R1464" t="s">
        <v>47307</v>
      </c>
      <c r="S1464" t="s">
        <v>47416</v>
      </c>
      <c r="T1464" t="s">
        <v>49177</v>
      </c>
      <c r="U1464" t="s">
        <v>50545</v>
      </c>
      <c r="W1464" t="s">
        <v>43368</v>
      </c>
      <c r="X1464" t="s">
        <v>47306</v>
      </c>
    </row>
    <row r="1465" spans="1:24">
      <c r="A1465">
        <f>HYPERLINK("https://www.philgeps.gov.ph/GEPSNONPILOT/Tender/SplashBidNoticeAbstractUI.aspx?menuIndex=3&amp;refID=7198780&amp;Result=3","7198780")</f>
        <v>0</v>
      </c>
      <c r="B1465" t="s">
        <v>736</v>
      </c>
      <c r="C1465" t="s">
        <v>5274</v>
      </c>
      <c r="D1465" t="s">
        <v>19040</v>
      </c>
      <c r="E1465" t="s">
        <v>20094</v>
      </c>
      <c r="F1465" t="s">
        <v>32606</v>
      </c>
      <c r="G1465" t="s">
        <v>32614</v>
      </c>
      <c r="H1465" t="s">
        <v>14201</v>
      </c>
      <c r="I1465" t="s">
        <v>6007</v>
      </c>
      <c r="J1465" t="s">
        <v>33169</v>
      </c>
      <c r="K1465" t="s">
        <v>42630</v>
      </c>
      <c r="M1465" t="s">
        <v>43658</v>
      </c>
      <c r="N1465" t="s">
        <v>47304</v>
      </c>
      <c r="O1465" t="s">
        <v>47305</v>
      </c>
      <c r="P1465">
        <v>0</v>
      </c>
      <c r="Q1465">
        <v>0</v>
      </c>
      <c r="R1465" t="s">
        <v>47307</v>
      </c>
      <c r="S1465" t="s">
        <v>47416</v>
      </c>
      <c r="T1465" t="s">
        <v>49178</v>
      </c>
      <c r="U1465" t="s">
        <v>50871</v>
      </c>
      <c r="W1465" t="s">
        <v>43658</v>
      </c>
      <c r="X1465" t="s">
        <v>47306</v>
      </c>
    </row>
    <row r="1466" spans="1:24">
      <c r="A1466">
        <f>HYPERLINK("https://www.philgeps.gov.ph/GEPSNONPILOT/Tender/SplashBidNoticeAbstractUI.aspx?menuIndex=3&amp;refID=7199225&amp;Result=3","7199225")</f>
        <v>0</v>
      </c>
      <c r="B1466" t="s">
        <v>535</v>
      </c>
      <c r="C1466" t="s">
        <v>5275</v>
      </c>
      <c r="D1466" t="s">
        <v>19031</v>
      </c>
      <c r="E1466" t="s">
        <v>20437</v>
      </c>
      <c r="F1466" t="s">
        <v>32606</v>
      </c>
      <c r="G1466" t="s">
        <v>32613</v>
      </c>
      <c r="H1466" t="s">
        <v>14201</v>
      </c>
      <c r="I1466" t="s">
        <v>32629</v>
      </c>
      <c r="J1466" t="s">
        <v>33860</v>
      </c>
      <c r="K1466" t="s">
        <v>42648</v>
      </c>
      <c r="M1466" t="s">
        <v>43448</v>
      </c>
      <c r="N1466" t="s">
        <v>47304</v>
      </c>
      <c r="O1466" t="s">
        <v>47305</v>
      </c>
      <c r="P1466">
        <v>0</v>
      </c>
      <c r="Q1466">
        <v>0</v>
      </c>
      <c r="R1466" t="s">
        <v>47307</v>
      </c>
      <c r="S1466" t="s">
        <v>47416</v>
      </c>
      <c r="T1466" t="s">
        <v>49107</v>
      </c>
      <c r="U1466" t="s">
        <v>50872</v>
      </c>
      <c r="W1466" t="s">
        <v>43448</v>
      </c>
      <c r="X1466" t="s">
        <v>47306</v>
      </c>
    </row>
    <row r="1467" spans="1:24">
      <c r="A1467">
        <f>HYPERLINK("https://www.philgeps.gov.ph/GEPSNONPILOT/Tender/SplashBidNoticeAbstractUI.aspx?menuIndex=3&amp;refID=7199222&amp;Result=3","7199222")</f>
        <v>0</v>
      </c>
      <c r="B1467" t="s">
        <v>692</v>
      </c>
      <c r="C1467" t="s">
        <v>5276</v>
      </c>
      <c r="D1467" t="s">
        <v>18992</v>
      </c>
      <c r="E1467" t="s">
        <v>20332</v>
      </c>
      <c r="F1467" t="s">
        <v>32606</v>
      </c>
      <c r="G1467" t="s">
        <v>32614</v>
      </c>
      <c r="H1467" t="s">
        <v>14201</v>
      </c>
      <c r="I1467" t="s">
        <v>4114</v>
      </c>
      <c r="J1467" t="s">
        <v>33526</v>
      </c>
      <c r="K1467" t="s">
        <v>42629</v>
      </c>
      <c r="M1467" t="s">
        <v>43613</v>
      </c>
      <c r="N1467" t="s">
        <v>47304</v>
      </c>
      <c r="O1467" t="s">
        <v>47305</v>
      </c>
      <c r="P1467">
        <v>0</v>
      </c>
      <c r="Q1467">
        <v>0</v>
      </c>
      <c r="R1467" t="s">
        <v>47307</v>
      </c>
      <c r="S1467" t="s">
        <v>47416</v>
      </c>
      <c r="T1467" t="s">
        <v>48986</v>
      </c>
      <c r="U1467" t="s">
        <v>50873</v>
      </c>
      <c r="W1467" t="s">
        <v>43613</v>
      </c>
      <c r="X1467" t="s">
        <v>47306</v>
      </c>
    </row>
    <row r="1468" spans="1:24">
      <c r="A1468">
        <f>HYPERLINK("https://www.philgeps.gov.ph/GEPSNONPILOT/Tender/SplashBidNoticeAbstractUI.aspx?menuIndex=3&amp;refID=7198764&amp;Result=3","7198764")</f>
        <v>0</v>
      </c>
      <c r="B1468" t="s">
        <v>567</v>
      </c>
      <c r="C1468" t="s">
        <v>5277</v>
      </c>
      <c r="E1468" t="s">
        <v>20438</v>
      </c>
      <c r="F1468" t="s">
        <v>32606</v>
      </c>
      <c r="G1468" t="s">
        <v>32619</v>
      </c>
      <c r="H1468" t="s">
        <v>14201</v>
      </c>
      <c r="I1468" t="s">
        <v>32633</v>
      </c>
      <c r="J1468" t="s">
        <v>33861</v>
      </c>
      <c r="K1468" t="s">
        <v>42624</v>
      </c>
      <c r="M1468" t="s">
        <v>43482</v>
      </c>
      <c r="N1468" t="s">
        <v>47304</v>
      </c>
      <c r="O1468" t="s">
        <v>47305</v>
      </c>
      <c r="P1468">
        <v>0</v>
      </c>
      <c r="Q1468">
        <v>0</v>
      </c>
      <c r="R1468" t="s">
        <v>47307</v>
      </c>
      <c r="S1468" t="s">
        <v>47416</v>
      </c>
      <c r="T1468" t="s">
        <v>48988</v>
      </c>
      <c r="U1468" t="s">
        <v>50874</v>
      </c>
      <c r="W1468" t="s">
        <v>43482</v>
      </c>
      <c r="X1468" t="s">
        <v>47306</v>
      </c>
    </row>
    <row r="1469" spans="1:24">
      <c r="A1469">
        <f>HYPERLINK("https://www.philgeps.gov.ph/GEPSNONPILOT/Tender/SplashBidNoticeAbstractUI.aspx?menuIndex=3&amp;refID=7198763&amp;Result=3","7198763")</f>
        <v>0</v>
      </c>
      <c r="B1469" t="s">
        <v>458</v>
      </c>
      <c r="C1469" t="s">
        <v>4239</v>
      </c>
      <c r="D1469" t="s">
        <v>18994</v>
      </c>
      <c r="E1469" t="s">
        <v>20439</v>
      </c>
      <c r="F1469" t="s">
        <v>32606</v>
      </c>
      <c r="G1469" t="s">
        <v>32614</v>
      </c>
      <c r="H1469" t="s">
        <v>14201</v>
      </c>
      <c r="I1469" t="s">
        <v>6298</v>
      </c>
      <c r="J1469" t="s">
        <v>32973</v>
      </c>
      <c r="K1469" t="s">
        <v>42630</v>
      </c>
      <c r="M1469" t="s">
        <v>43368</v>
      </c>
      <c r="N1469" t="s">
        <v>47304</v>
      </c>
      <c r="O1469" t="s">
        <v>47305</v>
      </c>
      <c r="P1469">
        <v>0</v>
      </c>
      <c r="Q1469">
        <v>0</v>
      </c>
      <c r="R1469" t="s">
        <v>47307</v>
      </c>
      <c r="S1469" t="s">
        <v>47416</v>
      </c>
      <c r="T1469" t="s">
        <v>49179</v>
      </c>
      <c r="U1469" t="s">
        <v>50545</v>
      </c>
      <c r="W1469" t="s">
        <v>43368</v>
      </c>
      <c r="X1469" t="s">
        <v>47306</v>
      </c>
    </row>
    <row r="1470" spans="1:24">
      <c r="A1470">
        <f>HYPERLINK("https://www.philgeps.gov.ph/GEPSNONPILOT/Tender/SplashBidNoticeAbstractUI.aspx?menuIndex=3&amp;refID=7199219&amp;Result=3","7199219")</f>
        <v>0</v>
      </c>
      <c r="B1470" t="s">
        <v>737</v>
      </c>
      <c r="C1470" t="s">
        <v>5278</v>
      </c>
      <c r="D1470" t="s">
        <v>18993</v>
      </c>
      <c r="E1470" t="s">
        <v>20440</v>
      </c>
      <c r="F1470" t="s">
        <v>32606</v>
      </c>
      <c r="G1470" t="s">
        <v>32614</v>
      </c>
      <c r="H1470" t="s">
        <v>14201</v>
      </c>
      <c r="I1470" t="s">
        <v>32636</v>
      </c>
      <c r="J1470" t="s">
        <v>32794</v>
      </c>
      <c r="K1470" t="s">
        <v>42632</v>
      </c>
      <c r="M1470" t="s">
        <v>43659</v>
      </c>
      <c r="N1470" t="s">
        <v>47304</v>
      </c>
      <c r="O1470" t="s">
        <v>47305</v>
      </c>
      <c r="P1470">
        <v>0</v>
      </c>
      <c r="Q1470">
        <v>0</v>
      </c>
      <c r="R1470" t="s">
        <v>47307</v>
      </c>
      <c r="S1470" t="s">
        <v>47416</v>
      </c>
      <c r="T1470" t="s">
        <v>49108</v>
      </c>
      <c r="U1470" t="s">
        <v>50875</v>
      </c>
      <c r="W1470" t="s">
        <v>43659</v>
      </c>
      <c r="X1470" t="s">
        <v>47306</v>
      </c>
    </row>
    <row r="1471" spans="1:24">
      <c r="A1471">
        <f>HYPERLINK("https://www.philgeps.gov.ph/GEPSNONPILOT/Tender/SplashBidNoticeAbstractUI.aspx?menuIndex=3&amp;refID=7199226&amp;Result=3","7199226")</f>
        <v>0</v>
      </c>
      <c r="B1471" t="s">
        <v>729</v>
      </c>
      <c r="C1471" t="s">
        <v>5279</v>
      </c>
      <c r="D1471" t="s">
        <v>19007</v>
      </c>
      <c r="E1471" t="s">
        <v>20441</v>
      </c>
      <c r="F1471" t="s">
        <v>32606</v>
      </c>
      <c r="G1471" t="s">
        <v>32614</v>
      </c>
      <c r="H1471" t="s">
        <v>14201</v>
      </c>
      <c r="I1471" t="s">
        <v>4112</v>
      </c>
      <c r="J1471" t="s">
        <v>32752</v>
      </c>
      <c r="K1471" t="s">
        <v>42624</v>
      </c>
      <c r="M1471" t="s">
        <v>43660</v>
      </c>
      <c r="N1471" t="s">
        <v>47304</v>
      </c>
      <c r="O1471" t="s">
        <v>47305</v>
      </c>
      <c r="P1471">
        <v>0</v>
      </c>
      <c r="Q1471">
        <v>0</v>
      </c>
      <c r="R1471" t="s">
        <v>47307</v>
      </c>
      <c r="S1471" t="s">
        <v>47416</v>
      </c>
      <c r="T1471" t="s">
        <v>48975</v>
      </c>
      <c r="U1471" t="s">
        <v>50876</v>
      </c>
      <c r="W1471" t="s">
        <v>43660</v>
      </c>
      <c r="X1471" t="s">
        <v>47306</v>
      </c>
    </row>
    <row r="1472" spans="1:24">
      <c r="A1472">
        <f>HYPERLINK("https://www.philgeps.gov.ph/GEPSNONPILOT/Tender/SplashBidNoticeAbstractUI.aspx?menuIndex=3&amp;refID=7199217&amp;Result=3","7199217")</f>
        <v>0</v>
      </c>
      <c r="B1472" t="s">
        <v>738</v>
      </c>
      <c r="C1472" t="s">
        <v>5280</v>
      </c>
      <c r="D1472" t="s">
        <v>19004</v>
      </c>
      <c r="E1472" t="s">
        <v>20442</v>
      </c>
      <c r="F1472" t="s">
        <v>32606</v>
      </c>
      <c r="G1472" t="s">
        <v>32613</v>
      </c>
      <c r="H1472" t="s">
        <v>14201</v>
      </c>
      <c r="I1472" t="s">
        <v>6298</v>
      </c>
      <c r="J1472" t="s">
        <v>33862</v>
      </c>
      <c r="K1472" t="s">
        <v>42623</v>
      </c>
      <c r="M1472" t="s">
        <v>43661</v>
      </c>
      <c r="N1472" t="s">
        <v>47304</v>
      </c>
      <c r="O1472" t="s">
        <v>47305</v>
      </c>
      <c r="P1472">
        <v>0</v>
      </c>
      <c r="Q1472">
        <v>0</v>
      </c>
      <c r="R1472" t="s">
        <v>47307</v>
      </c>
      <c r="S1472" t="s">
        <v>47416</v>
      </c>
      <c r="T1472" t="s">
        <v>49157</v>
      </c>
      <c r="U1472" t="s">
        <v>50877</v>
      </c>
      <c r="W1472" t="s">
        <v>43661</v>
      </c>
      <c r="X1472" t="s">
        <v>47306</v>
      </c>
    </row>
    <row r="1473" spans="1:24">
      <c r="A1473">
        <f>HYPERLINK("https://www.philgeps.gov.ph/GEPSNONPILOT/Tender/SplashBidNoticeAbstractUI.aspx?menuIndex=3&amp;refID=7199216&amp;Result=3","7199216")</f>
        <v>0</v>
      </c>
      <c r="B1473" t="s">
        <v>634</v>
      </c>
      <c r="C1473" t="s">
        <v>5281</v>
      </c>
      <c r="D1473" t="s">
        <v>19056</v>
      </c>
      <c r="E1473" t="s">
        <v>20443</v>
      </c>
      <c r="F1473" t="s">
        <v>32606</v>
      </c>
      <c r="G1473" t="s">
        <v>32613</v>
      </c>
      <c r="H1473" t="s">
        <v>14201</v>
      </c>
      <c r="I1473" t="s">
        <v>8606</v>
      </c>
      <c r="J1473" t="s">
        <v>32920</v>
      </c>
      <c r="K1473" t="s">
        <v>42630</v>
      </c>
      <c r="M1473" t="s">
        <v>43552</v>
      </c>
      <c r="N1473" t="s">
        <v>47304</v>
      </c>
      <c r="O1473" t="s">
        <v>47305</v>
      </c>
      <c r="P1473">
        <v>0</v>
      </c>
      <c r="Q1473">
        <v>0</v>
      </c>
      <c r="R1473" t="s">
        <v>47307</v>
      </c>
      <c r="S1473" t="s">
        <v>47416</v>
      </c>
      <c r="T1473" t="s">
        <v>49104</v>
      </c>
      <c r="U1473" t="s">
        <v>50878</v>
      </c>
      <c r="W1473" t="s">
        <v>43552</v>
      </c>
      <c r="X1473" t="s">
        <v>47306</v>
      </c>
    </row>
    <row r="1474" spans="1:24">
      <c r="A1474">
        <f>HYPERLINK("https://www.philgeps.gov.ph/GEPSNONPILOT/Tender/SplashBidNoticeAbstractUI.aspx?menuIndex=3&amp;refID=7199223&amp;Result=3","7199223")</f>
        <v>0</v>
      </c>
      <c r="B1474" t="s">
        <v>682</v>
      </c>
      <c r="C1474" t="s">
        <v>5282</v>
      </c>
      <c r="D1474" t="s">
        <v>19039</v>
      </c>
      <c r="E1474" t="s">
        <v>20444</v>
      </c>
      <c r="F1474" t="s">
        <v>32606</v>
      </c>
      <c r="G1474" t="s">
        <v>32614</v>
      </c>
      <c r="H1474" t="s">
        <v>14201</v>
      </c>
      <c r="I1474" t="s">
        <v>4114</v>
      </c>
      <c r="J1474" t="s">
        <v>33863</v>
      </c>
      <c r="K1474" t="s">
        <v>42623</v>
      </c>
      <c r="M1474" t="s">
        <v>43602</v>
      </c>
      <c r="N1474" t="s">
        <v>47304</v>
      </c>
      <c r="O1474" t="s">
        <v>47305</v>
      </c>
      <c r="P1474">
        <v>0</v>
      </c>
      <c r="Q1474">
        <v>0</v>
      </c>
      <c r="R1474" t="s">
        <v>47307</v>
      </c>
      <c r="S1474" t="s">
        <v>47416</v>
      </c>
      <c r="T1474" t="s">
        <v>49023</v>
      </c>
      <c r="U1474" t="s">
        <v>50739</v>
      </c>
      <c r="W1474" t="s">
        <v>43602</v>
      </c>
      <c r="X1474" t="s">
        <v>47306</v>
      </c>
    </row>
    <row r="1475" spans="1:24">
      <c r="A1475">
        <f>HYPERLINK("https://www.philgeps.gov.ph/GEPSNONPILOT/Tender/SplashBidNoticeAbstractUI.aspx?menuIndex=3&amp;refID=7199213&amp;Result=3","7199213")</f>
        <v>0</v>
      </c>
      <c r="B1475" t="s">
        <v>563</v>
      </c>
      <c r="C1475" t="s">
        <v>5283</v>
      </c>
      <c r="D1475" t="s">
        <v>19046</v>
      </c>
      <c r="E1475" t="s">
        <v>20445</v>
      </c>
      <c r="F1475" t="s">
        <v>32606</v>
      </c>
      <c r="G1475" t="s">
        <v>32619</v>
      </c>
      <c r="H1475" t="s">
        <v>14201</v>
      </c>
      <c r="I1475" t="s">
        <v>6931</v>
      </c>
      <c r="J1475" t="s">
        <v>33864</v>
      </c>
      <c r="K1475" t="s">
        <v>42623</v>
      </c>
      <c r="M1475" t="s">
        <v>43478</v>
      </c>
      <c r="N1475" t="s">
        <v>47304</v>
      </c>
      <c r="O1475" t="s">
        <v>47305</v>
      </c>
      <c r="P1475">
        <v>0</v>
      </c>
      <c r="Q1475">
        <v>0</v>
      </c>
      <c r="R1475" t="s">
        <v>47307</v>
      </c>
      <c r="S1475" t="s">
        <v>47416</v>
      </c>
      <c r="T1475" t="s">
        <v>48986</v>
      </c>
      <c r="U1475" t="s">
        <v>50879</v>
      </c>
      <c r="W1475" t="s">
        <v>43478</v>
      </c>
      <c r="X1475" t="s">
        <v>47306</v>
      </c>
    </row>
    <row r="1476" spans="1:24">
      <c r="A1476">
        <f>HYPERLINK("https://www.philgeps.gov.ph/GEPSNONPILOT/Tender/SplashBidNoticeAbstractUI.aspx?menuIndex=3&amp;refID=7198783&amp;Result=3","7198783")</f>
        <v>0</v>
      </c>
      <c r="B1476" t="s">
        <v>586</v>
      </c>
      <c r="C1476" t="s">
        <v>5284</v>
      </c>
      <c r="E1476" t="s">
        <v>20446</v>
      </c>
      <c r="F1476" t="s">
        <v>32606</v>
      </c>
      <c r="G1476" t="s">
        <v>32613</v>
      </c>
      <c r="H1476" t="s">
        <v>32623</v>
      </c>
      <c r="I1476" t="s">
        <v>17648</v>
      </c>
      <c r="J1476" t="s">
        <v>33865</v>
      </c>
      <c r="K1476" t="s">
        <v>42709</v>
      </c>
      <c r="M1476" t="s">
        <v>43501</v>
      </c>
      <c r="N1476" t="s">
        <v>47304</v>
      </c>
      <c r="O1476" t="s">
        <v>47305</v>
      </c>
      <c r="P1476">
        <v>0</v>
      </c>
      <c r="Q1476">
        <v>0</v>
      </c>
      <c r="R1476" t="s">
        <v>47307</v>
      </c>
      <c r="S1476" t="s">
        <v>47416</v>
      </c>
      <c r="T1476" t="s">
        <v>49152</v>
      </c>
      <c r="U1476" t="s">
        <v>50880</v>
      </c>
      <c r="W1476" t="s">
        <v>43501</v>
      </c>
      <c r="X1476" t="s">
        <v>47306</v>
      </c>
    </row>
    <row r="1477" spans="1:24">
      <c r="A1477">
        <f>HYPERLINK("https://www.philgeps.gov.ph/GEPSNONPILOT/Tender/SplashBidNoticeAbstractUI.aspx?menuIndex=3&amp;refID=7199218&amp;Result=3","7199218")</f>
        <v>0</v>
      </c>
      <c r="B1477" t="s">
        <v>717</v>
      </c>
      <c r="C1477" t="s">
        <v>5285</v>
      </c>
      <c r="D1477" t="s">
        <v>19024</v>
      </c>
      <c r="E1477" t="s">
        <v>20447</v>
      </c>
      <c r="F1477" t="s">
        <v>32606</v>
      </c>
      <c r="G1477" t="s">
        <v>32614</v>
      </c>
      <c r="H1477" t="s">
        <v>14201</v>
      </c>
      <c r="I1477" t="s">
        <v>32629</v>
      </c>
      <c r="J1477" t="s">
        <v>33866</v>
      </c>
      <c r="K1477" t="s">
        <v>42630</v>
      </c>
      <c r="M1477" t="s">
        <v>43638</v>
      </c>
      <c r="N1477" t="s">
        <v>47304</v>
      </c>
      <c r="O1477" t="s">
        <v>47305</v>
      </c>
      <c r="P1477">
        <v>0</v>
      </c>
      <c r="Q1477">
        <v>0</v>
      </c>
      <c r="R1477" t="s">
        <v>47307</v>
      </c>
      <c r="S1477" t="s">
        <v>47416</v>
      </c>
      <c r="T1477" t="s">
        <v>48972</v>
      </c>
      <c r="U1477" t="s">
        <v>50831</v>
      </c>
      <c r="W1477" t="s">
        <v>43638</v>
      </c>
      <c r="X1477" t="s">
        <v>47306</v>
      </c>
    </row>
    <row r="1478" spans="1:24">
      <c r="A1478">
        <f>HYPERLINK("https://www.philgeps.gov.ph/GEPSNONPILOT/Tender/SplashBidNoticeAbstractUI.aspx?menuIndex=3&amp;refID=7199254&amp;Result=3","7199254")</f>
        <v>0</v>
      </c>
      <c r="B1478" t="s">
        <v>371</v>
      </c>
      <c r="C1478" t="s">
        <v>5286</v>
      </c>
      <c r="D1478" t="s">
        <v>18997</v>
      </c>
      <c r="E1478" t="s">
        <v>20448</v>
      </c>
      <c r="F1478" t="s">
        <v>32606</v>
      </c>
      <c r="G1478" t="s">
        <v>32613</v>
      </c>
      <c r="H1478" t="s">
        <v>14201</v>
      </c>
      <c r="I1478" t="s">
        <v>32702</v>
      </c>
      <c r="J1478" t="s">
        <v>33231</v>
      </c>
      <c r="K1478" t="s">
        <v>42631</v>
      </c>
      <c r="M1478" t="s">
        <v>43273</v>
      </c>
      <c r="N1478" t="s">
        <v>47304</v>
      </c>
      <c r="O1478" t="s">
        <v>47305</v>
      </c>
      <c r="P1478">
        <v>0</v>
      </c>
      <c r="Q1478">
        <v>0</v>
      </c>
      <c r="R1478" t="s">
        <v>47307</v>
      </c>
      <c r="S1478" t="s">
        <v>47416</v>
      </c>
      <c r="T1478" t="s">
        <v>49017</v>
      </c>
      <c r="U1478" t="s">
        <v>50881</v>
      </c>
      <c r="W1478" t="s">
        <v>43273</v>
      </c>
      <c r="X1478" t="s">
        <v>47306</v>
      </c>
    </row>
    <row r="1479" spans="1:24">
      <c r="A1479">
        <f>HYPERLINK("https://www.philgeps.gov.ph/GEPSNONPILOT/Tender/SplashBidNoticeAbstractUI.aspx?menuIndex=3&amp;refID=7199251&amp;Result=3","7199251")</f>
        <v>0</v>
      </c>
      <c r="B1479" t="s">
        <v>739</v>
      </c>
      <c r="C1479" t="s">
        <v>5287</v>
      </c>
      <c r="D1479" t="s">
        <v>19021</v>
      </c>
      <c r="E1479" t="s">
        <v>20449</v>
      </c>
      <c r="F1479" t="s">
        <v>32606</v>
      </c>
      <c r="G1479" t="s">
        <v>32613</v>
      </c>
      <c r="H1479" t="s">
        <v>32623</v>
      </c>
      <c r="I1479" t="s">
        <v>17648</v>
      </c>
      <c r="J1479" t="s">
        <v>32765</v>
      </c>
      <c r="K1479" t="s">
        <v>42638</v>
      </c>
      <c r="M1479" t="s">
        <v>43662</v>
      </c>
      <c r="N1479" t="s">
        <v>47304</v>
      </c>
      <c r="O1479" t="s">
        <v>47305</v>
      </c>
      <c r="P1479">
        <v>0</v>
      </c>
      <c r="Q1479">
        <v>0</v>
      </c>
      <c r="R1479" t="s">
        <v>47307</v>
      </c>
      <c r="S1479" t="s">
        <v>47416</v>
      </c>
      <c r="T1479" t="s">
        <v>48995</v>
      </c>
      <c r="U1479" t="s">
        <v>50882</v>
      </c>
      <c r="W1479" t="s">
        <v>43662</v>
      </c>
      <c r="X1479" t="s">
        <v>47306</v>
      </c>
    </row>
    <row r="1480" spans="1:24">
      <c r="A1480">
        <f>HYPERLINK("https://www.philgeps.gov.ph/GEPSNONPILOT/Tender/SplashBidNoticeAbstractUI.aspx?menuIndex=3&amp;refID=7199215&amp;Result=3","7199215")</f>
        <v>0</v>
      </c>
      <c r="B1480" t="s">
        <v>740</v>
      </c>
      <c r="C1480" t="s">
        <v>5288</v>
      </c>
      <c r="D1480" t="s">
        <v>19061</v>
      </c>
      <c r="E1480" t="s">
        <v>20450</v>
      </c>
      <c r="F1480" t="s">
        <v>32606</v>
      </c>
      <c r="G1480" t="s">
        <v>32619</v>
      </c>
      <c r="H1480" t="s">
        <v>14201</v>
      </c>
      <c r="I1480" t="s">
        <v>32633</v>
      </c>
      <c r="J1480" t="s">
        <v>33867</v>
      </c>
      <c r="K1480" t="s">
        <v>42629</v>
      </c>
      <c r="M1480" t="s">
        <v>43663</v>
      </c>
      <c r="N1480" t="s">
        <v>47304</v>
      </c>
      <c r="O1480" t="s">
        <v>47305</v>
      </c>
      <c r="P1480">
        <v>0</v>
      </c>
      <c r="Q1480">
        <v>0</v>
      </c>
      <c r="R1480" t="s">
        <v>47307</v>
      </c>
      <c r="S1480" t="s">
        <v>47416</v>
      </c>
      <c r="T1480" t="s">
        <v>48976</v>
      </c>
      <c r="U1480" t="s">
        <v>50883</v>
      </c>
      <c r="V1480" t="s">
        <v>62815</v>
      </c>
      <c r="W1480" t="s">
        <v>43663</v>
      </c>
      <c r="X1480" t="s">
        <v>47306</v>
      </c>
    </row>
    <row r="1481" spans="1:24">
      <c r="A1481">
        <f>HYPERLINK("https://www.philgeps.gov.ph/GEPSNONPILOT/Tender/SplashBidNoticeAbstractUI.aspx?menuIndex=3&amp;refID=7198807&amp;Result=3","7198807")</f>
        <v>0</v>
      </c>
      <c r="B1481" t="s">
        <v>685</v>
      </c>
      <c r="C1481" t="s">
        <v>5289</v>
      </c>
      <c r="D1481" t="s">
        <v>19040</v>
      </c>
      <c r="E1481" t="s">
        <v>20451</v>
      </c>
      <c r="F1481" t="s">
        <v>32606</v>
      </c>
      <c r="G1481" t="s">
        <v>32613</v>
      </c>
      <c r="H1481" t="s">
        <v>32623</v>
      </c>
      <c r="I1481" t="s">
        <v>17648</v>
      </c>
      <c r="J1481" t="s">
        <v>33868</v>
      </c>
      <c r="K1481" t="s">
        <v>42635</v>
      </c>
      <c r="M1481" t="s">
        <v>43606</v>
      </c>
      <c r="N1481" t="s">
        <v>47304</v>
      </c>
      <c r="O1481" t="s">
        <v>47305</v>
      </c>
      <c r="P1481">
        <v>0</v>
      </c>
      <c r="Q1481">
        <v>0</v>
      </c>
      <c r="R1481" t="s">
        <v>47307</v>
      </c>
      <c r="S1481" t="s">
        <v>47416</v>
      </c>
      <c r="T1481" t="s">
        <v>49110</v>
      </c>
      <c r="U1481" t="s">
        <v>50884</v>
      </c>
      <c r="W1481" t="s">
        <v>43606</v>
      </c>
      <c r="X1481" t="s">
        <v>47306</v>
      </c>
    </row>
    <row r="1482" spans="1:24">
      <c r="A1482">
        <f>HYPERLINK("https://www.philgeps.gov.ph/GEPSNONPILOT/Tender/SplashBidNoticeAbstractUI.aspx?menuIndex=3&amp;refID=7199250&amp;Result=3","7199250")</f>
        <v>0</v>
      </c>
      <c r="B1482" t="s">
        <v>247</v>
      </c>
      <c r="C1482" t="s">
        <v>5290</v>
      </c>
      <c r="D1482" t="s">
        <v>18993</v>
      </c>
      <c r="E1482" t="s">
        <v>20452</v>
      </c>
      <c r="F1482" t="s">
        <v>32606</v>
      </c>
      <c r="G1482" t="s">
        <v>32614</v>
      </c>
      <c r="H1482" t="s">
        <v>14201</v>
      </c>
      <c r="I1482" t="s">
        <v>32631</v>
      </c>
      <c r="J1482" t="s">
        <v>33221</v>
      </c>
      <c r="K1482" t="s">
        <v>42631</v>
      </c>
      <c r="M1482" t="s">
        <v>43148</v>
      </c>
      <c r="N1482" t="s">
        <v>47304</v>
      </c>
      <c r="O1482" t="s">
        <v>47305</v>
      </c>
      <c r="P1482">
        <v>0</v>
      </c>
      <c r="Q1482">
        <v>0</v>
      </c>
      <c r="R1482" t="s">
        <v>47307</v>
      </c>
      <c r="S1482" t="s">
        <v>47416</v>
      </c>
      <c r="T1482" t="s">
        <v>49108</v>
      </c>
      <c r="U1482" t="s">
        <v>50885</v>
      </c>
      <c r="W1482" t="s">
        <v>43148</v>
      </c>
      <c r="X1482" t="s">
        <v>47306</v>
      </c>
    </row>
    <row r="1483" spans="1:24">
      <c r="A1483">
        <f>HYPERLINK("https://www.philgeps.gov.ph/GEPSNONPILOT/Tender/SplashBidNoticeAbstractUI.aspx?menuIndex=3&amp;refID=7199214&amp;Result=3","7199214")</f>
        <v>0</v>
      </c>
      <c r="B1483" t="s">
        <v>247</v>
      </c>
      <c r="C1483" t="s">
        <v>5291</v>
      </c>
      <c r="D1483" t="s">
        <v>18993</v>
      </c>
      <c r="E1483" t="s">
        <v>20453</v>
      </c>
      <c r="F1483" t="s">
        <v>32606</v>
      </c>
      <c r="G1483" t="s">
        <v>32614</v>
      </c>
      <c r="H1483" t="s">
        <v>14201</v>
      </c>
      <c r="I1483" t="s">
        <v>4120</v>
      </c>
      <c r="J1483" t="s">
        <v>33539</v>
      </c>
      <c r="K1483" t="s">
        <v>42631</v>
      </c>
      <c r="M1483" t="s">
        <v>43148</v>
      </c>
      <c r="N1483" t="s">
        <v>47304</v>
      </c>
      <c r="O1483" t="s">
        <v>47305</v>
      </c>
      <c r="P1483">
        <v>0</v>
      </c>
      <c r="Q1483">
        <v>0</v>
      </c>
      <c r="R1483" t="s">
        <v>47307</v>
      </c>
      <c r="S1483" t="s">
        <v>47416</v>
      </c>
      <c r="T1483" t="s">
        <v>49108</v>
      </c>
      <c r="U1483" t="s">
        <v>50886</v>
      </c>
      <c r="W1483" t="s">
        <v>43148</v>
      </c>
      <c r="X1483" t="s">
        <v>47306</v>
      </c>
    </row>
    <row r="1484" spans="1:24">
      <c r="A1484">
        <f>HYPERLINK("https://www.philgeps.gov.ph/GEPSNONPILOT/Tender/SplashBidNoticeAbstractUI.aspx?menuIndex=3&amp;refID=7199247&amp;Result=3","7199247")</f>
        <v>0</v>
      </c>
      <c r="B1484" t="s">
        <v>741</v>
      </c>
      <c r="C1484" t="s">
        <v>5292</v>
      </c>
      <c r="D1484" t="s">
        <v>19044</v>
      </c>
      <c r="E1484" t="s">
        <v>20454</v>
      </c>
      <c r="F1484" t="s">
        <v>32606</v>
      </c>
      <c r="G1484" t="s">
        <v>32614</v>
      </c>
      <c r="H1484" t="s">
        <v>14201</v>
      </c>
      <c r="I1484" t="s">
        <v>5233</v>
      </c>
      <c r="J1484" t="s">
        <v>33869</v>
      </c>
      <c r="K1484" t="s">
        <v>42631</v>
      </c>
      <c r="M1484" t="s">
        <v>43664</v>
      </c>
      <c r="N1484" t="s">
        <v>47304</v>
      </c>
      <c r="O1484" t="s">
        <v>47305</v>
      </c>
      <c r="P1484">
        <v>0</v>
      </c>
      <c r="Q1484">
        <v>0</v>
      </c>
      <c r="R1484" t="s">
        <v>47307</v>
      </c>
      <c r="S1484" t="s">
        <v>47416</v>
      </c>
      <c r="T1484" t="s">
        <v>49002</v>
      </c>
      <c r="U1484" t="s">
        <v>50887</v>
      </c>
      <c r="W1484" t="s">
        <v>43664</v>
      </c>
      <c r="X1484" t="s">
        <v>47306</v>
      </c>
    </row>
    <row r="1485" spans="1:24">
      <c r="A1485">
        <f>HYPERLINK("https://www.philgeps.gov.ph/GEPSNONPILOT/Tender/SplashBidNoticeAbstractUI.aspx?menuIndex=3&amp;refID=7199220&amp;Result=3","7199220")</f>
        <v>0</v>
      </c>
      <c r="B1485" t="s">
        <v>487</v>
      </c>
      <c r="C1485" t="s">
        <v>5293</v>
      </c>
      <c r="D1485" t="s">
        <v>19027</v>
      </c>
      <c r="E1485" t="s">
        <v>20455</v>
      </c>
      <c r="F1485" t="s">
        <v>32606</v>
      </c>
      <c r="G1485" t="s">
        <v>32614</v>
      </c>
      <c r="H1485" t="s">
        <v>14201</v>
      </c>
      <c r="I1485" t="s">
        <v>4678</v>
      </c>
      <c r="J1485" t="s">
        <v>33870</v>
      </c>
      <c r="K1485" t="s">
        <v>42623</v>
      </c>
      <c r="M1485" t="s">
        <v>43399</v>
      </c>
      <c r="N1485" t="s">
        <v>47304</v>
      </c>
      <c r="O1485" t="s">
        <v>47305</v>
      </c>
      <c r="P1485">
        <v>0</v>
      </c>
      <c r="Q1485">
        <v>0</v>
      </c>
      <c r="R1485" t="s">
        <v>47307</v>
      </c>
      <c r="S1485" t="s">
        <v>47416</v>
      </c>
      <c r="T1485" t="s">
        <v>49017</v>
      </c>
      <c r="U1485" t="s">
        <v>50888</v>
      </c>
      <c r="W1485" t="s">
        <v>43399</v>
      </c>
      <c r="X1485" t="s">
        <v>47306</v>
      </c>
    </row>
    <row r="1486" spans="1:24">
      <c r="A1486">
        <f>HYPERLINK("https://www.philgeps.gov.ph/GEPSNONPILOT/Tender/SplashBidNoticeAbstractUI.aspx?menuIndex=3&amp;refID=7199244&amp;Result=3","7199244")</f>
        <v>0</v>
      </c>
      <c r="B1486" t="s">
        <v>729</v>
      </c>
      <c r="C1486" t="s">
        <v>5294</v>
      </c>
      <c r="D1486" t="s">
        <v>19007</v>
      </c>
      <c r="E1486" t="s">
        <v>20456</v>
      </c>
      <c r="F1486" t="s">
        <v>32606</v>
      </c>
      <c r="G1486" t="s">
        <v>32613</v>
      </c>
      <c r="H1486" t="s">
        <v>14201</v>
      </c>
      <c r="I1486" t="s">
        <v>7064</v>
      </c>
      <c r="J1486" t="s">
        <v>33871</v>
      </c>
      <c r="K1486" t="s">
        <v>42624</v>
      </c>
      <c r="M1486" t="s">
        <v>43651</v>
      </c>
      <c r="N1486" t="s">
        <v>47304</v>
      </c>
      <c r="O1486" t="s">
        <v>47305</v>
      </c>
      <c r="P1486">
        <v>0</v>
      </c>
      <c r="Q1486">
        <v>1</v>
      </c>
      <c r="R1486" t="s">
        <v>47307</v>
      </c>
      <c r="S1486" t="s">
        <v>47416</v>
      </c>
      <c r="T1486" t="s">
        <v>49028</v>
      </c>
      <c r="U1486" t="s">
        <v>50855</v>
      </c>
      <c r="W1486" t="s">
        <v>43651</v>
      </c>
      <c r="X1486" t="s">
        <v>47306</v>
      </c>
    </row>
    <row r="1487" spans="1:24">
      <c r="A1487">
        <f>HYPERLINK("https://www.philgeps.gov.ph/GEPSNONPILOT/Tender/SplashBidNoticeAbstractUI.aspx?menuIndex=3&amp;refID=7199243&amp;Result=3","7199243")</f>
        <v>0</v>
      </c>
      <c r="B1487" t="s">
        <v>742</v>
      </c>
      <c r="C1487" t="s">
        <v>5295</v>
      </c>
      <c r="D1487" t="s">
        <v>19054</v>
      </c>
      <c r="E1487" t="s">
        <v>20457</v>
      </c>
      <c r="F1487" t="s">
        <v>32606</v>
      </c>
      <c r="G1487" t="s">
        <v>32614</v>
      </c>
      <c r="H1487" t="s">
        <v>14201</v>
      </c>
      <c r="I1487" t="s">
        <v>32681</v>
      </c>
      <c r="J1487" t="s">
        <v>33872</v>
      </c>
      <c r="K1487" t="s">
        <v>42631</v>
      </c>
      <c r="M1487" t="s">
        <v>43665</v>
      </c>
      <c r="N1487" t="s">
        <v>47304</v>
      </c>
      <c r="O1487" t="s">
        <v>47305</v>
      </c>
      <c r="P1487">
        <v>0</v>
      </c>
      <c r="Q1487">
        <v>0</v>
      </c>
      <c r="R1487" t="s">
        <v>47307</v>
      </c>
      <c r="S1487" t="s">
        <v>47416</v>
      </c>
      <c r="T1487" t="s">
        <v>49015</v>
      </c>
      <c r="U1487" t="s">
        <v>50889</v>
      </c>
      <c r="W1487" t="s">
        <v>43665</v>
      </c>
      <c r="X1487" t="s">
        <v>47306</v>
      </c>
    </row>
    <row r="1488" spans="1:24">
      <c r="A1488">
        <f>HYPERLINK("https://www.philgeps.gov.ph/GEPSNONPILOT/Tender/SplashBidNoticeAbstractUI.aspx?menuIndex=3&amp;refID=7199241&amp;Result=3","7199241")</f>
        <v>0</v>
      </c>
      <c r="B1488" t="s">
        <v>743</v>
      </c>
      <c r="C1488" t="s">
        <v>5296</v>
      </c>
      <c r="E1488" t="s">
        <v>20458</v>
      </c>
      <c r="F1488" t="s">
        <v>32606</v>
      </c>
      <c r="G1488" t="s">
        <v>32615</v>
      </c>
      <c r="H1488" t="s">
        <v>32623</v>
      </c>
      <c r="I1488" t="s">
        <v>32675</v>
      </c>
      <c r="J1488" t="s">
        <v>33873</v>
      </c>
      <c r="K1488" t="s">
        <v>42648</v>
      </c>
      <c r="M1488" t="s">
        <v>43666</v>
      </c>
      <c r="N1488" t="s">
        <v>47304</v>
      </c>
      <c r="O1488" t="s">
        <v>47305</v>
      </c>
      <c r="P1488">
        <v>0</v>
      </c>
      <c r="Q1488">
        <v>0</v>
      </c>
      <c r="R1488" t="s">
        <v>47307</v>
      </c>
      <c r="S1488" t="s">
        <v>47416</v>
      </c>
      <c r="T1488" t="s">
        <v>49008</v>
      </c>
      <c r="U1488" t="s">
        <v>50890</v>
      </c>
      <c r="W1488" t="s">
        <v>64445</v>
      </c>
      <c r="X1488" t="s">
        <v>47306</v>
      </c>
    </row>
    <row r="1489" spans="1:24">
      <c r="A1489">
        <f>HYPERLINK("https://www.philgeps.gov.ph/GEPSNONPILOT/Tender/SplashBidNoticeAbstractUI.aspx?menuIndex=3&amp;refID=7199029&amp;Result=3","7199029")</f>
        <v>0</v>
      </c>
      <c r="B1489" t="s">
        <v>744</v>
      </c>
      <c r="C1489" t="s">
        <v>5297</v>
      </c>
      <c r="D1489" t="s">
        <v>19056</v>
      </c>
      <c r="E1489" t="s">
        <v>20459</v>
      </c>
      <c r="F1489" t="s">
        <v>32606</v>
      </c>
      <c r="G1489" t="s">
        <v>32613</v>
      </c>
      <c r="H1489" t="s">
        <v>32623</v>
      </c>
      <c r="I1489" t="s">
        <v>17648</v>
      </c>
      <c r="J1489" t="s">
        <v>33874</v>
      </c>
      <c r="K1489" t="s">
        <v>42631</v>
      </c>
      <c r="M1489" t="s">
        <v>43667</v>
      </c>
      <c r="N1489" t="s">
        <v>47304</v>
      </c>
      <c r="O1489" t="s">
        <v>47305</v>
      </c>
      <c r="P1489">
        <v>0</v>
      </c>
      <c r="Q1489">
        <v>0</v>
      </c>
      <c r="R1489" t="s">
        <v>47307</v>
      </c>
      <c r="S1489" t="s">
        <v>47416</v>
      </c>
      <c r="T1489" t="s">
        <v>49008</v>
      </c>
      <c r="U1489" t="s">
        <v>50891</v>
      </c>
      <c r="W1489" t="s">
        <v>43667</v>
      </c>
      <c r="X1489" t="s">
        <v>47306</v>
      </c>
    </row>
    <row r="1490" spans="1:24">
      <c r="A1490">
        <f>HYPERLINK("https://www.philgeps.gov.ph/GEPSNONPILOT/Tender/SplashBidNoticeAbstractUI.aspx?menuIndex=3&amp;refID=7199249&amp;Result=3","7199249")</f>
        <v>0</v>
      </c>
      <c r="B1490" t="s">
        <v>745</v>
      </c>
      <c r="C1490" t="s">
        <v>5298</v>
      </c>
      <c r="D1490" t="s">
        <v>19043</v>
      </c>
      <c r="E1490" t="s">
        <v>20460</v>
      </c>
      <c r="F1490" t="s">
        <v>32606</v>
      </c>
      <c r="G1490" t="s">
        <v>32615</v>
      </c>
      <c r="H1490" t="s">
        <v>14201</v>
      </c>
      <c r="I1490" t="s">
        <v>4120</v>
      </c>
      <c r="J1490" t="s">
        <v>32977</v>
      </c>
      <c r="K1490" t="s">
        <v>42622</v>
      </c>
      <c r="M1490" t="s">
        <v>43668</v>
      </c>
      <c r="N1490" t="s">
        <v>47304</v>
      </c>
      <c r="O1490" t="s">
        <v>47305</v>
      </c>
      <c r="P1490">
        <v>0</v>
      </c>
      <c r="Q1490">
        <v>0</v>
      </c>
      <c r="R1490" t="s">
        <v>47307</v>
      </c>
      <c r="S1490" t="s">
        <v>47416</v>
      </c>
      <c r="T1490" t="s">
        <v>49180</v>
      </c>
      <c r="U1490" t="s">
        <v>50892</v>
      </c>
      <c r="W1490" t="s">
        <v>43668</v>
      </c>
      <c r="X1490" t="s">
        <v>47306</v>
      </c>
    </row>
    <row r="1491" spans="1:24">
      <c r="A1491">
        <f>HYPERLINK("https://www.philgeps.gov.ph/GEPSNONPILOT/Tender/SplashBidNoticeAbstractUI.aspx?menuIndex=3&amp;refID=7199238&amp;Result=3","7199238")</f>
        <v>0</v>
      </c>
      <c r="B1491" t="s">
        <v>644</v>
      </c>
      <c r="C1491" t="s">
        <v>5299</v>
      </c>
      <c r="E1491" t="s">
        <v>20461</v>
      </c>
      <c r="F1491" t="s">
        <v>32606</v>
      </c>
      <c r="G1491" t="s">
        <v>32613</v>
      </c>
      <c r="H1491" t="s">
        <v>14201</v>
      </c>
      <c r="I1491" t="s">
        <v>6931</v>
      </c>
      <c r="J1491" t="s">
        <v>33875</v>
      </c>
      <c r="K1491" t="s">
        <v>42624</v>
      </c>
      <c r="M1491" t="s">
        <v>43562</v>
      </c>
      <c r="N1491" t="s">
        <v>47304</v>
      </c>
      <c r="O1491" t="s">
        <v>47305</v>
      </c>
      <c r="P1491">
        <v>0</v>
      </c>
      <c r="Q1491">
        <v>0</v>
      </c>
      <c r="R1491" t="s">
        <v>47307</v>
      </c>
      <c r="S1491" t="s">
        <v>47416</v>
      </c>
      <c r="T1491" t="s">
        <v>49163</v>
      </c>
      <c r="U1491" t="s">
        <v>50893</v>
      </c>
      <c r="W1491" t="s">
        <v>43562</v>
      </c>
      <c r="X1491" t="s">
        <v>47306</v>
      </c>
    </row>
    <row r="1492" spans="1:24">
      <c r="A1492">
        <f>HYPERLINK("https://www.philgeps.gov.ph/GEPSNONPILOT/Tender/SplashBidNoticeAbstractUI.aspx?menuIndex=3&amp;refID=7199236&amp;Result=3","7199236")</f>
        <v>0</v>
      </c>
      <c r="B1492" t="s">
        <v>617</v>
      </c>
      <c r="C1492" t="s">
        <v>5300</v>
      </c>
      <c r="D1492" t="s">
        <v>19058</v>
      </c>
      <c r="E1492" t="s">
        <v>20462</v>
      </c>
      <c r="F1492" t="s">
        <v>32606</v>
      </c>
      <c r="G1492" t="s">
        <v>32614</v>
      </c>
      <c r="H1492" t="s">
        <v>14201</v>
      </c>
      <c r="I1492" t="s">
        <v>32632</v>
      </c>
      <c r="J1492" t="s">
        <v>33876</v>
      </c>
      <c r="K1492" t="s">
        <v>42624</v>
      </c>
      <c r="M1492" t="s">
        <v>43535</v>
      </c>
      <c r="N1492" t="s">
        <v>47304</v>
      </c>
      <c r="O1492" t="s">
        <v>47305</v>
      </c>
      <c r="P1492">
        <v>0</v>
      </c>
      <c r="Q1492">
        <v>0</v>
      </c>
      <c r="R1492" t="s">
        <v>47307</v>
      </c>
      <c r="S1492" t="s">
        <v>47416</v>
      </c>
      <c r="T1492" t="s">
        <v>48988</v>
      </c>
      <c r="U1492" t="s">
        <v>50894</v>
      </c>
      <c r="V1492" t="s">
        <v>62789</v>
      </c>
      <c r="W1492" t="s">
        <v>43535</v>
      </c>
      <c r="X1492" t="s">
        <v>47306</v>
      </c>
    </row>
    <row r="1493" spans="1:24">
      <c r="A1493">
        <f>HYPERLINK("https://www.philgeps.gov.ph/GEPSNONPILOT/Tender/SplashBidNoticeAbstractUI.aspx?menuIndex=3&amp;refID=7199231&amp;Result=3","7199231")</f>
        <v>0</v>
      </c>
      <c r="B1493" t="s">
        <v>746</v>
      </c>
      <c r="C1493" t="s">
        <v>5301</v>
      </c>
      <c r="D1493" t="s">
        <v>19008</v>
      </c>
      <c r="E1493" t="s">
        <v>20463</v>
      </c>
      <c r="F1493" t="s">
        <v>32606</v>
      </c>
      <c r="G1493" t="s">
        <v>32613</v>
      </c>
      <c r="H1493" t="s">
        <v>14201</v>
      </c>
      <c r="I1493" t="s">
        <v>6931</v>
      </c>
      <c r="J1493" t="s">
        <v>33877</v>
      </c>
      <c r="K1493" t="s">
        <v>42631</v>
      </c>
      <c r="M1493" t="s">
        <v>43669</v>
      </c>
      <c r="N1493" t="s">
        <v>47304</v>
      </c>
      <c r="O1493" t="s">
        <v>47305</v>
      </c>
      <c r="P1493">
        <v>0</v>
      </c>
      <c r="Q1493">
        <v>0</v>
      </c>
      <c r="R1493" t="s">
        <v>47307</v>
      </c>
      <c r="S1493" t="s">
        <v>47416</v>
      </c>
      <c r="T1493" t="s">
        <v>49181</v>
      </c>
      <c r="U1493" t="s">
        <v>50895</v>
      </c>
      <c r="V1493" t="s">
        <v>62816</v>
      </c>
      <c r="W1493" t="s">
        <v>43669</v>
      </c>
      <c r="X1493" t="s">
        <v>47306</v>
      </c>
    </row>
    <row r="1494" spans="1:24">
      <c r="A1494">
        <f>HYPERLINK("https://www.philgeps.gov.ph/GEPSNONPILOT/Tender/SplashBidNoticeAbstractUI.aspx?menuIndex=3&amp;refID=7199230&amp;Result=3","7199230")</f>
        <v>0</v>
      </c>
      <c r="B1494" t="s">
        <v>247</v>
      </c>
      <c r="C1494" t="s">
        <v>5302</v>
      </c>
      <c r="D1494" t="s">
        <v>18993</v>
      </c>
      <c r="E1494" t="s">
        <v>20464</v>
      </c>
      <c r="F1494" t="s">
        <v>32606</v>
      </c>
      <c r="G1494" t="s">
        <v>32614</v>
      </c>
      <c r="H1494" t="s">
        <v>14201</v>
      </c>
      <c r="I1494" t="s">
        <v>32703</v>
      </c>
      <c r="J1494" t="s">
        <v>33878</v>
      </c>
      <c r="K1494" t="s">
        <v>42631</v>
      </c>
      <c r="M1494" t="s">
        <v>43148</v>
      </c>
      <c r="N1494" t="s">
        <v>47304</v>
      </c>
      <c r="O1494" t="s">
        <v>47305</v>
      </c>
      <c r="P1494">
        <v>0</v>
      </c>
      <c r="Q1494">
        <v>0</v>
      </c>
      <c r="R1494" t="s">
        <v>47307</v>
      </c>
      <c r="S1494" t="s">
        <v>47416</v>
      </c>
      <c r="T1494" t="s">
        <v>49108</v>
      </c>
      <c r="U1494" t="s">
        <v>50896</v>
      </c>
      <c r="W1494" t="s">
        <v>43148</v>
      </c>
      <c r="X1494" t="s">
        <v>47306</v>
      </c>
    </row>
    <row r="1495" spans="1:24">
      <c r="A1495">
        <f>HYPERLINK("https://www.philgeps.gov.ph/GEPSNONPILOT/Tender/SplashBidNoticeAbstractUI.aspx?menuIndex=3&amp;refID=7199242&amp;Result=3","7199242")</f>
        <v>0</v>
      </c>
      <c r="B1495" t="s">
        <v>624</v>
      </c>
      <c r="C1495" t="s">
        <v>5303</v>
      </c>
      <c r="D1495" t="s">
        <v>19041</v>
      </c>
      <c r="E1495" t="s">
        <v>20465</v>
      </c>
      <c r="F1495" t="s">
        <v>32606</v>
      </c>
      <c r="G1495" t="s">
        <v>32614</v>
      </c>
      <c r="H1495" t="s">
        <v>14201</v>
      </c>
      <c r="I1495" t="s">
        <v>7677</v>
      </c>
      <c r="J1495" t="s">
        <v>33879</v>
      </c>
      <c r="K1495" t="s">
        <v>42630</v>
      </c>
      <c r="M1495" t="s">
        <v>43542</v>
      </c>
      <c r="N1495" t="s">
        <v>47304</v>
      </c>
      <c r="O1495" t="s">
        <v>47305</v>
      </c>
      <c r="P1495">
        <v>0</v>
      </c>
      <c r="Q1495">
        <v>0</v>
      </c>
      <c r="R1495" t="s">
        <v>47307</v>
      </c>
      <c r="S1495" t="s">
        <v>47416</v>
      </c>
      <c r="T1495" t="s">
        <v>48986</v>
      </c>
      <c r="U1495" t="s">
        <v>50897</v>
      </c>
      <c r="W1495" t="s">
        <v>43542</v>
      </c>
      <c r="X1495" t="s">
        <v>47306</v>
      </c>
    </row>
    <row r="1496" spans="1:24">
      <c r="A1496">
        <f>HYPERLINK("https://www.philgeps.gov.ph/GEPSNONPILOT/Tender/SplashBidNoticeAbstractUI.aspx?menuIndex=3&amp;refID=7199229&amp;Result=3","7199229")</f>
        <v>0</v>
      </c>
      <c r="B1496" t="s">
        <v>747</v>
      </c>
      <c r="C1496" t="s">
        <v>5304</v>
      </c>
      <c r="D1496" t="s">
        <v>19014</v>
      </c>
      <c r="E1496" t="s">
        <v>20466</v>
      </c>
      <c r="F1496" t="s">
        <v>32606</v>
      </c>
      <c r="G1496" t="s">
        <v>32613</v>
      </c>
      <c r="H1496" t="s">
        <v>32623</v>
      </c>
      <c r="I1496" t="s">
        <v>17648</v>
      </c>
      <c r="J1496" t="s">
        <v>33880</v>
      </c>
      <c r="K1496" t="s">
        <v>42646</v>
      </c>
      <c r="M1496" t="s">
        <v>43670</v>
      </c>
      <c r="N1496" t="s">
        <v>47304</v>
      </c>
      <c r="O1496" t="s">
        <v>47305</v>
      </c>
      <c r="P1496">
        <v>0</v>
      </c>
      <c r="Q1496">
        <v>0</v>
      </c>
      <c r="R1496" t="s">
        <v>47307</v>
      </c>
      <c r="S1496" t="s">
        <v>47416</v>
      </c>
      <c r="T1496" t="s">
        <v>49008</v>
      </c>
      <c r="U1496" t="s">
        <v>50898</v>
      </c>
      <c r="V1496" t="s">
        <v>62817</v>
      </c>
      <c r="W1496" t="s">
        <v>43670</v>
      </c>
      <c r="X1496" t="s">
        <v>47306</v>
      </c>
    </row>
    <row r="1497" spans="1:24">
      <c r="A1497">
        <f>HYPERLINK("https://www.philgeps.gov.ph/GEPSNONPILOT/Tender/SplashBidNoticeAbstractUI.aspx?menuIndex=3&amp;refID=7199227&amp;Result=3","7199227")</f>
        <v>0</v>
      </c>
      <c r="B1497" t="s">
        <v>748</v>
      </c>
      <c r="C1497" t="s">
        <v>5305</v>
      </c>
      <c r="D1497" t="s">
        <v>18993</v>
      </c>
      <c r="E1497" t="s">
        <v>20467</v>
      </c>
      <c r="F1497" t="s">
        <v>32606</v>
      </c>
      <c r="G1497" t="s">
        <v>32614</v>
      </c>
      <c r="H1497" t="s">
        <v>14201</v>
      </c>
      <c r="I1497" t="s">
        <v>32683</v>
      </c>
      <c r="J1497" t="s">
        <v>33881</v>
      </c>
      <c r="K1497" t="s">
        <v>42623</v>
      </c>
      <c r="M1497" t="s">
        <v>43671</v>
      </c>
      <c r="N1497" t="s">
        <v>47304</v>
      </c>
      <c r="O1497" t="s">
        <v>47305</v>
      </c>
      <c r="P1497">
        <v>0</v>
      </c>
      <c r="Q1497">
        <v>0</v>
      </c>
      <c r="R1497" t="s">
        <v>47307</v>
      </c>
      <c r="S1497" t="s">
        <v>47416</v>
      </c>
      <c r="T1497" t="s">
        <v>48986</v>
      </c>
      <c r="U1497" t="s">
        <v>50899</v>
      </c>
      <c r="V1497" t="s">
        <v>62818</v>
      </c>
      <c r="W1497" t="s">
        <v>43671</v>
      </c>
      <c r="X1497" t="s">
        <v>47306</v>
      </c>
    </row>
    <row r="1498" spans="1:24">
      <c r="A1498">
        <f>HYPERLINK("https://www.philgeps.gov.ph/GEPSNONPILOT/Tender/SplashBidNoticeAbstractUI.aspx?menuIndex=3&amp;refID=7199211&amp;Result=3","7199211")</f>
        <v>0</v>
      </c>
      <c r="B1498" t="s">
        <v>443</v>
      </c>
      <c r="C1498" t="s">
        <v>5306</v>
      </c>
      <c r="D1498" t="s">
        <v>19003</v>
      </c>
      <c r="E1498" t="s">
        <v>20468</v>
      </c>
      <c r="F1498" t="s">
        <v>32606</v>
      </c>
      <c r="G1498" t="s">
        <v>32614</v>
      </c>
      <c r="H1498" t="s">
        <v>14201</v>
      </c>
      <c r="I1498" t="s">
        <v>32633</v>
      </c>
      <c r="J1498" t="s">
        <v>33882</v>
      </c>
      <c r="K1498" t="s">
        <v>42629</v>
      </c>
      <c r="M1498" t="s">
        <v>43567</v>
      </c>
      <c r="N1498" t="s">
        <v>47304</v>
      </c>
      <c r="O1498" t="s">
        <v>47305</v>
      </c>
      <c r="P1498">
        <v>0</v>
      </c>
      <c r="Q1498">
        <v>0</v>
      </c>
      <c r="R1498" t="s">
        <v>47307</v>
      </c>
      <c r="S1498" t="s">
        <v>47416</v>
      </c>
      <c r="T1498" t="s">
        <v>48975</v>
      </c>
      <c r="U1498" t="s">
        <v>50900</v>
      </c>
      <c r="W1498" t="s">
        <v>43567</v>
      </c>
      <c r="X1498" t="s">
        <v>47306</v>
      </c>
    </row>
    <row r="1499" spans="1:24">
      <c r="A1499">
        <f>HYPERLINK("https://www.philgeps.gov.ph/GEPSNONPILOT/Tender/SplashBidNoticeAbstractUI.aspx?menuIndex=3&amp;refID=7199209&amp;Result=3","7199209")</f>
        <v>0</v>
      </c>
      <c r="B1499" t="s">
        <v>682</v>
      </c>
      <c r="C1499" t="s">
        <v>5307</v>
      </c>
      <c r="D1499" t="s">
        <v>19039</v>
      </c>
      <c r="E1499" t="s">
        <v>20469</v>
      </c>
      <c r="F1499" t="s">
        <v>32606</v>
      </c>
      <c r="G1499" t="s">
        <v>32614</v>
      </c>
      <c r="H1499" t="s">
        <v>14201</v>
      </c>
      <c r="I1499" t="s">
        <v>8606</v>
      </c>
      <c r="J1499" t="s">
        <v>33883</v>
      </c>
      <c r="K1499" t="s">
        <v>42623</v>
      </c>
      <c r="M1499" t="s">
        <v>43602</v>
      </c>
      <c r="N1499" t="s">
        <v>47304</v>
      </c>
      <c r="O1499" t="s">
        <v>47305</v>
      </c>
      <c r="P1499">
        <v>0</v>
      </c>
      <c r="Q1499">
        <v>0</v>
      </c>
      <c r="R1499" t="s">
        <v>47307</v>
      </c>
      <c r="S1499" t="s">
        <v>47416</v>
      </c>
      <c r="T1499" t="s">
        <v>49023</v>
      </c>
      <c r="U1499" t="s">
        <v>50809</v>
      </c>
      <c r="W1499" t="s">
        <v>43602</v>
      </c>
      <c r="X1499" t="s">
        <v>47306</v>
      </c>
    </row>
    <row r="1500" spans="1:24">
      <c r="A1500">
        <f>HYPERLINK("https://www.philgeps.gov.ph/GEPSNONPILOT/Tender/SplashBidNoticeAbstractUI.aspx?menuIndex=3&amp;refID=7199255&amp;Result=3","7199255")</f>
        <v>0</v>
      </c>
      <c r="B1500" t="s">
        <v>749</v>
      </c>
      <c r="C1500" t="s">
        <v>5308</v>
      </c>
      <c r="E1500" t="s">
        <v>19759</v>
      </c>
      <c r="F1500" t="s">
        <v>32606</v>
      </c>
      <c r="G1500" t="s">
        <v>32613</v>
      </c>
      <c r="H1500" t="s">
        <v>14201</v>
      </c>
      <c r="I1500" t="s">
        <v>32658</v>
      </c>
      <c r="J1500" t="s">
        <v>33884</v>
      </c>
      <c r="K1500" t="s">
        <v>42625</v>
      </c>
      <c r="M1500" t="s">
        <v>43672</v>
      </c>
      <c r="N1500" t="s">
        <v>47304</v>
      </c>
      <c r="O1500" t="s">
        <v>47305</v>
      </c>
      <c r="P1500">
        <v>0</v>
      </c>
      <c r="Q1500">
        <v>0</v>
      </c>
      <c r="R1500" t="s">
        <v>47307</v>
      </c>
      <c r="S1500" t="s">
        <v>47416</v>
      </c>
      <c r="T1500" t="s">
        <v>49028</v>
      </c>
      <c r="U1500" t="s">
        <v>50901</v>
      </c>
      <c r="W1500" t="s">
        <v>43672</v>
      </c>
      <c r="X1500" t="s">
        <v>47306</v>
      </c>
    </row>
    <row r="1501" spans="1:24">
      <c r="A1501">
        <f>HYPERLINK("https://www.philgeps.gov.ph/GEPSNONPILOT/Tender/SplashBidNoticeAbstractUI.aspx?menuIndex=3&amp;refID=7199232&amp;Result=3","7199232")</f>
        <v>0</v>
      </c>
      <c r="B1501" t="s">
        <v>236</v>
      </c>
      <c r="C1501" t="s">
        <v>5309</v>
      </c>
      <c r="D1501" t="s">
        <v>19018</v>
      </c>
      <c r="E1501" t="s">
        <v>20470</v>
      </c>
      <c r="F1501" t="s">
        <v>32606</v>
      </c>
      <c r="G1501" t="s">
        <v>32613</v>
      </c>
      <c r="H1501" t="s">
        <v>14201</v>
      </c>
      <c r="I1501" t="s">
        <v>13131</v>
      </c>
      <c r="J1501" t="s">
        <v>32795</v>
      </c>
      <c r="K1501" t="s">
        <v>42623</v>
      </c>
      <c r="M1501" t="s">
        <v>43137</v>
      </c>
      <c r="N1501" t="s">
        <v>47304</v>
      </c>
      <c r="O1501" t="s">
        <v>47305</v>
      </c>
      <c r="P1501">
        <v>0</v>
      </c>
      <c r="Q1501">
        <v>0</v>
      </c>
      <c r="R1501" t="s">
        <v>47307</v>
      </c>
      <c r="S1501" t="s">
        <v>47416</v>
      </c>
      <c r="T1501" t="s">
        <v>49033</v>
      </c>
      <c r="U1501" t="s">
        <v>50902</v>
      </c>
      <c r="W1501" t="s">
        <v>43137</v>
      </c>
      <c r="X1501" t="s">
        <v>47306</v>
      </c>
    </row>
    <row r="1502" spans="1:24">
      <c r="A1502">
        <f>HYPERLINK("https://www.philgeps.gov.ph/GEPSNONPILOT/Tender/SplashBidNoticeAbstractUI.aspx?menuIndex=3&amp;refID=7199210&amp;Result=3","7199210")</f>
        <v>0</v>
      </c>
      <c r="B1502" t="s">
        <v>437</v>
      </c>
      <c r="C1502" t="s">
        <v>5310</v>
      </c>
      <c r="D1502" t="s">
        <v>19003</v>
      </c>
      <c r="E1502" t="s">
        <v>20471</v>
      </c>
      <c r="F1502" t="s">
        <v>32606</v>
      </c>
      <c r="G1502" t="s">
        <v>32614</v>
      </c>
      <c r="H1502" t="s">
        <v>14201</v>
      </c>
      <c r="I1502" t="s">
        <v>4120</v>
      </c>
      <c r="J1502" t="s">
        <v>32813</v>
      </c>
      <c r="K1502" t="s">
        <v>42623</v>
      </c>
      <c r="M1502" t="s">
        <v>43343</v>
      </c>
      <c r="N1502" t="s">
        <v>47304</v>
      </c>
      <c r="O1502" t="s">
        <v>47305</v>
      </c>
      <c r="P1502">
        <v>0</v>
      </c>
      <c r="Q1502">
        <v>0</v>
      </c>
      <c r="R1502" t="s">
        <v>47307</v>
      </c>
      <c r="S1502" t="s">
        <v>47416</v>
      </c>
      <c r="T1502" t="s">
        <v>49100</v>
      </c>
      <c r="U1502" t="s">
        <v>50903</v>
      </c>
      <c r="V1502" t="s">
        <v>62819</v>
      </c>
      <c r="W1502" t="s">
        <v>43343</v>
      </c>
      <c r="X1502" t="s">
        <v>47306</v>
      </c>
    </row>
    <row r="1503" spans="1:24">
      <c r="A1503">
        <f>HYPERLINK("https://www.philgeps.gov.ph/GEPSNONPILOT/Tender/SplashBidNoticeAbstractUI.aspx?menuIndex=3&amp;refID=7199253&amp;Result=3","7199253")</f>
        <v>0</v>
      </c>
      <c r="B1503" t="s">
        <v>644</v>
      </c>
      <c r="C1503" t="s">
        <v>5311</v>
      </c>
      <c r="E1503" t="s">
        <v>20472</v>
      </c>
      <c r="F1503" t="s">
        <v>32606</v>
      </c>
      <c r="G1503" t="s">
        <v>32613</v>
      </c>
      <c r="H1503" t="s">
        <v>14201</v>
      </c>
      <c r="I1503" t="s">
        <v>7677</v>
      </c>
      <c r="J1503" t="s">
        <v>33885</v>
      </c>
      <c r="K1503" t="s">
        <v>42624</v>
      </c>
      <c r="M1503" t="s">
        <v>43562</v>
      </c>
      <c r="N1503" t="s">
        <v>47304</v>
      </c>
      <c r="O1503" t="s">
        <v>47305</v>
      </c>
      <c r="P1503">
        <v>0</v>
      </c>
      <c r="Q1503">
        <v>0</v>
      </c>
      <c r="R1503" t="s">
        <v>47307</v>
      </c>
      <c r="S1503" t="s">
        <v>47416</v>
      </c>
      <c r="T1503" t="s">
        <v>49163</v>
      </c>
      <c r="U1503" t="s">
        <v>50904</v>
      </c>
      <c r="W1503" t="s">
        <v>43562</v>
      </c>
      <c r="X1503" t="s">
        <v>47306</v>
      </c>
    </row>
    <row r="1504" spans="1:24">
      <c r="A1504">
        <f>HYPERLINK("https://www.philgeps.gov.ph/GEPSNONPILOT/Tender/SplashBidNoticeAbstractUI.aspx?menuIndex=3&amp;refID=7199240&amp;Result=3","7199240")</f>
        <v>0</v>
      </c>
      <c r="B1504" t="s">
        <v>442</v>
      </c>
      <c r="C1504" t="s">
        <v>5312</v>
      </c>
      <c r="E1504" t="s">
        <v>20473</v>
      </c>
      <c r="F1504" t="s">
        <v>32606</v>
      </c>
      <c r="G1504" t="s">
        <v>32614</v>
      </c>
      <c r="H1504" t="s">
        <v>14201</v>
      </c>
      <c r="I1504" t="s">
        <v>32640</v>
      </c>
      <c r="J1504" t="s">
        <v>32770</v>
      </c>
      <c r="K1504" t="s">
        <v>42624</v>
      </c>
      <c r="M1504" t="s">
        <v>43375</v>
      </c>
      <c r="N1504" t="s">
        <v>47304</v>
      </c>
      <c r="O1504" t="s">
        <v>47305</v>
      </c>
      <c r="P1504">
        <v>0</v>
      </c>
      <c r="Q1504">
        <v>0</v>
      </c>
      <c r="R1504" t="s">
        <v>47307</v>
      </c>
      <c r="S1504" t="s">
        <v>47416</v>
      </c>
      <c r="T1504" t="s">
        <v>48986</v>
      </c>
      <c r="U1504" t="s">
        <v>50905</v>
      </c>
      <c r="W1504" t="s">
        <v>43375</v>
      </c>
      <c r="X1504" t="s">
        <v>47306</v>
      </c>
    </row>
    <row r="1505" spans="1:24">
      <c r="A1505">
        <f>HYPERLINK("https://www.philgeps.gov.ph/GEPSNONPILOT/Tender/SplashBidNoticeAbstractUI.aspx?menuIndex=3&amp;refID=7199212&amp;Result=3","7199212")</f>
        <v>0</v>
      </c>
      <c r="B1505" t="s">
        <v>268</v>
      </c>
      <c r="C1505" t="s">
        <v>5313</v>
      </c>
      <c r="D1505" t="s">
        <v>18993</v>
      </c>
      <c r="E1505" t="s">
        <v>20474</v>
      </c>
      <c r="F1505" t="s">
        <v>32606</v>
      </c>
      <c r="G1505" t="s">
        <v>32614</v>
      </c>
      <c r="H1505" t="s">
        <v>14201</v>
      </c>
      <c r="I1505" t="s">
        <v>32694</v>
      </c>
      <c r="J1505" t="s">
        <v>33886</v>
      </c>
      <c r="K1505" t="s">
        <v>42710</v>
      </c>
      <c r="M1505" t="s">
        <v>43169</v>
      </c>
      <c r="N1505" t="s">
        <v>47304</v>
      </c>
      <c r="O1505" t="s">
        <v>47305</v>
      </c>
      <c r="P1505">
        <v>0</v>
      </c>
      <c r="Q1505">
        <v>0</v>
      </c>
      <c r="R1505" t="s">
        <v>47307</v>
      </c>
      <c r="S1505" t="s">
        <v>47416</v>
      </c>
      <c r="T1505" t="s">
        <v>48976</v>
      </c>
      <c r="U1505" t="s">
        <v>50004</v>
      </c>
      <c r="W1505" t="s">
        <v>43169</v>
      </c>
      <c r="X1505" t="s">
        <v>47306</v>
      </c>
    </row>
    <row r="1506" spans="1:24">
      <c r="A1506">
        <f>HYPERLINK("https://www.philgeps.gov.ph/GEPSNONPILOT/Tender/SplashBidNoticeAbstractUI.aspx?menuIndex=3&amp;refID=7199279&amp;Result=3","7199279")</f>
        <v>0</v>
      </c>
      <c r="B1506" t="s">
        <v>617</v>
      </c>
      <c r="C1506" t="s">
        <v>5314</v>
      </c>
      <c r="D1506" t="s">
        <v>19058</v>
      </c>
      <c r="E1506" t="s">
        <v>20475</v>
      </c>
      <c r="F1506" t="s">
        <v>32606</v>
      </c>
      <c r="G1506" t="s">
        <v>32614</v>
      </c>
      <c r="H1506" t="s">
        <v>14201</v>
      </c>
      <c r="I1506" t="s">
        <v>32641</v>
      </c>
      <c r="J1506" t="s">
        <v>33887</v>
      </c>
      <c r="K1506" t="s">
        <v>42624</v>
      </c>
      <c r="M1506" t="s">
        <v>43535</v>
      </c>
      <c r="N1506" t="s">
        <v>47304</v>
      </c>
      <c r="O1506" t="s">
        <v>47305</v>
      </c>
      <c r="P1506">
        <v>0</v>
      </c>
      <c r="Q1506">
        <v>0</v>
      </c>
      <c r="R1506" t="s">
        <v>47307</v>
      </c>
      <c r="S1506" t="s">
        <v>47416</v>
      </c>
      <c r="T1506" t="s">
        <v>48988</v>
      </c>
      <c r="U1506" t="s">
        <v>50906</v>
      </c>
      <c r="V1506" t="s">
        <v>62789</v>
      </c>
      <c r="W1506" t="s">
        <v>43535</v>
      </c>
      <c r="X1506" t="s">
        <v>47306</v>
      </c>
    </row>
    <row r="1507" spans="1:24">
      <c r="A1507">
        <f>HYPERLINK("https://www.philgeps.gov.ph/GEPSNONPILOT/Tender/SplashBidNoticeAbstractUI.aspx?menuIndex=3&amp;refID=7199277&amp;Result=3","7199277")</f>
        <v>0</v>
      </c>
      <c r="B1507" t="s">
        <v>712</v>
      </c>
      <c r="C1507" t="s">
        <v>5315</v>
      </c>
      <c r="D1507" t="s">
        <v>19040</v>
      </c>
      <c r="E1507" t="s">
        <v>20476</v>
      </c>
      <c r="F1507" t="s">
        <v>32606</v>
      </c>
      <c r="G1507" t="s">
        <v>32614</v>
      </c>
      <c r="H1507" t="s">
        <v>14201</v>
      </c>
      <c r="I1507" t="s">
        <v>32638</v>
      </c>
      <c r="J1507" t="s">
        <v>33888</v>
      </c>
      <c r="K1507" t="s">
        <v>42631</v>
      </c>
      <c r="M1507" t="s">
        <v>43633</v>
      </c>
      <c r="N1507" t="s">
        <v>47304</v>
      </c>
      <c r="O1507" t="s">
        <v>47305</v>
      </c>
      <c r="P1507">
        <v>0</v>
      </c>
      <c r="Q1507">
        <v>0</v>
      </c>
      <c r="R1507" t="s">
        <v>47307</v>
      </c>
      <c r="S1507" t="s">
        <v>47416</v>
      </c>
      <c r="T1507" t="s">
        <v>49108</v>
      </c>
      <c r="U1507" t="s">
        <v>50819</v>
      </c>
      <c r="W1507" t="s">
        <v>43633</v>
      </c>
      <c r="X1507" t="s">
        <v>47306</v>
      </c>
    </row>
    <row r="1508" spans="1:24">
      <c r="A1508">
        <f>HYPERLINK("https://www.philgeps.gov.ph/GEPSNONPILOT/Tender/SplashBidNoticeAbstractUI.aspx?menuIndex=3&amp;refID=7199275&amp;Result=3","7199275")</f>
        <v>0</v>
      </c>
      <c r="B1508" t="s">
        <v>750</v>
      </c>
      <c r="C1508" t="s">
        <v>5316</v>
      </c>
      <c r="D1508" t="s">
        <v>18989</v>
      </c>
      <c r="E1508" t="s">
        <v>19940</v>
      </c>
      <c r="F1508" t="s">
        <v>32606</v>
      </c>
      <c r="G1508" t="s">
        <v>32613</v>
      </c>
      <c r="H1508" t="s">
        <v>32623</v>
      </c>
      <c r="I1508" t="s">
        <v>32659</v>
      </c>
      <c r="J1508" t="s">
        <v>33889</v>
      </c>
      <c r="K1508" t="s">
        <v>42695</v>
      </c>
      <c r="M1508" t="s">
        <v>43673</v>
      </c>
      <c r="N1508" t="s">
        <v>47304</v>
      </c>
      <c r="O1508" t="s">
        <v>47305</v>
      </c>
      <c r="P1508">
        <v>0</v>
      </c>
      <c r="Q1508">
        <v>0</v>
      </c>
      <c r="R1508" t="s">
        <v>47307</v>
      </c>
      <c r="S1508" t="s">
        <v>47416</v>
      </c>
      <c r="T1508" t="s">
        <v>49131</v>
      </c>
      <c r="U1508" t="s">
        <v>50907</v>
      </c>
      <c r="W1508" t="s">
        <v>43673</v>
      </c>
      <c r="X1508" t="s">
        <v>47306</v>
      </c>
    </row>
    <row r="1509" spans="1:24">
      <c r="A1509">
        <f>HYPERLINK("https://www.philgeps.gov.ph/GEPSNONPILOT/Tender/SplashBidNoticeAbstractUI.aspx?menuIndex=3&amp;refID=7199245&amp;Result=3","7199245")</f>
        <v>0</v>
      </c>
      <c r="B1509" t="s">
        <v>751</v>
      </c>
      <c r="C1509" t="s">
        <v>5317</v>
      </c>
      <c r="D1509" t="s">
        <v>18995</v>
      </c>
      <c r="E1509" t="s">
        <v>20477</v>
      </c>
      <c r="F1509" t="s">
        <v>32606</v>
      </c>
      <c r="G1509" t="s">
        <v>32614</v>
      </c>
      <c r="H1509" t="s">
        <v>32623</v>
      </c>
      <c r="I1509" t="s">
        <v>17648</v>
      </c>
      <c r="J1509" t="s">
        <v>32789</v>
      </c>
      <c r="K1509" t="s">
        <v>42631</v>
      </c>
      <c r="M1509" t="s">
        <v>43674</v>
      </c>
      <c r="N1509" t="s">
        <v>47304</v>
      </c>
      <c r="O1509" t="s">
        <v>47305</v>
      </c>
      <c r="P1509">
        <v>0</v>
      </c>
      <c r="Q1509">
        <v>0</v>
      </c>
      <c r="R1509" t="s">
        <v>47307</v>
      </c>
      <c r="S1509" t="s">
        <v>47416</v>
      </c>
      <c r="T1509" t="s">
        <v>48988</v>
      </c>
      <c r="U1509" t="s">
        <v>50908</v>
      </c>
      <c r="W1509" t="s">
        <v>43674</v>
      </c>
      <c r="X1509" t="s">
        <v>47306</v>
      </c>
    </row>
    <row r="1510" spans="1:24">
      <c r="A1510">
        <f>HYPERLINK("https://www.philgeps.gov.ph/GEPSNONPILOT/Tender/SplashBidNoticeAbstractUI.aspx?menuIndex=3&amp;refID=7199274&amp;Result=3","7199274")</f>
        <v>0</v>
      </c>
      <c r="B1510" t="s">
        <v>752</v>
      </c>
      <c r="C1510" t="s">
        <v>5318</v>
      </c>
      <c r="D1510" t="s">
        <v>19036</v>
      </c>
      <c r="E1510" t="s">
        <v>20478</v>
      </c>
      <c r="F1510" t="s">
        <v>32606</v>
      </c>
      <c r="G1510" t="s">
        <v>32614</v>
      </c>
      <c r="H1510" t="s">
        <v>14201</v>
      </c>
      <c r="I1510" t="s">
        <v>32646</v>
      </c>
      <c r="J1510" t="s">
        <v>33890</v>
      </c>
      <c r="K1510" t="s">
        <v>42623</v>
      </c>
      <c r="M1510" t="s">
        <v>43675</v>
      </c>
      <c r="N1510" t="s">
        <v>47304</v>
      </c>
      <c r="O1510" t="s">
        <v>47305</v>
      </c>
      <c r="P1510">
        <v>0</v>
      </c>
      <c r="Q1510">
        <v>0</v>
      </c>
      <c r="R1510" t="s">
        <v>47307</v>
      </c>
      <c r="S1510" t="s">
        <v>47416</v>
      </c>
      <c r="T1510" t="s">
        <v>48986</v>
      </c>
      <c r="U1510" t="s">
        <v>50909</v>
      </c>
      <c r="W1510" t="s">
        <v>43675</v>
      </c>
      <c r="X1510" t="s">
        <v>47306</v>
      </c>
    </row>
    <row r="1511" spans="1:24">
      <c r="A1511">
        <f>HYPERLINK("https://www.philgeps.gov.ph/GEPSNONPILOT/Tender/SplashBidNoticeAbstractUI.aspx?menuIndex=3&amp;refID=7199273&amp;Result=3","7199273")</f>
        <v>0</v>
      </c>
      <c r="B1511" t="s">
        <v>753</v>
      </c>
      <c r="C1511" t="s">
        <v>5319</v>
      </c>
      <c r="D1511" t="s">
        <v>18991</v>
      </c>
      <c r="E1511" t="s">
        <v>20479</v>
      </c>
      <c r="F1511" t="s">
        <v>32606</v>
      </c>
      <c r="G1511" t="s">
        <v>32614</v>
      </c>
      <c r="H1511" t="s">
        <v>14201</v>
      </c>
      <c r="I1511" t="s">
        <v>6931</v>
      </c>
      <c r="J1511" t="s">
        <v>33891</v>
      </c>
      <c r="K1511" t="s">
        <v>42629</v>
      </c>
      <c r="M1511" t="s">
        <v>43676</v>
      </c>
      <c r="N1511" t="s">
        <v>47304</v>
      </c>
      <c r="O1511" t="s">
        <v>47305</v>
      </c>
      <c r="P1511">
        <v>0</v>
      </c>
      <c r="Q1511">
        <v>0</v>
      </c>
      <c r="R1511" t="s">
        <v>47307</v>
      </c>
      <c r="S1511" t="s">
        <v>47416</v>
      </c>
      <c r="T1511" t="s">
        <v>49015</v>
      </c>
      <c r="U1511" t="s">
        <v>50910</v>
      </c>
      <c r="W1511" t="s">
        <v>43676</v>
      </c>
      <c r="X1511" t="s">
        <v>47306</v>
      </c>
    </row>
    <row r="1512" spans="1:24">
      <c r="A1512">
        <f>HYPERLINK("https://www.philgeps.gov.ph/GEPSNONPILOT/Tender/SplashBidNoticeAbstractUI.aspx?menuIndex=3&amp;refID=7199269&amp;Result=3","7199269")</f>
        <v>0</v>
      </c>
      <c r="B1512" t="s">
        <v>407</v>
      </c>
      <c r="C1512" t="s">
        <v>5320</v>
      </c>
      <c r="D1512" t="s">
        <v>19019</v>
      </c>
      <c r="E1512" t="s">
        <v>20480</v>
      </c>
      <c r="F1512" t="s">
        <v>32606</v>
      </c>
      <c r="G1512" t="s">
        <v>32619</v>
      </c>
      <c r="H1512" t="s">
        <v>14201</v>
      </c>
      <c r="I1512" t="s">
        <v>32640</v>
      </c>
      <c r="J1512" t="s">
        <v>33251</v>
      </c>
      <c r="K1512" t="s">
        <v>42639</v>
      </c>
      <c r="M1512" t="s">
        <v>43677</v>
      </c>
      <c r="N1512" t="s">
        <v>47304</v>
      </c>
      <c r="O1512" t="s">
        <v>47305</v>
      </c>
      <c r="P1512">
        <v>0</v>
      </c>
      <c r="Q1512">
        <v>0</v>
      </c>
      <c r="R1512" t="s">
        <v>47307</v>
      </c>
      <c r="S1512" t="s">
        <v>47416</v>
      </c>
      <c r="T1512" t="s">
        <v>48986</v>
      </c>
      <c r="U1512" t="s">
        <v>50911</v>
      </c>
      <c r="W1512" t="s">
        <v>43677</v>
      </c>
      <c r="X1512" t="s">
        <v>47306</v>
      </c>
    </row>
    <row r="1513" spans="1:24">
      <c r="A1513">
        <f>HYPERLINK("https://www.philgeps.gov.ph/GEPSNONPILOT/Tender/SplashBidNoticeAbstractUI.aspx?menuIndex=3&amp;refID=7199281&amp;Result=3","7199281")</f>
        <v>0</v>
      </c>
      <c r="B1513" t="s">
        <v>754</v>
      </c>
      <c r="C1513" t="s">
        <v>5321</v>
      </c>
      <c r="D1513" t="s">
        <v>19029</v>
      </c>
      <c r="E1513" t="s">
        <v>20481</v>
      </c>
      <c r="F1513" t="s">
        <v>32606</v>
      </c>
      <c r="G1513" t="s">
        <v>32614</v>
      </c>
      <c r="H1513" t="s">
        <v>14201</v>
      </c>
      <c r="I1513" t="s">
        <v>32633</v>
      </c>
      <c r="J1513" t="s">
        <v>33892</v>
      </c>
      <c r="K1513" t="s">
        <v>42624</v>
      </c>
      <c r="M1513" t="s">
        <v>43678</v>
      </c>
      <c r="N1513" t="s">
        <v>47304</v>
      </c>
      <c r="O1513" t="s">
        <v>47305</v>
      </c>
      <c r="P1513">
        <v>0</v>
      </c>
      <c r="Q1513">
        <v>0</v>
      </c>
      <c r="R1513" t="s">
        <v>47307</v>
      </c>
      <c r="S1513" t="s">
        <v>47416</v>
      </c>
      <c r="T1513" t="s">
        <v>48986</v>
      </c>
      <c r="U1513" t="s">
        <v>50912</v>
      </c>
      <c r="W1513" t="s">
        <v>43678</v>
      </c>
      <c r="X1513" t="s">
        <v>47306</v>
      </c>
    </row>
    <row r="1514" spans="1:24">
      <c r="A1514">
        <f>HYPERLINK("https://www.philgeps.gov.ph/GEPSNONPILOT/Tender/SplashBidNoticeAbstractUI.aspx?menuIndex=3&amp;refID=7199276&amp;Result=3","7199276")</f>
        <v>0</v>
      </c>
      <c r="B1514" t="s">
        <v>755</v>
      </c>
      <c r="C1514" t="s">
        <v>5322</v>
      </c>
      <c r="D1514" t="s">
        <v>18988</v>
      </c>
      <c r="E1514" t="s">
        <v>20482</v>
      </c>
      <c r="F1514" t="s">
        <v>32606</v>
      </c>
      <c r="G1514" t="s">
        <v>32613</v>
      </c>
      <c r="H1514" t="s">
        <v>14201</v>
      </c>
      <c r="I1514" t="s">
        <v>7677</v>
      </c>
      <c r="J1514" t="s">
        <v>33893</v>
      </c>
      <c r="K1514" t="s">
        <v>42623</v>
      </c>
      <c r="M1514" t="s">
        <v>43679</v>
      </c>
      <c r="N1514" t="s">
        <v>47304</v>
      </c>
      <c r="O1514" t="s">
        <v>47305</v>
      </c>
      <c r="P1514">
        <v>0</v>
      </c>
      <c r="Q1514">
        <v>0</v>
      </c>
      <c r="R1514" t="s">
        <v>47307</v>
      </c>
      <c r="S1514" t="s">
        <v>47416</v>
      </c>
      <c r="T1514" t="s">
        <v>49017</v>
      </c>
      <c r="U1514" t="s">
        <v>50913</v>
      </c>
      <c r="W1514" t="s">
        <v>43679</v>
      </c>
      <c r="X1514" t="s">
        <v>47306</v>
      </c>
    </row>
    <row r="1515" spans="1:24">
      <c r="A1515">
        <f>HYPERLINK("https://www.philgeps.gov.ph/GEPSNONPILOT/Tender/SplashBidNoticeAbstractUI.aspx?menuIndex=3&amp;refID=7199280&amp;Result=3","7199280")</f>
        <v>0</v>
      </c>
      <c r="B1515" t="s">
        <v>644</v>
      </c>
      <c r="C1515" t="s">
        <v>5323</v>
      </c>
      <c r="E1515" t="s">
        <v>20483</v>
      </c>
      <c r="F1515" t="s">
        <v>32606</v>
      </c>
      <c r="G1515" t="s">
        <v>32613</v>
      </c>
      <c r="H1515" t="s">
        <v>14201</v>
      </c>
      <c r="I1515" t="s">
        <v>6014</v>
      </c>
      <c r="J1515" t="s">
        <v>33894</v>
      </c>
      <c r="K1515" t="s">
        <v>42624</v>
      </c>
      <c r="M1515" t="s">
        <v>43562</v>
      </c>
      <c r="N1515" t="s">
        <v>47304</v>
      </c>
      <c r="O1515" t="s">
        <v>47305</v>
      </c>
      <c r="P1515">
        <v>0</v>
      </c>
      <c r="Q1515">
        <v>0</v>
      </c>
      <c r="R1515" t="s">
        <v>47307</v>
      </c>
      <c r="S1515" t="s">
        <v>47416</v>
      </c>
      <c r="T1515" t="s">
        <v>49163</v>
      </c>
      <c r="U1515" t="s">
        <v>50914</v>
      </c>
      <c r="W1515" t="s">
        <v>43562</v>
      </c>
      <c r="X1515" t="s">
        <v>47306</v>
      </c>
    </row>
    <row r="1516" spans="1:24">
      <c r="A1516">
        <f>HYPERLINK("https://www.philgeps.gov.ph/GEPSNONPILOT/Tender/SplashBidNoticeAbstractUI.aspx?menuIndex=3&amp;refID=7199278&amp;Result=3","7199278")</f>
        <v>0</v>
      </c>
      <c r="B1516" t="s">
        <v>748</v>
      </c>
      <c r="C1516" t="s">
        <v>5324</v>
      </c>
      <c r="D1516" t="s">
        <v>18993</v>
      </c>
      <c r="E1516" t="s">
        <v>20484</v>
      </c>
      <c r="F1516" t="s">
        <v>32606</v>
      </c>
      <c r="G1516" t="s">
        <v>32614</v>
      </c>
      <c r="H1516" t="s">
        <v>14201</v>
      </c>
      <c r="I1516" t="s">
        <v>32662</v>
      </c>
      <c r="J1516" t="s">
        <v>33526</v>
      </c>
      <c r="K1516" t="s">
        <v>42623</v>
      </c>
      <c r="M1516" t="s">
        <v>43671</v>
      </c>
      <c r="N1516" t="s">
        <v>47304</v>
      </c>
      <c r="O1516" t="s">
        <v>47305</v>
      </c>
      <c r="P1516">
        <v>0</v>
      </c>
      <c r="Q1516">
        <v>0</v>
      </c>
      <c r="R1516" t="s">
        <v>47307</v>
      </c>
      <c r="S1516" t="s">
        <v>47416</v>
      </c>
      <c r="T1516" t="s">
        <v>48986</v>
      </c>
      <c r="U1516" t="s">
        <v>50915</v>
      </c>
      <c r="V1516" t="s">
        <v>62818</v>
      </c>
      <c r="W1516" t="s">
        <v>43671</v>
      </c>
      <c r="X1516" t="s">
        <v>47306</v>
      </c>
    </row>
    <row r="1517" spans="1:24">
      <c r="A1517">
        <f>HYPERLINK("https://www.philgeps.gov.ph/GEPSNONPILOT/Tender/SplashBidNoticeAbstractUI.aspx?menuIndex=3&amp;refID=7199260&amp;Result=3","7199260")</f>
        <v>0</v>
      </c>
      <c r="B1517" t="s">
        <v>464</v>
      </c>
      <c r="C1517" t="s">
        <v>5325</v>
      </c>
      <c r="D1517" t="s">
        <v>19044</v>
      </c>
      <c r="E1517" t="s">
        <v>20485</v>
      </c>
      <c r="F1517" t="s">
        <v>32606</v>
      </c>
      <c r="G1517" t="s">
        <v>32614</v>
      </c>
      <c r="H1517" t="s">
        <v>14201</v>
      </c>
      <c r="I1517" t="s">
        <v>32631</v>
      </c>
      <c r="J1517" t="s">
        <v>33895</v>
      </c>
      <c r="K1517" t="s">
        <v>42623</v>
      </c>
      <c r="M1517" t="s">
        <v>43374</v>
      </c>
      <c r="N1517" t="s">
        <v>47304</v>
      </c>
      <c r="O1517" t="s">
        <v>47305</v>
      </c>
      <c r="P1517">
        <v>0</v>
      </c>
      <c r="Q1517">
        <v>0</v>
      </c>
      <c r="R1517" t="s">
        <v>47307</v>
      </c>
      <c r="S1517" t="s">
        <v>47416</v>
      </c>
      <c r="T1517" t="s">
        <v>48986</v>
      </c>
      <c r="U1517" t="s">
        <v>50916</v>
      </c>
      <c r="W1517" t="s">
        <v>43374</v>
      </c>
      <c r="X1517" t="s">
        <v>47306</v>
      </c>
    </row>
    <row r="1518" spans="1:24">
      <c r="A1518">
        <f>HYPERLINK("https://www.philgeps.gov.ph/GEPSNONPILOT/Tender/SplashBidNoticeAbstractUI.aspx?menuIndex=3&amp;refID=7199268&amp;Result=3","7199268")</f>
        <v>0</v>
      </c>
      <c r="B1518" t="s">
        <v>756</v>
      </c>
      <c r="C1518" t="s">
        <v>5326</v>
      </c>
      <c r="E1518" t="s">
        <v>20486</v>
      </c>
      <c r="F1518" t="s">
        <v>32606</v>
      </c>
      <c r="G1518" t="s">
        <v>32614</v>
      </c>
      <c r="H1518" t="s">
        <v>14201</v>
      </c>
      <c r="I1518" t="s">
        <v>32635</v>
      </c>
      <c r="J1518" t="s">
        <v>33034</v>
      </c>
      <c r="K1518" t="s">
        <v>42630</v>
      </c>
      <c r="M1518" t="s">
        <v>43680</v>
      </c>
      <c r="N1518" t="s">
        <v>47304</v>
      </c>
      <c r="O1518" t="s">
        <v>47305</v>
      </c>
      <c r="P1518">
        <v>0</v>
      </c>
      <c r="Q1518">
        <v>0</v>
      </c>
      <c r="R1518" t="s">
        <v>47307</v>
      </c>
      <c r="S1518" t="s">
        <v>47416</v>
      </c>
      <c r="T1518" t="s">
        <v>49108</v>
      </c>
      <c r="U1518" t="s">
        <v>50917</v>
      </c>
      <c r="W1518" t="s">
        <v>43680</v>
      </c>
      <c r="X1518" t="s">
        <v>47306</v>
      </c>
    </row>
    <row r="1519" spans="1:24">
      <c r="A1519">
        <f>HYPERLINK("https://www.philgeps.gov.ph/GEPSNONPILOT/Tender/SplashBidNoticeAbstractUI.aspx?menuIndex=3&amp;refID=7199266&amp;Result=3","7199266")</f>
        <v>0</v>
      </c>
      <c r="B1519" t="s">
        <v>757</v>
      </c>
      <c r="C1519" t="s">
        <v>5327</v>
      </c>
      <c r="D1519" t="s">
        <v>19019</v>
      </c>
      <c r="E1519" t="s">
        <v>20487</v>
      </c>
      <c r="F1519" t="s">
        <v>32606</v>
      </c>
      <c r="G1519" t="s">
        <v>32613</v>
      </c>
      <c r="H1519" t="s">
        <v>14201</v>
      </c>
      <c r="I1519" t="s">
        <v>32649</v>
      </c>
      <c r="J1519" t="s">
        <v>33896</v>
      </c>
      <c r="K1519" t="s">
        <v>42711</v>
      </c>
      <c r="L1519" t="s">
        <v>757</v>
      </c>
      <c r="M1519" t="s">
        <v>43681</v>
      </c>
      <c r="N1519" t="s">
        <v>47304</v>
      </c>
      <c r="O1519" t="s">
        <v>47305</v>
      </c>
      <c r="P1519">
        <v>0</v>
      </c>
      <c r="Q1519">
        <v>0</v>
      </c>
      <c r="R1519" t="s">
        <v>47307</v>
      </c>
      <c r="S1519" t="s">
        <v>47416</v>
      </c>
      <c r="T1519" t="s">
        <v>49182</v>
      </c>
      <c r="U1519" t="s">
        <v>50918</v>
      </c>
      <c r="V1519" t="s">
        <v>62820</v>
      </c>
      <c r="W1519" t="s">
        <v>43681</v>
      </c>
      <c r="X1519" t="s">
        <v>47306</v>
      </c>
    </row>
    <row r="1520" spans="1:24">
      <c r="A1520">
        <f>HYPERLINK("https://www.philgeps.gov.ph/GEPSNONPILOT/Tender/SplashBidNoticeAbstractUI.aspx?menuIndex=3&amp;refID=7199265&amp;Result=3","7199265")</f>
        <v>0</v>
      </c>
      <c r="B1520" t="s">
        <v>758</v>
      </c>
      <c r="C1520" t="s">
        <v>5328</v>
      </c>
      <c r="D1520" t="s">
        <v>19032</v>
      </c>
      <c r="E1520" t="s">
        <v>20488</v>
      </c>
      <c r="F1520" t="s">
        <v>32606</v>
      </c>
      <c r="G1520" t="s">
        <v>32614</v>
      </c>
      <c r="H1520" t="s">
        <v>14201</v>
      </c>
      <c r="I1520" t="s">
        <v>6993</v>
      </c>
      <c r="J1520" t="s">
        <v>33897</v>
      </c>
      <c r="K1520" t="s">
        <v>42629</v>
      </c>
      <c r="M1520" t="s">
        <v>43682</v>
      </c>
      <c r="N1520" t="s">
        <v>47304</v>
      </c>
      <c r="O1520" t="s">
        <v>47305</v>
      </c>
      <c r="P1520">
        <v>0</v>
      </c>
      <c r="Q1520">
        <v>0</v>
      </c>
      <c r="R1520" t="s">
        <v>47307</v>
      </c>
      <c r="S1520" t="s">
        <v>47416</v>
      </c>
      <c r="T1520" t="s">
        <v>49023</v>
      </c>
      <c r="U1520" t="s">
        <v>50919</v>
      </c>
      <c r="V1520" t="s">
        <v>62821</v>
      </c>
      <c r="W1520" t="s">
        <v>43682</v>
      </c>
      <c r="X1520" t="s">
        <v>47306</v>
      </c>
    </row>
    <row r="1521" spans="1:24">
      <c r="A1521">
        <f>HYPERLINK("https://www.philgeps.gov.ph/GEPSNONPILOT/Tender/SplashBidNoticeAbstractUI.aspx?menuIndex=3&amp;refID=7199304&amp;Result=3","7199304")</f>
        <v>0</v>
      </c>
      <c r="B1521" t="s">
        <v>759</v>
      </c>
      <c r="C1521" t="s">
        <v>5329</v>
      </c>
      <c r="D1521" t="s">
        <v>19019</v>
      </c>
      <c r="E1521" t="s">
        <v>19530</v>
      </c>
      <c r="F1521" t="s">
        <v>32606</v>
      </c>
      <c r="G1521" t="s">
        <v>32619</v>
      </c>
      <c r="H1521" t="s">
        <v>14201</v>
      </c>
      <c r="I1521" t="s">
        <v>6298</v>
      </c>
      <c r="J1521" t="s">
        <v>33898</v>
      </c>
      <c r="K1521" t="s">
        <v>42625</v>
      </c>
      <c r="M1521" t="s">
        <v>43683</v>
      </c>
      <c r="N1521" t="s">
        <v>47304</v>
      </c>
      <c r="O1521" t="s">
        <v>47305</v>
      </c>
      <c r="P1521">
        <v>0</v>
      </c>
      <c r="Q1521">
        <v>0</v>
      </c>
      <c r="R1521" t="s">
        <v>47307</v>
      </c>
      <c r="S1521" t="s">
        <v>47416</v>
      </c>
      <c r="T1521" t="s">
        <v>48997</v>
      </c>
      <c r="U1521" t="s">
        <v>50920</v>
      </c>
      <c r="V1521" t="s">
        <v>62704</v>
      </c>
      <c r="W1521" t="s">
        <v>43683</v>
      </c>
      <c r="X1521" t="s">
        <v>47306</v>
      </c>
    </row>
    <row r="1522" spans="1:24">
      <c r="A1522">
        <f>HYPERLINK("https://www.philgeps.gov.ph/GEPSNONPILOT/Tender/SplashBidNoticeAbstractUI.aspx?menuIndex=3&amp;refID=7199300&amp;Result=3","7199300")</f>
        <v>0</v>
      </c>
      <c r="B1522" t="s">
        <v>682</v>
      </c>
      <c r="C1522" t="s">
        <v>5330</v>
      </c>
      <c r="D1522" t="s">
        <v>19039</v>
      </c>
      <c r="E1522" t="s">
        <v>20489</v>
      </c>
      <c r="F1522" t="s">
        <v>32606</v>
      </c>
      <c r="G1522" t="s">
        <v>32614</v>
      </c>
      <c r="H1522" t="s">
        <v>14201</v>
      </c>
      <c r="I1522" t="s">
        <v>32704</v>
      </c>
      <c r="J1522" t="s">
        <v>33899</v>
      </c>
      <c r="K1522" t="s">
        <v>42623</v>
      </c>
      <c r="M1522" t="s">
        <v>43602</v>
      </c>
      <c r="N1522" t="s">
        <v>47304</v>
      </c>
      <c r="O1522" t="s">
        <v>47305</v>
      </c>
      <c r="P1522">
        <v>0</v>
      </c>
      <c r="Q1522">
        <v>0</v>
      </c>
      <c r="R1522" t="s">
        <v>47307</v>
      </c>
      <c r="S1522" t="s">
        <v>47416</v>
      </c>
      <c r="T1522" t="s">
        <v>49023</v>
      </c>
      <c r="U1522" t="s">
        <v>50809</v>
      </c>
      <c r="W1522" t="s">
        <v>43602</v>
      </c>
      <c r="X1522" t="s">
        <v>47306</v>
      </c>
    </row>
    <row r="1523" spans="1:24">
      <c r="A1523">
        <f>HYPERLINK("https://www.philgeps.gov.ph/GEPSNONPILOT/Tender/SplashBidNoticeAbstractUI.aspx?menuIndex=3&amp;refID=7199298&amp;Result=3","7199298")</f>
        <v>0</v>
      </c>
      <c r="B1523" t="s">
        <v>760</v>
      </c>
      <c r="C1523" t="s">
        <v>5331</v>
      </c>
      <c r="D1523" t="s">
        <v>19006</v>
      </c>
      <c r="E1523" t="s">
        <v>20490</v>
      </c>
      <c r="F1523" t="s">
        <v>32606</v>
      </c>
      <c r="G1523" t="s">
        <v>32613</v>
      </c>
      <c r="H1523" t="s">
        <v>14201</v>
      </c>
      <c r="I1523" t="s">
        <v>7577</v>
      </c>
      <c r="J1523" t="s">
        <v>33900</v>
      </c>
      <c r="K1523" t="s">
        <v>42664</v>
      </c>
      <c r="M1523" t="s">
        <v>43684</v>
      </c>
      <c r="N1523" t="s">
        <v>47304</v>
      </c>
      <c r="O1523" t="s">
        <v>47305</v>
      </c>
      <c r="P1523">
        <v>0</v>
      </c>
      <c r="Q1523">
        <v>0</v>
      </c>
      <c r="R1523" t="s">
        <v>47307</v>
      </c>
      <c r="S1523" t="s">
        <v>47416</v>
      </c>
      <c r="T1523" t="s">
        <v>48995</v>
      </c>
      <c r="U1523" t="s">
        <v>50921</v>
      </c>
      <c r="W1523" t="s">
        <v>43684</v>
      </c>
      <c r="X1523" t="s">
        <v>47306</v>
      </c>
    </row>
    <row r="1524" spans="1:24">
      <c r="A1524">
        <f>HYPERLINK("https://www.philgeps.gov.ph/GEPSNONPILOT/Tender/SplashBidNoticeAbstractUI.aspx?menuIndex=3&amp;refID=7199259&amp;Result=3","7199259")</f>
        <v>0</v>
      </c>
      <c r="B1524" t="s">
        <v>761</v>
      </c>
      <c r="C1524" t="s">
        <v>5332</v>
      </c>
      <c r="D1524" t="s">
        <v>19036</v>
      </c>
      <c r="E1524" t="s">
        <v>20491</v>
      </c>
      <c r="F1524" t="s">
        <v>32606</v>
      </c>
      <c r="G1524" t="s">
        <v>32613</v>
      </c>
      <c r="H1524" t="s">
        <v>32623</v>
      </c>
      <c r="I1524" t="s">
        <v>17648</v>
      </c>
      <c r="J1524" t="s">
        <v>33901</v>
      </c>
      <c r="K1524" t="s">
        <v>42712</v>
      </c>
      <c r="M1524" t="s">
        <v>43685</v>
      </c>
      <c r="N1524" t="s">
        <v>47304</v>
      </c>
      <c r="O1524" t="s">
        <v>47305</v>
      </c>
      <c r="P1524">
        <v>0</v>
      </c>
      <c r="Q1524">
        <v>0</v>
      </c>
      <c r="R1524" t="s">
        <v>47307</v>
      </c>
      <c r="S1524" t="s">
        <v>47416</v>
      </c>
      <c r="T1524" t="s">
        <v>49001</v>
      </c>
      <c r="U1524" t="s">
        <v>50922</v>
      </c>
      <c r="W1524" t="s">
        <v>43685</v>
      </c>
      <c r="X1524" t="s">
        <v>47306</v>
      </c>
    </row>
    <row r="1525" spans="1:24">
      <c r="A1525">
        <f>HYPERLINK("https://www.philgeps.gov.ph/GEPSNONPILOT/Tender/SplashBidNoticeAbstractUI.aspx?menuIndex=3&amp;refID=7199297&amp;Result=3","7199297")</f>
        <v>0</v>
      </c>
      <c r="B1525" t="s">
        <v>456</v>
      </c>
      <c r="C1525" t="s">
        <v>5333</v>
      </c>
      <c r="D1525" t="s">
        <v>19024</v>
      </c>
      <c r="E1525" t="s">
        <v>20492</v>
      </c>
      <c r="F1525" t="s">
        <v>32606</v>
      </c>
      <c r="G1525" t="s">
        <v>32619</v>
      </c>
      <c r="H1525" t="s">
        <v>14201</v>
      </c>
      <c r="I1525" t="s">
        <v>32631</v>
      </c>
      <c r="J1525" t="s">
        <v>33221</v>
      </c>
      <c r="K1525" t="s">
        <v>42624</v>
      </c>
      <c r="M1525" t="s">
        <v>43366</v>
      </c>
      <c r="N1525" t="s">
        <v>47304</v>
      </c>
      <c r="O1525" t="s">
        <v>47305</v>
      </c>
      <c r="P1525">
        <v>0</v>
      </c>
      <c r="Q1525">
        <v>0</v>
      </c>
      <c r="R1525" t="s">
        <v>47307</v>
      </c>
      <c r="S1525" t="s">
        <v>47416</v>
      </c>
      <c r="T1525" t="s">
        <v>49004</v>
      </c>
      <c r="U1525" t="s">
        <v>50923</v>
      </c>
      <c r="W1525" t="s">
        <v>43366</v>
      </c>
      <c r="X1525" t="s">
        <v>47306</v>
      </c>
    </row>
    <row r="1526" spans="1:24">
      <c r="A1526">
        <f>HYPERLINK("https://www.philgeps.gov.ph/GEPSNONPILOT/Tender/SplashBidNoticeAbstractUI.aspx?menuIndex=3&amp;refID=7199303&amp;Result=3","7199303")</f>
        <v>0</v>
      </c>
      <c r="B1526" t="s">
        <v>433</v>
      </c>
      <c r="C1526" t="s">
        <v>5334</v>
      </c>
      <c r="D1526" t="s">
        <v>19012</v>
      </c>
      <c r="E1526" t="s">
        <v>20493</v>
      </c>
      <c r="F1526" t="s">
        <v>32606</v>
      </c>
      <c r="G1526" t="s">
        <v>32617</v>
      </c>
      <c r="H1526" t="s">
        <v>14201</v>
      </c>
      <c r="I1526" t="s">
        <v>6298</v>
      </c>
      <c r="J1526" t="s">
        <v>33902</v>
      </c>
      <c r="K1526" t="s">
        <v>42623</v>
      </c>
      <c r="M1526" t="s">
        <v>43339</v>
      </c>
      <c r="N1526" t="s">
        <v>47304</v>
      </c>
      <c r="O1526" t="s">
        <v>47305</v>
      </c>
      <c r="P1526">
        <v>0</v>
      </c>
      <c r="Q1526">
        <v>0</v>
      </c>
      <c r="R1526" t="s">
        <v>47307</v>
      </c>
      <c r="S1526" t="s">
        <v>47416</v>
      </c>
      <c r="T1526" t="s">
        <v>49017</v>
      </c>
      <c r="U1526" t="s">
        <v>50924</v>
      </c>
      <c r="W1526" t="s">
        <v>43339</v>
      </c>
      <c r="X1526" t="s">
        <v>47306</v>
      </c>
    </row>
    <row r="1527" spans="1:24">
      <c r="A1527">
        <f>HYPERLINK("https://www.philgeps.gov.ph/GEPSNONPILOT/Tender/SplashBidNoticeAbstractUI.aspx?menuIndex=3&amp;refID=7199299&amp;Result=3","7199299")</f>
        <v>0</v>
      </c>
      <c r="B1527" t="s">
        <v>638</v>
      </c>
      <c r="C1527" t="s">
        <v>5335</v>
      </c>
      <c r="D1527" t="s">
        <v>19019</v>
      </c>
      <c r="E1527" t="s">
        <v>20494</v>
      </c>
      <c r="F1527" t="s">
        <v>32606</v>
      </c>
      <c r="G1527" t="s">
        <v>32614</v>
      </c>
      <c r="H1527" t="s">
        <v>14201</v>
      </c>
      <c r="I1527" t="s">
        <v>32692</v>
      </c>
      <c r="J1527" t="s">
        <v>33733</v>
      </c>
      <c r="K1527" t="s">
        <v>42630</v>
      </c>
      <c r="M1527" t="s">
        <v>43556</v>
      </c>
      <c r="N1527" t="s">
        <v>47304</v>
      </c>
      <c r="O1527" t="s">
        <v>47305</v>
      </c>
      <c r="P1527">
        <v>0</v>
      </c>
      <c r="Q1527">
        <v>0</v>
      </c>
      <c r="R1527" t="s">
        <v>47307</v>
      </c>
      <c r="S1527" t="s">
        <v>47416</v>
      </c>
      <c r="T1527" t="s">
        <v>49015</v>
      </c>
      <c r="U1527" t="s">
        <v>50925</v>
      </c>
      <c r="W1527" t="s">
        <v>43556</v>
      </c>
      <c r="X1527" t="s">
        <v>47306</v>
      </c>
    </row>
    <row r="1528" spans="1:24">
      <c r="A1528">
        <f>HYPERLINK("https://www.philgeps.gov.ph/GEPSNONPILOT/Tender/SplashBidNoticeAbstractUI.aspx?menuIndex=3&amp;refID=7199305&amp;Result=3","7199305")</f>
        <v>0</v>
      </c>
      <c r="B1528" t="s">
        <v>762</v>
      </c>
      <c r="C1528" t="s">
        <v>5336</v>
      </c>
      <c r="D1528" t="s">
        <v>18989</v>
      </c>
      <c r="E1528" t="s">
        <v>20495</v>
      </c>
      <c r="F1528" t="s">
        <v>32606</v>
      </c>
      <c r="G1528" t="s">
        <v>32614</v>
      </c>
      <c r="H1528" t="s">
        <v>32623</v>
      </c>
      <c r="I1528" t="s">
        <v>17648</v>
      </c>
      <c r="J1528" t="s">
        <v>33102</v>
      </c>
      <c r="K1528" t="s">
        <v>42624</v>
      </c>
      <c r="M1528" t="s">
        <v>43686</v>
      </c>
      <c r="N1528" t="s">
        <v>47304</v>
      </c>
      <c r="O1528" t="s">
        <v>47305</v>
      </c>
      <c r="P1528">
        <v>0</v>
      </c>
      <c r="Q1528">
        <v>0</v>
      </c>
      <c r="R1528" t="s">
        <v>47307</v>
      </c>
      <c r="S1528" t="s">
        <v>47416</v>
      </c>
      <c r="T1528" t="s">
        <v>48987</v>
      </c>
      <c r="U1528" t="s">
        <v>50926</v>
      </c>
      <c r="W1528" t="s">
        <v>43686</v>
      </c>
      <c r="X1528" t="s">
        <v>47306</v>
      </c>
    </row>
    <row r="1529" spans="1:24">
      <c r="A1529">
        <f>HYPERLINK("https://www.philgeps.gov.ph/GEPSNONPILOT/Tender/SplashBidNoticeAbstractUI.aspx?menuIndex=3&amp;refID=7199292&amp;Result=3","7199292")</f>
        <v>0</v>
      </c>
      <c r="B1529" t="s">
        <v>761</v>
      </c>
      <c r="C1529" t="s">
        <v>5337</v>
      </c>
      <c r="D1529" t="s">
        <v>19036</v>
      </c>
      <c r="E1529" t="s">
        <v>20496</v>
      </c>
      <c r="F1529" t="s">
        <v>32606</v>
      </c>
      <c r="G1529" t="s">
        <v>32613</v>
      </c>
      <c r="H1529" t="s">
        <v>32623</v>
      </c>
      <c r="I1529" t="s">
        <v>6931</v>
      </c>
      <c r="J1529" t="s">
        <v>33903</v>
      </c>
      <c r="K1529" t="s">
        <v>42682</v>
      </c>
      <c r="M1529" t="s">
        <v>43685</v>
      </c>
      <c r="N1529" t="s">
        <v>47304</v>
      </c>
      <c r="O1529" t="s">
        <v>47305</v>
      </c>
      <c r="P1529">
        <v>0</v>
      </c>
      <c r="Q1529">
        <v>0</v>
      </c>
      <c r="R1529" t="s">
        <v>47307</v>
      </c>
      <c r="S1529" t="s">
        <v>47416</v>
      </c>
      <c r="T1529" t="s">
        <v>49111</v>
      </c>
      <c r="U1529" t="s">
        <v>50927</v>
      </c>
      <c r="W1529" t="s">
        <v>43685</v>
      </c>
      <c r="X1529" t="s">
        <v>47306</v>
      </c>
    </row>
    <row r="1530" spans="1:24">
      <c r="A1530">
        <f>HYPERLINK("https://www.philgeps.gov.ph/GEPSNONPILOT/Tender/SplashBidNoticeAbstractUI.aspx?menuIndex=3&amp;refID=7199294&amp;Result=3","7199294")</f>
        <v>0</v>
      </c>
      <c r="B1530" t="s">
        <v>443</v>
      </c>
      <c r="C1530" t="s">
        <v>5338</v>
      </c>
      <c r="E1530" t="s">
        <v>20497</v>
      </c>
      <c r="F1530" t="s">
        <v>32606</v>
      </c>
      <c r="G1530" t="s">
        <v>32614</v>
      </c>
      <c r="H1530" t="s">
        <v>14201</v>
      </c>
      <c r="I1530" t="s">
        <v>4678</v>
      </c>
      <c r="J1530" t="s">
        <v>33904</v>
      </c>
      <c r="K1530" t="s">
        <v>42629</v>
      </c>
      <c r="M1530" t="s">
        <v>43567</v>
      </c>
      <c r="N1530" t="s">
        <v>47304</v>
      </c>
      <c r="O1530" t="s">
        <v>47305</v>
      </c>
      <c r="P1530">
        <v>0</v>
      </c>
      <c r="Q1530">
        <v>0</v>
      </c>
      <c r="R1530" t="s">
        <v>47307</v>
      </c>
      <c r="S1530" t="s">
        <v>47416</v>
      </c>
      <c r="T1530" t="s">
        <v>48975</v>
      </c>
      <c r="U1530" t="s">
        <v>50928</v>
      </c>
      <c r="W1530" t="s">
        <v>43567</v>
      </c>
      <c r="X1530" t="s">
        <v>47306</v>
      </c>
    </row>
    <row r="1531" spans="1:24">
      <c r="A1531">
        <f>HYPERLINK("https://www.philgeps.gov.ph/GEPSNONPILOT/Tender/SplashBidNoticeAbstractUI.aspx?menuIndex=3&amp;refID=7199290&amp;Result=3","7199290")</f>
        <v>0</v>
      </c>
      <c r="B1531" t="s">
        <v>540</v>
      </c>
      <c r="C1531" t="s">
        <v>5339</v>
      </c>
      <c r="D1531" t="s">
        <v>19001</v>
      </c>
      <c r="E1531" t="s">
        <v>20498</v>
      </c>
      <c r="F1531" t="s">
        <v>32606</v>
      </c>
      <c r="G1531" t="s">
        <v>32614</v>
      </c>
      <c r="H1531" t="s">
        <v>14201</v>
      </c>
      <c r="I1531" t="s">
        <v>6298</v>
      </c>
      <c r="J1531" t="s">
        <v>33905</v>
      </c>
      <c r="K1531" t="s">
        <v>42622</v>
      </c>
      <c r="M1531" t="s">
        <v>43460</v>
      </c>
      <c r="N1531" t="s">
        <v>47304</v>
      </c>
      <c r="O1531" t="s">
        <v>47305</v>
      </c>
      <c r="P1531">
        <v>0</v>
      </c>
      <c r="Q1531">
        <v>0</v>
      </c>
      <c r="R1531" t="s">
        <v>47307</v>
      </c>
      <c r="S1531" t="s">
        <v>47416</v>
      </c>
      <c r="T1531" t="s">
        <v>48986</v>
      </c>
      <c r="U1531" t="s">
        <v>50929</v>
      </c>
      <c r="W1531" t="s">
        <v>43460</v>
      </c>
      <c r="X1531" t="s">
        <v>47306</v>
      </c>
    </row>
    <row r="1532" spans="1:24">
      <c r="A1532">
        <f>HYPERLINK("https://www.philgeps.gov.ph/GEPSNONPILOT/Tender/SplashBidNoticeAbstractUI.aspx?menuIndex=3&amp;refID=7199291&amp;Result=3","7199291")</f>
        <v>0</v>
      </c>
      <c r="B1532" t="s">
        <v>28</v>
      </c>
      <c r="C1532" t="s">
        <v>5340</v>
      </c>
      <c r="D1532" t="s">
        <v>18993</v>
      </c>
      <c r="E1532" t="s">
        <v>20499</v>
      </c>
      <c r="F1532" t="s">
        <v>32606</v>
      </c>
      <c r="G1532" t="s">
        <v>32613</v>
      </c>
      <c r="H1532" t="s">
        <v>14201</v>
      </c>
      <c r="I1532" t="s">
        <v>7233</v>
      </c>
      <c r="J1532" t="s">
        <v>32920</v>
      </c>
      <c r="K1532" t="s">
        <v>42626</v>
      </c>
      <c r="M1532" t="s">
        <v>43687</v>
      </c>
      <c r="N1532" t="s">
        <v>47304</v>
      </c>
      <c r="O1532" t="s">
        <v>47305</v>
      </c>
      <c r="P1532">
        <v>0</v>
      </c>
      <c r="Q1532">
        <v>0</v>
      </c>
      <c r="R1532" t="s">
        <v>47307</v>
      </c>
      <c r="S1532" t="s">
        <v>47416</v>
      </c>
      <c r="T1532" t="s">
        <v>49136</v>
      </c>
      <c r="U1532" t="s">
        <v>50930</v>
      </c>
      <c r="V1532" t="s">
        <v>52234</v>
      </c>
      <c r="W1532" t="s">
        <v>43687</v>
      </c>
      <c r="X1532" t="s">
        <v>47306</v>
      </c>
    </row>
    <row r="1533" spans="1:24">
      <c r="A1533">
        <f>HYPERLINK("https://www.philgeps.gov.ph/GEPSNONPILOT/Tender/SplashBidNoticeAbstractUI.aspx?menuIndex=3&amp;refID=7199288&amp;Result=3","7199288")</f>
        <v>0</v>
      </c>
      <c r="B1533" t="s">
        <v>483</v>
      </c>
      <c r="C1533" t="s">
        <v>5341</v>
      </c>
      <c r="D1533" t="s">
        <v>19056</v>
      </c>
      <c r="E1533" t="s">
        <v>19317</v>
      </c>
      <c r="F1533" t="s">
        <v>32606</v>
      </c>
      <c r="G1533" t="s">
        <v>32613</v>
      </c>
      <c r="H1533" t="s">
        <v>32623</v>
      </c>
      <c r="I1533" t="s">
        <v>17648</v>
      </c>
      <c r="J1533" t="s">
        <v>33906</v>
      </c>
      <c r="K1533" t="s">
        <v>42713</v>
      </c>
      <c r="M1533" t="s">
        <v>43394</v>
      </c>
      <c r="N1533" t="s">
        <v>47304</v>
      </c>
      <c r="O1533" t="s">
        <v>47305</v>
      </c>
      <c r="P1533">
        <v>0</v>
      </c>
      <c r="Q1533">
        <v>0</v>
      </c>
      <c r="R1533" t="s">
        <v>47307</v>
      </c>
      <c r="S1533" t="s">
        <v>47416</v>
      </c>
      <c r="T1533" t="s">
        <v>49133</v>
      </c>
      <c r="U1533" t="s">
        <v>50931</v>
      </c>
      <c r="W1533" t="s">
        <v>43394</v>
      </c>
      <c r="X1533" t="s">
        <v>47306</v>
      </c>
    </row>
    <row r="1534" spans="1:24">
      <c r="A1534">
        <f>HYPERLINK("https://www.philgeps.gov.ph/GEPSNONPILOT/Tender/SplashBidNoticeAbstractUI.aspx?menuIndex=3&amp;refID=7199285&amp;Result=3","7199285")</f>
        <v>0</v>
      </c>
      <c r="B1534" t="s">
        <v>692</v>
      </c>
      <c r="C1534" t="s">
        <v>5342</v>
      </c>
      <c r="D1534" t="s">
        <v>18992</v>
      </c>
      <c r="E1534" t="s">
        <v>20332</v>
      </c>
      <c r="F1534" t="s">
        <v>32606</v>
      </c>
      <c r="G1534" t="s">
        <v>32614</v>
      </c>
      <c r="H1534" t="s">
        <v>14201</v>
      </c>
      <c r="I1534" t="s">
        <v>9013</v>
      </c>
      <c r="J1534" t="s">
        <v>33907</v>
      </c>
      <c r="K1534" t="s">
        <v>42629</v>
      </c>
      <c r="M1534" t="s">
        <v>43613</v>
      </c>
      <c r="N1534" t="s">
        <v>47304</v>
      </c>
      <c r="O1534" t="s">
        <v>47305</v>
      </c>
      <c r="P1534">
        <v>0</v>
      </c>
      <c r="Q1534">
        <v>0</v>
      </c>
      <c r="R1534" t="s">
        <v>47307</v>
      </c>
      <c r="S1534" t="s">
        <v>47416</v>
      </c>
      <c r="T1534" t="s">
        <v>48986</v>
      </c>
      <c r="U1534" t="s">
        <v>50932</v>
      </c>
      <c r="W1534" t="s">
        <v>43613</v>
      </c>
      <c r="X1534" t="s">
        <v>47306</v>
      </c>
    </row>
    <row r="1535" spans="1:24">
      <c r="A1535">
        <f>HYPERLINK("https://www.philgeps.gov.ph/GEPSNONPILOT/Tender/SplashBidNoticeAbstractUI.aspx?menuIndex=3&amp;refID=7199296&amp;Result=3","7199296")</f>
        <v>0</v>
      </c>
      <c r="B1535" t="s">
        <v>276</v>
      </c>
      <c r="C1535" t="s">
        <v>5343</v>
      </c>
      <c r="D1535" t="s">
        <v>19001</v>
      </c>
      <c r="E1535" t="s">
        <v>20500</v>
      </c>
      <c r="F1535" t="s">
        <v>32606</v>
      </c>
      <c r="G1535" t="s">
        <v>32614</v>
      </c>
      <c r="H1535" t="s">
        <v>14201</v>
      </c>
      <c r="I1535" t="s">
        <v>32640</v>
      </c>
      <c r="J1535" t="s">
        <v>32885</v>
      </c>
      <c r="K1535" t="s">
        <v>42622</v>
      </c>
      <c r="M1535" t="s">
        <v>43177</v>
      </c>
      <c r="N1535" t="s">
        <v>47304</v>
      </c>
      <c r="O1535" t="s">
        <v>47305</v>
      </c>
      <c r="P1535">
        <v>0</v>
      </c>
      <c r="Q1535">
        <v>0</v>
      </c>
      <c r="R1535" t="s">
        <v>47307</v>
      </c>
      <c r="S1535" t="s">
        <v>47416</v>
      </c>
      <c r="T1535" t="s">
        <v>48986</v>
      </c>
      <c r="U1535" t="s">
        <v>50933</v>
      </c>
      <c r="W1535" t="s">
        <v>43177</v>
      </c>
      <c r="X1535" t="s">
        <v>47306</v>
      </c>
    </row>
    <row r="1536" spans="1:24">
      <c r="A1536">
        <f>HYPERLINK("https://www.philgeps.gov.ph/GEPSNONPILOT/Tender/SplashBidNoticeAbstractUI.aspx?menuIndex=3&amp;refID=7199284&amp;Result=3","7199284")</f>
        <v>0</v>
      </c>
      <c r="B1536" t="s">
        <v>763</v>
      </c>
      <c r="C1536" t="s">
        <v>5344</v>
      </c>
      <c r="D1536" t="s">
        <v>19037</v>
      </c>
      <c r="E1536" t="s">
        <v>20501</v>
      </c>
      <c r="F1536" t="s">
        <v>32606</v>
      </c>
      <c r="G1536" t="s">
        <v>32613</v>
      </c>
      <c r="H1536" t="s">
        <v>14201</v>
      </c>
      <c r="I1536" t="s">
        <v>32638</v>
      </c>
      <c r="J1536" t="s">
        <v>33529</v>
      </c>
      <c r="K1536" t="s">
        <v>42636</v>
      </c>
      <c r="M1536" t="s">
        <v>43688</v>
      </c>
      <c r="N1536" t="s">
        <v>47304</v>
      </c>
      <c r="O1536" t="s">
        <v>47305</v>
      </c>
      <c r="P1536">
        <v>0</v>
      </c>
      <c r="Q1536">
        <v>0</v>
      </c>
      <c r="R1536" t="s">
        <v>47307</v>
      </c>
      <c r="S1536" t="s">
        <v>47416</v>
      </c>
      <c r="T1536" t="s">
        <v>49031</v>
      </c>
      <c r="U1536" t="s">
        <v>50934</v>
      </c>
      <c r="V1536" t="s">
        <v>62822</v>
      </c>
      <c r="W1536" t="s">
        <v>43688</v>
      </c>
      <c r="X1536" t="s">
        <v>47306</v>
      </c>
    </row>
    <row r="1537" spans="1:24">
      <c r="A1537">
        <f>HYPERLINK("https://www.philgeps.gov.ph/GEPSNONPILOT/Tender/SplashBidNoticeAbstractUI.aspx?menuIndex=3&amp;refID=7199283&amp;Result=3","7199283")</f>
        <v>0</v>
      </c>
      <c r="B1537" t="s">
        <v>624</v>
      </c>
      <c r="C1537" t="s">
        <v>5345</v>
      </c>
      <c r="D1537" t="s">
        <v>19041</v>
      </c>
      <c r="E1537" t="s">
        <v>20502</v>
      </c>
      <c r="F1537" t="s">
        <v>32606</v>
      </c>
      <c r="G1537" t="s">
        <v>32614</v>
      </c>
      <c r="H1537" t="s">
        <v>14201</v>
      </c>
      <c r="I1537" t="s">
        <v>9013</v>
      </c>
      <c r="J1537" t="s">
        <v>33908</v>
      </c>
      <c r="K1537" t="s">
        <v>42630</v>
      </c>
      <c r="M1537" t="s">
        <v>43542</v>
      </c>
      <c r="N1537" t="s">
        <v>47304</v>
      </c>
      <c r="O1537" t="s">
        <v>47305</v>
      </c>
      <c r="P1537">
        <v>0</v>
      </c>
      <c r="Q1537">
        <v>0</v>
      </c>
      <c r="R1537" t="s">
        <v>47307</v>
      </c>
      <c r="S1537" t="s">
        <v>47416</v>
      </c>
      <c r="T1537" t="s">
        <v>48986</v>
      </c>
      <c r="U1537" t="s">
        <v>50897</v>
      </c>
      <c r="W1537" t="s">
        <v>43542</v>
      </c>
      <c r="X1537" t="s">
        <v>47306</v>
      </c>
    </row>
    <row r="1538" spans="1:24">
      <c r="A1538">
        <f>HYPERLINK("https://www.philgeps.gov.ph/GEPSNONPILOT/Tender/SplashBidNoticeAbstractUI.aspx?menuIndex=3&amp;refID=7199239&amp;Result=3","7199239")</f>
        <v>0</v>
      </c>
      <c r="B1538" t="s">
        <v>764</v>
      </c>
      <c r="C1538" t="s">
        <v>5346</v>
      </c>
      <c r="D1538" t="s">
        <v>19011</v>
      </c>
      <c r="E1538" t="s">
        <v>20503</v>
      </c>
      <c r="F1538" t="s">
        <v>32606</v>
      </c>
      <c r="G1538" t="s">
        <v>32614</v>
      </c>
      <c r="H1538" t="s">
        <v>14201</v>
      </c>
      <c r="I1538" t="s">
        <v>32633</v>
      </c>
      <c r="J1538" t="s">
        <v>33909</v>
      </c>
      <c r="K1538" t="s">
        <v>42623</v>
      </c>
      <c r="M1538" t="s">
        <v>43689</v>
      </c>
      <c r="N1538" t="s">
        <v>47304</v>
      </c>
      <c r="O1538" t="s">
        <v>47305</v>
      </c>
      <c r="P1538">
        <v>0</v>
      </c>
      <c r="Q1538">
        <v>0</v>
      </c>
      <c r="R1538" t="s">
        <v>47307</v>
      </c>
      <c r="S1538" t="s">
        <v>47416</v>
      </c>
      <c r="T1538" t="s">
        <v>48988</v>
      </c>
      <c r="U1538" t="s">
        <v>50935</v>
      </c>
      <c r="W1538" t="s">
        <v>43689</v>
      </c>
      <c r="X1538" t="s">
        <v>47306</v>
      </c>
    </row>
    <row r="1539" spans="1:24">
      <c r="A1539">
        <f>HYPERLINK("https://www.philgeps.gov.ph/GEPSNONPILOT/Tender/SplashBidNoticeAbstractUI.aspx?menuIndex=3&amp;refID=7199263&amp;Result=3","7199263")</f>
        <v>0</v>
      </c>
      <c r="B1539" t="s">
        <v>751</v>
      </c>
      <c r="C1539" t="s">
        <v>5347</v>
      </c>
      <c r="D1539" t="s">
        <v>18995</v>
      </c>
      <c r="E1539" t="s">
        <v>20504</v>
      </c>
      <c r="F1539" t="s">
        <v>32606</v>
      </c>
      <c r="G1539" t="s">
        <v>32614</v>
      </c>
      <c r="H1539" t="s">
        <v>32623</v>
      </c>
      <c r="I1539" t="s">
        <v>17648</v>
      </c>
      <c r="J1539" t="s">
        <v>32981</v>
      </c>
      <c r="K1539" t="s">
        <v>42622</v>
      </c>
      <c r="M1539" t="s">
        <v>43674</v>
      </c>
      <c r="N1539" t="s">
        <v>47304</v>
      </c>
      <c r="O1539" t="s">
        <v>47305</v>
      </c>
      <c r="P1539">
        <v>0</v>
      </c>
      <c r="Q1539">
        <v>0</v>
      </c>
      <c r="R1539" t="s">
        <v>47307</v>
      </c>
      <c r="S1539" t="s">
        <v>47416</v>
      </c>
      <c r="T1539" t="s">
        <v>49108</v>
      </c>
      <c r="U1539" t="s">
        <v>50936</v>
      </c>
      <c r="W1539" t="s">
        <v>43674</v>
      </c>
      <c r="X1539" t="s">
        <v>47306</v>
      </c>
    </row>
    <row r="1540" spans="1:24">
      <c r="A1540">
        <f>HYPERLINK("https://www.philgeps.gov.ph/GEPSNONPILOT/Tender/SplashBidNoticeAbstractUI.aspx?menuIndex=3&amp;refID=7199282&amp;Result=3","7199282")</f>
        <v>0</v>
      </c>
      <c r="B1540" t="s">
        <v>110</v>
      </c>
      <c r="C1540" t="s">
        <v>5348</v>
      </c>
      <c r="D1540" t="s">
        <v>19022</v>
      </c>
      <c r="E1540" t="s">
        <v>20505</v>
      </c>
      <c r="F1540" t="s">
        <v>32606</v>
      </c>
      <c r="G1540" t="s">
        <v>32614</v>
      </c>
      <c r="H1540" t="s">
        <v>14201</v>
      </c>
      <c r="I1540" t="s">
        <v>4678</v>
      </c>
      <c r="J1540" t="s">
        <v>32868</v>
      </c>
      <c r="K1540" t="s">
        <v>42623</v>
      </c>
      <c r="M1540" t="s">
        <v>43690</v>
      </c>
      <c r="N1540" t="s">
        <v>47304</v>
      </c>
      <c r="O1540" t="s">
        <v>47305</v>
      </c>
      <c r="P1540">
        <v>0</v>
      </c>
      <c r="Q1540">
        <v>0</v>
      </c>
      <c r="R1540" t="s">
        <v>47307</v>
      </c>
      <c r="S1540" t="s">
        <v>47416</v>
      </c>
      <c r="T1540" t="s">
        <v>49087</v>
      </c>
      <c r="U1540" t="s">
        <v>50937</v>
      </c>
      <c r="W1540" t="s">
        <v>43690</v>
      </c>
      <c r="X1540" t="s">
        <v>47306</v>
      </c>
    </row>
    <row r="1541" spans="1:24">
      <c r="A1541">
        <f>HYPERLINK("https://www.philgeps.gov.ph/GEPSNONPILOT/Tender/SplashBidNoticeAbstractUI.aspx?menuIndex=3&amp;refID=7199258&amp;Result=3","7199258")</f>
        <v>0</v>
      </c>
      <c r="B1541" t="s">
        <v>765</v>
      </c>
      <c r="C1541" t="s">
        <v>5349</v>
      </c>
      <c r="D1541" t="s">
        <v>19046</v>
      </c>
      <c r="E1541" t="s">
        <v>20506</v>
      </c>
      <c r="F1541" t="s">
        <v>32606</v>
      </c>
      <c r="G1541" t="s">
        <v>32613</v>
      </c>
      <c r="H1541" t="s">
        <v>14201</v>
      </c>
      <c r="I1541" t="s">
        <v>32705</v>
      </c>
      <c r="J1541" t="s">
        <v>33910</v>
      </c>
      <c r="K1541" t="s">
        <v>42714</v>
      </c>
      <c r="M1541" t="s">
        <v>43691</v>
      </c>
      <c r="N1541" t="s">
        <v>47304</v>
      </c>
      <c r="O1541" t="s">
        <v>47305</v>
      </c>
      <c r="P1541">
        <v>0</v>
      </c>
      <c r="Q1541">
        <v>0</v>
      </c>
      <c r="R1541" t="s">
        <v>47307</v>
      </c>
      <c r="S1541" t="s">
        <v>47416</v>
      </c>
      <c r="T1541" t="s">
        <v>49183</v>
      </c>
      <c r="U1541" t="s">
        <v>50938</v>
      </c>
      <c r="W1541" t="s">
        <v>43691</v>
      </c>
      <c r="X1541" t="s">
        <v>47306</v>
      </c>
    </row>
    <row r="1542" spans="1:24">
      <c r="A1542">
        <f>HYPERLINK("https://www.philgeps.gov.ph/GEPSNONPILOT/Tender/SplashBidNoticeAbstractUI.aspx?menuIndex=3&amp;refID=7199208&amp;Result=3","7199208")</f>
        <v>0</v>
      </c>
      <c r="B1542" t="s">
        <v>766</v>
      </c>
      <c r="C1542" t="s">
        <v>5350</v>
      </c>
      <c r="D1542" t="s">
        <v>19012</v>
      </c>
      <c r="E1542" t="s">
        <v>20507</v>
      </c>
      <c r="F1542" t="s">
        <v>32606</v>
      </c>
      <c r="G1542" t="s">
        <v>32614</v>
      </c>
      <c r="H1542" t="s">
        <v>14201</v>
      </c>
      <c r="I1542" t="s">
        <v>32669</v>
      </c>
      <c r="J1542" t="s">
        <v>33911</v>
      </c>
      <c r="K1542" t="s">
        <v>42631</v>
      </c>
      <c r="M1542" t="s">
        <v>43692</v>
      </c>
      <c r="N1542" t="s">
        <v>47304</v>
      </c>
      <c r="O1542" t="s">
        <v>47305</v>
      </c>
      <c r="P1542">
        <v>0</v>
      </c>
      <c r="Q1542">
        <v>0</v>
      </c>
      <c r="R1542" t="s">
        <v>47307</v>
      </c>
      <c r="S1542" t="s">
        <v>47416</v>
      </c>
      <c r="T1542" t="s">
        <v>49015</v>
      </c>
      <c r="U1542" t="s">
        <v>50939</v>
      </c>
      <c r="W1542" t="s">
        <v>43692</v>
      </c>
      <c r="X1542" t="s">
        <v>47306</v>
      </c>
    </row>
    <row r="1543" spans="1:24">
      <c r="A1543">
        <f>HYPERLINK("https://www.philgeps.gov.ph/GEPSNONPILOT/Tender/SplashBidNoticeAbstractUI.aspx?menuIndex=3&amp;refID=7199204&amp;Result=3","7199204")</f>
        <v>0</v>
      </c>
      <c r="B1543" t="s">
        <v>685</v>
      </c>
      <c r="C1543" t="s">
        <v>5351</v>
      </c>
      <c r="D1543" t="s">
        <v>19040</v>
      </c>
      <c r="E1543" t="s">
        <v>20508</v>
      </c>
      <c r="F1543" t="s">
        <v>32606</v>
      </c>
      <c r="G1543" t="s">
        <v>32613</v>
      </c>
      <c r="H1543" t="s">
        <v>32623</v>
      </c>
      <c r="I1543" t="s">
        <v>17648</v>
      </c>
      <c r="J1543" t="s">
        <v>33868</v>
      </c>
      <c r="K1543" t="s">
        <v>42635</v>
      </c>
      <c r="M1543" t="s">
        <v>43606</v>
      </c>
      <c r="N1543" t="s">
        <v>47304</v>
      </c>
      <c r="O1543" t="s">
        <v>47305</v>
      </c>
      <c r="P1543">
        <v>0</v>
      </c>
      <c r="Q1543">
        <v>0</v>
      </c>
      <c r="R1543" t="s">
        <v>47307</v>
      </c>
      <c r="S1543" t="s">
        <v>47416</v>
      </c>
      <c r="T1543" t="s">
        <v>49110</v>
      </c>
      <c r="U1543" t="s">
        <v>50940</v>
      </c>
      <c r="W1543" t="s">
        <v>43606</v>
      </c>
      <c r="X1543" t="s">
        <v>47306</v>
      </c>
    </row>
    <row r="1544" spans="1:24">
      <c r="A1544">
        <f>HYPERLINK("https://www.philgeps.gov.ph/GEPSNONPILOT/Tender/SplashBidNoticeAbstractUI.aspx?menuIndex=3&amp;refID=7198762&amp;Result=3","7198762")</f>
        <v>0</v>
      </c>
      <c r="B1544" t="s">
        <v>767</v>
      </c>
      <c r="C1544" t="s">
        <v>5352</v>
      </c>
      <c r="D1544" t="s">
        <v>19009</v>
      </c>
      <c r="E1544" t="s">
        <v>20509</v>
      </c>
      <c r="F1544" t="s">
        <v>32606</v>
      </c>
      <c r="G1544" t="s">
        <v>32619</v>
      </c>
      <c r="H1544" t="s">
        <v>14201</v>
      </c>
      <c r="I1544" t="s">
        <v>6993</v>
      </c>
      <c r="J1544" t="s">
        <v>33912</v>
      </c>
      <c r="K1544" t="s">
        <v>42630</v>
      </c>
      <c r="M1544" t="s">
        <v>43693</v>
      </c>
      <c r="N1544" t="s">
        <v>47304</v>
      </c>
      <c r="O1544" t="s">
        <v>47305</v>
      </c>
      <c r="P1544">
        <v>0</v>
      </c>
      <c r="Q1544">
        <v>0</v>
      </c>
      <c r="R1544" t="s">
        <v>47307</v>
      </c>
      <c r="S1544" t="s">
        <v>47416</v>
      </c>
      <c r="T1544" t="s">
        <v>48986</v>
      </c>
      <c r="U1544" t="s">
        <v>50941</v>
      </c>
      <c r="V1544" t="s">
        <v>62823</v>
      </c>
      <c r="W1544" t="s">
        <v>43693</v>
      </c>
      <c r="X1544" t="s">
        <v>47306</v>
      </c>
    </row>
    <row r="1545" spans="1:24">
      <c r="A1545">
        <f>HYPERLINK("https://www.philgeps.gov.ph/GEPSNONPILOT/Tender/SplashBidNoticeAbstractUI.aspx?menuIndex=3&amp;refID=7199287&amp;Result=3","7199287")</f>
        <v>0</v>
      </c>
      <c r="B1545" t="s">
        <v>768</v>
      </c>
      <c r="C1545" t="s">
        <v>5353</v>
      </c>
      <c r="D1545" t="s">
        <v>18993</v>
      </c>
      <c r="E1545" t="s">
        <v>20510</v>
      </c>
      <c r="F1545" t="s">
        <v>32606</v>
      </c>
      <c r="G1545" t="s">
        <v>32619</v>
      </c>
      <c r="H1545" t="s">
        <v>14201</v>
      </c>
      <c r="I1545" t="s">
        <v>6993</v>
      </c>
      <c r="J1545" t="s">
        <v>33913</v>
      </c>
      <c r="K1545" t="s">
        <v>42630</v>
      </c>
      <c r="M1545" t="s">
        <v>43694</v>
      </c>
      <c r="N1545" t="s">
        <v>47304</v>
      </c>
      <c r="O1545" t="s">
        <v>47305</v>
      </c>
      <c r="P1545">
        <v>0</v>
      </c>
      <c r="Q1545">
        <v>0</v>
      </c>
      <c r="R1545" t="s">
        <v>47307</v>
      </c>
      <c r="S1545" t="s">
        <v>47416</v>
      </c>
      <c r="T1545" t="s">
        <v>48997</v>
      </c>
      <c r="U1545" t="s">
        <v>50942</v>
      </c>
      <c r="W1545" t="s">
        <v>43694</v>
      </c>
      <c r="X1545" t="s">
        <v>47306</v>
      </c>
    </row>
    <row r="1546" spans="1:24">
      <c r="A1546">
        <f>HYPERLINK("https://www.philgeps.gov.ph/GEPSNONPILOT/Tender/SplashBidNoticeAbstractUI.aspx?menuIndex=3&amp;refID=7199206&amp;Result=3","7199206")</f>
        <v>0</v>
      </c>
      <c r="B1546" t="s">
        <v>769</v>
      </c>
      <c r="C1546" t="s">
        <v>4830</v>
      </c>
      <c r="D1546" t="s">
        <v>18997</v>
      </c>
      <c r="E1546" t="s">
        <v>20511</v>
      </c>
      <c r="F1546" t="s">
        <v>32606</v>
      </c>
      <c r="G1546" t="s">
        <v>32614</v>
      </c>
      <c r="H1546" t="s">
        <v>14201</v>
      </c>
      <c r="I1546" t="s">
        <v>6478</v>
      </c>
      <c r="J1546" t="s">
        <v>33914</v>
      </c>
      <c r="K1546" t="s">
        <v>42622</v>
      </c>
      <c r="M1546" t="s">
        <v>43695</v>
      </c>
      <c r="N1546" t="s">
        <v>47304</v>
      </c>
      <c r="O1546" t="s">
        <v>47305</v>
      </c>
      <c r="P1546">
        <v>0</v>
      </c>
      <c r="Q1546">
        <v>0</v>
      </c>
      <c r="R1546" t="s">
        <v>47307</v>
      </c>
      <c r="S1546" t="s">
        <v>47416</v>
      </c>
      <c r="T1546" t="s">
        <v>48975</v>
      </c>
      <c r="U1546" t="s">
        <v>50943</v>
      </c>
      <c r="W1546" t="s">
        <v>43695</v>
      </c>
      <c r="X1546" t="s">
        <v>47306</v>
      </c>
    </row>
    <row r="1547" spans="1:24">
      <c r="A1547">
        <f>HYPERLINK("https://www.philgeps.gov.ph/GEPSNONPILOT/Tender/SplashBidNoticeAbstractUI.aspx?menuIndex=3&amp;refID=7199329&amp;Result=3","7199329")</f>
        <v>0</v>
      </c>
      <c r="B1547" t="s">
        <v>586</v>
      </c>
      <c r="C1547" t="s">
        <v>5354</v>
      </c>
      <c r="D1547" t="s">
        <v>19024</v>
      </c>
      <c r="E1547" t="s">
        <v>20512</v>
      </c>
      <c r="F1547" t="s">
        <v>32606</v>
      </c>
      <c r="G1547" t="s">
        <v>32614</v>
      </c>
      <c r="H1547" t="s">
        <v>14201</v>
      </c>
      <c r="I1547" t="s">
        <v>32658</v>
      </c>
      <c r="J1547" t="s">
        <v>33149</v>
      </c>
      <c r="K1547" t="s">
        <v>42630</v>
      </c>
      <c r="M1547" t="s">
        <v>43696</v>
      </c>
      <c r="N1547" t="s">
        <v>47304</v>
      </c>
      <c r="O1547" t="s">
        <v>47305</v>
      </c>
      <c r="P1547">
        <v>0</v>
      </c>
      <c r="Q1547">
        <v>0</v>
      </c>
      <c r="R1547" t="s">
        <v>47307</v>
      </c>
      <c r="S1547" t="s">
        <v>47416</v>
      </c>
      <c r="T1547" t="s">
        <v>48988</v>
      </c>
      <c r="U1547" t="s">
        <v>50944</v>
      </c>
      <c r="W1547" t="s">
        <v>43696</v>
      </c>
      <c r="X1547" t="s">
        <v>47306</v>
      </c>
    </row>
    <row r="1548" spans="1:24">
      <c r="A1548">
        <f>HYPERLINK("https://www.philgeps.gov.ph/GEPSNONPILOT/Tender/SplashBidNoticeAbstractUI.aspx?menuIndex=3&amp;refID=7199203&amp;Result=3","7199203")</f>
        <v>0</v>
      </c>
      <c r="B1548" t="s">
        <v>688</v>
      </c>
      <c r="C1548" t="s">
        <v>5355</v>
      </c>
      <c r="E1548" t="s">
        <v>20513</v>
      </c>
      <c r="F1548" t="s">
        <v>32606</v>
      </c>
      <c r="G1548" t="s">
        <v>32614</v>
      </c>
      <c r="H1548" t="s">
        <v>14201</v>
      </c>
      <c r="I1548" t="s">
        <v>32652</v>
      </c>
      <c r="J1548" t="s">
        <v>33062</v>
      </c>
      <c r="K1548" t="s">
        <v>42624</v>
      </c>
      <c r="M1548" t="s">
        <v>43609</v>
      </c>
      <c r="N1548" t="s">
        <v>47304</v>
      </c>
      <c r="O1548" t="s">
        <v>47305</v>
      </c>
      <c r="P1548">
        <v>0</v>
      </c>
      <c r="Q1548">
        <v>0</v>
      </c>
      <c r="R1548" t="s">
        <v>47307</v>
      </c>
      <c r="S1548" t="s">
        <v>47416</v>
      </c>
      <c r="T1548" t="s">
        <v>49023</v>
      </c>
      <c r="U1548" t="s">
        <v>50754</v>
      </c>
      <c r="W1548" t="s">
        <v>43609</v>
      </c>
      <c r="X1548" t="s">
        <v>47306</v>
      </c>
    </row>
    <row r="1549" spans="1:24">
      <c r="A1549">
        <f>HYPERLINK("https://www.philgeps.gov.ph/GEPSNONPILOT/Tender/SplashBidNoticeAbstractUI.aspx?menuIndex=3&amp;refID=7199256&amp;Result=3","7199256")</f>
        <v>0</v>
      </c>
      <c r="B1549" t="s">
        <v>698</v>
      </c>
      <c r="C1549" t="s">
        <v>5356</v>
      </c>
      <c r="D1549" t="s">
        <v>19040</v>
      </c>
      <c r="E1549" t="s">
        <v>19780</v>
      </c>
      <c r="F1549" t="s">
        <v>32606</v>
      </c>
      <c r="G1549" t="s">
        <v>32614</v>
      </c>
      <c r="H1549" t="s">
        <v>14201</v>
      </c>
      <c r="I1549" t="s">
        <v>6931</v>
      </c>
      <c r="J1549" t="s">
        <v>33915</v>
      </c>
      <c r="K1549" t="s">
        <v>42663</v>
      </c>
      <c r="M1549" t="s">
        <v>43619</v>
      </c>
      <c r="N1549" t="s">
        <v>47304</v>
      </c>
      <c r="O1549" t="s">
        <v>47305</v>
      </c>
      <c r="P1549">
        <v>0</v>
      </c>
      <c r="Q1549">
        <v>0</v>
      </c>
      <c r="R1549" t="s">
        <v>47307</v>
      </c>
      <c r="S1549" t="s">
        <v>47416</v>
      </c>
      <c r="T1549" t="s">
        <v>48976</v>
      </c>
      <c r="U1549" t="s">
        <v>50945</v>
      </c>
      <c r="W1549" t="s">
        <v>43619</v>
      </c>
      <c r="X1549" t="s">
        <v>47306</v>
      </c>
    </row>
    <row r="1550" spans="1:24">
      <c r="A1550">
        <f>HYPERLINK("https://www.philgeps.gov.ph/GEPSNONPILOT/Tender/SplashBidNoticeAbstractUI.aspx?menuIndex=3&amp;refID=7199327&amp;Result=3","7199327")</f>
        <v>0</v>
      </c>
      <c r="B1550" t="s">
        <v>534</v>
      </c>
      <c r="C1550" t="s">
        <v>5357</v>
      </c>
      <c r="D1550" t="s">
        <v>19006</v>
      </c>
      <c r="E1550" t="s">
        <v>20514</v>
      </c>
      <c r="F1550" t="s">
        <v>32606</v>
      </c>
      <c r="G1550" t="s">
        <v>32613</v>
      </c>
      <c r="H1550" t="s">
        <v>14201</v>
      </c>
      <c r="I1550" t="s">
        <v>32640</v>
      </c>
      <c r="J1550" t="s">
        <v>32813</v>
      </c>
      <c r="K1550" t="s">
        <v>42623</v>
      </c>
      <c r="M1550" t="s">
        <v>43447</v>
      </c>
      <c r="N1550" t="s">
        <v>47304</v>
      </c>
      <c r="O1550" t="s">
        <v>47305</v>
      </c>
      <c r="P1550">
        <v>0</v>
      </c>
      <c r="Q1550">
        <v>0</v>
      </c>
      <c r="R1550" t="s">
        <v>47307</v>
      </c>
      <c r="S1550" t="s">
        <v>47416</v>
      </c>
      <c r="T1550" t="s">
        <v>48983</v>
      </c>
      <c r="U1550" t="s">
        <v>50946</v>
      </c>
      <c r="W1550" t="s">
        <v>43447</v>
      </c>
      <c r="X1550" t="s">
        <v>47306</v>
      </c>
    </row>
    <row r="1551" spans="1:24">
      <c r="A1551">
        <f>HYPERLINK("https://www.philgeps.gov.ph/GEPSNONPILOT/Tender/SplashBidNoticeAbstractUI.aspx?menuIndex=3&amp;refID=7199325&amp;Result=3","7199325")</f>
        <v>0</v>
      </c>
      <c r="B1551" t="s">
        <v>770</v>
      </c>
      <c r="C1551" t="s">
        <v>5358</v>
      </c>
      <c r="D1551" t="s">
        <v>19009</v>
      </c>
      <c r="E1551" t="s">
        <v>20515</v>
      </c>
      <c r="F1551" t="s">
        <v>32606</v>
      </c>
      <c r="G1551" t="s">
        <v>32614</v>
      </c>
      <c r="H1551" t="s">
        <v>14201</v>
      </c>
      <c r="I1551" t="s">
        <v>32663</v>
      </c>
      <c r="J1551" t="s">
        <v>33404</v>
      </c>
      <c r="K1551" t="s">
        <v>42629</v>
      </c>
      <c r="M1551" t="s">
        <v>43697</v>
      </c>
      <c r="N1551" t="s">
        <v>47304</v>
      </c>
      <c r="O1551" t="s">
        <v>47305</v>
      </c>
      <c r="P1551">
        <v>0</v>
      </c>
      <c r="Q1551">
        <v>0</v>
      </c>
      <c r="R1551" t="s">
        <v>47307</v>
      </c>
      <c r="S1551" t="s">
        <v>47416</v>
      </c>
      <c r="T1551" t="s">
        <v>49087</v>
      </c>
      <c r="U1551" t="s">
        <v>49653</v>
      </c>
      <c r="V1551" t="s">
        <v>62824</v>
      </c>
      <c r="W1551" t="s">
        <v>43697</v>
      </c>
      <c r="X1551" t="s">
        <v>47306</v>
      </c>
    </row>
    <row r="1552" spans="1:24">
      <c r="A1552">
        <f>HYPERLINK("https://www.philgeps.gov.ph/GEPSNONPILOT/Tender/SplashBidNoticeAbstractUI.aspx?menuIndex=3&amp;refID=7199257&amp;Result=3","7199257")</f>
        <v>0</v>
      </c>
      <c r="B1552" t="s">
        <v>79</v>
      </c>
      <c r="C1552" t="s">
        <v>5359</v>
      </c>
      <c r="D1552" t="s">
        <v>18993</v>
      </c>
      <c r="E1552" t="s">
        <v>20516</v>
      </c>
      <c r="F1552" t="s">
        <v>32606</v>
      </c>
      <c r="G1552" t="s">
        <v>32614</v>
      </c>
      <c r="H1552" t="s">
        <v>14201</v>
      </c>
      <c r="I1552" t="s">
        <v>32625</v>
      </c>
      <c r="J1552" t="s">
        <v>33916</v>
      </c>
      <c r="K1552" t="s">
        <v>42624</v>
      </c>
      <c r="M1552" t="s">
        <v>43698</v>
      </c>
      <c r="N1552" t="s">
        <v>47304</v>
      </c>
      <c r="O1552" t="s">
        <v>47305</v>
      </c>
      <c r="P1552">
        <v>0</v>
      </c>
      <c r="Q1552">
        <v>0</v>
      </c>
      <c r="R1552" t="s">
        <v>47307</v>
      </c>
      <c r="S1552" t="s">
        <v>47416</v>
      </c>
      <c r="T1552" t="s">
        <v>49087</v>
      </c>
      <c r="U1552" t="s">
        <v>50947</v>
      </c>
      <c r="W1552" t="s">
        <v>43698</v>
      </c>
      <c r="X1552" t="s">
        <v>47306</v>
      </c>
    </row>
    <row r="1553" spans="1:24">
      <c r="A1553">
        <f>HYPERLINK("https://www.philgeps.gov.ph/GEPSNONPILOT/Tender/SplashBidNoticeAbstractUI.aspx?menuIndex=3&amp;refID=7199323&amp;Result=3","7199323")</f>
        <v>0</v>
      </c>
      <c r="B1553" t="s">
        <v>771</v>
      </c>
      <c r="C1553" t="s">
        <v>5360</v>
      </c>
      <c r="D1553" t="s">
        <v>19058</v>
      </c>
      <c r="E1553" t="s">
        <v>20517</v>
      </c>
      <c r="F1553" t="s">
        <v>32606</v>
      </c>
      <c r="G1553" t="s">
        <v>32614</v>
      </c>
      <c r="H1553" t="s">
        <v>14201</v>
      </c>
      <c r="I1553" t="s">
        <v>6298</v>
      </c>
      <c r="J1553" t="s">
        <v>32752</v>
      </c>
      <c r="K1553" t="s">
        <v>42631</v>
      </c>
      <c r="M1553" t="s">
        <v>43699</v>
      </c>
      <c r="N1553" t="s">
        <v>47304</v>
      </c>
      <c r="O1553" t="s">
        <v>47305</v>
      </c>
      <c r="P1553">
        <v>0</v>
      </c>
      <c r="Q1553">
        <v>0</v>
      </c>
      <c r="R1553" t="s">
        <v>47307</v>
      </c>
      <c r="S1553" t="s">
        <v>47416</v>
      </c>
      <c r="T1553" t="s">
        <v>49175</v>
      </c>
      <c r="U1553" t="s">
        <v>50948</v>
      </c>
      <c r="W1553" t="s">
        <v>43699</v>
      </c>
      <c r="X1553" t="s">
        <v>47306</v>
      </c>
    </row>
    <row r="1554" spans="1:24">
      <c r="A1554">
        <f>HYPERLINK("https://www.philgeps.gov.ph/GEPSNONPILOT/Tender/SplashBidNoticeAbstractUI.aspx?menuIndex=3&amp;refID=7199320&amp;Result=3","7199320")</f>
        <v>0</v>
      </c>
      <c r="B1554" t="s">
        <v>390</v>
      </c>
      <c r="C1554" t="s">
        <v>5361</v>
      </c>
      <c r="D1554" t="s">
        <v>18988</v>
      </c>
      <c r="E1554" t="s">
        <v>20518</v>
      </c>
      <c r="F1554" t="s">
        <v>32606</v>
      </c>
      <c r="G1554" t="s">
        <v>32614</v>
      </c>
      <c r="H1554" t="s">
        <v>14201</v>
      </c>
      <c r="I1554" t="s">
        <v>6931</v>
      </c>
      <c r="J1554" t="s">
        <v>32781</v>
      </c>
      <c r="K1554" t="s">
        <v>42624</v>
      </c>
      <c r="M1554" t="s">
        <v>43700</v>
      </c>
      <c r="N1554" t="s">
        <v>47304</v>
      </c>
      <c r="O1554" t="s">
        <v>47305</v>
      </c>
      <c r="P1554">
        <v>0</v>
      </c>
      <c r="Q1554">
        <v>0</v>
      </c>
      <c r="R1554" t="s">
        <v>47307</v>
      </c>
      <c r="S1554" t="s">
        <v>47416</v>
      </c>
      <c r="T1554" t="s">
        <v>49011</v>
      </c>
      <c r="U1554" t="s">
        <v>50949</v>
      </c>
      <c r="V1554" t="s">
        <v>62825</v>
      </c>
      <c r="W1554" t="s">
        <v>43700</v>
      </c>
      <c r="X1554" t="s">
        <v>47306</v>
      </c>
    </row>
    <row r="1555" spans="1:24">
      <c r="A1555">
        <f>HYPERLINK("https://www.philgeps.gov.ph/GEPSNONPILOT/Tender/SplashBidNoticeAbstractUI.aspx?menuIndex=3&amp;refID=7199318&amp;Result=3","7199318")</f>
        <v>0</v>
      </c>
      <c r="B1555" t="s">
        <v>772</v>
      </c>
      <c r="C1555" t="s">
        <v>5362</v>
      </c>
      <c r="D1555" t="s">
        <v>18993</v>
      </c>
      <c r="E1555" t="s">
        <v>20519</v>
      </c>
      <c r="F1555" t="s">
        <v>32606</v>
      </c>
      <c r="G1555" t="s">
        <v>32619</v>
      </c>
      <c r="H1555" t="s">
        <v>14201</v>
      </c>
      <c r="I1555" t="s">
        <v>6478</v>
      </c>
      <c r="J1555" t="s">
        <v>33917</v>
      </c>
      <c r="K1555" t="s">
        <v>42632</v>
      </c>
      <c r="M1555" t="s">
        <v>43701</v>
      </c>
      <c r="N1555" t="s">
        <v>47304</v>
      </c>
      <c r="O1555" t="s">
        <v>47305</v>
      </c>
      <c r="P1555">
        <v>0</v>
      </c>
      <c r="Q1555">
        <v>0</v>
      </c>
      <c r="R1555" t="s">
        <v>47307</v>
      </c>
      <c r="S1555" t="s">
        <v>47416</v>
      </c>
      <c r="T1555" t="s">
        <v>48975</v>
      </c>
      <c r="U1555" t="s">
        <v>50950</v>
      </c>
      <c r="W1555" t="s">
        <v>43701</v>
      </c>
      <c r="X1555" t="s">
        <v>47306</v>
      </c>
    </row>
    <row r="1556" spans="1:24">
      <c r="A1556">
        <f>HYPERLINK("https://www.philgeps.gov.ph/GEPSNONPILOT/Tender/SplashBidNoticeAbstractUI.aspx?menuIndex=3&amp;refID=7199326&amp;Result=3","7199326")</f>
        <v>0</v>
      </c>
      <c r="B1556" t="s">
        <v>739</v>
      </c>
      <c r="C1556" t="s">
        <v>5363</v>
      </c>
      <c r="D1556" t="s">
        <v>19021</v>
      </c>
      <c r="E1556" t="s">
        <v>20520</v>
      </c>
      <c r="F1556" t="s">
        <v>32606</v>
      </c>
      <c r="G1556" t="s">
        <v>32613</v>
      </c>
      <c r="H1556" t="s">
        <v>32623</v>
      </c>
      <c r="I1556" t="s">
        <v>17648</v>
      </c>
      <c r="J1556" t="s">
        <v>33918</v>
      </c>
      <c r="K1556" t="s">
        <v>42636</v>
      </c>
      <c r="M1556" t="s">
        <v>43662</v>
      </c>
      <c r="N1556" t="s">
        <v>47304</v>
      </c>
      <c r="O1556" t="s">
        <v>47305</v>
      </c>
      <c r="P1556">
        <v>0</v>
      </c>
      <c r="Q1556">
        <v>0</v>
      </c>
      <c r="R1556" t="s">
        <v>47307</v>
      </c>
      <c r="S1556" t="s">
        <v>47416</v>
      </c>
      <c r="T1556" t="s">
        <v>48995</v>
      </c>
      <c r="U1556" t="s">
        <v>50951</v>
      </c>
      <c r="W1556" t="s">
        <v>43662</v>
      </c>
      <c r="X1556" t="s">
        <v>47306</v>
      </c>
    </row>
    <row r="1557" spans="1:24">
      <c r="A1557">
        <f>HYPERLINK("https://www.philgeps.gov.ph/GEPSNONPILOT/Tender/SplashBidNoticeAbstractUI.aspx?menuIndex=3&amp;refID=7199324&amp;Result=3","7199324")</f>
        <v>0</v>
      </c>
      <c r="B1557" t="s">
        <v>764</v>
      </c>
      <c r="C1557" t="s">
        <v>5346</v>
      </c>
      <c r="D1557" t="s">
        <v>19011</v>
      </c>
      <c r="E1557" t="s">
        <v>20521</v>
      </c>
      <c r="F1557" t="s">
        <v>32606</v>
      </c>
      <c r="G1557" t="s">
        <v>32614</v>
      </c>
      <c r="H1557" t="s">
        <v>14201</v>
      </c>
      <c r="I1557" t="s">
        <v>32633</v>
      </c>
      <c r="J1557" t="s">
        <v>33228</v>
      </c>
      <c r="K1557" t="s">
        <v>42623</v>
      </c>
      <c r="M1557" t="s">
        <v>43689</v>
      </c>
      <c r="N1557" t="s">
        <v>47304</v>
      </c>
      <c r="O1557" t="s">
        <v>47305</v>
      </c>
      <c r="P1557">
        <v>0</v>
      </c>
      <c r="Q1557">
        <v>0</v>
      </c>
      <c r="R1557" t="s">
        <v>47307</v>
      </c>
      <c r="S1557" t="s">
        <v>47416</v>
      </c>
      <c r="T1557" t="s">
        <v>48988</v>
      </c>
      <c r="U1557" t="s">
        <v>50952</v>
      </c>
      <c r="W1557" t="s">
        <v>43689</v>
      </c>
      <c r="X1557" t="s">
        <v>47306</v>
      </c>
    </row>
    <row r="1558" spans="1:24">
      <c r="A1558">
        <f>HYPERLINK("https://www.philgeps.gov.ph/GEPSNONPILOT/Tender/SplashBidNoticeAbstractUI.aspx?menuIndex=3&amp;refID=7199314&amp;Result=3","7199314")</f>
        <v>0</v>
      </c>
      <c r="B1558" t="s">
        <v>728</v>
      </c>
      <c r="C1558" t="s">
        <v>5364</v>
      </c>
      <c r="D1558" t="s">
        <v>19025</v>
      </c>
      <c r="E1558" t="s">
        <v>20522</v>
      </c>
      <c r="F1558" t="s">
        <v>32606</v>
      </c>
      <c r="G1558" t="s">
        <v>32614</v>
      </c>
      <c r="H1558" t="s">
        <v>14201</v>
      </c>
      <c r="I1558" t="s">
        <v>6931</v>
      </c>
      <c r="J1558" t="s">
        <v>33844</v>
      </c>
      <c r="K1558" t="s">
        <v>42631</v>
      </c>
      <c r="M1558" t="s">
        <v>43650</v>
      </c>
      <c r="N1558" t="s">
        <v>47304</v>
      </c>
      <c r="O1558" t="s">
        <v>47305</v>
      </c>
      <c r="P1558">
        <v>0</v>
      </c>
      <c r="Q1558">
        <v>0</v>
      </c>
      <c r="R1558" t="s">
        <v>47307</v>
      </c>
      <c r="S1558" t="s">
        <v>47416</v>
      </c>
      <c r="T1558" t="s">
        <v>48986</v>
      </c>
      <c r="U1558" t="s">
        <v>50853</v>
      </c>
      <c r="W1558" t="s">
        <v>43650</v>
      </c>
      <c r="X1558" t="s">
        <v>47306</v>
      </c>
    </row>
    <row r="1559" spans="1:24">
      <c r="A1559">
        <f>HYPERLINK("https://www.philgeps.gov.ph/GEPSNONPILOT/Tender/SplashBidNoticeAbstractUI.aspx?menuIndex=3&amp;refID=7199319&amp;Result=3","7199319")</f>
        <v>0</v>
      </c>
      <c r="B1559" t="s">
        <v>456</v>
      </c>
      <c r="C1559" t="s">
        <v>5365</v>
      </c>
      <c r="D1559" t="s">
        <v>19024</v>
      </c>
      <c r="E1559" t="s">
        <v>20523</v>
      </c>
      <c r="F1559" t="s">
        <v>32606</v>
      </c>
      <c r="G1559" t="s">
        <v>32614</v>
      </c>
      <c r="H1559" t="s">
        <v>14201</v>
      </c>
      <c r="I1559" t="s">
        <v>32631</v>
      </c>
      <c r="J1559" t="s">
        <v>33919</v>
      </c>
      <c r="K1559" t="s">
        <v>42624</v>
      </c>
      <c r="M1559" t="s">
        <v>43366</v>
      </c>
      <c r="N1559" t="s">
        <v>47304</v>
      </c>
      <c r="O1559" t="s">
        <v>47305</v>
      </c>
      <c r="P1559">
        <v>0</v>
      </c>
      <c r="Q1559">
        <v>0</v>
      </c>
      <c r="R1559" t="s">
        <v>47307</v>
      </c>
      <c r="S1559" t="s">
        <v>47416</v>
      </c>
      <c r="T1559" t="s">
        <v>49015</v>
      </c>
      <c r="U1559" t="s">
        <v>50953</v>
      </c>
      <c r="W1559" t="s">
        <v>43366</v>
      </c>
      <c r="X1559" t="s">
        <v>47306</v>
      </c>
    </row>
    <row r="1560" spans="1:24">
      <c r="A1560">
        <f>HYPERLINK("https://www.philgeps.gov.ph/GEPSNONPILOT/Tender/SplashBidNoticeAbstractUI.aspx?menuIndex=3&amp;refID=7199311&amp;Result=3","7199311")</f>
        <v>0</v>
      </c>
      <c r="B1560" t="s">
        <v>773</v>
      </c>
      <c r="C1560" t="s">
        <v>5366</v>
      </c>
      <c r="D1560" t="s">
        <v>19024</v>
      </c>
      <c r="E1560" t="s">
        <v>20524</v>
      </c>
      <c r="F1560" t="s">
        <v>32606</v>
      </c>
      <c r="G1560" t="s">
        <v>32614</v>
      </c>
      <c r="H1560" t="s">
        <v>14201</v>
      </c>
      <c r="I1560" t="s">
        <v>6931</v>
      </c>
      <c r="J1560" t="s">
        <v>33920</v>
      </c>
      <c r="K1560" t="s">
        <v>42632</v>
      </c>
      <c r="M1560" t="s">
        <v>43702</v>
      </c>
      <c r="N1560" t="s">
        <v>47304</v>
      </c>
      <c r="O1560" t="s">
        <v>47305</v>
      </c>
      <c r="P1560">
        <v>0</v>
      </c>
      <c r="Q1560">
        <v>0</v>
      </c>
      <c r="R1560" t="s">
        <v>47307</v>
      </c>
      <c r="S1560" t="s">
        <v>47416</v>
      </c>
      <c r="T1560" t="s">
        <v>48975</v>
      </c>
      <c r="U1560" t="s">
        <v>50954</v>
      </c>
      <c r="W1560" t="s">
        <v>43702</v>
      </c>
      <c r="X1560" t="s">
        <v>47306</v>
      </c>
    </row>
    <row r="1561" spans="1:24">
      <c r="A1561">
        <f>HYPERLINK("https://www.philgeps.gov.ph/GEPSNONPILOT/Tender/SplashBidNoticeAbstractUI.aspx?menuIndex=3&amp;refID=7198760&amp;Result=3","7198760")</f>
        <v>0</v>
      </c>
      <c r="B1561" t="s">
        <v>571</v>
      </c>
      <c r="C1561" t="s">
        <v>5367</v>
      </c>
      <c r="D1561" t="s">
        <v>19000</v>
      </c>
      <c r="E1561" t="s">
        <v>20525</v>
      </c>
      <c r="F1561" t="s">
        <v>32606</v>
      </c>
      <c r="G1561" t="s">
        <v>32613</v>
      </c>
      <c r="H1561" t="s">
        <v>14201</v>
      </c>
      <c r="I1561" t="s">
        <v>4678</v>
      </c>
      <c r="J1561" t="s">
        <v>32920</v>
      </c>
      <c r="K1561" t="s">
        <v>42625</v>
      </c>
      <c r="M1561" t="s">
        <v>43486</v>
      </c>
      <c r="N1561" t="s">
        <v>47304</v>
      </c>
      <c r="O1561" t="s">
        <v>47305</v>
      </c>
      <c r="P1561">
        <v>0</v>
      </c>
      <c r="Q1561">
        <v>0</v>
      </c>
      <c r="R1561" t="s">
        <v>47307</v>
      </c>
      <c r="S1561" t="s">
        <v>47416</v>
      </c>
      <c r="T1561" t="s">
        <v>49056</v>
      </c>
      <c r="U1561" t="s">
        <v>50955</v>
      </c>
      <c r="W1561" t="s">
        <v>43486</v>
      </c>
      <c r="X1561" t="s">
        <v>47306</v>
      </c>
    </row>
    <row r="1562" spans="1:24">
      <c r="A1562">
        <f>HYPERLINK("https://www.philgeps.gov.ph/GEPSNONPILOT/Tender/SplashBidNoticeAbstractUI.aspx?menuIndex=3&amp;refID=7199317&amp;Result=3","7199317")</f>
        <v>0</v>
      </c>
      <c r="B1562" t="s">
        <v>761</v>
      </c>
      <c r="C1562" t="s">
        <v>5368</v>
      </c>
      <c r="D1562" t="s">
        <v>19036</v>
      </c>
      <c r="E1562" t="s">
        <v>20526</v>
      </c>
      <c r="F1562" t="s">
        <v>32606</v>
      </c>
      <c r="G1562" t="s">
        <v>32613</v>
      </c>
      <c r="H1562" t="s">
        <v>32623</v>
      </c>
      <c r="I1562" t="s">
        <v>6931</v>
      </c>
      <c r="J1562" t="s">
        <v>33921</v>
      </c>
      <c r="K1562" t="s">
        <v>42645</v>
      </c>
      <c r="M1562" t="s">
        <v>43685</v>
      </c>
      <c r="N1562" t="s">
        <v>47304</v>
      </c>
      <c r="O1562" t="s">
        <v>47305</v>
      </c>
      <c r="P1562">
        <v>0</v>
      </c>
      <c r="Q1562">
        <v>0</v>
      </c>
      <c r="R1562" t="s">
        <v>47307</v>
      </c>
      <c r="S1562" t="s">
        <v>47416</v>
      </c>
      <c r="T1562" t="s">
        <v>49121</v>
      </c>
      <c r="U1562" t="s">
        <v>50956</v>
      </c>
      <c r="W1562" t="s">
        <v>43685</v>
      </c>
      <c r="X1562" t="s">
        <v>47306</v>
      </c>
    </row>
    <row r="1563" spans="1:24">
      <c r="A1563">
        <f>HYPERLINK("https://www.philgeps.gov.ph/GEPSNONPILOT/Tender/SplashBidNoticeAbstractUI.aspx?menuIndex=3&amp;refID=7199310&amp;Result=3","7199310")</f>
        <v>0</v>
      </c>
      <c r="B1563" t="s">
        <v>476</v>
      </c>
      <c r="C1563" t="s">
        <v>5369</v>
      </c>
      <c r="D1563" t="s">
        <v>19019</v>
      </c>
      <c r="E1563" t="s">
        <v>20527</v>
      </c>
      <c r="F1563" t="s">
        <v>32606</v>
      </c>
      <c r="G1563" t="s">
        <v>32614</v>
      </c>
      <c r="H1563" t="s">
        <v>32623</v>
      </c>
      <c r="I1563" t="s">
        <v>32661</v>
      </c>
      <c r="J1563" t="s">
        <v>33922</v>
      </c>
      <c r="K1563" t="s">
        <v>42639</v>
      </c>
      <c r="M1563" t="s">
        <v>43387</v>
      </c>
      <c r="N1563" t="s">
        <v>47304</v>
      </c>
      <c r="O1563" t="s">
        <v>47305</v>
      </c>
      <c r="P1563">
        <v>0</v>
      </c>
      <c r="Q1563">
        <v>0</v>
      </c>
      <c r="R1563" t="s">
        <v>47307</v>
      </c>
      <c r="S1563" t="s">
        <v>47416</v>
      </c>
      <c r="T1563" t="s">
        <v>48975</v>
      </c>
      <c r="U1563" t="s">
        <v>50957</v>
      </c>
      <c r="W1563" t="s">
        <v>43387</v>
      </c>
      <c r="X1563" t="s">
        <v>47306</v>
      </c>
    </row>
    <row r="1564" spans="1:24">
      <c r="A1564">
        <f>HYPERLINK("https://www.philgeps.gov.ph/GEPSNONPILOT/Tender/SplashBidNoticeAbstractUI.aspx?menuIndex=3&amp;refID=7199308&amp;Result=3","7199308")</f>
        <v>0</v>
      </c>
      <c r="B1564" t="s">
        <v>774</v>
      </c>
      <c r="C1564" t="s">
        <v>5370</v>
      </c>
      <c r="D1564" t="s">
        <v>19000</v>
      </c>
      <c r="E1564" t="s">
        <v>20528</v>
      </c>
      <c r="F1564" t="s">
        <v>32606</v>
      </c>
      <c r="G1564" t="s">
        <v>32617</v>
      </c>
      <c r="H1564" t="s">
        <v>14201</v>
      </c>
      <c r="I1564" t="s">
        <v>4120</v>
      </c>
      <c r="J1564" t="s">
        <v>33923</v>
      </c>
      <c r="K1564" t="s">
        <v>42622</v>
      </c>
      <c r="M1564" t="s">
        <v>43703</v>
      </c>
      <c r="N1564" t="s">
        <v>47304</v>
      </c>
      <c r="O1564" t="s">
        <v>47305</v>
      </c>
      <c r="P1564">
        <v>0</v>
      </c>
      <c r="Q1564">
        <v>0</v>
      </c>
      <c r="R1564" t="s">
        <v>47307</v>
      </c>
      <c r="S1564" t="s">
        <v>47416</v>
      </c>
      <c r="T1564" t="s">
        <v>49023</v>
      </c>
      <c r="U1564" t="s">
        <v>50958</v>
      </c>
      <c r="W1564" t="s">
        <v>43703</v>
      </c>
      <c r="X1564" t="s">
        <v>47306</v>
      </c>
    </row>
    <row r="1565" spans="1:24">
      <c r="A1565">
        <f>HYPERLINK("https://www.philgeps.gov.ph/GEPSNONPILOT/Tender/SplashBidNoticeAbstractUI.aspx?menuIndex=3&amp;refID=7199307&amp;Result=3","7199307")</f>
        <v>0</v>
      </c>
      <c r="B1565" t="s">
        <v>775</v>
      </c>
      <c r="C1565" t="s">
        <v>5371</v>
      </c>
      <c r="D1565" t="s">
        <v>19019</v>
      </c>
      <c r="E1565" t="s">
        <v>20529</v>
      </c>
      <c r="F1565" t="s">
        <v>32606</v>
      </c>
      <c r="G1565" t="s">
        <v>32614</v>
      </c>
      <c r="H1565" t="s">
        <v>14201</v>
      </c>
      <c r="I1565" t="s">
        <v>32654</v>
      </c>
      <c r="J1565" t="s">
        <v>33924</v>
      </c>
      <c r="K1565" t="s">
        <v>42630</v>
      </c>
      <c r="M1565" t="s">
        <v>43704</v>
      </c>
      <c r="N1565" t="s">
        <v>47304</v>
      </c>
      <c r="O1565" t="s">
        <v>47305</v>
      </c>
      <c r="P1565">
        <v>0</v>
      </c>
      <c r="Q1565">
        <v>0</v>
      </c>
      <c r="R1565" t="s">
        <v>47307</v>
      </c>
      <c r="S1565" t="s">
        <v>47416</v>
      </c>
      <c r="T1565" t="s">
        <v>49018</v>
      </c>
      <c r="U1565" t="s">
        <v>50959</v>
      </c>
      <c r="W1565" t="s">
        <v>43704</v>
      </c>
      <c r="X1565" t="s">
        <v>47306</v>
      </c>
    </row>
    <row r="1566" spans="1:24">
      <c r="A1566">
        <f>HYPERLINK("https://www.philgeps.gov.ph/GEPSNONPILOT/Tender/SplashBidNoticeAbstractUI.aspx?menuIndex=3&amp;refID=7199312&amp;Result=3","7199312")</f>
        <v>0</v>
      </c>
      <c r="B1566" t="s">
        <v>776</v>
      </c>
      <c r="C1566" t="s">
        <v>5372</v>
      </c>
      <c r="D1566" t="s">
        <v>19003</v>
      </c>
      <c r="E1566" t="s">
        <v>20530</v>
      </c>
      <c r="F1566" t="s">
        <v>32606</v>
      </c>
      <c r="G1566" t="s">
        <v>32613</v>
      </c>
      <c r="H1566" t="s">
        <v>14201</v>
      </c>
      <c r="I1566" t="s">
        <v>5233</v>
      </c>
      <c r="J1566" t="s">
        <v>33925</v>
      </c>
      <c r="K1566" t="s">
        <v>42622</v>
      </c>
      <c r="M1566" t="s">
        <v>43705</v>
      </c>
      <c r="N1566" t="s">
        <v>47304</v>
      </c>
      <c r="O1566" t="s">
        <v>47305</v>
      </c>
      <c r="P1566">
        <v>0</v>
      </c>
      <c r="Q1566">
        <v>0</v>
      </c>
      <c r="R1566" t="s">
        <v>47307</v>
      </c>
      <c r="S1566" t="s">
        <v>47416</v>
      </c>
      <c r="T1566" t="s">
        <v>49184</v>
      </c>
      <c r="U1566" t="s">
        <v>50960</v>
      </c>
      <c r="V1566" t="s">
        <v>62826</v>
      </c>
      <c r="W1566" t="s">
        <v>43705</v>
      </c>
      <c r="X1566" t="s">
        <v>47306</v>
      </c>
    </row>
    <row r="1567" spans="1:24">
      <c r="A1567">
        <f>HYPERLINK("https://www.philgeps.gov.ph/GEPSNONPILOT/Tender/SplashBidNoticeAbstractUI.aspx?menuIndex=3&amp;refID=7199306&amp;Result=3","7199306")</f>
        <v>0</v>
      </c>
      <c r="B1567" t="s">
        <v>464</v>
      </c>
      <c r="C1567" t="s">
        <v>5373</v>
      </c>
      <c r="D1567" t="s">
        <v>19044</v>
      </c>
      <c r="E1567" t="s">
        <v>20531</v>
      </c>
      <c r="F1567" t="s">
        <v>32606</v>
      </c>
      <c r="G1567" t="s">
        <v>32614</v>
      </c>
      <c r="H1567" t="s">
        <v>14201</v>
      </c>
      <c r="I1567" t="s">
        <v>6993</v>
      </c>
      <c r="J1567" t="s">
        <v>32885</v>
      </c>
      <c r="K1567" t="s">
        <v>42622</v>
      </c>
      <c r="M1567" t="s">
        <v>43374</v>
      </c>
      <c r="N1567" t="s">
        <v>47304</v>
      </c>
      <c r="O1567" t="s">
        <v>47305</v>
      </c>
      <c r="P1567">
        <v>0</v>
      </c>
      <c r="Q1567">
        <v>0</v>
      </c>
      <c r="R1567" t="s">
        <v>47307</v>
      </c>
      <c r="S1567" t="s">
        <v>47416</v>
      </c>
      <c r="T1567" t="s">
        <v>48986</v>
      </c>
      <c r="U1567" t="s">
        <v>50961</v>
      </c>
      <c r="W1567" t="s">
        <v>43374</v>
      </c>
      <c r="X1567" t="s">
        <v>47306</v>
      </c>
    </row>
    <row r="1568" spans="1:24">
      <c r="A1568">
        <f>HYPERLINK("https://www.philgeps.gov.ph/GEPSNONPILOT/Tender/SplashBidNoticeAbstractUI.aspx?menuIndex=3&amp;refID=7199354&amp;Result=3","7199354")</f>
        <v>0</v>
      </c>
      <c r="B1568" t="s">
        <v>373</v>
      </c>
      <c r="C1568" t="s">
        <v>5374</v>
      </c>
      <c r="D1568" t="s">
        <v>19002</v>
      </c>
      <c r="E1568" t="s">
        <v>20532</v>
      </c>
      <c r="F1568" t="s">
        <v>32606</v>
      </c>
      <c r="G1568" t="s">
        <v>32614</v>
      </c>
      <c r="H1568" t="s">
        <v>14201</v>
      </c>
      <c r="I1568" t="s">
        <v>9013</v>
      </c>
      <c r="J1568" t="s">
        <v>33926</v>
      </c>
      <c r="K1568" t="s">
        <v>42631</v>
      </c>
      <c r="M1568" t="s">
        <v>43706</v>
      </c>
      <c r="N1568" t="s">
        <v>47304</v>
      </c>
      <c r="O1568" t="s">
        <v>47305</v>
      </c>
      <c r="P1568">
        <v>0</v>
      </c>
      <c r="Q1568">
        <v>0</v>
      </c>
      <c r="R1568" t="s">
        <v>47307</v>
      </c>
      <c r="S1568" t="s">
        <v>47416</v>
      </c>
      <c r="T1568" t="s">
        <v>48986</v>
      </c>
      <c r="U1568" t="s">
        <v>50962</v>
      </c>
      <c r="W1568" t="s">
        <v>64446</v>
      </c>
      <c r="X1568" t="s">
        <v>47306</v>
      </c>
    </row>
    <row r="1569" spans="1:24">
      <c r="A1569">
        <f>HYPERLINK("https://www.philgeps.gov.ph/GEPSNONPILOT/Tender/SplashBidNoticeAbstractUI.aspx?menuIndex=3&amp;refID=7199352&amp;Result=3","7199352")</f>
        <v>0</v>
      </c>
      <c r="B1569" t="s">
        <v>623</v>
      </c>
      <c r="C1569" t="s">
        <v>5375</v>
      </c>
      <c r="D1569" t="s">
        <v>19024</v>
      </c>
      <c r="E1569" t="s">
        <v>20533</v>
      </c>
      <c r="F1569" t="s">
        <v>32606</v>
      </c>
      <c r="G1569" t="s">
        <v>32619</v>
      </c>
      <c r="H1569" t="s">
        <v>14201</v>
      </c>
      <c r="I1569" t="s">
        <v>32706</v>
      </c>
      <c r="J1569" t="s">
        <v>32776</v>
      </c>
      <c r="K1569" t="s">
        <v>42623</v>
      </c>
      <c r="M1569" t="s">
        <v>43541</v>
      </c>
      <c r="N1569" t="s">
        <v>47304</v>
      </c>
      <c r="O1569" t="s">
        <v>47305</v>
      </c>
      <c r="P1569">
        <v>0</v>
      </c>
      <c r="Q1569">
        <v>0</v>
      </c>
      <c r="R1569" t="s">
        <v>47307</v>
      </c>
      <c r="S1569" t="s">
        <v>47416</v>
      </c>
      <c r="T1569" t="s">
        <v>49185</v>
      </c>
      <c r="U1569" t="s">
        <v>50963</v>
      </c>
      <c r="W1569" t="s">
        <v>43541</v>
      </c>
      <c r="X1569" t="s">
        <v>47306</v>
      </c>
    </row>
    <row r="1570" spans="1:24">
      <c r="A1570">
        <f>HYPERLINK("https://www.philgeps.gov.ph/GEPSNONPILOT/Tender/SplashBidNoticeAbstractUI.aspx?menuIndex=3&amp;refID=7199347&amp;Result=3","7199347")</f>
        <v>0</v>
      </c>
      <c r="B1570" t="s">
        <v>617</v>
      </c>
      <c r="C1570" t="s">
        <v>5376</v>
      </c>
      <c r="D1570" t="s">
        <v>19058</v>
      </c>
      <c r="E1570" t="s">
        <v>20534</v>
      </c>
      <c r="F1570" t="s">
        <v>32606</v>
      </c>
      <c r="G1570" t="s">
        <v>32614</v>
      </c>
      <c r="H1570" t="s">
        <v>14201</v>
      </c>
      <c r="I1570" t="s">
        <v>8606</v>
      </c>
      <c r="J1570" t="s">
        <v>33060</v>
      </c>
      <c r="K1570" t="s">
        <v>42624</v>
      </c>
      <c r="M1570" t="s">
        <v>43535</v>
      </c>
      <c r="N1570" t="s">
        <v>47304</v>
      </c>
      <c r="O1570" t="s">
        <v>47305</v>
      </c>
      <c r="P1570">
        <v>0</v>
      </c>
      <c r="Q1570">
        <v>0</v>
      </c>
      <c r="R1570" t="s">
        <v>47307</v>
      </c>
      <c r="S1570" t="s">
        <v>47416</v>
      </c>
      <c r="T1570" t="s">
        <v>49186</v>
      </c>
      <c r="U1570" t="s">
        <v>50964</v>
      </c>
      <c r="V1570" t="s">
        <v>62789</v>
      </c>
      <c r="W1570" t="s">
        <v>43535</v>
      </c>
      <c r="X1570" t="s">
        <v>47306</v>
      </c>
    </row>
    <row r="1571" spans="1:24">
      <c r="A1571">
        <f>HYPERLINK("https://www.philgeps.gov.ph/GEPSNONPILOT/Tender/SplashBidNoticeAbstractUI.aspx?menuIndex=3&amp;refID=7199316&amp;Result=3","7199316")</f>
        <v>0</v>
      </c>
      <c r="B1571" t="s">
        <v>777</v>
      </c>
      <c r="C1571" t="s">
        <v>5377</v>
      </c>
      <c r="D1571" t="s">
        <v>18993</v>
      </c>
      <c r="E1571" t="s">
        <v>20535</v>
      </c>
      <c r="F1571" t="s">
        <v>32606</v>
      </c>
      <c r="G1571" t="s">
        <v>32614</v>
      </c>
      <c r="H1571" t="s">
        <v>14201</v>
      </c>
      <c r="I1571" t="s">
        <v>32707</v>
      </c>
      <c r="J1571" t="s">
        <v>33927</v>
      </c>
      <c r="K1571" t="s">
        <v>42624</v>
      </c>
      <c r="M1571" t="s">
        <v>43707</v>
      </c>
      <c r="N1571" t="s">
        <v>47304</v>
      </c>
      <c r="O1571" t="s">
        <v>47305</v>
      </c>
      <c r="P1571">
        <v>0</v>
      </c>
      <c r="Q1571">
        <v>0</v>
      </c>
      <c r="R1571" t="s">
        <v>47307</v>
      </c>
      <c r="S1571" t="s">
        <v>47416</v>
      </c>
      <c r="T1571" t="s">
        <v>49023</v>
      </c>
      <c r="U1571" t="s">
        <v>50965</v>
      </c>
      <c r="V1571" t="s">
        <v>62827</v>
      </c>
      <c r="W1571" t="s">
        <v>43707</v>
      </c>
      <c r="X1571" t="s">
        <v>47306</v>
      </c>
    </row>
    <row r="1572" spans="1:24">
      <c r="A1572">
        <f>HYPERLINK("https://www.philgeps.gov.ph/GEPSNONPILOT/Tender/SplashBidNoticeAbstractUI.aspx?menuIndex=3&amp;refID=7199346&amp;Result=3","7199346")</f>
        <v>0</v>
      </c>
      <c r="B1572" t="s">
        <v>695</v>
      </c>
      <c r="C1572" t="s">
        <v>5378</v>
      </c>
      <c r="D1572" t="s">
        <v>19018</v>
      </c>
      <c r="E1572" t="s">
        <v>20536</v>
      </c>
      <c r="F1572" t="s">
        <v>32606</v>
      </c>
      <c r="G1572" t="s">
        <v>32614</v>
      </c>
      <c r="H1572" t="s">
        <v>14201</v>
      </c>
      <c r="I1572" t="s">
        <v>32629</v>
      </c>
      <c r="J1572" t="s">
        <v>32981</v>
      </c>
      <c r="K1572" t="s">
        <v>42624</v>
      </c>
      <c r="M1572" t="s">
        <v>43616</v>
      </c>
      <c r="N1572" t="s">
        <v>47304</v>
      </c>
      <c r="O1572" t="s">
        <v>47305</v>
      </c>
      <c r="P1572">
        <v>0</v>
      </c>
      <c r="Q1572">
        <v>0</v>
      </c>
      <c r="R1572" t="s">
        <v>47307</v>
      </c>
      <c r="S1572" t="s">
        <v>47416</v>
      </c>
      <c r="T1572" t="s">
        <v>48988</v>
      </c>
      <c r="U1572" t="s">
        <v>50769</v>
      </c>
      <c r="W1572" t="s">
        <v>43616</v>
      </c>
      <c r="X1572" t="s">
        <v>47306</v>
      </c>
    </row>
    <row r="1573" spans="1:24">
      <c r="A1573">
        <f>HYPERLINK("https://www.philgeps.gov.ph/GEPSNONPILOT/Tender/SplashBidNoticeAbstractUI.aspx?menuIndex=3&amp;refID=7199309&amp;Result=3","7199309")</f>
        <v>0</v>
      </c>
      <c r="B1573" t="s">
        <v>778</v>
      </c>
      <c r="C1573" t="s">
        <v>5379</v>
      </c>
      <c r="D1573" t="s">
        <v>19012</v>
      </c>
      <c r="E1573" t="s">
        <v>19430</v>
      </c>
      <c r="F1573" t="s">
        <v>32606</v>
      </c>
      <c r="G1573" t="s">
        <v>32613</v>
      </c>
      <c r="H1573" t="s">
        <v>14201</v>
      </c>
      <c r="I1573" t="s">
        <v>32631</v>
      </c>
      <c r="J1573" t="s">
        <v>33928</v>
      </c>
      <c r="K1573" t="s">
        <v>42623</v>
      </c>
      <c r="M1573" t="s">
        <v>43708</v>
      </c>
      <c r="N1573" t="s">
        <v>47304</v>
      </c>
      <c r="O1573" t="s">
        <v>47305</v>
      </c>
      <c r="P1573">
        <v>0</v>
      </c>
      <c r="Q1573">
        <v>0</v>
      </c>
      <c r="R1573" t="s">
        <v>47307</v>
      </c>
      <c r="S1573" t="s">
        <v>47416</v>
      </c>
      <c r="T1573" t="s">
        <v>49084</v>
      </c>
      <c r="U1573" t="s">
        <v>50966</v>
      </c>
      <c r="W1573" t="s">
        <v>43708</v>
      </c>
      <c r="X1573" t="s">
        <v>47306</v>
      </c>
    </row>
    <row r="1574" spans="1:24">
      <c r="A1574">
        <f>HYPERLINK("https://www.philgeps.gov.ph/GEPSNONPILOT/Tender/SplashBidNoticeAbstractUI.aspx?menuIndex=3&amp;refID=7199345&amp;Result=3","7199345")</f>
        <v>0</v>
      </c>
      <c r="B1574" t="s">
        <v>741</v>
      </c>
      <c r="C1574" t="s">
        <v>5380</v>
      </c>
      <c r="D1574" t="s">
        <v>19044</v>
      </c>
      <c r="E1574" t="s">
        <v>20537</v>
      </c>
      <c r="F1574" t="s">
        <v>32606</v>
      </c>
      <c r="G1574" t="s">
        <v>32614</v>
      </c>
      <c r="H1574" t="s">
        <v>14201</v>
      </c>
      <c r="I1574" t="s">
        <v>6931</v>
      </c>
      <c r="J1574" t="s">
        <v>33929</v>
      </c>
      <c r="K1574" t="s">
        <v>42631</v>
      </c>
      <c r="M1574" t="s">
        <v>43664</v>
      </c>
      <c r="N1574" t="s">
        <v>47304</v>
      </c>
      <c r="O1574" t="s">
        <v>47305</v>
      </c>
      <c r="P1574">
        <v>0</v>
      </c>
      <c r="Q1574">
        <v>0</v>
      </c>
      <c r="R1574" t="s">
        <v>47307</v>
      </c>
      <c r="S1574" t="s">
        <v>47416</v>
      </c>
      <c r="T1574" t="s">
        <v>49002</v>
      </c>
      <c r="U1574" t="s">
        <v>50967</v>
      </c>
      <c r="W1574" t="s">
        <v>43664</v>
      </c>
      <c r="X1574" t="s">
        <v>47306</v>
      </c>
    </row>
    <row r="1575" spans="1:24">
      <c r="A1575">
        <f>HYPERLINK("https://www.philgeps.gov.ph/GEPSNONPILOT/Tender/SplashBidNoticeAbstractUI.aspx?menuIndex=3&amp;refID=7199344&amp;Result=3","7199344")</f>
        <v>0</v>
      </c>
      <c r="B1575" t="s">
        <v>779</v>
      </c>
      <c r="C1575" t="s">
        <v>5381</v>
      </c>
      <c r="D1575" t="s">
        <v>19041</v>
      </c>
      <c r="E1575" t="s">
        <v>20538</v>
      </c>
      <c r="F1575" t="s">
        <v>32606</v>
      </c>
      <c r="G1575" t="s">
        <v>32613</v>
      </c>
      <c r="H1575" t="s">
        <v>32623</v>
      </c>
      <c r="I1575" t="s">
        <v>32649</v>
      </c>
      <c r="J1575" t="s">
        <v>33930</v>
      </c>
      <c r="K1575" t="s">
        <v>42636</v>
      </c>
      <c r="M1575" t="s">
        <v>43709</v>
      </c>
      <c r="N1575" t="s">
        <v>47304</v>
      </c>
      <c r="O1575" t="s">
        <v>47305</v>
      </c>
      <c r="P1575">
        <v>0</v>
      </c>
      <c r="Q1575">
        <v>0</v>
      </c>
      <c r="R1575" t="s">
        <v>47307</v>
      </c>
      <c r="S1575" t="s">
        <v>47416</v>
      </c>
      <c r="T1575" t="s">
        <v>49032</v>
      </c>
      <c r="U1575" t="s">
        <v>50968</v>
      </c>
      <c r="W1575" t="s">
        <v>44883</v>
      </c>
      <c r="X1575" t="s">
        <v>47306</v>
      </c>
    </row>
    <row r="1576" spans="1:24">
      <c r="A1576">
        <f>HYPERLINK("https://www.philgeps.gov.ph/GEPSNONPILOT/Tender/SplashBidNoticeAbstractUI.aspx?menuIndex=3&amp;refID=7199343&amp;Result=3","7199343")</f>
        <v>0</v>
      </c>
      <c r="B1576" t="s">
        <v>780</v>
      </c>
      <c r="C1576" t="s">
        <v>5382</v>
      </c>
      <c r="D1576" t="s">
        <v>18993</v>
      </c>
      <c r="E1576" t="s">
        <v>20539</v>
      </c>
      <c r="F1576" t="s">
        <v>32606</v>
      </c>
      <c r="G1576" t="s">
        <v>32613</v>
      </c>
      <c r="H1576" t="s">
        <v>14201</v>
      </c>
      <c r="I1576" t="s">
        <v>6298</v>
      </c>
      <c r="J1576" t="s">
        <v>33931</v>
      </c>
      <c r="K1576" t="s">
        <v>42632</v>
      </c>
      <c r="M1576" t="s">
        <v>43710</v>
      </c>
      <c r="N1576" t="s">
        <v>47304</v>
      </c>
      <c r="O1576" t="s">
        <v>47305</v>
      </c>
      <c r="P1576">
        <v>0</v>
      </c>
      <c r="Q1576">
        <v>0</v>
      </c>
      <c r="R1576" t="s">
        <v>47307</v>
      </c>
      <c r="S1576" t="s">
        <v>47416</v>
      </c>
      <c r="T1576" t="s">
        <v>48971</v>
      </c>
      <c r="U1576" t="s">
        <v>50969</v>
      </c>
      <c r="W1576" t="s">
        <v>43710</v>
      </c>
      <c r="X1576" t="s">
        <v>47306</v>
      </c>
    </row>
    <row r="1577" spans="1:24">
      <c r="A1577">
        <f>HYPERLINK("https://www.philgeps.gov.ph/GEPSNONPILOT/Tender/SplashBidNoticeAbstractUI.aspx?menuIndex=3&amp;refID=7199342&amp;Result=3","7199342")</f>
        <v>0</v>
      </c>
      <c r="B1577" t="s">
        <v>698</v>
      </c>
      <c r="C1577" t="s">
        <v>5383</v>
      </c>
      <c r="D1577" t="s">
        <v>19040</v>
      </c>
      <c r="E1577" t="s">
        <v>19863</v>
      </c>
      <c r="F1577" t="s">
        <v>32606</v>
      </c>
      <c r="G1577" t="s">
        <v>32614</v>
      </c>
      <c r="H1577" t="s">
        <v>14201</v>
      </c>
      <c r="I1577" t="s">
        <v>32640</v>
      </c>
      <c r="J1577" t="s">
        <v>33932</v>
      </c>
      <c r="K1577" t="s">
        <v>42663</v>
      </c>
      <c r="M1577" t="s">
        <v>43619</v>
      </c>
      <c r="N1577" t="s">
        <v>47304</v>
      </c>
      <c r="O1577" t="s">
        <v>47305</v>
      </c>
      <c r="P1577">
        <v>0</v>
      </c>
      <c r="Q1577">
        <v>0</v>
      </c>
      <c r="R1577" t="s">
        <v>47307</v>
      </c>
      <c r="S1577" t="s">
        <v>47416</v>
      </c>
      <c r="T1577" t="s">
        <v>49187</v>
      </c>
      <c r="U1577" t="s">
        <v>50970</v>
      </c>
      <c r="W1577" t="s">
        <v>43619</v>
      </c>
      <c r="X1577" t="s">
        <v>47306</v>
      </c>
    </row>
    <row r="1578" spans="1:24">
      <c r="A1578">
        <f>HYPERLINK("https://www.philgeps.gov.ph/GEPSNONPILOT/Tender/SplashBidNoticeAbstractUI.aspx?menuIndex=3&amp;refID=7199341&amp;Result=3","7199341")</f>
        <v>0</v>
      </c>
      <c r="B1578" t="s">
        <v>762</v>
      </c>
      <c r="C1578" t="s">
        <v>5384</v>
      </c>
      <c r="D1578" t="s">
        <v>18989</v>
      </c>
      <c r="E1578" t="s">
        <v>20540</v>
      </c>
      <c r="F1578" t="s">
        <v>32606</v>
      </c>
      <c r="G1578" t="s">
        <v>32614</v>
      </c>
      <c r="H1578" t="s">
        <v>32623</v>
      </c>
      <c r="I1578" t="s">
        <v>17648</v>
      </c>
      <c r="J1578" t="s">
        <v>32789</v>
      </c>
      <c r="K1578" t="s">
        <v>42624</v>
      </c>
      <c r="M1578" t="s">
        <v>43686</v>
      </c>
      <c r="N1578" t="s">
        <v>47304</v>
      </c>
      <c r="O1578" t="s">
        <v>47305</v>
      </c>
      <c r="P1578">
        <v>0</v>
      </c>
      <c r="Q1578">
        <v>0</v>
      </c>
      <c r="R1578" t="s">
        <v>47307</v>
      </c>
      <c r="S1578" t="s">
        <v>47416</v>
      </c>
      <c r="T1578" t="s">
        <v>48987</v>
      </c>
      <c r="U1578" t="s">
        <v>50971</v>
      </c>
      <c r="W1578" t="s">
        <v>43686</v>
      </c>
      <c r="X1578" t="s">
        <v>47306</v>
      </c>
    </row>
    <row r="1579" spans="1:24">
      <c r="A1579">
        <f>HYPERLINK("https://www.philgeps.gov.ph/GEPSNONPILOT/Tender/SplashBidNoticeAbstractUI.aspx?menuIndex=3&amp;refID=7199340&amp;Result=3","7199340")</f>
        <v>0</v>
      </c>
      <c r="B1579" t="s">
        <v>781</v>
      </c>
      <c r="C1579" t="s">
        <v>5385</v>
      </c>
      <c r="E1579" t="s">
        <v>20541</v>
      </c>
      <c r="F1579" t="s">
        <v>32606</v>
      </c>
      <c r="G1579" t="s">
        <v>32614</v>
      </c>
      <c r="H1579" t="s">
        <v>14201</v>
      </c>
      <c r="I1579" t="s">
        <v>7577</v>
      </c>
      <c r="J1579" t="s">
        <v>33933</v>
      </c>
      <c r="K1579" t="s">
        <v>42624</v>
      </c>
      <c r="M1579" t="s">
        <v>43711</v>
      </c>
      <c r="N1579" t="s">
        <v>47304</v>
      </c>
      <c r="O1579" t="s">
        <v>47305</v>
      </c>
      <c r="P1579">
        <v>0</v>
      </c>
      <c r="Q1579">
        <v>0</v>
      </c>
      <c r="R1579" t="s">
        <v>47307</v>
      </c>
      <c r="S1579" t="s">
        <v>47416</v>
      </c>
      <c r="T1579" t="s">
        <v>49100</v>
      </c>
      <c r="U1579" t="s">
        <v>50972</v>
      </c>
      <c r="V1579" t="s">
        <v>62828</v>
      </c>
      <c r="W1579" t="s">
        <v>43711</v>
      </c>
      <c r="X1579" t="s">
        <v>47306</v>
      </c>
    </row>
    <row r="1580" spans="1:24">
      <c r="A1580">
        <f>HYPERLINK("https://www.philgeps.gov.ph/GEPSNONPILOT/Tender/SplashBidNoticeAbstractUI.aspx?menuIndex=3&amp;refID=7199339&amp;Result=3","7199339")</f>
        <v>0</v>
      </c>
      <c r="B1580" t="s">
        <v>745</v>
      </c>
      <c r="C1580" t="s">
        <v>5386</v>
      </c>
      <c r="D1580" t="s">
        <v>19043</v>
      </c>
      <c r="E1580" t="s">
        <v>20542</v>
      </c>
      <c r="F1580" t="s">
        <v>32606</v>
      </c>
      <c r="G1580" t="s">
        <v>32615</v>
      </c>
      <c r="H1580" t="s">
        <v>14201</v>
      </c>
      <c r="I1580" t="s">
        <v>4678</v>
      </c>
      <c r="J1580" t="s">
        <v>33526</v>
      </c>
      <c r="K1580" t="s">
        <v>42622</v>
      </c>
      <c r="M1580" t="s">
        <v>43668</v>
      </c>
      <c r="N1580" t="s">
        <v>47304</v>
      </c>
      <c r="O1580" t="s">
        <v>47305</v>
      </c>
      <c r="P1580">
        <v>0</v>
      </c>
      <c r="Q1580">
        <v>0</v>
      </c>
      <c r="R1580" t="s">
        <v>47307</v>
      </c>
      <c r="S1580" t="s">
        <v>47416</v>
      </c>
      <c r="T1580" t="s">
        <v>49180</v>
      </c>
      <c r="U1580" t="s">
        <v>50973</v>
      </c>
      <c r="W1580" t="s">
        <v>43668</v>
      </c>
      <c r="X1580" t="s">
        <v>47306</v>
      </c>
    </row>
    <row r="1581" spans="1:24">
      <c r="A1581">
        <f>HYPERLINK("https://www.philgeps.gov.ph/GEPSNONPILOT/Tender/SplashBidNoticeAbstractUI.aspx?menuIndex=3&amp;refID=7199337&amp;Result=3","7199337")</f>
        <v>0</v>
      </c>
      <c r="B1581" t="s">
        <v>280</v>
      </c>
      <c r="C1581" t="s">
        <v>5387</v>
      </c>
      <c r="D1581" t="s">
        <v>19028</v>
      </c>
      <c r="E1581" t="s">
        <v>5387</v>
      </c>
      <c r="F1581" t="s">
        <v>32606</v>
      </c>
      <c r="G1581" t="s">
        <v>32614</v>
      </c>
      <c r="H1581" t="s">
        <v>14201</v>
      </c>
      <c r="I1581" t="s">
        <v>4112</v>
      </c>
      <c r="J1581" t="s">
        <v>33608</v>
      </c>
      <c r="K1581" t="s">
        <v>42631</v>
      </c>
      <c r="M1581" t="s">
        <v>43712</v>
      </c>
      <c r="N1581" t="s">
        <v>47304</v>
      </c>
      <c r="O1581" t="s">
        <v>47305</v>
      </c>
      <c r="P1581">
        <v>0</v>
      </c>
      <c r="Q1581">
        <v>0</v>
      </c>
      <c r="R1581" t="s">
        <v>47307</v>
      </c>
      <c r="S1581" t="s">
        <v>47416</v>
      </c>
      <c r="T1581" t="s">
        <v>49023</v>
      </c>
      <c r="U1581" t="s">
        <v>50974</v>
      </c>
      <c r="W1581" t="s">
        <v>43712</v>
      </c>
      <c r="X1581" t="s">
        <v>47306</v>
      </c>
    </row>
    <row r="1582" spans="1:24">
      <c r="A1582">
        <f>HYPERLINK("https://www.philgeps.gov.ph/GEPSNONPILOT/Tender/SplashBidNoticeAbstractUI.aspx?menuIndex=3&amp;refID=7199336&amp;Result=3","7199336")</f>
        <v>0</v>
      </c>
      <c r="B1582" t="s">
        <v>545</v>
      </c>
      <c r="C1582" t="s">
        <v>5388</v>
      </c>
      <c r="D1582" t="s">
        <v>18988</v>
      </c>
      <c r="E1582" t="s">
        <v>19775</v>
      </c>
      <c r="F1582" t="s">
        <v>32606</v>
      </c>
      <c r="G1582" t="s">
        <v>32613</v>
      </c>
      <c r="H1582" t="s">
        <v>14201</v>
      </c>
      <c r="I1582" t="s">
        <v>32640</v>
      </c>
      <c r="J1582" t="s">
        <v>33934</v>
      </c>
      <c r="K1582" t="s">
        <v>42623</v>
      </c>
      <c r="M1582" t="s">
        <v>43459</v>
      </c>
      <c r="N1582" t="s">
        <v>47304</v>
      </c>
      <c r="O1582" t="s">
        <v>47305</v>
      </c>
      <c r="P1582">
        <v>0</v>
      </c>
      <c r="Q1582">
        <v>0</v>
      </c>
      <c r="R1582" t="s">
        <v>47307</v>
      </c>
      <c r="S1582" t="s">
        <v>47416</v>
      </c>
      <c r="T1582" t="s">
        <v>48995</v>
      </c>
      <c r="U1582" t="s">
        <v>50975</v>
      </c>
      <c r="W1582" t="s">
        <v>43459</v>
      </c>
      <c r="X1582" t="s">
        <v>47306</v>
      </c>
    </row>
    <row r="1583" spans="1:24">
      <c r="A1583">
        <f>HYPERLINK("https://www.philgeps.gov.ph/GEPSNONPILOT/Tender/SplashBidNoticeAbstractUI.aspx?menuIndex=3&amp;refID=7199335&amp;Result=3","7199335")</f>
        <v>0</v>
      </c>
      <c r="B1583" t="s">
        <v>782</v>
      </c>
      <c r="C1583" t="s">
        <v>5389</v>
      </c>
      <c r="D1583" t="s">
        <v>19031</v>
      </c>
      <c r="E1583" t="s">
        <v>20543</v>
      </c>
      <c r="F1583" t="s">
        <v>32606</v>
      </c>
      <c r="G1583" t="s">
        <v>32613</v>
      </c>
      <c r="H1583" t="s">
        <v>14201</v>
      </c>
      <c r="I1583" t="s">
        <v>4112</v>
      </c>
      <c r="J1583" t="s">
        <v>33935</v>
      </c>
      <c r="K1583" t="s">
        <v>42630</v>
      </c>
      <c r="L1583" t="s">
        <v>782</v>
      </c>
      <c r="M1583" t="s">
        <v>43713</v>
      </c>
      <c r="N1583" t="s">
        <v>47304</v>
      </c>
      <c r="O1583" t="s">
        <v>47305</v>
      </c>
      <c r="P1583">
        <v>0</v>
      </c>
      <c r="Q1583">
        <v>0</v>
      </c>
      <c r="R1583" t="s">
        <v>47307</v>
      </c>
      <c r="S1583" t="s">
        <v>47416</v>
      </c>
      <c r="T1583" t="s">
        <v>49057</v>
      </c>
      <c r="U1583" t="s">
        <v>50976</v>
      </c>
      <c r="V1583" t="s">
        <v>62829</v>
      </c>
      <c r="W1583" t="s">
        <v>43713</v>
      </c>
      <c r="X1583" t="s">
        <v>47306</v>
      </c>
    </row>
    <row r="1584" spans="1:24">
      <c r="A1584">
        <f>HYPERLINK("https://www.philgeps.gov.ph/GEPSNONPILOT/Tender/SplashBidNoticeAbstractUI.aspx?menuIndex=3&amp;refID=7199333&amp;Result=3","7199333")</f>
        <v>0</v>
      </c>
      <c r="B1584" t="s">
        <v>612</v>
      </c>
      <c r="C1584" t="s">
        <v>5390</v>
      </c>
      <c r="D1584" t="s">
        <v>18993</v>
      </c>
      <c r="E1584" t="s">
        <v>20544</v>
      </c>
      <c r="F1584" t="s">
        <v>32606</v>
      </c>
      <c r="G1584" t="s">
        <v>32613</v>
      </c>
      <c r="H1584" t="s">
        <v>14201</v>
      </c>
      <c r="I1584" t="s">
        <v>6298</v>
      </c>
      <c r="J1584" t="s">
        <v>33936</v>
      </c>
      <c r="K1584" t="s">
        <v>42631</v>
      </c>
      <c r="M1584" t="s">
        <v>43530</v>
      </c>
      <c r="N1584" t="s">
        <v>47304</v>
      </c>
      <c r="O1584" t="s">
        <v>47305</v>
      </c>
      <c r="P1584">
        <v>0</v>
      </c>
      <c r="Q1584">
        <v>0</v>
      </c>
      <c r="R1584" t="s">
        <v>47307</v>
      </c>
      <c r="S1584" t="s">
        <v>47416</v>
      </c>
      <c r="T1584" t="s">
        <v>49157</v>
      </c>
      <c r="U1584" t="s">
        <v>50977</v>
      </c>
      <c r="W1584" t="s">
        <v>43530</v>
      </c>
      <c r="X1584" t="s">
        <v>47306</v>
      </c>
    </row>
    <row r="1585" spans="1:24">
      <c r="A1585">
        <f>HYPERLINK("https://www.philgeps.gov.ph/GEPSNONPILOT/Tender/SplashBidNoticeAbstractUI.aspx?menuIndex=3&amp;refID=7199313&amp;Result=3","7199313")</f>
        <v>0</v>
      </c>
      <c r="B1585" t="s">
        <v>783</v>
      </c>
      <c r="C1585" t="s">
        <v>4290</v>
      </c>
      <c r="D1585" t="s">
        <v>19005</v>
      </c>
      <c r="E1585" t="s">
        <v>20545</v>
      </c>
      <c r="F1585" t="s">
        <v>32606</v>
      </c>
      <c r="G1585" t="s">
        <v>32613</v>
      </c>
      <c r="H1585" t="s">
        <v>14201</v>
      </c>
      <c r="I1585" t="s">
        <v>6298</v>
      </c>
      <c r="J1585" t="s">
        <v>33937</v>
      </c>
      <c r="K1585" t="s">
        <v>42623</v>
      </c>
      <c r="M1585" t="s">
        <v>43714</v>
      </c>
      <c r="N1585" t="s">
        <v>47304</v>
      </c>
      <c r="O1585" t="s">
        <v>47305</v>
      </c>
      <c r="P1585">
        <v>0</v>
      </c>
      <c r="Q1585">
        <v>0</v>
      </c>
      <c r="R1585" t="s">
        <v>47307</v>
      </c>
      <c r="S1585" t="s">
        <v>47416</v>
      </c>
      <c r="T1585" t="s">
        <v>48996</v>
      </c>
      <c r="U1585" t="s">
        <v>49930</v>
      </c>
      <c r="W1585" t="s">
        <v>43714</v>
      </c>
      <c r="X1585" t="s">
        <v>47306</v>
      </c>
    </row>
    <row r="1586" spans="1:24">
      <c r="A1586">
        <f>HYPERLINK("https://www.philgeps.gov.ph/GEPSNONPILOT/Tender/SplashBidNoticeAbstractUI.aspx?menuIndex=3&amp;refID=7199331&amp;Result=3","7199331")</f>
        <v>0</v>
      </c>
      <c r="B1586" t="s">
        <v>682</v>
      </c>
      <c r="C1586" t="s">
        <v>5391</v>
      </c>
      <c r="D1586" t="s">
        <v>19039</v>
      </c>
      <c r="E1586" t="s">
        <v>20546</v>
      </c>
      <c r="F1586" t="s">
        <v>32606</v>
      </c>
      <c r="G1586" t="s">
        <v>32614</v>
      </c>
      <c r="H1586" t="s">
        <v>14201</v>
      </c>
      <c r="I1586" t="s">
        <v>7677</v>
      </c>
      <c r="J1586" t="s">
        <v>33938</v>
      </c>
      <c r="K1586" t="s">
        <v>42623</v>
      </c>
      <c r="M1586" t="s">
        <v>43602</v>
      </c>
      <c r="N1586" t="s">
        <v>47304</v>
      </c>
      <c r="O1586" t="s">
        <v>47305</v>
      </c>
      <c r="P1586">
        <v>0</v>
      </c>
      <c r="Q1586">
        <v>0</v>
      </c>
      <c r="R1586" t="s">
        <v>47307</v>
      </c>
      <c r="S1586" t="s">
        <v>47416</v>
      </c>
      <c r="T1586" t="s">
        <v>49023</v>
      </c>
      <c r="U1586" t="s">
        <v>50809</v>
      </c>
      <c r="W1586" t="s">
        <v>43602</v>
      </c>
      <c r="X1586" t="s">
        <v>47306</v>
      </c>
    </row>
    <row r="1587" spans="1:24">
      <c r="A1587">
        <f>HYPERLINK("https://www.philgeps.gov.ph/GEPSNONPILOT/Tender/SplashBidNoticeAbstractUI.aspx?menuIndex=3&amp;refID=7199330&amp;Result=3","7199330")</f>
        <v>0</v>
      </c>
      <c r="B1587" t="s">
        <v>726</v>
      </c>
      <c r="C1587" t="s">
        <v>5392</v>
      </c>
      <c r="D1587" t="s">
        <v>19009</v>
      </c>
      <c r="E1587" t="s">
        <v>20547</v>
      </c>
      <c r="F1587" t="s">
        <v>32606</v>
      </c>
      <c r="G1587" t="s">
        <v>32615</v>
      </c>
      <c r="H1587" t="s">
        <v>14201</v>
      </c>
      <c r="I1587" t="s">
        <v>6993</v>
      </c>
      <c r="J1587" t="s">
        <v>33939</v>
      </c>
      <c r="K1587" t="s">
        <v>42623</v>
      </c>
      <c r="M1587" t="s">
        <v>43648</v>
      </c>
      <c r="N1587" t="s">
        <v>47304</v>
      </c>
      <c r="O1587" t="s">
        <v>47305</v>
      </c>
      <c r="P1587">
        <v>0</v>
      </c>
      <c r="Q1587">
        <v>0</v>
      </c>
      <c r="R1587" t="s">
        <v>47307</v>
      </c>
      <c r="S1587" t="s">
        <v>47416</v>
      </c>
      <c r="T1587" t="s">
        <v>49060</v>
      </c>
      <c r="U1587" t="s">
        <v>50978</v>
      </c>
      <c r="V1587" t="s">
        <v>62814</v>
      </c>
      <c r="W1587" t="s">
        <v>43648</v>
      </c>
      <c r="X1587" t="s">
        <v>47306</v>
      </c>
    </row>
    <row r="1588" spans="1:24">
      <c r="A1588">
        <f>HYPERLINK("https://www.philgeps.gov.ph/GEPSNONPILOT/Tender/SplashBidNoticeAbstractUI.aspx?menuIndex=3&amp;refID=7199286&amp;Result=3","7199286")</f>
        <v>0</v>
      </c>
      <c r="B1588" t="s">
        <v>466</v>
      </c>
      <c r="C1588" t="s">
        <v>5393</v>
      </c>
      <c r="D1588" t="s">
        <v>19022</v>
      </c>
      <c r="E1588" t="s">
        <v>20548</v>
      </c>
      <c r="F1588" t="s">
        <v>32606</v>
      </c>
      <c r="G1588" t="s">
        <v>32613</v>
      </c>
      <c r="H1588" t="s">
        <v>14201</v>
      </c>
      <c r="I1588" t="s">
        <v>7064</v>
      </c>
      <c r="J1588" t="s">
        <v>33940</v>
      </c>
      <c r="K1588" t="s">
        <v>42636</v>
      </c>
      <c r="M1588" t="s">
        <v>43377</v>
      </c>
      <c r="N1588" t="s">
        <v>47304</v>
      </c>
      <c r="O1588" t="s">
        <v>47305</v>
      </c>
      <c r="P1588">
        <v>0</v>
      </c>
      <c r="Q1588">
        <v>2</v>
      </c>
      <c r="R1588" t="s">
        <v>47307</v>
      </c>
      <c r="S1588" t="s">
        <v>47416</v>
      </c>
      <c r="T1588" t="s">
        <v>49133</v>
      </c>
      <c r="U1588" t="s">
        <v>50979</v>
      </c>
      <c r="W1588" t="s">
        <v>43377</v>
      </c>
      <c r="X1588" t="s">
        <v>47306</v>
      </c>
    </row>
    <row r="1589" spans="1:24">
      <c r="A1589">
        <f>HYPERLINK("https://www.philgeps.gov.ph/GEPSNONPILOT/Tender/SplashBidNoticeAbstractUI.aspx?menuIndex=3&amp;refID=7198758&amp;Result=3","7198758")</f>
        <v>0</v>
      </c>
      <c r="B1589" t="s">
        <v>784</v>
      </c>
      <c r="C1589" t="s">
        <v>4459</v>
      </c>
      <c r="D1589" t="s">
        <v>19007</v>
      </c>
      <c r="E1589" t="s">
        <v>20549</v>
      </c>
      <c r="F1589" t="s">
        <v>32606</v>
      </c>
      <c r="G1589" t="s">
        <v>32614</v>
      </c>
      <c r="H1589" t="s">
        <v>14201</v>
      </c>
      <c r="I1589" t="s">
        <v>4112</v>
      </c>
      <c r="J1589" t="s">
        <v>33941</v>
      </c>
      <c r="K1589" t="s">
        <v>42623</v>
      </c>
      <c r="M1589" t="s">
        <v>43715</v>
      </c>
      <c r="N1589" t="s">
        <v>47304</v>
      </c>
      <c r="O1589" t="s">
        <v>47305</v>
      </c>
      <c r="P1589">
        <v>0</v>
      </c>
      <c r="Q1589">
        <v>0</v>
      </c>
      <c r="R1589" t="s">
        <v>47307</v>
      </c>
      <c r="S1589" t="s">
        <v>47416</v>
      </c>
      <c r="T1589" t="s">
        <v>48974</v>
      </c>
      <c r="U1589" t="s">
        <v>50980</v>
      </c>
      <c r="W1589" t="s">
        <v>43715</v>
      </c>
      <c r="X1589" t="s">
        <v>47306</v>
      </c>
    </row>
    <row r="1590" spans="1:24">
      <c r="A1590">
        <f>HYPERLINK("https://www.philgeps.gov.ph/GEPSNONPILOT/Tender/SplashBidNoticeAbstractUI.aspx?menuIndex=3&amp;refID=7199349&amp;Result=3","7199349")</f>
        <v>0</v>
      </c>
      <c r="B1590" t="s">
        <v>304</v>
      </c>
      <c r="C1590" t="s">
        <v>5394</v>
      </c>
      <c r="D1590" t="s">
        <v>18994</v>
      </c>
      <c r="E1590" t="s">
        <v>20550</v>
      </c>
      <c r="F1590" t="s">
        <v>32606</v>
      </c>
      <c r="G1590" t="s">
        <v>32613</v>
      </c>
      <c r="H1590" t="s">
        <v>14201</v>
      </c>
      <c r="I1590" t="s">
        <v>6931</v>
      </c>
      <c r="J1590" t="s">
        <v>33942</v>
      </c>
      <c r="K1590" t="s">
        <v>42638</v>
      </c>
      <c r="M1590" t="s">
        <v>43206</v>
      </c>
      <c r="N1590" t="s">
        <v>47304</v>
      </c>
      <c r="O1590" t="s">
        <v>47305</v>
      </c>
      <c r="P1590">
        <v>0</v>
      </c>
      <c r="Q1590">
        <v>0</v>
      </c>
      <c r="R1590" t="s">
        <v>47307</v>
      </c>
      <c r="S1590" t="s">
        <v>47416</v>
      </c>
      <c r="T1590" t="s">
        <v>48995</v>
      </c>
      <c r="U1590" t="s">
        <v>50981</v>
      </c>
      <c r="V1590" t="s">
        <v>62720</v>
      </c>
      <c r="W1590" t="s">
        <v>43206</v>
      </c>
      <c r="X1590" t="s">
        <v>47306</v>
      </c>
    </row>
    <row r="1591" spans="1:24">
      <c r="A1591">
        <f>HYPERLINK("https://www.philgeps.gov.ph/GEPSNONPILOT/Tender/SplashBidNoticeAbstractUI.aspx?menuIndex=3&amp;refID=7198757&amp;Result=3","7198757")</f>
        <v>0</v>
      </c>
      <c r="B1591" t="s">
        <v>183</v>
      </c>
      <c r="C1591" t="s">
        <v>5395</v>
      </c>
      <c r="D1591" t="s">
        <v>19002</v>
      </c>
      <c r="E1591" t="s">
        <v>20551</v>
      </c>
      <c r="F1591" t="s">
        <v>32606</v>
      </c>
      <c r="G1591" t="s">
        <v>32613</v>
      </c>
      <c r="H1591" t="s">
        <v>14201</v>
      </c>
      <c r="I1591" t="s">
        <v>7577</v>
      </c>
      <c r="J1591" t="s">
        <v>32778</v>
      </c>
      <c r="K1591" t="s">
        <v>42631</v>
      </c>
      <c r="M1591" t="s">
        <v>43084</v>
      </c>
      <c r="N1591" t="s">
        <v>47304</v>
      </c>
      <c r="O1591" t="s">
        <v>47305</v>
      </c>
      <c r="P1591">
        <v>0</v>
      </c>
      <c r="Q1591">
        <v>0</v>
      </c>
      <c r="R1591" t="s">
        <v>47307</v>
      </c>
      <c r="S1591" t="s">
        <v>47416</v>
      </c>
      <c r="T1591" t="s">
        <v>48973</v>
      </c>
      <c r="U1591" t="s">
        <v>50982</v>
      </c>
      <c r="V1591" t="s">
        <v>62830</v>
      </c>
      <c r="W1591" t="s">
        <v>43084</v>
      </c>
      <c r="X1591" t="s">
        <v>47306</v>
      </c>
    </row>
    <row r="1592" spans="1:24">
      <c r="A1592">
        <f>HYPERLINK("https://www.philgeps.gov.ph/GEPSNONPILOT/Tender/SplashBidNoticeAbstractUI.aspx?menuIndex=3&amp;refID=7199334&amp;Result=3","7199334")</f>
        <v>0</v>
      </c>
      <c r="B1592" t="s">
        <v>219</v>
      </c>
      <c r="C1592" t="s">
        <v>5396</v>
      </c>
      <c r="D1592" t="s">
        <v>19050</v>
      </c>
      <c r="E1592" t="s">
        <v>20552</v>
      </c>
      <c r="F1592" t="s">
        <v>32606</v>
      </c>
      <c r="G1592" t="s">
        <v>32613</v>
      </c>
      <c r="H1592" t="s">
        <v>32623</v>
      </c>
      <c r="I1592" t="s">
        <v>17648</v>
      </c>
      <c r="J1592" t="s">
        <v>33943</v>
      </c>
      <c r="K1592" t="s">
        <v>42697</v>
      </c>
      <c r="M1592" t="s">
        <v>43120</v>
      </c>
      <c r="N1592" t="s">
        <v>47304</v>
      </c>
      <c r="O1592" t="s">
        <v>47305</v>
      </c>
      <c r="P1592">
        <v>0</v>
      </c>
      <c r="Q1592">
        <v>0</v>
      </c>
      <c r="R1592" t="s">
        <v>47307</v>
      </c>
      <c r="S1592" t="s">
        <v>47416</v>
      </c>
      <c r="T1592" t="s">
        <v>49066</v>
      </c>
      <c r="U1592" t="s">
        <v>50983</v>
      </c>
      <c r="W1592" t="s">
        <v>43120</v>
      </c>
      <c r="X1592" t="s">
        <v>47306</v>
      </c>
    </row>
    <row r="1593" spans="1:24">
      <c r="A1593">
        <f>HYPERLINK("https://www.philgeps.gov.ph/GEPSNONPILOT/Tender/SplashBidNoticeAbstractUI.aspx?menuIndex=3&amp;refID=7199332&amp;Result=3","7199332")</f>
        <v>0</v>
      </c>
      <c r="B1593" t="s">
        <v>464</v>
      </c>
      <c r="C1593" t="s">
        <v>5397</v>
      </c>
      <c r="D1593" t="s">
        <v>19044</v>
      </c>
      <c r="E1593" t="s">
        <v>20553</v>
      </c>
      <c r="F1593" t="s">
        <v>32606</v>
      </c>
      <c r="G1593" t="s">
        <v>32614</v>
      </c>
      <c r="H1593" t="s">
        <v>14201</v>
      </c>
      <c r="I1593" t="s">
        <v>4678</v>
      </c>
      <c r="J1593" t="s">
        <v>32949</v>
      </c>
      <c r="K1593" t="s">
        <v>42632</v>
      </c>
      <c r="M1593" t="s">
        <v>43374</v>
      </c>
      <c r="N1593" t="s">
        <v>47304</v>
      </c>
      <c r="O1593" t="s">
        <v>47305</v>
      </c>
      <c r="P1593">
        <v>0</v>
      </c>
      <c r="Q1593">
        <v>0</v>
      </c>
      <c r="R1593" t="s">
        <v>47307</v>
      </c>
      <c r="S1593" t="s">
        <v>47416</v>
      </c>
      <c r="T1593" t="s">
        <v>48986</v>
      </c>
      <c r="U1593" t="s">
        <v>50984</v>
      </c>
      <c r="W1593" t="s">
        <v>43374</v>
      </c>
      <c r="X1593" t="s">
        <v>47306</v>
      </c>
    </row>
    <row r="1594" spans="1:24">
      <c r="A1594">
        <f>HYPERLINK("https://www.philgeps.gov.ph/GEPSNONPILOT/Tender/SplashBidNoticeAbstractUI.aspx?menuIndex=3&amp;refID=7198733&amp;Result=3","7198733")</f>
        <v>0</v>
      </c>
      <c r="B1594" t="s">
        <v>387</v>
      </c>
      <c r="C1594" t="s">
        <v>5398</v>
      </c>
      <c r="D1594" t="s">
        <v>18988</v>
      </c>
      <c r="E1594" t="s">
        <v>20554</v>
      </c>
      <c r="F1594" t="s">
        <v>32606</v>
      </c>
      <c r="G1594" t="s">
        <v>32613</v>
      </c>
      <c r="H1594" t="s">
        <v>14201</v>
      </c>
      <c r="I1594" t="s">
        <v>4120</v>
      </c>
      <c r="J1594" t="s">
        <v>33944</v>
      </c>
      <c r="K1594" t="s">
        <v>42627</v>
      </c>
      <c r="M1594" t="s">
        <v>43290</v>
      </c>
      <c r="N1594" t="s">
        <v>47304</v>
      </c>
      <c r="O1594" t="s">
        <v>47305</v>
      </c>
      <c r="P1594">
        <v>0</v>
      </c>
      <c r="Q1594">
        <v>0</v>
      </c>
      <c r="R1594" t="s">
        <v>47307</v>
      </c>
      <c r="S1594" t="s">
        <v>47416</v>
      </c>
      <c r="T1594" t="s">
        <v>49103</v>
      </c>
      <c r="U1594" t="s">
        <v>50985</v>
      </c>
      <c r="W1594" t="s">
        <v>64431</v>
      </c>
      <c r="X1594" t="s">
        <v>47306</v>
      </c>
    </row>
    <row r="1595" spans="1:24">
      <c r="A1595">
        <f>HYPERLINK("https://www.philgeps.gov.ph/GEPSNONPILOT/Tender/SplashBidNoticeAbstractUI.aspx?menuIndex=3&amp;refID=7198682&amp;Result=3","7198682")</f>
        <v>0</v>
      </c>
      <c r="B1595" t="s">
        <v>196</v>
      </c>
      <c r="C1595" t="s">
        <v>5399</v>
      </c>
      <c r="D1595" t="s">
        <v>19027</v>
      </c>
      <c r="E1595" t="s">
        <v>20555</v>
      </c>
      <c r="F1595" t="s">
        <v>32607</v>
      </c>
      <c r="G1595" t="s">
        <v>32613</v>
      </c>
      <c r="H1595" t="s">
        <v>14201</v>
      </c>
      <c r="I1595" t="s">
        <v>7677</v>
      </c>
      <c r="J1595" t="s">
        <v>33945</v>
      </c>
      <c r="K1595" t="s">
        <v>42623</v>
      </c>
      <c r="M1595" t="s">
        <v>43097</v>
      </c>
      <c r="N1595" t="s">
        <v>47304</v>
      </c>
      <c r="O1595" t="s">
        <v>47305</v>
      </c>
      <c r="P1595">
        <v>0</v>
      </c>
      <c r="Q1595">
        <v>0</v>
      </c>
      <c r="R1595" t="s">
        <v>47307</v>
      </c>
      <c r="S1595" t="s">
        <v>47416</v>
      </c>
      <c r="T1595" t="s">
        <v>49146</v>
      </c>
      <c r="U1595" t="s">
        <v>50495</v>
      </c>
      <c r="W1595" t="s">
        <v>43097</v>
      </c>
      <c r="X1595" t="s">
        <v>47306</v>
      </c>
    </row>
    <row r="1596" spans="1:24">
      <c r="A1596">
        <f>HYPERLINK("https://www.philgeps.gov.ph/GEPSNONPILOT/Tender/SplashBidNoticeAbstractUI.aspx?menuIndex=3&amp;refID=7198754&amp;Result=3","7198754")</f>
        <v>0</v>
      </c>
      <c r="B1596" t="s">
        <v>581</v>
      </c>
      <c r="C1596" t="s">
        <v>5400</v>
      </c>
      <c r="D1596" t="s">
        <v>19036</v>
      </c>
      <c r="E1596" t="s">
        <v>20556</v>
      </c>
      <c r="F1596" t="s">
        <v>32606</v>
      </c>
      <c r="G1596" t="s">
        <v>32613</v>
      </c>
      <c r="H1596" t="s">
        <v>14201</v>
      </c>
      <c r="I1596" t="s">
        <v>9008</v>
      </c>
      <c r="J1596" t="s">
        <v>33946</v>
      </c>
      <c r="K1596" t="s">
        <v>42631</v>
      </c>
      <c r="M1596" t="s">
        <v>43496</v>
      </c>
      <c r="N1596" t="s">
        <v>47304</v>
      </c>
      <c r="O1596" t="s">
        <v>47305</v>
      </c>
      <c r="P1596">
        <v>0</v>
      </c>
      <c r="Q1596">
        <v>0</v>
      </c>
      <c r="R1596" t="s">
        <v>47307</v>
      </c>
      <c r="S1596" t="s">
        <v>47416</v>
      </c>
      <c r="T1596" t="s">
        <v>48992</v>
      </c>
      <c r="U1596" t="s">
        <v>50986</v>
      </c>
      <c r="W1596" t="s">
        <v>43496</v>
      </c>
      <c r="X1596" t="s">
        <v>47306</v>
      </c>
    </row>
    <row r="1597" spans="1:24">
      <c r="A1597">
        <f>HYPERLINK("https://www.philgeps.gov.ph/GEPSNONPILOT/Tender/SplashBidNoticeAbstractUI.aspx?menuIndex=3&amp;refID=7199295&amp;Result=3","7199295")</f>
        <v>0</v>
      </c>
      <c r="B1597" t="s">
        <v>662</v>
      </c>
      <c r="C1597" t="s">
        <v>5401</v>
      </c>
      <c r="D1597" t="s">
        <v>19023</v>
      </c>
      <c r="E1597" t="s">
        <v>20557</v>
      </c>
      <c r="F1597" t="s">
        <v>32606</v>
      </c>
      <c r="G1597" t="s">
        <v>32613</v>
      </c>
      <c r="H1597" t="s">
        <v>14201</v>
      </c>
      <c r="I1597" t="s">
        <v>32640</v>
      </c>
      <c r="J1597" t="s">
        <v>33947</v>
      </c>
      <c r="K1597" t="s">
        <v>42631</v>
      </c>
      <c r="M1597" t="s">
        <v>43582</v>
      </c>
      <c r="N1597" t="s">
        <v>47304</v>
      </c>
      <c r="O1597" t="s">
        <v>47305</v>
      </c>
      <c r="P1597">
        <v>0</v>
      </c>
      <c r="Q1597">
        <v>0</v>
      </c>
      <c r="R1597" t="s">
        <v>47307</v>
      </c>
      <c r="S1597" t="s">
        <v>47416</v>
      </c>
      <c r="T1597" t="s">
        <v>49188</v>
      </c>
      <c r="U1597" t="s">
        <v>50987</v>
      </c>
      <c r="W1597" t="s">
        <v>43582</v>
      </c>
      <c r="X1597" t="s">
        <v>47306</v>
      </c>
    </row>
    <row r="1598" spans="1:24">
      <c r="A1598">
        <f>HYPERLINK("https://www.philgeps.gov.ph/GEPSNONPILOT/Tender/SplashBidNoticeAbstractUI.aspx?menuIndex=3&amp;refID=7199356&amp;Result=3","7199356")</f>
        <v>0</v>
      </c>
      <c r="B1598" t="s">
        <v>785</v>
      </c>
      <c r="C1598" t="s">
        <v>5402</v>
      </c>
      <c r="D1598" t="s">
        <v>19029</v>
      </c>
      <c r="E1598" t="s">
        <v>20558</v>
      </c>
      <c r="F1598" t="s">
        <v>32606</v>
      </c>
      <c r="G1598" t="s">
        <v>32613</v>
      </c>
      <c r="H1598" t="s">
        <v>14201</v>
      </c>
      <c r="I1598" t="s">
        <v>32650</v>
      </c>
      <c r="J1598" t="s">
        <v>33016</v>
      </c>
      <c r="K1598" t="s">
        <v>42623</v>
      </c>
      <c r="M1598" t="s">
        <v>43716</v>
      </c>
      <c r="N1598" t="s">
        <v>47304</v>
      </c>
      <c r="O1598" t="s">
        <v>47305</v>
      </c>
      <c r="P1598">
        <v>0</v>
      </c>
      <c r="Q1598">
        <v>0</v>
      </c>
      <c r="R1598" t="s">
        <v>47307</v>
      </c>
      <c r="S1598" t="s">
        <v>47416</v>
      </c>
      <c r="T1598" t="s">
        <v>48971</v>
      </c>
      <c r="U1598" t="s">
        <v>50988</v>
      </c>
      <c r="W1598" t="s">
        <v>64447</v>
      </c>
      <c r="X1598" t="s">
        <v>47306</v>
      </c>
    </row>
    <row r="1599" spans="1:24">
      <c r="A1599">
        <f>HYPERLINK("https://www.philgeps.gov.ph/GEPSNONPILOT/Tender/SplashBidNoticeAbstractUI.aspx?menuIndex=3&amp;refID=7198734&amp;Result=3","7198734")</f>
        <v>0</v>
      </c>
      <c r="B1599" t="s">
        <v>567</v>
      </c>
      <c r="C1599" t="s">
        <v>5403</v>
      </c>
      <c r="E1599" t="s">
        <v>20559</v>
      </c>
      <c r="F1599" t="s">
        <v>32606</v>
      </c>
      <c r="G1599" t="s">
        <v>32619</v>
      </c>
      <c r="H1599" t="s">
        <v>14201</v>
      </c>
      <c r="I1599" t="s">
        <v>32633</v>
      </c>
      <c r="J1599" t="s">
        <v>33948</v>
      </c>
      <c r="K1599" t="s">
        <v>42624</v>
      </c>
      <c r="M1599" t="s">
        <v>43482</v>
      </c>
      <c r="N1599" t="s">
        <v>47304</v>
      </c>
      <c r="O1599" t="s">
        <v>47305</v>
      </c>
      <c r="P1599">
        <v>0</v>
      </c>
      <c r="Q1599">
        <v>0</v>
      </c>
      <c r="R1599" t="s">
        <v>47307</v>
      </c>
      <c r="S1599" t="s">
        <v>47416</v>
      </c>
      <c r="T1599" t="s">
        <v>48988</v>
      </c>
      <c r="U1599" t="s">
        <v>50989</v>
      </c>
      <c r="W1599" t="s">
        <v>43482</v>
      </c>
      <c r="X1599" t="s">
        <v>47306</v>
      </c>
    </row>
    <row r="1600" spans="1:24">
      <c r="A1600">
        <f>HYPERLINK("https://www.philgeps.gov.ph/GEPSNONPILOT/Tender/SplashBidNoticeAbstractUI.aspx?menuIndex=3&amp;refID=7198735&amp;Result=3","7198735")</f>
        <v>0</v>
      </c>
      <c r="B1600" t="s">
        <v>238</v>
      </c>
      <c r="C1600" t="s">
        <v>5404</v>
      </c>
      <c r="D1600" t="s">
        <v>18993</v>
      </c>
      <c r="E1600" t="s">
        <v>20560</v>
      </c>
      <c r="F1600" t="s">
        <v>32606</v>
      </c>
      <c r="G1600" t="s">
        <v>32619</v>
      </c>
      <c r="H1600" t="s">
        <v>14201</v>
      </c>
      <c r="I1600" t="s">
        <v>32683</v>
      </c>
      <c r="J1600" t="s">
        <v>33949</v>
      </c>
      <c r="K1600" t="s">
        <v>42622</v>
      </c>
      <c r="M1600" t="s">
        <v>43357</v>
      </c>
      <c r="N1600" t="s">
        <v>47304</v>
      </c>
      <c r="O1600" t="s">
        <v>47305</v>
      </c>
      <c r="P1600">
        <v>0</v>
      </c>
      <c r="Q1600">
        <v>0</v>
      </c>
      <c r="R1600" t="s">
        <v>47307</v>
      </c>
      <c r="S1600" t="s">
        <v>47416</v>
      </c>
      <c r="T1600" t="s">
        <v>49123</v>
      </c>
      <c r="U1600" t="s">
        <v>50577</v>
      </c>
      <c r="V1600" t="s">
        <v>62749</v>
      </c>
      <c r="W1600" t="s">
        <v>43357</v>
      </c>
      <c r="X1600" t="s">
        <v>47306</v>
      </c>
    </row>
    <row r="1601" spans="1:24">
      <c r="A1601">
        <f>HYPERLINK("https://www.philgeps.gov.ph/GEPSNONPILOT/Tender/SplashBidNoticeAbstractUI.aspx?menuIndex=3&amp;refID=7199369&amp;Result=3","7199369")</f>
        <v>0</v>
      </c>
      <c r="B1601" t="s">
        <v>786</v>
      </c>
      <c r="C1601" t="s">
        <v>5405</v>
      </c>
      <c r="D1601" t="s">
        <v>19046</v>
      </c>
      <c r="E1601" t="s">
        <v>20561</v>
      </c>
      <c r="F1601" t="s">
        <v>32606</v>
      </c>
      <c r="G1601" t="s">
        <v>32614</v>
      </c>
      <c r="H1601" t="s">
        <v>32624</v>
      </c>
      <c r="I1601" t="s">
        <v>32652</v>
      </c>
      <c r="J1601" t="s">
        <v>33950</v>
      </c>
      <c r="K1601" t="s">
        <v>42636</v>
      </c>
      <c r="M1601" t="s">
        <v>43717</v>
      </c>
      <c r="N1601" t="s">
        <v>47304</v>
      </c>
      <c r="O1601" t="s">
        <v>47305</v>
      </c>
      <c r="P1601">
        <v>0</v>
      </c>
      <c r="Q1601">
        <v>0</v>
      </c>
      <c r="R1601" t="s">
        <v>47307</v>
      </c>
      <c r="S1601" t="s">
        <v>47416</v>
      </c>
      <c r="T1601" t="s">
        <v>49107</v>
      </c>
      <c r="U1601" t="s">
        <v>50990</v>
      </c>
      <c r="W1601" t="s">
        <v>43717</v>
      </c>
      <c r="X1601" t="s">
        <v>47306</v>
      </c>
    </row>
    <row r="1602" spans="1:24">
      <c r="A1602">
        <f>HYPERLINK("https://www.philgeps.gov.ph/GEPSNONPILOT/Tender/SplashBidNoticeAbstractUI.aspx?menuIndex=3&amp;refID=7199368&amp;Result=3","7199368")</f>
        <v>0</v>
      </c>
      <c r="B1602" t="s">
        <v>464</v>
      </c>
      <c r="C1602" t="s">
        <v>5406</v>
      </c>
      <c r="D1602" t="s">
        <v>19044</v>
      </c>
      <c r="E1602" t="s">
        <v>20562</v>
      </c>
      <c r="F1602" t="s">
        <v>32606</v>
      </c>
      <c r="G1602" t="s">
        <v>32614</v>
      </c>
      <c r="H1602" t="s">
        <v>14201</v>
      </c>
      <c r="I1602" t="s">
        <v>32631</v>
      </c>
      <c r="J1602" t="s">
        <v>33951</v>
      </c>
      <c r="K1602" t="s">
        <v>42622</v>
      </c>
      <c r="M1602" t="s">
        <v>43374</v>
      </c>
      <c r="N1602" t="s">
        <v>47304</v>
      </c>
      <c r="O1602" t="s">
        <v>47305</v>
      </c>
      <c r="P1602">
        <v>0</v>
      </c>
      <c r="Q1602">
        <v>0</v>
      </c>
      <c r="R1602" t="s">
        <v>47307</v>
      </c>
      <c r="S1602" t="s">
        <v>47416</v>
      </c>
      <c r="T1602" t="s">
        <v>48986</v>
      </c>
      <c r="U1602" t="s">
        <v>50991</v>
      </c>
      <c r="W1602" t="s">
        <v>43374</v>
      </c>
      <c r="X1602" t="s">
        <v>47306</v>
      </c>
    </row>
    <row r="1603" spans="1:24">
      <c r="A1603">
        <f>HYPERLINK("https://www.philgeps.gov.ph/GEPSNONPILOT/Tender/SplashBidNoticeAbstractUI.aspx?menuIndex=3&amp;refID=7199367&amp;Result=3","7199367")</f>
        <v>0</v>
      </c>
      <c r="B1603" t="s">
        <v>540</v>
      </c>
      <c r="C1603" t="s">
        <v>5407</v>
      </c>
      <c r="D1603" t="s">
        <v>19001</v>
      </c>
      <c r="E1603" t="s">
        <v>20563</v>
      </c>
      <c r="F1603" t="s">
        <v>32606</v>
      </c>
      <c r="G1603" t="s">
        <v>32614</v>
      </c>
      <c r="H1603" t="s">
        <v>14201</v>
      </c>
      <c r="I1603" t="s">
        <v>32629</v>
      </c>
      <c r="J1603" t="s">
        <v>32914</v>
      </c>
      <c r="K1603" t="s">
        <v>42622</v>
      </c>
      <c r="M1603" t="s">
        <v>43454</v>
      </c>
      <c r="N1603" t="s">
        <v>47304</v>
      </c>
      <c r="O1603" t="s">
        <v>47305</v>
      </c>
      <c r="P1603">
        <v>0</v>
      </c>
      <c r="Q1603">
        <v>0</v>
      </c>
      <c r="R1603" t="s">
        <v>47307</v>
      </c>
      <c r="S1603" t="s">
        <v>47416</v>
      </c>
      <c r="T1603" t="s">
        <v>48986</v>
      </c>
      <c r="U1603" t="s">
        <v>50992</v>
      </c>
      <c r="W1603" t="s">
        <v>43454</v>
      </c>
      <c r="X1603" t="s">
        <v>47306</v>
      </c>
    </row>
    <row r="1604" spans="1:24">
      <c r="A1604">
        <f>HYPERLINK("https://www.philgeps.gov.ph/GEPSNONPILOT/Tender/SplashBidNoticeAbstractUI.aspx?menuIndex=3&amp;refID=7198756&amp;Result=3","7198756")</f>
        <v>0</v>
      </c>
      <c r="B1604" t="s">
        <v>599</v>
      </c>
      <c r="C1604" t="s">
        <v>5408</v>
      </c>
      <c r="D1604" t="s">
        <v>18994</v>
      </c>
      <c r="E1604" t="s">
        <v>20564</v>
      </c>
      <c r="F1604" t="s">
        <v>32606</v>
      </c>
      <c r="G1604" t="s">
        <v>32619</v>
      </c>
      <c r="H1604" t="s">
        <v>14201</v>
      </c>
      <c r="I1604" t="s">
        <v>4120</v>
      </c>
      <c r="J1604" t="s">
        <v>33952</v>
      </c>
      <c r="K1604" t="s">
        <v>42623</v>
      </c>
      <c r="M1604" t="s">
        <v>43514</v>
      </c>
      <c r="N1604" t="s">
        <v>47304</v>
      </c>
      <c r="O1604" t="s">
        <v>47305</v>
      </c>
      <c r="P1604">
        <v>0</v>
      </c>
      <c r="Q1604">
        <v>0</v>
      </c>
      <c r="R1604" t="s">
        <v>47307</v>
      </c>
      <c r="S1604" t="s">
        <v>47416</v>
      </c>
      <c r="T1604" t="s">
        <v>49053</v>
      </c>
      <c r="U1604" t="s">
        <v>50993</v>
      </c>
      <c r="W1604" t="s">
        <v>43514</v>
      </c>
      <c r="X1604" t="s">
        <v>47306</v>
      </c>
    </row>
    <row r="1605" spans="1:24">
      <c r="A1605">
        <f>HYPERLINK("https://www.philgeps.gov.ph/GEPSNONPILOT/Tender/SplashBidNoticeAbstractUI.aspx?menuIndex=3&amp;refID=7199365&amp;Result=3","7199365")</f>
        <v>0</v>
      </c>
      <c r="B1605" t="s">
        <v>715</v>
      </c>
      <c r="C1605" t="s">
        <v>5409</v>
      </c>
      <c r="D1605" t="s">
        <v>19006</v>
      </c>
      <c r="E1605" t="s">
        <v>5409</v>
      </c>
      <c r="F1605" t="s">
        <v>32606</v>
      </c>
      <c r="G1605" t="s">
        <v>32619</v>
      </c>
      <c r="H1605" t="s">
        <v>14201</v>
      </c>
      <c r="I1605" t="s">
        <v>7577</v>
      </c>
      <c r="J1605" t="s">
        <v>32765</v>
      </c>
      <c r="K1605" t="s">
        <v>42630</v>
      </c>
      <c r="M1605" t="s">
        <v>43636</v>
      </c>
      <c r="N1605" t="s">
        <v>47304</v>
      </c>
      <c r="O1605" t="s">
        <v>47305</v>
      </c>
      <c r="P1605">
        <v>0</v>
      </c>
      <c r="Q1605">
        <v>0</v>
      </c>
      <c r="R1605" t="s">
        <v>47307</v>
      </c>
      <c r="S1605" t="s">
        <v>47416</v>
      </c>
      <c r="T1605" t="s">
        <v>49162</v>
      </c>
      <c r="U1605" t="s">
        <v>50994</v>
      </c>
      <c r="W1605" t="s">
        <v>43636</v>
      </c>
      <c r="X1605" t="s">
        <v>47306</v>
      </c>
    </row>
    <row r="1606" spans="1:24">
      <c r="A1606">
        <f>HYPERLINK("https://www.philgeps.gov.ph/GEPSNONPILOT/Tender/SplashBidNoticeAbstractUI.aspx?menuIndex=3&amp;refID=7199362&amp;Result=3","7199362")</f>
        <v>0</v>
      </c>
      <c r="B1606" t="s">
        <v>682</v>
      </c>
      <c r="C1606" t="s">
        <v>5410</v>
      </c>
      <c r="D1606" t="s">
        <v>19039</v>
      </c>
      <c r="E1606" t="s">
        <v>20565</v>
      </c>
      <c r="F1606" t="s">
        <v>32606</v>
      </c>
      <c r="G1606" t="s">
        <v>32614</v>
      </c>
      <c r="H1606" t="s">
        <v>14201</v>
      </c>
      <c r="I1606" t="s">
        <v>4114</v>
      </c>
      <c r="J1606" t="s">
        <v>32778</v>
      </c>
      <c r="K1606" t="s">
        <v>42623</v>
      </c>
      <c r="M1606" t="s">
        <v>43602</v>
      </c>
      <c r="N1606" t="s">
        <v>47304</v>
      </c>
      <c r="O1606" t="s">
        <v>47305</v>
      </c>
      <c r="P1606">
        <v>0</v>
      </c>
      <c r="Q1606">
        <v>0</v>
      </c>
      <c r="R1606" t="s">
        <v>47307</v>
      </c>
      <c r="S1606" t="s">
        <v>47416</v>
      </c>
      <c r="T1606" t="s">
        <v>49023</v>
      </c>
      <c r="U1606" t="s">
        <v>50739</v>
      </c>
      <c r="W1606" t="s">
        <v>43602</v>
      </c>
      <c r="X1606" t="s">
        <v>47306</v>
      </c>
    </row>
    <row r="1607" spans="1:24">
      <c r="A1607">
        <f>HYPERLINK("https://www.philgeps.gov.ph/GEPSNONPILOT/Tender/SplashBidNoticeAbstractUI.aspx?menuIndex=3&amp;refID=7199361&amp;Result=3","7199361")</f>
        <v>0</v>
      </c>
      <c r="B1607" t="s">
        <v>768</v>
      </c>
      <c r="C1607" t="s">
        <v>5411</v>
      </c>
      <c r="D1607" t="s">
        <v>18993</v>
      </c>
      <c r="E1607" t="s">
        <v>20566</v>
      </c>
      <c r="F1607" t="s">
        <v>32606</v>
      </c>
      <c r="G1607" t="s">
        <v>32614</v>
      </c>
      <c r="H1607" t="s">
        <v>14201</v>
      </c>
      <c r="I1607" t="s">
        <v>32708</v>
      </c>
      <c r="J1607" t="s">
        <v>32943</v>
      </c>
      <c r="K1607" t="s">
        <v>42631</v>
      </c>
      <c r="M1607" t="s">
        <v>43694</v>
      </c>
      <c r="N1607" t="s">
        <v>47304</v>
      </c>
      <c r="O1607" t="s">
        <v>47305</v>
      </c>
      <c r="P1607">
        <v>0</v>
      </c>
      <c r="Q1607">
        <v>0</v>
      </c>
      <c r="R1607" t="s">
        <v>47307</v>
      </c>
      <c r="S1607" t="s">
        <v>47416</v>
      </c>
      <c r="T1607" t="s">
        <v>48972</v>
      </c>
      <c r="U1607" t="s">
        <v>50942</v>
      </c>
      <c r="W1607" t="s">
        <v>43694</v>
      </c>
      <c r="X1607" t="s">
        <v>47306</v>
      </c>
    </row>
    <row r="1608" spans="1:24">
      <c r="A1608">
        <f>HYPERLINK("https://www.philgeps.gov.ph/GEPSNONPILOT/Tender/SplashBidNoticeAbstractUI.aspx?menuIndex=3&amp;refID=7199379&amp;Result=3","7199379")</f>
        <v>0</v>
      </c>
      <c r="B1608" t="s">
        <v>655</v>
      </c>
      <c r="C1608" t="s">
        <v>5412</v>
      </c>
      <c r="D1608" t="s">
        <v>19022</v>
      </c>
      <c r="E1608" t="s">
        <v>20567</v>
      </c>
      <c r="F1608" t="s">
        <v>32606</v>
      </c>
      <c r="G1608" t="s">
        <v>32619</v>
      </c>
      <c r="H1608" t="s">
        <v>14201</v>
      </c>
      <c r="I1608" t="s">
        <v>4678</v>
      </c>
      <c r="J1608" t="s">
        <v>33291</v>
      </c>
      <c r="K1608" t="s">
        <v>42631</v>
      </c>
      <c r="M1608" t="s">
        <v>43575</v>
      </c>
      <c r="N1608" t="s">
        <v>47304</v>
      </c>
      <c r="O1608" t="s">
        <v>47305</v>
      </c>
      <c r="P1608">
        <v>0</v>
      </c>
      <c r="Q1608">
        <v>0</v>
      </c>
      <c r="R1608" t="s">
        <v>47307</v>
      </c>
      <c r="S1608" t="s">
        <v>47416</v>
      </c>
      <c r="T1608" t="s">
        <v>49014</v>
      </c>
      <c r="U1608" t="s">
        <v>50995</v>
      </c>
      <c r="W1608" t="s">
        <v>43575</v>
      </c>
      <c r="X1608" t="s">
        <v>47306</v>
      </c>
    </row>
    <row r="1609" spans="1:24">
      <c r="A1609">
        <f>HYPERLINK("https://www.philgeps.gov.ph/GEPSNONPILOT/Tender/SplashBidNoticeAbstractUI.aspx?menuIndex=3&amp;refID=7199370&amp;Result=3","7199370")</f>
        <v>0</v>
      </c>
      <c r="B1609" t="s">
        <v>605</v>
      </c>
      <c r="C1609" t="s">
        <v>5413</v>
      </c>
      <c r="D1609" t="s">
        <v>19024</v>
      </c>
      <c r="E1609" t="s">
        <v>20568</v>
      </c>
      <c r="F1609" t="s">
        <v>32606</v>
      </c>
      <c r="G1609" t="s">
        <v>32613</v>
      </c>
      <c r="H1609" t="s">
        <v>32623</v>
      </c>
      <c r="I1609" t="s">
        <v>17648</v>
      </c>
      <c r="J1609" t="s">
        <v>33103</v>
      </c>
      <c r="K1609" t="s">
        <v>42639</v>
      </c>
      <c r="M1609" t="s">
        <v>43521</v>
      </c>
      <c r="N1609" t="s">
        <v>47304</v>
      </c>
      <c r="O1609" t="s">
        <v>47305</v>
      </c>
      <c r="P1609">
        <v>0</v>
      </c>
      <c r="Q1609">
        <v>0</v>
      </c>
      <c r="R1609" t="s">
        <v>47307</v>
      </c>
      <c r="S1609" t="s">
        <v>47416</v>
      </c>
      <c r="T1609" t="s">
        <v>48996</v>
      </c>
      <c r="U1609" t="s">
        <v>50646</v>
      </c>
      <c r="W1609" t="s">
        <v>43521</v>
      </c>
      <c r="X1609" t="s">
        <v>47306</v>
      </c>
    </row>
    <row r="1610" spans="1:24">
      <c r="A1610">
        <f>HYPERLINK("https://www.philgeps.gov.ph/GEPSNONPILOT/Tender/SplashBidNoticeAbstractUI.aspx?menuIndex=3&amp;refID=7199375&amp;Result=3","7199375")</f>
        <v>0</v>
      </c>
      <c r="B1610" t="s">
        <v>787</v>
      </c>
      <c r="C1610" t="s">
        <v>5414</v>
      </c>
      <c r="D1610" t="s">
        <v>18995</v>
      </c>
      <c r="E1610" t="s">
        <v>20569</v>
      </c>
      <c r="F1610" t="s">
        <v>32606</v>
      </c>
      <c r="G1610" t="s">
        <v>32613</v>
      </c>
      <c r="H1610" t="s">
        <v>32623</v>
      </c>
      <c r="I1610" t="s">
        <v>17648</v>
      </c>
      <c r="J1610" t="s">
        <v>33953</v>
      </c>
      <c r="K1610" t="s">
        <v>42715</v>
      </c>
      <c r="M1610" t="s">
        <v>43718</v>
      </c>
      <c r="N1610" t="s">
        <v>47304</v>
      </c>
      <c r="O1610" t="s">
        <v>47305</v>
      </c>
      <c r="P1610">
        <v>0</v>
      </c>
      <c r="Q1610">
        <v>0</v>
      </c>
      <c r="R1610" t="s">
        <v>47307</v>
      </c>
      <c r="S1610" t="s">
        <v>47416</v>
      </c>
      <c r="T1610" t="s">
        <v>49184</v>
      </c>
      <c r="U1610" t="s">
        <v>50996</v>
      </c>
      <c r="W1610" t="s">
        <v>43718</v>
      </c>
      <c r="X1610" t="s">
        <v>47306</v>
      </c>
    </row>
    <row r="1611" spans="1:24">
      <c r="A1611">
        <f>HYPERLINK("https://www.philgeps.gov.ph/GEPSNONPILOT/Tender/SplashBidNoticeAbstractUI.aspx?menuIndex=3&amp;refID=7199373&amp;Result=3","7199373")</f>
        <v>0</v>
      </c>
      <c r="B1611" t="s">
        <v>788</v>
      </c>
      <c r="C1611" t="s">
        <v>5415</v>
      </c>
      <c r="D1611" t="s">
        <v>19039</v>
      </c>
      <c r="E1611" t="s">
        <v>20570</v>
      </c>
      <c r="F1611" t="s">
        <v>32606</v>
      </c>
      <c r="G1611" t="s">
        <v>32613</v>
      </c>
      <c r="H1611" t="s">
        <v>14201</v>
      </c>
      <c r="I1611" t="s">
        <v>6298</v>
      </c>
      <c r="J1611" t="s">
        <v>33954</v>
      </c>
      <c r="K1611" t="s">
        <v>42631</v>
      </c>
      <c r="M1611" t="s">
        <v>43719</v>
      </c>
      <c r="N1611" t="s">
        <v>47304</v>
      </c>
      <c r="O1611" t="s">
        <v>47305</v>
      </c>
      <c r="P1611">
        <v>0</v>
      </c>
      <c r="Q1611">
        <v>0</v>
      </c>
      <c r="R1611" t="s">
        <v>47307</v>
      </c>
      <c r="S1611" t="s">
        <v>47416</v>
      </c>
      <c r="T1611" t="s">
        <v>49028</v>
      </c>
      <c r="U1611" t="s">
        <v>50997</v>
      </c>
      <c r="W1611" t="s">
        <v>43719</v>
      </c>
      <c r="X1611" t="s">
        <v>47306</v>
      </c>
    </row>
    <row r="1612" spans="1:24">
      <c r="A1612">
        <f>HYPERLINK("https://www.philgeps.gov.ph/GEPSNONPILOT/Tender/SplashBidNoticeAbstractUI.aspx?menuIndex=3&amp;refID=7199364&amp;Result=3","7199364")</f>
        <v>0</v>
      </c>
      <c r="B1612" t="s">
        <v>636</v>
      </c>
      <c r="C1612" t="s">
        <v>5416</v>
      </c>
      <c r="D1612" t="s">
        <v>19019</v>
      </c>
      <c r="E1612" t="s">
        <v>20571</v>
      </c>
      <c r="F1612" t="s">
        <v>32606</v>
      </c>
      <c r="G1612" t="s">
        <v>32614</v>
      </c>
      <c r="H1612" t="s">
        <v>14201</v>
      </c>
      <c r="I1612" t="s">
        <v>4678</v>
      </c>
      <c r="J1612" t="s">
        <v>32885</v>
      </c>
      <c r="K1612" t="s">
        <v>42629</v>
      </c>
      <c r="M1612" t="s">
        <v>43554</v>
      </c>
      <c r="N1612" t="s">
        <v>47304</v>
      </c>
      <c r="O1612" t="s">
        <v>47305</v>
      </c>
      <c r="P1612">
        <v>0</v>
      </c>
      <c r="Q1612">
        <v>0</v>
      </c>
      <c r="R1612" t="s">
        <v>47307</v>
      </c>
      <c r="S1612" t="s">
        <v>47416</v>
      </c>
      <c r="T1612" t="s">
        <v>49015</v>
      </c>
      <c r="U1612" t="s">
        <v>50998</v>
      </c>
      <c r="W1612" t="s">
        <v>43554</v>
      </c>
      <c r="X1612" t="s">
        <v>47306</v>
      </c>
    </row>
    <row r="1613" spans="1:24">
      <c r="A1613">
        <f>HYPERLINK("https://www.philgeps.gov.ph/GEPSNONPILOT/Tender/SplashBidNoticeAbstractUI.aspx?menuIndex=3&amp;refID=7199372&amp;Result=3","7199372")</f>
        <v>0</v>
      </c>
      <c r="B1613" t="s">
        <v>771</v>
      </c>
      <c r="C1613" t="s">
        <v>5417</v>
      </c>
      <c r="D1613" t="s">
        <v>19058</v>
      </c>
      <c r="E1613" t="s">
        <v>20572</v>
      </c>
      <c r="F1613" t="s">
        <v>32606</v>
      </c>
      <c r="G1613" t="s">
        <v>32614</v>
      </c>
      <c r="H1613" t="s">
        <v>14201</v>
      </c>
      <c r="I1613" t="s">
        <v>6298</v>
      </c>
      <c r="J1613" t="s">
        <v>33955</v>
      </c>
      <c r="K1613" t="s">
        <v>42631</v>
      </c>
      <c r="M1613" t="s">
        <v>43699</v>
      </c>
      <c r="N1613" t="s">
        <v>47304</v>
      </c>
      <c r="O1613" t="s">
        <v>47305</v>
      </c>
      <c r="P1613">
        <v>0</v>
      </c>
      <c r="Q1613">
        <v>0</v>
      </c>
      <c r="R1613" t="s">
        <v>47307</v>
      </c>
      <c r="S1613" t="s">
        <v>47416</v>
      </c>
      <c r="T1613" t="s">
        <v>49175</v>
      </c>
      <c r="U1613" t="s">
        <v>50948</v>
      </c>
      <c r="W1613" t="s">
        <v>43699</v>
      </c>
      <c r="X1613" t="s">
        <v>47306</v>
      </c>
    </row>
    <row r="1614" spans="1:24">
      <c r="A1614">
        <f>HYPERLINK("https://www.philgeps.gov.ph/GEPSNONPILOT/Tender/SplashBidNoticeAbstractUI.aspx?menuIndex=3&amp;refID=7199358&amp;Result=3","7199358")</f>
        <v>0</v>
      </c>
      <c r="B1614" t="s">
        <v>789</v>
      </c>
      <c r="C1614" t="s">
        <v>5418</v>
      </c>
      <c r="D1614" t="s">
        <v>18995</v>
      </c>
      <c r="E1614" t="s">
        <v>20573</v>
      </c>
      <c r="F1614" t="s">
        <v>32606</v>
      </c>
      <c r="G1614" t="s">
        <v>32615</v>
      </c>
      <c r="H1614" t="s">
        <v>14201</v>
      </c>
      <c r="I1614" t="s">
        <v>32669</v>
      </c>
      <c r="J1614" t="s">
        <v>32833</v>
      </c>
      <c r="K1614" t="s">
        <v>42631</v>
      </c>
      <c r="M1614" t="s">
        <v>43720</v>
      </c>
      <c r="N1614" t="s">
        <v>47304</v>
      </c>
      <c r="O1614" t="s">
        <v>47305</v>
      </c>
      <c r="P1614">
        <v>0</v>
      </c>
      <c r="Q1614">
        <v>0</v>
      </c>
      <c r="R1614" t="s">
        <v>47307</v>
      </c>
      <c r="S1614" t="s">
        <v>47416</v>
      </c>
      <c r="T1614" t="s">
        <v>49100</v>
      </c>
      <c r="U1614" t="s">
        <v>50999</v>
      </c>
      <c r="W1614" t="s">
        <v>43720</v>
      </c>
      <c r="X1614" t="s">
        <v>47306</v>
      </c>
    </row>
    <row r="1615" spans="1:24">
      <c r="A1615">
        <f>HYPERLINK("https://www.philgeps.gov.ph/GEPSNONPILOT/Tender/SplashBidNoticeAbstractUI.aspx?menuIndex=3&amp;refID=7199355&amp;Result=3","7199355")</f>
        <v>0</v>
      </c>
      <c r="B1615" t="s">
        <v>481</v>
      </c>
      <c r="C1615" t="s">
        <v>5419</v>
      </c>
      <c r="D1615" t="s">
        <v>18993</v>
      </c>
      <c r="E1615" t="s">
        <v>20574</v>
      </c>
      <c r="F1615" t="s">
        <v>32606</v>
      </c>
      <c r="G1615" t="s">
        <v>32614</v>
      </c>
      <c r="H1615" t="s">
        <v>14201</v>
      </c>
      <c r="I1615" t="s">
        <v>17648</v>
      </c>
      <c r="J1615" t="s">
        <v>33956</v>
      </c>
      <c r="K1615" t="s">
        <v>42627</v>
      </c>
      <c r="M1615" t="s">
        <v>43392</v>
      </c>
      <c r="N1615" t="s">
        <v>47304</v>
      </c>
      <c r="O1615" t="s">
        <v>47305</v>
      </c>
      <c r="P1615">
        <v>0</v>
      </c>
      <c r="Q1615">
        <v>0</v>
      </c>
      <c r="R1615" t="s">
        <v>47307</v>
      </c>
      <c r="S1615" t="s">
        <v>47416</v>
      </c>
      <c r="T1615" t="s">
        <v>49017</v>
      </c>
      <c r="U1615" t="s">
        <v>51000</v>
      </c>
      <c r="W1615" t="s">
        <v>43392</v>
      </c>
      <c r="X1615" t="s">
        <v>47306</v>
      </c>
    </row>
    <row r="1616" spans="1:24">
      <c r="A1616">
        <f>HYPERLINK("https://www.philgeps.gov.ph/GEPSNONPILOT/Tender/SplashBidNoticeAbstractUI.aspx?menuIndex=3&amp;refID=7199371&amp;Result=3","7199371")</f>
        <v>0</v>
      </c>
      <c r="B1616" t="s">
        <v>790</v>
      </c>
      <c r="C1616" t="s">
        <v>5420</v>
      </c>
      <c r="E1616" t="s">
        <v>20575</v>
      </c>
      <c r="F1616" t="s">
        <v>32606</v>
      </c>
      <c r="G1616" t="s">
        <v>32614</v>
      </c>
      <c r="H1616" t="s">
        <v>14201</v>
      </c>
      <c r="I1616" t="s">
        <v>32709</v>
      </c>
      <c r="J1616" t="s">
        <v>33957</v>
      </c>
      <c r="K1616" t="s">
        <v>42623</v>
      </c>
      <c r="M1616" t="s">
        <v>43721</v>
      </c>
      <c r="N1616" t="s">
        <v>47304</v>
      </c>
      <c r="O1616" t="s">
        <v>47305</v>
      </c>
      <c r="P1616">
        <v>0</v>
      </c>
      <c r="Q1616">
        <v>0</v>
      </c>
      <c r="R1616" t="s">
        <v>47307</v>
      </c>
      <c r="S1616" t="s">
        <v>47416</v>
      </c>
      <c r="T1616" t="s">
        <v>48987</v>
      </c>
      <c r="U1616" t="s">
        <v>51001</v>
      </c>
      <c r="W1616" t="s">
        <v>43721</v>
      </c>
      <c r="X1616" t="s">
        <v>47306</v>
      </c>
    </row>
    <row r="1617" spans="1:24">
      <c r="A1617">
        <f>HYPERLINK("https://www.philgeps.gov.ph/GEPSNONPILOT/Tender/SplashBidNoticeAbstractUI.aspx?menuIndex=3&amp;refID=7199380&amp;Result=3","7199380")</f>
        <v>0</v>
      </c>
      <c r="B1617" t="s">
        <v>791</v>
      </c>
      <c r="C1617" t="s">
        <v>5421</v>
      </c>
      <c r="E1617" t="s">
        <v>20576</v>
      </c>
      <c r="F1617" t="s">
        <v>32606</v>
      </c>
      <c r="G1617" t="s">
        <v>32614</v>
      </c>
      <c r="H1617" t="s">
        <v>14201</v>
      </c>
      <c r="I1617" t="s">
        <v>32678</v>
      </c>
      <c r="J1617" t="s">
        <v>32765</v>
      </c>
      <c r="K1617" t="s">
        <v>42624</v>
      </c>
      <c r="M1617" t="s">
        <v>43722</v>
      </c>
      <c r="N1617" t="s">
        <v>47304</v>
      </c>
      <c r="O1617" t="s">
        <v>47305</v>
      </c>
      <c r="P1617">
        <v>0</v>
      </c>
      <c r="Q1617">
        <v>1</v>
      </c>
      <c r="R1617" t="s">
        <v>47307</v>
      </c>
      <c r="S1617" t="s">
        <v>47416</v>
      </c>
      <c r="T1617" t="s">
        <v>49076</v>
      </c>
      <c r="U1617" t="s">
        <v>51002</v>
      </c>
      <c r="V1617" t="s">
        <v>62831</v>
      </c>
      <c r="W1617" t="s">
        <v>43722</v>
      </c>
      <c r="X1617" t="s">
        <v>47306</v>
      </c>
    </row>
    <row r="1618" spans="1:24">
      <c r="A1618">
        <f>HYPERLINK("https://www.philgeps.gov.ph/GEPSNONPILOT/Tender/SplashBidNoticeAbstractUI.aspx?menuIndex=3&amp;refID=7199390&amp;Result=3","7199390")</f>
        <v>0</v>
      </c>
      <c r="B1618" t="s">
        <v>774</v>
      </c>
      <c r="C1618" t="s">
        <v>5422</v>
      </c>
      <c r="D1618" t="s">
        <v>19000</v>
      </c>
      <c r="E1618" t="s">
        <v>20577</v>
      </c>
      <c r="F1618" t="s">
        <v>32606</v>
      </c>
      <c r="G1618" t="s">
        <v>32614</v>
      </c>
      <c r="H1618" t="s">
        <v>14201</v>
      </c>
      <c r="I1618" t="s">
        <v>32634</v>
      </c>
      <c r="J1618" t="s">
        <v>32752</v>
      </c>
      <c r="K1618" t="s">
        <v>42622</v>
      </c>
      <c r="M1618" t="s">
        <v>43703</v>
      </c>
      <c r="N1618" t="s">
        <v>47304</v>
      </c>
      <c r="O1618" t="s">
        <v>47305</v>
      </c>
      <c r="P1618">
        <v>0</v>
      </c>
      <c r="Q1618">
        <v>0</v>
      </c>
      <c r="R1618" t="s">
        <v>47307</v>
      </c>
      <c r="S1618" t="s">
        <v>47416</v>
      </c>
      <c r="T1618" t="s">
        <v>49023</v>
      </c>
      <c r="U1618" t="s">
        <v>51003</v>
      </c>
      <c r="W1618" t="s">
        <v>43703</v>
      </c>
      <c r="X1618" t="s">
        <v>47306</v>
      </c>
    </row>
    <row r="1619" spans="1:24">
      <c r="A1619">
        <f>HYPERLINK("https://www.philgeps.gov.ph/GEPSNONPILOT/Tender/SplashBidNoticeAbstractUI.aspx?menuIndex=3&amp;refID=7199389&amp;Result=3","7199389")</f>
        <v>0</v>
      </c>
      <c r="B1619" t="s">
        <v>280</v>
      </c>
      <c r="C1619" t="s">
        <v>5423</v>
      </c>
      <c r="D1619" t="s">
        <v>19028</v>
      </c>
      <c r="E1619" t="s">
        <v>5423</v>
      </c>
      <c r="F1619" t="s">
        <v>32606</v>
      </c>
      <c r="G1619" t="s">
        <v>32614</v>
      </c>
      <c r="H1619" t="s">
        <v>14201</v>
      </c>
      <c r="I1619" t="s">
        <v>4112</v>
      </c>
      <c r="J1619" t="s">
        <v>33958</v>
      </c>
      <c r="K1619" t="s">
        <v>42631</v>
      </c>
      <c r="M1619" t="s">
        <v>43712</v>
      </c>
      <c r="N1619" t="s">
        <v>47304</v>
      </c>
      <c r="O1619" t="s">
        <v>47305</v>
      </c>
      <c r="P1619">
        <v>0</v>
      </c>
      <c r="Q1619">
        <v>0</v>
      </c>
      <c r="R1619" t="s">
        <v>47307</v>
      </c>
      <c r="S1619" t="s">
        <v>47416</v>
      </c>
      <c r="T1619" t="s">
        <v>48971</v>
      </c>
      <c r="U1619" t="s">
        <v>51004</v>
      </c>
      <c r="W1619" t="s">
        <v>43712</v>
      </c>
      <c r="X1619" t="s">
        <v>47306</v>
      </c>
    </row>
    <row r="1620" spans="1:24">
      <c r="A1620">
        <f>HYPERLINK("https://www.philgeps.gov.ph/GEPSNONPILOT/Tender/SplashBidNoticeAbstractUI.aspx?menuIndex=3&amp;refID=7199387&amp;Result=3","7199387")</f>
        <v>0</v>
      </c>
      <c r="B1620" t="s">
        <v>739</v>
      </c>
      <c r="C1620" t="s">
        <v>5424</v>
      </c>
      <c r="D1620" t="s">
        <v>19021</v>
      </c>
      <c r="E1620" t="s">
        <v>20578</v>
      </c>
      <c r="F1620" t="s">
        <v>32606</v>
      </c>
      <c r="G1620" t="s">
        <v>32613</v>
      </c>
      <c r="H1620" t="s">
        <v>32623</v>
      </c>
      <c r="I1620" t="s">
        <v>17648</v>
      </c>
      <c r="J1620" t="s">
        <v>33959</v>
      </c>
      <c r="K1620" t="s">
        <v>42636</v>
      </c>
      <c r="M1620" t="s">
        <v>43662</v>
      </c>
      <c r="N1620" t="s">
        <v>47304</v>
      </c>
      <c r="O1620" t="s">
        <v>47305</v>
      </c>
      <c r="P1620">
        <v>0</v>
      </c>
      <c r="Q1620">
        <v>0</v>
      </c>
      <c r="R1620" t="s">
        <v>47307</v>
      </c>
      <c r="S1620" t="s">
        <v>47416</v>
      </c>
      <c r="T1620" t="s">
        <v>48995</v>
      </c>
      <c r="U1620" t="s">
        <v>51005</v>
      </c>
      <c r="W1620" t="s">
        <v>43662</v>
      </c>
      <c r="X1620" t="s">
        <v>47306</v>
      </c>
    </row>
    <row r="1621" spans="1:24">
      <c r="A1621">
        <f>HYPERLINK("https://www.philgeps.gov.ph/GEPSNONPILOT/Tender/SplashBidNoticeAbstractUI.aspx?menuIndex=3&amp;refID=7199374&amp;Result=3","7199374")</f>
        <v>0</v>
      </c>
      <c r="B1621" t="s">
        <v>792</v>
      </c>
      <c r="C1621" t="s">
        <v>5425</v>
      </c>
      <c r="D1621" t="s">
        <v>18995</v>
      </c>
      <c r="E1621" t="s">
        <v>20579</v>
      </c>
      <c r="F1621" t="s">
        <v>32606</v>
      </c>
      <c r="G1621" t="s">
        <v>32614</v>
      </c>
      <c r="H1621" t="s">
        <v>14201</v>
      </c>
      <c r="I1621" t="s">
        <v>4112</v>
      </c>
      <c r="J1621" t="s">
        <v>33960</v>
      </c>
      <c r="K1621" t="s">
        <v>42638</v>
      </c>
      <c r="M1621" t="s">
        <v>43723</v>
      </c>
      <c r="N1621" t="s">
        <v>47304</v>
      </c>
      <c r="O1621" t="s">
        <v>47305</v>
      </c>
      <c r="P1621">
        <v>0</v>
      </c>
      <c r="Q1621">
        <v>0</v>
      </c>
      <c r="R1621" t="s">
        <v>47307</v>
      </c>
      <c r="S1621" t="s">
        <v>47416</v>
      </c>
      <c r="T1621" t="s">
        <v>48975</v>
      </c>
      <c r="U1621" t="s">
        <v>51006</v>
      </c>
      <c r="W1621" t="s">
        <v>43723</v>
      </c>
      <c r="X1621" t="s">
        <v>47306</v>
      </c>
    </row>
    <row r="1622" spans="1:24">
      <c r="A1622">
        <f>HYPERLINK("https://www.philgeps.gov.ph/GEPSNONPILOT/Tender/SplashBidNoticeAbstractUI.aspx?menuIndex=3&amp;refID=7199404&amp;Result=3","7199404")</f>
        <v>0</v>
      </c>
      <c r="B1622" t="s">
        <v>793</v>
      </c>
      <c r="C1622" t="s">
        <v>5426</v>
      </c>
      <c r="D1622" t="s">
        <v>19015</v>
      </c>
      <c r="E1622" t="s">
        <v>20580</v>
      </c>
      <c r="F1622" t="s">
        <v>32606</v>
      </c>
      <c r="G1622" t="s">
        <v>32617</v>
      </c>
      <c r="H1622" t="s">
        <v>14201</v>
      </c>
      <c r="I1622" t="s">
        <v>4678</v>
      </c>
      <c r="J1622" t="s">
        <v>33961</v>
      </c>
      <c r="K1622" t="s">
        <v>42623</v>
      </c>
      <c r="M1622" t="s">
        <v>43724</v>
      </c>
      <c r="N1622" t="s">
        <v>47304</v>
      </c>
      <c r="O1622" t="s">
        <v>47305</v>
      </c>
      <c r="P1622">
        <v>0</v>
      </c>
      <c r="Q1622">
        <v>0</v>
      </c>
      <c r="R1622" t="s">
        <v>47307</v>
      </c>
      <c r="S1622" t="s">
        <v>47416</v>
      </c>
      <c r="T1622" t="s">
        <v>49087</v>
      </c>
      <c r="U1622" t="s">
        <v>50290</v>
      </c>
      <c r="W1622" t="s">
        <v>43724</v>
      </c>
      <c r="X1622" t="s">
        <v>47306</v>
      </c>
    </row>
    <row r="1623" spans="1:24">
      <c r="A1623">
        <f>HYPERLINK("https://www.philgeps.gov.ph/GEPSNONPILOT/Tender/SplashBidNoticeAbstractUI.aspx?menuIndex=3&amp;refID=7199391&amp;Result=3","7199391")</f>
        <v>0</v>
      </c>
      <c r="B1623" t="s">
        <v>794</v>
      </c>
      <c r="C1623" t="s">
        <v>5427</v>
      </c>
      <c r="D1623" t="s">
        <v>18992</v>
      </c>
      <c r="E1623" t="s">
        <v>20581</v>
      </c>
      <c r="F1623" t="s">
        <v>32606</v>
      </c>
      <c r="G1623" t="s">
        <v>32614</v>
      </c>
      <c r="H1623" t="s">
        <v>14201</v>
      </c>
      <c r="I1623" t="s">
        <v>32629</v>
      </c>
      <c r="J1623" t="s">
        <v>33962</v>
      </c>
      <c r="K1623" t="s">
        <v>42622</v>
      </c>
      <c r="L1623" t="s">
        <v>794</v>
      </c>
      <c r="M1623" t="s">
        <v>43725</v>
      </c>
      <c r="N1623" t="s">
        <v>47304</v>
      </c>
      <c r="O1623" t="s">
        <v>47305</v>
      </c>
      <c r="P1623">
        <v>0</v>
      </c>
      <c r="Q1623">
        <v>0</v>
      </c>
      <c r="R1623" t="s">
        <v>47307</v>
      </c>
      <c r="S1623" t="s">
        <v>47416</v>
      </c>
      <c r="T1623" t="s">
        <v>49076</v>
      </c>
      <c r="U1623" t="s">
        <v>51007</v>
      </c>
      <c r="W1623" t="s">
        <v>43725</v>
      </c>
      <c r="X1623" t="s">
        <v>47306</v>
      </c>
    </row>
    <row r="1624" spans="1:24">
      <c r="A1624">
        <f>HYPERLINK("https://www.philgeps.gov.ph/GEPSNONPILOT/Tender/SplashBidNoticeAbstractUI.aspx?menuIndex=3&amp;refID=7199376&amp;Result=3","7199376")</f>
        <v>0</v>
      </c>
      <c r="B1624" t="s">
        <v>692</v>
      </c>
      <c r="C1624" t="s">
        <v>5428</v>
      </c>
      <c r="D1624" t="s">
        <v>18992</v>
      </c>
      <c r="E1624" t="s">
        <v>20332</v>
      </c>
      <c r="F1624" t="s">
        <v>32606</v>
      </c>
      <c r="G1624" t="s">
        <v>32614</v>
      </c>
      <c r="H1624" t="s">
        <v>14201</v>
      </c>
      <c r="I1624" t="s">
        <v>4120</v>
      </c>
      <c r="J1624" t="s">
        <v>33963</v>
      </c>
      <c r="K1624" t="s">
        <v>42629</v>
      </c>
      <c r="M1624" t="s">
        <v>43613</v>
      </c>
      <c r="N1624" t="s">
        <v>47304</v>
      </c>
      <c r="O1624" t="s">
        <v>47305</v>
      </c>
      <c r="P1624">
        <v>0</v>
      </c>
      <c r="Q1624">
        <v>0</v>
      </c>
      <c r="R1624" t="s">
        <v>47307</v>
      </c>
      <c r="S1624" t="s">
        <v>47416</v>
      </c>
      <c r="T1624" t="s">
        <v>48986</v>
      </c>
      <c r="U1624" t="s">
        <v>51008</v>
      </c>
      <c r="W1624" t="s">
        <v>43613</v>
      </c>
      <c r="X1624" t="s">
        <v>47306</v>
      </c>
    </row>
    <row r="1625" spans="1:24">
      <c r="A1625">
        <f>HYPERLINK("https://www.philgeps.gov.ph/GEPSNONPILOT/Tender/SplashBidNoticeAbstractUI.aspx?menuIndex=3&amp;refID=7199402&amp;Result=3","7199402")</f>
        <v>0</v>
      </c>
      <c r="B1625" t="s">
        <v>238</v>
      </c>
      <c r="C1625" t="s">
        <v>5429</v>
      </c>
      <c r="D1625" t="s">
        <v>18993</v>
      </c>
      <c r="E1625" t="s">
        <v>20582</v>
      </c>
      <c r="F1625" t="s">
        <v>32606</v>
      </c>
      <c r="G1625" t="s">
        <v>32614</v>
      </c>
      <c r="H1625" t="s">
        <v>14201</v>
      </c>
      <c r="I1625" t="s">
        <v>32640</v>
      </c>
      <c r="J1625" t="s">
        <v>33964</v>
      </c>
      <c r="K1625" t="s">
        <v>42622</v>
      </c>
      <c r="M1625" t="s">
        <v>43194</v>
      </c>
      <c r="N1625" t="s">
        <v>47304</v>
      </c>
      <c r="O1625" t="s">
        <v>47305</v>
      </c>
      <c r="P1625">
        <v>0</v>
      </c>
      <c r="Q1625">
        <v>0</v>
      </c>
      <c r="R1625" t="s">
        <v>47307</v>
      </c>
      <c r="S1625" t="s">
        <v>47416</v>
      </c>
      <c r="T1625" t="s">
        <v>49137</v>
      </c>
      <c r="U1625" t="s">
        <v>51009</v>
      </c>
      <c r="V1625" t="s">
        <v>62716</v>
      </c>
      <c r="W1625" t="s">
        <v>43194</v>
      </c>
      <c r="X1625" t="s">
        <v>47306</v>
      </c>
    </row>
    <row r="1626" spans="1:24">
      <c r="A1626">
        <f>HYPERLINK("https://www.philgeps.gov.ph/GEPSNONPILOT/Tender/SplashBidNoticeAbstractUI.aspx?menuIndex=3&amp;refID=7199399&amp;Result=3","7199399")</f>
        <v>0</v>
      </c>
      <c r="B1626" t="s">
        <v>605</v>
      </c>
      <c r="C1626" t="s">
        <v>5430</v>
      </c>
      <c r="D1626" t="s">
        <v>19024</v>
      </c>
      <c r="E1626" t="s">
        <v>20583</v>
      </c>
      <c r="F1626" t="s">
        <v>32606</v>
      </c>
      <c r="G1626" t="s">
        <v>32613</v>
      </c>
      <c r="H1626" t="s">
        <v>32623</v>
      </c>
      <c r="I1626" t="s">
        <v>17648</v>
      </c>
      <c r="J1626" t="s">
        <v>33103</v>
      </c>
      <c r="K1626" t="s">
        <v>42636</v>
      </c>
      <c r="M1626" t="s">
        <v>43521</v>
      </c>
      <c r="N1626" t="s">
        <v>47304</v>
      </c>
      <c r="O1626" t="s">
        <v>47305</v>
      </c>
      <c r="P1626">
        <v>0</v>
      </c>
      <c r="Q1626">
        <v>0</v>
      </c>
      <c r="R1626" t="s">
        <v>47307</v>
      </c>
      <c r="S1626" t="s">
        <v>47416</v>
      </c>
      <c r="T1626" t="s">
        <v>48996</v>
      </c>
      <c r="U1626" t="s">
        <v>50646</v>
      </c>
      <c r="W1626" t="s">
        <v>43521</v>
      </c>
      <c r="X1626" t="s">
        <v>47306</v>
      </c>
    </row>
    <row r="1627" spans="1:24">
      <c r="A1627">
        <f>HYPERLINK("https://www.philgeps.gov.ph/GEPSNONPILOT/Tender/SplashBidNoticeAbstractUI.aspx?menuIndex=3&amp;refID=7199394&amp;Result=3","7199394")</f>
        <v>0</v>
      </c>
      <c r="B1627" t="s">
        <v>771</v>
      </c>
      <c r="C1627" t="s">
        <v>5431</v>
      </c>
      <c r="D1627" t="s">
        <v>19058</v>
      </c>
      <c r="E1627" t="s">
        <v>20584</v>
      </c>
      <c r="F1627" t="s">
        <v>32606</v>
      </c>
      <c r="G1627" t="s">
        <v>32614</v>
      </c>
      <c r="H1627" t="s">
        <v>14201</v>
      </c>
      <c r="I1627" t="s">
        <v>32633</v>
      </c>
      <c r="J1627" t="s">
        <v>33965</v>
      </c>
      <c r="K1627" t="s">
        <v>42631</v>
      </c>
      <c r="M1627" t="s">
        <v>43699</v>
      </c>
      <c r="N1627" t="s">
        <v>47304</v>
      </c>
      <c r="O1627" t="s">
        <v>47305</v>
      </c>
      <c r="P1627">
        <v>0</v>
      </c>
      <c r="Q1627">
        <v>0</v>
      </c>
      <c r="R1627" t="s">
        <v>47307</v>
      </c>
      <c r="S1627" t="s">
        <v>47416</v>
      </c>
      <c r="T1627" t="s">
        <v>49175</v>
      </c>
      <c r="U1627" t="s">
        <v>50948</v>
      </c>
      <c r="W1627" t="s">
        <v>43699</v>
      </c>
      <c r="X1627" t="s">
        <v>47306</v>
      </c>
    </row>
    <row r="1628" spans="1:24">
      <c r="A1628">
        <f>HYPERLINK("https://www.philgeps.gov.ph/GEPSNONPILOT/Tender/SplashBidNoticeAbstractUI.aspx?menuIndex=3&amp;refID=7198732&amp;Result=3","7198732")</f>
        <v>0</v>
      </c>
      <c r="B1628" t="s">
        <v>569</v>
      </c>
      <c r="C1628" t="s">
        <v>5432</v>
      </c>
      <c r="D1628" t="s">
        <v>18993</v>
      </c>
      <c r="E1628" t="s">
        <v>20585</v>
      </c>
      <c r="F1628" t="s">
        <v>32606</v>
      </c>
      <c r="G1628" t="s">
        <v>32619</v>
      </c>
      <c r="H1628" t="s">
        <v>14201</v>
      </c>
      <c r="I1628" t="s">
        <v>4369</v>
      </c>
      <c r="J1628" t="s">
        <v>32981</v>
      </c>
      <c r="K1628" t="s">
        <v>42623</v>
      </c>
      <c r="M1628" t="s">
        <v>43484</v>
      </c>
      <c r="N1628" t="s">
        <v>47304</v>
      </c>
      <c r="O1628" t="s">
        <v>47305</v>
      </c>
      <c r="P1628">
        <v>0</v>
      </c>
      <c r="Q1628">
        <v>0</v>
      </c>
      <c r="R1628" t="s">
        <v>47307</v>
      </c>
      <c r="S1628" t="s">
        <v>47416</v>
      </c>
      <c r="T1628" t="s">
        <v>49050</v>
      </c>
      <c r="U1628" t="s">
        <v>51010</v>
      </c>
      <c r="W1628" t="s">
        <v>43484</v>
      </c>
      <c r="X1628" t="s">
        <v>47306</v>
      </c>
    </row>
    <row r="1629" spans="1:24">
      <c r="A1629">
        <f>HYPERLINK("https://www.philgeps.gov.ph/GEPSNONPILOT/Tender/SplashBidNoticeAbstractUI.aspx?menuIndex=3&amp;refID=7199403&amp;Result=3","7199403")</f>
        <v>0</v>
      </c>
      <c r="B1629" t="s">
        <v>105</v>
      </c>
      <c r="C1629" t="s">
        <v>5433</v>
      </c>
      <c r="D1629" t="s">
        <v>18993</v>
      </c>
      <c r="E1629" t="s">
        <v>20586</v>
      </c>
      <c r="F1629" t="s">
        <v>32606</v>
      </c>
      <c r="G1629" t="s">
        <v>32613</v>
      </c>
      <c r="H1629" t="s">
        <v>14201</v>
      </c>
      <c r="I1629" t="s">
        <v>32640</v>
      </c>
      <c r="J1629" t="s">
        <v>33966</v>
      </c>
      <c r="K1629" t="s">
        <v>42639</v>
      </c>
      <c r="M1629" t="s">
        <v>43003</v>
      </c>
      <c r="N1629" t="s">
        <v>47304</v>
      </c>
      <c r="O1629" t="s">
        <v>47305</v>
      </c>
      <c r="P1629">
        <v>0</v>
      </c>
      <c r="Q1629">
        <v>0</v>
      </c>
      <c r="R1629" t="s">
        <v>47307</v>
      </c>
      <c r="S1629" t="s">
        <v>47416</v>
      </c>
      <c r="T1629" t="s">
        <v>49048</v>
      </c>
      <c r="U1629" t="s">
        <v>49699</v>
      </c>
      <c r="W1629" t="s">
        <v>43003</v>
      </c>
      <c r="X1629" t="s">
        <v>47306</v>
      </c>
    </row>
    <row r="1630" spans="1:24">
      <c r="A1630">
        <f>HYPERLINK("https://www.philgeps.gov.ph/GEPSNONPILOT/Tender/SplashBidNoticeAbstractUI.aspx?menuIndex=3&amp;refID=7199393&amp;Result=3","7199393")</f>
        <v>0</v>
      </c>
      <c r="B1630" t="s">
        <v>477</v>
      </c>
      <c r="C1630" t="s">
        <v>5434</v>
      </c>
      <c r="D1630" t="s">
        <v>19019</v>
      </c>
      <c r="E1630" t="s">
        <v>20587</v>
      </c>
      <c r="F1630" t="s">
        <v>32606</v>
      </c>
      <c r="G1630" t="s">
        <v>32614</v>
      </c>
      <c r="H1630" t="s">
        <v>14201</v>
      </c>
      <c r="I1630" t="s">
        <v>9008</v>
      </c>
      <c r="J1630" t="s">
        <v>33967</v>
      </c>
      <c r="K1630" t="s">
        <v>42638</v>
      </c>
      <c r="M1630" t="s">
        <v>43388</v>
      </c>
      <c r="N1630" t="s">
        <v>47304</v>
      </c>
      <c r="O1630" t="s">
        <v>47305</v>
      </c>
      <c r="P1630">
        <v>0</v>
      </c>
      <c r="Q1630">
        <v>0</v>
      </c>
      <c r="R1630" t="s">
        <v>47307</v>
      </c>
      <c r="S1630" t="s">
        <v>47416</v>
      </c>
      <c r="T1630" t="s">
        <v>49023</v>
      </c>
      <c r="U1630" t="s">
        <v>51011</v>
      </c>
      <c r="W1630" t="s">
        <v>43388</v>
      </c>
      <c r="X1630" t="s">
        <v>47306</v>
      </c>
    </row>
    <row r="1631" spans="1:24">
      <c r="A1631">
        <f>HYPERLINK("https://www.philgeps.gov.ph/GEPSNONPILOT/Tender/SplashBidNoticeAbstractUI.aspx?menuIndex=3&amp;refID=7199386&amp;Result=3","7199386")</f>
        <v>0</v>
      </c>
      <c r="B1631" t="s">
        <v>28</v>
      </c>
      <c r="C1631" t="s">
        <v>5435</v>
      </c>
      <c r="D1631" t="s">
        <v>18993</v>
      </c>
      <c r="E1631" t="s">
        <v>20499</v>
      </c>
      <c r="F1631" t="s">
        <v>32606</v>
      </c>
      <c r="G1631" t="s">
        <v>32613</v>
      </c>
      <c r="H1631" t="s">
        <v>14201</v>
      </c>
      <c r="I1631" t="s">
        <v>7233</v>
      </c>
      <c r="J1631" t="s">
        <v>32778</v>
      </c>
      <c r="K1631" t="s">
        <v>42626</v>
      </c>
      <c r="M1631" t="s">
        <v>43687</v>
      </c>
      <c r="N1631" t="s">
        <v>47304</v>
      </c>
      <c r="O1631" t="s">
        <v>47305</v>
      </c>
      <c r="P1631">
        <v>0</v>
      </c>
      <c r="Q1631">
        <v>0</v>
      </c>
      <c r="R1631" t="s">
        <v>47307</v>
      </c>
      <c r="S1631" t="s">
        <v>47416</v>
      </c>
      <c r="T1631" t="s">
        <v>49136</v>
      </c>
      <c r="U1631" t="s">
        <v>50930</v>
      </c>
      <c r="V1631" t="s">
        <v>52234</v>
      </c>
      <c r="W1631" t="s">
        <v>43687</v>
      </c>
      <c r="X1631" t="s">
        <v>47306</v>
      </c>
    </row>
    <row r="1632" spans="1:24">
      <c r="A1632">
        <f>HYPERLINK("https://www.philgeps.gov.ph/GEPSNONPILOT/Tender/SplashBidNoticeAbstractUI.aspx?menuIndex=3&amp;refID=7199384&amp;Result=3","7199384")</f>
        <v>0</v>
      </c>
      <c r="B1632" t="s">
        <v>755</v>
      </c>
      <c r="C1632" t="s">
        <v>5436</v>
      </c>
      <c r="D1632" t="s">
        <v>18988</v>
      </c>
      <c r="E1632" t="s">
        <v>20588</v>
      </c>
      <c r="F1632" t="s">
        <v>32606</v>
      </c>
      <c r="G1632" t="s">
        <v>32613</v>
      </c>
      <c r="H1632" t="s">
        <v>14201</v>
      </c>
      <c r="I1632" t="s">
        <v>4369</v>
      </c>
      <c r="J1632" t="s">
        <v>33968</v>
      </c>
      <c r="K1632" t="s">
        <v>42631</v>
      </c>
      <c r="M1632" t="s">
        <v>43679</v>
      </c>
      <c r="N1632" t="s">
        <v>47304</v>
      </c>
      <c r="O1632" t="s">
        <v>47305</v>
      </c>
      <c r="P1632">
        <v>0</v>
      </c>
      <c r="Q1632">
        <v>0</v>
      </c>
      <c r="R1632" t="s">
        <v>47307</v>
      </c>
      <c r="S1632" t="s">
        <v>47416</v>
      </c>
      <c r="T1632" t="s">
        <v>49017</v>
      </c>
      <c r="U1632" t="s">
        <v>51012</v>
      </c>
      <c r="W1632" t="s">
        <v>43679</v>
      </c>
      <c r="X1632" t="s">
        <v>47306</v>
      </c>
    </row>
    <row r="1633" spans="1:24">
      <c r="A1633">
        <f>HYPERLINK("https://www.philgeps.gov.ph/GEPSNONPILOT/Tender/SplashBidNoticeAbstractUI.aspx?menuIndex=3&amp;refID=7199382&amp;Result=3","7199382")</f>
        <v>0</v>
      </c>
      <c r="B1633" t="s">
        <v>795</v>
      </c>
      <c r="C1633" t="s">
        <v>5437</v>
      </c>
      <c r="D1633" t="s">
        <v>19039</v>
      </c>
      <c r="E1633" t="s">
        <v>20589</v>
      </c>
      <c r="F1633" t="s">
        <v>32606</v>
      </c>
      <c r="G1633" t="s">
        <v>32614</v>
      </c>
      <c r="H1633" t="s">
        <v>14201</v>
      </c>
      <c r="I1633" t="s">
        <v>6931</v>
      </c>
      <c r="J1633" t="s">
        <v>33969</v>
      </c>
      <c r="K1633" t="s">
        <v>42623</v>
      </c>
      <c r="M1633" t="s">
        <v>43726</v>
      </c>
      <c r="N1633" t="s">
        <v>47304</v>
      </c>
      <c r="O1633" t="s">
        <v>47305</v>
      </c>
      <c r="P1633">
        <v>0</v>
      </c>
      <c r="Q1633">
        <v>0</v>
      </c>
      <c r="R1633" t="s">
        <v>47307</v>
      </c>
      <c r="S1633" t="s">
        <v>47416</v>
      </c>
      <c r="T1633" t="s">
        <v>48996</v>
      </c>
      <c r="U1633" t="s">
        <v>51013</v>
      </c>
      <c r="W1633" t="s">
        <v>43726</v>
      </c>
      <c r="X1633" t="s">
        <v>47306</v>
      </c>
    </row>
    <row r="1634" spans="1:24">
      <c r="A1634">
        <f>HYPERLINK("https://www.philgeps.gov.ph/GEPSNONPILOT/Tender/SplashBidNoticeAbstractUI.aspx?menuIndex=3&amp;refID=7199357&amp;Result=3","7199357")</f>
        <v>0</v>
      </c>
      <c r="B1634" t="s">
        <v>731</v>
      </c>
      <c r="C1634" t="s">
        <v>5438</v>
      </c>
      <c r="D1634" t="s">
        <v>18988</v>
      </c>
      <c r="E1634" t="s">
        <v>20590</v>
      </c>
      <c r="F1634" t="s">
        <v>32606</v>
      </c>
      <c r="G1634" t="s">
        <v>32614</v>
      </c>
      <c r="H1634" t="s">
        <v>14201</v>
      </c>
      <c r="I1634" t="s">
        <v>6931</v>
      </c>
      <c r="J1634" t="s">
        <v>33970</v>
      </c>
      <c r="K1634" t="s">
        <v>42623</v>
      </c>
      <c r="M1634" t="s">
        <v>43653</v>
      </c>
      <c r="N1634" t="s">
        <v>47304</v>
      </c>
      <c r="O1634" t="s">
        <v>47305</v>
      </c>
      <c r="P1634">
        <v>0</v>
      </c>
      <c r="Q1634">
        <v>0</v>
      </c>
      <c r="R1634" t="s">
        <v>47307</v>
      </c>
      <c r="S1634" t="s">
        <v>47416</v>
      </c>
      <c r="T1634" t="s">
        <v>49087</v>
      </c>
      <c r="U1634" t="s">
        <v>51014</v>
      </c>
      <c r="V1634" t="s">
        <v>62832</v>
      </c>
      <c r="W1634" t="s">
        <v>43653</v>
      </c>
      <c r="X1634" t="s">
        <v>47306</v>
      </c>
    </row>
    <row r="1635" spans="1:24">
      <c r="A1635">
        <f>HYPERLINK("https://www.philgeps.gov.ph/GEPSNONPILOT/Tender/SplashBidNoticeAbstractUI.aspx?menuIndex=3&amp;refID=7199398&amp;Result=3","7199398")</f>
        <v>0</v>
      </c>
      <c r="B1635" t="s">
        <v>617</v>
      </c>
      <c r="C1635" t="s">
        <v>5439</v>
      </c>
      <c r="D1635" t="s">
        <v>19058</v>
      </c>
      <c r="E1635" t="s">
        <v>20591</v>
      </c>
      <c r="F1635" t="s">
        <v>32606</v>
      </c>
      <c r="G1635" t="s">
        <v>32614</v>
      </c>
      <c r="H1635" t="s">
        <v>32623</v>
      </c>
      <c r="I1635" t="s">
        <v>17648</v>
      </c>
      <c r="J1635" t="s">
        <v>33971</v>
      </c>
      <c r="K1635" t="s">
        <v>42624</v>
      </c>
      <c r="M1635" t="s">
        <v>43535</v>
      </c>
      <c r="N1635" t="s">
        <v>47304</v>
      </c>
      <c r="O1635" t="s">
        <v>47305</v>
      </c>
      <c r="P1635">
        <v>0</v>
      </c>
      <c r="Q1635">
        <v>0</v>
      </c>
      <c r="R1635" t="s">
        <v>47307</v>
      </c>
      <c r="S1635" t="s">
        <v>47416</v>
      </c>
      <c r="T1635" t="s">
        <v>48988</v>
      </c>
      <c r="U1635" t="s">
        <v>51015</v>
      </c>
      <c r="V1635" t="s">
        <v>62789</v>
      </c>
      <c r="W1635" t="s">
        <v>43535</v>
      </c>
      <c r="X1635" t="s">
        <v>47306</v>
      </c>
    </row>
    <row r="1636" spans="1:24">
      <c r="A1636">
        <f>HYPERLINK("https://www.philgeps.gov.ph/GEPSNONPILOT/Tender/SplashBidNoticeAbstractUI.aspx?menuIndex=3&amp;refID=7199381&amp;Result=3","7199381")</f>
        <v>0</v>
      </c>
      <c r="B1636" t="s">
        <v>238</v>
      </c>
      <c r="C1636" t="s">
        <v>5440</v>
      </c>
      <c r="D1636" t="s">
        <v>18993</v>
      </c>
      <c r="E1636" t="s">
        <v>20592</v>
      </c>
      <c r="F1636" t="s">
        <v>32606</v>
      </c>
      <c r="G1636" t="s">
        <v>32619</v>
      </c>
      <c r="H1636" t="s">
        <v>14201</v>
      </c>
      <c r="I1636" t="s">
        <v>4114</v>
      </c>
      <c r="J1636" t="s">
        <v>33831</v>
      </c>
      <c r="K1636" t="s">
        <v>42622</v>
      </c>
      <c r="M1636" t="s">
        <v>43194</v>
      </c>
      <c r="N1636" t="s">
        <v>47304</v>
      </c>
      <c r="O1636" t="s">
        <v>47305</v>
      </c>
      <c r="P1636">
        <v>0</v>
      </c>
      <c r="Q1636">
        <v>0</v>
      </c>
      <c r="R1636" t="s">
        <v>47307</v>
      </c>
      <c r="S1636" t="s">
        <v>47416</v>
      </c>
      <c r="T1636" t="s">
        <v>49123</v>
      </c>
      <c r="U1636" t="s">
        <v>51016</v>
      </c>
      <c r="V1636" t="s">
        <v>62716</v>
      </c>
      <c r="W1636" t="s">
        <v>43194</v>
      </c>
      <c r="X1636" t="s">
        <v>47306</v>
      </c>
    </row>
    <row r="1637" spans="1:24">
      <c r="A1637">
        <f>HYPERLINK("https://www.philgeps.gov.ph/GEPSNONPILOT/Tender/SplashBidNoticeAbstractUI.aspx?menuIndex=3&amp;refID=7199427&amp;Result=3","7199427")</f>
        <v>0</v>
      </c>
      <c r="B1637" t="s">
        <v>771</v>
      </c>
      <c r="C1637" t="s">
        <v>5441</v>
      </c>
      <c r="D1637" t="s">
        <v>19058</v>
      </c>
      <c r="E1637" t="s">
        <v>20593</v>
      </c>
      <c r="F1637" t="s">
        <v>32606</v>
      </c>
      <c r="G1637" t="s">
        <v>32614</v>
      </c>
      <c r="H1637" t="s">
        <v>14201</v>
      </c>
      <c r="I1637" t="s">
        <v>7577</v>
      </c>
      <c r="J1637" t="s">
        <v>33274</v>
      </c>
      <c r="K1637" t="s">
        <v>42631</v>
      </c>
      <c r="M1637" t="s">
        <v>43699</v>
      </c>
      <c r="N1637" t="s">
        <v>47304</v>
      </c>
      <c r="O1637" t="s">
        <v>47305</v>
      </c>
      <c r="P1637">
        <v>0</v>
      </c>
      <c r="Q1637">
        <v>0</v>
      </c>
      <c r="R1637" t="s">
        <v>47307</v>
      </c>
      <c r="S1637" t="s">
        <v>47416</v>
      </c>
      <c r="T1637" t="s">
        <v>49175</v>
      </c>
      <c r="U1637" t="s">
        <v>50948</v>
      </c>
      <c r="W1637" t="s">
        <v>43699</v>
      </c>
      <c r="X1637" t="s">
        <v>47306</v>
      </c>
    </row>
    <row r="1638" spans="1:24">
      <c r="A1638">
        <f>HYPERLINK("https://www.philgeps.gov.ph/GEPSNONPILOT/Tender/SplashBidNoticeAbstractUI.aspx?menuIndex=3&amp;refID=7199385&amp;Result=3","7199385")</f>
        <v>0</v>
      </c>
      <c r="B1638" t="s">
        <v>745</v>
      </c>
      <c r="C1638" t="s">
        <v>5442</v>
      </c>
      <c r="D1638" t="s">
        <v>19043</v>
      </c>
      <c r="E1638" t="s">
        <v>20594</v>
      </c>
      <c r="F1638" t="s">
        <v>32606</v>
      </c>
      <c r="G1638" t="s">
        <v>32615</v>
      </c>
      <c r="H1638" t="s">
        <v>14201</v>
      </c>
      <c r="I1638" t="s">
        <v>6931</v>
      </c>
      <c r="J1638" t="s">
        <v>33972</v>
      </c>
      <c r="K1638" t="s">
        <v>42622</v>
      </c>
      <c r="M1638" t="s">
        <v>43668</v>
      </c>
      <c r="N1638" t="s">
        <v>47304</v>
      </c>
      <c r="O1638" t="s">
        <v>47305</v>
      </c>
      <c r="P1638">
        <v>0</v>
      </c>
      <c r="Q1638">
        <v>0</v>
      </c>
      <c r="R1638" t="s">
        <v>47307</v>
      </c>
      <c r="S1638" t="s">
        <v>47416</v>
      </c>
      <c r="T1638" t="s">
        <v>49180</v>
      </c>
      <c r="U1638" t="s">
        <v>51017</v>
      </c>
      <c r="W1638" t="s">
        <v>43668</v>
      </c>
      <c r="X1638" t="s">
        <v>47306</v>
      </c>
    </row>
    <row r="1639" spans="1:24">
      <c r="A1639">
        <f>HYPERLINK("https://www.philgeps.gov.ph/GEPSNONPILOT/Tender/SplashBidNoticeAbstractUI.aspx?menuIndex=3&amp;refID=7199425&amp;Result=3","7199425")</f>
        <v>0</v>
      </c>
      <c r="B1639" t="s">
        <v>796</v>
      </c>
      <c r="C1639" t="s">
        <v>5443</v>
      </c>
      <c r="D1639" t="s">
        <v>19022</v>
      </c>
      <c r="E1639" t="s">
        <v>19462</v>
      </c>
      <c r="F1639" t="s">
        <v>32606</v>
      </c>
      <c r="G1639" t="s">
        <v>32614</v>
      </c>
      <c r="H1639" t="s">
        <v>14201</v>
      </c>
      <c r="I1639" t="s">
        <v>32655</v>
      </c>
      <c r="J1639" t="s">
        <v>33973</v>
      </c>
      <c r="K1639" t="s">
        <v>42624</v>
      </c>
      <c r="M1639" t="s">
        <v>43727</v>
      </c>
      <c r="N1639" t="s">
        <v>47304</v>
      </c>
      <c r="O1639" t="s">
        <v>47305</v>
      </c>
      <c r="P1639">
        <v>0</v>
      </c>
      <c r="Q1639">
        <v>0</v>
      </c>
      <c r="R1639" t="s">
        <v>47307</v>
      </c>
      <c r="S1639" t="s">
        <v>47416</v>
      </c>
      <c r="T1639" t="s">
        <v>49108</v>
      </c>
      <c r="U1639" t="s">
        <v>51018</v>
      </c>
      <c r="W1639" t="s">
        <v>43727</v>
      </c>
      <c r="X1639" t="s">
        <v>47306</v>
      </c>
    </row>
    <row r="1640" spans="1:24">
      <c r="A1640">
        <f>HYPERLINK("https://www.philgeps.gov.ph/GEPSNONPILOT/Tender/SplashBidNoticeAbstractUI.aspx?menuIndex=3&amp;refID=7199383&amp;Result=3","7199383")</f>
        <v>0</v>
      </c>
      <c r="B1640" t="s">
        <v>334</v>
      </c>
      <c r="C1640" t="s">
        <v>5444</v>
      </c>
      <c r="D1640" t="s">
        <v>19057</v>
      </c>
      <c r="E1640" t="s">
        <v>20595</v>
      </c>
      <c r="F1640" t="s">
        <v>32606</v>
      </c>
      <c r="G1640" t="s">
        <v>32619</v>
      </c>
      <c r="H1640" t="s">
        <v>14201</v>
      </c>
      <c r="I1640" t="s">
        <v>6007</v>
      </c>
      <c r="J1640" t="s">
        <v>33974</v>
      </c>
      <c r="K1640" t="s">
        <v>42632</v>
      </c>
      <c r="M1640" t="s">
        <v>43236</v>
      </c>
      <c r="N1640" t="s">
        <v>47304</v>
      </c>
      <c r="O1640" t="s">
        <v>47305</v>
      </c>
      <c r="P1640">
        <v>0</v>
      </c>
      <c r="Q1640">
        <v>0</v>
      </c>
      <c r="R1640" t="s">
        <v>47307</v>
      </c>
      <c r="S1640" t="s">
        <v>47416</v>
      </c>
      <c r="T1640" t="s">
        <v>48998</v>
      </c>
      <c r="U1640" t="s">
        <v>51019</v>
      </c>
      <c r="W1640" t="s">
        <v>43236</v>
      </c>
      <c r="X1640" t="s">
        <v>47306</v>
      </c>
    </row>
    <row r="1641" spans="1:24">
      <c r="A1641">
        <f>HYPERLINK("https://www.philgeps.gov.ph/GEPSNONPILOT/Tender/SplashBidNoticeAbstractUI.aspx?menuIndex=3&amp;refID=7199424&amp;Result=3","7199424")</f>
        <v>0</v>
      </c>
      <c r="B1641" t="s">
        <v>797</v>
      </c>
      <c r="C1641" t="s">
        <v>5445</v>
      </c>
      <c r="D1641" t="s">
        <v>19004</v>
      </c>
      <c r="E1641" t="s">
        <v>20596</v>
      </c>
      <c r="F1641" t="s">
        <v>32606</v>
      </c>
      <c r="G1641" t="s">
        <v>32614</v>
      </c>
      <c r="H1641" t="s">
        <v>14201</v>
      </c>
      <c r="I1641" t="s">
        <v>4678</v>
      </c>
      <c r="J1641" t="s">
        <v>33975</v>
      </c>
      <c r="K1641" t="s">
        <v>42629</v>
      </c>
      <c r="M1641" t="s">
        <v>43728</v>
      </c>
      <c r="N1641" t="s">
        <v>47304</v>
      </c>
      <c r="O1641" t="s">
        <v>47305</v>
      </c>
      <c r="P1641">
        <v>0</v>
      </c>
      <c r="Q1641">
        <v>0</v>
      </c>
      <c r="R1641" t="s">
        <v>47307</v>
      </c>
      <c r="S1641" t="s">
        <v>47416</v>
      </c>
      <c r="T1641" t="s">
        <v>49175</v>
      </c>
      <c r="U1641" t="s">
        <v>51020</v>
      </c>
      <c r="W1641" t="s">
        <v>43728</v>
      </c>
      <c r="X1641" t="s">
        <v>47306</v>
      </c>
    </row>
    <row r="1642" spans="1:24">
      <c r="A1642">
        <f>HYPERLINK("https://www.philgeps.gov.ph/GEPSNONPILOT/Tender/SplashBidNoticeAbstractUI.aspx?menuIndex=3&amp;refID=7199423&amp;Result=3","7199423")</f>
        <v>0</v>
      </c>
      <c r="B1642" t="s">
        <v>798</v>
      </c>
      <c r="C1642" t="s">
        <v>5446</v>
      </c>
      <c r="D1642" t="s">
        <v>19039</v>
      </c>
      <c r="E1642" t="s">
        <v>20597</v>
      </c>
      <c r="F1642" t="s">
        <v>32606</v>
      </c>
      <c r="G1642" t="s">
        <v>32614</v>
      </c>
      <c r="H1642" t="s">
        <v>14201</v>
      </c>
      <c r="I1642" t="s">
        <v>6931</v>
      </c>
      <c r="J1642" t="s">
        <v>33976</v>
      </c>
      <c r="K1642" t="s">
        <v>42630</v>
      </c>
      <c r="M1642" t="s">
        <v>43729</v>
      </c>
      <c r="N1642" t="s">
        <v>47304</v>
      </c>
      <c r="O1642" t="s">
        <v>47305</v>
      </c>
      <c r="P1642">
        <v>0</v>
      </c>
      <c r="Q1642">
        <v>0</v>
      </c>
      <c r="R1642" t="s">
        <v>47307</v>
      </c>
      <c r="S1642" t="s">
        <v>47416</v>
      </c>
      <c r="T1642" t="s">
        <v>49093</v>
      </c>
      <c r="U1642" t="s">
        <v>51021</v>
      </c>
      <c r="V1642" t="s">
        <v>62833</v>
      </c>
      <c r="W1642" t="s">
        <v>43729</v>
      </c>
      <c r="X1642" t="s">
        <v>47306</v>
      </c>
    </row>
    <row r="1643" spans="1:24">
      <c r="A1643">
        <f>HYPERLINK("https://www.philgeps.gov.ph/GEPSNONPILOT/Tender/SplashBidNoticeAbstractUI.aspx?menuIndex=3&amp;refID=7199422&amp;Result=3","7199422")</f>
        <v>0</v>
      </c>
      <c r="B1643" t="s">
        <v>745</v>
      </c>
      <c r="C1643" t="s">
        <v>5447</v>
      </c>
      <c r="D1643" t="s">
        <v>19043</v>
      </c>
      <c r="E1643" t="s">
        <v>20598</v>
      </c>
      <c r="F1643" t="s">
        <v>32606</v>
      </c>
      <c r="G1643" t="s">
        <v>32615</v>
      </c>
      <c r="H1643" t="s">
        <v>14201</v>
      </c>
      <c r="I1643" t="s">
        <v>32709</v>
      </c>
      <c r="J1643" t="s">
        <v>32770</v>
      </c>
      <c r="K1643" t="s">
        <v>42622</v>
      </c>
      <c r="M1643" t="s">
        <v>43668</v>
      </c>
      <c r="N1643" t="s">
        <v>47304</v>
      </c>
      <c r="O1643" t="s">
        <v>47305</v>
      </c>
      <c r="P1643">
        <v>0</v>
      </c>
      <c r="Q1643">
        <v>0</v>
      </c>
      <c r="R1643" t="s">
        <v>47307</v>
      </c>
      <c r="S1643" t="s">
        <v>47416</v>
      </c>
      <c r="T1643" t="s">
        <v>49180</v>
      </c>
      <c r="U1643" t="s">
        <v>51022</v>
      </c>
      <c r="W1643" t="s">
        <v>43668</v>
      </c>
      <c r="X1643" t="s">
        <v>47306</v>
      </c>
    </row>
    <row r="1644" spans="1:24">
      <c r="A1644">
        <f>HYPERLINK("https://www.philgeps.gov.ph/GEPSNONPILOT/Tender/SplashBidNoticeAbstractUI.aspx?menuIndex=3&amp;refID=7199395&amp;Result=3","7199395")</f>
        <v>0</v>
      </c>
      <c r="B1644" t="s">
        <v>799</v>
      </c>
      <c r="C1644" t="s">
        <v>5448</v>
      </c>
      <c r="E1644" t="s">
        <v>20599</v>
      </c>
      <c r="F1644" t="s">
        <v>32606</v>
      </c>
      <c r="G1644" t="s">
        <v>32614</v>
      </c>
      <c r="H1644" t="s">
        <v>14201</v>
      </c>
      <c r="I1644" t="s">
        <v>6931</v>
      </c>
      <c r="J1644" t="s">
        <v>33977</v>
      </c>
      <c r="K1644" t="s">
        <v>42630</v>
      </c>
      <c r="M1644" t="s">
        <v>43730</v>
      </c>
      <c r="N1644" t="s">
        <v>47304</v>
      </c>
      <c r="O1644" t="s">
        <v>47305</v>
      </c>
      <c r="P1644">
        <v>0</v>
      </c>
      <c r="Q1644">
        <v>0</v>
      </c>
      <c r="R1644" t="s">
        <v>47307</v>
      </c>
      <c r="S1644" t="s">
        <v>47416</v>
      </c>
      <c r="T1644" t="s">
        <v>49184</v>
      </c>
      <c r="U1644" t="s">
        <v>51023</v>
      </c>
      <c r="V1644" t="s">
        <v>62834</v>
      </c>
      <c r="W1644" t="s">
        <v>43730</v>
      </c>
      <c r="X1644" t="s">
        <v>47306</v>
      </c>
    </row>
    <row r="1645" spans="1:24">
      <c r="A1645">
        <f>HYPERLINK("https://www.philgeps.gov.ph/GEPSNONPILOT/Tender/SplashBidNoticeAbstractUI.aspx?menuIndex=3&amp;refID=7199421&amp;Result=3","7199421")</f>
        <v>0</v>
      </c>
      <c r="B1645" t="s">
        <v>800</v>
      </c>
      <c r="C1645" t="s">
        <v>5449</v>
      </c>
      <c r="D1645" t="s">
        <v>19014</v>
      </c>
      <c r="E1645" t="s">
        <v>20600</v>
      </c>
      <c r="F1645" t="s">
        <v>32606</v>
      </c>
      <c r="G1645" t="s">
        <v>32613</v>
      </c>
      <c r="H1645" t="s">
        <v>14201</v>
      </c>
      <c r="I1645" t="s">
        <v>6931</v>
      </c>
      <c r="J1645" t="s">
        <v>33978</v>
      </c>
      <c r="K1645" t="s">
        <v>42638</v>
      </c>
      <c r="M1645" t="s">
        <v>43731</v>
      </c>
      <c r="N1645" t="s">
        <v>47304</v>
      </c>
      <c r="O1645" t="s">
        <v>47305</v>
      </c>
      <c r="P1645">
        <v>0</v>
      </c>
      <c r="Q1645">
        <v>0</v>
      </c>
      <c r="R1645" t="s">
        <v>47307</v>
      </c>
      <c r="S1645" t="s">
        <v>47416</v>
      </c>
      <c r="T1645" t="s">
        <v>49028</v>
      </c>
      <c r="U1645" t="s">
        <v>50441</v>
      </c>
      <c r="W1645" t="s">
        <v>43731</v>
      </c>
      <c r="X1645" t="s">
        <v>47306</v>
      </c>
    </row>
    <row r="1646" spans="1:24">
      <c r="A1646">
        <f>HYPERLINK("https://www.philgeps.gov.ph/GEPSNONPILOT/Tender/SplashBidNoticeAbstractUI.aspx?menuIndex=3&amp;refID=7199420&amp;Result=3","7199420")</f>
        <v>0</v>
      </c>
      <c r="B1646" t="s">
        <v>801</v>
      </c>
      <c r="C1646" t="s">
        <v>5450</v>
      </c>
      <c r="D1646" t="s">
        <v>19008</v>
      </c>
      <c r="E1646" t="s">
        <v>20601</v>
      </c>
      <c r="F1646" t="s">
        <v>32606</v>
      </c>
      <c r="G1646" t="s">
        <v>32613</v>
      </c>
      <c r="H1646" t="s">
        <v>14201</v>
      </c>
      <c r="I1646" t="s">
        <v>32629</v>
      </c>
      <c r="J1646" t="s">
        <v>33979</v>
      </c>
      <c r="K1646" t="s">
        <v>42623</v>
      </c>
      <c r="M1646" t="s">
        <v>43732</v>
      </c>
      <c r="N1646" t="s">
        <v>47304</v>
      </c>
      <c r="O1646" t="s">
        <v>47305</v>
      </c>
      <c r="P1646">
        <v>0</v>
      </c>
      <c r="Q1646">
        <v>0</v>
      </c>
      <c r="R1646" t="s">
        <v>47307</v>
      </c>
      <c r="S1646" t="s">
        <v>47416</v>
      </c>
      <c r="T1646" t="s">
        <v>49075</v>
      </c>
      <c r="U1646" t="s">
        <v>51024</v>
      </c>
      <c r="V1646" t="s">
        <v>62835</v>
      </c>
      <c r="W1646" t="s">
        <v>43732</v>
      </c>
      <c r="X1646" t="s">
        <v>47306</v>
      </c>
    </row>
    <row r="1647" spans="1:24">
      <c r="A1647">
        <f>HYPERLINK("https://www.philgeps.gov.ph/GEPSNONPILOT/Tender/SplashBidNoticeAbstractUI.aspx?menuIndex=3&amp;refID=7199417&amp;Result=3","7199417")</f>
        <v>0</v>
      </c>
      <c r="B1647" t="s">
        <v>755</v>
      </c>
      <c r="C1647" t="s">
        <v>5451</v>
      </c>
      <c r="D1647" t="s">
        <v>18988</v>
      </c>
      <c r="E1647" t="s">
        <v>20602</v>
      </c>
      <c r="F1647" t="s">
        <v>32606</v>
      </c>
      <c r="G1647" t="s">
        <v>32613</v>
      </c>
      <c r="H1647" t="s">
        <v>14201</v>
      </c>
      <c r="I1647" t="s">
        <v>7064</v>
      </c>
      <c r="J1647" t="s">
        <v>33980</v>
      </c>
      <c r="K1647" t="s">
        <v>42631</v>
      </c>
      <c r="M1647" t="s">
        <v>43679</v>
      </c>
      <c r="N1647" t="s">
        <v>47304</v>
      </c>
      <c r="O1647" t="s">
        <v>47305</v>
      </c>
      <c r="P1647">
        <v>0</v>
      </c>
      <c r="Q1647">
        <v>0</v>
      </c>
      <c r="R1647" t="s">
        <v>47307</v>
      </c>
      <c r="S1647" t="s">
        <v>47416</v>
      </c>
      <c r="T1647" t="s">
        <v>49017</v>
      </c>
      <c r="U1647" t="s">
        <v>51025</v>
      </c>
      <c r="W1647" t="s">
        <v>43679</v>
      </c>
      <c r="X1647" t="s">
        <v>47306</v>
      </c>
    </row>
    <row r="1648" spans="1:24">
      <c r="A1648">
        <f>HYPERLINK("https://www.philgeps.gov.ph/GEPSNONPILOT/Tender/SplashBidNoticeAbstractUI.aspx?menuIndex=3&amp;refID=7199366&amp;Result=3","7199366")</f>
        <v>0</v>
      </c>
      <c r="B1648" t="s">
        <v>802</v>
      </c>
      <c r="C1648" t="s">
        <v>5452</v>
      </c>
      <c r="D1648" t="s">
        <v>19011</v>
      </c>
      <c r="E1648" t="s">
        <v>20603</v>
      </c>
      <c r="F1648" t="s">
        <v>32606</v>
      </c>
      <c r="G1648" t="s">
        <v>32619</v>
      </c>
      <c r="H1648" t="s">
        <v>14201</v>
      </c>
      <c r="I1648" t="s">
        <v>7233</v>
      </c>
      <c r="J1648" t="s">
        <v>33981</v>
      </c>
      <c r="K1648" t="s">
        <v>42622</v>
      </c>
      <c r="M1648" t="s">
        <v>43733</v>
      </c>
      <c r="N1648" t="s">
        <v>47304</v>
      </c>
      <c r="O1648" t="s">
        <v>47305</v>
      </c>
      <c r="P1648">
        <v>0</v>
      </c>
      <c r="Q1648">
        <v>0</v>
      </c>
      <c r="R1648" t="s">
        <v>47307</v>
      </c>
      <c r="S1648" t="s">
        <v>47416</v>
      </c>
      <c r="T1648" t="s">
        <v>48976</v>
      </c>
      <c r="U1648" t="s">
        <v>51026</v>
      </c>
      <c r="W1648" t="s">
        <v>43733</v>
      </c>
      <c r="X1648" t="s">
        <v>47306</v>
      </c>
    </row>
    <row r="1649" spans="1:24">
      <c r="A1649">
        <f>HYPERLINK("https://www.philgeps.gov.ph/GEPSNONPILOT/Tender/SplashBidNoticeAbstractUI.aspx?menuIndex=3&amp;refID=7199415&amp;Result=3","7199415")</f>
        <v>0</v>
      </c>
      <c r="B1649" t="s">
        <v>803</v>
      </c>
      <c r="C1649" t="s">
        <v>5453</v>
      </c>
      <c r="D1649" t="s">
        <v>18993</v>
      </c>
      <c r="E1649" t="s">
        <v>19809</v>
      </c>
      <c r="F1649" t="s">
        <v>32606</v>
      </c>
      <c r="G1649" t="s">
        <v>32614</v>
      </c>
      <c r="H1649" t="s">
        <v>14201</v>
      </c>
      <c r="I1649" t="s">
        <v>32710</v>
      </c>
      <c r="J1649" t="s">
        <v>33982</v>
      </c>
      <c r="K1649" t="s">
        <v>42630</v>
      </c>
      <c r="M1649" t="s">
        <v>43734</v>
      </c>
      <c r="N1649" t="s">
        <v>47304</v>
      </c>
      <c r="O1649" t="s">
        <v>47305</v>
      </c>
      <c r="P1649">
        <v>0</v>
      </c>
      <c r="Q1649">
        <v>0</v>
      </c>
      <c r="R1649" t="s">
        <v>47307</v>
      </c>
      <c r="S1649" t="s">
        <v>47416</v>
      </c>
      <c r="T1649" t="s">
        <v>48976</v>
      </c>
      <c r="U1649" t="s">
        <v>51027</v>
      </c>
      <c r="W1649" t="s">
        <v>43734</v>
      </c>
      <c r="X1649" t="s">
        <v>47306</v>
      </c>
    </row>
    <row r="1650" spans="1:24">
      <c r="A1650">
        <f>HYPERLINK("https://www.philgeps.gov.ph/GEPSNONPILOT/Tender/SplashBidNoticeAbstractUI.aspx?menuIndex=3&amp;refID=7199413&amp;Result=3","7199413")</f>
        <v>0</v>
      </c>
      <c r="B1650" t="s">
        <v>804</v>
      </c>
      <c r="C1650" t="s">
        <v>5454</v>
      </c>
      <c r="D1650" t="s">
        <v>18997</v>
      </c>
      <c r="E1650" t="s">
        <v>20604</v>
      </c>
      <c r="F1650" t="s">
        <v>32606</v>
      </c>
      <c r="G1650" t="s">
        <v>32614</v>
      </c>
      <c r="H1650" t="s">
        <v>14201</v>
      </c>
      <c r="I1650" t="s">
        <v>32658</v>
      </c>
      <c r="J1650" t="s">
        <v>33983</v>
      </c>
      <c r="K1650" t="s">
        <v>42632</v>
      </c>
      <c r="M1650" t="s">
        <v>43735</v>
      </c>
      <c r="N1650" t="s">
        <v>47304</v>
      </c>
      <c r="O1650" t="s">
        <v>47305</v>
      </c>
      <c r="P1650">
        <v>0</v>
      </c>
      <c r="Q1650">
        <v>0</v>
      </c>
      <c r="R1650" t="s">
        <v>47307</v>
      </c>
      <c r="S1650" t="s">
        <v>47416</v>
      </c>
      <c r="T1650" t="s">
        <v>49116</v>
      </c>
      <c r="U1650" t="s">
        <v>51028</v>
      </c>
      <c r="W1650" t="s">
        <v>43735</v>
      </c>
      <c r="X1650" t="s">
        <v>47306</v>
      </c>
    </row>
    <row r="1651" spans="1:24">
      <c r="A1651">
        <f>HYPERLINK("https://www.philgeps.gov.ph/GEPSNONPILOT/Tender/SplashBidNoticeAbstractUI.aspx?menuIndex=3&amp;refID=7199412&amp;Result=3","7199412")</f>
        <v>0</v>
      </c>
      <c r="B1651" t="s">
        <v>805</v>
      </c>
      <c r="C1651" t="s">
        <v>5455</v>
      </c>
      <c r="D1651" t="s">
        <v>19059</v>
      </c>
      <c r="E1651" t="s">
        <v>20605</v>
      </c>
      <c r="F1651" t="s">
        <v>32606</v>
      </c>
      <c r="G1651" t="s">
        <v>32614</v>
      </c>
      <c r="H1651" t="s">
        <v>14201</v>
      </c>
      <c r="I1651" t="s">
        <v>9008</v>
      </c>
      <c r="J1651" t="s">
        <v>33984</v>
      </c>
      <c r="K1651" t="s">
        <v>42622</v>
      </c>
      <c r="M1651" t="s">
        <v>43736</v>
      </c>
      <c r="N1651" t="s">
        <v>47304</v>
      </c>
      <c r="O1651" t="s">
        <v>47305</v>
      </c>
      <c r="P1651">
        <v>0</v>
      </c>
      <c r="Q1651">
        <v>0</v>
      </c>
      <c r="R1651" t="s">
        <v>47307</v>
      </c>
      <c r="S1651" t="s">
        <v>47416</v>
      </c>
      <c r="T1651" t="s">
        <v>49087</v>
      </c>
      <c r="U1651" t="s">
        <v>51029</v>
      </c>
      <c r="W1651" t="s">
        <v>64448</v>
      </c>
      <c r="X1651" t="s">
        <v>47306</v>
      </c>
    </row>
    <row r="1652" spans="1:24">
      <c r="A1652">
        <f>HYPERLINK("https://www.philgeps.gov.ph/GEPSNONPILOT/Tender/SplashBidNoticeAbstractUI.aspx?menuIndex=3&amp;refID=7199388&amp;Result=3","7199388")</f>
        <v>0</v>
      </c>
      <c r="B1652" t="s">
        <v>609</v>
      </c>
      <c r="C1652" t="s">
        <v>5456</v>
      </c>
      <c r="D1652" t="s">
        <v>19024</v>
      </c>
      <c r="E1652" t="s">
        <v>20606</v>
      </c>
      <c r="F1652" t="s">
        <v>32606</v>
      </c>
      <c r="G1652" t="s">
        <v>32614</v>
      </c>
      <c r="H1652" t="s">
        <v>14201</v>
      </c>
      <c r="I1652" t="s">
        <v>32655</v>
      </c>
      <c r="J1652" t="s">
        <v>32920</v>
      </c>
      <c r="K1652" t="s">
        <v>42624</v>
      </c>
      <c r="M1652" t="s">
        <v>43526</v>
      </c>
      <c r="N1652" t="s">
        <v>47304</v>
      </c>
      <c r="O1652" t="s">
        <v>47305</v>
      </c>
      <c r="P1652">
        <v>0</v>
      </c>
      <c r="Q1652">
        <v>0</v>
      </c>
      <c r="R1652" t="s">
        <v>47307</v>
      </c>
      <c r="S1652" t="s">
        <v>47416</v>
      </c>
      <c r="T1652" t="s">
        <v>48972</v>
      </c>
      <c r="U1652" t="s">
        <v>51030</v>
      </c>
      <c r="W1652" t="s">
        <v>43526</v>
      </c>
      <c r="X1652" t="s">
        <v>47306</v>
      </c>
    </row>
    <row r="1653" spans="1:24">
      <c r="A1653">
        <f>HYPERLINK("https://www.philgeps.gov.ph/GEPSNONPILOT/Tender/SplashBidNoticeAbstractUI.aspx?menuIndex=3&amp;refID=7199428&amp;Result=3","7199428")</f>
        <v>0</v>
      </c>
      <c r="B1653" t="s">
        <v>340</v>
      </c>
      <c r="C1653" t="s">
        <v>5457</v>
      </c>
      <c r="D1653" t="s">
        <v>19029</v>
      </c>
      <c r="E1653" t="s">
        <v>20607</v>
      </c>
      <c r="F1653" t="s">
        <v>32606</v>
      </c>
      <c r="G1653" t="s">
        <v>32619</v>
      </c>
      <c r="H1653" t="s">
        <v>14201</v>
      </c>
      <c r="I1653" t="s">
        <v>4120</v>
      </c>
      <c r="J1653" t="s">
        <v>33985</v>
      </c>
      <c r="K1653" t="s">
        <v>42624</v>
      </c>
      <c r="M1653" t="s">
        <v>43242</v>
      </c>
      <c r="N1653" t="s">
        <v>47304</v>
      </c>
      <c r="O1653" t="s">
        <v>47305</v>
      </c>
      <c r="P1653">
        <v>0</v>
      </c>
      <c r="Q1653">
        <v>0</v>
      </c>
      <c r="R1653" t="s">
        <v>47307</v>
      </c>
      <c r="S1653" t="s">
        <v>47416</v>
      </c>
      <c r="T1653" t="s">
        <v>49050</v>
      </c>
      <c r="U1653" t="s">
        <v>51031</v>
      </c>
      <c r="W1653" t="s">
        <v>43242</v>
      </c>
      <c r="X1653" t="s">
        <v>47306</v>
      </c>
    </row>
    <row r="1654" spans="1:24">
      <c r="A1654">
        <f>HYPERLINK("https://www.philgeps.gov.ph/GEPSNONPILOT/Tender/SplashBidNoticeAbstractUI.aspx?menuIndex=3&amp;refID=7199446&amp;Result=3","7199446")</f>
        <v>0</v>
      </c>
      <c r="B1654" t="s">
        <v>569</v>
      </c>
      <c r="C1654" t="s">
        <v>5458</v>
      </c>
      <c r="D1654" t="s">
        <v>18993</v>
      </c>
      <c r="E1654" t="s">
        <v>20608</v>
      </c>
      <c r="F1654" t="s">
        <v>32606</v>
      </c>
      <c r="G1654" t="s">
        <v>32614</v>
      </c>
      <c r="H1654" t="s">
        <v>14201</v>
      </c>
      <c r="I1654" t="s">
        <v>7233</v>
      </c>
      <c r="J1654" t="s">
        <v>32868</v>
      </c>
      <c r="K1654" t="s">
        <v>42623</v>
      </c>
      <c r="M1654" t="s">
        <v>43484</v>
      </c>
      <c r="N1654" t="s">
        <v>47304</v>
      </c>
      <c r="O1654" t="s">
        <v>47305</v>
      </c>
      <c r="P1654">
        <v>0</v>
      </c>
      <c r="Q1654">
        <v>0</v>
      </c>
      <c r="R1654" t="s">
        <v>47307</v>
      </c>
      <c r="S1654" t="s">
        <v>47416</v>
      </c>
      <c r="T1654" t="s">
        <v>48987</v>
      </c>
      <c r="U1654" t="s">
        <v>51032</v>
      </c>
      <c r="W1654" t="s">
        <v>43484</v>
      </c>
      <c r="X1654" t="s">
        <v>47306</v>
      </c>
    </row>
    <row r="1655" spans="1:24">
      <c r="A1655">
        <f>HYPERLINK("https://www.philgeps.gov.ph/GEPSNONPILOT/Tender/SplashBidNoticeAbstractUI.aspx?menuIndex=3&amp;refID=7199419&amp;Result=3","7199419")</f>
        <v>0</v>
      </c>
      <c r="B1655" t="s">
        <v>799</v>
      </c>
      <c r="C1655" t="s">
        <v>5459</v>
      </c>
      <c r="E1655" t="s">
        <v>20609</v>
      </c>
      <c r="F1655" t="s">
        <v>32606</v>
      </c>
      <c r="G1655" t="s">
        <v>32614</v>
      </c>
      <c r="H1655" t="s">
        <v>14201</v>
      </c>
      <c r="I1655" t="s">
        <v>32664</v>
      </c>
      <c r="J1655" t="s">
        <v>33274</v>
      </c>
      <c r="K1655" t="s">
        <v>42630</v>
      </c>
      <c r="M1655" t="s">
        <v>43730</v>
      </c>
      <c r="N1655" t="s">
        <v>47304</v>
      </c>
      <c r="O1655" t="s">
        <v>47305</v>
      </c>
      <c r="P1655">
        <v>0</v>
      </c>
      <c r="Q1655">
        <v>0</v>
      </c>
      <c r="R1655" t="s">
        <v>47307</v>
      </c>
      <c r="S1655" t="s">
        <v>47416</v>
      </c>
      <c r="T1655" t="s">
        <v>49184</v>
      </c>
      <c r="U1655" t="s">
        <v>51033</v>
      </c>
      <c r="V1655" t="s">
        <v>62834</v>
      </c>
      <c r="W1655" t="s">
        <v>43730</v>
      </c>
      <c r="X1655" t="s">
        <v>47306</v>
      </c>
    </row>
    <row r="1656" spans="1:24">
      <c r="A1656">
        <f>HYPERLINK("https://www.philgeps.gov.ph/GEPSNONPILOT/Tender/SplashBidNoticeAbstractUI.aspx?menuIndex=3&amp;refID=7199416&amp;Result=3","7199416")</f>
        <v>0</v>
      </c>
      <c r="B1656" t="s">
        <v>682</v>
      </c>
      <c r="C1656" t="s">
        <v>5460</v>
      </c>
      <c r="D1656" t="s">
        <v>19039</v>
      </c>
      <c r="E1656" t="s">
        <v>20610</v>
      </c>
      <c r="F1656" t="s">
        <v>32606</v>
      </c>
      <c r="G1656" t="s">
        <v>32614</v>
      </c>
      <c r="H1656" t="s">
        <v>14201</v>
      </c>
      <c r="I1656" t="s">
        <v>8606</v>
      </c>
      <c r="J1656" t="s">
        <v>33986</v>
      </c>
      <c r="K1656" t="s">
        <v>42623</v>
      </c>
      <c r="M1656" t="s">
        <v>43602</v>
      </c>
      <c r="N1656" t="s">
        <v>47304</v>
      </c>
      <c r="O1656" t="s">
        <v>47305</v>
      </c>
      <c r="P1656">
        <v>0</v>
      </c>
      <c r="Q1656">
        <v>0</v>
      </c>
      <c r="R1656" t="s">
        <v>47307</v>
      </c>
      <c r="S1656" t="s">
        <v>47416</v>
      </c>
      <c r="T1656" t="s">
        <v>49023</v>
      </c>
      <c r="U1656" t="s">
        <v>51034</v>
      </c>
      <c r="W1656" t="s">
        <v>43602</v>
      </c>
      <c r="X1656" t="s">
        <v>47306</v>
      </c>
    </row>
    <row r="1657" spans="1:24">
      <c r="A1657">
        <f>HYPERLINK("https://www.philgeps.gov.ph/GEPSNONPILOT/Tender/SplashBidNoticeAbstractUI.aspx?menuIndex=3&amp;refID=7199443&amp;Result=3","7199443")</f>
        <v>0</v>
      </c>
      <c r="B1657" t="s">
        <v>806</v>
      </c>
      <c r="C1657" t="s">
        <v>5461</v>
      </c>
      <c r="D1657" t="s">
        <v>19033</v>
      </c>
      <c r="E1657" t="s">
        <v>20611</v>
      </c>
      <c r="F1657" t="s">
        <v>32606</v>
      </c>
      <c r="G1657" t="s">
        <v>32613</v>
      </c>
      <c r="H1657" t="s">
        <v>32623</v>
      </c>
      <c r="I1657" t="s">
        <v>17648</v>
      </c>
      <c r="J1657" t="s">
        <v>32778</v>
      </c>
      <c r="K1657" t="s">
        <v>42639</v>
      </c>
      <c r="M1657" t="s">
        <v>43737</v>
      </c>
      <c r="N1657" t="s">
        <v>47304</v>
      </c>
      <c r="O1657" t="s">
        <v>47305</v>
      </c>
      <c r="P1657">
        <v>0</v>
      </c>
      <c r="Q1657">
        <v>0</v>
      </c>
      <c r="R1657" t="s">
        <v>47307</v>
      </c>
      <c r="S1657" t="s">
        <v>47416</v>
      </c>
      <c r="T1657" t="s">
        <v>48983</v>
      </c>
      <c r="U1657" t="s">
        <v>51035</v>
      </c>
      <c r="W1657" t="s">
        <v>43737</v>
      </c>
      <c r="X1657" t="s">
        <v>47306</v>
      </c>
    </row>
    <row r="1658" spans="1:24">
      <c r="A1658">
        <f>HYPERLINK("https://www.philgeps.gov.ph/GEPSNONPILOT/Tender/SplashBidNoticeAbstractUI.aspx?menuIndex=3&amp;refID=7199414&amp;Result=3","7199414")</f>
        <v>0</v>
      </c>
      <c r="B1658" t="s">
        <v>756</v>
      </c>
      <c r="C1658" t="s">
        <v>5462</v>
      </c>
      <c r="E1658" t="s">
        <v>20612</v>
      </c>
      <c r="F1658" t="s">
        <v>32606</v>
      </c>
      <c r="G1658" t="s">
        <v>32614</v>
      </c>
      <c r="H1658" t="s">
        <v>14201</v>
      </c>
      <c r="I1658" t="s">
        <v>32664</v>
      </c>
      <c r="J1658" t="s">
        <v>33034</v>
      </c>
      <c r="K1658" t="s">
        <v>42630</v>
      </c>
      <c r="M1658" t="s">
        <v>43680</v>
      </c>
      <c r="N1658" t="s">
        <v>47304</v>
      </c>
      <c r="O1658" t="s">
        <v>47305</v>
      </c>
      <c r="P1658">
        <v>0</v>
      </c>
      <c r="Q1658">
        <v>0</v>
      </c>
      <c r="R1658" t="s">
        <v>47307</v>
      </c>
      <c r="S1658" t="s">
        <v>47416</v>
      </c>
      <c r="T1658" t="s">
        <v>49108</v>
      </c>
      <c r="U1658" t="s">
        <v>51036</v>
      </c>
      <c r="W1658" t="s">
        <v>43680</v>
      </c>
      <c r="X1658" t="s">
        <v>47306</v>
      </c>
    </row>
    <row r="1659" spans="1:24">
      <c r="A1659">
        <f>HYPERLINK("https://www.philgeps.gov.ph/GEPSNONPILOT/Tender/SplashBidNoticeAbstractUI.aspx?menuIndex=3&amp;refID=7199442&amp;Result=3","7199442")</f>
        <v>0</v>
      </c>
      <c r="B1659" t="s">
        <v>807</v>
      </c>
      <c r="C1659" t="s">
        <v>5463</v>
      </c>
      <c r="D1659" t="s">
        <v>19039</v>
      </c>
      <c r="E1659" t="s">
        <v>20613</v>
      </c>
      <c r="F1659" t="s">
        <v>32606</v>
      </c>
      <c r="G1659" t="s">
        <v>32614</v>
      </c>
      <c r="H1659" t="s">
        <v>14201</v>
      </c>
      <c r="I1659" t="s">
        <v>32631</v>
      </c>
      <c r="J1659" t="s">
        <v>33987</v>
      </c>
      <c r="K1659" t="s">
        <v>42623</v>
      </c>
      <c r="M1659" t="s">
        <v>43738</v>
      </c>
      <c r="N1659" t="s">
        <v>47304</v>
      </c>
      <c r="O1659" t="s">
        <v>47305</v>
      </c>
      <c r="P1659">
        <v>0</v>
      </c>
      <c r="Q1659">
        <v>0</v>
      </c>
      <c r="R1659" t="s">
        <v>47307</v>
      </c>
      <c r="S1659" t="s">
        <v>47416</v>
      </c>
      <c r="T1659" t="s">
        <v>48987</v>
      </c>
      <c r="U1659" t="s">
        <v>51037</v>
      </c>
      <c r="W1659" t="s">
        <v>64449</v>
      </c>
      <c r="X1659" t="s">
        <v>47306</v>
      </c>
    </row>
    <row r="1660" spans="1:24">
      <c r="A1660">
        <f>HYPERLINK("https://www.philgeps.gov.ph/GEPSNONPILOT/Tender/SplashBidNoticeAbstractUI.aspx?menuIndex=3&amp;refID=7199440&amp;Result=3","7199440")</f>
        <v>0</v>
      </c>
      <c r="B1660" t="s">
        <v>808</v>
      </c>
      <c r="C1660" t="s">
        <v>5464</v>
      </c>
      <c r="D1660" t="s">
        <v>19046</v>
      </c>
      <c r="E1660" t="s">
        <v>20614</v>
      </c>
      <c r="F1660" t="s">
        <v>32606</v>
      </c>
      <c r="G1660" t="s">
        <v>32613</v>
      </c>
      <c r="H1660" t="s">
        <v>32623</v>
      </c>
      <c r="I1660" t="s">
        <v>6931</v>
      </c>
      <c r="J1660" t="s">
        <v>33988</v>
      </c>
      <c r="K1660" t="s">
        <v>42622</v>
      </c>
      <c r="M1660" t="s">
        <v>43739</v>
      </c>
      <c r="N1660" t="s">
        <v>47304</v>
      </c>
      <c r="O1660" t="s">
        <v>47305</v>
      </c>
      <c r="P1660">
        <v>0</v>
      </c>
      <c r="Q1660">
        <v>0</v>
      </c>
      <c r="R1660" t="s">
        <v>47307</v>
      </c>
      <c r="S1660" t="s">
        <v>47416</v>
      </c>
      <c r="T1660" t="s">
        <v>49107</v>
      </c>
      <c r="U1660" t="s">
        <v>51038</v>
      </c>
      <c r="W1660" t="s">
        <v>43739</v>
      </c>
      <c r="X1660" t="s">
        <v>47306</v>
      </c>
    </row>
    <row r="1661" spans="1:24">
      <c r="A1661">
        <f>HYPERLINK("https://www.philgeps.gov.ph/GEPSNONPILOT/Tender/SplashBidNoticeAbstractUI.aspx?menuIndex=3&amp;refID=7199447&amp;Result=3","7199447")</f>
        <v>0</v>
      </c>
      <c r="B1661" t="s">
        <v>809</v>
      </c>
      <c r="C1661" t="s">
        <v>5465</v>
      </c>
      <c r="D1661" t="s">
        <v>19010</v>
      </c>
      <c r="E1661" t="s">
        <v>20615</v>
      </c>
      <c r="F1661" t="s">
        <v>32606</v>
      </c>
      <c r="G1661" t="s">
        <v>32614</v>
      </c>
      <c r="H1661" t="s">
        <v>14201</v>
      </c>
      <c r="I1661" t="s">
        <v>6298</v>
      </c>
      <c r="J1661" t="s">
        <v>33087</v>
      </c>
      <c r="K1661" t="s">
        <v>42632</v>
      </c>
      <c r="M1661" t="s">
        <v>43740</v>
      </c>
      <c r="N1661" t="s">
        <v>47304</v>
      </c>
      <c r="O1661" t="s">
        <v>47305</v>
      </c>
      <c r="P1661">
        <v>0</v>
      </c>
      <c r="Q1661">
        <v>1</v>
      </c>
      <c r="R1661" t="s">
        <v>47307</v>
      </c>
      <c r="S1661" t="s">
        <v>47416</v>
      </c>
      <c r="T1661" t="s">
        <v>49087</v>
      </c>
      <c r="U1661" t="s">
        <v>51039</v>
      </c>
      <c r="W1661" t="s">
        <v>43740</v>
      </c>
      <c r="X1661" t="s">
        <v>47306</v>
      </c>
    </row>
    <row r="1662" spans="1:24">
      <c r="A1662">
        <f>HYPERLINK("https://www.philgeps.gov.ph/GEPSNONPILOT/Tender/SplashBidNoticeAbstractUI.aspx?menuIndex=3&amp;refID=7199438&amp;Result=3","7199438")</f>
        <v>0</v>
      </c>
      <c r="B1662" t="s">
        <v>790</v>
      </c>
      <c r="C1662" t="s">
        <v>5466</v>
      </c>
      <c r="E1662" t="s">
        <v>20616</v>
      </c>
      <c r="F1662" t="s">
        <v>32606</v>
      </c>
      <c r="G1662" t="s">
        <v>32614</v>
      </c>
      <c r="H1662" t="s">
        <v>14201</v>
      </c>
      <c r="I1662" t="s">
        <v>6931</v>
      </c>
      <c r="J1662" t="s">
        <v>33989</v>
      </c>
      <c r="K1662" t="s">
        <v>42623</v>
      </c>
      <c r="M1662" t="s">
        <v>43721</v>
      </c>
      <c r="N1662" t="s">
        <v>47304</v>
      </c>
      <c r="O1662" t="s">
        <v>47305</v>
      </c>
      <c r="P1662">
        <v>0</v>
      </c>
      <c r="Q1662">
        <v>0</v>
      </c>
      <c r="R1662" t="s">
        <v>47307</v>
      </c>
      <c r="S1662" t="s">
        <v>47416</v>
      </c>
      <c r="T1662" t="s">
        <v>48987</v>
      </c>
      <c r="U1662" t="s">
        <v>51040</v>
      </c>
      <c r="W1662" t="s">
        <v>43721</v>
      </c>
      <c r="X1662" t="s">
        <v>47306</v>
      </c>
    </row>
    <row r="1663" spans="1:24">
      <c r="A1663">
        <f>HYPERLINK("https://www.philgeps.gov.ph/GEPSNONPILOT/Tender/SplashBidNoticeAbstractUI.aspx?menuIndex=3&amp;refID=7199444&amp;Result=3","7199444")</f>
        <v>0</v>
      </c>
      <c r="B1663" t="s">
        <v>682</v>
      </c>
      <c r="C1663" t="s">
        <v>5467</v>
      </c>
      <c r="D1663" t="s">
        <v>19039</v>
      </c>
      <c r="E1663" t="s">
        <v>20617</v>
      </c>
      <c r="F1663" t="s">
        <v>32606</v>
      </c>
      <c r="G1663" t="s">
        <v>32614</v>
      </c>
      <c r="H1663" t="s">
        <v>14201</v>
      </c>
      <c r="I1663" t="s">
        <v>9013</v>
      </c>
      <c r="J1663" t="s">
        <v>33990</v>
      </c>
      <c r="K1663" t="s">
        <v>42623</v>
      </c>
      <c r="M1663" t="s">
        <v>43602</v>
      </c>
      <c r="N1663" t="s">
        <v>47304</v>
      </c>
      <c r="O1663" t="s">
        <v>47305</v>
      </c>
      <c r="P1663">
        <v>0</v>
      </c>
      <c r="Q1663">
        <v>0</v>
      </c>
      <c r="R1663" t="s">
        <v>47307</v>
      </c>
      <c r="S1663" t="s">
        <v>47416</v>
      </c>
      <c r="T1663" t="s">
        <v>49023</v>
      </c>
      <c r="U1663" t="s">
        <v>50739</v>
      </c>
      <c r="W1663" t="s">
        <v>43602</v>
      </c>
      <c r="X1663" t="s">
        <v>47306</v>
      </c>
    </row>
    <row r="1664" spans="1:24">
      <c r="A1664">
        <f>HYPERLINK("https://www.philgeps.gov.ph/GEPSNONPILOT/Tender/SplashBidNoticeAbstractUI.aspx?menuIndex=3&amp;refID=7199436&amp;Result=3","7199436")</f>
        <v>0</v>
      </c>
      <c r="B1664" t="s">
        <v>785</v>
      </c>
      <c r="C1664" t="s">
        <v>5468</v>
      </c>
      <c r="D1664" t="s">
        <v>19029</v>
      </c>
      <c r="E1664" t="s">
        <v>20618</v>
      </c>
      <c r="F1664" t="s">
        <v>32606</v>
      </c>
      <c r="G1664" t="s">
        <v>32613</v>
      </c>
      <c r="H1664" t="s">
        <v>14201</v>
      </c>
      <c r="I1664" t="s">
        <v>9008</v>
      </c>
      <c r="J1664" t="s">
        <v>33991</v>
      </c>
      <c r="K1664" t="s">
        <v>42623</v>
      </c>
      <c r="M1664" t="s">
        <v>43716</v>
      </c>
      <c r="N1664" t="s">
        <v>47304</v>
      </c>
      <c r="O1664" t="s">
        <v>47305</v>
      </c>
      <c r="P1664">
        <v>0</v>
      </c>
      <c r="Q1664">
        <v>0</v>
      </c>
      <c r="R1664" t="s">
        <v>47307</v>
      </c>
      <c r="S1664" t="s">
        <v>47416</v>
      </c>
      <c r="T1664" t="s">
        <v>48971</v>
      </c>
      <c r="U1664" t="s">
        <v>51041</v>
      </c>
      <c r="W1664" t="s">
        <v>64447</v>
      </c>
      <c r="X1664" t="s">
        <v>47306</v>
      </c>
    </row>
    <row r="1665" spans="1:24">
      <c r="A1665">
        <f>HYPERLINK("https://www.philgeps.gov.ph/GEPSNONPILOT/Tender/SplashBidNoticeAbstractUI.aspx?menuIndex=3&amp;refID=7199426&amp;Result=3","7199426")</f>
        <v>0</v>
      </c>
      <c r="B1665" t="s">
        <v>238</v>
      </c>
      <c r="C1665" t="s">
        <v>5469</v>
      </c>
      <c r="D1665" t="s">
        <v>18993</v>
      </c>
      <c r="E1665" t="s">
        <v>20619</v>
      </c>
      <c r="F1665" t="s">
        <v>32606</v>
      </c>
      <c r="G1665" t="s">
        <v>32619</v>
      </c>
      <c r="H1665" t="s">
        <v>14201</v>
      </c>
      <c r="I1665" t="s">
        <v>4114</v>
      </c>
      <c r="J1665" t="s">
        <v>33992</v>
      </c>
      <c r="K1665" t="s">
        <v>42622</v>
      </c>
      <c r="M1665" t="s">
        <v>43194</v>
      </c>
      <c r="N1665" t="s">
        <v>47304</v>
      </c>
      <c r="O1665" t="s">
        <v>47305</v>
      </c>
      <c r="P1665">
        <v>0</v>
      </c>
      <c r="Q1665">
        <v>0</v>
      </c>
      <c r="R1665" t="s">
        <v>47307</v>
      </c>
      <c r="S1665" t="s">
        <v>47416</v>
      </c>
      <c r="T1665" t="s">
        <v>49123</v>
      </c>
      <c r="U1665" t="s">
        <v>51042</v>
      </c>
      <c r="V1665" t="s">
        <v>62716</v>
      </c>
      <c r="W1665" t="s">
        <v>43194</v>
      </c>
      <c r="X1665" t="s">
        <v>47306</v>
      </c>
    </row>
    <row r="1666" spans="1:24">
      <c r="A1666">
        <f>HYPERLINK("https://www.philgeps.gov.ph/GEPSNONPILOT/Tender/SplashBidNoticeAbstractUI.aspx?menuIndex=3&amp;refID=7199470&amp;Result=3","7199470")</f>
        <v>0</v>
      </c>
      <c r="B1666" t="s">
        <v>617</v>
      </c>
      <c r="C1666" t="s">
        <v>5470</v>
      </c>
      <c r="D1666" t="s">
        <v>19058</v>
      </c>
      <c r="E1666" t="s">
        <v>20620</v>
      </c>
      <c r="F1666" t="s">
        <v>32606</v>
      </c>
      <c r="G1666" t="s">
        <v>32614</v>
      </c>
      <c r="H1666" t="s">
        <v>32623</v>
      </c>
      <c r="I1666" t="s">
        <v>17648</v>
      </c>
      <c r="J1666" t="s">
        <v>33993</v>
      </c>
      <c r="K1666" t="s">
        <v>42624</v>
      </c>
      <c r="M1666" t="s">
        <v>43535</v>
      </c>
      <c r="N1666" t="s">
        <v>47304</v>
      </c>
      <c r="O1666" t="s">
        <v>47305</v>
      </c>
      <c r="P1666">
        <v>0</v>
      </c>
      <c r="Q1666">
        <v>0</v>
      </c>
      <c r="R1666" t="s">
        <v>47307</v>
      </c>
      <c r="S1666" t="s">
        <v>47416</v>
      </c>
      <c r="T1666" t="s">
        <v>48988</v>
      </c>
      <c r="U1666" t="s">
        <v>51043</v>
      </c>
      <c r="V1666" t="s">
        <v>62789</v>
      </c>
      <c r="W1666" t="s">
        <v>43535</v>
      </c>
      <c r="X1666" t="s">
        <v>47306</v>
      </c>
    </row>
    <row r="1667" spans="1:24">
      <c r="A1667">
        <f>HYPERLINK("https://www.philgeps.gov.ph/GEPSNONPILOT/Tender/SplashBidNoticeAbstractUI.aspx?menuIndex=3&amp;refID=7199468&amp;Result=3","7199468")</f>
        <v>0</v>
      </c>
      <c r="B1667" t="s">
        <v>810</v>
      </c>
      <c r="C1667" t="s">
        <v>5471</v>
      </c>
      <c r="D1667" t="s">
        <v>19013</v>
      </c>
      <c r="E1667" t="s">
        <v>20621</v>
      </c>
      <c r="F1667" t="s">
        <v>32606</v>
      </c>
      <c r="G1667" t="s">
        <v>32613</v>
      </c>
      <c r="H1667" t="s">
        <v>14201</v>
      </c>
      <c r="I1667" t="s">
        <v>32635</v>
      </c>
      <c r="J1667" t="s">
        <v>32830</v>
      </c>
      <c r="K1667" t="s">
        <v>42624</v>
      </c>
      <c r="M1667" t="s">
        <v>43741</v>
      </c>
      <c r="N1667" t="s">
        <v>47304</v>
      </c>
      <c r="O1667" t="s">
        <v>47305</v>
      </c>
      <c r="P1667">
        <v>0</v>
      </c>
      <c r="Q1667">
        <v>0</v>
      </c>
      <c r="R1667" t="s">
        <v>47307</v>
      </c>
      <c r="S1667" t="s">
        <v>47416</v>
      </c>
      <c r="T1667" t="s">
        <v>48983</v>
      </c>
      <c r="U1667" t="s">
        <v>51044</v>
      </c>
      <c r="W1667" t="s">
        <v>43741</v>
      </c>
      <c r="X1667" t="s">
        <v>47306</v>
      </c>
    </row>
    <row r="1668" spans="1:24">
      <c r="A1668">
        <f>HYPERLINK("https://www.philgeps.gov.ph/GEPSNONPILOT/Tender/SplashBidNoticeAbstractUI.aspx?menuIndex=3&amp;refID=7199439&amp;Result=3","7199439")</f>
        <v>0</v>
      </c>
      <c r="B1668" t="s">
        <v>662</v>
      </c>
      <c r="C1668" t="s">
        <v>5472</v>
      </c>
      <c r="D1668" t="s">
        <v>19023</v>
      </c>
      <c r="E1668" t="s">
        <v>20622</v>
      </c>
      <c r="F1668" t="s">
        <v>32606</v>
      </c>
      <c r="G1668" t="s">
        <v>32613</v>
      </c>
      <c r="H1668" t="s">
        <v>14201</v>
      </c>
      <c r="I1668" t="s">
        <v>4678</v>
      </c>
      <c r="J1668" t="s">
        <v>33994</v>
      </c>
      <c r="K1668" t="s">
        <v>42631</v>
      </c>
      <c r="M1668" t="s">
        <v>43582</v>
      </c>
      <c r="N1668" t="s">
        <v>47304</v>
      </c>
      <c r="O1668" t="s">
        <v>47305</v>
      </c>
      <c r="P1668">
        <v>0</v>
      </c>
      <c r="Q1668">
        <v>0</v>
      </c>
      <c r="R1668" t="s">
        <v>47307</v>
      </c>
      <c r="S1668" t="s">
        <v>47416</v>
      </c>
      <c r="T1668" t="s">
        <v>49065</v>
      </c>
      <c r="U1668" t="s">
        <v>51045</v>
      </c>
      <c r="W1668" t="s">
        <v>43582</v>
      </c>
      <c r="X1668" t="s">
        <v>47306</v>
      </c>
    </row>
    <row r="1669" spans="1:24">
      <c r="A1669">
        <f>HYPERLINK("https://www.philgeps.gov.ph/GEPSNONPILOT/Tender/SplashBidNoticeAbstractUI.aspx?menuIndex=3&amp;refID=7199408&amp;Result=3","7199408")</f>
        <v>0</v>
      </c>
      <c r="B1669" t="s">
        <v>716</v>
      </c>
      <c r="C1669" t="s">
        <v>5473</v>
      </c>
      <c r="D1669" t="s">
        <v>19008</v>
      </c>
      <c r="E1669" t="s">
        <v>20623</v>
      </c>
      <c r="F1669" t="s">
        <v>32606</v>
      </c>
      <c r="G1669" t="s">
        <v>32614</v>
      </c>
      <c r="H1669" t="s">
        <v>14201</v>
      </c>
      <c r="I1669" t="s">
        <v>6993</v>
      </c>
      <c r="J1669" t="s">
        <v>33995</v>
      </c>
      <c r="K1669" t="s">
        <v>42624</v>
      </c>
      <c r="M1669" t="s">
        <v>43637</v>
      </c>
      <c r="N1669" t="s">
        <v>47304</v>
      </c>
      <c r="O1669" t="s">
        <v>47305</v>
      </c>
      <c r="P1669">
        <v>0</v>
      </c>
      <c r="Q1669">
        <v>0</v>
      </c>
      <c r="R1669" t="s">
        <v>47307</v>
      </c>
      <c r="S1669" t="s">
        <v>47416</v>
      </c>
      <c r="T1669" t="s">
        <v>49186</v>
      </c>
      <c r="U1669" t="s">
        <v>51046</v>
      </c>
      <c r="W1669" t="s">
        <v>43637</v>
      </c>
      <c r="X1669" t="s">
        <v>47306</v>
      </c>
    </row>
    <row r="1670" spans="1:24">
      <c r="A1670">
        <f>HYPERLINK("https://www.philgeps.gov.ph/GEPSNONPILOT/Tender/SplashBidNoticeAbstractUI.aspx?menuIndex=3&amp;refID=7199466&amp;Result=3","7199466")</f>
        <v>0</v>
      </c>
      <c r="B1670" t="s">
        <v>682</v>
      </c>
      <c r="C1670" t="s">
        <v>5474</v>
      </c>
      <c r="D1670" t="s">
        <v>19039</v>
      </c>
      <c r="E1670" t="s">
        <v>20624</v>
      </c>
      <c r="F1670" t="s">
        <v>32606</v>
      </c>
      <c r="G1670" t="s">
        <v>32614</v>
      </c>
      <c r="H1670" t="s">
        <v>14201</v>
      </c>
      <c r="I1670" t="s">
        <v>6993</v>
      </c>
      <c r="J1670" t="s">
        <v>33996</v>
      </c>
      <c r="K1670" t="s">
        <v>42631</v>
      </c>
      <c r="M1670" t="s">
        <v>43602</v>
      </c>
      <c r="N1670" t="s">
        <v>47304</v>
      </c>
      <c r="O1670" t="s">
        <v>47305</v>
      </c>
      <c r="P1670">
        <v>0</v>
      </c>
      <c r="Q1670">
        <v>0</v>
      </c>
      <c r="R1670" t="s">
        <v>47307</v>
      </c>
      <c r="S1670" t="s">
        <v>47416</v>
      </c>
      <c r="T1670" t="s">
        <v>49023</v>
      </c>
      <c r="U1670" t="s">
        <v>51034</v>
      </c>
      <c r="W1670" t="s">
        <v>43602</v>
      </c>
      <c r="X1670" t="s">
        <v>47306</v>
      </c>
    </row>
    <row r="1671" spans="1:24">
      <c r="A1671">
        <f>HYPERLINK("https://www.philgeps.gov.ph/GEPSNONPILOT/Tender/SplashBidNoticeAbstractUI.aspx?menuIndex=3&amp;refID=7199437&amp;Result=3","7199437")</f>
        <v>0</v>
      </c>
      <c r="B1671" t="s">
        <v>811</v>
      </c>
      <c r="C1671" t="s">
        <v>5475</v>
      </c>
      <c r="D1671" t="s">
        <v>19009</v>
      </c>
      <c r="E1671" t="s">
        <v>20625</v>
      </c>
      <c r="F1671" t="s">
        <v>32606</v>
      </c>
      <c r="G1671" t="s">
        <v>32613</v>
      </c>
      <c r="H1671" t="s">
        <v>14201</v>
      </c>
      <c r="I1671" t="s">
        <v>4120</v>
      </c>
      <c r="J1671" t="s">
        <v>33997</v>
      </c>
      <c r="K1671" t="s">
        <v>42627</v>
      </c>
      <c r="M1671" t="s">
        <v>43742</v>
      </c>
      <c r="N1671" t="s">
        <v>47304</v>
      </c>
      <c r="O1671" t="s">
        <v>47305</v>
      </c>
      <c r="P1671">
        <v>0</v>
      </c>
      <c r="Q1671">
        <v>0</v>
      </c>
      <c r="R1671" t="s">
        <v>47307</v>
      </c>
      <c r="S1671" t="s">
        <v>47416</v>
      </c>
      <c r="T1671" t="s">
        <v>49008</v>
      </c>
      <c r="U1671" t="s">
        <v>51047</v>
      </c>
      <c r="W1671" t="s">
        <v>43742</v>
      </c>
      <c r="X1671" t="s">
        <v>47306</v>
      </c>
    </row>
    <row r="1672" spans="1:24">
      <c r="A1672">
        <f>HYPERLINK("https://www.philgeps.gov.ph/GEPSNONPILOT/Tender/SplashBidNoticeAbstractUI.aspx?menuIndex=3&amp;refID=7199465&amp;Result=3","7199465")</f>
        <v>0</v>
      </c>
      <c r="B1672" t="s">
        <v>812</v>
      </c>
      <c r="C1672" t="s">
        <v>5476</v>
      </c>
      <c r="D1672" t="s">
        <v>19028</v>
      </c>
      <c r="E1672" t="s">
        <v>20626</v>
      </c>
      <c r="F1672" t="s">
        <v>32606</v>
      </c>
      <c r="G1672" t="s">
        <v>32614</v>
      </c>
      <c r="H1672" t="s">
        <v>14201</v>
      </c>
      <c r="I1672" t="s">
        <v>32691</v>
      </c>
      <c r="J1672" t="s">
        <v>33998</v>
      </c>
      <c r="K1672" t="s">
        <v>42665</v>
      </c>
      <c r="M1672" t="s">
        <v>43743</v>
      </c>
      <c r="N1672" t="s">
        <v>47304</v>
      </c>
      <c r="O1672" t="s">
        <v>47305</v>
      </c>
      <c r="P1672">
        <v>0</v>
      </c>
      <c r="Q1672">
        <v>0</v>
      </c>
      <c r="R1672" t="s">
        <v>47307</v>
      </c>
      <c r="S1672" t="s">
        <v>47416</v>
      </c>
      <c r="T1672" t="s">
        <v>49088</v>
      </c>
      <c r="U1672" t="s">
        <v>51048</v>
      </c>
      <c r="W1672" t="s">
        <v>43743</v>
      </c>
      <c r="X1672" t="s">
        <v>47306</v>
      </c>
    </row>
    <row r="1673" spans="1:24">
      <c r="A1673">
        <f>HYPERLINK("https://www.philgeps.gov.ph/GEPSNONPILOT/Tender/SplashBidNoticeAbstractUI.aspx?menuIndex=3&amp;refID=7199464&amp;Result=3","7199464")</f>
        <v>0</v>
      </c>
      <c r="B1673" t="s">
        <v>790</v>
      </c>
      <c r="C1673" t="s">
        <v>5477</v>
      </c>
      <c r="E1673" t="s">
        <v>20627</v>
      </c>
      <c r="F1673" t="s">
        <v>32606</v>
      </c>
      <c r="G1673" t="s">
        <v>32614</v>
      </c>
      <c r="H1673" t="s">
        <v>14201</v>
      </c>
      <c r="I1673" t="s">
        <v>6931</v>
      </c>
      <c r="J1673" t="s">
        <v>33999</v>
      </c>
      <c r="K1673" t="s">
        <v>42623</v>
      </c>
      <c r="M1673" t="s">
        <v>43721</v>
      </c>
      <c r="N1673" t="s">
        <v>47304</v>
      </c>
      <c r="O1673" t="s">
        <v>47305</v>
      </c>
      <c r="P1673">
        <v>0</v>
      </c>
      <c r="Q1673">
        <v>0</v>
      </c>
      <c r="R1673" t="s">
        <v>47307</v>
      </c>
      <c r="S1673" t="s">
        <v>47416</v>
      </c>
      <c r="T1673" t="s">
        <v>48987</v>
      </c>
      <c r="U1673" t="s">
        <v>51049</v>
      </c>
      <c r="W1673" t="s">
        <v>43721</v>
      </c>
      <c r="X1673" t="s">
        <v>47306</v>
      </c>
    </row>
    <row r="1674" spans="1:24">
      <c r="A1674">
        <f>HYPERLINK("https://www.philgeps.gov.ph/GEPSNONPILOT/Tender/SplashBidNoticeAbstractUI.aspx?menuIndex=3&amp;refID=7199463&amp;Result=3","7199463")</f>
        <v>0</v>
      </c>
      <c r="B1674" t="s">
        <v>813</v>
      </c>
      <c r="C1674" t="s">
        <v>5478</v>
      </c>
      <c r="D1674" t="s">
        <v>19044</v>
      </c>
      <c r="E1674" t="s">
        <v>20073</v>
      </c>
      <c r="F1674" t="s">
        <v>32606</v>
      </c>
      <c r="G1674" t="s">
        <v>32614</v>
      </c>
      <c r="H1674" t="s">
        <v>14201</v>
      </c>
      <c r="I1674" t="s">
        <v>6298</v>
      </c>
      <c r="J1674" t="s">
        <v>34000</v>
      </c>
      <c r="K1674" t="s">
        <v>42630</v>
      </c>
      <c r="M1674" t="s">
        <v>43744</v>
      </c>
      <c r="N1674" t="s">
        <v>47304</v>
      </c>
      <c r="O1674" t="s">
        <v>47305</v>
      </c>
      <c r="P1674">
        <v>0</v>
      </c>
      <c r="Q1674">
        <v>0</v>
      </c>
      <c r="R1674" t="s">
        <v>47307</v>
      </c>
      <c r="S1674" t="s">
        <v>47416</v>
      </c>
      <c r="T1674" t="s">
        <v>49017</v>
      </c>
      <c r="U1674" t="s">
        <v>51050</v>
      </c>
      <c r="W1674" t="s">
        <v>43744</v>
      </c>
      <c r="X1674" t="s">
        <v>47306</v>
      </c>
    </row>
    <row r="1675" spans="1:24">
      <c r="A1675">
        <f>HYPERLINK("https://www.philgeps.gov.ph/GEPSNONPILOT/Tender/SplashBidNoticeAbstractUI.aspx?menuIndex=3&amp;refID=7199462&amp;Result=3","7199462")</f>
        <v>0</v>
      </c>
      <c r="B1675" t="s">
        <v>814</v>
      </c>
      <c r="C1675" t="s">
        <v>5479</v>
      </c>
      <c r="D1675" t="s">
        <v>18993</v>
      </c>
      <c r="E1675" t="s">
        <v>20628</v>
      </c>
      <c r="F1675" t="s">
        <v>32606</v>
      </c>
      <c r="G1675" t="s">
        <v>32614</v>
      </c>
      <c r="H1675" t="s">
        <v>14201</v>
      </c>
      <c r="I1675" t="s">
        <v>4114</v>
      </c>
      <c r="J1675" t="s">
        <v>34001</v>
      </c>
      <c r="K1675" t="s">
        <v>42624</v>
      </c>
      <c r="M1675" t="s">
        <v>43745</v>
      </c>
      <c r="N1675" t="s">
        <v>47304</v>
      </c>
      <c r="O1675" t="s">
        <v>47305</v>
      </c>
      <c r="P1675">
        <v>0</v>
      </c>
      <c r="Q1675">
        <v>0</v>
      </c>
      <c r="R1675" t="s">
        <v>47307</v>
      </c>
      <c r="S1675" t="s">
        <v>47416</v>
      </c>
      <c r="T1675" t="s">
        <v>49175</v>
      </c>
      <c r="U1675" t="s">
        <v>51051</v>
      </c>
      <c r="W1675" t="s">
        <v>64450</v>
      </c>
      <c r="X1675" t="s">
        <v>47306</v>
      </c>
    </row>
    <row r="1676" spans="1:24">
      <c r="A1676">
        <f>HYPERLINK("https://www.philgeps.gov.ph/GEPSNONPILOT/Tender/SplashBidNoticeAbstractUI.aspx?menuIndex=3&amp;refID=7199460&amp;Result=3","7199460")</f>
        <v>0</v>
      </c>
      <c r="B1676" t="s">
        <v>460</v>
      </c>
      <c r="C1676" t="s">
        <v>5480</v>
      </c>
      <c r="D1676" t="s">
        <v>18995</v>
      </c>
      <c r="E1676" t="s">
        <v>20629</v>
      </c>
      <c r="F1676" t="s">
        <v>32606</v>
      </c>
      <c r="G1676" t="s">
        <v>32614</v>
      </c>
      <c r="H1676" t="s">
        <v>32623</v>
      </c>
      <c r="I1676" t="s">
        <v>32648</v>
      </c>
      <c r="J1676" t="s">
        <v>34002</v>
      </c>
      <c r="K1676" t="s">
        <v>42630</v>
      </c>
      <c r="M1676" t="s">
        <v>43370</v>
      </c>
      <c r="N1676" t="s">
        <v>47304</v>
      </c>
      <c r="O1676" t="s">
        <v>47305</v>
      </c>
      <c r="P1676">
        <v>0</v>
      </c>
      <c r="Q1676">
        <v>0</v>
      </c>
      <c r="R1676" t="s">
        <v>47307</v>
      </c>
      <c r="S1676" t="s">
        <v>47416</v>
      </c>
      <c r="T1676" t="s">
        <v>49002</v>
      </c>
      <c r="U1676" t="s">
        <v>50363</v>
      </c>
      <c r="W1676" t="s">
        <v>43370</v>
      </c>
      <c r="X1676" t="s">
        <v>47306</v>
      </c>
    </row>
    <row r="1677" spans="1:24">
      <c r="A1677">
        <f>HYPERLINK("https://www.philgeps.gov.ph/GEPSNONPILOT/Tender/SplashBidNoticeAbstractUI.aspx?menuIndex=3&amp;refID=7199457&amp;Result=3","7199457")</f>
        <v>0</v>
      </c>
      <c r="B1677" t="s">
        <v>755</v>
      </c>
      <c r="C1677" t="s">
        <v>5481</v>
      </c>
      <c r="D1677" t="s">
        <v>18988</v>
      </c>
      <c r="E1677" t="s">
        <v>20630</v>
      </c>
      <c r="F1677" t="s">
        <v>32606</v>
      </c>
      <c r="G1677" t="s">
        <v>32613</v>
      </c>
      <c r="H1677" t="s">
        <v>14201</v>
      </c>
      <c r="I1677" t="s">
        <v>7577</v>
      </c>
      <c r="J1677" t="s">
        <v>34003</v>
      </c>
      <c r="K1677" t="s">
        <v>42631</v>
      </c>
      <c r="M1677" t="s">
        <v>43679</v>
      </c>
      <c r="N1677" t="s">
        <v>47304</v>
      </c>
      <c r="O1677" t="s">
        <v>47305</v>
      </c>
      <c r="P1677">
        <v>0</v>
      </c>
      <c r="Q1677">
        <v>0</v>
      </c>
      <c r="R1677" t="s">
        <v>47307</v>
      </c>
      <c r="S1677" t="s">
        <v>47416</v>
      </c>
      <c r="T1677" t="s">
        <v>49017</v>
      </c>
      <c r="U1677" t="s">
        <v>51052</v>
      </c>
      <c r="W1677" t="s">
        <v>43679</v>
      </c>
      <c r="X1677" t="s">
        <v>47306</v>
      </c>
    </row>
    <row r="1678" spans="1:24">
      <c r="A1678">
        <f>HYPERLINK("https://www.philgeps.gov.ph/GEPSNONPILOT/Tender/SplashBidNoticeAbstractUI.aspx?menuIndex=3&amp;refID=7199456&amp;Result=3","7199456")</f>
        <v>0</v>
      </c>
      <c r="B1678" t="s">
        <v>774</v>
      </c>
      <c r="C1678" t="s">
        <v>5482</v>
      </c>
      <c r="D1678" t="s">
        <v>19000</v>
      </c>
      <c r="E1678" t="s">
        <v>20631</v>
      </c>
      <c r="F1678" t="s">
        <v>32606</v>
      </c>
      <c r="G1678" t="s">
        <v>32614</v>
      </c>
      <c r="H1678" t="s">
        <v>14201</v>
      </c>
      <c r="I1678" t="s">
        <v>32680</v>
      </c>
      <c r="J1678" t="s">
        <v>32778</v>
      </c>
      <c r="K1678" t="s">
        <v>42622</v>
      </c>
      <c r="M1678" t="s">
        <v>43703</v>
      </c>
      <c r="N1678" t="s">
        <v>47304</v>
      </c>
      <c r="O1678" t="s">
        <v>47305</v>
      </c>
      <c r="P1678">
        <v>0</v>
      </c>
      <c r="Q1678">
        <v>0</v>
      </c>
      <c r="R1678" t="s">
        <v>47307</v>
      </c>
      <c r="S1678" t="s">
        <v>47416</v>
      </c>
      <c r="T1678" t="s">
        <v>49023</v>
      </c>
      <c r="U1678" t="s">
        <v>51053</v>
      </c>
      <c r="W1678" t="s">
        <v>43703</v>
      </c>
      <c r="X1678" t="s">
        <v>47306</v>
      </c>
    </row>
    <row r="1679" spans="1:24">
      <c r="A1679">
        <f>HYPERLINK("https://www.philgeps.gov.ph/GEPSNONPILOT/Tender/SplashBidNoticeAbstractUI.aspx?menuIndex=3&amp;refID=7199467&amp;Result=3","7199467")</f>
        <v>0</v>
      </c>
      <c r="B1679" t="s">
        <v>815</v>
      </c>
      <c r="C1679" t="s">
        <v>5483</v>
      </c>
      <c r="D1679" t="s">
        <v>19019</v>
      </c>
      <c r="E1679" t="s">
        <v>20632</v>
      </c>
      <c r="F1679" t="s">
        <v>32606</v>
      </c>
      <c r="G1679" t="s">
        <v>32613</v>
      </c>
      <c r="H1679" t="s">
        <v>14201</v>
      </c>
      <c r="I1679" t="s">
        <v>32633</v>
      </c>
      <c r="J1679" t="s">
        <v>34004</v>
      </c>
      <c r="K1679" t="s">
        <v>42630</v>
      </c>
      <c r="M1679" t="s">
        <v>43746</v>
      </c>
      <c r="N1679" t="s">
        <v>47304</v>
      </c>
      <c r="O1679" t="s">
        <v>47305</v>
      </c>
      <c r="P1679">
        <v>0</v>
      </c>
      <c r="Q1679">
        <v>0</v>
      </c>
      <c r="R1679" t="s">
        <v>47307</v>
      </c>
      <c r="S1679" t="s">
        <v>47416</v>
      </c>
      <c r="T1679" t="s">
        <v>49189</v>
      </c>
      <c r="U1679" t="s">
        <v>51054</v>
      </c>
      <c r="W1679" t="s">
        <v>43746</v>
      </c>
      <c r="X1679" t="s">
        <v>47306</v>
      </c>
    </row>
    <row r="1680" spans="1:24">
      <c r="A1680">
        <f>HYPERLINK("https://www.philgeps.gov.ph/GEPSNONPILOT/Tender/SplashBidNoticeAbstractUI.aspx?menuIndex=3&amp;refID=7199455&amp;Result=3","7199455")</f>
        <v>0</v>
      </c>
      <c r="B1680" t="s">
        <v>477</v>
      </c>
      <c r="C1680" t="s">
        <v>5484</v>
      </c>
      <c r="D1680" t="s">
        <v>19019</v>
      </c>
      <c r="E1680" t="s">
        <v>20633</v>
      </c>
      <c r="F1680" t="s">
        <v>32606</v>
      </c>
      <c r="G1680" t="s">
        <v>32614</v>
      </c>
      <c r="H1680" t="s">
        <v>14201</v>
      </c>
      <c r="I1680" t="s">
        <v>6298</v>
      </c>
      <c r="J1680" t="s">
        <v>34005</v>
      </c>
      <c r="K1680" t="s">
        <v>42638</v>
      </c>
      <c r="M1680" t="s">
        <v>43388</v>
      </c>
      <c r="N1680" t="s">
        <v>47304</v>
      </c>
      <c r="O1680" t="s">
        <v>47305</v>
      </c>
      <c r="P1680">
        <v>0</v>
      </c>
      <c r="Q1680">
        <v>0</v>
      </c>
      <c r="R1680" t="s">
        <v>47307</v>
      </c>
      <c r="S1680" t="s">
        <v>47416</v>
      </c>
      <c r="T1680" t="s">
        <v>49023</v>
      </c>
      <c r="U1680" t="s">
        <v>51055</v>
      </c>
      <c r="W1680" t="s">
        <v>43388</v>
      </c>
      <c r="X1680" t="s">
        <v>47306</v>
      </c>
    </row>
    <row r="1681" spans="1:24">
      <c r="A1681">
        <f>HYPERLINK("https://www.philgeps.gov.ph/GEPSNONPILOT/Tender/SplashBidNoticeAbstractUI.aspx?menuIndex=3&amp;refID=7199453&amp;Result=3","7199453")</f>
        <v>0</v>
      </c>
      <c r="B1681" t="s">
        <v>481</v>
      </c>
      <c r="C1681" t="s">
        <v>5485</v>
      </c>
      <c r="D1681" t="s">
        <v>18993</v>
      </c>
      <c r="E1681" t="s">
        <v>20634</v>
      </c>
      <c r="F1681" t="s">
        <v>32606</v>
      </c>
      <c r="G1681" t="s">
        <v>32614</v>
      </c>
      <c r="H1681" t="s">
        <v>14201</v>
      </c>
      <c r="I1681" t="s">
        <v>6931</v>
      </c>
      <c r="J1681" t="s">
        <v>34006</v>
      </c>
      <c r="K1681" t="s">
        <v>42623</v>
      </c>
      <c r="M1681" t="s">
        <v>43392</v>
      </c>
      <c r="N1681" t="s">
        <v>47304</v>
      </c>
      <c r="O1681" t="s">
        <v>47305</v>
      </c>
      <c r="P1681">
        <v>0</v>
      </c>
      <c r="Q1681">
        <v>0</v>
      </c>
      <c r="R1681" t="s">
        <v>47307</v>
      </c>
      <c r="S1681" t="s">
        <v>47416</v>
      </c>
      <c r="T1681" t="s">
        <v>49017</v>
      </c>
      <c r="U1681" t="s">
        <v>51056</v>
      </c>
      <c r="W1681" t="s">
        <v>43392</v>
      </c>
      <c r="X1681" t="s">
        <v>47306</v>
      </c>
    </row>
    <row r="1682" spans="1:24">
      <c r="A1682">
        <f>HYPERLINK("https://www.philgeps.gov.ph/GEPSNONPILOT/Tender/SplashBidNoticeAbstractUI.aspx?menuIndex=3&amp;refID=7199452&amp;Result=3","7199452")</f>
        <v>0</v>
      </c>
      <c r="B1682" t="s">
        <v>238</v>
      </c>
      <c r="C1682" t="s">
        <v>5486</v>
      </c>
      <c r="D1682" t="s">
        <v>18993</v>
      </c>
      <c r="E1682" t="s">
        <v>20635</v>
      </c>
      <c r="F1682" t="s">
        <v>32606</v>
      </c>
      <c r="G1682" t="s">
        <v>32619</v>
      </c>
      <c r="H1682" t="s">
        <v>14201</v>
      </c>
      <c r="I1682" t="s">
        <v>4114</v>
      </c>
      <c r="J1682" t="s">
        <v>34007</v>
      </c>
      <c r="K1682" t="s">
        <v>42622</v>
      </c>
      <c r="M1682" t="s">
        <v>43194</v>
      </c>
      <c r="N1682" t="s">
        <v>47304</v>
      </c>
      <c r="O1682" t="s">
        <v>47305</v>
      </c>
      <c r="P1682">
        <v>0</v>
      </c>
      <c r="Q1682">
        <v>0</v>
      </c>
      <c r="R1682" t="s">
        <v>47307</v>
      </c>
      <c r="S1682" t="s">
        <v>47416</v>
      </c>
      <c r="T1682" t="s">
        <v>49123</v>
      </c>
      <c r="U1682" t="s">
        <v>50120</v>
      </c>
      <c r="V1682" t="s">
        <v>62716</v>
      </c>
      <c r="W1682" t="s">
        <v>43194</v>
      </c>
      <c r="X1682" t="s">
        <v>47306</v>
      </c>
    </row>
    <row r="1683" spans="1:24">
      <c r="A1683">
        <f>HYPERLINK("https://www.philgeps.gov.ph/GEPSNONPILOT/Tender/SplashBidNoticeAbstractUI.aspx?menuIndex=3&amp;refID=7199461&amp;Result=3","7199461")</f>
        <v>0</v>
      </c>
      <c r="B1683" t="s">
        <v>816</v>
      </c>
      <c r="C1683" t="s">
        <v>5487</v>
      </c>
      <c r="D1683" t="s">
        <v>19007</v>
      </c>
      <c r="E1683" t="s">
        <v>20636</v>
      </c>
      <c r="F1683" t="s">
        <v>32606</v>
      </c>
      <c r="G1683" t="s">
        <v>32613</v>
      </c>
      <c r="H1683" t="s">
        <v>32623</v>
      </c>
      <c r="I1683" t="s">
        <v>17648</v>
      </c>
      <c r="J1683" t="s">
        <v>34008</v>
      </c>
      <c r="K1683" t="s">
        <v>42636</v>
      </c>
      <c r="M1683" t="s">
        <v>43747</v>
      </c>
      <c r="N1683" t="s">
        <v>47304</v>
      </c>
      <c r="O1683" t="s">
        <v>47305</v>
      </c>
      <c r="P1683">
        <v>0</v>
      </c>
      <c r="Q1683">
        <v>0</v>
      </c>
      <c r="R1683" t="s">
        <v>47307</v>
      </c>
      <c r="S1683" t="s">
        <v>47416</v>
      </c>
      <c r="T1683" t="s">
        <v>48996</v>
      </c>
      <c r="U1683" t="s">
        <v>51057</v>
      </c>
      <c r="W1683" t="s">
        <v>64451</v>
      </c>
      <c r="X1683" t="s">
        <v>47306</v>
      </c>
    </row>
    <row r="1684" spans="1:24">
      <c r="A1684">
        <f>HYPERLINK("https://www.philgeps.gov.ph/GEPSNONPILOT/Tender/SplashBidNoticeAbstractUI.aspx?menuIndex=3&amp;refID=7199449&amp;Result=3","7199449")</f>
        <v>0</v>
      </c>
      <c r="B1684" t="s">
        <v>742</v>
      </c>
      <c r="C1684" t="s">
        <v>5488</v>
      </c>
      <c r="D1684" t="s">
        <v>19054</v>
      </c>
      <c r="E1684" t="s">
        <v>20637</v>
      </c>
      <c r="F1684" t="s">
        <v>32606</v>
      </c>
      <c r="G1684" t="s">
        <v>32614</v>
      </c>
      <c r="H1684" t="s">
        <v>14201</v>
      </c>
      <c r="I1684" t="s">
        <v>32631</v>
      </c>
      <c r="J1684" t="s">
        <v>34009</v>
      </c>
      <c r="K1684" t="s">
        <v>42631</v>
      </c>
      <c r="M1684" t="s">
        <v>43665</v>
      </c>
      <c r="N1684" t="s">
        <v>47304</v>
      </c>
      <c r="O1684" t="s">
        <v>47305</v>
      </c>
      <c r="P1684">
        <v>0</v>
      </c>
      <c r="Q1684">
        <v>0</v>
      </c>
      <c r="R1684" t="s">
        <v>47307</v>
      </c>
      <c r="S1684" t="s">
        <v>47416</v>
      </c>
      <c r="T1684" t="s">
        <v>49015</v>
      </c>
      <c r="U1684" t="s">
        <v>50889</v>
      </c>
      <c r="W1684" t="s">
        <v>43665</v>
      </c>
      <c r="X1684" t="s">
        <v>47306</v>
      </c>
    </row>
    <row r="1685" spans="1:24">
      <c r="A1685">
        <f>HYPERLINK("https://www.philgeps.gov.ph/GEPSNONPILOT/Tender/SplashBidNoticeAbstractUI.aspx?menuIndex=3&amp;refID=7199469&amp;Result=3","7199469")</f>
        <v>0</v>
      </c>
      <c r="B1685" t="s">
        <v>817</v>
      </c>
      <c r="C1685" t="s">
        <v>5489</v>
      </c>
      <c r="D1685" t="s">
        <v>18993</v>
      </c>
      <c r="E1685" t="s">
        <v>20638</v>
      </c>
      <c r="F1685" t="s">
        <v>32606</v>
      </c>
      <c r="G1685" t="s">
        <v>32613</v>
      </c>
      <c r="H1685" t="s">
        <v>14201</v>
      </c>
      <c r="I1685" t="s">
        <v>6298</v>
      </c>
      <c r="J1685" t="s">
        <v>32765</v>
      </c>
      <c r="K1685" t="s">
        <v>42630</v>
      </c>
      <c r="M1685" t="s">
        <v>43748</v>
      </c>
      <c r="N1685" t="s">
        <v>47304</v>
      </c>
      <c r="O1685" t="s">
        <v>47305</v>
      </c>
      <c r="P1685">
        <v>0</v>
      </c>
      <c r="Q1685">
        <v>0</v>
      </c>
      <c r="R1685" t="s">
        <v>47307</v>
      </c>
      <c r="S1685" t="s">
        <v>47416</v>
      </c>
      <c r="T1685" t="s">
        <v>49016</v>
      </c>
      <c r="U1685" t="s">
        <v>51058</v>
      </c>
      <c r="W1685" t="s">
        <v>43748</v>
      </c>
      <c r="X1685" t="s">
        <v>47306</v>
      </c>
    </row>
    <row r="1686" spans="1:24">
      <c r="A1686">
        <f>HYPERLINK("https://www.philgeps.gov.ph/GEPSNONPILOT/Tender/SplashBidNoticeAbstractUI.aspx?menuIndex=3&amp;refID=7199441&amp;Result=3","7199441")</f>
        <v>0</v>
      </c>
      <c r="B1686" t="s">
        <v>304</v>
      </c>
      <c r="C1686" t="s">
        <v>5490</v>
      </c>
      <c r="D1686" t="s">
        <v>18994</v>
      </c>
      <c r="E1686" t="s">
        <v>20639</v>
      </c>
      <c r="F1686" t="s">
        <v>32606</v>
      </c>
      <c r="G1686" t="s">
        <v>32613</v>
      </c>
      <c r="H1686" t="s">
        <v>14201</v>
      </c>
      <c r="I1686" t="s">
        <v>6931</v>
      </c>
      <c r="J1686" t="s">
        <v>34010</v>
      </c>
      <c r="K1686" t="s">
        <v>42638</v>
      </c>
      <c r="M1686" t="s">
        <v>43206</v>
      </c>
      <c r="N1686" t="s">
        <v>47304</v>
      </c>
      <c r="O1686" t="s">
        <v>47305</v>
      </c>
      <c r="P1686">
        <v>0</v>
      </c>
      <c r="Q1686">
        <v>0</v>
      </c>
      <c r="R1686" t="s">
        <v>47307</v>
      </c>
      <c r="S1686" t="s">
        <v>47416</v>
      </c>
      <c r="T1686" t="s">
        <v>48995</v>
      </c>
      <c r="U1686" t="s">
        <v>51059</v>
      </c>
      <c r="V1686" t="s">
        <v>62836</v>
      </c>
      <c r="W1686" t="s">
        <v>43206</v>
      </c>
      <c r="X1686" t="s">
        <v>47306</v>
      </c>
    </row>
    <row r="1687" spans="1:24">
      <c r="A1687">
        <f>HYPERLINK("https://www.philgeps.gov.ph/GEPSNONPILOT/Tender/SplashBidNoticeAbstractUI.aspx?menuIndex=3&amp;refID=7199435&amp;Result=3","7199435")</f>
        <v>0</v>
      </c>
      <c r="B1687" t="s">
        <v>728</v>
      </c>
      <c r="C1687" t="s">
        <v>5491</v>
      </c>
      <c r="D1687" t="s">
        <v>19025</v>
      </c>
      <c r="E1687" t="s">
        <v>20640</v>
      </c>
      <c r="F1687" t="s">
        <v>32606</v>
      </c>
      <c r="G1687" t="s">
        <v>32614</v>
      </c>
      <c r="H1687" t="s">
        <v>14201</v>
      </c>
      <c r="I1687" t="s">
        <v>6931</v>
      </c>
      <c r="J1687" t="s">
        <v>33844</v>
      </c>
      <c r="K1687" t="s">
        <v>42631</v>
      </c>
      <c r="M1687" t="s">
        <v>43650</v>
      </c>
      <c r="N1687" t="s">
        <v>47304</v>
      </c>
      <c r="O1687" t="s">
        <v>47305</v>
      </c>
      <c r="P1687">
        <v>0</v>
      </c>
      <c r="Q1687">
        <v>0</v>
      </c>
      <c r="R1687" t="s">
        <v>47307</v>
      </c>
      <c r="S1687" t="s">
        <v>47416</v>
      </c>
      <c r="T1687" t="s">
        <v>48986</v>
      </c>
      <c r="U1687" t="s">
        <v>50853</v>
      </c>
      <c r="W1687" t="s">
        <v>43650</v>
      </c>
      <c r="X1687" t="s">
        <v>47306</v>
      </c>
    </row>
    <row r="1688" spans="1:24">
      <c r="A1688">
        <f>HYPERLINK("https://www.philgeps.gov.ph/GEPSNONPILOT/Tender/SplashBidNoticeAbstractUI.aspx?menuIndex=3&amp;refID=7199434&amp;Result=3","7199434")</f>
        <v>0</v>
      </c>
      <c r="B1688" t="s">
        <v>634</v>
      </c>
      <c r="C1688" t="s">
        <v>5492</v>
      </c>
      <c r="D1688" t="s">
        <v>19056</v>
      </c>
      <c r="E1688" t="s">
        <v>20641</v>
      </c>
      <c r="F1688" t="s">
        <v>32606</v>
      </c>
      <c r="G1688" t="s">
        <v>32614</v>
      </c>
      <c r="H1688" t="s">
        <v>14201</v>
      </c>
      <c r="I1688" t="s">
        <v>4678</v>
      </c>
      <c r="J1688" t="s">
        <v>34011</v>
      </c>
      <c r="K1688" t="s">
        <v>42630</v>
      </c>
      <c r="M1688" t="s">
        <v>43552</v>
      </c>
      <c r="N1688" t="s">
        <v>47304</v>
      </c>
      <c r="O1688" t="s">
        <v>47305</v>
      </c>
      <c r="P1688">
        <v>0</v>
      </c>
      <c r="Q1688">
        <v>0</v>
      </c>
      <c r="R1688" t="s">
        <v>47307</v>
      </c>
      <c r="S1688" t="s">
        <v>47416</v>
      </c>
      <c r="T1688" t="s">
        <v>49002</v>
      </c>
      <c r="U1688" t="s">
        <v>51060</v>
      </c>
      <c r="W1688" t="s">
        <v>43552</v>
      </c>
      <c r="X1688" t="s">
        <v>47306</v>
      </c>
    </row>
    <row r="1689" spans="1:24">
      <c r="A1689">
        <f>HYPERLINK("https://www.philgeps.gov.ph/GEPSNONPILOT/Tender/SplashBidNoticeAbstractUI.aspx?menuIndex=3&amp;refID=7199495&amp;Result=3","7199495")</f>
        <v>0</v>
      </c>
      <c r="B1689" t="s">
        <v>813</v>
      </c>
      <c r="C1689" t="s">
        <v>5493</v>
      </c>
      <c r="D1689" t="s">
        <v>19044</v>
      </c>
      <c r="E1689" t="s">
        <v>20148</v>
      </c>
      <c r="F1689" t="s">
        <v>32606</v>
      </c>
      <c r="G1689" t="s">
        <v>32614</v>
      </c>
      <c r="H1689" t="s">
        <v>14201</v>
      </c>
      <c r="I1689" t="s">
        <v>7233</v>
      </c>
      <c r="J1689" t="s">
        <v>34012</v>
      </c>
      <c r="K1689" t="s">
        <v>42622</v>
      </c>
      <c r="M1689" t="s">
        <v>43744</v>
      </c>
      <c r="N1689" t="s">
        <v>47304</v>
      </c>
      <c r="O1689" t="s">
        <v>47305</v>
      </c>
      <c r="P1689">
        <v>0</v>
      </c>
      <c r="Q1689">
        <v>0</v>
      </c>
      <c r="R1689" t="s">
        <v>47307</v>
      </c>
      <c r="S1689" t="s">
        <v>47416</v>
      </c>
      <c r="T1689" t="s">
        <v>49017</v>
      </c>
      <c r="U1689" t="s">
        <v>51061</v>
      </c>
      <c r="W1689" t="s">
        <v>43744</v>
      </c>
      <c r="X1689" t="s">
        <v>47306</v>
      </c>
    </row>
    <row r="1690" spans="1:24">
      <c r="A1690">
        <f>HYPERLINK("https://www.philgeps.gov.ph/GEPSNONPILOT/Tender/SplashBidNoticeAbstractUI.aspx?menuIndex=3&amp;refID=7199493&amp;Result=3","7199493")</f>
        <v>0</v>
      </c>
      <c r="B1690" t="s">
        <v>818</v>
      </c>
      <c r="C1690" t="s">
        <v>5494</v>
      </c>
      <c r="D1690" t="s">
        <v>19049</v>
      </c>
      <c r="E1690" t="s">
        <v>20642</v>
      </c>
      <c r="F1690" t="s">
        <v>32606</v>
      </c>
      <c r="G1690" t="s">
        <v>32614</v>
      </c>
      <c r="H1690" t="s">
        <v>14201</v>
      </c>
      <c r="I1690" t="s">
        <v>9013</v>
      </c>
      <c r="J1690" t="s">
        <v>34013</v>
      </c>
      <c r="K1690" t="s">
        <v>42630</v>
      </c>
      <c r="M1690" t="s">
        <v>43749</v>
      </c>
      <c r="N1690" t="s">
        <v>47304</v>
      </c>
      <c r="O1690" t="s">
        <v>47305</v>
      </c>
      <c r="P1690">
        <v>0</v>
      </c>
      <c r="Q1690">
        <v>0</v>
      </c>
      <c r="R1690" t="s">
        <v>47307</v>
      </c>
      <c r="S1690" t="s">
        <v>47416</v>
      </c>
      <c r="T1690" t="s">
        <v>49175</v>
      </c>
      <c r="U1690" t="s">
        <v>51062</v>
      </c>
      <c r="W1690" t="s">
        <v>43749</v>
      </c>
      <c r="X1690" t="s">
        <v>47306</v>
      </c>
    </row>
    <row r="1691" spans="1:24">
      <c r="A1691">
        <f>HYPERLINK("https://www.philgeps.gov.ph/GEPSNONPILOT/Tender/SplashBidNoticeAbstractUI.aspx?menuIndex=3&amp;refID=7199492&amp;Result=3","7199492")</f>
        <v>0</v>
      </c>
      <c r="B1691" t="s">
        <v>819</v>
      </c>
      <c r="C1691" t="s">
        <v>5495</v>
      </c>
      <c r="D1691" t="s">
        <v>19028</v>
      </c>
      <c r="E1691" t="s">
        <v>20643</v>
      </c>
      <c r="F1691" t="s">
        <v>32606</v>
      </c>
      <c r="G1691" t="s">
        <v>32619</v>
      </c>
      <c r="H1691" t="s">
        <v>14201</v>
      </c>
      <c r="I1691" t="s">
        <v>32658</v>
      </c>
      <c r="J1691" t="s">
        <v>34014</v>
      </c>
      <c r="K1691" t="s">
        <v>42622</v>
      </c>
      <c r="M1691" t="s">
        <v>43750</v>
      </c>
      <c r="N1691" t="s">
        <v>47304</v>
      </c>
      <c r="O1691" t="s">
        <v>47305</v>
      </c>
      <c r="P1691">
        <v>0</v>
      </c>
      <c r="Q1691">
        <v>0</v>
      </c>
      <c r="R1691" t="s">
        <v>47307</v>
      </c>
      <c r="S1691" t="s">
        <v>47416</v>
      </c>
      <c r="T1691" t="s">
        <v>48980</v>
      </c>
      <c r="U1691" t="s">
        <v>51063</v>
      </c>
      <c r="W1691" t="s">
        <v>43750</v>
      </c>
      <c r="X1691" t="s">
        <v>47306</v>
      </c>
    </row>
    <row r="1692" spans="1:24">
      <c r="A1692">
        <f>HYPERLINK("https://www.philgeps.gov.ph/GEPSNONPILOT/Tender/SplashBidNoticeAbstractUI.aspx?menuIndex=3&amp;refID=7199459&amp;Result=3","7199459")</f>
        <v>0</v>
      </c>
      <c r="B1692" t="s">
        <v>820</v>
      </c>
      <c r="C1692" t="s">
        <v>5496</v>
      </c>
      <c r="D1692" t="s">
        <v>19057</v>
      </c>
      <c r="E1692" t="s">
        <v>20644</v>
      </c>
      <c r="F1692" t="s">
        <v>32606</v>
      </c>
      <c r="G1692" t="s">
        <v>32614</v>
      </c>
      <c r="H1692" t="s">
        <v>14201</v>
      </c>
      <c r="I1692" t="s">
        <v>7233</v>
      </c>
      <c r="J1692" t="s">
        <v>34015</v>
      </c>
      <c r="K1692" t="s">
        <v>42631</v>
      </c>
      <c r="M1692" t="s">
        <v>43751</v>
      </c>
      <c r="N1692" t="s">
        <v>47304</v>
      </c>
      <c r="O1692" t="s">
        <v>47305</v>
      </c>
      <c r="P1692">
        <v>0</v>
      </c>
      <c r="Q1692">
        <v>0</v>
      </c>
      <c r="R1692" t="s">
        <v>47307</v>
      </c>
      <c r="S1692" t="s">
        <v>47416</v>
      </c>
      <c r="T1692" t="s">
        <v>49087</v>
      </c>
      <c r="U1692" t="s">
        <v>51064</v>
      </c>
      <c r="W1692" t="s">
        <v>43751</v>
      </c>
      <c r="X1692" t="s">
        <v>47306</v>
      </c>
    </row>
    <row r="1693" spans="1:24">
      <c r="A1693">
        <f>HYPERLINK("https://www.philgeps.gov.ph/GEPSNONPILOT/Tender/SplashBidNoticeAbstractUI.aspx?menuIndex=3&amp;refID=7199489&amp;Result=3","7199489")</f>
        <v>0</v>
      </c>
      <c r="B1693" t="s">
        <v>821</v>
      </c>
      <c r="C1693" t="s">
        <v>5497</v>
      </c>
      <c r="D1693" t="s">
        <v>18995</v>
      </c>
      <c r="E1693" t="s">
        <v>20645</v>
      </c>
      <c r="F1693" t="s">
        <v>32606</v>
      </c>
      <c r="G1693" t="s">
        <v>32613</v>
      </c>
      <c r="H1693" t="s">
        <v>14201</v>
      </c>
      <c r="I1693" t="s">
        <v>32681</v>
      </c>
      <c r="J1693" t="s">
        <v>34016</v>
      </c>
      <c r="K1693" t="s">
        <v>42716</v>
      </c>
      <c r="M1693" t="s">
        <v>43752</v>
      </c>
      <c r="N1693" t="s">
        <v>47304</v>
      </c>
      <c r="O1693" t="s">
        <v>47305</v>
      </c>
      <c r="P1693">
        <v>0</v>
      </c>
      <c r="Q1693">
        <v>0</v>
      </c>
      <c r="R1693" t="s">
        <v>47307</v>
      </c>
      <c r="S1693" t="s">
        <v>47416</v>
      </c>
      <c r="T1693" t="s">
        <v>48996</v>
      </c>
      <c r="U1693" t="s">
        <v>51065</v>
      </c>
      <c r="V1693" t="s">
        <v>62837</v>
      </c>
      <c r="W1693" t="s">
        <v>43752</v>
      </c>
      <c r="X1693" t="s">
        <v>47306</v>
      </c>
    </row>
    <row r="1694" spans="1:24">
      <c r="A1694">
        <f>HYPERLINK("https://www.philgeps.gov.ph/GEPSNONPILOT/Tender/SplashBidNoticeAbstractUI.aspx?menuIndex=3&amp;refID=7199432&amp;Result=3","7199432")</f>
        <v>0</v>
      </c>
      <c r="B1694" t="s">
        <v>316</v>
      </c>
      <c r="C1694" t="s">
        <v>5498</v>
      </c>
      <c r="D1694" t="s">
        <v>18994</v>
      </c>
      <c r="E1694" t="s">
        <v>20646</v>
      </c>
      <c r="F1694" t="s">
        <v>32606</v>
      </c>
      <c r="G1694" t="s">
        <v>32614</v>
      </c>
      <c r="H1694" t="s">
        <v>14201</v>
      </c>
      <c r="I1694" t="s">
        <v>32634</v>
      </c>
      <c r="J1694" t="s">
        <v>33274</v>
      </c>
      <c r="K1694" t="s">
        <v>42624</v>
      </c>
      <c r="M1694" t="s">
        <v>43218</v>
      </c>
      <c r="N1694" t="s">
        <v>47304</v>
      </c>
      <c r="O1694" t="s">
        <v>47305</v>
      </c>
      <c r="P1694">
        <v>0</v>
      </c>
      <c r="Q1694">
        <v>0</v>
      </c>
      <c r="R1694" t="s">
        <v>47307</v>
      </c>
      <c r="S1694" t="s">
        <v>47416</v>
      </c>
      <c r="T1694" t="s">
        <v>48975</v>
      </c>
      <c r="U1694" t="s">
        <v>50096</v>
      </c>
      <c r="V1694" t="s">
        <v>62721</v>
      </c>
      <c r="W1694" t="s">
        <v>43218</v>
      </c>
      <c r="X1694" t="s">
        <v>47306</v>
      </c>
    </row>
    <row r="1695" spans="1:24">
      <c r="A1695">
        <f>HYPERLINK("https://www.philgeps.gov.ph/GEPSNONPILOT/Tender/SplashBidNoticeAbstractUI.aspx?menuIndex=3&amp;refID=7199487&amp;Result=3","7199487")</f>
        <v>0</v>
      </c>
      <c r="B1695" t="s">
        <v>662</v>
      </c>
      <c r="C1695" t="s">
        <v>5499</v>
      </c>
      <c r="D1695" t="s">
        <v>19023</v>
      </c>
      <c r="E1695" t="s">
        <v>20647</v>
      </c>
      <c r="F1695" t="s">
        <v>32606</v>
      </c>
      <c r="G1695" t="s">
        <v>32613</v>
      </c>
      <c r="H1695" t="s">
        <v>14201</v>
      </c>
      <c r="I1695" t="s">
        <v>4112</v>
      </c>
      <c r="J1695" t="s">
        <v>32923</v>
      </c>
      <c r="K1695" t="s">
        <v>42631</v>
      </c>
      <c r="M1695" t="s">
        <v>43582</v>
      </c>
      <c r="N1695" t="s">
        <v>47304</v>
      </c>
      <c r="O1695" t="s">
        <v>47305</v>
      </c>
      <c r="P1695">
        <v>0</v>
      </c>
      <c r="Q1695">
        <v>0</v>
      </c>
      <c r="R1695" t="s">
        <v>47307</v>
      </c>
      <c r="S1695" t="s">
        <v>47416</v>
      </c>
      <c r="T1695" t="s">
        <v>49065</v>
      </c>
      <c r="U1695" t="s">
        <v>51066</v>
      </c>
      <c r="W1695" t="s">
        <v>43582</v>
      </c>
      <c r="X1695" t="s">
        <v>47306</v>
      </c>
    </row>
    <row r="1696" spans="1:24">
      <c r="A1696">
        <f>HYPERLINK("https://www.philgeps.gov.ph/GEPSNONPILOT/Tender/SplashBidNoticeAbstractUI.aspx?menuIndex=3&amp;refID=7199486&amp;Result=3","7199486")</f>
        <v>0</v>
      </c>
      <c r="B1696" t="s">
        <v>755</v>
      </c>
      <c r="C1696" t="s">
        <v>5500</v>
      </c>
      <c r="D1696" t="s">
        <v>18988</v>
      </c>
      <c r="E1696" t="s">
        <v>20648</v>
      </c>
      <c r="F1696" t="s">
        <v>32606</v>
      </c>
      <c r="G1696" t="s">
        <v>32613</v>
      </c>
      <c r="H1696" t="s">
        <v>14201</v>
      </c>
      <c r="I1696" t="s">
        <v>32646</v>
      </c>
      <c r="J1696" t="s">
        <v>33385</v>
      </c>
      <c r="K1696" t="s">
        <v>42631</v>
      </c>
      <c r="M1696" t="s">
        <v>43679</v>
      </c>
      <c r="N1696" t="s">
        <v>47304</v>
      </c>
      <c r="O1696" t="s">
        <v>47305</v>
      </c>
      <c r="P1696">
        <v>0</v>
      </c>
      <c r="Q1696">
        <v>0</v>
      </c>
      <c r="R1696" t="s">
        <v>47307</v>
      </c>
      <c r="S1696" t="s">
        <v>47416</v>
      </c>
      <c r="T1696" t="s">
        <v>49017</v>
      </c>
      <c r="U1696" t="s">
        <v>51067</v>
      </c>
      <c r="W1696" t="s">
        <v>43679</v>
      </c>
      <c r="X1696" t="s">
        <v>47306</v>
      </c>
    </row>
    <row r="1697" spans="1:24">
      <c r="A1697">
        <f>HYPERLINK("https://www.philgeps.gov.ph/GEPSNONPILOT/Tender/SplashBidNoticeAbstractUI.aspx?menuIndex=3&amp;refID=7199451&amp;Result=3","7199451")</f>
        <v>0</v>
      </c>
      <c r="B1697" t="s">
        <v>605</v>
      </c>
      <c r="C1697" t="s">
        <v>5501</v>
      </c>
      <c r="D1697" t="s">
        <v>19024</v>
      </c>
      <c r="E1697" t="s">
        <v>20649</v>
      </c>
      <c r="F1697" t="s">
        <v>32606</v>
      </c>
      <c r="G1697" t="s">
        <v>32613</v>
      </c>
      <c r="H1697" t="s">
        <v>32623</v>
      </c>
      <c r="I1697" t="s">
        <v>17648</v>
      </c>
      <c r="J1697" t="s">
        <v>33103</v>
      </c>
      <c r="K1697" t="s">
        <v>42639</v>
      </c>
      <c r="M1697" t="s">
        <v>43521</v>
      </c>
      <c r="N1697" t="s">
        <v>47304</v>
      </c>
      <c r="O1697" t="s">
        <v>47305</v>
      </c>
      <c r="P1697">
        <v>0</v>
      </c>
      <c r="Q1697">
        <v>0</v>
      </c>
      <c r="R1697" t="s">
        <v>47307</v>
      </c>
      <c r="S1697" t="s">
        <v>47416</v>
      </c>
      <c r="T1697" t="s">
        <v>48996</v>
      </c>
      <c r="U1697" t="s">
        <v>50646</v>
      </c>
      <c r="W1697" t="s">
        <v>43521</v>
      </c>
      <c r="X1697" t="s">
        <v>47306</v>
      </c>
    </row>
    <row r="1698" spans="1:24">
      <c r="A1698">
        <f>HYPERLINK("https://www.philgeps.gov.ph/GEPSNONPILOT/Tender/SplashBidNoticeAbstractUI.aspx?menuIndex=3&amp;refID=7199483&amp;Result=3","7199483")</f>
        <v>0</v>
      </c>
      <c r="B1698" t="s">
        <v>238</v>
      </c>
      <c r="C1698" t="s">
        <v>5502</v>
      </c>
      <c r="D1698" t="s">
        <v>18993</v>
      </c>
      <c r="E1698" t="s">
        <v>20650</v>
      </c>
      <c r="F1698" t="s">
        <v>32606</v>
      </c>
      <c r="G1698" t="s">
        <v>32619</v>
      </c>
      <c r="H1698" t="s">
        <v>14201</v>
      </c>
      <c r="I1698" t="s">
        <v>4114</v>
      </c>
      <c r="J1698" t="s">
        <v>34017</v>
      </c>
      <c r="K1698" t="s">
        <v>42622</v>
      </c>
      <c r="M1698" t="s">
        <v>43194</v>
      </c>
      <c r="N1698" t="s">
        <v>47304</v>
      </c>
      <c r="O1698" t="s">
        <v>47305</v>
      </c>
      <c r="P1698">
        <v>0</v>
      </c>
      <c r="Q1698">
        <v>0</v>
      </c>
      <c r="R1698" t="s">
        <v>47307</v>
      </c>
      <c r="S1698" t="s">
        <v>47416</v>
      </c>
      <c r="T1698" t="s">
        <v>49123</v>
      </c>
      <c r="U1698" t="s">
        <v>51042</v>
      </c>
      <c r="V1698" t="s">
        <v>62716</v>
      </c>
      <c r="W1698" t="s">
        <v>43194</v>
      </c>
      <c r="X1698" t="s">
        <v>47306</v>
      </c>
    </row>
    <row r="1699" spans="1:24">
      <c r="A1699">
        <f>HYPERLINK("https://www.philgeps.gov.ph/GEPSNONPILOT/Tender/SplashBidNoticeAbstractUI.aspx?menuIndex=3&amp;refID=7199450&amp;Result=3","7199450")</f>
        <v>0</v>
      </c>
      <c r="B1699" t="s">
        <v>715</v>
      </c>
      <c r="C1699" t="s">
        <v>5503</v>
      </c>
      <c r="D1699" t="s">
        <v>19006</v>
      </c>
      <c r="E1699" t="s">
        <v>5503</v>
      </c>
      <c r="F1699" t="s">
        <v>32606</v>
      </c>
      <c r="G1699" t="s">
        <v>32619</v>
      </c>
      <c r="H1699" t="s">
        <v>14201</v>
      </c>
      <c r="I1699" t="s">
        <v>4678</v>
      </c>
      <c r="J1699" t="s">
        <v>32781</v>
      </c>
      <c r="K1699" t="s">
        <v>42630</v>
      </c>
      <c r="M1699" t="s">
        <v>43636</v>
      </c>
      <c r="N1699" t="s">
        <v>47304</v>
      </c>
      <c r="O1699" t="s">
        <v>47305</v>
      </c>
      <c r="P1699">
        <v>0</v>
      </c>
      <c r="Q1699">
        <v>0</v>
      </c>
      <c r="R1699" t="s">
        <v>47307</v>
      </c>
      <c r="S1699" t="s">
        <v>47416</v>
      </c>
      <c r="T1699" t="s">
        <v>49162</v>
      </c>
      <c r="U1699" t="s">
        <v>51068</v>
      </c>
      <c r="W1699" t="s">
        <v>43636</v>
      </c>
      <c r="X1699" t="s">
        <v>47306</v>
      </c>
    </row>
    <row r="1700" spans="1:24">
      <c r="A1700">
        <f>HYPERLINK("https://www.philgeps.gov.ph/GEPSNONPILOT/Tender/SplashBidNoticeAbstractUI.aspx?menuIndex=3&amp;refID=7199481&amp;Result=3","7199481")</f>
        <v>0</v>
      </c>
      <c r="B1700" t="s">
        <v>28</v>
      </c>
      <c r="C1700" t="s">
        <v>5504</v>
      </c>
      <c r="D1700" t="s">
        <v>18993</v>
      </c>
      <c r="E1700" t="s">
        <v>20499</v>
      </c>
      <c r="F1700" t="s">
        <v>32606</v>
      </c>
      <c r="G1700" t="s">
        <v>32613</v>
      </c>
      <c r="H1700" t="s">
        <v>14201</v>
      </c>
      <c r="I1700" t="s">
        <v>7233</v>
      </c>
      <c r="J1700" t="s">
        <v>33016</v>
      </c>
      <c r="K1700" t="s">
        <v>42626</v>
      </c>
      <c r="M1700" t="s">
        <v>43687</v>
      </c>
      <c r="N1700" t="s">
        <v>47304</v>
      </c>
      <c r="O1700" t="s">
        <v>47305</v>
      </c>
      <c r="P1700">
        <v>0</v>
      </c>
      <c r="Q1700">
        <v>0</v>
      </c>
      <c r="R1700" t="s">
        <v>47307</v>
      </c>
      <c r="S1700" t="s">
        <v>47416</v>
      </c>
      <c r="T1700" t="s">
        <v>49136</v>
      </c>
      <c r="U1700" t="s">
        <v>50930</v>
      </c>
      <c r="V1700" t="s">
        <v>52234</v>
      </c>
      <c r="W1700" t="s">
        <v>43687</v>
      </c>
      <c r="X1700" t="s">
        <v>47306</v>
      </c>
    </row>
    <row r="1701" spans="1:24">
      <c r="A1701">
        <f>HYPERLINK("https://www.philgeps.gov.ph/GEPSNONPILOT/Tender/SplashBidNoticeAbstractUI.aspx?menuIndex=3&amp;refID=7199497&amp;Result=3","7199497")</f>
        <v>0</v>
      </c>
      <c r="B1701" t="s">
        <v>238</v>
      </c>
      <c r="C1701" t="s">
        <v>5505</v>
      </c>
      <c r="D1701" t="s">
        <v>18993</v>
      </c>
      <c r="E1701" t="s">
        <v>20651</v>
      </c>
      <c r="F1701" t="s">
        <v>32606</v>
      </c>
      <c r="G1701" t="s">
        <v>32619</v>
      </c>
      <c r="H1701" t="s">
        <v>14201</v>
      </c>
      <c r="I1701" t="s">
        <v>32633</v>
      </c>
      <c r="J1701" t="s">
        <v>34018</v>
      </c>
      <c r="K1701" t="s">
        <v>42622</v>
      </c>
      <c r="M1701" t="s">
        <v>43139</v>
      </c>
      <c r="N1701" t="s">
        <v>47304</v>
      </c>
      <c r="O1701" t="s">
        <v>47305</v>
      </c>
      <c r="P1701">
        <v>0</v>
      </c>
      <c r="Q1701">
        <v>0</v>
      </c>
      <c r="R1701" t="s">
        <v>47307</v>
      </c>
      <c r="S1701" t="s">
        <v>47416</v>
      </c>
      <c r="T1701" t="s">
        <v>49123</v>
      </c>
      <c r="U1701" t="s">
        <v>51069</v>
      </c>
      <c r="V1701" t="s">
        <v>62703</v>
      </c>
      <c r="W1701" t="s">
        <v>43139</v>
      </c>
      <c r="X1701" t="s">
        <v>47306</v>
      </c>
    </row>
    <row r="1702" spans="1:24">
      <c r="A1702">
        <f>HYPERLINK("https://www.philgeps.gov.ph/GEPSNONPILOT/Tender/SplashBidNoticeAbstractUI.aspx?menuIndex=3&amp;refID=7199484&amp;Result=3","7199484")</f>
        <v>0</v>
      </c>
      <c r="B1702" t="s">
        <v>822</v>
      </c>
      <c r="C1702" t="s">
        <v>5506</v>
      </c>
      <c r="D1702" t="s">
        <v>19006</v>
      </c>
      <c r="E1702" t="s">
        <v>20652</v>
      </c>
      <c r="F1702" t="s">
        <v>32606</v>
      </c>
      <c r="G1702" t="s">
        <v>32614</v>
      </c>
      <c r="H1702" t="s">
        <v>32623</v>
      </c>
      <c r="I1702" t="s">
        <v>17648</v>
      </c>
      <c r="J1702" t="s">
        <v>33102</v>
      </c>
      <c r="K1702" t="s">
        <v>42639</v>
      </c>
      <c r="M1702" t="s">
        <v>43753</v>
      </c>
      <c r="N1702" t="s">
        <v>47304</v>
      </c>
      <c r="O1702" t="s">
        <v>47305</v>
      </c>
      <c r="P1702">
        <v>0</v>
      </c>
      <c r="Q1702">
        <v>0</v>
      </c>
      <c r="R1702" t="s">
        <v>47307</v>
      </c>
      <c r="S1702" t="s">
        <v>47416</v>
      </c>
      <c r="T1702" t="s">
        <v>49017</v>
      </c>
      <c r="U1702" t="s">
        <v>51070</v>
      </c>
      <c r="W1702" t="s">
        <v>43753</v>
      </c>
      <c r="X1702" t="s">
        <v>47306</v>
      </c>
    </row>
    <row r="1703" spans="1:24">
      <c r="A1703">
        <f>HYPERLINK("https://www.philgeps.gov.ph/GEPSNONPILOT/Tender/SplashBidNoticeAbstractUI.aspx?menuIndex=3&amp;refID=7199491&amp;Result=3","7199491")</f>
        <v>0</v>
      </c>
      <c r="B1703" t="s">
        <v>793</v>
      </c>
      <c r="C1703" t="s">
        <v>5507</v>
      </c>
      <c r="D1703" t="s">
        <v>19016</v>
      </c>
      <c r="E1703" t="s">
        <v>20580</v>
      </c>
      <c r="F1703" t="s">
        <v>32606</v>
      </c>
      <c r="G1703" t="s">
        <v>32617</v>
      </c>
      <c r="H1703" t="s">
        <v>14201</v>
      </c>
      <c r="I1703" t="s">
        <v>4120</v>
      </c>
      <c r="J1703" t="s">
        <v>34019</v>
      </c>
      <c r="K1703" t="s">
        <v>42632</v>
      </c>
      <c r="M1703" t="s">
        <v>43724</v>
      </c>
      <c r="N1703" t="s">
        <v>47304</v>
      </c>
      <c r="O1703" t="s">
        <v>47305</v>
      </c>
      <c r="P1703">
        <v>0</v>
      </c>
      <c r="Q1703">
        <v>0</v>
      </c>
      <c r="R1703" t="s">
        <v>47307</v>
      </c>
      <c r="S1703" t="s">
        <v>47416</v>
      </c>
      <c r="T1703" t="s">
        <v>49015</v>
      </c>
      <c r="U1703" t="s">
        <v>51071</v>
      </c>
      <c r="W1703" t="s">
        <v>43724</v>
      </c>
      <c r="X1703" t="s">
        <v>47306</v>
      </c>
    </row>
    <row r="1704" spans="1:24">
      <c r="A1704">
        <f>HYPERLINK("https://www.philgeps.gov.ph/GEPSNONPILOT/Tender/SplashBidNoticeAbstractUI.aspx?menuIndex=3&amp;refID=7199518&amp;Result=3","7199518")</f>
        <v>0</v>
      </c>
      <c r="B1704" t="s">
        <v>790</v>
      </c>
      <c r="C1704" t="s">
        <v>5508</v>
      </c>
      <c r="E1704" t="s">
        <v>20653</v>
      </c>
      <c r="F1704" t="s">
        <v>32606</v>
      </c>
      <c r="G1704" t="s">
        <v>32613</v>
      </c>
      <c r="H1704" t="s">
        <v>14201</v>
      </c>
      <c r="I1704" t="s">
        <v>17648</v>
      </c>
      <c r="J1704" t="s">
        <v>34020</v>
      </c>
      <c r="K1704" t="s">
        <v>42639</v>
      </c>
      <c r="M1704" t="s">
        <v>43721</v>
      </c>
      <c r="N1704" t="s">
        <v>47304</v>
      </c>
      <c r="O1704" t="s">
        <v>47305</v>
      </c>
      <c r="P1704">
        <v>0</v>
      </c>
      <c r="Q1704">
        <v>0</v>
      </c>
      <c r="R1704" t="s">
        <v>47307</v>
      </c>
      <c r="S1704" t="s">
        <v>47416</v>
      </c>
      <c r="T1704" t="s">
        <v>48990</v>
      </c>
      <c r="U1704" t="s">
        <v>51072</v>
      </c>
      <c r="W1704" t="s">
        <v>43721</v>
      </c>
      <c r="X1704" t="s">
        <v>47306</v>
      </c>
    </row>
    <row r="1705" spans="1:24">
      <c r="A1705">
        <f>HYPERLINK("https://www.philgeps.gov.ph/GEPSNONPILOT/Tender/SplashBidNoticeAbstractUI.aspx?menuIndex=3&amp;refID=7199490&amp;Result=3","7199490")</f>
        <v>0</v>
      </c>
      <c r="B1705" t="s">
        <v>823</v>
      </c>
      <c r="C1705" t="s">
        <v>5509</v>
      </c>
      <c r="D1705" t="s">
        <v>19037</v>
      </c>
      <c r="E1705" t="s">
        <v>20654</v>
      </c>
      <c r="F1705" t="s">
        <v>32606</v>
      </c>
      <c r="G1705" t="s">
        <v>32619</v>
      </c>
      <c r="H1705" t="s">
        <v>14201</v>
      </c>
      <c r="I1705" t="s">
        <v>4120</v>
      </c>
      <c r="J1705" t="s">
        <v>34021</v>
      </c>
      <c r="K1705" t="s">
        <v>42623</v>
      </c>
      <c r="M1705" t="s">
        <v>43754</v>
      </c>
      <c r="N1705" t="s">
        <v>47304</v>
      </c>
      <c r="O1705" t="s">
        <v>47305</v>
      </c>
      <c r="P1705">
        <v>0</v>
      </c>
      <c r="Q1705">
        <v>0</v>
      </c>
      <c r="R1705" t="s">
        <v>47307</v>
      </c>
      <c r="S1705" t="s">
        <v>47416</v>
      </c>
      <c r="T1705" t="s">
        <v>48977</v>
      </c>
      <c r="U1705" t="s">
        <v>51073</v>
      </c>
      <c r="W1705" t="s">
        <v>43754</v>
      </c>
      <c r="X1705" t="s">
        <v>47306</v>
      </c>
    </row>
    <row r="1706" spans="1:24">
      <c r="A1706">
        <f>HYPERLINK("https://www.philgeps.gov.ph/GEPSNONPILOT/Tender/SplashBidNoticeAbstractUI.aspx?menuIndex=3&amp;refID=7199516&amp;Result=3","7199516")</f>
        <v>0</v>
      </c>
      <c r="B1706" t="s">
        <v>824</v>
      </c>
      <c r="C1706" t="s">
        <v>5510</v>
      </c>
      <c r="D1706" t="s">
        <v>19011</v>
      </c>
      <c r="E1706" t="s">
        <v>20655</v>
      </c>
      <c r="F1706" t="s">
        <v>32606</v>
      </c>
      <c r="G1706" t="s">
        <v>32617</v>
      </c>
      <c r="H1706" t="s">
        <v>14201</v>
      </c>
      <c r="I1706" t="s">
        <v>4114</v>
      </c>
      <c r="J1706" t="s">
        <v>34022</v>
      </c>
      <c r="K1706" t="s">
        <v>42623</v>
      </c>
      <c r="M1706" t="s">
        <v>43755</v>
      </c>
      <c r="N1706" t="s">
        <v>47304</v>
      </c>
      <c r="O1706" t="s">
        <v>47305</v>
      </c>
      <c r="P1706">
        <v>0</v>
      </c>
      <c r="Q1706">
        <v>0</v>
      </c>
      <c r="R1706" t="s">
        <v>47307</v>
      </c>
      <c r="S1706" t="s">
        <v>47416</v>
      </c>
      <c r="T1706" t="s">
        <v>49093</v>
      </c>
      <c r="U1706" t="s">
        <v>51074</v>
      </c>
      <c r="W1706" t="s">
        <v>43755</v>
      </c>
      <c r="X1706" t="s">
        <v>47306</v>
      </c>
    </row>
    <row r="1707" spans="1:24">
      <c r="A1707">
        <f>HYPERLINK("https://www.philgeps.gov.ph/GEPSNONPILOT/Tender/SplashBidNoticeAbstractUI.aspx?menuIndex=3&amp;refID=7199479&amp;Result=3","7199479")</f>
        <v>0</v>
      </c>
      <c r="B1707" t="s">
        <v>792</v>
      </c>
      <c r="C1707" t="s">
        <v>5511</v>
      </c>
      <c r="D1707" t="s">
        <v>18995</v>
      </c>
      <c r="E1707" t="s">
        <v>20656</v>
      </c>
      <c r="F1707" t="s">
        <v>32606</v>
      </c>
      <c r="G1707" t="s">
        <v>32614</v>
      </c>
      <c r="H1707" t="s">
        <v>14201</v>
      </c>
      <c r="I1707" t="s">
        <v>4369</v>
      </c>
      <c r="J1707" t="s">
        <v>33569</v>
      </c>
      <c r="K1707" t="s">
        <v>42631</v>
      </c>
      <c r="M1707" t="s">
        <v>43723</v>
      </c>
      <c r="N1707" t="s">
        <v>47304</v>
      </c>
      <c r="O1707" t="s">
        <v>47305</v>
      </c>
      <c r="P1707">
        <v>0</v>
      </c>
      <c r="Q1707">
        <v>0</v>
      </c>
      <c r="R1707" t="s">
        <v>47307</v>
      </c>
      <c r="S1707" t="s">
        <v>47416</v>
      </c>
      <c r="T1707" t="s">
        <v>48975</v>
      </c>
      <c r="U1707" t="s">
        <v>51006</v>
      </c>
      <c r="W1707" t="s">
        <v>43723</v>
      </c>
      <c r="X1707" t="s">
        <v>47306</v>
      </c>
    </row>
    <row r="1708" spans="1:24">
      <c r="A1708">
        <f>HYPERLINK("https://www.philgeps.gov.ph/GEPSNONPILOT/Tender/SplashBidNoticeAbstractUI.aspx?menuIndex=3&amp;refID=7199514&amp;Result=3","7199514")</f>
        <v>0</v>
      </c>
      <c r="B1708" t="s">
        <v>321</v>
      </c>
      <c r="C1708" t="s">
        <v>5512</v>
      </c>
      <c r="D1708" t="s">
        <v>19048</v>
      </c>
      <c r="E1708" t="s">
        <v>20657</v>
      </c>
      <c r="F1708" t="s">
        <v>32606</v>
      </c>
      <c r="G1708" t="s">
        <v>32614</v>
      </c>
      <c r="H1708" t="s">
        <v>14201</v>
      </c>
      <c r="I1708" t="s">
        <v>32687</v>
      </c>
      <c r="J1708" t="s">
        <v>34023</v>
      </c>
      <c r="K1708" t="s">
        <v>42624</v>
      </c>
      <c r="M1708" t="s">
        <v>43223</v>
      </c>
      <c r="N1708" t="s">
        <v>47304</v>
      </c>
      <c r="O1708" t="s">
        <v>47305</v>
      </c>
      <c r="P1708">
        <v>0</v>
      </c>
      <c r="Q1708">
        <v>0</v>
      </c>
      <c r="R1708" t="s">
        <v>47307</v>
      </c>
      <c r="S1708" t="s">
        <v>47416</v>
      </c>
      <c r="T1708" t="s">
        <v>49093</v>
      </c>
      <c r="U1708" t="s">
        <v>50107</v>
      </c>
      <c r="W1708" t="s">
        <v>43223</v>
      </c>
      <c r="X1708" t="s">
        <v>47306</v>
      </c>
    </row>
    <row r="1709" spans="1:24">
      <c r="A1709">
        <f>HYPERLINK("https://www.philgeps.gov.ph/GEPSNONPILOT/Tender/SplashBidNoticeAbstractUI.aspx?menuIndex=3&amp;refID=7199513&amp;Result=3","7199513")</f>
        <v>0</v>
      </c>
      <c r="B1709" t="s">
        <v>825</v>
      </c>
      <c r="C1709" t="s">
        <v>5513</v>
      </c>
      <c r="D1709" t="s">
        <v>19051</v>
      </c>
      <c r="E1709" t="s">
        <v>20658</v>
      </c>
      <c r="F1709" t="s">
        <v>32606</v>
      </c>
      <c r="G1709" t="s">
        <v>32614</v>
      </c>
      <c r="H1709" t="s">
        <v>14201</v>
      </c>
      <c r="I1709" t="s">
        <v>6007</v>
      </c>
      <c r="J1709" t="s">
        <v>34024</v>
      </c>
      <c r="K1709" t="s">
        <v>42625</v>
      </c>
      <c r="M1709" t="s">
        <v>43756</v>
      </c>
      <c r="N1709" t="s">
        <v>47304</v>
      </c>
      <c r="O1709" t="s">
        <v>47305</v>
      </c>
      <c r="P1709">
        <v>0</v>
      </c>
      <c r="Q1709">
        <v>0</v>
      </c>
      <c r="R1709" t="s">
        <v>47307</v>
      </c>
      <c r="S1709" t="s">
        <v>47416</v>
      </c>
      <c r="T1709" t="s">
        <v>48975</v>
      </c>
      <c r="U1709" t="s">
        <v>51075</v>
      </c>
      <c r="W1709" t="s">
        <v>43756</v>
      </c>
      <c r="X1709" t="s">
        <v>47306</v>
      </c>
    </row>
    <row r="1710" spans="1:24">
      <c r="A1710">
        <f>HYPERLINK("https://www.philgeps.gov.ph/GEPSNONPILOT/Tender/SplashBidNoticeAbstractUI.aspx?menuIndex=3&amp;refID=7199512&amp;Result=3","7199512")</f>
        <v>0</v>
      </c>
      <c r="B1710" t="s">
        <v>826</v>
      </c>
      <c r="C1710" t="s">
        <v>5514</v>
      </c>
      <c r="D1710" t="s">
        <v>18993</v>
      </c>
      <c r="E1710" t="s">
        <v>20539</v>
      </c>
      <c r="F1710" t="s">
        <v>32606</v>
      </c>
      <c r="G1710" t="s">
        <v>32613</v>
      </c>
      <c r="H1710" t="s">
        <v>14201</v>
      </c>
      <c r="I1710" t="s">
        <v>6298</v>
      </c>
      <c r="J1710" t="s">
        <v>34025</v>
      </c>
      <c r="K1710" t="s">
        <v>42632</v>
      </c>
      <c r="M1710" t="s">
        <v>43757</v>
      </c>
      <c r="N1710" t="s">
        <v>47304</v>
      </c>
      <c r="O1710" t="s">
        <v>47305</v>
      </c>
      <c r="P1710">
        <v>0</v>
      </c>
      <c r="Q1710">
        <v>0</v>
      </c>
      <c r="R1710" t="s">
        <v>47307</v>
      </c>
      <c r="S1710" t="s">
        <v>47416</v>
      </c>
      <c r="T1710" t="s">
        <v>48996</v>
      </c>
      <c r="U1710" t="s">
        <v>51076</v>
      </c>
      <c r="W1710" t="s">
        <v>43757</v>
      </c>
      <c r="X1710" t="s">
        <v>47306</v>
      </c>
    </row>
    <row r="1711" spans="1:24">
      <c r="A1711">
        <f>HYPERLINK("https://www.philgeps.gov.ph/GEPSNONPILOT/Tender/SplashBidNoticeAbstractUI.aspx?menuIndex=3&amp;refID=7199511&amp;Result=3","7199511")</f>
        <v>0</v>
      </c>
      <c r="B1711" t="s">
        <v>827</v>
      </c>
      <c r="C1711" t="s">
        <v>5515</v>
      </c>
      <c r="D1711" t="s">
        <v>19031</v>
      </c>
      <c r="E1711" t="s">
        <v>20122</v>
      </c>
      <c r="F1711" t="s">
        <v>32606</v>
      </c>
      <c r="G1711" t="s">
        <v>32613</v>
      </c>
      <c r="H1711" t="s">
        <v>14201</v>
      </c>
      <c r="I1711" t="s">
        <v>6931</v>
      </c>
      <c r="J1711" t="s">
        <v>34026</v>
      </c>
      <c r="K1711" t="s">
        <v>42637</v>
      </c>
      <c r="M1711" t="s">
        <v>43758</v>
      </c>
      <c r="N1711" t="s">
        <v>47304</v>
      </c>
      <c r="O1711" t="s">
        <v>47305</v>
      </c>
      <c r="P1711">
        <v>0</v>
      </c>
      <c r="Q1711">
        <v>0</v>
      </c>
      <c r="R1711" t="s">
        <v>47307</v>
      </c>
      <c r="S1711" t="s">
        <v>47416</v>
      </c>
      <c r="T1711" t="s">
        <v>49152</v>
      </c>
      <c r="U1711" t="s">
        <v>51077</v>
      </c>
      <c r="V1711" t="s">
        <v>62838</v>
      </c>
      <c r="W1711" t="s">
        <v>43758</v>
      </c>
      <c r="X1711" t="s">
        <v>47306</v>
      </c>
    </row>
    <row r="1712" spans="1:24">
      <c r="A1712">
        <f>HYPERLINK("https://www.philgeps.gov.ph/GEPSNONPILOT/Tender/SplashBidNoticeAbstractUI.aspx?menuIndex=3&amp;refID=7199510&amp;Result=3","7199510")</f>
        <v>0</v>
      </c>
      <c r="B1712" t="s">
        <v>828</v>
      </c>
      <c r="C1712" t="s">
        <v>5516</v>
      </c>
      <c r="D1712" t="s">
        <v>19030</v>
      </c>
      <c r="E1712" t="s">
        <v>20659</v>
      </c>
      <c r="F1712" t="s">
        <v>32606</v>
      </c>
      <c r="G1712" t="s">
        <v>32615</v>
      </c>
      <c r="H1712" t="s">
        <v>14201</v>
      </c>
      <c r="I1712" t="s">
        <v>6993</v>
      </c>
      <c r="J1712" t="s">
        <v>34027</v>
      </c>
      <c r="K1712" t="s">
        <v>42630</v>
      </c>
      <c r="M1712" t="s">
        <v>43759</v>
      </c>
      <c r="N1712" t="s">
        <v>47304</v>
      </c>
      <c r="O1712" t="s">
        <v>47305</v>
      </c>
      <c r="P1712">
        <v>0</v>
      </c>
      <c r="Q1712">
        <v>0</v>
      </c>
      <c r="R1712" t="s">
        <v>47307</v>
      </c>
      <c r="S1712" t="s">
        <v>47416</v>
      </c>
      <c r="T1712" t="s">
        <v>48976</v>
      </c>
      <c r="U1712" t="s">
        <v>51078</v>
      </c>
      <c r="W1712" t="s">
        <v>43759</v>
      </c>
      <c r="X1712" t="s">
        <v>47306</v>
      </c>
    </row>
    <row r="1713" spans="1:24">
      <c r="A1713">
        <f>HYPERLINK("https://www.philgeps.gov.ph/GEPSNONPILOT/Tender/SplashBidNoticeAbstractUI.aspx?menuIndex=3&amp;refID=7199508&amp;Result=3","7199508")</f>
        <v>0</v>
      </c>
      <c r="B1713" t="s">
        <v>829</v>
      </c>
      <c r="C1713" t="s">
        <v>5517</v>
      </c>
      <c r="D1713" t="s">
        <v>18995</v>
      </c>
      <c r="E1713" t="s">
        <v>20660</v>
      </c>
      <c r="F1713" t="s">
        <v>32606</v>
      </c>
      <c r="G1713" t="s">
        <v>32613</v>
      </c>
      <c r="H1713" t="s">
        <v>32623</v>
      </c>
      <c r="I1713" t="s">
        <v>17648</v>
      </c>
      <c r="J1713" t="s">
        <v>34028</v>
      </c>
      <c r="K1713" t="s">
        <v>42636</v>
      </c>
      <c r="M1713" t="s">
        <v>43760</v>
      </c>
      <c r="N1713" t="s">
        <v>47304</v>
      </c>
      <c r="O1713" t="s">
        <v>47305</v>
      </c>
      <c r="P1713">
        <v>0</v>
      </c>
      <c r="Q1713">
        <v>0</v>
      </c>
      <c r="R1713" t="s">
        <v>47307</v>
      </c>
      <c r="S1713" t="s">
        <v>47416</v>
      </c>
      <c r="T1713" t="s">
        <v>49101</v>
      </c>
      <c r="U1713" t="s">
        <v>51079</v>
      </c>
      <c r="W1713" t="s">
        <v>43760</v>
      </c>
      <c r="X1713" t="s">
        <v>47306</v>
      </c>
    </row>
    <row r="1714" spans="1:24">
      <c r="A1714">
        <f>HYPERLINK("https://www.philgeps.gov.ph/GEPSNONPILOT/Tender/SplashBidNoticeAbstractUI.aspx?menuIndex=3&amp;refID=7199507&amp;Result=3","7199507")</f>
        <v>0</v>
      </c>
      <c r="B1714" t="s">
        <v>830</v>
      </c>
      <c r="C1714" t="s">
        <v>5518</v>
      </c>
      <c r="D1714" t="s">
        <v>19039</v>
      </c>
      <c r="E1714" t="s">
        <v>20661</v>
      </c>
      <c r="F1714" t="s">
        <v>32606</v>
      </c>
      <c r="G1714" t="s">
        <v>32614</v>
      </c>
      <c r="H1714" t="s">
        <v>14201</v>
      </c>
      <c r="I1714" t="s">
        <v>6931</v>
      </c>
      <c r="J1714" t="s">
        <v>34029</v>
      </c>
      <c r="K1714" t="s">
        <v>42623</v>
      </c>
      <c r="M1714" t="s">
        <v>43761</v>
      </c>
      <c r="N1714" t="s">
        <v>47304</v>
      </c>
      <c r="O1714" t="s">
        <v>47305</v>
      </c>
      <c r="P1714">
        <v>0</v>
      </c>
      <c r="Q1714">
        <v>0</v>
      </c>
      <c r="R1714" t="s">
        <v>47307</v>
      </c>
      <c r="S1714" t="s">
        <v>47416</v>
      </c>
      <c r="T1714" t="s">
        <v>48986</v>
      </c>
      <c r="U1714" t="s">
        <v>51080</v>
      </c>
      <c r="W1714" t="s">
        <v>43761</v>
      </c>
      <c r="X1714" t="s">
        <v>47306</v>
      </c>
    </row>
    <row r="1715" spans="1:24">
      <c r="A1715">
        <f>HYPERLINK("https://www.philgeps.gov.ph/GEPSNONPILOT/Tender/SplashBidNoticeAbstractUI.aspx?menuIndex=3&amp;refID=7199480&amp;Result=3","7199480")</f>
        <v>0</v>
      </c>
      <c r="B1715" t="s">
        <v>808</v>
      </c>
      <c r="C1715" t="s">
        <v>5519</v>
      </c>
      <c r="D1715" t="s">
        <v>19046</v>
      </c>
      <c r="E1715" t="s">
        <v>20662</v>
      </c>
      <c r="F1715" t="s">
        <v>32606</v>
      </c>
      <c r="G1715" t="s">
        <v>32619</v>
      </c>
      <c r="H1715" t="s">
        <v>32623</v>
      </c>
      <c r="I1715" t="s">
        <v>17648</v>
      </c>
      <c r="J1715" t="s">
        <v>34030</v>
      </c>
      <c r="K1715" t="s">
        <v>42622</v>
      </c>
      <c r="M1715" t="s">
        <v>43739</v>
      </c>
      <c r="N1715" t="s">
        <v>47304</v>
      </c>
      <c r="O1715" t="s">
        <v>47305</v>
      </c>
      <c r="P1715">
        <v>0</v>
      </c>
      <c r="Q1715">
        <v>0</v>
      </c>
      <c r="R1715" t="s">
        <v>47307</v>
      </c>
      <c r="S1715" t="s">
        <v>47416</v>
      </c>
      <c r="T1715" t="s">
        <v>48986</v>
      </c>
      <c r="U1715" t="s">
        <v>51081</v>
      </c>
      <c r="W1715" t="s">
        <v>43739</v>
      </c>
      <c r="X1715" t="s">
        <v>47306</v>
      </c>
    </row>
    <row r="1716" spans="1:24">
      <c r="A1716">
        <f>HYPERLINK("https://www.philgeps.gov.ph/GEPSNONPILOT/Tender/SplashBidNoticeAbstractUI.aspx?menuIndex=3&amp;refID=7199505&amp;Result=3","7199505")</f>
        <v>0</v>
      </c>
      <c r="B1716" t="s">
        <v>248</v>
      </c>
      <c r="C1716" t="s">
        <v>5520</v>
      </c>
      <c r="D1716" t="s">
        <v>19053</v>
      </c>
      <c r="E1716" t="s">
        <v>20663</v>
      </c>
      <c r="F1716" t="s">
        <v>32606</v>
      </c>
      <c r="G1716" t="s">
        <v>32614</v>
      </c>
      <c r="H1716" t="s">
        <v>14201</v>
      </c>
      <c r="I1716" t="s">
        <v>32638</v>
      </c>
      <c r="J1716" t="s">
        <v>34031</v>
      </c>
      <c r="K1716" t="s">
        <v>42622</v>
      </c>
      <c r="M1716" t="s">
        <v>43149</v>
      </c>
      <c r="N1716" t="s">
        <v>47304</v>
      </c>
      <c r="O1716" t="s">
        <v>47305</v>
      </c>
      <c r="P1716">
        <v>0</v>
      </c>
      <c r="Q1716">
        <v>0</v>
      </c>
      <c r="R1716" t="s">
        <v>47307</v>
      </c>
      <c r="S1716" t="s">
        <v>47416</v>
      </c>
      <c r="T1716" t="s">
        <v>48988</v>
      </c>
      <c r="U1716" t="s">
        <v>51082</v>
      </c>
      <c r="W1716" t="s">
        <v>43149</v>
      </c>
      <c r="X1716" t="s">
        <v>47306</v>
      </c>
    </row>
    <row r="1717" spans="1:24">
      <c r="A1717">
        <f>HYPERLINK("https://www.philgeps.gov.ph/GEPSNONPILOT/Tender/SplashBidNoticeAbstractUI.aspx?menuIndex=3&amp;refID=7199517&amp;Result=3","7199517")</f>
        <v>0</v>
      </c>
      <c r="B1717" t="s">
        <v>806</v>
      </c>
      <c r="C1717" t="s">
        <v>5521</v>
      </c>
      <c r="D1717" t="s">
        <v>19033</v>
      </c>
      <c r="E1717" t="s">
        <v>20664</v>
      </c>
      <c r="F1717" t="s">
        <v>32606</v>
      </c>
      <c r="G1717" t="s">
        <v>32613</v>
      </c>
      <c r="H1717" t="s">
        <v>32623</v>
      </c>
      <c r="I1717" t="s">
        <v>17648</v>
      </c>
      <c r="J1717" t="s">
        <v>32772</v>
      </c>
      <c r="K1717" t="s">
        <v>42648</v>
      </c>
      <c r="M1717" t="s">
        <v>43737</v>
      </c>
      <c r="N1717" t="s">
        <v>47304</v>
      </c>
      <c r="O1717" t="s">
        <v>47305</v>
      </c>
      <c r="P1717">
        <v>0</v>
      </c>
      <c r="Q1717">
        <v>0</v>
      </c>
      <c r="R1717" t="s">
        <v>47307</v>
      </c>
      <c r="S1717" t="s">
        <v>47416</v>
      </c>
      <c r="T1717" t="s">
        <v>48983</v>
      </c>
      <c r="U1717" t="s">
        <v>51083</v>
      </c>
      <c r="W1717" t="s">
        <v>43737</v>
      </c>
      <c r="X1717" t="s">
        <v>47306</v>
      </c>
    </row>
    <row r="1718" spans="1:24">
      <c r="A1718">
        <f>HYPERLINK("https://www.philgeps.gov.ph/GEPSNONPILOT/Tender/SplashBidNoticeAbstractUI.aspx?menuIndex=3&amp;refID=7199502&amp;Result=3","7199502")</f>
        <v>0</v>
      </c>
      <c r="B1718" t="s">
        <v>682</v>
      </c>
      <c r="C1718" t="s">
        <v>5522</v>
      </c>
      <c r="D1718" t="s">
        <v>19039</v>
      </c>
      <c r="E1718" t="s">
        <v>20665</v>
      </c>
      <c r="F1718" t="s">
        <v>32606</v>
      </c>
      <c r="G1718" t="s">
        <v>32614</v>
      </c>
      <c r="H1718" t="s">
        <v>14201</v>
      </c>
      <c r="I1718" t="s">
        <v>6931</v>
      </c>
      <c r="J1718" t="s">
        <v>34032</v>
      </c>
      <c r="K1718" t="s">
        <v>42623</v>
      </c>
      <c r="M1718" t="s">
        <v>43602</v>
      </c>
      <c r="N1718" t="s">
        <v>47304</v>
      </c>
      <c r="O1718" t="s">
        <v>47305</v>
      </c>
      <c r="P1718">
        <v>0</v>
      </c>
      <c r="Q1718">
        <v>0</v>
      </c>
      <c r="R1718" t="s">
        <v>47307</v>
      </c>
      <c r="S1718" t="s">
        <v>47416</v>
      </c>
      <c r="T1718" t="s">
        <v>49023</v>
      </c>
      <c r="U1718" t="s">
        <v>50739</v>
      </c>
      <c r="W1718" t="s">
        <v>43602</v>
      </c>
      <c r="X1718" t="s">
        <v>47306</v>
      </c>
    </row>
    <row r="1719" spans="1:24">
      <c r="A1719">
        <f>HYPERLINK("https://www.philgeps.gov.ph/GEPSNONPILOT/Tender/SplashBidNoticeAbstractUI.aspx?menuIndex=3&amp;refID=7199509&amp;Result=3","7199509")</f>
        <v>0</v>
      </c>
      <c r="B1719" t="s">
        <v>831</v>
      </c>
      <c r="C1719" t="s">
        <v>5523</v>
      </c>
      <c r="D1719" t="s">
        <v>19035</v>
      </c>
      <c r="E1719" t="s">
        <v>20666</v>
      </c>
      <c r="F1719" t="s">
        <v>32606</v>
      </c>
      <c r="G1719" t="s">
        <v>32614</v>
      </c>
      <c r="H1719" t="s">
        <v>14201</v>
      </c>
      <c r="I1719" t="s">
        <v>4120</v>
      </c>
      <c r="J1719" t="s">
        <v>34033</v>
      </c>
      <c r="K1719" t="s">
        <v>42622</v>
      </c>
      <c r="M1719" t="s">
        <v>43762</v>
      </c>
      <c r="N1719" t="s">
        <v>47304</v>
      </c>
      <c r="O1719" t="s">
        <v>47305</v>
      </c>
      <c r="P1719">
        <v>0</v>
      </c>
      <c r="Q1719">
        <v>0</v>
      </c>
      <c r="R1719" t="s">
        <v>47307</v>
      </c>
      <c r="S1719" t="s">
        <v>47416</v>
      </c>
      <c r="T1719" t="s">
        <v>49028</v>
      </c>
      <c r="U1719" t="s">
        <v>51084</v>
      </c>
      <c r="W1719" t="s">
        <v>43762</v>
      </c>
      <c r="X1719" t="s">
        <v>47306</v>
      </c>
    </row>
    <row r="1720" spans="1:24">
      <c r="A1720">
        <f>HYPERLINK("https://www.philgeps.gov.ph/GEPSNONPILOT/Tender/SplashBidNoticeAbstractUI.aspx?menuIndex=3&amp;refID=7199433&amp;Result=3","7199433")</f>
        <v>0</v>
      </c>
      <c r="B1720" t="s">
        <v>612</v>
      </c>
      <c r="C1720" t="s">
        <v>5524</v>
      </c>
      <c r="D1720" t="s">
        <v>18993</v>
      </c>
      <c r="E1720" t="s">
        <v>20667</v>
      </c>
      <c r="F1720" t="s">
        <v>32606</v>
      </c>
      <c r="G1720" t="s">
        <v>32613</v>
      </c>
      <c r="H1720" t="s">
        <v>14201</v>
      </c>
      <c r="I1720" t="s">
        <v>6298</v>
      </c>
      <c r="J1720" t="s">
        <v>33587</v>
      </c>
      <c r="K1720" t="s">
        <v>42631</v>
      </c>
      <c r="M1720" t="s">
        <v>43530</v>
      </c>
      <c r="N1720" t="s">
        <v>47304</v>
      </c>
      <c r="O1720" t="s">
        <v>47305</v>
      </c>
      <c r="P1720">
        <v>0</v>
      </c>
      <c r="Q1720">
        <v>0</v>
      </c>
      <c r="R1720" t="s">
        <v>47307</v>
      </c>
      <c r="S1720" t="s">
        <v>47416</v>
      </c>
      <c r="T1720" t="s">
        <v>49157</v>
      </c>
      <c r="U1720" t="s">
        <v>51085</v>
      </c>
      <c r="W1720" t="s">
        <v>43530</v>
      </c>
      <c r="X1720" t="s">
        <v>47306</v>
      </c>
    </row>
    <row r="1721" spans="1:24">
      <c r="A1721">
        <f>HYPERLINK("https://www.philgeps.gov.ph/GEPSNONPILOT/Tender/SplashBidNoticeAbstractUI.aspx?menuIndex=3&amp;refID=7199498&amp;Result=3","7199498")</f>
        <v>0</v>
      </c>
      <c r="B1721" t="s">
        <v>756</v>
      </c>
      <c r="C1721" t="s">
        <v>5525</v>
      </c>
      <c r="E1721" t="s">
        <v>20668</v>
      </c>
      <c r="F1721" t="s">
        <v>32606</v>
      </c>
      <c r="G1721" t="s">
        <v>32614</v>
      </c>
      <c r="H1721" t="s">
        <v>14201</v>
      </c>
      <c r="I1721" t="s">
        <v>32663</v>
      </c>
      <c r="J1721" t="s">
        <v>34034</v>
      </c>
      <c r="K1721" t="s">
        <v>42630</v>
      </c>
      <c r="M1721" t="s">
        <v>43680</v>
      </c>
      <c r="N1721" t="s">
        <v>47304</v>
      </c>
      <c r="O1721" t="s">
        <v>47305</v>
      </c>
      <c r="P1721">
        <v>0</v>
      </c>
      <c r="Q1721">
        <v>0</v>
      </c>
      <c r="R1721" t="s">
        <v>47307</v>
      </c>
      <c r="S1721" t="s">
        <v>47416</v>
      </c>
      <c r="T1721" t="s">
        <v>49108</v>
      </c>
      <c r="U1721" t="s">
        <v>51086</v>
      </c>
      <c r="W1721" t="s">
        <v>43680</v>
      </c>
      <c r="X1721" t="s">
        <v>47306</v>
      </c>
    </row>
    <row r="1722" spans="1:24">
      <c r="A1722">
        <f>HYPERLINK("https://www.philgeps.gov.ph/GEPSNONPILOT/Tender/SplashBidNoticeAbstractUI.aspx?menuIndex=3&amp;refID=7199506&amp;Result=3","7199506")</f>
        <v>0</v>
      </c>
      <c r="B1722" t="s">
        <v>810</v>
      </c>
      <c r="C1722" t="s">
        <v>5526</v>
      </c>
      <c r="D1722" t="s">
        <v>19013</v>
      </c>
      <c r="E1722" t="s">
        <v>20669</v>
      </c>
      <c r="F1722" t="s">
        <v>32606</v>
      </c>
      <c r="G1722" t="s">
        <v>32613</v>
      </c>
      <c r="H1722" t="s">
        <v>14201</v>
      </c>
      <c r="I1722" t="s">
        <v>32635</v>
      </c>
      <c r="J1722" t="s">
        <v>34035</v>
      </c>
      <c r="K1722" t="s">
        <v>42624</v>
      </c>
      <c r="M1722" t="s">
        <v>43741</v>
      </c>
      <c r="N1722" t="s">
        <v>47304</v>
      </c>
      <c r="O1722" t="s">
        <v>47305</v>
      </c>
      <c r="P1722">
        <v>0</v>
      </c>
      <c r="Q1722">
        <v>0</v>
      </c>
      <c r="R1722" t="s">
        <v>47307</v>
      </c>
      <c r="S1722" t="s">
        <v>47416</v>
      </c>
      <c r="T1722" t="s">
        <v>48983</v>
      </c>
      <c r="U1722" t="s">
        <v>51044</v>
      </c>
      <c r="W1722" t="s">
        <v>43741</v>
      </c>
      <c r="X1722" t="s">
        <v>47306</v>
      </c>
    </row>
    <row r="1723" spans="1:24">
      <c r="A1723">
        <f>HYPERLINK("https://www.philgeps.gov.ph/GEPSNONPILOT/Tender/SplashBidNoticeAbstractUI.aspx?menuIndex=3&amp;refID=7199496&amp;Result=3","7199496")</f>
        <v>0</v>
      </c>
      <c r="B1723" t="s">
        <v>584</v>
      </c>
      <c r="C1723" t="s">
        <v>5527</v>
      </c>
      <c r="D1723" t="s">
        <v>18993</v>
      </c>
      <c r="E1723" t="s">
        <v>20670</v>
      </c>
      <c r="F1723" t="s">
        <v>32606</v>
      </c>
      <c r="G1723" t="s">
        <v>32614</v>
      </c>
      <c r="H1723" t="s">
        <v>14201</v>
      </c>
      <c r="I1723" t="s">
        <v>8682</v>
      </c>
      <c r="J1723" t="s">
        <v>34036</v>
      </c>
      <c r="K1723" t="s">
        <v>42623</v>
      </c>
      <c r="M1723" t="s">
        <v>43499</v>
      </c>
      <c r="N1723" t="s">
        <v>47304</v>
      </c>
      <c r="O1723" t="s">
        <v>47305</v>
      </c>
      <c r="P1723">
        <v>0</v>
      </c>
      <c r="Q1723">
        <v>0</v>
      </c>
      <c r="R1723" t="s">
        <v>47307</v>
      </c>
      <c r="S1723" t="s">
        <v>47416</v>
      </c>
      <c r="T1723" t="s">
        <v>49108</v>
      </c>
      <c r="U1723" t="s">
        <v>51087</v>
      </c>
      <c r="V1723" t="s">
        <v>62839</v>
      </c>
      <c r="W1723" t="s">
        <v>43499</v>
      </c>
      <c r="X1723" t="s">
        <v>47306</v>
      </c>
    </row>
    <row r="1724" spans="1:24">
      <c r="A1724">
        <f>HYPERLINK("https://www.philgeps.gov.ph/GEPSNONPILOT/Tender/SplashBidNoticeAbstractUI.aspx?menuIndex=3&amp;refID=7199478&amp;Result=3","7199478")</f>
        <v>0</v>
      </c>
      <c r="B1724" t="s">
        <v>832</v>
      </c>
      <c r="C1724" t="s">
        <v>5528</v>
      </c>
      <c r="D1724" t="s">
        <v>19009</v>
      </c>
      <c r="E1724" t="s">
        <v>20671</v>
      </c>
      <c r="F1724" t="s">
        <v>32606</v>
      </c>
      <c r="G1724" t="s">
        <v>32613</v>
      </c>
      <c r="H1724" t="s">
        <v>14201</v>
      </c>
      <c r="I1724" t="s">
        <v>6931</v>
      </c>
      <c r="J1724" t="s">
        <v>34037</v>
      </c>
      <c r="K1724" t="s">
        <v>42630</v>
      </c>
      <c r="M1724" t="s">
        <v>43763</v>
      </c>
      <c r="N1724" t="s">
        <v>47304</v>
      </c>
      <c r="O1724" t="s">
        <v>47305</v>
      </c>
      <c r="P1724">
        <v>0</v>
      </c>
      <c r="Q1724">
        <v>0</v>
      </c>
      <c r="R1724" t="s">
        <v>47307</v>
      </c>
      <c r="S1724" t="s">
        <v>47416</v>
      </c>
      <c r="T1724" t="s">
        <v>48996</v>
      </c>
      <c r="U1724" t="s">
        <v>51088</v>
      </c>
      <c r="W1724" t="s">
        <v>43763</v>
      </c>
      <c r="X1724" t="s">
        <v>47306</v>
      </c>
    </row>
    <row r="1725" spans="1:24">
      <c r="A1725">
        <f>HYPERLINK("https://www.philgeps.gov.ph/GEPSNONPILOT/Tender/SplashBidNoticeAbstractUI.aspx?menuIndex=3&amp;refID=7199504&amp;Result=3","7199504")</f>
        <v>0</v>
      </c>
      <c r="B1725" t="s">
        <v>774</v>
      </c>
      <c r="C1725" t="s">
        <v>5529</v>
      </c>
      <c r="D1725" t="s">
        <v>19000</v>
      </c>
      <c r="E1725" t="s">
        <v>20672</v>
      </c>
      <c r="F1725" t="s">
        <v>32606</v>
      </c>
      <c r="G1725" t="s">
        <v>32614</v>
      </c>
      <c r="H1725" t="s">
        <v>14201</v>
      </c>
      <c r="I1725" t="s">
        <v>7677</v>
      </c>
      <c r="J1725" t="s">
        <v>34038</v>
      </c>
      <c r="K1725" t="s">
        <v>42622</v>
      </c>
      <c r="M1725" t="s">
        <v>43703</v>
      </c>
      <c r="N1725" t="s">
        <v>47304</v>
      </c>
      <c r="O1725" t="s">
        <v>47305</v>
      </c>
      <c r="P1725">
        <v>0</v>
      </c>
      <c r="Q1725">
        <v>0</v>
      </c>
      <c r="R1725" t="s">
        <v>47307</v>
      </c>
      <c r="S1725" t="s">
        <v>47416</v>
      </c>
      <c r="T1725" t="s">
        <v>49023</v>
      </c>
      <c r="U1725" t="s">
        <v>51089</v>
      </c>
      <c r="W1725" t="s">
        <v>43703</v>
      </c>
      <c r="X1725" t="s">
        <v>47306</v>
      </c>
    </row>
    <row r="1726" spans="1:24">
      <c r="A1726">
        <f>HYPERLINK("https://www.philgeps.gov.ph/GEPSNONPILOT/Tender/SplashBidNoticeAbstractUI.aspx?menuIndex=3&amp;refID=7199476&amp;Result=3","7199476")</f>
        <v>0</v>
      </c>
      <c r="B1726" t="s">
        <v>586</v>
      </c>
      <c r="C1726" t="s">
        <v>5530</v>
      </c>
      <c r="D1726" t="s">
        <v>19024</v>
      </c>
      <c r="E1726" t="s">
        <v>20673</v>
      </c>
      <c r="F1726" t="s">
        <v>32606</v>
      </c>
      <c r="G1726" t="s">
        <v>32614</v>
      </c>
      <c r="H1726" t="s">
        <v>14201</v>
      </c>
      <c r="I1726" t="s">
        <v>32648</v>
      </c>
      <c r="J1726" t="s">
        <v>33274</v>
      </c>
      <c r="K1726" t="s">
        <v>42630</v>
      </c>
      <c r="M1726" t="s">
        <v>43696</v>
      </c>
      <c r="N1726" t="s">
        <v>47304</v>
      </c>
      <c r="O1726" t="s">
        <v>47305</v>
      </c>
      <c r="P1726">
        <v>0</v>
      </c>
      <c r="Q1726">
        <v>0</v>
      </c>
      <c r="R1726" t="s">
        <v>47307</v>
      </c>
      <c r="S1726" t="s">
        <v>47416</v>
      </c>
      <c r="T1726" t="s">
        <v>48988</v>
      </c>
      <c r="U1726" t="s">
        <v>50944</v>
      </c>
      <c r="W1726" t="s">
        <v>43696</v>
      </c>
      <c r="X1726" t="s">
        <v>47306</v>
      </c>
    </row>
    <row r="1727" spans="1:24">
      <c r="A1727">
        <f>HYPERLINK("https://www.philgeps.gov.ph/GEPSNONPILOT/Tender/SplashBidNoticeAbstractUI.aspx?menuIndex=3&amp;refID=7199475&amp;Result=3","7199475")</f>
        <v>0</v>
      </c>
      <c r="B1727" t="s">
        <v>786</v>
      </c>
      <c r="C1727" t="s">
        <v>5531</v>
      </c>
      <c r="D1727" t="s">
        <v>19046</v>
      </c>
      <c r="E1727" t="s">
        <v>20674</v>
      </c>
      <c r="F1727" t="s">
        <v>32606</v>
      </c>
      <c r="G1727" t="s">
        <v>32614</v>
      </c>
      <c r="H1727" t="s">
        <v>32624</v>
      </c>
      <c r="I1727" t="s">
        <v>32652</v>
      </c>
      <c r="J1727" t="s">
        <v>34039</v>
      </c>
      <c r="K1727" t="s">
        <v>42717</v>
      </c>
      <c r="M1727" t="s">
        <v>43717</v>
      </c>
      <c r="N1727" t="s">
        <v>47304</v>
      </c>
      <c r="O1727" t="s">
        <v>47305</v>
      </c>
      <c r="P1727">
        <v>0</v>
      </c>
      <c r="Q1727">
        <v>0</v>
      </c>
      <c r="R1727" t="s">
        <v>47307</v>
      </c>
      <c r="S1727" t="s">
        <v>47416</v>
      </c>
      <c r="T1727" t="s">
        <v>49107</v>
      </c>
      <c r="U1727" t="s">
        <v>51090</v>
      </c>
      <c r="W1727" t="s">
        <v>43717</v>
      </c>
      <c r="X1727" t="s">
        <v>47306</v>
      </c>
    </row>
    <row r="1728" spans="1:24">
      <c r="A1728">
        <f>HYPERLINK("https://www.philgeps.gov.ph/GEPSNONPILOT/Tender/SplashBidNoticeAbstractUI.aspx?menuIndex=3&amp;refID=7199500&amp;Result=3","7199500")</f>
        <v>0</v>
      </c>
      <c r="B1728" t="s">
        <v>304</v>
      </c>
      <c r="C1728" t="s">
        <v>5532</v>
      </c>
      <c r="D1728" t="s">
        <v>18994</v>
      </c>
      <c r="E1728" t="s">
        <v>20675</v>
      </c>
      <c r="F1728" t="s">
        <v>32606</v>
      </c>
      <c r="G1728" t="s">
        <v>32613</v>
      </c>
      <c r="H1728" t="s">
        <v>14201</v>
      </c>
      <c r="I1728" t="s">
        <v>4678</v>
      </c>
      <c r="J1728" t="s">
        <v>34040</v>
      </c>
      <c r="K1728" t="s">
        <v>42638</v>
      </c>
      <c r="M1728" t="s">
        <v>43206</v>
      </c>
      <c r="N1728" t="s">
        <v>47304</v>
      </c>
      <c r="O1728" t="s">
        <v>47305</v>
      </c>
      <c r="P1728">
        <v>0</v>
      </c>
      <c r="Q1728">
        <v>0</v>
      </c>
      <c r="R1728" t="s">
        <v>47307</v>
      </c>
      <c r="S1728" t="s">
        <v>47416</v>
      </c>
      <c r="T1728" t="s">
        <v>48995</v>
      </c>
      <c r="U1728" t="s">
        <v>51091</v>
      </c>
      <c r="V1728" t="s">
        <v>62836</v>
      </c>
      <c r="W1728" t="s">
        <v>43206</v>
      </c>
      <c r="X1728" t="s">
        <v>47306</v>
      </c>
    </row>
    <row r="1729" spans="1:24">
      <c r="A1729">
        <f>HYPERLINK("https://www.philgeps.gov.ph/GEPSNONPILOT/Tender/SplashBidNoticeAbstractUI.aspx?menuIndex=3&amp;refID=7199471&amp;Result=3","7199471")</f>
        <v>0</v>
      </c>
      <c r="B1729" t="s">
        <v>833</v>
      </c>
      <c r="C1729" t="s">
        <v>5533</v>
      </c>
      <c r="D1729" t="s">
        <v>19039</v>
      </c>
      <c r="E1729" t="s">
        <v>20676</v>
      </c>
      <c r="F1729" t="s">
        <v>32606</v>
      </c>
      <c r="G1729" t="s">
        <v>32613</v>
      </c>
      <c r="H1729" t="s">
        <v>32623</v>
      </c>
      <c r="I1729" t="s">
        <v>17648</v>
      </c>
      <c r="J1729" t="s">
        <v>34041</v>
      </c>
      <c r="K1729" t="s">
        <v>42646</v>
      </c>
      <c r="M1729" t="s">
        <v>43764</v>
      </c>
      <c r="N1729" t="s">
        <v>47304</v>
      </c>
      <c r="O1729" t="s">
        <v>47305</v>
      </c>
      <c r="P1729">
        <v>0</v>
      </c>
      <c r="Q1729">
        <v>0</v>
      </c>
      <c r="R1729" t="s">
        <v>47307</v>
      </c>
      <c r="S1729" t="s">
        <v>47416</v>
      </c>
      <c r="T1729" t="s">
        <v>49190</v>
      </c>
      <c r="U1729" t="s">
        <v>51092</v>
      </c>
      <c r="W1729" t="s">
        <v>43764</v>
      </c>
      <c r="X1729" t="s">
        <v>47306</v>
      </c>
    </row>
    <row r="1730" spans="1:24">
      <c r="A1730">
        <f>HYPERLINK("https://www.philgeps.gov.ph/GEPSNONPILOT/Tender/SplashBidNoticeAbstractUI.aspx?menuIndex=3&amp;refID=7199431&amp;Result=3","7199431")</f>
        <v>0</v>
      </c>
      <c r="B1730" t="s">
        <v>258</v>
      </c>
      <c r="C1730" t="s">
        <v>5534</v>
      </c>
      <c r="D1730" t="s">
        <v>19038</v>
      </c>
      <c r="E1730" t="s">
        <v>20677</v>
      </c>
      <c r="F1730" t="s">
        <v>32606</v>
      </c>
      <c r="G1730" t="s">
        <v>32614</v>
      </c>
      <c r="H1730" t="s">
        <v>14201</v>
      </c>
      <c r="I1730" t="s">
        <v>32652</v>
      </c>
      <c r="J1730" t="s">
        <v>34042</v>
      </c>
      <c r="K1730" t="s">
        <v>42623</v>
      </c>
      <c r="M1730" t="s">
        <v>43159</v>
      </c>
      <c r="N1730" t="s">
        <v>47304</v>
      </c>
      <c r="O1730" t="s">
        <v>47305</v>
      </c>
      <c r="P1730">
        <v>0</v>
      </c>
      <c r="Q1730">
        <v>0</v>
      </c>
      <c r="R1730" t="s">
        <v>47307</v>
      </c>
      <c r="S1730" t="s">
        <v>47416</v>
      </c>
      <c r="T1730" t="s">
        <v>48988</v>
      </c>
      <c r="U1730" t="s">
        <v>51093</v>
      </c>
      <c r="W1730" t="s">
        <v>43159</v>
      </c>
      <c r="X1730" t="s">
        <v>47306</v>
      </c>
    </row>
    <row r="1731" spans="1:24">
      <c r="A1731">
        <f>HYPERLINK("https://www.philgeps.gov.ph/GEPSNONPILOT/Tender/SplashBidNoticeAbstractUI.aspx?menuIndex=3&amp;refID=7199430&amp;Result=3","7199430")</f>
        <v>0</v>
      </c>
      <c r="B1731" t="s">
        <v>584</v>
      </c>
      <c r="C1731" t="s">
        <v>5535</v>
      </c>
      <c r="D1731" t="s">
        <v>18993</v>
      </c>
      <c r="E1731" t="s">
        <v>20678</v>
      </c>
      <c r="F1731" t="s">
        <v>32606</v>
      </c>
      <c r="G1731" t="s">
        <v>32614</v>
      </c>
      <c r="H1731" t="s">
        <v>14201</v>
      </c>
      <c r="I1731" t="s">
        <v>4369</v>
      </c>
      <c r="J1731" t="s">
        <v>34043</v>
      </c>
      <c r="K1731" t="s">
        <v>42627</v>
      </c>
      <c r="M1731" t="s">
        <v>43499</v>
      </c>
      <c r="N1731" t="s">
        <v>47304</v>
      </c>
      <c r="O1731" t="s">
        <v>47305</v>
      </c>
      <c r="P1731">
        <v>0</v>
      </c>
      <c r="Q1731">
        <v>0</v>
      </c>
      <c r="R1731" t="s">
        <v>47307</v>
      </c>
      <c r="S1731" t="s">
        <v>47416</v>
      </c>
      <c r="T1731" t="s">
        <v>49108</v>
      </c>
      <c r="U1731" t="s">
        <v>51094</v>
      </c>
      <c r="V1731" t="s">
        <v>62840</v>
      </c>
      <c r="W1731" t="s">
        <v>43499</v>
      </c>
      <c r="X1731" t="s">
        <v>47306</v>
      </c>
    </row>
    <row r="1732" spans="1:24">
      <c r="A1732">
        <f>HYPERLINK("https://www.philgeps.gov.ph/GEPSNONPILOT/Tender/SplashBidNoticeAbstractUI.aspx?menuIndex=3&amp;refID=7199410&amp;Result=3","7199410")</f>
        <v>0</v>
      </c>
      <c r="B1732" t="s">
        <v>662</v>
      </c>
      <c r="C1732" t="s">
        <v>5536</v>
      </c>
      <c r="D1732" t="s">
        <v>19023</v>
      </c>
      <c r="E1732" t="s">
        <v>20679</v>
      </c>
      <c r="F1732" t="s">
        <v>32606</v>
      </c>
      <c r="G1732" t="s">
        <v>32613</v>
      </c>
      <c r="H1732" t="s">
        <v>14201</v>
      </c>
      <c r="I1732" t="s">
        <v>4678</v>
      </c>
      <c r="J1732" t="s">
        <v>34044</v>
      </c>
      <c r="K1732" t="s">
        <v>42631</v>
      </c>
      <c r="M1732" t="s">
        <v>43582</v>
      </c>
      <c r="N1732" t="s">
        <v>47304</v>
      </c>
      <c r="O1732" t="s">
        <v>47305</v>
      </c>
      <c r="P1732">
        <v>0</v>
      </c>
      <c r="Q1732">
        <v>0</v>
      </c>
      <c r="R1732" t="s">
        <v>47307</v>
      </c>
      <c r="S1732" t="s">
        <v>47416</v>
      </c>
      <c r="T1732" t="s">
        <v>49065</v>
      </c>
      <c r="U1732" t="s">
        <v>51095</v>
      </c>
      <c r="W1732" t="s">
        <v>43582</v>
      </c>
      <c r="X1732" t="s">
        <v>47306</v>
      </c>
    </row>
    <row r="1733" spans="1:24">
      <c r="A1733">
        <f>HYPERLINK("https://www.philgeps.gov.ph/GEPSNONPILOT/Tender/SplashBidNoticeAbstractUI.aspx?menuIndex=3&amp;refID=7199477&amp;Result=3","7199477")</f>
        <v>0</v>
      </c>
      <c r="B1733" t="s">
        <v>796</v>
      </c>
      <c r="C1733" t="s">
        <v>5537</v>
      </c>
      <c r="D1733" t="s">
        <v>19022</v>
      </c>
      <c r="E1733" t="s">
        <v>19360</v>
      </c>
      <c r="F1733" t="s">
        <v>32606</v>
      </c>
      <c r="G1733" t="s">
        <v>32614</v>
      </c>
      <c r="H1733" t="s">
        <v>14201</v>
      </c>
      <c r="I1733" t="s">
        <v>32655</v>
      </c>
      <c r="J1733" t="s">
        <v>34045</v>
      </c>
      <c r="K1733" t="s">
        <v>42624</v>
      </c>
      <c r="M1733" t="s">
        <v>43727</v>
      </c>
      <c r="N1733" t="s">
        <v>47304</v>
      </c>
      <c r="O1733" t="s">
        <v>47305</v>
      </c>
      <c r="P1733">
        <v>0</v>
      </c>
      <c r="Q1733">
        <v>0</v>
      </c>
      <c r="R1733" t="s">
        <v>47307</v>
      </c>
      <c r="S1733" t="s">
        <v>47416</v>
      </c>
      <c r="T1733" t="s">
        <v>49191</v>
      </c>
      <c r="U1733" t="s">
        <v>51096</v>
      </c>
      <c r="W1733" t="s">
        <v>43727</v>
      </c>
      <c r="X1733" t="s">
        <v>47306</v>
      </c>
    </row>
    <row r="1734" spans="1:24">
      <c r="A1734">
        <f>HYPERLINK("https://www.philgeps.gov.ph/GEPSNONPILOT/Tender/SplashBidNoticeAbstractUI.aspx?menuIndex=3&amp;refID=7199409&amp;Result=3","7199409")</f>
        <v>0</v>
      </c>
      <c r="B1734" t="s">
        <v>816</v>
      </c>
      <c r="C1734" t="s">
        <v>5538</v>
      </c>
      <c r="D1734" t="s">
        <v>19007</v>
      </c>
      <c r="E1734" t="s">
        <v>20680</v>
      </c>
      <c r="F1734" t="s">
        <v>32606</v>
      </c>
      <c r="G1734" t="s">
        <v>32613</v>
      </c>
      <c r="H1734" t="s">
        <v>14201</v>
      </c>
      <c r="I1734" t="s">
        <v>7677</v>
      </c>
      <c r="J1734" t="s">
        <v>34046</v>
      </c>
      <c r="K1734" t="s">
        <v>42631</v>
      </c>
      <c r="M1734" t="s">
        <v>43747</v>
      </c>
      <c r="N1734" t="s">
        <v>47304</v>
      </c>
      <c r="O1734" t="s">
        <v>47305</v>
      </c>
      <c r="P1734">
        <v>0</v>
      </c>
      <c r="Q1734">
        <v>0</v>
      </c>
      <c r="R1734" t="s">
        <v>47307</v>
      </c>
      <c r="S1734" t="s">
        <v>47416</v>
      </c>
      <c r="T1734" t="s">
        <v>48996</v>
      </c>
      <c r="U1734" t="s">
        <v>51097</v>
      </c>
      <c r="W1734" t="s">
        <v>64451</v>
      </c>
      <c r="X1734" t="s">
        <v>47306</v>
      </c>
    </row>
    <row r="1735" spans="1:24">
      <c r="A1735">
        <f>HYPERLINK("https://www.philgeps.gov.ph/GEPSNONPILOT/Tender/SplashBidNoticeAbstractUI.aspx?menuIndex=3&amp;refID=7199520&amp;Result=3","7199520")</f>
        <v>0</v>
      </c>
      <c r="B1735" t="s">
        <v>635</v>
      </c>
      <c r="C1735" t="s">
        <v>5539</v>
      </c>
      <c r="E1735" t="s">
        <v>20681</v>
      </c>
      <c r="F1735" t="s">
        <v>32606</v>
      </c>
      <c r="G1735" t="s">
        <v>32614</v>
      </c>
      <c r="H1735" t="s">
        <v>32623</v>
      </c>
      <c r="I1735" t="s">
        <v>32675</v>
      </c>
      <c r="J1735" t="s">
        <v>34047</v>
      </c>
      <c r="K1735" t="s">
        <v>42624</v>
      </c>
      <c r="M1735" t="s">
        <v>43553</v>
      </c>
      <c r="N1735" t="s">
        <v>47304</v>
      </c>
      <c r="O1735" t="s">
        <v>47305</v>
      </c>
      <c r="P1735">
        <v>0</v>
      </c>
      <c r="Q1735">
        <v>0</v>
      </c>
      <c r="R1735" t="s">
        <v>47307</v>
      </c>
      <c r="S1735" t="s">
        <v>47416</v>
      </c>
      <c r="T1735" t="s">
        <v>49192</v>
      </c>
      <c r="U1735" t="s">
        <v>51098</v>
      </c>
      <c r="W1735" t="s">
        <v>64444</v>
      </c>
      <c r="X1735" t="s">
        <v>47306</v>
      </c>
    </row>
    <row r="1736" spans="1:24">
      <c r="A1736">
        <f>HYPERLINK("https://www.philgeps.gov.ph/GEPSNONPILOT/Tender/SplashBidNoticeAbstractUI.aspx?menuIndex=3&amp;refID=7199474&amp;Result=3","7199474")</f>
        <v>0</v>
      </c>
      <c r="B1736" t="s">
        <v>771</v>
      </c>
      <c r="C1736" t="s">
        <v>5540</v>
      </c>
      <c r="D1736" t="s">
        <v>19058</v>
      </c>
      <c r="E1736" t="s">
        <v>20682</v>
      </c>
      <c r="F1736" t="s">
        <v>32606</v>
      </c>
      <c r="G1736" t="s">
        <v>32614</v>
      </c>
      <c r="H1736" t="s">
        <v>14201</v>
      </c>
      <c r="I1736" t="s">
        <v>7577</v>
      </c>
      <c r="J1736" t="s">
        <v>34048</v>
      </c>
      <c r="K1736" t="s">
        <v>42631</v>
      </c>
      <c r="M1736" t="s">
        <v>43699</v>
      </c>
      <c r="N1736" t="s">
        <v>47304</v>
      </c>
      <c r="O1736" t="s">
        <v>47305</v>
      </c>
      <c r="P1736">
        <v>0</v>
      </c>
      <c r="Q1736">
        <v>0</v>
      </c>
      <c r="R1736" t="s">
        <v>47307</v>
      </c>
      <c r="S1736" t="s">
        <v>47416</v>
      </c>
      <c r="T1736" t="s">
        <v>49175</v>
      </c>
      <c r="U1736" t="s">
        <v>50948</v>
      </c>
      <c r="W1736" t="s">
        <v>43699</v>
      </c>
      <c r="X1736" t="s">
        <v>47306</v>
      </c>
    </row>
    <row r="1737" spans="1:24">
      <c r="A1737">
        <f>HYPERLINK("https://www.philgeps.gov.ph/GEPSNONPILOT/Tender/SplashBidNoticeAbstractUI.aspx?menuIndex=3&amp;refID=7199499&amp;Result=3","7199499")</f>
        <v>0</v>
      </c>
      <c r="B1737" t="s">
        <v>785</v>
      </c>
      <c r="C1737" t="s">
        <v>5541</v>
      </c>
      <c r="D1737" t="s">
        <v>19029</v>
      </c>
      <c r="E1737" t="s">
        <v>20683</v>
      </c>
      <c r="F1737" t="s">
        <v>32606</v>
      </c>
      <c r="G1737" t="s">
        <v>32613</v>
      </c>
      <c r="H1737" t="s">
        <v>14201</v>
      </c>
      <c r="I1737" t="s">
        <v>7677</v>
      </c>
      <c r="J1737" t="s">
        <v>34049</v>
      </c>
      <c r="K1737" t="s">
        <v>42623</v>
      </c>
      <c r="M1737" t="s">
        <v>43716</v>
      </c>
      <c r="N1737" t="s">
        <v>47304</v>
      </c>
      <c r="O1737" t="s">
        <v>47305</v>
      </c>
      <c r="P1737">
        <v>0</v>
      </c>
      <c r="Q1737">
        <v>0</v>
      </c>
      <c r="R1737" t="s">
        <v>47307</v>
      </c>
      <c r="S1737" t="s">
        <v>47416</v>
      </c>
      <c r="T1737" t="s">
        <v>48971</v>
      </c>
      <c r="U1737" t="s">
        <v>51099</v>
      </c>
      <c r="W1737" t="s">
        <v>64447</v>
      </c>
      <c r="X1737" t="s">
        <v>47306</v>
      </c>
    </row>
    <row r="1738" spans="1:24">
      <c r="A1738">
        <f>HYPERLINK("https://www.philgeps.gov.ph/GEPSNONPILOT/Tender/SplashBidNoticeAbstractUI.aspx?menuIndex=3&amp;refID=7199519&amp;Result=3","7199519")</f>
        <v>0</v>
      </c>
      <c r="B1738" t="s">
        <v>808</v>
      </c>
      <c r="C1738" t="s">
        <v>5542</v>
      </c>
      <c r="D1738" t="s">
        <v>19046</v>
      </c>
      <c r="E1738" t="s">
        <v>20684</v>
      </c>
      <c r="F1738" t="s">
        <v>32606</v>
      </c>
      <c r="G1738" t="s">
        <v>32613</v>
      </c>
      <c r="H1738" t="s">
        <v>14201</v>
      </c>
      <c r="I1738" t="s">
        <v>7677</v>
      </c>
      <c r="J1738" t="s">
        <v>34050</v>
      </c>
      <c r="K1738" t="s">
        <v>42622</v>
      </c>
      <c r="M1738" t="s">
        <v>43739</v>
      </c>
      <c r="N1738" t="s">
        <v>47304</v>
      </c>
      <c r="O1738" t="s">
        <v>47305</v>
      </c>
      <c r="P1738">
        <v>0</v>
      </c>
      <c r="Q1738">
        <v>0</v>
      </c>
      <c r="R1738" t="s">
        <v>47307</v>
      </c>
      <c r="S1738" t="s">
        <v>47416</v>
      </c>
      <c r="T1738" t="s">
        <v>49107</v>
      </c>
      <c r="U1738" t="s">
        <v>51100</v>
      </c>
      <c r="W1738" t="s">
        <v>43739</v>
      </c>
      <c r="X1738" t="s">
        <v>47306</v>
      </c>
    </row>
    <row r="1739" spans="1:24">
      <c r="A1739">
        <f>HYPERLINK("https://www.philgeps.gov.ph/GEPSNONPILOT/Tender/SplashBidNoticeAbstractUI.aspx?menuIndex=3&amp;refID=7199534&amp;Result=3","7199534")</f>
        <v>0</v>
      </c>
      <c r="B1739" t="s">
        <v>755</v>
      </c>
      <c r="C1739" t="s">
        <v>5543</v>
      </c>
      <c r="D1739" t="s">
        <v>18988</v>
      </c>
      <c r="E1739" t="s">
        <v>20685</v>
      </c>
      <c r="F1739" t="s">
        <v>32606</v>
      </c>
      <c r="G1739" t="s">
        <v>32613</v>
      </c>
      <c r="H1739" t="s">
        <v>14201</v>
      </c>
      <c r="I1739" t="s">
        <v>32633</v>
      </c>
      <c r="J1739" t="s">
        <v>34051</v>
      </c>
      <c r="K1739" t="s">
        <v>42631</v>
      </c>
      <c r="M1739" t="s">
        <v>43679</v>
      </c>
      <c r="N1739" t="s">
        <v>47304</v>
      </c>
      <c r="O1739" t="s">
        <v>47305</v>
      </c>
      <c r="P1739">
        <v>0</v>
      </c>
      <c r="Q1739">
        <v>0</v>
      </c>
      <c r="R1739" t="s">
        <v>47307</v>
      </c>
      <c r="S1739" t="s">
        <v>47416</v>
      </c>
      <c r="T1739" t="s">
        <v>49017</v>
      </c>
      <c r="U1739" t="s">
        <v>51101</v>
      </c>
      <c r="W1739" t="s">
        <v>43679</v>
      </c>
      <c r="X1739" t="s">
        <v>47306</v>
      </c>
    </row>
    <row r="1740" spans="1:24">
      <c r="A1740">
        <f>HYPERLINK("https://www.philgeps.gov.ph/GEPSNONPILOT/Tender/SplashBidNoticeAbstractUI.aspx?menuIndex=3&amp;refID=7199533&amp;Result=3","7199533")</f>
        <v>0</v>
      </c>
      <c r="B1740" t="s">
        <v>443</v>
      </c>
      <c r="C1740" t="s">
        <v>5544</v>
      </c>
      <c r="D1740" t="s">
        <v>19003</v>
      </c>
      <c r="E1740" t="s">
        <v>20686</v>
      </c>
      <c r="F1740" t="s">
        <v>32606</v>
      </c>
      <c r="G1740" t="s">
        <v>32614</v>
      </c>
      <c r="H1740" t="s">
        <v>14201</v>
      </c>
      <c r="I1740" t="s">
        <v>4678</v>
      </c>
      <c r="J1740" t="s">
        <v>34052</v>
      </c>
      <c r="K1740" t="s">
        <v>42629</v>
      </c>
      <c r="M1740" t="s">
        <v>43567</v>
      </c>
      <c r="N1740" t="s">
        <v>47304</v>
      </c>
      <c r="O1740" t="s">
        <v>47305</v>
      </c>
      <c r="P1740">
        <v>0</v>
      </c>
      <c r="Q1740">
        <v>0</v>
      </c>
      <c r="R1740" t="s">
        <v>47307</v>
      </c>
      <c r="S1740" t="s">
        <v>47416</v>
      </c>
      <c r="T1740" t="s">
        <v>48975</v>
      </c>
      <c r="U1740" t="s">
        <v>51102</v>
      </c>
      <c r="W1740" t="s">
        <v>43567</v>
      </c>
      <c r="X1740" t="s">
        <v>47306</v>
      </c>
    </row>
    <row r="1741" spans="1:24">
      <c r="A1741">
        <f>HYPERLINK("https://www.philgeps.gov.ph/GEPSNONPILOT/Tender/SplashBidNoticeAbstractUI.aspx?menuIndex=3&amp;refID=7199532&amp;Result=3","7199532")</f>
        <v>0</v>
      </c>
      <c r="B1741" t="s">
        <v>462</v>
      </c>
      <c r="C1741" t="s">
        <v>5545</v>
      </c>
      <c r="D1741" t="s">
        <v>19040</v>
      </c>
      <c r="E1741" t="s">
        <v>20687</v>
      </c>
      <c r="F1741" t="s">
        <v>32606</v>
      </c>
      <c r="G1741" t="s">
        <v>32614</v>
      </c>
      <c r="H1741" t="s">
        <v>14201</v>
      </c>
      <c r="I1741" t="s">
        <v>6298</v>
      </c>
      <c r="J1741" t="s">
        <v>34053</v>
      </c>
      <c r="K1741" t="s">
        <v>42631</v>
      </c>
      <c r="M1741" t="s">
        <v>43372</v>
      </c>
      <c r="N1741" t="s">
        <v>47304</v>
      </c>
      <c r="O1741" t="s">
        <v>47305</v>
      </c>
      <c r="P1741">
        <v>0</v>
      </c>
      <c r="Q1741">
        <v>0</v>
      </c>
      <c r="R1741" t="s">
        <v>47307</v>
      </c>
      <c r="S1741" t="s">
        <v>47416</v>
      </c>
      <c r="T1741" t="s">
        <v>49156</v>
      </c>
      <c r="U1741" t="s">
        <v>51103</v>
      </c>
      <c r="V1741" t="s">
        <v>62788</v>
      </c>
      <c r="W1741" t="s">
        <v>64442</v>
      </c>
      <c r="X1741" t="s">
        <v>47306</v>
      </c>
    </row>
    <row r="1742" spans="1:24">
      <c r="A1742">
        <f>HYPERLINK("https://www.philgeps.gov.ph/GEPSNONPILOT/Tender/SplashBidNoticeAbstractUI.aspx?menuIndex=3&amp;refID=7199531&amp;Result=3","7199531")</f>
        <v>0</v>
      </c>
      <c r="B1742" t="s">
        <v>834</v>
      </c>
      <c r="C1742" t="s">
        <v>5546</v>
      </c>
      <c r="E1742" t="s">
        <v>20688</v>
      </c>
      <c r="F1742" t="s">
        <v>32606</v>
      </c>
      <c r="G1742" t="s">
        <v>32614</v>
      </c>
      <c r="H1742" t="s">
        <v>14201</v>
      </c>
      <c r="I1742" t="s">
        <v>32644</v>
      </c>
      <c r="J1742" t="s">
        <v>34054</v>
      </c>
      <c r="K1742" t="s">
        <v>42624</v>
      </c>
      <c r="M1742" t="s">
        <v>43765</v>
      </c>
      <c r="N1742" t="s">
        <v>47304</v>
      </c>
      <c r="O1742" t="s">
        <v>47305</v>
      </c>
      <c r="P1742">
        <v>0</v>
      </c>
      <c r="Q1742">
        <v>0</v>
      </c>
      <c r="R1742" t="s">
        <v>47307</v>
      </c>
      <c r="S1742" t="s">
        <v>47416</v>
      </c>
      <c r="T1742" t="s">
        <v>49015</v>
      </c>
      <c r="U1742" t="s">
        <v>51104</v>
      </c>
      <c r="W1742" t="s">
        <v>64452</v>
      </c>
      <c r="X1742" t="s">
        <v>47306</v>
      </c>
    </row>
    <row r="1743" spans="1:24">
      <c r="A1743">
        <f>HYPERLINK("https://www.philgeps.gov.ph/GEPSNONPILOT/Tender/SplashBidNoticeAbstractUI.aspx?menuIndex=3&amp;refID=7199411&amp;Result=3","7199411")</f>
        <v>0</v>
      </c>
      <c r="B1743" t="s">
        <v>810</v>
      </c>
      <c r="C1743" t="s">
        <v>5547</v>
      </c>
      <c r="D1743" t="s">
        <v>19013</v>
      </c>
      <c r="E1743" t="s">
        <v>20689</v>
      </c>
      <c r="F1743" t="s">
        <v>32606</v>
      </c>
      <c r="G1743" t="s">
        <v>32613</v>
      </c>
      <c r="H1743" t="s">
        <v>14201</v>
      </c>
      <c r="I1743" t="s">
        <v>32635</v>
      </c>
      <c r="J1743" t="s">
        <v>34055</v>
      </c>
      <c r="K1743" t="s">
        <v>42624</v>
      </c>
      <c r="M1743" t="s">
        <v>43741</v>
      </c>
      <c r="N1743" t="s">
        <v>47304</v>
      </c>
      <c r="O1743" t="s">
        <v>47305</v>
      </c>
      <c r="P1743">
        <v>0</v>
      </c>
      <c r="Q1743">
        <v>0</v>
      </c>
      <c r="R1743" t="s">
        <v>47307</v>
      </c>
      <c r="S1743" t="s">
        <v>47416</v>
      </c>
      <c r="T1743" t="s">
        <v>48983</v>
      </c>
      <c r="U1743" t="s">
        <v>51044</v>
      </c>
      <c r="W1743" t="s">
        <v>43741</v>
      </c>
      <c r="X1743" t="s">
        <v>47306</v>
      </c>
    </row>
    <row r="1744" spans="1:24">
      <c r="A1744">
        <f>HYPERLINK("https://www.philgeps.gov.ph/GEPSNONPILOT/Tender/SplashBidNoticeAbstractUI.aspx?menuIndex=3&amp;refID=7199530&amp;Result=3","7199530")</f>
        <v>0</v>
      </c>
      <c r="B1744" t="s">
        <v>82</v>
      </c>
      <c r="C1744" t="s">
        <v>5548</v>
      </c>
      <c r="D1744" t="s">
        <v>19011</v>
      </c>
      <c r="E1744" t="s">
        <v>20690</v>
      </c>
      <c r="F1744" t="s">
        <v>32606</v>
      </c>
      <c r="G1744" t="s">
        <v>32613</v>
      </c>
      <c r="H1744" t="s">
        <v>14201</v>
      </c>
      <c r="I1744" t="s">
        <v>32676</v>
      </c>
      <c r="J1744" t="s">
        <v>34056</v>
      </c>
      <c r="K1744" t="s">
        <v>42624</v>
      </c>
      <c r="M1744" t="s">
        <v>43766</v>
      </c>
      <c r="N1744" t="s">
        <v>47304</v>
      </c>
      <c r="O1744" t="s">
        <v>47305</v>
      </c>
      <c r="P1744">
        <v>0</v>
      </c>
      <c r="Q1744">
        <v>0</v>
      </c>
      <c r="R1744" t="s">
        <v>47307</v>
      </c>
      <c r="S1744" t="s">
        <v>47416</v>
      </c>
      <c r="T1744" t="s">
        <v>49081</v>
      </c>
      <c r="U1744" t="s">
        <v>51105</v>
      </c>
      <c r="V1744" t="s">
        <v>62841</v>
      </c>
      <c r="W1744" t="s">
        <v>43766</v>
      </c>
      <c r="X1744" t="s">
        <v>47306</v>
      </c>
    </row>
    <row r="1745" spans="1:24">
      <c r="A1745">
        <f>HYPERLINK("https://www.philgeps.gov.ph/GEPSNONPILOT/Tender/SplashBidNoticeAbstractUI.aspx?menuIndex=3&amp;refID=7199540&amp;Result=3","7199540")</f>
        <v>0</v>
      </c>
      <c r="B1745" t="s">
        <v>835</v>
      </c>
      <c r="C1745" t="s">
        <v>5549</v>
      </c>
      <c r="D1745" t="s">
        <v>19007</v>
      </c>
      <c r="E1745" t="s">
        <v>20691</v>
      </c>
      <c r="F1745" t="s">
        <v>32606</v>
      </c>
      <c r="G1745" t="s">
        <v>32613</v>
      </c>
      <c r="H1745" t="s">
        <v>32623</v>
      </c>
      <c r="I1745" t="s">
        <v>17648</v>
      </c>
      <c r="J1745" t="s">
        <v>34057</v>
      </c>
      <c r="K1745" t="s">
        <v>42623</v>
      </c>
      <c r="M1745" t="s">
        <v>43767</v>
      </c>
      <c r="N1745" t="s">
        <v>47304</v>
      </c>
      <c r="O1745" t="s">
        <v>47305</v>
      </c>
      <c r="P1745">
        <v>0</v>
      </c>
      <c r="Q1745">
        <v>0</v>
      </c>
      <c r="R1745" t="s">
        <v>47307</v>
      </c>
      <c r="S1745" t="s">
        <v>47416</v>
      </c>
      <c r="T1745" t="s">
        <v>49028</v>
      </c>
      <c r="U1745" t="s">
        <v>51106</v>
      </c>
      <c r="W1745" t="s">
        <v>43767</v>
      </c>
      <c r="X1745" t="s">
        <v>47306</v>
      </c>
    </row>
    <row r="1746" spans="1:24">
      <c r="A1746">
        <f>HYPERLINK("https://www.philgeps.gov.ph/GEPSNONPILOT/Tender/SplashBidNoticeAbstractUI.aspx?menuIndex=3&amp;refID=7199406&amp;Result=3","7199406")</f>
        <v>0</v>
      </c>
      <c r="B1746" t="s">
        <v>238</v>
      </c>
      <c r="C1746" t="s">
        <v>5550</v>
      </c>
      <c r="D1746" t="s">
        <v>18993</v>
      </c>
      <c r="E1746" t="s">
        <v>20692</v>
      </c>
      <c r="F1746" t="s">
        <v>32606</v>
      </c>
      <c r="G1746" t="s">
        <v>32619</v>
      </c>
      <c r="H1746" t="s">
        <v>14201</v>
      </c>
      <c r="I1746" t="s">
        <v>6298</v>
      </c>
      <c r="J1746" t="s">
        <v>33102</v>
      </c>
      <c r="K1746" t="s">
        <v>42622</v>
      </c>
      <c r="M1746" t="s">
        <v>43357</v>
      </c>
      <c r="N1746" t="s">
        <v>47304</v>
      </c>
      <c r="O1746" t="s">
        <v>47305</v>
      </c>
      <c r="P1746">
        <v>0</v>
      </c>
      <c r="Q1746">
        <v>0</v>
      </c>
      <c r="R1746" t="s">
        <v>47307</v>
      </c>
      <c r="S1746" t="s">
        <v>47416</v>
      </c>
      <c r="T1746" t="s">
        <v>49123</v>
      </c>
      <c r="U1746" t="s">
        <v>51107</v>
      </c>
      <c r="V1746" t="s">
        <v>62749</v>
      </c>
      <c r="W1746" t="s">
        <v>43357</v>
      </c>
      <c r="X1746" t="s">
        <v>47306</v>
      </c>
    </row>
    <row r="1747" spans="1:24">
      <c r="A1747">
        <f>HYPERLINK("https://www.philgeps.gov.ph/GEPSNONPILOT/Tender/SplashBidNoticeAbstractUI.aspx?menuIndex=3&amp;refID=7199536&amp;Result=3","7199536")</f>
        <v>0</v>
      </c>
      <c r="B1747" t="s">
        <v>836</v>
      </c>
      <c r="C1747" t="s">
        <v>5551</v>
      </c>
      <c r="E1747" t="s">
        <v>20693</v>
      </c>
      <c r="F1747" t="s">
        <v>32606</v>
      </c>
      <c r="G1747" t="s">
        <v>32614</v>
      </c>
      <c r="H1747" t="s">
        <v>14201</v>
      </c>
      <c r="I1747" t="s">
        <v>6298</v>
      </c>
      <c r="J1747" t="s">
        <v>33067</v>
      </c>
      <c r="K1747" t="s">
        <v>42624</v>
      </c>
      <c r="M1747" t="s">
        <v>43768</v>
      </c>
      <c r="N1747" t="s">
        <v>47304</v>
      </c>
      <c r="O1747" t="s">
        <v>47305</v>
      </c>
      <c r="P1747">
        <v>0</v>
      </c>
      <c r="Q1747">
        <v>0</v>
      </c>
      <c r="R1747" t="s">
        <v>47307</v>
      </c>
      <c r="S1747" t="s">
        <v>47416</v>
      </c>
      <c r="T1747" t="s">
        <v>49175</v>
      </c>
      <c r="U1747" t="s">
        <v>51108</v>
      </c>
      <c r="W1747" t="s">
        <v>43768</v>
      </c>
      <c r="X1747" t="s">
        <v>47306</v>
      </c>
    </row>
    <row r="1748" spans="1:24">
      <c r="A1748">
        <f>HYPERLINK("https://www.philgeps.gov.ph/GEPSNONPILOT/Tender/SplashBidNoticeAbstractUI.aspx?menuIndex=3&amp;refID=7199535&amp;Result=3","7199535")</f>
        <v>0</v>
      </c>
      <c r="B1748" t="s">
        <v>238</v>
      </c>
      <c r="C1748" t="s">
        <v>5552</v>
      </c>
      <c r="D1748" t="s">
        <v>18993</v>
      </c>
      <c r="E1748" t="s">
        <v>20694</v>
      </c>
      <c r="F1748" t="s">
        <v>32606</v>
      </c>
      <c r="G1748" t="s">
        <v>32614</v>
      </c>
      <c r="H1748" t="s">
        <v>14201</v>
      </c>
      <c r="I1748" t="s">
        <v>32652</v>
      </c>
      <c r="J1748" t="s">
        <v>34058</v>
      </c>
      <c r="K1748" t="s">
        <v>42622</v>
      </c>
      <c r="M1748" t="s">
        <v>43357</v>
      </c>
      <c r="N1748" t="s">
        <v>47304</v>
      </c>
      <c r="O1748" t="s">
        <v>47305</v>
      </c>
      <c r="P1748">
        <v>0</v>
      </c>
      <c r="Q1748">
        <v>0</v>
      </c>
      <c r="R1748" t="s">
        <v>47307</v>
      </c>
      <c r="S1748" t="s">
        <v>47416</v>
      </c>
      <c r="T1748" t="s">
        <v>49137</v>
      </c>
      <c r="U1748" t="s">
        <v>51109</v>
      </c>
      <c r="V1748" t="s">
        <v>62749</v>
      </c>
      <c r="W1748" t="s">
        <v>43357</v>
      </c>
      <c r="X1748" t="s">
        <v>47306</v>
      </c>
    </row>
    <row r="1749" spans="1:24">
      <c r="A1749">
        <f>HYPERLINK("https://www.philgeps.gov.ph/GEPSNONPILOT/Tender/SplashBidNoticeAbstractUI.aspx?menuIndex=3&amp;refID=7199529&amp;Result=3","7199529")</f>
        <v>0</v>
      </c>
      <c r="B1749" t="s">
        <v>807</v>
      </c>
      <c r="C1749" t="s">
        <v>5553</v>
      </c>
      <c r="D1749" t="s">
        <v>19039</v>
      </c>
      <c r="E1749" t="s">
        <v>20695</v>
      </c>
      <c r="F1749" t="s">
        <v>32606</v>
      </c>
      <c r="G1749" t="s">
        <v>32614</v>
      </c>
      <c r="H1749" t="s">
        <v>14201</v>
      </c>
      <c r="I1749" t="s">
        <v>6298</v>
      </c>
      <c r="J1749" t="s">
        <v>34059</v>
      </c>
      <c r="K1749" t="s">
        <v>42623</v>
      </c>
      <c r="M1749" t="s">
        <v>43738</v>
      </c>
      <c r="N1749" t="s">
        <v>47304</v>
      </c>
      <c r="O1749" t="s">
        <v>47305</v>
      </c>
      <c r="P1749">
        <v>0</v>
      </c>
      <c r="Q1749">
        <v>0</v>
      </c>
      <c r="R1749" t="s">
        <v>47307</v>
      </c>
      <c r="S1749" t="s">
        <v>47416</v>
      </c>
      <c r="T1749" t="s">
        <v>48987</v>
      </c>
      <c r="U1749" t="s">
        <v>51110</v>
      </c>
      <c r="W1749" t="s">
        <v>64449</v>
      </c>
      <c r="X1749" t="s">
        <v>47306</v>
      </c>
    </row>
    <row r="1750" spans="1:24">
      <c r="A1750">
        <f>HYPERLINK("https://www.philgeps.gov.ph/GEPSNONPILOT/Tender/SplashBidNoticeAbstractUI.aspx?menuIndex=3&amp;refID=7199527&amp;Result=3","7199527")</f>
        <v>0</v>
      </c>
      <c r="B1750" t="s">
        <v>771</v>
      </c>
      <c r="C1750" t="s">
        <v>5554</v>
      </c>
      <c r="D1750" t="s">
        <v>19058</v>
      </c>
      <c r="E1750" t="s">
        <v>20696</v>
      </c>
      <c r="F1750" t="s">
        <v>32606</v>
      </c>
      <c r="G1750" t="s">
        <v>32614</v>
      </c>
      <c r="H1750" t="s">
        <v>14201</v>
      </c>
      <c r="I1750" t="s">
        <v>6298</v>
      </c>
      <c r="J1750" t="s">
        <v>34060</v>
      </c>
      <c r="K1750" t="s">
        <v>42631</v>
      </c>
      <c r="M1750" t="s">
        <v>43699</v>
      </c>
      <c r="N1750" t="s">
        <v>47304</v>
      </c>
      <c r="O1750" t="s">
        <v>47305</v>
      </c>
      <c r="P1750">
        <v>0</v>
      </c>
      <c r="Q1750">
        <v>0</v>
      </c>
      <c r="R1750" t="s">
        <v>47307</v>
      </c>
      <c r="S1750" t="s">
        <v>47416</v>
      </c>
      <c r="T1750" t="s">
        <v>49175</v>
      </c>
      <c r="U1750" t="s">
        <v>50948</v>
      </c>
      <c r="W1750" t="s">
        <v>43699</v>
      </c>
      <c r="X1750" t="s">
        <v>47306</v>
      </c>
    </row>
    <row r="1751" spans="1:24">
      <c r="A1751">
        <f>HYPERLINK("https://www.philgeps.gov.ph/GEPSNONPILOT/Tender/SplashBidNoticeAbstractUI.aspx?menuIndex=3&amp;refID=7199429&amp;Result=3","7199429")</f>
        <v>0</v>
      </c>
      <c r="B1751" t="s">
        <v>605</v>
      </c>
      <c r="C1751" t="s">
        <v>5555</v>
      </c>
      <c r="D1751" t="s">
        <v>19024</v>
      </c>
      <c r="E1751" t="s">
        <v>20697</v>
      </c>
      <c r="F1751" t="s">
        <v>32606</v>
      </c>
      <c r="G1751" t="s">
        <v>32613</v>
      </c>
      <c r="H1751" t="s">
        <v>32623</v>
      </c>
      <c r="I1751" t="s">
        <v>17648</v>
      </c>
      <c r="J1751" t="s">
        <v>33103</v>
      </c>
      <c r="K1751" t="s">
        <v>42639</v>
      </c>
      <c r="M1751" t="s">
        <v>43521</v>
      </c>
      <c r="N1751" t="s">
        <v>47304</v>
      </c>
      <c r="O1751" t="s">
        <v>47305</v>
      </c>
      <c r="P1751">
        <v>0</v>
      </c>
      <c r="Q1751">
        <v>0</v>
      </c>
      <c r="R1751" t="s">
        <v>47307</v>
      </c>
      <c r="S1751" t="s">
        <v>47416</v>
      </c>
      <c r="T1751" t="s">
        <v>49028</v>
      </c>
      <c r="U1751" t="s">
        <v>50646</v>
      </c>
      <c r="W1751" t="s">
        <v>43521</v>
      </c>
      <c r="X1751" t="s">
        <v>47306</v>
      </c>
    </row>
    <row r="1752" spans="1:24">
      <c r="A1752">
        <f>HYPERLINK("https://www.philgeps.gov.ph/GEPSNONPILOT/Tender/SplashBidNoticeAbstractUI.aspx?menuIndex=3&amp;refID=7199472&amp;Result=3","7199472")</f>
        <v>0</v>
      </c>
      <c r="B1752" t="s">
        <v>540</v>
      </c>
      <c r="C1752" t="s">
        <v>5556</v>
      </c>
      <c r="D1752" t="s">
        <v>19001</v>
      </c>
      <c r="E1752" t="s">
        <v>20698</v>
      </c>
      <c r="F1752" t="s">
        <v>32606</v>
      </c>
      <c r="G1752" t="s">
        <v>32614</v>
      </c>
      <c r="H1752" t="s">
        <v>14201</v>
      </c>
      <c r="I1752" t="s">
        <v>6298</v>
      </c>
      <c r="J1752" t="s">
        <v>34061</v>
      </c>
      <c r="K1752" t="s">
        <v>42622</v>
      </c>
      <c r="M1752" t="s">
        <v>43460</v>
      </c>
      <c r="N1752" t="s">
        <v>47304</v>
      </c>
      <c r="O1752" t="s">
        <v>47305</v>
      </c>
      <c r="P1752">
        <v>0</v>
      </c>
      <c r="Q1752">
        <v>0</v>
      </c>
      <c r="R1752" t="s">
        <v>47307</v>
      </c>
      <c r="S1752" t="s">
        <v>47416</v>
      </c>
      <c r="T1752" t="s">
        <v>48986</v>
      </c>
      <c r="U1752" t="s">
        <v>51111</v>
      </c>
      <c r="W1752" t="s">
        <v>43460</v>
      </c>
      <c r="X1752" t="s">
        <v>47306</v>
      </c>
    </row>
    <row r="1753" spans="1:24">
      <c r="A1753">
        <f>HYPERLINK("https://www.philgeps.gov.ph/GEPSNONPILOT/Tender/SplashBidNoticeAbstractUI.aspx?menuIndex=3&amp;refID=7199524&amp;Result=3","7199524")</f>
        <v>0</v>
      </c>
      <c r="B1753" t="s">
        <v>837</v>
      </c>
      <c r="C1753" t="s">
        <v>5557</v>
      </c>
      <c r="D1753" t="s">
        <v>19011</v>
      </c>
      <c r="E1753" t="s">
        <v>20699</v>
      </c>
      <c r="F1753" t="s">
        <v>32606</v>
      </c>
      <c r="G1753" t="s">
        <v>32614</v>
      </c>
      <c r="H1753" t="s">
        <v>14201</v>
      </c>
      <c r="I1753" t="s">
        <v>7064</v>
      </c>
      <c r="J1753" t="s">
        <v>34062</v>
      </c>
      <c r="K1753" t="s">
        <v>42624</v>
      </c>
      <c r="M1753" t="s">
        <v>43769</v>
      </c>
      <c r="N1753" t="s">
        <v>47304</v>
      </c>
      <c r="O1753" t="s">
        <v>47305</v>
      </c>
      <c r="P1753">
        <v>0</v>
      </c>
      <c r="Q1753">
        <v>0</v>
      </c>
      <c r="R1753" t="s">
        <v>47307</v>
      </c>
      <c r="S1753" t="s">
        <v>47416</v>
      </c>
      <c r="T1753" t="s">
        <v>49015</v>
      </c>
      <c r="U1753" t="s">
        <v>51112</v>
      </c>
      <c r="W1753" t="s">
        <v>43769</v>
      </c>
      <c r="X1753" t="s">
        <v>47306</v>
      </c>
    </row>
    <row r="1754" spans="1:24">
      <c r="A1754">
        <f>HYPERLINK("https://www.philgeps.gov.ph/GEPSNONPILOT/Tender/SplashBidNoticeAbstractUI.aspx?menuIndex=3&amp;refID=7199539&amp;Result=3","7199539")</f>
        <v>0</v>
      </c>
      <c r="B1754" t="s">
        <v>817</v>
      </c>
      <c r="C1754" t="s">
        <v>5558</v>
      </c>
      <c r="D1754" t="s">
        <v>18993</v>
      </c>
      <c r="E1754" t="s">
        <v>20700</v>
      </c>
      <c r="F1754" t="s">
        <v>32606</v>
      </c>
      <c r="G1754" t="s">
        <v>32619</v>
      </c>
      <c r="H1754" t="s">
        <v>14201</v>
      </c>
      <c r="I1754" t="s">
        <v>6298</v>
      </c>
      <c r="J1754" t="s">
        <v>33002</v>
      </c>
      <c r="K1754" t="s">
        <v>42630</v>
      </c>
      <c r="M1754" t="s">
        <v>43748</v>
      </c>
      <c r="N1754" t="s">
        <v>47304</v>
      </c>
      <c r="O1754" t="s">
        <v>47305</v>
      </c>
      <c r="P1754">
        <v>0</v>
      </c>
      <c r="Q1754">
        <v>0</v>
      </c>
      <c r="R1754" t="s">
        <v>47307</v>
      </c>
      <c r="S1754" t="s">
        <v>47416</v>
      </c>
      <c r="T1754" t="s">
        <v>49016</v>
      </c>
      <c r="U1754" t="s">
        <v>51113</v>
      </c>
      <c r="W1754" t="s">
        <v>43748</v>
      </c>
      <c r="X1754" t="s">
        <v>47306</v>
      </c>
    </row>
    <row r="1755" spans="1:24">
      <c r="A1755">
        <f>HYPERLINK("https://www.philgeps.gov.ph/GEPSNONPILOT/Tender/SplashBidNoticeAbstractUI.aspx?menuIndex=3&amp;refID=7199523&amp;Result=3","7199523")</f>
        <v>0</v>
      </c>
      <c r="B1755" t="s">
        <v>684</v>
      </c>
      <c r="C1755" t="s">
        <v>5559</v>
      </c>
      <c r="D1755" t="s">
        <v>19012</v>
      </c>
      <c r="E1755" t="s">
        <v>20701</v>
      </c>
      <c r="F1755" t="s">
        <v>32606</v>
      </c>
      <c r="G1755" t="s">
        <v>32614</v>
      </c>
      <c r="H1755" t="s">
        <v>14201</v>
      </c>
      <c r="I1755" t="s">
        <v>7677</v>
      </c>
      <c r="J1755" t="s">
        <v>34063</v>
      </c>
      <c r="K1755" t="s">
        <v>42622</v>
      </c>
      <c r="L1755" t="s">
        <v>684</v>
      </c>
      <c r="M1755" t="s">
        <v>43605</v>
      </c>
      <c r="N1755" t="s">
        <v>47304</v>
      </c>
      <c r="O1755" t="s">
        <v>47305</v>
      </c>
      <c r="P1755">
        <v>0</v>
      </c>
      <c r="Q1755">
        <v>0</v>
      </c>
      <c r="R1755" t="s">
        <v>47307</v>
      </c>
      <c r="S1755" t="s">
        <v>47416</v>
      </c>
      <c r="T1755" t="s">
        <v>48977</v>
      </c>
      <c r="U1755" t="s">
        <v>51114</v>
      </c>
      <c r="V1755" t="s">
        <v>62802</v>
      </c>
      <c r="W1755" t="s">
        <v>43605</v>
      </c>
      <c r="X1755" t="s">
        <v>47306</v>
      </c>
    </row>
    <row r="1756" spans="1:24">
      <c r="A1756">
        <f>HYPERLINK("https://www.philgeps.gov.ph/GEPSNONPILOT/Tender/SplashBidNoticeAbstractUI.aspx?menuIndex=3&amp;refID=7199545&amp;Result=3","7199545")</f>
        <v>0</v>
      </c>
      <c r="B1756" t="s">
        <v>834</v>
      </c>
      <c r="C1756" t="s">
        <v>5560</v>
      </c>
      <c r="E1756" t="s">
        <v>20702</v>
      </c>
      <c r="F1756" t="s">
        <v>32606</v>
      </c>
      <c r="G1756" t="s">
        <v>32614</v>
      </c>
      <c r="H1756" t="s">
        <v>14201</v>
      </c>
      <c r="I1756" t="s">
        <v>6298</v>
      </c>
      <c r="J1756" t="s">
        <v>34064</v>
      </c>
      <c r="K1756" t="s">
        <v>42624</v>
      </c>
      <c r="M1756" t="s">
        <v>43765</v>
      </c>
      <c r="N1756" t="s">
        <v>47304</v>
      </c>
      <c r="O1756" t="s">
        <v>47305</v>
      </c>
      <c r="P1756">
        <v>0</v>
      </c>
      <c r="Q1756">
        <v>0</v>
      </c>
      <c r="R1756" t="s">
        <v>47307</v>
      </c>
      <c r="S1756" t="s">
        <v>47416</v>
      </c>
      <c r="T1756" t="s">
        <v>49015</v>
      </c>
      <c r="U1756" t="s">
        <v>51104</v>
      </c>
      <c r="W1756" t="s">
        <v>64452</v>
      </c>
      <c r="X1756" t="s">
        <v>47306</v>
      </c>
    </row>
    <row r="1757" spans="1:24">
      <c r="A1757">
        <f>HYPERLINK("https://www.philgeps.gov.ph/GEPSNONPILOT/Tender/SplashBidNoticeAbstractUI.aspx?menuIndex=3&amp;refID=7199544&amp;Result=3","7199544")</f>
        <v>0</v>
      </c>
      <c r="B1757" t="s">
        <v>238</v>
      </c>
      <c r="C1757" t="s">
        <v>5561</v>
      </c>
      <c r="D1757" t="s">
        <v>18993</v>
      </c>
      <c r="E1757" t="s">
        <v>20703</v>
      </c>
      <c r="F1757" t="s">
        <v>32606</v>
      </c>
      <c r="G1757" t="s">
        <v>32619</v>
      </c>
      <c r="H1757" t="s">
        <v>14201</v>
      </c>
      <c r="I1757" t="s">
        <v>4114</v>
      </c>
      <c r="J1757" t="s">
        <v>34065</v>
      </c>
      <c r="K1757" t="s">
        <v>42622</v>
      </c>
      <c r="M1757" t="s">
        <v>43194</v>
      </c>
      <c r="N1757" t="s">
        <v>47304</v>
      </c>
      <c r="O1757" t="s">
        <v>47305</v>
      </c>
      <c r="P1757">
        <v>0</v>
      </c>
      <c r="Q1757">
        <v>0</v>
      </c>
      <c r="R1757" t="s">
        <v>47307</v>
      </c>
      <c r="S1757" t="s">
        <v>47416</v>
      </c>
      <c r="T1757" t="s">
        <v>49123</v>
      </c>
      <c r="U1757" t="s">
        <v>51042</v>
      </c>
      <c r="V1757" t="s">
        <v>62716</v>
      </c>
      <c r="W1757" t="s">
        <v>43194</v>
      </c>
      <c r="X1757" t="s">
        <v>47306</v>
      </c>
    </row>
    <row r="1758" spans="1:24">
      <c r="A1758">
        <f>HYPERLINK("https://www.philgeps.gov.ph/GEPSNONPILOT/Tender/SplashBidNoticeAbstractUI.aspx?menuIndex=3&amp;refID=7199528&amp;Result=3","7199528")</f>
        <v>0</v>
      </c>
      <c r="B1758" t="s">
        <v>662</v>
      </c>
      <c r="C1758" t="s">
        <v>5562</v>
      </c>
      <c r="D1758" t="s">
        <v>19023</v>
      </c>
      <c r="E1758" t="s">
        <v>20704</v>
      </c>
      <c r="F1758" t="s">
        <v>32606</v>
      </c>
      <c r="G1758" t="s">
        <v>32613</v>
      </c>
      <c r="H1758" t="s">
        <v>14201</v>
      </c>
      <c r="I1758" t="s">
        <v>32680</v>
      </c>
      <c r="J1758" t="s">
        <v>34066</v>
      </c>
      <c r="K1758" t="s">
        <v>42631</v>
      </c>
      <c r="M1758" t="s">
        <v>43582</v>
      </c>
      <c r="N1758" t="s">
        <v>47304</v>
      </c>
      <c r="O1758" t="s">
        <v>47305</v>
      </c>
      <c r="P1758">
        <v>0</v>
      </c>
      <c r="Q1758">
        <v>0</v>
      </c>
      <c r="R1758" t="s">
        <v>47307</v>
      </c>
      <c r="S1758" t="s">
        <v>47416</v>
      </c>
      <c r="T1758" t="s">
        <v>49065</v>
      </c>
      <c r="U1758" t="s">
        <v>51115</v>
      </c>
      <c r="W1758" t="s">
        <v>43582</v>
      </c>
      <c r="X1758" t="s">
        <v>47306</v>
      </c>
    </row>
    <row r="1759" spans="1:24">
      <c r="A1759">
        <f>HYPERLINK("https://www.philgeps.gov.ph/GEPSNONPILOT/Tender/SplashBidNoticeAbstractUI.aspx?menuIndex=3&amp;refID=7199542&amp;Result=3","7199542")</f>
        <v>0</v>
      </c>
      <c r="B1759" t="s">
        <v>838</v>
      </c>
      <c r="C1759" t="s">
        <v>5563</v>
      </c>
      <c r="D1759" t="s">
        <v>19039</v>
      </c>
      <c r="E1759" t="s">
        <v>20705</v>
      </c>
      <c r="F1759" t="s">
        <v>32606</v>
      </c>
      <c r="G1759" t="s">
        <v>32614</v>
      </c>
      <c r="H1759" t="s">
        <v>14201</v>
      </c>
      <c r="I1759" t="s">
        <v>17648</v>
      </c>
      <c r="J1759" t="s">
        <v>34067</v>
      </c>
      <c r="K1759" t="s">
        <v>42646</v>
      </c>
      <c r="M1759" t="s">
        <v>43770</v>
      </c>
      <c r="N1759" t="s">
        <v>47304</v>
      </c>
      <c r="O1759" t="s">
        <v>47305</v>
      </c>
      <c r="P1759">
        <v>0</v>
      </c>
      <c r="Q1759">
        <v>0</v>
      </c>
      <c r="R1759" t="s">
        <v>47307</v>
      </c>
      <c r="S1759" t="s">
        <v>47416</v>
      </c>
      <c r="T1759" t="s">
        <v>49075</v>
      </c>
      <c r="U1759" t="s">
        <v>51116</v>
      </c>
      <c r="W1759" t="s">
        <v>43770</v>
      </c>
      <c r="X1759" t="s">
        <v>47306</v>
      </c>
    </row>
    <row r="1760" spans="1:24">
      <c r="A1760">
        <f>HYPERLINK("https://www.philgeps.gov.ph/GEPSNONPILOT/Tender/SplashBidNoticeAbstractUI.aspx?menuIndex=3&amp;refID=7199541&amp;Result=3","7199541")</f>
        <v>0</v>
      </c>
      <c r="B1760" t="s">
        <v>540</v>
      </c>
      <c r="C1760" t="s">
        <v>5564</v>
      </c>
      <c r="D1760" t="s">
        <v>19001</v>
      </c>
      <c r="E1760" t="s">
        <v>20706</v>
      </c>
      <c r="F1760" t="s">
        <v>32606</v>
      </c>
      <c r="G1760" t="s">
        <v>32614</v>
      </c>
      <c r="H1760" t="s">
        <v>14201</v>
      </c>
      <c r="I1760" t="s">
        <v>4120</v>
      </c>
      <c r="J1760" t="s">
        <v>34068</v>
      </c>
      <c r="K1760" t="s">
        <v>42622</v>
      </c>
      <c r="M1760" t="s">
        <v>43454</v>
      </c>
      <c r="N1760" t="s">
        <v>47304</v>
      </c>
      <c r="O1760" t="s">
        <v>47305</v>
      </c>
      <c r="P1760">
        <v>0</v>
      </c>
      <c r="Q1760">
        <v>0</v>
      </c>
      <c r="R1760" t="s">
        <v>47307</v>
      </c>
      <c r="S1760" t="s">
        <v>47416</v>
      </c>
      <c r="T1760" t="s">
        <v>48986</v>
      </c>
      <c r="U1760" t="s">
        <v>51117</v>
      </c>
      <c r="W1760" t="s">
        <v>43454</v>
      </c>
      <c r="X1760" t="s">
        <v>47306</v>
      </c>
    </row>
    <row r="1761" spans="1:24">
      <c r="A1761">
        <f>HYPERLINK("https://www.philgeps.gov.ph/GEPSNONPILOT/Tender/SplashBidNoticeAbstractUI.aspx?menuIndex=3&amp;refID=7199526&amp;Result=3","7199526")</f>
        <v>0</v>
      </c>
      <c r="B1761" t="s">
        <v>173</v>
      </c>
      <c r="C1761" t="s">
        <v>5565</v>
      </c>
      <c r="E1761" t="s">
        <v>20707</v>
      </c>
      <c r="F1761" t="s">
        <v>32606</v>
      </c>
      <c r="G1761" t="s">
        <v>32613</v>
      </c>
      <c r="H1761" t="s">
        <v>14201</v>
      </c>
      <c r="I1761" t="s">
        <v>6298</v>
      </c>
      <c r="J1761" t="s">
        <v>34069</v>
      </c>
      <c r="K1761" t="s">
        <v>42624</v>
      </c>
      <c r="M1761" t="s">
        <v>43074</v>
      </c>
      <c r="N1761" t="s">
        <v>47304</v>
      </c>
      <c r="O1761" t="s">
        <v>47305</v>
      </c>
      <c r="P1761">
        <v>0</v>
      </c>
      <c r="Q1761">
        <v>0</v>
      </c>
      <c r="R1761" t="s">
        <v>47307</v>
      </c>
      <c r="S1761" t="s">
        <v>47416</v>
      </c>
      <c r="T1761" t="s">
        <v>49116</v>
      </c>
      <c r="U1761" t="s">
        <v>50542</v>
      </c>
      <c r="W1761" t="s">
        <v>43074</v>
      </c>
      <c r="X1761" t="s">
        <v>47306</v>
      </c>
    </row>
    <row r="1762" spans="1:24">
      <c r="A1762">
        <f>HYPERLINK("https://www.philgeps.gov.ph/GEPSNONPILOT/Tender/SplashBidNoticeAbstractUI.aspx?menuIndex=3&amp;refID=7199562&amp;Result=3","7199562")</f>
        <v>0</v>
      </c>
      <c r="B1762" t="s">
        <v>839</v>
      </c>
      <c r="C1762" t="s">
        <v>5566</v>
      </c>
      <c r="D1762" t="s">
        <v>19011</v>
      </c>
      <c r="E1762" t="s">
        <v>20708</v>
      </c>
      <c r="F1762" t="s">
        <v>32606</v>
      </c>
      <c r="G1762" t="s">
        <v>32614</v>
      </c>
      <c r="H1762" t="s">
        <v>14201</v>
      </c>
      <c r="I1762" t="s">
        <v>4678</v>
      </c>
      <c r="J1762" t="s">
        <v>34070</v>
      </c>
      <c r="K1762" t="s">
        <v>42631</v>
      </c>
      <c r="M1762" t="s">
        <v>43771</v>
      </c>
      <c r="N1762" t="s">
        <v>47304</v>
      </c>
      <c r="O1762" t="s">
        <v>47305</v>
      </c>
      <c r="P1762">
        <v>0</v>
      </c>
      <c r="Q1762">
        <v>0</v>
      </c>
      <c r="R1762" t="s">
        <v>47307</v>
      </c>
      <c r="S1762" t="s">
        <v>47416</v>
      </c>
      <c r="T1762" t="s">
        <v>48972</v>
      </c>
      <c r="U1762" t="s">
        <v>51118</v>
      </c>
      <c r="W1762" t="s">
        <v>43771</v>
      </c>
      <c r="X1762" t="s">
        <v>47306</v>
      </c>
    </row>
    <row r="1763" spans="1:24">
      <c r="A1763">
        <f>HYPERLINK("https://www.philgeps.gov.ph/GEPSNONPILOT/Tender/SplashBidNoticeAbstractUI.aspx?menuIndex=3&amp;refID=7199561&amp;Result=3","7199561")</f>
        <v>0</v>
      </c>
      <c r="B1763" t="s">
        <v>682</v>
      </c>
      <c r="C1763" t="s">
        <v>5567</v>
      </c>
      <c r="D1763" t="s">
        <v>19039</v>
      </c>
      <c r="E1763" t="s">
        <v>20709</v>
      </c>
      <c r="F1763" t="s">
        <v>32606</v>
      </c>
      <c r="G1763" t="s">
        <v>32614</v>
      </c>
      <c r="H1763" t="s">
        <v>14201</v>
      </c>
      <c r="I1763" t="s">
        <v>32626</v>
      </c>
      <c r="J1763" t="s">
        <v>34071</v>
      </c>
      <c r="K1763" t="s">
        <v>42631</v>
      </c>
      <c r="M1763" t="s">
        <v>43602</v>
      </c>
      <c r="N1763" t="s">
        <v>47304</v>
      </c>
      <c r="O1763" t="s">
        <v>47305</v>
      </c>
      <c r="P1763">
        <v>0</v>
      </c>
      <c r="Q1763">
        <v>0</v>
      </c>
      <c r="R1763" t="s">
        <v>47307</v>
      </c>
      <c r="S1763" t="s">
        <v>47416</v>
      </c>
      <c r="T1763" t="s">
        <v>49023</v>
      </c>
      <c r="U1763" t="s">
        <v>50809</v>
      </c>
      <c r="W1763" t="s">
        <v>43602</v>
      </c>
      <c r="X1763" t="s">
        <v>47306</v>
      </c>
    </row>
    <row r="1764" spans="1:24">
      <c r="A1764">
        <f>HYPERLINK("https://www.philgeps.gov.ph/GEPSNONPILOT/Tender/SplashBidNoticeAbstractUI.aspx?menuIndex=3&amp;refID=7199525&amp;Result=3","7199525")</f>
        <v>0</v>
      </c>
      <c r="B1764" t="s">
        <v>491</v>
      </c>
      <c r="C1764" t="s">
        <v>5568</v>
      </c>
      <c r="D1764" t="s">
        <v>19006</v>
      </c>
      <c r="E1764" t="s">
        <v>20710</v>
      </c>
      <c r="F1764" t="s">
        <v>32608</v>
      </c>
      <c r="G1764" t="s">
        <v>32614</v>
      </c>
      <c r="H1764" t="s">
        <v>14201</v>
      </c>
      <c r="I1764" t="s">
        <v>32664</v>
      </c>
      <c r="J1764" t="s">
        <v>32977</v>
      </c>
      <c r="K1764" t="s">
        <v>42630</v>
      </c>
      <c r="M1764" t="s">
        <v>43404</v>
      </c>
      <c r="N1764" t="s">
        <v>47304</v>
      </c>
      <c r="O1764" t="s">
        <v>47305</v>
      </c>
      <c r="P1764">
        <v>0</v>
      </c>
      <c r="Q1764">
        <v>0</v>
      </c>
      <c r="R1764" t="s">
        <v>47307</v>
      </c>
      <c r="S1764" t="s">
        <v>47416</v>
      </c>
      <c r="T1764" t="s">
        <v>49052</v>
      </c>
      <c r="U1764" t="s">
        <v>51119</v>
      </c>
      <c r="W1764" t="s">
        <v>43404</v>
      </c>
      <c r="X1764" t="s">
        <v>47306</v>
      </c>
    </row>
    <row r="1765" spans="1:24">
      <c r="A1765">
        <f>HYPERLINK("https://www.philgeps.gov.ph/GEPSNONPILOT/Tender/SplashBidNoticeAbstractUI.aspx?menuIndex=3&amp;refID=7199560&amp;Result=3","7199560")</f>
        <v>0</v>
      </c>
      <c r="B1765" t="s">
        <v>82</v>
      </c>
      <c r="C1765" t="s">
        <v>5569</v>
      </c>
      <c r="D1765" t="s">
        <v>19011</v>
      </c>
      <c r="E1765" t="s">
        <v>20711</v>
      </c>
      <c r="F1765" t="s">
        <v>32606</v>
      </c>
      <c r="G1765" t="s">
        <v>32613</v>
      </c>
      <c r="H1765" t="s">
        <v>14201</v>
      </c>
      <c r="I1765" t="s">
        <v>4369</v>
      </c>
      <c r="J1765" t="s">
        <v>34072</v>
      </c>
      <c r="K1765" t="s">
        <v>42624</v>
      </c>
      <c r="M1765" t="s">
        <v>43766</v>
      </c>
      <c r="N1765" t="s">
        <v>47304</v>
      </c>
      <c r="O1765" t="s">
        <v>47305</v>
      </c>
      <c r="P1765">
        <v>0</v>
      </c>
      <c r="Q1765">
        <v>0</v>
      </c>
      <c r="R1765" t="s">
        <v>47307</v>
      </c>
      <c r="S1765" t="s">
        <v>47416</v>
      </c>
      <c r="T1765" t="s">
        <v>49081</v>
      </c>
      <c r="U1765" t="s">
        <v>51105</v>
      </c>
      <c r="V1765" t="s">
        <v>62841</v>
      </c>
      <c r="W1765" t="s">
        <v>43766</v>
      </c>
      <c r="X1765" t="s">
        <v>47306</v>
      </c>
    </row>
    <row r="1766" spans="1:24">
      <c r="A1766">
        <f>HYPERLINK("https://www.philgeps.gov.ph/GEPSNONPILOT/Tender/SplashBidNoticeAbstractUI.aspx?menuIndex=3&amp;refID=7199558&amp;Result=3","7199558")</f>
        <v>0</v>
      </c>
      <c r="B1766" t="s">
        <v>790</v>
      </c>
      <c r="C1766" t="s">
        <v>5570</v>
      </c>
      <c r="E1766" t="s">
        <v>20712</v>
      </c>
      <c r="F1766" t="s">
        <v>32606</v>
      </c>
      <c r="G1766" t="s">
        <v>32613</v>
      </c>
      <c r="H1766" t="s">
        <v>14201</v>
      </c>
      <c r="I1766" t="s">
        <v>17648</v>
      </c>
      <c r="J1766" t="s">
        <v>32795</v>
      </c>
      <c r="K1766" t="s">
        <v>42631</v>
      </c>
      <c r="M1766" t="s">
        <v>43721</v>
      </c>
      <c r="N1766" t="s">
        <v>47304</v>
      </c>
      <c r="O1766" t="s">
        <v>47305</v>
      </c>
      <c r="P1766">
        <v>0</v>
      </c>
      <c r="Q1766">
        <v>0</v>
      </c>
      <c r="R1766" t="s">
        <v>47307</v>
      </c>
      <c r="S1766" t="s">
        <v>47416</v>
      </c>
      <c r="T1766" t="s">
        <v>48990</v>
      </c>
      <c r="U1766" t="s">
        <v>51120</v>
      </c>
      <c r="W1766" t="s">
        <v>43721</v>
      </c>
      <c r="X1766" t="s">
        <v>47306</v>
      </c>
    </row>
    <row r="1767" spans="1:24">
      <c r="A1767">
        <f>HYPERLINK("https://www.philgeps.gov.ph/GEPSNONPILOT/Tender/SplashBidNoticeAbstractUI.aspx?menuIndex=3&amp;refID=7199522&amp;Result=3","7199522")</f>
        <v>0</v>
      </c>
      <c r="B1767" t="s">
        <v>799</v>
      </c>
      <c r="C1767" t="s">
        <v>5571</v>
      </c>
      <c r="E1767" t="s">
        <v>20713</v>
      </c>
      <c r="F1767" t="s">
        <v>32606</v>
      </c>
      <c r="G1767" t="s">
        <v>32614</v>
      </c>
      <c r="H1767" t="s">
        <v>32623</v>
      </c>
      <c r="I1767" t="s">
        <v>17648</v>
      </c>
      <c r="J1767" t="s">
        <v>34073</v>
      </c>
      <c r="K1767" t="s">
        <v>42694</v>
      </c>
      <c r="M1767" t="s">
        <v>43730</v>
      </c>
      <c r="N1767" t="s">
        <v>47304</v>
      </c>
      <c r="O1767" t="s">
        <v>47305</v>
      </c>
      <c r="P1767">
        <v>0</v>
      </c>
      <c r="Q1767">
        <v>0</v>
      </c>
      <c r="R1767" t="s">
        <v>47307</v>
      </c>
      <c r="S1767" t="s">
        <v>47416</v>
      </c>
      <c r="T1767" t="s">
        <v>49184</v>
      </c>
      <c r="U1767" t="s">
        <v>51121</v>
      </c>
      <c r="V1767" t="s">
        <v>62834</v>
      </c>
      <c r="W1767" t="s">
        <v>43730</v>
      </c>
      <c r="X1767" t="s">
        <v>47306</v>
      </c>
    </row>
    <row r="1768" spans="1:24">
      <c r="A1768">
        <f>HYPERLINK("https://www.philgeps.gov.ph/GEPSNONPILOT/Tender/SplashBidNoticeAbstractUI.aspx?menuIndex=3&amp;refID=7199554&amp;Result=3","7199554")</f>
        <v>0</v>
      </c>
      <c r="B1768" t="s">
        <v>840</v>
      </c>
      <c r="C1768" t="s">
        <v>5572</v>
      </c>
      <c r="D1768" t="s">
        <v>18988</v>
      </c>
      <c r="E1768" t="s">
        <v>20714</v>
      </c>
      <c r="F1768" t="s">
        <v>32606</v>
      </c>
      <c r="G1768" t="s">
        <v>32613</v>
      </c>
      <c r="H1768" t="s">
        <v>14201</v>
      </c>
      <c r="I1768" t="s">
        <v>6931</v>
      </c>
      <c r="J1768" t="s">
        <v>34074</v>
      </c>
      <c r="K1768" t="s">
        <v>42627</v>
      </c>
      <c r="M1768" t="s">
        <v>43772</v>
      </c>
      <c r="N1768" t="s">
        <v>47304</v>
      </c>
      <c r="O1768" t="s">
        <v>47305</v>
      </c>
      <c r="P1768">
        <v>0</v>
      </c>
      <c r="Q1768">
        <v>0</v>
      </c>
      <c r="R1768" t="s">
        <v>47307</v>
      </c>
      <c r="S1768" t="s">
        <v>47416</v>
      </c>
      <c r="T1768" t="s">
        <v>48996</v>
      </c>
      <c r="U1768" t="s">
        <v>51122</v>
      </c>
      <c r="W1768" t="s">
        <v>43772</v>
      </c>
      <c r="X1768" t="s">
        <v>47306</v>
      </c>
    </row>
    <row r="1769" spans="1:24">
      <c r="A1769">
        <f>HYPERLINK("https://www.philgeps.gov.ph/GEPSNONPILOT/Tender/SplashBidNoticeAbstractUI.aspx?menuIndex=3&amp;refID=7199553&amp;Result=3","7199553")</f>
        <v>0</v>
      </c>
      <c r="B1769" t="s">
        <v>813</v>
      </c>
      <c r="C1769" t="s">
        <v>5573</v>
      </c>
      <c r="D1769" t="s">
        <v>19044</v>
      </c>
      <c r="E1769" t="s">
        <v>20715</v>
      </c>
      <c r="F1769" t="s">
        <v>32606</v>
      </c>
      <c r="G1769" t="s">
        <v>32614</v>
      </c>
      <c r="H1769" t="s">
        <v>14201</v>
      </c>
      <c r="I1769" t="s">
        <v>32705</v>
      </c>
      <c r="J1769" t="s">
        <v>32926</v>
      </c>
      <c r="K1769" t="s">
        <v>42622</v>
      </c>
      <c r="M1769" t="s">
        <v>43744</v>
      </c>
      <c r="N1769" t="s">
        <v>47304</v>
      </c>
      <c r="O1769" t="s">
        <v>47305</v>
      </c>
      <c r="P1769">
        <v>0</v>
      </c>
      <c r="Q1769">
        <v>0</v>
      </c>
      <c r="R1769" t="s">
        <v>47307</v>
      </c>
      <c r="S1769" t="s">
        <v>47416</v>
      </c>
      <c r="T1769" t="s">
        <v>49017</v>
      </c>
      <c r="U1769" t="s">
        <v>51123</v>
      </c>
      <c r="W1769" t="s">
        <v>43744</v>
      </c>
      <c r="X1769" t="s">
        <v>47306</v>
      </c>
    </row>
    <row r="1770" spans="1:24">
      <c r="A1770">
        <f>HYPERLINK("https://www.philgeps.gov.ph/GEPSNONPILOT/Tender/SplashBidNoticeAbstractUI.aspx?menuIndex=3&amp;refID=7199552&amp;Result=3","7199552")</f>
        <v>0</v>
      </c>
      <c r="B1770" t="s">
        <v>829</v>
      </c>
      <c r="C1770" t="s">
        <v>5574</v>
      </c>
      <c r="D1770" t="s">
        <v>18995</v>
      </c>
      <c r="E1770" t="s">
        <v>20716</v>
      </c>
      <c r="F1770" t="s">
        <v>32606</v>
      </c>
      <c r="G1770" t="s">
        <v>32613</v>
      </c>
      <c r="H1770" t="s">
        <v>32623</v>
      </c>
      <c r="I1770" t="s">
        <v>17648</v>
      </c>
      <c r="J1770" t="s">
        <v>34028</v>
      </c>
      <c r="K1770" t="s">
        <v>42636</v>
      </c>
      <c r="M1770" t="s">
        <v>43760</v>
      </c>
      <c r="N1770" t="s">
        <v>47304</v>
      </c>
      <c r="O1770" t="s">
        <v>47305</v>
      </c>
      <c r="P1770">
        <v>0</v>
      </c>
      <c r="Q1770">
        <v>0</v>
      </c>
      <c r="R1770" t="s">
        <v>47307</v>
      </c>
      <c r="S1770" t="s">
        <v>47416</v>
      </c>
      <c r="T1770" t="s">
        <v>49101</v>
      </c>
      <c r="U1770" t="s">
        <v>51124</v>
      </c>
      <c r="W1770" t="s">
        <v>43760</v>
      </c>
      <c r="X1770" t="s">
        <v>47306</v>
      </c>
    </row>
    <row r="1771" spans="1:24">
      <c r="A1771">
        <f>HYPERLINK("https://www.philgeps.gov.ph/GEPSNONPILOT/Tender/SplashBidNoticeAbstractUI.aspx?menuIndex=3&amp;refID=7199538&amp;Result=3","7199538")</f>
        <v>0</v>
      </c>
      <c r="B1771" t="s">
        <v>828</v>
      </c>
      <c r="C1771" t="s">
        <v>5575</v>
      </c>
      <c r="D1771" t="s">
        <v>19030</v>
      </c>
      <c r="E1771" t="s">
        <v>20717</v>
      </c>
      <c r="F1771" t="s">
        <v>32606</v>
      </c>
      <c r="G1771" t="s">
        <v>32615</v>
      </c>
      <c r="H1771" t="s">
        <v>14201</v>
      </c>
      <c r="I1771" t="s">
        <v>6993</v>
      </c>
      <c r="J1771" t="s">
        <v>34075</v>
      </c>
      <c r="K1771" t="s">
        <v>42630</v>
      </c>
      <c r="M1771" t="s">
        <v>43759</v>
      </c>
      <c r="N1771" t="s">
        <v>47304</v>
      </c>
      <c r="O1771" t="s">
        <v>47305</v>
      </c>
      <c r="P1771">
        <v>0</v>
      </c>
      <c r="Q1771">
        <v>0</v>
      </c>
      <c r="R1771" t="s">
        <v>47307</v>
      </c>
      <c r="S1771" t="s">
        <v>47416</v>
      </c>
      <c r="T1771" t="s">
        <v>49023</v>
      </c>
      <c r="U1771" t="s">
        <v>51125</v>
      </c>
      <c r="W1771" t="s">
        <v>43759</v>
      </c>
      <c r="X1771" t="s">
        <v>47306</v>
      </c>
    </row>
    <row r="1772" spans="1:24">
      <c r="A1772">
        <f>HYPERLINK("https://www.philgeps.gov.ph/GEPSNONPILOT/Tender/SplashBidNoticeAbstractUI.aspx?menuIndex=3&amp;refID=7199559&amp;Result=3","7199559")</f>
        <v>0</v>
      </c>
      <c r="B1772" t="s">
        <v>841</v>
      </c>
      <c r="C1772" t="s">
        <v>5576</v>
      </c>
      <c r="D1772" t="s">
        <v>19002</v>
      </c>
      <c r="E1772" t="s">
        <v>20718</v>
      </c>
      <c r="F1772" t="s">
        <v>32606</v>
      </c>
      <c r="G1772" t="s">
        <v>32614</v>
      </c>
      <c r="H1772" t="s">
        <v>14201</v>
      </c>
      <c r="I1772" t="s">
        <v>32694</v>
      </c>
      <c r="J1772" t="s">
        <v>34076</v>
      </c>
      <c r="K1772" t="s">
        <v>42624</v>
      </c>
      <c r="M1772" t="s">
        <v>43773</v>
      </c>
      <c r="N1772" t="s">
        <v>47304</v>
      </c>
      <c r="O1772" t="s">
        <v>47305</v>
      </c>
      <c r="P1772">
        <v>0</v>
      </c>
      <c r="Q1772">
        <v>0</v>
      </c>
      <c r="R1772" t="s">
        <v>47307</v>
      </c>
      <c r="S1772" t="s">
        <v>47416</v>
      </c>
      <c r="T1772" t="s">
        <v>48975</v>
      </c>
      <c r="U1772" t="s">
        <v>51126</v>
      </c>
      <c r="W1772" t="s">
        <v>43773</v>
      </c>
      <c r="X1772" t="s">
        <v>47306</v>
      </c>
    </row>
    <row r="1773" spans="1:24">
      <c r="A1773">
        <f>HYPERLINK("https://www.philgeps.gov.ph/GEPSNONPILOT/Tender/SplashBidNoticeAbstractUI.aspx?menuIndex=3&amp;refID=7199549&amp;Result=3","7199549")</f>
        <v>0</v>
      </c>
      <c r="B1773" t="s">
        <v>842</v>
      </c>
      <c r="C1773" t="s">
        <v>5577</v>
      </c>
      <c r="D1773" t="s">
        <v>19056</v>
      </c>
      <c r="E1773" t="s">
        <v>20719</v>
      </c>
      <c r="F1773" t="s">
        <v>32606</v>
      </c>
      <c r="G1773" t="s">
        <v>32613</v>
      </c>
      <c r="H1773" t="s">
        <v>14201</v>
      </c>
      <c r="I1773" t="s">
        <v>4678</v>
      </c>
      <c r="J1773" t="s">
        <v>33590</v>
      </c>
      <c r="K1773" t="s">
        <v>42636</v>
      </c>
      <c r="M1773" t="s">
        <v>43774</v>
      </c>
      <c r="N1773" t="s">
        <v>47304</v>
      </c>
      <c r="O1773" t="s">
        <v>47305</v>
      </c>
      <c r="P1773">
        <v>0</v>
      </c>
      <c r="Q1773">
        <v>0</v>
      </c>
      <c r="R1773" t="s">
        <v>47307</v>
      </c>
      <c r="S1773" t="s">
        <v>47416</v>
      </c>
      <c r="T1773" t="s">
        <v>49017</v>
      </c>
      <c r="U1773" t="s">
        <v>51127</v>
      </c>
      <c r="W1773" t="s">
        <v>43774</v>
      </c>
      <c r="X1773" t="s">
        <v>47306</v>
      </c>
    </row>
    <row r="1774" spans="1:24">
      <c r="A1774">
        <f>HYPERLINK("https://www.philgeps.gov.ph/GEPSNONPILOT/Tender/SplashBidNoticeAbstractUI.aspx?menuIndex=3&amp;refID=7199548&amp;Result=3","7199548")</f>
        <v>0</v>
      </c>
      <c r="B1774" t="s">
        <v>247</v>
      </c>
      <c r="C1774" t="s">
        <v>5578</v>
      </c>
      <c r="D1774" t="s">
        <v>18993</v>
      </c>
      <c r="E1774" t="s">
        <v>20720</v>
      </c>
      <c r="F1774" t="s">
        <v>32606</v>
      </c>
      <c r="G1774" t="s">
        <v>32614</v>
      </c>
      <c r="H1774" t="s">
        <v>14201</v>
      </c>
      <c r="I1774" t="s">
        <v>4120</v>
      </c>
      <c r="J1774" t="s">
        <v>32967</v>
      </c>
      <c r="K1774" t="s">
        <v>42631</v>
      </c>
      <c r="M1774" t="s">
        <v>43148</v>
      </c>
      <c r="N1774" t="s">
        <v>47304</v>
      </c>
      <c r="O1774" t="s">
        <v>47305</v>
      </c>
      <c r="P1774">
        <v>0</v>
      </c>
      <c r="Q1774">
        <v>0</v>
      </c>
      <c r="R1774" t="s">
        <v>47307</v>
      </c>
      <c r="S1774" t="s">
        <v>47416</v>
      </c>
      <c r="T1774" t="s">
        <v>49108</v>
      </c>
      <c r="U1774" t="s">
        <v>51128</v>
      </c>
      <c r="W1774" t="s">
        <v>43148</v>
      </c>
      <c r="X1774" t="s">
        <v>47306</v>
      </c>
    </row>
    <row r="1775" spans="1:24">
      <c r="A1775">
        <f>HYPERLINK("https://www.philgeps.gov.ph/GEPSNONPILOT/Tender/SplashBidNoticeAbstractUI.aspx?menuIndex=3&amp;refID=7199555&amp;Result=3","7199555")</f>
        <v>0</v>
      </c>
      <c r="B1775" t="s">
        <v>843</v>
      </c>
      <c r="C1775" t="s">
        <v>5579</v>
      </c>
      <c r="D1775" t="s">
        <v>19012</v>
      </c>
      <c r="E1775" t="s">
        <v>20721</v>
      </c>
      <c r="F1775" t="s">
        <v>32606</v>
      </c>
      <c r="G1775" t="s">
        <v>32614</v>
      </c>
      <c r="H1775" t="s">
        <v>14201</v>
      </c>
      <c r="I1775" t="s">
        <v>7064</v>
      </c>
      <c r="J1775" t="s">
        <v>32885</v>
      </c>
      <c r="K1775" t="s">
        <v>42623</v>
      </c>
      <c r="M1775" t="s">
        <v>43775</v>
      </c>
      <c r="N1775" t="s">
        <v>47304</v>
      </c>
      <c r="O1775" t="s">
        <v>47305</v>
      </c>
      <c r="P1775">
        <v>0</v>
      </c>
      <c r="Q1775">
        <v>0</v>
      </c>
      <c r="R1775" t="s">
        <v>47307</v>
      </c>
      <c r="S1775" t="s">
        <v>47416</v>
      </c>
      <c r="T1775" t="s">
        <v>48996</v>
      </c>
      <c r="U1775" t="s">
        <v>51129</v>
      </c>
      <c r="W1775" t="s">
        <v>43775</v>
      </c>
      <c r="X1775" t="s">
        <v>47306</v>
      </c>
    </row>
    <row r="1776" spans="1:24">
      <c r="A1776">
        <f>HYPERLINK("https://www.philgeps.gov.ph/GEPSNONPILOT/Tender/SplashBidNoticeAbstractUI.aspx?menuIndex=3&amp;refID=7199547&amp;Result=3","7199547")</f>
        <v>0</v>
      </c>
      <c r="B1776" t="s">
        <v>844</v>
      </c>
      <c r="C1776" t="s">
        <v>5580</v>
      </c>
      <c r="D1776" t="s">
        <v>19056</v>
      </c>
      <c r="E1776" t="s">
        <v>20722</v>
      </c>
      <c r="F1776" t="s">
        <v>32606</v>
      </c>
      <c r="G1776" t="s">
        <v>32614</v>
      </c>
      <c r="H1776" t="s">
        <v>14201</v>
      </c>
      <c r="I1776" t="s">
        <v>5233</v>
      </c>
      <c r="J1776" t="s">
        <v>34077</v>
      </c>
      <c r="K1776" t="s">
        <v>42624</v>
      </c>
      <c r="L1776" t="s">
        <v>844</v>
      </c>
      <c r="M1776" t="s">
        <v>43776</v>
      </c>
      <c r="N1776" t="s">
        <v>47304</v>
      </c>
      <c r="O1776" t="s">
        <v>47305</v>
      </c>
      <c r="P1776">
        <v>0</v>
      </c>
      <c r="Q1776">
        <v>0</v>
      </c>
      <c r="R1776" t="s">
        <v>47307</v>
      </c>
      <c r="S1776" t="s">
        <v>47416</v>
      </c>
      <c r="T1776" t="s">
        <v>49023</v>
      </c>
      <c r="U1776" t="s">
        <v>51130</v>
      </c>
      <c r="W1776" t="s">
        <v>43776</v>
      </c>
      <c r="X1776" t="s">
        <v>47306</v>
      </c>
    </row>
    <row r="1777" spans="1:24">
      <c r="A1777">
        <f>HYPERLINK("https://www.philgeps.gov.ph/GEPSNONPILOT/Tender/SplashBidNoticeAbstractUI.aspx?menuIndex=3&amp;refID=7199551&amp;Result=3","7199551")</f>
        <v>0</v>
      </c>
      <c r="B1777" t="s">
        <v>238</v>
      </c>
      <c r="C1777" t="s">
        <v>5581</v>
      </c>
      <c r="D1777" t="s">
        <v>18993</v>
      </c>
      <c r="E1777" t="s">
        <v>20723</v>
      </c>
      <c r="F1777" t="s">
        <v>32606</v>
      </c>
      <c r="G1777" t="s">
        <v>32614</v>
      </c>
      <c r="H1777" t="s">
        <v>14201</v>
      </c>
      <c r="I1777" t="s">
        <v>32652</v>
      </c>
      <c r="J1777" t="s">
        <v>34078</v>
      </c>
      <c r="K1777" t="s">
        <v>42622</v>
      </c>
      <c r="M1777" t="s">
        <v>43357</v>
      </c>
      <c r="N1777" t="s">
        <v>47304</v>
      </c>
      <c r="O1777" t="s">
        <v>47305</v>
      </c>
      <c r="P1777">
        <v>0</v>
      </c>
      <c r="Q1777">
        <v>0</v>
      </c>
      <c r="R1777" t="s">
        <v>47307</v>
      </c>
      <c r="S1777" t="s">
        <v>47416</v>
      </c>
      <c r="T1777" t="s">
        <v>49137</v>
      </c>
      <c r="U1777" t="s">
        <v>51131</v>
      </c>
      <c r="V1777" t="s">
        <v>62749</v>
      </c>
      <c r="W1777" t="s">
        <v>43357</v>
      </c>
      <c r="X1777" t="s">
        <v>47306</v>
      </c>
    </row>
    <row r="1778" spans="1:24">
      <c r="A1778">
        <f>HYPERLINK("https://www.philgeps.gov.ph/GEPSNONPILOT/Tender/SplashBidNoticeAbstractUI.aspx?menuIndex=3&amp;refID=7199445&amp;Result=3","7199445")</f>
        <v>0</v>
      </c>
      <c r="B1778" t="s">
        <v>810</v>
      </c>
      <c r="C1778" t="s">
        <v>5582</v>
      </c>
      <c r="D1778" t="s">
        <v>19013</v>
      </c>
      <c r="E1778" t="s">
        <v>20724</v>
      </c>
      <c r="F1778" t="s">
        <v>32606</v>
      </c>
      <c r="G1778" t="s">
        <v>32613</v>
      </c>
      <c r="H1778" t="s">
        <v>14201</v>
      </c>
      <c r="I1778" t="s">
        <v>32635</v>
      </c>
      <c r="J1778" t="s">
        <v>33617</v>
      </c>
      <c r="K1778" t="s">
        <v>42624</v>
      </c>
      <c r="M1778" t="s">
        <v>43741</v>
      </c>
      <c r="N1778" t="s">
        <v>47304</v>
      </c>
      <c r="O1778" t="s">
        <v>47305</v>
      </c>
      <c r="P1778">
        <v>0</v>
      </c>
      <c r="Q1778">
        <v>0</v>
      </c>
      <c r="R1778" t="s">
        <v>47307</v>
      </c>
      <c r="S1778" t="s">
        <v>47416</v>
      </c>
      <c r="T1778" t="s">
        <v>48983</v>
      </c>
      <c r="U1778" t="s">
        <v>51044</v>
      </c>
      <c r="W1778" t="s">
        <v>43741</v>
      </c>
      <c r="X1778" t="s">
        <v>47306</v>
      </c>
    </row>
    <row r="1779" spans="1:24">
      <c r="A1779">
        <f>HYPERLINK("https://www.philgeps.gov.ph/GEPSNONPILOT/Tender/SplashBidNoticeAbstractUI.aspx?menuIndex=3&amp;refID=7199578&amp;Result=3","7199578")</f>
        <v>0</v>
      </c>
      <c r="B1779" t="s">
        <v>238</v>
      </c>
      <c r="C1779" t="s">
        <v>5583</v>
      </c>
      <c r="D1779" t="s">
        <v>18993</v>
      </c>
      <c r="E1779" t="s">
        <v>20725</v>
      </c>
      <c r="F1779" t="s">
        <v>32606</v>
      </c>
      <c r="G1779" t="s">
        <v>32619</v>
      </c>
      <c r="H1779" t="s">
        <v>14201</v>
      </c>
      <c r="I1779" t="s">
        <v>4114</v>
      </c>
      <c r="J1779" t="s">
        <v>34079</v>
      </c>
      <c r="K1779" t="s">
        <v>42622</v>
      </c>
      <c r="M1779" t="s">
        <v>43194</v>
      </c>
      <c r="N1779" t="s">
        <v>47304</v>
      </c>
      <c r="O1779" t="s">
        <v>47305</v>
      </c>
      <c r="P1779">
        <v>0</v>
      </c>
      <c r="Q1779">
        <v>0</v>
      </c>
      <c r="R1779" t="s">
        <v>47307</v>
      </c>
      <c r="S1779" t="s">
        <v>47416</v>
      </c>
      <c r="T1779" t="s">
        <v>49123</v>
      </c>
      <c r="U1779" t="s">
        <v>50120</v>
      </c>
      <c r="V1779" t="s">
        <v>62716</v>
      </c>
      <c r="W1779" t="s">
        <v>43194</v>
      </c>
      <c r="X1779" t="s">
        <v>47306</v>
      </c>
    </row>
    <row r="1780" spans="1:24">
      <c r="A1780">
        <f>HYPERLINK("https://www.philgeps.gov.ph/GEPSNONPILOT/Tender/SplashBidNoticeAbstractUI.aspx?menuIndex=3&amp;refID=7199550&amp;Result=3","7199550")</f>
        <v>0</v>
      </c>
      <c r="B1780" t="s">
        <v>771</v>
      </c>
      <c r="C1780" t="s">
        <v>5584</v>
      </c>
      <c r="D1780" t="s">
        <v>19058</v>
      </c>
      <c r="E1780" t="s">
        <v>20726</v>
      </c>
      <c r="F1780" t="s">
        <v>32606</v>
      </c>
      <c r="G1780" t="s">
        <v>32614</v>
      </c>
      <c r="H1780" t="s">
        <v>14201</v>
      </c>
      <c r="I1780" t="s">
        <v>6993</v>
      </c>
      <c r="J1780" t="s">
        <v>34080</v>
      </c>
      <c r="K1780" t="s">
        <v>42631</v>
      </c>
      <c r="M1780" t="s">
        <v>43699</v>
      </c>
      <c r="N1780" t="s">
        <v>47304</v>
      </c>
      <c r="O1780" t="s">
        <v>47305</v>
      </c>
      <c r="P1780">
        <v>0</v>
      </c>
      <c r="Q1780">
        <v>0</v>
      </c>
      <c r="R1780" t="s">
        <v>47307</v>
      </c>
      <c r="S1780" t="s">
        <v>47416</v>
      </c>
      <c r="T1780" t="s">
        <v>49175</v>
      </c>
      <c r="U1780" t="s">
        <v>50948</v>
      </c>
      <c r="W1780" t="s">
        <v>43699</v>
      </c>
      <c r="X1780" t="s">
        <v>47306</v>
      </c>
    </row>
    <row r="1781" spans="1:24">
      <c r="A1781">
        <f>HYPERLINK("https://www.philgeps.gov.ph/GEPSNONPILOT/Tender/SplashBidNoticeAbstractUI.aspx?menuIndex=3&amp;refID=7199577&amp;Result=3","7199577")</f>
        <v>0</v>
      </c>
      <c r="B1781" t="s">
        <v>845</v>
      </c>
      <c r="C1781" t="s">
        <v>5585</v>
      </c>
      <c r="D1781" t="s">
        <v>19030</v>
      </c>
      <c r="E1781" t="s">
        <v>20727</v>
      </c>
      <c r="F1781" t="s">
        <v>32606</v>
      </c>
      <c r="G1781" t="s">
        <v>32614</v>
      </c>
      <c r="H1781" t="s">
        <v>14201</v>
      </c>
      <c r="I1781" t="s">
        <v>32633</v>
      </c>
      <c r="J1781" t="s">
        <v>34081</v>
      </c>
      <c r="K1781" t="s">
        <v>42630</v>
      </c>
      <c r="M1781" t="s">
        <v>43777</v>
      </c>
      <c r="N1781" t="s">
        <v>47304</v>
      </c>
      <c r="O1781" t="s">
        <v>47305</v>
      </c>
      <c r="P1781">
        <v>0</v>
      </c>
      <c r="Q1781">
        <v>0</v>
      </c>
      <c r="R1781" t="s">
        <v>47307</v>
      </c>
      <c r="S1781" t="s">
        <v>47416</v>
      </c>
      <c r="T1781" t="s">
        <v>49064</v>
      </c>
      <c r="U1781" t="s">
        <v>51132</v>
      </c>
      <c r="W1781" t="s">
        <v>43777</v>
      </c>
      <c r="X1781" t="s">
        <v>47306</v>
      </c>
    </row>
    <row r="1782" spans="1:24">
      <c r="A1782">
        <f>HYPERLINK("https://www.philgeps.gov.ph/GEPSNONPILOT/Tender/SplashBidNoticeAbstractUI.aspx?menuIndex=3&amp;refID=7199556&amp;Result=3","7199556")</f>
        <v>0</v>
      </c>
      <c r="B1782" t="s">
        <v>433</v>
      </c>
      <c r="C1782" t="s">
        <v>5586</v>
      </c>
      <c r="D1782" t="s">
        <v>19012</v>
      </c>
      <c r="E1782" t="s">
        <v>20728</v>
      </c>
      <c r="F1782" t="s">
        <v>32606</v>
      </c>
      <c r="G1782" t="s">
        <v>32614</v>
      </c>
      <c r="H1782" t="s">
        <v>14201</v>
      </c>
      <c r="I1782" t="s">
        <v>6298</v>
      </c>
      <c r="J1782" t="s">
        <v>34082</v>
      </c>
      <c r="K1782" t="s">
        <v>42631</v>
      </c>
      <c r="M1782" t="s">
        <v>43339</v>
      </c>
      <c r="N1782" t="s">
        <v>47304</v>
      </c>
      <c r="O1782" t="s">
        <v>47305</v>
      </c>
      <c r="P1782">
        <v>0</v>
      </c>
      <c r="Q1782">
        <v>0</v>
      </c>
      <c r="R1782" t="s">
        <v>47307</v>
      </c>
      <c r="S1782" t="s">
        <v>47416</v>
      </c>
      <c r="T1782" t="s">
        <v>49017</v>
      </c>
      <c r="U1782" t="s">
        <v>51133</v>
      </c>
      <c r="W1782" t="s">
        <v>43339</v>
      </c>
      <c r="X1782" t="s">
        <v>47306</v>
      </c>
    </row>
    <row r="1783" spans="1:24">
      <c r="A1783">
        <f>HYPERLINK("https://www.philgeps.gov.ph/GEPSNONPILOT/Tender/SplashBidNoticeAbstractUI.aspx?menuIndex=3&amp;refID=7199573&amp;Result=3","7199573")</f>
        <v>0</v>
      </c>
      <c r="B1783" t="s">
        <v>728</v>
      </c>
      <c r="C1783" t="s">
        <v>5587</v>
      </c>
      <c r="D1783" t="s">
        <v>19025</v>
      </c>
      <c r="E1783" t="s">
        <v>20729</v>
      </c>
      <c r="F1783" t="s">
        <v>32606</v>
      </c>
      <c r="G1783" t="s">
        <v>32614</v>
      </c>
      <c r="H1783" t="s">
        <v>14201</v>
      </c>
      <c r="I1783" t="s">
        <v>6931</v>
      </c>
      <c r="J1783" t="s">
        <v>33844</v>
      </c>
      <c r="K1783" t="s">
        <v>42631</v>
      </c>
      <c r="M1783" t="s">
        <v>43650</v>
      </c>
      <c r="N1783" t="s">
        <v>47304</v>
      </c>
      <c r="O1783" t="s">
        <v>47305</v>
      </c>
      <c r="P1783">
        <v>0</v>
      </c>
      <c r="Q1783">
        <v>0</v>
      </c>
      <c r="R1783" t="s">
        <v>47307</v>
      </c>
      <c r="S1783" t="s">
        <v>47416</v>
      </c>
      <c r="T1783" t="s">
        <v>48986</v>
      </c>
      <c r="U1783" t="s">
        <v>50853</v>
      </c>
      <c r="W1783" t="s">
        <v>43650</v>
      </c>
      <c r="X1783" t="s">
        <v>47306</v>
      </c>
    </row>
    <row r="1784" spans="1:24">
      <c r="A1784">
        <f>HYPERLINK("https://www.philgeps.gov.ph/GEPSNONPILOT/Tender/SplashBidNoticeAbstractUI.aspx?menuIndex=3&amp;refID=7199546&amp;Result=3","7199546")</f>
        <v>0</v>
      </c>
      <c r="B1784" t="s">
        <v>536</v>
      </c>
      <c r="C1784" t="s">
        <v>5588</v>
      </c>
      <c r="D1784" t="s">
        <v>19037</v>
      </c>
      <c r="E1784" t="s">
        <v>20730</v>
      </c>
      <c r="F1784" t="s">
        <v>32606</v>
      </c>
      <c r="G1784" t="s">
        <v>32614</v>
      </c>
      <c r="H1784" t="s">
        <v>14201</v>
      </c>
      <c r="I1784" t="s">
        <v>4369</v>
      </c>
      <c r="J1784" t="s">
        <v>34083</v>
      </c>
      <c r="K1784" t="s">
        <v>42623</v>
      </c>
      <c r="M1784" t="s">
        <v>43449</v>
      </c>
      <c r="N1784" t="s">
        <v>47304</v>
      </c>
      <c r="O1784" t="s">
        <v>47305</v>
      </c>
      <c r="P1784">
        <v>0</v>
      </c>
      <c r="Q1784">
        <v>0</v>
      </c>
      <c r="R1784" t="s">
        <v>47307</v>
      </c>
      <c r="S1784" t="s">
        <v>47416</v>
      </c>
      <c r="T1784" t="s">
        <v>48975</v>
      </c>
      <c r="U1784" t="s">
        <v>50489</v>
      </c>
      <c r="W1784" t="s">
        <v>64439</v>
      </c>
      <c r="X1784" t="s">
        <v>47306</v>
      </c>
    </row>
    <row r="1785" spans="1:24">
      <c r="A1785">
        <f>HYPERLINK("https://www.philgeps.gov.ph/GEPSNONPILOT/Tender/SplashBidNoticeAbstractUI.aspx?menuIndex=3&amp;refID=7199572&amp;Result=3","7199572")</f>
        <v>0</v>
      </c>
      <c r="B1785" t="s">
        <v>804</v>
      </c>
      <c r="C1785" t="s">
        <v>5589</v>
      </c>
      <c r="D1785" t="s">
        <v>18997</v>
      </c>
      <c r="E1785" t="s">
        <v>20533</v>
      </c>
      <c r="F1785" t="s">
        <v>32606</v>
      </c>
      <c r="G1785" t="s">
        <v>32614</v>
      </c>
      <c r="H1785" t="s">
        <v>14201</v>
      </c>
      <c r="I1785" t="s">
        <v>32640</v>
      </c>
      <c r="J1785" t="s">
        <v>34084</v>
      </c>
      <c r="K1785" t="s">
        <v>42632</v>
      </c>
      <c r="M1785" t="s">
        <v>43735</v>
      </c>
      <c r="N1785" t="s">
        <v>47304</v>
      </c>
      <c r="O1785" t="s">
        <v>47305</v>
      </c>
      <c r="P1785">
        <v>0</v>
      </c>
      <c r="Q1785">
        <v>0</v>
      </c>
      <c r="R1785" t="s">
        <v>47307</v>
      </c>
      <c r="S1785" t="s">
        <v>47416</v>
      </c>
      <c r="T1785" t="s">
        <v>49116</v>
      </c>
      <c r="U1785" t="s">
        <v>51134</v>
      </c>
      <c r="W1785" t="s">
        <v>43735</v>
      </c>
      <c r="X1785" t="s">
        <v>47306</v>
      </c>
    </row>
    <row r="1786" spans="1:24">
      <c r="A1786">
        <f>HYPERLINK("https://www.philgeps.gov.ph/GEPSNONPILOT/Tender/SplashBidNoticeAbstractUI.aspx?menuIndex=3&amp;refID=7199571&amp;Result=3","7199571")</f>
        <v>0</v>
      </c>
      <c r="B1786" t="s">
        <v>819</v>
      </c>
      <c r="C1786" t="s">
        <v>5590</v>
      </c>
      <c r="D1786" t="s">
        <v>19028</v>
      </c>
      <c r="E1786" t="s">
        <v>20731</v>
      </c>
      <c r="F1786" t="s">
        <v>32606</v>
      </c>
      <c r="G1786" t="s">
        <v>32619</v>
      </c>
      <c r="H1786" t="s">
        <v>14201</v>
      </c>
      <c r="I1786" t="s">
        <v>32658</v>
      </c>
      <c r="J1786" t="s">
        <v>33025</v>
      </c>
      <c r="K1786" t="s">
        <v>42622</v>
      </c>
      <c r="M1786" t="s">
        <v>43750</v>
      </c>
      <c r="N1786" t="s">
        <v>47304</v>
      </c>
      <c r="O1786" t="s">
        <v>47305</v>
      </c>
      <c r="P1786">
        <v>0</v>
      </c>
      <c r="Q1786">
        <v>0</v>
      </c>
      <c r="R1786" t="s">
        <v>47307</v>
      </c>
      <c r="S1786" t="s">
        <v>47416</v>
      </c>
      <c r="T1786" t="s">
        <v>48980</v>
      </c>
      <c r="U1786" t="s">
        <v>51135</v>
      </c>
      <c r="W1786" t="s">
        <v>43750</v>
      </c>
      <c r="X1786" t="s">
        <v>47306</v>
      </c>
    </row>
    <row r="1787" spans="1:24">
      <c r="A1787">
        <f>HYPERLINK("https://www.philgeps.gov.ph/GEPSNONPILOT/Tender/SplashBidNoticeAbstractUI.aspx?menuIndex=3&amp;refID=7199585&amp;Result=3","7199585")</f>
        <v>0</v>
      </c>
      <c r="B1787" t="s">
        <v>846</v>
      </c>
      <c r="C1787" t="s">
        <v>5591</v>
      </c>
      <c r="D1787" t="s">
        <v>18993</v>
      </c>
      <c r="E1787" t="s">
        <v>20732</v>
      </c>
      <c r="F1787" t="s">
        <v>32606</v>
      </c>
      <c r="G1787" t="s">
        <v>32614</v>
      </c>
      <c r="H1787" t="s">
        <v>14201</v>
      </c>
      <c r="I1787" t="s">
        <v>4114</v>
      </c>
      <c r="J1787" t="s">
        <v>34085</v>
      </c>
      <c r="K1787" t="s">
        <v>42629</v>
      </c>
      <c r="M1787" t="s">
        <v>43778</v>
      </c>
      <c r="N1787" t="s">
        <v>47304</v>
      </c>
      <c r="O1787" t="s">
        <v>47305</v>
      </c>
      <c r="P1787">
        <v>0</v>
      </c>
      <c r="Q1787">
        <v>0</v>
      </c>
      <c r="R1787" t="s">
        <v>47307</v>
      </c>
      <c r="S1787" t="s">
        <v>47416</v>
      </c>
      <c r="T1787" t="s">
        <v>48975</v>
      </c>
      <c r="U1787" t="s">
        <v>51136</v>
      </c>
      <c r="W1787" t="s">
        <v>43778</v>
      </c>
      <c r="X1787" t="s">
        <v>47306</v>
      </c>
    </row>
    <row r="1788" spans="1:24">
      <c r="A1788">
        <f>HYPERLINK("https://www.philgeps.gov.ph/GEPSNONPILOT/Tender/SplashBidNoticeAbstractUI.aspx?menuIndex=3&amp;refID=7199584&amp;Result=3","7199584")</f>
        <v>0</v>
      </c>
      <c r="B1788" t="s">
        <v>829</v>
      </c>
      <c r="C1788" t="s">
        <v>5592</v>
      </c>
      <c r="D1788" t="s">
        <v>18995</v>
      </c>
      <c r="E1788" t="s">
        <v>20733</v>
      </c>
      <c r="F1788" t="s">
        <v>32606</v>
      </c>
      <c r="G1788" t="s">
        <v>32613</v>
      </c>
      <c r="H1788" t="s">
        <v>32623</v>
      </c>
      <c r="I1788" t="s">
        <v>17648</v>
      </c>
      <c r="J1788" t="s">
        <v>34086</v>
      </c>
      <c r="K1788" t="s">
        <v>42682</v>
      </c>
      <c r="M1788" t="s">
        <v>43760</v>
      </c>
      <c r="N1788" t="s">
        <v>47304</v>
      </c>
      <c r="O1788" t="s">
        <v>47305</v>
      </c>
      <c r="P1788">
        <v>0</v>
      </c>
      <c r="Q1788">
        <v>0</v>
      </c>
      <c r="R1788" t="s">
        <v>47307</v>
      </c>
      <c r="S1788" t="s">
        <v>47416</v>
      </c>
      <c r="T1788" t="s">
        <v>49124</v>
      </c>
      <c r="U1788" t="s">
        <v>51137</v>
      </c>
      <c r="W1788" t="s">
        <v>43760</v>
      </c>
      <c r="X1788" t="s">
        <v>47306</v>
      </c>
    </row>
    <row r="1789" spans="1:24">
      <c r="A1789">
        <f>HYPERLINK("https://www.philgeps.gov.ph/GEPSNONPILOT/Tender/SplashBidNoticeAbstractUI.aspx?menuIndex=3&amp;refID=7199583&amp;Result=3","7199583")</f>
        <v>0</v>
      </c>
      <c r="B1789" t="s">
        <v>755</v>
      </c>
      <c r="C1789" t="s">
        <v>5593</v>
      </c>
      <c r="D1789" t="s">
        <v>18988</v>
      </c>
      <c r="E1789" t="s">
        <v>20734</v>
      </c>
      <c r="F1789" t="s">
        <v>32606</v>
      </c>
      <c r="G1789" t="s">
        <v>32613</v>
      </c>
      <c r="H1789" t="s">
        <v>14201</v>
      </c>
      <c r="I1789" t="s">
        <v>5233</v>
      </c>
      <c r="J1789" t="s">
        <v>34087</v>
      </c>
      <c r="K1789" t="s">
        <v>42631</v>
      </c>
      <c r="M1789" t="s">
        <v>43679</v>
      </c>
      <c r="N1789" t="s">
        <v>47304</v>
      </c>
      <c r="O1789" t="s">
        <v>47305</v>
      </c>
      <c r="P1789">
        <v>0</v>
      </c>
      <c r="Q1789">
        <v>0</v>
      </c>
      <c r="R1789" t="s">
        <v>47307</v>
      </c>
      <c r="S1789" t="s">
        <v>47416</v>
      </c>
      <c r="T1789" t="s">
        <v>49017</v>
      </c>
      <c r="U1789" t="s">
        <v>51138</v>
      </c>
      <c r="W1789" t="s">
        <v>43679</v>
      </c>
      <c r="X1789" t="s">
        <v>47306</v>
      </c>
    </row>
    <row r="1790" spans="1:24">
      <c r="A1790">
        <f>HYPERLINK("https://www.philgeps.gov.ph/GEPSNONPILOT/Tender/SplashBidNoticeAbstractUI.aspx?menuIndex=3&amp;refID=7199575&amp;Result=3","7199575")</f>
        <v>0</v>
      </c>
      <c r="B1790" t="s">
        <v>830</v>
      </c>
      <c r="C1790" t="s">
        <v>5594</v>
      </c>
      <c r="D1790" t="s">
        <v>19039</v>
      </c>
      <c r="E1790" t="s">
        <v>20735</v>
      </c>
      <c r="F1790" t="s">
        <v>32606</v>
      </c>
      <c r="G1790" t="s">
        <v>32614</v>
      </c>
      <c r="H1790" t="s">
        <v>14201</v>
      </c>
      <c r="I1790" t="s">
        <v>32643</v>
      </c>
      <c r="J1790" t="s">
        <v>34088</v>
      </c>
      <c r="K1790" t="s">
        <v>42623</v>
      </c>
      <c r="M1790" t="s">
        <v>43761</v>
      </c>
      <c r="N1790" t="s">
        <v>47304</v>
      </c>
      <c r="O1790" t="s">
        <v>47305</v>
      </c>
      <c r="P1790">
        <v>0</v>
      </c>
      <c r="Q1790">
        <v>0</v>
      </c>
      <c r="R1790" t="s">
        <v>47307</v>
      </c>
      <c r="S1790" t="s">
        <v>47416</v>
      </c>
      <c r="T1790" t="s">
        <v>48986</v>
      </c>
      <c r="U1790" t="s">
        <v>51139</v>
      </c>
      <c r="W1790" t="s">
        <v>43761</v>
      </c>
      <c r="X1790" t="s">
        <v>47306</v>
      </c>
    </row>
    <row r="1791" spans="1:24">
      <c r="A1791">
        <f>HYPERLINK("https://www.philgeps.gov.ph/GEPSNONPILOT/Tender/SplashBidNoticeAbstractUI.aspx?menuIndex=3&amp;refID=7199564&amp;Result=3","7199564")</f>
        <v>0</v>
      </c>
      <c r="B1791" t="s">
        <v>183</v>
      </c>
      <c r="C1791" t="s">
        <v>5595</v>
      </c>
      <c r="D1791" t="s">
        <v>19002</v>
      </c>
      <c r="E1791" t="s">
        <v>20736</v>
      </c>
      <c r="F1791" t="s">
        <v>32606</v>
      </c>
      <c r="G1791" t="s">
        <v>32614</v>
      </c>
      <c r="H1791" t="s">
        <v>14201</v>
      </c>
      <c r="I1791" t="s">
        <v>4678</v>
      </c>
      <c r="J1791" t="s">
        <v>32813</v>
      </c>
      <c r="K1791" t="s">
        <v>42631</v>
      </c>
      <c r="M1791" t="s">
        <v>43084</v>
      </c>
      <c r="N1791" t="s">
        <v>47304</v>
      </c>
      <c r="O1791" t="s">
        <v>47305</v>
      </c>
      <c r="P1791">
        <v>0</v>
      </c>
      <c r="Q1791">
        <v>0</v>
      </c>
      <c r="R1791" t="s">
        <v>47307</v>
      </c>
      <c r="S1791" t="s">
        <v>47416</v>
      </c>
      <c r="T1791" t="s">
        <v>48996</v>
      </c>
      <c r="U1791" t="s">
        <v>51140</v>
      </c>
      <c r="W1791" t="s">
        <v>43084</v>
      </c>
      <c r="X1791" t="s">
        <v>47306</v>
      </c>
    </row>
    <row r="1792" spans="1:24">
      <c r="A1792">
        <f>HYPERLINK("https://www.philgeps.gov.ph/GEPSNONPILOT/Tender/SplashBidNoticeAbstractUI.aspx?menuIndex=3&amp;refID=7199580&amp;Result=3","7199580")</f>
        <v>0</v>
      </c>
      <c r="B1792" t="s">
        <v>771</v>
      </c>
      <c r="C1792" t="s">
        <v>5596</v>
      </c>
      <c r="D1792" t="s">
        <v>19058</v>
      </c>
      <c r="E1792" t="s">
        <v>20737</v>
      </c>
      <c r="F1792" t="s">
        <v>32606</v>
      </c>
      <c r="G1792" t="s">
        <v>32614</v>
      </c>
      <c r="H1792" t="s">
        <v>14201</v>
      </c>
      <c r="I1792" t="s">
        <v>6298</v>
      </c>
      <c r="J1792" t="s">
        <v>34089</v>
      </c>
      <c r="K1792" t="s">
        <v>42631</v>
      </c>
      <c r="M1792" t="s">
        <v>43699</v>
      </c>
      <c r="N1792" t="s">
        <v>47304</v>
      </c>
      <c r="O1792" t="s">
        <v>47305</v>
      </c>
      <c r="P1792">
        <v>0</v>
      </c>
      <c r="Q1792">
        <v>0</v>
      </c>
      <c r="R1792" t="s">
        <v>47307</v>
      </c>
      <c r="S1792" t="s">
        <v>47416</v>
      </c>
      <c r="T1792" t="s">
        <v>49175</v>
      </c>
      <c r="U1792" t="s">
        <v>50948</v>
      </c>
      <c r="W1792" t="s">
        <v>43699</v>
      </c>
      <c r="X1792" t="s">
        <v>47306</v>
      </c>
    </row>
    <row r="1793" spans="1:24">
      <c r="A1793">
        <f>HYPERLINK("https://www.philgeps.gov.ph/GEPSNONPILOT/Tender/SplashBidNoticeAbstractUI.aspx?menuIndex=3&amp;refID=7199570&amp;Result=3","7199570")</f>
        <v>0</v>
      </c>
      <c r="B1793" t="s">
        <v>847</v>
      </c>
      <c r="C1793" t="s">
        <v>5597</v>
      </c>
      <c r="D1793" t="s">
        <v>19009</v>
      </c>
      <c r="E1793" t="s">
        <v>20122</v>
      </c>
      <c r="F1793" t="s">
        <v>32606</v>
      </c>
      <c r="G1793" t="s">
        <v>32613</v>
      </c>
      <c r="H1793" t="s">
        <v>14201</v>
      </c>
      <c r="I1793" t="s">
        <v>6298</v>
      </c>
      <c r="J1793" t="s">
        <v>33897</v>
      </c>
      <c r="K1793" t="s">
        <v>42624</v>
      </c>
      <c r="M1793" t="s">
        <v>43779</v>
      </c>
      <c r="N1793" t="s">
        <v>47304</v>
      </c>
      <c r="O1793" t="s">
        <v>47305</v>
      </c>
      <c r="P1793">
        <v>0</v>
      </c>
      <c r="Q1793">
        <v>0</v>
      </c>
      <c r="R1793" t="s">
        <v>47307</v>
      </c>
      <c r="S1793" t="s">
        <v>47416</v>
      </c>
      <c r="T1793" t="s">
        <v>49144</v>
      </c>
      <c r="U1793" t="s">
        <v>51141</v>
      </c>
      <c r="W1793" t="s">
        <v>43779</v>
      </c>
      <c r="X1793" t="s">
        <v>47306</v>
      </c>
    </row>
    <row r="1794" spans="1:24">
      <c r="A1794">
        <f>HYPERLINK("https://www.philgeps.gov.ph/GEPSNONPILOT/Tender/SplashBidNoticeAbstractUI.aspx?menuIndex=3&amp;refID=7199569&amp;Result=3","7199569")</f>
        <v>0</v>
      </c>
      <c r="B1794" t="s">
        <v>247</v>
      </c>
      <c r="C1794" t="s">
        <v>5598</v>
      </c>
      <c r="D1794" t="s">
        <v>18993</v>
      </c>
      <c r="E1794" t="s">
        <v>20738</v>
      </c>
      <c r="F1794" t="s">
        <v>32606</v>
      </c>
      <c r="G1794" t="s">
        <v>32614</v>
      </c>
      <c r="H1794" t="s">
        <v>14201</v>
      </c>
      <c r="I1794" t="s">
        <v>32633</v>
      </c>
      <c r="J1794" t="s">
        <v>34090</v>
      </c>
      <c r="K1794" t="s">
        <v>42631</v>
      </c>
      <c r="M1794" t="s">
        <v>43148</v>
      </c>
      <c r="N1794" t="s">
        <v>47304</v>
      </c>
      <c r="O1794" t="s">
        <v>47305</v>
      </c>
      <c r="P1794">
        <v>0</v>
      </c>
      <c r="Q1794">
        <v>0</v>
      </c>
      <c r="R1794" t="s">
        <v>47307</v>
      </c>
      <c r="S1794" t="s">
        <v>47416</v>
      </c>
      <c r="T1794" t="s">
        <v>49108</v>
      </c>
      <c r="U1794" t="s">
        <v>51142</v>
      </c>
      <c r="W1794" t="s">
        <v>43148</v>
      </c>
      <c r="X1794" t="s">
        <v>47306</v>
      </c>
    </row>
    <row r="1795" spans="1:24">
      <c r="A1795">
        <f>HYPERLINK("https://www.philgeps.gov.ph/GEPSNONPILOT/Tender/SplashBidNoticeAbstractUI.aspx?menuIndex=3&amp;refID=7199567&amp;Result=3","7199567")</f>
        <v>0</v>
      </c>
      <c r="B1795" t="s">
        <v>617</v>
      </c>
      <c r="C1795" t="s">
        <v>5599</v>
      </c>
      <c r="D1795" t="s">
        <v>19058</v>
      </c>
      <c r="E1795" t="s">
        <v>20739</v>
      </c>
      <c r="F1795" t="s">
        <v>32606</v>
      </c>
      <c r="G1795" t="s">
        <v>32614</v>
      </c>
      <c r="H1795" t="s">
        <v>32623</v>
      </c>
      <c r="I1795" t="s">
        <v>17648</v>
      </c>
      <c r="J1795" t="s">
        <v>34091</v>
      </c>
      <c r="K1795" t="s">
        <v>42624</v>
      </c>
      <c r="M1795" t="s">
        <v>43535</v>
      </c>
      <c r="N1795" t="s">
        <v>47304</v>
      </c>
      <c r="O1795" t="s">
        <v>47305</v>
      </c>
      <c r="P1795">
        <v>0</v>
      </c>
      <c r="Q1795">
        <v>0</v>
      </c>
      <c r="R1795" t="s">
        <v>47307</v>
      </c>
      <c r="S1795" t="s">
        <v>47416</v>
      </c>
      <c r="T1795" t="s">
        <v>48988</v>
      </c>
      <c r="U1795" t="s">
        <v>51143</v>
      </c>
      <c r="V1795" t="s">
        <v>62789</v>
      </c>
      <c r="W1795" t="s">
        <v>43535</v>
      </c>
      <c r="X1795" t="s">
        <v>47306</v>
      </c>
    </row>
    <row r="1796" spans="1:24">
      <c r="A1796">
        <f>HYPERLINK("https://www.philgeps.gov.ph/GEPSNONPILOT/Tender/SplashBidNoticeAbstractUI.aspx?menuIndex=3&amp;refID=7199582&amp;Result=3","7199582")</f>
        <v>0</v>
      </c>
      <c r="B1796" t="s">
        <v>173</v>
      </c>
      <c r="C1796" t="s">
        <v>5600</v>
      </c>
      <c r="E1796" t="s">
        <v>20740</v>
      </c>
      <c r="F1796" t="s">
        <v>32606</v>
      </c>
      <c r="G1796" t="s">
        <v>32613</v>
      </c>
      <c r="H1796" t="s">
        <v>14201</v>
      </c>
      <c r="I1796" t="s">
        <v>4120</v>
      </c>
      <c r="J1796" t="s">
        <v>34092</v>
      </c>
      <c r="K1796" t="s">
        <v>42624</v>
      </c>
      <c r="M1796" t="s">
        <v>43074</v>
      </c>
      <c r="N1796" t="s">
        <v>47304</v>
      </c>
      <c r="O1796" t="s">
        <v>47305</v>
      </c>
      <c r="P1796">
        <v>0</v>
      </c>
      <c r="Q1796">
        <v>0</v>
      </c>
      <c r="R1796" t="s">
        <v>47307</v>
      </c>
      <c r="S1796" t="s">
        <v>47416</v>
      </c>
      <c r="T1796" t="s">
        <v>49116</v>
      </c>
      <c r="U1796" t="s">
        <v>50542</v>
      </c>
      <c r="W1796" t="s">
        <v>43074</v>
      </c>
      <c r="X1796" t="s">
        <v>47306</v>
      </c>
    </row>
    <row r="1797" spans="1:24">
      <c r="A1797">
        <f>HYPERLINK("https://www.philgeps.gov.ph/GEPSNONPILOT/Tender/SplashBidNoticeAbstractUI.aspx?menuIndex=3&amp;refID=7199576&amp;Result=3","7199576")</f>
        <v>0</v>
      </c>
      <c r="B1797" t="s">
        <v>682</v>
      </c>
      <c r="C1797" t="s">
        <v>5601</v>
      </c>
      <c r="D1797" t="s">
        <v>19039</v>
      </c>
      <c r="E1797" t="s">
        <v>20741</v>
      </c>
      <c r="F1797" t="s">
        <v>32606</v>
      </c>
      <c r="G1797" t="s">
        <v>32614</v>
      </c>
      <c r="H1797" t="s">
        <v>14201</v>
      </c>
      <c r="I1797" t="s">
        <v>6931</v>
      </c>
      <c r="J1797" t="s">
        <v>34093</v>
      </c>
      <c r="K1797" t="s">
        <v>42623</v>
      </c>
      <c r="M1797" t="s">
        <v>43602</v>
      </c>
      <c r="N1797" t="s">
        <v>47304</v>
      </c>
      <c r="O1797" t="s">
        <v>47305</v>
      </c>
      <c r="P1797">
        <v>0</v>
      </c>
      <c r="Q1797">
        <v>0</v>
      </c>
      <c r="R1797" t="s">
        <v>47307</v>
      </c>
      <c r="S1797" t="s">
        <v>47416</v>
      </c>
      <c r="T1797" t="s">
        <v>49023</v>
      </c>
      <c r="U1797" t="s">
        <v>50739</v>
      </c>
      <c r="W1797" t="s">
        <v>43602</v>
      </c>
      <c r="X1797" t="s">
        <v>47306</v>
      </c>
    </row>
    <row r="1798" spans="1:24">
      <c r="A1798">
        <f>HYPERLINK("https://www.philgeps.gov.ph/GEPSNONPILOT/Tender/SplashBidNoticeAbstractUI.aspx?menuIndex=3&amp;refID=7199586&amp;Result=3","7199586")</f>
        <v>0</v>
      </c>
      <c r="B1798" t="s">
        <v>848</v>
      </c>
      <c r="C1798" t="s">
        <v>5602</v>
      </c>
      <c r="D1798" t="s">
        <v>19063</v>
      </c>
      <c r="E1798" t="s">
        <v>20742</v>
      </c>
      <c r="F1798" t="s">
        <v>32606</v>
      </c>
      <c r="G1798" t="s">
        <v>32613</v>
      </c>
      <c r="H1798" t="s">
        <v>32623</v>
      </c>
      <c r="I1798" t="s">
        <v>17648</v>
      </c>
      <c r="J1798" t="s">
        <v>34094</v>
      </c>
      <c r="K1798" t="s">
        <v>42648</v>
      </c>
      <c r="M1798" t="s">
        <v>43780</v>
      </c>
      <c r="N1798" t="s">
        <v>47304</v>
      </c>
      <c r="O1798" t="s">
        <v>47305</v>
      </c>
      <c r="P1798">
        <v>0</v>
      </c>
      <c r="Q1798">
        <v>0</v>
      </c>
      <c r="R1798" t="s">
        <v>47307</v>
      </c>
      <c r="S1798" t="s">
        <v>47416</v>
      </c>
      <c r="T1798" t="s">
        <v>49024</v>
      </c>
      <c r="U1798" t="s">
        <v>51144</v>
      </c>
      <c r="W1798" t="s">
        <v>43780</v>
      </c>
      <c r="X1798" t="s">
        <v>47306</v>
      </c>
    </row>
    <row r="1799" spans="1:24">
      <c r="A1799">
        <f>HYPERLINK("https://www.philgeps.gov.ph/GEPSNONPILOT/Tender/SplashBidNoticeAbstractUI.aspx?menuIndex=3&amp;refID=7199581&amp;Result=3","7199581")</f>
        <v>0</v>
      </c>
      <c r="B1799" t="s">
        <v>777</v>
      </c>
      <c r="C1799" t="s">
        <v>5603</v>
      </c>
      <c r="D1799" t="s">
        <v>18993</v>
      </c>
      <c r="E1799" t="s">
        <v>20743</v>
      </c>
      <c r="F1799" t="s">
        <v>32606</v>
      </c>
      <c r="G1799" t="s">
        <v>32614</v>
      </c>
      <c r="H1799" t="s">
        <v>14201</v>
      </c>
      <c r="I1799" t="s">
        <v>32640</v>
      </c>
      <c r="J1799" t="s">
        <v>33189</v>
      </c>
      <c r="K1799" t="s">
        <v>42624</v>
      </c>
      <c r="M1799" t="s">
        <v>43707</v>
      </c>
      <c r="N1799" t="s">
        <v>47304</v>
      </c>
      <c r="O1799" t="s">
        <v>47305</v>
      </c>
      <c r="P1799">
        <v>0</v>
      </c>
      <c r="Q1799">
        <v>0</v>
      </c>
      <c r="R1799" t="s">
        <v>47307</v>
      </c>
      <c r="S1799" t="s">
        <v>47416</v>
      </c>
      <c r="T1799" t="s">
        <v>49023</v>
      </c>
      <c r="U1799" t="s">
        <v>50965</v>
      </c>
      <c r="V1799" t="s">
        <v>62827</v>
      </c>
      <c r="W1799" t="s">
        <v>43707</v>
      </c>
      <c r="X1799" t="s">
        <v>47306</v>
      </c>
    </row>
    <row r="1800" spans="1:24">
      <c r="A1800">
        <f>HYPERLINK("https://www.philgeps.gov.ph/GEPSNONPILOT/Tender/SplashBidNoticeAbstractUI.aspx?menuIndex=3&amp;refID=7199563&amp;Result=3","7199563")</f>
        <v>0</v>
      </c>
      <c r="B1800" t="s">
        <v>540</v>
      </c>
      <c r="C1800" t="s">
        <v>5604</v>
      </c>
      <c r="D1800" t="s">
        <v>19001</v>
      </c>
      <c r="E1800" t="s">
        <v>20744</v>
      </c>
      <c r="F1800" t="s">
        <v>32606</v>
      </c>
      <c r="G1800" t="s">
        <v>32613</v>
      </c>
      <c r="H1800" t="s">
        <v>32624</v>
      </c>
      <c r="I1800" t="s">
        <v>32628</v>
      </c>
      <c r="J1800" t="s">
        <v>34095</v>
      </c>
      <c r="K1800" t="s">
        <v>42688</v>
      </c>
      <c r="M1800" t="s">
        <v>43781</v>
      </c>
      <c r="N1800" t="s">
        <v>47304</v>
      </c>
      <c r="O1800" t="s">
        <v>47305</v>
      </c>
      <c r="P1800">
        <v>0</v>
      </c>
      <c r="Q1800">
        <v>0</v>
      </c>
      <c r="R1800" t="s">
        <v>47307</v>
      </c>
      <c r="S1800" t="s">
        <v>47416</v>
      </c>
      <c r="T1800" t="s">
        <v>49121</v>
      </c>
      <c r="U1800" t="s">
        <v>51145</v>
      </c>
      <c r="W1800" t="s">
        <v>43781</v>
      </c>
      <c r="X1800" t="s">
        <v>47306</v>
      </c>
    </row>
    <row r="1801" spans="1:24">
      <c r="A1801">
        <f>HYPERLINK("https://www.philgeps.gov.ph/GEPSNONPILOT/Tender/SplashBidNoticeAbstractUI.aspx?menuIndex=3&amp;refID=7199609&amp;Result=3","7199609")</f>
        <v>0</v>
      </c>
      <c r="B1801" t="s">
        <v>238</v>
      </c>
      <c r="C1801" t="s">
        <v>5605</v>
      </c>
      <c r="D1801" t="s">
        <v>18993</v>
      </c>
      <c r="E1801" t="s">
        <v>20745</v>
      </c>
      <c r="F1801" t="s">
        <v>32606</v>
      </c>
      <c r="G1801" t="s">
        <v>32619</v>
      </c>
      <c r="H1801" t="s">
        <v>14201</v>
      </c>
      <c r="I1801" t="s">
        <v>32629</v>
      </c>
      <c r="J1801" t="s">
        <v>32833</v>
      </c>
      <c r="K1801" t="s">
        <v>42622</v>
      </c>
      <c r="M1801" t="s">
        <v>43357</v>
      </c>
      <c r="N1801" t="s">
        <v>47304</v>
      </c>
      <c r="O1801" t="s">
        <v>47305</v>
      </c>
      <c r="P1801">
        <v>0</v>
      </c>
      <c r="Q1801">
        <v>0</v>
      </c>
      <c r="R1801" t="s">
        <v>47307</v>
      </c>
      <c r="S1801" t="s">
        <v>47416</v>
      </c>
      <c r="T1801" t="s">
        <v>49123</v>
      </c>
      <c r="U1801" t="s">
        <v>51146</v>
      </c>
      <c r="V1801" t="s">
        <v>62749</v>
      </c>
      <c r="W1801" t="s">
        <v>43357</v>
      </c>
      <c r="X1801" t="s">
        <v>47306</v>
      </c>
    </row>
    <row r="1802" spans="1:24">
      <c r="A1802">
        <f>HYPERLINK("https://www.philgeps.gov.ph/GEPSNONPILOT/Tender/SplashBidNoticeAbstractUI.aspx?menuIndex=3&amp;refID=7199607&amp;Result=3","7199607")</f>
        <v>0</v>
      </c>
      <c r="B1802" t="s">
        <v>829</v>
      </c>
      <c r="C1802" t="s">
        <v>5606</v>
      </c>
      <c r="D1802" t="s">
        <v>18995</v>
      </c>
      <c r="E1802" t="s">
        <v>20733</v>
      </c>
      <c r="F1802" t="s">
        <v>32606</v>
      </c>
      <c r="G1802" t="s">
        <v>32613</v>
      </c>
      <c r="H1802" t="s">
        <v>14201</v>
      </c>
      <c r="I1802" t="s">
        <v>6931</v>
      </c>
      <c r="J1802" t="s">
        <v>34096</v>
      </c>
      <c r="K1802" t="s">
        <v>42636</v>
      </c>
      <c r="M1802" t="s">
        <v>43760</v>
      </c>
      <c r="N1802" t="s">
        <v>47304</v>
      </c>
      <c r="O1802" t="s">
        <v>47305</v>
      </c>
      <c r="P1802">
        <v>0</v>
      </c>
      <c r="Q1802">
        <v>0</v>
      </c>
      <c r="R1802" t="s">
        <v>47307</v>
      </c>
      <c r="S1802" t="s">
        <v>47416</v>
      </c>
      <c r="T1802" t="s">
        <v>49028</v>
      </c>
      <c r="U1802" t="s">
        <v>51147</v>
      </c>
      <c r="W1802" t="s">
        <v>43760</v>
      </c>
      <c r="X1802" t="s">
        <v>47306</v>
      </c>
    </row>
    <row r="1803" spans="1:24">
      <c r="A1803">
        <f>HYPERLINK("https://www.philgeps.gov.ph/GEPSNONPILOT/Tender/SplashBidNoticeAbstractUI.aspx?menuIndex=3&amp;refID=7199566&amp;Result=3","7199566")</f>
        <v>0</v>
      </c>
      <c r="B1803" t="s">
        <v>462</v>
      </c>
      <c r="C1803" t="s">
        <v>5607</v>
      </c>
      <c r="D1803" t="s">
        <v>19040</v>
      </c>
      <c r="E1803" t="s">
        <v>20746</v>
      </c>
      <c r="F1803" t="s">
        <v>32606</v>
      </c>
      <c r="G1803" t="s">
        <v>32614</v>
      </c>
      <c r="H1803" t="s">
        <v>14201</v>
      </c>
      <c r="I1803" t="s">
        <v>4678</v>
      </c>
      <c r="J1803" t="s">
        <v>32949</v>
      </c>
      <c r="K1803" t="s">
        <v>42631</v>
      </c>
      <c r="M1803" t="s">
        <v>43372</v>
      </c>
      <c r="N1803" t="s">
        <v>47304</v>
      </c>
      <c r="O1803" t="s">
        <v>47305</v>
      </c>
      <c r="P1803">
        <v>0</v>
      </c>
      <c r="Q1803">
        <v>0</v>
      </c>
      <c r="R1803" t="s">
        <v>47307</v>
      </c>
      <c r="S1803" t="s">
        <v>47416</v>
      </c>
      <c r="T1803" t="s">
        <v>49156</v>
      </c>
      <c r="U1803" t="s">
        <v>51148</v>
      </c>
      <c r="V1803" t="s">
        <v>62788</v>
      </c>
      <c r="W1803" t="s">
        <v>64442</v>
      </c>
      <c r="X1803" t="s">
        <v>47306</v>
      </c>
    </row>
    <row r="1804" spans="1:24">
      <c r="A1804">
        <f>HYPERLINK("https://www.philgeps.gov.ph/GEPSNONPILOT/Tender/SplashBidNoticeAbstractUI.aspx?menuIndex=3&amp;refID=7199606&amp;Result=3","7199606")</f>
        <v>0</v>
      </c>
      <c r="B1804" t="s">
        <v>462</v>
      </c>
      <c r="C1804" t="s">
        <v>4727</v>
      </c>
      <c r="D1804" t="s">
        <v>19040</v>
      </c>
      <c r="E1804" t="s">
        <v>20747</v>
      </c>
      <c r="F1804" t="s">
        <v>32606</v>
      </c>
      <c r="G1804" t="s">
        <v>32614</v>
      </c>
      <c r="H1804" t="s">
        <v>14201</v>
      </c>
      <c r="I1804" t="s">
        <v>7064</v>
      </c>
      <c r="J1804" t="s">
        <v>33274</v>
      </c>
      <c r="K1804" t="s">
        <v>42631</v>
      </c>
      <c r="M1804" t="s">
        <v>43372</v>
      </c>
      <c r="N1804" t="s">
        <v>47304</v>
      </c>
      <c r="O1804" t="s">
        <v>47305</v>
      </c>
      <c r="P1804">
        <v>0</v>
      </c>
      <c r="Q1804">
        <v>0</v>
      </c>
      <c r="R1804" t="s">
        <v>47307</v>
      </c>
      <c r="S1804" t="s">
        <v>47416</v>
      </c>
      <c r="T1804" t="s">
        <v>49156</v>
      </c>
      <c r="U1804" t="s">
        <v>51149</v>
      </c>
      <c r="V1804" t="s">
        <v>62788</v>
      </c>
      <c r="W1804" t="s">
        <v>64442</v>
      </c>
      <c r="X1804" t="s">
        <v>47306</v>
      </c>
    </row>
    <row r="1805" spans="1:24">
      <c r="A1805">
        <f>HYPERLINK("https://www.philgeps.gov.ph/GEPSNONPILOT/Tender/SplashBidNoticeAbstractUI.aspx?menuIndex=3&amp;refID=7199602&amp;Result=3","7199602")</f>
        <v>0</v>
      </c>
      <c r="B1805" t="s">
        <v>849</v>
      </c>
      <c r="C1805" t="s">
        <v>5608</v>
      </c>
      <c r="D1805" t="s">
        <v>19025</v>
      </c>
      <c r="E1805" t="s">
        <v>20748</v>
      </c>
      <c r="F1805" t="s">
        <v>32606</v>
      </c>
      <c r="G1805" t="s">
        <v>32613</v>
      </c>
      <c r="H1805" t="s">
        <v>14201</v>
      </c>
      <c r="I1805" t="s">
        <v>7064</v>
      </c>
      <c r="J1805" t="s">
        <v>34097</v>
      </c>
      <c r="K1805" t="s">
        <v>42631</v>
      </c>
      <c r="M1805" t="s">
        <v>43782</v>
      </c>
      <c r="N1805" t="s">
        <v>47304</v>
      </c>
      <c r="O1805" t="s">
        <v>47305</v>
      </c>
      <c r="P1805">
        <v>0</v>
      </c>
      <c r="Q1805">
        <v>0</v>
      </c>
      <c r="R1805" t="s">
        <v>47307</v>
      </c>
      <c r="S1805" t="s">
        <v>47416</v>
      </c>
      <c r="T1805" t="s">
        <v>49028</v>
      </c>
      <c r="U1805" t="s">
        <v>51150</v>
      </c>
      <c r="W1805" t="s">
        <v>43782</v>
      </c>
      <c r="X1805" t="s">
        <v>47306</v>
      </c>
    </row>
    <row r="1806" spans="1:24">
      <c r="A1806">
        <f>HYPERLINK("https://www.philgeps.gov.ph/GEPSNONPILOT/Tender/SplashBidNoticeAbstractUI.aspx?menuIndex=3&amp;refID=7199600&amp;Result=3","7199600")</f>
        <v>0</v>
      </c>
      <c r="B1806" t="s">
        <v>840</v>
      </c>
      <c r="C1806" t="s">
        <v>5609</v>
      </c>
      <c r="D1806" t="s">
        <v>18988</v>
      </c>
      <c r="E1806" t="s">
        <v>20749</v>
      </c>
      <c r="F1806" t="s">
        <v>32606</v>
      </c>
      <c r="G1806" t="s">
        <v>32613</v>
      </c>
      <c r="H1806" t="s">
        <v>14201</v>
      </c>
      <c r="I1806" t="s">
        <v>32633</v>
      </c>
      <c r="J1806" t="s">
        <v>34098</v>
      </c>
      <c r="K1806" t="s">
        <v>42627</v>
      </c>
      <c r="M1806" t="s">
        <v>43772</v>
      </c>
      <c r="N1806" t="s">
        <v>47304</v>
      </c>
      <c r="O1806" t="s">
        <v>47305</v>
      </c>
      <c r="P1806">
        <v>0</v>
      </c>
      <c r="Q1806">
        <v>0</v>
      </c>
      <c r="R1806" t="s">
        <v>47307</v>
      </c>
      <c r="S1806" t="s">
        <v>47416</v>
      </c>
      <c r="T1806" t="s">
        <v>48996</v>
      </c>
      <c r="U1806" t="s">
        <v>51151</v>
      </c>
      <c r="W1806" t="s">
        <v>43772</v>
      </c>
      <c r="X1806" t="s">
        <v>47306</v>
      </c>
    </row>
    <row r="1807" spans="1:24">
      <c r="A1807">
        <f>HYPERLINK("https://www.philgeps.gov.ph/GEPSNONPILOT/Tender/SplashBidNoticeAbstractUI.aspx?menuIndex=3&amp;refID=7199599&amp;Result=3","7199599")</f>
        <v>0</v>
      </c>
      <c r="B1807" t="s">
        <v>184</v>
      </c>
      <c r="C1807" t="s">
        <v>5610</v>
      </c>
      <c r="D1807" t="s">
        <v>19042</v>
      </c>
      <c r="E1807" t="s">
        <v>20750</v>
      </c>
      <c r="F1807" t="s">
        <v>32606</v>
      </c>
      <c r="G1807" t="s">
        <v>32613</v>
      </c>
      <c r="H1807" t="s">
        <v>14201</v>
      </c>
      <c r="I1807" t="s">
        <v>32633</v>
      </c>
      <c r="J1807" t="s">
        <v>34099</v>
      </c>
      <c r="K1807" t="s">
        <v>42632</v>
      </c>
      <c r="M1807" t="s">
        <v>43085</v>
      </c>
      <c r="N1807" t="s">
        <v>47304</v>
      </c>
      <c r="O1807" t="s">
        <v>47305</v>
      </c>
      <c r="P1807">
        <v>0</v>
      </c>
      <c r="Q1807">
        <v>0</v>
      </c>
      <c r="R1807" t="s">
        <v>47307</v>
      </c>
      <c r="S1807" t="s">
        <v>47416</v>
      </c>
      <c r="T1807" t="s">
        <v>48973</v>
      </c>
      <c r="U1807" t="s">
        <v>51152</v>
      </c>
      <c r="V1807" t="s">
        <v>62842</v>
      </c>
      <c r="W1807" t="s">
        <v>43085</v>
      </c>
      <c r="X1807" t="s">
        <v>47306</v>
      </c>
    </row>
    <row r="1808" spans="1:24">
      <c r="A1808">
        <f>HYPERLINK("https://www.philgeps.gov.ph/GEPSNONPILOT/Tender/SplashBidNoticeAbstractUI.aspx?menuIndex=3&amp;refID=7199608&amp;Result=3","7199608")</f>
        <v>0</v>
      </c>
      <c r="B1808" t="s">
        <v>640</v>
      </c>
      <c r="C1808" t="s">
        <v>5048</v>
      </c>
      <c r="D1808" t="s">
        <v>19066</v>
      </c>
      <c r="E1808" t="s">
        <v>20751</v>
      </c>
      <c r="F1808" t="s">
        <v>32606</v>
      </c>
      <c r="G1808" t="s">
        <v>32614</v>
      </c>
      <c r="H1808" t="s">
        <v>14201</v>
      </c>
      <c r="I1808" t="s">
        <v>4678</v>
      </c>
      <c r="J1808" t="s">
        <v>34100</v>
      </c>
      <c r="K1808" t="s">
        <v>42622</v>
      </c>
      <c r="M1808" t="s">
        <v>43558</v>
      </c>
      <c r="N1808" t="s">
        <v>47304</v>
      </c>
      <c r="O1808" t="s">
        <v>47305</v>
      </c>
      <c r="P1808">
        <v>0</v>
      </c>
      <c r="Q1808">
        <v>0</v>
      </c>
      <c r="R1808" t="s">
        <v>47307</v>
      </c>
      <c r="S1808" t="s">
        <v>47416</v>
      </c>
      <c r="T1808" t="s">
        <v>48987</v>
      </c>
      <c r="U1808" t="s">
        <v>51153</v>
      </c>
      <c r="W1808" t="s">
        <v>43558</v>
      </c>
      <c r="X1808" t="s">
        <v>47306</v>
      </c>
    </row>
    <row r="1809" spans="1:24">
      <c r="A1809">
        <f>HYPERLINK("https://www.philgeps.gov.ph/GEPSNONPILOT/Tender/SplashBidNoticeAbstractUI.aspx?menuIndex=3&amp;refID=7199595&amp;Result=3","7199595")</f>
        <v>0</v>
      </c>
      <c r="B1809" t="s">
        <v>850</v>
      </c>
      <c r="C1809" t="s">
        <v>5611</v>
      </c>
      <c r="D1809" t="s">
        <v>19014</v>
      </c>
      <c r="E1809" t="s">
        <v>20752</v>
      </c>
      <c r="F1809" t="s">
        <v>32606</v>
      </c>
      <c r="G1809" t="s">
        <v>32613</v>
      </c>
      <c r="H1809" t="s">
        <v>14201</v>
      </c>
      <c r="I1809" t="s">
        <v>6478</v>
      </c>
      <c r="J1809" t="s">
        <v>32752</v>
      </c>
      <c r="K1809" t="s">
        <v>42629</v>
      </c>
      <c r="M1809" t="s">
        <v>43783</v>
      </c>
      <c r="N1809" t="s">
        <v>47304</v>
      </c>
      <c r="O1809" t="s">
        <v>47305</v>
      </c>
      <c r="P1809">
        <v>0</v>
      </c>
      <c r="Q1809">
        <v>0</v>
      </c>
      <c r="R1809" t="s">
        <v>47307</v>
      </c>
      <c r="S1809" t="s">
        <v>47416</v>
      </c>
      <c r="T1809" t="s">
        <v>48992</v>
      </c>
      <c r="U1809" t="s">
        <v>51154</v>
      </c>
      <c r="W1809" t="s">
        <v>43783</v>
      </c>
      <c r="X1809" t="s">
        <v>47306</v>
      </c>
    </row>
    <row r="1810" spans="1:24">
      <c r="A1810">
        <f>HYPERLINK("https://www.philgeps.gov.ph/GEPSNONPILOT/Tender/SplashBidNoticeAbstractUI.aspx?menuIndex=3&amp;refID=7199587&amp;Result=3","7199587")</f>
        <v>0</v>
      </c>
      <c r="B1810" t="s">
        <v>540</v>
      </c>
      <c r="C1810" t="s">
        <v>5612</v>
      </c>
      <c r="D1810" t="s">
        <v>19001</v>
      </c>
      <c r="E1810" t="s">
        <v>20753</v>
      </c>
      <c r="F1810" t="s">
        <v>32606</v>
      </c>
      <c r="G1810" t="s">
        <v>32614</v>
      </c>
      <c r="H1810" t="s">
        <v>14201</v>
      </c>
      <c r="I1810" t="s">
        <v>4112</v>
      </c>
      <c r="J1810" t="s">
        <v>32752</v>
      </c>
      <c r="K1810" t="s">
        <v>42622</v>
      </c>
      <c r="M1810" t="s">
        <v>43460</v>
      </c>
      <c r="N1810" t="s">
        <v>47304</v>
      </c>
      <c r="O1810" t="s">
        <v>47305</v>
      </c>
      <c r="P1810">
        <v>0</v>
      </c>
      <c r="Q1810">
        <v>0</v>
      </c>
      <c r="R1810" t="s">
        <v>47307</v>
      </c>
      <c r="S1810" t="s">
        <v>47416</v>
      </c>
      <c r="T1810" t="s">
        <v>48986</v>
      </c>
      <c r="U1810" t="s">
        <v>51155</v>
      </c>
      <c r="W1810" t="s">
        <v>43460</v>
      </c>
      <c r="X1810" t="s">
        <v>47306</v>
      </c>
    </row>
    <row r="1811" spans="1:24">
      <c r="A1811">
        <f>HYPERLINK("https://www.philgeps.gov.ph/GEPSNONPILOT/Tender/SplashBidNoticeAbstractUI.aspx?menuIndex=3&amp;refID=7199605&amp;Result=3","7199605")</f>
        <v>0</v>
      </c>
      <c r="B1811" t="s">
        <v>851</v>
      </c>
      <c r="C1811" t="s">
        <v>5613</v>
      </c>
      <c r="D1811" t="s">
        <v>19024</v>
      </c>
      <c r="E1811" t="s">
        <v>20754</v>
      </c>
      <c r="F1811" t="s">
        <v>32606</v>
      </c>
      <c r="G1811" t="s">
        <v>32613</v>
      </c>
      <c r="H1811" t="s">
        <v>14201</v>
      </c>
      <c r="I1811" t="s">
        <v>7577</v>
      </c>
      <c r="J1811" t="s">
        <v>34101</v>
      </c>
      <c r="K1811" t="s">
        <v>42631</v>
      </c>
      <c r="M1811" t="s">
        <v>43784</v>
      </c>
      <c r="N1811" t="s">
        <v>47304</v>
      </c>
      <c r="O1811" t="s">
        <v>47305</v>
      </c>
      <c r="P1811">
        <v>0</v>
      </c>
      <c r="Q1811">
        <v>0</v>
      </c>
      <c r="R1811" t="s">
        <v>47307</v>
      </c>
      <c r="S1811" t="s">
        <v>47416</v>
      </c>
      <c r="T1811" t="s">
        <v>49193</v>
      </c>
      <c r="U1811" t="s">
        <v>51156</v>
      </c>
      <c r="W1811" t="s">
        <v>64453</v>
      </c>
      <c r="X1811" t="s">
        <v>47306</v>
      </c>
    </row>
    <row r="1812" spans="1:24">
      <c r="A1812">
        <f>HYPERLINK("https://www.philgeps.gov.ph/GEPSNONPILOT/Tender/SplashBidNoticeAbstractUI.aspx?menuIndex=3&amp;refID=7199601&amp;Result=3","7199601")</f>
        <v>0</v>
      </c>
      <c r="B1812" t="s">
        <v>852</v>
      </c>
      <c r="C1812" t="s">
        <v>5614</v>
      </c>
      <c r="D1812" t="s">
        <v>19048</v>
      </c>
      <c r="E1812" t="s">
        <v>20755</v>
      </c>
      <c r="F1812" t="s">
        <v>32606</v>
      </c>
      <c r="G1812" t="s">
        <v>32613</v>
      </c>
      <c r="H1812" t="s">
        <v>32623</v>
      </c>
      <c r="I1812" t="s">
        <v>17648</v>
      </c>
      <c r="J1812" t="s">
        <v>32772</v>
      </c>
      <c r="K1812" t="s">
        <v>42631</v>
      </c>
      <c r="M1812" t="s">
        <v>43785</v>
      </c>
      <c r="N1812" t="s">
        <v>47304</v>
      </c>
      <c r="O1812" t="s">
        <v>47305</v>
      </c>
      <c r="P1812">
        <v>0</v>
      </c>
      <c r="Q1812">
        <v>0</v>
      </c>
      <c r="R1812" t="s">
        <v>47307</v>
      </c>
      <c r="S1812" t="s">
        <v>47416</v>
      </c>
      <c r="T1812" t="s">
        <v>49066</v>
      </c>
      <c r="U1812" t="s">
        <v>51157</v>
      </c>
      <c r="V1812" t="s">
        <v>62843</v>
      </c>
      <c r="W1812" t="s">
        <v>43785</v>
      </c>
      <c r="X1812" t="s">
        <v>47306</v>
      </c>
    </row>
    <row r="1813" spans="1:24">
      <c r="A1813">
        <f>HYPERLINK("https://www.philgeps.gov.ph/GEPSNONPILOT/Tender/SplashBidNoticeAbstractUI.aspx?menuIndex=3&amp;refID=7199590&amp;Result=3","7199590")</f>
        <v>0</v>
      </c>
      <c r="B1813" t="s">
        <v>853</v>
      </c>
      <c r="C1813" t="s">
        <v>5615</v>
      </c>
      <c r="D1813" t="s">
        <v>19054</v>
      </c>
      <c r="E1813" t="s">
        <v>20756</v>
      </c>
      <c r="F1813" t="s">
        <v>32606</v>
      </c>
      <c r="G1813" t="s">
        <v>32614</v>
      </c>
      <c r="H1813" t="s">
        <v>14201</v>
      </c>
      <c r="I1813" t="s">
        <v>9008</v>
      </c>
      <c r="J1813" t="s">
        <v>34102</v>
      </c>
      <c r="K1813" t="s">
        <v>42632</v>
      </c>
      <c r="M1813" t="s">
        <v>43786</v>
      </c>
      <c r="N1813" t="s">
        <v>47304</v>
      </c>
      <c r="O1813" t="s">
        <v>47305</v>
      </c>
      <c r="P1813">
        <v>0</v>
      </c>
      <c r="Q1813">
        <v>0</v>
      </c>
      <c r="R1813" t="s">
        <v>47307</v>
      </c>
      <c r="S1813" t="s">
        <v>47416</v>
      </c>
      <c r="T1813" t="s">
        <v>48986</v>
      </c>
      <c r="U1813" t="s">
        <v>51158</v>
      </c>
      <c r="W1813" t="s">
        <v>43786</v>
      </c>
      <c r="X1813" t="s">
        <v>47306</v>
      </c>
    </row>
    <row r="1814" spans="1:24">
      <c r="A1814">
        <f>HYPERLINK("https://www.philgeps.gov.ph/GEPSNONPILOT/Tender/SplashBidNoticeAbstractUI.aspx?menuIndex=3&amp;refID=7199596&amp;Result=3","7199596")</f>
        <v>0</v>
      </c>
      <c r="B1814" t="s">
        <v>854</v>
      </c>
      <c r="C1814" t="s">
        <v>5616</v>
      </c>
      <c r="D1814" t="s">
        <v>18993</v>
      </c>
      <c r="E1814" t="s">
        <v>19279</v>
      </c>
      <c r="F1814" t="s">
        <v>32606</v>
      </c>
      <c r="G1814" t="s">
        <v>32614</v>
      </c>
      <c r="H1814" t="s">
        <v>14201</v>
      </c>
      <c r="I1814" t="s">
        <v>32640</v>
      </c>
      <c r="J1814" t="s">
        <v>32923</v>
      </c>
      <c r="K1814" t="s">
        <v>42623</v>
      </c>
      <c r="M1814" t="s">
        <v>43787</v>
      </c>
      <c r="N1814" t="s">
        <v>47304</v>
      </c>
      <c r="O1814" t="s">
        <v>47305</v>
      </c>
      <c r="P1814">
        <v>0</v>
      </c>
      <c r="Q1814">
        <v>0</v>
      </c>
      <c r="R1814" t="s">
        <v>47307</v>
      </c>
      <c r="S1814" t="s">
        <v>47416</v>
      </c>
      <c r="T1814" t="s">
        <v>49184</v>
      </c>
      <c r="U1814" t="s">
        <v>51159</v>
      </c>
      <c r="W1814" t="s">
        <v>43787</v>
      </c>
      <c r="X1814" t="s">
        <v>47306</v>
      </c>
    </row>
    <row r="1815" spans="1:24">
      <c r="A1815">
        <f>HYPERLINK("https://www.philgeps.gov.ph/GEPSNONPILOT/Tender/SplashBidNoticeAbstractUI.aspx?menuIndex=3&amp;refID=7199588&amp;Result=3","7199588")</f>
        <v>0</v>
      </c>
      <c r="B1815" t="s">
        <v>248</v>
      </c>
      <c r="C1815" t="s">
        <v>5617</v>
      </c>
      <c r="D1815" t="s">
        <v>19053</v>
      </c>
      <c r="E1815" t="s">
        <v>20757</v>
      </c>
      <c r="F1815" t="s">
        <v>32606</v>
      </c>
      <c r="G1815" t="s">
        <v>32614</v>
      </c>
      <c r="H1815" t="s">
        <v>14201</v>
      </c>
      <c r="I1815" t="s">
        <v>32633</v>
      </c>
      <c r="J1815" t="s">
        <v>33092</v>
      </c>
      <c r="K1815" t="s">
        <v>42622</v>
      </c>
      <c r="M1815" t="s">
        <v>43149</v>
      </c>
      <c r="N1815" t="s">
        <v>47304</v>
      </c>
      <c r="O1815" t="s">
        <v>47305</v>
      </c>
      <c r="P1815">
        <v>0</v>
      </c>
      <c r="Q1815">
        <v>0</v>
      </c>
      <c r="R1815" t="s">
        <v>47307</v>
      </c>
      <c r="S1815" t="s">
        <v>47416</v>
      </c>
      <c r="T1815" t="s">
        <v>48988</v>
      </c>
      <c r="U1815" t="s">
        <v>51160</v>
      </c>
      <c r="W1815" t="s">
        <v>43149</v>
      </c>
      <c r="X1815" t="s">
        <v>47306</v>
      </c>
    </row>
    <row r="1816" spans="1:24">
      <c r="A1816">
        <f>HYPERLINK("https://www.philgeps.gov.ph/GEPSNONPILOT/Tender/SplashBidNoticeAbstractUI.aspx?menuIndex=3&amp;refID=7199594&amp;Result=3","7199594")</f>
        <v>0</v>
      </c>
      <c r="B1816" t="s">
        <v>828</v>
      </c>
      <c r="C1816" t="s">
        <v>5618</v>
      </c>
      <c r="D1816" t="s">
        <v>19030</v>
      </c>
      <c r="E1816" t="s">
        <v>20758</v>
      </c>
      <c r="F1816" t="s">
        <v>32606</v>
      </c>
      <c r="G1816" t="s">
        <v>32615</v>
      </c>
      <c r="H1816" t="s">
        <v>14201</v>
      </c>
      <c r="I1816" t="s">
        <v>7064</v>
      </c>
      <c r="J1816" t="s">
        <v>32860</v>
      </c>
      <c r="K1816" t="s">
        <v>42631</v>
      </c>
      <c r="M1816" t="s">
        <v>43759</v>
      </c>
      <c r="N1816" t="s">
        <v>47304</v>
      </c>
      <c r="O1816" t="s">
        <v>47305</v>
      </c>
      <c r="P1816">
        <v>0</v>
      </c>
      <c r="Q1816">
        <v>0</v>
      </c>
      <c r="R1816" t="s">
        <v>47307</v>
      </c>
      <c r="S1816" t="s">
        <v>47416</v>
      </c>
      <c r="T1816" t="s">
        <v>49023</v>
      </c>
      <c r="U1816" t="s">
        <v>51161</v>
      </c>
      <c r="W1816" t="s">
        <v>43759</v>
      </c>
      <c r="X1816" t="s">
        <v>47306</v>
      </c>
    </row>
    <row r="1817" spans="1:24">
      <c r="A1817">
        <f>HYPERLINK("https://www.philgeps.gov.ph/GEPSNONPILOT/Tender/SplashBidNoticeAbstractUI.aspx?menuIndex=3&amp;refID=7199591&amp;Result=3","7199591")</f>
        <v>0</v>
      </c>
      <c r="B1817" t="s">
        <v>855</v>
      </c>
      <c r="C1817" t="s">
        <v>5619</v>
      </c>
      <c r="E1817" t="s">
        <v>20759</v>
      </c>
      <c r="F1817" t="s">
        <v>32606</v>
      </c>
      <c r="G1817" t="s">
        <v>32614</v>
      </c>
      <c r="H1817" t="s">
        <v>14201</v>
      </c>
      <c r="I1817" t="s">
        <v>6298</v>
      </c>
      <c r="J1817" t="s">
        <v>34103</v>
      </c>
      <c r="K1817" t="s">
        <v>42622</v>
      </c>
      <c r="M1817" t="s">
        <v>43788</v>
      </c>
      <c r="N1817" t="s">
        <v>47304</v>
      </c>
      <c r="O1817" t="s">
        <v>47305</v>
      </c>
      <c r="P1817">
        <v>0</v>
      </c>
      <c r="Q1817">
        <v>0</v>
      </c>
      <c r="R1817" t="s">
        <v>47307</v>
      </c>
      <c r="S1817" t="s">
        <v>47416</v>
      </c>
      <c r="T1817" t="s">
        <v>49194</v>
      </c>
      <c r="U1817" t="s">
        <v>51162</v>
      </c>
      <c r="W1817" t="s">
        <v>43788</v>
      </c>
      <c r="X1817" t="s">
        <v>47306</v>
      </c>
    </row>
    <row r="1818" spans="1:24">
      <c r="A1818">
        <f>HYPERLINK("https://www.philgeps.gov.ph/GEPSNONPILOT/Tender/SplashBidNoticeAbstractUI.aspx?menuIndex=3&amp;refID=7199589&amp;Result=3","7199589")</f>
        <v>0</v>
      </c>
      <c r="B1818" t="s">
        <v>839</v>
      </c>
      <c r="C1818" t="s">
        <v>5620</v>
      </c>
      <c r="D1818" t="s">
        <v>19011</v>
      </c>
      <c r="E1818" t="s">
        <v>20760</v>
      </c>
      <c r="F1818" t="s">
        <v>32606</v>
      </c>
      <c r="G1818" t="s">
        <v>32614</v>
      </c>
      <c r="H1818" t="s">
        <v>14201</v>
      </c>
      <c r="I1818" t="s">
        <v>4114</v>
      </c>
      <c r="J1818" t="s">
        <v>34104</v>
      </c>
      <c r="K1818" t="s">
        <v>42631</v>
      </c>
      <c r="M1818" t="s">
        <v>43771</v>
      </c>
      <c r="N1818" t="s">
        <v>47304</v>
      </c>
      <c r="O1818" t="s">
        <v>47305</v>
      </c>
      <c r="P1818">
        <v>0</v>
      </c>
      <c r="Q1818">
        <v>0</v>
      </c>
      <c r="R1818" t="s">
        <v>47307</v>
      </c>
      <c r="S1818" t="s">
        <v>47416</v>
      </c>
      <c r="T1818" t="s">
        <v>48972</v>
      </c>
      <c r="U1818" t="s">
        <v>51118</v>
      </c>
      <c r="W1818" t="s">
        <v>43771</v>
      </c>
      <c r="X1818" t="s">
        <v>47306</v>
      </c>
    </row>
    <row r="1819" spans="1:24">
      <c r="A1819">
        <f>HYPERLINK("https://www.philgeps.gov.ph/GEPSNONPILOT/Tender/SplashBidNoticeAbstractUI.aspx?menuIndex=3&amp;refID=7199593&amp;Result=3","7199593")</f>
        <v>0</v>
      </c>
      <c r="B1819" t="s">
        <v>856</v>
      </c>
      <c r="C1819" t="s">
        <v>5621</v>
      </c>
      <c r="D1819" t="s">
        <v>18986</v>
      </c>
      <c r="E1819" t="s">
        <v>5621</v>
      </c>
      <c r="F1819" t="s">
        <v>32606</v>
      </c>
      <c r="G1819" t="s">
        <v>32613</v>
      </c>
      <c r="H1819" t="s">
        <v>14201</v>
      </c>
      <c r="I1819" t="s">
        <v>6931</v>
      </c>
      <c r="J1819" t="s">
        <v>34105</v>
      </c>
      <c r="K1819" t="s">
        <v>42623</v>
      </c>
      <c r="M1819" t="s">
        <v>43789</v>
      </c>
      <c r="N1819" t="s">
        <v>47304</v>
      </c>
      <c r="O1819" t="s">
        <v>47305</v>
      </c>
      <c r="P1819">
        <v>0</v>
      </c>
      <c r="Q1819">
        <v>0</v>
      </c>
      <c r="R1819" t="s">
        <v>47307</v>
      </c>
      <c r="S1819" t="s">
        <v>47416</v>
      </c>
      <c r="T1819" t="s">
        <v>49195</v>
      </c>
      <c r="U1819" t="s">
        <v>51163</v>
      </c>
      <c r="W1819" t="s">
        <v>43789</v>
      </c>
      <c r="X1819" t="s">
        <v>47306</v>
      </c>
    </row>
    <row r="1820" spans="1:24">
      <c r="A1820">
        <f>HYPERLINK("https://www.philgeps.gov.ph/GEPSNONPILOT/Tender/SplashBidNoticeAbstractUI.aspx?menuIndex=3&amp;refID=7199592&amp;Result=3","7199592")</f>
        <v>0</v>
      </c>
      <c r="B1820" t="s">
        <v>857</v>
      </c>
      <c r="C1820" t="s">
        <v>5622</v>
      </c>
      <c r="D1820" t="s">
        <v>19014</v>
      </c>
      <c r="E1820" t="s">
        <v>20761</v>
      </c>
      <c r="F1820" t="s">
        <v>32606</v>
      </c>
      <c r="G1820" t="s">
        <v>32615</v>
      </c>
      <c r="H1820" t="s">
        <v>14201</v>
      </c>
      <c r="I1820" t="s">
        <v>8606</v>
      </c>
      <c r="J1820" t="s">
        <v>34106</v>
      </c>
      <c r="K1820" t="s">
        <v>42630</v>
      </c>
      <c r="M1820" t="s">
        <v>43790</v>
      </c>
      <c r="N1820" t="s">
        <v>47304</v>
      </c>
      <c r="O1820" t="s">
        <v>47305</v>
      </c>
      <c r="P1820">
        <v>0</v>
      </c>
      <c r="Q1820">
        <v>0</v>
      </c>
      <c r="R1820" t="s">
        <v>47307</v>
      </c>
      <c r="S1820" t="s">
        <v>47416</v>
      </c>
      <c r="T1820" t="s">
        <v>48972</v>
      </c>
      <c r="U1820" t="s">
        <v>51164</v>
      </c>
      <c r="W1820" t="s">
        <v>43790</v>
      </c>
      <c r="X1820" t="s">
        <v>47306</v>
      </c>
    </row>
    <row r="1821" spans="1:24">
      <c r="A1821">
        <f>HYPERLINK("https://www.philgeps.gov.ph/GEPSNONPILOT/Tender/SplashBidNoticeAbstractUI.aspx?menuIndex=3&amp;refID=7199610&amp;Result=3","7199610")</f>
        <v>0</v>
      </c>
      <c r="B1821" t="s">
        <v>433</v>
      </c>
      <c r="C1821" t="s">
        <v>5623</v>
      </c>
      <c r="D1821" t="s">
        <v>19012</v>
      </c>
      <c r="E1821" t="s">
        <v>20762</v>
      </c>
      <c r="F1821" t="s">
        <v>32606</v>
      </c>
      <c r="G1821" t="s">
        <v>32614</v>
      </c>
      <c r="H1821" t="s">
        <v>14201</v>
      </c>
      <c r="I1821" t="s">
        <v>7233</v>
      </c>
      <c r="J1821" t="s">
        <v>34107</v>
      </c>
      <c r="K1821" t="s">
        <v>42623</v>
      </c>
      <c r="M1821" t="s">
        <v>43339</v>
      </c>
      <c r="N1821" t="s">
        <v>47304</v>
      </c>
      <c r="O1821" t="s">
        <v>47305</v>
      </c>
      <c r="P1821">
        <v>0</v>
      </c>
      <c r="Q1821">
        <v>0</v>
      </c>
      <c r="R1821" t="s">
        <v>47307</v>
      </c>
      <c r="S1821" t="s">
        <v>47416</v>
      </c>
      <c r="T1821" t="s">
        <v>49017</v>
      </c>
      <c r="U1821" t="s">
        <v>51165</v>
      </c>
      <c r="W1821" t="s">
        <v>43339</v>
      </c>
      <c r="X1821" t="s">
        <v>47306</v>
      </c>
    </row>
    <row r="1822" spans="1:24">
      <c r="A1822">
        <f>HYPERLINK("https://www.philgeps.gov.ph/GEPSNONPILOT/Tender/SplashBidNoticeAbstractUI.aspx?menuIndex=3&amp;refID=7199612&amp;Result=3","7199612")</f>
        <v>0</v>
      </c>
      <c r="B1822" t="s">
        <v>389</v>
      </c>
      <c r="C1822" t="s">
        <v>5624</v>
      </c>
      <c r="D1822" t="s">
        <v>18999</v>
      </c>
      <c r="E1822" t="s">
        <v>20763</v>
      </c>
      <c r="F1822" t="s">
        <v>32606</v>
      </c>
      <c r="G1822" t="s">
        <v>32613</v>
      </c>
      <c r="H1822" t="s">
        <v>14201</v>
      </c>
      <c r="I1822" t="s">
        <v>6298</v>
      </c>
      <c r="J1822" t="s">
        <v>34108</v>
      </c>
      <c r="K1822" t="s">
        <v>42631</v>
      </c>
      <c r="M1822" t="s">
        <v>43292</v>
      </c>
      <c r="N1822" t="s">
        <v>47304</v>
      </c>
      <c r="O1822" t="s">
        <v>47305</v>
      </c>
      <c r="P1822">
        <v>0</v>
      </c>
      <c r="Q1822">
        <v>0</v>
      </c>
      <c r="R1822" t="s">
        <v>47307</v>
      </c>
      <c r="S1822" t="s">
        <v>47416</v>
      </c>
      <c r="T1822" t="s">
        <v>49032</v>
      </c>
      <c r="U1822" t="s">
        <v>51166</v>
      </c>
      <c r="W1822" t="s">
        <v>43292</v>
      </c>
      <c r="X1822" t="s">
        <v>47306</v>
      </c>
    </row>
    <row r="1823" spans="1:24">
      <c r="A1823">
        <f>HYPERLINK("https://www.philgeps.gov.ph/GEPSNONPILOT/Tender/SplashBidNoticeAbstractUI.aspx?menuIndex=3&amp;refID=7199616&amp;Result=3","7199616")</f>
        <v>0</v>
      </c>
      <c r="B1823" t="s">
        <v>185</v>
      </c>
      <c r="C1823" t="s">
        <v>5625</v>
      </c>
      <c r="D1823" t="s">
        <v>19025</v>
      </c>
      <c r="E1823" t="s">
        <v>20764</v>
      </c>
      <c r="F1823" t="s">
        <v>32606</v>
      </c>
      <c r="G1823" t="s">
        <v>32615</v>
      </c>
      <c r="H1823" t="s">
        <v>14201</v>
      </c>
      <c r="I1823" t="s">
        <v>32638</v>
      </c>
      <c r="J1823" t="s">
        <v>34109</v>
      </c>
      <c r="K1823" t="s">
        <v>42622</v>
      </c>
      <c r="M1823" t="s">
        <v>43350</v>
      </c>
      <c r="N1823" t="s">
        <v>47304</v>
      </c>
      <c r="O1823" t="s">
        <v>47305</v>
      </c>
      <c r="P1823">
        <v>0</v>
      </c>
      <c r="Q1823">
        <v>0</v>
      </c>
      <c r="R1823" t="s">
        <v>47307</v>
      </c>
      <c r="S1823" t="s">
        <v>47416</v>
      </c>
      <c r="T1823" t="s">
        <v>48996</v>
      </c>
      <c r="U1823" t="s">
        <v>51167</v>
      </c>
      <c r="W1823" t="s">
        <v>64433</v>
      </c>
      <c r="X1823" t="s">
        <v>47306</v>
      </c>
    </row>
    <row r="1824" spans="1:24">
      <c r="A1824">
        <f>HYPERLINK("https://www.philgeps.gov.ph/GEPSNONPILOT/Tender/SplashBidNoticeAbstractUI.aspx?menuIndex=3&amp;refID=7199611&amp;Result=3","7199611")</f>
        <v>0</v>
      </c>
      <c r="B1824" t="s">
        <v>778</v>
      </c>
      <c r="C1824" t="s">
        <v>5626</v>
      </c>
      <c r="D1824" t="s">
        <v>19012</v>
      </c>
      <c r="E1824" t="s">
        <v>19443</v>
      </c>
      <c r="F1824" t="s">
        <v>32606</v>
      </c>
      <c r="G1824" t="s">
        <v>32613</v>
      </c>
      <c r="H1824" t="s">
        <v>14201</v>
      </c>
      <c r="I1824" t="s">
        <v>4120</v>
      </c>
      <c r="J1824" t="s">
        <v>34110</v>
      </c>
      <c r="K1824" t="s">
        <v>42623</v>
      </c>
      <c r="M1824" t="s">
        <v>43708</v>
      </c>
      <c r="N1824" t="s">
        <v>47304</v>
      </c>
      <c r="O1824" t="s">
        <v>47305</v>
      </c>
      <c r="P1824">
        <v>0</v>
      </c>
      <c r="Q1824">
        <v>0</v>
      </c>
      <c r="R1824" t="s">
        <v>47307</v>
      </c>
      <c r="S1824" t="s">
        <v>47416</v>
      </c>
      <c r="T1824" t="s">
        <v>49084</v>
      </c>
      <c r="U1824" t="s">
        <v>51168</v>
      </c>
      <c r="W1824" t="s">
        <v>43708</v>
      </c>
      <c r="X1824" t="s">
        <v>47306</v>
      </c>
    </row>
    <row r="1825" spans="1:24">
      <c r="A1825">
        <f>HYPERLINK("https://www.philgeps.gov.ph/GEPSNONPILOT/Tender/SplashBidNoticeAbstractUI.aspx?menuIndex=3&amp;refID=7199630&amp;Result=3","7199630")</f>
        <v>0</v>
      </c>
      <c r="B1825" t="s">
        <v>854</v>
      </c>
      <c r="C1825" t="s">
        <v>5627</v>
      </c>
      <c r="D1825" t="s">
        <v>18993</v>
      </c>
      <c r="E1825" t="s">
        <v>19370</v>
      </c>
      <c r="F1825" t="s">
        <v>32606</v>
      </c>
      <c r="G1825" t="s">
        <v>32614</v>
      </c>
      <c r="H1825" t="s">
        <v>32624</v>
      </c>
      <c r="I1825" t="s">
        <v>32628</v>
      </c>
      <c r="J1825" t="s">
        <v>33051</v>
      </c>
      <c r="K1825" t="s">
        <v>42707</v>
      </c>
      <c r="M1825" t="s">
        <v>43787</v>
      </c>
      <c r="N1825" t="s">
        <v>47304</v>
      </c>
      <c r="O1825" t="s">
        <v>47305</v>
      </c>
      <c r="P1825">
        <v>0</v>
      </c>
      <c r="Q1825">
        <v>0</v>
      </c>
      <c r="R1825" t="s">
        <v>47307</v>
      </c>
      <c r="S1825" t="s">
        <v>47416</v>
      </c>
      <c r="T1825" t="s">
        <v>49184</v>
      </c>
      <c r="U1825" t="s">
        <v>51169</v>
      </c>
      <c r="W1825" t="s">
        <v>43787</v>
      </c>
      <c r="X1825" t="s">
        <v>47306</v>
      </c>
    </row>
    <row r="1826" spans="1:24">
      <c r="A1826">
        <f>HYPERLINK("https://www.philgeps.gov.ph/GEPSNONPILOT/Tender/SplashBidNoticeAbstractUI.aspx?menuIndex=3&amp;refID=7199579&amp;Result=3","7199579")</f>
        <v>0</v>
      </c>
      <c r="B1826" t="s">
        <v>371</v>
      </c>
      <c r="C1826" t="s">
        <v>5628</v>
      </c>
      <c r="D1826" t="s">
        <v>18997</v>
      </c>
      <c r="E1826" t="s">
        <v>20765</v>
      </c>
      <c r="F1826" t="s">
        <v>32606</v>
      </c>
      <c r="G1826" t="s">
        <v>32613</v>
      </c>
      <c r="H1826" t="s">
        <v>14201</v>
      </c>
      <c r="I1826" t="s">
        <v>32626</v>
      </c>
      <c r="J1826" t="s">
        <v>34111</v>
      </c>
      <c r="K1826" t="s">
        <v>42623</v>
      </c>
      <c r="M1826" t="s">
        <v>43273</v>
      </c>
      <c r="N1826" t="s">
        <v>47304</v>
      </c>
      <c r="O1826" t="s">
        <v>47305</v>
      </c>
      <c r="P1826">
        <v>0</v>
      </c>
      <c r="Q1826">
        <v>0</v>
      </c>
      <c r="R1826" t="s">
        <v>47307</v>
      </c>
      <c r="S1826" t="s">
        <v>47416</v>
      </c>
      <c r="T1826" t="s">
        <v>49017</v>
      </c>
      <c r="U1826" t="s">
        <v>51170</v>
      </c>
      <c r="W1826" t="s">
        <v>43273</v>
      </c>
      <c r="X1826" t="s">
        <v>47306</v>
      </c>
    </row>
    <row r="1827" spans="1:24">
      <c r="A1827">
        <f>HYPERLINK("https://www.philgeps.gov.ph/GEPSNONPILOT/Tender/SplashBidNoticeAbstractUI.aspx?menuIndex=3&amp;refID=7199629&amp;Result=3","7199629")</f>
        <v>0</v>
      </c>
      <c r="B1827" t="s">
        <v>855</v>
      </c>
      <c r="C1827" t="s">
        <v>5629</v>
      </c>
      <c r="E1827" t="s">
        <v>20766</v>
      </c>
      <c r="F1827" t="s">
        <v>32606</v>
      </c>
      <c r="G1827" t="s">
        <v>32614</v>
      </c>
      <c r="H1827" t="s">
        <v>14201</v>
      </c>
      <c r="I1827" t="s">
        <v>32707</v>
      </c>
      <c r="J1827" t="s">
        <v>34112</v>
      </c>
      <c r="K1827" t="s">
        <v>42677</v>
      </c>
      <c r="M1827" t="s">
        <v>43788</v>
      </c>
      <c r="N1827" t="s">
        <v>47304</v>
      </c>
      <c r="O1827" t="s">
        <v>47305</v>
      </c>
      <c r="P1827">
        <v>0</v>
      </c>
      <c r="Q1827">
        <v>0</v>
      </c>
      <c r="R1827" t="s">
        <v>47307</v>
      </c>
      <c r="S1827" t="s">
        <v>47416</v>
      </c>
      <c r="T1827" t="s">
        <v>49194</v>
      </c>
      <c r="U1827" t="s">
        <v>51162</v>
      </c>
      <c r="W1827" t="s">
        <v>43788</v>
      </c>
      <c r="X1827" t="s">
        <v>47306</v>
      </c>
    </row>
    <row r="1828" spans="1:24">
      <c r="A1828">
        <f>HYPERLINK("https://www.philgeps.gov.ph/GEPSNONPILOT/Tender/SplashBidNoticeAbstractUI.aspx?menuIndex=3&amp;refID=7199628&amp;Result=3","7199628")</f>
        <v>0</v>
      </c>
      <c r="B1828" t="s">
        <v>813</v>
      </c>
      <c r="C1828" t="s">
        <v>5630</v>
      </c>
      <c r="D1828" t="s">
        <v>19044</v>
      </c>
      <c r="E1828" t="s">
        <v>20767</v>
      </c>
      <c r="F1828" t="s">
        <v>32606</v>
      </c>
      <c r="G1828" t="s">
        <v>32613</v>
      </c>
      <c r="H1828" t="s">
        <v>32623</v>
      </c>
      <c r="I1828" t="s">
        <v>17648</v>
      </c>
      <c r="J1828" t="s">
        <v>34113</v>
      </c>
      <c r="K1828" t="s">
        <v>42718</v>
      </c>
      <c r="M1828" t="s">
        <v>43744</v>
      </c>
      <c r="N1828" t="s">
        <v>47304</v>
      </c>
      <c r="O1828" t="s">
        <v>47305</v>
      </c>
      <c r="P1828">
        <v>0</v>
      </c>
      <c r="Q1828">
        <v>0</v>
      </c>
      <c r="R1828" t="s">
        <v>47307</v>
      </c>
      <c r="S1828" t="s">
        <v>47416</v>
      </c>
      <c r="T1828" t="s">
        <v>49081</v>
      </c>
      <c r="U1828" t="s">
        <v>51171</v>
      </c>
      <c r="W1828" t="s">
        <v>43744</v>
      </c>
      <c r="X1828" t="s">
        <v>47306</v>
      </c>
    </row>
    <row r="1829" spans="1:24">
      <c r="A1829">
        <f>HYPERLINK("https://www.philgeps.gov.ph/GEPSNONPILOT/Tender/SplashBidNoticeAbstractUI.aspx?menuIndex=3&amp;refID=7199627&amp;Result=3","7199627")</f>
        <v>0</v>
      </c>
      <c r="B1829" t="s">
        <v>238</v>
      </c>
      <c r="C1829" t="s">
        <v>5631</v>
      </c>
      <c r="D1829" t="s">
        <v>18993</v>
      </c>
      <c r="E1829" t="s">
        <v>20768</v>
      </c>
      <c r="F1829" t="s">
        <v>32606</v>
      </c>
      <c r="G1829" t="s">
        <v>32619</v>
      </c>
      <c r="H1829" t="s">
        <v>14201</v>
      </c>
      <c r="I1829" t="s">
        <v>4114</v>
      </c>
      <c r="J1829" t="s">
        <v>34114</v>
      </c>
      <c r="K1829" t="s">
        <v>42622</v>
      </c>
      <c r="M1829" t="s">
        <v>43194</v>
      </c>
      <c r="N1829" t="s">
        <v>47304</v>
      </c>
      <c r="O1829" t="s">
        <v>47305</v>
      </c>
      <c r="P1829">
        <v>0</v>
      </c>
      <c r="Q1829">
        <v>0</v>
      </c>
      <c r="R1829" t="s">
        <v>47307</v>
      </c>
      <c r="S1829" t="s">
        <v>47416</v>
      </c>
      <c r="T1829" t="s">
        <v>49123</v>
      </c>
      <c r="U1829" t="s">
        <v>50120</v>
      </c>
      <c r="V1829" t="s">
        <v>62716</v>
      </c>
      <c r="W1829" t="s">
        <v>43194</v>
      </c>
      <c r="X1829" t="s">
        <v>47306</v>
      </c>
    </row>
    <row r="1830" spans="1:24">
      <c r="A1830">
        <f>HYPERLINK("https://www.philgeps.gov.ph/GEPSNONPILOT/Tender/SplashBidNoticeAbstractUI.aspx?menuIndex=3&amp;refID=7199626&amp;Result=3","7199626")</f>
        <v>0</v>
      </c>
      <c r="B1830" t="s">
        <v>858</v>
      </c>
      <c r="C1830" t="s">
        <v>5632</v>
      </c>
      <c r="D1830" t="s">
        <v>19007</v>
      </c>
      <c r="E1830" t="s">
        <v>20769</v>
      </c>
      <c r="F1830" t="s">
        <v>32606</v>
      </c>
      <c r="G1830" t="s">
        <v>32614</v>
      </c>
      <c r="H1830" t="s">
        <v>14201</v>
      </c>
      <c r="I1830" t="s">
        <v>7233</v>
      </c>
      <c r="J1830" t="s">
        <v>33692</v>
      </c>
      <c r="K1830" t="s">
        <v>42624</v>
      </c>
      <c r="M1830" t="s">
        <v>43791</v>
      </c>
      <c r="N1830" t="s">
        <v>47304</v>
      </c>
      <c r="O1830" t="s">
        <v>47305</v>
      </c>
      <c r="P1830">
        <v>0</v>
      </c>
      <c r="Q1830">
        <v>0</v>
      </c>
      <c r="R1830" t="s">
        <v>47307</v>
      </c>
      <c r="S1830" t="s">
        <v>47416</v>
      </c>
      <c r="T1830" t="s">
        <v>49093</v>
      </c>
      <c r="U1830" t="s">
        <v>51172</v>
      </c>
      <c r="W1830" t="s">
        <v>43791</v>
      </c>
      <c r="X1830" t="s">
        <v>47306</v>
      </c>
    </row>
    <row r="1831" spans="1:24">
      <c r="A1831">
        <f>HYPERLINK("https://www.philgeps.gov.ph/GEPSNONPILOT/Tender/SplashBidNoticeAbstractUI.aspx?menuIndex=3&amp;refID=7199617&amp;Result=3","7199617")</f>
        <v>0</v>
      </c>
      <c r="B1831" t="s">
        <v>839</v>
      </c>
      <c r="C1831" t="s">
        <v>5633</v>
      </c>
      <c r="D1831" t="s">
        <v>19011</v>
      </c>
      <c r="E1831" t="s">
        <v>20770</v>
      </c>
      <c r="F1831" t="s">
        <v>32606</v>
      </c>
      <c r="G1831" t="s">
        <v>32614</v>
      </c>
      <c r="H1831" t="s">
        <v>14201</v>
      </c>
      <c r="I1831" t="s">
        <v>4120</v>
      </c>
      <c r="J1831" t="s">
        <v>34115</v>
      </c>
      <c r="K1831" t="s">
        <v>42631</v>
      </c>
      <c r="M1831" t="s">
        <v>43771</v>
      </c>
      <c r="N1831" t="s">
        <v>47304</v>
      </c>
      <c r="O1831" t="s">
        <v>47305</v>
      </c>
      <c r="P1831">
        <v>0</v>
      </c>
      <c r="Q1831">
        <v>0</v>
      </c>
      <c r="R1831" t="s">
        <v>47307</v>
      </c>
      <c r="S1831" t="s">
        <v>47416</v>
      </c>
      <c r="T1831" t="s">
        <v>48972</v>
      </c>
      <c r="U1831" t="s">
        <v>51118</v>
      </c>
      <c r="W1831" t="s">
        <v>43771</v>
      </c>
      <c r="X1831" t="s">
        <v>47306</v>
      </c>
    </row>
    <row r="1832" spans="1:24">
      <c r="A1832">
        <f>HYPERLINK("https://www.philgeps.gov.ph/GEPSNONPILOT/Tender/SplashBidNoticeAbstractUI.aspx?menuIndex=3&amp;refID=7199633&amp;Result=3","7199633")</f>
        <v>0</v>
      </c>
      <c r="B1832" t="s">
        <v>238</v>
      </c>
      <c r="C1832" t="s">
        <v>5605</v>
      </c>
      <c r="D1832" t="s">
        <v>18993</v>
      </c>
      <c r="E1832" t="s">
        <v>20771</v>
      </c>
      <c r="F1832" t="s">
        <v>32606</v>
      </c>
      <c r="G1832" t="s">
        <v>32619</v>
      </c>
      <c r="H1832" t="s">
        <v>14201</v>
      </c>
      <c r="I1832" t="s">
        <v>32629</v>
      </c>
      <c r="J1832" t="s">
        <v>32833</v>
      </c>
      <c r="K1832" t="s">
        <v>42622</v>
      </c>
      <c r="M1832" t="s">
        <v>43357</v>
      </c>
      <c r="N1832" t="s">
        <v>47304</v>
      </c>
      <c r="O1832" t="s">
        <v>47305</v>
      </c>
      <c r="P1832">
        <v>0</v>
      </c>
      <c r="Q1832">
        <v>0</v>
      </c>
      <c r="R1832" t="s">
        <v>47307</v>
      </c>
      <c r="S1832" t="s">
        <v>47416</v>
      </c>
      <c r="T1832" t="s">
        <v>49123</v>
      </c>
      <c r="U1832" t="s">
        <v>51173</v>
      </c>
      <c r="V1832" t="s">
        <v>62749</v>
      </c>
      <c r="W1832" t="s">
        <v>43357</v>
      </c>
      <c r="X1832" t="s">
        <v>47306</v>
      </c>
    </row>
    <row r="1833" spans="1:24">
      <c r="A1833">
        <f>HYPERLINK("https://www.philgeps.gov.ph/GEPSNONPILOT/Tender/SplashBidNoticeAbstractUI.aspx?menuIndex=3&amp;refID=7199622&amp;Result=3","7199622")</f>
        <v>0</v>
      </c>
      <c r="B1833" t="s">
        <v>856</v>
      </c>
      <c r="C1833" t="s">
        <v>5634</v>
      </c>
      <c r="D1833" t="s">
        <v>18986</v>
      </c>
      <c r="E1833" t="s">
        <v>5634</v>
      </c>
      <c r="F1833" t="s">
        <v>32606</v>
      </c>
      <c r="G1833" t="s">
        <v>32615</v>
      </c>
      <c r="H1833" t="s">
        <v>14201</v>
      </c>
      <c r="I1833" t="s">
        <v>32640</v>
      </c>
      <c r="J1833" t="s">
        <v>33441</v>
      </c>
      <c r="K1833" t="s">
        <v>42623</v>
      </c>
      <c r="M1833" t="s">
        <v>43789</v>
      </c>
      <c r="N1833" t="s">
        <v>47304</v>
      </c>
      <c r="O1833" t="s">
        <v>47305</v>
      </c>
      <c r="P1833">
        <v>0</v>
      </c>
      <c r="Q1833">
        <v>0</v>
      </c>
      <c r="R1833" t="s">
        <v>47307</v>
      </c>
      <c r="S1833" t="s">
        <v>47416</v>
      </c>
      <c r="T1833" t="s">
        <v>49195</v>
      </c>
      <c r="U1833" t="s">
        <v>51174</v>
      </c>
      <c r="W1833" t="s">
        <v>43789</v>
      </c>
      <c r="X1833" t="s">
        <v>47306</v>
      </c>
    </row>
    <row r="1834" spans="1:24">
      <c r="A1834">
        <f>HYPERLINK("https://www.philgeps.gov.ph/GEPSNONPILOT/Tender/SplashBidNoticeAbstractUI.aspx?menuIndex=3&amp;refID=7199620&amp;Result=3","7199620")</f>
        <v>0</v>
      </c>
      <c r="B1834" t="s">
        <v>108</v>
      </c>
      <c r="C1834" t="s">
        <v>5635</v>
      </c>
      <c r="D1834" t="s">
        <v>18997</v>
      </c>
      <c r="E1834" t="s">
        <v>20772</v>
      </c>
      <c r="F1834" t="s">
        <v>32606</v>
      </c>
      <c r="G1834" t="s">
        <v>32619</v>
      </c>
      <c r="H1834" t="s">
        <v>14201</v>
      </c>
      <c r="I1834" t="s">
        <v>6007</v>
      </c>
      <c r="J1834" t="s">
        <v>34116</v>
      </c>
      <c r="K1834" t="s">
        <v>42629</v>
      </c>
      <c r="M1834" t="s">
        <v>43007</v>
      </c>
      <c r="N1834" t="s">
        <v>47304</v>
      </c>
      <c r="O1834" t="s">
        <v>47305</v>
      </c>
      <c r="P1834">
        <v>0</v>
      </c>
      <c r="Q1834">
        <v>0</v>
      </c>
      <c r="R1834" t="s">
        <v>47307</v>
      </c>
      <c r="S1834" t="s">
        <v>47416</v>
      </c>
      <c r="T1834" t="s">
        <v>49010</v>
      </c>
      <c r="U1834" t="s">
        <v>51175</v>
      </c>
      <c r="W1834" t="s">
        <v>43007</v>
      </c>
      <c r="X1834" t="s">
        <v>47306</v>
      </c>
    </row>
    <row r="1835" spans="1:24">
      <c r="A1835">
        <f>HYPERLINK("https://www.philgeps.gov.ph/GEPSNONPILOT/Tender/SplashBidNoticeAbstractUI.aspx?menuIndex=3&amp;refID=7199625&amp;Result=3","7199625")</f>
        <v>0</v>
      </c>
      <c r="B1835" t="s">
        <v>859</v>
      </c>
      <c r="C1835" t="s">
        <v>5636</v>
      </c>
      <c r="E1835" t="s">
        <v>19392</v>
      </c>
      <c r="F1835" t="s">
        <v>32606</v>
      </c>
      <c r="G1835" t="s">
        <v>32613</v>
      </c>
      <c r="H1835" t="s">
        <v>32623</v>
      </c>
      <c r="I1835" t="s">
        <v>17648</v>
      </c>
      <c r="J1835" t="s">
        <v>33441</v>
      </c>
      <c r="K1835" t="s">
        <v>42624</v>
      </c>
      <c r="M1835" t="s">
        <v>43792</v>
      </c>
      <c r="N1835" t="s">
        <v>47304</v>
      </c>
      <c r="O1835" t="s">
        <v>47305</v>
      </c>
      <c r="P1835">
        <v>0</v>
      </c>
      <c r="Q1835">
        <v>0</v>
      </c>
      <c r="R1835" t="s">
        <v>47307</v>
      </c>
      <c r="S1835" t="s">
        <v>47416</v>
      </c>
      <c r="T1835" t="s">
        <v>49057</v>
      </c>
      <c r="U1835" t="s">
        <v>51176</v>
      </c>
      <c r="W1835" t="s">
        <v>43792</v>
      </c>
      <c r="X1835" t="s">
        <v>47306</v>
      </c>
    </row>
    <row r="1836" spans="1:24">
      <c r="A1836">
        <f>HYPERLINK("https://www.philgeps.gov.ph/GEPSNONPILOT/Tender/SplashBidNoticeAbstractUI.aspx?menuIndex=3&amp;refID=7199634&amp;Result=3","7199634")</f>
        <v>0</v>
      </c>
      <c r="B1836" t="s">
        <v>860</v>
      </c>
      <c r="C1836" t="s">
        <v>5637</v>
      </c>
      <c r="D1836" t="s">
        <v>18997</v>
      </c>
      <c r="E1836" t="s">
        <v>20773</v>
      </c>
      <c r="F1836" t="s">
        <v>32606</v>
      </c>
      <c r="G1836" t="s">
        <v>32613</v>
      </c>
      <c r="H1836" t="s">
        <v>14201</v>
      </c>
      <c r="I1836" t="s">
        <v>6931</v>
      </c>
      <c r="J1836" t="s">
        <v>34117</v>
      </c>
      <c r="K1836" t="s">
        <v>42622</v>
      </c>
      <c r="M1836" t="s">
        <v>43793</v>
      </c>
      <c r="N1836" t="s">
        <v>47304</v>
      </c>
      <c r="O1836" t="s">
        <v>47305</v>
      </c>
      <c r="P1836">
        <v>0</v>
      </c>
      <c r="Q1836">
        <v>0</v>
      </c>
      <c r="R1836" t="s">
        <v>47307</v>
      </c>
      <c r="S1836" t="s">
        <v>47416</v>
      </c>
      <c r="T1836" t="s">
        <v>48994</v>
      </c>
      <c r="U1836" t="s">
        <v>51177</v>
      </c>
      <c r="W1836" t="s">
        <v>43793</v>
      </c>
      <c r="X1836" t="s">
        <v>47306</v>
      </c>
    </row>
    <row r="1837" spans="1:24">
      <c r="A1837">
        <f>HYPERLINK("https://www.philgeps.gov.ph/GEPSNONPILOT/Tender/SplashBidNoticeAbstractUI.aspx?menuIndex=3&amp;refID=7199647&amp;Result=3","7199647")</f>
        <v>0</v>
      </c>
      <c r="B1837" t="s">
        <v>857</v>
      </c>
      <c r="C1837" t="s">
        <v>5638</v>
      </c>
      <c r="D1837" t="s">
        <v>19014</v>
      </c>
      <c r="E1837" t="s">
        <v>20774</v>
      </c>
      <c r="F1837" t="s">
        <v>32606</v>
      </c>
      <c r="G1837" t="s">
        <v>32615</v>
      </c>
      <c r="H1837" t="s">
        <v>14201</v>
      </c>
      <c r="I1837" t="s">
        <v>32654</v>
      </c>
      <c r="J1837" t="s">
        <v>34118</v>
      </c>
      <c r="K1837" t="s">
        <v>42630</v>
      </c>
      <c r="M1837" t="s">
        <v>43790</v>
      </c>
      <c r="N1837" t="s">
        <v>47304</v>
      </c>
      <c r="O1837" t="s">
        <v>47305</v>
      </c>
      <c r="P1837">
        <v>0</v>
      </c>
      <c r="Q1837">
        <v>0</v>
      </c>
      <c r="R1837" t="s">
        <v>47307</v>
      </c>
      <c r="S1837" t="s">
        <v>47416</v>
      </c>
      <c r="T1837" t="s">
        <v>48972</v>
      </c>
      <c r="U1837" t="s">
        <v>51178</v>
      </c>
      <c r="W1837" t="s">
        <v>43790</v>
      </c>
      <c r="X1837" t="s">
        <v>47306</v>
      </c>
    </row>
    <row r="1838" spans="1:24">
      <c r="A1838">
        <f>HYPERLINK("https://www.philgeps.gov.ph/GEPSNONPILOT/Tender/SplashBidNoticeAbstractUI.aspx?menuIndex=3&amp;refID=7199632&amp;Result=3","7199632")</f>
        <v>0</v>
      </c>
      <c r="B1838" t="s">
        <v>640</v>
      </c>
      <c r="C1838" t="s">
        <v>5086</v>
      </c>
      <c r="D1838" t="s">
        <v>19066</v>
      </c>
      <c r="E1838" t="s">
        <v>20775</v>
      </c>
      <c r="F1838" t="s">
        <v>32606</v>
      </c>
      <c r="G1838" t="s">
        <v>32614</v>
      </c>
      <c r="H1838" t="s">
        <v>14201</v>
      </c>
      <c r="I1838" t="s">
        <v>6931</v>
      </c>
      <c r="J1838" t="s">
        <v>34119</v>
      </c>
      <c r="K1838" t="s">
        <v>42622</v>
      </c>
      <c r="M1838" t="s">
        <v>43558</v>
      </c>
      <c r="N1838" t="s">
        <v>47304</v>
      </c>
      <c r="O1838" t="s">
        <v>47305</v>
      </c>
      <c r="P1838">
        <v>0</v>
      </c>
      <c r="Q1838">
        <v>0</v>
      </c>
      <c r="R1838" t="s">
        <v>47307</v>
      </c>
      <c r="S1838" t="s">
        <v>47416</v>
      </c>
      <c r="T1838" t="s">
        <v>48987</v>
      </c>
      <c r="U1838" t="s">
        <v>51179</v>
      </c>
      <c r="W1838" t="s">
        <v>43558</v>
      </c>
      <c r="X1838" t="s">
        <v>47306</v>
      </c>
    </row>
    <row r="1839" spans="1:24">
      <c r="A1839">
        <f>HYPERLINK("https://www.philgeps.gov.ph/GEPSNONPILOT/Tender/SplashBidNoticeAbstractUI.aspx?menuIndex=3&amp;refID=7199646&amp;Result=3","7199646")</f>
        <v>0</v>
      </c>
      <c r="B1839" t="s">
        <v>778</v>
      </c>
      <c r="C1839" t="s">
        <v>5639</v>
      </c>
      <c r="D1839" t="s">
        <v>19012</v>
      </c>
      <c r="E1839" t="s">
        <v>19441</v>
      </c>
      <c r="F1839" t="s">
        <v>32606</v>
      </c>
      <c r="G1839" t="s">
        <v>32613</v>
      </c>
      <c r="H1839" t="s">
        <v>14201</v>
      </c>
      <c r="I1839" t="s">
        <v>32631</v>
      </c>
      <c r="J1839" t="s">
        <v>34120</v>
      </c>
      <c r="K1839" t="s">
        <v>42623</v>
      </c>
      <c r="M1839" t="s">
        <v>43708</v>
      </c>
      <c r="N1839" t="s">
        <v>47304</v>
      </c>
      <c r="O1839" t="s">
        <v>47305</v>
      </c>
      <c r="P1839">
        <v>0</v>
      </c>
      <c r="Q1839">
        <v>0</v>
      </c>
      <c r="R1839" t="s">
        <v>47307</v>
      </c>
      <c r="S1839" t="s">
        <v>47416</v>
      </c>
      <c r="T1839" t="s">
        <v>49084</v>
      </c>
      <c r="U1839" t="s">
        <v>51180</v>
      </c>
      <c r="W1839" t="s">
        <v>43708</v>
      </c>
      <c r="X1839" t="s">
        <v>47306</v>
      </c>
    </row>
    <row r="1840" spans="1:24">
      <c r="A1840">
        <f>HYPERLINK("https://www.philgeps.gov.ph/GEPSNONPILOT/Tender/SplashBidNoticeAbstractUI.aspx?menuIndex=3&amp;refID=7199645&amp;Result=3","7199645")</f>
        <v>0</v>
      </c>
      <c r="B1840" t="s">
        <v>689</v>
      </c>
      <c r="C1840" t="s">
        <v>5640</v>
      </c>
      <c r="D1840" t="s">
        <v>19004</v>
      </c>
      <c r="E1840" t="s">
        <v>20776</v>
      </c>
      <c r="F1840" t="s">
        <v>32606</v>
      </c>
      <c r="G1840" t="s">
        <v>32619</v>
      </c>
      <c r="H1840" t="s">
        <v>14201</v>
      </c>
      <c r="I1840" t="s">
        <v>9008</v>
      </c>
      <c r="J1840" t="s">
        <v>34121</v>
      </c>
      <c r="K1840" t="s">
        <v>42624</v>
      </c>
      <c r="M1840" t="s">
        <v>43610</v>
      </c>
      <c r="N1840" t="s">
        <v>47304</v>
      </c>
      <c r="O1840" t="s">
        <v>47305</v>
      </c>
      <c r="P1840">
        <v>0</v>
      </c>
      <c r="Q1840">
        <v>0</v>
      </c>
      <c r="R1840" t="s">
        <v>47307</v>
      </c>
      <c r="S1840" t="s">
        <v>47416</v>
      </c>
      <c r="T1840" t="s">
        <v>49196</v>
      </c>
      <c r="U1840" t="s">
        <v>51181</v>
      </c>
      <c r="W1840" t="s">
        <v>43610</v>
      </c>
      <c r="X1840" t="s">
        <v>47306</v>
      </c>
    </row>
    <row r="1841" spans="1:24">
      <c r="A1841">
        <f>HYPERLINK("https://www.philgeps.gov.ph/GEPSNONPILOT/Tender/SplashBidNoticeAbstractUI.aspx?menuIndex=3&amp;refID=7199643&amp;Result=3","7199643")</f>
        <v>0</v>
      </c>
      <c r="B1841" t="s">
        <v>238</v>
      </c>
      <c r="C1841" t="s">
        <v>5641</v>
      </c>
      <c r="D1841" t="s">
        <v>18993</v>
      </c>
      <c r="E1841" t="s">
        <v>20777</v>
      </c>
      <c r="F1841" t="s">
        <v>32606</v>
      </c>
      <c r="G1841" t="s">
        <v>32619</v>
      </c>
      <c r="H1841" t="s">
        <v>14201</v>
      </c>
      <c r="I1841" t="s">
        <v>32633</v>
      </c>
      <c r="J1841" t="s">
        <v>34122</v>
      </c>
      <c r="K1841" t="s">
        <v>42622</v>
      </c>
      <c r="M1841" t="s">
        <v>43794</v>
      </c>
      <c r="N1841" t="s">
        <v>47304</v>
      </c>
      <c r="O1841" t="s">
        <v>47305</v>
      </c>
      <c r="P1841">
        <v>0</v>
      </c>
      <c r="Q1841">
        <v>0</v>
      </c>
      <c r="R1841" t="s">
        <v>47307</v>
      </c>
      <c r="S1841" t="s">
        <v>47416</v>
      </c>
      <c r="T1841" t="s">
        <v>49014</v>
      </c>
      <c r="U1841" t="s">
        <v>51182</v>
      </c>
      <c r="V1841" t="s">
        <v>62844</v>
      </c>
      <c r="W1841" t="s">
        <v>43794</v>
      </c>
      <c r="X1841" t="s">
        <v>47306</v>
      </c>
    </row>
    <row r="1842" spans="1:24">
      <c r="A1842">
        <f>HYPERLINK("https://www.philgeps.gov.ph/GEPSNONPILOT/Tender/SplashBidNoticeAbstractUI.aspx?menuIndex=3&amp;refID=7199642&amp;Result=3","7199642")</f>
        <v>0</v>
      </c>
      <c r="B1842" t="s">
        <v>861</v>
      </c>
      <c r="C1842" t="s">
        <v>5642</v>
      </c>
      <c r="D1842" t="s">
        <v>19015</v>
      </c>
      <c r="E1842" t="s">
        <v>20778</v>
      </c>
      <c r="F1842" t="s">
        <v>32606</v>
      </c>
      <c r="G1842" t="s">
        <v>32614</v>
      </c>
      <c r="H1842" t="s">
        <v>14201</v>
      </c>
      <c r="I1842" t="s">
        <v>32640</v>
      </c>
      <c r="J1842" t="s">
        <v>34123</v>
      </c>
      <c r="K1842" t="s">
        <v>42624</v>
      </c>
      <c r="M1842" t="s">
        <v>43795</v>
      </c>
      <c r="N1842" t="s">
        <v>47304</v>
      </c>
      <c r="O1842" t="s">
        <v>47305</v>
      </c>
      <c r="P1842">
        <v>0</v>
      </c>
      <c r="Q1842">
        <v>0</v>
      </c>
      <c r="R1842" t="s">
        <v>47307</v>
      </c>
      <c r="S1842" t="s">
        <v>47416</v>
      </c>
      <c r="T1842" t="s">
        <v>49015</v>
      </c>
      <c r="U1842" t="s">
        <v>51183</v>
      </c>
      <c r="W1842" t="s">
        <v>43795</v>
      </c>
      <c r="X1842" t="s">
        <v>47306</v>
      </c>
    </row>
    <row r="1843" spans="1:24">
      <c r="A1843">
        <f>HYPERLINK("https://www.philgeps.gov.ph/GEPSNONPILOT/Tender/SplashBidNoticeAbstractUI.aspx?menuIndex=3&amp;refID=7199641&amp;Result=3","7199641")</f>
        <v>0</v>
      </c>
      <c r="B1843" t="s">
        <v>856</v>
      </c>
      <c r="C1843" t="s">
        <v>5643</v>
      </c>
      <c r="D1843" t="s">
        <v>18986</v>
      </c>
      <c r="E1843" t="s">
        <v>5643</v>
      </c>
      <c r="F1843" t="s">
        <v>32606</v>
      </c>
      <c r="G1843" t="s">
        <v>32615</v>
      </c>
      <c r="H1843" t="s">
        <v>14201</v>
      </c>
      <c r="I1843" t="s">
        <v>7064</v>
      </c>
      <c r="J1843" t="s">
        <v>34124</v>
      </c>
      <c r="K1843" t="s">
        <v>42623</v>
      </c>
      <c r="M1843" t="s">
        <v>43789</v>
      </c>
      <c r="N1843" t="s">
        <v>47304</v>
      </c>
      <c r="O1843" t="s">
        <v>47305</v>
      </c>
      <c r="P1843">
        <v>0</v>
      </c>
      <c r="Q1843">
        <v>0</v>
      </c>
      <c r="R1843" t="s">
        <v>47307</v>
      </c>
      <c r="S1843" t="s">
        <v>47416</v>
      </c>
      <c r="T1843" t="s">
        <v>49195</v>
      </c>
      <c r="U1843" t="s">
        <v>51184</v>
      </c>
      <c r="W1843" t="s">
        <v>43789</v>
      </c>
      <c r="X1843" t="s">
        <v>47306</v>
      </c>
    </row>
    <row r="1844" spans="1:24">
      <c r="A1844">
        <f>HYPERLINK("https://www.philgeps.gov.ph/GEPSNONPILOT/Tender/SplashBidNoticeAbstractUI.aspx?menuIndex=3&amp;refID=7199648&amp;Result=3","7199648")</f>
        <v>0</v>
      </c>
      <c r="B1844" t="s">
        <v>771</v>
      </c>
      <c r="C1844" t="s">
        <v>5644</v>
      </c>
      <c r="D1844" t="s">
        <v>19058</v>
      </c>
      <c r="E1844" t="s">
        <v>20779</v>
      </c>
      <c r="F1844" t="s">
        <v>32606</v>
      </c>
      <c r="G1844" t="s">
        <v>32614</v>
      </c>
      <c r="H1844" t="s">
        <v>14201</v>
      </c>
      <c r="I1844" t="s">
        <v>8682</v>
      </c>
      <c r="J1844" t="s">
        <v>33385</v>
      </c>
      <c r="K1844" t="s">
        <v>42631</v>
      </c>
      <c r="M1844" t="s">
        <v>43699</v>
      </c>
      <c r="N1844" t="s">
        <v>47304</v>
      </c>
      <c r="O1844" t="s">
        <v>47305</v>
      </c>
      <c r="P1844">
        <v>0</v>
      </c>
      <c r="Q1844">
        <v>0</v>
      </c>
      <c r="R1844" t="s">
        <v>47307</v>
      </c>
      <c r="S1844" t="s">
        <v>47416</v>
      </c>
      <c r="T1844" t="s">
        <v>49175</v>
      </c>
      <c r="U1844" t="s">
        <v>50948</v>
      </c>
      <c r="W1844" t="s">
        <v>43699</v>
      </c>
      <c r="X1844" t="s">
        <v>47306</v>
      </c>
    </row>
    <row r="1845" spans="1:24">
      <c r="A1845">
        <f>HYPERLINK("https://www.philgeps.gov.ph/GEPSNONPILOT/Tender/SplashBidNoticeAbstractUI.aspx?menuIndex=3&amp;refID=7199658&amp;Result=3","7199658")</f>
        <v>0</v>
      </c>
      <c r="B1845" t="s">
        <v>862</v>
      </c>
      <c r="C1845" t="s">
        <v>5645</v>
      </c>
      <c r="D1845" t="s">
        <v>18991</v>
      </c>
      <c r="E1845" t="s">
        <v>20780</v>
      </c>
      <c r="F1845" t="s">
        <v>32606</v>
      </c>
      <c r="G1845" t="s">
        <v>32615</v>
      </c>
      <c r="H1845" t="s">
        <v>14201</v>
      </c>
      <c r="I1845" t="s">
        <v>6931</v>
      </c>
      <c r="J1845" t="s">
        <v>34125</v>
      </c>
      <c r="K1845" t="s">
        <v>42623</v>
      </c>
      <c r="M1845" t="s">
        <v>43796</v>
      </c>
      <c r="N1845" t="s">
        <v>47304</v>
      </c>
      <c r="O1845" t="s">
        <v>47305</v>
      </c>
      <c r="P1845">
        <v>0</v>
      </c>
      <c r="Q1845">
        <v>0</v>
      </c>
      <c r="R1845" t="s">
        <v>47307</v>
      </c>
      <c r="S1845" t="s">
        <v>47416</v>
      </c>
      <c r="T1845" t="s">
        <v>48996</v>
      </c>
      <c r="U1845" t="s">
        <v>51185</v>
      </c>
      <c r="W1845" t="s">
        <v>43796</v>
      </c>
      <c r="X1845" t="s">
        <v>47306</v>
      </c>
    </row>
    <row r="1846" spans="1:24">
      <c r="A1846">
        <f>HYPERLINK("https://www.philgeps.gov.ph/GEPSNONPILOT/Tender/SplashBidNoticeAbstractUI.aspx?menuIndex=3&amp;refID=7199623&amp;Result=3","7199623")</f>
        <v>0</v>
      </c>
      <c r="B1846" t="s">
        <v>210</v>
      </c>
      <c r="C1846" t="s">
        <v>5646</v>
      </c>
      <c r="D1846" t="s">
        <v>18986</v>
      </c>
      <c r="E1846" t="s">
        <v>20781</v>
      </c>
      <c r="F1846" t="s">
        <v>32606</v>
      </c>
      <c r="G1846" t="s">
        <v>32613</v>
      </c>
      <c r="H1846" t="s">
        <v>14201</v>
      </c>
      <c r="I1846" t="s">
        <v>6931</v>
      </c>
      <c r="J1846" t="s">
        <v>34126</v>
      </c>
      <c r="K1846" t="s">
        <v>42623</v>
      </c>
      <c r="M1846" t="s">
        <v>43111</v>
      </c>
      <c r="N1846" t="s">
        <v>47304</v>
      </c>
      <c r="O1846" t="s">
        <v>47305</v>
      </c>
      <c r="P1846">
        <v>0</v>
      </c>
      <c r="Q1846">
        <v>0</v>
      </c>
      <c r="R1846" t="s">
        <v>47307</v>
      </c>
      <c r="S1846" t="s">
        <v>47416</v>
      </c>
      <c r="T1846" t="s">
        <v>48971</v>
      </c>
      <c r="U1846" t="s">
        <v>51186</v>
      </c>
      <c r="W1846" t="s">
        <v>43111</v>
      </c>
      <c r="X1846" t="s">
        <v>47306</v>
      </c>
    </row>
    <row r="1847" spans="1:24">
      <c r="A1847">
        <f>HYPERLINK("https://www.philgeps.gov.ph/GEPSNONPILOT/Tender/SplashBidNoticeAbstractUI.aspx?menuIndex=3&amp;refID=7199653&amp;Result=3","7199653")</f>
        <v>0</v>
      </c>
      <c r="B1847" t="s">
        <v>836</v>
      </c>
      <c r="C1847" t="s">
        <v>5647</v>
      </c>
      <c r="E1847" t="s">
        <v>20782</v>
      </c>
      <c r="F1847" t="s">
        <v>32606</v>
      </c>
      <c r="G1847" t="s">
        <v>32614</v>
      </c>
      <c r="H1847" t="s">
        <v>14201</v>
      </c>
      <c r="I1847" t="s">
        <v>32650</v>
      </c>
      <c r="J1847" t="s">
        <v>32765</v>
      </c>
      <c r="K1847" t="s">
        <v>42624</v>
      </c>
      <c r="M1847" t="s">
        <v>43768</v>
      </c>
      <c r="N1847" t="s">
        <v>47304</v>
      </c>
      <c r="O1847" t="s">
        <v>47305</v>
      </c>
      <c r="P1847">
        <v>0</v>
      </c>
      <c r="Q1847">
        <v>0</v>
      </c>
      <c r="R1847" t="s">
        <v>47307</v>
      </c>
      <c r="S1847" t="s">
        <v>47416</v>
      </c>
      <c r="T1847" t="s">
        <v>49175</v>
      </c>
      <c r="U1847" t="s">
        <v>51187</v>
      </c>
      <c r="W1847" t="s">
        <v>43768</v>
      </c>
      <c r="X1847" t="s">
        <v>47306</v>
      </c>
    </row>
    <row r="1848" spans="1:24">
      <c r="A1848">
        <f>HYPERLINK("https://www.philgeps.gov.ph/GEPSNONPILOT/Tender/SplashBidNoticeAbstractUI.aspx?menuIndex=3&amp;refID=7199652&amp;Result=3","7199652")</f>
        <v>0</v>
      </c>
      <c r="B1848" t="s">
        <v>238</v>
      </c>
      <c r="C1848" t="s">
        <v>5605</v>
      </c>
      <c r="D1848" t="s">
        <v>18993</v>
      </c>
      <c r="E1848" t="s">
        <v>20783</v>
      </c>
      <c r="F1848" t="s">
        <v>32606</v>
      </c>
      <c r="G1848" t="s">
        <v>32619</v>
      </c>
      <c r="H1848" t="s">
        <v>14201</v>
      </c>
      <c r="I1848" t="s">
        <v>32629</v>
      </c>
      <c r="J1848" t="s">
        <v>32833</v>
      </c>
      <c r="K1848" t="s">
        <v>42622</v>
      </c>
      <c r="M1848" t="s">
        <v>43357</v>
      </c>
      <c r="N1848" t="s">
        <v>47304</v>
      </c>
      <c r="O1848" t="s">
        <v>47305</v>
      </c>
      <c r="P1848">
        <v>0</v>
      </c>
      <c r="Q1848">
        <v>0</v>
      </c>
      <c r="R1848" t="s">
        <v>47307</v>
      </c>
      <c r="S1848" t="s">
        <v>47416</v>
      </c>
      <c r="T1848" t="s">
        <v>49123</v>
      </c>
      <c r="U1848" t="s">
        <v>51188</v>
      </c>
      <c r="V1848" t="s">
        <v>62749</v>
      </c>
      <c r="W1848" t="s">
        <v>43357</v>
      </c>
      <c r="X1848" t="s">
        <v>47306</v>
      </c>
    </row>
    <row r="1849" spans="1:24">
      <c r="A1849">
        <f>HYPERLINK("https://www.philgeps.gov.ph/GEPSNONPILOT/Tender/SplashBidNoticeAbstractUI.aspx?menuIndex=3&amp;refID=7199649&amp;Result=3","7199649")</f>
        <v>0</v>
      </c>
      <c r="B1849" t="s">
        <v>863</v>
      </c>
      <c r="C1849" t="s">
        <v>5648</v>
      </c>
      <c r="D1849" t="s">
        <v>19001</v>
      </c>
      <c r="E1849" t="s">
        <v>19232</v>
      </c>
      <c r="F1849" t="s">
        <v>32606</v>
      </c>
      <c r="G1849" t="s">
        <v>32613</v>
      </c>
      <c r="H1849" t="s">
        <v>14201</v>
      </c>
      <c r="I1849" t="s">
        <v>6931</v>
      </c>
      <c r="J1849" t="s">
        <v>34127</v>
      </c>
      <c r="K1849" t="s">
        <v>42624</v>
      </c>
      <c r="M1849" t="s">
        <v>43797</v>
      </c>
      <c r="N1849" t="s">
        <v>47304</v>
      </c>
      <c r="O1849" t="s">
        <v>47305</v>
      </c>
      <c r="P1849">
        <v>0</v>
      </c>
      <c r="Q1849">
        <v>0</v>
      </c>
      <c r="R1849" t="s">
        <v>47307</v>
      </c>
      <c r="S1849" t="s">
        <v>47416</v>
      </c>
      <c r="T1849" t="s">
        <v>49059</v>
      </c>
      <c r="U1849" t="s">
        <v>51189</v>
      </c>
      <c r="W1849" t="s">
        <v>43797</v>
      </c>
      <c r="X1849" t="s">
        <v>47306</v>
      </c>
    </row>
    <row r="1850" spans="1:24">
      <c r="A1850">
        <f>HYPERLINK("https://www.philgeps.gov.ph/GEPSNONPILOT/Tender/SplashBidNoticeAbstractUI.aspx?menuIndex=3&amp;refID=7199640&amp;Result=3","7199640")</f>
        <v>0</v>
      </c>
      <c r="B1850" t="s">
        <v>829</v>
      </c>
      <c r="C1850" t="s">
        <v>5649</v>
      </c>
      <c r="D1850" t="s">
        <v>18995</v>
      </c>
      <c r="E1850" t="s">
        <v>20784</v>
      </c>
      <c r="F1850" t="s">
        <v>32606</v>
      </c>
      <c r="G1850" t="s">
        <v>32613</v>
      </c>
      <c r="H1850" t="s">
        <v>14201</v>
      </c>
      <c r="I1850" t="s">
        <v>32686</v>
      </c>
      <c r="J1850" t="s">
        <v>34128</v>
      </c>
      <c r="K1850" t="s">
        <v>42631</v>
      </c>
      <c r="M1850" t="s">
        <v>43760</v>
      </c>
      <c r="N1850" t="s">
        <v>47304</v>
      </c>
      <c r="O1850" t="s">
        <v>47305</v>
      </c>
      <c r="P1850">
        <v>0</v>
      </c>
      <c r="Q1850">
        <v>0</v>
      </c>
      <c r="R1850" t="s">
        <v>47307</v>
      </c>
      <c r="S1850" t="s">
        <v>47416</v>
      </c>
      <c r="T1850" t="s">
        <v>49096</v>
      </c>
      <c r="U1850" t="s">
        <v>51190</v>
      </c>
      <c r="W1850" t="s">
        <v>43760</v>
      </c>
      <c r="X1850" t="s">
        <v>47306</v>
      </c>
    </row>
    <row r="1851" spans="1:24">
      <c r="A1851">
        <f>HYPERLINK("https://www.philgeps.gov.ph/GEPSNONPILOT/Tender/SplashBidNoticeAbstractUI.aspx?menuIndex=3&amp;refID=7199654&amp;Result=3","7199654")</f>
        <v>0</v>
      </c>
      <c r="B1851" t="s">
        <v>864</v>
      </c>
      <c r="C1851" t="s">
        <v>5650</v>
      </c>
      <c r="D1851" t="s">
        <v>18988</v>
      </c>
      <c r="E1851" t="s">
        <v>20785</v>
      </c>
      <c r="F1851" t="s">
        <v>32606</v>
      </c>
      <c r="G1851" t="s">
        <v>32613</v>
      </c>
      <c r="H1851" t="s">
        <v>14201</v>
      </c>
      <c r="I1851" t="s">
        <v>4114</v>
      </c>
      <c r="J1851" t="s">
        <v>34129</v>
      </c>
      <c r="K1851" t="s">
        <v>42631</v>
      </c>
      <c r="M1851" t="s">
        <v>43798</v>
      </c>
      <c r="N1851" t="s">
        <v>47304</v>
      </c>
      <c r="O1851" t="s">
        <v>47305</v>
      </c>
      <c r="P1851">
        <v>0</v>
      </c>
      <c r="Q1851">
        <v>0</v>
      </c>
      <c r="R1851" t="s">
        <v>47307</v>
      </c>
      <c r="S1851" t="s">
        <v>47416</v>
      </c>
      <c r="T1851" t="s">
        <v>49197</v>
      </c>
      <c r="U1851" t="s">
        <v>51191</v>
      </c>
      <c r="W1851" t="s">
        <v>43798</v>
      </c>
      <c r="X1851" t="s">
        <v>47306</v>
      </c>
    </row>
    <row r="1852" spans="1:24">
      <c r="A1852">
        <f>HYPERLINK("https://www.philgeps.gov.ph/GEPSNONPILOT/Tender/SplashBidNoticeAbstractUI.aspx?menuIndex=3&amp;refID=7199650&amp;Result=3","7199650")</f>
        <v>0</v>
      </c>
      <c r="B1852" t="s">
        <v>865</v>
      </c>
      <c r="C1852" t="s">
        <v>5651</v>
      </c>
      <c r="E1852" t="s">
        <v>20786</v>
      </c>
      <c r="F1852" t="s">
        <v>32606</v>
      </c>
      <c r="G1852" t="s">
        <v>32614</v>
      </c>
      <c r="H1852" t="s">
        <v>14201</v>
      </c>
      <c r="I1852" t="s">
        <v>7529</v>
      </c>
      <c r="J1852" t="s">
        <v>34064</v>
      </c>
      <c r="K1852" t="s">
        <v>42624</v>
      </c>
      <c r="M1852" t="s">
        <v>43799</v>
      </c>
      <c r="N1852" t="s">
        <v>47304</v>
      </c>
      <c r="O1852" t="s">
        <v>47305</v>
      </c>
      <c r="P1852">
        <v>0</v>
      </c>
      <c r="Q1852">
        <v>0</v>
      </c>
      <c r="R1852" t="s">
        <v>47307</v>
      </c>
      <c r="S1852" t="s">
        <v>47416</v>
      </c>
      <c r="T1852" t="s">
        <v>48986</v>
      </c>
      <c r="U1852" t="s">
        <v>51192</v>
      </c>
      <c r="W1852" t="s">
        <v>43799</v>
      </c>
      <c r="X1852" t="s">
        <v>47306</v>
      </c>
    </row>
    <row r="1853" spans="1:24">
      <c r="A1853">
        <f>HYPERLINK("https://www.philgeps.gov.ph/GEPSNONPILOT/Tender/SplashBidNoticeAbstractUI.aspx?menuIndex=3&amp;refID=7199637&amp;Result=3","7199637")</f>
        <v>0</v>
      </c>
      <c r="B1853" t="s">
        <v>771</v>
      </c>
      <c r="C1853" t="s">
        <v>5652</v>
      </c>
      <c r="D1853" t="s">
        <v>19058</v>
      </c>
      <c r="E1853" t="s">
        <v>20787</v>
      </c>
      <c r="F1853" t="s">
        <v>32606</v>
      </c>
      <c r="G1853" t="s">
        <v>32614</v>
      </c>
      <c r="H1853" t="s">
        <v>14201</v>
      </c>
      <c r="I1853" t="s">
        <v>6298</v>
      </c>
      <c r="J1853" t="s">
        <v>34130</v>
      </c>
      <c r="K1853" t="s">
        <v>42631</v>
      </c>
      <c r="M1853" t="s">
        <v>43699</v>
      </c>
      <c r="N1853" t="s">
        <v>47304</v>
      </c>
      <c r="O1853" t="s">
        <v>47305</v>
      </c>
      <c r="P1853">
        <v>0</v>
      </c>
      <c r="Q1853">
        <v>0</v>
      </c>
      <c r="R1853" t="s">
        <v>47307</v>
      </c>
      <c r="S1853" t="s">
        <v>47416</v>
      </c>
      <c r="T1853" t="s">
        <v>49175</v>
      </c>
      <c r="U1853" t="s">
        <v>50948</v>
      </c>
      <c r="W1853" t="s">
        <v>43699</v>
      </c>
      <c r="X1853" t="s">
        <v>47306</v>
      </c>
    </row>
    <row r="1854" spans="1:24">
      <c r="A1854">
        <f>HYPERLINK("https://www.philgeps.gov.ph/GEPSNONPILOT/Tender/SplashBidNoticeAbstractUI.aspx?menuIndex=3&amp;refID=7199636&amp;Result=3","7199636")</f>
        <v>0</v>
      </c>
      <c r="B1854" t="s">
        <v>853</v>
      </c>
      <c r="C1854" t="s">
        <v>5653</v>
      </c>
      <c r="D1854" t="s">
        <v>19054</v>
      </c>
      <c r="E1854" t="s">
        <v>20788</v>
      </c>
      <c r="F1854" t="s">
        <v>32606</v>
      </c>
      <c r="G1854" t="s">
        <v>32614</v>
      </c>
      <c r="H1854" t="s">
        <v>14201</v>
      </c>
      <c r="I1854" t="s">
        <v>6931</v>
      </c>
      <c r="J1854" t="s">
        <v>34131</v>
      </c>
      <c r="K1854" t="s">
        <v>42632</v>
      </c>
      <c r="M1854" t="s">
        <v>43786</v>
      </c>
      <c r="N1854" t="s">
        <v>47304</v>
      </c>
      <c r="O1854" t="s">
        <v>47305</v>
      </c>
      <c r="P1854">
        <v>0</v>
      </c>
      <c r="Q1854">
        <v>0</v>
      </c>
      <c r="R1854" t="s">
        <v>47307</v>
      </c>
      <c r="S1854" t="s">
        <v>47416</v>
      </c>
      <c r="T1854" t="s">
        <v>48986</v>
      </c>
      <c r="U1854" t="s">
        <v>51193</v>
      </c>
      <c r="W1854" t="s">
        <v>43786</v>
      </c>
      <c r="X1854" t="s">
        <v>47306</v>
      </c>
    </row>
    <row r="1855" spans="1:24">
      <c r="A1855">
        <f>HYPERLINK("https://www.philgeps.gov.ph/GEPSNONPILOT/Tender/SplashBidNoticeAbstractUI.aspx?menuIndex=3&amp;refID=7199635&amp;Result=3","7199635")</f>
        <v>0</v>
      </c>
      <c r="B1855" t="s">
        <v>540</v>
      </c>
      <c r="C1855" t="s">
        <v>5654</v>
      </c>
      <c r="D1855" t="s">
        <v>19001</v>
      </c>
      <c r="E1855" t="s">
        <v>20789</v>
      </c>
      <c r="F1855" t="s">
        <v>32606</v>
      </c>
      <c r="G1855" t="s">
        <v>32614</v>
      </c>
      <c r="H1855" t="s">
        <v>14201</v>
      </c>
      <c r="I1855" t="s">
        <v>7577</v>
      </c>
      <c r="J1855" t="s">
        <v>34132</v>
      </c>
      <c r="K1855" t="s">
        <v>42622</v>
      </c>
      <c r="M1855" t="s">
        <v>43454</v>
      </c>
      <c r="N1855" t="s">
        <v>47304</v>
      </c>
      <c r="O1855" t="s">
        <v>47305</v>
      </c>
      <c r="P1855">
        <v>0</v>
      </c>
      <c r="Q1855">
        <v>0</v>
      </c>
      <c r="R1855" t="s">
        <v>47307</v>
      </c>
      <c r="S1855" t="s">
        <v>47416</v>
      </c>
      <c r="T1855" t="s">
        <v>48986</v>
      </c>
      <c r="U1855" t="s">
        <v>51194</v>
      </c>
      <c r="W1855" t="s">
        <v>43454</v>
      </c>
      <c r="X1855" t="s">
        <v>47306</v>
      </c>
    </row>
    <row r="1856" spans="1:24">
      <c r="A1856">
        <f>HYPERLINK("https://www.philgeps.gov.ph/GEPSNONPILOT/Tender/SplashBidNoticeAbstractUI.aspx?menuIndex=3&amp;refID=7199659&amp;Result=3","7199659")</f>
        <v>0</v>
      </c>
      <c r="B1856" t="s">
        <v>238</v>
      </c>
      <c r="C1856" t="s">
        <v>5655</v>
      </c>
      <c r="D1856" t="s">
        <v>18993</v>
      </c>
      <c r="E1856" t="s">
        <v>20790</v>
      </c>
      <c r="F1856" t="s">
        <v>32606</v>
      </c>
      <c r="G1856" t="s">
        <v>32619</v>
      </c>
      <c r="H1856" t="s">
        <v>14201</v>
      </c>
      <c r="I1856" t="s">
        <v>32633</v>
      </c>
      <c r="J1856" t="s">
        <v>34133</v>
      </c>
      <c r="K1856" t="s">
        <v>42622</v>
      </c>
      <c r="M1856" t="s">
        <v>43139</v>
      </c>
      <c r="N1856" t="s">
        <v>47304</v>
      </c>
      <c r="O1856" t="s">
        <v>47305</v>
      </c>
      <c r="P1856">
        <v>0</v>
      </c>
      <c r="Q1856">
        <v>0</v>
      </c>
      <c r="R1856" t="s">
        <v>47307</v>
      </c>
      <c r="S1856" t="s">
        <v>47416</v>
      </c>
      <c r="T1856" t="s">
        <v>49123</v>
      </c>
      <c r="U1856" t="s">
        <v>51195</v>
      </c>
      <c r="V1856" t="s">
        <v>62703</v>
      </c>
      <c r="W1856" t="s">
        <v>43139</v>
      </c>
      <c r="X1856" t="s">
        <v>47306</v>
      </c>
    </row>
    <row r="1857" spans="1:24">
      <c r="A1857">
        <f>HYPERLINK("https://www.philgeps.gov.ph/GEPSNONPILOT/Tender/SplashBidNoticeAbstractUI.aspx?menuIndex=3&amp;refID=7199638&amp;Result=3","7199638")</f>
        <v>0</v>
      </c>
      <c r="B1857" t="s">
        <v>839</v>
      </c>
      <c r="C1857" t="s">
        <v>5656</v>
      </c>
      <c r="D1857" t="s">
        <v>19011</v>
      </c>
      <c r="E1857" t="s">
        <v>20791</v>
      </c>
      <c r="F1857" t="s">
        <v>32606</v>
      </c>
      <c r="G1857" t="s">
        <v>32614</v>
      </c>
      <c r="H1857" t="s">
        <v>14201</v>
      </c>
      <c r="I1857" t="s">
        <v>32633</v>
      </c>
      <c r="J1857" t="s">
        <v>34134</v>
      </c>
      <c r="K1857" t="s">
        <v>42631</v>
      </c>
      <c r="M1857" t="s">
        <v>43771</v>
      </c>
      <c r="N1857" t="s">
        <v>47304</v>
      </c>
      <c r="O1857" t="s">
        <v>47305</v>
      </c>
      <c r="P1857">
        <v>0</v>
      </c>
      <c r="Q1857">
        <v>0</v>
      </c>
      <c r="R1857" t="s">
        <v>47307</v>
      </c>
      <c r="S1857" t="s">
        <v>47416</v>
      </c>
      <c r="T1857" t="s">
        <v>48972</v>
      </c>
      <c r="U1857" t="s">
        <v>51118</v>
      </c>
      <c r="W1857" t="s">
        <v>43771</v>
      </c>
      <c r="X1857" t="s">
        <v>47306</v>
      </c>
    </row>
    <row r="1858" spans="1:24">
      <c r="A1858">
        <f>HYPERLINK("https://www.philgeps.gov.ph/GEPSNONPILOT/Tender/SplashBidNoticeAbstractUI.aspx?menuIndex=3&amp;refID=7199673&amp;Result=3","7199673")</f>
        <v>0</v>
      </c>
      <c r="B1858" t="s">
        <v>173</v>
      </c>
      <c r="C1858" t="s">
        <v>5657</v>
      </c>
      <c r="E1858" t="s">
        <v>20792</v>
      </c>
      <c r="F1858" t="s">
        <v>32606</v>
      </c>
      <c r="G1858" t="s">
        <v>32613</v>
      </c>
      <c r="H1858" t="s">
        <v>14201</v>
      </c>
      <c r="I1858" t="s">
        <v>6993</v>
      </c>
      <c r="J1858" t="s">
        <v>34135</v>
      </c>
      <c r="K1858" t="s">
        <v>42624</v>
      </c>
      <c r="M1858" t="s">
        <v>43074</v>
      </c>
      <c r="N1858" t="s">
        <v>47304</v>
      </c>
      <c r="O1858" t="s">
        <v>47305</v>
      </c>
      <c r="P1858">
        <v>0</v>
      </c>
      <c r="Q1858">
        <v>0</v>
      </c>
      <c r="R1858" t="s">
        <v>47307</v>
      </c>
      <c r="S1858" t="s">
        <v>47416</v>
      </c>
      <c r="T1858" t="s">
        <v>49116</v>
      </c>
      <c r="U1858" t="s">
        <v>50542</v>
      </c>
      <c r="W1858" t="s">
        <v>43074</v>
      </c>
      <c r="X1858" t="s">
        <v>47306</v>
      </c>
    </row>
    <row r="1859" spans="1:24">
      <c r="A1859">
        <f>HYPERLINK("https://www.philgeps.gov.ph/GEPSNONPILOT/Tender/SplashBidNoticeAbstractUI.aspx?menuIndex=3&amp;refID=7199619&amp;Result=3","7199619")</f>
        <v>0</v>
      </c>
      <c r="B1859" t="s">
        <v>774</v>
      </c>
      <c r="C1859" t="s">
        <v>5658</v>
      </c>
      <c r="D1859" t="s">
        <v>19000</v>
      </c>
      <c r="E1859" t="s">
        <v>20793</v>
      </c>
      <c r="F1859" t="s">
        <v>32606</v>
      </c>
      <c r="G1859" t="s">
        <v>32614</v>
      </c>
      <c r="H1859" t="s">
        <v>14201</v>
      </c>
      <c r="I1859" t="s">
        <v>7677</v>
      </c>
      <c r="J1859" t="s">
        <v>33533</v>
      </c>
      <c r="K1859" t="s">
        <v>42622</v>
      </c>
      <c r="M1859" t="s">
        <v>43703</v>
      </c>
      <c r="N1859" t="s">
        <v>47304</v>
      </c>
      <c r="O1859" t="s">
        <v>47305</v>
      </c>
      <c r="P1859">
        <v>0</v>
      </c>
      <c r="Q1859">
        <v>0</v>
      </c>
      <c r="R1859" t="s">
        <v>47307</v>
      </c>
      <c r="S1859" t="s">
        <v>47416</v>
      </c>
      <c r="T1859" t="s">
        <v>49023</v>
      </c>
      <c r="U1859" t="s">
        <v>51196</v>
      </c>
      <c r="W1859" t="s">
        <v>43703</v>
      </c>
      <c r="X1859" t="s">
        <v>47306</v>
      </c>
    </row>
    <row r="1860" spans="1:24">
      <c r="A1860">
        <f>HYPERLINK("https://www.philgeps.gov.ph/GEPSNONPILOT/Tender/SplashBidNoticeAbstractUI.aspx?menuIndex=3&amp;refID=7199678&amp;Result=3","7199678")</f>
        <v>0</v>
      </c>
      <c r="B1860" t="s">
        <v>646</v>
      </c>
      <c r="C1860" t="s">
        <v>5659</v>
      </c>
      <c r="D1860" t="s">
        <v>19002</v>
      </c>
      <c r="E1860" t="s">
        <v>20794</v>
      </c>
      <c r="F1860" t="s">
        <v>32606</v>
      </c>
      <c r="G1860" t="s">
        <v>32619</v>
      </c>
      <c r="H1860" t="s">
        <v>14201</v>
      </c>
      <c r="I1860" t="s">
        <v>6931</v>
      </c>
      <c r="J1860" t="s">
        <v>34136</v>
      </c>
      <c r="K1860" t="s">
        <v>42632</v>
      </c>
      <c r="M1860" t="s">
        <v>43564</v>
      </c>
      <c r="N1860" t="s">
        <v>47304</v>
      </c>
      <c r="O1860" t="s">
        <v>47305</v>
      </c>
      <c r="P1860">
        <v>0</v>
      </c>
      <c r="Q1860">
        <v>0</v>
      </c>
      <c r="R1860" t="s">
        <v>47307</v>
      </c>
      <c r="S1860" t="s">
        <v>47416</v>
      </c>
      <c r="T1860" t="s">
        <v>49068</v>
      </c>
      <c r="U1860" t="s">
        <v>51197</v>
      </c>
      <c r="W1860" t="s">
        <v>43564</v>
      </c>
      <c r="X1860" t="s">
        <v>47306</v>
      </c>
    </row>
    <row r="1861" spans="1:24">
      <c r="A1861">
        <f>HYPERLINK("https://www.philgeps.gov.ph/GEPSNONPILOT/Tender/SplashBidNoticeAbstractUI.aspx?menuIndex=3&amp;refID=7199677&amp;Result=3","7199677")</f>
        <v>0</v>
      </c>
      <c r="B1861" t="s">
        <v>806</v>
      </c>
      <c r="C1861" t="s">
        <v>5660</v>
      </c>
      <c r="D1861" t="s">
        <v>19033</v>
      </c>
      <c r="E1861" t="s">
        <v>20795</v>
      </c>
      <c r="F1861" t="s">
        <v>32606</v>
      </c>
      <c r="G1861" t="s">
        <v>32613</v>
      </c>
      <c r="H1861" t="s">
        <v>32623</v>
      </c>
      <c r="I1861" t="s">
        <v>17648</v>
      </c>
      <c r="J1861" t="s">
        <v>32772</v>
      </c>
      <c r="K1861" t="s">
        <v>42646</v>
      </c>
      <c r="M1861" t="s">
        <v>43737</v>
      </c>
      <c r="N1861" t="s">
        <v>47304</v>
      </c>
      <c r="O1861" t="s">
        <v>47305</v>
      </c>
      <c r="P1861">
        <v>0</v>
      </c>
      <c r="Q1861">
        <v>0</v>
      </c>
      <c r="R1861" t="s">
        <v>47307</v>
      </c>
      <c r="S1861" t="s">
        <v>47416</v>
      </c>
      <c r="T1861" t="s">
        <v>48983</v>
      </c>
      <c r="U1861" t="s">
        <v>51198</v>
      </c>
      <c r="W1861" t="s">
        <v>43737</v>
      </c>
      <c r="X1861" t="s">
        <v>47306</v>
      </c>
    </row>
    <row r="1862" spans="1:24">
      <c r="A1862">
        <f>HYPERLINK("https://www.philgeps.gov.ph/GEPSNONPILOT/Tender/SplashBidNoticeAbstractUI.aspx?menuIndex=3&amp;refID=7199676&amp;Result=3","7199676")</f>
        <v>0</v>
      </c>
      <c r="B1862" t="s">
        <v>813</v>
      </c>
      <c r="C1862" t="s">
        <v>5661</v>
      </c>
      <c r="D1862" t="s">
        <v>19044</v>
      </c>
      <c r="E1862" t="s">
        <v>20148</v>
      </c>
      <c r="F1862" t="s">
        <v>32606</v>
      </c>
      <c r="G1862" t="s">
        <v>32613</v>
      </c>
      <c r="H1862" t="s">
        <v>32623</v>
      </c>
      <c r="I1862" t="s">
        <v>17648</v>
      </c>
      <c r="J1862" t="s">
        <v>34137</v>
      </c>
      <c r="K1862" t="s">
        <v>42719</v>
      </c>
      <c r="M1862" t="s">
        <v>43744</v>
      </c>
      <c r="N1862" t="s">
        <v>47304</v>
      </c>
      <c r="O1862" t="s">
        <v>47305</v>
      </c>
      <c r="P1862">
        <v>0</v>
      </c>
      <c r="Q1862">
        <v>0</v>
      </c>
      <c r="R1862" t="s">
        <v>47307</v>
      </c>
      <c r="S1862" t="s">
        <v>47416</v>
      </c>
      <c r="T1862" t="s">
        <v>49017</v>
      </c>
      <c r="U1862" t="s">
        <v>51199</v>
      </c>
      <c r="W1862" t="s">
        <v>43744</v>
      </c>
      <c r="X1862" t="s">
        <v>47306</v>
      </c>
    </row>
    <row r="1863" spans="1:24">
      <c r="A1863">
        <f>HYPERLINK("https://www.philgeps.gov.ph/GEPSNONPILOT/Tender/SplashBidNoticeAbstractUI.aspx?menuIndex=3&amp;refID=7199656&amp;Result=3","7199656")</f>
        <v>0</v>
      </c>
      <c r="B1863" t="s">
        <v>856</v>
      </c>
      <c r="C1863" t="s">
        <v>5643</v>
      </c>
      <c r="D1863" t="s">
        <v>18986</v>
      </c>
      <c r="E1863" t="s">
        <v>5643</v>
      </c>
      <c r="F1863" t="s">
        <v>32606</v>
      </c>
      <c r="G1863" t="s">
        <v>32615</v>
      </c>
      <c r="H1863" t="s">
        <v>14201</v>
      </c>
      <c r="I1863" t="s">
        <v>7064</v>
      </c>
      <c r="J1863" t="s">
        <v>34138</v>
      </c>
      <c r="K1863" t="s">
        <v>42623</v>
      </c>
      <c r="M1863" t="s">
        <v>43789</v>
      </c>
      <c r="N1863" t="s">
        <v>47304</v>
      </c>
      <c r="O1863" t="s">
        <v>47305</v>
      </c>
      <c r="P1863">
        <v>0</v>
      </c>
      <c r="Q1863">
        <v>0</v>
      </c>
      <c r="R1863" t="s">
        <v>47307</v>
      </c>
      <c r="S1863" t="s">
        <v>47416</v>
      </c>
      <c r="T1863" t="s">
        <v>49195</v>
      </c>
      <c r="U1863" t="s">
        <v>51184</v>
      </c>
      <c r="W1863" t="s">
        <v>43789</v>
      </c>
      <c r="X1863" t="s">
        <v>47306</v>
      </c>
    </row>
    <row r="1864" spans="1:24">
      <c r="A1864">
        <f>HYPERLINK("https://www.philgeps.gov.ph/GEPSNONPILOT/Tender/SplashBidNoticeAbstractUI.aspx?menuIndex=3&amp;refID=7199671&amp;Result=3","7199671")</f>
        <v>0</v>
      </c>
      <c r="B1864" t="s">
        <v>853</v>
      </c>
      <c r="C1864" t="s">
        <v>5662</v>
      </c>
      <c r="D1864" t="s">
        <v>19054</v>
      </c>
      <c r="E1864" t="s">
        <v>20796</v>
      </c>
      <c r="F1864" t="s">
        <v>32606</v>
      </c>
      <c r="G1864" t="s">
        <v>32614</v>
      </c>
      <c r="H1864" t="s">
        <v>14201</v>
      </c>
      <c r="I1864" t="s">
        <v>6931</v>
      </c>
      <c r="J1864" t="s">
        <v>34139</v>
      </c>
      <c r="K1864" t="s">
        <v>42632</v>
      </c>
      <c r="M1864" t="s">
        <v>43786</v>
      </c>
      <c r="N1864" t="s">
        <v>47304</v>
      </c>
      <c r="O1864" t="s">
        <v>47305</v>
      </c>
      <c r="P1864">
        <v>0</v>
      </c>
      <c r="Q1864">
        <v>0</v>
      </c>
      <c r="R1864" t="s">
        <v>47307</v>
      </c>
      <c r="S1864" t="s">
        <v>47416</v>
      </c>
      <c r="T1864" t="s">
        <v>48986</v>
      </c>
      <c r="U1864" t="s">
        <v>51200</v>
      </c>
      <c r="W1864" t="s">
        <v>43786</v>
      </c>
      <c r="X1864" t="s">
        <v>47306</v>
      </c>
    </row>
    <row r="1865" spans="1:24">
      <c r="A1865">
        <f>HYPERLINK("https://www.philgeps.gov.ph/GEPSNONPILOT/Tender/SplashBidNoticeAbstractUI.aspx?menuIndex=3&amp;refID=7199672&amp;Result=3","7199672")</f>
        <v>0</v>
      </c>
      <c r="B1865" t="s">
        <v>238</v>
      </c>
      <c r="C1865" t="s">
        <v>5663</v>
      </c>
      <c r="D1865" t="s">
        <v>18993</v>
      </c>
      <c r="E1865" t="s">
        <v>20797</v>
      </c>
      <c r="F1865" t="s">
        <v>32606</v>
      </c>
      <c r="G1865" t="s">
        <v>32619</v>
      </c>
      <c r="H1865" t="s">
        <v>14201</v>
      </c>
      <c r="I1865" t="s">
        <v>32629</v>
      </c>
      <c r="J1865" t="s">
        <v>34140</v>
      </c>
      <c r="K1865" t="s">
        <v>42622</v>
      </c>
      <c r="M1865" t="s">
        <v>43357</v>
      </c>
      <c r="N1865" t="s">
        <v>47304</v>
      </c>
      <c r="O1865" t="s">
        <v>47305</v>
      </c>
      <c r="P1865">
        <v>0</v>
      </c>
      <c r="Q1865">
        <v>0</v>
      </c>
      <c r="R1865" t="s">
        <v>47307</v>
      </c>
      <c r="S1865" t="s">
        <v>47416</v>
      </c>
      <c r="T1865" t="s">
        <v>49123</v>
      </c>
      <c r="U1865" t="s">
        <v>51201</v>
      </c>
      <c r="V1865" t="s">
        <v>62749</v>
      </c>
      <c r="W1865" t="s">
        <v>43357</v>
      </c>
      <c r="X1865" t="s">
        <v>47306</v>
      </c>
    </row>
    <row r="1866" spans="1:24">
      <c r="A1866">
        <f>HYPERLINK("https://www.philgeps.gov.ph/GEPSNONPILOT/Tender/SplashBidNoticeAbstractUI.aspx?menuIndex=3&amp;refID=7199669&amp;Result=3","7199669")</f>
        <v>0</v>
      </c>
      <c r="B1866" t="s">
        <v>866</v>
      </c>
      <c r="C1866" t="s">
        <v>5664</v>
      </c>
      <c r="E1866" t="s">
        <v>20798</v>
      </c>
      <c r="F1866" t="s">
        <v>32606</v>
      </c>
      <c r="G1866" t="s">
        <v>32614</v>
      </c>
      <c r="H1866" t="s">
        <v>14201</v>
      </c>
      <c r="I1866" t="s">
        <v>32640</v>
      </c>
      <c r="J1866" t="s">
        <v>32950</v>
      </c>
      <c r="K1866" t="s">
        <v>42624</v>
      </c>
      <c r="M1866" t="s">
        <v>43800</v>
      </c>
      <c r="N1866" t="s">
        <v>47304</v>
      </c>
      <c r="O1866" t="s">
        <v>47305</v>
      </c>
      <c r="P1866">
        <v>0</v>
      </c>
      <c r="Q1866">
        <v>0</v>
      </c>
      <c r="R1866" t="s">
        <v>47307</v>
      </c>
      <c r="S1866" t="s">
        <v>47416</v>
      </c>
      <c r="T1866" t="s">
        <v>48986</v>
      </c>
      <c r="U1866" t="s">
        <v>51202</v>
      </c>
      <c r="V1866" t="s">
        <v>62845</v>
      </c>
      <c r="W1866" t="s">
        <v>43800</v>
      </c>
      <c r="X1866" t="s">
        <v>47306</v>
      </c>
    </row>
    <row r="1867" spans="1:24">
      <c r="A1867">
        <f>HYPERLINK("https://www.philgeps.gov.ph/GEPSNONPILOT/Tender/SplashBidNoticeAbstractUI.aspx?menuIndex=3&amp;refID=7199667&amp;Result=3","7199667")</f>
        <v>0</v>
      </c>
      <c r="B1867" t="s">
        <v>867</v>
      </c>
      <c r="C1867" t="s">
        <v>5665</v>
      </c>
      <c r="D1867" t="s">
        <v>19040</v>
      </c>
      <c r="E1867" t="s">
        <v>20799</v>
      </c>
      <c r="F1867" t="s">
        <v>32606</v>
      </c>
      <c r="G1867" t="s">
        <v>32614</v>
      </c>
      <c r="H1867" t="s">
        <v>14201</v>
      </c>
      <c r="I1867" t="s">
        <v>7677</v>
      </c>
      <c r="J1867" t="s">
        <v>34141</v>
      </c>
      <c r="K1867" t="s">
        <v>42631</v>
      </c>
      <c r="M1867" t="s">
        <v>43801</v>
      </c>
      <c r="N1867" t="s">
        <v>47304</v>
      </c>
      <c r="O1867" t="s">
        <v>47305</v>
      </c>
      <c r="P1867">
        <v>0</v>
      </c>
      <c r="Q1867">
        <v>0</v>
      </c>
      <c r="R1867" t="s">
        <v>47307</v>
      </c>
      <c r="S1867" t="s">
        <v>47416</v>
      </c>
      <c r="T1867" t="s">
        <v>48972</v>
      </c>
      <c r="U1867" t="s">
        <v>51203</v>
      </c>
      <c r="W1867" t="s">
        <v>43801</v>
      </c>
      <c r="X1867" t="s">
        <v>47306</v>
      </c>
    </row>
    <row r="1868" spans="1:24">
      <c r="A1868">
        <f>HYPERLINK("https://www.philgeps.gov.ph/GEPSNONPILOT/Tender/SplashBidNoticeAbstractUI.aspx?menuIndex=3&amp;refID=7199615&amp;Result=3","7199615")</f>
        <v>0</v>
      </c>
      <c r="B1868" t="s">
        <v>726</v>
      </c>
      <c r="C1868" t="s">
        <v>5666</v>
      </c>
      <c r="D1868" t="s">
        <v>19009</v>
      </c>
      <c r="E1868" t="s">
        <v>20800</v>
      </c>
      <c r="F1868" t="s">
        <v>32606</v>
      </c>
      <c r="G1868" t="s">
        <v>32613</v>
      </c>
      <c r="H1868" t="s">
        <v>14201</v>
      </c>
      <c r="I1868" t="s">
        <v>32647</v>
      </c>
      <c r="J1868" t="s">
        <v>32833</v>
      </c>
      <c r="K1868" t="s">
        <v>42623</v>
      </c>
      <c r="M1868" t="s">
        <v>43648</v>
      </c>
      <c r="N1868" t="s">
        <v>47304</v>
      </c>
      <c r="O1868" t="s">
        <v>47305</v>
      </c>
      <c r="P1868">
        <v>0</v>
      </c>
      <c r="Q1868">
        <v>0</v>
      </c>
      <c r="R1868" t="s">
        <v>47307</v>
      </c>
      <c r="S1868" t="s">
        <v>47416</v>
      </c>
      <c r="T1868" t="s">
        <v>49198</v>
      </c>
      <c r="U1868" t="s">
        <v>51204</v>
      </c>
      <c r="V1868" t="s">
        <v>62846</v>
      </c>
      <c r="W1868" t="s">
        <v>43648</v>
      </c>
      <c r="X1868" t="s">
        <v>47306</v>
      </c>
    </row>
    <row r="1869" spans="1:24">
      <c r="A1869">
        <f>HYPERLINK("https://www.philgeps.gov.ph/GEPSNONPILOT/Tender/SplashBidNoticeAbstractUI.aspx?menuIndex=3&amp;refID=7199679&amp;Result=3","7199679")</f>
        <v>0</v>
      </c>
      <c r="B1869" t="s">
        <v>726</v>
      </c>
      <c r="C1869" t="s">
        <v>5667</v>
      </c>
      <c r="D1869" t="s">
        <v>19009</v>
      </c>
      <c r="E1869" t="s">
        <v>20801</v>
      </c>
      <c r="F1869" t="s">
        <v>32606</v>
      </c>
      <c r="G1869" t="s">
        <v>32613</v>
      </c>
      <c r="H1869" t="s">
        <v>14201</v>
      </c>
      <c r="I1869" t="s">
        <v>32640</v>
      </c>
      <c r="J1869" t="s">
        <v>33291</v>
      </c>
      <c r="K1869" t="s">
        <v>42623</v>
      </c>
      <c r="M1869" t="s">
        <v>43648</v>
      </c>
      <c r="N1869" t="s">
        <v>47304</v>
      </c>
      <c r="O1869" t="s">
        <v>47305</v>
      </c>
      <c r="P1869">
        <v>0</v>
      </c>
      <c r="Q1869">
        <v>0</v>
      </c>
      <c r="R1869" t="s">
        <v>47307</v>
      </c>
      <c r="S1869" t="s">
        <v>47416</v>
      </c>
      <c r="T1869" t="s">
        <v>49198</v>
      </c>
      <c r="U1869" t="s">
        <v>51205</v>
      </c>
      <c r="V1869" t="s">
        <v>62846</v>
      </c>
      <c r="W1869" t="s">
        <v>43648</v>
      </c>
      <c r="X1869" t="s">
        <v>47306</v>
      </c>
    </row>
    <row r="1870" spans="1:24">
      <c r="A1870">
        <f>HYPERLINK("https://www.philgeps.gov.ph/GEPSNONPILOT/Tender/SplashBidNoticeAbstractUI.aspx?menuIndex=3&amp;refID=7199703&amp;Result=3","7199703")</f>
        <v>0</v>
      </c>
      <c r="B1870" t="s">
        <v>868</v>
      </c>
      <c r="C1870" t="s">
        <v>5668</v>
      </c>
      <c r="D1870" t="s">
        <v>18989</v>
      </c>
      <c r="E1870" t="s">
        <v>20802</v>
      </c>
      <c r="F1870" t="s">
        <v>32606</v>
      </c>
      <c r="G1870" t="s">
        <v>32614</v>
      </c>
      <c r="H1870" t="s">
        <v>14201</v>
      </c>
      <c r="I1870" t="s">
        <v>32640</v>
      </c>
      <c r="J1870" t="s">
        <v>34142</v>
      </c>
      <c r="K1870" t="s">
        <v>42631</v>
      </c>
      <c r="M1870" t="s">
        <v>43802</v>
      </c>
      <c r="N1870" t="s">
        <v>47304</v>
      </c>
      <c r="O1870" t="s">
        <v>47305</v>
      </c>
      <c r="P1870">
        <v>0</v>
      </c>
      <c r="Q1870">
        <v>0</v>
      </c>
      <c r="R1870" t="s">
        <v>47307</v>
      </c>
      <c r="S1870" t="s">
        <v>47416</v>
      </c>
      <c r="T1870" t="s">
        <v>48977</v>
      </c>
      <c r="U1870" t="s">
        <v>51206</v>
      </c>
      <c r="W1870" t="s">
        <v>43802</v>
      </c>
      <c r="X1870" t="s">
        <v>47306</v>
      </c>
    </row>
    <row r="1871" spans="1:24">
      <c r="A1871">
        <f>HYPERLINK("https://www.philgeps.gov.ph/GEPSNONPILOT/Tender/SplashBidNoticeAbstractUI.aspx?menuIndex=3&amp;refID=7199675&amp;Result=3","7199675")</f>
        <v>0</v>
      </c>
      <c r="B1871" t="s">
        <v>469</v>
      </c>
      <c r="C1871" t="s">
        <v>5669</v>
      </c>
      <c r="D1871" t="s">
        <v>19022</v>
      </c>
      <c r="E1871" t="s">
        <v>20803</v>
      </c>
      <c r="F1871" t="s">
        <v>32606</v>
      </c>
      <c r="G1871" t="s">
        <v>32614</v>
      </c>
      <c r="H1871" t="s">
        <v>14201</v>
      </c>
      <c r="I1871" t="s">
        <v>32634</v>
      </c>
      <c r="J1871" t="s">
        <v>33195</v>
      </c>
      <c r="K1871" t="s">
        <v>42623</v>
      </c>
      <c r="M1871" t="s">
        <v>43380</v>
      </c>
      <c r="N1871" t="s">
        <v>47304</v>
      </c>
      <c r="O1871" t="s">
        <v>47305</v>
      </c>
      <c r="P1871">
        <v>0</v>
      </c>
      <c r="Q1871">
        <v>0</v>
      </c>
      <c r="R1871" t="s">
        <v>47307</v>
      </c>
      <c r="S1871" t="s">
        <v>47416</v>
      </c>
      <c r="T1871" t="s">
        <v>48996</v>
      </c>
      <c r="U1871" t="s">
        <v>51207</v>
      </c>
      <c r="V1871" t="s">
        <v>62847</v>
      </c>
      <c r="W1871" t="s">
        <v>43380</v>
      </c>
      <c r="X1871" t="s">
        <v>47306</v>
      </c>
    </row>
    <row r="1872" spans="1:24">
      <c r="A1872">
        <f>HYPERLINK("https://www.philgeps.gov.ph/GEPSNONPILOT/Tender/SplashBidNoticeAbstractUI.aspx?menuIndex=3&amp;refID=7199700&amp;Result=3","7199700")</f>
        <v>0</v>
      </c>
      <c r="B1872" t="s">
        <v>536</v>
      </c>
      <c r="C1872" t="s">
        <v>5670</v>
      </c>
      <c r="D1872" t="s">
        <v>19037</v>
      </c>
      <c r="E1872" t="s">
        <v>20804</v>
      </c>
      <c r="F1872" t="s">
        <v>32606</v>
      </c>
      <c r="G1872" t="s">
        <v>32614</v>
      </c>
      <c r="H1872" t="s">
        <v>14201</v>
      </c>
      <c r="I1872" t="s">
        <v>32664</v>
      </c>
      <c r="J1872" t="s">
        <v>32956</v>
      </c>
      <c r="K1872" t="s">
        <v>42623</v>
      </c>
      <c r="M1872" t="s">
        <v>43449</v>
      </c>
      <c r="N1872" t="s">
        <v>47304</v>
      </c>
      <c r="O1872" t="s">
        <v>47305</v>
      </c>
      <c r="P1872">
        <v>0</v>
      </c>
      <c r="Q1872">
        <v>0</v>
      </c>
      <c r="R1872" t="s">
        <v>47307</v>
      </c>
      <c r="S1872" t="s">
        <v>47416</v>
      </c>
      <c r="T1872" t="s">
        <v>48975</v>
      </c>
      <c r="U1872" t="s">
        <v>50489</v>
      </c>
      <c r="W1872" t="s">
        <v>64439</v>
      </c>
      <c r="X1872" t="s">
        <v>47306</v>
      </c>
    </row>
    <row r="1873" spans="1:24">
      <c r="A1873">
        <f>HYPERLINK("https://www.philgeps.gov.ph/GEPSNONPILOT/Tender/SplashBidNoticeAbstractUI.aspx?menuIndex=3&amp;refID=7199698&amp;Result=3","7199698")</f>
        <v>0</v>
      </c>
      <c r="B1873" t="s">
        <v>869</v>
      </c>
      <c r="C1873" t="s">
        <v>5671</v>
      </c>
      <c r="E1873" t="s">
        <v>20805</v>
      </c>
      <c r="F1873" t="s">
        <v>32606</v>
      </c>
      <c r="G1873" t="s">
        <v>32614</v>
      </c>
      <c r="H1873" t="s">
        <v>14201</v>
      </c>
      <c r="I1873" t="s">
        <v>32655</v>
      </c>
      <c r="J1873" t="s">
        <v>34143</v>
      </c>
      <c r="K1873" t="s">
        <v>42624</v>
      </c>
      <c r="M1873" t="s">
        <v>43803</v>
      </c>
      <c r="N1873" t="s">
        <v>47304</v>
      </c>
      <c r="O1873" t="s">
        <v>47305</v>
      </c>
      <c r="P1873">
        <v>0</v>
      </c>
      <c r="Q1873">
        <v>0</v>
      </c>
      <c r="R1873" t="s">
        <v>47307</v>
      </c>
      <c r="S1873" t="s">
        <v>47416</v>
      </c>
      <c r="T1873" t="s">
        <v>48988</v>
      </c>
      <c r="U1873" t="s">
        <v>49608</v>
      </c>
      <c r="W1873" t="s">
        <v>43803</v>
      </c>
      <c r="X1873" t="s">
        <v>47306</v>
      </c>
    </row>
    <row r="1874" spans="1:24">
      <c r="A1874">
        <f>HYPERLINK("https://www.philgeps.gov.ph/GEPSNONPILOT/Tender/SplashBidNoticeAbstractUI.aspx?menuIndex=3&amp;refID=7199613&amp;Result=3","7199613")</f>
        <v>0</v>
      </c>
      <c r="B1874" t="s">
        <v>853</v>
      </c>
      <c r="C1874" t="s">
        <v>5672</v>
      </c>
      <c r="D1874" t="s">
        <v>19054</v>
      </c>
      <c r="E1874" t="s">
        <v>20806</v>
      </c>
      <c r="F1874" t="s">
        <v>32606</v>
      </c>
      <c r="G1874" t="s">
        <v>32614</v>
      </c>
      <c r="H1874" t="s">
        <v>14201</v>
      </c>
      <c r="I1874" t="s">
        <v>6298</v>
      </c>
      <c r="J1874" t="s">
        <v>34144</v>
      </c>
      <c r="K1874" t="s">
        <v>42632</v>
      </c>
      <c r="M1874" t="s">
        <v>43786</v>
      </c>
      <c r="N1874" t="s">
        <v>47304</v>
      </c>
      <c r="O1874" t="s">
        <v>47305</v>
      </c>
      <c r="P1874">
        <v>0</v>
      </c>
      <c r="Q1874">
        <v>0</v>
      </c>
      <c r="R1874" t="s">
        <v>47307</v>
      </c>
      <c r="S1874" t="s">
        <v>47416</v>
      </c>
      <c r="T1874" t="s">
        <v>48986</v>
      </c>
      <c r="U1874" t="s">
        <v>51208</v>
      </c>
      <c r="W1874" t="s">
        <v>43786</v>
      </c>
      <c r="X1874" t="s">
        <v>47306</v>
      </c>
    </row>
    <row r="1875" spans="1:24">
      <c r="A1875">
        <f>HYPERLINK("https://www.philgeps.gov.ph/GEPSNONPILOT/Tender/SplashBidNoticeAbstractUI.aspx?menuIndex=3&amp;refID=7199697&amp;Result=3","7199697")</f>
        <v>0</v>
      </c>
      <c r="B1875" t="s">
        <v>870</v>
      </c>
      <c r="C1875" t="s">
        <v>5673</v>
      </c>
      <c r="D1875" t="s">
        <v>18993</v>
      </c>
      <c r="E1875" t="s">
        <v>19312</v>
      </c>
      <c r="F1875" t="s">
        <v>32606</v>
      </c>
      <c r="G1875" t="s">
        <v>32614</v>
      </c>
      <c r="H1875" t="s">
        <v>14201</v>
      </c>
      <c r="I1875" t="s">
        <v>4369</v>
      </c>
      <c r="J1875" t="s">
        <v>34145</v>
      </c>
      <c r="K1875" t="s">
        <v>42622</v>
      </c>
      <c r="M1875" t="s">
        <v>43804</v>
      </c>
      <c r="N1875" t="s">
        <v>47304</v>
      </c>
      <c r="O1875" t="s">
        <v>47305</v>
      </c>
      <c r="P1875">
        <v>0</v>
      </c>
      <c r="Q1875">
        <v>0</v>
      </c>
      <c r="R1875" t="s">
        <v>47307</v>
      </c>
      <c r="S1875" t="s">
        <v>47416</v>
      </c>
      <c r="T1875" t="s">
        <v>49100</v>
      </c>
      <c r="U1875" t="s">
        <v>51209</v>
      </c>
      <c r="W1875" t="s">
        <v>43804</v>
      </c>
      <c r="X1875" t="s">
        <v>47306</v>
      </c>
    </row>
    <row r="1876" spans="1:24">
      <c r="A1876">
        <f>HYPERLINK("https://www.philgeps.gov.ph/GEPSNONPILOT/Tender/SplashBidNoticeAbstractUI.aspx?menuIndex=3&amp;refID=7199695&amp;Result=3","7199695")</f>
        <v>0</v>
      </c>
      <c r="B1876" t="s">
        <v>853</v>
      </c>
      <c r="C1876" t="s">
        <v>5674</v>
      </c>
      <c r="D1876" t="s">
        <v>19054</v>
      </c>
      <c r="E1876" t="s">
        <v>20807</v>
      </c>
      <c r="F1876" t="s">
        <v>32606</v>
      </c>
      <c r="G1876" t="s">
        <v>32614</v>
      </c>
      <c r="H1876" t="s">
        <v>14201</v>
      </c>
      <c r="I1876" t="s">
        <v>6931</v>
      </c>
      <c r="J1876" t="s">
        <v>34131</v>
      </c>
      <c r="K1876" t="s">
        <v>42632</v>
      </c>
      <c r="M1876" t="s">
        <v>43786</v>
      </c>
      <c r="N1876" t="s">
        <v>47304</v>
      </c>
      <c r="O1876" t="s">
        <v>47305</v>
      </c>
      <c r="P1876">
        <v>0</v>
      </c>
      <c r="Q1876">
        <v>0</v>
      </c>
      <c r="R1876" t="s">
        <v>47307</v>
      </c>
      <c r="S1876" t="s">
        <v>47416</v>
      </c>
      <c r="T1876" t="s">
        <v>48986</v>
      </c>
      <c r="U1876" t="s">
        <v>51193</v>
      </c>
      <c r="W1876" t="s">
        <v>43786</v>
      </c>
      <c r="X1876" t="s">
        <v>47306</v>
      </c>
    </row>
    <row r="1877" spans="1:24">
      <c r="A1877">
        <f>HYPERLINK("https://www.philgeps.gov.ph/GEPSNONPILOT/Tender/SplashBidNoticeAbstractUI.aspx?menuIndex=3&amp;refID=7199694&amp;Result=3","7199694")</f>
        <v>0</v>
      </c>
      <c r="B1877" t="s">
        <v>325</v>
      </c>
      <c r="C1877" t="s">
        <v>5675</v>
      </c>
      <c r="D1877" t="s">
        <v>18992</v>
      </c>
      <c r="E1877" t="s">
        <v>20176</v>
      </c>
      <c r="F1877" t="s">
        <v>32606</v>
      </c>
      <c r="G1877" t="s">
        <v>32613</v>
      </c>
      <c r="H1877" t="s">
        <v>14201</v>
      </c>
      <c r="I1877" t="s">
        <v>7677</v>
      </c>
      <c r="J1877" t="s">
        <v>34146</v>
      </c>
      <c r="K1877" t="s">
        <v>42622</v>
      </c>
      <c r="M1877" t="s">
        <v>43227</v>
      </c>
      <c r="N1877" t="s">
        <v>47304</v>
      </c>
      <c r="O1877" t="s">
        <v>47305</v>
      </c>
      <c r="P1877">
        <v>0</v>
      </c>
      <c r="Q1877">
        <v>0</v>
      </c>
      <c r="R1877" t="s">
        <v>47307</v>
      </c>
      <c r="S1877" t="s">
        <v>47416</v>
      </c>
      <c r="T1877" t="s">
        <v>48995</v>
      </c>
      <c r="U1877" t="s">
        <v>51210</v>
      </c>
      <c r="W1877" t="s">
        <v>43227</v>
      </c>
      <c r="X1877" t="s">
        <v>47306</v>
      </c>
    </row>
    <row r="1878" spans="1:24">
      <c r="A1878">
        <f>HYPERLINK("https://www.philgeps.gov.ph/GEPSNONPILOT/Tender/SplashBidNoticeAbstractUI.aspx?menuIndex=3&amp;refID=7199699&amp;Result=3","7199699")</f>
        <v>0</v>
      </c>
      <c r="B1878" t="s">
        <v>813</v>
      </c>
      <c r="C1878" t="s">
        <v>5676</v>
      </c>
      <c r="D1878" t="s">
        <v>19044</v>
      </c>
      <c r="E1878" t="s">
        <v>20808</v>
      </c>
      <c r="F1878" t="s">
        <v>32606</v>
      </c>
      <c r="G1878" t="s">
        <v>32613</v>
      </c>
      <c r="H1878" t="s">
        <v>32623</v>
      </c>
      <c r="I1878" t="s">
        <v>17648</v>
      </c>
      <c r="J1878" t="s">
        <v>34147</v>
      </c>
      <c r="K1878" t="s">
        <v>42649</v>
      </c>
      <c r="M1878" t="s">
        <v>43744</v>
      </c>
      <c r="N1878" t="s">
        <v>47304</v>
      </c>
      <c r="O1878" t="s">
        <v>47305</v>
      </c>
      <c r="P1878">
        <v>0</v>
      </c>
      <c r="Q1878">
        <v>0</v>
      </c>
      <c r="R1878" t="s">
        <v>47307</v>
      </c>
      <c r="S1878" t="s">
        <v>47416</v>
      </c>
      <c r="T1878" t="s">
        <v>49017</v>
      </c>
      <c r="U1878" t="s">
        <v>51211</v>
      </c>
      <c r="W1878" t="s">
        <v>43744</v>
      </c>
      <c r="X1878" t="s">
        <v>47306</v>
      </c>
    </row>
    <row r="1879" spans="1:24">
      <c r="A1879">
        <f>HYPERLINK("https://www.philgeps.gov.ph/GEPSNONPILOT/Tender/SplashBidNoticeAbstractUI.aspx?menuIndex=3&amp;refID=7199614&amp;Result=3","7199614")</f>
        <v>0</v>
      </c>
      <c r="B1879" t="s">
        <v>651</v>
      </c>
      <c r="C1879" t="s">
        <v>5677</v>
      </c>
      <c r="D1879" t="s">
        <v>19060</v>
      </c>
      <c r="E1879" t="s">
        <v>20809</v>
      </c>
      <c r="F1879" t="s">
        <v>32606</v>
      </c>
      <c r="G1879" t="s">
        <v>32617</v>
      </c>
      <c r="H1879" t="s">
        <v>14201</v>
      </c>
      <c r="I1879" t="s">
        <v>7577</v>
      </c>
      <c r="J1879" t="s">
        <v>33097</v>
      </c>
      <c r="K1879" t="s">
        <v>42629</v>
      </c>
      <c r="M1879" t="s">
        <v>43570</v>
      </c>
      <c r="N1879" t="s">
        <v>47304</v>
      </c>
      <c r="O1879" t="s">
        <v>47305</v>
      </c>
      <c r="P1879">
        <v>0</v>
      </c>
      <c r="Q1879">
        <v>0</v>
      </c>
      <c r="R1879" t="s">
        <v>47307</v>
      </c>
      <c r="S1879" t="s">
        <v>47416</v>
      </c>
      <c r="T1879" t="s">
        <v>48972</v>
      </c>
      <c r="U1879" t="s">
        <v>50681</v>
      </c>
      <c r="W1879" t="s">
        <v>43570</v>
      </c>
      <c r="X1879" t="s">
        <v>47306</v>
      </c>
    </row>
    <row r="1880" spans="1:24">
      <c r="A1880">
        <f>HYPERLINK("https://www.philgeps.gov.ph/GEPSNONPILOT/Tender/SplashBidNoticeAbstractUI.aspx?menuIndex=3&amp;refID=7199691&amp;Result=3","7199691")</f>
        <v>0</v>
      </c>
      <c r="B1880" t="s">
        <v>843</v>
      </c>
      <c r="C1880" t="s">
        <v>5678</v>
      </c>
      <c r="D1880" t="s">
        <v>19012</v>
      </c>
      <c r="E1880" t="s">
        <v>20810</v>
      </c>
      <c r="F1880" t="s">
        <v>32606</v>
      </c>
      <c r="G1880" t="s">
        <v>32614</v>
      </c>
      <c r="H1880" t="s">
        <v>14201</v>
      </c>
      <c r="I1880" t="s">
        <v>6007</v>
      </c>
      <c r="J1880" t="s">
        <v>33221</v>
      </c>
      <c r="K1880" t="s">
        <v>42630</v>
      </c>
      <c r="M1880" t="s">
        <v>43775</v>
      </c>
      <c r="N1880" t="s">
        <v>47304</v>
      </c>
      <c r="O1880" t="s">
        <v>47305</v>
      </c>
      <c r="P1880">
        <v>0</v>
      </c>
      <c r="Q1880">
        <v>0</v>
      </c>
      <c r="R1880" t="s">
        <v>47307</v>
      </c>
      <c r="S1880" t="s">
        <v>47416</v>
      </c>
      <c r="T1880" t="s">
        <v>48996</v>
      </c>
      <c r="U1880" t="s">
        <v>51212</v>
      </c>
      <c r="W1880" t="s">
        <v>43775</v>
      </c>
      <c r="X1880" t="s">
        <v>47306</v>
      </c>
    </row>
    <row r="1881" spans="1:24">
      <c r="A1881">
        <f>HYPERLINK("https://www.philgeps.gov.ph/GEPSNONPILOT/Tender/SplashBidNoticeAbstractUI.aspx?menuIndex=3&amp;refID=7199693&amp;Result=3","7199693")</f>
        <v>0</v>
      </c>
      <c r="B1881" t="s">
        <v>688</v>
      </c>
      <c r="C1881" t="s">
        <v>5679</v>
      </c>
      <c r="D1881" t="s">
        <v>19006</v>
      </c>
      <c r="E1881" t="s">
        <v>20811</v>
      </c>
      <c r="F1881" t="s">
        <v>32606</v>
      </c>
      <c r="G1881" t="s">
        <v>32614</v>
      </c>
      <c r="H1881" t="s">
        <v>14201</v>
      </c>
      <c r="I1881" t="s">
        <v>32635</v>
      </c>
      <c r="J1881" t="s">
        <v>33131</v>
      </c>
      <c r="K1881" t="s">
        <v>42631</v>
      </c>
      <c r="M1881" t="s">
        <v>43805</v>
      </c>
      <c r="N1881" t="s">
        <v>47304</v>
      </c>
      <c r="O1881" t="s">
        <v>47305</v>
      </c>
      <c r="P1881">
        <v>0</v>
      </c>
      <c r="Q1881">
        <v>0</v>
      </c>
      <c r="R1881" t="s">
        <v>47307</v>
      </c>
      <c r="S1881" t="s">
        <v>47416</v>
      </c>
      <c r="T1881" t="s">
        <v>48971</v>
      </c>
      <c r="U1881" t="s">
        <v>51213</v>
      </c>
      <c r="W1881" t="s">
        <v>43805</v>
      </c>
      <c r="X1881" t="s">
        <v>47306</v>
      </c>
    </row>
    <row r="1882" spans="1:24">
      <c r="A1882">
        <f>HYPERLINK("https://www.philgeps.gov.ph/GEPSNONPILOT/Tender/SplashBidNoticeAbstractUI.aspx?menuIndex=3&amp;refID=7199727&amp;Result=3","7199727")</f>
        <v>0</v>
      </c>
      <c r="B1882" t="s">
        <v>575</v>
      </c>
      <c r="C1882" t="s">
        <v>5680</v>
      </c>
      <c r="D1882" t="s">
        <v>19036</v>
      </c>
      <c r="E1882" t="s">
        <v>20812</v>
      </c>
      <c r="F1882" t="s">
        <v>32606</v>
      </c>
      <c r="G1882" t="s">
        <v>32614</v>
      </c>
      <c r="H1882" t="s">
        <v>14201</v>
      </c>
      <c r="I1882" t="s">
        <v>4112</v>
      </c>
      <c r="J1882" t="s">
        <v>34148</v>
      </c>
      <c r="K1882" t="s">
        <v>42624</v>
      </c>
      <c r="M1882" t="s">
        <v>43806</v>
      </c>
      <c r="N1882" t="s">
        <v>47304</v>
      </c>
      <c r="O1882" t="s">
        <v>47305</v>
      </c>
      <c r="P1882">
        <v>0</v>
      </c>
      <c r="Q1882">
        <v>0</v>
      </c>
      <c r="R1882" t="s">
        <v>47307</v>
      </c>
      <c r="S1882" t="s">
        <v>47416</v>
      </c>
      <c r="T1882" t="s">
        <v>49100</v>
      </c>
      <c r="U1882" t="s">
        <v>51214</v>
      </c>
      <c r="W1882" t="s">
        <v>43806</v>
      </c>
      <c r="X1882" t="s">
        <v>47306</v>
      </c>
    </row>
    <row r="1883" spans="1:24">
      <c r="A1883">
        <f>HYPERLINK("https://www.philgeps.gov.ph/GEPSNONPILOT/Tender/SplashBidNoticeAbstractUI.aspx?menuIndex=3&amp;refID=7199696&amp;Result=3","7199696")</f>
        <v>0</v>
      </c>
      <c r="B1883" t="s">
        <v>871</v>
      </c>
      <c r="C1883" t="s">
        <v>5681</v>
      </c>
      <c r="D1883" t="s">
        <v>19061</v>
      </c>
      <c r="E1883" t="s">
        <v>20813</v>
      </c>
      <c r="F1883" t="s">
        <v>32606</v>
      </c>
      <c r="G1883" t="s">
        <v>32613</v>
      </c>
      <c r="H1883" t="s">
        <v>14201</v>
      </c>
      <c r="I1883" t="s">
        <v>4120</v>
      </c>
      <c r="J1883" t="s">
        <v>34149</v>
      </c>
      <c r="K1883" t="s">
        <v>42631</v>
      </c>
      <c r="M1883" t="s">
        <v>43807</v>
      </c>
      <c r="N1883" t="s">
        <v>47304</v>
      </c>
      <c r="O1883" t="s">
        <v>47305</v>
      </c>
      <c r="P1883">
        <v>0</v>
      </c>
      <c r="Q1883">
        <v>0</v>
      </c>
      <c r="R1883" t="s">
        <v>47307</v>
      </c>
      <c r="S1883" t="s">
        <v>47416</v>
      </c>
      <c r="T1883" t="s">
        <v>49162</v>
      </c>
      <c r="U1883" t="s">
        <v>51215</v>
      </c>
      <c r="W1883" t="s">
        <v>43807</v>
      </c>
      <c r="X1883" t="s">
        <v>47306</v>
      </c>
    </row>
    <row r="1884" spans="1:24">
      <c r="A1884">
        <f>HYPERLINK("https://www.philgeps.gov.ph/GEPSNONPILOT/Tender/SplashBidNoticeAbstractUI.aspx?menuIndex=3&amp;refID=7199723&amp;Result=3","7199723")</f>
        <v>0</v>
      </c>
      <c r="B1884" t="s">
        <v>872</v>
      </c>
      <c r="C1884" t="s">
        <v>5682</v>
      </c>
      <c r="D1884" t="s">
        <v>19003</v>
      </c>
      <c r="E1884" t="s">
        <v>20814</v>
      </c>
      <c r="F1884" t="s">
        <v>32606</v>
      </c>
      <c r="G1884" t="s">
        <v>32614</v>
      </c>
      <c r="H1884" t="s">
        <v>14201</v>
      </c>
      <c r="I1884" t="s">
        <v>32658</v>
      </c>
      <c r="J1884" t="s">
        <v>33818</v>
      </c>
      <c r="K1884" t="s">
        <v>42629</v>
      </c>
      <c r="M1884" t="s">
        <v>43808</v>
      </c>
      <c r="N1884" t="s">
        <v>47304</v>
      </c>
      <c r="O1884" t="s">
        <v>47305</v>
      </c>
      <c r="P1884">
        <v>0</v>
      </c>
      <c r="Q1884">
        <v>0</v>
      </c>
      <c r="R1884" t="s">
        <v>47307</v>
      </c>
      <c r="S1884" t="s">
        <v>47416</v>
      </c>
      <c r="T1884" t="s">
        <v>48972</v>
      </c>
      <c r="U1884" t="s">
        <v>51216</v>
      </c>
      <c r="W1884" t="s">
        <v>43808</v>
      </c>
      <c r="X1884" t="s">
        <v>47306</v>
      </c>
    </row>
    <row r="1885" spans="1:24">
      <c r="A1885">
        <f>HYPERLINK("https://www.philgeps.gov.ph/GEPSNONPILOT/Tender/SplashBidNoticeAbstractUI.aspx?menuIndex=3&amp;refID=7199701&amp;Result=3","7199701")</f>
        <v>0</v>
      </c>
      <c r="B1885" t="s">
        <v>873</v>
      </c>
      <c r="C1885" t="s">
        <v>5683</v>
      </c>
      <c r="D1885" t="s">
        <v>19002</v>
      </c>
      <c r="E1885" t="s">
        <v>20815</v>
      </c>
      <c r="F1885" t="s">
        <v>32606</v>
      </c>
      <c r="G1885" t="s">
        <v>32617</v>
      </c>
      <c r="H1885" t="s">
        <v>32623</v>
      </c>
      <c r="I1885" t="s">
        <v>4114</v>
      </c>
      <c r="J1885" t="s">
        <v>33441</v>
      </c>
      <c r="K1885" t="s">
        <v>42630</v>
      </c>
      <c r="M1885" t="s">
        <v>43809</v>
      </c>
      <c r="N1885" t="s">
        <v>47304</v>
      </c>
      <c r="O1885" t="s">
        <v>47305</v>
      </c>
      <c r="P1885">
        <v>0</v>
      </c>
      <c r="Q1885">
        <v>0</v>
      </c>
      <c r="R1885" t="s">
        <v>47307</v>
      </c>
      <c r="S1885" t="s">
        <v>47416</v>
      </c>
      <c r="T1885" t="s">
        <v>49016</v>
      </c>
      <c r="U1885" t="s">
        <v>49952</v>
      </c>
      <c r="W1885" t="s">
        <v>43809</v>
      </c>
      <c r="X1885" t="s">
        <v>47306</v>
      </c>
    </row>
    <row r="1886" spans="1:24">
      <c r="A1886">
        <f>HYPERLINK("https://www.philgeps.gov.ph/GEPSNONPILOT/Tender/SplashBidNoticeAbstractUI.aspx?menuIndex=3&amp;refID=7199722&amp;Result=3","7199722")</f>
        <v>0</v>
      </c>
      <c r="B1886" t="s">
        <v>238</v>
      </c>
      <c r="C1886" t="s">
        <v>5684</v>
      </c>
      <c r="D1886" t="s">
        <v>18993</v>
      </c>
      <c r="E1886" t="s">
        <v>20816</v>
      </c>
      <c r="F1886" t="s">
        <v>32606</v>
      </c>
      <c r="G1886" t="s">
        <v>32619</v>
      </c>
      <c r="H1886" t="s">
        <v>14201</v>
      </c>
      <c r="I1886" t="s">
        <v>32633</v>
      </c>
      <c r="J1886" t="s">
        <v>34150</v>
      </c>
      <c r="K1886" t="s">
        <v>42622</v>
      </c>
      <c r="M1886" t="s">
        <v>43139</v>
      </c>
      <c r="N1886" t="s">
        <v>47304</v>
      </c>
      <c r="O1886" t="s">
        <v>47305</v>
      </c>
      <c r="P1886">
        <v>0</v>
      </c>
      <c r="Q1886">
        <v>0</v>
      </c>
      <c r="R1886" t="s">
        <v>47307</v>
      </c>
      <c r="S1886" t="s">
        <v>47416</v>
      </c>
      <c r="T1886" t="s">
        <v>49123</v>
      </c>
      <c r="U1886" t="s">
        <v>51217</v>
      </c>
      <c r="V1886" t="s">
        <v>62703</v>
      </c>
      <c r="W1886" t="s">
        <v>43139</v>
      </c>
      <c r="X1886" t="s">
        <v>47306</v>
      </c>
    </row>
    <row r="1887" spans="1:24">
      <c r="A1887">
        <f>HYPERLINK("https://www.philgeps.gov.ph/GEPSNONPILOT/Tender/SplashBidNoticeAbstractUI.aspx?menuIndex=3&amp;refID=7199692&amp;Result=3","7199692")</f>
        <v>0</v>
      </c>
      <c r="B1887" t="s">
        <v>778</v>
      </c>
      <c r="C1887" t="s">
        <v>5685</v>
      </c>
      <c r="D1887" t="s">
        <v>19012</v>
      </c>
      <c r="E1887" t="s">
        <v>19459</v>
      </c>
      <c r="F1887" t="s">
        <v>32606</v>
      </c>
      <c r="G1887" t="s">
        <v>32613</v>
      </c>
      <c r="H1887" t="s">
        <v>14201</v>
      </c>
      <c r="I1887" t="s">
        <v>4112</v>
      </c>
      <c r="J1887" t="s">
        <v>34151</v>
      </c>
      <c r="K1887" t="s">
        <v>42623</v>
      </c>
      <c r="M1887" t="s">
        <v>43708</v>
      </c>
      <c r="N1887" t="s">
        <v>47304</v>
      </c>
      <c r="O1887" t="s">
        <v>47305</v>
      </c>
      <c r="P1887">
        <v>0</v>
      </c>
      <c r="Q1887">
        <v>0</v>
      </c>
      <c r="R1887" t="s">
        <v>47307</v>
      </c>
      <c r="S1887" t="s">
        <v>47416</v>
      </c>
      <c r="T1887" t="s">
        <v>49084</v>
      </c>
      <c r="U1887" t="s">
        <v>51218</v>
      </c>
      <c r="W1887" t="s">
        <v>43708</v>
      </c>
      <c r="X1887" t="s">
        <v>47306</v>
      </c>
    </row>
    <row r="1888" spans="1:24">
      <c r="A1888">
        <f>HYPERLINK("https://www.philgeps.gov.ph/GEPSNONPILOT/Tender/SplashBidNoticeAbstractUI.aspx?menuIndex=3&amp;refID=7199720&amp;Result=3","7199720")</f>
        <v>0</v>
      </c>
      <c r="B1888" t="s">
        <v>853</v>
      </c>
      <c r="C1888" t="s">
        <v>5686</v>
      </c>
      <c r="D1888" t="s">
        <v>19054</v>
      </c>
      <c r="E1888" t="s">
        <v>20817</v>
      </c>
      <c r="F1888" t="s">
        <v>32606</v>
      </c>
      <c r="G1888" t="s">
        <v>32614</v>
      </c>
      <c r="H1888" t="s">
        <v>14201</v>
      </c>
      <c r="I1888" t="s">
        <v>6931</v>
      </c>
      <c r="J1888" t="s">
        <v>34152</v>
      </c>
      <c r="K1888" t="s">
        <v>42632</v>
      </c>
      <c r="M1888" t="s">
        <v>43786</v>
      </c>
      <c r="N1888" t="s">
        <v>47304</v>
      </c>
      <c r="O1888" t="s">
        <v>47305</v>
      </c>
      <c r="P1888">
        <v>0</v>
      </c>
      <c r="Q1888">
        <v>0</v>
      </c>
      <c r="R1888" t="s">
        <v>47307</v>
      </c>
      <c r="S1888" t="s">
        <v>47416</v>
      </c>
      <c r="T1888" t="s">
        <v>49199</v>
      </c>
      <c r="U1888" t="s">
        <v>51219</v>
      </c>
      <c r="W1888" t="s">
        <v>43786</v>
      </c>
      <c r="X1888" t="s">
        <v>47306</v>
      </c>
    </row>
    <row r="1889" spans="1:24">
      <c r="A1889">
        <f>HYPERLINK("https://www.philgeps.gov.ph/GEPSNONPILOT/Tender/SplashBidNoticeAbstractUI.aspx?menuIndex=3&amp;refID=7199717&amp;Result=3","7199717")</f>
        <v>0</v>
      </c>
      <c r="B1889" t="s">
        <v>439</v>
      </c>
      <c r="C1889" t="s">
        <v>5687</v>
      </c>
      <c r="D1889" t="s">
        <v>19054</v>
      </c>
      <c r="E1889" t="s">
        <v>20818</v>
      </c>
      <c r="F1889" t="s">
        <v>32606</v>
      </c>
      <c r="G1889" t="s">
        <v>32614</v>
      </c>
      <c r="H1889" t="s">
        <v>14201</v>
      </c>
      <c r="I1889" t="s">
        <v>6993</v>
      </c>
      <c r="J1889" t="s">
        <v>34153</v>
      </c>
      <c r="K1889" t="s">
        <v>42631</v>
      </c>
      <c r="M1889" t="s">
        <v>43346</v>
      </c>
      <c r="N1889" t="s">
        <v>47304</v>
      </c>
      <c r="O1889" t="s">
        <v>47305</v>
      </c>
      <c r="P1889">
        <v>0</v>
      </c>
      <c r="Q1889">
        <v>0</v>
      </c>
      <c r="R1889" t="s">
        <v>47307</v>
      </c>
      <c r="S1889" t="s">
        <v>47416</v>
      </c>
      <c r="T1889" t="s">
        <v>48987</v>
      </c>
      <c r="U1889" t="s">
        <v>51220</v>
      </c>
      <c r="W1889" t="s">
        <v>43346</v>
      </c>
      <c r="X1889" t="s">
        <v>47306</v>
      </c>
    </row>
    <row r="1890" spans="1:24">
      <c r="A1890">
        <f>HYPERLINK("https://www.philgeps.gov.ph/GEPSNONPILOT/Tender/SplashBidNoticeAbstractUI.aspx?menuIndex=3&amp;refID=7199715&amp;Result=3","7199715")</f>
        <v>0</v>
      </c>
      <c r="B1890" t="s">
        <v>646</v>
      </c>
      <c r="C1890" t="s">
        <v>5688</v>
      </c>
      <c r="D1890" t="s">
        <v>19002</v>
      </c>
      <c r="E1890" t="s">
        <v>20819</v>
      </c>
      <c r="F1890" t="s">
        <v>32606</v>
      </c>
      <c r="G1890" t="s">
        <v>32619</v>
      </c>
      <c r="H1890" t="s">
        <v>14201</v>
      </c>
      <c r="I1890" t="s">
        <v>6931</v>
      </c>
      <c r="J1890" t="s">
        <v>34154</v>
      </c>
      <c r="K1890" t="s">
        <v>42629</v>
      </c>
      <c r="M1890" t="s">
        <v>43564</v>
      </c>
      <c r="N1890" t="s">
        <v>47304</v>
      </c>
      <c r="O1890" t="s">
        <v>47305</v>
      </c>
      <c r="P1890">
        <v>0</v>
      </c>
      <c r="Q1890">
        <v>0</v>
      </c>
      <c r="R1890" t="s">
        <v>47307</v>
      </c>
      <c r="S1890" t="s">
        <v>47416</v>
      </c>
      <c r="T1890" t="s">
        <v>49068</v>
      </c>
      <c r="U1890" t="s">
        <v>51221</v>
      </c>
      <c r="W1890" t="s">
        <v>43564</v>
      </c>
      <c r="X1890" t="s">
        <v>47306</v>
      </c>
    </row>
    <row r="1891" spans="1:24">
      <c r="A1891">
        <f>HYPERLINK("https://www.philgeps.gov.ph/GEPSNONPILOT/Tender/SplashBidNoticeAbstractUI.aspx?menuIndex=3&amp;refID=7199721&amp;Result=3","7199721")</f>
        <v>0</v>
      </c>
      <c r="B1891" t="s">
        <v>662</v>
      </c>
      <c r="C1891" t="s">
        <v>5689</v>
      </c>
      <c r="D1891" t="s">
        <v>19023</v>
      </c>
      <c r="E1891" t="s">
        <v>20820</v>
      </c>
      <c r="F1891" t="s">
        <v>32606</v>
      </c>
      <c r="G1891" t="s">
        <v>32615</v>
      </c>
      <c r="H1891" t="s">
        <v>14201</v>
      </c>
      <c r="I1891" t="s">
        <v>6007</v>
      </c>
      <c r="J1891" t="s">
        <v>34155</v>
      </c>
      <c r="K1891" t="s">
        <v>42625</v>
      </c>
      <c r="M1891" t="s">
        <v>43582</v>
      </c>
      <c r="N1891" t="s">
        <v>47304</v>
      </c>
      <c r="O1891" t="s">
        <v>47305</v>
      </c>
      <c r="P1891">
        <v>0</v>
      </c>
      <c r="Q1891">
        <v>0</v>
      </c>
      <c r="R1891" t="s">
        <v>47307</v>
      </c>
      <c r="S1891" t="s">
        <v>47416</v>
      </c>
      <c r="T1891" t="s">
        <v>49065</v>
      </c>
      <c r="U1891" t="s">
        <v>51222</v>
      </c>
      <c r="W1891" t="s">
        <v>43582</v>
      </c>
      <c r="X1891" t="s">
        <v>47306</v>
      </c>
    </row>
    <row r="1892" spans="1:24">
      <c r="A1892">
        <f>HYPERLINK("https://www.philgeps.gov.ph/GEPSNONPILOT/Tender/SplashBidNoticeAbstractUI.aspx?menuIndex=3&amp;refID=7199724&amp;Result=3","7199724")</f>
        <v>0</v>
      </c>
      <c r="B1892" t="s">
        <v>540</v>
      </c>
      <c r="C1892" t="s">
        <v>5690</v>
      </c>
      <c r="D1892" t="s">
        <v>19001</v>
      </c>
      <c r="E1892" t="s">
        <v>20821</v>
      </c>
      <c r="F1892" t="s">
        <v>32606</v>
      </c>
      <c r="G1892" t="s">
        <v>32614</v>
      </c>
      <c r="H1892" t="s">
        <v>14201</v>
      </c>
      <c r="I1892" t="s">
        <v>7677</v>
      </c>
      <c r="J1892" t="s">
        <v>33919</v>
      </c>
      <c r="K1892" t="s">
        <v>42622</v>
      </c>
      <c r="M1892" t="s">
        <v>43460</v>
      </c>
      <c r="N1892" t="s">
        <v>47304</v>
      </c>
      <c r="O1892" t="s">
        <v>47305</v>
      </c>
      <c r="P1892">
        <v>0</v>
      </c>
      <c r="Q1892">
        <v>0</v>
      </c>
      <c r="R1892" t="s">
        <v>47307</v>
      </c>
      <c r="S1892" t="s">
        <v>47416</v>
      </c>
      <c r="T1892" t="s">
        <v>48986</v>
      </c>
      <c r="U1892" t="s">
        <v>51223</v>
      </c>
      <c r="W1892" t="s">
        <v>43460</v>
      </c>
      <c r="X1892" t="s">
        <v>47306</v>
      </c>
    </row>
    <row r="1893" spans="1:24">
      <c r="A1893">
        <f>HYPERLINK("https://www.philgeps.gov.ph/GEPSNONPILOT/Tender/SplashBidNoticeAbstractUI.aspx?menuIndex=3&amp;refID=7199716&amp;Result=3","7199716")</f>
        <v>0</v>
      </c>
      <c r="B1893" t="s">
        <v>874</v>
      </c>
      <c r="C1893" t="s">
        <v>5691</v>
      </c>
      <c r="D1893" t="s">
        <v>18986</v>
      </c>
      <c r="E1893" t="s">
        <v>20822</v>
      </c>
      <c r="F1893" t="s">
        <v>32606</v>
      </c>
      <c r="G1893" t="s">
        <v>32619</v>
      </c>
      <c r="H1893" t="s">
        <v>14201</v>
      </c>
      <c r="I1893" t="s">
        <v>32640</v>
      </c>
      <c r="J1893" t="s">
        <v>34156</v>
      </c>
      <c r="K1893" t="s">
        <v>42624</v>
      </c>
      <c r="M1893" t="s">
        <v>43810</v>
      </c>
      <c r="N1893" t="s">
        <v>47304</v>
      </c>
      <c r="O1893" t="s">
        <v>47305</v>
      </c>
      <c r="P1893">
        <v>0</v>
      </c>
      <c r="Q1893">
        <v>0</v>
      </c>
      <c r="R1893" t="s">
        <v>47307</v>
      </c>
      <c r="S1893" t="s">
        <v>47416</v>
      </c>
      <c r="T1893" t="s">
        <v>48976</v>
      </c>
      <c r="U1893" t="s">
        <v>51224</v>
      </c>
      <c r="W1893" t="s">
        <v>43810</v>
      </c>
      <c r="X1893" t="s">
        <v>47306</v>
      </c>
    </row>
    <row r="1894" spans="1:24">
      <c r="A1894">
        <f>HYPERLINK("https://www.philgeps.gov.ph/GEPSNONPILOT/Tender/SplashBidNoticeAbstractUI.aspx?menuIndex=3&amp;refID=7199674&amp;Result=3","7199674")</f>
        <v>0</v>
      </c>
      <c r="B1894" t="s">
        <v>875</v>
      </c>
      <c r="C1894" t="s">
        <v>4547</v>
      </c>
      <c r="D1894" t="s">
        <v>19007</v>
      </c>
      <c r="E1894" t="s">
        <v>20823</v>
      </c>
      <c r="F1894" t="s">
        <v>32606</v>
      </c>
      <c r="G1894" t="s">
        <v>32613</v>
      </c>
      <c r="H1894" t="s">
        <v>14201</v>
      </c>
      <c r="I1894" t="s">
        <v>4120</v>
      </c>
      <c r="J1894" t="s">
        <v>34157</v>
      </c>
      <c r="K1894" t="s">
        <v>42622</v>
      </c>
      <c r="M1894" t="s">
        <v>43811</v>
      </c>
      <c r="N1894" t="s">
        <v>47304</v>
      </c>
      <c r="O1894" t="s">
        <v>47305</v>
      </c>
      <c r="P1894">
        <v>0</v>
      </c>
      <c r="Q1894">
        <v>0</v>
      </c>
      <c r="R1894" t="s">
        <v>47307</v>
      </c>
      <c r="S1894" t="s">
        <v>47416</v>
      </c>
      <c r="T1894" t="s">
        <v>49017</v>
      </c>
      <c r="U1894" t="s">
        <v>51225</v>
      </c>
      <c r="W1894" t="s">
        <v>43811</v>
      </c>
      <c r="X1894" t="s">
        <v>47306</v>
      </c>
    </row>
    <row r="1895" spans="1:24">
      <c r="A1895">
        <f>HYPERLINK("https://www.philgeps.gov.ph/GEPSNONPILOT/Tender/SplashBidNoticeAbstractUI.aspx?menuIndex=3&amp;refID=7199714&amp;Result=3","7199714")</f>
        <v>0</v>
      </c>
      <c r="B1895" t="s">
        <v>876</v>
      </c>
      <c r="C1895" t="s">
        <v>5692</v>
      </c>
      <c r="D1895" t="s">
        <v>19038</v>
      </c>
      <c r="E1895" t="s">
        <v>20824</v>
      </c>
      <c r="F1895" t="s">
        <v>32606</v>
      </c>
      <c r="G1895" t="s">
        <v>32613</v>
      </c>
      <c r="H1895" t="s">
        <v>32623</v>
      </c>
      <c r="I1895" t="s">
        <v>17648</v>
      </c>
      <c r="J1895" t="s">
        <v>34158</v>
      </c>
      <c r="K1895" t="s">
        <v>42624</v>
      </c>
      <c r="M1895" t="s">
        <v>43812</v>
      </c>
      <c r="N1895" t="s">
        <v>47304</v>
      </c>
      <c r="O1895" t="s">
        <v>47305</v>
      </c>
      <c r="P1895">
        <v>0</v>
      </c>
      <c r="Q1895">
        <v>0</v>
      </c>
      <c r="R1895" t="s">
        <v>47307</v>
      </c>
      <c r="S1895" t="s">
        <v>47416</v>
      </c>
      <c r="T1895" t="s">
        <v>49008</v>
      </c>
      <c r="U1895" t="s">
        <v>51226</v>
      </c>
      <c r="W1895" t="s">
        <v>43812</v>
      </c>
      <c r="X1895" t="s">
        <v>47306</v>
      </c>
    </row>
    <row r="1896" spans="1:24">
      <c r="A1896">
        <f>HYPERLINK("https://www.philgeps.gov.ph/GEPSNONPILOT/Tender/SplashBidNoticeAbstractUI.aspx?menuIndex=3&amp;refID=7199726&amp;Result=3","7199726")</f>
        <v>0</v>
      </c>
      <c r="B1896" t="s">
        <v>877</v>
      </c>
      <c r="C1896" t="s">
        <v>5693</v>
      </c>
      <c r="D1896" t="s">
        <v>19044</v>
      </c>
      <c r="E1896" t="s">
        <v>20825</v>
      </c>
      <c r="F1896" t="s">
        <v>32606</v>
      </c>
      <c r="G1896" t="s">
        <v>32614</v>
      </c>
      <c r="H1896" t="s">
        <v>14201</v>
      </c>
      <c r="I1896" t="s">
        <v>6931</v>
      </c>
      <c r="J1896" t="s">
        <v>34159</v>
      </c>
      <c r="K1896" t="s">
        <v>42631</v>
      </c>
      <c r="M1896" t="s">
        <v>43813</v>
      </c>
      <c r="N1896" t="s">
        <v>47304</v>
      </c>
      <c r="O1896" t="s">
        <v>47305</v>
      </c>
      <c r="P1896">
        <v>0</v>
      </c>
      <c r="Q1896">
        <v>0</v>
      </c>
      <c r="R1896" t="s">
        <v>47307</v>
      </c>
      <c r="S1896" t="s">
        <v>47416</v>
      </c>
      <c r="T1896" t="s">
        <v>48972</v>
      </c>
      <c r="U1896" t="s">
        <v>51227</v>
      </c>
      <c r="W1896" t="s">
        <v>43813</v>
      </c>
      <c r="X1896" t="s">
        <v>47306</v>
      </c>
    </row>
    <row r="1897" spans="1:24">
      <c r="A1897">
        <f>HYPERLINK("https://www.philgeps.gov.ph/GEPSNONPILOT/Tender/SplashBidNoticeAbstractUI.aspx?menuIndex=3&amp;refID=7199747&amp;Result=3","7199747")</f>
        <v>0</v>
      </c>
      <c r="B1897" t="s">
        <v>173</v>
      </c>
      <c r="C1897" t="s">
        <v>5694</v>
      </c>
      <c r="E1897" t="s">
        <v>20826</v>
      </c>
      <c r="F1897" t="s">
        <v>32606</v>
      </c>
      <c r="G1897" t="s">
        <v>32613</v>
      </c>
      <c r="H1897" t="s">
        <v>14201</v>
      </c>
      <c r="I1897" t="s">
        <v>6931</v>
      </c>
      <c r="J1897" t="s">
        <v>34160</v>
      </c>
      <c r="K1897" t="s">
        <v>42624</v>
      </c>
      <c r="M1897" t="s">
        <v>43074</v>
      </c>
      <c r="N1897" t="s">
        <v>47304</v>
      </c>
      <c r="O1897" t="s">
        <v>47305</v>
      </c>
      <c r="P1897">
        <v>0</v>
      </c>
      <c r="Q1897">
        <v>0</v>
      </c>
      <c r="R1897" t="s">
        <v>47307</v>
      </c>
      <c r="S1897" t="s">
        <v>47416</v>
      </c>
      <c r="T1897" t="s">
        <v>49116</v>
      </c>
      <c r="U1897" t="s">
        <v>50542</v>
      </c>
      <c r="W1897" t="s">
        <v>43074</v>
      </c>
      <c r="X1897" t="s">
        <v>47306</v>
      </c>
    </row>
    <row r="1898" spans="1:24">
      <c r="A1898">
        <f>HYPERLINK("https://www.philgeps.gov.ph/GEPSNONPILOT/Tender/SplashBidNoticeAbstractUI.aspx?menuIndex=3&amp;refID=7199745&amp;Result=3","7199745")</f>
        <v>0</v>
      </c>
      <c r="B1898" t="s">
        <v>878</v>
      </c>
      <c r="C1898" t="s">
        <v>5695</v>
      </c>
      <c r="D1898" t="s">
        <v>18992</v>
      </c>
      <c r="E1898" t="s">
        <v>19372</v>
      </c>
      <c r="F1898" t="s">
        <v>32606</v>
      </c>
      <c r="G1898" t="s">
        <v>32613</v>
      </c>
      <c r="H1898" t="s">
        <v>14201</v>
      </c>
      <c r="I1898" t="s">
        <v>6931</v>
      </c>
      <c r="J1898" t="s">
        <v>34161</v>
      </c>
      <c r="K1898" t="s">
        <v>42630</v>
      </c>
      <c r="L1898" t="s">
        <v>878</v>
      </c>
      <c r="M1898" t="s">
        <v>43814</v>
      </c>
      <c r="N1898" t="s">
        <v>47304</v>
      </c>
      <c r="O1898" t="s">
        <v>47305</v>
      </c>
      <c r="P1898">
        <v>0</v>
      </c>
      <c r="Q1898">
        <v>0</v>
      </c>
      <c r="R1898" t="s">
        <v>47307</v>
      </c>
      <c r="S1898" t="s">
        <v>47416</v>
      </c>
      <c r="T1898" t="s">
        <v>49081</v>
      </c>
      <c r="U1898" t="s">
        <v>51228</v>
      </c>
      <c r="W1898" t="s">
        <v>43814</v>
      </c>
      <c r="X1898" t="s">
        <v>47306</v>
      </c>
    </row>
    <row r="1899" spans="1:24">
      <c r="A1899">
        <f>HYPERLINK("https://www.philgeps.gov.ph/GEPSNONPILOT/Tender/SplashBidNoticeAbstractUI.aspx?menuIndex=3&amp;refID=7199750&amp;Result=3","7199750")</f>
        <v>0</v>
      </c>
      <c r="B1899" t="s">
        <v>586</v>
      </c>
      <c r="C1899" t="s">
        <v>5696</v>
      </c>
      <c r="D1899" t="s">
        <v>19024</v>
      </c>
      <c r="E1899" t="s">
        <v>20827</v>
      </c>
      <c r="F1899" t="s">
        <v>32606</v>
      </c>
      <c r="G1899" t="s">
        <v>32614</v>
      </c>
      <c r="H1899" t="s">
        <v>14201</v>
      </c>
      <c r="I1899" t="s">
        <v>32640</v>
      </c>
      <c r="J1899" t="s">
        <v>33131</v>
      </c>
      <c r="K1899" t="s">
        <v>42630</v>
      </c>
      <c r="M1899" t="s">
        <v>43696</v>
      </c>
      <c r="N1899" t="s">
        <v>47304</v>
      </c>
      <c r="O1899" t="s">
        <v>47305</v>
      </c>
      <c r="P1899">
        <v>0</v>
      </c>
      <c r="Q1899">
        <v>0</v>
      </c>
      <c r="R1899" t="s">
        <v>47307</v>
      </c>
      <c r="S1899" t="s">
        <v>47416</v>
      </c>
      <c r="T1899" t="s">
        <v>48988</v>
      </c>
      <c r="U1899" t="s">
        <v>50944</v>
      </c>
      <c r="W1899" t="s">
        <v>43696</v>
      </c>
      <c r="X1899" t="s">
        <v>47306</v>
      </c>
    </row>
    <row r="1900" spans="1:24">
      <c r="A1900">
        <f>HYPERLINK("https://www.philgeps.gov.ph/GEPSNONPILOT/Tender/SplashBidNoticeAbstractUI.aspx?menuIndex=3&amp;refID=7199706&amp;Result=3","7199706")</f>
        <v>0</v>
      </c>
      <c r="B1900" t="s">
        <v>879</v>
      </c>
      <c r="C1900" t="s">
        <v>5697</v>
      </c>
      <c r="D1900" t="s">
        <v>19048</v>
      </c>
      <c r="E1900" t="s">
        <v>20828</v>
      </c>
      <c r="F1900" t="s">
        <v>32606</v>
      </c>
      <c r="G1900" t="s">
        <v>32617</v>
      </c>
      <c r="H1900" t="s">
        <v>14201</v>
      </c>
      <c r="I1900" t="s">
        <v>32629</v>
      </c>
      <c r="J1900" t="s">
        <v>34162</v>
      </c>
      <c r="K1900" t="s">
        <v>42622</v>
      </c>
      <c r="M1900" t="s">
        <v>43815</v>
      </c>
      <c r="N1900" t="s">
        <v>47304</v>
      </c>
      <c r="O1900" t="s">
        <v>47305</v>
      </c>
      <c r="P1900">
        <v>0</v>
      </c>
      <c r="Q1900">
        <v>0</v>
      </c>
      <c r="R1900" t="s">
        <v>47307</v>
      </c>
      <c r="S1900" t="s">
        <v>47416</v>
      </c>
      <c r="T1900" t="s">
        <v>49015</v>
      </c>
      <c r="U1900" t="s">
        <v>51229</v>
      </c>
      <c r="W1900" t="s">
        <v>43815</v>
      </c>
      <c r="X1900" t="s">
        <v>47306</v>
      </c>
    </row>
    <row r="1901" spans="1:24">
      <c r="A1901">
        <f>HYPERLINK("https://www.philgeps.gov.ph/GEPSNONPILOT/Tender/SplashBidNoticeAbstractUI.aspx?menuIndex=3&amp;refID=7199746&amp;Result=3","7199746")</f>
        <v>0</v>
      </c>
      <c r="B1901" t="s">
        <v>689</v>
      </c>
      <c r="C1901" t="s">
        <v>5698</v>
      </c>
      <c r="D1901" t="s">
        <v>19004</v>
      </c>
      <c r="E1901" t="s">
        <v>20829</v>
      </c>
      <c r="F1901" t="s">
        <v>32606</v>
      </c>
      <c r="G1901" t="s">
        <v>32619</v>
      </c>
      <c r="H1901" t="s">
        <v>14201</v>
      </c>
      <c r="I1901" t="s">
        <v>32633</v>
      </c>
      <c r="J1901" t="s">
        <v>33843</v>
      </c>
      <c r="K1901" t="s">
        <v>42624</v>
      </c>
      <c r="M1901" t="s">
        <v>43610</v>
      </c>
      <c r="N1901" t="s">
        <v>47304</v>
      </c>
      <c r="O1901" t="s">
        <v>47305</v>
      </c>
      <c r="P1901">
        <v>0</v>
      </c>
      <c r="Q1901">
        <v>0</v>
      </c>
      <c r="R1901" t="s">
        <v>47307</v>
      </c>
      <c r="S1901" t="s">
        <v>47416</v>
      </c>
      <c r="T1901" t="s">
        <v>49196</v>
      </c>
      <c r="U1901" t="s">
        <v>51230</v>
      </c>
      <c r="W1901" t="s">
        <v>43610</v>
      </c>
      <c r="X1901" t="s">
        <v>47306</v>
      </c>
    </row>
    <row r="1902" spans="1:24">
      <c r="A1902">
        <f>HYPERLINK("https://www.philgeps.gov.ph/GEPSNONPILOT/Tender/SplashBidNoticeAbstractUI.aspx?menuIndex=3&amp;refID=7199740&amp;Result=3","7199740")</f>
        <v>0</v>
      </c>
      <c r="B1902" t="s">
        <v>880</v>
      </c>
      <c r="C1902" t="s">
        <v>5699</v>
      </c>
      <c r="D1902" t="s">
        <v>18993</v>
      </c>
      <c r="E1902" t="s">
        <v>20830</v>
      </c>
      <c r="F1902" t="s">
        <v>32606</v>
      </c>
      <c r="G1902" t="s">
        <v>32619</v>
      </c>
      <c r="H1902" t="s">
        <v>14201</v>
      </c>
      <c r="I1902" t="s">
        <v>32640</v>
      </c>
      <c r="J1902" t="s">
        <v>32781</v>
      </c>
      <c r="K1902" t="s">
        <v>42624</v>
      </c>
      <c r="M1902" t="s">
        <v>43816</v>
      </c>
      <c r="N1902" t="s">
        <v>47304</v>
      </c>
      <c r="O1902" t="s">
        <v>47305</v>
      </c>
      <c r="P1902">
        <v>0</v>
      </c>
      <c r="Q1902">
        <v>0</v>
      </c>
      <c r="R1902" t="s">
        <v>47307</v>
      </c>
      <c r="S1902" t="s">
        <v>47416</v>
      </c>
      <c r="T1902" t="s">
        <v>48975</v>
      </c>
      <c r="U1902" t="s">
        <v>51231</v>
      </c>
      <c r="W1902" t="s">
        <v>43816</v>
      </c>
      <c r="X1902" t="s">
        <v>47306</v>
      </c>
    </row>
    <row r="1903" spans="1:24">
      <c r="A1903">
        <f>HYPERLINK("https://www.philgeps.gov.ph/GEPSNONPILOT/Tender/SplashBidNoticeAbstractUI.aspx?menuIndex=3&amp;refID=7199739&amp;Result=3","7199739")</f>
        <v>0</v>
      </c>
      <c r="B1903" t="s">
        <v>881</v>
      </c>
      <c r="C1903" t="s">
        <v>5700</v>
      </c>
      <c r="D1903" t="s">
        <v>19016</v>
      </c>
      <c r="E1903" t="s">
        <v>20831</v>
      </c>
      <c r="F1903" t="s">
        <v>32606</v>
      </c>
      <c r="G1903" t="s">
        <v>32613</v>
      </c>
      <c r="H1903" t="s">
        <v>14201</v>
      </c>
      <c r="I1903" t="s">
        <v>4112</v>
      </c>
      <c r="J1903" t="s">
        <v>34163</v>
      </c>
      <c r="K1903" t="s">
        <v>42631</v>
      </c>
      <c r="M1903" t="s">
        <v>43817</v>
      </c>
      <c r="N1903" t="s">
        <v>47304</v>
      </c>
      <c r="O1903" t="s">
        <v>47305</v>
      </c>
      <c r="P1903">
        <v>0</v>
      </c>
      <c r="Q1903">
        <v>0</v>
      </c>
      <c r="R1903" t="s">
        <v>47307</v>
      </c>
      <c r="S1903" t="s">
        <v>47416</v>
      </c>
      <c r="T1903" t="s">
        <v>48971</v>
      </c>
      <c r="U1903" t="s">
        <v>51232</v>
      </c>
      <c r="V1903" t="s">
        <v>62848</v>
      </c>
      <c r="W1903" t="s">
        <v>43817</v>
      </c>
      <c r="X1903" t="s">
        <v>47306</v>
      </c>
    </row>
    <row r="1904" spans="1:24">
      <c r="A1904">
        <f>HYPERLINK("https://www.philgeps.gov.ph/GEPSNONPILOT/Tender/SplashBidNoticeAbstractUI.aspx?menuIndex=3&amp;refID=7199773&amp;Result=3","7199773")</f>
        <v>0</v>
      </c>
      <c r="B1904" t="s">
        <v>882</v>
      </c>
      <c r="C1904" t="s">
        <v>5701</v>
      </c>
      <c r="D1904" t="s">
        <v>18994</v>
      </c>
      <c r="E1904" t="s">
        <v>20832</v>
      </c>
      <c r="F1904" t="s">
        <v>32606</v>
      </c>
      <c r="G1904" t="s">
        <v>32614</v>
      </c>
      <c r="H1904" t="s">
        <v>14201</v>
      </c>
      <c r="I1904" t="s">
        <v>4120</v>
      </c>
      <c r="J1904" t="s">
        <v>33274</v>
      </c>
      <c r="K1904" t="s">
        <v>42630</v>
      </c>
      <c r="M1904" t="s">
        <v>43818</v>
      </c>
      <c r="N1904" t="s">
        <v>47304</v>
      </c>
      <c r="O1904" t="s">
        <v>47305</v>
      </c>
      <c r="P1904">
        <v>0</v>
      </c>
      <c r="Q1904">
        <v>0</v>
      </c>
      <c r="R1904" t="s">
        <v>47307</v>
      </c>
      <c r="S1904" t="s">
        <v>47416</v>
      </c>
      <c r="T1904" t="s">
        <v>49087</v>
      </c>
      <c r="U1904" t="s">
        <v>51233</v>
      </c>
      <c r="W1904" t="s">
        <v>43818</v>
      </c>
      <c r="X1904" t="s">
        <v>47306</v>
      </c>
    </row>
    <row r="1905" spans="1:24">
      <c r="A1905">
        <f>HYPERLINK("https://www.philgeps.gov.ph/GEPSNONPILOT/Tender/SplashBidNoticeAbstractUI.aspx?menuIndex=3&amp;refID=7199668&amp;Result=3","7199668")</f>
        <v>0</v>
      </c>
      <c r="B1905" t="s">
        <v>634</v>
      </c>
      <c r="C1905" t="s">
        <v>5702</v>
      </c>
      <c r="D1905" t="s">
        <v>19056</v>
      </c>
      <c r="E1905" t="s">
        <v>20833</v>
      </c>
      <c r="F1905" t="s">
        <v>32606</v>
      </c>
      <c r="G1905" t="s">
        <v>32614</v>
      </c>
      <c r="H1905" t="s">
        <v>14201</v>
      </c>
      <c r="I1905" t="s">
        <v>32633</v>
      </c>
      <c r="J1905" t="s">
        <v>34164</v>
      </c>
      <c r="K1905" t="s">
        <v>42630</v>
      </c>
      <c r="M1905" t="s">
        <v>43552</v>
      </c>
      <c r="N1905" t="s">
        <v>47304</v>
      </c>
      <c r="O1905" t="s">
        <v>47305</v>
      </c>
      <c r="P1905">
        <v>0</v>
      </c>
      <c r="Q1905">
        <v>0</v>
      </c>
      <c r="R1905" t="s">
        <v>47307</v>
      </c>
      <c r="S1905" t="s">
        <v>47416</v>
      </c>
      <c r="T1905" t="s">
        <v>49016</v>
      </c>
      <c r="U1905" t="s">
        <v>51234</v>
      </c>
      <c r="W1905" t="s">
        <v>43552</v>
      </c>
      <c r="X1905" t="s">
        <v>47306</v>
      </c>
    </row>
    <row r="1906" spans="1:24">
      <c r="A1906">
        <f>HYPERLINK("https://www.philgeps.gov.ph/GEPSNONPILOT/Tender/SplashBidNoticeAbstractUI.aspx?menuIndex=3&amp;refID=7199744&amp;Result=3","7199744")</f>
        <v>0</v>
      </c>
      <c r="B1906" t="s">
        <v>540</v>
      </c>
      <c r="C1906" t="s">
        <v>5703</v>
      </c>
      <c r="D1906" t="s">
        <v>19001</v>
      </c>
      <c r="E1906" t="s">
        <v>20834</v>
      </c>
      <c r="F1906" t="s">
        <v>32606</v>
      </c>
      <c r="G1906" t="s">
        <v>32613</v>
      </c>
      <c r="H1906" t="s">
        <v>14201</v>
      </c>
      <c r="I1906" t="s">
        <v>32633</v>
      </c>
      <c r="J1906" t="s">
        <v>34165</v>
      </c>
      <c r="K1906" t="s">
        <v>42622</v>
      </c>
      <c r="M1906" t="s">
        <v>43781</v>
      </c>
      <c r="N1906" t="s">
        <v>47304</v>
      </c>
      <c r="O1906" t="s">
        <v>47305</v>
      </c>
      <c r="P1906">
        <v>0</v>
      </c>
      <c r="Q1906">
        <v>0</v>
      </c>
      <c r="R1906" t="s">
        <v>47307</v>
      </c>
      <c r="S1906" t="s">
        <v>47416</v>
      </c>
      <c r="T1906" t="s">
        <v>49121</v>
      </c>
      <c r="U1906" t="s">
        <v>51235</v>
      </c>
      <c r="W1906" t="s">
        <v>43781</v>
      </c>
      <c r="X1906" t="s">
        <v>47306</v>
      </c>
    </row>
    <row r="1907" spans="1:24">
      <c r="A1907">
        <f>HYPERLINK("https://www.philgeps.gov.ph/GEPSNONPILOT/Tender/SplashBidNoticeAbstractUI.aspx?menuIndex=3&amp;refID=7199742&amp;Result=3","7199742")</f>
        <v>0</v>
      </c>
      <c r="B1907" t="s">
        <v>876</v>
      </c>
      <c r="C1907" t="s">
        <v>5704</v>
      </c>
      <c r="D1907" t="s">
        <v>19038</v>
      </c>
      <c r="E1907" t="s">
        <v>20835</v>
      </c>
      <c r="F1907" t="s">
        <v>32606</v>
      </c>
      <c r="G1907" t="s">
        <v>32613</v>
      </c>
      <c r="H1907" t="s">
        <v>32623</v>
      </c>
      <c r="I1907" t="s">
        <v>17648</v>
      </c>
      <c r="J1907" t="s">
        <v>34166</v>
      </c>
      <c r="K1907" t="s">
        <v>42624</v>
      </c>
      <c r="M1907" t="s">
        <v>43812</v>
      </c>
      <c r="N1907" t="s">
        <v>47304</v>
      </c>
      <c r="O1907" t="s">
        <v>47305</v>
      </c>
      <c r="P1907">
        <v>0</v>
      </c>
      <c r="Q1907">
        <v>0</v>
      </c>
      <c r="R1907" t="s">
        <v>47307</v>
      </c>
      <c r="S1907" t="s">
        <v>47416</v>
      </c>
      <c r="T1907" t="s">
        <v>49008</v>
      </c>
      <c r="U1907" t="s">
        <v>51236</v>
      </c>
      <c r="W1907" t="s">
        <v>43812</v>
      </c>
      <c r="X1907" t="s">
        <v>47306</v>
      </c>
    </row>
    <row r="1908" spans="1:24">
      <c r="A1908">
        <f>HYPERLINK("https://www.philgeps.gov.ph/GEPSNONPILOT/Tender/SplashBidNoticeAbstractUI.aspx?menuIndex=3&amp;refID=7199741&amp;Result=3","7199741")</f>
        <v>0</v>
      </c>
      <c r="B1908" t="s">
        <v>883</v>
      </c>
      <c r="C1908" t="s">
        <v>5705</v>
      </c>
      <c r="D1908" t="s">
        <v>19027</v>
      </c>
      <c r="E1908" t="s">
        <v>20836</v>
      </c>
      <c r="F1908" t="s">
        <v>32606</v>
      </c>
      <c r="G1908" t="s">
        <v>32614</v>
      </c>
      <c r="H1908" t="s">
        <v>14201</v>
      </c>
      <c r="I1908" t="s">
        <v>32633</v>
      </c>
      <c r="J1908" t="s">
        <v>34167</v>
      </c>
      <c r="K1908" t="s">
        <v>42631</v>
      </c>
      <c r="M1908" t="s">
        <v>43819</v>
      </c>
      <c r="N1908" t="s">
        <v>47304</v>
      </c>
      <c r="O1908" t="s">
        <v>47305</v>
      </c>
      <c r="P1908">
        <v>0</v>
      </c>
      <c r="Q1908">
        <v>0</v>
      </c>
      <c r="R1908" t="s">
        <v>47307</v>
      </c>
      <c r="S1908" t="s">
        <v>47416</v>
      </c>
      <c r="T1908" t="s">
        <v>49087</v>
      </c>
      <c r="U1908" t="s">
        <v>51237</v>
      </c>
      <c r="W1908" t="s">
        <v>43819</v>
      </c>
      <c r="X1908" t="s">
        <v>47306</v>
      </c>
    </row>
    <row r="1909" spans="1:24">
      <c r="A1909">
        <f>HYPERLINK("https://www.philgeps.gov.ph/GEPSNONPILOT/Tender/SplashBidNoticeAbstractUI.aspx?menuIndex=3&amp;refID=7199767&amp;Result=3","7199767")</f>
        <v>0</v>
      </c>
      <c r="B1909" t="s">
        <v>82</v>
      </c>
      <c r="C1909" t="s">
        <v>5706</v>
      </c>
      <c r="D1909" t="s">
        <v>19011</v>
      </c>
      <c r="E1909" t="s">
        <v>20837</v>
      </c>
      <c r="F1909" t="s">
        <v>32606</v>
      </c>
      <c r="G1909" t="s">
        <v>32613</v>
      </c>
      <c r="H1909" t="s">
        <v>14201</v>
      </c>
      <c r="I1909" t="s">
        <v>7064</v>
      </c>
      <c r="J1909" t="s">
        <v>34168</v>
      </c>
      <c r="K1909" t="s">
        <v>42624</v>
      </c>
      <c r="M1909" t="s">
        <v>43766</v>
      </c>
      <c r="N1909" t="s">
        <v>47304</v>
      </c>
      <c r="O1909" t="s">
        <v>47305</v>
      </c>
      <c r="P1909">
        <v>0</v>
      </c>
      <c r="Q1909">
        <v>0</v>
      </c>
      <c r="R1909" t="s">
        <v>47307</v>
      </c>
      <c r="S1909" t="s">
        <v>47416</v>
      </c>
      <c r="T1909" t="s">
        <v>49081</v>
      </c>
      <c r="U1909" t="s">
        <v>51238</v>
      </c>
      <c r="V1909" t="s">
        <v>62841</v>
      </c>
      <c r="W1909" t="s">
        <v>43766</v>
      </c>
      <c r="X1909" t="s">
        <v>47306</v>
      </c>
    </row>
    <row r="1910" spans="1:24">
      <c r="A1910">
        <f>HYPERLINK("https://www.philgeps.gov.ph/GEPSNONPILOT/Tender/SplashBidNoticeAbstractUI.aspx?menuIndex=3&amp;refID=7199772&amp;Result=3","7199772")</f>
        <v>0</v>
      </c>
      <c r="B1910" t="s">
        <v>884</v>
      </c>
      <c r="C1910" t="s">
        <v>5707</v>
      </c>
      <c r="D1910" t="s">
        <v>19030</v>
      </c>
      <c r="E1910" t="s">
        <v>20838</v>
      </c>
      <c r="F1910" t="s">
        <v>32606</v>
      </c>
      <c r="G1910" t="s">
        <v>32613</v>
      </c>
      <c r="H1910" t="s">
        <v>32623</v>
      </c>
      <c r="I1910" t="s">
        <v>17648</v>
      </c>
      <c r="J1910" t="s">
        <v>32772</v>
      </c>
      <c r="K1910" t="s">
        <v>42648</v>
      </c>
      <c r="M1910" t="s">
        <v>43820</v>
      </c>
      <c r="N1910" t="s">
        <v>47304</v>
      </c>
      <c r="O1910" t="s">
        <v>47305</v>
      </c>
      <c r="P1910">
        <v>0</v>
      </c>
      <c r="Q1910">
        <v>0</v>
      </c>
      <c r="R1910" t="s">
        <v>47307</v>
      </c>
      <c r="S1910" t="s">
        <v>47416</v>
      </c>
      <c r="T1910" t="s">
        <v>49028</v>
      </c>
      <c r="U1910" t="s">
        <v>51239</v>
      </c>
      <c r="W1910" t="s">
        <v>43820</v>
      </c>
      <c r="X1910" t="s">
        <v>47306</v>
      </c>
    </row>
    <row r="1911" spans="1:24">
      <c r="A1911">
        <f>HYPERLINK("https://www.philgeps.gov.ph/GEPSNONPILOT/Tender/SplashBidNoticeAbstractUI.aspx?menuIndex=3&amp;refID=7199751&amp;Result=3","7199751")</f>
        <v>0</v>
      </c>
      <c r="B1911" t="s">
        <v>230</v>
      </c>
      <c r="C1911" t="s">
        <v>5708</v>
      </c>
      <c r="D1911" t="s">
        <v>19015</v>
      </c>
      <c r="E1911" t="s">
        <v>20839</v>
      </c>
      <c r="F1911" t="s">
        <v>32606</v>
      </c>
      <c r="G1911" t="s">
        <v>32614</v>
      </c>
      <c r="H1911" t="s">
        <v>14201</v>
      </c>
      <c r="I1911" t="s">
        <v>4114</v>
      </c>
      <c r="J1911" t="s">
        <v>34169</v>
      </c>
      <c r="K1911" t="s">
        <v>42632</v>
      </c>
      <c r="M1911" t="s">
        <v>43131</v>
      </c>
      <c r="N1911" t="s">
        <v>47304</v>
      </c>
      <c r="O1911" t="s">
        <v>47305</v>
      </c>
      <c r="P1911">
        <v>0</v>
      </c>
      <c r="Q1911">
        <v>0</v>
      </c>
      <c r="R1911" t="s">
        <v>47307</v>
      </c>
      <c r="S1911" t="s">
        <v>47416</v>
      </c>
      <c r="T1911" t="s">
        <v>48996</v>
      </c>
      <c r="U1911" t="s">
        <v>51240</v>
      </c>
      <c r="V1911" t="s">
        <v>62849</v>
      </c>
      <c r="W1911" t="s">
        <v>43131</v>
      </c>
      <c r="X1911" t="s">
        <v>47306</v>
      </c>
    </row>
    <row r="1912" spans="1:24">
      <c r="A1912">
        <f>HYPERLINK("https://www.philgeps.gov.ph/GEPSNONPILOT/Tender/SplashBidNoticeAbstractUI.aspx?menuIndex=3&amp;refID=7199765&amp;Result=3","7199765")</f>
        <v>0</v>
      </c>
      <c r="B1912" t="s">
        <v>575</v>
      </c>
      <c r="C1912" t="s">
        <v>5709</v>
      </c>
      <c r="D1912" t="s">
        <v>19036</v>
      </c>
      <c r="E1912" t="s">
        <v>20840</v>
      </c>
      <c r="F1912" t="s">
        <v>32606</v>
      </c>
      <c r="G1912" t="s">
        <v>32614</v>
      </c>
      <c r="H1912" t="s">
        <v>14201</v>
      </c>
      <c r="I1912" t="s">
        <v>6993</v>
      </c>
      <c r="J1912" t="s">
        <v>33047</v>
      </c>
      <c r="K1912" t="s">
        <v>42624</v>
      </c>
      <c r="M1912" t="s">
        <v>43806</v>
      </c>
      <c r="N1912" t="s">
        <v>47304</v>
      </c>
      <c r="O1912" t="s">
        <v>47305</v>
      </c>
      <c r="P1912">
        <v>0</v>
      </c>
      <c r="Q1912">
        <v>0</v>
      </c>
      <c r="R1912" t="s">
        <v>47307</v>
      </c>
      <c r="S1912" t="s">
        <v>47416</v>
      </c>
      <c r="T1912" t="s">
        <v>49100</v>
      </c>
      <c r="U1912" t="s">
        <v>51241</v>
      </c>
      <c r="W1912" t="s">
        <v>43806</v>
      </c>
      <c r="X1912" t="s">
        <v>47306</v>
      </c>
    </row>
    <row r="1913" spans="1:24">
      <c r="A1913">
        <f>HYPERLINK("https://www.philgeps.gov.ph/GEPSNONPILOT/Tender/SplashBidNoticeAbstractUI.aspx?menuIndex=3&amp;refID=7199770&amp;Result=3","7199770")</f>
        <v>0</v>
      </c>
      <c r="B1913" t="s">
        <v>885</v>
      </c>
      <c r="C1913" t="s">
        <v>5710</v>
      </c>
      <c r="D1913" t="s">
        <v>19054</v>
      </c>
      <c r="E1913" t="s">
        <v>20841</v>
      </c>
      <c r="F1913" t="s">
        <v>32606</v>
      </c>
      <c r="G1913" t="s">
        <v>32614</v>
      </c>
      <c r="H1913" t="s">
        <v>32624</v>
      </c>
      <c r="I1913" t="s">
        <v>32641</v>
      </c>
      <c r="J1913" t="s">
        <v>34170</v>
      </c>
      <c r="K1913" t="s">
        <v>42714</v>
      </c>
      <c r="M1913" t="s">
        <v>43821</v>
      </c>
      <c r="N1913" t="s">
        <v>47304</v>
      </c>
      <c r="O1913" t="s">
        <v>47305</v>
      </c>
      <c r="P1913">
        <v>0</v>
      </c>
      <c r="Q1913">
        <v>0</v>
      </c>
      <c r="R1913" t="s">
        <v>47307</v>
      </c>
      <c r="S1913" t="s">
        <v>47416</v>
      </c>
      <c r="T1913" t="s">
        <v>49076</v>
      </c>
      <c r="U1913" t="s">
        <v>51242</v>
      </c>
      <c r="V1913" t="s">
        <v>62850</v>
      </c>
      <c r="W1913" t="s">
        <v>43821</v>
      </c>
      <c r="X1913" t="s">
        <v>47306</v>
      </c>
    </row>
    <row r="1914" spans="1:24">
      <c r="A1914">
        <f>HYPERLINK("https://www.philgeps.gov.ph/GEPSNONPILOT/Tender/SplashBidNoticeAbstractUI.aspx?menuIndex=3&amp;refID=7199761&amp;Result=3","7199761")</f>
        <v>0</v>
      </c>
      <c r="B1914" t="s">
        <v>598</v>
      </c>
      <c r="C1914" t="s">
        <v>5711</v>
      </c>
      <c r="D1914" t="s">
        <v>18992</v>
      </c>
      <c r="E1914" t="s">
        <v>20842</v>
      </c>
      <c r="F1914" t="s">
        <v>32606</v>
      </c>
      <c r="G1914" t="s">
        <v>32613</v>
      </c>
      <c r="H1914" t="s">
        <v>14201</v>
      </c>
      <c r="I1914" t="s">
        <v>7677</v>
      </c>
      <c r="J1914" t="s">
        <v>34171</v>
      </c>
      <c r="K1914" t="s">
        <v>42639</v>
      </c>
      <c r="M1914" t="s">
        <v>43513</v>
      </c>
      <c r="N1914" t="s">
        <v>47304</v>
      </c>
      <c r="O1914" t="s">
        <v>47305</v>
      </c>
      <c r="P1914">
        <v>0</v>
      </c>
      <c r="Q1914">
        <v>0</v>
      </c>
      <c r="R1914" t="s">
        <v>47307</v>
      </c>
      <c r="S1914" t="s">
        <v>47416</v>
      </c>
      <c r="T1914" t="s">
        <v>49055</v>
      </c>
      <c r="U1914" t="s">
        <v>51243</v>
      </c>
      <c r="W1914" t="s">
        <v>43513</v>
      </c>
      <c r="X1914" t="s">
        <v>47306</v>
      </c>
    </row>
    <row r="1915" spans="1:24">
      <c r="A1915">
        <f>HYPERLINK("https://www.philgeps.gov.ph/GEPSNONPILOT/Tender/SplashBidNoticeAbstractUI.aspx?menuIndex=3&amp;refID=7199760&amp;Result=3","7199760")</f>
        <v>0</v>
      </c>
      <c r="B1915" t="s">
        <v>886</v>
      </c>
      <c r="C1915" t="s">
        <v>5712</v>
      </c>
      <c r="D1915" t="s">
        <v>18995</v>
      </c>
      <c r="E1915" t="s">
        <v>20843</v>
      </c>
      <c r="F1915" t="s">
        <v>32606</v>
      </c>
      <c r="G1915" t="s">
        <v>32614</v>
      </c>
      <c r="H1915" t="s">
        <v>14201</v>
      </c>
      <c r="I1915" t="s">
        <v>32640</v>
      </c>
      <c r="J1915" t="s">
        <v>33034</v>
      </c>
      <c r="K1915" t="s">
        <v>42632</v>
      </c>
      <c r="M1915" t="s">
        <v>43822</v>
      </c>
      <c r="N1915" t="s">
        <v>47304</v>
      </c>
      <c r="O1915" t="s">
        <v>47305</v>
      </c>
      <c r="P1915">
        <v>0</v>
      </c>
      <c r="Q1915">
        <v>0</v>
      </c>
      <c r="R1915" t="s">
        <v>47307</v>
      </c>
      <c r="S1915" t="s">
        <v>47416</v>
      </c>
      <c r="T1915" t="s">
        <v>49108</v>
      </c>
      <c r="U1915" t="s">
        <v>51244</v>
      </c>
      <c r="W1915" t="s">
        <v>43822</v>
      </c>
      <c r="X1915" t="s">
        <v>47306</v>
      </c>
    </row>
    <row r="1916" spans="1:24">
      <c r="A1916">
        <f>HYPERLINK("https://www.philgeps.gov.ph/GEPSNONPILOT/Tender/SplashBidNoticeAbstractUI.aspx?menuIndex=3&amp;refID=7199769&amp;Result=3","7199769")</f>
        <v>0</v>
      </c>
      <c r="B1916" t="s">
        <v>175</v>
      </c>
      <c r="C1916" t="s">
        <v>5713</v>
      </c>
      <c r="D1916" t="s">
        <v>19018</v>
      </c>
      <c r="E1916" t="s">
        <v>20844</v>
      </c>
      <c r="F1916" t="s">
        <v>32606</v>
      </c>
      <c r="G1916" t="s">
        <v>32613</v>
      </c>
      <c r="H1916" t="s">
        <v>32623</v>
      </c>
      <c r="I1916" t="s">
        <v>17648</v>
      </c>
      <c r="J1916" t="s">
        <v>34172</v>
      </c>
      <c r="K1916" t="s">
        <v>42624</v>
      </c>
      <c r="M1916" t="s">
        <v>43076</v>
      </c>
      <c r="N1916" t="s">
        <v>47304</v>
      </c>
      <c r="O1916" t="s">
        <v>47305</v>
      </c>
      <c r="P1916">
        <v>0</v>
      </c>
      <c r="Q1916">
        <v>0</v>
      </c>
      <c r="R1916" t="s">
        <v>47307</v>
      </c>
      <c r="S1916" t="s">
        <v>47416</v>
      </c>
      <c r="T1916" t="s">
        <v>49133</v>
      </c>
      <c r="U1916" t="s">
        <v>51245</v>
      </c>
      <c r="W1916" t="s">
        <v>43076</v>
      </c>
      <c r="X1916" t="s">
        <v>47306</v>
      </c>
    </row>
    <row r="1917" spans="1:24">
      <c r="A1917">
        <f>HYPERLINK("https://www.philgeps.gov.ph/GEPSNONPILOT/Tender/SplashBidNoticeAbstractUI.aspx?menuIndex=3&amp;refID=7199768&amp;Result=3","7199768")</f>
        <v>0</v>
      </c>
      <c r="B1917" t="s">
        <v>814</v>
      </c>
      <c r="C1917" t="s">
        <v>5714</v>
      </c>
      <c r="D1917" t="s">
        <v>18993</v>
      </c>
      <c r="E1917" t="s">
        <v>20845</v>
      </c>
      <c r="F1917" t="s">
        <v>32606</v>
      </c>
      <c r="G1917" t="s">
        <v>32614</v>
      </c>
      <c r="H1917" t="s">
        <v>14201</v>
      </c>
      <c r="I1917" t="s">
        <v>4120</v>
      </c>
      <c r="J1917" t="s">
        <v>34173</v>
      </c>
      <c r="K1917" t="s">
        <v>42624</v>
      </c>
      <c r="M1917" t="s">
        <v>43745</v>
      </c>
      <c r="N1917" t="s">
        <v>47304</v>
      </c>
      <c r="O1917" t="s">
        <v>47305</v>
      </c>
      <c r="P1917">
        <v>0</v>
      </c>
      <c r="Q1917">
        <v>0</v>
      </c>
      <c r="R1917" t="s">
        <v>47307</v>
      </c>
      <c r="S1917" t="s">
        <v>47416</v>
      </c>
      <c r="T1917" t="s">
        <v>49175</v>
      </c>
      <c r="U1917" t="s">
        <v>51246</v>
      </c>
      <c r="W1917" t="s">
        <v>64450</v>
      </c>
      <c r="X1917" t="s">
        <v>47306</v>
      </c>
    </row>
    <row r="1918" spans="1:24">
      <c r="A1918">
        <f>HYPERLINK("https://www.philgeps.gov.ph/GEPSNONPILOT/Tender/SplashBidNoticeAbstractUI.aspx?menuIndex=3&amp;refID=7199759&amp;Result=3","7199759")</f>
        <v>0</v>
      </c>
      <c r="B1918" t="s">
        <v>887</v>
      </c>
      <c r="C1918" t="s">
        <v>5715</v>
      </c>
      <c r="D1918" t="s">
        <v>19005</v>
      </c>
      <c r="E1918" t="s">
        <v>20846</v>
      </c>
      <c r="F1918" t="s">
        <v>32606</v>
      </c>
      <c r="G1918" t="s">
        <v>32613</v>
      </c>
      <c r="H1918" t="s">
        <v>32623</v>
      </c>
      <c r="I1918" t="s">
        <v>17648</v>
      </c>
      <c r="J1918" t="s">
        <v>34174</v>
      </c>
      <c r="K1918" t="s">
        <v>42720</v>
      </c>
      <c r="M1918" t="s">
        <v>43823</v>
      </c>
      <c r="N1918" t="s">
        <v>47304</v>
      </c>
      <c r="O1918" t="s">
        <v>47305</v>
      </c>
      <c r="P1918">
        <v>0</v>
      </c>
      <c r="Q1918">
        <v>0</v>
      </c>
      <c r="R1918" t="s">
        <v>47307</v>
      </c>
      <c r="S1918" t="s">
        <v>47416</v>
      </c>
      <c r="T1918" t="s">
        <v>49032</v>
      </c>
      <c r="U1918" t="s">
        <v>51247</v>
      </c>
      <c r="V1918" t="s">
        <v>62851</v>
      </c>
      <c r="W1918" t="s">
        <v>43823</v>
      </c>
      <c r="X1918" t="s">
        <v>47306</v>
      </c>
    </row>
    <row r="1919" spans="1:24">
      <c r="A1919">
        <f>HYPERLINK("https://www.philgeps.gov.ph/GEPSNONPILOT/Tender/SplashBidNoticeAbstractUI.aspx?menuIndex=3&amp;refID=7199757&amp;Result=3","7199757")</f>
        <v>0</v>
      </c>
      <c r="B1919" t="s">
        <v>888</v>
      </c>
      <c r="C1919" t="s">
        <v>5716</v>
      </c>
      <c r="D1919" t="s">
        <v>19025</v>
      </c>
      <c r="E1919" t="s">
        <v>20847</v>
      </c>
      <c r="F1919" t="s">
        <v>32606</v>
      </c>
      <c r="G1919" t="s">
        <v>32613</v>
      </c>
      <c r="H1919" t="s">
        <v>14201</v>
      </c>
      <c r="I1919" t="s">
        <v>4115</v>
      </c>
      <c r="J1919" t="s">
        <v>32833</v>
      </c>
      <c r="K1919" t="s">
        <v>42623</v>
      </c>
      <c r="M1919" t="s">
        <v>43824</v>
      </c>
      <c r="N1919" t="s">
        <v>47304</v>
      </c>
      <c r="O1919" t="s">
        <v>47305</v>
      </c>
      <c r="P1919">
        <v>0</v>
      </c>
      <c r="Q1919">
        <v>0</v>
      </c>
      <c r="R1919" t="s">
        <v>47307</v>
      </c>
      <c r="S1919" t="s">
        <v>47416</v>
      </c>
      <c r="T1919" t="s">
        <v>48996</v>
      </c>
      <c r="U1919" t="s">
        <v>51248</v>
      </c>
      <c r="V1919" t="s">
        <v>62852</v>
      </c>
      <c r="W1919" t="s">
        <v>43824</v>
      </c>
      <c r="X1919" t="s">
        <v>47306</v>
      </c>
    </row>
    <row r="1920" spans="1:24">
      <c r="A1920">
        <f>HYPERLINK("https://www.philgeps.gov.ph/GEPSNONPILOT/Tender/SplashBidNoticeAbstractUI.aspx?menuIndex=3&amp;refID=7199789&amp;Result=3","7199789")</f>
        <v>0</v>
      </c>
      <c r="B1920" t="s">
        <v>462</v>
      </c>
      <c r="C1920" t="s">
        <v>5717</v>
      </c>
      <c r="D1920" t="s">
        <v>19040</v>
      </c>
      <c r="E1920" t="s">
        <v>20848</v>
      </c>
      <c r="F1920" t="s">
        <v>32606</v>
      </c>
      <c r="G1920" t="s">
        <v>32614</v>
      </c>
      <c r="H1920" t="s">
        <v>14201</v>
      </c>
      <c r="I1920" t="s">
        <v>32650</v>
      </c>
      <c r="J1920" t="s">
        <v>34175</v>
      </c>
      <c r="K1920" t="s">
        <v>42666</v>
      </c>
      <c r="M1920" t="s">
        <v>43372</v>
      </c>
      <c r="N1920" t="s">
        <v>47304</v>
      </c>
      <c r="O1920" t="s">
        <v>47305</v>
      </c>
      <c r="P1920">
        <v>0</v>
      </c>
      <c r="Q1920">
        <v>0</v>
      </c>
      <c r="R1920" t="s">
        <v>47307</v>
      </c>
      <c r="S1920" t="s">
        <v>47416</v>
      </c>
      <c r="T1920" t="s">
        <v>49156</v>
      </c>
      <c r="U1920" t="s">
        <v>51249</v>
      </c>
      <c r="W1920" t="s">
        <v>64454</v>
      </c>
      <c r="X1920" t="s">
        <v>47306</v>
      </c>
    </row>
    <row r="1921" spans="1:24">
      <c r="A1921">
        <f>HYPERLINK("https://www.philgeps.gov.ph/GEPSNONPILOT/Tender/SplashBidNoticeAbstractUI.aspx?menuIndex=3&amp;refID=7199763&amp;Result=3","7199763")</f>
        <v>0</v>
      </c>
      <c r="B1921" t="s">
        <v>889</v>
      </c>
      <c r="C1921" t="s">
        <v>5718</v>
      </c>
      <c r="D1921" t="s">
        <v>18997</v>
      </c>
      <c r="E1921" t="s">
        <v>20849</v>
      </c>
      <c r="F1921" t="s">
        <v>32606</v>
      </c>
      <c r="G1921" t="s">
        <v>32614</v>
      </c>
      <c r="H1921" t="s">
        <v>14201</v>
      </c>
      <c r="I1921" t="s">
        <v>32633</v>
      </c>
      <c r="J1921" t="s">
        <v>34176</v>
      </c>
      <c r="K1921" t="s">
        <v>42631</v>
      </c>
      <c r="L1921" t="s">
        <v>889</v>
      </c>
      <c r="M1921" t="s">
        <v>43825</v>
      </c>
      <c r="N1921" t="s">
        <v>47304</v>
      </c>
      <c r="O1921" t="s">
        <v>47305</v>
      </c>
      <c r="P1921">
        <v>0</v>
      </c>
      <c r="Q1921">
        <v>0</v>
      </c>
      <c r="R1921" t="s">
        <v>47307</v>
      </c>
      <c r="S1921" t="s">
        <v>47416</v>
      </c>
      <c r="T1921" t="s">
        <v>49023</v>
      </c>
      <c r="U1921" t="s">
        <v>51250</v>
      </c>
      <c r="V1921" t="s">
        <v>62853</v>
      </c>
      <c r="W1921" t="s">
        <v>43825</v>
      </c>
      <c r="X1921" t="s">
        <v>47306</v>
      </c>
    </row>
    <row r="1922" spans="1:24">
      <c r="A1922">
        <f>HYPERLINK("https://www.philgeps.gov.ph/GEPSNONPILOT/Tender/SplashBidNoticeAbstractUI.aspx?menuIndex=3&amp;refID=7199795&amp;Result=3","7199795")</f>
        <v>0</v>
      </c>
      <c r="B1922" t="s">
        <v>745</v>
      </c>
      <c r="C1922" t="s">
        <v>5719</v>
      </c>
      <c r="D1922" t="s">
        <v>19043</v>
      </c>
      <c r="E1922" t="s">
        <v>20850</v>
      </c>
      <c r="F1922" t="s">
        <v>32606</v>
      </c>
      <c r="G1922" t="s">
        <v>32615</v>
      </c>
      <c r="H1922" t="s">
        <v>14201</v>
      </c>
      <c r="I1922" t="s">
        <v>4678</v>
      </c>
      <c r="J1922" t="s">
        <v>33526</v>
      </c>
      <c r="K1922" t="s">
        <v>42622</v>
      </c>
      <c r="M1922" t="s">
        <v>43668</v>
      </c>
      <c r="N1922" t="s">
        <v>47304</v>
      </c>
      <c r="O1922" t="s">
        <v>47305</v>
      </c>
      <c r="P1922">
        <v>0</v>
      </c>
      <c r="Q1922">
        <v>0</v>
      </c>
      <c r="R1922" t="s">
        <v>47307</v>
      </c>
      <c r="S1922" t="s">
        <v>47416</v>
      </c>
      <c r="T1922" t="s">
        <v>49180</v>
      </c>
      <c r="U1922" t="s">
        <v>51251</v>
      </c>
      <c r="W1922" t="s">
        <v>43668</v>
      </c>
      <c r="X1922" t="s">
        <v>47306</v>
      </c>
    </row>
    <row r="1923" spans="1:24">
      <c r="A1923">
        <f>HYPERLINK("https://www.philgeps.gov.ph/GEPSNONPILOT/Tender/SplashBidNoticeAbstractUI.aspx?menuIndex=3&amp;refID=7199794&amp;Result=3","7199794")</f>
        <v>0</v>
      </c>
      <c r="B1923" t="s">
        <v>108</v>
      </c>
      <c r="C1923" t="s">
        <v>5720</v>
      </c>
      <c r="D1923" t="s">
        <v>18997</v>
      </c>
      <c r="E1923" t="s">
        <v>20851</v>
      </c>
      <c r="F1923" t="s">
        <v>32606</v>
      </c>
      <c r="G1923" t="s">
        <v>32619</v>
      </c>
      <c r="H1923" t="s">
        <v>14201</v>
      </c>
      <c r="I1923" t="s">
        <v>6007</v>
      </c>
      <c r="J1923" t="s">
        <v>34177</v>
      </c>
      <c r="K1923" t="s">
        <v>42629</v>
      </c>
      <c r="M1923" t="s">
        <v>43007</v>
      </c>
      <c r="N1923" t="s">
        <v>47304</v>
      </c>
      <c r="O1923" t="s">
        <v>47305</v>
      </c>
      <c r="P1923">
        <v>0</v>
      </c>
      <c r="Q1923">
        <v>0</v>
      </c>
      <c r="R1923" t="s">
        <v>47307</v>
      </c>
      <c r="S1923" t="s">
        <v>47416</v>
      </c>
      <c r="T1923" t="s">
        <v>49010</v>
      </c>
      <c r="U1923" t="s">
        <v>51252</v>
      </c>
      <c r="W1923" t="s">
        <v>43007</v>
      </c>
      <c r="X1923" t="s">
        <v>47306</v>
      </c>
    </row>
    <row r="1924" spans="1:24">
      <c r="A1924">
        <f>HYPERLINK("https://www.philgeps.gov.ph/GEPSNONPILOT/Tender/SplashBidNoticeAbstractUI.aspx?menuIndex=3&amp;refID=7199758&amp;Result=3","7199758")</f>
        <v>0</v>
      </c>
      <c r="B1924" t="s">
        <v>890</v>
      </c>
      <c r="C1924" t="s">
        <v>5721</v>
      </c>
      <c r="D1924" t="s">
        <v>19052</v>
      </c>
      <c r="E1924" t="s">
        <v>20852</v>
      </c>
      <c r="F1924" t="s">
        <v>32606</v>
      </c>
      <c r="G1924" t="s">
        <v>32614</v>
      </c>
      <c r="H1924" t="s">
        <v>14201</v>
      </c>
      <c r="I1924" t="s">
        <v>32706</v>
      </c>
      <c r="J1924" t="s">
        <v>33113</v>
      </c>
      <c r="K1924" t="s">
        <v>42648</v>
      </c>
      <c r="M1924" t="s">
        <v>43826</v>
      </c>
      <c r="N1924" t="s">
        <v>47304</v>
      </c>
      <c r="O1924" t="s">
        <v>47305</v>
      </c>
      <c r="P1924">
        <v>0</v>
      </c>
      <c r="Q1924">
        <v>0</v>
      </c>
      <c r="R1924" t="s">
        <v>47307</v>
      </c>
      <c r="S1924" t="s">
        <v>47416</v>
      </c>
      <c r="T1924" t="s">
        <v>48982</v>
      </c>
      <c r="U1924" t="s">
        <v>51253</v>
      </c>
      <c r="W1924" t="s">
        <v>43826</v>
      </c>
      <c r="X1924" t="s">
        <v>47306</v>
      </c>
    </row>
    <row r="1925" spans="1:24">
      <c r="A1925">
        <f>HYPERLINK("https://www.philgeps.gov.ph/GEPSNONPILOT/Tender/SplashBidNoticeAbstractUI.aspx?menuIndex=3&amp;refID=7199766&amp;Result=3","7199766")</f>
        <v>0</v>
      </c>
      <c r="B1925" t="s">
        <v>891</v>
      </c>
      <c r="C1925" t="s">
        <v>5722</v>
      </c>
      <c r="D1925" t="s">
        <v>19016</v>
      </c>
      <c r="E1925" t="s">
        <v>20853</v>
      </c>
      <c r="F1925" t="s">
        <v>32606</v>
      </c>
      <c r="G1925" t="s">
        <v>32614</v>
      </c>
      <c r="H1925" t="s">
        <v>14201</v>
      </c>
      <c r="I1925" t="s">
        <v>6931</v>
      </c>
      <c r="J1925" t="s">
        <v>34178</v>
      </c>
      <c r="K1925" t="s">
        <v>42631</v>
      </c>
      <c r="M1925" t="s">
        <v>43827</v>
      </c>
      <c r="N1925" t="s">
        <v>47304</v>
      </c>
      <c r="O1925" t="s">
        <v>47305</v>
      </c>
      <c r="P1925">
        <v>0</v>
      </c>
      <c r="Q1925">
        <v>0</v>
      </c>
      <c r="R1925" t="s">
        <v>47307</v>
      </c>
      <c r="S1925" t="s">
        <v>47416</v>
      </c>
      <c r="T1925" t="s">
        <v>49200</v>
      </c>
      <c r="U1925" t="s">
        <v>51254</v>
      </c>
      <c r="W1925" t="s">
        <v>64455</v>
      </c>
      <c r="X1925" t="s">
        <v>47306</v>
      </c>
    </row>
    <row r="1926" spans="1:24">
      <c r="A1926">
        <f>HYPERLINK("https://www.philgeps.gov.ph/GEPSNONPILOT/Tender/SplashBidNoticeAbstractUI.aspx?menuIndex=3&amp;refID=7199749&amp;Result=3","7199749")</f>
        <v>0</v>
      </c>
      <c r="B1926" t="s">
        <v>462</v>
      </c>
      <c r="C1926" t="s">
        <v>5723</v>
      </c>
      <c r="D1926" t="s">
        <v>19040</v>
      </c>
      <c r="E1926" t="s">
        <v>20854</v>
      </c>
      <c r="F1926" t="s">
        <v>32606</v>
      </c>
      <c r="G1926" t="s">
        <v>32614</v>
      </c>
      <c r="H1926" t="s">
        <v>14201</v>
      </c>
      <c r="I1926" t="s">
        <v>32660</v>
      </c>
      <c r="J1926" t="s">
        <v>32789</v>
      </c>
      <c r="K1926" t="s">
        <v>42639</v>
      </c>
      <c r="M1926" t="s">
        <v>43372</v>
      </c>
      <c r="N1926" t="s">
        <v>47304</v>
      </c>
      <c r="O1926" t="s">
        <v>47305</v>
      </c>
      <c r="P1926">
        <v>0</v>
      </c>
      <c r="Q1926">
        <v>0</v>
      </c>
      <c r="R1926" t="s">
        <v>47307</v>
      </c>
      <c r="S1926" t="s">
        <v>47416</v>
      </c>
      <c r="T1926" t="s">
        <v>49156</v>
      </c>
      <c r="U1926" t="s">
        <v>51255</v>
      </c>
      <c r="W1926" t="s">
        <v>64454</v>
      </c>
      <c r="X1926" t="s">
        <v>47306</v>
      </c>
    </row>
    <row r="1927" spans="1:24">
      <c r="A1927">
        <f>HYPERLINK("https://www.philgeps.gov.ph/GEPSNONPILOT/Tender/SplashBidNoticeAbstractUI.aspx?menuIndex=3&amp;refID=7199790&amp;Result=3","7199790")</f>
        <v>0</v>
      </c>
      <c r="B1927" t="s">
        <v>892</v>
      </c>
      <c r="C1927" t="s">
        <v>5724</v>
      </c>
      <c r="D1927" t="s">
        <v>18993</v>
      </c>
      <c r="E1927" t="s">
        <v>20855</v>
      </c>
      <c r="F1927" t="s">
        <v>32606</v>
      </c>
      <c r="G1927" t="s">
        <v>32614</v>
      </c>
      <c r="H1927" t="s">
        <v>14201</v>
      </c>
      <c r="I1927" t="s">
        <v>6298</v>
      </c>
      <c r="J1927" t="s">
        <v>32781</v>
      </c>
      <c r="K1927" t="s">
        <v>42630</v>
      </c>
      <c r="M1927" t="s">
        <v>43828</v>
      </c>
      <c r="N1927" t="s">
        <v>47304</v>
      </c>
      <c r="O1927" t="s">
        <v>47305</v>
      </c>
      <c r="P1927">
        <v>0</v>
      </c>
      <c r="Q1927">
        <v>0</v>
      </c>
      <c r="R1927" t="s">
        <v>47307</v>
      </c>
      <c r="S1927" t="s">
        <v>47416</v>
      </c>
      <c r="T1927" t="s">
        <v>48988</v>
      </c>
      <c r="U1927" t="s">
        <v>51256</v>
      </c>
      <c r="V1927" t="s">
        <v>62854</v>
      </c>
      <c r="W1927" t="s">
        <v>43828</v>
      </c>
      <c r="X1927" t="s">
        <v>47306</v>
      </c>
    </row>
    <row r="1928" spans="1:24">
      <c r="A1928">
        <f>HYPERLINK("https://www.philgeps.gov.ph/GEPSNONPILOT/Tender/SplashBidNoticeAbstractUI.aspx?menuIndex=3&amp;refID=7199787&amp;Result=3","7199787")</f>
        <v>0</v>
      </c>
      <c r="B1928" t="s">
        <v>893</v>
      </c>
      <c r="C1928" t="s">
        <v>5725</v>
      </c>
      <c r="D1928" t="s">
        <v>19002</v>
      </c>
      <c r="E1928" t="s">
        <v>20856</v>
      </c>
      <c r="F1928" t="s">
        <v>32606</v>
      </c>
      <c r="G1928" t="s">
        <v>32619</v>
      </c>
      <c r="H1928" t="s">
        <v>14201</v>
      </c>
      <c r="I1928" t="s">
        <v>6007</v>
      </c>
      <c r="J1928" t="s">
        <v>33551</v>
      </c>
      <c r="K1928" t="s">
        <v>42631</v>
      </c>
      <c r="M1928" t="s">
        <v>43829</v>
      </c>
      <c r="N1928" t="s">
        <v>47304</v>
      </c>
      <c r="O1928" t="s">
        <v>47305</v>
      </c>
      <c r="P1928">
        <v>0</v>
      </c>
      <c r="Q1928">
        <v>0</v>
      </c>
      <c r="R1928" t="s">
        <v>47307</v>
      </c>
      <c r="S1928" t="s">
        <v>47416</v>
      </c>
      <c r="T1928" t="s">
        <v>48986</v>
      </c>
      <c r="U1928" t="s">
        <v>51257</v>
      </c>
      <c r="W1928" t="s">
        <v>43829</v>
      </c>
      <c r="X1928" t="s">
        <v>47306</v>
      </c>
    </row>
    <row r="1929" spans="1:24">
      <c r="A1929">
        <f>HYPERLINK("https://www.philgeps.gov.ph/GEPSNONPILOT/Tender/SplashBidNoticeAbstractUI.aspx?menuIndex=3&amp;refID=7199786&amp;Result=3","7199786")</f>
        <v>0</v>
      </c>
      <c r="B1929" t="s">
        <v>771</v>
      </c>
      <c r="C1929" t="s">
        <v>5726</v>
      </c>
      <c r="D1929" t="s">
        <v>19058</v>
      </c>
      <c r="E1929" t="s">
        <v>20857</v>
      </c>
      <c r="F1929" t="s">
        <v>32606</v>
      </c>
      <c r="G1929" t="s">
        <v>32614</v>
      </c>
      <c r="H1929" t="s">
        <v>14201</v>
      </c>
      <c r="I1929" t="s">
        <v>8682</v>
      </c>
      <c r="J1929" t="s">
        <v>32975</v>
      </c>
      <c r="K1929" t="s">
        <v>42631</v>
      </c>
      <c r="M1929" t="s">
        <v>43699</v>
      </c>
      <c r="N1929" t="s">
        <v>47304</v>
      </c>
      <c r="O1929" t="s">
        <v>47305</v>
      </c>
      <c r="P1929">
        <v>0</v>
      </c>
      <c r="Q1929">
        <v>0</v>
      </c>
      <c r="R1929" t="s">
        <v>47307</v>
      </c>
      <c r="S1929" t="s">
        <v>47416</v>
      </c>
      <c r="T1929" t="s">
        <v>49175</v>
      </c>
      <c r="U1929" t="s">
        <v>50948</v>
      </c>
      <c r="W1929" t="s">
        <v>43699</v>
      </c>
      <c r="X1929" t="s">
        <v>47306</v>
      </c>
    </row>
    <row r="1930" spans="1:24">
      <c r="A1930">
        <f>HYPERLINK("https://www.philgeps.gov.ph/GEPSNONPILOT/Tender/SplashBidNoticeAbstractUI.aspx?menuIndex=3&amp;refID=7199788&amp;Result=3","7199788")</f>
        <v>0</v>
      </c>
      <c r="B1930" t="s">
        <v>238</v>
      </c>
      <c r="C1930" t="s">
        <v>5727</v>
      </c>
      <c r="D1930" t="s">
        <v>18993</v>
      </c>
      <c r="E1930" t="s">
        <v>20858</v>
      </c>
      <c r="F1930" t="s">
        <v>32606</v>
      </c>
      <c r="G1930" t="s">
        <v>32619</v>
      </c>
      <c r="H1930" t="s">
        <v>14201</v>
      </c>
      <c r="I1930" t="s">
        <v>6298</v>
      </c>
      <c r="J1930" t="s">
        <v>34179</v>
      </c>
      <c r="K1930" t="s">
        <v>42622</v>
      </c>
      <c r="M1930" t="s">
        <v>43357</v>
      </c>
      <c r="N1930" t="s">
        <v>47304</v>
      </c>
      <c r="O1930" t="s">
        <v>47305</v>
      </c>
      <c r="P1930">
        <v>0</v>
      </c>
      <c r="Q1930">
        <v>0</v>
      </c>
      <c r="R1930" t="s">
        <v>47307</v>
      </c>
      <c r="S1930" t="s">
        <v>47416</v>
      </c>
      <c r="T1930" t="s">
        <v>49123</v>
      </c>
      <c r="U1930" t="s">
        <v>51258</v>
      </c>
      <c r="V1930" t="s">
        <v>62749</v>
      </c>
      <c r="W1930" t="s">
        <v>43357</v>
      </c>
      <c r="X1930" t="s">
        <v>47306</v>
      </c>
    </row>
    <row r="1931" spans="1:24">
      <c r="A1931">
        <f>HYPERLINK("https://www.philgeps.gov.ph/GEPSNONPILOT/Tender/SplashBidNoticeAbstractUI.aspx?menuIndex=3&amp;refID=7199791&amp;Result=3","7199791")</f>
        <v>0</v>
      </c>
      <c r="B1931" t="s">
        <v>258</v>
      </c>
      <c r="C1931" t="s">
        <v>5728</v>
      </c>
      <c r="D1931" t="s">
        <v>19038</v>
      </c>
      <c r="E1931" t="s">
        <v>20859</v>
      </c>
      <c r="F1931" t="s">
        <v>32606</v>
      </c>
      <c r="G1931" t="s">
        <v>32614</v>
      </c>
      <c r="H1931" t="s">
        <v>14201</v>
      </c>
      <c r="I1931" t="s">
        <v>6993</v>
      </c>
      <c r="J1931" t="s">
        <v>34180</v>
      </c>
      <c r="K1931" t="s">
        <v>42623</v>
      </c>
      <c r="M1931" t="s">
        <v>43159</v>
      </c>
      <c r="N1931" t="s">
        <v>47304</v>
      </c>
      <c r="O1931" t="s">
        <v>47305</v>
      </c>
      <c r="P1931">
        <v>0</v>
      </c>
      <c r="Q1931">
        <v>0</v>
      </c>
      <c r="R1931" t="s">
        <v>47307</v>
      </c>
      <c r="S1931" t="s">
        <v>47416</v>
      </c>
      <c r="T1931" t="s">
        <v>48988</v>
      </c>
      <c r="U1931" t="s">
        <v>51259</v>
      </c>
      <c r="W1931" t="s">
        <v>43159</v>
      </c>
      <c r="X1931" t="s">
        <v>47306</v>
      </c>
    </row>
    <row r="1932" spans="1:24">
      <c r="A1932">
        <f>HYPERLINK("https://www.philgeps.gov.ph/GEPSNONPILOT/Tender/SplashBidNoticeAbstractUI.aspx?menuIndex=3&amp;refID=7199782&amp;Result=3","7199782")</f>
        <v>0</v>
      </c>
      <c r="B1932" t="s">
        <v>894</v>
      </c>
      <c r="C1932" t="s">
        <v>5729</v>
      </c>
      <c r="D1932" t="s">
        <v>19008</v>
      </c>
      <c r="E1932" t="s">
        <v>20860</v>
      </c>
      <c r="F1932" t="s">
        <v>32606</v>
      </c>
      <c r="G1932" t="s">
        <v>32614</v>
      </c>
      <c r="H1932" t="s">
        <v>14201</v>
      </c>
      <c r="I1932" t="s">
        <v>6931</v>
      </c>
      <c r="J1932" t="s">
        <v>34181</v>
      </c>
      <c r="K1932" t="s">
        <v>42630</v>
      </c>
      <c r="M1932" t="s">
        <v>43830</v>
      </c>
      <c r="N1932" t="s">
        <v>47304</v>
      </c>
      <c r="O1932" t="s">
        <v>47305</v>
      </c>
      <c r="P1932">
        <v>0</v>
      </c>
      <c r="Q1932">
        <v>0</v>
      </c>
      <c r="R1932" t="s">
        <v>47307</v>
      </c>
      <c r="S1932" t="s">
        <v>47416</v>
      </c>
      <c r="T1932" t="s">
        <v>49163</v>
      </c>
      <c r="U1932" t="s">
        <v>51260</v>
      </c>
      <c r="W1932" t="s">
        <v>43830</v>
      </c>
      <c r="X1932" t="s">
        <v>47306</v>
      </c>
    </row>
    <row r="1933" spans="1:24">
      <c r="A1933">
        <f>HYPERLINK("https://www.philgeps.gov.ph/GEPSNONPILOT/Tender/SplashBidNoticeAbstractUI.aspx?menuIndex=3&amp;refID=7199781&amp;Result=3","7199781")</f>
        <v>0</v>
      </c>
      <c r="B1933" t="s">
        <v>646</v>
      </c>
      <c r="C1933" t="s">
        <v>5730</v>
      </c>
      <c r="D1933" t="s">
        <v>19002</v>
      </c>
      <c r="E1933" t="s">
        <v>20861</v>
      </c>
      <c r="F1933" t="s">
        <v>32606</v>
      </c>
      <c r="G1933" t="s">
        <v>32619</v>
      </c>
      <c r="H1933" t="s">
        <v>14201</v>
      </c>
      <c r="I1933" t="s">
        <v>6931</v>
      </c>
      <c r="J1933" t="s">
        <v>34182</v>
      </c>
      <c r="K1933" t="s">
        <v>42630</v>
      </c>
      <c r="M1933" t="s">
        <v>43564</v>
      </c>
      <c r="N1933" t="s">
        <v>47304</v>
      </c>
      <c r="O1933" t="s">
        <v>47305</v>
      </c>
      <c r="P1933">
        <v>0</v>
      </c>
      <c r="Q1933">
        <v>0</v>
      </c>
      <c r="R1933" t="s">
        <v>47307</v>
      </c>
      <c r="S1933" t="s">
        <v>47416</v>
      </c>
      <c r="T1933" t="s">
        <v>49068</v>
      </c>
      <c r="U1933" t="s">
        <v>51261</v>
      </c>
      <c r="W1933" t="s">
        <v>43564</v>
      </c>
      <c r="X1933" t="s">
        <v>47306</v>
      </c>
    </row>
    <row r="1934" spans="1:24">
      <c r="A1934">
        <f>HYPERLINK("https://www.philgeps.gov.ph/GEPSNONPILOT/Tender/SplashBidNoticeAbstractUI.aspx?menuIndex=3&amp;refID=7199780&amp;Result=3","7199780")</f>
        <v>0</v>
      </c>
      <c r="B1934" t="s">
        <v>886</v>
      </c>
      <c r="C1934" t="s">
        <v>5731</v>
      </c>
      <c r="D1934" t="s">
        <v>18995</v>
      </c>
      <c r="E1934" t="s">
        <v>20862</v>
      </c>
      <c r="F1934" t="s">
        <v>32606</v>
      </c>
      <c r="G1934" t="s">
        <v>32614</v>
      </c>
      <c r="H1934" t="s">
        <v>14201</v>
      </c>
      <c r="I1934" t="s">
        <v>32640</v>
      </c>
      <c r="J1934" t="s">
        <v>32885</v>
      </c>
      <c r="K1934" t="s">
        <v>42632</v>
      </c>
      <c r="M1934" t="s">
        <v>43822</v>
      </c>
      <c r="N1934" t="s">
        <v>47304</v>
      </c>
      <c r="O1934" t="s">
        <v>47305</v>
      </c>
      <c r="P1934">
        <v>0</v>
      </c>
      <c r="Q1934">
        <v>0</v>
      </c>
      <c r="R1934" t="s">
        <v>47307</v>
      </c>
      <c r="S1934" t="s">
        <v>47416</v>
      </c>
      <c r="T1934" t="s">
        <v>49108</v>
      </c>
      <c r="U1934" t="s">
        <v>51262</v>
      </c>
      <c r="W1934" t="s">
        <v>43822</v>
      </c>
      <c r="X1934" t="s">
        <v>47306</v>
      </c>
    </row>
    <row r="1935" spans="1:24">
      <c r="A1935">
        <f>HYPERLINK("https://www.philgeps.gov.ph/GEPSNONPILOT/Tender/SplashBidNoticeAbstractUI.aspx?menuIndex=3&amp;refID=7199778&amp;Result=3","7199778")</f>
        <v>0</v>
      </c>
      <c r="B1935" t="s">
        <v>895</v>
      </c>
      <c r="C1935" t="s">
        <v>5732</v>
      </c>
      <c r="D1935" t="s">
        <v>18993</v>
      </c>
      <c r="E1935" t="s">
        <v>20863</v>
      </c>
      <c r="F1935" t="s">
        <v>32606</v>
      </c>
      <c r="G1935" t="s">
        <v>32619</v>
      </c>
      <c r="H1935" t="s">
        <v>14201</v>
      </c>
      <c r="I1935" t="s">
        <v>4114</v>
      </c>
      <c r="J1935" t="s">
        <v>34104</v>
      </c>
      <c r="K1935" t="s">
        <v>42624</v>
      </c>
      <c r="M1935" t="s">
        <v>43831</v>
      </c>
      <c r="N1935" t="s">
        <v>47304</v>
      </c>
      <c r="O1935" t="s">
        <v>47305</v>
      </c>
      <c r="P1935">
        <v>0</v>
      </c>
      <c r="Q1935">
        <v>0</v>
      </c>
      <c r="R1935" t="s">
        <v>47307</v>
      </c>
      <c r="S1935" t="s">
        <v>47416</v>
      </c>
      <c r="T1935" t="s">
        <v>49014</v>
      </c>
      <c r="U1935" t="s">
        <v>51263</v>
      </c>
      <c r="W1935" t="s">
        <v>43831</v>
      </c>
      <c r="X1935" t="s">
        <v>47306</v>
      </c>
    </row>
    <row r="1936" spans="1:24">
      <c r="A1936">
        <f>HYPERLINK("https://www.philgeps.gov.ph/GEPSNONPILOT/Tender/SplashBidNoticeAbstractUI.aspx?menuIndex=3&amp;refID=7199776&amp;Result=3","7199776")</f>
        <v>0</v>
      </c>
      <c r="B1936" t="s">
        <v>888</v>
      </c>
      <c r="C1936" t="s">
        <v>5733</v>
      </c>
      <c r="D1936" t="s">
        <v>19025</v>
      </c>
      <c r="E1936" t="s">
        <v>20864</v>
      </c>
      <c r="F1936" t="s">
        <v>32606</v>
      </c>
      <c r="G1936" t="s">
        <v>32613</v>
      </c>
      <c r="H1936" t="s">
        <v>14201</v>
      </c>
      <c r="I1936" t="s">
        <v>4112</v>
      </c>
      <c r="J1936" t="s">
        <v>34183</v>
      </c>
      <c r="K1936" t="s">
        <v>42623</v>
      </c>
      <c r="M1936" t="s">
        <v>43824</v>
      </c>
      <c r="N1936" t="s">
        <v>47304</v>
      </c>
      <c r="O1936" t="s">
        <v>47305</v>
      </c>
      <c r="P1936">
        <v>0</v>
      </c>
      <c r="Q1936">
        <v>0</v>
      </c>
      <c r="R1936" t="s">
        <v>47307</v>
      </c>
      <c r="S1936" t="s">
        <v>47416</v>
      </c>
      <c r="T1936" t="s">
        <v>48996</v>
      </c>
      <c r="U1936" t="s">
        <v>51264</v>
      </c>
      <c r="V1936" t="s">
        <v>62855</v>
      </c>
      <c r="W1936" t="s">
        <v>43824</v>
      </c>
      <c r="X1936" t="s">
        <v>47306</v>
      </c>
    </row>
    <row r="1937" spans="1:24">
      <c r="A1937">
        <f>HYPERLINK("https://www.philgeps.gov.ph/GEPSNONPILOT/Tender/SplashBidNoticeAbstractUI.aspx?menuIndex=3&amp;refID=7199775&amp;Result=3","7199775")</f>
        <v>0</v>
      </c>
      <c r="B1937" t="s">
        <v>745</v>
      </c>
      <c r="C1937" t="s">
        <v>5734</v>
      </c>
      <c r="D1937" t="s">
        <v>19043</v>
      </c>
      <c r="E1937" t="s">
        <v>20865</v>
      </c>
      <c r="F1937" t="s">
        <v>32606</v>
      </c>
      <c r="G1937" t="s">
        <v>32615</v>
      </c>
      <c r="H1937" t="s">
        <v>14201</v>
      </c>
      <c r="I1937" t="s">
        <v>4678</v>
      </c>
      <c r="J1937" t="s">
        <v>32949</v>
      </c>
      <c r="K1937" t="s">
        <v>42622</v>
      </c>
      <c r="M1937" t="s">
        <v>43668</v>
      </c>
      <c r="N1937" t="s">
        <v>47304</v>
      </c>
      <c r="O1937" t="s">
        <v>47305</v>
      </c>
      <c r="P1937">
        <v>0</v>
      </c>
      <c r="Q1937">
        <v>0</v>
      </c>
      <c r="R1937" t="s">
        <v>47307</v>
      </c>
      <c r="S1937" t="s">
        <v>47416</v>
      </c>
      <c r="T1937" t="s">
        <v>49180</v>
      </c>
      <c r="U1937" t="s">
        <v>51265</v>
      </c>
      <c r="W1937" t="s">
        <v>43668</v>
      </c>
      <c r="X1937" t="s">
        <v>47306</v>
      </c>
    </row>
    <row r="1938" spans="1:24">
      <c r="A1938">
        <f>HYPERLINK("https://www.philgeps.gov.ph/GEPSNONPILOT/Tender/SplashBidNoticeAbstractUI.aspx?menuIndex=3&amp;refID=7199793&amp;Result=3","7199793")</f>
        <v>0</v>
      </c>
      <c r="B1938" t="s">
        <v>211</v>
      </c>
      <c r="C1938" t="s">
        <v>5735</v>
      </c>
      <c r="D1938" t="s">
        <v>19007</v>
      </c>
      <c r="E1938" t="s">
        <v>20866</v>
      </c>
      <c r="F1938" t="s">
        <v>32606</v>
      </c>
      <c r="G1938" t="s">
        <v>32614</v>
      </c>
      <c r="H1938" t="s">
        <v>14201</v>
      </c>
      <c r="I1938" t="s">
        <v>32638</v>
      </c>
      <c r="J1938" t="s">
        <v>34019</v>
      </c>
      <c r="K1938" t="s">
        <v>42624</v>
      </c>
      <c r="M1938" t="s">
        <v>43112</v>
      </c>
      <c r="N1938" t="s">
        <v>47304</v>
      </c>
      <c r="O1938" t="s">
        <v>47305</v>
      </c>
      <c r="P1938">
        <v>0</v>
      </c>
      <c r="Q1938">
        <v>0</v>
      </c>
      <c r="R1938" t="s">
        <v>47307</v>
      </c>
      <c r="S1938" t="s">
        <v>47416</v>
      </c>
      <c r="T1938" t="s">
        <v>49175</v>
      </c>
      <c r="U1938" t="s">
        <v>51266</v>
      </c>
      <c r="W1938" t="s">
        <v>43112</v>
      </c>
      <c r="X1938" t="s">
        <v>47306</v>
      </c>
    </row>
    <row r="1939" spans="1:24">
      <c r="A1939">
        <f>HYPERLINK("https://www.philgeps.gov.ph/GEPSNONPILOT/Tender/SplashBidNoticeAbstractUI.aspx?menuIndex=3&amp;refID=7199779&amp;Result=3","7199779")</f>
        <v>0</v>
      </c>
      <c r="B1939" t="s">
        <v>689</v>
      </c>
      <c r="C1939" t="s">
        <v>5736</v>
      </c>
      <c r="D1939" t="s">
        <v>19004</v>
      </c>
      <c r="E1939" t="s">
        <v>20867</v>
      </c>
      <c r="F1939" t="s">
        <v>32606</v>
      </c>
      <c r="G1939" t="s">
        <v>32619</v>
      </c>
      <c r="H1939" t="s">
        <v>14201</v>
      </c>
      <c r="I1939" t="s">
        <v>6298</v>
      </c>
      <c r="J1939" t="s">
        <v>33102</v>
      </c>
      <c r="K1939" t="s">
        <v>42624</v>
      </c>
      <c r="M1939" t="s">
        <v>43610</v>
      </c>
      <c r="N1939" t="s">
        <v>47304</v>
      </c>
      <c r="O1939" t="s">
        <v>47305</v>
      </c>
      <c r="P1939">
        <v>0</v>
      </c>
      <c r="Q1939">
        <v>0</v>
      </c>
      <c r="R1939" t="s">
        <v>47307</v>
      </c>
      <c r="S1939" t="s">
        <v>47416</v>
      </c>
      <c r="T1939" t="s">
        <v>49196</v>
      </c>
      <c r="U1939" t="s">
        <v>51267</v>
      </c>
      <c r="W1939" t="s">
        <v>43610</v>
      </c>
      <c r="X1939" t="s">
        <v>47306</v>
      </c>
    </row>
    <row r="1940" spans="1:24">
      <c r="A1940">
        <f>HYPERLINK("https://www.philgeps.gov.ph/GEPSNONPILOT/Tender/SplashBidNoticeAbstractUI.aspx?menuIndex=3&amp;refID=7199784&amp;Result=3","7199784")</f>
        <v>0</v>
      </c>
      <c r="B1940" t="s">
        <v>896</v>
      </c>
      <c r="C1940" t="s">
        <v>5737</v>
      </c>
      <c r="D1940" t="s">
        <v>19023</v>
      </c>
      <c r="E1940" t="s">
        <v>20868</v>
      </c>
      <c r="F1940" t="s">
        <v>32606</v>
      </c>
      <c r="G1940" t="s">
        <v>32613</v>
      </c>
      <c r="H1940" t="s">
        <v>14201</v>
      </c>
      <c r="I1940" t="s">
        <v>6931</v>
      </c>
      <c r="J1940" t="s">
        <v>34184</v>
      </c>
      <c r="K1940" t="s">
        <v>42629</v>
      </c>
      <c r="M1940" t="s">
        <v>43832</v>
      </c>
      <c r="N1940" t="s">
        <v>47304</v>
      </c>
      <c r="O1940" t="s">
        <v>47305</v>
      </c>
      <c r="P1940">
        <v>0</v>
      </c>
      <c r="Q1940">
        <v>0</v>
      </c>
      <c r="R1940" t="s">
        <v>47307</v>
      </c>
      <c r="S1940" t="s">
        <v>47416</v>
      </c>
      <c r="T1940" t="s">
        <v>48996</v>
      </c>
      <c r="U1940" t="s">
        <v>51268</v>
      </c>
      <c r="W1940" t="s">
        <v>43832</v>
      </c>
      <c r="X1940" t="s">
        <v>47306</v>
      </c>
    </row>
    <row r="1941" spans="1:24">
      <c r="A1941">
        <f>HYPERLINK("https://www.philgeps.gov.ph/GEPSNONPILOT/Tender/SplashBidNoticeAbstractUI.aspx?menuIndex=3&amp;refID=7199755&amp;Result=3","7199755")</f>
        <v>0</v>
      </c>
      <c r="B1941" t="s">
        <v>798</v>
      </c>
      <c r="C1941" t="s">
        <v>5738</v>
      </c>
      <c r="D1941" t="s">
        <v>19039</v>
      </c>
      <c r="E1941" t="s">
        <v>20869</v>
      </c>
      <c r="F1941" t="s">
        <v>32606</v>
      </c>
      <c r="G1941" t="s">
        <v>32614</v>
      </c>
      <c r="H1941" t="s">
        <v>14201</v>
      </c>
      <c r="I1941" t="s">
        <v>32658</v>
      </c>
      <c r="J1941" t="s">
        <v>34185</v>
      </c>
      <c r="K1941" t="s">
        <v>42630</v>
      </c>
      <c r="M1941" t="s">
        <v>43729</v>
      </c>
      <c r="N1941" t="s">
        <v>47304</v>
      </c>
      <c r="O1941" t="s">
        <v>47305</v>
      </c>
      <c r="P1941">
        <v>0</v>
      </c>
      <c r="Q1941">
        <v>0</v>
      </c>
      <c r="R1941" t="s">
        <v>47307</v>
      </c>
      <c r="S1941" t="s">
        <v>47416</v>
      </c>
      <c r="T1941" t="s">
        <v>49093</v>
      </c>
      <c r="U1941" t="s">
        <v>51269</v>
      </c>
      <c r="W1941" t="s">
        <v>43729</v>
      </c>
      <c r="X1941" t="s">
        <v>47306</v>
      </c>
    </row>
    <row r="1942" spans="1:24">
      <c r="A1942">
        <f>HYPERLINK("https://www.philgeps.gov.ph/GEPSNONPILOT/Tender/SplashBidNoticeAbstractUI.aspx?menuIndex=3&amp;refID=7199754&amp;Result=3","7199754")</f>
        <v>0</v>
      </c>
      <c r="B1942" t="s">
        <v>778</v>
      </c>
      <c r="C1942" t="s">
        <v>5739</v>
      </c>
      <c r="D1942" t="s">
        <v>19012</v>
      </c>
      <c r="E1942" t="s">
        <v>19468</v>
      </c>
      <c r="F1942" t="s">
        <v>32606</v>
      </c>
      <c r="G1942" t="s">
        <v>32613</v>
      </c>
      <c r="H1942" t="s">
        <v>14201</v>
      </c>
      <c r="I1942" t="s">
        <v>4120</v>
      </c>
      <c r="J1942" t="s">
        <v>34186</v>
      </c>
      <c r="K1942" t="s">
        <v>42623</v>
      </c>
      <c r="M1942" t="s">
        <v>43708</v>
      </c>
      <c r="N1942" t="s">
        <v>47304</v>
      </c>
      <c r="O1942" t="s">
        <v>47305</v>
      </c>
      <c r="P1942">
        <v>0</v>
      </c>
      <c r="Q1942">
        <v>0</v>
      </c>
      <c r="R1942" t="s">
        <v>47307</v>
      </c>
      <c r="S1942" t="s">
        <v>47416</v>
      </c>
      <c r="T1942" t="s">
        <v>49066</v>
      </c>
      <c r="U1942" t="s">
        <v>51270</v>
      </c>
      <c r="W1942" t="s">
        <v>43708</v>
      </c>
      <c r="X1942" t="s">
        <v>47306</v>
      </c>
    </row>
    <row r="1943" spans="1:24">
      <c r="A1943">
        <f>HYPERLINK("https://www.philgeps.gov.ph/GEPSNONPILOT/Tender/SplashBidNoticeAbstractUI.aspx?menuIndex=3&amp;refID=7199738&amp;Result=3","7199738")</f>
        <v>0</v>
      </c>
      <c r="B1943" t="s">
        <v>371</v>
      </c>
      <c r="C1943" t="s">
        <v>5740</v>
      </c>
      <c r="D1943" t="s">
        <v>18997</v>
      </c>
      <c r="E1943" t="s">
        <v>20870</v>
      </c>
      <c r="F1943" t="s">
        <v>32606</v>
      </c>
      <c r="G1943" t="s">
        <v>32613</v>
      </c>
      <c r="H1943" t="s">
        <v>14201</v>
      </c>
      <c r="I1943" t="s">
        <v>6931</v>
      </c>
      <c r="J1943" t="s">
        <v>34187</v>
      </c>
      <c r="K1943" t="s">
        <v>42697</v>
      </c>
      <c r="M1943" t="s">
        <v>43273</v>
      </c>
      <c r="N1943" t="s">
        <v>47304</v>
      </c>
      <c r="O1943" t="s">
        <v>47305</v>
      </c>
      <c r="P1943">
        <v>0</v>
      </c>
      <c r="Q1943">
        <v>0</v>
      </c>
      <c r="R1943" t="s">
        <v>47307</v>
      </c>
      <c r="S1943" t="s">
        <v>47416</v>
      </c>
      <c r="T1943" t="s">
        <v>49017</v>
      </c>
      <c r="U1943" t="s">
        <v>51271</v>
      </c>
      <c r="W1943" t="s">
        <v>43273</v>
      </c>
      <c r="X1943" t="s">
        <v>47306</v>
      </c>
    </row>
    <row r="1944" spans="1:24">
      <c r="A1944">
        <f>HYPERLINK("https://www.philgeps.gov.ph/GEPSNONPILOT/Tender/SplashBidNoticeAbstractUI.aspx?menuIndex=3&amp;refID=7199792&amp;Result=3","7199792")</f>
        <v>0</v>
      </c>
      <c r="B1944" t="s">
        <v>343</v>
      </c>
      <c r="C1944" t="s">
        <v>5741</v>
      </c>
      <c r="D1944" t="s">
        <v>18993</v>
      </c>
      <c r="E1944" t="s">
        <v>20871</v>
      </c>
      <c r="F1944" t="s">
        <v>32606</v>
      </c>
      <c r="G1944" t="s">
        <v>32614</v>
      </c>
      <c r="H1944" t="s">
        <v>14201</v>
      </c>
      <c r="I1944" t="s">
        <v>32634</v>
      </c>
      <c r="J1944" t="s">
        <v>34188</v>
      </c>
      <c r="K1944" t="s">
        <v>42624</v>
      </c>
      <c r="M1944" t="s">
        <v>43833</v>
      </c>
      <c r="N1944" t="s">
        <v>47304</v>
      </c>
      <c r="O1944" t="s">
        <v>47305</v>
      </c>
      <c r="P1944">
        <v>0</v>
      </c>
      <c r="Q1944">
        <v>0</v>
      </c>
      <c r="R1944" t="s">
        <v>47307</v>
      </c>
      <c r="S1944" t="s">
        <v>47416</v>
      </c>
      <c r="T1944" t="s">
        <v>48971</v>
      </c>
      <c r="U1944" t="s">
        <v>51272</v>
      </c>
      <c r="V1944" t="s">
        <v>62856</v>
      </c>
      <c r="W1944" t="s">
        <v>43833</v>
      </c>
      <c r="X1944" t="s">
        <v>47306</v>
      </c>
    </row>
    <row r="1945" spans="1:24">
      <c r="A1945">
        <f>HYPERLINK("https://www.philgeps.gov.ph/GEPSNONPILOT/Tender/SplashBidNoticeAbstractUI.aspx?menuIndex=3&amp;refID=7199756&amp;Result=3","7199756")</f>
        <v>0</v>
      </c>
      <c r="B1945" t="s">
        <v>238</v>
      </c>
      <c r="C1945" t="s">
        <v>5742</v>
      </c>
      <c r="D1945" t="s">
        <v>18993</v>
      </c>
      <c r="E1945" t="s">
        <v>20872</v>
      </c>
      <c r="F1945" t="s">
        <v>32606</v>
      </c>
      <c r="G1945" t="s">
        <v>32619</v>
      </c>
      <c r="H1945" t="s">
        <v>14201</v>
      </c>
      <c r="I1945" t="s">
        <v>32633</v>
      </c>
      <c r="J1945" t="s">
        <v>32824</v>
      </c>
      <c r="K1945" t="s">
        <v>42622</v>
      </c>
      <c r="M1945" t="s">
        <v>43794</v>
      </c>
      <c r="N1945" t="s">
        <v>47304</v>
      </c>
      <c r="O1945" t="s">
        <v>47305</v>
      </c>
      <c r="P1945">
        <v>0</v>
      </c>
      <c r="Q1945">
        <v>0</v>
      </c>
      <c r="R1945" t="s">
        <v>47307</v>
      </c>
      <c r="S1945" t="s">
        <v>47416</v>
      </c>
      <c r="T1945" t="s">
        <v>49014</v>
      </c>
      <c r="U1945" t="s">
        <v>51273</v>
      </c>
      <c r="V1945" t="s">
        <v>62844</v>
      </c>
      <c r="W1945" t="s">
        <v>43794</v>
      </c>
      <c r="X1945" t="s">
        <v>47306</v>
      </c>
    </row>
    <row r="1946" spans="1:24">
      <c r="A1946">
        <f>HYPERLINK("https://www.philgeps.gov.ph/GEPSNONPILOT/Tender/SplashBidNoticeAbstractUI.aspx?menuIndex=3&amp;refID=7199818&amp;Result=3","7199818")</f>
        <v>0</v>
      </c>
      <c r="B1946" t="s">
        <v>771</v>
      </c>
      <c r="C1946" t="s">
        <v>5743</v>
      </c>
      <c r="D1946" t="s">
        <v>19058</v>
      </c>
      <c r="E1946" t="s">
        <v>20873</v>
      </c>
      <c r="F1946" t="s">
        <v>32606</v>
      </c>
      <c r="G1946" t="s">
        <v>32614</v>
      </c>
      <c r="H1946" t="s">
        <v>14201</v>
      </c>
      <c r="I1946" t="s">
        <v>4120</v>
      </c>
      <c r="J1946" t="s">
        <v>33106</v>
      </c>
      <c r="K1946" t="s">
        <v>42631</v>
      </c>
      <c r="M1946" t="s">
        <v>43699</v>
      </c>
      <c r="N1946" t="s">
        <v>47304</v>
      </c>
      <c r="O1946" t="s">
        <v>47305</v>
      </c>
      <c r="P1946">
        <v>0</v>
      </c>
      <c r="Q1946">
        <v>0</v>
      </c>
      <c r="R1946" t="s">
        <v>47307</v>
      </c>
      <c r="S1946" t="s">
        <v>47416</v>
      </c>
      <c r="T1946" t="s">
        <v>49175</v>
      </c>
      <c r="U1946" t="s">
        <v>50948</v>
      </c>
      <c r="W1946" t="s">
        <v>43699</v>
      </c>
      <c r="X1946" t="s">
        <v>47306</v>
      </c>
    </row>
    <row r="1947" spans="1:24">
      <c r="A1947">
        <f>HYPERLINK("https://www.philgeps.gov.ph/GEPSNONPILOT/Tender/SplashBidNoticeAbstractUI.aspx?menuIndex=3&amp;refID=7199777&amp;Result=3","7199777")</f>
        <v>0</v>
      </c>
      <c r="B1947" t="s">
        <v>897</v>
      </c>
      <c r="C1947" t="s">
        <v>5744</v>
      </c>
      <c r="D1947" t="s">
        <v>19067</v>
      </c>
      <c r="E1947" t="s">
        <v>20874</v>
      </c>
      <c r="F1947" t="s">
        <v>32606</v>
      </c>
      <c r="G1947" t="s">
        <v>32613</v>
      </c>
      <c r="H1947" t="s">
        <v>32623</v>
      </c>
      <c r="I1947" t="s">
        <v>17648</v>
      </c>
      <c r="J1947" t="s">
        <v>34189</v>
      </c>
      <c r="K1947" t="s">
        <v>42648</v>
      </c>
      <c r="M1947" t="s">
        <v>43834</v>
      </c>
      <c r="N1947" t="s">
        <v>47304</v>
      </c>
      <c r="O1947" t="s">
        <v>47305</v>
      </c>
      <c r="P1947">
        <v>0</v>
      </c>
      <c r="Q1947">
        <v>0</v>
      </c>
      <c r="R1947" t="s">
        <v>47307</v>
      </c>
      <c r="S1947" t="s">
        <v>47416</v>
      </c>
      <c r="T1947" t="s">
        <v>49001</v>
      </c>
      <c r="U1947" t="s">
        <v>51274</v>
      </c>
      <c r="W1947" t="s">
        <v>43834</v>
      </c>
      <c r="X1947" t="s">
        <v>47306</v>
      </c>
    </row>
    <row r="1948" spans="1:24">
      <c r="A1948">
        <f>HYPERLINK("https://www.philgeps.gov.ph/GEPSNONPILOT/Tender/SplashBidNoticeAbstractUI.aspx?menuIndex=3&amp;refID=7199816&amp;Result=3","7199816")</f>
        <v>0</v>
      </c>
      <c r="B1948" t="s">
        <v>898</v>
      </c>
      <c r="C1948" t="s">
        <v>5745</v>
      </c>
      <c r="D1948" t="s">
        <v>19013</v>
      </c>
      <c r="E1948" t="s">
        <v>20875</v>
      </c>
      <c r="F1948" t="s">
        <v>32606</v>
      </c>
      <c r="G1948" t="s">
        <v>32619</v>
      </c>
      <c r="H1948" t="s">
        <v>14201</v>
      </c>
      <c r="I1948" t="s">
        <v>32626</v>
      </c>
      <c r="J1948" t="s">
        <v>33120</v>
      </c>
      <c r="K1948" t="s">
        <v>42623</v>
      </c>
      <c r="M1948" t="s">
        <v>43835</v>
      </c>
      <c r="N1948" t="s">
        <v>47304</v>
      </c>
      <c r="O1948" t="s">
        <v>47305</v>
      </c>
      <c r="P1948">
        <v>0</v>
      </c>
      <c r="Q1948">
        <v>0</v>
      </c>
      <c r="R1948" t="s">
        <v>47307</v>
      </c>
      <c r="S1948" t="s">
        <v>47416</v>
      </c>
      <c r="T1948" t="s">
        <v>49004</v>
      </c>
      <c r="U1948" t="s">
        <v>51275</v>
      </c>
      <c r="W1948" t="s">
        <v>43835</v>
      </c>
      <c r="X1948" t="s">
        <v>47306</v>
      </c>
    </row>
    <row r="1949" spans="1:24">
      <c r="A1949">
        <f>HYPERLINK("https://www.philgeps.gov.ph/GEPSNONPILOT/Tender/SplashBidNoticeAbstractUI.aspx?menuIndex=3&amp;refID=7199815&amp;Result=3","7199815")</f>
        <v>0</v>
      </c>
      <c r="B1949" t="s">
        <v>893</v>
      </c>
      <c r="C1949" t="s">
        <v>5746</v>
      </c>
      <c r="D1949" t="s">
        <v>19002</v>
      </c>
      <c r="E1949" t="s">
        <v>20876</v>
      </c>
      <c r="F1949" t="s">
        <v>32606</v>
      </c>
      <c r="G1949" t="s">
        <v>32619</v>
      </c>
      <c r="H1949" t="s">
        <v>14201</v>
      </c>
      <c r="I1949" t="s">
        <v>32634</v>
      </c>
      <c r="J1949" t="s">
        <v>34190</v>
      </c>
      <c r="K1949" t="s">
        <v>42631</v>
      </c>
      <c r="M1949" t="s">
        <v>43829</v>
      </c>
      <c r="N1949" t="s">
        <v>47304</v>
      </c>
      <c r="O1949" t="s">
        <v>47305</v>
      </c>
      <c r="P1949">
        <v>0</v>
      </c>
      <c r="Q1949">
        <v>0</v>
      </c>
      <c r="R1949" t="s">
        <v>47307</v>
      </c>
      <c r="S1949" t="s">
        <v>47416</v>
      </c>
      <c r="T1949" t="s">
        <v>49023</v>
      </c>
      <c r="U1949" t="s">
        <v>51257</v>
      </c>
      <c r="W1949" t="s">
        <v>43829</v>
      </c>
      <c r="X1949" t="s">
        <v>47306</v>
      </c>
    </row>
    <row r="1950" spans="1:24">
      <c r="A1950">
        <f>HYPERLINK("https://www.philgeps.gov.ph/GEPSNONPILOT/Tender/SplashBidNoticeAbstractUI.aspx?menuIndex=3&amp;refID=7199753&amp;Result=3","7199753")</f>
        <v>0</v>
      </c>
      <c r="B1950" t="s">
        <v>899</v>
      </c>
      <c r="C1950" t="s">
        <v>5747</v>
      </c>
      <c r="E1950" t="s">
        <v>20877</v>
      </c>
      <c r="F1950" t="s">
        <v>32606</v>
      </c>
      <c r="G1950" t="s">
        <v>32614</v>
      </c>
      <c r="H1950" t="s">
        <v>14201</v>
      </c>
      <c r="I1950" t="s">
        <v>32640</v>
      </c>
      <c r="J1950" t="s">
        <v>34191</v>
      </c>
      <c r="K1950" t="s">
        <v>42624</v>
      </c>
      <c r="M1950" t="s">
        <v>43836</v>
      </c>
      <c r="N1950" t="s">
        <v>47304</v>
      </c>
      <c r="O1950" t="s">
        <v>47305</v>
      </c>
      <c r="P1950">
        <v>0</v>
      </c>
      <c r="Q1950">
        <v>0</v>
      </c>
      <c r="R1950" t="s">
        <v>47307</v>
      </c>
      <c r="S1950" t="s">
        <v>47416</v>
      </c>
      <c r="T1950" t="s">
        <v>48971</v>
      </c>
      <c r="U1950" t="s">
        <v>51276</v>
      </c>
      <c r="W1950" t="s">
        <v>43836</v>
      </c>
      <c r="X1950" t="s">
        <v>47306</v>
      </c>
    </row>
    <row r="1951" spans="1:24">
      <c r="A1951">
        <f>HYPERLINK("https://www.philgeps.gov.ph/GEPSNONPILOT/Tender/SplashBidNoticeAbstractUI.aspx?menuIndex=3&amp;refID=7199814&amp;Result=3","7199814")</f>
        <v>0</v>
      </c>
      <c r="B1951" t="s">
        <v>617</v>
      </c>
      <c r="C1951" t="s">
        <v>5748</v>
      </c>
      <c r="D1951" t="s">
        <v>19058</v>
      </c>
      <c r="E1951" t="s">
        <v>20878</v>
      </c>
      <c r="F1951" t="s">
        <v>32606</v>
      </c>
      <c r="G1951" t="s">
        <v>32614</v>
      </c>
      <c r="H1951" t="s">
        <v>32623</v>
      </c>
      <c r="I1951" t="s">
        <v>17648</v>
      </c>
      <c r="J1951" t="s">
        <v>34192</v>
      </c>
      <c r="K1951" t="s">
        <v>42624</v>
      </c>
      <c r="M1951" t="s">
        <v>43535</v>
      </c>
      <c r="N1951" t="s">
        <v>47304</v>
      </c>
      <c r="O1951" t="s">
        <v>47305</v>
      </c>
      <c r="P1951">
        <v>0</v>
      </c>
      <c r="Q1951">
        <v>0</v>
      </c>
      <c r="R1951" t="s">
        <v>47307</v>
      </c>
      <c r="S1951" t="s">
        <v>47416</v>
      </c>
      <c r="T1951" t="s">
        <v>48988</v>
      </c>
      <c r="U1951" t="s">
        <v>51277</v>
      </c>
      <c r="V1951" t="s">
        <v>62789</v>
      </c>
      <c r="W1951" t="s">
        <v>43535</v>
      </c>
      <c r="X1951" t="s">
        <v>47306</v>
      </c>
    </row>
    <row r="1952" spans="1:24">
      <c r="A1952">
        <f>HYPERLINK("https://www.philgeps.gov.ph/GEPSNONPILOT/Tender/SplashBidNoticeAbstractUI.aspx?menuIndex=3&amp;refID=7199812&amp;Result=3","7199812")</f>
        <v>0</v>
      </c>
      <c r="B1952" t="s">
        <v>288</v>
      </c>
      <c r="C1952" t="s">
        <v>5749</v>
      </c>
      <c r="D1952" t="s">
        <v>19034</v>
      </c>
      <c r="E1952" t="s">
        <v>20879</v>
      </c>
      <c r="F1952" t="s">
        <v>32606</v>
      </c>
      <c r="G1952" t="s">
        <v>32613</v>
      </c>
      <c r="H1952" t="s">
        <v>14201</v>
      </c>
      <c r="I1952" t="s">
        <v>17648</v>
      </c>
      <c r="J1952" t="s">
        <v>34193</v>
      </c>
      <c r="K1952" t="s">
        <v>42623</v>
      </c>
      <c r="M1952" t="s">
        <v>43285</v>
      </c>
      <c r="N1952" t="s">
        <v>47304</v>
      </c>
      <c r="O1952" t="s">
        <v>47305</v>
      </c>
      <c r="P1952">
        <v>0</v>
      </c>
      <c r="Q1952">
        <v>0</v>
      </c>
      <c r="R1952" t="s">
        <v>47307</v>
      </c>
      <c r="S1952" t="s">
        <v>47416</v>
      </c>
      <c r="T1952" t="s">
        <v>49008</v>
      </c>
      <c r="U1952" t="s">
        <v>51278</v>
      </c>
      <c r="W1952" t="s">
        <v>64427</v>
      </c>
      <c r="X1952" t="s">
        <v>47306</v>
      </c>
    </row>
    <row r="1953" spans="1:24">
      <c r="A1953">
        <f>HYPERLINK("https://www.philgeps.gov.ph/GEPSNONPILOT/Tender/SplashBidNoticeAbstractUI.aspx?menuIndex=3&amp;refID=7199819&amp;Result=3","7199819")</f>
        <v>0</v>
      </c>
      <c r="B1953" t="s">
        <v>770</v>
      </c>
      <c r="C1953" t="s">
        <v>5750</v>
      </c>
      <c r="D1953" t="s">
        <v>19009</v>
      </c>
      <c r="E1953" t="s">
        <v>20880</v>
      </c>
      <c r="F1953" t="s">
        <v>32606</v>
      </c>
      <c r="G1953" t="s">
        <v>32614</v>
      </c>
      <c r="H1953" t="s">
        <v>14201</v>
      </c>
      <c r="I1953" t="s">
        <v>6931</v>
      </c>
      <c r="J1953" t="s">
        <v>34194</v>
      </c>
      <c r="K1953" t="s">
        <v>42622</v>
      </c>
      <c r="M1953" t="s">
        <v>43697</v>
      </c>
      <c r="N1953" t="s">
        <v>47304</v>
      </c>
      <c r="O1953" t="s">
        <v>47305</v>
      </c>
      <c r="P1953">
        <v>0</v>
      </c>
      <c r="Q1953">
        <v>0</v>
      </c>
      <c r="R1953" t="s">
        <v>47307</v>
      </c>
      <c r="S1953" t="s">
        <v>47416</v>
      </c>
      <c r="T1953" t="s">
        <v>49087</v>
      </c>
      <c r="U1953" t="s">
        <v>51279</v>
      </c>
      <c r="V1953" t="s">
        <v>62824</v>
      </c>
      <c r="W1953" t="s">
        <v>43697</v>
      </c>
      <c r="X1953" t="s">
        <v>47306</v>
      </c>
    </row>
    <row r="1954" spans="1:24">
      <c r="A1954">
        <f>HYPERLINK("https://www.philgeps.gov.ph/GEPSNONPILOT/Tender/SplashBidNoticeAbstractUI.aspx?menuIndex=3&amp;refID=7199752&amp;Result=3","7199752")</f>
        <v>0</v>
      </c>
      <c r="B1954" t="s">
        <v>900</v>
      </c>
      <c r="C1954" t="s">
        <v>4830</v>
      </c>
      <c r="D1954" t="s">
        <v>19005</v>
      </c>
      <c r="E1954" t="s">
        <v>20881</v>
      </c>
      <c r="F1954" t="s">
        <v>32606</v>
      </c>
      <c r="G1954" t="s">
        <v>32613</v>
      </c>
      <c r="H1954" t="s">
        <v>14201</v>
      </c>
      <c r="I1954" t="s">
        <v>4120</v>
      </c>
      <c r="J1954" t="s">
        <v>34195</v>
      </c>
      <c r="K1954" t="s">
        <v>42631</v>
      </c>
      <c r="M1954" t="s">
        <v>43837</v>
      </c>
      <c r="N1954" t="s">
        <v>47304</v>
      </c>
      <c r="O1954" t="s">
        <v>47305</v>
      </c>
      <c r="P1954">
        <v>0</v>
      </c>
      <c r="Q1954">
        <v>0</v>
      </c>
      <c r="R1954" t="s">
        <v>47307</v>
      </c>
      <c r="S1954" t="s">
        <v>47416</v>
      </c>
      <c r="T1954" t="s">
        <v>48983</v>
      </c>
      <c r="U1954" t="s">
        <v>51280</v>
      </c>
      <c r="W1954" t="s">
        <v>43837</v>
      </c>
      <c r="X1954" t="s">
        <v>47306</v>
      </c>
    </row>
    <row r="1955" spans="1:24">
      <c r="A1955">
        <f>HYPERLINK("https://www.philgeps.gov.ph/GEPSNONPILOT/Tender/SplashBidNoticeAbstractUI.aspx?menuIndex=3&amp;refID=7199807&amp;Result=3","7199807")</f>
        <v>0</v>
      </c>
      <c r="B1955" t="s">
        <v>901</v>
      </c>
      <c r="C1955" t="s">
        <v>5751</v>
      </c>
      <c r="D1955" t="s">
        <v>19027</v>
      </c>
      <c r="E1955" t="s">
        <v>20882</v>
      </c>
      <c r="F1955" t="s">
        <v>32606</v>
      </c>
      <c r="G1955" t="s">
        <v>32614</v>
      </c>
      <c r="H1955" t="s">
        <v>14201</v>
      </c>
      <c r="I1955" t="s">
        <v>32634</v>
      </c>
      <c r="J1955" t="s">
        <v>32868</v>
      </c>
      <c r="K1955" t="s">
        <v>42631</v>
      </c>
      <c r="M1955" t="s">
        <v>43838</v>
      </c>
      <c r="N1955" t="s">
        <v>47304</v>
      </c>
      <c r="O1955" t="s">
        <v>47305</v>
      </c>
      <c r="P1955">
        <v>0</v>
      </c>
      <c r="Q1955">
        <v>0</v>
      </c>
      <c r="R1955" t="s">
        <v>47307</v>
      </c>
      <c r="S1955" t="s">
        <v>47416</v>
      </c>
      <c r="T1955" t="s">
        <v>49076</v>
      </c>
      <c r="U1955" t="s">
        <v>51281</v>
      </c>
      <c r="V1955" t="s">
        <v>50603</v>
      </c>
      <c r="W1955" t="s">
        <v>43838</v>
      </c>
      <c r="X1955" t="s">
        <v>47306</v>
      </c>
    </row>
    <row r="1956" spans="1:24">
      <c r="A1956">
        <f>HYPERLINK("https://www.philgeps.gov.ph/GEPSNONPILOT/Tender/SplashBidNoticeAbstractUI.aspx?menuIndex=3&amp;refID=7199806&amp;Result=3","7199806")</f>
        <v>0</v>
      </c>
      <c r="B1956" t="s">
        <v>902</v>
      </c>
      <c r="C1956" t="s">
        <v>5752</v>
      </c>
      <c r="D1956" t="s">
        <v>19011</v>
      </c>
      <c r="E1956" t="s">
        <v>20883</v>
      </c>
      <c r="F1956" t="s">
        <v>32606</v>
      </c>
      <c r="G1956" t="s">
        <v>32613</v>
      </c>
      <c r="H1956" t="s">
        <v>14201</v>
      </c>
      <c r="I1956" t="s">
        <v>6298</v>
      </c>
      <c r="J1956" t="s">
        <v>32945</v>
      </c>
      <c r="K1956" t="s">
        <v>42624</v>
      </c>
      <c r="M1956" t="s">
        <v>43839</v>
      </c>
      <c r="N1956" t="s">
        <v>47304</v>
      </c>
      <c r="O1956" t="s">
        <v>47305</v>
      </c>
      <c r="P1956">
        <v>0</v>
      </c>
      <c r="Q1956">
        <v>0</v>
      </c>
      <c r="R1956" t="s">
        <v>47307</v>
      </c>
      <c r="S1956" t="s">
        <v>47416</v>
      </c>
      <c r="T1956" t="s">
        <v>48996</v>
      </c>
      <c r="U1956" t="s">
        <v>51282</v>
      </c>
      <c r="W1956" t="s">
        <v>43839</v>
      </c>
      <c r="X1956" t="s">
        <v>47306</v>
      </c>
    </row>
    <row r="1957" spans="1:24">
      <c r="A1957">
        <f>HYPERLINK("https://www.philgeps.gov.ph/GEPSNONPILOT/Tender/SplashBidNoticeAbstractUI.aspx?menuIndex=3&amp;refID=7199809&amp;Result=3","7199809")</f>
        <v>0</v>
      </c>
      <c r="B1957" t="s">
        <v>903</v>
      </c>
      <c r="C1957" t="s">
        <v>5753</v>
      </c>
      <c r="D1957" t="s">
        <v>19049</v>
      </c>
      <c r="E1957" t="s">
        <v>20884</v>
      </c>
      <c r="F1957" t="s">
        <v>32606</v>
      </c>
      <c r="G1957" t="s">
        <v>32613</v>
      </c>
      <c r="H1957" t="s">
        <v>14201</v>
      </c>
      <c r="I1957" t="s">
        <v>4678</v>
      </c>
      <c r="J1957" t="s">
        <v>34196</v>
      </c>
      <c r="K1957" t="s">
        <v>42631</v>
      </c>
      <c r="M1957" t="s">
        <v>43840</v>
      </c>
      <c r="N1957" t="s">
        <v>47304</v>
      </c>
      <c r="O1957" t="s">
        <v>47305</v>
      </c>
      <c r="P1957">
        <v>0</v>
      </c>
      <c r="Q1957">
        <v>0</v>
      </c>
      <c r="R1957" t="s">
        <v>47307</v>
      </c>
      <c r="S1957" t="s">
        <v>47416</v>
      </c>
      <c r="T1957" t="s">
        <v>49163</v>
      </c>
      <c r="U1957" t="s">
        <v>51283</v>
      </c>
      <c r="W1957" t="s">
        <v>43840</v>
      </c>
      <c r="X1957" t="s">
        <v>47306</v>
      </c>
    </row>
    <row r="1958" spans="1:24">
      <c r="A1958">
        <f>HYPERLINK("https://www.philgeps.gov.ph/GEPSNONPILOT/Tender/SplashBidNoticeAbstractUI.aspx?menuIndex=3&amp;refID=7199803&amp;Result=3","7199803")</f>
        <v>0</v>
      </c>
      <c r="B1958" t="s">
        <v>371</v>
      </c>
      <c r="C1958" t="s">
        <v>5754</v>
      </c>
      <c r="D1958" t="s">
        <v>18997</v>
      </c>
      <c r="E1958" t="s">
        <v>20885</v>
      </c>
      <c r="F1958" t="s">
        <v>32606</v>
      </c>
      <c r="G1958" t="s">
        <v>32614</v>
      </c>
      <c r="H1958" t="s">
        <v>14201</v>
      </c>
      <c r="I1958" t="s">
        <v>32631</v>
      </c>
      <c r="J1958" t="s">
        <v>34197</v>
      </c>
      <c r="K1958" t="s">
        <v>42622</v>
      </c>
      <c r="M1958" t="s">
        <v>43273</v>
      </c>
      <c r="N1958" t="s">
        <v>47304</v>
      </c>
      <c r="O1958" t="s">
        <v>47305</v>
      </c>
      <c r="P1958">
        <v>0</v>
      </c>
      <c r="Q1958">
        <v>0</v>
      </c>
      <c r="R1958" t="s">
        <v>47307</v>
      </c>
      <c r="S1958" t="s">
        <v>47416</v>
      </c>
      <c r="T1958" t="s">
        <v>49017</v>
      </c>
      <c r="U1958" t="s">
        <v>51284</v>
      </c>
      <c r="W1958" t="s">
        <v>43273</v>
      </c>
      <c r="X1958" t="s">
        <v>47306</v>
      </c>
    </row>
    <row r="1959" spans="1:24">
      <c r="A1959">
        <f>HYPERLINK("https://www.philgeps.gov.ph/GEPSNONPILOT/Tender/SplashBidNoticeAbstractUI.aspx?menuIndex=3&amp;refID=7199802&amp;Result=3","7199802")</f>
        <v>0</v>
      </c>
      <c r="B1959" t="s">
        <v>469</v>
      </c>
      <c r="C1959" t="s">
        <v>5755</v>
      </c>
      <c r="D1959" t="s">
        <v>19022</v>
      </c>
      <c r="E1959" t="s">
        <v>20886</v>
      </c>
      <c r="F1959" t="s">
        <v>32606</v>
      </c>
      <c r="G1959" t="s">
        <v>32614</v>
      </c>
      <c r="H1959" t="s">
        <v>14201</v>
      </c>
      <c r="I1959" t="s">
        <v>7529</v>
      </c>
      <c r="J1959" t="s">
        <v>33646</v>
      </c>
      <c r="K1959" t="s">
        <v>42623</v>
      </c>
      <c r="M1959" t="s">
        <v>43380</v>
      </c>
      <c r="N1959" t="s">
        <v>47304</v>
      </c>
      <c r="O1959" t="s">
        <v>47305</v>
      </c>
      <c r="P1959">
        <v>0</v>
      </c>
      <c r="Q1959">
        <v>0</v>
      </c>
      <c r="R1959" t="s">
        <v>47307</v>
      </c>
      <c r="S1959" t="s">
        <v>47416</v>
      </c>
      <c r="T1959" t="s">
        <v>48996</v>
      </c>
      <c r="U1959" t="s">
        <v>51285</v>
      </c>
      <c r="V1959" t="s">
        <v>62857</v>
      </c>
      <c r="W1959" t="s">
        <v>43380</v>
      </c>
      <c r="X1959" t="s">
        <v>47306</v>
      </c>
    </row>
    <row r="1960" spans="1:24">
      <c r="A1960">
        <f>HYPERLINK("https://www.philgeps.gov.ph/GEPSNONPILOT/Tender/SplashBidNoticeAbstractUI.aspx?menuIndex=3&amp;refID=7199804&amp;Result=3","7199804")</f>
        <v>0</v>
      </c>
      <c r="B1960" t="s">
        <v>775</v>
      </c>
      <c r="C1960" t="s">
        <v>5756</v>
      </c>
      <c r="D1960" t="s">
        <v>19024</v>
      </c>
      <c r="E1960" t="s">
        <v>20887</v>
      </c>
      <c r="F1960" t="s">
        <v>32606</v>
      </c>
      <c r="G1960" t="s">
        <v>32615</v>
      </c>
      <c r="H1960" t="s">
        <v>14201</v>
      </c>
      <c r="I1960" t="s">
        <v>32660</v>
      </c>
      <c r="J1960" t="s">
        <v>34198</v>
      </c>
      <c r="K1960" t="s">
        <v>42631</v>
      </c>
      <c r="M1960" t="s">
        <v>43841</v>
      </c>
      <c r="N1960" t="s">
        <v>47304</v>
      </c>
      <c r="O1960" t="s">
        <v>47305</v>
      </c>
      <c r="P1960">
        <v>0</v>
      </c>
      <c r="Q1960">
        <v>0</v>
      </c>
      <c r="R1960" t="s">
        <v>47307</v>
      </c>
      <c r="S1960" t="s">
        <v>47416</v>
      </c>
      <c r="T1960" t="s">
        <v>49158</v>
      </c>
      <c r="U1960" t="s">
        <v>51286</v>
      </c>
      <c r="V1960" t="s">
        <v>50290</v>
      </c>
      <c r="W1960" t="s">
        <v>43841</v>
      </c>
      <c r="X1960" t="s">
        <v>47306</v>
      </c>
    </row>
    <row r="1961" spans="1:24">
      <c r="A1961">
        <f>HYPERLINK("https://www.philgeps.gov.ph/GEPSNONPILOT/Tender/SplashBidNoticeAbstractUI.aspx?menuIndex=3&amp;refID=7199813&amp;Result=3","7199813")</f>
        <v>0</v>
      </c>
      <c r="B1961" t="s">
        <v>726</v>
      </c>
      <c r="C1961" t="s">
        <v>5757</v>
      </c>
      <c r="D1961" t="s">
        <v>19009</v>
      </c>
      <c r="E1961" t="s">
        <v>20888</v>
      </c>
      <c r="F1961" t="s">
        <v>32606</v>
      </c>
      <c r="G1961" t="s">
        <v>32615</v>
      </c>
      <c r="H1961" t="s">
        <v>14201</v>
      </c>
      <c r="I1961" t="s">
        <v>32680</v>
      </c>
      <c r="J1961" t="s">
        <v>34199</v>
      </c>
      <c r="K1961" t="s">
        <v>42623</v>
      </c>
      <c r="M1961" t="s">
        <v>43648</v>
      </c>
      <c r="N1961" t="s">
        <v>47304</v>
      </c>
      <c r="O1961" t="s">
        <v>47305</v>
      </c>
      <c r="P1961">
        <v>0</v>
      </c>
      <c r="Q1961">
        <v>0</v>
      </c>
      <c r="R1961" t="s">
        <v>47307</v>
      </c>
      <c r="S1961" t="s">
        <v>47416</v>
      </c>
      <c r="T1961" t="s">
        <v>49060</v>
      </c>
      <c r="U1961" t="s">
        <v>51287</v>
      </c>
      <c r="V1961" t="s">
        <v>62814</v>
      </c>
      <c r="W1961" t="s">
        <v>43648</v>
      </c>
      <c r="X1961" t="s">
        <v>47306</v>
      </c>
    </row>
    <row r="1962" spans="1:24">
      <c r="A1962">
        <f>HYPERLINK("https://www.philgeps.gov.ph/GEPSNONPILOT/Tender/SplashBidNoticeAbstractUI.aspx?menuIndex=3&amp;refID=7199799&amp;Result=3","7199799")</f>
        <v>0</v>
      </c>
      <c r="B1962" t="s">
        <v>904</v>
      </c>
      <c r="C1962" t="s">
        <v>5758</v>
      </c>
      <c r="E1962" t="s">
        <v>20889</v>
      </c>
      <c r="F1962" t="s">
        <v>32606</v>
      </c>
      <c r="G1962" t="s">
        <v>32614</v>
      </c>
      <c r="H1962" t="s">
        <v>14201</v>
      </c>
      <c r="I1962" t="s">
        <v>32635</v>
      </c>
      <c r="J1962" t="s">
        <v>33274</v>
      </c>
      <c r="K1962" t="s">
        <v>42624</v>
      </c>
      <c r="M1962" t="s">
        <v>43842</v>
      </c>
      <c r="N1962" t="s">
        <v>47304</v>
      </c>
      <c r="O1962" t="s">
        <v>47305</v>
      </c>
      <c r="P1962">
        <v>0</v>
      </c>
      <c r="Q1962">
        <v>0</v>
      </c>
      <c r="R1962" t="s">
        <v>47307</v>
      </c>
      <c r="S1962" t="s">
        <v>47416</v>
      </c>
      <c r="T1962" t="s">
        <v>49108</v>
      </c>
      <c r="U1962" t="s">
        <v>51288</v>
      </c>
      <c r="W1962" t="s">
        <v>43842</v>
      </c>
      <c r="X1962" t="s">
        <v>47306</v>
      </c>
    </row>
    <row r="1963" spans="1:24">
      <c r="A1963">
        <f>HYPERLINK("https://www.philgeps.gov.ph/GEPSNONPILOT/Tender/SplashBidNoticeAbstractUI.aspx?menuIndex=3&amp;refID=7199801&amp;Result=3","7199801")</f>
        <v>0</v>
      </c>
      <c r="B1963" t="s">
        <v>771</v>
      </c>
      <c r="C1963" t="s">
        <v>5759</v>
      </c>
      <c r="D1963" t="s">
        <v>19058</v>
      </c>
      <c r="E1963" t="s">
        <v>20890</v>
      </c>
      <c r="F1963" t="s">
        <v>32606</v>
      </c>
      <c r="G1963" t="s">
        <v>32614</v>
      </c>
      <c r="H1963" t="s">
        <v>14201</v>
      </c>
      <c r="I1963" t="s">
        <v>4120</v>
      </c>
      <c r="J1963" t="s">
        <v>34200</v>
      </c>
      <c r="K1963" t="s">
        <v>42631</v>
      </c>
      <c r="M1963" t="s">
        <v>43699</v>
      </c>
      <c r="N1963" t="s">
        <v>47304</v>
      </c>
      <c r="O1963" t="s">
        <v>47305</v>
      </c>
      <c r="P1963">
        <v>0</v>
      </c>
      <c r="Q1963">
        <v>0</v>
      </c>
      <c r="R1963" t="s">
        <v>47307</v>
      </c>
      <c r="S1963" t="s">
        <v>47416</v>
      </c>
      <c r="T1963" t="s">
        <v>49175</v>
      </c>
      <c r="U1963" t="s">
        <v>50948</v>
      </c>
      <c r="W1963" t="s">
        <v>43699</v>
      </c>
      <c r="X1963" t="s">
        <v>47306</v>
      </c>
    </row>
    <row r="1964" spans="1:24">
      <c r="A1964">
        <f>HYPERLINK("https://www.philgeps.gov.ph/GEPSNONPILOT/Tender/SplashBidNoticeAbstractUI.aspx?menuIndex=3&amp;refID=7199797&amp;Result=3","7199797")</f>
        <v>0</v>
      </c>
      <c r="B1964" t="s">
        <v>905</v>
      </c>
      <c r="C1964" t="s">
        <v>5760</v>
      </c>
      <c r="D1964" t="s">
        <v>19016</v>
      </c>
      <c r="E1964" t="s">
        <v>20891</v>
      </c>
      <c r="F1964" t="s">
        <v>32609</v>
      </c>
      <c r="G1964" t="s">
        <v>32618</v>
      </c>
      <c r="H1964" t="s">
        <v>14201</v>
      </c>
      <c r="I1964" t="s">
        <v>4114</v>
      </c>
      <c r="J1964" t="s">
        <v>34201</v>
      </c>
      <c r="K1964" t="s">
        <v>42625</v>
      </c>
      <c r="L1964" t="s">
        <v>905</v>
      </c>
      <c r="M1964" t="s">
        <v>43843</v>
      </c>
      <c r="N1964" t="s">
        <v>47304</v>
      </c>
      <c r="O1964" t="s">
        <v>47305</v>
      </c>
      <c r="P1964">
        <v>0</v>
      </c>
      <c r="Q1964">
        <v>0</v>
      </c>
      <c r="R1964" t="s">
        <v>47307</v>
      </c>
      <c r="S1964" t="s">
        <v>47416</v>
      </c>
      <c r="T1964" t="s">
        <v>49201</v>
      </c>
      <c r="U1964" t="s">
        <v>51289</v>
      </c>
      <c r="V1964" t="s">
        <v>62858</v>
      </c>
      <c r="W1964" t="s">
        <v>43843</v>
      </c>
      <c r="X1964" t="s">
        <v>47306</v>
      </c>
    </row>
    <row r="1965" spans="1:24">
      <c r="A1965">
        <f>HYPERLINK("https://www.philgeps.gov.ph/GEPSNONPILOT/Tender/SplashBidNoticeAbstractUI.aspx?menuIndex=3&amp;refID=7199796&amp;Result=3","7199796")</f>
        <v>0</v>
      </c>
      <c r="B1965" t="s">
        <v>888</v>
      </c>
      <c r="C1965" t="s">
        <v>5761</v>
      </c>
      <c r="D1965" t="s">
        <v>19025</v>
      </c>
      <c r="E1965" t="s">
        <v>20892</v>
      </c>
      <c r="F1965" t="s">
        <v>32606</v>
      </c>
      <c r="G1965" t="s">
        <v>32613</v>
      </c>
      <c r="H1965" t="s">
        <v>14201</v>
      </c>
      <c r="I1965" t="s">
        <v>32678</v>
      </c>
      <c r="J1965" t="s">
        <v>34202</v>
      </c>
      <c r="K1965" t="s">
        <v>42623</v>
      </c>
      <c r="M1965" t="s">
        <v>43824</v>
      </c>
      <c r="N1965" t="s">
        <v>47304</v>
      </c>
      <c r="O1965" t="s">
        <v>47305</v>
      </c>
      <c r="P1965">
        <v>0</v>
      </c>
      <c r="Q1965">
        <v>0</v>
      </c>
      <c r="R1965" t="s">
        <v>47307</v>
      </c>
      <c r="S1965" t="s">
        <v>47416</v>
      </c>
      <c r="T1965" t="s">
        <v>48996</v>
      </c>
      <c r="U1965" t="s">
        <v>51290</v>
      </c>
      <c r="V1965" t="s">
        <v>62859</v>
      </c>
      <c r="W1965" t="s">
        <v>43824</v>
      </c>
      <c r="X1965" t="s">
        <v>47306</v>
      </c>
    </row>
    <row r="1966" spans="1:24">
      <c r="A1966">
        <f>HYPERLINK("https://www.philgeps.gov.ph/GEPSNONPILOT/Tender/SplashBidNoticeAbstractUI.aspx?menuIndex=3&amp;refID=7199800&amp;Result=3","7199800")</f>
        <v>0</v>
      </c>
      <c r="B1966" t="s">
        <v>173</v>
      </c>
      <c r="C1966" t="s">
        <v>5762</v>
      </c>
      <c r="E1966" t="s">
        <v>20893</v>
      </c>
      <c r="F1966" t="s">
        <v>32606</v>
      </c>
      <c r="G1966" t="s">
        <v>32613</v>
      </c>
      <c r="H1966" t="s">
        <v>14201</v>
      </c>
      <c r="I1966" t="s">
        <v>4120</v>
      </c>
      <c r="J1966" t="s">
        <v>34203</v>
      </c>
      <c r="K1966" t="s">
        <v>42624</v>
      </c>
      <c r="M1966" t="s">
        <v>43074</v>
      </c>
      <c r="N1966" t="s">
        <v>47304</v>
      </c>
      <c r="O1966" t="s">
        <v>47305</v>
      </c>
      <c r="P1966">
        <v>0</v>
      </c>
      <c r="Q1966">
        <v>0</v>
      </c>
      <c r="R1966" t="s">
        <v>47307</v>
      </c>
      <c r="S1966" t="s">
        <v>47416</v>
      </c>
      <c r="T1966" t="s">
        <v>49116</v>
      </c>
      <c r="U1966" t="s">
        <v>50542</v>
      </c>
      <c r="W1966" t="s">
        <v>43074</v>
      </c>
      <c r="X1966" t="s">
        <v>47306</v>
      </c>
    </row>
    <row r="1967" spans="1:24">
      <c r="A1967">
        <f>HYPERLINK("https://www.philgeps.gov.ph/GEPSNONPILOT/Tender/SplashBidNoticeAbstractUI.aspx?menuIndex=3&amp;refID=7199810&amp;Result=3","7199810")</f>
        <v>0</v>
      </c>
      <c r="B1967" t="s">
        <v>906</v>
      </c>
      <c r="C1967" t="s">
        <v>5763</v>
      </c>
      <c r="D1967" t="s">
        <v>19013</v>
      </c>
      <c r="E1967" t="s">
        <v>20894</v>
      </c>
      <c r="F1967" t="s">
        <v>32606</v>
      </c>
      <c r="G1967" t="s">
        <v>32614</v>
      </c>
      <c r="H1967" t="s">
        <v>14201</v>
      </c>
      <c r="I1967" t="s">
        <v>4678</v>
      </c>
      <c r="J1967" t="s">
        <v>32794</v>
      </c>
      <c r="K1967" t="s">
        <v>42631</v>
      </c>
      <c r="M1967" t="s">
        <v>43844</v>
      </c>
      <c r="N1967" t="s">
        <v>47304</v>
      </c>
      <c r="O1967" t="s">
        <v>47305</v>
      </c>
      <c r="P1967">
        <v>0</v>
      </c>
      <c r="Q1967">
        <v>0</v>
      </c>
      <c r="R1967" t="s">
        <v>47307</v>
      </c>
      <c r="S1967" t="s">
        <v>47416</v>
      </c>
      <c r="T1967" t="s">
        <v>49023</v>
      </c>
      <c r="U1967" t="s">
        <v>51291</v>
      </c>
      <c r="W1967" t="s">
        <v>43844</v>
      </c>
      <c r="X1967" t="s">
        <v>47306</v>
      </c>
    </row>
    <row r="1968" spans="1:24">
      <c r="A1968">
        <f>HYPERLINK("https://www.philgeps.gov.ph/GEPSNONPILOT/Tender/SplashBidNoticeAbstractUI.aspx?menuIndex=3&amp;refID=7199737&amp;Result=3","7199737")</f>
        <v>0</v>
      </c>
      <c r="B1968" t="s">
        <v>888</v>
      </c>
      <c r="C1968" t="s">
        <v>5764</v>
      </c>
      <c r="D1968" t="s">
        <v>19025</v>
      </c>
      <c r="E1968" t="s">
        <v>20895</v>
      </c>
      <c r="F1968" t="s">
        <v>32606</v>
      </c>
      <c r="G1968" t="s">
        <v>32613</v>
      </c>
      <c r="H1968" t="s">
        <v>14201</v>
      </c>
      <c r="I1968" t="s">
        <v>32633</v>
      </c>
      <c r="J1968" t="s">
        <v>32778</v>
      </c>
      <c r="K1968" t="s">
        <v>42623</v>
      </c>
      <c r="M1968" t="s">
        <v>43824</v>
      </c>
      <c r="N1968" t="s">
        <v>47304</v>
      </c>
      <c r="O1968" t="s">
        <v>47305</v>
      </c>
      <c r="P1968">
        <v>0</v>
      </c>
      <c r="Q1968">
        <v>0</v>
      </c>
      <c r="R1968" t="s">
        <v>47307</v>
      </c>
      <c r="S1968" t="s">
        <v>47416</v>
      </c>
      <c r="T1968" t="s">
        <v>48996</v>
      </c>
      <c r="U1968" t="s">
        <v>51292</v>
      </c>
      <c r="V1968" t="s">
        <v>62860</v>
      </c>
      <c r="W1968" t="s">
        <v>43824</v>
      </c>
      <c r="X1968" t="s">
        <v>47306</v>
      </c>
    </row>
    <row r="1969" spans="1:24">
      <c r="A1969">
        <f>HYPERLINK("https://www.philgeps.gov.ph/GEPSNONPILOT/Tender/SplashBidNoticeAbstractUI.aspx?menuIndex=3&amp;refID=7199735&amp;Result=3","7199735")</f>
        <v>0</v>
      </c>
      <c r="B1969" t="s">
        <v>907</v>
      </c>
      <c r="C1969" t="s">
        <v>4830</v>
      </c>
      <c r="D1969" t="s">
        <v>19007</v>
      </c>
      <c r="E1969" t="s">
        <v>4830</v>
      </c>
      <c r="F1969" t="s">
        <v>32606</v>
      </c>
      <c r="G1969" t="s">
        <v>32619</v>
      </c>
      <c r="H1969" t="s">
        <v>14201</v>
      </c>
      <c r="I1969" t="s">
        <v>4120</v>
      </c>
      <c r="J1969" t="s">
        <v>34204</v>
      </c>
      <c r="K1969" t="s">
        <v>42624</v>
      </c>
      <c r="M1969" t="s">
        <v>43845</v>
      </c>
      <c r="N1969" t="s">
        <v>47304</v>
      </c>
      <c r="O1969" t="s">
        <v>47305</v>
      </c>
      <c r="P1969">
        <v>0</v>
      </c>
      <c r="Q1969">
        <v>0</v>
      </c>
      <c r="R1969" t="s">
        <v>47307</v>
      </c>
      <c r="S1969" t="s">
        <v>47416</v>
      </c>
      <c r="T1969" t="s">
        <v>48975</v>
      </c>
      <c r="U1969" t="s">
        <v>51293</v>
      </c>
      <c r="W1969" t="s">
        <v>43845</v>
      </c>
      <c r="X1969" t="s">
        <v>47306</v>
      </c>
    </row>
    <row r="1970" spans="1:24">
      <c r="A1970">
        <f>HYPERLINK("https://www.philgeps.gov.ph/GEPSNONPILOT/Tender/SplashBidNoticeAbstractUI.aspx?menuIndex=3&amp;refID=7199732&amp;Result=3","7199732")</f>
        <v>0</v>
      </c>
      <c r="B1970" t="s">
        <v>908</v>
      </c>
      <c r="C1970" t="s">
        <v>5765</v>
      </c>
      <c r="D1970" t="s">
        <v>19002</v>
      </c>
      <c r="E1970" t="s">
        <v>20896</v>
      </c>
      <c r="F1970" t="s">
        <v>32606</v>
      </c>
      <c r="G1970" t="s">
        <v>32614</v>
      </c>
      <c r="H1970" t="s">
        <v>14201</v>
      </c>
      <c r="I1970" t="s">
        <v>32676</v>
      </c>
      <c r="J1970" t="s">
        <v>34205</v>
      </c>
      <c r="K1970" t="s">
        <v>42674</v>
      </c>
      <c r="M1970" t="s">
        <v>43846</v>
      </c>
      <c r="N1970" t="s">
        <v>47304</v>
      </c>
      <c r="O1970" t="s">
        <v>47305</v>
      </c>
      <c r="P1970">
        <v>0</v>
      </c>
      <c r="Q1970">
        <v>0</v>
      </c>
      <c r="R1970" t="s">
        <v>47307</v>
      </c>
      <c r="S1970" t="s">
        <v>47416</v>
      </c>
      <c r="T1970" t="s">
        <v>49150</v>
      </c>
      <c r="U1970" t="s">
        <v>51294</v>
      </c>
      <c r="W1970" t="s">
        <v>43846</v>
      </c>
      <c r="X1970" t="s">
        <v>47306</v>
      </c>
    </row>
    <row r="1971" spans="1:24">
      <c r="A1971">
        <f>HYPERLINK("https://www.philgeps.gov.ph/GEPSNONPILOT/Tender/SplashBidNoticeAbstractUI.aspx?menuIndex=3&amp;refID=7199731&amp;Result=3","7199731")</f>
        <v>0</v>
      </c>
      <c r="B1971" t="s">
        <v>876</v>
      </c>
      <c r="C1971" t="s">
        <v>5766</v>
      </c>
      <c r="D1971" t="s">
        <v>19038</v>
      </c>
      <c r="E1971" t="s">
        <v>20897</v>
      </c>
      <c r="F1971" t="s">
        <v>32606</v>
      </c>
      <c r="G1971" t="s">
        <v>32613</v>
      </c>
      <c r="H1971" t="s">
        <v>32623</v>
      </c>
      <c r="I1971" t="s">
        <v>17648</v>
      </c>
      <c r="J1971" t="s">
        <v>34206</v>
      </c>
      <c r="K1971" t="s">
        <v>42624</v>
      </c>
      <c r="M1971" t="s">
        <v>43812</v>
      </c>
      <c r="N1971" t="s">
        <v>47304</v>
      </c>
      <c r="O1971" t="s">
        <v>47305</v>
      </c>
      <c r="P1971">
        <v>0</v>
      </c>
      <c r="Q1971">
        <v>0</v>
      </c>
      <c r="R1971" t="s">
        <v>47307</v>
      </c>
      <c r="S1971" t="s">
        <v>47416</v>
      </c>
      <c r="T1971" t="s">
        <v>49008</v>
      </c>
      <c r="U1971" t="s">
        <v>51295</v>
      </c>
      <c r="W1971" t="s">
        <v>43812</v>
      </c>
      <c r="X1971" t="s">
        <v>47306</v>
      </c>
    </row>
    <row r="1972" spans="1:24">
      <c r="A1972">
        <f>HYPERLINK("https://www.philgeps.gov.ph/GEPSNONPILOT/Tender/SplashBidNoticeAbstractUI.aspx?menuIndex=3&amp;refID=7199728&amp;Result=3","7199728")</f>
        <v>0</v>
      </c>
      <c r="B1972" t="s">
        <v>612</v>
      </c>
      <c r="C1972" t="s">
        <v>5767</v>
      </c>
      <c r="D1972" t="s">
        <v>18993</v>
      </c>
      <c r="E1972" t="s">
        <v>20898</v>
      </c>
      <c r="F1972" t="s">
        <v>32606</v>
      </c>
      <c r="G1972" t="s">
        <v>32613</v>
      </c>
      <c r="H1972" t="s">
        <v>14201</v>
      </c>
      <c r="I1972" t="s">
        <v>6298</v>
      </c>
      <c r="J1972" t="s">
        <v>34207</v>
      </c>
      <c r="K1972" t="s">
        <v>42631</v>
      </c>
      <c r="M1972" t="s">
        <v>43530</v>
      </c>
      <c r="N1972" t="s">
        <v>47304</v>
      </c>
      <c r="O1972" t="s">
        <v>47305</v>
      </c>
      <c r="P1972">
        <v>0</v>
      </c>
      <c r="Q1972">
        <v>0</v>
      </c>
      <c r="R1972" t="s">
        <v>47307</v>
      </c>
      <c r="S1972" t="s">
        <v>47416</v>
      </c>
      <c r="T1972" t="s">
        <v>49157</v>
      </c>
      <c r="U1972" t="s">
        <v>51296</v>
      </c>
      <c r="W1972" t="s">
        <v>43530</v>
      </c>
      <c r="X1972" t="s">
        <v>47306</v>
      </c>
    </row>
    <row r="1973" spans="1:24">
      <c r="A1973">
        <f>HYPERLINK("https://www.philgeps.gov.ph/GEPSNONPILOT/Tender/SplashBidNoticeAbstractUI.aspx?menuIndex=3&amp;refID=7199713&amp;Result=3","7199713")</f>
        <v>0</v>
      </c>
      <c r="B1973" t="s">
        <v>535</v>
      </c>
      <c r="C1973" t="s">
        <v>5768</v>
      </c>
      <c r="D1973" t="s">
        <v>19031</v>
      </c>
      <c r="E1973" t="s">
        <v>20899</v>
      </c>
      <c r="F1973" t="s">
        <v>32606</v>
      </c>
      <c r="G1973" t="s">
        <v>32617</v>
      </c>
      <c r="H1973" t="s">
        <v>14201</v>
      </c>
      <c r="I1973" t="s">
        <v>7677</v>
      </c>
      <c r="J1973" t="s">
        <v>34208</v>
      </c>
      <c r="K1973" t="s">
        <v>42631</v>
      </c>
      <c r="M1973" t="s">
        <v>43448</v>
      </c>
      <c r="N1973" t="s">
        <v>47304</v>
      </c>
      <c r="O1973" t="s">
        <v>47305</v>
      </c>
      <c r="P1973">
        <v>0</v>
      </c>
      <c r="Q1973">
        <v>0</v>
      </c>
      <c r="R1973" t="s">
        <v>47307</v>
      </c>
      <c r="S1973" t="s">
        <v>47416</v>
      </c>
      <c r="T1973" t="s">
        <v>48987</v>
      </c>
      <c r="U1973" t="s">
        <v>51297</v>
      </c>
      <c r="W1973" t="s">
        <v>43448</v>
      </c>
      <c r="X1973" t="s">
        <v>47306</v>
      </c>
    </row>
    <row r="1974" spans="1:24">
      <c r="A1974">
        <f>HYPERLINK("https://www.philgeps.gov.ph/GEPSNONPILOT/Tender/SplashBidNoticeAbstractUI.aspx?menuIndex=3&amp;refID=7199712&amp;Result=3","7199712")</f>
        <v>0</v>
      </c>
      <c r="B1974" t="s">
        <v>836</v>
      </c>
      <c r="C1974" t="s">
        <v>5769</v>
      </c>
      <c r="E1974" t="s">
        <v>20900</v>
      </c>
      <c r="F1974" t="s">
        <v>32606</v>
      </c>
      <c r="G1974" t="s">
        <v>32614</v>
      </c>
      <c r="H1974" t="s">
        <v>14201</v>
      </c>
      <c r="I1974" t="s">
        <v>6298</v>
      </c>
      <c r="J1974" t="s">
        <v>33062</v>
      </c>
      <c r="K1974" t="s">
        <v>42624</v>
      </c>
      <c r="M1974" t="s">
        <v>43768</v>
      </c>
      <c r="N1974" t="s">
        <v>47304</v>
      </c>
      <c r="O1974" t="s">
        <v>47305</v>
      </c>
      <c r="P1974">
        <v>0</v>
      </c>
      <c r="Q1974">
        <v>0</v>
      </c>
      <c r="R1974" t="s">
        <v>47307</v>
      </c>
      <c r="S1974" t="s">
        <v>47416</v>
      </c>
      <c r="T1974" t="s">
        <v>49175</v>
      </c>
      <c r="U1974" t="s">
        <v>51298</v>
      </c>
      <c r="W1974" t="s">
        <v>43768</v>
      </c>
      <c r="X1974" t="s">
        <v>47306</v>
      </c>
    </row>
    <row r="1975" spans="1:24">
      <c r="A1975">
        <f>HYPERLINK("https://www.philgeps.gov.ph/GEPSNONPILOT/Tender/SplashBidNoticeAbstractUI.aspx?menuIndex=3&amp;refID=7199798&amp;Result=3","7199798")</f>
        <v>0</v>
      </c>
      <c r="B1975" t="s">
        <v>540</v>
      </c>
      <c r="C1975" t="s">
        <v>5770</v>
      </c>
      <c r="D1975" t="s">
        <v>19001</v>
      </c>
      <c r="E1975" t="s">
        <v>20901</v>
      </c>
      <c r="F1975" t="s">
        <v>32606</v>
      </c>
      <c r="G1975" t="s">
        <v>32613</v>
      </c>
      <c r="H1975" t="s">
        <v>14201</v>
      </c>
      <c r="I1975" t="s">
        <v>32638</v>
      </c>
      <c r="J1975" t="s">
        <v>34209</v>
      </c>
      <c r="K1975" t="s">
        <v>42622</v>
      </c>
      <c r="M1975" t="s">
        <v>43781</v>
      </c>
      <c r="N1975" t="s">
        <v>47304</v>
      </c>
      <c r="O1975" t="s">
        <v>47305</v>
      </c>
      <c r="P1975">
        <v>0</v>
      </c>
      <c r="Q1975">
        <v>0</v>
      </c>
      <c r="R1975" t="s">
        <v>47307</v>
      </c>
      <c r="S1975" t="s">
        <v>47416</v>
      </c>
      <c r="T1975" t="s">
        <v>49121</v>
      </c>
      <c r="U1975" t="s">
        <v>51299</v>
      </c>
      <c r="W1975" t="s">
        <v>43781</v>
      </c>
      <c r="X1975" t="s">
        <v>47306</v>
      </c>
    </row>
    <row r="1976" spans="1:24">
      <c r="A1976">
        <f>HYPERLINK("https://www.philgeps.gov.ph/GEPSNONPILOT/Tender/SplashBidNoticeAbstractUI.aspx?menuIndex=3&amp;refID=7199711&amp;Result=3","7199711")</f>
        <v>0</v>
      </c>
      <c r="B1976" t="s">
        <v>909</v>
      </c>
      <c r="C1976" t="s">
        <v>5771</v>
      </c>
      <c r="E1976" t="s">
        <v>20902</v>
      </c>
      <c r="F1976" t="s">
        <v>32606</v>
      </c>
      <c r="G1976" t="s">
        <v>32613</v>
      </c>
      <c r="H1976" t="s">
        <v>14201</v>
      </c>
      <c r="I1976" t="s">
        <v>32654</v>
      </c>
      <c r="J1976" t="s">
        <v>34210</v>
      </c>
      <c r="K1976" t="s">
        <v>42624</v>
      </c>
      <c r="M1976" t="s">
        <v>43847</v>
      </c>
      <c r="N1976" t="s">
        <v>47304</v>
      </c>
      <c r="O1976" t="s">
        <v>47305</v>
      </c>
      <c r="P1976">
        <v>0</v>
      </c>
      <c r="Q1976">
        <v>0</v>
      </c>
      <c r="R1976" t="s">
        <v>47307</v>
      </c>
      <c r="S1976" t="s">
        <v>47416</v>
      </c>
      <c r="T1976" t="s">
        <v>49008</v>
      </c>
      <c r="U1976" t="s">
        <v>51300</v>
      </c>
      <c r="W1976" t="s">
        <v>43847</v>
      </c>
      <c r="X1976" t="s">
        <v>47306</v>
      </c>
    </row>
    <row r="1977" spans="1:24">
      <c r="A1977">
        <f>HYPERLINK("https://www.philgeps.gov.ph/GEPSNONPILOT/Tender/SplashBidNoticeAbstractUI.aspx?menuIndex=3&amp;refID=7199709&amp;Result=3","7199709")</f>
        <v>0</v>
      </c>
      <c r="B1977" t="s">
        <v>238</v>
      </c>
      <c r="C1977" t="s">
        <v>5772</v>
      </c>
      <c r="D1977" t="s">
        <v>18993</v>
      </c>
      <c r="E1977" t="s">
        <v>20228</v>
      </c>
      <c r="F1977" t="s">
        <v>32606</v>
      </c>
      <c r="G1977" t="s">
        <v>32619</v>
      </c>
      <c r="H1977" t="s">
        <v>14201</v>
      </c>
      <c r="I1977" t="s">
        <v>32631</v>
      </c>
      <c r="J1977" t="s">
        <v>34211</v>
      </c>
      <c r="K1977" t="s">
        <v>42622</v>
      </c>
      <c r="M1977" t="s">
        <v>43357</v>
      </c>
      <c r="N1977" t="s">
        <v>47304</v>
      </c>
      <c r="O1977" t="s">
        <v>47305</v>
      </c>
      <c r="P1977">
        <v>0</v>
      </c>
      <c r="Q1977">
        <v>0</v>
      </c>
      <c r="R1977" t="s">
        <v>47307</v>
      </c>
      <c r="S1977" t="s">
        <v>47416</v>
      </c>
      <c r="T1977" t="s">
        <v>49123</v>
      </c>
      <c r="U1977" t="s">
        <v>51301</v>
      </c>
      <c r="V1977" t="s">
        <v>62749</v>
      </c>
      <c r="W1977" t="s">
        <v>43357</v>
      </c>
      <c r="X1977" t="s">
        <v>47306</v>
      </c>
    </row>
    <row r="1978" spans="1:24">
      <c r="A1978">
        <f>HYPERLINK("https://www.philgeps.gov.ph/GEPSNONPILOT/Tender/SplashBidNoticeAbstractUI.aspx?menuIndex=3&amp;refID=7199736&amp;Result=3","7199736")</f>
        <v>0</v>
      </c>
      <c r="B1978" t="s">
        <v>882</v>
      </c>
      <c r="C1978" t="s">
        <v>5773</v>
      </c>
      <c r="D1978" t="s">
        <v>18994</v>
      </c>
      <c r="E1978" t="s">
        <v>20903</v>
      </c>
      <c r="F1978" t="s">
        <v>32606</v>
      </c>
      <c r="G1978" t="s">
        <v>32614</v>
      </c>
      <c r="H1978" t="s">
        <v>14201</v>
      </c>
      <c r="I1978" t="s">
        <v>6007</v>
      </c>
      <c r="J1978" t="s">
        <v>32781</v>
      </c>
      <c r="K1978" t="s">
        <v>42630</v>
      </c>
      <c r="M1978" t="s">
        <v>43818</v>
      </c>
      <c r="N1978" t="s">
        <v>47304</v>
      </c>
      <c r="O1978" t="s">
        <v>47305</v>
      </c>
      <c r="P1978">
        <v>0</v>
      </c>
      <c r="Q1978">
        <v>0</v>
      </c>
      <c r="R1978" t="s">
        <v>47307</v>
      </c>
      <c r="S1978" t="s">
        <v>47416</v>
      </c>
      <c r="T1978" t="s">
        <v>49087</v>
      </c>
      <c r="U1978" t="s">
        <v>51302</v>
      </c>
      <c r="W1978" t="s">
        <v>43818</v>
      </c>
      <c r="X1978" t="s">
        <v>47306</v>
      </c>
    </row>
    <row r="1979" spans="1:24">
      <c r="A1979">
        <f>HYPERLINK("https://www.philgeps.gov.ph/GEPSNONPILOT/Tender/SplashBidNoticeAbstractUI.aspx?menuIndex=3&amp;refID=7199704&amp;Result=3","7199704")</f>
        <v>0</v>
      </c>
      <c r="B1979" t="s">
        <v>462</v>
      </c>
      <c r="C1979" t="s">
        <v>5774</v>
      </c>
      <c r="D1979" t="s">
        <v>19040</v>
      </c>
      <c r="E1979" t="s">
        <v>20904</v>
      </c>
      <c r="F1979" t="s">
        <v>32606</v>
      </c>
      <c r="G1979" t="s">
        <v>32614</v>
      </c>
      <c r="H1979" t="s">
        <v>14201</v>
      </c>
      <c r="I1979" t="s">
        <v>32711</v>
      </c>
      <c r="J1979" t="s">
        <v>32949</v>
      </c>
      <c r="K1979" t="s">
        <v>42666</v>
      </c>
      <c r="M1979" t="s">
        <v>43372</v>
      </c>
      <c r="N1979" t="s">
        <v>47304</v>
      </c>
      <c r="O1979" t="s">
        <v>47305</v>
      </c>
      <c r="P1979">
        <v>0</v>
      </c>
      <c r="Q1979">
        <v>0</v>
      </c>
      <c r="R1979" t="s">
        <v>47307</v>
      </c>
      <c r="S1979" t="s">
        <v>47416</v>
      </c>
      <c r="T1979" t="s">
        <v>49156</v>
      </c>
      <c r="U1979" t="s">
        <v>51303</v>
      </c>
      <c r="W1979" t="s">
        <v>64454</v>
      </c>
      <c r="X1979" t="s">
        <v>47306</v>
      </c>
    </row>
    <row r="1980" spans="1:24">
      <c r="A1980">
        <f>HYPERLINK("https://www.philgeps.gov.ph/GEPSNONPILOT/Tender/SplashBidNoticeAbstractUI.aspx?menuIndex=3&amp;refID=7199729&amp;Result=3","7199729")</f>
        <v>0</v>
      </c>
      <c r="B1980" t="s">
        <v>857</v>
      </c>
      <c r="C1980" t="s">
        <v>5775</v>
      </c>
      <c r="D1980" t="s">
        <v>19014</v>
      </c>
      <c r="E1980" t="s">
        <v>20905</v>
      </c>
      <c r="F1980" t="s">
        <v>32606</v>
      </c>
      <c r="G1980" t="s">
        <v>32613</v>
      </c>
      <c r="H1980" t="s">
        <v>14201</v>
      </c>
      <c r="I1980" t="s">
        <v>32640</v>
      </c>
      <c r="J1980" t="s">
        <v>33363</v>
      </c>
      <c r="K1980" t="s">
        <v>42630</v>
      </c>
      <c r="M1980" t="s">
        <v>43790</v>
      </c>
      <c r="N1980" t="s">
        <v>47304</v>
      </c>
      <c r="O1980" t="s">
        <v>47305</v>
      </c>
      <c r="P1980">
        <v>0</v>
      </c>
      <c r="Q1980">
        <v>0</v>
      </c>
      <c r="R1980" t="s">
        <v>47307</v>
      </c>
      <c r="S1980" t="s">
        <v>47416</v>
      </c>
      <c r="T1980" t="s">
        <v>49101</v>
      </c>
      <c r="U1980" t="s">
        <v>51304</v>
      </c>
      <c r="W1980" t="s">
        <v>43790</v>
      </c>
      <c r="X1980" t="s">
        <v>47306</v>
      </c>
    </row>
    <row r="1981" spans="1:24">
      <c r="A1981">
        <f>HYPERLINK("https://www.philgeps.gov.ph/GEPSNONPILOT/Tender/SplashBidNoticeAbstractUI.aspx?menuIndex=3&amp;refID=7199688&amp;Result=3","7199688")</f>
        <v>0</v>
      </c>
      <c r="B1981" t="s">
        <v>238</v>
      </c>
      <c r="C1981" t="s">
        <v>5776</v>
      </c>
      <c r="D1981" t="s">
        <v>18993</v>
      </c>
      <c r="E1981" t="s">
        <v>20906</v>
      </c>
      <c r="F1981" t="s">
        <v>32606</v>
      </c>
      <c r="G1981" t="s">
        <v>32619</v>
      </c>
      <c r="H1981" t="s">
        <v>14201</v>
      </c>
      <c r="I1981" t="s">
        <v>32631</v>
      </c>
      <c r="J1981" t="s">
        <v>33362</v>
      </c>
      <c r="K1981" t="s">
        <v>42622</v>
      </c>
      <c r="M1981" t="s">
        <v>43357</v>
      </c>
      <c r="N1981" t="s">
        <v>47304</v>
      </c>
      <c r="O1981" t="s">
        <v>47305</v>
      </c>
      <c r="P1981">
        <v>0</v>
      </c>
      <c r="Q1981">
        <v>0</v>
      </c>
      <c r="R1981" t="s">
        <v>47307</v>
      </c>
      <c r="S1981" t="s">
        <v>47416</v>
      </c>
      <c r="T1981" t="s">
        <v>49123</v>
      </c>
      <c r="U1981" t="s">
        <v>51305</v>
      </c>
      <c r="V1981" t="s">
        <v>62749</v>
      </c>
      <c r="W1981" t="s">
        <v>43357</v>
      </c>
      <c r="X1981" t="s">
        <v>47306</v>
      </c>
    </row>
    <row r="1982" spans="1:24">
      <c r="A1982">
        <f>HYPERLINK("https://www.philgeps.gov.ph/GEPSNONPILOT/Tender/SplashBidNoticeAbstractUI.aspx?menuIndex=3&amp;refID=7199783&amp;Result=3","7199783")</f>
        <v>0</v>
      </c>
      <c r="B1982" t="s">
        <v>584</v>
      </c>
      <c r="C1982" t="s">
        <v>5777</v>
      </c>
      <c r="D1982" t="s">
        <v>18993</v>
      </c>
      <c r="E1982" t="s">
        <v>20907</v>
      </c>
      <c r="F1982" t="s">
        <v>32606</v>
      </c>
      <c r="G1982" t="s">
        <v>32614</v>
      </c>
      <c r="H1982" t="s">
        <v>14201</v>
      </c>
      <c r="I1982" t="s">
        <v>32640</v>
      </c>
      <c r="J1982" t="s">
        <v>34212</v>
      </c>
      <c r="K1982" t="s">
        <v>42623</v>
      </c>
      <c r="M1982" t="s">
        <v>43499</v>
      </c>
      <c r="N1982" t="s">
        <v>47304</v>
      </c>
      <c r="O1982" t="s">
        <v>47305</v>
      </c>
      <c r="P1982">
        <v>0</v>
      </c>
      <c r="Q1982">
        <v>0</v>
      </c>
      <c r="R1982" t="s">
        <v>47307</v>
      </c>
      <c r="S1982" t="s">
        <v>47416</v>
      </c>
      <c r="T1982" t="s">
        <v>49108</v>
      </c>
      <c r="U1982" t="s">
        <v>51306</v>
      </c>
      <c r="V1982" t="s">
        <v>62861</v>
      </c>
      <c r="W1982" t="s">
        <v>43499</v>
      </c>
      <c r="X1982" t="s">
        <v>47306</v>
      </c>
    </row>
    <row r="1983" spans="1:24">
      <c r="A1983">
        <f>HYPERLINK("https://www.philgeps.gov.ph/GEPSNONPILOT/Tender/SplashBidNoticeAbstractUI.aspx?menuIndex=3&amp;refID=7199734&amp;Result=3","7199734")</f>
        <v>0</v>
      </c>
      <c r="B1983" t="s">
        <v>879</v>
      </c>
      <c r="C1983" t="s">
        <v>5778</v>
      </c>
      <c r="D1983" t="s">
        <v>19048</v>
      </c>
      <c r="E1983" t="s">
        <v>20908</v>
      </c>
      <c r="F1983" t="s">
        <v>32606</v>
      </c>
      <c r="G1983" t="s">
        <v>32614</v>
      </c>
      <c r="H1983" t="s">
        <v>14201</v>
      </c>
      <c r="I1983" t="s">
        <v>32660</v>
      </c>
      <c r="J1983" t="s">
        <v>34213</v>
      </c>
      <c r="K1983" t="s">
        <v>42622</v>
      </c>
      <c r="M1983" t="s">
        <v>43815</v>
      </c>
      <c r="N1983" t="s">
        <v>47304</v>
      </c>
      <c r="O1983" t="s">
        <v>47305</v>
      </c>
      <c r="P1983">
        <v>0</v>
      </c>
      <c r="Q1983">
        <v>0</v>
      </c>
      <c r="R1983" t="s">
        <v>47307</v>
      </c>
      <c r="S1983" t="s">
        <v>47416</v>
      </c>
      <c r="T1983" t="s">
        <v>49015</v>
      </c>
      <c r="U1983" t="s">
        <v>51307</v>
      </c>
      <c r="W1983" t="s">
        <v>43815</v>
      </c>
      <c r="X1983" t="s">
        <v>47306</v>
      </c>
    </row>
    <row r="1984" spans="1:24">
      <c r="A1984">
        <f>HYPERLINK("https://www.philgeps.gov.ph/GEPSNONPILOT/Tender/SplashBidNoticeAbstractUI.aspx?menuIndex=3&amp;refID=7199686&amp;Result=3","7199686")</f>
        <v>0</v>
      </c>
      <c r="B1984" t="s">
        <v>910</v>
      </c>
      <c r="C1984" t="s">
        <v>5779</v>
      </c>
      <c r="D1984" t="s">
        <v>18992</v>
      </c>
      <c r="E1984" t="s">
        <v>20909</v>
      </c>
      <c r="F1984" t="s">
        <v>32606</v>
      </c>
      <c r="G1984" t="s">
        <v>32619</v>
      </c>
      <c r="H1984" t="s">
        <v>14201</v>
      </c>
      <c r="I1984" t="s">
        <v>4678</v>
      </c>
      <c r="J1984" t="s">
        <v>32999</v>
      </c>
      <c r="K1984" t="s">
        <v>42622</v>
      </c>
      <c r="M1984" t="s">
        <v>43848</v>
      </c>
      <c r="N1984" t="s">
        <v>47304</v>
      </c>
      <c r="O1984" t="s">
        <v>47305</v>
      </c>
      <c r="P1984">
        <v>0</v>
      </c>
      <c r="Q1984">
        <v>0</v>
      </c>
      <c r="R1984" t="s">
        <v>47307</v>
      </c>
      <c r="S1984" t="s">
        <v>47416</v>
      </c>
      <c r="T1984" t="s">
        <v>49023</v>
      </c>
      <c r="U1984" t="s">
        <v>51308</v>
      </c>
      <c r="W1984" t="s">
        <v>43848</v>
      </c>
      <c r="X1984" t="s">
        <v>47306</v>
      </c>
    </row>
    <row r="1985" spans="1:24">
      <c r="A1985">
        <f>HYPERLINK("https://www.philgeps.gov.ph/GEPSNONPILOT/Tender/SplashBidNoticeAbstractUI.aspx?menuIndex=3&amp;refID=7199685&amp;Result=3","7199685")</f>
        <v>0</v>
      </c>
      <c r="B1985" t="s">
        <v>392</v>
      </c>
      <c r="C1985" t="s">
        <v>5780</v>
      </c>
      <c r="D1985" t="s">
        <v>18993</v>
      </c>
      <c r="E1985" t="s">
        <v>20910</v>
      </c>
      <c r="F1985" t="s">
        <v>32606</v>
      </c>
      <c r="G1985" t="s">
        <v>32613</v>
      </c>
      <c r="H1985" t="s">
        <v>14201</v>
      </c>
      <c r="I1985" t="s">
        <v>4120</v>
      </c>
      <c r="J1985" t="s">
        <v>34214</v>
      </c>
      <c r="K1985" t="s">
        <v>42630</v>
      </c>
      <c r="M1985" t="s">
        <v>43849</v>
      </c>
      <c r="N1985" t="s">
        <v>47304</v>
      </c>
      <c r="O1985" t="s">
        <v>47305</v>
      </c>
      <c r="P1985">
        <v>0</v>
      </c>
      <c r="Q1985">
        <v>0</v>
      </c>
      <c r="R1985" t="s">
        <v>47307</v>
      </c>
      <c r="S1985" t="s">
        <v>47416</v>
      </c>
      <c r="T1985" t="s">
        <v>49110</v>
      </c>
      <c r="U1985" t="s">
        <v>51309</v>
      </c>
      <c r="W1985" t="s">
        <v>43849</v>
      </c>
      <c r="X1985" t="s">
        <v>47306</v>
      </c>
    </row>
    <row r="1986" spans="1:24">
      <c r="A1986">
        <f>HYPERLINK("https://www.philgeps.gov.ph/GEPSNONPILOT/Tender/SplashBidNoticeAbstractUI.aspx?menuIndex=3&amp;refID=7199707&amp;Result=3","7199707")</f>
        <v>0</v>
      </c>
      <c r="B1986" t="s">
        <v>911</v>
      </c>
      <c r="C1986" t="s">
        <v>5781</v>
      </c>
      <c r="D1986" t="s">
        <v>19037</v>
      </c>
      <c r="E1986" t="s">
        <v>20911</v>
      </c>
      <c r="F1986" t="s">
        <v>32606</v>
      </c>
      <c r="G1986" t="s">
        <v>32619</v>
      </c>
      <c r="H1986" t="s">
        <v>14201</v>
      </c>
      <c r="I1986" t="s">
        <v>32626</v>
      </c>
      <c r="J1986" t="s">
        <v>33195</v>
      </c>
      <c r="K1986" t="s">
        <v>42630</v>
      </c>
      <c r="M1986" t="s">
        <v>43850</v>
      </c>
      <c r="N1986" t="s">
        <v>47304</v>
      </c>
      <c r="O1986" t="s">
        <v>47305</v>
      </c>
      <c r="P1986">
        <v>0</v>
      </c>
      <c r="Q1986">
        <v>0</v>
      </c>
      <c r="R1986" t="s">
        <v>47307</v>
      </c>
      <c r="S1986" t="s">
        <v>47416</v>
      </c>
      <c r="T1986" t="s">
        <v>49014</v>
      </c>
      <c r="U1986" t="s">
        <v>51310</v>
      </c>
      <c r="W1986" t="s">
        <v>64456</v>
      </c>
      <c r="X1986" t="s">
        <v>47306</v>
      </c>
    </row>
    <row r="1987" spans="1:24">
      <c r="A1987">
        <f>HYPERLINK("https://www.philgeps.gov.ph/GEPSNONPILOT/Tender/SplashBidNoticeAbstractUI.aspx?menuIndex=3&amp;refID=7199684&amp;Result=3","7199684")</f>
        <v>0</v>
      </c>
      <c r="B1987" t="s">
        <v>867</v>
      </c>
      <c r="C1987" t="s">
        <v>5782</v>
      </c>
      <c r="D1987" t="s">
        <v>19040</v>
      </c>
      <c r="E1987" t="s">
        <v>20912</v>
      </c>
      <c r="F1987" t="s">
        <v>32606</v>
      </c>
      <c r="G1987" t="s">
        <v>32614</v>
      </c>
      <c r="H1987" t="s">
        <v>14201</v>
      </c>
      <c r="I1987" t="s">
        <v>4120</v>
      </c>
      <c r="J1987" t="s">
        <v>34215</v>
      </c>
      <c r="K1987" t="s">
        <v>42631</v>
      </c>
      <c r="M1987" t="s">
        <v>43801</v>
      </c>
      <c r="N1987" t="s">
        <v>47304</v>
      </c>
      <c r="O1987" t="s">
        <v>47305</v>
      </c>
      <c r="P1987">
        <v>0</v>
      </c>
      <c r="Q1987">
        <v>0</v>
      </c>
      <c r="R1987" t="s">
        <v>47307</v>
      </c>
      <c r="S1987" t="s">
        <v>47416</v>
      </c>
      <c r="T1987" t="s">
        <v>49093</v>
      </c>
      <c r="U1987" t="s">
        <v>51203</v>
      </c>
      <c r="W1987" t="s">
        <v>43801</v>
      </c>
      <c r="X1987" t="s">
        <v>47306</v>
      </c>
    </row>
    <row r="1988" spans="1:24">
      <c r="A1988">
        <f>HYPERLINK("https://www.philgeps.gov.ph/GEPSNONPILOT/Tender/SplashBidNoticeAbstractUI.aspx?menuIndex=3&amp;refID=7199683&amp;Result=3","7199683")</f>
        <v>0</v>
      </c>
      <c r="B1988" t="s">
        <v>662</v>
      </c>
      <c r="C1988" t="s">
        <v>5783</v>
      </c>
      <c r="D1988" t="s">
        <v>19023</v>
      </c>
      <c r="E1988" t="s">
        <v>20913</v>
      </c>
      <c r="F1988" t="s">
        <v>32606</v>
      </c>
      <c r="G1988" t="s">
        <v>32613</v>
      </c>
      <c r="H1988" t="s">
        <v>14201</v>
      </c>
      <c r="I1988" t="s">
        <v>32629</v>
      </c>
      <c r="J1988" t="s">
        <v>32778</v>
      </c>
      <c r="K1988" t="s">
        <v>42631</v>
      </c>
      <c r="M1988" t="s">
        <v>43582</v>
      </c>
      <c r="N1988" t="s">
        <v>47304</v>
      </c>
      <c r="O1988" t="s">
        <v>47305</v>
      </c>
      <c r="P1988">
        <v>0</v>
      </c>
      <c r="Q1988">
        <v>0</v>
      </c>
      <c r="R1988" t="s">
        <v>47307</v>
      </c>
      <c r="S1988" t="s">
        <v>47416</v>
      </c>
      <c r="T1988" t="s">
        <v>49098</v>
      </c>
      <c r="U1988" t="s">
        <v>51311</v>
      </c>
      <c r="W1988" t="s">
        <v>43582</v>
      </c>
      <c r="X1988" t="s">
        <v>47306</v>
      </c>
    </row>
    <row r="1989" spans="1:24">
      <c r="A1989">
        <f>HYPERLINK("https://www.philgeps.gov.ph/GEPSNONPILOT/Tender/SplashBidNoticeAbstractUI.aspx?menuIndex=3&amp;refID=7199834&amp;Result=3","7199834")</f>
        <v>0</v>
      </c>
      <c r="B1989" t="s">
        <v>896</v>
      </c>
      <c r="C1989" t="s">
        <v>5784</v>
      </c>
      <c r="D1989" t="s">
        <v>19023</v>
      </c>
      <c r="E1989" t="s">
        <v>20914</v>
      </c>
      <c r="F1989" t="s">
        <v>32606</v>
      </c>
      <c r="G1989" t="s">
        <v>32613</v>
      </c>
      <c r="H1989" t="s">
        <v>14201</v>
      </c>
      <c r="I1989" t="s">
        <v>4678</v>
      </c>
      <c r="J1989" t="s">
        <v>32765</v>
      </c>
      <c r="K1989" t="s">
        <v>42630</v>
      </c>
      <c r="M1989" t="s">
        <v>43832</v>
      </c>
      <c r="N1989" t="s">
        <v>47304</v>
      </c>
      <c r="O1989" t="s">
        <v>47305</v>
      </c>
      <c r="P1989">
        <v>0</v>
      </c>
      <c r="Q1989">
        <v>1</v>
      </c>
      <c r="R1989" t="s">
        <v>47307</v>
      </c>
      <c r="S1989" t="s">
        <v>47416</v>
      </c>
      <c r="T1989" t="s">
        <v>48996</v>
      </c>
      <c r="U1989" t="s">
        <v>51312</v>
      </c>
      <c r="W1989" t="s">
        <v>43832</v>
      </c>
      <c r="X1989" t="s">
        <v>47306</v>
      </c>
    </row>
    <row r="1990" spans="1:24">
      <c r="A1990">
        <f>HYPERLINK("https://www.philgeps.gov.ph/GEPSNONPILOT/Tender/SplashBidNoticeAbstractUI.aspx?menuIndex=3&amp;refID=7199762&amp;Result=3","7199762")</f>
        <v>0</v>
      </c>
      <c r="B1990" t="s">
        <v>771</v>
      </c>
      <c r="C1990" t="s">
        <v>5785</v>
      </c>
      <c r="D1990" t="s">
        <v>19058</v>
      </c>
      <c r="E1990" t="s">
        <v>20915</v>
      </c>
      <c r="F1990" t="s">
        <v>32606</v>
      </c>
      <c r="G1990" t="s">
        <v>32614</v>
      </c>
      <c r="H1990" t="s">
        <v>32623</v>
      </c>
      <c r="I1990" t="s">
        <v>17648</v>
      </c>
      <c r="J1990" t="s">
        <v>34216</v>
      </c>
      <c r="K1990" t="s">
        <v>42721</v>
      </c>
      <c r="M1990" t="s">
        <v>43699</v>
      </c>
      <c r="N1990" t="s">
        <v>47304</v>
      </c>
      <c r="O1990" t="s">
        <v>47305</v>
      </c>
      <c r="P1990">
        <v>0</v>
      </c>
      <c r="Q1990">
        <v>0</v>
      </c>
      <c r="R1990" t="s">
        <v>47307</v>
      </c>
      <c r="S1990" t="s">
        <v>47416</v>
      </c>
      <c r="T1990" t="s">
        <v>49175</v>
      </c>
      <c r="U1990" t="s">
        <v>50948</v>
      </c>
      <c r="W1990" t="s">
        <v>43699</v>
      </c>
      <c r="X1990" t="s">
        <v>47306</v>
      </c>
    </row>
    <row r="1991" spans="1:24">
      <c r="A1991">
        <f>HYPERLINK("https://www.philgeps.gov.ph/GEPSNONPILOT/Tender/SplashBidNoticeAbstractUI.aspx?menuIndex=3&amp;refID=7199708&amp;Result=3","7199708")</f>
        <v>0</v>
      </c>
      <c r="B1991" t="s">
        <v>238</v>
      </c>
      <c r="C1991" t="s">
        <v>5742</v>
      </c>
      <c r="D1991" t="s">
        <v>18993</v>
      </c>
      <c r="E1991" t="s">
        <v>20916</v>
      </c>
      <c r="F1991" t="s">
        <v>32606</v>
      </c>
      <c r="G1991" t="s">
        <v>32619</v>
      </c>
      <c r="H1991" t="s">
        <v>14201</v>
      </c>
      <c r="I1991" t="s">
        <v>32633</v>
      </c>
      <c r="J1991" t="s">
        <v>32920</v>
      </c>
      <c r="K1991" t="s">
        <v>42622</v>
      </c>
      <c r="M1991" t="s">
        <v>43794</v>
      </c>
      <c r="N1991" t="s">
        <v>47304</v>
      </c>
      <c r="O1991" t="s">
        <v>47305</v>
      </c>
      <c r="P1991">
        <v>0</v>
      </c>
      <c r="Q1991">
        <v>0</v>
      </c>
      <c r="R1991" t="s">
        <v>47307</v>
      </c>
      <c r="S1991" t="s">
        <v>47416</v>
      </c>
      <c r="T1991" t="s">
        <v>49014</v>
      </c>
      <c r="U1991" t="s">
        <v>51313</v>
      </c>
      <c r="V1991" t="s">
        <v>62844</v>
      </c>
      <c r="W1991" t="s">
        <v>43794</v>
      </c>
      <c r="X1991" t="s">
        <v>47306</v>
      </c>
    </row>
    <row r="1992" spans="1:24">
      <c r="A1992">
        <f>HYPERLINK("https://www.philgeps.gov.ph/GEPSNONPILOT/Tender/SplashBidNoticeAbstractUI.aspx?menuIndex=3&amp;refID=7199841&amp;Result=3","7199841")</f>
        <v>0</v>
      </c>
      <c r="B1992" t="s">
        <v>906</v>
      </c>
      <c r="C1992" t="s">
        <v>5786</v>
      </c>
      <c r="D1992" t="s">
        <v>19013</v>
      </c>
      <c r="E1992" t="s">
        <v>20917</v>
      </c>
      <c r="F1992" t="s">
        <v>32606</v>
      </c>
      <c r="G1992" t="s">
        <v>32614</v>
      </c>
      <c r="H1992" t="s">
        <v>14201</v>
      </c>
      <c r="I1992" t="s">
        <v>6007</v>
      </c>
      <c r="J1992" t="s">
        <v>32973</v>
      </c>
      <c r="K1992" t="s">
        <v>42625</v>
      </c>
      <c r="M1992" t="s">
        <v>43844</v>
      </c>
      <c r="N1992" t="s">
        <v>47304</v>
      </c>
      <c r="O1992" t="s">
        <v>47305</v>
      </c>
      <c r="P1992">
        <v>0</v>
      </c>
      <c r="Q1992">
        <v>0</v>
      </c>
      <c r="R1992" t="s">
        <v>47307</v>
      </c>
      <c r="S1992" t="s">
        <v>47416</v>
      </c>
      <c r="T1992" t="s">
        <v>49023</v>
      </c>
      <c r="U1992" t="s">
        <v>51314</v>
      </c>
      <c r="W1992" t="s">
        <v>43844</v>
      </c>
      <c r="X1992" t="s">
        <v>47306</v>
      </c>
    </row>
    <row r="1993" spans="1:24">
      <c r="A1993">
        <f>HYPERLINK("https://www.philgeps.gov.ph/GEPSNONPILOT/Tender/SplashBidNoticeAbstractUI.aspx?menuIndex=3&amp;refID=7199687&amp;Result=3","7199687")</f>
        <v>0</v>
      </c>
      <c r="B1993" t="s">
        <v>912</v>
      </c>
      <c r="C1993" t="s">
        <v>5787</v>
      </c>
      <c r="D1993" t="s">
        <v>18999</v>
      </c>
      <c r="E1993" t="s">
        <v>20918</v>
      </c>
      <c r="F1993" t="s">
        <v>32606</v>
      </c>
      <c r="G1993" t="s">
        <v>32614</v>
      </c>
      <c r="H1993" t="s">
        <v>14201</v>
      </c>
      <c r="I1993" t="s">
        <v>4121</v>
      </c>
      <c r="J1993" t="s">
        <v>33671</v>
      </c>
      <c r="K1993" t="s">
        <v>42631</v>
      </c>
      <c r="M1993" t="s">
        <v>43851</v>
      </c>
      <c r="N1993" t="s">
        <v>47304</v>
      </c>
      <c r="O1993" t="s">
        <v>47305</v>
      </c>
      <c r="P1993">
        <v>0</v>
      </c>
      <c r="Q1993">
        <v>0</v>
      </c>
      <c r="R1993" t="s">
        <v>47307</v>
      </c>
      <c r="S1993" t="s">
        <v>47416</v>
      </c>
      <c r="T1993" t="s">
        <v>49018</v>
      </c>
      <c r="U1993" t="s">
        <v>51315</v>
      </c>
      <c r="W1993" t="s">
        <v>43851</v>
      </c>
      <c r="X1993" t="s">
        <v>47306</v>
      </c>
    </row>
    <row r="1994" spans="1:24">
      <c r="A1994">
        <f>HYPERLINK("https://www.philgeps.gov.ph/GEPSNONPILOT/Tender/SplashBidNoticeAbstractUI.aspx?menuIndex=3&amp;refID=7199837&amp;Result=3","7199837")</f>
        <v>0</v>
      </c>
      <c r="B1994" t="s">
        <v>913</v>
      </c>
      <c r="C1994" t="s">
        <v>5788</v>
      </c>
      <c r="D1994" t="s">
        <v>19046</v>
      </c>
      <c r="E1994" t="s">
        <v>20919</v>
      </c>
      <c r="F1994" t="s">
        <v>32606</v>
      </c>
      <c r="G1994" t="s">
        <v>32613</v>
      </c>
      <c r="H1994" t="s">
        <v>14201</v>
      </c>
      <c r="I1994" t="s">
        <v>6931</v>
      </c>
      <c r="J1994" t="s">
        <v>34217</v>
      </c>
      <c r="K1994" t="s">
        <v>42623</v>
      </c>
      <c r="M1994" t="s">
        <v>43852</v>
      </c>
      <c r="N1994" t="s">
        <v>47304</v>
      </c>
      <c r="O1994" t="s">
        <v>47305</v>
      </c>
      <c r="P1994">
        <v>0</v>
      </c>
      <c r="Q1994">
        <v>0</v>
      </c>
      <c r="R1994" t="s">
        <v>47307</v>
      </c>
      <c r="S1994" t="s">
        <v>47416</v>
      </c>
      <c r="T1994" t="s">
        <v>49094</v>
      </c>
      <c r="U1994" t="s">
        <v>51316</v>
      </c>
      <c r="W1994" t="s">
        <v>43852</v>
      </c>
      <c r="X1994" t="s">
        <v>47306</v>
      </c>
    </row>
    <row r="1995" spans="1:24">
      <c r="A1995">
        <f>HYPERLINK("https://www.philgeps.gov.ph/GEPSNONPILOT/Tender/SplashBidNoticeAbstractUI.aspx?menuIndex=3&amp;refID=7199835&amp;Result=3","7199835")</f>
        <v>0</v>
      </c>
      <c r="B1995" t="s">
        <v>700</v>
      </c>
      <c r="C1995" t="s">
        <v>5789</v>
      </c>
      <c r="D1995" t="s">
        <v>19054</v>
      </c>
      <c r="E1995" t="s">
        <v>20920</v>
      </c>
      <c r="F1995" t="s">
        <v>32606</v>
      </c>
      <c r="G1995" t="s">
        <v>32613</v>
      </c>
      <c r="H1995" t="s">
        <v>14201</v>
      </c>
      <c r="I1995" t="s">
        <v>32636</v>
      </c>
      <c r="J1995" t="s">
        <v>34218</v>
      </c>
      <c r="K1995" t="s">
        <v>42630</v>
      </c>
      <c r="M1995" t="s">
        <v>43853</v>
      </c>
      <c r="N1995" t="s">
        <v>47304</v>
      </c>
      <c r="O1995" t="s">
        <v>47305</v>
      </c>
      <c r="P1995">
        <v>0</v>
      </c>
      <c r="Q1995">
        <v>0</v>
      </c>
      <c r="R1995" t="s">
        <v>47307</v>
      </c>
      <c r="S1995" t="s">
        <v>47416</v>
      </c>
      <c r="T1995" t="s">
        <v>48996</v>
      </c>
      <c r="U1995" t="s">
        <v>51317</v>
      </c>
      <c r="W1995" t="s">
        <v>43853</v>
      </c>
      <c r="X1995" t="s">
        <v>47306</v>
      </c>
    </row>
    <row r="1996" spans="1:24">
      <c r="A1996">
        <f>HYPERLINK("https://www.philgeps.gov.ph/GEPSNONPILOT/Tender/SplashBidNoticeAbstractUI.aspx?menuIndex=3&amp;refID=7199833&amp;Result=3","7199833")</f>
        <v>0</v>
      </c>
      <c r="B1996" t="s">
        <v>238</v>
      </c>
      <c r="C1996" t="s">
        <v>5790</v>
      </c>
      <c r="D1996" t="s">
        <v>18993</v>
      </c>
      <c r="E1996" t="s">
        <v>20921</v>
      </c>
      <c r="F1996" t="s">
        <v>32606</v>
      </c>
      <c r="G1996" t="s">
        <v>32619</v>
      </c>
      <c r="H1996" t="s">
        <v>14201</v>
      </c>
      <c r="I1996" t="s">
        <v>32633</v>
      </c>
      <c r="J1996" t="s">
        <v>32824</v>
      </c>
      <c r="K1996" t="s">
        <v>42622</v>
      </c>
      <c r="M1996" t="s">
        <v>43794</v>
      </c>
      <c r="N1996" t="s">
        <v>47304</v>
      </c>
      <c r="O1996" t="s">
        <v>47305</v>
      </c>
      <c r="P1996">
        <v>0</v>
      </c>
      <c r="Q1996">
        <v>0</v>
      </c>
      <c r="R1996" t="s">
        <v>47307</v>
      </c>
      <c r="S1996" t="s">
        <v>47416</v>
      </c>
      <c r="T1996" t="s">
        <v>49014</v>
      </c>
      <c r="U1996" t="s">
        <v>51318</v>
      </c>
      <c r="V1996" t="s">
        <v>62844</v>
      </c>
      <c r="W1996" t="s">
        <v>43794</v>
      </c>
      <c r="X1996" t="s">
        <v>47306</v>
      </c>
    </row>
    <row r="1997" spans="1:24">
      <c r="A1997">
        <f>HYPERLINK("https://www.philgeps.gov.ph/GEPSNONPILOT/Tender/SplashBidNoticeAbstractUI.aspx?menuIndex=3&amp;refID=7199690&amp;Result=3","7199690")</f>
        <v>0</v>
      </c>
      <c r="B1997" t="s">
        <v>914</v>
      </c>
      <c r="C1997" t="s">
        <v>5791</v>
      </c>
      <c r="D1997" t="s">
        <v>18995</v>
      </c>
      <c r="E1997" t="s">
        <v>20922</v>
      </c>
      <c r="F1997" t="s">
        <v>32606</v>
      </c>
      <c r="G1997" t="s">
        <v>32613</v>
      </c>
      <c r="H1997" t="s">
        <v>32623</v>
      </c>
      <c r="I1997" t="s">
        <v>17648</v>
      </c>
      <c r="J1997" t="s">
        <v>32778</v>
      </c>
      <c r="K1997" t="s">
        <v>42693</v>
      </c>
      <c r="M1997" t="s">
        <v>43854</v>
      </c>
      <c r="N1997" t="s">
        <v>47304</v>
      </c>
      <c r="O1997" t="s">
        <v>47305</v>
      </c>
      <c r="P1997">
        <v>0</v>
      </c>
      <c r="Q1997">
        <v>0</v>
      </c>
      <c r="R1997" t="s">
        <v>47307</v>
      </c>
      <c r="S1997" t="s">
        <v>47416</v>
      </c>
      <c r="T1997" t="s">
        <v>49107</v>
      </c>
      <c r="U1997" t="s">
        <v>51319</v>
      </c>
      <c r="W1997" t="s">
        <v>43854</v>
      </c>
      <c r="X1997" t="s">
        <v>47306</v>
      </c>
    </row>
    <row r="1998" spans="1:24">
      <c r="A1998">
        <f>HYPERLINK("https://www.philgeps.gov.ph/GEPSNONPILOT/Tender/SplashBidNoticeAbstractUI.aspx?menuIndex=3&amp;refID=7199832&amp;Result=3","7199832")</f>
        <v>0</v>
      </c>
      <c r="B1998" t="s">
        <v>575</v>
      </c>
      <c r="C1998" t="s">
        <v>5709</v>
      </c>
      <c r="D1998" t="s">
        <v>19036</v>
      </c>
      <c r="E1998" t="s">
        <v>20923</v>
      </c>
      <c r="F1998" t="s">
        <v>32606</v>
      </c>
      <c r="G1998" t="s">
        <v>32614</v>
      </c>
      <c r="H1998" t="s">
        <v>14201</v>
      </c>
      <c r="I1998" t="s">
        <v>6993</v>
      </c>
      <c r="J1998" t="s">
        <v>34219</v>
      </c>
      <c r="K1998" t="s">
        <v>42624</v>
      </c>
      <c r="M1998" t="s">
        <v>43806</v>
      </c>
      <c r="N1998" t="s">
        <v>47304</v>
      </c>
      <c r="O1998" t="s">
        <v>47305</v>
      </c>
      <c r="P1998">
        <v>0</v>
      </c>
      <c r="Q1998">
        <v>0</v>
      </c>
      <c r="R1998" t="s">
        <v>47307</v>
      </c>
      <c r="S1998" t="s">
        <v>47416</v>
      </c>
      <c r="T1998" t="s">
        <v>49100</v>
      </c>
      <c r="U1998" t="s">
        <v>51320</v>
      </c>
      <c r="W1998" t="s">
        <v>43806</v>
      </c>
      <c r="X1998" t="s">
        <v>47306</v>
      </c>
    </row>
    <row r="1999" spans="1:24">
      <c r="A1999">
        <f>HYPERLINK("https://www.philgeps.gov.ph/GEPSNONPILOT/Tender/SplashBidNoticeAbstractUI.aspx?menuIndex=3&amp;refID=7199831&amp;Result=3","7199831")</f>
        <v>0</v>
      </c>
      <c r="B1999" t="s">
        <v>915</v>
      </c>
      <c r="C1999" t="s">
        <v>5792</v>
      </c>
      <c r="D1999" t="s">
        <v>18993</v>
      </c>
      <c r="E1999" t="s">
        <v>19120</v>
      </c>
      <c r="F1999" t="s">
        <v>32606</v>
      </c>
      <c r="G1999" t="s">
        <v>32613</v>
      </c>
      <c r="H1999" t="s">
        <v>14201</v>
      </c>
      <c r="I1999" t="s">
        <v>6478</v>
      </c>
      <c r="J1999" t="s">
        <v>32833</v>
      </c>
      <c r="K1999" t="s">
        <v>42622</v>
      </c>
      <c r="M1999" t="s">
        <v>43855</v>
      </c>
      <c r="N1999" t="s">
        <v>47304</v>
      </c>
      <c r="O1999" t="s">
        <v>47305</v>
      </c>
      <c r="P1999">
        <v>0</v>
      </c>
      <c r="Q1999">
        <v>0</v>
      </c>
      <c r="R1999" t="s">
        <v>47307</v>
      </c>
      <c r="S1999" t="s">
        <v>47416</v>
      </c>
      <c r="T1999" t="s">
        <v>49016</v>
      </c>
      <c r="U1999" t="s">
        <v>51321</v>
      </c>
      <c r="W1999" t="s">
        <v>43855</v>
      </c>
      <c r="X1999" t="s">
        <v>47306</v>
      </c>
    </row>
    <row r="2000" spans="1:24">
      <c r="A2000">
        <f>HYPERLINK("https://www.philgeps.gov.ph/GEPSNONPILOT/Tender/SplashBidNoticeAbstractUI.aspx?menuIndex=3&amp;refID=7199830&amp;Result=3","7199830")</f>
        <v>0</v>
      </c>
      <c r="B2000" t="s">
        <v>210</v>
      </c>
      <c r="C2000" t="s">
        <v>5793</v>
      </c>
      <c r="D2000" t="s">
        <v>18986</v>
      </c>
      <c r="E2000" t="s">
        <v>20924</v>
      </c>
      <c r="F2000" t="s">
        <v>32606</v>
      </c>
      <c r="G2000" t="s">
        <v>32613</v>
      </c>
      <c r="H2000" t="s">
        <v>14201</v>
      </c>
      <c r="I2000" t="s">
        <v>6931</v>
      </c>
      <c r="J2000" t="s">
        <v>34220</v>
      </c>
      <c r="K2000" t="s">
        <v>42623</v>
      </c>
      <c r="M2000" t="s">
        <v>43111</v>
      </c>
      <c r="N2000" t="s">
        <v>47304</v>
      </c>
      <c r="O2000" t="s">
        <v>47305</v>
      </c>
      <c r="P2000">
        <v>0</v>
      </c>
      <c r="Q2000">
        <v>0</v>
      </c>
      <c r="R2000" t="s">
        <v>47307</v>
      </c>
      <c r="S2000" t="s">
        <v>47416</v>
      </c>
      <c r="T2000" t="s">
        <v>48971</v>
      </c>
      <c r="U2000" t="s">
        <v>51322</v>
      </c>
      <c r="W2000" t="s">
        <v>43111</v>
      </c>
      <c r="X2000" t="s">
        <v>47306</v>
      </c>
    </row>
    <row r="2001" spans="1:24">
      <c r="A2001">
        <f>HYPERLINK("https://www.philgeps.gov.ph/GEPSNONPILOT/Tender/SplashBidNoticeAbstractUI.aspx?menuIndex=3&amp;refID=7199829&amp;Result=3","7199829")</f>
        <v>0</v>
      </c>
      <c r="B2001" t="s">
        <v>916</v>
      </c>
      <c r="C2001" t="s">
        <v>5794</v>
      </c>
      <c r="D2001" t="s">
        <v>19028</v>
      </c>
      <c r="E2001" t="s">
        <v>20925</v>
      </c>
      <c r="F2001" t="s">
        <v>32606</v>
      </c>
      <c r="G2001" t="s">
        <v>32614</v>
      </c>
      <c r="H2001" t="s">
        <v>14201</v>
      </c>
      <c r="I2001" t="s">
        <v>7233</v>
      </c>
      <c r="J2001" t="s">
        <v>34221</v>
      </c>
      <c r="K2001" t="s">
        <v>42624</v>
      </c>
      <c r="M2001" t="s">
        <v>43856</v>
      </c>
      <c r="N2001" t="s">
        <v>47304</v>
      </c>
      <c r="O2001" t="s">
        <v>47305</v>
      </c>
      <c r="P2001">
        <v>0</v>
      </c>
      <c r="Q2001">
        <v>0</v>
      </c>
      <c r="R2001" t="s">
        <v>47307</v>
      </c>
      <c r="S2001" t="s">
        <v>47416</v>
      </c>
      <c r="T2001" t="s">
        <v>49017</v>
      </c>
      <c r="U2001" t="s">
        <v>51323</v>
      </c>
      <c r="W2001" t="s">
        <v>43856</v>
      </c>
      <c r="X2001" t="s">
        <v>47306</v>
      </c>
    </row>
    <row r="2002" spans="1:24">
      <c r="A2002">
        <f>HYPERLINK("https://www.philgeps.gov.ph/GEPSNONPILOT/Tender/SplashBidNoticeAbstractUI.aspx?menuIndex=3&amp;refID=7199840&amp;Result=3","7199840")</f>
        <v>0</v>
      </c>
      <c r="B2002" t="s">
        <v>238</v>
      </c>
      <c r="C2002" t="s">
        <v>5795</v>
      </c>
      <c r="D2002" t="s">
        <v>18993</v>
      </c>
      <c r="E2002" t="s">
        <v>20926</v>
      </c>
      <c r="F2002" t="s">
        <v>32606</v>
      </c>
      <c r="G2002" t="s">
        <v>32619</v>
      </c>
      <c r="H2002" t="s">
        <v>14201</v>
      </c>
      <c r="I2002" t="s">
        <v>32633</v>
      </c>
      <c r="J2002" t="s">
        <v>34222</v>
      </c>
      <c r="K2002" t="s">
        <v>42622</v>
      </c>
      <c r="M2002" t="s">
        <v>43139</v>
      </c>
      <c r="N2002" t="s">
        <v>47304</v>
      </c>
      <c r="O2002" t="s">
        <v>47305</v>
      </c>
      <c r="P2002">
        <v>0</v>
      </c>
      <c r="Q2002">
        <v>0</v>
      </c>
      <c r="R2002" t="s">
        <v>47307</v>
      </c>
      <c r="S2002" t="s">
        <v>47416</v>
      </c>
      <c r="T2002" t="s">
        <v>49123</v>
      </c>
      <c r="U2002" t="s">
        <v>51324</v>
      </c>
      <c r="V2002" t="s">
        <v>62703</v>
      </c>
      <c r="W2002" t="s">
        <v>43139</v>
      </c>
      <c r="X2002" t="s">
        <v>47306</v>
      </c>
    </row>
    <row r="2003" spans="1:24">
      <c r="A2003">
        <f>HYPERLINK("https://www.philgeps.gov.ph/GEPSNONPILOT/Tender/SplashBidNoticeAbstractUI.aspx?menuIndex=3&amp;refID=7199710&amp;Result=3","7199710")</f>
        <v>0</v>
      </c>
      <c r="B2003" t="s">
        <v>745</v>
      </c>
      <c r="C2003" t="s">
        <v>5796</v>
      </c>
      <c r="D2003" t="s">
        <v>19043</v>
      </c>
      <c r="E2003" t="s">
        <v>20927</v>
      </c>
      <c r="F2003" t="s">
        <v>32606</v>
      </c>
      <c r="G2003" t="s">
        <v>32615</v>
      </c>
      <c r="H2003" t="s">
        <v>14201</v>
      </c>
      <c r="I2003" t="s">
        <v>4114</v>
      </c>
      <c r="J2003" t="s">
        <v>33526</v>
      </c>
      <c r="K2003" t="s">
        <v>42622</v>
      </c>
      <c r="M2003" t="s">
        <v>43668</v>
      </c>
      <c r="N2003" t="s">
        <v>47304</v>
      </c>
      <c r="O2003" t="s">
        <v>47305</v>
      </c>
      <c r="P2003">
        <v>0</v>
      </c>
      <c r="Q2003">
        <v>0</v>
      </c>
      <c r="R2003" t="s">
        <v>47307</v>
      </c>
      <c r="S2003" t="s">
        <v>47416</v>
      </c>
      <c r="T2003" t="s">
        <v>49180</v>
      </c>
      <c r="U2003" t="s">
        <v>51325</v>
      </c>
      <c r="W2003" t="s">
        <v>43668</v>
      </c>
      <c r="X2003" t="s">
        <v>47306</v>
      </c>
    </row>
    <row r="2004" spans="1:24">
      <c r="A2004">
        <f>HYPERLINK("https://www.philgeps.gov.ph/GEPSNONPILOT/Tender/SplashBidNoticeAbstractUI.aspx?menuIndex=3&amp;refID=7199825&amp;Result=3","7199825")</f>
        <v>0</v>
      </c>
      <c r="B2004" t="s">
        <v>917</v>
      </c>
      <c r="C2004" t="s">
        <v>5797</v>
      </c>
      <c r="D2004" t="s">
        <v>19063</v>
      </c>
      <c r="E2004" t="s">
        <v>20928</v>
      </c>
      <c r="F2004" t="s">
        <v>32606</v>
      </c>
      <c r="G2004" t="s">
        <v>32614</v>
      </c>
      <c r="H2004" t="s">
        <v>14201</v>
      </c>
      <c r="I2004" t="s">
        <v>32706</v>
      </c>
      <c r="J2004" t="s">
        <v>34223</v>
      </c>
      <c r="K2004" t="s">
        <v>42622</v>
      </c>
      <c r="M2004" t="s">
        <v>43857</v>
      </c>
      <c r="N2004" t="s">
        <v>47304</v>
      </c>
      <c r="O2004" t="s">
        <v>47305</v>
      </c>
      <c r="P2004">
        <v>0</v>
      </c>
      <c r="Q2004">
        <v>0</v>
      </c>
      <c r="R2004" t="s">
        <v>47307</v>
      </c>
      <c r="S2004" t="s">
        <v>47416</v>
      </c>
      <c r="T2004" t="s">
        <v>48976</v>
      </c>
      <c r="U2004" t="s">
        <v>51326</v>
      </c>
      <c r="W2004" t="s">
        <v>43857</v>
      </c>
      <c r="X2004" t="s">
        <v>47306</v>
      </c>
    </row>
    <row r="2005" spans="1:24">
      <c r="A2005">
        <f>HYPERLINK("https://www.philgeps.gov.ph/GEPSNONPILOT/Tender/SplashBidNoticeAbstractUI.aspx?menuIndex=3&amp;refID=7199836&amp;Result=3","7199836")</f>
        <v>0</v>
      </c>
      <c r="B2005" t="s">
        <v>893</v>
      </c>
      <c r="C2005" t="s">
        <v>5798</v>
      </c>
      <c r="D2005" t="s">
        <v>19002</v>
      </c>
      <c r="E2005" t="s">
        <v>20929</v>
      </c>
      <c r="F2005" t="s">
        <v>32606</v>
      </c>
      <c r="G2005" t="s">
        <v>32619</v>
      </c>
      <c r="H2005" t="s">
        <v>14201</v>
      </c>
      <c r="I2005" t="s">
        <v>6007</v>
      </c>
      <c r="J2005" t="s">
        <v>32868</v>
      </c>
      <c r="K2005" t="s">
        <v>42631</v>
      </c>
      <c r="M2005" t="s">
        <v>43829</v>
      </c>
      <c r="N2005" t="s">
        <v>47304</v>
      </c>
      <c r="O2005" t="s">
        <v>47305</v>
      </c>
      <c r="P2005">
        <v>0</v>
      </c>
      <c r="Q2005">
        <v>0</v>
      </c>
      <c r="R2005" t="s">
        <v>47307</v>
      </c>
      <c r="S2005" t="s">
        <v>47416</v>
      </c>
      <c r="T2005" t="s">
        <v>49023</v>
      </c>
      <c r="U2005" t="s">
        <v>51257</v>
      </c>
      <c r="W2005" t="s">
        <v>43829</v>
      </c>
      <c r="X2005" t="s">
        <v>47306</v>
      </c>
    </row>
    <row r="2006" spans="1:24">
      <c r="A2006">
        <f>HYPERLINK("https://www.philgeps.gov.ph/GEPSNONPILOT/Tender/SplashBidNoticeAbstractUI.aspx?menuIndex=3&amp;refID=7199824&amp;Result=3","7199824")</f>
        <v>0</v>
      </c>
      <c r="B2006" t="s">
        <v>888</v>
      </c>
      <c r="C2006" t="s">
        <v>5799</v>
      </c>
      <c r="D2006" t="s">
        <v>19025</v>
      </c>
      <c r="E2006" t="s">
        <v>20930</v>
      </c>
      <c r="F2006" t="s">
        <v>32606</v>
      </c>
      <c r="G2006" t="s">
        <v>32613</v>
      </c>
      <c r="H2006" t="s">
        <v>14201</v>
      </c>
      <c r="I2006" t="s">
        <v>32644</v>
      </c>
      <c r="J2006" t="s">
        <v>32778</v>
      </c>
      <c r="K2006" t="s">
        <v>42623</v>
      </c>
      <c r="M2006" t="s">
        <v>43824</v>
      </c>
      <c r="N2006" t="s">
        <v>47304</v>
      </c>
      <c r="O2006" t="s">
        <v>47305</v>
      </c>
      <c r="P2006">
        <v>0</v>
      </c>
      <c r="Q2006">
        <v>0</v>
      </c>
      <c r="R2006" t="s">
        <v>47307</v>
      </c>
      <c r="S2006" t="s">
        <v>47416</v>
      </c>
      <c r="T2006" t="s">
        <v>48996</v>
      </c>
      <c r="U2006" t="s">
        <v>51327</v>
      </c>
      <c r="V2006" t="s">
        <v>62862</v>
      </c>
      <c r="W2006" t="s">
        <v>43824</v>
      </c>
      <c r="X2006" t="s">
        <v>47306</v>
      </c>
    </row>
    <row r="2007" spans="1:24">
      <c r="A2007">
        <f>HYPERLINK("https://www.philgeps.gov.ph/GEPSNONPILOT/Tender/SplashBidNoticeAbstractUI.aspx?menuIndex=3&amp;refID=7199870&amp;Result=3","7199870")</f>
        <v>0</v>
      </c>
      <c r="B2007" t="s">
        <v>918</v>
      </c>
      <c r="C2007" t="s">
        <v>5800</v>
      </c>
      <c r="D2007" t="s">
        <v>18993</v>
      </c>
      <c r="E2007" t="s">
        <v>19310</v>
      </c>
      <c r="F2007" t="s">
        <v>32606</v>
      </c>
      <c r="G2007" t="s">
        <v>32613</v>
      </c>
      <c r="H2007" t="s">
        <v>14201</v>
      </c>
      <c r="I2007" t="s">
        <v>4115</v>
      </c>
      <c r="J2007" t="s">
        <v>34224</v>
      </c>
      <c r="K2007" t="s">
        <v>42630</v>
      </c>
      <c r="M2007" t="s">
        <v>43858</v>
      </c>
      <c r="N2007" t="s">
        <v>47304</v>
      </c>
      <c r="O2007" t="s">
        <v>47305</v>
      </c>
      <c r="P2007">
        <v>0</v>
      </c>
      <c r="Q2007">
        <v>0</v>
      </c>
      <c r="R2007" t="s">
        <v>47307</v>
      </c>
      <c r="S2007" t="s">
        <v>47416</v>
      </c>
      <c r="T2007" t="s">
        <v>49066</v>
      </c>
      <c r="U2007" t="s">
        <v>51328</v>
      </c>
      <c r="W2007" t="s">
        <v>43858</v>
      </c>
      <c r="X2007" t="s">
        <v>47306</v>
      </c>
    </row>
    <row r="2008" spans="1:24">
      <c r="A2008">
        <f>HYPERLINK("https://www.philgeps.gov.ph/GEPSNONPILOT/Tender/SplashBidNoticeAbstractUI.aspx?menuIndex=3&amp;refID=7199827&amp;Result=3","7199827")</f>
        <v>0</v>
      </c>
      <c r="B2008" t="s">
        <v>376</v>
      </c>
      <c r="C2008" t="s">
        <v>5801</v>
      </c>
      <c r="D2008" t="s">
        <v>19039</v>
      </c>
      <c r="E2008" t="s">
        <v>20931</v>
      </c>
      <c r="F2008" t="s">
        <v>32606</v>
      </c>
      <c r="G2008" t="s">
        <v>32614</v>
      </c>
      <c r="H2008" t="s">
        <v>14201</v>
      </c>
      <c r="I2008" t="s">
        <v>6931</v>
      </c>
      <c r="J2008" t="s">
        <v>34225</v>
      </c>
      <c r="K2008" t="s">
        <v>42630</v>
      </c>
      <c r="M2008" t="s">
        <v>43278</v>
      </c>
      <c r="N2008" t="s">
        <v>47304</v>
      </c>
      <c r="O2008" t="s">
        <v>47305</v>
      </c>
      <c r="P2008">
        <v>0</v>
      </c>
      <c r="Q2008">
        <v>0</v>
      </c>
      <c r="R2008" t="s">
        <v>47307</v>
      </c>
      <c r="S2008" t="s">
        <v>47416</v>
      </c>
      <c r="T2008" t="s">
        <v>48987</v>
      </c>
      <c r="U2008" t="s">
        <v>51329</v>
      </c>
      <c r="W2008" t="s">
        <v>43278</v>
      </c>
      <c r="X2008" t="s">
        <v>47306</v>
      </c>
    </row>
    <row r="2009" spans="1:24">
      <c r="A2009">
        <f>HYPERLINK("https://www.philgeps.gov.ph/GEPSNONPILOT/Tender/SplashBidNoticeAbstractUI.aspx?menuIndex=3&amp;refID=7199681&amp;Result=3","7199681")</f>
        <v>0</v>
      </c>
      <c r="B2009" t="s">
        <v>371</v>
      </c>
      <c r="C2009" t="s">
        <v>5802</v>
      </c>
      <c r="D2009" t="s">
        <v>18997</v>
      </c>
      <c r="E2009" t="s">
        <v>20932</v>
      </c>
      <c r="F2009" t="s">
        <v>32606</v>
      </c>
      <c r="G2009" t="s">
        <v>32613</v>
      </c>
      <c r="H2009" t="s">
        <v>14201</v>
      </c>
      <c r="I2009" t="s">
        <v>32626</v>
      </c>
      <c r="J2009" t="s">
        <v>34226</v>
      </c>
      <c r="K2009" t="s">
        <v>42627</v>
      </c>
      <c r="M2009" t="s">
        <v>43273</v>
      </c>
      <c r="N2009" t="s">
        <v>47304</v>
      </c>
      <c r="O2009" t="s">
        <v>47305</v>
      </c>
      <c r="P2009">
        <v>0</v>
      </c>
      <c r="Q2009">
        <v>0</v>
      </c>
      <c r="R2009" t="s">
        <v>47307</v>
      </c>
      <c r="S2009" t="s">
        <v>47416</v>
      </c>
      <c r="T2009" t="s">
        <v>49017</v>
      </c>
      <c r="U2009" t="s">
        <v>51330</v>
      </c>
      <c r="W2009" t="s">
        <v>43273</v>
      </c>
      <c r="X2009" t="s">
        <v>47306</v>
      </c>
    </row>
    <row r="2010" spans="1:24">
      <c r="A2010">
        <f>HYPERLINK("https://www.philgeps.gov.ph/GEPSNONPILOT/Tender/SplashBidNoticeAbstractUI.aspx?menuIndex=3&amp;refID=7199842&amp;Result=3","7199842")</f>
        <v>0</v>
      </c>
      <c r="B2010" t="s">
        <v>919</v>
      </c>
      <c r="C2010" t="s">
        <v>5803</v>
      </c>
      <c r="D2010" t="s">
        <v>19011</v>
      </c>
      <c r="E2010" t="s">
        <v>20933</v>
      </c>
      <c r="F2010" t="s">
        <v>32606</v>
      </c>
      <c r="G2010" t="s">
        <v>32617</v>
      </c>
      <c r="H2010" t="s">
        <v>14201</v>
      </c>
      <c r="I2010" t="s">
        <v>32686</v>
      </c>
      <c r="J2010" t="s">
        <v>32781</v>
      </c>
      <c r="K2010" t="s">
        <v>42631</v>
      </c>
      <c r="M2010" t="s">
        <v>43859</v>
      </c>
      <c r="N2010" t="s">
        <v>47304</v>
      </c>
      <c r="O2010" t="s">
        <v>47305</v>
      </c>
      <c r="P2010">
        <v>0</v>
      </c>
      <c r="Q2010">
        <v>0</v>
      </c>
      <c r="R2010" t="s">
        <v>47307</v>
      </c>
      <c r="S2010" t="s">
        <v>47416</v>
      </c>
      <c r="T2010" t="s">
        <v>49108</v>
      </c>
      <c r="U2010" t="s">
        <v>51331</v>
      </c>
      <c r="V2010" t="s">
        <v>62863</v>
      </c>
      <c r="W2010" t="s">
        <v>43859</v>
      </c>
      <c r="X2010" t="s">
        <v>47306</v>
      </c>
    </row>
    <row r="2011" spans="1:24">
      <c r="A2011">
        <f>HYPERLINK("https://www.philgeps.gov.ph/GEPSNONPILOT/Tender/SplashBidNoticeAbstractUI.aspx?menuIndex=3&amp;refID=7199865&amp;Result=3","7199865")</f>
        <v>0</v>
      </c>
      <c r="B2011" t="s">
        <v>238</v>
      </c>
      <c r="C2011" t="s">
        <v>5790</v>
      </c>
      <c r="D2011" t="s">
        <v>18993</v>
      </c>
      <c r="E2011" t="s">
        <v>20934</v>
      </c>
      <c r="F2011" t="s">
        <v>32606</v>
      </c>
      <c r="G2011" t="s">
        <v>32619</v>
      </c>
      <c r="H2011" t="s">
        <v>14201</v>
      </c>
      <c r="I2011" t="s">
        <v>32633</v>
      </c>
      <c r="J2011" t="s">
        <v>33123</v>
      </c>
      <c r="K2011" t="s">
        <v>42622</v>
      </c>
      <c r="M2011" t="s">
        <v>43794</v>
      </c>
      <c r="N2011" t="s">
        <v>47304</v>
      </c>
      <c r="O2011" t="s">
        <v>47305</v>
      </c>
      <c r="P2011">
        <v>0</v>
      </c>
      <c r="Q2011">
        <v>0</v>
      </c>
      <c r="R2011" t="s">
        <v>47307</v>
      </c>
      <c r="S2011" t="s">
        <v>47416</v>
      </c>
      <c r="T2011" t="s">
        <v>49014</v>
      </c>
      <c r="U2011" t="s">
        <v>51332</v>
      </c>
      <c r="V2011" t="s">
        <v>62844</v>
      </c>
      <c r="W2011" t="s">
        <v>43794</v>
      </c>
      <c r="X2011" t="s">
        <v>47306</v>
      </c>
    </row>
    <row r="2012" spans="1:24">
      <c r="A2012">
        <f>HYPERLINK("https://www.philgeps.gov.ph/GEPSNONPILOT/Tender/SplashBidNoticeAbstractUI.aspx?menuIndex=3&amp;refID=7199864&amp;Result=3","7199864")</f>
        <v>0</v>
      </c>
      <c r="B2012" t="s">
        <v>893</v>
      </c>
      <c r="C2012" t="s">
        <v>5804</v>
      </c>
      <c r="D2012" t="s">
        <v>19002</v>
      </c>
      <c r="E2012" t="s">
        <v>20935</v>
      </c>
      <c r="F2012" t="s">
        <v>32606</v>
      </c>
      <c r="G2012" t="s">
        <v>32619</v>
      </c>
      <c r="H2012" t="s">
        <v>14201</v>
      </c>
      <c r="I2012" t="s">
        <v>6931</v>
      </c>
      <c r="J2012" t="s">
        <v>34227</v>
      </c>
      <c r="K2012" t="s">
        <v>42631</v>
      </c>
      <c r="M2012" t="s">
        <v>43829</v>
      </c>
      <c r="N2012" t="s">
        <v>47304</v>
      </c>
      <c r="O2012" t="s">
        <v>47305</v>
      </c>
      <c r="P2012">
        <v>0</v>
      </c>
      <c r="Q2012">
        <v>0</v>
      </c>
      <c r="R2012" t="s">
        <v>47307</v>
      </c>
      <c r="S2012" t="s">
        <v>47416</v>
      </c>
      <c r="T2012" t="s">
        <v>48986</v>
      </c>
      <c r="U2012" t="s">
        <v>51257</v>
      </c>
      <c r="W2012" t="s">
        <v>43829</v>
      </c>
      <c r="X2012" t="s">
        <v>47306</v>
      </c>
    </row>
    <row r="2013" spans="1:24">
      <c r="A2013">
        <f>HYPERLINK("https://www.philgeps.gov.ph/GEPSNONPILOT/Tender/SplashBidNoticeAbstractUI.aspx?menuIndex=3&amp;refID=7199863&amp;Result=3","7199863")</f>
        <v>0</v>
      </c>
      <c r="B2013" t="s">
        <v>920</v>
      </c>
      <c r="C2013" t="s">
        <v>5805</v>
      </c>
      <c r="D2013" t="s">
        <v>18993</v>
      </c>
      <c r="E2013" t="s">
        <v>20936</v>
      </c>
      <c r="F2013" t="s">
        <v>32606</v>
      </c>
      <c r="G2013" t="s">
        <v>32614</v>
      </c>
      <c r="H2013" t="s">
        <v>32623</v>
      </c>
      <c r="I2013" t="s">
        <v>32661</v>
      </c>
      <c r="J2013" t="s">
        <v>33158</v>
      </c>
      <c r="K2013" t="s">
        <v>42631</v>
      </c>
      <c r="M2013" t="s">
        <v>43860</v>
      </c>
      <c r="N2013" t="s">
        <v>47304</v>
      </c>
      <c r="O2013" t="s">
        <v>47305</v>
      </c>
      <c r="P2013">
        <v>0</v>
      </c>
      <c r="Q2013">
        <v>0</v>
      </c>
      <c r="R2013" t="s">
        <v>47307</v>
      </c>
      <c r="S2013" t="s">
        <v>47416</v>
      </c>
      <c r="T2013" t="s">
        <v>49087</v>
      </c>
      <c r="U2013" t="s">
        <v>51333</v>
      </c>
      <c r="W2013" t="s">
        <v>43860</v>
      </c>
      <c r="X2013" t="s">
        <v>47306</v>
      </c>
    </row>
    <row r="2014" spans="1:24">
      <c r="A2014">
        <f>HYPERLINK("https://www.philgeps.gov.ph/GEPSNONPILOT/Tender/SplashBidNoticeAbstractUI.aspx?menuIndex=3&amp;refID=7199862&amp;Result=3","7199862")</f>
        <v>0</v>
      </c>
      <c r="B2014" t="s">
        <v>921</v>
      </c>
      <c r="C2014" t="s">
        <v>5806</v>
      </c>
      <c r="D2014" t="s">
        <v>19008</v>
      </c>
      <c r="E2014" t="s">
        <v>20937</v>
      </c>
      <c r="F2014" t="s">
        <v>32606</v>
      </c>
      <c r="G2014" t="s">
        <v>32613</v>
      </c>
      <c r="H2014" t="s">
        <v>14201</v>
      </c>
      <c r="I2014" t="s">
        <v>32629</v>
      </c>
      <c r="J2014" t="s">
        <v>34228</v>
      </c>
      <c r="K2014" t="s">
        <v>42623</v>
      </c>
      <c r="M2014" t="s">
        <v>43861</v>
      </c>
      <c r="N2014" t="s">
        <v>47304</v>
      </c>
      <c r="O2014" t="s">
        <v>47305</v>
      </c>
      <c r="P2014">
        <v>0</v>
      </c>
      <c r="Q2014">
        <v>0</v>
      </c>
      <c r="R2014" t="s">
        <v>47307</v>
      </c>
      <c r="S2014" t="s">
        <v>47416</v>
      </c>
      <c r="T2014" t="s">
        <v>48996</v>
      </c>
      <c r="U2014" t="s">
        <v>51334</v>
      </c>
      <c r="W2014" t="s">
        <v>43861</v>
      </c>
      <c r="X2014" t="s">
        <v>47306</v>
      </c>
    </row>
    <row r="2015" spans="1:24">
      <c r="A2015">
        <f>HYPERLINK("https://www.philgeps.gov.ph/GEPSNONPILOT/Tender/SplashBidNoticeAbstractUI.aspx?menuIndex=3&amp;refID=7199861&amp;Result=3","7199861")</f>
        <v>0</v>
      </c>
      <c r="B2015" t="s">
        <v>922</v>
      </c>
      <c r="C2015" t="s">
        <v>5807</v>
      </c>
      <c r="D2015" t="s">
        <v>19023</v>
      </c>
      <c r="E2015" t="s">
        <v>20938</v>
      </c>
      <c r="F2015" t="s">
        <v>32606</v>
      </c>
      <c r="G2015" t="s">
        <v>32619</v>
      </c>
      <c r="H2015" t="s">
        <v>14201</v>
      </c>
      <c r="I2015" t="s">
        <v>6931</v>
      </c>
      <c r="J2015" t="s">
        <v>33965</v>
      </c>
      <c r="K2015" t="s">
        <v>42623</v>
      </c>
      <c r="M2015" t="s">
        <v>43862</v>
      </c>
      <c r="N2015" t="s">
        <v>47304</v>
      </c>
      <c r="O2015" t="s">
        <v>47305</v>
      </c>
      <c r="P2015">
        <v>0</v>
      </c>
      <c r="Q2015">
        <v>0</v>
      </c>
      <c r="R2015" t="s">
        <v>47307</v>
      </c>
      <c r="S2015" t="s">
        <v>47416</v>
      </c>
      <c r="T2015" t="s">
        <v>49004</v>
      </c>
      <c r="U2015" t="s">
        <v>51335</v>
      </c>
      <c r="W2015" t="s">
        <v>43862</v>
      </c>
      <c r="X2015" t="s">
        <v>47306</v>
      </c>
    </row>
    <row r="2016" spans="1:24">
      <c r="A2016">
        <f>HYPERLINK("https://www.philgeps.gov.ph/GEPSNONPILOT/Tender/SplashBidNoticeAbstractUI.aspx?menuIndex=3&amp;refID=7199860&amp;Result=3","7199860")</f>
        <v>0</v>
      </c>
      <c r="B2016" t="s">
        <v>649</v>
      </c>
      <c r="C2016" t="s">
        <v>5808</v>
      </c>
      <c r="D2016" t="s">
        <v>19033</v>
      </c>
      <c r="E2016" t="s">
        <v>20939</v>
      </c>
      <c r="F2016" t="s">
        <v>32606</v>
      </c>
      <c r="G2016" t="s">
        <v>32613</v>
      </c>
      <c r="H2016" t="s">
        <v>14201</v>
      </c>
      <c r="I2016" t="s">
        <v>6931</v>
      </c>
      <c r="J2016" t="s">
        <v>34229</v>
      </c>
      <c r="K2016" t="s">
        <v>42624</v>
      </c>
      <c r="M2016" t="s">
        <v>43568</v>
      </c>
      <c r="N2016" t="s">
        <v>47304</v>
      </c>
      <c r="O2016" t="s">
        <v>47305</v>
      </c>
      <c r="P2016">
        <v>0</v>
      </c>
      <c r="Q2016">
        <v>0</v>
      </c>
      <c r="R2016" t="s">
        <v>47307</v>
      </c>
      <c r="S2016" t="s">
        <v>47416</v>
      </c>
      <c r="T2016" t="s">
        <v>49097</v>
      </c>
      <c r="U2016" t="s">
        <v>51336</v>
      </c>
      <c r="W2016" t="s">
        <v>43568</v>
      </c>
      <c r="X2016" t="s">
        <v>47306</v>
      </c>
    </row>
    <row r="2017" spans="1:24">
      <c r="A2017">
        <f>HYPERLINK("https://www.philgeps.gov.ph/GEPSNONPILOT/Tender/SplashBidNoticeAbstractUI.aspx?menuIndex=3&amp;refID=7199859&amp;Result=3","7199859")</f>
        <v>0</v>
      </c>
      <c r="B2017" t="s">
        <v>853</v>
      </c>
      <c r="C2017" t="s">
        <v>5809</v>
      </c>
      <c r="D2017" t="s">
        <v>19054</v>
      </c>
      <c r="E2017" t="s">
        <v>20940</v>
      </c>
      <c r="F2017" t="s">
        <v>32606</v>
      </c>
      <c r="G2017" t="s">
        <v>32614</v>
      </c>
      <c r="H2017" t="s">
        <v>14201</v>
      </c>
      <c r="I2017" t="s">
        <v>6931</v>
      </c>
      <c r="J2017" t="s">
        <v>33221</v>
      </c>
      <c r="K2017" t="s">
        <v>42632</v>
      </c>
      <c r="M2017" t="s">
        <v>43786</v>
      </c>
      <c r="N2017" t="s">
        <v>47304</v>
      </c>
      <c r="O2017" t="s">
        <v>47305</v>
      </c>
      <c r="P2017">
        <v>0</v>
      </c>
      <c r="Q2017">
        <v>0</v>
      </c>
      <c r="R2017" t="s">
        <v>47307</v>
      </c>
      <c r="S2017" t="s">
        <v>47416</v>
      </c>
      <c r="T2017" t="s">
        <v>48986</v>
      </c>
      <c r="U2017" t="s">
        <v>51337</v>
      </c>
      <c r="W2017" t="s">
        <v>43786</v>
      </c>
      <c r="X2017" t="s">
        <v>47306</v>
      </c>
    </row>
    <row r="2018" spans="1:24">
      <c r="A2018">
        <f>HYPERLINK("https://www.philgeps.gov.ph/GEPSNONPILOT/Tender/SplashBidNoticeAbstractUI.aspx?menuIndex=3&amp;refID=7199867&amp;Result=3","7199867")</f>
        <v>0</v>
      </c>
      <c r="B2018" t="s">
        <v>806</v>
      </c>
      <c r="C2018" t="s">
        <v>5810</v>
      </c>
      <c r="D2018" t="s">
        <v>19033</v>
      </c>
      <c r="E2018" t="s">
        <v>20941</v>
      </c>
      <c r="F2018" t="s">
        <v>32606</v>
      </c>
      <c r="G2018" t="s">
        <v>32613</v>
      </c>
      <c r="H2018" t="s">
        <v>32623</v>
      </c>
      <c r="I2018" t="s">
        <v>17648</v>
      </c>
      <c r="J2018" t="s">
        <v>32772</v>
      </c>
      <c r="K2018" t="s">
        <v>42648</v>
      </c>
      <c r="M2018" t="s">
        <v>43737</v>
      </c>
      <c r="N2018" t="s">
        <v>47304</v>
      </c>
      <c r="O2018" t="s">
        <v>47305</v>
      </c>
      <c r="P2018">
        <v>0</v>
      </c>
      <c r="Q2018">
        <v>0</v>
      </c>
      <c r="R2018" t="s">
        <v>47307</v>
      </c>
      <c r="S2018" t="s">
        <v>47416</v>
      </c>
      <c r="T2018" t="s">
        <v>48983</v>
      </c>
      <c r="U2018" t="s">
        <v>51338</v>
      </c>
      <c r="W2018" t="s">
        <v>43737</v>
      </c>
      <c r="X2018" t="s">
        <v>47306</v>
      </c>
    </row>
    <row r="2019" spans="1:24">
      <c r="A2019">
        <f>HYPERLINK("https://www.philgeps.gov.ph/GEPSNONPILOT/Tender/SplashBidNoticeAbstractUI.aspx?menuIndex=3&amp;refID=7199858&amp;Result=3","7199858")</f>
        <v>0</v>
      </c>
      <c r="B2019" t="s">
        <v>923</v>
      </c>
      <c r="C2019" t="s">
        <v>5811</v>
      </c>
      <c r="D2019" t="s">
        <v>19040</v>
      </c>
      <c r="E2019" t="s">
        <v>20942</v>
      </c>
      <c r="F2019" t="s">
        <v>32606</v>
      </c>
      <c r="G2019" t="s">
        <v>32613</v>
      </c>
      <c r="H2019" t="s">
        <v>14201</v>
      </c>
      <c r="I2019" t="s">
        <v>32626</v>
      </c>
      <c r="J2019" t="s">
        <v>34230</v>
      </c>
      <c r="K2019" t="s">
        <v>42631</v>
      </c>
      <c r="M2019" t="s">
        <v>43863</v>
      </c>
      <c r="N2019" t="s">
        <v>47304</v>
      </c>
      <c r="O2019" t="s">
        <v>47305</v>
      </c>
      <c r="P2019">
        <v>0</v>
      </c>
      <c r="Q2019">
        <v>0</v>
      </c>
      <c r="R2019" t="s">
        <v>47307</v>
      </c>
      <c r="S2019" t="s">
        <v>47416</v>
      </c>
      <c r="T2019" t="s">
        <v>49189</v>
      </c>
      <c r="U2019" t="s">
        <v>51339</v>
      </c>
      <c r="W2019" t="s">
        <v>43863</v>
      </c>
      <c r="X2019" t="s">
        <v>47306</v>
      </c>
    </row>
    <row r="2020" spans="1:24">
      <c r="A2020">
        <f>HYPERLINK("https://www.philgeps.gov.ph/GEPSNONPILOT/Tender/SplashBidNoticeAbstractUI.aspx?menuIndex=3&amp;refID=7199855&amp;Result=3","7199855")</f>
        <v>0</v>
      </c>
      <c r="B2020" t="s">
        <v>924</v>
      </c>
      <c r="C2020" t="s">
        <v>5812</v>
      </c>
      <c r="D2020" t="s">
        <v>18994</v>
      </c>
      <c r="E2020" t="s">
        <v>20943</v>
      </c>
      <c r="F2020" t="s">
        <v>32606</v>
      </c>
      <c r="G2020" t="s">
        <v>32613</v>
      </c>
      <c r="H2020" t="s">
        <v>14201</v>
      </c>
      <c r="I2020" t="s">
        <v>6931</v>
      </c>
      <c r="J2020" t="s">
        <v>34231</v>
      </c>
      <c r="K2020" t="s">
        <v>42677</v>
      </c>
      <c r="M2020" t="s">
        <v>43864</v>
      </c>
      <c r="N2020" t="s">
        <v>47304</v>
      </c>
      <c r="O2020" t="s">
        <v>47305</v>
      </c>
      <c r="P2020">
        <v>0</v>
      </c>
      <c r="Q2020">
        <v>0</v>
      </c>
      <c r="R2020" t="s">
        <v>47307</v>
      </c>
      <c r="S2020" t="s">
        <v>47416</v>
      </c>
      <c r="T2020" t="s">
        <v>49081</v>
      </c>
      <c r="U2020" t="s">
        <v>51340</v>
      </c>
      <c r="W2020" t="s">
        <v>43864</v>
      </c>
      <c r="X2020" t="s">
        <v>47306</v>
      </c>
    </row>
    <row r="2021" spans="1:24">
      <c r="A2021">
        <f>HYPERLINK("https://www.philgeps.gov.ph/GEPSNONPILOT/Tender/SplashBidNoticeAbstractUI.aspx?menuIndex=3&amp;refID=7199854&amp;Result=3","7199854")</f>
        <v>0</v>
      </c>
      <c r="B2021" t="s">
        <v>884</v>
      </c>
      <c r="C2021" t="s">
        <v>5813</v>
      </c>
      <c r="D2021" t="s">
        <v>19030</v>
      </c>
      <c r="E2021" t="s">
        <v>20944</v>
      </c>
      <c r="F2021" t="s">
        <v>32606</v>
      </c>
      <c r="G2021" t="s">
        <v>32613</v>
      </c>
      <c r="H2021" t="s">
        <v>32623</v>
      </c>
      <c r="I2021" t="s">
        <v>17648</v>
      </c>
      <c r="J2021" t="s">
        <v>32770</v>
      </c>
      <c r="K2021" t="s">
        <v>42636</v>
      </c>
      <c r="M2021" t="s">
        <v>43820</v>
      </c>
      <c r="N2021" t="s">
        <v>47304</v>
      </c>
      <c r="O2021" t="s">
        <v>47305</v>
      </c>
      <c r="P2021">
        <v>0</v>
      </c>
      <c r="Q2021">
        <v>0</v>
      </c>
      <c r="R2021" t="s">
        <v>47307</v>
      </c>
      <c r="S2021" t="s">
        <v>47416</v>
      </c>
      <c r="T2021" t="s">
        <v>48971</v>
      </c>
      <c r="U2021" t="s">
        <v>51341</v>
      </c>
      <c r="W2021" t="s">
        <v>43820</v>
      </c>
      <c r="X2021" t="s">
        <v>47306</v>
      </c>
    </row>
    <row r="2022" spans="1:24">
      <c r="A2022">
        <f>HYPERLINK("https://www.philgeps.gov.ph/GEPSNONPILOT/Tender/SplashBidNoticeAbstractUI.aspx?menuIndex=3&amp;refID=7199869&amp;Result=3","7199869")</f>
        <v>0</v>
      </c>
      <c r="B2022" t="s">
        <v>750</v>
      </c>
      <c r="C2022" t="s">
        <v>5814</v>
      </c>
      <c r="D2022" t="s">
        <v>18989</v>
      </c>
      <c r="E2022" t="s">
        <v>19940</v>
      </c>
      <c r="F2022" t="s">
        <v>32606</v>
      </c>
      <c r="G2022" t="s">
        <v>32614</v>
      </c>
      <c r="H2022" t="s">
        <v>32623</v>
      </c>
      <c r="I2022" t="s">
        <v>32659</v>
      </c>
      <c r="J2022" t="s">
        <v>32973</v>
      </c>
      <c r="K2022" t="s">
        <v>42629</v>
      </c>
      <c r="M2022" t="s">
        <v>43673</v>
      </c>
      <c r="N2022" t="s">
        <v>47304</v>
      </c>
      <c r="O2022" t="s">
        <v>47305</v>
      </c>
      <c r="P2022">
        <v>0</v>
      </c>
      <c r="Q2022">
        <v>0</v>
      </c>
      <c r="R2022" t="s">
        <v>47307</v>
      </c>
      <c r="S2022" t="s">
        <v>47416</v>
      </c>
      <c r="T2022" t="s">
        <v>49131</v>
      </c>
      <c r="U2022" t="s">
        <v>51342</v>
      </c>
      <c r="W2022" t="s">
        <v>43673</v>
      </c>
      <c r="X2022" t="s">
        <v>47306</v>
      </c>
    </row>
    <row r="2023" spans="1:24">
      <c r="A2023">
        <f>HYPERLINK("https://www.philgeps.gov.ph/GEPSNONPILOT/Tender/SplashBidNoticeAbstractUI.aspx?menuIndex=3&amp;refID=7199851&amp;Result=3","7199851")</f>
        <v>0</v>
      </c>
      <c r="B2023" t="s">
        <v>903</v>
      </c>
      <c r="C2023" t="s">
        <v>5815</v>
      </c>
      <c r="D2023" t="s">
        <v>19049</v>
      </c>
      <c r="E2023" t="s">
        <v>20945</v>
      </c>
      <c r="F2023" t="s">
        <v>32606</v>
      </c>
      <c r="G2023" t="s">
        <v>32613</v>
      </c>
      <c r="H2023" t="s">
        <v>14201</v>
      </c>
      <c r="I2023" t="s">
        <v>32629</v>
      </c>
      <c r="J2023" t="s">
        <v>34232</v>
      </c>
      <c r="K2023" t="s">
        <v>42625</v>
      </c>
      <c r="M2023" t="s">
        <v>43840</v>
      </c>
      <c r="N2023" t="s">
        <v>47304</v>
      </c>
      <c r="O2023" t="s">
        <v>47305</v>
      </c>
      <c r="P2023">
        <v>0</v>
      </c>
      <c r="Q2023">
        <v>0</v>
      </c>
      <c r="R2023" t="s">
        <v>47307</v>
      </c>
      <c r="S2023" t="s">
        <v>47416</v>
      </c>
      <c r="T2023" t="s">
        <v>49163</v>
      </c>
      <c r="U2023" t="s">
        <v>51343</v>
      </c>
      <c r="W2023" t="s">
        <v>43840</v>
      </c>
      <c r="X2023" t="s">
        <v>47306</v>
      </c>
    </row>
    <row r="2024" spans="1:24">
      <c r="A2024">
        <f>HYPERLINK("https://www.philgeps.gov.ph/GEPSNONPILOT/Tender/SplashBidNoticeAbstractUI.aspx?menuIndex=3&amp;refID=7199843&amp;Result=3","7199843")</f>
        <v>0</v>
      </c>
      <c r="B2024" t="s">
        <v>925</v>
      </c>
      <c r="C2024" t="s">
        <v>4329</v>
      </c>
      <c r="D2024" t="s">
        <v>19019</v>
      </c>
      <c r="E2024" t="s">
        <v>20946</v>
      </c>
      <c r="F2024" t="s">
        <v>32606</v>
      </c>
      <c r="G2024" t="s">
        <v>32619</v>
      </c>
      <c r="H2024" t="s">
        <v>14201</v>
      </c>
      <c r="I2024" t="s">
        <v>6298</v>
      </c>
      <c r="J2024" t="s">
        <v>34233</v>
      </c>
      <c r="K2024" t="s">
        <v>42625</v>
      </c>
      <c r="M2024" t="s">
        <v>43865</v>
      </c>
      <c r="N2024" t="s">
        <v>47304</v>
      </c>
      <c r="O2024" t="s">
        <v>47305</v>
      </c>
      <c r="P2024">
        <v>0</v>
      </c>
      <c r="Q2024">
        <v>0</v>
      </c>
      <c r="R2024" t="s">
        <v>47307</v>
      </c>
      <c r="S2024" t="s">
        <v>47416</v>
      </c>
      <c r="T2024" t="s">
        <v>49019</v>
      </c>
      <c r="U2024" t="s">
        <v>51344</v>
      </c>
      <c r="V2024" t="s">
        <v>62704</v>
      </c>
      <c r="W2024" t="s">
        <v>43865</v>
      </c>
      <c r="X2024" t="s">
        <v>47306</v>
      </c>
    </row>
    <row r="2025" spans="1:24">
      <c r="A2025">
        <f>HYPERLINK("https://www.philgeps.gov.ph/GEPSNONPILOT/Tender/SplashBidNoticeAbstractUI.aspx?menuIndex=3&amp;refID=7199856&amp;Result=3","7199856")</f>
        <v>0</v>
      </c>
      <c r="B2025" t="s">
        <v>926</v>
      </c>
      <c r="C2025" t="s">
        <v>5816</v>
      </c>
      <c r="D2025" t="s">
        <v>19006</v>
      </c>
      <c r="E2025" t="s">
        <v>20947</v>
      </c>
      <c r="F2025" t="s">
        <v>32606</v>
      </c>
      <c r="G2025" t="s">
        <v>32613</v>
      </c>
      <c r="H2025" t="s">
        <v>14201</v>
      </c>
      <c r="I2025" t="s">
        <v>32631</v>
      </c>
      <c r="J2025" t="s">
        <v>34234</v>
      </c>
      <c r="K2025" t="s">
        <v>42645</v>
      </c>
      <c r="M2025" t="s">
        <v>43866</v>
      </c>
      <c r="N2025" t="s">
        <v>47304</v>
      </c>
      <c r="O2025" t="s">
        <v>47305</v>
      </c>
      <c r="P2025">
        <v>0</v>
      </c>
      <c r="Q2025">
        <v>0</v>
      </c>
      <c r="R2025" t="s">
        <v>47307</v>
      </c>
      <c r="S2025" t="s">
        <v>47416</v>
      </c>
      <c r="T2025" t="s">
        <v>48996</v>
      </c>
      <c r="U2025" t="s">
        <v>51345</v>
      </c>
      <c r="V2025" t="s">
        <v>62864</v>
      </c>
      <c r="W2025" t="s">
        <v>43866</v>
      </c>
      <c r="X2025" t="s">
        <v>47306</v>
      </c>
    </row>
    <row r="2026" spans="1:24">
      <c r="A2026">
        <f>HYPERLINK("https://www.philgeps.gov.ph/GEPSNONPILOT/Tender/SplashBidNoticeAbstractUI.aspx?menuIndex=3&amp;refID=7199823&amp;Result=3","7199823")</f>
        <v>0</v>
      </c>
      <c r="B2026" t="s">
        <v>584</v>
      </c>
      <c r="C2026" t="s">
        <v>5817</v>
      </c>
      <c r="D2026" t="s">
        <v>18993</v>
      </c>
      <c r="E2026" t="s">
        <v>20948</v>
      </c>
      <c r="F2026" t="s">
        <v>32606</v>
      </c>
      <c r="G2026" t="s">
        <v>32614</v>
      </c>
      <c r="H2026" t="s">
        <v>14201</v>
      </c>
      <c r="I2026" t="s">
        <v>32641</v>
      </c>
      <c r="J2026" t="s">
        <v>34143</v>
      </c>
      <c r="K2026" t="s">
        <v>42631</v>
      </c>
      <c r="M2026" t="s">
        <v>43499</v>
      </c>
      <c r="N2026" t="s">
        <v>47304</v>
      </c>
      <c r="O2026" t="s">
        <v>47305</v>
      </c>
      <c r="P2026">
        <v>0</v>
      </c>
      <c r="Q2026">
        <v>0</v>
      </c>
      <c r="R2026" t="s">
        <v>47307</v>
      </c>
      <c r="S2026" t="s">
        <v>47416</v>
      </c>
      <c r="T2026" t="s">
        <v>49108</v>
      </c>
      <c r="U2026" t="s">
        <v>51346</v>
      </c>
      <c r="V2026" t="s">
        <v>62865</v>
      </c>
      <c r="W2026" t="s">
        <v>43499</v>
      </c>
      <c r="X2026" t="s">
        <v>47306</v>
      </c>
    </row>
    <row r="2027" spans="1:24">
      <c r="A2027">
        <f>HYPERLINK("https://www.philgeps.gov.ph/GEPSNONPILOT/Tender/SplashBidNoticeAbstractUI.aspx?menuIndex=3&amp;refID=7199821&amp;Result=3","7199821")</f>
        <v>0</v>
      </c>
      <c r="B2027" t="s">
        <v>758</v>
      </c>
      <c r="C2027" t="s">
        <v>5818</v>
      </c>
      <c r="D2027" t="s">
        <v>19032</v>
      </c>
      <c r="E2027" t="s">
        <v>20949</v>
      </c>
      <c r="F2027" t="s">
        <v>32606</v>
      </c>
      <c r="G2027" t="s">
        <v>32613</v>
      </c>
      <c r="H2027" t="s">
        <v>14201</v>
      </c>
      <c r="I2027" t="s">
        <v>6931</v>
      </c>
      <c r="J2027" t="s">
        <v>34235</v>
      </c>
      <c r="K2027" t="s">
        <v>42629</v>
      </c>
      <c r="M2027" t="s">
        <v>43682</v>
      </c>
      <c r="N2027" t="s">
        <v>47304</v>
      </c>
      <c r="O2027" t="s">
        <v>47305</v>
      </c>
      <c r="P2027">
        <v>0</v>
      </c>
      <c r="Q2027">
        <v>0</v>
      </c>
      <c r="R2027" t="s">
        <v>47307</v>
      </c>
      <c r="S2027" t="s">
        <v>47416</v>
      </c>
      <c r="T2027" t="s">
        <v>49033</v>
      </c>
      <c r="U2027" t="s">
        <v>50919</v>
      </c>
      <c r="V2027" t="s">
        <v>62866</v>
      </c>
      <c r="W2027" t="s">
        <v>43682</v>
      </c>
      <c r="X2027" t="s">
        <v>47306</v>
      </c>
    </row>
    <row r="2028" spans="1:24">
      <c r="A2028">
        <f>HYPERLINK("https://www.philgeps.gov.ph/GEPSNONPILOT/Tender/SplashBidNoticeAbstractUI.aspx?menuIndex=3&amp;refID=7199847&amp;Result=3","7199847")</f>
        <v>0</v>
      </c>
      <c r="B2028" t="s">
        <v>563</v>
      </c>
      <c r="C2028" t="s">
        <v>5819</v>
      </c>
      <c r="D2028" t="s">
        <v>19046</v>
      </c>
      <c r="E2028" t="s">
        <v>20950</v>
      </c>
      <c r="F2028" t="s">
        <v>32606</v>
      </c>
      <c r="G2028" t="s">
        <v>32613</v>
      </c>
      <c r="H2028" t="s">
        <v>14201</v>
      </c>
      <c r="I2028" t="s">
        <v>6931</v>
      </c>
      <c r="J2028" t="s">
        <v>34236</v>
      </c>
      <c r="K2028" t="s">
        <v>42622</v>
      </c>
      <c r="M2028" t="s">
        <v>43478</v>
      </c>
      <c r="N2028" t="s">
        <v>47304</v>
      </c>
      <c r="O2028" t="s">
        <v>47305</v>
      </c>
      <c r="P2028">
        <v>0</v>
      </c>
      <c r="Q2028">
        <v>0</v>
      </c>
      <c r="R2028" t="s">
        <v>47307</v>
      </c>
      <c r="S2028" t="s">
        <v>47416</v>
      </c>
      <c r="T2028" t="s">
        <v>48996</v>
      </c>
      <c r="U2028" t="s">
        <v>51347</v>
      </c>
      <c r="W2028" t="s">
        <v>43478</v>
      </c>
      <c r="X2028" t="s">
        <v>47306</v>
      </c>
    </row>
    <row r="2029" spans="1:24">
      <c r="A2029">
        <f>HYPERLINK("https://www.philgeps.gov.ph/GEPSNONPILOT/Tender/SplashBidNoticeAbstractUI.aspx?menuIndex=3&amp;refID=7199666&amp;Result=3","7199666")</f>
        <v>0</v>
      </c>
      <c r="B2029" t="s">
        <v>872</v>
      </c>
      <c r="C2029" t="s">
        <v>5820</v>
      </c>
      <c r="D2029" t="s">
        <v>19003</v>
      </c>
      <c r="E2029" t="s">
        <v>20951</v>
      </c>
      <c r="F2029" t="s">
        <v>32606</v>
      </c>
      <c r="G2029" t="s">
        <v>32614</v>
      </c>
      <c r="H2029" t="s">
        <v>14201</v>
      </c>
      <c r="I2029" t="s">
        <v>32658</v>
      </c>
      <c r="J2029" t="s">
        <v>34237</v>
      </c>
      <c r="K2029" t="s">
        <v>42629</v>
      </c>
      <c r="M2029" t="s">
        <v>43808</v>
      </c>
      <c r="N2029" t="s">
        <v>47304</v>
      </c>
      <c r="O2029" t="s">
        <v>47305</v>
      </c>
      <c r="P2029">
        <v>0</v>
      </c>
      <c r="Q2029">
        <v>0</v>
      </c>
      <c r="R2029" t="s">
        <v>47307</v>
      </c>
      <c r="S2029" t="s">
        <v>47416</v>
      </c>
      <c r="T2029" t="s">
        <v>48972</v>
      </c>
      <c r="U2029" t="s">
        <v>51348</v>
      </c>
      <c r="W2029" t="s">
        <v>43808</v>
      </c>
      <c r="X2029" t="s">
        <v>47306</v>
      </c>
    </row>
    <row r="2030" spans="1:24">
      <c r="A2030">
        <f>HYPERLINK("https://www.philgeps.gov.ph/GEPSNONPILOT/Tender/SplashBidNoticeAbstractUI.aspx?menuIndex=3&amp;refID=7199664&amp;Result=3","7199664")</f>
        <v>0</v>
      </c>
      <c r="B2030" t="s">
        <v>890</v>
      </c>
      <c r="C2030" t="s">
        <v>5821</v>
      </c>
      <c r="D2030" t="s">
        <v>19052</v>
      </c>
      <c r="E2030" t="s">
        <v>20952</v>
      </c>
      <c r="F2030" t="s">
        <v>32606</v>
      </c>
      <c r="G2030" t="s">
        <v>32614</v>
      </c>
      <c r="H2030" t="s">
        <v>14201</v>
      </c>
      <c r="I2030" t="s">
        <v>32706</v>
      </c>
      <c r="J2030" t="s">
        <v>34238</v>
      </c>
      <c r="K2030" t="s">
        <v>42648</v>
      </c>
      <c r="M2030" t="s">
        <v>43826</v>
      </c>
      <c r="N2030" t="s">
        <v>47304</v>
      </c>
      <c r="O2030" t="s">
        <v>47305</v>
      </c>
      <c r="P2030">
        <v>0</v>
      </c>
      <c r="Q2030">
        <v>0</v>
      </c>
      <c r="R2030" t="s">
        <v>47307</v>
      </c>
      <c r="S2030" t="s">
        <v>47416</v>
      </c>
      <c r="T2030" t="s">
        <v>48982</v>
      </c>
      <c r="U2030" t="s">
        <v>51253</v>
      </c>
      <c r="W2030" t="s">
        <v>43826</v>
      </c>
      <c r="X2030" t="s">
        <v>47306</v>
      </c>
    </row>
    <row r="2031" spans="1:24">
      <c r="A2031">
        <f>HYPERLINK("https://www.philgeps.gov.ph/GEPSNONPILOT/Tender/SplashBidNoticeAbstractUI.aspx?menuIndex=3&amp;refID=7199857&amp;Result=3","7199857")</f>
        <v>0</v>
      </c>
      <c r="B2031" t="s">
        <v>927</v>
      </c>
      <c r="C2031" t="s">
        <v>5822</v>
      </c>
      <c r="D2031" t="s">
        <v>19025</v>
      </c>
      <c r="E2031" t="s">
        <v>20953</v>
      </c>
      <c r="F2031" t="s">
        <v>32606</v>
      </c>
      <c r="G2031" t="s">
        <v>32619</v>
      </c>
      <c r="H2031" t="s">
        <v>14201</v>
      </c>
      <c r="I2031" t="s">
        <v>32626</v>
      </c>
      <c r="J2031" t="s">
        <v>34239</v>
      </c>
      <c r="K2031" t="s">
        <v>42630</v>
      </c>
      <c r="M2031" t="s">
        <v>43867</v>
      </c>
      <c r="N2031" t="s">
        <v>47304</v>
      </c>
      <c r="O2031" t="s">
        <v>47305</v>
      </c>
      <c r="P2031">
        <v>0</v>
      </c>
      <c r="Q2031">
        <v>0</v>
      </c>
      <c r="R2031" t="s">
        <v>47307</v>
      </c>
      <c r="S2031" t="s">
        <v>47416</v>
      </c>
      <c r="T2031" t="s">
        <v>49019</v>
      </c>
      <c r="U2031" t="s">
        <v>51349</v>
      </c>
      <c r="W2031" t="s">
        <v>43867</v>
      </c>
      <c r="X2031" t="s">
        <v>47306</v>
      </c>
    </row>
    <row r="2032" spans="1:24">
      <c r="A2032">
        <f>HYPERLINK("https://www.philgeps.gov.ph/GEPSNONPILOT/Tender/SplashBidNoticeAbstractUI.aspx?menuIndex=3&amp;refID=7199828&amp;Result=3","7199828")</f>
        <v>0</v>
      </c>
      <c r="B2032" t="s">
        <v>853</v>
      </c>
      <c r="C2032" t="s">
        <v>5823</v>
      </c>
      <c r="D2032" t="s">
        <v>19054</v>
      </c>
      <c r="E2032" t="s">
        <v>20954</v>
      </c>
      <c r="F2032" t="s">
        <v>32606</v>
      </c>
      <c r="G2032" t="s">
        <v>32614</v>
      </c>
      <c r="H2032" t="s">
        <v>14201</v>
      </c>
      <c r="I2032" t="s">
        <v>6931</v>
      </c>
      <c r="J2032" t="s">
        <v>34240</v>
      </c>
      <c r="K2032" t="s">
        <v>42632</v>
      </c>
      <c r="M2032" t="s">
        <v>43786</v>
      </c>
      <c r="N2032" t="s">
        <v>47304</v>
      </c>
      <c r="O2032" t="s">
        <v>47305</v>
      </c>
      <c r="P2032">
        <v>0</v>
      </c>
      <c r="Q2032">
        <v>0</v>
      </c>
      <c r="R2032" t="s">
        <v>47307</v>
      </c>
      <c r="S2032" t="s">
        <v>47416</v>
      </c>
      <c r="T2032" t="s">
        <v>48986</v>
      </c>
      <c r="U2032" t="s">
        <v>51350</v>
      </c>
      <c r="W2032" t="s">
        <v>43786</v>
      </c>
      <c r="X2032" t="s">
        <v>47306</v>
      </c>
    </row>
    <row r="2033" spans="1:24">
      <c r="A2033">
        <f>HYPERLINK("https://www.philgeps.gov.ph/GEPSNONPILOT/Tender/SplashBidNoticeAbstractUI.aspx?menuIndex=3&amp;refID=7199826&amp;Result=3","7199826")</f>
        <v>0</v>
      </c>
      <c r="B2033" t="s">
        <v>343</v>
      </c>
      <c r="C2033" t="s">
        <v>5824</v>
      </c>
      <c r="D2033" t="s">
        <v>18993</v>
      </c>
      <c r="E2033" t="s">
        <v>20955</v>
      </c>
      <c r="F2033" t="s">
        <v>32606</v>
      </c>
      <c r="G2033" t="s">
        <v>32614</v>
      </c>
      <c r="H2033" t="s">
        <v>14201</v>
      </c>
      <c r="I2033" t="s">
        <v>32634</v>
      </c>
      <c r="J2033" t="s">
        <v>34241</v>
      </c>
      <c r="K2033" t="s">
        <v>42624</v>
      </c>
      <c r="M2033" t="s">
        <v>43833</v>
      </c>
      <c r="N2033" t="s">
        <v>47304</v>
      </c>
      <c r="O2033" t="s">
        <v>47305</v>
      </c>
      <c r="P2033">
        <v>0</v>
      </c>
      <c r="Q2033">
        <v>0</v>
      </c>
      <c r="R2033" t="s">
        <v>47307</v>
      </c>
      <c r="S2033" t="s">
        <v>47416</v>
      </c>
      <c r="T2033" t="s">
        <v>48971</v>
      </c>
      <c r="U2033" t="s">
        <v>51351</v>
      </c>
      <c r="V2033" t="s">
        <v>62856</v>
      </c>
      <c r="W2033" t="s">
        <v>43833</v>
      </c>
      <c r="X2033" t="s">
        <v>47306</v>
      </c>
    </row>
    <row r="2034" spans="1:24">
      <c r="A2034">
        <f>HYPERLINK("https://www.philgeps.gov.ph/GEPSNONPILOT/Tender/SplashBidNoticeAbstractUI.aspx?menuIndex=3&amp;refID=7199663&amp;Result=3","7199663")</f>
        <v>0</v>
      </c>
      <c r="B2034" t="s">
        <v>534</v>
      </c>
      <c r="C2034" t="s">
        <v>5825</v>
      </c>
      <c r="D2034" t="s">
        <v>19006</v>
      </c>
      <c r="E2034" t="s">
        <v>20956</v>
      </c>
      <c r="F2034" t="s">
        <v>32606</v>
      </c>
      <c r="G2034" t="s">
        <v>32613</v>
      </c>
      <c r="H2034" t="s">
        <v>14201</v>
      </c>
      <c r="I2034" t="s">
        <v>32650</v>
      </c>
      <c r="J2034" t="s">
        <v>34242</v>
      </c>
      <c r="K2034" t="s">
        <v>42646</v>
      </c>
      <c r="M2034" t="s">
        <v>43447</v>
      </c>
      <c r="N2034" t="s">
        <v>47304</v>
      </c>
      <c r="O2034" t="s">
        <v>47305</v>
      </c>
      <c r="P2034">
        <v>0</v>
      </c>
      <c r="Q2034">
        <v>0</v>
      </c>
      <c r="R2034" t="s">
        <v>47307</v>
      </c>
      <c r="S2034" t="s">
        <v>47416</v>
      </c>
      <c r="T2034" t="s">
        <v>48983</v>
      </c>
      <c r="U2034" t="s">
        <v>51352</v>
      </c>
      <c r="W2034" t="s">
        <v>43447</v>
      </c>
      <c r="X2034" t="s">
        <v>47306</v>
      </c>
    </row>
    <row r="2035" spans="1:24">
      <c r="A2035">
        <f>HYPERLINK("https://www.philgeps.gov.ph/GEPSNONPILOT/Tender/SplashBidNoticeAbstractUI.aspx?menuIndex=3&amp;refID=7199848&amp;Result=3","7199848")</f>
        <v>0</v>
      </c>
      <c r="B2035" t="s">
        <v>82</v>
      </c>
      <c r="C2035" t="s">
        <v>5826</v>
      </c>
      <c r="D2035" t="s">
        <v>19011</v>
      </c>
      <c r="E2035" t="s">
        <v>20957</v>
      </c>
      <c r="F2035" t="s">
        <v>32606</v>
      </c>
      <c r="G2035" t="s">
        <v>32613</v>
      </c>
      <c r="H2035" t="s">
        <v>14201</v>
      </c>
      <c r="I2035" t="s">
        <v>32691</v>
      </c>
      <c r="J2035" t="s">
        <v>34243</v>
      </c>
      <c r="K2035" t="s">
        <v>42624</v>
      </c>
      <c r="M2035" t="s">
        <v>43766</v>
      </c>
      <c r="N2035" t="s">
        <v>47304</v>
      </c>
      <c r="O2035" t="s">
        <v>47305</v>
      </c>
      <c r="P2035">
        <v>0</v>
      </c>
      <c r="Q2035">
        <v>0</v>
      </c>
      <c r="R2035" t="s">
        <v>47307</v>
      </c>
      <c r="S2035" t="s">
        <v>47416</v>
      </c>
      <c r="T2035" t="s">
        <v>48995</v>
      </c>
      <c r="U2035" t="s">
        <v>51353</v>
      </c>
      <c r="V2035" t="s">
        <v>62841</v>
      </c>
      <c r="W2035" t="s">
        <v>43766</v>
      </c>
      <c r="X2035" t="s">
        <v>47306</v>
      </c>
    </row>
    <row r="2036" spans="1:24">
      <c r="A2036">
        <f>HYPERLINK("https://www.philgeps.gov.ph/GEPSNONPILOT/Tender/SplashBidNoticeAbstractUI.aspx?menuIndex=3&amp;refID=7199665&amp;Result=3","7199665")</f>
        <v>0</v>
      </c>
      <c r="B2036" t="s">
        <v>879</v>
      </c>
      <c r="C2036" t="s">
        <v>5697</v>
      </c>
      <c r="D2036" t="s">
        <v>19048</v>
      </c>
      <c r="E2036" t="s">
        <v>20958</v>
      </c>
      <c r="F2036" t="s">
        <v>32606</v>
      </c>
      <c r="G2036" t="s">
        <v>32617</v>
      </c>
      <c r="H2036" t="s">
        <v>14201</v>
      </c>
      <c r="I2036" t="s">
        <v>32629</v>
      </c>
      <c r="J2036" t="s">
        <v>34244</v>
      </c>
      <c r="K2036" t="s">
        <v>42622</v>
      </c>
      <c r="M2036" t="s">
        <v>43815</v>
      </c>
      <c r="N2036" t="s">
        <v>47304</v>
      </c>
      <c r="O2036" t="s">
        <v>47305</v>
      </c>
      <c r="P2036">
        <v>0</v>
      </c>
      <c r="Q2036">
        <v>0</v>
      </c>
      <c r="R2036" t="s">
        <v>47307</v>
      </c>
      <c r="S2036" t="s">
        <v>47416</v>
      </c>
      <c r="T2036" t="s">
        <v>49015</v>
      </c>
      <c r="U2036" t="s">
        <v>51354</v>
      </c>
      <c r="W2036" t="s">
        <v>43815</v>
      </c>
      <c r="X2036" t="s">
        <v>47306</v>
      </c>
    </row>
    <row r="2037" spans="1:24">
      <c r="A2037">
        <f>HYPERLINK("https://www.philgeps.gov.ph/GEPSNONPILOT/Tender/SplashBidNoticeAbstractUI.aspx?menuIndex=3&amp;refID=7199838&amp;Result=3","7199838")</f>
        <v>0</v>
      </c>
      <c r="B2037" t="s">
        <v>928</v>
      </c>
      <c r="C2037" t="s">
        <v>5827</v>
      </c>
      <c r="D2037" t="s">
        <v>19027</v>
      </c>
      <c r="E2037" t="s">
        <v>20959</v>
      </c>
      <c r="F2037" t="s">
        <v>32606</v>
      </c>
      <c r="G2037" t="s">
        <v>32613</v>
      </c>
      <c r="H2037" t="s">
        <v>14201</v>
      </c>
      <c r="I2037" t="s">
        <v>32640</v>
      </c>
      <c r="J2037" t="s">
        <v>34245</v>
      </c>
      <c r="K2037" t="s">
        <v>42631</v>
      </c>
      <c r="M2037" t="s">
        <v>43868</v>
      </c>
      <c r="N2037" t="s">
        <v>47304</v>
      </c>
      <c r="O2037" t="s">
        <v>47305</v>
      </c>
      <c r="P2037">
        <v>0</v>
      </c>
      <c r="Q2037">
        <v>0</v>
      </c>
      <c r="R2037" t="s">
        <v>47307</v>
      </c>
      <c r="S2037" t="s">
        <v>47416</v>
      </c>
      <c r="T2037" t="s">
        <v>49048</v>
      </c>
      <c r="U2037" t="s">
        <v>51355</v>
      </c>
      <c r="W2037" t="s">
        <v>43868</v>
      </c>
      <c r="X2037" t="s">
        <v>47306</v>
      </c>
    </row>
    <row r="2038" spans="1:24">
      <c r="A2038">
        <f>HYPERLINK("https://www.philgeps.gov.ph/GEPSNONPILOT/Tender/SplashBidNoticeAbstractUI.aspx?menuIndex=3&amp;refID=7199662&amp;Result=3","7199662")</f>
        <v>0</v>
      </c>
      <c r="B2038" t="s">
        <v>540</v>
      </c>
      <c r="C2038" t="s">
        <v>5828</v>
      </c>
      <c r="D2038" t="s">
        <v>19001</v>
      </c>
      <c r="E2038" t="s">
        <v>20960</v>
      </c>
      <c r="F2038" t="s">
        <v>32606</v>
      </c>
      <c r="G2038" t="s">
        <v>32614</v>
      </c>
      <c r="H2038" t="s">
        <v>14201</v>
      </c>
      <c r="I2038" t="s">
        <v>32655</v>
      </c>
      <c r="J2038" t="s">
        <v>32778</v>
      </c>
      <c r="K2038" t="s">
        <v>42622</v>
      </c>
      <c r="M2038" t="s">
        <v>43460</v>
      </c>
      <c r="N2038" t="s">
        <v>47304</v>
      </c>
      <c r="O2038" t="s">
        <v>47305</v>
      </c>
      <c r="P2038">
        <v>0</v>
      </c>
      <c r="Q2038">
        <v>0</v>
      </c>
      <c r="R2038" t="s">
        <v>47307</v>
      </c>
      <c r="S2038" t="s">
        <v>47416</v>
      </c>
      <c r="T2038" t="s">
        <v>48986</v>
      </c>
      <c r="U2038" t="s">
        <v>51356</v>
      </c>
      <c r="W2038" t="s">
        <v>43460</v>
      </c>
      <c r="X2038" t="s">
        <v>47306</v>
      </c>
    </row>
    <row r="2039" spans="1:24">
      <c r="A2039">
        <f>HYPERLINK("https://www.philgeps.gov.ph/GEPSNONPILOT/Tender/SplashBidNoticeAbstractUI.aspx?menuIndex=3&amp;refID=7199888&amp;Result=3","7199888")</f>
        <v>0</v>
      </c>
      <c r="B2039" t="s">
        <v>929</v>
      </c>
      <c r="C2039" t="s">
        <v>5829</v>
      </c>
      <c r="D2039" t="s">
        <v>19004</v>
      </c>
      <c r="E2039" t="s">
        <v>20961</v>
      </c>
      <c r="F2039" t="s">
        <v>32606</v>
      </c>
      <c r="G2039" t="s">
        <v>32614</v>
      </c>
      <c r="H2039" t="s">
        <v>14201</v>
      </c>
      <c r="I2039" t="s">
        <v>6993</v>
      </c>
      <c r="J2039" t="s">
        <v>32798</v>
      </c>
      <c r="K2039" t="s">
        <v>42664</v>
      </c>
      <c r="M2039" t="s">
        <v>43869</v>
      </c>
      <c r="N2039" t="s">
        <v>47304</v>
      </c>
      <c r="O2039" t="s">
        <v>47305</v>
      </c>
      <c r="P2039">
        <v>0</v>
      </c>
      <c r="Q2039">
        <v>0</v>
      </c>
      <c r="R2039" t="s">
        <v>47307</v>
      </c>
      <c r="S2039" t="s">
        <v>47416</v>
      </c>
      <c r="T2039" t="s">
        <v>48982</v>
      </c>
      <c r="U2039" t="s">
        <v>51357</v>
      </c>
      <c r="V2039" t="s">
        <v>62867</v>
      </c>
      <c r="W2039" t="s">
        <v>43869</v>
      </c>
      <c r="X2039" t="s">
        <v>47306</v>
      </c>
    </row>
    <row r="2040" spans="1:24">
      <c r="A2040">
        <f>HYPERLINK("https://www.philgeps.gov.ph/GEPSNONPILOT/Tender/SplashBidNoticeAbstractUI.aspx?menuIndex=3&amp;refID=7199820&amp;Result=3","7199820")</f>
        <v>0</v>
      </c>
      <c r="B2040" t="s">
        <v>748</v>
      </c>
      <c r="C2040" t="s">
        <v>5830</v>
      </c>
      <c r="D2040" t="s">
        <v>18993</v>
      </c>
      <c r="E2040" t="s">
        <v>20962</v>
      </c>
      <c r="F2040" t="s">
        <v>32606</v>
      </c>
      <c r="G2040" t="s">
        <v>32614</v>
      </c>
      <c r="H2040" t="s">
        <v>14201</v>
      </c>
      <c r="I2040" t="s">
        <v>32646</v>
      </c>
      <c r="J2040" t="s">
        <v>33079</v>
      </c>
      <c r="K2040" t="s">
        <v>42623</v>
      </c>
      <c r="M2040" t="s">
        <v>43671</v>
      </c>
      <c r="N2040" t="s">
        <v>47304</v>
      </c>
      <c r="O2040" t="s">
        <v>47305</v>
      </c>
      <c r="P2040">
        <v>0</v>
      </c>
      <c r="Q2040">
        <v>0</v>
      </c>
      <c r="R2040" t="s">
        <v>47307</v>
      </c>
      <c r="S2040" t="s">
        <v>47416</v>
      </c>
      <c r="T2040" t="s">
        <v>48996</v>
      </c>
      <c r="U2040" t="s">
        <v>50899</v>
      </c>
      <c r="V2040" t="s">
        <v>62818</v>
      </c>
      <c r="W2040" t="s">
        <v>43671</v>
      </c>
      <c r="X2040" t="s">
        <v>47306</v>
      </c>
    </row>
    <row r="2041" spans="1:24">
      <c r="A2041">
        <f>HYPERLINK("https://www.philgeps.gov.ph/GEPSNONPILOT/Tender/SplashBidNoticeAbstractUI.aspx?menuIndex=3&amp;refID=7199884&amp;Result=3","7199884")</f>
        <v>0</v>
      </c>
      <c r="B2041" t="s">
        <v>930</v>
      </c>
      <c r="C2041" t="s">
        <v>5831</v>
      </c>
      <c r="D2041" t="s">
        <v>19001</v>
      </c>
      <c r="E2041" t="s">
        <v>20963</v>
      </c>
      <c r="F2041" t="s">
        <v>32606</v>
      </c>
      <c r="G2041" t="s">
        <v>32613</v>
      </c>
      <c r="H2041" t="s">
        <v>32623</v>
      </c>
      <c r="I2041" t="s">
        <v>17648</v>
      </c>
      <c r="J2041" t="s">
        <v>32981</v>
      </c>
      <c r="K2041" t="s">
        <v>42631</v>
      </c>
      <c r="M2041" t="s">
        <v>43870</v>
      </c>
      <c r="N2041" t="s">
        <v>47304</v>
      </c>
      <c r="O2041" t="s">
        <v>47305</v>
      </c>
      <c r="P2041">
        <v>0</v>
      </c>
      <c r="Q2041">
        <v>0</v>
      </c>
      <c r="R2041" t="s">
        <v>47307</v>
      </c>
      <c r="S2041" t="s">
        <v>47416</v>
      </c>
      <c r="T2041" t="s">
        <v>49008</v>
      </c>
      <c r="U2041" t="s">
        <v>51358</v>
      </c>
      <c r="V2041" t="s">
        <v>62868</v>
      </c>
      <c r="W2041" t="s">
        <v>43870</v>
      </c>
      <c r="X2041" t="s">
        <v>47306</v>
      </c>
    </row>
    <row r="2042" spans="1:24">
      <c r="A2042">
        <f>HYPERLINK("https://www.philgeps.gov.ph/GEPSNONPILOT/Tender/SplashBidNoticeAbstractUI.aspx?menuIndex=3&amp;refID=7199892&amp;Result=3","7199892")</f>
        <v>0</v>
      </c>
      <c r="B2042" t="s">
        <v>598</v>
      </c>
      <c r="C2042" t="s">
        <v>5832</v>
      </c>
      <c r="D2042" t="s">
        <v>18992</v>
      </c>
      <c r="E2042" t="s">
        <v>20964</v>
      </c>
      <c r="F2042" t="s">
        <v>32606</v>
      </c>
      <c r="G2042" t="s">
        <v>32613</v>
      </c>
      <c r="H2042" t="s">
        <v>14201</v>
      </c>
      <c r="I2042" t="s">
        <v>6298</v>
      </c>
      <c r="J2042" t="s">
        <v>34246</v>
      </c>
      <c r="K2042" t="s">
        <v>42648</v>
      </c>
      <c r="M2042" t="s">
        <v>43513</v>
      </c>
      <c r="N2042" t="s">
        <v>47304</v>
      </c>
      <c r="O2042" t="s">
        <v>47305</v>
      </c>
      <c r="P2042">
        <v>0</v>
      </c>
      <c r="Q2042">
        <v>0</v>
      </c>
      <c r="R2042" t="s">
        <v>47307</v>
      </c>
      <c r="S2042" t="s">
        <v>47416</v>
      </c>
      <c r="T2042" t="s">
        <v>49055</v>
      </c>
      <c r="U2042" t="s">
        <v>51359</v>
      </c>
      <c r="W2042" t="s">
        <v>43513</v>
      </c>
      <c r="X2042" t="s">
        <v>47306</v>
      </c>
    </row>
    <row r="2043" spans="1:24">
      <c r="A2043">
        <f>HYPERLINK("https://www.philgeps.gov.ph/GEPSNONPILOT/Tender/SplashBidNoticeAbstractUI.aspx?menuIndex=3&amp;refID=7199891&amp;Result=3","7199891")</f>
        <v>0</v>
      </c>
      <c r="B2043" t="s">
        <v>606</v>
      </c>
      <c r="C2043" t="s">
        <v>5833</v>
      </c>
      <c r="D2043" t="s">
        <v>19027</v>
      </c>
      <c r="E2043" t="s">
        <v>20965</v>
      </c>
      <c r="F2043" t="s">
        <v>32606</v>
      </c>
      <c r="G2043" t="s">
        <v>32614</v>
      </c>
      <c r="H2043" t="s">
        <v>14201</v>
      </c>
      <c r="I2043" t="s">
        <v>32629</v>
      </c>
      <c r="J2043" t="s">
        <v>33441</v>
      </c>
      <c r="K2043" t="s">
        <v>42623</v>
      </c>
      <c r="M2043" t="s">
        <v>43522</v>
      </c>
      <c r="N2043" t="s">
        <v>47304</v>
      </c>
      <c r="O2043" t="s">
        <v>47305</v>
      </c>
      <c r="P2043">
        <v>0</v>
      </c>
      <c r="Q2043">
        <v>0</v>
      </c>
      <c r="R2043" t="s">
        <v>47307</v>
      </c>
      <c r="S2043" t="s">
        <v>47416</v>
      </c>
      <c r="T2043" t="s">
        <v>49100</v>
      </c>
      <c r="U2043" t="s">
        <v>51360</v>
      </c>
      <c r="W2043" t="s">
        <v>64441</v>
      </c>
      <c r="X2043" t="s">
        <v>47306</v>
      </c>
    </row>
    <row r="2044" spans="1:24">
      <c r="A2044">
        <f>HYPERLINK("https://www.philgeps.gov.ph/GEPSNONPILOT/Tender/SplashBidNoticeAbstractUI.aspx?menuIndex=3&amp;refID=7199890&amp;Result=3","7199890")</f>
        <v>0</v>
      </c>
      <c r="B2044" t="s">
        <v>891</v>
      </c>
      <c r="C2044" t="s">
        <v>5834</v>
      </c>
      <c r="D2044" t="s">
        <v>19016</v>
      </c>
      <c r="E2044" t="s">
        <v>20966</v>
      </c>
      <c r="F2044" t="s">
        <v>32606</v>
      </c>
      <c r="G2044" t="s">
        <v>32614</v>
      </c>
      <c r="H2044" t="s">
        <v>14201</v>
      </c>
      <c r="I2044" t="s">
        <v>32631</v>
      </c>
      <c r="J2044" t="s">
        <v>34247</v>
      </c>
      <c r="K2044" t="s">
        <v>42631</v>
      </c>
      <c r="M2044" t="s">
        <v>43827</v>
      </c>
      <c r="N2044" t="s">
        <v>47304</v>
      </c>
      <c r="O2044" t="s">
        <v>47305</v>
      </c>
      <c r="P2044">
        <v>0</v>
      </c>
      <c r="Q2044">
        <v>0</v>
      </c>
      <c r="R2044" t="s">
        <v>47307</v>
      </c>
      <c r="S2044" t="s">
        <v>47416</v>
      </c>
      <c r="T2044" t="s">
        <v>49200</v>
      </c>
      <c r="U2044" t="s">
        <v>51254</v>
      </c>
      <c r="W2044" t="s">
        <v>64455</v>
      </c>
      <c r="X2044" t="s">
        <v>47306</v>
      </c>
    </row>
    <row r="2045" spans="1:24">
      <c r="A2045">
        <f>HYPERLINK("https://www.philgeps.gov.ph/GEPSNONPILOT/Tender/SplashBidNoticeAbstractUI.aspx?menuIndex=3&amp;refID=7199889&amp;Result=3","7199889")</f>
        <v>0</v>
      </c>
      <c r="B2045" t="s">
        <v>99</v>
      </c>
      <c r="C2045" t="s">
        <v>5835</v>
      </c>
      <c r="D2045" t="s">
        <v>19027</v>
      </c>
      <c r="E2045" t="s">
        <v>20967</v>
      </c>
      <c r="F2045" t="s">
        <v>32606</v>
      </c>
      <c r="G2045" t="s">
        <v>32619</v>
      </c>
      <c r="H2045" t="s">
        <v>14201</v>
      </c>
      <c r="I2045" t="s">
        <v>6007</v>
      </c>
      <c r="J2045" t="s">
        <v>32927</v>
      </c>
      <c r="K2045" t="s">
        <v>42630</v>
      </c>
      <c r="L2045" t="s">
        <v>99</v>
      </c>
      <c r="M2045" t="s">
        <v>42997</v>
      </c>
      <c r="N2045" t="s">
        <v>47304</v>
      </c>
      <c r="O2045" t="s">
        <v>47305</v>
      </c>
      <c r="P2045">
        <v>0</v>
      </c>
      <c r="Q2045">
        <v>0</v>
      </c>
      <c r="R2045" t="s">
        <v>47307</v>
      </c>
      <c r="S2045" t="s">
        <v>47416</v>
      </c>
      <c r="T2045" t="s">
        <v>49067</v>
      </c>
      <c r="U2045" t="s">
        <v>51361</v>
      </c>
      <c r="V2045" t="s">
        <v>62712</v>
      </c>
      <c r="W2045" t="s">
        <v>42997</v>
      </c>
      <c r="X2045" t="s">
        <v>47306</v>
      </c>
    </row>
    <row r="2046" spans="1:24">
      <c r="A2046">
        <f>HYPERLINK("https://www.philgeps.gov.ph/GEPSNONPILOT/Tender/SplashBidNoticeAbstractUI.aspx?menuIndex=3&amp;refID=7199893&amp;Result=3","7199893")</f>
        <v>0</v>
      </c>
      <c r="B2046" t="s">
        <v>575</v>
      </c>
      <c r="C2046" t="s">
        <v>5836</v>
      </c>
      <c r="D2046" t="s">
        <v>19036</v>
      </c>
      <c r="E2046" t="s">
        <v>20968</v>
      </c>
      <c r="F2046" t="s">
        <v>32606</v>
      </c>
      <c r="G2046" t="s">
        <v>32614</v>
      </c>
      <c r="H2046" t="s">
        <v>14201</v>
      </c>
      <c r="I2046" t="s">
        <v>4114</v>
      </c>
      <c r="J2046" t="s">
        <v>32813</v>
      </c>
      <c r="K2046" t="s">
        <v>42624</v>
      </c>
      <c r="M2046" t="s">
        <v>43806</v>
      </c>
      <c r="N2046" t="s">
        <v>47304</v>
      </c>
      <c r="O2046" t="s">
        <v>47305</v>
      </c>
      <c r="P2046">
        <v>0</v>
      </c>
      <c r="Q2046">
        <v>0</v>
      </c>
      <c r="R2046" t="s">
        <v>47307</v>
      </c>
      <c r="S2046" t="s">
        <v>47416</v>
      </c>
      <c r="T2046" t="s">
        <v>49100</v>
      </c>
      <c r="U2046" t="s">
        <v>51362</v>
      </c>
      <c r="W2046" t="s">
        <v>43806</v>
      </c>
      <c r="X2046" t="s">
        <v>47306</v>
      </c>
    </row>
    <row r="2047" spans="1:24">
      <c r="A2047">
        <f>HYPERLINK("https://www.philgeps.gov.ph/GEPSNONPILOT/Tender/SplashBidNoticeAbstractUI.aspx?menuIndex=3&amp;refID=7199917&amp;Result=3","7199917")</f>
        <v>0</v>
      </c>
      <c r="B2047" t="s">
        <v>891</v>
      </c>
      <c r="C2047" t="s">
        <v>5837</v>
      </c>
      <c r="D2047" t="s">
        <v>19016</v>
      </c>
      <c r="E2047" t="s">
        <v>20969</v>
      </c>
      <c r="F2047" t="s">
        <v>32606</v>
      </c>
      <c r="G2047" t="s">
        <v>32614</v>
      </c>
      <c r="H2047" t="s">
        <v>14201</v>
      </c>
      <c r="I2047" t="s">
        <v>4369</v>
      </c>
      <c r="J2047" t="s">
        <v>32776</v>
      </c>
      <c r="K2047" t="s">
        <v>42631</v>
      </c>
      <c r="M2047" t="s">
        <v>43827</v>
      </c>
      <c r="N2047" t="s">
        <v>47304</v>
      </c>
      <c r="O2047" t="s">
        <v>47305</v>
      </c>
      <c r="P2047">
        <v>0</v>
      </c>
      <c r="Q2047">
        <v>0</v>
      </c>
      <c r="R2047" t="s">
        <v>47307</v>
      </c>
      <c r="S2047" t="s">
        <v>47416</v>
      </c>
      <c r="T2047" t="s">
        <v>49200</v>
      </c>
      <c r="U2047" t="s">
        <v>51254</v>
      </c>
      <c r="W2047" t="s">
        <v>64455</v>
      </c>
      <c r="X2047" t="s">
        <v>47306</v>
      </c>
    </row>
    <row r="2048" spans="1:24">
      <c r="A2048">
        <f>HYPERLINK("https://www.philgeps.gov.ph/GEPSNONPILOT/Tender/SplashBidNoticeAbstractUI.aspx?menuIndex=3&amp;refID=7199916&amp;Result=3","7199916")</f>
        <v>0</v>
      </c>
      <c r="B2048" t="s">
        <v>931</v>
      </c>
      <c r="C2048" t="s">
        <v>5838</v>
      </c>
      <c r="D2048" t="s">
        <v>18995</v>
      </c>
      <c r="E2048" t="s">
        <v>20970</v>
      </c>
      <c r="F2048" t="s">
        <v>32606</v>
      </c>
      <c r="G2048" t="s">
        <v>32614</v>
      </c>
      <c r="H2048" t="s">
        <v>14201</v>
      </c>
      <c r="I2048" t="s">
        <v>32633</v>
      </c>
      <c r="J2048" t="s">
        <v>33169</v>
      </c>
      <c r="K2048" t="s">
        <v>42625</v>
      </c>
      <c r="M2048" t="s">
        <v>43871</v>
      </c>
      <c r="N2048" t="s">
        <v>47304</v>
      </c>
      <c r="O2048" t="s">
        <v>47305</v>
      </c>
      <c r="P2048">
        <v>0</v>
      </c>
      <c r="Q2048">
        <v>0</v>
      </c>
      <c r="R2048" t="s">
        <v>47307</v>
      </c>
      <c r="S2048" t="s">
        <v>47416</v>
      </c>
      <c r="T2048" t="s">
        <v>49200</v>
      </c>
      <c r="U2048" t="s">
        <v>51363</v>
      </c>
      <c r="W2048" t="s">
        <v>43871</v>
      </c>
      <c r="X2048" t="s">
        <v>47306</v>
      </c>
    </row>
    <row r="2049" spans="1:24">
      <c r="A2049">
        <f>HYPERLINK("https://www.philgeps.gov.ph/GEPSNONPILOT/Tender/SplashBidNoticeAbstractUI.aspx?menuIndex=3&amp;refID=7199880&amp;Result=3","7199880")</f>
        <v>0</v>
      </c>
      <c r="B2049" t="s">
        <v>491</v>
      </c>
      <c r="C2049" t="s">
        <v>5839</v>
      </c>
      <c r="D2049" t="s">
        <v>19006</v>
      </c>
      <c r="E2049" t="s">
        <v>20971</v>
      </c>
      <c r="F2049" t="s">
        <v>32608</v>
      </c>
      <c r="G2049" t="s">
        <v>32614</v>
      </c>
      <c r="H2049" t="s">
        <v>14201</v>
      </c>
      <c r="I2049" t="s">
        <v>32664</v>
      </c>
      <c r="J2049" t="s">
        <v>32820</v>
      </c>
      <c r="K2049" t="s">
        <v>42630</v>
      </c>
      <c r="M2049" t="s">
        <v>43404</v>
      </c>
      <c r="N2049" t="s">
        <v>47304</v>
      </c>
      <c r="O2049" t="s">
        <v>47305</v>
      </c>
      <c r="P2049">
        <v>0</v>
      </c>
      <c r="Q2049">
        <v>0</v>
      </c>
      <c r="R2049" t="s">
        <v>47307</v>
      </c>
      <c r="S2049" t="s">
        <v>47416</v>
      </c>
      <c r="T2049" t="s">
        <v>49052</v>
      </c>
      <c r="U2049" t="s">
        <v>51364</v>
      </c>
      <c r="W2049" t="s">
        <v>43404</v>
      </c>
      <c r="X2049" t="s">
        <v>47306</v>
      </c>
    </row>
    <row r="2050" spans="1:24">
      <c r="A2050">
        <f>HYPERLINK("https://www.philgeps.gov.ph/GEPSNONPILOT/Tender/SplashBidNoticeAbstractUI.aspx?menuIndex=3&amp;refID=7199882&amp;Result=3","7199882")</f>
        <v>0</v>
      </c>
      <c r="B2050" t="s">
        <v>932</v>
      </c>
      <c r="C2050" t="s">
        <v>5840</v>
      </c>
      <c r="D2050" t="s">
        <v>19003</v>
      </c>
      <c r="E2050" t="s">
        <v>20972</v>
      </c>
      <c r="F2050" t="s">
        <v>32606</v>
      </c>
      <c r="G2050" t="s">
        <v>32613</v>
      </c>
      <c r="H2050" t="s">
        <v>14201</v>
      </c>
      <c r="I2050" t="s">
        <v>32629</v>
      </c>
      <c r="J2050" t="s">
        <v>34248</v>
      </c>
      <c r="K2050" t="s">
        <v>42631</v>
      </c>
      <c r="M2050" t="s">
        <v>43872</v>
      </c>
      <c r="N2050" t="s">
        <v>47304</v>
      </c>
      <c r="O2050" t="s">
        <v>47305</v>
      </c>
      <c r="P2050">
        <v>0</v>
      </c>
      <c r="Q2050">
        <v>0</v>
      </c>
      <c r="R2050" t="s">
        <v>47307</v>
      </c>
      <c r="S2050" t="s">
        <v>47416</v>
      </c>
      <c r="T2050" t="s">
        <v>49107</v>
      </c>
      <c r="U2050" t="s">
        <v>51365</v>
      </c>
      <c r="V2050" t="s">
        <v>62869</v>
      </c>
      <c r="W2050" t="s">
        <v>43872</v>
      </c>
      <c r="X2050" t="s">
        <v>47306</v>
      </c>
    </row>
    <row r="2051" spans="1:24">
      <c r="A2051">
        <f>HYPERLINK("https://www.philgeps.gov.ph/GEPSNONPILOT/Tender/SplashBidNoticeAbstractUI.aspx?menuIndex=3&amp;refID=7199912&amp;Result=3","7199912")</f>
        <v>0</v>
      </c>
      <c r="B2051" t="s">
        <v>617</v>
      </c>
      <c r="C2051" t="s">
        <v>5841</v>
      </c>
      <c r="D2051" t="s">
        <v>19058</v>
      </c>
      <c r="E2051" t="s">
        <v>20973</v>
      </c>
      <c r="F2051" t="s">
        <v>32606</v>
      </c>
      <c r="G2051" t="s">
        <v>32614</v>
      </c>
      <c r="H2051" t="s">
        <v>32623</v>
      </c>
      <c r="I2051" t="s">
        <v>17648</v>
      </c>
      <c r="J2051" t="s">
        <v>34249</v>
      </c>
      <c r="K2051" t="s">
        <v>42624</v>
      </c>
      <c r="M2051" t="s">
        <v>43535</v>
      </c>
      <c r="N2051" t="s">
        <v>47304</v>
      </c>
      <c r="O2051" t="s">
        <v>47305</v>
      </c>
      <c r="P2051">
        <v>0</v>
      </c>
      <c r="Q2051">
        <v>0</v>
      </c>
      <c r="R2051" t="s">
        <v>47307</v>
      </c>
      <c r="S2051" t="s">
        <v>47416</v>
      </c>
      <c r="T2051" t="s">
        <v>48988</v>
      </c>
      <c r="U2051" t="s">
        <v>51366</v>
      </c>
      <c r="V2051" t="s">
        <v>62789</v>
      </c>
      <c r="W2051" t="s">
        <v>43535</v>
      </c>
      <c r="X2051" t="s">
        <v>47306</v>
      </c>
    </row>
    <row r="2052" spans="1:24">
      <c r="A2052">
        <f>HYPERLINK("https://www.philgeps.gov.ph/GEPSNONPILOT/Tender/SplashBidNoticeAbstractUI.aspx?menuIndex=3&amp;refID=7199909&amp;Result=3","7199909")</f>
        <v>0</v>
      </c>
      <c r="B2052" t="s">
        <v>933</v>
      </c>
      <c r="C2052" t="s">
        <v>5842</v>
      </c>
      <c r="D2052" t="s">
        <v>19049</v>
      </c>
      <c r="E2052" t="s">
        <v>20974</v>
      </c>
      <c r="F2052" t="s">
        <v>32606</v>
      </c>
      <c r="G2052" t="s">
        <v>32614</v>
      </c>
      <c r="H2052" t="s">
        <v>14201</v>
      </c>
      <c r="I2052" t="s">
        <v>32708</v>
      </c>
      <c r="J2052" t="s">
        <v>32781</v>
      </c>
      <c r="K2052" t="s">
        <v>42623</v>
      </c>
      <c r="M2052" t="s">
        <v>43873</v>
      </c>
      <c r="N2052" t="s">
        <v>47304</v>
      </c>
      <c r="O2052" t="s">
        <v>47305</v>
      </c>
      <c r="P2052">
        <v>0</v>
      </c>
      <c r="Q2052">
        <v>0</v>
      </c>
      <c r="R2052" t="s">
        <v>47307</v>
      </c>
      <c r="S2052" t="s">
        <v>47416</v>
      </c>
      <c r="T2052" t="s">
        <v>49093</v>
      </c>
      <c r="U2052" t="s">
        <v>51367</v>
      </c>
      <c r="W2052" t="s">
        <v>43873</v>
      </c>
      <c r="X2052" t="s">
        <v>47306</v>
      </c>
    </row>
    <row r="2053" spans="1:24">
      <c r="A2053">
        <f>HYPERLINK("https://www.philgeps.gov.ph/GEPSNONPILOT/Tender/SplashBidNoticeAbstractUI.aspx?menuIndex=3&amp;refID=7199879&amp;Result=3","7199879")</f>
        <v>0</v>
      </c>
      <c r="B2053" t="s">
        <v>934</v>
      </c>
      <c r="C2053" t="s">
        <v>5843</v>
      </c>
      <c r="D2053" t="s">
        <v>19040</v>
      </c>
      <c r="E2053" t="s">
        <v>20975</v>
      </c>
      <c r="F2053" t="s">
        <v>32606</v>
      </c>
      <c r="G2053" t="s">
        <v>32613</v>
      </c>
      <c r="H2053" t="s">
        <v>32623</v>
      </c>
      <c r="I2053" t="s">
        <v>17648</v>
      </c>
      <c r="J2053" t="s">
        <v>34250</v>
      </c>
      <c r="K2053" t="s">
        <v>42722</v>
      </c>
      <c r="M2053" t="s">
        <v>43874</v>
      </c>
      <c r="N2053" t="s">
        <v>47304</v>
      </c>
      <c r="O2053" t="s">
        <v>47305</v>
      </c>
      <c r="P2053">
        <v>0</v>
      </c>
      <c r="Q2053">
        <v>0</v>
      </c>
      <c r="R2053" t="s">
        <v>47307</v>
      </c>
      <c r="S2053" t="s">
        <v>47416</v>
      </c>
      <c r="T2053" t="s">
        <v>49008</v>
      </c>
      <c r="U2053" t="s">
        <v>51368</v>
      </c>
      <c r="V2053" t="s">
        <v>62870</v>
      </c>
      <c r="W2053" t="s">
        <v>43874</v>
      </c>
      <c r="X2053" t="s">
        <v>47306</v>
      </c>
    </row>
    <row r="2054" spans="1:24">
      <c r="A2054">
        <f>HYPERLINK("https://www.philgeps.gov.ph/GEPSNONPILOT/Tender/SplashBidNoticeAbstractUI.aspx?menuIndex=3&amp;refID=7199907&amp;Result=3","7199907")</f>
        <v>0</v>
      </c>
      <c r="B2054" t="s">
        <v>935</v>
      </c>
      <c r="C2054" t="s">
        <v>4640</v>
      </c>
      <c r="D2054" t="s">
        <v>19006</v>
      </c>
      <c r="E2054" t="s">
        <v>20976</v>
      </c>
      <c r="F2054" t="s">
        <v>32606</v>
      </c>
      <c r="G2054" t="s">
        <v>32614</v>
      </c>
      <c r="H2054" t="s">
        <v>14201</v>
      </c>
      <c r="I2054" t="s">
        <v>4678</v>
      </c>
      <c r="J2054" t="s">
        <v>34251</v>
      </c>
      <c r="K2054" t="s">
        <v>42622</v>
      </c>
      <c r="M2054" t="s">
        <v>43875</v>
      </c>
      <c r="N2054" t="s">
        <v>47304</v>
      </c>
      <c r="O2054" t="s">
        <v>47305</v>
      </c>
      <c r="P2054">
        <v>0</v>
      </c>
      <c r="Q2054">
        <v>0</v>
      </c>
      <c r="R2054" t="s">
        <v>47307</v>
      </c>
      <c r="S2054" t="s">
        <v>47416</v>
      </c>
      <c r="T2054" t="s">
        <v>49098</v>
      </c>
      <c r="U2054" t="s">
        <v>51369</v>
      </c>
      <c r="W2054" t="s">
        <v>43875</v>
      </c>
      <c r="X2054" t="s">
        <v>47306</v>
      </c>
    </row>
    <row r="2055" spans="1:24">
      <c r="A2055">
        <f>HYPERLINK("https://www.philgeps.gov.ph/GEPSNONPILOT/Tender/SplashBidNoticeAbstractUI.aspx?menuIndex=3&amp;refID=7199918&amp;Result=3","7199918")</f>
        <v>0</v>
      </c>
      <c r="B2055" t="s">
        <v>936</v>
      </c>
      <c r="C2055" t="s">
        <v>5844</v>
      </c>
      <c r="D2055" t="s">
        <v>19035</v>
      </c>
      <c r="E2055" t="s">
        <v>20977</v>
      </c>
      <c r="F2055" t="s">
        <v>32606</v>
      </c>
      <c r="G2055" t="s">
        <v>32614</v>
      </c>
      <c r="H2055" t="s">
        <v>14201</v>
      </c>
      <c r="I2055" t="s">
        <v>6298</v>
      </c>
      <c r="J2055" t="s">
        <v>34252</v>
      </c>
      <c r="K2055" t="s">
        <v>42624</v>
      </c>
      <c r="M2055" t="s">
        <v>43876</v>
      </c>
      <c r="N2055" t="s">
        <v>47304</v>
      </c>
      <c r="O2055" t="s">
        <v>47305</v>
      </c>
      <c r="P2055">
        <v>0</v>
      </c>
      <c r="Q2055">
        <v>0</v>
      </c>
      <c r="R2055" t="s">
        <v>47307</v>
      </c>
      <c r="S2055" t="s">
        <v>47416</v>
      </c>
      <c r="T2055" t="s">
        <v>48988</v>
      </c>
      <c r="U2055" t="s">
        <v>51370</v>
      </c>
      <c r="W2055" t="s">
        <v>64457</v>
      </c>
      <c r="X2055" t="s">
        <v>47306</v>
      </c>
    </row>
    <row r="2056" spans="1:24">
      <c r="A2056">
        <f>HYPERLINK("https://www.philgeps.gov.ph/GEPSNONPILOT/Tender/SplashBidNoticeAbstractUI.aspx?menuIndex=3&amp;refID=7199905&amp;Result=3","7199905")</f>
        <v>0</v>
      </c>
      <c r="B2056" t="s">
        <v>937</v>
      </c>
      <c r="C2056" t="s">
        <v>5845</v>
      </c>
      <c r="D2056" t="s">
        <v>19001</v>
      </c>
      <c r="E2056" t="s">
        <v>19249</v>
      </c>
      <c r="F2056" t="s">
        <v>32606</v>
      </c>
      <c r="G2056" t="s">
        <v>32613</v>
      </c>
      <c r="H2056" t="s">
        <v>14201</v>
      </c>
      <c r="I2056" t="s">
        <v>32631</v>
      </c>
      <c r="J2056" t="s">
        <v>34253</v>
      </c>
      <c r="K2056" t="s">
        <v>42624</v>
      </c>
      <c r="M2056" t="s">
        <v>43877</v>
      </c>
      <c r="N2056" t="s">
        <v>47304</v>
      </c>
      <c r="O2056" t="s">
        <v>47305</v>
      </c>
      <c r="P2056">
        <v>0</v>
      </c>
      <c r="Q2056">
        <v>0</v>
      </c>
      <c r="R2056" t="s">
        <v>47307</v>
      </c>
      <c r="S2056" t="s">
        <v>47416</v>
      </c>
      <c r="T2056" t="s">
        <v>48995</v>
      </c>
      <c r="U2056" t="s">
        <v>51371</v>
      </c>
      <c r="W2056" t="s">
        <v>43877</v>
      </c>
      <c r="X2056" t="s">
        <v>47306</v>
      </c>
    </row>
    <row r="2057" spans="1:24">
      <c r="A2057">
        <f>HYPERLINK("https://www.philgeps.gov.ph/GEPSNONPILOT/Tender/SplashBidNoticeAbstractUI.aspx?menuIndex=3&amp;refID=7199903&amp;Result=3","7199903")</f>
        <v>0</v>
      </c>
      <c r="B2057" t="s">
        <v>497</v>
      </c>
      <c r="C2057" t="s">
        <v>4789</v>
      </c>
      <c r="D2057" t="s">
        <v>18991</v>
      </c>
      <c r="E2057" t="s">
        <v>20978</v>
      </c>
      <c r="F2057" t="s">
        <v>32606</v>
      </c>
      <c r="G2057" t="s">
        <v>32614</v>
      </c>
      <c r="H2057" t="s">
        <v>14201</v>
      </c>
      <c r="I2057" t="s">
        <v>32689</v>
      </c>
      <c r="J2057" t="s">
        <v>34254</v>
      </c>
      <c r="K2057" t="s">
        <v>42624</v>
      </c>
      <c r="M2057" t="s">
        <v>43410</v>
      </c>
      <c r="N2057" t="s">
        <v>47304</v>
      </c>
      <c r="O2057" t="s">
        <v>47305</v>
      </c>
      <c r="P2057">
        <v>0</v>
      </c>
      <c r="Q2057">
        <v>0</v>
      </c>
      <c r="R2057" t="s">
        <v>47307</v>
      </c>
      <c r="S2057" t="s">
        <v>47416</v>
      </c>
      <c r="T2057" t="s">
        <v>49023</v>
      </c>
      <c r="U2057" t="s">
        <v>51372</v>
      </c>
      <c r="W2057" t="s">
        <v>43410</v>
      </c>
      <c r="X2057" t="s">
        <v>47306</v>
      </c>
    </row>
    <row r="2058" spans="1:24">
      <c r="A2058">
        <f>HYPERLINK("https://www.philgeps.gov.ph/GEPSNONPILOT/Tender/SplashBidNoticeAbstractUI.aspx?menuIndex=3&amp;refID=7199933&amp;Result=3","7199933")</f>
        <v>0</v>
      </c>
      <c r="B2058" t="s">
        <v>545</v>
      </c>
      <c r="C2058" t="s">
        <v>5846</v>
      </c>
      <c r="D2058" t="s">
        <v>18988</v>
      </c>
      <c r="E2058" t="s">
        <v>20979</v>
      </c>
      <c r="F2058" t="s">
        <v>32606</v>
      </c>
      <c r="G2058" t="s">
        <v>32614</v>
      </c>
      <c r="H2058" t="s">
        <v>14201</v>
      </c>
      <c r="I2058" t="s">
        <v>4121</v>
      </c>
      <c r="J2058" t="s">
        <v>34255</v>
      </c>
      <c r="K2058" t="s">
        <v>42624</v>
      </c>
      <c r="M2058" t="s">
        <v>43459</v>
      </c>
      <c r="N2058" t="s">
        <v>47304</v>
      </c>
      <c r="O2058" t="s">
        <v>47305</v>
      </c>
      <c r="P2058">
        <v>0</v>
      </c>
      <c r="Q2058">
        <v>0</v>
      </c>
      <c r="R2058" t="s">
        <v>47307</v>
      </c>
      <c r="S2058" t="s">
        <v>47416</v>
      </c>
      <c r="T2058" t="s">
        <v>49108</v>
      </c>
      <c r="U2058" t="s">
        <v>51373</v>
      </c>
      <c r="W2058" t="s">
        <v>43459</v>
      </c>
      <c r="X2058" t="s">
        <v>47306</v>
      </c>
    </row>
    <row r="2059" spans="1:24">
      <c r="A2059">
        <f>HYPERLINK("https://www.philgeps.gov.ph/GEPSNONPILOT/Tender/SplashBidNoticeAbstractUI.aspx?menuIndex=3&amp;refID=7199915&amp;Result=3","7199915")</f>
        <v>0</v>
      </c>
      <c r="B2059" t="s">
        <v>938</v>
      </c>
      <c r="C2059" t="s">
        <v>5847</v>
      </c>
      <c r="E2059" t="s">
        <v>20980</v>
      </c>
      <c r="F2059" t="s">
        <v>32606</v>
      </c>
      <c r="G2059" t="s">
        <v>32614</v>
      </c>
      <c r="H2059" t="s">
        <v>14201</v>
      </c>
      <c r="I2059" t="s">
        <v>32669</v>
      </c>
      <c r="J2059" t="s">
        <v>33079</v>
      </c>
      <c r="K2059" t="s">
        <v>42624</v>
      </c>
      <c r="M2059" t="s">
        <v>43878</v>
      </c>
      <c r="N2059" t="s">
        <v>47304</v>
      </c>
      <c r="O2059" t="s">
        <v>47305</v>
      </c>
      <c r="P2059">
        <v>0</v>
      </c>
      <c r="Q2059">
        <v>0</v>
      </c>
      <c r="R2059" t="s">
        <v>47307</v>
      </c>
      <c r="S2059" t="s">
        <v>47416</v>
      </c>
      <c r="T2059" t="s">
        <v>49108</v>
      </c>
      <c r="U2059" t="s">
        <v>51374</v>
      </c>
      <c r="V2059" t="s">
        <v>62871</v>
      </c>
      <c r="W2059" t="s">
        <v>43878</v>
      </c>
      <c r="X2059" t="s">
        <v>47306</v>
      </c>
    </row>
    <row r="2060" spans="1:24">
      <c r="A2060">
        <f>HYPERLINK("https://www.philgeps.gov.ph/GEPSNONPILOT/Tender/SplashBidNoticeAbstractUI.aspx?menuIndex=3&amp;refID=7199941&amp;Result=3","7199941")</f>
        <v>0</v>
      </c>
      <c r="B2060" t="s">
        <v>728</v>
      </c>
      <c r="C2060" t="s">
        <v>5848</v>
      </c>
      <c r="D2060" t="s">
        <v>19025</v>
      </c>
      <c r="E2060" t="s">
        <v>20981</v>
      </c>
      <c r="F2060" t="s">
        <v>32606</v>
      </c>
      <c r="G2060" t="s">
        <v>32614</v>
      </c>
      <c r="H2060" t="s">
        <v>14201</v>
      </c>
      <c r="I2060" t="s">
        <v>6931</v>
      </c>
      <c r="J2060" t="s">
        <v>34256</v>
      </c>
      <c r="K2060" t="s">
        <v>42631</v>
      </c>
      <c r="M2060" t="s">
        <v>43650</v>
      </c>
      <c r="N2060" t="s">
        <v>47304</v>
      </c>
      <c r="O2060" t="s">
        <v>47305</v>
      </c>
      <c r="P2060">
        <v>0</v>
      </c>
      <c r="Q2060">
        <v>0</v>
      </c>
      <c r="R2060" t="s">
        <v>47307</v>
      </c>
      <c r="S2060" t="s">
        <v>47416</v>
      </c>
      <c r="T2060" t="s">
        <v>48986</v>
      </c>
      <c r="U2060" t="s">
        <v>50853</v>
      </c>
      <c r="W2060" t="s">
        <v>43650</v>
      </c>
      <c r="X2060" t="s">
        <v>47306</v>
      </c>
    </row>
    <row r="2061" spans="1:24">
      <c r="A2061">
        <f>HYPERLINK("https://www.philgeps.gov.ph/GEPSNONPILOT/Tender/SplashBidNoticeAbstractUI.aspx?menuIndex=3&amp;refID=7199911&amp;Result=3","7199911")</f>
        <v>0</v>
      </c>
      <c r="B2061" t="s">
        <v>325</v>
      </c>
      <c r="C2061" t="s">
        <v>5849</v>
      </c>
      <c r="D2061" t="s">
        <v>18992</v>
      </c>
      <c r="E2061" t="s">
        <v>20240</v>
      </c>
      <c r="F2061" t="s">
        <v>32606</v>
      </c>
      <c r="G2061" t="s">
        <v>32613</v>
      </c>
      <c r="H2061" t="s">
        <v>14201</v>
      </c>
      <c r="I2061" t="s">
        <v>7677</v>
      </c>
      <c r="J2061" t="s">
        <v>34257</v>
      </c>
      <c r="K2061" t="s">
        <v>42622</v>
      </c>
      <c r="M2061" t="s">
        <v>43227</v>
      </c>
      <c r="N2061" t="s">
        <v>47304</v>
      </c>
      <c r="O2061" t="s">
        <v>47305</v>
      </c>
      <c r="P2061">
        <v>0</v>
      </c>
      <c r="Q2061">
        <v>0</v>
      </c>
      <c r="R2061" t="s">
        <v>47307</v>
      </c>
      <c r="S2061" t="s">
        <v>47416</v>
      </c>
      <c r="T2061" t="s">
        <v>49033</v>
      </c>
      <c r="U2061" t="s">
        <v>51375</v>
      </c>
      <c r="W2061" t="s">
        <v>43227</v>
      </c>
      <c r="X2061" t="s">
        <v>47306</v>
      </c>
    </row>
    <row r="2062" spans="1:24">
      <c r="A2062">
        <f>HYPERLINK("https://www.philgeps.gov.ph/GEPSNONPILOT/Tender/SplashBidNoticeAbstractUI.aspx?menuIndex=3&amp;refID=7199908&amp;Result=3","7199908")</f>
        <v>0</v>
      </c>
      <c r="B2062" t="s">
        <v>173</v>
      </c>
      <c r="C2062" t="s">
        <v>5850</v>
      </c>
      <c r="E2062" t="s">
        <v>20982</v>
      </c>
      <c r="F2062" t="s">
        <v>32606</v>
      </c>
      <c r="G2062" t="s">
        <v>32613</v>
      </c>
      <c r="H2062" t="s">
        <v>14201</v>
      </c>
      <c r="I2062" t="s">
        <v>32675</v>
      </c>
      <c r="J2062" t="s">
        <v>34069</v>
      </c>
      <c r="K2062" t="s">
        <v>42624</v>
      </c>
      <c r="M2062" t="s">
        <v>43074</v>
      </c>
      <c r="N2062" t="s">
        <v>47304</v>
      </c>
      <c r="O2062" t="s">
        <v>47305</v>
      </c>
      <c r="P2062">
        <v>0</v>
      </c>
      <c r="Q2062">
        <v>0</v>
      </c>
      <c r="R2062" t="s">
        <v>47307</v>
      </c>
      <c r="S2062" t="s">
        <v>47416</v>
      </c>
      <c r="T2062" t="s">
        <v>49116</v>
      </c>
      <c r="U2062" t="s">
        <v>50542</v>
      </c>
      <c r="W2062" t="s">
        <v>43074</v>
      </c>
      <c r="X2062" t="s">
        <v>47306</v>
      </c>
    </row>
    <row r="2063" spans="1:24">
      <c r="A2063">
        <f>HYPERLINK("https://www.philgeps.gov.ph/GEPSNONPILOT/Tender/SplashBidNoticeAbstractUI.aspx?menuIndex=3&amp;refID=7199906&amp;Result=3","7199906")</f>
        <v>0</v>
      </c>
      <c r="B2063" t="s">
        <v>891</v>
      </c>
      <c r="C2063" t="s">
        <v>5851</v>
      </c>
      <c r="D2063" t="s">
        <v>19016</v>
      </c>
      <c r="E2063" t="s">
        <v>20983</v>
      </c>
      <c r="F2063" t="s">
        <v>32606</v>
      </c>
      <c r="G2063" t="s">
        <v>32614</v>
      </c>
      <c r="H2063" t="s">
        <v>14201</v>
      </c>
      <c r="I2063" t="s">
        <v>8682</v>
      </c>
      <c r="J2063" t="s">
        <v>32999</v>
      </c>
      <c r="K2063" t="s">
        <v>42631</v>
      </c>
      <c r="M2063" t="s">
        <v>43827</v>
      </c>
      <c r="N2063" t="s">
        <v>47304</v>
      </c>
      <c r="O2063" t="s">
        <v>47305</v>
      </c>
      <c r="P2063">
        <v>0</v>
      </c>
      <c r="Q2063">
        <v>1</v>
      </c>
      <c r="R2063" t="s">
        <v>47307</v>
      </c>
      <c r="S2063" t="s">
        <v>47416</v>
      </c>
      <c r="T2063" t="s">
        <v>49200</v>
      </c>
      <c r="U2063" t="s">
        <v>51254</v>
      </c>
      <c r="W2063" t="s">
        <v>64455</v>
      </c>
      <c r="X2063" t="s">
        <v>47306</v>
      </c>
    </row>
    <row r="2064" spans="1:24">
      <c r="A2064">
        <f>HYPERLINK("https://www.philgeps.gov.ph/GEPSNONPILOT/Tender/SplashBidNoticeAbstractUI.aspx?menuIndex=3&amp;refID=7199881&amp;Result=3","7199881")</f>
        <v>0</v>
      </c>
      <c r="B2064" t="s">
        <v>939</v>
      </c>
      <c r="C2064" t="s">
        <v>5852</v>
      </c>
      <c r="D2064" t="s">
        <v>19039</v>
      </c>
      <c r="E2064" t="s">
        <v>20984</v>
      </c>
      <c r="F2064" t="s">
        <v>32606</v>
      </c>
      <c r="G2064" t="s">
        <v>32614</v>
      </c>
      <c r="H2064" t="s">
        <v>14201</v>
      </c>
      <c r="I2064" t="s">
        <v>32625</v>
      </c>
      <c r="J2064" t="s">
        <v>33586</v>
      </c>
      <c r="K2064" t="s">
        <v>42629</v>
      </c>
      <c r="M2064" t="s">
        <v>43879</v>
      </c>
      <c r="N2064" t="s">
        <v>47304</v>
      </c>
      <c r="O2064" t="s">
        <v>47305</v>
      </c>
      <c r="P2064">
        <v>0</v>
      </c>
      <c r="Q2064">
        <v>0</v>
      </c>
      <c r="R2064" t="s">
        <v>47307</v>
      </c>
      <c r="S2064" t="s">
        <v>47416</v>
      </c>
      <c r="T2064" t="s">
        <v>49202</v>
      </c>
      <c r="U2064" t="s">
        <v>51376</v>
      </c>
      <c r="V2064" t="s">
        <v>62872</v>
      </c>
      <c r="W2064" t="s">
        <v>43879</v>
      </c>
      <c r="X2064" t="s">
        <v>47306</v>
      </c>
    </row>
    <row r="2065" spans="1:24">
      <c r="A2065">
        <f>HYPERLINK("https://www.philgeps.gov.ph/GEPSNONPILOT/Tender/SplashBidNoticeAbstractUI.aspx?menuIndex=3&amp;refID=7199934&amp;Result=3","7199934")</f>
        <v>0</v>
      </c>
      <c r="B2065" t="s">
        <v>238</v>
      </c>
      <c r="C2065" t="s">
        <v>5853</v>
      </c>
      <c r="D2065" t="s">
        <v>18993</v>
      </c>
      <c r="E2065" t="s">
        <v>20985</v>
      </c>
      <c r="F2065" t="s">
        <v>32606</v>
      </c>
      <c r="G2065" t="s">
        <v>32619</v>
      </c>
      <c r="H2065" t="s">
        <v>14201</v>
      </c>
      <c r="I2065" t="s">
        <v>32633</v>
      </c>
      <c r="J2065" t="s">
        <v>32920</v>
      </c>
      <c r="K2065" t="s">
        <v>42622</v>
      </c>
      <c r="M2065" t="s">
        <v>43794</v>
      </c>
      <c r="N2065" t="s">
        <v>47304</v>
      </c>
      <c r="O2065" t="s">
        <v>47305</v>
      </c>
      <c r="P2065">
        <v>0</v>
      </c>
      <c r="Q2065">
        <v>0</v>
      </c>
      <c r="R2065" t="s">
        <v>47307</v>
      </c>
      <c r="S2065" t="s">
        <v>47416</v>
      </c>
      <c r="T2065" t="s">
        <v>49014</v>
      </c>
      <c r="U2065" t="s">
        <v>51377</v>
      </c>
      <c r="V2065" t="s">
        <v>62844</v>
      </c>
      <c r="W2065" t="s">
        <v>43794</v>
      </c>
      <c r="X2065" t="s">
        <v>47306</v>
      </c>
    </row>
    <row r="2066" spans="1:24">
      <c r="A2066">
        <f>HYPERLINK("https://www.philgeps.gov.ph/GEPSNONPILOT/Tender/SplashBidNoticeAbstractUI.aspx?menuIndex=3&amp;refID=7199932&amp;Result=3","7199932")</f>
        <v>0</v>
      </c>
      <c r="B2066" t="s">
        <v>718</v>
      </c>
      <c r="C2066" t="s">
        <v>5854</v>
      </c>
      <c r="D2066" t="s">
        <v>19002</v>
      </c>
      <c r="E2066" t="s">
        <v>20986</v>
      </c>
      <c r="F2066" t="s">
        <v>32606</v>
      </c>
      <c r="G2066" t="s">
        <v>32614</v>
      </c>
      <c r="H2066" t="s">
        <v>14201</v>
      </c>
      <c r="I2066" t="s">
        <v>4369</v>
      </c>
      <c r="J2066" t="s">
        <v>34258</v>
      </c>
      <c r="K2066" t="s">
        <v>42631</v>
      </c>
      <c r="M2066" t="s">
        <v>43880</v>
      </c>
      <c r="N2066" t="s">
        <v>47304</v>
      </c>
      <c r="O2066" t="s">
        <v>47305</v>
      </c>
      <c r="P2066">
        <v>0</v>
      </c>
      <c r="Q2066">
        <v>0</v>
      </c>
      <c r="R2066" t="s">
        <v>47307</v>
      </c>
      <c r="S2066" t="s">
        <v>47416</v>
      </c>
      <c r="T2066" t="s">
        <v>48977</v>
      </c>
      <c r="U2066" t="s">
        <v>51378</v>
      </c>
      <c r="W2066" t="s">
        <v>43880</v>
      </c>
      <c r="X2066" t="s">
        <v>47306</v>
      </c>
    </row>
    <row r="2067" spans="1:24">
      <c r="A2067">
        <f>HYPERLINK("https://www.philgeps.gov.ph/GEPSNONPILOT/Tender/SplashBidNoticeAbstractUI.aspx?menuIndex=3&amp;refID=7199930&amp;Result=3","7199930")</f>
        <v>0</v>
      </c>
      <c r="B2067" t="s">
        <v>940</v>
      </c>
      <c r="C2067" t="s">
        <v>5855</v>
      </c>
      <c r="D2067" t="s">
        <v>19024</v>
      </c>
      <c r="E2067" t="s">
        <v>20987</v>
      </c>
      <c r="F2067" t="s">
        <v>32606</v>
      </c>
      <c r="G2067" t="s">
        <v>32614</v>
      </c>
      <c r="H2067" t="s">
        <v>14201</v>
      </c>
      <c r="I2067" t="s">
        <v>32640</v>
      </c>
      <c r="J2067" t="s">
        <v>32949</v>
      </c>
      <c r="K2067" t="s">
        <v>42623</v>
      </c>
      <c r="M2067" t="s">
        <v>43881</v>
      </c>
      <c r="N2067" t="s">
        <v>47304</v>
      </c>
      <c r="O2067" t="s">
        <v>47305</v>
      </c>
      <c r="P2067">
        <v>0</v>
      </c>
      <c r="Q2067">
        <v>0</v>
      </c>
      <c r="R2067" t="s">
        <v>47307</v>
      </c>
      <c r="S2067" t="s">
        <v>47416</v>
      </c>
      <c r="T2067" t="s">
        <v>48971</v>
      </c>
      <c r="U2067" t="s">
        <v>51379</v>
      </c>
      <c r="W2067" t="s">
        <v>43881</v>
      </c>
      <c r="X2067" t="s">
        <v>47306</v>
      </c>
    </row>
    <row r="2068" spans="1:24">
      <c r="A2068">
        <f>HYPERLINK("https://www.philgeps.gov.ph/GEPSNONPILOT/Tender/SplashBidNoticeAbstractUI.aspx?menuIndex=3&amp;refID=7199887&amp;Result=3","7199887")</f>
        <v>0</v>
      </c>
      <c r="B2068" t="s">
        <v>646</v>
      </c>
      <c r="C2068" t="s">
        <v>5856</v>
      </c>
      <c r="D2068" t="s">
        <v>19002</v>
      </c>
      <c r="E2068" t="s">
        <v>20988</v>
      </c>
      <c r="F2068" t="s">
        <v>32606</v>
      </c>
      <c r="G2068" t="s">
        <v>32619</v>
      </c>
      <c r="H2068" t="s">
        <v>14201</v>
      </c>
      <c r="I2068" t="s">
        <v>32662</v>
      </c>
      <c r="J2068" t="s">
        <v>34259</v>
      </c>
      <c r="K2068" t="s">
        <v>42630</v>
      </c>
      <c r="M2068" t="s">
        <v>43564</v>
      </c>
      <c r="N2068" t="s">
        <v>47304</v>
      </c>
      <c r="O2068" t="s">
        <v>47305</v>
      </c>
      <c r="P2068">
        <v>0</v>
      </c>
      <c r="Q2068">
        <v>0</v>
      </c>
      <c r="R2068" t="s">
        <v>47307</v>
      </c>
      <c r="S2068" t="s">
        <v>47416</v>
      </c>
      <c r="T2068" t="s">
        <v>49068</v>
      </c>
      <c r="U2068" t="s">
        <v>51380</v>
      </c>
      <c r="W2068" t="s">
        <v>43564</v>
      </c>
      <c r="X2068" t="s">
        <v>47306</v>
      </c>
    </row>
    <row r="2069" spans="1:24">
      <c r="A2069">
        <f>HYPERLINK("https://www.philgeps.gov.ph/GEPSNONPILOT/Tender/SplashBidNoticeAbstractUI.aspx?menuIndex=3&amp;refID=7199939&amp;Result=3","7199939")</f>
        <v>0</v>
      </c>
      <c r="B2069" t="s">
        <v>903</v>
      </c>
      <c r="C2069" t="s">
        <v>5857</v>
      </c>
      <c r="D2069" t="s">
        <v>19049</v>
      </c>
      <c r="E2069" t="s">
        <v>20989</v>
      </c>
      <c r="F2069" t="s">
        <v>32606</v>
      </c>
      <c r="G2069" t="s">
        <v>32613</v>
      </c>
      <c r="H2069" t="s">
        <v>14201</v>
      </c>
      <c r="I2069" t="s">
        <v>32629</v>
      </c>
      <c r="J2069" t="s">
        <v>34260</v>
      </c>
      <c r="K2069" t="s">
        <v>42625</v>
      </c>
      <c r="M2069" t="s">
        <v>43840</v>
      </c>
      <c r="N2069" t="s">
        <v>47304</v>
      </c>
      <c r="O2069" t="s">
        <v>47305</v>
      </c>
      <c r="P2069">
        <v>0</v>
      </c>
      <c r="Q2069">
        <v>0</v>
      </c>
      <c r="R2069" t="s">
        <v>47307</v>
      </c>
      <c r="S2069" t="s">
        <v>47416</v>
      </c>
      <c r="T2069" t="s">
        <v>49163</v>
      </c>
      <c r="U2069" t="s">
        <v>51381</v>
      </c>
      <c r="W2069" t="s">
        <v>43840</v>
      </c>
      <c r="X2069" t="s">
        <v>47306</v>
      </c>
    </row>
    <row r="2070" spans="1:24">
      <c r="A2070">
        <f>HYPERLINK("https://www.philgeps.gov.ph/GEPSNONPILOT/Tender/SplashBidNoticeAbstractUI.aspx?menuIndex=3&amp;refID=7199929&amp;Result=3","7199929")</f>
        <v>0</v>
      </c>
      <c r="B2070" t="s">
        <v>392</v>
      </c>
      <c r="C2070" t="s">
        <v>5858</v>
      </c>
      <c r="D2070" t="s">
        <v>18993</v>
      </c>
      <c r="E2070" t="s">
        <v>20990</v>
      </c>
      <c r="F2070" t="s">
        <v>32606</v>
      </c>
      <c r="G2070" t="s">
        <v>32613</v>
      </c>
      <c r="H2070" t="s">
        <v>32623</v>
      </c>
      <c r="I2070" t="s">
        <v>17648</v>
      </c>
      <c r="J2070" t="s">
        <v>34261</v>
      </c>
      <c r="K2070" t="s">
        <v>42682</v>
      </c>
      <c r="M2070" t="s">
        <v>43295</v>
      </c>
      <c r="N2070" t="s">
        <v>47304</v>
      </c>
      <c r="O2070" t="s">
        <v>47305</v>
      </c>
      <c r="P2070">
        <v>0</v>
      </c>
      <c r="Q2070">
        <v>0</v>
      </c>
      <c r="R2070" t="s">
        <v>47307</v>
      </c>
      <c r="S2070" t="s">
        <v>47416</v>
      </c>
      <c r="T2070" t="s">
        <v>49031</v>
      </c>
      <c r="U2070" t="s">
        <v>51382</v>
      </c>
      <c r="V2070" t="s">
        <v>62873</v>
      </c>
      <c r="W2070" t="s">
        <v>43295</v>
      </c>
      <c r="X2070" t="s">
        <v>47306</v>
      </c>
    </row>
    <row r="2071" spans="1:24">
      <c r="A2071">
        <f>HYPERLINK("https://www.philgeps.gov.ph/GEPSNONPILOT/Tender/SplashBidNoticeAbstractUI.aspx?menuIndex=3&amp;refID=7199936&amp;Result=3","7199936")</f>
        <v>0</v>
      </c>
      <c r="B2071" t="s">
        <v>941</v>
      </c>
      <c r="C2071" t="s">
        <v>5859</v>
      </c>
      <c r="D2071" t="s">
        <v>18993</v>
      </c>
      <c r="E2071" t="s">
        <v>20991</v>
      </c>
      <c r="F2071" t="s">
        <v>32606</v>
      </c>
      <c r="G2071" t="s">
        <v>32619</v>
      </c>
      <c r="H2071" t="s">
        <v>14201</v>
      </c>
      <c r="I2071" t="s">
        <v>32638</v>
      </c>
      <c r="J2071" t="s">
        <v>32813</v>
      </c>
      <c r="K2071" t="s">
        <v>42631</v>
      </c>
      <c r="M2071" t="s">
        <v>43882</v>
      </c>
      <c r="N2071" t="s">
        <v>47304</v>
      </c>
      <c r="O2071" t="s">
        <v>47305</v>
      </c>
      <c r="P2071">
        <v>0</v>
      </c>
      <c r="Q2071">
        <v>0</v>
      </c>
      <c r="R2071" t="s">
        <v>47307</v>
      </c>
      <c r="S2071" t="s">
        <v>47416</v>
      </c>
      <c r="T2071" t="s">
        <v>48988</v>
      </c>
      <c r="U2071" t="s">
        <v>51383</v>
      </c>
      <c r="W2071" t="s">
        <v>43882</v>
      </c>
      <c r="X2071" t="s">
        <v>47306</v>
      </c>
    </row>
    <row r="2072" spans="1:24">
      <c r="A2072">
        <f>HYPERLINK("https://www.philgeps.gov.ph/GEPSNONPILOT/Tender/SplashBidNoticeAbstractUI.aspx?menuIndex=3&amp;refID=7199926&amp;Result=3","7199926")</f>
        <v>0</v>
      </c>
      <c r="B2072" t="s">
        <v>942</v>
      </c>
      <c r="C2072" t="s">
        <v>5860</v>
      </c>
      <c r="D2072" t="s">
        <v>19003</v>
      </c>
      <c r="E2072" t="s">
        <v>20335</v>
      </c>
      <c r="F2072" t="s">
        <v>32606</v>
      </c>
      <c r="G2072" t="s">
        <v>32619</v>
      </c>
      <c r="H2072" t="s">
        <v>14201</v>
      </c>
      <c r="I2072" t="s">
        <v>6478</v>
      </c>
      <c r="J2072" t="s">
        <v>34262</v>
      </c>
      <c r="K2072" t="s">
        <v>42663</v>
      </c>
      <c r="M2072" t="s">
        <v>43883</v>
      </c>
      <c r="N2072" t="s">
        <v>47304</v>
      </c>
      <c r="O2072" t="s">
        <v>47305</v>
      </c>
      <c r="P2072">
        <v>0</v>
      </c>
      <c r="Q2072">
        <v>0</v>
      </c>
      <c r="R2072" t="s">
        <v>47307</v>
      </c>
      <c r="S2072" t="s">
        <v>47416</v>
      </c>
      <c r="T2072" t="s">
        <v>48976</v>
      </c>
      <c r="U2072" t="s">
        <v>51384</v>
      </c>
      <c r="W2072" t="s">
        <v>43883</v>
      </c>
      <c r="X2072" t="s">
        <v>47306</v>
      </c>
    </row>
    <row r="2073" spans="1:24">
      <c r="A2073">
        <f>HYPERLINK("https://www.philgeps.gov.ph/GEPSNONPILOT/Tender/SplashBidNoticeAbstractUI.aspx?menuIndex=3&amp;refID=7199931&amp;Result=3","7199931")</f>
        <v>0</v>
      </c>
      <c r="B2073" t="s">
        <v>943</v>
      </c>
      <c r="C2073" t="s">
        <v>5861</v>
      </c>
      <c r="D2073" t="s">
        <v>18997</v>
      </c>
      <c r="E2073" t="s">
        <v>20992</v>
      </c>
      <c r="F2073" t="s">
        <v>32606</v>
      </c>
      <c r="G2073" t="s">
        <v>32614</v>
      </c>
      <c r="H2073" t="s">
        <v>14201</v>
      </c>
      <c r="I2073" t="s">
        <v>32688</v>
      </c>
      <c r="J2073" t="s">
        <v>34263</v>
      </c>
      <c r="K2073" t="s">
        <v>42624</v>
      </c>
      <c r="M2073" t="s">
        <v>43884</v>
      </c>
      <c r="N2073" t="s">
        <v>47304</v>
      </c>
      <c r="O2073" t="s">
        <v>47305</v>
      </c>
      <c r="P2073">
        <v>0</v>
      </c>
      <c r="Q2073">
        <v>0</v>
      </c>
      <c r="R2073" t="s">
        <v>47307</v>
      </c>
      <c r="S2073" t="s">
        <v>47416</v>
      </c>
      <c r="T2073" t="s">
        <v>49028</v>
      </c>
      <c r="U2073" t="s">
        <v>51385</v>
      </c>
      <c r="W2073" t="s">
        <v>43884</v>
      </c>
      <c r="X2073" t="s">
        <v>47306</v>
      </c>
    </row>
    <row r="2074" spans="1:24">
      <c r="A2074">
        <f>HYPERLINK("https://www.philgeps.gov.ph/GEPSNONPILOT/Tender/SplashBidNoticeAbstractUI.aspx?menuIndex=3&amp;refID=7199923&amp;Result=3","7199923")</f>
        <v>0</v>
      </c>
      <c r="B2074" t="s">
        <v>919</v>
      </c>
      <c r="C2074" t="s">
        <v>5862</v>
      </c>
      <c r="D2074" t="s">
        <v>19011</v>
      </c>
      <c r="E2074" t="s">
        <v>20993</v>
      </c>
      <c r="F2074" t="s">
        <v>32606</v>
      </c>
      <c r="G2074" t="s">
        <v>32614</v>
      </c>
      <c r="H2074" t="s">
        <v>14201</v>
      </c>
      <c r="I2074" t="s">
        <v>32675</v>
      </c>
      <c r="J2074" t="s">
        <v>32923</v>
      </c>
      <c r="K2074" t="s">
        <v>42631</v>
      </c>
      <c r="M2074" t="s">
        <v>43859</v>
      </c>
      <c r="N2074" t="s">
        <v>47304</v>
      </c>
      <c r="O2074" t="s">
        <v>47305</v>
      </c>
      <c r="P2074">
        <v>0</v>
      </c>
      <c r="Q2074">
        <v>0</v>
      </c>
      <c r="R2074" t="s">
        <v>47307</v>
      </c>
      <c r="S2074" t="s">
        <v>47416</v>
      </c>
      <c r="T2074" t="s">
        <v>49108</v>
      </c>
      <c r="U2074" t="s">
        <v>51386</v>
      </c>
      <c r="V2074" t="s">
        <v>62863</v>
      </c>
      <c r="W2074" t="s">
        <v>43859</v>
      </c>
      <c r="X2074" t="s">
        <v>47306</v>
      </c>
    </row>
    <row r="2075" spans="1:24">
      <c r="A2075">
        <f>HYPERLINK("https://www.philgeps.gov.ph/GEPSNONPILOT/Tender/SplashBidNoticeAbstractUI.aspx?menuIndex=3&amp;refID=7199922&amp;Result=3","7199922")</f>
        <v>0</v>
      </c>
      <c r="B2075" t="s">
        <v>623</v>
      </c>
      <c r="C2075" t="s">
        <v>5863</v>
      </c>
      <c r="D2075" t="s">
        <v>19024</v>
      </c>
      <c r="E2075" t="s">
        <v>20994</v>
      </c>
      <c r="F2075" t="s">
        <v>32606</v>
      </c>
      <c r="G2075" t="s">
        <v>32613</v>
      </c>
      <c r="H2075" t="s">
        <v>14201</v>
      </c>
      <c r="I2075" t="s">
        <v>4678</v>
      </c>
      <c r="J2075" t="s">
        <v>33587</v>
      </c>
      <c r="K2075" t="s">
        <v>42623</v>
      </c>
      <c r="M2075" t="s">
        <v>43541</v>
      </c>
      <c r="N2075" t="s">
        <v>47304</v>
      </c>
      <c r="O2075" t="s">
        <v>47305</v>
      </c>
      <c r="P2075">
        <v>0</v>
      </c>
      <c r="Q2075">
        <v>0</v>
      </c>
      <c r="R2075" t="s">
        <v>47307</v>
      </c>
      <c r="S2075" t="s">
        <v>47416</v>
      </c>
      <c r="T2075" t="s">
        <v>49203</v>
      </c>
      <c r="U2075" t="s">
        <v>51387</v>
      </c>
      <c r="W2075" t="s">
        <v>43541</v>
      </c>
      <c r="X2075" t="s">
        <v>47306</v>
      </c>
    </row>
    <row r="2076" spans="1:24">
      <c r="A2076">
        <f>HYPERLINK("https://www.philgeps.gov.ph/GEPSNONPILOT/Tender/SplashBidNoticeAbstractUI.aspx?menuIndex=3&amp;refID=7199937&amp;Result=3","7199937")</f>
        <v>0</v>
      </c>
      <c r="B2076" t="s">
        <v>932</v>
      </c>
      <c r="C2076" t="s">
        <v>5864</v>
      </c>
      <c r="D2076" t="s">
        <v>19003</v>
      </c>
      <c r="E2076" t="s">
        <v>20995</v>
      </c>
      <c r="F2076" t="s">
        <v>32606</v>
      </c>
      <c r="G2076" t="s">
        <v>32613</v>
      </c>
      <c r="H2076" t="s">
        <v>32624</v>
      </c>
      <c r="I2076" t="s">
        <v>32675</v>
      </c>
      <c r="J2076" t="s">
        <v>32770</v>
      </c>
      <c r="K2076" t="s">
        <v>42631</v>
      </c>
      <c r="M2076" t="s">
        <v>43872</v>
      </c>
      <c r="N2076" t="s">
        <v>47304</v>
      </c>
      <c r="O2076" t="s">
        <v>47305</v>
      </c>
      <c r="P2076">
        <v>0</v>
      </c>
      <c r="Q2076">
        <v>0</v>
      </c>
      <c r="R2076" t="s">
        <v>47307</v>
      </c>
      <c r="S2076" t="s">
        <v>47416</v>
      </c>
      <c r="T2076" t="s">
        <v>49107</v>
      </c>
      <c r="U2076" t="s">
        <v>51388</v>
      </c>
      <c r="V2076" t="s">
        <v>62869</v>
      </c>
      <c r="W2076" t="s">
        <v>43872</v>
      </c>
      <c r="X2076" t="s">
        <v>47306</v>
      </c>
    </row>
    <row r="2077" spans="1:24">
      <c r="A2077">
        <f>HYPERLINK("https://www.philgeps.gov.ph/GEPSNONPILOT/Tender/SplashBidNoticeAbstractUI.aspx?menuIndex=3&amp;refID=7199935&amp;Result=3","7199935")</f>
        <v>0</v>
      </c>
      <c r="B2077" t="s">
        <v>944</v>
      </c>
      <c r="C2077" t="s">
        <v>5865</v>
      </c>
      <c r="D2077" t="s">
        <v>18995</v>
      </c>
      <c r="E2077" t="s">
        <v>20996</v>
      </c>
      <c r="F2077" t="s">
        <v>32606</v>
      </c>
      <c r="G2077" t="s">
        <v>32614</v>
      </c>
      <c r="H2077" t="s">
        <v>32623</v>
      </c>
      <c r="I2077" t="s">
        <v>17648</v>
      </c>
      <c r="J2077" t="s">
        <v>33103</v>
      </c>
      <c r="K2077" t="s">
        <v>42630</v>
      </c>
      <c r="M2077" t="s">
        <v>43885</v>
      </c>
      <c r="N2077" t="s">
        <v>47304</v>
      </c>
      <c r="O2077" t="s">
        <v>47305</v>
      </c>
      <c r="P2077">
        <v>0</v>
      </c>
      <c r="Q2077">
        <v>0</v>
      </c>
      <c r="R2077" t="s">
        <v>47307</v>
      </c>
      <c r="S2077" t="s">
        <v>47416</v>
      </c>
      <c r="T2077" t="s">
        <v>49041</v>
      </c>
      <c r="U2077" t="s">
        <v>51389</v>
      </c>
      <c r="W2077" t="s">
        <v>43885</v>
      </c>
      <c r="X2077" t="s">
        <v>47306</v>
      </c>
    </row>
    <row r="2078" spans="1:24">
      <c r="A2078">
        <f>HYPERLINK("https://www.philgeps.gov.ph/GEPSNONPILOT/Tender/SplashBidNoticeAbstractUI.aspx?menuIndex=3&amp;refID=7199919&amp;Result=3","7199919")</f>
        <v>0</v>
      </c>
      <c r="B2078" t="s">
        <v>748</v>
      </c>
      <c r="C2078" t="s">
        <v>5866</v>
      </c>
      <c r="D2078" t="s">
        <v>18993</v>
      </c>
      <c r="E2078" t="s">
        <v>20997</v>
      </c>
      <c r="F2078" t="s">
        <v>32606</v>
      </c>
      <c r="G2078" t="s">
        <v>32614</v>
      </c>
      <c r="H2078" t="s">
        <v>14201</v>
      </c>
      <c r="I2078" t="s">
        <v>32646</v>
      </c>
      <c r="J2078" t="s">
        <v>32995</v>
      </c>
      <c r="K2078" t="s">
        <v>42623</v>
      </c>
      <c r="M2078" t="s">
        <v>43671</v>
      </c>
      <c r="N2078" t="s">
        <v>47304</v>
      </c>
      <c r="O2078" t="s">
        <v>47305</v>
      </c>
      <c r="P2078">
        <v>0</v>
      </c>
      <c r="Q2078">
        <v>0</v>
      </c>
      <c r="R2078" t="s">
        <v>47307</v>
      </c>
      <c r="S2078" t="s">
        <v>47416</v>
      </c>
      <c r="T2078" t="s">
        <v>48986</v>
      </c>
      <c r="U2078" t="s">
        <v>51390</v>
      </c>
      <c r="V2078" t="s">
        <v>62818</v>
      </c>
      <c r="W2078" t="s">
        <v>43671</v>
      </c>
      <c r="X2078" t="s">
        <v>47306</v>
      </c>
    </row>
    <row r="2079" spans="1:24">
      <c r="A2079">
        <f>HYPERLINK("https://www.philgeps.gov.ph/GEPSNONPILOT/Tender/SplashBidNoticeAbstractUI.aspx?menuIndex=3&amp;refID=7199927&amp;Result=3","7199927")</f>
        <v>0</v>
      </c>
      <c r="B2079" t="s">
        <v>928</v>
      </c>
      <c r="C2079" t="s">
        <v>5867</v>
      </c>
      <c r="D2079" t="s">
        <v>19057</v>
      </c>
      <c r="E2079" t="s">
        <v>20998</v>
      </c>
      <c r="F2079" t="s">
        <v>32606</v>
      </c>
      <c r="G2079" t="s">
        <v>32613</v>
      </c>
      <c r="H2079" t="s">
        <v>14201</v>
      </c>
      <c r="I2079" t="s">
        <v>32640</v>
      </c>
      <c r="J2079" t="s">
        <v>34264</v>
      </c>
      <c r="K2079" t="s">
        <v>42636</v>
      </c>
      <c r="M2079" t="s">
        <v>43868</v>
      </c>
      <c r="N2079" t="s">
        <v>47304</v>
      </c>
      <c r="O2079" t="s">
        <v>47305</v>
      </c>
      <c r="P2079">
        <v>0</v>
      </c>
      <c r="Q2079">
        <v>0</v>
      </c>
      <c r="R2079" t="s">
        <v>47307</v>
      </c>
      <c r="S2079" t="s">
        <v>47416</v>
      </c>
      <c r="T2079" t="s">
        <v>49048</v>
      </c>
      <c r="U2079" t="s">
        <v>51391</v>
      </c>
      <c r="W2079" t="s">
        <v>43868</v>
      </c>
      <c r="X2079" t="s">
        <v>47306</v>
      </c>
    </row>
    <row r="2080" spans="1:24">
      <c r="A2080">
        <f>HYPERLINK("https://www.philgeps.gov.ph/GEPSNONPILOT/Tender/SplashBidNoticeAbstractUI.aspx?menuIndex=3&amp;refID=7199902&amp;Result=3","7199902")</f>
        <v>0</v>
      </c>
      <c r="B2080" t="s">
        <v>945</v>
      </c>
      <c r="C2080" t="s">
        <v>5868</v>
      </c>
      <c r="D2080" t="s">
        <v>19059</v>
      </c>
      <c r="E2080" t="s">
        <v>20999</v>
      </c>
      <c r="F2080" t="s">
        <v>32607</v>
      </c>
      <c r="G2080" t="s">
        <v>32619</v>
      </c>
      <c r="H2080" t="s">
        <v>14201</v>
      </c>
      <c r="I2080" t="s">
        <v>32631</v>
      </c>
      <c r="J2080" t="s">
        <v>34265</v>
      </c>
      <c r="K2080" t="s">
        <v>42631</v>
      </c>
      <c r="M2080" t="s">
        <v>43886</v>
      </c>
      <c r="N2080" t="s">
        <v>47304</v>
      </c>
      <c r="O2080" t="s">
        <v>47305</v>
      </c>
      <c r="P2080">
        <v>0</v>
      </c>
      <c r="Q2080">
        <v>0</v>
      </c>
      <c r="R2080" t="s">
        <v>47307</v>
      </c>
      <c r="S2080" t="s">
        <v>47416</v>
      </c>
      <c r="T2080" t="s">
        <v>49000</v>
      </c>
      <c r="U2080" t="s">
        <v>51392</v>
      </c>
      <c r="W2080" t="s">
        <v>43886</v>
      </c>
      <c r="X2080" t="s">
        <v>47306</v>
      </c>
    </row>
    <row r="2081" spans="1:24">
      <c r="A2081">
        <f>HYPERLINK("https://www.philgeps.gov.ph/GEPSNONPILOT/Tender/SplashBidNoticeAbstractUI.aspx?menuIndex=3&amp;refID=7199900&amp;Result=3","7199900")</f>
        <v>0</v>
      </c>
      <c r="B2081" t="s">
        <v>792</v>
      </c>
      <c r="C2081" t="s">
        <v>5869</v>
      </c>
      <c r="D2081" t="s">
        <v>18995</v>
      </c>
      <c r="E2081" t="s">
        <v>21000</v>
      </c>
      <c r="F2081" t="s">
        <v>32606</v>
      </c>
      <c r="G2081" t="s">
        <v>32613</v>
      </c>
      <c r="H2081" t="s">
        <v>14201</v>
      </c>
      <c r="I2081" t="s">
        <v>4112</v>
      </c>
      <c r="J2081" t="s">
        <v>34266</v>
      </c>
      <c r="K2081" t="s">
        <v>42627</v>
      </c>
      <c r="M2081" t="s">
        <v>43723</v>
      </c>
      <c r="N2081" t="s">
        <v>47304</v>
      </c>
      <c r="O2081" t="s">
        <v>47305</v>
      </c>
      <c r="P2081">
        <v>0</v>
      </c>
      <c r="Q2081">
        <v>0</v>
      </c>
      <c r="R2081" t="s">
        <v>47307</v>
      </c>
      <c r="S2081" t="s">
        <v>47416</v>
      </c>
      <c r="T2081" t="s">
        <v>49028</v>
      </c>
      <c r="U2081" t="s">
        <v>51393</v>
      </c>
      <c r="W2081" t="s">
        <v>43723</v>
      </c>
      <c r="X2081" t="s">
        <v>47306</v>
      </c>
    </row>
    <row r="2082" spans="1:24">
      <c r="A2082">
        <f>HYPERLINK("https://www.philgeps.gov.ph/GEPSNONPILOT/Tender/SplashBidNoticeAbstractUI.aspx?menuIndex=3&amp;refID=7199898&amp;Result=3","7199898")</f>
        <v>0</v>
      </c>
      <c r="B2082" t="s">
        <v>853</v>
      </c>
      <c r="C2082" t="s">
        <v>5870</v>
      </c>
      <c r="D2082" t="s">
        <v>19054</v>
      </c>
      <c r="E2082" t="s">
        <v>21001</v>
      </c>
      <c r="F2082" t="s">
        <v>32606</v>
      </c>
      <c r="G2082" t="s">
        <v>32614</v>
      </c>
      <c r="H2082" t="s">
        <v>14201</v>
      </c>
      <c r="I2082" t="s">
        <v>6931</v>
      </c>
      <c r="J2082" t="s">
        <v>34267</v>
      </c>
      <c r="K2082" t="s">
        <v>42632</v>
      </c>
      <c r="M2082" t="s">
        <v>43786</v>
      </c>
      <c r="N2082" t="s">
        <v>47304</v>
      </c>
      <c r="O2082" t="s">
        <v>47305</v>
      </c>
      <c r="P2082">
        <v>0</v>
      </c>
      <c r="Q2082">
        <v>0</v>
      </c>
      <c r="R2082" t="s">
        <v>47307</v>
      </c>
      <c r="S2082" t="s">
        <v>47416</v>
      </c>
      <c r="T2082" t="s">
        <v>48986</v>
      </c>
      <c r="U2082" t="s">
        <v>51394</v>
      </c>
      <c r="W2082" t="s">
        <v>43786</v>
      </c>
      <c r="X2082" t="s">
        <v>47306</v>
      </c>
    </row>
    <row r="2083" spans="1:24">
      <c r="A2083">
        <f>HYPERLINK("https://www.philgeps.gov.ph/GEPSNONPILOT/Tender/SplashBidNoticeAbstractUI.aspx?menuIndex=3&amp;refID=7199924&amp;Result=3","7199924")</f>
        <v>0</v>
      </c>
      <c r="B2083" t="s">
        <v>946</v>
      </c>
      <c r="C2083" t="s">
        <v>5871</v>
      </c>
      <c r="D2083" t="s">
        <v>19008</v>
      </c>
      <c r="E2083" t="s">
        <v>21002</v>
      </c>
      <c r="F2083" t="s">
        <v>32606</v>
      </c>
      <c r="G2083" t="s">
        <v>32613</v>
      </c>
      <c r="H2083" t="s">
        <v>14201</v>
      </c>
      <c r="I2083" t="s">
        <v>4678</v>
      </c>
      <c r="J2083" t="s">
        <v>34268</v>
      </c>
      <c r="K2083" t="s">
        <v>42639</v>
      </c>
      <c r="M2083" t="s">
        <v>43887</v>
      </c>
      <c r="N2083" t="s">
        <v>47304</v>
      </c>
      <c r="O2083" t="s">
        <v>47305</v>
      </c>
      <c r="P2083">
        <v>0</v>
      </c>
      <c r="Q2083">
        <v>0</v>
      </c>
      <c r="R2083" t="s">
        <v>47307</v>
      </c>
      <c r="S2083" t="s">
        <v>47416</v>
      </c>
      <c r="T2083" t="s">
        <v>49009</v>
      </c>
      <c r="U2083" t="s">
        <v>51395</v>
      </c>
      <c r="W2083" t="s">
        <v>43887</v>
      </c>
      <c r="X2083" t="s">
        <v>47306</v>
      </c>
    </row>
    <row r="2084" spans="1:24">
      <c r="A2084">
        <f>HYPERLINK("https://www.philgeps.gov.ph/GEPSNONPILOT/Tender/SplashBidNoticeAbstractUI.aspx?menuIndex=3&amp;refID=7199897&amp;Result=3","7199897")</f>
        <v>0</v>
      </c>
      <c r="B2084" t="s">
        <v>570</v>
      </c>
      <c r="C2084" t="s">
        <v>5872</v>
      </c>
      <c r="D2084" t="s">
        <v>18993</v>
      </c>
      <c r="E2084" t="s">
        <v>21003</v>
      </c>
      <c r="F2084" t="s">
        <v>32606</v>
      </c>
      <c r="G2084" t="s">
        <v>32614</v>
      </c>
      <c r="H2084" t="s">
        <v>14201</v>
      </c>
      <c r="I2084" t="s">
        <v>32633</v>
      </c>
      <c r="J2084" t="s">
        <v>34269</v>
      </c>
      <c r="K2084" t="s">
        <v>42629</v>
      </c>
      <c r="M2084" t="s">
        <v>43485</v>
      </c>
      <c r="N2084" t="s">
        <v>47304</v>
      </c>
      <c r="O2084" t="s">
        <v>47305</v>
      </c>
      <c r="P2084">
        <v>0</v>
      </c>
      <c r="Q2084">
        <v>1</v>
      </c>
      <c r="R2084" t="s">
        <v>47307</v>
      </c>
      <c r="S2084" t="s">
        <v>47416</v>
      </c>
      <c r="T2084" t="s">
        <v>49200</v>
      </c>
      <c r="U2084" t="s">
        <v>51396</v>
      </c>
      <c r="W2084" t="s">
        <v>47043</v>
      </c>
      <c r="X2084" t="s">
        <v>47306</v>
      </c>
    </row>
    <row r="2085" spans="1:24">
      <c r="A2085">
        <f>HYPERLINK("https://www.philgeps.gov.ph/GEPSNONPILOT/Tender/SplashBidNoticeAbstractUI.aspx?menuIndex=3&amp;refID=7199895&amp;Result=3","7199895")</f>
        <v>0</v>
      </c>
      <c r="B2085" t="s">
        <v>247</v>
      </c>
      <c r="C2085" t="s">
        <v>5873</v>
      </c>
      <c r="D2085" t="s">
        <v>18993</v>
      </c>
      <c r="E2085" t="s">
        <v>21004</v>
      </c>
      <c r="F2085" t="s">
        <v>32606</v>
      </c>
      <c r="G2085" t="s">
        <v>32614</v>
      </c>
      <c r="H2085" t="s">
        <v>14201</v>
      </c>
      <c r="I2085" t="s">
        <v>32633</v>
      </c>
      <c r="J2085" t="s">
        <v>34270</v>
      </c>
      <c r="K2085" t="s">
        <v>42631</v>
      </c>
      <c r="M2085" t="s">
        <v>43148</v>
      </c>
      <c r="N2085" t="s">
        <v>47304</v>
      </c>
      <c r="O2085" t="s">
        <v>47305</v>
      </c>
      <c r="P2085">
        <v>0</v>
      </c>
      <c r="Q2085">
        <v>0</v>
      </c>
      <c r="R2085" t="s">
        <v>47307</v>
      </c>
      <c r="S2085" t="s">
        <v>47416</v>
      </c>
      <c r="T2085" t="s">
        <v>49108</v>
      </c>
      <c r="U2085" t="s">
        <v>51397</v>
      </c>
      <c r="W2085" t="s">
        <v>43148</v>
      </c>
      <c r="X2085" t="s">
        <v>47306</v>
      </c>
    </row>
    <row r="2086" spans="1:24">
      <c r="A2086">
        <f>HYPERLINK("https://www.philgeps.gov.ph/GEPSNONPILOT/Tender/SplashBidNoticeAbstractUI.aspx?menuIndex=3&amp;refID=7199894&amp;Result=3","7199894")</f>
        <v>0</v>
      </c>
      <c r="B2086" t="s">
        <v>311</v>
      </c>
      <c r="C2086" t="s">
        <v>5874</v>
      </c>
      <c r="D2086" t="s">
        <v>18993</v>
      </c>
      <c r="E2086" t="s">
        <v>21005</v>
      </c>
      <c r="F2086" t="s">
        <v>32606</v>
      </c>
      <c r="G2086" t="s">
        <v>32615</v>
      </c>
      <c r="H2086" t="s">
        <v>14201</v>
      </c>
      <c r="I2086" t="s">
        <v>6478</v>
      </c>
      <c r="J2086" t="s">
        <v>34271</v>
      </c>
      <c r="K2086" t="s">
        <v>42631</v>
      </c>
      <c r="M2086" t="s">
        <v>43888</v>
      </c>
      <c r="N2086" t="s">
        <v>47304</v>
      </c>
      <c r="O2086" t="s">
        <v>47305</v>
      </c>
      <c r="P2086">
        <v>0</v>
      </c>
      <c r="Q2086">
        <v>0</v>
      </c>
      <c r="R2086" t="s">
        <v>47307</v>
      </c>
      <c r="S2086" t="s">
        <v>47416</v>
      </c>
      <c r="T2086" t="s">
        <v>49197</v>
      </c>
      <c r="U2086" t="s">
        <v>51398</v>
      </c>
      <c r="W2086" t="s">
        <v>43888</v>
      </c>
      <c r="X2086" t="s">
        <v>47306</v>
      </c>
    </row>
    <row r="2087" spans="1:24">
      <c r="A2087">
        <f>HYPERLINK("https://www.philgeps.gov.ph/GEPSNONPILOT/Tender/SplashBidNoticeAbstractUI.aspx?menuIndex=3&amp;refID=7199878&amp;Result=3","7199878")</f>
        <v>0</v>
      </c>
      <c r="B2087" t="s">
        <v>867</v>
      </c>
      <c r="C2087" t="s">
        <v>5875</v>
      </c>
      <c r="D2087" t="s">
        <v>19040</v>
      </c>
      <c r="E2087" t="s">
        <v>21006</v>
      </c>
      <c r="F2087" t="s">
        <v>32606</v>
      </c>
      <c r="G2087" t="s">
        <v>32614</v>
      </c>
      <c r="H2087" t="s">
        <v>14201</v>
      </c>
      <c r="I2087" t="s">
        <v>32633</v>
      </c>
      <c r="J2087" t="s">
        <v>34272</v>
      </c>
      <c r="K2087" t="s">
        <v>42631</v>
      </c>
      <c r="M2087" t="s">
        <v>43801</v>
      </c>
      <c r="N2087" t="s">
        <v>47304</v>
      </c>
      <c r="O2087" t="s">
        <v>47305</v>
      </c>
      <c r="P2087">
        <v>0</v>
      </c>
      <c r="Q2087">
        <v>0</v>
      </c>
      <c r="R2087" t="s">
        <v>47307</v>
      </c>
      <c r="S2087" t="s">
        <v>47416</v>
      </c>
      <c r="T2087" t="s">
        <v>49093</v>
      </c>
      <c r="U2087" t="s">
        <v>51399</v>
      </c>
      <c r="W2087" t="s">
        <v>43801</v>
      </c>
      <c r="X2087" t="s">
        <v>47306</v>
      </c>
    </row>
    <row r="2088" spans="1:24">
      <c r="A2088">
        <f>HYPERLINK("https://www.philgeps.gov.ph/GEPSNONPILOT/Tender/SplashBidNoticeAbstractUI.aspx?menuIndex=3&amp;refID=7199877&amp;Result=3","7199877")</f>
        <v>0</v>
      </c>
      <c r="B2088" t="s">
        <v>947</v>
      </c>
      <c r="C2088" t="s">
        <v>5876</v>
      </c>
      <c r="D2088" t="s">
        <v>19006</v>
      </c>
      <c r="E2088" t="s">
        <v>21007</v>
      </c>
      <c r="F2088" t="s">
        <v>32607</v>
      </c>
      <c r="G2088" t="s">
        <v>32614</v>
      </c>
      <c r="H2088" t="s">
        <v>14201</v>
      </c>
      <c r="I2088" t="s">
        <v>32671</v>
      </c>
      <c r="J2088" t="s">
        <v>34071</v>
      </c>
      <c r="K2088" t="s">
        <v>42630</v>
      </c>
      <c r="M2088" t="s">
        <v>43889</v>
      </c>
      <c r="N2088" t="s">
        <v>47304</v>
      </c>
      <c r="O2088" t="s">
        <v>47305</v>
      </c>
      <c r="P2088">
        <v>0</v>
      </c>
      <c r="Q2088">
        <v>0</v>
      </c>
      <c r="R2088" t="s">
        <v>47307</v>
      </c>
      <c r="S2088" t="s">
        <v>47416</v>
      </c>
      <c r="T2088" t="s">
        <v>49028</v>
      </c>
      <c r="U2088" t="s">
        <v>51400</v>
      </c>
      <c r="V2088" t="s">
        <v>62874</v>
      </c>
      <c r="W2088" t="s">
        <v>43889</v>
      </c>
      <c r="X2088" t="s">
        <v>47306</v>
      </c>
    </row>
    <row r="2089" spans="1:24">
      <c r="A2089">
        <f>HYPERLINK("https://www.philgeps.gov.ph/GEPSNONPILOT/Tender/SplashBidNoticeAbstractUI.aspx?menuIndex=3&amp;refID=7199957&amp;Result=3","7199957")</f>
        <v>0</v>
      </c>
      <c r="B2089" t="s">
        <v>948</v>
      </c>
      <c r="C2089" t="s">
        <v>5877</v>
      </c>
      <c r="D2089" t="s">
        <v>19058</v>
      </c>
      <c r="E2089" t="s">
        <v>21008</v>
      </c>
      <c r="F2089" t="s">
        <v>32606</v>
      </c>
      <c r="G2089" t="s">
        <v>32619</v>
      </c>
      <c r="H2089" t="s">
        <v>14201</v>
      </c>
      <c r="I2089" t="s">
        <v>4114</v>
      </c>
      <c r="J2089" t="s">
        <v>34273</v>
      </c>
      <c r="K2089" t="s">
        <v>42631</v>
      </c>
      <c r="M2089" t="s">
        <v>43890</v>
      </c>
      <c r="N2089" t="s">
        <v>47304</v>
      </c>
      <c r="O2089" t="s">
        <v>47305</v>
      </c>
      <c r="P2089">
        <v>0</v>
      </c>
      <c r="Q2089">
        <v>0</v>
      </c>
      <c r="R2089" t="s">
        <v>47307</v>
      </c>
      <c r="S2089" t="s">
        <v>47416</v>
      </c>
      <c r="T2089" t="s">
        <v>48980</v>
      </c>
      <c r="U2089" t="s">
        <v>51401</v>
      </c>
      <c r="W2089" t="s">
        <v>43890</v>
      </c>
      <c r="X2089" t="s">
        <v>47306</v>
      </c>
    </row>
    <row r="2090" spans="1:24">
      <c r="A2090">
        <f>HYPERLINK("https://www.philgeps.gov.ph/GEPSNONPILOT/Tender/SplashBidNoticeAbstractUI.aspx?menuIndex=3&amp;refID=7199928&amp;Result=3","7199928")</f>
        <v>0</v>
      </c>
      <c r="B2090" t="s">
        <v>173</v>
      </c>
      <c r="C2090" t="s">
        <v>5878</v>
      </c>
      <c r="E2090" t="s">
        <v>21009</v>
      </c>
      <c r="F2090" t="s">
        <v>32606</v>
      </c>
      <c r="G2090" t="s">
        <v>32613</v>
      </c>
      <c r="H2090" t="s">
        <v>14201</v>
      </c>
      <c r="I2090" t="s">
        <v>8606</v>
      </c>
      <c r="J2090" t="s">
        <v>32813</v>
      </c>
      <c r="K2090" t="s">
        <v>42624</v>
      </c>
      <c r="M2090" t="s">
        <v>43074</v>
      </c>
      <c r="N2090" t="s">
        <v>47304</v>
      </c>
      <c r="O2090" t="s">
        <v>47305</v>
      </c>
      <c r="P2090">
        <v>0</v>
      </c>
      <c r="Q2090">
        <v>0</v>
      </c>
      <c r="R2090" t="s">
        <v>47307</v>
      </c>
      <c r="S2090" t="s">
        <v>47416</v>
      </c>
      <c r="T2090" t="s">
        <v>49116</v>
      </c>
      <c r="U2090" t="s">
        <v>50542</v>
      </c>
      <c r="W2090" t="s">
        <v>43074</v>
      </c>
      <c r="X2090" t="s">
        <v>47306</v>
      </c>
    </row>
    <row r="2091" spans="1:24">
      <c r="A2091">
        <f>HYPERLINK("https://www.philgeps.gov.ph/GEPSNONPILOT/Tender/SplashBidNoticeAbstractUI.aspx?menuIndex=3&amp;refID=7199956&amp;Result=3","7199956")</f>
        <v>0</v>
      </c>
      <c r="B2091" t="s">
        <v>742</v>
      </c>
      <c r="C2091" t="s">
        <v>5879</v>
      </c>
      <c r="D2091" t="s">
        <v>19054</v>
      </c>
      <c r="E2091" t="s">
        <v>21010</v>
      </c>
      <c r="F2091" t="s">
        <v>32606</v>
      </c>
      <c r="G2091" t="s">
        <v>32614</v>
      </c>
      <c r="H2091" t="s">
        <v>14201</v>
      </c>
      <c r="I2091" t="s">
        <v>9013</v>
      </c>
      <c r="J2091" t="s">
        <v>34274</v>
      </c>
      <c r="K2091" t="s">
        <v>42623</v>
      </c>
      <c r="M2091" t="s">
        <v>43665</v>
      </c>
      <c r="N2091" t="s">
        <v>47304</v>
      </c>
      <c r="O2091" t="s">
        <v>47305</v>
      </c>
      <c r="P2091">
        <v>0</v>
      </c>
      <c r="Q2091">
        <v>0</v>
      </c>
      <c r="R2091" t="s">
        <v>47307</v>
      </c>
      <c r="S2091" t="s">
        <v>47416</v>
      </c>
      <c r="T2091" t="s">
        <v>49015</v>
      </c>
      <c r="U2091" t="s">
        <v>50889</v>
      </c>
      <c r="W2091" t="s">
        <v>43665</v>
      </c>
      <c r="X2091" t="s">
        <v>47306</v>
      </c>
    </row>
    <row r="2092" spans="1:24">
      <c r="A2092">
        <f>HYPERLINK("https://www.philgeps.gov.ph/GEPSNONPILOT/Tender/SplashBidNoticeAbstractUI.aspx?menuIndex=3&amp;refID=7199966&amp;Result=3","7199966")</f>
        <v>0</v>
      </c>
      <c r="B2092" t="s">
        <v>949</v>
      </c>
      <c r="C2092" t="s">
        <v>5880</v>
      </c>
      <c r="D2092" t="s">
        <v>19044</v>
      </c>
      <c r="E2092" t="s">
        <v>21011</v>
      </c>
      <c r="F2092" t="s">
        <v>32606</v>
      </c>
      <c r="G2092" t="s">
        <v>32614</v>
      </c>
      <c r="H2092" t="s">
        <v>14201</v>
      </c>
      <c r="I2092" t="s">
        <v>6478</v>
      </c>
      <c r="J2092" t="s">
        <v>33646</v>
      </c>
      <c r="K2092" t="s">
        <v>42623</v>
      </c>
      <c r="M2092" t="s">
        <v>43891</v>
      </c>
      <c r="N2092" t="s">
        <v>47304</v>
      </c>
      <c r="O2092" t="s">
        <v>47305</v>
      </c>
      <c r="P2092">
        <v>0</v>
      </c>
      <c r="Q2092">
        <v>0</v>
      </c>
      <c r="R2092" t="s">
        <v>47307</v>
      </c>
      <c r="S2092" t="s">
        <v>47416</v>
      </c>
      <c r="T2092" t="s">
        <v>49108</v>
      </c>
      <c r="U2092" t="s">
        <v>51402</v>
      </c>
      <c r="W2092" t="s">
        <v>43891</v>
      </c>
      <c r="X2092" t="s">
        <v>47306</v>
      </c>
    </row>
    <row r="2093" spans="1:24">
      <c r="A2093">
        <f>HYPERLINK("https://www.philgeps.gov.ph/GEPSNONPILOT/Tender/SplashBidNoticeAbstractUI.aspx?menuIndex=3&amp;refID=7199965&amp;Result=3","7199965")</f>
        <v>0</v>
      </c>
      <c r="B2093" t="s">
        <v>758</v>
      </c>
      <c r="C2093" t="s">
        <v>5881</v>
      </c>
      <c r="D2093" t="s">
        <v>19032</v>
      </c>
      <c r="E2093" t="s">
        <v>21012</v>
      </c>
      <c r="F2093" t="s">
        <v>32606</v>
      </c>
      <c r="G2093" t="s">
        <v>32613</v>
      </c>
      <c r="H2093" t="s">
        <v>14201</v>
      </c>
      <c r="I2093" t="s">
        <v>6931</v>
      </c>
      <c r="J2093" t="s">
        <v>34275</v>
      </c>
      <c r="K2093" t="s">
        <v>42629</v>
      </c>
      <c r="M2093" t="s">
        <v>43682</v>
      </c>
      <c r="N2093" t="s">
        <v>47304</v>
      </c>
      <c r="O2093" t="s">
        <v>47305</v>
      </c>
      <c r="P2093">
        <v>0</v>
      </c>
      <c r="Q2093">
        <v>0</v>
      </c>
      <c r="R2093" t="s">
        <v>47307</v>
      </c>
      <c r="S2093" t="s">
        <v>47416</v>
      </c>
      <c r="T2093" t="s">
        <v>49033</v>
      </c>
      <c r="U2093" t="s">
        <v>50919</v>
      </c>
      <c r="V2093" t="s">
        <v>62875</v>
      </c>
      <c r="W2093" t="s">
        <v>43682</v>
      </c>
      <c r="X2093" t="s">
        <v>47306</v>
      </c>
    </row>
    <row r="2094" spans="1:24">
      <c r="A2094">
        <f>HYPERLINK("https://www.philgeps.gov.ph/GEPSNONPILOT/Tender/SplashBidNoticeAbstractUI.aspx?menuIndex=3&amp;refID=7199901&amp;Result=3","7199901")</f>
        <v>0</v>
      </c>
      <c r="B2094" t="s">
        <v>903</v>
      </c>
      <c r="C2094" t="s">
        <v>5882</v>
      </c>
      <c r="D2094" t="s">
        <v>19049</v>
      </c>
      <c r="E2094" t="s">
        <v>21013</v>
      </c>
      <c r="F2094" t="s">
        <v>32606</v>
      </c>
      <c r="G2094" t="s">
        <v>32613</v>
      </c>
      <c r="H2094" t="s">
        <v>14201</v>
      </c>
      <c r="I2094" t="s">
        <v>6298</v>
      </c>
      <c r="J2094" t="s">
        <v>34276</v>
      </c>
      <c r="K2094" t="s">
        <v>42631</v>
      </c>
      <c r="M2094" t="s">
        <v>43840</v>
      </c>
      <c r="N2094" t="s">
        <v>47304</v>
      </c>
      <c r="O2094" t="s">
        <v>47305</v>
      </c>
      <c r="P2094">
        <v>0</v>
      </c>
      <c r="Q2094">
        <v>0</v>
      </c>
      <c r="R2094" t="s">
        <v>47307</v>
      </c>
      <c r="S2094" t="s">
        <v>47416</v>
      </c>
      <c r="T2094" t="s">
        <v>49163</v>
      </c>
      <c r="U2094" t="s">
        <v>51403</v>
      </c>
      <c r="W2094" t="s">
        <v>43840</v>
      </c>
      <c r="X2094" t="s">
        <v>47306</v>
      </c>
    </row>
    <row r="2095" spans="1:24">
      <c r="A2095">
        <f>HYPERLINK("https://www.philgeps.gov.ph/GEPSNONPILOT/Tender/SplashBidNoticeAbstractUI.aspx?menuIndex=3&amp;refID=7199963&amp;Result=3","7199963")</f>
        <v>0</v>
      </c>
      <c r="B2095" t="s">
        <v>950</v>
      </c>
      <c r="C2095" t="s">
        <v>5883</v>
      </c>
      <c r="D2095" t="s">
        <v>18993</v>
      </c>
      <c r="E2095" t="s">
        <v>21014</v>
      </c>
      <c r="F2095" t="s">
        <v>32606</v>
      </c>
      <c r="G2095" t="s">
        <v>32614</v>
      </c>
      <c r="H2095" t="s">
        <v>14201</v>
      </c>
      <c r="I2095" t="s">
        <v>13131</v>
      </c>
      <c r="J2095" t="s">
        <v>32765</v>
      </c>
      <c r="K2095" t="s">
        <v>42625</v>
      </c>
      <c r="M2095" t="s">
        <v>43892</v>
      </c>
      <c r="N2095" t="s">
        <v>47304</v>
      </c>
      <c r="O2095" t="s">
        <v>47305</v>
      </c>
      <c r="P2095">
        <v>0</v>
      </c>
      <c r="Q2095">
        <v>0</v>
      </c>
      <c r="R2095" t="s">
        <v>47307</v>
      </c>
      <c r="S2095" t="s">
        <v>47416</v>
      </c>
      <c r="T2095" t="s">
        <v>48976</v>
      </c>
      <c r="U2095" t="s">
        <v>51404</v>
      </c>
      <c r="W2095" t="s">
        <v>43892</v>
      </c>
      <c r="X2095" t="s">
        <v>47306</v>
      </c>
    </row>
    <row r="2096" spans="1:24">
      <c r="A2096">
        <f>HYPERLINK("https://www.philgeps.gov.ph/GEPSNONPILOT/Tender/SplashBidNoticeAbstractUI.aspx?menuIndex=3&amp;refID=7199961&amp;Result=3","7199961")</f>
        <v>0</v>
      </c>
      <c r="B2096" t="s">
        <v>951</v>
      </c>
      <c r="C2096" t="s">
        <v>5884</v>
      </c>
      <c r="D2096" t="s">
        <v>19007</v>
      </c>
      <c r="E2096" t="s">
        <v>19233</v>
      </c>
      <c r="F2096" t="s">
        <v>32606</v>
      </c>
      <c r="G2096" t="s">
        <v>32619</v>
      </c>
      <c r="H2096" t="s">
        <v>14201</v>
      </c>
      <c r="I2096" t="s">
        <v>7677</v>
      </c>
      <c r="J2096" t="s">
        <v>32813</v>
      </c>
      <c r="K2096" t="s">
        <v>42624</v>
      </c>
      <c r="M2096" t="s">
        <v>43893</v>
      </c>
      <c r="N2096" t="s">
        <v>47304</v>
      </c>
      <c r="O2096" t="s">
        <v>47305</v>
      </c>
      <c r="P2096">
        <v>0</v>
      </c>
      <c r="Q2096">
        <v>0</v>
      </c>
      <c r="R2096" t="s">
        <v>47307</v>
      </c>
      <c r="S2096" t="s">
        <v>47416</v>
      </c>
      <c r="T2096" t="s">
        <v>48980</v>
      </c>
      <c r="U2096" t="s">
        <v>51405</v>
      </c>
      <c r="W2096" t="s">
        <v>43893</v>
      </c>
      <c r="X2096" t="s">
        <v>47306</v>
      </c>
    </row>
    <row r="2097" spans="1:24">
      <c r="A2097">
        <f>HYPERLINK("https://www.philgeps.gov.ph/GEPSNONPILOT/Tender/SplashBidNoticeAbstractUI.aspx?menuIndex=3&amp;refID=7199959&amp;Result=3","7199959")</f>
        <v>0</v>
      </c>
      <c r="B2097" t="s">
        <v>728</v>
      </c>
      <c r="C2097" t="s">
        <v>5885</v>
      </c>
      <c r="D2097" t="s">
        <v>19025</v>
      </c>
      <c r="E2097" t="s">
        <v>21015</v>
      </c>
      <c r="F2097" t="s">
        <v>32606</v>
      </c>
      <c r="G2097" t="s">
        <v>32614</v>
      </c>
      <c r="H2097" t="s">
        <v>14201</v>
      </c>
      <c r="I2097" t="s">
        <v>9013</v>
      </c>
      <c r="J2097" t="s">
        <v>34277</v>
      </c>
      <c r="K2097" t="s">
        <v>42631</v>
      </c>
      <c r="M2097" t="s">
        <v>43650</v>
      </c>
      <c r="N2097" t="s">
        <v>47304</v>
      </c>
      <c r="O2097" t="s">
        <v>47305</v>
      </c>
      <c r="P2097">
        <v>0</v>
      </c>
      <c r="Q2097">
        <v>0</v>
      </c>
      <c r="R2097" t="s">
        <v>47307</v>
      </c>
      <c r="S2097" t="s">
        <v>47416</v>
      </c>
      <c r="T2097" t="s">
        <v>48986</v>
      </c>
      <c r="U2097" t="s">
        <v>50853</v>
      </c>
      <c r="W2097" t="s">
        <v>43650</v>
      </c>
      <c r="X2097" t="s">
        <v>47306</v>
      </c>
    </row>
    <row r="2098" spans="1:24">
      <c r="A2098">
        <f>HYPERLINK("https://www.philgeps.gov.ph/GEPSNONPILOT/Tender/SplashBidNoticeAbstractUI.aspx?menuIndex=3&amp;refID=7199921&amp;Result=3","7199921")</f>
        <v>0</v>
      </c>
      <c r="B2098" t="s">
        <v>247</v>
      </c>
      <c r="C2098" t="s">
        <v>5886</v>
      </c>
      <c r="D2098" t="s">
        <v>18993</v>
      </c>
      <c r="E2098" t="s">
        <v>21016</v>
      </c>
      <c r="F2098" t="s">
        <v>32606</v>
      </c>
      <c r="G2098" t="s">
        <v>32614</v>
      </c>
      <c r="H2098" t="s">
        <v>14201</v>
      </c>
      <c r="I2098" t="s">
        <v>32633</v>
      </c>
      <c r="J2098" t="s">
        <v>32825</v>
      </c>
      <c r="K2098" t="s">
        <v>42631</v>
      </c>
      <c r="M2098" t="s">
        <v>43148</v>
      </c>
      <c r="N2098" t="s">
        <v>47304</v>
      </c>
      <c r="O2098" t="s">
        <v>47305</v>
      </c>
      <c r="P2098">
        <v>0</v>
      </c>
      <c r="Q2098">
        <v>0</v>
      </c>
      <c r="R2098" t="s">
        <v>47307</v>
      </c>
      <c r="S2098" t="s">
        <v>47416</v>
      </c>
      <c r="T2098" t="s">
        <v>49108</v>
      </c>
      <c r="U2098" t="s">
        <v>51406</v>
      </c>
      <c r="W2098" t="s">
        <v>43148</v>
      </c>
      <c r="X2098" t="s">
        <v>47306</v>
      </c>
    </row>
    <row r="2099" spans="1:24">
      <c r="A2099">
        <f>HYPERLINK("https://www.philgeps.gov.ph/GEPSNONPILOT/Tender/SplashBidNoticeAbstractUI.aspx?menuIndex=3&amp;refID=7199943&amp;Result=3","7199943")</f>
        <v>0</v>
      </c>
      <c r="B2099" t="s">
        <v>833</v>
      </c>
      <c r="C2099" t="s">
        <v>5887</v>
      </c>
      <c r="D2099" t="s">
        <v>19039</v>
      </c>
      <c r="E2099" t="s">
        <v>21017</v>
      </c>
      <c r="F2099" t="s">
        <v>32606</v>
      </c>
      <c r="G2099" t="s">
        <v>32613</v>
      </c>
      <c r="H2099" t="s">
        <v>32623</v>
      </c>
      <c r="I2099" t="s">
        <v>17648</v>
      </c>
      <c r="J2099" t="s">
        <v>34278</v>
      </c>
      <c r="K2099" t="s">
        <v>42657</v>
      </c>
      <c r="M2099" t="s">
        <v>43764</v>
      </c>
      <c r="N2099" t="s">
        <v>47304</v>
      </c>
      <c r="O2099" t="s">
        <v>47305</v>
      </c>
      <c r="P2099">
        <v>0</v>
      </c>
      <c r="Q2099">
        <v>0</v>
      </c>
      <c r="R2099" t="s">
        <v>47307</v>
      </c>
      <c r="S2099" t="s">
        <v>47416</v>
      </c>
      <c r="T2099" t="s">
        <v>49190</v>
      </c>
      <c r="U2099" t="s">
        <v>51092</v>
      </c>
      <c r="W2099" t="s">
        <v>43764</v>
      </c>
      <c r="X2099" t="s">
        <v>47306</v>
      </c>
    </row>
    <row r="2100" spans="1:24">
      <c r="A2100">
        <f>HYPERLINK("https://www.philgeps.gov.ph/GEPSNONPILOT/Tender/SplashBidNoticeAbstractUI.aspx?menuIndex=3&amp;refID=7199954&amp;Result=3","7199954")</f>
        <v>0</v>
      </c>
      <c r="B2100" t="s">
        <v>952</v>
      </c>
      <c r="C2100" t="s">
        <v>5888</v>
      </c>
      <c r="D2100" t="s">
        <v>19040</v>
      </c>
      <c r="E2100" t="s">
        <v>21018</v>
      </c>
      <c r="F2100" t="s">
        <v>32606</v>
      </c>
      <c r="G2100" t="s">
        <v>32613</v>
      </c>
      <c r="H2100" t="s">
        <v>14201</v>
      </c>
      <c r="I2100" t="s">
        <v>4120</v>
      </c>
      <c r="J2100" t="s">
        <v>34279</v>
      </c>
      <c r="K2100" t="s">
        <v>42623</v>
      </c>
      <c r="M2100" t="s">
        <v>43894</v>
      </c>
      <c r="N2100" t="s">
        <v>47304</v>
      </c>
      <c r="O2100" t="s">
        <v>47305</v>
      </c>
      <c r="P2100">
        <v>0</v>
      </c>
      <c r="Q2100">
        <v>0</v>
      </c>
      <c r="R2100" t="s">
        <v>47307</v>
      </c>
      <c r="S2100" t="s">
        <v>47416</v>
      </c>
      <c r="T2100" t="s">
        <v>49069</v>
      </c>
      <c r="U2100" t="s">
        <v>51407</v>
      </c>
      <c r="W2100" t="s">
        <v>43894</v>
      </c>
      <c r="X2100" t="s">
        <v>47306</v>
      </c>
    </row>
    <row r="2101" spans="1:24">
      <c r="A2101">
        <f>HYPERLINK("https://www.philgeps.gov.ph/GEPSNONPILOT/Tender/SplashBidNoticeAbstractUI.aspx?menuIndex=3&amp;refID=7199952&amp;Result=3","7199952")</f>
        <v>0</v>
      </c>
      <c r="B2101" t="s">
        <v>945</v>
      </c>
      <c r="C2101" t="s">
        <v>5889</v>
      </c>
      <c r="D2101" t="s">
        <v>19059</v>
      </c>
      <c r="E2101" t="s">
        <v>21019</v>
      </c>
      <c r="F2101" t="s">
        <v>32607</v>
      </c>
      <c r="G2101" t="s">
        <v>32619</v>
      </c>
      <c r="H2101" t="s">
        <v>14201</v>
      </c>
      <c r="I2101" t="s">
        <v>32631</v>
      </c>
      <c r="J2101" t="s">
        <v>34280</v>
      </c>
      <c r="K2101" t="s">
        <v>42631</v>
      </c>
      <c r="M2101" t="s">
        <v>43886</v>
      </c>
      <c r="N2101" t="s">
        <v>47304</v>
      </c>
      <c r="O2101" t="s">
        <v>47305</v>
      </c>
      <c r="P2101">
        <v>0</v>
      </c>
      <c r="Q2101">
        <v>0</v>
      </c>
      <c r="R2101" t="s">
        <v>47307</v>
      </c>
      <c r="S2101" t="s">
        <v>47416</v>
      </c>
      <c r="T2101" t="s">
        <v>49000</v>
      </c>
      <c r="U2101" t="s">
        <v>51408</v>
      </c>
      <c r="W2101" t="s">
        <v>43886</v>
      </c>
      <c r="X2101" t="s">
        <v>47306</v>
      </c>
    </row>
    <row r="2102" spans="1:24">
      <c r="A2102">
        <f>HYPERLINK("https://www.philgeps.gov.ph/GEPSNONPILOT/Tender/SplashBidNoticeAbstractUI.aspx?menuIndex=3&amp;refID=7199950&amp;Result=3","7199950")</f>
        <v>0</v>
      </c>
      <c r="B2102" t="s">
        <v>901</v>
      </c>
      <c r="C2102" t="s">
        <v>5890</v>
      </c>
      <c r="D2102" t="s">
        <v>19027</v>
      </c>
      <c r="E2102" t="s">
        <v>21020</v>
      </c>
      <c r="F2102" t="s">
        <v>32606</v>
      </c>
      <c r="G2102" t="s">
        <v>32614</v>
      </c>
      <c r="H2102" t="s">
        <v>14201</v>
      </c>
      <c r="I2102" t="s">
        <v>32712</v>
      </c>
      <c r="J2102" t="s">
        <v>34281</v>
      </c>
      <c r="K2102" t="s">
        <v>42631</v>
      </c>
      <c r="M2102" t="s">
        <v>43838</v>
      </c>
      <c r="N2102" t="s">
        <v>47304</v>
      </c>
      <c r="O2102" t="s">
        <v>47305</v>
      </c>
      <c r="P2102">
        <v>0</v>
      </c>
      <c r="Q2102">
        <v>0</v>
      </c>
      <c r="R2102" t="s">
        <v>47307</v>
      </c>
      <c r="S2102" t="s">
        <v>47416</v>
      </c>
      <c r="T2102" t="s">
        <v>49076</v>
      </c>
      <c r="U2102" t="s">
        <v>51409</v>
      </c>
      <c r="V2102" t="s">
        <v>50603</v>
      </c>
      <c r="W2102" t="s">
        <v>43838</v>
      </c>
      <c r="X2102" t="s">
        <v>47306</v>
      </c>
    </row>
    <row r="2103" spans="1:24">
      <c r="A2103">
        <f>HYPERLINK("https://www.philgeps.gov.ph/GEPSNONPILOT/Tender/SplashBidNoticeAbstractUI.aspx?menuIndex=3&amp;refID=7199948&amp;Result=3","7199948")</f>
        <v>0</v>
      </c>
      <c r="B2103" t="s">
        <v>906</v>
      </c>
      <c r="C2103" t="s">
        <v>5891</v>
      </c>
      <c r="D2103" t="s">
        <v>19013</v>
      </c>
      <c r="E2103" t="s">
        <v>21021</v>
      </c>
      <c r="F2103" t="s">
        <v>32606</v>
      </c>
      <c r="G2103" t="s">
        <v>32614</v>
      </c>
      <c r="H2103" t="s">
        <v>14201</v>
      </c>
      <c r="I2103" t="s">
        <v>32629</v>
      </c>
      <c r="J2103" t="s">
        <v>34282</v>
      </c>
      <c r="K2103" t="s">
        <v>42631</v>
      </c>
      <c r="M2103" t="s">
        <v>43844</v>
      </c>
      <c r="N2103" t="s">
        <v>47304</v>
      </c>
      <c r="O2103" t="s">
        <v>47305</v>
      </c>
      <c r="P2103">
        <v>0</v>
      </c>
      <c r="Q2103">
        <v>0</v>
      </c>
      <c r="R2103" t="s">
        <v>47307</v>
      </c>
      <c r="S2103" t="s">
        <v>47416</v>
      </c>
      <c r="T2103" t="s">
        <v>49023</v>
      </c>
      <c r="U2103" t="s">
        <v>51410</v>
      </c>
      <c r="W2103" t="s">
        <v>43844</v>
      </c>
      <c r="X2103" t="s">
        <v>47306</v>
      </c>
    </row>
    <row r="2104" spans="1:24">
      <c r="A2104">
        <f>HYPERLINK("https://www.philgeps.gov.ph/GEPSNONPILOT/Tender/SplashBidNoticeAbstractUI.aspx?menuIndex=3&amp;refID=7199955&amp;Result=3","7199955")</f>
        <v>0</v>
      </c>
      <c r="B2104" t="s">
        <v>953</v>
      </c>
      <c r="C2104" t="s">
        <v>5892</v>
      </c>
      <c r="D2104" t="s">
        <v>19010</v>
      </c>
      <c r="E2104" t="s">
        <v>21022</v>
      </c>
      <c r="F2104" t="s">
        <v>32606</v>
      </c>
      <c r="G2104" t="s">
        <v>32613</v>
      </c>
      <c r="H2104" t="s">
        <v>14201</v>
      </c>
      <c r="I2104" t="s">
        <v>32635</v>
      </c>
      <c r="J2104" t="s">
        <v>34283</v>
      </c>
      <c r="K2104" t="s">
        <v>42623</v>
      </c>
      <c r="M2104" t="s">
        <v>43895</v>
      </c>
      <c r="N2104" t="s">
        <v>47304</v>
      </c>
      <c r="O2104" t="s">
        <v>47305</v>
      </c>
      <c r="P2104">
        <v>0</v>
      </c>
      <c r="Q2104">
        <v>0</v>
      </c>
      <c r="R2104" t="s">
        <v>47307</v>
      </c>
      <c r="S2104" t="s">
        <v>47416</v>
      </c>
      <c r="T2104" t="s">
        <v>49066</v>
      </c>
      <c r="U2104" t="s">
        <v>51411</v>
      </c>
      <c r="W2104" t="s">
        <v>43895</v>
      </c>
      <c r="X2104" t="s">
        <v>47306</v>
      </c>
    </row>
    <row r="2105" spans="1:24">
      <c r="A2105">
        <f>HYPERLINK("https://www.philgeps.gov.ph/GEPSNONPILOT/Tender/SplashBidNoticeAbstractUI.aspx?menuIndex=3&amp;refID=7199947&amp;Result=3","7199947")</f>
        <v>0</v>
      </c>
      <c r="B2105" t="s">
        <v>617</v>
      </c>
      <c r="C2105" t="s">
        <v>5893</v>
      </c>
      <c r="D2105" t="s">
        <v>19058</v>
      </c>
      <c r="E2105" t="s">
        <v>21023</v>
      </c>
      <c r="F2105" t="s">
        <v>32606</v>
      </c>
      <c r="G2105" t="s">
        <v>32614</v>
      </c>
      <c r="H2105" t="s">
        <v>32623</v>
      </c>
      <c r="I2105" t="s">
        <v>17648</v>
      </c>
      <c r="J2105" t="s">
        <v>34284</v>
      </c>
      <c r="K2105" t="s">
        <v>42624</v>
      </c>
      <c r="M2105" t="s">
        <v>43535</v>
      </c>
      <c r="N2105" t="s">
        <v>47304</v>
      </c>
      <c r="O2105" t="s">
        <v>47305</v>
      </c>
      <c r="P2105">
        <v>0</v>
      </c>
      <c r="Q2105">
        <v>0</v>
      </c>
      <c r="R2105" t="s">
        <v>47307</v>
      </c>
      <c r="S2105" t="s">
        <v>47416</v>
      </c>
      <c r="T2105" t="s">
        <v>48988</v>
      </c>
      <c r="U2105" t="s">
        <v>51412</v>
      </c>
      <c r="V2105" t="s">
        <v>62789</v>
      </c>
      <c r="W2105" t="s">
        <v>43535</v>
      </c>
      <c r="X2105" t="s">
        <v>47306</v>
      </c>
    </row>
    <row r="2106" spans="1:24">
      <c r="A2106">
        <f>HYPERLINK("https://www.philgeps.gov.ph/GEPSNONPILOT/Tender/SplashBidNoticeAbstractUI.aspx?menuIndex=3&amp;refID=7199945&amp;Result=3","7199945")</f>
        <v>0</v>
      </c>
      <c r="B2106" t="s">
        <v>639</v>
      </c>
      <c r="C2106" t="s">
        <v>5894</v>
      </c>
      <c r="D2106" t="s">
        <v>18999</v>
      </c>
      <c r="E2106" t="s">
        <v>21024</v>
      </c>
      <c r="F2106" t="s">
        <v>32606</v>
      </c>
      <c r="G2106" t="s">
        <v>32617</v>
      </c>
      <c r="H2106" t="s">
        <v>14201</v>
      </c>
      <c r="I2106" t="s">
        <v>32640</v>
      </c>
      <c r="J2106" t="s">
        <v>34285</v>
      </c>
      <c r="K2106" t="s">
        <v>42630</v>
      </c>
      <c r="M2106" t="s">
        <v>43896</v>
      </c>
      <c r="N2106" t="s">
        <v>47304</v>
      </c>
      <c r="O2106" t="s">
        <v>47305</v>
      </c>
      <c r="P2106">
        <v>0</v>
      </c>
      <c r="Q2106">
        <v>0</v>
      </c>
      <c r="R2106" t="s">
        <v>47307</v>
      </c>
      <c r="S2106" t="s">
        <v>47416</v>
      </c>
      <c r="T2106" t="s">
        <v>49100</v>
      </c>
      <c r="U2106" t="s">
        <v>51413</v>
      </c>
      <c r="V2106" t="s">
        <v>62876</v>
      </c>
      <c r="W2106" t="s">
        <v>43896</v>
      </c>
      <c r="X2106" t="s">
        <v>47306</v>
      </c>
    </row>
    <row r="2107" spans="1:24">
      <c r="A2107">
        <f>HYPERLINK("https://www.philgeps.gov.ph/GEPSNONPILOT/Tender/SplashBidNoticeAbstractUI.aspx?menuIndex=3&amp;refID=7199960&amp;Result=3","7199960")</f>
        <v>0</v>
      </c>
      <c r="B2107" t="s">
        <v>932</v>
      </c>
      <c r="C2107" t="s">
        <v>5895</v>
      </c>
      <c r="D2107" t="s">
        <v>19003</v>
      </c>
      <c r="E2107" t="s">
        <v>21025</v>
      </c>
      <c r="F2107" t="s">
        <v>32606</v>
      </c>
      <c r="G2107" t="s">
        <v>32613</v>
      </c>
      <c r="H2107" t="s">
        <v>14201</v>
      </c>
      <c r="I2107" t="s">
        <v>7064</v>
      </c>
      <c r="J2107" t="s">
        <v>33587</v>
      </c>
      <c r="K2107" t="s">
        <v>42631</v>
      </c>
      <c r="M2107" t="s">
        <v>43872</v>
      </c>
      <c r="N2107" t="s">
        <v>47304</v>
      </c>
      <c r="O2107" t="s">
        <v>47305</v>
      </c>
      <c r="P2107">
        <v>0</v>
      </c>
      <c r="Q2107">
        <v>0</v>
      </c>
      <c r="R2107" t="s">
        <v>47307</v>
      </c>
      <c r="S2107" t="s">
        <v>47416</v>
      </c>
      <c r="T2107" t="s">
        <v>49107</v>
      </c>
      <c r="U2107" t="s">
        <v>51414</v>
      </c>
      <c r="V2107" t="s">
        <v>62869</v>
      </c>
      <c r="W2107" t="s">
        <v>43872</v>
      </c>
      <c r="X2107" t="s">
        <v>47306</v>
      </c>
    </row>
    <row r="2108" spans="1:24">
      <c r="A2108">
        <f>HYPERLINK("https://www.philgeps.gov.ph/GEPSNONPILOT/Tender/SplashBidNoticeAbstractUI.aspx?menuIndex=3&amp;refID=7199949&amp;Result=3","7199949")</f>
        <v>0</v>
      </c>
      <c r="B2108" t="s">
        <v>954</v>
      </c>
      <c r="C2108" t="s">
        <v>5896</v>
      </c>
      <c r="D2108" t="s">
        <v>19007</v>
      </c>
      <c r="E2108" t="s">
        <v>21026</v>
      </c>
      <c r="F2108" t="s">
        <v>32606</v>
      </c>
      <c r="G2108" t="s">
        <v>32619</v>
      </c>
      <c r="H2108" t="s">
        <v>14201</v>
      </c>
      <c r="I2108" t="s">
        <v>4120</v>
      </c>
      <c r="J2108" t="s">
        <v>34286</v>
      </c>
      <c r="K2108" t="s">
        <v>42627</v>
      </c>
      <c r="M2108" t="s">
        <v>43897</v>
      </c>
      <c r="N2108" t="s">
        <v>47304</v>
      </c>
      <c r="O2108" t="s">
        <v>47305</v>
      </c>
      <c r="P2108">
        <v>0</v>
      </c>
      <c r="Q2108">
        <v>0</v>
      </c>
      <c r="R2108" t="s">
        <v>47307</v>
      </c>
      <c r="S2108" t="s">
        <v>47416</v>
      </c>
      <c r="T2108" t="s">
        <v>49004</v>
      </c>
      <c r="U2108" t="s">
        <v>51415</v>
      </c>
      <c r="V2108" t="s">
        <v>62877</v>
      </c>
      <c r="W2108" t="s">
        <v>43897</v>
      </c>
      <c r="X2108" t="s">
        <v>47306</v>
      </c>
    </row>
    <row r="2109" spans="1:24">
      <c r="A2109">
        <f>HYPERLINK("https://www.philgeps.gov.ph/GEPSNONPILOT/Tender/SplashBidNoticeAbstractUI.aspx?menuIndex=3&amp;refID=7199953&amp;Result=3","7199953")</f>
        <v>0</v>
      </c>
      <c r="B2109" t="s">
        <v>933</v>
      </c>
      <c r="C2109" t="s">
        <v>5897</v>
      </c>
      <c r="D2109" t="s">
        <v>19049</v>
      </c>
      <c r="E2109" t="s">
        <v>21027</v>
      </c>
      <c r="F2109" t="s">
        <v>32606</v>
      </c>
      <c r="G2109" t="s">
        <v>32614</v>
      </c>
      <c r="H2109" t="s">
        <v>14201</v>
      </c>
      <c r="I2109" t="s">
        <v>32708</v>
      </c>
      <c r="J2109" t="s">
        <v>34211</v>
      </c>
      <c r="K2109" t="s">
        <v>42623</v>
      </c>
      <c r="M2109" t="s">
        <v>43873</v>
      </c>
      <c r="N2109" t="s">
        <v>47304</v>
      </c>
      <c r="O2109" t="s">
        <v>47305</v>
      </c>
      <c r="P2109">
        <v>0</v>
      </c>
      <c r="Q2109">
        <v>0</v>
      </c>
      <c r="R2109" t="s">
        <v>47307</v>
      </c>
      <c r="S2109" t="s">
        <v>47416</v>
      </c>
      <c r="T2109" t="s">
        <v>49093</v>
      </c>
      <c r="U2109" t="s">
        <v>51416</v>
      </c>
      <c r="W2109" t="s">
        <v>43873</v>
      </c>
      <c r="X2109" t="s">
        <v>47306</v>
      </c>
    </row>
    <row r="2110" spans="1:24">
      <c r="A2110">
        <f>HYPERLINK("https://www.philgeps.gov.ph/GEPSNONPILOT/Tender/SplashBidNoticeAbstractUI.aspx?menuIndex=3&amp;refID=7199874&amp;Result=3","7199874")</f>
        <v>0</v>
      </c>
      <c r="B2110" t="s">
        <v>639</v>
      </c>
      <c r="C2110" t="s">
        <v>4758</v>
      </c>
      <c r="D2110" t="s">
        <v>18999</v>
      </c>
      <c r="E2110" t="s">
        <v>21028</v>
      </c>
      <c r="F2110" t="s">
        <v>32606</v>
      </c>
      <c r="G2110" t="s">
        <v>32617</v>
      </c>
      <c r="H2110" t="s">
        <v>14201</v>
      </c>
      <c r="I2110" t="s">
        <v>4114</v>
      </c>
      <c r="J2110" t="s">
        <v>34287</v>
      </c>
      <c r="K2110" t="s">
        <v>42630</v>
      </c>
      <c r="M2110" t="s">
        <v>43896</v>
      </c>
      <c r="N2110" t="s">
        <v>47304</v>
      </c>
      <c r="O2110" t="s">
        <v>47305</v>
      </c>
      <c r="P2110">
        <v>0</v>
      </c>
      <c r="Q2110">
        <v>0</v>
      </c>
      <c r="R2110" t="s">
        <v>47307</v>
      </c>
      <c r="S2110" t="s">
        <v>47416</v>
      </c>
      <c r="T2110" t="s">
        <v>49100</v>
      </c>
      <c r="U2110" t="s">
        <v>51413</v>
      </c>
      <c r="V2110" t="s">
        <v>62876</v>
      </c>
      <c r="W2110" t="s">
        <v>43896</v>
      </c>
      <c r="X2110" t="s">
        <v>47306</v>
      </c>
    </row>
    <row r="2111" spans="1:24">
      <c r="A2111">
        <f>HYPERLINK("https://www.philgeps.gov.ph/GEPSNONPILOT/Tender/SplashBidNoticeAbstractUI.aspx?menuIndex=3&amp;refID=7199873&amp;Result=3","7199873")</f>
        <v>0</v>
      </c>
      <c r="B2111" t="s">
        <v>771</v>
      </c>
      <c r="C2111" t="s">
        <v>5898</v>
      </c>
      <c r="D2111" t="s">
        <v>19058</v>
      </c>
      <c r="E2111" t="s">
        <v>21029</v>
      </c>
      <c r="F2111" t="s">
        <v>32606</v>
      </c>
      <c r="G2111" t="s">
        <v>32614</v>
      </c>
      <c r="H2111" t="s">
        <v>14201</v>
      </c>
      <c r="I2111" t="s">
        <v>32677</v>
      </c>
      <c r="J2111" t="s">
        <v>32772</v>
      </c>
      <c r="K2111" t="s">
        <v>42631</v>
      </c>
      <c r="M2111" t="s">
        <v>43699</v>
      </c>
      <c r="N2111" t="s">
        <v>47304</v>
      </c>
      <c r="O2111" t="s">
        <v>47305</v>
      </c>
      <c r="P2111">
        <v>0</v>
      </c>
      <c r="Q2111">
        <v>0</v>
      </c>
      <c r="R2111" t="s">
        <v>47307</v>
      </c>
      <c r="S2111" t="s">
        <v>47416</v>
      </c>
      <c r="T2111" t="s">
        <v>49175</v>
      </c>
      <c r="U2111" t="s">
        <v>50948</v>
      </c>
      <c r="W2111" t="s">
        <v>43699</v>
      </c>
      <c r="X2111" t="s">
        <v>47306</v>
      </c>
    </row>
    <row r="2112" spans="1:24">
      <c r="A2112">
        <f>HYPERLINK("https://www.philgeps.gov.ph/GEPSNONPILOT/Tender/SplashBidNoticeAbstractUI.aspx?menuIndex=3&amp;refID=7199951&amp;Result=3","7199951")</f>
        <v>0</v>
      </c>
      <c r="B2112" t="s">
        <v>955</v>
      </c>
      <c r="C2112" t="s">
        <v>5899</v>
      </c>
      <c r="D2112" t="s">
        <v>19068</v>
      </c>
      <c r="E2112" t="s">
        <v>21030</v>
      </c>
      <c r="F2112" t="s">
        <v>32606</v>
      </c>
      <c r="G2112" t="s">
        <v>32619</v>
      </c>
      <c r="H2112" t="s">
        <v>14201</v>
      </c>
      <c r="I2112" t="s">
        <v>4678</v>
      </c>
      <c r="J2112" t="s">
        <v>34118</v>
      </c>
      <c r="K2112" t="s">
        <v>42624</v>
      </c>
      <c r="M2112" t="s">
        <v>43898</v>
      </c>
      <c r="N2112" t="s">
        <v>47304</v>
      </c>
      <c r="O2112" t="s">
        <v>47305</v>
      </c>
      <c r="P2112">
        <v>0</v>
      </c>
      <c r="Q2112">
        <v>0</v>
      </c>
      <c r="R2112" t="s">
        <v>47307</v>
      </c>
      <c r="S2112" t="s">
        <v>47416</v>
      </c>
      <c r="T2112" t="s">
        <v>49023</v>
      </c>
      <c r="U2112" t="s">
        <v>51417</v>
      </c>
      <c r="V2112" t="s">
        <v>62878</v>
      </c>
      <c r="W2112" t="s">
        <v>43898</v>
      </c>
      <c r="X2112" t="s">
        <v>47306</v>
      </c>
    </row>
    <row r="2113" spans="1:24">
      <c r="A2113">
        <f>HYPERLINK("https://www.philgeps.gov.ph/GEPSNONPILOT/Tender/SplashBidNoticeAbstractUI.aspx?menuIndex=3&amp;refID=7199872&amp;Result=3","7199872")</f>
        <v>0</v>
      </c>
      <c r="B2113" t="s">
        <v>775</v>
      </c>
      <c r="C2113" t="s">
        <v>5900</v>
      </c>
      <c r="D2113" t="s">
        <v>19024</v>
      </c>
      <c r="E2113" t="s">
        <v>21031</v>
      </c>
      <c r="F2113" t="s">
        <v>32606</v>
      </c>
      <c r="G2113" t="s">
        <v>32615</v>
      </c>
      <c r="H2113" t="s">
        <v>14201</v>
      </c>
      <c r="I2113" t="s">
        <v>32660</v>
      </c>
      <c r="J2113" t="s">
        <v>32767</v>
      </c>
      <c r="K2113" t="s">
        <v>42631</v>
      </c>
      <c r="M2113" t="s">
        <v>43841</v>
      </c>
      <c r="N2113" t="s">
        <v>47304</v>
      </c>
      <c r="O2113" t="s">
        <v>47305</v>
      </c>
      <c r="P2113">
        <v>0</v>
      </c>
      <c r="Q2113">
        <v>0</v>
      </c>
      <c r="R2113" t="s">
        <v>47307</v>
      </c>
      <c r="S2113" t="s">
        <v>47416</v>
      </c>
      <c r="T2113" t="s">
        <v>49158</v>
      </c>
      <c r="U2113" t="s">
        <v>51418</v>
      </c>
      <c r="V2113" t="s">
        <v>50290</v>
      </c>
      <c r="W2113" t="s">
        <v>43841</v>
      </c>
      <c r="X2113" t="s">
        <v>47306</v>
      </c>
    </row>
    <row r="2114" spans="1:24">
      <c r="A2114">
        <f>HYPERLINK("https://www.philgeps.gov.ph/GEPSNONPILOT/Tender/SplashBidNoticeAbstractUI.aspx?menuIndex=3&amp;refID=7199968&amp;Result=3","7199968")</f>
        <v>0</v>
      </c>
      <c r="B2114" t="s">
        <v>247</v>
      </c>
      <c r="C2114" t="s">
        <v>5901</v>
      </c>
      <c r="D2114" t="s">
        <v>18993</v>
      </c>
      <c r="E2114" t="s">
        <v>21032</v>
      </c>
      <c r="F2114" t="s">
        <v>32606</v>
      </c>
      <c r="G2114" t="s">
        <v>32614</v>
      </c>
      <c r="H2114" t="s">
        <v>14201</v>
      </c>
      <c r="I2114" t="s">
        <v>32633</v>
      </c>
      <c r="J2114" t="s">
        <v>33227</v>
      </c>
      <c r="K2114" t="s">
        <v>42631</v>
      </c>
      <c r="M2114" t="s">
        <v>43148</v>
      </c>
      <c r="N2114" t="s">
        <v>47304</v>
      </c>
      <c r="O2114" t="s">
        <v>47305</v>
      </c>
      <c r="P2114">
        <v>0</v>
      </c>
      <c r="Q2114">
        <v>0</v>
      </c>
      <c r="R2114" t="s">
        <v>47307</v>
      </c>
      <c r="S2114" t="s">
        <v>47416</v>
      </c>
      <c r="T2114" t="s">
        <v>49108</v>
      </c>
      <c r="U2114" t="s">
        <v>51419</v>
      </c>
      <c r="W2114" t="s">
        <v>43148</v>
      </c>
      <c r="X2114" t="s">
        <v>47306</v>
      </c>
    </row>
    <row r="2115" spans="1:24">
      <c r="A2115">
        <f>HYPERLINK("https://www.philgeps.gov.ph/GEPSNONPILOT/Tender/SplashBidNoticeAbstractUI.aspx?menuIndex=3&amp;refID=7199876&amp;Result=3","7199876")</f>
        <v>0</v>
      </c>
      <c r="B2115" t="s">
        <v>617</v>
      </c>
      <c r="C2115" t="s">
        <v>5902</v>
      </c>
      <c r="D2115" t="s">
        <v>19058</v>
      </c>
      <c r="E2115" t="s">
        <v>21033</v>
      </c>
      <c r="F2115" t="s">
        <v>32606</v>
      </c>
      <c r="G2115" t="s">
        <v>32621</v>
      </c>
      <c r="H2115" t="s">
        <v>32623</v>
      </c>
      <c r="I2115" t="s">
        <v>17648</v>
      </c>
      <c r="J2115" t="s">
        <v>34288</v>
      </c>
      <c r="K2115" t="s">
        <v>42624</v>
      </c>
      <c r="M2115" t="s">
        <v>43535</v>
      </c>
      <c r="N2115" t="s">
        <v>47304</v>
      </c>
      <c r="O2115" t="s">
        <v>47305</v>
      </c>
      <c r="P2115">
        <v>0</v>
      </c>
      <c r="Q2115">
        <v>0</v>
      </c>
      <c r="R2115" t="s">
        <v>47307</v>
      </c>
      <c r="S2115" t="s">
        <v>47416</v>
      </c>
      <c r="T2115" t="s">
        <v>49186</v>
      </c>
      <c r="U2115" t="s">
        <v>51420</v>
      </c>
      <c r="V2115" t="s">
        <v>62789</v>
      </c>
      <c r="W2115" t="s">
        <v>43535</v>
      </c>
      <c r="X2115" t="s">
        <v>47306</v>
      </c>
    </row>
    <row r="2116" spans="1:24">
      <c r="A2116">
        <f>HYPERLINK("https://www.philgeps.gov.ph/GEPSNONPILOT/Tender/SplashBidNoticeAbstractUI.aspx?menuIndex=3&amp;refID=7199987&amp;Result=3","7199987")</f>
        <v>0</v>
      </c>
      <c r="B2116" t="s">
        <v>648</v>
      </c>
      <c r="C2116" t="s">
        <v>5903</v>
      </c>
      <c r="D2116" t="s">
        <v>19059</v>
      </c>
      <c r="E2116" t="s">
        <v>21034</v>
      </c>
      <c r="F2116" t="s">
        <v>32606</v>
      </c>
      <c r="G2116" t="s">
        <v>32613</v>
      </c>
      <c r="H2116" t="s">
        <v>14201</v>
      </c>
      <c r="I2116" t="s">
        <v>4120</v>
      </c>
      <c r="J2116" t="s">
        <v>33195</v>
      </c>
      <c r="K2116" t="s">
        <v>42639</v>
      </c>
      <c r="M2116" t="s">
        <v>43566</v>
      </c>
      <c r="N2116" t="s">
        <v>47304</v>
      </c>
      <c r="O2116" t="s">
        <v>47305</v>
      </c>
      <c r="P2116">
        <v>0</v>
      </c>
      <c r="Q2116">
        <v>0</v>
      </c>
      <c r="R2116" t="s">
        <v>47307</v>
      </c>
      <c r="S2116" t="s">
        <v>47416</v>
      </c>
      <c r="T2116" t="s">
        <v>49017</v>
      </c>
      <c r="U2116" t="s">
        <v>51421</v>
      </c>
      <c r="W2116" t="s">
        <v>43566</v>
      </c>
      <c r="X2116" t="s">
        <v>47306</v>
      </c>
    </row>
    <row r="2117" spans="1:24">
      <c r="A2117">
        <f>HYPERLINK("https://www.philgeps.gov.ph/GEPSNONPILOT/Tender/SplashBidNoticeAbstractUI.aspx?menuIndex=3&amp;refID=7199920&amp;Result=3","7199920")</f>
        <v>0</v>
      </c>
      <c r="B2117" t="s">
        <v>903</v>
      </c>
      <c r="C2117" t="s">
        <v>5904</v>
      </c>
      <c r="D2117" t="s">
        <v>19049</v>
      </c>
      <c r="E2117" t="s">
        <v>21035</v>
      </c>
      <c r="F2117" t="s">
        <v>32606</v>
      </c>
      <c r="G2117" t="s">
        <v>32613</v>
      </c>
      <c r="H2117" t="s">
        <v>14201</v>
      </c>
      <c r="I2117" t="s">
        <v>4678</v>
      </c>
      <c r="J2117" t="s">
        <v>34289</v>
      </c>
      <c r="K2117" t="s">
        <v>42631</v>
      </c>
      <c r="M2117" t="s">
        <v>43840</v>
      </c>
      <c r="N2117" t="s">
        <v>47304</v>
      </c>
      <c r="O2117" t="s">
        <v>47305</v>
      </c>
      <c r="P2117">
        <v>0</v>
      </c>
      <c r="Q2117">
        <v>0</v>
      </c>
      <c r="R2117" t="s">
        <v>47307</v>
      </c>
      <c r="S2117" t="s">
        <v>47416</v>
      </c>
      <c r="T2117" t="s">
        <v>49163</v>
      </c>
      <c r="U2117" t="s">
        <v>51422</v>
      </c>
      <c r="W2117" t="s">
        <v>43840</v>
      </c>
      <c r="X2117" t="s">
        <v>47306</v>
      </c>
    </row>
    <row r="2118" spans="1:24">
      <c r="A2118">
        <f>HYPERLINK("https://www.philgeps.gov.ph/GEPSNONPILOT/Tender/SplashBidNoticeAbstractUI.aspx?menuIndex=3&amp;refID=7199984&amp;Result=3","7199984")</f>
        <v>0</v>
      </c>
      <c r="B2118" t="s">
        <v>956</v>
      </c>
      <c r="C2118" t="s">
        <v>5905</v>
      </c>
      <c r="D2118" t="s">
        <v>19024</v>
      </c>
      <c r="E2118" t="s">
        <v>21036</v>
      </c>
      <c r="F2118" t="s">
        <v>32606</v>
      </c>
      <c r="G2118" t="s">
        <v>32613</v>
      </c>
      <c r="H2118" t="s">
        <v>14201</v>
      </c>
      <c r="I2118" t="s">
        <v>32650</v>
      </c>
      <c r="J2118" t="s">
        <v>33630</v>
      </c>
      <c r="K2118" t="s">
        <v>42624</v>
      </c>
      <c r="M2118" t="s">
        <v>43899</v>
      </c>
      <c r="N2118" t="s">
        <v>47304</v>
      </c>
      <c r="O2118" t="s">
        <v>47305</v>
      </c>
      <c r="P2118">
        <v>0</v>
      </c>
      <c r="Q2118">
        <v>0</v>
      </c>
      <c r="R2118" t="s">
        <v>47307</v>
      </c>
      <c r="S2118" t="s">
        <v>47416</v>
      </c>
      <c r="T2118" t="s">
        <v>48971</v>
      </c>
      <c r="U2118" t="s">
        <v>51423</v>
      </c>
      <c r="W2118" t="s">
        <v>43899</v>
      </c>
      <c r="X2118" t="s">
        <v>47306</v>
      </c>
    </row>
    <row r="2119" spans="1:24">
      <c r="A2119">
        <f>HYPERLINK("https://www.philgeps.gov.ph/GEPSNONPILOT/Tender/SplashBidNoticeAbstractUI.aspx?menuIndex=3&amp;refID=7199983&amp;Result=3","7199983")</f>
        <v>0</v>
      </c>
      <c r="B2119" t="s">
        <v>852</v>
      </c>
      <c r="C2119" t="s">
        <v>5906</v>
      </c>
      <c r="D2119" t="s">
        <v>19048</v>
      </c>
      <c r="E2119" t="s">
        <v>20755</v>
      </c>
      <c r="F2119" t="s">
        <v>32606</v>
      </c>
      <c r="G2119" t="s">
        <v>32613</v>
      </c>
      <c r="H2119" t="s">
        <v>32623</v>
      </c>
      <c r="I2119" t="s">
        <v>17648</v>
      </c>
      <c r="J2119" t="s">
        <v>32767</v>
      </c>
      <c r="K2119" t="s">
        <v>42639</v>
      </c>
      <c r="M2119" t="s">
        <v>43785</v>
      </c>
      <c r="N2119" t="s">
        <v>47304</v>
      </c>
      <c r="O2119" t="s">
        <v>47305</v>
      </c>
      <c r="P2119">
        <v>0</v>
      </c>
      <c r="Q2119">
        <v>0</v>
      </c>
      <c r="R2119" t="s">
        <v>47307</v>
      </c>
      <c r="S2119" t="s">
        <v>47416</v>
      </c>
      <c r="T2119" t="s">
        <v>49066</v>
      </c>
      <c r="U2119" t="s">
        <v>51157</v>
      </c>
      <c r="V2119" t="s">
        <v>62879</v>
      </c>
      <c r="W2119" t="s">
        <v>43785</v>
      </c>
      <c r="X2119" t="s">
        <v>47306</v>
      </c>
    </row>
    <row r="2120" spans="1:24">
      <c r="A2120">
        <f>HYPERLINK("https://www.philgeps.gov.ph/GEPSNONPILOT/Tender/SplashBidNoticeAbstractUI.aspx?menuIndex=3&amp;refID=7199982&amp;Result=3","7199982")</f>
        <v>0</v>
      </c>
      <c r="B2120" t="s">
        <v>418</v>
      </c>
      <c r="C2120" t="s">
        <v>5907</v>
      </c>
      <c r="D2120" t="s">
        <v>19006</v>
      </c>
      <c r="E2120" t="s">
        <v>21037</v>
      </c>
      <c r="F2120" t="s">
        <v>32606</v>
      </c>
      <c r="G2120" t="s">
        <v>32614</v>
      </c>
      <c r="H2120" t="s">
        <v>14201</v>
      </c>
      <c r="I2120" t="s">
        <v>32631</v>
      </c>
      <c r="J2120" t="s">
        <v>34290</v>
      </c>
      <c r="K2120" t="s">
        <v>42629</v>
      </c>
      <c r="M2120" t="s">
        <v>43322</v>
      </c>
      <c r="N2120" t="s">
        <v>47304</v>
      </c>
      <c r="O2120" t="s">
        <v>47305</v>
      </c>
      <c r="P2120">
        <v>0</v>
      </c>
      <c r="Q2120">
        <v>0</v>
      </c>
      <c r="R2120" t="s">
        <v>47307</v>
      </c>
      <c r="S2120" t="s">
        <v>47416</v>
      </c>
      <c r="T2120" t="s">
        <v>48988</v>
      </c>
      <c r="U2120" t="s">
        <v>51424</v>
      </c>
      <c r="W2120" t="s">
        <v>43322</v>
      </c>
      <c r="X2120" t="s">
        <v>47306</v>
      </c>
    </row>
    <row r="2121" spans="1:24">
      <c r="A2121">
        <f>HYPERLINK("https://www.philgeps.gov.ph/GEPSNONPILOT/Tender/SplashBidNoticeAbstractUI.aspx?menuIndex=3&amp;refID=7199979&amp;Result=3","7199979")</f>
        <v>0</v>
      </c>
      <c r="B2121" t="s">
        <v>957</v>
      </c>
      <c r="C2121" t="s">
        <v>5908</v>
      </c>
      <c r="D2121" t="s">
        <v>19001</v>
      </c>
      <c r="E2121" t="s">
        <v>21038</v>
      </c>
      <c r="F2121" t="s">
        <v>32606</v>
      </c>
      <c r="G2121" t="s">
        <v>32613</v>
      </c>
      <c r="H2121" t="s">
        <v>32623</v>
      </c>
      <c r="I2121" t="s">
        <v>17648</v>
      </c>
      <c r="J2121" t="s">
        <v>34291</v>
      </c>
      <c r="K2121" t="s">
        <v>42651</v>
      </c>
      <c r="M2121" t="s">
        <v>43900</v>
      </c>
      <c r="N2121" t="s">
        <v>47304</v>
      </c>
      <c r="O2121" t="s">
        <v>47305</v>
      </c>
      <c r="P2121">
        <v>0</v>
      </c>
      <c r="Q2121">
        <v>24</v>
      </c>
      <c r="R2121" t="s">
        <v>47307</v>
      </c>
      <c r="S2121" t="s">
        <v>47416</v>
      </c>
      <c r="T2121" t="s">
        <v>48973</v>
      </c>
      <c r="U2121" t="s">
        <v>51425</v>
      </c>
      <c r="W2121" t="s">
        <v>43900</v>
      </c>
      <c r="X2121" t="s">
        <v>47306</v>
      </c>
    </row>
    <row r="2122" spans="1:24">
      <c r="A2122">
        <f>HYPERLINK("https://www.philgeps.gov.ph/GEPSNONPILOT/Tender/SplashBidNoticeAbstractUI.aspx?menuIndex=3&amp;refID=7199981&amp;Result=3","7199981")</f>
        <v>0</v>
      </c>
      <c r="B2122" t="s">
        <v>173</v>
      </c>
      <c r="C2122" t="s">
        <v>5909</v>
      </c>
      <c r="E2122" t="s">
        <v>21039</v>
      </c>
      <c r="F2122" t="s">
        <v>32606</v>
      </c>
      <c r="G2122" t="s">
        <v>32613</v>
      </c>
      <c r="H2122" t="s">
        <v>14201</v>
      </c>
      <c r="I2122" t="s">
        <v>6298</v>
      </c>
      <c r="J2122" t="s">
        <v>33968</v>
      </c>
      <c r="K2122" t="s">
        <v>42624</v>
      </c>
      <c r="M2122" t="s">
        <v>43074</v>
      </c>
      <c r="N2122" t="s">
        <v>47304</v>
      </c>
      <c r="O2122" t="s">
        <v>47305</v>
      </c>
      <c r="P2122">
        <v>0</v>
      </c>
      <c r="Q2122">
        <v>0</v>
      </c>
      <c r="R2122" t="s">
        <v>47307</v>
      </c>
      <c r="S2122" t="s">
        <v>47416</v>
      </c>
      <c r="T2122" t="s">
        <v>49116</v>
      </c>
      <c r="U2122" t="s">
        <v>50542</v>
      </c>
      <c r="W2122" t="s">
        <v>43074</v>
      </c>
      <c r="X2122" t="s">
        <v>47306</v>
      </c>
    </row>
    <row r="2123" spans="1:24">
      <c r="A2123">
        <f>HYPERLINK("https://www.philgeps.gov.ph/GEPSNONPILOT/Tender/SplashBidNoticeAbstractUI.aspx?menuIndex=3&amp;refID=7199978&amp;Result=3","7199978")</f>
        <v>0</v>
      </c>
      <c r="B2123" t="s">
        <v>728</v>
      </c>
      <c r="C2123" t="s">
        <v>5910</v>
      </c>
      <c r="D2123" t="s">
        <v>19025</v>
      </c>
      <c r="E2123" t="s">
        <v>19776</v>
      </c>
      <c r="F2123" t="s">
        <v>32606</v>
      </c>
      <c r="G2123" t="s">
        <v>32614</v>
      </c>
      <c r="H2123" t="s">
        <v>14201</v>
      </c>
      <c r="I2123" t="s">
        <v>7233</v>
      </c>
      <c r="J2123" t="s">
        <v>34292</v>
      </c>
      <c r="K2123" t="s">
        <v>42631</v>
      </c>
      <c r="M2123" t="s">
        <v>43650</v>
      </c>
      <c r="N2123" t="s">
        <v>47304</v>
      </c>
      <c r="O2123" t="s">
        <v>47305</v>
      </c>
      <c r="P2123">
        <v>0</v>
      </c>
      <c r="Q2123">
        <v>0</v>
      </c>
      <c r="R2123" t="s">
        <v>47307</v>
      </c>
      <c r="S2123" t="s">
        <v>47416</v>
      </c>
      <c r="T2123" t="s">
        <v>48986</v>
      </c>
      <c r="U2123" t="s">
        <v>50853</v>
      </c>
      <c r="W2123" t="s">
        <v>43650</v>
      </c>
      <c r="X2123" t="s">
        <v>47306</v>
      </c>
    </row>
    <row r="2124" spans="1:24">
      <c r="A2124">
        <f>HYPERLINK("https://www.philgeps.gov.ph/GEPSNONPILOT/Tender/SplashBidNoticeAbstractUI.aspx?menuIndex=3&amp;refID=7199976&amp;Result=3","7199976")</f>
        <v>0</v>
      </c>
      <c r="B2124" t="s">
        <v>909</v>
      </c>
      <c r="C2124" t="s">
        <v>5911</v>
      </c>
      <c r="E2124" t="s">
        <v>21040</v>
      </c>
      <c r="F2124" t="s">
        <v>32606</v>
      </c>
      <c r="G2124" t="s">
        <v>32619</v>
      </c>
      <c r="H2124" t="s">
        <v>14201</v>
      </c>
      <c r="I2124" t="s">
        <v>32635</v>
      </c>
      <c r="J2124" t="s">
        <v>33650</v>
      </c>
      <c r="K2124" t="s">
        <v>42624</v>
      </c>
      <c r="M2124" t="s">
        <v>43901</v>
      </c>
      <c r="N2124" t="s">
        <v>47304</v>
      </c>
      <c r="O2124" t="s">
        <v>47305</v>
      </c>
      <c r="P2124">
        <v>0</v>
      </c>
      <c r="Q2124">
        <v>0</v>
      </c>
      <c r="R2124" t="s">
        <v>47307</v>
      </c>
      <c r="S2124" t="s">
        <v>47416</v>
      </c>
      <c r="T2124" t="s">
        <v>49023</v>
      </c>
      <c r="U2124" t="s">
        <v>51426</v>
      </c>
      <c r="V2124" t="s">
        <v>62880</v>
      </c>
      <c r="W2124" t="s">
        <v>43901</v>
      </c>
      <c r="X2124" t="s">
        <v>47306</v>
      </c>
    </row>
    <row r="2125" spans="1:24">
      <c r="A2125">
        <f>HYPERLINK("https://www.philgeps.gov.ph/GEPSNONPILOT/Tender/SplashBidNoticeAbstractUI.aspx?menuIndex=3&amp;refID=7199975&amp;Result=3","7199975")</f>
        <v>0</v>
      </c>
      <c r="B2125" t="s">
        <v>958</v>
      </c>
      <c r="C2125" t="s">
        <v>5912</v>
      </c>
      <c r="D2125" t="s">
        <v>19001</v>
      </c>
      <c r="E2125" t="s">
        <v>21041</v>
      </c>
      <c r="F2125" t="s">
        <v>32606</v>
      </c>
      <c r="G2125" t="s">
        <v>32614</v>
      </c>
      <c r="H2125" t="s">
        <v>14201</v>
      </c>
      <c r="I2125" t="s">
        <v>4678</v>
      </c>
      <c r="J2125" t="s">
        <v>33400</v>
      </c>
      <c r="K2125" t="s">
        <v>42631</v>
      </c>
      <c r="M2125" t="s">
        <v>43902</v>
      </c>
      <c r="N2125" t="s">
        <v>47304</v>
      </c>
      <c r="O2125" t="s">
        <v>47305</v>
      </c>
      <c r="P2125">
        <v>0</v>
      </c>
      <c r="Q2125">
        <v>0</v>
      </c>
      <c r="R2125" t="s">
        <v>47307</v>
      </c>
      <c r="S2125" t="s">
        <v>47416</v>
      </c>
      <c r="T2125" t="s">
        <v>49204</v>
      </c>
      <c r="U2125" t="s">
        <v>51427</v>
      </c>
      <c r="W2125" t="s">
        <v>43902</v>
      </c>
      <c r="X2125" t="s">
        <v>47306</v>
      </c>
    </row>
    <row r="2126" spans="1:24">
      <c r="A2126">
        <f>HYPERLINK("https://www.philgeps.gov.ph/GEPSNONPILOT/Tender/SplashBidNoticeAbstractUI.aspx?menuIndex=3&amp;refID=7199974&amp;Result=3","7199974")</f>
        <v>0</v>
      </c>
      <c r="B2126" t="s">
        <v>371</v>
      </c>
      <c r="C2126" t="s">
        <v>5913</v>
      </c>
      <c r="D2126" t="s">
        <v>18997</v>
      </c>
      <c r="E2126" t="s">
        <v>21042</v>
      </c>
      <c r="F2126" t="s">
        <v>32606</v>
      </c>
      <c r="G2126" t="s">
        <v>32614</v>
      </c>
      <c r="H2126" t="s">
        <v>14201</v>
      </c>
      <c r="I2126" t="s">
        <v>8606</v>
      </c>
      <c r="J2126" t="s">
        <v>32885</v>
      </c>
      <c r="K2126" t="s">
        <v>42622</v>
      </c>
      <c r="M2126" t="s">
        <v>43273</v>
      </c>
      <c r="N2126" t="s">
        <v>47304</v>
      </c>
      <c r="O2126" t="s">
        <v>47305</v>
      </c>
      <c r="P2126">
        <v>0</v>
      </c>
      <c r="Q2126">
        <v>0</v>
      </c>
      <c r="R2126" t="s">
        <v>47307</v>
      </c>
      <c r="S2126" t="s">
        <v>47416</v>
      </c>
      <c r="T2126" t="s">
        <v>49017</v>
      </c>
      <c r="U2126" t="s">
        <v>51428</v>
      </c>
      <c r="W2126" t="s">
        <v>43273</v>
      </c>
      <c r="X2126" t="s">
        <v>47306</v>
      </c>
    </row>
    <row r="2127" spans="1:24">
      <c r="A2127">
        <f>HYPERLINK("https://www.philgeps.gov.ph/GEPSNONPILOT/Tender/SplashBidNoticeAbstractUI.aspx?menuIndex=3&amp;refID=7199980&amp;Result=3","7199980")</f>
        <v>0</v>
      </c>
      <c r="B2127" t="s">
        <v>167</v>
      </c>
      <c r="C2127" t="s">
        <v>5914</v>
      </c>
      <c r="D2127" t="s">
        <v>19033</v>
      </c>
      <c r="E2127" t="s">
        <v>21043</v>
      </c>
      <c r="F2127" t="s">
        <v>32606</v>
      </c>
      <c r="G2127" t="s">
        <v>32614</v>
      </c>
      <c r="H2127" t="s">
        <v>14201</v>
      </c>
      <c r="I2127" t="s">
        <v>32629</v>
      </c>
      <c r="J2127" t="s">
        <v>34293</v>
      </c>
      <c r="K2127" t="s">
        <v>42624</v>
      </c>
      <c r="M2127" t="s">
        <v>43903</v>
      </c>
      <c r="N2127" t="s">
        <v>47304</v>
      </c>
      <c r="O2127" t="s">
        <v>47305</v>
      </c>
      <c r="P2127">
        <v>0</v>
      </c>
      <c r="Q2127">
        <v>0</v>
      </c>
      <c r="R2127" t="s">
        <v>47307</v>
      </c>
      <c r="S2127" t="s">
        <v>47416</v>
      </c>
      <c r="T2127" t="s">
        <v>49117</v>
      </c>
      <c r="U2127" t="s">
        <v>51429</v>
      </c>
      <c r="V2127" t="s">
        <v>62881</v>
      </c>
      <c r="W2127" t="s">
        <v>43903</v>
      </c>
      <c r="X2127" t="s">
        <v>47306</v>
      </c>
    </row>
    <row r="2128" spans="1:24">
      <c r="A2128">
        <f>HYPERLINK("https://www.philgeps.gov.ph/GEPSNONPILOT/Tender/SplashBidNoticeAbstractUI.aspx?menuIndex=3&amp;refID=7199977&amp;Result=3","7199977")</f>
        <v>0</v>
      </c>
      <c r="B2128" t="s">
        <v>570</v>
      </c>
      <c r="C2128" t="s">
        <v>5915</v>
      </c>
      <c r="D2128" t="s">
        <v>18993</v>
      </c>
      <c r="E2128" t="s">
        <v>21044</v>
      </c>
      <c r="F2128" t="s">
        <v>32606</v>
      </c>
      <c r="G2128" t="s">
        <v>32614</v>
      </c>
      <c r="H2128" t="s">
        <v>14201</v>
      </c>
      <c r="I2128" t="s">
        <v>32633</v>
      </c>
      <c r="J2128" t="s">
        <v>34294</v>
      </c>
      <c r="K2128" t="s">
        <v>42629</v>
      </c>
      <c r="M2128" t="s">
        <v>43485</v>
      </c>
      <c r="N2128" t="s">
        <v>47304</v>
      </c>
      <c r="O2128" t="s">
        <v>47305</v>
      </c>
      <c r="P2128">
        <v>0</v>
      </c>
      <c r="Q2128">
        <v>0</v>
      </c>
      <c r="R2128" t="s">
        <v>47307</v>
      </c>
      <c r="S2128" t="s">
        <v>47416</v>
      </c>
      <c r="T2128" t="s">
        <v>49149</v>
      </c>
      <c r="U2128" t="s">
        <v>51430</v>
      </c>
      <c r="W2128" t="s">
        <v>47043</v>
      </c>
      <c r="X2128" t="s">
        <v>47306</v>
      </c>
    </row>
    <row r="2129" spans="1:24">
      <c r="A2129">
        <f>HYPERLINK("https://www.philgeps.gov.ph/GEPSNONPILOT/Tender/SplashBidNoticeAbstractUI.aspx?menuIndex=3&amp;refID=7199971&amp;Result=3","7199971")</f>
        <v>0</v>
      </c>
      <c r="B2129" t="s">
        <v>959</v>
      </c>
      <c r="C2129" t="s">
        <v>5916</v>
      </c>
      <c r="D2129" t="s">
        <v>19038</v>
      </c>
      <c r="E2129" t="s">
        <v>21045</v>
      </c>
      <c r="F2129" t="s">
        <v>32606</v>
      </c>
      <c r="G2129" t="s">
        <v>32613</v>
      </c>
      <c r="H2129" t="s">
        <v>32623</v>
      </c>
      <c r="I2129" t="s">
        <v>17648</v>
      </c>
      <c r="J2129" t="s">
        <v>32821</v>
      </c>
      <c r="K2129" t="s">
        <v>42648</v>
      </c>
      <c r="M2129" t="s">
        <v>43904</v>
      </c>
      <c r="N2129" t="s">
        <v>47304</v>
      </c>
      <c r="O2129" t="s">
        <v>47305</v>
      </c>
      <c r="P2129">
        <v>0</v>
      </c>
      <c r="Q2129">
        <v>0</v>
      </c>
      <c r="R2129" t="s">
        <v>47307</v>
      </c>
      <c r="S2129" t="s">
        <v>47416</v>
      </c>
      <c r="T2129" t="s">
        <v>48995</v>
      </c>
      <c r="U2129" t="s">
        <v>51431</v>
      </c>
      <c r="W2129" t="s">
        <v>43904</v>
      </c>
      <c r="X2129" t="s">
        <v>47306</v>
      </c>
    </row>
    <row r="2130" spans="1:24">
      <c r="A2130">
        <f>HYPERLINK("https://www.philgeps.gov.ph/GEPSNONPILOT/Tender/SplashBidNoticeAbstractUI.aspx?menuIndex=3&amp;refID=7199899&amp;Result=3","7199899")</f>
        <v>0</v>
      </c>
      <c r="B2130" t="s">
        <v>960</v>
      </c>
      <c r="C2130" t="s">
        <v>5917</v>
      </c>
      <c r="D2130" t="s">
        <v>18993</v>
      </c>
      <c r="E2130" t="s">
        <v>21046</v>
      </c>
      <c r="F2130" t="s">
        <v>32606</v>
      </c>
      <c r="G2130" t="s">
        <v>32614</v>
      </c>
      <c r="H2130" t="s">
        <v>14201</v>
      </c>
      <c r="I2130" t="s">
        <v>32640</v>
      </c>
      <c r="J2130" t="s">
        <v>33246</v>
      </c>
      <c r="K2130" t="s">
        <v>42631</v>
      </c>
      <c r="M2130" t="s">
        <v>43905</v>
      </c>
      <c r="N2130" t="s">
        <v>47304</v>
      </c>
      <c r="O2130" t="s">
        <v>47305</v>
      </c>
      <c r="P2130">
        <v>0</v>
      </c>
      <c r="Q2130">
        <v>0</v>
      </c>
      <c r="R2130" t="s">
        <v>47307</v>
      </c>
      <c r="S2130" t="s">
        <v>47416</v>
      </c>
      <c r="T2130" t="s">
        <v>48988</v>
      </c>
      <c r="U2130" t="s">
        <v>51432</v>
      </c>
      <c r="V2130" t="s">
        <v>62882</v>
      </c>
      <c r="W2130" t="s">
        <v>43905</v>
      </c>
      <c r="X2130" t="s">
        <v>47306</v>
      </c>
    </row>
    <row r="2131" spans="1:24">
      <c r="A2131">
        <f>HYPERLINK("https://www.philgeps.gov.ph/GEPSNONPILOT/Tender/SplashBidNoticeAbstractUI.aspx?menuIndex=3&amp;refID=7199944&amp;Result=3","7199944")</f>
        <v>0</v>
      </c>
      <c r="B2131" t="s">
        <v>935</v>
      </c>
      <c r="C2131" t="s">
        <v>5918</v>
      </c>
      <c r="D2131" t="s">
        <v>19006</v>
      </c>
      <c r="E2131" t="s">
        <v>21047</v>
      </c>
      <c r="F2131" t="s">
        <v>32606</v>
      </c>
      <c r="G2131" t="s">
        <v>32614</v>
      </c>
      <c r="H2131" t="s">
        <v>14201</v>
      </c>
      <c r="I2131" t="s">
        <v>4678</v>
      </c>
      <c r="J2131" t="s">
        <v>34295</v>
      </c>
      <c r="K2131" t="s">
        <v>42622</v>
      </c>
      <c r="M2131" t="s">
        <v>43875</v>
      </c>
      <c r="N2131" t="s">
        <v>47304</v>
      </c>
      <c r="O2131" t="s">
        <v>47305</v>
      </c>
      <c r="P2131">
        <v>0</v>
      </c>
      <c r="Q2131">
        <v>0</v>
      </c>
      <c r="R2131" t="s">
        <v>47307</v>
      </c>
      <c r="S2131" t="s">
        <v>47416</v>
      </c>
      <c r="T2131" t="s">
        <v>49098</v>
      </c>
      <c r="U2131" t="s">
        <v>51433</v>
      </c>
      <c r="W2131" t="s">
        <v>43875</v>
      </c>
      <c r="X2131" t="s">
        <v>47306</v>
      </c>
    </row>
    <row r="2132" spans="1:24">
      <c r="A2132">
        <f>HYPERLINK("https://www.philgeps.gov.ph/GEPSNONPILOT/Tender/SplashBidNoticeAbstractUI.aspx?menuIndex=3&amp;refID=7199970&amp;Result=3","7199970")</f>
        <v>0</v>
      </c>
      <c r="B2132" t="s">
        <v>961</v>
      </c>
      <c r="C2132" t="s">
        <v>5919</v>
      </c>
      <c r="D2132" t="s">
        <v>18993</v>
      </c>
      <c r="E2132" t="s">
        <v>21048</v>
      </c>
      <c r="F2132" t="s">
        <v>32606</v>
      </c>
      <c r="G2132" t="s">
        <v>32619</v>
      </c>
      <c r="H2132" t="s">
        <v>14201</v>
      </c>
      <c r="I2132" t="s">
        <v>32640</v>
      </c>
      <c r="J2132" t="s">
        <v>34296</v>
      </c>
      <c r="K2132" t="s">
        <v>42622</v>
      </c>
      <c r="M2132" t="s">
        <v>43906</v>
      </c>
      <c r="N2132" t="s">
        <v>47304</v>
      </c>
      <c r="O2132" t="s">
        <v>47305</v>
      </c>
      <c r="P2132">
        <v>0</v>
      </c>
      <c r="Q2132">
        <v>0</v>
      </c>
      <c r="R2132" t="s">
        <v>47307</v>
      </c>
      <c r="S2132" t="s">
        <v>47416</v>
      </c>
      <c r="T2132" t="s">
        <v>48998</v>
      </c>
      <c r="U2132" t="s">
        <v>51434</v>
      </c>
      <c r="W2132" t="s">
        <v>43906</v>
      </c>
      <c r="X2132" t="s">
        <v>47306</v>
      </c>
    </row>
    <row r="2133" spans="1:24">
      <c r="A2133">
        <f>HYPERLINK("https://www.philgeps.gov.ph/GEPSNONPILOT/Tender/SplashBidNoticeAbstractUI.aspx?menuIndex=3&amp;refID=7199967&amp;Result=3","7199967")</f>
        <v>0</v>
      </c>
      <c r="B2133" t="s">
        <v>931</v>
      </c>
      <c r="C2133" t="s">
        <v>5920</v>
      </c>
      <c r="D2133" t="s">
        <v>18995</v>
      </c>
      <c r="E2133" t="s">
        <v>20970</v>
      </c>
      <c r="F2133" t="s">
        <v>32606</v>
      </c>
      <c r="G2133" t="s">
        <v>32614</v>
      </c>
      <c r="H2133" t="s">
        <v>14201</v>
      </c>
      <c r="I2133" t="s">
        <v>6014</v>
      </c>
      <c r="J2133" t="s">
        <v>33169</v>
      </c>
      <c r="K2133" t="s">
        <v>42625</v>
      </c>
      <c r="M2133" t="s">
        <v>43871</v>
      </c>
      <c r="N2133" t="s">
        <v>47304</v>
      </c>
      <c r="O2133" t="s">
        <v>47305</v>
      </c>
      <c r="P2133">
        <v>0</v>
      </c>
      <c r="Q2133">
        <v>0</v>
      </c>
      <c r="R2133" t="s">
        <v>47307</v>
      </c>
      <c r="S2133" t="s">
        <v>47416</v>
      </c>
      <c r="T2133" t="s">
        <v>49200</v>
      </c>
      <c r="U2133" t="s">
        <v>51435</v>
      </c>
      <c r="W2133" t="s">
        <v>43871</v>
      </c>
      <c r="X2133" t="s">
        <v>47306</v>
      </c>
    </row>
    <row r="2134" spans="1:24">
      <c r="A2134">
        <f>HYPERLINK("https://www.philgeps.gov.ph/GEPSNONPILOT/Tender/SplashBidNoticeAbstractUI.aspx?menuIndex=3&amp;refID=7199985&amp;Result=3","7199985")</f>
        <v>0</v>
      </c>
      <c r="B2134" t="s">
        <v>935</v>
      </c>
      <c r="C2134" t="s">
        <v>5921</v>
      </c>
      <c r="D2134" t="s">
        <v>19006</v>
      </c>
      <c r="E2134" t="s">
        <v>21049</v>
      </c>
      <c r="F2134" t="s">
        <v>32606</v>
      </c>
      <c r="G2134" t="s">
        <v>32614</v>
      </c>
      <c r="H2134" t="s">
        <v>14201</v>
      </c>
      <c r="I2134" t="s">
        <v>4678</v>
      </c>
      <c r="J2134" t="s">
        <v>33083</v>
      </c>
      <c r="K2134" t="s">
        <v>42622</v>
      </c>
      <c r="M2134" t="s">
        <v>43875</v>
      </c>
      <c r="N2134" t="s">
        <v>47304</v>
      </c>
      <c r="O2134" t="s">
        <v>47305</v>
      </c>
      <c r="P2134">
        <v>0</v>
      </c>
      <c r="Q2134">
        <v>0</v>
      </c>
      <c r="R2134" t="s">
        <v>47307</v>
      </c>
      <c r="S2134" t="s">
        <v>47416</v>
      </c>
      <c r="T2134" t="s">
        <v>49098</v>
      </c>
      <c r="U2134" t="s">
        <v>51436</v>
      </c>
      <c r="W2134" t="s">
        <v>43875</v>
      </c>
      <c r="X2134" t="s">
        <v>47306</v>
      </c>
    </row>
    <row r="2135" spans="1:24">
      <c r="A2135">
        <f>HYPERLINK("https://www.philgeps.gov.ph/GEPSNONPILOT/Tender/SplashBidNoticeAbstractUI.aspx?menuIndex=3&amp;refID=7199661&amp;Result=3","7199661")</f>
        <v>0</v>
      </c>
      <c r="B2135" t="s">
        <v>962</v>
      </c>
      <c r="C2135" t="s">
        <v>5922</v>
      </c>
      <c r="D2135" t="s">
        <v>18991</v>
      </c>
      <c r="E2135" t="s">
        <v>21050</v>
      </c>
      <c r="F2135" t="s">
        <v>32606</v>
      </c>
      <c r="G2135" t="s">
        <v>32619</v>
      </c>
      <c r="H2135" t="s">
        <v>14201</v>
      </c>
      <c r="I2135" t="s">
        <v>32629</v>
      </c>
      <c r="J2135" t="s">
        <v>32920</v>
      </c>
      <c r="K2135" t="s">
        <v>42631</v>
      </c>
      <c r="M2135" t="s">
        <v>43907</v>
      </c>
      <c r="N2135" t="s">
        <v>47304</v>
      </c>
      <c r="O2135" t="s">
        <v>47305</v>
      </c>
      <c r="P2135">
        <v>0</v>
      </c>
      <c r="Q2135">
        <v>0</v>
      </c>
      <c r="R2135" t="s">
        <v>47307</v>
      </c>
      <c r="S2135" t="s">
        <v>47416</v>
      </c>
      <c r="T2135" t="s">
        <v>49002</v>
      </c>
      <c r="U2135" t="s">
        <v>50603</v>
      </c>
      <c r="W2135" t="s">
        <v>43907</v>
      </c>
      <c r="X2135" t="s">
        <v>47306</v>
      </c>
    </row>
    <row r="2136" spans="1:24">
      <c r="A2136">
        <f>HYPERLINK("https://www.philgeps.gov.ph/GEPSNONPILOT/Tender/SplashBidNoticeAbstractUI.aspx?menuIndex=3&amp;refID=7199660&amp;Result=3","7199660")</f>
        <v>0</v>
      </c>
      <c r="B2136" t="s">
        <v>662</v>
      </c>
      <c r="C2136" t="s">
        <v>5923</v>
      </c>
      <c r="D2136" t="s">
        <v>19023</v>
      </c>
      <c r="E2136" t="s">
        <v>21051</v>
      </c>
      <c r="F2136" t="s">
        <v>32606</v>
      </c>
      <c r="G2136" t="s">
        <v>32613</v>
      </c>
      <c r="H2136" t="s">
        <v>14201</v>
      </c>
      <c r="I2136" t="s">
        <v>4120</v>
      </c>
      <c r="J2136" t="s">
        <v>34297</v>
      </c>
      <c r="K2136" t="s">
        <v>42631</v>
      </c>
      <c r="M2136" t="s">
        <v>43582</v>
      </c>
      <c r="N2136" t="s">
        <v>47304</v>
      </c>
      <c r="O2136" t="s">
        <v>47305</v>
      </c>
      <c r="P2136">
        <v>0</v>
      </c>
      <c r="Q2136">
        <v>0</v>
      </c>
      <c r="R2136" t="s">
        <v>47307</v>
      </c>
      <c r="S2136" t="s">
        <v>47416</v>
      </c>
      <c r="T2136" t="s">
        <v>49065</v>
      </c>
      <c r="U2136" t="s">
        <v>51437</v>
      </c>
      <c r="W2136" t="s">
        <v>43582</v>
      </c>
      <c r="X2136" t="s">
        <v>47306</v>
      </c>
    </row>
    <row r="2137" spans="1:24">
      <c r="A2137">
        <f>HYPERLINK("https://www.philgeps.gov.ph/GEPSNONPILOT/Tender/SplashBidNoticeAbstractUI.aspx?menuIndex=3&amp;refID=7199969&amp;Result=3","7199969")</f>
        <v>0</v>
      </c>
      <c r="B2137" t="s">
        <v>787</v>
      </c>
      <c r="C2137" t="s">
        <v>5924</v>
      </c>
      <c r="D2137" t="s">
        <v>18995</v>
      </c>
      <c r="E2137" t="s">
        <v>20274</v>
      </c>
      <c r="F2137" t="s">
        <v>32606</v>
      </c>
      <c r="G2137" t="s">
        <v>32613</v>
      </c>
      <c r="H2137" t="s">
        <v>32623</v>
      </c>
      <c r="I2137" t="s">
        <v>17648</v>
      </c>
      <c r="J2137" t="s">
        <v>34298</v>
      </c>
      <c r="K2137" t="s">
        <v>42631</v>
      </c>
      <c r="M2137" t="s">
        <v>43718</v>
      </c>
      <c r="N2137" t="s">
        <v>47304</v>
      </c>
      <c r="O2137" t="s">
        <v>47305</v>
      </c>
      <c r="P2137">
        <v>0</v>
      </c>
      <c r="Q2137">
        <v>0</v>
      </c>
      <c r="R2137" t="s">
        <v>47307</v>
      </c>
      <c r="S2137" t="s">
        <v>47416</v>
      </c>
      <c r="T2137" t="s">
        <v>49084</v>
      </c>
      <c r="U2137" t="s">
        <v>51438</v>
      </c>
      <c r="W2137" t="s">
        <v>43718</v>
      </c>
      <c r="X2137" t="s">
        <v>47306</v>
      </c>
    </row>
    <row r="2138" spans="1:24">
      <c r="A2138">
        <f>HYPERLINK("https://www.philgeps.gov.ph/GEPSNONPILOT/Tender/SplashBidNoticeAbstractUI.aspx?menuIndex=3&amp;refID=7199871&amp;Result=3","7199871")</f>
        <v>0</v>
      </c>
      <c r="B2138" t="s">
        <v>82</v>
      </c>
      <c r="C2138" t="s">
        <v>5925</v>
      </c>
      <c r="D2138" t="s">
        <v>19011</v>
      </c>
      <c r="E2138" t="s">
        <v>21052</v>
      </c>
      <c r="F2138" t="s">
        <v>32606</v>
      </c>
      <c r="G2138" t="s">
        <v>32613</v>
      </c>
      <c r="H2138" t="s">
        <v>14201</v>
      </c>
      <c r="I2138" t="s">
        <v>32652</v>
      </c>
      <c r="J2138" t="s">
        <v>34299</v>
      </c>
      <c r="K2138" t="s">
        <v>42624</v>
      </c>
      <c r="M2138" t="s">
        <v>43766</v>
      </c>
      <c r="N2138" t="s">
        <v>47304</v>
      </c>
      <c r="O2138" t="s">
        <v>47305</v>
      </c>
      <c r="P2138">
        <v>0</v>
      </c>
      <c r="Q2138">
        <v>0</v>
      </c>
      <c r="R2138" t="s">
        <v>47307</v>
      </c>
      <c r="S2138" t="s">
        <v>47416</v>
      </c>
      <c r="T2138" t="s">
        <v>48995</v>
      </c>
      <c r="U2138" t="s">
        <v>51439</v>
      </c>
      <c r="V2138" t="s">
        <v>62841</v>
      </c>
      <c r="W2138" t="s">
        <v>43766</v>
      </c>
      <c r="X2138" t="s">
        <v>47306</v>
      </c>
    </row>
    <row r="2139" spans="1:24">
      <c r="A2139">
        <f>HYPERLINK("https://www.philgeps.gov.ph/GEPSNONPILOT/Tender/SplashBidNoticeAbstractUI.aspx?menuIndex=3&amp;refID=7199988&amp;Result=3","7199988")</f>
        <v>0</v>
      </c>
      <c r="B2139" t="s">
        <v>247</v>
      </c>
      <c r="C2139" t="s">
        <v>5926</v>
      </c>
      <c r="D2139" t="s">
        <v>18993</v>
      </c>
      <c r="E2139" t="s">
        <v>21053</v>
      </c>
      <c r="F2139" t="s">
        <v>32606</v>
      </c>
      <c r="G2139" t="s">
        <v>32614</v>
      </c>
      <c r="H2139" t="s">
        <v>14201</v>
      </c>
      <c r="I2139" t="s">
        <v>32633</v>
      </c>
      <c r="J2139" t="s">
        <v>33051</v>
      </c>
      <c r="K2139" t="s">
        <v>42631</v>
      </c>
      <c r="M2139" t="s">
        <v>43148</v>
      </c>
      <c r="N2139" t="s">
        <v>47304</v>
      </c>
      <c r="O2139" t="s">
        <v>47305</v>
      </c>
      <c r="P2139">
        <v>0</v>
      </c>
      <c r="Q2139">
        <v>0</v>
      </c>
      <c r="R2139" t="s">
        <v>47307</v>
      </c>
      <c r="S2139" t="s">
        <v>47416</v>
      </c>
      <c r="T2139" t="s">
        <v>49108</v>
      </c>
      <c r="U2139" t="s">
        <v>51440</v>
      </c>
      <c r="W2139" t="s">
        <v>43148</v>
      </c>
      <c r="X2139" t="s">
        <v>47306</v>
      </c>
    </row>
    <row r="2140" spans="1:24">
      <c r="A2140">
        <f>HYPERLINK("https://www.philgeps.gov.ph/GEPSNONPILOT/Tender/SplashBidNoticeAbstractUI.aspx?menuIndex=3&amp;refID=7199997&amp;Result=3","7199997")</f>
        <v>0</v>
      </c>
      <c r="B2140" t="s">
        <v>963</v>
      </c>
      <c r="C2140" t="s">
        <v>5927</v>
      </c>
      <c r="D2140" t="s">
        <v>19024</v>
      </c>
      <c r="E2140" t="s">
        <v>21054</v>
      </c>
      <c r="F2140" t="s">
        <v>32606</v>
      </c>
      <c r="G2140" t="s">
        <v>32614</v>
      </c>
      <c r="H2140" t="s">
        <v>14201</v>
      </c>
      <c r="I2140" t="s">
        <v>32638</v>
      </c>
      <c r="J2140" t="s">
        <v>34300</v>
      </c>
      <c r="K2140" t="s">
        <v>42631</v>
      </c>
      <c r="M2140" t="s">
        <v>43908</v>
      </c>
      <c r="N2140" t="s">
        <v>47304</v>
      </c>
      <c r="O2140" t="s">
        <v>47305</v>
      </c>
      <c r="P2140">
        <v>0</v>
      </c>
      <c r="Q2140">
        <v>0</v>
      </c>
      <c r="R2140" t="s">
        <v>47307</v>
      </c>
      <c r="S2140" t="s">
        <v>47416</v>
      </c>
      <c r="T2140" t="s">
        <v>49175</v>
      </c>
      <c r="U2140" t="s">
        <v>51441</v>
      </c>
      <c r="W2140" t="s">
        <v>43908</v>
      </c>
      <c r="X2140" t="s">
        <v>47306</v>
      </c>
    </row>
    <row r="2141" spans="1:24">
      <c r="A2141">
        <f>HYPERLINK("https://www.philgeps.gov.ph/GEPSNONPILOT/Tender/SplashBidNoticeAbstractUI.aspx?menuIndex=3&amp;refID=7199875&amp;Result=3","7199875")</f>
        <v>0</v>
      </c>
      <c r="B2141" t="s">
        <v>798</v>
      </c>
      <c r="C2141" t="s">
        <v>5928</v>
      </c>
      <c r="D2141" t="s">
        <v>19039</v>
      </c>
      <c r="E2141" t="s">
        <v>21055</v>
      </c>
      <c r="F2141" t="s">
        <v>32606</v>
      </c>
      <c r="G2141" t="s">
        <v>32614</v>
      </c>
      <c r="H2141" t="s">
        <v>14201</v>
      </c>
      <c r="I2141" t="s">
        <v>32633</v>
      </c>
      <c r="J2141" t="s">
        <v>33551</v>
      </c>
      <c r="K2141" t="s">
        <v>42630</v>
      </c>
      <c r="M2141" t="s">
        <v>43729</v>
      </c>
      <c r="N2141" t="s">
        <v>47304</v>
      </c>
      <c r="O2141" t="s">
        <v>47305</v>
      </c>
      <c r="P2141">
        <v>0</v>
      </c>
      <c r="Q2141">
        <v>0</v>
      </c>
      <c r="R2141" t="s">
        <v>47307</v>
      </c>
      <c r="S2141" t="s">
        <v>47416</v>
      </c>
      <c r="T2141" t="s">
        <v>49093</v>
      </c>
      <c r="U2141" t="s">
        <v>51442</v>
      </c>
      <c r="W2141" t="s">
        <v>43729</v>
      </c>
      <c r="X2141" t="s">
        <v>47306</v>
      </c>
    </row>
    <row r="2142" spans="1:24">
      <c r="A2142">
        <f>HYPERLINK("https://www.philgeps.gov.ph/GEPSNONPILOT/Tender/SplashBidNoticeAbstractUI.aspx?menuIndex=3&amp;refID=7199996&amp;Result=3","7199996")</f>
        <v>0</v>
      </c>
      <c r="B2142" t="s">
        <v>964</v>
      </c>
      <c r="C2142" t="s">
        <v>5929</v>
      </c>
      <c r="D2142" t="s">
        <v>19003</v>
      </c>
      <c r="E2142" t="s">
        <v>21056</v>
      </c>
      <c r="F2142" t="s">
        <v>32606</v>
      </c>
      <c r="G2142" t="s">
        <v>32619</v>
      </c>
      <c r="H2142" t="s">
        <v>14201</v>
      </c>
      <c r="I2142" t="s">
        <v>6298</v>
      </c>
      <c r="J2142" t="s">
        <v>34301</v>
      </c>
      <c r="K2142" t="s">
        <v>42630</v>
      </c>
      <c r="M2142" t="s">
        <v>43909</v>
      </c>
      <c r="N2142" t="s">
        <v>47304</v>
      </c>
      <c r="O2142" t="s">
        <v>47305</v>
      </c>
      <c r="P2142">
        <v>0</v>
      </c>
      <c r="Q2142">
        <v>0</v>
      </c>
      <c r="R2142" t="s">
        <v>47307</v>
      </c>
      <c r="S2142" t="s">
        <v>47416</v>
      </c>
      <c r="T2142" t="s">
        <v>48979</v>
      </c>
      <c r="U2142" t="s">
        <v>51443</v>
      </c>
      <c r="W2142" t="s">
        <v>43909</v>
      </c>
      <c r="X2142" t="s">
        <v>47306</v>
      </c>
    </row>
    <row r="2143" spans="1:24">
      <c r="A2143">
        <f>HYPERLINK("https://www.philgeps.gov.ph/GEPSNONPILOT/Tender/SplashBidNoticeAbstractUI.aspx?menuIndex=3&amp;refID=7199994&amp;Result=3","7199994")</f>
        <v>0</v>
      </c>
      <c r="B2143" t="s">
        <v>952</v>
      </c>
      <c r="C2143" t="s">
        <v>5930</v>
      </c>
      <c r="D2143" t="s">
        <v>19040</v>
      </c>
      <c r="E2143" t="s">
        <v>5930</v>
      </c>
      <c r="F2143" t="s">
        <v>32606</v>
      </c>
      <c r="G2143" t="s">
        <v>32613</v>
      </c>
      <c r="H2143" t="s">
        <v>14201</v>
      </c>
      <c r="I2143" t="s">
        <v>7577</v>
      </c>
      <c r="J2143" t="s">
        <v>34302</v>
      </c>
      <c r="K2143" t="s">
        <v>42623</v>
      </c>
      <c r="M2143" t="s">
        <v>43894</v>
      </c>
      <c r="N2143" t="s">
        <v>47304</v>
      </c>
      <c r="O2143" t="s">
        <v>47305</v>
      </c>
      <c r="P2143">
        <v>0</v>
      </c>
      <c r="Q2143">
        <v>0</v>
      </c>
      <c r="R2143" t="s">
        <v>47307</v>
      </c>
      <c r="S2143" t="s">
        <v>47416</v>
      </c>
      <c r="T2143" t="s">
        <v>49069</v>
      </c>
      <c r="U2143" t="s">
        <v>51444</v>
      </c>
      <c r="W2143" t="s">
        <v>43894</v>
      </c>
      <c r="X2143" t="s">
        <v>47306</v>
      </c>
    </row>
    <row r="2144" spans="1:24">
      <c r="A2144">
        <f>HYPERLINK("https://www.philgeps.gov.ph/GEPSNONPILOT/Tender/SplashBidNoticeAbstractUI.aspx?menuIndex=3&amp;refID=7199993&amp;Result=3","7199993")</f>
        <v>0</v>
      </c>
      <c r="B2144" t="s">
        <v>921</v>
      </c>
      <c r="C2144" t="s">
        <v>5931</v>
      </c>
      <c r="D2144" t="s">
        <v>19008</v>
      </c>
      <c r="E2144" t="s">
        <v>21057</v>
      </c>
      <c r="F2144" t="s">
        <v>32606</v>
      </c>
      <c r="G2144" t="s">
        <v>32613</v>
      </c>
      <c r="H2144" t="s">
        <v>14201</v>
      </c>
      <c r="I2144" t="s">
        <v>4678</v>
      </c>
      <c r="J2144" t="s">
        <v>34303</v>
      </c>
      <c r="K2144" t="s">
        <v>42623</v>
      </c>
      <c r="M2144" t="s">
        <v>43861</v>
      </c>
      <c r="N2144" t="s">
        <v>47304</v>
      </c>
      <c r="O2144" t="s">
        <v>47305</v>
      </c>
      <c r="P2144">
        <v>0</v>
      </c>
      <c r="Q2144">
        <v>0</v>
      </c>
      <c r="R2144" t="s">
        <v>47307</v>
      </c>
      <c r="S2144" t="s">
        <v>47416</v>
      </c>
      <c r="T2144" t="s">
        <v>48973</v>
      </c>
      <c r="U2144" t="s">
        <v>51445</v>
      </c>
      <c r="W2144" t="s">
        <v>43861</v>
      </c>
      <c r="X2144" t="s">
        <v>47306</v>
      </c>
    </row>
    <row r="2145" spans="1:24">
      <c r="A2145">
        <f>HYPERLINK("https://www.philgeps.gov.ph/GEPSNONPILOT/Tender/SplashBidNoticeAbstractUI.aspx?menuIndex=3&amp;refID=7199992&amp;Result=3","7199992")</f>
        <v>0</v>
      </c>
      <c r="B2145" t="s">
        <v>965</v>
      </c>
      <c r="C2145" t="s">
        <v>5932</v>
      </c>
      <c r="E2145" t="s">
        <v>21058</v>
      </c>
      <c r="F2145" t="s">
        <v>32606</v>
      </c>
      <c r="G2145" t="s">
        <v>32621</v>
      </c>
      <c r="H2145" t="s">
        <v>14201</v>
      </c>
      <c r="I2145" t="s">
        <v>4114</v>
      </c>
      <c r="J2145" t="s">
        <v>34304</v>
      </c>
      <c r="K2145" t="s">
        <v>42624</v>
      </c>
      <c r="M2145" t="s">
        <v>43910</v>
      </c>
      <c r="N2145" t="s">
        <v>47304</v>
      </c>
      <c r="O2145" t="s">
        <v>47305</v>
      </c>
      <c r="P2145">
        <v>0</v>
      </c>
      <c r="Q2145">
        <v>0</v>
      </c>
      <c r="R2145" t="s">
        <v>47307</v>
      </c>
      <c r="S2145" t="s">
        <v>47416</v>
      </c>
      <c r="T2145" t="s">
        <v>48986</v>
      </c>
      <c r="U2145" t="s">
        <v>51446</v>
      </c>
      <c r="W2145" t="s">
        <v>43910</v>
      </c>
      <c r="X2145" t="s">
        <v>47306</v>
      </c>
    </row>
    <row r="2146" spans="1:24">
      <c r="A2146">
        <f>HYPERLINK("https://www.philgeps.gov.ph/GEPSNONPILOT/Tender/SplashBidNoticeAbstractUI.aspx?menuIndex=3&amp;refID=7199991&amp;Result=3","7199991")</f>
        <v>0</v>
      </c>
      <c r="B2146" t="s">
        <v>184</v>
      </c>
      <c r="C2146" t="s">
        <v>5933</v>
      </c>
      <c r="D2146" t="s">
        <v>19042</v>
      </c>
      <c r="E2146" t="s">
        <v>21059</v>
      </c>
      <c r="F2146" t="s">
        <v>32606</v>
      </c>
      <c r="G2146" t="s">
        <v>32613</v>
      </c>
      <c r="H2146" t="s">
        <v>14201</v>
      </c>
      <c r="I2146" t="s">
        <v>32687</v>
      </c>
      <c r="J2146" t="s">
        <v>34305</v>
      </c>
      <c r="K2146" t="s">
        <v>42632</v>
      </c>
      <c r="M2146" t="s">
        <v>43085</v>
      </c>
      <c r="N2146" t="s">
        <v>47304</v>
      </c>
      <c r="O2146" t="s">
        <v>47305</v>
      </c>
      <c r="P2146">
        <v>0</v>
      </c>
      <c r="Q2146">
        <v>0</v>
      </c>
      <c r="R2146" t="s">
        <v>47307</v>
      </c>
      <c r="S2146" t="s">
        <v>47416</v>
      </c>
      <c r="T2146" t="s">
        <v>48973</v>
      </c>
      <c r="U2146" t="s">
        <v>51152</v>
      </c>
      <c r="V2146" t="s">
        <v>51084</v>
      </c>
      <c r="W2146" t="s">
        <v>43085</v>
      </c>
      <c r="X2146" t="s">
        <v>47306</v>
      </c>
    </row>
    <row r="2147" spans="1:24">
      <c r="A2147">
        <f>HYPERLINK("https://www.philgeps.gov.ph/GEPSNONPILOT/Tender/SplashBidNoticeAbstractUI.aspx?menuIndex=3&amp;refID=7200000&amp;Result=3","7200000")</f>
        <v>0</v>
      </c>
      <c r="B2147" t="s">
        <v>748</v>
      </c>
      <c r="C2147" t="s">
        <v>5934</v>
      </c>
      <c r="D2147" t="s">
        <v>18993</v>
      </c>
      <c r="E2147" t="s">
        <v>21060</v>
      </c>
      <c r="F2147" t="s">
        <v>32606</v>
      </c>
      <c r="G2147" t="s">
        <v>32614</v>
      </c>
      <c r="H2147" t="s">
        <v>14201</v>
      </c>
      <c r="I2147" t="s">
        <v>32706</v>
      </c>
      <c r="J2147" t="s">
        <v>32813</v>
      </c>
      <c r="K2147" t="s">
        <v>42623</v>
      </c>
      <c r="M2147" t="s">
        <v>43671</v>
      </c>
      <c r="N2147" t="s">
        <v>47304</v>
      </c>
      <c r="O2147" t="s">
        <v>47305</v>
      </c>
      <c r="P2147">
        <v>0</v>
      </c>
      <c r="Q2147">
        <v>0</v>
      </c>
      <c r="R2147" t="s">
        <v>47307</v>
      </c>
      <c r="S2147" t="s">
        <v>47416</v>
      </c>
      <c r="T2147" t="s">
        <v>48996</v>
      </c>
      <c r="U2147" t="s">
        <v>51447</v>
      </c>
      <c r="V2147" t="s">
        <v>62883</v>
      </c>
      <c r="W2147" t="s">
        <v>43671</v>
      </c>
      <c r="X2147" t="s">
        <v>47306</v>
      </c>
    </row>
    <row r="2148" spans="1:24">
      <c r="A2148">
        <f>HYPERLINK("https://www.philgeps.gov.ph/GEPSNONPILOT/Tender/SplashBidNoticeAbstractUI.aspx?menuIndex=3&amp;refID=7199995&amp;Result=3","7199995")</f>
        <v>0</v>
      </c>
      <c r="B2148" t="s">
        <v>919</v>
      </c>
      <c r="C2148" t="s">
        <v>5935</v>
      </c>
      <c r="D2148" t="s">
        <v>19011</v>
      </c>
      <c r="E2148" t="s">
        <v>21061</v>
      </c>
      <c r="F2148" t="s">
        <v>32606</v>
      </c>
      <c r="G2148" t="s">
        <v>32614</v>
      </c>
      <c r="H2148" t="s">
        <v>14201</v>
      </c>
      <c r="I2148" t="s">
        <v>32675</v>
      </c>
      <c r="J2148" t="s">
        <v>32765</v>
      </c>
      <c r="K2148" t="s">
        <v>42631</v>
      </c>
      <c r="M2148" t="s">
        <v>43859</v>
      </c>
      <c r="N2148" t="s">
        <v>47304</v>
      </c>
      <c r="O2148" t="s">
        <v>47305</v>
      </c>
      <c r="P2148">
        <v>0</v>
      </c>
      <c r="Q2148">
        <v>0</v>
      </c>
      <c r="R2148" t="s">
        <v>47307</v>
      </c>
      <c r="S2148" t="s">
        <v>47416</v>
      </c>
      <c r="T2148" t="s">
        <v>49108</v>
      </c>
      <c r="U2148" t="s">
        <v>51448</v>
      </c>
      <c r="V2148" t="s">
        <v>62863</v>
      </c>
      <c r="W2148" t="s">
        <v>43859</v>
      </c>
      <c r="X2148" t="s">
        <v>47306</v>
      </c>
    </row>
    <row r="2149" spans="1:24">
      <c r="A2149">
        <f>HYPERLINK("https://www.philgeps.gov.ph/GEPSNONPILOT/Tender/SplashBidNoticeAbstractUI.aspx?menuIndex=3&amp;refID=7200007&amp;Result=3","7200007")</f>
        <v>0</v>
      </c>
      <c r="B2149" t="s">
        <v>966</v>
      </c>
      <c r="C2149" t="s">
        <v>5936</v>
      </c>
      <c r="D2149" t="s">
        <v>19056</v>
      </c>
      <c r="E2149" t="s">
        <v>21062</v>
      </c>
      <c r="F2149" t="s">
        <v>32606</v>
      </c>
      <c r="G2149" t="s">
        <v>32619</v>
      </c>
      <c r="H2149" t="s">
        <v>14201</v>
      </c>
      <c r="I2149" t="s">
        <v>4120</v>
      </c>
      <c r="J2149" t="s">
        <v>34306</v>
      </c>
      <c r="K2149" t="s">
        <v>42632</v>
      </c>
      <c r="M2149" t="s">
        <v>43911</v>
      </c>
      <c r="N2149" t="s">
        <v>47304</v>
      </c>
      <c r="O2149" t="s">
        <v>47305</v>
      </c>
      <c r="P2149">
        <v>0</v>
      </c>
      <c r="Q2149">
        <v>0</v>
      </c>
      <c r="R2149" t="s">
        <v>47307</v>
      </c>
      <c r="S2149" t="s">
        <v>47416</v>
      </c>
      <c r="T2149" t="s">
        <v>49004</v>
      </c>
      <c r="U2149" t="s">
        <v>51449</v>
      </c>
      <c r="W2149" t="s">
        <v>43911</v>
      </c>
      <c r="X2149" t="s">
        <v>47306</v>
      </c>
    </row>
    <row r="2150" spans="1:24">
      <c r="A2150">
        <f>HYPERLINK("https://www.philgeps.gov.ph/GEPSNONPILOT/Tender/SplashBidNoticeAbstractUI.aspx?menuIndex=3&amp;refID=7200006&amp;Result=3","7200006")</f>
        <v>0</v>
      </c>
      <c r="B2150" t="s">
        <v>967</v>
      </c>
      <c r="C2150" t="s">
        <v>5937</v>
      </c>
      <c r="E2150" t="s">
        <v>21063</v>
      </c>
      <c r="F2150" t="s">
        <v>32606</v>
      </c>
      <c r="G2150" t="s">
        <v>32613</v>
      </c>
      <c r="H2150" t="s">
        <v>14201</v>
      </c>
      <c r="I2150" t="s">
        <v>32633</v>
      </c>
      <c r="J2150" t="s">
        <v>32967</v>
      </c>
      <c r="K2150" t="s">
        <v>42624</v>
      </c>
      <c r="M2150" t="s">
        <v>43912</v>
      </c>
      <c r="N2150" t="s">
        <v>47304</v>
      </c>
      <c r="O2150" t="s">
        <v>47305</v>
      </c>
      <c r="P2150">
        <v>0</v>
      </c>
      <c r="Q2150">
        <v>0</v>
      </c>
      <c r="R2150" t="s">
        <v>47307</v>
      </c>
      <c r="S2150" t="s">
        <v>47416</v>
      </c>
      <c r="T2150" t="s">
        <v>49028</v>
      </c>
      <c r="U2150" t="s">
        <v>51450</v>
      </c>
      <c r="W2150" t="s">
        <v>43912</v>
      </c>
      <c r="X2150" t="s">
        <v>47306</v>
      </c>
    </row>
    <row r="2151" spans="1:24">
      <c r="A2151">
        <f>HYPERLINK("https://www.philgeps.gov.ph/GEPSNONPILOT/Tender/SplashBidNoticeAbstractUI.aspx?menuIndex=3&amp;refID=7200005&amp;Result=3","7200005")</f>
        <v>0</v>
      </c>
      <c r="B2151" t="s">
        <v>801</v>
      </c>
      <c r="C2151" t="s">
        <v>5938</v>
      </c>
      <c r="D2151" t="s">
        <v>19008</v>
      </c>
      <c r="E2151" t="s">
        <v>21064</v>
      </c>
      <c r="F2151" t="s">
        <v>32606</v>
      </c>
      <c r="G2151" t="s">
        <v>32613</v>
      </c>
      <c r="H2151" t="s">
        <v>14201</v>
      </c>
      <c r="I2151" t="s">
        <v>6931</v>
      </c>
      <c r="J2151" t="s">
        <v>34307</v>
      </c>
      <c r="K2151" t="s">
        <v>42627</v>
      </c>
      <c r="M2151" t="s">
        <v>43732</v>
      </c>
      <c r="N2151" t="s">
        <v>47304</v>
      </c>
      <c r="O2151" t="s">
        <v>47305</v>
      </c>
      <c r="P2151">
        <v>0</v>
      </c>
      <c r="Q2151">
        <v>0</v>
      </c>
      <c r="R2151" t="s">
        <v>47307</v>
      </c>
      <c r="S2151" t="s">
        <v>47416</v>
      </c>
      <c r="T2151" t="s">
        <v>49075</v>
      </c>
      <c r="U2151" t="s">
        <v>51451</v>
      </c>
      <c r="V2151" t="s">
        <v>62884</v>
      </c>
      <c r="W2151" t="s">
        <v>43732</v>
      </c>
      <c r="X2151" t="s">
        <v>47306</v>
      </c>
    </row>
    <row r="2152" spans="1:24">
      <c r="A2152">
        <f>HYPERLINK("https://www.philgeps.gov.ph/GEPSNONPILOT/Tender/SplashBidNoticeAbstractUI.aspx?menuIndex=3&amp;refID=7199989&amp;Result=3","7199989")</f>
        <v>0</v>
      </c>
      <c r="B2152" t="s">
        <v>953</v>
      </c>
      <c r="C2152" t="s">
        <v>5939</v>
      </c>
      <c r="D2152" t="s">
        <v>19010</v>
      </c>
      <c r="E2152" t="s">
        <v>21065</v>
      </c>
      <c r="F2152" t="s">
        <v>32606</v>
      </c>
      <c r="G2152" t="s">
        <v>32613</v>
      </c>
      <c r="H2152" t="s">
        <v>14201</v>
      </c>
      <c r="I2152" t="s">
        <v>6931</v>
      </c>
      <c r="J2152" t="s">
        <v>34308</v>
      </c>
      <c r="K2152" t="s">
        <v>42623</v>
      </c>
      <c r="M2152" t="s">
        <v>43895</v>
      </c>
      <c r="N2152" t="s">
        <v>47304</v>
      </c>
      <c r="O2152" t="s">
        <v>47305</v>
      </c>
      <c r="P2152">
        <v>0</v>
      </c>
      <c r="Q2152">
        <v>0</v>
      </c>
      <c r="R2152" t="s">
        <v>47307</v>
      </c>
      <c r="S2152" t="s">
        <v>47416</v>
      </c>
      <c r="T2152" t="s">
        <v>49066</v>
      </c>
      <c r="U2152" t="s">
        <v>51452</v>
      </c>
      <c r="W2152" t="s">
        <v>43895</v>
      </c>
      <c r="X2152" t="s">
        <v>47306</v>
      </c>
    </row>
    <row r="2153" spans="1:24">
      <c r="A2153">
        <f>HYPERLINK("https://www.philgeps.gov.ph/GEPSNONPILOT/Tender/SplashBidNoticeAbstractUI.aspx?menuIndex=3&amp;refID=7200003&amp;Result=3","7200003")</f>
        <v>0</v>
      </c>
      <c r="B2153" t="s">
        <v>325</v>
      </c>
      <c r="C2153" t="s">
        <v>5940</v>
      </c>
      <c r="D2153" t="s">
        <v>18992</v>
      </c>
      <c r="E2153" t="s">
        <v>19786</v>
      </c>
      <c r="F2153" t="s">
        <v>32606</v>
      </c>
      <c r="G2153" t="s">
        <v>32613</v>
      </c>
      <c r="H2153" t="s">
        <v>14201</v>
      </c>
      <c r="I2153" t="s">
        <v>7677</v>
      </c>
      <c r="J2153" t="s">
        <v>34309</v>
      </c>
      <c r="K2153" t="s">
        <v>42622</v>
      </c>
      <c r="M2153" t="s">
        <v>43227</v>
      </c>
      <c r="N2153" t="s">
        <v>47304</v>
      </c>
      <c r="O2153" t="s">
        <v>47305</v>
      </c>
      <c r="P2153">
        <v>0</v>
      </c>
      <c r="Q2153">
        <v>0</v>
      </c>
      <c r="R2153" t="s">
        <v>47307</v>
      </c>
      <c r="S2153" t="s">
        <v>47416</v>
      </c>
      <c r="T2153" t="s">
        <v>49122</v>
      </c>
      <c r="U2153" t="s">
        <v>51453</v>
      </c>
      <c r="W2153" t="s">
        <v>43227</v>
      </c>
      <c r="X2153" t="s">
        <v>47306</v>
      </c>
    </row>
    <row r="2154" spans="1:24">
      <c r="A2154">
        <f>HYPERLINK("https://www.philgeps.gov.ph/GEPSNONPILOT/Tender/SplashBidNoticeAbstractUI.aspx?menuIndex=3&amp;refID=7199990&amp;Result=3","7199990")</f>
        <v>0</v>
      </c>
      <c r="B2154" t="s">
        <v>951</v>
      </c>
      <c r="C2154" t="s">
        <v>5941</v>
      </c>
      <c r="D2154" t="s">
        <v>19007</v>
      </c>
      <c r="E2154" t="s">
        <v>21066</v>
      </c>
      <c r="F2154" t="s">
        <v>32606</v>
      </c>
      <c r="G2154" t="s">
        <v>32613</v>
      </c>
      <c r="H2154" t="s">
        <v>14201</v>
      </c>
      <c r="I2154" t="s">
        <v>4120</v>
      </c>
      <c r="J2154" t="s">
        <v>33263</v>
      </c>
      <c r="K2154" t="s">
        <v>42624</v>
      </c>
      <c r="M2154" t="s">
        <v>43893</v>
      </c>
      <c r="N2154" t="s">
        <v>47304</v>
      </c>
      <c r="O2154" t="s">
        <v>47305</v>
      </c>
      <c r="P2154">
        <v>0</v>
      </c>
      <c r="Q2154">
        <v>0</v>
      </c>
      <c r="R2154" t="s">
        <v>47307</v>
      </c>
      <c r="S2154" t="s">
        <v>47416</v>
      </c>
      <c r="T2154" t="s">
        <v>48996</v>
      </c>
      <c r="U2154" t="s">
        <v>51454</v>
      </c>
      <c r="W2154" t="s">
        <v>43893</v>
      </c>
      <c r="X2154" t="s">
        <v>47306</v>
      </c>
    </row>
    <row r="2155" spans="1:24">
      <c r="A2155">
        <f>HYPERLINK("https://www.philgeps.gov.ph/GEPSNONPILOT/Tender/SplashBidNoticeAbstractUI.aspx?menuIndex=3&amp;refID=7199998&amp;Result=3","7199998")</f>
        <v>0</v>
      </c>
      <c r="B2155" t="s">
        <v>262</v>
      </c>
      <c r="C2155" t="s">
        <v>5942</v>
      </c>
      <c r="D2155" t="s">
        <v>19038</v>
      </c>
      <c r="E2155" t="s">
        <v>21067</v>
      </c>
      <c r="F2155" t="s">
        <v>32606</v>
      </c>
      <c r="G2155" t="s">
        <v>32619</v>
      </c>
      <c r="H2155" t="s">
        <v>14201</v>
      </c>
      <c r="I2155" t="s">
        <v>32633</v>
      </c>
      <c r="J2155" t="s">
        <v>34310</v>
      </c>
      <c r="K2155" t="s">
        <v>42630</v>
      </c>
      <c r="M2155" t="s">
        <v>43163</v>
      </c>
      <c r="N2155" t="s">
        <v>47304</v>
      </c>
      <c r="O2155" t="s">
        <v>47305</v>
      </c>
      <c r="P2155">
        <v>0</v>
      </c>
      <c r="Q2155">
        <v>0</v>
      </c>
      <c r="R2155" t="s">
        <v>47307</v>
      </c>
      <c r="S2155" t="s">
        <v>47416</v>
      </c>
      <c r="T2155" t="s">
        <v>48986</v>
      </c>
      <c r="U2155" t="s">
        <v>51455</v>
      </c>
      <c r="W2155" t="s">
        <v>43163</v>
      </c>
      <c r="X2155" t="s">
        <v>47306</v>
      </c>
    </row>
    <row r="2156" spans="1:24">
      <c r="A2156">
        <f>HYPERLINK("https://www.philgeps.gov.ph/GEPSNONPILOT/Tender/SplashBidNoticeAbstractUI.aspx?menuIndex=3&amp;refID=7200008&amp;Result=3","7200008")</f>
        <v>0</v>
      </c>
      <c r="B2156" t="s">
        <v>920</v>
      </c>
      <c r="C2156" t="s">
        <v>5943</v>
      </c>
      <c r="D2156" t="s">
        <v>18993</v>
      </c>
      <c r="E2156" t="s">
        <v>21068</v>
      </c>
      <c r="F2156" t="s">
        <v>32606</v>
      </c>
      <c r="G2156" t="s">
        <v>32614</v>
      </c>
      <c r="H2156" t="s">
        <v>32624</v>
      </c>
      <c r="I2156" t="s">
        <v>32639</v>
      </c>
      <c r="J2156" t="s">
        <v>32789</v>
      </c>
      <c r="K2156" t="s">
        <v>42665</v>
      </c>
      <c r="M2156" t="s">
        <v>43860</v>
      </c>
      <c r="N2156" t="s">
        <v>47304</v>
      </c>
      <c r="O2156" t="s">
        <v>47305</v>
      </c>
      <c r="P2156">
        <v>0</v>
      </c>
      <c r="Q2156">
        <v>0</v>
      </c>
      <c r="R2156" t="s">
        <v>47307</v>
      </c>
      <c r="S2156" t="s">
        <v>47416</v>
      </c>
      <c r="T2156" t="s">
        <v>49087</v>
      </c>
      <c r="U2156" t="s">
        <v>51456</v>
      </c>
      <c r="W2156" t="s">
        <v>43860</v>
      </c>
      <c r="X2156" t="s">
        <v>47306</v>
      </c>
    </row>
    <row r="2157" spans="1:24">
      <c r="A2157">
        <f>HYPERLINK("https://www.philgeps.gov.ph/GEPSNONPILOT/Tender/SplashBidNoticeAbstractUI.aspx?menuIndex=3&amp;refID=7200001&amp;Result=3","7200001")</f>
        <v>0</v>
      </c>
      <c r="B2157" t="s">
        <v>728</v>
      </c>
      <c r="C2157" t="s">
        <v>5944</v>
      </c>
      <c r="D2157" t="s">
        <v>19025</v>
      </c>
      <c r="E2157" t="s">
        <v>21069</v>
      </c>
      <c r="F2157" t="s">
        <v>32606</v>
      </c>
      <c r="G2157" t="s">
        <v>32614</v>
      </c>
      <c r="H2157" t="s">
        <v>14201</v>
      </c>
      <c r="I2157" t="s">
        <v>7529</v>
      </c>
      <c r="J2157" t="s">
        <v>34311</v>
      </c>
      <c r="K2157" t="s">
        <v>42631</v>
      </c>
      <c r="M2157" t="s">
        <v>43650</v>
      </c>
      <c r="N2157" t="s">
        <v>47304</v>
      </c>
      <c r="O2157" t="s">
        <v>47305</v>
      </c>
      <c r="P2157">
        <v>0</v>
      </c>
      <c r="Q2157">
        <v>0</v>
      </c>
      <c r="R2157" t="s">
        <v>47307</v>
      </c>
      <c r="S2157" t="s">
        <v>47416</v>
      </c>
      <c r="T2157" t="s">
        <v>48986</v>
      </c>
      <c r="U2157" t="s">
        <v>50853</v>
      </c>
      <c r="W2157" t="s">
        <v>43650</v>
      </c>
      <c r="X2157" t="s">
        <v>47306</v>
      </c>
    </row>
    <row r="2158" spans="1:24">
      <c r="A2158">
        <f>HYPERLINK("https://www.philgeps.gov.ph/GEPSNONPILOT/Tender/SplashBidNoticeAbstractUI.aspx?menuIndex=3&amp;refID=7200017&amp;Result=3","7200017")</f>
        <v>0</v>
      </c>
      <c r="B2158" t="s">
        <v>940</v>
      </c>
      <c r="C2158" t="s">
        <v>5945</v>
      </c>
      <c r="D2158" t="s">
        <v>19024</v>
      </c>
      <c r="E2158" t="s">
        <v>21070</v>
      </c>
      <c r="F2158" t="s">
        <v>32606</v>
      </c>
      <c r="G2158" t="s">
        <v>32614</v>
      </c>
      <c r="H2158" t="s">
        <v>14201</v>
      </c>
      <c r="I2158" t="s">
        <v>32633</v>
      </c>
      <c r="J2158" t="s">
        <v>34312</v>
      </c>
      <c r="K2158" t="s">
        <v>42630</v>
      </c>
      <c r="M2158" t="s">
        <v>43881</v>
      </c>
      <c r="N2158" t="s">
        <v>47304</v>
      </c>
      <c r="O2158" t="s">
        <v>47305</v>
      </c>
      <c r="P2158">
        <v>0</v>
      </c>
      <c r="Q2158">
        <v>0</v>
      </c>
      <c r="R2158" t="s">
        <v>47307</v>
      </c>
      <c r="S2158" t="s">
        <v>47416</v>
      </c>
      <c r="T2158" t="s">
        <v>48996</v>
      </c>
      <c r="U2158" t="s">
        <v>51457</v>
      </c>
      <c r="W2158" t="s">
        <v>43881</v>
      </c>
      <c r="X2158" t="s">
        <v>47306</v>
      </c>
    </row>
    <row r="2159" spans="1:24">
      <c r="A2159">
        <f>HYPERLINK("https://www.philgeps.gov.ph/GEPSNONPILOT/Tender/SplashBidNoticeAbstractUI.aspx?menuIndex=3&amp;refID=7200002&amp;Result=3","7200002")</f>
        <v>0</v>
      </c>
      <c r="B2159" t="s">
        <v>915</v>
      </c>
      <c r="C2159" t="s">
        <v>5946</v>
      </c>
      <c r="D2159" t="s">
        <v>18993</v>
      </c>
      <c r="E2159" t="s">
        <v>19316</v>
      </c>
      <c r="F2159" t="s">
        <v>32606</v>
      </c>
      <c r="G2159" t="s">
        <v>32613</v>
      </c>
      <c r="H2159" t="s">
        <v>14201</v>
      </c>
      <c r="I2159" t="s">
        <v>32632</v>
      </c>
      <c r="J2159" t="s">
        <v>34313</v>
      </c>
      <c r="K2159" t="s">
        <v>42622</v>
      </c>
      <c r="M2159" t="s">
        <v>43855</v>
      </c>
      <c r="N2159" t="s">
        <v>47304</v>
      </c>
      <c r="O2159" t="s">
        <v>47305</v>
      </c>
      <c r="P2159">
        <v>0</v>
      </c>
      <c r="Q2159">
        <v>0</v>
      </c>
      <c r="R2159" t="s">
        <v>47307</v>
      </c>
      <c r="S2159" t="s">
        <v>47416</v>
      </c>
      <c r="T2159" t="s">
        <v>49016</v>
      </c>
      <c r="U2159" t="s">
        <v>51458</v>
      </c>
      <c r="W2159" t="s">
        <v>43855</v>
      </c>
      <c r="X2159" t="s">
        <v>47306</v>
      </c>
    </row>
    <row r="2160" spans="1:24">
      <c r="A2160">
        <f>HYPERLINK("https://www.philgeps.gov.ph/GEPSNONPILOT/Tender/SplashBidNoticeAbstractUI.aspx?menuIndex=3&amp;refID=7200016&amp;Result=3","7200016")</f>
        <v>0</v>
      </c>
      <c r="B2160" t="s">
        <v>968</v>
      </c>
      <c r="C2160" t="s">
        <v>5947</v>
      </c>
      <c r="D2160" t="s">
        <v>19001</v>
      </c>
      <c r="E2160" t="s">
        <v>20898</v>
      </c>
      <c r="F2160" t="s">
        <v>32606</v>
      </c>
      <c r="G2160" t="s">
        <v>32613</v>
      </c>
      <c r="H2160" t="s">
        <v>14201</v>
      </c>
      <c r="I2160" t="s">
        <v>6931</v>
      </c>
      <c r="J2160" t="s">
        <v>34314</v>
      </c>
      <c r="K2160" t="s">
        <v>42624</v>
      </c>
      <c r="M2160" t="s">
        <v>43913</v>
      </c>
      <c r="N2160" t="s">
        <v>47304</v>
      </c>
      <c r="O2160" t="s">
        <v>47305</v>
      </c>
      <c r="P2160">
        <v>0</v>
      </c>
      <c r="Q2160">
        <v>0</v>
      </c>
      <c r="R2160" t="s">
        <v>47307</v>
      </c>
      <c r="S2160" t="s">
        <v>47416</v>
      </c>
      <c r="T2160" t="s">
        <v>49008</v>
      </c>
      <c r="U2160" t="s">
        <v>51459</v>
      </c>
      <c r="W2160" t="s">
        <v>43913</v>
      </c>
      <c r="X2160" t="s">
        <v>47306</v>
      </c>
    </row>
    <row r="2161" spans="1:24">
      <c r="A2161">
        <f>HYPERLINK("https://www.philgeps.gov.ph/GEPSNONPILOT/Tender/SplashBidNoticeAbstractUI.aspx?menuIndex=3&amp;refID=7200015&amp;Result=3","7200015")</f>
        <v>0</v>
      </c>
      <c r="B2161" t="s">
        <v>806</v>
      </c>
      <c r="C2161" t="s">
        <v>5948</v>
      </c>
      <c r="D2161" t="s">
        <v>19033</v>
      </c>
      <c r="E2161" t="s">
        <v>21071</v>
      </c>
      <c r="F2161" t="s">
        <v>32606</v>
      </c>
      <c r="G2161" t="s">
        <v>32614</v>
      </c>
      <c r="H2161" t="s">
        <v>14201</v>
      </c>
      <c r="I2161" t="s">
        <v>9013</v>
      </c>
      <c r="J2161" t="s">
        <v>34102</v>
      </c>
      <c r="K2161" t="s">
        <v>42631</v>
      </c>
      <c r="M2161" t="s">
        <v>43737</v>
      </c>
      <c r="N2161" t="s">
        <v>47304</v>
      </c>
      <c r="O2161" t="s">
        <v>47305</v>
      </c>
      <c r="P2161">
        <v>0</v>
      </c>
      <c r="Q2161">
        <v>0</v>
      </c>
      <c r="R2161" t="s">
        <v>47307</v>
      </c>
      <c r="S2161" t="s">
        <v>47416</v>
      </c>
      <c r="T2161" t="s">
        <v>49017</v>
      </c>
      <c r="U2161" t="s">
        <v>51460</v>
      </c>
      <c r="W2161" t="s">
        <v>43737</v>
      </c>
      <c r="X2161" t="s">
        <v>47306</v>
      </c>
    </row>
    <row r="2162" spans="1:24">
      <c r="A2162">
        <f>HYPERLINK("https://www.philgeps.gov.ph/GEPSNONPILOT/Tender/SplashBidNoticeAbstractUI.aspx?menuIndex=3&amp;refID=7200013&amp;Result=3","7200013")</f>
        <v>0</v>
      </c>
      <c r="B2162" t="s">
        <v>969</v>
      </c>
      <c r="C2162" t="s">
        <v>5949</v>
      </c>
      <c r="D2162" t="s">
        <v>19011</v>
      </c>
      <c r="E2162" t="s">
        <v>21072</v>
      </c>
      <c r="F2162" t="s">
        <v>32606</v>
      </c>
      <c r="G2162" t="s">
        <v>32619</v>
      </c>
      <c r="H2162" t="s">
        <v>14201</v>
      </c>
      <c r="I2162" t="s">
        <v>32633</v>
      </c>
      <c r="J2162" t="s">
        <v>34315</v>
      </c>
      <c r="K2162" t="s">
        <v>42624</v>
      </c>
      <c r="M2162" t="s">
        <v>43914</v>
      </c>
      <c r="N2162" t="s">
        <v>47304</v>
      </c>
      <c r="O2162" t="s">
        <v>47305</v>
      </c>
      <c r="P2162">
        <v>0</v>
      </c>
      <c r="Q2162">
        <v>0</v>
      </c>
      <c r="R2162" t="s">
        <v>47307</v>
      </c>
      <c r="S2162" t="s">
        <v>47416</v>
      </c>
      <c r="T2162" t="s">
        <v>49019</v>
      </c>
      <c r="U2162" t="s">
        <v>51461</v>
      </c>
      <c r="V2162" t="s">
        <v>62885</v>
      </c>
      <c r="W2162" t="s">
        <v>43914</v>
      </c>
      <c r="X2162" t="s">
        <v>47306</v>
      </c>
    </row>
    <row r="2163" spans="1:24">
      <c r="A2163">
        <f>HYPERLINK("https://www.philgeps.gov.ph/GEPSNONPILOT/Tender/SplashBidNoticeAbstractUI.aspx?menuIndex=3&amp;refID=7199999&amp;Result=3","7199999")</f>
        <v>0</v>
      </c>
      <c r="B2163" t="s">
        <v>906</v>
      </c>
      <c r="C2163" t="s">
        <v>5950</v>
      </c>
      <c r="D2163" t="s">
        <v>19013</v>
      </c>
      <c r="E2163" t="s">
        <v>21073</v>
      </c>
      <c r="F2163" t="s">
        <v>32606</v>
      </c>
      <c r="G2163" t="s">
        <v>32614</v>
      </c>
      <c r="H2163" t="s">
        <v>14201</v>
      </c>
      <c r="I2163" t="s">
        <v>32629</v>
      </c>
      <c r="J2163" t="s">
        <v>34316</v>
      </c>
      <c r="K2163" t="s">
        <v>42631</v>
      </c>
      <c r="M2163" t="s">
        <v>43844</v>
      </c>
      <c r="N2163" t="s">
        <v>47304</v>
      </c>
      <c r="O2163" t="s">
        <v>47305</v>
      </c>
      <c r="P2163">
        <v>0</v>
      </c>
      <c r="Q2163">
        <v>0</v>
      </c>
      <c r="R2163" t="s">
        <v>47307</v>
      </c>
      <c r="S2163" t="s">
        <v>47416</v>
      </c>
      <c r="T2163" t="s">
        <v>49023</v>
      </c>
      <c r="U2163" t="s">
        <v>51462</v>
      </c>
      <c r="W2163" t="s">
        <v>43844</v>
      </c>
      <c r="X2163" t="s">
        <v>47306</v>
      </c>
    </row>
    <row r="2164" spans="1:24">
      <c r="A2164">
        <f>HYPERLINK("https://www.philgeps.gov.ph/GEPSNONPILOT/Tender/SplashBidNoticeAbstractUI.aspx?menuIndex=3&amp;refID=7200004&amp;Result=3","7200004")</f>
        <v>0</v>
      </c>
      <c r="B2164" t="s">
        <v>247</v>
      </c>
      <c r="C2164" t="s">
        <v>5951</v>
      </c>
      <c r="D2164" t="s">
        <v>18993</v>
      </c>
      <c r="E2164" t="s">
        <v>21074</v>
      </c>
      <c r="F2164" t="s">
        <v>32606</v>
      </c>
      <c r="G2164" t="s">
        <v>32614</v>
      </c>
      <c r="H2164" t="s">
        <v>14201</v>
      </c>
      <c r="I2164" t="s">
        <v>32633</v>
      </c>
      <c r="J2164" t="s">
        <v>32781</v>
      </c>
      <c r="K2164" t="s">
        <v>42631</v>
      </c>
      <c r="M2164" t="s">
        <v>43148</v>
      </c>
      <c r="N2164" t="s">
        <v>47304</v>
      </c>
      <c r="O2164" t="s">
        <v>47305</v>
      </c>
      <c r="P2164">
        <v>0</v>
      </c>
      <c r="Q2164">
        <v>0</v>
      </c>
      <c r="R2164" t="s">
        <v>47307</v>
      </c>
      <c r="S2164" t="s">
        <v>47416</v>
      </c>
      <c r="T2164" t="s">
        <v>49108</v>
      </c>
      <c r="U2164" t="s">
        <v>51463</v>
      </c>
      <c r="W2164" t="s">
        <v>43148</v>
      </c>
      <c r="X2164" t="s">
        <v>47306</v>
      </c>
    </row>
    <row r="2165" spans="1:24">
      <c r="A2165">
        <f>HYPERLINK("https://www.philgeps.gov.ph/GEPSNONPILOT/Tender/SplashBidNoticeAbstractUI.aspx?menuIndex=3&amp;refID=7200028&amp;Result=3","7200028")</f>
        <v>0</v>
      </c>
      <c r="B2165" t="s">
        <v>861</v>
      </c>
      <c r="C2165" t="s">
        <v>5952</v>
      </c>
      <c r="D2165" t="s">
        <v>19015</v>
      </c>
      <c r="E2165" t="s">
        <v>21075</v>
      </c>
      <c r="F2165" t="s">
        <v>32606</v>
      </c>
      <c r="G2165" t="s">
        <v>32613</v>
      </c>
      <c r="H2165" t="s">
        <v>14201</v>
      </c>
      <c r="I2165" t="s">
        <v>6298</v>
      </c>
      <c r="J2165" t="s">
        <v>34317</v>
      </c>
      <c r="K2165" t="s">
        <v>42631</v>
      </c>
      <c r="M2165" t="s">
        <v>43795</v>
      </c>
      <c r="N2165" t="s">
        <v>47304</v>
      </c>
      <c r="O2165" t="s">
        <v>47305</v>
      </c>
      <c r="P2165">
        <v>0</v>
      </c>
      <c r="Q2165">
        <v>0</v>
      </c>
      <c r="R2165" t="s">
        <v>47307</v>
      </c>
      <c r="S2165" t="s">
        <v>47416</v>
      </c>
      <c r="T2165" t="s">
        <v>48971</v>
      </c>
      <c r="U2165" t="s">
        <v>51464</v>
      </c>
      <c r="W2165" t="s">
        <v>43795</v>
      </c>
      <c r="X2165" t="s">
        <v>47306</v>
      </c>
    </row>
    <row r="2166" spans="1:24">
      <c r="A2166">
        <f>HYPERLINK("https://www.philgeps.gov.ph/GEPSNONPILOT/Tender/SplashBidNoticeAbstractUI.aspx?menuIndex=3&amp;refID=7200026&amp;Result=3","7200026")</f>
        <v>0</v>
      </c>
      <c r="B2166" t="s">
        <v>728</v>
      </c>
      <c r="C2166" t="s">
        <v>5953</v>
      </c>
      <c r="D2166" t="s">
        <v>19025</v>
      </c>
      <c r="E2166" t="s">
        <v>21076</v>
      </c>
      <c r="F2166" t="s">
        <v>32606</v>
      </c>
      <c r="G2166" t="s">
        <v>32614</v>
      </c>
      <c r="H2166" t="s">
        <v>14201</v>
      </c>
      <c r="I2166" t="s">
        <v>4114</v>
      </c>
      <c r="J2166" t="s">
        <v>34318</v>
      </c>
      <c r="K2166" t="s">
        <v>42631</v>
      </c>
      <c r="M2166" t="s">
        <v>43650</v>
      </c>
      <c r="N2166" t="s">
        <v>47304</v>
      </c>
      <c r="O2166" t="s">
        <v>47305</v>
      </c>
      <c r="P2166">
        <v>0</v>
      </c>
      <c r="Q2166">
        <v>0</v>
      </c>
      <c r="R2166" t="s">
        <v>47307</v>
      </c>
      <c r="S2166" t="s">
        <v>47416</v>
      </c>
      <c r="T2166" t="s">
        <v>48986</v>
      </c>
      <c r="U2166" t="s">
        <v>50853</v>
      </c>
      <c r="W2166" t="s">
        <v>43650</v>
      </c>
      <c r="X2166" t="s">
        <v>47306</v>
      </c>
    </row>
    <row r="2167" spans="1:24">
      <c r="A2167">
        <f>HYPERLINK("https://www.philgeps.gov.ph/GEPSNONPILOT/Tender/SplashBidNoticeAbstractUI.aspx?menuIndex=3&amp;refID=7200019&amp;Result=3","7200019")</f>
        <v>0</v>
      </c>
      <c r="B2167" t="s">
        <v>960</v>
      </c>
      <c r="C2167" t="s">
        <v>5954</v>
      </c>
      <c r="D2167" t="s">
        <v>18993</v>
      </c>
      <c r="E2167" t="s">
        <v>21077</v>
      </c>
      <c r="F2167" t="s">
        <v>32606</v>
      </c>
      <c r="G2167" t="s">
        <v>32614</v>
      </c>
      <c r="H2167" t="s">
        <v>14201</v>
      </c>
      <c r="I2167" t="s">
        <v>32640</v>
      </c>
      <c r="J2167" t="s">
        <v>32999</v>
      </c>
      <c r="K2167" t="s">
        <v>42665</v>
      </c>
      <c r="M2167" t="s">
        <v>43905</v>
      </c>
      <c r="N2167" t="s">
        <v>47304</v>
      </c>
      <c r="O2167" t="s">
        <v>47305</v>
      </c>
      <c r="P2167">
        <v>0</v>
      </c>
      <c r="Q2167">
        <v>0</v>
      </c>
      <c r="R2167" t="s">
        <v>47307</v>
      </c>
      <c r="S2167" t="s">
        <v>47416</v>
      </c>
      <c r="T2167" t="s">
        <v>48988</v>
      </c>
      <c r="U2167" t="s">
        <v>51465</v>
      </c>
      <c r="V2167" t="s">
        <v>62882</v>
      </c>
      <c r="W2167" t="s">
        <v>43905</v>
      </c>
      <c r="X2167" t="s">
        <v>47306</v>
      </c>
    </row>
    <row r="2168" spans="1:24">
      <c r="A2168">
        <f>HYPERLINK("https://www.philgeps.gov.ph/GEPSNONPILOT/Tender/SplashBidNoticeAbstractUI.aspx?menuIndex=3&amp;refID=7200023&amp;Result=3","7200023")</f>
        <v>0</v>
      </c>
      <c r="B2168" t="s">
        <v>833</v>
      </c>
      <c r="C2168" t="s">
        <v>5955</v>
      </c>
      <c r="D2168" t="s">
        <v>19039</v>
      </c>
      <c r="E2168" t="s">
        <v>21078</v>
      </c>
      <c r="F2168" t="s">
        <v>32606</v>
      </c>
      <c r="G2168" t="s">
        <v>32614</v>
      </c>
      <c r="H2168" t="s">
        <v>14201</v>
      </c>
      <c r="I2168" t="s">
        <v>6931</v>
      </c>
      <c r="J2168" t="s">
        <v>34319</v>
      </c>
      <c r="K2168" t="s">
        <v>42629</v>
      </c>
      <c r="M2168" t="s">
        <v>43764</v>
      </c>
      <c r="N2168" t="s">
        <v>47304</v>
      </c>
      <c r="O2168" t="s">
        <v>47305</v>
      </c>
      <c r="P2168">
        <v>0</v>
      </c>
      <c r="Q2168">
        <v>0</v>
      </c>
      <c r="R2168" t="s">
        <v>47307</v>
      </c>
      <c r="S2168" t="s">
        <v>47416</v>
      </c>
      <c r="T2168" t="s">
        <v>49087</v>
      </c>
      <c r="U2168" t="s">
        <v>51466</v>
      </c>
      <c r="W2168" t="s">
        <v>43764</v>
      </c>
      <c r="X2168" t="s">
        <v>47306</v>
      </c>
    </row>
    <row r="2169" spans="1:24">
      <c r="A2169">
        <f>HYPERLINK("https://www.philgeps.gov.ph/GEPSNONPILOT/Tender/SplashBidNoticeAbstractUI.aspx?menuIndex=3&amp;refID=7200022&amp;Result=3","7200022")</f>
        <v>0</v>
      </c>
      <c r="B2169" t="s">
        <v>726</v>
      </c>
      <c r="C2169" t="s">
        <v>5956</v>
      </c>
      <c r="D2169" t="s">
        <v>19009</v>
      </c>
      <c r="E2169" t="s">
        <v>21079</v>
      </c>
      <c r="F2169" t="s">
        <v>32606</v>
      </c>
      <c r="G2169" t="s">
        <v>32613</v>
      </c>
      <c r="H2169" t="s">
        <v>14201</v>
      </c>
      <c r="I2169" t="s">
        <v>32710</v>
      </c>
      <c r="J2169" t="s">
        <v>33071</v>
      </c>
      <c r="K2169" t="s">
        <v>42631</v>
      </c>
      <c r="M2169" t="s">
        <v>43915</v>
      </c>
      <c r="N2169" t="s">
        <v>47304</v>
      </c>
      <c r="O2169" t="s">
        <v>47305</v>
      </c>
      <c r="P2169">
        <v>0</v>
      </c>
      <c r="Q2169">
        <v>0</v>
      </c>
      <c r="R2169" t="s">
        <v>47307</v>
      </c>
      <c r="S2169" t="s">
        <v>47416</v>
      </c>
      <c r="T2169" t="s">
        <v>49205</v>
      </c>
      <c r="U2169" t="s">
        <v>51467</v>
      </c>
      <c r="V2169" t="s">
        <v>62846</v>
      </c>
      <c r="W2169" t="s">
        <v>43915</v>
      </c>
      <c r="X2169" t="s">
        <v>47306</v>
      </c>
    </row>
    <row r="2170" spans="1:24">
      <c r="A2170">
        <f>HYPERLINK("https://www.philgeps.gov.ph/GEPSNONPILOT/Tender/SplashBidNoticeAbstractUI.aspx?menuIndex=3&amp;refID=7200021&amp;Result=3","7200021")</f>
        <v>0</v>
      </c>
      <c r="B2170" t="s">
        <v>970</v>
      </c>
      <c r="C2170" t="s">
        <v>5957</v>
      </c>
      <c r="D2170" t="s">
        <v>18990</v>
      </c>
      <c r="E2170" t="s">
        <v>21080</v>
      </c>
      <c r="F2170" t="s">
        <v>32606</v>
      </c>
      <c r="G2170" t="s">
        <v>32613</v>
      </c>
      <c r="H2170" t="s">
        <v>14201</v>
      </c>
      <c r="I2170" t="s">
        <v>32629</v>
      </c>
      <c r="J2170" t="s">
        <v>34320</v>
      </c>
      <c r="K2170" t="s">
        <v>42623</v>
      </c>
      <c r="M2170" t="s">
        <v>43916</v>
      </c>
      <c r="N2170" t="s">
        <v>47304</v>
      </c>
      <c r="O2170" t="s">
        <v>47305</v>
      </c>
      <c r="P2170">
        <v>0</v>
      </c>
      <c r="Q2170">
        <v>0</v>
      </c>
      <c r="R2170" t="s">
        <v>47307</v>
      </c>
      <c r="S2170" t="s">
        <v>47416</v>
      </c>
      <c r="T2170" t="s">
        <v>49008</v>
      </c>
      <c r="U2170" t="s">
        <v>51468</v>
      </c>
      <c r="W2170" t="s">
        <v>43916</v>
      </c>
      <c r="X2170" t="s">
        <v>47306</v>
      </c>
    </row>
    <row r="2171" spans="1:24">
      <c r="A2171">
        <f>HYPERLINK("https://www.philgeps.gov.ph/GEPSNONPILOT/Tender/SplashBidNoticeAbstractUI.aspx?menuIndex=3&amp;refID=7199972&amp;Result=3","7199972")</f>
        <v>0</v>
      </c>
      <c r="B2171" t="s">
        <v>906</v>
      </c>
      <c r="C2171" t="s">
        <v>5958</v>
      </c>
      <c r="D2171" t="s">
        <v>19013</v>
      </c>
      <c r="E2171" t="s">
        <v>21081</v>
      </c>
      <c r="F2171" t="s">
        <v>32606</v>
      </c>
      <c r="G2171" t="s">
        <v>32614</v>
      </c>
      <c r="H2171" t="s">
        <v>14201</v>
      </c>
      <c r="I2171" t="s">
        <v>32629</v>
      </c>
      <c r="J2171" t="s">
        <v>33161</v>
      </c>
      <c r="K2171" t="s">
        <v>42631</v>
      </c>
      <c r="M2171" t="s">
        <v>43844</v>
      </c>
      <c r="N2171" t="s">
        <v>47304</v>
      </c>
      <c r="O2171" t="s">
        <v>47305</v>
      </c>
      <c r="P2171">
        <v>0</v>
      </c>
      <c r="Q2171">
        <v>0</v>
      </c>
      <c r="R2171" t="s">
        <v>47307</v>
      </c>
      <c r="S2171" t="s">
        <v>47416</v>
      </c>
      <c r="T2171" t="s">
        <v>49023</v>
      </c>
      <c r="U2171" t="s">
        <v>51469</v>
      </c>
      <c r="W2171" t="s">
        <v>43844</v>
      </c>
      <c r="X2171" t="s">
        <v>47306</v>
      </c>
    </row>
    <row r="2172" spans="1:24">
      <c r="A2172">
        <f>HYPERLINK("https://www.philgeps.gov.ph/GEPSNONPILOT/Tender/SplashBidNoticeAbstractUI.aspx?menuIndex=3&amp;refID=7200020&amp;Result=3","7200020")</f>
        <v>0</v>
      </c>
      <c r="B2172" t="s">
        <v>776</v>
      </c>
      <c r="C2172" t="s">
        <v>5959</v>
      </c>
      <c r="D2172" t="s">
        <v>19003</v>
      </c>
      <c r="E2172" t="s">
        <v>21082</v>
      </c>
      <c r="F2172" t="s">
        <v>32606</v>
      </c>
      <c r="G2172" t="s">
        <v>32614</v>
      </c>
      <c r="H2172" t="s">
        <v>14201</v>
      </c>
      <c r="I2172" t="s">
        <v>4678</v>
      </c>
      <c r="J2172" t="s">
        <v>32781</v>
      </c>
      <c r="K2172" t="s">
        <v>42622</v>
      </c>
      <c r="M2172" t="s">
        <v>43705</v>
      </c>
      <c r="N2172" t="s">
        <v>47304</v>
      </c>
      <c r="O2172" t="s">
        <v>47305</v>
      </c>
      <c r="P2172">
        <v>0</v>
      </c>
      <c r="Q2172">
        <v>0</v>
      </c>
      <c r="R2172" t="s">
        <v>47307</v>
      </c>
      <c r="S2172" t="s">
        <v>47416</v>
      </c>
      <c r="T2172" t="s">
        <v>49184</v>
      </c>
      <c r="U2172" t="s">
        <v>51470</v>
      </c>
      <c r="V2172" t="s">
        <v>62886</v>
      </c>
      <c r="W2172" t="s">
        <v>43705</v>
      </c>
      <c r="X2172" t="s">
        <v>47306</v>
      </c>
    </row>
    <row r="2173" spans="1:24">
      <c r="A2173">
        <f>HYPERLINK("https://www.philgeps.gov.ph/GEPSNONPILOT/Tender/SplashBidNoticeAbstractUI.aspx?menuIndex=3&amp;refID=7200012&amp;Result=3","7200012")</f>
        <v>0</v>
      </c>
      <c r="B2173" t="s">
        <v>238</v>
      </c>
      <c r="C2173" t="s">
        <v>5960</v>
      </c>
      <c r="D2173" t="s">
        <v>18993</v>
      </c>
      <c r="E2173" t="s">
        <v>21083</v>
      </c>
      <c r="F2173" t="s">
        <v>32606</v>
      </c>
      <c r="G2173" t="s">
        <v>32619</v>
      </c>
      <c r="H2173" t="s">
        <v>14201</v>
      </c>
      <c r="I2173" t="s">
        <v>32633</v>
      </c>
      <c r="J2173" t="s">
        <v>32841</v>
      </c>
      <c r="K2173" t="s">
        <v>42622</v>
      </c>
      <c r="M2173" t="s">
        <v>43794</v>
      </c>
      <c r="N2173" t="s">
        <v>47304</v>
      </c>
      <c r="O2173" t="s">
        <v>47305</v>
      </c>
      <c r="P2173">
        <v>0</v>
      </c>
      <c r="Q2173">
        <v>0</v>
      </c>
      <c r="R2173" t="s">
        <v>47307</v>
      </c>
      <c r="S2173" t="s">
        <v>47416</v>
      </c>
      <c r="T2173" t="s">
        <v>49014</v>
      </c>
      <c r="U2173" t="s">
        <v>51471</v>
      </c>
      <c r="V2173" t="s">
        <v>62844</v>
      </c>
      <c r="W2173" t="s">
        <v>43794</v>
      </c>
      <c r="X2173" t="s">
        <v>47306</v>
      </c>
    </row>
    <row r="2174" spans="1:24">
      <c r="A2174">
        <f>HYPERLINK("https://www.philgeps.gov.ph/GEPSNONPILOT/Tender/SplashBidNoticeAbstractUI.aspx?menuIndex=3&amp;refID=7200010&amp;Result=3","7200010")</f>
        <v>0</v>
      </c>
      <c r="B2174" t="s">
        <v>971</v>
      </c>
      <c r="C2174" t="s">
        <v>5961</v>
      </c>
      <c r="D2174" t="s">
        <v>18994</v>
      </c>
      <c r="E2174" t="s">
        <v>21084</v>
      </c>
      <c r="F2174" t="s">
        <v>32606</v>
      </c>
      <c r="G2174" t="s">
        <v>32614</v>
      </c>
      <c r="H2174" t="s">
        <v>14201</v>
      </c>
      <c r="I2174" t="s">
        <v>32634</v>
      </c>
      <c r="J2174" t="s">
        <v>34321</v>
      </c>
      <c r="K2174" t="s">
        <v>42632</v>
      </c>
      <c r="M2174" t="s">
        <v>43917</v>
      </c>
      <c r="N2174" t="s">
        <v>47304</v>
      </c>
      <c r="O2174" t="s">
        <v>47305</v>
      </c>
      <c r="P2174">
        <v>0</v>
      </c>
      <c r="Q2174">
        <v>0</v>
      </c>
      <c r="R2174" t="s">
        <v>47307</v>
      </c>
      <c r="S2174" t="s">
        <v>47416</v>
      </c>
      <c r="T2174" t="s">
        <v>49100</v>
      </c>
      <c r="U2174" t="s">
        <v>51472</v>
      </c>
      <c r="V2174" t="s">
        <v>62887</v>
      </c>
      <c r="W2174" t="s">
        <v>43917</v>
      </c>
      <c r="X2174" t="s">
        <v>47306</v>
      </c>
    </row>
    <row r="2175" spans="1:24">
      <c r="A2175">
        <f>HYPERLINK("https://www.philgeps.gov.ph/GEPSNONPILOT/Tender/SplashBidNoticeAbstractUI.aspx?menuIndex=3&amp;refID=7200025&amp;Result=3","7200025")</f>
        <v>0</v>
      </c>
      <c r="B2175" t="s">
        <v>570</v>
      </c>
      <c r="C2175" t="s">
        <v>5962</v>
      </c>
      <c r="D2175" t="s">
        <v>18993</v>
      </c>
      <c r="E2175" t="s">
        <v>21085</v>
      </c>
      <c r="F2175" t="s">
        <v>32606</v>
      </c>
      <c r="G2175" t="s">
        <v>32614</v>
      </c>
      <c r="H2175" t="s">
        <v>14201</v>
      </c>
      <c r="I2175" t="s">
        <v>32633</v>
      </c>
      <c r="J2175" t="s">
        <v>33060</v>
      </c>
      <c r="K2175" t="s">
        <v>42629</v>
      </c>
      <c r="M2175" t="s">
        <v>43485</v>
      </c>
      <c r="N2175" t="s">
        <v>47304</v>
      </c>
      <c r="O2175" t="s">
        <v>47305</v>
      </c>
      <c r="P2175">
        <v>0</v>
      </c>
      <c r="Q2175">
        <v>0</v>
      </c>
      <c r="R2175" t="s">
        <v>47307</v>
      </c>
      <c r="S2175" t="s">
        <v>47416</v>
      </c>
      <c r="T2175" t="s">
        <v>49200</v>
      </c>
      <c r="U2175" t="s">
        <v>51473</v>
      </c>
      <c r="W2175" t="s">
        <v>47043</v>
      </c>
      <c r="X2175" t="s">
        <v>47306</v>
      </c>
    </row>
    <row r="2176" spans="1:24">
      <c r="A2176">
        <f>HYPERLINK("https://www.philgeps.gov.ph/GEPSNONPILOT/Tender/SplashBidNoticeAbstractUI.aspx?menuIndex=3&amp;refID=7200030&amp;Result=3","7200030")</f>
        <v>0</v>
      </c>
      <c r="B2176" t="s">
        <v>972</v>
      </c>
      <c r="C2176" t="s">
        <v>5963</v>
      </c>
      <c r="E2176" t="s">
        <v>20803</v>
      </c>
      <c r="F2176" t="s">
        <v>32606</v>
      </c>
      <c r="G2176" t="s">
        <v>32614</v>
      </c>
      <c r="H2176" t="s">
        <v>14201</v>
      </c>
      <c r="I2176" t="s">
        <v>4114</v>
      </c>
      <c r="J2176" t="s">
        <v>34322</v>
      </c>
      <c r="K2176" t="s">
        <v>42631</v>
      </c>
      <c r="M2176" t="s">
        <v>43918</v>
      </c>
      <c r="N2176" t="s">
        <v>47304</v>
      </c>
      <c r="O2176" t="s">
        <v>47305</v>
      </c>
      <c r="P2176">
        <v>0</v>
      </c>
      <c r="Q2176">
        <v>0</v>
      </c>
      <c r="R2176" t="s">
        <v>47307</v>
      </c>
      <c r="S2176" t="s">
        <v>47416</v>
      </c>
      <c r="T2176" t="s">
        <v>48976</v>
      </c>
      <c r="U2176" t="s">
        <v>51474</v>
      </c>
      <c r="W2176" t="s">
        <v>43918</v>
      </c>
      <c r="X2176" t="s">
        <v>47306</v>
      </c>
    </row>
    <row r="2177" spans="1:24">
      <c r="A2177">
        <f>HYPERLINK("https://www.philgeps.gov.ph/GEPSNONPILOT/Tender/SplashBidNoticeAbstractUI.aspx?menuIndex=3&amp;refID=7200024&amp;Result=3","7200024")</f>
        <v>0</v>
      </c>
      <c r="B2177" t="s">
        <v>210</v>
      </c>
      <c r="C2177" t="s">
        <v>5964</v>
      </c>
      <c r="D2177" t="s">
        <v>18986</v>
      </c>
      <c r="E2177" t="s">
        <v>21086</v>
      </c>
      <c r="F2177" t="s">
        <v>32606</v>
      </c>
      <c r="G2177" t="s">
        <v>32613</v>
      </c>
      <c r="H2177" t="s">
        <v>14201</v>
      </c>
      <c r="I2177" t="s">
        <v>6931</v>
      </c>
      <c r="J2177" t="s">
        <v>34323</v>
      </c>
      <c r="K2177" t="s">
        <v>42623</v>
      </c>
      <c r="M2177" t="s">
        <v>43111</v>
      </c>
      <c r="N2177" t="s">
        <v>47304</v>
      </c>
      <c r="O2177" t="s">
        <v>47305</v>
      </c>
      <c r="P2177">
        <v>0</v>
      </c>
      <c r="Q2177">
        <v>0</v>
      </c>
      <c r="R2177" t="s">
        <v>47307</v>
      </c>
      <c r="S2177" t="s">
        <v>47416</v>
      </c>
      <c r="T2177" t="s">
        <v>48971</v>
      </c>
      <c r="U2177" t="s">
        <v>51475</v>
      </c>
      <c r="W2177" t="s">
        <v>43111</v>
      </c>
      <c r="X2177" t="s">
        <v>47306</v>
      </c>
    </row>
    <row r="2178" spans="1:24">
      <c r="A2178">
        <f>HYPERLINK("https://www.philgeps.gov.ph/GEPSNONPILOT/Tender/SplashBidNoticeAbstractUI.aspx?menuIndex=3&amp;refID=7200046&amp;Result=3","7200046")</f>
        <v>0</v>
      </c>
      <c r="B2178" t="s">
        <v>913</v>
      </c>
      <c r="C2178" t="s">
        <v>5965</v>
      </c>
      <c r="D2178" t="s">
        <v>19046</v>
      </c>
      <c r="E2178" t="s">
        <v>21087</v>
      </c>
      <c r="F2178" t="s">
        <v>32606</v>
      </c>
      <c r="G2178" t="s">
        <v>32613</v>
      </c>
      <c r="H2178" t="s">
        <v>14201</v>
      </c>
      <c r="I2178" t="s">
        <v>32626</v>
      </c>
      <c r="J2178" t="s">
        <v>34324</v>
      </c>
      <c r="K2178" t="s">
        <v>42623</v>
      </c>
      <c r="M2178" t="s">
        <v>43852</v>
      </c>
      <c r="N2178" t="s">
        <v>47304</v>
      </c>
      <c r="O2178" t="s">
        <v>47305</v>
      </c>
      <c r="P2178">
        <v>0</v>
      </c>
      <c r="Q2178">
        <v>0</v>
      </c>
      <c r="R2178" t="s">
        <v>47307</v>
      </c>
      <c r="S2178" t="s">
        <v>47416</v>
      </c>
      <c r="T2178" t="s">
        <v>49094</v>
      </c>
      <c r="U2178" t="s">
        <v>51476</v>
      </c>
      <c r="W2178" t="s">
        <v>43852</v>
      </c>
      <c r="X2178" t="s">
        <v>47306</v>
      </c>
    </row>
    <row r="2179" spans="1:24">
      <c r="A2179">
        <f>HYPERLINK("https://www.philgeps.gov.ph/GEPSNONPILOT/Tender/SplashBidNoticeAbstractUI.aspx?menuIndex=3&amp;refID=7199973&amp;Result=3","7199973")</f>
        <v>0</v>
      </c>
      <c r="B2179" t="s">
        <v>617</v>
      </c>
      <c r="C2179" t="s">
        <v>5966</v>
      </c>
      <c r="D2179" t="s">
        <v>19058</v>
      </c>
      <c r="E2179" t="s">
        <v>21088</v>
      </c>
      <c r="F2179" t="s">
        <v>32606</v>
      </c>
      <c r="G2179" t="s">
        <v>32614</v>
      </c>
      <c r="H2179" t="s">
        <v>32623</v>
      </c>
      <c r="I2179" t="s">
        <v>17648</v>
      </c>
      <c r="J2179" t="s">
        <v>34325</v>
      </c>
      <c r="K2179" t="s">
        <v>42624</v>
      </c>
      <c r="M2179" t="s">
        <v>43535</v>
      </c>
      <c r="N2179" t="s">
        <v>47304</v>
      </c>
      <c r="O2179" t="s">
        <v>47305</v>
      </c>
      <c r="P2179">
        <v>0</v>
      </c>
      <c r="Q2179">
        <v>0</v>
      </c>
      <c r="R2179" t="s">
        <v>47307</v>
      </c>
      <c r="S2179" t="s">
        <v>47416</v>
      </c>
      <c r="T2179" t="s">
        <v>48988</v>
      </c>
      <c r="U2179" t="s">
        <v>51477</v>
      </c>
      <c r="V2179" t="s">
        <v>62789</v>
      </c>
      <c r="W2179" t="s">
        <v>43535</v>
      </c>
      <c r="X2179" t="s">
        <v>47306</v>
      </c>
    </row>
    <row r="2180" spans="1:24">
      <c r="A2180">
        <f>HYPERLINK("https://www.philgeps.gov.ph/GEPSNONPILOT/Tender/SplashBidNoticeAbstractUI.aspx?menuIndex=3&amp;refID=7200045&amp;Result=3","7200045")</f>
        <v>0</v>
      </c>
      <c r="B2180" t="s">
        <v>972</v>
      </c>
      <c r="C2180" t="s">
        <v>5967</v>
      </c>
      <c r="E2180" t="s">
        <v>21089</v>
      </c>
      <c r="F2180" t="s">
        <v>32606</v>
      </c>
      <c r="G2180" t="s">
        <v>32617</v>
      </c>
      <c r="H2180" t="s">
        <v>14201</v>
      </c>
      <c r="I2180" t="s">
        <v>4114</v>
      </c>
      <c r="J2180" t="s">
        <v>34326</v>
      </c>
      <c r="K2180" t="s">
        <v>42624</v>
      </c>
      <c r="M2180" t="s">
        <v>43918</v>
      </c>
      <c r="N2180" t="s">
        <v>47304</v>
      </c>
      <c r="O2180" t="s">
        <v>47305</v>
      </c>
      <c r="P2180">
        <v>0</v>
      </c>
      <c r="Q2180">
        <v>0</v>
      </c>
      <c r="R2180" t="s">
        <v>47307</v>
      </c>
      <c r="S2180" t="s">
        <v>47416</v>
      </c>
      <c r="T2180" t="s">
        <v>48975</v>
      </c>
      <c r="U2180" t="s">
        <v>51478</v>
      </c>
      <c r="W2180" t="s">
        <v>43918</v>
      </c>
      <c r="X2180" t="s">
        <v>47306</v>
      </c>
    </row>
    <row r="2181" spans="1:24">
      <c r="A2181">
        <f>HYPERLINK("https://www.philgeps.gov.ph/GEPSNONPILOT/Tender/SplashBidNoticeAbstractUI.aspx?menuIndex=3&amp;refID=7200054&amp;Result=3","7200054")</f>
        <v>0</v>
      </c>
      <c r="B2181" t="s">
        <v>873</v>
      </c>
      <c r="C2181" t="s">
        <v>5968</v>
      </c>
      <c r="D2181" t="s">
        <v>19002</v>
      </c>
      <c r="E2181" t="s">
        <v>21090</v>
      </c>
      <c r="F2181" t="s">
        <v>32606</v>
      </c>
      <c r="G2181" t="s">
        <v>32617</v>
      </c>
      <c r="H2181" t="s">
        <v>14201</v>
      </c>
      <c r="I2181" t="s">
        <v>32633</v>
      </c>
      <c r="J2181" t="s">
        <v>34327</v>
      </c>
      <c r="K2181" t="s">
        <v>42630</v>
      </c>
      <c r="M2181" t="s">
        <v>43809</v>
      </c>
      <c r="N2181" t="s">
        <v>47304</v>
      </c>
      <c r="O2181" t="s">
        <v>47305</v>
      </c>
      <c r="P2181">
        <v>0</v>
      </c>
      <c r="Q2181">
        <v>0</v>
      </c>
      <c r="R2181" t="s">
        <v>47307</v>
      </c>
      <c r="S2181" t="s">
        <v>47416</v>
      </c>
      <c r="T2181" t="s">
        <v>49016</v>
      </c>
      <c r="U2181" t="s">
        <v>51479</v>
      </c>
      <c r="W2181" t="s">
        <v>43809</v>
      </c>
      <c r="X2181" t="s">
        <v>47306</v>
      </c>
    </row>
    <row r="2182" spans="1:24">
      <c r="A2182">
        <f>HYPERLINK("https://www.philgeps.gov.ph/GEPSNONPILOT/Tender/SplashBidNoticeAbstractUI.aspx?menuIndex=3&amp;refID=7200011&amp;Result=3","7200011")</f>
        <v>0</v>
      </c>
      <c r="B2182" t="s">
        <v>638</v>
      </c>
      <c r="C2182" t="s">
        <v>5969</v>
      </c>
      <c r="D2182" t="s">
        <v>19019</v>
      </c>
      <c r="E2182" t="s">
        <v>21091</v>
      </c>
      <c r="F2182" t="s">
        <v>32606</v>
      </c>
      <c r="G2182" t="s">
        <v>32614</v>
      </c>
      <c r="H2182" t="s">
        <v>14201</v>
      </c>
      <c r="I2182" t="s">
        <v>7577</v>
      </c>
      <c r="J2182" t="s">
        <v>32981</v>
      </c>
      <c r="K2182" t="s">
        <v>42630</v>
      </c>
      <c r="M2182" t="s">
        <v>43556</v>
      </c>
      <c r="N2182" t="s">
        <v>47304</v>
      </c>
      <c r="O2182" t="s">
        <v>47305</v>
      </c>
      <c r="P2182">
        <v>0</v>
      </c>
      <c r="Q2182">
        <v>0</v>
      </c>
      <c r="R2182" t="s">
        <v>47307</v>
      </c>
      <c r="S2182" t="s">
        <v>47416</v>
      </c>
      <c r="T2182" t="s">
        <v>49015</v>
      </c>
      <c r="U2182" t="s">
        <v>51480</v>
      </c>
      <c r="W2182" t="s">
        <v>43556</v>
      </c>
      <c r="X2182" t="s">
        <v>47306</v>
      </c>
    </row>
    <row r="2183" spans="1:24">
      <c r="A2183">
        <f>HYPERLINK("https://www.philgeps.gov.ph/GEPSNONPILOT/Tender/SplashBidNoticeAbstractUI.aspx?menuIndex=3&amp;refID=7200052&amp;Result=3","7200052")</f>
        <v>0</v>
      </c>
      <c r="B2183" t="s">
        <v>973</v>
      </c>
      <c r="C2183" t="s">
        <v>5970</v>
      </c>
      <c r="D2183" t="s">
        <v>19007</v>
      </c>
      <c r="E2183" t="s">
        <v>21092</v>
      </c>
      <c r="F2183" t="s">
        <v>32606</v>
      </c>
      <c r="G2183" t="s">
        <v>32613</v>
      </c>
      <c r="H2183" t="s">
        <v>14201</v>
      </c>
      <c r="I2183" t="s">
        <v>13131</v>
      </c>
      <c r="J2183" t="s">
        <v>32765</v>
      </c>
      <c r="K2183" t="s">
        <v>42630</v>
      </c>
      <c r="M2183" t="s">
        <v>43919</v>
      </c>
      <c r="N2183" t="s">
        <v>47304</v>
      </c>
      <c r="O2183" t="s">
        <v>47305</v>
      </c>
      <c r="P2183">
        <v>0</v>
      </c>
      <c r="Q2183">
        <v>0</v>
      </c>
      <c r="R2183" t="s">
        <v>47307</v>
      </c>
      <c r="S2183" t="s">
        <v>47416</v>
      </c>
      <c r="T2183" t="s">
        <v>49016</v>
      </c>
      <c r="U2183" t="s">
        <v>51481</v>
      </c>
      <c r="W2183" t="s">
        <v>43919</v>
      </c>
      <c r="X2183" t="s">
        <v>47306</v>
      </c>
    </row>
    <row r="2184" spans="1:24">
      <c r="A2184">
        <f>HYPERLINK("https://www.philgeps.gov.ph/GEPSNONPILOT/Tender/SplashBidNoticeAbstractUI.aspx?menuIndex=3&amp;refID=7200009&amp;Result=3","7200009")</f>
        <v>0</v>
      </c>
      <c r="B2184" t="s">
        <v>974</v>
      </c>
      <c r="C2184" t="s">
        <v>5971</v>
      </c>
      <c r="D2184" t="s">
        <v>19037</v>
      </c>
      <c r="E2184" t="s">
        <v>21093</v>
      </c>
      <c r="F2184" t="s">
        <v>32606</v>
      </c>
      <c r="G2184" t="s">
        <v>32613</v>
      </c>
      <c r="H2184" t="s">
        <v>14201</v>
      </c>
      <c r="I2184" t="s">
        <v>7064</v>
      </c>
      <c r="J2184" t="s">
        <v>34328</v>
      </c>
      <c r="K2184" t="s">
        <v>42631</v>
      </c>
      <c r="M2184" t="s">
        <v>43920</v>
      </c>
      <c r="N2184" t="s">
        <v>47304</v>
      </c>
      <c r="O2184" t="s">
        <v>47305</v>
      </c>
      <c r="P2184">
        <v>0</v>
      </c>
      <c r="Q2184">
        <v>0</v>
      </c>
      <c r="R2184" t="s">
        <v>47307</v>
      </c>
      <c r="S2184" t="s">
        <v>47416</v>
      </c>
      <c r="T2184" t="s">
        <v>49081</v>
      </c>
      <c r="U2184" t="s">
        <v>51482</v>
      </c>
      <c r="W2184" t="s">
        <v>43920</v>
      </c>
      <c r="X2184" t="s">
        <v>47306</v>
      </c>
    </row>
    <row r="2185" spans="1:24">
      <c r="A2185">
        <f>HYPERLINK("https://www.philgeps.gov.ph/GEPSNONPILOT/Tender/SplashBidNoticeAbstractUI.aspx?menuIndex=3&amp;refID=7200051&amp;Result=3","7200051")</f>
        <v>0</v>
      </c>
      <c r="B2185" t="s">
        <v>203</v>
      </c>
      <c r="C2185" t="s">
        <v>5972</v>
      </c>
      <c r="D2185" t="s">
        <v>19003</v>
      </c>
      <c r="E2185" t="s">
        <v>21094</v>
      </c>
      <c r="F2185" t="s">
        <v>32606</v>
      </c>
      <c r="G2185" t="s">
        <v>32614</v>
      </c>
      <c r="H2185" t="s">
        <v>14201</v>
      </c>
      <c r="I2185" t="s">
        <v>32644</v>
      </c>
      <c r="J2185" t="s">
        <v>34329</v>
      </c>
      <c r="K2185" t="s">
        <v>42622</v>
      </c>
      <c r="M2185" t="s">
        <v>43104</v>
      </c>
      <c r="N2185" t="s">
        <v>47304</v>
      </c>
      <c r="O2185" t="s">
        <v>47305</v>
      </c>
      <c r="P2185">
        <v>0</v>
      </c>
      <c r="Q2185">
        <v>0</v>
      </c>
      <c r="R2185" t="s">
        <v>47307</v>
      </c>
      <c r="S2185" t="s">
        <v>47416</v>
      </c>
      <c r="T2185" t="s">
        <v>49081</v>
      </c>
      <c r="U2185" t="s">
        <v>51483</v>
      </c>
      <c r="W2185" t="s">
        <v>43104</v>
      </c>
      <c r="X2185" t="s">
        <v>47306</v>
      </c>
    </row>
    <row r="2186" spans="1:24">
      <c r="A2186">
        <f>HYPERLINK("https://www.philgeps.gov.ph/GEPSNONPILOT/Tender/SplashBidNoticeAbstractUI.aspx?menuIndex=3&amp;refID=7200050&amp;Result=3","7200050")</f>
        <v>0</v>
      </c>
      <c r="B2186" t="s">
        <v>238</v>
      </c>
      <c r="C2186" t="s">
        <v>5973</v>
      </c>
      <c r="D2186" t="s">
        <v>18993</v>
      </c>
      <c r="E2186" t="s">
        <v>21095</v>
      </c>
      <c r="F2186" t="s">
        <v>32606</v>
      </c>
      <c r="G2186" t="s">
        <v>32619</v>
      </c>
      <c r="H2186" t="s">
        <v>14201</v>
      </c>
      <c r="I2186" t="s">
        <v>32633</v>
      </c>
      <c r="J2186" t="s">
        <v>34330</v>
      </c>
      <c r="K2186" t="s">
        <v>42622</v>
      </c>
      <c r="M2186" t="s">
        <v>43139</v>
      </c>
      <c r="N2186" t="s">
        <v>47304</v>
      </c>
      <c r="O2186" t="s">
        <v>47305</v>
      </c>
      <c r="P2186">
        <v>0</v>
      </c>
      <c r="Q2186">
        <v>0</v>
      </c>
      <c r="R2186" t="s">
        <v>47307</v>
      </c>
      <c r="S2186" t="s">
        <v>47416</v>
      </c>
      <c r="T2186" t="s">
        <v>49123</v>
      </c>
      <c r="U2186" t="s">
        <v>51484</v>
      </c>
      <c r="V2186" t="s">
        <v>62703</v>
      </c>
      <c r="W2186" t="s">
        <v>43139</v>
      </c>
      <c r="X2186" t="s">
        <v>47306</v>
      </c>
    </row>
    <row r="2187" spans="1:24">
      <c r="A2187">
        <f>HYPERLINK("https://www.philgeps.gov.ph/GEPSNONPILOT/Tender/SplashBidNoticeAbstractUI.aspx?menuIndex=3&amp;refID=7200049&amp;Result=3","7200049")</f>
        <v>0</v>
      </c>
      <c r="B2187" t="s">
        <v>238</v>
      </c>
      <c r="C2187" t="s">
        <v>5974</v>
      </c>
      <c r="D2187" t="s">
        <v>18993</v>
      </c>
      <c r="E2187" t="s">
        <v>21096</v>
      </c>
      <c r="F2187" t="s">
        <v>32606</v>
      </c>
      <c r="G2187" t="s">
        <v>32619</v>
      </c>
      <c r="H2187" t="s">
        <v>14201</v>
      </c>
      <c r="I2187" t="s">
        <v>32633</v>
      </c>
      <c r="J2187" t="s">
        <v>33263</v>
      </c>
      <c r="K2187" t="s">
        <v>42622</v>
      </c>
      <c r="M2187" t="s">
        <v>43794</v>
      </c>
      <c r="N2187" t="s">
        <v>47304</v>
      </c>
      <c r="O2187" t="s">
        <v>47305</v>
      </c>
      <c r="P2187">
        <v>0</v>
      </c>
      <c r="Q2187">
        <v>1</v>
      </c>
      <c r="R2187" t="s">
        <v>47307</v>
      </c>
      <c r="S2187" t="s">
        <v>47416</v>
      </c>
      <c r="T2187" t="s">
        <v>49014</v>
      </c>
      <c r="U2187" t="s">
        <v>51485</v>
      </c>
      <c r="V2187" t="s">
        <v>62844</v>
      </c>
      <c r="W2187" t="s">
        <v>43794</v>
      </c>
      <c r="X2187" t="s">
        <v>47306</v>
      </c>
    </row>
    <row r="2188" spans="1:24">
      <c r="A2188">
        <f>HYPERLINK("https://www.philgeps.gov.ph/GEPSNONPILOT/Tender/SplashBidNoticeAbstractUI.aspx?menuIndex=3&amp;refID=7200043&amp;Result=3","7200043")</f>
        <v>0</v>
      </c>
      <c r="B2188" t="s">
        <v>967</v>
      </c>
      <c r="C2188" t="s">
        <v>5975</v>
      </c>
      <c r="E2188" t="s">
        <v>21063</v>
      </c>
      <c r="F2188" t="s">
        <v>32606</v>
      </c>
      <c r="G2188" t="s">
        <v>32614</v>
      </c>
      <c r="H2188" t="s">
        <v>14201</v>
      </c>
      <c r="I2188" t="s">
        <v>4112</v>
      </c>
      <c r="J2188" t="s">
        <v>34331</v>
      </c>
      <c r="K2188" t="s">
        <v>42624</v>
      </c>
      <c r="M2188" t="s">
        <v>43912</v>
      </c>
      <c r="N2188" t="s">
        <v>47304</v>
      </c>
      <c r="O2188" t="s">
        <v>47305</v>
      </c>
      <c r="P2188">
        <v>0</v>
      </c>
      <c r="Q2188">
        <v>0</v>
      </c>
      <c r="R2188" t="s">
        <v>47307</v>
      </c>
      <c r="S2188" t="s">
        <v>47416</v>
      </c>
      <c r="T2188" t="s">
        <v>48975</v>
      </c>
      <c r="U2188" t="s">
        <v>51486</v>
      </c>
      <c r="W2188" t="s">
        <v>43912</v>
      </c>
      <c r="X2188" t="s">
        <v>47306</v>
      </c>
    </row>
    <row r="2189" spans="1:24">
      <c r="A2189">
        <f>HYPERLINK("https://www.philgeps.gov.ph/GEPSNONPILOT/Tender/SplashBidNoticeAbstractUI.aspx?menuIndex=3&amp;refID=7200042&amp;Result=3","7200042")</f>
        <v>0</v>
      </c>
      <c r="B2189" t="s">
        <v>728</v>
      </c>
      <c r="C2189" t="s">
        <v>5976</v>
      </c>
      <c r="D2189" t="s">
        <v>19025</v>
      </c>
      <c r="E2189" t="s">
        <v>21097</v>
      </c>
      <c r="F2189" t="s">
        <v>32606</v>
      </c>
      <c r="G2189" t="s">
        <v>32614</v>
      </c>
      <c r="H2189" t="s">
        <v>14201</v>
      </c>
      <c r="I2189" t="s">
        <v>4114</v>
      </c>
      <c r="J2189" t="s">
        <v>34332</v>
      </c>
      <c r="K2189" t="s">
        <v>42631</v>
      </c>
      <c r="M2189" t="s">
        <v>43650</v>
      </c>
      <c r="N2189" t="s">
        <v>47304</v>
      </c>
      <c r="O2189" t="s">
        <v>47305</v>
      </c>
      <c r="P2189">
        <v>0</v>
      </c>
      <c r="Q2189">
        <v>0</v>
      </c>
      <c r="R2189" t="s">
        <v>47307</v>
      </c>
      <c r="S2189" t="s">
        <v>47416</v>
      </c>
      <c r="T2189" t="s">
        <v>48986</v>
      </c>
      <c r="U2189" t="s">
        <v>50853</v>
      </c>
      <c r="W2189" t="s">
        <v>43650</v>
      </c>
      <c r="X2189" t="s">
        <v>47306</v>
      </c>
    </row>
    <row r="2190" spans="1:24">
      <c r="A2190">
        <f>HYPERLINK("https://www.philgeps.gov.ph/GEPSNONPILOT/Tender/SplashBidNoticeAbstractUI.aspx?menuIndex=3&amp;refID=7200041&amp;Result=3","7200041")</f>
        <v>0</v>
      </c>
      <c r="B2190" t="s">
        <v>909</v>
      </c>
      <c r="C2190" t="s">
        <v>5977</v>
      </c>
      <c r="E2190" t="s">
        <v>21098</v>
      </c>
      <c r="F2190" t="s">
        <v>32606</v>
      </c>
      <c r="G2190" t="s">
        <v>32619</v>
      </c>
      <c r="H2190" t="s">
        <v>14201</v>
      </c>
      <c r="I2190" t="s">
        <v>32680</v>
      </c>
      <c r="J2190" t="s">
        <v>34333</v>
      </c>
      <c r="K2190" t="s">
        <v>42624</v>
      </c>
      <c r="M2190" t="s">
        <v>43901</v>
      </c>
      <c r="N2190" t="s">
        <v>47304</v>
      </c>
      <c r="O2190" t="s">
        <v>47305</v>
      </c>
      <c r="P2190">
        <v>0</v>
      </c>
      <c r="Q2190">
        <v>0</v>
      </c>
      <c r="R2190" t="s">
        <v>47307</v>
      </c>
      <c r="S2190" t="s">
        <v>47416</v>
      </c>
      <c r="T2190" t="s">
        <v>49023</v>
      </c>
      <c r="U2190" t="s">
        <v>51487</v>
      </c>
      <c r="V2190" t="s">
        <v>62880</v>
      </c>
      <c r="W2190" t="s">
        <v>43901</v>
      </c>
      <c r="X2190" t="s">
        <v>47306</v>
      </c>
    </row>
    <row r="2191" spans="1:24">
      <c r="A2191">
        <f>HYPERLINK("https://www.philgeps.gov.ph/GEPSNONPILOT/Tender/SplashBidNoticeAbstractUI.aspx?menuIndex=3&amp;refID=7200027&amp;Result=3","7200027")</f>
        <v>0</v>
      </c>
      <c r="B2191" t="s">
        <v>975</v>
      </c>
      <c r="C2191" t="s">
        <v>5978</v>
      </c>
      <c r="D2191" t="s">
        <v>19016</v>
      </c>
      <c r="E2191" t="s">
        <v>21099</v>
      </c>
      <c r="F2191" t="s">
        <v>32606</v>
      </c>
      <c r="G2191" t="s">
        <v>32613</v>
      </c>
      <c r="H2191" t="s">
        <v>14201</v>
      </c>
      <c r="I2191" t="s">
        <v>32671</v>
      </c>
      <c r="J2191" t="s">
        <v>34334</v>
      </c>
      <c r="K2191" t="s">
        <v>42631</v>
      </c>
      <c r="M2191" t="s">
        <v>43921</v>
      </c>
      <c r="N2191" t="s">
        <v>47304</v>
      </c>
      <c r="O2191" t="s">
        <v>47305</v>
      </c>
      <c r="P2191">
        <v>0</v>
      </c>
      <c r="Q2191">
        <v>0</v>
      </c>
      <c r="R2191" t="s">
        <v>47307</v>
      </c>
      <c r="S2191" t="s">
        <v>47416</v>
      </c>
      <c r="T2191" t="s">
        <v>49048</v>
      </c>
      <c r="U2191" t="s">
        <v>51488</v>
      </c>
      <c r="W2191" t="s">
        <v>43921</v>
      </c>
      <c r="X2191" t="s">
        <v>47306</v>
      </c>
    </row>
    <row r="2192" spans="1:24">
      <c r="A2192">
        <f>HYPERLINK("https://www.philgeps.gov.ph/GEPSNONPILOT/Tender/SplashBidNoticeAbstractUI.aspx?menuIndex=3&amp;refID=7200053&amp;Result=3","7200053")</f>
        <v>0</v>
      </c>
      <c r="B2192" t="s">
        <v>959</v>
      </c>
      <c r="C2192" t="s">
        <v>5979</v>
      </c>
      <c r="D2192" t="s">
        <v>19038</v>
      </c>
      <c r="E2192" t="s">
        <v>21100</v>
      </c>
      <c r="F2192" t="s">
        <v>32606</v>
      </c>
      <c r="G2192" t="s">
        <v>32613</v>
      </c>
      <c r="H2192" t="s">
        <v>32623</v>
      </c>
      <c r="I2192" t="s">
        <v>17648</v>
      </c>
      <c r="J2192" t="s">
        <v>32795</v>
      </c>
      <c r="K2192" t="s">
        <v>42648</v>
      </c>
      <c r="M2192" t="s">
        <v>43904</v>
      </c>
      <c r="N2192" t="s">
        <v>47304</v>
      </c>
      <c r="O2192" t="s">
        <v>47305</v>
      </c>
      <c r="P2192">
        <v>0</v>
      </c>
      <c r="Q2192">
        <v>0</v>
      </c>
      <c r="R2192" t="s">
        <v>47307</v>
      </c>
      <c r="S2192" t="s">
        <v>47416</v>
      </c>
      <c r="T2192" t="s">
        <v>48995</v>
      </c>
      <c r="U2192" t="s">
        <v>51489</v>
      </c>
      <c r="W2192" t="s">
        <v>43904</v>
      </c>
      <c r="X2192" t="s">
        <v>47306</v>
      </c>
    </row>
    <row r="2193" spans="1:24">
      <c r="A2193">
        <f>HYPERLINK("https://www.philgeps.gov.ph/GEPSNONPILOT/Tender/SplashBidNoticeAbstractUI.aspx?menuIndex=3&amp;refID=7200037&amp;Result=3","7200037")</f>
        <v>0</v>
      </c>
      <c r="B2193" t="s">
        <v>801</v>
      </c>
      <c r="C2193" t="s">
        <v>5980</v>
      </c>
      <c r="D2193" t="s">
        <v>19008</v>
      </c>
      <c r="E2193" t="s">
        <v>21101</v>
      </c>
      <c r="F2193" t="s">
        <v>32606</v>
      </c>
      <c r="G2193" t="s">
        <v>32619</v>
      </c>
      <c r="H2193" t="s">
        <v>14201</v>
      </c>
      <c r="I2193" t="s">
        <v>32663</v>
      </c>
      <c r="J2193" t="s">
        <v>33215</v>
      </c>
      <c r="K2193" t="s">
        <v>42623</v>
      </c>
      <c r="M2193" t="s">
        <v>43732</v>
      </c>
      <c r="N2193" t="s">
        <v>47304</v>
      </c>
      <c r="O2193" t="s">
        <v>47305</v>
      </c>
      <c r="P2193">
        <v>0</v>
      </c>
      <c r="Q2193">
        <v>0</v>
      </c>
      <c r="R2193" t="s">
        <v>47307</v>
      </c>
      <c r="S2193" t="s">
        <v>47416</v>
      </c>
      <c r="T2193" t="s">
        <v>48996</v>
      </c>
      <c r="U2193" t="s">
        <v>51490</v>
      </c>
      <c r="V2193" t="s">
        <v>62888</v>
      </c>
      <c r="W2193" t="s">
        <v>43732</v>
      </c>
      <c r="X2193" t="s">
        <v>47306</v>
      </c>
    </row>
    <row r="2194" spans="1:24">
      <c r="A2194">
        <f>HYPERLINK("https://www.philgeps.gov.ph/GEPSNONPILOT/Tender/SplashBidNoticeAbstractUI.aspx?menuIndex=3&amp;refID=7200036&amp;Result=3","7200036")</f>
        <v>0</v>
      </c>
      <c r="B2194" t="s">
        <v>969</v>
      </c>
      <c r="C2194" t="s">
        <v>5981</v>
      </c>
      <c r="D2194" t="s">
        <v>19011</v>
      </c>
      <c r="E2194" t="s">
        <v>21102</v>
      </c>
      <c r="F2194" t="s">
        <v>32606</v>
      </c>
      <c r="G2194" t="s">
        <v>32619</v>
      </c>
      <c r="H2194" t="s">
        <v>14201</v>
      </c>
      <c r="I2194" t="s">
        <v>32633</v>
      </c>
      <c r="J2194" t="s">
        <v>32778</v>
      </c>
      <c r="K2194" t="s">
        <v>42624</v>
      </c>
      <c r="M2194" t="s">
        <v>43914</v>
      </c>
      <c r="N2194" t="s">
        <v>47304</v>
      </c>
      <c r="O2194" t="s">
        <v>47305</v>
      </c>
      <c r="P2194">
        <v>0</v>
      </c>
      <c r="Q2194">
        <v>0</v>
      </c>
      <c r="R2194" t="s">
        <v>47307</v>
      </c>
      <c r="S2194" t="s">
        <v>47416</v>
      </c>
      <c r="T2194" t="s">
        <v>49019</v>
      </c>
      <c r="U2194" t="s">
        <v>51461</v>
      </c>
      <c r="V2194" t="s">
        <v>62885</v>
      </c>
      <c r="W2194" t="s">
        <v>43914</v>
      </c>
      <c r="X2194" t="s">
        <v>47306</v>
      </c>
    </row>
    <row r="2195" spans="1:24">
      <c r="A2195">
        <f>HYPERLINK("https://www.philgeps.gov.ph/GEPSNONPILOT/Tender/SplashBidNoticeAbstractUI.aspx?menuIndex=3&amp;refID=7200044&amp;Result=3","7200044")</f>
        <v>0</v>
      </c>
      <c r="B2195" t="s">
        <v>976</v>
      </c>
      <c r="C2195" t="s">
        <v>5982</v>
      </c>
      <c r="D2195" t="s">
        <v>19007</v>
      </c>
      <c r="E2195" t="s">
        <v>21103</v>
      </c>
      <c r="F2195" t="s">
        <v>32606</v>
      </c>
      <c r="G2195" t="s">
        <v>32613</v>
      </c>
      <c r="H2195" t="s">
        <v>32624</v>
      </c>
      <c r="I2195" t="s">
        <v>32628</v>
      </c>
      <c r="J2195" t="s">
        <v>32950</v>
      </c>
      <c r="K2195" t="s">
        <v>42714</v>
      </c>
      <c r="M2195" t="s">
        <v>43922</v>
      </c>
      <c r="N2195" t="s">
        <v>47304</v>
      </c>
      <c r="O2195" t="s">
        <v>47305</v>
      </c>
      <c r="P2195">
        <v>0</v>
      </c>
      <c r="Q2195">
        <v>0</v>
      </c>
      <c r="R2195" t="s">
        <v>47307</v>
      </c>
      <c r="S2195" t="s">
        <v>47416</v>
      </c>
      <c r="T2195" t="s">
        <v>49016</v>
      </c>
      <c r="U2195" t="s">
        <v>51491</v>
      </c>
      <c r="W2195" t="s">
        <v>43922</v>
      </c>
      <c r="X2195" t="s">
        <v>47306</v>
      </c>
    </row>
    <row r="2196" spans="1:24">
      <c r="A2196">
        <f>HYPERLINK("https://www.philgeps.gov.ph/GEPSNONPILOT/Tender/SplashBidNoticeAbstractUI.aspx?menuIndex=3&amp;refID=7200031&amp;Result=3","7200031")</f>
        <v>0</v>
      </c>
      <c r="B2196" t="s">
        <v>977</v>
      </c>
      <c r="C2196" t="s">
        <v>5983</v>
      </c>
      <c r="D2196" t="s">
        <v>19031</v>
      </c>
      <c r="E2196" t="s">
        <v>21104</v>
      </c>
      <c r="F2196" t="s">
        <v>32606</v>
      </c>
      <c r="G2196" t="s">
        <v>32614</v>
      </c>
      <c r="H2196" t="s">
        <v>32624</v>
      </c>
      <c r="I2196" t="s">
        <v>32652</v>
      </c>
      <c r="J2196" t="s">
        <v>34176</v>
      </c>
      <c r="K2196" t="s">
        <v>42636</v>
      </c>
      <c r="M2196" t="s">
        <v>43923</v>
      </c>
      <c r="N2196" t="s">
        <v>47304</v>
      </c>
      <c r="O2196" t="s">
        <v>47305</v>
      </c>
      <c r="P2196">
        <v>0</v>
      </c>
      <c r="Q2196">
        <v>0</v>
      </c>
      <c r="R2196" t="s">
        <v>47307</v>
      </c>
      <c r="S2196" t="s">
        <v>47416</v>
      </c>
      <c r="T2196" t="s">
        <v>49081</v>
      </c>
      <c r="U2196" t="s">
        <v>51492</v>
      </c>
      <c r="W2196" t="s">
        <v>43923</v>
      </c>
      <c r="X2196" t="s">
        <v>47306</v>
      </c>
    </row>
    <row r="2197" spans="1:24">
      <c r="A2197">
        <f>HYPERLINK("https://www.philgeps.gov.ph/GEPSNONPILOT/Tender/SplashBidNoticeAbstractUI.aspx?menuIndex=3&amp;refID=7200038&amp;Result=3","7200038")</f>
        <v>0</v>
      </c>
      <c r="B2197" t="s">
        <v>955</v>
      </c>
      <c r="C2197" t="s">
        <v>5984</v>
      </c>
      <c r="D2197" t="s">
        <v>19068</v>
      </c>
      <c r="E2197" t="s">
        <v>21030</v>
      </c>
      <c r="F2197" t="s">
        <v>32606</v>
      </c>
      <c r="G2197" t="s">
        <v>32619</v>
      </c>
      <c r="H2197" t="s">
        <v>14201</v>
      </c>
      <c r="I2197" t="s">
        <v>6007</v>
      </c>
      <c r="J2197" t="s">
        <v>33317</v>
      </c>
      <c r="K2197" t="s">
        <v>42624</v>
      </c>
      <c r="M2197" t="s">
        <v>43898</v>
      </c>
      <c r="N2197" t="s">
        <v>47304</v>
      </c>
      <c r="O2197" t="s">
        <v>47305</v>
      </c>
      <c r="P2197">
        <v>0</v>
      </c>
      <c r="Q2197">
        <v>0</v>
      </c>
      <c r="R2197" t="s">
        <v>47307</v>
      </c>
      <c r="S2197" t="s">
        <v>47416</v>
      </c>
      <c r="T2197" t="s">
        <v>49090</v>
      </c>
      <c r="U2197" t="s">
        <v>51493</v>
      </c>
      <c r="W2197" t="s">
        <v>43898</v>
      </c>
      <c r="X2197" t="s">
        <v>47306</v>
      </c>
    </row>
    <row r="2198" spans="1:24">
      <c r="A2198">
        <f>HYPERLINK("https://www.philgeps.gov.ph/GEPSNONPILOT/Tender/SplashBidNoticeAbstractUI.aspx?menuIndex=3&amp;refID=7200032&amp;Result=3","7200032")</f>
        <v>0</v>
      </c>
      <c r="B2198" t="s">
        <v>952</v>
      </c>
      <c r="C2198" t="s">
        <v>5985</v>
      </c>
      <c r="D2198" t="s">
        <v>19040</v>
      </c>
      <c r="E2198" t="s">
        <v>21105</v>
      </c>
      <c r="F2198" t="s">
        <v>32606</v>
      </c>
      <c r="G2198" t="s">
        <v>32613</v>
      </c>
      <c r="H2198" t="s">
        <v>14201</v>
      </c>
      <c r="I2198" t="s">
        <v>4112</v>
      </c>
      <c r="J2198" t="s">
        <v>32923</v>
      </c>
      <c r="K2198" t="s">
        <v>42623</v>
      </c>
      <c r="M2198" t="s">
        <v>43894</v>
      </c>
      <c r="N2198" t="s">
        <v>47304</v>
      </c>
      <c r="O2198" t="s">
        <v>47305</v>
      </c>
      <c r="P2198">
        <v>0</v>
      </c>
      <c r="Q2198">
        <v>0</v>
      </c>
      <c r="R2198" t="s">
        <v>47307</v>
      </c>
      <c r="S2198" t="s">
        <v>47416</v>
      </c>
      <c r="T2198" t="s">
        <v>49069</v>
      </c>
      <c r="U2198" t="s">
        <v>51494</v>
      </c>
      <c r="W2198" t="s">
        <v>43894</v>
      </c>
      <c r="X2198" t="s">
        <v>47306</v>
      </c>
    </row>
    <row r="2199" spans="1:24">
      <c r="A2199">
        <f>HYPERLINK("https://www.philgeps.gov.ph/GEPSNONPILOT/Tender/SplashBidNoticeAbstractUI.aspx?menuIndex=3&amp;refID=7200070&amp;Result=3","7200070")</f>
        <v>0</v>
      </c>
      <c r="B2199" t="s">
        <v>978</v>
      </c>
      <c r="C2199" t="s">
        <v>5986</v>
      </c>
      <c r="D2199" t="s">
        <v>19056</v>
      </c>
      <c r="E2199" t="s">
        <v>21106</v>
      </c>
      <c r="F2199" t="s">
        <v>32606</v>
      </c>
      <c r="G2199" t="s">
        <v>32614</v>
      </c>
      <c r="H2199" t="s">
        <v>14201</v>
      </c>
      <c r="I2199" t="s">
        <v>4120</v>
      </c>
      <c r="J2199" t="s">
        <v>34335</v>
      </c>
      <c r="K2199" t="s">
        <v>42622</v>
      </c>
      <c r="M2199" t="s">
        <v>43924</v>
      </c>
      <c r="N2199" t="s">
        <v>47304</v>
      </c>
      <c r="O2199" t="s">
        <v>47305</v>
      </c>
      <c r="P2199">
        <v>0</v>
      </c>
      <c r="Q2199">
        <v>0</v>
      </c>
      <c r="R2199" t="s">
        <v>47307</v>
      </c>
      <c r="S2199" t="s">
        <v>47416</v>
      </c>
      <c r="T2199" t="s">
        <v>48975</v>
      </c>
      <c r="U2199" t="s">
        <v>51495</v>
      </c>
      <c r="W2199" t="s">
        <v>43924</v>
      </c>
      <c r="X2199" t="s">
        <v>47306</v>
      </c>
    </row>
    <row r="2200" spans="1:24">
      <c r="A2200">
        <f>HYPERLINK("https://www.philgeps.gov.ph/GEPSNONPILOT/Tender/SplashBidNoticeAbstractUI.aspx?menuIndex=3&amp;refID=7200057&amp;Result=3","7200057")</f>
        <v>0</v>
      </c>
      <c r="B2200" t="s">
        <v>795</v>
      </c>
      <c r="C2200" t="s">
        <v>5987</v>
      </c>
      <c r="D2200" t="s">
        <v>19039</v>
      </c>
      <c r="E2200" t="s">
        <v>21107</v>
      </c>
      <c r="F2200" t="s">
        <v>32606</v>
      </c>
      <c r="G2200" t="s">
        <v>32614</v>
      </c>
      <c r="H2200" t="s">
        <v>14201</v>
      </c>
      <c r="I2200" t="s">
        <v>6931</v>
      </c>
      <c r="J2200" t="s">
        <v>34336</v>
      </c>
      <c r="K2200" t="s">
        <v>42631</v>
      </c>
      <c r="M2200" t="s">
        <v>43726</v>
      </c>
      <c r="N2200" t="s">
        <v>47304</v>
      </c>
      <c r="O2200" t="s">
        <v>47305</v>
      </c>
      <c r="P2200">
        <v>0</v>
      </c>
      <c r="Q2200">
        <v>0</v>
      </c>
      <c r="R2200" t="s">
        <v>47307</v>
      </c>
      <c r="S2200" t="s">
        <v>47416</v>
      </c>
      <c r="T2200" t="s">
        <v>49028</v>
      </c>
      <c r="U2200" t="s">
        <v>51496</v>
      </c>
      <c r="W2200" t="s">
        <v>43726</v>
      </c>
      <c r="X2200" t="s">
        <v>47306</v>
      </c>
    </row>
    <row r="2201" spans="1:24">
      <c r="A2201">
        <f>HYPERLINK("https://www.philgeps.gov.ph/GEPSNONPILOT/Tender/SplashBidNoticeAbstractUI.aspx?menuIndex=3&amp;refID=7200069&amp;Result=3","7200069")</f>
        <v>0</v>
      </c>
      <c r="B2201" t="s">
        <v>979</v>
      </c>
      <c r="C2201" t="s">
        <v>5988</v>
      </c>
      <c r="D2201" t="s">
        <v>18993</v>
      </c>
      <c r="E2201" t="s">
        <v>21108</v>
      </c>
      <c r="F2201" t="s">
        <v>32606</v>
      </c>
      <c r="G2201" t="s">
        <v>32614</v>
      </c>
      <c r="H2201" t="s">
        <v>14201</v>
      </c>
      <c r="I2201" t="s">
        <v>4114</v>
      </c>
      <c r="J2201" t="s">
        <v>32949</v>
      </c>
      <c r="K2201" t="s">
        <v>42623</v>
      </c>
      <c r="M2201" t="s">
        <v>43925</v>
      </c>
      <c r="N2201" t="s">
        <v>47304</v>
      </c>
      <c r="O2201" t="s">
        <v>47305</v>
      </c>
      <c r="P2201">
        <v>0</v>
      </c>
      <c r="Q2201">
        <v>0</v>
      </c>
      <c r="R2201" t="s">
        <v>47307</v>
      </c>
      <c r="S2201" t="s">
        <v>47416</v>
      </c>
      <c r="T2201" t="s">
        <v>49015</v>
      </c>
      <c r="U2201" t="s">
        <v>51497</v>
      </c>
      <c r="V2201" t="s">
        <v>62889</v>
      </c>
      <c r="W2201" t="s">
        <v>43925</v>
      </c>
      <c r="X2201" t="s">
        <v>47306</v>
      </c>
    </row>
    <row r="2202" spans="1:24">
      <c r="A2202">
        <f>HYPERLINK("https://www.philgeps.gov.ph/GEPSNONPILOT/Tender/SplashBidNoticeAbstractUI.aspx?menuIndex=3&amp;refID=7200068&amp;Result=3","7200068")</f>
        <v>0</v>
      </c>
      <c r="B2202" t="s">
        <v>980</v>
      </c>
      <c r="C2202" t="s">
        <v>5989</v>
      </c>
      <c r="E2202" t="s">
        <v>21109</v>
      </c>
      <c r="F2202" t="s">
        <v>32606</v>
      </c>
      <c r="G2202" t="s">
        <v>32613</v>
      </c>
      <c r="H2202" t="s">
        <v>14201</v>
      </c>
      <c r="I2202" t="s">
        <v>7064</v>
      </c>
      <c r="J2202" t="s">
        <v>33846</v>
      </c>
      <c r="K2202" t="s">
        <v>42624</v>
      </c>
      <c r="M2202" t="s">
        <v>43926</v>
      </c>
      <c r="N2202" t="s">
        <v>47304</v>
      </c>
      <c r="O2202" t="s">
        <v>47305</v>
      </c>
      <c r="P2202">
        <v>0</v>
      </c>
      <c r="Q2202">
        <v>1</v>
      </c>
      <c r="R2202" t="s">
        <v>47307</v>
      </c>
      <c r="S2202" t="s">
        <v>47416</v>
      </c>
      <c r="T2202" t="s">
        <v>49009</v>
      </c>
      <c r="U2202" t="s">
        <v>51498</v>
      </c>
      <c r="W2202" t="s">
        <v>43926</v>
      </c>
      <c r="X2202" t="s">
        <v>47306</v>
      </c>
    </row>
    <row r="2203" spans="1:24">
      <c r="A2203">
        <f>HYPERLINK("https://www.philgeps.gov.ph/GEPSNONPILOT/Tender/SplashBidNoticeAbstractUI.aspx?menuIndex=3&amp;refID=7200067&amp;Result=3","7200067")</f>
        <v>0</v>
      </c>
      <c r="B2203" t="s">
        <v>247</v>
      </c>
      <c r="C2203" t="s">
        <v>5990</v>
      </c>
      <c r="D2203" t="s">
        <v>18993</v>
      </c>
      <c r="E2203" t="s">
        <v>21110</v>
      </c>
      <c r="F2203" t="s">
        <v>32606</v>
      </c>
      <c r="G2203" t="s">
        <v>32614</v>
      </c>
      <c r="H2203" t="s">
        <v>14201</v>
      </c>
      <c r="I2203" t="s">
        <v>32633</v>
      </c>
      <c r="J2203" t="s">
        <v>34337</v>
      </c>
      <c r="K2203" t="s">
        <v>42631</v>
      </c>
      <c r="M2203" t="s">
        <v>43148</v>
      </c>
      <c r="N2203" t="s">
        <v>47304</v>
      </c>
      <c r="O2203" t="s">
        <v>47305</v>
      </c>
      <c r="P2203">
        <v>0</v>
      </c>
      <c r="Q2203">
        <v>0</v>
      </c>
      <c r="R2203" t="s">
        <v>47307</v>
      </c>
      <c r="S2203" t="s">
        <v>47416</v>
      </c>
      <c r="T2203" t="s">
        <v>49108</v>
      </c>
      <c r="U2203" t="s">
        <v>51499</v>
      </c>
      <c r="W2203" t="s">
        <v>43148</v>
      </c>
      <c r="X2203" t="s">
        <v>47306</v>
      </c>
    </row>
    <row r="2204" spans="1:24">
      <c r="A2204">
        <f>HYPERLINK("https://www.philgeps.gov.ph/GEPSNONPILOT/Tender/SplashBidNoticeAbstractUI.aspx?menuIndex=3&amp;refID=7200066&amp;Result=3","7200066")</f>
        <v>0</v>
      </c>
      <c r="B2204" t="s">
        <v>981</v>
      </c>
      <c r="C2204" t="s">
        <v>5991</v>
      </c>
      <c r="D2204" t="s">
        <v>19009</v>
      </c>
      <c r="E2204" t="s">
        <v>21111</v>
      </c>
      <c r="F2204" t="s">
        <v>32606</v>
      </c>
      <c r="G2204" t="s">
        <v>32614</v>
      </c>
      <c r="H2204" t="s">
        <v>14201</v>
      </c>
      <c r="I2204" t="s">
        <v>32640</v>
      </c>
      <c r="J2204" t="s">
        <v>33034</v>
      </c>
      <c r="K2204" t="s">
        <v>42629</v>
      </c>
      <c r="L2204" t="s">
        <v>981</v>
      </c>
      <c r="M2204" t="s">
        <v>43927</v>
      </c>
      <c r="N2204" t="s">
        <v>47304</v>
      </c>
      <c r="O2204" t="s">
        <v>47305</v>
      </c>
      <c r="P2204">
        <v>0</v>
      </c>
      <c r="Q2204">
        <v>0</v>
      </c>
      <c r="R2204" t="s">
        <v>47307</v>
      </c>
      <c r="S2204" t="s">
        <v>47416</v>
      </c>
      <c r="T2204" t="s">
        <v>49023</v>
      </c>
      <c r="U2204" t="s">
        <v>51500</v>
      </c>
      <c r="W2204" t="s">
        <v>43927</v>
      </c>
      <c r="X2204" t="s">
        <v>47306</v>
      </c>
    </row>
    <row r="2205" spans="1:24">
      <c r="A2205">
        <f>HYPERLINK("https://www.philgeps.gov.ph/GEPSNONPILOT/Tender/SplashBidNoticeAbstractUI.aspx?menuIndex=3&amp;refID=7200065&amp;Result=3","7200065")</f>
        <v>0</v>
      </c>
      <c r="B2205" t="s">
        <v>982</v>
      </c>
      <c r="C2205" t="s">
        <v>5992</v>
      </c>
      <c r="D2205" t="s">
        <v>19022</v>
      </c>
      <c r="E2205" t="s">
        <v>21112</v>
      </c>
      <c r="F2205" t="s">
        <v>32606</v>
      </c>
      <c r="G2205" t="s">
        <v>32619</v>
      </c>
      <c r="H2205" t="s">
        <v>14201</v>
      </c>
      <c r="I2205" t="s">
        <v>4114</v>
      </c>
      <c r="J2205" t="s">
        <v>34338</v>
      </c>
      <c r="K2205" t="s">
        <v>42622</v>
      </c>
      <c r="M2205" t="s">
        <v>43928</v>
      </c>
      <c r="N2205" t="s">
        <v>47304</v>
      </c>
      <c r="O2205" t="s">
        <v>47305</v>
      </c>
      <c r="P2205">
        <v>0</v>
      </c>
      <c r="Q2205">
        <v>0</v>
      </c>
      <c r="R2205" t="s">
        <v>47307</v>
      </c>
      <c r="S2205" t="s">
        <v>47416</v>
      </c>
      <c r="T2205" t="s">
        <v>49096</v>
      </c>
      <c r="U2205" t="s">
        <v>51501</v>
      </c>
      <c r="W2205" t="s">
        <v>43928</v>
      </c>
      <c r="X2205" t="s">
        <v>47306</v>
      </c>
    </row>
    <row r="2206" spans="1:24">
      <c r="A2206">
        <f>HYPERLINK("https://www.philgeps.gov.ph/GEPSNONPILOT/Tender/SplashBidNoticeAbstractUI.aspx?menuIndex=3&amp;refID=7200064&amp;Result=3","7200064")</f>
        <v>0</v>
      </c>
      <c r="B2206" t="s">
        <v>617</v>
      </c>
      <c r="C2206" t="s">
        <v>5993</v>
      </c>
      <c r="D2206" t="s">
        <v>19058</v>
      </c>
      <c r="E2206" t="s">
        <v>21113</v>
      </c>
      <c r="F2206" t="s">
        <v>32606</v>
      </c>
      <c r="G2206" t="s">
        <v>32614</v>
      </c>
      <c r="H2206" t="s">
        <v>32623</v>
      </c>
      <c r="I2206" t="s">
        <v>17648</v>
      </c>
      <c r="J2206" t="s">
        <v>34339</v>
      </c>
      <c r="K2206" t="s">
        <v>42624</v>
      </c>
      <c r="M2206" t="s">
        <v>43535</v>
      </c>
      <c r="N2206" t="s">
        <v>47304</v>
      </c>
      <c r="O2206" t="s">
        <v>47305</v>
      </c>
      <c r="P2206">
        <v>0</v>
      </c>
      <c r="Q2206">
        <v>0</v>
      </c>
      <c r="R2206" t="s">
        <v>47307</v>
      </c>
      <c r="S2206" t="s">
        <v>47416</v>
      </c>
      <c r="T2206" t="s">
        <v>48988</v>
      </c>
      <c r="U2206" t="s">
        <v>51502</v>
      </c>
      <c r="V2206" t="s">
        <v>62749</v>
      </c>
      <c r="W2206" t="s">
        <v>43535</v>
      </c>
      <c r="X2206" t="s">
        <v>47306</v>
      </c>
    </row>
    <row r="2207" spans="1:24">
      <c r="A2207">
        <f>HYPERLINK("https://www.philgeps.gov.ph/GEPSNONPILOT/Tender/SplashBidNoticeAbstractUI.aspx?menuIndex=3&amp;refID=7200063&amp;Result=3","7200063")</f>
        <v>0</v>
      </c>
      <c r="B2207" t="s">
        <v>983</v>
      </c>
      <c r="C2207" t="s">
        <v>5994</v>
      </c>
      <c r="D2207" t="s">
        <v>19002</v>
      </c>
      <c r="E2207" t="s">
        <v>21114</v>
      </c>
      <c r="F2207" t="s">
        <v>32606</v>
      </c>
      <c r="G2207" t="s">
        <v>32613</v>
      </c>
      <c r="H2207" t="s">
        <v>32623</v>
      </c>
      <c r="I2207" t="s">
        <v>32649</v>
      </c>
      <c r="J2207" t="s">
        <v>34340</v>
      </c>
      <c r="K2207" t="s">
        <v>42636</v>
      </c>
      <c r="M2207" t="s">
        <v>43929</v>
      </c>
      <c r="N2207" t="s">
        <v>47304</v>
      </c>
      <c r="O2207" t="s">
        <v>47305</v>
      </c>
      <c r="P2207">
        <v>0</v>
      </c>
      <c r="Q2207">
        <v>0</v>
      </c>
      <c r="R2207" t="s">
        <v>47307</v>
      </c>
      <c r="S2207" t="s">
        <v>47416</v>
      </c>
      <c r="T2207" t="s">
        <v>49031</v>
      </c>
      <c r="U2207" t="s">
        <v>51503</v>
      </c>
      <c r="W2207" t="s">
        <v>43929</v>
      </c>
      <c r="X2207" t="s">
        <v>47306</v>
      </c>
    </row>
    <row r="2208" spans="1:24">
      <c r="A2208">
        <f>HYPERLINK("https://www.philgeps.gov.ph/GEPSNONPILOT/Tender/SplashBidNoticeAbstractUI.aspx?menuIndex=3&amp;refID=7200062&amp;Result=3","7200062")</f>
        <v>0</v>
      </c>
      <c r="B2208" t="s">
        <v>212</v>
      </c>
      <c r="C2208" t="s">
        <v>5995</v>
      </c>
      <c r="D2208" t="s">
        <v>19007</v>
      </c>
      <c r="E2208" t="s">
        <v>21115</v>
      </c>
      <c r="F2208" t="s">
        <v>32606</v>
      </c>
      <c r="G2208" t="s">
        <v>32614</v>
      </c>
      <c r="H2208" t="s">
        <v>14201</v>
      </c>
      <c r="I2208" t="s">
        <v>6931</v>
      </c>
      <c r="J2208" t="s">
        <v>34341</v>
      </c>
      <c r="K2208" t="s">
        <v>42631</v>
      </c>
      <c r="M2208" t="s">
        <v>43113</v>
      </c>
      <c r="N2208" t="s">
        <v>47304</v>
      </c>
      <c r="O2208" t="s">
        <v>47305</v>
      </c>
      <c r="P2208">
        <v>0</v>
      </c>
      <c r="Q2208">
        <v>0</v>
      </c>
      <c r="R2208" t="s">
        <v>47307</v>
      </c>
      <c r="S2208" t="s">
        <v>47416</v>
      </c>
      <c r="T2208" t="s">
        <v>49028</v>
      </c>
      <c r="U2208" t="s">
        <v>51504</v>
      </c>
      <c r="W2208" t="s">
        <v>43113</v>
      </c>
      <c r="X2208" t="s">
        <v>47306</v>
      </c>
    </row>
    <row r="2209" spans="1:24">
      <c r="A2209">
        <f>HYPERLINK("https://www.philgeps.gov.ph/GEPSNONPILOT/Tender/SplashBidNoticeAbstractUI.aspx?menuIndex=3&amp;refID=7200048&amp;Result=3","7200048")</f>
        <v>0</v>
      </c>
      <c r="B2209" t="s">
        <v>984</v>
      </c>
      <c r="C2209" t="s">
        <v>5996</v>
      </c>
      <c r="D2209" t="s">
        <v>19039</v>
      </c>
      <c r="E2209" t="s">
        <v>21116</v>
      </c>
      <c r="F2209" t="s">
        <v>32606</v>
      </c>
      <c r="G2209" t="s">
        <v>32614</v>
      </c>
      <c r="H2209" t="s">
        <v>14201</v>
      </c>
      <c r="I2209" t="s">
        <v>4369</v>
      </c>
      <c r="J2209" t="s">
        <v>34342</v>
      </c>
      <c r="K2209" t="s">
        <v>42625</v>
      </c>
      <c r="L2209" t="s">
        <v>984</v>
      </c>
      <c r="M2209" t="s">
        <v>43930</v>
      </c>
      <c r="N2209" t="s">
        <v>47304</v>
      </c>
      <c r="O2209" t="s">
        <v>47305</v>
      </c>
      <c r="P2209">
        <v>0</v>
      </c>
      <c r="Q2209">
        <v>0</v>
      </c>
      <c r="R2209" t="s">
        <v>47307</v>
      </c>
      <c r="S2209" t="s">
        <v>47416</v>
      </c>
      <c r="T2209" t="s">
        <v>48971</v>
      </c>
      <c r="U2209" t="s">
        <v>51505</v>
      </c>
      <c r="W2209" t="s">
        <v>43930</v>
      </c>
      <c r="X2209" t="s">
        <v>47306</v>
      </c>
    </row>
    <row r="2210" spans="1:24">
      <c r="A2210">
        <f>HYPERLINK("https://www.philgeps.gov.ph/GEPSNONPILOT/Tender/SplashBidNoticeAbstractUI.aspx?menuIndex=3&amp;refID=7200077&amp;Result=3","7200077")</f>
        <v>0</v>
      </c>
      <c r="B2210" t="s">
        <v>748</v>
      </c>
      <c r="C2210" t="s">
        <v>5997</v>
      </c>
      <c r="D2210" t="s">
        <v>18993</v>
      </c>
      <c r="E2210" t="s">
        <v>21117</v>
      </c>
      <c r="F2210" t="s">
        <v>32606</v>
      </c>
      <c r="G2210" t="s">
        <v>32614</v>
      </c>
      <c r="H2210" t="s">
        <v>14201</v>
      </c>
      <c r="I2210" t="s">
        <v>13131</v>
      </c>
      <c r="J2210" t="s">
        <v>32977</v>
      </c>
      <c r="K2210" t="s">
        <v>42623</v>
      </c>
      <c r="M2210" t="s">
        <v>43671</v>
      </c>
      <c r="N2210" t="s">
        <v>47304</v>
      </c>
      <c r="O2210" t="s">
        <v>47305</v>
      </c>
      <c r="P2210">
        <v>0</v>
      </c>
      <c r="Q2210">
        <v>0</v>
      </c>
      <c r="R2210" t="s">
        <v>47307</v>
      </c>
      <c r="S2210" t="s">
        <v>47416</v>
      </c>
      <c r="T2210" t="s">
        <v>48996</v>
      </c>
      <c r="U2210" t="s">
        <v>51506</v>
      </c>
      <c r="V2210" t="s">
        <v>62890</v>
      </c>
      <c r="W2210" t="s">
        <v>43671</v>
      </c>
      <c r="X2210" t="s">
        <v>47306</v>
      </c>
    </row>
    <row r="2211" spans="1:24">
      <c r="A2211">
        <f>HYPERLINK("https://www.philgeps.gov.ph/GEPSNONPILOT/Tender/SplashBidNoticeAbstractUI.aspx?menuIndex=3&amp;refID=7200076&amp;Result=3","7200076")</f>
        <v>0</v>
      </c>
      <c r="B2211" t="s">
        <v>985</v>
      </c>
      <c r="C2211" t="s">
        <v>5998</v>
      </c>
      <c r="D2211" t="s">
        <v>19034</v>
      </c>
      <c r="E2211" t="s">
        <v>21118</v>
      </c>
      <c r="F2211" t="s">
        <v>32606</v>
      </c>
      <c r="G2211" t="s">
        <v>32613</v>
      </c>
      <c r="H2211" t="s">
        <v>14201</v>
      </c>
      <c r="I2211" t="s">
        <v>32631</v>
      </c>
      <c r="J2211" t="s">
        <v>34343</v>
      </c>
      <c r="K2211" t="s">
        <v>42627</v>
      </c>
      <c r="M2211" t="s">
        <v>43931</v>
      </c>
      <c r="N2211" t="s">
        <v>47304</v>
      </c>
      <c r="O2211" t="s">
        <v>47305</v>
      </c>
      <c r="P2211">
        <v>0</v>
      </c>
      <c r="Q2211">
        <v>0</v>
      </c>
      <c r="R2211" t="s">
        <v>47307</v>
      </c>
      <c r="S2211" t="s">
        <v>47416</v>
      </c>
      <c r="T2211" t="s">
        <v>48971</v>
      </c>
      <c r="U2211" t="s">
        <v>51507</v>
      </c>
      <c r="W2211" t="s">
        <v>43931</v>
      </c>
      <c r="X2211" t="s">
        <v>47306</v>
      </c>
    </row>
    <row r="2212" spans="1:24">
      <c r="A2212">
        <f>HYPERLINK("https://www.philgeps.gov.ph/GEPSNONPILOT/Tender/SplashBidNoticeAbstractUI.aspx?menuIndex=3&amp;refID=7200074&amp;Result=3","7200074")</f>
        <v>0</v>
      </c>
      <c r="B2212" t="s">
        <v>466</v>
      </c>
      <c r="C2212" t="s">
        <v>5999</v>
      </c>
      <c r="D2212" t="s">
        <v>19022</v>
      </c>
      <c r="E2212" t="s">
        <v>21119</v>
      </c>
      <c r="F2212" t="s">
        <v>32606</v>
      </c>
      <c r="G2212" t="s">
        <v>32614</v>
      </c>
      <c r="H2212" t="s">
        <v>14201</v>
      </c>
      <c r="I2212" t="s">
        <v>6007</v>
      </c>
      <c r="J2212" t="s">
        <v>33630</v>
      </c>
      <c r="K2212" t="s">
        <v>42623</v>
      </c>
      <c r="M2212" t="s">
        <v>43377</v>
      </c>
      <c r="N2212" t="s">
        <v>47304</v>
      </c>
      <c r="O2212" t="s">
        <v>47305</v>
      </c>
      <c r="P2212">
        <v>0</v>
      </c>
      <c r="Q2212">
        <v>0</v>
      </c>
      <c r="R2212" t="s">
        <v>47307</v>
      </c>
      <c r="S2212" t="s">
        <v>47416</v>
      </c>
      <c r="T2212" t="s">
        <v>49011</v>
      </c>
      <c r="U2212" t="s">
        <v>50375</v>
      </c>
      <c r="W2212" t="s">
        <v>43377</v>
      </c>
      <c r="X2212" t="s">
        <v>47306</v>
      </c>
    </row>
    <row r="2213" spans="1:24">
      <c r="A2213">
        <f>HYPERLINK("https://www.philgeps.gov.ph/GEPSNONPILOT/Tender/SplashBidNoticeAbstractUI.aspx?menuIndex=3&amp;refID=7200072&amp;Result=3","7200072")</f>
        <v>0</v>
      </c>
      <c r="B2213" t="s">
        <v>986</v>
      </c>
      <c r="C2213" t="s">
        <v>6000</v>
      </c>
      <c r="D2213" t="s">
        <v>18993</v>
      </c>
      <c r="E2213" t="s">
        <v>21120</v>
      </c>
      <c r="F2213" t="s">
        <v>32606</v>
      </c>
      <c r="G2213" t="s">
        <v>32619</v>
      </c>
      <c r="H2213" t="s">
        <v>14201</v>
      </c>
      <c r="I2213" t="s">
        <v>6298</v>
      </c>
      <c r="J2213" t="s">
        <v>34344</v>
      </c>
      <c r="K2213" t="s">
        <v>42681</v>
      </c>
      <c r="M2213" t="s">
        <v>43932</v>
      </c>
      <c r="N2213" t="s">
        <v>47304</v>
      </c>
      <c r="O2213" t="s">
        <v>47305</v>
      </c>
      <c r="P2213">
        <v>0</v>
      </c>
      <c r="Q2213">
        <v>0</v>
      </c>
      <c r="R2213" t="s">
        <v>47307</v>
      </c>
      <c r="S2213" t="s">
        <v>47416</v>
      </c>
      <c r="T2213" t="s">
        <v>48979</v>
      </c>
      <c r="U2213" t="s">
        <v>51508</v>
      </c>
      <c r="W2213" t="s">
        <v>43932</v>
      </c>
      <c r="X2213" t="s">
        <v>47306</v>
      </c>
    </row>
    <row r="2214" spans="1:24">
      <c r="A2214">
        <f>HYPERLINK("https://www.philgeps.gov.ph/GEPSNONPILOT/Tender/SplashBidNoticeAbstractUI.aspx?menuIndex=3&amp;refID=7200061&amp;Result=3","7200061")</f>
        <v>0</v>
      </c>
      <c r="B2214" t="s">
        <v>987</v>
      </c>
      <c r="C2214" t="s">
        <v>6001</v>
      </c>
      <c r="D2214" t="s">
        <v>18986</v>
      </c>
      <c r="E2214" t="s">
        <v>21121</v>
      </c>
      <c r="F2214" t="s">
        <v>32606</v>
      </c>
      <c r="G2214" t="s">
        <v>32619</v>
      </c>
      <c r="H2214" t="s">
        <v>14201</v>
      </c>
      <c r="I2214" t="s">
        <v>7233</v>
      </c>
      <c r="J2214" t="s">
        <v>34345</v>
      </c>
      <c r="K2214" t="s">
        <v>42631</v>
      </c>
      <c r="M2214" t="s">
        <v>43933</v>
      </c>
      <c r="N2214" t="s">
        <v>47304</v>
      </c>
      <c r="O2214" t="s">
        <v>47305</v>
      </c>
      <c r="P2214">
        <v>0</v>
      </c>
      <c r="Q2214">
        <v>0</v>
      </c>
      <c r="R2214" t="s">
        <v>47307</v>
      </c>
      <c r="S2214" t="s">
        <v>47416</v>
      </c>
      <c r="T2214" t="s">
        <v>48986</v>
      </c>
      <c r="U2214" t="s">
        <v>51509</v>
      </c>
      <c r="W2214" t="s">
        <v>43933</v>
      </c>
      <c r="X2214" t="s">
        <v>47306</v>
      </c>
    </row>
    <row r="2215" spans="1:24">
      <c r="A2215">
        <f>HYPERLINK("https://www.philgeps.gov.ph/GEPSNONPILOT/Tender/SplashBidNoticeAbstractUI.aspx?menuIndex=3&amp;refID=7200060&amp;Result=3","7200060")</f>
        <v>0</v>
      </c>
      <c r="B2215" t="s">
        <v>262</v>
      </c>
      <c r="C2215" t="s">
        <v>6002</v>
      </c>
      <c r="D2215" t="s">
        <v>19038</v>
      </c>
      <c r="E2215" t="s">
        <v>21122</v>
      </c>
      <c r="F2215" t="s">
        <v>32606</v>
      </c>
      <c r="G2215" t="s">
        <v>32619</v>
      </c>
      <c r="H2215" t="s">
        <v>14201</v>
      </c>
      <c r="I2215" t="s">
        <v>32663</v>
      </c>
      <c r="J2215" t="s">
        <v>34346</v>
      </c>
      <c r="K2215" t="s">
        <v>42630</v>
      </c>
      <c r="M2215" t="s">
        <v>43163</v>
      </c>
      <c r="N2215" t="s">
        <v>47304</v>
      </c>
      <c r="O2215" t="s">
        <v>47305</v>
      </c>
      <c r="P2215">
        <v>0</v>
      </c>
      <c r="Q2215">
        <v>0</v>
      </c>
      <c r="R2215" t="s">
        <v>47307</v>
      </c>
      <c r="S2215" t="s">
        <v>47416</v>
      </c>
      <c r="T2215" t="s">
        <v>48986</v>
      </c>
      <c r="U2215" t="s">
        <v>51510</v>
      </c>
      <c r="W2215" t="s">
        <v>43163</v>
      </c>
      <c r="X2215" t="s">
        <v>47306</v>
      </c>
    </row>
    <row r="2216" spans="1:24">
      <c r="A2216">
        <f>HYPERLINK("https://www.philgeps.gov.ph/GEPSNONPILOT/Tender/SplashBidNoticeAbstractUI.aspx?menuIndex=3&amp;refID=7200059&amp;Result=3","7200059")</f>
        <v>0</v>
      </c>
      <c r="B2216" t="s">
        <v>728</v>
      </c>
      <c r="C2216" t="s">
        <v>6003</v>
      </c>
      <c r="D2216" t="s">
        <v>19025</v>
      </c>
      <c r="E2216" t="s">
        <v>21123</v>
      </c>
      <c r="F2216" t="s">
        <v>32606</v>
      </c>
      <c r="G2216" t="s">
        <v>32614</v>
      </c>
      <c r="H2216" t="s">
        <v>14201</v>
      </c>
      <c r="I2216" t="s">
        <v>32629</v>
      </c>
      <c r="J2216" t="s">
        <v>33551</v>
      </c>
      <c r="K2216" t="s">
        <v>42631</v>
      </c>
      <c r="M2216" t="s">
        <v>43650</v>
      </c>
      <c r="N2216" t="s">
        <v>47304</v>
      </c>
      <c r="O2216" t="s">
        <v>47305</v>
      </c>
      <c r="P2216">
        <v>0</v>
      </c>
      <c r="Q2216">
        <v>0</v>
      </c>
      <c r="R2216" t="s">
        <v>47307</v>
      </c>
      <c r="S2216" t="s">
        <v>47416</v>
      </c>
      <c r="T2216" t="s">
        <v>48986</v>
      </c>
      <c r="U2216" t="s">
        <v>50853</v>
      </c>
      <c r="W2216" t="s">
        <v>43650</v>
      </c>
      <c r="X2216" t="s">
        <v>47306</v>
      </c>
    </row>
    <row r="2217" spans="1:24">
      <c r="A2217">
        <f>HYPERLINK("https://www.philgeps.gov.ph/GEPSNONPILOT/Tender/SplashBidNoticeAbstractUI.aspx?menuIndex=3&amp;refID=7200014&amp;Result=3","7200014")</f>
        <v>0</v>
      </c>
      <c r="B2217" t="s">
        <v>617</v>
      </c>
      <c r="C2217" t="s">
        <v>6004</v>
      </c>
      <c r="D2217" t="s">
        <v>19058</v>
      </c>
      <c r="E2217" t="s">
        <v>21124</v>
      </c>
      <c r="F2217" t="s">
        <v>32606</v>
      </c>
      <c r="G2217" t="s">
        <v>32614</v>
      </c>
      <c r="H2217" t="s">
        <v>32623</v>
      </c>
      <c r="I2217" t="s">
        <v>17648</v>
      </c>
      <c r="J2217" t="s">
        <v>34347</v>
      </c>
      <c r="K2217" t="s">
        <v>42624</v>
      </c>
      <c r="M2217" t="s">
        <v>43535</v>
      </c>
      <c r="N2217" t="s">
        <v>47304</v>
      </c>
      <c r="O2217" t="s">
        <v>47305</v>
      </c>
      <c r="P2217">
        <v>0</v>
      </c>
      <c r="Q2217">
        <v>0</v>
      </c>
      <c r="R2217" t="s">
        <v>47307</v>
      </c>
      <c r="S2217" t="s">
        <v>47416</v>
      </c>
      <c r="T2217" t="s">
        <v>48988</v>
      </c>
      <c r="U2217" t="s">
        <v>51511</v>
      </c>
      <c r="V2217" t="s">
        <v>62789</v>
      </c>
      <c r="W2217" t="s">
        <v>43535</v>
      </c>
      <c r="X2217" t="s">
        <v>47306</v>
      </c>
    </row>
    <row r="2218" spans="1:24">
      <c r="A2218">
        <f>HYPERLINK("https://www.philgeps.gov.ph/GEPSNONPILOT/Tender/SplashBidNoticeAbstractUI.aspx?menuIndex=3&amp;refID=7200055&amp;Result=3","7200055")</f>
        <v>0</v>
      </c>
      <c r="B2218" t="s">
        <v>986</v>
      </c>
      <c r="C2218" t="s">
        <v>6000</v>
      </c>
      <c r="D2218" t="s">
        <v>18993</v>
      </c>
      <c r="E2218" t="s">
        <v>21125</v>
      </c>
      <c r="F2218" t="s">
        <v>32606</v>
      </c>
      <c r="G2218" t="s">
        <v>32619</v>
      </c>
      <c r="H2218" t="s">
        <v>14201</v>
      </c>
      <c r="I2218" t="s">
        <v>6298</v>
      </c>
      <c r="J2218" t="s">
        <v>33861</v>
      </c>
      <c r="K2218" t="s">
        <v>42681</v>
      </c>
      <c r="M2218" t="s">
        <v>43932</v>
      </c>
      <c r="N2218" t="s">
        <v>47304</v>
      </c>
      <c r="O2218" t="s">
        <v>47305</v>
      </c>
      <c r="P2218">
        <v>0</v>
      </c>
      <c r="Q2218">
        <v>0</v>
      </c>
      <c r="R2218" t="s">
        <v>47307</v>
      </c>
      <c r="S2218" t="s">
        <v>47416</v>
      </c>
      <c r="T2218" t="s">
        <v>48979</v>
      </c>
      <c r="U2218" t="s">
        <v>51508</v>
      </c>
      <c r="W2218" t="s">
        <v>43932</v>
      </c>
      <c r="X2218" t="s">
        <v>47306</v>
      </c>
    </row>
    <row r="2219" spans="1:24">
      <c r="A2219">
        <f>HYPERLINK("https://www.philgeps.gov.ph/GEPSNONPILOT/Tender/SplashBidNoticeAbstractUI.aspx?menuIndex=3&amp;refID=7200075&amp;Result=3","7200075")</f>
        <v>0</v>
      </c>
      <c r="B2219" t="s">
        <v>552</v>
      </c>
      <c r="C2219" t="s">
        <v>6005</v>
      </c>
      <c r="D2219" t="s">
        <v>19042</v>
      </c>
      <c r="E2219" t="s">
        <v>21126</v>
      </c>
      <c r="F2219" t="s">
        <v>32606</v>
      </c>
      <c r="G2219" t="s">
        <v>32613</v>
      </c>
      <c r="H2219" t="s">
        <v>32623</v>
      </c>
      <c r="I2219" t="s">
        <v>32661</v>
      </c>
      <c r="J2219" t="s">
        <v>33189</v>
      </c>
      <c r="K2219" t="s">
        <v>42623</v>
      </c>
      <c r="M2219" t="s">
        <v>43467</v>
      </c>
      <c r="N2219" t="s">
        <v>47304</v>
      </c>
      <c r="O2219" t="s">
        <v>47305</v>
      </c>
      <c r="P2219">
        <v>0</v>
      </c>
      <c r="Q2219">
        <v>0</v>
      </c>
      <c r="R2219" t="s">
        <v>47307</v>
      </c>
      <c r="S2219" t="s">
        <v>47416</v>
      </c>
      <c r="T2219" t="s">
        <v>49140</v>
      </c>
      <c r="U2219" t="s">
        <v>51512</v>
      </c>
      <c r="W2219" t="s">
        <v>43467</v>
      </c>
      <c r="X2219" t="s">
        <v>47306</v>
      </c>
    </row>
    <row r="2220" spans="1:24">
      <c r="A2220">
        <f>HYPERLINK("https://www.philgeps.gov.ph/GEPSNONPILOT/Tender/SplashBidNoticeAbstractUI.aspx?menuIndex=3&amp;refID=7200034&amp;Result=3","7200034")</f>
        <v>0</v>
      </c>
      <c r="B2220" t="s">
        <v>178</v>
      </c>
      <c r="C2220" t="s">
        <v>6006</v>
      </c>
      <c r="D2220" t="s">
        <v>18993</v>
      </c>
      <c r="E2220" t="s">
        <v>21127</v>
      </c>
      <c r="F2220" t="s">
        <v>32606</v>
      </c>
      <c r="G2220" t="s">
        <v>32613</v>
      </c>
      <c r="H2220" t="s">
        <v>14201</v>
      </c>
      <c r="I2220" t="s">
        <v>32662</v>
      </c>
      <c r="J2220" t="s">
        <v>34348</v>
      </c>
      <c r="K2220" t="s">
        <v>42630</v>
      </c>
      <c r="M2220" t="s">
        <v>43934</v>
      </c>
      <c r="N2220" t="s">
        <v>47304</v>
      </c>
      <c r="O2220" t="s">
        <v>47305</v>
      </c>
      <c r="P2220">
        <v>0</v>
      </c>
      <c r="Q2220">
        <v>0</v>
      </c>
      <c r="R2220" t="s">
        <v>47307</v>
      </c>
      <c r="S2220" t="s">
        <v>47416</v>
      </c>
      <c r="T2220" t="s">
        <v>49155</v>
      </c>
      <c r="U2220" t="s">
        <v>51513</v>
      </c>
      <c r="W2220" t="s">
        <v>43934</v>
      </c>
      <c r="X2220" t="s">
        <v>47306</v>
      </c>
    </row>
    <row r="2221" spans="1:24">
      <c r="A2221">
        <f>HYPERLINK("https://www.philgeps.gov.ph/GEPSNONPILOT/Tender/SplashBidNoticeAbstractUI.aspx?menuIndex=3&amp;refID=7200056&amp;Result=3","7200056")</f>
        <v>0</v>
      </c>
      <c r="B2221" t="s">
        <v>256</v>
      </c>
      <c r="C2221" t="s">
        <v>6007</v>
      </c>
      <c r="E2221" t="s">
        <v>21128</v>
      </c>
      <c r="F2221" t="s">
        <v>32606</v>
      </c>
      <c r="G2221" t="s">
        <v>32614</v>
      </c>
      <c r="H2221" t="s">
        <v>14201</v>
      </c>
      <c r="I2221" t="s">
        <v>6007</v>
      </c>
      <c r="J2221" t="s">
        <v>32868</v>
      </c>
      <c r="K2221" t="s">
        <v>42622</v>
      </c>
      <c r="M2221" t="s">
        <v>43157</v>
      </c>
      <c r="N2221" t="s">
        <v>47304</v>
      </c>
      <c r="O2221" t="s">
        <v>47305</v>
      </c>
      <c r="P2221">
        <v>0</v>
      </c>
      <c r="Q2221">
        <v>0</v>
      </c>
      <c r="R2221" t="s">
        <v>47307</v>
      </c>
      <c r="S2221" t="s">
        <v>47416</v>
      </c>
      <c r="T2221" t="s">
        <v>48977</v>
      </c>
      <c r="U2221" t="s">
        <v>51514</v>
      </c>
      <c r="W2221" t="s">
        <v>43157</v>
      </c>
      <c r="X2221" t="s">
        <v>47306</v>
      </c>
    </row>
    <row r="2222" spans="1:24">
      <c r="A2222">
        <f>HYPERLINK("https://www.philgeps.gov.ph/GEPSNONPILOT/Tender/SplashBidNoticeAbstractUI.aspx?menuIndex=3&amp;refID=7200078&amp;Result=3","7200078")</f>
        <v>0</v>
      </c>
      <c r="B2222" t="s">
        <v>988</v>
      </c>
      <c r="C2222" t="s">
        <v>6008</v>
      </c>
      <c r="D2222" t="s">
        <v>18995</v>
      </c>
      <c r="E2222" t="s">
        <v>21129</v>
      </c>
      <c r="F2222" t="s">
        <v>32606</v>
      </c>
      <c r="G2222" t="s">
        <v>32614</v>
      </c>
      <c r="H2222" t="s">
        <v>14201</v>
      </c>
      <c r="I2222" t="s">
        <v>4678</v>
      </c>
      <c r="J2222" t="s">
        <v>32949</v>
      </c>
      <c r="K2222" t="s">
        <v>42630</v>
      </c>
      <c r="M2222" t="s">
        <v>43935</v>
      </c>
      <c r="N2222" t="s">
        <v>47304</v>
      </c>
      <c r="O2222" t="s">
        <v>47305</v>
      </c>
      <c r="P2222">
        <v>0</v>
      </c>
      <c r="Q2222">
        <v>0</v>
      </c>
      <c r="R2222" t="s">
        <v>47307</v>
      </c>
      <c r="S2222" t="s">
        <v>47416</v>
      </c>
      <c r="T2222" t="s">
        <v>49108</v>
      </c>
      <c r="U2222" t="s">
        <v>51515</v>
      </c>
      <c r="W2222" t="s">
        <v>43935</v>
      </c>
      <c r="X2222" t="s">
        <v>47306</v>
      </c>
    </row>
    <row r="2223" spans="1:24">
      <c r="A2223">
        <f>HYPERLINK("https://www.philgeps.gov.ph/GEPSNONPILOT/Tender/SplashBidNoticeAbstractUI.aspx?menuIndex=3&amp;refID=7200091&amp;Result=3","7200091")</f>
        <v>0</v>
      </c>
      <c r="B2223" t="s">
        <v>795</v>
      </c>
      <c r="C2223" t="s">
        <v>6009</v>
      </c>
      <c r="D2223" t="s">
        <v>19039</v>
      </c>
      <c r="E2223" t="s">
        <v>21130</v>
      </c>
      <c r="F2223" t="s">
        <v>32606</v>
      </c>
      <c r="G2223" t="s">
        <v>32614</v>
      </c>
      <c r="H2223" t="s">
        <v>14201</v>
      </c>
      <c r="I2223" t="s">
        <v>6931</v>
      </c>
      <c r="J2223" t="s">
        <v>34349</v>
      </c>
      <c r="K2223" t="s">
        <v>42631</v>
      </c>
      <c r="M2223" t="s">
        <v>43726</v>
      </c>
      <c r="N2223" t="s">
        <v>47304</v>
      </c>
      <c r="O2223" t="s">
        <v>47305</v>
      </c>
      <c r="P2223">
        <v>0</v>
      </c>
      <c r="Q2223">
        <v>0</v>
      </c>
      <c r="R2223" t="s">
        <v>47307</v>
      </c>
      <c r="S2223" t="s">
        <v>47416</v>
      </c>
      <c r="T2223" t="s">
        <v>48996</v>
      </c>
      <c r="U2223" t="s">
        <v>51496</v>
      </c>
      <c r="W2223" t="s">
        <v>43726</v>
      </c>
      <c r="X2223" t="s">
        <v>47306</v>
      </c>
    </row>
    <row r="2224" spans="1:24">
      <c r="A2224">
        <f>HYPERLINK("https://www.philgeps.gov.ph/GEPSNONPILOT/Tender/SplashBidNoticeAbstractUI.aspx?menuIndex=3&amp;refID=7200085&amp;Result=3","7200085")</f>
        <v>0</v>
      </c>
      <c r="B2224" t="s">
        <v>970</v>
      </c>
      <c r="C2224" t="s">
        <v>6010</v>
      </c>
      <c r="D2224" t="s">
        <v>18990</v>
      </c>
      <c r="E2224" t="s">
        <v>21131</v>
      </c>
      <c r="F2224" t="s">
        <v>32606</v>
      </c>
      <c r="G2224" t="s">
        <v>32613</v>
      </c>
      <c r="H2224" t="s">
        <v>14201</v>
      </c>
      <c r="I2224" t="s">
        <v>6993</v>
      </c>
      <c r="J2224" t="s">
        <v>34350</v>
      </c>
      <c r="K2224" t="s">
        <v>42623</v>
      </c>
      <c r="M2224" t="s">
        <v>43916</v>
      </c>
      <c r="N2224" t="s">
        <v>47304</v>
      </c>
      <c r="O2224" t="s">
        <v>47305</v>
      </c>
      <c r="P2224">
        <v>0</v>
      </c>
      <c r="Q2224">
        <v>0</v>
      </c>
      <c r="R2224" t="s">
        <v>47307</v>
      </c>
      <c r="S2224" t="s">
        <v>47416</v>
      </c>
      <c r="T2224" t="s">
        <v>49008</v>
      </c>
      <c r="U2224" t="s">
        <v>51468</v>
      </c>
      <c r="W2224" t="s">
        <v>43916</v>
      </c>
      <c r="X2224" t="s">
        <v>47306</v>
      </c>
    </row>
    <row r="2225" spans="1:24">
      <c r="A2225">
        <f>HYPERLINK("https://www.philgeps.gov.ph/GEPSNONPILOT/Tender/SplashBidNoticeAbstractUI.aspx?menuIndex=3&amp;refID=7200084&amp;Result=3","7200084")</f>
        <v>0</v>
      </c>
      <c r="B2225" t="s">
        <v>873</v>
      </c>
      <c r="C2225" t="s">
        <v>6011</v>
      </c>
      <c r="D2225" t="s">
        <v>19002</v>
      </c>
      <c r="E2225" t="s">
        <v>21132</v>
      </c>
      <c r="F2225" t="s">
        <v>32606</v>
      </c>
      <c r="G2225" t="s">
        <v>32617</v>
      </c>
      <c r="H2225" t="s">
        <v>14201</v>
      </c>
      <c r="I2225" t="s">
        <v>32633</v>
      </c>
      <c r="J2225" t="s">
        <v>34351</v>
      </c>
      <c r="K2225" t="s">
        <v>42630</v>
      </c>
      <c r="M2225" t="s">
        <v>43809</v>
      </c>
      <c r="N2225" t="s">
        <v>47304</v>
      </c>
      <c r="O2225" t="s">
        <v>47305</v>
      </c>
      <c r="P2225">
        <v>0</v>
      </c>
      <c r="Q2225">
        <v>0</v>
      </c>
      <c r="R2225" t="s">
        <v>47307</v>
      </c>
      <c r="S2225" t="s">
        <v>47416</v>
      </c>
      <c r="T2225" t="s">
        <v>49028</v>
      </c>
      <c r="U2225" t="s">
        <v>51516</v>
      </c>
      <c r="W2225" t="s">
        <v>43809</v>
      </c>
      <c r="X2225" t="s">
        <v>47306</v>
      </c>
    </row>
    <row r="2226" spans="1:24">
      <c r="A2226">
        <f>HYPERLINK("https://www.philgeps.gov.ph/GEPSNONPILOT/Tender/SplashBidNoticeAbstractUI.aspx?menuIndex=3&amp;refID=7200082&amp;Result=3","7200082")</f>
        <v>0</v>
      </c>
      <c r="B2226" t="s">
        <v>989</v>
      </c>
      <c r="C2226" t="s">
        <v>6012</v>
      </c>
      <c r="D2226" t="s">
        <v>19003</v>
      </c>
      <c r="E2226" t="s">
        <v>21133</v>
      </c>
      <c r="F2226" t="s">
        <v>32606</v>
      </c>
      <c r="G2226" t="s">
        <v>32615</v>
      </c>
      <c r="H2226" t="s">
        <v>14201</v>
      </c>
      <c r="I2226" t="s">
        <v>6931</v>
      </c>
      <c r="J2226" t="s">
        <v>33576</v>
      </c>
      <c r="K2226" t="s">
        <v>42630</v>
      </c>
      <c r="M2226" t="s">
        <v>43936</v>
      </c>
      <c r="N2226" t="s">
        <v>47304</v>
      </c>
      <c r="O2226" t="s">
        <v>47305</v>
      </c>
      <c r="P2226">
        <v>0</v>
      </c>
      <c r="Q2226">
        <v>0</v>
      </c>
      <c r="R2226" t="s">
        <v>47307</v>
      </c>
      <c r="S2226" t="s">
        <v>47416</v>
      </c>
      <c r="T2226" t="s">
        <v>49087</v>
      </c>
      <c r="U2226" t="s">
        <v>51517</v>
      </c>
      <c r="W2226" t="s">
        <v>43936</v>
      </c>
      <c r="X2226" t="s">
        <v>47306</v>
      </c>
    </row>
    <row r="2227" spans="1:24">
      <c r="A2227">
        <f>HYPERLINK("https://www.philgeps.gov.ph/GEPSNONPILOT/Tender/SplashBidNoticeAbstractUI.aspx?menuIndex=3&amp;refID=7200081&amp;Result=3","7200081")</f>
        <v>0</v>
      </c>
      <c r="B2227" t="s">
        <v>238</v>
      </c>
      <c r="C2227" t="s">
        <v>6013</v>
      </c>
      <c r="D2227" t="s">
        <v>18993</v>
      </c>
      <c r="E2227" t="s">
        <v>21134</v>
      </c>
      <c r="F2227" t="s">
        <v>32606</v>
      </c>
      <c r="G2227" t="s">
        <v>32619</v>
      </c>
      <c r="H2227" t="s">
        <v>14201</v>
      </c>
      <c r="I2227" t="s">
        <v>32633</v>
      </c>
      <c r="J2227" t="s">
        <v>32778</v>
      </c>
      <c r="K2227" t="s">
        <v>42622</v>
      </c>
      <c r="M2227" t="s">
        <v>43794</v>
      </c>
      <c r="N2227" t="s">
        <v>47304</v>
      </c>
      <c r="O2227" t="s">
        <v>47305</v>
      </c>
      <c r="P2227">
        <v>0</v>
      </c>
      <c r="Q2227">
        <v>0</v>
      </c>
      <c r="R2227" t="s">
        <v>47307</v>
      </c>
      <c r="S2227" t="s">
        <v>47416</v>
      </c>
      <c r="T2227" t="s">
        <v>49206</v>
      </c>
      <c r="U2227" t="s">
        <v>51518</v>
      </c>
      <c r="V2227" t="s">
        <v>62844</v>
      </c>
      <c r="W2227" t="s">
        <v>43794</v>
      </c>
      <c r="X2227" t="s">
        <v>47306</v>
      </c>
    </row>
    <row r="2228" spans="1:24">
      <c r="A2228">
        <f>HYPERLINK("https://www.philgeps.gov.ph/GEPSNONPILOT/Tender/SplashBidNoticeAbstractUI.aspx?menuIndex=3&amp;refID=7200079&amp;Result=3","7200079")</f>
        <v>0</v>
      </c>
      <c r="B2228" t="s">
        <v>256</v>
      </c>
      <c r="C2228" t="s">
        <v>6014</v>
      </c>
      <c r="E2228" t="s">
        <v>21135</v>
      </c>
      <c r="F2228" t="s">
        <v>32606</v>
      </c>
      <c r="G2228" t="s">
        <v>32614</v>
      </c>
      <c r="H2228" t="s">
        <v>14201</v>
      </c>
      <c r="I2228" t="s">
        <v>6014</v>
      </c>
      <c r="J2228" t="s">
        <v>34352</v>
      </c>
      <c r="K2228" t="s">
        <v>42627</v>
      </c>
      <c r="M2228" t="s">
        <v>43157</v>
      </c>
      <c r="N2228" t="s">
        <v>47304</v>
      </c>
      <c r="O2228" t="s">
        <v>47305</v>
      </c>
      <c r="P2228">
        <v>0</v>
      </c>
      <c r="Q2228">
        <v>0</v>
      </c>
      <c r="R2228" t="s">
        <v>47307</v>
      </c>
      <c r="S2228" t="s">
        <v>47416</v>
      </c>
      <c r="T2228" t="s">
        <v>48977</v>
      </c>
      <c r="U2228" t="s">
        <v>51519</v>
      </c>
      <c r="W2228" t="s">
        <v>43157</v>
      </c>
      <c r="X2228" t="s">
        <v>47306</v>
      </c>
    </row>
    <row r="2229" spans="1:24">
      <c r="A2229">
        <f>HYPERLINK("https://www.philgeps.gov.ph/GEPSNONPILOT/Tender/SplashBidNoticeAbstractUI.aspx?menuIndex=3&amp;refID=7200092&amp;Result=3","7200092")</f>
        <v>0</v>
      </c>
      <c r="B2229" t="s">
        <v>325</v>
      </c>
      <c r="C2229" t="s">
        <v>6015</v>
      </c>
      <c r="D2229" t="s">
        <v>18992</v>
      </c>
      <c r="E2229" t="s">
        <v>20544</v>
      </c>
      <c r="F2229" t="s">
        <v>32606</v>
      </c>
      <c r="G2229" t="s">
        <v>32613</v>
      </c>
      <c r="H2229" t="s">
        <v>14201</v>
      </c>
      <c r="I2229" t="s">
        <v>7677</v>
      </c>
      <c r="J2229" t="s">
        <v>34353</v>
      </c>
      <c r="K2229" t="s">
        <v>42622</v>
      </c>
      <c r="M2229" t="s">
        <v>43227</v>
      </c>
      <c r="N2229" t="s">
        <v>47304</v>
      </c>
      <c r="O2229" t="s">
        <v>47305</v>
      </c>
      <c r="P2229">
        <v>0</v>
      </c>
      <c r="Q2229">
        <v>0</v>
      </c>
      <c r="R2229" t="s">
        <v>47307</v>
      </c>
      <c r="S2229" t="s">
        <v>47416</v>
      </c>
      <c r="T2229" t="s">
        <v>49207</v>
      </c>
      <c r="U2229" t="s">
        <v>51520</v>
      </c>
      <c r="W2229" t="s">
        <v>43227</v>
      </c>
      <c r="X2229" t="s">
        <v>47306</v>
      </c>
    </row>
    <row r="2230" spans="1:24">
      <c r="A2230">
        <f>HYPERLINK("https://www.philgeps.gov.ph/GEPSNONPILOT/Tender/SplashBidNoticeAbstractUI.aspx?menuIndex=3&amp;refID=7200100&amp;Result=3","7200100")</f>
        <v>0</v>
      </c>
      <c r="B2230" t="s">
        <v>728</v>
      </c>
      <c r="C2230" t="s">
        <v>6016</v>
      </c>
      <c r="D2230" t="s">
        <v>19025</v>
      </c>
      <c r="E2230" t="s">
        <v>21136</v>
      </c>
      <c r="F2230" t="s">
        <v>32606</v>
      </c>
      <c r="G2230" t="s">
        <v>32613</v>
      </c>
      <c r="H2230" t="s">
        <v>14201</v>
      </c>
      <c r="I2230" t="s">
        <v>32629</v>
      </c>
      <c r="J2230" t="s">
        <v>34354</v>
      </c>
      <c r="K2230" t="s">
        <v>42631</v>
      </c>
      <c r="M2230" t="s">
        <v>43650</v>
      </c>
      <c r="N2230" t="s">
        <v>47304</v>
      </c>
      <c r="O2230" t="s">
        <v>47305</v>
      </c>
      <c r="P2230">
        <v>0</v>
      </c>
      <c r="Q2230">
        <v>0</v>
      </c>
      <c r="R2230" t="s">
        <v>47307</v>
      </c>
      <c r="S2230" t="s">
        <v>47416</v>
      </c>
      <c r="T2230" t="s">
        <v>48973</v>
      </c>
      <c r="U2230" t="s">
        <v>51521</v>
      </c>
      <c r="V2230" t="s">
        <v>62891</v>
      </c>
      <c r="W2230" t="s">
        <v>43650</v>
      </c>
      <c r="X2230" t="s">
        <v>47306</v>
      </c>
    </row>
    <row r="2231" spans="1:24">
      <c r="A2231">
        <f>HYPERLINK("https://www.philgeps.gov.ph/GEPSNONPILOT/Tender/SplashBidNoticeAbstractUI.aspx?menuIndex=3&amp;refID=7200080&amp;Result=3","7200080")</f>
        <v>0</v>
      </c>
      <c r="B2231" t="s">
        <v>959</v>
      </c>
      <c r="C2231" t="s">
        <v>6017</v>
      </c>
      <c r="D2231" t="s">
        <v>19038</v>
      </c>
      <c r="E2231" t="s">
        <v>21137</v>
      </c>
      <c r="F2231" t="s">
        <v>32606</v>
      </c>
      <c r="G2231" t="s">
        <v>32613</v>
      </c>
      <c r="H2231" t="s">
        <v>32623</v>
      </c>
      <c r="I2231" t="s">
        <v>17648</v>
      </c>
      <c r="J2231" t="s">
        <v>32772</v>
      </c>
      <c r="K2231" t="s">
        <v>42636</v>
      </c>
      <c r="M2231" t="s">
        <v>43904</v>
      </c>
      <c r="N2231" t="s">
        <v>47304</v>
      </c>
      <c r="O2231" t="s">
        <v>47305</v>
      </c>
      <c r="P2231">
        <v>0</v>
      </c>
      <c r="Q2231">
        <v>0</v>
      </c>
      <c r="R2231" t="s">
        <v>47307</v>
      </c>
      <c r="S2231" t="s">
        <v>47416</v>
      </c>
      <c r="T2231" t="s">
        <v>48995</v>
      </c>
      <c r="U2231" t="s">
        <v>51522</v>
      </c>
      <c r="W2231" t="s">
        <v>43904</v>
      </c>
      <c r="X2231" t="s">
        <v>47306</v>
      </c>
    </row>
    <row r="2232" spans="1:24">
      <c r="A2232">
        <f>HYPERLINK("https://www.philgeps.gov.ph/GEPSNONPILOT/Tender/SplashBidNoticeAbstractUI.aspx?menuIndex=3&amp;refID=7200086&amp;Result=3","7200086")</f>
        <v>0</v>
      </c>
      <c r="B2232" t="s">
        <v>906</v>
      </c>
      <c r="C2232" t="s">
        <v>6018</v>
      </c>
      <c r="D2232" t="s">
        <v>19013</v>
      </c>
      <c r="E2232" t="s">
        <v>21138</v>
      </c>
      <c r="F2232" t="s">
        <v>32606</v>
      </c>
      <c r="G2232" t="s">
        <v>32614</v>
      </c>
      <c r="H2232" t="s">
        <v>14201</v>
      </c>
      <c r="I2232" t="s">
        <v>4120</v>
      </c>
      <c r="J2232" t="s">
        <v>34355</v>
      </c>
      <c r="K2232" t="s">
        <v>42631</v>
      </c>
      <c r="M2232" t="s">
        <v>43844</v>
      </c>
      <c r="N2232" t="s">
        <v>47304</v>
      </c>
      <c r="O2232" t="s">
        <v>47305</v>
      </c>
      <c r="P2232">
        <v>0</v>
      </c>
      <c r="Q2232">
        <v>0</v>
      </c>
      <c r="R2232" t="s">
        <v>47307</v>
      </c>
      <c r="S2232" t="s">
        <v>47416</v>
      </c>
      <c r="T2232" t="s">
        <v>49023</v>
      </c>
      <c r="U2232" t="s">
        <v>51291</v>
      </c>
      <c r="W2232" t="s">
        <v>43844</v>
      </c>
      <c r="X2232" t="s">
        <v>47306</v>
      </c>
    </row>
    <row r="2233" spans="1:24">
      <c r="A2233">
        <f>HYPERLINK("https://www.philgeps.gov.ph/GEPSNONPILOT/Tender/SplashBidNoticeAbstractUI.aspx?menuIndex=3&amp;refID=7200097&amp;Result=3","7200097")</f>
        <v>0</v>
      </c>
      <c r="B2233" t="s">
        <v>873</v>
      </c>
      <c r="C2233" t="s">
        <v>6019</v>
      </c>
      <c r="D2233" t="s">
        <v>19002</v>
      </c>
      <c r="E2233" t="s">
        <v>21139</v>
      </c>
      <c r="F2233" t="s">
        <v>32606</v>
      </c>
      <c r="G2233" t="s">
        <v>32617</v>
      </c>
      <c r="H2233" t="s">
        <v>14201</v>
      </c>
      <c r="I2233" t="s">
        <v>4678</v>
      </c>
      <c r="J2233" t="s">
        <v>33119</v>
      </c>
      <c r="K2233" t="s">
        <v>42624</v>
      </c>
      <c r="M2233" t="s">
        <v>43809</v>
      </c>
      <c r="N2233" t="s">
        <v>47304</v>
      </c>
      <c r="O2233" t="s">
        <v>47305</v>
      </c>
      <c r="P2233">
        <v>0</v>
      </c>
      <c r="Q2233">
        <v>0</v>
      </c>
      <c r="R2233" t="s">
        <v>47307</v>
      </c>
      <c r="S2233" t="s">
        <v>47416</v>
      </c>
      <c r="T2233" t="s">
        <v>49016</v>
      </c>
      <c r="U2233" t="s">
        <v>51523</v>
      </c>
      <c r="W2233" t="s">
        <v>43809</v>
      </c>
      <c r="X2233" t="s">
        <v>47306</v>
      </c>
    </row>
    <row r="2234" spans="1:24">
      <c r="A2234">
        <f>HYPERLINK("https://www.philgeps.gov.ph/GEPSNONPILOT/Tender/SplashBidNoticeAbstractUI.aspx?menuIndex=3&amp;refID=7200096&amp;Result=3","7200096")</f>
        <v>0</v>
      </c>
      <c r="B2234" t="s">
        <v>82</v>
      </c>
      <c r="C2234" t="s">
        <v>6020</v>
      </c>
      <c r="D2234" t="s">
        <v>19011</v>
      </c>
      <c r="E2234" t="s">
        <v>21140</v>
      </c>
      <c r="F2234" t="s">
        <v>32606</v>
      </c>
      <c r="G2234" t="s">
        <v>32613</v>
      </c>
      <c r="H2234" t="s">
        <v>14201</v>
      </c>
      <c r="I2234" t="s">
        <v>32661</v>
      </c>
      <c r="J2234" t="s">
        <v>34356</v>
      </c>
      <c r="K2234" t="s">
        <v>42624</v>
      </c>
      <c r="M2234" t="s">
        <v>43766</v>
      </c>
      <c r="N2234" t="s">
        <v>47304</v>
      </c>
      <c r="O2234" t="s">
        <v>47305</v>
      </c>
      <c r="P2234">
        <v>0</v>
      </c>
      <c r="Q2234">
        <v>0</v>
      </c>
      <c r="R2234" t="s">
        <v>47307</v>
      </c>
      <c r="S2234" t="s">
        <v>47416</v>
      </c>
      <c r="T2234" t="s">
        <v>48995</v>
      </c>
      <c r="U2234" t="s">
        <v>51524</v>
      </c>
      <c r="V2234" t="s">
        <v>62841</v>
      </c>
      <c r="W2234" t="s">
        <v>43766</v>
      </c>
      <c r="X2234" t="s">
        <v>47306</v>
      </c>
    </row>
    <row r="2235" spans="1:24">
      <c r="A2235">
        <f>HYPERLINK("https://www.philgeps.gov.ph/GEPSNONPILOT/Tender/SplashBidNoticeAbstractUI.aspx?menuIndex=3&amp;refID=7200094&amp;Result=3","7200094")</f>
        <v>0</v>
      </c>
      <c r="B2235" t="s">
        <v>256</v>
      </c>
      <c r="C2235" t="s">
        <v>6021</v>
      </c>
      <c r="E2235" t="s">
        <v>21141</v>
      </c>
      <c r="F2235" t="s">
        <v>32606</v>
      </c>
      <c r="G2235" t="s">
        <v>32614</v>
      </c>
      <c r="H2235" t="s">
        <v>14201</v>
      </c>
      <c r="I2235" t="s">
        <v>6993</v>
      </c>
      <c r="J2235" t="s">
        <v>33148</v>
      </c>
      <c r="K2235" t="s">
        <v>42623</v>
      </c>
      <c r="M2235" t="s">
        <v>43157</v>
      </c>
      <c r="N2235" t="s">
        <v>47304</v>
      </c>
      <c r="O2235" t="s">
        <v>47305</v>
      </c>
      <c r="P2235">
        <v>0</v>
      </c>
      <c r="Q2235">
        <v>0</v>
      </c>
      <c r="R2235" t="s">
        <v>47307</v>
      </c>
      <c r="S2235" t="s">
        <v>47416</v>
      </c>
      <c r="T2235" t="s">
        <v>48977</v>
      </c>
      <c r="U2235" t="s">
        <v>51525</v>
      </c>
      <c r="W2235" t="s">
        <v>43157</v>
      </c>
      <c r="X2235" t="s">
        <v>47306</v>
      </c>
    </row>
    <row r="2236" spans="1:24">
      <c r="A2236">
        <f>HYPERLINK("https://www.philgeps.gov.ph/GEPSNONPILOT/Tender/SplashBidNoticeAbstractUI.aspx?menuIndex=3&amp;refID=7200102&amp;Result=3","7200102")</f>
        <v>0</v>
      </c>
      <c r="B2236" t="s">
        <v>655</v>
      </c>
      <c r="C2236" t="s">
        <v>6022</v>
      </c>
      <c r="E2236" t="s">
        <v>21142</v>
      </c>
      <c r="F2236" t="s">
        <v>32606</v>
      </c>
      <c r="G2236" t="s">
        <v>32613</v>
      </c>
      <c r="H2236" t="s">
        <v>14201</v>
      </c>
      <c r="I2236" t="s">
        <v>32634</v>
      </c>
      <c r="J2236" t="s">
        <v>32795</v>
      </c>
      <c r="K2236" t="s">
        <v>42624</v>
      </c>
      <c r="M2236" t="s">
        <v>43575</v>
      </c>
      <c r="N2236" t="s">
        <v>47304</v>
      </c>
      <c r="O2236" t="s">
        <v>47305</v>
      </c>
      <c r="P2236">
        <v>0</v>
      </c>
      <c r="Q2236">
        <v>0</v>
      </c>
      <c r="R2236" t="s">
        <v>47307</v>
      </c>
      <c r="S2236" t="s">
        <v>47416</v>
      </c>
      <c r="T2236" t="s">
        <v>49082</v>
      </c>
      <c r="U2236" t="s">
        <v>51526</v>
      </c>
      <c r="W2236" t="s">
        <v>43575</v>
      </c>
      <c r="X2236" t="s">
        <v>47306</v>
      </c>
    </row>
    <row r="2237" spans="1:24">
      <c r="A2237">
        <f>HYPERLINK("https://www.philgeps.gov.ph/GEPSNONPILOT/Tender/SplashBidNoticeAbstractUI.aspx?menuIndex=3&amp;refID=7200111&amp;Result=3","7200111")</f>
        <v>0</v>
      </c>
      <c r="B2237" t="s">
        <v>990</v>
      </c>
      <c r="C2237" t="s">
        <v>6023</v>
      </c>
      <c r="D2237" t="s">
        <v>19016</v>
      </c>
      <c r="E2237" t="s">
        <v>21143</v>
      </c>
      <c r="F2237" t="s">
        <v>32606</v>
      </c>
      <c r="G2237" t="s">
        <v>32614</v>
      </c>
      <c r="H2237" t="s">
        <v>14201</v>
      </c>
      <c r="I2237" t="s">
        <v>32626</v>
      </c>
      <c r="J2237" t="s">
        <v>34357</v>
      </c>
      <c r="K2237" t="s">
        <v>42622</v>
      </c>
      <c r="M2237" t="s">
        <v>43937</v>
      </c>
      <c r="N2237" t="s">
        <v>47304</v>
      </c>
      <c r="O2237" t="s">
        <v>47305</v>
      </c>
      <c r="P2237">
        <v>0</v>
      </c>
      <c r="Q2237">
        <v>0</v>
      </c>
      <c r="R2237" t="s">
        <v>47307</v>
      </c>
      <c r="S2237" t="s">
        <v>47416</v>
      </c>
      <c r="T2237" t="s">
        <v>49108</v>
      </c>
      <c r="U2237" t="s">
        <v>51527</v>
      </c>
      <c r="V2237" t="s">
        <v>51614</v>
      </c>
      <c r="W2237" t="s">
        <v>43937</v>
      </c>
      <c r="X2237" t="s">
        <v>47306</v>
      </c>
    </row>
    <row r="2238" spans="1:24">
      <c r="A2238">
        <f>HYPERLINK("https://www.philgeps.gov.ph/GEPSNONPILOT/Tender/SplashBidNoticeAbstractUI.aspx?menuIndex=3&amp;refID=7200099&amp;Result=3","7200099")</f>
        <v>0</v>
      </c>
      <c r="B2238" t="s">
        <v>991</v>
      </c>
      <c r="C2238" t="s">
        <v>6024</v>
      </c>
      <c r="D2238" t="s">
        <v>19003</v>
      </c>
      <c r="E2238" t="s">
        <v>21144</v>
      </c>
      <c r="F2238" t="s">
        <v>32606</v>
      </c>
      <c r="G2238" t="s">
        <v>32614</v>
      </c>
      <c r="H2238" t="s">
        <v>14201</v>
      </c>
      <c r="I2238" t="s">
        <v>6007</v>
      </c>
      <c r="J2238" t="s">
        <v>34358</v>
      </c>
      <c r="K2238" t="s">
        <v>42624</v>
      </c>
      <c r="M2238" t="s">
        <v>43938</v>
      </c>
      <c r="N2238" t="s">
        <v>47304</v>
      </c>
      <c r="O2238" t="s">
        <v>47305</v>
      </c>
      <c r="P2238">
        <v>0</v>
      </c>
      <c r="Q2238">
        <v>0</v>
      </c>
      <c r="R2238" t="s">
        <v>47307</v>
      </c>
      <c r="S2238" t="s">
        <v>47416</v>
      </c>
      <c r="T2238" t="s">
        <v>49015</v>
      </c>
      <c r="U2238" t="s">
        <v>51528</v>
      </c>
      <c r="W2238" t="s">
        <v>43938</v>
      </c>
      <c r="X2238" t="s">
        <v>47306</v>
      </c>
    </row>
    <row r="2239" spans="1:24">
      <c r="A2239">
        <f>HYPERLINK("https://www.philgeps.gov.ph/GEPSNONPILOT/Tender/SplashBidNoticeAbstractUI.aspx?menuIndex=3&amp;refID=7200109&amp;Result=3","7200109")</f>
        <v>0</v>
      </c>
      <c r="B2239" t="s">
        <v>992</v>
      </c>
      <c r="C2239" t="s">
        <v>6025</v>
      </c>
      <c r="D2239" t="s">
        <v>19009</v>
      </c>
      <c r="E2239" t="s">
        <v>21145</v>
      </c>
      <c r="F2239" t="s">
        <v>32606</v>
      </c>
      <c r="G2239" t="s">
        <v>32617</v>
      </c>
      <c r="H2239" t="s">
        <v>14201</v>
      </c>
      <c r="I2239" t="s">
        <v>4678</v>
      </c>
      <c r="J2239" t="s">
        <v>32799</v>
      </c>
      <c r="K2239" t="s">
        <v>42624</v>
      </c>
      <c r="M2239" t="s">
        <v>43939</v>
      </c>
      <c r="N2239" t="s">
        <v>47304</v>
      </c>
      <c r="O2239" t="s">
        <v>47305</v>
      </c>
      <c r="P2239">
        <v>0</v>
      </c>
      <c r="Q2239">
        <v>0</v>
      </c>
      <c r="R2239" t="s">
        <v>47307</v>
      </c>
      <c r="S2239" t="s">
        <v>47416</v>
      </c>
      <c r="T2239" t="s">
        <v>48972</v>
      </c>
      <c r="U2239" t="s">
        <v>51529</v>
      </c>
      <c r="W2239" t="s">
        <v>43939</v>
      </c>
      <c r="X2239" t="s">
        <v>47306</v>
      </c>
    </row>
    <row r="2240" spans="1:24">
      <c r="A2240">
        <f>HYPERLINK("https://www.philgeps.gov.ph/GEPSNONPILOT/Tender/SplashBidNoticeAbstractUI.aspx?menuIndex=3&amp;refID=7200108&amp;Result=3","7200108")</f>
        <v>0</v>
      </c>
      <c r="B2240" t="s">
        <v>906</v>
      </c>
      <c r="C2240" t="s">
        <v>6026</v>
      </c>
      <c r="D2240" t="s">
        <v>19013</v>
      </c>
      <c r="E2240" t="s">
        <v>21146</v>
      </c>
      <c r="F2240" t="s">
        <v>32606</v>
      </c>
      <c r="G2240" t="s">
        <v>32614</v>
      </c>
      <c r="H2240" t="s">
        <v>14201</v>
      </c>
      <c r="I2240" t="s">
        <v>4120</v>
      </c>
      <c r="J2240" t="s">
        <v>34359</v>
      </c>
      <c r="K2240" t="s">
        <v>42631</v>
      </c>
      <c r="M2240" t="s">
        <v>43844</v>
      </c>
      <c r="N2240" t="s">
        <v>47304</v>
      </c>
      <c r="O2240" t="s">
        <v>47305</v>
      </c>
      <c r="P2240">
        <v>0</v>
      </c>
      <c r="Q2240">
        <v>0</v>
      </c>
      <c r="R2240" t="s">
        <v>47307</v>
      </c>
      <c r="S2240" t="s">
        <v>47416</v>
      </c>
      <c r="T2240" t="s">
        <v>49023</v>
      </c>
      <c r="U2240" t="s">
        <v>51291</v>
      </c>
      <c r="W2240" t="s">
        <v>43844</v>
      </c>
      <c r="X2240" t="s">
        <v>47306</v>
      </c>
    </row>
    <row r="2241" spans="1:24">
      <c r="A2241">
        <f>HYPERLINK("https://www.philgeps.gov.ph/GEPSNONPILOT/Tender/SplashBidNoticeAbstractUI.aspx?menuIndex=3&amp;refID=7200107&amp;Result=3","7200107")</f>
        <v>0</v>
      </c>
      <c r="B2241" t="s">
        <v>852</v>
      </c>
      <c r="C2241" t="s">
        <v>4402</v>
      </c>
      <c r="D2241" t="s">
        <v>19048</v>
      </c>
      <c r="E2241" t="s">
        <v>20755</v>
      </c>
      <c r="F2241" t="s">
        <v>32606</v>
      </c>
      <c r="G2241" t="s">
        <v>32613</v>
      </c>
      <c r="H2241" t="s">
        <v>32623</v>
      </c>
      <c r="I2241" t="s">
        <v>17648</v>
      </c>
      <c r="J2241" t="s">
        <v>32772</v>
      </c>
      <c r="K2241" t="s">
        <v>42636</v>
      </c>
      <c r="M2241" t="s">
        <v>43785</v>
      </c>
      <c r="N2241" t="s">
        <v>47304</v>
      </c>
      <c r="O2241" t="s">
        <v>47305</v>
      </c>
      <c r="P2241">
        <v>0</v>
      </c>
      <c r="Q2241">
        <v>0</v>
      </c>
      <c r="R2241" t="s">
        <v>47307</v>
      </c>
      <c r="S2241" t="s">
        <v>47416</v>
      </c>
      <c r="T2241" t="s">
        <v>49066</v>
      </c>
      <c r="U2241" t="s">
        <v>51157</v>
      </c>
      <c r="V2241" t="s">
        <v>62892</v>
      </c>
      <c r="W2241" t="s">
        <v>43785</v>
      </c>
      <c r="X2241" t="s">
        <v>47306</v>
      </c>
    </row>
    <row r="2242" spans="1:24">
      <c r="A2242">
        <f>HYPERLINK("https://www.philgeps.gov.ph/GEPSNONPILOT/Tender/SplashBidNoticeAbstractUI.aspx?menuIndex=3&amp;refID=7200106&amp;Result=3","7200106")</f>
        <v>0</v>
      </c>
      <c r="B2242" t="s">
        <v>480</v>
      </c>
      <c r="C2242" t="s">
        <v>6027</v>
      </c>
      <c r="D2242" t="s">
        <v>19011</v>
      </c>
      <c r="E2242" t="s">
        <v>21147</v>
      </c>
      <c r="F2242" t="s">
        <v>32606</v>
      </c>
      <c r="G2242" t="s">
        <v>32614</v>
      </c>
      <c r="H2242" t="s">
        <v>14201</v>
      </c>
      <c r="I2242" t="s">
        <v>32669</v>
      </c>
      <c r="J2242" t="s">
        <v>33103</v>
      </c>
      <c r="K2242" t="s">
        <v>42631</v>
      </c>
      <c r="M2242" t="s">
        <v>43391</v>
      </c>
      <c r="N2242" t="s">
        <v>47304</v>
      </c>
      <c r="O2242" t="s">
        <v>47305</v>
      </c>
      <c r="P2242">
        <v>0</v>
      </c>
      <c r="Q2242">
        <v>0</v>
      </c>
      <c r="R2242" t="s">
        <v>47307</v>
      </c>
      <c r="S2242" t="s">
        <v>47416</v>
      </c>
      <c r="T2242" t="s">
        <v>49108</v>
      </c>
      <c r="U2242" t="s">
        <v>49938</v>
      </c>
      <c r="W2242" t="s">
        <v>43391</v>
      </c>
      <c r="X2242" t="s">
        <v>47306</v>
      </c>
    </row>
    <row r="2243" spans="1:24">
      <c r="A2243">
        <f>HYPERLINK("https://www.philgeps.gov.ph/GEPSNONPILOT/Tender/SplashBidNoticeAbstractUI.aspx?menuIndex=3&amp;refID=7200105&amp;Result=3","7200105")</f>
        <v>0</v>
      </c>
      <c r="B2243" t="s">
        <v>909</v>
      </c>
      <c r="C2243" t="s">
        <v>6028</v>
      </c>
      <c r="E2243" t="s">
        <v>21148</v>
      </c>
      <c r="F2243" t="s">
        <v>32606</v>
      </c>
      <c r="G2243" t="s">
        <v>32614</v>
      </c>
      <c r="H2243" t="s">
        <v>14201</v>
      </c>
      <c r="I2243" t="s">
        <v>6007</v>
      </c>
      <c r="J2243" t="s">
        <v>33897</v>
      </c>
      <c r="K2243" t="s">
        <v>42624</v>
      </c>
      <c r="M2243" t="s">
        <v>43901</v>
      </c>
      <c r="N2243" t="s">
        <v>47304</v>
      </c>
      <c r="O2243" t="s">
        <v>47305</v>
      </c>
      <c r="P2243">
        <v>0</v>
      </c>
      <c r="Q2243">
        <v>0</v>
      </c>
      <c r="R2243" t="s">
        <v>47307</v>
      </c>
      <c r="S2243" t="s">
        <v>47416</v>
      </c>
      <c r="T2243" t="s">
        <v>49023</v>
      </c>
      <c r="U2243" t="s">
        <v>51530</v>
      </c>
      <c r="V2243" t="s">
        <v>62880</v>
      </c>
      <c r="W2243" t="s">
        <v>43901</v>
      </c>
      <c r="X2243" t="s">
        <v>47306</v>
      </c>
    </row>
    <row r="2244" spans="1:24">
      <c r="A2244">
        <f>HYPERLINK("https://www.philgeps.gov.ph/GEPSNONPILOT/Tender/SplashBidNoticeAbstractUI.aspx?menuIndex=3&amp;refID=7200104&amp;Result=3","7200104")</f>
        <v>0</v>
      </c>
      <c r="B2244" t="s">
        <v>321</v>
      </c>
      <c r="C2244" t="s">
        <v>6029</v>
      </c>
      <c r="D2244" t="s">
        <v>19048</v>
      </c>
      <c r="E2244" t="s">
        <v>21149</v>
      </c>
      <c r="F2244" t="s">
        <v>32606</v>
      </c>
      <c r="G2244" t="s">
        <v>32614</v>
      </c>
      <c r="H2244" t="s">
        <v>14201</v>
      </c>
      <c r="I2244" t="s">
        <v>32633</v>
      </c>
      <c r="J2244" t="s">
        <v>33539</v>
      </c>
      <c r="K2244" t="s">
        <v>42624</v>
      </c>
      <c r="M2244" t="s">
        <v>43223</v>
      </c>
      <c r="N2244" t="s">
        <v>47304</v>
      </c>
      <c r="O2244" t="s">
        <v>47305</v>
      </c>
      <c r="P2244">
        <v>0</v>
      </c>
      <c r="Q2244">
        <v>0</v>
      </c>
      <c r="R2244" t="s">
        <v>47307</v>
      </c>
      <c r="S2244" t="s">
        <v>47416</v>
      </c>
      <c r="T2244" t="s">
        <v>49093</v>
      </c>
      <c r="U2244" t="s">
        <v>50107</v>
      </c>
      <c r="W2244" t="s">
        <v>43223</v>
      </c>
      <c r="X2244" t="s">
        <v>47306</v>
      </c>
    </row>
    <row r="2245" spans="1:24">
      <c r="A2245">
        <f>HYPERLINK("https://www.philgeps.gov.ph/GEPSNONPILOT/Tender/SplashBidNoticeAbstractUI.aspx?menuIndex=3&amp;refID=7200110&amp;Result=3","7200110")</f>
        <v>0</v>
      </c>
      <c r="B2245" t="s">
        <v>993</v>
      </c>
      <c r="C2245" t="s">
        <v>6030</v>
      </c>
      <c r="D2245" t="s">
        <v>19016</v>
      </c>
      <c r="E2245" t="s">
        <v>19145</v>
      </c>
      <c r="F2245" t="s">
        <v>32606</v>
      </c>
      <c r="G2245" t="s">
        <v>32614</v>
      </c>
      <c r="H2245" t="s">
        <v>14201</v>
      </c>
      <c r="I2245" t="s">
        <v>32658</v>
      </c>
      <c r="J2245" t="s">
        <v>34360</v>
      </c>
      <c r="K2245" t="s">
        <v>42624</v>
      </c>
      <c r="M2245" t="s">
        <v>43940</v>
      </c>
      <c r="N2245" t="s">
        <v>47304</v>
      </c>
      <c r="O2245" t="s">
        <v>47305</v>
      </c>
      <c r="P2245">
        <v>0</v>
      </c>
      <c r="Q2245">
        <v>0</v>
      </c>
      <c r="R2245" t="s">
        <v>47307</v>
      </c>
      <c r="S2245" t="s">
        <v>47416</v>
      </c>
      <c r="T2245" t="s">
        <v>48976</v>
      </c>
      <c r="U2245" t="s">
        <v>51531</v>
      </c>
      <c r="W2245" t="s">
        <v>43940</v>
      </c>
      <c r="X2245" t="s">
        <v>47306</v>
      </c>
    </row>
    <row r="2246" spans="1:24">
      <c r="A2246">
        <f>HYPERLINK("https://www.philgeps.gov.ph/GEPSNONPILOT/Tender/SplashBidNoticeAbstractUI.aspx?menuIndex=3&amp;refID=7200125&amp;Result=3","7200125")</f>
        <v>0</v>
      </c>
      <c r="B2246" t="s">
        <v>873</v>
      </c>
      <c r="C2246" t="s">
        <v>6031</v>
      </c>
      <c r="D2246" t="s">
        <v>19002</v>
      </c>
      <c r="E2246" t="s">
        <v>21150</v>
      </c>
      <c r="F2246" t="s">
        <v>32606</v>
      </c>
      <c r="G2246" t="s">
        <v>32617</v>
      </c>
      <c r="H2246" t="s">
        <v>14201</v>
      </c>
      <c r="I2246" t="s">
        <v>4678</v>
      </c>
      <c r="J2246" t="s">
        <v>33119</v>
      </c>
      <c r="K2246" t="s">
        <v>42630</v>
      </c>
      <c r="M2246" t="s">
        <v>43809</v>
      </c>
      <c r="N2246" t="s">
        <v>47304</v>
      </c>
      <c r="O2246" t="s">
        <v>47305</v>
      </c>
      <c r="P2246">
        <v>0</v>
      </c>
      <c r="Q2246">
        <v>0</v>
      </c>
      <c r="R2246" t="s">
        <v>47307</v>
      </c>
      <c r="S2246" t="s">
        <v>47416</v>
      </c>
      <c r="T2246" t="s">
        <v>49016</v>
      </c>
      <c r="U2246" t="s">
        <v>51532</v>
      </c>
      <c r="W2246" t="s">
        <v>43809</v>
      </c>
      <c r="X2246" t="s">
        <v>47306</v>
      </c>
    </row>
    <row r="2247" spans="1:24">
      <c r="A2247">
        <f>HYPERLINK("https://www.philgeps.gov.ph/GEPSNONPILOT/Tender/SplashBidNoticeAbstractUI.aspx?menuIndex=3&amp;refID=7200123&amp;Result=3","7200123")</f>
        <v>0</v>
      </c>
      <c r="B2247" t="s">
        <v>238</v>
      </c>
      <c r="C2247" t="s">
        <v>6032</v>
      </c>
      <c r="D2247" t="s">
        <v>18993</v>
      </c>
      <c r="E2247" t="s">
        <v>21151</v>
      </c>
      <c r="F2247" t="s">
        <v>32606</v>
      </c>
      <c r="G2247" t="s">
        <v>32619</v>
      </c>
      <c r="H2247" t="s">
        <v>14201</v>
      </c>
      <c r="I2247" t="s">
        <v>32633</v>
      </c>
      <c r="J2247" t="s">
        <v>34361</v>
      </c>
      <c r="K2247" t="s">
        <v>42622</v>
      </c>
      <c r="M2247" t="s">
        <v>43794</v>
      </c>
      <c r="N2247" t="s">
        <v>47304</v>
      </c>
      <c r="O2247" t="s">
        <v>47305</v>
      </c>
      <c r="P2247">
        <v>0</v>
      </c>
      <c r="Q2247">
        <v>0</v>
      </c>
      <c r="R2247" t="s">
        <v>47307</v>
      </c>
      <c r="S2247" t="s">
        <v>47416</v>
      </c>
      <c r="T2247" t="s">
        <v>49014</v>
      </c>
      <c r="U2247" t="s">
        <v>51533</v>
      </c>
      <c r="V2247" t="s">
        <v>62844</v>
      </c>
      <c r="W2247" t="s">
        <v>43794</v>
      </c>
      <c r="X2247" t="s">
        <v>47306</v>
      </c>
    </row>
    <row r="2248" spans="1:24">
      <c r="A2248">
        <f>HYPERLINK("https://www.philgeps.gov.ph/GEPSNONPILOT/Tender/SplashBidNoticeAbstractUI.aspx?menuIndex=3&amp;refID=7200121&amp;Result=3","7200121")</f>
        <v>0</v>
      </c>
      <c r="B2248" t="s">
        <v>992</v>
      </c>
      <c r="C2248" t="s">
        <v>6033</v>
      </c>
      <c r="D2248" t="s">
        <v>19009</v>
      </c>
      <c r="E2248" t="s">
        <v>21152</v>
      </c>
      <c r="F2248" t="s">
        <v>32606</v>
      </c>
      <c r="G2248" t="s">
        <v>32614</v>
      </c>
      <c r="H2248" t="s">
        <v>14201</v>
      </c>
      <c r="I2248" t="s">
        <v>4678</v>
      </c>
      <c r="J2248" t="s">
        <v>33195</v>
      </c>
      <c r="K2248" t="s">
        <v>42624</v>
      </c>
      <c r="M2248" t="s">
        <v>43939</v>
      </c>
      <c r="N2248" t="s">
        <v>47304</v>
      </c>
      <c r="O2248" t="s">
        <v>47305</v>
      </c>
      <c r="P2248">
        <v>0</v>
      </c>
      <c r="Q2248">
        <v>0</v>
      </c>
      <c r="R2248" t="s">
        <v>47307</v>
      </c>
      <c r="S2248" t="s">
        <v>47416</v>
      </c>
      <c r="T2248" t="s">
        <v>48972</v>
      </c>
      <c r="U2248" t="s">
        <v>51534</v>
      </c>
      <c r="W2248" t="s">
        <v>43939</v>
      </c>
      <c r="X2248" t="s">
        <v>47306</v>
      </c>
    </row>
    <row r="2249" spans="1:24">
      <c r="A2249">
        <f>HYPERLINK("https://www.philgeps.gov.ph/GEPSNONPILOT/Tender/SplashBidNoticeAbstractUI.aspx?menuIndex=3&amp;refID=7200120&amp;Result=3","7200120")</f>
        <v>0</v>
      </c>
      <c r="B2249" t="s">
        <v>703</v>
      </c>
      <c r="C2249" t="s">
        <v>6034</v>
      </c>
      <c r="D2249" t="s">
        <v>18992</v>
      </c>
      <c r="E2249" t="s">
        <v>21153</v>
      </c>
      <c r="F2249" t="s">
        <v>32606</v>
      </c>
      <c r="G2249" t="s">
        <v>32613</v>
      </c>
      <c r="H2249" t="s">
        <v>14201</v>
      </c>
      <c r="I2249" t="s">
        <v>32638</v>
      </c>
      <c r="J2249" t="s">
        <v>34362</v>
      </c>
      <c r="K2249" t="s">
        <v>42646</v>
      </c>
      <c r="M2249" t="s">
        <v>43624</v>
      </c>
      <c r="N2249" t="s">
        <v>47304</v>
      </c>
      <c r="O2249" t="s">
        <v>47305</v>
      </c>
      <c r="P2249">
        <v>0</v>
      </c>
      <c r="Q2249">
        <v>0</v>
      </c>
      <c r="R2249" t="s">
        <v>47307</v>
      </c>
      <c r="S2249" t="s">
        <v>47416</v>
      </c>
      <c r="T2249" t="s">
        <v>49208</v>
      </c>
      <c r="U2249" t="s">
        <v>51535</v>
      </c>
      <c r="V2249" t="s">
        <v>62893</v>
      </c>
      <c r="W2249" t="s">
        <v>43624</v>
      </c>
      <c r="X2249" t="s">
        <v>47306</v>
      </c>
    </row>
    <row r="2250" spans="1:24">
      <c r="A2250">
        <f>HYPERLINK("https://www.philgeps.gov.ph/GEPSNONPILOT/Tender/SplashBidNoticeAbstractUI.aspx?menuIndex=3&amp;refID=7200118&amp;Result=3","7200118")</f>
        <v>0</v>
      </c>
      <c r="B2250" t="s">
        <v>994</v>
      </c>
      <c r="C2250" t="s">
        <v>6035</v>
      </c>
      <c r="D2250" t="s">
        <v>19011</v>
      </c>
      <c r="E2250" t="s">
        <v>21154</v>
      </c>
      <c r="F2250" t="s">
        <v>32606</v>
      </c>
      <c r="G2250" t="s">
        <v>32613</v>
      </c>
      <c r="H2250" t="s">
        <v>14201</v>
      </c>
      <c r="I2250" t="s">
        <v>32644</v>
      </c>
      <c r="J2250" t="s">
        <v>34363</v>
      </c>
      <c r="K2250" t="s">
        <v>42622</v>
      </c>
      <c r="M2250" t="s">
        <v>43941</v>
      </c>
      <c r="N2250" t="s">
        <v>47304</v>
      </c>
      <c r="O2250" t="s">
        <v>47305</v>
      </c>
      <c r="P2250">
        <v>0</v>
      </c>
      <c r="Q2250">
        <v>0</v>
      </c>
      <c r="R2250" t="s">
        <v>47307</v>
      </c>
      <c r="S2250" t="s">
        <v>47416</v>
      </c>
      <c r="T2250" t="s">
        <v>49209</v>
      </c>
      <c r="U2250" t="s">
        <v>51536</v>
      </c>
      <c r="W2250" t="s">
        <v>43941</v>
      </c>
      <c r="X2250" t="s">
        <v>47306</v>
      </c>
    </row>
    <row r="2251" spans="1:24">
      <c r="A2251">
        <f>HYPERLINK("https://www.philgeps.gov.ph/GEPSNONPILOT/Tender/SplashBidNoticeAbstractUI.aspx?menuIndex=3&amp;refID=7200117&amp;Result=3","7200117")</f>
        <v>0</v>
      </c>
      <c r="B2251" t="s">
        <v>873</v>
      </c>
      <c r="C2251" t="s">
        <v>6036</v>
      </c>
      <c r="D2251" t="s">
        <v>19002</v>
      </c>
      <c r="E2251" t="s">
        <v>21155</v>
      </c>
      <c r="F2251" t="s">
        <v>32606</v>
      </c>
      <c r="G2251" t="s">
        <v>32617</v>
      </c>
      <c r="H2251" t="s">
        <v>14201</v>
      </c>
      <c r="I2251" t="s">
        <v>4678</v>
      </c>
      <c r="J2251" t="s">
        <v>33119</v>
      </c>
      <c r="K2251" t="s">
        <v>42630</v>
      </c>
      <c r="M2251" t="s">
        <v>43809</v>
      </c>
      <c r="N2251" t="s">
        <v>47304</v>
      </c>
      <c r="O2251" t="s">
        <v>47305</v>
      </c>
      <c r="P2251">
        <v>0</v>
      </c>
      <c r="Q2251">
        <v>0</v>
      </c>
      <c r="R2251" t="s">
        <v>47307</v>
      </c>
      <c r="S2251" t="s">
        <v>47416</v>
      </c>
      <c r="T2251" t="s">
        <v>49016</v>
      </c>
      <c r="U2251" t="s">
        <v>51532</v>
      </c>
      <c r="W2251" t="s">
        <v>43809</v>
      </c>
      <c r="X2251" t="s">
        <v>47306</v>
      </c>
    </row>
    <row r="2252" spans="1:24">
      <c r="A2252">
        <f>HYPERLINK("https://www.philgeps.gov.ph/GEPSNONPILOT/Tender/SplashBidNoticeAbstractUI.aspx?menuIndex=3&amp;refID=7200116&amp;Result=3","7200116")</f>
        <v>0</v>
      </c>
      <c r="B2252" t="s">
        <v>726</v>
      </c>
      <c r="C2252" t="s">
        <v>6037</v>
      </c>
      <c r="D2252" t="s">
        <v>19009</v>
      </c>
      <c r="E2252" t="s">
        <v>21156</v>
      </c>
      <c r="F2252" t="s">
        <v>32606</v>
      </c>
      <c r="G2252" t="s">
        <v>32613</v>
      </c>
      <c r="H2252" t="s">
        <v>14201</v>
      </c>
      <c r="I2252" t="s">
        <v>32633</v>
      </c>
      <c r="J2252" t="s">
        <v>34364</v>
      </c>
      <c r="K2252" t="s">
        <v>42623</v>
      </c>
      <c r="M2252" t="s">
        <v>43942</v>
      </c>
      <c r="N2252" t="s">
        <v>47304</v>
      </c>
      <c r="O2252" t="s">
        <v>47305</v>
      </c>
      <c r="P2252">
        <v>0</v>
      </c>
      <c r="Q2252">
        <v>0</v>
      </c>
      <c r="R2252" t="s">
        <v>47307</v>
      </c>
      <c r="S2252" t="s">
        <v>47416</v>
      </c>
      <c r="T2252" t="s">
        <v>49205</v>
      </c>
      <c r="U2252" t="s">
        <v>51537</v>
      </c>
      <c r="V2252" t="s">
        <v>62846</v>
      </c>
      <c r="W2252" t="s">
        <v>43942</v>
      </c>
      <c r="X2252" t="s">
        <v>47306</v>
      </c>
    </row>
    <row r="2253" spans="1:24">
      <c r="A2253">
        <f>HYPERLINK("https://www.philgeps.gov.ph/GEPSNONPILOT/Tender/SplashBidNoticeAbstractUI.aspx?menuIndex=3&amp;refID=7200115&amp;Result=3","7200115")</f>
        <v>0</v>
      </c>
      <c r="B2253" t="s">
        <v>995</v>
      </c>
      <c r="C2253" t="s">
        <v>6038</v>
      </c>
      <c r="D2253" t="s">
        <v>19008</v>
      </c>
      <c r="E2253" t="s">
        <v>20519</v>
      </c>
      <c r="F2253" t="s">
        <v>32606</v>
      </c>
      <c r="G2253" t="s">
        <v>32613</v>
      </c>
      <c r="H2253" t="s">
        <v>14201</v>
      </c>
      <c r="I2253" t="s">
        <v>32640</v>
      </c>
      <c r="J2253" t="s">
        <v>34117</v>
      </c>
      <c r="K2253" t="s">
        <v>42665</v>
      </c>
      <c r="M2253" t="s">
        <v>43943</v>
      </c>
      <c r="N2253" t="s">
        <v>47304</v>
      </c>
      <c r="O2253" t="s">
        <v>47305</v>
      </c>
      <c r="P2253">
        <v>0</v>
      </c>
      <c r="Q2253">
        <v>0</v>
      </c>
      <c r="R2253" t="s">
        <v>47307</v>
      </c>
      <c r="S2253" t="s">
        <v>47416</v>
      </c>
      <c r="T2253" t="s">
        <v>49031</v>
      </c>
      <c r="U2253" t="s">
        <v>51538</v>
      </c>
      <c r="W2253" t="s">
        <v>43943</v>
      </c>
      <c r="X2253" t="s">
        <v>47306</v>
      </c>
    </row>
    <row r="2254" spans="1:24">
      <c r="A2254">
        <f>HYPERLINK("https://www.philgeps.gov.ph/GEPSNONPILOT/Tender/SplashBidNoticeAbstractUI.aspx?menuIndex=3&amp;refID=7200114&amp;Result=3","7200114")</f>
        <v>0</v>
      </c>
      <c r="B2254" t="s">
        <v>862</v>
      </c>
      <c r="C2254" t="s">
        <v>6039</v>
      </c>
      <c r="D2254" t="s">
        <v>18991</v>
      </c>
      <c r="E2254" t="s">
        <v>21157</v>
      </c>
      <c r="F2254" t="s">
        <v>32606</v>
      </c>
      <c r="G2254" t="s">
        <v>32615</v>
      </c>
      <c r="H2254" t="s">
        <v>14201</v>
      </c>
      <c r="I2254" t="s">
        <v>32629</v>
      </c>
      <c r="J2254" t="s">
        <v>34365</v>
      </c>
      <c r="K2254" t="s">
        <v>42623</v>
      </c>
      <c r="M2254" t="s">
        <v>43796</v>
      </c>
      <c r="N2254" t="s">
        <v>47304</v>
      </c>
      <c r="O2254" t="s">
        <v>47305</v>
      </c>
      <c r="P2254">
        <v>0</v>
      </c>
      <c r="Q2254">
        <v>0</v>
      </c>
      <c r="R2254" t="s">
        <v>47307</v>
      </c>
      <c r="S2254" t="s">
        <v>47416</v>
      </c>
      <c r="T2254" t="s">
        <v>48996</v>
      </c>
      <c r="U2254" t="s">
        <v>51539</v>
      </c>
      <c r="W2254" t="s">
        <v>43796</v>
      </c>
      <c r="X2254" t="s">
        <v>47306</v>
      </c>
    </row>
    <row r="2255" spans="1:24">
      <c r="A2255">
        <f>HYPERLINK("https://www.philgeps.gov.ph/GEPSNONPILOT/Tender/SplashBidNoticeAbstractUI.aspx?menuIndex=3&amp;refID=7200112&amp;Result=3","7200112")</f>
        <v>0</v>
      </c>
      <c r="B2255" t="s">
        <v>970</v>
      </c>
      <c r="C2255" t="s">
        <v>6040</v>
      </c>
      <c r="D2255" t="s">
        <v>18990</v>
      </c>
      <c r="E2255" t="s">
        <v>21158</v>
      </c>
      <c r="F2255" t="s">
        <v>32606</v>
      </c>
      <c r="G2255" t="s">
        <v>32613</v>
      </c>
      <c r="H2255" t="s">
        <v>14201</v>
      </c>
      <c r="I2255" t="s">
        <v>4114</v>
      </c>
      <c r="J2255" t="s">
        <v>34366</v>
      </c>
      <c r="K2255" t="s">
        <v>42623</v>
      </c>
      <c r="M2255" t="s">
        <v>43916</v>
      </c>
      <c r="N2255" t="s">
        <v>47304</v>
      </c>
      <c r="O2255" t="s">
        <v>47305</v>
      </c>
      <c r="P2255">
        <v>0</v>
      </c>
      <c r="Q2255">
        <v>0</v>
      </c>
      <c r="R2255" t="s">
        <v>47307</v>
      </c>
      <c r="S2255" t="s">
        <v>47416</v>
      </c>
      <c r="T2255" t="s">
        <v>49008</v>
      </c>
      <c r="U2255" t="s">
        <v>51468</v>
      </c>
      <c r="W2255" t="s">
        <v>43916</v>
      </c>
      <c r="X2255" t="s">
        <v>47306</v>
      </c>
    </row>
    <row r="2256" spans="1:24">
      <c r="A2256">
        <f>HYPERLINK("https://www.philgeps.gov.ph/GEPSNONPILOT/Tender/SplashBidNoticeAbstractUI.aspx?menuIndex=3&amp;refID=7200128&amp;Result=3","7200128")</f>
        <v>0</v>
      </c>
      <c r="B2256" t="s">
        <v>996</v>
      </c>
      <c r="C2256" t="s">
        <v>4129</v>
      </c>
      <c r="D2256" t="s">
        <v>19020</v>
      </c>
      <c r="E2256" t="s">
        <v>21159</v>
      </c>
      <c r="F2256" t="s">
        <v>32606</v>
      </c>
      <c r="G2256" t="s">
        <v>32617</v>
      </c>
      <c r="H2256" t="s">
        <v>14201</v>
      </c>
      <c r="I2256" t="s">
        <v>4120</v>
      </c>
      <c r="J2256" t="s">
        <v>34367</v>
      </c>
      <c r="K2256" t="s">
        <v>42622</v>
      </c>
      <c r="M2256" t="s">
        <v>43944</v>
      </c>
      <c r="N2256" t="s">
        <v>47304</v>
      </c>
      <c r="O2256" t="s">
        <v>47305</v>
      </c>
      <c r="P2256">
        <v>0</v>
      </c>
      <c r="Q2256">
        <v>0</v>
      </c>
      <c r="R2256" t="s">
        <v>47307</v>
      </c>
      <c r="S2256" t="s">
        <v>47416</v>
      </c>
      <c r="T2256" t="s">
        <v>48977</v>
      </c>
      <c r="U2256" t="s">
        <v>51540</v>
      </c>
      <c r="W2256" t="s">
        <v>43944</v>
      </c>
      <c r="X2256" t="s">
        <v>47306</v>
      </c>
    </row>
    <row r="2257" spans="1:24">
      <c r="A2257">
        <f>HYPERLINK("https://www.philgeps.gov.ph/GEPSNONPILOT/Tender/SplashBidNoticeAbstractUI.aspx?menuIndex=3&amp;refID=7200141&amp;Result=3","7200141")</f>
        <v>0</v>
      </c>
      <c r="B2257" t="s">
        <v>256</v>
      </c>
      <c r="C2257" t="s">
        <v>6041</v>
      </c>
      <c r="E2257" t="s">
        <v>21141</v>
      </c>
      <c r="F2257" t="s">
        <v>32606</v>
      </c>
      <c r="G2257" t="s">
        <v>32614</v>
      </c>
      <c r="H2257" t="s">
        <v>14201</v>
      </c>
      <c r="I2257" t="s">
        <v>4112</v>
      </c>
      <c r="J2257" t="s">
        <v>34368</v>
      </c>
      <c r="K2257" t="s">
        <v>42623</v>
      </c>
      <c r="M2257" t="s">
        <v>43157</v>
      </c>
      <c r="N2257" t="s">
        <v>47304</v>
      </c>
      <c r="O2257" t="s">
        <v>47305</v>
      </c>
      <c r="P2257">
        <v>0</v>
      </c>
      <c r="Q2257">
        <v>0</v>
      </c>
      <c r="R2257" t="s">
        <v>47307</v>
      </c>
      <c r="S2257" t="s">
        <v>47416</v>
      </c>
      <c r="T2257" t="s">
        <v>48977</v>
      </c>
      <c r="U2257" t="s">
        <v>51541</v>
      </c>
      <c r="W2257" t="s">
        <v>43157</v>
      </c>
      <c r="X2257" t="s">
        <v>47306</v>
      </c>
    </row>
    <row r="2258" spans="1:24">
      <c r="A2258">
        <f>HYPERLINK("https://www.philgeps.gov.ph/GEPSNONPILOT/Tender/SplashBidNoticeAbstractUI.aspx?menuIndex=3&amp;refID=7200098&amp;Result=3","7200098")</f>
        <v>0</v>
      </c>
      <c r="B2258" t="s">
        <v>997</v>
      </c>
      <c r="C2258" t="s">
        <v>6042</v>
      </c>
      <c r="D2258" t="s">
        <v>19040</v>
      </c>
      <c r="E2258" t="s">
        <v>21160</v>
      </c>
      <c r="F2258" t="s">
        <v>32606</v>
      </c>
      <c r="G2258" t="s">
        <v>32614</v>
      </c>
      <c r="H2258" t="s">
        <v>14201</v>
      </c>
      <c r="I2258" t="s">
        <v>6298</v>
      </c>
      <c r="J2258" t="s">
        <v>34369</v>
      </c>
      <c r="K2258" t="s">
        <v>42630</v>
      </c>
      <c r="M2258" t="s">
        <v>43945</v>
      </c>
      <c r="N2258" t="s">
        <v>47304</v>
      </c>
      <c r="O2258" t="s">
        <v>47305</v>
      </c>
      <c r="P2258">
        <v>0</v>
      </c>
      <c r="Q2258">
        <v>0</v>
      </c>
      <c r="R2258" t="s">
        <v>47307</v>
      </c>
      <c r="S2258" t="s">
        <v>47416</v>
      </c>
      <c r="T2258" t="s">
        <v>49087</v>
      </c>
      <c r="U2258" t="s">
        <v>51542</v>
      </c>
      <c r="W2258" t="s">
        <v>43945</v>
      </c>
      <c r="X2258" t="s">
        <v>47306</v>
      </c>
    </row>
    <row r="2259" spans="1:24">
      <c r="A2259">
        <f>HYPERLINK("https://www.philgeps.gov.ph/GEPSNONPILOT/Tender/SplashBidNoticeAbstractUI.aspx?menuIndex=3&amp;refID=7200140&amp;Result=3","7200140")</f>
        <v>0</v>
      </c>
      <c r="B2259" t="s">
        <v>212</v>
      </c>
      <c r="C2259" t="s">
        <v>6043</v>
      </c>
      <c r="D2259" t="s">
        <v>19007</v>
      </c>
      <c r="E2259" t="s">
        <v>21161</v>
      </c>
      <c r="F2259" t="s">
        <v>32606</v>
      </c>
      <c r="G2259" t="s">
        <v>32614</v>
      </c>
      <c r="H2259" t="s">
        <v>14201</v>
      </c>
      <c r="I2259" t="s">
        <v>6014</v>
      </c>
      <c r="J2259" t="s">
        <v>34370</v>
      </c>
      <c r="K2259" t="s">
        <v>42631</v>
      </c>
      <c r="M2259" t="s">
        <v>43113</v>
      </c>
      <c r="N2259" t="s">
        <v>47304</v>
      </c>
      <c r="O2259" t="s">
        <v>47305</v>
      </c>
      <c r="P2259">
        <v>0</v>
      </c>
      <c r="Q2259">
        <v>0</v>
      </c>
      <c r="R2259" t="s">
        <v>47307</v>
      </c>
      <c r="S2259" t="s">
        <v>47416</v>
      </c>
      <c r="T2259" t="s">
        <v>49041</v>
      </c>
      <c r="U2259" t="s">
        <v>51543</v>
      </c>
      <c r="W2259" t="s">
        <v>43113</v>
      </c>
      <c r="X2259" t="s">
        <v>47306</v>
      </c>
    </row>
    <row r="2260" spans="1:24">
      <c r="A2260">
        <f>HYPERLINK("https://www.philgeps.gov.ph/GEPSNONPILOT/Tender/SplashBidNoticeAbstractUI.aspx?menuIndex=3&amp;refID=7200139&amp;Result=3","7200139")</f>
        <v>0</v>
      </c>
      <c r="B2260" t="s">
        <v>873</v>
      </c>
      <c r="C2260" t="s">
        <v>6044</v>
      </c>
      <c r="D2260" t="s">
        <v>19002</v>
      </c>
      <c r="E2260" t="s">
        <v>21162</v>
      </c>
      <c r="F2260" t="s">
        <v>32606</v>
      </c>
      <c r="G2260" t="s">
        <v>32617</v>
      </c>
      <c r="H2260" t="s">
        <v>14201</v>
      </c>
      <c r="I2260" t="s">
        <v>4678</v>
      </c>
      <c r="J2260" t="s">
        <v>33119</v>
      </c>
      <c r="K2260" t="s">
        <v>42630</v>
      </c>
      <c r="M2260" t="s">
        <v>43809</v>
      </c>
      <c r="N2260" t="s">
        <v>47304</v>
      </c>
      <c r="O2260" t="s">
        <v>47305</v>
      </c>
      <c r="P2260">
        <v>0</v>
      </c>
      <c r="Q2260">
        <v>0</v>
      </c>
      <c r="R2260" t="s">
        <v>47307</v>
      </c>
      <c r="S2260" t="s">
        <v>47416</v>
      </c>
      <c r="T2260" t="s">
        <v>49016</v>
      </c>
      <c r="U2260" t="s">
        <v>51532</v>
      </c>
      <c r="W2260" t="s">
        <v>43809</v>
      </c>
      <c r="X2260" t="s">
        <v>47306</v>
      </c>
    </row>
    <row r="2261" spans="1:24">
      <c r="A2261">
        <f>HYPERLINK("https://www.philgeps.gov.ph/GEPSNONPILOT/Tender/SplashBidNoticeAbstractUI.aspx?menuIndex=3&amp;refID=7200137&amp;Result=3","7200137")</f>
        <v>0</v>
      </c>
      <c r="B2261" t="s">
        <v>985</v>
      </c>
      <c r="C2261" t="s">
        <v>6045</v>
      </c>
      <c r="D2261" t="s">
        <v>19034</v>
      </c>
      <c r="E2261" t="s">
        <v>21163</v>
      </c>
      <c r="F2261" t="s">
        <v>32606</v>
      </c>
      <c r="G2261" t="s">
        <v>32613</v>
      </c>
      <c r="H2261" t="s">
        <v>14201</v>
      </c>
      <c r="I2261" t="s">
        <v>6993</v>
      </c>
      <c r="J2261" t="s">
        <v>34371</v>
      </c>
      <c r="K2261" t="s">
        <v>42627</v>
      </c>
      <c r="M2261" t="s">
        <v>43931</v>
      </c>
      <c r="N2261" t="s">
        <v>47304</v>
      </c>
      <c r="O2261" t="s">
        <v>47305</v>
      </c>
      <c r="P2261">
        <v>0</v>
      </c>
      <c r="Q2261">
        <v>0</v>
      </c>
      <c r="R2261" t="s">
        <v>47307</v>
      </c>
      <c r="S2261" t="s">
        <v>47416</v>
      </c>
      <c r="T2261" t="s">
        <v>48971</v>
      </c>
      <c r="U2261" t="s">
        <v>51544</v>
      </c>
      <c r="W2261" t="s">
        <v>43931</v>
      </c>
      <c r="X2261" t="s">
        <v>47306</v>
      </c>
    </row>
    <row r="2262" spans="1:24">
      <c r="A2262">
        <f>HYPERLINK("https://www.philgeps.gov.ph/GEPSNONPILOT/Tender/SplashBidNoticeAbstractUI.aspx?menuIndex=3&amp;refID=7200136&amp;Result=3","7200136")</f>
        <v>0</v>
      </c>
      <c r="B2262" t="s">
        <v>998</v>
      </c>
      <c r="C2262" t="s">
        <v>6046</v>
      </c>
      <c r="D2262" t="s">
        <v>19009</v>
      </c>
      <c r="E2262" t="s">
        <v>21164</v>
      </c>
      <c r="F2262" t="s">
        <v>32606</v>
      </c>
      <c r="G2262" t="s">
        <v>32619</v>
      </c>
      <c r="H2262" t="s">
        <v>14201</v>
      </c>
      <c r="I2262" t="s">
        <v>32661</v>
      </c>
      <c r="J2262" t="s">
        <v>34372</v>
      </c>
      <c r="K2262" t="s">
        <v>42632</v>
      </c>
      <c r="M2262" t="s">
        <v>43946</v>
      </c>
      <c r="N2262" t="s">
        <v>47304</v>
      </c>
      <c r="O2262" t="s">
        <v>47305</v>
      </c>
      <c r="P2262">
        <v>0</v>
      </c>
      <c r="Q2262">
        <v>0</v>
      </c>
      <c r="R2262" t="s">
        <v>47307</v>
      </c>
      <c r="S2262" t="s">
        <v>47416</v>
      </c>
      <c r="T2262" t="s">
        <v>49004</v>
      </c>
      <c r="U2262" t="s">
        <v>51545</v>
      </c>
      <c r="W2262" t="s">
        <v>43946</v>
      </c>
      <c r="X2262" t="s">
        <v>47306</v>
      </c>
    </row>
    <row r="2263" spans="1:24">
      <c r="A2263">
        <f>HYPERLINK("https://www.philgeps.gov.ph/GEPSNONPILOT/Tender/SplashBidNoticeAbstractUI.aspx?menuIndex=3&amp;refID=7200135&amp;Result=3","7200135")</f>
        <v>0</v>
      </c>
      <c r="B2263" t="s">
        <v>563</v>
      </c>
      <c r="C2263" t="s">
        <v>6047</v>
      </c>
      <c r="D2263" t="s">
        <v>19046</v>
      </c>
      <c r="E2263" t="s">
        <v>21165</v>
      </c>
      <c r="F2263" t="s">
        <v>32606</v>
      </c>
      <c r="G2263" t="s">
        <v>32613</v>
      </c>
      <c r="H2263" t="s">
        <v>14201</v>
      </c>
      <c r="I2263" t="s">
        <v>4120</v>
      </c>
      <c r="J2263" t="s">
        <v>34373</v>
      </c>
      <c r="K2263" t="s">
        <v>42622</v>
      </c>
      <c r="M2263" t="s">
        <v>43478</v>
      </c>
      <c r="N2263" t="s">
        <v>47304</v>
      </c>
      <c r="O2263" t="s">
        <v>47305</v>
      </c>
      <c r="P2263">
        <v>0</v>
      </c>
      <c r="Q2263">
        <v>0</v>
      </c>
      <c r="R2263" t="s">
        <v>47307</v>
      </c>
      <c r="S2263" t="s">
        <v>47416</v>
      </c>
      <c r="T2263" t="s">
        <v>49107</v>
      </c>
      <c r="U2263" t="s">
        <v>51546</v>
      </c>
      <c r="W2263" t="s">
        <v>43478</v>
      </c>
      <c r="X2263" t="s">
        <v>47306</v>
      </c>
    </row>
    <row r="2264" spans="1:24">
      <c r="A2264">
        <f>HYPERLINK("https://www.philgeps.gov.ph/GEPSNONPILOT/Tender/SplashBidNoticeAbstractUI.aspx?menuIndex=3&amp;refID=7200132&amp;Result=3","7200132")</f>
        <v>0</v>
      </c>
      <c r="B2264" t="s">
        <v>852</v>
      </c>
      <c r="C2264" t="s">
        <v>6048</v>
      </c>
      <c r="D2264" t="s">
        <v>19048</v>
      </c>
      <c r="E2264" t="s">
        <v>20755</v>
      </c>
      <c r="F2264" t="s">
        <v>32606</v>
      </c>
      <c r="G2264" t="s">
        <v>32613</v>
      </c>
      <c r="H2264" t="s">
        <v>32623</v>
      </c>
      <c r="I2264" t="s">
        <v>17648</v>
      </c>
      <c r="J2264" t="s">
        <v>32772</v>
      </c>
      <c r="K2264" t="s">
        <v>42631</v>
      </c>
      <c r="M2264" t="s">
        <v>43785</v>
      </c>
      <c r="N2264" t="s">
        <v>47304</v>
      </c>
      <c r="O2264" t="s">
        <v>47305</v>
      </c>
      <c r="P2264">
        <v>0</v>
      </c>
      <c r="Q2264">
        <v>0</v>
      </c>
      <c r="R2264" t="s">
        <v>47307</v>
      </c>
      <c r="S2264" t="s">
        <v>47416</v>
      </c>
      <c r="T2264" t="s">
        <v>49066</v>
      </c>
      <c r="U2264" t="s">
        <v>51157</v>
      </c>
      <c r="V2264" t="s">
        <v>62894</v>
      </c>
      <c r="W2264" t="s">
        <v>43785</v>
      </c>
      <c r="X2264" t="s">
        <v>47306</v>
      </c>
    </row>
    <row r="2265" spans="1:24">
      <c r="A2265">
        <f>HYPERLINK("https://www.philgeps.gov.ph/GEPSNONPILOT/Tender/SplashBidNoticeAbstractUI.aspx?menuIndex=3&amp;refID=7200089&amp;Result=3","7200089")</f>
        <v>0</v>
      </c>
      <c r="B2265" t="s">
        <v>433</v>
      </c>
      <c r="C2265" t="s">
        <v>6049</v>
      </c>
      <c r="D2265" t="s">
        <v>19012</v>
      </c>
      <c r="E2265" t="s">
        <v>21166</v>
      </c>
      <c r="F2265" t="s">
        <v>32606</v>
      </c>
      <c r="G2265" t="s">
        <v>32613</v>
      </c>
      <c r="H2265" t="s">
        <v>14201</v>
      </c>
      <c r="I2265" t="s">
        <v>32640</v>
      </c>
      <c r="J2265" t="s">
        <v>34374</v>
      </c>
      <c r="K2265" t="s">
        <v>42631</v>
      </c>
      <c r="M2265" t="s">
        <v>43339</v>
      </c>
      <c r="N2265" t="s">
        <v>47304</v>
      </c>
      <c r="O2265" t="s">
        <v>47305</v>
      </c>
      <c r="P2265">
        <v>0</v>
      </c>
      <c r="Q2265">
        <v>0</v>
      </c>
      <c r="R2265" t="s">
        <v>47307</v>
      </c>
      <c r="S2265" t="s">
        <v>47416</v>
      </c>
      <c r="T2265" t="s">
        <v>49115</v>
      </c>
      <c r="U2265" t="s">
        <v>51547</v>
      </c>
      <c r="W2265" t="s">
        <v>43339</v>
      </c>
      <c r="X2265" t="s">
        <v>47306</v>
      </c>
    </row>
    <row r="2266" spans="1:24">
      <c r="A2266">
        <f>HYPERLINK("https://www.philgeps.gov.ph/GEPSNONPILOT/Tender/SplashBidNoticeAbstractUI.aspx?menuIndex=3&amp;refID=7200138&amp;Result=3","7200138")</f>
        <v>0</v>
      </c>
      <c r="B2266" t="s">
        <v>987</v>
      </c>
      <c r="C2266" t="s">
        <v>6050</v>
      </c>
      <c r="D2266" t="s">
        <v>18986</v>
      </c>
      <c r="E2266" t="s">
        <v>21167</v>
      </c>
      <c r="F2266" t="s">
        <v>32606</v>
      </c>
      <c r="G2266" t="s">
        <v>32619</v>
      </c>
      <c r="H2266" t="s">
        <v>14201</v>
      </c>
      <c r="I2266" t="s">
        <v>32629</v>
      </c>
      <c r="J2266" t="s">
        <v>34375</v>
      </c>
      <c r="K2266" t="s">
        <v>42623</v>
      </c>
      <c r="M2266" t="s">
        <v>43933</v>
      </c>
      <c r="N2266" t="s">
        <v>47304</v>
      </c>
      <c r="O2266" t="s">
        <v>47305</v>
      </c>
      <c r="P2266">
        <v>0</v>
      </c>
      <c r="Q2266">
        <v>0</v>
      </c>
      <c r="R2266" t="s">
        <v>47307</v>
      </c>
      <c r="S2266" t="s">
        <v>47416</v>
      </c>
      <c r="T2266" t="s">
        <v>48980</v>
      </c>
      <c r="U2266" t="s">
        <v>51548</v>
      </c>
      <c r="W2266" t="s">
        <v>43933</v>
      </c>
      <c r="X2266" t="s">
        <v>47306</v>
      </c>
    </row>
    <row r="2267" spans="1:24">
      <c r="A2267">
        <f>HYPERLINK("https://www.philgeps.gov.ph/GEPSNONPILOT/Tender/SplashBidNoticeAbstractUI.aspx?menuIndex=3&amp;refID=7200103&amp;Result=3","7200103")</f>
        <v>0</v>
      </c>
      <c r="B2267" t="s">
        <v>238</v>
      </c>
      <c r="C2267" t="s">
        <v>6051</v>
      </c>
      <c r="D2267" t="s">
        <v>18993</v>
      </c>
      <c r="E2267" t="s">
        <v>21168</v>
      </c>
      <c r="F2267" t="s">
        <v>32606</v>
      </c>
      <c r="G2267" t="s">
        <v>32619</v>
      </c>
      <c r="H2267" t="s">
        <v>14201</v>
      </c>
      <c r="I2267" t="s">
        <v>32633</v>
      </c>
      <c r="J2267" t="s">
        <v>34361</v>
      </c>
      <c r="K2267" t="s">
        <v>42622</v>
      </c>
      <c r="M2267" t="s">
        <v>43794</v>
      </c>
      <c r="N2267" t="s">
        <v>47304</v>
      </c>
      <c r="O2267" t="s">
        <v>47305</v>
      </c>
      <c r="P2267">
        <v>0</v>
      </c>
      <c r="Q2267">
        <v>0</v>
      </c>
      <c r="R2267" t="s">
        <v>47307</v>
      </c>
      <c r="S2267" t="s">
        <v>47416</v>
      </c>
      <c r="T2267" t="s">
        <v>49014</v>
      </c>
      <c r="U2267" t="s">
        <v>51549</v>
      </c>
      <c r="V2267" t="s">
        <v>62844</v>
      </c>
      <c r="W2267" t="s">
        <v>43794</v>
      </c>
      <c r="X2267" t="s">
        <v>47306</v>
      </c>
    </row>
    <row r="2268" spans="1:24">
      <c r="A2268">
        <f>HYPERLINK("https://www.philgeps.gov.ph/GEPSNONPILOT/Tender/SplashBidNoticeAbstractUI.aspx?menuIndex=3&amp;refID=7200149&amp;Result=3","7200149")</f>
        <v>0</v>
      </c>
      <c r="B2268" t="s">
        <v>997</v>
      </c>
      <c r="C2268" t="s">
        <v>6052</v>
      </c>
      <c r="D2268" t="s">
        <v>19040</v>
      </c>
      <c r="E2268" t="s">
        <v>21169</v>
      </c>
      <c r="F2268" t="s">
        <v>32606</v>
      </c>
      <c r="G2268" t="s">
        <v>32614</v>
      </c>
      <c r="H2268" t="s">
        <v>14201</v>
      </c>
      <c r="I2268" t="s">
        <v>6993</v>
      </c>
      <c r="J2268" t="s">
        <v>34376</v>
      </c>
      <c r="K2268" t="s">
        <v>42630</v>
      </c>
      <c r="M2268" t="s">
        <v>43945</v>
      </c>
      <c r="N2268" t="s">
        <v>47304</v>
      </c>
      <c r="O2268" t="s">
        <v>47305</v>
      </c>
      <c r="P2268">
        <v>0</v>
      </c>
      <c r="Q2268">
        <v>0</v>
      </c>
      <c r="R2268" t="s">
        <v>47307</v>
      </c>
      <c r="S2268" t="s">
        <v>47416</v>
      </c>
      <c r="T2268" t="s">
        <v>49087</v>
      </c>
      <c r="U2268" t="s">
        <v>51550</v>
      </c>
      <c r="W2268" t="s">
        <v>43945</v>
      </c>
      <c r="X2268" t="s">
        <v>47306</v>
      </c>
    </row>
    <row r="2269" spans="1:24">
      <c r="A2269">
        <f>HYPERLINK("https://www.philgeps.gov.ph/GEPSNONPILOT/Tender/SplashBidNoticeAbstractUI.aspx?menuIndex=3&amp;refID=7200148&amp;Result=3","7200148")</f>
        <v>0</v>
      </c>
      <c r="B2269" t="s">
        <v>807</v>
      </c>
      <c r="C2269" t="s">
        <v>6053</v>
      </c>
      <c r="D2269" t="s">
        <v>19039</v>
      </c>
      <c r="E2269" t="s">
        <v>21170</v>
      </c>
      <c r="F2269" t="s">
        <v>32606</v>
      </c>
      <c r="G2269" t="s">
        <v>32614</v>
      </c>
      <c r="H2269" t="s">
        <v>14201</v>
      </c>
      <c r="I2269" t="s">
        <v>32631</v>
      </c>
      <c r="J2269" t="s">
        <v>34377</v>
      </c>
      <c r="K2269" t="s">
        <v>42623</v>
      </c>
      <c r="M2269" t="s">
        <v>43738</v>
      </c>
      <c r="N2269" t="s">
        <v>47304</v>
      </c>
      <c r="O2269" t="s">
        <v>47305</v>
      </c>
      <c r="P2269">
        <v>0</v>
      </c>
      <c r="Q2269">
        <v>0</v>
      </c>
      <c r="R2269" t="s">
        <v>47307</v>
      </c>
      <c r="S2269" t="s">
        <v>47416</v>
      </c>
      <c r="T2269" t="s">
        <v>48987</v>
      </c>
      <c r="U2269" t="s">
        <v>51037</v>
      </c>
      <c r="W2269" t="s">
        <v>64449</v>
      </c>
      <c r="X2269" t="s">
        <v>47306</v>
      </c>
    </row>
    <row r="2270" spans="1:24">
      <c r="A2270">
        <f>HYPERLINK("https://www.philgeps.gov.ph/GEPSNONPILOT/Tender/SplashBidNoticeAbstractUI.aspx?menuIndex=3&amp;refID=7200147&amp;Result=3","7200147")</f>
        <v>0</v>
      </c>
      <c r="B2270" t="s">
        <v>238</v>
      </c>
      <c r="C2270" t="s">
        <v>6054</v>
      </c>
      <c r="D2270" t="s">
        <v>18993</v>
      </c>
      <c r="E2270" t="s">
        <v>21171</v>
      </c>
      <c r="F2270" t="s">
        <v>32606</v>
      </c>
      <c r="G2270" t="s">
        <v>32619</v>
      </c>
      <c r="H2270" t="s">
        <v>14201</v>
      </c>
      <c r="I2270" t="s">
        <v>32633</v>
      </c>
      <c r="J2270" t="s">
        <v>34378</v>
      </c>
      <c r="K2270" t="s">
        <v>42622</v>
      </c>
      <c r="M2270" t="s">
        <v>43794</v>
      </c>
      <c r="N2270" t="s">
        <v>47304</v>
      </c>
      <c r="O2270" t="s">
        <v>47305</v>
      </c>
      <c r="P2270">
        <v>0</v>
      </c>
      <c r="Q2270">
        <v>0</v>
      </c>
      <c r="R2270" t="s">
        <v>47307</v>
      </c>
      <c r="S2270" t="s">
        <v>47416</v>
      </c>
      <c r="T2270" t="s">
        <v>49014</v>
      </c>
      <c r="U2270" t="s">
        <v>51551</v>
      </c>
      <c r="V2270" t="s">
        <v>62844</v>
      </c>
      <c r="W2270" t="s">
        <v>43794</v>
      </c>
      <c r="X2270" t="s">
        <v>47306</v>
      </c>
    </row>
    <row r="2271" spans="1:24">
      <c r="A2271">
        <f>HYPERLINK("https://www.philgeps.gov.ph/GEPSNONPILOT/Tender/SplashBidNoticeAbstractUI.aspx?menuIndex=3&amp;refID=7200093&amp;Result=3","7200093")</f>
        <v>0</v>
      </c>
      <c r="B2271" t="s">
        <v>992</v>
      </c>
      <c r="C2271" t="s">
        <v>6055</v>
      </c>
      <c r="D2271" t="s">
        <v>19009</v>
      </c>
      <c r="E2271" t="s">
        <v>21172</v>
      </c>
      <c r="F2271" t="s">
        <v>32606</v>
      </c>
      <c r="G2271" t="s">
        <v>32617</v>
      </c>
      <c r="H2271" t="s">
        <v>32623</v>
      </c>
      <c r="I2271" t="s">
        <v>17648</v>
      </c>
      <c r="J2271" t="s">
        <v>34379</v>
      </c>
      <c r="K2271" t="s">
        <v>42624</v>
      </c>
      <c r="M2271" t="s">
        <v>43939</v>
      </c>
      <c r="N2271" t="s">
        <v>47304</v>
      </c>
      <c r="O2271" t="s">
        <v>47305</v>
      </c>
      <c r="P2271">
        <v>0</v>
      </c>
      <c r="Q2271">
        <v>0</v>
      </c>
      <c r="R2271" t="s">
        <v>47307</v>
      </c>
      <c r="S2271" t="s">
        <v>47416</v>
      </c>
      <c r="T2271" t="s">
        <v>48972</v>
      </c>
      <c r="U2271" t="s">
        <v>51552</v>
      </c>
      <c r="W2271" t="s">
        <v>43939</v>
      </c>
      <c r="X2271" t="s">
        <v>47306</v>
      </c>
    </row>
    <row r="2272" spans="1:24">
      <c r="A2272">
        <f>HYPERLINK("https://www.philgeps.gov.ph/GEPSNONPILOT/Tender/SplashBidNoticeAbstractUI.aspx?menuIndex=3&amp;refID=7200142&amp;Result=3","7200142")</f>
        <v>0</v>
      </c>
      <c r="B2272" t="s">
        <v>999</v>
      </c>
      <c r="C2272" t="s">
        <v>6056</v>
      </c>
      <c r="D2272" t="s">
        <v>18993</v>
      </c>
      <c r="E2272" t="s">
        <v>21173</v>
      </c>
      <c r="F2272" t="s">
        <v>32606</v>
      </c>
      <c r="G2272" t="s">
        <v>32614</v>
      </c>
      <c r="H2272" t="s">
        <v>14201</v>
      </c>
      <c r="I2272" t="s">
        <v>32676</v>
      </c>
      <c r="J2272" t="s">
        <v>32759</v>
      </c>
      <c r="K2272" t="s">
        <v>42624</v>
      </c>
      <c r="M2272" t="s">
        <v>43947</v>
      </c>
      <c r="N2272" t="s">
        <v>47304</v>
      </c>
      <c r="O2272" t="s">
        <v>47305</v>
      </c>
      <c r="P2272">
        <v>0</v>
      </c>
      <c r="Q2272">
        <v>0</v>
      </c>
      <c r="R2272" t="s">
        <v>47307</v>
      </c>
      <c r="S2272" t="s">
        <v>47416</v>
      </c>
      <c r="T2272" t="s">
        <v>49087</v>
      </c>
      <c r="U2272" t="s">
        <v>51553</v>
      </c>
      <c r="W2272" t="s">
        <v>43947</v>
      </c>
      <c r="X2272" t="s">
        <v>47306</v>
      </c>
    </row>
    <row r="2273" spans="1:24">
      <c r="A2273">
        <f>HYPERLINK("https://www.philgeps.gov.ph/GEPSNONPILOT/Tender/SplashBidNoticeAbstractUI.aspx?menuIndex=3&amp;refID=7200143&amp;Result=3","7200143")</f>
        <v>0</v>
      </c>
      <c r="B2273" t="s">
        <v>992</v>
      </c>
      <c r="C2273" t="s">
        <v>6057</v>
      </c>
      <c r="D2273" t="s">
        <v>19009</v>
      </c>
      <c r="E2273" t="s">
        <v>21174</v>
      </c>
      <c r="F2273" t="s">
        <v>32606</v>
      </c>
      <c r="G2273" t="s">
        <v>32617</v>
      </c>
      <c r="H2273" t="s">
        <v>14201</v>
      </c>
      <c r="I2273" t="s">
        <v>13131</v>
      </c>
      <c r="J2273" t="s">
        <v>34380</v>
      </c>
      <c r="K2273" t="s">
        <v>42624</v>
      </c>
      <c r="M2273" t="s">
        <v>43939</v>
      </c>
      <c r="N2273" t="s">
        <v>47304</v>
      </c>
      <c r="O2273" t="s">
        <v>47305</v>
      </c>
      <c r="P2273">
        <v>0</v>
      </c>
      <c r="Q2273">
        <v>0</v>
      </c>
      <c r="R2273" t="s">
        <v>47307</v>
      </c>
      <c r="S2273" t="s">
        <v>47416</v>
      </c>
      <c r="T2273" t="s">
        <v>48972</v>
      </c>
      <c r="U2273" t="s">
        <v>51554</v>
      </c>
      <c r="W2273" t="s">
        <v>43939</v>
      </c>
      <c r="X2273" t="s">
        <v>47306</v>
      </c>
    </row>
    <row r="2274" spans="1:24">
      <c r="A2274">
        <f>HYPERLINK("https://www.philgeps.gov.ph/GEPSNONPILOT/Tender/SplashBidNoticeAbstractUI.aspx?menuIndex=3&amp;refID=7200130&amp;Result=3","7200130")</f>
        <v>0</v>
      </c>
      <c r="B2274" t="s">
        <v>806</v>
      </c>
      <c r="C2274" t="s">
        <v>6058</v>
      </c>
      <c r="D2274" t="s">
        <v>19033</v>
      </c>
      <c r="E2274" t="s">
        <v>21175</v>
      </c>
      <c r="F2274" t="s">
        <v>32606</v>
      </c>
      <c r="G2274" t="s">
        <v>32614</v>
      </c>
      <c r="H2274" t="s">
        <v>14201</v>
      </c>
      <c r="I2274" t="s">
        <v>32634</v>
      </c>
      <c r="J2274" t="s">
        <v>33115</v>
      </c>
      <c r="K2274" t="s">
        <v>42631</v>
      </c>
      <c r="M2274" t="s">
        <v>43737</v>
      </c>
      <c r="N2274" t="s">
        <v>47304</v>
      </c>
      <c r="O2274" t="s">
        <v>47305</v>
      </c>
      <c r="P2274">
        <v>0</v>
      </c>
      <c r="Q2274">
        <v>0</v>
      </c>
      <c r="R2274" t="s">
        <v>47307</v>
      </c>
      <c r="S2274" t="s">
        <v>47416</v>
      </c>
      <c r="T2274" t="s">
        <v>49017</v>
      </c>
      <c r="U2274" t="s">
        <v>51555</v>
      </c>
      <c r="W2274" t="s">
        <v>43737</v>
      </c>
      <c r="X2274" t="s">
        <v>47306</v>
      </c>
    </row>
    <row r="2275" spans="1:24">
      <c r="A2275">
        <f>HYPERLINK("https://www.philgeps.gov.ph/GEPSNONPILOT/Tender/SplashBidNoticeAbstractUI.aspx?menuIndex=3&amp;refID=7200145&amp;Result=3","7200145")</f>
        <v>0</v>
      </c>
      <c r="B2275" t="s">
        <v>1000</v>
      </c>
      <c r="C2275" t="s">
        <v>6059</v>
      </c>
      <c r="D2275" t="s">
        <v>19058</v>
      </c>
      <c r="E2275" t="s">
        <v>21176</v>
      </c>
      <c r="F2275" t="s">
        <v>32606</v>
      </c>
      <c r="G2275" t="s">
        <v>32615</v>
      </c>
      <c r="H2275" t="s">
        <v>32623</v>
      </c>
      <c r="I2275" t="s">
        <v>17648</v>
      </c>
      <c r="J2275" t="s">
        <v>33039</v>
      </c>
      <c r="K2275" t="s">
        <v>42648</v>
      </c>
      <c r="M2275" t="s">
        <v>43948</v>
      </c>
      <c r="N2275" t="s">
        <v>47304</v>
      </c>
      <c r="O2275" t="s">
        <v>47305</v>
      </c>
      <c r="P2275">
        <v>0</v>
      </c>
      <c r="Q2275">
        <v>0</v>
      </c>
      <c r="R2275" t="s">
        <v>47307</v>
      </c>
      <c r="S2275" t="s">
        <v>47416</v>
      </c>
      <c r="T2275" t="s">
        <v>48975</v>
      </c>
      <c r="U2275" t="s">
        <v>51556</v>
      </c>
      <c r="W2275" t="s">
        <v>43948</v>
      </c>
      <c r="X2275" t="s">
        <v>47306</v>
      </c>
    </row>
    <row r="2276" spans="1:24">
      <c r="A2276">
        <f>HYPERLINK("https://www.philgeps.gov.ph/GEPSNONPILOT/Tender/SplashBidNoticeAbstractUI.aspx?menuIndex=3&amp;refID=7200129&amp;Result=3","7200129")</f>
        <v>0</v>
      </c>
      <c r="B2276" t="s">
        <v>915</v>
      </c>
      <c r="C2276" t="s">
        <v>6060</v>
      </c>
      <c r="D2276" t="s">
        <v>18993</v>
      </c>
      <c r="E2276" t="s">
        <v>19326</v>
      </c>
      <c r="F2276" t="s">
        <v>32606</v>
      </c>
      <c r="G2276" t="s">
        <v>32613</v>
      </c>
      <c r="H2276" t="s">
        <v>14201</v>
      </c>
      <c r="I2276" t="s">
        <v>32647</v>
      </c>
      <c r="J2276" t="s">
        <v>34381</v>
      </c>
      <c r="K2276" t="s">
        <v>42622</v>
      </c>
      <c r="M2276" t="s">
        <v>43855</v>
      </c>
      <c r="N2276" t="s">
        <v>47304</v>
      </c>
      <c r="O2276" t="s">
        <v>47305</v>
      </c>
      <c r="P2276">
        <v>0</v>
      </c>
      <c r="Q2276">
        <v>0</v>
      </c>
      <c r="R2276" t="s">
        <v>47307</v>
      </c>
      <c r="S2276" t="s">
        <v>47416</v>
      </c>
      <c r="T2276" t="s">
        <v>49016</v>
      </c>
      <c r="U2276" t="s">
        <v>51557</v>
      </c>
      <c r="W2276" t="s">
        <v>43855</v>
      </c>
      <c r="X2276" t="s">
        <v>47306</v>
      </c>
    </row>
    <row r="2277" spans="1:24">
      <c r="A2277">
        <f>HYPERLINK("https://www.philgeps.gov.ph/GEPSNONPILOT/Tender/SplashBidNoticeAbstractUI.aspx?menuIndex=3&amp;refID=7200144&amp;Result=3","7200144")</f>
        <v>0</v>
      </c>
      <c r="B2277" t="s">
        <v>1001</v>
      </c>
      <c r="C2277" t="s">
        <v>6061</v>
      </c>
      <c r="D2277" t="s">
        <v>19014</v>
      </c>
      <c r="E2277" t="s">
        <v>21177</v>
      </c>
      <c r="F2277" t="s">
        <v>32606</v>
      </c>
      <c r="G2277" t="s">
        <v>32613</v>
      </c>
      <c r="H2277" t="s">
        <v>14201</v>
      </c>
      <c r="I2277" t="s">
        <v>4114</v>
      </c>
      <c r="J2277" t="s">
        <v>34382</v>
      </c>
      <c r="K2277" t="s">
        <v>42648</v>
      </c>
      <c r="M2277" t="s">
        <v>43949</v>
      </c>
      <c r="N2277" t="s">
        <v>47304</v>
      </c>
      <c r="O2277" t="s">
        <v>47305</v>
      </c>
      <c r="P2277">
        <v>0</v>
      </c>
      <c r="Q2277">
        <v>0</v>
      </c>
      <c r="R2277" t="s">
        <v>47307</v>
      </c>
      <c r="S2277" t="s">
        <v>47416</v>
      </c>
      <c r="T2277" t="s">
        <v>49041</v>
      </c>
      <c r="U2277" t="s">
        <v>51558</v>
      </c>
      <c r="V2277" t="s">
        <v>62895</v>
      </c>
      <c r="W2277" t="s">
        <v>43949</v>
      </c>
      <c r="X2277" t="s">
        <v>47306</v>
      </c>
    </row>
    <row r="2278" spans="1:24">
      <c r="A2278">
        <f>HYPERLINK("https://www.philgeps.gov.ph/GEPSNONPILOT/Tender/SplashBidNoticeAbstractUI.aspx?menuIndex=3&amp;refID=7200134&amp;Result=3","7200134")</f>
        <v>0</v>
      </c>
      <c r="B2278" t="s">
        <v>1002</v>
      </c>
      <c r="C2278" t="s">
        <v>6062</v>
      </c>
      <c r="D2278" t="s">
        <v>19039</v>
      </c>
      <c r="E2278" t="s">
        <v>21178</v>
      </c>
      <c r="F2278" t="s">
        <v>32606</v>
      </c>
      <c r="G2278" t="s">
        <v>32614</v>
      </c>
      <c r="H2278" t="s">
        <v>14201</v>
      </c>
      <c r="I2278" t="s">
        <v>6298</v>
      </c>
      <c r="J2278" t="s">
        <v>34383</v>
      </c>
      <c r="K2278" t="s">
        <v>42630</v>
      </c>
      <c r="M2278" t="s">
        <v>43950</v>
      </c>
      <c r="N2278" t="s">
        <v>47304</v>
      </c>
      <c r="O2278" t="s">
        <v>47305</v>
      </c>
      <c r="P2278">
        <v>0</v>
      </c>
      <c r="Q2278">
        <v>0</v>
      </c>
      <c r="R2278" t="s">
        <v>47307</v>
      </c>
      <c r="S2278" t="s">
        <v>47416</v>
      </c>
      <c r="T2278" t="s">
        <v>49087</v>
      </c>
      <c r="U2278" t="s">
        <v>51559</v>
      </c>
      <c r="W2278" t="s">
        <v>43950</v>
      </c>
      <c r="X2278" t="s">
        <v>47306</v>
      </c>
    </row>
    <row r="2279" spans="1:24">
      <c r="A2279">
        <f>HYPERLINK("https://www.philgeps.gov.ph/GEPSNONPILOT/Tender/SplashBidNoticeAbstractUI.aspx?menuIndex=3&amp;refID=7200131&amp;Result=3","7200131")</f>
        <v>0</v>
      </c>
      <c r="B2279" t="s">
        <v>1003</v>
      </c>
      <c r="C2279" t="s">
        <v>6063</v>
      </c>
      <c r="D2279" t="s">
        <v>18999</v>
      </c>
      <c r="E2279" t="s">
        <v>21179</v>
      </c>
      <c r="F2279" t="s">
        <v>32606</v>
      </c>
      <c r="G2279" t="s">
        <v>32619</v>
      </c>
      <c r="H2279" t="s">
        <v>14201</v>
      </c>
      <c r="I2279" t="s">
        <v>6931</v>
      </c>
      <c r="J2279" t="s">
        <v>34384</v>
      </c>
      <c r="K2279" t="s">
        <v>42630</v>
      </c>
      <c r="M2279" t="s">
        <v>43951</v>
      </c>
      <c r="N2279" t="s">
        <v>47304</v>
      </c>
      <c r="O2279" t="s">
        <v>47305</v>
      </c>
      <c r="P2279">
        <v>0</v>
      </c>
      <c r="Q2279">
        <v>0</v>
      </c>
      <c r="R2279" t="s">
        <v>47307</v>
      </c>
      <c r="S2279" t="s">
        <v>47416</v>
      </c>
      <c r="T2279" t="s">
        <v>48988</v>
      </c>
      <c r="U2279" t="s">
        <v>51560</v>
      </c>
      <c r="V2279" t="s">
        <v>62896</v>
      </c>
      <c r="W2279" t="s">
        <v>43951</v>
      </c>
      <c r="X2279" t="s">
        <v>47306</v>
      </c>
    </row>
    <row r="2280" spans="1:24">
      <c r="A2280">
        <f>HYPERLINK("https://www.philgeps.gov.ph/GEPSNONPILOT/Tender/SplashBidNoticeAbstractUI.aspx?menuIndex=3&amp;refID=7200150&amp;Result=3","7200150")</f>
        <v>0</v>
      </c>
      <c r="B2280" t="s">
        <v>1004</v>
      </c>
      <c r="C2280" t="s">
        <v>6064</v>
      </c>
      <c r="E2280" t="s">
        <v>21180</v>
      </c>
      <c r="F2280" t="s">
        <v>32606</v>
      </c>
      <c r="G2280" t="s">
        <v>32614</v>
      </c>
      <c r="H2280" t="s">
        <v>14201</v>
      </c>
      <c r="I2280" t="s">
        <v>32713</v>
      </c>
      <c r="J2280" t="s">
        <v>34385</v>
      </c>
      <c r="K2280" t="s">
        <v>42624</v>
      </c>
      <c r="M2280" t="s">
        <v>43952</v>
      </c>
      <c r="N2280" t="s">
        <v>47304</v>
      </c>
      <c r="O2280" t="s">
        <v>47305</v>
      </c>
      <c r="P2280">
        <v>0</v>
      </c>
      <c r="Q2280">
        <v>0</v>
      </c>
      <c r="R2280" t="s">
        <v>47307</v>
      </c>
      <c r="S2280" t="s">
        <v>47416</v>
      </c>
      <c r="T2280" t="s">
        <v>49210</v>
      </c>
      <c r="U2280" t="s">
        <v>51561</v>
      </c>
      <c r="W2280" t="s">
        <v>43952</v>
      </c>
      <c r="X2280" t="s">
        <v>47306</v>
      </c>
    </row>
    <row r="2281" spans="1:24">
      <c r="A2281">
        <f>HYPERLINK("https://www.philgeps.gov.ph/GEPSNONPILOT/Tender/SplashBidNoticeAbstractUI.aspx?menuIndex=3&amp;refID=7200161&amp;Result=3","7200161")</f>
        <v>0</v>
      </c>
      <c r="B2281" t="s">
        <v>1005</v>
      </c>
      <c r="C2281" t="s">
        <v>4547</v>
      </c>
      <c r="D2281" t="s">
        <v>19063</v>
      </c>
      <c r="E2281" t="s">
        <v>21181</v>
      </c>
      <c r="F2281" t="s">
        <v>32607</v>
      </c>
      <c r="G2281" t="s">
        <v>32613</v>
      </c>
      <c r="H2281" t="s">
        <v>14201</v>
      </c>
      <c r="I2281" t="s">
        <v>4114</v>
      </c>
      <c r="J2281" t="s">
        <v>34386</v>
      </c>
      <c r="K2281" t="s">
        <v>42623</v>
      </c>
      <c r="M2281" t="s">
        <v>43953</v>
      </c>
      <c r="N2281" t="s">
        <v>47304</v>
      </c>
      <c r="O2281" t="s">
        <v>47305</v>
      </c>
      <c r="P2281">
        <v>0</v>
      </c>
      <c r="Q2281">
        <v>0</v>
      </c>
      <c r="R2281" t="s">
        <v>47307</v>
      </c>
      <c r="S2281" t="s">
        <v>47416</v>
      </c>
      <c r="T2281" t="s">
        <v>49211</v>
      </c>
      <c r="U2281" t="s">
        <v>51562</v>
      </c>
      <c r="W2281" t="s">
        <v>43953</v>
      </c>
      <c r="X2281" t="s">
        <v>47306</v>
      </c>
    </row>
    <row r="2282" spans="1:24">
      <c r="A2282">
        <f>HYPERLINK("https://www.philgeps.gov.ph/GEPSNONPILOT/Tender/SplashBidNoticeAbstractUI.aspx?menuIndex=3&amp;refID=7200157&amp;Result=3","7200157")</f>
        <v>0</v>
      </c>
      <c r="B2282" t="s">
        <v>726</v>
      </c>
      <c r="C2282" t="s">
        <v>6065</v>
      </c>
      <c r="D2282" t="s">
        <v>19009</v>
      </c>
      <c r="E2282" t="s">
        <v>21182</v>
      </c>
      <c r="F2282" t="s">
        <v>32606</v>
      </c>
      <c r="G2282" t="s">
        <v>32613</v>
      </c>
      <c r="H2282" t="s">
        <v>14201</v>
      </c>
      <c r="I2282" t="s">
        <v>6931</v>
      </c>
      <c r="J2282" t="s">
        <v>34387</v>
      </c>
      <c r="K2282" t="s">
        <v>42623</v>
      </c>
      <c r="M2282" t="s">
        <v>43915</v>
      </c>
      <c r="N2282" t="s">
        <v>47304</v>
      </c>
      <c r="O2282" t="s">
        <v>47305</v>
      </c>
      <c r="P2282">
        <v>0</v>
      </c>
      <c r="Q2282">
        <v>0</v>
      </c>
      <c r="R2282" t="s">
        <v>47307</v>
      </c>
      <c r="S2282" t="s">
        <v>47416</v>
      </c>
      <c r="T2282" t="s">
        <v>49205</v>
      </c>
      <c r="U2282" t="s">
        <v>51563</v>
      </c>
      <c r="V2282" t="s">
        <v>62846</v>
      </c>
      <c r="W2282" t="s">
        <v>43915</v>
      </c>
      <c r="X2282" t="s">
        <v>47306</v>
      </c>
    </row>
    <row r="2283" spans="1:24">
      <c r="A2283">
        <f>HYPERLINK("https://www.philgeps.gov.ph/GEPSNONPILOT/Tender/SplashBidNoticeAbstractUI.aspx?menuIndex=3&amp;refID=7200156&amp;Result=3","7200156")</f>
        <v>0</v>
      </c>
      <c r="B2283" t="s">
        <v>1006</v>
      </c>
      <c r="C2283" t="s">
        <v>6066</v>
      </c>
      <c r="D2283" t="s">
        <v>19014</v>
      </c>
      <c r="E2283" t="s">
        <v>21183</v>
      </c>
      <c r="F2283" t="s">
        <v>32606</v>
      </c>
      <c r="G2283" t="s">
        <v>32614</v>
      </c>
      <c r="H2283" t="s">
        <v>32624</v>
      </c>
      <c r="I2283" t="s">
        <v>32628</v>
      </c>
      <c r="J2283" t="s">
        <v>34388</v>
      </c>
      <c r="K2283" t="s">
        <v>42714</v>
      </c>
      <c r="M2283" t="s">
        <v>43954</v>
      </c>
      <c r="N2283" t="s">
        <v>47304</v>
      </c>
      <c r="O2283" t="s">
        <v>47305</v>
      </c>
      <c r="P2283">
        <v>0</v>
      </c>
      <c r="Q2283">
        <v>0</v>
      </c>
      <c r="R2283" t="s">
        <v>47307</v>
      </c>
      <c r="S2283" t="s">
        <v>47416</v>
      </c>
      <c r="T2283" t="s">
        <v>49023</v>
      </c>
      <c r="U2283" t="s">
        <v>51564</v>
      </c>
      <c r="W2283" t="s">
        <v>43954</v>
      </c>
      <c r="X2283" t="s">
        <v>47306</v>
      </c>
    </row>
    <row r="2284" spans="1:24">
      <c r="A2284">
        <f>HYPERLINK("https://www.philgeps.gov.ph/GEPSNONPILOT/Tender/SplashBidNoticeAbstractUI.aspx?menuIndex=3&amp;refID=7200155&amp;Result=3","7200155")</f>
        <v>0</v>
      </c>
      <c r="B2284" t="s">
        <v>1003</v>
      </c>
      <c r="C2284" t="s">
        <v>6067</v>
      </c>
      <c r="D2284" t="s">
        <v>18999</v>
      </c>
      <c r="E2284" t="s">
        <v>21184</v>
      </c>
      <c r="F2284" t="s">
        <v>32606</v>
      </c>
      <c r="G2284" t="s">
        <v>32614</v>
      </c>
      <c r="H2284" t="s">
        <v>14201</v>
      </c>
      <c r="I2284" t="s">
        <v>4114</v>
      </c>
      <c r="J2284" t="s">
        <v>34389</v>
      </c>
      <c r="K2284" t="s">
        <v>42630</v>
      </c>
      <c r="M2284" t="s">
        <v>43951</v>
      </c>
      <c r="N2284" t="s">
        <v>47304</v>
      </c>
      <c r="O2284" t="s">
        <v>47305</v>
      </c>
      <c r="P2284">
        <v>0</v>
      </c>
      <c r="Q2284">
        <v>0</v>
      </c>
      <c r="R2284" t="s">
        <v>47307</v>
      </c>
      <c r="S2284" t="s">
        <v>47416</v>
      </c>
      <c r="T2284" t="s">
        <v>48988</v>
      </c>
      <c r="U2284" t="s">
        <v>51565</v>
      </c>
      <c r="V2284" t="s">
        <v>62897</v>
      </c>
      <c r="W2284" t="s">
        <v>43951</v>
      </c>
      <c r="X2284" t="s">
        <v>47306</v>
      </c>
    </row>
    <row r="2285" spans="1:24">
      <c r="A2285">
        <f>HYPERLINK("https://www.philgeps.gov.ph/GEPSNONPILOT/Tender/SplashBidNoticeAbstractUI.aspx?menuIndex=3&amp;refID=7200087&amp;Result=3","7200087")</f>
        <v>0</v>
      </c>
      <c r="B2285" t="s">
        <v>726</v>
      </c>
      <c r="C2285" t="s">
        <v>6068</v>
      </c>
      <c r="D2285" t="s">
        <v>19009</v>
      </c>
      <c r="E2285" t="s">
        <v>21185</v>
      </c>
      <c r="F2285" t="s">
        <v>32606</v>
      </c>
      <c r="G2285" t="s">
        <v>32613</v>
      </c>
      <c r="H2285" t="s">
        <v>14201</v>
      </c>
      <c r="I2285" t="s">
        <v>7677</v>
      </c>
      <c r="J2285" t="s">
        <v>34390</v>
      </c>
      <c r="K2285" t="s">
        <v>42623</v>
      </c>
      <c r="M2285" t="s">
        <v>43942</v>
      </c>
      <c r="N2285" t="s">
        <v>47304</v>
      </c>
      <c r="O2285" t="s">
        <v>47305</v>
      </c>
      <c r="P2285">
        <v>0</v>
      </c>
      <c r="Q2285">
        <v>0</v>
      </c>
      <c r="R2285" t="s">
        <v>47307</v>
      </c>
      <c r="S2285" t="s">
        <v>47416</v>
      </c>
      <c r="T2285" t="s">
        <v>49205</v>
      </c>
      <c r="U2285" t="s">
        <v>51566</v>
      </c>
      <c r="V2285" t="s">
        <v>62846</v>
      </c>
      <c r="W2285" t="s">
        <v>43942</v>
      </c>
      <c r="X2285" t="s">
        <v>47306</v>
      </c>
    </row>
    <row r="2286" spans="1:24">
      <c r="A2286">
        <f>HYPERLINK("https://www.philgeps.gov.ph/GEPSNONPILOT/Tender/SplashBidNoticeAbstractUI.aspx?menuIndex=3&amp;refID=7200154&amp;Result=3","7200154")</f>
        <v>0</v>
      </c>
      <c r="B2286" t="s">
        <v>795</v>
      </c>
      <c r="C2286" t="s">
        <v>6069</v>
      </c>
      <c r="D2286" t="s">
        <v>19039</v>
      </c>
      <c r="E2286" t="s">
        <v>21186</v>
      </c>
      <c r="F2286" t="s">
        <v>32606</v>
      </c>
      <c r="G2286" t="s">
        <v>32613</v>
      </c>
      <c r="H2286" t="s">
        <v>14201</v>
      </c>
      <c r="I2286" t="s">
        <v>6931</v>
      </c>
      <c r="J2286" t="s">
        <v>34391</v>
      </c>
      <c r="K2286" t="s">
        <v>42631</v>
      </c>
      <c r="M2286" t="s">
        <v>43726</v>
      </c>
      <c r="N2286" t="s">
        <v>47304</v>
      </c>
      <c r="O2286" t="s">
        <v>47305</v>
      </c>
      <c r="P2286">
        <v>0</v>
      </c>
      <c r="Q2286">
        <v>0</v>
      </c>
      <c r="R2286" t="s">
        <v>47307</v>
      </c>
      <c r="S2286" t="s">
        <v>47416</v>
      </c>
      <c r="T2286" t="s">
        <v>48973</v>
      </c>
      <c r="U2286" t="s">
        <v>51567</v>
      </c>
      <c r="W2286" t="s">
        <v>43726</v>
      </c>
      <c r="X2286" t="s">
        <v>47306</v>
      </c>
    </row>
    <row r="2287" spans="1:24">
      <c r="A2287">
        <f>HYPERLINK("https://www.philgeps.gov.ph/GEPSNONPILOT/Tender/SplashBidNoticeAbstractUI.aspx?menuIndex=3&amp;refID=7200153&amp;Result=3","7200153")</f>
        <v>0</v>
      </c>
      <c r="B2287" t="s">
        <v>1007</v>
      </c>
      <c r="C2287" t="s">
        <v>6070</v>
      </c>
      <c r="D2287" t="s">
        <v>19039</v>
      </c>
      <c r="E2287" t="s">
        <v>21187</v>
      </c>
      <c r="F2287" t="s">
        <v>32607</v>
      </c>
      <c r="G2287" t="s">
        <v>32614</v>
      </c>
      <c r="H2287" t="s">
        <v>14201</v>
      </c>
      <c r="I2287" t="s">
        <v>32648</v>
      </c>
      <c r="J2287" t="s">
        <v>34392</v>
      </c>
      <c r="K2287" t="s">
        <v>42624</v>
      </c>
      <c r="M2287" t="s">
        <v>43955</v>
      </c>
      <c r="N2287" t="s">
        <v>47304</v>
      </c>
      <c r="O2287" t="s">
        <v>47305</v>
      </c>
      <c r="P2287">
        <v>0</v>
      </c>
      <c r="Q2287">
        <v>0</v>
      </c>
      <c r="R2287" t="s">
        <v>47307</v>
      </c>
      <c r="S2287" t="s">
        <v>47416</v>
      </c>
      <c r="T2287" t="s">
        <v>49041</v>
      </c>
      <c r="U2287" t="s">
        <v>51568</v>
      </c>
      <c r="W2287" t="s">
        <v>43955</v>
      </c>
      <c r="X2287" t="s">
        <v>47306</v>
      </c>
    </row>
    <row r="2288" spans="1:24">
      <c r="A2288">
        <f>HYPERLINK("https://www.philgeps.gov.ph/GEPSNONPILOT/Tender/SplashBidNoticeAbstractUI.aspx?menuIndex=3&amp;refID=7200152&amp;Result=3","7200152")</f>
        <v>0</v>
      </c>
      <c r="B2288" t="s">
        <v>726</v>
      </c>
      <c r="C2288" t="s">
        <v>6071</v>
      </c>
      <c r="D2288" t="s">
        <v>19009</v>
      </c>
      <c r="E2288" t="s">
        <v>21188</v>
      </c>
      <c r="F2288" t="s">
        <v>32606</v>
      </c>
      <c r="G2288" t="s">
        <v>32613</v>
      </c>
      <c r="H2288" t="s">
        <v>14201</v>
      </c>
      <c r="I2288" t="s">
        <v>7677</v>
      </c>
      <c r="J2288" t="s">
        <v>34393</v>
      </c>
      <c r="K2288" t="s">
        <v>42623</v>
      </c>
      <c r="M2288" t="s">
        <v>43942</v>
      </c>
      <c r="N2288" t="s">
        <v>47304</v>
      </c>
      <c r="O2288" t="s">
        <v>47305</v>
      </c>
      <c r="P2288">
        <v>0</v>
      </c>
      <c r="Q2288">
        <v>0</v>
      </c>
      <c r="R2288" t="s">
        <v>47307</v>
      </c>
      <c r="S2288" t="s">
        <v>47416</v>
      </c>
      <c r="T2288" t="s">
        <v>49205</v>
      </c>
      <c r="U2288" t="s">
        <v>51569</v>
      </c>
      <c r="V2288" t="s">
        <v>62846</v>
      </c>
      <c r="W2288" t="s">
        <v>43942</v>
      </c>
      <c r="X2288" t="s">
        <v>47306</v>
      </c>
    </row>
    <row r="2289" spans="1:24">
      <c r="A2289">
        <f>HYPERLINK("https://www.philgeps.gov.ph/GEPSNONPILOT/Tender/SplashBidNoticeAbstractUI.aspx?menuIndex=3&amp;refID=7200163&amp;Result=3","7200163")</f>
        <v>0</v>
      </c>
      <c r="B2289" t="s">
        <v>1008</v>
      </c>
      <c r="C2289" t="s">
        <v>6072</v>
      </c>
      <c r="D2289" t="s">
        <v>19005</v>
      </c>
      <c r="E2289" t="s">
        <v>21189</v>
      </c>
      <c r="F2289" t="s">
        <v>32606</v>
      </c>
      <c r="G2289" t="s">
        <v>32619</v>
      </c>
      <c r="H2289" t="s">
        <v>14201</v>
      </c>
      <c r="I2289" t="s">
        <v>32633</v>
      </c>
      <c r="J2289" t="s">
        <v>34394</v>
      </c>
      <c r="K2289" t="s">
        <v>42624</v>
      </c>
      <c r="M2289" t="s">
        <v>43956</v>
      </c>
      <c r="N2289" t="s">
        <v>47304</v>
      </c>
      <c r="O2289" t="s">
        <v>47305</v>
      </c>
      <c r="P2289">
        <v>0</v>
      </c>
      <c r="Q2289">
        <v>0</v>
      </c>
      <c r="R2289" t="s">
        <v>47307</v>
      </c>
      <c r="S2289" t="s">
        <v>47416</v>
      </c>
      <c r="T2289" t="s">
        <v>49132</v>
      </c>
      <c r="U2289" t="s">
        <v>51570</v>
      </c>
      <c r="W2289" t="s">
        <v>43956</v>
      </c>
      <c r="X2289" t="s">
        <v>47306</v>
      </c>
    </row>
    <row r="2290" spans="1:24">
      <c r="A2290">
        <f>HYPERLINK("https://www.philgeps.gov.ph/GEPSNONPILOT/Tender/SplashBidNoticeAbstractUI.aspx?menuIndex=3&amp;refID=7200175&amp;Result=3","7200175")</f>
        <v>0</v>
      </c>
      <c r="B2290" t="s">
        <v>1009</v>
      </c>
      <c r="C2290" t="s">
        <v>6073</v>
      </c>
      <c r="D2290" t="s">
        <v>19057</v>
      </c>
      <c r="E2290" t="s">
        <v>21190</v>
      </c>
      <c r="F2290" t="s">
        <v>32606</v>
      </c>
      <c r="G2290" t="s">
        <v>32613</v>
      </c>
      <c r="H2290" t="s">
        <v>14201</v>
      </c>
      <c r="I2290" t="s">
        <v>32633</v>
      </c>
      <c r="J2290" t="s">
        <v>34395</v>
      </c>
      <c r="K2290" t="s">
        <v>42631</v>
      </c>
      <c r="M2290" t="s">
        <v>43957</v>
      </c>
      <c r="N2290" t="s">
        <v>47304</v>
      </c>
      <c r="O2290" t="s">
        <v>47305</v>
      </c>
      <c r="P2290">
        <v>0</v>
      </c>
      <c r="Q2290">
        <v>0</v>
      </c>
      <c r="R2290" t="s">
        <v>47307</v>
      </c>
      <c r="S2290" t="s">
        <v>47416</v>
      </c>
      <c r="T2290" t="s">
        <v>48995</v>
      </c>
      <c r="U2290" t="s">
        <v>51571</v>
      </c>
      <c r="W2290" t="s">
        <v>43957</v>
      </c>
      <c r="X2290" t="s">
        <v>47306</v>
      </c>
    </row>
    <row r="2291" spans="1:24">
      <c r="A2291">
        <f>HYPERLINK("https://www.philgeps.gov.ph/GEPSNONPILOT/Tender/SplashBidNoticeAbstractUI.aspx?menuIndex=3&amp;refID=7200151&amp;Result=3","7200151")</f>
        <v>0</v>
      </c>
      <c r="B2291" t="s">
        <v>1008</v>
      </c>
      <c r="C2291" t="s">
        <v>6074</v>
      </c>
      <c r="D2291" t="s">
        <v>19005</v>
      </c>
      <c r="E2291" t="s">
        <v>21191</v>
      </c>
      <c r="F2291" t="s">
        <v>32606</v>
      </c>
      <c r="G2291" t="s">
        <v>32619</v>
      </c>
      <c r="H2291" t="s">
        <v>14201</v>
      </c>
      <c r="I2291" t="s">
        <v>6298</v>
      </c>
      <c r="J2291" t="s">
        <v>34396</v>
      </c>
      <c r="K2291" t="s">
        <v>42624</v>
      </c>
      <c r="M2291" t="s">
        <v>43956</v>
      </c>
      <c r="N2291" t="s">
        <v>47304</v>
      </c>
      <c r="O2291" t="s">
        <v>47305</v>
      </c>
      <c r="P2291">
        <v>0</v>
      </c>
      <c r="Q2291">
        <v>0</v>
      </c>
      <c r="R2291" t="s">
        <v>47307</v>
      </c>
      <c r="S2291" t="s">
        <v>47416</v>
      </c>
      <c r="T2291" t="s">
        <v>49007</v>
      </c>
      <c r="U2291" t="s">
        <v>51572</v>
      </c>
      <c r="W2291" t="s">
        <v>43956</v>
      </c>
      <c r="X2291" t="s">
        <v>47306</v>
      </c>
    </row>
    <row r="2292" spans="1:24">
      <c r="A2292">
        <f>HYPERLINK("https://www.philgeps.gov.ph/GEPSNONPILOT/Tender/SplashBidNoticeAbstractUI.aspx?menuIndex=3&amp;refID=7200173&amp;Result=3","7200173")</f>
        <v>0</v>
      </c>
      <c r="B2292" t="s">
        <v>985</v>
      </c>
      <c r="C2292" t="s">
        <v>6075</v>
      </c>
      <c r="D2292" t="s">
        <v>19034</v>
      </c>
      <c r="E2292" t="s">
        <v>21192</v>
      </c>
      <c r="F2292" t="s">
        <v>32606</v>
      </c>
      <c r="G2292" t="s">
        <v>32613</v>
      </c>
      <c r="H2292" t="s">
        <v>14201</v>
      </c>
      <c r="I2292" t="s">
        <v>32650</v>
      </c>
      <c r="J2292" t="s">
        <v>34397</v>
      </c>
      <c r="K2292" t="s">
        <v>42627</v>
      </c>
      <c r="M2292" t="s">
        <v>43931</v>
      </c>
      <c r="N2292" t="s">
        <v>47304</v>
      </c>
      <c r="O2292" t="s">
        <v>47305</v>
      </c>
      <c r="P2292">
        <v>0</v>
      </c>
      <c r="Q2292">
        <v>0</v>
      </c>
      <c r="R2292" t="s">
        <v>47307</v>
      </c>
      <c r="S2292" t="s">
        <v>47416</v>
      </c>
      <c r="T2292" t="s">
        <v>48971</v>
      </c>
      <c r="U2292" t="s">
        <v>51573</v>
      </c>
      <c r="W2292" t="s">
        <v>43931</v>
      </c>
      <c r="X2292" t="s">
        <v>47306</v>
      </c>
    </row>
    <row r="2293" spans="1:24">
      <c r="A2293">
        <f>HYPERLINK("https://www.philgeps.gov.ph/GEPSNONPILOT/Tender/SplashBidNoticeAbstractUI.aspx?menuIndex=3&amp;refID=7200172&amp;Result=3","7200172")</f>
        <v>0</v>
      </c>
      <c r="B2293" t="s">
        <v>1010</v>
      </c>
      <c r="C2293" t="s">
        <v>6076</v>
      </c>
      <c r="D2293" t="s">
        <v>19004</v>
      </c>
      <c r="E2293" t="s">
        <v>21193</v>
      </c>
      <c r="F2293" t="s">
        <v>32606</v>
      </c>
      <c r="G2293" t="s">
        <v>32614</v>
      </c>
      <c r="H2293" t="s">
        <v>14201</v>
      </c>
      <c r="I2293" t="s">
        <v>6309</v>
      </c>
      <c r="J2293" t="s">
        <v>33034</v>
      </c>
      <c r="K2293" t="s">
        <v>42630</v>
      </c>
      <c r="M2293" t="s">
        <v>43958</v>
      </c>
      <c r="N2293" t="s">
        <v>47304</v>
      </c>
      <c r="O2293" t="s">
        <v>47305</v>
      </c>
      <c r="P2293">
        <v>0</v>
      </c>
      <c r="Q2293">
        <v>0</v>
      </c>
      <c r="R2293" t="s">
        <v>47307</v>
      </c>
      <c r="S2293" t="s">
        <v>47416</v>
      </c>
      <c r="T2293" t="s">
        <v>49117</v>
      </c>
      <c r="U2293" t="s">
        <v>51574</v>
      </c>
      <c r="V2293" t="s">
        <v>62898</v>
      </c>
      <c r="W2293" t="s">
        <v>43958</v>
      </c>
      <c r="X2293" t="s">
        <v>47306</v>
      </c>
    </row>
    <row r="2294" spans="1:24">
      <c r="A2294">
        <f>HYPERLINK("https://www.philgeps.gov.ph/GEPSNONPILOT/Tender/SplashBidNoticeAbstractUI.aspx?menuIndex=3&amp;refID=7200171&amp;Result=3","7200171")</f>
        <v>0</v>
      </c>
      <c r="B2294" t="s">
        <v>1011</v>
      </c>
      <c r="C2294" t="s">
        <v>6077</v>
      </c>
      <c r="D2294" t="s">
        <v>18993</v>
      </c>
      <c r="E2294" t="s">
        <v>21194</v>
      </c>
      <c r="F2294" t="s">
        <v>32606</v>
      </c>
      <c r="G2294" t="s">
        <v>32614</v>
      </c>
      <c r="H2294" t="s">
        <v>14201</v>
      </c>
      <c r="I2294" t="s">
        <v>32633</v>
      </c>
      <c r="J2294" t="s">
        <v>34398</v>
      </c>
      <c r="K2294" t="s">
        <v>42632</v>
      </c>
      <c r="L2294" t="s">
        <v>1011</v>
      </c>
      <c r="M2294" t="s">
        <v>43959</v>
      </c>
      <c r="N2294" t="s">
        <v>47304</v>
      </c>
      <c r="O2294" t="s">
        <v>47305</v>
      </c>
      <c r="P2294">
        <v>0</v>
      </c>
      <c r="Q2294">
        <v>0</v>
      </c>
      <c r="R2294" t="s">
        <v>47307</v>
      </c>
      <c r="S2294" t="s">
        <v>47416</v>
      </c>
      <c r="T2294" t="s">
        <v>48986</v>
      </c>
      <c r="U2294" t="s">
        <v>51575</v>
      </c>
      <c r="W2294" t="s">
        <v>43959</v>
      </c>
      <c r="X2294" t="s">
        <v>47306</v>
      </c>
    </row>
    <row r="2295" spans="1:24">
      <c r="A2295">
        <f>HYPERLINK("https://www.philgeps.gov.ph/GEPSNONPILOT/Tender/SplashBidNoticeAbstractUI.aspx?menuIndex=3&amp;refID=7200169&amp;Result=3","7200169")</f>
        <v>0</v>
      </c>
      <c r="B2295" t="s">
        <v>992</v>
      </c>
      <c r="C2295" t="s">
        <v>6057</v>
      </c>
      <c r="D2295" t="s">
        <v>19009</v>
      </c>
      <c r="E2295" t="s">
        <v>21195</v>
      </c>
      <c r="F2295" t="s">
        <v>32606</v>
      </c>
      <c r="G2295" t="s">
        <v>32614</v>
      </c>
      <c r="H2295" t="s">
        <v>14201</v>
      </c>
      <c r="I2295" t="s">
        <v>4678</v>
      </c>
      <c r="J2295" t="s">
        <v>32981</v>
      </c>
      <c r="K2295" t="s">
        <v>42624</v>
      </c>
      <c r="M2295" t="s">
        <v>43939</v>
      </c>
      <c r="N2295" t="s">
        <v>47304</v>
      </c>
      <c r="O2295" t="s">
        <v>47305</v>
      </c>
      <c r="P2295">
        <v>0</v>
      </c>
      <c r="Q2295">
        <v>0</v>
      </c>
      <c r="R2295" t="s">
        <v>47307</v>
      </c>
      <c r="S2295" t="s">
        <v>47416</v>
      </c>
      <c r="T2295" t="s">
        <v>48972</v>
      </c>
      <c r="U2295" t="s">
        <v>51576</v>
      </c>
      <c r="W2295" t="s">
        <v>43939</v>
      </c>
      <c r="X2295" t="s">
        <v>47306</v>
      </c>
    </row>
    <row r="2296" spans="1:24">
      <c r="A2296">
        <f>HYPERLINK("https://www.philgeps.gov.ph/GEPSNONPILOT/Tender/SplashBidNoticeAbstractUI.aspx?menuIndex=3&amp;refID=7200165&amp;Result=3","7200165")</f>
        <v>0</v>
      </c>
      <c r="B2296" t="s">
        <v>256</v>
      </c>
      <c r="C2296" t="s">
        <v>6078</v>
      </c>
      <c r="E2296" t="s">
        <v>21196</v>
      </c>
      <c r="F2296" t="s">
        <v>32606</v>
      </c>
      <c r="G2296" t="s">
        <v>32614</v>
      </c>
      <c r="H2296" t="s">
        <v>14201</v>
      </c>
      <c r="I2296" t="s">
        <v>9008</v>
      </c>
      <c r="J2296" t="s">
        <v>34399</v>
      </c>
      <c r="K2296" t="s">
        <v>42623</v>
      </c>
      <c r="M2296" t="s">
        <v>43157</v>
      </c>
      <c r="N2296" t="s">
        <v>47304</v>
      </c>
      <c r="O2296" t="s">
        <v>47305</v>
      </c>
      <c r="P2296">
        <v>0</v>
      </c>
      <c r="Q2296">
        <v>0</v>
      </c>
      <c r="R2296" t="s">
        <v>47307</v>
      </c>
      <c r="S2296" t="s">
        <v>47416</v>
      </c>
      <c r="T2296" t="s">
        <v>48977</v>
      </c>
      <c r="U2296" t="s">
        <v>51577</v>
      </c>
      <c r="W2296" t="s">
        <v>43157</v>
      </c>
      <c r="X2296" t="s">
        <v>47306</v>
      </c>
    </row>
    <row r="2297" spans="1:24">
      <c r="A2297">
        <f>HYPERLINK("https://www.philgeps.gov.ph/GEPSNONPILOT/Tender/SplashBidNoticeAbstractUI.aspx?menuIndex=3&amp;refID=7200158&amp;Result=3","7200158")</f>
        <v>0</v>
      </c>
      <c r="B2297" t="s">
        <v>873</v>
      </c>
      <c r="C2297" t="s">
        <v>6079</v>
      </c>
      <c r="D2297" t="s">
        <v>19002</v>
      </c>
      <c r="E2297" t="s">
        <v>21197</v>
      </c>
      <c r="F2297" t="s">
        <v>32606</v>
      </c>
      <c r="G2297" t="s">
        <v>32617</v>
      </c>
      <c r="H2297" t="s">
        <v>14201</v>
      </c>
      <c r="I2297" t="s">
        <v>4678</v>
      </c>
      <c r="J2297" t="s">
        <v>33119</v>
      </c>
      <c r="K2297" t="s">
        <v>42630</v>
      </c>
      <c r="M2297" t="s">
        <v>43809</v>
      </c>
      <c r="N2297" t="s">
        <v>47304</v>
      </c>
      <c r="O2297" t="s">
        <v>47305</v>
      </c>
      <c r="P2297">
        <v>0</v>
      </c>
      <c r="Q2297">
        <v>0</v>
      </c>
      <c r="R2297" t="s">
        <v>47307</v>
      </c>
      <c r="S2297" t="s">
        <v>47416</v>
      </c>
      <c r="T2297" t="s">
        <v>49016</v>
      </c>
      <c r="U2297" t="s">
        <v>51523</v>
      </c>
      <c r="W2297" t="s">
        <v>43809</v>
      </c>
      <c r="X2297" t="s">
        <v>47306</v>
      </c>
    </row>
    <row r="2298" spans="1:24">
      <c r="A2298">
        <f>HYPERLINK("https://www.philgeps.gov.ph/GEPSNONPILOT/Tender/SplashBidNoticeAbstractUI.aspx?menuIndex=3&amp;refID=7200088&amp;Result=3","7200088")</f>
        <v>0</v>
      </c>
      <c r="B2298" t="s">
        <v>1012</v>
      </c>
      <c r="C2298" t="s">
        <v>6080</v>
      </c>
      <c r="D2298" t="s">
        <v>18995</v>
      </c>
      <c r="E2298" t="s">
        <v>21198</v>
      </c>
      <c r="F2298" t="s">
        <v>32606</v>
      </c>
      <c r="G2298" t="s">
        <v>32614</v>
      </c>
      <c r="H2298" t="s">
        <v>14201</v>
      </c>
      <c r="I2298" t="s">
        <v>6931</v>
      </c>
      <c r="J2298" t="s">
        <v>34400</v>
      </c>
      <c r="K2298" t="s">
        <v>42629</v>
      </c>
      <c r="M2298" t="s">
        <v>43960</v>
      </c>
      <c r="N2298" t="s">
        <v>47304</v>
      </c>
      <c r="O2298" t="s">
        <v>47305</v>
      </c>
      <c r="P2298">
        <v>0</v>
      </c>
      <c r="Q2298">
        <v>0</v>
      </c>
      <c r="R2298" t="s">
        <v>47307</v>
      </c>
      <c r="S2298" t="s">
        <v>47416</v>
      </c>
      <c r="T2298" t="s">
        <v>48976</v>
      </c>
      <c r="U2298" t="s">
        <v>51578</v>
      </c>
      <c r="W2298" t="s">
        <v>43960</v>
      </c>
      <c r="X2298" t="s">
        <v>47306</v>
      </c>
    </row>
    <row r="2299" spans="1:24">
      <c r="A2299">
        <f>HYPERLINK("https://www.philgeps.gov.ph/GEPSNONPILOT/Tender/SplashBidNoticeAbstractUI.aspx?menuIndex=3&amp;refID=7200170&amp;Result=3","7200170")</f>
        <v>0</v>
      </c>
      <c r="B2299" t="s">
        <v>873</v>
      </c>
      <c r="C2299" t="s">
        <v>6081</v>
      </c>
      <c r="D2299" t="s">
        <v>19002</v>
      </c>
      <c r="E2299" t="s">
        <v>21199</v>
      </c>
      <c r="F2299" t="s">
        <v>32606</v>
      </c>
      <c r="G2299" t="s">
        <v>32617</v>
      </c>
      <c r="H2299" t="s">
        <v>14201</v>
      </c>
      <c r="I2299" t="s">
        <v>4678</v>
      </c>
      <c r="J2299" t="s">
        <v>33119</v>
      </c>
      <c r="K2299" t="s">
        <v>42630</v>
      </c>
      <c r="M2299" t="s">
        <v>43809</v>
      </c>
      <c r="N2299" t="s">
        <v>47304</v>
      </c>
      <c r="O2299" t="s">
        <v>47305</v>
      </c>
      <c r="P2299">
        <v>0</v>
      </c>
      <c r="Q2299">
        <v>0</v>
      </c>
      <c r="R2299" t="s">
        <v>47307</v>
      </c>
      <c r="S2299" t="s">
        <v>47416</v>
      </c>
      <c r="T2299" t="s">
        <v>49016</v>
      </c>
      <c r="U2299" t="s">
        <v>51532</v>
      </c>
      <c r="W2299" t="s">
        <v>43809</v>
      </c>
      <c r="X2299" t="s">
        <v>47306</v>
      </c>
    </row>
    <row r="2300" spans="1:24">
      <c r="A2300">
        <f>HYPERLINK("https://www.philgeps.gov.ph/GEPSNONPILOT/Tender/SplashBidNoticeAbstractUI.aspx?menuIndex=3&amp;refID=7200159&amp;Result=3","7200159")</f>
        <v>0</v>
      </c>
      <c r="B2300" t="s">
        <v>1013</v>
      </c>
      <c r="C2300" t="s">
        <v>6082</v>
      </c>
      <c r="D2300" t="s">
        <v>18993</v>
      </c>
      <c r="E2300" t="s">
        <v>21200</v>
      </c>
      <c r="F2300" t="s">
        <v>32606</v>
      </c>
      <c r="G2300" t="s">
        <v>32619</v>
      </c>
      <c r="H2300" t="s">
        <v>14201</v>
      </c>
      <c r="I2300" t="s">
        <v>4120</v>
      </c>
      <c r="J2300" t="s">
        <v>33830</v>
      </c>
      <c r="K2300" t="s">
        <v>42632</v>
      </c>
      <c r="M2300" t="s">
        <v>43961</v>
      </c>
      <c r="N2300" t="s">
        <v>47304</v>
      </c>
      <c r="O2300" t="s">
        <v>47305</v>
      </c>
      <c r="P2300">
        <v>0</v>
      </c>
      <c r="Q2300">
        <v>0</v>
      </c>
      <c r="R2300" t="s">
        <v>47307</v>
      </c>
      <c r="S2300" t="s">
        <v>47416</v>
      </c>
      <c r="T2300" t="s">
        <v>49162</v>
      </c>
      <c r="U2300" t="s">
        <v>51579</v>
      </c>
      <c r="W2300" t="s">
        <v>43961</v>
      </c>
      <c r="X2300" t="s">
        <v>47306</v>
      </c>
    </row>
    <row r="2301" spans="1:24">
      <c r="A2301">
        <f>HYPERLINK("https://www.philgeps.gov.ph/GEPSNONPILOT/Tender/SplashBidNoticeAbstractUI.aspx?menuIndex=3&amp;refID=7200176&amp;Result=3","7200176")</f>
        <v>0</v>
      </c>
      <c r="B2301" t="s">
        <v>1014</v>
      </c>
      <c r="C2301" t="s">
        <v>6083</v>
      </c>
      <c r="D2301" t="s">
        <v>18995</v>
      </c>
      <c r="E2301" t="s">
        <v>21201</v>
      </c>
      <c r="F2301" t="s">
        <v>32606</v>
      </c>
      <c r="G2301" t="s">
        <v>32614</v>
      </c>
      <c r="H2301" t="s">
        <v>14201</v>
      </c>
      <c r="I2301" t="s">
        <v>32632</v>
      </c>
      <c r="J2301" t="s">
        <v>33555</v>
      </c>
      <c r="K2301" t="s">
        <v>42677</v>
      </c>
      <c r="L2301" t="s">
        <v>1014</v>
      </c>
      <c r="M2301" t="s">
        <v>43962</v>
      </c>
      <c r="N2301" t="s">
        <v>47304</v>
      </c>
      <c r="O2301" t="s">
        <v>47305</v>
      </c>
      <c r="P2301">
        <v>0</v>
      </c>
      <c r="Q2301">
        <v>0</v>
      </c>
      <c r="R2301" t="s">
        <v>47307</v>
      </c>
      <c r="S2301" t="s">
        <v>47416</v>
      </c>
      <c r="T2301" t="s">
        <v>48982</v>
      </c>
      <c r="U2301" t="s">
        <v>51580</v>
      </c>
      <c r="W2301" t="s">
        <v>43962</v>
      </c>
      <c r="X2301" t="s">
        <v>47306</v>
      </c>
    </row>
    <row r="2302" spans="1:24">
      <c r="A2302">
        <f>HYPERLINK("https://www.philgeps.gov.ph/GEPSNONPILOT/Tender/SplashBidNoticeAbstractUI.aspx?menuIndex=3&amp;refID=7200183&amp;Result=3","7200183")</f>
        <v>0</v>
      </c>
      <c r="B2302" t="s">
        <v>806</v>
      </c>
      <c r="C2302" t="s">
        <v>6084</v>
      </c>
      <c r="D2302" t="s">
        <v>19033</v>
      </c>
      <c r="E2302" t="s">
        <v>21202</v>
      </c>
      <c r="F2302" t="s">
        <v>32606</v>
      </c>
      <c r="G2302" t="s">
        <v>32614</v>
      </c>
      <c r="H2302" t="s">
        <v>14201</v>
      </c>
      <c r="I2302" t="s">
        <v>7577</v>
      </c>
      <c r="J2302" t="s">
        <v>34401</v>
      </c>
      <c r="K2302" t="s">
        <v>42631</v>
      </c>
      <c r="M2302" t="s">
        <v>43737</v>
      </c>
      <c r="N2302" t="s">
        <v>47304</v>
      </c>
      <c r="O2302" t="s">
        <v>47305</v>
      </c>
      <c r="P2302">
        <v>0</v>
      </c>
      <c r="Q2302">
        <v>0</v>
      </c>
      <c r="R2302" t="s">
        <v>47307</v>
      </c>
      <c r="S2302" t="s">
        <v>47416</v>
      </c>
      <c r="T2302" t="s">
        <v>49017</v>
      </c>
      <c r="U2302" t="s">
        <v>51581</v>
      </c>
      <c r="W2302" t="s">
        <v>43737</v>
      </c>
      <c r="X2302" t="s">
        <v>47306</v>
      </c>
    </row>
    <row r="2303" spans="1:24">
      <c r="A2303">
        <f>HYPERLINK("https://www.philgeps.gov.ph/GEPSNONPILOT/Tender/SplashBidNoticeAbstractUI.aspx?menuIndex=3&amp;refID=7200180&amp;Result=3","7200180")</f>
        <v>0</v>
      </c>
      <c r="B2303" t="s">
        <v>807</v>
      </c>
      <c r="C2303" t="s">
        <v>6085</v>
      </c>
      <c r="D2303" t="s">
        <v>19039</v>
      </c>
      <c r="E2303" t="s">
        <v>21203</v>
      </c>
      <c r="F2303" t="s">
        <v>32606</v>
      </c>
      <c r="G2303" t="s">
        <v>32614</v>
      </c>
      <c r="H2303" t="s">
        <v>14201</v>
      </c>
      <c r="I2303" t="s">
        <v>7233</v>
      </c>
      <c r="J2303" t="s">
        <v>34402</v>
      </c>
      <c r="K2303" t="s">
        <v>42623</v>
      </c>
      <c r="M2303" t="s">
        <v>43738</v>
      </c>
      <c r="N2303" t="s">
        <v>47304</v>
      </c>
      <c r="O2303" t="s">
        <v>47305</v>
      </c>
      <c r="P2303">
        <v>0</v>
      </c>
      <c r="Q2303">
        <v>0</v>
      </c>
      <c r="R2303" t="s">
        <v>47307</v>
      </c>
      <c r="S2303" t="s">
        <v>47416</v>
      </c>
      <c r="T2303" t="s">
        <v>48987</v>
      </c>
      <c r="U2303" t="s">
        <v>51037</v>
      </c>
      <c r="W2303" t="s">
        <v>64449</v>
      </c>
      <c r="X2303" t="s">
        <v>47306</v>
      </c>
    </row>
    <row r="2304" spans="1:24">
      <c r="A2304">
        <f>HYPERLINK("https://www.philgeps.gov.ph/GEPSNONPILOT/Tender/SplashBidNoticeAbstractUI.aspx?menuIndex=3&amp;refID=7200179&amp;Result=3","7200179")</f>
        <v>0</v>
      </c>
      <c r="B2304" t="s">
        <v>380</v>
      </c>
      <c r="C2304" t="s">
        <v>6086</v>
      </c>
      <c r="D2304" t="s">
        <v>18990</v>
      </c>
      <c r="E2304" t="s">
        <v>21204</v>
      </c>
      <c r="F2304" t="s">
        <v>32606</v>
      </c>
      <c r="G2304" t="s">
        <v>32614</v>
      </c>
      <c r="H2304" t="s">
        <v>14201</v>
      </c>
      <c r="I2304" t="s">
        <v>9013</v>
      </c>
      <c r="J2304" t="s">
        <v>34403</v>
      </c>
      <c r="K2304" t="s">
        <v>42631</v>
      </c>
      <c r="M2304" t="s">
        <v>43282</v>
      </c>
      <c r="N2304" t="s">
        <v>47304</v>
      </c>
      <c r="O2304" t="s">
        <v>47305</v>
      </c>
      <c r="P2304">
        <v>0</v>
      </c>
      <c r="Q2304">
        <v>0</v>
      </c>
      <c r="R2304" t="s">
        <v>47307</v>
      </c>
      <c r="S2304" t="s">
        <v>47416</v>
      </c>
      <c r="T2304" t="s">
        <v>48986</v>
      </c>
      <c r="U2304" t="s">
        <v>51582</v>
      </c>
      <c r="W2304" t="s">
        <v>43282</v>
      </c>
      <c r="X2304" t="s">
        <v>47306</v>
      </c>
    </row>
    <row r="2305" spans="1:24">
      <c r="A2305">
        <f>HYPERLINK("https://www.philgeps.gov.ph/GEPSNONPILOT/Tender/SplashBidNoticeAbstractUI.aspx?menuIndex=3&amp;refID=7200178&amp;Result=3","7200178")</f>
        <v>0</v>
      </c>
      <c r="B2305" t="s">
        <v>1015</v>
      </c>
      <c r="C2305" t="s">
        <v>6087</v>
      </c>
      <c r="D2305" t="s">
        <v>18988</v>
      </c>
      <c r="E2305" t="s">
        <v>21205</v>
      </c>
      <c r="F2305" t="s">
        <v>32606</v>
      </c>
      <c r="G2305" t="s">
        <v>32614</v>
      </c>
      <c r="H2305" t="s">
        <v>14201</v>
      </c>
      <c r="I2305" t="s">
        <v>6007</v>
      </c>
      <c r="J2305" t="s">
        <v>33569</v>
      </c>
      <c r="K2305" t="s">
        <v>42624</v>
      </c>
      <c r="M2305" t="s">
        <v>43963</v>
      </c>
      <c r="N2305" t="s">
        <v>47304</v>
      </c>
      <c r="O2305" t="s">
        <v>47305</v>
      </c>
      <c r="P2305">
        <v>0</v>
      </c>
      <c r="Q2305">
        <v>0</v>
      </c>
      <c r="R2305" t="s">
        <v>47307</v>
      </c>
      <c r="S2305" t="s">
        <v>47416</v>
      </c>
      <c r="T2305" t="s">
        <v>48975</v>
      </c>
      <c r="U2305" t="s">
        <v>51583</v>
      </c>
      <c r="W2305" t="s">
        <v>43963</v>
      </c>
      <c r="X2305" t="s">
        <v>47306</v>
      </c>
    </row>
    <row r="2306" spans="1:24">
      <c r="A2306">
        <f>HYPERLINK("https://www.philgeps.gov.ph/GEPSNONPILOT/Tender/SplashBidNoticeAbstractUI.aspx?menuIndex=3&amp;refID=7200160&amp;Result=3","7200160")</f>
        <v>0</v>
      </c>
      <c r="B2306" t="s">
        <v>276</v>
      </c>
      <c r="C2306" t="s">
        <v>6088</v>
      </c>
      <c r="D2306" t="s">
        <v>19001</v>
      </c>
      <c r="E2306" t="s">
        <v>21206</v>
      </c>
      <c r="F2306" t="s">
        <v>32606</v>
      </c>
      <c r="G2306" t="s">
        <v>32613</v>
      </c>
      <c r="H2306" t="s">
        <v>14201</v>
      </c>
      <c r="I2306" t="s">
        <v>32634</v>
      </c>
      <c r="J2306" t="s">
        <v>34404</v>
      </c>
      <c r="K2306" t="s">
        <v>42623</v>
      </c>
      <c r="M2306" t="s">
        <v>43964</v>
      </c>
      <c r="N2306" t="s">
        <v>47304</v>
      </c>
      <c r="O2306" t="s">
        <v>47305</v>
      </c>
      <c r="P2306">
        <v>0</v>
      </c>
      <c r="Q2306">
        <v>0</v>
      </c>
      <c r="R2306" t="s">
        <v>47307</v>
      </c>
      <c r="S2306" t="s">
        <v>47416</v>
      </c>
      <c r="T2306" t="s">
        <v>49094</v>
      </c>
      <c r="U2306" t="s">
        <v>51584</v>
      </c>
      <c r="W2306" t="s">
        <v>43964</v>
      </c>
      <c r="X2306" t="s">
        <v>47306</v>
      </c>
    </row>
    <row r="2307" spans="1:24">
      <c r="A2307">
        <f>HYPERLINK("https://www.philgeps.gov.ph/GEPSNONPILOT/Tender/SplashBidNoticeAbstractUI.aspx?menuIndex=3&amp;refID=7200185&amp;Result=3","7200185")</f>
        <v>0</v>
      </c>
      <c r="B2307" t="s">
        <v>1016</v>
      </c>
      <c r="C2307" t="s">
        <v>6089</v>
      </c>
      <c r="D2307" t="s">
        <v>18995</v>
      </c>
      <c r="E2307" t="s">
        <v>21207</v>
      </c>
      <c r="F2307" t="s">
        <v>32606</v>
      </c>
      <c r="G2307" t="s">
        <v>32614</v>
      </c>
      <c r="H2307" t="s">
        <v>14201</v>
      </c>
      <c r="I2307" t="s">
        <v>6298</v>
      </c>
      <c r="J2307" t="s">
        <v>34405</v>
      </c>
      <c r="K2307" t="s">
        <v>42630</v>
      </c>
      <c r="M2307" t="s">
        <v>43965</v>
      </c>
      <c r="N2307" t="s">
        <v>47304</v>
      </c>
      <c r="O2307" t="s">
        <v>47305</v>
      </c>
      <c r="P2307">
        <v>0</v>
      </c>
      <c r="Q2307">
        <v>0</v>
      </c>
      <c r="R2307" t="s">
        <v>47307</v>
      </c>
      <c r="S2307" t="s">
        <v>47416</v>
      </c>
      <c r="T2307" t="s">
        <v>48986</v>
      </c>
      <c r="U2307" t="s">
        <v>51585</v>
      </c>
      <c r="W2307" t="s">
        <v>43965</v>
      </c>
      <c r="X2307" t="s">
        <v>47306</v>
      </c>
    </row>
    <row r="2308" spans="1:24">
      <c r="A2308">
        <f>HYPERLINK("https://www.philgeps.gov.ph/GEPSNONPILOT/Tender/SplashBidNoticeAbstractUI.aspx?menuIndex=3&amp;refID=7200198&amp;Result=3","7200198")</f>
        <v>0</v>
      </c>
      <c r="B2308" t="s">
        <v>28</v>
      </c>
      <c r="C2308" t="s">
        <v>6090</v>
      </c>
      <c r="D2308" t="s">
        <v>18993</v>
      </c>
      <c r="E2308" t="s">
        <v>21208</v>
      </c>
      <c r="F2308" t="s">
        <v>32606</v>
      </c>
      <c r="G2308" t="s">
        <v>32614</v>
      </c>
      <c r="H2308" t="s">
        <v>32624</v>
      </c>
      <c r="I2308" t="s">
        <v>32652</v>
      </c>
      <c r="J2308" t="s">
        <v>33663</v>
      </c>
      <c r="K2308" t="s">
        <v>42644</v>
      </c>
      <c r="M2308" t="s">
        <v>43966</v>
      </c>
      <c r="N2308" t="s">
        <v>47304</v>
      </c>
      <c r="O2308" t="s">
        <v>47305</v>
      </c>
      <c r="P2308">
        <v>0</v>
      </c>
      <c r="Q2308">
        <v>0</v>
      </c>
      <c r="R2308" t="s">
        <v>47307</v>
      </c>
      <c r="S2308" t="s">
        <v>47416</v>
      </c>
      <c r="T2308" t="s">
        <v>49184</v>
      </c>
      <c r="U2308" t="s">
        <v>51586</v>
      </c>
      <c r="W2308" t="s">
        <v>43966</v>
      </c>
      <c r="X2308" t="s">
        <v>47306</v>
      </c>
    </row>
    <row r="2309" spans="1:24">
      <c r="A2309">
        <f>HYPERLINK("https://www.philgeps.gov.ph/GEPSNONPILOT/Tender/SplashBidNoticeAbstractUI.aspx?menuIndex=3&amp;refID=7200197&amp;Result=3","7200197")</f>
        <v>0</v>
      </c>
      <c r="B2309" t="s">
        <v>992</v>
      </c>
      <c r="C2309" t="s">
        <v>6091</v>
      </c>
      <c r="D2309" t="s">
        <v>19009</v>
      </c>
      <c r="E2309" t="s">
        <v>21209</v>
      </c>
      <c r="F2309" t="s">
        <v>32606</v>
      </c>
      <c r="G2309" t="s">
        <v>32617</v>
      </c>
      <c r="H2309" t="s">
        <v>14201</v>
      </c>
      <c r="I2309" t="s">
        <v>32638</v>
      </c>
      <c r="J2309" t="s">
        <v>34406</v>
      </c>
      <c r="K2309" t="s">
        <v>42624</v>
      </c>
      <c r="M2309" t="s">
        <v>43939</v>
      </c>
      <c r="N2309" t="s">
        <v>47304</v>
      </c>
      <c r="O2309" t="s">
        <v>47305</v>
      </c>
      <c r="P2309">
        <v>0</v>
      </c>
      <c r="Q2309">
        <v>0</v>
      </c>
      <c r="R2309" t="s">
        <v>47307</v>
      </c>
      <c r="S2309" t="s">
        <v>47416</v>
      </c>
      <c r="T2309" t="s">
        <v>48972</v>
      </c>
      <c r="U2309" t="s">
        <v>51587</v>
      </c>
      <c r="W2309" t="s">
        <v>43939</v>
      </c>
      <c r="X2309" t="s">
        <v>47306</v>
      </c>
    </row>
    <row r="2310" spans="1:24">
      <c r="A2310">
        <f>HYPERLINK("https://www.philgeps.gov.ph/GEPSNONPILOT/Tender/SplashBidNoticeAbstractUI.aspx?menuIndex=3&amp;refID=7200196&amp;Result=3","7200196")</f>
        <v>0</v>
      </c>
      <c r="B2310" t="s">
        <v>439</v>
      </c>
      <c r="C2310" t="s">
        <v>6092</v>
      </c>
      <c r="D2310" t="s">
        <v>19054</v>
      </c>
      <c r="E2310" t="s">
        <v>21210</v>
      </c>
      <c r="F2310" t="s">
        <v>32606</v>
      </c>
      <c r="G2310" t="s">
        <v>32619</v>
      </c>
      <c r="H2310" t="s">
        <v>14201</v>
      </c>
      <c r="I2310" t="s">
        <v>6931</v>
      </c>
      <c r="J2310" t="s">
        <v>34407</v>
      </c>
      <c r="K2310" t="s">
        <v>42631</v>
      </c>
      <c r="M2310" t="s">
        <v>43346</v>
      </c>
      <c r="N2310" t="s">
        <v>47304</v>
      </c>
      <c r="O2310" t="s">
        <v>47305</v>
      </c>
      <c r="P2310">
        <v>0</v>
      </c>
      <c r="Q2310">
        <v>0</v>
      </c>
      <c r="R2310" t="s">
        <v>47307</v>
      </c>
      <c r="S2310" t="s">
        <v>47416</v>
      </c>
      <c r="T2310" t="s">
        <v>49050</v>
      </c>
      <c r="U2310" t="s">
        <v>51588</v>
      </c>
      <c r="W2310" t="s">
        <v>43346</v>
      </c>
      <c r="X2310" t="s">
        <v>47306</v>
      </c>
    </row>
    <row r="2311" spans="1:24">
      <c r="A2311">
        <f>HYPERLINK("https://www.philgeps.gov.ph/GEPSNONPILOT/Tender/SplashBidNoticeAbstractUI.aspx?menuIndex=3&amp;refID=7200194&amp;Result=3","7200194")</f>
        <v>0</v>
      </c>
      <c r="B2311" t="s">
        <v>1017</v>
      </c>
      <c r="C2311" t="s">
        <v>6093</v>
      </c>
      <c r="D2311" t="s">
        <v>19040</v>
      </c>
      <c r="E2311" t="s">
        <v>21211</v>
      </c>
      <c r="F2311" t="s">
        <v>32606</v>
      </c>
      <c r="G2311" t="s">
        <v>32614</v>
      </c>
      <c r="H2311" t="s">
        <v>14201</v>
      </c>
      <c r="I2311" t="s">
        <v>9013</v>
      </c>
      <c r="J2311" t="s">
        <v>33843</v>
      </c>
      <c r="K2311" t="s">
        <v>42639</v>
      </c>
      <c r="M2311" t="s">
        <v>43967</v>
      </c>
      <c r="N2311" t="s">
        <v>47304</v>
      </c>
      <c r="O2311" t="s">
        <v>47305</v>
      </c>
      <c r="P2311">
        <v>0</v>
      </c>
      <c r="Q2311">
        <v>0</v>
      </c>
      <c r="R2311" t="s">
        <v>47307</v>
      </c>
      <c r="S2311" t="s">
        <v>47416</v>
      </c>
      <c r="T2311" t="s">
        <v>48996</v>
      </c>
      <c r="U2311" t="s">
        <v>51589</v>
      </c>
      <c r="W2311" t="s">
        <v>43967</v>
      </c>
      <c r="X2311" t="s">
        <v>47306</v>
      </c>
    </row>
    <row r="2312" spans="1:24">
      <c r="A2312">
        <f>HYPERLINK("https://www.philgeps.gov.ph/GEPSNONPILOT/Tender/SplashBidNoticeAbstractUI.aspx?menuIndex=3&amp;refID=7200193&amp;Result=3","7200193")</f>
        <v>0</v>
      </c>
      <c r="B2312" t="s">
        <v>1018</v>
      </c>
      <c r="C2312" t="s">
        <v>4452</v>
      </c>
      <c r="D2312" t="s">
        <v>19019</v>
      </c>
      <c r="E2312" t="s">
        <v>21212</v>
      </c>
      <c r="F2312" t="s">
        <v>32606</v>
      </c>
      <c r="G2312" t="s">
        <v>32614</v>
      </c>
      <c r="H2312" t="s">
        <v>14201</v>
      </c>
      <c r="I2312" t="s">
        <v>4112</v>
      </c>
      <c r="J2312" t="s">
        <v>34408</v>
      </c>
      <c r="K2312" t="s">
        <v>42627</v>
      </c>
      <c r="M2312" t="s">
        <v>43968</v>
      </c>
      <c r="N2312" t="s">
        <v>47304</v>
      </c>
      <c r="O2312" t="s">
        <v>47305</v>
      </c>
      <c r="P2312">
        <v>0</v>
      </c>
      <c r="Q2312">
        <v>0</v>
      </c>
      <c r="R2312" t="s">
        <v>47307</v>
      </c>
      <c r="S2312" t="s">
        <v>47416</v>
      </c>
      <c r="T2312" t="s">
        <v>49015</v>
      </c>
      <c r="U2312" t="s">
        <v>51590</v>
      </c>
      <c r="W2312" t="s">
        <v>43968</v>
      </c>
      <c r="X2312" t="s">
        <v>47306</v>
      </c>
    </row>
    <row r="2313" spans="1:24">
      <c r="A2313">
        <f>HYPERLINK("https://www.philgeps.gov.ph/GEPSNONPILOT/Tender/SplashBidNoticeAbstractUI.aspx?menuIndex=3&amp;refID=7200192&amp;Result=3","7200192")</f>
        <v>0</v>
      </c>
      <c r="B2313" t="s">
        <v>696</v>
      </c>
      <c r="C2313" t="s">
        <v>6094</v>
      </c>
      <c r="D2313" t="s">
        <v>19069</v>
      </c>
      <c r="E2313" t="s">
        <v>21213</v>
      </c>
      <c r="F2313" t="s">
        <v>32606</v>
      </c>
      <c r="G2313" t="s">
        <v>32613</v>
      </c>
      <c r="H2313" t="s">
        <v>14201</v>
      </c>
      <c r="I2313" t="s">
        <v>32686</v>
      </c>
      <c r="J2313" t="s">
        <v>34409</v>
      </c>
      <c r="K2313" t="s">
        <v>42639</v>
      </c>
      <c r="M2313" t="s">
        <v>43969</v>
      </c>
      <c r="N2313" t="s">
        <v>47304</v>
      </c>
      <c r="O2313" t="s">
        <v>47305</v>
      </c>
      <c r="P2313">
        <v>0</v>
      </c>
      <c r="Q2313">
        <v>0</v>
      </c>
      <c r="R2313" t="s">
        <v>47307</v>
      </c>
      <c r="S2313" t="s">
        <v>47416</v>
      </c>
      <c r="T2313" t="s">
        <v>49048</v>
      </c>
      <c r="U2313" t="s">
        <v>51591</v>
      </c>
      <c r="V2313" t="s">
        <v>62899</v>
      </c>
      <c r="W2313" t="s">
        <v>43969</v>
      </c>
      <c r="X2313" t="s">
        <v>47306</v>
      </c>
    </row>
    <row r="2314" spans="1:24">
      <c r="A2314">
        <f>HYPERLINK("https://www.philgeps.gov.ph/GEPSNONPILOT/Tender/SplashBidNoticeAbstractUI.aspx?menuIndex=3&amp;refID=7200191&amp;Result=3","7200191")</f>
        <v>0</v>
      </c>
      <c r="B2314" t="s">
        <v>1019</v>
      </c>
      <c r="C2314" t="s">
        <v>6095</v>
      </c>
      <c r="D2314" t="s">
        <v>18995</v>
      </c>
      <c r="E2314" t="s">
        <v>21002</v>
      </c>
      <c r="F2314" t="s">
        <v>32606</v>
      </c>
      <c r="G2314" t="s">
        <v>32614</v>
      </c>
      <c r="H2314" t="s">
        <v>14201</v>
      </c>
      <c r="I2314" t="s">
        <v>13131</v>
      </c>
      <c r="J2314" t="s">
        <v>34410</v>
      </c>
      <c r="K2314" t="s">
        <v>42631</v>
      </c>
      <c r="M2314" t="s">
        <v>43970</v>
      </c>
      <c r="N2314" t="s">
        <v>47304</v>
      </c>
      <c r="O2314" t="s">
        <v>47305</v>
      </c>
      <c r="P2314">
        <v>0</v>
      </c>
      <c r="Q2314">
        <v>0</v>
      </c>
      <c r="R2314" t="s">
        <v>47307</v>
      </c>
      <c r="S2314" t="s">
        <v>47416</v>
      </c>
      <c r="T2314" t="s">
        <v>49002</v>
      </c>
      <c r="U2314" t="s">
        <v>51592</v>
      </c>
      <c r="W2314" t="s">
        <v>43970</v>
      </c>
      <c r="X2314" t="s">
        <v>47306</v>
      </c>
    </row>
    <row r="2315" spans="1:24">
      <c r="A2315">
        <f>HYPERLINK("https://www.philgeps.gov.ph/GEPSNONPILOT/Tender/SplashBidNoticeAbstractUI.aspx?menuIndex=3&amp;refID=7200190&amp;Result=3","7200190")</f>
        <v>0</v>
      </c>
      <c r="B2315" t="s">
        <v>726</v>
      </c>
      <c r="C2315" t="s">
        <v>6096</v>
      </c>
      <c r="D2315" t="s">
        <v>19009</v>
      </c>
      <c r="E2315" t="s">
        <v>21214</v>
      </c>
      <c r="F2315" t="s">
        <v>32606</v>
      </c>
      <c r="G2315" t="s">
        <v>32613</v>
      </c>
      <c r="H2315" t="s">
        <v>14201</v>
      </c>
      <c r="I2315" t="s">
        <v>32638</v>
      </c>
      <c r="J2315" t="s">
        <v>32767</v>
      </c>
      <c r="K2315" t="s">
        <v>42636</v>
      </c>
      <c r="M2315" t="s">
        <v>43942</v>
      </c>
      <c r="N2315" t="s">
        <v>47304</v>
      </c>
      <c r="O2315" t="s">
        <v>47305</v>
      </c>
      <c r="P2315">
        <v>0</v>
      </c>
      <c r="Q2315">
        <v>0</v>
      </c>
      <c r="R2315" t="s">
        <v>47307</v>
      </c>
      <c r="S2315" t="s">
        <v>47416</v>
      </c>
      <c r="T2315" t="s">
        <v>49205</v>
      </c>
      <c r="U2315" t="s">
        <v>51593</v>
      </c>
      <c r="V2315" t="s">
        <v>62846</v>
      </c>
      <c r="W2315" t="s">
        <v>43942</v>
      </c>
      <c r="X2315" t="s">
        <v>47306</v>
      </c>
    </row>
    <row r="2316" spans="1:24">
      <c r="A2316">
        <f>HYPERLINK("https://www.philgeps.gov.ph/GEPSNONPILOT/Tender/SplashBidNoticeAbstractUI.aspx?menuIndex=3&amp;refID=7200189&amp;Result=3","7200189")</f>
        <v>0</v>
      </c>
      <c r="B2316" t="s">
        <v>861</v>
      </c>
      <c r="C2316" t="s">
        <v>6097</v>
      </c>
      <c r="D2316" t="s">
        <v>19015</v>
      </c>
      <c r="E2316" t="s">
        <v>21215</v>
      </c>
      <c r="F2316" t="s">
        <v>32606</v>
      </c>
      <c r="G2316" t="s">
        <v>32613</v>
      </c>
      <c r="H2316" t="s">
        <v>14201</v>
      </c>
      <c r="I2316" t="s">
        <v>6298</v>
      </c>
      <c r="J2316" t="s">
        <v>34411</v>
      </c>
      <c r="K2316" t="s">
        <v>42639</v>
      </c>
      <c r="M2316" t="s">
        <v>43795</v>
      </c>
      <c r="N2316" t="s">
        <v>47304</v>
      </c>
      <c r="O2316" t="s">
        <v>47305</v>
      </c>
      <c r="P2316">
        <v>0</v>
      </c>
      <c r="Q2316">
        <v>0</v>
      </c>
      <c r="R2316" t="s">
        <v>47307</v>
      </c>
      <c r="S2316" t="s">
        <v>47416</v>
      </c>
      <c r="T2316" t="s">
        <v>48996</v>
      </c>
      <c r="U2316" t="s">
        <v>51594</v>
      </c>
      <c r="W2316" t="s">
        <v>43795</v>
      </c>
      <c r="X2316" t="s">
        <v>47306</v>
      </c>
    </row>
    <row r="2317" spans="1:24">
      <c r="A2317">
        <f>HYPERLINK("https://www.philgeps.gov.ph/GEPSNONPILOT/Tender/SplashBidNoticeAbstractUI.aspx?menuIndex=3&amp;refID=7200187&amp;Result=3","7200187")</f>
        <v>0</v>
      </c>
      <c r="B2317" t="s">
        <v>238</v>
      </c>
      <c r="C2317" t="s">
        <v>6098</v>
      </c>
      <c r="D2317" t="s">
        <v>18993</v>
      </c>
      <c r="E2317" t="s">
        <v>21216</v>
      </c>
      <c r="F2317" t="s">
        <v>32606</v>
      </c>
      <c r="G2317" t="s">
        <v>32619</v>
      </c>
      <c r="H2317" t="s">
        <v>14201</v>
      </c>
      <c r="I2317" t="s">
        <v>32633</v>
      </c>
      <c r="J2317" t="s">
        <v>32949</v>
      </c>
      <c r="K2317" t="s">
        <v>42622</v>
      </c>
      <c r="M2317" t="s">
        <v>43794</v>
      </c>
      <c r="N2317" t="s">
        <v>47304</v>
      </c>
      <c r="O2317" t="s">
        <v>47305</v>
      </c>
      <c r="P2317">
        <v>0</v>
      </c>
      <c r="Q2317">
        <v>0</v>
      </c>
      <c r="R2317" t="s">
        <v>47307</v>
      </c>
      <c r="S2317" t="s">
        <v>47416</v>
      </c>
      <c r="T2317" t="s">
        <v>49014</v>
      </c>
      <c r="U2317" t="s">
        <v>51595</v>
      </c>
      <c r="V2317" t="s">
        <v>62844</v>
      </c>
      <c r="W2317" t="s">
        <v>43794</v>
      </c>
      <c r="X2317" t="s">
        <v>47306</v>
      </c>
    </row>
    <row r="2318" spans="1:24">
      <c r="A2318">
        <f>HYPERLINK("https://www.philgeps.gov.ph/GEPSNONPILOT/Tender/SplashBidNoticeAbstractUI.aspx?menuIndex=3&amp;refID=7200182&amp;Result=3","7200182")</f>
        <v>0</v>
      </c>
      <c r="B2318" t="s">
        <v>1020</v>
      </c>
      <c r="C2318" t="s">
        <v>6099</v>
      </c>
      <c r="D2318" t="s">
        <v>19041</v>
      </c>
      <c r="E2318" t="s">
        <v>20107</v>
      </c>
      <c r="F2318" t="s">
        <v>32606</v>
      </c>
      <c r="G2318" t="s">
        <v>32613</v>
      </c>
      <c r="H2318" t="s">
        <v>14201</v>
      </c>
      <c r="I2318" t="s">
        <v>7064</v>
      </c>
      <c r="J2318" t="s">
        <v>34412</v>
      </c>
      <c r="K2318" t="s">
        <v>42648</v>
      </c>
      <c r="M2318" t="s">
        <v>43971</v>
      </c>
      <c r="N2318" t="s">
        <v>47304</v>
      </c>
      <c r="O2318" t="s">
        <v>47305</v>
      </c>
      <c r="P2318">
        <v>0</v>
      </c>
      <c r="Q2318">
        <v>2</v>
      </c>
      <c r="R2318" t="s">
        <v>47307</v>
      </c>
      <c r="S2318" t="s">
        <v>47416</v>
      </c>
      <c r="T2318" t="s">
        <v>49032</v>
      </c>
      <c r="U2318" t="s">
        <v>51596</v>
      </c>
      <c r="W2318" t="s">
        <v>43971</v>
      </c>
      <c r="X2318" t="s">
        <v>47306</v>
      </c>
    </row>
    <row r="2319" spans="1:24">
      <c r="A2319">
        <f>HYPERLINK("https://www.philgeps.gov.ph/GEPSNONPILOT/Tender/SplashBidNoticeAbstractUI.aspx?menuIndex=3&amp;refID=7200177&amp;Result=3","7200177")</f>
        <v>0</v>
      </c>
      <c r="B2319" t="s">
        <v>1003</v>
      </c>
      <c r="C2319" t="s">
        <v>6100</v>
      </c>
      <c r="D2319" t="s">
        <v>18999</v>
      </c>
      <c r="E2319" t="s">
        <v>21217</v>
      </c>
      <c r="F2319" t="s">
        <v>32606</v>
      </c>
      <c r="G2319" t="s">
        <v>32614</v>
      </c>
      <c r="H2319" t="s">
        <v>14201</v>
      </c>
      <c r="I2319" t="s">
        <v>32638</v>
      </c>
      <c r="J2319" t="s">
        <v>34413</v>
      </c>
      <c r="K2319" t="s">
        <v>42684</v>
      </c>
      <c r="M2319" t="s">
        <v>43951</v>
      </c>
      <c r="N2319" t="s">
        <v>47304</v>
      </c>
      <c r="O2319" t="s">
        <v>47305</v>
      </c>
      <c r="P2319">
        <v>0</v>
      </c>
      <c r="Q2319">
        <v>0</v>
      </c>
      <c r="R2319" t="s">
        <v>47307</v>
      </c>
      <c r="S2319" t="s">
        <v>47416</v>
      </c>
      <c r="T2319" t="s">
        <v>48988</v>
      </c>
      <c r="U2319" t="s">
        <v>51597</v>
      </c>
      <c r="V2319" t="s">
        <v>62897</v>
      </c>
      <c r="W2319" t="s">
        <v>43951</v>
      </c>
      <c r="X2319" t="s">
        <v>47306</v>
      </c>
    </row>
    <row r="2320" spans="1:24">
      <c r="A2320">
        <f>HYPERLINK("https://www.philgeps.gov.ph/GEPSNONPILOT/Tender/SplashBidNoticeAbstractUI.aspx?menuIndex=3&amp;refID=7200181&amp;Result=3","7200181")</f>
        <v>0</v>
      </c>
      <c r="B2320" t="s">
        <v>1021</v>
      </c>
      <c r="C2320" t="s">
        <v>6101</v>
      </c>
      <c r="D2320" t="s">
        <v>18993</v>
      </c>
      <c r="E2320" t="s">
        <v>21218</v>
      </c>
      <c r="F2320" t="s">
        <v>32606</v>
      </c>
      <c r="G2320" t="s">
        <v>32613</v>
      </c>
      <c r="H2320" t="s">
        <v>14201</v>
      </c>
      <c r="I2320" t="s">
        <v>4678</v>
      </c>
      <c r="J2320" t="s">
        <v>32781</v>
      </c>
      <c r="K2320" t="s">
        <v>42631</v>
      </c>
      <c r="M2320" t="s">
        <v>43972</v>
      </c>
      <c r="N2320" t="s">
        <v>47304</v>
      </c>
      <c r="O2320" t="s">
        <v>47305</v>
      </c>
      <c r="P2320">
        <v>0</v>
      </c>
      <c r="Q2320">
        <v>0</v>
      </c>
      <c r="R2320" t="s">
        <v>47307</v>
      </c>
      <c r="S2320" t="s">
        <v>47416</v>
      </c>
      <c r="T2320" t="s">
        <v>49033</v>
      </c>
      <c r="U2320" t="s">
        <v>51598</v>
      </c>
      <c r="V2320" t="s">
        <v>62900</v>
      </c>
      <c r="W2320" t="s">
        <v>43972</v>
      </c>
      <c r="X2320" t="s">
        <v>47306</v>
      </c>
    </row>
    <row r="2321" spans="1:24">
      <c r="A2321">
        <f>HYPERLINK("https://www.philgeps.gov.ph/GEPSNONPILOT/Tender/SplashBidNoticeAbstractUI.aspx?menuIndex=3&amp;refID=7200200&amp;Result=3","7200200")</f>
        <v>0</v>
      </c>
      <c r="B2321" t="s">
        <v>873</v>
      </c>
      <c r="C2321" t="s">
        <v>6102</v>
      </c>
      <c r="D2321" t="s">
        <v>19002</v>
      </c>
      <c r="E2321" t="s">
        <v>21219</v>
      </c>
      <c r="F2321" t="s">
        <v>32606</v>
      </c>
      <c r="G2321" t="s">
        <v>32617</v>
      </c>
      <c r="H2321" t="s">
        <v>14201</v>
      </c>
      <c r="I2321" t="s">
        <v>4678</v>
      </c>
      <c r="J2321" t="s">
        <v>33119</v>
      </c>
      <c r="K2321" t="s">
        <v>42630</v>
      </c>
      <c r="M2321" t="s">
        <v>43809</v>
      </c>
      <c r="N2321" t="s">
        <v>47304</v>
      </c>
      <c r="O2321" t="s">
        <v>47305</v>
      </c>
      <c r="P2321">
        <v>0</v>
      </c>
      <c r="Q2321">
        <v>0</v>
      </c>
      <c r="R2321" t="s">
        <v>47307</v>
      </c>
      <c r="S2321" t="s">
        <v>47416</v>
      </c>
      <c r="T2321" t="s">
        <v>49016</v>
      </c>
      <c r="U2321" t="s">
        <v>51532</v>
      </c>
      <c r="W2321" t="s">
        <v>43809</v>
      </c>
      <c r="X2321" t="s">
        <v>47306</v>
      </c>
    </row>
    <row r="2322" spans="1:24">
      <c r="A2322">
        <f>HYPERLINK("https://www.philgeps.gov.ph/GEPSNONPILOT/Tender/SplashBidNoticeAbstractUI.aspx?menuIndex=3&amp;refID=7200210&amp;Result=3","7200210")</f>
        <v>0</v>
      </c>
      <c r="B2322" t="s">
        <v>212</v>
      </c>
      <c r="C2322" t="s">
        <v>6103</v>
      </c>
      <c r="D2322" t="s">
        <v>19007</v>
      </c>
      <c r="E2322" t="s">
        <v>21220</v>
      </c>
      <c r="F2322" t="s">
        <v>32606</v>
      </c>
      <c r="G2322" t="s">
        <v>32614</v>
      </c>
      <c r="H2322" t="s">
        <v>14201</v>
      </c>
      <c r="I2322" t="s">
        <v>4114</v>
      </c>
      <c r="J2322" t="s">
        <v>34414</v>
      </c>
      <c r="K2322" t="s">
        <v>42631</v>
      </c>
      <c r="M2322" t="s">
        <v>43113</v>
      </c>
      <c r="N2322" t="s">
        <v>47304</v>
      </c>
      <c r="O2322" t="s">
        <v>47305</v>
      </c>
      <c r="P2322">
        <v>0</v>
      </c>
      <c r="Q2322">
        <v>0</v>
      </c>
      <c r="R2322" t="s">
        <v>47307</v>
      </c>
      <c r="S2322" t="s">
        <v>47416</v>
      </c>
      <c r="T2322" t="s">
        <v>49041</v>
      </c>
      <c r="U2322" t="s">
        <v>51599</v>
      </c>
      <c r="W2322" t="s">
        <v>43113</v>
      </c>
      <c r="X2322" t="s">
        <v>47306</v>
      </c>
    </row>
    <row r="2323" spans="1:24">
      <c r="A2323">
        <f>HYPERLINK("https://www.philgeps.gov.ph/GEPSNONPILOT/Tender/SplashBidNoticeAbstractUI.aspx?menuIndex=3&amp;refID=7200186&amp;Result=3","7200186")</f>
        <v>0</v>
      </c>
      <c r="B2323" t="s">
        <v>256</v>
      </c>
      <c r="C2323" t="s">
        <v>6104</v>
      </c>
      <c r="E2323" t="s">
        <v>21221</v>
      </c>
      <c r="F2323" t="s">
        <v>32606</v>
      </c>
      <c r="G2323" t="s">
        <v>32614</v>
      </c>
      <c r="H2323" t="s">
        <v>14201</v>
      </c>
      <c r="I2323" t="s">
        <v>4112</v>
      </c>
      <c r="J2323" t="s">
        <v>34415</v>
      </c>
      <c r="K2323" t="s">
        <v>42623</v>
      </c>
      <c r="M2323" t="s">
        <v>43157</v>
      </c>
      <c r="N2323" t="s">
        <v>47304</v>
      </c>
      <c r="O2323" t="s">
        <v>47305</v>
      </c>
      <c r="P2323">
        <v>0</v>
      </c>
      <c r="Q2323">
        <v>0</v>
      </c>
      <c r="R2323" t="s">
        <v>47307</v>
      </c>
      <c r="S2323" t="s">
        <v>47416</v>
      </c>
      <c r="T2323" t="s">
        <v>48977</v>
      </c>
      <c r="U2323" t="s">
        <v>51600</v>
      </c>
      <c r="W2323" t="s">
        <v>43157</v>
      </c>
      <c r="X2323" t="s">
        <v>47306</v>
      </c>
    </row>
    <row r="2324" spans="1:24">
      <c r="A2324">
        <f>HYPERLINK("https://www.philgeps.gov.ph/GEPSNONPILOT/Tender/SplashBidNoticeAbstractUI.aspx?menuIndex=3&amp;refID=7200206&amp;Result=3","7200206")</f>
        <v>0</v>
      </c>
      <c r="B2324" t="s">
        <v>238</v>
      </c>
      <c r="C2324" t="s">
        <v>6105</v>
      </c>
      <c r="D2324" t="s">
        <v>18993</v>
      </c>
      <c r="E2324" t="s">
        <v>21222</v>
      </c>
      <c r="F2324" t="s">
        <v>32606</v>
      </c>
      <c r="G2324" t="s">
        <v>32619</v>
      </c>
      <c r="H2324" t="s">
        <v>14201</v>
      </c>
      <c r="I2324" t="s">
        <v>32633</v>
      </c>
      <c r="J2324" t="s">
        <v>34416</v>
      </c>
      <c r="K2324" t="s">
        <v>42622</v>
      </c>
      <c r="M2324" t="s">
        <v>43794</v>
      </c>
      <c r="N2324" t="s">
        <v>47304</v>
      </c>
      <c r="O2324" t="s">
        <v>47305</v>
      </c>
      <c r="P2324">
        <v>0</v>
      </c>
      <c r="Q2324">
        <v>0</v>
      </c>
      <c r="R2324" t="s">
        <v>47307</v>
      </c>
      <c r="S2324" t="s">
        <v>47416</v>
      </c>
      <c r="T2324" t="s">
        <v>49014</v>
      </c>
      <c r="U2324" t="s">
        <v>51601</v>
      </c>
      <c r="V2324" t="s">
        <v>62844</v>
      </c>
      <c r="W2324" t="s">
        <v>43794</v>
      </c>
      <c r="X2324" t="s">
        <v>47306</v>
      </c>
    </row>
    <row r="2325" spans="1:24">
      <c r="A2325">
        <f>HYPERLINK("https://www.philgeps.gov.ph/GEPSNONPILOT/Tender/SplashBidNoticeAbstractUI.aspx?menuIndex=3&amp;refID=7200205&amp;Result=3","7200205")</f>
        <v>0</v>
      </c>
      <c r="B2325" t="s">
        <v>628</v>
      </c>
      <c r="C2325" t="s">
        <v>6106</v>
      </c>
      <c r="D2325" t="s">
        <v>19029</v>
      </c>
      <c r="E2325" t="s">
        <v>21223</v>
      </c>
      <c r="F2325" t="s">
        <v>32606</v>
      </c>
      <c r="G2325" t="s">
        <v>32614</v>
      </c>
      <c r="H2325" t="s">
        <v>14201</v>
      </c>
      <c r="I2325" t="s">
        <v>17648</v>
      </c>
      <c r="J2325" t="s">
        <v>34417</v>
      </c>
      <c r="K2325" t="s">
        <v>42631</v>
      </c>
      <c r="M2325" t="s">
        <v>43973</v>
      </c>
      <c r="N2325" t="s">
        <v>47304</v>
      </c>
      <c r="O2325" t="s">
        <v>47305</v>
      </c>
      <c r="P2325">
        <v>0</v>
      </c>
      <c r="Q2325">
        <v>0</v>
      </c>
      <c r="R2325" t="s">
        <v>47307</v>
      </c>
      <c r="S2325" t="s">
        <v>47416</v>
      </c>
      <c r="T2325" t="s">
        <v>48972</v>
      </c>
      <c r="U2325" t="s">
        <v>51602</v>
      </c>
      <c r="V2325" t="s">
        <v>62901</v>
      </c>
      <c r="W2325" t="s">
        <v>43973</v>
      </c>
      <c r="X2325" t="s">
        <v>47306</v>
      </c>
    </row>
    <row r="2326" spans="1:24">
      <c r="A2326">
        <f>HYPERLINK("https://www.philgeps.gov.ph/GEPSNONPILOT/Tender/SplashBidNoticeAbstractUI.aspx?menuIndex=3&amp;refID=7200203&amp;Result=3","7200203")</f>
        <v>0</v>
      </c>
      <c r="B2326" t="s">
        <v>696</v>
      </c>
      <c r="C2326" t="s">
        <v>6107</v>
      </c>
      <c r="D2326" t="s">
        <v>19069</v>
      </c>
      <c r="E2326" t="s">
        <v>21224</v>
      </c>
      <c r="F2326" t="s">
        <v>32606</v>
      </c>
      <c r="G2326" t="s">
        <v>32613</v>
      </c>
      <c r="H2326" t="s">
        <v>14201</v>
      </c>
      <c r="I2326" t="s">
        <v>32686</v>
      </c>
      <c r="J2326" t="s">
        <v>34418</v>
      </c>
      <c r="K2326" t="s">
        <v>42648</v>
      </c>
      <c r="M2326" t="s">
        <v>43969</v>
      </c>
      <c r="N2326" t="s">
        <v>47304</v>
      </c>
      <c r="O2326" t="s">
        <v>47305</v>
      </c>
      <c r="P2326">
        <v>0</v>
      </c>
      <c r="Q2326">
        <v>1</v>
      </c>
      <c r="R2326" t="s">
        <v>47307</v>
      </c>
      <c r="S2326" t="s">
        <v>47416</v>
      </c>
      <c r="T2326" t="s">
        <v>49048</v>
      </c>
      <c r="U2326" t="s">
        <v>51591</v>
      </c>
      <c r="V2326" t="s">
        <v>62902</v>
      </c>
      <c r="W2326" t="s">
        <v>43969</v>
      </c>
      <c r="X2326" t="s">
        <v>47306</v>
      </c>
    </row>
    <row r="2327" spans="1:24">
      <c r="A2327">
        <f>HYPERLINK("https://www.philgeps.gov.ph/GEPSNONPILOT/Tender/SplashBidNoticeAbstractUI.aspx?menuIndex=3&amp;refID=7200213&amp;Result=3","7200213")</f>
        <v>0</v>
      </c>
      <c r="B2327" t="s">
        <v>1022</v>
      </c>
      <c r="C2327" t="s">
        <v>6108</v>
      </c>
      <c r="D2327" t="s">
        <v>19033</v>
      </c>
      <c r="E2327" t="s">
        <v>6108</v>
      </c>
      <c r="F2327" t="s">
        <v>32606</v>
      </c>
      <c r="G2327" t="s">
        <v>32614</v>
      </c>
      <c r="H2327" t="s">
        <v>14201</v>
      </c>
      <c r="I2327" t="s">
        <v>32634</v>
      </c>
      <c r="J2327" t="s">
        <v>34419</v>
      </c>
      <c r="K2327" t="s">
        <v>42631</v>
      </c>
      <c r="M2327" t="s">
        <v>43974</v>
      </c>
      <c r="N2327" t="s">
        <v>47304</v>
      </c>
      <c r="O2327" t="s">
        <v>47305</v>
      </c>
      <c r="P2327">
        <v>0</v>
      </c>
      <c r="Q2327">
        <v>0</v>
      </c>
      <c r="R2327" t="s">
        <v>47307</v>
      </c>
      <c r="S2327" t="s">
        <v>47416</v>
      </c>
      <c r="T2327" t="s">
        <v>48986</v>
      </c>
      <c r="U2327" t="s">
        <v>51603</v>
      </c>
      <c r="W2327" t="s">
        <v>43974</v>
      </c>
      <c r="X2327" t="s">
        <v>47306</v>
      </c>
    </row>
    <row r="2328" spans="1:24">
      <c r="A2328">
        <f>HYPERLINK("https://www.philgeps.gov.ph/GEPSNONPILOT/Tender/SplashBidNoticeAbstractUI.aspx?menuIndex=3&amp;refID=7200204&amp;Result=3","7200204")</f>
        <v>0</v>
      </c>
      <c r="B2328" t="s">
        <v>706</v>
      </c>
      <c r="C2328" t="s">
        <v>6109</v>
      </c>
      <c r="D2328" t="s">
        <v>18986</v>
      </c>
      <c r="E2328" t="s">
        <v>21225</v>
      </c>
      <c r="F2328" t="s">
        <v>32606</v>
      </c>
      <c r="G2328" t="s">
        <v>32613</v>
      </c>
      <c r="H2328" t="s">
        <v>32623</v>
      </c>
      <c r="I2328" t="s">
        <v>17648</v>
      </c>
      <c r="J2328" t="s">
        <v>34420</v>
      </c>
      <c r="K2328" t="s">
        <v>42723</v>
      </c>
      <c r="M2328" t="s">
        <v>43627</v>
      </c>
      <c r="N2328" t="s">
        <v>47304</v>
      </c>
      <c r="O2328" t="s">
        <v>47305</v>
      </c>
      <c r="P2328">
        <v>0</v>
      </c>
      <c r="Q2328">
        <v>0</v>
      </c>
      <c r="R2328" t="s">
        <v>47307</v>
      </c>
      <c r="S2328" t="s">
        <v>47416</v>
      </c>
      <c r="T2328" t="s">
        <v>48973</v>
      </c>
      <c r="U2328" t="s">
        <v>51604</v>
      </c>
      <c r="W2328" t="s">
        <v>43627</v>
      </c>
      <c r="X2328" t="s">
        <v>47306</v>
      </c>
    </row>
    <row r="2329" spans="1:24">
      <c r="A2329">
        <f>HYPERLINK("https://www.philgeps.gov.ph/GEPSNONPILOT/Tender/SplashBidNoticeAbstractUI.aspx?menuIndex=3&amp;refID=7200201&amp;Result=3","7200201")</f>
        <v>0</v>
      </c>
      <c r="B2329" t="s">
        <v>934</v>
      </c>
      <c r="C2329" t="s">
        <v>6110</v>
      </c>
      <c r="D2329" t="s">
        <v>19040</v>
      </c>
      <c r="E2329" t="s">
        <v>21226</v>
      </c>
      <c r="F2329" t="s">
        <v>32606</v>
      </c>
      <c r="G2329" t="s">
        <v>32615</v>
      </c>
      <c r="H2329" t="s">
        <v>14201</v>
      </c>
      <c r="I2329" t="s">
        <v>4678</v>
      </c>
      <c r="J2329" t="s">
        <v>34421</v>
      </c>
      <c r="K2329" t="s">
        <v>42630</v>
      </c>
      <c r="M2329" t="s">
        <v>43874</v>
      </c>
      <c r="N2329" t="s">
        <v>47304</v>
      </c>
      <c r="O2329" t="s">
        <v>47305</v>
      </c>
      <c r="P2329">
        <v>0</v>
      </c>
      <c r="Q2329">
        <v>0</v>
      </c>
      <c r="R2329" t="s">
        <v>47307</v>
      </c>
      <c r="S2329" t="s">
        <v>47416</v>
      </c>
      <c r="T2329" t="s">
        <v>48996</v>
      </c>
      <c r="U2329" t="s">
        <v>51605</v>
      </c>
      <c r="V2329" t="s">
        <v>62903</v>
      </c>
      <c r="W2329" t="s">
        <v>43874</v>
      </c>
      <c r="X2329" t="s">
        <v>47306</v>
      </c>
    </row>
    <row r="2330" spans="1:24">
      <c r="A2330">
        <f>HYPERLINK("https://www.philgeps.gov.ph/GEPSNONPILOT/Tender/SplashBidNoticeAbstractUI.aspx?menuIndex=3&amp;refID=7200208&amp;Result=3","7200208")</f>
        <v>0</v>
      </c>
      <c r="B2330" t="s">
        <v>1023</v>
      </c>
      <c r="C2330" t="s">
        <v>6111</v>
      </c>
      <c r="D2330" t="s">
        <v>18993</v>
      </c>
      <c r="E2330" t="s">
        <v>21227</v>
      </c>
      <c r="F2330" t="s">
        <v>32606</v>
      </c>
      <c r="G2330" t="s">
        <v>32614</v>
      </c>
      <c r="H2330" t="s">
        <v>14201</v>
      </c>
      <c r="I2330" t="s">
        <v>32640</v>
      </c>
      <c r="J2330" t="s">
        <v>34422</v>
      </c>
      <c r="K2330" t="s">
        <v>42623</v>
      </c>
      <c r="M2330" t="s">
        <v>43975</v>
      </c>
      <c r="N2330" t="s">
        <v>47304</v>
      </c>
      <c r="O2330" t="s">
        <v>47305</v>
      </c>
      <c r="P2330">
        <v>0</v>
      </c>
      <c r="Q2330">
        <v>0</v>
      </c>
      <c r="R2330" t="s">
        <v>47307</v>
      </c>
      <c r="S2330" t="s">
        <v>47416</v>
      </c>
      <c r="T2330" t="s">
        <v>49100</v>
      </c>
      <c r="U2330" t="s">
        <v>51606</v>
      </c>
      <c r="W2330" t="s">
        <v>43975</v>
      </c>
      <c r="X2330" t="s">
        <v>47306</v>
      </c>
    </row>
    <row r="2331" spans="1:24">
      <c r="A2331">
        <f>HYPERLINK("https://www.philgeps.gov.ph/GEPSNONPILOT/Tender/SplashBidNoticeAbstractUI.aspx?menuIndex=3&amp;refID=7200220&amp;Result=3","7200220")</f>
        <v>0</v>
      </c>
      <c r="B2331" t="s">
        <v>992</v>
      </c>
      <c r="C2331" t="s">
        <v>6112</v>
      </c>
      <c r="D2331" t="s">
        <v>19009</v>
      </c>
      <c r="E2331" t="s">
        <v>21228</v>
      </c>
      <c r="F2331" t="s">
        <v>32606</v>
      </c>
      <c r="G2331" t="s">
        <v>32617</v>
      </c>
      <c r="H2331" t="s">
        <v>14201</v>
      </c>
      <c r="I2331" t="s">
        <v>4114</v>
      </c>
      <c r="J2331" t="s">
        <v>34423</v>
      </c>
      <c r="K2331" t="s">
        <v>42624</v>
      </c>
      <c r="M2331" t="s">
        <v>43939</v>
      </c>
      <c r="N2331" t="s">
        <v>47304</v>
      </c>
      <c r="O2331" t="s">
        <v>47305</v>
      </c>
      <c r="P2331">
        <v>0</v>
      </c>
      <c r="Q2331">
        <v>0</v>
      </c>
      <c r="R2331" t="s">
        <v>47307</v>
      </c>
      <c r="S2331" t="s">
        <v>47416</v>
      </c>
      <c r="T2331" t="s">
        <v>48972</v>
      </c>
      <c r="U2331" t="s">
        <v>51607</v>
      </c>
      <c r="W2331" t="s">
        <v>43939</v>
      </c>
      <c r="X2331" t="s">
        <v>47306</v>
      </c>
    </row>
    <row r="2332" spans="1:24">
      <c r="A2332">
        <f>HYPERLINK("https://www.philgeps.gov.ph/GEPSNONPILOT/Tender/SplashBidNoticeAbstractUI.aspx?menuIndex=3&amp;refID=7200218&amp;Result=3","7200218")</f>
        <v>0</v>
      </c>
      <c r="B2332" t="s">
        <v>1024</v>
      </c>
      <c r="C2332" t="s">
        <v>6113</v>
      </c>
      <c r="D2332" t="s">
        <v>19049</v>
      </c>
      <c r="E2332" t="s">
        <v>21229</v>
      </c>
      <c r="F2332" t="s">
        <v>32606</v>
      </c>
      <c r="G2332" t="s">
        <v>32615</v>
      </c>
      <c r="H2332" t="s">
        <v>14201</v>
      </c>
      <c r="I2332" t="s">
        <v>32714</v>
      </c>
      <c r="J2332" t="s">
        <v>33099</v>
      </c>
      <c r="K2332" t="s">
        <v>42631</v>
      </c>
      <c r="M2332" t="s">
        <v>43976</v>
      </c>
      <c r="N2332" t="s">
        <v>47304</v>
      </c>
      <c r="O2332" t="s">
        <v>47305</v>
      </c>
      <c r="P2332">
        <v>0</v>
      </c>
      <c r="Q2332">
        <v>0</v>
      </c>
      <c r="R2332" t="s">
        <v>47307</v>
      </c>
      <c r="S2332" t="s">
        <v>47416</v>
      </c>
      <c r="T2332" t="s">
        <v>49039</v>
      </c>
      <c r="U2332" t="s">
        <v>51608</v>
      </c>
      <c r="W2332" t="s">
        <v>64458</v>
      </c>
      <c r="X2332" t="s">
        <v>47306</v>
      </c>
    </row>
    <row r="2333" spans="1:24">
      <c r="A2333">
        <f>HYPERLINK("https://www.philgeps.gov.ph/GEPSNONPILOT/Tender/SplashBidNoticeAbstractUI.aspx?menuIndex=3&amp;refID=7200199&amp;Result=3","7200199")</f>
        <v>0</v>
      </c>
      <c r="B2333" t="s">
        <v>1025</v>
      </c>
      <c r="C2333" t="s">
        <v>6114</v>
      </c>
      <c r="D2333" t="s">
        <v>19035</v>
      </c>
      <c r="E2333" t="s">
        <v>21230</v>
      </c>
      <c r="F2333" t="s">
        <v>32606</v>
      </c>
      <c r="G2333" t="s">
        <v>32613</v>
      </c>
      <c r="H2333" t="s">
        <v>32623</v>
      </c>
      <c r="I2333" t="s">
        <v>17648</v>
      </c>
      <c r="J2333" t="s">
        <v>34424</v>
      </c>
      <c r="K2333" t="s">
        <v>42724</v>
      </c>
      <c r="L2333" t="s">
        <v>1025</v>
      </c>
      <c r="M2333" t="s">
        <v>43977</v>
      </c>
      <c r="N2333" t="s">
        <v>47304</v>
      </c>
      <c r="O2333" t="s">
        <v>47305</v>
      </c>
      <c r="P2333">
        <v>0</v>
      </c>
      <c r="Q2333">
        <v>0</v>
      </c>
      <c r="R2333" t="s">
        <v>47307</v>
      </c>
      <c r="S2333" t="s">
        <v>47416</v>
      </c>
      <c r="T2333" t="s">
        <v>48983</v>
      </c>
      <c r="U2333" t="s">
        <v>51609</v>
      </c>
      <c r="V2333" t="s">
        <v>62904</v>
      </c>
      <c r="W2333" t="s">
        <v>43977</v>
      </c>
      <c r="X2333" t="s">
        <v>47306</v>
      </c>
    </row>
    <row r="2334" spans="1:24">
      <c r="A2334">
        <f>HYPERLINK("https://www.philgeps.gov.ph/GEPSNONPILOT/Tender/SplashBidNoticeAbstractUI.aspx?menuIndex=3&amp;refID=7200217&amp;Result=3","7200217")</f>
        <v>0</v>
      </c>
      <c r="B2334" t="s">
        <v>1026</v>
      </c>
      <c r="C2334" t="s">
        <v>6115</v>
      </c>
      <c r="D2334" t="s">
        <v>19019</v>
      </c>
      <c r="E2334" t="s">
        <v>21231</v>
      </c>
      <c r="F2334" t="s">
        <v>32606</v>
      </c>
      <c r="G2334" t="s">
        <v>32614</v>
      </c>
      <c r="H2334" t="s">
        <v>14201</v>
      </c>
      <c r="I2334" t="s">
        <v>9013</v>
      </c>
      <c r="J2334" t="s">
        <v>34425</v>
      </c>
      <c r="K2334" t="s">
        <v>42630</v>
      </c>
      <c r="M2334" t="s">
        <v>43978</v>
      </c>
      <c r="N2334" t="s">
        <v>47304</v>
      </c>
      <c r="O2334" t="s">
        <v>47305</v>
      </c>
      <c r="P2334">
        <v>0</v>
      </c>
      <c r="Q2334">
        <v>0</v>
      </c>
      <c r="R2334" t="s">
        <v>47307</v>
      </c>
      <c r="S2334" t="s">
        <v>47416</v>
      </c>
      <c r="T2334" t="s">
        <v>49015</v>
      </c>
      <c r="U2334" t="s">
        <v>51610</v>
      </c>
      <c r="W2334" t="s">
        <v>43978</v>
      </c>
      <c r="X2334" t="s">
        <v>47306</v>
      </c>
    </row>
    <row r="2335" spans="1:24">
      <c r="A2335">
        <f>HYPERLINK("https://www.philgeps.gov.ph/GEPSNONPILOT/Tender/SplashBidNoticeAbstractUI.aspx?menuIndex=3&amp;refID=7200216&amp;Result=3","7200216")</f>
        <v>0</v>
      </c>
      <c r="B2335" t="s">
        <v>696</v>
      </c>
      <c r="C2335" t="s">
        <v>6116</v>
      </c>
      <c r="D2335" t="s">
        <v>19069</v>
      </c>
      <c r="E2335" t="s">
        <v>21232</v>
      </c>
      <c r="F2335" t="s">
        <v>32606</v>
      </c>
      <c r="G2335" t="s">
        <v>32613</v>
      </c>
      <c r="H2335" t="s">
        <v>14201</v>
      </c>
      <c r="I2335" t="s">
        <v>32686</v>
      </c>
      <c r="J2335" t="s">
        <v>34426</v>
      </c>
      <c r="K2335" t="s">
        <v>42648</v>
      </c>
      <c r="M2335" t="s">
        <v>43969</v>
      </c>
      <c r="N2335" t="s">
        <v>47304</v>
      </c>
      <c r="O2335" t="s">
        <v>47305</v>
      </c>
      <c r="P2335">
        <v>0</v>
      </c>
      <c r="Q2335">
        <v>0</v>
      </c>
      <c r="R2335" t="s">
        <v>47307</v>
      </c>
      <c r="S2335" t="s">
        <v>47416</v>
      </c>
      <c r="T2335" t="s">
        <v>49048</v>
      </c>
      <c r="U2335" t="s">
        <v>51591</v>
      </c>
      <c r="V2335" t="s">
        <v>62902</v>
      </c>
      <c r="W2335" t="s">
        <v>43969</v>
      </c>
      <c r="X2335" t="s">
        <v>47306</v>
      </c>
    </row>
    <row r="2336" spans="1:24">
      <c r="A2336">
        <f>HYPERLINK("https://www.philgeps.gov.ph/GEPSNONPILOT/Tender/SplashBidNoticeAbstractUI.aspx?menuIndex=3&amp;refID=7200214&amp;Result=3","7200214")</f>
        <v>0</v>
      </c>
      <c r="B2336" t="s">
        <v>985</v>
      </c>
      <c r="C2336" t="s">
        <v>6117</v>
      </c>
      <c r="D2336" t="s">
        <v>19034</v>
      </c>
      <c r="E2336" t="s">
        <v>21233</v>
      </c>
      <c r="F2336" t="s">
        <v>32606</v>
      </c>
      <c r="G2336" t="s">
        <v>32613</v>
      </c>
      <c r="H2336" t="s">
        <v>14201</v>
      </c>
      <c r="I2336" t="s">
        <v>6993</v>
      </c>
      <c r="J2336" t="s">
        <v>34427</v>
      </c>
      <c r="K2336" t="s">
        <v>42627</v>
      </c>
      <c r="M2336" t="s">
        <v>43931</v>
      </c>
      <c r="N2336" t="s">
        <v>47304</v>
      </c>
      <c r="O2336" t="s">
        <v>47305</v>
      </c>
      <c r="P2336">
        <v>0</v>
      </c>
      <c r="Q2336">
        <v>0</v>
      </c>
      <c r="R2336" t="s">
        <v>47307</v>
      </c>
      <c r="S2336" t="s">
        <v>47416</v>
      </c>
      <c r="T2336" t="s">
        <v>48971</v>
      </c>
      <c r="U2336" t="s">
        <v>51611</v>
      </c>
      <c r="W2336" t="s">
        <v>43931</v>
      </c>
      <c r="X2336" t="s">
        <v>47306</v>
      </c>
    </row>
    <row r="2337" spans="1:24">
      <c r="A2337">
        <f>HYPERLINK("https://www.philgeps.gov.ph/GEPSNONPILOT/Tender/SplashBidNoticeAbstractUI.aspx?menuIndex=3&amp;refID=7200202&amp;Result=3","7200202")</f>
        <v>0</v>
      </c>
      <c r="B2337" t="s">
        <v>415</v>
      </c>
      <c r="C2337" t="s">
        <v>6118</v>
      </c>
      <c r="D2337" t="s">
        <v>19001</v>
      </c>
      <c r="E2337" t="s">
        <v>21234</v>
      </c>
      <c r="F2337" t="s">
        <v>32606</v>
      </c>
      <c r="G2337" t="s">
        <v>32614</v>
      </c>
      <c r="H2337" t="s">
        <v>14201</v>
      </c>
      <c r="I2337" t="s">
        <v>6007</v>
      </c>
      <c r="J2337" t="s">
        <v>32752</v>
      </c>
      <c r="K2337" t="s">
        <v>42629</v>
      </c>
      <c r="M2337" t="s">
        <v>43398</v>
      </c>
      <c r="N2337" t="s">
        <v>47304</v>
      </c>
      <c r="O2337" t="s">
        <v>47305</v>
      </c>
      <c r="P2337">
        <v>0</v>
      </c>
      <c r="Q2337">
        <v>0</v>
      </c>
      <c r="R2337" t="s">
        <v>47307</v>
      </c>
      <c r="S2337" t="s">
        <v>47416</v>
      </c>
      <c r="T2337" t="s">
        <v>48988</v>
      </c>
      <c r="U2337" t="s">
        <v>51612</v>
      </c>
      <c r="V2337" t="s">
        <v>62740</v>
      </c>
      <c r="W2337" t="s">
        <v>43398</v>
      </c>
      <c r="X2337" t="s">
        <v>47306</v>
      </c>
    </row>
    <row r="2338" spans="1:24">
      <c r="A2338">
        <f>HYPERLINK("https://www.philgeps.gov.ph/GEPSNONPILOT/Tender/SplashBidNoticeAbstractUI.aspx?menuIndex=3&amp;refID=7200221&amp;Result=3","7200221")</f>
        <v>0</v>
      </c>
      <c r="B2338" t="s">
        <v>1027</v>
      </c>
      <c r="C2338" t="s">
        <v>6119</v>
      </c>
      <c r="D2338" t="s">
        <v>19016</v>
      </c>
      <c r="E2338" t="s">
        <v>21235</v>
      </c>
      <c r="F2338" t="s">
        <v>32606</v>
      </c>
      <c r="G2338" t="s">
        <v>32614</v>
      </c>
      <c r="H2338" t="s">
        <v>14201</v>
      </c>
      <c r="I2338" t="s">
        <v>32633</v>
      </c>
      <c r="J2338" t="s">
        <v>33441</v>
      </c>
      <c r="K2338" t="s">
        <v>42629</v>
      </c>
      <c r="L2338" t="s">
        <v>1027</v>
      </c>
      <c r="M2338" t="s">
        <v>43979</v>
      </c>
      <c r="N2338" t="s">
        <v>47304</v>
      </c>
      <c r="O2338" t="s">
        <v>47305</v>
      </c>
      <c r="P2338">
        <v>0</v>
      </c>
      <c r="Q2338">
        <v>0</v>
      </c>
      <c r="R2338" t="s">
        <v>47307</v>
      </c>
      <c r="S2338" t="s">
        <v>47416</v>
      </c>
      <c r="T2338" t="s">
        <v>49023</v>
      </c>
      <c r="U2338" t="s">
        <v>51613</v>
      </c>
      <c r="W2338" t="s">
        <v>43979</v>
      </c>
      <c r="X2338" t="s">
        <v>47306</v>
      </c>
    </row>
    <row r="2339" spans="1:24">
      <c r="A2339">
        <f>HYPERLINK("https://www.philgeps.gov.ph/GEPSNONPILOT/Tender/SplashBidNoticeAbstractUI.aspx?menuIndex=3&amp;refID=7200242&amp;Result=3","7200242")</f>
        <v>0</v>
      </c>
      <c r="B2339" t="s">
        <v>990</v>
      </c>
      <c r="C2339" t="s">
        <v>4315</v>
      </c>
      <c r="D2339" t="s">
        <v>19016</v>
      </c>
      <c r="E2339" t="s">
        <v>21236</v>
      </c>
      <c r="F2339" t="s">
        <v>32606</v>
      </c>
      <c r="G2339" t="s">
        <v>32614</v>
      </c>
      <c r="H2339" t="s">
        <v>14201</v>
      </c>
      <c r="I2339" t="s">
        <v>4120</v>
      </c>
      <c r="J2339" t="s">
        <v>34428</v>
      </c>
      <c r="K2339" t="s">
        <v>42632</v>
      </c>
      <c r="M2339" t="s">
        <v>43937</v>
      </c>
      <c r="N2339" t="s">
        <v>47304</v>
      </c>
      <c r="O2339" t="s">
        <v>47305</v>
      </c>
      <c r="P2339">
        <v>0</v>
      </c>
      <c r="Q2339">
        <v>0</v>
      </c>
      <c r="R2339" t="s">
        <v>47307</v>
      </c>
      <c r="S2339" t="s">
        <v>47416</v>
      </c>
      <c r="T2339" t="s">
        <v>49108</v>
      </c>
      <c r="U2339" t="s">
        <v>51614</v>
      </c>
      <c r="W2339" t="s">
        <v>43937</v>
      </c>
      <c r="X2339" t="s">
        <v>47306</v>
      </c>
    </row>
    <row r="2340" spans="1:24">
      <c r="A2340">
        <f>HYPERLINK("https://www.philgeps.gov.ph/GEPSNONPILOT/Tender/SplashBidNoticeAbstractUI.aspx?menuIndex=3&amp;refID=7200241&amp;Result=3","7200241")</f>
        <v>0</v>
      </c>
      <c r="B2340" t="s">
        <v>343</v>
      </c>
      <c r="C2340" t="s">
        <v>6120</v>
      </c>
      <c r="D2340" t="s">
        <v>18993</v>
      </c>
      <c r="E2340" t="s">
        <v>21237</v>
      </c>
      <c r="F2340" t="s">
        <v>32606</v>
      </c>
      <c r="G2340" t="s">
        <v>32614</v>
      </c>
      <c r="H2340" t="s">
        <v>14201</v>
      </c>
      <c r="I2340" t="s">
        <v>7577</v>
      </c>
      <c r="J2340" t="s">
        <v>32784</v>
      </c>
      <c r="K2340" t="s">
        <v>42624</v>
      </c>
      <c r="M2340" t="s">
        <v>43980</v>
      </c>
      <c r="N2340" t="s">
        <v>47304</v>
      </c>
      <c r="O2340" t="s">
        <v>47305</v>
      </c>
      <c r="P2340">
        <v>0</v>
      </c>
      <c r="Q2340">
        <v>0</v>
      </c>
      <c r="R2340" t="s">
        <v>47307</v>
      </c>
      <c r="S2340" t="s">
        <v>47416</v>
      </c>
      <c r="T2340" t="s">
        <v>48971</v>
      </c>
      <c r="U2340" t="s">
        <v>51615</v>
      </c>
      <c r="W2340" t="s">
        <v>43980</v>
      </c>
      <c r="X2340" t="s">
        <v>47306</v>
      </c>
    </row>
    <row r="2341" spans="1:24">
      <c r="A2341">
        <f>HYPERLINK("https://www.philgeps.gov.ph/GEPSNONPILOT/Tender/SplashBidNoticeAbstractUI.aspx?menuIndex=3&amp;refID=7200240&amp;Result=3","7200240")</f>
        <v>0</v>
      </c>
      <c r="B2341" t="s">
        <v>1025</v>
      </c>
      <c r="C2341" t="s">
        <v>6121</v>
      </c>
      <c r="D2341" t="s">
        <v>19035</v>
      </c>
      <c r="E2341" t="s">
        <v>21238</v>
      </c>
      <c r="F2341" t="s">
        <v>32606</v>
      </c>
      <c r="G2341" t="s">
        <v>32615</v>
      </c>
      <c r="H2341" t="s">
        <v>14201</v>
      </c>
      <c r="I2341" t="s">
        <v>7064</v>
      </c>
      <c r="J2341" t="s">
        <v>32830</v>
      </c>
      <c r="K2341" t="s">
        <v>42623</v>
      </c>
      <c r="L2341" t="s">
        <v>1025</v>
      </c>
      <c r="M2341" t="s">
        <v>43977</v>
      </c>
      <c r="N2341" t="s">
        <v>47304</v>
      </c>
      <c r="O2341" t="s">
        <v>47305</v>
      </c>
      <c r="P2341">
        <v>0</v>
      </c>
      <c r="Q2341">
        <v>0</v>
      </c>
      <c r="R2341" t="s">
        <v>47307</v>
      </c>
      <c r="S2341" t="s">
        <v>47416</v>
      </c>
      <c r="T2341" t="s">
        <v>49081</v>
      </c>
      <c r="U2341" t="s">
        <v>51616</v>
      </c>
      <c r="V2341" t="s">
        <v>62905</v>
      </c>
      <c r="W2341" t="s">
        <v>43977</v>
      </c>
      <c r="X2341" t="s">
        <v>47306</v>
      </c>
    </row>
    <row r="2342" spans="1:24">
      <c r="A2342">
        <f>HYPERLINK("https://www.philgeps.gov.ph/GEPSNONPILOT/Tender/SplashBidNoticeAbstractUI.aspx?menuIndex=3&amp;refID=7200209&amp;Result=3","7200209")</f>
        <v>0</v>
      </c>
      <c r="B2342" t="s">
        <v>1028</v>
      </c>
      <c r="C2342" t="s">
        <v>6122</v>
      </c>
      <c r="D2342" t="s">
        <v>19008</v>
      </c>
      <c r="E2342" t="s">
        <v>21239</v>
      </c>
      <c r="F2342" t="s">
        <v>32606</v>
      </c>
      <c r="G2342" t="s">
        <v>32614</v>
      </c>
      <c r="H2342" t="s">
        <v>14201</v>
      </c>
      <c r="I2342" t="s">
        <v>6993</v>
      </c>
      <c r="J2342" t="s">
        <v>34429</v>
      </c>
      <c r="K2342" t="s">
        <v>42631</v>
      </c>
      <c r="M2342" t="s">
        <v>43981</v>
      </c>
      <c r="N2342" t="s">
        <v>47304</v>
      </c>
      <c r="O2342" t="s">
        <v>47305</v>
      </c>
      <c r="P2342">
        <v>0</v>
      </c>
      <c r="Q2342">
        <v>0</v>
      </c>
      <c r="R2342" t="s">
        <v>47307</v>
      </c>
      <c r="S2342" t="s">
        <v>47416</v>
      </c>
      <c r="T2342" t="s">
        <v>48987</v>
      </c>
      <c r="U2342" t="s">
        <v>51617</v>
      </c>
      <c r="W2342" t="s">
        <v>43981</v>
      </c>
      <c r="X2342" t="s">
        <v>47306</v>
      </c>
    </row>
    <row r="2343" spans="1:24">
      <c r="A2343">
        <f>HYPERLINK("https://www.philgeps.gov.ph/GEPSNONPILOT/Tender/SplashBidNoticeAbstractUI.aspx?menuIndex=3&amp;refID=7200238&amp;Result=3","7200238")</f>
        <v>0</v>
      </c>
      <c r="B2343" t="s">
        <v>696</v>
      </c>
      <c r="C2343" t="s">
        <v>6123</v>
      </c>
      <c r="D2343" t="s">
        <v>19069</v>
      </c>
      <c r="E2343" t="s">
        <v>21240</v>
      </c>
      <c r="F2343" t="s">
        <v>32606</v>
      </c>
      <c r="G2343" t="s">
        <v>32613</v>
      </c>
      <c r="H2343" t="s">
        <v>14201</v>
      </c>
      <c r="I2343" t="s">
        <v>32686</v>
      </c>
      <c r="J2343" t="s">
        <v>34430</v>
      </c>
      <c r="K2343" t="s">
        <v>42648</v>
      </c>
      <c r="M2343" t="s">
        <v>43969</v>
      </c>
      <c r="N2343" t="s">
        <v>47304</v>
      </c>
      <c r="O2343" t="s">
        <v>47305</v>
      </c>
      <c r="P2343">
        <v>0</v>
      </c>
      <c r="Q2343">
        <v>1</v>
      </c>
      <c r="R2343" t="s">
        <v>47307</v>
      </c>
      <c r="S2343" t="s">
        <v>47416</v>
      </c>
      <c r="T2343" t="s">
        <v>49048</v>
      </c>
      <c r="U2343" t="s">
        <v>51591</v>
      </c>
      <c r="V2343" t="s">
        <v>62902</v>
      </c>
      <c r="W2343" t="s">
        <v>43969</v>
      </c>
      <c r="X2343" t="s">
        <v>47306</v>
      </c>
    </row>
    <row r="2344" spans="1:24">
      <c r="A2344">
        <f>HYPERLINK("https://www.philgeps.gov.ph/GEPSNONPILOT/Tender/SplashBidNoticeAbstractUI.aspx?menuIndex=3&amp;refID=7200236&amp;Result=3","7200236")</f>
        <v>0</v>
      </c>
      <c r="B2344" t="s">
        <v>1029</v>
      </c>
      <c r="C2344" t="s">
        <v>6124</v>
      </c>
      <c r="D2344" t="s">
        <v>19028</v>
      </c>
      <c r="E2344" t="s">
        <v>21241</v>
      </c>
      <c r="F2344" t="s">
        <v>32606</v>
      </c>
      <c r="G2344" t="s">
        <v>32613</v>
      </c>
      <c r="H2344" t="s">
        <v>14201</v>
      </c>
      <c r="I2344" t="s">
        <v>4120</v>
      </c>
      <c r="J2344" t="s">
        <v>34431</v>
      </c>
      <c r="K2344" t="s">
        <v>42622</v>
      </c>
      <c r="M2344" t="s">
        <v>43982</v>
      </c>
      <c r="N2344" t="s">
        <v>47304</v>
      </c>
      <c r="O2344" t="s">
        <v>47305</v>
      </c>
      <c r="P2344">
        <v>0</v>
      </c>
      <c r="Q2344">
        <v>0</v>
      </c>
      <c r="R2344" t="s">
        <v>47307</v>
      </c>
      <c r="S2344" t="s">
        <v>47416</v>
      </c>
      <c r="T2344" t="s">
        <v>48978</v>
      </c>
      <c r="U2344" t="s">
        <v>51618</v>
      </c>
      <c r="W2344" t="s">
        <v>43982</v>
      </c>
      <c r="X2344" t="s">
        <v>47306</v>
      </c>
    </row>
    <row r="2345" spans="1:24">
      <c r="A2345">
        <f>HYPERLINK("https://www.philgeps.gov.ph/GEPSNONPILOT/Tender/SplashBidNoticeAbstractUI.aspx?menuIndex=3&amp;refID=7200219&amp;Result=3","7200219")</f>
        <v>0</v>
      </c>
      <c r="B2345" t="s">
        <v>1016</v>
      </c>
      <c r="C2345" t="s">
        <v>6125</v>
      </c>
      <c r="D2345" t="s">
        <v>18995</v>
      </c>
      <c r="E2345" t="s">
        <v>21242</v>
      </c>
      <c r="F2345" t="s">
        <v>32606</v>
      </c>
      <c r="G2345" t="s">
        <v>32614</v>
      </c>
      <c r="H2345" t="s">
        <v>14201</v>
      </c>
      <c r="I2345" t="s">
        <v>32696</v>
      </c>
      <c r="J2345" t="s">
        <v>34432</v>
      </c>
      <c r="K2345" t="s">
        <v>42630</v>
      </c>
      <c r="M2345" t="s">
        <v>43965</v>
      </c>
      <c r="N2345" t="s">
        <v>47304</v>
      </c>
      <c r="O2345" t="s">
        <v>47305</v>
      </c>
      <c r="P2345">
        <v>0</v>
      </c>
      <c r="Q2345">
        <v>0</v>
      </c>
      <c r="R2345" t="s">
        <v>47307</v>
      </c>
      <c r="S2345" t="s">
        <v>47416</v>
      </c>
      <c r="T2345" t="s">
        <v>48986</v>
      </c>
      <c r="U2345" t="s">
        <v>51619</v>
      </c>
      <c r="W2345" t="s">
        <v>43965</v>
      </c>
      <c r="X2345" t="s">
        <v>47306</v>
      </c>
    </row>
    <row r="2346" spans="1:24">
      <c r="A2346">
        <f>HYPERLINK("https://www.philgeps.gov.ph/GEPSNONPILOT/Tender/SplashBidNoticeAbstractUI.aspx?menuIndex=3&amp;refID=7200225&amp;Result=3","7200225")</f>
        <v>0</v>
      </c>
      <c r="B2346" t="s">
        <v>238</v>
      </c>
      <c r="C2346" t="s">
        <v>6126</v>
      </c>
      <c r="D2346" t="s">
        <v>18993</v>
      </c>
      <c r="E2346" t="s">
        <v>21243</v>
      </c>
      <c r="F2346" t="s">
        <v>32606</v>
      </c>
      <c r="G2346" t="s">
        <v>32619</v>
      </c>
      <c r="H2346" t="s">
        <v>14201</v>
      </c>
      <c r="I2346" t="s">
        <v>32633</v>
      </c>
      <c r="J2346" t="s">
        <v>34433</v>
      </c>
      <c r="K2346" t="s">
        <v>42622</v>
      </c>
      <c r="M2346" t="s">
        <v>43794</v>
      </c>
      <c r="N2346" t="s">
        <v>47304</v>
      </c>
      <c r="O2346" t="s">
        <v>47305</v>
      </c>
      <c r="P2346">
        <v>0</v>
      </c>
      <c r="Q2346">
        <v>0</v>
      </c>
      <c r="R2346" t="s">
        <v>47307</v>
      </c>
      <c r="S2346" t="s">
        <v>47416</v>
      </c>
      <c r="T2346" t="s">
        <v>49014</v>
      </c>
      <c r="U2346" t="s">
        <v>51620</v>
      </c>
      <c r="V2346" t="s">
        <v>62844</v>
      </c>
      <c r="W2346" t="s">
        <v>43794</v>
      </c>
      <c r="X2346" t="s">
        <v>47306</v>
      </c>
    </row>
    <row r="2347" spans="1:24">
      <c r="A2347">
        <f>HYPERLINK("https://www.philgeps.gov.ph/GEPSNONPILOT/Tender/SplashBidNoticeAbstractUI.aspx?menuIndex=3&amp;refID=7200212&amp;Result=3","7200212")</f>
        <v>0</v>
      </c>
      <c r="B2347" t="s">
        <v>1029</v>
      </c>
      <c r="C2347" t="s">
        <v>6127</v>
      </c>
      <c r="D2347" t="s">
        <v>19028</v>
      </c>
      <c r="E2347" t="s">
        <v>21244</v>
      </c>
      <c r="F2347" t="s">
        <v>32606</v>
      </c>
      <c r="G2347" t="s">
        <v>32617</v>
      </c>
      <c r="H2347" t="s">
        <v>14201</v>
      </c>
      <c r="I2347" t="s">
        <v>6298</v>
      </c>
      <c r="J2347" t="s">
        <v>34434</v>
      </c>
      <c r="K2347" t="s">
        <v>42622</v>
      </c>
      <c r="M2347" t="s">
        <v>43982</v>
      </c>
      <c r="N2347" t="s">
        <v>47304</v>
      </c>
      <c r="O2347" t="s">
        <v>47305</v>
      </c>
      <c r="P2347">
        <v>0</v>
      </c>
      <c r="Q2347">
        <v>0</v>
      </c>
      <c r="R2347" t="s">
        <v>47307</v>
      </c>
      <c r="S2347" t="s">
        <v>47416</v>
      </c>
      <c r="T2347" t="s">
        <v>49162</v>
      </c>
      <c r="U2347" t="s">
        <v>51621</v>
      </c>
      <c r="W2347" t="s">
        <v>43982</v>
      </c>
      <c r="X2347" t="s">
        <v>47306</v>
      </c>
    </row>
    <row r="2348" spans="1:24">
      <c r="A2348">
        <f>HYPERLINK("https://www.philgeps.gov.ph/GEPSNONPILOT/Tender/SplashBidNoticeAbstractUI.aspx?menuIndex=3&amp;refID=7200239&amp;Result=3","7200239")</f>
        <v>0</v>
      </c>
      <c r="B2348" t="s">
        <v>1027</v>
      </c>
      <c r="C2348" t="s">
        <v>6128</v>
      </c>
      <c r="D2348" t="s">
        <v>19016</v>
      </c>
      <c r="E2348" t="s">
        <v>21245</v>
      </c>
      <c r="F2348" t="s">
        <v>32606</v>
      </c>
      <c r="G2348" t="s">
        <v>32613</v>
      </c>
      <c r="H2348" t="s">
        <v>32623</v>
      </c>
      <c r="I2348" t="s">
        <v>17648</v>
      </c>
      <c r="J2348" t="s">
        <v>33123</v>
      </c>
      <c r="K2348" t="s">
        <v>42641</v>
      </c>
      <c r="L2348" t="s">
        <v>1027</v>
      </c>
      <c r="M2348" t="s">
        <v>43979</v>
      </c>
      <c r="N2348" t="s">
        <v>47304</v>
      </c>
      <c r="O2348" t="s">
        <v>47305</v>
      </c>
      <c r="P2348">
        <v>0</v>
      </c>
      <c r="Q2348">
        <v>0</v>
      </c>
      <c r="R2348" t="s">
        <v>47307</v>
      </c>
      <c r="S2348" t="s">
        <v>47416</v>
      </c>
      <c r="T2348" t="s">
        <v>48971</v>
      </c>
      <c r="U2348" t="s">
        <v>51622</v>
      </c>
      <c r="W2348" t="s">
        <v>43979</v>
      </c>
      <c r="X2348" t="s">
        <v>47306</v>
      </c>
    </row>
    <row r="2349" spans="1:24">
      <c r="A2349">
        <f>HYPERLINK("https://www.philgeps.gov.ph/GEPSNONPILOT/Tender/SplashBidNoticeAbstractUI.aspx?menuIndex=3&amp;refID=7200247&amp;Result=3","7200247")</f>
        <v>0</v>
      </c>
      <c r="B2349" t="s">
        <v>1030</v>
      </c>
      <c r="C2349" t="s">
        <v>6129</v>
      </c>
      <c r="E2349" t="s">
        <v>21246</v>
      </c>
      <c r="F2349" t="s">
        <v>32606</v>
      </c>
      <c r="G2349" t="s">
        <v>32614</v>
      </c>
      <c r="H2349" t="s">
        <v>14201</v>
      </c>
      <c r="I2349" t="s">
        <v>32640</v>
      </c>
      <c r="J2349" t="s">
        <v>33441</v>
      </c>
      <c r="K2349" t="s">
        <v>42632</v>
      </c>
      <c r="M2349" t="s">
        <v>43983</v>
      </c>
      <c r="N2349" t="s">
        <v>47304</v>
      </c>
      <c r="O2349" t="s">
        <v>47305</v>
      </c>
      <c r="P2349">
        <v>0</v>
      </c>
      <c r="Q2349">
        <v>0</v>
      </c>
      <c r="R2349" t="s">
        <v>47307</v>
      </c>
      <c r="S2349" t="s">
        <v>47416</v>
      </c>
      <c r="T2349" t="s">
        <v>48987</v>
      </c>
      <c r="U2349" t="s">
        <v>51623</v>
      </c>
      <c r="W2349" t="s">
        <v>43983</v>
      </c>
      <c r="X2349" t="s">
        <v>47306</v>
      </c>
    </row>
    <row r="2350" spans="1:24">
      <c r="A2350">
        <f>HYPERLINK("https://www.philgeps.gov.ph/GEPSNONPILOT/Tender/SplashBidNoticeAbstractUI.aspx?menuIndex=3&amp;refID=7200245&amp;Result=3","7200245")</f>
        <v>0</v>
      </c>
      <c r="B2350" t="s">
        <v>238</v>
      </c>
      <c r="C2350" t="s">
        <v>6130</v>
      </c>
      <c r="D2350" t="s">
        <v>18993</v>
      </c>
      <c r="E2350" t="s">
        <v>21247</v>
      </c>
      <c r="F2350" t="s">
        <v>32606</v>
      </c>
      <c r="G2350" t="s">
        <v>32619</v>
      </c>
      <c r="H2350" t="s">
        <v>14201</v>
      </c>
      <c r="I2350" t="s">
        <v>32633</v>
      </c>
      <c r="J2350" t="s">
        <v>32923</v>
      </c>
      <c r="K2350" t="s">
        <v>42622</v>
      </c>
      <c r="M2350" t="s">
        <v>43794</v>
      </c>
      <c r="N2350" t="s">
        <v>47304</v>
      </c>
      <c r="O2350" t="s">
        <v>47305</v>
      </c>
      <c r="P2350">
        <v>0</v>
      </c>
      <c r="Q2350">
        <v>0</v>
      </c>
      <c r="R2350" t="s">
        <v>47307</v>
      </c>
      <c r="S2350" t="s">
        <v>47416</v>
      </c>
      <c r="T2350" t="s">
        <v>49014</v>
      </c>
      <c r="U2350" t="s">
        <v>51624</v>
      </c>
      <c r="V2350" t="s">
        <v>62844</v>
      </c>
      <c r="W2350" t="s">
        <v>43794</v>
      </c>
      <c r="X2350" t="s">
        <v>47306</v>
      </c>
    </row>
    <row r="2351" spans="1:24">
      <c r="A2351">
        <f>HYPERLINK("https://www.philgeps.gov.ph/GEPSNONPILOT/Tender/SplashBidNoticeAbstractUI.aspx?menuIndex=3&amp;refID=7200244&amp;Result=3","7200244")</f>
        <v>0</v>
      </c>
      <c r="B2351" t="s">
        <v>1031</v>
      </c>
      <c r="C2351" t="s">
        <v>6131</v>
      </c>
      <c r="D2351" t="s">
        <v>19070</v>
      </c>
      <c r="E2351" t="s">
        <v>21248</v>
      </c>
      <c r="F2351" t="s">
        <v>32606</v>
      </c>
      <c r="G2351" t="s">
        <v>32613</v>
      </c>
      <c r="H2351" t="s">
        <v>14201</v>
      </c>
      <c r="I2351" t="s">
        <v>4678</v>
      </c>
      <c r="J2351" t="s">
        <v>32765</v>
      </c>
      <c r="K2351" t="s">
        <v>42623</v>
      </c>
      <c r="M2351" t="s">
        <v>43984</v>
      </c>
      <c r="N2351" t="s">
        <v>47304</v>
      </c>
      <c r="O2351" t="s">
        <v>47305</v>
      </c>
      <c r="P2351">
        <v>0</v>
      </c>
      <c r="Q2351">
        <v>0</v>
      </c>
      <c r="R2351" t="s">
        <v>47307</v>
      </c>
      <c r="S2351" t="s">
        <v>47416</v>
      </c>
      <c r="T2351" t="s">
        <v>49212</v>
      </c>
      <c r="U2351" t="s">
        <v>51625</v>
      </c>
      <c r="W2351" t="s">
        <v>46511</v>
      </c>
      <c r="X2351" t="s">
        <v>47306</v>
      </c>
    </row>
    <row r="2352" spans="1:24">
      <c r="A2352">
        <f>HYPERLINK("https://www.philgeps.gov.ph/GEPSNONPILOT/Tender/SplashBidNoticeAbstractUI.aspx?menuIndex=3&amp;refID=7200232&amp;Result=3","7200232")</f>
        <v>0</v>
      </c>
      <c r="B2352" t="s">
        <v>1005</v>
      </c>
      <c r="C2352" t="s">
        <v>6132</v>
      </c>
      <c r="D2352" t="s">
        <v>19063</v>
      </c>
      <c r="E2352" t="s">
        <v>21249</v>
      </c>
      <c r="F2352" t="s">
        <v>32606</v>
      </c>
      <c r="G2352" t="s">
        <v>32613</v>
      </c>
      <c r="H2352" t="s">
        <v>14201</v>
      </c>
      <c r="I2352" t="s">
        <v>6931</v>
      </c>
      <c r="J2352" t="s">
        <v>32772</v>
      </c>
      <c r="K2352" t="s">
        <v>42630</v>
      </c>
      <c r="M2352" t="s">
        <v>43953</v>
      </c>
      <c r="N2352" t="s">
        <v>47304</v>
      </c>
      <c r="O2352" t="s">
        <v>47305</v>
      </c>
      <c r="P2352">
        <v>0</v>
      </c>
      <c r="Q2352">
        <v>0</v>
      </c>
      <c r="R2352" t="s">
        <v>47307</v>
      </c>
      <c r="S2352" t="s">
        <v>47416</v>
      </c>
      <c r="T2352" t="s">
        <v>49066</v>
      </c>
      <c r="U2352" t="s">
        <v>51626</v>
      </c>
      <c r="W2352" t="s">
        <v>43953</v>
      </c>
      <c r="X2352" t="s">
        <v>47306</v>
      </c>
    </row>
    <row r="2353" spans="1:24">
      <c r="A2353">
        <f>HYPERLINK("https://www.philgeps.gov.ph/GEPSNONPILOT/Tender/SplashBidNoticeAbstractUI.aspx?menuIndex=3&amp;refID=7200231&amp;Result=3","7200231")</f>
        <v>0</v>
      </c>
      <c r="B2353" t="s">
        <v>1032</v>
      </c>
      <c r="C2353" t="s">
        <v>6133</v>
      </c>
      <c r="D2353" t="s">
        <v>18993</v>
      </c>
      <c r="E2353" t="s">
        <v>21250</v>
      </c>
      <c r="F2353" t="s">
        <v>32606</v>
      </c>
      <c r="G2353" t="s">
        <v>32613</v>
      </c>
      <c r="H2353" t="s">
        <v>32623</v>
      </c>
      <c r="I2353" t="s">
        <v>17648</v>
      </c>
      <c r="J2353" t="s">
        <v>34435</v>
      </c>
      <c r="K2353" t="s">
        <v>42648</v>
      </c>
      <c r="M2353" t="s">
        <v>43985</v>
      </c>
      <c r="N2353" t="s">
        <v>47304</v>
      </c>
      <c r="O2353" t="s">
        <v>47305</v>
      </c>
      <c r="P2353">
        <v>0</v>
      </c>
      <c r="Q2353">
        <v>0</v>
      </c>
      <c r="R2353" t="s">
        <v>47307</v>
      </c>
      <c r="S2353" t="s">
        <v>47416</v>
      </c>
      <c r="T2353" t="s">
        <v>49001</v>
      </c>
      <c r="U2353" t="s">
        <v>51627</v>
      </c>
      <c r="W2353" t="s">
        <v>43985</v>
      </c>
      <c r="X2353" t="s">
        <v>47306</v>
      </c>
    </row>
    <row r="2354" spans="1:24">
      <c r="A2354">
        <f>HYPERLINK("https://www.philgeps.gov.ph/GEPSNONPILOT/Tender/SplashBidNoticeAbstractUI.aspx?menuIndex=3&amp;refID=7200211&amp;Result=3","7200211")</f>
        <v>0</v>
      </c>
      <c r="B2354" t="s">
        <v>1033</v>
      </c>
      <c r="C2354" t="s">
        <v>6134</v>
      </c>
      <c r="D2354" t="s">
        <v>19037</v>
      </c>
      <c r="E2354" t="s">
        <v>21251</v>
      </c>
      <c r="F2354" t="s">
        <v>32609</v>
      </c>
      <c r="G2354" t="s">
        <v>32619</v>
      </c>
      <c r="H2354" t="s">
        <v>14201</v>
      </c>
      <c r="I2354" t="s">
        <v>6007</v>
      </c>
      <c r="J2354" t="s">
        <v>34436</v>
      </c>
      <c r="K2354" t="s">
        <v>42674</v>
      </c>
      <c r="M2354" t="s">
        <v>43986</v>
      </c>
      <c r="N2354" t="s">
        <v>47304</v>
      </c>
      <c r="O2354" t="s">
        <v>47305</v>
      </c>
      <c r="P2354">
        <v>0</v>
      </c>
      <c r="Q2354">
        <v>0</v>
      </c>
      <c r="R2354" t="s">
        <v>47307</v>
      </c>
      <c r="S2354" t="s">
        <v>47416</v>
      </c>
      <c r="T2354" t="s">
        <v>48986</v>
      </c>
      <c r="U2354" t="s">
        <v>51628</v>
      </c>
      <c r="W2354" t="s">
        <v>43986</v>
      </c>
      <c r="X2354" t="s">
        <v>47306</v>
      </c>
    </row>
    <row r="2355" spans="1:24">
      <c r="A2355">
        <f>HYPERLINK("https://www.philgeps.gov.ph/GEPSNONPILOT/Tender/SplashBidNoticeAbstractUI.aspx?menuIndex=3&amp;refID=7200233&amp;Result=3","7200233")</f>
        <v>0</v>
      </c>
      <c r="B2355" t="s">
        <v>770</v>
      </c>
      <c r="C2355" t="s">
        <v>6135</v>
      </c>
      <c r="D2355" t="s">
        <v>19009</v>
      </c>
      <c r="E2355" t="s">
        <v>21252</v>
      </c>
      <c r="F2355" t="s">
        <v>32606</v>
      </c>
      <c r="G2355" t="s">
        <v>32614</v>
      </c>
      <c r="H2355" t="s">
        <v>14201</v>
      </c>
      <c r="I2355" t="s">
        <v>7677</v>
      </c>
      <c r="J2355" t="s">
        <v>32752</v>
      </c>
      <c r="K2355" t="s">
        <v>42622</v>
      </c>
      <c r="M2355" t="s">
        <v>43697</v>
      </c>
      <c r="N2355" t="s">
        <v>47304</v>
      </c>
      <c r="O2355" t="s">
        <v>47305</v>
      </c>
      <c r="P2355">
        <v>0</v>
      </c>
      <c r="Q2355">
        <v>0</v>
      </c>
      <c r="R2355" t="s">
        <v>47307</v>
      </c>
      <c r="S2355" t="s">
        <v>47416</v>
      </c>
      <c r="T2355" t="s">
        <v>49087</v>
      </c>
      <c r="U2355" t="s">
        <v>49653</v>
      </c>
      <c r="V2355" t="s">
        <v>62824</v>
      </c>
      <c r="W2355" t="s">
        <v>43697</v>
      </c>
      <c r="X2355" t="s">
        <v>47306</v>
      </c>
    </row>
    <row r="2356" spans="1:24">
      <c r="A2356">
        <f>HYPERLINK("https://www.philgeps.gov.ph/GEPSNONPILOT/Tender/SplashBidNoticeAbstractUI.aspx?menuIndex=3&amp;refID=7200230&amp;Result=3","7200230")</f>
        <v>0</v>
      </c>
      <c r="B2356" t="s">
        <v>696</v>
      </c>
      <c r="C2356" t="s">
        <v>6136</v>
      </c>
      <c r="D2356" t="s">
        <v>19069</v>
      </c>
      <c r="E2356" t="s">
        <v>21253</v>
      </c>
      <c r="F2356" t="s">
        <v>32606</v>
      </c>
      <c r="G2356" t="s">
        <v>32613</v>
      </c>
      <c r="H2356" t="s">
        <v>14201</v>
      </c>
      <c r="I2356" t="s">
        <v>32686</v>
      </c>
      <c r="J2356" t="s">
        <v>34437</v>
      </c>
      <c r="K2356" t="s">
        <v>42648</v>
      </c>
      <c r="M2356" t="s">
        <v>43969</v>
      </c>
      <c r="N2356" t="s">
        <v>47304</v>
      </c>
      <c r="O2356" t="s">
        <v>47305</v>
      </c>
      <c r="P2356">
        <v>0</v>
      </c>
      <c r="Q2356">
        <v>2</v>
      </c>
      <c r="R2356" t="s">
        <v>47307</v>
      </c>
      <c r="S2356" t="s">
        <v>47416</v>
      </c>
      <c r="T2356" t="s">
        <v>49048</v>
      </c>
      <c r="U2356" t="s">
        <v>51591</v>
      </c>
      <c r="V2356" t="s">
        <v>62902</v>
      </c>
      <c r="W2356" t="s">
        <v>43969</v>
      </c>
      <c r="X2356" t="s">
        <v>47306</v>
      </c>
    </row>
    <row r="2357" spans="1:24">
      <c r="A2357">
        <f>HYPERLINK("https://www.philgeps.gov.ph/GEPSNONPILOT/Tender/SplashBidNoticeAbstractUI.aspx?menuIndex=3&amp;refID=7200249&amp;Result=3","7200249")</f>
        <v>0</v>
      </c>
      <c r="B2357" t="s">
        <v>1034</v>
      </c>
      <c r="C2357" t="s">
        <v>6137</v>
      </c>
      <c r="D2357" t="s">
        <v>19022</v>
      </c>
      <c r="E2357" t="s">
        <v>21254</v>
      </c>
      <c r="F2357" t="s">
        <v>32606</v>
      </c>
      <c r="G2357" t="s">
        <v>32613</v>
      </c>
      <c r="H2357" t="s">
        <v>14201</v>
      </c>
      <c r="I2357" t="s">
        <v>32640</v>
      </c>
      <c r="J2357" t="s">
        <v>33273</v>
      </c>
      <c r="K2357" t="s">
        <v>42648</v>
      </c>
      <c r="M2357" t="s">
        <v>43987</v>
      </c>
      <c r="N2357" t="s">
        <v>47304</v>
      </c>
      <c r="O2357" t="s">
        <v>47305</v>
      </c>
      <c r="P2357">
        <v>0</v>
      </c>
      <c r="Q2357">
        <v>0</v>
      </c>
      <c r="R2357" t="s">
        <v>47307</v>
      </c>
      <c r="S2357" t="s">
        <v>47416</v>
      </c>
      <c r="T2357" t="s">
        <v>49154</v>
      </c>
      <c r="U2357" t="s">
        <v>51629</v>
      </c>
      <c r="W2357" t="s">
        <v>43987</v>
      </c>
      <c r="X2357" t="s">
        <v>47306</v>
      </c>
    </row>
    <row r="2358" spans="1:24">
      <c r="A2358">
        <f>HYPERLINK("https://www.philgeps.gov.ph/GEPSNONPILOT/Tender/SplashBidNoticeAbstractUI.aspx?menuIndex=3&amp;refID=7200235&amp;Result=3","7200235")</f>
        <v>0</v>
      </c>
      <c r="B2358" t="s">
        <v>1035</v>
      </c>
      <c r="C2358" t="s">
        <v>6138</v>
      </c>
      <c r="D2358" t="s">
        <v>19016</v>
      </c>
      <c r="E2358" t="s">
        <v>21255</v>
      </c>
      <c r="F2358" t="s">
        <v>32606</v>
      </c>
      <c r="G2358" t="s">
        <v>32613</v>
      </c>
      <c r="H2358" t="s">
        <v>14201</v>
      </c>
      <c r="I2358" t="s">
        <v>6931</v>
      </c>
      <c r="J2358" t="s">
        <v>34438</v>
      </c>
      <c r="K2358" t="s">
        <v>42630</v>
      </c>
      <c r="M2358" t="s">
        <v>43988</v>
      </c>
      <c r="N2358" t="s">
        <v>47304</v>
      </c>
      <c r="O2358" t="s">
        <v>47305</v>
      </c>
      <c r="P2358">
        <v>0</v>
      </c>
      <c r="Q2358">
        <v>0</v>
      </c>
      <c r="R2358" t="s">
        <v>47307</v>
      </c>
      <c r="S2358" t="s">
        <v>47416</v>
      </c>
      <c r="T2358" t="s">
        <v>49101</v>
      </c>
      <c r="U2358" t="s">
        <v>51630</v>
      </c>
      <c r="W2358" t="s">
        <v>43988</v>
      </c>
      <c r="X2358" t="s">
        <v>47306</v>
      </c>
    </row>
    <row r="2359" spans="1:24">
      <c r="A2359">
        <f>HYPERLINK("https://www.philgeps.gov.ph/GEPSNONPILOT/Tender/SplashBidNoticeAbstractUI.aspx?menuIndex=3&amp;refID=7200263&amp;Result=3","7200263")</f>
        <v>0</v>
      </c>
      <c r="B2359" t="s">
        <v>1031</v>
      </c>
      <c r="C2359" t="s">
        <v>6139</v>
      </c>
      <c r="D2359" t="s">
        <v>19070</v>
      </c>
      <c r="E2359" t="s">
        <v>21256</v>
      </c>
      <c r="F2359" t="s">
        <v>32606</v>
      </c>
      <c r="G2359" t="s">
        <v>32613</v>
      </c>
      <c r="H2359" t="s">
        <v>14201</v>
      </c>
      <c r="I2359" t="s">
        <v>4678</v>
      </c>
      <c r="J2359" t="s">
        <v>33068</v>
      </c>
      <c r="K2359" t="s">
        <v>42623</v>
      </c>
      <c r="M2359" t="s">
        <v>43984</v>
      </c>
      <c r="N2359" t="s">
        <v>47304</v>
      </c>
      <c r="O2359" t="s">
        <v>47305</v>
      </c>
      <c r="P2359">
        <v>0</v>
      </c>
      <c r="Q2359">
        <v>0</v>
      </c>
      <c r="R2359" t="s">
        <v>47307</v>
      </c>
      <c r="S2359" t="s">
        <v>47416</v>
      </c>
      <c r="T2359" t="s">
        <v>49212</v>
      </c>
      <c r="U2359" t="s">
        <v>51631</v>
      </c>
      <c r="W2359" t="s">
        <v>46511</v>
      </c>
      <c r="X2359" t="s">
        <v>47306</v>
      </c>
    </row>
    <row r="2360" spans="1:24">
      <c r="A2360">
        <f>HYPERLINK("https://www.philgeps.gov.ph/GEPSNONPILOT/Tender/SplashBidNoticeAbstractUI.aspx?menuIndex=3&amp;refID=7200260&amp;Result=3","7200260")</f>
        <v>0</v>
      </c>
      <c r="B2360" t="s">
        <v>1027</v>
      </c>
      <c r="C2360" t="s">
        <v>6140</v>
      </c>
      <c r="D2360" t="s">
        <v>19016</v>
      </c>
      <c r="E2360" t="s">
        <v>21257</v>
      </c>
      <c r="F2360" t="s">
        <v>32606</v>
      </c>
      <c r="G2360" t="s">
        <v>32613</v>
      </c>
      <c r="H2360" t="s">
        <v>32623</v>
      </c>
      <c r="I2360" t="s">
        <v>17648</v>
      </c>
      <c r="J2360" t="s">
        <v>32772</v>
      </c>
      <c r="K2360" t="s">
        <v>42639</v>
      </c>
      <c r="L2360" t="s">
        <v>1027</v>
      </c>
      <c r="M2360" t="s">
        <v>43979</v>
      </c>
      <c r="N2360" t="s">
        <v>47304</v>
      </c>
      <c r="O2360" t="s">
        <v>47305</v>
      </c>
      <c r="P2360">
        <v>0</v>
      </c>
      <c r="Q2360">
        <v>0</v>
      </c>
      <c r="R2360" t="s">
        <v>47307</v>
      </c>
      <c r="S2360" t="s">
        <v>47416</v>
      </c>
      <c r="T2360" t="s">
        <v>48995</v>
      </c>
      <c r="U2360" t="s">
        <v>51632</v>
      </c>
      <c r="W2360" t="s">
        <v>43979</v>
      </c>
      <c r="X2360" t="s">
        <v>47306</v>
      </c>
    </row>
    <row r="2361" spans="1:24">
      <c r="A2361">
        <f>HYPERLINK("https://www.philgeps.gov.ph/GEPSNONPILOT/Tender/SplashBidNoticeAbstractUI.aspx?menuIndex=3&amp;refID=7200226&amp;Result=3","7200226")</f>
        <v>0</v>
      </c>
      <c r="B2361" t="s">
        <v>1031</v>
      </c>
      <c r="C2361" t="s">
        <v>6141</v>
      </c>
      <c r="D2361" t="s">
        <v>19070</v>
      </c>
      <c r="E2361" t="s">
        <v>21258</v>
      </c>
      <c r="F2361" t="s">
        <v>32606</v>
      </c>
      <c r="G2361" t="s">
        <v>32613</v>
      </c>
      <c r="H2361" t="s">
        <v>14201</v>
      </c>
      <c r="I2361" t="s">
        <v>32673</v>
      </c>
      <c r="J2361" t="s">
        <v>34439</v>
      </c>
      <c r="K2361" t="s">
        <v>42623</v>
      </c>
      <c r="M2361" t="s">
        <v>43984</v>
      </c>
      <c r="N2361" t="s">
        <v>47304</v>
      </c>
      <c r="O2361" t="s">
        <v>47305</v>
      </c>
      <c r="P2361">
        <v>0</v>
      </c>
      <c r="Q2361">
        <v>0</v>
      </c>
      <c r="R2361" t="s">
        <v>47307</v>
      </c>
      <c r="S2361" t="s">
        <v>47416</v>
      </c>
      <c r="T2361" t="s">
        <v>49212</v>
      </c>
      <c r="U2361" t="s">
        <v>51633</v>
      </c>
      <c r="W2361" t="s">
        <v>46511</v>
      </c>
      <c r="X2361" t="s">
        <v>47306</v>
      </c>
    </row>
    <row r="2362" spans="1:24">
      <c r="A2362">
        <f>HYPERLINK("https://www.philgeps.gov.ph/GEPSNONPILOT/Tender/SplashBidNoticeAbstractUI.aspx?menuIndex=3&amp;refID=7200276&amp;Result=3","7200276")</f>
        <v>0</v>
      </c>
      <c r="B2362" t="s">
        <v>500</v>
      </c>
      <c r="C2362" t="s">
        <v>6142</v>
      </c>
      <c r="D2362" t="s">
        <v>19024</v>
      </c>
      <c r="E2362" t="s">
        <v>20488</v>
      </c>
      <c r="F2362" t="s">
        <v>32607</v>
      </c>
      <c r="G2362" t="s">
        <v>32614</v>
      </c>
      <c r="H2362" t="s">
        <v>14201</v>
      </c>
      <c r="I2362" t="s">
        <v>4121</v>
      </c>
      <c r="J2362" t="s">
        <v>34440</v>
      </c>
      <c r="K2362" t="s">
        <v>42632</v>
      </c>
      <c r="M2362" t="s">
        <v>43413</v>
      </c>
      <c r="N2362" t="s">
        <v>47304</v>
      </c>
      <c r="O2362" t="s">
        <v>47305</v>
      </c>
      <c r="P2362">
        <v>0</v>
      </c>
      <c r="Q2362">
        <v>0</v>
      </c>
      <c r="R2362" t="s">
        <v>47307</v>
      </c>
      <c r="S2362" t="s">
        <v>47416</v>
      </c>
      <c r="T2362" t="s">
        <v>49028</v>
      </c>
      <c r="U2362" t="s">
        <v>51634</v>
      </c>
      <c r="W2362" t="s">
        <v>43413</v>
      </c>
      <c r="X2362" t="s">
        <v>47306</v>
      </c>
    </row>
    <row r="2363" spans="1:24">
      <c r="A2363">
        <f>HYPERLINK("https://www.philgeps.gov.ph/GEPSNONPILOT/Tender/SplashBidNoticeAbstractUI.aspx?menuIndex=3&amp;refID=7200275&amp;Result=3","7200275")</f>
        <v>0</v>
      </c>
      <c r="B2363" t="s">
        <v>318</v>
      </c>
      <c r="C2363" t="s">
        <v>6143</v>
      </c>
      <c r="D2363" t="s">
        <v>19025</v>
      </c>
      <c r="E2363" t="s">
        <v>21259</v>
      </c>
      <c r="F2363" t="s">
        <v>32606</v>
      </c>
      <c r="G2363" t="s">
        <v>32617</v>
      </c>
      <c r="H2363" t="s">
        <v>14201</v>
      </c>
      <c r="I2363" t="s">
        <v>4114</v>
      </c>
      <c r="J2363" t="s">
        <v>34441</v>
      </c>
      <c r="K2363" t="s">
        <v>42624</v>
      </c>
      <c r="M2363" t="s">
        <v>43220</v>
      </c>
      <c r="N2363" t="s">
        <v>47304</v>
      </c>
      <c r="O2363" t="s">
        <v>47305</v>
      </c>
      <c r="P2363">
        <v>0</v>
      </c>
      <c r="Q2363">
        <v>0</v>
      </c>
      <c r="R2363" t="s">
        <v>47307</v>
      </c>
      <c r="S2363" t="s">
        <v>47416</v>
      </c>
      <c r="T2363" t="s">
        <v>48987</v>
      </c>
      <c r="U2363" t="s">
        <v>51635</v>
      </c>
      <c r="W2363" t="s">
        <v>43220</v>
      </c>
      <c r="X2363" t="s">
        <v>47306</v>
      </c>
    </row>
    <row r="2364" spans="1:24">
      <c r="A2364">
        <f>HYPERLINK("https://www.philgeps.gov.ph/GEPSNONPILOT/Tender/SplashBidNoticeAbstractUI.aspx?menuIndex=3&amp;refID=7200274&amp;Result=3","7200274")</f>
        <v>0</v>
      </c>
      <c r="B2364" t="s">
        <v>1036</v>
      </c>
      <c r="C2364" t="s">
        <v>6144</v>
      </c>
      <c r="D2364" t="s">
        <v>19039</v>
      </c>
      <c r="E2364" t="s">
        <v>21260</v>
      </c>
      <c r="F2364" t="s">
        <v>32606</v>
      </c>
      <c r="G2364" t="s">
        <v>32613</v>
      </c>
      <c r="H2364" t="s">
        <v>14201</v>
      </c>
      <c r="I2364" t="s">
        <v>32650</v>
      </c>
      <c r="J2364" t="s">
        <v>34442</v>
      </c>
      <c r="K2364" t="s">
        <v>42631</v>
      </c>
      <c r="M2364" t="s">
        <v>43989</v>
      </c>
      <c r="N2364" t="s">
        <v>47304</v>
      </c>
      <c r="O2364" t="s">
        <v>47305</v>
      </c>
      <c r="P2364">
        <v>0</v>
      </c>
      <c r="Q2364">
        <v>0</v>
      </c>
      <c r="R2364" t="s">
        <v>47307</v>
      </c>
      <c r="S2364" t="s">
        <v>47416</v>
      </c>
      <c r="T2364" t="s">
        <v>49133</v>
      </c>
      <c r="U2364" t="s">
        <v>51636</v>
      </c>
      <c r="V2364" t="s">
        <v>62906</v>
      </c>
      <c r="W2364" t="s">
        <v>43989</v>
      </c>
      <c r="X2364" t="s">
        <v>47306</v>
      </c>
    </row>
    <row r="2365" spans="1:24">
      <c r="A2365">
        <f>HYPERLINK("https://www.philgeps.gov.ph/GEPSNONPILOT/Tender/SplashBidNoticeAbstractUI.aspx?menuIndex=3&amp;refID=7200261&amp;Result=3","7200261")</f>
        <v>0</v>
      </c>
      <c r="B2365" t="s">
        <v>696</v>
      </c>
      <c r="C2365" t="s">
        <v>6145</v>
      </c>
      <c r="D2365" t="s">
        <v>19069</v>
      </c>
      <c r="E2365" t="s">
        <v>21261</v>
      </c>
      <c r="F2365" t="s">
        <v>32606</v>
      </c>
      <c r="G2365" t="s">
        <v>32613</v>
      </c>
      <c r="H2365" t="s">
        <v>14201</v>
      </c>
      <c r="I2365" t="s">
        <v>32664</v>
      </c>
      <c r="J2365" t="s">
        <v>34443</v>
      </c>
      <c r="K2365" t="s">
        <v>42648</v>
      </c>
      <c r="M2365" t="s">
        <v>43969</v>
      </c>
      <c r="N2365" t="s">
        <v>47304</v>
      </c>
      <c r="O2365" t="s">
        <v>47305</v>
      </c>
      <c r="P2365">
        <v>0</v>
      </c>
      <c r="Q2365">
        <v>0</v>
      </c>
      <c r="R2365" t="s">
        <v>47307</v>
      </c>
      <c r="S2365" t="s">
        <v>47416</v>
      </c>
      <c r="T2365" t="s">
        <v>49048</v>
      </c>
      <c r="U2365" t="s">
        <v>51591</v>
      </c>
      <c r="V2365" t="s">
        <v>62907</v>
      </c>
      <c r="W2365" t="s">
        <v>43969</v>
      </c>
      <c r="X2365" t="s">
        <v>47306</v>
      </c>
    </row>
    <row r="2366" spans="1:24">
      <c r="A2366">
        <f>HYPERLINK("https://www.philgeps.gov.ph/GEPSNONPILOT/Tender/SplashBidNoticeAbstractUI.aspx?menuIndex=3&amp;refID=7200273&amp;Result=3","7200273")</f>
        <v>0</v>
      </c>
      <c r="B2366" t="s">
        <v>1037</v>
      </c>
      <c r="C2366" t="s">
        <v>5233</v>
      </c>
      <c r="D2366" t="s">
        <v>19010</v>
      </c>
      <c r="E2366" t="s">
        <v>21262</v>
      </c>
      <c r="F2366" t="s">
        <v>32606</v>
      </c>
      <c r="G2366" t="s">
        <v>32614</v>
      </c>
      <c r="H2366" t="s">
        <v>14201</v>
      </c>
      <c r="I2366" t="s">
        <v>5233</v>
      </c>
      <c r="J2366" t="s">
        <v>34444</v>
      </c>
      <c r="K2366" t="s">
        <v>42624</v>
      </c>
      <c r="M2366" t="s">
        <v>43990</v>
      </c>
      <c r="N2366" t="s">
        <v>47304</v>
      </c>
      <c r="O2366" t="s">
        <v>47305</v>
      </c>
      <c r="P2366">
        <v>0</v>
      </c>
      <c r="Q2366">
        <v>0</v>
      </c>
      <c r="R2366" t="s">
        <v>47307</v>
      </c>
      <c r="S2366" t="s">
        <v>47416</v>
      </c>
      <c r="T2366" t="s">
        <v>49150</v>
      </c>
      <c r="U2366" t="s">
        <v>51637</v>
      </c>
      <c r="V2366" t="s">
        <v>62721</v>
      </c>
      <c r="W2366" t="s">
        <v>43990</v>
      </c>
      <c r="X2366" t="s">
        <v>47306</v>
      </c>
    </row>
    <row r="2367" spans="1:24">
      <c r="A2367">
        <f>HYPERLINK("https://www.philgeps.gov.ph/GEPSNONPILOT/Tender/SplashBidNoticeAbstractUI.aspx?menuIndex=3&amp;refID=7200272&amp;Result=3","7200272")</f>
        <v>0</v>
      </c>
      <c r="B2367" t="s">
        <v>238</v>
      </c>
      <c r="C2367" t="s">
        <v>6146</v>
      </c>
      <c r="D2367" t="s">
        <v>18993</v>
      </c>
      <c r="E2367" t="s">
        <v>21263</v>
      </c>
      <c r="F2367" t="s">
        <v>32606</v>
      </c>
      <c r="G2367" t="s">
        <v>32619</v>
      </c>
      <c r="H2367" t="s">
        <v>14201</v>
      </c>
      <c r="I2367" t="s">
        <v>32633</v>
      </c>
      <c r="J2367" t="s">
        <v>34445</v>
      </c>
      <c r="K2367" t="s">
        <v>42622</v>
      </c>
      <c r="M2367" t="s">
        <v>43794</v>
      </c>
      <c r="N2367" t="s">
        <v>47304</v>
      </c>
      <c r="O2367" t="s">
        <v>47305</v>
      </c>
      <c r="P2367">
        <v>0</v>
      </c>
      <c r="Q2367">
        <v>0</v>
      </c>
      <c r="R2367" t="s">
        <v>47307</v>
      </c>
      <c r="S2367" t="s">
        <v>47416</v>
      </c>
      <c r="T2367" t="s">
        <v>49014</v>
      </c>
      <c r="U2367" t="s">
        <v>51638</v>
      </c>
      <c r="V2367" t="s">
        <v>62844</v>
      </c>
      <c r="W2367" t="s">
        <v>43794</v>
      </c>
      <c r="X2367" t="s">
        <v>47306</v>
      </c>
    </row>
    <row r="2368" spans="1:24">
      <c r="A2368">
        <f>HYPERLINK("https://www.philgeps.gov.ph/GEPSNONPILOT/Tender/SplashBidNoticeAbstractUI.aspx?menuIndex=3&amp;refID=7200270&amp;Result=3","7200270")</f>
        <v>0</v>
      </c>
      <c r="B2368" t="s">
        <v>1038</v>
      </c>
      <c r="C2368" t="s">
        <v>6147</v>
      </c>
      <c r="D2368" t="s">
        <v>18993</v>
      </c>
      <c r="E2368" t="s">
        <v>21225</v>
      </c>
      <c r="F2368" t="s">
        <v>32606</v>
      </c>
      <c r="G2368" t="s">
        <v>32614</v>
      </c>
      <c r="H2368" t="s">
        <v>14201</v>
      </c>
      <c r="I2368" t="s">
        <v>32646</v>
      </c>
      <c r="J2368" t="s">
        <v>34446</v>
      </c>
      <c r="K2368" t="s">
        <v>42630</v>
      </c>
      <c r="M2368" t="s">
        <v>43991</v>
      </c>
      <c r="N2368" t="s">
        <v>47304</v>
      </c>
      <c r="O2368" t="s">
        <v>47305</v>
      </c>
      <c r="P2368">
        <v>0</v>
      </c>
      <c r="Q2368">
        <v>0</v>
      </c>
      <c r="R2368" t="s">
        <v>47307</v>
      </c>
      <c r="S2368" t="s">
        <v>47416</v>
      </c>
      <c r="T2368" t="s">
        <v>49087</v>
      </c>
      <c r="U2368" t="s">
        <v>51639</v>
      </c>
      <c r="W2368" t="s">
        <v>43991</v>
      </c>
      <c r="X2368" t="s">
        <v>47306</v>
      </c>
    </row>
    <row r="2369" spans="1:24">
      <c r="A2369">
        <f>HYPERLINK("https://www.philgeps.gov.ph/GEPSNONPILOT/Tender/SplashBidNoticeAbstractUI.aspx?menuIndex=3&amp;refID=7200268&amp;Result=3","7200268")</f>
        <v>0</v>
      </c>
      <c r="B2369" t="s">
        <v>563</v>
      </c>
      <c r="C2369" t="s">
        <v>6148</v>
      </c>
      <c r="D2369" t="s">
        <v>19046</v>
      </c>
      <c r="E2369" t="s">
        <v>21264</v>
      </c>
      <c r="F2369" t="s">
        <v>32606</v>
      </c>
      <c r="G2369" t="s">
        <v>32613</v>
      </c>
      <c r="H2369" t="s">
        <v>14201</v>
      </c>
      <c r="I2369" t="s">
        <v>7064</v>
      </c>
      <c r="J2369" t="s">
        <v>32765</v>
      </c>
      <c r="K2369" t="s">
        <v>42622</v>
      </c>
      <c r="M2369" t="s">
        <v>43478</v>
      </c>
      <c r="N2369" t="s">
        <v>47304</v>
      </c>
      <c r="O2369" t="s">
        <v>47305</v>
      </c>
      <c r="P2369">
        <v>0</v>
      </c>
      <c r="Q2369">
        <v>0</v>
      </c>
      <c r="R2369" t="s">
        <v>47307</v>
      </c>
      <c r="S2369" t="s">
        <v>47416</v>
      </c>
      <c r="T2369" t="s">
        <v>49096</v>
      </c>
      <c r="U2369" t="s">
        <v>51640</v>
      </c>
      <c r="W2369" t="s">
        <v>43478</v>
      </c>
      <c r="X2369" t="s">
        <v>47306</v>
      </c>
    </row>
    <row r="2370" spans="1:24">
      <c r="A2370">
        <f>HYPERLINK("https://www.philgeps.gov.ph/GEPSNONPILOT/Tender/SplashBidNoticeAbstractUI.aspx?menuIndex=3&amp;refID=7200262&amp;Result=3","7200262")</f>
        <v>0</v>
      </c>
      <c r="B2370" t="s">
        <v>238</v>
      </c>
      <c r="C2370" t="s">
        <v>6149</v>
      </c>
      <c r="D2370" t="s">
        <v>18993</v>
      </c>
      <c r="E2370" t="s">
        <v>21265</v>
      </c>
      <c r="F2370" t="s">
        <v>32606</v>
      </c>
      <c r="G2370" t="s">
        <v>32619</v>
      </c>
      <c r="H2370" t="s">
        <v>14201</v>
      </c>
      <c r="I2370" t="s">
        <v>32633</v>
      </c>
      <c r="J2370" t="s">
        <v>34070</v>
      </c>
      <c r="K2370" t="s">
        <v>42622</v>
      </c>
      <c r="M2370" t="s">
        <v>43794</v>
      </c>
      <c r="N2370" t="s">
        <v>47304</v>
      </c>
      <c r="O2370" t="s">
        <v>47305</v>
      </c>
      <c r="P2370">
        <v>0</v>
      </c>
      <c r="Q2370">
        <v>0</v>
      </c>
      <c r="R2370" t="s">
        <v>47307</v>
      </c>
      <c r="S2370" t="s">
        <v>47416</v>
      </c>
      <c r="T2370" t="s">
        <v>49014</v>
      </c>
      <c r="U2370" t="s">
        <v>51641</v>
      </c>
      <c r="V2370" t="s">
        <v>62844</v>
      </c>
      <c r="W2370" t="s">
        <v>43794</v>
      </c>
      <c r="X2370" t="s">
        <v>47306</v>
      </c>
    </row>
    <row r="2371" spans="1:24">
      <c r="A2371">
        <f>HYPERLINK("https://www.philgeps.gov.ph/GEPSNONPILOT/Tender/SplashBidNoticeAbstractUI.aspx?menuIndex=3&amp;refID=7200264&amp;Result=3","7200264")</f>
        <v>0</v>
      </c>
      <c r="B2371" t="s">
        <v>1039</v>
      </c>
      <c r="C2371" t="s">
        <v>6150</v>
      </c>
      <c r="D2371" t="s">
        <v>19014</v>
      </c>
      <c r="E2371" t="s">
        <v>21266</v>
      </c>
      <c r="F2371" t="s">
        <v>32606</v>
      </c>
      <c r="G2371" t="s">
        <v>32619</v>
      </c>
      <c r="H2371" t="s">
        <v>14201</v>
      </c>
      <c r="I2371" t="s">
        <v>32633</v>
      </c>
      <c r="J2371" t="s">
        <v>34447</v>
      </c>
      <c r="K2371" t="s">
        <v>42625</v>
      </c>
      <c r="M2371" t="s">
        <v>43992</v>
      </c>
      <c r="N2371" t="s">
        <v>47304</v>
      </c>
      <c r="O2371" t="s">
        <v>47305</v>
      </c>
      <c r="P2371">
        <v>0</v>
      </c>
      <c r="Q2371">
        <v>0</v>
      </c>
      <c r="R2371" t="s">
        <v>47307</v>
      </c>
      <c r="S2371" t="s">
        <v>47416</v>
      </c>
      <c r="T2371" t="s">
        <v>49108</v>
      </c>
      <c r="U2371" t="s">
        <v>51642</v>
      </c>
      <c r="W2371" t="s">
        <v>43992</v>
      </c>
      <c r="X2371" t="s">
        <v>47306</v>
      </c>
    </row>
    <row r="2372" spans="1:24">
      <c r="A2372">
        <f>HYPERLINK("https://www.philgeps.gov.ph/GEPSNONPILOT/Tender/SplashBidNoticeAbstractUI.aspx?menuIndex=3&amp;refID=7200253&amp;Result=3","7200253")</f>
        <v>0</v>
      </c>
      <c r="B2372" t="s">
        <v>748</v>
      </c>
      <c r="C2372" t="s">
        <v>6151</v>
      </c>
      <c r="D2372" t="s">
        <v>18993</v>
      </c>
      <c r="E2372" t="s">
        <v>21267</v>
      </c>
      <c r="F2372" t="s">
        <v>32606</v>
      </c>
      <c r="G2372" t="s">
        <v>32615</v>
      </c>
      <c r="H2372" t="s">
        <v>14201</v>
      </c>
      <c r="I2372" t="s">
        <v>32662</v>
      </c>
      <c r="J2372" t="s">
        <v>34448</v>
      </c>
      <c r="K2372" t="s">
        <v>42623</v>
      </c>
      <c r="M2372" t="s">
        <v>43671</v>
      </c>
      <c r="N2372" t="s">
        <v>47304</v>
      </c>
      <c r="O2372" t="s">
        <v>47305</v>
      </c>
      <c r="P2372">
        <v>0</v>
      </c>
      <c r="Q2372">
        <v>0</v>
      </c>
      <c r="R2372" t="s">
        <v>47307</v>
      </c>
      <c r="S2372" t="s">
        <v>47416</v>
      </c>
      <c r="T2372" t="s">
        <v>48986</v>
      </c>
      <c r="U2372" t="s">
        <v>51643</v>
      </c>
      <c r="V2372" t="s">
        <v>62908</v>
      </c>
      <c r="W2372" t="s">
        <v>43671</v>
      </c>
      <c r="X2372" t="s">
        <v>47306</v>
      </c>
    </row>
    <row r="2373" spans="1:24">
      <c r="A2373">
        <f>HYPERLINK("https://www.philgeps.gov.ph/GEPSNONPILOT/Tender/SplashBidNoticeAbstractUI.aspx?menuIndex=3&amp;refID=7200255&amp;Result=3","7200255")</f>
        <v>0</v>
      </c>
      <c r="B2373" t="s">
        <v>1040</v>
      </c>
      <c r="C2373" t="s">
        <v>6152</v>
      </c>
      <c r="D2373" t="s">
        <v>19011</v>
      </c>
      <c r="E2373" t="s">
        <v>21268</v>
      </c>
      <c r="F2373" t="s">
        <v>32606</v>
      </c>
      <c r="G2373" t="s">
        <v>32614</v>
      </c>
      <c r="H2373" t="s">
        <v>14201</v>
      </c>
      <c r="I2373" t="s">
        <v>32631</v>
      </c>
      <c r="J2373" t="s">
        <v>34449</v>
      </c>
      <c r="K2373" t="s">
        <v>42631</v>
      </c>
      <c r="M2373" t="s">
        <v>43993</v>
      </c>
      <c r="N2373" t="s">
        <v>47304</v>
      </c>
      <c r="O2373" t="s">
        <v>47305</v>
      </c>
      <c r="P2373">
        <v>0</v>
      </c>
      <c r="Q2373">
        <v>0</v>
      </c>
      <c r="R2373" t="s">
        <v>47307</v>
      </c>
      <c r="S2373" t="s">
        <v>47416</v>
      </c>
      <c r="T2373" t="s">
        <v>49076</v>
      </c>
      <c r="U2373" t="s">
        <v>51644</v>
      </c>
      <c r="W2373" t="s">
        <v>45575</v>
      </c>
      <c r="X2373" t="s">
        <v>47306</v>
      </c>
    </row>
    <row r="2374" spans="1:24">
      <c r="A2374">
        <f>HYPERLINK("https://www.philgeps.gov.ph/GEPSNONPILOT/Tender/SplashBidNoticeAbstractUI.aspx?menuIndex=3&amp;refID=7200279&amp;Result=3","7200279")</f>
        <v>0</v>
      </c>
      <c r="B2374" t="s">
        <v>1041</v>
      </c>
      <c r="C2374" t="s">
        <v>6153</v>
      </c>
      <c r="D2374" t="s">
        <v>19011</v>
      </c>
      <c r="E2374" t="s">
        <v>21269</v>
      </c>
      <c r="F2374" t="s">
        <v>32606</v>
      </c>
      <c r="G2374" t="s">
        <v>32614</v>
      </c>
      <c r="H2374" t="s">
        <v>14201</v>
      </c>
      <c r="I2374" t="s">
        <v>6931</v>
      </c>
      <c r="J2374" t="s">
        <v>34450</v>
      </c>
      <c r="K2374" t="s">
        <v>42624</v>
      </c>
      <c r="M2374" t="s">
        <v>43994</v>
      </c>
      <c r="N2374" t="s">
        <v>47304</v>
      </c>
      <c r="O2374" t="s">
        <v>47305</v>
      </c>
      <c r="P2374">
        <v>0</v>
      </c>
      <c r="Q2374">
        <v>0</v>
      </c>
      <c r="R2374" t="s">
        <v>47307</v>
      </c>
      <c r="S2374" t="s">
        <v>47416</v>
      </c>
      <c r="T2374" t="s">
        <v>48975</v>
      </c>
      <c r="U2374" t="s">
        <v>51645</v>
      </c>
      <c r="W2374" t="s">
        <v>64459</v>
      </c>
      <c r="X2374" t="s">
        <v>47306</v>
      </c>
    </row>
    <row r="2375" spans="1:24">
      <c r="A2375">
        <f>HYPERLINK("https://www.philgeps.gov.ph/GEPSNONPILOT/Tender/SplashBidNoticeAbstractUI.aspx?menuIndex=3&amp;refID=7200301&amp;Result=3","7200301")</f>
        <v>0</v>
      </c>
      <c r="B2375" t="s">
        <v>1027</v>
      </c>
      <c r="C2375" t="s">
        <v>6154</v>
      </c>
      <c r="D2375" t="s">
        <v>19016</v>
      </c>
      <c r="E2375" t="s">
        <v>21270</v>
      </c>
      <c r="F2375" t="s">
        <v>32606</v>
      </c>
      <c r="G2375" t="s">
        <v>32613</v>
      </c>
      <c r="H2375" t="s">
        <v>32623</v>
      </c>
      <c r="I2375" t="s">
        <v>17648</v>
      </c>
      <c r="J2375" t="s">
        <v>33263</v>
      </c>
      <c r="K2375" t="s">
        <v>42677</v>
      </c>
      <c r="L2375" t="s">
        <v>1027</v>
      </c>
      <c r="M2375" t="s">
        <v>43979</v>
      </c>
      <c r="N2375" t="s">
        <v>47304</v>
      </c>
      <c r="O2375" t="s">
        <v>47305</v>
      </c>
      <c r="P2375">
        <v>0</v>
      </c>
      <c r="Q2375">
        <v>0</v>
      </c>
      <c r="R2375" t="s">
        <v>47307</v>
      </c>
      <c r="S2375" t="s">
        <v>47416</v>
      </c>
      <c r="T2375" t="s">
        <v>49065</v>
      </c>
      <c r="U2375" t="s">
        <v>51646</v>
      </c>
      <c r="W2375" t="s">
        <v>43979</v>
      </c>
      <c r="X2375" t="s">
        <v>47306</v>
      </c>
    </row>
    <row r="2376" spans="1:24">
      <c r="A2376">
        <f>HYPERLINK("https://www.philgeps.gov.ph/GEPSNONPILOT/Tender/SplashBidNoticeAbstractUI.aspx?menuIndex=3&amp;refID=7200300&amp;Result=3","7200300")</f>
        <v>0</v>
      </c>
      <c r="B2376" t="s">
        <v>919</v>
      </c>
      <c r="C2376" t="s">
        <v>6155</v>
      </c>
      <c r="D2376" t="s">
        <v>19011</v>
      </c>
      <c r="E2376" t="s">
        <v>21271</v>
      </c>
      <c r="F2376" t="s">
        <v>32606</v>
      </c>
      <c r="G2376" t="s">
        <v>32617</v>
      </c>
      <c r="H2376" t="s">
        <v>14201</v>
      </c>
      <c r="I2376" t="s">
        <v>32647</v>
      </c>
      <c r="J2376" t="s">
        <v>32824</v>
      </c>
      <c r="K2376" t="s">
        <v>42631</v>
      </c>
      <c r="M2376" t="s">
        <v>43859</v>
      </c>
      <c r="N2376" t="s">
        <v>47304</v>
      </c>
      <c r="O2376" t="s">
        <v>47305</v>
      </c>
      <c r="P2376">
        <v>0</v>
      </c>
      <c r="Q2376">
        <v>0</v>
      </c>
      <c r="R2376" t="s">
        <v>47307</v>
      </c>
      <c r="S2376" t="s">
        <v>47416</v>
      </c>
      <c r="T2376" t="s">
        <v>49108</v>
      </c>
      <c r="U2376" t="s">
        <v>51647</v>
      </c>
      <c r="V2376" t="s">
        <v>62863</v>
      </c>
      <c r="W2376" t="s">
        <v>43859</v>
      </c>
      <c r="X2376" t="s">
        <v>47306</v>
      </c>
    </row>
    <row r="2377" spans="1:24">
      <c r="A2377">
        <f>HYPERLINK("https://www.philgeps.gov.ph/GEPSNONPILOT/Tender/SplashBidNoticeAbstractUI.aspx?menuIndex=3&amp;refID=7200299&amp;Result=3","7200299")</f>
        <v>0</v>
      </c>
      <c r="B2377" t="s">
        <v>1042</v>
      </c>
      <c r="C2377" t="s">
        <v>6156</v>
      </c>
      <c r="D2377" t="s">
        <v>19006</v>
      </c>
      <c r="E2377" t="s">
        <v>19279</v>
      </c>
      <c r="F2377" t="s">
        <v>32606</v>
      </c>
      <c r="G2377" t="s">
        <v>32613</v>
      </c>
      <c r="H2377" t="s">
        <v>14201</v>
      </c>
      <c r="I2377" t="s">
        <v>32673</v>
      </c>
      <c r="J2377" t="s">
        <v>33650</v>
      </c>
      <c r="K2377" t="s">
        <v>42623</v>
      </c>
      <c r="M2377" t="s">
        <v>43995</v>
      </c>
      <c r="N2377" t="s">
        <v>47304</v>
      </c>
      <c r="O2377" t="s">
        <v>47305</v>
      </c>
      <c r="P2377">
        <v>0</v>
      </c>
      <c r="Q2377">
        <v>0</v>
      </c>
      <c r="R2377" t="s">
        <v>47307</v>
      </c>
      <c r="S2377" t="s">
        <v>47416</v>
      </c>
      <c r="T2377" t="s">
        <v>48996</v>
      </c>
      <c r="U2377" t="s">
        <v>51648</v>
      </c>
      <c r="W2377" t="s">
        <v>43995</v>
      </c>
      <c r="X2377" t="s">
        <v>47306</v>
      </c>
    </row>
    <row r="2378" spans="1:24">
      <c r="A2378">
        <f>HYPERLINK("https://www.philgeps.gov.ph/GEPSNONPILOT/Tender/SplashBidNoticeAbstractUI.aspx?menuIndex=3&amp;refID=7200298&amp;Result=3","7200298")</f>
        <v>0</v>
      </c>
      <c r="B2378" t="s">
        <v>1043</v>
      </c>
      <c r="C2378" t="s">
        <v>6157</v>
      </c>
      <c r="D2378" t="s">
        <v>19012</v>
      </c>
      <c r="E2378" t="s">
        <v>21272</v>
      </c>
      <c r="F2378" t="s">
        <v>32606</v>
      </c>
      <c r="G2378" t="s">
        <v>32619</v>
      </c>
      <c r="H2378" t="s">
        <v>14201</v>
      </c>
      <c r="I2378" t="s">
        <v>4115</v>
      </c>
      <c r="J2378" t="s">
        <v>34185</v>
      </c>
      <c r="K2378" t="s">
        <v>42623</v>
      </c>
      <c r="M2378" t="s">
        <v>43996</v>
      </c>
      <c r="N2378" t="s">
        <v>47304</v>
      </c>
      <c r="O2378" t="s">
        <v>47305</v>
      </c>
      <c r="P2378">
        <v>0</v>
      </c>
      <c r="Q2378">
        <v>0</v>
      </c>
      <c r="R2378" t="s">
        <v>47307</v>
      </c>
      <c r="S2378" t="s">
        <v>47416</v>
      </c>
      <c r="T2378" t="s">
        <v>48980</v>
      </c>
      <c r="U2378" t="s">
        <v>51649</v>
      </c>
      <c r="W2378" t="s">
        <v>43996</v>
      </c>
      <c r="X2378" t="s">
        <v>47306</v>
      </c>
    </row>
    <row r="2379" spans="1:24">
      <c r="A2379">
        <f>HYPERLINK("https://www.philgeps.gov.ph/GEPSNONPILOT/Tender/SplashBidNoticeAbstractUI.aspx?menuIndex=3&amp;refID=7200248&amp;Result=3","7200248")</f>
        <v>0</v>
      </c>
      <c r="B2379" t="s">
        <v>1044</v>
      </c>
      <c r="C2379" t="s">
        <v>6158</v>
      </c>
      <c r="D2379" t="s">
        <v>19010</v>
      </c>
      <c r="E2379" t="s">
        <v>21273</v>
      </c>
      <c r="F2379" t="s">
        <v>32606</v>
      </c>
      <c r="G2379" t="s">
        <v>32614</v>
      </c>
      <c r="H2379" t="s">
        <v>14201</v>
      </c>
      <c r="I2379" t="s">
        <v>4369</v>
      </c>
      <c r="J2379" t="s">
        <v>34451</v>
      </c>
      <c r="K2379" t="s">
        <v>42630</v>
      </c>
      <c r="M2379" t="s">
        <v>43997</v>
      </c>
      <c r="N2379" t="s">
        <v>47304</v>
      </c>
      <c r="O2379" t="s">
        <v>47305</v>
      </c>
      <c r="P2379">
        <v>0</v>
      </c>
      <c r="Q2379">
        <v>0</v>
      </c>
      <c r="R2379" t="s">
        <v>47307</v>
      </c>
      <c r="S2379" t="s">
        <v>47416</v>
      </c>
      <c r="T2379" t="s">
        <v>49108</v>
      </c>
      <c r="U2379" t="s">
        <v>51650</v>
      </c>
      <c r="W2379" t="s">
        <v>43997</v>
      </c>
      <c r="X2379" t="s">
        <v>47306</v>
      </c>
    </row>
    <row r="2380" spans="1:24">
      <c r="A2380">
        <f>HYPERLINK("https://www.philgeps.gov.ph/GEPSNONPILOT/Tender/SplashBidNoticeAbstractUI.aspx?menuIndex=3&amp;refID=7200297&amp;Result=3","7200297")</f>
        <v>0</v>
      </c>
      <c r="B2380" t="s">
        <v>1039</v>
      </c>
      <c r="C2380" t="s">
        <v>6159</v>
      </c>
      <c r="D2380" t="s">
        <v>19014</v>
      </c>
      <c r="E2380" t="s">
        <v>21274</v>
      </c>
      <c r="F2380" t="s">
        <v>32606</v>
      </c>
      <c r="G2380" t="s">
        <v>32619</v>
      </c>
      <c r="H2380" t="s">
        <v>14201</v>
      </c>
      <c r="I2380" t="s">
        <v>6993</v>
      </c>
      <c r="J2380" t="s">
        <v>34452</v>
      </c>
      <c r="K2380" t="s">
        <v>42625</v>
      </c>
      <c r="M2380" t="s">
        <v>43992</v>
      </c>
      <c r="N2380" t="s">
        <v>47304</v>
      </c>
      <c r="O2380" t="s">
        <v>47305</v>
      </c>
      <c r="P2380">
        <v>0</v>
      </c>
      <c r="Q2380">
        <v>0</v>
      </c>
      <c r="R2380" t="s">
        <v>47307</v>
      </c>
      <c r="S2380" t="s">
        <v>47416</v>
      </c>
      <c r="T2380" t="s">
        <v>49014</v>
      </c>
      <c r="U2380" t="s">
        <v>51651</v>
      </c>
      <c r="W2380" t="s">
        <v>43992</v>
      </c>
      <c r="X2380" t="s">
        <v>47306</v>
      </c>
    </row>
    <row r="2381" spans="1:24">
      <c r="A2381">
        <f>HYPERLINK("https://www.philgeps.gov.ph/GEPSNONPILOT/Tender/SplashBidNoticeAbstractUI.aspx?menuIndex=3&amp;refID=7200294&amp;Result=3","7200294")</f>
        <v>0</v>
      </c>
      <c r="B2381" t="s">
        <v>1027</v>
      </c>
      <c r="C2381" t="s">
        <v>6160</v>
      </c>
      <c r="D2381" t="s">
        <v>19016</v>
      </c>
      <c r="E2381" t="s">
        <v>21275</v>
      </c>
      <c r="F2381" t="s">
        <v>32606</v>
      </c>
      <c r="G2381" t="s">
        <v>32613</v>
      </c>
      <c r="H2381" t="s">
        <v>32623</v>
      </c>
      <c r="I2381" t="s">
        <v>17648</v>
      </c>
      <c r="J2381" t="s">
        <v>33529</v>
      </c>
      <c r="K2381" t="s">
        <v>42639</v>
      </c>
      <c r="L2381" t="s">
        <v>1027</v>
      </c>
      <c r="M2381" t="s">
        <v>43979</v>
      </c>
      <c r="N2381" t="s">
        <v>47304</v>
      </c>
      <c r="O2381" t="s">
        <v>47305</v>
      </c>
      <c r="P2381">
        <v>0</v>
      </c>
      <c r="Q2381">
        <v>0</v>
      </c>
      <c r="R2381" t="s">
        <v>47307</v>
      </c>
      <c r="S2381" t="s">
        <v>47416</v>
      </c>
      <c r="T2381" t="s">
        <v>49017</v>
      </c>
      <c r="U2381" t="s">
        <v>51652</v>
      </c>
      <c r="W2381" t="s">
        <v>43979</v>
      </c>
      <c r="X2381" t="s">
        <v>47306</v>
      </c>
    </row>
    <row r="2382" spans="1:24">
      <c r="A2382">
        <f>HYPERLINK("https://www.philgeps.gov.ph/GEPSNONPILOT/Tender/SplashBidNoticeAbstractUI.aspx?menuIndex=3&amp;refID=7200293&amp;Result=3","7200293")</f>
        <v>0</v>
      </c>
      <c r="B2382" t="s">
        <v>1028</v>
      </c>
      <c r="C2382" t="s">
        <v>6161</v>
      </c>
      <c r="D2382" t="s">
        <v>19008</v>
      </c>
      <c r="E2382" t="s">
        <v>21276</v>
      </c>
      <c r="F2382" t="s">
        <v>32606</v>
      </c>
      <c r="G2382" t="s">
        <v>32614</v>
      </c>
      <c r="H2382" t="s">
        <v>14201</v>
      </c>
      <c r="I2382" t="s">
        <v>9013</v>
      </c>
      <c r="J2382" t="s">
        <v>34453</v>
      </c>
      <c r="K2382" t="s">
        <v>42623</v>
      </c>
      <c r="M2382" t="s">
        <v>43981</v>
      </c>
      <c r="N2382" t="s">
        <v>47304</v>
      </c>
      <c r="O2382" t="s">
        <v>47305</v>
      </c>
      <c r="P2382">
        <v>0</v>
      </c>
      <c r="Q2382">
        <v>0</v>
      </c>
      <c r="R2382" t="s">
        <v>47307</v>
      </c>
      <c r="S2382" t="s">
        <v>47416</v>
      </c>
      <c r="T2382" t="s">
        <v>48987</v>
      </c>
      <c r="U2382" t="s">
        <v>51653</v>
      </c>
      <c r="W2382" t="s">
        <v>43981</v>
      </c>
      <c r="X2382" t="s">
        <v>47306</v>
      </c>
    </row>
    <row r="2383" spans="1:24">
      <c r="A2383">
        <f>HYPERLINK("https://www.philgeps.gov.ph/GEPSNONPILOT/Tender/SplashBidNoticeAbstractUI.aspx?menuIndex=3&amp;refID=7200288&amp;Result=3","7200288")</f>
        <v>0</v>
      </c>
      <c r="B2383" t="s">
        <v>1045</v>
      </c>
      <c r="C2383" t="s">
        <v>6162</v>
      </c>
      <c r="D2383" t="s">
        <v>18995</v>
      </c>
      <c r="E2383" t="s">
        <v>21277</v>
      </c>
      <c r="F2383" t="s">
        <v>32606</v>
      </c>
      <c r="G2383" t="s">
        <v>32614</v>
      </c>
      <c r="H2383" t="s">
        <v>14201</v>
      </c>
      <c r="I2383" t="s">
        <v>6298</v>
      </c>
      <c r="J2383" t="s">
        <v>33821</v>
      </c>
      <c r="K2383" t="s">
        <v>42624</v>
      </c>
      <c r="M2383" t="s">
        <v>43998</v>
      </c>
      <c r="N2383" t="s">
        <v>47304</v>
      </c>
      <c r="O2383" t="s">
        <v>47305</v>
      </c>
      <c r="P2383">
        <v>0</v>
      </c>
      <c r="Q2383">
        <v>0</v>
      </c>
      <c r="R2383" t="s">
        <v>47307</v>
      </c>
      <c r="S2383" t="s">
        <v>47416</v>
      </c>
      <c r="T2383" t="s">
        <v>48975</v>
      </c>
      <c r="U2383" t="s">
        <v>51654</v>
      </c>
      <c r="W2383" t="s">
        <v>43998</v>
      </c>
      <c r="X2383" t="s">
        <v>47306</v>
      </c>
    </row>
    <row r="2384" spans="1:24">
      <c r="A2384">
        <f>HYPERLINK("https://www.philgeps.gov.ph/GEPSNONPILOT/Tender/SplashBidNoticeAbstractUI.aspx?menuIndex=3&amp;refID=7200271&amp;Result=3","7200271")</f>
        <v>0</v>
      </c>
      <c r="B2384" t="s">
        <v>1046</v>
      </c>
      <c r="C2384" t="s">
        <v>6163</v>
      </c>
      <c r="D2384" t="s">
        <v>19028</v>
      </c>
      <c r="E2384" t="s">
        <v>21278</v>
      </c>
      <c r="F2384" t="s">
        <v>32606</v>
      </c>
      <c r="G2384" t="s">
        <v>32619</v>
      </c>
      <c r="H2384" t="s">
        <v>14201</v>
      </c>
      <c r="I2384" t="s">
        <v>6298</v>
      </c>
      <c r="J2384" t="s">
        <v>34300</v>
      </c>
      <c r="K2384" t="s">
        <v>42624</v>
      </c>
      <c r="M2384" t="s">
        <v>43999</v>
      </c>
      <c r="N2384" t="s">
        <v>47304</v>
      </c>
      <c r="O2384" t="s">
        <v>47305</v>
      </c>
      <c r="P2384">
        <v>0</v>
      </c>
      <c r="Q2384">
        <v>0</v>
      </c>
      <c r="R2384" t="s">
        <v>47307</v>
      </c>
      <c r="S2384" t="s">
        <v>47416</v>
      </c>
      <c r="T2384" t="s">
        <v>49213</v>
      </c>
      <c r="U2384" t="s">
        <v>51655</v>
      </c>
      <c r="W2384" t="s">
        <v>43999</v>
      </c>
      <c r="X2384" t="s">
        <v>47306</v>
      </c>
    </row>
    <row r="2385" spans="1:24">
      <c r="A2385">
        <f>HYPERLINK("https://www.philgeps.gov.ph/GEPSNONPILOT/Tender/SplashBidNoticeAbstractUI.aspx?menuIndex=3&amp;refID=7200234&amp;Result=3","7200234")</f>
        <v>0</v>
      </c>
      <c r="B2385" t="s">
        <v>1047</v>
      </c>
      <c r="C2385" t="s">
        <v>6164</v>
      </c>
      <c r="D2385" t="s">
        <v>19024</v>
      </c>
      <c r="E2385" t="s">
        <v>21279</v>
      </c>
      <c r="F2385" t="s">
        <v>32606</v>
      </c>
      <c r="G2385" t="s">
        <v>32613</v>
      </c>
      <c r="H2385" t="s">
        <v>14201</v>
      </c>
      <c r="I2385" t="s">
        <v>6931</v>
      </c>
      <c r="J2385" t="s">
        <v>34454</v>
      </c>
      <c r="K2385" t="s">
        <v>42624</v>
      </c>
      <c r="M2385" t="s">
        <v>44000</v>
      </c>
      <c r="N2385" t="s">
        <v>47304</v>
      </c>
      <c r="O2385" t="s">
        <v>47305</v>
      </c>
      <c r="P2385">
        <v>0</v>
      </c>
      <c r="Q2385">
        <v>0</v>
      </c>
      <c r="R2385" t="s">
        <v>47307</v>
      </c>
      <c r="S2385" t="s">
        <v>47416</v>
      </c>
      <c r="T2385" t="s">
        <v>48971</v>
      </c>
      <c r="U2385" t="s">
        <v>51423</v>
      </c>
      <c r="W2385" t="s">
        <v>44000</v>
      </c>
      <c r="X2385" t="s">
        <v>47306</v>
      </c>
    </row>
    <row r="2386" spans="1:24">
      <c r="A2386">
        <f>HYPERLINK("https://www.philgeps.gov.ph/GEPSNONPILOT/Tender/SplashBidNoticeAbstractUI.aspx?menuIndex=3&amp;refID=7200287&amp;Result=3","7200287")</f>
        <v>0</v>
      </c>
      <c r="B2386" t="s">
        <v>972</v>
      </c>
      <c r="C2386" t="s">
        <v>6165</v>
      </c>
      <c r="E2386" t="s">
        <v>21280</v>
      </c>
      <c r="F2386" t="s">
        <v>32606</v>
      </c>
      <c r="G2386" t="s">
        <v>32613</v>
      </c>
      <c r="H2386" t="s">
        <v>32624</v>
      </c>
      <c r="I2386" t="s">
        <v>32693</v>
      </c>
      <c r="J2386" t="s">
        <v>34455</v>
      </c>
      <c r="K2386" t="s">
        <v>42623</v>
      </c>
      <c r="M2386" t="s">
        <v>43918</v>
      </c>
      <c r="N2386" t="s">
        <v>47304</v>
      </c>
      <c r="O2386" t="s">
        <v>47305</v>
      </c>
      <c r="P2386">
        <v>0</v>
      </c>
      <c r="Q2386">
        <v>0</v>
      </c>
      <c r="R2386" t="s">
        <v>47307</v>
      </c>
      <c r="S2386" t="s">
        <v>47416</v>
      </c>
      <c r="T2386" t="s">
        <v>49009</v>
      </c>
      <c r="U2386" t="s">
        <v>51656</v>
      </c>
      <c r="W2386" t="s">
        <v>43918</v>
      </c>
      <c r="X2386" t="s">
        <v>47306</v>
      </c>
    </row>
    <row r="2387" spans="1:24">
      <c r="A2387">
        <f>HYPERLINK("https://www.philgeps.gov.ph/GEPSNONPILOT/Tender/SplashBidNoticeAbstractUI.aspx?menuIndex=3&amp;refID=7200269&amp;Result=3","7200269")</f>
        <v>0</v>
      </c>
      <c r="B2387" t="s">
        <v>1041</v>
      </c>
      <c r="C2387" t="s">
        <v>6166</v>
      </c>
      <c r="D2387" t="s">
        <v>19011</v>
      </c>
      <c r="E2387" t="s">
        <v>21281</v>
      </c>
      <c r="F2387" t="s">
        <v>32606</v>
      </c>
      <c r="G2387" t="s">
        <v>32614</v>
      </c>
      <c r="H2387" t="s">
        <v>14201</v>
      </c>
      <c r="I2387" t="s">
        <v>6931</v>
      </c>
      <c r="J2387" t="s">
        <v>34456</v>
      </c>
      <c r="K2387" t="s">
        <v>42624</v>
      </c>
      <c r="M2387" t="s">
        <v>43994</v>
      </c>
      <c r="N2387" t="s">
        <v>47304</v>
      </c>
      <c r="O2387" t="s">
        <v>47305</v>
      </c>
      <c r="P2387">
        <v>0</v>
      </c>
      <c r="Q2387">
        <v>0</v>
      </c>
      <c r="R2387" t="s">
        <v>47307</v>
      </c>
      <c r="S2387" t="s">
        <v>47416</v>
      </c>
      <c r="T2387" t="s">
        <v>48975</v>
      </c>
      <c r="U2387" t="s">
        <v>51645</v>
      </c>
      <c r="W2387" t="s">
        <v>64459</v>
      </c>
      <c r="X2387" t="s">
        <v>47306</v>
      </c>
    </row>
    <row r="2388" spans="1:24">
      <c r="A2388">
        <f>HYPERLINK("https://www.philgeps.gov.ph/GEPSNONPILOT/Tender/SplashBidNoticeAbstractUI.aspx?menuIndex=3&amp;refID=7200286&amp;Result=3","7200286")</f>
        <v>0</v>
      </c>
      <c r="B2388" t="s">
        <v>1048</v>
      </c>
      <c r="C2388" t="s">
        <v>6167</v>
      </c>
      <c r="D2388" t="s">
        <v>18993</v>
      </c>
      <c r="E2388" t="s">
        <v>21282</v>
      </c>
      <c r="F2388" t="s">
        <v>32606</v>
      </c>
      <c r="G2388" t="s">
        <v>32614</v>
      </c>
      <c r="H2388" t="s">
        <v>14201</v>
      </c>
      <c r="I2388" t="s">
        <v>32681</v>
      </c>
      <c r="J2388" t="s">
        <v>34457</v>
      </c>
      <c r="K2388" t="s">
        <v>42639</v>
      </c>
      <c r="M2388" t="s">
        <v>44001</v>
      </c>
      <c r="N2388" t="s">
        <v>47304</v>
      </c>
      <c r="O2388" t="s">
        <v>47305</v>
      </c>
      <c r="P2388">
        <v>0</v>
      </c>
      <c r="Q2388">
        <v>0</v>
      </c>
      <c r="R2388" t="s">
        <v>47307</v>
      </c>
      <c r="S2388" t="s">
        <v>47416</v>
      </c>
      <c r="T2388" t="s">
        <v>48988</v>
      </c>
      <c r="U2388" t="s">
        <v>51657</v>
      </c>
      <c r="W2388" t="s">
        <v>44001</v>
      </c>
      <c r="X2388" t="s">
        <v>47306</v>
      </c>
    </row>
    <row r="2389" spans="1:24">
      <c r="A2389">
        <f>HYPERLINK("https://www.philgeps.gov.ph/GEPSNONPILOT/Tender/SplashBidNoticeAbstractUI.aspx?menuIndex=3&amp;refID=7200295&amp;Result=3","7200295")</f>
        <v>0</v>
      </c>
      <c r="B2389" t="s">
        <v>641</v>
      </c>
      <c r="C2389" t="s">
        <v>6168</v>
      </c>
      <c r="D2389" t="s">
        <v>19068</v>
      </c>
      <c r="E2389" t="s">
        <v>21283</v>
      </c>
      <c r="F2389" t="s">
        <v>32606</v>
      </c>
      <c r="G2389" t="s">
        <v>32614</v>
      </c>
      <c r="H2389" t="s">
        <v>14201</v>
      </c>
      <c r="I2389" t="s">
        <v>32640</v>
      </c>
      <c r="J2389" t="s">
        <v>33504</v>
      </c>
      <c r="K2389" t="s">
        <v>42627</v>
      </c>
      <c r="M2389" t="s">
        <v>43559</v>
      </c>
      <c r="N2389" t="s">
        <v>47304</v>
      </c>
      <c r="O2389" t="s">
        <v>47305</v>
      </c>
      <c r="P2389">
        <v>0</v>
      </c>
      <c r="Q2389">
        <v>0</v>
      </c>
      <c r="R2389" t="s">
        <v>47307</v>
      </c>
      <c r="S2389" t="s">
        <v>47416</v>
      </c>
      <c r="T2389" t="s">
        <v>48986</v>
      </c>
      <c r="U2389" t="s">
        <v>51658</v>
      </c>
      <c r="W2389" t="s">
        <v>43559</v>
      </c>
      <c r="X2389" t="s">
        <v>47306</v>
      </c>
    </row>
    <row r="2390" spans="1:24">
      <c r="A2390">
        <f>HYPERLINK("https://www.philgeps.gov.ph/GEPSNONPILOT/Tender/SplashBidNoticeAbstractUI.aspx?menuIndex=3&amp;refID=7200282&amp;Result=3","7200282")</f>
        <v>0</v>
      </c>
      <c r="B2390" t="s">
        <v>238</v>
      </c>
      <c r="C2390" t="s">
        <v>6169</v>
      </c>
      <c r="D2390" t="s">
        <v>18993</v>
      </c>
      <c r="E2390" t="s">
        <v>21284</v>
      </c>
      <c r="F2390" t="s">
        <v>32606</v>
      </c>
      <c r="G2390" t="s">
        <v>32619</v>
      </c>
      <c r="H2390" t="s">
        <v>14201</v>
      </c>
      <c r="I2390" t="s">
        <v>32633</v>
      </c>
      <c r="J2390" t="s">
        <v>34458</v>
      </c>
      <c r="K2390" t="s">
        <v>42622</v>
      </c>
      <c r="M2390" t="s">
        <v>43794</v>
      </c>
      <c r="N2390" t="s">
        <v>47304</v>
      </c>
      <c r="O2390" t="s">
        <v>47305</v>
      </c>
      <c r="P2390">
        <v>0</v>
      </c>
      <c r="Q2390">
        <v>0</v>
      </c>
      <c r="R2390" t="s">
        <v>47307</v>
      </c>
      <c r="S2390" t="s">
        <v>47416</v>
      </c>
      <c r="T2390" t="s">
        <v>49014</v>
      </c>
      <c r="U2390" t="s">
        <v>51659</v>
      </c>
      <c r="V2390" t="s">
        <v>62844</v>
      </c>
      <c r="W2390" t="s">
        <v>43794</v>
      </c>
      <c r="X2390" t="s">
        <v>47306</v>
      </c>
    </row>
    <row r="2391" spans="1:24">
      <c r="A2391">
        <f>HYPERLINK("https://www.philgeps.gov.ph/GEPSNONPILOT/Tender/SplashBidNoticeAbstractUI.aspx?menuIndex=3&amp;refID=7200281&amp;Result=3","7200281")</f>
        <v>0</v>
      </c>
      <c r="B2391" t="s">
        <v>1049</v>
      </c>
      <c r="C2391" t="s">
        <v>6170</v>
      </c>
      <c r="D2391" t="s">
        <v>18988</v>
      </c>
      <c r="E2391" t="s">
        <v>21285</v>
      </c>
      <c r="F2391" t="s">
        <v>32606</v>
      </c>
      <c r="G2391" t="s">
        <v>32613</v>
      </c>
      <c r="H2391" t="s">
        <v>32623</v>
      </c>
      <c r="I2391" t="s">
        <v>17648</v>
      </c>
      <c r="J2391" t="s">
        <v>34459</v>
      </c>
      <c r="K2391" t="s">
        <v>42725</v>
      </c>
      <c r="M2391" t="s">
        <v>44002</v>
      </c>
      <c r="N2391" t="s">
        <v>47304</v>
      </c>
      <c r="O2391" t="s">
        <v>47305</v>
      </c>
      <c r="P2391">
        <v>0</v>
      </c>
      <c r="Q2391">
        <v>0</v>
      </c>
      <c r="R2391" t="s">
        <v>47307</v>
      </c>
      <c r="S2391" t="s">
        <v>47416</v>
      </c>
      <c r="T2391" t="s">
        <v>49214</v>
      </c>
      <c r="U2391" t="s">
        <v>51660</v>
      </c>
      <c r="V2391" t="s">
        <v>62721</v>
      </c>
      <c r="W2391" t="s">
        <v>64460</v>
      </c>
      <c r="X2391" t="s">
        <v>47306</v>
      </c>
    </row>
    <row r="2392" spans="1:24">
      <c r="A2392">
        <f>HYPERLINK("https://www.philgeps.gov.ph/GEPSNONPILOT/Tender/SplashBidNoticeAbstractUI.aspx?menuIndex=3&amp;refID=7200280&amp;Result=3","7200280")</f>
        <v>0</v>
      </c>
      <c r="B2392" t="s">
        <v>1027</v>
      </c>
      <c r="C2392" t="s">
        <v>6171</v>
      </c>
      <c r="D2392" t="s">
        <v>19016</v>
      </c>
      <c r="E2392" t="s">
        <v>21286</v>
      </c>
      <c r="F2392" t="s">
        <v>32606</v>
      </c>
      <c r="G2392" t="s">
        <v>32613</v>
      </c>
      <c r="H2392" t="s">
        <v>32623</v>
      </c>
      <c r="I2392" t="s">
        <v>17648</v>
      </c>
      <c r="J2392" t="s">
        <v>32770</v>
      </c>
      <c r="K2392" t="s">
        <v>42675</v>
      </c>
      <c r="L2392" t="s">
        <v>1027</v>
      </c>
      <c r="M2392" t="s">
        <v>43979</v>
      </c>
      <c r="N2392" t="s">
        <v>47304</v>
      </c>
      <c r="O2392" t="s">
        <v>47305</v>
      </c>
      <c r="P2392">
        <v>0</v>
      </c>
      <c r="Q2392">
        <v>0</v>
      </c>
      <c r="R2392" t="s">
        <v>47307</v>
      </c>
      <c r="S2392" t="s">
        <v>47416</v>
      </c>
      <c r="T2392" t="s">
        <v>49016</v>
      </c>
      <c r="U2392" t="s">
        <v>51661</v>
      </c>
      <c r="W2392" t="s">
        <v>43979</v>
      </c>
      <c r="X2392" t="s">
        <v>47306</v>
      </c>
    </row>
    <row r="2393" spans="1:24">
      <c r="A2393">
        <f>HYPERLINK("https://www.philgeps.gov.ph/GEPSNONPILOT/Tender/SplashBidNoticeAbstractUI.aspx?menuIndex=3&amp;refID=7200292&amp;Result=3","7200292")</f>
        <v>0</v>
      </c>
      <c r="B2393" t="s">
        <v>1050</v>
      </c>
      <c r="C2393" t="s">
        <v>6172</v>
      </c>
      <c r="D2393" t="s">
        <v>19008</v>
      </c>
      <c r="E2393" t="s">
        <v>21287</v>
      </c>
      <c r="F2393" t="s">
        <v>32606</v>
      </c>
      <c r="G2393" t="s">
        <v>32613</v>
      </c>
      <c r="H2393" t="s">
        <v>32623</v>
      </c>
      <c r="I2393" t="s">
        <v>17648</v>
      </c>
      <c r="J2393" t="s">
        <v>34460</v>
      </c>
      <c r="K2393" t="s">
        <v>42623</v>
      </c>
      <c r="M2393" t="s">
        <v>44003</v>
      </c>
      <c r="N2393" t="s">
        <v>47304</v>
      </c>
      <c r="O2393" t="s">
        <v>47305</v>
      </c>
      <c r="P2393">
        <v>0</v>
      </c>
      <c r="Q2393">
        <v>0</v>
      </c>
      <c r="R2393" t="s">
        <v>47307</v>
      </c>
      <c r="S2393" t="s">
        <v>47416</v>
      </c>
      <c r="T2393" t="s">
        <v>49016</v>
      </c>
      <c r="U2393" t="s">
        <v>51662</v>
      </c>
      <c r="W2393" t="s">
        <v>44003</v>
      </c>
      <c r="X2393" t="s">
        <v>47306</v>
      </c>
    </row>
    <row r="2394" spans="1:24">
      <c r="A2394">
        <f>HYPERLINK("https://www.philgeps.gov.ph/GEPSNONPILOT/Tender/SplashBidNoticeAbstractUI.aspx?menuIndex=3&amp;refID=7200277&amp;Result=3","7200277")</f>
        <v>0</v>
      </c>
      <c r="B2394" t="s">
        <v>1027</v>
      </c>
      <c r="C2394" t="s">
        <v>6173</v>
      </c>
      <c r="D2394" t="s">
        <v>19016</v>
      </c>
      <c r="E2394" t="s">
        <v>21288</v>
      </c>
      <c r="F2394" t="s">
        <v>32606</v>
      </c>
      <c r="G2394" t="s">
        <v>32613</v>
      </c>
      <c r="H2394" t="s">
        <v>32623</v>
      </c>
      <c r="I2394" t="s">
        <v>17648</v>
      </c>
      <c r="J2394" t="s">
        <v>32770</v>
      </c>
      <c r="K2394" t="s">
        <v>42675</v>
      </c>
      <c r="L2394" t="s">
        <v>1027</v>
      </c>
      <c r="M2394" t="s">
        <v>43979</v>
      </c>
      <c r="N2394" t="s">
        <v>47304</v>
      </c>
      <c r="O2394" t="s">
        <v>47305</v>
      </c>
      <c r="P2394">
        <v>0</v>
      </c>
      <c r="Q2394">
        <v>0</v>
      </c>
      <c r="R2394" t="s">
        <v>47307</v>
      </c>
      <c r="S2394" t="s">
        <v>47416</v>
      </c>
      <c r="T2394" t="s">
        <v>49215</v>
      </c>
      <c r="U2394" t="s">
        <v>51663</v>
      </c>
      <c r="W2394" t="s">
        <v>43979</v>
      </c>
      <c r="X2394" t="s">
        <v>47306</v>
      </c>
    </row>
    <row r="2395" spans="1:24">
      <c r="A2395">
        <f>HYPERLINK("https://www.philgeps.gov.ph/GEPSNONPILOT/Tender/SplashBidNoticeAbstractUI.aspx?menuIndex=3&amp;refID=7200252&amp;Result=3","7200252")</f>
        <v>0</v>
      </c>
      <c r="B2395" t="s">
        <v>806</v>
      </c>
      <c r="C2395" t="s">
        <v>6174</v>
      </c>
      <c r="D2395" t="s">
        <v>19033</v>
      </c>
      <c r="E2395" t="s">
        <v>21289</v>
      </c>
      <c r="F2395" t="s">
        <v>32606</v>
      </c>
      <c r="G2395" t="s">
        <v>32614</v>
      </c>
      <c r="H2395" t="s">
        <v>14201</v>
      </c>
      <c r="I2395" t="s">
        <v>6298</v>
      </c>
      <c r="J2395" t="s">
        <v>34461</v>
      </c>
      <c r="K2395" t="s">
        <v>42631</v>
      </c>
      <c r="M2395" t="s">
        <v>43737</v>
      </c>
      <c r="N2395" t="s">
        <v>47304</v>
      </c>
      <c r="O2395" t="s">
        <v>47305</v>
      </c>
      <c r="P2395">
        <v>0</v>
      </c>
      <c r="Q2395">
        <v>0</v>
      </c>
      <c r="R2395" t="s">
        <v>47307</v>
      </c>
      <c r="S2395" t="s">
        <v>47416</v>
      </c>
      <c r="T2395" t="s">
        <v>49017</v>
      </c>
      <c r="U2395" t="s">
        <v>51664</v>
      </c>
      <c r="W2395" t="s">
        <v>43737</v>
      </c>
      <c r="X2395" t="s">
        <v>47306</v>
      </c>
    </row>
    <row r="2396" spans="1:24">
      <c r="A2396">
        <f>HYPERLINK("https://www.philgeps.gov.ph/GEPSNONPILOT/Tender/SplashBidNoticeAbstractUI.aspx?menuIndex=3&amp;refID=7200250&amp;Result=3","7200250")</f>
        <v>0</v>
      </c>
      <c r="B2396" t="s">
        <v>392</v>
      </c>
      <c r="C2396" t="s">
        <v>6175</v>
      </c>
      <c r="D2396" t="s">
        <v>18993</v>
      </c>
      <c r="E2396" t="s">
        <v>21290</v>
      </c>
      <c r="F2396" t="s">
        <v>32606</v>
      </c>
      <c r="G2396" t="s">
        <v>32613</v>
      </c>
      <c r="H2396" t="s">
        <v>14201</v>
      </c>
      <c r="I2396" t="s">
        <v>32652</v>
      </c>
      <c r="J2396" t="s">
        <v>34462</v>
      </c>
      <c r="K2396" t="s">
        <v>42630</v>
      </c>
      <c r="M2396" t="s">
        <v>43849</v>
      </c>
      <c r="N2396" t="s">
        <v>47304</v>
      </c>
      <c r="O2396" t="s">
        <v>47305</v>
      </c>
      <c r="P2396">
        <v>0</v>
      </c>
      <c r="Q2396">
        <v>0</v>
      </c>
      <c r="R2396" t="s">
        <v>47307</v>
      </c>
      <c r="S2396" t="s">
        <v>47416</v>
      </c>
      <c r="T2396" t="s">
        <v>49073</v>
      </c>
      <c r="U2396" t="s">
        <v>51665</v>
      </c>
      <c r="W2396" t="s">
        <v>43849</v>
      </c>
      <c r="X2396" t="s">
        <v>47306</v>
      </c>
    </row>
    <row r="2397" spans="1:24">
      <c r="A2397">
        <f>HYPERLINK("https://www.philgeps.gov.ph/GEPSNONPILOT/Tender/SplashBidNoticeAbstractUI.aspx?menuIndex=3&amp;refID=7200285&amp;Result=3","7200285")</f>
        <v>0</v>
      </c>
      <c r="B2397" t="s">
        <v>1041</v>
      </c>
      <c r="C2397" t="s">
        <v>6176</v>
      </c>
      <c r="D2397" t="s">
        <v>19011</v>
      </c>
      <c r="E2397" t="s">
        <v>21291</v>
      </c>
      <c r="F2397" t="s">
        <v>32606</v>
      </c>
      <c r="G2397" t="s">
        <v>32614</v>
      </c>
      <c r="H2397" t="s">
        <v>14201</v>
      </c>
      <c r="I2397" t="s">
        <v>9013</v>
      </c>
      <c r="J2397" t="s">
        <v>34463</v>
      </c>
      <c r="K2397" t="s">
        <v>42624</v>
      </c>
      <c r="M2397" t="s">
        <v>43994</v>
      </c>
      <c r="N2397" t="s">
        <v>47304</v>
      </c>
      <c r="O2397" t="s">
        <v>47305</v>
      </c>
      <c r="P2397">
        <v>0</v>
      </c>
      <c r="Q2397">
        <v>0</v>
      </c>
      <c r="R2397" t="s">
        <v>47307</v>
      </c>
      <c r="S2397" t="s">
        <v>47416</v>
      </c>
      <c r="T2397" t="s">
        <v>48975</v>
      </c>
      <c r="U2397" t="s">
        <v>51645</v>
      </c>
      <c r="W2397" t="s">
        <v>64459</v>
      </c>
      <c r="X2397" t="s">
        <v>47306</v>
      </c>
    </row>
    <row r="2398" spans="1:24">
      <c r="A2398">
        <f>HYPERLINK("https://www.philgeps.gov.ph/GEPSNONPILOT/Tender/SplashBidNoticeAbstractUI.aspx?menuIndex=3&amp;refID=7200302&amp;Result=3","7200302")</f>
        <v>0</v>
      </c>
      <c r="B2398" t="s">
        <v>973</v>
      </c>
      <c r="C2398" t="s">
        <v>6177</v>
      </c>
      <c r="D2398" t="s">
        <v>19007</v>
      </c>
      <c r="E2398" t="s">
        <v>21292</v>
      </c>
      <c r="F2398" t="s">
        <v>32606</v>
      </c>
      <c r="G2398" t="s">
        <v>32619</v>
      </c>
      <c r="H2398" t="s">
        <v>14201</v>
      </c>
      <c r="I2398" t="s">
        <v>8606</v>
      </c>
      <c r="J2398" t="s">
        <v>32973</v>
      </c>
      <c r="K2398" t="s">
        <v>42630</v>
      </c>
      <c r="M2398" t="s">
        <v>43919</v>
      </c>
      <c r="N2398" t="s">
        <v>47304</v>
      </c>
      <c r="O2398" t="s">
        <v>47305</v>
      </c>
      <c r="P2398">
        <v>0</v>
      </c>
      <c r="Q2398">
        <v>0</v>
      </c>
      <c r="R2398" t="s">
        <v>47307</v>
      </c>
      <c r="S2398" t="s">
        <v>47416</v>
      </c>
      <c r="T2398" t="s">
        <v>49100</v>
      </c>
      <c r="U2398" t="s">
        <v>51666</v>
      </c>
      <c r="W2398" t="s">
        <v>43919</v>
      </c>
      <c r="X2398" t="s">
        <v>47306</v>
      </c>
    </row>
    <row r="2399" spans="1:24">
      <c r="A2399">
        <f>HYPERLINK("https://www.philgeps.gov.ph/GEPSNONPILOT/Tender/SplashBidNoticeAbstractUI.aspx?menuIndex=3&amp;refID=7200278&amp;Result=3","7200278")</f>
        <v>0</v>
      </c>
      <c r="B2399" t="s">
        <v>1035</v>
      </c>
      <c r="C2399" t="s">
        <v>6178</v>
      </c>
      <c r="D2399" t="s">
        <v>19016</v>
      </c>
      <c r="E2399" t="s">
        <v>21293</v>
      </c>
      <c r="F2399" t="s">
        <v>32606</v>
      </c>
      <c r="G2399" t="s">
        <v>32613</v>
      </c>
      <c r="H2399" t="s">
        <v>14201</v>
      </c>
      <c r="I2399" t="s">
        <v>32658</v>
      </c>
      <c r="J2399" t="s">
        <v>34464</v>
      </c>
      <c r="K2399" t="s">
        <v>42630</v>
      </c>
      <c r="M2399" t="s">
        <v>43988</v>
      </c>
      <c r="N2399" t="s">
        <v>47304</v>
      </c>
      <c r="O2399" t="s">
        <v>47305</v>
      </c>
      <c r="P2399">
        <v>0</v>
      </c>
      <c r="Q2399">
        <v>0</v>
      </c>
      <c r="R2399" t="s">
        <v>47307</v>
      </c>
      <c r="S2399" t="s">
        <v>47416</v>
      </c>
      <c r="T2399" t="s">
        <v>49101</v>
      </c>
      <c r="U2399" t="s">
        <v>51667</v>
      </c>
      <c r="W2399" t="s">
        <v>43988</v>
      </c>
      <c r="X2399" t="s">
        <v>47306</v>
      </c>
    </row>
    <row r="2400" spans="1:24">
      <c r="A2400">
        <f>HYPERLINK("https://www.philgeps.gov.ph/GEPSNONPILOT/Tender/SplashBidNoticeAbstractUI.aspx?menuIndex=3&amp;refID=7200317&amp;Result=3","7200317")</f>
        <v>0</v>
      </c>
      <c r="B2400" t="s">
        <v>1034</v>
      </c>
      <c r="C2400" t="s">
        <v>6179</v>
      </c>
      <c r="D2400" t="s">
        <v>19022</v>
      </c>
      <c r="E2400" t="s">
        <v>21294</v>
      </c>
      <c r="F2400" t="s">
        <v>32606</v>
      </c>
      <c r="G2400" t="s">
        <v>32613</v>
      </c>
      <c r="H2400" t="s">
        <v>14201</v>
      </c>
      <c r="I2400" t="s">
        <v>32714</v>
      </c>
      <c r="J2400" t="s">
        <v>34465</v>
      </c>
      <c r="K2400" t="s">
        <v>42639</v>
      </c>
      <c r="M2400" t="s">
        <v>43987</v>
      </c>
      <c r="N2400" t="s">
        <v>47304</v>
      </c>
      <c r="O2400" t="s">
        <v>47305</v>
      </c>
      <c r="P2400">
        <v>0</v>
      </c>
      <c r="Q2400">
        <v>0</v>
      </c>
      <c r="R2400" t="s">
        <v>47307</v>
      </c>
      <c r="S2400" t="s">
        <v>47416</v>
      </c>
      <c r="T2400" t="s">
        <v>49154</v>
      </c>
      <c r="U2400" t="s">
        <v>51629</v>
      </c>
      <c r="W2400" t="s">
        <v>43987</v>
      </c>
      <c r="X2400" t="s">
        <v>47306</v>
      </c>
    </row>
    <row r="2401" spans="1:24">
      <c r="A2401">
        <f>HYPERLINK("https://www.philgeps.gov.ph/GEPSNONPILOT/Tender/SplashBidNoticeAbstractUI.aspx?menuIndex=3&amp;refID=7200314&amp;Result=3","7200314")</f>
        <v>0</v>
      </c>
      <c r="B2401" t="s">
        <v>1051</v>
      </c>
      <c r="C2401" t="s">
        <v>6180</v>
      </c>
      <c r="D2401" t="s">
        <v>19057</v>
      </c>
      <c r="E2401" t="s">
        <v>21295</v>
      </c>
      <c r="F2401" t="s">
        <v>32606</v>
      </c>
      <c r="G2401" t="s">
        <v>32613</v>
      </c>
      <c r="H2401" t="s">
        <v>32623</v>
      </c>
      <c r="I2401" t="s">
        <v>17648</v>
      </c>
      <c r="J2401" t="s">
        <v>34466</v>
      </c>
      <c r="K2401" t="s">
        <v>42646</v>
      </c>
      <c r="M2401" t="s">
        <v>44004</v>
      </c>
      <c r="N2401" t="s">
        <v>47304</v>
      </c>
      <c r="O2401" t="s">
        <v>47305</v>
      </c>
      <c r="P2401">
        <v>0</v>
      </c>
      <c r="Q2401">
        <v>0</v>
      </c>
      <c r="R2401" t="s">
        <v>47307</v>
      </c>
      <c r="S2401" t="s">
        <v>47416</v>
      </c>
      <c r="T2401" t="s">
        <v>48995</v>
      </c>
      <c r="U2401" t="s">
        <v>51668</v>
      </c>
      <c r="W2401" t="s">
        <v>44004</v>
      </c>
      <c r="X2401" t="s">
        <v>47306</v>
      </c>
    </row>
    <row r="2402" spans="1:24">
      <c r="A2402">
        <f>HYPERLINK("https://www.philgeps.gov.ph/GEPSNONPILOT/Tender/SplashBidNoticeAbstractUI.aspx?menuIndex=3&amp;refID=7200251&amp;Result=3","7200251")</f>
        <v>0</v>
      </c>
      <c r="B2402" t="s">
        <v>1021</v>
      </c>
      <c r="C2402" t="s">
        <v>6181</v>
      </c>
      <c r="D2402" t="s">
        <v>18993</v>
      </c>
      <c r="E2402" t="s">
        <v>21296</v>
      </c>
      <c r="F2402" t="s">
        <v>32606</v>
      </c>
      <c r="G2402" t="s">
        <v>32613</v>
      </c>
      <c r="H2402" t="s">
        <v>14201</v>
      </c>
      <c r="I2402" t="s">
        <v>6993</v>
      </c>
      <c r="J2402" t="s">
        <v>34467</v>
      </c>
      <c r="K2402" t="s">
        <v>42631</v>
      </c>
      <c r="M2402" t="s">
        <v>43972</v>
      </c>
      <c r="N2402" t="s">
        <v>47304</v>
      </c>
      <c r="O2402" t="s">
        <v>47305</v>
      </c>
      <c r="P2402">
        <v>0</v>
      </c>
      <c r="Q2402">
        <v>0</v>
      </c>
      <c r="R2402" t="s">
        <v>47307</v>
      </c>
      <c r="S2402" t="s">
        <v>47416</v>
      </c>
      <c r="T2402" t="s">
        <v>49033</v>
      </c>
      <c r="U2402" t="s">
        <v>51669</v>
      </c>
      <c r="V2402" t="s">
        <v>62900</v>
      </c>
      <c r="W2402" t="s">
        <v>43972</v>
      </c>
      <c r="X2402" t="s">
        <v>47306</v>
      </c>
    </row>
    <row r="2403" spans="1:24">
      <c r="A2403">
        <f>HYPERLINK("https://www.philgeps.gov.ph/GEPSNONPILOT/Tender/SplashBidNoticeAbstractUI.aspx?menuIndex=3&amp;refID=7200283&amp;Result=3","7200283")</f>
        <v>0</v>
      </c>
      <c r="B2403" t="s">
        <v>1052</v>
      </c>
      <c r="C2403" t="s">
        <v>6182</v>
      </c>
      <c r="D2403" t="s">
        <v>19038</v>
      </c>
      <c r="E2403" t="s">
        <v>6182</v>
      </c>
      <c r="F2403" t="s">
        <v>32606</v>
      </c>
      <c r="G2403" t="s">
        <v>32614</v>
      </c>
      <c r="H2403" t="s">
        <v>14201</v>
      </c>
      <c r="I2403" t="s">
        <v>32691</v>
      </c>
      <c r="J2403" t="s">
        <v>34468</v>
      </c>
      <c r="K2403" t="s">
        <v>42623</v>
      </c>
      <c r="M2403" t="s">
        <v>44005</v>
      </c>
      <c r="N2403" t="s">
        <v>47304</v>
      </c>
      <c r="O2403" t="s">
        <v>47305</v>
      </c>
      <c r="P2403">
        <v>0</v>
      </c>
      <c r="Q2403">
        <v>0</v>
      </c>
      <c r="R2403" t="s">
        <v>47307</v>
      </c>
      <c r="S2403" t="s">
        <v>47416</v>
      </c>
      <c r="T2403" t="s">
        <v>49175</v>
      </c>
      <c r="U2403" t="s">
        <v>51670</v>
      </c>
      <c r="W2403" t="s">
        <v>44005</v>
      </c>
      <c r="X2403" t="s">
        <v>47306</v>
      </c>
    </row>
    <row r="2404" spans="1:24">
      <c r="A2404">
        <f>HYPERLINK("https://www.philgeps.gov.ph/GEPSNONPILOT/Tender/SplashBidNoticeAbstractUI.aspx?menuIndex=3&amp;refID=7200309&amp;Result=3","7200309")</f>
        <v>0</v>
      </c>
      <c r="B2404" t="s">
        <v>1021</v>
      </c>
      <c r="C2404" t="s">
        <v>6183</v>
      </c>
      <c r="D2404" t="s">
        <v>18993</v>
      </c>
      <c r="E2404" t="s">
        <v>21297</v>
      </c>
      <c r="F2404" t="s">
        <v>32606</v>
      </c>
      <c r="G2404" t="s">
        <v>32613</v>
      </c>
      <c r="H2404" t="s">
        <v>14201</v>
      </c>
      <c r="I2404" t="s">
        <v>6993</v>
      </c>
      <c r="J2404" t="s">
        <v>34469</v>
      </c>
      <c r="K2404" t="s">
        <v>42631</v>
      </c>
      <c r="M2404" t="s">
        <v>43972</v>
      </c>
      <c r="N2404" t="s">
        <v>47304</v>
      </c>
      <c r="O2404" t="s">
        <v>47305</v>
      </c>
      <c r="P2404">
        <v>0</v>
      </c>
      <c r="Q2404">
        <v>1</v>
      </c>
      <c r="R2404" t="s">
        <v>47307</v>
      </c>
      <c r="S2404" t="s">
        <v>47416</v>
      </c>
      <c r="T2404" t="s">
        <v>49033</v>
      </c>
      <c r="U2404" t="s">
        <v>51671</v>
      </c>
      <c r="V2404" t="s">
        <v>62900</v>
      </c>
      <c r="W2404" t="s">
        <v>43972</v>
      </c>
      <c r="X2404" t="s">
        <v>47306</v>
      </c>
    </row>
    <row r="2405" spans="1:24">
      <c r="A2405">
        <f>HYPERLINK("https://www.philgeps.gov.ph/GEPSNONPILOT/Tender/SplashBidNoticeAbstractUI.aspx?menuIndex=3&amp;refID=7200308&amp;Result=3","7200308")</f>
        <v>0</v>
      </c>
      <c r="B2405" t="s">
        <v>1053</v>
      </c>
      <c r="C2405" t="s">
        <v>6184</v>
      </c>
      <c r="E2405" t="s">
        <v>21298</v>
      </c>
      <c r="F2405" t="s">
        <v>32606</v>
      </c>
      <c r="G2405" t="s">
        <v>32619</v>
      </c>
      <c r="H2405" t="s">
        <v>14201</v>
      </c>
      <c r="I2405" t="s">
        <v>4114</v>
      </c>
      <c r="J2405" t="s">
        <v>32770</v>
      </c>
      <c r="K2405" t="s">
        <v>42629</v>
      </c>
      <c r="M2405" t="s">
        <v>44006</v>
      </c>
      <c r="N2405" t="s">
        <v>47304</v>
      </c>
      <c r="O2405" t="s">
        <v>47305</v>
      </c>
      <c r="P2405">
        <v>0</v>
      </c>
      <c r="Q2405">
        <v>0</v>
      </c>
      <c r="R2405" t="s">
        <v>47307</v>
      </c>
      <c r="S2405" t="s">
        <v>47416</v>
      </c>
      <c r="T2405" t="s">
        <v>48979</v>
      </c>
      <c r="U2405" t="s">
        <v>51672</v>
      </c>
      <c r="W2405" t="s">
        <v>44006</v>
      </c>
      <c r="X2405" t="s">
        <v>47306</v>
      </c>
    </row>
    <row r="2406" spans="1:24">
      <c r="A2406">
        <f>HYPERLINK("https://www.philgeps.gov.ph/GEPSNONPILOT/Tender/SplashBidNoticeAbstractUI.aspx?menuIndex=3&amp;refID=7200306&amp;Result=3","7200306")</f>
        <v>0</v>
      </c>
      <c r="B2406" t="s">
        <v>212</v>
      </c>
      <c r="C2406" t="s">
        <v>6185</v>
      </c>
      <c r="D2406" t="s">
        <v>19007</v>
      </c>
      <c r="E2406" t="s">
        <v>21299</v>
      </c>
      <c r="F2406" t="s">
        <v>32606</v>
      </c>
      <c r="G2406" t="s">
        <v>32614</v>
      </c>
      <c r="H2406" t="s">
        <v>14201</v>
      </c>
      <c r="I2406" t="s">
        <v>13131</v>
      </c>
      <c r="J2406" t="s">
        <v>34470</v>
      </c>
      <c r="K2406" t="s">
        <v>42631</v>
      </c>
      <c r="M2406" t="s">
        <v>43113</v>
      </c>
      <c r="N2406" t="s">
        <v>47304</v>
      </c>
      <c r="O2406" t="s">
        <v>47305</v>
      </c>
      <c r="P2406">
        <v>0</v>
      </c>
      <c r="Q2406">
        <v>0</v>
      </c>
      <c r="R2406" t="s">
        <v>47307</v>
      </c>
      <c r="S2406" t="s">
        <v>47416</v>
      </c>
      <c r="T2406" t="s">
        <v>49041</v>
      </c>
      <c r="U2406" t="s">
        <v>51673</v>
      </c>
      <c r="W2406" t="s">
        <v>43113</v>
      </c>
      <c r="X2406" t="s">
        <v>47306</v>
      </c>
    </row>
    <row r="2407" spans="1:24">
      <c r="A2407">
        <f>HYPERLINK("https://www.philgeps.gov.ph/GEPSNONPILOT/Tender/SplashBidNoticeAbstractUI.aspx?menuIndex=3&amp;refID=7200224&amp;Result=3","7200224")</f>
        <v>0</v>
      </c>
      <c r="B2407" t="s">
        <v>793</v>
      </c>
      <c r="C2407" t="s">
        <v>6186</v>
      </c>
      <c r="D2407" t="s">
        <v>18987</v>
      </c>
      <c r="E2407" t="s">
        <v>21300</v>
      </c>
      <c r="F2407" t="s">
        <v>32606</v>
      </c>
      <c r="G2407" t="s">
        <v>32617</v>
      </c>
      <c r="H2407" t="s">
        <v>14201</v>
      </c>
      <c r="I2407" t="s">
        <v>4120</v>
      </c>
      <c r="J2407" t="s">
        <v>34471</v>
      </c>
      <c r="K2407" t="s">
        <v>42632</v>
      </c>
      <c r="M2407" t="s">
        <v>43724</v>
      </c>
      <c r="N2407" t="s">
        <v>47304</v>
      </c>
      <c r="O2407" t="s">
        <v>47305</v>
      </c>
      <c r="P2407">
        <v>0</v>
      </c>
      <c r="Q2407">
        <v>0</v>
      </c>
      <c r="R2407" t="s">
        <v>47307</v>
      </c>
      <c r="S2407" t="s">
        <v>47416</v>
      </c>
      <c r="T2407" t="s">
        <v>48976</v>
      </c>
      <c r="U2407" t="s">
        <v>51674</v>
      </c>
      <c r="W2407" t="s">
        <v>43724</v>
      </c>
      <c r="X2407" t="s">
        <v>47306</v>
      </c>
    </row>
    <row r="2408" spans="1:24">
      <c r="A2408">
        <f>HYPERLINK("https://www.philgeps.gov.ph/GEPSNONPILOT/Tender/SplashBidNoticeAbstractUI.aspx?menuIndex=3&amp;refID=7200312&amp;Result=3","7200312")</f>
        <v>0</v>
      </c>
      <c r="B2408" t="s">
        <v>985</v>
      </c>
      <c r="C2408" t="s">
        <v>6187</v>
      </c>
      <c r="D2408" t="s">
        <v>19034</v>
      </c>
      <c r="E2408" t="s">
        <v>21301</v>
      </c>
      <c r="F2408" t="s">
        <v>32606</v>
      </c>
      <c r="G2408" t="s">
        <v>32613</v>
      </c>
      <c r="H2408" t="s">
        <v>14201</v>
      </c>
      <c r="I2408" t="s">
        <v>6993</v>
      </c>
      <c r="J2408" t="s">
        <v>34472</v>
      </c>
      <c r="K2408" t="s">
        <v>42627</v>
      </c>
      <c r="M2408" t="s">
        <v>43931</v>
      </c>
      <c r="N2408" t="s">
        <v>47304</v>
      </c>
      <c r="O2408" t="s">
        <v>47305</v>
      </c>
      <c r="P2408">
        <v>0</v>
      </c>
      <c r="Q2408">
        <v>0</v>
      </c>
      <c r="R2408" t="s">
        <v>47307</v>
      </c>
      <c r="S2408" t="s">
        <v>47416</v>
      </c>
      <c r="T2408" t="s">
        <v>49028</v>
      </c>
      <c r="U2408" t="s">
        <v>51675</v>
      </c>
      <c r="W2408" t="s">
        <v>43931</v>
      </c>
      <c r="X2408" t="s">
        <v>47306</v>
      </c>
    </row>
    <row r="2409" spans="1:24">
      <c r="A2409">
        <f>HYPERLINK("https://www.philgeps.gov.ph/GEPSNONPILOT/Tender/SplashBidNoticeAbstractUI.aspx?menuIndex=3&amp;refID=7200311&amp;Result=3","7200311")</f>
        <v>0</v>
      </c>
      <c r="B2409" t="s">
        <v>1042</v>
      </c>
      <c r="C2409" t="s">
        <v>6188</v>
      </c>
      <c r="D2409" t="s">
        <v>19006</v>
      </c>
      <c r="E2409" t="s">
        <v>19370</v>
      </c>
      <c r="F2409" t="s">
        <v>32606</v>
      </c>
      <c r="G2409" t="s">
        <v>32613</v>
      </c>
      <c r="H2409" t="s">
        <v>14201</v>
      </c>
      <c r="I2409" t="s">
        <v>32656</v>
      </c>
      <c r="J2409" t="s">
        <v>33195</v>
      </c>
      <c r="K2409" t="s">
        <v>42623</v>
      </c>
      <c r="M2409" t="s">
        <v>43995</v>
      </c>
      <c r="N2409" t="s">
        <v>47304</v>
      </c>
      <c r="O2409" t="s">
        <v>47305</v>
      </c>
      <c r="P2409">
        <v>0</v>
      </c>
      <c r="Q2409">
        <v>0</v>
      </c>
      <c r="R2409" t="s">
        <v>47307</v>
      </c>
      <c r="S2409" t="s">
        <v>47416</v>
      </c>
      <c r="T2409" t="s">
        <v>48996</v>
      </c>
      <c r="U2409" t="s">
        <v>51676</v>
      </c>
      <c r="W2409" t="s">
        <v>43995</v>
      </c>
      <c r="X2409" t="s">
        <v>47306</v>
      </c>
    </row>
    <row r="2410" spans="1:24">
      <c r="A2410">
        <f>HYPERLINK("https://www.philgeps.gov.ph/GEPSNONPILOT/Tender/SplashBidNoticeAbstractUI.aspx?menuIndex=3&amp;refID=7200322&amp;Result=3","7200322")</f>
        <v>0</v>
      </c>
      <c r="B2410" t="s">
        <v>1045</v>
      </c>
      <c r="C2410" t="s">
        <v>6189</v>
      </c>
      <c r="D2410" t="s">
        <v>18995</v>
      </c>
      <c r="E2410" t="s">
        <v>21302</v>
      </c>
      <c r="F2410" t="s">
        <v>32606</v>
      </c>
      <c r="G2410" t="s">
        <v>32614</v>
      </c>
      <c r="H2410" t="s">
        <v>14201</v>
      </c>
      <c r="I2410" t="s">
        <v>6007</v>
      </c>
      <c r="J2410" t="s">
        <v>34473</v>
      </c>
      <c r="K2410" t="s">
        <v>42624</v>
      </c>
      <c r="M2410" t="s">
        <v>43998</v>
      </c>
      <c r="N2410" t="s">
        <v>47304</v>
      </c>
      <c r="O2410" t="s">
        <v>47305</v>
      </c>
      <c r="P2410">
        <v>0</v>
      </c>
      <c r="Q2410">
        <v>0</v>
      </c>
      <c r="R2410" t="s">
        <v>47307</v>
      </c>
      <c r="S2410" t="s">
        <v>47416</v>
      </c>
      <c r="T2410" t="s">
        <v>48975</v>
      </c>
      <c r="U2410" t="s">
        <v>51677</v>
      </c>
      <c r="W2410" t="s">
        <v>43998</v>
      </c>
      <c r="X2410" t="s">
        <v>47306</v>
      </c>
    </row>
    <row r="2411" spans="1:24">
      <c r="A2411">
        <f>HYPERLINK("https://www.philgeps.gov.ph/GEPSNONPILOT/Tender/SplashBidNoticeAbstractUI.aspx?menuIndex=3&amp;refID=7200321&amp;Result=3","7200321")</f>
        <v>0</v>
      </c>
      <c r="B2411" t="s">
        <v>173</v>
      </c>
      <c r="C2411" t="s">
        <v>6190</v>
      </c>
      <c r="E2411" t="s">
        <v>21303</v>
      </c>
      <c r="F2411" t="s">
        <v>32606</v>
      </c>
      <c r="G2411" t="s">
        <v>32613</v>
      </c>
      <c r="H2411" t="s">
        <v>32623</v>
      </c>
      <c r="I2411" t="s">
        <v>17648</v>
      </c>
      <c r="J2411" t="s">
        <v>34474</v>
      </c>
      <c r="K2411" t="s">
        <v>42624</v>
      </c>
      <c r="M2411" t="s">
        <v>43074</v>
      </c>
      <c r="N2411" t="s">
        <v>47304</v>
      </c>
      <c r="O2411" t="s">
        <v>47305</v>
      </c>
      <c r="P2411">
        <v>0</v>
      </c>
      <c r="Q2411">
        <v>0</v>
      </c>
      <c r="R2411" t="s">
        <v>47307</v>
      </c>
      <c r="S2411" t="s">
        <v>47416</v>
      </c>
      <c r="T2411" t="s">
        <v>49116</v>
      </c>
      <c r="U2411" t="s">
        <v>51678</v>
      </c>
      <c r="W2411" t="s">
        <v>43074</v>
      </c>
      <c r="X2411" t="s">
        <v>47306</v>
      </c>
    </row>
    <row r="2412" spans="1:24">
      <c r="A2412">
        <f>HYPERLINK("https://www.philgeps.gov.ph/GEPSNONPILOT/Tender/SplashBidNoticeAbstractUI.aspx?menuIndex=3&amp;refID=7200307&amp;Result=3","7200307")</f>
        <v>0</v>
      </c>
      <c r="B2412" t="s">
        <v>1054</v>
      </c>
      <c r="C2412" t="s">
        <v>6191</v>
      </c>
      <c r="D2412" t="s">
        <v>19043</v>
      </c>
      <c r="E2412" t="s">
        <v>21304</v>
      </c>
      <c r="F2412" t="s">
        <v>32606</v>
      </c>
      <c r="G2412" t="s">
        <v>32614</v>
      </c>
      <c r="H2412" t="s">
        <v>14201</v>
      </c>
      <c r="I2412" t="s">
        <v>6993</v>
      </c>
      <c r="J2412" t="s">
        <v>34034</v>
      </c>
      <c r="K2412" t="s">
        <v>42622</v>
      </c>
      <c r="M2412" t="s">
        <v>44007</v>
      </c>
      <c r="N2412" t="s">
        <v>47304</v>
      </c>
      <c r="O2412" t="s">
        <v>47305</v>
      </c>
      <c r="P2412">
        <v>0</v>
      </c>
      <c r="Q2412">
        <v>0</v>
      </c>
      <c r="R2412" t="s">
        <v>47307</v>
      </c>
      <c r="S2412" t="s">
        <v>47416</v>
      </c>
      <c r="T2412" t="s">
        <v>48972</v>
      </c>
      <c r="U2412" t="s">
        <v>51679</v>
      </c>
      <c r="W2412" t="s">
        <v>44007</v>
      </c>
      <c r="X2412" t="s">
        <v>47306</v>
      </c>
    </row>
    <row r="2413" spans="1:24">
      <c r="A2413">
        <f>HYPERLINK("https://www.philgeps.gov.ph/GEPSNONPILOT/Tender/SplashBidNoticeAbstractUI.aspx?menuIndex=3&amp;refID=7200320&amp;Result=3","7200320")</f>
        <v>0</v>
      </c>
      <c r="B2413" t="s">
        <v>1055</v>
      </c>
      <c r="C2413" t="s">
        <v>6192</v>
      </c>
      <c r="D2413" t="s">
        <v>19007</v>
      </c>
      <c r="E2413" t="s">
        <v>21305</v>
      </c>
      <c r="F2413" t="s">
        <v>32606</v>
      </c>
      <c r="G2413" t="s">
        <v>32614</v>
      </c>
      <c r="H2413" t="s">
        <v>14201</v>
      </c>
      <c r="I2413" t="s">
        <v>4678</v>
      </c>
      <c r="J2413" t="s">
        <v>33590</v>
      </c>
      <c r="K2413" t="s">
        <v>42623</v>
      </c>
      <c r="M2413" t="s">
        <v>44008</v>
      </c>
      <c r="N2413" t="s">
        <v>47304</v>
      </c>
      <c r="O2413" t="s">
        <v>47305</v>
      </c>
      <c r="P2413">
        <v>0</v>
      </c>
      <c r="Q2413">
        <v>0</v>
      </c>
      <c r="R2413" t="s">
        <v>47307</v>
      </c>
      <c r="S2413" t="s">
        <v>47416</v>
      </c>
      <c r="T2413" t="s">
        <v>49015</v>
      </c>
      <c r="U2413" t="s">
        <v>51680</v>
      </c>
      <c r="W2413" t="s">
        <v>44008</v>
      </c>
      <c r="X2413" t="s">
        <v>47306</v>
      </c>
    </row>
    <row r="2414" spans="1:24">
      <c r="A2414">
        <f>HYPERLINK("https://www.philgeps.gov.ph/GEPSNONPILOT/Tender/SplashBidNoticeAbstractUI.aspx?menuIndex=3&amp;refID=7200319&amp;Result=3","7200319")</f>
        <v>0</v>
      </c>
      <c r="B2414" t="s">
        <v>1039</v>
      </c>
      <c r="C2414" t="s">
        <v>6193</v>
      </c>
      <c r="D2414" t="s">
        <v>19014</v>
      </c>
      <c r="E2414" t="s">
        <v>21306</v>
      </c>
      <c r="F2414" t="s">
        <v>32606</v>
      </c>
      <c r="G2414" t="s">
        <v>32619</v>
      </c>
      <c r="H2414" t="s">
        <v>14201</v>
      </c>
      <c r="I2414" t="s">
        <v>6298</v>
      </c>
      <c r="J2414" t="s">
        <v>34475</v>
      </c>
      <c r="K2414" t="s">
        <v>42625</v>
      </c>
      <c r="M2414" t="s">
        <v>43992</v>
      </c>
      <c r="N2414" t="s">
        <v>47304</v>
      </c>
      <c r="O2414" t="s">
        <v>47305</v>
      </c>
      <c r="P2414">
        <v>0</v>
      </c>
      <c r="Q2414">
        <v>0</v>
      </c>
      <c r="R2414" t="s">
        <v>47307</v>
      </c>
      <c r="S2414" t="s">
        <v>47416</v>
      </c>
      <c r="T2414" t="s">
        <v>49108</v>
      </c>
      <c r="U2414" t="s">
        <v>51681</v>
      </c>
      <c r="W2414" t="s">
        <v>43992</v>
      </c>
      <c r="X2414" t="s">
        <v>47306</v>
      </c>
    </row>
    <row r="2415" spans="1:24">
      <c r="A2415">
        <f>HYPERLINK("https://www.philgeps.gov.ph/GEPSNONPILOT/Tender/SplashBidNoticeAbstractUI.aspx?menuIndex=3&amp;refID=7200323&amp;Result=3","7200323")</f>
        <v>0</v>
      </c>
      <c r="B2415" t="s">
        <v>919</v>
      </c>
      <c r="C2415" t="s">
        <v>6194</v>
      </c>
      <c r="D2415" t="s">
        <v>19011</v>
      </c>
      <c r="E2415" t="s">
        <v>21307</v>
      </c>
      <c r="F2415" t="s">
        <v>32606</v>
      </c>
      <c r="G2415" t="s">
        <v>32617</v>
      </c>
      <c r="H2415" t="s">
        <v>14201</v>
      </c>
      <c r="I2415" t="s">
        <v>32663</v>
      </c>
      <c r="J2415" t="s">
        <v>32980</v>
      </c>
      <c r="K2415" t="s">
        <v>42631</v>
      </c>
      <c r="M2415" t="s">
        <v>43859</v>
      </c>
      <c r="N2415" t="s">
        <v>47304</v>
      </c>
      <c r="O2415" t="s">
        <v>47305</v>
      </c>
      <c r="P2415">
        <v>0</v>
      </c>
      <c r="Q2415">
        <v>0</v>
      </c>
      <c r="R2415" t="s">
        <v>47307</v>
      </c>
      <c r="S2415" t="s">
        <v>47416</v>
      </c>
      <c r="T2415" t="s">
        <v>49108</v>
      </c>
      <c r="U2415" t="s">
        <v>51682</v>
      </c>
      <c r="V2415" t="s">
        <v>62863</v>
      </c>
      <c r="W2415" t="s">
        <v>43859</v>
      </c>
      <c r="X2415" t="s">
        <v>47306</v>
      </c>
    </row>
    <row r="2416" spans="1:24">
      <c r="A2416">
        <f>HYPERLINK("https://www.philgeps.gov.ph/GEPSNONPILOT/Tender/SplashBidNoticeAbstractUI.aspx?menuIndex=3&amp;refID=7200303&amp;Result=3","7200303")</f>
        <v>0</v>
      </c>
      <c r="B2416" t="s">
        <v>1056</v>
      </c>
      <c r="C2416" t="s">
        <v>6195</v>
      </c>
      <c r="D2416" t="s">
        <v>19014</v>
      </c>
      <c r="E2416" t="s">
        <v>21308</v>
      </c>
      <c r="F2416" t="s">
        <v>32606</v>
      </c>
      <c r="G2416" t="s">
        <v>32613</v>
      </c>
      <c r="H2416" t="s">
        <v>14201</v>
      </c>
      <c r="I2416" t="s">
        <v>32715</v>
      </c>
      <c r="J2416" t="s">
        <v>34476</v>
      </c>
      <c r="K2416" t="s">
        <v>42624</v>
      </c>
      <c r="M2416" t="s">
        <v>44009</v>
      </c>
      <c r="N2416" t="s">
        <v>47304</v>
      </c>
      <c r="O2416" t="s">
        <v>47305</v>
      </c>
      <c r="P2416">
        <v>0</v>
      </c>
      <c r="Q2416">
        <v>0</v>
      </c>
      <c r="R2416" t="s">
        <v>47307</v>
      </c>
      <c r="S2416" t="s">
        <v>47416</v>
      </c>
      <c r="T2416" t="s">
        <v>48985</v>
      </c>
      <c r="U2416" t="s">
        <v>51683</v>
      </c>
      <c r="W2416" t="s">
        <v>44009</v>
      </c>
      <c r="X2416" t="s">
        <v>47306</v>
      </c>
    </row>
    <row r="2417" spans="1:24">
      <c r="A2417">
        <f>HYPERLINK("https://www.philgeps.gov.ph/GEPSNONPILOT/Tender/SplashBidNoticeAbstractUI.aspx?menuIndex=3&amp;refID=7200335&amp;Result=3","7200335")</f>
        <v>0</v>
      </c>
      <c r="B2417" t="s">
        <v>1057</v>
      </c>
      <c r="C2417" t="s">
        <v>6196</v>
      </c>
      <c r="D2417" t="s">
        <v>19036</v>
      </c>
      <c r="E2417" t="s">
        <v>21309</v>
      </c>
      <c r="F2417" t="s">
        <v>32606</v>
      </c>
      <c r="G2417" t="s">
        <v>32614</v>
      </c>
      <c r="H2417" t="s">
        <v>14201</v>
      </c>
      <c r="I2417" t="s">
        <v>6931</v>
      </c>
      <c r="J2417" t="s">
        <v>34477</v>
      </c>
      <c r="K2417" t="s">
        <v>42629</v>
      </c>
      <c r="M2417" t="s">
        <v>44010</v>
      </c>
      <c r="N2417" t="s">
        <v>47304</v>
      </c>
      <c r="O2417" t="s">
        <v>47305</v>
      </c>
      <c r="P2417">
        <v>0</v>
      </c>
      <c r="Q2417">
        <v>0</v>
      </c>
      <c r="R2417" t="s">
        <v>47307</v>
      </c>
      <c r="S2417" t="s">
        <v>47416</v>
      </c>
      <c r="T2417" t="s">
        <v>48975</v>
      </c>
      <c r="U2417" t="s">
        <v>51684</v>
      </c>
      <c r="V2417" t="s">
        <v>50223</v>
      </c>
      <c r="W2417" t="s">
        <v>44010</v>
      </c>
      <c r="X2417" t="s">
        <v>47306</v>
      </c>
    </row>
    <row r="2418" spans="1:24">
      <c r="A2418">
        <f>HYPERLINK("https://www.philgeps.gov.ph/GEPSNONPILOT/Tender/SplashBidNoticeAbstractUI.aspx?menuIndex=3&amp;refID=7200333&amp;Result=3","7200333")</f>
        <v>0</v>
      </c>
      <c r="B2418" t="s">
        <v>947</v>
      </c>
      <c r="C2418" t="s">
        <v>6197</v>
      </c>
      <c r="D2418" t="s">
        <v>19006</v>
      </c>
      <c r="E2418" t="s">
        <v>21310</v>
      </c>
      <c r="F2418" t="s">
        <v>32607</v>
      </c>
      <c r="G2418" t="s">
        <v>32614</v>
      </c>
      <c r="H2418" t="s">
        <v>14201</v>
      </c>
      <c r="I2418" t="s">
        <v>32648</v>
      </c>
      <c r="J2418" t="s">
        <v>34058</v>
      </c>
      <c r="K2418" t="s">
        <v>42630</v>
      </c>
      <c r="M2418" t="s">
        <v>43889</v>
      </c>
      <c r="N2418" t="s">
        <v>47304</v>
      </c>
      <c r="O2418" t="s">
        <v>47305</v>
      </c>
      <c r="P2418">
        <v>0</v>
      </c>
      <c r="Q2418">
        <v>0</v>
      </c>
      <c r="R2418" t="s">
        <v>47307</v>
      </c>
      <c r="S2418" t="s">
        <v>47416</v>
      </c>
      <c r="T2418" t="s">
        <v>48971</v>
      </c>
      <c r="U2418" t="s">
        <v>51685</v>
      </c>
      <c r="V2418" t="s">
        <v>62874</v>
      </c>
      <c r="W2418" t="s">
        <v>43889</v>
      </c>
      <c r="X2418" t="s">
        <v>47306</v>
      </c>
    </row>
    <row r="2419" spans="1:24">
      <c r="A2419">
        <f>HYPERLINK("https://www.philgeps.gov.ph/GEPSNONPILOT/Tender/SplashBidNoticeAbstractUI.aspx?menuIndex=3&amp;refID=7200304&amp;Result=3","7200304")</f>
        <v>0</v>
      </c>
      <c r="B2419" t="s">
        <v>1058</v>
      </c>
      <c r="C2419" t="s">
        <v>6198</v>
      </c>
      <c r="D2419" t="s">
        <v>19039</v>
      </c>
      <c r="E2419" t="s">
        <v>21311</v>
      </c>
      <c r="F2419" t="s">
        <v>32606</v>
      </c>
      <c r="G2419" t="s">
        <v>32613</v>
      </c>
      <c r="H2419" t="s">
        <v>32623</v>
      </c>
      <c r="I2419" t="s">
        <v>17648</v>
      </c>
      <c r="J2419" t="s">
        <v>32830</v>
      </c>
      <c r="K2419" t="s">
        <v>42648</v>
      </c>
      <c r="M2419" t="s">
        <v>44011</v>
      </c>
      <c r="N2419" t="s">
        <v>47304</v>
      </c>
      <c r="O2419" t="s">
        <v>47305</v>
      </c>
      <c r="P2419">
        <v>0</v>
      </c>
      <c r="Q2419">
        <v>0</v>
      </c>
      <c r="R2419" t="s">
        <v>47307</v>
      </c>
      <c r="S2419" t="s">
        <v>47416</v>
      </c>
      <c r="T2419" t="s">
        <v>48983</v>
      </c>
      <c r="U2419" t="s">
        <v>51686</v>
      </c>
      <c r="W2419" t="s">
        <v>44011</v>
      </c>
      <c r="X2419" t="s">
        <v>47306</v>
      </c>
    </row>
    <row r="2420" spans="1:24">
      <c r="A2420">
        <f>HYPERLINK("https://www.philgeps.gov.ph/GEPSNONPILOT/Tender/SplashBidNoticeAbstractUI.aspx?menuIndex=3&amp;refID=7200330&amp;Result=3","7200330")</f>
        <v>0</v>
      </c>
      <c r="B2420" t="s">
        <v>1059</v>
      </c>
      <c r="C2420" t="s">
        <v>6199</v>
      </c>
      <c r="D2420" t="s">
        <v>18993</v>
      </c>
      <c r="E2420" t="s">
        <v>21312</v>
      </c>
      <c r="F2420" t="s">
        <v>32606</v>
      </c>
      <c r="G2420" t="s">
        <v>32613</v>
      </c>
      <c r="H2420" t="s">
        <v>32624</v>
      </c>
      <c r="I2420" t="s">
        <v>7529</v>
      </c>
      <c r="J2420" t="s">
        <v>34478</v>
      </c>
      <c r="K2420" t="s">
        <v>42636</v>
      </c>
      <c r="M2420" t="s">
        <v>44012</v>
      </c>
      <c r="N2420" t="s">
        <v>47304</v>
      </c>
      <c r="O2420" t="s">
        <v>47305</v>
      </c>
      <c r="P2420">
        <v>0</v>
      </c>
      <c r="Q2420">
        <v>0</v>
      </c>
      <c r="R2420" t="s">
        <v>47307</v>
      </c>
      <c r="S2420" t="s">
        <v>47416</v>
      </c>
      <c r="T2420" t="s">
        <v>49065</v>
      </c>
      <c r="U2420" t="s">
        <v>51687</v>
      </c>
      <c r="W2420" t="s">
        <v>44012</v>
      </c>
      <c r="X2420" t="s">
        <v>47306</v>
      </c>
    </row>
    <row r="2421" spans="1:24">
      <c r="A2421">
        <f>HYPERLINK("https://www.philgeps.gov.ph/GEPSNONPILOT/Tender/SplashBidNoticeAbstractUI.aspx?menuIndex=3&amp;refID=7200325&amp;Result=3","7200325")</f>
        <v>0</v>
      </c>
      <c r="B2421" t="s">
        <v>1060</v>
      </c>
      <c r="C2421" t="s">
        <v>6200</v>
      </c>
      <c r="D2421" t="s">
        <v>19042</v>
      </c>
      <c r="E2421" t="s">
        <v>21313</v>
      </c>
      <c r="F2421" t="s">
        <v>32606</v>
      </c>
      <c r="G2421" t="s">
        <v>32614</v>
      </c>
      <c r="H2421" t="s">
        <v>14201</v>
      </c>
      <c r="I2421" t="s">
        <v>7529</v>
      </c>
      <c r="J2421" t="s">
        <v>34479</v>
      </c>
      <c r="K2421" t="s">
        <v>42629</v>
      </c>
      <c r="M2421" t="s">
        <v>44013</v>
      </c>
      <c r="N2421" t="s">
        <v>47304</v>
      </c>
      <c r="O2421" t="s">
        <v>47305</v>
      </c>
      <c r="P2421">
        <v>0</v>
      </c>
      <c r="Q2421">
        <v>0</v>
      </c>
      <c r="R2421" t="s">
        <v>47307</v>
      </c>
      <c r="S2421" t="s">
        <v>47416</v>
      </c>
      <c r="T2421" t="s">
        <v>48988</v>
      </c>
      <c r="U2421" t="s">
        <v>51688</v>
      </c>
      <c r="W2421" t="s">
        <v>44013</v>
      </c>
      <c r="X2421" t="s">
        <v>47306</v>
      </c>
    </row>
    <row r="2422" spans="1:24">
      <c r="A2422">
        <f>HYPERLINK("https://www.philgeps.gov.ph/GEPSNONPILOT/Tender/SplashBidNoticeAbstractUI.aspx?menuIndex=3&amp;refID=7200344&amp;Result=3","7200344")</f>
        <v>0</v>
      </c>
      <c r="B2422" t="s">
        <v>1061</v>
      </c>
      <c r="C2422" t="s">
        <v>6201</v>
      </c>
      <c r="D2422" t="s">
        <v>19000</v>
      </c>
      <c r="E2422" t="s">
        <v>21314</v>
      </c>
      <c r="F2422" t="s">
        <v>32606</v>
      </c>
      <c r="G2422" t="s">
        <v>32613</v>
      </c>
      <c r="H2422" t="s">
        <v>14201</v>
      </c>
      <c r="I2422" t="s">
        <v>4369</v>
      </c>
      <c r="J2422" t="s">
        <v>34480</v>
      </c>
      <c r="K2422" t="s">
        <v>42631</v>
      </c>
      <c r="M2422" t="s">
        <v>44014</v>
      </c>
      <c r="N2422" t="s">
        <v>47304</v>
      </c>
      <c r="O2422" t="s">
        <v>47305</v>
      </c>
      <c r="P2422">
        <v>0</v>
      </c>
      <c r="Q2422">
        <v>0</v>
      </c>
      <c r="R2422" t="s">
        <v>47307</v>
      </c>
      <c r="S2422" t="s">
        <v>47416</v>
      </c>
      <c r="T2422" t="s">
        <v>49008</v>
      </c>
      <c r="U2422" t="s">
        <v>51689</v>
      </c>
      <c r="W2422" t="s">
        <v>44014</v>
      </c>
      <c r="X2422" t="s">
        <v>47306</v>
      </c>
    </row>
    <row r="2423" spans="1:24">
      <c r="A2423">
        <f>HYPERLINK("https://www.philgeps.gov.ph/GEPSNONPILOT/Tender/SplashBidNoticeAbstractUI.aspx?menuIndex=3&amp;refID=7200318&amp;Result=3","7200318")</f>
        <v>0</v>
      </c>
      <c r="B2423" t="s">
        <v>985</v>
      </c>
      <c r="C2423" t="s">
        <v>6202</v>
      </c>
      <c r="D2423" t="s">
        <v>19034</v>
      </c>
      <c r="E2423" t="s">
        <v>21315</v>
      </c>
      <c r="F2423" t="s">
        <v>32606</v>
      </c>
      <c r="G2423" t="s">
        <v>32613</v>
      </c>
      <c r="H2423" t="s">
        <v>14201</v>
      </c>
      <c r="I2423" t="s">
        <v>32634</v>
      </c>
      <c r="J2423" t="s">
        <v>34481</v>
      </c>
      <c r="K2423" t="s">
        <v>42631</v>
      </c>
      <c r="M2423" t="s">
        <v>43931</v>
      </c>
      <c r="N2423" t="s">
        <v>47304</v>
      </c>
      <c r="O2423" t="s">
        <v>47305</v>
      </c>
      <c r="P2423">
        <v>0</v>
      </c>
      <c r="Q2423">
        <v>0</v>
      </c>
      <c r="R2423" t="s">
        <v>47307</v>
      </c>
      <c r="S2423" t="s">
        <v>47416</v>
      </c>
      <c r="T2423" t="s">
        <v>48971</v>
      </c>
      <c r="U2423" t="s">
        <v>51690</v>
      </c>
      <c r="W2423" t="s">
        <v>43931</v>
      </c>
      <c r="X2423" t="s">
        <v>47306</v>
      </c>
    </row>
    <row r="2424" spans="1:24">
      <c r="A2424">
        <f>HYPERLINK("https://www.philgeps.gov.ph/GEPSNONPILOT/Tender/SplashBidNoticeAbstractUI.aspx?menuIndex=3&amp;refID=7200334&amp;Result=3","7200334")</f>
        <v>0</v>
      </c>
      <c r="B2424" t="s">
        <v>1062</v>
      </c>
      <c r="C2424" t="s">
        <v>6203</v>
      </c>
      <c r="D2424" t="s">
        <v>18991</v>
      </c>
      <c r="E2424" t="s">
        <v>19775</v>
      </c>
      <c r="F2424" t="s">
        <v>32606</v>
      </c>
      <c r="G2424" t="s">
        <v>32615</v>
      </c>
      <c r="H2424" t="s">
        <v>14201</v>
      </c>
      <c r="I2424" t="s">
        <v>6931</v>
      </c>
      <c r="J2424" t="s">
        <v>34482</v>
      </c>
      <c r="K2424" t="s">
        <v>42623</v>
      </c>
      <c r="M2424" t="s">
        <v>44015</v>
      </c>
      <c r="N2424" t="s">
        <v>47304</v>
      </c>
      <c r="O2424" t="s">
        <v>47305</v>
      </c>
      <c r="P2424">
        <v>0</v>
      </c>
      <c r="Q2424">
        <v>0</v>
      </c>
      <c r="R2424" t="s">
        <v>47307</v>
      </c>
      <c r="S2424" t="s">
        <v>47416</v>
      </c>
      <c r="T2424" t="s">
        <v>49015</v>
      </c>
      <c r="U2424" t="s">
        <v>51691</v>
      </c>
      <c r="W2424" t="s">
        <v>44015</v>
      </c>
      <c r="X2424" t="s">
        <v>47306</v>
      </c>
    </row>
    <row r="2425" spans="1:24">
      <c r="A2425">
        <f>HYPERLINK("https://www.philgeps.gov.ph/GEPSNONPILOT/Tender/SplashBidNoticeAbstractUI.aspx?menuIndex=3&amp;refID=7200343&amp;Result=3","7200343")</f>
        <v>0</v>
      </c>
      <c r="B2425" t="s">
        <v>1063</v>
      </c>
      <c r="C2425" t="s">
        <v>6204</v>
      </c>
      <c r="D2425" t="s">
        <v>18997</v>
      </c>
      <c r="E2425" t="s">
        <v>21316</v>
      </c>
      <c r="F2425" t="s">
        <v>32606</v>
      </c>
      <c r="G2425" t="s">
        <v>32614</v>
      </c>
      <c r="H2425" t="s">
        <v>14201</v>
      </c>
      <c r="I2425" t="s">
        <v>32709</v>
      </c>
      <c r="J2425" t="s">
        <v>34483</v>
      </c>
      <c r="K2425" t="s">
        <v>42629</v>
      </c>
      <c r="M2425" t="s">
        <v>44016</v>
      </c>
      <c r="N2425" t="s">
        <v>47304</v>
      </c>
      <c r="O2425" t="s">
        <v>47305</v>
      </c>
      <c r="P2425">
        <v>0</v>
      </c>
      <c r="Q2425">
        <v>0</v>
      </c>
      <c r="R2425" t="s">
        <v>47307</v>
      </c>
      <c r="S2425" t="s">
        <v>47416</v>
      </c>
      <c r="T2425" t="s">
        <v>48976</v>
      </c>
      <c r="U2425" t="s">
        <v>51692</v>
      </c>
      <c r="W2425" t="s">
        <v>44016</v>
      </c>
      <c r="X2425" t="s">
        <v>47306</v>
      </c>
    </row>
    <row r="2426" spans="1:24">
      <c r="A2426">
        <f>HYPERLINK("https://www.philgeps.gov.ph/GEPSNONPILOT/Tender/SplashBidNoticeAbstractUI.aspx?menuIndex=3&amp;refID=7200332&amp;Result=3","7200332")</f>
        <v>0</v>
      </c>
      <c r="B2426" t="s">
        <v>1061</v>
      </c>
      <c r="C2426" t="s">
        <v>6205</v>
      </c>
      <c r="D2426" t="s">
        <v>19000</v>
      </c>
      <c r="E2426" t="s">
        <v>21317</v>
      </c>
      <c r="F2426" t="s">
        <v>32606</v>
      </c>
      <c r="G2426" t="s">
        <v>32613</v>
      </c>
      <c r="H2426" t="s">
        <v>14201</v>
      </c>
      <c r="I2426" t="s">
        <v>4369</v>
      </c>
      <c r="J2426" t="s">
        <v>34484</v>
      </c>
      <c r="K2426" t="s">
        <v>42631</v>
      </c>
      <c r="M2426" t="s">
        <v>44014</v>
      </c>
      <c r="N2426" t="s">
        <v>47304</v>
      </c>
      <c r="O2426" t="s">
        <v>47305</v>
      </c>
      <c r="P2426">
        <v>0</v>
      </c>
      <c r="Q2426">
        <v>0</v>
      </c>
      <c r="R2426" t="s">
        <v>47307</v>
      </c>
      <c r="S2426" t="s">
        <v>47416</v>
      </c>
      <c r="T2426" t="s">
        <v>49008</v>
      </c>
      <c r="U2426" t="s">
        <v>51693</v>
      </c>
      <c r="W2426" t="s">
        <v>44014</v>
      </c>
      <c r="X2426" t="s">
        <v>47306</v>
      </c>
    </row>
    <row r="2427" spans="1:24">
      <c r="A2427">
        <f>HYPERLINK("https://www.philgeps.gov.ph/GEPSNONPILOT/Tender/SplashBidNoticeAbstractUI.aspx?menuIndex=3&amp;refID=7200340&amp;Result=3","7200340")</f>
        <v>0</v>
      </c>
      <c r="B2427" t="s">
        <v>1064</v>
      </c>
      <c r="C2427" t="s">
        <v>6206</v>
      </c>
      <c r="D2427" t="s">
        <v>19013</v>
      </c>
      <c r="E2427" t="s">
        <v>21318</v>
      </c>
      <c r="F2427" t="s">
        <v>32606</v>
      </c>
      <c r="G2427" t="s">
        <v>32614</v>
      </c>
      <c r="H2427" t="s">
        <v>14201</v>
      </c>
      <c r="I2427" t="s">
        <v>4678</v>
      </c>
      <c r="J2427" t="s">
        <v>34485</v>
      </c>
      <c r="K2427" t="s">
        <v>42624</v>
      </c>
      <c r="M2427" t="s">
        <v>44017</v>
      </c>
      <c r="N2427" t="s">
        <v>47304</v>
      </c>
      <c r="O2427" t="s">
        <v>47305</v>
      </c>
      <c r="P2427">
        <v>0</v>
      </c>
      <c r="Q2427">
        <v>0</v>
      </c>
      <c r="R2427" t="s">
        <v>47307</v>
      </c>
      <c r="S2427" t="s">
        <v>47416</v>
      </c>
      <c r="T2427" t="s">
        <v>48986</v>
      </c>
      <c r="U2427" t="s">
        <v>51694</v>
      </c>
      <c r="W2427" t="s">
        <v>44017</v>
      </c>
      <c r="X2427" t="s">
        <v>47306</v>
      </c>
    </row>
    <row r="2428" spans="1:24">
      <c r="A2428">
        <f>HYPERLINK("https://www.philgeps.gov.ph/GEPSNONPILOT/Tender/SplashBidNoticeAbstractUI.aspx?menuIndex=3&amp;refID=7200339&amp;Result=3","7200339")</f>
        <v>0</v>
      </c>
      <c r="B2428" t="s">
        <v>1065</v>
      </c>
      <c r="C2428" t="s">
        <v>6207</v>
      </c>
      <c r="D2428" t="s">
        <v>19010</v>
      </c>
      <c r="E2428" t="s">
        <v>21319</v>
      </c>
      <c r="F2428" t="s">
        <v>32606</v>
      </c>
      <c r="G2428" t="s">
        <v>32619</v>
      </c>
      <c r="H2428" t="s">
        <v>14201</v>
      </c>
      <c r="I2428" t="s">
        <v>7577</v>
      </c>
      <c r="J2428" t="s">
        <v>33441</v>
      </c>
      <c r="K2428" t="s">
        <v>42623</v>
      </c>
      <c r="M2428" t="s">
        <v>44018</v>
      </c>
      <c r="N2428" t="s">
        <v>47304</v>
      </c>
      <c r="O2428" t="s">
        <v>47305</v>
      </c>
      <c r="P2428">
        <v>0</v>
      </c>
      <c r="Q2428">
        <v>0</v>
      </c>
      <c r="R2428" t="s">
        <v>47307</v>
      </c>
      <c r="S2428" t="s">
        <v>47416</v>
      </c>
      <c r="T2428" t="s">
        <v>49216</v>
      </c>
      <c r="U2428" t="s">
        <v>51695</v>
      </c>
      <c r="V2428" t="s">
        <v>62909</v>
      </c>
      <c r="W2428" t="s">
        <v>44018</v>
      </c>
      <c r="X2428" t="s">
        <v>47306</v>
      </c>
    </row>
    <row r="2429" spans="1:24">
      <c r="A2429">
        <f>HYPERLINK("https://www.philgeps.gov.ph/GEPSNONPILOT/Tender/SplashBidNoticeAbstractUI.aspx?menuIndex=3&amp;refID=7200342&amp;Result=3","7200342")</f>
        <v>0</v>
      </c>
      <c r="B2429" t="s">
        <v>1060</v>
      </c>
      <c r="C2429" t="s">
        <v>6208</v>
      </c>
      <c r="D2429" t="s">
        <v>19042</v>
      </c>
      <c r="E2429" t="s">
        <v>21320</v>
      </c>
      <c r="F2429" t="s">
        <v>32606</v>
      </c>
      <c r="G2429" t="s">
        <v>32614</v>
      </c>
      <c r="H2429" t="s">
        <v>14201</v>
      </c>
      <c r="I2429" t="s">
        <v>6931</v>
      </c>
      <c r="J2429" t="s">
        <v>34486</v>
      </c>
      <c r="K2429" t="s">
        <v>42631</v>
      </c>
      <c r="M2429" t="s">
        <v>44013</v>
      </c>
      <c r="N2429" t="s">
        <v>47304</v>
      </c>
      <c r="O2429" t="s">
        <v>47305</v>
      </c>
      <c r="P2429">
        <v>0</v>
      </c>
      <c r="Q2429">
        <v>0</v>
      </c>
      <c r="R2429" t="s">
        <v>47307</v>
      </c>
      <c r="S2429" t="s">
        <v>47416</v>
      </c>
      <c r="T2429" t="s">
        <v>48988</v>
      </c>
      <c r="U2429" t="s">
        <v>51696</v>
      </c>
      <c r="W2429" t="s">
        <v>44013</v>
      </c>
      <c r="X2429" t="s">
        <v>47306</v>
      </c>
    </row>
    <row r="2430" spans="1:24">
      <c r="A2430">
        <f>HYPERLINK("https://www.philgeps.gov.ph/GEPSNONPILOT/Tender/SplashBidNoticeAbstractUI.aspx?menuIndex=3&amp;refID=7200341&amp;Result=3","7200341")</f>
        <v>0</v>
      </c>
      <c r="B2430" t="s">
        <v>985</v>
      </c>
      <c r="C2430" t="s">
        <v>6209</v>
      </c>
      <c r="D2430" t="s">
        <v>19034</v>
      </c>
      <c r="E2430" t="s">
        <v>21321</v>
      </c>
      <c r="F2430" t="s">
        <v>32606</v>
      </c>
      <c r="G2430" t="s">
        <v>32613</v>
      </c>
      <c r="H2430" t="s">
        <v>14201</v>
      </c>
      <c r="I2430" t="s">
        <v>13131</v>
      </c>
      <c r="J2430" t="s">
        <v>34487</v>
      </c>
      <c r="K2430" t="s">
        <v>42631</v>
      </c>
      <c r="M2430" t="s">
        <v>43931</v>
      </c>
      <c r="N2430" t="s">
        <v>47304</v>
      </c>
      <c r="O2430" t="s">
        <v>47305</v>
      </c>
      <c r="P2430">
        <v>0</v>
      </c>
      <c r="Q2430">
        <v>0</v>
      </c>
      <c r="R2430" t="s">
        <v>47307</v>
      </c>
      <c r="S2430" t="s">
        <v>47416</v>
      </c>
      <c r="T2430" t="s">
        <v>48971</v>
      </c>
      <c r="U2430" t="s">
        <v>51697</v>
      </c>
      <c r="W2430" t="s">
        <v>43931</v>
      </c>
      <c r="X2430" t="s">
        <v>47306</v>
      </c>
    </row>
    <row r="2431" spans="1:24">
      <c r="A2431">
        <f>HYPERLINK("https://www.philgeps.gov.ph/GEPSNONPILOT/Tender/SplashBidNoticeAbstractUI.aspx?menuIndex=3&amp;refID=7200337&amp;Result=3","7200337")</f>
        <v>0</v>
      </c>
      <c r="B2431" t="s">
        <v>1066</v>
      </c>
      <c r="C2431" t="s">
        <v>6210</v>
      </c>
      <c r="D2431" t="s">
        <v>19057</v>
      </c>
      <c r="E2431" t="s">
        <v>21322</v>
      </c>
      <c r="F2431" t="s">
        <v>32606</v>
      </c>
      <c r="G2431" t="s">
        <v>32613</v>
      </c>
      <c r="H2431" t="s">
        <v>32623</v>
      </c>
      <c r="I2431" t="s">
        <v>17648</v>
      </c>
      <c r="J2431" t="s">
        <v>32830</v>
      </c>
      <c r="K2431" t="s">
        <v>42646</v>
      </c>
      <c r="M2431" t="s">
        <v>44019</v>
      </c>
      <c r="N2431" t="s">
        <v>47304</v>
      </c>
      <c r="O2431" t="s">
        <v>47305</v>
      </c>
      <c r="P2431">
        <v>0</v>
      </c>
      <c r="Q2431">
        <v>0</v>
      </c>
      <c r="R2431" t="s">
        <v>47307</v>
      </c>
      <c r="S2431" t="s">
        <v>47416</v>
      </c>
      <c r="T2431" t="s">
        <v>49081</v>
      </c>
      <c r="U2431" t="s">
        <v>51698</v>
      </c>
      <c r="W2431" t="s">
        <v>44019</v>
      </c>
      <c r="X2431" t="s">
        <v>47306</v>
      </c>
    </row>
    <row r="2432" spans="1:24">
      <c r="A2432">
        <f>HYPERLINK("https://www.philgeps.gov.ph/GEPSNONPILOT/Tender/SplashBidNoticeAbstractUI.aspx?menuIndex=3&amp;refID=7200336&amp;Result=3","7200336")</f>
        <v>0</v>
      </c>
      <c r="B2432" t="s">
        <v>1058</v>
      </c>
      <c r="C2432" t="s">
        <v>6211</v>
      </c>
      <c r="D2432" t="s">
        <v>19039</v>
      </c>
      <c r="E2432" t="s">
        <v>21323</v>
      </c>
      <c r="F2432" t="s">
        <v>32606</v>
      </c>
      <c r="G2432" t="s">
        <v>32613</v>
      </c>
      <c r="H2432" t="s">
        <v>32623</v>
      </c>
      <c r="I2432" t="s">
        <v>17648</v>
      </c>
      <c r="J2432" t="s">
        <v>32830</v>
      </c>
      <c r="K2432" t="s">
        <v>42648</v>
      </c>
      <c r="M2432" t="s">
        <v>44011</v>
      </c>
      <c r="N2432" t="s">
        <v>47304</v>
      </c>
      <c r="O2432" t="s">
        <v>47305</v>
      </c>
      <c r="P2432">
        <v>0</v>
      </c>
      <c r="Q2432">
        <v>0</v>
      </c>
      <c r="R2432" t="s">
        <v>47307</v>
      </c>
      <c r="S2432" t="s">
        <v>47416</v>
      </c>
      <c r="T2432" t="s">
        <v>48983</v>
      </c>
      <c r="U2432" t="s">
        <v>51686</v>
      </c>
      <c r="W2432" t="s">
        <v>44011</v>
      </c>
      <c r="X2432" t="s">
        <v>47306</v>
      </c>
    </row>
    <row r="2433" spans="1:24">
      <c r="A2433">
        <f>HYPERLINK("https://www.philgeps.gov.ph/GEPSNONPILOT/Tender/SplashBidNoticeAbstractUI.aspx?menuIndex=3&amp;refID=7200329&amp;Result=3","7200329")</f>
        <v>0</v>
      </c>
      <c r="B2433" t="s">
        <v>985</v>
      </c>
      <c r="C2433" t="s">
        <v>6212</v>
      </c>
      <c r="D2433" t="s">
        <v>19034</v>
      </c>
      <c r="E2433" t="s">
        <v>21324</v>
      </c>
      <c r="F2433" t="s">
        <v>32606</v>
      </c>
      <c r="G2433" t="s">
        <v>32613</v>
      </c>
      <c r="H2433" t="s">
        <v>14201</v>
      </c>
      <c r="I2433" t="s">
        <v>32640</v>
      </c>
      <c r="J2433" t="s">
        <v>32850</v>
      </c>
      <c r="K2433" t="s">
        <v>42631</v>
      </c>
      <c r="M2433" t="s">
        <v>43931</v>
      </c>
      <c r="N2433" t="s">
        <v>47304</v>
      </c>
      <c r="O2433" t="s">
        <v>47305</v>
      </c>
      <c r="P2433">
        <v>0</v>
      </c>
      <c r="Q2433">
        <v>0</v>
      </c>
      <c r="R2433" t="s">
        <v>47307</v>
      </c>
      <c r="S2433" t="s">
        <v>47416</v>
      </c>
      <c r="T2433" t="s">
        <v>48971</v>
      </c>
      <c r="U2433" t="s">
        <v>51699</v>
      </c>
      <c r="W2433" t="s">
        <v>43931</v>
      </c>
      <c r="X2433" t="s">
        <v>47306</v>
      </c>
    </row>
    <row r="2434" spans="1:24">
      <c r="A2434">
        <f>HYPERLINK("https://www.philgeps.gov.ph/GEPSNONPILOT/Tender/SplashBidNoticeAbstractUI.aspx?menuIndex=3&amp;refID=7200327&amp;Result=3","7200327")</f>
        <v>0</v>
      </c>
      <c r="B2434" t="s">
        <v>1067</v>
      </c>
      <c r="C2434" t="s">
        <v>6213</v>
      </c>
      <c r="D2434" t="s">
        <v>19010</v>
      </c>
      <c r="E2434" t="s">
        <v>21325</v>
      </c>
      <c r="F2434" t="s">
        <v>32606</v>
      </c>
      <c r="G2434" t="s">
        <v>32613</v>
      </c>
      <c r="H2434" t="s">
        <v>14201</v>
      </c>
      <c r="I2434" t="s">
        <v>4121</v>
      </c>
      <c r="J2434" t="s">
        <v>33071</v>
      </c>
      <c r="K2434" t="s">
        <v>42639</v>
      </c>
      <c r="M2434" t="s">
        <v>44020</v>
      </c>
      <c r="N2434" t="s">
        <v>47304</v>
      </c>
      <c r="O2434" t="s">
        <v>47305</v>
      </c>
      <c r="P2434">
        <v>0</v>
      </c>
      <c r="Q2434">
        <v>0</v>
      </c>
      <c r="R2434" t="s">
        <v>47307</v>
      </c>
      <c r="S2434" t="s">
        <v>47416</v>
      </c>
      <c r="T2434" t="s">
        <v>49094</v>
      </c>
      <c r="U2434" t="s">
        <v>51700</v>
      </c>
      <c r="W2434" t="s">
        <v>44020</v>
      </c>
      <c r="X2434" t="s">
        <v>47306</v>
      </c>
    </row>
    <row r="2435" spans="1:24">
      <c r="A2435">
        <f>HYPERLINK("https://www.philgeps.gov.ph/GEPSNONPILOT/Tender/SplashBidNoticeAbstractUI.aspx?menuIndex=3&amp;refID=7200345&amp;Result=3","7200345")</f>
        <v>0</v>
      </c>
      <c r="B2435" t="s">
        <v>1028</v>
      </c>
      <c r="C2435" t="s">
        <v>6214</v>
      </c>
      <c r="D2435" t="s">
        <v>19008</v>
      </c>
      <c r="E2435" t="s">
        <v>21326</v>
      </c>
      <c r="F2435" t="s">
        <v>32606</v>
      </c>
      <c r="G2435" t="s">
        <v>32614</v>
      </c>
      <c r="H2435" t="s">
        <v>14201</v>
      </c>
      <c r="I2435" t="s">
        <v>6931</v>
      </c>
      <c r="J2435" t="s">
        <v>34488</v>
      </c>
      <c r="K2435" t="s">
        <v>42631</v>
      </c>
      <c r="M2435" t="s">
        <v>43981</v>
      </c>
      <c r="N2435" t="s">
        <v>47304</v>
      </c>
      <c r="O2435" t="s">
        <v>47305</v>
      </c>
      <c r="P2435">
        <v>0</v>
      </c>
      <c r="Q2435">
        <v>0</v>
      </c>
      <c r="R2435" t="s">
        <v>47307</v>
      </c>
      <c r="S2435" t="s">
        <v>47416</v>
      </c>
      <c r="T2435" t="s">
        <v>48987</v>
      </c>
      <c r="U2435" t="s">
        <v>51701</v>
      </c>
      <c r="W2435" t="s">
        <v>43981</v>
      </c>
      <c r="X2435" t="s">
        <v>47306</v>
      </c>
    </row>
    <row r="2436" spans="1:24">
      <c r="A2436">
        <f>HYPERLINK("https://www.philgeps.gov.ph/GEPSNONPILOT/Tender/SplashBidNoticeAbstractUI.aspx?menuIndex=3&amp;refID=7200326&amp;Result=3","7200326")</f>
        <v>0</v>
      </c>
      <c r="B2436" t="s">
        <v>1068</v>
      </c>
      <c r="C2436" t="s">
        <v>6215</v>
      </c>
      <c r="D2436" t="s">
        <v>19057</v>
      </c>
      <c r="E2436" t="s">
        <v>21327</v>
      </c>
      <c r="F2436" t="s">
        <v>32606</v>
      </c>
      <c r="G2436" t="s">
        <v>32613</v>
      </c>
      <c r="H2436" t="s">
        <v>14201</v>
      </c>
      <c r="I2436" t="s">
        <v>7577</v>
      </c>
      <c r="J2436" t="s">
        <v>32995</v>
      </c>
      <c r="K2436" t="s">
        <v>42623</v>
      </c>
      <c r="M2436" t="s">
        <v>44021</v>
      </c>
      <c r="N2436" t="s">
        <v>47304</v>
      </c>
      <c r="O2436" t="s">
        <v>47305</v>
      </c>
      <c r="P2436">
        <v>0</v>
      </c>
      <c r="Q2436">
        <v>0</v>
      </c>
      <c r="R2436" t="s">
        <v>47307</v>
      </c>
      <c r="S2436" t="s">
        <v>47416</v>
      </c>
      <c r="T2436" t="s">
        <v>49184</v>
      </c>
      <c r="U2436" t="s">
        <v>51702</v>
      </c>
      <c r="W2436" t="s">
        <v>44021</v>
      </c>
      <c r="X2436" t="s">
        <v>47306</v>
      </c>
    </row>
    <row r="2437" spans="1:24">
      <c r="A2437">
        <f>HYPERLINK("https://www.philgeps.gov.ph/GEPSNONPILOT/Tender/SplashBidNoticeAbstractUI.aspx?menuIndex=3&amp;refID=7200348&amp;Result=3","7200348")</f>
        <v>0</v>
      </c>
      <c r="B2437" t="s">
        <v>1069</v>
      </c>
      <c r="C2437" t="s">
        <v>6216</v>
      </c>
      <c r="D2437" t="s">
        <v>18993</v>
      </c>
      <c r="E2437" t="s">
        <v>21328</v>
      </c>
      <c r="F2437" t="s">
        <v>32607</v>
      </c>
      <c r="G2437" t="s">
        <v>32613</v>
      </c>
      <c r="H2437" t="s">
        <v>32624</v>
      </c>
      <c r="I2437" t="s">
        <v>6478</v>
      </c>
      <c r="J2437" t="s">
        <v>34489</v>
      </c>
      <c r="K2437" t="s">
        <v>42631</v>
      </c>
      <c r="M2437" t="s">
        <v>44022</v>
      </c>
      <c r="N2437" t="s">
        <v>47304</v>
      </c>
      <c r="O2437" t="s">
        <v>47305</v>
      </c>
      <c r="P2437">
        <v>0</v>
      </c>
      <c r="Q2437">
        <v>0</v>
      </c>
      <c r="R2437" t="s">
        <v>47307</v>
      </c>
      <c r="S2437" t="s">
        <v>47416</v>
      </c>
      <c r="T2437" t="s">
        <v>49217</v>
      </c>
      <c r="U2437" t="s">
        <v>51703</v>
      </c>
      <c r="W2437" t="s">
        <v>44022</v>
      </c>
      <c r="X2437" t="s">
        <v>47306</v>
      </c>
    </row>
    <row r="2438" spans="1:24">
      <c r="A2438">
        <f>HYPERLINK("https://www.philgeps.gov.ph/GEPSNONPILOT/Tender/SplashBidNoticeAbstractUI.aspx?menuIndex=3&amp;refID=7200338&amp;Result=3","7200338")</f>
        <v>0</v>
      </c>
      <c r="B2438" t="s">
        <v>1054</v>
      </c>
      <c r="C2438" t="s">
        <v>6217</v>
      </c>
      <c r="D2438" t="s">
        <v>19043</v>
      </c>
      <c r="E2438" t="s">
        <v>21329</v>
      </c>
      <c r="F2438" t="s">
        <v>32606</v>
      </c>
      <c r="G2438" t="s">
        <v>32617</v>
      </c>
      <c r="H2438" t="s">
        <v>14201</v>
      </c>
      <c r="I2438" t="s">
        <v>4678</v>
      </c>
      <c r="J2438" t="s">
        <v>34490</v>
      </c>
      <c r="K2438" t="s">
        <v>42622</v>
      </c>
      <c r="M2438" t="s">
        <v>44007</v>
      </c>
      <c r="N2438" t="s">
        <v>47304</v>
      </c>
      <c r="O2438" t="s">
        <v>47305</v>
      </c>
      <c r="P2438">
        <v>0</v>
      </c>
      <c r="Q2438">
        <v>0</v>
      </c>
      <c r="R2438" t="s">
        <v>47307</v>
      </c>
      <c r="S2438" t="s">
        <v>47416</v>
      </c>
      <c r="T2438" t="s">
        <v>48972</v>
      </c>
      <c r="U2438" t="s">
        <v>51679</v>
      </c>
      <c r="W2438" t="s">
        <v>44007</v>
      </c>
      <c r="X2438" t="s">
        <v>47306</v>
      </c>
    </row>
    <row r="2439" spans="1:24">
      <c r="A2439">
        <f>HYPERLINK("https://www.philgeps.gov.ph/GEPSNONPILOT/Tender/SplashBidNoticeAbstractUI.aspx?menuIndex=3&amp;refID=7200364&amp;Result=3","7200364")</f>
        <v>0</v>
      </c>
      <c r="B2439" t="s">
        <v>1028</v>
      </c>
      <c r="C2439" t="s">
        <v>6218</v>
      </c>
      <c r="D2439" t="s">
        <v>19008</v>
      </c>
      <c r="E2439" t="s">
        <v>21330</v>
      </c>
      <c r="F2439" t="s">
        <v>32606</v>
      </c>
      <c r="G2439" t="s">
        <v>32614</v>
      </c>
      <c r="H2439" t="s">
        <v>14201</v>
      </c>
      <c r="I2439" t="s">
        <v>6931</v>
      </c>
      <c r="J2439" t="s">
        <v>34491</v>
      </c>
      <c r="K2439" t="s">
        <v>42631</v>
      </c>
      <c r="M2439" t="s">
        <v>43981</v>
      </c>
      <c r="N2439" t="s">
        <v>47304</v>
      </c>
      <c r="O2439" t="s">
        <v>47305</v>
      </c>
      <c r="P2439">
        <v>0</v>
      </c>
      <c r="Q2439">
        <v>0</v>
      </c>
      <c r="R2439" t="s">
        <v>47307</v>
      </c>
      <c r="S2439" t="s">
        <v>47416</v>
      </c>
      <c r="T2439" t="s">
        <v>48987</v>
      </c>
      <c r="U2439" t="s">
        <v>51704</v>
      </c>
      <c r="W2439" t="s">
        <v>43981</v>
      </c>
      <c r="X2439" t="s">
        <v>47306</v>
      </c>
    </row>
    <row r="2440" spans="1:24">
      <c r="A2440">
        <f>HYPERLINK("https://www.philgeps.gov.ph/GEPSNONPILOT/Tender/SplashBidNoticeAbstractUI.aspx?menuIndex=3&amp;refID=7200362&amp;Result=3","7200362")</f>
        <v>0</v>
      </c>
      <c r="B2440" t="s">
        <v>1058</v>
      </c>
      <c r="C2440" t="s">
        <v>6219</v>
      </c>
      <c r="D2440" t="s">
        <v>19039</v>
      </c>
      <c r="E2440" t="s">
        <v>21331</v>
      </c>
      <c r="F2440" t="s">
        <v>32606</v>
      </c>
      <c r="G2440" t="s">
        <v>32613</v>
      </c>
      <c r="H2440" t="s">
        <v>32623</v>
      </c>
      <c r="I2440" t="s">
        <v>17648</v>
      </c>
      <c r="J2440" t="s">
        <v>32830</v>
      </c>
      <c r="K2440" t="s">
        <v>42648</v>
      </c>
      <c r="M2440" t="s">
        <v>44011</v>
      </c>
      <c r="N2440" t="s">
        <v>47304</v>
      </c>
      <c r="O2440" t="s">
        <v>47305</v>
      </c>
      <c r="P2440">
        <v>0</v>
      </c>
      <c r="Q2440">
        <v>0</v>
      </c>
      <c r="R2440" t="s">
        <v>47307</v>
      </c>
      <c r="S2440" t="s">
        <v>47416</v>
      </c>
      <c r="T2440" t="s">
        <v>48983</v>
      </c>
      <c r="U2440" t="s">
        <v>51686</v>
      </c>
      <c r="W2440" t="s">
        <v>44011</v>
      </c>
      <c r="X2440" t="s">
        <v>47306</v>
      </c>
    </row>
    <row r="2441" spans="1:24">
      <c r="A2441">
        <f>HYPERLINK("https://www.philgeps.gov.ph/GEPSNONPILOT/Tender/SplashBidNoticeAbstractUI.aspx?menuIndex=3&amp;refID=7200328&amp;Result=3","7200328")</f>
        <v>0</v>
      </c>
      <c r="B2441" t="s">
        <v>1028</v>
      </c>
      <c r="C2441" t="s">
        <v>6220</v>
      </c>
      <c r="D2441" t="s">
        <v>19008</v>
      </c>
      <c r="E2441" t="s">
        <v>21332</v>
      </c>
      <c r="F2441" t="s">
        <v>32606</v>
      </c>
      <c r="G2441" t="s">
        <v>32614</v>
      </c>
      <c r="H2441" t="s">
        <v>14201</v>
      </c>
      <c r="I2441" t="s">
        <v>6478</v>
      </c>
      <c r="J2441" t="s">
        <v>34492</v>
      </c>
      <c r="K2441" t="s">
        <v>42623</v>
      </c>
      <c r="M2441" t="s">
        <v>43981</v>
      </c>
      <c r="N2441" t="s">
        <v>47304</v>
      </c>
      <c r="O2441" t="s">
        <v>47305</v>
      </c>
      <c r="P2441">
        <v>0</v>
      </c>
      <c r="Q2441">
        <v>0</v>
      </c>
      <c r="R2441" t="s">
        <v>47307</v>
      </c>
      <c r="S2441" t="s">
        <v>47416</v>
      </c>
      <c r="T2441" t="s">
        <v>48987</v>
      </c>
      <c r="U2441" t="s">
        <v>51705</v>
      </c>
      <c r="W2441" t="s">
        <v>43981</v>
      </c>
      <c r="X2441" t="s">
        <v>47306</v>
      </c>
    </row>
    <row r="2442" spans="1:24">
      <c r="A2442">
        <f>HYPERLINK("https://www.philgeps.gov.ph/GEPSNONPILOT/Tender/SplashBidNoticeAbstractUI.aspx?menuIndex=3&amp;refID=7200305&amp;Result=3","7200305")</f>
        <v>0</v>
      </c>
      <c r="B2442" t="s">
        <v>989</v>
      </c>
      <c r="C2442" t="s">
        <v>4965</v>
      </c>
      <c r="D2442" t="s">
        <v>19003</v>
      </c>
      <c r="E2442" t="s">
        <v>21333</v>
      </c>
      <c r="F2442" t="s">
        <v>32606</v>
      </c>
      <c r="G2442" t="s">
        <v>32619</v>
      </c>
      <c r="H2442" t="s">
        <v>14201</v>
      </c>
      <c r="I2442" t="s">
        <v>32626</v>
      </c>
      <c r="J2442" t="s">
        <v>34493</v>
      </c>
      <c r="K2442" t="s">
        <v>42630</v>
      </c>
      <c r="M2442" t="s">
        <v>43936</v>
      </c>
      <c r="N2442" t="s">
        <v>47304</v>
      </c>
      <c r="O2442" t="s">
        <v>47305</v>
      </c>
      <c r="P2442">
        <v>0</v>
      </c>
      <c r="Q2442">
        <v>0</v>
      </c>
      <c r="R2442" t="s">
        <v>47307</v>
      </c>
      <c r="S2442" t="s">
        <v>47416</v>
      </c>
      <c r="T2442" t="s">
        <v>49087</v>
      </c>
      <c r="U2442" t="s">
        <v>51517</v>
      </c>
      <c r="W2442" t="s">
        <v>43936</v>
      </c>
      <c r="X2442" t="s">
        <v>47306</v>
      </c>
    </row>
    <row r="2443" spans="1:24">
      <c r="A2443">
        <f>HYPERLINK("https://www.philgeps.gov.ph/GEPSNONPILOT/Tender/SplashBidNoticeAbstractUI.aspx?menuIndex=3&amp;refID=7200369&amp;Result=3","7200369")</f>
        <v>0</v>
      </c>
      <c r="B2443" t="s">
        <v>1070</v>
      </c>
      <c r="C2443" t="s">
        <v>6221</v>
      </c>
      <c r="D2443" t="s">
        <v>19003</v>
      </c>
      <c r="E2443" t="s">
        <v>21334</v>
      </c>
      <c r="F2443" t="s">
        <v>32606</v>
      </c>
      <c r="G2443" t="s">
        <v>32613</v>
      </c>
      <c r="H2443" t="s">
        <v>14201</v>
      </c>
      <c r="I2443" t="s">
        <v>32626</v>
      </c>
      <c r="J2443" t="s">
        <v>33569</v>
      </c>
      <c r="K2443" t="s">
        <v>42622</v>
      </c>
      <c r="M2443" t="s">
        <v>44023</v>
      </c>
      <c r="N2443" t="s">
        <v>47304</v>
      </c>
      <c r="O2443" t="s">
        <v>47305</v>
      </c>
      <c r="P2443">
        <v>0</v>
      </c>
      <c r="Q2443">
        <v>0</v>
      </c>
      <c r="R2443" t="s">
        <v>47307</v>
      </c>
      <c r="S2443" t="s">
        <v>47416</v>
      </c>
      <c r="T2443" t="s">
        <v>49218</v>
      </c>
      <c r="U2443" t="s">
        <v>51706</v>
      </c>
      <c r="W2443" t="s">
        <v>44023</v>
      </c>
      <c r="X2443" t="s">
        <v>47306</v>
      </c>
    </row>
    <row r="2444" spans="1:24">
      <c r="A2444">
        <f>HYPERLINK("https://www.philgeps.gov.ph/GEPSNONPILOT/Tender/SplashBidNoticeAbstractUI.aspx?menuIndex=3&amp;refID=7200367&amp;Result=3","7200367")</f>
        <v>0</v>
      </c>
      <c r="B2444" t="s">
        <v>1055</v>
      </c>
      <c r="C2444" t="s">
        <v>6222</v>
      </c>
      <c r="D2444" t="s">
        <v>19007</v>
      </c>
      <c r="E2444" t="s">
        <v>21335</v>
      </c>
      <c r="F2444" t="s">
        <v>32606</v>
      </c>
      <c r="G2444" t="s">
        <v>32614</v>
      </c>
      <c r="H2444" t="s">
        <v>14201</v>
      </c>
      <c r="I2444" t="s">
        <v>6298</v>
      </c>
      <c r="J2444" t="s">
        <v>34494</v>
      </c>
      <c r="K2444" t="s">
        <v>42623</v>
      </c>
      <c r="M2444" t="s">
        <v>44008</v>
      </c>
      <c r="N2444" t="s">
        <v>47304</v>
      </c>
      <c r="O2444" t="s">
        <v>47305</v>
      </c>
      <c r="P2444">
        <v>0</v>
      </c>
      <c r="Q2444">
        <v>0</v>
      </c>
      <c r="R2444" t="s">
        <v>47307</v>
      </c>
      <c r="S2444" t="s">
        <v>47416</v>
      </c>
      <c r="T2444" t="s">
        <v>49015</v>
      </c>
      <c r="U2444" t="s">
        <v>51707</v>
      </c>
      <c r="W2444" t="s">
        <v>44008</v>
      </c>
      <c r="X2444" t="s">
        <v>47306</v>
      </c>
    </row>
    <row r="2445" spans="1:24">
      <c r="A2445">
        <f>HYPERLINK("https://www.philgeps.gov.ph/GEPSNONPILOT/Tender/SplashBidNoticeAbstractUI.aspx?menuIndex=3&amp;refID=7200347&amp;Result=3","7200347")</f>
        <v>0</v>
      </c>
      <c r="B2445" t="s">
        <v>1058</v>
      </c>
      <c r="C2445" t="s">
        <v>6223</v>
      </c>
      <c r="D2445" t="s">
        <v>19039</v>
      </c>
      <c r="E2445" t="s">
        <v>21336</v>
      </c>
      <c r="F2445" t="s">
        <v>32606</v>
      </c>
      <c r="G2445" t="s">
        <v>32613</v>
      </c>
      <c r="H2445" t="s">
        <v>32623</v>
      </c>
      <c r="I2445" t="s">
        <v>17648</v>
      </c>
      <c r="J2445" t="s">
        <v>32830</v>
      </c>
      <c r="K2445" t="s">
        <v>42648</v>
      </c>
      <c r="M2445" t="s">
        <v>44011</v>
      </c>
      <c r="N2445" t="s">
        <v>47304</v>
      </c>
      <c r="O2445" t="s">
        <v>47305</v>
      </c>
      <c r="P2445">
        <v>0</v>
      </c>
      <c r="Q2445">
        <v>0</v>
      </c>
      <c r="R2445" t="s">
        <v>47307</v>
      </c>
      <c r="S2445" t="s">
        <v>47416</v>
      </c>
      <c r="T2445" t="s">
        <v>48983</v>
      </c>
      <c r="U2445" t="s">
        <v>51686</v>
      </c>
      <c r="W2445" t="s">
        <v>44011</v>
      </c>
      <c r="X2445" t="s">
        <v>47306</v>
      </c>
    </row>
    <row r="2446" spans="1:24">
      <c r="A2446">
        <f>HYPERLINK("https://www.philgeps.gov.ph/GEPSNONPILOT/Tender/SplashBidNoticeAbstractUI.aspx?menuIndex=3&amp;refID=7200365&amp;Result=3","7200365")</f>
        <v>0</v>
      </c>
      <c r="B2446" t="s">
        <v>985</v>
      </c>
      <c r="C2446" t="s">
        <v>6224</v>
      </c>
      <c r="D2446" t="s">
        <v>19034</v>
      </c>
      <c r="E2446" t="s">
        <v>21337</v>
      </c>
      <c r="F2446" t="s">
        <v>32606</v>
      </c>
      <c r="G2446" t="s">
        <v>32613</v>
      </c>
      <c r="H2446" t="s">
        <v>14201</v>
      </c>
      <c r="I2446" t="s">
        <v>6931</v>
      </c>
      <c r="J2446" t="s">
        <v>34495</v>
      </c>
      <c r="K2446" t="s">
        <v>42627</v>
      </c>
      <c r="M2446" t="s">
        <v>43931</v>
      </c>
      <c r="N2446" t="s">
        <v>47304</v>
      </c>
      <c r="O2446" t="s">
        <v>47305</v>
      </c>
      <c r="P2446">
        <v>0</v>
      </c>
      <c r="Q2446">
        <v>0</v>
      </c>
      <c r="R2446" t="s">
        <v>47307</v>
      </c>
      <c r="S2446" t="s">
        <v>47416</v>
      </c>
      <c r="T2446" t="s">
        <v>48971</v>
      </c>
      <c r="U2446" t="s">
        <v>51708</v>
      </c>
      <c r="W2446" t="s">
        <v>43931</v>
      </c>
      <c r="X2446" t="s">
        <v>47306</v>
      </c>
    </row>
    <row r="2447" spans="1:24">
      <c r="A2447">
        <f>HYPERLINK("https://www.philgeps.gov.ph/GEPSNONPILOT/Tender/SplashBidNoticeAbstractUI.aspx?menuIndex=3&amp;refID=7200361&amp;Result=3","7200361")</f>
        <v>0</v>
      </c>
      <c r="B2447" t="s">
        <v>947</v>
      </c>
      <c r="C2447" t="s">
        <v>6225</v>
      </c>
      <c r="D2447" t="s">
        <v>19006</v>
      </c>
      <c r="E2447" t="s">
        <v>21338</v>
      </c>
      <c r="F2447" t="s">
        <v>32607</v>
      </c>
      <c r="G2447" t="s">
        <v>32614</v>
      </c>
      <c r="H2447" t="s">
        <v>14201</v>
      </c>
      <c r="I2447" t="s">
        <v>6931</v>
      </c>
      <c r="J2447" t="s">
        <v>34496</v>
      </c>
      <c r="K2447" t="s">
        <v>42630</v>
      </c>
      <c r="M2447" t="s">
        <v>43889</v>
      </c>
      <c r="N2447" t="s">
        <v>47304</v>
      </c>
      <c r="O2447" t="s">
        <v>47305</v>
      </c>
      <c r="P2447">
        <v>0</v>
      </c>
      <c r="Q2447">
        <v>0</v>
      </c>
      <c r="R2447" t="s">
        <v>47307</v>
      </c>
      <c r="S2447" t="s">
        <v>47416</v>
      </c>
      <c r="T2447" t="s">
        <v>48971</v>
      </c>
      <c r="U2447" t="s">
        <v>51709</v>
      </c>
      <c r="V2447" t="s">
        <v>62874</v>
      </c>
      <c r="W2447" t="s">
        <v>43889</v>
      </c>
      <c r="X2447" t="s">
        <v>47306</v>
      </c>
    </row>
    <row r="2448" spans="1:24">
      <c r="A2448">
        <f>HYPERLINK("https://www.philgeps.gov.ph/GEPSNONPILOT/Tender/SplashBidNoticeAbstractUI.aspx?menuIndex=3&amp;refID=7200358&amp;Result=3","7200358")</f>
        <v>0</v>
      </c>
      <c r="B2448" t="s">
        <v>1061</v>
      </c>
      <c r="C2448" t="s">
        <v>6226</v>
      </c>
      <c r="D2448" t="s">
        <v>19000</v>
      </c>
      <c r="E2448" t="s">
        <v>21339</v>
      </c>
      <c r="F2448" t="s">
        <v>32606</v>
      </c>
      <c r="G2448" t="s">
        <v>32613</v>
      </c>
      <c r="H2448" t="s">
        <v>14201</v>
      </c>
      <c r="I2448" t="s">
        <v>4369</v>
      </c>
      <c r="J2448" t="s">
        <v>34497</v>
      </c>
      <c r="K2448" t="s">
        <v>42631</v>
      </c>
      <c r="M2448" t="s">
        <v>44014</v>
      </c>
      <c r="N2448" t="s">
        <v>47304</v>
      </c>
      <c r="O2448" t="s">
        <v>47305</v>
      </c>
      <c r="P2448">
        <v>0</v>
      </c>
      <c r="Q2448">
        <v>0</v>
      </c>
      <c r="R2448" t="s">
        <v>47307</v>
      </c>
      <c r="S2448" t="s">
        <v>47416</v>
      </c>
      <c r="T2448" t="s">
        <v>49008</v>
      </c>
      <c r="U2448" t="s">
        <v>51710</v>
      </c>
      <c r="W2448" t="s">
        <v>44014</v>
      </c>
      <c r="X2448" t="s">
        <v>47306</v>
      </c>
    </row>
    <row r="2449" spans="1:24">
      <c r="A2449">
        <f>HYPERLINK("https://www.philgeps.gov.ph/GEPSNONPILOT/Tender/SplashBidNoticeAbstractUI.aspx?menuIndex=3&amp;refID=7200310&amp;Result=3","7200310")</f>
        <v>0</v>
      </c>
      <c r="B2449" t="s">
        <v>1028</v>
      </c>
      <c r="C2449" t="s">
        <v>6227</v>
      </c>
      <c r="D2449" t="s">
        <v>19008</v>
      </c>
      <c r="E2449" t="s">
        <v>21340</v>
      </c>
      <c r="F2449" t="s">
        <v>32606</v>
      </c>
      <c r="G2449" t="s">
        <v>32614</v>
      </c>
      <c r="H2449" t="s">
        <v>14201</v>
      </c>
      <c r="I2449" t="s">
        <v>6931</v>
      </c>
      <c r="J2449" t="s">
        <v>34498</v>
      </c>
      <c r="K2449" t="s">
        <v>42631</v>
      </c>
      <c r="M2449" t="s">
        <v>43981</v>
      </c>
      <c r="N2449" t="s">
        <v>47304</v>
      </c>
      <c r="O2449" t="s">
        <v>47305</v>
      </c>
      <c r="P2449">
        <v>0</v>
      </c>
      <c r="Q2449">
        <v>0</v>
      </c>
      <c r="R2449" t="s">
        <v>47307</v>
      </c>
      <c r="S2449" t="s">
        <v>47416</v>
      </c>
      <c r="T2449" t="s">
        <v>48987</v>
      </c>
      <c r="U2449" t="s">
        <v>51711</v>
      </c>
      <c r="W2449" t="s">
        <v>43981</v>
      </c>
      <c r="X2449" t="s">
        <v>47306</v>
      </c>
    </row>
    <row r="2450" spans="1:24">
      <c r="A2450">
        <f>HYPERLINK("https://www.philgeps.gov.ph/GEPSNONPILOT/Tender/SplashBidNoticeAbstractUI.aspx?menuIndex=3&amp;refID=7200356&amp;Result=3","7200356")</f>
        <v>0</v>
      </c>
      <c r="B2450" t="s">
        <v>661</v>
      </c>
      <c r="C2450" t="s">
        <v>6228</v>
      </c>
      <c r="D2450" t="s">
        <v>19011</v>
      </c>
      <c r="E2450" t="s">
        <v>21341</v>
      </c>
      <c r="F2450" t="s">
        <v>32606</v>
      </c>
      <c r="G2450" t="s">
        <v>32613</v>
      </c>
      <c r="H2450" t="s">
        <v>14201</v>
      </c>
      <c r="I2450" t="s">
        <v>32633</v>
      </c>
      <c r="J2450" t="s">
        <v>34499</v>
      </c>
      <c r="K2450" t="s">
        <v>42631</v>
      </c>
      <c r="M2450" t="s">
        <v>43581</v>
      </c>
      <c r="N2450" t="s">
        <v>47304</v>
      </c>
      <c r="O2450" t="s">
        <v>47305</v>
      </c>
      <c r="P2450">
        <v>0</v>
      </c>
      <c r="Q2450">
        <v>0</v>
      </c>
      <c r="R2450" t="s">
        <v>47307</v>
      </c>
      <c r="S2450" t="s">
        <v>47416</v>
      </c>
      <c r="T2450" t="s">
        <v>49153</v>
      </c>
      <c r="U2450" t="s">
        <v>51712</v>
      </c>
      <c r="W2450" t="s">
        <v>43581</v>
      </c>
      <c r="X2450" t="s">
        <v>47306</v>
      </c>
    </row>
    <row r="2451" spans="1:24">
      <c r="A2451">
        <f>HYPERLINK("https://www.philgeps.gov.ph/GEPSNONPILOT/Tender/SplashBidNoticeAbstractUI.aspx?menuIndex=3&amp;refID=7200363&amp;Result=3","7200363")</f>
        <v>0</v>
      </c>
      <c r="B2451" t="s">
        <v>1071</v>
      </c>
      <c r="C2451" t="s">
        <v>6229</v>
      </c>
      <c r="D2451" t="s">
        <v>18993</v>
      </c>
      <c r="E2451" t="s">
        <v>19833</v>
      </c>
      <c r="F2451" t="s">
        <v>32606</v>
      </c>
      <c r="G2451" t="s">
        <v>32614</v>
      </c>
      <c r="H2451" t="s">
        <v>32624</v>
      </c>
      <c r="I2451" t="s">
        <v>32640</v>
      </c>
      <c r="J2451" t="s">
        <v>33994</v>
      </c>
      <c r="K2451" t="s">
        <v>42625</v>
      </c>
      <c r="M2451" t="s">
        <v>44024</v>
      </c>
      <c r="N2451" t="s">
        <v>47304</v>
      </c>
      <c r="O2451" t="s">
        <v>47305</v>
      </c>
      <c r="P2451">
        <v>0</v>
      </c>
      <c r="Q2451">
        <v>0</v>
      </c>
      <c r="R2451" t="s">
        <v>47307</v>
      </c>
      <c r="S2451" t="s">
        <v>47416</v>
      </c>
      <c r="T2451" t="s">
        <v>49041</v>
      </c>
      <c r="U2451" t="s">
        <v>51713</v>
      </c>
      <c r="V2451" t="s">
        <v>62910</v>
      </c>
      <c r="W2451" t="s">
        <v>44024</v>
      </c>
      <c r="X2451" t="s">
        <v>47306</v>
      </c>
    </row>
    <row r="2452" spans="1:24">
      <c r="A2452">
        <f>HYPERLINK("https://www.philgeps.gov.ph/GEPSNONPILOT/Tender/SplashBidNoticeAbstractUI.aspx?menuIndex=3&amp;refID=7200353&amp;Result=3","7200353")</f>
        <v>0</v>
      </c>
      <c r="B2452" t="s">
        <v>1072</v>
      </c>
      <c r="C2452" t="s">
        <v>6230</v>
      </c>
      <c r="D2452" t="s">
        <v>19012</v>
      </c>
      <c r="E2452" t="s">
        <v>21342</v>
      </c>
      <c r="F2452" t="s">
        <v>32607</v>
      </c>
      <c r="G2452" t="s">
        <v>32614</v>
      </c>
      <c r="H2452" t="s">
        <v>14201</v>
      </c>
      <c r="I2452" t="s">
        <v>32631</v>
      </c>
      <c r="J2452" t="s">
        <v>34500</v>
      </c>
      <c r="K2452" t="s">
        <v>42623</v>
      </c>
      <c r="M2452" t="s">
        <v>44025</v>
      </c>
      <c r="N2452" t="s">
        <v>47304</v>
      </c>
      <c r="O2452" t="s">
        <v>47305</v>
      </c>
      <c r="P2452">
        <v>0</v>
      </c>
      <c r="Q2452">
        <v>0</v>
      </c>
      <c r="R2452" t="s">
        <v>47307</v>
      </c>
      <c r="S2452" t="s">
        <v>47416</v>
      </c>
      <c r="T2452" t="s">
        <v>49041</v>
      </c>
      <c r="U2452" t="s">
        <v>51714</v>
      </c>
      <c r="W2452" t="s">
        <v>44025</v>
      </c>
      <c r="X2452" t="s">
        <v>47306</v>
      </c>
    </row>
    <row r="2453" spans="1:24">
      <c r="A2453">
        <f>HYPERLINK("https://www.philgeps.gov.ph/GEPSNONPILOT/Tender/SplashBidNoticeAbstractUI.aspx?menuIndex=3&amp;refID=7200366&amp;Result=3","7200366")</f>
        <v>0</v>
      </c>
      <c r="B2453" t="s">
        <v>1073</v>
      </c>
      <c r="C2453" t="s">
        <v>6231</v>
      </c>
      <c r="D2453" t="s">
        <v>19004</v>
      </c>
      <c r="E2453" t="s">
        <v>21343</v>
      </c>
      <c r="F2453" t="s">
        <v>32606</v>
      </c>
      <c r="G2453" t="s">
        <v>32613</v>
      </c>
      <c r="H2453" t="s">
        <v>14201</v>
      </c>
      <c r="I2453" t="s">
        <v>32640</v>
      </c>
      <c r="J2453" t="s">
        <v>34501</v>
      </c>
      <c r="K2453" t="s">
        <v>42648</v>
      </c>
      <c r="M2453" t="s">
        <v>44026</v>
      </c>
      <c r="N2453" t="s">
        <v>47304</v>
      </c>
      <c r="O2453" t="s">
        <v>47305</v>
      </c>
      <c r="P2453">
        <v>0</v>
      </c>
      <c r="Q2453">
        <v>0</v>
      </c>
      <c r="R2453" t="s">
        <v>47307</v>
      </c>
      <c r="S2453" t="s">
        <v>47416</v>
      </c>
      <c r="T2453" t="s">
        <v>49008</v>
      </c>
      <c r="U2453" t="s">
        <v>51715</v>
      </c>
      <c r="V2453" t="s">
        <v>62911</v>
      </c>
      <c r="W2453" t="s">
        <v>44026</v>
      </c>
      <c r="X2453" t="s">
        <v>47306</v>
      </c>
    </row>
    <row r="2454" spans="1:24">
      <c r="A2454">
        <f>HYPERLINK("https://www.philgeps.gov.ph/GEPSNONPILOT/Tender/SplashBidNoticeAbstractUI.aspx?menuIndex=3&amp;refID=7200351&amp;Result=3","7200351")</f>
        <v>0</v>
      </c>
      <c r="B2454" t="s">
        <v>392</v>
      </c>
      <c r="C2454" t="s">
        <v>6232</v>
      </c>
      <c r="D2454" t="s">
        <v>18993</v>
      </c>
      <c r="E2454" t="s">
        <v>21344</v>
      </c>
      <c r="F2454" t="s">
        <v>32606</v>
      </c>
      <c r="G2454" t="s">
        <v>32613</v>
      </c>
      <c r="H2454" t="s">
        <v>14201</v>
      </c>
      <c r="I2454" t="s">
        <v>7577</v>
      </c>
      <c r="J2454" t="s">
        <v>34502</v>
      </c>
      <c r="K2454" t="s">
        <v>42630</v>
      </c>
      <c r="M2454" t="s">
        <v>43849</v>
      </c>
      <c r="N2454" t="s">
        <v>47304</v>
      </c>
      <c r="O2454" t="s">
        <v>47305</v>
      </c>
      <c r="P2454">
        <v>0</v>
      </c>
      <c r="Q2454">
        <v>0</v>
      </c>
      <c r="R2454" t="s">
        <v>47307</v>
      </c>
      <c r="S2454" t="s">
        <v>47416</v>
      </c>
      <c r="T2454" t="s">
        <v>49073</v>
      </c>
      <c r="U2454" t="s">
        <v>51716</v>
      </c>
      <c r="W2454" t="s">
        <v>43849</v>
      </c>
      <c r="X2454" t="s">
        <v>47306</v>
      </c>
    </row>
    <row r="2455" spans="1:24">
      <c r="A2455">
        <f>HYPERLINK("https://www.philgeps.gov.ph/GEPSNONPILOT/Tender/SplashBidNoticeAbstractUI.aspx?menuIndex=3&amp;refID=7200324&amp;Result=3","7200324")</f>
        <v>0</v>
      </c>
      <c r="B2455" t="s">
        <v>1074</v>
      </c>
      <c r="C2455" t="s">
        <v>6233</v>
      </c>
      <c r="D2455" t="s">
        <v>19007</v>
      </c>
      <c r="E2455" t="s">
        <v>21345</v>
      </c>
      <c r="F2455" t="s">
        <v>32606</v>
      </c>
      <c r="G2455" t="s">
        <v>32613</v>
      </c>
      <c r="H2455" t="s">
        <v>32623</v>
      </c>
      <c r="I2455" t="s">
        <v>17648</v>
      </c>
      <c r="J2455" t="s">
        <v>34503</v>
      </c>
      <c r="K2455" t="s">
        <v>42639</v>
      </c>
      <c r="M2455" t="s">
        <v>44027</v>
      </c>
      <c r="N2455" t="s">
        <v>47304</v>
      </c>
      <c r="O2455" t="s">
        <v>47305</v>
      </c>
      <c r="P2455">
        <v>0</v>
      </c>
      <c r="Q2455">
        <v>0</v>
      </c>
      <c r="R2455" t="s">
        <v>47307</v>
      </c>
      <c r="S2455" t="s">
        <v>47416</v>
      </c>
      <c r="T2455" t="s">
        <v>49219</v>
      </c>
      <c r="U2455" t="s">
        <v>51717</v>
      </c>
      <c r="W2455" t="s">
        <v>44027</v>
      </c>
      <c r="X2455" t="s">
        <v>47306</v>
      </c>
    </row>
    <row r="2456" spans="1:24">
      <c r="A2456">
        <f>HYPERLINK("https://www.philgeps.gov.ph/GEPSNONPILOT/Tender/SplashBidNoticeAbstractUI.aspx?menuIndex=3&amp;refID=7200359&amp;Result=3","7200359")</f>
        <v>0</v>
      </c>
      <c r="B2456" t="s">
        <v>1062</v>
      </c>
      <c r="C2456" t="s">
        <v>6234</v>
      </c>
      <c r="D2456" t="s">
        <v>18991</v>
      </c>
      <c r="E2456" t="s">
        <v>21346</v>
      </c>
      <c r="F2456" t="s">
        <v>32606</v>
      </c>
      <c r="G2456" t="s">
        <v>32615</v>
      </c>
      <c r="H2456" t="s">
        <v>14201</v>
      </c>
      <c r="I2456" t="s">
        <v>32631</v>
      </c>
      <c r="J2456" t="s">
        <v>34504</v>
      </c>
      <c r="K2456" t="s">
        <v>42623</v>
      </c>
      <c r="M2456" t="s">
        <v>44015</v>
      </c>
      <c r="N2456" t="s">
        <v>47304</v>
      </c>
      <c r="O2456" t="s">
        <v>47305</v>
      </c>
      <c r="P2456">
        <v>0</v>
      </c>
      <c r="Q2456">
        <v>0</v>
      </c>
      <c r="R2456" t="s">
        <v>47307</v>
      </c>
      <c r="S2456" t="s">
        <v>47416</v>
      </c>
      <c r="T2456" t="s">
        <v>49015</v>
      </c>
      <c r="U2456" t="s">
        <v>51718</v>
      </c>
      <c r="W2456" t="s">
        <v>44015</v>
      </c>
      <c r="X2456" t="s">
        <v>47306</v>
      </c>
    </row>
    <row r="2457" spans="1:24">
      <c r="A2457">
        <f>HYPERLINK("https://www.philgeps.gov.ph/GEPSNONPILOT/Tender/SplashBidNoticeAbstractUI.aspx?menuIndex=3&amp;refID=7200349&amp;Result=3","7200349")</f>
        <v>0</v>
      </c>
      <c r="B2457" t="s">
        <v>1075</v>
      </c>
      <c r="C2457" t="s">
        <v>6235</v>
      </c>
      <c r="D2457" t="s">
        <v>19002</v>
      </c>
      <c r="E2457" t="s">
        <v>21347</v>
      </c>
      <c r="F2457" t="s">
        <v>32606</v>
      </c>
      <c r="G2457" t="s">
        <v>32613</v>
      </c>
      <c r="H2457" t="s">
        <v>14201</v>
      </c>
      <c r="I2457" t="s">
        <v>32626</v>
      </c>
      <c r="J2457" t="s">
        <v>34505</v>
      </c>
      <c r="K2457" t="s">
        <v>42697</v>
      </c>
      <c r="M2457" t="s">
        <v>44028</v>
      </c>
      <c r="N2457" t="s">
        <v>47304</v>
      </c>
      <c r="O2457" t="s">
        <v>47305</v>
      </c>
      <c r="P2457">
        <v>0</v>
      </c>
      <c r="Q2457">
        <v>0</v>
      </c>
      <c r="R2457" t="s">
        <v>47307</v>
      </c>
      <c r="S2457" t="s">
        <v>47416</v>
      </c>
      <c r="T2457" t="s">
        <v>49141</v>
      </c>
      <c r="U2457" t="s">
        <v>51719</v>
      </c>
      <c r="W2457" t="s">
        <v>44028</v>
      </c>
      <c r="X2457" t="s">
        <v>47306</v>
      </c>
    </row>
    <row r="2458" spans="1:24">
      <c r="A2458">
        <f>HYPERLINK("https://www.philgeps.gov.ph/GEPSNONPILOT/Tender/SplashBidNoticeAbstractUI.aspx?menuIndex=3&amp;refID=7200371&amp;Result=3","7200371")</f>
        <v>0</v>
      </c>
      <c r="B2458" t="s">
        <v>1051</v>
      </c>
      <c r="C2458" t="s">
        <v>6236</v>
      </c>
      <c r="D2458" t="s">
        <v>19057</v>
      </c>
      <c r="E2458" t="s">
        <v>21348</v>
      </c>
      <c r="F2458" t="s">
        <v>32606</v>
      </c>
      <c r="G2458" t="s">
        <v>32613</v>
      </c>
      <c r="H2458" t="s">
        <v>32623</v>
      </c>
      <c r="I2458" t="s">
        <v>17648</v>
      </c>
      <c r="J2458" t="s">
        <v>34506</v>
      </c>
      <c r="K2458" t="s">
        <v>42650</v>
      </c>
      <c r="M2458" t="s">
        <v>44004</v>
      </c>
      <c r="N2458" t="s">
        <v>47304</v>
      </c>
      <c r="O2458" t="s">
        <v>47305</v>
      </c>
      <c r="P2458">
        <v>0</v>
      </c>
      <c r="Q2458">
        <v>0</v>
      </c>
      <c r="R2458" t="s">
        <v>47307</v>
      </c>
      <c r="S2458" t="s">
        <v>47416</v>
      </c>
      <c r="T2458" t="s">
        <v>48995</v>
      </c>
      <c r="U2458" t="s">
        <v>51668</v>
      </c>
      <c r="W2458" t="s">
        <v>44004</v>
      </c>
      <c r="X2458" t="s">
        <v>47306</v>
      </c>
    </row>
    <row r="2459" spans="1:24">
      <c r="A2459">
        <f>HYPERLINK("https://www.philgeps.gov.ph/GEPSNONPILOT/Tender/SplashBidNoticeAbstractUI.aspx?menuIndex=3&amp;refID=7200389&amp;Result=3","7200389")</f>
        <v>0</v>
      </c>
      <c r="B2459" t="s">
        <v>1073</v>
      </c>
      <c r="C2459" t="s">
        <v>6237</v>
      </c>
      <c r="D2459" t="s">
        <v>19004</v>
      </c>
      <c r="E2459" t="s">
        <v>21349</v>
      </c>
      <c r="F2459" t="s">
        <v>32606</v>
      </c>
      <c r="G2459" t="s">
        <v>32613</v>
      </c>
      <c r="H2459" t="s">
        <v>32623</v>
      </c>
      <c r="I2459" t="s">
        <v>17648</v>
      </c>
      <c r="J2459" t="s">
        <v>34507</v>
      </c>
      <c r="K2459" t="s">
        <v>42649</v>
      </c>
      <c r="M2459" t="s">
        <v>44026</v>
      </c>
      <c r="N2459" t="s">
        <v>47304</v>
      </c>
      <c r="O2459" t="s">
        <v>47305</v>
      </c>
      <c r="P2459">
        <v>0</v>
      </c>
      <c r="Q2459">
        <v>0</v>
      </c>
      <c r="R2459" t="s">
        <v>47307</v>
      </c>
      <c r="S2459" t="s">
        <v>47416</v>
      </c>
      <c r="T2459" t="s">
        <v>49008</v>
      </c>
      <c r="U2459" t="s">
        <v>51715</v>
      </c>
      <c r="V2459" t="s">
        <v>62912</v>
      </c>
      <c r="W2459" t="s">
        <v>44026</v>
      </c>
      <c r="X2459" t="s">
        <v>47306</v>
      </c>
    </row>
    <row r="2460" spans="1:24">
      <c r="A2460">
        <f>HYPERLINK("https://www.philgeps.gov.ph/GEPSNONPILOT/Tender/SplashBidNoticeAbstractUI.aspx?menuIndex=3&amp;refID=7200357&amp;Result=3","7200357")</f>
        <v>0</v>
      </c>
      <c r="B2460" t="s">
        <v>985</v>
      </c>
      <c r="C2460" t="s">
        <v>6238</v>
      </c>
      <c r="D2460" t="s">
        <v>19034</v>
      </c>
      <c r="E2460" t="s">
        <v>21350</v>
      </c>
      <c r="F2460" t="s">
        <v>32606</v>
      </c>
      <c r="G2460" t="s">
        <v>32613</v>
      </c>
      <c r="H2460" t="s">
        <v>14201</v>
      </c>
      <c r="I2460" t="s">
        <v>6931</v>
      </c>
      <c r="J2460" t="s">
        <v>32981</v>
      </c>
      <c r="K2460" t="s">
        <v>42627</v>
      </c>
      <c r="M2460" t="s">
        <v>43931</v>
      </c>
      <c r="N2460" t="s">
        <v>47304</v>
      </c>
      <c r="O2460" t="s">
        <v>47305</v>
      </c>
      <c r="P2460">
        <v>0</v>
      </c>
      <c r="Q2460">
        <v>0</v>
      </c>
      <c r="R2460" t="s">
        <v>47307</v>
      </c>
      <c r="S2460" t="s">
        <v>47416</v>
      </c>
      <c r="T2460" t="s">
        <v>48971</v>
      </c>
      <c r="U2460" t="s">
        <v>51720</v>
      </c>
      <c r="W2460" t="s">
        <v>43931</v>
      </c>
      <c r="X2460" t="s">
        <v>47306</v>
      </c>
    </row>
    <row r="2461" spans="1:24">
      <c r="A2461">
        <f>HYPERLINK("https://www.philgeps.gov.ph/GEPSNONPILOT/Tender/SplashBidNoticeAbstractUI.aspx?menuIndex=3&amp;refID=7200354&amp;Result=3","7200354")</f>
        <v>0</v>
      </c>
      <c r="B2461" t="s">
        <v>1051</v>
      </c>
      <c r="C2461" t="s">
        <v>6239</v>
      </c>
      <c r="D2461" t="s">
        <v>19057</v>
      </c>
      <c r="E2461" t="s">
        <v>21351</v>
      </c>
      <c r="F2461" t="s">
        <v>32606</v>
      </c>
      <c r="G2461" t="s">
        <v>32613</v>
      </c>
      <c r="H2461" t="s">
        <v>32623</v>
      </c>
      <c r="I2461" t="s">
        <v>17648</v>
      </c>
      <c r="J2461" t="s">
        <v>34508</v>
      </c>
      <c r="K2461" t="s">
        <v>42646</v>
      </c>
      <c r="M2461" t="s">
        <v>44004</v>
      </c>
      <c r="N2461" t="s">
        <v>47304</v>
      </c>
      <c r="O2461" t="s">
        <v>47305</v>
      </c>
      <c r="P2461">
        <v>0</v>
      </c>
      <c r="Q2461">
        <v>0</v>
      </c>
      <c r="R2461" t="s">
        <v>47307</v>
      </c>
      <c r="S2461" t="s">
        <v>47416</v>
      </c>
      <c r="T2461" t="s">
        <v>48995</v>
      </c>
      <c r="U2461" t="s">
        <v>51668</v>
      </c>
      <c r="W2461" t="s">
        <v>44004</v>
      </c>
      <c r="X2461" t="s">
        <v>47306</v>
      </c>
    </row>
    <row r="2462" spans="1:24">
      <c r="A2462">
        <f>HYPERLINK("https://www.philgeps.gov.ph/GEPSNONPILOT/Tender/SplashBidNoticeAbstractUI.aspx?menuIndex=3&amp;refID=7200382&amp;Result=3","7200382")</f>
        <v>0</v>
      </c>
      <c r="B2462" t="s">
        <v>1061</v>
      </c>
      <c r="C2462" t="s">
        <v>6240</v>
      </c>
      <c r="D2462" t="s">
        <v>19000</v>
      </c>
      <c r="E2462" t="s">
        <v>21352</v>
      </c>
      <c r="F2462" t="s">
        <v>32606</v>
      </c>
      <c r="G2462" t="s">
        <v>32613</v>
      </c>
      <c r="H2462" t="s">
        <v>14201</v>
      </c>
      <c r="I2462" t="s">
        <v>4369</v>
      </c>
      <c r="J2462" t="s">
        <v>34509</v>
      </c>
      <c r="K2462" t="s">
        <v>42631</v>
      </c>
      <c r="M2462" t="s">
        <v>44014</v>
      </c>
      <c r="N2462" t="s">
        <v>47304</v>
      </c>
      <c r="O2462" t="s">
        <v>47305</v>
      </c>
      <c r="P2462">
        <v>0</v>
      </c>
      <c r="Q2462">
        <v>0</v>
      </c>
      <c r="R2462" t="s">
        <v>47307</v>
      </c>
      <c r="S2462" t="s">
        <v>47416</v>
      </c>
      <c r="T2462" t="s">
        <v>49008</v>
      </c>
      <c r="U2462" t="s">
        <v>51721</v>
      </c>
      <c r="W2462" t="s">
        <v>44014</v>
      </c>
      <c r="X2462" t="s">
        <v>47306</v>
      </c>
    </row>
    <row r="2463" spans="1:24">
      <c r="A2463">
        <f>HYPERLINK("https://www.philgeps.gov.ph/GEPSNONPILOT/Tender/SplashBidNoticeAbstractUI.aspx?menuIndex=3&amp;refID=7200350&amp;Result=3","7200350")</f>
        <v>0</v>
      </c>
      <c r="B2463" t="s">
        <v>1066</v>
      </c>
      <c r="C2463" t="s">
        <v>6241</v>
      </c>
      <c r="D2463" t="s">
        <v>19057</v>
      </c>
      <c r="E2463" t="s">
        <v>21353</v>
      </c>
      <c r="F2463" t="s">
        <v>32606</v>
      </c>
      <c r="G2463" t="s">
        <v>32613</v>
      </c>
      <c r="H2463" t="s">
        <v>32623</v>
      </c>
      <c r="I2463" t="s">
        <v>17648</v>
      </c>
      <c r="J2463" t="s">
        <v>32759</v>
      </c>
      <c r="K2463" t="s">
        <v>42646</v>
      </c>
      <c r="M2463" t="s">
        <v>44019</v>
      </c>
      <c r="N2463" t="s">
        <v>47304</v>
      </c>
      <c r="O2463" t="s">
        <v>47305</v>
      </c>
      <c r="P2463">
        <v>0</v>
      </c>
      <c r="Q2463">
        <v>0</v>
      </c>
      <c r="R2463" t="s">
        <v>47307</v>
      </c>
      <c r="S2463" t="s">
        <v>47416</v>
      </c>
      <c r="T2463" t="s">
        <v>49081</v>
      </c>
      <c r="U2463" t="s">
        <v>51722</v>
      </c>
      <c r="W2463" t="s">
        <v>44019</v>
      </c>
      <c r="X2463" t="s">
        <v>47306</v>
      </c>
    </row>
    <row r="2464" spans="1:24">
      <c r="A2464">
        <f>HYPERLINK("https://www.philgeps.gov.ph/GEPSNONPILOT/Tender/SplashBidNoticeAbstractUI.aspx?menuIndex=3&amp;refID=7200394&amp;Result=3","7200394")</f>
        <v>0</v>
      </c>
      <c r="B2464" t="s">
        <v>1058</v>
      </c>
      <c r="C2464" t="s">
        <v>6242</v>
      </c>
      <c r="D2464" t="s">
        <v>19039</v>
      </c>
      <c r="E2464" t="s">
        <v>21354</v>
      </c>
      <c r="F2464" t="s">
        <v>32606</v>
      </c>
      <c r="G2464" t="s">
        <v>32613</v>
      </c>
      <c r="H2464" t="s">
        <v>14201</v>
      </c>
      <c r="I2464" t="s">
        <v>32629</v>
      </c>
      <c r="J2464" t="s">
        <v>34510</v>
      </c>
      <c r="K2464" t="s">
        <v>42623</v>
      </c>
      <c r="M2464" t="s">
        <v>44011</v>
      </c>
      <c r="N2464" t="s">
        <v>47304</v>
      </c>
      <c r="O2464" t="s">
        <v>47305</v>
      </c>
      <c r="P2464">
        <v>0</v>
      </c>
      <c r="Q2464">
        <v>0</v>
      </c>
      <c r="R2464" t="s">
        <v>47307</v>
      </c>
      <c r="S2464" t="s">
        <v>47416</v>
      </c>
      <c r="T2464" t="s">
        <v>48983</v>
      </c>
      <c r="U2464" t="s">
        <v>51723</v>
      </c>
      <c r="W2464" t="s">
        <v>44011</v>
      </c>
      <c r="X2464" t="s">
        <v>47306</v>
      </c>
    </row>
    <row r="2465" spans="1:24">
      <c r="A2465">
        <f>HYPERLINK("https://www.philgeps.gov.ph/GEPSNONPILOT/Tender/SplashBidNoticeAbstractUI.aspx?menuIndex=3&amp;refID=7200368&amp;Result=3","7200368")</f>
        <v>0</v>
      </c>
      <c r="B2465" t="s">
        <v>1061</v>
      </c>
      <c r="C2465" t="s">
        <v>6243</v>
      </c>
      <c r="D2465" t="s">
        <v>19000</v>
      </c>
      <c r="E2465" t="s">
        <v>21355</v>
      </c>
      <c r="F2465" t="s">
        <v>32606</v>
      </c>
      <c r="G2465" t="s">
        <v>32613</v>
      </c>
      <c r="H2465" t="s">
        <v>14201</v>
      </c>
      <c r="I2465" t="s">
        <v>4369</v>
      </c>
      <c r="J2465" t="s">
        <v>34511</v>
      </c>
      <c r="K2465" t="s">
        <v>42631</v>
      </c>
      <c r="M2465" t="s">
        <v>44014</v>
      </c>
      <c r="N2465" t="s">
        <v>47304</v>
      </c>
      <c r="O2465" t="s">
        <v>47305</v>
      </c>
      <c r="P2465">
        <v>0</v>
      </c>
      <c r="Q2465">
        <v>0</v>
      </c>
      <c r="R2465" t="s">
        <v>47307</v>
      </c>
      <c r="S2465" t="s">
        <v>47416</v>
      </c>
      <c r="T2465" t="s">
        <v>49008</v>
      </c>
      <c r="U2465" t="s">
        <v>51724</v>
      </c>
      <c r="W2465" t="s">
        <v>44014</v>
      </c>
      <c r="X2465" t="s">
        <v>47306</v>
      </c>
    </row>
    <row r="2466" spans="1:24">
      <c r="A2466">
        <f>HYPERLINK("https://www.philgeps.gov.ph/GEPSNONPILOT/Tender/SplashBidNoticeAbstractUI.aspx?menuIndex=3&amp;refID=7200393&amp;Result=3","7200393")</f>
        <v>0</v>
      </c>
      <c r="B2466" t="s">
        <v>1073</v>
      </c>
      <c r="C2466" t="s">
        <v>6244</v>
      </c>
      <c r="D2466" t="s">
        <v>19004</v>
      </c>
      <c r="E2466" t="s">
        <v>21356</v>
      </c>
      <c r="F2466" t="s">
        <v>32606</v>
      </c>
      <c r="G2466" t="s">
        <v>32613</v>
      </c>
      <c r="H2466" t="s">
        <v>32623</v>
      </c>
      <c r="I2466" t="s">
        <v>17648</v>
      </c>
      <c r="J2466" t="s">
        <v>34512</v>
      </c>
      <c r="K2466" t="s">
        <v>42726</v>
      </c>
      <c r="M2466" t="s">
        <v>44026</v>
      </c>
      <c r="N2466" t="s">
        <v>47304</v>
      </c>
      <c r="O2466" t="s">
        <v>47305</v>
      </c>
      <c r="P2466">
        <v>0</v>
      </c>
      <c r="Q2466">
        <v>0</v>
      </c>
      <c r="R2466" t="s">
        <v>47307</v>
      </c>
      <c r="S2466" t="s">
        <v>47416</v>
      </c>
      <c r="T2466" t="s">
        <v>49008</v>
      </c>
      <c r="U2466" t="s">
        <v>51715</v>
      </c>
      <c r="V2466" t="s">
        <v>62913</v>
      </c>
      <c r="W2466" t="s">
        <v>44026</v>
      </c>
      <c r="X2466" t="s">
        <v>47306</v>
      </c>
    </row>
    <row r="2467" spans="1:24">
      <c r="A2467">
        <f>HYPERLINK("https://www.philgeps.gov.ph/GEPSNONPILOT/Tender/SplashBidNoticeAbstractUI.aspx?menuIndex=3&amp;refID=7200395&amp;Result=3","7200395")</f>
        <v>0</v>
      </c>
      <c r="B2467" t="s">
        <v>1076</v>
      </c>
      <c r="C2467" t="s">
        <v>6245</v>
      </c>
      <c r="D2467" t="s">
        <v>19003</v>
      </c>
      <c r="E2467" t="s">
        <v>21357</v>
      </c>
      <c r="F2467" t="s">
        <v>32606</v>
      </c>
      <c r="G2467" t="s">
        <v>32617</v>
      </c>
      <c r="H2467" t="s">
        <v>14201</v>
      </c>
      <c r="I2467" t="s">
        <v>6478</v>
      </c>
      <c r="J2467" t="s">
        <v>33105</v>
      </c>
      <c r="K2467" t="s">
        <v>42630</v>
      </c>
      <c r="M2467" t="s">
        <v>44029</v>
      </c>
      <c r="N2467" t="s">
        <v>47304</v>
      </c>
      <c r="O2467" t="s">
        <v>47305</v>
      </c>
      <c r="P2467">
        <v>0</v>
      </c>
      <c r="Q2467">
        <v>0</v>
      </c>
      <c r="R2467" t="s">
        <v>47307</v>
      </c>
      <c r="S2467" t="s">
        <v>47416</v>
      </c>
      <c r="T2467" t="s">
        <v>49220</v>
      </c>
      <c r="U2467" t="s">
        <v>51725</v>
      </c>
      <c r="W2467" t="s">
        <v>44029</v>
      </c>
      <c r="X2467" t="s">
        <v>47306</v>
      </c>
    </row>
    <row r="2468" spans="1:24">
      <c r="A2468">
        <f>HYPERLINK("https://www.philgeps.gov.ph/GEPSNONPILOT/Tender/SplashBidNoticeAbstractUI.aspx?menuIndex=3&amp;refID=7200380&amp;Result=3","7200380")</f>
        <v>0</v>
      </c>
      <c r="B2468" t="s">
        <v>1073</v>
      </c>
      <c r="C2468" t="s">
        <v>6246</v>
      </c>
      <c r="D2468" t="s">
        <v>19004</v>
      </c>
      <c r="E2468" t="s">
        <v>21358</v>
      </c>
      <c r="F2468" t="s">
        <v>32606</v>
      </c>
      <c r="G2468" t="s">
        <v>32613</v>
      </c>
      <c r="H2468" t="s">
        <v>32623</v>
      </c>
      <c r="I2468" t="s">
        <v>17648</v>
      </c>
      <c r="J2468" t="s">
        <v>34513</v>
      </c>
      <c r="K2468" t="s">
        <v>42727</v>
      </c>
      <c r="M2468" t="s">
        <v>44026</v>
      </c>
      <c r="N2468" t="s">
        <v>47304</v>
      </c>
      <c r="O2468" t="s">
        <v>47305</v>
      </c>
      <c r="P2468">
        <v>0</v>
      </c>
      <c r="Q2468">
        <v>0</v>
      </c>
      <c r="R2468" t="s">
        <v>47307</v>
      </c>
      <c r="S2468" t="s">
        <v>47416</v>
      </c>
      <c r="T2468" t="s">
        <v>49008</v>
      </c>
      <c r="U2468" t="s">
        <v>51715</v>
      </c>
      <c r="V2468" t="s">
        <v>62914</v>
      </c>
      <c r="W2468" t="s">
        <v>44026</v>
      </c>
      <c r="X2468" t="s">
        <v>47306</v>
      </c>
    </row>
    <row r="2469" spans="1:24">
      <c r="A2469">
        <f>HYPERLINK("https://www.philgeps.gov.ph/GEPSNONPILOT/Tender/SplashBidNoticeAbstractUI.aspx?menuIndex=3&amp;refID=7200379&amp;Result=3","7200379")</f>
        <v>0</v>
      </c>
      <c r="B2469" t="s">
        <v>1060</v>
      </c>
      <c r="C2469" t="s">
        <v>6247</v>
      </c>
      <c r="D2469" t="s">
        <v>19042</v>
      </c>
      <c r="E2469" t="s">
        <v>19151</v>
      </c>
      <c r="F2469" t="s">
        <v>32606</v>
      </c>
      <c r="G2469" t="s">
        <v>32614</v>
      </c>
      <c r="H2469" t="s">
        <v>14201</v>
      </c>
      <c r="I2469" t="s">
        <v>6931</v>
      </c>
      <c r="J2469" t="s">
        <v>34486</v>
      </c>
      <c r="K2469" t="s">
        <v>42631</v>
      </c>
      <c r="M2469" t="s">
        <v>44013</v>
      </c>
      <c r="N2469" t="s">
        <v>47304</v>
      </c>
      <c r="O2469" t="s">
        <v>47305</v>
      </c>
      <c r="P2469">
        <v>0</v>
      </c>
      <c r="Q2469">
        <v>0</v>
      </c>
      <c r="R2469" t="s">
        <v>47307</v>
      </c>
      <c r="S2469" t="s">
        <v>47416</v>
      </c>
      <c r="T2469" t="s">
        <v>48988</v>
      </c>
      <c r="U2469" t="s">
        <v>51726</v>
      </c>
      <c r="W2469" t="s">
        <v>44013</v>
      </c>
      <c r="X2469" t="s">
        <v>47306</v>
      </c>
    </row>
    <row r="2470" spans="1:24">
      <c r="A2470">
        <f>HYPERLINK("https://www.philgeps.gov.ph/GEPSNONPILOT/Tender/SplashBidNoticeAbstractUI.aspx?menuIndex=3&amp;refID=7200391&amp;Result=3","7200391")</f>
        <v>0</v>
      </c>
      <c r="B2470" t="s">
        <v>1077</v>
      </c>
      <c r="C2470" t="s">
        <v>6248</v>
      </c>
      <c r="D2470" t="s">
        <v>18993</v>
      </c>
      <c r="E2470" t="s">
        <v>21359</v>
      </c>
      <c r="F2470" t="s">
        <v>32606</v>
      </c>
      <c r="G2470" t="s">
        <v>32614</v>
      </c>
      <c r="H2470" t="s">
        <v>14201</v>
      </c>
      <c r="I2470" t="s">
        <v>32631</v>
      </c>
      <c r="J2470" t="s">
        <v>34514</v>
      </c>
      <c r="K2470" t="s">
        <v>42631</v>
      </c>
      <c r="M2470" t="s">
        <v>44030</v>
      </c>
      <c r="N2470" t="s">
        <v>47304</v>
      </c>
      <c r="O2470" t="s">
        <v>47305</v>
      </c>
      <c r="P2470">
        <v>0</v>
      </c>
      <c r="Q2470">
        <v>0</v>
      </c>
      <c r="R2470" t="s">
        <v>47307</v>
      </c>
      <c r="S2470" t="s">
        <v>47416</v>
      </c>
      <c r="T2470" t="s">
        <v>48988</v>
      </c>
      <c r="U2470" t="s">
        <v>51727</v>
      </c>
      <c r="W2470" t="s">
        <v>44030</v>
      </c>
      <c r="X2470" t="s">
        <v>47306</v>
      </c>
    </row>
    <row r="2471" spans="1:24">
      <c r="A2471">
        <f>HYPERLINK("https://www.philgeps.gov.ph/GEPSNONPILOT/Tender/SplashBidNoticeAbstractUI.aspx?menuIndex=3&amp;refID=7200378&amp;Result=3","7200378")</f>
        <v>0</v>
      </c>
      <c r="B2471" t="s">
        <v>1078</v>
      </c>
      <c r="C2471" t="s">
        <v>6249</v>
      </c>
      <c r="D2471" t="s">
        <v>19015</v>
      </c>
      <c r="E2471" t="s">
        <v>19463</v>
      </c>
      <c r="F2471" t="s">
        <v>32606</v>
      </c>
      <c r="G2471" t="s">
        <v>32614</v>
      </c>
      <c r="H2471" t="s">
        <v>14201</v>
      </c>
      <c r="I2471" t="s">
        <v>8682</v>
      </c>
      <c r="J2471" t="s">
        <v>33148</v>
      </c>
      <c r="K2471" t="s">
        <v>42630</v>
      </c>
      <c r="M2471" t="s">
        <v>44031</v>
      </c>
      <c r="N2471" t="s">
        <v>47304</v>
      </c>
      <c r="O2471" t="s">
        <v>47305</v>
      </c>
      <c r="P2471">
        <v>0</v>
      </c>
      <c r="Q2471">
        <v>0</v>
      </c>
      <c r="R2471" t="s">
        <v>47307</v>
      </c>
      <c r="S2471" t="s">
        <v>47416</v>
      </c>
      <c r="T2471" t="s">
        <v>49023</v>
      </c>
      <c r="U2471" t="s">
        <v>51728</v>
      </c>
      <c r="V2471" t="s">
        <v>62915</v>
      </c>
      <c r="W2471" t="s">
        <v>44031</v>
      </c>
      <c r="X2471" t="s">
        <v>47306</v>
      </c>
    </row>
    <row r="2472" spans="1:24">
      <c r="A2472">
        <f>HYPERLINK("https://www.philgeps.gov.ph/GEPSNONPILOT/Tender/SplashBidNoticeAbstractUI.aspx?menuIndex=3&amp;refID=7200377&amp;Result=3","7200377")</f>
        <v>0</v>
      </c>
      <c r="B2472" t="s">
        <v>1079</v>
      </c>
      <c r="C2472" t="s">
        <v>6250</v>
      </c>
      <c r="D2472" t="s">
        <v>19003</v>
      </c>
      <c r="E2472" t="s">
        <v>19940</v>
      </c>
      <c r="F2472" t="s">
        <v>32606</v>
      </c>
      <c r="G2472" t="s">
        <v>32615</v>
      </c>
      <c r="H2472" t="s">
        <v>14201</v>
      </c>
      <c r="I2472" t="s">
        <v>6298</v>
      </c>
      <c r="J2472" t="s">
        <v>34515</v>
      </c>
      <c r="K2472" t="s">
        <v>42629</v>
      </c>
      <c r="M2472" t="s">
        <v>44032</v>
      </c>
      <c r="N2472" t="s">
        <v>47304</v>
      </c>
      <c r="O2472" t="s">
        <v>47305</v>
      </c>
      <c r="P2472">
        <v>0</v>
      </c>
      <c r="Q2472">
        <v>0</v>
      </c>
      <c r="R2472" t="s">
        <v>47307</v>
      </c>
      <c r="S2472" t="s">
        <v>47416</v>
      </c>
      <c r="T2472" t="s">
        <v>48975</v>
      </c>
      <c r="U2472" t="s">
        <v>51729</v>
      </c>
      <c r="W2472" t="s">
        <v>44032</v>
      </c>
      <c r="X2472" t="s">
        <v>47306</v>
      </c>
    </row>
    <row r="2473" spans="1:24">
      <c r="A2473">
        <f>HYPERLINK("https://www.philgeps.gov.ph/GEPSNONPILOT/Tender/SplashBidNoticeAbstractUI.aspx?menuIndex=3&amp;refID=7200375&amp;Result=3","7200375")</f>
        <v>0</v>
      </c>
      <c r="B2473" t="s">
        <v>1063</v>
      </c>
      <c r="C2473" t="s">
        <v>4678</v>
      </c>
      <c r="D2473" t="s">
        <v>18997</v>
      </c>
      <c r="E2473" t="s">
        <v>21360</v>
      </c>
      <c r="F2473" t="s">
        <v>32606</v>
      </c>
      <c r="G2473" t="s">
        <v>32614</v>
      </c>
      <c r="H2473" t="s">
        <v>14201</v>
      </c>
      <c r="I2473" t="s">
        <v>4678</v>
      </c>
      <c r="J2473" t="s">
        <v>33263</v>
      </c>
      <c r="K2473" t="s">
        <v>42629</v>
      </c>
      <c r="M2473" t="s">
        <v>44016</v>
      </c>
      <c r="N2473" t="s">
        <v>47304</v>
      </c>
      <c r="O2473" t="s">
        <v>47305</v>
      </c>
      <c r="P2473">
        <v>0</v>
      </c>
      <c r="Q2473">
        <v>0</v>
      </c>
      <c r="R2473" t="s">
        <v>47307</v>
      </c>
      <c r="S2473" t="s">
        <v>47416</v>
      </c>
      <c r="T2473" t="s">
        <v>48976</v>
      </c>
      <c r="U2473" t="s">
        <v>51730</v>
      </c>
      <c r="W2473" t="s">
        <v>44016</v>
      </c>
      <c r="X2473" t="s">
        <v>47306</v>
      </c>
    </row>
    <row r="2474" spans="1:24">
      <c r="A2474">
        <f>HYPERLINK("https://www.philgeps.gov.ph/GEPSNONPILOT/Tender/SplashBidNoticeAbstractUI.aspx?menuIndex=3&amp;refID=7200374&amp;Result=3","7200374")</f>
        <v>0</v>
      </c>
      <c r="B2474" t="s">
        <v>503</v>
      </c>
      <c r="C2474" t="s">
        <v>6251</v>
      </c>
      <c r="D2474" t="s">
        <v>19033</v>
      </c>
      <c r="E2474" t="s">
        <v>21361</v>
      </c>
      <c r="F2474" t="s">
        <v>32606</v>
      </c>
      <c r="G2474" t="s">
        <v>32619</v>
      </c>
      <c r="H2474" t="s">
        <v>14201</v>
      </c>
      <c r="I2474" t="s">
        <v>32629</v>
      </c>
      <c r="J2474" t="s">
        <v>34516</v>
      </c>
      <c r="K2474" t="s">
        <v>42630</v>
      </c>
      <c r="M2474" t="s">
        <v>43416</v>
      </c>
      <c r="N2474" t="s">
        <v>47304</v>
      </c>
      <c r="O2474" t="s">
        <v>47305</v>
      </c>
      <c r="P2474">
        <v>0</v>
      </c>
      <c r="Q2474">
        <v>0</v>
      </c>
      <c r="R2474" t="s">
        <v>47307</v>
      </c>
      <c r="S2474" t="s">
        <v>47416</v>
      </c>
      <c r="T2474" t="s">
        <v>48996</v>
      </c>
      <c r="U2474" t="s">
        <v>51731</v>
      </c>
      <c r="W2474" t="s">
        <v>43416</v>
      </c>
      <c r="X2474" t="s">
        <v>47306</v>
      </c>
    </row>
    <row r="2475" spans="1:24">
      <c r="A2475">
        <f>HYPERLINK("https://www.philgeps.gov.ph/GEPSNONPILOT/Tender/SplashBidNoticeAbstractUI.aspx?menuIndex=3&amp;refID=7200373&amp;Result=3","7200373")</f>
        <v>0</v>
      </c>
      <c r="B2475" t="s">
        <v>1058</v>
      </c>
      <c r="C2475" t="s">
        <v>6252</v>
      </c>
      <c r="D2475" t="s">
        <v>19039</v>
      </c>
      <c r="E2475" t="s">
        <v>21362</v>
      </c>
      <c r="F2475" t="s">
        <v>32606</v>
      </c>
      <c r="G2475" t="s">
        <v>32613</v>
      </c>
      <c r="H2475" t="s">
        <v>32623</v>
      </c>
      <c r="I2475" t="s">
        <v>17648</v>
      </c>
      <c r="J2475" t="s">
        <v>32830</v>
      </c>
      <c r="K2475" t="s">
        <v>42648</v>
      </c>
      <c r="M2475" t="s">
        <v>44011</v>
      </c>
      <c r="N2475" t="s">
        <v>47304</v>
      </c>
      <c r="O2475" t="s">
        <v>47305</v>
      </c>
      <c r="P2475">
        <v>0</v>
      </c>
      <c r="Q2475">
        <v>0</v>
      </c>
      <c r="R2475" t="s">
        <v>47307</v>
      </c>
      <c r="S2475" t="s">
        <v>47416</v>
      </c>
      <c r="T2475" t="s">
        <v>48983</v>
      </c>
      <c r="U2475" t="s">
        <v>51686</v>
      </c>
      <c r="W2475" t="s">
        <v>44011</v>
      </c>
      <c r="X2475" t="s">
        <v>47306</v>
      </c>
    </row>
    <row r="2476" spans="1:24">
      <c r="A2476">
        <f>HYPERLINK("https://www.philgeps.gov.ph/GEPSNONPILOT/Tender/SplashBidNoticeAbstractUI.aspx?menuIndex=3&amp;refID=7200414&amp;Result=3","7200414")</f>
        <v>0</v>
      </c>
      <c r="B2476" t="s">
        <v>1058</v>
      </c>
      <c r="C2476" t="s">
        <v>6253</v>
      </c>
      <c r="D2476" t="s">
        <v>19039</v>
      </c>
      <c r="E2476" t="s">
        <v>21363</v>
      </c>
      <c r="F2476" t="s">
        <v>32606</v>
      </c>
      <c r="G2476" t="s">
        <v>32613</v>
      </c>
      <c r="H2476" t="s">
        <v>14201</v>
      </c>
      <c r="I2476" t="s">
        <v>32629</v>
      </c>
      <c r="J2476" t="s">
        <v>34517</v>
      </c>
      <c r="K2476" t="s">
        <v>42623</v>
      </c>
      <c r="M2476" t="s">
        <v>44011</v>
      </c>
      <c r="N2476" t="s">
        <v>47304</v>
      </c>
      <c r="O2476" t="s">
        <v>47305</v>
      </c>
      <c r="P2476">
        <v>0</v>
      </c>
      <c r="Q2476">
        <v>0</v>
      </c>
      <c r="R2476" t="s">
        <v>47307</v>
      </c>
      <c r="S2476" t="s">
        <v>47416</v>
      </c>
      <c r="T2476" t="s">
        <v>48983</v>
      </c>
      <c r="U2476" t="s">
        <v>51723</v>
      </c>
      <c r="W2476" t="s">
        <v>44011</v>
      </c>
      <c r="X2476" t="s">
        <v>47306</v>
      </c>
    </row>
    <row r="2477" spans="1:24">
      <c r="A2477">
        <f>HYPERLINK("https://www.philgeps.gov.ph/GEPSNONPILOT/Tender/SplashBidNoticeAbstractUI.aspx?menuIndex=3&amp;refID=7200390&amp;Result=3","7200390")</f>
        <v>0</v>
      </c>
      <c r="B2477" t="s">
        <v>1058</v>
      </c>
      <c r="C2477" t="s">
        <v>6254</v>
      </c>
      <c r="D2477" t="s">
        <v>19039</v>
      </c>
      <c r="E2477" t="s">
        <v>21364</v>
      </c>
      <c r="F2477" t="s">
        <v>32606</v>
      </c>
      <c r="G2477" t="s">
        <v>32613</v>
      </c>
      <c r="H2477" t="s">
        <v>14201</v>
      </c>
      <c r="I2477" t="s">
        <v>32633</v>
      </c>
      <c r="J2477" t="s">
        <v>34518</v>
      </c>
      <c r="K2477" t="s">
        <v>42623</v>
      </c>
      <c r="M2477" t="s">
        <v>44011</v>
      </c>
      <c r="N2477" t="s">
        <v>47304</v>
      </c>
      <c r="O2477" t="s">
        <v>47305</v>
      </c>
      <c r="P2477">
        <v>0</v>
      </c>
      <c r="Q2477">
        <v>0</v>
      </c>
      <c r="R2477" t="s">
        <v>47307</v>
      </c>
      <c r="S2477" t="s">
        <v>47416</v>
      </c>
      <c r="T2477" t="s">
        <v>48983</v>
      </c>
      <c r="U2477" t="s">
        <v>51723</v>
      </c>
      <c r="W2477" t="s">
        <v>44011</v>
      </c>
      <c r="X2477" t="s">
        <v>47306</v>
      </c>
    </row>
    <row r="2478" spans="1:24">
      <c r="A2478">
        <f>HYPERLINK("https://www.philgeps.gov.ph/GEPSNONPILOT/Tender/SplashBidNoticeAbstractUI.aspx?menuIndex=3&amp;refID=7200420&amp;Result=3","7200420")</f>
        <v>0</v>
      </c>
      <c r="B2478" t="s">
        <v>1080</v>
      </c>
      <c r="C2478" t="s">
        <v>6255</v>
      </c>
      <c r="D2478" t="s">
        <v>19004</v>
      </c>
      <c r="E2478" t="s">
        <v>20933</v>
      </c>
      <c r="F2478" t="s">
        <v>32606</v>
      </c>
      <c r="G2478" t="s">
        <v>32614</v>
      </c>
      <c r="H2478" t="s">
        <v>14201</v>
      </c>
      <c r="I2478" t="s">
        <v>4114</v>
      </c>
      <c r="J2478" t="s">
        <v>34519</v>
      </c>
      <c r="K2478" t="s">
        <v>42629</v>
      </c>
      <c r="M2478" t="s">
        <v>44033</v>
      </c>
      <c r="N2478" t="s">
        <v>47304</v>
      </c>
      <c r="O2478" t="s">
        <v>47305</v>
      </c>
      <c r="P2478">
        <v>0</v>
      </c>
      <c r="Q2478">
        <v>0</v>
      </c>
      <c r="R2478" t="s">
        <v>47307</v>
      </c>
      <c r="S2478" t="s">
        <v>47416</v>
      </c>
      <c r="T2478" t="s">
        <v>49100</v>
      </c>
      <c r="U2478" t="s">
        <v>51732</v>
      </c>
      <c r="W2478" t="s">
        <v>44033</v>
      </c>
      <c r="X2478" t="s">
        <v>47306</v>
      </c>
    </row>
    <row r="2479" spans="1:24">
      <c r="A2479">
        <f>HYPERLINK("https://www.philgeps.gov.ph/GEPSNONPILOT/Tender/SplashBidNoticeAbstractUI.aspx?menuIndex=3&amp;refID=7200419&amp;Result=3","7200419")</f>
        <v>0</v>
      </c>
      <c r="B2479" t="s">
        <v>519</v>
      </c>
      <c r="C2479" t="s">
        <v>6256</v>
      </c>
      <c r="E2479" t="s">
        <v>21365</v>
      </c>
      <c r="F2479" t="s">
        <v>32606</v>
      </c>
      <c r="G2479" t="s">
        <v>32614</v>
      </c>
      <c r="H2479" t="s">
        <v>14201</v>
      </c>
      <c r="I2479" t="s">
        <v>7577</v>
      </c>
      <c r="J2479" t="s">
        <v>33263</v>
      </c>
      <c r="K2479" t="s">
        <v>42624</v>
      </c>
      <c r="M2479" t="s">
        <v>43432</v>
      </c>
      <c r="N2479" t="s">
        <v>47304</v>
      </c>
      <c r="O2479" t="s">
        <v>47305</v>
      </c>
      <c r="P2479">
        <v>0</v>
      </c>
      <c r="Q2479">
        <v>0</v>
      </c>
      <c r="R2479" t="s">
        <v>47307</v>
      </c>
      <c r="S2479" t="s">
        <v>47416</v>
      </c>
      <c r="T2479" t="s">
        <v>49087</v>
      </c>
      <c r="U2479" t="s">
        <v>51733</v>
      </c>
      <c r="V2479" t="s">
        <v>62916</v>
      </c>
      <c r="W2479" t="s">
        <v>43432</v>
      </c>
      <c r="X2479" t="s">
        <v>47306</v>
      </c>
    </row>
    <row r="2480" spans="1:24">
      <c r="A2480">
        <f>HYPERLINK("https://www.philgeps.gov.ph/GEPSNONPILOT/Tender/SplashBidNoticeAbstractUI.aspx?menuIndex=3&amp;refID=7200381&amp;Result=3","7200381")</f>
        <v>0</v>
      </c>
      <c r="B2480" t="s">
        <v>1028</v>
      </c>
      <c r="C2480" t="s">
        <v>6257</v>
      </c>
      <c r="D2480" t="s">
        <v>19008</v>
      </c>
      <c r="E2480" t="s">
        <v>21366</v>
      </c>
      <c r="F2480" t="s">
        <v>32606</v>
      </c>
      <c r="G2480" t="s">
        <v>32614</v>
      </c>
      <c r="H2480" t="s">
        <v>14201</v>
      </c>
      <c r="I2480" t="s">
        <v>6931</v>
      </c>
      <c r="J2480" t="s">
        <v>34491</v>
      </c>
      <c r="K2480" t="s">
        <v>42631</v>
      </c>
      <c r="M2480" t="s">
        <v>43981</v>
      </c>
      <c r="N2480" t="s">
        <v>47304</v>
      </c>
      <c r="O2480" t="s">
        <v>47305</v>
      </c>
      <c r="P2480">
        <v>0</v>
      </c>
      <c r="Q2480">
        <v>0</v>
      </c>
      <c r="R2480" t="s">
        <v>47307</v>
      </c>
      <c r="S2480" t="s">
        <v>47416</v>
      </c>
      <c r="T2480" t="s">
        <v>48987</v>
      </c>
      <c r="U2480" t="s">
        <v>51734</v>
      </c>
      <c r="W2480" t="s">
        <v>43981</v>
      </c>
      <c r="X2480" t="s">
        <v>47306</v>
      </c>
    </row>
    <row r="2481" spans="1:24">
      <c r="A2481">
        <f>HYPERLINK("https://www.philgeps.gov.ph/GEPSNONPILOT/Tender/SplashBidNoticeAbstractUI.aspx?menuIndex=3&amp;refID=7200392&amp;Result=3","7200392")</f>
        <v>0</v>
      </c>
      <c r="B2481" t="s">
        <v>1081</v>
      </c>
      <c r="C2481" t="s">
        <v>6258</v>
      </c>
      <c r="D2481" t="s">
        <v>19039</v>
      </c>
      <c r="E2481" t="s">
        <v>21367</v>
      </c>
      <c r="F2481" t="s">
        <v>32606</v>
      </c>
      <c r="G2481" t="s">
        <v>32613</v>
      </c>
      <c r="H2481" t="s">
        <v>14201</v>
      </c>
      <c r="I2481" t="s">
        <v>6298</v>
      </c>
      <c r="J2481" t="s">
        <v>34520</v>
      </c>
      <c r="K2481" t="s">
        <v>42639</v>
      </c>
      <c r="M2481" t="s">
        <v>44034</v>
      </c>
      <c r="N2481" t="s">
        <v>47304</v>
      </c>
      <c r="O2481" t="s">
        <v>47305</v>
      </c>
      <c r="P2481">
        <v>0</v>
      </c>
      <c r="Q2481">
        <v>0</v>
      </c>
      <c r="R2481" t="s">
        <v>47307</v>
      </c>
      <c r="S2481" t="s">
        <v>47416</v>
      </c>
      <c r="T2481" t="s">
        <v>49171</v>
      </c>
      <c r="U2481" t="s">
        <v>51735</v>
      </c>
      <c r="W2481" t="s">
        <v>44034</v>
      </c>
      <c r="X2481" t="s">
        <v>47306</v>
      </c>
    </row>
    <row r="2482" spans="1:24">
      <c r="A2482">
        <f>HYPERLINK("https://www.philgeps.gov.ph/GEPSNONPILOT/Tender/SplashBidNoticeAbstractUI.aspx?menuIndex=3&amp;refID=7200416&amp;Result=3","7200416")</f>
        <v>0</v>
      </c>
      <c r="B2482" t="s">
        <v>575</v>
      </c>
      <c r="C2482" t="s">
        <v>6259</v>
      </c>
      <c r="D2482" t="s">
        <v>19036</v>
      </c>
      <c r="E2482" t="s">
        <v>21368</v>
      </c>
      <c r="F2482" t="s">
        <v>32606</v>
      </c>
      <c r="G2482" t="s">
        <v>32615</v>
      </c>
      <c r="H2482" t="s">
        <v>14201</v>
      </c>
      <c r="I2482" t="s">
        <v>7064</v>
      </c>
      <c r="J2482" t="s">
        <v>32861</v>
      </c>
      <c r="K2482" t="s">
        <v>42622</v>
      </c>
      <c r="M2482" t="s">
        <v>44035</v>
      </c>
      <c r="N2482" t="s">
        <v>47304</v>
      </c>
      <c r="O2482" t="s">
        <v>47305</v>
      </c>
      <c r="P2482">
        <v>0</v>
      </c>
      <c r="Q2482">
        <v>1</v>
      </c>
      <c r="R2482" t="s">
        <v>47307</v>
      </c>
      <c r="S2482" t="s">
        <v>47416</v>
      </c>
      <c r="T2482" t="s">
        <v>48971</v>
      </c>
      <c r="U2482" t="s">
        <v>51736</v>
      </c>
      <c r="W2482" t="s">
        <v>44035</v>
      </c>
      <c r="X2482" t="s">
        <v>47306</v>
      </c>
    </row>
    <row r="2483" spans="1:24">
      <c r="A2483">
        <f>HYPERLINK("https://www.philgeps.gov.ph/GEPSNONPILOT/Tender/SplashBidNoticeAbstractUI.aspx?menuIndex=3&amp;refID=7200411&amp;Result=3","7200411")</f>
        <v>0</v>
      </c>
      <c r="B2483" t="s">
        <v>1067</v>
      </c>
      <c r="C2483" t="s">
        <v>6260</v>
      </c>
      <c r="D2483" t="s">
        <v>19010</v>
      </c>
      <c r="E2483" t="s">
        <v>21369</v>
      </c>
      <c r="F2483" t="s">
        <v>32606</v>
      </c>
      <c r="G2483" t="s">
        <v>32613</v>
      </c>
      <c r="H2483" t="s">
        <v>14201</v>
      </c>
      <c r="I2483" t="s">
        <v>4121</v>
      </c>
      <c r="J2483" t="s">
        <v>32795</v>
      </c>
      <c r="K2483" t="s">
        <v>42639</v>
      </c>
      <c r="M2483" t="s">
        <v>44020</v>
      </c>
      <c r="N2483" t="s">
        <v>47304</v>
      </c>
      <c r="O2483" t="s">
        <v>47305</v>
      </c>
      <c r="P2483">
        <v>0</v>
      </c>
      <c r="Q2483">
        <v>0</v>
      </c>
      <c r="R2483" t="s">
        <v>47307</v>
      </c>
      <c r="S2483" t="s">
        <v>47416</v>
      </c>
      <c r="T2483" t="s">
        <v>49094</v>
      </c>
      <c r="U2483" t="s">
        <v>51737</v>
      </c>
      <c r="W2483" t="s">
        <v>44020</v>
      </c>
      <c r="X2483" t="s">
        <v>47306</v>
      </c>
    </row>
    <row r="2484" spans="1:24">
      <c r="A2484">
        <f>HYPERLINK("https://www.philgeps.gov.ph/GEPSNONPILOT/Tender/SplashBidNoticeAbstractUI.aspx?menuIndex=3&amp;refID=7200384&amp;Result=3","7200384")</f>
        <v>0</v>
      </c>
      <c r="B2484" t="s">
        <v>1082</v>
      </c>
      <c r="C2484" t="s">
        <v>6261</v>
      </c>
      <c r="D2484" t="s">
        <v>18993</v>
      </c>
      <c r="E2484" t="s">
        <v>21370</v>
      </c>
      <c r="F2484" t="s">
        <v>32606</v>
      </c>
      <c r="G2484" t="s">
        <v>32619</v>
      </c>
      <c r="H2484" t="s">
        <v>14201</v>
      </c>
      <c r="I2484" t="s">
        <v>4120</v>
      </c>
      <c r="J2484" t="s">
        <v>34521</v>
      </c>
      <c r="K2484" t="s">
        <v>42632</v>
      </c>
      <c r="M2484" t="s">
        <v>44036</v>
      </c>
      <c r="N2484" t="s">
        <v>47304</v>
      </c>
      <c r="O2484" t="s">
        <v>47305</v>
      </c>
      <c r="P2484">
        <v>0</v>
      </c>
      <c r="Q2484">
        <v>0</v>
      </c>
      <c r="R2484" t="s">
        <v>47307</v>
      </c>
      <c r="S2484" t="s">
        <v>47416</v>
      </c>
      <c r="T2484" t="s">
        <v>49221</v>
      </c>
      <c r="U2484" t="s">
        <v>51738</v>
      </c>
      <c r="W2484" t="s">
        <v>44036</v>
      </c>
      <c r="X2484" t="s">
        <v>47306</v>
      </c>
    </row>
    <row r="2485" spans="1:24">
      <c r="A2485">
        <f>HYPERLINK("https://www.philgeps.gov.ph/GEPSNONPILOT/Tender/SplashBidNoticeAbstractUI.aspx?menuIndex=3&amp;refID=7200409&amp;Result=3","7200409")</f>
        <v>0</v>
      </c>
      <c r="B2485" t="s">
        <v>1069</v>
      </c>
      <c r="C2485" t="s">
        <v>6216</v>
      </c>
      <c r="D2485" t="s">
        <v>18993</v>
      </c>
      <c r="E2485" t="s">
        <v>21371</v>
      </c>
      <c r="F2485" t="s">
        <v>32607</v>
      </c>
      <c r="G2485" t="s">
        <v>32613</v>
      </c>
      <c r="H2485" t="s">
        <v>32624</v>
      </c>
      <c r="I2485" t="s">
        <v>6478</v>
      </c>
      <c r="J2485" t="s">
        <v>34489</v>
      </c>
      <c r="K2485" t="s">
        <v>42631</v>
      </c>
      <c r="M2485" t="s">
        <v>44022</v>
      </c>
      <c r="N2485" t="s">
        <v>47304</v>
      </c>
      <c r="O2485" t="s">
        <v>47305</v>
      </c>
      <c r="P2485">
        <v>0</v>
      </c>
      <c r="Q2485">
        <v>0</v>
      </c>
      <c r="R2485" t="s">
        <v>47307</v>
      </c>
      <c r="S2485" t="s">
        <v>47416</v>
      </c>
      <c r="T2485" t="s">
        <v>49217</v>
      </c>
      <c r="U2485" t="s">
        <v>51739</v>
      </c>
      <c r="W2485" t="s">
        <v>44022</v>
      </c>
      <c r="X2485" t="s">
        <v>47306</v>
      </c>
    </row>
    <row r="2486" spans="1:24">
      <c r="A2486">
        <f>HYPERLINK("https://www.philgeps.gov.ph/GEPSNONPILOT/Tender/SplashBidNoticeAbstractUI.aspx?menuIndex=3&amp;refID=7200407&amp;Result=3","7200407")</f>
        <v>0</v>
      </c>
      <c r="B2486" t="s">
        <v>1083</v>
      </c>
      <c r="C2486" t="s">
        <v>6262</v>
      </c>
      <c r="D2486" t="s">
        <v>19028</v>
      </c>
      <c r="E2486" t="s">
        <v>21372</v>
      </c>
      <c r="F2486" t="s">
        <v>32606</v>
      </c>
      <c r="G2486" t="s">
        <v>32614</v>
      </c>
      <c r="H2486" t="s">
        <v>14201</v>
      </c>
      <c r="I2486" t="s">
        <v>4369</v>
      </c>
      <c r="J2486" t="s">
        <v>32885</v>
      </c>
      <c r="K2486" t="s">
        <v>42624</v>
      </c>
      <c r="M2486" t="s">
        <v>44037</v>
      </c>
      <c r="N2486" t="s">
        <v>47304</v>
      </c>
      <c r="O2486" t="s">
        <v>47305</v>
      </c>
      <c r="P2486">
        <v>0</v>
      </c>
      <c r="Q2486">
        <v>0</v>
      </c>
      <c r="R2486" t="s">
        <v>47307</v>
      </c>
      <c r="S2486" t="s">
        <v>47416</v>
      </c>
      <c r="T2486" t="s">
        <v>49015</v>
      </c>
      <c r="U2486" t="s">
        <v>51740</v>
      </c>
      <c r="W2486" t="s">
        <v>44037</v>
      </c>
      <c r="X2486" t="s">
        <v>47306</v>
      </c>
    </row>
    <row r="2487" spans="1:24">
      <c r="A2487">
        <f>HYPERLINK("https://www.philgeps.gov.ph/GEPSNONPILOT/Tender/SplashBidNoticeAbstractUI.aspx?menuIndex=3&amp;refID=7200406&amp;Result=3","7200406")</f>
        <v>0</v>
      </c>
      <c r="B2487" t="s">
        <v>1028</v>
      </c>
      <c r="C2487" t="s">
        <v>6263</v>
      </c>
      <c r="D2487" t="s">
        <v>19008</v>
      </c>
      <c r="E2487" t="s">
        <v>21373</v>
      </c>
      <c r="F2487" t="s">
        <v>32606</v>
      </c>
      <c r="G2487" t="s">
        <v>32613</v>
      </c>
      <c r="H2487" t="s">
        <v>14201</v>
      </c>
      <c r="I2487" t="s">
        <v>6931</v>
      </c>
      <c r="J2487" t="s">
        <v>33105</v>
      </c>
      <c r="K2487" t="s">
        <v>42631</v>
      </c>
      <c r="M2487" t="s">
        <v>44038</v>
      </c>
      <c r="N2487" t="s">
        <v>47304</v>
      </c>
      <c r="O2487" t="s">
        <v>47305</v>
      </c>
      <c r="P2487">
        <v>0</v>
      </c>
      <c r="Q2487">
        <v>0</v>
      </c>
      <c r="R2487" t="s">
        <v>47307</v>
      </c>
      <c r="S2487" t="s">
        <v>47416</v>
      </c>
      <c r="T2487" t="s">
        <v>49146</v>
      </c>
      <c r="U2487" t="s">
        <v>51741</v>
      </c>
      <c r="W2487" t="s">
        <v>43981</v>
      </c>
      <c r="X2487" t="s">
        <v>47306</v>
      </c>
    </row>
    <row r="2488" spans="1:24">
      <c r="A2488">
        <f>HYPERLINK("https://www.philgeps.gov.ph/GEPSNONPILOT/Tender/SplashBidNoticeAbstractUI.aspx?menuIndex=3&amp;refID=7200417&amp;Result=3","7200417")</f>
        <v>0</v>
      </c>
      <c r="B2488" t="s">
        <v>1058</v>
      </c>
      <c r="C2488" t="s">
        <v>6264</v>
      </c>
      <c r="D2488" t="s">
        <v>19039</v>
      </c>
      <c r="E2488" t="s">
        <v>21374</v>
      </c>
      <c r="F2488" t="s">
        <v>32606</v>
      </c>
      <c r="G2488" t="s">
        <v>32613</v>
      </c>
      <c r="H2488" t="s">
        <v>14201</v>
      </c>
      <c r="I2488" t="s">
        <v>32629</v>
      </c>
      <c r="J2488" t="s">
        <v>34522</v>
      </c>
      <c r="K2488" t="s">
        <v>42623</v>
      </c>
      <c r="M2488" t="s">
        <v>44011</v>
      </c>
      <c r="N2488" t="s">
        <v>47304</v>
      </c>
      <c r="O2488" t="s">
        <v>47305</v>
      </c>
      <c r="P2488">
        <v>0</v>
      </c>
      <c r="Q2488">
        <v>0</v>
      </c>
      <c r="R2488" t="s">
        <v>47307</v>
      </c>
      <c r="S2488" t="s">
        <v>47416</v>
      </c>
      <c r="T2488" t="s">
        <v>48983</v>
      </c>
      <c r="U2488" t="s">
        <v>51723</v>
      </c>
      <c r="W2488" t="s">
        <v>44011</v>
      </c>
      <c r="X2488" t="s">
        <v>47306</v>
      </c>
    </row>
    <row r="2489" spans="1:24">
      <c r="A2489">
        <f>HYPERLINK("https://www.philgeps.gov.ph/GEPSNONPILOT/Tender/SplashBidNoticeAbstractUI.aspx?menuIndex=3&amp;refID=7200403&amp;Result=3","7200403")</f>
        <v>0</v>
      </c>
      <c r="B2489" t="s">
        <v>1084</v>
      </c>
      <c r="C2489" t="s">
        <v>6265</v>
      </c>
      <c r="D2489" t="s">
        <v>19063</v>
      </c>
      <c r="E2489" t="s">
        <v>21375</v>
      </c>
      <c r="F2489" t="s">
        <v>32606</v>
      </c>
      <c r="G2489" t="s">
        <v>32613</v>
      </c>
      <c r="H2489" t="s">
        <v>14201</v>
      </c>
      <c r="I2489" t="s">
        <v>8606</v>
      </c>
      <c r="J2489" t="s">
        <v>32820</v>
      </c>
      <c r="K2489" t="s">
        <v>42622</v>
      </c>
      <c r="M2489" t="s">
        <v>44039</v>
      </c>
      <c r="N2489" t="s">
        <v>47304</v>
      </c>
      <c r="O2489" t="s">
        <v>47305</v>
      </c>
      <c r="P2489">
        <v>0</v>
      </c>
      <c r="Q2489">
        <v>0</v>
      </c>
      <c r="R2489" t="s">
        <v>47307</v>
      </c>
      <c r="S2489" t="s">
        <v>47416</v>
      </c>
      <c r="T2489" t="s">
        <v>48983</v>
      </c>
      <c r="U2489" t="s">
        <v>51742</v>
      </c>
      <c r="W2489" t="s">
        <v>44039</v>
      </c>
      <c r="X2489" t="s">
        <v>47306</v>
      </c>
    </row>
    <row r="2490" spans="1:24">
      <c r="A2490">
        <f>HYPERLINK("https://www.philgeps.gov.ph/GEPSNONPILOT/Tender/SplashBidNoticeAbstractUI.aspx?menuIndex=3&amp;refID=7200415&amp;Result=3","7200415")</f>
        <v>0</v>
      </c>
      <c r="B2490" t="s">
        <v>1085</v>
      </c>
      <c r="C2490" t="s">
        <v>6266</v>
      </c>
      <c r="D2490" t="s">
        <v>18993</v>
      </c>
      <c r="E2490" t="s">
        <v>21376</v>
      </c>
      <c r="F2490" t="s">
        <v>32606</v>
      </c>
      <c r="G2490" t="s">
        <v>32613</v>
      </c>
      <c r="H2490" t="s">
        <v>14201</v>
      </c>
      <c r="I2490" t="s">
        <v>4678</v>
      </c>
      <c r="J2490" t="s">
        <v>34523</v>
      </c>
      <c r="K2490" t="s">
        <v>42648</v>
      </c>
      <c r="M2490" t="s">
        <v>44040</v>
      </c>
      <c r="N2490" t="s">
        <v>47304</v>
      </c>
      <c r="O2490" t="s">
        <v>47305</v>
      </c>
      <c r="P2490">
        <v>0</v>
      </c>
      <c r="Q2490">
        <v>0</v>
      </c>
      <c r="R2490" t="s">
        <v>47307</v>
      </c>
      <c r="S2490" t="s">
        <v>47416</v>
      </c>
      <c r="T2490" t="s">
        <v>49056</v>
      </c>
      <c r="U2490" t="s">
        <v>51743</v>
      </c>
      <c r="W2490" t="s">
        <v>44040</v>
      </c>
      <c r="X2490" t="s">
        <v>47306</v>
      </c>
    </row>
    <row r="2491" spans="1:24">
      <c r="A2491">
        <f>HYPERLINK("https://www.philgeps.gov.ph/GEPSNONPILOT/Tender/SplashBidNoticeAbstractUI.aspx?menuIndex=3&amp;refID=7200400&amp;Result=3","7200400")</f>
        <v>0</v>
      </c>
      <c r="B2491" t="s">
        <v>1086</v>
      </c>
      <c r="C2491" t="s">
        <v>6267</v>
      </c>
      <c r="E2491" t="s">
        <v>21377</v>
      </c>
      <c r="F2491" t="s">
        <v>32606</v>
      </c>
      <c r="G2491" t="s">
        <v>32613</v>
      </c>
      <c r="H2491" t="s">
        <v>14201</v>
      </c>
      <c r="I2491" t="s">
        <v>4114</v>
      </c>
      <c r="J2491" t="s">
        <v>34524</v>
      </c>
      <c r="K2491" t="s">
        <v>42624</v>
      </c>
      <c r="M2491" t="s">
        <v>44041</v>
      </c>
      <c r="N2491" t="s">
        <v>47304</v>
      </c>
      <c r="O2491" t="s">
        <v>47305</v>
      </c>
      <c r="P2491">
        <v>0</v>
      </c>
      <c r="Q2491">
        <v>0</v>
      </c>
      <c r="R2491" t="s">
        <v>47307</v>
      </c>
      <c r="S2491" t="s">
        <v>47416</v>
      </c>
      <c r="T2491" t="s">
        <v>48995</v>
      </c>
      <c r="U2491" t="s">
        <v>51744</v>
      </c>
      <c r="W2491" t="s">
        <v>44041</v>
      </c>
      <c r="X2491" t="s">
        <v>47306</v>
      </c>
    </row>
    <row r="2492" spans="1:24">
      <c r="A2492">
        <f>HYPERLINK("https://www.philgeps.gov.ph/GEPSNONPILOT/Tender/SplashBidNoticeAbstractUI.aspx?menuIndex=3&amp;refID=7200388&amp;Result=3","7200388")</f>
        <v>0</v>
      </c>
      <c r="B2492" t="s">
        <v>1087</v>
      </c>
      <c r="C2492" t="s">
        <v>6268</v>
      </c>
      <c r="D2492" t="s">
        <v>18999</v>
      </c>
      <c r="E2492" t="s">
        <v>21378</v>
      </c>
      <c r="F2492" t="s">
        <v>32606</v>
      </c>
      <c r="G2492" t="s">
        <v>32614</v>
      </c>
      <c r="H2492" t="s">
        <v>14201</v>
      </c>
      <c r="I2492" t="s">
        <v>6478</v>
      </c>
      <c r="J2492" t="s">
        <v>33102</v>
      </c>
      <c r="K2492" t="s">
        <v>42629</v>
      </c>
      <c r="M2492" t="s">
        <v>44042</v>
      </c>
      <c r="N2492" t="s">
        <v>47304</v>
      </c>
      <c r="O2492" t="s">
        <v>47305</v>
      </c>
      <c r="P2492">
        <v>0</v>
      </c>
      <c r="Q2492">
        <v>0</v>
      </c>
      <c r="R2492" t="s">
        <v>47307</v>
      </c>
      <c r="S2492" t="s">
        <v>47416</v>
      </c>
      <c r="T2492" t="s">
        <v>48972</v>
      </c>
      <c r="U2492" t="s">
        <v>51745</v>
      </c>
      <c r="W2492" t="s">
        <v>44042</v>
      </c>
      <c r="X2492" t="s">
        <v>47306</v>
      </c>
    </row>
    <row r="2493" spans="1:24">
      <c r="A2493">
        <f>HYPERLINK("https://www.philgeps.gov.ph/GEPSNONPILOT/Tender/SplashBidNoticeAbstractUI.aspx?menuIndex=3&amp;refID=7200410&amp;Result=3","7200410")</f>
        <v>0</v>
      </c>
      <c r="B2493" t="s">
        <v>1088</v>
      </c>
      <c r="C2493" t="s">
        <v>6269</v>
      </c>
      <c r="D2493" t="s">
        <v>19006</v>
      </c>
      <c r="E2493" t="s">
        <v>21379</v>
      </c>
      <c r="F2493" t="s">
        <v>32606</v>
      </c>
      <c r="G2493" t="s">
        <v>32614</v>
      </c>
      <c r="H2493" t="s">
        <v>14201</v>
      </c>
      <c r="I2493" t="s">
        <v>7233</v>
      </c>
      <c r="J2493" t="s">
        <v>34525</v>
      </c>
      <c r="K2493" t="s">
        <v>42627</v>
      </c>
      <c r="M2493" t="s">
        <v>44043</v>
      </c>
      <c r="N2493" t="s">
        <v>47304</v>
      </c>
      <c r="O2493" t="s">
        <v>47305</v>
      </c>
      <c r="P2493">
        <v>0</v>
      </c>
      <c r="Q2493">
        <v>0</v>
      </c>
      <c r="R2493" t="s">
        <v>47307</v>
      </c>
      <c r="S2493" t="s">
        <v>47416</v>
      </c>
      <c r="T2493" t="s">
        <v>48996</v>
      </c>
      <c r="U2493" t="s">
        <v>51746</v>
      </c>
      <c r="W2493" t="s">
        <v>44043</v>
      </c>
      <c r="X2493" t="s">
        <v>47306</v>
      </c>
    </row>
    <row r="2494" spans="1:24">
      <c r="A2494">
        <f>HYPERLINK("https://www.philgeps.gov.ph/GEPSNONPILOT/Tender/SplashBidNoticeAbstractUI.aspx?menuIndex=3&amp;refID=7200399&amp;Result=3","7200399")</f>
        <v>0</v>
      </c>
      <c r="B2494" t="s">
        <v>1028</v>
      </c>
      <c r="C2494" t="s">
        <v>6270</v>
      </c>
      <c r="D2494" t="s">
        <v>19008</v>
      </c>
      <c r="E2494" t="s">
        <v>21380</v>
      </c>
      <c r="F2494" t="s">
        <v>32606</v>
      </c>
      <c r="G2494" t="s">
        <v>32613</v>
      </c>
      <c r="H2494" t="s">
        <v>14201</v>
      </c>
      <c r="I2494" t="s">
        <v>6931</v>
      </c>
      <c r="J2494" t="s">
        <v>34526</v>
      </c>
      <c r="K2494" t="s">
        <v>42631</v>
      </c>
      <c r="M2494" t="s">
        <v>44038</v>
      </c>
      <c r="N2494" t="s">
        <v>47304</v>
      </c>
      <c r="O2494" t="s">
        <v>47305</v>
      </c>
      <c r="P2494">
        <v>0</v>
      </c>
      <c r="Q2494">
        <v>0</v>
      </c>
      <c r="R2494" t="s">
        <v>47307</v>
      </c>
      <c r="S2494" t="s">
        <v>47416</v>
      </c>
      <c r="T2494" t="s">
        <v>49146</v>
      </c>
      <c r="U2494" t="s">
        <v>51747</v>
      </c>
      <c r="W2494" t="s">
        <v>43981</v>
      </c>
      <c r="X2494" t="s">
        <v>47306</v>
      </c>
    </row>
    <row r="2495" spans="1:24">
      <c r="A2495">
        <f>HYPERLINK("https://www.philgeps.gov.ph/GEPSNONPILOT/Tender/SplashBidNoticeAbstractUI.aspx?menuIndex=3&amp;refID=7200422&amp;Result=3","7200422")</f>
        <v>0</v>
      </c>
      <c r="B2495" t="s">
        <v>938</v>
      </c>
      <c r="C2495" t="s">
        <v>6271</v>
      </c>
      <c r="E2495" t="s">
        <v>21381</v>
      </c>
      <c r="F2495" t="s">
        <v>32606</v>
      </c>
      <c r="G2495" t="s">
        <v>32619</v>
      </c>
      <c r="H2495" t="s">
        <v>14201</v>
      </c>
      <c r="I2495" t="s">
        <v>32678</v>
      </c>
      <c r="J2495" t="s">
        <v>34527</v>
      </c>
      <c r="K2495" t="s">
        <v>42624</v>
      </c>
      <c r="M2495" t="s">
        <v>44044</v>
      </c>
      <c r="N2495" t="s">
        <v>47304</v>
      </c>
      <c r="O2495" t="s">
        <v>47305</v>
      </c>
      <c r="P2495">
        <v>0</v>
      </c>
      <c r="Q2495">
        <v>0</v>
      </c>
      <c r="R2495" t="s">
        <v>47307</v>
      </c>
      <c r="S2495" t="s">
        <v>47416</v>
      </c>
      <c r="T2495" t="s">
        <v>49062</v>
      </c>
      <c r="U2495" t="s">
        <v>51748</v>
      </c>
      <c r="V2495" t="s">
        <v>62917</v>
      </c>
      <c r="W2495" t="s">
        <v>44044</v>
      </c>
      <c r="X2495" t="s">
        <v>47306</v>
      </c>
    </row>
    <row r="2496" spans="1:24">
      <c r="A2496">
        <f>HYPERLINK("https://www.philgeps.gov.ph/GEPSNONPILOT/Tender/SplashBidNoticeAbstractUI.aspx?menuIndex=3&amp;refID=7200444&amp;Result=3","7200444")</f>
        <v>0</v>
      </c>
      <c r="B2496" t="s">
        <v>575</v>
      </c>
      <c r="C2496" t="s">
        <v>6272</v>
      </c>
      <c r="D2496" t="s">
        <v>19036</v>
      </c>
      <c r="E2496" t="s">
        <v>21382</v>
      </c>
      <c r="F2496" t="s">
        <v>32606</v>
      </c>
      <c r="G2496" t="s">
        <v>32615</v>
      </c>
      <c r="H2496" t="s">
        <v>14201</v>
      </c>
      <c r="I2496" t="s">
        <v>32660</v>
      </c>
      <c r="J2496" t="s">
        <v>32795</v>
      </c>
      <c r="K2496" t="s">
        <v>42622</v>
      </c>
      <c r="M2496" t="s">
        <v>44035</v>
      </c>
      <c r="N2496" t="s">
        <v>47304</v>
      </c>
      <c r="O2496" t="s">
        <v>47305</v>
      </c>
      <c r="P2496">
        <v>0</v>
      </c>
      <c r="Q2496">
        <v>0</v>
      </c>
      <c r="R2496" t="s">
        <v>47307</v>
      </c>
      <c r="S2496" t="s">
        <v>47416</v>
      </c>
      <c r="T2496" t="s">
        <v>48971</v>
      </c>
      <c r="U2496" t="s">
        <v>51736</v>
      </c>
      <c r="W2496" t="s">
        <v>44035</v>
      </c>
      <c r="X2496" t="s">
        <v>47306</v>
      </c>
    </row>
    <row r="2497" spans="1:24">
      <c r="A2497">
        <f>HYPERLINK("https://www.philgeps.gov.ph/GEPSNONPILOT/Tender/SplashBidNoticeAbstractUI.aspx?menuIndex=3&amp;refID=7200443&amp;Result=3","7200443")</f>
        <v>0</v>
      </c>
      <c r="B2497" t="s">
        <v>1089</v>
      </c>
      <c r="C2497" t="s">
        <v>6273</v>
      </c>
      <c r="D2497" t="s">
        <v>18994</v>
      </c>
      <c r="E2497" t="s">
        <v>21383</v>
      </c>
      <c r="F2497" t="s">
        <v>32606</v>
      </c>
      <c r="G2497" t="s">
        <v>32614</v>
      </c>
      <c r="H2497" t="s">
        <v>14201</v>
      </c>
      <c r="I2497" t="s">
        <v>32629</v>
      </c>
      <c r="J2497" t="s">
        <v>33529</v>
      </c>
      <c r="K2497" t="s">
        <v>42622</v>
      </c>
      <c r="M2497" t="s">
        <v>44045</v>
      </c>
      <c r="N2497" t="s">
        <v>47304</v>
      </c>
      <c r="O2497" t="s">
        <v>47305</v>
      </c>
      <c r="P2497">
        <v>0</v>
      </c>
      <c r="Q2497">
        <v>0</v>
      </c>
      <c r="R2497" t="s">
        <v>47307</v>
      </c>
      <c r="S2497" t="s">
        <v>47416</v>
      </c>
      <c r="T2497" t="s">
        <v>48988</v>
      </c>
      <c r="U2497" t="s">
        <v>51749</v>
      </c>
      <c r="W2497" t="s">
        <v>44045</v>
      </c>
      <c r="X2497" t="s">
        <v>47306</v>
      </c>
    </row>
    <row r="2498" spans="1:24">
      <c r="A2498">
        <f>HYPERLINK("https://www.philgeps.gov.ph/GEPSNONPILOT/Tender/SplashBidNoticeAbstractUI.aspx?menuIndex=3&amp;refID=7200442&amp;Result=3","7200442")</f>
        <v>0</v>
      </c>
      <c r="B2498" t="s">
        <v>1090</v>
      </c>
      <c r="C2498" t="s">
        <v>6274</v>
      </c>
      <c r="D2498" t="s">
        <v>19005</v>
      </c>
      <c r="E2498" t="s">
        <v>19863</v>
      </c>
      <c r="F2498" t="s">
        <v>32606</v>
      </c>
      <c r="G2498" t="s">
        <v>32619</v>
      </c>
      <c r="H2498" t="s">
        <v>14201</v>
      </c>
      <c r="I2498" t="s">
        <v>32658</v>
      </c>
      <c r="J2498" t="s">
        <v>32789</v>
      </c>
      <c r="K2498" t="s">
        <v>42630</v>
      </c>
      <c r="M2498" t="s">
        <v>44046</v>
      </c>
      <c r="N2498" t="s">
        <v>47304</v>
      </c>
      <c r="O2498" t="s">
        <v>47305</v>
      </c>
      <c r="P2498">
        <v>0</v>
      </c>
      <c r="Q2498">
        <v>0</v>
      </c>
      <c r="R2498" t="s">
        <v>47307</v>
      </c>
      <c r="S2498" t="s">
        <v>47416</v>
      </c>
      <c r="T2498" t="s">
        <v>48972</v>
      </c>
      <c r="U2498" t="s">
        <v>51750</v>
      </c>
      <c r="W2498" t="s">
        <v>44046</v>
      </c>
      <c r="X2498" t="s">
        <v>47306</v>
      </c>
    </row>
    <row r="2499" spans="1:24">
      <c r="A2499">
        <f>HYPERLINK("https://www.philgeps.gov.ph/GEPSNONPILOT/Tender/SplashBidNoticeAbstractUI.aspx?menuIndex=3&amp;refID=7200404&amp;Result=3","7200404")</f>
        <v>0</v>
      </c>
      <c r="B2499" t="s">
        <v>1091</v>
      </c>
      <c r="C2499" t="s">
        <v>6275</v>
      </c>
      <c r="D2499" t="s">
        <v>19008</v>
      </c>
      <c r="E2499" t="s">
        <v>21384</v>
      </c>
      <c r="F2499" t="s">
        <v>32606</v>
      </c>
      <c r="G2499" t="s">
        <v>32615</v>
      </c>
      <c r="H2499" t="s">
        <v>14201</v>
      </c>
      <c r="I2499" t="s">
        <v>32640</v>
      </c>
      <c r="J2499" t="s">
        <v>34528</v>
      </c>
      <c r="K2499" t="s">
        <v>42631</v>
      </c>
      <c r="M2499" t="s">
        <v>44047</v>
      </c>
      <c r="N2499" t="s">
        <v>47304</v>
      </c>
      <c r="O2499" t="s">
        <v>47305</v>
      </c>
      <c r="P2499">
        <v>0</v>
      </c>
      <c r="Q2499">
        <v>0</v>
      </c>
      <c r="R2499" t="s">
        <v>47307</v>
      </c>
      <c r="S2499" t="s">
        <v>47416</v>
      </c>
      <c r="T2499" t="s">
        <v>48983</v>
      </c>
      <c r="U2499" t="s">
        <v>50184</v>
      </c>
      <c r="W2499" t="s">
        <v>44047</v>
      </c>
      <c r="X2499" t="s">
        <v>47306</v>
      </c>
    </row>
    <row r="2500" spans="1:24">
      <c r="A2500">
        <f>HYPERLINK("https://www.philgeps.gov.ph/GEPSNONPILOT/Tender/SplashBidNoticeAbstractUI.aspx?menuIndex=3&amp;refID=7200440&amp;Result=3","7200440")</f>
        <v>0</v>
      </c>
      <c r="B2500" t="s">
        <v>1092</v>
      </c>
      <c r="C2500" t="s">
        <v>6276</v>
      </c>
      <c r="D2500" t="s">
        <v>18993</v>
      </c>
      <c r="E2500" t="s">
        <v>21385</v>
      </c>
      <c r="F2500" t="s">
        <v>32606</v>
      </c>
      <c r="G2500" t="s">
        <v>32614</v>
      </c>
      <c r="H2500" t="s">
        <v>14201</v>
      </c>
      <c r="I2500" t="s">
        <v>7577</v>
      </c>
      <c r="J2500" t="s">
        <v>34529</v>
      </c>
      <c r="K2500" t="s">
        <v>42624</v>
      </c>
      <c r="M2500" t="s">
        <v>44048</v>
      </c>
      <c r="N2500" t="s">
        <v>47304</v>
      </c>
      <c r="O2500" t="s">
        <v>47305</v>
      </c>
      <c r="P2500">
        <v>0</v>
      </c>
      <c r="Q2500">
        <v>0</v>
      </c>
      <c r="R2500" t="s">
        <v>47307</v>
      </c>
      <c r="S2500" t="s">
        <v>47416</v>
      </c>
      <c r="T2500" t="s">
        <v>49175</v>
      </c>
      <c r="U2500" t="s">
        <v>51751</v>
      </c>
      <c r="W2500" t="s">
        <v>44048</v>
      </c>
      <c r="X2500" t="s">
        <v>47306</v>
      </c>
    </row>
    <row r="2501" spans="1:24">
      <c r="A2501">
        <f>HYPERLINK("https://www.philgeps.gov.ph/GEPSNONPILOT/Tender/SplashBidNoticeAbstractUI.aspx?menuIndex=3&amp;refID=7200439&amp;Result=3","7200439")</f>
        <v>0</v>
      </c>
      <c r="B2501" t="s">
        <v>1093</v>
      </c>
      <c r="C2501" t="s">
        <v>6277</v>
      </c>
      <c r="D2501" t="s">
        <v>19037</v>
      </c>
      <c r="E2501" t="s">
        <v>21386</v>
      </c>
      <c r="F2501" t="s">
        <v>32606</v>
      </c>
      <c r="G2501" t="s">
        <v>32619</v>
      </c>
      <c r="H2501" t="s">
        <v>14201</v>
      </c>
      <c r="I2501" t="s">
        <v>6931</v>
      </c>
      <c r="J2501" t="s">
        <v>34530</v>
      </c>
      <c r="K2501" t="s">
        <v>42622</v>
      </c>
      <c r="M2501" t="s">
        <v>44049</v>
      </c>
      <c r="N2501" t="s">
        <v>47304</v>
      </c>
      <c r="O2501" t="s">
        <v>47305</v>
      </c>
      <c r="P2501">
        <v>0</v>
      </c>
      <c r="Q2501">
        <v>0</v>
      </c>
      <c r="R2501" t="s">
        <v>47307</v>
      </c>
      <c r="S2501" t="s">
        <v>47416</v>
      </c>
      <c r="T2501" t="s">
        <v>48979</v>
      </c>
      <c r="U2501" t="s">
        <v>51752</v>
      </c>
      <c r="W2501" t="s">
        <v>44049</v>
      </c>
      <c r="X2501" t="s">
        <v>47306</v>
      </c>
    </row>
    <row r="2502" spans="1:24">
      <c r="A2502">
        <f>HYPERLINK("https://www.philgeps.gov.ph/GEPSNONPILOT/Tender/SplashBidNoticeAbstractUI.aspx?menuIndex=3&amp;refID=7200437&amp;Result=3","7200437")</f>
        <v>0</v>
      </c>
      <c r="B2502" t="s">
        <v>1094</v>
      </c>
      <c r="C2502" t="s">
        <v>6278</v>
      </c>
      <c r="D2502" t="s">
        <v>18988</v>
      </c>
      <c r="E2502" t="s">
        <v>21387</v>
      </c>
      <c r="F2502" t="s">
        <v>32606</v>
      </c>
      <c r="G2502" t="s">
        <v>32613</v>
      </c>
      <c r="H2502" t="s">
        <v>14201</v>
      </c>
      <c r="I2502" t="s">
        <v>6931</v>
      </c>
      <c r="J2502" t="s">
        <v>34531</v>
      </c>
      <c r="K2502" t="s">
        <v>42639</v>
      </c>
      <c r="M2502" t="s">
        <v>44050</v>
      </c>
      <c r="N2502" t="s">
        <v>47304</v>
      </c>
      <c r="O2502" t="s">
        <v>47305</v>
      </c>
      <c r="P2502">
        <v>0</v>
      </c>
      <c r="Q2502">
        <v>0</v>
      </c>
      <c r="R2502" t="s">
        <v>47307</v>
      </c>
      <c r="S2502" t="s">
        <v>47416</v>
      </c>
      <c r="T2502" t="s">
        <v>49037</v>
      </c>
      <c r="U2502" t="s">
        <v>51753</v>
      </c>
      <c r="W2502" t="s">
        <v>44050</v>
      </c>
      <c r="X2502" t="s">
        <v>47306</v>
      </c>
    </row>
    <row r="2503" spans="1:24">
      <c r="A2503">
        <f>HYPERLINK("https://www.philgeps.gov.ph/GEPSNONPILOT/Tender/SplashBidNoticeAbstractUI.aspx?menuIndex=3&amp;refID=7200401&amp;Result=3","7200401")</f>
        <v>0</v>
      </c>
      <c r="B2503" t="s">
        <v>1095</v>
      </c>
      <c r="C2503" t="s">
        <v>6279</v>
      </c>
      <c r="D2503" t="s">
        <v>18993</v>
      </c>
      <c r="E2503" t="s">
        <v>21388</v>
      </c>
      <c r="F2503" t="s">
        <v>32606</v>
      </c>
      <c r="G2503" t="s">
        <v>32619</v>
      </c>
      <c r="H2503" t="s">
        <v>14201</v>
      </c>
      <c r="I2503" t="s">
        <v>6298</v>
      </c>
      <c r="J2503" t="s">
        <v>32789</v>
      </c>
      <c r="K2503" t="s">
        <v>42632</v>
      </c>
      <c r="M2503" t="s">
        <v>44051</v>
      </c>
      <c r="N2503" t="s">
        <v>47304</v>
      </c>
      <c r="O2503" t="s">
        <v>47305</v>
      </c>
      <c r="P2503">
        <v>0</v>
      </c>
      <c r="Q2503">
        <v>0</v>
      </c>
      <c r="R2503" t="s">
        <v>47307</v>
      </c>
      <c r="S2503" t="s">
        <v>47416</v>
      </c>
      <c r="T2503" t="s">
        <v>49010</v>
      </c>
      <c r="U2503" t="s">
        <v>51754</v>
      </c>
      <c r="W2503" t="s">
        <v>44051</v>
      </c>
      <c r="X2503" t="s">
        <v>47306</v>
      </c>
    </row>
    <row r="2504" spans="1:24">
      <c r="A2504">
        <f>HYPERLINK("https://www.philgeps.gov.ph/GEPSNONPILOT/Tender/SplashBidNoticeAbstractUI.aspx?menuIndex=3&amp;refID=7200434&amp;Result=3","7200434")</f>
        <v>0</v>
      </c>
      <c r="B2504" t="s">
        <v>1096</v>
      </c>
      <c r="C2504" t="s">
        <v>6280</v>
      </c>
      <c r="D2504" t="s">
        <v>19011</v>
      </c>
      <c r="E2504" t="s">
        <v>21389</v>
      </c>
      <c r="F2504" t="s">
        <v>32607</v>
      </c>
      <c r="G2504" t="s">
        <v>32619</v>
      </c>
      <c r="H2504" t="s">
        <v>32624</v>
      </c>
      <c r="I2504" t="s">
        <v>32640</v>
      </c>
      <c r="J2504" t="s">
        <v>34532</v>
      </c>
      <c r="K2504" t="s">
        <v>42639</v>
      </c>
      <c r="M2504" t="s">
        <v>44052</v>
      </c>
      <c r="N2504" t="s">
        <v>47304</v>
      </c>
      <c r="O2504" t="s">
        <v>47305</v>
      </c>
      <c r="P2504">
        <v>0</v>
      </c>
      <c r="Q2504">
        <v>0</v>
      </c>
      <c r="R2504" t="s">
        <v>47307</v>
      </c>
      <c r="S2504" t="s">
        <v>47416</v>
      </c>
      <c r="T2504" t="s">
        <v>49162</v>
      </c>
      <c r="U2504" t="s">
        <v>51755</v>
      </c>
      <c r="V2504" t="s">
        <v>62918</v>
      </c>
      <c r="W2504" t="s">
        <v>44052</v>
      </c>
      <c r="X2504" t="s">
        <v>47306</v>
      </c>
    </row>
    <row r="2505" spans="1:24">
      <c r="A2505">
        <f>HYPERLINK("https://www.philgeps.gov.ph/GEPSNONPILOT/Tender/SplashBidNoticeAbstractUI.aspx?menuIndex=3&amp;refID=7200446&amp;Result=3","7200446")</f>
        <v>0</v>
      </c>
      <c r="B2505" t="s">
        <v>1097</v>
      </c>
      <c r="C2505" t="s">
        <v>6281</v>
      </c>
      <c r="D2505" t="s">
        <v>18995</v>
      </c>
      <c r="E2505" t="s">
        <v>21390</v>
      </c>
      <c r="F2505" t="s">
        <v>32606</v>
      </c>
      <c r="G2505" t="s">
        <v>32613</v>
      </c>
      <c r="H2505" t="s">
        <v>32623</v>
      </c>
      <c r="I2505" t="s">
        <v>17648</v>
      </c>
      <c r="J2505" t="s">
        <v>32778</v>
      </c>
      <c r="K2505" t="s">
        <v>42627</v>
      </c>
      <c r="M2505" t="s">
        <v>44053</v>
      </c>
      <c r="N2505" t="s">
        <v>47304</v>
      </c>
      <c r="O2505" t="s">
        <v>47305</v>
      </c>
      <c r="P2505">
        <v>0</v>
      </c>
      <c r="Q2505">
        <v>0</v>
      </c>
      <c r="R2505" t="s">
        <v>47307</v>
      </c>
      <c r="S2505" t="s">
        <v>47416</v>
      </c>
      <c r="T2505" t="s">
        <v>49028</v>
      </c>
      <c r="U2505" t="s">
        <v>51756</v>
      </c>
      <c r="W2505" t="s">
        <v>44053</v>
      </c>
      <c r="X2505" t="s">
        <v>47306</v>
      </c>
    </row>
    <row r="2506" spans="1:24">
      <c r="A2506">
        <f>HYPERLINK("https://www.philgeps.gov.ph/GEPSNONPILOT/Tender/SplashBidNoticeAbstractUI.aspx?menuIndex=3&amp;refID=7200431&amp;Result=3","7200431")</f>
        <v>0</v>
      </c>
      <c r="B2506" t="s">
        <v>1098</v>
      </c>
      <c r="C2506" t="s">
        <v>6282</v>
      </c>
      <c r="D2506" t="s">
        <v>18993</v>
      </c>
      <c r="E2506" t="s">
        <v>21391</v>
      </c>
      <c r="F2506" t="s">
        <v>32606</v>
      </c>
      <c r="G2506" t="s">
        <v>32614</v>
      </c>
      <c r="H2506" t="s">
        <v>14201</v>
      </c>
      <c r="I2506" t="s">
        <v>32633</v>
      </c>
      <c r="J2506" t="s">
        <v>33001</v>
      </c>
      <c r="K2506" t="s">
        <v>42623</v>
      </c>
      <c r="M2506" t="s">
        <v>44054</v>
      </c>
      <c r="N2506" t="s">
        <v>47304</v>
      </c>
      <c r="O2506" t="s">
        <v>47305</v>
      </c>
      <c r="P2506">
        <v>0</v>
      </c>
      <c r="Q2506">
        <v>0</v>
      </c>
      <c r="R2506" t="s">
        <v>47307</v>
      </c>
      <c r="S2506" t="s">
        <v>47416</v>
      </c>
      <c r="T2506" t="s">
        <v>48988</v>
      </c>
      <c r="U2506" t="s">
        <v>51757</v>
      </c>
      <c r="W2506" t="s">
        <v>44054</v>
      </c>
      <c r="X2506" t="s">
        <v>47306</v>
      </c>
    </row>
    <row r="2507" spans="1:24">
      <c r="A2507">
        <f>HYPERLINK("https://www.philgeps.gov.ph/GEPSNONPILOT/Tender/SplashBidNoticeAbstractUI.aspx?menuIndex=3&amp;refID=7200429&amp;Result=3","7200429")</f>
        <v>0</v>
      </c>
      <c r="B2507" t="s">
        <v>1099</v>
      </c>
      <c r="C2507" t="s">
        <v>6283</v>
      </c>
      <c r="D2507" t="s">
        <v>19001</v>
      </c>
      <c r="E2507" t="s">
        <v>21392</v>
      </c>
      <c r="F2507" t="s">
        <v>32606</v>
      </c>
      <c r="G2507" t="s">
        <v>32613</v>
      </c>
      <c r="H2507" t="s">
        <v>14201</v>
      </c>
      <c r="I2507" t="s">
        <v>32679</v>
      </c>
      <c r="J2507" t="s">
        <v>33071</v>
      </c>
      <c r="K2507" t="s">
        <v>42646</v>
      </c>
      <c r="M2507" t="s">
        <v>44055</v>
      </c>
      <c r="N2507" t="s">
        <v>47304</v>
      </c>
      <c r="O2507" t="s">
        <v>47305</v>
      </c>
      <c r="P2507">
        <v>0</v>
      </c>
      <c r="Q2507">
        <v>0</v>
      </c>
      <c r="R2507" t="s">
        <v>47307</v>
      </c>
      <c r="S2507" t="s">
        <v>47416</v>
      </c>
      <c r="T2507" t="s">
        <v>49222</v>
      </c>
      <c r="U2507" t="s">
        <v>51758</v>
      </c>
      <c r="W2507" t="s">
        <v>44055</v>
      </c>
      <c r="X2507" t="s">
        <v>47306</v>
      </c>
    </row>
    <row r="2508" spans="1:24">
      <c r="A2508">
        <f>HYPERLINK("https://www.philgeps.gov.ph/GEPSNONPILOT/Tender/SplashBidNoticeAbstractUI.aspx?menuIndex=3&amp;refID=7200386&amp;Result=3","7200386")</f>
        <v>0</v>
      </c>
      <c r="B2508" t="s">
        <v>1061</v>
      </c>
      <c r="C2508" t="s">
        <v>6284</v>
      </c>
      <c r="D2508" t="s">
        <v>19000</v>
      </c>
      <c r="E2508" t="s">
        <v>21393</v>
      </c>
      <c r="F2508" t="s">
        <v>32606</v>
      </c>
      <c r="G2508" t="s">
        <v>32613</v>
      </c>
      <c r="H2508" t="s">
        <v>14201</v>
      </c>
      <c r="I2508" t="s">
        <v>4369</v>
      </c>
      <c r="J2508" t="s">
        <v>34533</v>
      </c>
      <c r="K2508" t="s">
        <v>42631</v>
      </c>
      <c r="M2508" t="s">
        <v>44014</v>
      </c>
      <c r="N2508" t="s">
        <v>47304</v>
      </c>
      <c r="O2508" t="s">
        <v>47305</v>
      </c>
      <c r="P2508">
        <v>0</v>
      </c>
      <c r="Q2508">
        <v>0</v>
      </c>
      <c r="R2508" t="s">
        <v>47307</v>
      </c>
      <c r="S2508" t="s">
        <v>47416</v>
      </c>
      <c r="T2508" t="s">
        <v>49008</v>
      </c>
      <c r="U2508" t="s">
        <v>51759</v>
      </c>
      <c r="W2508" t="s">
        <v>44014</v>
      </c>
      <c r="X2508" t="s">
        <v>47306</v>
      </c>
    </row>
    <row r="2509" spans="1:24">
      <c r="A2509">
        <f>HYPERLINK("https://www.philgeps.gov.ph/GEPSNONPILOT/Tender/SplashBidNoticeAbstractUI.aspx?menuIndex=3&amp;refID=7200426&amp;Result=3","7200426")</f>
        <v>0</v>
      </c>
      <c r="B2509" t="s">
        <v>1100</v>
      </c>
      <c r="C2509" t="s">
        <v>6285</v>
      </c>
      <c r="D2509" t="s">
        <v>18993</v>
      </c>
      <c r="E2509" t="s">
        <v>21394</v>
      </c>
      <c r="F2509" t="s">
        <v>32606</v>
      </c>
      <c r="G2509" t="s">
        <v>32619</v>
      </c>
      <c r="H2509" t="s">
        <v>14201</v>
      </c>
      <c r="I2509" t="s">
        <v>6298</v>
      </c>
      <c r="J2509" t="s">
        <v>32813</v>
      </c>
      <c r="K2509" t="s">
        <v>42624</v>
      </c>
      <c r="M2509" t="s">
        <v>44056</v>
      </c>
      <c r="N2509" t="s">
        <v>47304</v>
      </c>
      <c r="O2509" t="s">
        <v>47305</v>
      </c>
      <c r="P2509">
        <v>0</v>
      </c>
      <c r="Q2509">
        <v>0</v>
      </c>
      <c r="R2509" t="s">
        <v>47307</v>
      </c>
      <c r="S2509" t="s">
        <v>47416</v>
      </c>
      <c r="T2509" t="s">
        <v>49072</v>
      </c>
      <c r="U2509" t="s">
        <v>51760</v>
      </c>
      <c r="W2509" t="s">
        <v>44056</v>
      </c>
      <c r="X2509" t="s">
        <v>47306</v>
      </c>
    </row>
    <row r="2510" spans="1:24">
      <c r="A2510">
        <f>HYPERLINK("https://www.philgeps.gov.ph/GEPSNONPILOT/Tender/SplashBidNoticeAbstractUI.aspx?menuIndex=3&amp;refID=7200436&amp;Result=3","7200436")</f>
        <v>0</v>
      </c>
      <c r="B2510" t="s">
        <v>575</v>
      </c>
      <c r="C2510" t="s">
        <v>6286</v>
      </c>
      <c r="D2510" t="s">
        <v>19036</v>
      </c>
      <c r="E2510" t="s">
        <v>21395</v>
      </c>
      <c r="F2510" t="s">
        <v>32606</v>
      </c>
      <c r="G2510" t="s">
        <v>32613</v>
      </c>
      <c r="H2510" t="s">
        <v>14201</v>
      </c>
      <c r="I2510" t="s">
        <v>7064</v>
      </c>
      <c r="J2510" t="s">
        <v>32860</v>
      </c>
      <c r="K2510" t="s">
        <v>42622</v>
      </c>
      <c r="M2510" t="s">
        <v>44035</v>
      </c>
      <c r="N2510" t="s">
        <v>47304</v>
      </c>
      <c r="O2510" t="s">
        <v>47305</v>
      </c>
      <c r="P2510">
        <v>0</v>
      </c>
      <c r="Q2510">
        <v>2</v>
      </c>
      <c r="R2510" t="s">
        <v>47307</v>
      </c>
      <c r="S2510" t="s">
        <v>47416</v>
      </c>
      <c r="T2510" t="s">
        <v>49033</v>
      </c>
      <c r="U2510" t="s">
        <v>51761</v>
      </c>
      <c r="W2510" t="s">
        <v>44035</v>
      </c>
      <c r="X2510" t="s">
        <v>47306</v>
      </c>
    </row>
    <row r="2511" spans="1:24">
      <c r="A2511">
        <f>HYPERLINK("https://www.philgeps.gov.ph/GEPSNONPILOT/Tender/SplashBidNoticeAbstractUI.aspx?menuIndex=3&amp;refID=7200424&amp;Result=3","7200424")</f>
        <v>0</v>
      </c>
      <c r="B2511" t="s">
        <v>1058</v>
      </c>
      <c r="C2511" t="s">
        <v>6287</v>
      </c>
      <c r="D2511" t="s">
        <v>19039</v>
      </c>
      <c r="E2511" t="s">
        <v>21396</v>
      </c>
      <c r="F2511" t="s">
        <v>32606</v>
      </c>
      <c r="G2511" t="s">
        <v>32613</v>
      </c>
      <c r="H2511" t="s">
        <v>14201</v>
      </c>
      <c r="I2511" t="s">
        <v>32629</v>
      </c>
      <c r="J2511" t="s">
        <v>34534</v>
      </c>
      <c r="K2511" t="s">
        <v>42623</v>
      </c>
      <c r="M2511" t="s">
        <v>44011</v>
      </c>
      <c r="N2511" t="s">
        <v>47304</v>
      </c>
      <c r="O2511" t="s">
        <v>47305</v>
      </c>
      <c r="P2511">
        <v>0</v>
      </c>
      <c r="Q2511">
        <v>0</v>
      </c>
      <c r="R2511" t="s">
        <v>47307</v>
      </c>
      <c r="S2511" t="s">
        <v>47416</v>
      </c>
      <c r="T2511" t="s">
        <v>48983</v>
      </c>
      <c r="U2511" t="s">
        <v>51723</v>
      </c>
      <c r="W2511" t="s">
        <v>44011</v>
      </c>
      <c r="X2511" t="s">
        <v>47306</v>
      </c>
    </row>
    <row r="2512" spans="1:24">
      <c r="A2512">
        <f>HYPERLINK("https://www.philgeps.gov.ph/GEPSNONPILOT/Tender/SplashBidNoticeAbstractUI.aspx?menuIndex=3&amp;refID=7200423&amp;Result=3","7200423")</f>
        <v>0</v>
      </c>
      <c r="B2512" t="s">
        <v>1089</v>
      </c>
      <c r="C2512" t="s">
        <v>6288</v>
      </c>
      <c r="D2512" t="s">
        <v>18994</v>
      </c>
      <c r="E2512" t="s">
        <v>21383</v>
      </c>
      <c r="F2512" t="s">
        <v>32606</v>
      </c>
      <c r="G2512" t="s">
        <v>32619</v>
      </c>
      <c r="H2512" t="s">
        <v>14201</v>
      </c>
      <c r="I2512" t="s">
        <v>6014</v>
      </c>
      <c r="J2512" t="s">
        <v>34535</v>
      </c>
      <c r="K2512" t="s">
        <v>42622</v>
      </c>
      <c r="M2512" t="s">
        <v>44045</v>
      </c>
      <c r="N2512" t="s">
        <v>47304</v>
      </c>
      <c r="O2512" t="s">
        <v>47305</v>
      </c>
      <c r="P2512">
        <v>0</v>
      </c>
      <c r="Q2512">
        <v>0</v>
      </c>
      <c r="R2512" t="s">
        <v>47307</v>
      </c>
      <c r="S2512" t="s">
        <v>47416</v>
      </c>
      <c r="T2512" t="s">
        <v>49014</v>
      </c>
      <c r="U2512" t="s">
        <v>51762</v>
      </c>
      <c r="W2512" t="s">
        <v>44045</v>
      </c>
      <c r="X2512" t="s">
        <v>47306</v>
      </c>
    </row>
    <row r="2513" spans="1:24">
      <c r="A2513">
        <f>HYPERLINK("https://www.philgeps.gov.ph/GEPSNONPILOT/Tender/SplashBidNoticeAbstractUI.aspx?menuIndex=3&amp;refID=7200421&amp;Result=3","7200421")</f>
        <v>0</v>
      </c>
      <c r="B2513" t="s">
        <v>1101</v>
      </c>
      <c r="C2513" t="s">
        <v>6289</v>
      </c>
      <c r="D2513" t="s">
        <v>18988</v>
      </c>
      <c r="E2513" t="s">
        <v>21397</v>
      </c>
      <c r="F2513" t="s">
        <v>32606</v>
      </c>
      <c r="G2513" t="s">
        <v>32613</v>
      </c>
      <c r="H2513" t="s">
        <v>14201</v>
      </c>
      <c r="I2513" t="s">
        <v>32635</v>
      </c>
      <c r="J2513" t="s">
        <v>34536</v>
      </c>
      <c r="K2513" t="s">
        <v>42631</v>
      </c>
      <c r="M2513" t="s">
        <v>44057</v>
      </c>
      <c r="N2513" t="s">
        <v>47304</v>
      </c>
      <c r="O2513" t="s">
        <v>47305</v>
      </c>
      <c r="P2513">
        <v>0</v>
      </c>
      <c r="Q2513">
        <v>0</v>
      </c>
      <c r="R2513" t="s">
        <v>47307</v>
      </c>
      <c r="S2513" t="s">
        <v>47416</v>
      </c>
      <c r="T2513" t="s">
        <v>49059</v>
      </c>
      <c r="U2513" t="s">
        <v>51763</v>
      </c>
      <c r="W2513" t="s">
        <v>44057</v>
      </c>
      <c r="X2513" t="s">
        <v>47306</v>
      </c>
    </row>
    <row r="2514" spans="1:24">
      <c r="A2514">
        <f>HYPERLINK("https://www.philgeps.gov.ph/GEPSNONPILOT/Tender/SplashBidNoticeAbstractUI.aspx?menuIndex=3&amp;refID=7200432&amp;Result=3","7200432")</f>
        <v>0</v>
      </c>
      <c r="B2514" t="s">
        <v>938</v>
      </c>
      <c r="C2514" t="s">
        <v>6290</v>
      </c>
      <c r="E2514" t="s">
        <v>21398</v>
      </c>
      <c r="F2514" t="s">
        <v>32606</v>
      </c>
      <c r="G2514" t="s">
        <v>32619</v>
      </c>
      <c r="H2514" t="s">
        <v>14201</v>
      </c>
      <c r="I2514" t="s">
        <v>6993</v>
      </c>
      <c r="J2514" t="s">
        <v>34070</v>
      </c>
      <c r="K2514" t="s">
        <v>42624</v>
      </c>
      <c r="M2514" t="s">
        <v>44044</v>
      </c>
      <c r="N2514" t="s">
        <v>47304</v>
      </c>
      <c r="O2514" t="s">
        <v>47305</v>
      </c>
      <c r="P2514">
        <v>0</v>
      </c>
      <c r="Q2514">
        <v>0</v>
      </c>
      <c r="R2514" t="s">
        <v>47307</v>
      </c>
      <c r="S2514" t="s">
        <v>47416</v>
      </c>
      <c r="T2514" t="s">
        <v>49150</v>
      </c>
      <c r="U2514" t="s">
        <v>51764</v>
      </c>
      <c r="V2514" t="s">
        <v>62919</v>
      </c>
      <c r="W2514" t="s">
        <v>44044</v>
      </c>
      <c r="X2514" t="s">
        <v>47306</v>
      </c>
    </row>
    <row r="2515" spans="1:24">
      <c r="A2515">
        <f>HYPERLINK("https://www.philgeps.gov.ph/GEPSNONPILOT/Tender/SplashBidNoticeAbstractUI.aspx?menuIndex=3&amp;refID=7200397&amp;Result=3","7200397")</f>
        <v>0</v>
      </c>
      <c r="B2515" t="s">
        <v>572</v>
      </c>
      <c r="C2515" t="s">
        <v>6291</v>
      </c>
      <c r="D2515" t="s">
        <v>18993</v>
      </c>
      <c r="E2515" t="s">
        <v>21399</v>
      </c>
      <c r="F2515" t="s">
        <v>32606</v>
      </c>
      <c r="G2515" t="s">
        <v>32614</v>
      </c>
      <c r="H2515" t="s">
        <v>14201</v>
      </c>
      <c r="I2515" t="s">
        <v>32673</v>
      </c>
      <c r="J2515" t="s">
        <v>34207</v>
      </c>
      <c r="K2515" t="s">
        <v>42631</v>
      </c>
      <c r="M2515" t="s">
        <v>44058</v>
      </c>
      <c r="N2515" t="s">
        <v>47304</v>
      </c>
      <c r="O2515" t="s">
        <v>47305</v>
      </c>
      <c r="P2515">
        <v>0</v>
      </c>
      <c r="Q2515">
        <v>0</v>
      </c>
      <c r="R2515" t="s">
        <v>47307</v>
      </c>
      <c r="S2515" t="s">
        <v>47416</v>
      </c>
      <c r="T2515" t="s">
        <v>49076</v>
      </c>
      <c r="U2515" t="s">
        <v>51765</v>
      </c>
      <c r="W2515" t="s">
        <v>44058</v>
      </c>
      <c r="X2515" t="s">
        <v>47306</v>
      </c>
    </row>
    <row r="2516" spans="1:24">
      <c r="A2516">
        <f>HYPERLINK("https://www.philgeps.gov.ph/GEPSNONPILOT/Tender/SplashBidNoticeAbstractUI.aspx?menuIndex=3&amp;refID=7200396&amp;Result=3","7200396")</f>
        <v>0</v>
      </c>
      <c r="B2516" t="s">
        <v>718</v>
      </c>
      <c r="C2516" t="s">
        <v>6292</v>
      </c>
      <c r="D2516" t="s">
        <v>19005</v>
      </c>
      <c r="E2516" t="s">
        <v>21400</v>
      </c>
      <c r="F2516" t="s">
        <v>32606</v>
      </c>
      <c r="G2516" t="s">
        <v>32614</v>
      </c>
      <c r="H2516" t="s">
        <v>14201</v>
      </c>
      <c r="I2516" t="s">
        <v>32692</v>
      </c>
      <c r="J2516" t="s">
        <v>34537</v>
      </c>
      <c r="K2516" t="s">
        <v>42623</v>
      </c>
      <c r="M2516" t="s">
        <v>44059</v>
      </c>
      <c r="N2516" t="s">
        <v>47304</v>
      </c>
      <c r="O2516" t="s">
        <v>47305</v>
      </c>
      <c r="P2516">
        <v>0</v>
      </c>
      <c r="Q2516">
        <v>0</v>
      </c>
      <c r="R2516" t="s">
        <v>47307</v>
      </c>
      <c r="S2516" t="s">
        <v>47416</v>
      </c>
      <c r="T2516" t="s">
        <v>49162</v>
      </c>
      <c r="U2516" t="s">
        <v>51766</v>
      </c>
      <c r="W2516" t="s">
        <v>44059</v>
      </c>
      <c r="X2516" t="s">
        <v>47306</v>
      </c>
    </row>
    <row r="2517" spans="1:24">
      <c r="A2517">
        <f>HYPERLINK("https://www.philgeps.gov.ph/GEPSNONPILOT/Tender/SplashBidNoticeAbstractUI.aspx?menuIndex=3&amp;refID=7200447&amp;Result=3","7200447")</f>
        <v>0</v>
      </c>
      <c r="B2517" t="s">
        <v>1102</v>
      </c>
      <c r="C2517" t="s">
        <v>6293</v>
      </c>
      <c r="D2517" t="s">
        <v>18992</v>
      </c>
      <c r="E2517" t="s">
        <v>19188</v>
      </c>
      <c r="F2517" t="s">
        <v>32606</v>
      </c>
      <c r="G2517" t="s">
        <v>32613</v>
      </c>
      <c r="H2517" t="s">
        <v>14201</v>
      </c>
      <c r="I2517" t="s">
        <v>32649</v>
      </c>
      <c r="J2517" t="s">
        <v>33564</v>
      </c>
      <c r="K2517" t="s">
        <v>42631</v>
      </c>
      <c r="M2517" t="s">
        <v>44060</v>
      </c>
      <c r="N2517" t="s">
        <v>47304</v>
      </c>
      <c r="O2517" t="s">
        <v>47305</v>
      </c>
      <c r="P2517">
        <v>0</v>
      </c>
      <c r="Q2517">
        <v>0</v>
      </c>
      <c r="R2517" t="s">
        <v>47307</v>
      </c>
      <c r="S2517" t="s">
        <v>47416</v>
      </c>
      <c r="T2517" t="s">
        <v>49066</v>
      </c>
      <c r="U2517" t="s">
        <v>51767</v>
      </c>
      <c r="W2517" t="s">
        <v>44060</v>
      </c>
      <c r="X2517" t="s">
        <v>47306</v>
      </c>
    </row>
    <row r="2518" spans="1:24">
      <c r="A2518">
        <f>HYPERLINK("https://www.philgeps.gov.ph/GEPSNONPILOT/Tender/SplashBidNoticeAbstractUI.aspx?menuIndex=3&amp;refID=7200412&amp;Result=3","7200412")</f>
        <v>0</v>
      </c>
      <c r="B2518" t="s">
        <v>1058</v>
      </c>
      <c r="C2518" t="s">
        <v>6294</v>
      </c>
      <c r="D2518" t="s">
        <v>19039</v>
      </c>
      <c r="E2518" t="s">
        <v>21401</v>
      </c>
      <c r="F2518" t="s">
        <v>32606</v>
      </c>
      <c r="G2518" t="s">
        <v>32613</v>
      </c>
      <c r="H2518" t="s">
        <v>14201</v>
      </c>
      <c r="I2518" t="s">
        <v>32629</v>
      </c>
      <c r="J2518" t="s">
        <v>34538</v>
      </c>
      <c r="K2518" t="s">
        <v>42623</v>
      </c>
      <c r="M2518" t="s">
        <v>44011</v>
      </c>
      <c r="N2518" t="s">
        <v>47304</v>
      </c>
      <c r="O2518" t="s">
        <v>47305</v>
      </c>
      <c r="P2518">
        <v>0</v>
      </c>
      <c r="Q2518">
        <v>0</v>
      </c>
      <c r="R2518" t="s">
        <v>47307</v>
      </c>
      <c r="S2518" t="s">
        <v>47416</v>
      </c>
      <c r="T2518" t="s">
        <v>48983</v>
      </c>
      <c r="U2518" t="s">
        <v>51723</v>
      </c>
      <c r="W2518" t="s">
        <v>44011</v>
      </c>
      <c r="X2518" t="s">
        <v>47306</v>
      </c>
    </row>
    <row r="2519" spans="1:24">
      <c r="A2519">
        <f>HYPERLINK("https://www.philgeps.gov.ph/GEPSNONPILOT/Tender/SplashBidNoticeAbstractUI.aspx?menuIndex=3&amp;refID=7200461&amp;Result=3","7200461")</f>
        <v>0</v>
      </c>
      <c r="B2519" t="s">
        <v>1103</v>
      </c>
      <c r="C2519" t="s">
        <v>6295</v>
      </c>
      <c r="D2519" t="s">
        <v>19015</v>
      </c>
      <c r="E2519" t="s">
        <v>21402</v>
      </c>
      <c r="F2519" t="s">
        <v>32606</v>
      </c>
      <c r="G2519" t="s">
        <v>32617</v>
      </c>
      <c r="H2519" t="s">
        <v>14201</v>
      </c>
      <c r="I2519" t="s">
        <v>4678</v>
      </c>
      <c r="J2519" t="s">
        <v>34539</v>
      </c>
      <c r="K2519" t="s">
        <v>42630</v>
      </c>
      <c r="M2519" t="s">
        <v>44061</v>
      </c>
      <c r="N2519" t="s">
        <v>47304</v>
      </c>
      <c r="O2519" t="s">
        <v>47305</v>
      </c>
      <c r="P2519">
        <v>0</v>
      </c>
      <c r="Q2519">
        <v>0</v>
      </c>
      <c r="R2519" t="s">
        <v>47307</v>
      </c>
      <c r="S2519" t="s">
        <v>47416</v>
      </c>
      <c r="T2519" t="s">
        <v>49002</v>
      </c>
      <c r="U2519" t="s">
        <v>51768</v>
      </c>
      <c r="W2519" t="s">
        <v>44061</v>
      </c>
      <c r="X2519" t="s">
        <v>47306</v>
      </c>
    </row>
    <row r="2520" spans="1:24">
      <c r="A2520">
        <f>HYPERLINK("https://www.philgeps.gov.ph/GEPSNONPILOT/Tender/SplashBidNoticeAbstractUI.aspx?menuIndex=3&amp;refID=7200460&amp;Result=3","7200460")</f>
        <v>0</v>
      </c>
      <c r="B2520" t="s">
        <v>392</v>
      </c>
      <c r="C2520" t="s">
        <v>6296</v>
      </c>
      <c r="D2520" t="s">
        <v>18993</v>
      </c>
      <c r="E2520" t="s">
        <v>21403</v>
      </c>
      <c r="F2520" t="s">
        <v>32606</v>
      </c>
      <c r="G2520" t="s">
        <v>32614</v>
      </c>
      <c r="H2520" t="s">
        <v>14201</v>
      </c>
      <c r="I2520" t="s">
        <v>32638</v>
      </c>
      <c r="J2520" t="s">
        <v>34540</v>
      </c>
      <c r="K2520" t="s">
        <v>42624</v>
      </c>
      <c r="M2520" t="s">
        <v>44062</v>
      </c>
      <c r="N2520" t="s">
        <v>47304</v>
      </c>
      <c r="O2520" t="s">
        <v>47305</v>
      </c>
      <c r="P2520">
        <v>0</v>
      </c>
      <c r="Q2520">
        <v>0</v>
      </c>
      <c r="R2520" t="s">
        <v>47307</v>
      </c>
      <c r="S2520" t="s">
        <v>47416</v>
      </c>
      <c r="T2520" t="s">
        <v>49100</v>
      </c>
      <c r="U2520" t="s">
        <v>51769</v>
      </c>
      <c r="V2520" t="s">
        <v>62920</v>
      </c>
      <c r="W2520" t="s">
        <v>44062</v>
      </c>
      <c r="X2520" t="s">
        <v>47306</v>
      </c>
    </row>
    <row r="2521" spans="1:24">
      <c r="A2521">
        <f>HYPERLINK("https://www.philgeps.gov.ph/GEPSNONPILOT/Tender/SplashBidNoticeAbstractUI.aspx?menuIndex=3&amp;refID=7200459&amp;Result=3","7200459")</f>
        <v>0</v>
      </c>
      <c r="B2521" t="s">
        <v>1104</v>
      </c>
      <c r="C2521" t="s">
        <v>6297</v>
      </c>
      <c r="D2521" t="s">
        <v>18993</v>
      </c>
      <c r="E2521" t="s">
        <v>21404</v>
      </c>
      <c r="F2521" t="s">
        <v>32606</v>
      </c>
      <c r="G2521" t="s">
        <v>32614</v>
      </c>
      <c r="H2521" t="s">
        <v>14201</v>
      </c>
      <c r="I2521" t="s">
        <v>6931</v>
      </c>
      <c r="J2521" t="s">
        <v>34541</v>
      </c>
      <c r="K2521" t="s">
        <v>42623</v>
      </c>
      <c r="M2521" t="s">
        <v>44063</v>
      </c>
      <c r="N2521" t="s">
        <v>47304</v>
      </c>
      <c r="O2521" t="s">
        <v>47305</v>
      </c>
      <c r="P2521">
        <v>0</v>
      </c>
      <c r="Q2521">
        <v>0</v>
      </c>
      <c r="R2521" t="s">
        <v>47307</v>
      </c>
      <c r="S2521" t="s">
        <v>47416</v>
      </c>
      <c r="T2521" t="s">
        <v>48977</v>
      </c>
      <c r="U2521" t="s">
        <v>51770</v>
      </c>
      <c r="V2521" t="s">
        <v>62921</v>
      </c>
      <c r="W2521" t="s">
        <v>44063</v>
      </c>
      <c r="X2521" t="s">
        <v>47306</v>
      </c>
    </row>
    <row r="2522" spans="1:24">
      <c r="A2522">
        <f>HYPERLINK("https://www.philgeps.gov.ph/GEPSNONPILOT/Tender/SplashBidNoticeAbstractUI.aspx?menuIndex=3&amp;refID=7200466&amp;Result=3","7200466")</f>
        <v>0</v>
      </c>
      <c r="B2522" t="s">
        <v>280</v>
      </c>
      <c r="C2522" t="s">
        <v>6298</v>
      </c>
      <c r="D2522" t="s">
        <v>19028</v>
      </c>
      <c r="E2522" t="s">
        <v>21405</v>
      </c>
      <c r="F2522" t="s">
        <v>32606</v>
      </c>
      <c r="G2522" t="s">
        <v>32614</v>
      </c>
      <c r="H2522" t="s">
        <v>14201</v>
      </c>
      <c r="I2522" t="s">
        <v>6298</v>
      </c>
      <c r="J2522" t="s">
        <v>34542</v>
      </c>
      <c r="K2522" t="s">
        <v>42631</v>
      </c>
      <c r="M2522" t="s">
        <v>43712</v>
      </c>
      <c r="N2522" t="s">
        <v>47304</v>
      </c>
      <c r="O2522" t="s">
        <v>47305</v>
      </c>
      <c r="P2522">
        <v>0</v>
      </c>
      <c r="Q2522">
        <v>0</v>
      </c>
      <c r="R2522" t="s">
        <v>47307</v>
      </c>
      <c r="S2522" t="s">
        <v>47416</v>
      </c>
      <c r="T2522" t="s">
        <v>48977</v>
      </c>
      <c r="U2522" t="s">
        <v>51771</v>
      </c>
      <c r="W2522" t="s">
        <v>43712</v>
      </c>
      <c r="X2522" t="s">
        <v>47306</v>
      </c>
    </row>
    <row r="2523" spans="1:24">
      <c r="A2523">
        <f>HYPERLINK("https://www.philgeps.gov.ph/GEPSNONPILOT/Tender/SplashBidNoticeAbstractUI.aspx?menuIndex=3&amp;refID=7200425&amp;Result=3","7200425")</f>
        <v>0</v>
      </c>
      <c r="B2523" t="s">
        <v>1105</v>
      </c>
      <c r="C2523" t="s">
        <v>6299</v>
      </c>
      <c r="D2523" t="s">
        <v>19035</v>
      </c>
      <c r="E2523" t="s">
        <v>21154</v>
      </c>
      <c r="F2523" t="s">
        <v>32606</v>
      </c>
      <c r="G2523" t="s">
        <v>32613</v>
      </c>
      <c r="H2523" t="s">
        <v>14201</v>
      </c>
      <c r="I2523" t="s">
        <v>6931</v>
      </c>
      <c r="J2523" t="s">
        <v>34543</v>
      </c>
      <c r="K2523" t="s">
        <v>42622</v>
      </c>
      <c r="M2523" t="s">
        <v>44064</v>
      </c>
      <c r="N2523" t="s">
        <v>47304</v>
      </c>
      <c r="O2523" t="s">
        <v>47305</v>
      </c>
      <c r="P2523">
        <v>0</v>
      </c>
      <c r="Q2523">
        <v>0</v>
      </c>
      <c r="R2523" t="s">
        <v>47307</v>
      </c>
      <c r="S2523" t="s">
        <v>47416</v>
      </c>
      <c r="T2523" t="s">
        <v>49107</v>
      </c>
      <c r="U2523" t="s">
        <v>51772</v>
      </c>
      <c r="W2523" t="s">
        <v>44064</v>
      </c>
      <c r="X2523" t="s">
        <v>47306</v>
      </c>
    </row>
    <row r="2524" spans="1:24">
      <c r="A2524">
        <f>HYPERLINK("https://www.philgeps.gov.ph/GEPSNONPILOT/Tender/SplashBidNoticeAbstractUI.aspx?menuIndex=3&amp;refID=7200465&amp;Result=3","7200465")</f>
        <v>0</v>
      </c>
      <c r="B2524" t="s">
        <v>145</v>
      </c>
      <c r="C2524" t="s">
        <v>6300</v>
      </c>
      <c r="D2524" t="s">
        <v>19033</v>
      </c>
      <c r="E2524" t="s">
        <v>19339</v>
      </c>
      <c r="F2524" t="s">
        <v>32606</v>
      </c>
      <c r="G2524" t="s">
        <v>32613</v>
      </c>
      <c r="H2524" t="s">
        <v>32623</v>
      </c>
      <c r="I2524" t="s">
        <v>32659</v>
      </c>
      <c r="J2524" t="s">
        <v>32981</v>
      </c>
      <c r="K2524" t="s">
        <v>42631</v>
      </c>
      <c r="M2524" t="s">
        <v>43046</v>
      </c>
      <c r="N2524" t="s">
        <v>47304</v>
      </c>
      <c r="O2524" t="s">
        <v>47305</v>
      </c>
      <c r="P2524">
        <v>0</v>
      </c>
      <c r="Q2524">
        <v>0</v>
      </c>
      <c r="R2524" t="s">
        <v>47307</v>
      </c>
      <c r="S2524" t="s">
        <v>47416</v>
      </c>
      <c r="T2524" t="s">
        <v>48971</v>
      </c>
      <c r="U2524" t="s">
        <v>51773</v>
      </c>
      <c r="W2524" t="s">
        <v>43046</v>
      </c>
      <c r="X2524" t="s">
        <v>47306</v>
      </c>
    </row>
    <row r="2525" spans="1:24">
      <c r="A2525">
        <f>HYPERLINK("https://www.philgeps.gov.ph/GEPSNONPILOT/Tender/SplashBidNoticeAbstractUI.aspx?menuIndex=3&amp;refID=7200464&amp;Result=3","7200464")</f>
        <v>0</v>
      </c>
      <c r="B2525" t="s">
        <v>1090</v>
      </c>
      <c r="C2525" t="s">
        <v>6301</v>
      </c>
      <c r="D2525" t="s">
        <v>19005</v>
      </c>
      <c r="E2525" t="s">
        <v>19841</v>
      </c>
      <c r="F2525" t="s">
        <v>32606</v>
      </c>
      <c r="G2525" t="s">
        <v>32613</v>
      </c>
      <c r="H2525" t="s">
        <v>14201</v>
      </c>
      <c r="I2525" t="s">
        <v>32658</v>
      </c>
      <c r="J2525" t="s">
        <v>34544</v>
      </c>
      <c r="K2525" t="s">
        <v>42622</v>
      </c>
      <c r="M2525" t="s">
        <v>44046</v>
      </c>
      <c r="N2525" t="s">
        <v>47304</v>
      </c>
      <c r="O2525" t="s">
        <v>47305</v>
      </c>
      <c r="P2525">
        <v>0</v>
      </c>
      <c r="Q2525">
        <v>1</v>
      </c>
      <c r="R2525" t="s">
        <v>47307</v>
      </c>
      <c r="S2525" t="s">
        <v>47416</v>
      </c>
      <c r="T2525" t="s">
        <v>49223</v>
      </c>
      <c r="U2525" t="s">
        <v>51774</v>
      </c>
      <c r="W2525" t="s">
        <v>44046</v>
      </c>
      <c r="X2525" t="s">
        <v>47306</v>
      </c>
    </row>
    <row r="2526" spans="1:24">
      <c r="A2526">
        <f>HYPERLINK("https://www.philgeps.gov.ph/GEPSNONPILOT/Tender/SplashBidNoticeAbstractUI.aspx?menuIndex=3&amp;refID=7200398&amp;Result=3","7200398")</f>
        <v>0</v>
      </c>
      <c r="B2526" t="s">
        <v>661</v>
      </c>
      <c r="C2526" t="s">
        <v>6302</v>
      </c>
      <c r="D2526" t="s">
        <v>19011</v>
      </c>
      <c r="E2526" t="s">
        <v>21406</v>
      </c>
      <c r="F2526" t="s">
        <v>32606</v>
      </c>
      <c r="G2526" t="s">
        <v>32614</v>
      </c>
      <c r="H2526" t="s">
        <v>14201</v>
      </c>
      <c r="I2526" t="s">
        <v>7577</v>
      </c>
      <c r="J2526" t="s">
        <v>34545</v>
      </c>
      <c r="K2526" t="s">
        <v>42630</v>
      </c>
      <c r="M2526" t="s">
        <v>43581</v>
      </c>
      <c r="N2526" t="s">
        <v>47304</v>
      </c>
      <c r="O2526" t="s">
        <v>47305</v>
      </c>
      <c r="P2526">
        <v>0</v>
      </c>
      <c r="Q2526">
        <v>0</v>
      </c>
      <c r="R2526" t="s">
        <v>47307</v>
      </c>
      <c r="S2526" t="s">
        <v>47416</v>
      </c>
      <c r="T2526" t="s">
        <v>48972</v>
      </c>
      <c r="U2526" t="s">
        <v>51775</v>
      </c>
      <c r="W2526" t="s">
        <v>43581</v>
      </c>
      <c r="X2526" t="s">
        <v>47306</v>
      </c>
    </row>
    <row r="2527" spans="1:24">
      <c r="A2527">
        <f>HYPERLINK("https://www.philgeps.gov.ph/GEPSNONPILOT/Tender/SplashBidNoticeAbstractUI.aspx?menuIndex=3&amp;refID=7200457&amp;Result=3","7200457")</f>
        <v>0</v>
      </c>
      <c r="B2527" t="s">
        <v>1106</v>
      </c>
      <c r="C2527" t="s">
        <v>6303</v>
      </c>
      <c r="D2527" t="s">
        <v>19023</v>
      </c>
      <c r="E2527" t="s">
        <v>21407</v>
      </c>
      <c r="F2527" t="s">
        <v>32606</v>
      </c>
      <c r="G2527" t="s">
        <v>32614</v>
      </c>
      <c r="H2527" t="s">
        <v>14201</v>
      </c>
      <c r="I2527" t="s">
        <v>6993</v>
      </c>
      <c r="J2527" t="s">
        <v>33195</v>
      </c>
      <c r="K2527" t="s">
        <v>42630</v>
      </c>
      <c r="M2527" t="s">
        <v>44065</v>
      </c>
      <c r="N2527" t="s">
        <v>47304</v>
      </c>
      <c r="O2527" t="s">
        <v>47305</v>
      </c>
      <c r="P2527">
        <v>0</v>
      </c>
      <c r="Q2527">
        <v>0</v>
      </c>
      <c r="R2527" t="s">
        <v>47307</v>
      </c>
      <c r="S2527" t="s">
        <v>47416</v>
      </c>
      <c r="T2527" t="s">
        <v>49002</v>
      </c>
      <c r="U2527" t="s">
        <v>51776</v>
      </c>
      <c r="W2527" t="s">
        <v>44065</v>
      </c>
      <c r="X2527" t="s">
        <v>47306</v>
      </c>
    </row>
    <row r="2528" spans="1:24">
      <c r="A2528">
        <f>HYPERLINK("https://www.philgeps.gov.ph/GEPSNONPILOT/Tender/SplashBidNoticeAbstractUI.aspx?menuIndex=3&amp;refID=7200438&amp;Result=3","7200438")</f>
        <v>0</v>
      </c>
      <c r="B2528" t="s">
        <v>1059</v>
      </c>
      <c r="C2528" t="s">
        <v>6304</v>
      </c>
      <c r="D2528" t="s">
        <v>18993</v>
      </c>
      <c r="E2528" t="s">
        <v>21408</v>
      </c>
      <c r="F2528" t="s">
        <v>32606</v>
      </c>
      <c r="G2528" t="s">
        <v>32613</v>
      </c>
      <c r="H2528" t="s">
        <v>32624</v>
      </c>
      <c r="I2528" t="s">
        <v>6298</v>
      </c>
      <c r="J2528" t="s">
        <v>34546</v>
      </c>
      <c r="K2528" t="s">
        <v>42636</v>
      </c>
      <c r="M2528" t="s">
        <v>44012</v>
      </c>
      <c r="N2528" t="s">
        <v>47304</v>
      </c>
      <c r="O2528" t="s">
        <v>47305</v>
      </c>
      <c r="P2528">
        <v>0</v>
      </c>
      <c r="Q2528">
        <v>0</v>
      </c>
      <c r="R2528" t="s">
        <v>47307</v>
      </c>
      <c r="S2528" t="s">
        <v>47416</v>
      </c>
      <c r="T2528" t="s">
        <v>49065</v>
      </c>
      <c r="U2528" t="s">
        <v>51777</v>
      </c>
      <c r="W2528" t="s">
        <v>44012</v>
      </c>
      <c r="X2528" t="s">
        <v>47306</v>
      </c>
    </row>
    <row r="2529" spans="1:24">
      <c r="A2529">
        <f>HYPERLINK("https://www.philgeps.gov.ph/GEPSNONPILOT/Tender/SplashBidNoticeAbstractUI.aspx?menuIndex=3&amp;refID=7200456&amp;Result=3","7200456")</f>
        <v>0</v>
      </c>
      <c r="B2529" t="s">
        <v>1059</v>
      </c>
      <c r="C2529" t="s">
        <v>4678</v>
      </c>
      <c r="D2529" t="s">
        <v>18993</v>
      </c>
      <c r="E2529" t="s">
        <v>21409</v>
      </c>
      <c r="F2529" t="s">
        <v>32606</v>
      </c>
      <c r="G2529" t="s">
        <v>32613</v>
      </c>
      <c r="H2529" t="s">
        <v>32624</v>
      </c>
      <c r="I2529" t="s">
        <v>7529</v>
      </c>
      <c r="J2529" t="s">
        <v>32920</v>
      </c>
      <c r="K2529" t="s">
        <v>42636</v>
      </c>
      <c r="M2529" t="s">
        <v>44012</v>
      </c>
      <c r="N2529" t="s">
        <v>47304</v>
      </c>
      <c r="O2529" t="s">
        <v>47305</v>
      </c>
      <c r="P2529">
        <v>0</v>
      </c>
      <c r="Q2529">
        <v>0</v>
      </c>
      <c r="R2529" t="s">
        <v>47307</v>
      </c>
      <c r="S2529" t="s">
        <v>47416</v>
      </c>
      <c r="T2529" t="s">
        <v>49224</v>
      </c>
      <c r="U2529" t="s">
        <v>51778</v>
      </c>
      <c r="W2529" t="s">
        <v>44012</v>
      </c>
      <c r="X2529" t="s">
        <v>47306</v>
      </c>
    </row>
    <row r="2530" spans="1:24">
      <c r="A2530">
        <f>HYPERLINK("https://www.philgeps.gov.ph/GEPSNONPILOT/Tender/SplashBidNoticeAbstractUI.aspx?menuIndex=3&amp;refID=7200458&amp;Result=3","7200458")</f>
        <v>0</v>
      </c>
      <c r="B2530" t="s">
        <v>1107</v>
      </c>
      <c r="C2530" t="s">
        <v>6305</v>
      </c>
      <c r="D2530" t="s">
        <v>19024</v>
      </c>
      <c r="E2530" t="s">
        <v>19233</v>
      </c>
      <c r="F2530" t="s">
        <v>32606</v>
      </c>
      <c r="G2530" t="s">
        <v>32613</v>
      </c>
      <c r="H2530" t="s">
        <v>32623</v>
      </c>
      <c r="I2530" t="s">
        <v>17648</v>
      </c>
      <c r="J2530" t="s">
        <v>33936</v>
      </c>
      <c r="K2530" t="s">
        <v>42639</v>
      </c>
      <c r="M2530" t="s">
        <v>44066</v>
      </c>
      <c r="N2530" t="s">
        <v>47304</v>
      </c>
      <c r="O2530" t="s">
        <v>47305</v>
      </c>
      <c r="P2530">
        <v>0</v>
      </c>
      <c r="Q2530">
        <v>0</v>
      </c>
      <c r="R2530" t="s">
        <v>47307</v>
      </c>
      <c r="S2530" t="s">
        <v>47416</v>
      </c>
      <c r="T2530" t="s">
        <v>49028</v>
      </c>
      <c r="U2530" t="s">
        <v>49594</v>
      </c>
      <c r="W2530" t="s">
        <v>44066</v>
      </c>
      <c r="X2530" t="s">
        <v>47306</v>
      </c>
    </row>
    <row r="2531" spans="1:24">
      <c r="A2531">
        <f>HYPERLINK("https://www.philgeps.gov.ph/GEPSNONPILOT/Tender/SplashBidNoticeAbstractUI.aspx?menuIndex=3&amp;refID=7200454&amp;Result=3","7200454")</f>
        <v>0</v>
      </c>
      <c r="B2531" t="s">
        <v>392</v>
      </c>
      <c r="C2531" t="s">
        <v>6306</v>
      </c>
      <c r="D2531" t="s">
        <v>18993</v>
      </c>
      <c r="E2531" t="s">
        <v>21410</v>
      </c>
      <c r="F2531" t="s">
        <v>32606</v>
      </c>
      <c r="G2531" t="s">
        <v>32614</v>
      </c>
      <c r="H2531" t="s">
        <v>14201</v>
      </c>
      <c r="I2531" t="s">
        <v>32638</v>
      </c>
      <c r="J2531" t="s">
        <v>32957</v>
      </c>
      <c r="K2531" t="s">
        <v>42624</v>
      </c>
      <c r="M2531" t="s">
        <v>44062</v>
      </c>
      <c r="N2531" t="s">
        <v>47304</v>
      </c>
      <c r="O2531" t="s">
        <v>47305</v>
      </c>
      <c r="P2531">
        <v>0</v>
      </c>
      <c r="Q2531">
        <v>0</v>
      </c>
      <c r="R2531" t="s">
        <v>47307</v>
      </c>
      <c r="S2531" t="s">
        <v>47416</v>
      </c>
      <c r="T2531" t="s">
        <v>49108</v>
      </c>
      <c r="U2531" t="s">
        <v>51779</v>
      </c>
      <c r="V2531" t="s">
        <v>62922</v>
      </c>
      <c r="W2531" t="s">
        <v>44062</v>
      </c>
      <c r="X2531" t="s">
        <v>47306</v>
      </c>
    </row>
    <row r="2532" spans="1:24">
      <c r="A2532">
        <f>HYPERLINK("https://www.philgeps.gov.ph/GEPSNONPILOT/Tender/SplashBidNoticeAbstractUI.aspx?menuIndex=3&amp;refID=7200452&amp;Result=3","7200452")</f>
        <v>0</v>
      </c>
      <c r="B2532" t="s">
        <v>1107</v>
      </c>
      <c r="C2532" t="s">
        <v>6307</v>
      </c>
      <c r="D2532" t="s">
        <v>19024</v>
      </c>
      <c r="E2532" t="s">
        <v>21411</v>
      </c>
      <c r="F2532" t="s">
        <v>32606</v>
      </c>
      <c r="G2532" t="s">
        <v>32613</v>
      </c>
      <c r="H2532" t="s">
        <v>14201</v>
      </c>
      <c r="I2532" t="s">
        <v>4114</v>
      </c>
      <c r="J2532" t="s">
        <v>32770</v>
      </c>
      <c r="K2532" t="s">
        <v>42631</v>
      </c>
      <c r="M2532" t="s">
        <v>44066</v>
      </c>
      <c r="N2532" t="s">
        <v>47304</v>
      </c>
      <c r="O2532" t="s">
        <v>47305</v>
      </c>
      <c r="P2532">
        <v>0</v>
      </c>
      <c r="Q2532">
        <v>0</v>
      </c>
      <c r="R2532" t="s">
        <v>47307</v>
      </c>
      <c r="S2532" t="s">
        <v>47416</v>
      </c>
      <c r="T2532" t="s">
        <v>49016</v>
      </c>
      <c r="U2532" t="s">
        <v>49594</v>
      </c>
      <c r="V2532" t="s">
        <v>62923</v>
      </c>
      <c r="W2532" t="s">
        <v>44066</v>
      </c>
      <c r="X2532" t="s">
        <v>47306</v>
      </c>
    </row>
    <row r="2533" spans="1:24">
      <c r="A2533">
        <f>HYPERLINK("https://www.philgeps.gov.ph/GEPSNONPILOT/Tender/SplashBidNoticeAbstractUI.aspx?menuIndex=3&amp;refID=7200451&amp;Result=3","7200451")</f>
        <v>0</v>
      </c>
      <c r="B2533" t="s">
        <v>1093</v>
      </c>
      <c r="C2533" t="s">
        <v>6308</v>
      </c>
      <c r="D2533" t="s">
        <v>19037</v>
      </c>
      <c r="E2533" t="s">
        <v>21412</v>
      </c>
      <c r="F2533" t="s">
        <v>32606</v>
      </c>
      <c r="G2533" t="s">
        <v>32619</v>
      </c>
      <c r="H2533" t="s">
        <v>14201</v>
      </c>
      <c r="I2533" t="s">
        <v>6931</v>
      </c>
      <c r="J2533" t="s">
        <v>34547</v>
      </c>
      <c r="K2533" t="s">
        <v>42622</v>
      </c>
      <c r="M2533" t="s">
        <v>44049</v>
      </c>
      <c r="N2533" t="s">
        <v>47304</v>
      </c>
      <c r="O2533" t="s">
        <v>47305</v>
      </c>
      <c r="P2533">
        <v>0</v>
      </c>
      <c r="Q2533">
        <v>0</v>
      </c>
      <c r="R2533" t="s">
        <v>47307</v>
      </c>
      <c r="S2533" t="s">
        <v>47416</v>
      </c>
      <c r="T2533" t="s">
        <v>48979</v>
      </c>
      <c r="U2533" t="s">
        <v>51752</v>
      </c>
      <c r="W2533" t="s">
        <v>44049</v>
      </c>
      <c r="X2533" t="s">
        <v>47306</v>
      </c>
    </row>
    <row r="2534" spans="1:24">
      <c r="A2534">
        <f>HYPERLINK("https://www.philgeps.gov.ph/GEPSNONPILOT/Tender/SplashBidNoticeAbstractUI.aspx?menuIndex=3&amp;refID=7200463&amp;Result=3","7200463")</f>
        <v>0</v>
      </c>
      <c r="B2534" t="s">
        <v>1108</v>
      </c>
      <c r="C2534" t="s">
        <v>6309</v>
      </c>
      <c r="D2534" t="s">
        <v>18993</v>
      </c>
      <c r="E2534" t="s">
        <v>19188</v>
      </c>
      <c r="F2534" t="s">
        <v>32606</v>
      </c>
      <c r="G2534" t="s">
        <v>32613</v>
      </c>
      <c r="H2534" t="s">
        <v>14201</v>
      </c>
      <c r="I2534" t="s">
        <v>6309</v>
      </c>
      <c r="J2534" t="s">
        <v>33102</v>
      </c>
      <c r="K2534" t="s">
        <v>42630</v>
      </c>
      <c r="M2534" t="s">
        <v>44067</v>
      </c>
      <c r="N2534" t="s">
        <v>47304</v>
      </c>
      <c r="O2534" t="s">
        <v>47305</v>
      </c>
      <c r="P2534">
        <v>0</v>
      </c>
      <c r="Q2534">
        <v>0</v>
      </c>
      <c r="R2534" t="s">
        <v>47307</v>
      </c>
      <c r="S2534" t="s">
        <v>47416</v>
      </c>
      <c r="T2534" t="s">
        <v>49149</v>
      </c>
      <c r="U2534" t="s">
        <v>51780</v>
      </c>
      <c r="W2534" t="s">
        <v>44067</v>
      </c>
      <c r="X2534" t="s">
        <v>47306</v>
      </c>
    </row>
    <row r="2535" spans="1:24">
      <c r="A2535">
        <f>HYPERLINK("https://www.philgeps.gov.ph/GEPSNONPILOT/Tender/SplashBidNoticeAbstractUI.aspx?menuIndex=3&amp;refID=7200430&amp;Result=3","7200430")</f>
        <v>0</v>
      </c>
      <c r="B2535" t="s">
        <v>1109</v>
      </c>
      <c r="C2535" t="s">
        <v>6310</v>
      </c>
      <c r="D2535" t="s">
        <v>19029</v>
      </c>
      <c r="E2535" t="s">
        <v>21413</v>
      </c>
      <c r="F2535" t="s">
        <v>32606</v>
      </c>
      <c r="G2535" t="s">
        <v>32614</v>
      </c>
      <c r="H2535" t="s">
        <v>14201</v>
      </c>
      <c r="I2535" t="s">
        <v>4120</v>
      </c>
      <c r="J2535" t="s">
        <v>34548</v>
      </c>
      <c r="K2535" t="s">
        <v>42624</v>
      </c>
      <c r="M2535" t="s">
        <v>44068</v>
      </c>
      <c r="N2535" t="s">
        <v>47304</v>
      </c>
      <c r="O2535" t="s">
        <v>47305</v>
      </c>
      <c r="P2535">
        <v>0</v>
      </c>
      <c r="Q2535">
        <v>0</v>
      </c>
      <c r="R2535" t="s">
        <v>47307</v>
      </c>
      <c r="S2535" t="s">
        <v>47416</v>
      </c>
      <c r="T2535" t="s">
        <v>49191</v>
      </c>
      <c r="U2535" t="s">
        <v>51781</v>
      </c>
      <c r="W2535" t="s">
        <v>44068</v>
      </c>
      <c r="X2535" t="s">
        <v>47306</v>
      </c>
    </row>
    <row r="2536" spans="1:24">
      <c r="A2536">
        <f>HYPERLINK("https://www.philgeps.gov.ph/GEPSNONPILOT/Tender/SplashBidNoticeAbstractUI.aspx?menuIndex=3&amp;refID=7200448&amp;Result=3","7200448")</f>
        <v>0</v>
      </c>
      <c r="B2536" t="s">
        <v>1110</v>
      </c>
      <c r="C2536" t="s">
        <v>6311</v>
      </c>
      <c r="D2536" t="s">
        <v>19057</v>
      </c>
      <c r="E2536" t="s">
        <v>21414</v>
      </c>
      <c r="F2536" t="s">
        <v>32606</v>
      </c>
      <c r="G2536" t="s">
        <v>32613</v>
      </c>
      <c r="H2536" t="s">
        <v>32623</v>
      </c>
      <c r="I2536" t="s">
        <v>17648</v>
      </c>
      <c r="J2536" t="s">
        <v>34549</v>
      </c>
      <c r="K2536" t="s">
        <v>42712</v>
      </c>
      <c r="M2536" t="s">
        <v>44069</v>
      </c>
      <c r="N2536" t="s">
        <v>47304</v>
      </c>
      <c r="O2536" t="s">
        <v>47305</v>
      </c>
      <c r="P2536">
        <v>0</v>
      </c>
      <c r="Q2536">
        <v>0</v>
      </c>
      <c r="R2536" t="s">
        <v>47307</v>
      </c>
      <c r="S2536" t="s">
        <v>47416</v>
      </c>
      <c r="T2536" t="s">
        <v>49121</v>
      </c>
      <c r="U2536" t="s">
        <v>51782</v>
      </c>
      <c r="W2536" t="s">
        <v>44069</v>
      </c>
      <c r="X2536" t="s">
        <v>47306</v>
      </c>
    </row>
    <row r="2537" spans="1:24">
      <c r="A2537">
        <f>HYPERLINK("https://www.philgeps.gov.ph/GEPSNONPILOT/Tender/SplashBidNoticeAbstractUI.aspx?menuIndex=3&amp;refID=7200467&amp;Result=3","7200467")</f>
        <v>0</v>
      </c>
      <c r="B2537" t="s">
        <v>1033</v>
      </c>
      <c r="C2537" t="s">
        <v>6312</v>
      </c>
      <c r="D2537" t="s">
        <v>19037</v>
      </c>
      <c r="E2537" t="s">
        <v>21415</v>
      </c>
      <c r="F2537" t="s">
        <v>32609</v>
      </c>
      <c r="G2537" t="s">
        <v>32619</v>
      </c>
      <c r="H2537" t="s">
        <v>32624</v>
      </c>
      <c r="I2537" t="s">
        <v>32676</v>
      </c>
      <c r="J2537" t="s">
        <v>34550</v>
      </c>
      <c r="K2537" t="s">
        <v>42629</v>
      </c>
      <c r="M2537" t="s">
        <v>43986</v>
      </c>
      <c r="N2537" t="s">
        <v>47304</v>
      </c>
      <c r="O2537" t="s">
        <v>47305</v>
      </c>
      <c r="P2537">
        <v>0</v>
      </c>
      <c r="Q2537">
        <v>0</v>
      </c>
      <c r="R2537" t="s">
        <v>47307</v>
      </c>
      <c r="S2537" t="s">
        <v>47416</v>
      </c>
      <c r="T2537" t="s">
        <v>48986</v>
      </c>
      <c r="U2537" t="s">
        <v>51783</v>
      </c>
      <c r="W2537" t="s">
        <v>43986</v>
      </c>
      <c r="X2537" t="s">
        <v>47306</v>
      </c>
    </row>
    <row r="2538" spans="1:24">
      <c r="A2538">
        <f>HYPERLINK("https://www.philgeps.gov.ph/GEPSNONPILOT/Tender/SplashBidNoticeAbstractUI.aspx?menuIndex=3&amp;refID=7200483&amp;Result=3","7200483")</f>
        <v>0</v>
      </c>
      <c r="B2538" t="s">
        <v>398</v>
      </c>
      <c r="C2538" t="s">
        <v>6313</v>
      </c>
      <c r="D2538" t="s">
        <v>19013</v>
      </c>
      <c r="E2538" t="s">
        <v>21416</v>
      </c>
      <c r="F2538" t="s">
        <v>32606</v>
      </c>
      <c r="G2538" t="s">
        <v>32613</v>
      </c>
      <c r="H2538" t="s">
        <v>14201</v>
      </c>
      <c r="I2538" t="s">
        <v>4114</v>
      </c>
      <c r="J2538" t="s">
        <v>34551</v>
      </c>
      <c r="K2538" t="s">
        <v>42677</v>
      </c>
      <c r="M2538" t="s">
        <v>43301</v>
      </c>
      <c r="N2538" t="s">
        <v>47304</v>
      </c>
      <c r="O2538" t="s">
        <v>47305</v>
      </c>
      <c r="P2538">
        <v>0</v>
      </c>
      <c r="Q2538">
        <v>0</v>
      </c>
      <c r="R2538" t="s">
        <v>47307</v>
      </c>
      <c r="S2538" t="s">
        <v>47416</v>
      </c>
      <c r="T2538" t="s">
        <v>49225</v>
      </c>
      <c r="U2538" t="s">
        <v>51784</v>
      </c>
      <c r="W2538" t="s">
        <v>43301</v>
      </c>
      <c r="X2538" t="s">
        <v>47306</v>
      </c>
    </row>
    <row r="2539" spans="1:24">
      <c r="A2539">
        <f>HYPERLINK("https://www.philgeps.gov.ph/GEPSNONPILOT/Tender/SplashBidNoticeAbstractUI.aspx?menuIndex=3&amp;refID=7200455&amp;Result=3","7200455")</f>
        <v>0</v>
      </c>
      <c r="B2539" t="s">
        <v>1093</v>
      </c>
      <c r="C2539" t="s">
        <v>6314</v>
      </c>
      <c r="D2539" t="s">
        <v>19037</v>
      </c>
      <c r="E2539" t="s">
        <v>21417</v>
      </c>
      <c r="F2539" t="s">
        <v>32606</v>
      </c>
      <c r="G2539" t="s">
        <v>32619</v>
      </c>
      <c r="H2539" t="s">
        <v>14201</v>
      </c>
      <c r="I2539" t="s">
        <v>6931</v>
      </c>
      <c r="J2539" t="s">
        <v>34552</v>
      </c>
      <c r="K2539" t="s">
        <v>42622</v>
      </c>
      <c r="M2539" t="s">
        <v>44049</v>
      </c>
      <c r="N2539" t="s">
        <v>47304</v>
      </c>
      <c r="O2539" t="s">
        <v>47305</v>
      </c>
      <c r="P2539">
        <v>0</v>
      </c>
      <c r="Q2539">
        <v>0</v>
      </c>
      <c r="R2539" t="s">
        <v>47307</v>
      </c>
      <c r="S2539" t="s">
        <v>47416</v>
      </c>
      <c r="T2539" t="s">
        <v>48979</v>
      </c>
      <c r="U2539" t="s">
        <v>51752</v>
      </c>
      <c r="W2539" t="s">
        <v>44049</v>
      </c>
      <c r="X2539" t="s">
        <v>47306</v>
      </c>
    </row>
    <row r="2540" spans="1:24">
      <c r="A2540">
        <f>HYPERLINK("https://www.philgeps.gov.ph/GEPSNONPILOT/Tender/SplashBidNoticeAbstractUI.aspx?menuIndex=3&amp;refID=7200481&amp;Result=3","7200481")</f>
        <v>0</v>
      </c>
      <c r="B2540" t="s">
        <v>575</v>
      </c>
      <c r="C2540" t="s">
        <v>6315</v>
      </c>
      <c r="D2540" t="s">
        <v>19036</v>
      </c>
      <c r="E2540" t="s">
        <v>21418</v>
      </c>
      <c r="F2540" t="s">
        <v>32606</v>
      </c>
      <c r="G2540" t="s">
        <v>32613</v>
      </c>
      <c r="H2540" t="s">
        <v>14201</v>
      </c>
      <c r="I2540" t="s">
        <v>32662</v>
      </c>
      <c r="J2540" t="s">
        <v>33273</v>
      </c>
      <c r="K2540" t="s">
        <v>42622</v>
      </c>
      <c r="M2540" t="s">
        <v>44070</v>
      </c>
      <c r="N2540" t="s">
        <v>47304</v>
      </c>
      <c r="O2540" t="s">
        <v>47305</v>
      </c>
      <c r="P2540">
        <v>0</v>
      </c>
      <c r="Q2540">
        <v>0</v>
      </c>
      <c r="R2540" t="s">
        <v>47307</v>
      </c>
      <c r="S2540" t="s">
        <v>47416</v>
      </c>
      <c r="T2540" t="s">
        <v>49033</v>
      </c>
      <c r="U2540" t="s">
        <v>51785</v>
      </c>
      <c r="W2540" t="s">
        <v>44070</v>
      </c>
      <c r="X2540" t="s">
        <v>47306</v>
      </c>
    </row>
    <row r="2541" spans="1:24">
      <c r="A2541">
        <f>HYPERLINK("https://www.philgeps.gov.ph/GEPSNONPILOT/Tender/SplashBidNoticeAbstractUI.aspx?menuIndex=3&amp;refID=7200453&amp;Result=3","7200453")</f>
        <v>0</v>
      </c>
      <c r="B2541" t="s">
        <v>1111</v>
      </c>
      <c r="C2541" t="s">
        <v>6316</v>
      </c>
      <c r="D2541" t="s">
        <v>19068</v>
      </c>
      <c r="E2541" t="s">
        <v>21419</v>
      </c>
      <c r="F2541" t="s">
        <v>32606</v>
      </c>
      <c r="G2541" t="s">
        <v>32614</v>
      </c>
      <c r="H2541" t="s">
        <v>14201</v>
      </c>
      <c r="I2541" t="s">
        <v>9008</v>
      </c>
      <c r="J2541" t="s">
        <v>34553</v>
      </c>
      <c r="K2541" t="s">
        <v>42630</v>
      </c>
      <c r="M2541" t="s">
        <v>44071</v>
      </c>
      <c r="N2541" t="s">
        <v>47304</v>
      </c>
      <c r="O2541" t="s">
        <v>47305</v>
      </c>
      <c r="P2541">
        <v>0</v>
      </c>
      <c r="Q2541">
        <v>0</v>
      </c>
      <c r="R2541" t="s">
        <v>47307</v>
      </c>
      <c r="S2541" t="s">
        <v>47416</v>
      </c>
      <c r="T2541" t="s">
        <v>48975</v>
      </c>
      <c r="U2541" t="s">
        <v>51786</v>
      </c>
      <c r="W2541" t="s">
        <v>44071</v>
      </c>
      <c r="X2541" t="s">
        <v>47306</v>
      </c>
    </row>
    <row r="2542" spans="1:24">
      <c r="A2542">
        <f>HYPERLINK("https://www.philgeps.gov.ph/GEPSNONPILOT/Tender/SplashBidNoticeAbstractUI.aspx?menuIndex=3&amp;refID=7200449&amp;Result=3","7200449")</f>
        <v>0</v>
      </c>
      <c r="B2542" t="s">
        <v>575</v>
      </c>
      <c r="C2542" t="s">
        <v>6317</v>
      </c>
      <c r="D2542" t="s">
        <v>19036</v>
      </c>
      <c r="E2542" t="s">
        <v>21420</v>
      </c>
      <c r="F2542" t="s">
        <v>32606</v>
      </c>
      <c r="G2542" t="s">
        <v>32615</v>
      </c>
      <c r="H2542" t="s">
        <v>14201</v>
      </c>
      <c r="I2542" t="s">
        <v>32631</v>
      </c>
      <c r="J2542" t="s">
        <v>34554</v>
      </c>
      <c r="K2542" t="s">
        <v>42622</v>
      </c>
      <c r="M2542" t="s">
        <v>44035</v>
      </c>
      <c r="N2542" t="s">
        <v>47304</v>
      </c>
      <c r="O2542" t="s">
        <v>47305</v>
      </c>
      <c r="P2542">
        <v>0</v>
      </c>
      <c r="Q2542">
        <v>0</v>
      </c>
      <c r="R2542" t="s">
        <v>47307</v>
      </c>
      <c r="S2542" t="s">
        <v>47416</v>
      </c>
      <c r="T2542" t="s">
        <v>48971</v>
      </c>
      <c r="U2542" t="s">
        <v>51736</v>
      </c>
      <c r="W2542" t="s">
        <v>44035</v>
      </c>
      <c r="X2542" t="s">
        <v>47306</v>
      </c>
    </row>
    <row r="2543" spans="1:24">
      <c r="A2543">
        <f>HYPERLINK("https://www.philgeps.gov.ph/GEPSNONPILOT/Tender/SplashBidNoticeAbstractUI.aspx?menuIndex=3&amp;refID=7200486&amp;Result=3","7200486")</f>
        <v>0</v>
      </c>
      <c r="B2543" t="s">
        <v>145</v>
      </c>
      <c r="C2543" t="s">
        <v>6318</v>
      </c>
      <c r="D2543" t="s">
        <v>19033</v>
      </c>
      <c r="E2543" t="s">
        <v>19339</v>
      </c>
      <c r="F2543" t="s">
        <v>32606</v>
      </c>
      <c r="G2543" t="s">
        <v>32613</v>
      </c>
      <c r="H2543" t="s">
        <v>32623</v>
      </c>
      <c r="I2543" t="s">
        <v>32659</v>
      </c>
      <c r="J2543" t="s">
        <v>32981</v>
      </c>
      <c r="K2543" t="s">
        <v>42631</v>
      </c>
      <c r="M2543" t="s">
        <v>43046</v>
      </c>
      <c r="N2543" t="s">
        <v>47304</v>
      </c>
      <c r="O2543" t="s">
        <v>47305</v>
      </c>
      <c r="P2543">
        <v>0</v>
      </c>
      <c r="Q2543">
        <v>0</v>
      </c>
      <c r="R2543" t="s">
        <v>47307</v>
      </c>
      <c r="S2543" t="s">
        <v>47416</v>
      </c>
      <c r="T2543" t="s">
        <v>48971</v>
      </c>
      <c r="U2543" t="s">
        <v>51787</v>
      </c>
      <c r="W2543" t="s">
        <v>43046</v>
      </c>
      <c r="X2543" t="s">
        <v>47306</v>
      </c>
    </row>
    <row r="2544" spans="1:24">
      <c r="A2544">
        <f>HYPERLINK("https://www.philgeps.gov.ph/GEPSNONPILOT/Tender/SplashBidNoticeAbstractUI.aspx?menuIndex=3&amp;refID=7200485&amp;Result=3","7200485")</f>
        <v>0</v>
      </c>
      <c r="B2544" t="s">
        <v>1033</v>
      </c>
      <c r="C2544" t="s">
        <v>6319</v>
      </c>
      <c r="D2544" t="s">
        <v>19037</v>
      </c>
      <c r="E2544" t="s">
        <v>21421</v>
      </c>
      <c r="F2544" t="s">
        <v>32609</v>
      </c>
      <c r="G2544" t="s">
        <v>32619</v>
      </c>
      <c r="H2544" t="s">
        <v>14201</v>
      </c>
      <c r="I2544" t="s">
        <v>6007</v>
      </c>
      <c r="J2544" t="s">
        <v>34555</v>
      </c>
      <c r="K2544" t="s">
        <v>42674</v>
      </c>
      <c r="M2544" t="s">
        <v>43986</v>
      </c>
      <c r="N2544" t="s">
        <v>47304</v>
      </c>
      <c r="O2544" t="s">
        <v>47305</v>
      </c>
      <c r="P2544">
        <v>0</v>
      </c>
      <c r="Q2544">
        <v>0</v>
      </c>
      <c r="R2544" t="s">
        <v>47307</v>
      </c>
      <c r="S2544" t="s">
        <v>47416</v>
      </c>
      <c r="T2544" t="s">
        <v>48986</v>
      </c>
      <c r="U2544" t="s">
        <v>51788</v>
      </c>
      <c r="W2544" t="s">
        <v>43986</v>
      </c>
      <c r="X2544" t="s">
        <v>47306</v>
      </c>
    </row>
    <row r="2545" spans="1:24">
      <c r="A2545">
        <f>HYPERLINK("https://www.philgeps.gov.ph/GEPSNONPILOT/Tender/SplashBidNoticeAbstractUI.aspx?menuIndex=3&amp;refID=7200484&amp;Result=3","7200484")</f>
        <v>0</v>
      </c>
      <c r="B2545" t="s">
        <v>503</v>
      </c>
      <c r="C2545" t="s">
        <v>6320</v>
      </c>
      <c r="D2545" t="s">
        <v>19033</v>
      </c>
      <c r="E2545" t="s">
        <v>21422</v>
      </c>
      <c r="F2545" t="s">
        <v>32606</v>
      </c>
      <c r="G2545" t="s">
        <v>32613</v>
      </c>
      <c r="H2545" t="s">
        <v>32623</v>
      </c>
      <c r="I2545" t="s">
        <v>17648</v>
      </c>
      <c r="J2545" t="s">
        <v>34556</v>
      </c>
      <c r="K2545" t="s">
        <v>42728</v>
      </c>
      <c r="M2545" t="s">
        <v>43416</v>
      </c>
      <c r="N2545" t="s">
        <v>47304</v>
      </c>
      <c r="O2545" t="s">
        <v>47305</v>
      </c>
      <c r="P2545">
        <v>0</v>
      </c>
      <c r="Q2545">
        <v>0</v>
      </c>
      <c r="R2545" t="s">
        <v>47307</v>
      </c>
      <c r="S2545" t="s">
        <v>47416</v>
      </c>
      <c r="T2545" t="s">
        <v>48973</v>
      </c>
      <c r="U2545" t="s">
        <v>51789</v>
      </c>
      <c r="V2545" t="s">
        <v>62924</v>
      </c>
      <c r="W2545" t="s">
        <v>43416</v>
      </c>
      <c r="X2545" t="s">
        <v>47306</v>
      </c>
    </row>
    <row r="2546" spans="1:24">
      <c r="A2546">
        <f>HYPERLINK("https://www.philgeps.gov.ph/GEPSNONPILOT/Tender/SplashBidNoticeAbstractUI.aspx?menuIndex=3&amp;refID=7200482&amp;Result=3","7200482")</f>
        <v>0</v>
      </c>
      <c r="B2546" t="s">
        <v>1107</v>
      </c>
      <c r="C2546" t="s">
        <v>6321</v>
      </c>
      <c r="D2546" t="s">
        <v>19024</v>
      </c>
      <c r="E2546" t="s">
        <v>21423</v>
      </c>
      <c r="F2546" t="s">
        <v>32606</v>
      </c>
      <c r="G2546" t="s">
        <v>32613</v>
      </c>
      <c r="H2546" t="s">
        <v>14201</v>
      </c>
      <c r="I2546" t="s">
        <v>7064</v>
      </c>
      <c r="J2546" t="s">
        <v>34557</v>
      </c>
      <c r="K2546" t="s">
        <v>42631</v>
      </c>
      <c r="M2546" t="s">
        <v>44066</v>
      </c>
      <c r="N2546" t="s">
        <v>47304</v>
      </c>
      <c r="O2546" t="s">
        <v>47305</v>
      </c>
      <c r="P2546">
        <v>0</v>
      </c>
      <c r="Q2546">
        <v>2</v>
      </c>
      <c r="R2546" t="s">
        <v>47307</v>
      </c>
      <c r="S2546" t="s">
        <v>47416</v>
      </c>
      <c r="T2546" t="s">
        <v>49098</v>
      </c>
      <c r="U2546" t="s">
        <v>49594</v>
      </c>
      <c r="V2546" t="s">
        <v>62925</v>
      </c>
      <c r="W2546" t="s">
        <v>44066</v>
      </c>
      <c r="X2546" t="s">
        <v>47306</v>
      </c>
    </row>
    <row r="2547" spans="1:24">
      <c r="A2547">
        <f>HYPERLINK("https://www.philgeps.gov.ph/GEPSNONPILOT/Tender/SplashBidNoticeAbstractUI.aspx?menuIndex=3&amp;refID=7200489&amp;Result=3","7200489")</f>
        <v>0</v>
      </c>
      <c r="B2547" t="s">
        <v>145</v>
      </c>
      <c r="C2547" t="s">
        <v>6322</v>
      </c>
      <c r="D2547" t="s">
        <v>19033</v>
      </c>
      <c r="E2547" t="s">
        <v>19339</v>
      </c>
      <c r="F2547" t="s">
        <v>32606</v>
      </c>
      <c r="G2547" t="s">
        <v>32613</v>
      </c>
      <c r="H2547" t="s">
        <v>32623</v>
      </c>
      <c r="I2547" t="s">
        <v>32659</v>
      </c>
      <c r="J2547" t="s">
        <v>32981</v>
      </c>
      <c r="K2547" t="s">
        <v>42631</v>
      </c>
      <c r="M2547" t="s">
        <v>43046</v>
      </c>
      <c r="N2547" t="s">
        <v>47304</v>
      </c>
      <c r="O2547" t="s">
        <v>47305</v>
      </c>
      <c r="P2547">
        <v>0</v>
      </c>
      <c r="Q2547">
        <v>0</v>
      </c>
      <c r="R2547" t="s">
        <v>47307</v>
      </c>
      <c r="S2547" t="s">
        <v>47416</v>
      </c>
      <c r="T2547" t="s">
        <v>48971</v>
      </c>
      <c r="U2547" t="s">
        <v>51790</v>
      </c>
      <c r="W2547" t="s">
        <v>43046</v>
      </c>
      <c r="X2547" t="s">
        <v>47306</v>
      </c>
    </row>
    <row r="2548" spans="1:24">
      <c r="A2548">
        <f>HYPERLINK("https://www.philgeps.gov.ph/GEPSNONPILOT/Tender/SplashBidNoticeAbstractUI.aspx?menuIndex=3&amp;refID=7200488&amp;Result=3","7200488")</f>
        <v>0</v>
      </c>
      <c r="B2548" t="s">
        <v>503</v>
      </c>
      <c r="C2548" t="s">
        <v>6323</v>
      </c>
      <c r="D2548" t="s">
        <v>19033</v>
      </c>
      <c r="E2548" t="s">
        <v>21424</v>
      </c>
      <c r="F2548" t="s">
        <v>32606</v>
      </c>
      <c r="G2548" t="s">
        <v>32613</v>
      </c>
      <c r="H2548" t="s">
        <v>32623</v>
      </c>
      <c r="I2548" t="s">
        <v>17648</v>
      </c>
      <c r="J2548" t="s">
        <v>34558</v>
      </c>
      <c r="K2548" t="s">
        <v>42729</v>
      </c>
      <c r="M2548" t="s">
        <v>43416</v>
      </c>
      <c r="N2548" t="s">
        <v>47304</v>
      </c>
      <c r="O2548" t="s">
        <v>47305</v>
      </c>
      <c r="P2548">
        <v>0</v>
      </c>
      <c r="Q2548">
        <v>0</v>
      </c>
      <c r="R2548" t="s">
        <v>47307</v>
      </c>
      <c r="S2548" t="s">
        <v>47416</v>
      </c>
      <c r="T2548" t="s">
        <v>48973</v>
      </c>
      <c r="U2548" t="s">
        <v>51789</v>
      </c>
      <c r="V2548" t="s">
        <v>62926</v>
      </c>
      <c r="W2548" t="s">
        <v>43416</v>
      </c>
      <c r="X2548" t="s">
        <v>47306</v>
      </c>
    </row>
    <row r="2549" spans="1:24">
      <c r="A2549">
        <f>HYPERLINK("https://www.philgeps.gov.ph/GEPSNONPILOT/Tender/SplashBidNoticeAbstractUI.aspx?menuIndex=3&amp;refID=7200476&amp;Result=3","7200476")</f>
        <v>0</v>
      </c>
      <c r="B2549" t="s">
        <v>644</v>
      </c>
      <c r="C2549" t="s">
        <v>6324</v>
      </c>
      <c r="D2549" t="s">
        <v>19022</v>
      </c>
      <c r="E2549" t="s">
        <v>6324</v>
      </c>
      <c r="F2549" t="s">
        <v>32606</v>
      </c>
      <c r="G2549" t="s">
        <v>32615</v>
      </c>
      <c r="H2549" t="s">
        <v>14201</v>
      </c>
      <c r="I2549" t="s">
        <v>32640</v>
      </c>
      <c r="J2549" t="s">
        <v>32778</v>
      </c>
      <c r="K2549" t="s">
        <v>42624</v>
      </c>
      <c r="M2549" t="s">
        <v>44072</v>
      </c>
      <c r="N2549" t="s">
        <v>47304</v>
      </c>
      <c r="O2549" t="s">
        <v>47305</v>
      </c>
      <c r="P2549">
        <v>0</v>
      </c>
      <c r="Q2549">
        <v>0</v>
      </c>
      <c r="R2549" t="s">
        <v>47307</v>
      </c>
      <c r="S2549" t="s">
        <v>47416</v>
      </c>
      <c r="T2549" t="s">
        <v>48975</v>
      </c>
      <c r="U2549" t="s">
        <v>51791</v>
      </c>
      <c r="W2549" t="s">
        <v>44072</v>
      </c>
      <c r="X2549" t="s">
        <v>47306</v>
      </c>
    </row>
    <row r="2550" spans="1:24">
      <c r="A2550">
        <f>HYPERLINK("https://www.philgeps.gov.ph/GEPSNONPILOT/Tender/SplashBidNoticeAbstractUI.aspx?menuIndex=3&amp;refID=7200475&amp;Result=3","7200475")</f>
        <v>0</v>
      </c>
      <c r="B2550" t="s">
        <v>1112</v>
      </c>
      <c r="C2550" t="s">
        <v>6325</v>
      </c>
      <c r="D2550" t="s">
        <v>19031</v>
      </c>
      <c r="E2550" t="s">
        <v>21425</v>
      </c>
      <c r="F2550" t="s">
        <v>32606</v>
      </c>
      <c r="G2550" t="s">
        <v>32613</v>
      </c>
      <c r="H2550" t="s">
        <v>14201</v>
      </c>
      <c r="I2550" t="s">
        <v>32693</v>
      </c>
      <c r="J2550" t="s">
        <v>34559</v>
      </c>
      <c r="K2550" t="s">
        <v>42636</v>
      </c>
      <c r="M2550" t="s">
        <v>44073</v>
      </c>
      <c r="N2550" t="s">
        <v>47304</v>
      </c>
      <c r="O2550" t="s">
        <v>47305</v>
      </c>
      <c r="P2550">
        <v>0</v>
      </c>
      <c r="Q2550">
        <v>0</v>
      </c>
      <c r="R2550" t="s">
        <v>47307</v>
      </c>
      <c r="S2550" t="s">
        <v>47416</v>
      </c>
      <c r="T2550" t="s">
        <v>48990</v>
      </c>
      <c r="U2550" t="s">
        <v>51792</v>
      </c>
      <c r="V2550" t="s">
        <v>62927</v>
      </c>
      <c r="W2550" t="s">
        <v>44073</v>
      </c>
      <c r="X2550" t="s">
        <v>47306</v>
      </c>
    </row>
    <row r="2551" spans="1:24">
      <c r="A2551">
        <f>HYPERLINK("https://www.philgeps.gov.ph/GEPSNONPILOT/Tender/SplashBidNoticeAbstractUI.aspx?menuIndex=3&amp;refID=7200480&amp;Result=3","7200480")</f>
        <v>0</v>
      </c>
      <c r="B2551" t="s">
        <v>1113</v>
      </c>
      <c r="C2551" t="s">
        <v>6326</v>
      </c>
      <c r="D2551" t="s">
        <v>18994</v>
      </c>
      <c r="E2551" t="s">
        <v>21426</v>
      </c>
      <c r="F2551" t="s">
        <v>32606</v>
      </c>
      <c r="G2551" t="s">
        <v>32614</v>
      </c>
      <c r="H2551" t="s">
        <v>14201</v>
      </c>
      <c r="I2551" t="s">
        <v>32693</v>
      </c>
      <c r="J2551" t="s">
        <v>34560</v>
      </c>
      <c r="K2551" t="s">
        <v>42625</v>
      </c>
      <c r="M2551" t="s">
        <v>44074</v>
      </c>
      <c r="N2551" t="s">
        <v>47304</v>
      </c>
      <c r="O2551" t="s">
        <v>47305</v>
      </c>
      <c r="P2551">
        <v>0</v>
      </c>
      <c r="Q2551">
        <v>0</v>
      </c>
      <c r="R2551" t="s">
        <v>47307</v>
      </c>
      <c r="S2551" t="s">
        <v>47416</v>
      </c>
      <c r="T2551" t="s">
        <v>49015</v>
      </c>
      <c r="U2551" t="s">
        <v>51793</v>
      </c>
      <c r="V2551" t="s">
        <v>62928</v>
      </c>
      <c r="W2551" t="s">
        <v>44074</v>
      </c>
      <c r="X2551" t="s">
        <v>47306</v>
      </c>
    </row>
    <row r="2552" spans="1:24">
      <c r="A2552">
        <f>HYPERLINK("https://www.philgeps.gov.ph/GEPSNONPILOT/Tender/SplashBidNoticeAbstractUI.aspx?menuIndex=3&amp;refID=7200471&amp;Result=3","7200471")</f>
        <v>0</v>
      </c>
      <c r="B2552" t="s">
        <v>575</v>
      </c>
      <c r="C2552" t="s">
        <v>6327</v>
      </c>
      <c r="D2552" t="s">
        <v>19036</v>
      </c>
      <c r="E2552" t="s">
        <v>21427</v>
      </c>
      <c r="F2552" t="s">
        <v>32606</v>
      </c>
      <c r="G2552" t="s">
        <v>32613</v>
      </c>
      <c r="H2552" t="s">
        <v>14201</v>
      </c>
      <c r="I2552" t="s">
        <v>32662</v>
      </c>
      <c r="J2552" t="s">
        <v>34561</v>
      </c>
      <c r="K2552" t="s">
        <v>42622</v>
      </c>
      <c r="M2552" t="s">
        <v>44070</v>
      </c>
      <c r="N2552" t="s">
        <v>47304</v>
      </c>
      <c r="O2552" t="s">
        <v>47305</v>
      </c>
      <c r="P2552">
        <v>0</v>
      </c>
      <c r="Q2552">
        <v>0</v>
      </c>
      <c r="R2552" t="s">
        <v>47307</v>
      </c>
      <c r="S2552" t="s">
        <v>47416</v>
      </c>
      <c r="T2552" t="s">
        <v>49033</v>
      </c>
      <c r="U2552" t="s">
        <v>51794</v>
      </c>
      <c r="W2552" t="s">
        <v>44070</v>
      </c>
      <c r="X2552" t="s">
        <v>47306</v>
      </c>
    </row>
    <row r="2553" spans="1:24">
      <c r="A2553">
        <f>HYPERLINK("https://www.philgeps.gov.ph/GEPSNONPILOT/Tender/SplashBidNoticeAbstractUI.aspx?menuIndex=3&amp;refID=7200487&amp;Result=3","7200487")</f>
        <v>0</v>
      </c>
      <c r="B2553" t="s">
        <v>280</v>
      </c>
      <c r="C2553" t="s">
        <v>6298</v>
      </c>
      <c r="D2553" t="s">
        <v>19028</v>
      </c>
      <c r="E2553" t="s">
        <v>21428</v>
      </c>
      <c r="F2553" t="s">
        <v>32606</v>
      </c>
      <c r="G2553" t="s">
        <v>32614</v>
      </c>
      <c r="H2553" t="s">
        <v>14201</v>
      </c>
      <c r="I2553" t="s">
        <v>6298</v>
      </c>
      <c r="J2553" t="s">
        <v>32950</v>
      </c>
      <c r="K2553" t="s">
        <v>42631</v>
      </c>
      <c r="M2553" t="s">
        <v>43712</v>
      </c>
      <c r="N2553" t="s">
        <v>47304</v>
      </c>
      <c r="O2553" t="s">
        <v>47305</v>
      </c>
      <c r="P2553">
        <v>0</v>
      </c>
      <c r="Q2553">
        <v>0</v>
      </c>
      <c r="R2553" t="s">
        <v>47307</v>
      </c>
      <c r="S2553" t="s">
        <v>47416</v>
      </c>
      <c r="T2553" t="s">
        <v>49002</v>
      </c>
      <c r="U2553" t="s">
        <v>51795</v>
      </c>
      <c r="W2553" t="s">
        <v>43712</v>
      </c>
      <c r="X2553" t="s">
        <v>47306</v>
      </c>
    </row>
    <row r="2554" spans="1:24">
      <c r="A2554">
        <f>HYPERLINK("https://www.philgeps.gov.ph/GEPSNONPILOT/Tender/SplashBidNoticeAbstractUI.aspx?menuIndex=3&amp;refID=7200509&amp;Result=3","7200509")</f>
        <v>0</v>
      </c>
      <c r="B2554" t="s">
        <v>575</v>
      </c>
      <c r="C2554" t="s">
        <v>6328</v>
      </c>
      <c r="D2554" t="s">
        <v>19036</v>
      </c>
      <c r="E2554" t="s">
        <v>21429</v>
      </c>
      <c r="F2554" t="s">
        <v>32606</v>
      </c>
      <c r="G2554" t="s">
        <v>32614</v>
      </c>
      <c r="H2554" t="s">
        <v>14201</v>
      </c>
      <c r="I2554" t="s">
        <v>32633</v>
      </c>
      <c r="J2554" t="s">
        <v>34562</v>
      </c>
      <c r="K2554" t="s">
        <v>42622</v>
      </c>
      <c r="M2554" t="s">
        <v>44070</v>
      </c>
      <c r="N2554" t="s">
        <v>47304</v>
      </c>
      <c r="O2554" t="s">
        <v>47305</v>
      </c>
      <c r="P2554">
        <v>0</v>
      </c>
      <c r="Q2554">
        <v>0</v>
      </c>
      <c r="R2554" t="s">
        <v>47307</v>
      </c>
      <c r="S2554" t="s">
        <v>47416</v>
      </c>
      <c r="T2554" t="s">
        <v>49100</v>
      </c>
      <c r="U2554" t="s">
        <v>51796</v>
      </c>
      <c r="W2554" t="s">
        <v>44070</v>
      </c>
      <c r="X2554" t="s">
        <v>47306</v>
      </c>
    </row>
    <row r="2555" spans="1:24">
      <c r="A2555">
        <f>HYPERLINK("https://www.philgeps.gov.ph/GEPSNONPILOT/Tender/SplashBidNoticeAbstractUI.aspx?menuIndex=3&amp;refID=7200472&amp;Result=3","7200472")</f>
        <v>0</v>
      </c>
      <c r="B2555" t="s">
        <v>1114</v>
      </c>
      <c r="C2555" t="s">
        <v>6329</v>
      </c>
      <c r="D2555" t="s">
        <v>19003</v>
      </c>
      <c r="E2555" t="s">
        <v>21430</v>
      </c>
      <c r="F2555" t="s">
        <v>32606</v>
      </c>
      <c r="G2555" t="s">
        <v>32614</v>
      </c>
      <c r="H2555" t="s">
        <v>14201</v>
      </c>
      <c r="I2555" t="s">
        <v>4120</v>
      </c>
      <c r="J2555" t="s">
        <v>34563</v>
      </c>
      <c r="K2555" t="s">
        <v>42630</v>
      </c>
      <c r="M2555" t="s">
        <v>44075</v>
      </c>
      <c r="N2555" t="s">
        <v>47304</v>
      </c>
      <c r="O2555" t="s">
        <v>47305</v>
      </c>
      <c r="P2555">
        <v>0</v>
      </c>
      <c r="Q2555">
        <v>0</v>
      </c>
      <c r="R2555" t="s">
        <v>47307</v>
      </c>
      <c r="S2555" t="s">
        <v>47416</v>
      </c>
      <c r="T2555" t="s">
        <v>48974</v>
      </c>
      <c r="U2555" t="s">
        <v>51797</v>
      </c>
      <c r="V2555" t="s">
        <v>62929</v>
      </c>
      <c r="W2555" t="s">
        <v>44075</v>
      </c>
      <c r="X2555" t="s">
        <v>47306</v>
      </c>
    </row>
    <row r="2556" spans="1:24">
      <c r="A2556">
        <f>HYPERLINK("https://www.philgeps.gov.ph/GEPSNONPILOT/Tender/SplashBidNoticeAbstractUI.aspx?menuIndex=3&amp;refID=7200508&amp;Result=3","7200508")</f>
        <v>0</v>
      </c>
      <c r="B2556" t="s">
        <v>644</v>
      </c>
      <c r="C2556" t="s">
        <v>6330</v>
      </c>
      <c r="D2556" t="s">
        <v>19022</v>
      </c>
      <c r="E2556" t="s">
        <v>21431</v>
      </c>
      <c r="F2556" t="s">
        <v>32606</v>
      </c>
      <c r="G2556" t="s">
        <v>32615</v>
      </c>
      <c r="H2556" t="s">
        <v>14201</v>
      </c>
      <c r="I2556" t="s">
        <v>6993</v>
      </c>
      <c r="J2556" t="s">
        <v>34564</v>
      </c>
      <c r="K2556" t="s">
        <v>42624</v>
      </c>
      <c r="M2556" t="s">
        <v>44072</v>
      </c>
      <c r="N2556" t="s">
        <v>47304</v>
      </c>
      <c r="O2556" t="s">
        <v>47305</v>
      </c>
      <c r="P2556">
        <v>0</v>
      </c>
      <c r="Q2556">
        <v>0</v>
      </c>
      <c r="R2556" t="s">
        <v>47307</v>
      </c>
      <c r="S2556" t="s">
        <v>47416</v>
      </c>
      <c r="T2556" t="s">
        <v>49093</v>
      </c>
      <c r="U2556" t="s">
        <v>51798</v>
      </c>
      <c r="W2556" t="s">
        <v>44072</v>
      </c>
      <c r="X2556" t="s">
        <v>47306</v>
      </c>
    </row>
    <row r="2557" spans="1:24">
      <c r="A2557">
        <f>HYPERLINK("https://www.philgeps.gov.ph/GEPSNONPILOT/Tender/SplashBidNoticeAbstractUI.aspx?menuIndex=3&amp;refID=7200462&amp;Result=3","7200462")</f>
        <v>0</v>
      </c>
      <c r="B2557" t="s">
        <v>1099</v>
      </c>
      <c r="C2557" t="s">
        <v>6331</v>
      </c>
      <c r="D2557" t="s">
        <v>19071</v>
      </c>
      <c r="E2557" t="s">
        <v>21432</v>
      </c>
      <c r="F2557" t="s">
        <v>32606</v>
      </c>
      <c r="G2557" t="s">
        <v>32613</v>
      </c>
      <c r="H2557" t="s">
        <v>32624</v>
      </c>
      <c r="I2557" t="s">
        <v>32699</v>
      </c>
      <c r="J2557" t="s">
        <v>34565</v>
      </c>
      <c r="K2557" t="s">
        <v>42700</v>
      </c>
      <c r="M2557" t="s">
        <v>44055</v>
      </c>
      <c r="N2557" t="s">
        <v>47304</v>
      </c>
      <c r="O2557" t="s">
        <v>47305</v>
      </c>
      <c r="P2557">
        <v>0</v>
      </c>
      <c r="Q2557">
        <v>0</v>
      </c>
      <c r="R2557" t="s">
        <v>47307</v>
      </c>
      <c r="S2557" t="s">
        <v>47416</v>
      </c>
      <c r="T2557" t="s">
        <v>48983</v>
      </c>
      <c r="U2557" t="s">
        <v>51799</v>
      </c>
      <c r="W2557" t="s">
        <v>44055</v>
      </c>
      <c r="X2557" t="s">
        <v>47306</v>
      </c>
    </row>
    <row r="2558" spans="1:24">
      <c r="A2558">
        <f>HYPERLINK("https://www.philgeps.gov.ph/GEPSNONPILOT/Tender/SplashBidNoticeAbstractUI.aspx?menuIndex=3&amp;refID=7200507&amp;Result=3","7200507")</f>
        <v>0</v>
      </c>
      <c r="B2558" t="s">
        <v>1115</v>
      </c>
      <c r="C2558" t="s">
        <v>6332</v>
      </c>
      <c r="D2558" t="s">
        <v>19010</v>
      </c>
      <c r="E2558" t="s">
        <v>21433</v>
      </c>
      <c r="F2558" t="s">
        <v>32606</v>
      </c>
      <c r="G2558" t="s">
        <v>32614</v>
      </c>
      <c r="H2558" t="s">
        <v>14201</v>
      </c>
      <c r="I2558" t="s">
        <v>32641</v>
      </c>
      <c r="J2558" t="s">
        <v>32995</v>
      </c>
      <c r="K2558" t="s">
        <v>42624</v>
      </c>
      <c r="M2558" t="s">
        <v>44076</v>
      </c>
      <c r="N2558" t="s">
        <v>47304</v>
      </c>
      <c r="O2558" t="s">
        <v>47305</v>
      </c>
      <c r="P2558">
        <v>0</v>
      </c>
      <c r="Q2558">
        <v>0</v>
      </c>
      <c r="R2558" t="s">
        <v>47307</v>
      </c>
      <c r="S2558" t="s">
        <v>47416</v>
      </c>
      <c r="T2558" t="s">
        <v>49108</v>
      </c>
      <c r="U2558" t="s">
        <v>51800</v>
      </c>
      <c r="W2558" t="s">
        <v>44076</v>
      </c>
      <c r="X2558" t="s">
        <v>47306</v>
      </c>
    </row>
    <row r="2559" spans="1:24">
      <c r="A2559">
        <f>HYPERLINK("https://www.philgeps.gov.ph/GEPSNONPILOT/Tender/SplashBidNoticeAbstractUI.aspx?menuIndex=3&amp;refID=7200510&amp;Result=3","7200510")</f>
        <v>0</v>
      </c>
      <c r="B2559" t="s">
        <v>1116</v>
      </c>
      <c r="C2559" t="s">
        <v>6333</v>
      </c>
      <c r="D2559" t="s">
        <v>19007</v>
      </c>
      <c r="E2559" t="s">
        <v>19317</v>
      </c>
      <c r="F2559" t="s">
        <v>32606</v>
      </c>
      <c r="G2559" t="s">
        <v>32613</v>
      </c>
      <c r="H2559" t="s">
        <v>14201</v>
      </c>
      <c r="I2559" t="s">
        <v>32661</v>
      </c>
      <c r="J2559" t="s">
        <v>33332</v>
      </c>
      <c r="K2559" t="s">
        <v>42624</v>
      </c>
      <c r="M2559" t="s">
        <v>44077</v>
      </c>
      <c r="N2559" t="s">
        <v>47304</v>
      </c>
      <c r="O2559" t="s">
        <v>47305</v>
      </c>
      <c r="P2559">
        <v>0</v>
      </c>
      <c r="Q2559">
        <v>0</v>
      </c>
      <c r="R2559" t="s">
        <v>47307</v>
      </c>
      <c r="S2559" t="s">
        <v>47416</v>
      </c>
      <c r="T2559" t="s">
        <v>49028</v>
      </c>
      <c r="U2559" t="s">
        <v>51801</v>
      </c>
      <c r="W2559" t="s">
        <v>44077</v>
      </c>
      <c r="X2559" t="s">
        <v>47306</v>
      </c>
    </row>
    <row r="2560" spans="1:24">
      <c r="A2560">
        <f>HYPERLINK("https://www.philgeps.gov.ph/GEPSNONPILOT/Tender/SplashBidNoticeAbstractUI.aspx?menuIndex=3&amp;refID=7200504&amp;Result=3","7200504")</f>
        <v>0</v>
      </c>
      <c r="B2560" t="s">
        <v>1115</v>
      </c>
      <c r="C2560" t="s">
        <v>6334</v>
      </c>
      <c r="D2560" t="s">
        <v>19007</v>
      </c>
      <c r="E2560" t="s">
        <v>6334</v>
      </c>
      <c r="F2560" t="s">
        <v>32606</v>
      </c>
      <c r="G2560" t="s">
        <v>32614</v>
      </c>
      <c r="H2560" t="s">
        <v>14201</v>
      </c>
      <c r="I2560" t="s">
        <v>32641</v>
      </c>
      <c r="J2560" t="s">
        <v>32995</v>
      </c>
      <c r="K2560" t="s">
        <v>42624</v>
      </c>
      <c r="M2560" t="s">
        <v>44076</v>
      </c>
      <c r="N2560" t="s">
        <v>47304</v>
      </c>
      <c r="O2560" t="s">
        <v>47305</v>
      </c>
      <c r="P2560">
        <v>0</v>
      </c>
      <c r="Q2560">
        <v>0</v>
      </c>
      <c r="R2560" t="s">
        <v>47307</v>
      </c>
      <c r="S2560" t="s">
        <v>47416</v>
      </c>
      <c r="T2560" t="s">
        <v>49108</v>
      </c>
      <c r="U2560" t="s">
        <v>51802</v>
      </c>
      <c r="W2560" t="s">
        <v>44076</v>
      </c>
      <c r="X2560" t="s">
        <v>47306</v>
      </c>
    </row>
    <row r="2561" spans="1:24">
      <c r="A2561">
        <f>HYPERLINK("https://www.philgeps.gov.ph/GEPSNONPILOT/Tender/SplashBidNoticeAbstractUI.aspx?menuIndex=3&amp;refID=7200503&amp;Result=3","7200503")</f>
        <v>0</v>
      </c>
      <c r="B2561" t="s">
        <v>1117</v>
      </c>
      <c r="C2561" t="s">
        <v>6335</v>
      </c>
      <c r="D2561" t="s">
        <v>18988</v>
      </c>
      <c r="E2561" t="s">
        <v>20036</v>
      </c>
      <c r="F2561" t="s">
        <v>32606</v>
      </c>
      <c r="G2561" t="s">
        <v>32619</v>
      </c>
      <c r="H2561" t="s">
        <v>14201</v>
      </c>
      <c r="I2561" t="s">
        <v>32658</v>
      </c>
      <c r="J2561" t="s">
        <v>34566</v>
      </c>
      <c r="K2561" t="s">
        <v>42631</v>
      </c>
      <c r="M2561" t="s">
        <v>44078</v>
      </c>
      <c r="N2561" t="s">
        <v>47304</v>
      </c>
      <c r="O2561" t="s">
        <v>47305</v>
      </c>
      <c r="P2561">
        <v>0</v>
      </c>
      <c r="Q2561">
        <v>0</v>
      </c>
      <c r="R2561" t="s">
        <v>47307</v>
      </c>
      <c r="S2561" t="s">
        <v>47416</v>
      </c>
      <c r="T2561" t="s">
        <v>49226</v>
      </c>
      <c r="U2561" t="s">
        <v>51803</v>
      </c>
      <c r="W2561" t="s">
        <v>44078</v>
      </c>
      <c r="X2561" t="s">
        <v>47306</v>
      </c>
    </row>
    <row r="2562" spans="1:24">
      <c r="A2562">
        <f>HYPERLINK("https://www.philgeps.gov.ph/GEPSNONPILOT/Tender/SplashBidNoticeAbstractUI.aspx?menuIndex=3&amp;refID=7200474&amp;Result=3","7200474")</f>
        <v>0</v>
      </c>
      <c r="B2562" t="s">
        <v>398</v>
      </c>
      <c r="C2562" t="s">
        <v>4862</v>
      </c>
      <c r="D2562" t="s">
        <v>19013</v>
      </c>
      <c r="E2562" t="s">
        <v>21434</v>
      </c>
      <c r="F2562" t="s">
        <v>32606</v>
      </c>
      <c r="G2562" t="s">
        <v>32613</v>
      </c>
      <c r="H2562" t="s">
        <v>14201</v>
      </c>
      <c r="I2562" t="s">
        <v>4114</v>
      </c>
      <c r="J2562" t="s">
        <v>34567</v>
      </c>
      <c r="K2562" t="s">
        <v>42677</v>
      </c>
      <c r="M2562" t="s">
        <v>43301</v>
      </c>
      <c r="N2562" t="s">
        <v>47304</v>
      </c>
      <c r="O2562" t="s">
        <v>47305</v>
      </c>
      <c r="P2562">
        <v>0</v>
      </c>
      <c r="Q2562">
        <v>0</v>
      </c>
      <c r="R2562" t="s">
        <v>47307</v>
      </c>
      <c r="S2562" t="s">
        <v>47416</v>
      </c>
      <c r="T2562" t="s">
        <v>49227</v>
      </c>
      <c r="U2562" t="s">
        <v>51804</v>
      </c>
      <c r="W2562" t="s">
        <v>43301</v>
      </c>
      <c r="X2562" t="s">
        <v>47306</v>
      </c>
    </row>
    <row r="2563" spans="1:24">
      <c r="A2563">
        <f>HYPERLINK("https://www.philgeps.gov.ph/GEPSNONPILOT/Tender/SplashBidNoticeAbstractUI.aspx?menuIndex=3&amp;refID=7200501&amp;Result=3","7200501")</f>
        <v>0</v>
      </c>
      <c r="B2563" t="s">
        <v>1113</v>
      </c>
      <c r="C2563" t="s">
        <v>6336</v>
      </c>
      <c r="D2563" t="s">
        <v>18994</v>
      </c>
      <c r="E2563" t="s">
        <v>21435</v>
      </c>
      <c r="F2563" t="s">
        <v>32606</v>
      </c>
      <c r="G2563" t="s">
        <v>32614</v>
      </c>
      <c r="H2563" t="s">
        <v>14201</v>
      </c>
      <c r="I2563" t="s">
        <v>4120</v>
      </c>
      <c r="J2563" t="s">
        <v>34568</v>
      </c>
      <c r="K2563" t="s">
        <v>42625</v>
      </c>
      <c r="M2563" t="s">
        <v>44074</v>
      </c>
      <c r="N2563" t="s">
        <v>47304</v>
      </c>
      <c r="O2563" t="s">
        <v>47305</v>
      </c>
      <c r="P2563">
        <v>0</v>
      </c>
      <c r="Q2563">
        <v>0</v>
      </c>
      <c r="R2563" t="s">
        <v>47307</v>
      </c>
      <c r="S2563" t="s">
        <v>47416</v>
      </c>
      <c r="T2563" t="s">
        <v>49015</v>
      </c>
      <c r="U2563" t="s">
        <v>51805</v>
      </c>
      <c r="W2563" t="s">
        <v>44074</v>
      </c>
      <c r="X2563" t="s">
        <v>47306</v>
      </c>
    </row>
    <row r="2564" spans="1:24">
      <c r="A2564">
        <f>HYPERLINK("https://www.philgeps.gov.ph/GEPSNONPILOT/Tender/SplashBidNoticeAbstractUI.aspx?menuIndex=3&amp;refID=7200499&amp;Result=3","7200499")</f>
        <v>0</v>
      </c>
      <c r="B2564" t="s">
        <v>280</v>
      </c>
      <c r="C2564" t="s">
        <v>6298</v>
      </c>
      <c r="D2564" t="s">
        <v>19028</v>
      </c>
      <c r="E2564" t="s">
        <v>21436</v>
      </c>
      <c r="F2564" t="s">
        <v>32606</v>
      </c>
      <c r="G2564" t="s">
        <v>32614</v>
      </c>
      <c r="H2564" t="s">
        <v>14201</v>
      </c>
      <c r="I2564" t="s">
        <v>6298</v>
      </c>
      <c r="J2564" t="s">
        <v>34569</v>
      </c>
      <c r="K2564" t="s">
        <v>42631</v>
      </c>
      <c r="M2564" t="s">
        <v>43712</v>
      </c>
      <c r="N2564" t="s">
        <v>47304</v>
      </c>
      <c r="O2564" t="s">
        <v>47305</v>
      </c>
      <c r="P2564">
        <v>0</v>
      </c>
      <c r="Q2564">
        <v>0</v>
      </c>
      <c r="R2564" t="s">
        <v>47307</v>
      </c>
      <c r="S2564" t="s">
        <v>47416</v>
      </c>
      <c r="T2564" t="s">
        <v>48987</v>
      </c>
      <c r="U2564" t="s">
        <v>51806</v>
      </c>
      <c r="W2564" t="s">
        <v>43712</v>
      </c>
      <c r="X2564" t="s">
        <v>47306</v>
      </c>
    </row>
    <row r="2565" spans="1:24">
      <c r="A2565">
        <f>HYPERLINK("https://www.philgeps.gov.ph/GEPSNONPILOT/Tender/SplashBidNoticeAbstractUI.aspx?menuIndex=3&amp;refID=7200498&amp;Result=3","7200498")</f>
        <v>0</v>
      </c>
      <c r="B2565" t="s">
        <v>1118</v>
      </c>
      <c r="C2565" t="s">
        <v>6337</v>
      </c>
      <c r="E2565" t="s">
        <v>21437</v>
      </c>
      <c r="F2565" t="s">
        <v>32606</v>
      </c>
      <c r="G2565" t="s">
        <v>32613</v>
      </c>
      <c r="H2565" t="s">
        <v>32623</v>
      </c>
      <c r="I2565" t="s">
        <v>17648</v>
      </c>
      <c r="J2565" t="s">
        <v>34570</v>
      </c>
      <c r="K2565" t="s">
        <v>42631</v>
      </c>
      <c r="M2565" t="s">
        <v>44079</v>
      </c>
      <c r="N2565" t="s">
        <v>47304</v>
      </c>
      <c r="O2565" t="s">
        <v>47305</v>
      </c>
      <c r="P2565">
        <v>0</v>
      </c>
      <c r="Q2565">
        <v>0</v>
      </c>
      <c r="R2565" t="s">
        <v>47307</v>
      </c>
      <c r="S2565" t="s">
        <v>47416</v>
      </c>
      <c r="T2565" t="s">
        <v>49057</v>
      </c>
      <c r="U2565" t="s">
        <v>51807</v>
      </c>
      <c r="W2565" t="s">
        <v>44079</v>
      </c>
      <c r="X2565" t="s">
        <v>47306</v>
      </c>
    </row>
    <row r="2566" spans="1:24">
      <c r="A2566">
        <f>HYPERLINK("https://www.philgeps.gov.ph/GEPSNONPILOT/Tender/SplashBidNoticeAbstractUI.aspx?menuIndex=3&amp;refID=7200500&amp;Result=3","7200500")</f>
        <v>0</v>
      </c>
      <c r="B2566" t="s">
        <v>644</v>
      </c>
      <c r="C2566" t="s">
        <v>6338</v>
      </c>
      <c r="D2566" t="s">
        <v>19022</v>
      </c>
      <c r="E2566" t="s">
        <v>21438</v>
      </c>
      <c r="F2566" t="s">
        <v>32606</v>
      </c>
      <c r="G2566" t="s">
        <v>32615</v>
      </c>
      <c r="H2566" t="s">
        <v>14201</v>
      </c>
      <c r="I2566" t="s">
        <v>7577</v>
      </c>
      <c r="J2566" t="s">
        <v>34571</v>
      </c>
      <c r="K2566" t="s">
        <v>42624</v>
      </c>
      <c r="M2566" t="s">
        <v>44072</v>
      </c>
      <c r="N2566" t="s">
        <v>47304</v>
      </c>
      <c r="O2566" t="s">
        <v>47305</v>
      </c>
      <c r="P2566">
        <v>0</v>
      </c>
      <c r="Q2566">
        <v>0</v>
      </c>
      <c r="R2566" t="s">
        <v>47307</v>
      </c>
      <c r="S2566" t="s">
        <v>47416</v>
      </c>
      <c r="T2566" t="s">
        <v>49093</v>
      </c>
      <c r="U2566" t="s">
        <v>51808</v>
      </c>
      <c r="W2566" t="s">
        <v>44072</v>
      </c>
      <c r="X2566" t="s">
        <v>47306</v>
      </c>
    </row>
    <row r="2567" spans="1:24">
      <c r="A2567">
        <f>HYPERLINK("https://www.philgeps.gov.ph/GEPSNONPILOT/Tender/SplashBidNoticeAbstractUI.aspx?menuIndex=3&amp;refID=7200477&amp;Result=3","7200477")</f>
        <v>0</v>
      </c>
      <c r="B2567" t="s">
        <v>712</v>
      </c>
      <c r="C2567" t="s">
        <v>6339</v>
      </c>
      <c r="D2567" t="s">
        <v>19040</v>
      </c>
      <c r="E2567" t="s">
        <v>21439</v>
      </c>
      <c r="F2567" t="s">
        <v>32606</v>
      </c>
      <c r="G2567" t="s">
        <v>32613</v>
      </c>
      <c r="H2567" t="s">
        <v>14201</v>
      </c>
      <c r="I2567" t="s">
        <v>32640</v>
      </c>
      <c r="J2567" t="s">
        <v>34572</v>
      </c>
      <c r="K2567" t="s">
        <v>42631</v>
      </c>
      <c r="M2567" t="s">
        <v>44080</v>
      </c>
      <c r="N2567" t="s">
        <v>47304</v>
      </c>
      <c r="O2567" t="s">
        <v>47305</v>
      </c>
      <c r="P2567">
        <v>0</v>
      </c>
      <c r="Q2567">
        <v>0</v>
      </c>
      <c r="R2567" t="s">
        <v>47307</v>
      </c>
      <c r="S2567" t="s">
        <v>47416</v>
      </c>
      <c r="T2567" t="s">
        <v>49133</v>
      </c>
      <c r="U2567" t="s">
        <v>51809</v>
      </c>
      <c r="W2567" t="s">
        <v>64461</v>
      </c>
      <c r="X2567" t="s">
        <v>47306</v>
      </c>
    </row>
    <row r="2568" spans="1:24">
      <c r="A2568">
        <f>HYPERLINK("https://www.philgeps.gov.ph/GEPSNONPILOT/Tender/SplashBidNoticeAbstractUI.aspx?menuIndex=3&amp;refID=7200495&amp;Result=3","7200495")</f>
        <v>0</v>
      </c>
      <c r="B2568" t="s">
        <v>145</v>
      </c>
      <c r="C2568" t="s">
        <v>6340</v>
      </c>
      <c r="D2568" t="s">
        <v>19033</v>
      </c>
      <c r="E2568" t="s">
        <v>19339</v>
      </c>
      <c r="F2568" t="s">
        <v>32606</v>
      </c>
      <c r="G2568" t="s">
        <v>32613</v>
      </c>
      <c r="H2568" t="s">
        <v>32623</v>
      </c>
      <c r="I2568" t="s">
        <v>32659</v>
      </c>
      <c r="J2568" t="s">
        <v>32981</v>
      </c>
      <c r="K2568" t="s">
        <v>42631</v>
      </c>
      <c r="M2568" t="s">
        <v>43046</v>
      </c>
      <c r="N2568" t="s">
        <v>47304</v>
      </c>
      <c r="O2568" t="s">
        <v>47305</v>
      </c>
      <c r="P2568">
        <v>0</v>
      </c>
      <c r="Q2568">
        <v>0</v>
      </c>
      <c r="R2568" t="s">
        <v>47307</v>
      </c>
      <c r="S2568" t="s">
        <v>47416</v>
      </c>
      <c r="T2568" t="s">
        <v>48971</v>
      </c>
      <c r="U2568" t="s">
        <v>51810</v>
      </c>
      <c r="W2568" t="s">
        <v>43046</v>
      </c>
      <c r="X2568" t="s">
        <v>47306</v>
      </c>
    </row>
    <row r="2569" spans="1:24">
      <c r="A2569">
        <f>HYPERLINK("https://www.philgeps.gov.ph/GEPSNONPILOT/Tender/SplashBidNoticeAbstractUI.aspx?menuIndex=3&amp;refID=7200493&amp;Result=3","7200493")</f>
        <v>0</v>
      </c>
      <c r="B2569" t="s">
        <v>503</v>
      </c>
      <c r="C2569" t="s">
        <v>6341</v>
      </c>
      <c r="D2569" t="s">
        <v>19033</v>
      </c>
      <c r="E2569" t="s">
        <v>21440</v>
      </c>
      <c r="F2569" t="s">
        <v>32606</v>
      </c>
      <c r="G2569" t="s">
        <v>32613</v>
      </c>
      <c r="H2569" t="s">
        <v>32623</v>
      </c>
      <c r="I2569" t="s">
        <v>17648</v>
      </c>
      <c r="J2569" t="s">
        <v>34573</v>
      </c>
      <c r="K2569" t="s">
        <v>42730</v>
      </c>
      <c r="M2569" t="s">
        <v>43416</v>
      </c>
      <c r="N2569" t="s">
        <v>47304</v>
      </c>
      <c r="O2569" t="s">
        <v>47305</v>
      </c>
      <c r="P2569">
        <v>0</v>
      </c>
      <c r="Q2569">
        <v>0</v>
      </c>
      <c r="R2569" t="s">
        <v>47307</v>
      </c>
      <c r="S2569" t="s">
        <v>47416</v>
      </c>
      <c r="T2569" t="s">
        <v>48973</v>
      </c>
      <c r="U2569" t="s">
        <v>51789</v>
      </c>
      <c r="V2569" t="s">
        <v>62930</v>
      </c>
      <c r="W2569" t="s">
        <v>43416</v>
      </c>
      <c r="X2569" t="s">
        <v>47306</v>
      </c>
    </row>
    <row r="2570" spans="1:24">
      <c r="A2570">
        <f>HYPERLINK("https://www.philgeps.gov.ph/GEPSNONPILOT/Tender/SplashBidNoticeAbstractUI.aspx?menuIndex=3&amp;refID=7200497&amp;Result=3","7200497")</f>
        <v>0</v>
      </c>
      <c r="B2570" t="s">
        <v>1033</v>
      </c>
      <c r="C2570" t="s">
        <v>6342</v>
      </c>
      <c r="D2570" t="s">
        <v>19037</v>
      </c>
      <c r="E2570" t="s">
        <v>21441</v>
      </c>
      <c r="F2570" t="s">
        <v>32609</v>
      </c>
      <c r="G2570" t="s">
        <v>32619</v>
      </c>
      <c r="H2570" t="s">
        <v>32624</v>
      </c>
      <c r="I2570" t="s">
        <v>32676</v>
      </c>
      <c r="J2570" t="s">
        <v>34550</v>
      </c>
      <c r="K2570" t="s">
        <v>42629</v>
      </c>
      <c r="M2570" t="s">
        <v>43986</v>
      </c>
      <c r="N2570" t="s">
        <v>47304</v>
      </c>
      <c r="O2570" t="s">
        <v>47305</v>
      </c>
      <c r="P2570">
        <v>0</v>
      </c>
      <c r="Q2570">
        <v>0</v>
      </c>
      <c r="R2570" t="s">
        <v>47307</v>
      </c>
      <c r="S2570" t="s">
        <v>47416</v>
      </c>
      <c r="T2570" t="s">
        <v>48986</v>
      </c>
      <c r="U2570" t="s">
        <v>51811</v>
      </c>
      <c r="W2570" t="s">
        <v>43986</v>
      </c>
      <c r="X2570" t="s">
        <v>47306</v>
      </c>
    </row>
    <row r="2571" spans="1:24">
      <c r="A2571">
        <f>HYPERLINK("https://www.philgeps.gov.ph/GEPSNONPILOT/Tender/SplashBidNoticeAbstractUI.aspx?menuIndex=3&amp;refID=7200491&amp;Result=3","7200491")</f>
        <v>0</v>
      </c>
      <c r="B2571" t="s">
        <v>280</v>
      </c>
      <c r="C2571" t="s">
        <v>6298</v>
      </c>
      <c r="D2571" t="s">
        <v>19028</v>
      </c>
      <c r="E2571" t="s">
        <v>21442</v>
      </c>
      <c r="F2571" t="s">
        <v>32606</v>
      </c>
      <c r="G2571" t="s">
        <v>32614</v>
      </c>
      <c r="H2571" t="s">
        <v>14201</v>
      </c>
      <c r="I2571" t="s">
        <v>6298</v>
      </c>
      <c r="J2571" t="s">
        <v>34574</v>
      </c>
      <c r="K2571" t="s">
        <v>42631</v>
      </c>
      <c r="M2571" t="s">
        <v>43712</v>
      </c>
      <c r="N2571" t="s">
        <v>47304</v>
      </c>
      <c r="O2571" t="s">
        <v>47305</v>
      </c>
      <c r="P2571">
        <v>0</v>
      </c>
      <c r="Q2571">
        <v>0</v>
      </c>
      <c r="R2571" t="s">
        <v>47307</v>
      </c>
      <c r="S2571" t="s">
        <v>47416</v>
      </c>
      <c r="T2571" t="s">
        <v>49002</v>
      </c>
      <c r="U2571" t="s">
        <v>51812</v>
      </c>
      <c r="W2571" t="s">
        <v>43712</v>
      </c>
      <c r="X2571" t="s">
        <v>47306</v>
      </c>
    </row>
    <row r="2572" spans="1:24">
      <c r="A2572">
        <f>HYPERLINK("https://www.philgeps.gov.ph/GEPSNONPILOT/Tender/SplashBidNoticeAbstractUI.aspx?menuIndex=3&amp;refID=7200496&amp;Result=3","7200496")</f>
        <v>0</v>
      </c>
      <c r="B2572" t="s">
        <v>280</v>
      </c>
      <c r="C2572" t="s">
        <v>6298</v>
      </c>
      <c r="D2572" t="s">
        <v>19028</v>
      </c>
      <c r="E2572" t="s">
        <v>21443</v>
      </c>
      <c r="F2572" t="s">
        <v>32606</v>
      </c>
      <c r="G2572" t="s">
        <v>32614</v>
      </c>
      <c r="H2572" t="s">
        <v>14201</v>
      </c>
      <c r="I2572" t="s">
        <v>6298</v>
      </c>
      <c r="J2572" t="s">
        <v>34575</v>
      </c>
      <c r="K2572" t="s">
        <v>42631</v>
      </c>
      <c r="M2572" t="s">
        <v>43712</v>
      </c>
      <c r="N2572" t="s">
        <v>47304</v>
      </c>
      <c r="O2572" t="s">
        <v>47305</v>
      </c>
      <c r="P2572">
        <v>0</v>
      </c>
      <c r="Q2572">
        <v>0</v>
      </c>
      <c r="R2572" t="s">
        <v>47307</v>
      </c>
      <c r="S2572" t="s">
        <v>47416</v>
      </c>
      <c r="T2572" t="s">
        <v>48987</v>
      </c>
      <c r="U2572" t="s">
        <v>51813</v>
      </c>
      <c r="W2572" t="s">
        <v>43712</v>
      </c>
      <c r="X2572" t="s">
        <v>47306</v>
      </c>
    </row>
    <row r="2573" spans="1:24">
      <c r="A2573">
        <f>HYPERLINK("https://www.philgeps.gov.ph/GEPSNONPILOT/Tender/SplashBidNoticeAbstractUI.aspx?menuIndex=3&amp;refID=7200470&amp;Result=3","7200470")</f>
        <v>0</v>
      </c>
      <c r="B2573" t="s">
        <v>892</v>
      </c>
      <c r="C2573" t="s">
        <v>6343</v>
      </c>
      <c r="D2573" t="s">
        <v>18993</v>
      </c>
      <c r="E2573" t="s">
        <v>21444</v>
      </c>
      <c r="F2573" t="s">
        <v>32606</v>
      </c>
      <c r="G2573" t="s">
        <v>32614</v>
      </c>
      <c r="H2573" t="s">
        <v>14201</v>
      </c>
      <c r="I2573" t="s">
        <v>32638</v>
      </c>
      <c r="J2573" t="s">
        <v>33539</v>
      </c>
      <c r="K2573" t="s">
        <v>42630</v>
      </c>
      <c r="M2573" t="s">
        <v>43828</v>
      </c>
      <c r="N2573" t="s">
        <v>47304</v>
      </c>
      <c r="O2573" t="s">
        <v>47305</v>
      </c>
      <c r="P2573">
        <v>0</v>
      </c>
      <c r="Q2573">
        <v>0</v>
      </c>
      <c r="R2573" t="s">
        <v>47307</v>
      </c>
      <c r="S2573" t="s">
        <v>47416</v>
      </c>
      <c r="T2573" t="s">
        <v>48988</v>
      </c>
      <c r="U2573" t="s">
        <v>51256</v>
      </c>
      <c r="W2573" t="s">
        <v>43828</v>
      </c>
      <c r="X2573" t="s">
        <v>47306</v>
      </c>
    </row>
    <row r="2574" spans="1:24">
      <c r="A2574">
        <f>HYPERLINK("https://www.philgeps.gov.ph/GEPSNONPILOT/Tender/SplashBidNoticeAbstractUI.aspx?menuIndex=3&amp;refID=7200506&amp;Result=3","7200506")</f>
        <v>0</v>
      </c>
      <c r="B2574" t="s">
        <v>1113</v>
      </c>
      <c r="C2574" t="s">
        <v>6344</v>
      </c>
      <c r="D2574" t="s">
        <v>18994</v>
      </c>
      <c r="E2574" t="s">
        <v>21445</v>
      </c>
      <c r="F2574" t="s">
        <v>32606</v>
      </c>
      <c r="G2574" t="s">
        <v>32614</v>
      </c>
      <c r="H2574" t="s">
        <v>14201</v>
      </c>
      <c r="I2574" t="s">
        <v>4120</v>
      </c>
      <c r="J2574" t="s">
        <v>34576</v>
      </c>
      <c r="K2574" t="s">
        <v>42625</v>
      </c>
      <c r="M2574" t="s">
        <v>44074</v>
      </c>
      <c r="N2574" t="s">
        <v>47304</v>
      </c>
      <c r="O2574" t="s">
        <v>47305</v>
      </c>
      <c r="P2574">
        <v>0</v>
      </c>
      <c r="Q2574">
        <v>0</v>
      </c>
      <c r="R2574" t="s">
        <v>47307</v>
      </c>
      <c r="S2574" t="s">
        <v>47416</v>
      </c>
      <c r="T2574" t="s">
        <v>49015</v>
      </c>
      <c r="U2574" t="s">
        <v>51814</v>
      </c>
      <c r="W2574" t="s">
        <v>44074</v>
      </c>
      <c r="X2574" t="s">
        <v>47306</v>
      </c>
    </row>
    <row r="2575" spans="1:24">
      <c r="A2575">
        <f>HYPERLINK("https://www.philgeps.gov.ph/GEPSNONPILOT/Tender/SplashBidNoticeAbstractUI.aspx?menuIndex=3&amp;refID=7200478&amp;Result=3","7200478")</f>
        <v>0</v>
      </c>
      <c r="B2575" t="s">
        <v>145</v>
      </c>
      <c r="C2575" t="s">
        <v>6345</v>
      </c>
      <c r="D2575" t="s">
        <v>19033</v>
      </c>
      <c r="E2575" t="s">
        <v>19369</v>
      </c>
      <c r="F2575" t="s">
        <v>32606</v>
      </c>
      <c r="G2575" t="s">
        <v>32613</v>
      </c>
      <c r="H2575" t="s">
        <v>32623</v>
      </c>
      <c r="I2575" t="s">
        <v>32659</v>
      </c>
      <c r="J2575" t="s">
        <v>32981</v>
      </c>
      <c r="K2575" t="s">
        <v>42631</v>
      </c>
      <c r="M2575" t="s">
        <v>43046</v>
      </c>
      <c r="N2575" t="s">
        <v>47304</v>
      </c>
      <c r="O2575" t="s">
        <v>47305</v>
      </c>
      <c r="P2575">
        <v>0</v>
      </c>
      <c r="Q2575">
        <v>0</v>
      </c>
      <c r="R2575" t="s">
        <v>47307</v>
      </c>
      <c r="S2575" t="s">
        <v>47416</v>
      </c>
      <c r="T2575" t="s">
        <v>48971</v>
      </c>
      <c r="U2575" t="s">
        <v>51815</v>
      </c>
      <c r="W2575" t="s">
        <v>43046</v>
      </c>
      <c r="X2575" t="s">
        <v>47306</v>
      </c>
    </row>
    <row r="2576" spans="1:24">
      <c r="A2576">
        <f>HYPERLINK("https://www.philgeps.gov.ph/GEPSNONPILOT/Tender/SplashBidNoticeAbstractUI.aspx?menuIndex=3&amp;refID=7200492&amp;Result=3","7200492")</f>
        <v>0</v>
      </c>
      <c r="B2576" t="s">
        <v>644</v>
      </c>
      <c r="C2576" t="s">
        <v>6346</v>
      </c>
      <c r="D2576" t="s">
        <v>19022</v>
      </c>
      <c r="E2576" t="s">
        <v>6346</v>
      </c>
      <c r="F2576" t="s">
        <v>32606</v>
      </c>
      <c r="G2576" t="s">
        <v>32615</v>
      </c>
      <c r="H2576" t="s">
        <v>14201</v>
      </c>
      <c r="I2576" t="s">
        <v>6298</v>
      </c>
      <c r="J2576" t="s">
        <v>32765</v>
      </c>
      <c r="K2576" t="s">
        <v>42624</v>
      </c>
      <c r="M2576" t="s">
        <v>44072</v>
      </c>
      <c r="N2576" t="s">
        <v>47304</v>
      </c>
      <c r="O2576" t="s">
        <v>47305</v>
      </c>
      <c r="P2576">
        <v>0</v>
      </c>
      <c r="Q2576">
        <v>0</v>
      </c>
      <c r="R2576" t="s">
        <v>47307</v>
      </c>
      <c r="S2576" t="s">
        <v>47416</v>
      </c>
      <c r="T2576" t="s">
        <v>49093</v>
      </c>
      <c r="U2576" t="s">
        <v>51816</v>
      </c>
      <c r="W2576" t="s">
        <v>44072</v>
      </c>
      <c r="X2576" t="s">
        <v>47306</v>
      </c>
    </row>
    <row r="2577" spans="1:24">
      <c r="A2577">
        <f>HYPERLINK("https://www.philgeps.gov.ph/GEPSNONPILOT/Tender/SplashBidNoticeAbstractUI.aspx?menuIndex=3&amp;refID=7200530&amp;Result=3","7200530")</f>
        <v>0</v>
      </c>
      <c r="B2577" t="s">
        <v>1119</v>
      </c>
      <c r="C2577" t="s">
        <v>6347</v>
      </c>
      <c r="D2577" t="s">
        <v>19002</v>
      </c>
      <c r="E2577" t="s">
        <v>21446</v>
      </c>
      <c r="F2577" t="s">
        <v>32606</v>
      </c>
      <c r="G2577" t="s">
        <v>32613</v>
      </c>
      <c r="H2577" t="s">
        <v>14201</v>
      </c>
      <c r="I2577" t="s">
        <v>32655</v>
      </c>
      <c r="J2577" t="s">
        <v>34577</v>
      </c>
      <c r="K2577" t="s">
        <v>42623</v>
      </c>
      <c r="M2577" t="s">
        <v>44081</v>
      </c>
      <c r="N2577" t="s">
        <v>47304</v>
      </c>
      <c r="O2577" t="s">
        <v>47305</v>
      </c>
      <c r="P2577">
        <v>0</v>
      </c>
      <c r="Q2577">
        <v>1</v>
      </c>
      <c r="R2577" t="s">
        <v>47307</v>
      </c>
      <c r="S2577" t="s">
        <v>47416</v>
      </c>
      <c r="T2577" t="s">
        <v>49033</v>
      </c>
      <c r="U2577" t="s">
        <v>51817</v>
      </c>
      <c r="W2577" t="s">
        <v>64462</v>
      </c>
      <c r="X2577" t="s">
        <v>47306</v>
      </c>
    </row>
    <row r="2578" spans="1:24">
      <c r="A2578">
        <f>HYPERLINK("https://www.philgeps.gov.ph/GEPSNONPILOT/Tender/SplashBidNoticeAbstractUI.aspx?menuIndex=3&amp;refID=7200490&amp;Result=3","7200490")</f>
        <v>0</v>
      </c>
      <c r="B2578" t="s">
        <v>398</v>
      </c>
      <c r="C2578" t="s">
        <v>6348</v>
      </c>
      <c r="D2578" t="s">
        <v>19013</v>
      </c>
      <c r="E2578" t="s">
        <v>21447</v>
      </c>
      <c r="F2578" t="s">
        <v>32606</v>
      </c>
      <c r="G2578" t="s">
        <v>32613</v>
      </c>
      <c r="H2578" t="s">
        <v>14201</v>
      </c>
      <c r="I2578" t="s">
        <v>8682</v>
      </c>
      <c r="J2578" t="s">
        <v>34578</v>
      </c>
      <c r="K2578" t="s">
        <v>42694</v>
      </c>
      <c r="M2578" t="s">
        <v>43301</v>
      </c>
      <c r="N2578" t="s">
        <v>47304</v>
      </c>
      <c r="O2578" t="s">
        <v>47305</v>
      </c>
      <c r="P2578">
        <v>0</v>
      </c>
      <c r="Q2578">
        <v>1</v>
      </c>
      <c r="R2578" t="s">
        <v>47307</v>
      </c>
      <c r="S2578" t="s">
        <v>47416</v>
      </c>
      <c r="T2578" t="s">
        <v>49228</v>
      </c>
      <c r="U2578" t="s">
        <v>51818</v>
      </c>
      <c r="W2578" t="s">
        <v>43301</v>
      </c>
      <c r="X2578" t="s">
        <v>47306</v>
      </c>
    </row>
    <row r="2579" spans="1:24">
      <c r="A2579">
        <f>HYPERLINK("https://www.philgeps.gov.ph/GEPSNONPILOT/Tender/SplashBidNoticeAbstractUI.aspx?menuIndex=3&amp;refID=7200528&amp;Result=3","7200528")</f>
        <v>0</v>
      </c>
      <c r="B2579" t="s">
        <v>1067</v>
      </c>
      <c r="C2579" t="s">
        <v>6349</v>
      </c>
      <c r="D2579" t="s">
        <v>19010</v>
      </c>
      <c r="E2579" t="s">
        <v>21448</v>
      </c>
      <c r="F2579" t="s">
        <v>32606</v>
      </c>
      <c r="G2579" t="s">
        <v>32614</v>
      </c>
      <c r="H2579" t="s">
        <v>14201</v>
      </c>
      <c r="I2579" t="s">
        <v>32626</v>
      </c>
      <c r="J2579" t="s">
        <v>34579</v>
      </c>
      <c r="K2579" t="s">
        <v>42623</v>
      </c>
      <c r="M2579" t="s">
        <v>44020</v>
      </c>
      <c r="N2579" t="s">
        <v>47304</v>
      </c>
      <c r="O2579" t="s">
        <v>47305</v>
      </c>
      <c r="P2579">
        <v>0</v>
      </c>
      <c r="Q2579">
        <v>0</v>
      </c>
      <c r="R2579" t="s">
        <v>47307</v>
      </c>
      <c r="S2579" t="s">
        <v>47416</v>
      </c>
      <c r="T2579" t="s">
        <v>49002</v>
      </c>
      <c r="U2579" t="s">
        <v>51819</v>
      </c>
      <c r="W2579" t="s">
        <v>44020</v>
      </c>
      <c r="X2579" t="s">
        <v>47306</v>
      </c>
    </row>
    <row r="2580" spans="1:24">
      <c r="A2580">
        <f>HYPERLINK("https://www.philgeps.gov.ph/GEPSNONPILOT/Tender/SplashBidNoticeAbstractUI.aspx?menuIndex=3&amp;refID=7200526&amp;Result=3","7200526")</f>
        <v>0</v>
      </c>
      <c r="B2580" t="s">
        <v>1120</v>
      </c>
      <c r="C2580" t="s">
        <v>6350</v>
      </c>
      <c r="D2580" t="s">
        <v>18993</v>
      </c>
      <c r="E2580" t="s">
        <v>21449</v>
      </c>
      <c r="F2580" t="s">
        <v>32606</v>
      </c>
      <c r="G2580" t="s">
        <v>32614</v>
      </c>
      <c r="H2580" t="s">
        <v>14201</v>
      </c>
      <c r="I2580" t="s">
        <v>32640</v>
      </c>
      <c r="J2580" t="s">
        <v>32778</v>
      </c>
      <c r="K2580" t="s">
        <v>42624</v>
      </c>
      <c r="M2580" t="s">
        <v>44082</v>
      </c>
      <c r="N2580" t="s">
        <v>47304</v>
      </c>
      <c r="O2580" t="s">
        <v>47305</v>
      </c>
      <c r="P2580">
        <v>0</v>
      </c>
      <c r="Q2580">
        <v>0</v>
      </c>
      <c r="R2580" t="s">
        <v>47307</v>
      </c>
      <c r="S2580" t="s">
        <v>47416</v>
      </c>
      <c r="T2580" t="s">
        <v>49114</v>
      </c>
      <c r="U2580" t="s">
        <v>51820</v>
      </c>
      <c r="V2580" t="s">
        <v>62931</v>
      </c>
      <c r="W2580" t="s">
        <v>44082</v>
      </c>
      <c r="X2580" t="s">
        <v>47306</v>
      </c>
    </row>
    <row r="2581" spans="1:24">
      <c r="A2581">
        <f>HYPERLINK("https://www.philgeps.gov.ph/GEPSNONPILOT/Tender/SplashBidNoticeAbstractUI.aspx?menuIndex=3&amp;refID=7200505&amp;Result=3","7200505")</f>
        <v>0</v>
      </c>
      <c r="B2581" t="s">
        <v>1121</v>
      </c>
      <c r="C2581" t="s">
        <v>6351</v>
      </c>
      <c r="D2581" t="s">
        <v>19037</v>
      </c>
      <c r="E2581" t="s">
        <v>21450</v>
      </c>
      <c r="F2581" t="s">
        <v>32606</v>
      </c>
      <c r="G2581" t="s">
        <v>32613</v>
      </c>
      <c r="H2581" t="s">
        <v>14201</v>
      </c>
      <c r="I2581" t="s">
        <v>7577</v>
      </c>
      <c r="J2581" t="s">
        <v>34580</v>
      </c>
      <c r="K2581" t="s">
        <v>42639</v>
      </c>
      <c r="M2581" t="s">
        <v>44083</v>
      </c>
      <c r="N2581" t="s">
        <v>47304</v>
      </c>
      <c r="O2581" t="s">
        <v>47305</v>
      </c>
      <c r="P2581">
        <v>0</v>
      </c>
      <c r="Q2581">
        <v>0</v>
      </c>
      <c r="R2581" t="s">
        <v>47307</v>
      </c>
      <c r="S2581" t="s">
        <v>47416</v>
      </c>
      <c r="T2581" t="s">
        <v>49152</v>
      </c>
      <c r="U2581" t="s">
        <v>51821</v>
      </c>
      <c r="W2581" t="s">
        <v>64463</v>
      </c>
      <c r="X2581" t="s">
        <v>47306</v>
      </c>
    </row>
    <row r="2582" spans="1:24">
      <c r="A2582">
        <f>HYPERLINK("https://www.philgeps.gov.ph/GEPSNONPILOT/Tender/SplashBidNoticeAbstractUI.aspx?menuIndex=3&amp;refID=7200524&amp;Result=3","7200524")</f>
        <v>0</v>
      </c>
      <c r="B2582" t="s">
        <v>1122</v>
      </c>
      <c r="C2582" t="s">
        <v>6352</v>
      </c>
      <c r="D2582" t="s">
        <v>19008</v>
      </c>
      <c r="E2582" t="s">
        <v>21451</v>
      </c>
      <c r="F2582" t="s">
        <v>32606</v>
      </c>
      <c r="G2582" t="s">
        <v>32613</v>
      </c>
      <c r="H2582" t="s">
        <v>14201</v>
      </c>
      <c r="I2582" t="s">
        <v>7064</v>
      </c>
      <c r="J2582" t="s">
        <v>34581</v>
      </c>
      <c r="K2582" t="s">
        <v>42631</v>
      </c>
      <c r="M2582" t="s">
        <v>44084</v>
      </c>
      <c r="N2582" t="s">
        <v>47304</v>
      </c>
      <c r="O2582" t="s">
        <v>47305</v>
      </c>
      <c r="P2582">
        <v>0</v>
      </c>
      <c r="Q2582">
        <v>0</v>
      </c>
      <c r="R2582" t="s">
        <v>47307</v>
      </c>
      <c r="S2582" t="s">
        <v>47416</v>
      </c>
      <c r="T2582" t="s">
        <v>49162</v>
      </c>
      <c r="U2582" t="s">
        <v>51822</v>
      </c>
      <c r="W2582" t="s">
        <v>44084</v>
      </c>
      <c r="X2582" t="s">
        <v>47306</v>
      </c>
    </row>
    <row r="2583" spans="1:24">
      <c r="A2583">
        <f>HYPERLINK("https://www.philgeps.gov.ph/GEPSNONPILOT/Tender/SplashBidNoticeAbstractUI.aspx?menuIndex=3&amp;refID=7200531&amp;Result=3","7200531")</f>
        <v>0</v>
      </c>
      <c r="B2583" t="s">
        <v>234</v>
      </c>
      <c r="C2583" t="s">
        <v>6353</v>
      </c>
      <c r="D2583" t="s">
        <v>19052</v>
      </c>
      <c r="E2583" t="s">
        <v>21452</v>
      </c>
      <c r="F2583" t="s">
        <v>32606</v>
      </c>
      <c r="G2583" t="s">
        <v>32613</v>
      </c>
      <c r="H2583" t="s">
        <v>14201</v>
      </c>
      <c r="I2583" t="s">
        <v>32696</v>
      </c>
      <c r="J2583" t="s">
        <v>34582</v>
      </c>
      <c r="K2583" t="s">
        <v>42639</v>
      </c>
      <c r="M2583" t="s">
        <v>43135</v>
      </c>
      <c r="N2583" t="s">
        <v>47304</v>
      </c>
      <c r="O2583" t="s">
        <v>47305</v>
      </c>
      <c r="P2583">
        <v>0</v>
      </c>
      <c r="Q2583">
        <v>0</v>
      </c>
      <c r="R2583" t="s">
        <v>47307</v>
      </c>
      <c r="S2583" t="s">
        <v>47416</v>
      </c>
      <c r="T2583" t="s">
        <v>48983</v>
      </c>
      <c r="U2583" t="s">
        <v>51823</v>
      </c>
      <c r="V2583" t="s">
        <v>62641</v>
      </c>
      <c r="W2583" t="s">
        <v>43135</v>
      </c>
      <c r="X2583" t="s">
        <v>47306</v>
      </c>
    </row>
    <row r="2584" spans="1:24">
      <c r="A2584">
        <f>HYPERLINK("https://www.philgeps.gov.ph/GEPSNONPILOT/Tender/SplashBidNoticeAbstractUI.aspx?menuIndex=3&amp;refID=7200523&amp;Result=3","7200523")</f>
        <v>0</v>
      </c>
      <c r="B2584" t="s">
        <v>892</v>
      </c>
      <c r="C2584" t="s">
        <v>6354</v>
      </c>
      <c r="D2584" t="s">
        <v>18993</v>
      </c>
      <c r="E2584" t="s">
        <v>21453</v>
      </c>
      <c r="F2584" t="s">
        <v>32606</v>
      </c>
      <c r="G2584" t="s">
        <v>32614</v>
      </c>
      <c r="H2584" t="s">
        <v>14201</v>
      </c>
      <c r="I2584" t="s">
        <v>32638</v>
      </c>
      <c r="J2584" t="s">
        <v>32923</v>
      </c>
      <c r="K2584" t="s">
        <v>42630</v>
      </c>
      <c r="M2584" t="s">
        <v>43828</v>
      </c>
      <c r="N2584" t="s">
        <v>47304</v>
      </c>
      <c r="O2584" t="s">
        <v>47305</v>
      </c>
      <c r="P2584">
        <v>0</v>
      </c>
      <c r="Q2584">
        <v>0</v>
      </c>
      <c r="R2584" t="s">
        <v>47307</v>
      </c>
      <c r="S2584" t="s">
        <v>47416</v>
      </c>
      <c r="T2584" t="s">
        <v>48988</v>
      </c>
      <c r="U2584" t="s">
        <v>51256</v>
      </c>
      <c r="W2584" t="s">
        <v>43828</v>
      </c>
      <c r="X2584" t="s">
        <v>47306</v>
      </c>
    </row>
    <row r="2585" spans="1:24">
      <c r="A2585">
        <f>HYPERLINK("https://www.philgeps.gov.ph/GEPSNONPILOT/Tender/SplashBidNoticeAbstractUI.aspx?menuIndex=3&amp;refID=7200521&amp;Result=3","7200521")</f>
        <v>0</v>
      </c>
      <c r="B2585" t="s">
        <v>1123</v>
      </c>
      <c r="C2585" t="s">
        <v>6355</v>
      </c>
      <c r="E2585" t="s">
        <v>21454</v>
      </c>
      <c r="F2585" t="s">
        <v>32606</v>
      </c>
      <c r="G2585" t="s">
        <v>32613</v>
      </c>
      <c r="H2585" t="s">
        <v>14201</v>
      </c>
      <c r="I2585" t="s">
        <v>32716</v>
      </c>
      <c r="J2585" t="s">
        <v>34583</v>
      </c>
      <c r="K2585" t="s">
        <v>42682</v>
      </c>
      <c r="M2585" t="s">
        <v>44085</v>
      </c>
      <c r="N2585" t="s">
        <v>47304</v>
      </c>
      <c r="O2585" t="s">
        <v>47305</v>
      </c>
      <c r="P2585">
        <v>0</v>
      </c>
      <c r="Q2585">
        <v>0</v>
      </c>
      <c r="R2585" t="s">
        <v>47307</v>
      </c>
      <c r="S2585" t="s">
        <v>47416</v>
      </c>
      <c r="T2585" t="s">
        <v>48985</v>
      </c>
      <c r="U2585" t="s">
        <v>51824</v>
      </c>
      <c r="W2585" t="s">
        <v>44085</v>
      </c>
      <c r="X2585" t="s">
        <v>47306</v>
      </c>
    </row>
    <row r="2586" spans="1:24">
      <c r="A2586">
        <f>HYPERLINK("https://www.philgeps.gov.ph/GEPSNONPILOT/Tender/SplashBidNoticeAbstractUI.aspx?menuIndex=3&amp;refID=7200450&amp;Result=3","7200450")</f>
        <v>0</v>
      </c>
      <c r="B2586" t="s">
        <v>1124</v>
      </c>
      <c r="C2586" t="s">
        <v>6356</v>
      </c>
      <c r="D2586" t="s">
        <v>18993</v>
      </c>
      <c r="E2586" t="s">
        <v>21455</v>
      </c>
      <c r="F2586" t="s">
        <v>32606</v>
      </c>
      <c r="G2586" t="s">
        <v>32614</v>
      </c>
      <c r="H2586" t="s">
        <v>14201</v>
      </c>
      <c r="I2586" t="s">
        <v>6993</v>
      </c>
      <c r="J2586" t="s">
        <v>33587</v>
      </c>
      <c r="K2586" t="s">
        <v>42624</v>
      </c>
      <c r="M2586" t="s">
        <v>44086</v>
      </c>
      <c r="N2586" t="s">
        <v>47304</v>
      </c>
      <c r="O2586" t="s">
        <v>47305</v>
      </c>
      <c r="P2586">
        <v>0</v>
      </c>
      <c r="Q2586">
        <v>0</v>
      </c>
      <c r="R2586" t="s">
        <v>47307</v>
      </c>
      <c r="S2586" t="s">
        <v>47416</v>
      </c>
      <c r="T2586" t="s">
        <v>48982</v>
      </c>
      <c r="U2586" t="s">
        <v>51825</v>
      </c>
      <c r="W2586" t="s">
        <v>44086</v>
      </c>
      <c r="X2586" t="s">
        <v>47306</v>
      </c>
    </row>
    <row r="2587" spans="1:24">
      <c r="A2587">
        <f>HYPERLINK("https://www.philgeps.gov.ph/GEPSNONPILOT/Tender/SplashBidNoticeAbstractUI.aspx?menuIndex=3&amp;refID=7200520&amp;Result=3","7200520")</f>
        <v>0</v>
      </c>
      <c r="B2587" t="s">
        <v>1116</v>
      </c>
      <c r="C2587" t="s">
        <v>6357</v>
      </c>
      <c r="D2587" t="s">
        <v>19007</v>
      </c>
      <c r="E2587" t="s">
        <v>19316</v>
      </c>
      <c r="F2587" t="s">
        <v>32606</v>
      </c>
      <c r="G2587" t="s">
        <v>32613</v>
      </c>
      <c r="H2587" t="s">
        <v>14201</v>
      </c>
      <c r="I2587" t="s">
        <v>6298</v>
      </c>
      <c r="J2587" t="s">
        <v>32789</v>
      </c>
      <c r="K2587" t="s">
        <v>42624</v>
      </c>
      <c r="M2587" t="s">
        <v>44077</v>
      </c>
      <c r="N2587" t="s">
        <v>47304</v>
      </c>
      <c r="O2587" t="s">
        <v>47305</v>
      </c>
      <c r="P2587">
        <v>0</v>
      </c>
      <c r="Q2587">
        <v>0</v>
      </c>
      <c r="R2587" t="s">
        <v>47307</v>
      </c>
      <c r="S2587" t="s">
        <v>47416</v>
      </c>
      <c r="T2587" t="s">
        <v>49158</v>
      </c>
      <c r="U2587" t="s">
        <v>51826</v>
      </c>
      <c r="W2587" t="s">
        <v>44077</v>
      </c>
      <c r="X2587" t="s">
        <v>47306</v>
      </c>
    </row>
    <row r="2588" spans="1:24">
      <c r="A2588">
        <f>HYPERLINK("https://www.philgeps.gov.ph/GEPSNONPILOT/Tender/SplashBidNoticeAbstractUI.aspx?menuIndex=3&amp;refID=7200532&amp;Result=3","7200532")</f>
        <v>0</v>
      </c>
      <c r="B2588" t="s">
        <v>1119</v>
      </c>
      <c r="C2588" t="s">
        <v>6358</v>
      </c>
      <c r="D2588" t="s">
        <v>19002</v>
      </c>
      <c r="E2588" t="s">
        <v>21456</v>
      </c>
      <c r="F2588" t="s">
        <v>32606</v>
      </c>
      <c r="G2588" t="s">
        <v>32613</v>
      </c>
      <c r="H2588" t="s">
        <v>14201</v>
      </c>
      <c r="I2588" t="s">
        <v>32655</v>
      </c>
      <c r="J2588" t="s">
        <v>34584</v>
      </c>
      <c r="K2588" t="s">
        <v>42623</v>
      </c>
      <c r="M2588" t="s">
        <v>44081</v>
      </c>
      <c r="N2588" t="s">
        <v>47304</v>
      </c>
      <c r="O2588" t="s">
        <v>47305</v>
      </c>
      <c r="P2588">
        <v>0</v>
      </c>
      <c r="Q2588">
        <v>1</v>
      </c>
      <c r="R2588" t="s">
        <v>47307</v>
      </c>
      <c r="S2588" t="s">
        <v>47416</v>
      </c>
      <c r="T2588" t="s">
        <v>49033</v>
      </c>
      <c r="U2588" t="s">
        <v>51827</v>
      </c>
      <c r="W2588" t="s">
        <v>64462</v>
      </c>
      <c r="X2588" t="s">
        <v>47306</v>
      </c>
    </row>
    <row r="2589" spans="1:24">
      <c r="A2589">
        <f>HYPERLINK("https://www.philgeps.gov.ph/GEPSNONPILOT/Tender/SplashBidNoticeAbstractUI.aspx?menuIndex=3&amp;refID=7200517&amp;Result=3","7200517")</f>
        <v>0</v>
      </c>
      <c r="B2589" t="s">
        <v>1125</v>
      </c>
      <c r="C2589" t="s">
        <v>6359</v>
      </c>
      <c r="D2589" t="s">
        <v>19044</v>
      </c>
      <c r="E2589" t="s">
        <v>21378</v>
      </c>
      <c r="F2589" t="s">
        <v>32606</v>
      </c>
      <c r="G2589" t="s">
        <v>32614</v>
      </c>
      <c r="H2589" t="s">
        <v>14201</v>
      </c>
      <c r="I2589" t="s">
        <v>4369</v>
      </c>
      <c r="J2589" t="s">
        <v>34585</v>
      </c>
      <c r="K2589" t="s">
        <v>42623</v>
      </c>
      <c r="M2589" t="s">
        <v>44087</v>
      </c>
      <c r="N2589" t="s">
        <v>47304</v>
      </c>
      <c r="O2589" t="s">
        <v>47305</v>
      </c>
      <c r="P2589">
        <v>0</v>
      </c>
      <c r="Q2589">
        <v>0</v>
      </c>
      <c r="R2589" t="s">
        <v>47307</v>
      </c>
      <c r="S2589" t="s">
        <v>47416</v>
      </c>
      <c r="T2589" t="s">
        <v>49100</v>
      </c>
      <c r="U2589" t="s">
        <v>51828</v>
      </c>
      <c r="W2589" t="s">
        <v>64464</v>
      </c>
      <c r="X2589" t="s">
        <v>47306</v>
      </c>
    </row>
    <row r="2590" spans="1:24">
      <c r="A2590">
        <f>HYPERLINK("https://www.philgeps.gov.ph/GEPSNONPILOT/Tender/SplashBidNoticeAbstractUI.aspx?menuIndex=3&amp;refID=7200494&amp;Result=3","7200494")</f>
        <v>0</v>
      </c>
      <c r="B2590" t="s">
        <v>280</v>
      </c>
      <c r="C2590" t="s">
        <v>6298</v>
      </c>
      <c r="D2590" t="s">
        <v>19028</v>
      </c>
      <c r="E2590" t="s">
        <v>21457</v>
      </c>
      <c r="F2590" t="s">
        <v>32606</v>
      </c>
      <c r="G2590" t="s">
        <v>32614</v>
      </c>
      <c r="H2590" t="s">
        <v>14201</v>
      </c>
      <c r="I2590" t="s">
        <v>6298</v>
      </c>
      <c r="J2590" t="s">
        <v>33441</v>
      </c>
      <c r="K2590" t="s">
        <v>42623</v>
      </c>
      <c r="M2590" t="s">
        <v>43712</v>
      </c>
      <c r="N2590" t="s">
        <v>47304</v>
      </c>
      <c r="O2590" t="s">
        <v>47305</v>
      </c>
      <c r="P2590">
        <v>0</v>
      </c>
      <c r="Q2590">
        <v>0</v>
      </c>
      <c r="R2590" t="s">
        <v>47307</v>
      </c>
      <c r="S2590" t="s">
        <v>47416</v>
      </c>
      <c r="T2590" t="s">
        <v>48987</v>
      </c>
      <c r="U2590" t="s">
        <v>51829</v>
      </c>
      <c r="W2590" t="s">
        <v>43712</v>
      </c>
      <c r="X2590" t="s">
        <v>47306</v>
      </c>
    </row>
    <row r="2591" spans="1:24">
      <c r="A2591">
        <f>HYPERLINK("https://www.philgeps.gov.ph/GEPSNONPILOT/Tender/SplashBidNoticeAbstractUI.aspx?menuIndex=3&amp;refID=7200527&amp;Result=3","7200527")</f>
        <v>0</v>
      </c>
      <c r="B2591" t="s">
        <v>1126</v>
      </c>
      <c r="C2591" t="s">
        <v>6360</v>
      </c>
      <c r="D2591" t="s">
        <v>19054</v>
      </c>
      <c r="E2591" t="s">
        <v>21458</v>
      </c>
      <c r="F2591" t="s">
        <v>32606</v>
      </c>
      <c r="G2591" t="s">
        <v>32613</v>
      </c>
      <c r="H2591" t="s">
        <v>14201</v>
      </c>
      <c r="I2591" t="s">
        <v>6993</v>
      </c>
      <c r="J2591" t="s">
        <v>34586</v>
      </c>
      <c r="K2591" t="s">
        <v>42627</v>
      </c>
      <c r="M2591" t="s">
        <v>44088</v>
      </c>
      <c r="N2591" t="s">
        <v>47304</v>
      </c>
      <c r="O2591" t="s">
        <v>47305</v>
      </c>
      <c r="P2591">
        <v>0</v>
      </c>
      <c r="Q2591">
        <v>0</v>
      </c>
      <c r="R2591" t="s">
        <v>47307</v>
      </c>
      <c r="S2591" t="s">
        <v>47416</v>
      </c>
      <c r="T2591" t="s">
        <v>49167</v>
      </c>
      <c r="U2591" t="s">
        <v>51830</v>
      </c>
      <c r="V2591" t="s">
        <v>62932</v>
      </c>
      <c r="W2591" t="s">
        <v>44088</v>
      </c>
      <c r="X2591" t="s">
        <v>47306</v>
      </c>
    </row>
    <row r="2592" spans="1:24">
      <c r="A2592">
        <f>HYPERLINK("https://www.philgeps.gov.ph/GEPSNONPILOT/Tender/SplashBidNoticeAbstractUI.aspx?menuIndex=3&amp;refID=7200525&amp;Result=3","7200525")</f>
        <v>0</v>
      </c>
      <c r="B2592" t="s">
        <v>1119</v>
      </c>
      <c r="C2592" t="s">
        <v>6361</v>
      </c>
      <c r="D2592" t="s">
        <v>19002</v>
      </c>
      <c r="E2592" t="s">
        <v>21459</v>
      </c>
      <c r="F2592" t="s">
        <v>32606</v>
      </c>
      <c r="G2592" t="s">
        <v>32613</v>
      </c>
      <c r="H2592" t="s">
        <v>14201</v>
      </c>
      <c r="I2592" t="s">
        <v>32662</v>
      </c>
      <c r="J2592" t="s">
        <v>34587</v>
      </c>
      <c r="K2592" t="s">
        <v>42623</v>
      </c>
      <c r="M2592" t="s">
        <v>44081</v>
      </c>
      <c r="N2592" t="s">
        <v>47304</v>
      </c>
      <c r="O2592" t="s">
        <v>47305</v>
      </c>
      <c r="P2592">
        <v>0</v>
      </c>
      <c r="Q2592">
        <v>0</v>
      </c>
      <c r="R2592" t="s">
        <v>47307</v>
      </c>
      <c r="S2592" t="s">
        <v>47416</v>
      </c>
      <c r="T2592" t="s">
        <v>49056</v>
      </c>
      <c r="U2592" t="s">
        <v>51831</v>
      </c>
      <c r="W2592" t="s">
        <v>64462</v>
      </c>
      <c r="X2592" t="s">
        <v>47306</v>
      </c>
    </row>
    <row r="2593" spans="1:24">
      <c r="A2593">
        <f>HYPERLINK("https://www.philgeps.gov.ph/GEPSNONPILOT/Tender/SplashBidNoticeAbstractUI.aspx?menuIndex=3&amp;refID=7200512&amp;Result=3","7200512")</f>
        <v>0</v>
      </c>
      <c r="B2593" t="s">
        <v>212</v>
      </c>
      <c r="C2593" t="s">
        <v>6362</v>
      </c>
      <c r="D2593" t="s">
        <v>19007</v>
      </c>
      <c r="E2593" t="s">
        <v>21460</v>
      </c>
      <c r="F2593" t="s">
        <v>32606</v>
      </c>
      <c r="G2593" t="s">
        <v>32614</v>
      </c>
      <c r="H2593" t="s">
        <v>14201</v>
      </c>
      <c r="I2593" t="s">
        <v>4114</v>
      </c>
      <c r="J2593" t="s">
        <v>34588</v>
      </c>
      <c r="K2593" t="s">
        <v>42631</v>
      </c>
      <c r="M2593" t="s">
        <v>43113</v>
      </c>
      <c r="N2593" t="s">
        <v>47304</v>
      </c>
      <c r="O2593" t="s">
        <v>47305</v>
      </c>
      <c r="P2593">
        <v>0</v>
      </c>
      <c r="Q2593">
        <v>0</v>
      </c>
      <c r="R2593" t="s">
        <v>47307</v>
      </c>
      <c r="S2593" t="s">
        <v>47416</v>
      </c>
      <c r="T2593" t="s">
        <v>48988</v>
      </c>
      <c r="U2593" t="s">
        <v>51832</v>
      </c>
      <c r="W2593" t="s">
        <v>43113</v>
      </c>
      <c r="X2593" t="s">
        <v>47306</v>
      </c>
    </row>
    <row r="2594" spans="1:24">
      <c r="A2594">
        <f>HYPERLINK("https://www.philgeps.gov.ph/GEPSNONPILOT/Tender/SplashBidNoticeAbstractUI.aspx?menuIndex=3&amp;refID=7200518&amp;Result=3","7200518")</f>
        <v>0</v>
      </c>
      <c r="B2594" t="s">
        <v>1126</v>
      </c>
      <c r="C2594" t="s">
        <v>6363</v>
      </c>
      <c r="D2594" t="s">
        <v>19054</v>
      </c>
      <c r="E2594" t="s">
        <v>21461</v>
      </c>
      <c r="F2594" t="s">
        <v>32606</v>
      </c>
      <c r="G2594" t="s">
        <v>32613</v>
      </c>
      <c r="H2594" t="s">
        <v>32623</v>
      </c>
      <c r="I2594" t="s">
        <v>6931</v>
      </c>
      <c r="J2594" t="s">
        <v>34589</v>
      </c>
      <c r="K2594" t="s">
        <v>42630</v>
      </c>
      <c r="M2594" t="s">
        <v>44088</v>
      </c>
      <c r="N2594" t="s">
        <v>47304</v>
      </c>
      <c r="O2594" t="s">
        <v>47305</v>
      </c>
      <c r="P2594">
        <v>0</v>
      </c>
      <c r="Q2594">
        <v>0</v>
      </c>
      <c r="R2594" t="s">
        <v>47307</v>
      </c>
      <c r="S2594" t="s">
        <v>47416</v>
      </c>
      <c r="T2594" t="s">
        <v>49167</v>
      </c>
      <c r="U2594" t="s">
        <v>51833</v>
      </c>
      <c r="V2594" t="s">
        <v>62932</v>
      </c>
      <c r="W2594" t="s">
        <v>44088</v>
      </c>
      <c r="X2594" t="s">
        <v>47306</v>
      </c>
    </row>
    <row r="2595" spans="1:24">
      <c r="A2595">
        <f>HYPERLINK("https://www.philgeps.gov.ph/GEPSNONPILOT/Tender/SplashBidNoticeAbstractUI.aspx?menuIndex=3&amp;refID=7200534&amp;Result=3","7200534")</f>
        <v>0</v>
      </c>
      <c r="B2595" t="s">
        <v>1127</v>
      </c>
      <c r="C2595" t="s">
        <v>6364</v>
      </c>
      <c r="D2595" t="s">
        <v>19015</v>
      </c>
      <c r="E2595" t="s">
        <v>21462</v>
      </c>
      <c r="F2595" t="s">
        <v>32606</v>
      </c>
      <c r="G2595" t="s">
        <v>32614</v>
      </c>
      <c r="H2595" t="s">
        <v>14201</v>
      </c>
      <c r="I2595" t="s">
        <v>32633</v>
      </c>
      <c r="J2595" t="s">
        <v>34590</v>
      </c>
      <c r="K2595" t="s">
        <v>42630</v>
      </c>
      <c r="M2595" t="s">
        <v>44089</v>
      </c>
      <c r="N2595" t="s">
        <v>47304</v>
      </c>
      <c r="O2595" t="s">
        <v>47305</v>
      </c>
      <c r="P2595">
        <v>0</v>
      </c>
      <c r="Q2595">
        <v>0</v>
      </c>
      <c r="R2595" t="s">
        <v>47307</v>
      </c>
      <c r="S2595" t="s">
        <v>47416</v>
      </c>
      <c r="T2595" t="s">
        <v>49087</v>
      </c>
      <c r="U2595" t="s">
        <v>51834</v>
      </c>
      <c r="W2595" t="s">
        <v>44089</v>
      </c>
      <c r="X2595" t="s">
        <v>47306</v>
      </c>
    </row>
    <row r="2596" spans="1:24">
      <c r="A2596">
        <f>HYPERLINK("https://www.philgeps.gov.ph/GEPSNONPILOT/Tender/SplashBidNoticeAbstractUI.aspx?menuIndex=3&amp;refID=7200514&amp;Result=3","7200514")</f>
        <v>0</v>
      </c>
      <c r="B2596" t="s">
        <v>913</v>
      </c>
      <c r="C2596" t="s">
        <v>6365</v>
      </c>
      <c r="D2596" t="s">
        <v>19046</v>
      </c>
      <c r="E2596" t="s">
        <v>21463</v>
      </c>
      <c r="F2596" t="s">
        <v>32606</v>
      </c>
      <c r="G2596" t="s">
        <v>32613</v>
      </c>
      <c r="H2596" t="s">
        <v>14201</v>
      </c>
      <c r="I2596" t="s">
        <v>4678</v>
      </c>
      <c r="J2596" t="s">
        <v>33034</v>
      </c>
      <c r="K2596" t="s">
        <v>42623</v>
      </c>
      <c r="M2596" t="s">
        <v>43852</v>
      </c>
      <c r="N2596" t="s">
        <v>47304</v>
      </c>
      <c r="O2596" t="s">
        <v>47305</v>
      </c>
      <c r="P2596">
        <v>0</v>
      </c>
      <c r="Q2596">
        <v>0</v>
      </c>
      <c r="R2596" t="s">
        <v>47307</v>
      </c>
      <c r="S2596" t="s">
        <v>47416</v>
      </c>
      <c r="T2596" t="s">
        <v>49094</v>
      </c>
      <c r="U2596" t="s">
        <v>51835</v>
      </c>
      <c r="W2596" t="s">
        <v>43852</v>
      </c>
      <c r="X2596" t="s">
        <v>47306</v>
      </c>
    </row>
    <row r="2597" spans="1:24">
      <c r="A2597">
        <f>HYPERLINK("https://www.philgeps.gov.ph/GEPSNONPILOT/Tender/SplashBidNoticeAbstractUI.aspx?menuIndex=3&amp;refID=7200546&amp;Result=3","7200546")</f>
        <v>0</v>
      </c>
      <c r="B2597" t="s">
        <v>1126</v>
      </c>
      <c r="C2597" t="s">
        <v>6366</v>
      </c>
      <c r="D2597" t="s">
        <v>19054</v>
      </c>
      <c r="E2597" t="s">
        <v>21464</v>
      </c>
      <c r="F2597" t="s">
        <v>32606</v>
      </c>
      <c r="G2597" t="s">
        <v>32613</v>
      </c>
      <c r="H2597" t="s">
        <v>14201</v>
      </c>
      <c r="I2597" t="s">
        <v>7064</v>
      </c>
      <c r="J2597" t="s">
        <v>34591</v>
      </c>
      <c r="K2597" t="s">
        <v>42631</v>
      </c>
      <c r="M2597" t="s">
        <v>44088</v>
      </c>
      <c r="N2597" t="s">
        <v>47304</v>
      </c>
      <c r="O2597" t="s">
        <v>47305</v>
      </c>
      <c r="P2597">
        <v>0</v>
      </c>
      <c r="Q2597">
        <v>0</v>
      </c>
      <c r="R2597" t="s">
        <v>47307</v>
      </c>
      <c r="S2597" t="s">
        <v>47416</v>
      </c>
      <c r="T2597" t="s">
        <v>49167</v>
      </c>
      <c r="U2597" t="s">
        <v>51836</v>
      </c>
      <c r="V2597" t="s">
        <v>62932</v>
      </c>
      <c r="W2597" t="s">
        <v>44088</v>
      </c>
      <c r="X2597" t="s">
        <v>47306</v>
      </c>
    </row>
    <row r="2598" spans="1:24">
      <c r="A2598">
        <f>HYPERLINK("https://www.philgeps.gov.ph/GEPSNONPILOT/Tender/SplashBidNoticeAbstractUI.aspx?menuIndex=3&amp;refID=7200519&amp;Result=3","7200519")</f>
        <v>0</v>
      </c>
      <c r="B2598" t="s">
        <v>575</v>
      </c>
      <c r="C2598" t="s">
        <v>6367</v>
      </c>
      <c r="D2598" t="s">
        <v>19036</v>
      </c>
      <c r="E2598" t="s">
        <v>21465</v>
      </c>
      <c r="F2598" t="s">
        <v>32606</v>
      </c>
      <c r="G2598" t="s">
        <v>32614</v>
      </c>
      <c r="H2598" t="s">
        <v>14201</v>
      </c>
      <c r="I2598" t="s">
        <v>7233</v>
      </c>
      <c r="J2598" t="s">
        <v>34592</v>
      </c>
      <c r="K2598" t="s">
        <v>42622</v>
      </c>
      <c r="M2598" t="s">
        <v>44070</v>
      </c>
      <c r="N2598" t="s">
        <v>47304</v>
      </c>
      <c r="O2598" t="s">
        <v>47305</v>
      </c>
      <c r="P2598">
        <v>0</v>
      </c>
      <c r="Q2598">
        <v>0</v>
      </c>
      <c r="R2598" t="s">
        <v>47307</v>
      </c>
      <c r="S2598" t="s">
        <v>47416</v>
      </c>
      <c r="T2598" t="s">
        <v>49100</v>
      </c>
      <c r="U2598" t="s">
        <v>51837</v>
      </c>
      <c r="W2598" t="s">
        <v>44070</v>
      </c>
      <c r="X2598" t="s">
        <v>47306</v>
      </c>
    </row>
    <row r="2599" spans="1:24">
      <c r="A2599">
        <f>HYPERLINK("https://www.philgeps.gov.ph/GEPSNONPILOT/Tender/SplashBidNoticeAbstractUI.aspx?menuIndex=3&amp;refID=7200515&amp;Result=3","7200515")</f>
        <v>0</v>
      </c>
      <c r="B2599" t="s">
        <v>644</v>
      </c>
      <c r="C2599" t="s">
        <v>6368</v>
      </c>
      <c r="D2599" t="s">
        <v>19022</v>
      </c>
      <c r="E2599" t="s">
        <v>6368</v>
      </c>
      <c r="F2599" t="s">
        <v>32606</v>
      </c>
      <c r="G2599" t="s">
        <v>32615</v>
      </c>
      <c r="H2599" t="s">
        <v>14201</v>
      </c>
      <c r="I2599" t="s">
        <v>32640</v>
      </c>
      <c r="J2599" t="s">
        <v>34593</v>
      </c>
      <c r="K2599" t="s">
        <v>42624</v>
      </c>
      <c r="M2599" t="s">
        <v>44072</v>
      </c>
      <c r="N2599" t="s">
        <v>47304</v>
      </c>
      <c r="O2599" t="s">
        <v>47305</v>
      </c>
      <c r="P2599">
        <v>0</v>
      </c>
      <c r="Q2599">
        <v>0</v>
      </c>
      <c r="R2599" t="s">
        <v>47307</v>
      </c>
      <c r="S2599" t="s">
        <v>47416</v>
      </c>
      <c r="T2599" t="s">
        <v>49093</v>
      </c>
      <c r="U2599" t="s">
        <v>51838</v>
      </c>
      <c r="W2599" t="s">
        <v>44072</v>
      </c>
      <c r="X2599" t="s">
        <v>47306</v>
      </c>
    </row>
    <row r="2600" spans="1:24">
      <c r="A2600">
        <f>HYPERLINK("https://www.philgeps.gov.ph/GEPSNONPILOT/Tender/SplashBidNoticeAbstractUI.aspx?menuIndex=3&amp;refID=7200513&amp;Result=3","7200513")</f>
        <v>0</v>
      </c>
      <c r="B2600" t="s">
        <v>1128</v>
      </c>
      <c r="C2600" t="s">
        <v>6369</v>
      </c>
      <c r="D2600" t="s">
        <v>19007</v>
      </c>
      <c r="E2600" t="s">
        <v>19145</v>
      </c>
      <c r="F2600" t="s">
        <v>32606</v>
      </c>
      <c r="G2600" t="s">
        <v>32613</v>
      </c>
      <c r="H2600" t="s">
        <v>32623</v>
      </c>
      <c r="I2600" t="s">
        <v>17648</v>
      </c>
      <c r="J2600" t="s">
        <v>34594</v>
      </c>
      <c r="K2600" t="s">
        <v>42623</v>
      </c>
      <c r="M2600" t="s">
        <v>44090</v>
      </c>
      <c r="N2600" t="s">
        <v>47304</v>
      </c>
      <c r="O2600" t="s">
        <v>47305</v>
      </c>
      <c r="P2600">
        <v>0</v>
      </c>
      <c r="Q2600">
        <v>0</v>
      </c>
      <c r="R2600" t="s">
        <v>47307</v>
      </c>
      <c r="S2600" t="s">
        <v>47416</v>
      </c>
      <c r="T2600" t="s">
        <v>49028</v>
      </c>
      <c r="U2600" t="s">
        <v>51839</v>
      </c>
      <c r="W2600" t="s">
        <v>44090</v>
      </c>
      <c r="X2600" t="s">
        <v>47306</v>
      </c>
    </row>
    <row r="2601" spans="1:24">
      <c r="A2601">
        <f>HYPERLINK("https://www.philgeps.gov.ph/GEPSNONPILOT/Tender/SplashBidNoticeAbstractUI.aspx?menuIndex=3&amp;refID=7200544&amp;Result=3","7200544")</f>
        <v>0</v>
      </c>
      <c r="B2601" t="s">
        <v>1129</v>
      </c>
      <c r="C2601" t="s">
        <v>6370</v>
      </c>
      <c r="D2601" t="s">
        <v>18993</v>
      </c>
      <c r="E2601" t="s">
        <v>21466</v>
      </c>
      <c r="F2601" t="s">
        <v>32606</v>
      </c>
      <c r="G2601" t="s">
        <v>32613</v>
      </c>
      <c r="H2601" t="s">
        <v>32623</v>
      </c>
      <c r="I2601" t="s">
        <v>17648</v>
      </c>
      <c r="J2601" t="s">
        <v>34595</v>
      </c>
      <c r="K2601" t="s">
        <v>42731</v>
      </c>
      <c r="M2601" t="s">
        <v>44091</v>
      </c>
      <c r="N2601" t="s">
        <v>47304</v>
      </c>
      <c r="O2601" t="s">
        <v>47305</v>
      </c>
      <c r="P2601">
        <v>0</v>
      </c>
      <c r="Q2601">
        <v>0</v>
      </c>
      <c r="R2601" t="s">
        <v>47307</v>
      </c>
      <c r="S2601" t="s">
        <v>47416</v>
      </c>
      <c r="T2601" t="s">
        <v>48973</v>
      </c>
      <c r="U2601" t="s">
        <v>51840</v>
      </c>
      <c r="W2601" t="s">
        <v>44091</v>
      </c>
      <c r="X2601" t="s">
        <v>47306</v>
      </c>
    </row>
    <row r="2602" spans="1:24">
      <c r="A2602">
        <f>HYPERLINK("https://www.philgeps.gov.ph/GEPSNONPILOT/Tender/SplashBidNoticeAbstractUI.aspx?menuIndex=3&amp;refID=7200511&amp;Result=3","7200511")</f>
        <v>0</v>
      </c>
      <c r="B2602" t="s">
        <v>964</v>
      </c>
      <c r="C2602" t="s">
        <v>6371</v>
      </c>
      <c r="D2602" t="s">
        <v>19003</v>
      </c>
      <c r="E2602" t="s">
        <v>21467</v>
      </c>
      <c r="F2602" t="s">
        <v>32606</v>
      </c>
      <c r="G2602" t="s">
        <v>32619</v>
      </c>
      <c r="H2602" t="s">
        <v>14201</v>
      </c>
      <c r="I2602" t="s">
        <v>6298</v>
      </c>
      <c r="J2602" t="s">
        <v>34596</v>
      </c>
      <c r="K2602" t="s">
        <v>42630</v>
      </c>
      <c r="M2602" t="s">
        <v>43909</v>
      </c>
      <c r="N2602" t="s">
        <v>47304</v>
      </c>
      <c r="O2602" t="s">
        <v>47305</v>
      </c>
      <c r="P2602">
        <v>0</v>
      </c>
      <c r="Q2602">
        <v>0</v>
      </c>
      <c r="R2602" t="s">
        <v>47307</v>
      </c>
      <c r="S2602" t="s">
        <v>47416</v>
      </c>
      <c r="T2602" t="s">
        <v>48975</v>
      </c>
      <c r="U2602" t="s">
        <v>51841</v>
      </c>
      <c r="W2602" t="s">
        <v>43909</v>
      </c>
      <c r="X2602" t="s">
        <v>47306</v>
      </c>
    </row>
    <row r="2603" spans="1:24">
      <c r="A2603">
        <f>HYPERLINK("https://www.philgeps.gov.ph/GEPSNONPILOT/Tender/SplashBidNoticeAbstractUI.aspx?menuIndex=3&amp;refID=7200542&amp;Result=3","7200542")</f>
        <v>0</v>
      </c>
      <c r="B2603" t="s">
        <v>1130</v>
      </c>
      <c r="C2603" t="s">
        <v>6372</v>
      </c>
      <c r="E2603" t="s">
        <v>21468</v>
      </c>
      <c r="F2603" t="s">
        <v>32606</v>
      </c>
      <c r="G2603" t="s">
        <v>32614</v>
      </c>
      <c r="H2603" t="s">
        <v>32624</v>
      </c>
      <c r="I2603" t="s">
        <v>32669</v>
      </c>
      <c r="J2603" t="s">
        <v>34597</v>
      </c>
      <c r="K2603" t="s">
        <v>42661</v>
      </c>
      <c r="M2603" t="s">
        <v>44092</v>
      </c>
      <c r="N2603" t="s">
        <v>47304</v>
      </c>
      <c r="O2603" t="s">
        <v>47305</v>
      </c>
      <c r="P2603">
        <v>0</v>
      </c>
      <c r="Q2603">
        <v>0</v>
      </c>
      <c r="R2603" t="s">
        <v>47307</v>
      </c>
      <c r="S2603" t="s">
        <v>47416</v>
      </c>
      <c r="T2603" t="s">
        <v>49015</v>
      </c>
      <c r="U2603" t="s">
        <v>51842</v>
      </c>
      <c r="W2603" t="s">
        <v>44092</v>
      </c>
      <c r="X2603" t="s">
        <v>47306</v>
      </c>
    </row>
    <row r="2604" spans="1:24">
      <c r="A2604">
        <f>HYPERLINK("https://www.philgeps.gov.ph/GEPSNONPILOT/Tender/SplashBidNoticeAbstractUI.aspx?menuIndex=3&amp;refID=7200541&amp;Result=3","7200541")</f>
        <v>0</v>
      </c>
      <c r="B2604" t="s">
        <v>1131</v>
      </c>
      <c r="C2604" t="s">
        <v>6373</v>
      </c>
      <c r="D2604" t="s">
        <v>18993</v>
      </c>
      <c r="E2604" t="s">
        <v>20539</v>
      </c>
      <c r="F2604" t="s">
        <v>32606</v>
      </c>
      <c r="G2604" t="s">
        <v>32613</v>
      </c>
      <c r="H2604" t="s">
        <v>14201</v>
      </c>
      <c r="I2604" t="s">
        <v>6298</v>
      </c>
      <c r="J2604" t="s">
        <v>34598</v>
      </c>
      <c r="K2604" t="s">
        <v>42632</v>
      </c>
      <c r="M2604" t="s">
        <v>44093</v>
      </c>
      <c r="N2604" t="s">
        <v>47304</v>
      </c>
      <c r="O2604" t="s">
        <v>47305</v>
      </c>
      <c r="P2604">
        <v>0</v>
      </c>
      <c r="Q2604">
        <v>0</v>
      </c>
      <c r="R2604" t="s">
        <v>47307</v>
      </c>
      <c r="S2604" t="s">
        <v>47416</v>
      </c>
      <c r="T2604" t="s">
        <v>48996</v>
      </c>
      <c r="U2604" t="s">
        <v>51843</v>
      </c>
      <c r="W2604" t="s">
        <v>44093</v>
      </c>
      <c r="X2604" t="s">
        <v>47306</v>
      </c>
    </row>
    <row r="2605" spans="1:24">
      <c r="A2605">
        <f>HYPERLINK("https://www.philgeps.gov.ph/GEPSNONPILOT/Tender/SplashBidNoticeAbstractUI.aspx?menuIndex=3&amp;refID=7200555&amp;Result=3","7200555")</f>
        <v>0</v>
      </c>
      <c r="B2605" t="s">
        <v>1127</v>
      </c>
      <c r="C2605" t="s">
        <v>6374</v>
      </c>
      <c r="D2605" t="s">
        <v>19015</v>
      </c>
      <c r="E2605" t="s">
        <v>21469</v>
      </c>
      <c r="F2605" t="s">
        <v>32606</v>
      </c>
      <c r="G2605" t="s">
        <v>32614</v>
      </c>
      <c r="H2605" t="s">
        <v>14201</v>
      </c>
      <c r="I2605" t="s">
        <v>6931</v>
      </c>
      <c r="J2605" t="s">
        <v>34599</v>
      </c>
      <c r="K2605" t="s">
        <v>42630</v>
      </c>
      <c r="M2605" t="s">
        <v>44089</v>
      </c>
      <c r="N2605" t="s">
        <v>47304</v>
      </c>
      <c r="O2605" t="s">
        <v>47305</v>
      </c>
      <c r="P2605">
        <v>0</v>
      </c>
      <c r="Q2605">
        <v>0</v>
      </c>
      <c r="R2605" t="s">
        <v>47307</v>
      </c>
      <c r="S2605" t="s">
        <v>47416</v>
      </c>
      <c r="T2605" t="s">
        <v>49087</v>
      </c>
      <c r="U2605" t="s">
        <v>51844</v>
      </c>
      <c r="W2605" t="s">
        <v>44089</v>
      </c>
      <c r="X2605" t="s">
        <v>47306</v>
      </c>
    </row>
    <row r="2606" spans="1:24">
      <c r="A2606">
        <f>HYPERLINK("https://www.philgeps.gov.ph/GEPSNONPILOT/Tender/SplashBidNoticeAbstractUI.aspx?menuIndex=3&amp;refID=7200554&amp;Result=3","7200554")</f>
        <v>0</v>
      </c>
      <c r="B2606" t="s">
        <v>1119</v>
      </c>
      <c r="C2606" t="s">
        <v>6375</v>
      </c>
      <c r="D2606" t="s">
        <v>19002</v>
      </c>
      <c r="E2606" t="s">
        <v>21470</v>
      </c>
      <c r="F2606" t="s">
        <v>32606</v>
      </c>
      <c r="G2606" t="s">
        <v>32613</v>
      </c>
      <c r="H2606" t="s">
        <v>14201</v>
      </c>
      <c r="I2606" t="s">
        <v>32650</v>
      </c>
      <c r="J2606" t="s">
        <v>33273</v>
      </c>
      <c r="K2606" t="s">
        <v>42623</v>
      </c>
      <c r="M2606" t="s">
        <v>44081</v>
      </c>
      <c r="N2606" t="s">
        <v>47304</v>
      </c>
      <c r="O2606" t="s">
        <v>47305</v>
      </c>
      <c r="P2606">
        <v>0</v>
      </c>
      <c r="Q2606">
        <v>0</v>
      </c>
      <c r="R2606" t="s">
        <v>47307</v>
      </c>
      <c r="S2606" t="s">
        <v>47416</v>
      </c>
      <c r="T2606" t="s">
        <v>49033</v>
      </c>
      <c r="U2606" t="s">
        <v>51845</v>
      </c>
      <c r="W2606" t="s">
        <v>64462</v>
      </c>
      <c r="X2606" t="s">
        <v>47306</v>
      </c>
    </row>
    <row r="2607" spans="1:24">
      <c r="A2607">
        <f>HYPERLINK("https://www.philgeps.gov.ph/GEPSNONPILOT/Tender/SplashBidNoticeAbstractUI.aspx?menuIndex=3&amp;refID=7200551&amp;Result=3","7200551")</f>
        <v>0</v>
      </c>
      <c r="B2607" t="s">
        <v>1132</v>
      </c>
      <c r="C2607" t="s">
        <v>6376</v>
      </c>
      <c r="D2607" t="s">
        <v>18993</v>
      </c>
      <c r="E2607" t="s">
        <v>21471</v>
      </c>
      <c r="F2607" t="s">
        <v>32607</v>
      </c>
      <c r="G2607" t="s">
        <v>32613</v>
      </c>
      <c r="H2607" t="s">
        <v>14201</v>
      </c>
      <c r="I2607" t="s">
        <v>6298</v>
      </c>
      <c r="J2607" t="s">
        <v>32789</v>
      </c>
      <c r="K2607" t="s">
        <v>42631</v>
      </c>
      <c r="M2607" t="s">
        <v>44094</v>
      </c>
      <c r="N2607" t="s">
        <v>47304</v>
      </c>
      <c r="O2607" t="s">
        <v>47305</v>
      </c>
      <c r="P2607">
        <v>0</v>
      </c>
      <c r="Q2607">
        <v>0</v>
      </c>
      <c r="R2607" t="s">
        <v>47307</v>
      </c>
      <c r="S2607" t="s">
        <v>47416</v>
      </c>
      <c r="T2607" t="s">
        <v>49057</v>
      </c>
      <c r="U2607" t="s">
        <v>51846</v>
      </c>
      <c r="V2607" t="s">
        <v>62933</v>
      </c>
      <c r="W2607" t="s">
        <v>44094</v>
      </c>
      <c r="X2607" t="s">
        <v>47306</v>
      </c>
    </row>
    <row r="2608" spans="1:24">
      <c r="A2608">
        <f>HYPERLINK("https://www.philgeps.gov.ph/GEPSNONPILOT/Tender/SplashBidNoticeAbstractUI.aspx?menuIndex=3&amp;refID=7200543&amp;Result=3","7200543")</f>
        <v>0</v>
      </c>
      <c r="B2608" t="s">
        <v>1133</v>
      </c>
      <c r="C2608" t="s">
        <v>5876</v>
      </c>
      <c r="D2608" t="s">
        <v>19006</v>
      </c>
      <c r="E2608" t="s">
        <v>21472</v>
      </c>
      <c r="F2608" t="s">
        <v>32607</v>
      </c>
      <c r="G2608" t="s">
        <v>32614</v>
      </c>
      <c r="H2608" t="s">
        <v>14201</v>
      </c>
      <c r="I2608" t="s">
        <v>32671</v>
      </c>
      <c r="J2608" t="s">
        <v>34058</v>
      </c>
      <c r="K2608" t="s">
        <v>42630</v>
      </c>
      <c r="M2608" t="s">
        <v>44095</v>
      </c>
      <c r="N2608" t="s">
        <v>47304</v>
      </c>
      <c r="O2608" t="s">
        <v>47305</v>
      </c>
      <c r="P2608">
        <v>0</v>
      </c>
      <c r="Q2608">
        <v>0</v>
      </c>
      <c r="R2608" t="s">
        <v>47307</v>
      </c>
      <c r="S2608" t="s">
        <v>47416</v>
      </c>
      <c r="T2608" t="s">
        <v>48971</v>
      </c>
      <c r="U2608" t="s">
        <v>51847</v>
      </c>
      <c r="V2608" t="s">
        <v>62934</v>
      </c>
      <c r="W2608" t="s">
        <v>44095</v>
      </c>
      <c r="X2608" t="s">
        <v>47306</v>
      </c>
    </row>
    <row r="2609" spans="1:24">
      <c r="A2609">
        <f>HYPERLINK("https://www.philgeps.gov.ph/GEPSNONPILOT/Tender/SplashBidNoticeAbstractUI.aspx?menuIndex=3&amp;refID=7200548&amp;Result=3","7200548")</f>
        <v>0</v>
      </c>
      <c r="B2609" t="s">
        <v>1134</v>
      </c>
      <c r="C2609" t="s">
        <v>6377</v>
      </c>
      <c r="D2609" t="s">
        <v>18991</v>
      </c>
      <c r="E2609" t="s">
        <v>21473</v>
      </c>
      <c r="F2609" t="s">
        <v>32606</v>
      </c>
      <c r="G2609" t="s">
        <v>32614</v>
      </c>
      <c r="H2609" t="s">
        <v>14201</v>
      </c>
      <c r="I2609" t="s">
        <v>4678</v>
      </c>
      <c r="J2609" t="s">
        <v>33748</v>
      </c>
      <c r="K2609" t="s">
        <v>42624</v>
      </c>
      <c r="M2609" t="s">
        <v>44096</v>
      </c>
      <c r="N2609" t="s">
        <v>47304</v>
      </c>
      <c r="O2609" t="s">
        <v>47305</v>
      </c>
      <c r="P2609">
        <v>0</v>
      </c>
      <c r="Q2609">
        <v>0</v>
      </c>
      <c r="R2609" t="s">
        <v>47307</v>
      </c>
      <c r="S2609" t="s">
        <v>47416</v>
      </c>
      <c r="T2609" t="s">
        <v>49023</v>
      </c>
      <c r="U2609" t="s">
        <v>51848</v>
      </c>
      <c r="W2609" t="s">
        <v>44096</v>
      </c>
      <c r="X2609" t="s">
        <v>47306</v>
      </c>
    </row>
    <row r="2610" spans="1:24">
      <c r="A2610">
        <f>HYPERLINK("https://www.philgeps.gov.ph/GEPSNONPILOT/Tender/SplashBidNoticeAbstractUI.aspx?menuIndex=3&amp;refID=7200539&amp;Result=3","7200539")</f>
        <v>0</v>
      </c>
      <c r="B2610" t="s">
        <v>1119</v>
      </c>
      <c r="C2610" t="s">
        <v>6378</v>
      </c>
      <c r="D2610" t="s">
        <v>19002</v>
      </c>
      <c r="E2610" t="s">
        <v>21474</v>
      </c>
      <c r="F2610" t="s">
        <v>32606</v>
      </c>
      <c r="G2610" t="s">
        <v>32613</v>
      </c>
      <c r="H2610" t="s">
        <v>14201</v>
      </c>
      <c r="I2610" t="s">
        <v>32660</v>
      </c>
      <c r="J2610" t="s">
        <v>34600</v>
      </c>
      <c r="K2610" t="s">
        <v>42623</v>
      </c>
      <c r="M2610" t="s">
        <v>44081</v>
      </c>
      <c r="N2610" t="s">
        <v>47304</v>
      </c>
      <c r="O2610" t="s">
        <v>47305</v>
      </c>
      <c r="P2610">
        <v>0</v>
      </c>
      <c r="Q2610">
        <v>1</v>
      </c>
      <c r="R2610" t="s">
        <v>47307</v>
      </c>
      <c r="S2610" t="s">
        <v>47416</v>
      </c>
      <c r="T2610" t="s">
        <v>49033</v>
      </c>
      <c r="U2610" t="s">
        <v>51849</v>
      </c>
      <c r="W2610" t="s">
        <v>64462</v>
      </c>
      <c r="X2610" t="s">
        <v>47306</v>
      </c>
    </row>
    <row r="2611" spans="1:24">
      <c r="A2611">
        <f>HYPERLINK("https://www.philgeps.gov.ph/GEPSNONPILOT/Tender/SplashBidNoticeAbstractUI.aspx?menuIndex=3&amp;refID=7200550&amp;Result=3","7200550")</f>
        <v>0</v>
      </c>
      <c r="B2611" t="s">
        <v>726</v>
      </c>
      <c r="C2611" t="s">
        <v>6379</v>
      </c>
      <c r="D2611" t="s">
        <v>19009</v>
      </c>
      <c r="E2611" t="s">
        <v>21475</v>
      </c>
      <c r="F2611" t="s">
        <v>32606</v>
      </c>
      <c r="G2611" t="s">
        <v>32613</v>
      </c>
      <c r="H2611" t="s">
        <v>14201</v>
      </c>
      <c r="I2611" t="s">
        <v>6993</v>
      </c>
      <c r="J2611" t="s">
        <v>34601</v>
      </c>
      <c r="K2611" t="s">
        <v>42623</v>
      </c>
      <c r="M2611" t="s">
        <v>43648</v>
      </c>
      <c r="N2611" t="s">
        <v>47304</v>
      </c>
      <c r="O2611" t="s">
        <v>47305</v>
      </c>
      <c r="P2611">
        <v>0</v>
      </c>
      <c r="Q2611">
        <v>1</v>
      </c>
      <c r="R2611" t="s">
        <v>47307</v>
      </c>
      <c r="S2611" t="s">
        <v>47416</v>
      </c>
      <c r="T2611" t="s">
        <v>49205</v>
      </c>
      <c r="U2611" t="s">
        <v>51850</v>
      </c>
      <c r="V2611" t="s">
        <v>62935</v>
      </c>
      <c r="W2611" t="s">
        <v>43648</v>
      </c>
      <c r="X2611" t="s">
        <v>47306</v>
      </c>
    </row>
    <row r="2612" spans="1:24">
      <c r="A2612">
        <f>HYPERLINK("https://www.philgeps.gov.ph/GEPSNONPILOT/Tender/SplashBidNoticeAbstractUI.aspx?menuIndex=3&amp;refID=7200538&amp;Result=3","7200538")</f>
        <v>0</v>
      </c>
      <c r="B2612" t="s">
        <v>1123</v>
      </c>
      <c r="C2612" t="s">
        <v>6380</v>
      </c>
      <c r="E2612" t="s">
        <v>21476</v>
      </c>
      <c r="F2612" t="s">
        <v>32606</v>
      </c>
      <c r="G2612" t="s">
        <v>32613</v>
      </c>
      <c r="H2612" t="s">
        <v>14201</v>
      </c>
      <c r="I2612" t="s">
        <v>6993</v>
      </c>
      <c r="J2612" t="s">
        <v>34602</v>
      </c>
      <c r="K2612" t="s">
        <v>42631</v>
      </c>
      <c r="M2612" t="s">
        <v>44085</v>
      </c>
      <c r="N2612" t="s">
        <v>47304</v>
      </c>
      <c r="O2612" t="s">
        <v>47305</v>
      </c>
      <c r="P2612">
        <v>0</v>
      </c>
      <c r="Q2612">
        <v>0</v>
      </c>
      <c r="R2612" t="s">
        <v>47307</v>
      </c>
      <c r="S2612" t="s">
        <v>47416</v>
      </c>
      <c r="T2612" t="s">
        <v>48983</v>
      </c>
      <c r="U2612" t="s">
        <v>51824</v>
      </c>
      <c r="W2612" t="s">
        <v>44085</v>
      </c>
      <c r="X2612" t="s">
        <v>47306</v>
      </c>
    </row>
    <row r="2613" spans="1:24">
      <c r="A2613">
        <f>HYPERLINK("https://www.philgeps.gov.ph/GEPSNONPILOT/Tender/SplashBidNoticeAbstractUI.aspx?menuIndex=3&amp;refID=7200522&amp;Result=3","7200522")</f>
        <v>0</v>
      </c>
      <c r="B2613" t="s">
        <v>1135</v>
      </c>
      <c r="C2613" t="s">
        <v>6381</v>
      </c>
      <c r="D2613" t="s">
        <v>18993</v>
      </c>
      <c r="E2613" t="s">
        <v>21477</v>
      </c>
      <c r="F2613" t="s">
        <v>32606</v>
      </c>
      <c r="G2613" t="s">
        <v>32614</v>
      </c>
      <c r="H2613" t="s">
        <v>14201</v>
      </c>
      <c r="I2613" t="s">
        <v>6931</v>
      </c>
      <c r="J2613" t="s">
        <v>33587</v>
      </c>
      <c r="K2613" t="s">
        <v>42630</v>
      </c>
      <c r="M2613" t="s">
        <v>44097</v>
      </c>
      <c r="N2613" t="s">
        <v>47304</v>
      </c>
      <c r="O2613" t="s">
        <v>47305</v>
      </c>
      <c r="P2613">
        <v>0</v>
      </c>
      <c r="Q2613">
        <v>0</v>
      </c>
      <c r="R2613" t="s">
        <v>47307</v>
      </c>
      <c r="S2613" t="s">
        <v>47416</v>
      </c>
      <c r="T2613" t="s">
        <v>49023</v>
      </c>
      <c r="U2613" t="s">
        <v>51851</v>
      </c>
      <c r="W2613" t="s">
        <v>44097</v>
      </c>
      <c r="X2613" t="s">
        <v>47306</v>
      </c>
    </row>
    <row r="2614" spans="1:24">
      <c r="A2614">
        <f>HYPERLINK("https://www.philgeps.gov.ph/GEPSNONPILOT/Tender/SplashBidNoticeAbstractUI.aspx?menuIndex=3&amp;refID=7200537&amp;Result=3","7200537")</f>
        <v>0</v>
      </c>
      <c r="B2614" t="s">
        <v>1136</v>
      </c>
      <c r="C2614" t="s">
        <v>6382</v>
      </c>
      <c r="D2614" t="s">
        <v>19007</v>
      </c>
      <c r="E2614" t="s">
        <v>19145</v>
      </c>
      <c r="F2614" t="s">
        <v>32606</v>
      </c>
      <c r="G2614" t="s">
        <v>32613</v>
      </c>
      <c r="H2614" t="s">
        <v>32623</v>
      </c>
      <c r="I2614" t="s">
        <v>17648</v>
      </c>
      <c r="J2614" t="s">
        <v>34603</v>
      </c>
      <c r="K2614" t="s">
        <v>42627</v>
      </c>
      <c r="M2614" t="s">
        <v>44098</v>
      </c>
      <c r="N2614" t="s">
        <v>47304</v>
      </c>
      <c r="O2614" t="s">
        <v>47305</v>
      </c>
      <c r="P2614">
        <v>0</v>
      </c>
      <c r="Q2614">
        <v>0</v>
      </c>
      <c r="R2614" t="s">
        <v>47307</v>
      </c>
      <c r="S2614" t="s">
        <v>47416</v>
      </c>
      <c r="T2614" t="s">
        <v>49028</v>
      </c>
      <c r="U2614" t="s">
        <v>51852</v>
      </c>
      <c r="W2614" t="s">
        <v>44098</v>
      </c>
      <c r="X2614" t="s">
        <v>47306</v>
      </c>
    </row>
    <row r="2615" spans="1:24">
      <c r="A2615">
        <f>HYPERLINK("https://www.philgeps.gov.ph/GEPSNONPILOT/Tender/SplashBidNoticeAbstractUI.aspx?menuIndex=3&amp;refID=7200535&amp;Result=3","7200535")</f>
        <v>0</v>
      </c>
      <c r="B2615" t="s">
        <v>1134</v>
      </c>
      <c r="C2615" t="s">
        <v>6383</v>
      </c>
      <c r="D2615" t="s">
        <v>18991</v>
      </c>
      <c r="E2615" t="s">
        <v>21478</v>
      </c>
      <c r="F2615" t="s">
        <v>32606</v>
      </c>
      <c r="G2615" t="s">
        <v>32614</v>
      </c>
      <c r="H2615" t="s">
        <v>14201</v>
      </c>
      <c r="I2615" t="s">
        <v>6931</v>
      </c>
      <c r="J2615" t="s">
        <v>34604</v>
      </c>
      <c r="K2615" t="s">
        <v>42624</v>
      </c>
      <c r="M2615" t="s">
        <v>44096</v>
      </c>
      <c r="N2615" t="s">
        <v>47304</v>
      </c>
      <c r="O2615" t="s">
        <v>47305</v>
      </c>
      <c r="P2615">
        <v>0</v>
      </c>
      <c r="Q2615">
        <v>0</v>
      </c>
      <c r="R2615" t="s">
        <v>47307</v>
      </c>
      <c r="S2615" t="s">
        <v>47416</v>
      </c>
      <c r="T2615" t="s">
        <v>49023</v>
      </c>
      <c r="U2615" t="s">
        <v>51848</v>
      </c>
      <c r="W2615" t="s">
        <v>44096</v>
      </c>
      <c r="X2615" t="s">
        <v>47306</v>
      </c>
    </row>
    <row r="2616" spans="1:24">
      <c r="A2616">
        <f>HYPERLINK("https://www.philgeps.gov.ph/GEPSNONPILOT/Tender/SplashBidNoticeAbstractUI.aspx?menuIndex=3&amp;refID=7200545&amp;Result=3","7200545")</f>
        <v>0</v>
      </c>
      <c r="B2616" t="s">
        <v>234</v>
      </c>
      <c r="C2616" t="s">
        <v>6384</v>
      </c>
      <c r="D2616" t="s">
        <v>19052</v>
      </c>
      <c r="E2616" t="s">
        <v>21479</v>
      </c>
      <c r="F2616" t="s">
        <v>32606</v>
      </c>
      <c r="G2616" t="s">
        <v>32613</v>
      </c>
      <c r="H2616" t="s">
        <v>14201</v>
      </c>
      <c r="I2616" t="s">
        <v>7064</v>
      </c>
      <c r="J2616" t="s">
        <v>34605</v>
      </c>
      <c r="K2616" t="s">
        <v>42639</v>
      </c>
      <c r="M2616" t="s">
        <v>43135</v>
      </c>
      <c r="N2616" t="s">
        <v>47304</v>
      </c>
      <c r="O2616" t="s">
        <v>47305</v>
      </c>
      <c r="P2616">
        <v>0</v>
      </c>
      <c r="Q2616">
        <v>2</v>
      </c>
      <c r="R2616" t="s">
        <v>47307</v>
      </c>
      <c r="S2616" t="s">
        <v>47416</v>
      </c>
      <c r="T2616" t="s">
        <v>49229</v>
      </c>
      <c r="U2616" t="s">
        <v>51853</v>
      </c>
      <c r="V2616" t="s">
        <v>62641</v>
      </c>
      <c r="W2616" t="s">
        <v>43135</v>
      </c>
      <c r="X2616" t="s">
        <v>47306</v>
      </c>
    </row>
    <row r="2617" spans="1:24">
      <c r="A2617">
        <f>HYPERLINK("https://www.philgeps.gov.ph/GEPSNONPILOT/Tender/SplashBidNoticeAbstractUI.aspx?menuIndex=3&amp;refID=7200547&amp;Result=3","7200547")</f>
        <v>0</v>
      </c>
      <c r="B2617" t="s">
        <v>1119</v>
      </c>
      <c r="C2617" t="s">
        <v>6385</v>
      </c>
      <c r="D2617" t="s">
        <v>19002</v>
      </c>
      <c r="E2617" t="s">
        <v>21480</v>
      </c>
      <c r="F2617" t="s">
        <v>32606</v>
      </c>
      <c r="G2617" t="s">
        <v>32613</v>
      </c>
      <c r="H2617" t="s">
        <v>14201</v>
      </c>
      <c r="I2617" t="s">
        <v>32650</v>
      </c>
      <c r="J2617" t="s">
        <v>34606</v>
      </c>
      <c r="K2617" t="s">
        <v>42623</v>
      </c>
      <c r="M2617" t="s">
        <v>44081</v>
      </c>
      <c r="N2617" t="s">
        <v>47304</v>
      </c>
      <c r="O2617" t="s">
        <v>47305</v>
      </c>
      <c r="P2617">
        <v>0</v>
      </c>
      <c r="Q2617">
        <v>0</v>
      </c>
      <c r="R2617" t="s">
        <v>47307</v>
      </c>
      <c r="S2617" t="s">
        <v>47416</v>
      </c>
      <c r="T2617" t="s">
        <v>49033</v>
      </c>
      <c r="U2617" t="s">
        <v>51854</v>
      </c>
      <c r="W2617" t="s">
        <v>64462</v>
      </c>
      <c r="X2617" t="s">
        <v>47306</v>
      </c>
    </row>
    <row r="2618" spans="1:24">
      <c r="A2618">
        <f>HYPERLINK("https://www.philgeps.gov.ph/GEPSNONPILOT/Tender/SplashBidNoticeAbstractUI.aspx?menuIndex=3&amp;refID=7200580&amp;Result=3","7200580")</f>
        <v>0</v>
      </c>
      <c r="B2618" t="s">
        <v>1137</v>
      </c>
      <c r="C2618" t="s">
        <v>6386</v>
      </c>
      <c r="D2618" t="s">
        <v>19042</v>
      </c>
      <c r="E2618" t="s">
        <v>21481</v>
      </c>
      <c r="F2618" t="s">
        <v>32606</v>
      </c>
      <c r="G2618" t="s">
        <v>32619</v>
      </c>
      <c r="H2618" t="s">
        <v>14201</v>
      </c>
      <c r="I2618" t="s">
        <v>4120</v>
      </c>
      <c r="J2618" t="s">
        <v>34607</v>
      </c>
      <c r="K2618" t="s">
        <v>42629</v>
      </c>
      <c r="M2618" t="s">
        <v>44099</v>
      </c>
      <c r="N2618" t="s">
        <v>47304</v>
      </c>
      <c r="O2618" t="s">
        <v>47305</v>
      </c>
      <c r="P2618">
        <v>0</v>
      </c>
      <c r="Q2618">
        <v>0</v>
      </c>
      <c r="R2618" t="s">
        <v>47307</v>
      </c>
      <c r="S2618" t="s">
        <v>47416</v>
      </c>
      <c r="T2618" t="s">
        <v>48997</v>
      </c>
      <c r="U2618" t="s">
        <v>51855</v>
      </c>
      <c r="W2618" t="s">
        <v>44099</v>
      </c>
      <c r="X2618" t="s">
        <v>47306</v>
      </c>
    </row>
    <row r="2619" spans="1:24">
      <c r="A2619">
        <f>HYPERLINK("https://www.philgeps.gov.ph/GEPSNONPILOT/Tender/SplashBidNoticeAbstractUI.aspx?menuIndex=3&amp;refID=7200540&amp;Result=3","7200540")</f>
        <v>0</v>
      </c>
      <c r="B2619" t="s">
        <v>1067</v>
      </c>
      <c r="C2619" t="s">
        <v>6387</v>
      </c>
      <c r="D2619" t="s">
        <v>19010</v>
      </c>
      <c r="E2619" t="s">
        <v>21482</v>
      </c>
      <c r="F2619" t="s">
        <v>32606</v>
      </c>
      <c r="G2619" t="s">
        <v>32614</v>
      </c>
      <c r="H2619" t="s">
        <v>14201</v>
      </c>
      <c r="I2619" t="s">
        <v>6014</v>
      </c>
      <c r="J2619" t="s">
        <v>34608</v>
      </c>
      <c r="K2619" t="s">
        <v>42623</v>
      </c>
      <c r="M2619" t="s">
        <v>44020</v>
      </c>
      <c r="N2619" t="s">
        <v>47304</v>
      </c>
      <c r="O2619" t="s">
        <v>47305</v>
      </c>
      <c r="P2619">
        <v>0</v>
      </c>
      <c r="Q2619">
        <v>0</v>
      </c>
      <c r="R2619" t="s">
        <v>47307</v>
      </c>
      <c r="S2619" t="s">
        <v>47416</v>
      </c>
      <c r="T2619" t="s">
        <v>49002</v>
      </c>
      <c r="U2619" t="s">
        <v>51856</v>
      </c>
      <c r="W2619" t="s">
        <v>44020</v>
      </c>
      <c r="X2619" t="s">
        <v>47306</v>
      </c>
    </row>
    <row r="2620" spans="1:24">
      <c r="A2620">
        <f>HYPERLINK("https://www.philgeps.gov.ph/GEPSNONPILOT/Tender/SplashBidNoticeAbstractUI.aspx?menuIndex=3&amp;refID=7200578&amp;Result=3","7200578")</f>
        <v>0</v>
      </c>
      <c r="B2620" t="s">
        <v>1138</v>
      </c>
      <c r="C2620" t="s">
        <v>6388</v>
      </c>
      <c r="D2620" t="s">
        <v>18993</v>
      </c>
      <c r="E2620" t="s">
        <v>20539</v>
      </c>
      <c r="F2620" t="s">
        <v>32606</v>
      </c>
      <c r="G2620" t="s">
        <v>32613</v>
      </c>
      <c r="H2620" t="s">
        <v>14201</v>
      </c>
      <c r="I2620" t="s">
        <v>6298</v>
      </c>
      <c r="J2620" t="s">
        <v>34609</v>
      </c>
      <c r="K2620" t="s">
        <v>42632</v>
      </c>
      <c r="M2620" t="s">
        <v>44100</v>
      </c>
      <c r="N2620" t="s">
        <v>47304</v>
      </c>
      <c r="O2620" t="s">
        <v>47305</v>
      </c>
      <c r="P2620">
        <v>0</v>
      </c>
      <c r="Q2620">
        <v>0</v>
      </c>
      <c r="R2620" t="s">
        <v>47307</v>
      </c>
      <c r="S2620" t="s">
        <v>47416</v>
      </c>
      <c r="T2620" t="s">
        <v>49180</v>
      </c>
      <c r="U2620" t="s">
        <v>51857</v>
      </c>
      <c r="W2620" t="s">
        <v>44100</v>
      </c>
      <c r="X2620" t="s">
        <v>47306</v>
      </c>
    </row>
    <row r="2621" spans="1:24">
      <c r="A2621">
        <f>HYPERLINK("https://www.philgeps.gov.ph/GEPSNONPILOT/Tender/SplashBidNoticeAbstractUI.aspx?menuIndex=3&amp;refID=7200576&amp;Result=3","7200576")</f>
        <v>0</v>
      </c>
      <c r="B2621" t="s">
        <v>1133</v>
      </c>
      <c r="C2621" t="s">
        <v>6389</v>
      </c>
      <c r="D2621" t="s">
        <v>19006</v>
      </c>
      <c r="E2621" t="s">
        <v>21483</v>
      </c>
      <c r="F2621" t="s">
        <v>32607</v>
      </c>
      <c r="G2621" t="s">
        <v>32614</v>
      </c>
      <c r="H2621" t="s">
        <v>14201</v>
      </c>
      <c r="I2621" t="s">
        <v>6931</v>
      </c>
      <c r="J2621" t="s">
        <v>34610</v>
      </c>
      <c r="K2621" t="s">
        <v>42630</v>
      </c>
      <c r="M2621" t="s">
        <v>44095</v>
      </c>
      <c r="N2621" t="s">
        <v>47304</v>
      </c>
      <c r="O2621" t="s">
        <v>47305</v>
      </c>
      <c r="P2621">
        <v>0</v>
      </c>
      <c r="Q2621">
        <v>0</v>
      </c>
      <c r="R2621" t="s">
        <v>47307</v>
      </c>
      <c r="S2621" t="s">
        <v>47416</v>
      </c>
      <c r="T2621" t="s">
        <v>48971</v>
      </c>
      <c r="U2621" t="s">
        <v>51858</v>
      </c>
      <c r="V2621" t="s">
        <v>62874</v>
      </c>
      <c r="W2621" t="s">
        <v>44095</v>
      </c>
      <c r="X2621" t="s">
        <v>47306</v>
      </c>
    </row>
    <row r="2622" spans="1:24">
      <c r="A2622">
        <f>HYPERLINK("https://www.philgeps.gov.ph/GEPSNONPILOT/Tender/SplashBidNoticeAbstractUI.aspx?menuIndex=3&amp;refID=7200572&amp;Result=3","7200572")</f>
        <v>0</v>
      </c>
      <c r="B2622" t="s">
        <v>1067</v>
      </c>
      <c r="C2622" t="s">
        <v>6390</v>
      </c>
      <c r="D2622" t="s">
        <v>19010</v>
      </c>
      <c r="E2622" t="s">
        <v>21484</v>
      </c>
      <c r="F2622" t="s">
        <v>32606</v>
      </c>
      <c r="G2622" t="s">
        <v>32617</v>
      </c>
      <c r="H2622" t="s">
        <v>14201</v>
      </c>
      <c r="I2622" t="s">
        <v>32640</v>
      </c>
      <c r="J2622" t="s">
        <v>32981</v>
      </c>
      <c r="K2622" t="s">
        <v>42623</v>
      </c>
      <c r="M2622" t="s">
        <v>44020</v>
      </c>
      <c r="N2622" t="s">
        <v>47304</v>
      </c>
      <c r="O2622" t="s">
        <v>47305</v>
      </c>
      <c r="P2622">
        <v>0</v>
      </c>
      <c r="Q2622">
        <v>0</v>
      </c>
      <c r="R2622" t="s">
        <v>47307</v>
      </c>
      <c r="S2622" t="s">
        <v>47416</v>
      </c>
      <c r="T2622" t="s">
        <v>49002</v>
      </c>
      <c r="U2622" t="s">
        <v>51859</v>
      </c>
      <c r="W2622" t="s">
        <v>44020</v>
      </c>
      <c r="X2622" t="s">
        <v>47306</v>
      </c>
    </row>
    <row r="2623" spans="1:24">
      <c r="A2623">
        <f>HYPERLINK("https://www.philgeps.gov.ph/GEPSNONPILOT/Tender/SplashBidNoticeAbstractUI.aspx?menuIndex=3&amp;refID=7200581&amp;Result=3","7200581")</f>
        <v>0</v>
      </c>
      <c r="B2623" t="s">
        <v>1126</v>
      </c>
      <c r="C2623" t="s">
        <v>6391</v>
      </c>
      <c r="D2623" t="s">
        <v>19054</v>
      </c>
      <c r="E2623" t="s">
        <v>21485</v>
      </c>
      <c r="F2623" t="s">
        <v>32606</v>
      </c>
      <c r="G2623" t="s">
        <v>32613</v>
      </c>
      <c r="H2623" t="s">
        <v>32623</v>
      </c>
      <c r="I2623" t="s">
        <v>6931</v>
      </c>
      <c r="J2623" t="s">
        <v>34611</v>
      </c>
      <c r="K2623" t="s">
        <v>42712</v>
      </c>
      <c r="M2623" t="s">
        <v>44088</v>
      </c>
      <c r="N2623" t="s">
        <v>47304</v>
      </c>
      <c r="O2623" t="s">
        <v>47305</v>
      </c>
      <c r="P2623">
        <v>0</v>
      </c>
      <c r="Q2623">
        <v>0</v>
      </c>
      <c r="R2623" t="s">
        <v>47307</v>
      </c>
      <c r="S2623" t="s">
        <v>47416</v>
      </c>
      <c r="T2623" t="s">
        <v>49205</v>
      </c>
      <c r="U2623" t="s">
        <v>51860</v>
      </c>
      <c r="V2623" t="s">
        <v>62932</v>
      </c>
      <c r="W2623" t="s">
        <v>44088</v>
      </c>
      <c r="X2623" t="s">
        <v>47306</v>
      </c>
    </row>
    <row r="2624" spans="1:24">
      <c r="A2624">
        <f>HYPERLINK("https://www.philgeps.gov.ph/GEPSNONPILOT/Tender/SplashBidNoticeAbstractUI.aspx?menuIndex=3&amp;refID=7200536&amp;Result=3","7200536")</f>
        <v>0</v>
      </c>
      <c r="B2624" t="s">
        <v>1139</v>
      </c>
      <c r="C2624" t="s">
        <v>6392</v>
      </c>
      <c r="D2624" t="s">
        <v>19007</v>
      </c>
      <c r="E2624" t="s">
        <v>21486</v>
      </c>
      <c r="F2624" t="s">
        <v>32606</v>
      </c>
      <c r="G2624" t="s">
        <v>32614</v>
      </c>
      <c r="H2624" t="s">
        <v>14201</v>
      </c>
      <c r="I2624" t="s">
        <v>6298</v>
      </c>
      <c r="J2624" t="s">
        <v>34612</v>
      </c>
      <c r="K2624" t="s">
        <v>42630</v>
      </c>
      <c r="M2624" t="s">
        <v>44101</v>
      </c>
      <c r="N2624" t="s">
        <v>47304</v>
      </c>
      <c r="O2624" t="s">
        <v>47305</v>
      </c>
      <c r="P2624">
        <v>0</v>
      </c>
      <c r="Q2624">
        <v>0</v>
      </c>
      <c r="R2624" t="s">
        <v>47307</v>
      </c>
      <c r="S2624" t="s">
        <v>47416</v>
      </c>
      <c r="T2624" t="s">
        <v>48988</v>
      </c>
      <c r="U2624" t="s">
        <v>51861</v>
      </c>
      <c r="W2624" t="s">
        <v>44101</v>
      </c>
      <c r="X2624" t="s">
        <v>47306</v>
      </c>
    </row>
    <row r="2625" spans="1:24">
      <c r="A2625">
        <f>HYPERLINK("https://www.philgeps.gov.ph/GEPSNONPILOT/Tender/SplashBidNoticeAbstractUI.aspx?menuIndex=3&amp;refID=7200575&amp;Result=3","7200575")</f>
        <v>0</v>
      </c>
      <c r="B2625" t="s">
        <v>1140</v>
      </c>
      <c r="C2625" t="s">
        <v>6393</v>
      </c>
      <c r="E2625" t="s">
        <v>21487</v>
      </c>
      <c r="F2625" t="s">
        <v>32609</v>
      </c>
      <c r="G2625" t="s">
        <v>32619</v>
      </c>
      <c r="H2625" t="s">
        <v>14201</v>
      </c>
      <c r="I2625" t="s">
        <v>4120</v>
      </c>
      <c r="J2625" t="s">
        <v>34613</v>
      </c>
      <c r="K2625" t="s">
        <v>42624</v>
      </c>
      <c r="M2625" t="s">
        <v>44102</v>
      </c>
      <c r="N2625" t="s">
        <v>47304</v>
      </c>
      <c r="O2625" t="s">
        <v>47305</v>
      </c>
      <c r="P2625">
        <v>0</v>
      </c>
      <c r="Q2625">
        <v>0</v>
      </c>
      <c r="R2625" t="s">
        <v>47307</v>
      </c>
      <c r="S2625" t="s">
        <v>47416</v>
      </c>
      <c r="T2625" t="s">
        <v>49002</v>
      </c>
      <c r="U2625" t="s">
        <v>51862</v>
      </c>
      <c r="W2625" t="s">
        <v>44102</v>
      </c>
      <c r="X2625" t="s">
        <v>47306</v>
      </c>
    </row>
    <row r="2626" spans="1:24">
      <c r="A2626">
        <f>HYPERLINK("https://www.philgeps.gov.ph/GEPSNONPILOT/Tender/SplashBidNoticeAbstractUI.aspx?menuIndex=3&amp;refID=7200569&amp;Result=3","7200569")</f>
        <v>0</v>
      </c>
      <c r="B2626" t="s">
        <v>892</v>
      </c>
      <c r="C2626" t="s">
        <v>6394</v>
      </c>
      <c r="D2626" t="s">
        <v>18993</v>
      </c>
      <c r="E2626" t="s">
        <v>21488</v>
      </c>
      <c r="F2626" t="s">
        <v>32606</v>
      </c>
      <c r="G2626" t="s">
        <v>32614</v>
      </c>
      <c r="H2626" t="s">
        <v>14201</v>
      </c>
      <c r="I2626" t="s">
        <v>32638</v>
      </c>
      <c r="J2626" t="s">
        <v>32995</v>
      </c>
      <c r="K2626" t="s">
        <v>42630</v>
      </c>
      <c r="M2626" t="s">
        <v>43828</v>
      </c>
      <c r="N2626" t="s">
        <v>47304</v>
      </c>
      <c r="O2626" t="s">
        <v>47305</v>
      </c>
      <c r="P2626">
        <v>0</v>
      </c>
      <c r="Q2626">
        <v>0</v>
      </c>
      <c r="R2626" t="s">
        <v>47307</v>
      </c>
      <c r="S2626" t="s">
        <v>47416</v>
      </c>
      <c r="T2626" t="s">
        <v>48988</v>
      </c>
      <c r="U2626" t="s">
        <v>51256</v>
      </c>
      <c r="W2626" t="s">
        <v>43828</v>
      </c>
      <c r="X2626" t="s">
        <v>47306</v>
      </c>
    </row>
    <row r="2627" spans="1:24">
      <c r="A2627">
        <f>HYPERLINK("https://www.philgeps.gov.ph/GEPSNONPILOT/Tender/SplashBidNoticeAbstractUI.aspx?menuIndex=3&amp;refID=7200567&amp;Result=3","7200567")</f>
        <v>0</v>
      </c>
      <c r="B2627" t="s">
        <v>1123</v>
      </c>
      <c r="C2627" t="s">
        <v>6395</v>
      </c>
      <c r="E2627" t="s">
        <v>21489</v>
      </c>
      <c r="F2627" t="s">
        <v>32606</v>
      </c>
      <c r="G2627" t="s">
        <v>32613</v>
      </c>
      <c r="H2627" t="s">
        <v>14201</v>
      </c>
      <c r="I2627" t="s">
        <v>6993</v>
      </c>
      <c r="J2627" t="s">
        <v>34614</v>
      </c>
      <c r="K2627" t="s">
        <v>42631</v>
      </c>
      <c r="M2627" t="s">
        <v>44085</v>
      </c>
      <c r="N2627" t="s">
        <v>47304</v>
      </c>
      <c r="O2627" t="s">
        <v>47305</v>
      </c>
      <c r="P2627">
        <v>0</v>
      </c>
      <c r="Q2627">
        <v>1</v>
      </c>
      <c r="R2627" t="s">
        <v>47307</v>
      </c>
      <c r="S2627" t="s">
        <v>47416</v>
      </c>
      <c r="T2627" t="s">
        <v>48983</v>
      </c>
      <c r="U2627" t="s">
        <v>51824</v>
      </c>
      <c r="W2627" t="s">
        <v>44085</v>
      </c>
      <c r="X2627" t="s">
        <v>47306</v>
      </c>
    </row>
    <row r="2628" spans="1:24">
      <c r="A2628">
        <f>HYPERLINK("https://www.philgeps.gov.ph/GEPSNONPILOT/Tender/SplashBidNoticeAbstractUI.aspx?menuIndex=3&amp;refID=7200571&amp;Result=3","7200571")</f>
        <v>0</v>
      </c>
      <c r="B2628" t="s">
        <v>1125</v>
      </c>
      <c r="C2628" t="s">
        <v>4718</v>
      </c>
      <c r="D2628" t="s">
        <v>19044</v>
      </c>
      <c r="E2628" t="s">
        <v>21490</v>
      </c>
      <c r="F2628" t="s">
        <v>32606</v>
      </c>
      <c r="G2628" t="s">
        <v>32617</v>
      </c>
      <c r="H2628" t="s">
        <v>14201</v>
      </c>
      <c r="I2628" t="s">
        <v>4120</v>
      </c>
      <c r="J2628" t="s">
        <v>34615</v>
      </c>
      <c r="K2628" t="s">
        <v>42630</v>
      </c>
      <c r="M2628" t="s">
        <v>44087</v>
      </c>
      <c r="N2628" t="s">
        <v>47304</v>
      </c>
      <c r="O2628" t="s">
        <v>47305</v>
      </c>
      <c r="P2628">
        <v>0</v>
      </c>
      <c r="Q2628">
        <v>0</v>
      </c>
      <c r="R2628" t="s">
        <v>47307</v>
      </c>
      <c r="S2628" t="s">
        <v>47416</v>
      </c>
      <c r="T2628" t="s">
        <v>49100</v>
      </c>
      <c r="U2628" t="s">
        <v>51863</v>
      </c>
      <c r="W2628" t="s">
        <v>64464</v>
      </c>
      <c r="X2628" t="s">
        <v>47306</v>
      </c>
    </row>
    <row r="2629" spans="1:24">
      <c r="A2629">
        <f>HYPERLINK("https://www.philgeps.gov.ph/GEPSNONPILOT/Tender/SplashBidNoticeAbstractUI.aspx?menuIndex=3&amp;refID=7200582&amp;Result=3","7200582")</f>
        <v>0</v>
      </c>
      <c r="B2629" t="s">
        <v>1119</v>
      </c>
      <c r="C2629" t="s">
        <v>6396</v>
      </c>
      <c r="D2629" t="s">
        <v>19002</v>
      </c>
      <c r="E2629" t="s">
        <v>21491</v>
      </c>
      <c r="F2629" t="s">
        <v>32606</v>
      </c>
      <c r="G2629" t="s">
        <v>32613</v>
      </c>
      <c r="H2629" t="s">
        <v>14201</v>
      </c>
      <c r="I2629" t="s">
        <v>32655</v>
      </c>
      <c r="J2629" t="s">
        <v>33757</v>
      </c>
      <c r="K2629" t="s">
        <v>42623</v>
      </c>
      <c r="M2629" t="s">
        <v>44081</v>
      </c>
      <c r="N2629" t="s">
        <v>47304</v>
      </c>
      <c r="O2629" t="s">
        <v>47305</v>
      </c>
      <c r="P2629">
        <v>0</v>
      </c>
      <c r="Q2629">
        <v>0</v>
      </c>
      <c r="R2629" t="s">
        <v>47307</v>
      </c>
      <c r="S2629" t="s">
        <v>47416</v>
      </c>
      <c r="T2629" t="s">
        <v>49056</v>
      </c>
      <c r="U2629" t="s">
        <v>51864</v>
      </c>
      <c r="W2629" t="s">
        <v>64462</v>
      </c>
      <c r="X2629" t="s">
        <v>47306</v>
      </c>
    </row>
    <row r="2630" spans="1:24">
      <c r="A2630">
        <f>HYPERLINK("https://www.philgeps.gov.ph/GEPSNONPILOT/Tender/SplashBidNoticeAbstractUI.aspx?menuIndex=3&amp;refID=7200556&amp;Result=3","7200556")</f>
        <v>0</v>
      </c>
      <c r="B2630" t="s">
        <v>1134</v>
      </c>
      <c r="C2630" t="s">
        <v>6397</v>
      </c>
      <c r="D2630" t="s">
        <v>18991</v>
      </c>
      <c r="E2630" t="s">
        <v>21492</v>
      </c>
      <c r="F2630" t="s">
        <v>32606</v>
      </c>
      <c r="G2630" t="s">
        <v>32614</v>
      </c>
      <c r="H2630" t="s">
        <v>14201</v>
      </c>
      <c r="I2630" t="s">
        <v>6931</v>
      </c>
      <c r="J2630" t="s">
        <v>34616</v>
      </c>
      <c r="K2630" t="s">
        <v>42624</v>
      </c>
      <c r="M2630" t="s">
        <v>44096</v>
      </c>
      <c r="N2630" t="s">
        <v>47304</v>
      </c>
      <c r="O2630" t="s">
        <v>47305</v>
      </c>
      <c r="P2630">
        <v>0</v>
      </c>
      <c r="Q2630">
        <v>0</v>
      </c>
      <c r="R2630" t="s">
        <v>47307</v>
      </c>
      <c r="S2630" t="s">
        <v>47416</v>
      </c>
      <c r="T2630" t="s">
        <v>48976</v>
      </c>
      <c r="U2630" t="s">
        <v>51848</v>
      </c>
      <c r="W2630" t="s">
        <v>44096</v>
      </c>
      <c r="X2630" t="s">
        <v>47306</v>
      </c>
    </row>
    <row r="2631" spans="1:24">
      <c r="A2631">
        <f>HYPERLINK("https://www.philgeps.gov.ph/GEPSNONPILOT/Tender/SplashBidNoticeAbstractUI.aspx?menuIndex=3&amp;refID=7200611&amp;Result=3","7200611")</f>
        <v>0</v>
      </c>
      <c r="B2631" t="s">
        <v>1132</v>
      </c>
      <c r="C2631" t="s">
        <v>6398</v>
      </c>
      <c r="D2631" t="s">
        <v>18993</v>
      </c>
      <c r="E2631" t="s">
        <v>21493</v>
      </c>
      <c r="F2631" t="s">
        <v>32607</v>
      </c>
      <c r="G2631" t="s">
        <v>32613</v>
      </c>
      <c r="H2631" t="s">
        <v>14201</v>
      </c>
      <c r="I2631" t="s">
        <v>6298</v>
      </c>
      <c r="J2631" t="s">
        <v>32778</v>
      </c>
      <c r="K2631" t="s">
        <v>42631</v>
      </c>
      <c r="M2631" t="s">
        <v>44094</v>
      </c>
      <c r="N2631" t="s">
        <v>47304</v>
      </c>
      <c r="O2631" t="s">
        <v>47305</v>
      </c>
      <c r="P2631">
        <v>0</v>
      </c>
      <c r="Q2631">
        <v>0</v>
      </c>
      <c r="R2631" t="s">
        <v>47307</v>
      </c>
      <c r="S2631" t="s">
        <v>47416</v>
      </c>
      <c r="T2631" t="s">
        <v>49057</v>
      </c>
      <c r="U2631" t="s">
        <v>51865</v>
      </c>
      <c r="V2631" t="s">
        <v>62933</v>
      </c>
      <c r="W2631" t="s">
        <v>44094</v>
      </c>
      <c r="X2631" t="s">
        <v>47306</v>
      </c>
    </row>
    <row r="2632" spans="1:24">
      <c r="A2632">
        <f>HYPERLINK("https://www.philgeps.gov.ph/GEPSNONPILOT/Tender/SplashBidNoticeAbstractUI.aspx?menuIndex=3&amp;refID=7200610&amp;Result=3","7200610")</f>
        <v>0</v>
      </c>
      <c r="B2632" t="s">
        <v>1115</v>
      </c>
      <c r="C2632" t="s">
        <v>6399</v>
      </c>
      <c r="D2632" t="s">
        <v>19007</v>
      </c>
      <c r="E2632" t="s">
        <v>21494</v>
      </c>
      <c r="F2632" t="s">
        <v>32606</v>
      </c>
      <c r="G2632" t="s">
        <v>32614</v>
      </c>
      <c r="H2632" t="s">
        <v>14201</v>
      </c>
      <c r="I2632" t="s">
        <v>32631</v>
      </c>
      <c r="J2632" t="s">
        <v>34617</v>
      </c>
      <c r="K2632" t="s">
        <v>42624</v>
      </c>
      <c r="M2632" t="s">
        <v>44076</v>
      </c>
      <c r="N2632" t="s">
        <v>47304</v>
      </c>
      <c r="O2632" t="s">
        <v>47305</v>
      </c>
      <c r="P2632">
        <v>0</v>
      </c>
      <c r="Q2632">
        <v>0</v>
      </c>
      <c r="R2632" t="s">
        <v>47307</v>
      </c>
      <c r="S2632" t="s">
        <v>47416</v>
      </c>
      <c r="T2632" t="s">
        <v>49191</v>
      </c>
      <c r="U2632" t="s">
        <v>51866</v>
      </c>
      <c r="W2632" t="s">
        <v>44076</v>
      </c>
      <c r="X2632" t="s">
        <v>47306</v>
      </c>
    </row>
    <row r="2633" spans="1:24">
      <c r="A2633">
        <f>HYPERLINK("https://www.philgeps.gov.ph/GEPSNONPILOT/Tender/SplashBidNoticeAbstractUI.aspx?menuIndex=3&amp;refID=7200603&amp;Result=3","7200603")</f>
        <v>0</v>
      </c>
      <c r="B2633" t="s">
        <v>1137</v>
      </c>
      <c r="C2633" t="s">
        <v>6400</v>
      </c>
      <c r="D2633" t="s">
        <v>19042</v>
      </c>
      <c r="E2633" t="s">
        <v>21495</v>
      </c>
      <c r="F2633" t="s">
        <v>32606</v>
      </c>
      <c r="G2633" t="s">
        <v>32619</v>
      </c>
      <c r="H2633" t="s">
        <v>14201</v>
      </c>
      <c r="I2633" t="s">
        <v>4120</v>
      </c>
      <c r="J2633" t="s">
        <v>34618</v>
      </c>
      <c r="K2633" t="s">
        <v>42629</v>
      </c>
      <c r="M2633" t="s">
        <v>44099</v>
      </c>
      <c r="N2633" t="s">
        <v>47304</v>
      </c>
      <c r="O2633" t="s">
        <v>47305</v>
      </c>
      <c r="P2633">
        <v>0</v>
      </c>
      <c r="Q2633">
        <v>0</v>
      </c>
      <c r="R2633" t="s">
        <v>47307</v>
      </c>
      <c r="S2633" t="s">
        <v>47416</v>
      </c>
      <c r="T2633" t="s">
        <v>48997</v>
      </c>
      <c r="U2633" t="s">
        <v>51867</v>
      </c>
      <c r="W2633" t="s">
        <v>44099</v>
      </c>
      <c r="X2633" t="s">
        <v>47306</v>
      </c>
    </row>
    <row r="2634" spans="1:24">
      <c r="A2634">
        <f>HYPERLINK("https://www.philgeps.gov.ph/GEPSNONPILOT/Tender/SplashBidNoticeAbstractUI.aspx?menuIndex=3&amp;refID=7200607&amp;Result=3","7200607")</f>
        <v>0</v>
      </c>
      <c r="B2634" t="s">
        <v>1020</v>
      </c>
      <c r="C2634" t="s">
        <v>6401</v>
      </c>
      <c r="D2634" t="s">
        <v>19041</v>
      </c>
      <c r="E2634" t="s">
        <v>19249</v>
      </c>
      <c r="F2634" t="s">
        <v>32606</v>
      </c>
      <c r="G2634" t="s">
        <v>32613</v>
      </c>
      <c r="H2634" t="s">
        <v>14201</v>
      </c>
      <c r="I2634" t="s">
        <v>32681</v>
      </c>
      <c r="J2634" t="s">
        <v>34619</v>
      </c>
      <c r="K2634" t="s">
        <v>42636</v>
      </c>
      <c r="M2634" t="s">
        <v>43971</v>
      </c>
      <c r="N2634" t="s">
        <v>47304</v>
      </c>
      <c r="O2634" t="s">
        <v>47305</v>
      </c>
      <c r="P2634">
        <v>0</v>
      </c>
      <c r="Q2634">
        <v>0</v>
      </c>
      <c r="R2634" t="s">
        <v>47307</v>
      </c>
      <c r="S2634" t="s">
        <v>47416</v>
      </c>
      <c r="T2634" t="s">
        <v>49219</v>
      </c>
      <c r="U2634" t="s">
        <v>51868</v>
      </c>
      <c r="W2634" t="s">
        <v>43971</v>
      </c>
      <c r="X2634" t="s">
        <v>47306</v>
      </c>
    </row>
    <row r="2635" spans="1:24">
      <c r="A2635">
        <f>HYPERLINK("https://www.philgeps.gov.ph/GEPSNONPILOT/Tender/SplashBidNoticeAbstractUI.aspx?menuIndex=3&amp;refID=7200566&amp;Result=3","7200566")</f>
        <v>0</v>
      </c>
      <c r="B2635" t="s">
        <v>1119</v>
      </c>
      <c r="C2635" t="s">
        <v>6402</v>
      </c>
      <c r="D2635" t="s">
        <v>19002</v>
      </c>
      <c r="E2635" t="s">
        <v>21496</v>
      </c>
      <c r="F2635" t="s">
        <v>32606</v>
      </c>
      <c r="G2635" t="s">
        <v>32613</v>
      </c>
      <c r="H2635" t="s">
        <v>14201</v>
      </c>
      <c r="I2635" t="s">
        <v>32633</v>
      </c>
      <c r="J2635" t="s">
        <v>34620</v>
      </c>
      <c r="K2635" t="s">
        <v>42623</v>
      </c>
      <c r="M2635" t="s">
        <v>44081</v>
      </c>
      <c r="N2635" t="s">
        <v>47304</v>
      </c>
      <c r="O2635" t="s">
        <v>47305</v>
      </c>
      <c r="P2635">
        <v>0</v>
      </c>
      <c r="Q2635">
        <v>0</v>
      </c>
      <c r="R2635" t="s">
        <v>47307</v>
      </c>
      <c r="S2635" t="s">
        <v>47416</v>
      </c>
      <c r="T2635" t="s">
        <v>49056</v>
      </c>
      <c r="U2635" t="s">
        <v>51869</v>
      </c>
      <c r="W2635" t="s">
        <v>64462</v>
      </c>
      <c r="X2635" t="s">
        <v>47306</v>
      </c>
    </row>
    <row r="2636" spans="1:24">
      <c r="A2636">
        <f>HYPERLINK("https://www.philgeps.gov.ph/GEPSNONPILOT/Tender/SplashBidNoticeAbstractUI.aspx?menuIndex=3&amp;refID=7200609&amp;Result=3","7200609")</f>
        <v>0</v>
      </c>
      <c r="B2636" t="s">
        <v>1067</v>
      </c>
      <c r="C2636" t="s">
        <v>6403</v>
      </c>
      <c r="D2636" t="s">
        <v>19010</v>
      </c>
      <c r="E2636" t="s">
        <v>21497</v>
      </c>
      <c r="F2636" t="s">
        <v>32606</v>
      </c>
      <c r="G2636" t="s">
        <v>32617</v>
      </c>
      <c r="H2636" t="s">
        <v>14201</v>
      </c>
      <c r="I2636" t="s">
        <v>4678</v>
      </c>
      <c r="J2636" t="s">
        <v>32752</v>
      </c>
      <c r="K2636" t="s">
        <v>42623</v>
      </c>
      <c r="M2636" t="s">
        <v>44020</v>
      </c>
      <c r="N2636" t="s">
        <v>47304</v>
      </c>
      <c r="O2636" t="s">
        <v>47305</v>
      </c>
      <c r="P2636">
        <v>0</v>
      </c>
      <c r="Q2636">
        <v>0</v>
      </c>
      <c r="R2636" t="s">
        <v>47307</v>
      </c>
      <c r="S2636" t="s">
        <v>47416</v>
      </c>
      <c r="T2636" t="s">
        <v>49002</v>
      </c>
      <c r="U2636" t="s">
        <v>51870</v>
      </c>
      <c r="W2636" t="s">
        <v>44020</v>
      </c>
      <c r="X2636" t="s">
        <v>47306</v>
      </c>
    </row>
    <row r="2637" spans="1:24">
      <c r="A2637">
        <f>HYPERLINK("https://www.philgeps.gov.ph/GEPSNONPILOT/Tender/SplashBidNoticeAbstractUI.aspx?menuIndex=3&amp;refID=7200608&amp;Result=3","7200608")</f>
        <v>0</v>
      </c>
      <c r="B2637" t="s">
        <v>1141</v>
      </c>
      <c r="C2637" t="s">
        <v>6404</v>
      </c>
      <c r="D2637" t="s">
        <v>18988</v>
      </c>
      <c r="E2637" t="s">
        <v>21498</v>
      </c>
      <c r="F2637" t="s">
        <v>32606</v>
      </c>
      <c r="G2637" t="s">
        <v>32619</v>
      </c>
      <c r="H2637" t="s">
        <v>14201</v>
      </c>
      <c r="I2637" t="s">
        <v>7233</v>
      </c>
      <c r="J2637" t="s">
        <v>34621</v>
      </c>
      <c r="K2637" t="s">
        <v>42630</v>
      </c>
      <c r="M2637" t="s">
        <v>44103</v>
      </c>
      <c r="N2637" t="s">
        <v>47304</v>
      </c>
      <c r="O2637" t="s">
        <v>47305</v>
      </c>
      <c r="P2637">
        <v>0</v>
      </c>
      <c r="Q2637">
        <v>0</v>
      </c>
      <c r="R2637" t="s">
        <v>47307</v>
      </c>
      <c r="S2637" t="s">
        <v>47416</v>
      </c>
      <c r="T2637" t="s">
        <v>48980</v>
      </c>
      <c r="U2637" t="s">
        <v>51871</v>
      </c>
      <c r="W2637" t="s">
        <v>44103</v>
      </c>
      <c r="X2637" t="s">
        <v>47306</v>
      </c>
    </row>
    <row r="2638" spans="1:24">
      <c r="A2638">
        <f>HYPERLINK("https://www.philgeps.gov.ph/GEPSNONPILOT/Tender/SplashBidNoticeAbstractUI.aspx?menuIndex=3&amp;refID=7200600&amp;Result=3","7200600")</f>
        <v>0</v>
      </c>
      <c r="B2638" t="s">
        <v>1142</v>
      </c>
      <c r="C2638" t="s">
        <v>6405</v>
      </c>
      <c r="D2638" t="s">
        <v>19040</v>
      </c>
      <c r="E2638" t="s">
        <v>21499</v>
      </c>
      <c r="F2638" t="s">
        <v>32606</v>
      </c>
      <c r="G2638" t="s">
        <v>32614</v>
      </c>
      <c r="H2638" t="s">
        <v>14201</v>
      </c>
      <c r="I2638" t="s">
        <v>4120</v>
      </c>
      <c r="J2638" t="s">
        <v>34622</v>
      </c>
      <c r="K2638" t="s">
        <v>42632</v>
      </c>
      <c r="M2638" t="s">
        <v>44104</v>
      </c>
      <c r="N2638" t="s">
        <v>47304</v>
      </c>
      <c r="O2638" t="s">
        <v>47305</v>
      </c>
      <c r="P2638">
        <v>0</v>
      </c>
      <c r="Q2638">
        <v>0</v>
      </c>
      <c r="R2638" t="s">
        <v>47307</v>
      </c>
      <c r="S2638" t="s">
        <v>47416</v>
      </c>
      <c r="T2638" t="s">
        <v>48971</v>
      </c>
      <c r="U2638" t="s">
        <v>51872</v>
      </c>
      <c r="W2638" t="s">
        <v>44104</v>
      </c>
      <c r="X2638" t="s">
        <v>47306</v>
      </c>
    </row>
    <row r="2639" spans="1:24">
      <c r="A2639">
        <f>HYPERLINK("https://www.philgeps.gov.ph/GEPSNONPILOT/Tender/SplashBidNoticeAbstractUI.aspx?menuIndex=3&amp;refID=7200549&amp;Result=3","7200549")</f>
        <v>0</v>
      </c>
      <c r="B2639" t="s">
        <v>1129</v>
      </c>
      <c r="C2639" t="s">
        <v>6406</v>
      </c>
      <c r="D2639" t="s">
        <v>18993</v>
      </c>
      <c r="E2639" t="s">
        <v>21500</v>
      </c>
      <c r="F2639" t="s">
        <v>32606</v>
      </c>
      <c r="G2639" t="s">
        <v>32613</v>
      </c>
      <c r="H2639" t="s">
        <v>32623</v>
      </c>
      <c r="I2639" t="s">
        <v>17648</v>
      </c>
      <c r="J2639" t="s">
        <v>34623</v>
      </c>
      <c r="K2639" t="s">
        <v>42732</v>
      </c>
      <c r="M2639" t="s">
        <v>44091</v>
      </c>
      <c r="N2639" t="s">
        <v>47304</v>
      </c>
      <c r="O2639" t="s">
        <v>47305</v>
      </c>
      <c r="P2639">
        <v>0</v>
      </c>
      <c r="Q2639">
        <v>0</v>
      </c>
      <c r="R2639" t="s">
        <v>47307</v>
      </c>
      <c r="S2639" t="s">
        <v>47416</v>
      </c>
      <c r="T2639" t="s">
        <v>48973</v>
      </c>
      <c r="U2639" t="s">
        <v>51840</v>
      </c>
      <c r="W2639" t="s">
        <v>44091</v>
      </c>
      <c r="X2639" t="s">
        <v>47306</v>
      </c>
    </row>
    <row r="2640" spans="1:24">
      <c r="A2640">
        <f>HYPERLINK("https://www.philgeps.gov.ph/GEPSNONPILOT/Tender/SplashBidNoticeAbstractUI.aspx?menuIndex=3&amp;refID=7200606&amp;Result=3","7200606")</f>
        <v>0</v>
      </c>
      <c r="B2640" t="s">
        <v>1143</v>
      </c>
      <c r="C2640" t="s">
        <v>6407</v>
      </c>
      <c r="D2640" t="s">
        <v>19030</v>
      </c>
      <c r="E2640" t="s">
        <v>21501</v>
      </c>
      <c r="F2640" t="s">
        <v>32606</v>
      </c>
      <c r="G2640" t="s">
        <v>32614</v>
      </c>
      <c r="H2640" t="s">
        <v>14201</v>
      </c>
      <c r="I2640" t="s">
        <v>32629</v>
      </c>
      <c r="J2640" t="s">
        <v>34624</v>
      </c>
      <c r="K2640" t="s">
        <v>42622</v>
      </c>
      <c r="M2640" t="s">
        <v>44105</v>
      </c>
      <c r="N2640" t="s">
        <v>47304</v>
      </c>
      <c r="O2640" t="s">
        <v>47305</v>
      </c>
      <c r="P2640">
        <v>0</v>
      </c>
      <c r="Q2640">
        <v>0</v>
      </c>
      <c r="R2640" t="s">
        <v>47307</v>
      </c>
      <c r="S2640" t="s">
        <v>47416</v>
      </c>
      <c r="T2640" t="s">
        <v>48977</v>
      </c>
      <c r="U2640" t="s">
        <v>51873</v>
      </c>
      <c r="W2640" t="s">
        <v>44105</v>
      </c>
      <c r="X2640" t="s">
        <v>47306</v>
      </c>
    </row>
    <row r="2641" spans="1:24">
      <c r="A2641">
        <f>HYPERLINK("https://www.philgeps.gov.ph/GEPSNONPILOT/Tender/SplashBidNoticeAbstractUI.aspx?menuIndex=3&amp;refID=7200570&amp;Result=3","7200570")</f>
        <v>0</v>
      </c>
      <c r="B2641" t="s">
        <v>234</v>
      </c>
      <c r="C2641" t="s">
        <v>6408</v>
      </c>
      <c r="D2641" t="s">
        <v>19052</v>
      </c>
      <c r="E2641" t="s">
        <v>21502</v>
      </c>
      <c r="F2641" t="s">
        <v>32606</v>
      </c>
      <c r="G2641" t="s">
        <v>32613</v>
      </c>
      <c r="H2641" t="s">
        <v>14201</v>
      </c>
      <c r="I2641" t="s">
        <v>7064</v>
      </c>
      <c r="J2641" t="s">
        <v>34625</v>
      </c>
      <c r="K2641" t="s">
        <v>42639</v>
      </c>
      <c r="M2641" t="s">
        <v>43135</v>
      </c>
      <c r="N2641" t="s">
        <v>47304</v>
      </c>
      <c r="O2641" t="s">
        <v>47305</v>
      </c>
      <c r="P2641">
        <v>0</v>
      </c>
      <c r="Q2641">
        <v>2</v>
      </c>
      <c r="R2641" t="s">
        <v>47307</v>
      </c>
      <c r="S2641" t="s">
        <v>47416</v>
      </c>
      <c r="T2641" t="s">
        <v>49230</v>
      </c>
      <c r="U2641" t="s">
        <v>51874</v>
      </c>
      <c r="V2641" t="s">
        <v>62641</v>
      </c>
      <c r="W2641" t="s">
        <v>43135</v>
      </c>
      <c r="X2641" t="s">
        <v>47306</v>
      </c>
    </row>
    <row r="2642" spans="1:24">
      <c r="A2642">
        <f>HYPERLINK("https://www.philgeps.gov.ph/GEPSNONPILOT/Tender/SplashBidNoticeAbstractUI.aspx?menuIndex=3&amp;refID=7200599&amp;Result=3","7200599")</f>
        <v>0</v>
      </c>
      <c r="B2642" t="s">
        <v>1126</v>
      </c>
      <c r="C2642" t="s">
        <v>6409</v>
      </c>
      <c r="D2642" t="s">
        <v>19054</v>
      </c>
      <c r="E2642" t="s">
        <v>21503</v>
      </c>
      <c r="F2642" t="s">
        <v>32606</v>
      </c>
      <c r="G2642" t="s">
        <v>32613</v>
      </c>
      <c r="H2642" t="s">
        <v>32623</v>
      </c>
      <c r="I2642" t="s">
        <v>6931</v>
      </c>
      <c r="J2642" t="s">
        <v>33071</v>
      </c>
      <c r="K2642" t="s">
        <v>42646</v>
      </c>
      <c r="M2642" t="s">
        <v>44088</v>
      </c>
      <c r="N2642" t="s">
        <v>47304</v>
      </c>
      <c r="O2642" t="s">
        <v>47305</v>
      </c>
      <c r="P2642">
        <v>0</v>
      </c>
      <c r="Q2642">
        <v>0</v>
      </c>
      <c r="R2642" t="s">
        <v>47307</v>
      </c>
      <c r="S2642" t="s">
        <v>47416</v>
      </c>
      <c r="T2642" t="s">
        <v>49205</v>
      </c>
      <c r="U2642" t="s">
        <v>51875</v>
      </c>
      <c r="V2642" t="s">
        <v>62932</v>
      </c>
      <c r="W2642" t="s">
        <v>44088</v>
      </c>
      <c r="X2642" t="s">
        <v>47306</v>
      </c>
    </row>
    <row r="2643" spans="1:24">
      <c r="A2643">
        <f>HYPERLINK("https://www.philgeps.gov.ph/GEPSNONPILOT/Tender/SplashBidNoticeAbstractUI.aspx?menuIndex=3&amp;refID=7200633&amp;Result=3","7200633")</f>
        <v>0</v>
      </c>
      <c r="B2643" t="s">
        <v>959</v>
      </c>
      <c r="C2643" t="s">
        <v>6410</v>
      </c>
      <c r="D2643" t="s">
        <v>19038</v>
      </c>
      <c r="E2643" t="s">
        <v>21504</v>
      </c>
      <c r="F2643" t="s">
        <v>32606</v>
      </c>
      <c r="G2643" t="s">
        <v>32614</v>
      </c>
      <c r="H2643" t="s">
        <v>14201</v>
      </c>
      <c r="I2643" t="s">
        <v>6993</v>
      </c>
      <c r="J2643" t="s">
        <v>34626</v>
      </c>
      <c r="K2643" t="s">
        <v>42631</v>
      </c>
      <c r="M2643" t="s">
        <v>43904</v>
      </c>
      <c r="N2643" t="s">
        <v>47304</v>
      </c>
      <c r="O2643" t="s">
        <v>47305</v>
      </c>
      <c r="P2643">
        <v>0</v>
      </c>
      <c r="Q2643">
        <v>0</v>
      </c>
      <c r="R2643" t="s">
        <v>47307</v>
      </c>
      <c r="S2643" t="s">
        <v>47416</v>
      </c>
      <c r="T2643" t="s">
        <v>49175</v>
      </c>
      <c r="U2643" t="s">
        <v>51876</v>
      </c>
      <c r="W2643" t="s">
        <v>43904</v>
      </c>
      <c r="X2643" t="s">
        <v>47306</v>
      </c>
    </row>
    <row r="2644" spans="1:24">
      <c r="A2644">
        <f>HYPERLINK("https://www.philgeps.gov.ph/GEPSNONPILOT/Tender/SplashBidNoticeAbstractUI.aspx?menuIndex=3&amp;refID=7200598&amp;Result=3","7200598")</f>
        <v>0</v>
      </c>
      <c r="B2644" t="s">
        <v>1144</v>
      </c>
      <c r="C2644" t="s">
        <v>5011</v>
      </c>
      <c r="D2644" t="s">
        <v>18993</v>
      </c>
      <c r="E2644" t="s">
        <v>21505</v>
      </c>
      <c r="F2644" t="s">
        <v>32606</v>
      </c>
      <c r="G2644" t="s">
        <v>32614</v>
      </c>
      <c r="H2644" t="s">
        <v>14201</v>
      </c>
      <c r="I2644" t="s">
        <v>7677</v>
      </c>
      <c r="J2644" t="s">
        <v>34627</v>
      </c>
      <c r="K2644" t="s">
        <v>42623</v>
      </c>
      <c r="M2644" t="s">
        <v>44106</v>
      </c>
      <c r="N2644" t="s">
        <v>47304</v>
      </c>
      <c r="O2644" t="s">
        <v>47305</v>
      </c>
      <c r="P2644">
        <v>0</v>
      </c>
      <c r="Q2644">
        <v>0</v>
      </c>
      <c r="R2644" t="s">
        <v>47307</v>
      </c>
      <c r="S2644" t="s">
        <v>47416</v>
      </c>
      <c r="T2644" t="s">
        <v>48972</v>
      </c>
      <c r="U2644" t="s">
        <v>51877</v>
      </c>
      <c r="W2644" t="s">
        <v>44106</v>
      </c>
      <c r="X2644" t="s">
        <v>47306</v>
      </c>
    </row>
    <row r="2645" spans="1:24">
      <c r="A2645">
        <f>HYPERLINK("https://www.philgeps.gov.ph/GEPSNONPILOT/Tender/SplashBidNoticeAbstractUI.aspx?menuIndex=3&amp;refID=7200632&amp;Result=3","7200632")</f>
        <v>0</v>
      </c>
      <c r="B2645" t="s">
        <v>1145</v>
      </c>
      <c r="C2645" t="s">
        <v>6411</v>
      </c>
      <c r="D2645" t="s">
        <v>19011</v>
      </c>
      <c r="E2645" t="s">
        <v>21506</v>
      </c>
      <c r="F2645" t="s">
        <v>32606</v>
      </c>
      <c r="G2645" t="s">
        <v>32613</v>
      </c>
      <c r="H2645" t="s">
        <v>32624</v>
      </c>
      <c r="I2645" t="s">
        <v>32628</v>
      </c>
      <c r="J2645" t="s">
        <v>34628</v>
      </c>
      <c r="K2645" t="s">
        <v>42688</v>
      </c>
      <c r="M2645" t="s">
        <v>44107</v>
      </c>
      <c r="N2645" t="s">
        <v>47304</v>
      </c>
      <c r="O2645" t="s">
        <v>47305</v>
      </c>
      <c r="P2645">
        <v>0</v>
      </c>
      <c r="Q2645">
        <v>0</v>
      </c>
      <c r="R2645" t="s">
        <v>47307</v>
      </c>
      <c r="S2645" t="s">
        <v>47416</v>
      </c>
      <c r="T2645" t="s">
        <v>49231</v>
      </c>
      <c r="U2645" t="s">
        <v>51878</v>
      </c>
      <c r="W2645" t="s">
        <v>44107</v>
      </c>
      <c r="X2645" t="s">
        <v>47306</v>
      </c>
    </row>
    <row r="2646" spans="1:24">
      <c r="A2646">
        <f>HYPERLINK("https://www.philgeps.gov.ph/GEPSNONPILOT/Tender/SplashBidNoticeAbstractUI.aspx?menuIndex=3&amp;refID=7200605&amp;Result=3","7200605")</f>
        <v>0</v>
      </c>
      <c r="B2646" t="s">
        <v>1126</v>
      </c>
      <c r="C2646" t="s">
        <v>6412</v>
      </c>
      <c r="D2646" t="s">
        <v>19054</v>
      </c>
      <c r="E2646" t="s">
        <v>21507</v>
      </c>
      <c r="F2646" t="s">
        <v>32606</v>
      </c>
      <c r="G2646" t="s">
        <v>32613</v>
      </c>
      <c r="H2646" t="s">
        <v>14201</v>
      </c>
      <c r="I2646" t="s">
        <v>4120</v>
      </c>
      <c r="J2646" t="s">
        <v>34629</v>
      </c>
      <c r="K2646" t="s">
        <v>42627</v>
      </c>
      <c r="M2646" t="s">
        <v>44088</v>
      </c>
      <c r="N2646" t="s">
        <v>47304</v>
      </c>
      <c r="O2646" t="s">
        <v>47305</v>
      </c>
      <c r="P2646">
        <v>0</v>
      </c>
      <c r="Q2646">
        <v>0</v>
      </c>
      <c r="R2646" t="s">
        <v>47307</v>
      </c>
      <c r="S2646" t="s">
        <v>47416</v>
      </c>
      <c r="T2646" t="s">
        <v>49205</v>
      </c>
      <c r="U2646" t="s">
        <v>51879</v>
      </c>
      <c r="V2646" t="s">
        <v>62932</v>
      </c>
      <c r="W2646" t="s">
        <v>44088</v>
      </c>
      <c r="X2646" t="s">
        <v>47306</v>
      </c>
    </row>
    <row r="2647" spans="1:24">
      <c r="A2647">
        <f>HYPERLINK("https://www.philgeps.gov.ph/GEPSNONPILOT/Tender/SplashBidNoticeAbstractUI.aspx?menuIndex=3&amp;refID=7200469&amp;Result=3","7200469")</f>
        <v>0</v>
      </c>
      <c r="B2647" t="s">
        <v>280</v>
      </c>
      <c r="C2647" t="s">
        <v>6298</v>
      </c>
      <c r="D2647" t="s">
        <v>19028</v>
      </c>
      <c r="E2647" t="s">
        <v>21508</v>
      </c>
      <c r="F2647" t="s">
        <v>32606</v>
      </c>
      <c r="G2647" t="s">
        <v>32614</v>
      </c>
      <c r="H2647" t="s">
        <v>14201</v>
      </c>
      <c r="I2647" t="s">
        <v>6298</v>
      </c>
      <c r="J2647" t="s">
        <v>34630</v>
      </c>
      <c r="K2647" t="s">
        <v>42631</v>
      </c>
      <c r="M2647" t="s">
        <v>43712</v>
      </c>
      <c r="N2647" t="s">
        <v>47304</v>
      </c>
      <c r="O2647" t="s">
        <v>47305</v>
      </c>
      <c r="P2647">
        <v>0</v>
      </c>
      <c r="Q2647">
        <v>0</v>
      </c>
      <c r="R2647" t="s">
        <v>47307</v>
      </c>
      <c r="S2647" t="s">
        <v>47416</v>
      </c>
      <c r="T2647" t="s">
        <v>48977</v>
      </c>
      <c r="U2647" t="s">
        <v>51880</v>
      </c>
      <c r="W2647" t="s">
        <v>43712</v>
      </c>
      <c r="X2647" t="s">
        <v>47306</v>
      </c>
    </row>
    <row r="2648" spans="1:24">
      <c r="A2648">
        <f>HYPERLINK("https://www.philgeps.gov.ph/GEPSNONPILOT/Tender/SplashBidNoticeAbstractUI.aspx?menuIndex=3&amp;refID=7200629&amp;Result=3","7200629")</f>
        <v>0</v>
      </c>
      <c r="B2648" t="s">
        <v>1146</v>
      </c>
      <c r="C2648" t="s">
        <v>6413</v>
      </c>
      <c r="D2648" t="s">
        <v>19007</v>
      </c>
      <c r="E2648" t="s">
        <v>21509</v>
      </c>
      <c r="F2648" t="s">
        <v>32606</v>
      </c>
      <c r="G2648" t="s">
        <v>32617</v>
      </c>
      <c r="H2648" t="s">
        <v>14201</v>
      </c>
      <c r="I2648" t="s">
        <v>4120</v>
      </c>
      <c r="J2648" t="s">
        <v>34631</v>
      </c>
      <c r="K2648" t="s">
        <v>42630</v>
      </c>
      <c r="M2648" t="s">
        <v>44108</v>
      </c>
      <c r="N2648" t="s">
        <v>47304</v>
      </c>
      <c r="O2648" t="s">
        <v>47305</v>
      </c>
      <c r="P2648">
        <v>0</v>
      </c>
      <c r="Q2648">
        <v>0</v>
      </c>
      <c r="R2648" t="s">
        <v>47307</v>
      </c>
      <c r="S2648" t="s">
        <v>47416</v>
      </c>
      <c r="T2648" t="s">
        <v>48975</v>
      </c>
      <c r="U2648" t="s">
        <v>51881</v>
      </c>
      <c r="V2648" t="s">
        <v>62936</v>
      </c>
      <c r="W2648" t="s">
        <v>44108</v>
      </c>
      <c r="X2648" t="s">
        <v>47306</v>
      </c>
    </row>
    <row r="2649" spans="1:24">
      <c r="A2649">
        <f>HYPERLINK("https://www.philgeps.gov.ph/GEPSNONPILOT/Tender/SplashBidNoticeAbstractUI.aspx?menuIndex=3&amp;refID=7200628&amp;Result=3","7200628")</f>
        <v>0</v>
      </c>
      <c r="B2649" t="s">
        <v>1147</v>
      </c>
      <c r="C2649" t="s">
        <v>6414</v>
      </c>
      <c r="D2649" t="s">
        <v>18995</v>
      </c>
      <c r="E2649" t="s">
        <v>21510</v>
      </c>
      <c r="F2649" t="s">
        <v>32606</v>
      </c>
      <c r="G2649" t="s">
        <v>32613</v>
      </c>
      <c r="H2649" t="s">
        <v>32623</v>
      </c>
      <c r="I2649" t="s">
        <v>17648</v>
      </c>
      <c r="J2649" t="s">
        <v>33263</v>
      </c>
      <c r="K2649" t="s">
        <v>42631</v>
      </c>
      <c r="M2649" t="s">
        <v>44109</v>
      </c>
      <c r="N2649" t="s">
        <v>47304</v>
      </c>
      <c r="O2649" t="s">
        <v>47305</v>
      </c>
      <c r="P2649">
        <v>0</v>
      </c>
      <c r="Q2649">
        <v>0</v>
      </c>
      <c r="R2649" t="s">
        <v>47307</v>
      </c>
      <c r="S2649" t="s">
        <v>47416</v>
      </c>
      <c r="T2649" t="s">
        <v>49028</v>
      </c>
      <c r="U2649" t="s">
        <v>51882</v>
      </c>
      <c r="W2649" t="s">
        <v>44109</v>
      </c>
      <c r="X2649" t="s">
        <v>47306</v>
      </c>
    </row>
    <row r="2650" spans="1:24">
      <c r="A2650">
        <f>HYPERLINK("https://www.philgeps.gov.ph/GEPSNONPILOT/Tender/SplashBidNoticeAbstractUI.aspx?menuIndex=3&amp;refID=7200625&amp;Result=3","7200625")</f>
        <v>0</v>
      </c>
      <c r="B2650" t="s">
        <v>1145</v>
      </c>
      <c r="C2650" t="s">
        <v>6415</v>
      </c>
      <c r="D2650" t="s">
        <v>19011</v>
      </c>
      <c r="E2650" t="s">
        <v>21511</v>
      </c>
      <c r="F2650" t="s">
        <v>32606</v>
      </c>
      <c r="G2650" t="s">
        <v>32613</v>
      </c>
      <c r="H2650" t="s">
        <v>32624</v>
      </c>
      <c r="I2650" t="s">
        <v>9297</v>
      </c>
      <c r="J2650" t="s">
        <v>34632</v>
      </c>
      <c r="K2650" t="s">
        <v>42688</v>
      </c>
      <c r="M2650" t="s">
        <v>44107</v>
      </c>
      <c r="N2650" t="s">
        <v>47304</v>
      </c>
      <c r="O2650" t="s">
        <v>47305</v>
      </c>
      <c r="P2650">
        <v>0</v>
      </c>
      <c r="Q2650">
        <v>0</v>
      </c>
      <c r="R2650" t="s">
        <v>47307</v>
      </c>
      <c r="S2650" t="s">
        <v>47416</v>
      </c>
      <c r="T2650" t="s">
        <v>49232</v>
      </c>
      <c r="U2650" t="s">
        <v>51883</v>
      </c>
      <c r="W2650" t="s">
        <v>44107</v>
      </c>
      <c r="X2650" t="s">
        <v>47306</v>
      </c>
    </row>
    <row r="2651" spans="1:24">
      <c r="A2651">
        <f>HYPERLINK("https://www.philgeps.gov.ph/GEPSNONPILOT/Tender/SplashBidNoticeAbstractUI.aspx?menuIndex=3&amp;refID=7200634&amp;Result=3","7200634")</f>
        <v>0</v>
      </c>
      <c r="B2651" t="s">
        <v>1148</v>
      </c>
      <c r="C2651" t="s">
        <v>6416</v>
      </c>
      <c r="D2651" t="s">
        <v>18999</v>
      </c>
      <c r="E2651" t="s">
        <v>21512</v>
      </c>
      <c r="F2651" t="s">
        <v>32606</v>
      </c>
      <c r="G2651" t="s">
        <v>32618</v>
      </c>
      <c r="H2651" t="s">
        <v>14201</v>
      </c>
      <c r="I2651" t="s">
        <v>4112</v>
      </c>
      <c r="J2651" t="s">
        <v>34633</v>
      </c>
      <c r="K2651" t="s">
        <v>42679</v>
      </c>
      <c r="M2651" t="s">
        <v>44110</v>
      </c>
      <c r="N2651" t="s">
        <v>47304</v>
      </c>
      <c r="O2651" t="s">
        <v>47305</v>
      </c>
      <c r="P2651">
        <v>0</v>
      </c>
      <c r="Q2651">
        <v>0</v>
      </c>
      <c r="R2651" t="s">
        <v>47307</v>
      </c>
      <c r="S2651" t="s">
        <v>47416</v>
      </c>
      <c r="T2651" t="s">
        <v>49155</v>
      </c>
      <c r="U2651" t="s">
        <v>51884</v>
      </c>
      <c r="W2651" t="s">
        <v>44110</v>
      </c>
      <c r="X2651" t="s">
        <v>47306</v>
      </c>
    </row>
    <row r="2652" spans="1:24">
      <c r="A2652">
        <f>HYPERLINK("https://www.philgeps.gov.ph/GEPSNONPILOT/Tender/SplashBidNoticeAbstractUI.aspx?menuIndex=3&amp;refID=7200631&amp;Result=3","7200631")</f>
        <v>0</v>
      </c>
      <c r="B2652" t="s">
        <v>1141</v>
      </c>
      <c r="C2652" t="s">
        <v>6417</v>
      </c>
      <c r="D2652" t="s">
        <v>18988</v>
      </c>
      <c r="E2652" t="s">
        <v>21513</v>
      </c>
      <c r="F2652" t="s">
        <v>32606</v>
      </c>
      <c r="G2652" t="s">
        <v>32619</v>
      </c>
      <c r="H2652" t="s">
        <v>14201</v>
      </c>
      <c r="I2652" t="s">
        <v>7233</v>
      </c>
      <c r="J2652" t="s">
        <v>34634</v>
      </c>
      <c r="K2652" t="s">
        <v>42630</v>
      </c>
      <c r="M2652" t="s">
        <v>44103</v>
      </c>
      <c r="N2652" t="s">
        <v>47304</v>
      </c>
      <c r="O2652" t="s">
        <v>47305</v>
      </c>
      <c r="P2652">
        <v>0</v>
      </c>
      <c r="Q2652">
        <v>0</v>
      </c>
      <c r="R2652" t="s">
        <v>47307</v>
      </c>
      <c r="S2652" t="s">
        <v>47416</v>
      </c>
      <c r="T2652" t="s">
        <v>48980</v>
      </c>
      <c r="U2652" t="s">
        <v>51885</v>
      </c>
      <c r="W2652" t="s">
        <v>44103</v>
      </c>
      <c r="X2652" t="s">
        <v>47306</v>
      </c>
    </row>
    <row r="2653" spans="1:24">
      <c r="A2653">
        <f>HYPERLINK("https://www.philgeps.gov.ph/GEPSNONPILOT/Tender/SplashBidNoticeAbstractUI.aspx?menuIndex=3&amp;refID=7200622&amp;Result=3","7200622")</f>
        <v>0</v>
      </c>
      <c r="B2653" t="s">
        <v>1148</v>
      </c>
      <c r="C2653" t="s">
        <v>6418</v>
      </c>
      <c r="D2653" t="s">
        <v>18999</v>
      </c>
      <c r="E2653" t="s">
        <v>21512</v>
      </c>
      <c r="F2653" t="s">
        <v>32606</v>
      </c>
      <c r="G2653" t="s">
        <v>32618</v>
      </c>
      <c r="H2653" t="s">
        <v>14201</v>
      </c>
      <c r="I2653" t="s">
        <v>4112</v>
      </c>
      <c r="J2653" t="s">
        <v>34635</v>
      </c>
      <c r="K2653" t="s">
        <v>42679</v>
      </c>
      <c r="M2653" t="s">
        <v>44110</v>
      </c>
      <c r="N2653" t="s">
        <v>47304</v>
      </c>
      <c r="O2653" t="s">
        <v>47305</v>
      </c>
      <c r="P2653">
        <v>0</v>
      </c>
      <c r="Q2653">
        <v>0</v>
      </c>
      <c r="R2653" t="s">
        <v>47307</v>
      </c>
      <c r="S2653" t="s">
        <v>47416</v>
      </c>
      <c r="T2653" t="s">
        <v>49155</v>
      </c>
      <c r="U2653" t="s">
        <v>51884</v>
      </c>
      <c r="W2653" t="s">
        <v>44110</v>
      </c>
      <c r="X2653" t="s">
        <v>47306</v>
      </c>
    </row>
    <row r="2654" spans="1:24">
      <c r="A2654">
        <f>HYPERLINK("https://www.philgeps.gov.ph/GEPSNONPILOT/Tender/SplashBidNoticeAbstractUI.aspx?menuIndex=3&amp;refID=7200630&amp;Result=3","7200630")</f>
        <v>0</v>
      </c>
      <c r="B2654" t="s">
        <v>1149</v>
      </c>
      <c r="C2654" t="s">
        <v>6419</v>
      </c>
      <c r="D2654" t="s">
        <v>18993</v>
      </c>
      <c r="E2654" t="s">
        <v>21514</v>
      </c>
      <c r="F2654" t="s">
        <v>32606</v>
      </c>
      <c r="G2654" t="s">
        <v>32614</v>
      </c>
      <c r="H2654" t="s">
        <v>14201</v>
      </c>
      <c r="I2654" t="s">
        <v>7677</v>
      </c>
      <c r="J2654" t="s">
        <v>34636</v>
      </c>
      <c r="K2654" t="s">
        <v>42632</v>
      </c>
      <c r="M2654" t="s">
        <v>44111</v>
      </c>
      <c r="N2654" t="s">
        <v>47304</v>
      </c>
      <c r="O2654" t="s">
        <v>47305</v>
      </c>
      <c r="P2654">
        <v>0</v>
      </c>
      <c r="Q2654">
        <v>0</v>
      </c>
      <c r="R2654" t="s">
        <v>47307</v>
      </c>
      <c r="S2654" t="s">
        <v>47416</v>
      </c>
      <c r="T2654" t="s">
        <v>48988</v>
      </c>
      <c r="U2654" t="s">
        <v>51886</v>
      </c>
      <c r="W2654" t="s">
        <v>44111</v>
      </c>
      <c r="X2654" t="s">
        <v>47306</v>
      </c>
    </row>
    <row r="2655" spans="1:24">
      <c r="A2655">
        <f>HYPERLINK("https://www.philgeps.gov.ph/GEPSNONPILOT/Tender/SplashBidNoticeAbstractUI.aspx?menuIndex=3&amp;refID=7200624&amp;Result=3","7200624")</f>
        <v>0</v>
      </c>
      <c r="B2655" t="s">
        <v>1150</v>
      </c>
      <c r="C2655" t="s">
        <v>6420</v>
      </c>
      <c r="D2655" t="s">
        <v>19040</v>
      </c>
      <c r="E2655" t="s">
        <v>21515</v>
      </c>
      <c r="F2655" t="s">
        <v>32606</v>
      </c>
      <c r="G2655" t="s">
        <v>32613</v>
      </c>
      <c r="H2655" t="s">
        <v>32623</v>
      </c>
      <c r="I2655" t="s">
        <v>17648</v>
      </c>
      <c r="J2655" t="s">
        <v>34637</v>
      </c>
      <c r="K2655" t="s">
        <v>42624</v>
      </c>
      <c r="M2655" t="s">
        <v>44112</v>
      </c>
      <c r="N2655" t="s">
        <v>47304</v>
      </c>
      <c r="O2655" t="s">
        <v>47305</v>
      </c>
      <c r="P2655">
        <v>0</v>
      </c>
      <c r="Q2655">
        <v>0</v>
      </c>
      <c r="R2655" t="s">
        <v>47307</v>
      </c>
      <c r="S2655" t="s">
        <v>47416</v>
      </c>
      <c r="T2655" t="s">
        <v>49032</v>
      </c>
      <c r="U2655" t="s">
        <v>51887</v>
      </c>
      <c r="V2655" t="s">
        <v>62937</v>
      </c>
      <c r="W2655" t="s">
        <v>64465</v>
      </c>
      <c r="X2655" t="s">
        <v>47306</v>
      </c>
    </row>
    <row r="2656" spans="1:24">
      <c r="A2656">
        <f>HYPERLINK("https://www.philgeps.gov.ph/GEPSNONPILOT/Tender/SplashBidNoticeAbstractUI.aspx?menuIndex=3&amp;refID=7200621&amp;Result=3","7200621")</f>
        <v>0</v>
      </c>
      <c r="B2656" t="s">
        <v>639</v>
      </c>
      <c r="C2656" t="s">
        <v>6421</v>
      </c>
      <c r="D2656" t="s">
        <v>19008</v>
      </c>
      <c r="E2656" t="s">
        <v>21516</v>
      </c>
      <c r="F2656" t="s">
        <v>32606</v>
      </c>
      <c r="G2656" t="s">
        <v>32619</v>
      </c>
      <c r="H2656" t="s">
        <v>14201</v>
      </c>
      <c r="I2656" t="s">
        <v>32635</v>
      </c>
      <c r="J2656" t="s">
        <v>33800</v>
      </c>
      <c r="K2656" t="s">
        <v>42630</v>
      </c>
      <c r="M2656" t="s">
        <v>44113</v>
      </c>
      <c r="N2656" t="s">
        <v>47304</v>
      </c>
      <c r="O2656" t="s">
        <v>47305</v>
      </c>
      <c r="P2656">
        <v>0</v>
      </c>
      <c r="Q2656">
        <v>0</v>
      </c>
      <c r="R2656" t="s">
        <v>47307</v>
      </c>
      <c r="S2656" t="s">
        <v>47416</v>
      </c>
      <c r="T2656" t="s">
        <v>49108</v>
      </c>
      <c r="U2656" t="s">
        <v>51888</v>
      </c>
      <c r="W2656" t="s">
        <v>44113</v>
      </c>
      <c r="X2656" t="s">
        <v>47306</v>
      </c>
    </row>
    <row r="2657" spans="1:24">
      <c r="A2657">
        <f>HYPERLINK("https://www.philgeps.gov.ph/GEPSNONPILOT/Tender/SplashBidNoticeAbstractUI.aspx?menuIndex=3&amp;refID=7200618&amp;Result=3","7200618")</f>
        <v>0</v>
      </c>
      <c r="B2657" t="s">
        <v>1151</v>
      </c>
      <c r="C2657" t="s">
        <v>6422</v>
      </c>
      <c r="D2657" t="s">
        <v>19008</v>
      </c>
      <c r="E2657" t="s">
        <v>21517</v>
      </c>
      <c r="F2657" t="s">
        <v>32606</v>
      </c>
      <c r="G2657" t="s">
        <v>32613</v>
      </c>
      <c r="H2657" t="s">
        <v>14201</v>
      </c>
      <c r="I2657" t="s">
        <v>6931</v>
      </c>
      <c r="J2657" t="s">
        <v>34638</v>
      </c>
      <c r="K2657" t="s">
        <v>42627</v>
      </c>
      <c r="M2657" t="s">
        <v>44114</v>
      </c>
      <c r="N2657" t="s">
        <v>47304</v>
      </c>
      <c r="O2657" t="s">
        <v>47305</v>
      </c>
      <c r="P2657">
        <v>0</v>
      </c>
      <c r="Q2657">
        <v>0</v>
      </c>
      <c r="R2657" t="s">
        <v>47307</v>
      </c>
      <c r="S2657" t="s">
        <v>47416</v>
      </c>
      <c r="T2657" t="s">
        <v>49121</v>
      </c>
      <c r="U2657" t="s">
        <v>51889</v>
      </c>
      <c r="V2657" t="s">
        <v>62938</v>
      </c>
      <c r="W2657" t="s">
        <v>44114</v>
      </c>
      <c r="X2657" t="s">
        <v>47306</v>
      </c>
    </row>
    <row r="2658" spans="1:24">
      <c r="A2658">
        <f>HYPERLINK("https://www.philgeps.gov.ph/GEPSNONPILOT/Tender/SplashBidNoticeAbstractUI.aspx?menuIndex=3&amp;refID=7200626&amp;Result=3","7200626")</f>
        <v>0</v>
      </c>
      <c r="B2658" t="s">
        <v>1148</v>
      </c>
      <c r="C2658" t="s">
        <v>6423</v>
      </c>
      <c r="D2658" t="s">
        <v>18999</v>
      </c>
      <c r="E2658" t="s">
        <v>21512</v>
      </c>
      <c r="F2658" t="s">
        <v>32606</v>
      </c>
      <c r="G2658" t="s">
        <v>32618</v>
      </c>
      <c r="H2658" t="s">
        <v>14201</v>
      </c>
      <c r="I2658" t="s">
        <v>4112</v>
      </c>
      <c r="J2658" t="s">
        <v>34639</v>
      </c>
      <c r="K2658" t="s">
        <v>42679</v>
      </c>
      <c r="M2658" t="s">
        <v>44110</v>
      </c>
      <c r="N2658" t="s">
        <v>47304</v>
      </c>
      <c r="O2658" t="s">
        <v>47305</v>
      </c>
      <c r="P2658">
        <v>0</v>
      </c>
      <c r="Q2658">
        <v>0</v>
      </c>
      <c r="R2658" t="s">
        <v>47307</v>
      </c>
      <c r="S2658" t="s">
        <v>47416</v>
      </c>
      <c r="T2658" t="s">
        <v>49155</v>
      </c>
      <c r="U2658" t="s">
        <v>51884</v>
      </c>
      <c r="W2658" t="s">
        <v>44110</v>
      </c>
      <c r="X2658" t="s">
        <v>47306</v>
      </c>
    </row>
    <row r="2659" spans="1:24">
      <c r="A2659">
        <f>HYPERLINK("https://www.philgeps.gov.ph/GEPSNONPILOT/Tender/SplashBidNoticeAbstractUI.aspx?menuIndex=3&amp;refID=7200616&amp;Result=3","7200616")</f>
        <v>0</v>
      </c>
      <c r="B2659" t="s">
        <v>1148</v>
      </c>
      <c r="C2659" t="s">
        <v>6424</v>
      </c>
      <c r="D2659" t="s">
        <v>18999</v>
      </c>
      <c r="E2659" t="s">
        <v>21512</v>
      </c>
      <c r="F2659" t="s">
        <v>32606</v>
      </c>
      <c r="G2659" t="s">
        <v>32618</v>
      </c>
      <c r="H2659" t="s">
        <v>14201</v>
      </c>
      <c r="I2659" t="s">
        <v>4112</v>
      </c>
      <c r="J2659" t="s">
        <v>34640</v>
      </c>
      <c r="K2659" t="s">
        <v>42679</v>
      </c>
      <c r="M2659" t="s">
        <v>44110</v>
      </c>
      <c r="N2659" t="s">
        <v>47304</v>
      </c>
      <c r="O2659" t="s">
        <v>47305</v>
      </c>
      <c r="P2659">
        <v>0</v>
      </c>
      <c r="Q2659">
        <v>0</v>
      </c>
      <c r="R2659" t="s">
        <v>47307</v>
      </c>
      <c r="S2659" t="s">
        <v>47416</v>
      </c>
      <c r="T2659" t="s">
        <v>49155</v>
      </c>
      <c r="U2659" t="s">
        <v>51884</v>
      </c>
      <c r="W2659" t="s">
        <v>44110</v>
      </c>
      <c r="X2659" t="s">
        <v>47306</v>
      </c>
    </row>
    <row r="2660" spans="1:24">
      <c r="A2660">
        <f>HYPERLINK("https://www.philgeps.gov.ph/GEPSNONPILOT/Tender/SplashBidNoticeAbstractUI.aspx?menuIndex=3&amp;refID=7200662&amp;Result=3","7200662")</f>
        <v>0</v>
      </c>
      <c r="B2660" t="s">
        <v>1152</v>
      </c>
      <c r="C2660" t="s">
        <v>6425</v>
      </c>
      <c r="D2660" t="s">
        <v>19010</v>
      </c>
      <c r="E2660" t="s">
        <v>21518</v>
      </c>
      <c r="F2660" t="s">
        <v>32607</v>
      </c>
      <c r="G2660" t="s">
        <v>32613</v>
      </c>
      <c r="H2660" t="s">
        <v>14201</v>
      </c>
      <c r="I2660" t="s">
        <v>32641</v>
      </c>
      <c r="J2660" t="s">
        <v>34207</v>
      </c>
      <c r="K2660" t="s">
        <v>42639</v>
      </c>
      <c r="L2660" t="s">
        <v>1152</v>
      </c>
      <c r="M2660" t="s">
        <v>44115</v>
      </c>
      <c r="N2660" t="s">
        <v>47304</v>
      </c>
      <c r="O2660" t="s">
        <v>47305</v>
      </c>
      <c r="P2660">
        <v>0</v>
      </c>
      <c r="Q2660">
        <v>0</v>
      </c>
      <c r="R2660" t="s">
        <v>47307</v>
      </c>
      <c r="S2660" t="s">
        <v>47416</v>
      </c>
      <c r="T2660" t="s">
        <v>49233</v>
      </c>
      <c r="U2660" t="s">
        <v>51890</v>
      </c>
      <c r="V2660" t="s">
        <v>62939</v>
      </c>
      <c r="W2660" t="s">
        <v>44115</v>
      </c>
      <c r="X2660" t="s">
        <v>47306</v>
      </c>
    </row>
    <row r="2661" spans="1:24">
      <c r="A2661">
        <f>HYPERLINK("https://www.philgeps.gov.ph/GEPSNONPILOT/Tender/SplashBidNoticeAbstractUI.aspx?menuIndex=3&amp;refID=7200620&amp;Result=3","7200620")</f>
        <v>0</v>
      </c>
      <c r="B2661" t="s">
        <v>1153</v>
      </c>
      <c r="C2661" t="s">
        <v>6426</v>
      </c>
      <c r="D2661" t="s">
        <v>19025</v>
      </c>
      <c r="E2661" t="s">
        <v>21519</v>
      </c>
      <c r="F2661" t="s">
        <v>32606</v>
      </c>
      <c r="G2661" t="s">
        <v>32613</v>
      </c>
      <c r="H2661" t="s">
        <v>32623</v>
      </c>
      <c r="I2661" t="s">
        <v>17648</v>
      </c>
      <c r="J2661" t="s">
        <v>32782</v>
      </c>
      <c r="K2661" t="s">
        <v>42636</v>
      </c>
      <c r="M2661" t="s">
        <v>44116</v>
      </c>
      <c r="N2661" t="s">
        <v>47304</v>
      </c>
      <c r="O2661" t="s">
        <v>47305</v>
      </c>
      <c r="P2661">
        <v>0</v>
      </c>
      <c r="Q2661">
        <v>0</v>
      </c>
      <c r="R2661" t="s">
        <v>47307</v>
      </c>
      <c r="S2661" t="s">
        <v>47416</v>
      </c>
      <c r="T2661" t="s">
        <v>49008</v>
      </c>
      <c r="U2661" t="s">
        <v>51891</v>
      </c>
      <c r="W2661" t="s">
        <v>44116</v>
      </c>
      <c r="X2661" t="s">
        <v>47306</v>
      </c>
    </row>
    <row r="2662" spans="1:24">
      <c r="A2662">
        <f>HYPERLINK("https://www.philgeps.gov.ph/GEPSNONPILOT/Tender/SplashBidNoticeAbstractUI.aspx?menuIndex=3&amp;refID=7200660&amp;Result=3","7200660")</f>
        <v>0</v>
      </c>
      <c r="B2662" t="s">
        <v>1154</v>
      </c>
      <c r="C2662" t="s">
        <v>6427</v>
      </c>
      <c r="D2662" t="s">
        <v>19005</v>
      </c>
      <c r="E2662" t="s">
        <v>21520</v>
      </c>
      <c r="F2662" t="s">
        <v>32606</v>
      </c>
      <c r="G2662" t="s">
        <v>32619</v>
      </c>
      <c r="H2662" t="s">
        <v>14201</v>
      </c>
      <c r="I2662" t="s">
        <v>32629</v>
      </c>
      <c r="J2662" t="s">
        <v>34076</v>
      </c>
      <c r="K2662" t="s">
        <v>42630</v>
      </c>
      <c r="M2662" t="s">
        <v>44117</v>
      </c>
      <c r="N2662" t="s">
        <v>47304</v>
      </c>
      <c r="O2662" t="s">
        <v>47305</v>
      </c>
      <c r="P2662">
        <v>0</v>
      </c>
      <c r="Q2662">
        <v>0</v>
      </c>
      <c r="R2662" t="s">
        <v>47307</v>
      </c>
      <c r="S2662" t="s">
        <v>47416</v>
      </c>
      <c r="T2662" t="s">
        <v>48986</v>
      </c>
      <c r="U2662" t="s">
        <v>51892</v>
      </c>
      <c r="W2662" t="s">
        <v>44117</v>
      </c>
      <c r="X2662" t="s">
        <v>47306</v>
      </c>
    </row>
    <row r="2663" spans="1:24">
      <c r="A2663">
        <f>HYPERLINK("https://www.philgeps.gov.ph/GEPSNONPILOT/Tender/SplashBidNoticeAbstractUI.aspx?menuIndex=3&amp;refID=7200627&amp;Result=3","7200627")</f>
        <v>0</v>
      </c>
      <c r="B2663" t="s">
        <v>1155</v>
      </c>
      <c r="C2663" t="s">
        <v>6428</v>
      </c>
      <c r="D2663" t="s">
        <v>19007</v>
      </c>
      <c r="E2663" t="s">
        <v>21521</v>
      </c>
      <c r="F2663" t="s">
        <v>32606</v>
      </c>
      <c r="G2663" t="s">
        <v>32613</v>
      </c>
      <c r="H2663" t="s">
        <v>14201</v>
      </c>
      <c r="I2663" t="s">
        <v>7233</v>
      </c>
      <c r="J2663" t="s">
        <v>32981</v>
      </c>
      <c r="K2663" t="s">
        <v>42623</v>
      </c>
      <c r="M2663" t="s">
        <v>44118</v>
      </c>
      <c r="N2663" t="s">
        <v>47304</v>
      </c>
      <c r="O2663" t="s">
        <v>47305</v>
      </c>
      <c r="P2663">
        <v>0</v>
      </c>
      <c r="Q2663">
        <v>0</v>
      </c>
      <c r="R2663" t="s">
        <v>47307</v>
      </c>
      <c r="S2663" t="s">
        <v>47416</v>
      </c>
      <c r="T2663" t="s">
        <v>49057</v>
      </c>
      <c r="U2663" t="s">
        <v>51893</v>
      </c>
      <c r="W2663" t="s">
        <v>44118</v>
      </c>
      <c r="X2663" t="s">
        <v>47306</v>
      </c>
    </row>
    <row r="2664" spans="1:24">
      <c r="A2664">
        <f>HYPERLINK("https://www.philgeps.gov.ph/GEPSNONPILOT/Tender/SplashBidNoticeAbstractUI.aspx?menuIndex=3&amp;refID=7200659&amp;Result=3","7200659")</f>
        <v>0</v>
      </c>
      <c r="B2664" t="s">
        <v>1156</v>
      </c>
      <c r="C2664" t="s">
        <v>6429</v>
      </c>
      <c r="D2664" t="s">
        <v>19041</v>
      </c>
      <c r="E2664" t="s">
        <v>21522</v>
      </c>
      <c r="F2664" t="s">
        <v>32606</v>
      </c>
      <c r="G2664" t="s">
        <v>32613</v>
      </c>
      <c r="H2664" t="s">
        <v>14201</v>
      </c>
      <c r="I2664" t="s">
        <v>6931</v>
      </c>
      <c r="J2664" t="s">
        <v>34641</v>
      </c>
      <c r="K2664" t="s">
        <v>42636</v>
      </c>
      <c r="M2664" t="s">
        <v>44119</v>
      </c>
      <c r="N2664" t="s">
        <v>47304</v>
      </c>
      <c r="O2664" t="s">
        <v>47305</v>
      </c>
      <c r="P2664">
        <v>0</v>
      </c>
      <c r="Q2664">
        <v>0</v>
      </c>
      <c r="R2664" t="s">
        <v>47307</v>
      </c>
      <c r="S2664" t="s">
        <v>47416</v>
      </c>
      <c r="T2664" t="s">
        <v>49009</v>
      </c>
      <c r="U2664" t="s">
        <v>51894</v>
      </c>
      <c r="V2664" t="s">
        <v>62940</v>
      </c>
      <c r="W2664" t="s">
        <v>44119</v>
      </c>
      <c r="X2664" t="s">
        <v>47306</v>
      </c>
    </row>
    <row r="2665" spans="1:24">
      <c r="A2665">
        <f>HYPERLINK("https://www.philgeps.gov.ph/GEPSNONPILOT/Tender/SplashBidNoticeAbstractUI.aspx?menuIndex=3&amp;refID=7200653&amp;Result=3","7200653")</f>
        <v>0</v>
      </c>
      <c r="B2665" t="s">
        <v>1157</v>
      </c>
      <c r="C2665" t="s">
        <v>6430</v>
      </c>
      <c r="D2665" t="s">
        <v>19056</v>
      </c>
      <c r="E2665" t="s">
        <v>21523</v>
      </c>
      <c r="F2665" t="s">
        <v>32606</v>
      </c>
      <c r="G2665" t="s">
        <v>32617</v>
      </c>
      <c r="H2665" t="s">
        <v>14201</v>
      </c>
      <c r="I2665" t="s">
        <v>4120</v>
      </c>
      <c r="J2665" t="s">
        <v>34642</v>
      </c>
      <c r="K2665" t="s">
        <v>42624</v>
      </c>
      <c r="M2665" t="s">
        <v>44120</v>
      </c>
      <c r="N2665" t="s">
        <v>47304</v>
      </c>
      <c r="O2665" t="s">
        <v>47305</v>
      </c>
      <c r="P2665">
        <v>0</v>
      </c>
      <c r="Q2665">
        <v>0</v>
      </c>
      <c r="R2665" t="s">
        <v>47307</v>
      </c>
      <c r="S2665" t="s">
        <v>47416</v>
      </c>
      <c r="T2665" t="s">
        <v>48975</v>
      </c>
      <c r="U2665" t="s">
        <v>51895</v>
      </c>
      <c r="W2665" t="s">
        <v>44120</v>
      </c>
      <c r="X2665" t="s">
        <v>47306</v>
      </c>
    </row>
    <row r="2666" spans="1:24">
      <c r="A2666">
        <f>HYPERLINK("https://www.philgeps.gov.ph/GEPSNONPILOT/Tender/SplashBidNoticeAbstractUI.aspx?menuIndex=3&amp;refID=7200661&amp;Result=3","7200661")</f>
        <v>0</v>
      </c>
      <c r="B2666" t="s">
        <v>1158</v>
      </c>
      <c r="C2666" t="s">
        <v>6431</v>
      </c>
      <c r="D2666" t="s">
        <v>19016</v>
      </c>
      <c r="E2666" t="s">
        <v>19311</v>
      </c>
      <c r="F2666" t="s">
        <v>32606</v>
      </c>
      <c r="G2666" t="s">
        <v>32613</v>
      </c>
      <c r="H2666" t="s">
        <v>32623</v>
      </c>
      <c r="I2666" t="s">
        <v>17648</v>
      </c>
      <c r="J2666" t="s">
        <v>34643</v>
      </c>
      <c r="K2666" t="s">
        <v>42631</v>
      </c>
      <c r="L2666" t="s">
        <v>1158</v>
      </c>
      <c r="M2666" t="s">
        <v>44121</v>
      </c>
      <c r="N2666" t="s">
        <v>47304</v>
      </c>
      <c r="O2666" t="s">
        <v>47305</v>
      </c>
      <c r="P2666">
        <v>0</v>
      </c>
      <c r="Q2666">
        <v>0</v>
      </c>
      <c r="R2666" t="s">
        <v>47307</v>
      </c>
      <c r="S2666" t="s">
        <v>47416</v>
      </c>
      <c r="T2666" t="s">
        <v>49028</v>
      </c>
      <c r="U2666" t="s">
        <v>51896</v>
      </c>
      <c r="V2666" t="s">
        <v>62941</v>
      </c>
      <c r="W2666" t="s">
        <v>44121</v>
      </c>
      <c r="X2666" t="s">
        <v>47306</v>
      </c>
    </row>
    <row r="2667" spans="1:24">
      <c r="A2667">
        <f>HYPERLINK("https://www.philgeps.gov.ph/GEPSNONPILOT/Tender/SplashBidNoticeAbstractUI.aspx?menuIndex=3&amp;refID=7200652&amp;Result=3","7200652")</f>
        <v>0</v>
      </c>
      <c r="B2667" t="s">
        <v>1148</v>
      </c>
      <c r="C2667" t="s">
        <v>6432</v>
      </c>
      <c r="D2667" t="s">
        <v>18999</v>
      </c>
      <c r="E2667" t="s">
        <v>21512</v>
      </c>
      <c r="F2667" t="s">
        <v>32606</v>
      </c>
      <c r="G2667" t="s">
        <v>32618</v>
      </c>
      <c r="H2667" t="s">
        <v>14201</v>
      </c>
      <c r="I2667" t="s">
        <v>4112</v>
      </c>
      <c r="J2667" t="s">
        <v>34644</v>
      </c>
      <c r="K2667" t="s">
        <v>42679</v>
      </c>
      <c r="M2667" t="s">
        <v>44110</v>
      </c>
      <c r="N2667" t="s">
        <v>47304</v>
      </c>
      <c r="O2667" t="s">
        <v>47305</v>
      </c>
      <c r="P2667">
        <v>0</v>
      </c>
      <c r="Q2667">
        <v>0</v>
      </c>
      <c r="R2667" t="s">
        <v>47307</v>
      </c>
      <c r="S2667" t="s">
        <v>47416</v>
      </c>
      <c r="T2667" t="s">
        <v>49155</v>
      </c>
      <c r="U2667" t="s">
        <v>51884</v>
      </c>
      <c r="W2667" t="s">
        <v>44110</v>
      </c>
      <c r="X2667" t="s">
        <v>47306</v>
      </c>
    </row>
    <row r="2668" spans="1:24">
      <c r="A2668">
        <f>HYPERLINK("https://www.philgeps.gov.ph/GEPSNONPILOT/Tender/SplashBidNoticeAbstractUI.aspx?menuIndex=3&amp;refID=7200623&amp;Result=3","7200623")</f>
        <v>0</v>
      </c>
      <c r="B2668" t="s">
        <v>1159</v>
      </c>
      <c r="C2668" t="s">
        <v>6197</v>
      </c>
      <c r="D2668" t="s">
        <v>19006</v>
      </c>
      <c r="E2668" t="s">
        <v>21524</v>
      </c>
      <c r="F2668" t="s">
        <v>32607</v>
      </c>
      <c r="G2668" t="s">
        <v>32614</v>
      </c>
      <c r="H2668" t="s">
        <v>14201</v>
      </c>
      <c r="I2668" t="s">
        <v>32648</v>
      </c>
      <c r="J2668" t="s">
        <v>34645</v>
      </c>
      <c r="K2668" t="s">
        <v>42630</v>
      </c>
      <c r="M2668" t="s">
        <v>44122</v>
      </c>
      <c r="N2668" t="s">
        <v>47304</v>
      </c>
      <c r="O2668" t="s">
        <v>47305</v>
      </c>
      <c r="P2668">
        <v>0</v>
      </c>
      <c r="Q2668">
        <v>0</v>
      </c>
      <c r="R2668" t="s">
        <v>47307</v>
      </c>
      <c r="S2668" t="s">
        <v>47416</v>
      </c>
      <c r="T2668" t="s">
        <v>48971</v>
      </c>
      <c r="U2668" t="s">
        <v>51897</v>
      </c>
      <c r="V2668" t="s">
        <v>62874</v>
      </c>
      <c r="W2668" t="s">
        <v>44122</v>
      </c>
      <c r="X2668" t="s">
        <v>47306</v>
      </c>
    </row>
    <row r="2669" spans="1:24">
      <c r="A2669">
        <f>HYPERLINK("https://www.philgeps.gov.ph/GEPSNONPILOT/Tender/SplashBidNoticeAbstractUI.aspx?menuIndex=3&amp;refID=7200651&amp;Result=3","7200651")</f>
        <v>0</v>
      </c>
      <c r="B2669" t="s">
        <v>1160</v>
      </c>
      <c r="C2669" t="s">
        <v>6433</v>
      </c>
      <c r="D2669" t="s">
        <v>19058</v>
      </c>
      <c r="E2669" t="s">
        <v>21525</v>
      </c>
      <c r="F2669" t="s">
        <v>32606</v>
      </c>
      <c r="G2669" t="s">
        <v>32614</v>
      </c>
      <c r="H2669" t="s">
        <v>14201</v>
      </c>
      <c r="I2669" t="s">
        <v>32637</v>
      </c>
      <c r="J2669" t="s">
        <v>33363</v>
      </c>
      <c r="K2669" t="s">
        <v>42630</v>
      </c>
      <c r="M2669" t="s">
        <v>44123</v>
      </c>
      <c r="N2669" t="s">
        <v>47304</v>
      </c>
      <c r="O2669" t="s">
        <v>47305</v>
      </c>
      <c r="P2669">
        <v>0</v>
      </c>
      <c r="Q2669">
        <v>0</v>
      </c>
      <c r="R2669" t="s">
        <v>47307</v>
      </c>
      <c r="S2669" t="s">
        <v>47416</v>
      </c>
      <c r="T2669" t="s">
        <v>49015</v>
      </c>
      <c r="U2669" t="s">
        <v>51898</v>
      </c>
      <c r="V2669" t="s">
        <v>62942</v>
      </c>
      <c r="W2669" t="s">
        <v>44123</v>
      </c>
      <c r="X2669" t="s">
        <v>47306</v>
      </c>
    </row>
    <row r="2670" spans="1:24">
      <c r="A2670">
        <f>HYPERLINK("https://www.philgeps.gov.ph/GEPSNONPILOT/Tender/SplashBidNoticeAbstractUI.aspx?menuIndex=3&amp;refID=7200648&amp;Result=3","7200648")</f>
        <v>0</v>
      </c>
      <c r="B2670" t="s">
        <v>1148</v>
      </c>
      <c r="C2670" t="s">
        <v>6434</v>
      </c>
      <c r="D2670" t="s">
        <v>18999</v>
      </c>
      <c r="E2670" t="s">
        <v>21512</v>
      </c>
      <c r="F2670" t="s">
        <v>32606</v>
      </c>
      <c r="G2670" t="s">
        <v>32618</v>
      </c>
      <c r="H2670" t="s">
        <v>14201</v>
      </c>
      <c r="I2670" t="s">
        <v>32717</v>
      </c>
      <c r="J2670" t="s">
        <v>34646</v>
      </c>
      <c r="K2670" t="s">
        <v>42679</v>
      </c>
      <c r="M2670" t="s">
        <v>44110</v>
      </c>
      <c r="N2670" t="s">
        <v>47304</v>
      </c>
      <c r="O2670" t="s">
        <v>47305</v>
      </c>
      <c r="P2670">
        <v>0</v>
      </c>
      <c r="Q2670">
        <v>0</v>
      </c>
      <c r="R2670" t="s">
        <v>47307</v>
      </c>
      <c r="S2670" t="s">
        <v>47416</v>
      </c>
      <c r="T2670" t="s">
        <v>49155</v>
      </c>
      <c r="U2670" t="s">
        <v>51884</v>
      </c>
      <c r="W2670" t="s">
        <v>44110</v>
      </c>
      <c r="X2670" t="s">
        <v>47306</v>
      </c>
    </row>
    <row r="2671" spans="1:24">
      <c r="A2671">
        <f>HYPERLINK("https://www.philgeps.gov.ph/GEPSNONPILOT/Tender/SplashBidNoticeAbstractUI.aspx?menuIndex=3&amp;refID=7200619&amp;Result=3","7200619")</f>
        <v>0</v>
      </c>
      <c r="B2671" t="s">
        <v>913</v>
      </c>
      <c r="C2671" t="s">
        <v>6435</v>
      </c>
      <c r="D2671" t="s">
        <v>19046</v>
      </c>
      <c r="E2671" t="s">
        <v>21526</v>
      </c>
      <c r="F2671" t="s">
        <v>32606</v>
      </c>
      <c r="G2671" t="s">
        <v>32613</v>
      </c>
      <c r="H2671" t="s">
        <v>14201</v>
      </c>
      <c r="I2671" t="s">
        <v>32663</v>
      </c>
      <c r="J2671" t="s">
        <v>32981</v>
      </c>
      <c r="K2671" t="s">
        <v>42623</v>
      </c>
      <c r="M2671" t="s">
        <v>43852</v>
      </c>
      <c r="N2671" t="s">
        <v>47304</v>
      </c>
      <c r="O2671" t="s">
        <v>47305</v>
      </c>
      <c r="P2671">
        <v>0</v>
      </c>
      <c r="Q2671">
        <v>0</v>
      </c>
      <c r="R2671" t="s">
        <v>47307</v>
      </c>
      <c r="S2671" t="s">
        <v>47416</v>
      </c>
      <c r="T2671" t="s">
        <v>49094</v>
      </c>
      <c r="U2671" t="s">
        <v>51899</v>
      </c>
      <c r="W2671" t="s">
        <v>43852</v>
      </c>
      <c r="X2671" t="s">
        <v>47306</v>
      </c>
    </row>
    <row r="2672" spans="1:24">
      <c r="A2672">
        <f>HYPERLINK("https://www.philgeps.gov.ph/GEPSNONPILOT/Tender/SplashBidNoticeAbstractUI.aspx?menuIndex=3&amp;refID=7200645&amp;Result=3","7200645")</f>
        <v>0</v>
      </c>
      <c r="B2672" t="s">
        <v>1161</v>
      </c>
      <c r="C2672" t="s">
        <v>6436</v>
      </c>
      <c r="D2672" t="s">
        <v>18993</v>
      </c>
      <c r="E2672" t="s">
        <v>20107</v>
      </c>
      <c r="F2672" t="s">
        <v>32606</v>
      </c>
      <c r="G2672" t="s">
        <v>32614</v>
      </c>
      <c r="H2672" t="s">
        <v>14201</v>
      </c>
      <c r="I2672" t="s">
        <v>4120</v>
      </c>
      <c r="J2672" t="s">
        <v>33001</v>
      </c>
      <c r="K2672" t="s">
        <v>42630</v>
      </c>
      <c r="M2672" t="s">
        <v>44124</v>
      </c>
      <c r="N2672" t="s">
        <v>47304</v>
      </c>
      <c r="O2672" t="s">
        <v>47305</v>
      </c>
      <c r="P2672">
        <v>0</v>
      </c>
      <c r="Q2672">
        <v>0</v>
      </c>
      <c r="R2672" t="s">
        <v>47307</v>
      </c>
      <c r="S2672" t="s">
        <v>47416</v>
      </c>
      <c r="T2672" t="s">
        <v>49028</v>
      </c>
      <c r="U2672" t="s">
        <v>51900</v>
      </c>
      <c r="V2672" t="s">
        <v>62943</v>
      </c>
      <c r="W2672" t="s">
        <v>44124</v>
      </c>
      <c r="X2672" t="s">
        <v>47306</v>
      </c>
    </row>
    <row r="2673" spans="1:24">
      <c r="A2673">
        <f>HYPERLINK("https://www.philgeps.gov.ph/GEPSNONPILOT/Tender/SplashBidNoticeAbstractUI.aspx?menuIndex=3&amp;refID=7200597&amp;Result=3","7200597")</f>
        <v>0</v>
      </c>
      <c r="B2673" t="s">
        <v>1119</v>
      </c>
      <c r="C2673" t="s">
        <v>6437</v>
      </c>
      <c r="D2673" t="s">
        <v>19002</v>
      </c>
      <c r="E2673" t="s">
        <v>21527</v>
      </c>
      <c r="F2673" t="s">
        <v>32606</v>
      </c>
      <c r="G2673" t="s">
        <v>32613</v>
      </c>
      <c r="H2673" t="s">
        <v>14201</v>
      </c>
      <c r="I2673" t="s">
        <v>7677</v>
      </c>
      <c r="J2673" t="s">
        <v>34647</v>
      </c>
      <c r="K2673" t="s">
        <v>42623</v>
      </c>
      <c r="M2673" t="s">
        <v>44081</v>
      </c>
      <c r="N2673" t="s">
        <v>47304</v>
      </c>
      <c r="O2673" t="s">
        <v>47305</v>
      </c>
      <c r="P2673">
        <v>0</v>
      </c>
      <c r="Q2673">
        <v>0</v>
      </c>
      <c r="R2673" t="s">
        <v>47307</v>
      </c>
      <c r="S2673" t="s">
        <v>47416</v>
      </c>
      <c r="T2673" t="s">
        <v>49056</v>
      </c>
      <c r="U2673" t="s">
        <v>51901</v>
      </c>
      <c r="W2673" t="s">
        <v>64462</v>
      </c>
      <c r="X2673" t="s">
        <v>47306</v>
      </c>
    </row>
    <row r="2674" spans="1:24">
      <c r="A2674">
        <f>HYPERLINK("https://www.philgeps.gov.ph/GEPSNONPILOT/Tender/SplashBidNoticeAbstractUI.aspx?menuIndex=3&amp;refID=7200649&amp;Result=3","7200649")</f>
        <v>0</v>
      </c>
      <c r="B2674" t="s">
        <v>1162</v>
      </c>
      <c r="C2674" t="s">
        <v>4127</v>
      </c>
      <c r="D2674" t="s">
        <v>19014</v>
      </c>
      <c r="E2674" t="s">
        <v>19145</v>
      </c>
      <c r="F2674" t="s">
        <v>32606</v>
      </c>
      <c r="G2674" t="s">
        <v>32613</v>
      </c>
      <c r="H2674" t="s">
        <v>14201</v>
      </c>
      <c r="I2674" t="s">
        <v>6931</v>
      </c>
      <c r="J2674" t="s">
        <v>34648</v>
      </c>
      <c r="K2674" t="s">
        <v>42630</v>
      </c>
      <c r="M2674" t="s">
        <v>44125</v>
      </c>
      <c r="N2674" t="s">
        <v>47304</v>
      </c>
      <c r="O2674" t="s">
        <v>47305</v>
      </c>
      <c r="P2674">
        <v>0</v>
      </c>
      <c r="Q2674">
        <v>0</v>
      </c>
      <c r="R2674" t="s">
        <v>47307</v>
      </c>
      <c r="S2674" t="s">
        <v>47416</v>
      </c>
      <c r="T2674" t="s">
        <v>49028</v>
      </c>
      <c r="U2674" t="s">
        <v>51902</v>
      </c>
      <c r="V2674" t="s">
        <v>62944</v>
      </c>
      <c r="W2674" t="s">
        <v>44125</v>
      </c>
      <c r="X2674" t="s">
        <v>47306</v>
      </c>
    </row>
    <row r="2675" spans="1:24">
      <c r="A2675">
        <f>HYPERLINK("https://www.philgeps.gov.ph/GEPSNONPILOT/Tender/SplashBidNoticeAbstractUI.aspx?menuIndex=3&amp;refID=7200683&amp;Result=3","7200683")</f>
        <v>0</v>
      </c>
      <c r="B2675" t="s">
        <v>1157</v>
      </c>
      <c r="C2675" t="s">
        <v>6438</v>
      </c>
      <c r="D2675" t="s">
        <v>19056</v>
      </c>
      <c r="E2675" t="s">
        <v>20249</v>
      </c>
      <c r="F2675" t="s">
        <v>32606</v>
      </c>
      <c r="G2675" t="s">
        <v>32614</v>
      </c>
      <c r="H2675" t="s">
        <v>14201</v>
      </c>
      <c r="I2675" t="s">
        <v>32681</v>
      </c>
      <c r="J2675" t="s">
        <v>33087</v>
      </c>
      <c r="K2675" t="s">
        <v>42624</v>
      </c>
      <c r="M2675" t="s">
        <v>44120</v>
      </c>
      <c r="N2675" t="s">
        <v>47304</v>
      </c>
      <c r="O2675" t="s">
        <v>47305</v>
      </c>
      <c r="P2675">
        <v>0</v>
      </c>
      <c r="Q2675">
        <v>0</v>
      </c>
      <c r="R2675" t="s">
        <v>47307</v>
      </c>
      <c r="S2675" t="s">
        <v>47416</v>
      </c>
      <c r="T2675" t="s">
        <v>48975</v>
      </c>
      <c r="U2675" t="s">
        <v>51903</v>
      </c>
      <c r="W2675" t="s">
        <v>44120</v>
      </c>
      <c r="X2675" t="s">
        <v>47306</v>
      </c>
    </row>
    <row r="2676" spans="1:24">
      <c r="A2676">
        <f>HYPERLINK("https://www.philgeps.gov.ph/GEPSNONPILOT/Tender/SplashBidNoticeAbstractUI.aspx?menuIndex=3&amp;refID=7200646&amp;Result=3","7200646")</f>
        <v>0</v>
      </c>
      <c r="B2676" t="s">
        <v>1141</v>
      </c>
      <c r="C2676" t="s">
        <v>6439</v>
      </c>
      <c r="D2676" t="s">
        <v>18988</v>
      </c>
      <c r="E2676" t="s">
        <v>21528</v>
      </c>
      <c r="F2676" t="s">
        <v>32606</v>
      </c>
      <c r="G2676" t="s">
        <v>32619</v>
      </c>
      <c r="H2676" t="s">
        <v>32623</v>
      </c>
      <c r="I2676" t="s">
        <v>17648</v>
      </c>
      <c r="J2676" t="s">
        <v>34649</v>
      </c>
      <c r="K2676" t="s">
        <v>42630</v>
      </c>
      <c r="M2676" t="s">
        <v>44103</v>
      </c>
      <c r="N2676" t="s">
        <v>47304</v>
      </c>
      <c r="O2676" t="s">
        <v>47305</v>
      </c>
      <c r="P2676">
        <v>0</v>
      </c>
      <c r="Q2676">
        <v>0</v>
      </c>
      <c r="R2676" t="s">
        <v>47307</v>
      </c>
      <c r="S2676" t="s">
        <v>47416</v>
      </c>
      <c r="T2676" t="s">
        <v>48980</v>
      </c>
      <c r="U2676" t="s">
        <v>51904</v>
      </c>
      <c r="W2676" t="s">
        <v>44103</v>
      </c>
      <c r="X2676" t="s">
        <v>47306</v>
      </c>
    </row>
    <row r="2677" spans="1:24">
      <c r="A2677">
        <f>HYPERLINK("https://www.philgeps.gov.ph/GEPSNONPILOT/Tender/SplashBidNoticeAbstractUI.aspx?menuIndex=3&amp;refID=7200682&amp;Result=3","7200682")</f>
        <v>0</v>
      </c>
      <c r="B2677" t="s">
        <v>1154</v>
      </c>
      <c r="C2677" t="s">
        <v>6440</v>
      </c>
      <c r="D2677" t="s">
        <v>19005</v>
      </c>
      <c r="E2677" t="s">
        <v>21529</v>
      </c>
      <c r="F2677" t="s">
        <v>32606</v>
      </c>
      <c r="G2677" t="s">
        <v>32614</v>
      </c>
      <c r="H2677" t="s">
        <v>14201</v>
      </c>
      <c r="I2677" t="s">
        <v>7577</v>
      </c>
      <c r="J2677" t="s">
        <v>34650</v>
      </c>
      <c r="K2677" t="s">
        <v>42630</v>
      </c>
      <c r="M2677" t="s">
        <v>44117</v>
      </c>
      <c r="N2677" t="s">
        <v>47304</v>
      </c>
      <c r="O2677" t="s">
        <v>47305</v>
      </c>
      <c r="P2677">
        <v>0</v>
      </c>
      <c r="Q2677">
        <v>0</v>
      </c>
      <c r="R2677" t="s">
        <v>47307</v>
      </c>
      <c r="S2677" t="s">
        <v>47416</v>
      </c>
      <c r="T2677" t="s">
        <v>48986</v>
      </c>
      <c r="U2677" t="s">
        <v>51892</v>
      </c>
      <c r="W2677" t="s">
        <v>44117</v>
      </c>
      <c r="X2677" t="s">
        <v>47306</v>
      </c>
    </row>
    <row r="2678" spans="1:24">
      <c r="A2678">
        <f>HYPERLINK("https://www.philgeps.gov.ph/GEPSNONPILOT/Tender/SplashBidNoticeAbstractUI.aspx?menuIndex=3&amp;refID=7200681&amp;Result=3","7200681")</f>
        <v>0</v>
      </c>
      <c r="B2678" t="s">
        <v>1093</v>
      </c>
      <c r="C2678" t="s">
        <v>6441</v>
      </c>
      <c r="D2678" t="s">
        <v>19037</v>
      </c>
      <c r="E2678" t="s">
        <v>21530</v>
      </c>
      <c r="F2678" t="s">
        <v>32606</v>
      </c>
      <c r="G2678" t="s">
        <v>32619</v>
      </c>
      <c r="H2678" t="s">
        <v>14201</v>
      </c>
      <c r="I2678" t="s">
        <v>6931</v>
      </c>
      <c r="J2678" t="s">
        <v>34651</v>
      </c>
      <c r="K2678" t="s">
        <v>42631</v>
      </c>
      <c r="M2678" t="s">
        <v>44049</v>
      </c>
      <c r="N2678" t="s">
        <v>47304</v>
      </c>
      <c r="O2678" t="s">
        <v>47305</v>
      </c>
      <c r="P2678">
        <v>0</v>
      </c>
      <c r="Q2678">
        <v>0</v>
      </c>
      <c r="R2678" t="s">
        <v>47307</v>
      </c>
      <c r="S2678" t="s">
        <v>47416</v>
      </c>
      <c r="T2678" t="s">
        <v>48979</v>
      </c>
      <c r="U2678" t="s">
        <v>51752</v>
      </c>
      <c r="W2678" t="s">
        <v>44049</v>
      </c>
      <c r="X2678" t="s">
        <v>47306</v>
      </c>
    </row>
    <row r="2679" spans="1:24">
      <c r="A2679">
        <f>HYPERLINK("https://www.philgeps.gov.ph/GEPSNONPILOT/Tender/SplashBidNoticeAbstractUI.aspx?menuIndex=3&amp;refID=7200573&amp;Result=3","7200573")</f>
        <v>0</v>
      </c>
      <c r="B2679" t="s">
        <v>1119</v>
      </c>
      <c r="C2679" t="s">
        <v>6442</v>
      </c>
      <c r="D2679" t="s">
        <v>19002</v>
      </c>
      <c r="E2679" t="s">
        <v>21531</v>
      </c>
      <c r="F2679" t="s">
        <v>32606</v>
      </c>
      <c r="G2679" t="s">
        <v>32613</v>
      </c>
      <c r="H2679" t="s">
        <v>14201</v>
      </c>
      <c r="I2679" t="s">
        <v>32655</v>
      </c>
      <c r="J2679" t="s">
        <v>34652</v>
      </c>
      <c r="K2679" t="s">
        <v>42623</v>
      </c>
      <c r="M2679" t="s">
        <v>44081</v>
      </c>
      <c r="N2679" t="s">
        <v>47304</v>
      </c>
      <c r="O2679" t="s">
        <v>47305</v>
      </c>
      <c r="P2679">
        <v>0</v>
      </c>
      <c r="Q2679">
        <v>1</v>
      </c>
      <c r="R2679" t="s">
        <v>47307</v>
      </c>
      <c r="S2679" t="s">
        <v>47416</v>
      </c>
      <c r="T2679" t="s">
        <v>49056</v>
      </c>
      <c r="U2679" t="s">
        <v>51905</v>
      </c>
      <c r="W2679" t="s">
        <v>64462</v>
      </c>
      <c r="X2679" t="s">
        <v>47306</v>
      </c>
    </row>
    <row r="2680" spans="1:24">
      <c r="A2680">
        <f>HYPERLINK("https://www.philgeps.gov.ph/GEPSNONPILOT/Tender/SplashBidNoticeAbstractUI.aspx?menuIndex=3&amp;refID=7200680&amp;Result=3","7200680")</f>
        <v>0</v>
      </c>
      <c r="B2680" t="s">
        <v>1163</v>
      </c>
      <c r="C2680" t="s">
        <v>6443</v>
      </c>
      <c r="D2680" t="s">
        <v>19006</v>
      </c>
      <c r="E2680" t="s">
        <v>21532</v>
      </c>
      <c r="F2680" t="s">
        <v>32606</v>
      </c>
      <c r="G2680" t="s">
        <v>32614</v>
      </c>
      <c r="H2680" t="s">
        <v>14201</v>
      </c>
      <c r="I2680" t="s">
        <v>32671</v>
      </c>
      <c r="J2680" t="s">
        <v>34653</v>
      </c>
      <c r="K2680" t="s">
        <v>42629</v>
      </c>
      <c r="M2680" t="s">
        <v>44126</v>
      </c>
      <c r="N2680" t="s">
        <v>47304</v>
      </c>
      <c r="O2680" t="s">
        <v>47305</v>
      </c>
      <c r="P2680">
        <v>0</v>
      </c>
      <c r="Q2680">
        <v>0</v>
      </c>
      <c r="R2680" t="s">
        <v>47307</v>
      </c>
      <c r="S2680" t="s">
        <v>47416</v>
      </c>
      <c r="T2680" t="s">
        <v>49124</v>
      </c>
      <c r="U2680" t="s">
        <v>51906</v>
      </c>
      <c r="W2680" t="s">
        <v>44126</v>
      </c>
      <c r="X2680" t="s">
        <v>47306</v>
      </c>
    </row>
    <row r="2681" spans="1:24">
      <c r="A2681">
        <f>HYPERLINK("https://www.philgeps.gov.ph/GEPSNONPILOT/Tender/SplashBidNoticeAbstractUI.aspx?menuIndex=3&amp;refID=7200676&amp;Result=3","7200676")</f>
        <v>0</v>
      </c>
      <c r="B2681" t="s">
        <v>1132</v>
      </c>
      <c r="C2681" t="s">
        <v>6444</v>
      </c>
      <c r="D2681" t="s">
        <v>18993</v>
      </c>
      <c r="E2681" t="s">
        <v>21533</v>
      </c>
      <c r="F2681" t="s">
        <v>32607</v>
      </c>
      <c r="G2681" t="s">
        <v>32613</v>
      </c>
      <c r="H2681" t="s">
        <v>14201</v>
      </c>
      <c r="I2681" t="s">
        <v>6298</v>
      </c>
      <c r="J2681" t="s">
        <v>32789</v>
      </c>
      <c r="K2681" t="s">
        <v>42631</v>
      </c>
      <c r="M2681" t="s">
        <v>44094</v>
      </c>
      <c r="N2681" t="s">
        <v>47304</v>
      </c>
      <c r="O2681" t="s">
        <v>47305</v>
      </c>
      <c r="P2681">
        <v>0</v>
      </c>
      <c r="Q2681">
        <v>0</v>
      </c>
      <c r="R2681" t="s">
        <v>47307</v>
      </c>
      <c r="S2681" t="s">
        <v>47416</v>
      </c>
      <c r="T2681" t="s">
        <v>49057</v>
      </c>
      <c r="U2681" t="s">
        <v>51907</v>
      </c>
      <c r="V2681" t="s">
        <v>62933</v>
      </c>
      <c r="W2681" t="s">
        <v>44094</v>
      </c>
      <c r="X2681" t="s">
        <v>47306</v>
      </c>
    </row>
    <row r="2682" spans="1:24">
      <c r="A2682">
        <f>HYPERLINK("https://www.philgeps.gov.ph/GEPSNONPILOT/Tender/SplashBidNoticeAbstractUI.aspx?menuIndex=3&amp;refID=7200677&amp;Result=3","7200677")</f>
        <v>0</v>
      </c>
      <c r="B2682" t="s">
        <v>1148</v>
      </c>
      <c r="C2682" t="s">
        <v>6445</v>
      </c>
      <c r="D2682" t="s">
        <v>18999</v>
      </c>
      <c r="E2682" t="s">
        <v>21512</v>
      </c>
      <c r="F2682" t="s">
        <v>32606</v>
      </c>
      <c r="G2682" t="s">
        <v>32618</v>
      </c>
      <c r="H2682" t="s">
        <v>14201</v>
      </c>
      <c r="I2682" t="s">
        <v>4112</v>
      </c>
      <c r="J2682" t="s">
        <v>34654</v>
      </c>
      <c r="K2682" t="s">
        <v>42679</v>
      </c>
      <c r="M2682" t="s">
        <v>44110</v>
      </c>
      <c r="N2682" t="s">
        <v>47304</v>
      </c>
      <c r="O2682" t="s">
        <v>47305</v>
      </c>
      <c r="P2682">
        <v>0</v>
      </c>
      <c r="Q2682">
        <v>0</v>
      </c>
      <c r="R2682" t="s">
        <v>47307</v>
      </c>
      <c r="S2682" t="s">
        <v>47416</v>
      </c>
      <c r="T2682" t="s">
        <v>49155</v>
      </c>
      <c r="U2682" t="s">
        <v>51884</v>
      </c>
      <c r="W2682" t="s">
        <v>44110</v>
      </c>
      <c r="X2682" t="s">
        <v>47306</v>
      </c>
    </row>
    <row r="2683" spans="1:24">
      <c r="A2683">
        <f>HYPERLINK("https://www.philgeps.gov.ph/GEPSNONPILOT/Tender/SplashBidNoticeAbstractUI.aspx?menuIndex=3&amp;refID=7200658&amp;Result=3","7200658")</f>
        <v>0</v>
      </c>
      <c r="B2683" t="s">
        <v>146</v>
      </c>
      <c r="C2683" t="s">
        <v>6446</v>
      </c>
      <c r="D2683" t="s">
        <v>19011</v>
      </c>
      <c r="E2683" t="s">
        <v>21534</v>
      </c>
      <c r="F2683" t="s">
        <v>32606</v>
      </c>
      <c r="G2683" t="s">
        <v>32613</v>
      </c>
      <c r="H2683" t="s">
        <v>14201</v>
      </c>
      <c r="I2683" t="s">
        <v>7677</v>
      </c>
      <c r="J2683" t="s">
        <v>34655</v>
      </c>
      <c r="K2683" t="s">
        <v>42631</v>
      </c>
      <c r="M2683" t="s">
        <v>43047</v>
      </c>
      <c r="N2683" t="s">
        <v>47304</v>
      </c>
      <c r="O2683" t="s">
        <v>47305</v>
      </c>
      <c r="P2683">
        <v>0</v>
      </c>
      <c r="Q2683">
        <v>0</v>
      </c>
      <c r="R2683" t="s">
        <v>47307</v>
      </c>
      <c r="S2683" t="s">
        <v>47416</v>
      </c>
      <c r="T2683" t="s">
        <v>48990</v>
      </c>
      <c r="U2683" t="s">
        <v>51908</v>
      </c>
      <c r="W2683" t="s">
        <v>43047</v>
      </c>
      <c r="X2683" t="s">
        <v>47306</v>
      </c>
    </row>
    <row r="2684" spans="1:24">
      <c r="A2684">
        <f>HYPERLINK("https://www.philgeps.gov.ph/GEPSNONPILOT/Tender/SplashBidNoticeAbstractUI.aspx?menuIndex=3&amp;refID=7200675&amp;Result=3","7200675")</f>
        <v>0</v>
      </c>
      <c r="B2684" t="s">
        <v>1157</v>
      </c>
      <c r="C2684" t="s">
        <v>6447</v>
      </c>
      <c r="D2684" t="s">
        <v>19056</v>
      </c>
      <c r="E2684" t="s">
        <v>21535</v>
      </c>
      <c r="F2684" t="s">
        <v>32606</v>
      </c>
      <c r="G2684" t="s">
        <v>32614</v>
      </c>
      <c r="H2684" t="s">
        <v>14201</v>
      </c>
      <c r="I2684" t="s">
        <v>32636</v>
      </c>
      <c r="J2684" t="s">
        <v>32813</v>
      </c>
      <c r="K2684" t="s">
        <v>42624</v>
      </c>
      <c r="M2684" t="s">
        <v>44120</v>
      </c>
      <c r="N2684" t="s">
        <v>47304</v>
      </c>
      <c r="O2684" t="s">
        <v>47305</v>
      </c>
      <c r="P2684">
        <v>0</v>
      </c>
      <c r="Q2684">
        <v>0</v>
      </c>
      <c r="R2684" t="s">
        <v>47307</v>
      </c>
      <c r="S2684" t="s">
        <v>47416</v>
      </c>
      <c r="T2684" t="s">
        <v>48975</v>
      </c>
      <c r="U2684" t="s">
        <v>51909</v>
      </c>
      <c r="W2684" t="s">
        <v>44120</v>
      </c>
      <c r="X2684" t="s">
        <v>47306</v>
      </c>
    </row>
    <row r="2685" spans="1:24">
      <c r="A2685">
        <f>HYPERLINK("https://www.philgeps.gov.ph/GEPSNONPILOT/Tender/SplashBidNoticeAbstractUI.aspx?menuIndex=3&amp;refID=7200672&amp;Result=3","7200672")</f>
        <v>0</v>
      </c>
      <c r="B2685" t="s">
        <v>1164</v>
      </c>
      <c r="C2685" t="s">
        <v>4402</v>
      </c>
      <c r="D2685" t="s">
        <v>19044</v>
      </c>
      <c r="E2685" t="s">
        <v>19145</v>
      </c>
      <c r="F2685" t="s">
        <v>32606</v>
      </c>
      <c r="G2685" t="s">
        <v>32613</v>
      </c>
      <c r="H2685" t="s">
        <v>14201</v>
      </c>
      <c r="I2685" t="s">
        <v>6931</v>
      </c>
      <c r="J2685" t="s">
        <v>34656</v>
      </c>
      <c r="K2685" t="s">
        <v>42631</v>
      </c>
      <c r="M2685" t="s">
        <v>44127</v>
      </c>
      <c r="N2685" t="s">
        <v>47304</v>
      </c>
      <c r="O2685" t="s">
        <v>47305</v>
      </c>
      <c r="P2685">
        <v>0</v>
      </c>
      <c r="Q2685">
        <v>0</v>
      </c>
      <c r="R2685" t="s">
        <v>47307</v>
      </c>
      <c r="S2685" t="s">
        <v>47416</v>
      </c>
      <c r="T2685" t="s">
        <v>49234</v>
      </c>
      <c r="U2685" t="s">
        <v>51910</v>
      </c>
      <c r="W2685" t="s">
        <v>44127</v>
      </c>
      <c r="X2685" t="s">
        <v>47306</v>
      </c>
    </row>
    <row r="2686" spans="1:24">
      <c r="A2686">
        <f>HYPERLINK("https://www.philgeps.gov.ph/GEPSNONPILOT/Tender/SplashBidNoticeAbstractUI.aspx?menuIndex=3&amp;refID=7200671&amp;Result=3","7200671")</f>
        <v>0</v>
      </c>
      <c r="B2686" t="s">
        <v>1148</v>
      </c>
      <c r="C2686" t="s">
        <v>6448</v>
      </c>
      <c r="D2686" t="s">
        <v>18999</v>
      </c>
      <c r="E2686" t="s">
        <v>21512</v>
      </c>
      <c r="F2686" t="s">
        <v>32606</v>
      </c>
      <c r="G2686" t="s">
        <v>32618</v>
      </c>
      <c r="H2686" t="s">
        <v>14201</v>
      </c>
      <c r="I2686" t="s">
        <v>4112</v>
      </c>
      <c r="J2686" t="s">
        <v>34657</v>
      </c>
      <c r="K2686" t="s">
        <v>42679</v>
      </c>
      <c r="M2686" t="s">
        <v>44110</v>
      </c>
      <c r="N2686" t="s">
        <v>47304</v>
      </c>
      <c r="O2686" t="s">
        <v>47305</v>
      </c>
      <c r="P2686">
        <v>0</v>
      </c>
      <c r="Q2686">
        <v>0</v>
      </c>
      <c r="R2686" t="s">
        <v>47307</v>
      </c>
      <c r="S2686" t="s">
        <v>47416</v>
      </c>
      <c r="T2686" t="s">
        <v>49155</v>
      </c>
      <c r="U2686" t="s">
        <v>51884</v>
      </c>
      <c r="W2686" t="s">
        <v>44110</v>
      </c>
      <c r="X2686" t="s">
        <v>47306</v>
      </c>
    </row>
    <row r="2687" spans="1:24">
      <c r="A2687">
        <f>HYPERLINK("https://www.philgeps.gov.ph/GEPSNONPILOT/Tender/SplashBidNoticeAbstractUI.aspx?menuIndex=3&amp;refID=7200670&amp;Result=3","7200670")</f>
        <v>0</v>
      </c>
      <c r="B2687" t="s">
        <v>1154</v>
      </c>
      <c r="C2687" t="s">
        <v>6449</v>
      </c>
      <c r="D2687" t="s">
        <v>19005</v>
      </c>
      <c r="E2687" t="s">
        <v>21536</v>
      </c>
      <c r="F2687" t="s">
        <v>32606</v>
      </c>
      <c r="G2687" t="s">
        <v>32619</v>
      </c>
      <c r="H2687" t="s">
        <v>14201</v>
      </c>
      <c r="I2687" t="s">
        <v>32629</v>
      </c>
      <c r="J2687" t="s">
        <v>34658</v>
      </c>
      <c r="K2687" t="s">
        <v>42630</v>
      </c>
      <c r="M2687" t="s">
        <v>44117</v>
      </c>
      <c r="N2687" t="s">
        <v>47304</v>
      </c>
      <c r="O2687" t="s">
        <v>47305</v>
      </c>
      <c r="P2687">
        <v>0</v>
      </c>
      <c r="Q2687">
        <v>0</v>
      </c>
      <c r="R2687" t="s">
        <v>47307</v>
      </c>
      <c r="S2687" t="s">
        <v>47416</v>
      </c>
      <c r="T2687" t="s">
        <v>48986</v>
      </c>
      <c r="U2687" t="s">
        <v>51892</v>
      </c>
      <c r="W2687" t="s">
        <v>44117</v>
      </c>
      <c r="X2687" t="s">
        <v>47306</v>
      </c>
    </row>
    <row r="2688" spans="1:24">
      <c r="A2688">
        <f>HYPERLINK("https://www.philgeps.gov.ph/GEPSNONPILOT/Tender/SplashBidNoticeAbstractUI.aspx?menuIndex=3&amp;refID=7200669&amp;Result=3","7200669")</f>
        <v>0</v>
      </c>
      <c r="B2688" t="s">
        <v>1157</v>
      </c>
      <c r="C2688" t="s">
        <v>6450</v>
      </c>
      <c r="D2688" t="s">
        <v>19056</v>
      </c>
      <c r="E2688" t="s">
        <v>21537</v>
      </c>
      <c r="F2688" t="s">
        <v>32606</v>
      </c>
      <c r="G2688" t="s">
        <v>32614</v>
      </c>
      <c r="H2688" t="s">
        <v>14201</v>
      </c>
      <c r="I2688" t="s">
        <v>7529</v>
      </c>
      <c r="J2688" t="s">
        <v>34659</v>
      </c>
      <c r="K2688" t="s">
        <v>42624</v>
      </c>
      <c r="M2688" t="s">
        <v>44120</v>
      </c>
      <c r="N2688" t="s">
        <v>47304</v>
      </c>
      <c r="O2688" t="s">
        <v>47305</v>
      </c>
      <c r="P2688">
        <v>0</v>
      </c>
      <c r="Q2688">
        <v>0</v>
      </c>
      <c r="R2688" t="s">
        <v>47307</v>
      </c>
      <c r="S2688" t="s">
        <v>47416</v>
      </c>
      <c r="T2688" t="s">
        <v>48975</v>
      </c>
      <c r="U2688" t="s">
        <v>51911</v>
      </c>
      <c r="W2688" t="s">
        <v>44120</v>
      </c>
      <c r="X2688" t="s">
        <v>47306</v>
      </c>
    </row>
    <row r="2689" spans="1:24">
      <c r="A2689">
        <f>HYPERLINK("https://www.philgeps.gov.ph/GEPSNONPILOT/Tender/SplashBidNoticeAbstractUI.aspx?menuIndex=3&amp;refID=7200673&amp;Result=3","7200673")</f>
        <v>0</v>
      </c>
      <c r="B2689" t="s">
        <v>1156</v>
      </c>
      <c r="C2689" t="s">
        <v>6451</v>
      </c>
      <c r="D2689" t="s">
        <v>19041</v>
      </c>
      <c r="E2689" t="s">
        <v>21538</v>
      </c>
      <c r="F2689" t="s">
        <v>32606</v>
      </c>
      <c r="G2689" t="s">
        <v>32613</v>
      </c>
      <c r="H2689" t="s">
        <v>14201</v>
      </c>
      <c r="I2689" t="s">
        <v>6931</v>
      </c>
      <c r="J2689" t="s">
        <v>34660</v>
      </c>
      <c r="K2689" t="s">
        <v>42631</v>
      </c>
      <c r="M2689" t="s">
        <v>44119</v>
      </c>
      <c r="N2689" t="s">
        <v>47304</v>
      </c>
      <c r="O2689" t="s">
        <v>47305</v>
      </c>
      <c r="P2689">
        <v>0</v>
      </c>
      <c r="Q2689">
        <v>0</v>
      </c>
      <c r="R2689" t="s">
        <v>47307</v>
      </c>
      <c r="S2689" t="s">
        <v>47416</v>
      </c>
      <c r="T2689" t="s">
        <v>49009</v>
      </c>
      <c r="U2689" t="s">
        <v>51912</v>
      </c>
      <c r="V2689" t="s">
        <v>62945</v>
      </c>
      <c r="W2689" t="s">
        <v>44119</v>
      </c>
      <c r="X2689" t="s">
        <v>47306</v>
      </c>
    </row>
    <row r="2690" spans="1:24">
      <c r="A2690">
        <f>HYPERLINK("https://www.philgeps.gov.ph/GEPSNONPILOT/Tender/SplashBidNoticeAbstractUI.aspx?menuIndex=3&amp;refID=7200678&amp;Result=3","7200678")</f>
        <v>0</v>
      </c>
      <c r="B2690" t="s">
        <v>1165</v>
      </c>
      <c r="C2690" t="s">
        <v>6452</v>
      </c>
      <c r="D2690" t="s">
        <v>18993</v>
      </c>
      <c r="E2690" t="s">
        <v>21539</v>
      </c>
      <c r="F2690" t="s">
        <v>32606</v>
      </c>
      <c r="G2690" t="s">
        <v>32614</v>
      </c>
      <c r="H2690" t="s">
        <v>14201</v>
      </c>
      <c r="I2690" t="s">
        <v>4678</v>
      </c>
      <c r="J2690" t="s">
        <v>33195</v>
      </c>
      <c r="K2690" t="s">
        <v>42624</v>
      </c>
      <c r="M2690" t="s">
        <v>44128</v>
      </c>
      <c r="N2690" t="s">
        <v>47304</v>
      </c>
      <c r="O2690" t="s">
        <v>47305</v>
      </c>
      <c r="P2690">
        <v>0</v>
      </c>
      <c r="Q2690">
        <v>0</v>
      </c>
      <c r="R2690" t="s">
        <v>47307</v>
      </c>
      <c r="S2690" t="s">
        <v>47416</v>
      </c>
      <c r="T2690" t="s">
        <v>49002</v>
      </c>
      <c r="U2690" t="s">
        <v>51913</v>
      </c>
      <c r="V2690" t="s">
        <v>62946</v>
      </c>
      <c r="W2690" t="s">
        <v>44128</v>
      </c>
      <c r="X2690" t="s">
        <v>47306</v>
      </c>
    </row>
    <row r="2691" spans="1:24">
      <c r="A2691">
        <f>HYPERLINK("https://www.philgeps.gov.ph/GEPSNONPILOT/Tender/SplashBidNoticeAbstractUI.aspx?menuIndex=3&amp;refID=7200665&amp;Result=3","7200665")</f>
        <v>0</v>
      </c>
      <c r="B2691" t="s">
        <v>1148</v>
      </c>
      <c r="C2691" t="s">
        <v>6453</v>
      </c>
      <c r="D2691" t="s">
        <v>18999</v>
      </c>
      <c r="E2691" t="s">
        <v>21512</v>
      </c>
      <c r="F2691" t="s">
        <v>32606</v>
      </c>
      <c r="G2691" t="s">
        <v>32618</v>
      </c>
      <c r="H2691" t="s">
        <v>14201</v>
      </c>
      <c r="I2691" t="s">
        <v>32629</v>
      </c>
      <c r="J2691" t="s">
        <v>33843</v>
      </c>
      <c r="K2691" t="s">
        <v>42679</v>
      </c>
      <c r="M2691" t="s">
        <v>44110</v>
      </c>
      <c r="N2691" t="s">
        <v>47304</v>
      </c>
      <c r="O2691" t="s">
        <v>47305</v>
      </c>
      <c r="P2691">
        <v>0</v>
      </c>
      <c r="Q2691">
        <v>0</v>
      </c>
      <c r="R2691" t="s">
        <v>47307</v>
      </c>
      <c r="S2691" t="s">
        <v>47416</v>
      </c>
      <c r="T2691" t="s">
        <v>49155</v>
      </c>
      <c r="U2691" t="s">
        <v>51884</v>
      </c>
      <c r="W2691" t="s">
        <v>44110</v>
      </c>
      <c r="X2691" t="s">
        <v>47306</v>
      </c>
    </row>
    <row r="2692" spans="1:24">
      <c r="A2692">
        <f>HYPERLINK("https://www.philgeps.gov.ph/GEPSNONPILOT/Tender/SplashBidNoticeAbstractUI.aspx?menuIndex=3&amp;refID=7200664&amp;Result=3","7200664")</f>
        <v>0</v>
      </c>
      <c r="B2692" t="s">
        <v>1154</v>
      </c>
      <c r="C2692" t="s">
        <v>6454</v>
      </c>
      <c r="D2692" t="s">
        <v>19005</v>
      </c>
      <c r="E2692" t="s">
        <v>21540</v>
      </c>
      <c r="F2692" t="s">
        <v>32606</v>
      </c>
      <c r="G2692" t="s">
        <v>32619</v>
      </c>
      <c r="H2692" t="s">
        <v>14201</v>
      </c>
      <c r="I2692" t="s">
        <v>32629</v>
      </c>
      <c r="J2692" t="s">
        <v>33539</v>
      </c>
      <c r="K2692" t="s">
        <v>42630</v>
      </c>
      <c r="M2692" t="s">
        <v>44117</v>
      </c>
      <c r="N2692" t="s">
        <v>47304</v>
      </c>
      <c r="O2692" t="s">
        <v>47305</v>
      </c>
      <c r="P2692">
        <v>0</v>
      </c>
      <c r="Q2692">
        <v>0</v>
      </c>
      <c r="R2692" t="s">
        <v>47307</v>
      </c>
      <c r="S2692" t="s">
        <v>47416</v>
      </c>
      <c r="T2692" t="s">
        <v>48986</v>
      </c>
      <c r="U2692" t="s">
        <v>51892</v>
      </c>
      <c r="W2692" t="s">
        <v>44117</v>
      </c>
      <c r="X2692" t="s">
        <v>47306</v>
      </c>
    </row>
    <row r="2693" spans="1:24">
      <c r="A2693">
        <f>HYPERLINK("https://www.philgeps.gov.ph/GEPSNONPILOT/Tender/SplashBidNoticeAbstractUI.aspx?menuIndex=3&amp;refID=7200643&amp;Result=3","7200643")</f>
        <v>0</v>
      </c>
      <c r="B2693" t="s">
        <v>1166</v>
      </c>
      <c r="C2693" t="s">
        <v>6298</v>
      </c>
      <c r="D2693" t="s">
        <v>18995</v>
      </c>
      <c r="E2693" t="s">
        <v>21541</v>
      </c>
      <c r="F2693" t="s">
        <v>32606</v>
      </c>
      <c r="G2693" t="s">
        <v>32613</v>
      </c>
      <c r="H2693" t="s">
        <v>14201</v>
      </c>
      <c r="I2693" t="s">
        <v>6298</v>
      </c>
      <c r="J2693" t="s">
        <v>32799</v>
      </c>
      <c r="K2693" t="s">
        <v>42630</v>
      </c>
      <c r="M2693" t="s">
        <v>44129</v>
      </c>
      <c r="N2693" t="s">
        <v>47304</v>
      </c>
      <c r="O2693" t="s">
        <v>47305</v>
      </c>
      <c r="P2693">
        <v>0</v>
      </c>
      <c r="Q2693">
        <v>0</v>
      </c>
      <c r="R2693" t="s">
        <v>47307</v>
      </c>
      <c r="S2693" t="s">
        <v>47416</v>
      </c>
      <c r="T2693" t="s">
        <v>49028</v>
      </c>
      <c r="U2693" t="s">
        <v>51914</v>
      </c>
      <c r="W2693" t="s">
        <v>44129</v>
      </c>
      <c r="X2693" t="s">
        <v>47306</v>
      </c>
    </row>
    <row r="2694" spans="1:24">
      <c r="A2694">
        <f>HYPERLINK("https://www.philgeps.gov.ph/GEPSNONPILOT/Tender/SplashBidNoticeAbstractUI.aspx?menuIndex=3&amp;refID=7200656&amp;Result=3","7200656")</f>
        <v>0</v>
      </c>
      <c r="B2694" t="s">
        <v>575</v>
      </c>
      <c r="C2694" t="s">
        <v>5665</v>
      </c>
      <c r="D2694" t="s">
        <v>19036</v>
      </c>
      <c r="E2694" t="s">
        <v>21542</v>
      </c>
      <c r="F2694" t="s">
        <v>32606</v>
      </c>
      <c r="G2694" t="s">
        <v>32614</v>
      </c>
      <c r="H2694" t="s">
        <v>14201</v>
      </c>
      <c r="I2694" t="s">
        <v>7677</v>
      </c>
      <c r="J2694" t="s">
        <v>34661</v>
      </c>
      <c r="K2694" t="s">
        <v>42622</v>
      </c>
      <c r="M2694" t="s">
        <v>44070</v>
      </c>
      <c r="N2694" t="s">
        <v>47304</v>
      </c>
      <c r="O2694" t="s">
        <v>47305</v>
      </c>
      <c r="P2694">
        <v>0</v>
      </c>
      <c r="Q2694">
        <v>0</v>
      </c>
      <c r="R2694" t="s">
        <v>47307</v>
      </c>
      <c r="S2694" t="s">
        <v>47416</v>
      </c>
      <c r="T2694" t="s">
        <v>48975</v>
      </c>
      <c r="U2694" t="s">
        <v>51915</v>
      </c>
      <c r="W2694" t="s">
        <v>44070</v>
      </c>
      <c r="X2694" t="s">
        <v>47306</v>
      </c>
    </row>
    <row r="2695" spans="1:24">
      <c r="A2695">
        <f>HYPERLINK("https://www.philgeps.gov.ph/GEPSNONPILOT/Tender/SplashBidNoticeAbstractUI.aspx?menuIndex=3&amp;refID=7200644&amp;Result=3","7200644")</f>
        <v>0</v>
      </c>
      <c r="B2695" t="s">
        <v>1148</v>
      </c>
      <c r="C2695" t="s">
        <v>6455</v>
      </c>
      <c r="D2695" t="s">
        <v>18999</v>
      </c>
      <c r="E2695" t="s">
        <v>21512</v>
      </c>
      <c r="F2695" t="s">
        <v>32606</v>
      </c>
      <c r="G2695" t="s">
        <v>32618</v>
      </c>
      <c r="H2695" t="s">
        <v>14201</v>
      </c>
      <c r="I2695" t="s">
        <v>4112</v>
      </c>
      <c r="J2695" t="s">
        <v>34662</v>
      </c>
      <c r="K2695" t="s">
        <v>42679</v>
      </c>
      <c r="M2695" t="s">
        <v>44110</v>
      </c>
      <c r="N2695" t="s">
        <v>47304</v>
      </c>
      <c r="O2695" t="s">
        <v>47305</v>
      </c>
      <c r="P2695">
        <v>0</v>
      </c>
      <c r="Q2695">
        <v>0</v>
      </c>
      <c r="R2695" t="s">
        <v>47307</v>
      </c>
      <c r="S2695" t="s">
        <v>47416</v>
      </c>
      <c r="T2695" t="s">
        <v>49155</v>
      </c>
      <c r="U2695" t="s">
        <v>51884</v>
      </c>
      <c r="W2695" t="s">
        <v>44110</v>
      </c>
      <c r="X2695" t="s">
        <v>47306</v>
      </c>
    </row>
    <row r="2696" spans="1:24">
      <c r="A2696">
        <f>HYPERLINK("https://www.philgeps.gov.ph/GEPSNONPILOT/Tender/SplashBidNoticeAbstractUI.aspx?menuIndex=3&amp;refID=7200684&amp;Result=3","7200684")</f>
        <v>0</v>
      </c>
      <c r="B2696" t="s">
        <v>1167</v>
      </c>
      <c r="C2696" t="s">
        <v>6456</v>
      </c>
      <c r="D2696" t="s">
        <v>19055</v>
      </c>
      <c r="E2696" t="s">
        <v>20036</v>
      </c>
      <c r="F2696" t="s">
        <v>32606</v>
      </c>
      <c r="G2696" t="s">
        <v>32614</v>
      </c>
      <c r="H2696" t="s">
        <v>14201</v>
      </c>
      <c r="I2696" t="s">
        <v>32626</v>
      </c>
      <c r="J2696" t="s">
        <v>32995</v>
      </c>
      <c r="K2696" t="s">
        <v>42623</v>
      </c>
      <c r="M2696" t="s">
        <v>44130</v>
      </c>
      <c r="N2696" t="s">
        <v>47304</v>
      </c>
      <c r="O2696" t="s">
        <v>47305</v>
      </c>
      <c r="P2696">
        <v>0</v>
      </c>
      <c r="Q2696">
        <v>0</v>
      </c>
      <c r="R2696" t="s">
        <v>47307</v>
      </c>
      <c r="S2696" t="s">
        <v>47416</v>
      </c>
      <c r="T2696" t="s">
        <v>49235</v>
      </c>
      <c r="U2696" t="s">
        <v>51916</v>
      </c>
      <c r="W2696" t="s">
        <v>44130</v>
      </c>
      <c r="X2696" t="s">
        <v>47306</v>
      </c>
    </row>
    <row r="2697" spans="1:24">
      <c r="A2697">
        <f>HYPERLINK("https://www.philgeps.gov.ph/GEPSNONPILOT/Tender/SplashBidNoticeAbstractUI.aspx?menuIndex=3&amp;refID=7200706&amp;Result=3","7200706")</f>
        <v>0</v>
      </c>
      <c r="B2697" t="s">
        <v>1168</v>
      </c>
      <c r="C2697" t="s">
        <v>6457</v>
      </c>
      <c r="D2697" t="s">
        <v>19002</v>
      </c>
      <c r="E2697" t="s">
        <v>21543</v>
      </c>
      <c r="F2697" t="s">
        <v>32606</v>
      </c>
      <c r="G2697" t="s">
        <v>32613</v>
      </c>
      <c r="H2697" t="s">
        <v>14201</v>
      </c>
      <c r="I2697" t="s">
        <v>32664</v>
      </c>
      <c r="J2697" t="s">
        <v>34663</v>
      </c>
      <c r="K2697" t="s">
        <v>42654</v>
      </c>
      <c r="L2697" t="s">
        <v>1168</v>
      </c>
      <c r="M2697" t="s">
        <v>44131</v>
      </c>
      <c r="N2697" t="s">
        <v>47304</v>
      </c>
      <c r="O2697" t="s">
        <v>47305</v>
      </c>
      <c r="P2697">
        <v>0</v>
      </c>
      <c r="Q2697">
        <v>0</v>
      </c>
      <c r="R2697" t="s">
        <v>47307</v>
      </c>
      <c r="S2697" t="s">
        <v>47416</v>
      </c>
      <c r="T2697" t="s">
        <v>48996</v>
      </c>
      <c r="U2697" t="s">
        <v>51917</v>
      </c>
      <c r="W2697" t="s">
        <v>44131</v>
      </c>
      <c r="X2697" t="s">
        <v>47306</v>
      </c>
    </row>
    <row r="2698" spans="1:24">
      <c r="A2698">
        <f>HYPERLINK("https://www.philgeps.gov.ph/GEPSNONPILOT/Tender/SplashBidNoticeAbstractUI.aspx?menuIndex=3&amp;refID=7200705&amp;Result=3","7200705")</f>
        <v>0</v>
      </c>
      <c r="B2698" t="s">
        <v>1169</v>
      </c>
      <c r="C2698" t="s">
        <v>6458</v>
      </c>
      <c r="D2698" t="s">
        <v>19003</v>
      </c>
      <c r="E2698" t="s">
        <v>21544</v>
      </c>
      <c r="F2698" t="s">
        <v>32606</v>
      </c>
      <c r="G2698" t="s">
        <v>32614</v>
      </c>
      <c r="H2698" t="s">
        <v>14201</v>
      </c>
      <c r="I2698" t="s">
        <v>32633</v>
      </c>
      <c r="J2698" t="s">
        <v>34664</v>
      </c>
      <c r="K2698" t="s">
        <v>42630</v>
      </c>
      <c r="M2698" t="s">
        <v>44132</v>
      </c>
      <c r="N2698" t="s">
        <v>47304</v>
      </c>
      <c r="O2698" t="s">
        <v>47305</v>
      </c>
      <c r="P2698">
        <v>0</v>
      </c>
      <c r="Q2698">
        <v>0</v>
      </c>
      <c r="R2698" t="s">
        <v>47307</v>
      </c>
      <c r="S2698" t="s">
        <v>47416</v>
      </c>
      <c r="T2698" t="s">
        <v>49107</v>
      </c>
      <c r="U2698" t="s">
        <v>51918</v>
      </c>
      <c r="V2698" t="s">
        <v>62947</v>
      </c>
      <c r="W2698" t="s">
        <v>44132</v>
      </c>
      <c r="X2698" t="s">
        <v>47306</v>
      </c>
    </row>
    <row r="2699" spans="1:24">
      <c r="A2699">
        <f>HYPERLINK("https://www.philgeps.gov.ph/GEPSNONPILOT/Tender/SplashBidNoticeAbstractUI.aspx?menuIndex=3&amp;refID=7200642&amp;Result=3","7200642")</f>
        <v>0</v>
      </c>
      <c r="B2699" t="s">
        <v>234</v>
      </c>
      <c r="C2699" t="s">
        <v>6459</v>
      </c>
      <c r="D2699" t="s">
        <v>19052</v>
      </c>
      <c r="E2699" t="s">
        <v>21545</v>
      </c>
      <c r="F2699" t="s">
        <v>32606</v>
      </c>
      <c r="G2699" t="s">
        <v>32613</v>
      </c>
      <c r="H2699" t="s">
        <v>32623</v>
      </c>
      <c r="I2699" t="s">
        <v>17648</v>
      </c>
      <c r="J2699" t="s">
        <v>34665</v>
      </c>
      <c r="K2699" t="s">
        <v>42716</v>
      </c>
      <c r="M2699" t="s">
        <v>43135</v>
      </c>
      <c r="N2699" t="s">
        <v>47304</v>
      </c>
      <c r="O2699" t="s">
        <v>47305</v>
      </c>
      <c r="P2699">
        <v>0</v>
      </c>
      <c r="Q2699">
        <v>0</v>
      </c>
      <c r="R2699" t="s">
        <v>47307</v>
      </c>
      <c r="S2699" t="s">
        <v>47416</v>
      </c>
      <c r="T2699" t="s">
        <v>49236</v>
      </c>
      <c r="U2699" t="s">
        <v>51919</v>
      </c>
      <c r="V2699" t="s">
        <v>62644</v>
      </c>
      <c r="W2699" t="s">
        <v>43135</v>
      </c>
      <c r="X2699" t="s">
        <v>47306</v>
      </c>
    </row>
    <row r="2700" spans="1:24">
      <c r="A2700">
        <f>HYPERLINK("https://www.philgeps.gov.ph/GEPSNONPILOT/Tender/SplashBidNoticeAbstractUI.aspx?menuIndex=3&amp;refID=7200679&amp;Result=3","7200679")</f>
        <v>0</v>
      </c>
      <c r="B2700" t="s">
        <v>1154</v>
      </c>
      <c r="C2700" t="s">
        <v>6460</v>
      </c>
      <c r="D2700" t="s">
        <v>19005</v>
      </c>
      <c r="E2700" t="s">
        <v>21546</v>
      </c>
      <c r="F2700" t="s">
        <v>32606</v>
      </c>
      <c r="G2700" t="s">
        <v>32619</v>
      </c>
      <c r="H2700" t="s">
        <v>14201</v>
      </c>
      <c r="I2700" t="s">
        <v>32629</v>
      </c>
      <c r="J2700" t="s">
        <v>32853</v>
      </c>
      <c r="K2700" t="s">
        <v>42630</v>
      </c>
      <c r="M2700" t="s">
        <v>44117</v>
      </c>
      <c r="N2700" t="s">
        <v>47304</v>
      </c>
      <c r="O2700" t="s">
        <v>47305</v>
      </c>
      <c r="P2700">
        <v>0</v>
      </c>
      <c r="Q2700">
        <v>0</v>
      </c>
      <c r="R2700" t="s">
        <v>47307</v>
      </c>
      <c r="S2700" t="s">
        <v>47416</v>
      </c>
      <c r="T2700" t="s">
        <v>48986</v>
      </c>
      <c r="U2700" t="s">
        <v>51892</v>
      </c>
      <c r="W2700" t="s">
        <v>44117</v>
      </c>
      <c r="X2700" t="s">
        <v>47306</v>
      </c>
    </row>
    <row r="2701" spans="1:24">
      <c r="A2701">
        <f>HYPERLINK("https://www.philgeps.gov.ph/GEPSNONPILOT/Tender/SplashBidNoticeAbstractUI.aspx?menuIndex=3&amp;refID=7200704&amp;Result=3","7200704")</f>
        <v>0</v>
      </c>
      <c r="B2701" t="s">
        <v>1168</v>
      </c>
      <c r="C2701" t="s">
        <v>6461</v>
      </c>
      <c r="D2701" t="s">
        <v>19002</v>
      </c>
      <c r="E2701" t="s">
        <v>21547</v>
      </c>
      <c r="F2701" t="s">
        <v>32606</v>
      </c>
      <c r="G2701" t="s">
        <v>32613</v>
      </c>
      <c r="H2701" t="s">
        <v>14201</v>
      </c>
      <c r="I2701" t="s">
        <v>32664</v>
      </c>
      <c r="J2701" t="s">
        <v>34666</v>
      </c>
      <c r="K2701" t="s">
        <v>42638</v>
      </c>
      <c r="L2701" t="s">
        <v>1168</v>
      </c>
      <c r="M2701" t="s">
        <v>44131</v>
      </c>
      <c r="N2701" t="s">
        <v>47304</v>
      </c>
      <c r="O2701" t="s">
        <v>47305</v>
      </c>
      <c r="P2701">
        <v>0</v>
      </c>
      <c r="Q2701">
        <v>0</v>
      </c>
      <c r="R2701" t="s">
        <v>47307</v>
      </c>
      <c r="S2701" t="s">
        <v>47416</v>
      </c>
      <c r="T2701" t="s">
        <v>48996</v>
      </c>
      <c r="U2701" t="s">
        <v>51920</v>
      </c>
      <c r="W2701" t="s">
        <v>44131</v>
      </c>
      <c r="X2701" t="s">
        <v>47306</v>
      </c>
    </row>
    <row r="2702" spans="1:24">
      <c r="A2702">
        <f>HYPERLINK("https://www.philgeps.gov.ph/GEPSNONPILOT/Tender/SplashBidNoticeAbstractUI.aspx?menuIndex=3&amp;refID=7200663&amp;Result=3","7200663")</f>
        <v>0</v>
      </c>
      <c r="B2702" t="s">
        <v>655</v>
      </c>
      <c r="C2702" t="s">
        <v>6462</v>
      </c>
      <c r="E2702" t="s">
        <v>21548</v>
      </c>
      <c r="F2702" t="s">
        <v>32606</v>
      </c>
      <c r="G2702" t="s">
        <v>32613</v>
      </c>
      <c r="H2702" t="s">
        <v>14201</v>
      </c>
      <c r="I2702" t="s">
        <v>32640</v>
      </c>
      <c r="J2702" t="s">
        <v>34667</v>
      </c>
      <c r="K2702" t="s">
        <v>42677</v>
      </c>
      <c r="M2702" t="s">
        <v>43575</v>
      </c>
      <c r="N2702" t="s">
        <v>47304</v>
      </c>
      <c r="O2702" t="s">
        <v>47305</v>
      </c>
      <c r="P2702">
        <v>0</v>
      </c>
      <c r="Q2702">
        <v>0</v>
      </c>
      <c r="R2702" t="s">
        <v>47307</v>
      </c>
      <c r="S2702" t="s">
        <v>47416</v>
      </c>
      <c r="T2702" t="s">
        <v>49082</v>
      </c>
      <c r="U2702" t="s">
        <v>51921</v>
      </c>
      <c r="W2702" t="s">
        <v>43575</v>
      </c>
      <c r="X2702" t="s">
        <v>47306</v>
      </c>
    </row>
    <row r="2703" spans="1:24">
      <c r="A2703">
        <f>HYPERLINK("https://www.philgeps.gov.ph/GEPSNONPILOT/Tender/SplashBidNoticeAbstractUI.aspx?menuIndex=3&amp;refID=7200701&amp;Result=3","7200701")</f>
        <v>0</v>
      </c>
      <c r="B2703" t="s">
        <v>1132</v>
      </c>
      <c r="C2703" t="s">
        <v>6463</v>
      </c>
      <c r="D2703" t="s">
        <v>18993</v>
      </c>
      <c r="E2703" t="s">
        <v>21549</v>
      </c>
      <c r="F2703" t="s">
        <v>32607</v>
      </c>
      <c r="G2703" t="s">
        <v>32613</v>
      </c>
      <c r="H2703" t="s">
        <v>14201</v>
      </c>
      <c r="I2703" t="s">
        <v>6298</v>
      </c>
      <c r="J2703" t="s">
        <v>32778</v>
      </c>
      <c r="K2703" t="s">
        <v>42631</v>
      </c>
      <c r="M2703" t="s">
        <v>44094</v>
      </c>
      <c r="N2703" t="s">
        <v>47304</v>
      </c>
      <c r="O2703" t="s">
        <v>47305</v>
      </c>
      <c r="P2703">
        <v>0</v>
      </c>
      <c r="Q2703">
        <v>0</v>
      </c>
      <c r="R2703" t="s">
        <v>47307</v>
      </c>
      <c r="S2703" t="s">
        <v>47416</v>
      </c>
      <c r="T2703" t="s">
        <v>49057</v>
      </c>
      <c r="U2703" t="s">
        <v>51922</v>
      </c>
      <c r="V2703" t="s">
        <v>62933</v>
      </c>
      <c r="W2703" t="s">
        <v>44094</v>
      </c>
      <c r="X2703" t="s">
        <v>47306</v>
      </c>
    </row>
    <row r="2704" spans="1:24">
      <c r="A2704">
        <f>HYPERLINK("https://www.philgeps.gov.ph/GEPSNONPILOT/Tender/SplashBidNoticeAbstractUI.aspx?menuIndex=3&amp;refID=7200700&amp;Result=3","7200700")</f>
        <v>0</v>
      </c>
      <c r="B2704" t="s">
        <v>1168</v>
      </c>
      <c r="C2704" t="s">
        <v>6464</v>
      </c>
      <c r="D2704" t="s">
        <v>19002</v>
      </c>
      <c r="E2704" t="s">
        <v>21550</v>
      </c>
      <c r="F2704" t="s">
        <v>32606</v>
      </c>
      <c r="G2704" t="s">
        <v>32613</v>
      </c>
      <c r="H2704" t="s">
        <v>14201</v>
      </c>
      <c r="I2704" t="s">
        <v>32664</v>
      </c>
      <c r="J2704" t="s">
        <v>34668</v>
      </c>
      <c r="K2704" t="s">
        <v>42638</v>
      </c>
      <c r="L2704" t="s">
        <v>1168</v>
      </c>
      <c r="M2704" t="s">
        <v>44131</v>
      </c>
      <c r="N2704" t="s">
        <v>47304</v>
      </c>
      <c r="O2704" t="s">
        <v>47305</v>
      </c>
      <c r="P2704">
        <v>0</v>
      </c>
      <c r="Q2704">
        <v>0</v>
      </c>
      <c r="R2704" t="s">
        <v>47307</v>
      </c>
      <c r="S2704" t="s">
        <v>47416</v>
      </c>
      <c r="T2704" t="s">
        <v>48996</v>
      </c>
      <c r="U2704" t="s">
        <v>51923</v>
      </c>
      <c r="W2704" t="s">
        <v>44131</v>
      </c>
      <c r="X2704" t="s">
        <v>47306</v>
      </c>
    </row>
    <row r="2705" spans="1:24">
      <c r="A2705">
        <f>HYPERLINK("https://www.philgeps.gov.ph/GEPSNONPILOT/Tender/SplashBidNoticeAbstractUI.aspx?menuIndex=3&amp;refID=7200698&amp;Result=3","7200698")</f>
        <v>0</v>
      </c>
      <c r="B2705" t="s">
        <v>1168</v>
      </c>
      <c r="C2705" t="s">
        <v>6465</v>
      </c>
      <c r="D2705" t="s">
        <v>19002</v>
      </c>
      <c r="E2705" t="s">
        <v>21551</v>
      </c>
      <c r="F2705" t="s">
        <v>32606</v>
      </c>
      <c r="G2705" t="s">
        <v>32613</v>
      </c>
      <c r="H2705" t="s">
        <v>14201</v>
      </c>
      <c r="I2705" t="s">
        <v>32664</v>
      </c>
      <c r="J2705" t="s">
        <v>34663</v>
      </c>
      <c r="K2705" t="s">
        <v>42654</v>
      </c>
      <c r="L2705" t="s">
        <v>1168</v>
      </c>
      <c r="M2705" t="s">
        <v>44131</v>
      </c>
      <c r="N2705" t="s">
        <v>47304</v>
      </c>
      <c r="O2705" t="s">
        <v>47305</v>
      </c>
      <c r="P2705">
        <v>0</v>
      </c>
      <c r="Q2705">
        <v>0</v>
      </c>
      <c r="R2705" t="s">
        <v>47307</v>
      </c>
      <c r="S2705" t="s">
        <v>47416</v>
      </c>
      <c r="T2705" t="s">
        <v>48996</v>
      </c>
      <c r="U2705" t="s">
        <v>51924</v>
      </c>
      <c r="W2705" t="s">
        <v>44131</v>
      </c>
      <c r="X2705" t="s">
        <v>47306</v>
      </c>
    </row>
    <row r="2706" spans="1:24">
      <c r="A2706">
        <f>HYPERLINK("https://www.philgeps.gov.ph/GEPSNONPILOT/Tender/SplashBidNoticeAbstractUI.aspx?menuIndex=3&amp;refID=7200703&amp;Result=3","7200703")</f>
        <v>0</v>
      </c>
      <c r="B2706" t="s">
        <v>1170</v>
      </c>
      <c r="C2706" t="s">
        <v>6466</v>
      </c>
      <c r="D2706" t="s">
        <v>18999</v>
      </c>
      <c r="E2706" t="s">
        <v>20242</v>
      </c>
      <c r="F2706" t="s">
        <v>32606</v>
      </c>
      <c r="G2706" t="s">
        <v>32617</v>
      </c>
      <c r="H2706" t="s">
        <v>32624</v>
      </c>
      <c r="I2706" t="s">
        <v>32693</v>
      </c>
      <c r="J2706" t="s">
        <v>34669</v>
      </c>
      <c r="K2706" t="s">
        <v>42638</v>
      </c>
      <c r="M2706" t="s">
        <v>44133</v>
      </c>
      <c r="N2706" t="s">
        <v>47304</v>
      </c>
      <c r="O2706" t="s">
        <v>47305</v>
      </c>
      <c r="P2706">
        <v>0</v>
      </c>
      <c r="Q2706">
        <v>0</v>
      </c>
      <c r="R2706" t="s">
        <v>47307</v>
      </c>
      <c r="S2706" t="s">
        <v>47416</v>
      </c>
      <c r="T2706" t="s">
        <v>49096</v>
      </c>
      <c r="U2706" t="s">
        <v>51925</v>
      </c>
      <c r="W2706" t="s">
        <v>44133</v>
      </c>
      <c r="X2706" t="s">
        <v>47306</v>
      </c>
    </row>
    <row r="2707" spans="1:24">
      <c r="A2707">
        <f>HYPERLINK("https://www.philgeps.gov.ph/GEPSNONPILOT/Tender/SplashBidNoticeAbstractUI.aspx?menuIndex=3&amp;refID=7200666&amp;Result=3","7200666")</f>
        <v>0</v>
      </c>
      <c r="B2707" t="s">
        <v>1156</v>
      </c>
      <c r="C2707" t="s">
        <v>6467</v>
      </c>
      <c r="D2707" t="s">
        <v>19041</v>
      </c>
      <c r="E2707" t="s">
        <v>21552</v>
      </c>
      <c r="F2707" t="s">
        <v>32606</v>
      </c>
      <c r="G2707" t="s">
        <v>32613</v>
      </c>
      <c r="H2707" t="s">
        <v>14201</v>
      </c>
      <c r="I2707" t="s">
        <v>6931</v>
      </c>
      <c r="J2707" t="s">
        <v>34670</v>
      </c>
      <c r="K2707" t="s">
        <v>42631</v>
      </c>
      <c r="M2707" t="s">
        <v>44119</v>
      </c>
      <c r="N2707" t="s">
        <v>47304</v>
      </c>
      <c r="O2707" t="s">
        <v>47305</v>
      </c>
      <c r="P2707">
        <v>0</v>
      </c>
      <c r="Q2707">
        <v>0</v>
      </c>
      <c r="R2707" t="s">
        <v>47307</v>
      </c>
      <c r="S2707" t="s">
        <v>47416</v>
      </c>
      <c r="T2707" t="s">
        <v>49009</v>
      </c>
      <c r="U2707" t="s">
        <v>51926</v>
      </c>
      <c r="V2707" t="s">
        <v>62948</v>
      </c>
      <c r="W2707" t="s">
        <v>44119</v>
      </c>
      <c r="X2707" t="s">
        <v>47306</v>
      </c>
    </row>
    <row r="2708" spans="1:24">
      <c r="A2708">
        <f>HYPERLINK("https://www.philgeps.gov.ph/GEPSNONPILOT/Tender/SplashBidNoticeAbstractUI.aspx?menuIndex=3&amp;refID=7200695&amp;Result=3","7200695")</f>
        <v>0</v>
      </c>
      <c r="B2708" t="s">
        <v>1168</v>
      </c>
      <c r="C2708" t="s">
        <v>6468</v>
      </c>
      <c r="D2708" t="s">
        <v>19002</v>
      </c>
      <c r="E2708" t="s">
        <v>21553</v>
      </c>
      <c r="F2708" t="s">
        <v>32606</v>
      </c>
      <c r="G2708" t="s">
        <v>32613</v>
      </c>
      <c r="H2708" t="s">
        <v>14201</v>
      </c>
      <c r="I2708" t="s">
        <v>32664</v>
      </c>
      <c r="J2708" t="s">
        <v>34666</v>
      </c>
      <c r="K2708" t="s">
        <v>42638</v>
      </c>
      <c r="L2708" t="s">
        <v>1168</v>
      </c>
      <c r="M2708" t="s">
        <v>44131</v>
      </c>
      <c r="N2708" t="s">
        <v>47304</v>
      </c>
      <c r="O2708" t="s">
        <v>47305</v>
      </c>
      <c r="P2708">
        <v>0</v>
      </c>
      <c r="Q2708">
        <v>0</v>
      </c>
      <c r="R2708" t="s">
        <v>47307</v>
      </c>
      <c r="S2708" t="s">
        <v>47416</v>
      </c>
      <c r="T2708" t="s">
        <v>48996</v>
      </c>
      <c r="U2708" t="s">
        <v>51927</v>
      </c>
      <c r="W2708" t="s">
        <v>44131</v>
      </c>
      <c r="X2708" t="s">
        <v>47306</v>
      </c>
    </row>
    <row r="2709" spans="1:24">
      <c r="A2709">
        <f>HYPERLINK("https://www.philgeps.gov.ph/GEPSNONPILOT/Tender/SplashBidNoticeAbstractUI.aspx?menuIndex=3&amp;refID=7200694&amp;Result=3","7200694")</f>
        <v>0</v>
      </c>
      <c r="B2709" t="s">
        <v>1171</v>
      </c>
      <c r="C2709" t="s">
        <v>6469</v>
      </c>
      <c r="D2709" t="s">
        <v>18990</v>
      </c>
      <c r="E2709" t="s">
        <v>21554</v>
      </c>
      <c r="F2709" t="s">
        <v>32606</v>
      </c>
      <c r="G2709" t="s">
        <v>32614</v>
      </c>
      <c r="H2709" t="s">
        <v>32624</v>
      </c>
      <c r="I2709" t="s">
        <v>32699</v>
      </c>
      <c r="J2709" t="s">
        <v>34671</v>
      </c>
      <c r="K2709" t="s">
        <v>42639</v>
      </c>
      <c r="M2709" t="s">
        <v>44134</v>
      </c>
      <c r="N2709" t="s">
        <v>47304</v>
      </c>
      <c r="O2709" t="s">
        <v>47305</v>
      </c>
      <c r="P2709">
        <v>0</v>
      </c>
      <c r="Q2709">
        <v>0</v>
      </c>
      <c r="R2709" t="s">
        <v>47307</v>
      </c>
      <c r="S2709" t="s">
        <v>47416</v>
      </c>
      <c r="T2709" t="s">
        <v>49002</v>
      </c>
      <c r="U2709" t="s">
        <v>51928</v>
      </c>
      <c r="W2709" t="s">
        <v>44134</v>
      </c>
      <c r="X2709" t="s">
        <v>47306</v>
      </c>
    </row>
    <row r="2710" spans="1:24">
      <c r="A2710">
        <f>HYPERLINK("https://www.philgeps.gov.ph/GEPSNONPILOT/Tender/SplashBidNoticeAbstractUI.aspx?menuIndex=3&amp;refID=7200699&amp;Result=3","7200699")</f>
        <v>0</v>
      </c>
      <c r="B2710" t="s">
        <v>1169</v>
      </c>
      <c r="C2710" t="s">
        <v>6470</v>
      </c>
      <c r="D2710" t="s">
        <v>19003</v>
      </c>
      <c r="E2710" t="s">
        <v>21555</v>
      </c>
      <c r="F2710" t="s">
        <v>32606</v>
      </c>
      <c r="G2710" t="s">
        <v>32614</v>
      </c>
      <c r="H2710" t="s">
        <v>14201</v>
      </c>
      <c r="I2710" t="s">
        <v>32638</v>
      </c>
      <c r="J2710" t="s">
        <v>34672</v>
      </c>
      <c r="K2710" t="s">
        <v>42630</v>
      </c>
      <c r="M2710" t="s">
        <v>44132</v>
      </c>
      <c r="N2710" t="s">
        <v>47304</v>
      </c>
      <c r="O2710" t="s">
        <v>47305</v>
      </c>
      <c r="P2710">
        <v>0</v>
      </c>
      <c r="Q2710">
        <v>0</v>
      </c>
      <c r="R2710" t="s">
        <v>47307</v>
      </c>
      <c r="S2710" t="s">
        <v>47416</v>
      </c>
      <c r="T2710" t="s">
        <v>49107</v>
      </c>
      <c r="U2710" t="s">
        <v>51929</v>
      </c>
      <c r="V2710" t="s">
        <v>62947</v>
      </c>
      <c r="W2710" t="s">
        <v>44132</v>
      </c>
      <c r="X2710" t="s">
        <v>47306</v>
      </c>
    </row>
    <row r="2711" spans="1:24">
      <c r="A2711">
        <f>HYPERLINK("https://www.philgeps.gov.ph/GEPSNONPILOT/Tender/SplashBidNoticeAbstractUI.aspx?menuIndex=3&amp;refID=7200692&amp;Result=3","7200692")</f>
        <v>0</v>
      </c>
      <c r="B2711" t="s">
        <v>146</v>
      </c>
      <c r="C2711" t="s">
        <v>6471</v>
      </c>
      <c r="D2711" t="s">
        <v>19011</v>
      </c>
      <c r="E2711" t="s">
        <v>21556</v>
      </c>
      <c r="F2711" t="s">
        <v>32606</v>
      </c>
      <c r="G2711" t="s">
        <v>32613</v>
      </c>
      <c r="H2711" t="s">
        <v>14201</v>
      </c>
      <c r="I2711" t="s">
        <v>7677</v>
      </c>
      <c r="J2711" t="s">
        <v>34673</v>
      </c>
      <c r="K2711" t="s">
        <v>42631</v>
      </c>
      <c r="M2711" t="s">
        <v>43047</v>
      </c>
      <c r="N2711" t="s">
        <v>47304</v>
      </c>
      <c r="O2711" t="s">
        <v>47305</v>
      </c>
      <c r="P2711">
        <v>0</v>
      </c>
      <c r="Q2711">
        <v>0</v>
      </c>
      <c r="R2711" t="s">
        <v>47307</v>
      </c>
      <c r="S2711" t="s">
        <v>47416</v>
      </c>
      <c r="T2711" t="s">
        <v>48990</v>
      </c>
      <c r="U2711" t="s">
        <v>51930</v>
      </c>
      <c r="W2711" t="s">
        <v>43047</v>
      </c>
      <c r="X2711" t="s">
        <v>47306</v>
      </c>
    </row>
    <row r="2712" spans="1:24">
      <c r="A2712">
        <f>HYPERLINK("https://www.philgeps.gov.ph/GEPSNONPILOT/Tender/SplashBidNoticeAbstractUI.aspx?menuIndex=3&amp;refID=7200691&amp;Result=3","7200691")</f>
        <v>0</v>
      </c>
      <c r="B2712" t="s">
        <v>1169</v>
      </c>
      <c r="C2712" t="s">
        <v>6472</v>
      </c>
      <c r="D2712" t="s">
        <v>19003</v>
      </c>
      <c r="E2712" t="s">
        <v>21557</v>
      </c>
      <c r="F2712" t="s">
        <v>32606</v>
      </c>
      <c r="G2712" t="s">
        <v>32614</v>
      </c>
      <c r="H2712" t="s">
        <v>14201</v>
      </c>
      <c r="I2712" t="s">
        <v>32662</v>
      </c>
      <c r="J2712" t="s">
        <v>34674</v>
      </c>
      <c r="K2712" t="s">
        <v>42623</v>
      </c>
      <c r="M2712" t="s">
        <v>44132</v>
      </c>
      <c r="N2712" t="s">
        <v>47304</v>
      </c>
      <c r="O2712" t="s">
        <v>47305</v>
      </c>
      <c r="P2712">
        <v>0</v>
      </c>
      <c r="Q2712">
        <v>0</v>
      </c>
      <c r="R2712" t="s">
        <v>47307</v>
      </c>
      <c r="S2712" t="s">
        <v>47416</v>
      </c>
      <c r="T2712" t="s">
        <v>49107</v>
      </c>
      <c r="U2712" t="s">
        <v>51931</v>
      </c>
      <c r="V2712" t="s">
        <v>62947</v>
      </c>
      <c r="W2712" t="s">
        <v>44132</v>
      </c>
      <c r="X2712" t="s">
        <v>47306</v>
      </c>
    </row>
    <row r="2713" spans="1:24">
      <c r="A2713">
        <f>HYPERLINK("https://www.philgeps.gov.ph/GEPSNONPILOT/Tender/SplashBidNoticeAbstractUI.aspx?menuIndex=3&amp;refID=7200690&amp;Result=3","7200690")</f>
        <v>0</v>
      </c>
      <c r="B2713" t="s">
        <v>1154</v>
      </c>
      <c r="C2713" t="s">
        <v>6473</v>
      </c>
      <c r="D2713" t="s">
        <v>19005</v>
      </c>
      <c r="E2713" t="s">
        <v>21558</v>
      </c>
      <c r="F2713" t="s">
        <v>32606</v>
      </c>
      <c r="G2713" t="s">
        <v>32619</v>
      </c>
      <c r="H2713" t="s">
        <v>14201</v>
      </c>
      <c r="I2713" t="s">
        <v>32629</v>
      </c>
      <c r="J2713" t="s">
        <v>34675</v>
      </c>
      <c r="K2713" t="s">
        <v>42630</v>
      </c>
      <c r="M2713" t="s">
        <v>44117</v>
      </c>
      <c r="N2713" t="s">
        <v>47304</v>
      </c>
      <c r="O2713" t="s">
        <v>47305</v>
      </c>
      <c r="P2713">
        <v>0</v>
      </c>
      <c r="Q2713">
        <v>0</v>
      </c>
      <c r="R2713" t="s">
        <v>47307</v>
      </c>
      <c r="S2713" t="s">
        <v>47416</v>
      </c>
      <c r="T2713" t="s">
        <v>48986</v>
      </c>
      <c r="U2713" t="s">
        <v>51892</v>
      </c>
      <c r="W2713" t="s">
        <v>44117</v>
      </c>
      <c r="X2713" t="s">
        <v>47306</v>
      </c>
    </row>
    <row r="2714" spans="1:24">
      <c r="A2714">
        <f>HYPERLINK("https://www.philgeps.gov.ph/GEPSNONPILOT/Tender/SplashBidNoticeAbstractUI.aspx?menuIndex=3&amp;refID=7200689&amp;Result=3","7200689")</f>
        <v>0</v>
      </c>
      <c r="B2714" t="s">
        <v>1172</v>
      </c>
      <c r="C2714" t="s">
        <v>6474</v>
      </c>
      <c r="D2714" t="s">
        <v>19002</v>
      </c>
      <c r="E2714" t="s">
        <v>21559</v>
      </c>
      <c r="F2714" t="s">
        <v>32606</v>
      </c>
      <c r="G2714" t="s">
        <v>32614</v>
      </c>
      <c r="H2714" t="s">
        <v>14201</v>
      </c>
      <c r="I2714" t="s">
        <v>32654</v>
      </c>
      <c r="J2714" t="s">
        <v>33103</v>
      </c>
      <c r="K2714" t="s">
        <v>42630</v>
      </c>
      <c r="M2714" t="s">
        <v>44135</v>
      </c>
      <c r="N2714" t="s">
        <v>47304</v>
      </c>
      <c r="O2714" t="s">
        <v>47305</v>
      </c>
      <c r="P2714">
        <v>0</v>
      </c>
      <c r="Q2714">
        <v>0</v>
      </c>
      <c r="R2714" t="s">
        <v>47307</v>
      </c>
      <c r="S2714" t="s">
        <v>47416</v>
      </c>
      <c r="T2714" t="s">
        <v>49023</v>
      </c>
      <c r="U2714" t="s">
        <v>51932</v>
      </c>
      <c r="W2714" t="s">
        <v>44135</v>
      </c>
      <c r="X2714" t="s">
        <v>47306</v>
      </c>
    </row>
    <row r="2715" spans="1:24">
      <c r="A2715">
        <f>HYPERLINK("https://www.philgeps.gov.ph/GEPSNONPILOT/Tender/SplashBidNoticeAbstractUI.aspx?menuIndex=3&amp;refID=7200688&amp;Result=3","7200688")</f>
        <v>0</v>
      </c>
      <c r="B2715" t="s">
        <v>1154</v>
      </c>
      <c r="C2715" t="s">
        <v>6475</v>
      </c>
      <c r="D2715" t="s">
        <v>19005</v>
      </c>
      <c r="E2715" t="s">
        <v>21560</v>
      </c>
      <c r="F2715" t="s">
        <v>32606</v>
      </c>
      <c r="G2715" t="s">
        <v>32619</v>
      </c>
      <c r="H2715" t="s">
        <v>14201</v>
      </c>
      <c r="I2715" t="s">
        <v>32629</v>
      </c>
      <c r="J2715" t="s">
        <v>34676</v>
      </c>
      <c r="K2715" t="s">
        <v>42630</v>
      </c>
      <c r="M2715" t="s">
        <v>44117</v>
      </c>
      <c r="N2715" t="s">
        <v>47304</v>
      </c>
      <c r="O2715" t="s">
        <v>47305</v>
      </c>
      <c r="P2715">
        <v>0</v>
      </c>
      <c r="Q2715">
        <v>0</v>
      </c>
      <c r="R2715" t="s">
        <v>47307</v>
      </c>
      <c r="S2715" t="s">
        <v>47416</v>
      </c>
      <c r="T2715" t="s">
        <v>48986</v>
      </c>
      <c r="U2715" t="s">
        <v>51892</v>
      </c>
      <c r="W2715" t="s">
        <v>44117</v>
      </c>
      <c r="X2715" t="s">
        <v>47306</v>
      </c>
    </row>
    <row r="2716" spans="1:24">
      <c r="A2716">
        <f>HYPERLINK("https://www.philgeps.gov.ph/GEPSNONPILOT/Tender/SplashBidNoticeAbstractUI.aspx?menuIndex=3&amp;refID=7200687&amp;Result=3","7200687")</f>
        <v>0</v>
      </c>
      <c r="B2716" t="s">
        <v>1172</v>
      </c>
      <c r="C2716" t="s">
        <v>6474</v>
      </c>
      <c r="D2716" t="s">
        <v>19002</v>
      </c>
      <c r="E2716" t="s">
        <v>21561</v>
      </c>
      <c r="F2716" t="s">
        <v>32606</v>
      </c>
      <c r="G2716" t="s">
        <v>32614</v>
      </c>
      <c r="H2716" t="s">
        <v>14201</v>
      </c>
      <c r="I2716" t="s">
        <v>32654</v>
      </c>
      <c r="J2716" t="s">
        <v>34677</v>
      </c>
      <c r="K2716" t="s">
        <v>42630</v>
      </c>
      <c r="M2716" t="s">
        <v>44135</v>
      </c>
      <c r="N2716" t="s">
        <v>47304</v>
      </c>
      <c r="O2716" t="s">
        <v>47305</v>
      </c>
      <c r="P2716">
        <v>0</v>
      </c>
      <c r="Q2716">
        <v>0</v>
      </c>
      <c r="R2716" t="s">
        <v>47307</v>
      </c>
      <c r="S2716" t="s">
        <v>47416</v>
      </c>
      <c r="T2716" t="s">
        <v>49023</v>
      </c>
      <c r="U2716" t="s">
        <v>51932</v>
      </c>
      <c r="W2716" t="s">
        <v>44135</v>
      </c>
      <c r="X2716" t="s">
        <v>47306</v>
      </c>
    </row>
    <row r="2717" spans="1:24">
      <c r="A2717">
        <f>HYPERLINK("https://www.philgeps.gov.ph/GEPSNONPILOT/Tender/SplashBidNoticeAbstractUI.aspx?menuIndex=3&amp;refID=7200640&amp;Result=3","7200640")</f>
        <v>0</v>
      </c>
      <c r="B2717" t="s">
        <v>959</v>
      </c>
      <c r="C2717" t="s">
        <v>6476</v>
      </c>
      <c r="D2717" t="s">
        <v>19038</v>
      </c>
      <c r="E2717" t="s">
        <v>21562</v>
      </c>
      <c r="F2717" t="s">
        <v>32606</v>
      </c>
      <c r="G2717" t="s">
        <v>32614</v>
      </c>
      <c r="H2717" t="s">
        <v>14201</v>
      </c>
      <c r="I2717" t="s">
        <v>7233</v>
      </c>
      <c r="J2717" t="s">
        <v>34678</v>
      </c>
      <c r="K2717" t="s">
        <v>42631</v>
      </c>
      <c r="M2717" t="s">
        <v>43904</v>
      </c>
      <c r="N2717" t="s">
        <v>47304</v>
      </c>
      <c r="O2717" t="s">
        <v>47305</v>
      </c>
      <c r="P2717">
        <v>0</v>
      </c>
      <c r="Q2717">
        <v>0</v>
      </c>
      <c r="R2717" t="s">
        <v>47307</v>
      </c>
      <c r="S2717" t="s">
        <v>47416</v>
      </c>
      <c r="T2717" t="s">
        <v>49175</v>
      </c>
      <c r="U2717" t="s">
        <v>51933</v>
      </c>
      <c r="W2717" t="s">
        <v>43904</v>
      </c>
      <c r="X2717" t="s">
        <v>47306</v>
      </c>
    </row>
    <row r="2718" spans="1:24">
      <c r="A2718">
        <f>HYPERLINK("https://www.philgeps.gov.ph/GEPSNONPILOT/Tender/SplashBidNoticeAbstractUI.aspx?menuIndex=3&amp;refID=7200638&amp;Result=3","7200638")</f>
        <v>0</v>
      </c>
      <c r="B2718" t="s">
        <v>1159</v>
      </c>
      <c r="C2718" t="s">
        <v>6225</v>
      </c>
      <c r="D2718" t="s">
        <v>19006</v>
      </c>
      <c r="E2718" t="s">
        <v>21563</v>
      </c>
      <c r="F2718" t="s">
        <v>32607</v>
      </c>
      <c r="G2718" t="s">
        <v>32614</v>
      </c>
      <c r="H2718" t="s">
        <v>14201</v>
      </c>
      <c r="I2718" t="s">
        <v>6931</v>
      </c>
      <c r="J2718" t="s">
        <v>34679</v>
      </c>
      <c r="K2718" t="s">
        <v>42630</v>
      </c>
      <c r="M2718" t="s">
        <v>44122</v>
      </c>
      <c r="N2718" t="s">
        <v>47304</v>
      </c>
      <c r="O2718" t="s">
        <v>47305</v>
      </c>
      <c r="P2718">
        <v>0</v>
      </c>
      <c r="Q2718">
        <v>0</v>
      </c>
      <c r="R2718" t="s">
        <v>47307</v>
      </c>
      <c r="S2718" t="s">
        <v>47416</v>
      </c>
      <c r="T2718" t="s">
        <v>48971</v>
      </c>
      <c r="U2718" t="s">
        <v>51934</v>
      </c>
      <c r="V2718" t="s">
        <v>62874</v>
      </c>
      <c r="W2718" t="s">
        <v>44122</v>
      </c>
      <c r="X2718" t="s">
        <v>47306</v>
      </c>
    </row>
    <row r="2719" spans="1:24">
      <c r="A2719">
        <f>HYPERLINK("https://www.philgeps.gov.ph/GEPSNONPILOT/Tender/SplashBidNoticeAbstractUI.aspx?menuIndex=3&amp;refID=7200636&amp;Result=3","7200636")</f>
        <v>0</v>
      </c>
      <c r="B2719" t="s">
        <v>1173</v>
      </c>
      <c r="C2719" t="s">
        <v>6477</v>
      </c>
      <c r="D2719" t="s">
        <v>18999</v>
      </c>
      <c r="E2719" t="s">
        <v>21564</v>
      </c>
      <c r="F2719" t="s">
        <v>32606</v>
      </c>
      <c r="G2719" t="s">
        <v>32614</v>
      </c>
      <c r="H2719" t="s">
        <v>14201</v>
      </c>
      <c r="I2719" t="s">
        <v>8682</v>
      </c>
      <c r="J2719" t="s">
        <v>34680</v>
      </c>
      <c r="K2719" t="s">
        <v>42630</v>
      </c>
      <c r="M2719" t="s">
        <v>44136</v>
      </c>
      <c r="N2719" t="s">
        <v>47304</v>
      </c>
      <c r="O2719" t="s">
        <v>47305</v>
      </c>
      <c r="P2719">
        <v>0</v>
      </c>
      <c r="Q2719">
        <v>0</v>
      </c>
      <c r="R2719" t="s">
        <v>47307</v>
      </c>
      <c r="S2719" t="s">
        <v>47416</v>
      </c>
      <c r="T2719" t="s">
        <v>49237</v>
      </c>
      <c r="U2719" t="s">
        <v>51935</v>
      </c>
      <c r="W2719" t="s">
        <v>44136</v>
      </c>
      <c r="X2719" t="s">
        <v>47306</v>
      </c>
    </row>
    <row r="2720" spans="1:24">
      <c r="A2720">
        <f>HYPERLINK("https://www.philgeps.gov.ph/GEPSNONPILOT/Tender/SplashBidNoticeAbstractUI.aspx?menuIndex=3&amp;refID=7200615&amp;Result=3","7200615")</f>
        <v>0</v>
      </c>
      <c r="B2720" t="s">
        <v>1174</v>
      </c>
      <c r="C2720" t="s">
        <v>6478</v>
      </c>
      <c r="D2720" t="s">
        <v>18995</v>
      </c>
      <c r="E2720" t="s">
        <v>21565</v>
      </c>
      <c r="F2720" t="s">
        <v>32606</v>
      </c>
      <c r="G2720" t="s">
        <v>32613</v>
      </c>
      <c r="H2720" t="s">
        <v>14201</v>
      </c>
      <c r="I2720" t="s">
        <v>6478</v>
      </c>
      <c r="J2720" t="s">
        <v>34681</v>
      </c>
      <c r="K2720" t="s">
        <v>42630</v>
      </c>
      <c r="M2720" t="s">
        <v>44137</v>
      </c>
      <c r="N2720" t="s">
        <v>47304</v>
      </c>
      <c r="O2720" t="s">
        <v>47305</v>
      </c>
      <c r="P2720">
        <v>0</v>
      </c>
      <c r="Q2720">
        <v>0</v>
      </c>
      <c r="R2720" t="s">
        <v>47307</v>
      </c>
      <c r="S2720" t="s">
        <v>47416</v>
      </c>
      <c r="T2720" t="s">
        <v>49028</v>
      </c>
      <c r="U2720" t="s">
        <v>51936</v>
      </c>
      <c r="W2720" t="s">
        <v>44137</v>
      </c>
      <c r="X2720" t="s">
        <v>47306</v>
      </c>
    </row>
    <row r="2721" spans="1:24">
      <c r="A2721">
        <f>HYPERLINK("https://www.philgeps.gov.ph/GEPSNONPILOT/Tender/SplashBidNoticeAbstractUI.aspx?menuIndex=3&amp;refID=7200595&amp;Result=3","7200595")</f>
        <v>0</v>
      </c>
      <c r="B2721" t="s">
        <v>1175</v>
      </c>
      <c r="C2721" t="s">
        <v>6479</v>
      </c>
      <c r="D2721" t="s">
        <v>19015</v>
      </c>
      <c r="E2721" t="s">
        <v>21566</v>
      </c>
      <c r="F2721" t="s">
        <v>32606</v>
      </c>
      <c r="G2721" t="s">
        <v>32614</v>
      </c>
      <c r="H2721" t="s">
        <v>14201</v>
      </c>
      <c r="I2721" t="s">
        <v>6007</v>
      </c>
      <c r="J2721" t="s">
        <v>32981</v>
      </c>
      <c r="K2721" t="s">
        <v>42625</v>
      </c>
      <c r="M2721" t="s">
        <v>44138</v>
      </c>
      <c r="N2721" t="s">
        <v>47304</v>
      </c>
      <c r="O2721" t="s">
        <v>47305</v>
      </c>
      <c r="P2721">
        <v>0</v>
      </c>
      <c r="Q2721">
        <v>0</v>
      </c>
      <c r="R2721" t="s">
        <v>47307</v>
      </c>
      <c r="S2721" t="s">
        <v>47416</v>
      </c>
      <c r="T2721" t="s">
        <v>48977</v>
      </c>
      <c r="U2721" t="s">
        <v>51937</v>
      </c>
      <c r="W2721" t="s">
        <v>44138</v>
      </c>
      <c r="X2721" t="s">
        <v>47306</v>
      </c>
    </row>
    <row r="2722" spans="1:24">
      <c r="A2722">
        <f>HYPERLINK("https://www.philgeps.gov.ph/GEPSNONPILOT/Tender/SplashBidNoticeAbstractUI.aspx?menuIndex=3&amp;refID=7200696&amp;Result=3","7200696")</f>
        <v>0</v>
      </c>
      <c r="B2722" t="s">
        <v>1172</v>
      </c>
      <c r="C2722" t="s">
        <v>6480</v>
      </c>
      <c r="D2722" t="s">
        <v>19002</v>
      </c>
      <c r="E2722" t="s">
        <v>21567</v>
      </c>
      <c r="F2722" t="s">
        <v>32606</v>
      </c>
      <c r="G2722" t="s">
        <v>32614</v>
      </c>
      <c r="H2722" t="s">
        <v>14201</v>
      </c>
      <c r="I2722" t="s">
        <v>32696</v>
      </c>
      <c r="J2722" t="s">
        <v>34682</v>
      </c>
      <c r="K2722" t="s">
        <v>42630</v>
      </c>
      <c r="M2722" t="s">
        <v>44135</v>
      </c>
      <c r="N2722" t="s">
        <v>47304</v>
      </c>
      <c r="O2722" t="s">
        <v>47305</v>
      </c>
      <c r="P2722">
        <v>0</v>
      </c>
      <c r="Q2722">
        <v>0</v>
      </c>
      <c r="R2722" t="s">
        <v>47307</v>
      </c>
      <c r="S2722" t="s">
        <v>47416</v>
      </c>
      <c r="T2722" t="s">
        <v>49023</v>
      </c>
      <c r="U2722" t="s">
        <v>51932</v>
      </c>
      <c r="W2722" t="s">
        <v>44135</v>
      </c>
      <c r="X2722" t="s">
        <v>47306</v>
      </c>
    </row>
    <row r="2723" spans="1:24">
      <c r="A2723">
        <f>HYPERLINK("https://www.philgeps.gov.ph/GEPSNONPILOT/Tender/SplashBidNoticeAbstractUI.aspx?menuIndex=3&amp;refID=7200639&amp;Result=3","7200639")</f>
        <v>0</v>
      </c>
      <c r="B2723" t="s">
        <v>1176</v>
      </c>
      <c r="C2723" t="s">
        <v>6481</v>
      </c>
      <c r="D2723" t="s">
        <v>19022</v>
      </c>
      <c r="E2723" t="s">
        <v>21568</v>
      </c>
      <c r="F2723" t="s">
        <v>32607</v>
      </c>
      <c r="G2723" t="s">
        <v>32614</v>
      </c>
      <c r="H2723" t="s">
        <v>14201</v>
      </c>
      <c r="I2723" t="s">
        <v>6014</v>
      </c>
      <c r="J2723" t="s">
        <v>34683</v>
      </c>
      <c r="K2723" t="s">
        <v>42624</v>
      </c>
      <c r="M2723" t="s">
        <v>44139</v>
      </c>
      <c r="N2723" t="s">
        <v>47304</v>
      </c>
      <c r="O2723" t="s">
        <v>47305</v>
      </c>
      <c r="P2723">
        <v>0</v>
      </c>
      <c r="Q2723">
        <v>0</v>
      </c>
      <c r="R2723" t="s">
        <v>47307</v>
      </c>
      <c r="S2723" t="s">
        <v>47416</v>
      </c>
      <c r="T2723" t="s">
        <v>49219</v>
      </c>
      <c r="U2723" t="s">
        <v>51938</v>
      </c>
      <c r="W2723" t="s">
        <v>44139</v>
      </c>
      <c r="X2723" t="s">
        <v>47306</v>
      </c>
    </row>
    <row r="2724" spans="1:24">
      <c r="A2724">
        <f>HYPERLINK("https://www.philgeps.gov.ph/GEPSNONPILOT/Tender/SplashBidNoticeAbstractUI.aspx?menuIndex=3&amp;refID=7200593&amp;Result=3","7200593")</f>
        <v>0</v>
      </c>
      <c r="B2724" t="s">
        <v>1142</v>
      </c>
      <c r="C2724" t="s">
        <v>6482</v>
      </c>
      <c r="D2724" t="s">
        <v>19040</v>
      </c>
      <c r="E2724" t="s">
        <v>21569</v>
      </c>
      <c r="F2724" t="s">
        <v>32606</v>
      </c>
      <c r="G2724" t="s">
        <v>32614</v>
      </c>
      <c r="H2724" t="s">
        <v>14201</v>
      </c>
      <c r="I2724" t="s">
        <v>32693</v>
      </c>
      <c r="J2724" t="s">
        <v>34684</v>
      </c>
      <c r="K2724" t="s">
        <v>42623</v>
      </c>
      <c r="M2724" t="s">
        <v>44104</v>
      </c>
      <c r="N2724" t="s">
        <v>47304</v>
      </c>
      <c r="O2724" t="s">
        <v>47305</v>
      </c>
      <c r="P2724">
        <v>0</v>
      </c>
      <c r="Q2724">
        <v>0</v>
      </c>
      <c r="R2724" t="s">
        <v>47307</v>
      </c>
      <c r="S2724" t="s">
        <v>47416</v>
      </c>
      <c r="T2724" t="s">
        <v>48971</v>
      </c>
      <c r="U2724" t="s">
        <v>51939</v>
      </c>
      <c r="W2724" t="s">
        <v>44104</v>
      </c>
      <c r="X2724" t="s">
        <v>47306</v>
      </c>
    </row>
    <row r="2725" spans="1:24">
      <c r="A2725">
        <f>HYPERLINK("https://www.philgeps.gov.ph/GEPSNONPILOT/Tender/SplashBidNoticeAbstractUI.aspx?menuIndex=3&amp;refID=7200708&amp;Result=3","7200708")</f>
        <v>0</v>
      </c>
      <c r="B2725" t="s">
        <v>1168</v>
      </c>
      <c r="C2725" t="s">
        <v>6483</v>
      </c>
      <c r="D2725" t="s">
        <v>19002</v>
      </c>
      <c r="E2725" t="s">
        <v>21570</v>
      </c>
      <c r="F2725" t="s">
        <v>32606</v>
      </c>
      <c r="G2725" t="s">
        <v>32613</v>
      </c>
      <c r="H2725" t="s">
        <v>14201</v>
      </c>
      <c r="I2725" t="s">
        <v>32664</v>
      </c>
      <c r="J2725" t="s">
        <v>34685</v>
      </c>
      <c r="K2725" t="s">
        <v>42638</v>
      </c>
      <c r="L2725" t="s">
        <v>1168</v>
      </c>
      <c r="M2725" t="s">
        <v>44131</v>
      </c>
      <c r="N2725" t="s">
        <v>47304</v>
      </c>
      <c r="O2725" t="s">
        <v>47305</v>
      </c>
      <c r="P2725">
        <v>0</v>
      </c>
      <c r="Q2725">
        <v>0</v>
      </c>
      <c r="R2725" t="s">
        <v>47307</v>
      </c>
      <c r="S2725" t="s">
        <v>47416</v>
      </c>
      <c r="T2725" t="s">
        <v>48996</v>
      </c>
      <c r="U2725" t="s">
        <v>51940</v>
      </c>
      <c r="W2725" t="s">
        <v>44131</v>
      </c>
      <c r="X2725" t="s">
        <v>47306</v>
      </c>
    </row>
    <row r="2726" spans="1:24">
      <c r="A2726">
        <f>HYPERLINK("https://www.philgeps.gov.ph/GEPSNONPILOT/Tender/SplashBidNoticeAbstractUI.aspx?menuIndex=3&amp;refID=7200668&amp;Result=3","7200668")</f>
        <v>0</v>
      </c>
      <c r="B2726" t="s">
        <v>575</v>
      </c>
      <c r="C2726" t="s">
        <v>6484</v>
      </c>
      <c r="D2726" t="s">
        <v>19036</v>
      </c>
      <c r="E2726" t="s">
        <v>21571</v>
      </c>
      <c r="F2726" t="s">
        <v>32606</v>
      </c>
      <c r="G2726" t="s">
        <v>32614</v>
      </c>
      <c r="H2726" t="s">
        <v>14201</v>
      </c>
      <c r="I2726" t="s">
        <v>32713</v>
      </c>
      <c r="J2726" t="s">
        <v>32770</v>
      </c>
      <c r="K2726" t="s">
        <v>42622</v>
      </c>
      <c r="M2726" t="s">
        <v>44070</v>
      </c>
      <c r="N2726" t="s">
        <v>47304</v>
      </c>
      <c r="O2726" t="s">
        <v>47305</v>
      </c>
      <c r="P2726">
        <v>0</v>
      </c>
      <c r="Q2726">
        <v>0</v>
      </c>
      <c r="R2726" t="s">
        <v>47307</v>
      </c>
      <c r="S2726" t="s">
        <v>47416</v>
      </c>
      <c r="T2726" t="s">
        <v>49100</v>
      </c>
      <c r="U2726" t="s">
        <v>51941</v>
      </c>
      <c r="W2726" t="s">
        <v>44070</v>
      </c>
      <c r="X2726" t="s">
        <v>47306</v>
      </c>
    </row>
    <row r="2727" spans="1:24">
      <c r="A2727">
        <f>HYPERLINK("https://www.philgeps.gov.ph/GEPSNONPILOT/Tender/SplashBidNoticeAbstractUI.aspx?menuIndex=3&amp;refID=7200594&amp;Result=3","7200594")</f>
        <v>0</v>
      </c>
      <c r="B2727" t="s">
        <v>234</v>
      </c>
      <c r="C2727" t="s">
        <v>6485</v>
      </c>
      <c r="D2727" t="s">
        <v>19052</v>
      </c>
      <c r="E2727" t="s">
        <v>21572</v>
      </c>
      <c r="F2727" t="s">
        <v>32606</v>
      </c>
      <c r="G2727" t="s">
        <v>32613</v>
      </c>
      <c r="H2727" t="s">
        <v>14201</v>
      </c>
      <c r="I2727" t="s">
        <v>4112</v>
      </c>
      <c r="J2727" t="s">
        <v>32759</v>
      </c>
      <c r="K2727" t="s">
        <v>42639</v>
      </c>
      <c r="M2727" t="s">
        <v>43135</v>
      </c>
      <c r="N2727" t="s">
        <v>47304</v>
      </c>
      <c r="O2727" t="s">
        <v>47305</v>
      </c>
      <c r="P2727">
        <v>0</v>
      </c>
      <c r="Q2727">
        <v>0</v>
      </c>
      <c r="R2727" t="s">
        <v>47307</v>
      </c>
      <c r="S2727" t="s">
        <v>47416</v>
      </c>
      <c r="T2727" t="s">
        <v>48999</v>
      </c>
      <c r="U2727" t="s">
        <v>51942</v>
      </c>
      <c r="V2727" t="s">
        <v>62641</v>
      </c>
      <c r="W2727" t="s">
        <v>43135</v>
      </c>
      <c r="X2727" t="s">
        <v>47306</v>
      </c>
    </row>
    <row r="2728" spans="1:24">
      <c r="A2728">
        <f>HYPERLINK("https://www.philgeps.gov.ph/GEPSNONPILOT/Tender/SplashBidNoticeAbstractUI.aspx?menuIndex=3&amp;refID=7200729&amp;Result=3","7200729")</f>
        <v>0</v>
      </c>
      <c r="B2728" t="s">
        <v>1176</v>
      </c>
      <c r="C2728" t="s">
        <v>4862</v>
      </c>
      <c r="D2728" t="s">
        <v>19022</v>
      </c>
      <c r="E2728" t="s">
        <v>21573</v>
      </c>
      <c r="F2728" t="s">
        <v>32607</v>
      </c>
      <c r="G2728" t="s">
        <v>32614</v>
      </c>
      <c r="H2728" t="s">
        <v>14201</v>
      </c>
      <c r="I2728" t="s">
        <v>4120</v>
      </c>
      <c r="J2728" t="s">
        <v>34686</v>
      </c>
      <c r="K2728" t="s">
        <v>42624</v>
      </c>
      <c r="M2728" t="s">
        <v>44139</v>
      </c>
      <c r="N2728" t="s">
        <v>47304</v>
      </c>
      <c r="O2728" t="s">
        <v>47305</v>
      </c>
      <c r="P2728">
        <v>0</v>
      </c>
      <c r="Q2728">
        <v>0</v>
      </c>
      <c r="R2728" t="s">
        <v>47307</v>
      </c>
      <c r="S2728" t="s">
        <v>47416</v>
      </c>
      <c r="T2728" t="s">
        <v>49219</v>
      </c>
      <c r="U2728" t="s">
        <v>51943</v>
      </c>
      <c r="W2728" t="s">
        <v>44139</v>
      </c>
      <c r="X2728" t="s">
        <v>47306</v>
      </c>
    </row>
    <row r="2729" spans="1:24">
      <c r="A2729">
        <f>HYPERLINK("https://www.philgeps.gov.ph/GEPSNONPILOT/Tender/SplashBidNoticeAbstractUI.aspx?menuIndex=3&amp;refID=7200727&amp;Result=3","7200727")</f>
        <v>0</v>
      </c>
      <c r="B2729" t="s">
        <v>1172</v>
      </c>
      <c r="C2729" t="s">
        <v>6486</v>
      </c>
      <c r="D2729" t="s">
        <v>19072</v>
      </c>
      <c r="E2729" t="s">
        <v>21574</v>
      </c>
      <c r="F2729" t="s">
        <v>32606</v>
      </c>
      <c r="G2729" t="s">
        <v>32614</v>
      </c>
      <c r="H2729" t="s">
        <v>14201</v>
      </c>
      <c r="I2729" t="s">
        <v>4112</v>
      </c>
      <c r="J2729" t="s">
        <v>34687</v>
      </c>
      <c r="K2729" t="s">
        <v>42630</v>
      </c>
      <c r="M2729" t="s">
        <v>44135</v>
      </c>
      <c r="N2729" t="s">
        <v>47304</v>
      </c>
      <c r="O2729" t="s">
        <v>47305</v>
      </c>
      <c r="P2729">
        <v>0</v>
      </c>
      <c r="Q2729">
        <v>0</v>
      </c>
      <c r="R2729" t="s">
        <v>47307</v>
      </c>
      <c r="S2729" t="s">
        <v>47416</v>
      </c>
      <c r="T2729" t="s">
        <v>49023</v>
      </c>
      <c r="U2729" t="s">
        <v>51932</v>
      </c>
      <c r="W2729" t="s">
        <v>44135</v>
      </c>
      <c r="X2729" t="s">
        <v>47306</v>
      </c>
    </row>
    <row r="2730" spans="1:24">
      <c r="A2730">
        <f>HYPERLINK("https://www.philgeps.gov.ph/GEPSNONPILOT/Tender/SplashBidNoticeAbstractUI.aspx?menuIndex=3&amp;refID=7200674&amp;Result=3","7200674")</f>
        <v>0</v>
      </c>
      <c r="B2730" t="s">
        <v>644</v>
      </c>
      <c r="C2730" t="s">
        <v>6487</v>
      </c>
      <c r="D2730" t="s">
        <v>19022</v>
      </c>
      <c r="E2730" t="s">
        <v>6487</v>
      </c>
      <c r="F2730" t="s">
        <v>32606</v>
      </c>
      <c r="G2730" t="s">
        <v>32615</v>
      </c>
      <c r="H2730" t="s">
        <v>14201</v>
      </c>
      <c r="I2730" t="s">
        <v>7677</v>
      </c>
      <c r="J2730" t="s">
        <v>34688</v>
      </c>
      <c r="K2730" t="s">
        <v>42624</v>
      </c>
      <c r="M2730" t="s">
        <v>44072</v>
      </c>
      <c r="N2730" t="s">
        <v>47304</v>
      </c>
      <c r="O2730" t="s">
        <v>47305</v>
      </c>
      <c r="P2730">
        <v>0</v>
      </c>
      <c r="Q2730">
        <v>0</v>
      </c>
      <c r="R2730" t="s">
        <v>47307</v>
      </c>
      <c r="S2730" t="s">
        <v>47416</v>
      </c>
      <c r="T2730" t="s">
        <v>49093</v>
      </c>
      <c r="U2730" t="s">
        <v>51944</v>
      </c>
      <c r="W2730" t="s">
        <v>44072</v>
      </c>
      <c r="X2730" t="s">
        <v>47306</v>
      </c>
    </row>
    <row r="2731" spans="1:24">
      <c r="A2731">
        <f>HYPERLINK("https://www.philgeps.gov.ph/GEPSNONPILOT/Tender/SplashBidNoticeAbstractUI.aspx?menuIndex=3&amp;refID=7200724&amp;Result=3","7200724")</f>
        <v>0</v>
      </c>
      <c r="B2731" t="s">
        <v>913</v>
      </c>
      <c r="C2731" t="s">
        <v>6488</v>
      </c>
      <c r="D2731" t="s">
        <v>19046</v>
      </c>
      <c r="E2731" t="s">
        <v>21575</v>
      </c>
      <c r="F2731" t="s">
        <v>32606</v>
      </c>
      <c r="G2731" t="s">
        <v>32613</v>
      </c>
      <c r="H2731" t="s">
        <v>14201</v>
      </c>
      <c r="I2731" t="s">
        <v>32634</v>
      </c>
      <c r="J2731" t="s">
        <v>33341</v>
      </c>
      <c r="K2731" t="s">
        <v>42623</v>
      </c>
      <c r="M2731" t="s">
        <v>43852</v>
      </c>
      <c r="N2731" t="s">
        <v>47304</v>
      </c>
      <c r="O2731" t="s">
        <v>47305</v>
      </c>
      <c r="P2731">
        <v>0</v>
      </c>
      <c r="Q2731">
        <v>0</v>
      </c>
      <c r="R2731" t="s">
        <v>47307</v>
      </c>
      <c r="S2731" t="s">
        <v>47416</v>
      </c>
      <c r="T2731" t="s">
        <v>49094</v>
      </c>
      <c r="U2731" t="s">
        <v>51945</v>
      </c>
      <c r="W2731" t="s">
        <v>43852</v>
      </c>
      <c r="X2731" t="s">
        <v>47306</v>
      </c>
    </row>
    <row r="2732" spans="1:24">
      <c r="A2732">
        <f>HYPERLINK("https://www.philgeps.gov.ph/GEPSNONPILOT/Tender/SplashBidNoticeAbstractUI.aspx?menuIndex=3&amp;refID=7200723&amp;Result=3","7200723")</f>
        <v>0</v>
      </c>
      <c r="B2732" t="s">
        <v>1172</v>
      </c>
      <c r="C2732" t="s">
        <v>6486</v>
      </c>
      <c r="D2732" t="s">
        <v>19072</v>
      </c>
      <c r="E2732" t="s">
        <v>21576</v>
      </c>
      <c r="F2732" t="s">
        <v>32606</v>
      </c>
      <c r="G2732" t="s">
        <v>32614</v>
      </c>
      <c r="H2732" t="s">
        <v>14201</v>
      </c>
      <c r="I2732" t="s">
        <v>4112</v>
      </c>
      <c r="J2732" t="s">
        <v>34687</v>
      </c>
      <c r="K2732" t="s">
        <v>42630</v>
      </c>
      <c r="M2732" t="s">
        <v>44135</v>
      </c>
      <c r="N2732" t="s">
        <v>47304</v>
      </c>
      <c r="O2732" t="s">
        <v>47305</v>
      </c>
      <c r="P2732">
        <v>0</v>
      </c>
      <c r="Q2732">
        <v>0</v>
      </c>
      <c r="R2732" t="s">
        <v>47307</v>
      </c>
      <c r="S2732" t="s">
        <v>47416</v>
      </c>
      <c r="T2732" t="s">
        <v>49023</v>
      </c>
      <c r="U2732" t="s">
        <v>51932</v>
      </c>
      <c r="W2732" t="s">
        <v>44135</v>
      </c>
      <c r="X2732" t="s">
        <v>47306</v>
      </c>
    </row>
    <row r="2733" spans="1:24">
      <c r="A2733">
        <f>HYPERLINK("https://www.philgeps.gov.ph/GEPSNONPILOT/Tender/SplashBidNoticeAbstractUI.aspx?menuIndex=3&amp;refID=7200718&amp;Result=3","7200718")</f>
        <v>0</v>
      </c>
      <c r="B2733" t="s">
        <v>1177</v>
      </c>
      <c r="C2733" t="s">
        <v>6489</v>
      </c>
      <c r="D2733" t="s">
        <v>18994</v>
      </c>
      <c r="E2733" t="s">
        <v>19833</v>
      </c>
      <c r="F2733" t="s">
        <v>32606</v>
      </c>
      <c r="G2733" t="s">
        <v>32613</v>
      </c>
      <c r="H2733" t="s">
        <v>14201</v>
      </c>
      <c r="I2733" t="s">
        <v>6931</v>
      </c>
      <c r="J2733" t="s">
        <v>34689</v>
      </c>
      <c r="K2733" t="s">
        <v>42631</v>
      </c>
      <c r="M2733" t="s">
        <v>44140</v>
      </c>
      <c r="N2733" t="s">
        <v>47304</v>
      </c>
      <c r="O2733" t="s">
        <v>47305</v>
      </c>
      <c r="P2733">
        <v>0</v>
      </c>
      <c r="Q2733">
        <v>0</v>
      </c>
      <c r="R2733" t="s">
        <v>47307</v>
      </c>
      <c r="S2733" t="s">
        <v>47416</v>
      </c>
      <c r="T2733" t="s">
        <v>49082</v>
      </c>
      <c r="U2733" t="s">
        <v>51946</v>
      </c>
      <c r="W2733" t="s">
        <v>44140</v>
      </c>
      <c r="X2733" t="s">
        <v>47306</v>
      </c>
    </row>
    <row r="2734" spans="1:24">
      <c r="A2734">
        <f>HYPERLINK("https://www.philgeps.gov.ph/GEPSNONPILOT/Tender/SplashBidNoticeAbstractUI.aspx?menuIndex=3&amp;refID=7200717&amp;Result=3","7200717")</f>
        <v>0</v>
      </c>
      <c r="B2734" t="s">
        <v>1178</v>
      </c>
      <c r="C2734" t="s">
        <v>6490</v>
      </c>
      <c r="D2734" t="s">
        <v>19039</v>
      </c>
      <c r="E2734" t="s">
        <v>19312</v>
      </c>
      <c r="F2734" t="s">
        <v>32606</v>
      </c>
      <c r="G2734" t="s">
        <v>32619</v>
      </c>
      <c r="H2734" t="s">
        <v>14201</v>
      </c>
      <c r="I2734" t="s">
        <v>4114</v>
      </c>
      <c r="J2734" t="s">
        <v>34690</v>
      </c>
      <c r="K2734" t="s">
        <v>42629</v>
      </c>
      <c r="M2734" t="s">
        <v>44141</v>
      </c>
      <c r="N2734" t="s">
        <v>47304</v>
      </c>
      <c r="O2734" t="s">
        <v>47305</v>
      </c>
      <c r="P2734">
        <v>0</v>
      </c>
      <c r="Q2734">
        <v>0</v>
      </c>
      <c r="R2734" t="s">
        <v>47307</v>
      </c>
      <c r="S2734" t="s">
        <v>47416</v>
      </c>
      <c r="T2734" t="s">
        <v>49087</v>
      </c>
      <c r="U2734" t="s">
        <v>51947</v>
      </c>
      <c r="V2734" t="s">
        <v>62949</v>
      </c>
      <c r="W2734" t="s">
        <v>44141</v>
      </c>
      <c r="X2734" t="s">
        <v>47306</v>
      </c>
    </row>
    <row r="2735" spans="1:24">
      <c r="A2735">
        <f>HYPERLINK("https://www.philgeps.gov.ph/GEPSNONPILOT/Tender/SplashBidNoticeAbstractUI.aspx?menuIndex=3&amp;refID=7200716&amp;Result=3","7200716")</f>
        <v>0</v>
      </c>
      <c r="B2735" t="s">
        <v>1172</v>
      </c>
      <c r="C2735" t="s">
        <v>6486</v>
      </c>
      <c r="D2735" t="s">
        <v>19072</v>
      </c>
      <c r="E2735" t="s">
        <v>21577</v>
      </c>
      <c r="F2735" t="s">
        <v>32606</v>
      </c>
      <c r="G2735" t="s">
        <v>32614</v>
      </c>
      <c r="H2735" t="s">
        <v>14201</v>
      </c>
      <c r="I2735" t="s">
        <v>4112</v>
      </c>
      <c r="J2735" t="s">
        <v>34687</v>
      </c>
      <c r="K2735" t="s">
        <v>42630</v>
      </c>
      <c r="M2735" t="s">
        <v>44135</v>
      </c>
      <c r="N2735" t="s">
        <v>47304</v>
      </c>
      <c r="O2735" t="s">
        <v>47305</v>
      </c>
      <c r="P2735">
        <v>0</v>
      </c>
      <c r="Q2735">
        <v>0</v>
      </c>
      <c r="R2735" t="s">
        <v>47307</v>
      </c>
      <c r="S2735" t="s">
        <v>47416</v>
      </c>
      <c r="T2735" t="s">
        <v>49023</v>
      </c>
      <c r="U2735" t="s">
        <v>51932</v>
      </c>
      <c r="W2735" t="s">
        <v>44135</v>
      </c>
      <c r="X2735" t="s">
        <v>47306</v>
      </c>
    </row>
    <row r="2736" spans="1:24">
      <c r="A2736">
        <f>HYPERLINK("https://www.philgeps.gov.ph/GEPSNONPILOT/Tender/SplashBidNoticeAbstractUI.aspx?menuIndex=3&amp;refID=7200720&amp;Result=3","7200720")</f>
        <v>0</v>
      </c>
      <c r="B2736" t="s">
        <v>1172</v>
      </c>
      <c r="C2736" t="s">
        <v>6486</v>
      </c>
      <c r="D2736" t="s">
        <v>19072</v>
      </c>
      <c r="E2736" t="s">
        <v>21578</v>
      </c>
      <c r="F2736" t="s">
        <v>32606</v>
      </c>
      <c r="G2736" t="s">
        <v>32614</v>
      </c>
      <c r="H2736" t="s">
        <v>14201</v>
      </c>
      <c r="I2736" t="s">
        <v>4112</v>
      </c>
      <c r="J2736" t="s">
        <v>34687</v>
      </c>
      <c r="K2736" t="s">
        <v>42630</v>
      </c>
      <c r="M2736" t="s">
        <v>44135</v>
      </c>
      <c r="N2736" t="s">
        <v>47304</v>
      </c>
      <c r="O2736" t="s">
        <v>47305</v>
      </c>
      <c r="P2736">
        <v>0</v>
      </c>
      <c r="Q2736">
        <v>0</v>
      </c>
      <c r="R2736" t="s">
        <v>47307</v>
      </c>
      <c r="S2736" t="s">
        <v>47416</v>
      </c>
      <c r="T2736" t="s">
        <v>49023</v>
      </c>
      <c r="U2736" t="s">
        <v>51932</v>
      </c>
      <c r="W2736" t="s">
        <v>44135</v>
      </c>
      <c r="X2736" t="s">
        <v>47306</v>
      </c>
    </row>
    <row r="2737" spans="1:24">
      <c r="A2737">
        <f>HYPERLINK("https://www.philgeps.gov.ph/GEPSNONPILOT/Tender/SplashBidNoticeAbstractUI.aspx?menuIndex=3&amp;refID=7200714&amp;Result=3","7200714")</f>
        <v>0</v>
      </c>
      <c r="B2737" t="s">
        <v>1169</v>
      </c>
      <c r="C2737" t="s">
        <v>6491</v>
      </c>
      <c r="D2737" t="s">
        <v>19003</v>
      </c>
      <c r="E2737" t="s">
        <v>21579</v>
      </c>
      <c r="F2737" t="s">
        <v>32606</v>
      </c>
      <c r="G2737" t="s">
        <v>32614</v>
      </c>
      <c r="H2737" t="s">
        <v>14201</v>
      </c>
      <c r="I2737" t="s">
        <v>32633</v>
      </c>
      <c r="J2737" t="s">
        <v>34691</v>
      </c>
      <c r="K2737" t="s">
        <v>42630</v>
      </c>
      <c r="M2737" t="s">
        <v>44132</v>
      </c>
      <c r="N2737" t="s">
        <v>47304</v>
      </c>
      <c r="O2737" t="s">
        <v>47305</v>
      </c>
      <c r="P2737">
        <v>0</v>
      </c>
      <c r="Q2737">
        <v>0</v>
      </c>
      <c r="R2737" t="s">
        <v>47307</v>
      </c>
      <c r="S2737" t="s">
        <v>47416</v>
      </c>
      <c r="T2737" t="s">
        <v>49107</v>
      </c>
      <c r="U2737" t="s">
        <v>51948</v>
      </c>
      <c r="V2737" t="s">
        <v>62947</v>
      </c>
      <c r="W2737" t="s">
        <v>44132</v>
      </c>
      <c r="X2737" t="s">
        <v>47306</v>
      </c>
    </row>
    <row r="2738" spans="1:24">
      <c r="A2738">
        <f>HYPERLINK("https://www.philgeps.gov.ph/GEPSNONPILOT/Tender/SplashBidNoticeAbstractUI.aspx?menuIndex=3&amp;refID=7200725&amp;Result=3","7200725")</f>
        <v>0</v>
      </c>
      <c r="B2738" t="s">
        <v>1172</v>
      </c>
      <c r="C2738" t="s">
        <v>6486</v>
      </c>
      <c r="D2738" t="s">
        <v>19072</v>
      </c>
      <c r="E2738" t="s">
        <v>21580</v>
      </c>
      <c r="F2738" t="s">
        <v>32606</v>
      </c>
      <c r="G2738" t="s">
        <v>32614</v>
      </c>
      <c r="H2738" t="s">
        <v>14201</v>
      </c>
      <c r="I2738" t="s">
        <v>4112</v>
      </c>
      <c r="J2738" t="s">
        <v>34687</v>
      </c>
      <c r="K2738" t="s">
        <v>42630</v>
      </c>
      <c r="M2738" t="s">
        <v>44135</v>
      </c>
      <c r="N2738" t="s">
        <v>47304</v>
      </c>
      <c r="O2738" t="s">
        <v>47305</v>
      </c>
      <c r="P2738">
        <v>0</v>
      </c>
      <c r="Q2738">
        <v>0</v>
      </c>
      <c r="R2738" t="s">
        <v>47307</v>
      </c>
      <c r="S2738" t="s">
        <v>47416</v>
      </c>
      <c r="T2738" t="s">
        <v>49023</v>
      </c>
      <c r="U2738" t="s">
        <v>51932</v>
      </c>
      <c r="W2738" t="s">
        <v>44135</v>
      </c>
      <c r="X2738" t="s">
        <v>47306</v>
      </c>
    </row>
    <row r="2739" spans="1:24">
      <c r="A2739">
        <f>HYPERLINK("https://www.philgeps.gov.ph/GEPSNONPILOT/Tender/SplashBidNoticeAbstractUI.aspx?menuIndex=3&amp;refID=7200713&amp;Result=3","7200713")</f>
        <v>0</v>
      </c>
      <c r="B2739" t="s">
        <v>1179</v>
      </c>
      <c r="C2739" t="s">
        <v>6492</v>
      </c>
      <c r="D2739" t="s">
        <v>18993</v>
      </c>
      <c r="E2739" t="s">
        <v>21581</v>
      </c>
      <c r="F2739" t="s">
        <v>32606</v>
      </c>
      <c r="G2739" t="s">
        <v>32613</v>
      </c>
      <c r="H2739" t="s">
        <v>14201</v>
      </c>
      <c r="I2739" t="s">
        <v>6298</v>
      </c>
      <c r="J2739" t="s">
        <v>34692</v>
      </c>
      <c r="K2739" t="s">
        <v>42631</v>
      </c>
      <c r="M2739" t="s">
        <v>44142</v>
      </c>
      <c r="N2739" t="s">
        <v>47304</v>
      </c>
      <c r="O2739" t="s">
        <v>47305</v>
      </c>
      <c r="P2739">
        <v>0</v>
      </c>
      <c r="Q2739">
        <v>0</v>
      </c>
      <c r="R2739" t="s">
        <v>47307</v>
      </c>
      <c r="S2739" t="s">
        <v>47416</v>
      </c>
      <c r="T2739" t="s">
        <v>49238</v>
      </c>
      <c r="U2739" t="s">
        <v>51949</v>
      </c>
      <c r="W2739" t="s">
        <v>44142</v>
      </c>
      <c r="X2739" t="s">
        <v>47306</v>
      </c>
    </row>
    <row r="2740" spans="1:24">
      <c r="A2740">
        <f>HYPERLINK("https://www.philgeps.gov.ph/GEPSNONPILOT/Tender/SplashBidNoticeAbstractUI.aspx?menuIndex=3&amp;refID=7200711&amp;Result=3","7200711")</f>
        <v>0</v>
      </c>
      <c r="B2740" t="s">
        <v>146</v>
      </c>
      <c r="C2740" t="s">
        <v>6493</v>
      </c>
      <c r="D2740" t="s">
        <v>19011</v>
      </c>
      <c r="E2740" t="s">
        <v>21582</v>
      </c>
      <c r="F2740" t="s">
        <v>32606</v>
      </c>
      <c r="G2740" t="s">
        <v>32613</v>
      </c>
      <c r="H2740" t="s">
        <v>14201</v>
      </c>
      <c r="I2740" t="s">
        <v>7064</v>
      </c>
      <c r="J2740" t="s">
        <v>32861</v>
      </c>
      <c r="K2740" t="s">
        <v>42631</v>
      </c>
      <c r="M2740" t="s">
        <v>43047</v>
      </c>
      <c r="N2740" t="s">
        <v>47304</v>
      </c>
      <c r="O2740" t="s">
        <v>47305</v>
      </c>
      <c r="P2740">
        <v>0</v>
      </c>
      <c r="Q2740">
        <v>1</v>
      </c>
      <c r="R2740" t="s">
        <v>47307</v>
      </c>
      <c r="S2740" t="s">
        <v>47416</v>
      </c>
      <c r="T2740" t="s">
        <v>48990</v>
      </c>
      <c r="U2740" t="s">
        <v>51950</v>
      </c>
      <c r="V2740" t="s">
        <v>62679</v>
      </c>
      <c r="W2740" t="s">
        <v>43047</v>
      </c>
      <c r="X2740" t="s">
        <v>47306</v>
      </c>
    </row>
    <row r="2741" spans="1:24">
      <c r="A2741">
        <f>HYPERLINK("https://www.philgeps.gov.ph/GEPSNONPILOT/Tender/SplashBidNoticeAbstractUI.aspx?menuIndex=3&amp;refID=7200726&amp;Result=3","7200726")</f>
        <v>0</v>
      </c>
      <c r="B2741" t="s">
        <v>1180</v>
      </c>
      <c r="C2741" t="s">
        <v>6494</v>
      </c>
      <c r="D2741" t="s">
        <v>19055</v>
      </c>
      <c r="E2741" t="s">
        <v>21583</v>
      </c>
      <c r="F2741" t="s">
        <v>32606</v>
      </c>
      <c r="G2741" t="s">
        <v>32613</v>
      </c>
      <c r="H2741" t="s">
        <v>32623</v>
      </c>
      <c r="I2741" t="s">
        <v>32661</v>
      </c>
      <c r="J2741" t="s">
        <v>34693</v>
      </c>
      <c r="K2741" t="s">
        <v>42689</v>
      </c>
      <c r="M2741" t="s">
        <v>44143</v>
      </c>
      <c r="N2741" t="s">
        <v>47304</v>
      </c>
      <c r="O2741" t="s">
        <v>47305</v>
      </c>
      <c r="P2741">
        <v>0</v>
      </c>
      <c r="Q2741">
        <v>0</v>
      </c>
      <c r="R2741" t="s">
        <v>47307</v>
      </c>
      <c r="S2741" t="s">
        <v>47416</v>
      </c>
      <c r="T2741" t="s">
        <v>49041</v>
      </c>
      <c r="U2741" t="s">
        <v>51951</v>
      </c>
      <c r="W2741" t="s">
        <v>44143</v>
      </c>
      <c r="X2741" t="s">
        <v>47306</v>
      </c>
    </row>
    <row r="2742" spans="1:24">
      <c r="A2742">
        <f>HYPERLINK("https://www.philgeps.gov.ph/GEPSNONPILOT/Tender/SplashBidNoticeAbstractUI.aspx?menuIndex=3&amp;refID=7200721&amp;Result=3","7200721")</f>
        <v>0</v>
      </c>
      <c r="B2742" t="s">
        <v>1169</v>
      </c>
      <c r="C2742" t="s">
        <v>6495</v>
      </c>
      <c r="D2742" t="s">
        <v>19003</v>
      </c>
      <c r="E2742" t="s">
        <v>21584</v>
      </c>
      <c r="F2742" t="s">
        <v>32606</v>
      </c>
      <c r="G2742" t="s">
        <v>32614</v>
      </c>
      <c r="H2742" t="s">
        <v>14201</v>
      </c>
      <c r="I2742" t="s">
        <v>6014</v>
      </c>
      <c r="J2742" t="s">
        <v>34694</v>
      </c>
      <c r="K2742" t="s">
        <v>42630</v>
      </c>
      <c r="M2742" t="s">
        <v>44132</v>
      </c>
      <c r="N2742" t="s">
        <v>47304</v>
      </c>
      <c r="O2742" t="s">
        <v>47305</v>
      </c>
      <c r="P2742">
        <v>0</v>
      </c>
      <c r="Q2742">
        <v>0</v>
      </c>
      <c r="R2742" t="s">
        <v>47307</v>
      </c>
      <c r="S2742" t="s">
        <v>47416</v>
      </c>
      <c r="T2742" t="s">
        <v>49107</v>
      </c>
      <c r="U2742" t="s">
        <v>51952</v>
      </c>
      <c r="V2742" t="s">
        <v>62947</v>
      </c>
      <c r="W2742" t="s">
        <v>44132</v>
      </c>
      <c r="X2742" t="s">
        <v>47306</v>
      </c>
    </row>
    <row r="2743" spans="1:24">
      <c r="A2743">
        <f>HYPERLINK("https://www.philgeps.gov.ph/GEPSNONPILOT/Tender/SplashBidNoticeAbstractUI.aspx?menuIndex=3&amp;refID=7200715&amp;Result=3","7200715")</f>
        <v>0</v>
      </c>
      <c r="B2743" t="s">
        <v>1180</v>
      </c>
      <c r="C2743" t="s">
        <v>6496</v>
      </c>
      <c r="D2743" t="s">
        <v>19055</v>
      </c>
      <c r="E2743" t="s">
        <v>21585</v>
      </c>
      <c r="F2743" t="s">
        <v>32606</v>
      </c>
      <c r="G2743" t="s">
        <v>32613</v>
      </c>
      <c r="H2743" t="s">
        <v>32623</v>
      </c>
      <c r="I2743" t="s">
        <v>32683</v>
      </c>
      <c r="J2743" t="s">
        <v>33529</v>
      </c>
      <c r="K2743" t="s">
        <v>42632</v>
      </c>
      <c r="M2743" t="s">
        <v>44143</v>
      </c>
      <c r="N2743" t="s">
        <v>47304</v>
      </c>
      <c r="O2743" t="s">
        <v>47305</v>
      </c>
      <c r="P2743">
        <v>0</v>
      </c>
      <c r="Q2743">
        <v>0</v>
      </c>
      <c r="R2743" t="s">
        <v>47307</v>
      </c>
      <c r="S2743" t="s">
        <v>47416</v>
      </c>
      <c r="T2743" t="s">
        <v>49041</v>
      </c>
      <c r="U2743" t="s">
        <v>51953</v>
      </c>
      <c r="W2743" t="s">
        <v>44143</v>
      </c>
      <c r="X2743" t="s">
        <v>47306</v>
      </c>
    </row>
    <row r="2744" spans="1:24">
      <c r="A2744">
        <f>HYPERLINK("https://www.philgeps.gov.ph/GEPSNONPILOT/Tender/SplashBidNoticeAbstractUI.aspx?menuIndex=3&amp;refID=7200750&amp;Result=3","7200750")</f>
        <v>0</v>
      </c>
      <c r="B2744" t="s">
        <v>1180</v>
      </c>
      <c r="C2744" t="s">
        <v>6497</v>
      </c>
      <c r="D2744" t="s">
        <v>19055</v>
      </c>
      <c r="E2744" t="s">
        <v>21586</v>
      </c>
      <c r="F2744" t="s">
        <v>32606</v>
      </c>
      <c r="G2744" t="s">
        <v>32613</v>
      </c>
      <c r="H2744" t="s">
        <v>32623</v>
      </c>
      <c r="I2744" t="s">
        <v>6931</v>
      </c>
      <c r="J2744" t="s">
        <v>34695</v>
      </c>
      <c r="K2744" t="s">
        <v>42631</v>
      </c>
      <c r="M2744" t="s">
        <v>44143</v>
      </c>
      <c r="N2744" t="s">
        <v>47304</v>
      </c>
      <c r="O2744" t="s">
        <v>47305</v>
      </c>
      <c r="P2744">
        <v>0</v>
      </c>
      <c r="Q2744">
        <v>0</v>
      </c>
      <c r="R2744" t="s">
        <v>47307</v>
      </c>
      <c r="S2744" t="s">
        <v>47416</v>
      </c>
      <c r="T2744" t="s">
        <v>49028</v>
      </c>
      <c r="U2744" t="s">
        <v>51954</v>
      </c>
      <c r="W2744" t="s">
        <v>44143</v>
      </c>
      <c r="X2744" t="s">
        <v>47306</v>
      </c>
    </row>
    <row r="2745" spans="1:24">
      <c r="A2745">
        <f>HYPERLINK("https://www.philgeps.gov.ph/GEPSNONPILOT/Tender/SplashBidNoticeAbstractUI.aspx?menuIndex=3&amp;refID=7200686&amp;Result=3","7200686")</f>
        <v>0</v>
      </c>
      <c r="B2745" t="s">
        <v>913</v>
      </c>
      <c r="C2745" t="s">
        <v>6498</v>
      </c>
      <c r="D2745" t="s">
        <v>19046</v>
      </c>
      <c r="E2745" t="s">
        <v>21587</v>
      </c>
      <c r="F2745" t="s">
        <v>32606</v>
      </c>
      <c r="G2745" t="s">
        <v>32613</v>
      </c>
      <c r="H2745" t="s">
        <v>14201</v>
      </c>
      <c r="I2745" t="s">
        <v>4678</v>
      </c>
      <c r="J2745" t="s">
        <v>34696</v>
      </c>
      <c r="K2745" t="s">
        <v>42623</v>
      </c>
      <c r="M2745" t="s">
        <v>43852</v>
      </c>
      <c r="N2745" t="s">
        <v>47304</v>
      </c>
      <c r="O2745" t="s">
        <v>47305</v>
      </c>
      <c r="P2745">
        <v>0</v>
      </c>
      <c r="Q2745">
        <v>0</v>
      </c>
      <c r="R2745" t="s">
        <v>47307</v>
      </c>
      <c r="S2745" t="s">
        <v>47416</v>
      </c>
      <c r="T2745" t="s">
        <v>49094</v>
      </c>
      <c r="U2745" t="s">
        <v>51955</v>
      </c>
      <c r="W2745" t="s">
        <v>43852</v>
      </c>
      <c r="X2745" t="s">
        <v>47306</v>
      </c>
    </row>
    <row r="2746" spans="1:24">
      <c r="A2746">
        <f>HYPERLINK("https://www.philgeps.gov.ph/GEPSNONPILOT/Tender/SplashBidNoticeAbstractUI.aspx?menuIndex=3&amp;refID=7200748&amp;Result=3","7200748")</f>
        <v>0</v>
      </c>
      <c r="B2746" t="s">
        <v>1181</v>
      </c>
      <c r="C2746" t="s">
        <v>6499</v>
      </c>
      <c r="D2746" t="s">
        <v>19003</v>
      </c>
      <c r="E2746" t="s">
        <v>19318</v>
      </c>
      <c r="F2746" t="s">
        <v>32606</v>
      </c>
      <c r="G2746" t="s">
        <v>32619</v>
      </c>
      <c r="H2746" t="s">
        <v>14201</v>
      </c>
      <c r="I2746" t="s">
        <v>32696</v>
      </c>
      <c r="J2746" t="s">
        <v>33695</v>
      </c>
      <c r="K2746" t="s">
        <v>42630</v>
      </c>
      <c r="M2746" t="s">
        <v>44144</v>
      </c>
      <c r="N2746" t="s">
        <v>47304</v>
      </c>
      <c r="O2746" t="s">
        <v>47305</v>
      </c>
      <c r="P2746">
        <v>0</v>
      </c>
      <c r="Q2746">
        <v>0</v>
      </c>
      <c r="R2746" t="s">
        <v>47307</v>
      </c>
      <c r="S2746" t="s">
        <v>47416</v>
      </c>
      <c r="T2746" t="s">
        <v>49108</v>
      </c>
      <c r="U2746" t="s">
        <v>51956</v>
      </c>
      <c r="W2746" t="s">
        <v>44144</v>
      </c>
      <c r="X2746" t="s">
        <v>47306</v>
      </c>
    </row>
    <row r="2747" spans="1:24">
      <c r="A2747">
        <f>HYPERLINK("https://www.philgeps.gov.ph/GEPSNONPILOT/Tender/SplashBidNoticeAbstractUI.aspx?menuIndex=3&amp;refID=7200746&amp;Result=3","7200746")</f>
        <v>0</v>
      </c>
      <c r="B2747" t="s">
        <v>1172</v>
      </c>
      <c r="C2747" t="s">
        <v>6486</v>
      </c>
      <c r="D2747" t="s">
        <v>19060</v>
      </c>
      <c r="E2747" t="s">
        <v>21588</v>
      </c>
      <c r="F2747" t="s">
        <v>32606</v>
      </c>
      <c r="G2747" t="s">
        <v>32614</v>
      </c>
      <c r="H2747" t="s">
        <v>14201</v>
      </c>
      <c r="I2747" t="s">
        <v>4112</v>
      </c>
      <c r="J2747" t="s">
        <v>34687</v>
      </c>
      <c r="K2747" t="s">
        <v>42630</v>
      </c>
      <c r="M2747" t="s">
        <v>44135</v>
      </c>
      <c r="N2747" t="s">
        <v>47304</v>
      </c>
      <c r="O2747" t="s">
        <v>47305</v>
      </c>
      <c r="P2747">
        <v>0</v>
      </c>
      <c r="Q2747">
        <v>0</v>
      </c>
      <c r="R2747" t="s">
        <v>47307</v>
      </c>
      <c r="S2747" t="s">
        <v>47416</v>
      </c>
      <c r="T2747" t="s">
        <v>49023</v>
      </c>
      <c r="U2747" t="s">
        <v>51932</v>
      </c>
      <c r="W2747" t="s">
        <v>44135</v>
      </c>
      <c r="X2747" t="s">
        <v>47306</v>
      </c>
    </row>
    <row r="2748" spans="1:24">
      <c r="A2748">
        <f>HYPERLINK("https://www.philgeps.gov.ph/GEPSNONPILOT/Tender/SplashBidNoticeAbstractUI.aspx?menuIndex=3&amp;refID=7200745&amp;Result=3","7200745")</f>
        <v>0</v>
      </c>
      <c r="B2748" t="s">
        <v>467</v>
      </c>
      <c r="C2748" t="s">
        <v>6500</v>
      </c>
      <c r="E2748" t="s">
        <v>21589</v>
      </c>
      <c r="F2748" t="s">
        <v>32606</v>
      </c>
      <c r="G2748" t="s">
        <v>32613</v>
      </c>
      <c r="H2748" t="s">
        <v>14201</v>
      </c>
      <c r="I2748" t="s">
        <v>32701</v>
      </c>
      <c r="J2748" t="s">
        <v>34697</v>
      </c>
      <c r="K2748" t="s">
        <v>42624</v>
      </c>
      <c r="M2748" t="s">
        <v>44145</v>
      </c>
      <c r="N2748" t="s">
        <v>47304</v>
      </c>
      <c r="O2748" t="s">
        <v>47305</v>
      </c>
      <c r="P2748">
        <v>0</v>
      </c>
      <c r="Q2748">
        <v>0</v>
      </c>
      <c r="R2748" t="s">
        <v>47307</v>
      </c>
      <c r="S2748" t="s">
        <v>47416</v>
      </c>
      <c r="T2748" t="s">
        <v>49239</v>
      </c>
      <c r="U2748" t="s">
        <v>51957</v>
      </c>
      <c r="W2748" t="s">
        <v>44145</v>
      </c>
      <c r="X2748" t="s">
        <v>47306</v>
      </c>
    </row>
    <row r="2749" spans="1:24">
      <c r="A2749">
        <f>HYPERLINK("https://www.philgeps.gov.ph/GEPSNONPILOT/Tender/SplashBidNoticeAbstractUI.aspx?menuIndex=3&amp;refID=7200613&amp;Result=3","7200613")</f>
        <v>0</v>
      </c>
      <c r="B2749" t="s">
        <v>1159</v>
      </c>
      <c r="C2749" t="s">
        <v>5876</v>
      </c>
      <c r="D2749" t="s">
        <v>19006</v>
      </c>
      <c r="E2749" t="s">
        <v>21590</v>
      </c>
      <c r="F2749" t="s">
        <v>32607</v>
      </c>
      <c r="G2749" t="s">
        <v>32614</v>
      </c>
      <c r="H2749" t="s">
        <v>14201</v>
      </c>
      <c r="I2749" t="s">
        <v>32671</v>
      </c>
      <c r="J2749" t="s">
        <v>34653</v>
      </c>
      <c r="K2749" t="s">
        <v>42630</v>
      </c>
      <c r="M2749" t="s">
        <v>44122</v>
      </c>
      <c r="N2749" t="s">
        <v>47304</v>
      </c>
      <c r="O2749" t="s">
        <v>47305</v>
      </c>
      <c r="P2749">
        <v>0</v>
      </c>
      <c r="Q2749">
        <v>0</v>
      </c>
      <c r="R2749" t="s">
        <v>47307</v>
      </c>
      <c r="S2749" t="s">
        <v>47416</v>
      </c>
      <c r="T2749" t="s">
        <v>48971</v>
      </c>
      <c r="U2749" t="s">
        <v>51847</v>
      </c>
      <c r="V2749" t="s">
        <v>62874</v>
      </c>
      <c r="W2749" t="s">
        <v>44122</v>
      </c>
      <c r="X2749" t="s">
        <v>47306</v>
      </c>
    </row>
    <row r="2750" spans="1:24">
      <c r="A2750">
        <f>HYPERLINK("https://www.philgeps.gov.ph/GEPSNONPILOT/Tender/SplashBidNoticeAbstractUI.aspx?menuIndex=3&amp;refID=7200710&amp;Result=3","7200710")</f>
        <v>0</v>
      </c>
      <c r="B2750" t="s">
        <v>1182</v>
      </c>
      <c r="C2750" t="s">
        <v>6501</v>
      </c>
      <c r="D2750" t="s">
        <v>19018</v>
      </c>
      <c r="E2750" t="s">
        <v>21591</v>
      </c>
      <c r="F2750" t="s">
        <v>32606</v>
      </c>
      <c r="G2750" t="s">
        <v>32613</v>
      </c>
      <c r="H2750" t="s">
        <v>14201</v>
      </c>
      <c r="I2750" t="s">
        <v>32640</v>
      </c>
      <c r="J2750" t="s">
        <v>34698</v>
      </c>
      <c r="K2750" t="s">
        <v>42639</v>
      </c>
      <c r="M2750" t="s">
        <v>44146</v>
      </c>
      <c r="N2750" t="s">
        <v>47304</v>
      </c>
      <c r="O2750" t="s">
        <v>47305</v>
      </c>
      <c r="P2750">
        <v>0</v>
      </c>
      <c r="Q2750">
        <v>0</v>
      </c>
      <c r="R2750" t="s">
        <v>47307</v>
      </c>
      <c r="S2750" t="s">
        <v>47416</v>
      </c>
      <c r="T2750" t="s">
        <v>49119</v>
      </c>
      <c r="U2750" t="s">
        <v>51958</v>
      </c>
      <c r="V2750" t="s">
        <v>62950</v>
      </c>
      <c r="W2750" t="s">
        <v>44146</v>
      </c>
      <c r="X2750" t="s">
        <v>47306</v>
      </c>
    </row>
    <row r="2751" spans="1:24">
      <c r="A2751">
        <f>HYPERLINK("https://www.philgeps.gov.ph/GEPSNONPILOT/Tender/SplashBidNoticeAbstractUI.aspx?menuIndex=3&amp;refID=7200749&amp;Result=3","7200749")</f>
        <v>0</v>
      </c>
      <c r="B2751" t="s">
        <v>1172</v>
      </c>
      <c r="C2751" t="s">
        <v>6486</v>
      </c>
      <c r="D2751" t="s">
        <v>18998</v>
      </c>
      <c r="E2751" t="s">
        <v>21592</v>
      </c>
      <c r="F2751" t="s">
        <v>32606</v>
      </c>
      <c r="G2751" t="s">
        <v>32614</v>
      </c>
      <c r="H2751" t="s">
        <v>14201</v>
      </c>
      <c r="I2751" t="s">
        <v>4112</v>
      </c>
      <c r="J2751" t="s">
        <v>34687</v>
      </c>
      <c r="K2751" t="s">
        <v>42630</v>
      </c>
      <c r="M2751" t="s">
        <v>44135</v>
      </c>
      <c r="N2751" t="s">
        <v>47304</v>
      </c>
      <c r="O2751" t="s">
        <v>47305</v>
      </c>
      <c r="P2751">
        <v>0</v>
      </c>
      <c r="Q2751">
        <v>0</v>
      </c>
      <c r="R2751" t="s">
        <v>47307</v>
      </c>
      <c r="S2751" t="s">
        <v>47416</v>
      </c>
      <c r="T2751" t="s">
        <v>49023</v>
      </c>
      <c r="U2751" t="s">
        <v>51932</v>
      </c>
      <c r="W2751" t="s">
        <v>44135</v>
      </c>
      <c r="X2751" t="s">
        <v>47306</v>
      </c>
    </row>
    <row r="2752" spans="1:24">
      <c r="A2752">
        <f>HYPERLINK("https://www.philgeps.gov.ph/GEPSNONPILOT/Tender/SplashBidNoticeAbstractUI.aspx?menuIndex=3&amp;refID=7200739&amp;Result=3","7200739")</f>
        <v>0</v>
      </c>
      <c r="B2752" t="s">
        <v>1172</v>
      </c>
      <c r="C2752" t="s">
        <v>6486</v>
      </c>
      <c r="D2752" t="s">
        <v>19064</v>
      </c>
      <c r="E2752" t="s">
        <v>21593</v>
      </c>
      <c r="F2752" t="s">
        <v>32606</v>
      </c>
      <c r="G2752" t="s">
        <v>32614</v>
      </c>
      <c r="H2752" t="s">
        <v>14201</v>
      </c>
      <c r="I2752" t="s">
        <v>4112</v>
      </c>
      <c r="J2752" t="s">
        <v>34687</v>
      </c>
      <c r="K2752" t="s">
        <v>42630</v>
      </c>
      <c r="M2752" t="s">
        <v>44135</v>
      </c>
      <c r="N2752" t="s">
        <v>47304</v>
      </c>
      <c r="O2752" t="s">
        <v>47305</v>
      </c>
      <c r="P2752">
        <v>0</v>
      </c>
      <c r="Q2752">
        <v>0</v>
      </c>
      <c r="R2752" t="s">
        <v>47307</v>
      </c>
      <c r="S2752" t="s">
        <v>47416</v>
      </c>
      <c r="T2752" t="s">
        <v>49023</v>
      </c>
      <c r="U2752" t="s">
        <v>51932</v>
      </c>
      <c r="W2752" t="s">
        <v>44135</v>
      </c>
      <c r="X2752" t="s">
        <v>47306</v>
      </c>
    </row>
    <row r="2753" spans="1:24">
      <c r="A2753">
        <f>HYPERLINK("https://www.philgeps.gov.ph/GEPSNONPILOT/Tender/SplashBidNoticeAbstractUI.aspx?menuIndex=3&amp;refID=7200747&amp;Result=3","7200747")</f>
        <v>0</v>
      </c>
      <c r="B2753" t="s">
        <v>1176</v>
      </c>
      <c r="C2753" t="s">
        <v>6502</v>
      </c>
      <c r="D2753" t="s">
        <v>19022</v>
      </c>
      <c r="E2753" t="s">
        <v>21594</v>
      </c>
      <c r="F2753" t="s">
        <v>32607</v>
      </c>
      <c r="G2753" t="s">
        <v>32614</v>
      </c>
      <c r="H2753" t="s">
        <v>14201</v>
      </c>
      <c r="I2753" t="s">
        <v>7577</v>
      </c>
      <c r="J2753" t="s">
        <v>34699</v>
      </c>
      <c r="K2753" t="s">
        <v>42624</v>
      </c>
      <c r="M2753" t="s">
        <v>44139</v>
      </c>
      <c r="N2753" t="s">
        <v>47304</v>
      </c>
      <c r="O2753" t="s">
        <v>47305</v>
      </c>
      <c r="P2753">
        <v>0</v>
      </c>
      <c r="Q2753">
        <v>0</v>
      </c>
      <c r="R2753" t="s">
        <v>47307</v>
      </c>
      <c r="S2753" t="s">
        <v>47416</v>
      </c>
      <c r="T2753" t="s">
        <v>49219</v>
      </c>
      <c r="U2753" t="s">
        <v>51959</v>
      </c>
      <c r="W2753" t="s">
        <v>44139</v>
      </c>
      <c r="X2753" t="s">
        <v>47306</v>
      </c>
    </row>
    <row r="2754" spans="1:24">
      <c r="A2754">
        <f>HYPERLINK("https://www.philgeps.gov.ph/GEPSNONPILOT/Tender/SplashBidNoticeAbstractUI.aspx?menuIndex=3&amp;refID=7200738&amp;Result=3","7200738")</f>
        <v>0</v>
      </c>
      <c r="B2754" t="s">
        <v>1172</v>
      </c>
      <c r="C2754" t="s">
        <v>6486</v>
      </c>
      <c r="D2754" t="s">
        <v>19064</v>
      </c>
      <c r="E2754" t="s">
        <v>21595</v>
      </c>
      <c r="F2754" t="s">
        <v>32606</v>
      </c>
      <c r="G2754" t="s">
        <v>32614</v>
      </c>
      <c r="H2754" t="s">
        <v>14201</v>
      </c>
      <c r="I2754" t="s">
        <v>4112</v>
      </c>
      <c r="J2754" t="s">
        <v>34687</v>
      </c>
      <c r="K2754" t="s">
        <v>42630</v>
      </c>
      <c r="M2754" t="s">
        <v>44135</v>
      </c>
      <c r="N2754" t="s">
        <v>47304</v>
      </c>
      <c r="O2754" t="s">
        <v>47305</v>
      </c>
      <c r="P2754">
        <v>0</v>
      </c>
      <c r="Q2754">
        <v>0</v>
      </c>
      <c r="R2754" t="s">
        <v>47307</v>
      </c>
      <c r="S2754" t="s">
        <v>47416</v>
      </c>
      <c r="T2754" t="s">
        <v>49023</v>
      </c>
      <c r="U2754" t="s">
        <v>51932</v>
      </c>
      <c r="W2754" t="s">
        <v>44135</v>
      </c>
      <c r="X2754" t="s">
        <v>47306</v>
      </c>
    </row>
    <row r="2755" spans="1:24">
      <c r="A2755">
        <f>HYPERLINK("https://www.philgeps.gov.ph/GEPSNONPILOT/Tender/SplashBidNoticeAbstractUI.aspx?menuIndex=3&amp;refID=7200744&amp;Result=3","7200744")</f>
        <v>0</v>
      </c>
      <c r="B2755" t="s">
        <v>1172</v>
      </c>
      <c r="C2755" t="s">
        <v>6486</v>
      </c>
      <c r="D2755" t="s">
        <v>19066</v>
      </c>
      <c r="E2755" t="s">
        <v>21596</v>
      </c>
      <c r="F2755" t="s">
        <v>32606</v>
      </c>
      <c r="G2755" t="s">
        <v>32614</v>
      </c>
      <c r="H2755" t="s">
        <v>14201</v>
      </c>
      <c r="I2755" t="s">
        <v>4112</v>
      </c>
      <c r="J2755" t="s">
        <v>34687</v>
      </c>
      <c r="K2755" t="s">
        <v>42630</v>
      </c>
      <c r="M2755" t="s">
        <v>44135</v>
      </c>
      <c r="N2755" t="s">
        <v>47304</v>
      </c>
      <c r="O2755" t="s">
        <v>47305</v>
      </c>
      <c r="P2755">
        <v>0</v>
      </c>
      <c r="Q2755">
        <v>0</v>
      </c>
      <c r="R2755" t="s">
        <v>47307</v>
      </c>
      <c r="S2755" t="s">
        <v>47416</v>
      </c>
      <c r="T2755" t="s">
        <v>49023</v>
      </c>
      <c r="U2755" t="s">
        <v>51932</v>
      </c>
      <c r="W2755" t="s">
        <v>44135</v>
      </c>
      <c r="X2755" t="s">
        <v>47306</v>
      </c>
    </row>
    <row r="2756" spans="1:24">
      <c r="A2756">
        <f>HYPERLINK("https://www.philgeps.gov.ph/GEPSNONPILOT/Tender/SplashBidNoticeAbstractUI.aspx?menuIndex=3&amp;refID=7200741&amp;Result=3","7200741")</f>
        <v>0</v>
      </c>
      <c r="B2756" t="s">
        <v>1172</v>
      </c>
      <c r="C2756" t="s">
        <v>6486</v>
      </c>
      <c r="D2756" t="s">
        <v>19066</v>
      </c>
      <c r="E2756" t="s">
        <v>21597</v>
      </c>
      <c r="F2756" t="s">
        <v>32606</v>
      </c>
      <c r="G2756" t="s">
        <v>32614</v>
      </c>
      <c r="H2756" t="s">
        <v>14201</v>
      </c>
      <c r="I2756" t="s">
        <v>4112</v>
      </c>
      <c r="J2756" t="s">
        <v>34687</v>
      </c>
      <c r="K2756" t="s">
        <v>42630</v>
      </c>
      <c r="M2756" t="s">
        <v>44135</v>
      </c>
      <c r="N2756" t="s">
        <v>47304</v>
      </c>
      <c r="O2756" t="s">
        <v>47305</v>
      </c>
      <c r="P2756">
        <v>0</v>
      </c>
      <c r="Q2756">
        <v>0</v>
      </c>
      <c r="R2756" t="s">
        <v>47307</v>
      </c>
      <c r="S2756" t="s">
        <v>47416</v>
      </c>
      <c r="T2756" t="s">
        <v>49023</v>
      </c>
      <c r="U2756" t="s">
        <v>51932</v>
      </c>
      <c r="W2756" t="s">
        <v>44135</v>
      </c>
      <c r="X2756" t="s">
        <v>47306</v>
      </c>
    </row>
    <row r="2757" spans="1:24">
      <c r="A2757">
        <f>HYPERLINK("https://www.philgeps.gov.ph/GEPSNONPILOT/Tender/SplashBidNoticeAbstractUI.aspx?menuIndex=3&amp;refID=7200735&amp;Result=3","7200735")</f>
        <v>0</v>
      </c>
      <c r="B2757" t="s">
        <v>1183</v>
      </c>
      <c r="C2757" t="s">
        <v>5906</v>
      </c>
      <c r="D2757" t="s">
        <v>19044</v>
      </c>
      <c r="E2757" t="s">
        <v>19690</v>
      </c>
      <c r="F2757" t="s">
        <v>32606</v>
      </c>
      <c r="G2757" t="s">
        <v>32613</v>
      </c>
      <c r="H2757" t="s">
        <v>14201</v>
      </c>
      <c r="I2757" t="s">
        <v>6931</v>
      </c>
      <c r="J2757" t="s">
        <v>34700</v>
      </c>
      <c r="K2757" t="s">
        <v>42631</v>
      </c>
      <c r="M2757" t="s">
        <v>44147</v>
      </c>
      <c r="N2757" t="s">
        <v>47304</v>
      </c>
      <c r="O2757" t="s">
        <v>47305</v>
      </c>
      <c r="P2757">
        <v>0</v>
      </c>
      <c r="Q2757">
        <v>0</v>
      </c>
      <c r="R2757" t="s">
        <v>47307</v>
      </c>
      <c r="S2757" t="s">
        <v>47416</v>
      </c>
      <c r="T2757" t="s">
        <v>49057</v>
      </c>
      <c r="U2757" t="s">
        <v>51960</v>
      </c>
      <c r="W2757" t="s">
        <v>44147</v>
      </c>
      <c r="X2757" t="s">
        <v>47306</v>
      </c>
    </row>
    <row r="2758" spans="1:24">
      <c r="A2758">
        <f>HYPERLINK("https://www.philgeps.gov.ph/GEPSNONPILOT/Tender/SplashBidNoticeAbstractUI.aspx?menuIndex=3&amp;refID=7200751&amp;Result=3","7200751")</f>
        <v>0</v>
      </c>
      <c r="B2758" t="s">
        <v>1172</v>
      </c>
      <c r="C2758" t="s">
        <v>6486</v>
      </c>
      <c r="D2758" t="s">
        <v>19060</v>
      </c>
      <c r="E2758" t="s">
        <v>21598</v>
      </c>
      <c r="F2758" t="s">
        <v>32606</v>
      </c>
      <c r="G2758" t="s">
        <v>32614</v>
      </c>
      <c r="H2758" t="s">
        <v>14201</v>
      </c>
      <c r="I2758" t="s">
        <v>4112</v>
      </c>
      <c r="J2758" t="s">
        <v>34687</v>
      </c>
      <c r="K2758" t="s">
        <v>42630</v>
      </c>
      <c r="M2758" t="s">
        <v>44135</v>
      </c>
      <c r="N2758" t="s">
        <v>47304</v>
      </c>
      <c r="O2758" t="s">
        <v>47305</v>
      </c>
      <c r="P2758">
        <v>0</v>
      </c>
      <c r="Q2758">
        <v>0</v>
      </c>
      <c r="R2758" t="s">
        <v>47307</v>
      </c>
      <c r="S2758" t="s">
        <v>47416</v>
      </c>
      <c r="T2758" t="s">
        <v>49023</v>
      </c>
      <c r="U2758" t="s">
        <v>51932</v>
      </c>
      <c r="W2758" t="s">
        <v>44135</v>
      </c>
      <c r="X2758" t="s">
        <v>47306</v>
      </c>
    </row>
    <row r="2759" spans="1:24">
      <c r="A2759">
        <f>HYPERLINK("https://www.philgeps.gov.ph/GEPSNONPILOT/Tender/SplashBidNoticeAbstractUI.aspx?menuIndex=3&amp;refID=7200702&amp;Result=3","7200702")</f>
        <v>0</v>
      </c>
      <c r="B2759" t="s">
        <v>1177</v>
      </c>
      <c r="C2759" t="s">
        <v>6503</v>
      </c>
      <c r="D2759" t="s">
        <v>18994</v>
      </c>
      <c r="E2759" t="s">
        <v>19315</v>
      </c>
      <c r="F2759" t="s">
        <v>32606</v>
      </c>
      <c r="G2759" t="s">
        <v>32613</v>
      </c>
      <c r="H2759" t="s">
        <v>14201</v>
      </c>
      <c r="I2759" t="s">
        <v>6931</v>
      </c>
      <c r="J2759" t="s">
        <v>34701</v>
      </c>
      <c r="K2759" t="s">
        <v>42631</v>
      </c>
      <c r="M2759" t="s">
        <v>44140</v>
      </c>
      <c r="N2759" t="s">
        <v>47304</v>
      </c>
      <c r="O2759" t="s">
        <v>47305</v>
      </c>
      <c r="P2759">
        <v>0</v>
      </c>
      <c r="Q2759">
        <v>0</v>
      </c>
      <c r="R2759" t="s">
        <v>47307</v>
      </c>
      <c r="S2759" t="s">
        <v>47416</v>
      </c>
      <c r="T2759" t="s">
        <v>49162</v>
      </c>
      <c r="U2759" t="s">
        <v>51961</v>
      </c>
      <c r="W2759" t="s">
        <v>44140</v>
      </c>
      <c r="X2759" t="s">
        <v>47306</v>
      </c>
    </row>
    <row r="2760" spans="1:24">
      <c r="A2760">
        <f>HYPERLINK("https://www.philgeps.gov.ph/GEPSNONPILOT/Tender/SplashBidNoticeAbstractUI.aspx?menuIndex=3&amp;refID=7200760&amp;Result=3","7200760")</f>
        <v>0</v>
      </c>
      <c r="B2760" t="s">
        <v>1172</v>
      </c>
      <c r="C2760" t="s">
        <v>6486</v>
      </c>
      <c r="D2760" t="s">
        <v>19060</v>
      </c>
      <c r="E2760" t="s">
        <v>21599</v>
      </c>
      <c r="F2760" t="s">
        <v>32606</v>
      </c>
      <c r="G2760" t="s">
        <v>32614</v>
      </c>
      <c r="H2760" t="s">
        <v>14201</v>
      </c>
      <c r="I2760" t="s">
        <v>4112</v>
      </c>
      <c r="J2760" t="s">
        <v>34687</v>
      </c>
      <c r="K2760" t="s">
        <v>42630</v>
      </c>
      <c r="M2760" t="s">
        <v>44135</v>
      </c>
      <c r="N2760" t="s">
        <v>47304</v>
      </c>
      <c r="O2760" t="s">
        <v>47305</v>
      </c>
      <c r="P2760">
        <v>0</v>
      </c>
      <c r="Q2760">
        <v>0</v>
      </c>
      <c r="R2760" t="s">
        <v>47307</v>
      </c>
      <c r="S2760" t="s">
        <v>47416</v>
      </c>
      <c r="T2760" t="s">
        <v>49023</v>
      </c>
      <c r="U2760" t="s">
        <v>51932</v>
      </c>
      <c r="W2760" t="s">
        <v>44135</v>
      </c>
      <c r="X2760" t="s">
        <v>47306</v>
      </c>
    </row>
    <row r="2761" spans="1:24">
      <c r="A2761">
        <f>HYPERLINK("https://www.philgeps.gov.ph/GEPSNONPILOT/Tender/SplashBidNoticeAbstractUI.aspx?menuIndex=3&amp;refID=7200737&amp;Result=3","7200737")</f>
        <v>0</v>
      </c>
      <c r="B2761" t="s">
        <v>1172</v>
      </c>
      <c r="C2761" t="s">
        <v>6486</v>
      </c>
      <c r="D2761" t="s">
        <v>19064</v>
      </c>
      <c r="E2761" t="s">
        <v>21600</v>
      </c>
      <c r="F2761" t="s">
        <v>32606</v>
      </c>
      <c r="G2761" t="s">
        <v>32614</v>
      </c>
      <c r="H2761" t="s">
        <v>14201</v>
      </c>
      <c r="I2761" t="s">
        <v>4112</v>
      </c>
      <c r="J2761" t="s">
        <v>34687</v>
      </c>
      <c r="K2761" t="s">
        <v>42630</v>
      </c>
      <c r="M2761" t="s">
        <v>44135</v>
      </c>
      <c r="N2761" t="s">
        <v>47304</v>
      </c>
      <c r="O2761" t="s">
        <v>47305</v>
      </c>
      <c r="P2761">
        <v>0</v>
      </c>
      <c r="Q2761">
        <v>0</v>
      </c>
      <c r="R2761" t="s">
        <v>47307</v>
      </c>
      <c r="S2761" t="s">
        <v>47416</v>
      </c>
      <c r="T2761" t="s">
        <v>49023</v>
      </c>
      <c r="U2761" t="s">
        <v>51932</v>
      </c>
      <c r="W2761" t="s">
        <v>44135</v>
      </c>
      <c r="X2761" t="s">
        <v>47306</v>
      </c>
    </row>
    <row r="2762" spans="1:24">
      <c r="A2762">
        <f>HYPERLINK("https://www.philgeps.gov.ph/GEPSNONPILOT/Tender/SplashBidNoticeAbstractUI.aspx?menuIndex=3&amp;refID=7200736&amp;Result=3","7200736")</f>
        <v>0</v>
      </c>
      <c r="B2762" t="s">
        <v>644</v>
      </c>
      <c r="C2762" t="s">
        <v>6504</v>
      </c>
      <c r="D2762" t="s">
        <v>19022</v>
      </c>
      <c r="E2762" t="s">
        <v>6504</v>
      </c>
      <c r="F2762" t="s">
        <v>32606</v>
      </c>
      <c r="G2762" t="s">
        <v>32615</v>
      </c>
      <c r="H2762" t="s">
        <v>14201</v>
      </c>
      <c r="I2762" t="s">
        <v>7677</v>
      </c>
      <c r="J2762" t="s">
        <v>34702</v>
      </c>
      <c r="K2762" t="s">
        <v>42624</v>
      </c>
      <c r="M2762" t="s">
        <v>44072</v>
      </c>
      <c r="N2762" t="s">
        <v>47304</v>
      </c>
      <c r="O2762" t="s">
        <v>47305</v>
      </c>
      <c r="P2762">
        <v>0</v>
      </c>
      <c r="Q2762">
        <v>0</v>
      </c>
      <c r="R2762" t="s">
        <v>47307</v>
      </c>
      <c r="S2762" t="s">
        <v>47416</v>
      </c>
      <c r="T2762" t="s">
        <v>49093</v>
      </c>
      <c r="U2762" t="s">
        <v>51962</v>
      </c>
      <c r="W2762" t="s">
        <v>44072</v>
      </c>
      <c r="X2762" t="s">
        <v>47306</v>
      </c>
    </row>
    <row r="2763" spans="1:24">
      <c r="A2763">
        <f>HYPERLINK("https://www.philgeps.gov.ph/GEPSNONPILOT/Tender/SplashBidNoticeAbstractUI.aspx?menuIndex=3&amp;refID=7200755&amp;Result=3","7200755")</f>
        <v>0</v>
      </c>
      <c r="B2763" t="s">
        <v>1172</v>
      </c>
      <c r="C2763" t="s">
        <v>6486</v>
      </c>
      <c r="D2763" t="s">
        <v>19060</v>
      </c>
      <c r="E2763" t="s">
        <v>21601</v>
      </c>
      <c r="F2763" t="s">
        <v>32606</v>
      </c>
      <c r="G2763" t="s">
        <v>32614</v>
      </c>
      <c r="H2763" t="s">
        <v>14201</v>
      </c>
      <c r="I2763" t="s">
        <v>4112</v>
      </c>
      <c r="J2763" t="s">
        <v>34687</v>
      </c>
      <c r="K2763" t="s">
        <v>42630</v>
      </c>
      <c r="M2763" t="s">
        <v>44135</v>
      </c>
      <c r="N2763" t="s">
        <v>47304</v>
      </c>
      <c r="O2763" t="s">
        <v>47305</v>
      </c>
      <c r="P2763">
        <v>0</v>
      </c>
      <c r="Q2763">
        <v>0</v>
      </c>
      <c r="R2763" t="s">
        <v>47307</v>
      </c>
      <c r="S2763" t="s">
        <v>47416</v>
      </c>
      <c r="T2763" t="s">
        <v>49023</v>
      </c>
      <c r="U2763" t="s">
        <v>51932</v>
      </c>
      <c r="W2763" t="s">
        <v>44135</v>
      </c>
      <c r="X2763" t="s">
        <v>47306</v>
      </c>
    </row>
    <row r="2764" spans="1:24">
      <c r="A2764">
        <f>HYPERLINK("https://www.philgeps.gov.ph/GEPSNONPILOT/Tender/SplashBidNoticeAbstractUI.aspx?menuIndex=3&amp;refID=7200754&amp;Result=3","7200754")</f>
        <v>0</v>
      </c>
      <c r="B2764" t="s">
        <v>1172</v>
      </c>
      <c r="C2764" t="s">
        <v>6486</v>
      </c>
      <c r="D2764" t="s">
        <v>19060</v>
      </c>
      <c r="E2764" t="s">
        <v>21602</v>
      </c>
      <c r="F2764" t="s">
        <v>32606</v>
      </c>
      <c r="G2764" t="s">
        <v>32614</v>
      </c>
      <c r="H2764" t="s">
        <v>14201</v>
      </c>
      <c r="I2764" t="s">
        <v>4112</v>
      </c>
      <c r="J2764" t="s">
        <v>34687</v>
      </c>
      <c r="K2764" t="s">
        <v>42630</v>
      </c>
      <c r="M2764" t="s">
        <v>44135</v>
      </c>
      <c r="N2764" t="s">
        <v>47304</v>
      </c>
      <c r="O2764" t="s">
        <v>47305</v>
      </c>
      <c r="P2764">
        <v>0</v>
      </c>
      <c r="Q2764">
        <v>0</v>
      </c>
      <c r="R2764" t="s">
        <v>47307</v>
      </c>
      <c r="S2764" t="s">
        <v>47416</v>
      </c>
      <c r="T2764" t="s">
        <v>49023</v>
      </c>
      <c r="U2764" t="s">
        <v>51932</v>
      </c>
      <c r="W2764" t="s">
        <v>44135</v>
      </c>
      <c r="X2764" t="s">
        <v>47306</v>
      </c>
    </row>
    <row r="2765" spans="1:24">
      <c r="A2765">
        <f>HYPERLINK("https://www.philgeps.gov.ph/GEPSNONPILOT/Tender/SplashBidNoticeAbstractUI.aspx?menuIndex=3&amp;refID=7200734&amp;Result=3","7200734")</f>
        <v>0</v>
      </c>
      <c r="B2765" t="s">
        <v>1180</v>
      </c>
      <c r="C2765" t="s">
        <v>6505</v>
      </c>
      <c r="D2765" t="s">
        <v>19055</v>
      </c>
      <c r="E2765" t="s">
        <v>21603</v>
      </c>
      <c r="F2765" t="s">
        <v>32606</v>
      </c>
      <c r="G2765" t="s">
        <v>32613</v>
      </c>
      <c r="H2765" t="s">
        <v>32623</v>
      </c>
      <c r="I2765" t="s">
        <v>6931</v>
      </c>
      <c r="J2765" t="s">
        <v>34703</v>
      </c>
      <c r="K2765" t="s">
        <v>42631</v>
      </c>
      <c r="M2765" t="s">
        <v>44143</v>
      </c>
      <c r="N2765" t="s">
        <v>47304</v>
      </c>
      <c r="O2765" t="s">
        <v>47305</v>
      </c>
      <c r="P2765">
        <v>0</v>
      </c>
      <c r="Q2765">
        <v>0</v>
      </c>
      <c r="R2765" t="s">
        <v>47307</v>
      </c>
      <c r="S2765" t="s">
        <v>47416</v>
      </c>
      <c r="T2765" t="s">
        <v>49041</v>
      </c>
      <c r="U2765" t="s">
        <v>51963</v>
      </c>
      <c r="W2765" t="s">
        <v>44143</v>
      </c>
      <c r="X2765" t="s">
        <v>47306</v>
      </c>
    </row>
    <row r="2766" spans="1:24">
      <c r="A2766">
        <f>HYPERLINK("https://www.philgeps.gov.ph/GEPSNONPILOT/Tender/SplashBidNoticeAbstractUI.aspx?menuIndex=3&amp;refID=7200740&amp;Result=3","7200740")</f>
        <v>0</v>
      </c>
      <c r="B2766" t="s">
        <v>1172</v>
      </c>
      <c r="C2766" t="s">
        <v>6486</v>
      </c>
      <c r="D2766" t="s">
        <v>19066</v>
      </c>
      <c r="E2766" t="s">
        <v>21604</v>
      </c>
      <c r="F2766" t="s">
        <v>32606</v>
      </c>
      <c r="G2766" t="s">
        <v>32614</v>
      </c>
      <c r="H2766" t="s">
        <v>14201</v>
      </c>
      <c r="I2766" t="s">
        <v>4112</v>
      </c>
      <c r="J2766" t="s">
        <v>34687</v>
      </c>
      <c r="K2766" t="s">
        <v>42630</v>
      </c>
      <c r="M2766" t="s">
        <v>44135</v>
      </c>
      <c r="N2766" t="s">
        <v>47304</v>
      </c>
      <c r="O2766" t="s">
        <v>47305</v>
      </c>
      <c r="P2766">
        <v>0</v>
      </c>
      <c r="Q2766">
        <v>0</v>
      </c>
      <c r="R2766" t="s">
        <v>47307</v>
      </c>
      <c r="S2766" t="s">
        <v>47416</v>
      </c>
      <c r="T2766" t="s">
        <v>49023</v>
      </c>
      <c r="U2766" t="s">
        <v>51932</v>
      </c>
      <c r="W2766" t="s">
        <v>44135</v>
      </c>
      <c r="X2766" t="s">
        <v>47306</v>
      </c>
    </row>
    <row r="2767" spans="1:24">
      <c r="A2767">
        <f>HYPERLINK("https://www.philgeps.gov.ph/GEPSNONPILOT/Tender/SplashBidNoticeAbstractUI.aspx?menuIndex=3&amp;refID=7200732&amp;Result=3","7200732")</f>
        <v>0</v>
      </c>
      <c r="B2767" t="s">
        <v>500</v>
      </c>
      <c r="C2767" t="s">
        <v>6506</v>
      </c>
      <c r="D2767" t="s">
        <v>19024</v>
      </c>
      <c r="E2767" t="s">
        <v>21528</v>
      </c>
      <c r="F2767" t="s">
        <v>32607</v>
      </c>
      <c r="G2767" t="s">
        <v>32614</v>
      </c>
      <c r="H2767" t="s">
        <v>14201</v>
      </c>
      <c r="I2767" t="s">
        <v>6298</v>
      </c>
      <c r="J2767" t="s">
        <v>34704</v>
      </c>
      <c r="K2767" t="s">
        <v>42632</v>
      </c>
      <c r="M2767" t="s">
        <v>43413</v>
      </c>
      <c r="N2767" t="s">
        <v>47304</v>
      </c>
      <c r="O2767" t="s">
        <v>47305</v>
      </c>
      <c r="P2767">
        <v>0</v>
      </c>
      <c r="Q2767">
        <v>0</v>
      </c>
      <c r="R2767" t="s">
        <v>47307</v>
      </c>
      <c r="S2767" t="s">
        <v>47416</v>
      </c>
      <c r="T2767" t="s">
        <v>49028</v>
      </c>
      <c r="U2767" t="s">
        <v>51964</v>
      </c>
      <c r="W2767" t="s">
        <v>43413</v>
      </c>
      <c r="X2767" t="s">
        <v>47306</v>
      </c>
    </row>
    <row r="2768" spans="1:24">
      <c r="A2768">
        <f>HYPERLINK("https://www.philgeps.gov.ph/GEPSNONPILOT/Tender/SplashBidNoticeAbstractUI.aspx?menuIndex=3&amp;refID=7200731&amp;Result=3","7200731")</f>
        <v>0</v>
      </c>
      <c r="B2768" t="s">
        <v>913</v>
      </c>
      <c r="C2768" t="s">
        <v>6507</v>
      </c>
      <c r="D2768" t="s">
        <v>19046</v>
      </c>
      <c r="E2768" t="s">
        <v>21605</v>
      </c>
      <c r="F2768" t="s">
        <v>32606</v>
      </c>
      <c r="G2768" t="s">
        <v>32613</v>
      </c>
      <c r="H2768" t="s">
        <v>14201</v>
      </c>
      <c r="I2768" t="s">
        <v>32634</v>
      </c>
      <c r="J2768" t="s">
        <v>33341</v>
      </c>
      <c r="K2768" t="s">
        <v>42623</v>
      </c>
      <c r="M2768" t="s">
        <v>43852</v>
      </c>
      <c r="N2768" t="s">
        <v>47304</v>
      </c>
      <c r="O2768" t="s">
        <v>47305</v>
      </c>
      <c r="P2768">
        <v>0</v>
      </c>
      <c r="Q2768">
        <v>0</v>
      </c>
      <c r="R2768" t="s">
        <v>47307</v>
      </c>
      <c r="S2768" t="s">
        <v>47416</v>
      </c>
      <c r="T2768" t="s">
        <v>49094</v>
      </c>
      <c r="U2768" t="s">
        <v>51965</v>
      </c>
      <c r="W2768" t="s">
        <v>43852</v>
      </c>
      <c r="X2768" t="s">
        <v>47306</v>
      </c>
    </row>
    <row r="2769" spans="1:24">
      <c r="A2769">
        <f>HYPERLINK("https://www.philgeps.gov.ph/GEPSNONPILOT/Tender/SplashBidNoticeAbstractUI.aspx?menuIndex=3&amp;refID=7200730&amp;Result=3","7200730")</f>
        <v>0</v>
      </c>
      <c r="B2769" t="s">
        <v>1172</v>
      </c>
      <c r="C2769" t="s">
        <v>6486</v>
      </c>
      <c r="D2769" t="s">
        <v>19064</v>
      </c>
      <c r="E2769" t="s">
        <v>21606</v>
      </c>
      <c r="F2769" t="s">
        <v>32606</v>
      </c>
      <c r="G2769" t="s">
        <v>32614</v>
      </c>
      <c r="H2769" t="s">
        <v>14201</v>
      </c>
      <c r="I2769" t="s">
        <v>4112</v>
      </c>
      <c r="J2769" t="s">
        <v>34687</v>
      </c>
      <c r="K2769" t="s">
        <v>42630</v>
      </c>
      <c r="M2769" t="s">
        <v>44135</v>
      </c>
      <c r="N2769" t="s">
        <v>47304</v>
      </c>
      <c r="O2769" t="s">
        <v>47305</v>
      </c>
      <c r="P2769">
        <v>0</v>
      </c>
      <c r="Q2769">
        <v>0</v>
      </c>
      <c r="R2769" t="s">
        <v>47307</v>
      </c>
      <c r="S2769" t="s">
        <v>47416</v>
      </c>
      <c r="T2769" t="s">
        <v>49023</v>
      </c>
      <c r="U2769" t="s">
        <v>51932</v>
      </c>
      <c r="W2769" t="s">
        <v>44135</v>
      </c>
      <c r="X2769" t="s">
        <v>47306</v>
      </c>
    </row>
    <row r="2770" spans="1:24">
      <c r="A2770">
        <f>HYPERLINK("https://www.philgeps.gov.ph/GEPSNONPILOT/Tender/SplashBidNoticeAbstractUI.aspx?menuIndex=3&amp;refID=7200709&amp;Result=3","7200709")</f>
        <v>0</v>
      </c>
      <c r="B2770" t="s">
        <v>1177</v>
      </c>
      <c r="C2770" t="s">
        <v>6508</v>
      </c>
      <c r="D2770" t="s">
        <v>18994</v>
      </c>
      <c r="E2770" t="s">
        <v>19809</v>
      </c>
      <c r="F2770" t="s">
        <v>32606</v>
      </c>
      <c r="G2770" t="s">
        <v>32613</v>
      </c>
      <c r="H2770" t="s">
        <v>14201</v>
      </c>
      <c r="I2770" t="s">
        <v>6931</v>
      </c>
      <c r="J2770" t="s">
        <v>34705</v>
      </c>
      <c r="K2770" t="s">
        <v>42631</v>
      </c>
      <c r="M2770" t="s">
        <v>44140</v>
      </c>
      <c r="N2770" t="s">
        <v>47304</v>
      </c>
      <c r="O2770" t="s">
        <v>47305</v>
      </c>
      <c r="P2770">
        <v>0</v>
      </c>
      <c r="Q2770">
        <v>0</v>
      </c>
      <c r="R2770" t="s">
        <v>47307</v>
      </c>
      <c r="S2770" t="s">
        <v>47416</v>
      </c>
      <c r="T2770" t="s">
        <v>49162</v>
      </c>
      <c r="U2770" t="s">
        <v>51966</v>
      </c>
      <c r="W2770" t="s">
        <v>44140</v>
      </c>
      <c r="X2770" t="s">
        <v>47306</v>
      </c>
    </row>
    <row r="2771" spans="1:24">
      <c r="A2771">
        <f>HYPERLINK("https://www.philgeps.gov.ph/GEPSNONPILOT/Tender/SplashBidNoticeAbstractUI.aspx?menuIndex=3&amp;refID=7200592&amp;Result=3","7200592")</f>
        <v>0</v>
      </c>
      <c r="B2771" t="s">
        <v>1143</v>
      </c>
      <c r="C2771" t="s">
        <v>6509</v>
      </c>
      <c r="D2771" t="s">
        <v>19030</v>
      </c>
      <c r="E2771" t="s">
        <v>21607</v>
      </c>
      <c r="F2771" t="s">
        <v>32606</v>
      </c>
      <c r="G2771" t="s">
        <v>32614</v>
      </c>
      <c r="H2771" t="s">
        <v>14201</v>
      </c>
      <c r="I2771" t="s">
        <v>4112</v>
      </c>
      <c r="J2771" t="s">
        <v>34706</v>
      </c>
      <c r="K2771" t="s">
        <v>42622</v>
      </c>
      <c r="M2771" t="s">
        <v>44105</v>
      </c>
      <c r="N2771" t="s">
        <v>47304</v>
      </c>
      <c r="O2771" t="s">
        <v>47305</v>
      </c>
      <c r="P2771">
        <v>0</v>
      </c>
      <c r="Q2771">
        <v>0</v>
      </c>
      <c r="R2771" t="s">
        <v>47307</v>
      </c>
      <c r="S2771" t="s">
        <v>47416</v>
      </c>
      <c r="T2771" t="s">
        <v>48977</v>
      </c>
      <c r="U2771" t="s">
        <v>51967</v>
      </c>
      <c r="W2771" t="s">
        <v>44105</v>
      </c>
      <c r="X2771" t="s">
        <v>47306</v>
      </c>
    </row>
    <row r="2772" spans="1:24">
      <c r="A2772">
        <f>HYPERLINK("https://www.philgeps.gov.ph/GEPSNONPILOT/Tender/SplashBidNoticeAbstractUI.aspx?menuIndex=3&amp;refID=7200589&amp;Result=3","7200589")</f>
        <v>0</v>
      </c>
      <c r="B2772" t="s">
        <v>1119</v>
      </c>
      <c r="C2772" t="s">
        <v>6510</v>
      </c>
      <c r="D2772" t="s">
        <v>19002</v>
      </c>
      <c r="E2772" t="s">
        <v>21608</v>
      </c>
      <c r="F2772" t="s">
        <v>32606</v>
      </c>
      <c r="G2772" t="s">
        <v>32613</v>
      </c>
      <c r="H2772" t="s">
        <v>14201</v>
      </c>
      <c r="I2772" t="s">
        <v>6298</v>
      </c>
      <c r="J2772" t="s">
        <v>34707</v>
      </c>
      <c r="K2772" t="s">
        <v>42623</v>
      </c>
      <c r="M2772" t="s">
        <v>44081</v>
      </c>
      <c r="N2772" t="s">
        <v>47304</v>
      </c>
      <c r="O2772" t="s">
        <v>47305</v>
      </c>
      <c r="P2772">
        <v>0</v>
      </c>
      <c r="Q2772">
        <v>0</v>
      </c>
      <c r="R2772" t="s">
        <v>47307</v>
      </c>
      <c r="S2772" t="s">
        <v>47416</v>
      </c>
      <c r="T2772" t="s">
        <v>49056</v>
      </c>
      <c r="U2772" t="s">
        <v>51968</v>
      </c>
      <c r="W2772" t="s">
        <v>64462</v>
      </c>
      <c r="X2772" t="s">
        <v>47306</v>
      </c>
    </row>
    <row r="2773" spans="1:24">
      <c r="A2773">
        <f>HYPERLINK("https://www.philgeps.gov.ph/GEPSNONPILOT/Tender/SplashBidNoticeAbstractUI.aspx?menuIndex=3&amp;refID=7200585&amp;Result=3","7200585")</f>
        <v>0</v>
      </c>
      <c r="B2773" t="s">
        <v>1142</v>
      </c>
      <c r="C2773" t="s">
        <v>6511</v>
      </c>
      <c r="D2773" t="s">
        <v>19040</v>
      </c>
      <c r="E2773" t="s">
        <v>21609</v>
      </c>
      <c r="F2773" t="s">
        <v>32606</v>
      </c>
      <c r="G2773" t="s">
        <v>32614</v>
      </c>
      <c r="H2773" t="s">
        <v>14201</v>
      </c>
      <c r="I2773" t="s">
        <v>32646</v>
      </c>
      <c r="J2773" t="s">
        <v>34708</v>
      </c>
      <c r="K2773" t="s">
        <v>42623</v>
      </c>
      <c r="M2773" t="s">
        <v>44104</v>
      </c>
      <c r="N2773" t="s">
        <v>47304</v>
      </c>
      <c r="O2773" t="s">
        <v>47305</v>
      </c>
      <c r="P2773">
        <v>0</v>
      </c>
      <c r="Q2773">
        <v>0</v>
      </c>
      <c r="R2773" t="s">
        <v>47307</v>
      </c>
      <c r="S2773" t="s">
        <v>47416</v>
      </c>
      <c r="T2773" t="s">
        <v>48971</v>
      </c>
      <c r="U2773" t="s">
        <v>51969</v>
      </c>
      <c r="W2773" t="s">
        <v>44104</v>
      </c>
      <c r="X2773" t="s">
        <v>47306</v>
      </c>
    </row>
    <row r="2774" spans="1:24">
      <c r="A2774">
        <f>HYPERLINK("https://www.philgeps.gov.ph/GEPSNONPILOT/Tender/SplashBidNoticeAbstractUI.aspx?menuIndex=3&amp;refID=7200712&amp;Result=3","7200712")</f>
        <v>0</v>
      </c>
      <c r="B2774" t="s">
        <v>1184</v>
      </c>
      <c r="C2774" t="s">
        <v>6512</v>
      </c>
      <c r="D2774" t="s">
        <v>18988</v>
      </c>
      <c r="E2774" t="s">
        <v>21610</v>
      </c>
      <c r="F2774" t="s">
        <v>32606</v>
      </c>
      <c r="G2774" t="s">
        <v>32613</v>
      </c>
      <c r="H2774" t="s">
        <v>32624</v>
      </c>
      <c r="I2774" t="s">
        <v>6931</v>
      </c>
      <c r="J2774" t="s">
        <v>33526</v>
      </c>
      <c r="K2774" t="s">
        <v>42625</v>
      </c>
      <c r="M2774" t="s">
        <v>44148</v>
      </c>
      <c r="N2774" t="s">
        <v>47304</v>
      </c>
      <c r="O2774" t="s">
        <v>47305</v>
      </c>
      <c r="P2774">
        <v>0</v>
      </c>
      <c r="Q2774">
        <v>0</v>
      </c>
      <c r="R2774" t="s">
        <v>47307</v>
      </c>
      <c r="S2774" t="s">
        <v>47416</v>
      </c>
      <c r="T2774" t="s">
        <v>49009</v>
      </c>
      <c r="U2774" t="s">
        <v>51970</v>
      </c>
      <c r="W2774" t="s">
        <v>44148</v>
      </c>
      <c r="X2774" t="s">
        <v>47306</v>
      </c>
    </row>
    <row r="2775" spans="1:24">
      <c r="A2775">
        <f>HYPERLINK("https://www.philgeps.gov.ph/GEPSNONPILOT/Tender/SplashBidNoticeAbstractUI.aspx?menuIndex=3&amp;refID=7200584&amp;Result=3","7200584")</f>
        <v>0</v>
      </c>
      <c r="B2775" t="s">
        <v>1140</v>
      </c>
      <c r="C2775" t="s">
        <v>6513</v>
      </c>
      <c r="E2775" t="s">
        <v>21611</v>
      </c>
      <c r="F2775" t="s">
        <v>32609</v>
      </c>
      <c r="G2775" t="s">
        <v>32619</v>
      </c>
      <c r="H2775" t="s">
        <v>14201</v>
      </c>
      <c r="I2775" t="s">
        <v>32652</v>
      </c>
      <c r="J2775" t="s">
        <v>34709</v>
      </c>
      <c r="K2775" t="s">
        <v>42624</v>
      </c>
      <c r="M2775" t="s">
        <v>44102</v>
      </c>
      <c r="N2775" t="s">
        <v>47304</v>
      </c>
      <c r="O2775" t="s">
        <v>47305</v>
      </c>
      <c r="P2775">
        <v>0</v>
      </c>
      <c r="Q2775">
        <v>0</v>
      </c>
      <c r="R2775" t="s">
        <v>47307</v>
      </c>
      <c r="S2775" t="s">
        <v>47416</v>
      </c>
      <c r="T2775" t="s">
        <v>49087</v>
      </c>
      <c r="U2775" t="s">
        <v>51862</v>
      </c>
      <c r="W2775" t="s">
        <v>44102</v>
      </c>
      <c r="X2775" t="s">
        <v>47306</v>
      </c>
    </row>
    <row r="2776" spans="1:24">
      <c r="A2776">
        <f>HYPERLINK("https://www.philgeps.gov.ph/GEPSNONPILOT/Tender/SplashBidNoticeAbstractUI.aspx?menuIndex=3&amp;refID=7200564&amp;Result=3","7200564")</f>
        <v>0</v>
      </c>
      <c r="B2776" t="s">
        <v>1119</v>
      </c>
      <c r="C2776" t="s">
        <v>6514</v>
      </c>
      <c r="D2776" t="s">
        <v>19002</v>
      </c>
      <c r="E2776" t="s">
        <v>21612</v>
      </c>
      <c r="F2776" t="s">
        <v>32606</v>
      </c>
      <c r="G2776" t="s">
        <v>32613</v>
      </c>
      <c r="H2776" t="s">
        <v>14201</v>
      </c>
      <c r="I2776" t="s">
        <v>32650</v>
      </c>
      <c r="J2776" t="s">
        <v>34710</v>
      </c>
      <c r="K2776" t="s">
        <v>42623</v>
      </c>
      <c r="M2776" t="s">
        <v>44081</v>
      </c>
      <c r="N2776" t="s">
        <v>47304</v>
      </c>
      <c r="O2776" t="s">
        <v>47305</v>
      </c>
      <c r="P2776">
        <v>0</v>
      </c>
      <c r="Q2776">
        <v>0</v>
      </c>
      <c r="R2776" t="s">
        <v>47307</v>
      </c>
      <c r="S2776" t="s">
        <v>47416</v>
      </c>
      <c r="T2776" t="s">
        <v>49033</v>
      </c>
      <c r="U2776" t="s">
        <v>51971</v>
      </c>
      <c r="W2776" t="s">
        <v>64462</v>
      </c>
      <c r="X2776" t="s">
        <v>47306</v>
      </c>
    </row>
    <row r="2777" spans="1:24">
      <c r="A2777">
        <f>HYPERLINK("https://www.philgeps.gov.ph/GEPSNONPILOT/Tender/SplashBidNoticeAbstractUI.aspx?menuIndex=3&amp;refID=7200733&amp;Result=3","7200733")</f>
        <v>0</v>
      </c>
      <c r="B2777" t="s">
        <v>1172</v>
      </c>
      <c r="C2777" t="s">
        <v>6486</v>
      </c>
      <c r="D2777" t="s">
        <v>19064</v>
      </c>
      <c r="E2777" t="s">
        <v>21613</v>
      </c>
      <c r="F2777" t="s">
        <v>32606</v>
      </c>
      <c r="G2777" t="s">
        <v>32614</v>
      </c>
      <c r="H2777" t="s">
        <v>14201</v>
      </c>
      <c r="I2777" t="s">
        <v>4112</v>
      </c>
      <c r="J2777" t="s">
        <v>34687</v>
      </c>
      <c r="K2777" t="s">
        <v>42630</v>
      </c>
      <c r="M2777" t="s">
        <v>44135</v>
      </c>
      <c r="N2777" t="s">
        <v>47304</v>
      </c>
      <c r="O2777" t="s">
        <v>47305</v>
      </c>
      <c r="P2777">
        <v>0</v>
      </c>
      <c r="Q2777">
        <v>0</v>
      </c>
      <c r="R2777" t="s">
        <v>47307</v>
      </c>
      <c r="S2777" t="s">
        <v>47416</v>
      </c>
      <c r="T2777" t="s">
        <v>49023</v>
      </c>
      <c r="U2777" t="s">
        <v>51932</v>
      </c>
      <c r="W2777" t="s">
        <v>44135</v>
      </c>
      <c r="X2777" t="s">
        <v>47306</v>
      </c>
    </row>
    <row r="2778" spans="1:24">
      <c r="A2778">
        <f>HYPERLINK("https://www.philgeps.gov.ph/GEPSNONPILOT/Tender/SplashBidNoticeAbstractUI.aspx?menuIndex=3&amp;refID=7200563&amp;Result=3","7200563")</f>
        <v>0</v>
      </c>
      <c r="B2778" t="s">
        <v>1185</v>
      </c>
      <c r="C2778" t="s">
        <v>6392</v>
      </c>
      <c r="D2778" t="s">
        <v>19007</v>
      </c>
      <c r="E2778" t="s">
        <v>21614</v>
      </c>
      <c r="F2778" t="s">
        <v>32606</v>
      </c>
      <c r="G2778" t="s">
        <v>32614</v>
      </c>
      <c r="H2778" t="s">
        <v>14201</v>
      </c>
      <c r="I2778" t="s">
        <v>6298</v>
      </c>
      <c r="J2778" t="s">
        <v>34612</v>
      </c>
      <c r="K2778" t="s">
        <v>42630</v>
      </c>
      <c r="M2778" t="s">
        <v>44149</v>
      </c>
      <c r="N2778" t="s">
        <v>47304</v>
      </c>
      <c r="O2778" t="s">
        <v>47305</v>
      </c>
      <c r="P2778">
        <v>0</v>
      </c>
      <c r="Q2778">
        <v>0</v>
      </c>
      <c r="R2778" t="s">
        <v>47307</v>
      </c>
      <c r="S2778" t="s">
        <v>47416</v>
      </c>
      <c r="T2778" t="s">
        <v>48988</v>
      </c>
      <c r="U2778" t="s">
        <v>51972</v>
      </c>
      <c r="W2778" t="s">
        <v>44149</v>
      </c>
      <c r="X2778" t="s">
        <v>47306</v>
      </c>
    </row>
    <row r="2779" spans="1:24">
      <c r="A2779">
        <f>HYPERLINK("https://www.philgeps.gov.ph/GEPSNONPILOT/Tender/SplashBidNoticeAbstractUI.aspx?menuIndex=3&amp;refID=7200559&amp;Result=3","7200559")</f>
        <v>0</v>
      </c>
      <c r="B2779" t="s">
        <v>1129</v>
      </c>
      <c r="C2779" t="s">
        <v>6515</v>
      </c>
      <c r="D2779" t="s">
        <v>18993</v>
      </c>
      <c r="E2779" t="s">
        <v>21615</v>
      </c>
      <c r="F2779" t="s">
        <v>32606</v>
      </c>
      <c r="G2779" t="s">
        <v>32613</v>
      </c>
      <c r="H2779" t="s">
        <v>32623</v>
      </c>
      <c r="I2779" t="s">
        <v>17648</v>
      </c>
      <c r="J2779" t="s">
        <v>34711</v>
      </c>
      <c r="K2779" t="s">
        <v>42733</v>
      </c>
      <c r="M2779" t="s">
        <v>44091</v>
      </c>
      <c r="N2779" t="s">
        <v>47304</v>
      </c>
      <c r="O2779" t="s">
        <v>47305</v>
      </c>
      <c r="P2779">
        <v>0</v>
      </c>
      <c r="Q2779">
        <v>0</v>
      </c>
      <c r="R2779" t="s">
        <v>47307</v>
      </c>
      <c r="S2779" t="s">
        <v>47416</v>
      </c>
      <c r="T2779" t="s">
        <v>48973</v>
      </c>
      <c r="U2779" t="s">
        <v>51973</v>
      </c>
      <c r="W2779" t="s">
        <v>44091</v>
      </c>
      <c r="X2779" t="s">
        <v>47306</v>
      </c>
    </row>
    <row r="2780" spans="1:24">
      <c r="A2780">
        <f>HYPERLINK("https://www.philgeps.gov.ph/GEPSNONPILOT/Tender/SplashBidNoticeAbstractUI.aspx?menuIndex=3&amp;refID=7200742&amp;Result=3","7200742")</f>
        <v>0</v>
      </c>
      <c r="B2780" t="s">
        <v>1186</v>
      </c>
      <c r="C2780" t="s">
        <v>6516</v>
      </c>
      <c r="D2780" t="s">
        <v>19044</v>
      </c>
      <c r="E2780" t="s">
        <v>19145</v>
      </c>
      <c r="F2780" t="s">
        <v>32606</v>
      </c>
      <c r="G2780" t="s">
        <v>32613</v>
      </c>
      <c r="H2780" t="s">
        <v>14201</v>
      </c>
      <c r="I2780" t="s">
        <v>6931</v>
      </c>
      <c r="J2780" t="s">
        <v>34712</v>
      </c>
      <c r="K2780" t="s">
        <v>42631</v>
      </c>
      <c r="M2780" t="s">
        <v>44150</v>
      </c>
      <c r="N2780" t="s">
        <v>47304</v>
      </c>
      <c r="O2780" t="s">
        <v>47305</v>
      </c>
      <c r="P2780">
        <v>0</v>
      </c>
      <c r="Q2780">
        <v>0</v>
      </c>
      <c r="R2780" t="s">
        <v>47307</v>
      </c>
      <c r="S2780" t="s">
        <v>47416</v>
      </c>
      <c r="T2780" t="s">
        <v>49240</v>
      </c>
      <c r="U2780" t="s">
        <v>51974</v>
      </c>
      <c r="W2780" t="s">
        <v>44150</v>
      </c>
      <c r="X2780" t="s">
        <v>47306</v>
      </c>
    </row>
    <row r="2781" spans="1:24">
      <c r="A2781">
        <f>HYPERLINK("https://www.philgeps.gov.ph/GEPSNONPILOT/Tender/SplashBidNoticeAbstractUI.aspx?menuIndex=3&amp;refID=7200558&amp;Result=3","7200558")</f>
        <v>0</v>
      </c>
      <c r="B2781" t="s">
        <v>1140</v>
      </c>
      <c r="C2781" t="s">
        <v>6517</v>
      </c>
      <c r="E2781" t="s">
        <v>21616</v>
      </c>
      <c r="F2781" t="s">
        <v>32609</v>
      </c>
      <c r="G2781" t="s">
        <v>32619</v>
      </c>
      <c r="H2781" t="s">
        <v>14201</v>
      </c>
      <c r="I2781" t="s">
        <v>4120</v>
      </c>
      <c r="J2781" t="s">
        <v>34713</v>
      </c>
      <c r="K2781" t="s">
        <v>42624</v>
      </c>
      <c r="M2781" t="s">
        <v>44102</v>
      </c>
      <c r="N2781" t="s">
        <v>47304</v>
      </c>
      <c r="O2781" t="s">
        <v>47305</v>
      </c>
      <c r="P2781">
        <v>0</v>
      </c>
      <c r="Q2781">
        <v>0</v>
      </c>
      <c r="R2781" t="s">
        <v>47307</v>
      </c>
      <c r="S2781" t="s">
        <v>47416</v>
      </c>
      <c r="T2781" t="s">
        <v>49002</v>
      </c>
      <c r="U2781" t="s">
        <v>51975</v>
      </c>
      <c r="W2781" t="s">
        <v>44102</v>
      </c>
      <c r="X2781" t="s">
        <v>47306</v>
      </c>
    </row>
    <row r="2782" spans="1:24">
      <c r="A2782">
        <f>HYPERLINK("https://www.philgeps.gov.ph/GEPSNONPILOT/Tender/SplashBidNoticeAbstractUI.aspx?menuIndex=3&amp;refID=7200752&amp;Result=3","7200752")</f>
        <v>0</v>
      </c>
      <c r="B2782" t="s">
        <v>1180</v>
      </c>
      <c r="C2782" t="s">
        <v>6518</v>
      </c>
      <c r="D2782" t="s">
        <v>19055</v>
      </c>
      <c r="E2782" t="s">
        <v>21617</v>
      </c>
      <c r="F2782" t="s">
        <v>32606</v>
      </c>
      <c r="G2782" t="s">
        <v>32613</v>
      </c>
      <c r="H2782" t="s">
        <v>32624</v>
      </c>
      <c r="I2782" t="s">
        <v>32647</v>
      </c>
      <c r="J2782" t="s">
        <v>32770</v>
      </c>
      <c r="K2782" t="s">
        <v>42623</v>
      </c>
      <c r="M2782" t="s">
        <v>44143</v>
      </c>
      <c r="N2782" t="s">
        <v>47304</v>
      </c>
      <c r="O2782" t="s">
        <v>47305</v>
      </c>
      <c r="P2782">
        <v>0</v>
      </c>
      <c r="Q2782">
        <v>0</v>
      </c>
      <c r="R2782" t="s">
        <v>47307</v>
      </c>
      <c r="S2782" t="s">
        <v>47416</v>
      </c>
      <c r="T2782" t="s">
        <v>49028</v>
      </c>
      <c r="U2782" t="s">
        <v>51976</v>
      </c>
      <c r="W2782" t="s">
        <v>44143</v>
      </c>
      <c r="X2782" t="s">
        <v>47306</v>
      </c>
    </row>
    <row r="2783" spans="1:24">
      <c r="A2783">
        <f>HYPERLINK("https://www.philgeps.gov.ph/GEPSNONPILOT/Tender/SplashBidNoticeAbstractUI.aspx?menuIndex=3&amp;refID=7200758&amp;Result=3","7200758")</f>
        <v>0</v>
      </c>
      <c r="B2783" t="s">
        <v>1180</v>
      </c>
      <c r="C2783" t="s">
        <v>6519</v>
      </c>
      <c r="D2783" t="s">
        <v>19055</v>
      </c>
      <c r="E2783" t="s">
        <v>21618</v>
      </c>
      <c r="F2783" t="s">
        <v>32606</v>
      </c>
      <c r="G2783" t="s">
        <v>32613</v>
      </c>
      <c r="H2783" t="s">
        <v>32623</v>
      </c>
      <c r="I2783" t="s">
        <v>6931</v>
      </c>
      <c r="J2783" t="s">
        <v>34714</v>
      </c>
      <c r="K2783" t="s">
        <v>42631</v>
      </c>
      <c r="M2783" t="s">
        <v>44143</v>
      </c>
      <c r="N2783" t="s">
        <v>47304</v>
      </c>
      <c r="O2783" t="s">
        <v>47305</v>
      </c>
      <c r="P2783">
        <v>0</v>
      </c>
      <c r="Q2783">
        <v>0</v>
      </c>
      <c r="R2783" t="s">
        <v>47307</v>
      </c>
      <c r="S2783" t="s">
        <v>47416</v>
      </c>
      <c r="T2783" t="s">
        <v>49041</v>
      </c>
      <c r="U2783" t="s">
        <v>51977</v>
      </c>
      <c r="W2783" t="s">
        <v>44143</v>
      </c>
      <c r="X2783" t="s">
        <v>47306</v>
      </c>
    </row>
    <row r="2784" spans="1:24">
      <c r="A2784">
        <f>HYPERLINK("https://www.philgeps.gov.ph/GEPSNONPILOT/Tender/SplashBidNoticeAbstractUI.aspx?menuIndex=3&amp;refID=7200560&amp;Result=3","7200560")</f>
        <v>0</v>
      </c>
      <c r="B2784" t="s">
        <v>1119</v>
      </c>
      <c r="C2784" t="s">
        <v>6520</v>
      </c>
      <c r="D2784" t="s">
        <v>19002</v>
      </c>
      <c r="E2784" t="s">
        <v>21619</v>
      </c>
      <c r="F2784" t="s">
        <v>32606</v>
      </c>
      <c r="G2784" t="s">
        <v>32613</v>
      </c>
      <c r="H2784" t="s">
        <v>14201</v>
      </c>
      <c r="I2784" t="s">
        <v>32660</v>
      </c>
      <c r="J2784" t="s">
        <v>34715</v>
      </c>
      <c r="K2784" t="s">
        <v>42623</v>
      </c>
      <c r="M2784" t="s">
        <v>44081</v>
      </c>
      <c r="N2784" t="s">
        <v>47304</v>
      </c>
      <c r="O2784" t="s">
        <v>47305</v>
      </c>
      <c r="P2784">
        <v>0</v>
      </c>
      <c r="Q2784">
        <v>0</v>
      </c>
      <c r="R2784" t="s">
        <v>47307</v>
      </c>
      <c r="S2784" t="s">
        <v>47416</v>
      </c>
      <c r="T2784" t="s">
        <v>49033</v>
      </c>
      <c r="U2784" t="s">
        <v>51978</v>
      </c>
      <c r="W2784" t="s">
        <v>64462</v>
      </c>
      <c r="X2784" t="s">
        <v>47306</v>
      </c>
    </row>
    <row r="2785" spans="1:24">
      <c r="A2785">
        <f>HYPERLINK("https://www.philgeps.gov.ph/GEPSNONPILOT/Tender/SplashBidNoticeAbstractUI.aspx?menuIndex=3&amp;refID=7200557&amp;Result=3","7200557")</f>
        <v>0</v>
      </c>
      <c r="B2785" t="s">
        <v>1123</v>
      </c>
      <c r="C2785" t="s">
        <v>6521</v>
      </c>
      <c r="E2785" t="s">
        <v>21620</v>
      </c>
      <c r="F2785" t="s">
        <v>32606</v>
      </c>
      <c r="G2785" t="s">
        <v>32613</v>
      </c>
      <c r="H2785" t="s">
        <v>14201</v>
      </c>
      <c r="I2785" t="s">
        <v>6993</v>
      </c>
      <c r="J2785" t="s">
        <v>34716</v>
      </c>
      <c r="K2785" t="s">
        <v>42646</v>
      </c>
      <c r="M2785" t="s">
        <v>44085</v>
      </c>
      <c r="N2785" t="s">
        <v>47304</v>
      </c>
      <c r="O2785" t="s">
        <v>47305</v>
      </c>
      <c r="P2785">
        <v>0</v>
      </c>
      <c r="Q2785">
        <v>0</v>
      </c>
      <c r="R2785" t="s">
        <v>47307</v>
      </c>
      <c r="S2785" t="s">
        <v>47416</v>
      </c>
      <c r="T2785" t="s">
        <v>48983</v>
      </c>
      <c r="U2785" t="s">
        <v>51824</v>
      </c>
      <c r="W2785" t="s">
        <v>44085</v>
      </c>
      <c r="X2785" t="s">
        <v>47306</v>
      </c>
    </row>
    <row r="2786" spans="1:24">
      <c r="A2786">
        <f>HYPERLINK("https://www.philgeps.gov.ph/GEPSNONPILOT/Tender/SplashBidNoticeAbstractUI.aspx?menuIndex=3&amp;refID=7200561&amp;Result=3","7200561")</f>
        <v>0</v>
      </c>
      <c r="B2786" t="s">
        <v>1126</v>
      </c>
      <c r="C2786" t="s">
        <v>6522</v>
      </c>
      <c r="D2786" t="s">
        <v>19054</v>
      </c>
      <c r="E2786" t="s">
        <v>21621</v>
      </c>
      <c r="F2786" t="s">
        <v>32606</v>
      </c>
      <c r="G2786" t="s">
        <v>32613</v>
      </c>
      <c r="H2786" t="s">
        <v>32623</v>
      </c>
      <c r="I2786" t="s">
        <v>6931</v>
      </c>
      <c r="J2786" t="s">
        <v>34717</v>
      </c>
      <c r="K2786" t="s">
        <v>42646</v>
      </c>
      <c r="M2786" t="s">
        <v>44088</v>
      </c>
      <c r="N2786" t="s">
        <v>47304</v>
      </c>
      <c r="O2786" t="s">
        <v>47305</v>
      </c>
      <c r="P2786">
        <v>0</v>
      </c>
      <c r="Q2786">
        <v>0</v>
      </c>
      <c r="R2786" t="s">
        <v>47307</v>
      </c>
      <c r="S2786" t="s">
        <v>47416</v>
      </c>
      <c r="T2786" t="s">
        <v>49205</v>
      </c>
      <c r="U2786" t="s">
        <v>51979</v>
      </c>
      <c r="V2786" t="s">
        <v>62932</v>
      </c>
      <c r="W2786" t="s">
        <v>44088</v>
      </c>
      <c r="X2786" t="s">
        <v>47306</v>
      </c>
    </row>
    <row r="2787" spans="1:24">
      <c r="A2787">
        <f>HYPERLINK("https://www.philgeps.gov.ph/GEPSNONPILOT/Tender/SplashBidNoticeAbstractUI.aspx?menuIndex=3&amp;refID=7200707&amp;Result=3","7200707")</f>
        <v>0</v>
      </c>
      <c r="B2787" t="s">
        <v>1183</v>
      </c>
      <c r="C2787" t="s">
        <v>4402</v>
      </c>
      <c r="D2787" t="s">
        <v>19044</v>
      </c>
      <c r="E2787" t="s">
        <v>19145</v>
      </c>
      <c r="F2787" t="s">
        <v>32606</v>
      </c>
      <c r="G2787" t="s">
        <v>32613</v>
      </c>
      <c r="H2787" t="s">
        <v>14201</v>
      </c>
      <c r="I2787" t="s">
        <v>6931</v>
      </c>
      <c r="J2787" t="s">
        <v>34718</v>
      </c>
      <c r="K2787" t="s">
        <v>42631</v>
      </c>
      <c r="M2787" t="s">
        <v>44147</v>
      </c>
      <c r="N2787" t="s">
        <v>47304</v>
      </c>
      <c r="O2787" t="s">
        <v>47305</v>
      </c>
      <c r="P2787">
        <v>0</v>
      </c>
      <c r="Q2787">
        <v>0</v>
      </c>
      <c r="R2787" t="s">
        <v>47307</v>
      </c>
      <c r="S2787" t="s">
        <v>47416</v>
      </c>
      <c r="T2787" t="s">
        <v>49057</v>
      </c>
      <c r="U2787" t="s">
        <v>51910</v>
      </c>
      <c r="W2787" t="s">
        <v>44147</v>
      </c>
      <c r="X2787" t="s">
        <v>47306</v>
      </c>
    </row>
    <row r="2788" spans="1:24">
      <c r="A2788">
        <f>HYPERLINK("https://www.philgeps.gov.ph/GEPSNONPILOT/Tender/SplashBidNoticeAbstractUI.aspx?menuIndex=3&amp;refID=7194887&amp;Result=3","7194887")</f>
        <v>0</v>
      </c>
      <c r="B2788" t="s">
        <v>1187</v>
      </c>
      <c r="C2788" t="s">
        <v>6523</v>
      </c>
      <c r="D2788" t="s">
        <v>19011</v>
      </c>
      <c r="E2788" t="s">
        <v>21622</v>
      </c>
      <c r="F2788" t="s">
        <v>32606</v>
      </c>
      <c r="G2788" t="s">
        <v>32613</v>
      </c>
      <c r="H2788" t="s">
        <v>14201</v>
      </c>
      <c r="I2788" t="s">
        <v>32718</v>
      </c>
      <c r="J2788" t="s">
        <v>34719</v>
      </c>
      <c r="K2788" t="s">
        <v>42631</v>
      </c>
      <c r="M2788" t="s">
        <v>44151</v>
      </c>
      <c r="N2788" t="s">
        <v>47304</v>
      </c>
      <c r="O2788" t="s">
        <v>47305</v>
      </c>
      <c r="P2788">
        <v>0</v>
      </c>
      <c r="Q2788">
        <v>5</v>
      </c>
      <c r="R2788" t="s">
        <v>47306</v>
      </c>
      <c r="S2788" t="s">
        <v>47414</v>
      </c>
      <c r="T2788" t="s">
        <v>48973</v>
      </c>
      <c r="U2788" t="s">
        <v>51980</v>
      </c>
      <c r="W2788" t="s">
        <v>44151</v>
      </c>
      <c r="X2788" t="s">
        <v>47308</v>
      </c>
    </row>
    <row r="2789" spans="1:24">
      <c r="A2789">
        <f>HYPERLINK("https://www.philgeps.gov.ph/GEPSNONPILOT/Tender/SplashBidNoticeAbstractUI.aspx?menuIndex=3&amp;refID=7194888&amp;Result=3","7194888")</f>
        <v>0</v>
      </c>
      <c r="B2789" t="s">
        <v>1188</v>
      </c>
      <c r="C2789" t="s">
        <v>6524</v>
      </c>
      <c r="D2789" t="s">
        <v>19070</v>
      </c>
      <c r="E2789" t="s">
        <v>21623</v>
      </c>
      <c r="F2789" t="s">
        <v>32606</v>
      </c>
      <c r="G2789" t="s">
        <v>32613</v>
      </c>
      <c r="H2789" t="s">
        <v>32623</v>
      </c>
      <c r="I2789" t="s">
        <v>17648</v>
      </c>
      <c r="J2789" t="s">
        <v>32789</v>
      </c>
      <c r="K2789" t="s">
        <v>42636</v>
      </c>
      <c r="M2789" t="s">
        <v>44152</v>
      </c>
      <c r="N2789" t="s">
        <v>47304</v>
      </c>
      <c r="O2789" t="s">
        <v>47305</v>
      </c>
      <c r="P2789">
        <v>0</v>
      </c>
      <c r="Q2789">
        <v>0</v>
      </c>
      <c r="R2789" t="s">
        <v>47306</v>
      </c>
      <c r="S2789" t="s">
        <v>47414</v>
      </c>
      <c r="T2789" t="s">
        <v>48976</v>
      </c>
      <c r="U2789" t="s">
        <v>51981</v>
      </c>
      <c r="V2789" t="s">
        <v>62951</v>
      </c>
      <c r="W2789" t="s">
        <v>44152</v>
      </c>
      <c r="X2789" t="s">
        <v>47308</v>
      </c>
    </row>
    <row r="2790" spans="1:24">
      <c r="A2790">
        <f>HYPERLINK("https://www.philgeps.gov.ph/GEPSNONPILOT/Tender/SplashBidNoticeAbstractUI.aspx?menuIndex=3&amp;refID=7194894&amp;Result=3","7194894")</f>
        <v>0</v>
      </c>
      <c r="B2790" t="s">
        <v>1029</v>
      </c>
      <c r="C2790" t="s">
        <v>6525</v>
      </c>
      <c r="D2790" t="s">
        <v>19028</v>
      </c>
      <c r="E2790" t="s">
        <v>21624</v>
      </c>
      <c r="F2790" t="s">
        <v>32606</v>
      </c>
      <c r="G2790" t="s">
        <v>32615</v>
      </c>
      <c r="H2790" t="s">
        <v>32623</v>
      </c>
      <c r="I2790" t="s">
        <v>17648</v>
      </c>
      <c r="J2790" t="s">
        <v>34720</v>
      </c>
      <c r="K2790" t="s">
        <v>42622</v>
      </c>
      <c r="M2790" t="s">
        <v>43982</v>
      </c>
      <c r="N2790" t="s">
        <v>47304</v>
      </c>
      <c r="O2790" t="s">
        <v>47305</v>
      </c>
      <c r="P2790">
        <v>0</v>
      </c>
      <c r="Q2790">
        <v>0</v>
      </c>
      <c r="R2790" t="s">
        <v>47306</v>
      </c>
      <c r="S2790" t="s">
        <v>47414</v>
      </c>
      <c r="T2790" t="s">
        <v>49241</v>
      </c>
      <c r="U2790" t="s">
        <v>51982</v>
      </c>
      <c r="W2790" t="s">
        <v>43982</v>
      </c>
      <c r="X2790" t="s">
        <v>47308</v>
      </c>
    </row>
    <row r="2791" spans="1:24">
      <c r="A2791">
        <f>HYPERLINK("https://www.philgeps.gov.ph/GEPSNONPILOT/Tender/SplashBidNoticeAbstractUI.aspx?menuIndex=3&amp;refID=7194893&amp;Result=3","7194893")</f>
        <v>0</v>
      </c>
      <c r="B2791" t="s">
        <v>936</v>
      </c>
      <c r="C2791" t="s">
        <v>6526</v>
      </c>
      <c r="D2791" t="s">
        <v>19035</v>
      </c>
      <c r="E2791" t="s">
        <v>21625</v>
      </c>
      <c r="F2791" t="s">
        <v>32606</v>
      </c>
      <c r="G2791" t="s">
        <v>32613</v>
      </c>
      <c r="H2791" t="s">
        <v>14201</v>
      </c>
      <c r="I2791" t="s">
        <v>32663</v>
      </c>
      <c r="J2791" t="s">
        <v>34721</v>
      </c>
      <c r="K2791" t="s">
        <v>42624</v>
      </c>
      <c r="M2791" t="s">
        <v>43876</v>
      </c>
      <c r="N2791" t="s">
        <v>47304</v>
      </c>
      <c r="O2791" t="s">
        <v>47305</v>
      </c>
      <c r="P2791">
        <v>0</v>
      </c>
      <c r="Q2791">
        <v>2</v>
      </c>
      <c r="R2791" t="s">
        <v>47306</v>
      </c>
      <c r="S2791" t="s">
        <v>47414</v>
      </c>
      <c r="T2791" t="s">
        <v>48986</v>
      </c>
      <c r="U2791" t="s">
        <v>51983</v>
      </c>
      <c r="W2791" t="s">
        <v>64457</v>
      </c>
      <c r="X2791" t="s">
        <v>47308</v>
      </c>
    </row>
    <row r="2792" spans="1:24">
      <c r="A2792">
        <f>HYPERLINK("https://www.philgeps.gov.ph/GEPSNONPILOT/Tender/SplashBidNoticeAbstractUI.aspx?menuIndex=3&amp;refID=7194891&amp;Result=3","7194891")</f>
        <v>0</v>
      </c>
      <c r="B2792" t="s">
        <v>361</v>
      </c>
      <c r="C2792" t="s">
        <v>6527</v>
      </c>
      <c r="D2792" t="s">
        <v>19051</v>
      </c>
      <c r="E2792" t="s">
        <v>21626</v>
      </c>
      <c r="F2792" t="s">
        <v>32606</v>
      </c>
      <c r="G2792" t="s">
        <v>32614</v>
      </c>
      <c r="H2792" t="s">
        <v>14201</v>
      </c>
      <c r="I2792" t="s">
        <v>32673</v>
      </c>
      <c r="J2792" t="s">
        <v>32885</v>
      </c>
      <c r="K2792" t="s">
        <v>42631</v>
      </c>
      <c r="M2792" t="s">
        <v>43263</v>
      </c>
      <c r="N2792" t="s">
        <v>47304</v>
      </c>
      <c r="O2792" t="s">
        <v>47305</v>
      </c>
      <c r="P2792">
        <v>0</v>
      </c>
      <c r="Q2792">
        <v>0</v>
      </c>
      <c r="R2792" t="s">
        <v>47306</v>
      </c>
      <c r="S2792" t="s">
        <v>47414</v>
      </c>
      <c r="T2792" t="s">
        <v>48980</v>
      </c>
      <c r="U2792" t="s">
        <v>50185</v>
      </c>
      <c r="W2792" t="s">
        <v>43263</v>
      </c>
      <c r="X2792" t="s">
        <v>47308</v>
      </c>
    </row>
    <row r="2793" spans="1:24">
      <c r="A2793">
        <f>HYPERLINK("https://www.philgeps.gov.ph/GEPSNONPILOT/Tender/SplashBidNoticeAbstractUI.aspx?menuIndex=3&amp;refID=7194890&amp;Result=3","7194890")</f>
        <v>0</v>
      </c>
      <c r="B2793" t="s">
        <v>1189</v>
      </c>
      <c r="C2793" t="s">
        <v>6528</v>
      </c>
      <c r="D2793" t="s">
        <v>19016</v>
      </c>
      <c r="E2793" t="s">
        <v>21627</v>
      </c>
      <c r="F2793" t="s">
        <v>32606</v>
      </c>
      <c r="G2793" t="s">
        <v>32614</v>
      </c>
      <c r="H2793" t="s">
        <v>14201</v>
      </c>
      <c r="I2793" t="s">
        <v>7233</v>
      </c>
      <c r="J2793" t="s">
        <v>34722</v>
      </c>
      <c r="K2793" t="s">
        <v>42623</v>
      </c>
      <c r="M2793" t="s">
        <v>44153</v>
      </c>
      <c r="N2793" t="s">
        <v>47304</v>
      </c>
      <c r="O2793" t="s">
        <v>47305</v>
      </c>
      <c r="P2793">
        <v>0</v>
      </c>
      <c r="Q2793">
        <v>0</v>
      </c>
      <c r="R2793" t="s">
        <v>47306</v>
      </c>
      <c r="S2793" t="s">
        <v>47414</v>
      </c>
      <c r="T2793" t="s">
        <v>49004</v>
      </c>
      <c r="U2793" t="s">
        <v>51984</v>
      </c>
      <c r="V2793" t="s">
        <v>62952</v>
      </c>
      <c r="W2793" t="s">
        <v>44153</v>
      </c>
      <c r="X2793" t="s">
        <v>47308</v>
      </c>
    </row>
    <row r="2794" spans="1:24">
      <c r="A2794">
        <f>HYPERLINK("https://www.philgeps.gov.ph/GEPSNONPILOT/Tender/SplashBidNoticeAbstractUI.aspx?menuIndex=3&amp;refID=7194879&amp;Result=3","7194879")</f>
        <v>0</v>
      </c>
      <c r="B2794" t="s">
        <v>337</v>
      </c>
      <c r="C2794" t="s">
        <v>6529</v>
      </c>
      <c r="D2794" t="s">
        <v>19039</v>
      </c>
      <c r="E2794" t="s">
        <v>21628</v>
      </c>
      <c r="F2794" t="s">
        <v>32606</v>
      </c>
      <c r="G2794" t="s">
        <v>32619</v>
      </c>
      <c r="H2794" t="s">
        <v>14201</v>
      </c>
      <c r="I2794" t="s">
        <v>4678</v>
      </c>
      <c r="J2794" t="s">
        <v>34723</v>
      </c>
      <c r="K2794" t="s">
        <v>42622</v>
      </c>
      <c r="M2794" t="s">
        <v>43239</v>
      </c>
      <c r="N2794" t="s">
        <v>47304</v>
      </c>
      <c r="O2794" t="s">
        <v>47305</v>
      </c>
      <c r="P2794">
        <v>0</v>
      </c>
      <c r="Q2794">
        <v>0</v>
      </c>
      <c r="R2794" t="s">
        <v>47306</v>
      </c>
      <c r="S2794" t="s">
        <v>47414</v>
      </c>
      <c r="T2794" t="s">
        <v>48980</v>
      </c>
      <c r="U2794" t="s">
        <v>51985</v>
      </c>
      <c r="W2794" t="s">
        <v>43239</v>
      </c>
      <c r="X2794" t="s">
        <v>47308</v>
      </c>
    </row>
    <row r="2795" spans="1:24">
      <c r="A2795">
        <f>HYPERLINK("https://www.philgeps.gov.ph/GEPSNONPILOT/Tender/SplashBidNoticeAbstractUI.aspx?menuIndex=3&amp;refID=7194889&amp;Result=3","7194889")</f>
        <v>0</v>
      </c>
      <c r="B2795" t="s">
        <v>149</v>
      </c>
      <c r="C2795" t="s">
        <v>6530</v>
      </c>
      <c r="D2795" t="s">
        <v>19034</v>
      </c>
      <c r="E2795" t="s">
        <v>21629</v>
      </c>
      <c r="F2795" t="s">
        <v>32606</v>
      </c>
      <c r="G2795" t="s">
        <v>32613</v>
      </c>
      <c r="H2795" t="s">
        <v>14201</v>
      </c>
      <c r="I2795" t="s">
        <v>8606</v>
      </c>
      <c r="J2795" t="s">
        <v>33897</v>
      </c>
      <c r="K2795" t="s">
        <v>42631</v>
      </c>
      <c r="M2795" t="s">
        <v>43050</v>
      </c>
      <c r="N2795" t="s">
        <v>47304</v>
      </c>
      <c r="O2795" t="s">
        <v>47305</v>
      </c>
      <c r="P2795">
        <v>0</v>
      </c>
      <c r="Q2795">
        <v>0</v>
      </c>
      <c r="R2795" t="s">
        <v>47306</v>
      </c>
      <c r="S2795" t="s">
        <v>47414</v>
      </c>
      <c r="T2795" t="s">
        <v>48986</v>
      </c>
      <c r="U2795" t="s">
        <v>49808</v>
      </c>
      <c r="W2795" t="s">
        <v>43050</v>
      </c>
      <c r="X2795" t="s">
        <v>47308</v>
      </c>
    </row>
    <row r="2796" spans="1:24">
      <c r="A2796">
        <f>HYPERLINK("https://www.philgeps.gov.ph/GEPSNONPILOT/Tender/SplashBidNoticeAbstractUI.aspx?menuIndex=3&amp;refID=7194895&amp;Result=3","7194895")</f>
        <v>0</v>
      </c>
      <c r="B2796" t="s">
        <v>1190</v>
      </c>
      <c r="C2796" t="s">
        <v>6531</v>
      </c>
      <c r="E2796" t="s">
        <v>21630</v>
      </c>
      <c r="F2796" t="s">
        <v>32606</v>
      </c>
      <c r="G2796" t="s">
        <v>32619</v>
      </c>
      <c r="H2796" t="s">
        <v>14201</v>
      </c>
      <c r="I2796" t="s">
        <v>32638</v>
      </c>
      <c r="J2796" t="s">
        <v>33975</v>
      </c>
      <c r="K2796" t="s">
        <v>42624</v>
      </c>
      <c r="M2796" t="s">
        <v>44154</v>
      </c>
      <c r="N2796" t="s">
        <v>47304</v>
      </c>
      <c r="O2796" t="s">
        <v>47305</v>
      </c>
      <c r="P2796">
        <v>0</v>
      </c>
      <c r="Q2796">
        <v>16</v>
      </c>
      <c r="R2796" t="s">
        <v>47306</v>
      </c>
      <c r="S2796" t="s">
        <v>47414</v>
      </c>
      <c r="T2796" t="s">
        <v>49047</v>
      </c>
      <c r="U2796" t="s">
        <v>51986</v>
      </c>
      <c r="W2796" t="s">
        <v>44154</v>
      </c>
      <c r="X2796" t="s">
        <v>47308</v>
      </c>
    </row>
    <row r="2797" spans="1:24">
      <c r="A2797">
        <f>HYPERLINK("https://www.philgeps.gov.ph/GEPSNONPILOT/Tender/SplashBidNoticeAbstractUI.aspx?menuIndex=3&amp;refID=7194898&amp;Result=3","7194898")</f>
        <v>0</v>
      </c>
      <c r="B2797" t="s">
        <v>1191</v>
      </c>
      <c r="C2797" t="s">
        <v>6532</v>
      </c>
      <c r="D2797" t="s">
        <v>19024</v>
      </c>
      <c r="E2797" t="s">
        <v>19522</v>
      </c>
      <c r="F2797" t="s">
        <v>32606</v>
      </c>
      <c r="G2797" t="s">
        <v>32615</v>
      </c>
      <c r="H2797" t="s">
        <v>14201</v>
      </c>
      <c r="I2797" t="s">
        <v>17648</v>
      </c>
      <c r="J2797" t="s">
        <v>34724</v>
      </c>
      <c r="K2797" t="s">
        <v>42631</v>
      </c>
      <c r="M2797" t="s">
        <v>44155</v>
      </c>
      <c r="N2797" t="s">
        <v>47304</v>
      </c>
      <c r="O2797" t="s">
        <v>47305</v>
      </c>
      <c r="P2797">
        <v>0</v>
      </c>
      <c r="Q2797">
        <v>0</v>
      </c>
      <c r="R2797" t="s">
        <v>47306</v>
      </c>
      <c r="S2797" t="s">
        <v>47414</v>
      </c>
      <c r="T2797" t="s">
        <v>49052</v>
      </c>
      <c r="U2797" t="s">
        <v>51987</v>
      </c>
      <c r="W2797" t="s">
        <v>44155</v>
      </c>
      <c r="X2797" t="s">
        <v>47308</v>
      </c>
    </row>
    <row r="2798" spans="1:24">
      <c r="A2798">
        <f>HYPERLINK("https://www.philgeps.gov.ph/GEPSNONPILOT/Tender/SplashBidNoticeAbstractUI.aspx?menuIndex=3&amp;refID=7194911&amp;Result=3","7194911")</f>
        <v>0</v>
      </c>
      <c r="B2798" t="s">
        <v>446</v>
      </c>
      <c r="C2798" t="s">
        <v>6533</v>
      </c>
      <c r="D2798" t="s">
        <v>19010</v>
      </c>
      <c r="E2798" t="s">
        <v>21631</v>
      </c>
      <c r="F2798" t="s">
        <v>32606</v>
      </c>
      <c r="G2798" t="s">
        <v>32614</v>
      </c>
      <c r="H2798" t="s">
        <v>14201</v>
      </c>
      <c r="I2798" t="s">
        <v>4678</v>
      </c>
      <c r="J2798" t="s">
        <v>33302</v>
      </c>
      <c r="K2798" t="s">
        <v>42677</v>
      </c>
      <c r="M2798" t="s">
        <v>43354</v>
      </c>
      <c r="N2798" t="s">
        <v>47304</v>
      </c>
      <c r="O2798" t="s">
        <v>47305</v>
      </c>
      <c r="P2798">
        <v>0</v>
      </c>
      <c r="Q2798">
        <v>0</v>
      </c>
      <c r="R2798" t="s">
        <v>47306</v>
      </c>
      <c r="S2798" t="s">
        <v>47414</v>
      </c>
      <c r="T2798" t="s">
        <v>48980</v>
      </c>
      <c r="U2798" t="s">
        <v>51988</v>
      </c>
      <c r="W2798" t="s">
        <v>64435</v>
      </c>
      <c r="X2798" t="s">
        <v>47308</v>
      </c>
    </row>
    <row r="2799" spans="1:24">
      <c r="A2799">
        <f>HYPERLINK("https://www.philgeps.gov.ph/GEPSNONPILOT/Tender/SplashBidNoticeAbstractUI.aspx?menuIndex=3&amp;refID=7194909&amp;Result=3","7194909")</f>
        <v>0</v>
      </c>
      <c r="B2799" t="s">
        <v>1192</v>
      </c>
      <c r="C2799" t="s">
        <v>6534</v>
      </c>
      <c r="E2799" t="s">
        <v>21632</v>
      </c>
      <c r="F2799" t="s">
        <v>32606</v>
      </c>
      <c r="G2799" t="s">
        <v>32613</v>
      </c>
      <c r="H2799" t="s">
        <v>14201</v>
      </c>
      <c r="I2799" t="s">
        <v>6478</v>
      </c>
      <c r="J2799" t="s">
        <v>32765</v>
      </c>
      <c r="K2799" t="s">
        <v>42624</v>
      </c>
      <c r="M2799" t="s">
        <v>44156</v>
      </c>
      <c r="N2799" t="s">
        <v>47304</v>
      </c>
      <c r="O2799" t="s">
        <v>47305</v>
      </c>
      <c r="P2799">
        <v>0</v>
      </c>
      <c r="Q2799">
        <v>1</v>
      </c>
      <c r="R2799" t="s">
        <v>47306</v>
      </c>
      <c r="S2799" t="s">
        <v>47414</v>
      </c>
      <c r="T2799" t="s">
        <v>49096</v>
      </c>
      <c r="U2799" t="s">
        <v>51989</v>
      </c>
      <c r="W2799" t="s">
        <v>44156</v>
      </c>
      <c r="X2799" t="s">
        <v>47308</v>
      </c>
    </row>
    <row r="2800" spans="1:24">
      <c r="A2800">
        <f>HYPERLINK("https://www.philgeps.gov.ph/GEPSNONPILOT/Tender/SplashBidNoticeAbstractUI.aspx?menuIndex=3&amp;refID=7194892&amp;Result=3","7194892")</f>
        <v>0</v>
      </c>
      <c r="B2800" t="s">
        <v>362</v>
      </c>
      <c r="C2800" t="s">
        <v>6535</v>
      </c>
      <c r="D2800" t="s">
        <v>19023</v>
      </c>
      <c r="E2800" t="s">
        <v>21633</v>
      </c>
      <c r="F2800" t="s">
        <v>32606</v>
      </c>
      <c r="G2800" t="s">
        <v>32613</v>
      </c>
      <c r="H2800" t="s">
        <v>32623</v>
      </c>
      <c r="I2800" t="s">
        <v>17648</v>
      </c>
      <c r="J2800" t="s">
        <v>34725</v>
      </c>
      <c r="K2800" t="s">
        <v>42720</v>
      </c>
      <c r="M2800" t="s">
        <v>43264</v>
      </c>
      <c r="N2800" t="s">
        <v>47304</v>
      </c>
      <c r="O2800" t="s">
        <v>47305</v>
      </c>
      <c r="P2800">
        <v>0</v>
      </c>
      <c r="Q2800">
        <v>0</v>
      </c>
      <c r="R2800" t="s">
        <v>47306</v>
      </c>
      <c r="S2800" t="s">
        <v>47414</v>
      </c>
      <c r="T2800" t="s">
        <v>49094</v>
      </c>
      <c r="U2800" t="s">
        <v>51990</v>
      </c>
      <c r="W2800" t="s">
        <v>43264</v>
      </c>
      <c r="X2800" t="s">
        <v>47308</v>
      </c>
    </row>
    <row r="2801" spans="1:24">
      <c r="A2801">
        <f>HYPERLINK("https://www.philgeps.gov.ph/GEPSNONPILOT/Tender/SplashBidNoticeAbstractUI.aspx?menuIndex=3&amp;refID=7194896&amp;Result=3","7194896")</f>
        <v>0</v>
      </c>
      <c r="B2801" t="s">
        <v>276</v>
      </c>
      <c r="C2801" t="s">
        <v>6536</v>
      </c>
      <c r="D2801" t="s">
        <v>19001</v>
      </c>
      <c r="E2801" t="s">
        <v>21634</v>
      </c>
      <c r="F2801" t="s">
        <v>32606</v>
      </c>
      <c r="G2801" t="s">
        <v>32614</v>
      </c>
      <c r="H2801" t="s">
        <v>14201</v>
      </c>
      <c r="I2801" t="s">
        <v>6298</v>
      </c>
      <c r="J2801" t="s">
        <v>34118</v>
      </c>
      <c r="K2801" t="s">
        <v>42622</v>
      </c>
      <c r="M2801" t="s">
        <v>43177</v>
      </c>
      <c r="N2801" t="s">
        <v>47304</v>
      </c>
      <c r="O2801" t="s">
        <v>47305</v>
      </c>
      <c r="P2801">
        <v>0</v>
      </c>
      <c r="Q2801">
        <v>0</v>
      </c>
      <c r="R2801" t="s">
        <v>47306</v>
      </c>
      <c r="S2801" t="s">
        <v>47414</v>
      </c>
      <c r="T2801" t="s">
        <v>48986</v>
      </c>
      <c r="U2801" t="s">
        <v>51991</v>
      </c>
      <c r="W2801" t="s">
        <v>43177</v>
      </c>
      <c r="X2801" t="s">
        <v>47308</v>
      </c>
    </row>
    <row r="2802" spans="1:24">
      <c r="A2802">
        <f>HYPERLINK("https://www.philgeps.gov.ph/GEPSNONPILOT/Tender/SplashBidNoticeAbstractUI.aspx?menuIndex=3&amp;refID=7194918&amp;Result=3","7194918")</f>
        <v>0</v>
      </c>
      <c r="B2802" t="s">
        <v>1193</v>
      </c>
      <c r="C2802" t="s">
        <v>6537</v>
      </c>
      <c r="D2802" t="s">
        <v>19007</v>
      </c>
      <c r="E2802" t="s">
        <v>21635</v>
      </c>
      <c r="F2802" t="s">
        <v>32606</v>
      </c>
      <c r="G2802" t="s">
        <v>32614</v>
      </c>
      <c r="H2802" t="s">
        <v>14201</v>
      </c>
      <c r="I2802" t="s">
        <v>32669</v>
      </c>
      <c r="J2802" t="s">
        <v>34726</v>
      </c>
      <c r="K2802" t="s">
        <v>42624</v>
      </c>
      <c r="M2802" t="s">
        <v>44157</v>
      </c>
      <c r="N2802" t="s">
        <v>47304</v>
      </c>
      <c r="O2802" t="s">
        <v>47305</v>
      </c>
      <c r="P2802">
        <v>0</v>
      </c>
      <c r="Q2802">
        <v>0</v>
      </c>
      <c r="R2802" t="s">
        <v>47306</v>
      </c>
      <c r="S2802" t="s">
        <v>47414</v>
      </c>
      <c r="T2802" t="s">
        <v>49242</v>
      </c>
      <c r="U2802" t="s">
        <v>51992</v>
      </c>
      <c r="W2802" t="s">
        <v>44157</v>
      </c>
      <c r="X2802" t="s">
        <v>47308</v>
      </c>
    </row>
    <row r="2803" spans="1:24">
      <c r="A2803">
        <f>HYPERLINK("https://www.philgeps.gov.ph/GEPSNONPILOT/Tender/SplashBidNoticeAbstractUI.aspx?menuIndex=3&amp;refID=7194878&amp;Result=3","7194878")</f>
        <v>0</v>
      </c>
      <c r="B2803" t="s">
        <v>461</v>
      </c>
      <c r="C2803" t="s">
        <v>6538</v>
      </c>
      <c r="D2803" t="s">
        <v>19011</v>
      </c>
      <c r="E2803" t="s">
        <v>21636</v>
      </c>
      <c r="F2803" t="s">
        <v>32606</v>
      </c>
      <c r="G2803" t="s">
        <v>32619</v>
      </c>
      <c r="H2803" t="s">
        <v>14201</v>
      </c>
      <c r="I2803" t="s">
        <v>4120</v>
      </c>
      <c r="J2803" t="s">
        <v>34727</v>
      </c>
      <c r="K2803" t="s">
        <v>42624</v>
      </c>
      <c r="M2803" t="s">
        <v>43371</v>
      </c>
      <c r="N2803" t="s">
        <v>47304</v>
      </c>
      <c r="O2803" t="s">
        <v>47305</v>
      </c>
      <c r="P2803">
        <v>0</v>
      </c>
      <c r="Q2803">
        <v>0</v>
      </c>
      <c r="R2803" t="s">
        <v>47306</v>
      </c>
      <c r="S2803" t="s">
        <v>47414</v>
      </c>
      <c r="T2803" t="s">
        <v>49068</v>
      </c>
      <c r="U2803" t="s">
        <v>51117</v>
      </c>
      <c r="W2803" t="s">
        <v>43371</v>
      </c>
      <c r="X2803" t="s">
        <v>47308</v>
      </c>
    </row>
    <row r="2804" spans="1:24">
      <c r="A2804">
        <f>HYPERLINK("https://www.philgeps.gov.ph/GEPSNONPILOT/Tender/SplashBidNoticeAbstractUI.aspx?menuIndex=3&amp;refID=7194914&amp;Result=3","7194914")</f>
        <v>0</v>
      </c>
      <c r="B2804" t="s">
        <v>1194</v>
      </c>
      <c r="C2804" t="s">
        <v>6539</v>
      </c>
      <c r="D2804" t="s">
        <v>19025</v>
      </c>
      <c r="E2804" t="s">
        <v>21637</v>
      </c>
      <c r="F2804" t="s">
        <v>32606</v>
      </c>
      <c r="G2804" t="s">
        <v>32619</v>
      </c>
      <c r="H2804" t="s">
        <v>14201</v>
      </c>
      <c r="I2804" t="s">
        <v>6931</v>
      </c>
      <c r="J2804" t="s">
        <v>33919</v>
      </c>
      <c r="K2804" t="s">
        <v>42630</v>
      </c>
      <c r="M2804" t="s">
        <v>44158</v>
      </c>
      <c r="N2804" t="s">
        <v>47304</v>
      </c>
      <c r="O2804" t="s">
        <v>47305</v>
      </c>
      <c r="P2804">
        <v>0</v>
      </c>
      <c r="Q2804">
        <v>1</v>
      </c>
      <c r="R2804" t="s">
        <v>47306</v>
      </c>
      <c r="S2804" t="s">
        <v>47414</v>
      </c>
      <c r="T2804" t="s">
        <v>48980</v>
      </c>
      <c r="U2804" t="s">
        <v>51993</v>
      </c>
      <c r="W2804" t="s">
        <v>44158</v>
      </c>
      <c r="X2804" t="s">
        <v>47308</v>
      </c>
    </row>
    <row r="2805" spans="1:24">
      <c r="A2805">
        <f>HYPERLINK("https://www.philgeps.gov.ph/GEPSNONPILOT/Tender/SplashBidNoticeAbstractUI.aspx?menuIndex=3&amp;refID=7194912&amp;Result=3","7194912")</f>
        <v>0</v>
      </c>
      <c r="B2805" t="s">
        <v>1195</v>
      </c>
      <c r="C2805" t="s">
        <v>6540</v>
      </c>
      <c r="E2805" t="s">
        <v>21638</v>
      </c>
      <c r="F2805" t="s">
        <v>32607</v>
      </c>
      <c r="G2805" t="s">
        <v>32619</v>
      </c>
      <c r="H2805" t="s">
        <v>14201</v>
      </c>
      <c r="I2805" t="s">
        <v>32626</v>
      </c>
      <c r="J2805" t="s">
        <v>33360</v>
      </c>
      <c r="K2805" t="s">
        <v>42624</v>
      </c>
      <c r="M2805" t="s">
        <v>44159</v>
      </c>
      <c r="N2805" t="s">
        <v>47304</v>
      </c>
      <c r="O2805" t="s">
        <v>47305</v>
      </c>
      <c r="P2805">
        <v>0</v>
      </c>
      <c r="Q2805">
        <v>2</v>
      </c>
      <c r="R2805" t="s">
        <v>47306</v>
      </c>
      <c r="S2805" t="s">
        <v>47414</v>
      </c>
      <c r="T2805" t="s">
        <v>49104</v>
      </c>
      <c r="U2805" t="s">
        <v>51994</v>
      </c>
      <c r="W2805" t="s">
        <v>44159</v>
      </c>
      <c r="X2805" t="s">
        <v>47308</v>
      </c>
    </row>
    <row r="2806" spans="1:24">
      <c r="A2806">
        <f>HYPERLINK("https://www.philgeps.gov.ph/GEPSNONPILOT/Tender/SplashBidNoticeAbstractUI.aspx?menuIndex=3&amp;refID=7194907&amp;Result=3","7194907")</f>
        <v>0</v>
      </c>
      <c r="B2806" t="s">
        <v>1196</v>
      </c>
      <c r="C2806" t="s">
        <v>6541</v>
      </c>
      <c r="D2806" t="s">
        <v>19010</v>
      </c>
      <c r="E2806" t="s">
        <v>21639</v>
      </c>
      <c r="F2806" t="s">
        <v>32607</v>
      </c>
      <c r="G2806" t="s">
        <v>32613</v>
      </c>
      <c r="H2806" t="s">
        <v>32623</v>
      </c>
      <c r="I2806" t="s">
        <v>17648</v>
      </c>
      <c r="J2806" t="s">
        <v>34728</v>
      </c>
      <c r="K2806" t="s">
        <v>42678</v>
      </c>
      <c r="L2806" t="s">
        <v>1196</v>
      </c>
      <c r="M2806" t="s">
        <v>44160</v>
      </c>
      <c r="N2806" t="s">
        <v>47304</v>
      </c>
      <c r="O2806" t="s">
        <v>47305</v>
      </c>
      <c r="P2806">
        <v>0</v>
      </c>
      <c r="Q2806">
        <v>0</v>
      </c>
      <c r="R2806" t="s">
        <v>47306</v>
      </c>
      <c r="S2806" t="s">
        <v>47414</v>
      </c>
      <c r="T2806" t="s">
        <v>48973</v>
      </c>
      <c r="U2806" t="s">
        <v>51995</v>
      </c>
      <c r="W2806" t="s">
        <v>44160</v>
      </c>
      <c r="X2806" t="s">
        <v>47308</v>
      </c>
    </row>
    <row r="2807" spans="1:24">
      <c r="A2807">
        <f>HYPERLINK("https://www.philgeps.gov.ph/GEPSNONPILOT/Tender/SplashBidNoticeAbstractUI.aspx?menuIndex=3&amp;refID=7194906&amp;Result=3","7194906")</f>
        <v>0</v>
      </c>
      <c r="B2807" t="s">
        <v>296</v>
      </c>
      <c r="C2807" t="s">
        <v>6542</v>
      </c>
      <c r="D2807" t="s">
        <v>19038</v>
      </c>
      <c r="E2807" t="s">
        <v>21640</v>
      </c>
      <c r="F2807" t="s">
        <v>32606</v>
      </c>
      <c r="G2807" t="s">
        <v>32613</v>
      </c>
      <c r="H2807" t="s">
        <v>14201</v>
      </c>
      <c r="I2807" t="s">
        <v>4678</v>
      </c>
      <c r="J2807" t="s">
        <v>34729</v>
      </c>
      <c r="K2807" t="s">
        <v>42624</v>
      </c>
      <c r="M2807" t="s">
        <v>43198</v>
      </c>
      <c r="N2807" t="s">
        <v>47304</v>
      </c>
      <c r="O2807" t="s">
        <v>47305</v>
      </c>
      <c r="P2807">
        <v>0</v>
      </c>
      <c r="Q2807">
        <v>0</v>
      </c>
      <c r="R2807" t="s">
        <v>47306</v>
      </c>
      <c r="S2807" t="s">
        <v>47414</v>
      </c>
      <c r="T2807" t="s">
        <v>49017</v>
      </c>
      <c r="U2807" t="s">
        <v>50103</v>
      </c>
      <c r="W2807" t="s">
        <v>43198</v>
      </c>
      <c r="X2807" t="s">
        <v>47308</v>
      </c>
    </row>
    <row r="2808" spans="1:24">
      <c r="A2808">
        <f>HYPERLINK("https://www.philgeps.gov.ph/GEPSNONPILOT/Tender/SplashBidNoticeAbstractUI.aspx?menuIndex=3&amp;refID=7194916&amp;Result=3","7194916")</f>
        <v>0</v>
      </c>
      <c r="B2808" t="s">
        <v>281</v>
      </c>
      <c r="C2808" t="s">
        <v>6543</v>
      </c>
      <c r="D2808" t="s">
        <v>19065</v>
      </c>
      <c r="E2808" t="s">
        <v>21641</v>
      </c>
      <c r="F2808" t="s">
        <v>32606</v>
      </c>
      <c r="G2808" t="s">
        <v>32614</v>
      </c>
      <c r="H2808" t="s">
        <v>14201</v>
      </c>
      <c r="I2808" t="s">
        <v>6007</v>
      </c>
      <c r="J2808" t="s">
        <v>34730</v>
      </c>
      <c r="K2808" t="s">
        <v>42663</v>
      </c>
      <c r="M2808" t="s">
        <v>43182</v>
      </c>
      <c r="N2808" t="s">
        <v>47304</v>
      </c>
      <c r="O2808" t="s">
        <v>47305</v>
      </c>
      <c r="P2808">
        <v>0</v>
      </c>
      <c r="Q2808">
        <v>0</v>
      </c>
      <c r="R2808" t="s">
        <v>47306</v>
      </c>
      <c r="S2808" t="s">
        <v>47414</v>
      </c>
      <c r="T2808" t="s">
        <v>48979</v>
      </c>
      <c r="U2808" t="s">
        <v>51996</v>
      </c>
      <c r="W2808" t="s">
        <v>43182</v>
      </c>
      <c r="X2808" t="s">
        <v>47308</v>
      </c>
    </row>
    <row r="2809" spans="1:24">
      <c r="A2809">
        <f>HYPERLINK("https://www.philgeps.gov.ph/GEPSNONPILOT/Tender/SplashBidNoticeAbstractUI.aspx?menuIndex=3&amp;refID=7194915&amp;Result=3","7194915")</f>
        <v>0</v>
      </c>
      <c r="B2809" t="s">
        <v>294</v>
      </c>
      <c r="C2809" t="s">
        <v>6544</v>
      </c>
      <c r="D2809" t="s">
        <v>19019</v>
      </c>
      <c r="E2809" t="s">
        <v>21642</v>
      </c>
      <c r="F2809" t="s">
        <v>32606</v>
      </c>
      <c r="G2809" t="s">
        <v>32614</v>
      </c>
      <c r="H2809" t="s">
        <v>14201</v>
      </c>
      <c r="I2809" t="s">
        <v>5233</v>
      </c>
      <c r="J2809" t="s">
        <v>34731</v>
      </c>
      <c r="K2809" t="s">
        <v>42631</v>
      </c>
      <c r="M2809" t="s">
        <v>43196</v>
      </c>
      <c r="N2809" t="s">
        <v>47304</v>
      </c>
      <c r="O2809" t="s">
        <v>47305</v>
      </c>
      <c r="P2809">
        <v>0</v>
      </c>
      <c r="Q2809">
        <v>0</v>
      </c>
      <c r="R2809" t="s">
        <v>47306</v>
      </c>
      <c r="S2809" t="s">
        <v>47414</v>
      </c>
      <c r="T2809" t="s">
        <v>49014</v>
      </c>
      <c r="U2809" t="s">
        <v>50052</v>
      </c>
      <c r="W2809" t="s">
        <v>43196</v>
      </c>
      <c r="X2809" t="s">
        <v>47308</v>
      </c>
    </row>
    <row r="2810" spans="1:24">
      <c r="A2810">
        <f>HYPERLINK("https://www.philgeps.gov.ph/GEPSNONPILOT/Tender/SplashBidNoticeAbstractUI.aspx?menuIndex=3&amp;refID=7194905&amp;Result=3","7194905")</f>
        <v>0</v>
      </c>
      <c r="B2810" t="s">
        <v>1197</v>
      </c>
      <c r="C2810" t="s">
        <v>6545</v>
      </c>
      <c r="D2810" t="s">
        <v>19011</v>
      </c>
      <c r="E2810" t="s">
        <v>21643</v>
      </c>
      <c r="F2810" t="s">
        <v>32606</v>
      </c>
      <c r="G2810" t="s">
        <v>32614</v>
      </c>
      <c r="H2810" t="s">
        <v>14201</v>
      </c>
      <c r="I2810" t="s">
        <v>32629</v>
      </c>
      <c r="J2810" t="s">
        <v>34732</v>
      </c>
      <c r="K2810" t="s">
        <v>42622</v>
      </c>
      <c r="M2810" t="s">
        <v>44161</v>
      </c>
      <c r="N2810" t="s">
        <v>47304</v>
      </c>
      <c r="O2810" t="s">
        <v>47305</v>
      </c>
      <c r="P2810">
        <v>0</v>
      </c>
      <c r="Q2810">
        <v>0</v>
      </c>
      <c r="R2810" t="s">
        <v>47306</v>
      </c>
      <c r="S2810" t="s">
        <v>47414</v>
      </c>
      <c r="T2810" t="s">
        <v>48980</v>
      </c>
      <c r="U2810" t="s">
        <v>51997</v>
      </c>
      <c r="V2810" t="s">
        <v>62953</v>
      </c>
      <c r="W2810" t="s">
        <v>44161</v>
      </c>
      <c r="X2810" t="s">
        <v>47308</v>
      </c>
    </row>
    <row r="2811" spans="1:24">
      <c r="A2811">
        <f>HYPERLINK("https://www.philgeps.gov.ph/GEPSNONPILOT/Tender/SplashBidNoticeAbstractUI.aspx?menuIndex=3&amp;refID=7194904&amp;Result=3","7194904")</f>
        <v>0</v>
      </c>
      <c r="B2811" t="s">
        <v>81</v>
      </c>
      <c r="C2811" t="s">
        <v>4459</v>
      </c>
      <c r="D2811" t="s">
        <v>18995</v>
      </c>
      <c r="E2811" t="s">
        <v>21644</v>
      </c>
      <c r="F2811" t="s">
        <v>32606</v>
      </c>
      <c r="G2811" t="s">
        <v>32614</v>
      </c>
      <c r="H2811" t="s">
        <v>14201</v>
      </c>
      <c r="I2811" t="s">
        <v>4112</v>
      </c>
      <c r="J2811" t="s">
        <v>34733</v>
      </c>
      <c r="K2811" t="s">
        <v>42624</v>
      </c>
      <c r="M2811" t="s">
        <v>42978</v>
      </c>
      <c r="N2811" t="s">
        <v>47304</v>
      </c>
      <c r="O2811" t="s">
        <v>47305</v>
      </c>
      <c r="P2811">
        <v>0</v>
      </c>
      <c r="Q2811">
        <v>0</v>
      </c>
      <c r="R2811" t="s">
        <v>47306</v>
      </c>
      <c r="S2811" t="s">
        <v>47414</v>
      </c>
      <c r="T2811" t="s">
        <v>49014</v>
      </c>
      <c r="U2811" t="s">
        <v>51998</v>
      </c>
      <c r="W2811" t="s">
        <v>42978</v>
      </c>
      <c r="X2811" t="s">
        <v>47308</v>
      </c>
    </row>
    <row r="2812" spans="1:24">
      <c r="A2812">
        <f>HYPERLINK("https://www.philgeps.gov.ph/GEPSNONPILOT/Tender/SplashBidNoticeAbstractUI.aspx?menuIndex=3&amp;refID=7194908&amp;Result=3","7194908")</f>
        <v>0</v>
      </c>
      <c r="B2812" t="s">
        <v>255</v>
      </c>
      <c r="C2812" t="s">
        <v>4830</v>
      </c>
      <c r="E2812" t="s">
        <v>21645</v>
      </c>
      <c r="F2812" t="s">
        <v>32606</v>
      </c>
      <c r="G2812" t="s">
        <v>32619</v>
      </c>
      <c r="H2812" t="s">
        <v>14201</v>
      </c>
      <c r="I2812" t="s">
        <v>4120</v>
      </c>
      <c r="J2812" t="s">
        <v>34734</v>
      </c>
      <c r="K2812" t="s">
        <v>42624</v>
      </c>
      <c r="M2812" t="s">
        <v>43156</v>
      </c>
      <c r="N2812" t="s">
        <v>47304</v>
      </c>
      <c r="O2812" t="s">
        <v>47305</v>
      </c>
      <c r="P2812">
        <v>0</v>
      </c>
      <c r="Q2812">
        <v>1</v>
      </c>
      <c r="R2812" t="s">
        <v>47306</v>
      </c>
      <c r="S2812" t="s">
        <v>47414</v>
      </c>
      <c r="T2812" t="s">
        <v>49068</v>
      </c>
      <c r="U2812" t="s">
        <v>51999</v>
      </c>
      <c r="W2812" t="s">
        <v>43156</v>
      </c>
      <c r="X2812" t="s">
        <v>47308</v>
      </c>
    </row>
    <row r="2813" spans="1:24">
      <c r="A2813">
        <f>HYPERLINK("https://www.philgeps.gov.ph/GEPSNONPILOT/Tender/SplashBidNoticeAbstractUI.aspx?menuIndex=3&amp;refID=7194944&amp;Result=3","7194944")</f>
        <v>0</v>
      </c>
      <c r="B2813" t="s">
        <v>972</v>
      </c>
      <c r="C2813" t="s">
        <v>6546</v>
      </c>
      <c r="E2813" t="s">
        <v>21646</v>
      </c>
      <c r="F2813" t="s">
        <v>32606</v>
      </c>
      <c r="G2813" t="s">
        <v>32614</v>
      </c>
      <c r="H2813" t="s">
        <v>14201</v>
      </c>
      <c r="I2813" t="s">
        <v>4114</v>
      </c>
      <c r="J2813" t="s">
        <v>34381</v>
      </c>
      <c r="K2813" t="s">
        <v>42624</v>
      </c>
      <c r="M2813" t="s">
        <v>43918</v>
      </c>
      <c r="N2813" t="s">
        <v>47304</v>
      </c>
      <c r="O2813" t="s">
        <v>47305</v>
      </c>
      <c r="P2813">
        <v>0</v>
      </c>
      <c r="Q2813">
        <v>3</v>
      </c>
      <c r="R2813" t="s">
        <v>47306</v>
      </c>
      <c r="S2813" t="s">
        <v>47414</v>
      </c>
      <c r="T2813" t="s">
        <v>49015</v>
      </c>
      <c r="U2813" t="s">
        <v>52000</v>
      </c>
      <c r="W2813" t="s">
        <v>43918</v>
      </c>
      <c r="X2813" t="s">
        <v>47308</v>
      </c>
    </row>
    <row r="2814" spans="1:24">
      <c r="A2814">
        <f>HYPERLINK("https://www.philgeps.gov.ph/GEPSNONPILOT/Tender/SplashBidNoticeAbstractUI.aspx?menuIndex=3&amp;refID=7194943&amp;Result=3","7194943")</f>
        <v>0</v>
      </c>
      <c r="B2814" t="s">
        <v>733</v>
      </c>
      <c r="C2814" t="s">
        <v>6547</v>
      </c>
      <c r="D2814" t="s">
        <v>19010</v>
      </c>
      <c r="E2814" t="s">
        <v>21647</v>
      </c>
      <c r="F2814" t="s">
        <v>32606</v>
      </c>
      <c r="G2814" t="s">
        <v>32614</v>
      </c>
      <c r="H2814" t="s">
        <v>14201</v>
      </c>
      <c r="I2814" t="s">
        <v>6298</v>
      </c>
      <c r="J2814" t="s">
        <v>32885</v>
      </c>
      <c r="K2814" t="s">
        <v>42624</v>
      </c>
      <c r="M2814" t="s">
        <v>43655</v>
      </c>
      <c r="N2814" t="s">
        <v>47304</v>
      </c>
      <c r="O2814" t="s">
        <v>47305</v>
      </c>
      <c r="P2814">
        <v>0</v>
      </c>
      <c r="Q2814">
        <v>1</v>
      </c>
      <c r="R2814" t="s">
        <v>47306</v>
      </c>
      <c r="S2814" t="s">
        <v>47414</v>
      </c>
      <c r="T2814" t="s">
        <v>49004</v>
      </c>
      <c r="U2814" t="s">
        <v>50865</v>
      </c>
      <c r="W2814" t="s">
        <v>43655</v>
      </c>
      <c r="X2814" t="s">
        <v>47308</v>
      </c>
    </row>
    <row r="2815" spans="1:24">
      <c r="A2815">
        <f>HYPERLINK("https://www.philgeps.gov.ph/GEPSNONPILOT/Tender/SplashBidNoticeAbstractUI.aspx?menuIndex=3&amp;refID=7194942&amp;Result=3","7194942")</f>
        <v>0</v>
      </c>
      <c r="B2815" t="s">
        <v>187</v>
      </c>
      <c r="C2815" t="s">
        <v>6548</v>
      </c>
      <c r="D2815" t="s">
        <v>19038</v>
      </c>
      <c r="E2815" t="s">
        <v>21648</v>
      </c>
      <c r="F2815" t="s">
        <v>32606</v>
      </c>
      <c r="G2815" t="s">
        <v>32613</v>
      </c>
      <c r="H2815" t="s">
        <v>14201</v>
      </c>
      <c r="I2815" t="s">
        <v>32629</v>
      </c>
      <c r="J2815" t="s">
        <v>34735</v>
      </c>
      <c r="K2815" t="s">
        <v>42622</v>
      </c>
      <c r="M2815" t="s">
        <v>43088</v>
      </c>
      <c r="N2815" t="s">
        <v>47304</v>
      </c>
      <c r="O2815" t="s">
        <v>47305</v>
      </c>
      <c r="P2815">
        <v>0</v>
      </c>
      <c r="Q2815">
        <v>0</v>
      </c>
      <c r="R2815" t="s">
        <v>47306</v>
      </c>
      <c r="S2815" t="s">
        <v>47414</v>
      </c>
      <c r="T2815" t="s">
        <v>48986</v>
      </c>
      <c r="U2815" t="s">
        <v>52001</v>
      </c>
      <c r="W2815" t="s">
        <v>43088</v>
      </c>
      <c r="X2815" t="s">
        <v>47308</v>
      </c>
    </row>
    <row r="2816" spans="1:24">
      <c r="A2816">
        <f>HYPERLINK("https://www.philgeps.gov.ph/GEPSNONPILOT/Tender/SplashBidNoticeAbstractUI.aspx?menuIndex=3&amp;refID=7194921&amp;Result=3","7194921")</f>
        <v>0</v>
      </c>
      <c r="B2816" t="s">
        <v>733</v>
      </c>
      <c r="C2816" t="s">
        <v>6549</v>
      </c>
      <c r="D2816" t="s">
        <v>19010</v>
      </c>
      <c r="E2816" t="s">
        <v>21649</v>
      </c>
      <c r="F2816" t="s">
        <v>32606</v>
      </c>
      <c r="G2816" t="s">
        <v>32614</v>
      </c>
      <c r="H2816" t="s">
        <v>14201</v>
      </c>
      <c r="I2816" t="s">
        <v>6298</v>
      </c>
      <c r="J2816" t="s">
        <v>32789</v>
      </c>
      <c r="K2816" t="s">
        <v>42624</v>
      </c>
      <c r="M2816" t="s">
        <v>43655</v>
      </c>
      <c r="N2816" t="s">
        <v>47304</v>
      </c>
      <c r="O2816" t="s">
        <v>47305</v>
      </c>
      <c r="P2816">
        <v>0</v>
      </c>
      <c r="Q2816">
        <v>5</v>
      </c>
      <c r="R2816" t="s">
        <v>47306</v>
      </c>
      <c r="S2816" t="s">
        <v>47414</v>
      </c>
      <c r="T2816" t="s">
        <v>49004</v>
      </c>
      <c r="U2816" t="s">
        <v>50865</v>
      </c>
      <c r="W2816" t="s">
        <v>43655</v>
      </c>
      <c r="X2816" t="s">
        <v>47308</v>
      </c>
    </row>
    <row r="2817" spans="1:24">
      <c r="A2817">
        <f>HYPERLINK("https://www.philgeps.gov.ph/GEPSNONPILOT/Tender/SplashBidNoticeAbstractUI.aspx?menuIndex=3&amp;refID=7194939&amp;Result=3","7194939")</f>
        <v>0</v>
      </c>
      <c r="B2817" t="s">
        <v>1198</v>
      </c>
      <c r="C2817" t="s">
        <v>6550</v>
      </c>
      <c r="D2817" t="s">
        <v>19049</v>
      </c>
      <c r="E2817" t="s">
        <v>21650</v>
      </c>
      <c r="F2817" t="s">
        <v>32606</v>
      </c>
      <c r="G2817" t="s">
        <v>32614</v>
      </c>
      <c r="H2817" t="s">
        <v>14201</v>
      </c>
      <c r="I2817" t="s">
        <v>32626</v>
      </c>
      <c r="J2817" t="s">
        <v>34736</v>
      </c>
      <c r="K2817" t="s">
        <v>42623</v>
      </c>
      <c r="M2817" t="s">
        <v>44162</v>
      </c>
      <c r="N2817" t="s">
        <v>47304</v>
      </c>
      <c r="O2817" t="s">
        <v>47305</v>
      </c>
      <c r="P2817">
        <v>0</v>
      </c>
      <c r="Q2817">
        <v>12</v>
      </c>
      <c r="R2817" t="s">
        <v>47306</v>
      </c>
      <c r="S2817" t="s">
        <v>47414</v>
      </c>
      <c r="T2817" t="s">
        <v>48987</v>
      </c>
      <c r="U2817" t="s">
        <v>52002</v>
      </c>
      <c r="W2817" t="s">
        <v>44162</v>
      </c>
      <c r="X2817" t="s">
        <v>47308</v>
      </c>
    </row>
    <row r="2818" spans="1:24">
      <c r="A2818">
        <f>HYPERLINK("https://www.philgeps.gov.ph/GEPSNONPILOT/Tender/SplashBidNoticeAbstractUI.aspx?menuIndex=3&amp;refID=7194938&amp;Result=3","7194938")</f>
        <v>0</v>
      </c>
      <c r="B2818" t="s">
        <v>316</v>
      </c>
      <c r="C2818" t="s">
        <v>6551</v>
      </c>
      <c r="D2818" t="s">
        <v>18994</v>
      </c>
      <c r="E2818" t="s">
        <v>21651</v>
      </c>
      <c r="F2818" t="s">
        <v>32606</v>
      </c>
      <c r="G2818" t="s">
        <v>32614</v>
      </c>
      <c r="H2818" t="s">
        <v>14201</v>
      </c>
      <c r="I2818" t="s">
        <v>6298</v>
      </c>
      <c r="J2818" t="s">
        <v>34737</v>
      </c>
      <c r="K2818" t="s">
        <v>42624</v>
      </c>
      <c r="M2818" t="s">
        <v>43218</v>
      </c>
      <c r="N2818" t="s">
        <v>47304</v>
      </c>
      <c r="O2818" t="s">
        <v>47305</v>
      </c>
      <c r="P2818">
        <v>0</v>
      </c>
      <c r="Q2818">
        <v>0</v>
      </c>
      <c r="R2818" t="s">
        <v>47306</v>
      </c>
      <c r="S2818" t="s">
        <v>47414</v>
      </c>
      <c r="T2818" t="s">
        <v>48975</v>
      </c>
      <c r="U2818" t="s">
        <v>50096</v>
      </c>
      <c r="V2818" t="s">
        <v>62721</v>
      </c>
      <c r="W2818" t="s">
        <v>43218</v>
      </c>
      <c r="X2818" t="s">
        <v>47308</v>
      </c>
    </row>
    <row r="2819" spans="1:24">
      <c r="A2819">
        <f>HYPERLINK("https://www.philgeps.gov.ph/GEPSNONPILOT/Tender/SplashBidNoticeAbstractUI.aspx?menuIndex=3&amp;refID=7194936&amp;Result=3","7194936")</f>
        <v>0</v>
      </c>
      <c r="B2819" t="s">
        <v>1199</v>
      </c>
      <c r="C2819" t="s">
        <v>6552</v>
      </c>
      <c r="D2819" t="s">
        <v>19059</v>
      </c>
      <c r="E2819" t="s">
        <v>21652</v>
      </c>
      <c r="F2819" t="s">
        <v>32606</v>
      </c>
      <c r="G2819" t="s">
        <v>32613</v>
      </c>
      <c r="H2819" t="s">
        <v>14201</v>
      </c>
      <c r="I2819" t="s">
        <v>32655</v>
      </c>
      <c r="J2819" t="s">
        <v>32789</v>
      </c>
      <c r="K2819" t="s">
        <v>42636</v>
      </c>
      <c r="M2819" t="s">
        <v>44163</v>
      </c>
      <c r="N2819" t="s">
        <v>47304</v>
      </c>
      <c r="O2819" t="s">
        <v>47305</v>
      </c>
      <c r="P2819">
        <v>0</v>
      </c>
      <c r="Q2819">
        <v>2</v>
      </c>
      <c r="R2819" t="s">
        <v>47306</v>
      </c>
      <c r="S2819" t="s">
        <v>47414</v>
      </c>
      <c r="T2819" t="s">
        <v>49175</v>
      </c>
      <c r="U2819" t="s">
        <v>52003</v>
      </c>
      <c r="W2819" t="s">
        <v>44163</v>
      </c>
      <c r="X2819" t="s">
        <v>47308</v>
      </c>
    </row>
    <row r="2820" spans="1:24">
      <c r="A2820">
        <f>HYPERLINK("https://www.philgeps.gov.ph/GEPSNONPILOT/Tender/SplashBidNoticeAbstractUI.aspx?menuIndex=3&amp;refID=7194880&amp;Result=3","7194880")</f>
        <v>0</v>
      </c>
      <c r="B2820" t="s">
        <v>238</v>
      </c>
      <c r="C2820" t="s">
        <v>6553</v>
      </c>
      <c r="D2820" t="s">
        <v>18993</v>
      </c>
      <c r="E2820" t="s">
        <v>21653</v>
      </c>
      <c r="F2820" t="s">
        <v>32606</v>
      </c>
      <c r="G2820" t="s">
        <v>32619</v>
      </c>
      <c r="H2820" t="s">
        <v>14201</v>
      </c>
      <c r="I2820" t="s">
        <v>4114</v>
      </c>
      <c r="J2820" t="s">
        <v>34738</v>
      </c>
      <c r="K2820" t="s">
        <v>42622</v>
      </c>
      <c r="M2820" t="s">
        <v>43194</v>
      </c>
      <c r="N2820" t="s">
        <v>47304</v>
      </c>
      <c r="O2820" t="s">
        <v>47305</v>
      </c>
      <c r="P2820">
        <v>0</v>
      </c>
      <c r="Q2820">
        <v>2</v>
      </c>
      <c r="R2820" t="s">
        <v>47306</v>
      </c>
      <c r="S2820" t="s">
        <v>47414</v>
      </c>
      <c r="T2820" t="s">
        <v>49070</v>
      </c>
      <c r="U2820" t="s">
        <v>50120</v>
      </c>
      <c r="V2820" t="s">
        <v>62716</v>
      </c>
      <c r="W2820" t="s">
        <v>43194</v>
      </c>
      <c r="X2820" t="s">
        <v>47308</v>
      </c>
    </row>
    <row r="2821" spans="1:24">
      <c r="A2821">
        <f>HYPERLINK("https://www.philgeps.gov.ph/GEPSNONPILOT/Tender/SplashBidNoticeAbstractUI.aspx?menuIndex=3&amp;refID=7194935&amp;Result=3","7194935")</f>
        <v>0</v>
      </c>
      <c r="B2821" t="s">
        <v>1200</v>
      </c>
      <c r="C2821" t="s">
        <v>6554</v>
      </c>
      <c r="D2821" t="s">
        <v>19056</v>
      </c>
      <c r="E2821" t="s">
        <v>19279</v>
      </c>
      <c r="F2821" t="s">
        <v>32606</v>
      </c>
      <c r="G2821" t="s">
        <v>32613</v>
      </c>
      <c r="H2821" t="s">
        <v>32623</v>
      </c>
      <c r="I2821" t="s">
        <v>17648</v>
      </c>
      <c r="J2821" t="s">
        <v>33039</v>
      </c>
      <c r="K2821" t="s">
        <v>42722</v>
      </c>
      <c r="M2821" t="s">
        <v>44164</v>
      </c>
      <c r="N2821" t="s">
        <v>47304</v>
      </c>
      <c r="O2821" t="s">
        <v>47305</v>
      </c>
      <c r="P2821">
        <v>0</v>
      </c>
      <c r="Q2821">
        <v>0</v>
      </c>
      <c r="R2821" t="s">
        <v>47306</v>
      </c>
      <c r="S2821" t="s">
        <v>47414</v>
      </c>
      <c r="T2821" t="s">
        <v>48973</v>
      </c>
      <c r="U2821" t="s">
        <v>52004</v>
      </c>
      <c r="W2821" t="s">
        <v>44164</v>
      </c>
      <c r="X2821" t="s">
        <v>47308</v>
      </c>
    </row>
    <row r="2822" spans="1:24">
      <c r="A2822">
        <f>HYPERLINK("https://www.philgeps.gov.ph/GEPSNONPILOT/Tender/SplashBidNoticeAbstractUI.aspx?menuIndex=3&amp;refID=7194934&amp;Result=3","7194934")</f>
        <v>0</v>
      </c>
      <c r="B2822" t="s">
        <v>238</v>
      </c>
      <c r="C2822" t="s">
        <v>6555</v>
      </c>
      <c r="D2822" t="s">
        <v>18993</v>
      </c>
      <c r="E2822" t="s">
        <v>21654</v>
      </c>
      <c r="F2822" t="s">
        <v>32606</v>
      </c>
      <c r="G2822" t="s">
        <v>32619</v>
      </c>
      <c r="H2822" t="s">
        <v>14201</v>
      </c>
      <c r="I2822" t="s">
        <v>4114</v>
      </c>
      <c r="J2822" t="s">
        <v>34739</v>
      </c>
      <c r="K2822" t="s">
        <v>42622</v>
      </c>
      <c r="M2822" t="s">
        <v>43194</v>
      </c>
      <c r="N2822" t="s">
        <v>47304</v>
      </c>
      <c r="O2822" t="s">
        <v>47305</v>
      </c>
      <c r="P2822">
        <v>0</v>
      </c>
      <c r="Q2822">
        <v>0</v>
      </c>
      <c r="R2822" t="s">
        <v>47306</v>
      </c>
      <c r="S2822" t="s">
        <v>47414</v>
      </c>
      <c r="T2822" t="s">
        <v>49070</v>
      </c>
      <c r="U2822" t="s">
        <v>50120</v>
      </c>
      <c r="V2822" t="s">
        <v>62716</v>
      </c>
      <c r="W2822" t="s">
        <v>43194</v>
      </c>
      <c r="X2822" t="s">
        <v>47308</v>
      </c>
    </row>
    <row r="2823" spans="1:24">
      <c r="A2823">
        <f>HYPERLINK("https://www.philgeps.gov.ph/GEPSNONPILOT/Tender/SplashBidNoticeAbstractUI.aspx?menuIndex=3&amp;refID=7194932&amp;Result=3","7194932")</f>
        <v>0</v>
      </c>
      <c r="B2823" t="s">
        <v>692</v>
      </c>
      <c r="C2823" t="s">
        <v>6556</v>
      </c>
      <c r="D2823" t="s">
        <v>18992</v>
      </c>
      <c r="E2823" t="s">
        <v>20332</v>
      </c>
      <c r="F2823" t="s">
        <v>32606</v>
      </c>
      <c r="G2823" t="s">
        <v>32613</v>
      </c>
      <c r="H2823" t="s">
        <v>32623</v>
      </c>
      <c r="I2823" t="s">
        <v>17648</v>
      </c>
      <c r="J2823" t="s">
        <v>33382</v>
      </c>
      <c r="K2823" t="s">
        <v>42646</v>
      </c>
      <c r="L2823" t="s">
        <v>692</v>
      </c>
      <c r="M2823" t="s">
        <v>43613</v>
      </c>
      <c r="N2823" t="s">
        <v>47304</v>
      </c>
      <c r="O2823" t="s">
        <v>47305</v>
      </c>
      <c r="P2823">
        <v>0</v>
      </c>
      <c r="Q2823">
        <v>0</v>
      </c>
      <c r="R2823" t="s">
        <v>47306</v>
      </c>
      <c r="S2823" t="s">
        <v>47414</v>
      </c>
      <c r="T2823" t="s">
        <v>49140</v>
      </c>
      <c r="U2823" t="s">
        <v>52005</v>
      </c>
      <c r="W2823" t="s">
        <v>43613</v>
      </c>
      <c r="X2823" t="s">
        <v>47308</v>
      </c>
    </row>
    <row r="2824" spans="1:24">
      <c r="A2824">
        <f>HYPERLINK("https://www.philgeps.gov.ph/GEPSNONPILOT/Tender/SplashBidNoticeAbstractUI.aspx?menuIndex=3&amp;refID=7194937&amp;Result=3","7194937")</f>
        <v>0</v>
      </c>
      <c r="B2824" t="s">
        <v>205</v>
      </c>
      <c r="C2824" t="s">
        <v>6557</v>
      </c>
      <c r="D2824" t="s">
        <v>19046</v>
      </c>
      <c r="E2824" t="s">
        <v>21655</v>
      </c>
      <c r="F2824" t="s">
        <v>32606</v>
      </c>
      <c r="G2824" t="s">
        <v>32613</v>
      </c>
      <c r="H2824" t="s">
        <v>14201</v>
      </c>
      <c r="I2824" t="s">
        <v>6931</v>
      </c>
      <c r="J2824" t="s">
        <v>34740</v>
      </c>
      <c r="K2824" t="s">
        <v>42631</v>
      </c>
      <c r="L2824" t="s">
        <v>205</v>
      </c>
      <c r="M2824" t="s">
        <v>43106</v>
      </c>
      <c r="N2824" t="s">
        <v>47304</v>
      </c>
      <c r="O2824" t="s">
        <v>47305</v>
      </c>
      <c r="P2824">
        <v>0</v>
      </c>
      <c r="Q2824">
        <v>0</v>
      </c>
      <c r="R2824" t="s">
        <v>47306</v>
      </c>
      <c r="S2824" t="s">
        <v>47414</v>
      </c>
      <c r="T2824" t="s">
        <v>48973</v>
      </c>
      <c r="U2824" t="s">
        <v>52006</v>
      </c>
      <c r="W2824" t="s">
        <v>43106</v>
      </c>
      <c r="X2824" t="s">
        <v>47308</v>
      </c>
    </row>
    <row r="2825" spans="1:24">
      <c r="A2825">
        <f>HYPERLINK("https://www.philgeps.gov.ph/GEPSNONPILOT/Tender/SplashBidNoticeAbstractUI.aspx?menuIndex=3&amp;refID=7194884&amp;Result=3","7194884")</f>
        <v>0</v>
      </c>
      <c r="B2825" t="s">
        <v>277</v>
      </c>
      <c r="C2825" t="s">
        <v>6558</v>
      </c>
      <c r="D2825" t="s">
        <v>19014</v>
      </c>
      <c r="E2825" t="s">
        <v>21656</v>
      </c>
      <c r="F2825" t="s">
        <v>32606</v>
      </c>
      <c r="G2825" t="s">
        <v>32617</v>
      </c>
      <c r="H2825" t="s">
        <v>14201</v>
      </c>
      <c r="I2825" t="s">
        <v>4120</v>
      </c>
      <c r="J2825" t="s">
        <v>34741</v>
      </c>
      <c r="K2825" t="s">
        <v>42624</v>
      </c>
      <c r="M2825" t="s">
        <v>43178</v>
      </c>
      <c r="N2825" t="s">
        <v>47304</v>
      </c>
      <c r="O2825" t="s">
        <v>47305</v>
      </c>
      <c r="P2825">
        <v>0</v>
      </c>
      <c r="Q2825">
        <v>1</v>
      </c>
      <c r="R2825" t="s">
        <v>47306</v>
      </c>
      <c r="S2825" t="s">
        <v>47414</v>
      </c>
      <c r="T2825" t="s">
        <v>48980</v>
      </c>
      <c r="U2825" t="s">
        <v>52007</v>
      </c>
      <c r="W2825" t="s">
        <v>64426</v>
      </c>
      <c r="X2825" t="s">
        <v>47308</v>
      </c>
    </row>
    <row r="2826" spans="1:24">
      <c r="A2826">
        <f>HYPERLINK("https://www.philgeps.gov.ph/GEPSNONPILOT/Tender/SplashBidNoticeAbstractUI.aspx?menuIndex=3&amp;refID=7194929&amp;Result=3","7194929")</f>
        <v>0</v>
      </c>
      <c r="B2826" t="s">
        <v>38</v>
      </c>
      <c r="C2826" t="s">
        <v>6559</v>
      </c>
      <c r="D2826" t="s">
        <v>18998</v>
      </c>
      <c r="E2826" t="s">
        <v>21657</v>
      </c>
      <c r="F2826" t="s">
        <v>32606</v>
      </c>
      <c r="G2826" t="s">
        <v>32614</v>
      </c>
      <c r="H2826" t="s">
        <v>14201</v>
      </c>
      <c r="I2826" t="s">
        <v>4120</v>
      </c>
      <c r="J2826" t="s">
        <v>34742</v>
      </c>
      <c r="K2826" t="s">
        <v>42623</v>
      </c>
      <c r="M2826" t="s">
        <v>42935</v>
      </c>
      <c r="N2826" t="s">
        <v>47304</v>
      </c>
      <c r="O2826" t="s">
        <v>47305</v>
      </c>
      <c r="P2826">
        <v>0</v>
      </c>
      <c r="Q2826">
        <v>0</v>
      </c>
      <c r="R2826" t="s">
        <v>47306</v>
      </c>
      <c r="S2826" t="s">
        <v>47414</v>
      </c>
      <c r="T2826" t="s">
        <v>49243</v>
      </c>
      <c r="U2826" t="s">
        <v>52008</v>
      </c>
      <c r="W2826" t="s">
        <v>64419</v>
      </c>
      <c r="X2826" t="s">
        <v>47308</v>
      </c>
    </row>
    <row r="2827" spans="1:24">
      <c r="A2827">
        <f>HYPERLINK("https://www.philgeps.gov.ph/GEPSNONPILOT/Tender/SplashBidNoticeAbstractUI.aspx?menuIndex=3&amp;refID=7194927&amp;Result=3","7194927")</f>
        <v>0</v>
      </c>
      <c r="B2827" t="s">
        <v>1201</v>
      </c>
      <c r="C2827" t="s">
        <v>6560</v>
      </c>
      <c r="D2827" t="s">
        <v>19005</v>
      </c>
      <c r="E2827" t="s">
        <v>21658</v>
      </c>
      <c r="F2827" t="s">
        <v>32606</v>
      </c>
      <c r="G2827" t="s">
        <v>32614</v>
      </c>
      <c r="H2827" t="s">
        <v>14201</v>
      </c>
      <c r="I2827" t="s">
        <v>32638</v>
      </c>
      <c r="J2827" t="s">
        <v>34180</v>
      </c>
      <c r="K2827" t="s">
        <v>42639</v>
      </c>
      <c r="M2827" t="s">
        <v>44165</v>
      </c>
      <c r="N2827" t="s">
        <v>47304</v>
      </c>
      <c r="O2827" t="s">
        <v>47305</v>
      </c>
      <c r="P2827">
        <v>0</v>
      </c>
      <c r="Q2827">
        <v>17</v>
      </c>
      <c r="R2827" t="s">
        <v>47306</v>
      </c>
      <c r="S2827" t="s">
        <v>47414</v>
      </c>
      <c r="T2827" t="s">
        <v>49050</v>
      </c>
      <c r="U2827" t="s">
        <v>52009</v>
      </c>
      <c r="W2827" t="s">
        <v>44165</v>
      </c>
      <c r="X2827" t="s">
        <v>47308</v>
      </c>
    </row>
    <row r="2828" spans="1:24">
      <c r="A2828">
        <f>HYPERLINK("https://www.philgeps.gov.ph/GEPSNONPILOT/Tender/SplashBidNoticeAbstractUI.aspx?menuIndex=3&amp;refID=7194903&amp;Result=3","7194903")</f>
        <v>0</v>
      </c>
      <c r="B2828" t="s">
        <v>1202</v>
      </c>
      <c r="C2828" t="s">
        <v>6561</v>
      </c>
      <c r="D2828" t="s">
        <v>19008</v>
      </c>
      <c r="E2828" t="s">
        <v>21659</v>
      </c>
      <c r="F2828" t="s">
        <v>32606</v>
      </c>
      <c r="G2828" t="s">
        <v>32619</v>
      </c>
      <c r="H2828" t="s">
        <v>14201</v>
      </c>
      <c r="I2828" t="s">
        <v>4678</v>
      </c>
      <c r="J2828" t="s">
        <v>34743</v>
      </c>
      <c r="K2828" t="s">
        <v>42632</v>
      </c>
      <c r="M2828" t="s">
        <v>44166</v>
      </c>
      <c r="N2828" t="s">
        <v>47304</v>
      </c>
      <c r="O2828" t="s">
        <v>47305</v>
      </c>
      <c r="P2828">
        <v>0</v>
      </c>
      <c r="Q2828">
        <v>2</v>
      </c>
      <c r="R2828" t="s">
        <v>47306</v>
      </c>
      <c r="S2828" t="s">
        <v>47414</v>
      </c>
      <c r="T2828" t="s">
        <v>48998</v>
      </c>
      <c r="U2828" t="s">
        <v>52010</v>
      </c>
      <c r="W2828" t="s">
        <v>44166</v>
      </c>
      <c r="X2828" t="s">
        <v>47308</v>
      </c>
    </row>
    <row r="2829" spans="1:24">
      <c r="A2829">
        <f>HYPERLINK("https://www.philgeps.gov.ph/GEPSNONPILOT/Tender/SplashBidNoticeAbstractUI.aspx?menuIndex=3&amp;refID=7194926&amp;Result=3","7194926")</f>
        <v>0</v>
      </c>
      <c r="B2829" t="s">
        <v>1203</v>
      </c>
      <c r="C2829" t="s">
        <v>6562</v>
      </c>
      <c r="D2829" t="s">
        <v>19027</v>
      </c>
      <c r="E2829" t="s">
        <v>21660</v>
      </c>
      <c r="F2829" t="s">
        <v>32606</v>
      </c>
      <c r="G2829" t="s">
        <v>32613</v>
      </c>
      <c r="H2829" t="s">
        <v>14201</v>
      </c>
      <c r="I2829" t="s">
        <v>7064</v>
      </c>
      <c r="J2829" t="s">
        <v>32795</v>
      </c>
      <c r="K2829" t="s">
        <v>42624</v>
      </c>
      <c r="M2829" t="s">
        <v>44167</v>
      </c>
      <c r="N2829" t="s">
        <v>47304</v>
      </c>
      <c r="O2829" t="s">
        <v>47305</v>
      </c>
      <c r="P2829">
        <v>0</v>
      </c>
      <c r="Q2829">
        <v>2</v>
      </c>
      <c r="R2829" t="s">
        <v>47306</v>
      </c>
      <c r="S2829" t="s">
        <v>47414</v>
      </c>
      <c r="T2829" t="s">
        <v>48990</v>
      </c>
      <c r="U2829" t="s">
        <v>52011</v>
      </c>
      <c r="V2829" t="s">
        <v>62954</v>
      </c>
      <c r="W2829" t="s">
        <v>44167</v>
      </c>
      <c r="X2829" t="s">
        <v>47308</v>
      </c>
    </row>
    <row r="2830" spans="1:24">
      <c r="A2830">
        <f>HYPERLINK("https://www.philgeps.gov.ph/GEPSNONPILOT/Tender/SplashBidNoticeAbstractUI.aspx?menuIndex=3&amp;refID=7194924&amp;Result=3","7194924")</f>
        <v>0</v>
      </c>
      <c r="B2830" t="s">
        <v>362</v>
      </c>
      <c r="C2830" t="s">
        <v>6563</v>
      </c>
      <c r="D2830" t="s">
        <v>19023</v>
      </c>
      <c r="E2830" t="s">
        <v>21661</v>
      </c>
      <c r="F2830" t="s">
        <v>32606</v>
      </c>
      <c r="G2830" t="s">
        <v>32613</v>
      </c>
      <c r="H2830" t="s">
        <v>32623</v>
      </c>
      <c r="I2830" t="s">
        <v>17648</v>
      </c>
      <c r="J2830" t="s">
        <v>34744</v>
      </c>
      <c r="K2830" t="s">
        <v>42734</v>
      </c>
      <c r="M2830" t="s">
        <v>43264</v>
      </c>
      <c r="N2830" t="s">
        <v>47304</v>
      </c>
      <c r="O2830" t="s">
        <v>47305</v>
      </c>
      <c r="P2830">
        <v>0</v>
      </c>
      <c r="Q2830">
        <v>1</v>
      </c>
      <c r="R2830" t="s">
        <v>47306</v>
      </c>
      <c r="S2830" t="s">
        <v>47414</v>
      </c>
      <c r="T2830" t="s">
        <v>49094</v>
      </c>
      <c r="U2830" t="s">
        <v>52012</v>
      </c>
      <c r="W2830" t="s">
        <v>43264</v>
      </c>
      <c r="X2830" t="s">
        <v>47308</v>
      </c>
    </row>
    <row r="2831" spans="1:24">
      <c r="A2831">
        <f>HYPERLINK("https://www.philgeps.gov.ph/GEPSNONPILOT/Tender/SplashBidNoticeAbstractUI.aspx?menuIndex=3&amp;refID=7194919&amp;Result=3","7194919")</f>
        <v>0</v>
      </c>
      <c r="B2831" t="s">
        <v>936</v>
      </c>
      <c r="C2831" t="s">
        <v>6564</v>
      </c>
      <c r="D2831" t="s">
        <v>19035</v>
      </c>
      <c r="E2831" t="s">
        <v>21662</v>
      </c>
      <c r="F2831" t="s">
        <v>32606</v>
      </c>
      <c r="G2831" t="s">
        <v>32613</v>
      </c>
      <c r="H2831" t="s">
        <v>14201</v>
      </c>
      <c r="I2831" t="s">
        <v>32663</v>
      </c>
      <c r="J2831" t="s">
        <v>34745</v>
      </c>
      <c r="K2831" t="s">
        <v>42624</v>
      </c>
      <c r="M2831" t="s">
        <v>43876</v>
      </c>
      <c r="N2831" t="s">
        <v>47304</v>
      </c>
      <c r="O2831" t="s">
        <v>47305</v>
      </c>
      <c r="P2831">
        <v>0</v>
      </c>
      <c r="Q2831">
        <v>3</v>
      </c>
      <c r="R2831" t="s">
        <v>47306</v>
      </c>
      <c r="S2831" t="s">
        <v>47414</v>
      </c>
      <c r="T2831" t="s">
        <v>48986</v>
      </c>
      <c r="U2831" t="s">
        <v>52013</v>
      </c>
      <c r="W2831" t="s">
        <v>64457</v>
      </c>
      <c r="X2831" t="s">
        <v>47308</v>
      </c>
    </row>
    <row r="2832" spans="1:24">
      <c r="A2832">
        <f>HYPERLINK("https://www.philgeps.gov.ph/GEPSNONPILOT/Tender/SplashBidNoticeAbstractUI.aspx?menuIndex=3&amp;refID=7194882&amp;Result=3","7194882")</f>
        <v>0</v>
      </c>
      <c r="B2832" t="s">
        <v>187</v>
      </c>
      <c r="C2832" t="s">
        <v>6565</v>
      </c>
      <c r="D2832" t="s">
        <v>19038</v>
      </c>
      <c r="E2832" t="s">
        <v>21663</v>
      </c>
      <c r="F2832" t="s">
        <v>32606</v>
      </c>
      <c r="G2832" t="s">
        <v>32614</v>
      </c>
      <c r="H2832" t="s">
        <v>14201</v>
      </c>
      <c r="I2832" t="s">
        <v>32629</v>
      </c>
      <c r="J2832" t="s">
        <v>34746</v>
      </c>
      <c r="K2832" t="s">
        <v>42630</v>
      </c>
      <c r="M2832" t="s">
        <v>43088</v>
      </c>
      <c r="N2832" t="s">
        <v>47304</v>
      </c>
      <c r="O2832" t="s">
        <v>47305</v>
      </c>
      <c r="P2832">
        <v>0</v>
      </c>
      <c r="Q2832">
        <v>0</v>
      </c>
      <c r="R2832" t="s">
        <v>47306</v>
      </c>
      <c r="S2832" t="s">
        <v>47414</v>
      </c>
      <c r="T2832" t="s">
        <v>48986</v>
      </c>
      <c r="U2832" t="s">
        <v>52014</v>
      </c>
      <c r="W2832" t="s">
        <v>43088</v>
      </c>
      <c r="X2832" t="s">
        <v>47308</v>
      </c>
    </row>
    <row r="2833" spans="1:24">
      <c r="A2833">
        <f>HYPERLINK("https://www.philgeps.gov.ph/GEPSNONPILOT/Tender/SplashBidNoticeAbstractUI.aspx?menuIndex=3&amp;refID=7194902&amp;Result=3","7194902")</f>
        <v>0</v>
      </c>
      <c r="B2833" t="s">
        <v>525</v>
      </c>
      <c r="C2833" t="s">
        <v>6566</v>
      </c>
      <c r="D2833" t="s">
        <v>19024</v>
      </c>
      <c r="E2833" t="s">
        <v>21664</v>
      </c>
      <c r="F2833" t="s">
        <v>32606</v>
      </c>
      <c r="G2833" t="s">
        <v>32615</v>
      </c>
      <c r="H2833" t="s">
        <v>14201</v>
      </c>
      <c r="I2833" t="s">
        <v>32644</v>
      </c>
      <c r="J2833" t="s">
        <v>32767</v>
      </c>
      <c r="K2833" t="s">
        <v>42622</v>
      </c>
      <c r="M2833" t="s">
        <v>43438</v>
      </c>
      <c r="N2833" t="s">
        <v>47304</v>
      </c>
      <c r="O2833" t="s">
        <v>47305</v>
      </c>
      <c r="P2833">
        <v>0</v>
      </c>
      <c r="Q2833">
        <v>5</v>
      </c>
      <c r="R2833" t="s">
        <v>47306</v>
      </c>
      <c r="S2833" t="s">
        <v>47414</v>
      </c>
      <c r="T2833" t="s">
        <v>49244</v>
      </c>
      <c r="U2833" t="s">
        <v>50477</v>
      </c>
      <c r="W2833" t="s">
        <v>43438</v>
      </c>
      <c r="X2833" t="s">
        <v>47308</v>
      </c>
    </row>
    <row r="2834" spans="1:24">
      <c r="A2834">
        <f>HYPERLINK("https://www.philgeps.gov.ph/GEPSNONPILOT/Tender/SplashBidNoticeAbstractUI.aspx?menuIndex=3&amp;refID=7194900&amp;Result=3","7194900")</f>
        <v>0</v>
      </c>
      <c r="B2834" t="s">
        <v>356</v>
      </c>
      <c r="C2834" t="s">
        <v>6567</v>
      </c>
      <c r="D2834" t="s">
        <v>19014</v>
      </c>
      <c r="E2834" t="s">
        <v>19755</v>
      </c>
      <c r="F2834" t="s">
        <v>32606</v>
      </c>
      <c r="G2834" t="s">
        <v>32613</v>
      </c>
      <c r="H2834" t="s">
        <v>32625</v>
      </c>
      <c r="I2834" t="s">
        <v>32719</v>
      </c>
      <c r="J2834" t="s">
        <v>34747</v>
      </c>
      <c r="K2834" t="s">
        <v>42636</v>
      </c>
      <c r="M2834" t="s">
        <v>43258</v>
      </c>
      <c r="N2834" t="s">
        <v>47304</v>
      </c>
      <c r="O2834" t="s">
        <v>47305</v>
      </c>
      <c r="P2834">
        <v>0</v>
      </c>
      <c r="Q2834">
        <v>1</v>
      </c>
      <c r="R2834" t="s">
        <v>47306</v>
      </c>
      <c r="S2834" t="s">
        <v>47414</v>
      </c>
      <c r="T2834" t="s">
        <v>49245</v>
      </c>
      <c r="U2834" t="s">
        <v>52015</v>
      </c>
      <c r="W2834" t="s">
        <v>43258</v>
      </c>
      <c r="X2834" t="s">
        <v>47308</v>
      </c>
    </row>
    <row r="2835" spans="1:24">
      <c r="A2835">
        <f>HYPERLINK("https://www.philgeps.gov.ph/GEPSNONPILOT/Tender/SplashBidNoticeAbstractUI.aspx?menuIndex=3&amp;refID=7194928&amp;Result=3","7194928")</f>
        <v>0</v>
      </c>
      <c r="B2835" t="s">
        <v>149</v>
      </c>
      <c r="C2835" t="s">
        <v>6568</v>
      </c>
      <c r="D2835" t="s">
        <v>19034</v>
      </c>
      <c r="E2835" t="s">
        <v>21665</v>
      </c>
      <c r="F2835" t="s">
        <v>32606</v>
      </c>
      <c r="G2835" t="s">
        <v>32613</v>
      </c>
      <c r="H2835" t="s">
        <v>14201</v>
      </c>
      <c r="I2835" t="s">
        <v>7064</v>
      </c>
      <c r="J2835" t="s">
        <v>34748</v>
      </c>
      <c r="K2835" t="s">
        <v>42636</v>
      </c>
      <c r="M2835" t="s">
        <v>43050</v>
      </c>
      <c r="N2835" t="s">
        <v>47304</v>
      </c>
      <c r="O2835" t="s">
        <v>47305</v>
      </c>
      <c r="P2835">
        <v>0</v>
      </c>
      <c r="Q2835">
        <v>2</v>
      </c>
      <c r="R2835" t="s">
        <v>47306</v>
      </c>
      <c r="S2835" t="s">
        <v>47414</v>
      </c>
      <c r="T2835" t="s">
        <v>49080</v>
      </c>
      <c r="U2835" t="s">
        <v>52016</v>
      </c>
      <c r="V2835" t="s">
        <v>62681</v>
      </c>
      <c r="W2835" t="s">
        <v>43050</v>
      </c>
      <c r="X2835" t="s">
        <v>47308</v>
      </c>
    </row>
    <row r="2836" spans="1:24">
      <c r="A2836">
        <f>HYPERLINK("https://www.philgeps.gov.ph/GEPSNONPILOT/Tender/SplashBidNoticeAbstractUI.aspx?menuIndex=3&amp;refID=7194930&amp;Result=3","7194930")</f>
        <v>0</v>
      </c>
      <c r="B2836" t="s">
        <v>255</v>
      </c>
      <c r="C2836" t="s">
        <v>6569</v>
      </c>
      <c r="E2836" t="s">
        <v>21666</v>
      </c>
      <c r="F2836" t="s">
        <v>32606</v>
      </c>
      <c r="G2836" t="s">
        <v>32614</v>
      </c>
      <c r="H2836" t="s">
        <v>14201</v>
      </c>
      <c r="I2836" t="s">
        <v>8682</v>
      </c>
      <c r="J2836" t="s">
        <v>33167</v>
      </c>
      <c r="K2836" t="s">
        <v>42624</v>
      </c>
      <c r="M2836" t="s">
        <v>43156</v>
      </c>
      <c r="N2836" t="s">
        <v>47304</v>
      </c>
      <c r="O2836" t="s">
        <v>47305</v>
      </c>
      <c r="P2836">
        <v>0</v>
      </c>
      <c r="Q2836">
        <v>1</v>
      </c>
      <c r="R2836" t="s">
        <v>47306</v>
      </c>
      <c r="S2836" t="s">
        <v>47414</v>
      </c>
      <c r="T2836" t="s">
        <v>48987</v>
      </c>
      <c r="U2836" t="s">
        <v>52017</v>
      </c>
      <c r="W2836" t="s">
        <v>43156</v>
      </c>
      <c r="X2836" t="s">
        <v>47308</v>
      </c>
    </row>
    <row r="2837" spans="1:24">
      <c r="A2837">
        <f>HYPERLINK("https://www.philgeps.gov.ph/GEPSNONPILOT/Tender/SplashBidNoticeAbstractUI.aspx?menuIndex=3&amp;refID=7194923&amp;Result=3","7194923")</f>
        <v>0</v>
      </c>
      <c r="B2837" t="s">
        <v>1204</v>
      </c>
      <c r="C2837" t="s">
        <v>6570</v>
      </c>
      <c r="D2837" t="s">
        <v>18994</v>
      </c>
      <c r="E2837" t="s">
        <v>19937</v>
      </c>
      <c r="F2837" t="s">
        <v>32606</v>
      </c>
      <c r="G2837" t="s">
        <v>32613</v>
      </c>
      <c r="H2837" t="s">
        <v>32623</v>
      </c>
      <c r="I2837" t="s">
        <v>17648</v>
      </c>
      <c r="J2837" t="s">
        <v>34749</v>
      </c>
      <c r="K2837" t="s">
        <v>42648</v>
      </c>
      <c r="M2837" t="s">
        <v>44168</v>
      </c>
      <c r="N2837" t="s">
        <v>47304</v>
      </c>
      <c r="O2837" t="s">
        <v>47305</v>
      </c>
      <c r="P2837">
        <v>0</v>
      </c>
      <c r="Q2837">
        <v>0</v>
      </c>
      <c r="R2837" t="s">
        <v>47306</v>
      </c>
      <c r="S2837" t="s">
        <v>47414</v>
      </c>
      <c r="T2837" t="s">
        <v>48990</v>
      </c>
      <c r="U2837" t="s">
        <v>52018</v>
      </c>
      <c r="W2837" t="s">
        <v>44168</v>
      </c>
      <c r="X2837" t="s">
        <v>47308</v>
      </c>
    </row>
    <row r="2838" spans="1:24">
      <c r="A2838">
        <f>HYPERLINK("https://www.philgeps.gov.ph/GEPSNONPILOT/Tender/SplashBidNoticeAbstractUI.aspx?menuIndex=3&amp;refID=7194901&amp;Result=3","7194901")</f>
        <v>0</v>
      </c>
      <c r="B2838" t="s">
        <v>141</v>
      </c>
      <c r="C2838" t="s">
        <v>4158</v>
      </c>
      <c r="E2838" t="s">
        <v>21667</v>
      </c>
      <c r="F2838" t="s">
        <v>32606</v>
      </c>
      <c r="G2838" t="s">
        <v>32614</v>
      </c>
      <c r="H2838" t="s">
        <v>14201</v>
      </c>
      <c r="I2838" t="s">
        <v>4678</v>
      </c>
      <c r="J2838" t="s">
        <v>34750</v>
      </c>
      <c r="K2838" t="s">
        <v>42624</v>
      </c>
      <c r="M2838" t="s">
        <v>43042</v>
      </c>
      <c r="N2838" t="s">
        <v>47304</v>
      </c>
      <c r="O2838" t="s">
        <v>47305</v>
      </c>
      <c r="P2838">
        <v>0</v>
      </c>
      <c r="Q2838">
        <v>2</v>
      </c>
      <c r="R2838" t="s">
        <v>47306</v>
      </c>
      <c r="S2838" t="s">
        <v>47414</v>
      </c>
      <c r="T2838" t="s">
        <v>49004</v>
      </c>
      <c r="U2838" t="s">
        <v>49781</v>
      </c>
      <c r="W2838" t="s">
        <v>43042</v>
      </c>
      <c r="X2838" t="s">
        <v>47308</v>
      </c>
    </row>
    <row r="2839" spans="1:24">
      <c r="A2839">
        <f>HYPERLINK("https://www.philgeps.gov.ph/GEPSNONPILOT/Tender/SplashBidNoticeAbstractUI.aspx?menuIndex=3&amp;refID=7194899&amp;Result=3","7194899")</f>
        <v>0</v>
      </c>
      <c r="B2839" t="s">
        <v>638</v>
      </c>
      <c r="C2839" t="s">
        <v>6571</v>
      </c>
      <c r="D2839" t="s">
        <v>19019</v>
      </c>
      <c r="E2839" t="s">
        <v>21668</v>
      </c>
      <c r="F2839" t="s">
        <v>32606</v>
      </c>
      <c r="G2839" t="s">
        <v>32614</v>
      </c>
      <c r="H2839" t="s">
        <v>14201</v>
      </c>
      <c r="I2839" t="s">
        <v>32633</v>
      </c>
      <c r="J2839" t="s">
        <v>34751</v>
      </c>
      <c r="K2839" t="s">
        <v>42630</v>
      </c>
      <c r="M2839" t="s">
        <v>43556</v>
      </c>
      <c r="N2839" t="s">
        <v>47304</v>
      </c>
      <c r="O2839" t="s">
        <v>47305</v>
      </c>
      <c r="P2839">
        <v>0</v>
      </c>
      <c r="Q2839">
        <v>1</v>
      </c>
      <c r="R2839" t="s">
        <v>47306</v>
      </c>
      <c r="S2839" t="s">
        <v>47414</v>
      </c>
      <c r="T2839" t="s">
        <v>49004</v>
      </c>
      <c r="U2839" t="s">
        <v>52019</v>
      </c>
      <c r="W2839" t="s">
        <v>43556</v>
      </c>
      <c r="X2839" t="s">
        <v>47308</v>
      </c>
    </row>
    <row r="2840" spans="1:24">
      <c r="A2840">
        <f>HYPERLINK("https://www.philgeps.gov.ph/GEPSNONPILOT/Tender/SplashBidNoticeAbstractUI.aspx?menuIndex=3&amp;refID=7194876&amp;Result=3","7194876")</f>
        <v>0</v>
      </c>
      <c r="B2840" t="s">
        <v>352</v>
      </c>
      <c r="C2840" t="s">
        <v>6572</v>
      </c>
      <c r="E2840" t="s">
        <v>21669</v>
      </c>
      <c r="F2840" t="s">
        <v>32606</v>
      </c>
      <c r="G2840" t="s">
        <v>32614</v>
      </c>
      <c r="H2840" t="s">
        <v>14201</v>
      </c>
      <c r="I2840" t="s">
        <v>32676</v>
      </c>
      <c r="J2840" t="s">
        <v>32799</v>
      </c>
      <c r="K2840" t="s">
        <v>42624</v>
      </c>
      <c r="M2840" t="s">
        <v>43254</v>
      </c>
      <c r="N2840" t="s">
        <v>47304</v>
      </c>
      <c r="O2840" t="s">
        <v>47305</v>
      </c>
      <c r="P2840">
        <v>0</v>
      </c>
      <c r="Q2840">
        <v>0</v>
      </c>
      <c r="R2840" t="s">
        <v>47306</v>
      </c>
      <c r="S2840" t="s">
        <v>47414</v>
      </c>
      <c r="T2840" t="s">
        <v>49004</v>
      </c>
      <c r="U2840" t="s">
        <v>52020</v>
      </c>
      <c r="W2840" t="s">
        <v>43254</v>
      </c>
      <c r="X2840" t="s">
        <v>47308</v>
      </c>
    </row>
    <row r="2841" spans="1:24">
      <c r="A2841">
        <f>HYPERLINK("https://www.philgeps.gov.ph/GEPSNONPILOT/Tender/SplashBidNoticeAbstractUI.aspx?menuIndex=3&amp;refID=7194931&amp;Result=3","7194931")</f>
        <v>0</v>
      </c>
      <c r="B2841" t="s">
        <v>1205</v>
      </c>
      <c r="C2841" t="s">
        <v>6573</v>
      </c>
      <c r="D2841" t="s">
        <v>18993</v>
      </c>
      <c r="E2841" t="s">
        <v>21670</v>
      </c>
      <c r="F2841" t="s">
        <v>32606</v>
      </c>
      <c r="G2841" t="s">
        <v>32613</v>
      </c>
      <c r="H2841" t="s">
        <v>32623</v>
      </c>
      <c r="I2841" t="s">
        <v>17648</v>
      </c>
      <c r="J2841" t="s">
        <v>34752</v>
      </c>
      <c r="K2841" t="s">
        <v>42683</v>
      </c>
      <c r="L2841" t="s">
        <v>1205</v>
      </c>
      <c r="M2841" t="s">
        <v>44169</v>
      </c>
      <c r="N2841" t="s">
        <v>47304</v>
      </c>
      <c r="O2841" t="s">
        <v>47305</v>
      </c>
      <c r="Q2841">
        <v>7</v>
      </c>
      <c r="R2841" t="s">
        <v>47306</v>
      </c>
      <c r="S2841" t="s">
        <v>47417</v>
      </c>
      <c r="T2841" t="s">
        <v>48978</v>
      </c>
      <c r="U2841" t="s">
        <v>52021</v>
      </c>
      <c r="V2841" t="s">
        <v>62955</v>
      </c>
      <c r="W2841" t="s">
        <v>44169</v>
      </c>
      <c r="X2841" t="s">
        <v>47308</v>
      </c>
    </row>
    <row r="2842" spans="1:24">
      <c r="A2842">
        <f>HYPERLINK("https://www.philgeps.gov.ph/GEPSNONPILOT/Tender/SplashBidNoticeAbstractUI.aspx?menuIndex=3&amp;refID=7194946&amp;Result=3","7194946")</f>
        <v>0</v>
      </c>
      <c r="B2842" t="s">
        <v>1206</v>
      </c>
      <c r="C2842" t="s">
        <v>6574</v>
      </c>
      <c r="D2842" t="s">
        <v>19010</v>
      </c>
      <c r="E2842" t="s">
        <v>21671</v>
      </c>
      <c r="F2842" t="s">
        <v>32606</v>
      </c>
      <c r="G2842" t="s">
        <v>32614</v>
      </c>
      <c r="H2842" t="s">
        <v>14201</v>
      </c>
      <c r="I2842" t="s">
        <v>32650</v>
      </c>
      <c r="J2842" t="s">
        <v>34753</v>
      </c>
      <c r="K2842" t="s">
        <v>42631</v>
      </c>
      <c r="M2842" t="s">
        <v>44170</v>
      </c>
      <c r="N2842" t="s">
        <v>47304</v>
      </c>
      <c r="O2842" t="s">
        <v>47305</v>
      </c>
      <c r="P2842">
        <v>0</v>
      </c>
      <c r="Q2842">
        <v>0</v>
      </c>
      <c r="R2842" t="s">
        <v>47306</v>
      </c>
      <c r="S2842" t="s">
        <v>47414</v>
      </c>
      <c r="T2842" t="s">
        <v>49014</v>
      </c>
      <c r="U2842" t="s">
        <v>52022</v>
      </c>
      <c r="W2842" t="s">
        <v>44170</v>
      </c>
      <c r="X2842" t="s">
        <v>47308</v>
      </c>
    </row>
    <row r="2843" spans="1:24">
      <c r="A2843">
        <f>HYPERLINK("https://www.philgeps.gov.ph/GEPSNONPILOT/Tender/SplashBidNoticeAbstractUI.aspx?menuIndex=3&amp;refID=7194967&amp;Result=3","7194967")</f>
        <v>0</v>
      </c>
      <c r="B2843" t="s">
        <v>1189</v>
      </c>
      <c r="C2843" t="s">
        <v>6575</v>
      </c>
      <c r="D2843" t="s">
        <v>19016</v>
      </c>
      <c r="E2843" t="s">
        <v>21672</v>
      </c>
      <c r="F2843" t="s">
        <v>32606</v>
      </c>
      <c r="G2843" t="s">
        <v>32614</v>
      </c>
      <c r="H2843" t="s">
        <v>14201</v>
      </c>
      <c r="I2843" t="s">
        <v>4678</v>
      </c>
      <c r="J2843" t="s">
        <v>32765</v>
      </c>
      <c r="K2843" t="s">
        <v>42623</v>
      </c>
      <c r="M2843" t="s">
        <v>44153</v>
      </c>
      <c r="N2843" t="s">
        <v>47304</v>
      </c>
      <c r="O2843" t="s">
        <v>47305</v>
      </c>
      <c r="P2843">
        <v>0</v>
      </c>
      <c r="Q2843">
        <v>0</v>
      </c>
      <c r="R2843" t="s">
        <v>47306</v>
      </c>
      <c r="S2843" t="s">
        <v>47414</v>
      </c>
      <c r="T2843" t="s">
        <v>49004</v>
      </c>
      <c r="U2843" t="s">
        <v>52023</v>
      </c>
      <c r="V2843" t="s">
        <v>62952</v>
      </c>
      <c r="W2843" t="s">
        <v>44153</v>
      </c>
      <c r="X2843" t="s">
        <v>47308</v>
      </c>
    </row>
    <row r="2844" spans="1:24">
      <c r="A2844">
        <f>HYPERLINK("https://www.philgeps.gov.ph/GEPSNONPILOT/Tender/SplashBidNoticeAbstractUI.aspx?menuIndex=3&amp;refID=7194962&amp;Result=3","7194962")</f>
        <v>0</v>
      </c>
      <c r="B2844" t="s">
        <v>1207</v>
      </c>
      <c r="C2844" t="s">
        <v>6576</v>
      </c>
      <c r="D2844" t="s">
        <v>19019</v>
      </c>
      <c r="E2844" t="s">
        <v>21673</v>
      </c>
      <c r="F2844" t="s">
        <v>32606</v>
      </c>
      <c r="G2844" t="s">
        <v>32619</v>
      </c>
      <c r="H2844" t="s">
        <v>14201</v>
      </c>
      <c r="I2844" t="s">
        <v>6298</v>
      </c>
      <c r="J2844" t="s">
        <v>33147</v>
      </c>
      <c r="K2844" t="s">
        <v>42625</v>
      </c>
      <c r="M2844" t="s">
        <v>44171</v>
      </c>
      <c r="N2844" t="s">
        <v>47304</v>
      </c>
      <c r="O2844" t="s">
        <v>47305</v>
      </c>
      <c r="P2844">
        <v>0</v>
      </c>
      <c r="Q2844">
        <v>0</v>
      </c>
      <c r="R2844" t="s">
        <v>47306</v>
      </c>
      <c r="S2844" t="s">
        <v>47414</v>
      </c>
      <c r="T2844" t="s">
        <v>49072</v>
      </c>
      <c r="U2844" t="s">
        <v>52024</v>
      </c>
      <c r="V2844" t="s">
        <v>62704</v>
      </c>
      <c r="W2844" t="s">
        <v>44171</v>
      </c>
      <c r="X2844" t="s">
        <v>47308</v>
      </c>
    </row>
    <row r="2845" spans="1:24">
      <c r="A2845">
        <f>HYPERLINK("https://www.philgeps.gov.ph/GEPSNONPILOT/Tender/SplashBidNoticeAbstractUI.aspx?menuIndex=3&amp;refID=7194960&amp;Result=3","7194960")</f>
        <v>0</v>
      </c>
      <c r="B2845" t="s">
        <v>82</v>
      </c>
      <c r="C2845" t="s">
        <v>6577</v>
      </c>
      <c r="D2845" t="s">
        <v>19011</v>
      </c>
      <c r="E2845" t="s">
        <v>21674</v>
      </c>
      <c r="F2845" t="s">
        <v>32606</v>
      </c>
      <c r="G2845" t="s">
        <v>32614</v>
      </c>
      <c r="H2845" t="s">
        <v>14201</v>
      </c>
      <c r="I2845" t="s">
        <v>32629</v>
      </c>
      <c r="J2845" t="s">
        <v>32981</v>
      </c>
      <c r="K2845" t="s">
        <v>42624</v>
      </c>
      <c r="M2845" t="s">
        <v>42979</v>
      </c>
      <c r="N2845" t="s">
        <v>47304</v>
      </c>
      <c r="O2845" t="s">
        <v>47305</v>
      </c>
      <c r="P2845">
        <v>0</v>
      </c>
      <c r="Q2845">
        <v>0</v>
      </c>
      <c r="R2845" t="s">
        <v>47306</v>
      </c>
      <c r="S2845" t="s">
        <v>47414</v>
      </c>
      <c r="T2845" t="s">
        <v>49014</v>
      </c>
      <c r="U2845" t="s">
        <v>52025</v>
      </c>
      <c r="W2845" t="s">
        <v>42979</v>
      </c>
      <c r="X2845" t="s">
        <v>47308</v>
      </c>
    </row>
    <row r="2846" spans="1:24">
      <c r="A2846">
        <f>HYPERLINK("https://www.philgeps.gov.ph/GEPSNONPILOT/Tender/SplashBidNoticeAbstractUI.aspx?menuIndex=3&amp;refID=7194948&amp;Result=3","7194948")</f>
        <v>0</v>
      </c>
      <c r="B2846" t="s">
        <v>344</v>
      </c>
      <c r="C2846" t="s">
        <v>6578</v>
      </c>
      <c r="D2846" t="s">
        <v>19002</v>
      </c>
      <c r="E2846" t="s">
        <v>21675</v>
      </c>
      <c r="F2846" t="s">
        <v>32606</v>
      </c>
      <c r="G2846" t="s">
        <v>32614</v>
      </c>
      <c r="H2846" t="s">
        <v>14201</v>
      </c>
      <c r="I2846" t="s">
        <v>7677</v>
      </c>
      <c r="J2846" t="s">
        <v>34754</v>
      </c>
      <c r="K2846" t="s">
        <v>42622</v>
      </c>
      <c r="M2846" t="s">
        <v>44172</v>
      </c>
      <c r="N2846" t="s">
        <v>47304</v>
      </c>
      <c r="O2846" t="s">
        <v>47305</v>
      </c>
      <c r="P2846">
        <v>0</v>
      </c>
      <c r="Q2846">
        <v>5</v>
      </c>
      <c r="R2846" t="s">
        <v>47306</v>
      </c>
      <c r="S2846" t="s">
        <v>47414</v>
      </c>
      <c r="T2846" t="s">
        <v>48996</v>
      </c>
      <c r="U2846" t="s">
        <v>52026</v>
      </c>
      <c r="W2846" t="s">
        <v>44172</v>
      </c>
      <c r="X2846" t="s">
        <v>47308</v>
      </c>
    </row>
    <row r="2847" spans="1:24">
      <c r="A2847">
        <f>HYPERLINK("https://www.philgeps.gov.ph/GEPSNONPILOT/Tender/SplashBidNoticeAbstractUI.aspx?menuIndex=3&amp;refID=7194966&amp;Result=3","7194966")</f>
        <v>0</v>
      </c>
      <c r="B2847" t="s">
        <v>1208</v>
      </c>
      <c r="C2847" t="s">
        <v>6579</v>
      </c>
      <c r="D2847" t="s">
        <v>19026</v>
      </c>
      <c r="E2847" t="s">
        <v>21676</v>
      </c>
      <c r="F2847" t="s">
        <v>32606</v>
      </c>
      <c r="G2847" t="s">
        <v>32619</v>
      </c>
      <c r="H2847" t="s">
        <v>14201</v>
      </c>
      <c r="I2847" t="s">
        <v>32629</v>
      </c>
      <c r="J2847" t="s">
        <v>34755</v>
      </c>
      <c r="K2847" t="s">
        <v>42624</v>
      </c>
      <c r="M2847" t="s">
        <v>44173</v>
      </c>
      <c r="N2847" t="s">
        <v>47304</v>
      </c>
      <c r="O2847" t="s">
        <v>47305</v>
      </c>
      <c r="P2847">
        <v>0</v>
      </c>
      <c r="Q2847">
        <v>0</v>
      </c>
      <c r="R2847" t="s">
        <v>47306</v>
      </c>
      <c r="S2847" t="s">
        <v>47414</v>
      </c>
      <c r="T2847" t="s">
        <v>49165</v>
      </c>
      <c r="U2847" t="s">
        <v>52027</v>
      </c>
      <c r="W2847" t="s">
        <v>44173</v>
      </c>
      <c r="X2847" t="s">
        <v>47308</v>
      </c>
    </row>
    <row r="2848" spans="1:24">
      <c r="A2848">
        <f>HYPERLINK("https://www.philgeps.gov.ph/GEPSNONPILOT/Tender/SplashBidNoticeAbstractUI.aspx?menuIndex=3&amp;refID=7194958&amp;Result=3","7194958")</f>
        <v>0</v>
      </c>
      <c r="B2848" t="s">
        <v>1209</v>
      </c>
      <c r="C2848" t="s">
        <v>6580</v>
      </c>
      <c r="D2848" t="s">
        <v>18993</v>
      </c>
      <c r="E2848" t="s">
        <v>21677</v>
      </c>
      <c r="F2848" t="s">
        <v>32606</v>
      </c>
      <c r="G2848" t="s">
        <v>32613</v>
      </c>
      <c r="H2848" t="s">
        <v>14201</v>
      </c>
      <c r="I2848" t="s">
        <v>32633</v>
      </c>
      <c r="J2848" t="s">
        <v>34756</v>
      </c>
      <c r="K2848" t="s">
        <v>42627</v>
      </c>
      <c r="M2848" t="s">
        <v>44174</v>
      </c>
      <c r="N2848" t="s">
        <v>47304</v>
      </c>
      <c r="O2848" t="s">
        <v>47305</v>
      </c>
      <c r="P2848">
        <v>0</v>
      </c>
      <c r="Q2848">
        <v>4</v>
      </c>
      <c r="R2848" t="s">
        <v>47306</v>
      </c>
      <c r="S2848" t="s">
        <v>47414</v>
      </c>
      <c r="T2848" t="s">
        <v>49024</v>
      </c>
      <c r="U2848" t="s">
        <v>52028</v>
      </c>
      <c r="W2848" t="s">
        <v>44174</v>
      </c>
      <c r="X2848" t="s">
        <v>47308</v>
      </c>
    </row>
    <row r="2849" spans="1:24">
      <c r="A2849">
        <f>HYPERLINK("https://www.philgeps.gov.ph/GEPSNONPILOT/Tender/SplashBidNoticeAbstractUI.aspx?menuIndex=3&amp;refID=7194957&amp;Result=3","7194957")</f>
        <v>0</v>
      </c>
      <c r="B2849" t="s">
        <v>299</v>
      </c>
      <c r="C2849" t="s">
        <v>6581</v>
      </c>
      <c r="D2849" t="s">
        <v>19057</v>
      </c>
      <c r="E2849" t="s">
        <v>19622</v>
      </c>
      <c r="F2849" t="s">
        <v>32606</v>
      </c>
      <c r="G2849" t="s">
        <v>32614</v>
      </c>
      <c r="H2849" t="s">
        <v>14201</v>
      </c>
      <c r="I2849" t="s">
        <v>32638</v>
      </c>
      <c r="J2849" t="s">
        <v>34757</v>
      </c>
      <c r="K2849" t="s">
        <v>42678</v>
      </c>
      <c r="M2849" t="s">
        <v>43201</v>
      </c>
      <c r="N2849" t="s">
        <v>47304</v>
      </c>
      <c r="O2849" t="s">
        <v>47305</v>
      </c>
      <c r="P2849">
        <v>0</v>
      </c>
      <c r="Q2849">
        <v>2</v>
      </c>
      <c r="R2849" t="s">
        <v>47306</v>
      </c>
      <c r="S2849" t="s">
        <v>47414</v>
      </c>
      <c r="T2849" t="s">
        <v>49010</v>
      </c>
      <c r="U2849" t="s">
        <v>52029</v>
      </c>
      <c r="W2849" t="s">
        <v>43201</v>
      </c>
      <c r="X2849" t="s">
        <v>47308</v>
      </c>
    </row>
    <row r="2850" spans="1:24">
      <c r="A2850">
        <f>HYPERLINK("https://www.philgeps.gov.ph/GEPSNONPILOT/Tender/SplashBidNoticeAbstractUI.aspx?menuIndex=3&amp;refID=7194953&amp;Result=3","7194953")</f>
        <v>0</v>
      </c>
      <c r="B2850" t="s">
        <v>219</v>
      </c>
      <c r="C2850" t="s">
        <v>6582</v>
      </c>
      <c r="D2850" t="s">
        <v>19050</v>
      </c>
      <c r="E2850" t="s">
        <v>21678</v>
      </c>
      <c r="F2850" t="s">
        <v>32606</v>
      </c>
      <c r="G2850" t="s">
        <v>32613</v>
      </c>
      <c r="H2850" t="s">
        <v>14201</v>
      </c>
      <c r="I2850" t="s">
        <v>7677</v>
      </c>
      <c r="J2850" t="s">
        <v>34758</v>
      </c>
      <c r="K2850" t="s">
        <v>42636</v>
      </c>
      <c r="M2850" t="s">
        <v>43120</v>
      </c>
      <c r="N2850" t="s">
        <v>47304</v>
      </c>
      <c r="O2850" t="s">
        <v>47305</v>
      </c>
      <c r="P2850">
        <v>0</v>
      </c>
      <c r="Q2850">
        <v>1</v>
      </c>
      <c r="R2850" t="s">
        <v>47306</v>
      </c>
      <c r="S2850" t="s">
        <v>47414</v>
      </c>
      <c r="T2850" t="s">
        <v>49246</v>
      </c>
      <c r="U2850" t="s">
        <v>52030</v>
      </c>
      <c r="W2850" t="s">
        <v>43120</v>
      </c>
      <c r="X2850" t="s">
        <v>47308</v>
      </c>
    </row>
    <row r="2851" spans="1:24">
      <c r="A2851">
        <f>HYPERLINK("https://www.philgeps.gov.ph/GEPSNONPILOT/Tender/SplashBidNoticeAbstractUI.aspx?menuIndex=3&amp;refID=7194959&amp;Result=3","7194959")</f>
        <v>0</v>
      </c>
      <c r="B2851" t="s">
        <v>1210</v>
      </c>
      <c r="C2851" t="s">
        <v>6583</v>
      </c>
      <c r="D2851" t="s">
        <v>18988</v>
      </c>
      <c r="E2851" t="s">
        <v>21679</v>
      </c>
      <c r="F2851" t="s">
        <v>32606</v>
      </c>
      <c r="G2851" t="s">
        <v>32614</v>
      </c>
      <c r="H2851" t="s">
        <v>14201</v>
      </c>
      <c r="I2851" t="s">
        <v>32661</v>
      </c>
      <c r="J2851" t="s">
        <v>34759</v>
      </c>
      <c r="K2851" t="s">
        <v>42624</v>
      </c>
      <c r="M2851" t="s">
        <v>44175</v>
      </c>
      <c r="N2851" t="s">
        <v>47304</v>
      </c>
      <c r="O2851" t="s">
        <v>47305</v>
      </c>
      <c r="P2851">
        <v>0</v>
      </c>
      <c r="Q2851">
        <v>4</v>
      </c>
      <c r="R2851" t="s">
        <v>47306</v>
      </c>
      <c r="S2851" t="s">
        <v>47414</v>
      </c>
      <c r="T2851" t="s">
        <v>48992</v>
      </c>
      <c r="U2851" t="s">
        <v>52031</v>
      </c>
      <c r="W2851" t="s">
        <v>44175</v>
      </c>
      <c r="X2851" t="s">
        <v>47308</v>
      </c>
    </row>
    <row r="2852" spans="1:24">
      <c r="A2852">
        <f>HYPERLINK("https://www.philgeps.gov.ph/GEPSNONPILOT/Tender/SplashBidNoticeAbstractUI.aspx?menuIndex=3&amp;refID=7194972&amp;Result=3","7194972")</f>
        <v>0</v>
      </c>
      <c r="B2852" t="s">
        <v>356</v>
      </c>
      <c r="C2852" t="s">
        <v>6584</v>
      </c>
      <c r="D2852" t="s">
        <v>19014</v>
      </c>
      <c r="E2852" t="s">
        <v>21680</v>
      </c>
      <c r="F2852" t="s">
        <v>32606</v>
      </c>
      <c r="G2852" t="s">
        <v>32613</v>
      </c>
      <c r="H2852" t="s">
        <v>32623</v>
      </c>
      <c r="I2852" t="s">
        <v>17648</v>
      </c>
      <c r="J2852" t="s">
        <v>32770</v>
      </c>
      <c r="K2852" t="s">
        <v>42639</v>
      </c>
      <c r="M2852" t="s">
        <v>43258</v>
      </c>
      <c r="N2852" t="s">
        <v>47304</v>
      </c>
      <c r="O2852" t="s">
        <v>47305</v>
      </c>
      <c r="P2852">
        <v>0</v>
      </c>
      <c r="Q2852">
        <v>18</v>
      </c>
      <c r="R2852" t="s">
        <v>47306</v>
      </c>
      <c r="S2852" t="s">
        <v>47414</v>
      </c>
      <c r="T2852" t="s">
        <v>49092</v>
      </c>
      <c r="U2852" t="s">
        <v>52032</v>
      </c>
      <c r="W2852" t="s">
        <v>43258</v>
      </c>
      <c r="X2852" t="s">
        <v>47308</v>
      </c>
    </row>
    <row r="2853" spans="1:24">
      <c r="A2853">
        <f>HYPERLINK("https://www.philgeps.gov.ph/GEPSNONPILOT/Tender/SplashBidNoticeAbstractUI.aspx?menuIndex=3&amp;refID=7194963&amp;Result=3","7194963")</f>
        <v>0</v>
      </c>
      <c r="B2853" t="s">
        <v>255</v>
      </c>
      <c r="C2853" t="s">
        <v>6585</v>
      </c>
      <c r="E2853" t="s">
        <v>21681</v>
      </c>
      <c r="F2853" t="s">
        <v>32606</v>
      </c>
      <c r="G2853" t="s">
        <v>32614</v>
      </c>
      <c r="H2853" t="s">
        <v>14201</v>
      </c>
      <c r="I2853" t="s">
        <v>6931</v>
      </c>
      <c r="J2853" t="s">
        <v>34760</v>
      </c>
      <c r="K2853" t="s">
        <v>42624</v>
      </c>
      <c r="M2853" t="s">
        <v>43156</v>
      </c>
      <c r="N2853" t="s">
        <v>47304</v>
      </c>
      <c r="O2853" t="s">
        <v>47305</v>
      </c>
      <c r="P2853">
        <v>0</v>
      </c>
      <c r="Q2853">
        <v>0</v>
      </c>
      <c r="R2853" t="s">
        <v>47306</v>
      </c>
      <c r="S2853" t="s">
        <v>47414</v>
      </c>
      <c r="T2853" t="s">
        <v>48987</v>
      </c>
      <c r="U2853" t="s">
        <v>52033</v>
      </c>
      <c r="W2853" t="s">
        <v>43156</v>
      </c>
      <c r="X2853" t="s">
        <v>47308</v>
      </c>
    </row>
    <row r="2854" spans="1:24">
      <c r="A2854">
        <f>HYPERLINK("https://www.philgeps.gov.ph/GEPSNONPILOT/Tender/SplashBidNoticeAbstractUI.aspx?menuIndex=3&amp;refID=7194961&amp;Result=3","7194961")</f>
        <v>0</v>
      </c>
      <c r="B2854" t="s">
        <v>337</v>
      </c>
      <c r="C2854" t="s">
        <v>6529</v>
      </c>
      <c r="D2854" t="s">
        <v>19039</v>
      </c>
      <c r="E2854" t="s">
        <v>21682</v>
      </c>
      <c r="F2854" t="s">
        <v>32606</v>
      </c>
      <c r="G2854" t="s">
        <v>32619</v>
      </c>
      <c r="H2854" t="s">
        <v>14201</v>
      </c>
      <c r="I2854" t="s">
        <v>4678</v>
      </c>
      <c r="J2854" t="s">
        <v>33025</v>
      </c>
      <c r="K2854" t="s">
        <v>42622</v>
      </c>
      <c r="M2854" t="s">
        <v>43239</v>
      </c>
      <c r="N2854" t="s">
        <v>47304</v>
      </c>
      <c r="O2854" t="s">
        <v>47305</v>
      </c>
      <c r="P2854">
        <v>0</v>
      </c>
      <c r="Q2854">
        <v>0</v>
      </c>
      <c r="R2854" t="s">
        <v>47306</v>
      </c>
      <c r="S2854" t="s">
        <v>47414</v>
      </c>
      <c r="T2854" t="s">
        <v>48980</v>
      </c>
      <c r="U2854" t="s">
        <v>52034</v>
      </c>
      <c r="W2854" t="s">
        <v>43239</v>
      </c>
      <c r="X2854" t="s">
        <v>47308</v>
      </c>
    </row>
    <row r="2855" spans="1:24">
      <c r="A2855">
        <f>HYPERLINK("https://www.philgeps.gov.ph/GEPSNONPILOT/Tender/SplashBidNoticeAbstractUI.aspx?menuIndex=3&amp;refID=7194969&amp;Result=3","7194969")</f>
        <v>0</v>
      </c>
      <c r="B2855" t="s">
        <v>294</v>
      </c>
      <c r="C2855" t="s">
        <v>6586</v>
      </c>
      <c r="D2855" t="s">
        <v>19019</v>
      </c>
      <c r="E2855" t="s">
        <v>21683</v>
      </c>
      <c r="F2855" t="s">
        <v>32606</v>
      </c>
      <c r="G2855" t="s">
        <v>32614</v>
      </c>
      <c r="H2855" t="s">
        <v>14201</v>
      </c>
      <c r="I2855" t="s">
        <v>32652</v>
      </c>
      <c r="J2855" t="s">
        <v>32799</v>
      </c>
      <c r="K2855" t="s">
        <v>42631</v>
      </c>
      <c r="M2855" t="s">
        <v>43196</v>
      </c>
      <c r="N2855" t="s">
        <v>47304</v>
      </c>
      <c r="O2855" t="s">
        <v>47305</v>
      </c>
      <c r="P2855">
        <v>0</v>
      </c>
      <c r="Q2855">
        <v>2</v>
      </c>
      <c r="R2855" t="s">
        <v>47306</v>
      </c>
      <c r="S2855" t="s">
        <v>47414</v>
      </c>
      <c r="T2855" t="s">
        <v>49014</v>
      </c>
      <c r="U2855" t="s">
        <v>50052</v>
      </c>
      <c r="W2855" t="s">
        <v>43196</v>
      </c>
      <c r="X2855" t="s">
        <v>47308</v>
      </c>
    </row>
    <row r="2856" spans="1:24">
      <c r="A2856">
        <f>HYPERLINK("https://www.philgeps.gov.ph/GEPSNONPILOT/Tender/SplashBidNoticeAbstractUI.aspx?menuIndex=3&amp;refID=7194975&amp;Result=3","7194975")</f>
        <v>0</v>
      </c>
      <c r="B2856" t="s">
        <v>352</v>
      </c>
      <c r="C2856" t="s">
        <v>6587</v>
      </c>
      <c r="E2856" t="s">
        <v>21684</v>
      </c>
      <c r="F2856" t="s">
        <v>32606</v>
      </c>
      <c r="G2856" t="s">
        <v>32614</v>
      </c>
      <c r="H2856" t="s">
        <v>14201</v>
      </c>
      <c r="I2856" t="s">
        <v>32676</v>
      </c>
      <c r="J2856" t="s">
        <v>34761</v>
      </c>
      <c r="K2856" t="s">
        <v>42624</v>
      </c>
      <c r="M2856" t="s">
        <v>43254</v>
      </c>
      <c r="N2856" t="s">
        <v>47304</v>
      </c>
      <c r="O2856" t="s">
        <v>47305</v>
      </c>
      <c r="P2856">
        <v>0</v>
      </c>
      <c r="Q2856">
        <v>0</v>
      </c>
      <c r="R2856" t="s">
        <v>47306</v>
      </c>
      <c r="S2856" t="s">
        <v>47414</v>
      </c>
      <c r="T2856" t="s">
        <v>49004</v>
      </c>
      <c r="U2856" t="s">
        <v>52035</v>
      </c>
      <c r="W2856" t="s">
        <v>43254</v>
      </c>
      <c r="X2856" t="s">
        <v>47308</v>
      </c>
    </row>
    <row r="2857" spans="1:24">
      <c r="A2857">
        <f>HYPERLINK("https://www.philgeps.gov.ph/GEPSNONPILOT/Tender/SplashBidNoticeAbstractUI.aspx?menuIndex=3&amp;refID=7194989&amp;Result=3","7194989")</f>
        <v>0</v>
      </c>
      <c r="B2857" t="s">
        <v>255</v>
      </c>
      <c r="C2857" t="s">
        <v>6588</v>
      </c>
      <c r="E2857" t="s">
        <v>21685</v>
      </c>
      <c r="F2857" t="s">
        <v>32606</v>
      </c>
      <c r="G2857" t="s">
        <v>32614</v>
      </c>
      <c r="H2857" t="s">
        <v>14201</v>
      </c>
      <c r="I2857" t="s">
        <v>6931</v>
      </c>
      <c r="J2857" t="s">
        <v>34762</v>
      </c>
      <c r="K2857" t="s">
        <v>42624</v>
      </c>
      <c r="M2857" t="s">
        <v>43156</v>
      </c>
      <c r="N2857" t="s">
        <v>47304</v>
      </c>
      <c r="O2857" t="s">
        <v>47305</v>
      </c>
      <c r="P2857">
        <v>0</v>
      </c>
      <c r="Q2857">
        <v>0</v>
      </c>
      <c r="R2857" t="s">
        <v>47306</v>
      </c>
      <c r="S2857" t="s">
        <v>47414</v>
      </c>
      <c r="T2857" t="s">
        <v>48987</v>
      </c>
      <c r="U2857" t="s">
        <v>52036</v>
      </c>
      <c r="W2857" t="s">
        <v>43156</v>
      </c>
      <c r="X2857" t="s">
        <v>47308</v>
      </c>
    </row>
    <row r="2858" spans="1:24">
      <c r="A2858">
        <f>HYPERLINK("https://www.philgeps.gov.ph/GEPSNONPILOT/Tender/SplashBidNoticeAbstractUI.aspx?menuIndex=3&amp;refID=7194964&amp;Result=3","7194964")</f>
        <v>0</v>
      </c>
      <c r="B2858" t="s">
        <v>865</v>
      </c>
      <c r="C2858" t="s">
        <v>6589</v>
      </c>
      <c r="E2858" t="s">
        <v>21686</v>
      </c>
      <c r="F2858" t="s">
        <v>32606</v>
      </c>
      <c r="G2858" t="s">
        <v>32617</v>
      </c>
      <c r="H2858" t="s">
        <v>14201</v>
      </c>
      <c r="I2858" t="s">
        <v>4678</v>
      </c>
      <c r="J2858" t="s">
        <v>32885</v>
      </c>
      <c r="K2858" t="s">
        <v>42624</v>
      </c>
      <c r="M2858" t="s">
        <v>43799</v>
      </c>
      <c r="N2858" t="s">
        <v>47304</v>
      </c>
      <c r="O2858" t="s">
        <v>47305</v>
      </c>
      <c r="P2858">
        <v>0</v>
      </c>
      <c r="Q2858">
        <v>0</v>
      </c>
      <c r="R2858" t="s">
        <v>47306</v>
      </c>
      <c r="S2858" t="s">
        <v>47414</v>
      </c>
      <c r="T2858" t="s">
        <v>48980</v>
      </c>
      <c r="U2858" t="s">
        <v>52037</v>
      </c>
      <c r="W2858" t="s">
        <v>43799</v>
      </c>
      <c r="X2858" t="s">
        <v>47308</v>
      </c>
    </row>
    <row r="2859" spans="1:24">
      <c r="A2859">
        <f>HYPERLINK("https://www.philgeps.gov.ph/GEPSNONPILOT/Tender/SplashBidNoticeAbstractUI.aspx?menuIndex=3&amp;refID=7194986&amp;Result=3","7194986")</f>
        <v>0</v>
      </c>
      <c r="B2859" t="s">
        <v>296</v>
      </c>
      <c r="C2859" t="s">
        <v>6590</v>
      </c>
      <c r="D2859" t="s">
        <v>19038</v>
      </c>
      <c r="E2859" t="s">
        <v>21687</v>
      </c>
      <c r="F2859" t="s">
        <v>32606</v>
      </c>
      <c r="G2859" t="s">
        <v>32613</v>
      </c>
      <c r="H2859" t="s">
        <v>14201</v>
      </c>
      <c r="I2859" t="s">
        <v>4678</v>
      </c>
      <c r="J2859" t="s">
        <v>34179</v>
      </c>
      <c r="K2859" t="s">
        <v>42624</v>
      </c>
      <c r="M2859" t="s">
        <v>43198</v>
      </c>
      <c r="N2859" t="s">
        <v>47304</v>
      </c>
      <c r="O2859" t="s">
        <v>47305</v>
      </c>
      <c r="P2859">
        <v>0</v>
      </c>
      <c r="Q2859">
        <v>0</v>
      </c>
      <c r="R2859" t="s">
        <v>47306</v>
      </c>
      <c r="S2859" t="s">
        <v>47414</v>
      </c>
      <c r="T2859" t="s">
        <v>49017</v>
      </c>
      <c r="U2859" t="s">
        <v>50103</v>
      </c>
      <c r="W2859" t="s">
        <v>43198</v>
      </c>
      <c r="X2859" t="s">
        <v>47308</v>
      </c>
    </row>
    <row r="2860" spans="1:24">
      <c r="A2860">
        <f>HYPERLINK("https://www.philgeps.gov.ph/GEPSNONPILOT/Tender/SplashBidNoticeAbstractUI.aspx?menuIndex=3&amp;refID=7194985&amp;Result=3","7194985")</f>
        <v>0</v>
      </c>
      <c r="B2860" t="s">
        <v>1211</v>
      </c>
      <c r="C2860" t="s">
        <v>6591</v>
      </c>
      <c r="D2860" t="s">
        <v>19005</v>
      </c>
      <c r="E2860" t="s">
        <v>19729</v>
      </c>
      <c r="F2860" t="s">
        <v>32606</v>
      </c>
      <c r="G2860" t="s">
        <v>32613</v>
      </c>
      <c r="H2860" t="s">
        <v>14201</v>
      </c>
      <c r="I2860" t="s">
        <v>6931</v>
      </c>
      <c r="J2860" t="s">
        <v>34763</v>
      </c>
      <c r="K2860" t="s">
        <v>42622</v>
      </c>
      <c r="M2860" t="s">
        <v>44176</v>
      </c>
      <c r="N2860" t="s">
        <v>47304</v>
      </c>
      <c r="O2860" t="s">
        <v>47305</v>
      </c>
      <c r="P2860">
        <v>0</v>
      </c>
      <c r="Q2860">
        <v>1</v>
      </c>
      <c r="R2860" t="s">
        <v>47306</v>
      </c>
      <c r="S2860" t="s">
        <v>47414</v>
      </c>
      <c r="T2860" t="s">
        <v>49247</v>
      </c>
      <c r="U2860" t="s">
        <v>52038</v>
      </c>
      <c r="W2860" t="s">
        <v>44176</v>
      </c>
      <c r="X2860" t="s">
        <v>47308</v>
      </c>
    </row>
    <row r="2861" spans="1:24">
      <c r="A2861">
        <f>HYPERLINK("https://www.philgeps.gov.ph/GEPSNONPILOT/Tender/SplashBidNoticeAbstractUI.aspx?menuIndex=3&amp;refID=7194968&amp;Result=3","7194968")</f>
        <v>0</v>
      </c>
      <c r="B2861" t="s">
        <v>300</v>
      </c>
      <c r="C2861" t="s">
        <v>6592</v>
      </c>
      <c r="D2861" t="s">
        <v>19024</v>
      </c>
      <c r="E2861" t="s">
        <v>19522</v>
      </c>
      <c r="F2861" t="s">
        <v>32606</v>
      </c>
      <c r="G2861" t="s">
        <v>32615</v>
      </c>
      <c r="H2861" t="s">
        <v>14201</v>
      </c>
      <c r="I2861" t="s">
        <v>6931</v>
      </c>
      <c r="J2861" t="s">
        <v>34764</v>
      </c>
      <c r="K2861" t="s">
        <v>42631</v>
      </c>
      <c r="M2861" t="s">
        <v>43202</v>
      </c>
      <c r="N2861" t="s">
        <v>47304</v>
      </c>
      <c r="O2861" t="s">
        <v>47305</v>
      </c>
      <c r="P2861">
        <v>0</v>
      </c>
      <c r="Q2861">
        <v>0</v>
      </c>
      <c r="R2861" t="s">
        <v>47306</v>
      </c>
      <c r="S2861" t="s">
        <v>47414</v>
      </c>
      <c r="T2861" t="s">
        <v>49052</v>
      </c>
      <c r="U2861" t="s">
        <v>52039</v>
      </c>
      <c r="W2861" t="s">
        <v>43202</v>
      </c>
      <c r="X2861" t="s">
        <v>47308</v>
      </c>
    </row>
    <row r="2862" spans="1:24">
      <c r="A2862">
        <f>HYPERLINK("https://www.philgeps.gov.ph/GEPSNONPILOT/Tender/SplashBidNoticeAbstractUI.aspx?menuIndex=3&amp;refID=7194981&amp;Result=3","7194981")</f>
        <v>0</v>
      </c>
      <c r="B2862" t="s">
        <v>1209</v>
      </c>
      <c r="C2862" t="s">
        <v>6593</v>
      </c>
      <c r="D2862" t="s">
        <v>18993</v>
      </c>
      <c r="E2862" t="s">
        <v>21688</v>
      </c>
      <c r="F2862" t="s">
        <v>32606</v>
      </c>
      <c r="G2862" t="s">
        <v>32613</v>
      </c>
      <c r="H2862" t="s">
        <v>14201</v>
      </c>
      <c r="I2862" t="s">
        <v>32655</v>
      </c>
      <c r="J2862" t="s">
        <v>34765</v>
      </c>
      <c r="K2862" t="s">
        <v>42627</v>
      </c>
      <c r="M2862" t="s">
        <v>44174</v>
      </c>
      <c r="N2862" t="s">
        <v>47304</v>
      </c>
      <c r="O2862" t="s">
        <v>47305</v>
      </c>
      <c r="P2862">
        <v>0</v>
      </c>
      <c r="Q2862">
        <v>2</v>
      </c>
      <c r="R2862" t="s">
        <v>47306</v>
      </c>
      <c r="S2862" t="s">
        <v>47414</v>
      </c>
      <c r="T2862" t="s">
        <v>49190</v>
      </c>
      <c r="U2862" t="s">
        <v>52040</v>
      </c>
      <c r="W2862" t="s">
        <v>44174</v>
      </c>
      <c r="X2862" t="s">
        <v>47308</v>
      </c>
    </row>
    <row r="2863" spans="1:24">
      <c r="A2863">
        <f>HYPERLINK("https://www.philgeps.gov.ph/GEPSNONPILOT/Tender/SplashBidNoticeAbstractUI.aspx?menuIndex=3&amp;refID=7194976&amp;Result=3","7194976")</f>
        <v>0</v>
      </c>
      <c r="B2863" t="s">
        <v>936</v>
      </c>
      <c r="C2863" t="s">
        <v>6594</v>
      </c>
      <c r="D2863" t="s">
        <v>19035</v>
      </c>
      <c r="E2863" t="s">
        <v>21689</v>
      </c>
      <c r="F2863" t="s">
        <v>32609</v>
      </c>
      <c r="G2863" t="s">
        <v>32619</v>
      </c>
      <c r="H2863" t="s">
        <v>14201</v>
      </c>
      <c r="I2863" t="s">
        <v>32635</v>
      </c>
      <c r="J2863" t="s">
        <v>34306</v>
      </c>
      <c r="K2863" t="s">
        <v>42624</v>
      </c>
      <c r="M2863" t="s">
        <v>43876</v>
      </c>
      <c r="N2863" t="s">
        <v>47304</v>
      </c>
      <c r="O2863" t="s">
        <v>47305</v>
      </c>
      <c r="Q2863">
        <v>1</v>
      </c>
      <c r="R2863" t="s">
        <v>47306</v>
      </c>
      <c r="S2863" t="s">
        <v>47418</v>
      </c>
      <c r="T2863" t="s">
        <v>48980</v>
      </c>
      <c r="U2863" t="s">
        <v>52041</v>
      </c>
      <c r="W2863" t="s">
        <v>64457</v>
      </c>
      <c r="X2863" t="s">
        <v>47308</v>
      </c>
    </row>
    <row r="2864" spans="1:24">
      <c r="A2864">
        <f>HYPERLINK("https://www.philgeps.gov.ph/GEPSNONPILOT/Tender/SplashBidNoticeAbstractUI.aspx?menuIndex=3&amp;refID=7194980&amp;Result=3","7194980")</f>
        <v>0</v>
      </c>
      <c r="B2864" t="s">
        <v>1212</v>
      </c>
      <c r="C2864" t="s">
        <v>6595</v>
      </c>
      <c r="D2864" t="s">
        <v>19014</v>
      </c>
      <c r="E2864" t="s">
        <v>21690</v>
      </c>
      <c r="F2864" t="s">
        <v>32606</v>
      </c>
      <c r="G2864" t="s">
        <v>32619</v>
      </c>
      <c r="H2864" t="s">
        <v>14201</v>
      </c>
      <c r="I2864" t="s">
        <v>6993</v>
      </c>
      <c r="J2864" t="s">
        <v>33920</v>
      </c>
      <c r="K2864" t="s">
        <v>42625</v>
      </c>
      <c r="M2864" t="s">
        <v>44177</v>
      </c>
      <c r="N2864" t="s">
        <v>47304</v>
      </c>
      <c r="O2864" t="s">
        <v>47305</v>
      </c>
      <c r="P2864">
        <v>0</v>
      </c>
      <c r="Q2864">
        <v>0</v>
      </c>
      <c r="R2864" t="s">
        <v>47306</v>
      </c>
      <c r="S2864" t="s">
        <v>47414</v>
      </c>
      <c r="T2864" t="s">
        <v>49165</v>
      </c>
      <c r="U2864" t="s">
        <v>52042</v>
      </c>
      <c r="W2864" t="s">
        <v>44177</v>
      </c>
      <c r="X2864" t="s">
        <v>47308</v>
      </c>
    </row>
    <row r="2865" spans="1:24">
      <c r="A2865">
        <f>HYPERLINK("https://www.philgeps.gov.ph/GEPSNONPILOT/Tender/SplashBidNoticeAbstractUI.aspx?menuIndex=3&amp;refID=7194965&amp;Result=3","7194965")</f>
        <v>0</v>
      </c>
      <c r="B2865" t="s">
        <v>701</v>
      </c>
      <c r="C2865" t="s">
        <v>6596</v>
      </c>
      <c r="D2865" t="s">
        <v>19015</v>
      </c>
      <c r="E2865" t="s">
        <v>21691</v>
      </c>
      <c r="F2865" t="s">
        <v>32606</v>
      </c>
      <c r="G2865" t="s">
        <v>32614</v>
      </c>
      <c r="H2865" t="s">
        <v>32625</v>
      </c>
      <c r="I2865" t="s">
        <v>32625</v>
      </c>
      <c r="J2865" t="s">
        <v>32799</v>
      </c>
      <c r="K2865" t="s">
        <v>42679</v>
      </c>
      <c r="M2865" t="s">
        <v>43622</v>
      </c>
      <c r="N2865" t="s">
        <v>47304</v>
      </c>
      <c r="O2865" t="s">
        <v>47305</v>
      </c>
      <c r="P2865">
        <v>0</v>
      </c>
      <c r="Q2865">
        <v>3</v>
      </c>
      <c r="R2865" t="s">
        <v>47306</v>
      </c>
      <c r="S2865" t="s">
        <v>47414</v>
      </c>
      <c r="T2865" t="s">
        <v>49061</v>
      </c>
      <c r="U2865" t="s">
        <v>52043</v>
      </c>
      <c r="W2865" t="s">
        <v>43622</v>
      </c>
      <c r="X2865" t="s">
        <v>47308</v>
      </c>
    </row>
    <row r="2866" spans="1:24">
      <c r="A2866">
        <f>HYPERLINK("https://www.philgeps.gov.ph/GEPSNONPILOT/Tender/SplashBidNoticeAbstractUI.aspx?menuIndex=3&amp;refID=7194979&amp;Result=3","7194979")</f>
        <v>0</v>
      </c>
      <c r="B2866" t="s">
        <v>360</v>
      </c>
      <c r="C2866" t="s">
        <v>6597</v>
      </c>
      <c r="D2866" t="s">
        <v>19040</v>
      </c>
      <c r="E2866" t="s">
        <v>21692</v>
      </c>
      <c r="F2866" t="s">
        <v>32606</v>
      </c>
      <c r="G2866" t="s">
        <v>32614</v>
      </c>
      <c r="H2866" t="s">
        <v>14201</v>
      </c>
      <c r="I2866" t="s">
        <v>4120</v>
      </c>
      <c r="J2866" t="s">
        <v>34766</v>
      </c>
      <c r="K2866" t="s">
        <v>42630</v>
      </c>
      <c r="M2866" t="s">
        <v>43262</v>
      </c>
      <c r="N2866" t="s">
        <v>47304</v>
      </c>
      <c r="O2866" t="s">
        <v>47305</v>
      </c>
      <c r="P2866">
        <v>0</v>
      </c>
      <c r="Q2866">
        <v>2</v>
      </c>
      <c r="R2866" t="s">
        <v>47306</v>
      </c>
      <c r="S2866" t="s">
        <v>47414</v>
      </c>
      <c r="T2866" t="s">
        <v>49050</v>
      </c>
      <c r="U2866" t="s">
        <v>50184</v>
      </c>
      <c r="W2866" t="s">
        <v>43262</v>
      </c>
      <c r="X2866" t="s">
        <v>47308</v>
      </c>
    </row>
    <row r="2867" spans="1:24">
      <c r="A2867">
        <f>HYPERLINK("https://www.philgeps.gov.ph/GEPSNONPILOT/Tender/SplashBidNoticeAbstractUI.aspx?menuIndex=3&amp;refID=7194998&amp;Result=3","7194998")</f>
        <v>0</v>
      </c>
      <c r="B2867" t="s">
        <v>360</v>
      </c>
      <c r="C2867" t="s">
        <v>6598</v>
      </c>
      <c r="D2867" t="s">
        <v>19040</v>
      </c>
      <c r="E2867" t="s">
        <v>21693</v>
      </c>
      <c r="F2867" t="s">
        <v>32606</v>
      </c>
      <c r="G2867" t="s">
        <v>32614</v>
      </c>
      <c r="H2867" t="s">
        <v>14201</v>
      </c>
      <c r="I2867" t="s">
        <v>4120</v>
      </c>
      <c r="J2867" t="s">
        <v>34767</v>
      </c>
      <c r="K2867" t="s">
        <v>42630</v>
      </c>
      <c r="M2867" t="s">
        <v>43262</v>
      </c>
      <c r="N2867" t="s">
        <v>47304</v>
      </c>
      <c r="O2867" t="s">
        <v>47305</v>
      </c>
      <c r="P2867">
        <v>0</v>
      </c>
      <c r="Q2867">
        <v>8</v>
      </c>
      <c r="R2867" t="s">
        <v>47306</v>
      </c>
      <c r="S2867" t="s">
        <v>47414</v>
      </c>
      <c r="T2867" t="s">
        <v>49050</v>
      </c>
      <c r="U2867" t="s">
        <v>50184</v>
      </c>
      <c r="W2867" t="s">
        <v>43262</v>
      </c>
      <c r="X2867" t="s">
        <v>47308</v>
      </c>
    </row>
    <row r="2868" spans="1:24">
      <c r="A2868">
        <f>HYPERLINK("https://www.philgeps.gov.ph/GEPSNONPILOT/Tender/SplashBidNoticeAbstractUI.aspx?menuIndex=3&amp;refID=7194997&amp;Result=3","7194997")</f>
        <v>0</v>
      </c>
      <c r="B2868" t="s">
        <v>895</v>
      </c>
      <c r="C2868" t="s">
        <v>6599</v>
      </c>
      <c r="D2868" t="s">
        <v>18993</v>
      </c>
      <c r="E2868" t="s">
        <v>21694</v>
      </c>
      <c r="F2868" t="s">
        <v>32606</v>
      </c>
      <c r="G2868" t="s">
        <v>32619</v>
      </c>
      <c r="H2868" t="s">
        <v>14201</v>
      </c>
      <c r="I2868" t="s">
        <v>4120</v>
      </c>
      <c r="J2868" t="s">
        <v>34768</v>
      </c>
      <c r="K2868" t="s">
        <v>42624</v>
      </c>
      <c r="M2868" t="s">
        <v>43831</v>
      </c>
      <c r="N2868" t="s">
        <v>47304</v>
      </c>
      <c r="O2868" t="s">
        <v>47305</v>
      </c>
      <c r="P2868">
        <v>0</v>
      </c>
      <c r="Q2868">
        <v>4</v>
      </c>
      <c r="R2868" t="s">
        <v>47306</v>
      </c>
      <c r="S2868" t="s">
        <v>47414</v>
      </c>
      <c r="T2868" t="s">
        <v>49014</v>
      </c>
      <c r="U2868" t="s">
        <v>52044</v>
      </c>
      <c r="W2868" t="s">
        <v>43831</v>
      </c>
      <c r="X2868" t="s">
        <v>47308</v>
      </c>
    </row>
    <row r="2869" spans="1:24">
      <c r="A2869">
        <f>HYPERLINK("https://www.philgeps.gov.ph/GEPSNONPILOT/Tender/SplashBidNoticeAbstractUI.aspx?menuIndex=3&amp;refID=7194951&amp;Result=3","7194951")</f>
        <v>0</v>
      </c>
      <c r="B2869" t="s">
        <v>865</v>
      </c>
      <c r="C2869" t="s">
        <v>6600</v>
      </c>
      <c r="E2869" t="s">
        <v>21695</v>
      </c>
      <c r="F2869" t="s">
        <v>32606</v>
      </c>
      <c r="G2869" t="s">
        <v>32617</v>
      </c>
      <c r="H2869" t="s">
        <v>14201</v>
      </c>
      <c r="I2869" t="s">
        <v>4678</v>
      </c>
      <c r="J2869" t="s">
        <v>32813</v>
      </c>
      <c r="K2869" t="s">
        <v>42624</v>
      </c>
      <c r="M2869" t="s">
        <v>43799</v>
      </c>
      <c r="N2869" t="s">
        <v>47304</v>
      </c>
      <c r="O2869" t="s">
        <v>47305</v>
      </c>
      <c r="P2869">
        <v>0</v>
      </c>
      <c r="Q2869">
        <v>0</v>
      </c>
      <c r="R2869" t="s">
        <v>47306</v>
      </c>
      <c r="S2869" t="s">
        <v>47414</v>
      </c>
      <c r="T2869" t="s">
        <v>48980</v>
      </c>
      <c r="U2869" t="s">
        <v>52045</v>
      </c>
      <c r="W2869" t="s">
        <v>43799</v>
      </c>
      <c r="X2869" t="s">
        <v>47308</v>
      </c>
    </row>
    <row r="2870" spans="1:24">
      <c r="A2870">
        <f>HYPERLINK("https://www.philgeps.gov.ph/GEPSNONPILOT/Tender/SplashBidNoticeAbstractUI.aspx?menuIndex=3&amp;refID=7194995&amp;Result=3","7194995")</f>
        <v>0</v>
      </c>
      <c r="B2870" t="s">
        <v>1213</v>
      </c>
      <c r="C2870" t="s">
        <v>6601</v>
      </c>
      <c r="D2870" t="s">
        <v>19019</v>
      </c>
      <c r="E2870" t="s">
        <v>21696</v>
      </c>
      <c r="F2870" t="s">
        <v>32606</v>
      </c>
      <c r="G2870" t="s">
        <v>32613</v>
      </c>
      <c r="H2870" t="s">
        <v>14201</v>
      </c>
      <c r="I2870" t="s">
        <v>6931</v>
      </c>
      <c r="J2870" t="s">
        <v>32828</v>
      </c>
      <c r="K2870" t="s">
        <v>42624</v>
      </c>
      <c r="M2870" t="s">
        <v>44178</v>
      </c>
      <c r="N2870" t="s">
        <v>47304</v>
      </c>
      <c r="O2870" t="s">
        <v>47305</v>
      </c>
      <c r="P2870">
        <v>0</v>
      </c>
      <c r="Q2870">
        <v>0</v>
      </c>
      <c r="R2870" t="s">
        <v>47306</v>
      </c>
      <c r="S2870" t="s">
        <v>47414</v>
      </c>
      <c r="T2870" t="s">
        <v>49240</v>
      </c>
      <c r="U2870" t="s">
        <v>52046</v>
      </c>
      <c r="W2870" t="s">
        <v>44178</v>
      </c>
      <c r="X2870" t="s">
        <v>47308</v>
      </c>
    </row>
    <row r="2871" spans="1:24">
      <c r="A2871">
        <f>HYPERLINK("https://www.philgeps.gov.ph/GEPSNONPILOT/Tender/SplashBidNoticeAbstractUI.aspx?menuIndex=3&amp;refID=7194994&amp;Result=3","7194994")</f>
        <v>0</v>
      </c>
      <c r="B2871" t="s">
        <v>1198</v>
      </c>
      <c r="C2871" t="s">
        <v>6550</v>
      </c>
      <c r="D2871" t="s">
        <v>19049</v>
      </c>
      <c r="E2871" t="s">
        <v>19760</v>
      </c>
      <c r="F2871" t="s">
        <v>32606</v>
      </c>
      <c r="G2871" t="s">
        <v>32614</v>
      </c>
      <c r="H2871" t="s">
        <v>14201</v>
      </c>
      <c r="I2871" t="s">
        <v>32626</v>
      </c>
      <c r="J2871" t="s">
        <v>34769</v>
      </c>
      <c r="K2871" t="s">
        <v>42623</v>
      </c>
      <c r="M2871" t="s">
        <v>44162</v>
      </c>
      <c r="N2871" t="s">
        <v>47304</v>
      </c>
      <c r="O2871" t="s">
        <v>47305</v>
      </c>
      <c r="P2871">
        <v>0</v>
      </c>
      <c r="Q2871">
        <v>8</v>
      </c>
      <c r="R2871" t="s">
        <v>47306</v>
      </c>
      <c r="S2871" t="s">
        <v>47414</v>
      </c>
      <c r="T2871" t="s">
        <v>48987</v>
      </c>
      <c r="U2871" t="s">
        <v>52002</v>
      </c>
      <c r="W2871" t="s">
        <v>44162</v>
      </c>
      <c r="X2871" t="s">
        <v>47308</v>
      </c>
    </row>
    <row r="2872" spans="1:24">
      <c r="A2872">
        <f>HYPERLINK("https://www.philgeps.gov.ph/GEPSNONPILOT/Tender/SplashBidNoticeAbstractUI.aspx?menuIndex=3&amp;refID=7194993&amp;Result=3","7194993")</f>
        <v>0</v>
      </c>
      <c r="B2872" t="s">
        <v>1196</v>
      </c>
      <c r="C2872" t="s">
        <v>6602</v>
      </c>
      <c r="D2872" t="s">
        <v>19010</v>
      </c>
      <c r="E2872" t="s">
        <v>21639</v>
      </c>
      <c r="F2872" t="s">
        <v>32607</v>
      </c>
      <c r="G2872" t="s">
        <v>32613</v>
      </c>
      <c r="H2872" t="s">
        <v>32623</v>
      </c>
      <c r="I2872" t="s">
        <v>17648</v>
      </c>
      <c r="J2872" t="s">
        <v>34728</v>
      </c>
      <c r="K2872" t="s">
        <v>42678</v>
      </c>
      <c r="L2872" t="s">
        <v>1196</v>
      </c>
      <c r="M2872" t="s">
        <v>44160</v>
      </c>
      <c r="N2872" t="s">
        <v>47304</v>
      </c>
      <c r="O2872" t="s">
        <v>47305</v>
      </c>
      <c r="P2872">
        <v>0</v>
      </c>
      <c r="Q2872">
        <v>0</v>
      </c>
      <c r="R2872" t="s">
        <v>47306</v>
      </c>
      <c r="S2872" t="s">
        <v>47414</v>
      </c>
      <c r="T2872" t="s">
        <v>48973</v>
      </c>
      <c r="U2872" t="s">
        <v>51995</v>
      </c>
      <c r="W2872" t="s">
        <v>44160</v>
      </c>
      <c r="X2872" t="s">
        <v>47308</v>
      </c>
    </row>
    <row r="2873" spans="1:24">
      <c r="A2873">
        <f>HYPERLINK("https://www.philgeps.gov.ph/GEPSNONPILOT/Tender/SplashBidNoticeAbstractUI.aspx?menuIndex=3&amp;refID=7194992&amp;Result=3","7194992")</f>
        <v>0</v>
      </c>
      <c r="B2873" t="s">
        <v>1201</v>
      </c>
      <c r="C2873" t="s">
        <v>6603</v>
      </c>
      <c r="D2873" t="s">
        <v>19005</v>
      </c>
      <c r="E2873" t="s">
        <v>21658</v>
      </c>
      <c r="F2873" t="s">
        <v>32606</v>
      </c>
      <c r="G2873" t="s">
        <v>32614</v>
      </c>
      <c r="H2873" t="s">
        <v>14201</v>
      </c>
      <c r="I2873" t="s">
        <v>32640</v>
      </c>
      <c r="J2873" t="s">
        <v>33009</v>
      </c>
      <c r="K2873" t="s">
        <v>42677</v>
      </c>
      <c r="M2873" t="s">
        <v>44165</v>
      </c>
      <c r="N2873" t="s">
        <v>47304</v>
      </c>
      <c r="O2873" t="s">
        <v>47305</v>
      </c>
      <c r="P2873">
        <v>0</v>
      </c>
      <c r="Q2873">
        <v>2</v>
      </c>
      <c r="R2873" t="s">
        <v>47306</v>
      </c>
      <c r="S2873" t="s">
        <v>47414</v>
      </c>
      <c r="T2873" t="s">
        <v>49050</v>
      </c>
      <c r="U2873" t="s">
        <v>52009</v>
      </c>
      <c r="W2873" t="s">
        <v>44165</v>
      </c>
      <c r="X2873" t="s">
        <v>47308</v>
      </c>
    </row>
    <row r="2874" spans="1:24">
      <c r="A2874">
        <f>HYPERLINK("https://www.philgeps.gov.ph/GEPSNONPILOT/Tender/SplashBidNoticeAbstractUI.aspx?menuIndex=3&amp;refID=7194978&amp;Result=3","7194978")</f>
        <v>0</v>
      </c>
      <c r="B2874" t="s">
        <v>1058</v>
      </c>
      <c r="C2874" t="s">
        <v>6604</v>
      </c>
      <c r="D2874" t="s">
        <v>19039</v>
      </c>
      <c r="E2874" t="s">
        <v>21697</v>
      </c>
      <c r="F2874" t="s">
        <v>32606</v>
      </c>
      <c r="G2874" t="s">
        <v>32614</v>
      </c>
      <c r="H2874" t="s">
        <v>14201</v>
      </c>
      <c r="I2874" t="s">
        <v>6007</v>
      </c>
      <c r="J2874" t="s">
        <v>32869</v>
      </c>
      <c r="K2874" t="s">
        <v>42623</v>
      </c>
      <c r="M2874" t="s">
        <v>44011</v>
      </c>
      <c r="N2874" t="s">
        <v>47304</v>
      </c>
      <c r="O2874" t="s">
        <v>47305</v>
      </c>
      <c r="P2874">
        <v>0</v>
      </c>
      <c r="Q2874">
        <v>0</v>
      </c>
      <c r="R2874" t="s">
        <v>47306</v>
      </c>
      <c r="S2874" t="s">
        <v>47414</v>
      </c>
      <c r="T2874" t="s">
        <v>48980</v>
      </c>
      <c r="U2874" t="s">
        <v>52047</v>
      </c>
      <c r="W2874" t="s">
        <v>44011</v>
      </c>
      <c r="X2874" t="s">
        <v>47308</v>
      </c>
    </row>
    <row r="2875" spans="1:24">
      <c r="A2875">
        <f>HYPERLINK("https://www.philgeps.gov.ph/GEPSNONPILOT/Tender/SplashBidNoticeAbstractUI.aspx?menuIndex=3&amp;refID=7194977&amp;Result=3","7194977")</f>
        <v>0</v>
      </c>
      <c r="B2875" t="s">
        <v>1214</v>
      </c>
      <c r="C2875" t="s">
        <v>6605</v>
      </c>
      <c r="D2875" t="s">
        <v>18989</v>
      </c>
      <c r="E2875" t="s">
        <v>21698</v>
      </c>
      <c r="F2875" t="s">
        <v>32606</v>
      </c>
      <c r="G2875" t="s">
        <v>32614</v>
      </c>
      <c r="H2875" t="s">
        <v>14201</v>
      </c>
      <c r="I2875" t="s">
        <v>32656</v>
      </c>
      <c r="J2875" t="s">
        <v>34770</v>
      </c>
      <c r="K2875" t="s">
        <v>42630</v>
      </c>
      <c r="M2875" t="s">
        <v>44179</v>
      </c>
      <c r="N2875" t="s">
        <v>47304</v>
      </c>
      <c r="O2875" t="s">
        <v>47305</v>
      </c>
      <c r="P2875">
        <v>0</v>
      </c>
      <c r="Q2875">
        <v>0</v>
      </c>
      <c r="R2875" t="s">
        <v>47306</v>
      </c>
      <c r="S2875" t="s">
        <v>47414</v>
      </c>
      <c r="T2875" t="s">
        <v>48979</v>
      </c>
      <c r="U2875" t="s">
        <v>52048</v>
      </c>
      <c r="W2875" t="s">
        <v>44179</v>
      </c>
      <c r="X2875" t="s">
        <v>47308</v>
      </c>
    </row>
    <row r="2876" spans="1:24">
      <c r="A2876">
        <f>HYPERLINK("https://www.philgeps.gov.ph/GEPSNONPILOT/Tender/SplashBidNoticeAbstractUI.aspx?menuIndex=3&amp;refID=7194987&amp;Result=3","7194987")</f>
        <v>0</v>
      </c>
      <c r="B2876" t="s">
        <v>353</v>
      </c>
      <c r="C2876" t="s">
        <v>6606</v>
      </c>
      <c r="D2876" t="s">
        <v>19012</v>
      </c>
      <c r="E2876" t="s">
        <v>21699</v>
      </c>
      <c r="F2876" t="s">
        <v>32606</v>
      </c>
      <c r="G2876" t="s">
        <v>32614</v>
      </c>
      <c r="H2876" t="s">
        <v>14201</v>
      </c>
      <c r="I2876" t="s">
        <v>7577</v>
      </c>
      <c r="J2876" t="s">
        <v>34771</v>
      </c>
      <c r="K2876" t="s">
        <v>42631</v>
      </c>
      <c r="M2876" t="s">
        <v>43255</v>
      </c>
      <c r="N2876" t="s">
        <v>47304</v>
      </c>
      <c r="O2876" t="s">
        <v>47305</v>
      </c>
      <c r="P2876">
        <v>0</v>
      </c>
      <c r="Q2876">
        <v>1</v>
      </c>
      <c r="R2876" t="s">
        <v>47306</v>
      </c>
      <c r="S2876" t="s">
        <v>47414</v>
      </c>
      <c r="T2876" t="s">
        <v>49014</v>
      </c>
      <c r="U2876" t="s">
        <v>52049</v>
      </c>
      <c r="W2876" t="s">
        <v>43255</v>
      </c>
      <c r="X2876" t="s">
        <v>47308</v>
      </c>
    </row>
    <row r="2877" spans="1:24">
      <c r="A2877">
        <f>HYPERLINK("https://www.philgeps.gov.ph/GEPSNONPILOT/Tender/SplashBidNoticeAbstractUI.aspx?menuIndex=3&amp;refID=7194999&amp;Result=3","7194999")</f>
        <v>0</v>
      </c>
      <c r="B2877" t="s">
        <v>337</v>
      </c>
      <c r="C2877" t="s">
        <v>6607</v>
      </c>
      <c r="D2877" t="s">
        <v>19039</v>
      </c>
      <c r="E2877" t="s">
        <v>21700</v>
      </c>
      <c r="F2877" t="s">
        <v>32606</v>
      </c>
      <c r="G2877" t="s">
        <v>32619</v>
      </c>
      <c r="H2877" t="s">
        <v>14201</v>
      </c>
      <c r="I2877" t="s">
        <v>7577</v>
      </c>
      <c r="J2877" t="s">
        <v>32951</v>
      </c>
      <c r="K2877" t="s">
        <v>42622</v>
      </c>
      <c r="M2877" t="s">
        <v>43239</v>
      </c>
      <c r="N2877" t="s">
        <v>47304</v>
      </c>
      <c r="O2877" t="s">
        <v>47305</v>
      </c>
      <c r="P2877">
        <v>0</v>
      </c>
      <c r="Q2877">
        <v>0</v>
      </c>
      <c r="R2877" t="s">
        <v>47306</v>
      </c>
      <c r="S2877" t="s">
        <v>47414</v>
      </c>
      <c r="T2877" t="s">
        <v>48980</v>
      </c>
      <c r="U2877" t="s">
        <v>52050</v>
      </c>
      <c r="W2877" t="s">
        <v>43239</v>
      </c>
      <c r="X2877" t="s">
        <v>47308</v>
      </c>
    </row>
    <row r="2878" spans="1:24">
      <c r="A2878">
        <f>HYPERLINK("https://www.philgeps.gov.ph/GEPSNONPILOT/Tender/SplashBidNoticeAbstractUI.aspx?menuIndex=3&amp;refID=7195023&amp;Result=3","7195023")</f>
        <v>0</v>
      </c>
      <c r="B2878" t="s">
        <v>1215</v>
      </c>
      <c r="C2878" t="s">
        <v>6608</v>
      </c>
      <c r="D2878" t="s">
        <v>19055</v>
      </c>
      <c r="E2878" t="s">
        <v>21701</v>
      </c>
      <c r="F2878" t="s">
        <v>32606</v>
      </c>
      <c r="G2878" t="s">
        <v>32613</v>
      </c>
      <c r="H2878" t="s">
        <v>32623</v>
      </c>
      <c r="I2878" t="s">
        <v>17648</v>
      </c>
      <c r="J2878" t="s">
        <v>34772</v>
      </c>
      <c r="K2878" t="s">
        <v>42624</v>
      </c>
      <c r="M2878" t="s">
        <v>44180</v>
      </c>
      <c r="N2878" t="s">
        <v>47304</v>
      </c>
      <c r="O2878" t="s">
        <v>47305</v>
      </c>
      <c r="P2878">
        <v>0</v>
      </c>
      <c r="Q2878">
        <v>0</v>
      </c>
      <c r="R2878" t="s">
        <v>47306</v>
      </c>
      <c r="S2878" t="s">
        <v>47414</v>
      </c>
      <c r="T2878" t="s">
        <v>48990</v>
      </c>
      <c r="U2878" t="s">
        <v>52051</v>
      </c>
      <c r="W2878" t="s">
        <v>64466</v>
      </c>
      <c r="X2878" t="s">
        <v>47308</v>
      </c>
    </row>
    <row r="2879" spans="1:24">
      <c r="A2879">
        <f>HYPERLINK("https://www.philgeps.gov.ph/GEPSNONPILOT/Tender/SplashBidNoticeAbstractUI.aspx?menuIndex=3&amp;refID=7194996&amp;Result=3","7194996")</f>
        <v>0</v>
      </c>
      <c r="B2879" t="s">
        <v>1216</v>
      </c>
      <c r="C2879" t="s">
        <v>6609</v>
      </c>
      <c r="D2879" t="s">
        <v>19011</v>
      </c>
      <c r="E2879" t="s">
        <v>21702</v>
      </c>
      <c r="F2879" t="s">
        <v>32606</v>
      </c>
      <c r="G2879" t="s">
        <v>32613</v>
      </c>
      <c r="H2879" t="s">
        <v>32623</v>
      </c>
      <c r="I2879" t="s">
        <v>17648</v>
      </c>
      <c r="J2879" t="s">
        <v>34773</v>
      </c>
      <c r="K2879" t="s">
        <v>42735</v>
      </c>
      <c r="M2879" t="s">
        <v>44181</v>
      </c>
      <c r="N2879" t="s">
        <v>47304</v>
      </c>
      <c r="O2879" t="s">
        <v>47305</v>
      </c>
      <c r="P2879">
        <v>0</v>
      </c>
      <c r="Q2879">
        <v>0</v>
      </c>
      <c r="R2879" t="s">
        <v>47306</v>
      </c>
      <c r="S2879" t="s">
        <v>47414</v>
      </c>
      <c r="T2879" t="s">
        <v>49248</v>
      </c>
      <c r="U2879" t="s">
        <v>52052</v>
      </c>
      <c r="V2879" t="s">
        <v>62956</v>
      </c>
      <c r="W2879" t="s">
        <v>44181</v>
      </c>
      <c r="X2879" t="s">
        <v>47308</v>
      </c>
    </row>
    <row r="2880" spans="1:24">
      <c r="A2880">
        <f>HYPERLINK("https://www.philgeps.gov.ph/GEPSNONPILOT/Tender/SplashBidNoticeAbstractUI.aspx?menuIndex=3&amp;refID=7195019&amp;Result=3","7195019")</f>
        <v>0</v>
      </c>
      <c r="B2880" t="s">
        <v>466</v>
      </c>
      <c r="C2880" t="s">
        <v>6610</v>
      </c>
      <c r="D2880" t="s">
        <v>19022</v>
      </c>
      <c r="E2880" t="s">
        <v>21703</v>
      </c>
      <c r="F2880" t="s">
        <v>32606</v>
      </c>
      <c r="G2880" t="s">
        <v>32613</v>
      </c>
      <c r="H2880" t="s">
        <v>14201</v>
      </c>
      <c r="I2880" t="s">
        <v>4114</v>
      </c>
      <c r="J2880" t="s">
        <v>34774</v>
      </c>
      <c r="K2880" t="s">
        <v>42623</v>
      </c>
      <c r="M2880" t="s">
        <v>43377</v>
      </c>
      <c r="N2880" t="s">
        <v>47304</v>
      </c>
      <c r="O2880" t="s">
        <v>47305</v>
      </c>
      <c r="P2880">
        <v>0</v>
      </c>
      <c r="Q2880">
        <v>0</v>
      </c>
      <c r="R2880" t="s">
        <v>47306</v>
      </c>
      <c r="S2880" t="s">
        <v>47414</v>
      </c>
      <c r="T2880" t="s">
        <v>49011</v>
      </c>
      <c r="U2880" t="s">
        <v>52053</v>
      </c>
      <c r="W2880" t="s">
        <v>43377</v>
      </c>
      <c r="X2880" t="s">
        <v>47308</v>
      </c>
    </row>
    <row r="2881" spans="1:24">
      <c r="A2881">
        <f>HYPERLINK("https://www.philgeps.gov.ph/GEPSNONPILOT/Tender/SplashBidNoticeAbstractUI.aspx?menuIndex=3&amp;refID=7195017&amp;Result=3","7195017")</f>
        <v>0</v>
      </c>
      <c r="B2881" t="s">
        <v>688</v>
      </c>
      <c r="C2881" t="s">
        <v>6611</v>
      </c>
      <c r="D2881" t="s">
        <v>19006</v>
      </c>
      <c r="E2881" t="s">
        <v>21704</v>
      </c>
      <c r="F2881" t="s">
        <v>32606</v>
      </c>
      <c r="G2881" t="s">
        <v>32614</v>
      </c>
      <c r="H2881" t="s">
        <v>14201</v>
      </c>
      <c r="I2881" t="s">
        <v>6993</v>
      </c>
      <c r="J2881" t="s">
        <v>33291</v>
      </c>
      <c r="K2881" t="s">
        <v>42631</v>
      </c>
      <c r="M2881" t="s">
        <v>43805</v>
      </c>
      <c r="N2881" t="s">
        <v>47304</v>
      </c>
      <c r="O2881" t="s">
        <v>47305</v>
      </c>
      <c r="P2881">
        <v>0</v>
      </c>
      <c r="Q2881">
        <v>1</v>
      </c>
      <c r="R2881" t="s">
        <v>47306</v>
      </c>
      <c r="S2881" t="s">
        <v>47414</v>
      </c>
      <c r="T2881" t="s">
        <v>49004</v>
      </c>
      <c r="U2881" t="s">
        <v>52054</v>
      </c>
      <c r="W2881" t="s">
        <v>43805</v>
      </c>
      <c r="X2881" t="s">
        <v>47308</v>
      </c>
    </row>
    <row r="2882" spans="1:24">
      <c r="A2882">
        <f>HYPERLINK("https://www.philgeps.gov.ph/GEPSNONPILOT/Tender/SplashBidNoticeAbstractUI.aspx?menuIndex=3&amp;refID=7195010&amp;Result=3","7195010")</f>
        <v>0</v>
      </c>
      <c r="B2882" t="s">
        <v>255</v>
      </c>
      <c r="C2882" t="s">
        <v>6612</v>
      </c>
      <c r="E2882" t="s">
        <v>21705</v>
      </c>
      <c r="F2882" t="s">
        <v>32606</v>
      </c>
      <c r="G2882" t="s">
        <v>32614</v>
      </c>
      <c r="H2882" t="s">
        <v>14201</v>
      </c>
      <c r="I2882" t="s">
        <v>6931</v>
      </c>
      <c r="J2882" t="s">
        <v>34775</v>
      </c>
      <c r="K2882" t="s">
        <v>42624</v>
      </c>
      <c r="M2882" t="s">
        <v>43156</v>
      </c>
      <c r="N2882" t="s">
        <v>47304</v>
      </c>
      <c r="O2882" t="s">
        <v>47305</v>
      </c>
      <c r="P2882">
        <v>0</v>
      </c>
      <c r="Q2882">
        <v>0</v>
      </c>
      <c r="R2882" t="s">
        <v>47306</v>
      </c>
      <c r="S2882" t="s">
        <v>47414</v>
      </c>
      <c r="T2882" t="s">
        <v>48987</v>
      </c>
      <c r="U2882" t="s">
        <v>52055</v>
      </c>
      <c r="W2882" t="s">
        <v>43156</v>
      </c>
      <c r="X2882" t="s">
        <v>47308</v>
      </c>
    </row>
    <row r="2883" spans="1:24">
      <c r="A2883">
        <f>HYPERLINK("https://www.philgeps.gov.ph/GEPSNONPILOT/Tender/SplashBidNoticeAbstractUI.aspx?menuIndex=3&amp;refID=7194970&amp;Result=3","7194970")</f>
        <v>0</v>
      </c>
      <c r="B2883" t="s">
        <v>238</v>
      </c>
      <c r="C2883" t="s">
        <v>6613</v>
      </c>
      <c r="D2883" t="s">
        <v>18993</v>
      </c>
      <c r="E2883" t="s">
        <v>21706</v>
      </c>
      <c r="F2883" t="s">
        <v>32606</v>
      </c>
      <c r="G2883" t="s">
        <v>32619</v>
      </c>
      <c r="H2883" t="s">
        <v>14201</v>
      </c>
      <c r="I2883" t="s">
        <v>4114</v>
      </c>
      <c r="J2883" t="s">
        <v>34776</v>
      </c>
      <c r="K2883" t="s">
        <v>42622</v>
      </c>
      <c r="M2883" t="s">
        <v>43194</v>
      </c>
      <c r="N2883" t="s">
        <v>47304</v>
      </c>
      <c r="O2883" t="s">
        <v>47305</v>
      </c>
      <c r="P2883">
        <v>0</v>
      </c>
      <c r="Q2883">
        <v>0</v>
      </c>
      <c r="R2883" t="s">
        <v>47306</v>
      </c>
      <c r="S2883" t="s">
        <v>47414</v>
      </c>
      <c r="T2883" t="s">
        <v>49070</v>
      </c>
      <c r="U2883" t="s">
        <v>50120</v>
      </c>
      <c r="V2883" t="s">
        <v>62716</v>
      </c>
      <c r="W2883" t="s">
        <v>43194</v>
      </c>
      <c r="X2883" t="s">
        <v>47308</v>
      </c>
    </row>
    <row r="2884" spans="1:24">
      <c r="A2884">
        <f>HYPERLINK("https://www.philgeps.gov.ph/GEPSNONPILOT/Tender/SplashBidNoticeAbstractUI.aspx?menuIndex=3&amp;refID=7195024&amp;Result=3","7195024")</f>
        <v>0</v>
      </c>
      <c r="B2884" t="s">
        <v>1217</v>
      </c>
      <c r="C2884" t="s">
        <v>6614</v>
      </c>
      <c r="D2884" t="s">
        <v>19035</v>
      </c>
      <c r="E2884" t="s">
        <v>21707</v>
      </c>
      <c r="F2884" t="s">
        <v>32606</v>
      </c>
      <c r="G2884" t="s">
        <v>32617</v>
      </c>
      <c r="H2884" t="s">
        <v>14201</v>
      </c>
      <c r="I2884" t="s">
        <v>4114</v>
      </c>
      <c r="J2884" t="s">
        <v>34777</v>
      </c>
      <c r="K2884" t="s">
        <v>42622</v>
      </c>
      <c r="M2884" t="s">
        <v>44182</v>
      </c>
      <c r="N2884" t="s">
        <v>47304</v>
      </c>
      <c r="O2884" t="s">
        <v>47305</v>
      </c>
      <c r="P2884">
        <v>0</v>
      </c>
      <c r="Q2884">
        <v>2</v>
      </c>
      <c r="R2884" t="s">
        <v>47306</v>
      </c>
      <c r="S2884" t="s">
        <v>47414</v>
      </c>
      <c r="T2884" t="s">
        <v>48980</v>
      </c>
      <c r="U2884" t="s">
        <v>52056</v>
      </c>
      <c r="W2884" t="s">
        <v>44182</v>
      </c>
      <c r="X2884" t="s">
        <v>47308</v>
      </c>
    </row>
    <row r="2885" spans="1:24">
      <c r="A2885">
        <f>HYPERLINK("https://www.philgeps.gov.ph/GEPSNONPILOT/Tender/SplashBidNoticeAbstractUI.aspx?menuIndex=3&amp;refID=7195021&amp;Result=3","7195021")</f>
        <v>0</v>
      </c>
      <c r="B2885" t="s">
        <v>340</v>
      </c>
      <c r="C2885" t="s">
        <v>6615</v>
      </c>
      <c r="D2885" t="s">
        <v>19029</v>
      </c>
      <c r="E2885" t="s">
        <v>21708</v>
      </c>
      <c r="F2885" t="s">
        <v>32606</v>
      </c>
      <c r="G2885" t="s">
        <v>32619</v>
      </c>
      <c r="H2885" t="s">
        <v>14201</v>
      </c>
      <c r="I2885" t="s">
        <v>32632</v>
      </c>
      <c r="J2885" t="s">
        <v>34778</v>
      </c>
      <c r="K2885" t="s">
        <v>42624</v>
      </c>
      <c r="M2885" t="s">
        <v>43242</v>
      </c>
      <c r="N2885" t="s">
        <v>47304</v>
      </c>
      <c r="O2885" t="s">
        <v>47305</v>
      </c>
      <c r="P2885">
        <v>0</v>
      </c>
      <c r="Q2885">
        <v>1</v>
      </c>
      <c r="R2885" t="s">
        <v>47306</v>
      </c>
      <c r="S2885" t="s">
        <v>47414</v>
      </c>
      <c r="T2885" t="s">
        <v>49068</v>
      </c>
      <c r="U2885" t="s">
        <v>52057</v>
      </c>
      <c r="V2885" t="s">
        <v>62957</v>
      </c>
      <c r="W2885" t="s">
        <v>43242</v>
      </c>
      <c r="X2885" t="s">
        <v>47308</v>
      </c>
    </row>
    <row r="2886" spans="1:24">
      <c r="A2886">
        <f>HYPERLINK("https://www.philgeps.gov.ph/GEPSNONPILOT/Tender/SplashBidNoticeAbstractUI.aspx?menuIndex=3&amp;refID=7195032&amp;Result=3","7195032")</f>
        <v>0</v>
      </c>
      <c r="B2886" t="s">
        <v>1218</v>
      </c>
      <c r="C2886" t="s">
        <v>6616</v>
      </c>
      <c r="D2886" t="s">
        <v>19011</v>
      </c>
      <c r="E2886" t="s">
        <v>21709</v>
      </c>
      <c r="F2886" t="s">
        <v>32606</v>
      </c>
      <c r="G2886" t="s">
        <v>32614</v>
      </c>
      <c r="H2886" t="s">
        <v>14201</v>
      </c>
      <c r="I2886" t="s">
        <v>6931</v>
      </c>
      <c r="J2886" t="s">
        <v>34779</v>
      </c>
      <c r="K2886" t="s">
        <v>42623</v>
      </c>
      <c r="M2886" t="s">
        <v>44183</v>
      </c>
      <c r="N2886" t="s">
        <v>47304</v>
      </c>
      <c r="O2886" t="s">
        <v>47305</v>
      </c>
      <c r="P2886">
        <v>0</v>
      </c>
      <c r="Q2886">
        <v>0</v>
      </c>
      <c r="R2886" t="s">
        <v>47306</v>
      </c>
      <c r="S2886" t="s">
        <v>47414</v>
      </c>
      <c r="T2886" t="s">
        <v>48997</v>
      </c>
      <c r="U2886" t="s">
        <v>52058</v>
      </c>
      <c r="V2886" t="s">
        <v>62958</v>
      </c>
      <c r="W2886" t="s">
        <v>44183</v>
      </c>
      <c r="X2886" t="s">
        <v>47308</v>
      </c>
    </row>
    <row r="2887" spans="1:24">
      <c r="A2887">
        <f>HYPERLINK("https://www.philgeps.gov.ph/GEPSNONPILOT/Tender/SplashBidNoticeAbstractUI.aspx?menuIndex=3&amp;refID=7195031&amp;Result=3","7195031")</f>
        <v>0</v>
      </c>
      <c r="B2887" t="s">
        <v>255</v>
      </c>
      <c r="C2887" t="s">
        <v>6617</v>
      </c>
      <c r="E2887" t="s">
        <v>21710</v>
      </c>
      <c r="F2887" t="s">
        <v>32606</v>
      </c>
      <c r="G2887" t="s">
        <v>32614</v>
      </c>
      <c r="H2887" t="s">
        <v>14201</v>
      </c>
      <c r="I2887" t="s">
        <v>32640</v>
      </c>
      <c r="J2887" t="s">
        <v>34780</v>
      </c>
      <c r="K2887" t="s">
        <v>42624</v>
      </c>
      <c r="M2887" t="s">
        <v>43156</v>
      </c>
      <c r="N2887" t="s">
        <v>47304</v>
      </c>
      <c r="O2887" t="s">
        <v>47305</v>
      </c>
      <c r="P2887">
        <v>0</v>
      </c>
      <c r="Q2887">
        <v>1</v>
      </c>
      <c r="R2887" t="s">
        <v>47306</v>
      </c>
      <c r="S2887" t="s">
        <v>47414</v>
      </c>
      <c r="T2887" t="s">
        <v>48987</v>
      </c>
      <c r="U2887" t="s">
        <v>52059</v>
      </c>
      <c r="W2887" t="s">
        <v>43156</v>
      </c>
      <c r="X2887" t="s">
        <v>47308</v>
      </c>
    </row>
    <row r="2888" spans="1:24">
      <c r="A2888">
        <f>HYPERLINK("https://www.philgeps.gov.ph/GEPSNONPILOT/Tender/SplashBidNoticeAbstractUI.aspx?menuIndex=3&amp;refID=7195030&amp;Result=3","7195030")</f>
        <v>0</v>
      </c>
      <c r="B2888" t="s">
        <v>1219</v>
      </c>
      <c r="C2888" t="s">
        <v>6618</v>
      </c>
      <c r="D2888" t="s">
        <v>18988</v>
      </c>
      <c r="E2888" t="s">
        <v>21711</v>
      </c>
      <c r="F2888" t="s">
        <v>32606</v>
      </c>
      <c r="G2888" t="s">
        <v>32613</v>
      </c>
      <c r="H2888" t="s">
        <v>32623</v>
      </c>
      <c r="I2888" t="s">
        <v>17648</v>
      </c>
      <c r="J2888" t="s">
        <v>34781</v>
      </c>
      <c r="K2888" t="s">
        <v>42632</v>
      </c>
      <c r="M2888" t="s">
        <v>44184</v>
      </c>
      <c r="N2888" t="s">
        <v>47304</v>
      </c>
      <c r="O2888" t="s">
        <v>47305</v>
      </c>
      <c r="P2888">
        <v>0</v>
      </c>
      <c r="Q2888">
        <v>0</v>
      </c>
      <c r="R2888" t="s">
        <v>47306</v>
      </c>
      <c r="S2888" t="s">
        <v>47414</v>
      </c>
      <c r="T2888" t="s">
        <v>49124</v>
      </c>
      <c r="U2888" t="s">
        <v>52060</v>
      </c>
      <c r="W2888" t="s">
        <v>44184</v>
      </c>
      <c r="X2888" t="s">
        <v>47308</v>
      </c>
    </row>
    <row r="2889" spans="1:24">
      <c r="A2889">
        <f>HYPERLINK("https://www.philgeps.gov.ph/GEPSNONPILOT/Tender/SplashBidNoticeAbstractUI.aspx?menuIndex=3&amp;refID=7195013&amp;Result=3","7195013")</f>
        <v>0</v>
      </c>
      <c r="B2889" t="s">
        <v>1220</v>
      </c>
      <c r="C2889" t="s">
        <v>6619</v>
      </c>
      <c r="D2889" t="s">
        <v>19040</v>
      </c>
      <c r="E2889" t="s">
        <v>21712</v>
      </c>
      <c r="F2889" t="s">
        <v>32606</v>
      </c>
      <c r="G2889" t="s">
        <v>32614</v>
      </c>
      <c r="H2889" t="s">
        <v>14201</v>
      </c>
      <c r="I2889" t="s">
        <v>4120</v>
      </c>
      <c r="J2889" t="s">
        <v>34782</v>
      </c>
      <c r="K2889" t="s">
        <v>42631</v>
      </c>
      <c r="M2889" t="s">
        <v>44185</v>
      </c>
      <c r="N2889" t="s">
        <v>47304</v>
      </c>
      <c r="O2889" t="s">
        <v>47305</v>
      </c>
      <c r="P2889">
        <v>0</v>
      </c>
      <c r="Q2889">
        <v>1</v>
      </c>
      <c r="R2889" t="s">
        <v>47306</v>
      </c>
      <c r="S2889" t="s">
        <v>47414</v>
      </c>
      <c r="T2889" t="s">
        <v>48996</v>
      </c>
      <c r="U2889" t="s">
        <v>52061</v>
      </c>
      <c r="W2889" t="s">
        <v>44185</v>
      </c>
      <c r="X2889" t="s">
        <v>47308</v>
      </c>
    </row>
    <row r="2890" spans="1:24">
      <c r="A2890">
        <f>HYPERLINK("https://www.philgeps.gov.ph/GEPSNONPILOT/Tender/SplashBidNoticeAbstractUI.aspx?menuIndex=3&amp;refID=7195027&amp;Result=3","7195027")</f>
        <v>0</v>
      </c>
      <c r="B2890" t="s">
        <v>339</v>
      </c>
      <c r="C2890" t="s">
        <v>6620</v>
      </c>
      <c r="D2890" t="s">
        <v>19024</v>
      </c>
      <c r="E2890" t="s">
        <v>21713</v>
      </c>
      <c r="F2890" t="s">
        <v>32606</v>
      </c>
      <c r="G2890" t="s">
        <v>32613</v>
      </c>
      <c r="H2890" t="s">
        <v>32623</v>
      </c>
      <c r="I2890" t="s">
        <v>17648</v>
      </c>
      <c r="J2890" t="s">
        <v>34783</v>
      </c>
      <c r="K2890" t="s">
        <v>42636</v>
      </c>
      <c r="M2890" t="s">
        <v>43241</v>
      </c>
      <c r="N2890" t="s">
        <v>47304</v>
      </c>
      <c r="O2890" t="s">
        <v>47305</v>
      </c>
      <c r="P2890">
        <v>0</v>
      </c>
      <c r="Q2890">
        <v>0</v>
      </c>
      <c r="R2890" t="s">
        <v>47306</v>
      </c>
      <c r="S2890" t="s">
        <v>47414</v>
      </c>
      <c r="T2890" t="s">
        <v>49092</v>
      </c>
      <c r="U2890" t="s">
        <v>52062</v>
      </c>
      <c r="W2890" t="s">
        <v>43241</v>
      </c>
      <c r="X2890" t="s">
        <v>47308</v>
      </c>
    </row>
    <row r="2891" spans="1:24">
      <c r="A2891">
        <f>HYPERLINK("https://www.philgeps.gov.ph/GEPSNONPILOT/Tender/SplashBidNoticeAbstractUI.aspx?menuIndex=3&amp;refID=7194983&amp;Result=3","7194983")</f>
        <v>0</v>
      </c>
      <c r="B2891" t="s">
        <v>339</v>
      </c>
      <c r="C2891" t="s">
        <v>6621</v>
      </c>
      <c r="D2891" t="s">
        <v>19024</v>
      </c>
      <c r="E2891" t="s">
        <v>21714</v>
      </c>
      <c r="F2891" t="s">
        <v>32606</v>
      </c>
      <c r="G2891" t="s">
        <v>32613</v>
      </c>
      <c r="H2891" t="s">
        <v>32623</v>
      </c>
      <c r="I2891" t="s">
        <v>17648</v>
      </c>
      <c r="J2891" t="s">
        <v>34784</v>
      </c>
      <c r="K2891" t="s">
        <v>42639</v>
      </c>
      <c r="M2891" t="s">
        <v>43241</v>
      </c>
      <c r="N2891" t="s">
        <v>47304</v>
      </c>
      <c r="O2891" t="s">
        <v>47305</v>
      </c>
      <c r="P2891">
        <v>0</v>
      </c>
      <c r="Q2891">
        <v>0</v>
      </c>
      <c r="R2891" t="s">
        <v>47306</v>
      </c>
      <c r="S2891" t="s">
        <v>47414</v>
      </c>
      <c r="T2891" t="s">
        <v>49092</v>
      </c>
      <c r="U2891" t="s">
        <v>52063</v>
      </c>
      <c r="W2891" t="s">
        <v>43241</v>
      </c>
      <c r="X2891" t="s">
        <v>47308</v>
      </c>
    </row>
    <row r="2892" spans="1:24">
      <c r="A2892">
        <f>HYPERLINK("https://www.philgeps.gov.ph/GEPSNONPILOT/Tender/SplashBidNoticeAbstractUI.aspx?menuIndex=3&amp;refID=7195033&amp;Result=3","7195033")</f>
        <v>0</v>
      </c>
      <c r="B2892" t="s">
        <v>1194</v>
      </c>
      <c r="C2892" t="s">
        <v>6622</v>
      </c>
      <c r="D2892" t="s">
        <v>19025</v>
      </c>
      <c r="E2892" t="s">
        <v>21715</v>
      </c>
      <c r="F2892" t="s">
        <v>32606</v>
      </c>
      <c r="G2892" t="s">
        <v>32617</v>
      </c>
      <c r="H2892" t="s">
        <v>14201</v>
      </c>
      <c r="I2892" t="s">
        <v>4120</v>
      </c>
      <c r="J2892" t="s">
        <v>34785</v>
      </c>
      <c r="K2892" t="s">
        <v>42630</v>
      </c>
      <c r="M2892" t="s">
        <v>44158</v>
      </c>
      <c r="N2892" t="s">
        <v>47304</v>
      </c>
      <c r="O2892" t="s">
        <v>47305</v>
      </c>
      <c r="P2892">
        <v>0</v>
      </c>
      <c r="Q2892">
        <v>0</v>
      </c>
      <c r="R2892" t="s">
        <v>47306</v>
      </c>
      <c r="S2892" t="s">
        <v>47414</v>
      </c>
      <c r="T2892" t="s">
        <v>48980</v>
      </c>
      <c r="U2892" t="s">
        <v>52064</v>
      </c>
      <c r="W2892" t="s">
        <v>44158</v>
      </c>
      <c r="X2892" t="s">
        <v>47308</v>
      </c>
    </row>
    <row r="2893" spans="1:24">
      <c r="A2893">
        <f>HYPERLINK("https://www.philgeps.gov.ph/GEPSNONPILOT/Tender/SplashBidNoticeAbstractUI.aspx?menuIndex=3&amp;refID=7195006&amp;Result=3","7195006")</f>
        <v>0</v>
      </c>
      <c r="B2893" t="s">
        <v>1221</v>
      </c>
      <c r="C2893" t="s">
        <v>6623</v>
      </c>
      <c r="D2893" t="s">
        <v>19063</v>
      </c>
      <c r="E2893" t="s">
        <v>21716</v>
      </c>
      <c r="F2893" t="s">
        <v>32606</v>
      </c>
      <c r="G2893" t="s">
        <v>32614</v>
      </c>
      <c r="H2893" t="s">
        <v>14201</v>
      </c>
      <c r="I2893" t="s">
        <v>32664</v>
      </c>
      <c r="J2893" t="s">
        <v>32820</v>
      </c>
      <c r="K2893" t="s">
        <v>42630</v>
      </c>
      <c r="M2893" t="s">
        <v>44186</v>
      </c>
      <c r="N2893" t="s">
        <v>47304</v>
      </c>
      <c r="O2893" t="s">
        <v>47305</v>
      </c>
      <c r="P2893">
        <v>0</v>
      </c>
      <c r="Q2893">
        <v>0</v>
      </c>
      <c r="R2893" t="s">
        <v>47306</v>
      </c>
      <c r="S2893" t="s">
        <v>47414</v>
      </c>
      <c r="T2893" t="s">
        <v>48977</v>
      </c>
      <c r="U2893" t="s">
        <v>52065</v>
      </c>
      <c r="W2893" t="s">
        <v>44186</v>
      </c>
      <c r="X2893" t="s">
        <v>47308</v>
      </c>
    </row>
    <row r="2894" spans="1:24">
      <c r="A2894">
        <f>HYPERLINK("https://www.philgeps.gov.ph/GEPSNONPILOT/Tender/SplashBidNoticeAbstractUI.aspx?menuIndex=3&amp;refID=7194990&amp;Result=3","7194990")</f>
        <v>0</v>
      </c>
      <c r="B2894" t="s">
        <v>288</v>
      </c>
      <c r="C2894" t="s">
        <v>6624</v>
      </c>
      <c r="D2894" t="s">
        <v>19034</v>
      </c>
      <c r="E2894" t="s">
        <v>21717</v>
      </c>
      <c r="F2894" t="s">
        <v>32606</v>
      </c>
      <c r="G2894" t="s">
        <v>32613</v>
      </c>
      <c r="H2894" t="s">
        <v>32623</v>
      </c>
      <c r="I2894" t="s">
        <v>17648</v>
      </c>
      <c r="J2894" t="s">
        <v>34786</v>
      </c>
      <c r="K2894" t="s">
        <v>42736</v>
      </c>
      <c r="M2894" t="s">
        <v>43285</v>
      </c>
      <c r="N2894" t="s">
        <v>47304</v>
      </c>
      <c r="O2894" t="s">
        <v>47305</v>
      </c>
      <c r="P2894">
        <v>0</v>
      </c>
      <c r="Q2894">
        <v>1</v>
      </c>
      <c r="R2894" t="s">
        <v>47306</v>
      </c>
      <c r="S2894" t="s">
        <v>47414</v>
      </c>
      <c r="T2894" t="s">
        <v>48973</v>
      </c>
      <c r="U2894" t="s">
        <v>52066</v>
      </c>
      <c r="W2894" t="s">
        <v>64427</v>
      </c>
      <c r="X2894" t="s">
        <v>47308</v>
      </c>
    </row>
    <row r="2895" spans="1:24">
      <c r="A2895">
        <f>HYPERLINK("https://www.philgeps.gov.ph/GEPSNONPILOT/Tender/SplashBidNoticeAbstractUI.aspx?menuIndex=3&amp;refID=7195029&amp;Result=3","7195029")</f>
        <v>0</v>
      </c>
      <c r="B2895" t="s">
        <v>1222</v>
      </c>
      <c r="C2895" t="s">
        <v>4120</v>
      </c>
      <c r="D2895" t="s">
        <v>19039</v>
      </c>
      <c r="E2895" t="s">
        <v>20519</v>
      </c>
      <c r="F2895" t="s">
        <v>32606</v>
      </c>
      <c r="G2895" t="s">
        <v>32619</v>
      </c>
      <c r="H2895" t="s">
        <v>14201</v>
      </c>
      <c r="I2895" t="s">
        <v>4120</v>
      </c>
      <c r="J2895" t="s">
        <v>33111</v>
      </c>
      <c r="K2895" t="s">
        <v>42629</v>
      </c>
      <c r="M2895" t="s">
        <v>44187</v>
      </c>
      <c r="N2895" t="s">
        <v>47304</v>
      </c>
      <c r="O2895" t="s">
        <v>47305</v>
      </c>
      <c r="P2895">
        <v>0</v>
      </c>
      <c r="Q2895">
        <v>0</v>
      </c>
      <c r="R2895" t="s">
        <v>47306</v>
      </c>
      <c r="S2895" t="s">
        <v>47414</v>
      </c>
      <c r="T2895" t="s">
        <v>49072</v>
      </c>
      <c r="U2895" t="s">
        <v>52067</v>
      </c>
      <c r="W2895" t="s">
        <v>44187</v>
      </c>
      <c r="X2895" t="s">
        <v>47308</v>
      </c>
    </row>
    <row r="2896" spans="1:24">
      <c r="A2896">
        <f>HYPERLINK("https://www.philgeps.gov.ph/GEPSNONPILOT/Tender/SplashBidNoticeAbstractUI.aspx?menuIndex=3&amp;refID=7195028&amp;Result=3","7195028")</f>
        <v>0</v>
      </c>
      <c r="B2896" t="s">
        <v>141</v>
      </c>
      <c r="C2896" t="s">
        <v>6625</v>
      </c>
      <c r="E2896" t="s">
        <v>21718</v>
      </c>
      <c r="F2896" t="s">
        <v>32606</v>
      </c>
      <c r="G2896" t="s">
        <v>32614</v>
      </c>
      <c r="H2896" t="s">
        <v>14201</v>
      </c>
      <c r="I2896" t="s">
        <v>32712</v>
      </c>
      <c r="J2896" t="s">
        <v>34787</v>
      </c>
      <c r="K2896" t="s">
        <v>42624</v>
      </c>
      <c r="M2896" t="s">
        <v>43042</v>
      </c>
      <c r="N2896" t="s">
        <v>47304</v>
      </c>
      <c r="O2896" t="s">
        <v>47305</v>
      </c>
      <c r="P2896">
        <v>0</v>
      </c>
      <c r="Q2896">
        <v>0</v>
      </c>
      <c r="R2896" t="s">
        <v>47306</v>
      </c>
      <c r="S2896" t="s">
        <v>47414</v>
      </c>
      <c r="T2896" t="s">
        <v>49004</v>
      </c>
      <c r="U2896" t="s">
        <v>49781</v>
      </c>
      <c r="W2896" t="s">
        <v>43042</v>
      </c>
      <c r="X2896" t="s">
        <v>47308</v>
      </c>
    </row>
    <row r="2897" spans="1:24">
      <c r="A2897">
        <f>HYPERLINK("https://www.philgeps.gov.ph/GEPSNONPILOT/Tender/SplashBidNoticeAbstractUI.aspx?menuIndex=3&amp;refID=7195004&amp;Result=3","7195004")</f>
        <v>0</v>
      </c>
      <c r="B2897" t="s">
        <v>460</v>
      </c>
      <c r="C2897" t="s">
        <v>6626</v>
      </c>
      <c r="D2897" t="s">
        <v>18995</v>
      </c>
      <c r="E2897" t="s">
        <v>21719</v>
      </c>
      <c r="F2897" t="s">
        <v>32606</v>
      </c>
      <c r="G2897" t="s">
        <v>32614</v>
      </c>
      <c r="H2897" t="s">
        <v>14201</v>
      </c>
      <c r="I2897" t="s">
        <v>6007</v>
      </c>
      <c r="J2897" t="s">
        <v>34788</v>
      </c>
      <c r="K2897" t="s">
        <v>42630</v>
      </c>
      <c r="M2897" t="s">
        <v>43370</v>
      </c>
      <c r="N2897" t="s">
        <v>47304</v>
      </c>
      <c r="O2897" t="s">
        <v>47305</v>
      </c>
      <c r="P2897">
        <v>0</v>
      </c>
      <c r="Q2897">
        <v>0</v>
      </c>
      <c r="R2897" t="s">
        <v>47306</v>
      </c>
      <c r="S2897" t="s">
        <v>47414</v>
      </c>
      <c r="T2897" t="s">
        <v>49010</v>
      </c>
      <c r="U2897" t="s">
        <v>50363</v>
      </c>
      <c r="W2897" t="s">
        <v>43370</v>
      </c>
      <c r="X2897" t="s">
        <v>47308</v>
      </c>
    </row>
    <row r="2898" spans="1:24">
      <c r="A2898">
        <f>HYPERLINK("https://www.philgeps.gov.ph/GEPSNONPILOT/Tender/SplashBidNoticeAbstractUI.aspx?menuIndex=3&amp;refID=7195009&amp;Result=3","7195009")</f>
        <v>0</v>
      </c>
      <c r="B2898" t="s">
        <v>936</v>
      </c>
      <c r="C2898" t="s">
        <v>6627</v>
      </c>
      <c r="D2898" t="s">
        <v>19035</v>
      </c>
      <c r="E2898" t="s">
        <v>21689</v>
      </c>
      <c r="F2898" t="s">
        <v>32609</v>
      </c>
      <c r="G2898" t="s">
        <v>32619</v>
      </c>
      <c r="H2898" t="s">
        <v>14201</v>
      </c>
      <c r="I2898" t="s">
        <v>32635</v>
      </c>
      <c r="J2898" t="s">
        <v>34789</v>
      </c>
      <c r="K2898" t="s">
        <v>42624</v>
      </c>
      <c r="M2898" t="s">
        <v>43876</v>
      </c>
      <c r="N2898" t="s">
        <v>47304</v>
      </c>
      <c r="O2898" t="s">
        <v>47305</v>
      </c>
      <c r="Q2898">
        <v>1</v>
      </c>
      <c r="R2898" t="s">
        <v>47306</v>
      </c>
      <c r="S2898" t="s">
        <v>47419</v>
      </c>
      <c r="T2898" t="s">
        <v>48980</v>
      </c>
      <c r="U2898" t="s">
        <v>52068</v>
      </c>
      <c r="W2898" t="s">
        <v>64457</v>
      </c>
      <c r="X2898" t="s">
        <v>47308</v>
      </c>
    </row>
    <row r="2899" spans="1:24">
      <c r="A2899">
        <f>HYPERLINK("https://www.philgeps.gov.ph/GEPSNONPILOT/Tender/SplashBidNoticeAbstractUI.aspx?menuIndex=3&amp;refID=7195046&amp;Result=3","7195046")</f>
        <v>0</v>
      </c>
      <c r="B2899" t="s">
        <v>317</v>
      </c>
      <c r="C2899" t="s">
        <v>6628</v>
      </c>
      <c r="D2899" t="s">
        <v>19011</v>
      </c>
      <c r="E2899" t="s">
        <v>19315</v>
      </c>
      <c r="F2899" t="s">
        <v>32606</v>
      </c>
      <c r="G2899" t="s">
        <v>32618</v>
      </c>
      <c r="H2899" t="s">
        <v>14201</v>
      </c>
      <c r="I2899" t="s">
        <v>32660</v>
      </c>
      <c r="J2899" t="s">
        <v>32923</v>
      </c>
      <c r="K2899" t="s">
        <v>42622</v>
      </c>
      <c r="M2899" t="s">
        <v>43219</v>
      </c>
      <c r="N2899" t="s">
        <v>47304</v>
      </c>
      <c r="O2899" t="s">
        <v>47305</v>
      </c>
      <c r="P2899">
        <v>0</v>
      </c>
      <c r="Q2899">
        <v>0</v>
      </c>
      <c r="R2899" t="s">
        <v>47306</v>
      </c>
      <c r="S2899" t="s">
        <v>47414</v>
      </c>
      <c r="T2899" t="s">
        <v>49017</v>
      </c>
      <c r="U2899" t="s">
        <v>52069</v>
      </c>
      <c r="W2899" t="s">
        <v>43219</v>
      </c>
      <c r="X2899" t="s">
        <v>47308</v>
      </c>
    </row>
    <row r="2900" spans="1:24">
      <c r="A2900">
        <f>HYPERLINK("https://www.philgeps.gov.ph/GEPSNONPILOT/Tender/SplashBidNoticeAbstractUI.aspx?menuIndex=3&amp;refID=7194950&amp;Result=3","7194950")</f>
        <v>0</v>
      </c>
      <c r="B2900" t="s">
        <v>1223</v>
      </c>
      <c r="C2900" t="s">
        <v>6629</v>
      </c>
      <c r="D2900" t="s">
        <v>19024</v>
      </c>
      <c r="E2900" t="s">
        <v>21720</v>
      </c>
      <c r="F2900" t="s">
        <v>32606</v>
      </c>
      <c r="G2900" t="s">
        <v>32613</v>
      </c>
      <c r="H2900" t="s">
        <v>32623</v>
      </c>
      <c r="I2900" t="s">
        <v>17648</v>
      </c>
      <c r="J2900" t="s">
        <v>32778</v>
      </c>
      <c r="K2900" t="s">
        <v>42631</v>
      </c>
      <c r="M2900" t="s">
        <v>44188</v>
      </c>
      <c r="N2900" t="s">
        <v>47304</v>
      </c>
      <c r="O2900" t="s">
        <v>47305</v>
      </c>
      <c r="P2900">
        <v>0</v>
      </c>
      <c r="Q2900">
        <v>0</v>
      </c>
      <c r="R2900" t="s">
        <v>47306</v>
      </c>
      <c r="S2900" t="s">
        <v>47414</v>
      </c>
      <c r="T2900" t="s">
        <v>48988</v>
      </c>
      <c r="U2900" t="s">
        <v>52070</v>
      </c>
      <c r="W2900" t="s">
        <v>44188</v>
      </c>
      <c r="X2900" t="s">
        <v>47308</v>
      </c>
    </row>
    <row r="2901" spans="1:24">
      <c r="A2901">
        <f>HYPERLINK("https://www.philgeps.gov.ph/GEPSNONPILOT/Tender/SplashBidNoticeAbstractUI.aspx?menuIndex=3&amp;refID=7195056&amp;Result=3","7195056")</f>
        <v>0</v>
      </c>
      <c r="B2901" t="s">
        <v>1224</v>
      </c>
      <c r="C2901" t="s">
        <v>4329</v>
      </c>
      <c r="D2901" t="s">
        <v>19019</v>
      </c>
      <c r="E2901" t="s">
        <v>19521</v>
      </c>
      <c r="F2901" t="s">
        <v>32606</v>
      </c>
      <c r="G2901" t="s">
        <v>32619</v>
      </c>
      <c r="H2901" t="s">
        <v>14201</v>
      </c>
      <c r="I2901" t="s">
        <v>6298</v>
      </c>
      <c r="J2901" t="s">
        <v>34790</v>
      </c>
      <c r="K2901" t="s">
        <v>42625</v>
      </c>
      <c r="M2901" t="s">
        <v>44189</v>
      </c>
      <c r="N2901" t="s">
        <v>47304</v>
      </c>
      <c r="O2901" t="s">
        <v>47305</v>
      </c>
      <c r="P2901">
        <v>0</v>
      </c>
      <c r="Q2901">
        <v>0</v>
      </c>
      <c r="R2901" t="s">
        <v>47306</v>
      </c>
      <c r="S2901" t="s">
        <v>47414</v>
      </c>
      <c r="T2901" t="s">
        <v>49004</v>
      </c>
      <c r="U2901" t="s">
        <v>52071</v>
      </c>
      <c r="V2901" t="s">
        <v>62799</v>
      </c>
      <c r="W2901" t="s">
        <v>44189</v>
      </c>
      <c r="X2901" t="s">
        <v>47308</v>
      </c>
    </row>
    <row r="2902" spans="1:24">
      <c r="A2902">
        <f>HYPERLINK("https://www.philgeps.gov.ph/GEPSNONPILOT/Tender/SplashBidNoticeAbstractUI.aspx?menuIndex=3&amp;refID=7195007&amp;Result=3","7195007")</f>
        <v>0</v>
      </c>
      <c r="B2902" t="s">
        <v>1189</v>
      </c>
      <c r="C2902" t="s">
        <v>6630</v>
      </c>
      <c r="D2902" t="s">
        <v>19016</v>
      </c>
      <c r="E2902" t="s">
        <v>21721</v>
      </c>
      <c r="F2902" t="s">
        <v>32606</v>
      </c>
      <c r="G2902" t="s">
        <v>32619</v>
      </c>
      <c r="H2902" t="s">
        <v>14201</v>
      </c>
      <c r="I2902" t="s">
        <v>4120</v>
      </c>
      <c r="J2902" t="s">
        <v>34791</v>
      </c>
      <c r="K2902" t="s">
        <v>42623</v>
      </c>
      <c r="M2902" t="s">
        <v>44153</v>
      </c>
      <c r="N2902" t="s">
        <v>47304</v>
      </c>
      <c r="O2902" t="s">
        <v>47305</v>
      </c>
      <c r="P2902">
        <v>0</v>
      </c>
      <c r="Q2902">
        <v>0</v>
      </c>
      <c r="R2902" t="s">
        <v>47306</v>
      </c>
      <c r="S2902" t="s">
        <v>47414</v>
      </c>
      <c r="T2902" t="s">
        <v>49004</v>
      </c>
      <c r="U2902" t="s">
        <v>52072</v>
      </c>
      <c r="V2902" t="s">
        <v>62952</v>
      </c>
      <c r="W2902" t="s">
        <v>44153</v>
      </c>
      <c r="X2902" t="s">
        <v>47308</v>
      </c>
    </row>
    <row r="2903" spans="1:24">
      <c r="A2903">
        <f>HYPERLINK("https://www.philgeps.gov.ph/GEPSNONPILOT/Tender/SplashBidNoticeAbstractUI.aspx?menuIndex=3&amp;refID=7195054&amp;Result=3","7195054")</f>
        <v>0</v>
      </c>
      <c r="B2903" t="s">
        <v>360</v>
      </c>
      <c r="C2903" t="s">
        <v>6631</v>
      </c>
      <c r="D2903" t="s">
        <v>19040</v>
      </c>
      <c r="E2903" t="s">
        <v>21722</v>
      </c>
      <c r="F2903" t="s">
        <v>32606</v>
      </c>
      <c r="G2903" t="s">
        <v>32614</v>
      </c>
      <c r="H2903" t="s">
        <v>14201</v>
      </c>
      <c r="I2903" t="s">
        <v>32696</v>
      </c>
      <c r="J2903" t="s">
        <v>34792</v>
      </c>
      <c r="K2903" t="s">
        <v>42630</v>
      </c>
      <c r="M2903" t="s">
        <v>43262</v>
      </c>
      <c r="N2903" t="s">
        <v>47304</v>
      </c>
      <c r="O2903" t="s">
        <v>47305</v>
      </c>
      <c r="P2903">
        <v>0</v>
      </c>
      <c r="Q2903">
        <v>1</v>
      </c>
      <c r="R2903" t="s">
        <v>47306</v>
      </c>
      <c r="S2903" t="s">
        <v>47414</v>
      </c>
      <c r="T2903" t="s">
        <v>49050</v>
      </c>
      <c r="U2903" t="s">
        <v>50184</v>
      </c>
      <c r="W2903" t="s">
        <v>43262</v>
      </c>
      <c r="X2903" t="s">
        <v>47308</v>
      </c>
    </row>
    <row r="2904" spans="1:24">
      <c r="A2904">
        <f>HYPERLINK("https://www.philgeps.gov.ph/GEPSNONPILOT/Tender/SplashBidNoticeAbstractUI.aspx?menuIndex=3&amp;refID=7195052&amp;Result=3","7195052")</f>
        <v>0</v>
      </c>
      <c r="B2904" t="s">
        <v>235</v>
      </c>
      <c r="C2904" t="s">
        <v>6632</v>
      </c>
      <c r="D2904" t="s">
        <v>19001</v>
      </c>
      <c r="E2904" t="s">
        <v>21723</v>
      </c>
      <c r="F2904" t="s">
        <v>32606</v>
      </c>
      <c r="G2904" t="s">
        <v>32614</v>
      </c>
      <c r="H2904" t="s">
        <v>14201</v>
      </c>
      <c r="I2904" t="s">
        <v>6298</v>
      </c>
      <c r="J2904" t="s">
        <v>33102</v>
      </c>
      <c r="K2904" t="s">
        <v>42623</v>
      </c>
      <c r="M2904" t="s">
        <v>43136</v>
      </c>
      <c r="N2904" t="s">
        <v>47304</v>
      </c>
      <c r="O2904" t="s">
        <v>47305</v>
      </c>
      <c r="P2904">
        <v>0</v>
      </c>
      <c r="Q2904">
        <v>1</v>
      </c>
      <c r="R2904" t="s">
        <v>47306</v>
      </c>
      <c r="S2904" t="s">
        <v>47414</v>
      </c>
      <c r="T2904" t="s">
        <v>49067</v>
      </c>
      <c r="U2904" t="s">
        <v>52073</v>
      </c>
      <c r="V2904" t="s">
        <v>62959</v>
      </c>
      <c r="W2904" t="s">
        <v>43136</v>
      </c>
      <c r="X2904" t="s">
        <v>47308</v>
      </c>
    </row>
    <row r="2905" spans="1:24">
      <c r="A2905">
        <f>HYPERLINK("https://www.philgeps.gov.ph/GEPSNONPILOT/Tender/SplashBidNoticeAbstractUI.aspx?menuIndex=3&amp;refID=7195050&amp;Result=3","7195050")</f>
        <v>0</v>
      </c>
      <c r="B2905" t="s">
        <v>1225</v>
      </c>
      <c r="C2905" t="s">
        <v>6633</v>
      </c>
      <c r="D2905" t="s">
        <v>19038</v>
      </c>
      <c r="E2905" t="s">
        <v>21724</v>
      </c>
      <c r="F2905" t="s">
        <v>32606</v>
      </c>
      <c r="G2905" t="s">
        <v>32614</v>
      </c>
      <c r="H2905" t="s">
        <v>14201</v>
      </c>
      <c r="I2905" t="s">
        <v>6931</v>
      </c>
      <c r="J2905" t="s">
        <v>33034</v>
      </c>
      <c r="K2905" t="s">
        <v>42624</v>
      </c>
      <c r="M2905" t="s">
        <v>44190</v>
      </c>
      <c r="N2905" t="s">
        <v>47304</v>
      </c>
      <c r="O2905" t="s">
        <v>47305</v>
      </c>
      <c r="P2905">
        <v>0</v>
      </c>
      <c r="Q2905">
        <v>0</v>
      </c>
      <c r="R2905" t="s">
        <v>47306</v>
      </c>
      <c r="S2905" t="s">
        <v>47414</v>
      </c>
      <c r="T2905" t="s">
        <v>49017</v>
      </c>
      <c r="U2905" t="s">
        <v>52074</v>
      </c>
      <c r="W2905" t="s">
        <v>64467</v>
      </c>
      <c r="X2905" t="s">
        <v>47308</v>
      </c>
    </row>
    <row r="2906" spans="1:24">
      <c r="A2906">
        <f>HYPERLINK("https://www.philgeps.gov.ph/GEPSNONPILOT/Tender/SplashBidNoticeAbstractUI.aspx?menuIndex=3&amp;refID=7195005&amp;Result=3","7195005")</f>
        <v>0</v>
      </c>
      <c r="B2906" t="s">
        <v>187</v>
      </c>
      <c r="C2906" t="s">
        <v>6634</v>
      </c>
      <c r="D2906" t="s">
        <v>19038</v>
      </c>
      <c r="E2906" t="s">
        <v>21725</v>
      </c>
      <c r="F2906" t="s">
        <v>32606</v>
      </c>
      <c r="G2906" t="s">
        <v>32613</v>
      </c>
      <c r="H2906" t="s">
        <v>14201</v>
      </c>
      <c r="I2906" t="s">
        <v>32660</v>
      </c>
      <c r="J2906" t="s">
        <v>34793</v>
      </c>
      <c r="K2906" t="s">
        <v>42622</v>
      </c>
      <c r="M2906" t="s">
        <v>43088</v>
      </c>
      <c r="N2906" t="s">
        <v>47304</v>
      </c>
      <c r="O2906" t="s">
        <v>47305</v>
      </c>
      <c r="P2906">
        <v>0</v>
      </c>
      <c r="Q2906">
        <v>0</v>
      </c>
      <c r="R2906" t="s">
        <v>47306</v>
      </c>
      <c r="S2906" t="s">
        <v>47414</v>
      </c>
      <c r="T2906" t="s">
        <v>48986</v>
      </c>
      <c r="U2906" t="s">
        <v>52075</v>
      </c>
      <c r="W2906" t="s">
        <v>43088</v>
      </c>
      <c r="X2906" t="s">
        <v>47308</v>
      </c>
    </row>
    <row r="2907" spans="1:24">
      <c r="A2907">
        <f>HYPERLINK("https://www.philgeps.gov.ph/GEPSNONPILOT/Tender/SplashBidNoticeAbstractUI.aspx?menuIndex=3&amp;refID=7195048&amp;Result=3","7195048")</f>
        <v>0</v>
      </c>
      <c r="B2907" t="s">
        <v>219</v>
      </c>
      <c r="C2907" t="s">
        <v>6635</v>
      </c>
      <c r="D2907" t="s">
        <v>19050</v>
      </c>
      <c r="E2907" t="s">
        <v>21726</v>
      </c>
      <c r="F2907" t="s">
        <v>32606</v>
      </c>
      <c r="G2907" t="s">
        <v>32613</v>
      </c>
      <c r="H2907" t="s">
        <v>14201</v>
      </c>
      <c r="I2907" t="s">
        <v>32640</v>
      </c>
      <c r="J2907" t="s">
        <v>34794</v>
      </c>
      <c r="K2907" t="s">
        <v>42636</v>
      </c>
      <c r="M2907" t="s">
        <v>43120</v>
      </c>
      <c r="N2907" t="s">
        <v>47304</v>
      </c>
      <c r="O2907" t="s">
        <v>47305</v>
      </c>
      <c r="P2907">
        <v>0</v>
      </c>
      <c r="Q2907">
        <v>3</v>
      </c>
      <c r="R2907" t="s">
        <v>47306</v>
      </c>
      <c r="S2907" t="s">
        <v>47414</v>
      </c>
      <c r="T2907" t="s">
        <v>49246</v>
      </c>
      <c r="U2907" t="s">
        <v>52076</v>
      </c>
      <c r="W2907" t="s">
        <v>43120</v>
      </c>
      <c r="X2907" t="s">
        <v>47308</v>
      </c>
    </row>
    <row r="2908" spans="1:24">
      <c r="A2908">
        <f>HYPERLINK("https://www.philgeps.gov.ph/GEPSNONPILOT/Tender/SplashBidNoticeAbstractUI.aspx?menuIndex=3&amp;refID=7195044&amp;Result=3","7195044")</f>
        <v>0</v>
      </c>
      <c r="B2908" t="s">
        <v>1226</v>
      </c>
      <c r="C2908" t="s">
        <v>6636</v>
      </c>
      <c r="D2908" t="s">
        <v>19002</v>
      </c>
      <c r="E2908" t="s">
        <v>21727</v>
      </c>
      <c r="F2908" t="s">
        <v>32606</v>
      </c>
      <c r="G2908" t="s">
        <v>32617</v>
      </c>
      <c r="H2908" t="s">
        <v>14201</v>
      </c>
      <c r="I2908" t="s">
        <v>6931</v>
      </c>
      <c r="J2908" t="s">
        <v>32951</v>
      </c>
      <c r="K2908" t="s">
        <v>42624</v>
      </c>
      <c r="M2908" t="s">
        <v>44191</v>
      </c>
      <c r="N2908" t="s">
        <v>47304</v>
      </c>
      <c r="O2908" t="s">
        <v>47305</v>
      </c>
      <c r="P2908">
        <v>0</v>
      </c>
      <c r="Q2908">
        <v>0</v>
      </c>
      <c r="R2908" t="s">
        <v>47306</v>
      </c>
      <c r="S2908" t="s">
        <v>47414</v>
      </c>
      <c r="T2908" t="s">
        <v>48997</v>
      </c>
      <c r="U2908" t="s">
        <v>52077</v>
      </c>
      <c r="W2908" t="s">
        <v>44191</v>
      </c>
      <c r="X2908" t="s">
        <v>47308</v>
      </c>
    </row>
    <row r="2909" spans="1:24">
      <c r="A2909">
        <f>HYPERLINK("https://www.philgeps.gov.ph/GEPSNONPILOT/Tender/SplashBidNoticeAbstractUI.aspx?menuIndex=3&amp;refID=7195035&amp;Result=3","7195035")</f>
        <v>0</v>
      </c>
      <c r="B2909" t="s">
        <v>1227</v>
      </c>
      <c r="C2909" t="s">
        <v>6637</v>
      </c>
      <c r="D2909" t="s">
        <v>19012</v>
      </c>
      <c r="E2909" t="s">
        <v>19847</v>
      </c>
      <c r="F2909" t="s">
        <v>32606</v>
      </c>
      <c r="G2909" t="s">
        <v>32617</v>
      </c>
      <c r="H2909" t="s">
        <v>14201</v>
      </c>
      <c r="I2909" t="s">
        <v>4678</v>
      </c>
      <c r="J2909" t="s">
        <v>32752</v>
      </c>
      <c r="K2909" t="s">
        <v>42624</v>
      </c>
      <c r="M2909" t="s">
        <v>44192</v>
      </c>
      <c r="N2909" t="s">
        <v>47304</v>
      </c>
      <c r="O2909" t="s">
        <v>47305</v>
      </c>
      <c r="P2909">
        <v>0</v>
      </c>
      <c r="Q2909">
        <v>0</v>
      </c>
      <c r="R2909" t="s">
        <v>47306</v>
      </c>
      <c r="S2909" t="s">
        <v>47414</v>
      </c>
      <c r="T2909" t="s">
        <v>49014</v>
      </c>
      <c r="U2909" t="s">
        <v>52078</v>
      </c>
      <c r="W2909" t="s">
        <v>44192</v>
      </c>
      <c r="X2909" t="s">
        <v>47308</v>
      </c>
    </row>
    <row r="2910" spans="1:24">
      <c r="A2910">
        <f>HYPERLINK("https://www.philgeps.gov.ph/GEPSNONPILOT/Tender/SplashBidNoticeAbstractUI.aspx?menuIndex=3&amp;refID=7195042&amp;Result=3","7195042")</f>
        <v>0</v>
      </c>
      <c r="B2910" t="s">
        <v>1196</v>
      </c>
      <c r="C2910" t="s">
        <v>6638</v>
      </c>
      <c r="D2910" t="s">
        <v>19010</v>
      </c>
      <c r="E2910" t="s">
        <v>21639</v>
      </c>
      <c r="F2910" t="s">
        <v>32607</v>
      </c>
      <c r="G2910" t="s">
        <v>32613</v>
      </c>
      <c r="H2910" t="s">
        <v>32623</v>
      </c>
      <c r="I2910" t="s">
        <v>17648</v>
      </c>
      <c r="J2910" t="s">
        <v>34728</v>
      </c>
      <c r="K2910" t="s">
        <v>42678</v>
      </c>
      <c r="L2910" t="s">
        <v>1196</v>
      </c>
      <c r="M2910" t="s">
        <v>44160</v>
      </c>
      <c r="N2910" t="s">
        <v>47304</v>
      </c>
      <c r="O2910" t="s">
        <v>47305</v>
      </c>
      <c r="P2910">
        <v>0</v>
      </c>
      <c r="Q2910">
        <v>0</v>
      </c>
      <c r="R2910" t="s">
        <v>47306</v>
      </c>
      <c r="S2910" t="s">
        <v>47414</v>
      </c>
      <c r="T2910" t="s">
        <v>48973</v>
      </c>
      <c r="U2910" t="s">
        <v>51995</v>
      </c>
      <c r="W2910" t="s">
        <v>44160</v>
      </c>
      <c r="X2910" t="s">
        <v>47308</v>
      </c>
    </row>
    <row r="2911" spans="1:24">
      <c r="A2911">
        <f>HYPERLINK("https://www.philgeps.gov.ph/GEPSNONPILOT/Tender/SplashBidNoticeAbstractUI.aspx?menuIndex=3&amp;refID=7195051&amp;Result=3","7195051")</f>
        <v>0</v>
      </c>
      <c r="B2911" t="s">
        <v>1228</v>
      </c>
      <c r="C2911" t="s">
        <v>6639</v>
      </c>
      <c r="D2911" t="s">
        <v>19048</v>
      </c>
      <c r="E2911" t="s">
        <v>21728</v>
      </c>
      <c r="F2911" t="s">
        <v>32606</v>
      </c>
      <c r="G2911" t="s">
        <v>32619</v>
      </c>
      <c r="H2911" t="s">
        <v>32623</v>
      </c>
      <c r="I2911" t="s">
        <v>32709</v>
      </c>
      <c r="J2911" t="s">
        <v>34795</v>
      </c>
      <c r="K2911" t="s">
        <v>42737</v>
      </c>
      <c r="M2911" t="s">
        <v>44193</v>
      </c>
      <c r="N2911" t="s">
        <v>47304</v>
      </c>
      <c r="O2911" t="s">
        <v>47305</v>
      </c>
      <c r="P2911">
        <v>0</v>
      </c>
      <c r="Q2911">
        <v>0</v>
      </c>
      <c r="R2911" t="s">
        <v>47306</v>
      </c>
      <c r="S2911" t="s">
        <v>47414</v>
      </c>
      <c r="T2911" t="s">
        <v>49014</v>
      </c>
      <c r="U2911" t="s">
        <v>52079</v>
      </c>
      <c r="W2911" t="s">
        <v>44193</v>
      </c>
      <c r="X2911" t="s">
        <v>47308</v>
      </c>
    </row>
    <row r="2912" spans="1:24">
      <c r="A2912">
        <f>HYPERLINK("https://www.philgeps.gov.ph/GEPSNONPILOT/Tender/SplashBidNoticeAbstractUI.aspx?menuIndex=3&amp;refID=7195038&amp;Result=3","7195038")</f>
        <v>0</v>
      </c>
      <c r="B2912" t="s">
        <v>1206</v>
      </c>
      <c r="C2912" t="s">
        <v>6640</v>
      </c>
      <c r="D2912" t="s">
        <v>19010</v>
      </c>
      <c r="E2912" t="s">
        <v>21729</v>
      </c>
      <c r="F2912" t="s">
        <v>32606</v>
      </c>
      <c r="G2912" t="s">
        <v>32614</v>
      </c>
      <c r="H2912" t="s">
        <v>14201</v>
      </c>
      <c r="I2912" t="s">
        <v>32713</v>
      </c>
      <c r="J2912" t="s">
        <v>32920</v>
      </c>
      <c r="K2912" t="s">
        <v>42631</v>
      </c>
      <c r="M2912" t="s">
        <v>44170</v>
      </c>
      <c r="N2912" t="s">
        <v>47304</v>
      </c>
      <c r="O2912" t="s">
        <v>47305</v>
      </c>
      <c r="P2912">
        <v>0</v>
      </c>
      <c r="Q2912">
        <v>0</v>
      </c>
      <c r="R2912" t="s">
        <v>47306</v>
      </c>
      <c r="S2912" t="s">
        <v>47414</v>
      </c>
      <c r="T2912" t="s">
        <v>49014</v>
      </c>
      <c r="U2912" t="s">
        <v>52080</v>
      </c>
      <c r="W2912" t="s">
        <v>44170</v>
      </c>
      <c r="X2912" t="s">
        <v>47308</v>
      </c>
    </row>
    <row r="2913" spans="1:24">
      <c r="A2913">
        <f>HYPERLINK("https://www.philgeps.gov.ph/GEPSNONPILOT/Tender/SplashBidNoticeAbstractUI.aspx?menuIndex=3&amp;refID=7195049&amp;Result=3","7195049")</f>
        <v>0</v>
      </c>
      <c r="B2913" t="s">
        <v>223</v>
      </c>
      <c r="C2913" t="s">
        <v>6641</v>
      </c>
      <c r="D2913" t="s">
        <v>19008</v>
      </c>
      <c r="E2913" t="s">
        <v>21730</v>
      </c>
      <c r="F2913" t="s">
        <v>32606</v>
      </c>
      <c r="G2913" t="s">
        <v>32613</v>
      </c>
      <c r="H2913" t="s">
        <v>32623</v>
      </c>
      <c r="I2913" t="s">
        <v>17648</v>
      </c>
      <c r="J2913" t="s">
        <v>32821</v>
      </c>
      <c r="K2913" t="s">
        <v>42645</v>
      </c>
      <c r="M2913" t="s">
        <v>43124</v>
      </c>
      <c r="N2913" t="s">
        <v>47304</v>
      </c>
      <c r="O2913" t="s">
        <v>47305</v>
      </c>
      <c r="P2913">
        <v>0</v>
      </c>
      <c r="Q2913">
        <v>2</v>
      </c>
      <c r="R2913" t="s">
        <v>47306</v>
      </c>
      <c r="S2913" t="s">
        <v>47414</v>
      </c>
      <c r="T2913" t="s">
        <v>49249</v>
      </c>
      <c r="U2913" t="s">
        <v>52081</v>
      </c>
      <c r="V2913" t="s">
        <v>62960</v>
      </c>
      <c r="W2913" t="s">
        <v>43124</v>
      </c>
      <c r="X2913" t="s">
        <v>47308</v>
      </c>
    </row>
    <row r="2914" spans="1:24">
      <c r="A2914">
        <f>HYPERLINK("https://www.philgeps.gov.ph/GEPSNONPILOT/Tender/SplashBidNoticeAbstractUI.aspx?menuIndex=3&amp;refID=7195037&amp;Result=3","7195037")</f>
        <v>0</v>
      </c>
      <c r="B2914" t="s">
        <v>1229</v>
      </c>
      <c r="C2914" t="s">
        <v>6642</v>
      </c>
      <c r="D2914" t="s">
        <v>19006</v>
      </c>
      <c r="E2914" t="s">
        <v>21731</v>
      </c>
      <c r="F2914" t="s">
        <v>32606</v>
      </c>
      <c r="G2914" t="s">
        <v>32613</v>
      </c>
      <c r="H2914" t="s">
        <v>32623</v>
      </c>
      <c r="I2914" t="s">
        <v>17648</v>
      </c>
      <c r="J2914" t="s">
        <v>34796</v>
      </c>
      <c r="K2914" t="s">
        <v>42636</v>
      </c>
      <c r="M2914" t="s">
        <v>44194</v>
      </c>
      <c r="N2914" t="s">
        <v>47304</v>
      </c>
      <c r="O2914" t="s">
        <v>47305</v>
      </c>
      <c r="P2914">
        <v>0</v>
      </c>
      <c r="Q2914">
        <v>0</v>
      </c>
      <c r="R2914" t="s">
        <v>47306</v>
      </c>
      <c r="S2914" t="s">
        <v>47414</v>
      </c>
      <c r="T2914" t="s">
        <v>49101</v>
      </c>
      <c r="U2914" t="s">
        <v>52082</v>
      </c>
      <c r="W2914" t="s">
        <v>44194</v>
      </c>
      <c r="X2914" t="s">
        <v>47308</v>
      </c>
    </row>
    <row r="2915" spans="1:24">
      <c r="A2915">
        <f>HYPERLINK("https://www.philgeps.gov.ph/GEPSNONPILOT/Tender/SplashBidNoticeAbstractUI.aspx?menuIndex=3&amp;refID=7195040&amp;Result=3","7195040")</f>
        <v>0</v>
      </c>
      <c r="B2915" t="s">
        <v>296</v>
      </c>
      <c r="C2915" t="s">
        <v>6643</v>
      </c>
      <c r="D2915" t="s">
        <v>19038</v>
      </c>
      <c r="E2915" t="s">
        <v>21732</v>
      </c>
      <c r="F2915" t="s">
        <v>32606</v>
      </c>
      <c r="G2915" t="s">
        <v>32613</v>
      </c>
      <c r="H2915" t="s">
        <v>14201</v>
      </c>
      <c r="I2915" t="s">
        <v>4678</v>
      </c>
      <c r="J2915" t="s">
        <v>32813</v>
      </c>
      <c r="K2915" t="s">
        <v>42624</v>
      </c>
      <c r="M2915" t="s">
        <v>43198</v>
      </c>
      <c r="N2915" t="s">
        <v>47304</v>
      </c>
      <c r="O2915" t="s">
        <v>47305</v>
      </c>
      <c r="P2915">
        <v>0</v>
      </c>
      <c r="Q2915">
        <v>0</v>
      </c>
      <c r="R2915" t="s">
        <v>47306</v>
      </c>
      <c r="S2915" t="s">
        <v>47414</v>
      </c>
      <c r="T2915" t="s">
        <v>49017</v>
      </c>
      <c r="U2915" t="s">
        <v>50103</v>
      </c>
      <c r="W2915" t="s">
        <v>43198</v>
      </c>
      <c r="X2915" t="s">
        <v>47308</v>
      </c>
    </row>
    <row r="2916" spans="1:24">
      <c r="A2916">
        <f>HYPERLINK("https://www.philgeps.gov.ph/GEPSNONPILOT/Tender/SplashBidNoticeAbstractUI.aspx?menuIndex=3&amp;refID=7195058&amp;Result=3","7195058")</f>
        <v>0</v>
      </c>
      <c r="B2916" t="s">
        <v>252</v>
      </c>
      <c r="C2916" t="s">
        <v>6644</v>
      </c>
      <c r="D2916" t="s">
        <v>19010</v>
      </c>
      <c r="E2916" t="s">
        <v>21733</v>
      </c>
      <c r="F2916" t="s">
        <v>32606</v>
      </c>
      <c r="G2916" t="s">
        <v>32613</v>
      </c>
      <c r="H2916" t="s">
        <v>32623</v>
      </c>
      <c r="I2916" t="s">
        <v>17648</v>
      </c>
      <c r="J2916" t="s">
        <v>32830</v>
      </c>
      <c r="K2916" t="s">
        <v>42694</v>
      </c>
      <c r="M2916" t="s">
        <v>43153</v>
      </c>
      <c r="N2916" t="s">
        <v>47304</v>
      </c>
      <c r="O2916" t="s">
        <v>47305</v>
      </c>
      <c r="P2916">
        <v>0</v>
      </c>
      <c r="Q2916">
        <v>0</v>
      </c>
      <c r="R2916" t="s">
        <v>47306</v>
      </c>
      <c r="S2916" t="s">
        <v>47414</v>
      </c>
      <c r="T2916" t="s">
        <v>48990</v>
      </c>
      <c r="U2916" t="s">
        <v>52083</v>
      </c>
      <c r="W2916" t="s">
        <v>43153</v>
      </c>
      <c r="X2916" t="s">
        <v>47308</v>
      </c>
    </row>
    <row r="2917" spans="1:24">
      <c r="A2917">
        <f>HYPERLINK("https://www.philgeps.gov.ph/GEPSNONPILOT/Tender/SplashBidNoticeAbstractUI.aspx?menuIndex=3&amp;refID=7195039&amp;Result=3","7195039")</f>
        <v>0</v>
      </c>
      <c r="B2917" t="s">
        <v>1230</v>
      </c>
      <c r="C2917" t="s">
        <v>6645</v>
      </c>
      <c r="D2917" t="s">
        <v>19024</v>
      </c>
      <c r="E2917" t="s">
        <v>19561</v>
      </c>
      <c r="F2917" t="s">
        <v>32606</v>
      </c>
      <c r="G2917" t="s">
        <v>32615</v>
      </c>
      <c r="H2917" t="s">
        <v>14201</v>
      </c>
      <c r="I2917" t="s">
        <v>6931</v>
      </c>
      <c r="J2917" t="s">
        <v>34797</v>
      </c>
      <c r="K2917" t="s">
        <v>42631</v>
      </c>
      <c r="M2917" t="s">
        <v>44195</v>
      </c>
      <c r="N2917" t="s">
        <v>47304</v>
      </c>
      <c r="O2917" t="s">
        <v>47305</v>
      </c>
      <c r="P2917">
        <v>0</v>
      </c>
      <c r="Q2917">
        <v>0</v>
      </c>
      <c r="R2917" t="s">
        <v>47306</v>
      </c>
      <c r="S2917" t="s">
        <v>47414</v>
      </c>
      <c r="T2917" t="s">
        <v>49052</v>
      </c>
      <c r="U2917" t="s">
        <v>52084</v>
      </c>
      <c r="W2917" t="s">
        <v>44195</v>
      </c>
      <c r="X2917" t="s">
        <v>47308</v>
      </c>
    </row>
    <row r="2918" spans="1:24">
      <c r="A2918">
        <f>HYPERLINK("https://www.philgeps.gov.ph/GEPSNONPILOT/Tender/SplashBidNoticeAbstractUI.aspx?menuIndex=3&amp;refID=7195077&amp;Result=3","7195077")</f>
        <v>0</v>
      </c>
      <c r="B2918" t="s">
        <v>276</v>
      </c>
      <c r="C2918" t="s">
        <v>6646</v>
      </c>
      <c r="D2918" t="s">
        <v>19001</v>
      </c>
      <c r="E2918" t="s">
        <v>21734</v>
      </c>
      <c r="F2918" t="s">
        <v>32606</v>
      </c>
      <c r="G2918" t="s">
        <v>32614</v>
      </c>
      <c r="H2918" t="s">
        <v>14201</v>
      </c>
      <c r="I2918" t="s">
        <v>6931</v>
      </c>
      <c r="J2918" t="s">
        <v>34798</v>
      </c>
      <c r="K2918" t="s">
        <v>42622</v>
      </c>
      <c r="M2918" t="s">
        <v>43177</v>
      </c>
      <c r="N2918" t="s">
        <v>47304</v>
      </c>
      <c r="O2918" t="s">
        <v>47305</v>
      </c>
      <c r="P2918">
        <v>0</v>
      </c>
      <c r="Q2918">
        <v>0</v>
      </c>
      <c r="R2918" t="s">
        <v>47306</v>
      </c>
      <c r="S2918" t="s">
        <v>47414</v>
      </c>
      <c r="T2918" t="s">
        <v>48986</v>
      </c>
      <c r="U2918" t="s">
        <v>52085</v>
      </c>
      <c r="W2918" t="s">
        <v>43177</v>
      </c>
      <c r="X2918" t="s">
        <v>47308</v>
      </c>
    </row>
    <row r="2919" spans="1:24">
      <c r="A2919">
        <f>HYPERLINK("https://www.philgeps.gov.ph/GEPSNONPILOT/Tender/SplashBidNoticeAbstractUI.aspx?menuIndex=3&amp;refID=7195075&amp;Result=3","7195075")</f>
        <v>0</v>
      </c>
      <c r="B2919" t="s">
        <v>1231</v>
      </c>
      <c r="C2919" t="s">
        <v>6647</v>
      </c>
      <c r="D2919" t="s">
        <v>19056</v>
      </c>
      <c r="E2919" t="s">
        <v>21735</v>
      </c>
      <c r="F2919" t="s">
        <v>32606</v>
      </c>
      <c r="G2919" t="s">
        <v>32613</v>
      </c>
      <c r="H2919" t="s">
        <v>14201</v>
      </c>
      <c r="I2919" t="s">
        <v>32656</v>
      </c>
      <c r="J2919" t="s">
        <v>32795</v>
      </c>
      <c r="K2919" t="s">
        <v>42646</v>
      </c>
      <c r="M2919" t="s">
        <v>44196</v>
      </c>
      <c r="N2919" t="s">
        <v>47304</v>
      </c>
      <c r="O2919" t="s">
        <v>47305</v>
      </c>
      <c r="P2919">
        <v>0</v>
      </c>
      <c r="Q2919">
        <v>3</v>
      </c>
      <c r="R2919" t="s">
        <v>47306</v>
      </c>
      <c r="S2919" t="s">
        <v>47414</v>
      </c>
      <c r="T2919" t="s">
        <v>49059</v>
      </c>
      <c r="U2919" t="s">
        <v>52086</v>
      </c>
      <c r="W2919" t="s">
        <v>44196</v>
      </c>
      <c r="X2919" t="s">
        <v>47308</v>
      </c>
    </row>
    <row r="2920" spans="1:24">
      <c r="A2920">
        <f>HYPERLINK("https://www.philgeps.gov.ph/GEPSNONPILOT/Tender/SplashBidNoticeAbstractUI.aspx?menuIndex=3&amp;refID=7195045&amp;Result=3","7195045")</f>
        <v>0</v>
      </c>
      <c r="B2920" t="s">
        <v>344</v>
      </c>
      <c r="C2920" t="s">
        <v>6578</v>
      </c>
      <c r="D2920" t="s">
        <v>19002</v>
      </c>
      <c r="E2920" t="s">
        <v>21736</v>
      </c>
      <c r="F2920" t="s">
        <v>32606</v>
      </c>
      <c r="G2920" t="s">
        <v>32614</v>
      </c>
      <c r="H2920" t="s">
        <v>14201</v>
      </c>
      <c r="I2920" t="s">
        <v>7677</v>
      </c>
      <c r="J2920" t="s">
        <v>34799</v>
      </c>
      <c r="K2920" t="s">
        <v>42622</v>
      </c>
      <c r="M2920" t="s">
        <v>44172</v>
      </c>
      <c r="N2920" t="s">
        <v>47304</v>
      </c>
      <c r="O2920" t="s">
        <v>47305</v>
      </c>
      <c r="P2920">
        <v>0</v>
      </c>
      <c r="Q2920">
        <v>5</v>
      </c>
      <c r="R2920" t="s">
        <v>47306</v>
      </c>
      <c r="S2920" t="s">
        <v>47414</v>
      </c>
      <c r="T2920" t="s">
        <v>48996</v>
      </c>
      <c r="U2920" t="s">
        <v>52087</v>
      </c>
      <c r="W2920" t="s">
        <v>44172</v>
      </c>
      <c r="X2920" t="s">
        <v>47308</v>
      </c>
    </row>
    <row r="2921" spans="1:24">
      <c r="A2921">
        <f>HYPERLINK("https://www.philgeps.gov.ph/GEPSNONPILOT/Tender/SplashBidNoticeAbstractUI.aspx?menuIndex=3&amp;refID=7195036&amp;Result=3","7195036")</f>
        <v>0</v>
      </c>
      <c r="B2921" t="s">
        <v>1232</v>
      </c>
      <c r="C2921" t="s">
        <v>6648</v>
      </c>
      <c r="D2921" t="s">
        <v>18993</v>
      </c>
      <c r="E2921" t="s">
        <v>21737</v>
      </c>
      <c r="F2921" t="s">
        <v>32606</v>
      </c>
      <c r="G2921" t="s">
        <v>32614</v>
      </c>
      <c r="H2921" t="s">
        <v>14201</v>
      </c>
      <c r="I2921" t="s">
        <v>6007</v>
      </c>
      <c r="J2921" t="s">
        <v>33526</v>
      </c>
      <c r="K2921" t="s">
        <v>42632</v>
      </c>
      <c r="M2921" t="s">
        <v>44197</v>
      </c>
      <c r="N2921" t="s">
        <v>47304</v>
      </c>
      <c r="O2921" t="s">
        <v>47305</v>
      </c>
      <c r="P2921">
        <v>0</v>
      </c>
      <c r="Q2921">
        <v>1</v>
      </c>
      <c r="R2921" t="s">
        <v>47306</v>
      </c>
      <c r="S2921" t="s">
        <v>47414</v>
      </c>
      <c r="T2921" t="s">
        <v>48979</v>
      </c>
      <c r="U2921" t="s">
        <v>52088</v>
      </c>
      <c r="W2921" t="s">
        <v>44197</v>
      </c>
      <c r="X2921" t="s">
        <v>47308</v>
      </c>
    </row>
    <row r="2922" spans="1:24">
      <c r="A2922">
        <f>HYPERLINK("https://www.philgeps.gov.ph/GEPSNONPILOT/Tender/SplashBidNoticeAbstractUI.aspx?menuIndex=3&amp;refID=7195055&amp;Result=3","7195055")</f>
        <v>0</v>
      </c>
      <c r="B2922" t="s">
        <v>1233</v>
      </c>
      <c r="C2922" t="s">
        <v>6649</v>
      </c>
      <c r="D2922" t="s">
        <v>19005</v>
      </c>
      <c r="E2922" t="s">
        <v>21738</v>
      </c>
      <c r="F2922" t="s">
        <v>32606</v>
      </c>
      <c r="G2922" t="s">
        <v>32619</v>
      </c>
      <c r="H2922" t="s">
        <v>14201</v>
      </c>
      <c r="I2922" t="s">
        <v>6298</v>
      </c>
      <c r="J2922" t="s">
        <v>34800</v>
      </c>
      <c r="K2922" t="s">
        <v>42624</v>
      </c>
      <c r="M2922" t="s">
        <v>44198</v>
      </c>
      <c r="N2922" t="s">
        <v>47304</v>
      </c>
      <c r="O2922" t="s">
        <v>47305</v>
      </c>
      <c r="P2922">
        <v>0</v>
      </c>
      <c r="Q2922">
        <v>2</v>
      </c>
      <c r="R2922" t="s">
        <v>47306</v>
      </c>
      <c r="S2922" t="s">
        <v>47414</v>
      </c>
      <c r="T2922" t="s">
        <v>48980</v>
      </c>
      <c r="U2922" t="s">
        <v>52089</v>
      </c>
      <c r="V2922" t="s">
        <v>62961</v>
      </c>
      <c r="W2922" t="s">
        <v>44198</v>
      </c>
      <c r="X2922" t="s">
        <v>47308</v>
      </c>
    </row>
    <row r="2923" spans="1:24">
      <c r="A2923">
        <f>HYPERLINK("https://www.philgeps.gov.ph/GEPSNONPILOT/Tender/SplashBidNoticeAbstractUI.aspx?menuIndex=3&amp;refID=7195076&amp;Result=3","7195076")</f>
        <v>0</v>
      </c>
      <c r="B2923" t="s">
        <v>1234</v>
      </c>
      <c r="C2923" t="s">
        <v>6650</v>
      </c>
      <c r="D2923" t="s">
        <v>19047</v>
      </c>
      <c r="E2923" t="s">
        <v>21739</v>
      </c>
      <c r="F2923" t="s">
        <v>32606</v>
      </c>
      <c r="G2923" t="s">
        <v>32614</v>
      </c>
      <c r="H2923" t="s">
        <v>14201</v>
      </c>
      <c r="I2923" t="s">
        <v>6298</v>
      </c>
      <c r="J2923" t="s">
        <v>34801</v>
      </c>
      <c r="K2923" t="s">
        <v>42623</v>
      </c>
      <c r="M2923" t="s">
        <v>44199</v>
      </c>
      <c r="N2923" t="s">
        <v>47304</v>
      </c>
      <c r="O2923" t="s">
        <v>47305</v>
      </c>
      <c r="P2923">
        <v>0</v>
      </c>
      <c r="Q2923">
        <v>0</v>
      </c>
      <c r="R2923" t="s">
        <v>47306</v>
      </c>
      <c r="S2923" t="s">
        <v>47414</v>
      </c>
      <c r="T2923" t="s">
        <v>49062</v>
      </c>
      <c r="U2923" t="s">
        <v>52090</v>
      </c>
      <c r="W2923" t="s">
        <v>44199</v>
      </c>
      <c r="X2923" t="s">
        <v>47308</v>
      </c>
    </row>
    <row r="2924" spans="1:24">
      <c r="A2924">
        <f>HYPERLINK("https://www.philgeps.gov.ph/GEPSNONPILOT/Tender/SplashBidNoticeAbstractUI.aspx?menuIndex=3&amp;refID=7195072&amp;Result=3","7195072")</f>
        <v>0</v>
      </c>
      <c r="B2924" t="s">
        <v>1235</v>
      </c>
      <c r="C2924" t="s">
        <v>6651</v>
      </c>
      <c r="D2924" t="s">
        <v>18997</v>
      </c>
      <c r="E2924" t="s">
        <v>19145</v>
      </c>
      <c r="F2924" t="s">
        <v>32608</v>
      </c>
      <c r="G2924" t="s">
        <v>32613</v>
      </c>
      <c r="H2924" t="s">
        <v>14201</v>
      </c>
      <c r="I2924" t="s">
        <v>32640</v>
      </c>
      <c r="J2924" t="s">
        <v>34802</v>
      </c>
      <c r="K2924" t="s">
        <v>42630</v>
      </c>
      <c r="M2924" t="s">
        <v>44200</v>
      </c>
      <c r="N2924" t="s">
        <v>47304</v>
      </c>
      <c r="O2924" t="s">
        <v>47305</v>
      </c>
      <c r="P2924">
        <v>0</v>
      </c>
      <c r="Q2924">
        <v>0</v>
      </c>
      <c r="R2924" t="s">
        <v>47306</v>
      </c>
      <c r="S2924" t="s">
        <v>47414</v>
      </c>
      <c r="T2924" t="s">
        <v>49146</v>
      </c>
      <c r="U2924" t="s">
        <v>52091</v>
      </c>
      <c r="W2924" t="s">
        <v>44200</v>
      </c>
      <c r="X2924" t="s">
        <v>47308</v>
      </c>
    </row>
    <row r="2925" spans="1:24">
      <c r="A2925">
        <f>HYPERLINK("https://www.philgeps.gov.ph/GEPSNONPILOT/Tender/SplashBidNoticeAbstractUI.aspx?menuIndex=3&amp;refID=7195070&amp;Result=3","7195070")</f>
        <v>0</v>
      </c>
      <c r="B2925" t="s">
        <v>1223</v>
      </c>
      <c r="C2925" t="s">
        <v>6246</v>
      </c>
      <c r="D2925" t="s">
        <v>19024</v>
      </c>
      <c r="E2925" t="s">
        <v>21740</v>
      </c>
      <c r="F2925" t="s">
        <v>32606</v>
      </c>
      <c r="G2925" t="s">
        <v>32614</v>
      </c>
      <c r="H2925" t="s">
        <v>32623</v>
      </c>
      <c r="I2925" t="s">
        <v>17648</v>
      </c>
      <c r="J2925" t="s">
        <v>34803</v>
      </c>
      <c r="K2925" t="s">
        <v>42622</v>
      </c>
      <c r="M2925" t="s">
        <v>44188</v>
      </c>
      <c r="N2925" t="s">
        <v>47304</v>
      </c>
      <c r="O2925" t="s">
        <v>47305</v>
      </c>
      <c r="P2925">
        <v>0</v>
      </c>
      <c r="Q2925">
        <v>0</v>
      </c>
      <c r="R2925" t="s">
        <v>47306</v>
      </c>
      <c r="S2925" t="s">
        <v>47414</v>
      </c>
      <c r="T2925" t="s">
        <v>49108</v>
      </c>
      <c r="U2925" t="s">
        <v>52092</v>
      </c>
      <c r="W2925" t="s">
        <v>44188</v>
      </c>
      <c r="X2925" t="s">
        <v>47308</v>
      </c>
    </row>
    <row r="2926" spans="1:24">
      <c r="A2926">
        <f>HYPERLINK("https://www.philgeps.gov.ph/GEPSNONPILOT/Tender/SplashBidNoticeAbstractUI.aspx?menuIndex=3&amp;refID=7195043&amp;Result=3","7195043")</f>
        <v>0</v>
      </c>
      <c r="B2926" t="s">
        <v>1236</v>
      </c>
      <c r="C2926" t="s">
        <v>6652</v>
      </c>
      <c r="D2926" t="s">
        <v>19052</v>
      </c>
      <c r="E2926" t="s">
        <v>21741</v>
      </c>
      <c r="F2926" t="s">
        <v>32606</v>
      </c>
      <c r="G2926" t="s">
        <v>32613</v>
      </c>
      <c r="H2926" t="s">
        <v>32623</v>
      </c>
      <c r="I2926" t="s">
        <v>6931</v>
      </c>
      <c r="J2926" t="s">
        <v>32995</v>
      </c>
      <c r="K2926" t="s">
        <v>42623</v>
      </c>
      <c r="M2926" t="s">
        <v>44201</v>
      </c>
      <c r="N2926" t="s">
        <v>47304</v>
      </c>
      <c r="O2926" t="s">
        <v>47305</v>
      </c>
      <c r="P2926">
        <v>0</v>
      </c>
      <c r="Q2926">
        <v>0</v>
      </c>
      <c r="R2926" t="s">
        <v>47306</v>
      </c>
      <c r="S2926" t="s">
        <v>47414</v>
      </c>
      <c r="T2926" t="s">
        <v>49140</v>
      </c>
      <c r="U2926" t="s">
        <v>52093</v>
      </c>
      <c r="W2926" t="s">
        <v>44201</v>
      </c>
      <c r="X2926" t="s">
        <v>47308</v>
      </c>
    </row>
    <row r="2927" spans="1:24">
      <c r="A2927">
        <f>HYPERLINK("https://www.philgeps.gov.ph/GEPSNONPILOT/Tender/SplashBidNoticeAbstractUI.aspx?menuIndex=3&amp;refID=7195068&amp;Result=3","7195068")</f>
        <v>0</v>
      </c>
      <c r="B2927" t="s">
        <v>277</v>
      </c>
      <c r="C2927" t="s">
        <v>6653</v>
      </c>
      <c r="D2927" t="s">
        <v>19014</v>
      </c>
      <c r="E2927" t="s">
        <v>21742</v>
      </c>
      <c r="F2927" t="s">
        <v>32606</v>
      </c>
      <c r="G2927" t="s">
        <v>32614</v>
      </c>
      <c r="H2927" t="s">
        <v>32624</v>
      </c>
      <c r="I2927" t="s">
        <v>32707</v>
      </c>
      <c r="J2927" t="s">
        <v>32981</v>
      </c>
      <c r="K2927" t="s">
        <v>42630</v>
      </c>
      <c r="M2927" t="s">
        <v>43178</v>
      </c>
      <c r="N2927" t="s">
        <v>47304</v>
      </c>
      <c r="O2927" t="s">
        <v>47305</v>
      </c>
      <c r="P2927">
        <v>0</v>
      </c>
      <c r="Q2927">
        <v>3</v>
      </c>
      <c r="R2927" t="s">
        <v>47306</v>
      </c>
      <c r="S2927" t="s">
        <v>47414</v>
      </c>
      <c r="T2927" t="s">
        <v>48972</v>
      </c>
      <c r="U2927" t="s">
        <v>52094</v>
      </c>
      <c r="W2927" t="s">
        <v>64468</v>
      </c>
      <c r="X2927" t="s">
        <v>47308</v>
      </c>
    </row>
    <row r="2928" spans="1:24">
      <c r="A2928">
        <f>HYPERLINK("https://www.philgeps.gov.ph/GEPSNONPILOT/Tender/SplashBidNoticeAbstractUI.aspx?menuIndex=3&amp;refID=7195067&amp;Result=3","7195067")</f>
        <v>0</v>
      </c>
      <c r="B2928" t="s">
        <v>1237</v>
      </c>
      <c r="C2928" t="s">
        <v>6654</v>
      </c>
      <c r="D2928" t="s">
        <v>19003</v>
      </c>
      <c r="E2928" t="s">
        <v>20122</v>
      </c>
      <c r="F2928" t="s">
        <v>32606</v>
      </c>
      <c r="G2928" t="s">
        <v>32614</v>
      </c>
      <c r="H2928" t="s">
        <v>14201</v>
      </c>
      <c r="I2928" t="s">
        <v>4120</v>
      </c>
      <c r="J2928" t="s">
        <v>34804</v>
      </c>
      <c r="K2928" t="s">
        <v>42632</v>
      </c>
      <c r="M2928" t="s">
        <v>44202</v>
      </c>
      <c r="N2928" t="s">
        <v>47304</v>
      </c>
      <c r="O2928" t="s">
        <v>47305</v>
      </c>
      <c r="P2928">
        <v>0</v>
      </c>
      <c r="Q2928">
        <v>2</v>
      </c>
      <c r="R2928" t="s">
        <v>47306</v>
      </c>
      <c r="S2928" t="s">
        <v>47414</v>
      </c>
      <c r="T2928" t="s">
        <v>48979</v>
      </c>
      <c r="U2928" t="s">
        <v>52095</v>
      </c>
      <c r="W2928" t="s">
        <v>44202</v>
      </c>
      <c r="X2928" t="s">
        <v>47308</v>
      </c>
    </row>
    <row r="2929" spans="1:24">
      <c r="A2929">
        <f>HYPERLINK("https://www.philgeps.gov.ph/GEPSNONPILOT/Tender/SplashBidNoticeAbstractUI.aspx?menuIndex=3&amp;refID=7195047&amp;Result=3","7195047")</f>
        <v>0</v>
      </c>
      <c r="B2929" t="s">
        <v>359</v>
      </c>
      <c r="C2929" t="s">
        <v>6655</v>
      </c>
      <c r="D2929" t="s">
        <v>19027</v>
      </c>
      <c r="E2929" t="s">
        <v>19190</v>
      </c>
      <c r="F2929" t="s">
        <v>32606</v>
      </c>
      <c r="G2929" t="s">
        <v>32614</v>
      </c>
      <c r="H2929" t="s">
        <v>14201</v>
      </c>
      <c r="I2929" t="s">
        <v>4678</v>
      </c>
      <c r="J2929" t="s">
        <v>33075</v>
      </c>
      <c r="K2929" t="s">
        <v>42632</v>
      </c>
      <c r="M2929" t="s">
        <v>43261</v>
      </c>
      <c r="N2929" t="s">
        <v>47304</v>
      </c>
      <c r="O2929" t="s">
        <v>47305</v>
      </c>
      <c r="P2929">
        <v>0</v>
      </c>
      <c r="Q2929">
        <v>0</v>
      </c>
      <c r="R2929" t="s">
        <v>47306</v>
      </c>
      <c r="S2929" t="s">
        <v>47414</v>
      </c>
      <c r="T2929" t="s">
        <v>49093</v>
      </c>
      <c r="U2929" t="s">
        <v>52096</v>
      </c>
      <c r="W2929" t="s">
        <v>43261</v>
      </c>
      <c r="X2929" t="s">
        <v>47308</v>
      </c>
    </row>
    <row r="2930" spans="1:24">
      <c r="A2930">
        <f>HYPERLINK("https://www.philgeps.gov.ph/GEPSNONPILOT/Tender/SplashBidNoticeAbstractUI.aspx?menuIndex=3&amp;refID=7195066&amp;Result=3","7195066")</f>
        <v>0</v>
      </c>
      <c r="B2930" t="s">
        <v>534</v>
      </c>
      <c r="C2930" t="s">
        <v>6656</v>
      </c>
      <c r="D2930" t="s">
        <v>19006</v>
      </c>
      <c r="E2930" t="s">
        <v>21743</v>
      </c>
      <c r="F2930" t="s">
        <v>32606</v>
      </c>
      <c r="G2930" t="s">
        <v>32614</v>
      </c>
      <c r="H2930" t="s">
        <v>14201</v>
      </c>
      <c r="I2930" t="s">
        <v>4120</v>
      </c>
      <c r="J2930" t="s">
        <v>34805</v>
      </c>
      <c r="K2930" t="s">
        <v>42622</v>
      </c>
      <c r="M2930" t="s">
        <v>43447</v>
      </c>
      <c r="N2930" t="s">
        <v>47304</v>
      </c>
      <c r="O2930" t="s">
        <v>47305</v>
      </c>
      <c r="P2930">
        <v>0</v>
      </c>
      <c r="Q2930">
        <v>0</v>
      </c>
      <c r="R2930" t="s">
        <v>47306</v>
      </c>
      <c r="S2930" t="s">
        <v>47414</v>
      </c>
      <c r="T2930" t="s">
        <v>49018</v>
      </c>
      <c r="U2930" t="s">
        <v>52097</v>
      </c>
      <c r="W2930" t="s">
        <v>43447</v>
      </c>
      <c r="X2930" t="s">
        <v>47308</v>
      </c>
    </row>
    <row r="2931" spans="1:24">
      <c r="A2931">
        <f>HYPERLINK("https://www.philgeps.gov.ph/GEPSNONPILOT/Tender/SplashBidNoticeAbstractUI.aspx?menuIndex=3&amp;refID=7195074&amp;Result=3","7195074")</f>
        <v>0</v>
      </c>
      <c r="B2931" t="s">
        <v>210</v>
      </c>
      <c r="C2931" t="s">
        <v>6657</v>
      </c>
      <c r="D2931" t="s">
        <v>18986</v>
      </c>
      <c r="E2931" t="s">
        <v>21744</v>
      </c>
      <c r="F2931" t="s">
        <v>32606</v>
      </c>
      <c r="G2931" t="s">
        <v>32613</v>
      </c>
      <c r="H2931" t="s">
        <v>32623</v>
      </c>
      <c r="I2931" t="s">
        <v>17648</v>
      </c>
      <c r="J2931" t="s">
        <v>34806</v>
      </c>
      <c r="K2931" t="s">
        <v>42738</v>
      </c>
      <c r="M2931" t="s">
        <v>43111</v>
      </c>
      <c r="N2931" t="s">
        <v>47304</v>
      </c>
      <c r="O2931" t="s">
        <v>47305</v>
      </c>
      <c r="P2931">
        <v>0</v>
      </c>
      <c r="Q2931">
        <v>0</v>
      </c>
      <c r="R2931" t="s">
        <v>47306</v>
      </c>
      <c r="S2931" t="s">
        <v>47414</v>
      </c>
      <c r="T2931" t="s">
        <v>48971</v>
      </c>
      <c r="U2931" t="s">
        <v>52098</v>
      </c>
      <c r="W2931" t="s">
        <v>43111</v>
      </c>
      <c r="X2931" t="s">
        <v>47308</v>
      </c>
    </row>
    <row r="2932" spans="1:24">
      <c r="A2932">
        <f>HYPERLINK("https://www.philgeps.gov.ph/GEPSNONPILOT/Tender/SplashBidNoticeAbstractUI.aspx?menuIndex=3&amp;refID=7195063&amp;Result=3","7195063")</f>
        <v>0</v>
      </c>
      <c r="B2932" t="s">
        <v>1238</v>
      </c>
      <c r="C2932" t="s">
        <v>6658</v>
      </c>
      <c r="D2932" t="s">
        <v>19022</v>
      </c>
      <c r="E2932" t="s">
        <v>21745</v>
      </c>
      <c r="F2932" t="s">
        <v>32606</v>
      </c>
      <c r="G2932" t="s">
        <v>32613</v>
      </c>
      <c r="H2932" t="s">
        <v>14201</v>
      </c>
      <c r="I2932" t="s">
        <v>6931</v>
      </c>
      <c r="J2932" t="s">
        <v>34807</v>
      </c>
      <c r="K2932" t="s">
        <v>42631</v>
      </c>
      <c r="M2932" t="s">
        <v>44203</v>
      </c>
      <c r="N2932" t="s">
        <v>47304</v>
      </c>
      <c r="O2932" t="s">
        <v>47305</v>
      </c>
      <c r="P2932">
        <v>0</v>
      </c>
      <c r="Q2932">
        <v>0</v>
      </c>
      <c r="R2932" t="s">
        <v>47306</v>
      </c>
      <c r="S2932" t="s">
        <v>47414</v>
      </c>
      <c r="T2932" t="s">
        <v>49023</v>
      </c>
      <c r="U2932" t="s">
        <v>52099</v>
      </c>
      <c r="W2932" t="s">
        <v>44203</v>
      </c>
      <c r="X2932" t="s">
        <v>47308</v>
      </c>
    </row>
    <row r="2933" spans="1:24">
      <c r="A2933">
        <f>HYPERLINK("https://www.philgeps.gov.ph/GEPSNONPILOT/Tender/SplashBidNoticeAbstractUI.aspx?menuIndex=3&amp;refID=7195062&amp;Result=3","7195062")</f>
        <v>0</v>
      </c>
      <c r="B2933" t="s">
        <v>1058</v>
      </c>
      <c r="C2933" t="s">
        <v>6659</v>
      </c>
      <c r="D2933" t="s">
        <v>19039</v>
      </c>
      <c r="E2933" t="s">
        <v>21746</v>
      </c>
      <c r="F2933" t="s">
        <v>32606</v>
      </c>
      <c r="G2933" t="s">
        <v>32614</v>
      </c>
      <c r="H2933" t="s">
        <v>14201</v>
      </c>
      <c r="I2933" t="s">
        <v>6007</v>
      </c>
      <c r="J2933" t="s">
        <v>32781</v>
      </c>
      <c r="K2933" t="s">
        <v>42623</v>
      </c>
      <c r="M2933" t="s">
        <v>44011</v>
      </c>
      <c r="N2933" t="s">
        <v>47304</v>
      </c>
      <c r="O2933" t="s">
        <v>47305</v>
      </c>
      <c r="P2933">
        <v>0</v>
      </c>
      <c r="Q2933">
        <v>0</v>
      </c>
      <c r="R2933" t="s">
        <v>47306</v>
      </c>
      <c r="S2933" t="s">
        <v>47414</v>
      </c>
      <c r="T2933" t="s">
        <v>48980</v>
      </c>
      <c r="U2933" t="s">
        <v>52100</v>
      </c>
      <c r="W2933" t="s">
        <v>44011</v>
      </c>
      <c r="X2933" t="s">
        <v>47308</v>
      </c>
    </row>
    <row r="2934" spans="1:24">
      <c r="A2934">
        <f>HYPERLINK("https://www.philgeps.gov.ph/GEPSNONPILOT/Tender/SplashBidNoticeAbstractUI.aspx?menuIndex=3&amp;refID=7195071&amp;Result=3","7195071")</f>
        <v>0</v>
      </c>
      <c r="B2934" t="s">
        <v>1239</v>
      </c>
      <c r="C2934" t="s">
        <v>6660</v>
      </c>
      <c r="D2934" t="s">
        <v>19056</v>
      </c>
      <c r="E2934" t="s">
        <v>21747</v>
      </c>
      <c r="F2934" t="s">
        <v>32606</v>
      </c>
      <c r="G2934" t="s">
        <v>32614</v>
      </c>
      <c r="H2934" t="s">
        <v>14201</v>
      </c>
      <c r="I2934" t="s">
        <v>32650</v>
      </c>
      <c r="J2934" t="s">
        <v>32949</v>
      </c>
      <c r="K2934" t="s">
        <v>42630</v>
      </c>
      <c r="M2934" t="s">
        <v>44204</v>
      </c>
      <c r="N2934" t="s">
        <v>47304</v>
      </c>
      <c r="O2934" t="s">
        <v>47305</v>
      </c>
      <c r="P2934">
        <v>0</v>
      </c>
      <c r="Q2934">
        <v>1</v>
      </c>
      <c r="R2934" t="s">
        <v>47306</v>
      </c>
      <c r="S2934" t="s">
        <v>47414</v>
      </c>
      <c r="T2934" t="s">
        <v>49004</v>
      </c>
      <c r="U2934" t="s">
        <v>52101</v>
      </c>
      <c r="W2934" t="s">
        <v>44204</v>
      </c>
      <c r="X2934" t="s">
        <v>47308</v>
      </c>
    </row>
    <row r="2935" spans="1:24">
      <c r="A2935">
        <f>HYPERLINK("https://www.philgeps.gov.ph/GEPSNONPILOT/Tender/SplashBidNoticeAbstractUI.aspx?menuIndex=3&amp;refID=7195059&amp;Result=3","7195059")</f>
        <v>0</v>
      </c>
      <c r="B2935" t="s">
        <v>415</v>
      </c>
      <c r="C2935" t="s">
        <v>6661</v>
      </c>
      <c r="D2935" t="s">
        <v>19037</v>
      </c>
      <c r="E2935" t="s">
        <v>21748</v>
      </c>
      <c r="F2935" t="s">
        <v>32606</v>
      </c>
      <c r="G2935" t="s">
        <v>32614</v>
      </c>
      <c r="H2935" t="s">
        <v>32623</v>
      </c>
      <c r="I2935" t="s">
        <v>17648</v>
      </c>
      <c r="J2935" t="s">
        <v>34808</v>
      </c>
      <c r="K2935" t="s">
        <v>42697</v>
      </c>
      <c r="M2935" t="s">
        <v>44205</v>
      </c>
      <c r="N2935" t="s">
        <v>47304</v>
      </c>
      <c r="O2935" t="s">
        <v>47305</v>
      </c>
      <c r="P2935">
        <v>0</v>
      </c>
      <c r="Q2935">
        <v>1</v>
      </c>
      <c r="R2935" t="s">
        <v>47306</v>
      </c>
      <c r="S2935" t="s">
        <v>47414</v>
      </c>
      <c r="T2935" t="s">
        <v>49014</v>
      </c>
      <c r="U2935" t="s">
        <v>52102</v>
      </c>
      <c r="V2935" t="s">
        <v>62962</v>
      </c>
      <c r="W2935" t="s">
        <v>44205</v>
      </c>
      <c r="X2935" t="s">
        <v>47308</v>
      </c>
    </row>
    <row r="2936" spans="1:24">
      <c r="A2936">
        <f>HYPERLINK("https://www.philgeps.gov.ph/GEPSNONPILOT/Tender/SplashBidNoticeAbstractUI.aspx?menuIndex=3&amp;refID=7195057&amp;Result=3","7195057")</f>
        <v>0</v>
      </c>
      <c r="B2936" t="s">
        <v>1234</v>
      </c>
      <c r="C2936" t="s">
        <v>4615</v>
      </c>
      <c r="D2936" t="s">
        <v>19047</v>
      </c>
      <c r="E2936" t="s">
        <v>21749</v>
      </c>
      <c r="F2936" t="s">
        <v>32606</v>
      </c>
      <c r="G2936" t="s">
        <v>32614</v>
      </c>
      <c r="H2936" t="s">
        <v>14201</v>
      </c>
      <c r="I2936" t="s">
        <v>6931</v>
      </c>
      <c r="J2936" t="s">
        <v>34809</v>
      </c>
      <c r="K2936" t="s">
        <v>42623</v>
      </c>
      <c r="M2936" t="s">
        <v>44199</v>
      </c>
      <c r="N2936" t="s">
        <v>47304</v>
      </c>
      <c r="O2936" t="s">
        <v>47305</v>
      </c>
      <c r="P2936">
        <v>0</v>
      </c>
      <c r="Q2936">
        <v>0</v>
      </c>
      <c r="R2936" t="s">
        <v>47306</v>
      </c>
      <c r="S2936" t="s">
        <v>47414</v>
      </c>
      <c r="T2936" t="s">
        <v>49062</v>
      </c>
      <c r="U2936" t="s">
        <v>52103</v>
      </c>
      <c r="W2936" t="s">
        <v>44199</v>
      </c>
      <c r="X2936" t="s">
        <v>47308</v>
      </c>
    </row>
    <row r="2937" spans="1:24">
      <c r="A2937">
        <f>HYPERLINK("https://www.philgeps.gov.ph/GEPSNONPILOT/Tender/SplashBidNoticeAbstractUI.aspx?menuIndex=3&amp;refID=7195069&amp;Result=3","7195069")</f>
        <v>0</v>
      </c>
      <c r="B2937" t="s">
        <v>284</v>
      </c>
      <c r="C2937" t="s">
        <v>6662</v>
      </c>
      <c r="D2937" t="s">
        <v>19024</v>
      </c>
      <c r="E2937" t="s">
        <v>19522</v>
      </c>
      <c r="F2937" t="s">
        <v>32606</v>
      </c>
      <c r="G2937" t="s">
        <v>32619</v>
      </c>
      <c r="H2937" t="s">
        <v>14201</v>
      </c>
      <c r="I2937" t="s">
        <v>32665</v>
      </c>
      <c r="J2937" t="s">
        <v>32973</v>
      </c>
      <c r="K2937" t="s">
        <v>42630</v>
      </c>
      <c r="M2937" t="s">
        <v>43185</v>
      </c>
      <c r="N2937" t="s">
        <v>47304</v>
      </c>
      <c r="O2937" t="s">
        <v>47305</v>
      </c>
      <c r="P2937">
        <v>0</v>
      </c>
      <c r="Q2937">
        <v>0</v>
      </c>
      <c r="R2937" t="s">
        <v>47306</v>
      </c>
      <c r="S2937" t="s">
        <v>47414</v>
      </c>
      <c r="T2937" t="s">
        <v>49071</v>
      </c>
      <c r="U2937" t="s">
        <v>52104</v>
      </c>
      <c r="W2937" t="s">
        <v>43185</v>
      </c>
      <c r="X2937" t="s">
        <v>47308</v>
      </c>
    </row>
    <row r="2938" spans="1:24">
      <c r="A2938">
        <f>HYPERLINK("https://www.philgeps.gov.ph/GEPSNONPILOT/Tender/SplashBidNoticeAbstractUI.aspx?menuIndex=3&amp;refID=7195061&amp;Result=3","7195061")</f>
        <v>0</v>
      </c>
      <c r="B2938" t="s">
        <v>141</v>
      </c>
      <c r="C2938" t="s">
        <v>6663</v>
      </c>
      <c r="E2938" t="s">
        <v>21750</v>
      </c>
      <c r="F2938" t="s">
        <v>32606</v>
      </c>
      <c r="G2938" t="s">
        <v>32614</v>
      </c>
      <c r="H2938" t="s">
        <v>14201</v>
      </c>
      <c r="I2938" t="s">
        <v>4112</v>
      </c>
      <c r="J2938" t="s">
        <v>34131</v>
      </c>
      <c r="K2938" t="s">
        <v>42624</v>
      </c>
      <c r="M2938" t="s">
        <v>43042</v>
      </c>
      <c r="N2938" t="s">
        <v>47304</v>
      </c>
      <c r="O2938" t="s">
        <v>47305</v>
      </c>
      <c r="P2938">
        <v>0</v>
      </c>
      <c r="Q2938">
        <v>1</v>
      </c>
      <c r="R2938" t="s">
        <v>47306</v>
      </c>
      <c r="S2938" t="s">
        <v>47414</v>
      </c>
      <c r="T2938" t="s">
        <v>49004</v>
      </c>
      <c r="U2938" t="s">
        <v>49781</v>
      </c>
      <c r="W2938" t="s">
        <v>43042</v>
      </c>
      <c r="X2938" t="s">
        <v>47308</v>
      </c>
    </row>
    <row r="2939" spans="1:24">
      <c r="A2939">
        <f>HYPERLINK("https://www.philgeps.gov.ph/GEPSNONPILOT/Tender/SplashBidNoticeAbstractUI.aspx?menuIndex=3&amp;refID=7195064&amp;Result=3","7195064")</f>
        <v>0</v>
      </c>
      <c r="B2939" t="s">
        <v>1194</v>
      </c>
      <c r="C2939" t="s">
        <v>6664</v>
      </c>
      <c r="D2939" t="s">
        <v>19025</v>
      </c>
      <c r="E2939" t="s">
        <v>21751</v>
      </c>
      <c r="F2939" t="s">
        <v>32606</v>
      </c>
      <c r="G2939" t="s">
        <v>32619</v>
      </c>
      <c r="H2939" t="s">
        <v>14201</v>
      </c>
      <c r="I2939" t="s">
        <v>6298</v>
      </c>
      <c r="J2939" t="s">
        <v>33936</v>
      </c>
      <c r="K2939" t="s">
        <v>42630</v>
      </c>
      <c r="M2939" t="s">
        <v>44158</v>
      </c>
      <c r="N2939" t="s">
        <v>47304</v>
      </c>
      <c r="O2939" t="s">
        <v>47305</v>
      </c>
      <c r="P2939">
        <v>0</v>
      </c>
      <c r="Q2939">
        <v>0</v>
      </c>
      <c r="R2939" t="s">
        <v>47306</v>
      </c>
      <c r="S2939" t="s">
        <v>47414</v>
      </c>
      <c r="T2939" t="s">
        <v>48980</v>
      </c>
      <c r="U2939" t="s">
        <v>52105</v>
      </c>
      <c r="W2939" t="s">
        <v>44158</v>
      </c>
      <c r="X2939" t="s">
        <v>47308</v>
      </c>
    </row>
    <row r="2940" spans="1:24">
      <c r="A2940">
        <f>HYPERLINK("https://www.philgeps.gov.ph/GEPSNONPILOT/Tender/SplashBidNoticeAbstractUI.aspx?menuIndex=3&amp;refID=7195073&amp;Result=3","7195073")</f>
        <v>0</v>
      </c>
      <c r="B2940" t="s">
        <v>1228</v>
      </c>
      <c r="C2940" t="s">
        <v>6665</v>
      </c>
      <c r="D2940" t="s">
        <v>19048</v>
      </c>
      <c r="E2940" t="s">
        <v>21752</v>
      </c>
      <c r="F2940" t="s">
        <v>32606</v>
      </c>
      <c r="G2940" t="s">
        <v>32619</v>
      </c>
      <c r="H2940" t="s">
        <v>14201</v>
      </c>
      <c r="I2940" t="s">
        <v>17648</v>
      </c>
      <c r="J2940" t="s">
        <v>34810</v>
      </c>
      <c r="K2940" t="s">
        <v>42632</v>
      </c>
      <c r="M2940" t="s">
        <v>44193</v>
      </c>
      <c r="N2940" t="s">
        <v>47304</v>
      </c>
      <c r="O2940" t="s">
        <v>47305</v>
      </c>
      <c r="P2940">
        <v>0</v>
      </c>
      <c r="Q2940">
        <v>0</v>
      </c>
      <c r="R2940" t="s">
        <v>47306</v>
      </c>
      <c r="S2940" t="s">
        <v>47414</v>
      </c>
      <c r="T2940" t="s">
        <v>49014</v>
      </c>
      <c r="U2940" t="s">
        <v>52106</v>
      </c>
      <c r="W2940" t="s">
        <v>44193</v>
      </c>
      <c r="X2940" t="s">
        <v>47308</v>
      </c>
    </row>
    <row r="2941" spans="1:24">
      <c r="A2941">
        <f>HYPERLINK("https://www.philgeps.gov.ph/GEPSNONPILOT/Tender/SplashBidNoticeAbstractUI.aspx?menuIndex=3&amp;refID=7195060&amp;Result=3","7195060")</f>
        <v>0</v>
      </c>
      <c r="B2941" t="s">
        <v>1213</v>
      </c>
      <c r="C2941" t="s">
        <v>6666</v>
      </c>
      <c r="D2941" t="s">
        <v>19019</v>
      </c>
      <c r="E2941" t="s">
        <v>21753</v>
      </c>
      <c r="F2941" t="s">
        <v>32606</v>
      </c>
      <c r="G2941" t="s">
        <v>32613</v>
      </c>
      <c r="H2941" t="s">
        <v>14201</v>
      </c>
      <c r="I2941" t="s">
        <v>6931</v>
      </c>
      <c r="J2941" t="s">
        <v>34811</v>
      </c>
      <c r="K2941" t="s">
        <v>42624</v>
      </c>
      <c r="M2941" t="s">
        <v>44178</v>
      </c>
      <c r="N2941" t="s">
        <v>47304</v>
      </c>
      <c r="O2941" t="s">
        <v>47305</v>
      </c>
      <c r="P2941">
        <v>0</v>
      </c>
      <c r="Q2941">
        <v>0</v>
      </c>
      <c r="R2941" t="s">
        <v>47306</v>
      </c>
      <c r="S2941" t="s">
        <v>47414</v>
      </c>
      <c r="T2941" t="s">
        <v>49040</v>
      </c>
      <c r="U2941" t="s">
        <v>52046</v>
      </c>
      <c r="W2941" t="s">
        <v>44178</v>
      </c>
      <c r="X2941" t="s">
        <v>47308</v>
      </c>
    </row>
    <row r="2942" spans="1:24">
      <c r="A2942">
        <f>HYPERLINK("https://www.philgeps.gov.ph/GEPSNONPILOT/Tender/SplashBidNoticeAbstractUI.aspx?menuIndex=3&amp;refID=7195078&amp;Result=3","7195078")</f>
        <v>0</v>
      </c>
      <c r="B2942" t="s">
        <v>1240</v>
      </c>
      <c r="C2942" t="s">
        <v>6667</v>
      </c>
      <c r="D2942" t="s">
        <v>19008</v>
      </c>
      <c r="E2942" t="s">
        <v>21754</v>
      </c>
      <c r="F2942" t="s">
        <v>32606</v>
      </c>
      <c r="G2942" t="s">
        <v>32613</v>
      </c>
      <c r="H2942" t="s">
        <v>14201</v>
      </c>
      <c r="I2942" t="s">
        <v>4369</v>
      </c>
      <c r="J2942" t="s">
        <v>34812</v>
      </c>
      <c r="K2942" t="s">
        <v>42639</v>
      </c>
      <c r="M2942" t="s">
        <v>44206</v>
      </c>
      <c r="N2942" t="s">
        <v>47304</v>
      </c>
      <c r="O2942" t="s">
        <v>47305</v>
      </c>
      <c r="P2942">
        <v>0</v>
      </c>
      <c r="Q2942">
        <v>9</v>
      </c>
      <c r="R2942" t="s">
        <v>47306</v>
      </c>
      <c r="S2942" t="s">
        <v>47414</v>
      </c>
      <c r="T2942" t="s">
        <v>49009</v>
      </c>
      <c r="U2942" t="s">
        <v>52107</v>
      </c>
      <c r="V2942" t="s">
        <v>62963</v>
      </c>
      <c r="W2942" t="s">
        <v>44206</v>
      </c>
      <c r="X2942" t="s">
        <v>47308</v>
      </c>
    </row>
    <row r="2943" spans="1:24">
      <c r="A2943">
        <f>HYPERLINK("https://www.philgeps.gov.ph/GEPSNONPILOT/Tender/SplashBidNoticeAbstractUI.aspx?menuIndex=3&amp;refID=7195086&amp;Result=3","7195086")</f>
        <v>0</v>
      </c>
      <c r="B2943" t="s">
        <v>895</v>
      </c>
      <c r="C2943" t="s">
        <v>6668</v>
      </c>
      <c r="D2943" t="s">
        <v>18993</v>
      </c>
      <c r="E2943" t="s">
        <v>21755</v>
      </c>
      <c r="F2943" t="s">
        <v>32606</v>
      </c>
      <c r="G2943" t="s">
        <v>32619</v>
      </c>
      <c r="H2943" t="s">
        <v>14201</v>
      </c>
      <c r="I2943" t="s">
        <v>4120</v>
      </c>
      <c r="J2943" t="s">
        <v>33770</v>
      </c>
      <c r="K2943" t="s">
        <v>42624</v>
      </c>
      <c r="M2943" t="s">
        <v>43831</v>
      </c>
      <c r="N2943" t="s">
        <v>47304</v>
      </c>
      <c r="O2943" t="s">
        <v>47305</v>
      </c>
      <c r="P2943">
        <v>0</v>
      </c>
      <c r="Q2943">
        <v>1</v>
      </c>
      <c r="R2943" t="s">
        <v>47306</v>
      </c>
      <c r="S2943" t="s">
        <v>47414</v>
      </c>
      <c r="T2943" t="s">
        <v>49014</v>
      </c>
      <c r="U2943" t="s">
        <v>52108</v>
      </c>
      <c r="W2943" t="s">
        <v>43831</v>
      </c>
      <c r="X2943" t="s">
        <v>47308</v>
      </c>
    </row>
    <row r="2944" spans="1:24">
      <c r="A2944">
        <f>HYPERLINK("https://www.philgeps.gov.ph/GEPSNONPILOT/Tender/SplashBidNoticeAbstractUI.aspx?menuIndex=3&amp;refID=7195092&amp;Result=3","7195092")</f>
        <v>0</v>
      </c>
      <c r="B2944" t="s">
        <v>1228</v>
      </c>
      <c r="C2944" t="s">
        <v>6669</v>
      </c>
      <c r="D2944" t="s">
        <v>19048</v>
      </c>
      <c r="E2944" t="s">
        <v>21756</v>
      </c>
      <c r="F2944" t="s">
        <v>32606</v>
      </c>
      <c r="G2944" t="s">
        <v>32619</v>
      </c>
      <c r="H2944" t="s">
        <v>14201</v>
      </c>
      <c r="I2944" t="s">
        <v>6931</v>
      </c>
      <c r="J2944" t="s">
        <v>34813</v>
      </c>
      <c r="K2944" t="s">
        <v>42632</v>
      </c>
      <c r="M2944" t="s">
        <v>44193</v>
      </c>
      <c r="N2944" t="s">
        <v>47304</v>
      </c>
      <c r="O2944" t="s">
        <v>47305</v>
      </c>
      <c r="P2944">
        <v>0</v>
      </c>
      <c r="Q2944">
        <v>0</v>
      </c>
      <c r="R2944" t="s">
        <v>47306</v>
      </c>
      <c r="S2944" t="s">
        <v>47414</v>
      </c>
      <c r="T2944" t="s">
        <v>49014</v>
      </c>
      <c r="U2944" t="s">
        <v>52109</v>
      </c>
      <c r="W2944" t="s">
        <v>44193</v>
      </c>
      <c r="X2944" t="s">
        <v>47308</v>
      </c>
    </row>
    <row r="2945" spans="1:24">
      <c r="A2945">
        <f>HYPERLINK("https://www.philgeps.gov.ph/GEPSNONPILOT/Tender/SplashBidNoticeAbstractUI.aspx?menuIndex=3&amp;refID=7195085&amp;Result=3","7195085")</f>
        <v>0</v>
      </c>
      <c r="B2945" t="s">
        <v>1196</v>
      </c>
      <c r="C2945" t="s">
        <v>6670</v>
      </c>
      <c r="D2945" t="s">
        <v>19010</v>
      </c>
      <c r="E2945" t="s">
        <v>21639</v>
      </c>
      <c r="F2945" t="s">
        <v>32607</v>
      </c>
      <c r="G2945" t="s">
        <v>32613</v>
      </c>
      <c r="H2945" t="s">
        <v>32623</v>
      </c>
      <c r="I2945" t="s">
        <v>17648</v>
      </c>
      <c r="J2945" t="s">
        <v>34728</v>
      </c>
      <c r="K2945" t="s">
        <v>42654</v>
      </c>
      <c r="L2945" t="s">
        <v>1196</v>
      </c>
      <c r="M2945" t="s">
        <v>44160</v>
      </c>
      <c r="N2945" t="s">
        <v>47304</v>
      </c>
      <c r="O2945" t="s">
        <v>47305</v>
      </c>
      <c r="P2945">
        <v>0</v>
      </c>
      <c r="Q2945">
        <v>0</v>
      </c>
      <c r="R2945" t="s">
        <v>47306</v>
      </c>
      <c r="S2945" t="s">
        <v>47414</v>
      </c>
      <c r="T2945" t="s">
        <v>48973</v>
      </c>
      <c r="U2945" t="s">
        <v>52110</v>
      </c>
      <c r="W2945" t="s">
        <v>44160</v>
      </c>
      <c r="X2945" t="s">
        <v>47308</v>
      </c>
    </row>
    <row r="2946" spans="1:24">
      <c r="A2946">
        <f>HYPERLINK("https://www.philgeps.gov.ph/GEPSNONPILOT/Tender/SplashBidNoticeAbstractUI.aspx?menuIndex=3&amp;refID=7195084&amp;Result=3","7195084")</f>
        <v>0</v>
      </c>
      <c r="B2946" t="s">
        <v>321</v>
      </c>
      <c r="C2946" t="s">
        <v>6671</v>
      </c>
      <c r="D2946" t="s">
        <v>19048</v>
      </c>
      <c r="E2946" t="s">
        <v>21757</v>
      </c>
      <c r="F2946" t="s">
        <v>32606</v>
      </c>
      <c r="G2946" t="s">
        <v>32614</v>
      </c>
      <c r="H2946" t="s">
        <v>14201</v>
      </c>
      <c r="I2946" t="s">
        <v>32720</v>
      </c>
      <c r="J2946" t="s">
        <v>32995</v>
      </c>
      <c r="K2946" t="s">
        <v>42624</v>
      </c>
      <c r="M2946" t="s">
        <v>43223</v>
      </c>
      <c r="N2946" t="s">
        <v>47304</v>
      </c>
      <c r="O2946" t="s">
        <v>47305</v>
      </c>
      <c r="P2946">
        <v>0</v>
      </c>
      <c r="Q2946">
        <v>1</v>
      </c>
      <c r="R2946" t="s">
        <v>47306</v>
      </c>
      <c r="S2946" t="s">
        <v>47414</v>
      </c>
      <c r="T2946" t="s">
        <v>49061</v>
      </c>
      <c r="U2946" t="s">
        <v>50107</v>
      </c>
      <c r="W2946" t="s">
        <v>43223</v>
      </c>
      <c r="X2946" t="s">
        <v>47308</v>
      </c>
    </row>
    <row r="2947" spans="1:24">
      <c r="A2947">
        <f>HYPERLINK("https://www.philgeps.gov.ph/GEPSNONPILOT/Tender/SplashBidNoticeAbstractUI.aspx?menuIndex=3&amp;refID=7195083&amp;Result=3","7195083")</f>
        <v>0</v>
      </c>
      <c r="B2947" t="s">
        <v>1230</v>
      </c>
      <c r="C2947" t="s">
        <v>6672</v>
      </c>
      <c r="D2947" t="s">
        <v>19024</v>
      </c>
      <c r="E2947" t="s">
        <v>19522</v>
      </c>
      <c r="F2947" t="s">
        <v>32606</v>
      </c>
      <c r="G2947" t="s">
        <v>32619</v>
      </c>
      <c r="H2947" t="s">
        <v>14201</v>
      </c>
      <c r="I2947" t="s">
        <v>6298</v>
      </c>
      <c r="J2947" t="s">
        <v>32913</v>
      </c>
      <c r="K2947" t="s">
        <v>42630</v>
      </c>
      <c r="M2947" t="s">
        <v>44195</v>
      </c>
      <c r="N2947" t="s">
        <v>47304</v>
      </c>
      <c r="O2947" t="s">
        <v>47305</v>
      </c>
      <c r="P2947">
        <v>0</v>
      </c>
      <c r="Q2947">
        <v>0</v>
      </c>
      <c r="R2947" t="s">
        <v>47306</v>
      </c>
      <c r="S2947" t="s">
        <v>47414</v>
      </c>
      <c r="T2947" t="s">
        <v>49071</v>
      </c>
      <c r="U2947" t="s">
        <v>52111</v>
      </c>
      <c r="W2947" t="s">
        <v>44195</v>
      </c>
      <c r="X2947" t="s">
        <v>47308</v>
      </c>
    </row>
    <row r="2948" spans="1:24">
      <c r="A2948">
        <f>HYPERLINK("https://www.philgeps.gov.ph/GEPSNONPILOT/Tender/SplashBidNoticeAbstractUI.aspx?menuIndex=3&amp;refID=7195082&amp;Result=3","7195082")</f>
        <v>0</v>
      </c>
      <c r="B2948" t="s">
        <v>1194</v>
      </c>
      <c r="C2948" t="s">
        <v>6673</v>
      </c>
      <c r="D2948" t="s">
        <v>19025</v>
      </c>
      <c r="E2948" t="s">
        <v>21758</v>
      </c>
      <c r="F2948" t="s">
        <v>32606</v>
      </c>
      <c r="G2948" t="s">
        <v>32619</v>
      </c>
      <c r="H2948" t="s">
        <v>14201</v>
      </c>
      <c r="I2948" t="s">
        <v>32640</v>
      </c>
      <c r="J2948" t="s">
        <v>33030</v>
      </c>
      <c r="K2948" t="s">
        <v>42630</v>
      </c>
      <c r="M2948" t="s">
        <v>44158</v>
      </c>
      <c r="N2948" t="s">
        <v>47304</v>
      </c>
      <c r="O2948" t="s">
        <v>47305</v>
      </c>
      <c r="P2948">
        <v>0</v>
      </c>
      <c r="Q2948">
        <v>1</v>
      </c>
      <c r="R2948" t="s">
        <v>47306</v>
      </c>
      <c r="S2948" t="s">
        <v>47414</v>
      </c>
      <c r="T2948" t="s">
        <v>48980</v>
      </c>
      <c r="U2948" t="s">
        <v>52112</v>
      </c>
      <c r="W2948" t="s">
        <v>44158</v>
      </c>
      <c r="X2948" t="s">
        <v>47308</v>
      </c>
    </row>
    <row r="2949" spans="1:24">
      <c r="A2949">
        <f>HYPERLINK("https://www.philgeps.gov.ph/GEPSNONPILOT/Tender/SplashBidNoticeAbstractUI.aspx?menuIndex=3&amp;refID=7195080&amp;Result=3","7195080")</f>
        <v>0</v>
      </c>
      <c r="B2949" t="s">
        <v>328</v>
      </c>
      <c r="C2949" t="s">
        <v>6674</v>
      </c>
      <c r="D2949" t="s">
        <v>19028</v>
      </c>
      <c r="E2949" t="s">
        <v>21759</v>
      </c>
      <c r="F2949" t="s">
        <v>32606</v>
      </c>
      <c r="G2949" t="s">
        <v>32614</v>
      </c>
      <c r="H2949" t="s">
        <v>14201</v>
      </c>
      <c r="I2949" t="s">
        <v>7233</v>
      </c>
      <c r="J2949" t="s">
        <v>34814</v>
      </c>
      <c r="K2949" t="s">
        <v>42631</v>
      </c>
      <c r="M2949" t="s">
        <v>43230</v>
      </c>
      <c r="N2949" t="s">
        <v>47304</v>
      </c>
      <c r="O2949" t="s">
        <v>47305</v>
      </c>
      <c r="P2949">
        <v>0</v>
      </c>
      <c r="Q2949">
        <v>0</v>
      </c>
      <c r="R2949" t="s">
        <v>47306</v>
      </c>
      <c r="S2949" t="s">
        <v>47414</v>
      </c>
      <c r="T2949" t="s">
        <v>48979</v>
      </c>
      <c r="U2949" t="s">
        <v>52113</v>
      </c>
      <c r="W2949" t="s">
        <v>43230</v>
      </c>
      <c r="X2949" t="s">
        <v>47308</v>
      </c>
    </row>
    <row r="2950" spans="1:24">
      <c r="A2950">
        <f>HYPERLINK("https://www.philgeps.gov.ph/GEPSNONPILOT/Tender/SplashBidNoticeAbstractUI.aspx?menuIndex=3&amp;refID=7195106&amp;Result=3","7195106")</f>
        <v>0</v>
      </c>
      <c r="B2950" t="s">
        <v>466</v>
      </c>
      <c r="C2950" t="s">
        <v>4734</v>
      </c>
      <c r="D2950" t="s">
        <v>19022</v>
      </c>
      <c r="E2950" t="s">
        <v>21760</v>
      </c>
      <c r="F2950" t="s">
        <v>32606</v>
      </c>
      <c r="G2950" t="s">
        <v>32614</v>
      </c>
      <c r="H2950" t="s">
        <v>14201</v>
      </c>
      <c r="I2950" t="s">
        <v>4112</v>
      </c>
      <c r="J2950" t="s">
        <v>34815</v>
      </c>
      <c r="K2950" t="s">
        <v>42623</v>
      </c>
      <c r="M2950" t="s">
        <v>43377</v>
      </c>
      <c r="N2950" t="s">
        <v>47304</v>
      </c>
      <c r="O2950" t="s">
        <v>47305</v>
      </c>
      <c r="P2950">
        <v>0</v>
      </c>
      <c r="Q2950">
        <v>0</v>
      </c>
      <c r="R2950" t="s">
        <v>47306</v>
      </c>
      <c r="S2950" t="s">
        <v>47414</v>
      </c>
      <c r="T2950" t="s">
        <v>49011</v>
      </c>
      <c r="U2950" t="s">
        <v>50375</v>
      </c>
      <c r="W2950" t="s">
        <v>43377</v>
      </c>
      <c r="X2950" t="s">
        <v>47308</v>
      </c>
    </row>
    <row r="2951" spans="1:24">
      <c r="A2951">
        <f>HYPERLINK("https://www.philgeps.gov.ph/GEPSNONPILOT/Tender/SplashBidNoticeAbstractUI.aspx?menuIndex=3&amp;refID=7195088&amp;Result=3","7195088")</f>
        <v>0</v>
      </c>
      <c r="B2951" t="s">
        <v>1241</v>
      </c>
      <c r="C2951" t="s">
        <v>4758</v>
      </c>
      <c r="D2951" t="s">
        <v>18993</v>
      </c>
      <c r="E2951" t="s">
        <v>21761</v>
      </c>
      <c r="F2951" t="s">
        <v>32606</v>
      </c>
      <c r="G2951" t="s">
        <v>32614</v>
      </c>
      <c r="H2951" t="s">
        <v>14201</v>
      </c>
      <c r="I2951" t="s">
        <v>4120</v>
      </c>
      <c r="J2951" t="s">
        <v>34816</v>
      </c>
      <c r="K2951" t="s">
        <v>42624</v>
      </c>
      <c r="M2951" t="s">
        <v>44207</v>
      </c>
      <c r="N2951" t="s">
        <v>47304</v>
      </c>
      <c r="O2951" t="s">
        <v>47305</v>
      </c>
      <c r="P2951">
        <v>0</v>
      </c>
      <c r="Q2951">
        <v>5</v>
      </c>
      <c r="R2951" t="s">
        <v>47306</v>
      </c>
      <c r="S2951" t="s">
        <v>47414</v>
      </c>
      <c r="T2951" t="s">
        <v>48986</v>
      </c>
      <c r="U2951" t="s">
        <v>52114</v>
      </c>
      <c r="W2951" t="s">
        <v>44207</v>
      </c>
      <c r="X2951" t="s">
        <v>47308</v>
      </c>
    </row>
    <row r="2952" spans="1:24">
      <c r="A2952">
        <f>HYPERLINK("https://www.philgeps.gov.ph/GEPSNONPILOT/Tender/SplashBidNoticeAbstractUI.aspx?menuIndex=3&amp;refID=7195105&amp;Result=3","7195105")</f>
        <v>0</v>
      </c>
      <c r="B2952" t="s">
        <v>974</v>
      </c>
      <c r="C2952" t="s">
        <v>6675</v>
      </c>
      <c r="D2952" t="s">
        <v>19037</v>
      </c>
      <c r="E2952" t="s">
        <v>21762</v>
      </c>
      <c r="F2952" t="s">
        <v>32606</v>
      </c>
      <c r="G2952" t="s">
        <v>32613</v>
      </c>
      <c r="H2952" t="s">
        <v>32623</v>
      </c>
      <c r="I2952" t="s">
        <v>17648</v>
      </c>
      <c r="J2952" t="s">
        <v>32772</v>
      </c>
      <c r="K2952" t="s">
        <v>42636</v>
      </c>
      <c r="M2952" t="s">
        <v>43920</v>
      </c>
      <c r="N2952" t="s">
        <v>47304</v>
      </c>
      <c r="O2952" t="s">
        <v>47305</v>
      </c>
      <c r="P2952">
        <v>0</v>
      </c>
      <c r="Q2952">
        <v>0</v>
      </c>
      <c r="R2952" t="s">
        <v>47306</v>
      </c>
      <c r="S2952" t="s">
        <v>47414</v>
      </c>
      <c r="T2952" t="s">
        <v>49094</v>
      </c>
      <c r="U2952" t="s">
        <v>52115</v>
      </c>
      <c r="W2952" t="s">
        <v>43920</v>
      </c>
      <c r="X2952" t="s">
        <v>47308</v>
      </c>
    </row>
    <row r="2953" spans="1:24">
      <c r="A2953">
        <f>HYPERLINK("https://www.philgeps.gov.ph/GEPSNONPILOT/Tender/SplashBidNoticeAbstractUI.aspx?menuIndex=3&amp;refID=7195101&amp;Result=3","7195101")</f>
        <v>0</v>
      </c>
      <c r="B2953" t="s">
        <v>228</v>
      </c>
      <c r="C2953" t="s">
        <v>6676</v>
      </c>
      <c r="D2953" t="s">
        <v>19030</v>
      </c>
      <c r="E2953" t="s">
        <v>21763</v>
      </c>
      <c r="F2953" t="s">
        <v>32606</v>
      </c>
      <c r="G2953" t="s">
        <v>32613</v>
      </c>
      <c r="H2953" t="s">
        <v>32623</v>
      </c>
      <c r="I2953" t="s">
        <v>17648</v>
      </c>
      <c r="J2953" t="s">
        <v>33039</v>
      </c>
      <c r="K2953" t="s">
        <v>42646</v>
      </c>
      <c r="M2953" t="s">
        <v>43129</v>
      </c>
      <c r="N2953" t="s">
        <v>47304</v>
      </c>
      <c r="O2953" t="s">
        <v>47305</v>
      </c>
      <c r="P2953">
        <v>0</v>
      </c>
      <c r="Q2953">
        <v>1</v>
      </c>
      <c r="R2953" t="s">
        <v>47306</v>
      </c>
      <c r="S2953" t="s">
        <v>47414</v>
      </c>
      <c r="T2953" t="s">
        <v>49009</v>
      </c>
      <c r="U2953" t="s">
        <v>52116</v>
      </c>
      <c r="W2953" t="s">
        <v>43129</v>
      </c>
      <c r="X2953" t="s">
        <v>47308</v>
      </c>
    </row>
    <row r="2954" spans="1:24">
      <c r="A2954">
        <f>HYPERLINK("https://www.philgeps.gov.ph/GEPSNONPILOT/Tender/SplashBidNoticeAbstractUI.aspx?menuIndex=3&amp;refID=7195100&amp;Result=3","7195100")</f>
        <v>0</v>
      </c>
      <c r="B2954" t="s">
        <v>1206</v>
      </c>
      <c r="C2954" t="s">
        <v>6677</v>
      </c>
      <c r="D2954" t="s">
        <v>19010</v>
      </c>
      <c r="E2954" t="s">
        <v>21764</v>
      </c>
      <c r="F2954" t="s">
        <v>32606</v>
      </c>
      <c r="G2954" t="s">
        <v>32614</v>
      </c>
      <c r="H2954" t="s">
        <v>14201</v>
      </c>
      <c r="I2954" t="s">
        <v>32641</v>
      </c>
      <c r="J2954" t="s">
        <v>34817</v>
      </c>
      <c r="K2954" t="s">
        <v>42631</v>
      </c>
      <c r="M2954" t="s">
        <v>44170</v>
      </c>
      <c r="N2954" t="s">
        <v>47304</v>
      </c>
      <c r="O2954" t="s">
        <v>47305</v>
      </c>
      <c r="P2954">
        <v>0</v>
      </c>
      <c r="Q2954">
        <v>0</v>
      </c>
      <c r="R2954" t="s">
        <v>47306</v>
      </c>
      <c r="S2954" t="s">
        <v>47414</v>
      </c>
      <c r="T2954" t="s">
        <v>49014</v>
      </c>
      <c r="U2954" t="s">
        <v>52117</v>
      </c>
      <c r="W2954" t="s">
        <v>44170</v>
      </c>
      <c r="X2954" t="s">
        <v>47308</v>
      </c>
    </row>
    <row r="2955" spans="1:24">
      <c r="A2955">
        <f>HYPERLINK("https://www.philgeps.gov.ph/GEPSNONPILOT/Tender/SplashBidNoticeAbstractUI.aspx?menuIndex=3&amp;refID=7195098&amp;Result=3","7195098")</f>
        <v>0</v>
      </c>
      <c r="B2955" t="s">
        <v>67</v>
      </c>
      <c r="C2955" t="s">
        <v>6678</v>
      </c>
      <c r="D2955" t="s">
        <v>19012</v>
      </c>
      <c r="E2955" t="s">
        <v>21765</v>
      </c>
      <c r="F2955" t="s">
        <v>32606</v>
      </c>
      <c r="G2955" t="s">
        <v>32614</v>
      </c>
      <c r="H2955" t="s">
        <v>14201</v>
      </c>
      <c r="I2955" t="s">
        <v>6993</v>
      </c>
      <c r="J2955" t="s">
        <v>32981</v>
      </c>
      <c r="K2955" t="s">
        <v>42623</v>
      </c>
      <c r="M2955" t="s">
        <v>42964</v>
      </c>
      <c r="N2955" t="s">
        <v>47304</v>
      </c>
      <c r="O2955" t="s">
        <v>47305</v>
      </c>
      <c r="P2955">
        <v>0</v>
      </c>
      <c r="Q2955">
        <v>1</v>
      </c>
      <c r="R2955" t="s">
        <v>47306</v>
      </c>
      <c r="S2955" t="s">
        <v>47414</v>
      </c>
      <c r="T2955" t="s">
        <v>49004</v>
      </c>
      <c r="U2955" t="s">
        <v>52118</v>
      </c>
      <c r="W2955" t="s">
        <v>42964</v>
      </c>
      <c r="X2955" t="s">
        <v>47308</v>
      </c>
    </row>
    <row r="2956" spans="1:24">
      <c r="A2956">
        <f>HYPERLINK("https://www.philgeps.gov.ph/GEPSNONPILOT/Tender/SplashBidNoticeAbstractUI.aspx?menuIndex=3&amp;refID=7195107&amp;Result=3","7195107")</f>
        <v>0</v>
      </c>
      <c r="B2956" t="s">
        <v>386</v>
      </c>
      <c r="C2956" t="s">
        <v>6679</v>
      </c>
      <c r="D2956" t="s">
        <v>19028</v>
      </c>
      <c r="E2956" t="s">
        <v>21766</v>
      </c>
      <c r="F2956" t="s">
        <v>32606</v>
      </c>
      <c r="G2956" t="s">
        <v>32613</v>
      </c>
      <c r="H2956" t="s">
        <v>32623</v>
      </c>
      <c r="I2956" t="s">
        <v>17648</v>
      </c>
      <c r="J2956" t="s">
        <v>34818</v>
      </c>
      <c r="K2956" t="s">
        <v>42657</v>
      </c>
      <c r="M2956" t="s">
        <v>43289</v>
      </c>
      <c r="N2956" t="s">
        <v>47304</v>
      </c>
      <c r="O2956" t="s">
        <v>47305</v>
      </c>
      <c r="P2956">
        <v>0</v>
      </c>
      <c r="Q2956">
        <v>1</v>
      </c>
      <c r="R2956" t="s">
        <v>47306</v>
      </c>
      <c r="S2956" t="s">
        <v>47414</v>
      </c>
      <c r="T2956" t="s">
        <v>49041</v>
      </c>
      <c r="U2956" t="s">
        <v>52119</v>
      </c>
      <c r="W2956" t="s">
        <v>43289</v>
      </c>
      <c r="X2956" t="s">
        <v>47308</v>
      </c>
    </row>
    <row r="2957" spans="1:24">
      <c r="A2957">
        <f>HYPERLINK("https://www.philgeps.gov.ph/GEPSNONPILOT/Tender/SplashBidNoticeAbstractUI.aspx?menuIndex=3&amp;refID=7195121&amp;Result=3","7195121")</f>
        <v>0</v>
      </c>
      <c r="B2957" t="s">
        <v>733</v>
      </c>
      <c r="C2957" t="s">
        <v>6680</v>
      </c>
      <c r="D2957" t="s">
        <v>19010</v>
      </c>
      <c r="E2957" t="s">
        <v>21767</v>
      </c>
      <c r="F2957" t="s">
        <v>32606</v>
      </c>
      <c r="G2957" t="s">
        <v>32614</v>
      </c>
      <c r="H2957" t="s">
        <v>14201</v>
      </c>
      <c r="I2957" t="s">
        <v>6298</v>
      </c>
      <c r="J2957" t="s">
        <v>34819</v>
      </c>
      <c r="K2957" t="s">
        <v>42624</v>
      </c>
      <c r="M2957" t="s">
        <v>43655</v>
      </c>
      <c r="N2957" t="s">
        <v>47304</v>
      </c>
      <c r="O2957" t="s">
        <v>47305</v>
      </c>
      <c r="P2957">
        <v>0</v>
      </c>
      <c r="Q2957">
        <v>0</v>
      </c>
      <c r="R2957" t="s">
        <v>47306</v>
      </c>
      <c r="S2957" t="s">
        <v>47414</v>
      </c>
      <c r="T2957" t="s">
        <v>49004</v>
      </c>
      <c r="U2957" t="s">
        <v>50865</v>
      </c>
      <c r="W2957" t="s">
        <v>43655</v>
      </c>
      <c r="X2957" t="s">
        <v>47308</v>
      </c>
    </row>
    <row r="2958" spans="1:24">
      <c r="A2958">
        <f>HYPERLINK("https://www.philgeps.gov.ph/GEPSNONPILOT/Tender/SplashBidNoticeAbstractUI.aspx?menuIndex=3&amp;refID=7195096&amp;Result=3","7195096")</f>
        <v>0</v>
      </c>
      <c r="B2958" t="s">
        <v>235</v>
      </c>
      <c r="C2958" t="s">
        <v>6681</v>
      </c>
      <c r="D2958" t="s">
        <v>19001</v>
      </c>
      <c r="E2958" t="s">
        <v>21768</v>
      </c>
      <c r="F2958" t="s">
        <v>32606</v>
      </c>
      <c r="G2958" t="s">
        <v>32614</v>
      </c>
      <c r="H2958" t="s">
        <v>14201</v>
      </c>
      <c r="I2958" t="s">
        <v>32634</v>
      </c>
      <c r="J2958" t="s">
        <v>32813</v>
      </c>
      <c r="K2958" t="s">
        <v>42623</v>
      </c>
      <c r="M2958" t="s">
        <v>43136</v>
      </c>
      <c r="N2958" t="s">
        <v>47304</v>
      </c>
      <c r="O2958" t="s">
        <v>47305</v>
      </c>
      <c r="P2958">
        <v>0</v>
      </c>
      <c r="Q2958">
        <v>0</v>
      </c>
      <c r="R2958" t="s">
        <v>47306</v>
      </c>
      <c r="S2958" t="s">
        <v>47414</v>
      </c>
      <c r="T2958" t="s">
        <v>49067</v>
      </c>
      <c r="U2958" t="s">
        <v>52120</v>
      </c>
      <c r="V2958" t="s">
        <v>62959</v>
      </c>
      <c r="W2958" t="s">
        <v>43136</v>
      </c>
      <c r="X2958" t="s">
        <v>47308</v>
      </c>
    </row>
    <row r="2959" spans="1:24">
      <c r="A2959">
        <f>HYPERLINK("https://www.philgeps.gov.ph/GEPSNONPILOT/Tender/SplashBidNoticeAbstractUI.aspx?menuIndex=3&amp;refID=7195118&amp;Result=3","7195118")</f>
        <v>0</v>
      </c>
      <c r="B2959" t="s">
        <v>1228</v>
      </c>
      <c r="C2959" t="s">
        <v>6682</v>
      </c>
      <c r="D2959" t="s">
        <v>19048</v>
      </c>
      <c r="E2959" t="s">
        <v>21769</v>
      </c>
      <c r="F2959" t="s">
        <v>32606</v>
      </c>
      <c r="G2959" t="s">
        <v>32619</v>
      </c>
      <c r="H2959" t="s">
        <v>14201</v>
      </c>
      <c r="I2959" t="s">
        <v>6931</v>
      </c>
      <c r="J2959" t="s">
        <v>34820</v>
      </c>
      <c r="K2959" t="s">
        <v>42632</v>
      </c>
      <c r="M2959" t="s">
        <v>44193</v>
      </c>
      <c r="N2959" t="s">
        <v>47304</v>
      </c>
      <c r="O2959" t="s">
        <v>47305</v>
      </c>
      <c r="P2959">
        <v>0</v>
      </c>
      <c r="Q2959">
        <v>0</v>
      </c>
      <c r="R2959" t="s">
        <v>47306</v>
      </c>
      <c r="S2959" t="s">
        <v>47414</v>
      </c>
      <c r="T2959" t="s">
        <v>49014</v>
      </c>
      <c r="U2959" t="s">
        <v>52121</v>
      </c>
      <c r="W2959" t="s">
        <v>44193</v>
      </c>
      <c r="X2959" t="s">
        <v>47308</v>
      </c>
    </row>
    <row r="2960" spans="1:24">
      <c r="A2960">
        <f>HYPERLINK("https://www.philgeps.gov.ph/GEPSNONPILOT/Tender/SplashBidNoticeAbstractUI.aspx?menuIndex=3&amp;refID=7195117&amp;Result=3","7195117")</f>
        <v>0</v>
      </c>
      <c r="B2960" t="s">
        <v>67</v>
      </c>
      <c r="C2960" t="s">
        <v>6683</v>
      </c>
      <c r="D2960" t="s">
        <v>19012</v>
      </c>
      <c r="E2960" t="s">
        <v>21770</v>
      </c>
      <c r="F2960" t="s">
        <v>32606</v>
      </c>
      <c r="G2960" t="s">
        <v>32614</v>
      </c>
      <c r="H2960" t="s">
        <v>14201</v>
      </c>
      <c r="I2960" t="s">
        <v>6993</v>
      </c>
      <c r="J2960" t="s">
        <v>33030</v>
      </c>
      <c r="K2960" t="s">
        <v>42623</v>
      </c>
      <c r="M2960" t="s">
        <v>42964</v>
      </c>
      <c r="N2960" t="s">
        <v>47304</v>
      </c>
      <c r="O2960" t="s">
        <v>47305</v>
      </c>
      <c r="P2960">
        <v>0</v>
      </c>
      <c r="Q2960">
        <v>1</v>
      </c>
      <c r="R2960" t="s">
        <v>47306</v>
      </c>
      <c r="S2960" t="s">
        <v>47414</v>
      </c>
      <c r="T2960" t="s">
        <v>49004</v>
      </c>
      <c r="U2960" t="s">
        <v>52122</v>
      </c>
      <c r="W2960" t="s">
        <v>42964</v>
      </c>
      <c r="X2960" t="s">
        <v>47308</v>
      </c>
    </row>
    <row r="2961" spans="1:24">
      <c r="A2961">
        <f>HYPERLINK("https://www.philgeps.gov.ph/GEPSNONPILOT/Tender/SplashBidNoticeAbstractUI.aspx?menuIndex=3&amp;refID=7195116&amp;Result=3","7195116")</f>
        <v>0</v>
      </c>
      <c r="B2961" t="s">
        <v>496</v>
      </c>
      <c r="C2961" t="s">
        <v>6684</v>
      </c>
      <c r="D2961" t="s">
        <v>19011</v>
      </c>
      <c r="E2961" t="s">
        <v>21771</v>
      </c>
      <c r="F2961" t="s">
        <v>32606</v>
      </c>
      <c r="G2961" t="s">
        <v>32614</v>
      </c>
      <c r="H2961" t="s">
        <v>14201</v>
      </c>
      <c r="I2961" t="s">
        <v>4120</v>
      </c>
      <c r="J2961" t="s">
        <v>34406</v>
      </c>
      <c r="K2961" t="s">
        <v>42627</v>
      </c>
      <c r="M2961" t="s">
        <v>43409</v>
      </c>
      <c r="N2961" t="s">
        <v>47304</v>
      </c>
      <c r="O2961" t="s">
        <v>47305</v>
      </c>
      <c r="P2961">
        <v>0</v>
      </c>
      <c r="Q2961">
        <v>0</v>
      </c>
      <c r="R2961" t="s">
        <v>47306</v>
      </c>
      <c r="S2961" t="s">
        <v>47414</v>
      </c>
      <c r="T2961" t="s">
        <v>48997</v>
      </c>
      <c r="U2961" t="s">
        <v>52123</v>
      </c>
      <c r="W2961" t="s">
        <v>64438</v>
      </c>
      <c r="X2961" t="s">
        <v>47308</v>
      </c>
    </row>
    <row r="2962" spans="1:24">
      <c r="A2962">
        <f>HYPERLINK("https://www.philgeps.gov.ph/GEPSNONPILOT/Tender/SplashBidNoticeAbstractUI.aspx?menuIndex=3&amp;refID=7195115&amp;Result=3","7195115")</f>
        <v>0</v>
      </c>
      <c r="B2962" t="s">
        <v>320</v>
      </c>
      <c r="C2962" t="s">
        <v>6685</v>
      </c>
      <c r="D2962" t="s">
        <v>19037</v>
      </c>
      <c r="E2962" t="s">
        <v>21772</v>
      </c>
      <c r="F2962" t="s">
        <v>32606</v>
      </c>
      <c r="G2962" t="s">
        <v>32614</v>
      </c>
      <c r="H2962" t="s">
        <v>14201</v>
      </c>
      <c r="I2962" t="s">
        <v>6931</v>
      </c>
      <c r="J2962" t="s">
        <v>34821</v>
      </c>
      <c r="K2962" t="s">
        <v>42631</v>
      </c>
      <c r="M2962" t="s">
        <v>43222</v>
      </c>
      <c r="N2962" t="s">
        <v>47304</v>
      </c>
      <c r="O2962" t="s">
        <v>47305</v>
      </c>
      <c r="P2962">
        <v>0</v>
      </c>
      <c r="Q2962">
        <v>0</v>
      </c>
      <c r="R2962" t="s">
        <v>47306</v>
      </c>
      <c r="S2962" t="s">
        <v>47414</v>
      </c>
      <c r="T2962" t="s">
        <v>49010</v>
      </c>
      <c r="U2962" t="s">
        <v>52124</v>
      </c>
      <c r="W2962" t="s">
        <v>43222</v>
      </c>
      <c r="X2962" t="s">
        <v>47308</v>
      </c>
    </row>
    <row r="2963" spans="1:24">
      <c r="A2963">
        <f>HYPERLINK("https://www.philgeps.gov.ph/GEPSNONPILOT/Tender/SplashBidNoticeAbstractUI.aspx?menuIndex=3&amp;refID=7195114&amp;Result=3","7195114")</f>
        <v>0</v>
      </c>
      <c r="B2963" t="s">
        <v>738</v>
      </c>
      <c r="C2963" t="s">
        <v>6686</v>
      </c>
      <c r="D2963" t="s">
        <v>19004</v>
      </c>
      <c r="E2963" t="s">
        <v>21773</v>
      </c>
      <c r="F2963" t="s">
        <v>32606</v>
      </c>
      <c r="G2963" t="s">
        <v>32615</v>
      </c>
      <c r="H2963" t="s">
        <v>14201</v>
      </c>
      <c r="I2963" t="s">
        <v>6478</v>
      </c>
      <c r="J2963" t="s">
        <v>34822</v>
      </c>
      <c r="K2963" t="s">
        <v>42623</v>
      </c>
      <c r="M2963" t="s">
        <v>43661</v>
      </c>
      <c r="N2963" t="s">
        <v>47304</v>
      </c>
      <c r="O2963" t="s">
        <v>47305</v>
      </c>
      <c r="P2963">
        <v>0</v>
      </c>
      <c r="Q2963">
        <v>2</v>
      </c>
      <c r="R2963" t="s">
        <v>47306</v>
      </c>
      <c r="S2963" t="s">
        <v>47414</v>
      </c>
      <c r="T2963" t="s">
        <v>49004</v>
      </c>
      <c r="U2963" t="s">
        <v>52125</v>
      </c>
      <c r="W2963" t="s">
        <v>43661</v>
      </c>
      <c r="X2963" t="s">
        <v>47308</v>
      </c>
    </row>
    <row r="2964" spans="1:24">
      <c r="A2964">
        <f>HYPERLINK("https://www.philgeps.gov.ph/GEPSNONPILOT/Tender/SplashBidNoticeAbstractUI.aspx?menuIndex=3&amp;refID=7195113&amp;Result=3","7195113")</f>
        <v>0</v>
      </c>
      <c r="B2964" t="s">
        <v>270</v>
      </c>
      <c r="C2964" t="s">
        <v>6687</v>
      </c>
      <c r="D2964" t="s">
        <v>18993</v>
      </c>
      <c r="E2964" t="s">
        <v>21774</v>
      </c>
      <c r="F2964" t="s">
        <v>32606</v>
      </c>
      <c r="G2964" t="s">
        <v>32614</v>
      </c>
      <c r="H2964" t="s">
        <v>14201</v>
      </c>
      <c r="I2964" t="s">
        <v>4678</v>
      </c>
      <c r="J2964" t="s">
        <v>33167</v>
      </c>
      <c r="K2964" t="s">
        <v>42630</v>
      </c>
      <c r="M2964" t="s">
        <v>43171</v>
      </c>
      <c r="N2964" t="s">
        <v>47304</v>
      </c>
      <c r="O2964" t="s">
        <v>47305</v>
      </c>
      <c r="P2964">
        <v>0</v>
      </c>
      <c r="Q2964">
        <v>11</v>
      </c>
      <c r="R2964" t="s">
        <v>47306</v>
      </c>
      <c r="S2964" t="s">
        <v>47414</v>
      </c>
      <c r="T2964" t="s">
        <v>49010</v>
      </c>
      <c r="U2964" t="s">
        <v>52126</v>
      </c>
      <c r="V2964" t="s">
        <v>62709</v>
      </c>
      <c r="W2964" t="s">
        <v>43171</v>
      </c>
      <c r="X2964" t="s">
        <v>47308</v>
      </c>
    </row>
    <row r="2965" spans="1:24">
      <c r="A2965">
        <f>HYPERLINK("https://www.philgeps.gov.ph/GEPSNONPILOT/Tender/SplashBidNoticeAbstractUI.aspx?menuIndex=3&amp;refID=7195112&amp;Result=3","7195112")</f>
        <v>0</v>
      </c>
      <c r="B2965" t="s">
        <v>1236</v>
      </c>
      <c r="C2965" t="s">
        <v>6688</v>
      </c>
      <c r="D2965" t="s">
        <v>19052</v>
      </c>
      <c r="E2965" t="s">
        <v>21775</v>
      </c>
      <c r="F2965" t="s">
        <v>32606</v>
      </c>
      <c r="G2965" t="s">
        <v>32613</v>
      </c>
      <c r="H2965" t="s">
        <v>32623</v>
      </c>
      <c r="I2965" t="s">
        <v>6931</v>
      </c>
      <c r="J2965" t="s">
        <v>32752</v>
      </c>
      <c r="K2965" t="s">
        <v>42623</v>
      </c>
      <c r="M2965" t="s">
        <v>44201</v>
      </c>
      <c r="N2965" t="s">
        <v>47304</v>
      </c>
      <c r="O2965" t="s">
        <v>47305</v>
      </c>
      <c r="P2965">
        <v>0</v>
      </c>
      <c r="Q2965">
        <v>0</v>
      </c>
      <c r="R2965" t="s">
        <v>47306</v>
      </c>
      <c r="S2965" t="s">
        <v>47414</v>
      </c>
      <c r="T2965" t="s">
        <v>49140</v>
      </c>
      <c r="U2965" t="s">
        <v>52093</v>
      </c>
      <c r="W2965" t="s">
        <v>44201</v>
      </c>
      <c r="X2965" t="s">
        <v>47308</v>
      </c>
    </row>
    <row r="2966" spans="1:24">
      <c r="A2966">
        <f>HYPERLINK("https://www.philgeps.gov.ph/GEPSNONPILOT/Tender/SplashBidNoticeAbstractUI.aspx?menuIndex=3&amp;refID=7195111&amp;Result=3","7195111")</f>
        <v>0</v>
      </c>
      <c r="B2966" t="s">
        <v>234</v>
      </c>
      <c r="C2966" t="s">
        <v>6689</v>
      </c>
      <c r="D2966" t="s">
        <v>19052</v>
      </c>
      <c r="E2966" t="s">
        <v>21776</v>
      </c>
      <c r="F2966" t="s">
        <v>32606</v>
      </c>
      <c r="G2966" t="s">
        <v>32614</v>
      </c>
      <c r="H2966" t="s">
        <v>14201</v>
      </c>
      <c r="I2966" t="s">
        <v>6298</v>
      </c>
      <c r="J2966" t="s">
        <v>34238</v>
      </c>
      <c r="K2966" t="s">
        <v>42631</v>
      </c>
      <c r="M2966" t="s">
        <v>43135</v>
      </c>
      <c r="N2966" t="s">
        <v>47304</v>
      </c>
      <c r="O2966" t="s">
        <v>47305</v>
      </c>
      <c r="P2966">
        <v>0</v>
      </c>
      <c r="Q2966">
        <v>0</v>
      </c>
      <c r="R2966" t="s">
        <v>47306</v>
      </c>
      <c r="S2966" t="s">
        <v>47414</v>
      </c>
      <c r="T2966" t="s">
        <v>49050</v>
      </c>
      <c r="U2966" t="s">
        <v>52127</v>
      </c>
      <c r="V2966" t="s">
        <v>62641</v>
      </c>
      <c r="W2966" t="s">
        <v>43135</v>
      </c>
      <c r="X2966" t="s">
        <v>47308</v>
      </c>
    </row>
    <row r="2967" spans="1:24">
      <c r="A2967">
        <f>HYPERLINK("https://www.philgeps.gov.ph/GEPSNONPILOT/Tender/SplashBidNoticeAbstractUI.aspx?menuIndex=3&amp;refID=7195131&amp;Result=3","7195131")</f>
        <v>0</v>
      </c>
      <c r="B2967" t="s">
        <v>1225</v>
      </c>
      <c r="C2967" t="s">
        <v>6690</v>
      </c>
      <c r="D2967" t="s">
        <v>19038</v>
      </c>
      <c r="E2967" t="s">
        <v>21777</v>
      </c>
      <c r="F2967" t="s">
        <v>32606</v>
      </c>
      <c r="G2967" t="s">
        <v>32614</v>
      </c>
      <c r="H2967" t="s">
        <v>14201</v>
      </c>
      <c r="I2967" t="s">
        <v>7233</v>
      </c>
      <c r="J2967" t="s">
        <v>34823</v>
      </c>
      <c r="K2967" t="s">
        <v>42624</v>
      </c>
      <c r="M2967" t="s">
        <v>44190</v>
      </c>
      <c r="N2967" t="s">
        <v>47304</v>
      </c>
      <c r="O2967" t="s">
        <v>47305</v>
      </c>
      <c r="P2967">
        <v>0</v>
      </c>
      <c r="Q2967">
        <v>0</v>
      </c>
      <c r="R2967" t="s">
        <v>47306</v>
      </c>
      <c r="S2967" t="s">
        <v>47414</v>
      </c>
      <c r="T2967" t="s">
        <v>49017</v>
      </c>
      <c r="U2967" t="s">
        <v>52128</v>
      </c>
      <c r="W2967" t="s">
        <v>64467</v>
      </c>
      <c r="X2967" t="s">
        <v>47308</v>
      </c>
    </row>
    <row r="2968" spans="1:24">
      <c r="A2968">
        <f>HYPERLINK("https://www.philgeps.gov.ph/GEPSNONPILOT/Tender/SplashBidNoticeAbstractUI.aspx?menuIndex=3&amp;refID=7195129&amp;Result=3","7195129")</f>
        <v>0</v>
      </c>
      <c r="B2968" t="s">
        <v>1242</v>
      </c>
      <c r="C2968" t="s">
        <v>5316</v>
      </c>
      <c r="E2968" t="s">
        <v>21778</v>
      </c>
      <c r="F2968" t="s">
        <v>32606</v>
      </c>
      <c r="G2968" t="s">
        <v>32615</v>
      </c>
      <c r="H2968" t="s">
        <v>14201</v>
      </c>
      <c r="I2968" t="s">
        <v>6931</v>
      </c>
      <c r="J2968" t="s">
        <v>34824</v>
      </c>
      <c r="K2968" t="s">
        <v>42624</v>
      </c>
      <c r="M2968" t="s">
        <v>44208</v>
      </c>
      <c r="N2968" t="s">
        <v>47304</v>
      </c>
      <c r="O2968" t="s">
        <v>47305</v>
      </c>
      <c r="P2968">
        <v>0</v>
      </c>
      <c r="Q2968">
        <v>0</v>
      </c>
      <c r="R2968" t="s">
        <v>47306</v>
      </c>
      <c r="S2968" t="s">
        <v>47414</v>
      </c>
      <c r="T2968" t="s">
        <v>49062</v>
      </c>
      <c r="U2968" t="s">
        <v>52129</v>
      </c>
      <c r="W2968" t="s">
        <v>44208</v>
      </c>
      <c r="X2968" t="s">
        <v>47308</v>
      </c>
    </row>
    <row r="2969" spans="1:24">
      <c r="A2969">
        <f>HYPERLINK("https://www.philgeps.gov.ph/GEPSNONPILOT/Tender/SplashBidNoticeAbstractUI.aspx?menuIndex=3&amp;refID=7195127&amp;Result=3","7195127")</f>
        <v>0</v>
      </c>
      <c r="B2969" t="s">
        <v>1243</v>
      </c>
      <c r="C2969" t="s">
        <v>6691</v>
      </c>
      <c r="D2969" t="s">
        <v>19003</v>
      </c>
      <c r="E2969" t="s">
        <v>21779</v>
      </c>
      <c r="F2969" t="s">
        <v>32606</v>
      </c>
      <c r="G2969" t="s">
        <v>32617</v>
      </c>
      <c r="H2969" t="s">
        <v>14201</v>
      </c>
      <c r="I2969" t="s">
        <v>6478</v>
      </c>
      <c r="J2969" t="s">
        <v>34825</v>
      </c>
      <c r="K2969" t="s">
        <v>42629</v>
      </c>
      <c r="M2969" t="s">
        <v>44209</v>
      </c>
      <c r="N2969" t="s">
        <v>47304</v>
      </c>
      <c r="O2969" t="s">
        <v>47305</v>
      </c>
      <c r="P2969">
        <v>0</v>
      </c>
      <c r="Q2969">
        <v>0</v>
      </c>
      <c r="R2969" t="s">
        <v>47306</v>
      </c>
      <c r="S2969" t="s">
        <v>47414</v>
      </c>
      <c r="T2969" t="s">
        <v>48979</v>
      </c>
      <c r="U2969" t="s">
        <v>52130</v>
      </c>
      <c r="W2969" t="s">
        <v>44209</v>
      </c>
      <c r="X2969" t="s">
        <v>47308</v>
      </c>
    </row>
    <row r="2970" spans="1:24">
      <c r="A2970">
        <f>HYPERLINK("https://www.philgeps.gov.ph/GEPSNONPILOT/Tender/SplashBidNoticeAbstractUI.aspx?menuIndex=3&amp;refID=7195125&amp;Result=3","7195125")</f>
        <v>0</v>
      </c>
      <c r="B2970" t="s">
        <v>1244</v>
      </c>
      <c r="C2970" t="s">
        <v>6692</v>
      </c>
      <c r="D2970" t="s">
        <v>19023</v>
      </c>
      <c r="E2970" t="s">
        <v>21780</v>
      </c>
      <c r="F2970" t="s">
        <v>32606</v>
      </c>
      <c r="G2970" t="s">
        <v>32619</v>
      </c>
      <c r="H2970" t="s">
        <v>14201</v>
      </c>
      <c r="I2970" t="s">
        <v>4678</v>
      </c>
      <c r="J2970" t="s">
        <v>32999</v>
      </c>
      <c r="K2970" t="s">
        <v>42622</v>
      </c>
      <c r="M2970" t="s">
        <v>44210</v>
      </c>
      <c r="N2970" t="s">
        <v>47304</v>
      </c>
      <c r="O2970" t="s">
        <v>47305</v>
      </c>
      <c r="P2970">
        <v>0</v>
      </c>
      <c r="Q2970">
        <v>0</v>
      </c>
      <c r="R2970" t="s">
        <v>47306</v>
      </c>
      <c r="S2970" t="s">
        <v>47414</v>
      </c>
      <c r="T2970" t="s">
        <v>49061</v>
      </c>
      <c r="U2970" t="s">
        <v>52131</v>
      </c>
      <c r="V2970" t="s">
        <v>53100</v>
      </c>
      <c r="W2970" t="s">
        <v>44210</v>
      </c>
      <c r="X2970" t="s">
        <v>47308</v>
      </c>
    </row>
    <row r="2971" spans="1:24">
      <c r="A2971">
        <f>HYPERLINK("https://www.philgeps.gov.ph/GEPSNONPILOT/Tender/SplashBidNoticeAbstractUI.aspx?menuIndex=3&amp;refID=7195097&amp;Result=3","7195097")</f>
        <v>0</v>
      </c>
      <c r="B2971" t="s">
        <v>496</v>
      </c>
      <c r="C2971" t="s">
        <v>6693</v>
      </c>
      <c r="D2971" t="s">
        <v>19011</v>
      </c>
      <c r="E2971" t="s">
        <v>21781</v>
      </c>
      <c r="F2971" t="s">
        <v>32606</v>
      </c>
      <c r="G2971" t="s">
        <v>32614</v>
      </c>
      <c r="H2971" t="s">
        <v>14201</v>
      </c>
      <c r="I2971" t="s">
        <v>4120</v>
      </c>
      <c r="J2971" t="s">
        <v>34826</v>
      </c>
      <c r="K2971" t="s">
        <v>42627</v>
      </c>
      <c r="M2971" t="s">
        <v>43409</v>
      </c>
      <c r="N2971" t="s">
        <v>47304</v>
      </c>
      <c r="O2971" t="s">
        <v>47305</v>
      </c>
      <c r="P2971">
        <v>0</v>
      </c>
      <c r="Q2971">
        <v>2</v>
      </c>
      <c r="R2971" t="s">
        <v>47306</v>
      </c>
      <c r="S2971" t="s">
        <v>47414</v>
      </c>
      <c r="T2971" t="s">
        <v>48997</v>
      </c>
      <c r="U2971" t="s">
        <v>52132</v>
      </c>
      <c r="W2971" t="s">
        <v>64438</v>
      </c>
      <c r="X2971" t="s">
        <v>47308</v>
      </c>
    </row>
    <row r="2972" spans="1:24">
      <c r="A2972">
        <f>HYPERLINK("https://www.philgeps.gov.ph/GEPSNONPILOT/Tender/SplashBidNoticeAbstractUI.aspx?menuIndex=3&amp;refID=7195094&amp;Result=3","7195094")</f>
        <v>0</v>
      </c>
      <c r="B2972" t="s">
        <v>1217</v>
      </c>
      <c r="C2972" t="s">
        <v>6694</v>
      </c>
      <c r="D2972" t="s">
        <v>19035</v>
      </c>
      <c r="E2972" t="s">
        <v>21782</v>
      </c>
      <c r="F2972" t="s">
        <v>32606</v>
      </c>
      <c r="G2972" t="s">
        <v>32617</v>
      </c>
      <c r="H2972" t="s">
        <v>14201</v>
      </c>
      <c r="I2972" t="s">
        <v>4114</v>
      </c>
      <c r="J2972" t="s">
        <v>34827</v>
      </c>
      <c r="K2972" t="s">
        <v>42622</v>
      </c>
      <c r="M2972" t="s">
        <v>44182</v>
      </c>
      <c r="N2972" t="s">
        <v>47304</v>
      </c>
      <c r="O2972" t="s">
        <v>47305</v>
      </c>
      <c r="P2972">
        <v>0</v>
      </c>
      <c r="Q2972">
        <v>2</v>
      </c>
      <c r="R2972" t="s">
        <v>47306</v>
      </c>
      <c r="S2972" t="s">
        <v>47414</v>
      </c>
      <c r="T2972" t="s">
        <v>48980</v>
      </c>
      <c r="U2972" t="s">
        <v>52133</v>
      </c>
      <c r="W2972" t="s">
        <v>44182</v>
      </c>
      <c r="X2972" t="s">
        <v>47308</v>
      </c>
    </row>
    <row r="2973" spans="1:24">
      <c r="A2973">
        <f>HYPERLINK("https://www.philgeps.gov.ph/GEPSNONPILOT/Tender/SplashBidNoticeAbstractUI.aspx?menuIndex=3&amp;refID=7195128&amp;Result=3","7195128")</f>
        <v>0</v>
      </c>
      <c r="B2973" t="s">
        <v>1245</v>
      </c>
      <c r="C2973" t="s">
        <v>6695</v>
      </c>
      <c r="D2973" t="s">
        <v>19039</v>
      </c>
      <c r="E2973" t="s">
        <v>21783</v>
      </c>
      <c r="F2973" t="s">
        <v>32606</v>
      </c>
      <c r="G2973" t="s">
        <v>32614</v>
      </c>
      <c r="H2973" t="s">
        <v>14201</v>
      </c>
      <c r="I2973" t="s">
        <v>6309</v>
      </c>
      <c r="J2973" t="s">
        <v>32799</v>
      </c>
      <c r="K2973" t="s">
        <v>42624</v>
      </c>
      <c r="M2973" t="s">
        <v>44211</v>
      </c>
      <c r="N2973" t="s">
        <v>47304</v>
      </c>
      <c r="O2973" t="s">
        <v>47305</v>
      </c>
      <c r="P2973">
        <v>0</v>
      </c>
      <c r="Q2973">
        <v>2</v>
      </c>
      <c r="R2973" t="s">
        <v>47306</v>
      </c>
      <c r="S2973" t="s">
        <v>47414</v>
      </c>
      <c r="T2973" t="s">
        <v>49028</v>
      </c>
      <c r="U2973" t="s">
        <v>52134</v>
      </c>
      <c r="W2973" t="s">
        <v>44211</v>
      </c>
      <c r="X2973" t="s">
        <v>47308</v>
      </c>
    </row>
    <row r="2974" spans="1:24">
      <c r="A2974">
        <f>HYPERLINK("https://www.philgeps.gov.ph/GEPSNONPILOT/Tender/SplashBidNoticeAbstractUI.aspx?menuIndex=3&amp;refID=7195123&amp;Result=3","7195123")</f>
        <v>0</v>
      </c>
      <c r="B2974" t="s">
        <v>149</v>
      </c>
      <c r="C2974" t="s">
        <v>6696</v>
      </c>
      <c r="D2974" t="s">
        <v>19034</v>
      </c>
      <c r="E2974" t="s">
        <v>21784</v>
      </c>
      <c r="F2974" t="s">
        <v>32606</v>
      </c>
      <c r="G2974" t="s">
        <v>32613</v>
      </c>
      <c r="H2974" t="s">
        <v>14201</v>
      </c>
      <c r="I2974" t="s">
        <v>32673</v>
      </c>
      <c r="J2974" t="s">
        <v>34828</v>
      </c>
      <c r="K2974" t="s">
        <v>42631</v>
      </c>
      <c r="M2974" t="s">
        <v>43050</v>
      </c>
      <c r="N2974" t="s">
        <v>47304</v>
      </c>
      <c r="O2974" t="s">
        <v>47305</v>
      </c>
      <c r="P2974">
        <v>0</v>
      </c>
      <c r="Q2974">
        <v>0</v>
      </c>
      <c r="R2974" t="s">
        <v>47306</v>
      </c>
      <c r="S2974" t="s">
        <v>47414</v>
      </c>
      <c r="T2974" t="s">
        <v>48986</v>
      </c>
      <c r="U2974" t="s">
        <v>52135</v>
      </c>
      <c r="W2974" t="s">
        <v>43050</v>
      </c>
      <c r="X2974" t="s">
        <v>47308</v>
      </c>
    </row>
    <row r="2975" spans="1:24">
      <c r="A2975">
        <f>HYPERLINK("https://www.philgeps.gov.ph/GEPSNONPILOT/Tender/SplashBidNoticeAbstractUI.aspx?menuIndex=3&amp;refID=7195135&amp;Result=3","7195135")</f>
        <v>0</v>
      </c>
      <c r="B2975" t="s">
        <v>1246</v>
      </c>
      <c r="C2975" t="s">
        <v>6697</v>
      </c>
      <c r="D2975" t="s">
        <v>19044</v>
      </c>
      <c r="E2975" t="s">
        <v>21785</v>
      </c>
      <c r="F2975" t="s">
        <v>32606</v>
      </c>
      <c r="G2975" t="s">
        <v>32613</v>
      </c>
      <c r="H2975" t="s">
        <v>32623</v>
      </c>
      <c r="I2975" t="s">
        <v>17648</v>
      </c>
      <c r="J2975" t="s">
        <v>34829</v>
      </c>
      <c r="K2975" t="s">
        <v>42624</v>
      </c>
      <c r="M2975" t="s">
        <v>44212</v>
      </c>
      <c r="N2975" t="s">
        <v>47304</v>
      </c>
      <c r="O2975" t="s">
        <v>47305</v>
      </c>
      <c r="P2975">
        <v>0</v>
      </c>
      <c r="Q2975">
        <v>0</v>
      </c>
      <c r="R2975" t="s">
        <v>47306</v>
      </c>
      <c r="S2975" t="s">
        <v>47414</v>
      </c>
      <c r="T2975" t="s">
        <v>49029</v>
      </c>
      <c r="U2975" t="s">
        <v>52136</v>
      </c>
      <c r="W2975" t="s">
        <v>44212</v>
      </c>
      <c r="X2975" t="s">
        <v>47308</v>
      </c>
    </row>
    <row r="2976" spans="1:24">
      <c r="A2976">
        <f>HYPERLINK("https://www.philgeps.gov.ph/GEPSNONPILOT/Tender/SplashBidNoticeAbstractUI.aspx?menuIndex=3&amp;refID=7195124&amp;Result=3","7195124")</f>
        <v>0</v>
      </c>
      <c r="B2976" t="s">
        <v>328</v>
      </c>
      <c r="C2976" t="s">
        <v>6698</v>
      </c>
      <c r="D2976" t="s">
        <v>19028</v>
      </c>
      <c r="E2976" t="s">
        <v>21786</v>
      </c>
      <c r="F2976" t="s">
        <v>32606</v>
      </c>
      <c r="G2976" t="s">
        <v>32614</v>
      </c>
      <c r="H2976" t="s">
        <v>14201</v>
      </c>
      <c r="I2976" t="s">
        <v>32680</v>
      </c>
      <c r="J2976" t="s">
        <v>32789</v>
      </c>
      <c r="K2976" t="s">
        <v>42631</v>
      </c>
      <c r="M2976" t="s">
        <v>43230</v>
      </c>
      <c r="N2976" t="s">
        <v>47304</v>
      </c>
      <c r="O2976" t="s">
        <v>47305</v>
      </c>
      <c r="P2976">
        <v>0</v>
      </c>
      <c r="Q2976">
        <v>0</v>
      </c>
      <c r="R2976" t="s">
        <v>47306</v>
      </c>
      <c r="S2976" t="s">
        <v>47414</v>
      </c>
      <c r="T2976" t="s">
        <v>48979</v>
      </c>
      <c r="U2976" t="s">
        <v>52137</v>
      </c>
      <c r="W2976" t="s">
        <v>43230</v>
      </c>
      <c r="X2976" t="s">
        <v>47308</v>
      </c>
    </row>
    <row r="2977" spans="1:24">
      <c r="A2977">
        <f>HYPERLINK("https://www.philgeps.gov.ph/GEPSNONPILOT/Tender/SplashBidNoticeAbstractUI.aspx?menuIndex=3&amp;refID=7195133&amp;Result=3","7195133")</f>
        <v>0</v>
      </c>
      <c r="B2977" t="s">
        <v>402</v>
      </c>
      <c r="C2977" t="s">
        <v>6699</v>
      </c>
      <c r="D2977" t="s">
        <v>19017</v>
      </c>
      <c r="E2977" t="s">
        <v>21787</v>
      </c>
      <c r="F2977" t="s">
        <v>32606</v>
      </c>
      <c r="G2977" t="s">
        <v>32621</v>
      </c>
      <c r="H2977" t="s">
        <v>14201</v>
      </c>
      <c r="I2977" t="s">
        <v>7677</v>
      </c>
      <c r="J2977" t="s">
        <v>34830</v>
      </c>
      <c r="K2977" t="s">
        <v>42623</v>
      </c>
      <c r="M2977" t="s">
        <v>43305</v>
      </c>
      <c r="N2977" t="s">
        <v>47304</v>
      </c>
      <c r="O2977" t="s">
        <v>47305</v>
      </c>
      <c r="P2977">
        <v>0</v>
      </c>
      <c r="Q2977">
        <v>1</v>
      </c>
      <c r="R2977" t="s">
        <v>47306</v>
      </c>
      <c r="S2977" t="s">
        <v>47414</v>
      </c>
      <c r="T2977" t="s">
        <v>48980</v>
      </c>
      <c r="U2977" t="s">
        <v>52138</v>
      </c>
      <c r="W2977" t="s">
        <v>43305</v>
      </c>
      <c r="X2977" t="s">
        <v>47308</v>
      </c>
    </row>
    <row r="2978" spans="1:24">
      <c r="A2978">
        <f>HYPERLINK("https://www.philgeps.gov.ph/GEPSNONPILOT/Tender/SplashBidNoticeAbstractUI.aspx?menuIndex=3&amp;refID=7195090&amp;Result=3","7195090")</f>
        <v>0</v>
      </c>
      <c r="B2978" t="s">
        <v>1247</v>
      </c>
      <c r="C2978" t="s">
        <v>6700</v>
      </c>
      <c r="D2978" t="s">
        <v>18993</v>
      </c>
      <c r="E2978" t="s">
        <v>21788</v>
      </c>
      <c r="F2978" t="s">
        <v>32606</v>
      </c>
      <c r="G2978" t="s">
        <v>32614</v>
      </c>
      <c r="H2978" t="s">
        <v>14201</v>
      </c>
      <c r="I2978" t="s">
        <v>6298</v>
      </c>
      <c r="J2978" t="s">
        <v>32752</v>
      </c>
      <c r="K2978" t="s">
        <v>42630</v>
      </c>
      <c r="M2978" t="s">
        <v>44213</v>
      </c>
      <c r="N2978" t="s">
        <v>47304</v>
      </c>
      <c r="O2978" t="s">
        <v>47305</v>
      </c>
      <c r="P2978">
        <v>0</v>
      </c>
      <c r="Q2978">
        <v>0</v>
      </c>
      <c r="R2978" t="s">
        <v>47306</v>
      </c>
      <c r="S2978" t="s">
        <v>47414</v>
      </c>
      <c r="T2978" t="s">
        <v>48975</v>
      </c>
      <c r="U2978" t="s">
        <v>52139</v>
      </c>
      <c r="W2978" t="s">
        <v>44213</v>
      </c>
      <c r="X2978" t="s">
        <v>47308</v>
      </c>
    </row>
    <row r="2979" spans="1:24">
      <c r="A2979">
        <f>HYPERLINK("https://www.philgeps.gov.ph/GEPSNONPILOT/Tender/SplashBidNoticeAbstractUI.aspx?menuIndex=3&amp;refID=7195151&amp;Result=3","7195151")</f>
        <v>0</v>
      </c>
      <c r="B2979" t="s">
        <v>1248</v>
      </c>
      <c r="C2979" t="s">
        <v>6701</v>
      </c>
      <c r="D2979" t="s">
        <v>19029</v>
      </c>
      <c r="E2979" t="s">
        <v>21789</v>
      </c>
      <c r="F2979" t="s">
        <v>32606</v>
      </c>
      <c r="G2979" t="s">
        <v>32613</v>
      </c>
      <c r="H2979" t="s">
        <v>14201</v>
      </c>
      <c r="I2979" t="s">
        <v>17648</v>
      </c>
      <c r="J2979" t="s">
        <v>32772</v>
      </c>
      <c r="K2979" t="s">
        <v>42661</v>
      </c>
      <c r="M2979" t="s">
        <v>44214</v>
      </c>
      <c r="N2979" t="s">
        <v>47304</v>
      </c>
      <c r="O2979" t="s">
        <v>47305</v>
      </c>
      <c r="P2979">
        <v>0</v>
      </c>
      <c r="Q2979">
        <v>0</v>
      </c>
      <c r="R2979" t="s">
        <v>47306</v>
      </c>
      <c r="S2979" t="s">
        <v>47414</v>
      </c>
      <c r="T2979" t="s">
        <v>49250</v>
      </c>
      <c r="U2979" t="s">
        <v>52140</v>
      </c>
      <c r="V2979" t="s">
        <v>62964</v>
      </c>
      <c r="W2979" t="s">
        <v>44214</v>
      </c>
      <c r="X2979" t="s">
        <v>47308</v>
      </c>
    </row>
    <row r="2980" spans="1:24">
      <c r="A2980">
        <f>HYPERLINK("https://www.philgeps.gov.ph/GEPSNONPILOT/Tender/SplashBidNoticeAbstractUI.aspx?menuIndex=3&amp;refID=7195109&amp;Result=3","7195109")</f>
        <v>0</v>
      </c>
      <c r="B2980" t="s">
        <v>1249</v>
      </c>
      <c r="C2980" t="s">
        <v>6702</v>
      </c>
      <c r="D2980" t="s">
        <v>18993</v>
      </c>
      <c r="E2980" t="s">
        <v>21790</v>
      </c>
      <c r="F2980" t="s">
        <v>32607</v>
      </c>
      <c r="G2980" t="s">
        <v>32613</v>
      </c>
      <c r="H2980" t="s">
        <v>14201</v>
      </c>
      <c r="I2980" t="s">
        <v>32721</v>
      </c>
      <c r="J2980" t="s">
        <v>33102</v>
      </c>
      <c r="K2980" t="s">
        <v>42638</v>
      </c>
      <c r="M2980" t="s">
        <v>44215</v>
      </c>
      <c r="N2980" t="s">
        <v>47304</v>
      </c>
      <c r="O2980" t="s">
        <v>47305</v>
      </c>
      <c r="P2980">
        <v>0</v>
      </c>
      <c r="Q2980">
        <v>2</v>
      </c>
      <c r="R2980" t="s">
        <v>47306</v>
      </c>
      <c r="S2980" t="s">
        <v>47414</v>
      </c>
      <c r="T2980" t="s">
        <v>49251</v>
      </c>
      <c r="U2980" t="s">
        <v>52141</v>
      </c>
      <c r="W2980" t="s">
        <v>44215</v>
      </c>
      <c r="X2980" t="s">
        <v>47308</v>
      </c>
    </row>
    <row r="2981" spans="1:24">
      <c r="A2981">
        <f>HYPERLINK("https://www.philgeps.gov.ph/GEPSNONPILOT/Tender/SplashBidNoticeAbstractUI.aspx?menuIndex=3&amp;refID=7195108&amp;Result=3","7195108")</f>
        <v>0</v>
      </c>
      <c r="B2981" t="s">
        <v>1250</v>
      </c>
      <c r="C2981" t="s">
        <v>6703</v>
      </c>
      <c r="D2981" t="s">
        <v>19044</v>
      </c>
      <c r="E2981" t="s">
        <v>21791</v>
      </c>
      <c r="F2981" t="s">
        <v>32606</v>
      </c>
      <c r="G2981" t="s">
        <v>32615</v>
      </c>
      <c r="H2981" t="s">
        <v>14201</v>
      </c>
      <c r="I2981" t="s">
        <v>6931</v>
      </c>
      <c r="J2981" t="s">
        <v>34831</v>
      </c>
      <c r="K2981" t="s">
        <v>42630</v>
      </c>
      <c r="M2981" t="s">
        <v>44216</v>
      </c>
      <c r="N2981" t="s">
        <v>47304</v>
      </c>
      <c r="O2981" t="s">
        <v>47305</v>
      </c>
      <c r="P2981">
        <v>0</v>
      </c>
      <c r="Q2981">
        <v>0</v>
      </c>
      <c r="R2981" t="s">
        <v>47306</v>
      </c>
      <c r="S2981" t="s">
        <v>47414</v>
      </c>
      <c r="T2981" t="s">
        <v>48980</v>
      </c>
      <c r="U2981" t="s">
        <v>52142</v>
      </c>
      <c r="W2981" t="s">
        <v>44216</v>
      </c>
      <c r="X2981" t="s">
        <v>47308</v>
      </c>
    </row>
    <row r="2982" spans="1:24">
      <c r="A2982">
        <f>HYPERLINK("https://www.philgeps.gov.ph/GEPSNONPILOT/Tender/SplashBidNoticeAbstractUI.aspx?menuIndex=3&amp;refID=7195154&amp;Result=3","7195154")</f>
        <v>0</v>
      </c>
      <c r="B2982" t="s">
        <v>1251</v>
      </c>
      <c r="C2982" t="s">
        <v>6704</v>
      </c>
      <c r="D2982" t="s">
        <v>18993</v>
      </c>
      <c r="E2982" t="s">
        <v>19690</v>
      </c>
      <c r="F2982" t="s">
        <v>32606</v>
      </c>
      <c r="G2982" t="s">
        <v>32613</v>
      </c>
      <c r="H2982" t="s">
        <v>14201</v>
      </c>
      <c r="I2982" t="s">
        <v>6478</v>
      </c>
      <c r="J2982" t="s">
        <v>32868</v>
      </c>
      <c r="K2982" t="s">
        <v>42632</v>
      </c>
      <c r="M2982" t="s">
        <v>44217</v>
      </c>
      <c r="N2982" t="s">
        <v>47304</v>
      </c>
      <c r="O2982" t="s">
        <v>47305</v>
      </c>
      <c r="P2982">
        <v>0</v>
      </c>
      <c r="Q2982">
        <v>3</v>
      </c>
      <c r="R2982" t="s">
        <v>47306</v>
      </c>
      <c r="S2982" t="s">
        <v>47414</v>
      </c>
      <c r="T2982" t="s">
        <v>48986</v>
      </c>
      <c r="U2982" t="s">
        <v>52143</v>
      </c>
      <c r="V2982" t="s">
        <v>62965</v>
      </c>
      <c r="W2982" t="s">
        <v>44217</v>
      </c>
      <c r="X2982" t="s">
        <v>47308</v>
      </c>
    </row>
    <row r="2983" spans="1:24">
      <c r="A2983">
        <f>HYPERLINK("https://www.philgeps.gov.ph/GEPSNONPILOT/Tender/SplashBidNoticeAbstractUI.aspx?menuIndex=3&amp;refID=7195132&amp;Result=3","7195132")</f>
        <v>0</v>
      </c>
      <c r="B2983" t="s">
        <v>1252</v>
      </c>
      <c r="C2983" t="s">
        <v>6705</v>
      </c>
      <c r="D2983" t="s">
        <v>19006</v>
      </c>
      <c r="E2983" t="s">
        <v>21792</v>
      </c>
      <c r="F2983" t="s">
        <v>32606</v>
      </c>
      <c r="G2983" t="s">
        <v>32613</v>
      </c>
      <c r="H2983" t="s">
        <v>14201</v>
      </c>
      <c r="I2983" t="s">
        <v>6931</v>
      </c>
      <c r="J2983" t="s">
        <v>34832</v>
      </c>
      <c r="K2983" t="s">
        <v>42630</v>
      </c>
      <c r="M2983" t="s">
        <v>44218</v>
      </c>
      <c r="N2983" t="s">
        <v>47304</v>
      </c>
      <c r="O2983" t="s">
        <v>47305</v>
      </c>
      <c r="P2983">
        <v>0</v>
      </c>
      <c r="Q2983">
        <v>0</v>
      </c>
      <c r="R2983" t="s">
        <v>47306</v>
      </c>
      <c r="S2983" t="s">
        <v>47414</v>
      </c>
      <c r="T2983" t="s">
        <v>49101</v>
      </c>
      <c r="U2983" t="s">
        <v>52144</v>
      </c>
      <c r="V2983" t="s">
        <v>62966</v>
      </c>
      <c r="W2983" t="s">
        <v>44218</v>
      </c>
      <c r="X2983" t="s">
        <v>47308</v>
      </c>
    </row>
    <row r="2984" spans="1:24">
      <c r="A2984">
        <f>HYPERLINK("https://www.philgeps.gov.ph/GEPSNONPILOT/Tender/SplashBidNoticeAbstractUI.aspx?menuIndex=3&amp;refID=7195095&amp;Result=3","7195095")</f>
        <v>0</v>
      </c>
      <c r="B2984" t="s">
        <v>252</v>
      </c>
      <c r="C2984" t="s">
        <v>6706</v>
      </c>
      <c r="D2984" t="s">
        <v>19010</v>
      </c>
      <c r="E2984" t="s">
        <v>21793</v>
      </c>
      <c r="F2984" t="s">
        <v>32606</v>
      </c>
      <c r="G2984" t="s">
        <v>32613</v>
      </c>
      <c r="H2984" t="s">
        <v>32623</v>
      </c>
      <c r="I2984" t="s">
        <v>17648</v>
      </c>
      <c r="J2984" t="s">
        <v>34833</v>
      </c>
      <c r="K2984" t="s">
        <v>42636</v>
      </c>
      <c r="M2984" t="s">
        <v>43153</v>
      </c>
      <c r="N2984" t="s">
        <v>47304</v>
      </c>
      <c r="O2984" t="s">
        <v>47305</v>
      </c>
      <c r="P2984">
        <v>0</v>
      </c>
      <c r="Q2984">
        <v>0</v>
      </c>
      <c r="R2984" t="s">
        <v>47306</v>
      </c>
      <c r="S2984" t="s">
        <v>47414</v>
      </c>
      <c r="T2984" t="s">
        <v>49017</v>
      </c>
      <c r="U2984" t="s">
        <v>52145</v>
      </c>
      <c r="W2984" t="s">
        <v>43153</v>
      </c>
      <c r="X2984" t="s">
        <v>47308</v>
      </c>
    </row>
    <row r="2985" spans="1:24">
      <c r="A2985">
        <f>HYPERLINK("https://www.philgeps.gov.ph/GEPSNONPILOT/Tender/SplashBidNoticeAbstractUI.aspx?menuIndex=3&amp;refID=7195110&amp;Result=3","7195110")</f>
        <v>0</v>
      </c>
      <c r="B2985" t="s">
        <v>149</v>
      </c>
      <c r="C2985" t="s">
        <v>6707</v>
      </c>
      <c r="D2985" t="s">
        <v>19034</v>
      </c>
      <c r="E2985" t="s">
        <v>21794</v>
      </c>
      <c r="F2985" t="s">
        <v>32606</v>
      </c>
      <c r="G2985" t="s">
        <v>32613</v>
      </c>
      <c r="H2985" t="s">
        <v>14201</v>
      </c>
      <c r="I2985" t="s">
        <v>6931</v>
      </c>
      <c r="J2985" t="s">
        <v>34834</v>
      </c>
      <c r="K2985" t="s">
        <v>42631</v>
      </c>
      <c r="M2985" t="s">
        <v>43050</v>
      </c>
      <c r="N2985" t="s">
        <v>47304</v>
      </c>
      <c r="O2985" t="s">
        <v>47305</v>
      </c>
      <c r="P2985">
        <v>0</v>
      </c>
      <c r="Q2985">
        <v>0</v>
      </c>
      <c r="R2985" t="s">
        <v>47306</v>
      </c>
      <c r="S2985" t="s">
        <v>47414</v>
      </c>
      <c r="T2985" t="s">
        <v>48986</v>
      </c>
      <c r="U2985" t="s">
        <v>49808</v>
      </c>
      <c r="W2985" t="s">
        <v>43050</v>
      </c>
      <c r="X2985" t="s">
        <v>47308</v>
      </c>
    </row>
    <row r="2986" spans="1:24">
      <c r="A2986">
        <f>HYPERLINK("https://www.philgeps.gov.ph/GEPSNONPILOT/Tender/SplashBidNoticeAbstractUI.aspx?menuIndex=3&amp;refID=7195148&amp;Result=3","7195148")</f>
        <v>0</v>
      </c>
      <c r="B2986" t="s">
        <v>688</v>
      </c>
      <c r="C2986" t="s">
        <v>6708</v>
      </c>
      <c r="D2986" t="s">
        <v>19006</v>
      </c>
      <c r="E2986" t="s">
        <v>21795</v>
      </c>
      <c r="F2986" t="s">
        <v>32606</v>
      </c>
      <c r="G2986" t="s">
        <v>32614</v>
      </c>
      <c r="H2986" t="s">
        <v>14201</v>
      </c>
      <c r="I2986" t="s">
        <v>6993</v>
      </c>
      <c r="J2986" t="s">
        <v>34835</v>
      </c>
      <c r="K2986" t="s">
        <v>42622</v>
      </c>
      <c r="M2986" t="s">
        <v>43805</v>
      </c>
      <c r="N2986" t="s">
        <v>47304</v>
      </c>
      <c r="O2986" t="s">
        <v>47305</v>
      </c>
      <c r="P2986">
        <v>0</v>
      </c>
      <c r="Q2986">
        <v>1</v>
      </c>
      <c r="R2986" t="s">
        <v>47306</v>
      </c>
      <c r="S2986" t="s">
        <v>47414</v>
      </c>
      <c r="T2986" t="s">
        <v>49004</v>
      </c>
      <c r="U2986" t="s">
        <v>52146</v>
      </c>
      <c r="W2986" t="s">
        <v>43805</v>
      </c>
      <c r="X2986" t="s">
        <v>47308</v>
      </c>
    </row>
    <row r="2987" spans="1:24">
      <c r="A2987">
        <f>HYPERLINK("https://www.philgeps.gov.ph/GEPSNONPILOT/Tender/SplashBidNoticeAbstractUI.aspx?menuIndex=3&amp;refID=7195150&amp;Result=3","7195150")</f>
        <v>0</v>
      </c>
      <c r="B2987" t="s">
        <v>1253</v>
      </c>
      <c r="C2987" t="s">
        <v>6709</v>
      </c>
      <c r="D2987" t="s">
        <v>19043</v>
      </c>
      <c r="E2987" t="s">
        <v>21796</v>
      </c>
      <c r="F2987" t="s">
        <v>32606</v>
      </c>
      <c r="G2987" t="s">
        <v>32617</v>
      </c>
      <c r="H2987" t="s">
        <v>32625</v>
      </c>
      <c r="I2987" t="s">
        <v>4120</v>
      </c>
      <c r="J2987" t="s">
        <v>34836</v>
      </c>
      <c r="K2987" t="s">
        <v>42622</v>
      </c>
      <c r="M2987" t="s">
        <v>44219</v>
      </c>
      <c r="N2987" t="s">
        <v>47304</v>
      </c>
      <c r="O2987" t="s">
        <v>47305</v>
      </c>
      <c r="P2987">
        <v>0</v>
      </c>
      <c r="Q2987">
        <v>0</v>
      </c>
      <c r="R2987" t="s">
        <v>47306</v>
      </c>
      <c r="S2987" t="s">
        <v>47414</v>
      </c>
      <c r="T2987" t="s">
        <v>49242</v>
      </c>
      <c r="U2987" t="s">
        <v>52147</v>
      </c>
      <c r="W2987" t="s">
        <v>64469</v>
      </c>
      <c r="X2987" t="s">
        <v>47308</v>
      </c>
    </row>
    <row r="2988" spans="1:24">
      <c r="A2988">
        <f>HYPERLINK("https://www.philgeps.gov.ph/GEPSNONPILOT/Tender/SplashBidNoticeAbstractUI.aspx?menuIndex=3&amp;refID=7195147&amp;Result=3","7195147")</f>
        <v>0</v>
      </c>
      <c r="B2988" t="s">
        <v>1028</v>
      </c>
      <c r="C2988" t="s">
        <v>6710</v>
      </c>
      <c r="D2988" t="s">
        <v>19008</v>
      </c>
      <c r="E2988" t="s">
        <v>21797</v>
      </c>
      <c r="F2988" t="s">
        <v>32606</v>
      </c>
      <c r="G2988" t="s">
        <v>32613</v>
      </c>
      <c r="H2988" t="s">
        <v>14201</v>
      </c>
      <c r="I2988" t="s">
        <v>6931</v>
      </c>
      <c r="J2988" t="s">
        <v>34837</v>
      </c>
      <c r="K2988" t="s">
        <v>42631</v>
      </c>
      <c r="M2988" t="s">
        <v>44220</v>
      </c>
      <c r="N2988" t="s">
        <v>47304</v>
      </c>
      <c r="O2988" t="s">
        <v>47305</v>
      </c>
      <c r="P2988">
        <v>0</v>
      </c>
      <c r="Q2988">
        <v>1</v>
      </c>
      <c r="R2988" t="s">
        <v>47306</v>
      </c>
      <c r="S2988" t="s">
        <v>47414</v>
      </c>
      <c r="T2988" t="s">
        <v>49066</v>
      </c>
      <c r="U2988" t="s">
        <v>52148</v>
      </c>
      <c r="W2988" t="s">
        <v>43981</v>
      </c>
      <c r="X2988" t="s">
        <v>47308</v>
      </c>
    </row>
    <row r="2989" spans="1:24">
      <c r="A2989">
        <f>HYPERLINK("https://www.philgeps.gov.ph/GEPSNONPILOT/Tender/SplashBidNoticeAbstractUI.aspx?menuIndex=3&amp;refID=7195146&amp;Result=3","7195146")</f>
        <v>0</v>
      </c>
      <c r="B2989" t="s">
        <v>308</v>
      </c>
      <c r="C2989" t="s">
        <v>6711</v>
      </c>
      <c r="D2989" t="s">
        <v>19038</v>
      </c>
      <c r="E2989" t="s">
        <v>21798</v>
      </c>
      <c r="F2989" t="s">
        <v>32606</v>
      </c>
      <c r="G2989" t="s">
        <v>32619</v>
      </c>
      <c r="H2989" t="s">
        <v>14201</v>
      </c>
      <c r="I2989" t="s">
        <v>4114</v>
      </c>
      <c r="J2989" t="s">
        <v>33974</v>
      </c>
      <c r="K2989" t="s">
        <v>42629</v>
      </c>
      <c r="M2989" t="s">
        <v>43210</v>
      </c>
      <c r="N2989" t="s">
        <v>47304</v>
      </c>
      <c r="O2989" t="s">
        <v>47305</v>
      </c>
      <c r="P2989">
        <v>0</v>
      </c>
      <c r="Q2989">
        <v>0</v>
      </c>
      <c r="R2989" t="s">
        <v>47306</v>
      </c>
      <c r="S2989" t="s">
        <v>47414</v>
      </c>
      <c r="T2989" t="s">
        <v>49047</v>
      </c>
      <c r="U2989" t="s">
        <v>52149</v>
      </c>
      <c r="W2989" t="s">
        <v>43210</v>
      </c>
      <c r="X2989" t="s">
        <v>47308</v>
      </c>
    </row>
    <row r="2990" spans="1:24">
      <c r="A2990">
        <f>HYPERLINK("https://www.philgeps.gov.ph/GEPSNONPILOT/Tender/SplashBidNoticeAbstractUI.aspx?menuIndex=3&amp;refID=7195144&amp;Result=3","7195144")</f>
        <v>0</v>
      </c>
      <c r="B2990" t="s">
        <v>1254</v>
      </c>
      <c r="C2990" t="s">
        <v>6712</v>
      </c>
      <c r="E2990" t="s">
        <v>21799</v>
      </c>
      <c r="F2990" t="s">
        <v>32606</v>
      </c>
      <c r="G2990" t="s">
        <v>32613</v>
      </c>
      <c r="H2990" t="s">
        <v>14201</v>
      </c>
      <c r="I2990" t="s">
        <v>32655</v>
      </c>
      <c r="J2990" t="s">
        <v>34838</v>
      </c>
      <c r="K2990" t="s">
        <v>42624</v>
      </c>
      <c r="M2990" t="s">
        <v>44221</v>
      </c>
      <c r="N2990" t="s">
        <v>47304</v>
      </c>
      <c r="O2990" t="s">
        <v>47305</v>
      </c>
      <c r="P2990">
        <v>0</v>
      </c>
      <c r="Q2990">
        <v>10</v>
      </c>
      <c r="R2990" t="s">
        <v>47306</v>
      </c>
      <c r="S2990" t="s">
        <v>47414</v>
      </c>
      <c r="T2990" t="s">
        <v>49252</v>
      </c>
      <c r="U2990" t="s">
        <v>52150</v>
      </c>
      <c r="W2990" t="s">
        <v>44221</v>
      </c>
      <c r="X2990" t="s">
        <v>47308</v>
      </c>
    </row>
    <row r="2991" spans="1:24">
      <c r="A2991">
        <f>HYPERLINK("https://www.philgeps.gov.ph/GEPSNONPILOT/Tender/SplashBidNoticeAbstractUI.aspx?menuIndex=3&amp;refID=7195157&amp;Result=3","7195157")</f>
        <v>0</v>
      </c>
      <c r="B2991" t="s">
        <v>356</v>
      </c>
      <c r="C2991" t="s">
        <v>6713</v>
      </c>
      <c r="D2991" t="s">
        <v>19014</v>
      </c>
      <c r="E2991" t="s">
        <v>21800</v>
      </c>
      <c r="F2991" t="s">
        <v>32606</v>
      </c>
      <c r="G2991" t="s">
        <v>32613</v>
      </c>
      <c r="H2991" t="s">
        <v>32623</v>
      </c>
      <c r="I2991" t="s">
        <v>17648</v>
      </c>
      <c r="J2991" t="s">
        <v>32769</v>
      </c>
      <c r="K2991" t="s">
        <v>42648</v>
      </c>
      <c r="M2991" t="s">
        <v>43258</v>
      </c>
      <c r="N2991" t="s">
        <v>47304</v>
      </c>
      <c r="O2991" t="s">
        <v>47305</v>
      </c>
      <c r="P2991">
        <v>0</v>
      </c>
      <c r="Q2991">
        <v>35</v>
      </c>
      <c r="R2991" t="s">
        <v>47306</v>
      </c>
      <c r="S2991" t="s">
        <v>47414</v>
      </c>
      <c r="T2991" t="s">
        <v>49092</v>
      </c>
      <c r="U2991" t="s">
        <v>52151</v>
      </c>
      <c r="W2991" t="s">
        <v>43258</v>
      </c>
      <c r="X2991" t="s">
        <v>47308</v>
      </c>
    </row>
    <row r="2992" spans="1:24">
      <c r="A2992">
        <f>HYPERLINK("https://www.philgeps.gov.ph/GEPSNONPILOT/Tender/SplashBidNoticeAbstractUI.aspx?menuIndex=3&amp;refID=7195140&amp;Result=3","7195140")</f>
        <v>0</v>
      </c>
      <c r="B2992" t="s">
        <v>1058</v>
      </c>
      <c r="C2992" t="s">
        <v>6714</v>
      </c>
      <c r="D2992" t="s">
        <v>19039</v>
      </c>
      <c r="E2992" t="s">
        <v>21801</v>
      </c>
      <c r="F2992" t="s">
        <v>32606</v>
      </c>
      <c r="G2992" t="s">
        <v>32614</v>
      </c>
      <c r="H2992" t="s">
        <v>14201</v>
      </c>
      <c r="I2992" t="s">
        <v>32709</v>
      </c>
      <c r="J2992" t="s">
        <v>34839</v>
      </c>
      <c r="K2992" t="s">
        <v>42631</v>
      </c>
      <c r="M2992" t="s">
        <v>44011</v>
      </c>
      <c r="N2992" t="s">
        <v>47304</v>
      </c>
      <c r="O2992" t="s">
        <v>47305</v>
      </c>
      <c r="P2992">
        <v>0</v>
      </c>
      <c r="Q2992">
        <v>0</v>
      </c>
      <c r="R2992" t="s">
        <v>47306</v>
      </c>
      <c r="S2992" t="s">
        <v>47414</v>
      </c>
      <c r="T2992" t="s">
        <v>48986</v>
      </c>
      <c r="U2992" t="s">
        <v>52100</v>
      </c>
      <c r="W2992" t="s">
        <v>44011</v>
      </c>
      <c r="X2992" t="s">
        <v>47308</v>
      </c>
    </row>
    <row r="2993" spans="1:24">
      <c r="A2993">
        <f>HYPERLINK("https://www.philgeps.gov.ph/GEPSNONPILOT/Tender/SplashBidNoticeAbstractUI.aspx?menuIndex=3&amp;refID=7195155&amp;Result=3","7195155")</f>
        <v>0</v>
      </c>
      <c r="B2993" t="s">
        <v>1255</v>
      </c>
      <c r="C2993" t="s">
        <v>6715</v>
      </c>
      <c r="D2993" t="s">
        <v>19011</v>
      </c>
      <c r="E2993" t="s">
        <v>21802</v>
      </c>
      <c r="F2993" t="s">
        <v>32606</v>
      </c>
      <c r="G2993" t="s">
        <v>32613</v>
      </c>
      <c r="H2993" t="s">
        <v>14201</v>
      </c>
      <c r="I2993" t="s">
        <v>6931</v>
      </c>
      <c r="J2993" t="s">
        <v>34840</v>
      </c>
      <c r="K2993" t="s">
        <v>42623</v>
      </c>
      <c r="M2993" t="s">
        <v>44222</v>
      </c>
      <c r="N2993" t="s">
        <v>47304</v>
      </c>
      <c r="O2993" t="s">
        <v>47305</v>
      </c>
      <c r="P2993">
        <v>0</v>
      </c>
      <c r="Q2993">
        <v>0</v>
      </c>
      <c r="R2993" t="s">
        <v>47306</v>
      </c>
      <c r="S2993" t="s">
        <v>47414</v>
      </c>
      <c r="T2993" t="s">
        <v>48996</v>
      </c>
      <c r="U2993" t="s">
        <v>52152</v>
      </c>
      <c r="W2993" t="s">
        <v>44222</v>
      </c>
      <c r="X2993" t="s">
        <v>47308</v>
      </c>
    </row>
    <row r="2994" spans="1:24">
      <c r="A2994">
        <f>HYPERLINK("https://www.philgeps.gov.ph/GEPSNONPILOT/Tender/SplashBidNoticeAbstractUI.aspx?menuIndex=3&amp;refID=7195139&amp;Result=3","7195139")</f>
        <v>0</v>
      </c>
      <c r="B2994" t="s">
        <v>1196</v>
      </c>
      <c r="C2994" t="s">
        <v>6716</v>
      </c>
      <c r="D2994" t="s">
        <v>19010</v>
      </c>
      <c r="E2994" t="s">
        <v>21639</v>
      </c>
      <c r="F2994" t="s">
        <v>32607</v>
      </c>
      <c r="G2994" t="s">
        <v>32619</v>
      </c>
      <c r="H2994" t="s">
        <v>32623</v>
      </c>
      <c r="I2994" t="s">
        <v>17648</v>
      </c>
      <c r="J2994" t="s">
        <v>34841</v>
      </c>
      <c r="K2994" t="s">
        <v>42674</v>
      </c>
      <c r="L2994" t="s">
        <v>1196</v>
      </c>
      <c r="M2994" t="s">
        <v>44160</v>
      </c>
      <c r="N2994" t="s">
        <v>47304</v>
      </c>
      <c r="O2994" t="s">
        <v>47305</v>
      </c>
      <c r="P2994">
        <v>0</v>
      </c>
      <c r="Q2994">
        <v>0</v>
      </c>
      <c r="R2994" t="s">
        <v>47306</v>
      </c>
      <c r="S2994" t="s">
        <v>47414</v>
      </c>
      <c r="T2994" t="s">
        <v>48989</v>
      </c>
      <c r="U2994" t="s">
        <v>52153</v>
      </c>
      <c r="W2994" t="s">
        <v>44160</v>
      </c>
      <c r="X2994" t="s">
        <v>47308</v>
      </c>
    </row>
    <row r="2995" spans="1:24">
      <c r="A2995">
        <f>HYPERLINK("https://www.philgeps.gov.ph/GEPSNONPILOT/Tender/SplashBidNoticeAbstractUI.aspx?menuIndex=3&amp;refID=7195145&amp;Result=3","7195145")</f>
        <v>0</v>
      </c>
      <c r="B2995" t="s">
        <v>360</v>
      </c>
      <c r="C2995" t="s">
        <v>6717</v>
      </c>
      <c r="D2995" t="s">
        <v>19040</v>
      </c>
      <c r="E2995" t="s">
        <v>21803</v>
      </c>
      <c r="F2995" t="s">
        <v>32606</v>
      </c>
      <c r="G2995" t="s">
        <v>32614</v>
      </c>
      <c r="H2995" t="s">
        <v>14201</v>
      </c>
      <c r="I2995" t="s">
        <v>7233</v>
      </c>
      <c r="J2995" t="s">
        <v>34842</v>
      </c>
      <c r="K2995" t="s">
        <v>42630</v>
      </c>
      <c r="M2995" t="s">
        <v>43262</v>
      </c>
      <c r="N2995" t="s">
        <v>47304</v>
      </c>
      <c r="O2995" t="s">
        <v>47305</v>
      </c>
      <c r="P2995">
        <v>0</v>
      </c>
      <c r="Q2995">
        <v>1</v>
      </c>
      <c r="R2995" t="s">
        <v>47306</v>
      </c>
      <c r="S2995" t="s">
        <v>47414</v>
      </c>
      <c r="T2995" t="s">
        <v>49050</v>
      </c>
      <c r="U2995" t="s">
        <v>50184</v>
      </c>
      <c r="V2995" t="s">
        <v>62967</v>
      </c>
      <c r="W2995" t="s">
        <v>43262</v>
      </c>
      <c r="X2995" t="s">
        <v>47308</v>
      </c>
    </row>
    <row r="2996" spans="1:24">
      <c r="A2996">
        <f>HYPERLINK("https://www.philgeps.gov.ph/GEPSNONPILOT/Tender/SplashBidNoticeAbstractUI.aspx?menuIndex=3&amp;refID=7195158&amp;Result=3","7195158")</f>
        <v>0</v>
      </c>
      <c r="B2996" t="s">
        <v>1256</v>
      </c>
      <c r="C2996" t="s">
        <v>6718</v>
      </c>
      <c r="D2996" t="s">
        <v>19006</v>
      </c>
      <c r="E2996" t="s">
        <v>21804</v>
      </c>
      <c r="F2996" t="s">
        <v>32606</v>
      </c>
      <c r="G2996" t="s">
        <v>32613</v>
      </c>
      <c r="H2996" t="s">
        <v>14201</v>
      </c>
      <c r="I2996" t="s">
        <v>6931</v>
      </c>
      <c r="J2996" t="s">
        <v>34843</v>
      </c>
      <c r="K2996" t="s">
        <v>42630</v>
      </c>
      <c r="M2996" t="s">
        <v>44223</v>
      </c>
      <c r="N2996" t="s">
        <v>47304</v>
      </c>
      <c r="O2996" t="s">
        <v>47305</v>
      </c>
      <c r="P2996">
        <v>0</v>
      </c>
      <c r="Q2996">
        <v>0</v>
      </c>
      <c r="R2996" t="s">
        <v>47306</v>
      </c>
      <c r="S2996" t="s">
        <v>47414</v>
      </c>
      <c r="T2996" t="s">
        <v>49101</v>
      </c>
      <c r="U2996" t="s">
        <v>52154</v>
      </c>
      <c r="V2996" t="s">
        <v>62966</v>
      </c>
      <c r="W2996" t="s">
        <v>44223</v>
      </c>
      <c r="X2996" t="s">
        <v>47308</v>
      </c>
    </row>
    <row r="2997" spans="1:24">
      <c r="A2997">
        <f>HYPERLINK("https://www.philgeps.gov.ph/GEPSNONPILOT/Tender/SplashBidNoticeAbstractUI.aspx?menuIndex=3&amp;refID=7195178&amp;Result=3","7195178")</f>
        <v>0</v>
      </c>
      <c r="B2997" t="s">
        <v>1257</v>
      </c>
      <c r="C2997" t="s">
        <v>6719</v>
      </c>
      <c r="D2997" t="s">
        <v>19011</v>
      </c>
      <c r="E2997" t="s">
        <v>21805</v>
      </c>
      <c r="F2997" t="s">
        <v>32606</v>
      </c>
      <c r="G2997" t="s">
        <v>32614</v>
      </c>
      <c r="H2997" t="s">
        <v>14201</v>
      </c>
      <c r="I2997" t="s">
        <v>4112</v>
      </c>
      <c r="J2997" t="s">
        <v>32813</v>
      </c>
      <c r="K2997" t="s">
        <v>42623</v>
      </c>
      <c r="M2997" t="s">
        <v>44224</v>
      </c>
      <c r="N2997" t="s">
        <v>47304</v>
      </c>
      <c r="O2997" t="s">
        <v>47305</v>
      </c>
      <c r="P2997">
        <v>0</v>
      </c>
      <c r="Q2997">
        <v>0</v>
      </c>
      <c r="R2997" t="s">
        <v>47306</v>
      </c>
      <c r="S2997" t="s">
        <v>47414</v>
      </c>
      <c r="T2997" t="s">
        <v>48997</v>
      </c>
      <c r="U2997" t="s">
        <v>52155</v>
      </c>
      <c r="V2997" t="s">
        <v>62968</v>
      </c>
      <c r="W2997" t="s">
        <v>44224</v>
      </c>
      <c r="X2997" t="s">
        <v>47308</v>
      </c>
    </row>
    <row r="2998" spans="1:24">
      <c r="A2998">
        <f>HYPERLINK("https://www.philgeps.gov.ph/GEPSNONPILOT/Tender/SplashBidNoticeAbstractUI.aspx?menuIndex=3&amp;refID=7195176&amp;Result=3","7195176")</f>
        <v>0</v>
      </c>
      <c r="B2998" t="s">
        <v>360</v>
      </c>
      <c r="C2998" t="s">
        <v>6720</v>
      </c>
      <c r="D2998" t="s">
        <v>19040</v>
      </c>
      <c r="E2998" t="s">
        <v>21806</v>
      </c>
      <c r="F2998" t="s">
        <v>32606</v>
      </c>
      <c r="G2998" t="s">
        <v>32614</v>
      </c>
      <c r="H2998" t="s">
        <v>14201</v>
      </c>
      <c r="I2998" t="s">
        <v>32629</v>
      </c>
      <c r="J2998" t="s">
        <v>34844</v>
      </c>
      <c r="K2998" t="s">
        <v>42630</v>
      </c>
      <c r="M2998" t="s">
        <v>43262</v>
      </c>
      <c r="N2998" t="s">
        <v>47304</v>
      </c>
      <c r="O2998" t="s">
        <v>47305</v>
      </c>
      <c r="P2998">
        <v>0</v>
      </c>
      <c r="Q2998">
        <v>1</v>
      </c>
      <c r="R2998" t="s">
        <v>47306</v>
      </c>
      <c r="S2998" t="s">
        <v>47414</v>
      </c>
      <c r="T2998" t="s">
        <v>49050</v>
      </c>
      <c r="U2998" t="s">
        <v>50184</v>
      </c>
      <c r="W2998" t="s">
        <v>43262</v>
      </c>
      <c r="X2998" t="s">
        <v>47308</v>
      </c>
    </row>
    <row r="2999" spans="1:24">
      <c r="A2999">
        <f>HYPERLINK("https://www.philgeps.gov.ph/GEPSNONPILOT/Tender/SplashBidNoticeAbstractUI.aspx?menuIndex=3&amp;refID=7195175&amp;Result=3","7195175")</f>
        <v>0</v>
      </c>
      <c r="B2999" t="s">
        <v>1258</v>
      </c>
      <c r="C2999" t="s">
        <v>6721</v>
      </c>
      <c r="D2999" t="s">
        <v>19049</v>
      </c>
      <c r="E2999" t="s">
        <v>19316</v>
      </c>
      <c r="F2999" t="s">
        <v>32606</v>
      </c>
      <c r="G2999" t="s">
        <v>32614</v>
      </c>
      <c r="H2999" t="s">
        <v>14201</v>
      </c>
      <c r="I2999" t="s">
        <v>32661</v>
      </c>
      <c r="J2999" t="s">
        <v>33255</v>
      </c>
      <c r="K2999" t="s">
        <v>42629</v>
      </c>
      <c r="M2999" t="s">
        <v>44225</v>
      </c>
      <c r="N2999" t="s">
        <v>47304</v>
      </c>
      <c r="O2999" t="s">
        <v>47305</v>
      </c>
      <c r="P2999">
        <v>0</v>
      </c>
      <c r="Q2999">
        <v>3</v>
      </c>
      <c r="R2999" t="s">
        <v>47306</v>
      </c>
      <c r="S2999" t="s">
        <v>47414</v>
      </c>
      <c r="T2999" t="s">
        <v>49014</v>
      </c>
      <c r="U2999" t="s">
        <v>52156</v>
      </c>
      <c r="W2999" t="s">
        <v>44225</v>
      </c>
      <c r="X2999" t="s">
        <v>47308</v>
      </c>
    </row>
    <row r="3000" spans="1:24">
      <c r="A3000">
        <f>HYPERLINK("https://www.philgeps.gov.ph/GEPSNONPILOT/Tender/SplashBidNoticeAbstractUI.aspx?menuIndex=3&amp;refID=7195174&amp;Result=3","7195174")</f>
        <v>0</v>
      </c>
      <c r="B3000" t="s">
        <v>845</v>
      </c>
      <c r="C3000" t="s">
        <v>6722</v>
      </c>
      <c r="D3000" t="s">
        <v>19030</v>
      </c>
      <c r="E3000" t="s">
        <v>21807</v>
      </c>
      <c r="F3000" t="s">
        <v>32606</v>
      </c>
      <c r="G3000" t="s">
        <v>32613</v>
      </c>
      <c r="H3000" t="s">
        <v>14201</v>
      </c>
      <c r="I3000" t="s">
        <v>6931</v>
      </c>
      <c r="J3000" t="s">
        <v>34845</v>
      </c>
      <c r="K3000" t="s">
        <v>42630</v>
      </c>
      <c r="M3000" t="s">
        <v>43777</v>
      </c>
      <c r="N3000" t="s">
        <v>47304</v>
      </c>
      <c r="O3000" t="s">
        <v>47305</v>
      </c>
      <c r="P3000">
        <v>0</v>
      </c>
      <c r="Q3000">
        <v>0</v>
      </c>
      <c r="R3000" t="s">
        <v>47306</v>
      </c>
      <c r="S3000" t="s">
        <v>47414</v>
      </c>
      <c r="T3000" t="s">
        <v>49084</v>
      </c>
      <c r="U3000" t="s">
        <v>52157</v>
      </c>
      <c r="W3000" t="s">
        <v>43777</v>
      </c>
      <c r="X3000" t="s">
        <v>47308</v>
      </c>
    </row>
    <row r="3001" spans="1:24">
      <c r="A3001">
        <f>HYPERLINK("https://www.philgeps.gov.ph/GEPSNONPILOT/Tender/SplashBidNoticeAbstractUI.aspx?menuIndex=3&amp;refID=7195173&amp;Result=3","7195173")</f>
        <v>0</v>
      </c>
      <c r="B3001" t="s">
        <v>1259</v>
      </c>
      <c r="C3001" t="s">
        <v>6723</v>
      </c>
      <c r="D3001" t="s">
        <v>19061</v>
      </c>
      <c r="E3001" t="s">
        <v>21808</v>
      </c>
      <c r="F3001" t="s">
        <v>32606</v>
      </c>
      <c r="G3001" t="s">
        <v>32613</v>
      </c>
      <c r="H3001" t="s">
        <v>32623</v>
      </c>
      <c r="I3001" t="s">
        <v>17648</v>
      </c>
      <c r="J3001" t="s">
        <v>34846</v>
      </c>
      <c r="K3001" t="s">
        <v>42624</v>
      </c>
      <c r="M3001" t="s">
        <v>44226</v>
      </c>
      <c r="N3001" t="s">
        <v>47304</v>
      </c>
      <c r="O3001" t="s">
        <v>47305</v>
      </c>
      <c r="P3001">
        <v>0</v>
      </c>
      <c r="Q3001">
        <v>0</v>
      </c>
      <c r="R3001" t="s">
        <v>47306</v>
      </c>
      <c r="S3001" t="s">
        <v>47414</v>
      </c>
      <c r="T3001" t="s">
        <v>49052</v>
      </c>
      <c r="U3001" t="s">
        <v>52158</v>
      </c>
      <c r="W3001" t="s">
        <v>44226</v>
      </c>
      <c r="X3001" t="s">
        <v>47308</v>
      </c>
    </row>
    <row r="3002" spans="1:24">
      <c r="A3002">
        <f>HYPERLINK("https://www.philgeps.gov.ph/GEPSNONPILOT/Tender/SplashBidNoticeAbstractUI.aspx?menuIndex=3&amp;refID=7195171&amp;Result=3","7195171")</f>
        <v>0</v>
      </c>
      <c r="B3002" t="s">
        <v>149</v>
      </c>
      <c r="C3002" t="s">
        <v>6724</v>
      </c>
      <c r="D3002" t="s">
        <v>19034</v>
      </c>
      <c r="E3002" t="s">
        <v>21809</v>
      </c>
      <c r="F3002" t="s">
        <v>32606</v>
      </c>
      <c r="G3002" t="s">
        <v>32613</v>
      </c>
      <c r="H3002" t="s">
        <v>14201</v>
      </c>
      <c r="I3002" t="s">
        <v>32711</v>
      </c>
      <c r="J3002" t="s">
        <v>33034</v>
      </c>
      <c r="K3002" t="s">
        <v>42631</v>
      </c>
      <c r="M3002" t="s">
        <v>43050</v>
      </c>
      <c r="N3002" t="s">
        <v>47304</v>
      </c>
      <c r="O3002" t="s">
        <v>47305</v>
      </c>
      <c r="P3002">
        <v>0</v>
      </c>
      <c r="Q3002">
        <v>1</v>
      </c>
      <c r="R3002" t="s">
        <v>47306</v>
      </c>
      <c r="S3002" t="s">
        <v>47414</v>
      </c>
      <c r="T3002" t="s">
        <v>48986</v>
      </c>
      <c r="U3002" t="s">
        <v>52159</v>
      </c>
      <c r="W3002" t="s">
        <v>43050</v>
      </c>
      <c r="X3002" t="s">
        <v>47308</v>
      </c>
    </row>
    <row r="3003" spans="1:24">
      <c r="A3003">
        <f>HYPERLINK("https://www.philgeps.gov.ph/GEPSNONPILOT/Tender/SplashBidNoticeAbstractUI.aspx?menuIndex=3&amp;refID=7195170&amp;Result=3","7195170")</f>
        <v>0</v>
      </c>
      <c r="B3003" t="s">
        <v>1189</v>
      </c>
      <c r="C3003" t="s">
        <v>6725</v>
      </c>
      <c r="D3003" t="s">
        <v>19016</v>
      </c>
      <c r="E3003" t="s">
        <v>21810</v>
      </c>
      <c r="F3003" t="s">
        <v>32606</v>
      </c>
      <c r="G3003" t="s">
        <v>32614</v>
      </c>
      <c r="H3003" t="s">
        <v>14201</v>
      </c>
      <c r="I3003" t="s">
        <v>7233</v>
      </c>
      <c r="J3003" t="s">
        <v>34847</v>
      </c>
      <c r="K3003" t="s">
        <v>42623</v>
      </c>
      <c r="M3003" t="s">
        <v>44153</v>
      </c>
      <c r="N3003" t="s">
        <v>47304</v>
      </c>
      <c r="O3003" t="s">
        <v>47305</v>
      </c>
      <c r="P3003">
        <v>0</v>
      </c>
      <c r="Q3003">
        <v>0</v>
      </c>
      <c r="R3003" t="s">
        <v>47306</v>
      </c>
      <c r="S3003" t="s">
        <v>47414</v>
      </c>
      <c r="T3003" t="s">
        <v>49004</v>
      </c>
      <c r="U3003" t="s">
        <v>52160</v>
      </c>
      <c r="V3003" t="s">
        <v>62952</v>
      </c>
      <c r="W3003" t="s">
        <v>44153</v>
      </c>
      <c r="X3003" t="s">
        <v>47308</v>
      </c>
    </row>
    <row r="3004" spans="1:24">
      <c r="A3004">
        <f>HYPERLINK("https://www.philgeps.gov.ph/GEPSNONPILOT/Tender/SplashBidNoticeAbstractUI.aspx?menuIndex=3&amp;refID=7195169&amp;Result=3","7195169")</f>
        <v>0</v>
      </c>
      <c r="B3004" t="s">
        <v>1241</v>
      </c>
      <c r="C3004" t="s">
        <v>6726</v>
      </c>
      <c r="D3004" t="s">
        <v>18993</v>
      </c>
      <c r="E3004" t="s">
        <v>21811</v>
      </c>
      <c r="F3004" t="s">
        <v>32606</v>
      </c>
      <c r="G3004" t="s">
        <v>32614</v>
      </c>
      <c r="H3004" t="s">
        <v>14201</v>
      </c>
      <c r="I3004" t="s">
        <v>32638</v>
      </c>
      <c r="J3004" t="s">
        <v>34848</v>
      </c>
      <c r="K3004" t="s">
        <v>42624</v>
      </c>
      <c r="M3004" t="s">
        <v>44207</v>
      </c>
      <c r="N3004" t="s">
        <v>47304</v>
      </c>
      <c r="O3004" t="s">
        <v>47305</v>
      </c>
      <c r="P3004">
        <v>0</v>
      </c>
      <c r="Q3004">
        <v>2</v>
      </c>
      <c r="R3004" t="s">
        <v>47306</v>
      </c>
      <c r="S3004" t="s">
        <v>47414</v>
      </c>
      <c r="T3004" t="s">
        <v>48986</v>
      </c>
      <c r="U3004" t="s">
        <v>52161</v>
      </c>
      <c r="W3004" t="s">
        <v>44207</v>
      </c>
      <c r="X3004" t="s">
        <v>47308</v>
      </c>
    </row>
    <row r="3005" spans="1:24">
      <c r="A3005">
        <f>HYPERLINK("https://www.philgeps.gov.ph/GEPSNONPILOT/Tender/SplashBidNoticeAbstractUI.aspx?menuIndex=3&amp;refID=7195167&amp;Result=3","7195167")</f>
        <v>0</v>
      </c>
      <c r="B3005" t="s">
        <v>974</v>
      </c>
      <c r="C3005" t="s">
        <v>6727</v>
      </c>
      <c r="D3005" t="s">
        <v>19037</v>
      </c>
      <c r="E3005" t="s">
        <v>21812</v>
      </c>
      <c r="F3005" t="s">
        <v>32606</v>
      </c>
      <c r="G3005" t="s">
        <v>32613</v>
      </c>
      <c r="H3005" t="s">
        <v>32623</v>
      </c>
      <c r="I3005" t="s">
        <v>17648</v>
      </c>
      <c r="J3005" t="s">
        <v>33263</v>
      </c>
      <c r="K3005" t="s">
        <v>42631</v>
      </c>
      <c r="M3005" t="s">
        <v>43920</v>
      </c>
      <c r="N3005" t="s">
        <v>47304</v>
      </c>
      <c r="O3005" t="s">
        <v>47305</v>
      </c>
      <c r="P3005">
        <v>0</v>
      </c>
      <c r="Q3005">
        <v>0</v>
      </c>
      <c r="R3005" t="s">
        <v>47306</v>
      </c>
      <c r="S3005" t="s">
        <v>47414</v>
      </c>
      <c r="T3005" t="s">
        <v>49094</v>
      </c>
      <c r="U3005" t="s">
        <v>52162</v>
      </c>
      <c r="W3005" t="s">
        <v>43920</v>
      </c>
      <c r="X3005" t="s">
        <v>47308</v>
      </c>
    </row>
    <row r="3006" spans="1:24">
      <c r="A3006">
        <f>HYPERLINK("https://www.philgeps.gov.ph/GEPSNONPILOT/Tender/SplashBidNoticeAbstractUI.aspx?menuIndex=3&amp;refID=7195152&amp;Result=3","7195152")</f>
        <v>0</v>
      </c>
      <c r="B3006" t="s">
        <v>1193</v>
      </c>
      <c r="C3006" t="s">
        <v>6728</v>
      </c>
      <c r="D3006" t="s">
        <v>19007</v>
      </c>
      <c r="E3006" t="s">
        <v>21813</v>
      </c>
      <c r="F3006" t="s">
        <v>32606</v>
      </c>
      <c r="G3006" t="s">
        <v>32613</v>
      </c>
      <c r="H3006" t="s">
        <v>14201</v>
      </c>
      <c r="I3006" t="s">
        <v>6478</v>
      </c>
      <c r="J3006" t="s">
        <v>34849</v>
      </c>
      <c r="K3006" t="s">
        <v>42624</v>
      </c>
      <c r="M3006" t="s">
        <v>44227</v>
      </c>
      <c r="N3006" t="s">
        <v>47304</v>
      </c>
      <c r="O3006" t="s">
        <v>47305</v>
      </c>
      <c r="P3006">
        <v>0</v>
      </c>
      <c r="Q3006">
        <v>3</v>
      </c>
      <c r="R3006" t="s">
        <v>47306</v>
      </c>
      <c r="S3006" t="s">
        <v>47414</v>
      </c>
      <c r="T3006" t="s">
        <v>49029</v>
      </c>
      <c r="U3006" t="s">
        <v>52163</v>
      </c>
      <c r="W3006" t="s">
        <v>44560</v>
      </c>
      <c r="X3006" t="s">
        <v>47308</v>
      </c>
    </row>
    <row r="3007" spans="1:24">
      <c r="A3007">
        <f>HYPERLINK("https://www.philgeps.gov.ph/GEPSNONPILOT/Tender/SplashBidNoticeAbstractUI.aspx?menuIndex=3&amp;refID=7195166&amp;Result=3","7195166")</f>
        <v>0</v>
      </c>
      <c r="B3007" t="s">
        <v>1260</v>
      </c>
      <c r="C3007" t="s">
        <v>6729</v>
      </c>
      <c r="D3007" t="s">
        <v>18997</v>
      </c>
      <c r="E3007" t="s">
        <v>21814</v>
      </c>
      <c r="F3007" t="s">
        <v>32606</v>
      </c>
      <c r="G3007" t="s">
        <v>32613</v>
      </c>
      <c r="H3007" t="s">
        <v>14201</v>
      </c>
      <c r="I3007" t="s">
        <v>6931</v>
      </c>
      <c r="J3007" t="s">
        <v>34850</v>
      </c>
      <c r="K3007" t="s">
        <v>42631</v>
      </c>
      <c r="M3007" t="s">
        <v>44228</v>
      </c>
      <c r="N3007" t="s">
        <v>47304</v>
      </c>
      <c r="O3007" t="s">
        <v>47305</v>
      </c>
      <c r="P3007">
        <v>0</v>
      </c>
      <c r="Q3007">
        <v>0</v>
      </c>
      <c r="R3007" t="s">
        <v>47306</v>
      </c>
      <c r="S3007" t="s">
        <v>47414</v>
      </c>
      <c r="T3007" t="s">
        <v>48973</v>
      </c>
      <c r="U3007" t="s">
        <v>52164</v>
      </c>
      <c r="W3007" t="s">
        <v>44228</v>
      </c>
      <c r="X3007" t="s">
        <v>47308</v>
      </c>
    </row>
    <row r="3008" spans="1:24">
      <c r="A3008">
        <f>HYPERLINK("https://www.philgeps.gov.ph/GEPSNONPILOT/Tender/SplashBidNoticeAbstractUI.aspx?menuIndex=3&amp;refID=7195172&amp;Result=3","7195172")</f>
        <v>0</v>
      </c>
      <c r="B3008" t="s">
        <v>432</v>
      </c>
      <c r="C3008" t="s">
        <v>6730</v>
      </c>
      <c r="D3008" t="s">
        <v>19032</v>
      </c>
      <c r="E3008" t="s">
        <v>21815</v>
      </c>
      <c r="F3008" t="s">
        <v>32606</v>
      </c>
      <c r="G3008" t="s">
        <v>32619</v>
      </c>
      <c r="H3008" t="s">
        <v>14201</v>
      </c>
      <c r="I3008" t="s">
        <v>7577</v>
      </c>
      <c r="J3008" t="s">
        <v>33404</v>
      </c>
      <c r="K3008" t="s">
        <v>42624</v>
      </c>
      <c r="M3008" t="s">
        <v>43338</v>
      </c>
      <c r="N3008" t="s">
        <v>47304</v>
      </c>
      <c r="O3008" t="s">
        <v>47305</v>
      </c>
      <c r="P3008">
        <v>0</v>
      </c>
      <c r="Q3008">
        <v>0</v>
      </c>
      <c r="R3008" t="s">
        <v>47306</v>
      </c>
      <c r="S3008" t="s">
        <v>47414</v>
      </c>
      <c r="T3008" t="s">
        <v>48998</v>
      </c>
      <c r="U3008" t="s">
        <v>52165</v>
      </c>
      <c r="W3008" t="s">
        <v>43338</v>
      </c>
      <c r="X3008" t="s">
        <v>47308</v>
      </c>
    </row>
    <row r="3009" spans="1:24">
      <c r="A3009">
        <f>HYPERLINK("https://www.philgeps.gov.ph/GEPSNONPILOT/Tender/SplashBidNoticeAbstractUI.aspx?menuIndex=3&amp;refID=7195089&amp;Result=3","7195089")</f>
        <v>0</v>
      </c>
      <c r="B3009" t="s">
        <v>641</v>
      </c>
      <c r="C3009" t="s">
        <v>6731</v>
      </c>
      <c r="E3009" t="s">
        <v>20933</v>
      </c>
      <c r="F3009" t="s">
        <v>32606</v>
      </c>
      <c r="G3009" t="s">
        <v>32614</v>
      </c>
      <c r="H3009" t="s">
        <v>14201</v>
      </c>
      <c r="I3009" t="s">
        <v>6931</v>
      </c>
      <c r="J3009" t="s">
        <v>34851</v>
      </c>
      <c r="K3009" t="s">
        <v>42627</v>
      </c>
      <c r="M3009" t="s">
        <v>43559</v>
      </c>
      <c r="N3009" t="s">
        <v>47304</v>
      </c>
      <c r="O3009" t="s">
        <v>47305</v>
      </c>
      <c r="P3009">
        <v>0</v>
      </c>
      <c r="Q3009">
        <v>0</v>
      </c>
      <c r="R3009" t="s">
        <v>47306</v>
      </c>
      <c r="S3009" t="s">
        <v>47414</v>
      </c>
      <c r="T3009" t="s">
        <v>48980</v>
      </c>
      <c r="U3009" t="s">
        <v>52166</v>
      </c>
      <c r="W3009" t="s">
        <v>43559</v>
      </c>
      <c r="X3009" t="s">
        <v>47308</v>
      </c>
    </row>
    <row r="3010" spans="1:24">
      <c r="A3010">
        <f>HYPERLINK("https://www.philgeps.gov.ph/GEPSNONPILOT/Tender/SplashBidNoticeAbstractUI.aspx?menuIndex=3&amp;refID=7195163&amp;Result=3","7195163")</f>
        <v>0</v>
      </c>
      <c r="B3010" t="s">
        <v>1261</v>
      </c>
      <c r="C3010" t="s">
        <v>6732</v>
      </c>
      <c r="D3010" t="s">
        <v>19038</v>
      </c>
      <c r="E3010" t="s">
        <v>21816</v>
      </c>
      <c r="F3010" t="s">
        <v>32606</v>
      </c>
      <c r="G3010" t="s">
        <v>32614</v>
      </c>
      <c r="H3010" t="s">
        <v>14201</v>
      </c>
      <c r="I3010" t="s">
        <v>32629</v>
      </c>
      <c r="J3010" t="s">
        <v>34852</v>
      </c>
      <c r="K3010" t="s">
        <v>42624</v>
      </c>
      <c r="M3010" t="s">
        <v>44229</v>
      </c>
      <c r="N3010" t="s">
        <v>47304</v>
      </c>
      <c r="O3010" t="s">
        <v>47305</v>
      </c>
      <c r="P3010">
        <v>0</v>
      </c>
      <c r="Q3010">
        <v>0</v>
      </c>
      <c r="R3010" t="s">
        <v>47306</v>
      </c>
      <c r="S3010" t="s">
        <v>47414</v>
      </c>
      <c r="T3010" t="s">
        <v>49018</v>
      </c>
      <c r="U3010" t="s">
        <v>52167</v>
      </c>
      <c r="W3010" t="s">
        <v>44229</v>
      </c>
      <c r="X3010" t="s">
        <v>47308</v>
      </c>
    </row>
    <row r="3011" spans="1:24">
      <c r="A3011">
        <f>HYPERLINK("https://www.philgeps.gov.ph/GEPSNONPILOT/Tender/SplashBidNoticeAbstractUI.aspx?menuIndex=3&amp;refID=7195168&amp;Result=3","7195168")</f>
        <v>0</v>
      </c>
      <c r="B3011" t="s">
        <v>381</v>
      </c>
      <c r="C3011" t="s">
        <v>6733</v>
      </c>
      <c r="E3011" t="s">
        <v>21817</v>
      </c>
      <c r="F3011" t="s">
        <v>32606</v>
      </c>
      <c r="G3011" t="s">
        <v>32614</v>
      </c>
      <c r="H3011" t="s">
        <v>14201</v>
      </c>
      <c r="I3011" t="s">
        <v>6931</v>
      </c>
      <c r="J3011" t="s">
        <v>34853</v>
      </c>
      <c r="K3011" t="s">
        <v>42624</v>
      </c>
      <c r="M3011" t="s">
        <v>43283</v>
      </c>
      <c r="N3011" t="s">
        <v>47304</v>
      </c>
      <c r="O3011" t="s">
        <v>47305</v>
      </c>
      <c r="P3011">
        <v>0</v>
      </c>
      <c r="Q3011">
        <v>1</v>
      </c>
      <c r="R3011" t="s">
        <v>47306</v>
      </c>
      <c r="S3011" t="s">
        <v>47414</v>
      </c>
      <c r="T3011" t="s">
        <v>49019</v>
      </c>
      <c r="U3011" t="s">
        <v>50290</v>
      </c>
      <c r="W3011" t="s">
        <v>43283</v>
      </c>
      <c r="X3011" t="s">
        <v>47308</v>
      </c>
    </row>
    <row r="3012" spans="1:24">
      <c r="A3012">
        <f>HYPERLINK("https://www.philgeps.gov.ph/GEPSNONPILOT/Tender/SplashBidNoticeAbstractUI.aspx?menuIndex=3&amp;refID=7195160&amp;Result=3","7195160")</f>
        <v>0</v>
      </c>
      <c r="B3012" t="s">
        <v>1262</v>
      </c>
      <c r="C3012" t="s">
        <v>6734</v>
      </c>
      <c r="D3012" t="s">
        <v>19021</v>
      </c>
      <c r="E3012" t="s">
        <v>21818</v>
      </c>
      <c r="F3012" t="s">
        <v>32606</v>
      </c>
      <c r="G3012" t="s">
        <v>32613</v>
      </c>
      <c r="H3012" t="s">
        <v>14201</v>
      </c>
      <c r="I3012" t="s">
        <v>32633</v>
      </c>
      <c r="J3012" t="s">
        <v>34854</v>
      </c>
      <c r="K3012" t="s">
        <v>42627</v>
      </c>
      <c r="M3012" t="s">
        <v>44230</v>
      </c>
      <c r="N3012" t="s">
        <v>47304</v>
      </c>
      <c r="O3012" t="s">
        <v>47305</v>
      </c>
      <c r="P3012">
        <v>0</v>
      </c>
      <c r="Q3012">
        <v>3</v>
      </c>
      <c r="R3012" t="s">
        <v>47306</v>
      </c>
      <c r="S3012" t="s">
        <v>47414</v>
      </c>
      <c r="T3012" t="s">
        <v>49169</v>
      </c>
      <c r="U3012" t="s">
        <v>52168</v>
      </c>
      <c r="V3012" t="s">
        <v>62969</v>
      </c>
      <c r="W3012" t="s">
        <v>44230</v>
      </c>
      <c r="X3012" t="s">
        <v>47308</v>
      </c>
    </row>
    <row r="3013" spans="1:24">
      <c r="A3013">
        <f>HYPERLINK("https://www.philgeps.gov.ph/GEPSNONPILOT/Tender/SplashBidNoticeAbstractUI.aspx?menuIndex=3&amp;refID=7195159&amp;Result=3","7195159")</f>
        <v>0</v>
      </c>
      <c r="B3013" t="s">
        <v>1263</v>
      </c>
      <c r="C3013" t="s">
        <v>6735</v>
      </c>
      <c r="D3013" t="s">
        <v>19010</v>
      </c>
      <c r="E3013" t="s">
        <v>21819</v>
      </c>
      <c r="F3013" t="s">
        <v>32606</v>
      </c>
      <c r="G3013" t="s">
        <v>32614</v>
      </c>
      <c r="H3013" t="s">
        <v>14201</v>
      </c>
      <c r="I3013" t="s">
        <v>32629</v>
      </c>
      <c r="J3013" t="s">
        <v>34855</v>
      </c>
      <c r="K3013" t="s">
        <v>42631</v>
      </c>
      <c r="M3013" t="s">
        <v>44231</v>
      </c>
      <c r="N3013" t="s">
        <v>47304</v>
      </c>
      <c r="O3013" t="s">
        <v>47305</v>
      </c>
      <c r="P3013">
        <v>0</v>
      </c>
      <c r="Q3013">
        <v>0</v>
      </c>
      <c r="R3013" t="s">
        <v>47306</v>
      </c>
      <c r="S3013" t="s">
        <v>47414</v>
      </c>
      <c r="T3013" t="s">
        <v>49253</v>
      </c>
      <c r="U3013" t="s">
        <v>52169</v>
      </c>
      <c r="W3013" t="s">
        <v>44231</v>
      </c>
      <c r="X3013" t="s">
        <v>47308</v>
      </c>
    </row>
    <row r="3014" spans="1:24">
      <c r="A3014">
        <f>HYPERLINK("https://www.philgeps.gov.ph/GEPSNONPILOT/Tender/SplashBidNoticeAbstractUI.aspx?menuIndex=3&amp;refID=7195143&amp;Result=3","7195143")</f>
        <v>0</v>
      </c>
      <c r="B3014" t="s">
        <v>1264</v>
      </c>
      <c r="C3014" t="s">
        <v>6736</v>
      </c>
      <c r="D3014" t="s">
        <v>19005</v>
      </c>
      <c r="E3014" t="s">
        <v>21820</v>
      </c>
      <c r="F3014" t="s">
        <v>32606</v>
      </c>
      <c r="G3014" t="s">
        <v>32614</v>
      </c>
      <c r="H3014" t="s">
        <v>14201</v>
      </c>
      <c r="I3014" t="s">
        <v>32640</v>
      </c>
      <c r="J3014" t="s">
        <v>32868</v>
      </c>
      <c r="K3014" t="s">
        <v>42632</v>
      </c>
      <c r="M3014" t="s">
        <v>44232</v>
      </c>
      <c r="N3014" t="s">
        <v>47304</v>
      </c>
      <c r="O3014" t="s">
        <v>47305</v>
      </c>
      <c r="P3014">
        <v>0</v>
      </c>
      <c r="Q3014">
        <v>1</v>
      </c>
      <c r="R3014" t="s">
        <v>47306</v>
      </c>
      <c r="S3014" t="s">
        <v>47414</v>
      </c>
      <c r="T3014" t="s">
        <v>48980</v>
      </c>
      <c r="U3014" t="s">
        <v>52170</v>
      </c>
      <c r="W3014" t="s">
        <v>44232</v>
      </c>
      <c r="X3014" t="s">
        <v>47308</v>
      </c>
    </row>
    <row r="3015" spans="1:24">
      <c r="A3015">
        <f>HYPERLINK("https://www.philgeps.gov.ph/GEPSNONPILOT/Tender/SplashBidNoticeAbstractUI.aspx?menuIndex=3&amp;refID=7195164&amp;Result=3","7195164")</f>
        <v>0</v>
      </c>
      <c r="B3015" t="s">
        <v>141</v>
      </c>
      <c r="C3015" t="s">
        <v>6737</v>
      </c>
      <c r="E3015" t="s">
        <v>21821</v>
      </c>
      <c r="F3015" t="s">
        <v>32606</v>
      </c>
      <c r="G3015" t="s">
        <v>32614</v>
      </c>
      <c r="H3015" t="s">
        <v>14201</v>
      </c>
      <c r="I3015" t="s">
        <v>7233</v>
      </c>
      <c r="J3015" t="s">
        <v>34856</v>
      </c>
      <c r="K3015" t="s">
        <v>42624</v>
      </c>
      <c r="M3015" t="s">
        <v>43042</v>
      </c>
      <c r="N3015" t="s">
        <v>47304</v>
      </c>
      <c r="O3015" t="s">
        <v>47305</v>
      </c>
      <c r="P3015">
        <v>0</v>
      </c>
      <c r="Q3015">
        <v>0</v>
      </c>
      <c r="R3015" t="s">
        <v>47306</v>
      </c>
      <c r="S3015" t="s">
        <v>47414</v>
      </c>
      <c r="T3015" t="s">
        <v>49004</v>
      </c>
      <c r="U3015" t="s">
        <v>49781</v>
      </c>
      <c r="W3015" t="s">
        <v>43042</v>
      </c>
      <c r="X3015" t="s">
        <v>47308</v>
      </c>
    </row>
    <row r="3016" spans="1:24">
      <c r="A3016">
        <f>HYPERLINK("https://www.philgeps.gov.ph/GEPSNONPILOT/Tender/SplashBidNoticeAbstractUI.aspx?menuIndex=3&amp;refID=7195162&amp;Result=3","7195162")</f>
        <v>0</v>
      </c>
      <c r="B3016" t="s">
        <v>1265</v>
      </c>
      <c r="C3016" t="s">
        <v>6738</v>
      </c>
      <c r="D3016" t="s">
        <v>19058</v>
      </c>
      <c r="E3016" t="s">
        <v>21822</v>
      </c>
      <c r="F3016" t="s">
        <v>32606</v>
      </c>
      <c r="G3016" t="s">
        <v>32619</v>
      </c>
      <c r="H3016" t="s">
        <v>14201</v>
      </c>
      <c r="I3016" t="s">
        <v>4120</v>
      </c>
      <c r="J3016" t="s">
        <v>34857</v>
      </c>
      <c r="K3016" t="s">
        <v>42632</v>
      </c>
      <c r="M3016" t="s">
        <v>44233</v>
      </c>
      <c r="N3016" t="s">
        <v>47304</v>
      </c>
      <c r="O3016" t="s">
        <v>47305</v>
      </c>
      <c r="P3016">
        <v>0</v>
      </c>
      <c r="Q3016">
        <v>2</v>
      </c>
      <c r="R3016" t="s">
        <v>47306</v>
      </c>
      <c r="S3016" t="s">
        <v>47414</v>
      </c>
      <c r="T3016" t="s">
        <v>49219</v>
      </c>
      <c r="U3016" t="s">
        <v>52171</v>
      </c>
      <c r="V3016" t="s">
        <v>62970</v>
      </c>
      <c r="W3016" t="s">
        <v>44233</v>
      </c>
      <c r="X3016" t="s">
        <v>47308</v>
      </c>
    </row>
    <row r="3017" spans="1:24">
      <c r="A3017">
        <f>HYPERLINK("https://www.philgeps.gov.ph/GEPSNONPILOT/Tender/SplashBidNoticeAbstractUI.aspx?menuIndex=3&amp;refID=7195161&amp;Result=3","7195161")</f>
        <v>0</v>
      </c>
      <c r="B3017" t="s">
        <v>1189</v>
      </c>
      <c r="C3017" t="s">
        <v>6739</v>
      </c>
      <c r="D3017" t="s">
        <v>19016</v>
      </c>
      <c r="E3017" t="s">
        <v>21823</v>
      </c>
      <c r="F3017" t="s">
        <v>32606</v>
      </c>
      <c r="G3017" t="s">
        <v>32614</v>
      </c>
      <c r="H3017" t="s">
        <v>32623</v>
      </c>
      <c r="I3017" t="s">
        <v>17648</v>
      </c>
      <c r="J3017" t="s">
        <v>33748</v>
      </c>
      <c r="K3017" t="s">
        <v>42636</v>
      </c>
      <c r="M3017" t="s">
        <v>44153</v>
      </c>
      <c r="N3017" t="s">
        <v>47304</v>
      </c>
      <c r="O3017" t="s">
        <v>47305</v>
      </c>
      <c r="P3017">
        <v>0</v>
      </c>
      <c r="Q3017">
        <v>1</v>
      </c>
      <c r="R3017" t="s">
        <v>47306</v>
      </c>
      <c r="S3017" t="s">
        <v>47414</v>
      </c>
      <c r="T3017" t="s">
        <v>49004</v>
      </c>
      <c r="U3017" t="s">
        <v>52172</v>
      </c>
      <c r="V3017" t="s">
        <v>62952</v>
      </c>
      <c r="W3017" t="s">
        <v>44153</v>
      </c>
      <c r="X3017" t="s">
        <v>47308</v>
      </c>
    </row>
    <row r="3018" spans="1:24">
      <c r="A3018">
        <f>HYPERLINK("https://www.philgeps.gov.ph/GEPSNONPILOT/Tender/SplashBidNoticeAbstractUI.aspx?menuIndex=3&amp;refID=7195195&amp;Result=3","7195195")</f>
        <v>0</v>
      </c>
      <c r="B3018" t="s">
        <v>813</v>
      </c>
      <c r="C3018" t="s">
        <v>6740</v>
      </c>
      <c r="D3018" t="s">
        <v>19044</v>
      </c>
      <c r="E3018" t="s">
        <v>21824</v>
      </c>
      <c r="F3018" t="s">
        <v>32606</v>
      </c>
      <c r="G3018" t="s">
        <v>32614</v>
      </c>
      <c r="H3018" t="s">
        <v>14201</v>
      </c>
      <c r="I3018" t="s">
        <v>6298</v>
      </c>
      <c r="J3018" t="s">
        <v>34858</v>
      </c>
      <c r="K3018" t="s">
        <v>42630</v>
      </c>
      <c r="M3018" t="s">
        <v>43744</v>
      </c>
      <c r="N3018" t="s">
        <v>47304</v>
      </c>
      <c r="O3018" t="s">
        <v>47305</v>
      </c>
      <c r="P3018">
        <v>0</v>
      </c>
      <c r="Q3018">
        <v>2</v>
      </c>
      <c r="R3018" t="s">
        <v>47306</v>
      </c>
      <c r="S3018" t="s">
        <v>47414</v>
      </c>
      <c r="T3018" t="s">
        <v>48987</v>
      </c>
      <c r="U3018" t="s">
        <v>52173</v>
      </c>
      <c r="W3018" t="s">
        <v>43744</v>
      </c>
      <c r="X3018" t="s">
        <v>47308</v>
      </c>
    </row>
    <row r="3019" spans="1:24">
      <c r="A3019">
        <f>HYPERLINK("https://www.philgeps.gov.ph/GEPSNONPILOT/Tender/SplashBidNoticeAbstractUI.aspx?menuIndex=3&amp;refID=7195165&amp;Result=3","7195165")</f>
        <v>0</v>
      </c>
      <c r="B3019" t="s">
        <v>877</v>
      </c>
      <c r="C3019" t="s">
        <v>6741</v>
      </c>
      <c r="D3019" t="s">
        <v>19044</v>
      </c>
      <c r="E3019" t="s">
        <v>21825</v>
      </c>
      <c r="F3019" t="s">
        <v>32606</v>
      </c>
      <c r="G3019" t="s">
        <v>32614</v>
      </c>
      <c r="H3019" t="s">
        <v>14201</v>
      </c>
      <c r="I3019" t="s">
        <v>4678</v>
      </c>
      <c r="J3019" t="s">
        <v>32813</v>
      </c>
      <c r="K3019" t="s">
        <v>42623</v>
      </c>
      <c r="M3019" t="s">
        <v>43813</v>
      </c>
      <c r="N3019" t="s">
        <v>47304</v>
      </c>
      <c r="O3019" t="s">
        <v>47305</v>
      </c>
      <c r="P3019">
        <v>0</v>
      </c>
      <c r="Q3019">
        <v>2</v>
      </c>
      <c r="R3019" t="s">
        <v>47306</v>
      </c>
      <c r="S3019" t="s">
        <v>47414</v>
      </c>
      <c r="T3019" t="s">
        <v>48997</v>
      </c>
      <c r="U3019" t="s">
        <v>52174</v>
      </c>
      <c r="W3019" t="s">
        <v>43813</v>
      </c>
      <c r="X3019" t="s">
        <v>47308</v>
      </c>
    </row>
    <row r="3020" spans="1:24">
      <c r="A3020">
        <f>HYPERLINK("https://www.philgeps.gov.ph/GEPSNONPILOT/Tender/SplashBidNoticeAbstractUI.aspx?menuIndex=3&amp;refID=7195193&amp;Result=3","7195193")</f>
        <v>0</v>
      </c>
      <c r="B3020" t="s">
        <v>974</v>
      </c>
      <c r="C3020" t="s">
        <v>6742</v>
      </c>
      <c r="D3020" t="s">
        <v>19037</v>
      </c>
      <c r="E3020" t="s">
        <v>21826</v>
      </c>
      <c r="F3020" t="s">
        <v>32606</v>
      </c>
      <c r="G3020" t="s">
        <v>32613</v>
      </c>
      <c r="H3020" t="s">
        <v>14201</v>
      </c>
      <c r="I3020" t="s">
        <v>7064</v>
      </c>
      <c r="J3020" t="s">
        <v>32795</v>
      </c>
      <c r="K3020" t="s">
        <v>42631</v>
      </c>
      <c r="M3020" t="s">
        <v>43920</v>
      </c>
      <c r="N3020" t="s">
        <v>47304</v>
      </c>
      <c r="O3020" t="s">
        <v>47305</v>
      </c>
      <c r="P3020">
        <v>0</v>
      </c>
      <c r="Q3020">
        <v>2</v>
      </c>
      <c r="R3020" t="s">
        <v>47306</v>
      </c>
      <c r="S3020" t="s">
        <v>47414</v>
      </c>
      <c r="T3020" t="s">
        <v>49094</v>
      </c>
      <c r="U3020" t="s">
        <v>52175</v>
      </c>
      <c r="W3020" t="s">
        <v>43920</v>
      </c>
      <c r="X3020" t="s">
        <v>47308</v>
      </c>
    </row>
    <row r="3021" spans="1:24">
      <c r="A3021">
        <f>HYPERLINK("https://www.philgeps.gov.ph/GEPSNONPILOT/Tender/SplashBidNoticeAbstractUI.aspx?menuIndex=3&amp;refID=7195136&amp;Result=3","7195136")</f>
        <v>0</v>
      </c>
      <c r="B3021" t="s">
        <v>1266</v>
      </c>
      <c r="C3021" t="s">
        <v>6743</v>
      </c>
      <c r="D3021" t="s">
        <v>19016</v>
      </c>
      <c r="E3021" t="s">
        <v>21827</v>
      </c>
      <c r="F3021" t="s">
        <v>32606</v>
      </c>
      <c r="G3021" t="s">
        <v>32619</v>
      </c>
      <c r="H3021" t="s">
        <v>14201</v>
      </c>
      <c r="I3021" t="s">
        <v>6007</v>
      </c>
      <c r="J3021" t="s">
        <v>34859</v>
      </c>
      <c r="K3021" t="s">
        <v>42663</v>
      </c>
      <c r="M3021" t="s">
        <v>44234</v>
      </c>
      <c r="N3021" t="s">
        <v>47304</v>
      </c>
      <c r="O3021" t="s">
        <v>47305</v>
      </c>
      <c r="P3021">
        <v>0</v>
      </c>
      <c r="Q3021">
        <v>0</v>
      </c>
      <c r="R3021" t="s">
        <v>47306</v>
      </c>
      <c r="S3021" t="s">
        <v>47414</v>
      </c>
      <c r="T3021" t="s">
        <v>49108</v>
      </c>
      <c r="U3021" t="s">
        <v>52176</v>
      </c>
      <c r="W3021" t="s">
        <v>44234</v>
      </c>
      <c r="X3021" t="s">
        <v>47308</v>
      </c>
    </row>
    <row r="3022" spans="1:24">
      <c r="A3022">
        <f>HYPERLINK("https://www.philgeps.gov.ph/GEPSNONPILOT/Tender/SplashBidNoticeAbstractUI.aspx?menuIndex=3&amp;refID=7195203&amp;Result=3","7195203")</f>
        <v>0</v>
      </c>
      <c r="B3022" t="s">
        <v>340</v>
      </c>
      <c r="C3022" t="s">
        <v>6744</v>
      </c>
      <c r="D3022" t="s">
        <v>19029</v>
      </c>
      <c r="E3022" t="s">
        <v>21828</v>
      </c>
      <c r="F3022" t="s">
        <v>32606</v>
      </c>
      <c r="G3022" t="s">
        <v>32619</v>
      </c>
      <c r="H3022" t="s">
        <v>14201</v>
      </c>
      <c r="I3022" t="s">
        <v>32635</v>
      </c>
      <c r="J3022" t="s">
        <v>34860</v>
      </c>
      <c r="K3022" t="s">
        <v>42624</v>
      </c>
      <c r="M3022" t="s">
        <v>43242</v>
      </c>
      <c r="N3022" t="s">
        <v>47304</v>
      </c>
      <c r="O3022" t="s">
        <v>47305</v>
      </c>
      <c r="P3022">
        <v>0</v>
      </c>
      <c r="Q3022">
        <v>1</v>
      </c>
      <c r="R3022" t="s">
        <v>47306</v>
      </c>
      <c r="S3022" t="s">
        <v>47414</v>
      </c>
      <c r="T3022" t="s">
        <v>49068</v>
      </c>
      <c r="U3022" t="s">
        <v>52177</v>
      </c>
      <c r="W3022" t="s">
        <v>43242</v>
      </c>
      <c r="X3022" t="s">
        <v>47308</v>
      </c>
    </row>
    <row r="3023" spans="1:24">
      <c r="A3023">
        <f>HYPERLINK("https://www.philgeps.gov.ph/GEPSNONPILOT/Tender/SplashBidNoticeAbstractUI.aspx?menuIndex=3&amp;refID=7195202&amp;Result=3","7195202")</f>
        <v>0</v>
      </c>
      <c r="B3023" t="s">
        <v>233</v>
      </c>
      <c r="C3023" t="s">
        <v>6745</v>
      </c>
      <c r="D3023" t="s">
        <v>18997</v>
      </c>
      <c r="E3023" t="s">
        <v>21829</v>
      </c>
      <c r="F3023" t="s">
        <v>32606</v>
      </c>
      <c r="G3023" t="s">
        <v>32615</v>
      </c>
      <c r="H3023" t="s">
        <v>14201</v>
      </c>
      <c r="I3023" t="s">
        <v>32680</v>
      </c>
      <c r="J3023" t="s">
        <v>34861</v>
      </c>
      <c r="K3023" t="s">
        <v>42631</v>
      </c>
      <c r="M3023" t="s">
        <v>43134</v>
      </c>
      <c r="N3023" t="s">
        <v>47304</v>
      </c>
      <c r="O3023" t="s">
        <v>47305</v>
      </c>
      <c r="P3023">
        <v>0</v>
      </c>
      <c r="Q3023">
        <v>2</v>
      </c>
      <c r="R3023" t="s">
        <v>47306</v>
      </c>
      <c r="S3023" t="s">
        <v>47414</v>
      </c>
      <c r="T3023" t="s">
        <v>49023</v>
      </c>
      <c r="U3023" t="s">
        <v>49951</v>
      </c>
      <c r="W3023" t="s">
        <v>43134</v>
      </c>
      <c r="X3023" t="s">
        <v>47308</v>
      </c>
    </row>
    <row r="3024" spans="1:24">
      <c r="A3024">
        <f>HYPERLINK("https://www.philgeps.gov.ph/GEPSNONPILOT/Tender/SplashBidNoticeAbstractUI.aspx?menuIndex=3&amp;refID=7195179&amp;Result=3","7195179")</f>
        <v>0</v>
      </c>
      <c r="B3024" t="s">
        <v>813</v>
      </c>
      <c r="C3024" t="s">
        <v>6746</v>
      </c>
      <c r="D3024" t="s">
        <v>19044</v>
      </c>
      <c r="E3024" t="s">
        <v>21830</v>
      </c>
      <c r="F3024" t="s">
        <v>32606</v>
      </c>
      <c r="G3024" t="s">
        <v>32614</v>
      </c>
      <c r="H3024" t="s">
        <v>14201</v>
      </c>
      <c r="I3024" t="s">
        <v>4120</v>
      </c>
      <c r="J3024" t="s">
        <v>32778</v>
      </c>
      <c r="K3024" t="s">
        <v>42630</v>
      </c>
      <c r="M3024" t="s">
        <v>43744</v>
      </c>
      <c r="N3024" t="s">
        <v>47304</v>
      </c>
      <c r="O3024" t="s">
        <v>47305</v>
      </c>
      <c r="P3024">
        <v>0</v>
      </c>
      <c r="Q3024">
        <v>1</v>
      </c>
      <c r="R3024" t="s">
        <v>47306</v>
      </c>
      <c r="S3024" t="s">
        <v>47414</v>
      </c>
      <c r="T3024" t="s">
        <v>48987</v>
      </c>
      <c r="U3024" t="s">
        <v>52178</v>
      </c>
      <c r="W3024" t="s">
        <v>43744</v>
      </c>
      <c r="X3024" t="s">
        <v>47308</v>
      </c>
    </row>
    <row r="3025" spans="1:24">
      <c r="A3025">
        <f>HYPERLINK("https://www.philgeps.gov.ph/GEPSNONPILOT/Tender/SplashBidNoticeAbstractUI.aspx?menuIndex=3&amp;refID=7195149&amp;Result=3","7195149")</f>
        <v>0</v>
      </c>
      <c r="B3025" t="s">
        <v>733</v>
      </c>
      <c r="C3025" t="s">
        <v>6747</v>
      </c>
      <c r="D3025" t="s">
        <v>19010</v>
      </c>
      <c r="E3025" t="s">
        <v>21831</v>
      </c>
      <c r="F3025" t="s">
        <v>32606</v>
      </c>
      <c r="G3025" t="s">
        <v>32614</v>
      </c>
      <c r="H3025" t="s">
        <v>14201</v>
      </c>
      <c r="I3025" t="s">
        <v>6931</v>
      </c>
      <c r="J3025" t="s">
        <v>34862</v>
      </c>
      <c r="K3025" t="s">
        <v>42624</v>
      </c>
      <c r="M3025" t="s">
        <v>43655</v>
      </c>
      <c r="N3025" t="s">
        <v>47304</v>
      </c>
      <c r="O3025" t="s">
        <v>47305</v>
      </c>
      <c r="P3025">
        <v>0</v>
      </c>
      <c r="Q3025">
        <v>0</v>
      </c>
      <c r="R3025" t="s">
        <v>47306</v>
      </c>
      <c r="S3025" t="s">
        <v>47414</v>
      </c>
      <c r="T3025" t="s">
        <v>49004</v>
      </c>
      <c r="U3025" t="s">
        <v>50865</v>
      </c>
      <c r="W3025" t="s">
        <v>43655</v>
      </c>
      <c r="X3025" t="s">
        <v>47308</v>
      </c>
    </row>
    <row r="3026" spans="1:24">
      <c r="A3026">
        <f>HYPERLINK("https://www.philgeps.gov.ph/GEPSNONPILOT/Tender/SplashBidNoticeAbstractUI.aspx?menuIndex=3&amp;refID=7195199&amp;Result=3","7195199")</f>
        <v>0</v>
      </c>
      <c r="B3026" t="s">
        <v>141</v>
      </c>
      <c r="C3026" t="s">
        <v>6737</v>
      </c>
      <c r="E3026" t="s">
        <v>21832</v>
      </c>
      <c r="F3026" t="s">
        <v>32606</v>
      </c>
      <c r="G3026" t="s">
        <v>32614</v>
      </c>
      <c r="H3026" t="s">
        <v>14201</v>
      </c>
      <c r="I3026" t="s">
        <v>6993</v>
      </c>
      <c r="J3026" t="s">
        <v>34863</v>
      </c>
      <c r="K3026" t="s">
        <v>42624</v>
      </c>
      <c r="M3026" t="s">
        <v>43042</v>
      </c>
      <c r="N3026" t="s">
        <v>47304</v>
      </c>
      <c r="O3026" t="s">
        <v>47305</v>
      </c>
      <c r="P3026">
        <v>0</v>
      </c>
      <c r="Q3026">
        <v>0</v>
      </c>
      <c r="R3026" t="s">
        <v>47306</v>
      </c>
      <c r="S3026" t="s">
        <v>47414</v>
      </c>
      <c r="T3026" t="s">
        <v>49004</v>
      </c>
      <c r="U3026" t="s">
        <v>49781</v>
      </c>
      <c r="W3026" t="s">
        <v>43042</v>
      </c>
      <c r="X3026" t="s">
        <v>47308</v>
      </c>
    </row>
    <row r="3027" spans="1:24">
      <c r="A3027">
        <f>HYPERLINK("https://www.philgeps.gov.ph/GEPSNONPILOT/Tender/SplashBidNoticeAbstractUI.aspx?menuIndex=3&amp;refID=7195198&amp;Result=3","7195198")</f>
        <v>0</v>
      </c>
      <c r="B3027" t="s">
        <v>313</v>
      </c>
      <c r="C3027" t="s">
        <v>6748</v>
      </c>
      <c r="D3027" t="s">
        <v>18993</v>
      </c>
      <c r="E3027" t="s">
        <v>6748</v>
      </c>
      <c r="F3027" t="s">
        <v>32606</v>
      </c>
      <c r="G3027" t="s">
        <v>32614</v>
      </c>
      <c r="H3027" t="s">
        <v>14201</v>
      </c>
      <c r="I3027" t="s">
        <v>4120</v>
      </c>
      <c r="J3027" t="s">
        <v>34864</v>
      </c>
      <c r="K3027" t="s">
        <v>42631</v>
      </c>
      <c r="M3027" t="s">
        <v>43215</v>
      </c>
      <c r="N3027" t="s">
        <v>47304</v>
      </c>
      <c r="O3027" t="s">
        <v>47305</v>
      </c>
      <c r="P3027">
        <v>0</v>
      </c>
      <c r="Q3027">
        <v>4</v>
      </c>
      <c r="R3027" t="s">
        <v>47306</v>
      </c>
      <c r="S3027" t="s">
        <v>47414</v>
      </c>
      <c r="T3027" t="s">
        <v>49014</v>
      </c>
      <c r="U3027" t="s">
        <v>52179</v>
      </c>
      <c r="W3027" t="s">
        <v>43215</v>
      </c>
      <c r="X3027" t="s">
        <v>47308</v>
      </c>
    </row>
    <row r="3028" spans="1:24">
      <c r="A3028">
        <f>HYPERLINK("https://www.philgeps.gov.ph/GEPSNONPILOT/Tender/SplashBidNoticeAbstractUI.aspx?menuIndex=3&amp;refID=7195137&amp;Result=3","7195137")</f>
        <v>0</v>
      </c>
      <c r="B3028" t="s">
        <v>1267</v>
      </c>
      <c r="C3028" t="s">
        <v>6749</v>
      </c>
      <c r="D3028" t="s">
        <v>18995</v>
      </c>
      <c r="E3028" t="s">
        <v>21833</v>
      </c>
      <c r="F3028" t="s">
        <v>32606</v>
      </c>
      <c r="G3028" t="s">
        <v>32617</v>
      </c>
      <c r="H3028" t="s">
        <v>14201</v>
      </c>
      <c r="I3028" t="s">
        <v>4114</v>
      </c>
      <c r="J3028" t="s">
        <v>32868</v>
      </c>
      <c r="K3028" t="s">
        <v>42632</v>
      </c>
      <c r="M3028" t="s">
        <v>44235</v>
      </c>
      <c r="N3028" t="s">
        <v>47304</v>
      </c>
      <c r="O3028" t="s">
        <v>47305</v>
      </c>
      <c r="P3028">
        <v>0</v>
      </c>
      <c r="Q3028">
        <v>2</v>
      </c>
      <c r="R3028" t="s">
        <v>47306</v>
      </c>
      <c r="S3028" t="s">
        <v>47414</v>
      </c>
      <c r="T3028" t="s">
        <v>49087</v>
      </c>
      <c r="U3028" t="s">
        <v>52180</v>
      </c>
      <c r="W3028" t="s">
        <v>44235</v>
      </c>
      <c r="X3028" t="s">
        <v>47308</v>
      </c>
    </row>
    <row r="3029" spans="1:24">
      <c r="A3029">
        <f>HYPERLINK("https://www.philgeps.gov.ph/GEPSNONPILOT/Tender/SplashBidNoticeAbstractUI.aspx?menuIndex=3&amp;refID=7195192&amp;Result=3","7195192")</f>
        <v>0</v>
      </c>
      <c r="B3029" t="s">
        <v>328</v>
      </c>
      <c r="C3029" t="s">
        <v>6750</v>
      </c>
      <c r="D3029" t="s">
        <v>19028</v>
      </c>
      <c r="E3029" t="s">
        <v>21834</v>
      </c>
      <c r="F3029" t="s">
        <v>32606</v>
      </c>
      <c r="G3029" t="s">
        <v>32614</v>
      </c>
      <c r="H3029" t="s">
        <v>14201</v>
      </c>
      <c r="I3029" t="s">
        <v>9013</v>
      </c>
      <c r="J3029" t="s">
        <v>34865</v>
      </c>
      <c r="K3029" t="s">
        <v>42631</v>
      </c>
      <c r="M3029" t="s">
        <v>43230</v>
      </c>
      <c r="N3029" t="s">
        <v>47304</v>
      </c>
      <c r="O3029" t="s">
        <v>47305</v>
      </c>
      <c r="P3029">
        <v>0</v>
      </c>
      <c r="Q3029">
        <v>2</v>
      </c>
      <c r="R3029" t="s">
        <v>47306</v>
      </c>
      <c r="S3029" t="s">
        <v>47414</v>
      </c>
      <c r="T3029" t="s">
        <v>48979</v>
      </c>
      <c r="U3029" t="s">
        <v>52181</v>
      </c>
      <c r="W3029" t="s">
        <v>43230</v>
      </c>
      <c r="X3029" t="s">
        <v>47308</v>
      </c>
    </row>
    <row r="3030" spans="1:24">
      <c r="A3030">
        <f>HYPERLINK("https://www.philgeps.gov.ph/GEPSNONPILOT/Tender/SplashBidNoticeAbstractUI.aspx?menuIndex=3&amp;refID=7195191&amp;Result=3","7195191")</f>
        <v>0</v>
      </c>
      <c r="B3030" t="s">
        <v>1028</v>
      </c>
      <c r="C3030" t="s">
        <v>6751</v>
      </c>
      <c r="D3030" t="s">
        <v>19008</v>
      </c>
      <c r="E3030" t="s">
        <v>21835</v>
      </c>
      <c r="F3030" t="s">
        <v>32606</v>
      </c>
      <c r="G3030" t="s">
        <v>32613</v>
      </c>
      <c r="H3030" t="s">
        <v>14201</v>
      </c>
      <c r="I3030" t="s">
        <v>6931</v>
      </c>
      <c r="J3030" t="s">
        <v>34866</v>
      </c>
      <c r="K3030" t="s">
        <v>42631</v>
      </c>
      <c r="M3030" t="s">
        <v>44220</v>
      </c>
      <c r="N3030" t="s">
        <v>47304</v>
      </c>
      <c r="O3030" t="s">
        <v>47305</v>
      </c>
      <c r="P3030">
        <v>0</v>
      </c>
      <c r="Q3030">
        <v>1</v>
      </c>
      <c r="R3030" t="s">
        <v>47306</v>
      </c>
      <c r="S3030" t="s">
        <v>47414</v>
      </c>
      <c r="T3030" t="s">
        <v>49066</v>
      </c>
      <c r="U3030" t="s">
        <v>52182</v>
      </c>
      <c r="W3030" t="s">
        <v>43981</v>
      </c>
      <c r="X3030" t="s">
        <v>47308</v>
      </c>
    </row>
    <row r="3031" spans="1:24">
      <c r="A3031">
        <f>HYPERLINK("https://www.philgeps.gov.ph/GEPSNONPILOT/Tender/SplashBidNoticeAbstractUI.aspx?menuIndex=3&amp;refID=7195189&amp;Result=3","7195189")</f>
        <v>0</v>
      </c>
      <c r="B3031" t="s">
        <v>1268</v>
      </c>
      <c r="C3031" t="s">
        <v>6752</v>
      </c>
      <c r="D3031" t="s">
        <v>18991</v>
      </c>
      <c r="E3031" t="s">
        <v>21836</v>
      </c>
      <c r="F3031" t="s">
        <v>32606</v>
      </c>
      <c r="G3031" t="s">
        <v>32619</v>
      </c>
      <c r="H3031" t="s">
        <v>14201</v>
      </c>
      <c r="I3031" t="s">
        <v>4678</v>
      </c>
      <c r="J3031" t="s">
        <v>34867</v>
      </c>
      <c r="K3031" t="s">
        <v>42629</v>
      </c>
      <c r="M3031" t="s">
        <v>44236</v>
      </c>
      <c r="N3031" t="s">
        <v>47304</v>
      </c>
      <c r="O3031" t="s">
        <v>47305</v>
      </c>
      <c r="P3031">
        <v>0</v>
      </c>
      <c r="Q3031">
        <v>2</v>
      </c>
      <c r="R3031" t="s">
        <v>47306</v>
      </c>
      <c r="S3031" t="s">
        <v>47414</v>
      </c>
      <c r="T3031" t="s">
        <v>48979</v>
      </c>
      <c r="U3031" t="s">
        <v>52183</v>
      </c>
      <c r="W3031" t="s">
        <v>44236</v>
      </c>
      <c r="X3031" t="s">
        <v>47308</v>
      </c>
    </row>
    <row r="3032" spans="1:24">
      <c r="A3032">
        <f>HYPERLINK("https://www.philgeps.gov.ph/GEPSNONPILOT/Tender/SplashBidNoticeAbstractUI.aspx?menuIndex=3&amp;refID=7195201&amp;Result=3","7195201")</f>
        <v>0</v>
      </c>
      <c r="B3032" t="s">
        <v>1243</v>
      </c>
      <c r="C3032" t="s">
        <v>6753</v>
      </c>
      <c r="D3032" t="s">
        <v>19003</v>
      </c>
      <c r="E3032" t="s">
        <v>21837</v>
      </c>
      <c r="F3032" t="s">
        <v>32606</v>
      </c>
      <c r="G3032" t="s">
        <v>32617</v>
      </c>
      <c r="H3032" t="s">
        <v>14201</v>
      </c>
      <c r="I3032" t="s">
        <v>6478</v>
      </c>
      <c r="J3032" t="s">
        <v>34825</v>
      </c>
      <c r="K3032" t="s">
        <v>42629</v>
      </c>
      <c r="M3032" t="s">
        <v>44209</v>
      </c>
      <c r="N3032" t="s">
        <v>47304</v>
      </c>
      <c r="O3032" t="s">
        <v>47305</v>
      </c>
      <c r="P3032">
        <v>0</v>
      </c>
      <c r="Q3032">
        <v>0</v>
      </c>
      <c r="R3032" t="s">
        <v>47306</v>
      </c>
      <c r="S3032" t="s">
        <v>47414</v>
      </c>
      <c r="T3032" t="s">
        <v>48979</v>
      </c>
      <c r="U3032" t="s">
        <v>52184</v>
      </c>
      <c r="W3032" t="s">
        <v>44209</v>
      </c>
      <c r="X3032" t="s">
        <v>47308</v>
      </c>
    </row>
    <row r="3033" spans="1:24">
      <c r="A3033">
        <f>HYPERLINK("https://www.philgeps.gov.ph/GEPSNONPILOT/Tender/SplashBidNoticeAbstractUI.aspx?menuIndex=3&amp;refID=7195183&amp;Result=3","7195183")</f>
        <v>0</v>
      </c>
      <c r="B3033" t="s">
        <v>1269</v>
      </c>
      <c r="C3033" t="s">
        <v>6754</v>
      </c>
      <c r="D3033" t="s">
        <v>19054</v>
      </c>
      <c r="E3033" t="s">
        <v>21838</v>
      </c>
      <c r="F3033" t="s">
        <v>32606</v>
      </c>
      <c r="G3033" t="s">
        <v>32613</v>
      </c>
      <c r="H3033" t="s">
        <v>32623</v>
      </c>
      <c r="I3033" t="s">
        <v>17648</v>
      </c>
      <c r="J3033" t="s">
        <v>32770</v>
      </c>
      <c r="K3033" t="s">
        <v>42662</v>
      </c>
      <c r="M3033" t="s">
        <v>44237</v>
      </c>
      <c r="N3033" t="s">
        <v>47304</v>
      </c>
      <c r="O3033" t="s">
        <v>47305</v>
      </c>
      <c r="P3033">
        <v>0</v>
      </c>
      <c r="Q3033">
        <v>0</v>
      </c>
      <c r="R3033" t="s">
        <v>47306</v>
      </c>
      <c r="S3033" t="s">
        <v>47414</v>
      </c>
      <c r="T3033" t="s">
        <v>49069</v>
      </c>
      <c r="U3033" t="s">
        <v>52185</v>
      </c>
      <c r="W3033" t="s">
        <v>44237</v>
      </c>
      <c r="X3033" t="s">
        <v>47308</v>
      </c>
    </row>
    <row r="3034" spans="1:24">
      <c r="A3034">
        <f>HYPERLINK("https://www.philgeps.gov.ph/GEPSNONPILOT/Tender/SplashBidNoticeAbstractUI.aspx?menuIndex=3&amp;refID=7195182&amp;Result=3","7195182")</f>
        <v>0</v>
      </c>
      <c r="B3034" t="s">
        <v>1270</v>
      </c>
      <c r="C3034" t="s">
        <v>6672</v>
      </c>
      <c r="D3034" t="s">
        <v>19024</v>
      </c>
      <c r="E3034" t="s">
        <v>19522</v>
      </c>
      <c r="F3034" t="s">
        <v>32606</v>
      </c>
      <c r="G3034" t="s">
        <v>32619</v>
      </c>
      <c r="H3034" t="s">
        <v>14201</v>
      </c>
      <c r="I3034" t="s">
        <v>6298</v>
      </c>
      <c r="J3034" t="s">
        <v>34868</v>
      </c>
      <c r="K3034" t="s">
        <v>42630</v>
      </c>
      <c r="M3034" t="s">
        <v>44238</v>
      </c>
      <c r="N3034" t="s">
        <v>47304</v>
      </c>
      <c r="O3034" t="s">
        <v>47305</v>
      </c>
      <c r="P3034">
        <v>0</v>
      </c>
      <c r="Q3034">
        <v>0</v>
      </c>
      <c r="R3034" t="s">
        <v>47306</v>
      </c>
      <c r="S3034" t="s">
        <v>47414</v>
      </c>
      <c r="T3034" t="s">
        <v>49071</v>
      </c>
      <c r="U3034" t="s">
        <v>52186</v>
      </c>
      <c r="W3034" t="s">
        <v>44238</v>
      </c>
      <c r="X3034" t="s">
        <v>47308</v>
      </c>
    </row>
    <row r="3035" spans="1:24">
      <c r="A3035">
        <f>HYPERLINK("https://www.philgeps.gov.ph/GEPSNONPILOT/Tender/SplashBidNoticeAbstractUI.aspx?menuIndex=3&amp;refID=7195194&amp;Result=3","7195194")</f>
        <v>0</v>
      </c>
      <c r="B3035" t="s">
        <v>193</v>
      </c>
      <c r="C3035" t="s">
        <v>6755</v>
      </c>
      <c r="D3035" t="s">
        <v>19044</v>
      </c>
      <c r="E3035" t="s">
        <v>21839</v>
      </c>
      <c r="F3035" t="s">
        <v>32606</v>
      </c>
      <c r="G3035" t="s">
        <v>32613</v>
      </c>
      <c r="H3035" t="s">
        <v>14201</v>
      </c>
      <c r="I3035" t="s">
        <v>6931</v>
      </c>
      <c r="J3035" t="s">
        <v>34869</v>
      </c>
      <c r="K3035" t="s">
        <v>42631</v>
      </c>
      <c r="M3035" t="s">
        <v>43094</v>
      </c>
      <c r="N3035" t="s">
        <v>47304</v>
      </c>
      <c r="O3035" t="s">
        <v>47305</v>
      </c>
      <c r="P3035">
        <v>0</v>
      </c>
      <c r="Q3035">
        <v>0</v>
      </c>
      <c r="R3035" t="s">
        <v>47306</v>
      </c>
      <c r="S3035" t="s">
        <v>47414</v>
      </c>
      <c r="T3035" t="s">
        <v>49236</v>
      </c>
      <c r="U3035" t="s">
        <v>52187</v>
      </c>
      <c r="W3035" t="s">
        <v>43094</v>
      </c>
      <c r="X3035" t="s">
        <v>47308</v>
      </c>
    </row>
    <row r="3036" spans="1:24">
      <c r="A3036">
        <f>HYPERLINK("https://www.philgeps.gov.ph/GEPSNONPILOT/Tender/SplashBidNoticeAbstractUI.aspx?menuIndex=3&amp;refID=7195180&amp;Result=3","7195180")</f>
        <v>0</v>
      </c>
      <c r="B3036" t="s">
        <v>98</v>
      </c>
      <c r="C3036" t="s">
        <v>6756</v>
      </c>
      <c r="D3036" t="s">
        <v>19014</v>
      </c>
      <c r="E3036" t="s">
        <v>21840</v>
      </c>
      <c r="F3036" t="s">
        <v>32606</v>
      </c>
      <c r="G3036" t="s">
        <v>32619</v>
      </c>
      <c r="H3036" t="s">
        <v>14201</v>
      </c>
      <c r="I3036" t="s">
        <v>32652</v>
      </c>
      <c r="J3036" t="s">
        <v>32868</v>
      </c>
      <c r="K3036" t="s">
        <v>42624</v>
      </c>
      <c r="M3036" t="s">
        <v>42996</v>
      </c>
      <c r="N3036" t="s">
        <v>47304</v>
      </c>
      <c r="O3036" t="s">
        <v>47305</v>
      </c>
      <c r="P3036">
        <v>0</v>
      </c>
      <c r="Q3036">
        <v>0</v>
      </c>
      <c r="R3036" t="s">
        <v>47306</v>
      </c>
      <c r="S3036" t="s">
        <v>47414</v>
      </c>
      <c r="T3036" t="s">
        <v>49020</v>
      </c>
      <c r="U3036" t="s">
        <v>52188</v>
      </c>
      <c r="W3036" t="s">
        <v>42996</v>
      </c>
      <c r="X3036" t="s">
        <v>47308</v>
      </c>
    </row>
    <row r="3037" spans="1:24">
      <c r="A3037">
        <f>HYPERLINK("https://www.philgeps.gov.ph/GEPSNONPILOT/Tender/SplashBidNoticeAbstractUI.aspx?menuIndex=3&amp;refID=7195187&amp;Result=3","7195187")</f>
        <v>0</v>
      </c>
      <c r="B3037" t="s">
        <v>1239</v>
      </c>
      <c r="C3037" t="s">
        <v>6757</v>
      </c>
      <c r="D3037" t="s">
        <v>19056</v>
      </c>
      <c r="E3037" t="s">
        <v>21841</v>
      </c>
      <c r="F3037" t="s">
        <v>32606</v>
      </c>
      <c r="G3037" t="s">
        <v>32614</v>
      </c>
      <c r="H3037" t="s">
        <v>14201</v>
      </c>
      <c r="I3037" t="s">
        <v>7677</v>
      </c>
      <c r="J3037" t="s">
        <v>33113</v>
      </c>
      <c r="K3037" t="s">
        <v>42630</v>
      </c>
      <c r="M3037" t="s">
        <v>44204</v>
      </c>
      <c r="N3037" t="s">
        <v>47304</v>
      </c>
      <c r="O3037" t="s">
        <v>47305</v>
      </c>
      <c r="P3037">
        <v>0</v>
      </c>
      <c r="Q3037">
        <v>2</v>
      </c>
      <c r="R3037" t="s">
        <v>47306</v>
      </c>
      <c r="S3037" t="s">
        <v>47414</v>
      </c>
      <c r="T3037" t="s">
        <v>48979</v>
      </c>
      <c r="U3037" t="s">
        <v>52189</v>
      </c>
      <c r="W3037" t="s">
        <v>44204</v>
      </c>
      <c r="X3037" t="s">
        <v>47308</v>
      </c>
    </row>
    <row r="3038" spans="1:24">
      <c r="A3038">
        <f>HYPERLINK("https://www.philgeps.gov.ph/GEPSNONPILOT/Tender/SplashBidNoticeAbstractUI.aspx?menuIndex=3&amp;refID=7195196&amp;Result=3","7195196")</f>
        <v>0</v>
      </c>
      <c r="B3038" t="s">
        <v>1271</v>
      </c>
      <c r="C3038" t="s">
        <v>6758</v>
      </c>
      <c r="D3038" t="s">
        <v>18995</v>
      </c>
      <c r="E3038" t="s">
        <v>21842</v>
      </c>
      <c r="F3038" t="s">
        <v>32606</v>
      </c>
      <c r="G3038" t="s">
        <v>32613</v>
      </c>
      <c r="H3038" t="s">
        <v>32623</v>
      </c>
      <c r="I3038" t="s">
        <v>17648</v>
      </c>
      <c r="J3038" t="s">
        <v>34870</v>
      </c>
      <c r="K3038" t="s">
        <v>42739</v>
      </c>
      <c r="M3038" t="s">
        <v>44239</v>
      </c>
      <c r="N3038" t="s">
        <v>47304</v>
      </c>
      <c r="O3038" t="s">
        <v>47305</v>
      </c>
      <c r="P3038">
        <v>0</v>
      </c>
      <c r="Q3038">
        <v>0</v>
      </c>
      <c r="R3038" t="s">
        <v>47306</v>
      </c>
      <c r="S3038" t="s">
        <v>47414</v>
      </c>
      <c r="T3038" t="s">
        <v>48988</v>
      </c>
      <c r="U3038" t="s">
        <v>52190</v>
      </c>
      <c r="V3038" t="s">
        <v>62971</v>
      </c>
      <c r="W3038" t="s">
        <v>44239</v>
      </c>
      <c r="X3038" t="s">
        <v>47308</v>
      </c>
    </row>
    <row r="3039" spans="1:24">
      <c r="A3039">
        <f>HYPERLINK("https://www.philgeps.gov.ph/GEPSNONPILOT/Tender/SplashBidNoticeAbstractUI.aspx?menuIndex=3&amp;refID=7195217&amp;Result=3","7195217")</f>
        <v>0</v>
      </c>
      <c r="B3039" t="s">
        <v>1272</v>
      </c>
      <c r="C3039" t="s">
        <v>6759</v>
      </c>
      <c r="D3039" t="s">
        <v>19006</v>
      </c>
      <c r="E3039" t="s">
        <v>21843</v>
      </c>
      <c r="F3039" t="s">
        <v>32606</v>
      </c>
      <c r="G3039" t="s">
        <v>32614</v>
      </c>
      <c r="H3039" t="s">
        <v>14201</v>
      </c>
      <c r="I3039" t="s">
        <v>6007</v>
      </c>
      <c r="J3039" t="s">
        <v>34871</v>
      </c>
      <c r="K3039" t="s">
        <v>42663</v>
      </c>
      <c r="M3039" t="s">
        <v>44240</v>
      </c>
      <c r="N3039" t="s">
        <v>47304</v>
      </c>
      <c r="O3039" t="s">
        <v>47305</v>
      </c>
      <c r="P3039">
        <v>0</v>
      </c>
      <c r="Q3039">
        <v>3</v>
      </c>
      <c r="R3039" t="s">
        <v>47306</v>
      </c>
      <c r="S3039" t="s">
        <v>47414</v>
      </c>
      <c r="T3039" t="s">
        <v>49004</v>
      </c>
      <c r="U3039" t="s">
        <v>52191</v>
      </c>
      <c r="W3039" t="s">
        <v>44240</v>
      </c>
      <c r="X3039" t="s">
        <v>47308</v>
      </c>
    </row>
    <row r="3040" spans="1:24">
      <c r="A3040">
        <f>HYPERLINK("https://www.philgeps.gov.ph/GEPSNONPILOT/Tender/SplashBidNoticeAbstractUI.aspx?menuIndex=3&amp;refID=7195197&amp;Result=3","7195197")</f>
        <v>0</v>
      </c>
      <c r="B3040" t="s">
        <v>299</v>
      </c>
      <c r="C3040" t="s">
        <v>6760</v>
      </c>
      <c r="D3040" t="s">
        <v>19057</v>
      </c>
      <c r="E3040" t="s">
        <v>19622</v>
      </c>
      <c r="F3040" t="s">
        <v>32606</v>
      </c>
      <c r="G3040" t="s">
        <v>32614</v>
      </c>
      <c r="H3040" t="s">
        <v>14201</v>
      </c>
      <c r="I3040" t="s">
        <v>6931</v>
      </c>
      <c r="J3040" t="s">
        <v>34872</v>
      </c>
      <c r="K3040" t="s">
        <v>42678</v>
      </c>
      <c r="M3040" t="s">
        <v>43201</v>
      </c>
      <c r="N3040" t="s">
        <v>47304</v>
      </c>
      <c r="O3040" t="s">
        <v>47305</v>
      </c>
      <c r="P3040">
        <v>0</v>
      </c>
      <c r="Q3040">
        <v>0</v>
      </c>
      <c r="R3040" t="s">
        <v>47306</v>
      </c>
      <c r="S3040" t="s">
        <v>47414</v>
      </c>
      <c r="T3040" t="s">
        <v>49010</v>
      </c>
      <c r="U3040" t="s">
        <v>52192</v>
      </c>
      <c r="W3040" t="s">
        <v>43201</v>
      </c>
      <c r="X3040" t="s">
        <v>47308</v>
      </c>
    </row>
    <row r="3041" spans="1:24">
      <c r="A3041">
        <f>HYPERLINK("https://www.philgeps.gov.ph/GEPSNONPILOT/Tender/SplashBidNoticeAbstractUI.aspx?menuIndex=3&amp;refID=7195181&amp;Result=3","7195181")</f>
        <v>0</v>
      </c>
      <c r="B3041" t="s">
        <v>1206</v>
      </c>
      <c r="C3041" t="s">
        <v>6761</v>
      </c>
      <c r="D3041" t="s">
        <v>19010</v>
      </c>
      <c r="E3041" t="s">
        <v>21844</v>
      </c>
      <c r="F3041" t="s">
        <v>32606</v>
      </c>
      <c r="G3041" t="s">
        <v>32614</v>
      </c>
      <c r="H3041" t="s">
        <v>14201</v>
      </c>
      <c r="I3041" t="s">
        <v>32641</v>
      </c>
      <c r="J3041" t="s">
        <v>34873</v>
      </c>
      <c r="K3041" t="s">
        <v>42631</v>
      </c>
      <c r="M3041" t="s">
        <v>44170</v>
      </c>
      <c r="N3041" t="s">
        <v>47304</v>
      </c>
      <c r="O3041" t="s">
        <v>47305</v>
      </c>
      <c r="P3041">
        <v>0</v>
      </c>
      <c r="Q3041">
        <v>4</v>
      </c>
      <c r="R3041" t="s">
        <v>47306</v>
      </c>
      <c r="S3041" t="s">
        <v>47414</v>
      </c>
      <c r="T3041" t="s">
        <v>49014</v>
      </c>
      <c r="U3041" t="s">
        <v>52193</v>
      </c>
      <c r="W3041" t="s">
        <v>44170</v>
      </c>
      <c r="X3041" t="s">
        <v>47308</v>
      </c>
    </row>
    <row r="3042" spans="1:24">
      <c r="A3042">
        <f>HYPERLINK("https://www.philgeps.gov.ph/GEPSNONPILOT/Tender/SplashBidNoticeAbstractUI.aspx?menuIndex=3&amp;refID=7195214&amp;Result=3","7195214")</f>
        <v>0</v>
      </c>
      <c r="B3042" t="s">
        <v>360</v>
      </c>
      <c r="C3042" t="s">
        <v>6762</v>
      </c>
      <c r="D3042" t="s">
        <v>19040</v>
      </c>
      <c r="E3042" t="s">
        <v>21845</v>
      </c>
      <c r="F3042" t="s">
        <v>32606</v>
      </c>
      <c r="G3042" t="s">
        <v>32614</v>
      </c>
      <c r="H3042" t="s">
        <v>14201</v>
      </c>
      <c r="I3042" t="s">
        <v>32640</v>
      </c>
      <c r="J3042" t="s">
        <v>34401</v>
      </c>
      <c r="K3042" t="s">
        <v>42630</v>
      </c>
      <c r="M3042" t="s">
        <v>43262</v>
      </c>
      <c r="N3042" t="s">
        <v>47304</v>
      </c>
      <c r="O3042" t="s">
        <v>47305</v>
      </c>
      <c r="P3042">
        <v>0</v>
      </c>
      <c r="Q3042">
        <v>4</v>
      </c>
      <c r="R3042" t="s">
        <v>47306</v>
      </c>
      <c r="S3042" t="s">
        <v>47414</v>
      </c>
      <c r="T3042" t="s">
        <v>49050</v>
      </c>
      <c r="U3042" t="s">
        <v>50184</v>
      </c>
      <c r="W3042" t="s">
        <v>43262</v>
      </c>
      <c r="X3042" t="s">
        <v>47308</v>
      </c>
    </row>
    <row r="3043" spans="1:24">
      <c r="A3043">
        <f>HYPERLINK("https://www.philgeps.gov.ph/GEPSNONPILOT/Tender/SplashBidNoticeAbstractUI.aspx?menuIndex=3&amp;refID=7195212&amp;Result=3","7195212")</f>
        <v>0</v>
      </c>
      <c r="B3043" t="s">
        <v>813</v>
      </c>
      <c r="C3043" t="s">
        <v>6763</v>
      </c>
      <c r="D3043" t="s">
        <v>19044</v>
      </c>
      <c r="E3043" t="s">
        <v>21846</v>
      </c>
      <c r="F3043" t="s">
        <v>32606</v>
      </c>
      <c r="G3043" t="s">
        <v>32614</v>
      </c>
      <c r="H3043" t="s">
        <v>14201</v>
      </c>
      <c r="I3043" t="s">
        <v>6931</v>
      </c>
      <c r="J3043" t="s">
        <v>34874</v>
      </c>
      <c r="K3043" t="s">
        <v>42630</v>
      </c>
      <c r="M3043" t="s">
        <v>43744</v>
      </c>
      <c r="N3043" t="s">
        <v>47304</v>
      </c>
      <c r="O3043" t="s">
        <v>47305</v>
      </c>
      <c r="P3043">
        <v>0</v>
      </c>
      <c r="Q3043">
        <v>0</v>
      </c>
      <c r="R3043" t="s">
        <v>47306</v>
      </c>
      <c r="S3043" t="s">
        <v>47414</v>
      </c>
      <c r="T3043" t="s">
        <v>48987</v>
      </c>
      <c r="U3043" t="s">
        <v>52194</v>
      </c>
      <c r="W3043" t="s">
        <v>43744</v>
      </c>
      <c r="X3043" t="s">
        <v>47308</v>
      </c>
    </row>
    <row r="3044" spans="1:24">
      <c r="A3044">
        <f>HYPERLINK("https://www.philgeps.gov.ph/GEPSNONPILOT/Tender/SplashBidNoticeAbstractUI.aspx?menuIndex=3&amp;refID=7195211&amp;Result=3","7195211")</f>
        <v>0</v>
      </c>
      <c r="B3044" t="s">
        <v>415</v>
      </c>
      <c r="C3044" t="s">
        <v>6764</v>
      </c>
      <c r="E3044" t="s">
        <v>21847</v>
      </c>
      <c r="F3044" t="s">
        <v>32606</v>
      </c>
      <c r="G3044" t="s">
        <v>32614</v>
      </c>
      <c r="H3044" t="s">
        <v>14201</v>
      </c>
      <c r="I3044" t="s">
        <v>6298</v>
      </c>
      <c r="J3044" t="s">
        <v>33587</v>
      </c>
      <c r="K3044" t="s">
        <v>42630</v>
      </c>
      <c r="M3044" t="s">
        <v>44241</v>
      </c>
      <c r="N3044" t="s">
        <v>47304</v>
      </c>
      <c r="O3044" t="s">
        <v>47305</v>
      </c>
      <c r="P3044">
        <v>0</v>
      </c>
      <c r="Q3044">
        <v>5</v>
      </c>
      <c r="R3044" t="s">
        <v>47306</v>
      </c>
      <c r="S3044" t="s">
        <v>47414</v>
      </c>
      <c r="T3044" t="s">
        <v>49014</v>
      </c>
      <c r="U3044" t="s">
        <v>52195</v>
      </c>
      <c r="V3044" t="s">
        <v>62972</v>
      </c>
      <c r="W3044" t="s">
        <v>44241</v>
      </c>
      <c r="X3044" t="s">
        <v>47308</v>
      </c>
    </row>
    <row r="3045" spans="1:24">
      <c r="A3045">
        <f>HYPERLINK("https://www.philgeps.gov.ph/GEPSNONPILOT/Tender/SplashBidNoticeAbstractUI.aspx?menuIndex=3&amp;refID=7195204&amp;Result=3","7195204")</f>
        <v>0</v>
      </c>
      <c r="B3045" t="s">
        <v>813</v>
      </c>
      <c r="C3045" t="s">
        <v>6765</v>
      </c>
      <c r="D3045" t="s">
        <v>19044</v>
      </c>
      <c r="E3045" t="s">
        <v>21848</v>
      </c>
      <c r="F3045" t="s">
        <v>32606</v>
      </c>
      <c r="G3045" t="s">
        <v>32614</v>
      </c>
      <c r="H3045" t="s">
        <v>14201</v>
      </c>
      <c r="I3045" t="s">
        <v>7233</v>
      </c>
      <c r="J3045" t="s">
        <v>34875</v>
      </c>
      <c r="K3045" t="s">
        <v>42622</v>
      </c>
      <c r="M3045" t="s">
        <v>43744</v>
      </c>
      <c r="N3045" t="s">
        <v>47304</v>
      </c>
      <c r="O3045" t="s">
        <v>47305</v>
      </c>
      <c r="P3045">
        <v>0</v>
      </c>
      <c r="Q3045">
        <v>0</v>
      </c>
      <c r="R3045" t="s">
        <v>47306</v>
      </c>
      <c r="S3045" t="s">
        <v>47414</v>
      </c>
      <c r="T3045" t="s">
        <v>48987</v>
      </c>
      <c r="U3045" t="s">
        <v>52196</v>
      </c>
      <c r="W3045" t="s">
        <v>43744</v>
      </c>
      <c r="X3045" t="s">
        <v>47308</v>
      </c>
    </row>
    <row r="3046" spans="1:24">
      <c r="A3046">
        <f>HYPERLINK("https://www.philgeps.gov.ph/GEPSNONPILOT/Tender/SplashBidNoticeAbstractUI.aspx?menuIndex=3&amp;refID=7195210&amp;Result=3","7195210")</f>
        <v>0</v>
      </c>
      <c r="B3046" t="s">
        <v>782</v>
      </c>
      <c r="C3046" t="s">
        <v>6766</v>
      </c>
      <c r="D3046" t="s">
        <v>19031</v>
      </c>
      <c r="E3046" t="s">
        <v>21849</v>
      </c>
      <c r="F3046" t="s">
        <v>32606</v>
      </c>
      <c r="G3046" t="s">
        <v>32619</v>
      </c>
      <c r="H3046" t="s">
        <v>14201</v>
      </c>
      <c r="I3046" t="s">
        <v>32640</v>
      </c>
      <c r="J3046" t="s">
        <v>32999</v>
      </c>
      <c r="K3046" t="s">
        <v>42623</v>
      </c>
      <c r="M3046" t="s">
        <v>44242</v>
      </c>
      <c r="N3046" t="s">
        <v>47304</v>
      </c>
      <c r="O3046" t="s">
        <v>47305</v>
      </c>
      <c r="P3046">
        <v>0</v>
      </c>
      <c r="Q3046">
        <v>0</v>
      </c>
      <c r="R3046" t="s">
        <v>47306</v>
      </c>
      <c r="S3046" t="s">
        <v>47414</v>
      </c>
      <c r="T3046" t="s">
        <v>49050</v>
      </c>
      <c r="U3046" t="s">
        <v>52197</v>
      </c>
      <c r="W3046" t="s">
        <v>44242</v>
      </c>
      <c r="X3046" t="s">
        <v>47308</v>
      </c>
    </row>
    <row r="3047" spans="1:24">
      <c r="A3047">
        <f>HYPERLINK("https://www.philgeps.gov.ph/GEPSNONPILOT/Tender/SplashBidNoticeAbstractUI.aspx?menuIndex=3&amp;refID=7195209&amp;Result=3","7195209")</f>
        <v>0</v>
      </c>
      <c r="B3047" t="s">
        <v>1253</v>
      </c>
      <c r="C3047" t="s">
        <v>6767</v>
      </c>
      <c r="D3047" t="s">
        <v>19043</v>
      </c>
      <c r="E3047" t="s">
        <v>21850</v>
      </c>
      <c r="F3047" t="s">
        <v>32606</v>
      </c>
      <c r="G3047" t="s">
        <v>32614</v>
      </c>
      <c r="H3047" t="s">
        <v>14201</v>
      </c>
      <c r="I3047" t="s">
        <v>6007</v>
      </c>
      <c r="J3047" t="s">
        <v>34876</v>
      </c>
      <c r="K3047" t="s">
        <v>42624</v>
      </c>
      <c r="M3047" t="s">
        <v>44219</v>
      </c>
      <c r="N3047" t="s">
        <v>47304</v>
      </c>
      <c r="O3047" t="s">
        <v>47305</v>
      </c>
      <c r="P3047">
        <v>0</v>
      </c>
      <c r="Q3047">
        <v>0</v>
      </c>
      <c r="R3047" t="s">
        <v>47306</v>
      </c>
      <c r="S3047" t="s">
        <v>47414</v>
      </c>
      <c r="T3047" t="s">
        <v>49242</v>
      </c>
      <c r="U3047" t="s">
        <v>52198</v>
      </c>
      <c r="W3047" t="s">
        <v>64469</v>
      </c>
      <c r="X3047" t="s">
        <v>47308</v>
      </c>
    </row>
    <row r="3048" spans="1:24">
      <c r="A3048">
        <f>HYPERLINK("https://www.philgeps.gov.ph/GEPSNONPILOT/Tender/SplashBidNoticeAbstractUI.aspx?menuIndex=3&amp;refID=7195216&amp;Result=3","7195216")</f>
        <v>0</v>
      </c>
      <c r="B3048" t="s">
        <v>638</v>
      </c>
      <c r="C3048" t="s">
        <v>6768</v>
      </c>
      <c r="D3048" t="s">
        <v>19019</v>
      </c>
      <c r="E3048" t="s">
        <v>21851</v>
      </c>
      <c r="F3048" t="s">
        <v>32606</v>
      </c>
      <c r="G3048" t="s">
        <v>32614</v>
      </c>
      <c r="H3048" t="s">
        <v>14201</v>
      </c>
      <c r="I3048" t="s">
        <v>32633</v>
      </c>
      <c r="J3048" t="s">
        <v>34877</v>
      </c>
      <c r="K3048" t="s">
        <v>42630</v>
      </c>
      <c r="M3048" t="s">
        <v>43556</v>
      </c>
      <c r="N3048" t="s">
        <v>47304</v>
      </c>
      <c r="O3048" t="s">
        <v>47305</v>
      </c>
      <c r="P3048">
        <v>0</v>
      </c>
      <c r="Q3048">
        <v>1</v>
      </c>
      <c r="R3048" t="s">
        <v>47306</v>
      </c>
      <c r="S3048" t="s">
        <v>47414</v>
      </c>
      <c r="T3048" t="s">
        <v>48979</v>
      </c>
      <c r="U3048" t="s">
        <v>52199</v>
      </c>
      <c r="W3048" t="s">
        <v>43556</v>
      </c>
      <c r="X3048" t="s">
        <v>47308</v>
      </c>
    </row>
    <row r="3049" spans="1:24">
      <c r="A3049">
        <f>HYPERLINK("https://www.philgeps.gov.ph/GEPSNONPILOT/Tender/SplashBidNoticeAbstractUI.aspx?menuIndex=3&amp;refID=7195224&amp;Result=3","7195224")</f>
        <v>0</v>
      </c>
      <c r="B3049" t="s">
        <v>81</v>
      </c>
      <c r="C3049" t="s">
        <v>6769</v>
      </c>
      <c r="D3049" t="s">
        <v>18995</v>
      </c>
      <c r="E3049" t="s">
        <v>21852</v>
      </c>
      <c r="F3049" t="s">
        <v>32606</v>
      </c>
      <c r="G3049" t="s">
        <v>32614</v>
      </c>
      <c r="H3049" t="s">
        <v>14201</v>
      </c>
      <c r="I3049" t="s">
        <v>32640</v>
      </c>
      <c r="J3049" t="s">
        <v>34878</v>
      </c>
      <c r="K3049" t="s">
        <v>42624</v>
      </c>
      <c r="M3049" t="s">
        <v>42978</v>
      </c>
      <c r="N3049" t="s">
        <v>47304</v>
      </c>
      <c r="O3049" t="s">
        <v>47305</v>
      </c>
      <c r="P3049">
        <v>0</v>
      </c>
      <c r="Q3049">
        <v>1</v>
      </c>
      <c r="R3049" t="s">
        <v>47306</v>
      </c>
      <c r="S3049" t="s">
        <v>47414</v>
      </c>
      <c r="T3049" t="s">
        <v>49014</v>
      </c>
      <c r="U3049" t="s">
        <v>52200</v>
      </c>
      <c r="W3049" t="s">
        <v>42978</v>
      </c>
      <c r="X3049" t="s">
        <v>47308</v>
      </c>
    </row>
    <row r="3050" spans="1:24">
      <c r="A3050">
        <f>HYPERLINK("https://www.philgeps.gov.ph/GEPSNONPILOT/Tender/SplashBidNoticeAbstractUI.aspx?menuIndex=3&amp;refID=7195215&amp;Result=3","7195215")</f>
        <v>0</v>
      </c>
      <c r="B3050" t="s">
        <v>1268</v>
      </c>
      <c r="C3050" t="s">
        <v>6770</v>
      </c>
      <c r="D3050" t="s">
        <v>18991</v>
      </c>
      <c r="E3050" t="s">
        <v>20748</v>
      </c>
      <c r="F3050" t="s">
        <v>32606</v>
      </c>
      <c r="G3050" t="s">
        <v>32619</v>
      </c>
      <c r="H3050" t="s">
        <v>14201</v>
      </c>
      <c r="I3050" t="s">
        <v>4114</v>
      </c>
      <c r="J3050" t="s">
        <v>34879</v>
      </c>
      <c r="K3050" t="s">
        <v>42629</v>
      </c>
      <c r="M3050" t="s">
        <v>44236</v>
      </c>
      <c r="N3050" t="s">
        <v>47304</v>
      </c>
      <c r="O3050" t="s">
        <v>47305</v>
      </c>
      <c r="P3050">
        <v>0</v>
      </c>
      <c r="Q3050">
        <v>3</v>
      </c>
      <c r="R3050" t="s">
        <v>47306</v>
      </c>
      <c r="S3050" t="s">
        <v>47414</v>
      </c>
      <c r="T3050" t="s">
        <v>48979</v>
      </c>
      <c r="U3050" t="s">
        <v>52201</v>
      </c>
      <c r="W3050" t="s">
        <v>44236</v>
      </c>
      <c r="X3050" t="s">
        <v>47308</v>
      </c>
    </row>
    <row r="3051" spans="1:24">
      <c r="A3051">
        <f>HYPERLINK("https://www.philgeps.gov.ph/GEPSNONPILOT/Tender/SplashBidNoticeAbstractUI.aspx?menuIndex=3&amp;refID=7195223&amp;Result=3","7195223")</f>
        <v>0</v>
      </c>
      <c r="B3051" t="s">
        <v>1273</v>
      </c>
      <c r="C3051" t="s">
        <v>6771</v>
      </c>
      <c r="D3051" t="s">
        <v>18993</v>
      </c>
      <c r="E3051" t="s">
        <v>21853</v>
      </c>
      <c r="F3051" t="s">
        <v>32606</v>
      </c>
      <c r="G3051" t="s">
        <v>32614</v>
      </c>
      <c r="H3051" t="s">
        <v>14201</v>
      </c>
      <c r="I3051" t="s">
        <v>4369</v>
      </c>
      <c r="J3051" t="s">
        <v>33897</v>
      </c>
      <c r="K3051" t="s">
        <v>42630</v>
      </c>
      <c r="M3051" t="s">
        <v>44243</v>
      </c>
      <c r="N3051" t="s">
        <v>47304</v>
      </c>
      <c r="O3051" t="s">
        <v>47305</v>
      </c>
      <c r="P3051">
        <v>0</v>
      </c>
      <c r="Q3051">
        <v>4</v>
      </c>
      <c r="R3051" t="s">
        <v>47306</v>
      </c>
      <c r="S3051" t="s">
        <v>47414</v>
      </c>
      <c r="T3051" t="s">
        <v>49062</v>
      </c>
      <c r="U3051" t="s">
        <v>52202</v>
      </c>
      <c r="W3051" t="s">
        <v>44243</v>
      </c>
      <c r="X3051" t="s">
        <v>47308</v>
      </c>
    </row>
    <row r="3052" spans="1:24">
      <c r="A3052">
        <f>HYPERLINK("https://www.philgeps.gov.ph/GEPSNONPILOT/Tender/SplashBidNoticeAbstractUI.aspx?menuIndex=3&amp;refID=7195221&amp;Result=3","7195221")</f>
        <v>0</v>
      </c>
      <c r="B3052" t="s">
        <v>374</v>
      </c>
      <c r="C3052" t="s">
        <v>6772</v>
      </c>
      <c r="D3052" t="s">
        <v>18999</v>
      </c>
      <c r="E3052" t="s">
        <v>21854</v>
      </c>
      <c r="F3052" t="s">
        <v>32606</v>
      </c>
      <c r="G3052" t="s">
        <v>32614</v>
      </c>
      <c r="H3052" t="s">
        <v>14201</v>
      </c>
      <c r="I3052" t="s">
        <v>7577</v>
      </c>
      <c r="J3052" t="s">
        <v>33174</v>
      </c>
      <c r="K3052" t="s">
        <v>42623</v>
      </c>
      <c r="M3052" t="s">
        <v>44244</v>
      </c>
      <c r="N3052" t="s">
        <v>47304</v>
      </c>
      <c r="O3052" t="s">
        <v>47305</v>
      </c>
      <c r="P3052">
        <v>0</v>
      </c>
      <c r="Q3052">
        <v>4</v>
      </c>
      <c r="R3052" t="s">
        <v>47306</v>
      </c>
      <c r="S3052" t="s">
        <v>47414</v>
      </c>
      <c r="T3052" t="s">
        <v>49010</v>
      </c>
      <c r="U3052" t="s">
        <v>52203</v>
      </c>
      <c r="V3052" t="s">
        <v>62973</v>
      </c>
      <c r="W3052" t="s">
        <v>44244</v>
      </c>
      <c r="X3052" t="s">
        <v>47308</v>
      </c>
    </row>
    <row r="3053" spans="1:24">
      <c r="A3053">
        <f>HYPERLINK("https://www.philgeps.gov.ph/GEPSNONPILOT/Tender/SplashBidNoticeAbstractUI.aspx?menuIndex=3&amp;refID=7195185&amp;Result=3","7195185")</f>
        <v>0</v>
      </c>
      <c r="B3053" t="s">
        <v>344</v>
      </c>
      <c r="C3053" t="s">
        <v>6578</v>
      </c>
      <c r="D3053" t="s">
        <v>19002</v>
      </c>
      <c r="E3053" t="s">
        <v>21855</v>
      </c>
      <c r="F3053" t="s">
        <v>32606</v>
      </c>
      <c r="G3053" t="s">
        <v>32614</v>
      </c>
      <c r="H3053" t="s">
        <v>14201</v>
      </c>
      <c r="I3053" t="s">
        <v>7677</v>
      </c>
      <c r="J3053" t="s">
        <v>34880</v>
      </c>
      <c r="K3053" t="s">
        <v>42622</v>
      </c>
      <c r="M3053" t="s">
        <v>44172</v>
      </c>
      <c r="N3053" t="s">
        <v>47304</v>
      </c>
      <c r="O3053" t="s">
        <v>47305</v>
      </c>
      <c r="P3053">
        <v>0</v>
      </c>
      <c r="Q3053">
        <v>5</v>
      </c>
      <c r="R3053" t="s">
        <v>47306</v>
      </c>
      <c r="S3053" t="s">
        <v>47414</v>
      </c>
      <c r="T3053" t="s">
        <v>48996</v>
      </c>
      <c r="U3053" t="s">
        <v>52204</v>
      </c>
      <c r="W3053" t="s">
        <v>44172</v>
      </c>
      <c r="X3053" t="s">
        <v>47308</v>
      </c>
    </row>
    <row r="3054" spans="1:24">
      <c r="A3054">
        <f>HYPERLINK("https://www.philgeps.gov.ph/GEPSNONPILOT/Tender/SplashBidNoticeAbstractUI.aspx?menuIndex=3&amp;refID=7195220&amp;Result=3","7195220")</f>
        <v>0</v>
      </c>
      <c r="B3054" t="s">
        <v>1274</v>
      </c>
      <c r="C3054" t="s">
        <v>6773</v>
      </c>
      <c r="D3054" t="s">
        <v>19005</v>
      </c>
      <c r="E3054" t="s">
        <v>21856</v>
      </c>
      <c r="F3054" t="s">
        <v>32606</v>
      </c>
      <c r="G3054" t="s">
        <v>32613</v>
      </c>
      <c r="H3054" t="s">
        <v>14201</v>
      </c>
      <c r="I3054" t="s">
        <v>32696</v>
      </c>
      <c r="J3054" t="s">
        <v>34881</v>
      </c>
      <c r="K3054" t="s">
        <v>42627</v>
      </c>
      <c r="M3054" t="s">
        <v>44245</v>
      </c>
      <c r="N3054" t="s">
        <v>47304</v>
      </c>
      <c r="O3054" t="s">
        <v>47305</v>
      </c>
      <c r="P3054">
        <v>0</v>
      </c>
      <c r="Q3054">
        <v>1</v>
      </c>
      <c r="R3054" t="s">
        <v>47306</v>
      </c>
      <c r="S3054" t="s">
        <v>47414</v>
      </c>
      <c r="T3054" t="s">
        <v>49197</v>
      </c>
      <c r="U3054" t="s">
        <v>52205</v>
      </c>
      <c r="W3054" t="s">
        <v>44245</v>
      </c>
      <c r="X3054" t="s">
        <v>47308</v>
      </c>
    </row>
    <row r="3055" spans="1:24">
      <c r="A3055">
        <f>HYPERLINK("https://www.philgeps.gov.ph/GEPSNONPILOT/Tender/SplashBidNoticeAbstractUI.aspx?menuIndex=3&amp;refID=7195208&amp;Result=3","7195208")</f>
        <v>0</v>
      </c>
      <c r="B3055" t="s">
        <v>661</v>
      </c>
      <c r="C3055" t="s">
        <v>6774</v>
      </c>
      <c r="D3055" t="s">
        <v>19011</v>
      </c>
      <c r="E3055" t="s">
        <v>21857</v>
      </c>
      <c r="F3055" t="s">
        <v>32606</v>
      </c>
      <c r="G3055" t="s">
        <v>32613</v>
      </c>
      <c r="H3055" t="s">
        <v>32623</v>
      </c>
      <c r="I3055" t="s">
        <v>17648</v>
      </c>
      <c r="J3055" t="s">
        <v>34882</v>
      </c>
      <c r="K3055" t="s">
        <v>42683</v>
      </c>
      <c r="M3055" t="s">
        <v>43581</v>
      </c>
      <c r="N3055" t="s">
        <v>47304</v>
      </c>
      <c r="O3055" t="s">
        <v>47305</v>
      </c>
      <c r="P3055">
        <v>0</v>
      </c>
      <c r="Q3055">
        <v>2</v>
      </c>
      <c r="R3055" t="s">
        <v>47306</v>
      </c>
      <c r="S3055" t="s">
        <v>47414</v>
      </c>
      <c r="T3055" t="s">
        <v>49133</v>
      </c>
      <c r="U3055" t="s">
        <v>52206</v>
      </c>
      <c r="V3055" t="s">
        <v>62974</v>
      </c>
      <c r="W3055" t="s">
        <v>43581</v>
      </c>
      <c r="X3055" t="s">
        <v>47308</v>
      </c>
    </row>
    <row r="3056" spans="1:24">
      <c r="A3056">
        <f>HYPERLINK("https://www.philgeps.gov.ph/GEPSNONPILOT/Tender/SplashBidNoticeAbstractUI.aspx?menuIndex=3&amp;refID=7195206&amp;Result=3","7195206")</f>
        <v>0</v>
      </c>
      <c r="B3056" t="s">
        <v>1225</v>
      </c>
      <c r="C3056" t="s">
        <v>6775</v>
      </c>
      <c r="D3056" t="s">
        <v>19038</v>
      </c>
      <c r="E3056" t="s">
        <v>21858</v>
      </c>
      <c r="F3056" t="s">
        <v>32606</v>
      </c>
      <c r="G3056" t="s">
        <v>32614</v>
      </c>
      <c r="H3056" t="s">
        <v>14201</v>
      </c>
      <c r="I3056" t="s">
        <v>7233</v>
      </c>
      <c r="J3056" t="s">
        <v>34883</v>
      </c>
      <c r="K3056" t="s">
        <v>42624</v>
      </c>
      <c r="M3056" t="s">
        <v>44190</v>
      </c>
      <c r="N3056" t="s">
        <v>47304</v>
      </c>
      <c r="O3056" t="s">
        <v>47305</v>
      </c>
      <c r="P3056">
        <v>0</v>
      </c>
      <c r="Q3056">
        <v>0</v>
      </c>
      <c r="R3056" t="s">
        <v>47306</v>
      </c>
      <c r="S3056" t="s">
        <v>47414</v>
      </c>
      <c r="T3056" t="s">
        <v>49017</v>
      </c>
      <c r="U3056" t="s">
        <v>52207</v>
      </c>
      <c r="W3056" t="s">
        <v>64467</v>
      </c>
      <c r="X3056" t="s">
        <v>47308</v>
      </c>
    </row>
    <row r="3057" spans="1:24">
      <c r="A3057">
        <f>HYPERLINK("https://www.philgeps.gov.ph/GEPSNONPILOT/Tender/SplashBidNoticeAbstractUI.aspx?menuIndex=3&amp;refID=7195225&amp;Result=3","7195225")</f>
        <v>0</v>
      </c>
      <c r="B3057" t="s">
        <v>952</v>
      </c>
      <c r="C3057" t="s">
        <v>6776</v>
      </c>
      <c r="D3057" t="s">
        <v>19040</v>
      </c>
      <c r="E3057" t="s">
        <v>21859</v>
      </c>
      <c r="F3057" t="s">
        <v>32606</v>
      </c>
      <c r="G3057" t="s">
        <v>32619</v>
      </c>
      <c r="H3057" t="s">
        <v>14201</v>
      </c>
      <c r="I3057" t="s">
        <v>32650</v>
      </c>
      <c r="J3057" t="s">
        <v>32981</v>
      </c>
      <c r="K3057" t="s">
        <v>42622</v>
      </c>
      <c r="M3057" t="s">
        <v>43894</v>
      </c>
      <c r="N3057" t="s">
        <v>47304</v>
      </c>
      <c r="O3057" t="s">
        <v>47305</v>
      </c>
      <c r="P3057">
        <v>0</v>
      </c>
      <c r="Q3057">
        <v>0</v>
      </c>
      <c r="R3057" t="s">
        <v>47306</v>
      </c>
      <c r="S3057" t="s">
        <v>47414</v>
      </c>
      <c r="T3057" t="s">
        <v>49071</v>
      </c>
      <c r="U3057" t="s">
        <v>52208</v>
      </c>
      <c r="W3057" t="s">
        <v>43894</v>
      </c>
      <c r="X3057" t="s">
        <v>47308</v>
      </c>
    </row>
    <row r="3058" spans="1:24">
      <c r="A3058">
        <f>HYPERLINK("https://www.philgeps.gov.ph/GEPSNONPILOT/Tender/SplashBidNoticeAbstractUI.aspx?menuIndex=3&amp;refID=7195222&amp;Result=3","7195222")</f>
        <v>0</v>
      </c>
      <c r="B3058" t="s">
        <v>1275</v>
      </c>
      <c r="C3058" t="s">
        <v>6777</v>
      </c>
      <c r="E3058" t="s">
        <v>21860</v>
      </c>
      <c r="F3058" t="s">
        <v>32606</v>
      </c>
      <c r="G3058" t="s">
        <v>32615</v>
      </c>
      <c r="H3058" t="s">
        <v>14201</v>
      </c>
      <c r="I3058" t="s">
        <v>32646</v>
      </c>
      <c r="J3058" t="s">
        <v>34884</v>
      </c>
      <c r="K3058" t="s">
        <v>42622</v>
      </c>
      <c r="N3058" t="s">
        <v>47304</v>
      </c>
      <c r="O3058" t="s">
        <v>47305</v>
      </c>
      <c r="P3058">
        <v>0</v>
      </c>
      <c r="Q3058">
        <v>1</v>
      </c>
      <c r="R3058" t="s">
        <v>47306</v>
      </c>
      <c r="S3058" t="s">
        <v>47414</v>
      </c>
      <c r="T3058" t="s">
        <v>48980</v>
      </c>
      <c r="U3058" t="s">
        <v>52209</v>
      </c>
      <c r="W3058" t="s">
        <v>45200</v>
      </c>
      <c r="X3058" t="s">
        <v>47308</v>
      </c>
    </row>
    <row r="3059" spans="1:24">
      <c r="A3059">
        <f>HYPERLINK("https://www.philgeps.gov.ph/GEPSNONPILOT/Tender/SplashBidNoticeAbstractUI.aspx?menuIndex=3&amp;refID=7195218&amp;Result=3","7195218")</f>
        <v>0</v>
      </c>
      <c r="B3059" t="s">
        <v>1236</v>
      </c>
      <c r="C3059" t="s">
        <v>6778</v>
      </c>
      <c r="D3059" t="s">
        <v>19052</v>
      </c>
      <c r="E3059" t="s">
        <v>21861</v>
      </c>
      <c r="F3059" t="s">
        <v>32606</v>
      </c>
      <c r="G3059" t="s">
        <v>32613</v>
      </c>
      <c r="H3059" t="s">
        <v>32623</v>
      </c>
      <c r="I3059" t="s">
        <v>6931</v>
      </c>
      <c r="J3059" t="s">
        <v>33748</v>
      </c>
      <c r="K3059" t="s">
        <v>42623</v>
      </c>
      <c r="M3059" t="s">
        <v>44201</v>
      </c>
      <c r="N3059" t="s">
        <v>47304</v>
      </c>
      <c r="O3059" t="s">
        <v>47305</v>
      </c>
      <c r="P3059">
        <v>0</v>
      </c>
      <c r="Q3059">
        <v>0</v>
      </c>
      <c r="R3059" t="s">
        <v>47306</v>
      </c>
      <c r="S3059" t="s">
        <v>47414</v>
      </c>
      <c r="T3059" t="s">
        <v>49140</v>
      </c>
      <c r="U3059" t="s">
        <v>52093</v>
      </c>
      <c r="W3059" t="s">
        <v>44201</v>
      </c>
      <c r="X3059" t="s">
        <v>47308</v>
      </c>
    </row>
    <row r="3060" spans="1:24">
      <c r="A3060">
        <f>HYPERLINK("https://www.philgeps.gov.ph/GEPSNONPILOT/Tender/SplashBidNoticeAbstractUI.aspx?menuIndex=3&amp;refID=7195205&amp;Result=3","7195205")</f>
        <v>0</v>
      </c>
      <c r="B3060" t="s">
        <v>353</v>
      </c>
      <c r="C3060" t="s">
        <v>6779</v>
      </c>
      <c r="D3060" t="s">
        <v>19012</v>
      </c>
      <c r="E3060" t="s">
        <v>21862</v>
      </c>
      <c r="F3060" t="s">
        <v>32606</v>
      </c>
      <c r="G3060" t="s">
        <v>32614</v>
      </c>
      <c r="H3060" t="s">
        <v>14201</v>
      </c>
      <c r="I3060" t="s">
        <v>6309</v>
      </c>
      <c r="J3060" t="s">
        <v>34885</v>
      </c>
      <c r="K3060" t="s">
        <v>42631</v>
      </c>
      <c r="M3060" t="s">
        <v>43255</v>
      </c>
      <c r="N3060" t="s">
        <v>47304</v>
      </c>
      <c r="O3060" t="s">
        <v>47305</v>
      </c>
      <c r="P3060">
        <v>0</v>
      </c>
      <c r="Q3060">
        <v>1</v>
      </c>
      <c r="R3060" t="s">
        <v>47306</v>
      </c>
      <c r="S3060" t="s">
        <v>47414</v>
      </c>
      <c r="T3060" t="s">
        <v>49014</v>
      </c>
      <c r="U3060" t="s">
        <v>52210</v>
      </c>
      <c r="W3060" t="s">
        <v>43255</v>
      </c>
      <c r="X3060" t="s">
        <v>47308</v>
      </c>
    </row>
    <row r="3061" spans="1:24">
      <c r="A3061">
        <f>HYPERLINK("https://www.philgeps.gov.ph/GEPSNONPILOT/Tender/SplashBidNoticeAbstractUI.aspx?menuIndex=3&amp;refID=7195226&amp;Result=3","7195226")</f>
        <v>0</v>
      </c>
      <c r="B3061" t="s">
        <v>1276</v>
      </c>
      <c r="C3061" t="s">
        <v>4329</v>
      </c>
      <c r="D3061" t="s">
        <v>19019</v>
      </c>
      <c r="E3061" t="s">
        <v>19521</v>
      </c>
      <c r="F3061" t="s">
        <v>32606</v>
      </c>
      <c r="G3061" t="s">
        <v>32619</v>
      </c>
      <c r="H3061" t="s">
        <v>14201</v>
      </c>
      <c r="I3061" t="s">
        <v>6298</v>
      </c>
      <c r="J3061" t="s">
        <v>34886</v>
      </c>
      <c r="K3061" t="s">
        <v>42625</v>
      </c>
      <c r="M3061" t="s">
        <v>44246</v>
      </c>
      <c r="N3061" t="s">
        <v>47304</v>
      </c>
      <c r="O3061" t="s">
        <v>47305</v>
      </c>
      <c r="P3061">
        <v>0</v>
      </c>
      <c r="Q3061">
        <v>0</v>
      </c>
      <c r="R3061" t="s">
        <v>47306</v>
      </c>
      <c r="S3061" t="s">
        <v>47414</v>
      </c>
      <c r="T3061" t="s">
        <v>48979</v>
      </c>
      <c r="U3061" t="s">
        <v>52211</v>
      </c>
      <c r="W3061" t="s">
        <v>44246</v>
      </c>
      <c r="X3061" t="s">
        <v>47308</v>
      </c>
    </row>
    <row r="3062" spans="1:24">
      <c r="A3062">
        <f>HYPERLINK("https://www.philgeps.gov.ph/GEPSNONPILOT/Tender/SplashBidNoticeAbstractUI.aspx?menuIndex=3&amp;refID=7195236&amp;Result=3","7195236")</f>
        <v>0</v>
      </c>
      <c r="B3062" t="s">
        <v>95</v>
      </c>
      <c r="C3062" t="s">
        <v>6780</v>
      </c>
      <c r="D3062" t="s">
        <v>19006</v>
      </c>
      <c r="E3062" t="s">
        <v>20519</v>
      </c>
      <c r="F3062" t="s">
        <v>32606</v>
      </c>
      <c r="G3062" t="s">
        <v>32613</v>
      </c>
      <c r="H3062" t="s">
        <v>14201</v>
      </c>
      <c r="I3062" t="s">
        <v>32634</v>
      </c>
      <c r="J3062" t="s">
        <v>34887</v>
      </c>
      <c r="K3062" t="s">
        <v>42627</v>
      </c>
      <c r="M3062" t="s">
        <v>42993</v>
      </c>
      <c r="N3062" t="s">
        <v>47304</v>
      </c>
      <c r="O3062" t="s">
        <v>47305</v>
      </c>
      <c r="P3062">
        <v>0</v>
      </c>
      <c r="Q3062">
        <v>1</v>
      </c>
      <c r="R3062" t="s">
        <v>47306</v>
      </c>
      <c r="S3062" t="s">
        <v>47414</v>
      </c>
      <c r="T3062" t="s">
        <v>48988</v>
      </c>
      <c r="U3062" t="s">
        <v>52212</v>
      </c>
      <c r="W3062" t="s">
        <v>42993</v>
      </c>
      <c r="X3062" t="s">
        <v>47308</v>
      </c>
    </row>
    <row r="3063" spans="1:24">
      <c r="A3063">
        <f>HYPERLINK("https://www.philgeps.gov.ph/GEPSNONPILOT/Tender/SplashBidNoticeAbstractUI.aspx?menuIndex=3&amp;refID=7195242&amp;Result=3","7195242")</f>
        <v>0</v>
      </c>
      <c r="B3063" t="s">
        <v>1277</v>
      </c>
      <c r="C3063" t="s">
        <v>6781</v>
      </c>
      <c r="D3063" t="s">
        <v>18994</v>
      </c>
      <c r="E3063" t="s">
        <v>21863</v>
      </c>
      <c r="F3063" t="s">
        <v>32606</v>
      </c>
      <c r="G3063" t="s">
        <v>32613</v>
      </c>
      <c r="H3063" t="s">
        <v>14201</v>
      </c>
      <c r="I3063" t="s">
        <v>4114</v>
      </c>
      <c r="J3063" t="s">
        <v>34888</v>
      </c>
      <c r="K3063" t="s">
        <v>42630</v>
      </c>
      <c r="M3063" t="s">
        <v>44247</v>
      </c>
      <c r="N3063" t="s">
        <v>47304</v>
      </c>
      <c r="O3063" t="s">
        <v>47305</v>
      </c>
      <c r="P3063">
        <v>0</v>
      </c>
      <c r="Q3063">
        <v>0</v>
      </c>
      <c r="R3063" t="s">
        <v>47306</v>
      </c>
      <c r="S3063" t="s">
        <v>47414</v>
      </c>
      <c r="T3063" t="s">
        <v>48986</v>
      </c>
      <c r="U3063" t="s">
        <v>52213</v>
      </c>
      <c r="W3063" t="s">
        <v>44247</v>
      </c>
      <c r="X3063" t="s">
        <v>47308</v>
      </c>
    </row>
    <row r="3064" spans="1:24">
      <c r="A3064">
        <f>HYPERLINK("https://www.philgeps.gov.ph/GEPSNONPILOT/Tender/SplashBidNoticeAbstractUI.aspx?menuIndex=3&amp;refID=7195232&amp;Result=3","7195232")</f>
        <v>0</v>
      </c>
      <c r="B3064" t="s">
        <v>1278</v>
      </c>
      <c r="C3064" t="s">
        <v>6782</v>
      </c>
      <c r="E3064" t="s">
        <v>21864</v>
      </c>
      <c r="F3064" t="s">
        <v>32606</v>
      </c>
      <c r="G3064" t="s">
        <v>32614</v>
      </c>
      <c r="H3064" t="s">
        <v>14201</v>
      </c>
      <c r="I3064" t="s">
        <v>13131</v>
      </c>
      <c r="J3064" t="s">
        <v>34889</v>
      </c>
      <c r="K3064" t="s">
        <v>42624</v>
      </c>
      <c r="M3064" t="s">
        <v>44248</v>
      </c>
      <c r="N3064" t="s">
        <v>47304</v>
      </c>
      <c r="O3064" t="s">
        <v>47305</v>
      </c>
      <c r="P3064">
        <v>0</v>
      </c>
      <c r="Q3064">
        <v>4</v>
      </c>
      <c r="R3064" t="s">
        <v>47306</v>
      </c>
      <c r="S3064" t="s">
        <v>47414</v>
      </c>
      <c r="T3064" t="s">
        <v>49036</v>
      </c>
      <c r="U3064" t="s">
        <v>52214</v>
      </c>
      <c r="V3064" t="s">
        <v>62975</v>
      </c>
      <c r="W3064" t="s">
        <v>44248</v>
      </c>
      <c r="X3064" t="s">
        <v>47308</v>
      </c>
    </row>
    <row r="3065" spans="1:24">
      <c r="A3065">
        <f>HYPERLINK("https://www.philgeps.gov.ph/GEPSNONPILOT/Tender/SplashBidNoticeAbstractUI.aspx?menuIndex=3&amp;refID=7195230&amp;Result=3","7195230")</f>
        <v>0</v>
      </c>
      <c r="B3065" t="s">
        <v>1279</v>
      </c>
      <c r="C3065" t="s">
        <v>6783</v>
      </c>
      <c r="E3065" t="s">
        <v>21865</v>
      </c>
      <c r="F3065" t="s">
        <v>32606</v>
      </c>
      <c r="G3065" t="s">
        <v>32614</v>
      </c>
      <c r="H3065" t="s">
        <v>14201</v>
      </c>
      <c r="I3065" t="s">
        <v>6298</v>
      </c>
      <c r="J3065" t="s">
        <v>34890</v>
      </c>
      <c r="K3065" t="s">
        <v>42622</v>
      </c>
      <c r="M3065" t="s">
        <v>44249</v>
      </c>
      <c r="N3065" t="s">
        <v>47304</v>
      </c>
      <c r="O3065" t="s">
        <v>47305</v>
      </c>
      <c r="P3065">
        <v>0</v>
      </c>
      <c r="Q3065">
        <v>3</v>
      </c>
      <c r="R3065" t="s">
        <v>47306</v>
      </c>
      <c r="S3065" t="s">
        <v>47414</v>
      </c>
      <c r="T3065" t="s">
        <v>49014</v>
      </c>
      <c r="U3065" t="s">
        <v>52215</v>
      </c>
      <c r="W3065" t="s">
        <v>44249</v>
      </c>
      <c r="X3065" t="s">
        <v>47308</v>
      </c>
    </row>
    <row r="3066" spans="1:24">
      <c r="A3066">
        <f>HYPERLINK("https://www.philgeps.gov.ph/GEPSNONPILOT/Tender/SplashBidNoticeAbstractUI.aspx?menuIndex=3&amp;refID=7195219&amp;Result=3","7195219")</f>
        <v>0</v>
      </c>
      <c r="B3066" t="s">
        <v>317</v>
      </c>
      <c r="C3066" t="s">
        <v>6784</v>
      </c>
      <c r="D3066" t="s">
        <v>19011</v>
      </c>
      <c r="E3066" t="s">
        <v>19809</v>
      </c>
      <c r="F3066" t="s">
        <v>32606</v>
      </c>
      <c r="G3066" t="s">
        <v>32613</v>
      </c>
      <c r="H3066" t="s">
        <v>14201</v>
      </c>
      <c r="I3066" t="s">
        <v>32626</v>
      </c>
      <c r="J3066" t="s">
        <v>32789</v>
      </c>
      <c r="K3066" t="s">
        <v>42622</v>
      </c>
      <c r="M3066" t="s">
        <v>43219</v>
      </c>
      <c r="N3066" t="s">
        <v>47304</v>
      </c>
      <c r="O3066" t="s">
        <v>47305</v>
      </c>
      <c r="P3066">
        <v>0</v>
      </c>
      <c r="Q3066">
        <v>2</v>
      </c>
      <c r="R3066" t="s">
        <v>47306</v>
      </c>
      <c r="S3066" t="s">
        <v>47414</v>
      </c>
      <c r="T3066" t="s">
        <v>49017</v>
      </c>
      <c r="U3066" t="s">
        <v>52216</v>
      </c>
      <c r="W3066" t="s">
        <v>43219</v>
      </c>
      <c r="X3066" t="s">
        <v>47308</v>
      </c>
    </row>
    <row r="3067" spans="1:24">
      <c r="A3067">
        <f>HYPERLINK("https://www.philgeps.gov.ph/GEPSNONPILOT/Tender/SplashBidNoticeAbstractUI.aspx?menuIndex=3&amp;refID=7195229&amp;Result=3","7195229")</f>
        <v>0</v>
      </c>
      <c r="B3067" t="s">
        <v>1280</v>
      </c>
      <c r="C3067" t="s">
        <v>6785</v>
      </c>
      <c r="E3067" t="s">
        <v>21866</v>
      </c>
      <c r="F3067" t="s">
        <v>32606</v>
      </c>
      <c r="G3067" t="s">
        <v>32613</v>
      </c>
      <c r="H3067" t="s">
        <v>14201</v>
      </c>
      <c r="I3067" t="s">
        <v>6993</v>
      </c>
      <c r="J3067" t="s">
        <v>34205</v>
      </c>
      <c r="K3067" t="s">
        <v>42624</v>
      </c>
      <c r="M3067" t="s">
        <v>44250</v>
      </c>
      <c r="N3067" t="s">
        <v>47304</v>
      </c>
      <c r="O3067" t="s">
        <v>47305</v>
      </c>
      <c r="P3067">
        <v>0</v>
      </c>
      <c r="Q3067">
        <v>0</v>
      </c>
      <c r="R3067" t="s">
        <v>47306</v>
      </c>
      <c r="S3067" t="s">
        <v>47414</v>
      </c>
      <c r="T3067" t="s">
        <v>49234</v>
      </c>
      <c r="U3067" t="s">
        <v>52217</v>
      </c>
      <c r="V3067" t="s">
        <v>62976</v>
      </c>
      <c r="W3067" t="s">
        <v>44250</v>
      </c>
      <c r="X3067" t="s">
        <v>47308</v>
      </c>
    </row>
    <row r="3068" spans="1:24">
      <c r="A3068">
        <f>HYPERLINK("https://www.philgeps.gov.ph/GEPSNONPILOT/Tender/SplashBidNoticeAbstractUI.aspx?menuIndex=3&amp;refID=7195227&amp;Result=3","7195227")</f>
        <v>0</v>
      </c>
      <c r="B3068" t="s">
        <v>1281</v>
      </c>
      <c r="C3068" t="s">
        <v>6786</v>
      </c>
      <c r="D3068" t="s">
        <v>19008</v>
      </c>
      <c r="E3068" t="s">
        <v>21867</v>
      </c>
      <c r="F3068" t="s">
        <v>32606</v>
      </c>
      <c r="G3068" t="s">
        <v>32613</v>
      </c>
      <c r="H3068" t="s">
        <v>14201</v>
      </c>
      <c r="I3068" t="s">
        <v>32663</v>
      </c>
      <c r="J3068" t="s">
        <v>32981</v>
      </c>
      <c r="K3068" t="s">
        <v>42631</v>
      </c>
      <c r="M3068" t="s">
        <v>44251</v>
      </c>
      <c r="N3068" t="s">
        <v>47304</v>
      </c>
      <c r="O3068" t="s">
        <v>47305</v>
      </c>
      <c r="P3068">
        <v>0</v>
      </c>
      <c r="Q3068">
        <v>1</v>
      </c>
      <c r="R3068" t="s">
        <v>47306</v>
      </c>
      <c r="S3068" t="s">
        <v>47414</v>
      </c>
      <c r="T3068" t="s">
        <v>49107</v>
      </c>
      <c r="U3068" t="s">
        <v>52218</v>
      </c>
      <c r="V3068" t="s">
        <v>62977</v>
      </c>
      <c r="W3068" t="s">
        <v>44251</v>
      </c>
      <c r="X3068" t="s">
        <v>47308</v>
      </c>
    </row>
    <row r="3069" spans="1:24">
      <c r="A3069">
        <f>HYPERLINK("https://www.philgeps.gov.ph/GEPSNONPILOT/Tender/SplashBidNoticeAbstractUI.aspx?menuIndex=3&amp;refID=7195237&amp;Result=3","7195237")</f>
        <v>0</v>
      </c>
      <c r="B3069" t="s">
        <v>1282</v>
      </c>
      <c r="C3069" t="s">
        <v>6787</v>
      </c>
      <c r="D3069" t="s">
        <v>19037</v>
      </c>
      <c r="E3069" t="s">
        <v>21868</v>
      </c>
      <c r="F3069" t="s">
        <v>32606</v>
      </c>
      <c r="G3069" t="s">
        <v>32619</v>
      </c>
      <c r="H3069" t="s">
        <v>14201</v>
      </c>
      <c r="I3069" t="s">
        <v>32633</v>
      </c>
      <c r="J3069" t="s">
        <v>34891</v>
      </c>
      <c r="K3069" t="s">
        <v>42622</v>
      </c>
      <c r="M3069" t="s">
        <v>44252</v>
      </c>
      <c r="N3069" t="s">
        <v>47304</v>
      </c>
      <c r="O3069" t="s">
        <v>47305</v>
      </c>
      <c r="P3069">
        <v>0</v>
      </c>
      <c r="Q3069">
        <v>2</v>
      </c>
      <c r="R3069" t="s">
        <v>47306</v>
      </c>
      <c r="S3069" t="s">
        <v>47414</v>
      </c>
      <c r="T3069" t="s">
        <v>49165</v>
      </c>
      <c r="U3069" t="s">
        <v>52219</v>
      </c>
      <c r="W3069" t="s">
        <v>64470</v>
      </c>
      <c r="X3069" t="s">
        <v>47308</v>
      </c>
    </row>
    <row r="3070" spans="1:24">
      <c r="A3070">
        <f>HYPERLINK("https://www.philgeps.gov.ph/GEPSNONPILOT/Tender/SplashBidNoticeAbstractUI.aspx?menuIndex=3&amp;refID=7195253&amp;Result=3","7195253")</f>
        <v>0</v>
      </c>
      <c r="B3070" t="s">
        <v>123</v>
      </c>
      <c r="C3070" t="s">
        <v>6788</v>
      </c>
      <c r="D3070" t="s">
        <v>18993</v>
      </c>
      <c r="E3070" t="s">
        <v>21869</v>
      </c>
      <c r="F3070" t="s">
        <v>32606</v>
      </c>
      <c r="G3070" t="s">
        <v>32614</v>
      </c>
      <c r="H3070" t="s">
        <v>14201</v>
      </c>
      <c r="I3070" t="s">
        <v>4369</v>
      </c>
      <c r="J3070" t="s">
        <v>34892</v>
      </c>
      <c r="K3070" t="s">
        <v>42622</v>
      </c>
      <c r="M3070" t="s">
        <v>44253</v>
      </c>
      <c r="N3070" t="s">
        <v>47304</v>
      </c>
      <c r="O3070" t="s">
        <v>47305</v>
      </c>
      <c r="P3070">
        <v>0</v>
      </c>
      <c r="Q3070">
        <v>1</v>
      </c>
      <c r="R3070" t="s">
        <v>47306</v>
      </c>
      <c r="S3070" t="s">
        <v>47414</v>
      </c>
      <c r="T3070" t="s">
        <v>49061</v>
      </c>
      <c r="U3070" t="s">
        <v>52220</v>
      </c>
      <c r="V3070" t="s">
        <v>62978</v>
      </c>
      <c r="W3070" t="s">
        <v>44253</v>
      </c>
      <c r="X3070" t="s">
        <v>47308</v>
      </c>
    </row>
    <row r="3071" spans="1:24">
      <c r="A3071">
        <f>HYPERLINK("https://www.philgeps.gov.ph/GEPSNONPILOT/Tender/SplashBidNoticeAbstractUI.aspx?menuIndex=3&amp;refID=7195234&amp;Result=3","7195234")</f>
        <v>0</v>
      </c>
      <c r="B3071" t="s">
        <v>813</v>
      </c>
      <c r="C3071" t="s">
        <v>6789</v>
      </c>
      <c r="D3071" t="s">
        <v>19044</v>
      </c>
      <c r="E3071" t="s">
        <v>21870</v>
      </c>
      <c r="F3071" t="s">
        <v>32606</v>
      </c>
      <c r="G3071" t="s">
        <v>32614</v>
      </c>
      <c r="H3071" t="s">
        <v>14201</v>
      </c>
      <c r="I3071" t="s">
        <v>6298</v>
      </c>
      <c r="J3071" t="s">
        <v>34893</v>
      </c>
      <c r="K3071" t="s">
        <v>42630</v>
      </c>
      <c r="M3071" t="s">
        <v>43744</v>
      </c>
      <c r="N3071" t="s">
        <v>47304</v>
      </c>
      <c r="O3071" t="s">
        <v>47305</v>
      </c>
      <c r="P3071">
        <v>0</v>
      </c>
      <c r="Q3071">
        <v>0</v>
      </c>
      <c r="R3071" t="s">
        <v>47306</v>
      </c>
      <c r="S3071" t="s">
        <v>47414</v>
      </c>
      <c r="T3071" t="s">
        <v>48987</v>
      </c>
      <c r="U3071" t="s">
        <v>52221</v>
      </c>
      <c r="W3071" t="s">
        <v>43744</v>
      </c>
      <c r="X3071" t="s">
        <v>47308</v>
      </c>
    </row>
    <row r="3072" spans="1:24">
      <c r="A3072">
        <f>HYPERLINK("https://www.philgeps.gov.ph/GEPSNONPILOT/Tender/SplashBidNoticeAbstractUI.aspx?menuIndex=3&amp;refID=7195231&amp;Result=3","7195231")</f>
        <v>0</v>
      </c>
      <c r="B3072" t="s">
        <v>1283</v>
      </c>
      <c r="C3072" t="s">
        <v>6790</v>
      </c>
      <c r="D3072" t="s">
        <v>18990</v>
      </c>
      <c r="E3072" t="s">
        <v>21871</v>
      </c>
      <c r="F3072" t="s">
        <v>32606</v>
      </c>
      <c r="G3072" t="s">
        <v>32619</v>
      </c>
      <c r="H3072" t="s">
        <v>14201</v>
      </c>
      <c r="I3072" t="s">
        <v>13131</v>
      </c>
      <c r="J3072" t="s">
        <v>33167</v>
      </c>
      <c r="K3072" t="s">
        <v>42622</v>
      </c>
      <c r="M3072" t="s">
        <v>44254</v>
      </c>
      <c r="N3072" t="s">
        <v>47304</v>
      </c>
      <c r="O3072" t="s">
        <v>47305</v>
      </c>
      <c r="P3072">
        <v>0</v>
      </c>
      <c r="Q3072">
        <v>2</v>
      </c>
      <c r="R3072" t="s">
        <v>47306</v>
      </c>
      <c r="S3072" t="s">
        <v>47414</v>
      </c>
      <c r="T3072" t="s">
        <v>49095</v>
      </c>
      <c r="U3072" t="s">
        <v>52222</v>
      </c>
      <c r="W3072" t="s">
        <v>44254</v>
      </c>
      <c r="X3072" t="s">
        <v>47308</v>
      </c>
    </row>
    <row r="3073" spans="1:24">
      <c r="A3073">
        <f>HYPERLINK("https://www.philgeps.gov.ph/GEPSNONPILOT/Tender/SplashBidNoticeAbstractUI.aspx?menuIndex=3&amp;refID=7195249&amp;Result=3","7195249")</f>
        <v>0</v>
      </c>
      <c r="B3073" t="s">
        <v>1268</v>
      </c>
      <c r="C3073" t="s">
        <v>6791</v>
      </c>
      <c r="D3073" t="s">
        <v>18991</v>
      </c>
      <c r="E3073" t="s">
        <v>21872</v>
      </c>
      <c r="F3073" t="s">
        <v>32606</v>
      </c>
      <c r="G3073" t="s">
        <v>32619</v>
      </c>
      <c r="H3073" t="s">
        <v>14201</v>
      </c>
      <c r="I3073" t="s">
        <v>4114</v>
      </c>
      <c r="J3073" t="s">
        <v>33848</v>
      </c>
      <c r="K3073" t="s">
        <v>42629</v>
      </c>
      <c r="M3073" t="s">
        <v>44236</v>
      </c>
      <c r="N3073" t="s">
        <v>47304</v>
      </c>
      <c r="O3073" t="s">
        <v>47305</v>
      </c>
      <c r="P3073">
        <v>0</v>
      </c>
      <c r="Q3073">
        <v>6</v>
      </c>
      <c r="R3073" t="s">
        <v>47306</v>
      </c>
      <c r="S3073" t="s">
        <v>47414</v>
      </c>
      <c r="T3073" t="s">
        <v>48979</v>
      </c>
      <c r="U3073" t="s">
        <v>52223</v>
      </c>
      <c r="W3073" t="s">
        <v>44236</v>
      </c>
      <c r="X3073" t="s">
        <v>47308</v>
      </c>
    </row>
    <row r="3074" spans="1:24">
      <c r="A3074">
        <f>HYPERLINK("https://www.philgeps.gov.ph/GEPSNONPILOT/Tender/SplashBidNoticeAbstractUI.aspx?menuIndex=3&amp;refID=7195248&amp;Result=3","7195248")</f>
        <v>0</v>
      </c>
      <c r="B3074" t="s">
        <v>174</v>
      </c>
      <c r="C3074" t="s">
        <v>6792</v>
      </c>
      <c r="D3074" t="s">
        <v>19029</v>
      </c>
      <c r="E3074" t="s">
        <v>21873</v>
      </c>
      <c r="F3074" t="s">
        <v>32606</v>
      </c>
      <c r="G3074" t="s">
        <v>32619</v>
      </c>
      <c r="H3074" t="s">
        <v>14201</v>
      </c>
      <c r="I3074" t="s">
        <v>32664</v>
      </c>
      <c r="J3074" t="s">
        <v>32999</v>
      </c>
      <c r="K3074" t="s">
        <v>42632</v>
      </c>
      <c r="M3074" t="s">
        <v>43075</v>
      </c>
      <c r="N3074" t="s">
        <v>47304</v>
      </c>
      <c r="O3074" t="s">
        <v>47305</v>
      </c>
      <c r="P3074">
        <v>0</v>
      </c>
      <c r="Q3074">
        <v>2</v>
      </c>
      <c r="R3074" t="s">
        <v>47306</v>
      </c>
      <c r="S3074" t="s">
        <v>47414</v>
      </c>
      <c r="T3074" t="s">
        <v>49047</v>
      </c>
      <c r="U3074" t="s">
        <v>52224</v>
      </c>
      <c r="W3074" t="s">
        <v>43075</v>
      </c>
      <c r="X3074" t="s">
        <v>47308</v>
      </c>
    </row>
    <row r="3075" spans="1:24">
      <c r="A3075">
        <f>HYPERLINK("https://www.philgeps.gov.ph/GEPSNONPILOT/Tender/SplashBidNoticeAbstractUI.aspx?menuIndex=3&amp;refID=7195245&amp;Result=3","7195245")</f>
        <v>0</v>
      </c>
      <c r="B3075" t="s">
        <v>949</v>
      </c>
      <c r="C3075" t="s">
        <v>6793</v>
      </c>
      <c r="D3075" t="s">
        <v>19044</v>
      </c>
      <c r="E3075" t="s">
        <v>21874</v>
      </c>
      <c r="F3075" t="s">
        <v>32606</v>
      </c>
      <c r="G3075" t="s">
        <v>32614</v>
      </c>
      <c r="H3075" t="s">
        <v>14201</v>
      </c>
      <c r="I3075" t="s">
        <v>4369</v>
      </c>
      <c r="J3075" t="s">
        <v>34894</v>
      </c>
      <c r="K3075" t="s">
        <v>42631</v>
      </c>
      <c r="M3075" t="s">
        <v>43891</v>
      </c>
      <c r="N3075" t="s">
        <v>47304</v>
      </c>
      <c r="O3075" t="s">
        <v>47305</v>
      </c>
      <c r="P3075">
        <v>0</v>
      </c>
      <c r="Q3075">
        <v>12</v>
      </c>
      <c r="R3075" t="s">
        <v>47306</v>
      </c>
      <c r="S3075" t="s">
        <v>47414</v>
      </c>
      <c r="T3075" t="s">
        <v>49014</v>
      </c>
      <c r="U3075" t="s">
        <v>52225</v>
      </c>
      <c r="W3075" t="s">
        <v>43891</v>
      </c>
      <c r="X3075" t="s">
        <v>47308</v>
      </c>
    </row>
    <row r="3076" spans="1:24">
      <c r="A3076">
        <f>HYPERLINK("https://www.philgeps.gov.ph/GEPSNONPILOT/Tender/SplashBidNoticeAbstractUI.aspx?menuIndex=3&amp;refID=7195244&amp;Result=3","7195244")</f>
        <v>0</v>
      </c>
      <c r="B3076" t="s">
        <v>1284</v>
      </c>
      <c r="C3076" t="s">
        <v>6794</v>
      </c>
      <c r="D3076" t="s">
        <v>19009</v>
      </c>
      <c r="E3076" t="s">
        <v>21875</v>
      </c>
      <c r="F3076" t="s">
        <v>32606</v>
      </c>
      <c r="G3076" t="s">
        <v>32619</v>
      </c>
      <c r="H3076" t="s">
        <v>14201</v>
      </c>
      <c r="I3076" t="s">
        <v>4120</v>
      </c>
      <c r="J3076" t="s">
        <v>32885</v>
      </c>
      <c r="K3076" t="s">
        <v>42622</v>
      </c>
      <c r="M3076" t="s">
        <v>44255</v>
      </c>
      <c r="N3076" t="s">
        <v>47304</v>
      </c>
      <c r="O3076" t="s">
        <v>47305</v>
      </c>
      <c r="P3076">
        <v>0</v>
      </c>
      <c r="Q3076">
        <v>0</v>
      </c>
      <c r="R3076" t="s">
        <v>47306</v>
      </c>
      <c r="S3076" t="s">
        <v>47414</v>
      </c>
      <c r="T3076" t="s">
        <v>48980</v>
      </c>
      <c r="U3076" t="s">
        <v>52226</v>
      </c>
      <c r="W3076" t="s">
        <v>44255</v>
      </c>
      <c r="X3076" t="s">
        <v>47308</v>
      </c>
    </row>
    <row r="3077" spans="1:24">
      <c r="A3077">
        <f>HYPERLINK("https://www.philgeps.gov.ph/GEPSNONPILOT/Tender/SplashBidNoticeAbstractUI.aspx?menuIndex=3&amp;refID=7195235&amp;Result=3","7195235")</f>
        <v>0</v>
      </c>
      <c r="B3077" t="s">
        <v>1285</v>
      </c>
      <c r="C3077" t="s">
        <v>6795</v>
      </c>
      <c r="D3077" t="s">
        <v>19040</v>
      </c>
      <c r="E3077" t="s">
        <v>21876</v>
      </c>
      <c r="F3077" t="s">
        <v>32606</v>
      </c>
      <c r="G3077" t="s">
        <v>32613</v>
      </c>
      <c r="H3077" t="s">
        <v>32623</v>
      </c>
      <c r="I3077" t="s">
        <v>17648</v>
      </c>
      <c r="J3077" t="s">
        <v>34895</v>
      </c>
      <c r="K3077" t="s">
        <v>42740</v>
      </c>
      <c r="M3077" t="s">
        <v>44256</v>
      </c>
      <c r="N3077" t="s">
        <v>47304</v>
      </c>
      <c r="O3077" t="s">
        <v>47305</v>
      </c>
      <c r="P3077">
        <v>0</v>
      </c>
      <c r="Q3077">
        <v>0</v>
      </c>
      <c r="R3077" t="s">
        <v>47306</v>
      </c>
      <c r="S3077" t="s">
        <v>47414</v>
      </c>
      <c r="T3077" t="s">
        <v>49023</v>
      </c>
      <c r="U3077" t="s">
        <v>52227</v>
      </c>
      <c r="W3077" t="s">
        <v>44256</v>
      </c>
      <c r="X3077" t="s">
        <v>47308</v>
      </c>
    </row>
    <row r="3078" spans="1:24">
      <c r="A3078">
        <f>HYPERLINK("https://www.philgeps.gov.ph/GEPSNONPILOT/Tender/SplashBidNoticeAbstractUI.aspx?menuIndex=3&amp;refID=7195250&amp;Result=3","7195250")</f>
        <v>0</v>
      </c>
      <c r="B3078" t="s">
        <v>360</v>
      </c>
      <c r="C3078" t="s">
        <v>6796</v>
      </c>
      <c r="D3078" t="s">
        <v>19040</v>
      </c>
      <c r="E3078" t="s">
        <v>21877</v>
      </c>
      <c r="F3078" t="s">
        <v>32606</v>
      </c>
      <c r="G3078" t="s">
        <v>32614</v>
      </c>
      <c r="H3078" t="s">
        <v>14201</v>
      </c>
      <c r="I3078" t="s">
        <v>4120</v>
      </c>
      <c r="J3078" t="s">
        <v>32949</v>
      </c>
      <c r="K3078" t="s">
        <v>42630</v>
      </c>
      <c r="M3078" t="s">
        <v>43262</v>
      </c>
      <c r="N3078" t="s">
        <v>47304</v>
      </c>
      <c r="O3078" t="s">
        <v>47305</v>
      </c>
      <c r="P3078">
        <v>0</v>
      </c>
      <c r="Q3078">
        <v>0</v>
      </c>
      <c r="R3078" t="s">
        <v>47306</v>
      </c>
      <c r="S3078" t="s">
        <v>47414</v>
      </c>
      <c r="T3078" t="s">
        <v>49050</v>
      </c>
      <c r="U3078" t="s">
        <v>50184</v>
      </c>
      <c r="W3078" t="s">
        <v>43262</v>
      </c>
      <c r="X3078" t="s">
        <v>47308</v>
      </c>
    </row>
    <row r="3079" spans="1:24">
      <c r="A3079">
        <f>HYPERLINK("https://www.philgeps.gov.ph/GEPSNONPILOT/Tender/SplashBidNoticeAbstractUI.aspx?menuIndex=3&amp;refID=7195251&amp;Result=3","7195251")</f>
        <v>0</v>
      </c>
      <c r="B3079" t="s">
        <v>1285</v>
      </c>
      <c r="C3079" t="s">
        <v>6797</v>
      </c>
      <c r="D3079" t="s">
        <v>19040</v>
      </c>
      <c r="E3079" t="s">
        <v>21878</v>
      </c>
      <c r="F3079" t="s">
        <v>32606</v>
      </c>
      <c r="G3079" t="s">
        <v>32613</v>
      </c>
      <c r="H3079" t="s">
        <v>32623</v>
      </c>
      <c r="I3079" t="s">
        <v>17648</v>
      </c>
      <c r="J3079" t="s">
        <v>34896</v>
      </c>
      <c r="K3079" t="s">
        <v>42737</v>
      </c>
      <c r="M3079" t="s">
        <v>44256</v>
      </c>
      <c r="N3079" t="s">
        <v>47304</v>
      </c>
      <c r="O3079" t="s">
        <v>47305</v>
      </c>
      <c r="P3079">
        <v>0</v>
      </c>
      <c r="Q3079">
        <v>0</v>
      </c>
      <c r="R3079" t="s">
        <v>47306</v>
      </c>
      <c r="S3079" t="s">
        <v>47414</v>
      </c>
      <c r="T3079" t="s">
        <v>49023</v>
      </c>
      <c r="U3079" t="s">
        <v>52228</v>
      </c>
      <c r="W3079" t="s">
        <v>44256</v>
      </c>
      <c r="X3079" t="s">
        <v>47308</v>
      </c>
    </row>
    <row r="3080" spans="1:24">
      <c r="A3080">
        <f>HYPERLINK("https://www.philgeps.gov.ph/GEPSNONPILOT/Tender/SplashBidNoticeAbstractUI.aspx?menuIndex=3&amp;refID=7195241&amp;Result=3","7195241")</f>
        <v>0</v>
      </c>
      <c r="B3080" t="s">
        <v>1225</v>
      </c>
      <c r="C3080" t="s">
        <v>6798</v>
      </c>
      <c r="D3080" t="s">
        <v>19038</v>
      </c>
      <c r="E3080" t="s">
        <v>21879</v>
      </c>
      <c r="F3080" t="s">
        <v>32606</v>
      </c>
      <c r="G3080" t="s">
        <v>32614</v>
      </c>
      <c r="H3080" t="s">
        <v>14201</v>
      </c>
      <c r="I3080" t="s">
        <v>7233</v>
      </c>
      <c r="J3080" t="s">
        <v>34897</v>
      </c>
      <c r="K3080" t="s">
        <v>42624</v>
      </c>
      <c r="M3080" t="s">
        <v>44190</v>
      </c>
      <c r="N3080" t="s">
        <v>47304</v>
      </c>
      <c r="O3080" t="s">
        <v>47305</v>
      </c>
      <c r="P3080">
        <v>0</v>
      </c>
      <c r="Q3080">
        <v>0</v>
      </c>
      <c r="R3080" t="s">
        <v>47306</v>
      </c>
      <c r="S3080" t="s">
        <v>47414</v>
      </c>
      <c r="T3080" t="s">
        <v>49017</v>
      </c>
      <c r="U3080" t="s">
        <v>52229</v>
      </c>
      <c r="W3080" t="s">
        <v>64467</v>
      </c>
      <c r="X3080" t="s">
        <v>47308</v>
      </c>
    </row>
    <row r="3081" spans="1:24">
      <c r="A3081">
        <f>HYPERLINK("https://www.philgeps.gov.ph/GEPSNONPILOT/Tender/SplashBidNoticeAbstractUI.aspx?menuIndex=3&amp;refID=7195239&amp;Result=3","7195239")</f>
        <v>0</v>
      </c>
      <c r="B3081" t="s">
        <v>952</v>
      </c>
      <c r="C3081" t="s">
        <v>6799</v>
      </c>
      <c r="D3081" t="s">
        <v>19040</v>
      </c>
      <c r="E3081" t="s">
        <v>21880</v>
      </c>
      <c r="F3081" t="s">
        <v>32606</v>
      </c>
      <c r="G3081" t="s">
        <v>32619</v>
      </c>
      <c r="H3081" t="s">
        <v>14201</v>
      </c>
      <c r="I3081" t="s">
        <v>32650</v>
      </c>
      <c r="J3081" t="s">
        <v>32765</v>
      </c>
      <c r="K3081" t="s">
        <v>42622</v>
      </c>
      <c r="M3081" t="s">
        <v>43894</v>
      </c>
      <c r="N3081" t="s">
        <v>47304</v>
      </c>
      <c r="O3081" t="s">
        <v>47305</v>
      </c>
      <c r="P3081">
        <v>0</v>
      </c>
      <c r="Q3081">
        <v>0</v>
      </c>
      <c r="R3081" t="s">
        <v>47306</v>
      </c>
      <c r="S3081" t="s">
        <v>47414</v>
      </c>
      <c r="T3081" t="s">
        <v>49071</v>
      </c>
      <c r="U3081" t="s">
        <v>52208</v>
      </c>
      <c r="W3081" t="s">
        <v>43894</v>
      </c>
      <c r="X3081" t="s">
        <v>47308</v>
      </c>
    </row>
    <row r="3082" spans="1:24">
      <c r="A3082">
        <f>HYPERLINK("https://www.philgeps.gov.ph/GEPSNONPILOT/Tender/SplashBidNoticeAbstractUI.aspx?menuIndex=3&amp;refID=7195254&amp;Result=3","7195254")</f>
        <v>0</v>
      </c>
      <c r="B3082" t="s">
        <v>1286</v>
      </c>
      <c r="C3082" t="s">
        <v>6800</v>
      </c>
      <c r="D3082" t="s">
        <v>18992</v>
      </c>
      <c r="E3082" t="s">
        <v>21881</v>
      </c>
      <c r="F3082" t="s">
        <v>32606</v>
      </c>
      <c r="G3082" t="s">
        <v>32613</v>
      </c>
      <c r="H3082" t="s">
        <v>14201</v>
      </c>
      <c r="I3082" t="s">
        <v>6931</v>
      </c>
      <c r="J3082" t="s">
        <v>34898</v>
      </c>
      <c r="K3082" t="s">
        <v>42630</v>
      </c>
      <c r="M3082" t="s">
        <v>44257</v>
      </c>
      <c r="N3082" t="s">
        <v>47304</v>
      </c>
      <c r="O3082" t="s">
        <v>47305</v>
      </c>
      <c r="P3082">
        <v>0</v>
      </c>
      <c r="Q3082">
        <v>0</v>
      </c>
      <c r="R3082" t="s">
        <v>47306</v>
      </c>
      <c r="S3082" t="s">
        <v>47414</v>
      </c>
      <c r="T3082" t="s">
        <v>48987</v>
      </c>
      <c r="U3082" t="s">
        <v>52230</v>
      </c>
      <c r="W3082" t="s">
        <v>44257</v>
      </c>
      <c r="X3082" t="s">
        <v>47308</v>
      </c>
    </row>
    <row r="3083" spans="1:24">
      <c r="A3083">
        <f>HYPERLINK("https://www.philgeps.gov.ph/GEPSNONPILOT/Tender/SplashBidNoticeAbstractUI.aspx?menuIndex=3&amp;refID=7195262&amp;Result=3","7195262")</f>
        <v>0</v>
      </c>
      <c r="B3083" t="s">
        <v>1285</v>
      </c>
      <c r="C3083" t="s">
        <v>6801</v>
      </c>
      <c r="D3083" t="s">
        <v>19040</v>
      </c>
      <c r="E3083" t="s">
        <v>21882</v>
      </c>
      <c r="F3083" t="s">
        <v>32606</v>
      </c>
      <c r="G3083" t="s">
        <v>32613</v>
      </c>
      <c r="H3083" t="s">
        <v>32623</v>
      </c>
      <c r="I3083" t="s">
        <v>17648</v>
      </c>
      <c r="J3083" t="s">
        <v>34899</v>
      </c>
      <c r="K3083" t="s">
        <v>42694</v>
      </c>
      <c r="M3083" t="s">
        <v>44256</v>
      </c>
      <c r="N3083" t="s">
        <v>47304</v>
      </c>
      <c r="O3083" t="s">
        <v>47305</v>
      </c>
      <c r="P3083">
        <v>0</v>
      </c>
      <c r="Q3083">
        <v>0</v>
      </c>
      <c r="R3083" t="s">
        <v>47306</v>
      </c>
      <c r="S3083" t="s">
        <v>47414</v>
      </c>
      <c r="T3083" t="s">
        <v>49009</v>
      </c>
      <c r="U3083" t="s">
        <v>52231</v>
      </c>
      <c r="W3083" t="s">
        <v>44256</v>
      </c>
      <c r="X3083" t="s">
        <v>47308</v>
      </c>
    </row>
    <row r="3084" spans="1:24">
      <c r="A3084">
        <f>HYPERLINK("https://www.philgeps.gov.ph/GEPSNONPILOT/Tender/SplashBidNoticeAbstractUI.aspx?menuIndex=3&amp;refID=7195261&amp;Result=3","7195261")</f>
        <v>0</v>
      </c>
      <c r="B3084" t="s">
        <v>1283</v>
      </c>
      <c r="C3084" t="s">
        <v>6802</v>
      </c>
      <c r="D3084" t="s">
        <v>18990</v>
      </c>
      <c r="E3084" t="s">
        <v>21883</v>
      </c>
      <c r="F3084" t="s">
        <v>32606</v>
      </c>
      <c r="G3084" t="s">
        <v>32619</v>
      </c>
      <c r="H3084" t="s">
        <v>14201</v>
      </c>
      <c r="I3084" t="s">
        <v>17648</v>
      </c>
      <c r="J3084" t="s">
        <v>32949</v>
      </c>
      <c r="K3084" t="s">
        <v>42638</v>
      </c>
      <c r="M3084" t="s">
        <v>44254</v>
      </c>
      <c r="N3084" t="s">
        <v>47304</v>
      </c>
      <c r="O3084" t="s">
        <v>47305</v>
      </c>
      <c r="P3084">
        <v>0</v>
      </c>
      <c r="Q3084">
        <v>0</v>
      </c>
      <c r="R3084" t="s">
        <v>47306</v>
      </c>
      <c r="S3084" t="s">
        <v>47414</v>
      </c>
      <c r="T3084" t="s">
        <v>49095</v>
      </c>
      <c r="U3084" t="s">
        <v>52232</v>
      </c>
      <c r="W3084" t="s">
        <v>44254</v>
      </c>
      <c r="X3084" t="s">
        <v>47308</v>
      </c>
    </row>
    <row r="3085" spans="1:24">
      <c r="A3085">
        <f>HYPERLINK("https://www.philgeps.gov.ph/GEPSNONPILOT/Tender/SplashBidNoticeAbstractUI.aspx?menuIndex=3&amp;refID=7195265&amp;Result=3","7195265")</f>
        <v>0</v>
      </c>
      <c r="B3085" t="s">
        <v>1284</v>
      </c>
      <c r="C3085" t="s">
        <v>6803</v>
      </c>
      <c r="D3085" t="s">
        <v>19009</v>
      </c>
      <c r="E3085" t="s">
        <v>21884</v>
      </c>
      <c r="F3085" t="s">
        <v>32606</v>
      </c>
      <c r="G3085" t="s">
        <v>32619</v>
      </c>
      <c r="H3085" t="s">
        <v>14201</v>
      </c>
      <c r="I3085" t="s">
        <v>6931</v>
      </c>
      <c r="J3085" t="s">
        <v>34900</v>
      </c>
      <c r="K3085" t="s">
        <v>42622</v>
      </c>
      <c r="M3085" t="s">
        <v>44255</v>
      </c>
      <c r="N3085" t="s">
        <v>47304</v>
      </c>
      <c r="O3085" t="s">
        <v>47305</v>
      </c>
      <c r="P3085">
        <v>0</v>
      </c>
      <c r="Q3085">
        <v>0</v>
      </c>
      <c r="R3085" t="s">
        <v>47306</v>
      </c>
      <c r="S3085" t="s">
        <v>47414</v>
      </c>
      <c r="T3085" t="s">
        <v>48980</v>
      </c>
      <c r="U3085" t="s">
        <v>52226</v>
      </c>
      <c r="W3085" t="s">
        <v>44255</v>
      </c>
      <c r="X3085" t="s">
        <v>47308</v>
      </c>
    </row>
    <row r="3086" spans="1:24">
      <c r="A3086">
        <f>HYPERLINK("https://www.philgeps.gov.ph/GEPSNONPILOT/Tender/SplashBidNoticeAbstractUI.aspx?menuIndex=3&amp;refID=7195259&amp;Result=3","7195259")</f>
        <v>0</v>
      </c>
      <c r="B3086" t="s">
        <v>1071</v>
      </c>
      <c r="C3086" t="s">
        <v>6804</v>
      </c>
      <c r="D3086" t="s">
        <v>18993</v>
      </c>
      <c r="E3086" t="s">
        <v>19315</v>
      </c>
      <c r="F3086" t="s">
        <v>32606</v>
      </c>
      <c r="G3086" t="s">
        <v>32614</v>
      </c>
      <c r="H3086" t="s">
        <v>32624</v>
      </c>
      <c r="I3086" t="s">
        <v>32722</v>
      </c>
      <c r="J3086" t="s">
        <v>33529</v>
      </c>
      <c r="K3086" t="s">
        <v>42639</v>
      </c>
      <c r="M3086" t="s">
        <v>44258</v>
      </c>
      <c r="N3086" t="s">
        <v>47304</v>
      </c>
      <c r="O3086" t="s">
        <v>47305</v>
      </c>
      <c r="P3086">
        <v>0</v>
      </c>
      <c r="Q3086">
        <v>2</v>
      </c>
      <c r="R3086" t="s">
        <v>47306</v>
      </c>
      <c r="S3086" t="s">
        <v>47414</v>
      </c>
      <c r="T3086" t="s">
        <v>49162</v>
      </c>
      <c r="U3086" t="s">
        <v>52233</v>
      </c>
      <c r="W3086" t="s">
        <v>44258</v>
      </c>
      <c r="X3086" t="s">
        <v>47308</v>
      </c>
    </row>
    <row r="3087" spans="1:24">
      <c r="A3087">
        <f>HYPERLINK("https://www.philgeps.gov.ph/GEPSNONPILOT/Tender/SplashBidNoticeAbstractUI.aspx?menuIndex=3&amp;refID=7195257&amp;Result=3","7195257")</f>
        <v>0</v>
      </c>
      <c r="B3087" t="s">
        <v>1287</v>
      </c>
      <c r="C3087" t="s">
        <v>6805</v>
      </c>
      <c r="E3087" t="s">
        <v>21885</v>
      </c>
      <c r="F3087" t="s">
        <v>32606</v>
      </c>
      <c r="G3087" t="s">
        <v>32619</v>
      </c>
      <c r="H3087" t="s">
        <v>14201</v>
      </c>
      <c r="I3087" t="s">
        <v>6298</v>
      </c>
      <c r="J3087" t="s">
        <v>32784</v>
      </c>
      <c r="K3087" t="s">
        <v>42624</v>
      </c>
      <c r="M3087" t="s">
        <v>44259</v>
      </c>
      <c r="N3087" t="s">
        <v>47304</v>
      </c>
      <c r="O3087" t="s">
        <v>47305</v>
      </c>
      <c r="P3087">
        <v>0</v>
      </c>
      <c r="Q3087">
        <v>7</v>
      </c>
      <c r="R3087" t="s">
        <v>47306</v>
      </c>
      <c r="S3087" t="s">
        <v>47414</v>
      </c>
      <c r="T3087" t="s">
        <v>48979</v>
      </c>
      <c r="U3087" t="s">
        <v>52234</v>
      </c>
      <c r="W3087" t="s">
        <v>44259</v>
      </c>
      <c r="X3087" t="s">
        <v>47308</v>
      </c>
    </row>
    <row r="3088" spans="1:24">
      <c r="A3088">
        <f>HYPERLINK("https://www.philgeps.gov.ph/GEPSNONPILOT/Tender/SplashBidNoticeAbstractUI.aspx?menuIndex=3&amp;refID=7195256&amp;Result=3","7195256")</f>
        <v>0</v>
      </c>
      <c r="B3088" t="s">
        <v>1288</v>
      </c>
      <c r="C3088" t="s">
        <v>6806</v>
      </c>
      <c r="D3088" t="s">
        <v>19000</v>
      </c>
      <c r="E3088" t="s">
        <v>21886</v>
      </c>
      <c r="F3088" t="s">
        <v>32606</v>
      </c>
      <c r="G3088" t="s">
        <v>32617</v>
      </c>
      <c r="H3088" t="s">
        <v>14201</v>
      </c>
      <c r="I3088" t="s">
        <v>32631</v>
      </c>
      <c r="J3088" t="s">
        <v>34901</v>
      </c>
      <c r="K3088" t="s">
        <v>42631</v>
      </c>
      <c r="M3088" t="s">
        <v>44260</v>
      </c>
      <c r="N3088" t="s">
        <v>47304</v>
      </c>
      <c r="O3088" t="s">
        <v>47305</v>
      </c>
      <c r="P3088">
        <v>0</v>
      </c>
      <c r="Q3088">
        <v>1</v>
      </c>
      <c r="R3088" t="s">
        <v>47306</v>
      </c>
      <c r="S3088" t="s">
        <v>47414</v>
      </c>
      <c r="T3088" t="s">
        <v>48979</v>
      </c>
      <c r="U3088" t="s">
        <v>52235</v>
      </c>
      <c r="W3088" t="s">
        <v>44260</v>
      </c>
      <c r="X3088" t="s">
        <v>47308</v>
      </c>
    </row>
    <row r="3089" spans="1:24">
      <c r="A3089">
        <f>HYPERLINK("https://www.philgeps.gov.ph/GEPSNONPILOT/Tender/SplashBidNoticeAbstractUI.aspx?menuIndex=3&amp;refID=7195255&amp;Result=3","7195255")</f>
        <v>0</v>
      </c>
      <c r="B3089" t="s">
        <v>1289</v>
      </c>
      <c r="C3089" t="s">
        <v>6807</v>
      </c>
      <c r="D3089" t="s">
        <v>18993</v>
      </c>
      <c r="E3089" t="s">
        <v>21887</v>
      </c>
      <c r="F3089" t="s">
        <v>32606</v>
      </c>
      <c r="G3089" t="s">
        <v>32614</v>
      </c>
      <c r="H3089" t="s">
        <v>14201</v>
      </c>
      <c r="I3089" t="s">
        <v>8606</v>
      </c>
      <c r="J3089" t="s">
        <v>34902</v>
      </c>
      <c r="K3089" t="s">
        <v>42665</v>
      </c>
      <c r="M3089" t="s">
        <v>44261</v>
      </c>
      <c r="N3089" t="s">
        <v>47304</v>
      </c>
      <c r="O3089" t="s">
        <v>47305</v>
      </c>
      <c r="P3089">
        <v>0</v>
      </c>
      <c r="Q3089">
        <v>0</v>
      </c>
      <c r="R3089" t="s">
        <v>47306</v>
      </c>
      <c r="S3089" t="s">
        <v>47414</v>
      </c>
      <c r="T3089" t="s">
        <v>49254</v>
      </c>
      <c r="U3089" t="s">
        <v>52236</v>
      </c>
      <c r="W3089" t="s">
        <v>44261</v>
      </c>
      <c r="X3089" t="s">
        <v>47308</v>
      </c>
    </row>
    <row r="3090" spans="1:24">
      <c r="A3090">
        <f>HYPERLINK("https://www.philgeps.gov.ph/GEPSNONPILOT/Tender/SplashBidNoticeAbstractUI.aspx?menuIndex=3&amp;refID=7195277&amp;Result=3","7195277")</f>
        <v>0</v>
      </c>
      <c r="B3090" t="s">
        <v>893</v>
      </c>
      <c r="C3090" t="s">
        <v>6808</v>
      </c>
      <c r="D3090" t="s">
        <v>19002</v>
      </c>
      <c r="E3090" t="s">
        <v>21888</v>
      </c>
      <c r="F3090" t="s">
        <v>32606</v>
      </c>
      <c r="G3090" t="s">
        <v>32619</v>
      </c>
      <c r="H3090" t="s">
        <v>14201</v>
      </c>
      <c r="I3090" t="s">
        <v>13131</v>
      </c>
      <c r="J3090" t="s">
        <v>34903</v>
      </c>
      <c r="K3090" t="s">
        <v>42631</v>
      </c>
      <c r="M3090" t="s">
        <v>43829</v>
      </c>
      <c r="N3090" t="s">
        <v>47304</v>
      </c>
      <c r="O3090" t="s">
        <v>47305</v>
      </c>
      <c r="P3090">
        <v>0</v>
      </c>
      <c r="Q3090">
        <v>0</v>
      </c>
      <c r="R3090" t="s">
        <v>47306</v>
      </c>
      <c r="S3090" t="s">
        <v>47414</v>
      </c>
      <c r="T3090" t="s">
        <v>48998</v>
      </c>
      <c r="U3090" t="s">
        <v>51257</v>
      </c>
      <c r="W3090" t="s">
        <v>43829</v>
      </c>
      <c r="X3090" t="s">
        <v>47308</v>
      </c>
    </row>
    <row r="3091" spans="1:24">
      <c r="A3091">
        <f>HYPERLINK("https://www.philgeps.gov.ph/GEPSNONPILOT/Tender/SplashBidNoticeAbstractUI.aspx?menuIndex=3&amp;refID=7195276&amp;Result=3","7195276")</f>
        <v>0</v>
      </c>
      <c r="B3091" t="s">
        <v>277</v>
      </c>
      <c r="C3091" t="s">
        <v>6809</v>
      </c>
      <c r="D3091" t="s">
        <v>19014</v>
      </c>
      <c r="E3091" t="s">
        <v>21889</v>
      </c>
      <c r="F3091" t="s">
        <v>32606</v>
      </c>
      <c r="G3091" t="s">
        <v>32617</v>
      </c>
      <c r="H3091" t="s">
        <v>14201</v>
      </c>
      <c r="I3091" t="s">
        <v>9008</v>
      </c>
      <c r="J3091" t="s">
        <v>34904</v>
      </c>
      <c r="K3091" t="s">
        <v>42630</v>
      </c>
      <c r="M3091" t="s">
        <v>43178</v>
      </c>
      <c r="N3091" t="s">
        <v>47304</v>
      </c>
      <c r="O3091" t="s">
        <v>47305</v>
      </c>
      <c r="P3091">
        <v>0</v>
      </c>
      <c r="Q3091">
        <v>0</v>
      </c>
      <c r="R3091" t="s">
        <v>47306</v>
      </c>
      <c r="S3091" t="s">
        <v>47414</v>
      </c>
      <c r="T3091" t="s">
        <v>48972</v>
      </c>
      <c r="U3091" t="s">
        <v>52237</v>
      </c>
      <c r="W3091" t="s">
        <v>64468</v>
      </c>
      <c r="X3091" t="s">
        <v>47308</v>
      </c>
    </row>
    <row r="3092" spans="1:24">
      <c r="A3092">
        <f>HYPERLINK("https://www.philgeps.gov.ph/GEPSNONPILOT/Tender/SplashBidNoticeAbstractUI.aspx?menuIndex=3&amp;refID=7195275&amp;Result=3","7195275")</f>
        <v>0</v>
      </c>
      <c r="B3092" t="s">
        <v>251</v>
      </c>
      <c r="C3092" t="s">
        <v>6810</v>
      </c>
      <c r="D3092" t="s">
        <v>19023</v>
      </c>
      <c r="E3092" t="s">
        <v>21890</v>
      </c>
      <c r="F3092" t="s">
        <v>32606</v>
      </c>
      <c r="G3092" t="s">
        <v>32614</v>
      </c>
      <c r="H3092" t="s">
        <v>14201</v>
      </c>
      <c r="I3092" t="s">
        <v>32700</v>
      </c>
      <c r="J3092" t="s">
        <v>33932</v>
      </c>
      <c r="K3092" t="s">
        <v>42632</v>
      </c>
      <c r="M3092" t="s">
        <v>43152</v>
      </c>
      <c r="N3092" t="s">
        <v>47304</v>
      </c>
      <c r="O3092" t="s">
        <v>47305</v>
      </c>
      <c r="P3092">
        <v>0</v>
      </c>
      <c r="Q3092">
        <v>1</v>
      </c>
      <c r="R3092" t="s">
        <v>47306</v>
      </c>
      <c r="S3092" t="s">
        <v>47414</v>
      </c>
      <c r="T3092" t="s">
        <v>49061</v>
      </c>
      <c r="U3092" t="s">
        <v>52238</v>
      </c>
      <c r="W3092" t="s">
        <v>43152</v>
      </c>
      <c r="X3092" t="s">
        <v>47308</v>
      </c>
    </row>
    <row r="3093" spans="1:24">
      <c r="A3093">
        <f>HYPERLINK("https://www.philgeps.gov.ph/GEPSNONPILOT/Tender/SplashBidNoticeAbstractUI.aspx?menuIndex=3&amp;refID=7195273&amp;Result=3","7195273")</f>
        <v>0</v>
      </c>
      <c r="B3093" t="s">
        <v>1290</v>
      </c>
      <c r="C3093" t="s">
        <v>6811</v>
      </c>
      <c r="D3093" t="s">
        <v>18994</v>
      </c>
      <c r="E3093" t="s">
        <v>21891</v>
      </c>
      <c r="F3093" t="s">
        <v>32606</v>
      </c>
      <c r="G3093" t="s">
        <v>32617</v>
      </c>
      <c r="H3093" t="s">
        <v>14201</v>
      </c>
      <c r="I3093" t="s">
        <v>4114</v>
      </c>
      <c r="J3093" t="s">
        <v>34905</v>
      </c>
      <c r="K3093" t="s">
        <v>42623</v>
      </c>
      <c r="M3093" t="s">
        <v>44262</v>
      </c>
      <c r="N3093" t="s">
        <v>47304</v>
      </c>
      <c r="O3093" t="s">
        <v>47305</v>
      </c>
      <c r="P3093">
        <v>0</v>
      </c>
      <c r="Q3093">
        <v>5</v>
      </c>
      <c r="R3093" t="s">
        <v>47306</v>
      </c>
      <c r="S3093" t="s">
        <v>47414</v>
      </c>
      <c r="T3093" t="s">
        <v>48987</v>
      </c>
      <c r="U3093" t="s">
        <v>50223</v>
      </c>
      <c r="W3093" t="s">
        <v>44262</v>
      </c>
      <c r="X3093" t="s">
        <v>47308</v>
      </c>
    </row>
    <row r="3094" spans="1:24">
      <c r="A3094">
        <f>HYPERLINK("https://www.philgeps.gov.ph/GEPSNONPILOT/Tender/SplashBidNoticeAbstractUI.aspx?menuIndex=3&amp;refID=7195272&amp;Result=3","7195272")</f>
        <v>0</v>
      </c>
      <c r="B3094" t="s">
        <v>813</v>
      </c>
      <c r="C3094" t="s">
        <v>6812</v>
      </c>
      <c r="D3094" t="s">
        <v>19044</v>
      </c>
      <c r="E3094" t="s">
        <v>21892</v>
      </c>
      <c r="F3094" t="s">
        <v>32606</v>
      </c>
      <c r="G3094" t="s">
        <v>32614</v>
      </c>
      <c r="H3094" t="s">
        <v>14201</v>
      </c>
      <c r="I3094" t="s">
        <v>6931</v>
      </c>
      <c r="J3094" t="s">
        <v>34906</v>
      </c>
      <c r="K3094" t="s">
        <v>42630</v>
      </c>
      <c r="M3094" t="s">
        <v>43744</v>
      </c>
      <c r="N3094" t="s">
        <v>47304</v>
      </c>
      <c r="O3094" t="s">
        <v>47305</v>
      </c>
      <c r="P3094">
        <v>0</v>
      </c>
      <c r="Q3094">
        <v>1</v>
      </c>
      <c r="R3094" t="s">
        <v>47306</v>
      </c>
      <c r="S3094" t="s">
        <v>47414</v>
      </c>
      <c r="T3094" t="s">
        <v>48987</v>
      </c>
      <c r="U3094" t="s">
        <v>52239</v>
      </c>
      <c r="W3094" t="s">
        <v>43744</v>
      </c>
      <c r="X3094" t="s">
        <v>47308</v>
      </c>
    </row>
    <row r="3095" spans="1:24">
      <c r="A3095">
        <f>HYPERLINK("https://www.philgeps.gov.ph/GEPSNONPILOT/Tender/SplashBidNoticeAbstractUI.aspx?menuIndex=3&amp;refID=7195279&amp;Result=3","7195279")</f>
        <v>0</v>
      </c>
      <c r="B3095" t="s">
        <v>1225</v>
      </c>
      <c r="C3095" t="s">
        <v>6813</v>
      </c>
      <c r="D3095" t="s">
        <v>19038</v>
      </c>
      <c r="E3095" t="s">
        <v>21893</v>
      </c>
      <c r="F3095" t="s">
        <v>32606</v>
      </c>
      <c r="G3095" t="s">
        <v>32614</v>
      </c>
      <c r="H3095" t="s">
        <v>14201</v>
      </c>
      <c r="I3095" t="s">
        <v>7233</v>
      </c>
      <c r="J3095" t="s">
        <v>34907</v>
      </c>
      <c r="K3095" t="s">
        <v>42624</v>
      </c>
      <c r="M3095" t="s">
        <v>44190</v>
      </c>
      <c r="N3095" t="s">
        <v>47304</v>
      </c>
      <c r="O3095" t="s">
        <v>47305</v>
      </c>
      <c r="P3095">
        <v>0</v>
      </c>
      <c r="Q3095">
        <v>0</v>
      </c>
      <c r="R3095" t="s">
        <v>47306</v>
      </c>
      <c r="S3095" t="s">
        <v>47414</v>
      </c>
      <c r="T3095" t="s">
        <v>49017</v>
      </c>
      <c r="U3095" t="s">
        <v>52240</v>
      </c>
      <c r="W3095" t="s">
        <v>64467</v>
      </c>
      <c r="X3095" t="s">
        <v>47308</v>
      </c>
    </row>
    <row r="3096" spans="1:24">
      <c r="A3096">
        <f>HYPERLINK("https://www.philgeps.gov.ph/GEPSNONPILOT/Tender/SplashBidNoticeAbstractUI.aspx?menuIndex=3&amp;refID=7195269&amp;Result=3","7195269")</f>
        <v>0</v>
      </c>
      <c r="B3096" t="s">
        <v>1291</v>
      </c>
      <c r="C3096" t="s">
        <v>6814</v>
      </c>
      <c r="D3096" t="s">
        <v>18988</v>
      </c>
      <c r="E3096" t="s">
        <v>21894</v>
      </c>
      <c r="F3096" t="s">
        <v>32606</v>
      </c>
      <c r="G3096" t="s">
        <v>32614</v>
      </c>
      <c r="H3096" t="s">
        <v>14201</v>
      </c>
      <c r="I3096" t="s">
        <v>4114</v>
      </c>
      <c r="J3096" t="s">
        <v>34908</v>
      </c>
      <c r="K3096" t="s">
        <v>42681</v>
      </c>
      <c r="M3096" t="s">
        <v>44263</v>
      </c>
      <c r="N3096" t="s">
        <v>47304</v>
      </c>
      <c r="O3096" t="s">
        <v>47305</v>
      </c>
      <c r="P3096">
        <v>0</v>
      </c>
      <c r="Q3096">
        <v>2</v>
      </c>
      <c r="R3096" t="s">
        <v>47306</v>
      </c>
      <c r="S3096" t="s">
        <v>47414</v>
      </c>
      <c r="T3096" t="s">
        <v>48979</v>
      </c>
      <c r="U3096" t="s">
        <v>52241</v>
      </c>
      <c r="W3096" t="s">
        <v>44263</v>
      </c>
      <c r="X3096" t="s">
        <v>47308</v>
      </c>
    </row>
    <row r="3097" spans="1:24">
      <c r="A3097">
        <f>HYPERLINK("https://www.philgeps.gov.ph/GEPSNONPILOT/Tender/SplashBidNoticeAbstractUI.aspx?menuIndex=3&amp;refID=7195274&amp;Result=3","7195274")</f>
        <v>0</v>
      </c>
      <c r="B3097" t="s">
        <v>1292</v>
      </c>
      <c r="C3097" t="s">
        <v>6815</v>
      </c>
      <c r="D3097" t="s">
        <v>18988</v>
      </c>
      <c r="E3097" t="s">
        <v>21895</v>
      </c>
      <c r="F3097" t="s">
        <v>32606</v>
      </c>
      <c r="G3097" t="s">
        <v>32614</v>
      </c>
      <c r="H3097" t="s">
        <v>14201</v>
      </c>
      <c r="I3097" t="s">
        <v>4114</v>
      </c>
      <c r="J3097" t="s">
        <v>34909</v>
      </c>
      <c r="K3097" t="s">
        <v>42631</v>
      </c>
      <c r="M3097" t="s">
        <v>44264</v>
      </c>
      <c r="N3097" t="s">
        <v>47304</v>
      </c>
      <c r="O3097" t="s">
        <v>47305</v>
      </c>
      <c r="P3097">
        <v>0</v>
      </c>
      <c r="Q3097">
        <v>3</v>
      </c>
      <c r="R3097" t="s">
        <v>47306</v>
      </c>
      <c r="S3097" t="s">
        <v>47414</v>
      </c>
      <c r="T3097" t="s">
        <v>49004</v>
      </c>
      <c r="U3097" t="s">
        <v>52242</v>
      </c>
      <c r="W3097" t="s">
        <v>44264</v>
      </c>
      <c r="X3097" t="s">
        <v>47308</v>
      </c>
    </row>
    <row r="3098" spans="1:24">
      <c r="A3098">
        <f>HYPERLINK("https://www.philgeps.gov.ph/GEPSNONPILOT/Tender/SplashBidNoticeAbstractUI.aspx?menuIndex=3&amp;refID=7195292&amp;Result=3","7195292")</f>
        <v>0</v>
      </c>
      <c r="B3098" t="s">
        <v>594</v>
      </c>
      <c r="C3098" t="s">
        <v>6816</v>
      </c>
      <c r="D3098" t="s">
        <v>19040</v>
      </c>
      <c r="E3098" t="s">
        <v>21896</v>
      </c>
      <c r="F3098" t="s">
        <v>32606</v>
      </c>
      <c r="G3098" t="s">
        <v>32617</v>
      </c>
      <c r="H3098" t="s">
        <v>14201</v>
      </c>
      <c r="I3098" t="s">
        <v>4120</v>
      </c>
      <c r="J3098" t="s">
        <v>34910</v>
      </c>
      <c r="K3098" t="s">
        <v>42677</v>
      </c>
      <c r="M3098" t="s">
        <v>43523</v>
      </c>
      <c r="N3098" t="s">
        <v>47304</v>
      </c>
      <c r="O3098" t="s">
        <v>47305</v>
      </c>
      <c r="P3098">
        <v>0</v>
      </c>
      <c r="Q3098">
        <v>2</v>
      </c>
      <c r="R3098" t="s">
        <v>47306</v>
      </c>
      <c r="S3098" t="s">
        <v>47414</v>
      </c>
      <c r="T3098" t="s">
        <v>49041</v>
      </c>
      <c r="U3098" t="s">
        <v>52243</v>
      </c>
      <c r="W3098" t="s">
        <v>43523</v>
      </c>
      <c r="X3098" t="s">
        <v>47308</v>
      </c>
    </row>
    <row r="3099" spans="1:24">
      <c r="A3099">
        <f>HYPERLINK("https://www.philgeps.gov.ph/GEPSNONPILOT/Tender/SplashBidNoticeAbstractUI.aspx?menuIndex=3&amp;refID=7195291&amp;Result=3","7195291")</f>
        <v>0</v>
      </c>
      <c r="B3099" t="s">
        <v>1293</v>
      </c>
      <c r="C3099" t="s">
        <v>6817</v>
      </c>
      <c r="D3099" t="s">
        <v>19037</v>
      </c>
      <c r="E3099" t="s">
        <v>21897</v>
      </c>
      <c r="F3099" t="s">
        <v>32606</v>
      </c>
      <c r="G3099" t="s">
        <v>32614</v>
      </c>
      <c r="H3099" t="s">
        <v>14201</v>
      </c>
      <c r="I3099" t="s">
        <v>6931</v>
      </c>
      <c r="J3099" t="s">
        <v>34911</v>
      </c>
      <c r="K3099" t="s">
        <v>42624</v>
      </c>
      <c r="M3099" t="s">
        <v>44265</v>
      </c>
      <c r="N3099" t="s">
        <v>47304</v>
      </c>
      <c r="O3099" t="s">
        <v>47305</v>
      </c>
      <c r="P3099">
        <v>0</v>
      </c>
      <c r="Q3099">
        <v>1</v>
      </c>
      <c r="R3099" t="s">
        <v>47306</v>
      </c>
      <c r="S3099" t="s">
        <v>47414</v>
      </c>
      <c r="T3099" t="s">
        <v>48979</v>
      </c>
      <c r="U3099" t="s">
        <v>52234</v>
      </c>
      <c r="W3099" t="s">
        <v>44265</v>
      </c>
      <c r="X3099" t="s">
        <v>47308</v>
      </c>
    </row>
    <row r="3100" spans="1:24">
      <c r="A3100">
        <f>HYPERLINK("https://www.philgeps.gov.ph/GEPSNONPILOT/Tender/SplashBidNoticeAbstractUI.aspx?menuIndex=3&amp;refID=7195271&amp;Result=3","7195271")</f>
        <v>0</v>
      </c>
      <c r="B3100" t="s">
        <v>1294</v>
      </c>
      <c r="C3100" t="s">
        <v>6818</v>
      </c>
      <c r="D3100" t="s">
        <v>18993</v>
      </c>
      <c r="E3100" t="s">
        <v>21898</v>
      </c>
      <c r="F3100" t="s">
        <v>32606</v>
      </c>
      <c r="G3100" t="s">
        <v>32613</v>
      </c>
      <c r="H3100" t="s">
        <v>14201</v>
      </c>
      <c r="I3100" t="s">
        <v>32640</v>
      </c>
      <c r="J3100" t="s">
        <v>34912</v>
      </c>
      <c r="K3100" t="s">
        <v>42639</v>
      </c>
      <c r="M3100" t="s">
        <v>44266</v>
      </c>
      <c r="N3100" t="s">
        <v>47304</v>
      </c>
      <c r="O3100" t="s">
        <v>47305</v>
      </c>
      <c r="P3100">
        <v>0</v>
      </c>
      <c r="Q3100">
        <v>8</v>
      </c>
      <c r="R3100" t="s">
        <v>47306</v>
      </c>
      <c r="S3100" t="s">
        <v>47414</v>
      </c>
      <c r="T3100" t="s">
        <v>49056</v>
      </c>
      <c r="U3100" t="s">
        <v>52244</v>
      </c>
      <c r="W3100" t="s">
        <v>44266</v>
      </c>
      <c r="X3100" t="s">
        <v>47308</v>
      </c>
    </row>
    <row r="3101" spans="1:24">
      <c r="A3101">
        <f>HYPERLINK("https://www.philgeps.gov.ph/GEPSNONPILOT/Tender/SplashBidNoticeAbstractUI.aspx?menuIndex=3&amp;refID=7195288&amp;Result=3","7195288")</f>
        <v>0</v>
      </c>
      <c r="B3101" t="s">
        <v>1288</v>
      </c>
      <c r="C3101" t="s">
        <v>6819</v>
      </c>
      <c r="D3101" t="s">
        <v>19000</v>
      </c>
      <c r="E3101" t="s">
        <v>21899</v>
      </c>
      <c r="F3101" t="s">
        <v>32606</v>
      </c>
      <c r="G3101" t="s">
        <v>32617</v>
      </c>
      <c r="H3101" t="s">
        <v>14201</v>
      </c>
      <c r="I3101" t="s">
        <v>32640</v>
      </c>
      <c r="J3101" t="s">
        <v>34913</v>
      </c>
      <c r="K3101" t="s">
        <v>42631</v>
      </c>
      <c r="M3101" t="s">
        <v>44260</v>
      </c>
      <c r="N3101" t="s">
        <v>47304</v>
      </c>
      <c r="O3101" t="s">
        <v>47305</v>
      </c>
      <c r="P3101">
        <v>0</v>
      </c>
      <c r="Q3101">
        <v>0</v>
      </c>
      <c r="R3101" t="s">
        <v>47306</v>
      </c>
      <c r="S3101" t="s">
        <v>47414</v>
      </c>
      <c r="T3101" t="s">
        <v>48979</v>
      </c>
      <c r="U3101" t="s">
        <v>52235</v>
      </c>
      <c r="W3101" t="s">
        <v>44260</v>
      </c>
      <c r="X3101" t="s">
        <v>47308</v>
      </c>
    </row>
    <row r="3102" spans="1:24">
      <c r="A3102">
        <f>HYPERLINK("https://www.philgeps.gov.ph/GEPSNONPILOT/Tender/SplashBidNoticeAbstractUI.aspx?menuIndex=3&amp;refID=7195287&amp;Result=3","7195287")</f>
        <v>0</v>
      </c>
      <c r="B3102" t="s">
        <v>1220</v>
      </c>
      <c r="C3102" t="s">
        <v>6820</v>
      </c>
      <c r="D3102" t="s">
        <v>19040</v>
      </c>
      <c r="E3102" t="s">
        <v>21900</v>
      </c>
      <c r="F3102" t="s">
        <v>32606</v>
      </c>
      <c r="G3102" t="s">
        <v>32614</v>
      </c>
      <c r="H3102" t="s">
        <v>14201</v>
      </c>
      <c r="I3102" t="s">
        <v>4120</v>
      </c>
      <c r="J3102" t="s">
        <v>34914</v>
      </c>
      <c r="K3102" t="s">
        <v>42631</v>
      </c>
      <c r="M3102" t="s">
        <v>44185</v>
      </c>
      <c r="N3102" t="s">
        <v>47304</v>
      </c>
      <c r="O3102" t="s">
        <v>47305</v>
      </c>
      <c r="P3102">
        <v>0</v>
      </c>
      <c r="Q3102">
        <v>0</v>
      </c>
      <c r="R3102" t="s">
        <v>47306</v>
      </c>
      <c r="S3102" t="s">
        <v>47414</v>
      </c>
      <c r="T3102" t="s">
        <v>48996</v>
      </c>
      <c r="U3102" t="s">
        <v>52245</v>
      </c>
      <c r="W3102" t="s">
        <v>44185</v>
      </c>
      <c r="X3102" t="s">
        <v>47308</v>
      </c>
    </row>
    <row r="3103" spans="1:24">
      <c r="A3103">
        <f>HYPERLINK("https://www.philgeps.gov.ph/GEPSNONPILOT/Tender/SplashBidNoticeAbstractUI.aspx?menuIndex=3&amp;refID=7195268&amp;Result=3","7195268")</f>
        <v>0</v>
      </c>
      <c r="B3103" t="s">
        <v>402</v>
      </c>
      <c r="C3103" t="s">
        <v>6821</v>
      </c>
      <c r="D3103" t="s">
        <v>19017</v>
      </c>
      <c r="E3103" t="s">
        <v>21901</v>
      </c>
      <c r="F3103" t="s">
        <v>32606</v>
      </c>
      <c r="G3103" t="s">
        <v>32614</v>
      </c>
      <c r="H3103" t="s">
        <v>14201</v>
      </c>
      <c r="I3103" t="s">
        <v>6931</v>
      </c>
      <c r="J3103" t="s">
        <v>34915</v>
      </c>
      <c r="K3103" t="s">
        <v>42623</v>
      </c>
      <c r="M3103" t="s">
        <v>43305</v>
      </c>
      <c r="N3103" t="s">
        <v>47304</v>
      </c>
      <c r="O3103" t="s">
        <v>47305</v>
      </c>
      <c r="P3103">
        <v>0</v>
      </c>
      <c r="Q3103">
        <v>1</v>
      </c>
      <c r="R3103" t="s">
        <v>47306</v>
      </c>
      <c r="S3103" t="s">
        <v>47414</v>
      </c>
      <c r="T3103" t="s">
        <v>48980</v>
      </c>
      <c r="U3103" t="s">
        <v>52246</v>
      </c>
      <c r="W3103" t="s">
        <v>43305</v>
      </c>
      <c r="X3103" t="s">
        <v>47308</v>
      </c>
    </row>
    <row r="3104" spans="1:24">
      <c r="A3104">
        <f>HYPERLINK("https://www.philgeps.gov.ph/GEPSNONPILOT/Tender/SplashBidNoticeAbstractUI.aspx?menuIndex=3&amp;refID=7195289&amp;Result=3","7195289")</f>
        <v>0</v>
      </c>
      <c r="B3104" t="s">
        <v>1283</v>
      </c>
      <c r="C3104" t="s">
        <v>6822</v>
      </c>
      <c r="D3104" t="s">
        <v>18990</v>
      </c>
      <c r="E3104" t="s">
        <v>21902</v>
      </c>
      <c r="F3104" t="s">
        <v>32606</v>
      </c>
      <c r="G3104" t="s">
        <v>32619</v>
      </c>
      <c r="H3104" t="s">
        <v>14201</v>
      </c>
      <c r="I3104" t="s">
        <v>32633</v>
      </c>
      <c r="J3104" t="s">
        <v>33034</v>
      </c>
      <c r="K3104" t="s">
        <v>42622</v>
      </c>
      <c r="M3104" t="s">
        <v>44254</v>
      </c>
      <c r="N3104" t="s">
        <v>47304</v>
      </c>
      <c r="O3104" t="s">
        <v>47305</v>
      </c>
      <c r="P3104">
        <v>0</v>
      </c>
      <c r="Q3104">
        <v>3</v>
      </c>
      <c r="R3104" t="s">
        <v>47306</v>
      </c>
      <c r="S3104" t="s">
        <v>47414</v>
      </c>
      <c r="T3104" t="s">
        <v>49095</v>
      </c>
      <c r="U3104" t="s">
        <v>52247</v>
      </c>
      <c r="W3104" t="s">
        <v>44254</v>
      </c>
      <c r="X3104" t="s">
        <v>47308</v>
      </c>
    </row>
    <row r="3105" spans="1:24">
      <c r="A3105">
        <f>HYPERLINK("https://www.philgeps.gov.ph/GEPSNONPILOT/Tender/SplashBidNoticeAbstractUI.aspx?menuIndex=3&amp;refID=7195285&amp;Result=3","7195285")</f>
        <v>0</v>
      </c>
      <c r="B3105" t="s">
        <v>1206</v>
      </c>
      <c r="C3105" t="s">
        <v>6823</v>
      </c>
      <c r="D3105" t="s">
        <v>19010</v>
      </c>
      <c r="E3105" t="s">
        <v>21903</v>
      </c>
      <c r="F3105" t="s">
        <v>32606</v>
      </c>
      <c r="G3105" t="s">
        <v>32614</v>
      </c>
      <c r="H3105" t="s">
        <v>14201</v>
      </c>
      <c r="I3105" t="s">
        <v>6298</v>
      </c>
      <c r="J3105" t="s">
        <v>33317</v>
      </c>
      <c r="K3105" t="s">
        <v>42631</v>
      </c>
      <c r="M3105" t="s">
        <v>44170</v>
      </c>
      <c r="N3105" t="s">
        <v>47304</v>
      </c>
      <c r="O3105" t="s">
        <v>47305</v>
      </c>
      <c r="P3105">
        <v>0</v>
      </c>
      <c r="Q3105">
        <v>4</v>
      </c>
      <c r="R3105" t="s">
        <v>47306</v>
      </c>
      <c r="S3105" t="s">
        <v>47414</v>
      </c>
      <c r="T3105" t="s">
        <v>49014</v>
      </c>
      <c r="U3105" t="s">
        <v>52248</v>
      </c>
      <c r="W3105" t="s">
        <v>44170</v>
      </c>
      <c r="X3105" t="s">
        <v>47308</v>
      </c>
    </row>
    <row r="3106" spans="1:24">
      <c r="A3106">
        <f>HYPERLINK("https://www.philgeps.gov.ph/GEPSNONPILOT/Tender/SplashBidNoticeAbstractUI.aspx?menuIndex=3&amp;refID=7195301&amp;Result=3","7195301")</f>
        <v>0</v>
      </c>
      <c r="B3106" t="s">
        <v>360</v>
      </c>
      <c r="C3106" t="s">
        <v>6824</v>
      </c>
      <c r="D3106" t="s">
        <v>19040</v>
      </c>
      <c r="E3106" t="s">
        <v>21904</v>
      </c>
      <c r="F3106" t="s">
        <v>32606</v>
      </c>
      <c r="G3106" t="s">
        <v>32614</v>
      </c>
      <c r="H3106" t="s">
        <v>14201</v>
      </c>
      <c r="I3106" t="s">
        <v>32633</v>
      </c>
      <c r="J3106" t="s">
        <v>34916</v>
      </c>
      <c r="K3106" t="s">
        <v>42630</v>
      </c>
      <c r="M3106" t="s">
        <v>43262</v>
      </c>
      <c r="N3106" t="s">
        <v>47304</v>
      </c>
      <c r="O3106" t="s">
        <v>47305</v>
      </c>
      <c r="P3106">
        <v>0</v>
      </c>
      <c r="Q3106">
        <v>12</v>
      </c>
      <c r="R3106" t="s">
        <v>47306</v>
      </c>
      <c r="S3106" t="s">
        <v>47414</v>
      </c>
      <c r="T3106" t="s">
        <v>49050</v>
      </c>
      <c r="U3106" t="s">
        <v>50184</v>
      </c>
      <c r="W3106" t="s">
        <v>43262</v>
      </c>
      <c r="X3106" t="s">
        <v>47308</v>
      </c>
    </row>
    <row r="3107" spans="1:24">
      <c r="A3107">
        <f>HYPERLINK("https://www.philgeps.gov.ph/GEPSNONPILOT/Tender/SplashBidNoticeAbstractUI.aspx?menuIndex=3&amp;refID=7195286&amp;Result=3","7195286")</f>
        <v>0</v>
      </c>
      <c r="B3107" t="s">
        <v>813</v>
      </c>
      <c r="C3107" t="s">
        <v>6825</v>
      </c>
      <c r="D3107" t="s">
        <v>19044</v>
      </c>
      <c r="E3107" t="s">
        <v>21905</v>
      </c>
      <c r="F3107" t="s">
        <v>32606</v>
      </c>
      <c r="G3107" t="s">
        <v>32614</v>
      </c>
      <c r="H3107" t="s">
        <v>32624</v>
      </c>
      <c r="I3107" t="s">
        <v>7233</v>
      </c>
      <c r="J3107" t="s">
        <v>34488</v>
      </c>
      <c r="K3107" t="s">
        <v>42630</v>
      </c>
      <c r="M3107" t="s">
        <v>43744</v>
      </c>
      <c r="N3107" t="s">
        <v>47304</v>
      </c>
      <c r="O3107" t="s">
        <v>47305</v>
      </c>
      <c r="P3107">
        <v>0</v>
      </c>
      <c r="Q3107">
        <v>0</v>
      </c>
      <c r="R3107" t="s">
        <v>47306</v>
      </c>
      <c r="S3107" t="s">
        <v>47414</v>
      </c>
      <c r="T3107" t="s">
        <v>48987</v>
      </c>
      <c r="U3107" t="s">
        <v>52249</v>
      </c>
      <c r="W3107" t="s">
        <v>43744</v>
      </c>
      <c r="X3107" t="s">
        <v>47308</v>
      </c>
    </row>
    <row r="3108" spans="1:24">
      <c r="A3108">
        <f>HYPERLINK("https://www.philgeps.gov.ph/GEPSNONPILOT/Tender/SplashBidNoticeAbstractUI.aspx?menuIndex=3&amp;refID=7195293&amp;Result=3","7195293")</f>
        <v>0</v>
      </c>
      <c r="B3108" t="s">
        <v>1295</v>
      </c>
      <c r="C3108" t="s">
        <v>6826</v>
      </c>
      <c r="D3108" t="s">
        <v>18992</v>
      </c>
      <c r="E3108" t="s">
        <v>21906</v>
      </c>
      <c r="F3108" t="s">
        <v>32606</v>
      </c>
      <c r="G3108" t="s">
        <v>32617</v>
      </c>
      <c r="H3108" t="s">
        <v>14201</v>
      </c>
      <c r="I3108" t="s">
        <v>7677</v>
      </c>
      <c r="J3108" t="s">
        <v>34917</v>
      </c>
      <c r="K3108" t="s">
        <v>42631</v>
      </c>
      <c r="M3108" t="s">
        <v>44267</v>
      </c>
      <c r="N3108" t="s">
        <v>47304</v>
      </c>
      <c r="O3108" t="s">
        <v>47305</v>
      </c>
      <c r="P3108">
        <v>0</v>
      </c>
      <c r="Q3108">
        <v>1</v>
      </c>
      <c r="R3108" t="s">
        <v>47306</v>
      </c>
      <c r="S3108" t="s">
        <v>47414</v>
      </c>
      <c r="T3108" t="s">
        <v>49188</v>
      </c>
      <c r="U3108" t="s">
        <v>52250</v>
      </c>
      <c r="W3108" t="s">
        <v>44267</v>
      </c>
      <c r="X3108" t="s">
        <v>47308</v>
      </c>
    </row>
    <row r="3109" spans="1:24">
      <c r="A3109">
        <f>HYPERLINK("https://www.philgeps.gov.ph/GEPSNONPILOT/Tender/SplashBidNoticeAbstractUI.aspx?menuIndex=3&amp;refID=7195298&amp;Result=3","7195298")</f>
        <v>0</v>
      </c>
      <c r="B3109" t="s">
        <v>1296</v>
      </c>
      <c r="C3109" t="s">
        <v>6827</v>
      </c>
      <c r="D3109" t="s">
        <v>19003</v>
      </c>
      <c r="E3109" t="s">
        <v>21907</v>
      </c>
      <c r="F3109" t="s">
        <v>32606</v>
      </c>
      <c r="G3109" t="s">
        <v>32614</v>
      </c>
      <c r="H3109" t="s">
        <v>14201</v>
      </c>
      <c r="I3109" t="s">
        <v>7677</v>
      </c>
      <c r="J3109" t="s">
        <v>33555</v>
      </c>
      <c r="K3109" t="s">
        <v>42630</v>
      </c>
      <c r="M3109" t="s">
        <v>44268</v>
      </c>
      <c r="N3109" t="s">
        <v>47304</v>
      </c>
      <c r="O3109" t="s">
        <v>47305</v>
      </c>
      <c r="P3109">
        <v>0</v>
      </c>
      <c r="Q3109">
        <v>1</v>
      </c>
      <c r="R3109" t="s">
        <v>47306</v>
      </c>
      <c r="S3109" t="s">
        <v>47414</v>
      </c>
      <c r="T3109" t="s">
        <v>49014</v>
      </c>
      <c r="U3109" t="s">
        <v>52251</v>
      </c>
      <c r="W3109" t="s">
        <v>44268</v>
      </c>
      <c r="X3109" t="s">
        <v>47308</v>
      </c>
    </row>
    <row r="3110" spans="1:24">
      <c r="A3110">
        <f>HYPERLINK("https://www.philgeps.gov.ph/GEPSNONPILOT/Tender/SplashBidNoticeAbstractUI.aspx?menuIndex=3&amp;refID=7195297&amp;Result=3","7195297")</f>
        <v>0</v>
      </c>
      <c r="B3110" t="s">
        <v>1297</v>
      </c>
      <c r="C3110" t="s">
        <v>6828</v>
      </c>
      <c r="D3110" t="s">
        <v>19018</v>
      </c>
      <c r="E3110" t="s">
        <v>20122</v>
      </c>
      <c r="F3110" t="s">
        <v>32606</v>
      </c>
      <c r="G3110" t="s">
        <v>32619</v>
      </c>
      <c r="H3110" t="s">
        <v>14201</v>
      </c>
      <c r="I3110" t="s">
        <v>7233</v>
      </c>
      <c r="J3110" t="s">
        <v>32951</v>
      </c>
      <c r="K3110" t="s">
        <v>42632</v>
      </c>
      <c r="M3110" t="s">
        <v>44269</v>
      </c>
      <c r="N3110" t="s">
        <v>47304</v>
      </c>
      <c r="O3110" t="s">
        <v>47305</v>
      </c>
      <c r="P3110">
        <v>0</v>
      </c>
      <c r="Q3110">
        <v>0</v>
      </c>
      <c r="R3110" t="s">
        <v>47306</v>
      </c>
      <c r="S3110" t="s">
        <v>47414</v>
      </c>
      <c r="T3110" t="s">
        <v>49015</v>
      </c>
      <c r="U3110" t="s">
        <v>52252</v>
      </c>
      <c r="W3110" t="s">
        <v>44269</v>
      </c>
      <c r="X3110" t="s">
        <v>47308</v>
      </c>
    </row>
    <row r="3111" spans="1:24">
      <c r="A3111">
        <f>HYPERLINK("https://www.philgeps.gov.ph/GEPSNONPILOT/Tender/SplashBidNoticeAbstractUI.aspx?menuIndex=3&amp;refID=7195263&amp;Result=3","7195263")</f>
        <v>0</v>
      </c>
      <c r="B3111" t="s">
        <v>1245</v>
      </c>
      <c r="C3111" t="s">
        <v>6829</v>
      </c>
      <c r="D3111" t="s">
        <v>19039</v>
      </c>
      <c r="E3111" t="s">
        <v>21908</v>
      </c>
      <c r="F3111" t="s">
        <v>32606</v>
      </c>
      <c r="G3111" t="s">
        <v>32614</v>
      </c>
      <c r="H3111" t="s">
        <v>14201</v>
      </c>
      <c r="I3111" t="s">
        <v>6931</v>
      </c>
      <c r="J3111" t="s">
        <v>34918</v>
      </c>
      <c r="K3111" t="s">
        <v>42624</v>
      </c>
      <c r="M3111" t="s">
        <v>44211</v>
      </c>
      <c r="N3111" t="s">
        <v>47304</v>
      </c>
      <c r="O3111" t="s">
        <v>47305</v>
      </c>
      <c r="P3111">
        <v>0</v>
      </c>
      <c r="Q3111">
        <v>0</v>
      </c>
      <c r="R3111" t="s">
        <v>47306</v>
      </c>
      <c r="S3111" t="s">
        <v>47414</v>
      </c>
      <c r="T3111" t="s">
        <v>48996</v>
      </c>
      <c r="U3111" t="s">
        <v>52134</v>
      </c>
      <c r="W3111" t="s">
        <v>44211</v>
      </c>
      <c r="X3111" t="s">
        <v>47308</v>
      </c>
    </row>
    <row r="3112" spans="1:24">
      <c r="A3112">
        <f>HYPERLINK("https://www.philgeps.gov.ph/GEPSNONPILOT/Tender/SplashBidNoticeAbstractUI.aspx?menuIndex=3&amp;refID=7195295&amp;Result=3","7195295")</f>
        <v>0</v>
      </c>
      <c r="B3112" t="s">
        <v>1298</v>
      </c>
      <c r="C3112" t="s">
        <v>6830</v>
      </c>
      <c r="D3112" t="s">
        <v>19002</v>
      </c>
      <c r="E3112" t="s">
        <v>21909</v>
      </c>
      <c r="F3112" t="s">
        <v>32606</v>
      </c>
      <c r="G3112" t="s">
        <v>32614</v>
      </c>
      <c r="H3112" t="s">
        <v>14201</v>
      </c>
      <c r="I3112" t="s">
        <v>32626</v>
      </c>
      <c r="J3112" t="s">
        <v>34919</v>
      </c>
      <c r="K3112" t="s">
        <v>42636</v>
      </c>
      <c r="M3112" t="s">
        <v>44270</v>
      </c>
      <c r="N3112" t="s">
        <v>47304</v>
      </c>
      <c r="O3112" t="s">
        <v>47305</v>
      </c>
      <c r="P3112">
        <v>0</v>
      </c>
      <c r="Q3112">
        <v>6</v>
      </c>
      <c r="R3112" t="s">
        <v>47306</v>
      </c>
      <c r="S3112" t="s">
        <v>47414</v>
      </c>
      <c r="T3112" t="s">
        <v>49002</v>
      </c>
      <c r="U3112" t="s">
        <v>52253</v>
      </c>
      <c r="W3112" t="s">
        <v>44270</v>
      </c>
      <c r="X3112" t="s">
        <v>47308</v>
      </c>
    </row>
    <row r="3113" spans="1:24">
      <c r="A3113">
        <f>HYPERLINK("https://www.philgeps.gov.ph/GEPSNONPILOT/Tender/SplashBidNoticeAbstractUI.aspx?menuIndex=3&amp;refID=7195294&amp;Result=3","7195294")</f>
        <v>0</v>
      </c>
      <c r="B3113" t="s">
        <v>813</v>
      </c>
      <c r="C3113" t="s">
        <v>6831</v>
      </c>
      <c r="D3113" t="s">
        <v>19044</v>
      </c>
      <c r="E3113" t="s">
        <v>21910</v>
      </c>
      <c r="F3113" t="s">
        <v>32606</v>
      </c>
      <c r="G3113" t="s">
        <v>32614</v>
      </c>
      <c r="H3113" t="s">
        <v>14201</v>
      </c>
      <c r="I3113" t="s">
        <v>6298</v>
      </c>
      <c r="J3113" t="s">
        <v>34920</v>
      </c>
      <c r="K3113" t="s">
        <v>42630</v>
      </c>
      <c r="M3113" t="s">
        <v>43744</v>
      </c>
      <c r="N3113" t="s">
        <v>47304</v>
      </c>
      <c r="O3113" t="s">
        <v>47305</v>
      </c>
      <c r="P3113">
        <v>0</v>
      </c>
      <c r="Q3113">
        <v>0</v>
      </c>
      <c r="R3113" t="s">
        <v>47306</v>
      </c>
      <c r="S3113" t="s">
        <v>47414</v>
      </c>
      <c r="T3113" t="s">
        <v>48987</v>
      </c>
      <c r="U3113" t="s">
        <v>52254</v>
      </c>
      <c r="W3113" t="s">
        <v>43744</v>
      </c>
      <c r="X3113" t="s">
        <v>47308</v>
      </c>
    </row>
    <row r="3114" spans="1:24">
      <c r="A3114">
        <f>HYPERLINK("https://www.philgeps.gov.ph/GEPSNONPILOT/Tender/SplashBidNoticeAbstractUI.aspx?menuIndex=3&amp;refID=7195284&amp;Result=3","7195284")</f>
        <v>0</v>
      </c>
      <c r="B3114" t="s">
        <v>1299</v>
      </c>
      <c r="C3114" t="s">
        <v>6832</v>
      </c>
      <c r="D3114" t="s">
        <v>19044</v>
      </c>
      <c r="E3114" t="s">
        <v>20122</v>
      </c>
      <c r="F3114" t="s">
        <v>32606</v>
      </c>
      <c r="G3114" t="s">
        <v>32613</v>
      </c>
      <c r="H3114" t="s">
        <v>14201</v>
      </c>
      <c r="I3114" t="s">
        <v>6931</v>
      </c>
      <c r="J3114" t="s">
        <v>34921</v>
      </c>
      <c r="K3114" t="s">
        <v>42623</v>
      </c>
      <c r="M3114" t="s">
        <v>44271</v>
      </c>
      <c r="N3114" t="s">
        <v>47304</v>
      </c>
      <c r="O3114" t="s">
        <v>47305</v>
      </c>
      <c r="P3114">
        <v>0</v>
      </c>
      <c r="Q3114">
        <v>0</v>
      </c>
      <c r="R3114" t="s">
        <v>47306</v>
      </c>
      <c r="S3114" t="s">
        <v>47414</v>
      </c>
      <c r="T3114" t="s">
        <v>49002</v>
      </c>
      <c r="U3114" t="s">
        <v>52255</v>
      </c>
      <c r="W3114" t="s">
        <v>44271</v>
      </c>
      <c r="X3114" t="s">
        <v>47308</v>
      </c>
    </row>
    <row r="3115" spans="1:24">
      <c r="A3115">
        <f>HYPERLINK("https://www.philgeps.gov.ph/GEPSNONPILOT/Tender/SplashBidNoticeAbstractUI.aspx?menuIndex=3&amp;refID=7195299&amp;Result=3","7195299")</f>
        <v>0</v>
      </c>
      <c r="B3115" t="s">
        <v>1283</v>
      </c>
      <c r="C3115" t="s">
        <v>6833</v>
      </c>
      <c r="D3115" t="s">
        <v>18990</v>
      </c>
      <c r="E3115" t="s">
        <v>21911</v>
      </c>
      <c r="F3115" t="s">
        <v>32606</v>
      </c>
      <c r="G3115" t="s">
        <v>32619</v>
      </c>
      <c r="H3115" t="s">
        <v>14201</v>
      </c>
      <c r="I3115" t="s">
        <v>32696</v>
      </c>
      <c r="J3115" t="s">
        <v>34922</v>
      </c>
      <c r="K3115" t="s">
        <v>42622</v>
      </c>
      <c r="M3115" t="s">
        <v>44254</v>
      </c>
      <c r="N3115" t="s">
        <v>47304</v>
      </c>
      <c r="O3115" t="s">
        <v>47305</v>
      </c>
      <c r="P3115">
        <v>0</v>
      </c>
      <c r="Q3115">
        <v>0</v>
      </c>
      <c r="R3115" t="s">
        <v>47306</v>
      </c>
      <c r="S3115" t="s">
        <v>47414</v>
      </c>
      <c r="T3115" t="s">
        <v>49095</v>
      </c>
      <c r="U3115" t="s">
        <v>52256</v>
      </c>
      <c r="W3115" t="s">
        <v>44254</v>
      </c>
      <c r="X3115" t="s">
        <v>47308</v>
      </c>
    </row>
    <row r="3116" spans="1:24">
      <c r="A3116">
        <f>HYPERLINK("https://www.philgeps.gov.ph/GEPSNONPILOT/Tender/SplashBidNoticeAbstractUI.aspx?menuIndex=3&amp;refID=7195280&amp;Result=3","7195280")</f>
        <v>0</v>
      </c>
      <c r="B3116" t="s">
        <v>248</v>
      </c>
      <c r="C3116" t="s">
        <v>6834</v>
      </c>
      <c r="D3116" t="s">
        <v>19053</v>
      </c>
      <c r="E3116" t="s">
        <v>21912</v>
      </c>
      <c r="F3116" t="s">
        <v>32606</v>
      </c>
      <c r="G3116" t="s">
        <v>32619</v>
      </c>
      <c r="H3116" t="s">
        <v>14201</v>
      </c>
      <c r="I3116" t="s">
        <v>4114</v>
      </c>
      <c r="J3116" t="s">
        <v>34923</v>
      </c>
      <c r="K3116" t="s">
        <v>42622</v>
      </c>
      <c r="M3116" t="s">
        <v>43149</v>
      </c>
      <c r="N3116" t="s">
        <v>47304</v>
      </c>
      <c r="O3116" t="s">
        <v>47305</v>
      </c>
      <c r="P3116">
        <v>0</v>
      </c>
      <c r="Q3116">
        <v>2</v>
      </c>
      <c r="R3116" t="s">
        <v>47306</v>
      </c>
      <c r="S3116" t="s">
        <v>47414</v>
      </c>
      <c r="T3116" t="s">
        <v>49014</v>
      </c>
      <c r="U3116" t="s">
        <v>52257</v>
      </c>
      <c r="W3116" t="s">
        <v>64425</v>
      </c>
      <c r="X3116" t="s">
        <v>47308</v>
      </c>
    </row>
    <row r="3117" spans="1:24">
      <c r="A3117">
        <f>HYPERLINK("https://www.philgeps.gov.ph/GEPSNONPILOT/Tender/SplashBidNoticeAbstractUI.aspx?menuIndex=3&amp;refID=7195302&amp;Result=3","7195302")</f>
        <v>0</v>
      </c>
      <c r="B3117" t="s">
        <v>1300</v>
      </c>
      <c r="C3117" t="s">
        <v>6835</v>
      </c>
      <c r="D3117" t="s">
        <v>19037</v>
      </c>
      <c r="E3117" t="s">
        <v>21913</v>
      </c>
      <c r="F3117" t="s">
        <v>32606</v>
      </c>
      <c r="G3117" t="s">
        <v>32619</v>
      </c>
      <c r="H3117" t="s">
        <v>14201</v>
      </c>
      <c r="I3117" t="s">
        <v>6993</v>
      </c>
      <c r="J3117" t="s">
        <v>33092</v>
      </c>
      <c r="K3117" t="s">
        <v>42629</v>
      </c>
      <c r="M3117" t="s">
        <v>44272</v>
      </c>
      <c r="N3117" t="s">
        <v>47304</v>
      </c>
      <c r="O3117" t="s">
        <v>47305</v>
      </c>
      <c r="P3117">
        <v>0</v>
      </c>
      <c r="Q3117">
        <v>1</v>
      </c>
      <c r="R3117" t="s">
        <v>47306</v>
      </c>
      <c r="S3117" t="s">
        <v>47414</v>
      </c>
      <c r="T3117" t="s">
        <v>49165</v>
      </c>
      <c r="U3117" t="s">
        <v>52258</v>
      </c>
      <c r="W3117" t="s">
        <v>44272</v>
      </c>
      <c r="X3117" t="s">
        <v>47308</v>
      </c>
    </row>
    <row r="3118" spans="1:24">
      <c r="A3118">
        <f>HYPERLINK("https://www.philgeps.gov.ph/GEPSNONPILOT/Tender/SplashBidNoticeAbstractUI.aspx?menuIndex=3&amp;refID=7195267&amp;Result=3","7195267")</f>
        <v>0</v>
      </c>
      <c r="B3118" t="s">
        <v>287</v>
      </c>
      <c r="C3118" t="s">
        <v>6836</v>
      </c>
      <c r="D3118" t="s">
        <v>19007</v>
      </c>
      <c r="E3118" t="s">
        <v>21914</v>
      </c>
      <c r="F3118" t="s">
        <v>32607</v>
      </c>
      <c r="G3118" t="s">
        <v>32619</v>
      </c>
      <c r="H3118" t="s">
        <v>14201</v>
      </c>
      <c r="I3118" t="s">
        <v>13131</v>
      </c>
      <c r="J3118" t="s">
        <v>33526</v>
      </c>
      <c r="K3118" t="s">
        <v>42625</v>
      </c>
      <c r="M3118" t="s">
        <v>43188</v>
      </c>
      <c r="N3118" t="s">
        <v>47304</v>
      </c>
      <c r="O3118" t="s">
        <v>47305</v>
      </c>
      <c r="P3118">
        <v>0</v>
      </c>
      <c r="Q3118">
        <v>0</v>
      </c>
      <c r="R3118" t="s">
        <v>47306</v>
      </c>
      <c r="S3118" t="s">
        <v>47414</v>
      </c>
      <c r="T3118" t="s">
        <v>49255</v>
      </c>
      <c r="U3118" t="s">
        <v>52259</v>
      </c>
      <c r="W3118" t="s">
        <v>43188</v>
      </c>
      <c r="X3118" t="s">
        <v>47308</v>
      </c>
    </row>
    <row r="3119" spans="1:24">
      <c r="A3119">
        <f>HYPERLINK("https://www.philgeps.gov.ph/GEPSNONPILOT/Tender/SplashBidNoticeAbstractUI.aspx?menuIndex=3&amp;refID=7195300&amp;Result=3","7195300")</f>
        <v>0</v>
      </c>
      <c r="B3119" t="s">
        <v>1301</v>
      </c>
      <c r="C3119" t="s">
        <v>4939</v>
      </c>
      <c r="D3119" t="s">
        <v>19013</v>
      </c>
      <c r="E3119" t="s">
        <v>20123</v>
      </c>
      <c r="F3119" t="s">
        <v>32606</v>
      </c>
      <c r="G3119" t="s">
        <v>32613</v>
      </c>
      <c r="H3119" t="s">
        <v>32623</v>
      </c>
      <c r="I3119" t="s">
        <v>17648</v>
      </c>
      <c r="J3119" t="s">
        <v>34924</v>
      </c>
      <c r="K3119" t="s">
        <v>42631</v>
      </c>
      <c r="M3119" t="s">
        <v>44273</v>
      </c>
      <c r="N3119" t="s">
        <v>47304</v>
      </c>
      <c r="O3119" t="s">
        <v>47305</v>
      </c>
      <c r="P3119">
        <v>0</v>
      </c>
      <c r="Q3119">
        <v>0</v>
      </c>
      <c r="R3119" t="s">
        <v>47306</v>
      </c>
      <c r="S3119" t="s">
        <v>47414</v>
      </c>
      <c r="T3119" t="s">
        <v>48973</v>
      </c>
      <c r="U3119" t="s">
        <v>52260</v>
      </c>
      <c r="W3119" t="s">
        <v>44273</v>
      </c>
      <c r="X3119" t="s">
        <v>47308</v>
      </c>
    </row>
    <row r="3120" spans="1:24">
      <c r="A3120">
        <f>HYPERLINK("https://www.philgeps.gov.ph/GEPSNONPILOT/Tender/SplashBidNoticeAbstractUI.aspx?menuIndex=3&amp;refID=7195283&amp;Result=3","7195283")</f>
        <v>0</v>
      </c>
      <c r="B3120" t="s">
        <v>1287</v>
      </c>
      <c r="C3120" t="s">
        <v>6837</v>
      </c>
      <c r="E3120" t="s">
        <v>21915</v>
      </c>
      <c r="F3120" t="s">
        <v>32606</v>
      </c>
      <c r="G3120" t="s">
        <v>32619</v>
      </c>
      <c r="H3120" t="s">
        <v>14201</v>
      </c>
      <c r="I3120" t="s">
        <v>4678</v>
      </c>
      <c r="J3120" t="s">
        <v>34925</v>
      </c>
      <c r="K3120" t="s">
        <v>42624</v>
      </c>
      <c r="M3120" t="s">
        <v>44259</v>
      </c>
      <c r="N3120" t="s">
        <v>47304</v>
      </c>
      <c r="O3120" t="s">
        <v>47305</v>
      </c>
      <c r="P3120">
        <v>0</v>
      </c>
      <c r="Q3120">
        <v>5</v>
      </c>
      <c r="R3120" t="s">
        <v>47306</v>
      </c>
      <c r="S3120" t="s">
        <v>47414</v>
      </c>
      <c r="T3120" t="s">
        <v>48979</v>
      </c>
      <c r="U3120" t="s">
        <v>52234</v>
      </c>
      <c r="W3120" t="s">
        <v>44259</v>
      </c>
      <c r="X3120" t="s">
        <v>47308</v>
      </c>
    </row>
    <row r="3121" spans="1:24">
      <c r="A3121">
        <f>HYPERLINK("https://www.philgeps.gov.ph/GEPSNONPILOT/Tender/SplashBidNoticeAbstractUI.aspx?menuIndex=3&amp;refID=7195315&amp;Result=3","7195315")</f>
        <v>0</v>
      </c>
      <c r="B3121" t="s">
        <v>356</v>
      </c>
      <c r="C3121" t="s">
        <v>6838</v>
      </c>
      <c r="D3121" t="s">
        <v>19014</v>
      </c>
      <c r="E3121" t="s">
        <v>21916</v>
      </c>
      <c r="F3121" t="s">
        <v>32606</v>
      </c>
      <c r="G3121" t="s">
        <v>32613</v>
      </c>
      <c r="H3121" t="s">
        <v>14201</v>
      </c>
      <c r="I3121" t="s">
        <v>8606</v>
      </c>
      <c r="J3121" t="s">
        <v>34926</v>
      </c>
      <c r="K3121" t="s">
        <v>42631</v>
      </c>
      <c r="M3121" t="s">
        <v>43258</v>
      </c>
      <c r="N3121" t="s">
        <v>47304</v>
      </c>
      <c r="O3121" t="s">
        <v>47305</v>
      </c>
      <c r="P3121">
        <v>0</v>
      </c>
      <c r="Q3121">
        <v>0</v>
      </c>
      <c r="R3121" t="s">
        <v>47306</v>
      </c>
      <c r="S3121" t="s">
        <v>47414</v>
      </c>
      <c r="T3121" t="s">
        <v>49092</v>
      </c>
      <c r="U3121" t="s">
        <v>52261</v>
      </c>
      <c r="W3121" t="s">
        <v>43258</v>
      </c>
      <c r="X3121" t="s">
        <v>47308</v>
      </c>
    </row>
    <row r="3122" spans="1:24">
      <c r="A3122">
        <f>HYPERLINK("https://www.philgeps.gov.ph/GEPSNONPILOT/Tender/SplashBidNoticeAbstractUI.aspx?menuIndex=3&amp;refID=7195282&amp;Result=3","7195282")</f>
        <v>0</v>
      </c>
      <c r="B3122" t="s">
        <v>189</v>
      </c>
      <c r="C3122" t="s">
        <v>6839</v>
      </c>
      <c r="D3122" t="s">
        <v>19006</v>
      </c>
      <c r="E3122" t="s">
        <v>21917</v>
      </c>
      <c r="F3122" t="s">
        <v>32606</v>
      </c>
      <c r="G3122" t="s">
        <v>32614</v>
      </c>
      <c r="H3122" t="s">
        <v>14201</v>
      </c>
      <c r="I3122" t="s">
        <v>6298</v>
      </c>
      <c r="J3122" t="s">
        <v>34927</v>
      </c>
      <c r="K3122" t="s">
        <v>42624</v>
      </c>
      <c r="M3122" t="s">
        <v>43090</v>
      </c>
      <c r="N3122" t="s">
        <v>47304</v>
      </c>
      <c r="O3122" t="s">
        <v>47305</v>
      </c>
      <c r="P3122">
        <v>0</v>
      </c>
      <c r="Q3122">
        <v>0</v>
      </c>
      <c r="R3122" t="s">
        <v>47306</v>
      </c>
      <c r="S3122" t="s">
        <v>47414</v>
      </c>
      <c r="T3122" t="s">
        <v>48979</v>
      </c>
      <c r="U3122" t="s">
        <v>49886</v>
      </c>
      <c r="W3122" t="s">
        <v>43090</v>
      </c>
      <c r="X3122" t="s">
        <v>47308</v>
      </c>
    </row>
    <row r="3123" spans="1:24">
      <c r="A3123">
        <f>HYPERLINK("https://www.philgeps.gov.ph/GEPSNONPILOT/Tender/SplashBidNoticeAbstractUI.aspx?menuIndex=3&amp;refID=7195303&amp;Result=3","7195303")</f>
        <v>0</v>
      </c>
      <c r="B3123" t="s">
        <v>726</v>
      </c>
      <c r="C3123" t="s">
        <v>6840</v>
      </c>
      <c r="D3123" t="s">
        <v>19009</v>
      </c>
      <c r="E3123" t="s">
        <v>21918</v>
      </c>
      <c r="F3123" t="s">
        <v>32606</v>
      </c>
      <c r="G3123" t="s">
        <v>32614</v>
      </c>
      <c r="H3123" t="s">
        <v>14201</v>
      </c>
      <c r="I3123" t="s">
        <v>32633</v>
      </c>
      <c r="J3123" t="s">
        <v>34687</v>
      </c>
      <c r="K3123" t="s">
        <v>42623</v>
      </c>
      <c r="N3123" t="s">
        <v>47304</v>
      </c>
      <c r="O3123" t="s">
        <v>47305</v>
      </c>
      <c r="P3123">
        <v>0</v>
      </c>
      <c r="Q3123">
        <v>1</v>
      </c>
      <c r="R3123" t="s">
        <v>47306</v>
      </c>
      <c r="S3123" t="s">
        <v>47414</v>
      </c>
      <c r="T3123" t="s">
        <v>49242</v>
      </c>
      <c r="U3123" t="s">
        <v>52262</v>
      </c>
      <c r="V3123" t="s">
        <v>62814</v>
      </c>
      <c r="W3123" t="s">
        <v>43942</v>
      </c>
      <c r="X3123" t="s">
        <v>47308</v>
      </c>
    </row>
    <row r="3124" spans="1:24">
      <c r="A3124">
        <f>HYPERLINK("https://www.philgeps.gov.ph/GEPSNONPILOT/Tender/SplashBidNoticeAbstractUI.aspx?menuIndex=3&amp;refID=7195327&amp;Result=3","7195327")</f>
        <v>0</v>
      </c>
      <c r="B3124" t="s">
        <v>1302</v>
      </c>
      <c r="C3124" t="s">
        <v>6841</v>
      </c>
      <c r="D3124" t="s">
        <v>19007</v>
      </c>
      <c r="E3124" t="s">
        <v>19372</v>
      </c>
      <c r="F3124" t="s">
        <v>32606</v>
      </c>
      <c r="G3124" t="s">
        <v>32619</v>
      </c>
      <c r="H3124" t="s">
        <v>14201</v>
      </c>
      <c r="I3124" t="s">
        <v>4120</v>
      </c>
      <c r="J3124" t="s">
        <v>32813</v>
      </c>
      <c r="K3124" t="s">
        <v>42624</v>
      </c>
      <c r="M3124" t="s">
        <v>44274</v>
      </c>
      <c r="N3124" t="s">
        <v>47304</v>
      </c>
      <c r="O3124" t="s">
        <v>47305</v>
      </c>
      <c r="P3124">
        <v>0</v>
      </c>
      <c r="Q3124">
        <v>0</v>
      </c>
      <c r="R3124" t="s">
        <v>47306</v>
      </c>
      <c r="S3124" t="s">
        <v>47414</v>
      </c>
      <c r="T3124" t="s">
        <v>48980</v>
      </c>
      <c r="U3124" t="s">
        <v>52263</v>
      </c>
      <c r="W3124" t="s">
        <v>44274</v>
      </c>
      <c r="X3124" t="s">
        <v>47308</v>
      </c>
    </row>
    <row r="3125" spans="1:24">
      <c r="A3125">
        <f>HYPERLINK("https://www.philgeps.gov.ph/GEPSNONPILOT/Tender/SplashBidNoticeAbstractUI.aspx?menuIndex=3&amp;refID=7195264&amp;Result=3","7195264")</f>
        <v>0</v>
      </c>
      <c r="B3125" t="s">
        <v>1281</v>
      </c>
      <c r="C3125" t="s">
        <v>6842</v>
      </c>
      <c r="D3125" t="s">
        <v>19008</v>
      </c>
      <c r="E3125" t="s">
        <v>21919</v>
      </c>
      <c r="F3125" t="s">
        <v>32606</v>
      </c>
      <c r="G3125" t="s">
        <v>32613</v>
      </c>
      <c r="H3125" t="s">
        <v>14201</v>
      </c>
      <c r="I3125" t="s">
        <v>32665</v>
      </c>
      <c r="J3125" t="s">
        <v>34928</v>
      </c>
      <c r="K3125" t="s">
        <v>42631</v>
      </c>
      <c r="M3125" t="s">
        <v>44251</v>
      </c>
      <c r="N3125" t="s">
        <v>47304</v>
      </c>
      <c r="O3125" t="s">
        <v>47305</v>
      </c>
      <c r="P3125">
        <v>0</v>
      </c>
      <c r="Q3125">
        <v>0</v>
      </c>
      <c r="R3125" t="s">
        <v>47306</v>
      </c>
      <c r="S3125" t="s">
        <v>47414</v>
      </c>
      <c r="T3125" t="s">
        <v>49180</v>
      </c>
      <c r="U3125" t="s">
        <v>52264</v>
      </c>
      <c r="V3125" t="s">
        <v>62979</v>
      </c>
      <c r="W3125" t="s">
        <v>44251</v>
      </c>
      <c r="X3125" t="s">
        <v>47308</v>
      </c>
    </row>
    <row r="3126" spans="1:24">
      <c r="A3126">
        <f>HYPERLINK("https://www.philgeps.gov.ph/GEPSNONPILOT/Tender/SplashBidNoticeAbstractUI.aspx?menuIndex=3&amp;refID=7195323&amp;Result=3","7195323")</f>
        <v>0</v>
      </c>
      <c r="B3126" t="s">
        <v>1206</v>
      </c>
      <c r="C3126" t="s">
        <v>6843</v>
      </c>
      <c r="D3126" t="s">
        <v>19010</v>
      </c>
      <c r="E3126" t="s">
        <v>21920</v>
      </c>
      <c r="F3126" t="s">
        <v>32606</v>
      </c>
      <c r="G3126" t="s">
        <v>32614</v>
      </c>
      <c r="H3126" t="s">
        <v>14201</v>
      </c>
      <c r="I3126" t="s">
        <v>32658</v>
      </c>
      <c r="J3126" t="s">
        <v>33597</v>
      </c>
      <c r="K3126" t="s">
        <v>42631</v>
      </c>
      <c r="M3126" t="s">
        <v>44170</v>
      </c>
      <c r="N3126" t="s">
        <v>47304</v>
      </c>
      <c r="O3126" t="s">
        <v>47305</v>
      </c>
      <c r="P3126">
        <v>0</v>
      </c>
      <c r="Q3126">
        <v>1</v>
      </c>
      <c r="R3126" t="s">
        <v>47306</v>
      </c>
      <c r="S3126" t="s">
        <v>47414</v>
      </c>
      <c r="T3126" t="s">
        <v>49014</v>
      </c>
      <c r="U3126" t="s">
        <v>52265</v>
      </c>
      <c r="W3126" t="s">
        <v>44170</v>
      </c>
      <c r="X3126" t="s">
        <v>47308</v>
      </c>
    </row>
    <row r="3127" spans="1:24">
      <c r="A3127">
        <f>HYPERLINK("https://www.philgeps.gov.ph/GEPSNONPILOT/Tender/SplashBidNoticeAbstractUI.aspx?menuIndex=3&amp;refID=7195321&amp;Result=3","7195321")</f>
        <v>0</v>
      </c>
      <c r="B3127" t="s">
        <v>1303</v>
      </c>
      <c r="C3127" t="s">
        <v>6844</v>
      </c>
      <c r="D3127" t="s">
        <v>19044</v>
      </c>
      <c r="E3127" t="s">
        <v>21921</v>
      </c>
      <c r="F3127" t="s">
        <v>32606</v>
      </c>
      <c r="G3127" t="s">
        <v>32619</v>
      </c>
      <c r="H3127" t="s">
        <v>14201</v>
      </c>
      <c r="I3127" t="s">
        <v>32655</v>
      </c>
      <c r="J3127" t="s">
        <v>32981</v>
      </c>
      <c r="K3127" t="s">
        <v>42630</v>
      </c>
      <c r="M3127" t="s">
        <v>44275</v>
      </c>
      <c r="N3127" t="s">
        <v>47304</v>
      </c>
      <c r="O3127" t="s">
        <v>47305</v>
      </c>
      <c r="P3127">
        <v>0</v>
      </c>
      <c r="Q3127">
        <v>10</v>
      </c>
      <c r="R3127" t="s">
        <v>47306</v>
      </c>
      <c r="S3127" t="s">
        <v>47414</v>
      </c>
      <c r="T3127" t="s">
        <v>49256</v>
      </c>
      <c r="U3127" t="s">
        <v>52266</v>
      </c>
      <c r="W3127" t="s">
        <v>44275</v>
      </c>
      <c r="X3127" t="s">
        <v>47308</v>
      </c>
    </row>
    <row r="3128" spans="1:24">
      <c r="A3128">
        <f>HYPERLINK("https://www.philgeps.gov.ph/GEPSNONPILOT/Tender/SplashBidNoticeAbstractUI.aspx?menuIndex=3&amp;refID=7195317&amp;Result=3","7195317")</f>
        <v>0</v>
      </c>
      <c r="B3128" t="s">
        <v>1304</v>
      </c>
      <c r="C3128" t="s">
        <v>6845</v>
      </c>
      <c r="D3128" t="s">
        <v>18990</v>
      </c>
      <c r="E3128" t="s">
        <v>21922</v>
      </c>
      <c r="F3128" t="s">
        <v>32606</v>
      </c>
      <c r="G3128" t="s">
        <v>32613</v>
      </c>
      <c r="H3128" t="s">
        <v>32623</v>
      </c>
      <c r="I3128" t="s">
        <v>17648</v>
      </c>
      <c r="J3128" t="s">
        <v>34929</v>
      </c>
      <c r="K3128" t="s">
        <v>42656</v>
      </c>
      <c r="M3128" t="s">
        <v>44276</v>
      </c>
      <c r="N3128" t="s">
        <v>47304</v>
      </c>
      <c r="O3128" t="s">
        <v>47305</v>
      </c>
      <c r="P3128">
        <v>0</v>
      </c>
      <c r="Q3128">
        <v>0</v>
      </c>
      <c r="R3128" t="s">
        <v>47306</v>
      </c>
      <c r="S3128" t="s">
        <v>47414</v>
      </c>
      <c r="T3128" t="s">
        <v>48987</v>
      </c>
      <c r="U3128" t="s">
        <v>52267</v>
      </c>
      <c r="W3128" t="s">
        <v>44276</v>
      </c>
      <c r="X3128" t="s">
        <v>47308</v>
      </c>
    </row>
    <row r="3129" spans="1:24">
      <c r="A3129">
        <f>HYPERLINK("https://www.philgeps.gov.ph/GEPSNONPILOT/Tender/SplashBidNoticeAbstractUI.aspx?menuIndex=3&amp;refID=7195313&amp;Result=3","7195313")</f>
        <v>0</v>
      </c>
      <c r="B3129" t="s">
        <v>1305</v>
      </c>
      <c r="C3129" t="s">
        <v>6846</v>
      </c>
      <c r="D3129" t="s">
        <v>18988</v>
      </c>
      <c r="E3129" t="s">
        <v>21923</v>
      </c>
      <c r="F3129" t="s">
        <v>32606</v>
      </c>
      <c r="G3129" t="s">
        <v>32614</v>
      </c>
      <c r="H3129" t="s">
        <v>14201</v>
      </c>
      <c r="I3129" t="s">
        <v>4114</v>
      </c>
      <c r="J3129" t="s">
        <v>34930</v>
      </c>
      <c r="K3129" t="s">
        <v>42630</v>
      </c>
      <c r="M3129" t="s">
        <v>44277</v>
      </c>
      <c r="N3129" t="s">
        <v>47304</v>
      </c>
      <c r="O3129" t="s">
        <v>47305</v>
      </c>
      <c r="P3129">
        <v>0</v>
      </c>
      <c r="Q3129">
        <v>3</v>
      </c>
      <c r="R3129" t="s">
        <v>47306</v>
      </c>
      <c r="S3129" t="s">
        <v>47414</v>
      </c>
      <c r="T3129" t="s">
        <v>49002</v>
      </c>
      <c r="U3129" t="s">
        <v>52268</v>
      </c>
      <c r="W3129" t="s">
        <v>44277</v>
      </c>
      <c r="X3129" t="s">
        <v>47308</v>
      </c>
    </row>
    <row r="3130" spans="1:24">
      <c r="A3130">
        <f>HYPERLINK("https://www.philgeps.gov.ph/GEPSNONPILOT/Tender/SplashBidNoticeAbstractUI.aspx?menuIndex=3&amp;refID=7195310&amp;Result=3","7195310")</f>
        <v>0</v>
      </c>
      <c r="B3130" t="s">
        <v>703</v>
      </c>
      <c r="C3130" t="s">
        <v>6847</v>
      </c>
      <c r="D3130" t="s">
        <v>18992</v>
      </c>
      <c r="E3130" t="s">
        <v>21924</v>
      </c>
      <c r="F3130" t="s">
        <v>32606</v>
      </c>
      <c r="G3130" t="s">
        <v>32613</v>
      </c>
      <c r="H3130" t="s">
        <v>14201</v>
      </c>
      <c r="I3130" t="s">
        <v>9013</v>
      </c>
      <c r="J3130" t="s">
        <v>34931</v>
      </c>
      <c r="K3130" t="s">
        <v>42694</v>
      </c>
      <c r="M3130" t="s">
        <v>43624</v>
      </c>
      <c r="N3130" t="s">
        <v>47304</v>
      </c>
      <c r="O3130" t="s">
        <v>47305</v>
      </c>
      <c r="P3130">
        <v>0</v>
      </c>
      <c r="Q3130">
        <v>0</v>
      </c>
      <c r="R3130" t="s">
        <v>47306</v>
      </c>
      <c r="S3130" t="s">
        <v>47414</v>
      </c>
      <c r="T3130" t="s">
        <v>49153</v>
      </c>
      <c r="U3130" t="s">
        <v>52269</v>
      </c>
      <c r="V3130" t="s">
        <v>62980</v>
      </c>
      <c r="W3130" t="s">
        <v>43624</v>
      </c>
      <c r="X3130" t="s">
        <v>47308</v>
      </c>
    </row>
    <row r="3131" spans="1:24">
      <c r="A3131">
        <f>HYPERLINK("https://www.philgeps.gov.ph/GEPSNONPILOT/Tender/SplashBidNoticeAbstractUI.aspx?menuIndex=3&amp;refID=7195326&amp;Result=3","7195326")</f>
        <v>0</v>
      </c>
      <c r="B3131" t="s">
        <v>782</v>
      </c>
      <c r="C3131" t="s">
        <v>6848</v>
      </c>
      <c r="D3131" t="s">
        <v>19031</v>
      </c>
      <c r="E3131" t="s">
        <v>21925</v>
      </c>
      <c r="F3131" t="s">
        <v>32606</v>
      </c>
      <c r="G3131" t="s">
        <v>32619</v>
      </c>
      <c r="H3131" t="s">
        <v>14201</v>
      </c>
      <c r="I3131" t="s">
        <v>32640</v>
      </c>
      <c r="J3131" t="s">
        <v>32776</v>
      </c>
      <c r="K3131" t="s">
        <v>42623</v>
      </c>
      <c r="M3131" t="s">
        <v>44242</v>
      </c>
      <c r="N3131" t="s">
        <v>47304</v>
      </c>
      <c r="O3131" t="s">
        <v>47305</v>
      </c>
      <c r="P3131">
        <v>0</v>
      </c>
      <c r="Q3131">
        <v>0</v>
      </c>
      <c r="R3131" t="s">
        <v>47306</v>
      </c>
      <c r="S3131" t="s">
        <v>47414</v>
      </c>
      <c r="T3131" t="s">
        <v>49050</v>
      </c>
      <c r="U3131" t="s">
        <v>52270</v>
      </c>
      <c r="W3131" t="s">
        <v>44242</v>
      </c>
      <c r="X3131" t="s">
        <v>47308</v>
      </c>
    </row>
    <row r="3132" spans="1:24">
      <c r="A3132">
        <f>HYPERLINK("https://www.philgeps.gov.ph/GEPSNONPILOT/Tender/SplashBidNoticeAbstractUI.aspx?menuIndex=3&amp;refID=7195307&amp;Result=3","7195307")</f>
        <v>0</v>
      </c>
      <c r="B3132" t="s">
        <v>1274</v>
      </c>
      <c r="C3132" t="s">
        <v>6849</v>
      </c>
      <c r="D3132" t="s">
        <v>19005</v>
      </c>
      <c r="E3132" t="s">
        <v>21926</v>
      </c>
      <c r="F3132" t="s">
        <v>32606</v>
      </c>
      <c r="G3132" t="s">
        <v>32613</v>
      </c>
      <c r="H3132" t="s">
        <v>14201</v>
      </c>
      <c r="I3132" t="s">
        <v>32633</v>
      </c>
      <c r="J3132" t="s">
        <v>34932</v>
      </c>
      <c r="K3132" t="s">
        <v>42627</v>
      </c>
      <c r="M3132" t="s">
        <v>44245</v>
      </c>
      <c r="N3132" t="s">
        <v>47304</v>
      </c>
      <c r="O3132" t="s">
        <v>47305</v>
      </c>
      <c r="P3132">
        <v>0</v>
      </c>
      <c r="Q3132">
        <v>3</v>
      </c>
      <c r="R3132" t="s">
        <v>47306</v>
      </c>
      <c r="S3132" t="s">
        <v>47414</v>
      </c>
      <c r="T3132" t="s">
        <v>49197</v>
      </c>
      <c r="U3132" t="s">
        <v>52205</v>
      </c>
      <c r="W3132" t="s">
        <v>44245</v>
      </c>
      <c r="X3132" t="s">
        <v>47308</v>
      </c>
    </row>
    <row r="3133" spans="1:24">
      <c r="A3133">
        <f>HYPERLINK("https://www.philgeps.gov.ph/GEPSNONPILOT/Tender/SplashBidNoticeAbstractUI.aspx?menuIndex=3&amp;refID=7195322&amp;Result=3","7195322")</f>
        <v>0</v>
      </c>
      <c r="B3133" t="s">
        <v>1306</v>
      </c>
      <c r="C3133" t="s">
        <v>6850</v>
      </c>
      <c r="D3133" t="s">
        <v>19011</v>
      </c>
      <c r="E3133" t="s">
        <v>21927</v>
      </c>
      <c r="F3133" t="s">
        <v>32606</v>
      </c>
      <c r="G3133" t="s">
        <v>32619</v>
      </c>
      <c r="H3133" t="s">
        <v>14201</v>
      </c>
      <c r="I3133" t="s">
        <v>4121</v>
      </c>
      <c r="J3133" t="s">
        <v>33936</v>
      </c>
      <c r="K3133" t="s">
        <v>42631</v>
      </c>
      <c r="M3133" t="s">
        <v>44278</v>
      </c>
      <c r="N3133" t="s">
        <v>47304</v>
      </c>
      <c r="O3133" t="s">
        <v>47305</v>
      </c>
      <c r="P3133">
        <v>0</v>
      </c>
      <c r="Q3133">
        <v>3</v>
      </c>
      <c r="R3133" t="s">
        <v>47306</v>
      </c>
      <c r="S3133" t="s">
        <v>47414</v>
      </c>
      <c r="T3133" t="s">
        <v>49103</v>
      </c>
      <c r="U3133" t="s">
        <v>52271</v>
      </c>
      <c r="W3133" t="s">
        <v>44278</v>
      </c>
      <c r="X3133" t="s">
        <v>47308</v>
      </c>
    </row>
    <row r="3134" spans="1:24">
      <c r="A3134">
        <f>HYPERLINK("https://www.philgeps.gov.ph/GEPSNONPILOT/Tender/SplashBidNoticeAbstractUI.aspx?menuIndex=3&amp;refID=7195306&amp;Result=3","7195306")</f>
        <v>0</v>
      </c>
      <c r="B3134" t="s">
        <v>1306</v>
      </c>
      <c r="C3134" t="s">
        <v>6851</v>
      </c>
      <c r="D3134" t="s">
        <v>19011</v>
      </c>
      <c r="E3134" t="s">
        <v>21928</v>
      </c>
      <c r="F3134" t="s">
        <v>32606</v>
      </c>
      <c r="G3134" t="s">
        <v>32619</v>
      </c>
      <c r="H3134" t="s">
        <v>14201</v>
      </c>
      <c r="I3134" t="s">
        <v>32658</v>
      </c>
      <c r="J3134" t="s">
        <v>32813</v>
      </c>
      <c r="K3134" t="s">
        <v>42631</v>
      </c>
      <c r="M3134" t="s">
        <v>44278</v>
      </c>
      <c r="N3134" t="s">
        <v>47304</v>
      </c>
      <c r="O3134" t="s">
        <v>47305</v>
      </c>
      <c r="P3134">
        <v>0</v>
      </c>
      <c r="Q3134">
        <v>2</v>
      </c>
      <c r="R3134" t="s">
        <v>47306</v>
      </c>
      <c r="S3134" t="s">
        <v>47414</v>
      </c>
      <c r="T3134" t="s">
        <v>49103</v>
      </c>
      <c r="U3134" t="s">
        <v>52271</v>
      </c>
      <c r="W3134" t="s">
        <v>44278</v>
      </c>
      <c r="X3134" t="s">
        <v>47308</v>
      </c>
    </row>
    <row r="3135" spans="1:24">
      <c r="A3135">
        <f>HYPERLINK("https://www.philgeps.gov.ph/GEPSNONPILOT/Tender/SplashBidNoticeAbstractUI.aspx?menuIndex=3&amp;refID=7195314&amp;Result=3","7195314")</f>
        <v>0</v>
      </c>
      <c r="B3135" t="s">
        <v>251</v>
      </c>
      <c r="C3135" t="s">
        <v>6852</v>
      </c>
      <c r="D3135" t="s">
        <v>19023</v>
      </c>
      <c r="E3135" t="s">
        <v>21929</v>
      </c>
      <c r="F3135" t="s">
        <v>32606</v>
      </c>
      <c r="G3135" t="s">
        <v>32614</v>
      </c>
      <c r="H3135" t="s">
        <v>14201</v>
      </c>
      <c r="I3135" t="s">
        <v>32692</v>
      </c>
      <c r="J3135" t="s">
        <v>32981</v>
      </c>
      <c r="K3135" t="s">
        <v>42632</v>
      </c>
      <c r="M3135" t="s">
        <v>43152</v>
      </c>
      <c r="N3135" t="s">
        <v>47304</v>
      </c>
      <c r="O3135" t="s">
        <v>47305</v>
      </c>
      <c r="P3135">
        <v>0</v>
      </c>
      <c r="Q3135">
        <v>0</v>
      </c>
      <c r="R3135" t="s">
        <v>47306</v>
      </c>
      <c r="S3135" t="s">
        <v>47414</v>
      </c>
      <c r="T3135" t="s">
        <v>49061</v>
      </c>
      <c r="U3135" t="s">
        <v>52272</v>
      </c>
      <c r="W3135" t="s">
        <v>43152</v>
      </c>
      <c r="X3135" t="s">
        <v>47308</v>
      </c>
    </row>
    <row r="3136" spans="1:24">
      <c r="A3136">
        <f>HYPERLINK("https://www.philgeps.gov.ph/GEPSNONPILOT/Tender/SplashBidNoticeAbstractUI.aspx?menuIndex=3&amp;refID=7195316&amp;Result=3","7195316")</f>
        <v>0</v>
      </c>
      <c r="B3136" t="s">
        <v>343</v>
      </c>
      <c r="C3136" t="s">
        <v>6853</v>
      </c>
      <c r="D3136" t="s">
        <v>18993</v>
      </c>
      <c r="E3136" t="s">
        <v>21930</v>
      </c>
      <c r="F3136" t="s">
        <v>32606</v>
      </c>
      <c r="G3136" t="s">
        <v>32614</v>
      </c>
      <c r="H3136" t="s">
        <v>14201</v>
      </c>
      <c r="I3136" t="s">
        <v>32652</v>
      </c>
      <c r="J3136" t="s">
        <v>34933</v>
      </c>
      <c r="K3136" t="s">
        <v>42624</v>
      </c>
      <c r="M3136" t="s">
        <v>44279</v>
      </c>
      <c r="N3136" t="s">
        <v>47304</v>
      </c>
      <c r="O3136" t="s">
        <v>47305</v>
      </c>
      <c r="P3136">
        <v>0</v>
      </c>
      <c r="Q3136">
        <v>0</v>
      </c>
      <c r="R3136" t="s">
        <v>47306</v>
      </c>
      <c r="S3136" t="s">
        <v>47414</v>
      </c>
      <c r="T3136" t="s">
        <v>49023</v>
      </c>
      <c r="U3136" t="s">
        <v>52273</v>
      </c>
      <c r="W3136" t="s">
        <v>44279</v>
      </c>
      <c r="X3136" t="s">
        <v>47308</v>
      </c>
    </row>
    <row r="3137" spans="1:24">
      <c r="A3137">
        <f>HYPERLINK("https://www.philgeps.gov.ph/GEPSNONPILOT/Tender/SplashBidNoticeAbstractUI.aspx?menuIndex=3&amp;refID=7195329&amp;Result=3","7195329")</f>
        <v>0</v>
      </c>
      <c r="B3137" t="s">
        <v>392</v>
      </c>
      <c r="C3137" t="s">
        <v>6854</v>
      </c>
      <c r="D3137" t="s">
        <v>18993</v>
      </c>
      <c r="E3137" t="s">
        <v>21931</v>
      </c>
      <c r="F3137" t="s">
        <v>32606</v>
      </c>
      <c r="G3137" t="s">
        <v>32614</v>
      </c>
      <c r="H3137" t="s">
        <v>14201</v>
      </c>
      <c r="I3137" t="s">
        <v>7577</v>
      </c>
      <c r="J3137" t="s">
        <v>32949</v>
      </c>
      <c r="K3137" t="s">
        <v>42630</v>
      </c>
      <c r="M3137" t="s">
        <v>44280</v>
      </c>
      <c r="N3137" t="s">
        <v>47304</v>
      </c>
      <c r="O3137" t="s">
        <v>47305</v>
      </c>
      <c r="P3137">
        <v>0</v>
      </c>
      <c r="Q3137">
        <v>6</v>
      </c>
      <c r="R3137" t="s">
        <v>47306</v>
      </c>
      <c r="S3137" t="s">
        <v>47414</v>
      </c>
      <c r="T3137" t="s">
        <v>49014</v>
      </c>
      <c r="U3137" t="s">
        <v>52274</v>
      </c>
      <c r="V3137" t="s">
        <v>62981</v>
      </c>
      <c r="W3137" t="s">
        <v>44280</v>
      </c>
      <c r="X3137" t="s">
        <v>47308</v>
      </c>
    </row>
    <row r="3138" spans="1:24">
      <c r="A3138">
        <f>HYPERLINK("https://www.philgeps.gov.ph/GEPSNONPILOT/Tender/SplashBidNoticeAbstractUI.aspx?menuIndex=3&amp;refID=7195344&amp;Result=3","7195344")</f>
        <v>0</v>
      </c>
      <c r="B3138" t="s">
        <v>1307</v>
      </c>
      <c r="C3138" t="s">
        <v>6855</v>
      </c>
      <c r="D3138" t="s">
        <v>18999</v>
      </c>
      <c r="E3138" t="s">
        <v>21932</v>
      </c>
      <c r="F3138" t="s">
        <v>32606</v>
      </c>
      <c r="G3138" t="s">
        <v>32614</v>
      </c>
      <c r="H3138" t="s">
        <v>14201</v>
      </c>
      <c r="I3138" t="s">
        <v>6478</v>
      </c>
      <c r="J3138" t="s">
        <v>33263</v>
      </c>
      <c r="K3138" t="s">
        <v>42624</v>
      </c>
      <c r="M3138" t="s">
        <v>44281</v>
      </c>
      <c r="N3138" t="s">
        <v>47304</v>
      </c>
      <c r="O3138" t="s">
        <v>47305</v>
      </c>
      <c r="P3138">
        <v>0</v>
      </c>
      <c r="Q3138">
        <v>0</v>
      </c>
      <c r="R3138" t="s">
        <v>47306</v>
      </c>
      <c r="S3138" t="s">
        <v>47414</v>
      </c>
      <c r="T3138" t="s">
        <v>48979</v>
      </c>
      <c r="U3138" t="s">
        <v>52275</v>
      </c>
      <c r="W3138" t="s">
        <v>44281</v>
      </c>
      <c r="X3138" t="s">
        <v>47308</v>
      </c>
    </row>
    <row r="3139" spans="1:24">
      <c r="A3139">
        <f>HYPERLINK("https://www.philgeps.gov.ph/GEPSNONPILOT/Tender/SplashBidNoticeAbstractUI.aspx?menuIndex=3&amp;refID=7195352&amp;Result=3","7195352")</f>
        <v>0</v>
      </c>
      <c r="B3139" t="s">
        <v>1308</v>
      </c>
      <c r="C3139" t="s">
        <v>6856</v>
      </c>
      <c r="D3139" t="s">
        <v>18990</v>
      </c>
      <c r="E3139" t="s">
        <v>21933</v>
      </c>
      <c r="F3139" t="s">
        <v>32606</v>
      </c>
      <c r="G3139" t="s">
        <v>32614</v>
      </c>
      <c r="H3139" t="s">
        <v>14201</v>
      </c>
      <c r="I3139" t="s">
        <v>4120</v>
      </c>
      <c r="J3139" t="s">
        <v>34934</v>
      </c>
      <c r="K3139" t="s">
        <v>42622</v>
      </c>
      <c r="M3139" t="s">
        <v>44282</v>
      </c>
      <c r="N3139" t="s">
        <v>47304</v>
      </c>
      <c r="O3139" t="s">
        <v>47305</v>
      </c>
      <c r="P3139">
        <v>0</v>
      </c>
      <c r="Q3139">
        <v>1</v>
      </c>
      <c r="R3139" t="s">
        <v>47306</v>
      </c>
      <c r="S3139" t="s">
        <v>47414</v>
      </c>
      <c r="T3139" t="s">
        <v>48980</v>
      </c>
      <c r="U3139" t="s">
        <v>52276</v>
      </c>
      <c r="W3139" t="s">
        <v>44282</v>
      </c>
      <c r="X3139" t="s">
        <v>47308</v>
      </c>
    </row>
    <row r="3140" spans="1:24">
      <c r="A3140">
        <f>HYPERLINK("https://www.philgeps.gov.ph/GEPSNONPILOT/Tender/SplashBidNoticeAbstractUI.aspx?menuIndex=3&amp;refID=7195351&amp;Result=3","7195351")</f>
        <v>0</v>
      </c>
      <c r="B3140" t="s">
        <v>1309</v>
      </c>
      <c r="C3140" t="s">
        <v>6857</v>
      </c>
      <c r="D3140" t="s">
        <v>19003</v>
      </c>
      <c r="E3140" t="s">
        <v>21934</v>
      </c>
      <c r="F3140" t="s">
        <v>32609</v>
      </c>
      <c r="G3140" t="s">
        <v>32619</v>
      </c>
      <c r="H3140" t="s">
        <v>14201</v>
      </c>
      <c r="I3140" t="s">
        <v>6478</v>
      </c>
      <c r="J3140" t="s">
        <v>34935</v>
      </c>
      <c r="K3140" t="s">
        <v>42624</v>
      </c>
      <c r="M3140" t="s">
        <v>44283</v>
      </c>
      <c r="N3140" t="s">
        <v>47304</v>
      </c>
      <c r="O3140" t="s">
        <v>47305</v>
      </c>
      <c r="P3140">
        <v>0</v>
      </c>
      <c r="Q3140">
        <v>2</v>
      </c>
      <c r="R3140" t="s">
        <v>47306</v>
      </c>
      <c r="S3140" t="s">
        <v>47414</v>
      </c>
      <c r="T3140" t="s">
        <v>48975</v>
      </c>
      <c r="U3140" t="s">
        <v>52277</v>
      </c>
      <c r="W3140" t="s">
        <v>44283</v>
      </c>
      <c r="X3140" t="s">
        <v>47308</v>
      </c>
    </row>
    <row r="3141" spans="1:24">
      <c r="A3141">
        <f>HYPERLINK("https://www.philgeps.gov.ph/GEPSNONPILOT/Tender/SplashBidNoticeAbstractUI.aspx?menuIndex=3&amp;refID=7195320&amp;Result=3","7195320")</f>
        <v>0</v>
      </c>
      <c r="B3141" t="s">
        <v>415</v>
      </c>
      <c r="C3141" t="s">
        <v>6858</v>
      </c>
      <c r="D3141" t="s">
        <v>19037</v>
      </c>
      <c r="E3141" t="s">
        <v>21935</v>
      </c>
      <c r="F3141" t="s">
        <v>32606</v>
      </c>
      <c r="G3141" t="s">
        <v>32614</v>
      </c>
      <c r="H3141" t="s">
        <v>32623</v>
      </c>
      <c r="I3141" t="s">
        <v>17648</v>
      </c>
      <c r="J3141" t="s">
        <v>34936</v>
      </c>
      <c r="K3141" t="s">
        <v>42631</v>
      </c>
      <c r="M3141" t="s">
        <v>44205</v>
      </c>
      <c r="N3141" t="s">
        <v>47304</v>
      </c>
      <c r="O3141" t="s">
        <v>47305</v>
      </c>
      <c r="P3141">
        <v>0</v>
      </c>
      <c r="Q3141">
        <v>1</v>
      </c>
      <c r="R3141" t="s">
        <v>47306</v>
      </c>
      <c r="S3141" t="s">
        <v>47414</v>
      </c>
      <c r="T3141" t="s">
        <v>49014</v>
      </c>
      <c r="U3141" t="s">
        <v>52278</v>
      </c>
      <c r="V3141" t="s">
        <v>62962</v>
      </c>
      <c r="W3141" t="s">
        <v>44205</v>
      </c>
      <c r="X3141" t="s">
        <v>47308</v>
      </c>
    </row>
    <row r="3142" spans="1:24">
      <c r="A3142">
        <f>HYPERLINK("https://www.philgeps.gov.ph/GEPSNONPILOT/Tender/SplashBidNoticeAbstractUI.aspx?menuIndex=3&amp;refID=7195349&amp;Result=3","7195349")</f>
        <v>0</v>
      </c>
      <c r="B3142" t="s">
        <v>1310</v>
      </c>
      <c r="C3142" t="s">
        <v>6859</v>
      </c>
      <c r="D3142" t="s">
        <v>19058</v>
      </c>
      <c r="E3142" t="s">
        <v>21936</v>
      </c>
      <c r="F3142" t="s">
        <v>32606</v>
      </c>
      <c r="G3142" t="s">
        <v>32613</v>
      </c>
      <c r="H3142" t="s">
        <v>32623</v>
      </c>
      <c r="I3142" t="s">
        <v>17648</v>
      </c>
      <c r="J3142" t="s">
        <v>32981</v>
      </c>
      <c r="K3142" t="s">
        <v>42624</v>
      </c>
      <c r="M3142" t="s">
        <v>44284</v>
      </c>
      <c r="N3142" t="s">
        <v>47304</v>
      </c>
      <c r="O3142" t="s">
        <v>47305</v>
      </c>
      <c r="P3142">
        <v>0</v>
      </c>
      <c r="Q3142">
        <v>0</v>
      </c>
      <c r="R3142" t="s">
        <v>47306</v>
      </c>
      <c r="S3142" t="s">
        <v>47414</v>
      </c>
      <c r="T3142" t="s">
        <v>48986</v>
      </c>
      <c r="U3142" t="s">
        <v>52279</v>
      </c>
      <c r="W3142" t="s">
        <v>44284</v>
      </c>
      <c r="X3142" t="s">
        <v>47308</v>
      </c>
    </row>
    <row r="3143" spans="1:24">
      <c r="A3143">
        <f>HYPERLINK("https://www.philgeps.gov.ph/GEPSNONPILOT/Tender/SplashBidNoticeAbstractUI.aspx?menuIndex=3&amp;refID=7195308&amp;Result=3","7195308")</f>
        <v>0</v>
      </c>
      <c r="B3143" t="s">
        <v>813</v>
      </c>
      <c r="C3143" t="s">
        <v>6860</v>
      </c>
      <c r="D3143" t="s">
        <v>19044</v>
      </c>
      <c r="E3143" t="s">
        <v>21937</v>
      </c>
      <c r="F3143" t="s">
        <v>32606</v>
      </c>
      <c r="G3143" t="s">
        <v>32614</v>
      </c>
      <c r="H3143" t="s">
        <v>14201</v>
      </c>
      <c r="I3143" t="s">
        <v>6931</v>
      </c>
      <c r="J3143" t="s">
        <v>34937</v>
      </c>
      <c r="K3143" t="s">
        <v>42630</v>
      </c>
      <c r="M3143" t="s">
        <v>43744</v>
      </c>
      <c r="N3143" t="s">
        <v>47304</v>
      </c>
      <c r="O3143" t="s">
        <v>47305</v>
      </c>
      <c r="P3143">
        <v>0</v>
      </c>
      <c r="Q3143">
        <v>1</v>
      </c>
      <c r="R3143" t="s">
        <v>47306</v>
      </c>
      <c r="S3143" t="s">
        <v>47414</v>
      </c>
      <c r="T3143" t="s">
        <v>48987</v>
      </c>
      <c r="U3143" t="s">
        <v>52280</v>
      </c>
      <c r="W3143" t="s">
        <v>43744</v>
      </c>
      <c r="X3143" t="s">
        <v>47308</v>
      </c>
    </row>
    <row r="3144" spans="1:24">
      <c r="A3144">
        <f>HYPERLINK("https://www.philgeps.gov.ph/GEPSNONPILOT/Tender/SplashBidNoticeAbstractUI.aspx?menuIndex=3&amp;refID=7195347&amp;Result=3","7195347")</f>
        <v>0</v>
      </c>
      <c r="B3144" t="s">
        <v>1206</v>
      </c>
      <c r="C3144" t="s">
        <v>6861</v>
      </c>
      <c r="D3144" t="s">
        <v>19010</v>
      </c>
      <c r="E3144" t="s">
        <v>21938</v>
      </c>
      <c r="F3144" t="s">
        <v>32606</v>
      </c>
      <c r="G3144" t="s">
        <v>32614</v>
      </c>
      <c r="H3144" t="s">
        <v>14201</v>
      </c>
      <c r="I3144" t="s">
        <v>7529</v>
      </c>
      <c r="J3144" t="s">
        <v>34938</v>
      </c>
      <c r="K3144" t="s">
        <v>42631</v>
      </c>
      <c r="M3144" t="s">
        <v>44170</v>
      </c>
      <c r="N3144" t="s">
        <v>47304</v>
      </c>
      <c r="O3144" t="s">
        <v>47305</v>
      </c>
      <c r="P3144">
        <v>0</v>
      </c>
      <c r="Q3144">
        <v>1</v>
      </c>
      <c r="R3144" t="s">
        <v>47306</v>
      </c>
      <c r="S3144" t="s">
        <v>47414</v>
      </c>
      <c r="T3144" t="s">
        <v>49014</v>
      </c>
      <c r="U3144" t="s">
        <v>52281</v>
      </c>
      <c r="W3144" t="s">
        <v>44170</v>
      </c>
      <c r="X3144" t="s">
        <v>47308</v>
      </c>
    </row>
    <row r="3145" spans="1:24">
      <c r="A3145">
        <f>HYPERLINK("https://www.philgeps.gov.ph/GEPSNONPILOT/Tender/SplashBidNoticeAbstractUI.aspx?menuIndex=3&amp;refID=7195345&amp;Result=3","7195345")</f>
        <v>0</v>
      </c>
      <c r="B3145" t="s">
        <v>1311</v>
      </c>
      <c r="C3145" t="s">
        <v>6862</v>
      </c>
      <c r="D3145" t="s">
        <v>19003</v>
      </c>
      <c r="E3145" t="s">
        <v>21939</v>
      </c>
      <c r="F3145" t="s">
        <v>32606</v>
      </c>
      <c r="G3145" t="s">
        <v>32614</v>
      </c>
      <c r="H3145" t="s">
        <v>14201</v>
      </c>
      <c r="I3145" t="s">
        <v>4120</v>
      </c>
      <c r="J3145" t="s">
        <v>34939</v>
      </c>
      <c r="K3145" t="s">
        <v>42629</v>
      </c>
      <c r="M3145" t="s">
        <v>44285</v>
      </c>
      <c r="N3145" t="s">
        <v>47304</v>
      </c>
      <c r="O3145" t="s">
        <v>47305</v>
      </c>
      <c r="P3145">
        <v>0</v>
      </c>
      <c r="Q3145">
        <v>0</v>
      </c>
      <c r="R3145" t="s">
        <v>47306</v>
      </c>
      <c r="S3145" t="s">
        <v>47414</v>
      </c>
      <c r="T3145" t="s">
        <v>48979</v>
      </c>
      <c r="U3145" t="s">
        <v>52282</v>
      </c>
      <c r="W3145" t="s">
        <v>44285</v>
      </c>
      <c r="X3145" t="s">
        <v>47308</v>
      </c>
    </row>
    <row r="3146" spans="1:24">
      <c r="A3146">
        <f>HYPERLINK("https://www.philgeps.gov.ph/GEPSNONPILOT/Tender/SplashBidNoticeAbstractUI.aspx?menuIndex=3&amp;refID=7195343&amp;Result=3","7195343")</f>
        <v>0</v>
      </c>
      <c r="B3146" t="s">
        <v>895</v>
      </c>
      <c r="C3146" t="s">
        <v>6863</v>
      </c>
      <c r="D3146" t="s">
        <v>18993</v>
      </c>
      <c r="E3146" t="s">
        <v>21940</v>
      </c>
      <c r="F3146" t="s">
        <v>32606</v>
      </c>
      <c r="G3146" t="s">
        <v>32619</v>
      </c>
      <c r="H3146" t="s">
        <v>14201</v>
      </c>
      <c r="I3146" t="s">
        <v>32633</v>
      </c>
      <c r="J3146" t="s">
        <v>32799</v>
      </c>
      <c r="K3146" t="s">
        <v>42624</v>
      </c>
      <c r="M3146" t="s">
        <v>43831</v>
      </c>
      <c r="N3146" t="s">
        <v>47304</v>
      </c>
      <c r="O3146" t="s">
        <v>47305</v>
      </c>
      <c r="P3146">
        <v>0</v>
      </c>
      <c r="Q3146">
        <v>3</v>
      </c>
      <c r="R3146" t="s">
        <v>47306</v>
      </c>
      <c r="S3146" t="s">
        <v>47414</v>
      </c>
      <c r="T3146" t="s">
        <v>49014</v>
      </c>
      <c r="U3146" t="s">
        <v>52283</v>
      </c>
      <c r="W3146" t="s">
        <v>43831</v>
      </c>
      <c r="X3146" t="s">
        <v>47308</v>
      </c>
    </row>
    <row r="3147" spans="1:24">
      <c r="A3147">
        <f>HYPERLINK("https://www.philgeps.gov.ph/GEPSNONPILOT/Tender/SplashBidNoticeAbstractUI.aspx?menuIndex=3&amp;refID=7195341&amp;Result=3","7195341")</f>
        <v>0</v>
      </c>
      <c r="B3147" t="s">
        <v>666</v>
      </c>
      <c r="C3147" t="s">
        <v>6864</v>
      </c>
      <c r="D3147" t="s">
        <v>19014</v>
      </c>
      <c r="E3147" t="s">
        <v>21941</v>
      </c>
      <c r="F3147" t="s">
        <v>32606</v>
      </c>
      <c r="G3147" t="s">
        <v>32619</v>
      </c>
      <c r="H3147" t="s">
        <v>14201</v>
      </c>
      <c r="I3147" t="s">
        <v>6478</v>
      </c>
      <c r="J3147" t="s">
        <v>34940</v>
      </c>
      <c r="K3147" t="s">
        <v>42624</v>
      </c>
      <c r="M3147" t="s">
        <v>43586</v>
      </c>
      <c r="N3147" t="s">
        <v>47304</v>
      </c>
      <c r="O3147" t="s">
        <v>47305</v>
      </c>
      <c r="P3147">
        <v>0</v>
      </c>
      <c r="Q3147">
        <v>0</v>
      </c>
      <c r="R3147" t="s">
        <v>47306</v>
      </c>
      <c r="S3147" t="s">
        <v>47414</v>
      </c>
      <c r="T3147" t="s">
        <v>49053</v>
      </c>
      <c r="U3147" t="s">
        <v>50703</v>
      </c>
      <c r="W3147" t="s">
        <v>43586</v>
      </c>
      <c r="X3147" t="s">
        <v>47308</v>
      </c>
    </row>
    <row r="3148" spans="1:24">
      <c r="A3148">
        <f>HYPERLINK("https://www.philgeps.gov.ph/GEPSNONPILOT/Tender/SplashBidNoticeAbstractUI.aspx?menuIndex=3&amp;refID=7195340&amp;Result=3","7195340")</f>
        <v>0</v>
      </c>
      <c r="B3148" t="s">
        <v>544</v>
      </c>
      <c r="C3148" t="s">
        <v>6865</v>
      </c>
      <c r="D3148" t="s">
        <v>19016</v>
      </c>
      <c r="E3148" t="s">
        <v>21942</v>
      </c>
      <c r="F3148" t="s">
        <v>32606</v>
      </c>
      <c r="G3148" t="s">
        <v>32619</v>
      </c>
      <c r="H3148" t="s">
        <v>14201</v>
      </c>
      <c r="I3148" t="s">
        <v>4114</v>
      </c>
      <c r="J3148" t="s">
        <v>34941</v>
      </c>
      <c r="K3148" t="s">
        <v>42622</v>
      </c>
      <c r="M3148" t="s">
        <v>43458</v>
      </c>
      <c r="N3148" t="s">
        <v>47304</v>
      </c>
      <c r="O3148" t="s">
        <v>47305</v>
      </c>
      <c r="P3148">
        <v>0</v>
      </c>
      <c r="Q3148">
        <v>1</v>
      </c>
      <c r="R3148" t="s">
        <v>47306</v>
      </c>
      <c r="S3148" t="s">
        <v>47414</v>
      </c>
      <c r="T3148" t="s">
        <v>49053</v>
      </c>
      <c r="U3148" t="s">
        <v>52284</v>
      </c>
      <c r="V3148" t="s">
        <v>62982</v>
      </c>
      <c r="W3148" t="s">
        <v>43458</v>
      </c>
      <c r="X3148" t="s">
        <v>47308</v>
      </c>
    </row>
    <row r="3149" spans="1:24">
      <c r="A3149">
        <f>HYPERLINK("https://www.philgeps.gov.ph/GEPSNONPILOT/Tender/SplashBidNoticeAbstractUI.aspx?menuIndex=3&amp;refID=7195338&amp;Result=3","7195338")</f>
        <v>0</v>
      </c>
      <c r="B3149" t="s">
        <v>1312</v>
      </c>
      <c r="C3149" t="s">
        <v>6866</v>
      </c>
      <c r="D3149" t="s">
        <v>19000</v>
      </c>
      <c r="E3149" t="s">
        <v>19521</v>
      </c>
      <c r="F3149" t="s">
        <v>32606</v>
      </c>
      <c r="G3149" t="s">
        <v>32619</v>
      </c>
      <c r="H3149" t="s">
        <v>14201</v>
      </c>
      <c r="I3149" t="s">
        <v>6993</v>
      </c>
      <c r="J3149" t="s">
        <v>34942</v>
      </c>
      <c r="K3149" t="s">
        <v>42625</v>
      </c>
      <c r="M3149" t="s">
        <v>44286</v>
      </c>
      <c r="N3149" t="s">
        <v>47304</v>
      </c>
      <c r="O3149" t="s">
        <v>47305</v>
      </c>
      <c r="P3149">
        <v>0</v>
      </c>
      <c r="Q3149">
        <v>1</v>
      </c>
      <c r="R3149" t="s">
        <v>47306</v>
      </c>
      <c r="S3149" t="s">
        <v>47414</v>
      </c>
      <c r="T3149" t="s">
        <v>48986</v>
      </c>
      <c r="U3149" t="s">
        <v>52285</v>
      </c>
      <c r="W3149" t="s">
        <v>44286</v>
      </c>
      <c r="X3149" t="s">
        <v>47308</v>
      </c>
    </row>
    <row r="3150" spans="1:24">
      <c r="A3150">
        <f>HYPERLINK("https://www.philgeps.gov.ph/GEPSNONPILOT/Tender/SplashBidNoticeAbstractUI.aspx?menuIndex=3&amp;refID=7195336&amp;Result=3","7195336")</f>
        <v>0</v>
      </c>
      <c r="B3150" t="s">
        <v>1313</v>
      </c>
      <c r="C3150" t="s">
        <v>4329</v>
      </c>
      <c r="D3150" t="s">
        <v>19019</v>
      </c>
      <c r="E3150" t="s">
        <v>19521</v>
      </c>
      <c r="F3150" t="s">
        <v>32606</v>
      </c>
      <c r="G3150" t="s">
        <v>32619</v>
      </c>
      <c r="H3150" t="s">
        <v>14201</v>
      </c>
      <c r="I3150" t="s">
        <v>6298</v>
      </c>
      <c r="J3150" t="s">
        <v>34943</v>
      </c>
      <c r="K3150" t="s">
        <v>42625</v>
      </c>
      <c r="M3150" t="s">
        <v>44287</v>
      </c>
      <c r="N3150" t="s">
        <v>47304</v>
      </c>
      <c r="O3150" t="s">
        <v>47305</v>
      </c>
      <c r="P3150">
        <v>0</v>
      </c>
      <c r="Q3150">
        <v>1</v>
      </c>
      <c r="R3150" t="s">
        <v>47306</v>
      </c>
      <c r="S3150" t="s">
        <v>47414</v>
      </c>
      <c r="T3150" t="s">
        <v>49257</v>
      </c>
      <c r="U3150" t="s">
        <v>52286</v>
      </c>
      <c r="V3150" t="s">
        <v>62983</v>
      </c>
      <c r="W3150" t="s">
        <v>44287</v>
      </c>
      <c r="X3150" t="s">
        <v>47308</v>
      </c>
    </row>
    <row r="3151" spans="1:24">
      <c r="A3151">
        <f>HYPERLINK("https://www.philgeps.gov.ph/GEPSNONPILOT/Tender/SplashBidNoticeAbstractUI.aspx?menuIndex=3&amp;refID=7195335&amp;Result=3","7195335")</f>
        <v>0</v>
      </c>
      <c r="B3151" t="s">
        <v>1302</v>
      </c>
      <c r="C3151" t="s">
        <v>6867</v>
      </c>
      <c r="D3151" t="s">
        <v>19007</v>
      </c>
      <c r="E3151" t="s">
        <v>19358</v>
      </c>
      <c r="F3151" t="s">
        <v>32606</v>
      </c>
      <c r="G3151" t="s">
        <v>32619</v>
      </c>
      <c r="H3151" t="s">
        <v>14201</v>
      </c>
      <c r="I3151" t="s">
        <v>6298</v>
      </c>
      <c r="J3151" t="s">
        <v>32813</v>
      </c>
      <c r="K3151" t="s">
        <v>42624</v>
      </c>
      <c r="M3151" t="s">
        <v>44274</v>
      </c>
      <c r="N3151" t="s">
        <v>47304</v>
      </c>
      <c r="O3151" t="s">
        <v>47305</v>
      </c>
      <c r="P3151">
        <v>0</v>
      </c>
      <c r="Q3151">
        <v>4</v>
      </c>
      <c r="R3151" t="s">
        <v>47306</v>
      </c>
      <c r="S3151" t="s">
        <v>47414</v>
      </c>
      <c r="T3151" t="s">
        <v>48980</v>
      </c>
      <c r="U3151" t="s">
        <v>52263</v>
      </c>
      <c r="W3151" t="s">
        <v>44274</v>
      </c>
      <c r="X3151" t="s">
        <v>47308</v>
      </c>
    </row>
    <row r="3152" spans="1:24">
      <c r="A3152">
        <f>HYPERLINK("https://www.philgeps.gov.ph/GEPSNONPILOT/Tender/SplashBidNoticeAbstractUI.aspx?menuIndex=3&amp;refID=7195334&amp;Result=3","7195334")</f>
        <v>0</v>
      </c>
      <c r="B3152" t="s">
        <v>1288</v>
      </c>
      <c r="C3152" t="s">
        <v>6868</v>
      </c>
      <c r="D3152" t="s">
        <v>19000</v>
      </c>
      <c r="E3152" t="s">
        <v>21943</v>
      </c>
      <c r="F3152" t="s">
        <v>32606</v>
      </c>
      <c r="G3152" t="s">
        <v>32614</v>
      </c>
      <c r="H3152" t="s">
        <v>14201</v>
      </c>
      <c r="I3152" t="s">
        <v>32638</v>
      </c>
      <c r="J3152" t="s">
        <v>32752</v>
      </c>
      <c r="K3152" t="s">
        <v>42631</v>
      </c>
      <c r="M3152" t="s">
        <v>44260</v>
      </c>
      <c r="N3152" t="s">
        <v>47304</v>
      </c>
      <c r="O3152" t="s">
        <v>47305</v>
      </c>
      <c r="P3152">
        <v>0</v>
      </c>
      <c r="Q3152">
        <v>7</v>
      </c>
      <c r="R3152" t="s">
        <v>47306</v>
      </c>
      <c r="S3152" t="s">
        <v>47414</v>
      </c>
      <c r="T3152" t="s">
        <v>48979</v>
      </c>
      <c r="U3152" t="s">
        <v>52235</v>
      </c>
      <c r="W3152" t="s">
        <v>44260</v>
      </c>
      <c r="X3152" t="s">
        <v>47308</v>
      </c>
    </row>
    <row r="3153" spans="1:24">
      <c r="A3153">
        <f>HYPERLINK("https://www.philgeps.gov.ph/GEPSNONPILOT/Tender/SplashBidNoticeAbstractUI.aspx?menuIndex=3&amp;refID=7195350&amp;Result=3","7195350")</f>
        <v>0</v>
      </c>
      <c r="B3153" t="s">
        <v>1314</v>
      </c>
      <c r="C3153" t="s">
        <v>6869</v>
      </c>
      <c r="E3153" t="s">
        <v>21944</v>
      </c>
      <c r="F3153" t="s">
        <v>32606</v>
      </c>
      <c r="G3153" t="s">
        <v>32613</v>
      </c>
      <c r="H3153" t="s">
        <v>14201</v>
      </c>
      <c r="I3153" t="s">
        <v>6931</v>
      </c>
      <c r="J3153" t="s">
        <v>34944</v>
      </c>
      <c r="K3153" t="s">
        <v>42624</v>
      </c>
      <c r="M3153" t="s">
        <v>44288</v>
      </c>
      <c r="N3153" t="s">
        <v>47304</v>
      </c>
      <c r="O3153" t="s">
        <v>47305</v>
      </c>
      <c r="P3153">
        <v>0</v>
      </c>
      <c r="Q3153">
        <v>0</v>
      </c>
      <c r="R3153" t="s">
        <v>47306</v>
      </c>
      <c r="S3153" t="s">
        <v>47414</v>
      </c>
      <c r="T3153" t="s">
        <v>48996</v>
      </c>
      <c r="U3153" t="s">
        <v>52287</v>
      </c>
      <c r="W3153" t="s">
        <v>44288</v>
      </c>
      <c r="X3153" t="s">
        <v>47308</v>
      </c>
    </row>
    <row r="3154" spans="1:24">
      <c r="A3154">
        <f>HYPERLINK("https://www.philgeps.gov.ph/GEPSNONPILOT/Tender/SplashBidNoticeAbstractUI.aspx?menuIndex=3&amp;refID=7195333&amp;Result=3","7195333")</f>
        <v>0</v>
      </c>
      <c r="B3154" t="s">
        <v>1315</v>
      </c>
      <c r="C3154" t="s">
        <v>6870</v>
      </c>
      <c r="D3154" t="s">
        <v>19019</v>
      </c>
      <c r="E3154" t="s">
        <v>21673</v>
      </c>
      <c r="F3154" t="s">
        <v>32606</v>
      </c>
      <c r="G3154" t="s">
        <v>32619</v>
      </c>
      <c r="H3154" t="s">
        <v>14201</v>
      </c>
      <c r="I3154" t="s">
        <v>6298</v>
      </c>
      <c r="J3154" t="s">
        <v>34945</v>
      </c>
      <c r="K3154" t="s">
        <v>42625</v>
      </c>
      <c r="M3154" t="s">
        <v>44289</v>
      </c>
      <c r="N3154" t="s">
        <v>47304</v>
      </c>
      <c r="O3154" t="s">
        <v>47305</v>
      </c>
      <c r="P3154">
        <v>0</v>
      </c>
      <c r="Q3154">
        <v>1</v>
      </c>
      <c r="R3154" t="s">
        <v>47306</v>
      </c>
      <c r="S3154" t="s">
        <v>47414</v>
      </c>
      <c r="T3154" t="s">
        <v>49257</v>
      </c>
      <c r="U3154" t="s">
        <v>52288</v>
      </c>
      <c r="V3154" t="s">
        <v>62704</v>
      </c>
      <c r="W3154" t="s">
        <v>44289</v>
      </c>
      <c r="X3154" t="s">
        <v>47308</v>
      </c>
    </row>
    <row r="3155" spans="1:24">
      <c r="A3155">
        <f>HYPERLINK("https://www.philgeps.gov.ph/GEPSNONPILOT/Tender/SplashBidNoticeAbstractUI.aspx?menuIndex=3&amp;refID=7195332&amp;Result=3","7195332")</f>
        <v>0</v>
      </c>
      <c r="B3155" t="s">
        <v>228</v>
      </c>
      <c r="C3155" t="s">
        <v>6871</v>
      </c>
      <c r="D3155" t="s">
        <v>19030</v>
      </c>
      <c r="E3155" t="s">
        <v>21945</v>
      </c>
      <c r="F3155" t="s">
        <v>32606</v>
      </c>
      <c r="G3155" t="s">
        <v>32613</v>
      </c>
      <c r="H3155" t="s">
        <v>14201</v>
      </c>
      <c r="I3155" t="s">
        <v>4120</v>
      </c>
      <c r="J3155" t="s">
        <v>34946</v>
      </c>
      <c r="K3155" t="s">
        <v>42622</v>
      </c>
      <c r="M3155" t="s">
        <v>43129</v>
      </c>
      <c r="N3155" t="s">
        <v>47304</v>
      </c>
      <c r="O3155" t="s">
        <v>47305</v>
      </c>
      <c r="P3155">
        <v>0</v>
      </c>
      <c r="Q3155">
        <v>1</v>
      </c>
      <c r="R3155" t="s">
        <v>47306</v>
      </c>
      <c r="S3155" t="s">
        <v>47414</v>
      </c>
      <c r="T3155" t="s">
        <v>49009</v>
      </c>
      <c r="U3155" t="s">
        <v>52289</v>
      </c>
      <c r="W3155" t="s">
        <v>43129</v>
      </c>
      <c r="X3155" t="s">
        <v>47308</v>
      </c>
    </row>
    <row r="3156" spans="1:24">
      <c r="A3156">
        <f>HYPERLINK("https://www.philgeps.gov.ph/GEPSNONPILOT/Tender/SplashBidNoticeAbstractUI.aspx?menuIndex=3&amp;refID=7195304&amp;Result=3","7195304")</f>
        <v>0</v>
      </c>
      <c r="B3156" t="s">
        <v>1316</v>
      </c>
      <c r="C3156" t="s">
        <v>4935</v>
      </c>
      <c r="D3156" t="s">
        <v>19019</v>
      </c>
      <c r="E3156" t="s">
        <v>19521</v>
      </c>
      <c r="F3156" t="s">
        <v>32606</v>
      </c>
      <c r="G3156" t="s">
        <v>32619</v>
      </c>
      <c r="H3156" t="s">
        <v>14201</v>
      </c>
      <c r="I3156" t="s">
        <v>6298</v>
      </c>
      <c r="J3156" t="s">
        <v>34947</v>
      </c>
      <c r="K3156" t="s">
        <v>42625</v>
      </c>
      <c r="M3156" t="s">
        <v>44290</v>
      </c>
      <c r="N3156" t="s">
        <v>47304</v>
      </c>
      <c r="O3156" t="s">
        <v>47305</v>
      </c>
      <c r="P3156">
        <v>0</v>
      </c>
      <c r="Q3156">
        <v>0</v>
      </c>
      <c r="R3156" t="s">
        <v>47306</v>
      </c>
      <c r="S3156" t="s">
        <v>47414</v>
      </c>
      <c r="T3156" t="s">
        <v>49047</v>
      </c>
      <c r="U3156" t="s">
        <v>52290</v>
      </c>
      <c r="V3156" t="s">
        <v>62704</v>
      </c>
      <c r="W3156" t="s">
        <v>44290</v>
      </c>
      <c r="X3156" t="s">
        <v>47308</v>
      </c>
    </row>
    <row r="3157" spans="1:24">
      <c r="A3157">
        <f>HYPERLINK("https://www.philgeps.gov.ph/GEPSNONPILOT/Tender/SplashBidNoticeAbstractUI.aspx?menuIndex=3&amp;refID=7195342&amp;Result=3","7195342")</f>
        <v>0</v>
      </c>
      <c r="B3157" t="s">
        <v>1018</v>
      </c>
      <c r="C3157" t="s">
        <v>6872</v>
      </c>
      <c r="D3157" t="s">
        <v>19019</v>
      </c>
      <c r="E3157" t="s">
        <v>21946</v>
      </c>
      <c r="F3157" t="s">
        <v>32606</v>
      </c>
      <c r="G3157" t="s">
        <v>32613</v>
      </c>
      <c r="H3157" t="s">
        <v>32623</v>
      </c>
      <c r="I3157" t="s">
        <v>17648</v>
      </c>
      <c r="J3157" t="s">
        <v>32821</v>
      </c>
      <c r="K3157" t="s">
        <v>42741</v>
      </c>
      <c r="M3157" t="s">
        <v>43968</v>
      </c>
      <c r="N3157" t="s">
        <v>47304</v>
      </c>
      <c r="O3157" t="s">
        <v>47305</v>
      </c>
      <c r="P3157">
        <v>0</v>
      </c>
      <c r="Q3157">
        <v>0</v>
      </c>
      <c r="R3157" t="s">
        <v>47306</v>
      </c>
      <c r="S3157" t="s">
        <v>47414</v>
      </c>
      <c r="T3157" t="s">
        <v>48995</v>
      </c>
      <c r="U3157" t="s">
        <v>52291</v>
      </c>
      <c r="W3157" t="s">
        <v>43968</v>
      </c>
      <c r="X3157" t="s">
        <v>47308</v>
      </c>
    </row>
    <row r="3158" spans="1:24">
      <c r="A3158">
        <f>HYPERLINK("https://www.philgeps.gov.ph/GEPSNONPILOT/Tender/SplashBidNoticeAbstractUI.aspx?menuIndex=3&amp;refID=7195373&amp;Result=3","7195373")</f>
        <v>0</v>
      </c>
      <c r="B3158" t="s">
        <v>1308</v>
      </c>
      <c r="C3158" t="s">
        <v>6873</v>
      </c>
      <c r="D3158" t="s">
        <v>18990</v>
      </c>
      <c r="E3158" t="s">
        <v>21947</v>
      </c>
      <c r="F3158" t="s">
        <v>32606</v>
      </c>
      <c r="G3158" t="s">
        <v>32614</v>
      </c>
      <c r="H3158" t="s">
        <v>14201</v>
      </c>
      <c r="I3158" t="s">
        <v>6007</v>
      </c>
      <c r="J3158" t="s">
        <v>34948</v>
      </c>
      <c r="K3158" t="s">
        <v>42622</v>
      </c>
      <c r="M3158" t="s">
        <v>44282</v>
      </c>
      <c r="N3158" t="s">
        <v>47304</v>
      </c>
      <c r="O3158" t="s">
        <v>47305</v>
      </c>
      <c r="P3158">
        <v>0</v>
      </c>
      <c r="Q3158">
        <v>0</v>
      </c>
      <c r="R3158" t="s">
        <v>47306</v>
      </c>
      <c r="S3158" t="s">
        <v>47414</v>
      </c>
      <c r="T3158" t="s">
        <v>48980</v>
      </c>
      <c r="U3158" t="s">
        <v>52276</v>
      </c>
      <c r="W3158" t="s">
        <v>44282</v>
      </c>
      <c r="X3158" t="s">
        <v>47308</v>
      </c>
    </row>
    <row r="3159" spans="1:24">
      <c r="A3159">
        <f>HYPERLINK("https://www.philgeps.gov.ph/GEPSNONPILOT/Tender/SplashBidNoticeAbstractUI.aspx?menuIndex=3&amp;refID=7195311&amp;Result=3","7195311")</f>
        <v>0</v>
      </c>
      <c r="B3159" t="s">
        <v>360</v>
      </c>
      <c r="C3159" t="s">
        <v>6874</v>
      </c>
      <c r="D3159" t="s">
        <v>19040</v>
      </c>
      <c r="E3159" t="s">
        <v>21948</v>
      </c>
      <c r="F3159" t="s">
        <v>32606</v>
      </c>
      <c r="G3159" t="s">
        <v>32614</v>
      </c>
      <c r="H3159" t="s">
        <v>14201</v>
      </c>
      <c r="I3159" t="s">
        <v>32663</v>
      </c>
      <c r="J3159" t="s">
        <v>32781</v>
      </c>
      <c r="K3159" t="s">
        <v>42630</v>
      </c>
      <c r="M3159" t="s">
        <v>43262</v>
      </c>
      <c r="N3159" t="s">
        <v>47304</v>
      </c>
      <c r="O3159" t="s">
        <v>47305</v>
      </c>
      <c r="P3159">
        <v>0</v>
      </c>
      <c r="Q3159">
        <v>6</v>
      </c>
      <c r="R3159" t="s">
        <v>47306</v>
      </c>
      <c r="S3159" t="s">
        <v>47414</v>
      </c>
      <c r="T3159" t="s">
        <v>49050</v>
      </c>
      <c r="U3159" t="s">
        <v>50184</v>
      </c>
      <c r="W3159" t="s">
        <v>43262</v>
      </c>
      <c r="X3159" t="s">
        <v>47308</v>
      </c>
    </row>
    <row r="3160" spans="1:24">
      <c r="A3160">
        <f>HYPERLINK("https://www.philgeps.gov.ph/GEPSNONPILOT/Tender/SplashBidNoticeAbstractUI.aspx?menuIndex=3&amp;refID=7195372&amp;Result=3","7195372")</f>
        <v>0</v>
      </c>
      <c r="B3160" t="s">
        <v>1317</v>
      </c>
      <c r="C3160" t="s">
        <v>6875</v>
      </c>
      <c r="D3160" t="s">
        <v>19011</v>
      </c>
      <c r="E3160" t="s">
        <v>20335</v>
      </c>
      <c r="F3160" t="s">
        <v>32606</v>
      </c>
      <c r="G3160" t="s">
        <v>32613</v>
      </c>
      <c r="H3160" t="s">
        <v>14201</v>
      </c>
      <c r="I3160" t="s">
        <v>32686</v>
      </c>
      <c r="J3160" t="s">
        <v>34949</v>
      </c>
      <c r="K3160" t="s">
        <v>42636</v>
      </c>
      <c r="M3160" t="s">
        <v>44291</v>
      </c>
      <c r="N3160" t="s">
        <v>47304</v>
      </c>
      <c r="O3160" t="s">
        <v>47305</v>
      </c>
      <c r="P3160">
        <v>0</v>
      </c>
      <c r="Q3160">
        <v>3</v>
      </c>
      <c r="R3160" t="s">
        <v>47306</v>
      </c>
      <c r="S3160" t="s">
        <v>47414</v>
      </c>
      <c r="T3160" t="s">
        <v>49162</v>
      </c>
      <c r="U3160" t="s">
        <v>52292</v>
      </c>
      <c r="W3160" t="s">
        <v>44291</v>
      </c>
      <c r="X3160" t="s">
        <v>47308</v>
      </c>
    </row>
    <row r="3161" spans="1:24">
      <c r="A3161">
        <f>HYPERLINK("https://www.philgeps.gov.ph/GEPSNONPILOT/Tender/SplashBidNoticeAbstractUI.aspx?menuIndex=3&amp;refID=7195370&amp;Result=3","7195370")</f>
        <v>0</v>
      </c>
      <c r="B3161" t="s">
        <v>813</v>
      </c>
      <c r="C3161" t="s">
        <v>6876</v>
      </c>
      <c r="D3161" t="s">
        <v>19044</v>
      </c>
      <c r="E3161" t="s">
        <v>21949</v>
      </c>
      <c r="F3161" t="s">
        <v>32606</v>
      </c>
      <c r="G3161" t="s">
        <v>32614</v>
      </c>
      <c r="H3161" t="s">
        <v>14201</v>
      </c>
      <c r="I3161" t="s">
        <v>7233</v>
      </c>
      <c r="J3161" t="s">
        <v>34950</v>
      </c>
      <c r="K3161" t="s">
        <v>42630</v>
      </c>
      <c r="M3161" t="s">
        <v>43744</v>
      </c>
      <c r="N3161" t="s">
        <v>47304</v>
      </c>
      <c r="O3161" t="s">
        <v>47305</v>
      </c>
      <c r="P3161">
        <v>0</v>
      </c>
      <c r="Q3161">
        <v>0</v>
      </c>
      <c r="R3161" t="s">
        <v>47306</v>
      </c>
      <c r="S3161" t="s">
        <v>47414</v>
      </c>
      <c r="T3161" t="s">
        <v>48987</v>
      </c>
      <c r="U3161" t="s">
        <v>52293</v>
      </c>
      <c r="W3161" t="s">
        <v>43744</v>
      </c>
      <c r="X3161" t="s">
        <v>47308</v>
      </c>
    </row>
    <row r="3162" spans="1:24">
      <c r="A3162">
        <f>HYPERLINK("https://www.philgeps.gov.ph/GEPSNONPILOT/Tender/SplashBidNoticeAbstractUI.aspx?menuIndex=3&amp;refID=7195368&amp;Result=3","7195368")</f>
        <v>0</v>
      </c>
      <c r="B3162" t="s">
        <v>1308</v>
      </c>
      <c r="C3162" t="s">
        <v>6877</v>
      </c>
      <c r="D3162" t="s">
        <v>18990</v>
      </c>
      <c r="E3162" t="s">
        <v>21950</v>
      </c>
      <c r="F3162" t="s">
        <v>32606</v>
      </c>
      <c r="G3162" t="s">
        <v>32614</v>
      </c>
      <c r="H3162" t="s">
        <v>14201</v>
      </c>
      <c r="I3162" t="s">
        <v>6298</v>
      </c>
      <c r="J3162" t="s">
        <v>33341</v>
      </c>
      <c r="K3162" t="s">
        <v>42622</v>
      </c>
      <c r="M3162" t="s">
        <v>44282</v>
      </c>
      <c r="N3162" t="s">
        <v>47304</v>
      </c>
      <c r="O3162" t="s">
        <v>47305</v>
      </c>
      <c r="P3162">
        <v>0</v>
      </c>
      <c r="Q3162">
        <v>2</v>
      </c>
      <c r="R3162" t="s">
        <v>47306</v>
      </c>
      <c r="S3162" t="s">
        <v>47414</v>
      </c>
      <c r="T3162" t="s">
        <v>48980</v>
      </c>
      <c r="U3162" t="s">
        <v>52294</v>
      </c>
      <c r="W3162" t="s">
        <v>44282</v>
      </c>
      <c r="X3162" t="s">
        <v>47308</v>
      </c>
    </row>
    <row r="3163" spans="1:24">
      <c r="A3163">
        <f>HYPERLINK("https://www.philgeps.gov.ph/GEPSNONPILOT/Tender/SplashBidNoticeAbstractUI.aspx?menuIndex=3&amp;refID=7195365&amp;Result=3","7195365")</f>
        <v>0</v>
      </c>
      <c r="B3163" t="s">
        <v>1318</v>
      </c>
      <c r="C3163" t="s">
        <v>6878</v>
      </c>
      <c r="D3163" t="s">
        <v>19058</v>
      </c>
      <c r="E3163" t="s">
        <v>21951</v>
      </c>
      <c r="F3163" t="s">
        <v>32606</v>
      </c>
      <c r="G3163" t="s">
        <v>32613</v>
      </c>
      <c r="H3163" t="s">
        <v>14201</v>
      </c>
      <c r="I3163" t="s">
        <v>7064</v>
      </c>
      <c r="J3163" t="s">
        <v>33274</v>
      </c>
      <c r="K3163" t="s">
        <v>42624</v>
      </c>
      <c r="M3163" t="s">
        <v>44292</v>
      </c>
      <c r="N3163" t="s">
        <v>47304</v>
      </c>
      <c r="O3163" t="s">
        <v>47305</v>
      </c>
      <c r="P3163">
        <v>0</v>
      </c>
      <c r="Q3163">
        <v>0</v>
      </c>
      <c r="R3163" t="s">
        <v>47306</v>
      </c>
      <c r="S3163" t="s">
        <v>47414</v>
      </c>
      <c r="T3163" t="s">
        <v>48987</v>
      </c>
      <c r="U3163" t="s">
        <v>52295</v>
      </c>
      <c r="W3163" t="s">
        <v>44292</v>
      </c>
      <c r="X3163" t="s">
        <v>47308</v>
      </c>
    </row>
    <row r="3164" spans="1:24">
      <c r="A3164">
        <f>HYPERLINK("https://www.philgeps.gov.ph/GEPSNONPILOT/Tender/SplashBidNoticeAbstractUI.aspx?menuIndex=3&amp;refID=7195363&amp;Result=3","7195363")</f>
        <v>0</v>
      </c>
      <c r="B3164" t="s">
        <v>813</v>
      </c>
      <c r="C3164" t="s">
        <v>6879</v>
      </c>
      <c r="D3164" t="s">
        <v>19044</v>
      </c>
      <c r="E3164" t="s">
        <v>21952</v>
      </c>
      <c r="F3164" t="s">
        <v>32606</v>
      </c>
      <c r="G3164" t="s">
        <v>32614</v>
      </c>
      <c r="H3164" t="s">
        <v>14201</v>
      </c>
      <c r="I3164" t="s">
        <v>6931</v>
      </c>
      <c r="J3164" t="s">
        <v>34951</v>
      </c>
      <c r="K3164" t="s">
        <v>42630</v>
      </c>
      <c r="M3164" t="s">
        <v>43744</v>
      </c>
      <c r="N3164" t="s">
        <v>47304</v>
      </c>
      <c r="O3164" t="s">
        <v>47305</v>
      </c>
      <c r="P3164">
        <v>0</v>
      </c>
      <c r="Q3164">
        <v>0</v>
      </c>
      <c r="R3164" t="s">
        <v>47306</v>
      </c>
      <c r="S3164" t="s">
        <v>47414</v>
      </c>
      <c r="T3164" t="s">
        <v>48987</v>
      </c>
      <c r="U3164" t="s">
        <v>52296</v>
      </c>
      <c r="W3164" t="s">
        <v>43744</v>
      </c>
      <c r="X3164" t="s">
        <v>47308</v>
      </c>
    </row>
    <row r="3165" spans="1:24">
      <c r="A3165">
        <f>HYPERLINK("https://www.philgeps.gov.ph/GEPSNONPILOT/Tender/SplashBidNoticeAbstractUI.aspx?menuIndex=3&amp;refID=7195362&amp;Result=3","7195362")</f>
        <v>0</v>
      </c>
      <c r="B3165" t="s">
        <v>1055</v>
      </c>
      <c r="C3165" t="s">
        <v>6880</v>
      </c>
      <c r="D3165" t="s">
        <v>19007</v>
      </c>
      <c r="E3165" t="s">
        <v>21953</v>
      </c>
      <c r="F3165" t="s">
        <v>32606</v>
      </c>
      <c r="G3165" t="s">
        <v>32614</v>
      </c>
      <c r="H3165" t="s">
        <v>14201</v>
      </c>
      <c r="I3165" t="s">
        <v>6993</v>
      </c>
      <c r="J3165" t="s">
        <v>33555</v>
      </c>
      <c r="K3165" t="s">
        <v>42623</v>
      </c>
      <c r="M3165" t="s">
        <v>44008</v>
      </c>
      <c r="N3165" t="s">
        <v>47304</v>
      </c>
      <c r="O3165" t="s">
        <v>47305</v>
      </c>
      <c r="P3165">
        <v>0</v>
      </c>
      <c r="Q3165">
        <v>0</v>
      </c>
      <c r="R3165" t="s">
        <v>47306</v>
      </c>
      <c r="S3165" t="s">
        <v>47414</v>
      </c>
      <c r="T3165" t="s">
        <v>49004</v>
      </c>
      <c r="U3165" t="s">
        <v>52234</v>
      </c>
      <c r="W3165" t="s">
        <v>44008</v>
      </c>
      <c r="X3165" t="s">
        <v>47308</v>
      </c>
    </row>
    <row r="3166" spans="1:24">
      <c r="A3166">
        <f>HYPERLINK("https://www.philgeps.gov.ph/GEPSNONPILOT/Tender/SplashBidNoticeAbstractUI.aspx?menuIndex=3&amp;refID=7195366&amp;Result=3","7195366")</f>
        <v>0</v>
      </c>
      <c r="B3166" t="s">
        <v>666</v>
      </c>
      <c r="C3166" t="s">
        <v>6881</v>
      </c>
      <c r="D3166" t="s">
        <v>19014</v>
      </c>
      <c r="E3166" t="s">
        <v>20536</v>
      </c>
      <c r="F3166" t="s">
        <v>32606</v>
      </c>
      <c r="G3166" t="s">
        <v>32619</v>
      </c>
      <c r="H3166" t="s">
        <v>14201</v>
      </c>
      <c r="I3166" t="s">
        <v>6478</v>
      </c>
      <c r="J3166" t="s">
        <v>34952</v>
      </c>
      <c r="K3166" t="s">
        <v>42624</v>
      </c>
      <c r="M3166" t="s">
        <v>43586</v>
      </c>
      <c r="N3166" t="s">
        <v>47304</v>
      </c>
      <c r="O3166" t="s">
        <v>47305</v>
      </c>
      <c r="P3166">
        <v>0</v>
      </c>
      <c r="Q3166">
        <v>0</v>
      </c>
      <c r="R3166" t="s">
        <v>47306</v>
      </c>
      <c r="S3166" t="s">
        <v>47414</v>
      </c>
      <c r="T3166" t="s">
        <v>49053</v>
      </c>
      <c r="U3166" t="s">
        <v>50703</v>
      </c>
      <c r="W3166" t="s">
        <v>43586</v>
      </c>
      <c r="X3166" t="s">
        <v>47308</v>
      </c>
    </row>
    <row r="3167" spans="1:24">
      <c r="A3167">
        <f>HYPERLINK("https://www.philgeps.gov.ph/GEPSNONPILOT/Tender/SplashBidNoticeAbstractUI.aspx?menuIndex=3&amp;refID=7195360&amp;Result=3","7195360")</f>
        <v>0</v>
      </c>
      <c r="B3167" t="s">
        <v>1319</v>
      </c>
      <c r="C3167" t="s">
        <v>6882</v>
      </c>
      <c r="D3167" t="s">
        <v>19007</v>
      </c>
      <c r="E3167" t="s">
        <v>21954</v>
      </c>
      <c r="F3167" t="s">
        <v>32606</v>
      </c>
      <c r="G3167" t="s">
        <v>32619</v>
      </c>
      <c r="H3167" t="s">
        <v>14201</v>
      </c>
      <c r="I3167" t="s">
        <v>7233</v>
      </c>
      <c r="J3167" t="s">
        <v>32973</v>
      </c>
      <c r="K3167" t="s">
        <v>42624</v>
      </c>
      <c r="M3167" t="s">
        <v>44293</v>
      </c>
      <c r="N3167" t="s">
        <v>47304</v>
      </c>
      <c r="O3167" t="s">
        <v>47305</v>
      </c>
      <c r="P3167">
        <v>0</v>
      </c>
      <c r="Q3167">
        <v>0</v>
      </c>
      <c r="R3167" t="s">
        <v>47306</v>
      </c>
      <c r="S3167" t="s">
        <v>47414</v>
      </c>
      <c r="T3167" t="s">
        <v>48980</v>
      </c>
      <c r="U3167" t="s">
        <v>52297</v>
      </c>
      <c r="W3167" t="s">
        <v>44293</v>
      </c>
      <c r="X3167" t="s">
        <v>47308</v>
      </c>
    </row>
    <row r="3168" spans="1:24">
      <c r="A3168">
        <f>HYPERLINK("https://www.philgeps.gov.ph/GEPSNONPILOT/Tender/SplashBidNoticeAbstractUI.aspx?menuIndex=3&amp;refID=7195358&amp;Result=3","7195358")</f>
        <v>0</v>
      </c>
      <c r="B3168" t="s">
        <v>228</v>
      </c>
      <c r="C3168" t="s">
        <v>6883</v>
      </c>
      <c r="D3168" t="s">
        <v>19030</v>
      </c>
      <c r="E3168" t="s">
        <v>21955</v>
      </c>
      <c r="F3168" t="s">
        <v>32606</v>
      </c>
      <c r="G3168" t="s">
        <v>32613</v>
      </c>
      <c r="H3168" t="s">
        <v>32623</v>
      </c>
      <c r="I3168" t="s">
        <v>17648</v>
      </c>
      <c r="J3168" t="s">
        <v>33071</v>
      </c>
      <c r="K3168" t="s">
        <v>42712</v>
      </c>
      <c r="M3168" t="s">
        <v>43129</v>
      </c>
      <c r="N3168" t="s">
        <v>47304</v>
      </c>
      <c r="O3168" t="s">
        <v>47305</v>
      </c>
      <c r="P3168">
        <v>0</v>
      </c>
      <c r="Q3168">
        <v>1</v>
      </c>
      <c r="R3168" t="s">
        <v>47306</v>
      </c>
      <c r="S3168" t="s">
        <v>47414</v>
      </c>
      <c r="T3168" t="s">
        <v>49009</v>
      </c>
      <c r="U3168" t="s">
        <v>52298</v>
      </c>
      <c r="W3168" t="s">
        <v>43129</v>
      </c>
      <c r="X3168" t="s">
        <v>47308</v>
      </c>
    </row>
    <row r="3169" spans="1:24">
      <c r="A3169">
        <f>HYPERLINK("https://www.philgeps.gov.ph/GEPSNONPILOT/Tender/SplashBidNoticeAbstractUI.aspx?menuIndex=3&amp;refID=7195337&amp;Result=3","7195337")</f>
        <v>0</v>
      </c>
      <c r="B3169" t="s">
        <v>1320</v>
      </c>
      <c r="C3169" t="s">
        <v>6884</v>
      </c>
      <c r="D3169" t="s">
        <v>19006</v>
      </c>
      <c r="E3169" t="s">
        <v>21956</v>
      </c>
      <c r="F3169" t="s">
        <v>32606</v>
      </c>
      <c r="G3169" t="s">
        <v>32613</v>
      </c>
      <c r="H3169" t="s">
        <v>32623</v>
      </c>
      <c r="I3169" t="s">
        <v>17648</v>
      </c>
      <c r="J3169" t="s">
        <v>34085</v>
      </c>
      <c r="K3169" t="s">
        <v>42631</v>
      </c>
      <c r="M3169" t="s">
        <v>44294</v>
      </c>
      <c r="N3169" t="s">
        <v>47304</v>
      </c>
      <c r="O3169" t="s">
        <v>47305</v>
      </c>
      <c r="P3169">
        <v>0</v>
      </c>
      <c r="Q3169">
        <v>0</v>
      </c>
      <c r="R3169" t="s">
        <v>47306</v>
      </c>
      <c r="S3169" t="s">
        <v>47414</v>
      </c>
      <c r="T3169" t="s">
        <v>48982</v>
      </c>
      <c r="U3169" t="s">
        <v>52299</v>
      </c>
      <c r="W3169" t="s">
        <v>44294</v>
      </c>
      <c r="X3169" t="s">
        <v>47308</v>
      </c>
    </row>
    <row r="3170" spans="1:24">
      <c r="A3170">
        <f>HYPERLINK("https://www.philgeps.gov.ph/GEPSNONPILOT/Tender/SplashBidNoticeAbstractUI.aspx?menuIndex=3&amp;refID=7195357&amp;Result=3","7195357")</f>
        <v>0</v>
      </c>
      <c r="B3170" t="s">
        <v>360</v>
      </c>
      <c r="C3170" t="s">
        <v>6885</v>
      </c>
      <c r="D3170" t="s">
        <v>19040</v>
      </c>
      <c r="E3170" t="s">
        <v>21957</v>
      </c>
      <c r="F3170" t="s">
        <v>32606</v>
      </c>
      <c r="G3170" t="s">
        <v>32614</v>
      </c>
      <c r="H3170" t="s">
        <v>14201</v>
      </c>
      <c r="I3170" t="s">
        <v>4120</v>
      </c>
      <c r="J3170" t="s">
        <v>34953</v>
      </c>
      <c r="K3170" t="s">
        <v>42630</v>
      </c>
      <c r="M3170" t="s">
        <v>43262</v>
      </c>
      <c r="N3170" t="s">
        <v>47304</v>
      </c>
      <c r="O3170" t="s">
        <v>47305</v>
      </c>
      <c r="P3170">
        <v>0</v>
      </c>
      <c r="Q3170">
        <v>5</v>
      </c>
      <c r="R3170" t="s">
        <v>47306</v>
      </c>
      <c r="S3170" t="s">
        <v>47414</v>
      </c>
      <c r="T3170" t="s">
        <v>48979</v>
      </c>
      <c r="U3170" t="s">
        <v>50184</v>
      </c>
      <c r="W3170" t="s">
        <v>43262</v>
      </c>
      <c r="X3170" t="s">
        <v>47308</v>
      </c>
    </row>
    <row r="3171" spans="1:24">
      <c r="A3171">
        <f>HYPERLINK("https://www.philgeps.gov.ph/GEPSNONPILOT/Tender/SplashBidNoticeAbstractUI.aspx?menuIndex=3&amp;refID=7195364&amp;Result=3","7195364")</f>
        <v>0</v>
      </c>
      <c r="B3171" t="s">
        <v>1206</v>
      </c>
      <c r="C3171" t="s">
        <v>6886</v>
      </c>
      <c r="D3171" t="s">
        <v>19010</v>
      </c>
      <c r="E3171" t="s">
        <v>21958</v>
      </c>
      <c r="F3171" t="s">
        <v>32606</v>
      </c>
      <c r="G3171" t="s">
        <v>32614</v>
      </c>
      <c r="H3171" t="s">
        <v>14201</v>
      </c>
      <c r="I3171" t="s">
        <v>32678</v>
      </c>
      <c r="J3171" t="s">
        <v>34954</v>
      </c>
      <c r="K3171" t="s">
        <v>42631</v>
      </c>
      <c r="M3171" t="s">
        <v>44170</v>
      </c>
      <c r="N3171" t="s">
        <v>47304</v>
      </c>
      <c r="O3171" t="s">
        <v>47305</v>
      </c>
      <c r="P3171">
        <v>0</v>
      </c>
      <c r="Q3171">
        <v>0</v>
      </c>
      <c r="R3171" t="s">
        <v>47306</v>
      </c>
      <c r="S3171" t="s">
        <v>47414</v>
      </c>
      <c r="T3171" t="s">
        <v>49014</v>
      </c>
      <c r="U3171" t="s">
        <v>52300</v>
      </c>
      <c r="W3171" t="s">
        <v>44170</v>
      </c>
      <c r="X3171" t="s">
        <v>47308</v>
      </c>
    </row>
    <row r="3172" spans="1:24">
      <c r="A3172">
        <f>HYPERLINK("https://www.philgeps.gov.ph/GEPSNONPILOT/Tender/SplashBidNoticeAbstractUI.aspx?menuIndex=3&amp;refID=7195355&amp;Result=3","7195355")</f>
        <v>0</v>
      </c>
      <c r="B3172" t="s">
        <v>1310</v>
      </c>
      <c r="C3172" t="s">
        <v>6887</v>
      </c>
      <c r="D3172" t="s">
        <v>19058</v>
      </c>
      <c r="E3172" t="s">
        <v>21959</v>
      </c>
      <c r="F3172" t="s">
        <v>32606</v>
      </c>
      <c r="G3172" t="s">
        <v>32613</v>
      </c>
      <c r="H3172" t="s">
        <v>32623</v>
      </c>
      <c r="I3172" t="s">
        <v>17648</v>
      </c>
      <c r="J3172" t="s">
        <v>32981</v>
      </c>
      <c r="K3172" t="s">
        <v>42624</v>
      </c>
      <c r="M3172" t="s">
        <v>44284</v>
      </c>
      <c r="N3172" t="s">
        <v>47304</v>
      </c>
      <c r="O3172" t="s">
        <v>47305</v>
      </c>
      <c r="P3172">
        <v>0</v>
      </c>
      <c r="Q3172">
        <v>0</v>
      </c>
      <c r="R3172" t="s">
        <v>47306</v>
      </c>
      <c r="S3172" t="s">
        <v>47414</v>
      </c>
      <c r="T3172" t="s">
        <v>48986</v>
      </c>
      <c r="U3172" t="s">
        <v>52301</v>
      </c>
      <c r="W3172" t="s">
        <v>44284</v>
      </c>
      <c r="X3172" t="s">
        <v>47308</v>
      </c>
    </row>
    <row r="3173" spans="1:24">
      <c r="A3173">
        <f>HYPERLINK("https://www.philgeps.gov.ph/GEPSNONPILOT/Tender/SplashBidNoticeAbstractUI.aspx?menuIndex=3&amp;refID=7195390&amp;Result=3","7195390")</f>
        <v>0</v>
      </c>
      <c r="B3173" t="s">
        <v>360</v>
      </c>
      <c r="C3173" t="s">
        <v>6888</v>
      </c>
      <c r="D3173" t="s">
        <v>19040</v>
      </c>
      <c r="E3173" t="s">
        <v>21960</v>
      </c>
      <c r="F3173" t="s">
        <v>32606</v>
      </c>
      <c r="G3173" t="s">
        <v>32614</v>
      </c>
      <c r="H3173" t="s">
        <v>14201</v>
      </c>
      <c r="I3173" t="s">
        <v>32681</v>
      </c>
      <c r="J3173" t="s">
        <v>34955</v>
      </c>
      <c r="K3173" t="s">
        <v>42630</v>
      </c>
      <c r="M3173" t="s">
        <v>43262</v>
      </c>
      <c r="N3173" t="s">
        <v>47304</v>
      </c>
      <c r="O3173" t="s">
        <v>47305</v>
      </c>
      <c r="P3173">
        <v>0</v>
      </c>
      <c r="Q3173">
        <v>6</v>
      </c>
      <c r="R3173" t="s">
        <v>47306</v>
      </c>
      <c r="S3173" t="s">
        <v>47414</v>
      </c>
      <c r="T3173" t="s">
        <v>49050</v>
      </c>
      <c r="U3173" t="s">
        <v>50184</v>
      </c>
      <c r="W3173" t="s">
        <v>43262</v>
      </c>
      <c r="X3173" t="s">
        <v>47308</v>
      </c>
    </row>
    <row r="3174" spans="1:24">
      <c r="A3174">
        <f>HYPERLINK("https://www.philgeps.gov.ph/GEPSNONPILOT/Tender/SplashBidNoticeAbstractUI.aspx?menuIndex=3&amp;refID=7195361&amp;Result=3","7195361")</f>
        <v>0</v>
      </c>
      <c r="B3174" t="s">
        <v>1321</v>
      </c>
      <c r="C3174" t="s">
        <v>6889</v>
      </c>
      <c r="E3174" t="s">
        <v>21961</v>
      </c>
      <c r="F3174" t="s">
        <v>32606</v>
      </c>
      <c r="G3174" t="s">
        <v>32614</v>
      </c>
      <c r="H3174" t="s">
        <v>14201</v>
      </c>
      <c r="I3174" t="s">
        <v>32640</v>
      </c>
      <c r="J3174" t="s">
        <v>32950</v>
      </c>
      <c r="K3174" t="s">
        <v>42631</v>
      </c>
      <c r="M3174" t="s">
        <v>44295</v>
      </c>
      <c r="N3174" t="s">
        <v>47304</v>
      </c>
      <c r="O3174" t="s">
        <v>47305</v>
      </c>
      <c r="P3174">
        <v>0</v>
      </c>
      <c r="Q3174">
        <v>7</v>
      </c>
      <c r="R3174" t="s">
        <v>47306</v>
      </c>
      <c r="S3174" t="s">
        <v>47414</v>
      </c>
      <c r="T3174" t="s">
        <v>49014</v>
      </c>
      <c r="U3174" t="s">
        <v>52302</v>
      </c>
      <c r="W3174" t="s">
        <v>44295</v>
      </c>
      <c r="X3174" t="s">
        <v>47308</v>
      </c>
    </row>
    <row r="3175" spans="1:24">
      <c r="A3175">
        <f>HYPERLINK("https://www.philgeps.gov.ph/GEPSNONPILOT/Tender/SplashBidNoticeAbstractUI.aspx?menuIndex=3&amp;refID=7195324&amp;Result=3","7195324")</f>
        <v>0</v>
      </c>
      <c r="B3175" t="s">
        <v>1322</v>
      </c>
      <c r="C3175" t="s">
        <v>4772</v>
      </c>
      <c r="D3175" t="s">
        <v>19006</v>
      </c>
      <c r="E3175" t="s">
        <v>21962</v>
      </c>
      <c r="F3175" t="s">
        <v>32606</v>
      </c>
      <c r="G3175" t="s">
        <v>32617</v>
      </c>
      <c r="H3175" t="s">
        <v>14201</v>
      </c>
      <c r="I3175" t="s">
        <v>4120</v>
      </c>
      <c r="J3175" t="s">
        <v>32794</v>
      </c>
      <c r="K3175" t="s">
        <v>42622</v>
      </c>
      <c r="M3175" t="s">
        <v>44296</v>
      </c>
      <c r="N3175" t="s">
        <v>47304</v>
      </c>
      <c r="O3175" t="s">
        <v>47305</v>
      </c>
      <c r="P3175">
        <v>0</v>
      </c>
      <c r="Q3175">
        <v>0</v>
      </c>
      <c r="R3175" t="s">
        <v>47306</v>
      </c>
      <c r="S3175" t="s">
        <v>47414</v>
      </c>
      <c r="T3175" t="s">
        <v>49100</v>
      </c>
      <c r="U3175" t="s">
        <v>52072</v>
      </c>
      <c r="W3175" t="s">
        <v>44296</v>
      </c>
      <c r="X3175" t="s">
        <v>47308</v>
      </c>
    </row>
    <row r="3176" spans="1:24">
      <c r="A3176">
        <f>HYPERLINK("https://www.philgeps.gov.ph/GEPSNONPILOT/Tender/SplashBidNoticeAbstractUI.aspx?menuIndex=3&amp;refID=7195389&amp;Result=3","7195389")</f>
        <v>0</v>
      </c>
      <c r="B3176" t="s">
        <v>684</v>
      </c>
      <c r="C3176" t="s">
        <v>6890</v>
      </c>
      <c r="D3176" t="s">
        <v>19012</v>
      </c>
      <c r="E3176" t="s">
        <v>21963</v>
      </c>
      <c r="F3176" t="s">
        <v>32606</v>
      </c>
      <c r="G3176" t="s">
        <v>32614</v>
      </c>
      <c r="H3176" t="s">
        <v>14201</v>
      </c>
      <c r="I3176" t="s">
        <v>7529</v>
      </c>
      <c r="J3176" t="s">
        <v>34956</v>
      </c>
      <c r="K3176" t="s">
        <v>42622</v>
      </c>
      <c r="L3176" t="s">
        <v>684</v>
      </c>
      <c r="M3176" t="s">
        <v>43605</v>
      </c>
      <c r="N3176" t="s">
        <v>47304</v>
      </c>
      <c r="O3176" t="s">
        <v>47305</v>
      </c>
      <c r="P3176">
        <v>0</v>
      </c>
      <c r="Q3176">
        <v>2</v>
      </c>
      <c r="R3176" t="s">
        <v>47306</v>
      </c>
      <c r="S3176" t="s">
        <v>47414</v>
      </c>
      <c r="T3176" t="s">
        <v>48997</v>
      </c>
      <c r="U3176" t="s">
        <v>52303</v>
      </c>
      <c r="V3176" t="s">
        <v>62802</v>
      </c>
      <c r="W3176" t="s">
        <v>43605</v>
      </c>
      <c r="X3176" t="s">
        <v>47308</v>
      </c>
    </row>
    <row r="3177" spans="1:24">
      <c r="A3177">
        <f>HYPERLINK("https://www.philgeps.gov.ph/GEPSNONPILOT/Tender/SplashBidNoticeAbstractUI.aspx?menuIndex=3&amp;refID=7195398&amp;Result=3","7195398")</f>
        <v>0</v>
      </c>
      <c r="B3177" t="s">
        <v>1308</v>
      </c>
      <c r="C3177" t="s">
        <v>6891</v>
      </c>
      <c r="D3177" t="s">
        <v>18990</v>
      </c>
      <c r="E3177" t="s">
        <v>21964</v>
      </c>
      <c r="F3177" t="s">
        <v>32606</v>
      </c>
      <c r="G3177" t="s">
        <v>32614</v>
      </c>
      <c r="H3177" t="s">
        <v>14201</v>
      </c>
      <c r="I3177" t="s">
        <v>6993</v>
      </c>
      <c r="J3177" t="s">
        <v>33014</v>
      </c>
      <c r="K3177" t="s">
        <v>42622</v>
      </c>
      <c r="M3177" t="s">
        <v>44282</v>
      </c>
      <c r="N3177" t="s">
        <v>47304</v>
      </c>
      <c r="O3177" t="s">
        <v>47305</v>
      </c>
      <c r="P3177">
        <v>0</v>
      </c>
      <c r="Q3177">
        <v>1</v>
      </c>
      <c r="R3177" t="s">
        <v>47306</v>
      </c>
      <c r="S3177" t="s">
        <v>47414</v>
      </c>
      <c r="T3177" t="s">
        <v>48980</v>
      </c>
      <c r="U3177" t="s">
        <v>52276</v>
      </c>
      <c r="W3177" t="s">
        <v>44282</v>
      </c>
      <c r="X3177" t="s">
        <v>47308</v>
      </c>
    </row>
    <row r="3178" spans="1:24">
      <c r="A3178">
        <f>HYPERLINK("https://www.philgeps.gov.ph/GEPSNONPILOT/Tender/SplashBidNoticeAbstractUI.aspx?menuIndex=3&amp;refID=7195396&amp;Result=3","7195396")</f>
        <v>0</v>
      </c>
      <c r="B3178" t="s">
        <v>729</v>
      </c>
      <c r="C3178" t="s">
        <v>6892</v>
      </c>
      <c r="D3178" t="s">
        <v>19007</v>
      </c>
      <c r="E3178" t="s">
        <v>21965</v>
      </c>
      <c r="F3178" t="s">
        <v>32606</v>
      </c>
      <c r="G3178" t="s">
        <v>32614</v>
      </c>
      <c r="H3178" t="s">
        <v>14201</v>
      </c>
      <c r="I3178" t="s">
        <v>7233</v>
      </c>
      <c r="J3178" t="s">
        <v>34957</v>
      </c>
      <c r="K3178" t="s">
        <v>42624</v>
      </c>
      <c r="M3178" t="s">
        <v>43660</v>
      </c>
      <c r="N3178" t="s">
        <v>47304</v>
      </c>
      <c r="O3178" t="s">
        <v>47305</v>
      </c>
      <c r="P3178">
        <v>0</v>
      </c>
      <c r="Q3178">
        <v>1</v>
      </c>
      <c r="R3178" t="s">
        <v>47306</v>
      </c>
      <c r="S3178" t="s">
        <v>47414</v>
      </c>
      <c r="T3178" t="s">
        <v>48979</v>
      </c>
      <c r="U3178" t="s">
        <v>52304</v>
      </c>
      <c r="W3178" t="s">
        <v>43660</v>
      </c>
      <c r="X3178" t="s">
        <v>47308</v>
      </c>
    </row>
    <row r="3179" spans="1:24">
      <c r="A3179">
        <f>HYPERLINK("https://www.philgeps.gov.ph/GEPSNONPILOT/Tender/SplashBidNoticeAbstractUI.aspx?menuIndex=3&amp;refID=7195395&amp;Result=3","7195395")</f>
        <v>0</v>
      </c>
      <c r="B3179" t="s">
        <v>1318</v>
      </c>
      <c r="C3179" t="s">
        <v>4084</v>
      </c>
      <c r="D3179" t="s">
        <v>19058</v>
      </c>
      <c r="E3179" t="s">
        <v>21966</v>
      </c>
      <c r="F3179" t="s">
        <v>32606</v>
      </c>
      <c r="G3179" t="s">
        <v>32613</v>
      </c>
      <c r="H3179" t="s">
        <v>32623</v>
      </c>
      <c r="I3179" t="s">
        <v>17648</v>
      </c>
      <c r="J3179" t="s">
        <v>32789</v>
      </c>
      <c r="K3179" t="s">
        <v>42624</v>
      </c>
      <c r="M3179" t="s">
        <v>44292</v>
      </c>
      <c r="N3179" t="s">
        <v>47304</v>
      </c>
      <c r="O3179" t="s">
        <v>47305</v>
      </c>
      <c r="P3179">
        <v>0</v>
      </c>
      <c r="Q3179">
        <v>0</v>
      </c>
      <c r="R3179" t="s">
        <v>47306</v>
      </c>
      <c r="S3179" t="s">
        <v>47414</v>
      </c>
      <c r="T3179" t="s">
        <v>48987</v>
      </c>
      <c r="U3179" t="s">
        <v>52305</v>
      </c>
      <c r="W3179" t="s">
        <v>44292</v>
      </c>
      <c r="X3179" t="s">
        <v>47308</v>
      </c>
    </row>
    <row r="3180" spans="1:24">
      <c r="A3180">
        <f>HYPERLINK("https://www.philgeps.gov.ph/GEPSNONPILOT/Tender/SplashBidNoticeAbstractUI.aspx?menuIndex=3&amp;refID=7195394&amp;Result=3","7195394")</f>
        <v>0</v>
      </c>
      <c r="B3180" t="s">
        <v>684</v>
      </c>
      <c r="C3180" t="s">
        <v>6893</v>
      </c>
      <c r="D3180" t="s">
        <v>19012</v>
      </c>
      <c r="E3180" t="s">
        <v>21967</v>
      </c>
      <c r="F3180" t="s">
        <v>32606</v>
      </c>
      <c r="G3180" t="s">
        <v>32614</v>
      </c>
      <c r="H3180" t="s">
        <v>14201</v>
      </c>
      <c r="I3180" t="s">
        <v>32672</v>
      </c>
      <c r="J3180" t="s">
        <v>33317</v>
      </c>
      <c r="K3180" t="s">
        <v>42627</v>
      </c>
      <c r="L3180" t="s">
        <v>684</v>
      </c>
      <c r="M3180" t="s">
        <v>43605</v>
      </c>
      <c r="N3180" t="s">
        <v>47304</v>
      </c>
      <c r="O3180" t="s">
        <v>47305</v>
      </c>
      <c r="P3180">
        <v>0</v>
      </c>
      <c r="Q3180">
        <v>1</v>
      </c>
      <c r="R3180" t="s">
        <v>47306</v>
      </c>
      <c r="S3180" t="s">
        <v>47414</v>
      </c>
      <c r="T3180" t="s">
        <v>48997</v>
      </c>
      <c r="U3180" t="s">
        <v>52306</v>
      </c>
      <c r="V3180" t="s">
        <v>62802</v>
      </c>
      <c r="W3180" t="s">
        <v>43605</v>
      </c>
      <c r="X3180" t="s">
        <v>47308</v>
      </c>
    </row>
    <row r="3181" spans="1:24">
      <c r="A3181">
        <f>HYPERLINK("https://www.philgeps.gov.ph/GEPSNONPILOT/Tender/SplashBidNoticeAbstractUI.aspx?menuIndex=3&amp;refID=7195393&amp;Result=3","7195393")</f>
        <v>0</v>
      </c>
      <c r="B3181" t="s">
        <v>895</v>
      </c>
      <c r="C3181" t="s">
        <v>6894</v>
      </c>
      <c r="D3181" t="s">
        <v>18993</v>
      </c>
      <c r="E3181" t="s">
        <v>21968</v>
      </c>
      <c r="F3181" t="s">
        <v>32606</v>
      </c>
      <c r="G3181" t="s">
        <v>32619</v>
      </c>
      <c r="H3181" t="s">
        <v>14201</v>
      </c>
      <c r="I3181" t="s">
        <v>4114</v>
      </c>
      <c r="J3181" t="s">
        <v>32951</v>
      </c>
      <c r="K3181" t="s">
        <v>42624</v>
      </c>
      <c r="M3181" t="s">
        <v>43831</v>
      </c>
      <c r="N3181" t="s">
        <v>47304</v>
      </c>
      <c r="O3181" t="s">
        <v>47305</v>
      </c>
      <c r="P3181">
        <v>0</v>
      </c>
      <c r="Q3181">
        <v>6</v>
      </c>
      <c r="R3181" t="s">
        <v>47306</v>
      </c>
      <c r="S3181" t="s">
        <v>47414</v>
      </c>
      <c r="T3181" t="s">
        <v>49014</v>
      </c>
      <c r="U3181" t="s">
        <v>52307</v>
      </c>
      <c r="W3181" t="s">
        <v>43831</v>
      </c>
      <c r="X3181" t="s">
        <v>47308</v>
      </c>
    </row>
    <row r="3182" spans="1:24">
      <c r="A3182">
        <f>HYPERLINK("https://www.philgeps.gov.ph/GEPSNONPILOT/Tender/SplashBidNoticeAbstractUI.aspx?menuIndex=3&amp;refID=7195392&amp;Result=3","7195392")</f>
        <v>0</v>
      </c>
      <c r="B3182" t="s">
        <v>1323</v>
      </c>
      <c r="C3182" t="s">
        <v>6895</v>
      </c>
      <c r="D3182" t="s">
        <v>19037</v>
      </c>
      <c r="E3182" t="s">
        <v>21969</v>
      </c>
      <c r="F3182" t="s">
        <v>32606</v>
      </c>
      <c r="G3182" t="s">
        <v>32614</v>
      </c>
      <c r="H3182" t="s">
        <v>14201</v>
      </c>
      <c r="I3182" t="s">
        <v>32658</v>
      </c>
      <c r="J3182" t="s">
        <v>34958</v>
      </c>
      <c r="K3182" t="s">
        <v>42638</v>
      </c>
      <c r="M3182" t="s">
        <v>44297</v>
      </c>
      <c r="N3182" t="s">
        <v>47304</v>
      </c>
      <c r="O3182" t="s">
        <v>47305</v>
      </c>
      <c r="P3182">
        <v>0</v>
      </c>
      <c r="Q3182">
        <v>0</v>
      </c>
      <c r="R3182" t="s">
        <v>47306</v>
      </c>
      <c r="S3182" t="s">
        <v>47414</v>
      </c>
      <c r="T3182" t="s">
        <v>48979</v>
      </c>
      <c r="U3182" t="s">
        <v>52308</v>
      </c>
      <c r="W3182" t="s">
        <v>44297</v>
      </c>
      <c r="X3182" t="s">
        <v>47308</v>
      </c>
    </row>
    <row r="3183" spans="1:24">
      <c r="A3183">
        <f>HYPERLINK("https://www.philgeps.gov.ph/GEPSNONPILOT/Tender/SplashBidNoticeAbstractUI.aspx?menuIndex=3&amp;refID=7195388&amp;Result=3","7195388")</f>
        <v>0</v>
      </c>
      <c r="B3183" t="s">
        <v>1318</v>
      </c>
      <c r="C3183" t="s">
        <v>4084</v>
      </c>
      <c r="D3183" t="s">
        <v>19058</v>
      </c>
      <c r="E3183" t="s">
        <v>21970</v>
      </c>
      <c r="F3183" t="s">
        <v>32606</v>
      </c>
      <c r="G3183" t="s">
        <v>32613</v>
      </c>
      <c r="H3183" t="s">
        <v>32623</v>
      </c>
      <c r="I3183" t="s">
        <v>17648</v>
      </c>
      <c r="J3183" t="s">
        <v>32752</v>
      </c>
      <c r="K3183" t="s">
        <v>42624</v>
      </c>
      <c r="M3183" t="s">
        <v>44292</v>
      </c>
      <c r="N3183" t="s">
        <v>47304</v>
      </c>
      <c r="O3183" t="s">
        <v>47305</v>
      </c>
      <c r="P3183">
        <v>0</v>
      </c>
      <c r="Q3183">
        <v>0</v>
      </c>
      <c r="R3183" t="s">
        <v>47306</v>
      </c>
      <c r="S3183" t="s">
        <v>47414</v>
      </c>
      <c r="T3183" t="s">
        <v>48987</v>
      </c>
      <c r="U3183" t="s">
        <v>52309</v>
      </c>
      <c r="W3183" t="s">
        <v>44292</v>
      </c>
      <c r="X3183" t="s">
        <v>47308</v>
      </c>
    </row>
    <row r="3184" spans="1:24">
      <c r="A3184">
        <f>HYPERLINK("https://www.philgeps.gov.ph/GEPSNONPILOT/Tender/SplashBidNoticeAbstractUI.aspx?menuIndex=3&amp;refID=7195359&amp;Result=3","7195359")</f>
        <v>0</v>
      </c>
      <c r="B3184" t="s">
        <v>1308</v>
      </c>
      <c r="C3184" t="s">
        <v>6896</v>
      </c>
      <c r="D3184" t="s">
        <v>18990</v>
      </c>
      <c r="E3184" t="s">
        <v>21971</v>
      </c>
      <c r="F3184" t="s">
        <v>32606</v>
      </c>
      <c r="G3184" t="s">
        <v>32614</v>
      </c>
      <c r="H3184" t="s">
        <v>14201</v>
      </c>
      <c r="I3184" t="s">
        <v>6007</v>
      </c>
      <c r="J3184" t="s">
        <v>34959</v>
      </c>
      <c r="K3184" t="s">
        <v>42622</v>
      </c>
      <c r="M3184" t="s">
        <v>44282</v>
      </c>
      <c r="N3184" t="s">
        <v>47304</v>
      </c>
      <c r="O3184" t="s">
        <v>47305</v>
      </c>
      <c r="P3184">
        <v>0</v>
      </c>
      <c r="Q3184">
        <v>0</v>
      </c>
      <c r="R3184" t="s">
        <v>47306</v>
      </c>
      <c r="S3184" t="s">
        <v>47414</v>
      </c>
      <c r="T3184" t="s">
        <v>48980</v>
      </c>
      <c r="U3184" t="s">
        <v>52276</v>
      </c>
      <c r="W3184" t="s">
        <v>44282</v>
      </c>
      <c r="X3184" t="s">
        <v>47308</v>
      </c>
    </row>
    <row r="3185" spans="1:24">
      <c r="A3185">
        <f>HYPERLINK("https://www.philgeps.gov.ph/GEPSNONPILOT/Tender/SplashBidNoticeAbstractUI.aspx?menuIndex=3&amp;refID=7195383&amp;Result=3","7195383")</f>
        <v>0</v>
      </c>
      <c r="B3185" t="s">
        <v>729</v>
      </c>
      <c r="C3185" t="s">
        <v>6897</v>
      </c>
      <c r="D3185" t="s">
        <v>19007</v>
      </c>
      <c r="E3185" t="s">
        <v>21972</v>
      </c>
      <c r="F3185" t="s">
        <v>32606</v>
      </c>
      <c r="G3185" t="s">
        <v>32619</v>
      </c>
      <c r="H3185" t="s">
        <v>14201</v>
      </c>
      <c r="I3185" t="s">
        <v>4120</v>
      </c>
      <c r="J3185" t="s">
        <v>34960</v>
      </c>
      <c r="K3185" t="s">
        <v>42624</v>
      </c>
      <c r="M3185" t="s">
        <v>43660</v>
      </c>
      <c r="N3185" t="s">
        <v>47304</v>
      </c>
      <c r="O3185" t="s">
        <v>47305</v>
      </c>
      <c r="P3185">
        <v>0</v>
      </c>
      <c r="Q3185">
        <v>1</v>
      </c>
      <c r="R3185" t="s">
        <v>47306</v>
      </c>
      <c r="S3185" t="s">
        <v>47414</v>
      </c>
      <c r="T3185" t="s">
        <v>48979</v>
      </c>
      <c r="U3185" t="s">
        <v>52310</v>
      </c>
      <c r="W3185" t="s">
        <v>43660</v>
      </c>
      <c r="X3185" t="s">
        <v>47308</v>
      </c>
    </row>
    <row r="3186" spans="1:24">
      <c r="A3186">
        <f>HYPERLINK("https://www.philgeps.gov.ph/GEPSNONPILOT/Tender/SplashBidNoticeAbstractUI.aspx?menuIndex=3&amp;refID=7195356&amp;Result=3","7195356")</f>
        <v>0</v>
      </c>
      <c r="B3186" t="s">
        <v>1324</v>
      </c>
      <c r="C3186" t="s">
        <v>6898</v>
      </c>
      <c r="D3186" t="s">
        <v>18993</v>
      </c>
      <c r="E3186" t="s">
        <v>21973</v>
      </c>
      <c r="F3186" t="s">
        <v>32606</v>
      </c>
      <c r="G3186" t="s">
        <v>32614</v>
      </c>
      <c r="H3186" t="s">
        <v>14201</v>
      </c>
      <c r="I3186" t="s">
        <v>32640</v>
      </c>
      <c r="J3186" t="s">
        <v>33195</v>
      </c>
      <c r="K3186" t="s">
        <v>42622</v>
      </c>
      <c r="M3186" t="s">
        <v>44298</v>
      </c>
      <c r="N3186" t="s">
        <v>47304</v>
      </c>
      <c r="O3186" t="s">
        <v>47305</v>
      </c>
      <c r="P3186">
        <v>0</v>
      </c>
      <c r="Q3186">
        <v>3</v>
      </c>
      <c r="R3186" t="s">
        <v>47306</v>
      </c>
      <c r="S3186" t="s">
        <v>47414</v>
      </c>
      <c r="T3186" t="s">
        <v>48980</v>
      </c>
      <c r="U3186" t="s">
        <v>52311</v>
      </c>
      <c r="V3186" t="s">
        <v>62984</v>
      </c>
      <c r="W3186" t="s">
        <v>44298</v>
      </c>
      <c r="X3186" t="s">
        <v>47308</v>
      </c>
    </row>
    <row r="3187" spans="1:24">
      <c r="A3187">
        <f>HYPERLINK("https://www.philgeps.gov.ph/GEPSNONPILOT/Tender/SplashBidNoticeAbstractUI.aspx?menuIndex=3&amp;refID=7195354&amp;Result=3","7195354")</f>
        <v>0</v>
      </c>
      <c r="B3187" t="s">
        <v>81</v>
      </c>
      <c r="C3187" t="s">
        <v>6899</v>
      </c>
      <c r="D3187" t="s">
        <v>18995</v>
      </c>
      <c r="E3187" t="s">
        <v>21974</v>
      </c>
      <c r="F3187" t="s">
        <v>32606</v>
      </c>
      <c r="G3187" t="s">
        <v>32614</v>
      </c>
      <c r="H3187" t="s">
        <v>14201</v>
      </c>
      <c r="I3187" t="s">
        <v>32634</v>
      </c>
      <c r="J3187" t="s">
        <v>34961</v>
      </c>
      <c r="K3187" t="s">
        <v>42624</v>
      </c>
      <c r="M3187" t="s">
        <v>42978</v>
      </c>
      <c r="N3187" t="s">
        <v>47304</v>
      </c>
      <c r="O3187" t="s">
        <v>47305</v>
      </c>
      <c r="P3187">
        <v>0</v>
      </c>
      <c r="Q3187">
        <v>1</v>
      </c>
      <c r="R3187" t="s">
        <v>47306</v>
      </c>
      <c r="S3187" t="s">
        <v>47414</v>
      </c>
      <c r="T3187" t="s">
        <v>49014</v>
      </c>
      <c r="U3187" t="s">
        <v>52312</v>
      </c>
      <c r="W3187" t="s">
        <v>42978</v>
      </c>
      <c r="X3187" t="s">
        <v>47308</v>
      </c>
    </row>
    <row r="3188" spans="1:24">
      <c r="A3188">
        <f>HYPERLINK("https://www.philgeps.gov.ph/GEPSNONPILOT/Tender/SplashBidNoticeAbstractUI.aspx?menuIndex=3&amp;refID=7195378&amp;Result=3","7195378")</f>
        <v>0</v>
      </c>
      <c r="B3188" t="s">
        <v>1325</v>
      </c>
      <c r="C3188" t="s">
        <v>6900</v>
      </c>
      <c r="D3188" t="s">
        <v>19019</v>
      </c>
      <c r="E3188" t="s">
        <v>21975</v>
      </c>
      <c r="F3188" t="s">
        <v>32606</v>
      </c>
      <c r="G3188" t="s">
        <v>32614</v>
      </c>
      <c r="H3188" t="s">
        <v>14201</v>
      </c>
      <c r="I3188" t="s">
        <v>7577</v>
      </c>
      <c r="J3188" t="s">
        <v>32885</v>
      </c>
      <c r="K3188" t="s">
        <v>42630</v>
      </c>
      <c r="M3188" t="s">
        <v>44299</v>
      </c>
      <c r="N3188" t="s">
        <v>47304</v>
      </c>
      <c r="O3188" t="s">
        <v>47305</v>
      </c>
      <c r="P3188">
        <v>0</v>
      </c>
      <c r="Q3188">
        <v>1</v>
      </c>
      <c r="R3188" t="s">
        <v>47306</v>
      </c>
      <c r="S3188" t="s">
        <v>47414</v>
      </c>
      <c r="T3188" t="s">
        <v>49050</v>
      </c>
      <c r="U3188" t="s">
        <v>52313</v>
      </c>
      <c r="W3188" t="s">
        <v>44299</v>
      </c>
      <c r="X3188" t="s">
        <v>47308</v>
      </c>
    </row>
    <row r="3189" spans="1:24">
      <c r="A3189">
        <f>HYPERLINK("https://www.philgeps.gov.ph/GEPSNONPILOT/Tender/SplashBidNoticeAbstractUI.aspx?menuIndex=3&amp;refID=7195391&amp;Result=3","7195391")</f>
        <v>0</v>
      </c>
      <c r="B3189" t="s">
        <v>1326</v>
      </c>
      <c r="C3189" t="s">
        <v>6901</v>
      </c>
      <c r="D3189" t="s">
        <v>19015</v>
      </c>
      <c r="E3189" t="s">
        <v>21976</v>
      </c>
      <c r="F3189" t="s">
        <v>32606</v>
      </c>
      <c r="G3189" t="s">
        <v>32614</v>
      </c>
      <c r="H3189" t="s">
        <v>14201</v>
      </c>
      <c r="I3189" t="s">
        <v>32663</v>
      </c>
      <c r="J3189" t="s">
        <v>33228</v>
      </c>
      <c r="K3189" t="s">
        <v>42624</v>
      </c>
      <c r="M3189" t="s">
        <v>44300</v>
      </c>
      <c r="N3189" t="s">
        <v>47304</v>
      </c>
      <c r="O3189" t="s">
        <v>47305</v>
      </c>
      <c r="P3189">
        <v>0</v>
      </c>
      <c r="Q3189">
        <v>1</v>
      </c>
      <c r="R3189" t="s">
        <v>47306</v>
      </c>
      <c r="S3189" t="s">
        <v>47414</v>
      </c>
      <c r="T3189" t="s">
        <v>49108</v>
      </c>
      <c r="U3189" t="s">
        <v>52314</v>
      </c>
      <c r="V3189" t="s">
        <v>62985</v>
      </c>
      <c r="W3189" t="s">
        <v>44300</v>
      </c>
      <c r="X3189" t="s">
        <v>47308</v>
      </c>
    </row>
    <row r="3190" spans="1:24">
      <c r="A3190">
        <f>HYPERLINK("https://www.philgeps.gov.ph/GEPSNONPILOT/Tender/SplashBidNoticeAbstractUI.aspx?menuIndex=3&amp;refID=7195367&amp;Result=3","7195367")</f>
        <v>0</v>
      </c>
      <c r="B3190" t="s">
        <v>1327</v>
      </c>
      <c r="C3190" t="s">
        <v>6902</v>
      </c>
      <c r="D3190" t="s">
        <v>19018</v>
      </c>
      <c r="E3190" t="s">
        <v>19313</v>
      </c>
      <c r="F3190" t="s">
        <v>32606</v>
      </c>
      <c r="G3190" t="s">
        <v>32614</v>
      </c>
      <c r="H3190" t="s">
        <v>14201</v>
      </c>
      <c r="I3190" t="s">
        <v>7064</v>
      </c>
      <c r="J3190" t="s">
        <v>34962</v>
      </c>
      <c r="K3190" t="s">
        <v>42630</v>
      </c>
      <c r="M3190" t="s">
        <v>44301</v>
      </c>
      <c r="N3190" t="s">
        <v>47304</v>
      </c>
      <c r="O3190" t="s">
        <v>47305</v>
      </c>
      <c r="P3190">
        <v>0</v>
      </c>
      <c r="Q3190">
        <v>0</v>
      </c>
      <c r="R3190" t="s">
        <v>47306</v>
      </c>
      <c r="S3190" t="s">
        <v>47414</v>
      </c>
      <c r="T3190" t="s">
        <v>49050</v>
      </c>
      <c r="U3190" t="s">
        <v>52315</v>
      </c>
      <c r="W3190" t="s">
        <v>44301</v>
      </c>
      <c r="X3190" t="s">
        <v>47308</v>
      </c>
    </row>
    <row r="3191" spans="1:24">
      <c r="A3191">
        <f>HYPERLINK("https://www.philgeps.gov.ph/GEPSNONPILOT/Tender/SplashBidNoticeAbstractUI.aspx?menuIndex=3&amp;refID=7195384&amp;Result=3","7195384")</f>
        <v>0</v>
      </c>
      <c r="B3191" t="s">
        <v>1308</v>
      </c>
      <c r="C3191" t="s">
        <v>6873</v>
      </c>
      <c r="D3191" t="s">
        <v>18990</v>
      </c>
      <c r="E3191" t="s">
        <v>21977</v>
      </c>
      <c r="F3191" t="s">
        <v>32606</v>
      </c>
      <c r="G3191" t="s">
        <v>32614</v>
      </c>
      <c r="H3191" t="s">
        <v>14201</v>
      </c>
      <c r="I3191" t="s">
        <v>6007</v>
      </c>
      <c r="J3191" t="s">
        <v>34963</v>
      </c>
      <c r="K3191" t="s">
        <v>42622</v>
      </c>
      <c r="M3191" t="s">
        <v>44282</v>
      </c>
      <c r="N3191" t="s">
        <v>47304</v>
      </c>
      <c r="O3191" t="s">
        <v>47305</v>
      </c>
      <c r="P3191">
        <v>0</v>
      </c>
      <c r="Q3191">
        <v>0</v>
      </c>
      <c r="R3191" t="s">
        <v>47306</v>
      </c>
      <c r="S3191" t="s">
        <v>47414</v>
      </c>
      <c r="T3191" t="s">
        <v>48980</v>
      </c>
      <c r="U3191" t="s">
        <v>52276</v>
      </c>
      <c r="W3191" t="s">
        <v>44282</v>
      </c>
      <c r="X3191" t="s">
        <v>47308</v>
      </c>
    </row>
    <row r="3192" spans="1:24">
      <c r="A3192">
        <f>HYPERLINK("https://www.philgeps.gov.ph/GEPSNONPILOT/Tender/SplashBidNoticeAbstractUI.aspx?menuIndex=3&amp;refID=7195377&amp;Result=3","7195377")</f>
        <v>0</v>
      </c>
      <c r="B3192" t="s">
        <v>689</v>
      </c>
      <c r="C3192" t="s">
        <v>6903</v>
      </c>
      <c r="D3192" t="s">
        <v>19004</v>
      </c>
      <c r="E3192" t="s">
        <v>21978</v>
      </c>
      <c r="F3192" t="s">
        <v>32606</v>
      </c>
      <c r="G3192" t="s">
        <v>32619</v>
      </c>
      <c r="H3192" t="s">
        <v>14201</v>
      </c>
      <c r="I3192" t="s">
        <v>32632</v>
      </c>
      <c r="J3192" t="s">
        <v>34964</v>
      </c>
      <c r="K3192" t="s">
        <v>42624</v>
      </c>
      <c r="M3192" t="s">
        <v>43610</v>
      </c>
      <c r="N3192" t="s">
        <v>47304</v>
      </c>
      <c r="O3192" t="s">
        <v>47305</v>
      </c>
      <c r="P3192">
        <v>0</v>
      </c>
      <c r="Q3192">
        <v>0</v>
      </c>
      <c r="R3192" t="s">
        <v>47306</v>
      </c>
      <c r="S3192" t="s">
        <v>47414</v>
      </c>
      <c r="T3192" t="s">
        <v>49160</v>
      </c>
      <c r="U3192" t="s">
        <v>52316</v>
      </c>
      <c r="W3192" t="s">
        <v>43610</v>
      </c>
      <c r="X3192" t="s">
        <v>47308</v>
      </c>
    </row>
    <row r="3193" spans="1:24">
      <c r="A3193">
        <f>HYPERLINK("https://www.philgeps.gov.ph/GEPSNONPILOT/Tender/SplashBidNoticeAbstractUI.aspx?menuIndex=3&amp;refID=7195382&amp;Result=3","7195382")</f>
        <v>0</v>
      </c>
      <c r="B3193" t="s">
        <v>684</v>
      </c>
      <c r="C3193" t="s">
        <v>6904</v>
      </c>
      <c r="D3193" t="s">
        <v>19012</v>
      </c>
      <c r="E3193" t="s">
        <v>21979</v>
      </c>
      <c r="F3193" t="s">
        <v>32606</v>
      </c>
      <c r="G3193" t="s">
        <v>32614</v>
      </c>
      <c r="H3193" t="s">
        <v>14201</v>
      </c>
      <c r="I3193" t="s">
        <v>32629</v>
      </c>
      <c r="J3193" t="s">
        <v>34965</v>
      </c>
      <c r="K3193" t="s">
        <v>42622</v>
      </c>
      <c r="L3193" t="s">
        <v>684</v>
      </c>
      <c r="M3193" t="s">
        <v>43605</v>
      </c>
      <c r="N3193" t="s">
        <v>47304</v>
      </c>
      <c r="O3193" t="s">
        <v>47305</v>
      </c>
      <c r="P3193">
        <v>0</v>
      </c>
      <c r="Q3193">
        <v>0</v>
      </c>
      <c r="R3193" t="s">
        <v>47306</v>
      </c>
      <c r="S3193" t="s">
        <v>47414</v>
      </c>
      <c r="T3193" t="s">
        <v>48997</v>
      </c>
      <c r="U3193" t="s">
        <v>52317</v>
      </c>
      <c r="V3193" t="s">
        <v>62802</v>
      </c>
      <c r="W3193" t="s">
        <v>43605</v>
      </c>
      <c r="X3193" t="s">
        <v>47308</v>
      </c>
    </row>
    <row r="3194" spans="1:24">
      <c r="A3194">
        <f>HYPERLINK("https://www.philgeps.gov.ph/GEPSNONPILOT/Tender/SplashBidNoticeAbstractUI.aspx?menuIndex=3&amp;refID=7195424&amp;Result=3","7195424")</f>
        <v>0</v>
      </c>
      <c r="B3194" t="s">
        <v>71</v>
      </c>
      <c r="C3194" t="s">
        <v>6905</v>
      </c>
      <c r="D3194" t="s">
        <v>19017</v>
      </c>
      <c r="E3194" t="s">
        <v>21980</v>
      </c>
      <c r="F3194" t="s">
        <v>32606</v>
      </c>
      <c r="G3194" t="s">
        <v>32613</v>
      </c>
      <c r="H3194" t="s">
        <v>14201</v>
      </c>
      <c r="I3194" t="s">
        <v>4120</v>
      </c>
      <c r="J3194" t="s">
        <v>33533</v>
      </c>
      <c r="K3194" t="s">
        <v>42630</v>
      </c>
      <c r="M3194" t="s">
        <v>42968</v>
      </c>
      <c r="N3194" t="s">
        <v>47304</v>
      </c>
      <c r="O3194" t="s">
        <v>47305</v>
      </c>
      <c r="P3194">
        <v>0</v>
      </c>
      <c r="Q3194">
        <v>0</v>
      </c>
      <c r="R3194" t="s">
        <v>47306</v>
      </c>
      <c r="S3194" t="s">
        <v>47414</v>
      </c>
      <c r="T3194" t="s">
        <v>49007</v>
      </c>
      <c r="U3194" t="s">
        <v>52318</v>
      </c>
      <c r="W3194" t="s">
        <v>42968</v>
      </c>
      <c r="X3194" t="s">
        <v>47308</v>
      </c>
    </row>
    <row r="3195" spans="1:24">
      <c r="A3195">
        <f>HYPERLINK("https://www.philgeps.gov.ph/GEPSNONPILOT/Tender/SplashBidNoticeAbstractUI.aspx?menuIndex=3&amp;refID=7195422&amp;Result=3","7195422")</f>
        <v>0</v>
      </c>
      <c r="B3195" t="s">
        <v>703</v>
      </c>
      <c r="C3195" t="s">
        <v>6906</v>
      </c>
      <c r="D3195" t="s">
        <v>18992</v>
      </c>
      <c r="E3195" t="s">
        <v>21981</v>
      </c>
      <c r="F3195" t="s">
        <v>32606</v>
      </c>
      <c r="G3195" t="s">
        <v>32613</v>
      </c>
      <c r="H3195" t="s">
        <v>14201</v>
      </c>
      <c r="I3195" t="s">
        <v>32646</v>
      </c>
      <c r="J3195" t="s">
        <v>33363</v>
      </c>
      <c r="K3195" t="s">
        <v>42694</v>
      </c>
      <c r="M3195" t="s">
        <v>43624</v>
      </c>
      <c r="N3195" t="s">
        <v>47304</v>
      </c>
      <c r="O3195" t="s">
        <v>47305</v>
      </c>
      <c r="P3195">
        <v>0</v>
      </c>
      <c r="Q3195">
        <v>0</v>
      </c>
      <c r="R3195" t="s">
        <v>47306</v>
      </c>
      <c r="S3195" t="s">
        <v>47414</v>
      </c>
      <c r="T3195" t="s">
        <v>49153</v>
      </c>
      <c r="U3195" t="s">
        <v>52319</v>
      </c>
      <c r="V3195" t="s">
        <v>62986</v>
      </c>
      <c r="W3195" t="s">
        <v>43624</v>
      </c>
      <c r="X3195" t="s">
        <v>47308</v>
      </c>
    </row>
    <row r="3196" spans="1:24">
      <c r="A3196">
        <f>HYPERLINK("https://www.philgeps.gov.ph/GEPSNONPILOT/Tender/SplashBidNoticeAbstractUI.aspx?menuIndex=3&amp;refID=7195421&amp;Result=3","7195421")</f>
        <v>0</v>
      </c>
      <c r="B3196" t="s">
        <v>729</v>
      </c>
      <c r="C3196" t="s">
        <v>6907</v>
      </c>
      <c r="D3196" t="s">
        <v>19007</v>
      </c>
      <c r="E3196" t="s">
        <v>21982</v>
      </c>
      <c r="F3196" t="s">
        <v>32606</v>
      </c>
      <c r="G3196" t="s">
        <v>32614</v>
      </c>
      <c r="H3196" t="s">
        <v>14201</v>
      </c>
      <c r="I3196" t="s">
        <v>7233</v>
      </c>
      <c r="J3196" t="s">
        <v>34966</v>
      </c>
      <c r="K3196" t="s">
        <v>42624</v>
      </c>
      <c r="M3196" t="s">
        <v>43660</v>
      </c>
      <c r="N3196" t="s">
        <v>47304</v>
      </c>
      <c r="O3196" t="s">
        <v>47305</v>
      </c>
      <c r="P3196">
        <v>0</v>
      </c>
      <c r="Q3196">
        <v>1</v>
      </c>
      <c r="R3196" t="s">
        <v>47306</v>
      </c>
      <c r="S3196" t="s">
        <v>47414</v>
      </c>
      <c r="T3196" t="s">
        <v>48979</v>
      </c>
      <c r="U3196" t="s">
        <v>52320</v>
      </c>
      <c r="W3196" t="s">
        <v>43660</v>
      </c>
      <c r="X3196" t="s">
        <v>47308</v>
      </c>
    </row>
    <row r="3197" spans="1:24">
      <c r="A3197">
        <f>HYPERLINK("https://www.philgeps.gov.ph/GEPSNONPILOT/Tender/SplashBidNoticeAbstractUI.aspx?menuIndex=3&amp;refID=7195379&amp;Result=3","7195379")</f>
        <v>0</v>
      </c>
      <c r="B3197" t="s">
        <v>1318</v>
      </c>
      <c r="C3197" t="s">
        <v>4084</v>
      </c>
      <c r="D3197" t="s">
        <v>19058</v>
      </c>
      <c r="E3197" t="s">
        <v>16107</v>
      </c>
      <c r="F3197" t="s">
        <v>32606</v>
      </c>
      <c r="G3197" t="s">
        <v>32613</v>
      </c>
      <c r="H3197" t="s">
        <v>32623</v>
      </c>
      <c r="I3197" t="s">
        <v>17648</v>
      </c>
      <c r="J3197" t="s">
        <v>32778</v>
      </c>
      <c r="K3197" t="s">
        <v>42624</v>
      </c>
      <c r="M3197" t="s">
        <v>44292</v>
      </c>
      <c r="N3197" t="s">
        <v>47304</v>
      </c>
      <c r="O3197" t="s">
        <v>47305</v>
      </c>
      <c r="P3197">
        <v>0</v>
      </c>
      <c r="Q3197">
        <v>0</v>
      </c>
      <c r="R3197" t="s">
        <v>47306</v>
      </c>
      <c r="S3197" t="s">
        <v>47414</v>
      </c>
      <c r="T3197" t="s">
        <v>48987</v>
      </c>
      <c r="U3197" t="s">
        <v>52321</v>
      </c>
      <c r="W3197" t="s">
        <v>44292</v>
      </c>
      <c r="X3197" t="s">
        <v>47308</v>
      </c>
    </row>
    <row r="3198" spans="1:24">
      <c r="A3198">
        <f>HYPERLINK("https://www.philgeps.gov.ph/GEPSNONPILOT/Tender/SplashBidNoticeAbstractUI.aspx?menuIndex=3&amp;refID=7195420&amp;Result=3","7195420")</f>
        <v>0</v>
      </c>
      <c r="B3198" t="s">
        <v>357</v>
      </c>
      <c r="C3198" t="s">
        <v>6908</v>
      </c>
      <c r="D3198" t="s">
        <v>19010</v>
      </c>
      <c r="E3198" t="s">
        <v>21983</v>
      </c>
      <c r="F3198" t="s">
        <v>32606</v>
      </c>
      <c r="G3198" t="s">
        <v>32613</v>
      </c>
      <c r="H3198" t="s">
        <v>32623</v>
      </c>
      <c r="I3198" t="s">
        <v>17648</v>
      </c>
      <c r="J3198" t="s">
        <v>34967</v>
      </c>
      <c r="K3198" t="s">
        <v>42646</v>
      </c>
      <c r="M3198" t="s">
        <v>43259</v>
      </c>
      <c r="N3198" t="s">
        <v>47304</v>
      </c>
      <c r="O3198" t="s">
        <v>47305</v>
      </c>
      <c r="P3198">
        <v>0</v>
      </c>
      <c r="Q3198">
        <v>0</v>
      </c>
      <c r="R3198" t="s">
        <v>47306</v>
      </c>
      <c r="S3198" t="s">
        <v>47414</v>
      </c>
      <c r="T3198" t="s">
        <v>49008</v>
      </c>
      <c r="U3198" t="s">
        <v>52322</v>
      </c>
      <c r="V3198" t="s">
        <v>62729</v>
      </c>
      <c r="W3198" t="s">
        <v>43259</v>
      </c>
      <c r="X3198" t="s">
        <v>47308</v>
      </c>
    </row>
    <row r="3199" spans="1:24">
      <c r="A3199">
        <f>HYPERLINK("https://www.philgeps.gov.ph/GEPSNONPILOT/Tender/SplashBidNoticeAbstractUI.aspx?menuIndex=3&amp;refID=7195419&amp;Result=3","7195419")</f>
        <v>0</v>
      </c>
      <c r="B3199" t="s">
        <v>1328</v>
      </c>
      <c r="C3199" t="s">
        <v>6909</v>
      </c>
      <c r="E3199" t="s">
        <v>21984</v>
      </c>
      <c r="F3199" t="s">
        <v>32606</v>
      </c>
      <c r="G3199" t="s">
        <v>32614</v>
      </c>
      <c r="H3199" t="s">
        <v>14201</v>
      </c>
      <c r="I3199" t="s">
        <v>6931</v>
      </c>
      <c r="J3199" t="s">
        <v>34968</v>
      </c>
      <c r="K3199" t="s">
        <v>42623</v>
      </c>
      <c r="M3199" t="s">
        <v>44302</v>
      </c>
      <c r="N3199" t="s">
        <v>47304</v>
      </c>
      <c r="O3199" t="s">
        <v>47305</v>
      </c>
      <c r="P3199">
        <v>0</v>
      </c>
      <c r="Q3199">
        <v>0</v>
      </c>
      <c r="R3199" t="s">
        <v>47306</v>
      </c>
      <c r="S3199" t="s">
        <v>47414</v>
      </c>
      <c r="T3199" t="s">
        <v>49004</v>
      </c>
      <c r="U3199" t="s">
        <v>52323</v>
      </c>
      <c r="W3199" t="s">
        <v>44302</v>
      </c>
      <c r="X3199" t="s">
        <v>47308</v>
      </c>
    </row>
    <row r="3200" spans="1:24">
      <c r="A3200">
        <f>HYPERLINK("https://www.philgeps.gov.ph/GEPSNONPILOT/Tender/SplashBidNoticeAbstractUI.aspx?menuIndex=3&amp;refID=7195376&amp;Result=3","7195376")</f>
        <v>0</v>
      </c>
      <c r="B3200" t="s">
        <v>360</v>
      </c>
      <c r="C3200" t="s">
        <v>6910</v>
      </c>
      <c r="D3200" t="s">
        <v>19040</v>
      </c>
      <c r="E3200" t="s">
        <v>21985</v>
      </c>
      <c r="F3200" t="s">
        <v>32606</v>
      </c>
      <c r="G3200" t="s">
        <v>32614</v>
      </c>
      <c r="H3200" t="s">
        <v>14201</v>
      </c>
      <c r="I3200" t="s">
        <v>4120</v>
      </c>
      <c r="J3200" t="s">
        <v>34969</v>
      </c>
      <c r="K3200" t="s">
        <v>42630</v>
      </c>
      <c r="M3200" t="s">
        <v>43262</v>
      </c>
      <c r="N3200" t="s">
        <v>47304</v>
      </c>
      <c r="O3200" t="s">
        <v>47305</v>
      </c>
      <c r="P3200">
        <v>0</v>
      </c>
      <c r="Q3200">
        <v>1</v>
      </c>
      <c r="R3200" t="s">
        <v>47306</v>
      </c>
      <c r="S3200" t="s">
        <v>47414</v>
      </c>
      <c r="T3200" t="s">
        <v>49050</v>
      </c>
      <c r="U3200" t="s">
        <v>50184</v>
      </c>
      <c r="W3200" t="s">
        <v>43262</v>
      </c>
      <c r="X3200" t="s">
        <v>47308</v>
      </c>
    </row>
    <row r="3201" spans="1:24">
      <c r="A3201">
        <f>HYPERLINK("https://www.philgeps.gov.ph/GEPSNONPILOT/Tender/SplashBidNoticeAbstractUI.aspx?menuIndex=3&amp;refID=7195381&amp;Result=3","7195381")</f>
        <v>0</v>
      </c>
      <c r="B3201" t="s">
        <v>360</v>
      </c>
      <c r="C3201" t="s">
        <v>6911</v>
      </c>
      <c r="D3201" t="s">
        <v>19040</v>
      </c>
      <c r="E3201" t="s">
        <v>21986</v>
      </c>
      <c r="F3201" t="s">
        <v>32606</v>
      </c>
      <c r="G3201" t="s">
        <v>32614</v>
      </c>
      <c r="H3201" t="s">
        <v>14201</v>
      </c>
      <c r="I3201" t="s">
        <v>4120</v>
      </c>
      <c r="J3201" t="s">
        <v>34970</v>
      </c>
      <c r="K3201" t="s">
        <v>42630</v>
      </c>
      <c r="M3201" t="s">
        <v>43262</v>
      </c>
      <c r="N3201" t="s">
        <v>47304</v>
      </c>
      <c r="O3201" t="s">
        <v>47305</v>
      </c>
      <c r="P3201">
        <v>0</v>
      </c>
      <c r="Q3201">
        <v>0</v>
      </c>
      <c r="R3201" t="s">
        <v>47306</v>
      </c>
      <c r="S3201" t="s">
        <v>47414</v>
      </c>
      <c r="T3201" t="s">
        <v>49050</v>
      </c>
      <c r="U3201" t="s">
        <v>50184</v>
      </c>
      <c r="W3201" t="s">
        <v>43262</v>
      </c>
      <c r="X3201" t="s">
        <v>47308</v>
      </c>
    </row>
    <row r="3202" spans="1:24">
      <c r="A3202">
        <f>HYPERLINK("https://www.philgeps.gov.ph/GEPSNONPILOT/Tender/SplashBidNoticeAbstractUI.aspx?menuIndex=3&amp;refID=7195423&amp;Result=3","7195423")</f>
        <v>0</v>
      </c>
      <c r="B3202" t="s">
        <v>1308</v>
      </c>
      <c r="C3202" t="s">
        <v>6912</v>
      </c>
      <c r="D3202" t="s">
        <v>18990</v>
      </c>
      <c r="E3202" t="s">
        <v>21987</v>
      </c>
      <c r="F3202" t="s">
        <v>32606</v>
      </c>
      <c r="G3202" t="s">
        <v>32614</v>
      </c>
      <c r="H3202" t="s">
        <v>14201</v>
      </c>
      <c r="I3202" t="s">
        <v>32650</v>
      </c>
      <c r="J3202" t="s">
        <v>32981</v>
      </c>
      <c r="K3202" t="s">
        <v>42622</v>
      </c>
      <c r="M3202" t="s">
        <v>44282</v>
      </c>
      <c r="N3202" t="s">
        <v>47304</v>
      </c>
      <c r="O3202" t="s">
        <v>47305</v>
      </c>
      <c r="P3202">
        <v>0</v>
      </c>
      <c r="Q3202">
        <v>1</v>
      </c>
      <c r="R3202" t="s">
        <v>47306</v>
      </c>
      <c r="S3202" t="s">
        <v>47414</v>
      </c>
      <c r="T3202" t="s">
        <v>48980</v>
      </c>
      <c r="U3202" t="s">
        <v>52294</v>
      </c>
      <c r="W3202" t="s">
        <v>44282</v>
      </c>
      <c r="X3202" t="s">
        <v>47308</v>
      </c>
    </row>
    <row r="3203" spans="1:24">
      <c r="A3203">
        <f>HYPERLINK("https://www.philgeps.gov.ph/GEPSNONPILOT/Tender/SplashBidNoticeAbstractUI.aspx?menuIndex=3&amp;refID=7195371&amp;Result=3","7195371")</f>
        <v>0</v>
      </c>
      <c r="B3203" t="s">
        <v>1318</v>
      </c>
      <c r="C3203" t="s">
        <v>6913</v>
      </c>
      <c r="D3203" t="s">
        <v>19058</v>
      </c>
      <c r="E3203" t="s">
        <v>21936</v>
      </c>
      <c r="F3203" t="s">
        <v>32606</v>
      </c>
      <c r="G3203" t="s">
        <v>32613</v>
      </c>
      <c r="H3203" t="s">
        <v>32623</v>
      </c>
      <c r="I3203" t="s">
        <v>17648</v>
      </c>
      <c r="J3203" t="s">
        <v>32789</v>
      </c>
      <c r="K3203" t="s">
        <v>42624</v>
      </c>
      <c r="M3203" t="s">
        <v>44292</v>
      </c>
      <c r="N3203" t="s">
        <v>47304</v>
      </c>
      <c r="O3203" t="s">
        <v>47305</v>
      </c>
      <c r="P3203">
        <v>0</v>
      </c>
      <c r="Q3203">
        <v>0</v>
      </c>
      <c r="R3203" t="s">
        <v>47306</v>
      </c>
      <c r="S3203" t="s">
        <v>47414</v>
      </c>
      <c r="T3203" t="s">
        <v>48987</v>
      </c>
      <c r="U3203" t="s">
        <v>52324</v>
      </c>
      <c r="W3203" t="s">
        <v>44292</v>
      </c>
      <c r="X3203" t="s">
        <v>47308</v>
      </c>
    </row>
    <row r="3204" spans="1:24">
      <c r="A3204">
        <f>HYPERLINK("https://www.philgeps.gov.ph/GEPSNONPILOT/Tender/SplashBidNoticeAbstractUI.aspx?menuIndex=3&amp;refID=7195411&amp;Result=3","7195411")</f>
        <v>0</v>
      </c>
      <c r="B3204" t="s">
        <v>1308</v>
      </c>
      <c r="C3204" t="s">
        <v>6914</v>
      </c>
      <c r="D3204" t="s">
        <v>18990</v>
      </c>
      <c r="E3204" t="s">
        <v>21988</v>
      </c>
      <c r="F3204" t="s">
        <v>32606</v>
      </c>
      <c r="G3204" t="s">
        <v>32614</v>
      </c>
      <c r="H3204" t="s">
        <v>32625</v>
      </c>
      <c r="I3204" t="s">
        <v>32625</v>
      </c>
      <c r="J3204" t="s">
        <v>32752</v>
      </c>
      <c r="K3204" t="s">
        <v>42622</v>
      </c>
      <c r="M3204" t="s">
        <v>44282</v>
      </c>
      <c r="N3204" t="s">
        <v>47304</v>
      </c>
      <c r="O3204" t="s">
        <v>47305</v>
      </c>
      <c r="P3204">
        <v>0</v>
      </c>
      <c r="Q3204">
        <v>0</v>
      </c>
      <c r="R3204" t="s">
        <v>47306</v>
      </c>
      <c r="S3204" t="s">
        <v>47414</v>
      </c>
      <c r="T3204" t="s">
        <v>48980</v>
      </c>
      <c r="U3204" t="s">
        <v>52276</v>
      </c>
      <c r="W3204" t="s">
        <v>44282</v>
      </c>
      <c r="X3204" t="s">
        <v>47308</v>
      </c>
    </row>
    <row r="3205" spans="1:24">
      <c r="A3205">
        <f>HYPERLINK("https://www.philgeps.gov.ph/GEPSNONPILOT/Tender/SplashBidNoticeAbstractUI.aspx?menuIndex=3&amp;refID=7195410&amp;Result=3","7195410")</f>
        <v>0</v>
      </c>
      <c r="B3205" t="s">
        <v>357</v>
      </c>
      <c r="C3205" t="s">
        <v>6915</v>
      </c>
      <c r="D3205" t="s">
        <v>19010</v>
      </c>
      <c r="E3205" t="s">
        <v>21989</v>
      </c>
      <c r="F3205" t="s">
        <v>32606</v>
      </c>
      <c r="G3205" t="s">
        <v>32614</v>
      </c>
      <c r="H3205" t="s">
        <v>14201</v>
      </c>
      <c r="I3205" t="s">
        <v>4114</v>
      </c>
      <c r="J3205" t="s">
        <v>34971</v>
      </c>
      <c r="K3205" t="s">
        <v>42630</v>
      </c>
      <c r="M3205" t="s">
        <v>43259</v>
      </c>
      <c r="N3205" t="s">
        <v>47304</v>
      </c>
      <c r="O3205" t="s">
        <v>47305</v>
      </c>
      <c r="P3205">
        <v>0</v>
      </c>
      <c r="Q3205">
        <v>0</v>
      </c>
      <c r="R3205" t="s">
        <v>47306</v>
      </c>
      <c r="S3205" t="s">
        <v>47414</v>
      </c>
      <c r="T3205" t="s">
        <v>48980</v>
      </c>
      <c r="U3205" t="s">
        <v>52325</v>
      </c>
      <c r="W3205" t="s">
        <v>43259</v>
      </c>
      <c r="X3205" t="s">
        <v>47308</v>
      </c>
    </row>
    <row r="3206" spans="1:24">
      <c r="A3206">
        <f>HYPERLINK("https://www.philgeps.gov.ph/GEPSNONPILOT/Tender/SplashBidNoticeAbstractUI.aspx?menuIndex=3&amp;refID=7195440&amp;Result=3","7195440")</f>
        <v>0</v>
      </c>
      <c r="B3206" t="s">
        <v>1308</v>
      </c>
      <c r="C3206" t="s">
        <v>6873</v>
      </c>
      <c r="D3206" t="s">
        <v>18990</v>
      </c>
      <c r="E3206" t="s">
        <v>21990</v>
      </c>
      <c r="F3206" t="s">
        <v>32606</v>
      </c>
      <c r="G3206" t="s">
        <v>32614</v>
      </c>
      <c r="H3206" t="s">
        <v>14201</v>
      </c>
      <c r="I3206" t="s">
        <v>6007</v>
      </c>
      <c r="J3206" t="s">
        <v>34972</v>
      </c>
      <c r="K3206" t="s">
        <v>42622</v>
      </c>
      <c r="M3206" t="s">
        <v>44282</v>
      </c>
      <c r="N3206" t="s">
        <v>47304</v>
      </c>
      <c r="O3206" t="s">
        <v>47305</v>
      </c>
      <c r="P3206">
        <v>0</v>
      </c>
      <c r="Q3206">
        <v>0</v>
      </c>
      <c r="R3206" t="s">
        <v>47306</v>
      </c>
      <c r="S3206" t="s">
        <v>47414</v>
      </c>
      <c r="T3206" t="s">
        <v>48980</v>
      </c>
      <c r="U3206" t="s">
        <v>52276</v>
      </c>
      <c r="W3206" t="s">
        <v>44282</v>
      </c>
      <c r="X3206" t="s">
        <v>47308</v>
      </c>
    </row>
    <row r="3207" spans="1:24">
      <c r="A3207">
        <f>HYPERLINK("https://www.philgeps.gov.ph/GEPSNONPILOT/Tender/SplashBidNoticeAbstractUI.aspx?menuIndex=3&amp;refID=7195449&amp;Result=3","7195449")</f>
        <v>0</v>
      </c>
      <c r="B3207" t="s">
        <v>81</v>
      </c>
      <c r="C3207" t="s">
        <v>6916</v>
      </c>
      <c r="D3207" t="s">
        <v>18995</v>
      </c>
      <c r="E3207" t="s">
        <v>21991</v>
      </c>
      <c r="F3207" t="s">
        <v>32606</v>
      </c>
      <c r="G3207" t="s">
        <v>32614</v>
      </c>
      <c r="H3207" t="s">
        <v>14201</v>
      </c>
      <c r="I3207" t="s">
        <v>32634</v>
      </c>
      <c r="J3207" t="s">
        <v>34973</v>
      </c>
      <c r="K3207" t="s">
        <v>42624</v>
      </c>
      <c r="M3207" t="s">
        <v>42978</v>
      </c>
      <c r="N3207" t="s">
        <v>47304</v>
      </c>
      <c r="O3207" t="s">
        <v>47305</v>
      </c>
      <c r="P3207">
        <v>0</v>
      </c>
      <c r="Q3207">
        <v>1</v>
      </c>
      <c r="R3207" t="s">
        <v>47306</v>
      </c>
      <c r="S3207" t="s">
        <v>47414</v>
      </c>
      <c r="T3207" t="s">
        <v>49014</v>
      </c>
      <c r="U3207" t="s">
        <v>52326</v>
      </c>
      <c r="W3207" t="s">
        <v>42978</v>
      </c>
      <c r="X3207" t="s">
        <v>47308</v>
      </c>
    </row>
    <row r="3208" spans="1:24">
      <c r="A3208">
        <f>HYPERLINK("https://www.philgeps.gov.ph/GEPSNONPILOT/Tender/SplashBidNoticeAbstractUI.aspx?menuIndex=3&amp;refID=7195417&amp;Result=3","7195417")</f>
        <v>0</v>
      </c>
      <c r="B3208" t="s">
        <v>1329</v>
      </c>
      <c r="C3208" t="s">
        <v>6917</v>
      </c>
      <c r="D3208" t="s">
        <v>19030</v>
      </c>
      <c r="E3208" t="s">
        <v>21992</v>
      </c>
      <c r="F3208" t="s">
        <v>32606</v>
      </c>
      <c r="G3208" t="s">
        <v>32614</v>
      </c>
      <c r="H3208" t="s">
        <v>14201</v>
      </c>
      <c r="I3208" t="s">
        <v>7529</v>
      </c>
      <c r="J3208" t="s">
        <v>32885</v>
      </c>
      <c r="K3208" t="s">
        <v>42630</v>
      </c>
      <c r="M3208" t="s">
        <v>44303</v>
      </c>
      <c r="N3208" t="s">
        <v>47304</v>
      </c>
      <c r="O3208" t="s">
        <v>47305</v>
      </c>
      <c r="P3208">
        <v>0</v>
      </c>
      <c r="Q3208">
        <v>1</v>
      </c>
      <c r="R3208" t="s">
        <v>47306</v>
      </c>
      <c r="S3208" t="s">
        <v>47414</v>
      </c>
      <c r="T3208" t="s">
        <v>48977</v>
      </c>
      <c r="U3208" t="s">
        <v>52327</v>
      </c>
      <c r="W3208" t="s">
        <v>44303</v>
      </c>
      <c r="X3208" t="s">
        <v>47308</v>
      </c>
    </row>
    <row r="3209" spans="1:24">
      <c r="A3209">
        <f>HYPERLINK("https://www.philgeps.gov.ph/GEPSNONPILOT/Tender/SplashBidNoticeAbstractUI.aspx?menuIndex=3&amp;refID=7195412&amp;Result=3","7195412")</f>
        <v>0</v>
      </c>
      <c r="B3209" t="s">
        <v>360</v>
      </c>
      <c r="C3209" t="s">
        <v>6918</v>
      </c>
      <c r="D3209" t="s">
        <v>19040</v>
      </c>
      <c r="E3209" t="s">
        <v>21993</v>
      </c>
      <c r="F3209" t="s">
        <v>32606</v>
      </c>
      <c r="G3209" t="s">
        <v>32614</v>
      </c>
      <c r="H3209" t="s">
        <v>14201</v>
      </c>
      <c r="I3209" t="s">
        <v>4120</v>
      </c>
      <c r="J3209" t="s">
        <v>34974</v>
      </c>
      <c r="K3209" t="s">
        <v>42630</v>
      </c>
      <c r="M3209" t="s">
        <v>43262</v>
      </c>
      <c r="N3209" t="s">
        <v>47304</v>
      </c>
      <c r="O3209" t="s">
        <v>47305</v>
      </c>
      <c r="P3209">
        <v>0</v>
      </c>
      <c r="Q3209">
        <v>0</v>
      </c>
      <c r="R3209" t="s">
        <v>47306</v>
      </c>
      <c r="S3209" t="s">
        <v>47414</v>
      </c>
      <c r="T3209" t="s">
        <v>49050</v>
      </c>
      <c r="U3209" t="s">
        <v>50184</v>
      </c>
      <c r="W3209" t="s">
        <v>43262</v>
      </c>
      <c r="X3209" t="s">
        <v>47308</v>
      </c>
    </row>
    <row r="3210" spans="1:24">
      <c r="A3210">
        <f>HYPERLINK("https://www.philgeps.gov.ph/GEPSNONPILOT/Tender/SplashBidNoticeAbstractUI.aspx?menuIndex=3&amp;refID=7195444&amp;Result=3","7195444")</f>
        <v>0</v>
      </c>
      <c r="B3210" t="s">
        <v>1330</v>
      </c>
      <c r="C3210" t="s">
        <v>6919</v>
      </c>
      <c r="D3210" t="s">
        <v>19005</v>
      </c>
      <c r="E3210" t="s">
        <v>21994</v>
      </c>
      <c r="F3210" t="s">
        <v>32606</v>
      </c>
      <c r="G3210" t="s">
        <v>32614</v>
      </c>
      <c r="H3210" t="s">
        <v>32623</v>
      </c>
      <c r="I3210" t="s">
        <v>32675</v>
      </c>
      <c r="J3210" t="s">
        <v>34975</v>
      </c>
      <c r="K3210" t="s">
        <v>42631</v>
      </c>
      <c r="M3210" t="s">
        <v>44304</v>
      </c>
      <c r="N3210" t="s">
        <v>47304</v>
      </c>
      <c r="O3210" t="s">
        <v>47305</v>
      </c>
      <c r="P3210">
        <v>0</v>
      </c>
      <c r="Q3210">
        <v>2</v>
      </c>
      <c r="R3210" t="s">
        <v>47306</v>
      </c>
      <c r="S3210" t="s">
        <v>47414</v>
      </c>
      <c r="T3210" t="s">
        <v>48979</v>
      </c>
      <c r="U3210" t="s">
        <v>52328</v>
      </c>
      <c r="W3210" t="s">
        <v>44304</v>
      </c>
      <c r="X3210" t="s">
        <v>47308</v>
      </c>
    </row>
    <row r="3211" spans="1:24">
      <c r="A3211">
        <f>HYPERLINK("https://www.philgeps.gov.ph/GEPSNONPILOT/Tender/SplashBidNoticeAbstractUI.aspx?menuIndex=3&amp;refID=7195443&amp;Result=3","7195443")</f>
        <v>0</v>
      </c>
      <c r="B3211" t="s">
        <v>692</v>
      </c>
      <c r="C3211" t="s">
        <v>6920</v>
      </c>
      <c r="D3211" t="s">
        <v>18992</v>
      </c>
      <c r="E3211" t="s">
        <v>20332</v>
      </c>
      <c r="F3211" t="s">
        <v>32606</v>
      </c>
      <c r="G3211" t="s">
        <v>32614</v>
      </c>
      <c r="H3211" t="s">
        <v>14201</v>
      </c>
      <c r="I3211" t="s">
        <v>6993</v>
      </c>
      <c r="J3211" t="s">
        <v>34976</v>
      </c>
      <c r="K3211" t="s">
        <v>42629</v>
      </c>
      <c r="M3211" t="s">
        <v>43613</v>
      </c>
      <c r="N3211" t="s">
        <v>47304</v>
      </c>
      <c r="O3211" t="s">
        <v>47305</v>
      </c>
      <c r="P3211">
        <v>0</v>
      </c>
      <c r="Q3211">
        <v>0</v>
      </c>
      <c r="R3211" t="s">
        <v>47306</v>
      </c>
      <c r="S3211" t="s">
        <v>47414</v>
      </c>
      <c r="T3211" t="s">
        <v>48980</v>
      </c>
      <c r="U3211" t="s">
        <v>52329</v>
      </c>
      <c r="W3211" t="s">
        <v>43613</v>
      </c>
      <c r="X3211" t="s">
        <v>47308</v>
      </c>
    </row>
    <row r="3212" spans="1:24">
      <c r="A3212">
        <f>HYPERLINK("https://www.philgeps.gov.ph/GEPSNONPILOT/Tender/SplashBidNoticeAbstractUI.aspx?menuIndex=3&amp;refID=7195375&amp;Result=3","7195375")</f>
        <v>0</v>
      </c>
      <c r="B3212" t="s">
        <v>1318</v>
      </c>
      <c r="C3212" t="s">
        <v>6913</v>
      </c>
      <c r="D3212" t="s">
        <v>19058</v>
      </c>
      <c r="E3212" t="s">
        <v>21959</v>
      </c>
      <c r="F3212" t="s">
        <v>32606</v>
      </c>
      <c r="G3212" t="s">
        <v>32613</v>
      </c>
      <c r="H3212" t="s">
        <v>32623</v>
      </c>
      <c r="I3212" t="s">
        <v>17648</v>
      </c>
      <c r="J3212" t="s">
        <v>32981</v>
      </c>
      <c r="K3212" t="s">
        <v>42624</v>
      </c>
      <c r="M3212" t="s">
        <v>44292</v>
      </c>
      <c r="N3212" t="s">
        <v>47304</v>
      </c>
      <c r="O3212" t="s">
        <v>47305</v>
      </c>
      <c r="P3212">
        <v>0</v>
      </c>
      <c r="Q3212">
        <v>0</v>
      </c>
      <c r="R3212" t="s">
        <v>47306</v>
      </c>
      <c r="S3212" t="s">
        <v>47414</v>
      </c>
      <c r="T3212" t="s">
        <v>48987</v>
      </c>
      <c r="U3212" t="s">
        <v>52330</v>
      </c>
      <c r="W3212" t="s">
        <v>44292</v>
      </c>
      <c r="X3212" t="s">
        <v>47308</v>
      </c>
    </row>
    <row r="3213" spans="1:24">
      <c r="A3213">
        <f>HYPERLINK("https://www.philgeps.gov.ph/GEPSNONPILOT/Tender/SplashBidNoticeAbstractUI.aspx?menuIndex=3&amp;refID=7195418&amp;Result=3","7195418")</f>
        <v>0</v>
      </c>
      <c r="B3213" t="s">
        <v>1331</v>
      </c>
      <c r="C3213" t="s">
        <v>6921</v>
      </c>
      <c r="D3213" t="s">
        <v>18999</v>
      </c>
      <c r="E3213" t="s">
        <v>21995</v>
      </c>
      <c r="F3213" t="s">
        <v>32606</v>
      </c>
      <c r="G3213" t="s">
        <v>32614</v>
      </c>
      <c r="H3213" t="s">
        <v>14201</v>
      </c>
      <c r="I3213" t="s">
        <v>8682</v>
      </c>
      <c r="J3213" t="s">
        <v>34977</v>
      </c>
      <c r="K3213" t="s">
        <v>42624</v>
      </c>
      <c r="M3213" t="s">
        <v>44305</v>
      </c>
      <c r="N3213" t="s">
        <v>47304</v>
      </c>
      <c r="O3213" t="s">
        <v>47305</v>
      </c>
      <c r="P3213">
        <v>0</v>
      </c>
      <c r="Q3213">
        <v>3</v>
      </c>
      <c r="R3213" t="s">
        <v>47306</v>
      </c>
      <c r="S3213" t="s">
        <v>47414</v>
      </c>
      <c r="T3213" t="s">
        <v>48986</v>
      </c>
      <c r="U3213" t="s">
        <v>52331</v>
      </c>
      <c r="W3213" t="s">
        <v>44305</v>
      </c>
      <c r="X3213" t="s">
        <v>47308</v>
      </c>
    </row>
    <row r="3214" spans="1:24">
      <c r="A3214">
        <f>HYPERLINK("https://www.philgeps.gov.ph/GEPSNONPILOT/Tender/SplashBidNoticeAbstractUI.aspx?menuIndex=3&amp;refID=7195438&amp;Result=3","7195438")</f>
        <v>0</v>
      </c>
      <c r="B3214" t="s">
        <v>234</v>
      </c>
      <c r="C3214" t="s">
        <v>6922</v>
      </c>
      <c r="D3214" t="s">
        <v>19052</v>
      </c>
      <c r="E3214" t="s">
        <v>21996</v>
      </c>
      <c r="F3214" t="s">
        <v>32606</v>
      </c>
      <c r="G3214" t="s">
        <v>32614</v>
      </c>
      <c r="H3214" t="s">
        <v>14201</v>
      </c>
      <c r="I3214" t="s">
        <v>8606</v>
      </c>
      <c r="J3214" t="s">
        <v>34978</v>
      </c>
      <c r="K3214" t="s">
        <v>42631</v>
      </c>
      <c r="M3214" t="s">
        <v>43135</v>
      </c>
      <c r="N3214" t="s">
        <v>47304</v>
      </c>
      <c r="O3214" t="s">
        <v>47305</v>
      </c>
      <c r="P3214">
        <v>0</v>
      </c>
      <c r="Q3214">
        <v>2</v>
      </c>
      <c r="R3214" t="s">
        <v>47306</v>
      </c>
      <c r="S3214" t="s">
        <v>47414</v>
      </c>
      <c r="T3214" t="s">
        <v>49050</v>
      </c>
      <c r="U3214" t="s">
        <v>52332</v>
      </c>
      <c r="V3214" t="s">
        <v>62641</v>
      </c>
      <c r="W3214" t="s">
        <v>43135</v>
      </c>
      <c r="X3214" t="s">
        <v>47308</v>
      </c>
    </row>
    <row r="3215" spans="1:24">
      <c r="A3215">
        <f>HYPERLINK("https://www.philgeps.gov.ph/GEPSNONPILOT/Tender/SplashBidNoticeAbstractUI.aspx?menuIndex=3&amp;refID=7195436&amp;Result=3","7195436")</f>
        <v>0</v>
      </c>
      <c r="B3215" t="s">
        <v>81</v>
      </c>
      <c r="C3215" t="s">
        <v>6923</v>
      </c>
      <c r="D3215" t="s">
        <v>18995</v>
      </c>
      <c r="E3215" t="s">
        <v>21997</v>
      </c>
      <c r="F3215" t="s">
        <v>32606</v>
      </c>
      <c r="G3215" t="s">
        <v>32614</v>
      </c>
      <c r="H3215" t="s">
        <v>14201</v>
      </c>
      <c r="I3215" t="s">
        <v>32634</v>
      </c>
      <c r="J3215" t="s">
        <v>33352</v>
      </c>
      <c r="K3215" t="s">
        <v>42624</v>
      </c>
      <c r="M3215" t="s">
        <v>42978</v>
      </c>
      <c r="N3215" t="s">
        <v>47304</v>
      </c>
      <c r="O3215" t="s">
        <v>47305</v>
      </c>
      <c r="P3215">
        <v>0</v>
      </c>
      <c r="Q3215">
        <v>3</v>
      </c>
      <c r="R3215" t="s">
        <v>47306</v>
      </c>
      <c r="S3215" t="s">
        <v>47414</v>
      </c>
      <c r="T3215" t="s">
        <v>49014</v>
      </c>
      <c r="U3215" t="s">
        <v>52333</v>
      </c>
      <c r="W3215" t="s">
        <v>42978</v>
      </c>
      <c r="X3215" t="s">
        <v>47308</v>
      </c>
    </row>
    <row r="3216" spans="1:24">
      <c r="A3216">
        <f>HYPERLINK("https://www.philgeps.gov.ph/GEPSNONPILOT/Tender/SplashBidNoticeAbstractUI.aspx?menuIndex=3&amp;refID=7195437&amp;Result=3","7195437")</f>
        <v>0</v>
      </c>
      <c r="B3216" t="s">
        <v>703</v>
      </c>
      <c r="C3216" t="s">
        <v>6924</v>
      </c>
      <c r="D3216" t="s">
        <v>18992</v>
      </c>
      <c r="E3216" t="s">
        <v>21998</v>
      </c>
      <c r="F3216" t="s">
        <v>32606</v>
      </c>
      <c r="G3216" t="s">
        <v>32613</v>
      </c>
      <c r="H3216" t="s">
        <v>14201</v>
      </c>
      <c r="I3216" t="s">
        <v>32640</v>
      </c>
      <c r="J3216" t="s">
        <v>34979</v>
      </c>
      <c r="K3216" t="s">
        <v>42694</v>
      </c>
      <c r="M3216" t="s">
        <v>43624</v>
      </c>
      <c r="N3216" t="s">
        <v>47304</v>
      </c>
      <c r="O3216" t="s">
        <v>47305</v>
      </c>
      <c r="P3216">
        <v>0</v>
      </c>
      <c r="Q3216">
        <v>1</v>
      </c>
      <c r="R3216" t="s">
        <v>47306</v>
      </c>
      <c r="S3216" t="s">
        <v>47414</v>
      </c>
      <c r="T3216" t="s">
        <v>49153</v>
      </c>
      <c r="U3216" t="s">
        <v>52334</v>
      </c>
      <c r="V3216" t="s">
        <v>62987</v>
      </c>
      <c r="W3216" t="s">
        <v>43624</v>
      </c>
      <c r="X3216" t="s">
        <v>47308</v>
      </c>
    </row>
    <row r="3217" spans="1:24">
      <c r="A3217">
        <f>HYPERLINK("https://www.philgeps.gov.ph/GEPSNONPILOT/Tender/SplashBidNoticeAbstractUI.aspx?menuIndex=3&amp;refID=7195442&amp;Result=3","7195442")</f>
        <v>0</v>
      </c>
      <c r="B3217" t="s">
        <v>1332</v>
      </c>
      <c r="C3217" t="s">
        <v>6925</v>
      </c>
      <c r="D3217" t="s">
        <v>19012</v>
      </c>
      <c r="E3217" t="s">
        <v>20242</v>
      </c>
      <c r="F3217" t="s">
        <v>32606</v>
      </c>
      <c r="G3217" t="s">
        <v>32613</v>
      </c>
      <c r="H3217" t="s">
        <v>32624</v>
      </c>
      <c r="I3217" t="s">
        <v>7064</v>
      </c>
      <c r="J3217" t="s">
        <v>32784</v>
      </c>
      <c r="K3217" t="s">
        <v>42631</v>
      </c>
      <c r="L3217" t="s">
        <v>1332</v>
      </c>
      <c r="M3217" t="s">
        <v>44306</v>
      </c>
      <c r="N3217" t="s">
        <v>47304</v>
      </c>
      <c r="O3217" t="s">
        <v>47305</v>
      </c>
      <c r="P3217">
        <v>0</v>
      </c>
      <c r="Q3217">
        <v>0</v>
      </c>
      <c r="R3217" t="s">
        <v>47306</v>
      </c>
      <c r="S3217" t="s">
        <v>47414</v>
      </c>
      <c r="T3217" t="s">
        <v>49016</v>
      </c>
      <c r="U3217" t="s">
        <v>52335</v>
      </c>
      <c r="W3217" t="s">
        <v>44306</v>
      </c>
      <c r="X3217" t="s">
        <v>47308</v>
      </c>
    </row>
    <row r="3218" spans="1:24">
      <c r="A3218">
        <f>HYPERLINK("https://www.philgeps.gov.ph/GEPSNONPILOT/Tender/SplashBidNoticeAbstractUI.aspx?menuIndex=3&amp;refID=7195408&amp;Result=3","7195408")</f>
        <v>0</v>
      </c>
      <c r="B3218" t="s">
        <v>1318</v>
      </c>
      <c r="C3218" t="s">
        <v>4084</v>
      </c>
      <c r="D3218" t="s">
        <v>19058</v>
      </c>
      <c r="E3218" t="s">
        <v>21999</v>
      </c>
      <c r="F3218" t="s">
        <v>32606</v>
      </c>
      <c r="G3218" t="s">
        <v>32613</v>
      </c>
      <c r="H3218" t="s">
        <v>32623</v>
      </c>
      <c r="I3218" t="s">
        <v>17648</v>
      </c>
      <c r="J3218" t="s">
        <v>32789</v>
      </c>
      <c r="K3218" t="s">
        <v>42624</v>
      </c>
      <c r="M3218" t="s">
        <v>44292</v>
      </c>
      <c r="N3218" t="s">
        <v>47304</v>
      </c>
      <c r="O3218" t="s">
        <v>47305</v>
      </c>
      <c r="P3218">
        <v>0</v>
      </c>
      <c r="Q3218">
        <v>0</v>
      </c>
      <c r="R3218" t="s">
        <v>47306</v>
      </c>
      <c r="S3218" t="s">
        <v>47414</v>
      </c>
      <c r="T3218" t="s">
        <v>48987</v>
      </c>
      <c r="U3218" t="s">
        <v>52336</v>
      </c>
      <c r="W3218" t="s">
        <v>44292</v>
      </c>
      <c r="X3218" t="s">
        <v>47308</v>
      </c>
    </row>
    <row r="3219" spans="1:24">
      <c r="A3219">
        <f>HYPERLINK("https://www.philgeps.gov.ph/GEPSNONPILOT/Tender/SplashBidNoticeAbstractUI.aspx?menuIndex=3&amp;refID=7195432&amp;Result=3","7195432")</f>
        <v>0</v>
      </c>
      <c r="B3219" t="s">
        <v>1333</v>
      </c>
      <c r="C3219" t="s">
        <v>6926</v>
      </c>
      <c r="D3219" t="s">
        <v>19005</v>
      </c>
      <c r="E3219" t="s">
        <v>21908</v>
      </c>
      <c r="F3219" t="s">
        <v>32606</v>
      </c>
      <c r="G3219" t="s">
        <v>32614</v>
      </c>
      <c r="H3219" t="s">
        <v>14201</v>
      </c>
      <c r="I3219" t="s">
        <v>4121</v>
      </c>
      <c r="J3219" t="s">
        <v>34980</v>
      </c>
      <c r="K3219" t="s">
        <v>42632</v>
      </c>
      <c r="M3219" t="s">
        <v>44307</v>
      </c>
      <c r="N3219" t="s">
        <v>47304</v>
      </c>
      <c r="O3219" t="s">
        <v>47305</v>
      </c>
      <c r="P3219">
        <v>0</v>
      </c>
      <c r="Q3219">
        <v>0</v>
      </c>
      <c r="R3219" t="s">
        <v>47306</v>
      </c>
      <c r="S3219" t="s">
        <v>47414</v>
      </c>
      <c r="T3219" t="s">
        <v>49087</v>
      </c>
      <c r="U3219" t="s">
        <v>52337</v>
      </c>
      <c r="W3219" t="s">
        <v>44307</v>
      </c>
      <c r="X3219" t="s">
        <v>47308</v>
      </c>
    </row>
    <row r="3220" spans="1:24">
      <c r="A3220">
        <f>HYPERLINK("https://www.philgeps.gov.ph/GEPSNONPILOT/Tender/SplashBidNoticeAbstractUI.aspx?menuIndex=3&amp;refID=7195441&amp;Result=3","7195441")</f>
        <v>0</v>
      </c>
      <c r="B3220" t="s">
        <v>729</v>
      </c>
      <c r="C3220" t="s">
        <v>6927</v>
      </c>
      <c r="D3220" t="s">
        <v>19007</v>
      </c>
      <c r="E3220" t="s">
        <v>22000</v>
      </c>
      <c r="F3220" t="s">
        <v>32606</v>
      </c>
      <c r="G3220" t="s">
        <v>32614</v>
      </c>
      <c r="H3220" t="s">
        <v>14201</v>
      </c>
      <c r="I3220" t="s">
        <v>7233</v>
      </c>
      <c r="J3220" t="s">
        <v>34981</v>
      </c>
      <c r="K3220" t="s">
        <v>42624</v>
      </c>
      <c r="M3220" t="s">
        <v>43660</v>
      </c>
      <c r="N3220" t="s">
        <v>47304</v>
      </c>
      <c r="O3220" t="s">
        <v>47305</v>
      </c>
      <c r="P3220">
        <v>0</v>
      </c>
      <c r="Q3220">
        <v>0</v>
      </c>
      <c r="R3220" t="s">
        <v>47306</v>
      </c>
      <c r="S3220" t="s">
        <v>47414</v>
      </c>
      <c r="T3220" t="s">
        <v>48979</v>
      </c>
      <c r="U3220" t="s">
        <v>52338</v>
      </c>
      <c r="W3220" t="s">
        <v>43660</v>
      </c>
      <c r="X3220" t="s">
        <v>47308</v>
      </c>
    </row>
    <row r="3221" spans="1:24">
      <c r="A3221">
        <f>HYPERLINK("https://www.philgeps.gov.ph/GEPSNONPILOT/Tender/SplashBidNoticeAbstractUI.aspx?menuIndex=3&amp;refID=7195448&amp;Result=3","7195448")</f>
        <v>0</v>
      </c>
      <c r="B3221" t="s">
        <v>1334</v>
      </c>
      <c r="C3221" t="s">
        <v>6928</v>
      </c>
      <c r="D3221" t="s">
        <v>18995</v>
      </c>
      <c r="E3221" t="s">
        <v>22001</v>
      </c>
      <c r="F3221" t="s">
        <v>32606</v>
      </c>
      <c r="G3221" t="s">
        <v>32617</v>
      </c>
      <c r="H3221" t="s">
        <v>14201</v>
      </c>
      <c r="I3221" t="s">
        <v>4120</v>
      </c>
      <c r="J3221" t="s">
        <v>34982</v>
      </c>
      <c r="K3221" t="s">
        <v>42627</v>
      </c>
      <c r="M3221" t="s">
        <v>44308</v>
      </c>
      <c r="N3221" t="s">
        <v>47304</v>
      </c>
      <c r="O3221" t="s">
        <v>47305</v>
      </c>
      <c r="P3221">
        <v>0</v>
      </c>
      <c r="Q3221">
        <v>3</v>
      </c>
      <c r="R3221" t="s">
        <v>47306</v>
      </c>
      <c r="S3221" t="s">
        <v>47414</v>
      </c>
      <c r="T3221" t="s">
        <v>49019</v>
      </c>
      <c r="U3221" t="s">
        <v>52339</v>
      </c>
      <c r="W3221" t="s">
        <v>44308</v>
      </c>
      <c r="X3221" t="s">
        <v>47308</v>
      </c>
    </row>
    <row r="3222" spans="1:24">
      <c r="A3222">
        <f>HYPERLINK("https://www.philgeps.gov.ph/GEPSNONPILOT/Tender/SplashBidNoticeAbstractUI.aspx?menuIndex=3&amp;refID=7195475&amp;Result=3","7195475")</f>
        <v>0</v>
      </c>
      <c r="B3222" t="s">
        <v>1335</v>
      </c>
      <c r="C3222" t="s">
        <v>6929</v>
      </c>
      <c r="D3222" t="s">
        <v>19007</v>
      </c>
      <c r="E3222" t="s">
        <v>20122</v>
      </c>
      <c r="F3222" t="s">
        <v>32606</v>
      </c>
      <c r="G3222" t="s">
        <v>32613</v>
      </c>
      <c r="H3222" t="s">
        <v>14201</v>
      </c>
      <c r="I3222" t="s">
        <v>4678</v>
      </c>
      <c r="J3222" t="s">
        <v>33034</v>
      </c>
      <c r="K3222" t="s">
        <v>42623</v>
      </c>
      <c r="M3222" t="s">
        <v>44309</v>
      </c>
      <c r="N3222" t="s">
        <v>47304</v>
      </c>
      <c r="O3222" t="s">
        <v>47305</v>
      </c>
      <c r="P3222">
        <v>0</v>
      </c>
      <c r="Q3222">
        <v>0</v>
      </c>
      <c r="R3222" t="s">
        <v>47306</v>
      </c>
      <c r="S3222" t="s">
        <v>47414</v>
      </c>
      <c r="T3222" t="s">
        <v>48976</v>
      </c>
      <c r="U3222" t="s">
        <v>52340</v>
      </c>
      <c r="W3222" t="s">
        <v>44309</v>
      </c>
      <c r="X3222" t="s">
        <v>47308</v>
      </c>
    </row>
    <row r="3223" spans="1:24">
      <c r="A3223">
        <f>HYPERLINK("https://www.philgeps.gov.ph/GEPSNONPILOT/Tender/SplashBidNoticeAbstractUI.aspx?menuIndex=3&amp;refID=7195474&amp;Result=3","7195474")</f>
        <v>0</v>
      </c>
      <c r="B3223" t="s">
        <v>1336</v>
      </c>
      <c r="C3223" t="s">
        <v>6930</v>
      </c>
      <c r="D3223" t="s">
        <v>19039</v>
      </c>
      <c r="E3223" t="s">
        <v>22002</v>
      </c>
      <c r="F3223" t="s">
        <v>32606</v>
      </c>
      <c r="G3223" t="s">
        <v>32614</v>
      </c>
      <c r="H3223" t="s">
        <v>14201</v>
      </c>
      <c r="I3223" t="s">
        <v>4120</v>
      </c>
      <c r="J3223" t="s">
        <v>32949</v>
      </c>
      <c r="K3223" t="s">
        <v>42625</v>
      </c>
      <c r="M3223" t="s">
        <v>44310</v>
      </c>
      <c r="N3223" t="s">
        <v>47304</v>
      </c>
      <c r="O3223" t="s">
        <v>47305</v>
      </c>
      <c r="P3223">
        <v>0</v>
      </c>
      <c r="Q3223">
        <v>0</v>
      </c>
      <c r="R3223" t="s">
        <v>47306</v>
      </c>
      <c r="S3223" t="s">
        <v>47414</v>
      </c>
      <c r="T3223" t="s">
        <v>48980</v>
      </c>
      <c r="U3223" t="s">
        <v>52341</v>
      </c>
      <c r="W3223" t="s">
        <v>44310</v>
      </c>
      <c r="X3223" t="s">
        <v>47308</v>
      </c>
    </row>
    <row r="3224" spans="1:24">
      <c r="A3224">
        <f>HYPERLINK("https://www.philgeps.gov.ph/GEPSNONPILOT/Tender/SplashBidNoticeAbstractUI.aspx?menuIndex=3&amp;refID=7195472&amp;Result=3","7195472")</f>
        <v>0</v>
      </c>
      <c r="B3224" t="s">
        <v>337</v>
      </c>
      <c r="C3224" t="s">
        <v>6931</v>
      </c>
      <c r="D3224" t="s">
        <v>19039</v>
      </c>
      <c r="E3224" t="s">
        <v>22003</v>
      </c>
      <c r="F3224" t="s">
        <v>32606</v>
      </c>
      <c r="G3224" t="s">
        <v>32619</v>
      </c>
      <c r="H3224" t="s">
        <v>14201</v>
      </c>
      <c r="I3224" t="s">
        <v>6931</v>
      </c>
      <c r="J3224" t="s">
        <v>32951</v>
      </c>
      <c r="K3224" t="s">
        <v>42622</v>
      </c>
      <c r="M3224" t="s">
        <v>43239</v>
      </c>
      <c r="N3224" t="s">
        <v>47304</v>
      </c>
      <c r="O3224" t="s">
        <v>47305</v>
      </c>
      <c r="P3224">
        <v>0</v>
      </c>
      <c r="Q3224">
        <v>0</v>
      </c>
      <c r="R3224" t="s">
        <v>47306</v>
      </c>
      <c r="S3224" t="s">
        <v>47414</v>
      </c>
      <c r="T3224" t="s">
        <v>48980</v>
      </c>
      <c r="U3224" t="s">
        <v>52342</v>
      </c>
      <c r="W3224" t="s">
        <v>43239</v>
      </c>
      <c r="X3224" t="s">
        <v>47308</v>
      </c>
    </row>
    <row r="3225" spans="1:24">
      <c r="A3225">
        <f>HYPERLINK("https://www.philgeps.gov.ph/GEPSNONPILOT/Tender/SplashBidNoticeAbstractUI.aspx?menuIndex=3&amp;refID=7195470&amp;Result=3","7195470")</f>
        <v>0</v>
      </c>
      <c r="B3225" t="s">
        <v>360</v>
      </c>
      <c r="C3225" t="s">
        <v>6932</v>
      </c>
      <c r="D3225" t="s">
        <v>19040</v>
      </c>
      <c r="E3225" t="s">
        <v>22004</v>
      </c>
      <c r="F3225" t="s">
        <v>32606</v>
      </c>
      <c r="G3225" t="s">
        <v>32614</v>
      </c>
      <c r="H3225" t="s">
        <v>14201</v>
      </c>
      <c r="I3225" t="s">
        <v>4120</v>
      </c>
      <c r="J3225" t="s">
        <v>34983</v>
      </c>
      <c r="K3225" t="s">
        <v>42630</v>
      </c>
      <c r="M3225" t="s">
        <v>43262</v>
      </c>
      <c r="N3225" t="s">
        <v>47304</v>
      </c>
      <c r="O3225" t="s">
        <v>47305</v>
      </c>
      <c r="P3225">
        <v>0</v>
      </c>
      <c r="Q3225">
        <v>2</v>
      </c>
      <c r="R3225" t="s">
        <v>47306</v>
      </c>
      <c r="S3225" t="s">
        <v>47414</v>
      </c>
      <c r="T3225" t="s">
        <v>49050</v>
      </c>
      <c r="U3225" t="s">
        <v>50184</v>
      </c>
      <c r="W3225" t="s">
        <v>43262</v>
      </c>
      <c r="X3225" t="s">
        <v>47308</v>
      </c>
    </row>
    <row r="3226" spans="1:24">
      <c r="A3226">
        <f>HYPERLINK("https://www.philgeps.gov.ph/GEPSNONPILOT/Tender/SplashBidNoticeAbstractUI.aspx?menuIndex=3&amp;refID=7195469&amp;Result=3","7195469")</f>
        <v>0</v>
      </c>
      <c r="B3226" t="s">
        <v>81</v>
      </c>
      <c r="C3226" t="s">
        <v>6933</v>
      </c>
      <c r="D3226" t="s">
        <v>18995</v>
      </c>
      <c r="E3226" t="s">
        <v>22005</v>
      </c>
      <c r="F3226" t="s">
        <v>32606</v>
      </c>
      <c r="G3226" t="s">
        <v>32614</v>
      </c>
      <c r="H3226" t="s">
        <v>14201</v>
      </c>
      <c r="I3226" t="s">
        <v>32634</v>
      </c>
      <c r="J3226" t="s">
        <v>33848</v>
      </c>
      <c r="K3226" t="s">
        <v>42624</v>
      </c>
      <c r="M3226" t="s">
        <v>42978</v>
      </c>
      <c r="N3226" t="s">
        <v>47304</v>
      </c>
      <c r="O3226" t="s">
        <v>47305</v>
      </c>
      <c r="P3226">
        <v>0</v>
      </c>
      <c r="Q3226">
        <v>1</v>
      </c>
      <c r="R3226" t="s">
        <v>47306</v>
      </c>
      <c r="S3226" t="s">
        <v>47414</v>
      </c>
      <c r="T3226" t="s">
        <v>49014</v>
      </c>
      <c r="U3226" t="s">
        <v>52343</v>
      </c>
      <c r="W3226" t="s">
        <v>42978</v>
      </c>
      <c r="X3226" t="s">
        <v>47308</v>
      </c>
    </row>
    <row r="3227" spans="1:24">
      <c r="A3227">
        <f>HYPERLINK("https://www.philgeps.gov.ph/GEPSNONPILOT/Tender/SplashBidNoticeAbstractUI.aspx?menuIndex=3&amp;refID=7195467&amp;Result=3","7195467")</f>
        <v>0</v>
      </c>
      <c r="B3227" t="s">
        <v>895</v>
      </c>
      <c r="C3227" t="s">
        <v>6934</v>
      </c>
      <c r="D3227" t="s">
        <v>18993</v>
      </c>
      <c r="E3227" t="s">
        <v>22006</v>
      </c>
      <c r="F3227" t="s">
        <v>32606</v>
      </c>
      <c r="G3227" t="s">
        <v>32619</v>
      </c>
      <c r="H3227" t="s">
        <v>14201</v>
      </c>
      <c r="I3227" t="s">
        <v>7577</v>
      </c>
      <c r="J3227" t="s">
        <v>34984</v>
      </c>
      <c r="K3227" t="s">
        <v>42624</v>
      </c>
      <c r="M3227" t="s">
        <v>43831</v>
      </c>
      <c r="N3227" t="s">
        <v>47304</v>
      </c>
      <c r="O3227" t="s">
        <v>47305</v>
      </c>
      <c r="P3227">
        <v>0</v>
      </c>
      <c r="Q3227">
        <v>6</v>
      </c>
      <c r="R3227" t="s">
        <v>47306</v>
      </c>
      <c r="S3227" t="s">
        <v>47414</v>
      </c>
      <c r="T3227" t="s">
        <v>49014</v>
      </c>
      <c r="U3227" t="s">
        <v>52344</v>
      </c>
      <c r="W3227" t="s">
        <v>43831</v>
      </c>
      <c r="X3227" t="s">
        <v>47308</v>
      </c>
    </row>
    <row r="3228" spans="1:24">
      <c r="A3228">
        <f>HYPERLINK("https://www.philgeps.gov.ph/GEPSNONPILOT/Tender/SplashBidNoticeAbstractUI.aspx?menuIndex=3&amp;refID=7195452&amp;Result=3","7195452")</f>
        <v>0</v>
      </c>
      <c r="B3228" t="s">
        <v>1308</v>
      </c>
      <c r="C3228" t="s">
        <v>6891</v>
      </c>
      <c r="D3228" t="s">
        <v>18990</v>
      </c>
      <c r="E3228" t="s">
        <v>22007</v>
      </c>
      <c r="F3228" t="s">
        <v>32606</v>
      </c>
      <c r="G3228" t="s">
        <v>32614</v>
      </c>
      <c r="H3228" t="s">
        <v>14201</v>
      </c>
      <c r="I3228" t="s">
        <v>6993</v>
      </c>
      <c r="J3228" t="s">
        <v>34985</v>
      </c>
      <c r="K3228" t="s">
        <v>42622</v>
      </c>
      <c r="M3228" t="s">
        <v>44282</v>
      </c>
      <c r="N3228" t="s">
        <v>47304</v>
      </c>
      <c r="O3228" t="s">
        <v>47305</v>
      </c>
      <c r="P3228">
        <v>0</v>
      </c>
      <c r="Q3228">
        <v>2</v>
      </c>
      <c r="R3228" t="s">
        <v>47306</v>
      </c>
      <c r="S3228" t="s">
        <v>47414</v>
      </c>
      <c r="T3228" t="s">
        <v>48980</v>
      </c>
      <c r="U3228" t="s">
        <v>52276</v>
      </c>
      <c r="W3228" t="s">
        <v>44282</v>
      </c>
      <c r="X3228" t="s">
        <v>47308</v>
      </c>
    </row>
    <row r="3229" spans="1:24">
      <c r="A3229">
        <f>HYPERLINK("https://www.philgeps.gov.ph/GEPSNONPILOT/Tender/SplashBidNoticeAbstractUI.aspx?menuIndex=3&amp;refID=7195464&amp;Result=3","7195464")</f>
        <v>0</v>
      </c>
      <c r="B3229" t="s">
        <v>1308</v>
      </c>
      <c r="C3229" t="s">
        <v>6891</v>
      </c>
      <c r="D3229" t="s">
        <v>18990</v>
      </c>
      <c r="E3229" t="s">
        <v>22008</v>
      </c>
      <c r="F3229" t="s">
        <v>32606</v>
      </c>
      <c r="G3229" t="s">
        <v>32614</v>
      </c>
      <c r="H3229" t="s">
        <v>14201</v>
      </c>
      <c r="I3229" t="s">
        <v>6993</v>
      </c>
      <c r="J3229" t="s">
        <v>34986</v>
      </c>
      <c r="K3229" t="s">
        <v>42622</v>
      </c>
      <c r="M3229" t="s">
        <v>44282</v>
      </c>
      <c r="N3229" t="s">
        <v>47304</v>
      </c>
      <c r="O3229" t="s">
        <v>47305</v>
      </c>
      <c r="P3229">
        <v>0</v>
      </c>
      <c r="Q3229">
        <v>0</v>
      </c>
      <c r="R3229" t="s">
        <v>47306</v>
      </c>
      <c r="S3229" t="s">
        <v>47414</v>
      </c>
      <c r="T3229" t="s">
        <v>48980</v>
      </c>
      <c r="U3229" t="s">
        <v>52276</v>
      </c>
      <c r="W3229" t="s">
        <v>44282</v>
      </c>
      <c r="X3229" t="s">
        <v>47308</v>
      </c>
    </row>
    <row r="3230" spans="1:24">
      <c r="A3230">
        <f>HYPERLINK("https://www.philgeps.gov.ph/GEPSNONPILOT/Tender/SplashBidNoticeAbstractUI.aspx?menuIndex=3&amp;refID=7195445&amp;Result=3","7195445")</f>
        <v>0</v>
      </c>
      <c r="B3230" t="s">
        <v>1337</v>
      </c>
      <c r="C3230" t="s">
        <v>6935</v>
      </c>
      <c r="E3230" t="s">
        <v>22009</v>
      </c>
      <c r="F3230" t="s">
        <v>32606</v>
      </c>
      <c r="G3230" t="s">
        <v>32613</v>
      </c>
      <c r="H3230" t="s">
        <v>32623</v>
      </c>
      <c r="I3230" t="s">
        <v>17648</v>
      </c>
      <c r="J3230" t="s">
        <v>34987</v>
      </c>
      <c r="K3230" t="s">
        <v>42624</v>
      </c>
      <c r="M3230" t="s">
        <v>44311</v>
      </c>
      <c r="N3230" t="s">
        <v>47304</v>
      </c>
      <c r="O3230" t="s">
        <v>47305</v>
      </c>
      <c r="P3230">
        <v>0</v>
      </c>
      <c r="Q3230">
        <v>0</v>
      </c>
      <c r="R3230" t="s">
        <v>47306</v>
      </c>
      <c r="S3230" t="s">
        <v>47414</v>
      </c>
      <c r="T3230" t="s">
        <v>48986</v>
      </c>
      <c r="U3230" t="s">
        <v>52345</v>
      </c>
      <c r="W3230" t="s">
        <v>44311</v>
      </c>
      <c r="X3230" t="s">
        <v>47308</v>
      </c>
    </row>
    <row r="3231" spans="1:24">
      <c r="A3231">
        <f>HYPERLINK("https://www.philgeps.gov.ph/GEPSNONPILOT/Tender/SplashBidNoticeAbstractUI.aspx?menuIndex=3&amp;refID=7195462&amp;Result=3","7195462")</f>
        <v>0</v>
      </c>
      <c r="B3231" t="s">
        <v>1338</v>
      </c>
      <c r="C3231" t="s">
        <v>6936</v>
      </c>
      <c r="D3231" t="s">
        <v>19006</v>
      </c>
      <c r="E3231" t="s">
        <v>22010</v>
      </c>
      <c r="F3231" t="s">
        <v>32606</v>
      </c>
      <c r="G3231" t="s">
        <v>32614</v>
      </c>
      <c r="H3231" t="s">
        <v>14201</v>
      </c>
      <c r="I3231" t="s">
        <v>6993</v>
      </c>
      <c r="J3231" t="s">
        <v>33897</v>
      </c>
      <c r="K3231" t="s">
        <v>42630</v>
      </c>
      <c r="M3231" t="s">
        <v>44312</v>
      </c>
      <c r="N3231" t="s">
        <v>47304</v>
      </c>
      <c r="O3231" t="s">
        <v>47305</v>
      </c>
      <c r="P3231">
        <v>0</v>
      </c>
      <c r="Q3231">
        <v>1</v>
      </c>
      <c r="R3231" t="s">
        <v>47306</v>
      </c>
      <c r="S3231" t="s">
        <v>47414</v>
      </c>
      <c r="T3231" t="s">
        <v>49023</v>
      </c>
      <c r="U3231" t="s">
        <v>52346</v>
      </c>
      <c r="W3231" t="s">
        <v>44312</v>
      </c>
      <c r="X3231" t="s">
        <v>47308</v>
      </c>
    </row>
    <row r="3232" spans="1:24">
      <c r="A3232">
        <f>HYPERLINK("https://www.philgeps.gov.ph/GEPSNONPILOT/Tender/SplashBidNoticeAbstractUI.aspx?menuIndex=3&amp;refID=7195461&amp;Result=3","7195461")</f>
        <v>0</v>
      </c>
      <c r="B3232" t="s">
        <v>1339</v>
      </c>
      <c r="C3232" t="s">
        <v>6937</v>
      </c>
      <c r="D3232" t="s">
        <v>19032</v>
      </c>
      <c r="E3232" t="s">
        <v>19358</v>
      </c>
      <c r="F3232" t="s">
        <v>32606</v>
      </c>
      <c r="G3232" t="s">
        <v>32613</v>
      </c>
      <c r="H3232" t="s">
        <v>32623</v>
      </c>
      <c r="I3232" t="s">
        <v>17648</v>
      </c>
      <c r="J3232" t="s">
        <v>34988</v>
      </c>
      <c r="K3232" t="s">
        <v>42627</v>
      </c>
      <c r="M3232" t="s">
        <v>44313</v>
      </c>
      <c r="N3232" t="s">
        <v>47304</v>
      </c>
      <c r="O3232" t="s">
        <v>47305</v>
      </c>
      <c r="P3232">
        <v>0</v>
      </c>
      <c r="Q3232">
        <v>0</v>
      </c>
      <c r="R3232" t="s">
        <v>47306</v>
      </c>
      <c r="S3232" t="s">
        <v>47414</v>
      </c>
      <c r="T3232" t="s">
        <v>48976</v>
      </c>
      <c r="U3232" t="s">
        <v>52347</v>
      </c>
      <c r="W3232" t="s">
        <v>44313</v>
      </c>
      <c r="X3232" t="s">
        <v>47308</v>
      </c>
    </row>
    <row r="3233" spans="1:24">
      <c r="A3233">
        <f>HYPERLINK("https://www.philgeps.gov.ph/GEPSNONPILOT/Tender/SplashBidNoticeAbstractUI.aspx?menuIndex=3&amp;refID=7195458&amp;Result=3","7195458")</f>
        <v>0</v>
      </c>
      <c r="B3233" t="s">
        <v>729</v>
      </c>
      <c r="C3233" t="s">
        <v>6938</v>
      </c>
      <c r="D3233" t="s">
        <v>19007</v>
      </c>
      <c r="E3233" t="s">
        <v>22011</v>
      </c>
      <c r="F3233" t="s">
        <v>32606</v>
      </c>
      <c r="G3233" t="s">
        <v>32619</v>
      </c>
      <c r="H3233" t="s">
        <v>14201</v>
      </c>
      <c r="I3233" t="s">
        <v>4114</v>
      </c>
      <c r="J3233" t="s">
        <v>34989</v>
      </c>
      <c r="K3233" t="s">
        <v>42624</v>
      </c>
      <c r="M3233" t="s">
        <v>43660</v>
      </c>
      <c r="N3233" t="s">
        <v>47304</v>
      </c>
      <c r="O3233" t="s">
        <v>47305</v>
      </c>
      <c r="P3233">
        <v>0</v>
      </c>
      <c r="Q3233">
        <v>1</v>
      </c>
      <c r="R3233" t="s">
        <v>47306</v>
      </c>
      <c r="S3233" t="s">
        <v>47414</v>
      </c>
      <c r="T3233" t="s">
        <v>48979</v>
      </c>
      <c r="U3233" t="s">
        <v>52348</v>
      </c>
      <c r="W3233" t="s">
        <v>43660</v>
      </c>
      <c r="X3233" t="s">
        <v>47308</v>
      </c>
    </row>
    <row r="3234" spans="1:24">
      <c r="A3234">
        <f>HYPERLINK("https://www.philgeps.gov.ph/GEPSNONPILOT/Tender/SplashBidNoticeAbstractUI.aspx?menuIndex=3&amp;refID=7195468&amp;Result=3","7195468")</f>
        <v>0</v>
      </c>
      <c r="B3234" t="s">
        <v>1328</v>
      </c>
      <c r="C3234" t="s">
        <v>6939</v>
      </c>
      <c r="E3234" t="s">
        <v>22012</v>
      </c>
      <c r="F3234" t="s">
        <v>32606</v>
      </c>
      <c r="G3234" t="s">
        <v>32619</v>
      </c>
      <c r="H3234" t="s">
        <v>14201</v>
      </c>
      <c r="I3234" t="s">
        <v>4112</v>
      </c>
      <c r="J3234" t="s">
        <v>34990</v>
      </c>
      <c r="K3234" t="s">
        <v>42630</v>
      </c>
      <c r="M3234" t="s">
        <v>44302</v>
      </c>
      <c r="N3234" t="s">
        <v>47304</v>
      </c>
      <c r="O3234" t="s">
        <v>47305</v>
      </c>
      <c r="P3234">
        <v>0</v>
      </c>
      <c r="Q3234">
        <v>0</v>
      </c>
      <c r="R3234" t="s">
        <v>47306</v>
      </c>
      <c r="S3234" t="s">
        <v>47414</v>
      </c>
      <c r="T3234" t="s">
        <v>49012</v>
      </c>
      <c r="U3234" t="s">
        <v>52349</v>
      </c>
      <c r="W3234" t="s">
        <v>44302</v>
      </c>
      <c r="X3234" t="s">
        <v>47308</v>
      </c>
    </row>
    <row r="3235" spans="1:24">
      <c r="A3235">
        <f>HYPERLINK("https://www.philgeps.gov.ph/GEPSNONPILOT/Tender/SplashBidNoticeAbstractUI.aspx?menuIndex=3&amp;refID=7195466&amp;Result=3","7195466")</f>
        <v>0</v>
      </c>
      <c r="B3235" t="s">
        <v>1340</v>
      </c>
      <c r="C3235" t="s">
        <v>6940</v>
      </c>
      <c r="D3235" t="s">
        <v>19048</v>
      </c>
      <c r="E3235" t="s">
        <v>22013</v>
      </c>
      <c r="F3235" t="s">
        <v>32606</v>
      </c>
      <c r="G3235" t="s">
        <v>32613</v>
      </c>
      <c r="H3235" t="s">
        <v>14201</v>
      </c>
      <c r="I3235" t="s">
        <v>32633</v>
      </c>
      <c r="J3235" t="s">
        <v>34991</v>
      </c>
      <c r="K3235" t="s">
        <v>42631</v>
      </c>
      <c r="M3235" t="s">
        <v>44314</v>
      </c>
      <c r="N3235" t="s">
        <v>47304</v>
      </c>
      <c r="O3235" t="s">
        <v>47305</v>
      </c>
      <c r="P3235">
        <v>0</v>
      </c>
      <c r="Q3235">
        <v>3</v>
      </c>
      <c r="R3235" t="s">
        <v>47306</v>
      </c>
      <c r="S3235" t="s">
        <v>47414</v>
      </c>
      <c r="T3235" t="s">
        <v>48988</v>
      </c>
      <c r="U3235" t="s">
        <v>52350</v>
      </c>
      <c r="W3235" t="s">
        <v>44314</v>
      </c>
      <c r="X3235" t="s">
        <v>47308</v>
      </c>
    </row>
    <row r="3236" spans="1:24">
      <c r="A3236">
        <f>HYPERLINK("https://www.philgeps.gov.ph/GEPSNONPILOT/Tender/SplashBidNoticeAbstractUI.aspx?menuIndex=3&amp;refID=7195414&amp;Result=3","7195414")</f>
        <v>0</v>
      </c>
      <c r="B3236" t="s">
        <v>684</v>
      </c>
      <c r="C3236" t="s">
        <v>6941</v>
      </c>
      <c r="D3236" t="s">
        <v>19012</v>
      </c>
      <c r="E3236" t="s">
        <v>22014</v>
      </c>
      <c r="F3236" t="s">
        <v>32606</v>
      </c>
      <c r="G3236" t="s">
        <v>32614</v>
      </c>
      <c r="H3236" t="s">
        <v>14201</v>
      </c>
      <c r="I3236" t="s">
        <v>32638</v>
      </c>
      <c r="J3236" t="s">
        <v>34992</v>
      </c>
      <c r="K3236" t="s">
        <v>42622</v>
      </c>
      <c r="L3236" t="s">
        <v>684</v>
      </c>
      <c r="M3236" t="s">
        <v>43605</v>
      </c>
      <c r="N3236" t="s">
        <v>47304</v>
      </c>
      <c r="O3236" t="s">
        <v>47305</v>
      </c>
      <c r="P3236">
        <v>0</v>
      </c>
      <c r="Q3236">
        <v>9</v>
      </c>
      <c r="R3236" t="s">
        <v>47306</v>
      </c>
      <c r="S3236" t="s">
        <v>47414</v>
      </c>
      <c r="T3236" t="s">
        <v>48997</v>
      </c>
      <c r="U3236" t="s">
        <v>52351</v>
      </c>
      <c r="V3236" t="s">
        <v>62802</v>
      </c>
      <c r="W3236" t="s">
        <v>43605</v>
      </c>
      <c r="X3236" t="s">
        <v>47308</v>
      </c>
    </row>
    <row r="3237" spans="1:24">
      <c r="A3237">
        <f>HYPERLINK("https://www.philgeps.gov.ph/GEPSNONPILOT/Tender/SplashBidNoticeAbstractUI.aspx?menuIndex=3&amp;refID=7195476&amp;Result=3","7195476")</f>
        <v>0</v>
      </c>
      <c r="B3237" t="s">
        <v>1341</v>
      </c>
      <c r="C3237" t="s">
        <v>6942</v>
      </c>
      <c r="D3237" t="s">
        <v>19007</v>
      </c>
      <c r="E3237" t="s">
        <v>22015</v>
      </c>
      <c r="F3237" t="s">
        <v>32606</v>
      </c>
      <c r="G3237" t="s">
        <v>32613</v>
      </c>
      <c r="H3237" t="s">
        <v>14201</v>
      </c>
      <c r="I3237" t="s">
        <v>17648</v>
      </c>
      <c r="J3237" t="s">
        <v>34993</v>
      </c>
      <c r="K3237" t="s">
        <v>42630</v>
      </c>
      <c r="M3237" t="s">
        <v>44315</v>
      </c>
      <c r="N3237" t="s">
        <v>47304</v>
      </c>
      <c r="O3237" t="s">
        <v>47305</v>
      </c>
      <c r="P3237">
        <v>0</v>
      </c>
      <c r="Q3237">
        <v>0</v>
      </c>
      <c r="R3237" t="s">
        <v>47306</v>
      </c>
      <c r="S3237" t="s">
        <v>47414</v>
      </c>
      <c r="T3237" t="s">
        <v>49002</v>
      </c>
      <c r="U3237" t="s">
        <v>52352</v>
      </c>
      <c r="W3237" t="s">
        <v>44315</v>
      </c>
      <c r="X3237" t="s">
        <v>47308</v>
      </c>
    </row>
    <row r="3238" spans="1:24">
      <c r="A3238">
        <f>HYPERLINK("https://www.philgeps.gov.ph/GEPSNONPILOT/Tender/SplashBidNoticeAbstractUI.aspx?menuIndex=3&amp;refID=7195465&amp;Result=3","7195465")</f>
        <v>0</v>
      </c>
      <c r="B3238" t="s">
        <v>692</v>
      </c>
      <c r="C3238" t="s">
        <v>6943</v>
      </c>
      <c r="D3238" t="s">
        <v>18992</v>
      </c>
      <c r="E3238" t="s">
        <v>20332</v>
      </c>
      <c r="F3238" t="s">
        <v>32606</v>
      </c>
      <c r="G3238" t="s">
        <v>32614</v>
      </c>
      <c r="H3238" t="s">
        <v>14201</v>
      </c>
      <c r="I3238" t="s">
        <v>6007</v>
      </c>
      <c r="J3238" t="s">
        <v>34994</v>
      </c>
      <c r="K3238" t="s">
        <v>42629</v>
      </c>
      <c r="M3238" t="s">
        <v>43613</v>
      </c>
      <c r="N3238" t="s">
        <v>47304</v>
      </c>
      <c r="O3238" t="s">
        <v>47305</v>
      </c>
      <c r="P3238">
        <v>0</v>
      </c>
      <c r="Q3238">
        <v>0</v>
      </c>
      <c r="R3238" t="s">
        <v>47306</v>
      </c>
      <c r="S3238" t="s">
        <v>47414</v>
      </c>
      <c r="T3238" t="s">
        <v>48980</v>
      </c>
      <c r="U3238" t="s">
        <v>52353</v>
      </c>
      <c r="W3238" t="s">
        <v>43613</v>
      </c>
      <c r="X3238" t="s">
        <v>47308</v>
      </c>
    </row>
    <row r="3239" spans="1:24">
      <c r="A3239">
        <f>HYPERLINK("https://www.philgeps.gov.ph/GEPSNONPILOT/Tender/SplashBidNoticeAbstractUI.aspx?menuIndex=3&amp;refID=7195499&amp;Result=3","7195499")</f>
        <v>0</v>
      </c>
      <c r="B3239" t="s">
        <v>1198</v>
      </c>
      <c r="C3239" t="s">
        <v>6944</v>
      </c>
      <c r="D3239" t="s">
        <v>19049</v>
      </c>
      <c r="E3239" t="s">
        <v>21642</v>
      </c>
      <c r="F3239" t="s">
        <v>32606</v>
      </c>
      <c r="G3239" t="s">
        <v>32613</v>
      </c>
      <c r="H3239" t="s">
        <v>32623</v>
      </c>
      <c r="I3239" t="s">
        <v>32649</v>
      </c>
      <c r="J3239" t="s">
        <v>34561</v>
      </c>
      <c r="K3239" t="s">
        <v>42645</v>
      </c>
      <c r="M3239" t="s">
        <v>44162</v>
      </c>
      <c r="N3239" t="s">
        <v>47304</v>
      </c>
      <c r="O3239" t="s">
        <v>47305</v>
      </c>
      <c r="P3239">
        <v>0</v>
      </c>
      <c r="Q3239">
        <v>2</v>
      </c>
      <c r="R3239" t="s">
        <v>47306</v>
      </c>
      <c r="S3239" t="s">
        <v>47414</v>
      </c>
      <c r="T3239" t="s">
        <v>49258</v>
      </c>
      <c r="U3239" t="s">
        <v>52354</v>
      </c>
      <c r="W3239" t="s">
        <v>44162</v>
      </c>
      <c r="X3239" t="s">
        <v>47308</v>
      </c>
    </row>
    <row r="3240" spans="1:24">
      <c r="A3240">
        <f>HYPERLINK("https://www.philgeps.gov.ph/GEPSNONPILOT/Tender/SplashBidNoticeAbstractUI.aspx?menuIndex=3&amp;refID=7195497&amp;Result=3","7195497")</f>
        <v>0</v>
      </c>
      <c r="B3240" t="s">
        <v>1342</v>
      </c>
      <c r="C3240" t="s">
        <v>6945</v>
      </c>
      <c r="D3240" t="s">
        <v>19009</v>
      </c>
      <c r="E3240" t="s">
        <v>22016</v>
      </c>
      <c r="F3240" t="s">
        <v>32606</v>
      </c>
      <c r="G3240" t="s">
        <v>32613</v>
      </c>
      <c r="H3240" t="s">
        <v>14201</v>
      </c>
      <c r="I3240" t="s">
        <v>6931</v>
      </c>
      <c r="J3240" t="s">
        <v>34995</v>
      </c>
      <c r="K3240" t="s">
        <v>42627</v>
      </c>
      <c r="M3240" t="s">
        <v>44316</v>
      </c>
      <c r="N3240" t="s">
        <v>47304</v>
      </c>
      <c r="O3240" t="s">
        <v>47305</v>
      </c>
      <c r="P3240">
        <v>0</v>
      </c>
      <c r="Q3240">
        <v>0</v>
      </c>
      <c r="R3240" t="s">
        <v>47306</v>
      </c>
      <c r="S3240" t="s">
        <v>47414</v>
      </c>
      <c r="T3240" t="s">
        <v>48996</v>
      </c>
      <c r="U3240" t="s">
        <v>52355</v>
      </c>
      <c r="W3240" t="s">
        <v>44316</v>
      </c>
      <c r="X3240" t="s">
        <v>47308</v>
      </c>
    </row>
    <row r="3241" spans="1:24">
      <c r="A3241">
        <f>HYPERLINK("https://www.philgeps.gov.ph/GEPSNONPILOT/Tender/SplashBidNoticeAbstractUI.aspx?menuIndex=3&amp;refID=7195435&amp;Result=3","7195435")</f>
        <v>0</v>
      </c>
      <c r="B3241" t="s">
        <v>1343</v>
      </c>
      <c r="C3241" t="s">
        <v>6946</v>
      </c>
      <c r="D3241" t="s">
        <v>19016</v>
      </c>
      <c r="E3241" t="s">
        <v>22017</v>
      </c>
      <c r="F3241" t="s">
        <v>32606</v>
      </c>
      <c r="G3241" t="s">
        <v>32614</v>
      </c>
      <c r="H3241" t="s">
        <v>14201</v>
      </c>
      <c r="I3241" t="s">
        <v>32658</v>
      </c>
      <c r="J3241" t="s">
        <v>34996</v>
      </c>
      <c r="K3241" t="s">
        <v>42623</v>
      </c>
      <c r="M3241" t="s">
        <v>44317</v>
      </c>
      <c r="N3241" t="s">
        <v>47304</v>
      </c>
      <c r="O3241" t="s">
        <v>47305</v>
      </c>
      <c r="P3241">
        <v>0</v>
      </c>
      <c r="Q3241">
        <v>3</v>
      </c>
      <c r="R3241" t="s">
        <v>47306</v>
      </c>
      <c r="S3241" t="s">
        <v>47414</v>
      </c>
      <c r="T3241" t="s">
        <v>48977</v>
      </c>
      <c r="U3241" t="s">
        <v>52356</v>
      </c>
      <c r="W3241" t="s">
        <v>44317</v>
      </c>
      <c r="X3241" t="s">
        <v>47308</v>
      </c>
    </row>
    <row r="3242" spans="1:24">
      <c r="A3242">
        <f>HYPERLINK("https://www.philgeps.gov.ph/GEPSNONPILOT/Tender/SplashBidNoticeAbstractUI.aspx?menuIndex=3&amp;refID=7195459&amp;Result=3","7195459")</f>
        <v>0</v>
      </c>
      <c r="B3242" t="s">
        <v>98</v>
      </c>
      <c r="C3242" t="s">
        <v>6947</v>
      </c>
      <c r="D3242" t="s">
        <v>19014</v>
      </c>
      <c r="E3242" t="s">
        <v>22018</v>
      </c>
      <c r="F3242" t="s">
        <v>32606</v>
      </c>
      <c r="G3242" t="s">
        <v>32619</v>
      </c>
      <c r="H3242" t="s">
        <v>14201</v>
      </c>
      <c r="I3242" t="s">
        <v>4120</v>
      </c>
      <c r="J3242" t="s">
        <v>34997</v>
      </c>
      <c r="K3242" t="s">
        <v>42624</v>
      </c>
      <c r="M3242" t="s">
        <v>42996</v>
      </c>
      <c r="N3242" t="s">
        <v>47304</v>
      </c>
      <c r="O3242" t="s">
        <v>47305</v>
      </c>
      <c r="P3242">
        <v>0</v>
      </c>
      <c r="Q3242">
        <v>0</v>
      </c>
      <c r="R3242" t="s">
        <v>47306</v>
      </c>
      <c r="S3242" t="s">
        <v>47414</v>
      </c>
      <c r="T3242" t="s">
        <v>49020</v>
      </c>
      <c r="U3242" t="s">
        <v>52357</v>
      </c>
      <c r="W3242" t="s">
        <v>42996</v>
      </c>
      <c r="X3242" t="s">
        <v>47308</v>
      </c>
    </row>
    <row r="3243" spans="1:24">
      <c r="A3243">
        <f>HYPERLINK("https://www.philgeps.gov.ph/GEPSNONPILOT/Tender/SplashBidNoticeAbstractUI.aspx?menuIndex=3&amp;refID=7195494&amp;Result=3","7195494")</f>
        <v>0</v>
      </c>
      <c r="B3243" t="s">
        <v>895</v>
      </c>
      <c r="C3243" t="s">
        <v>6948</v>
      </c>
      <c r="D3243" t="s">
        <v>18993</v>
      </c>
      <c r="E3243" t="s">
        <v>22019</v>
      </c>
      <c r="F3243" t="s">
        <v>32606</v>
      </c>
      <c r="G3243" t="s">
        <v>32619</v>
      </c>
      <c r="H3243" t="s">
        <v>14201</v>
      </c>
      <c r="I3243" t="s">
        <v>32700</v>
      </c>
      <c r="J3243" t="s">
        <v>34998</v>
      </c>
      <c r="K3243" t="s">
        <v>42624</v>
      </c>
      <c r="M3243" t="s">
        <v>43831</v>
      </c>
      <c r="N3243" t="s">
        <v>47304</v>
      </c>
      <c r="O3243" t="s">
        <v>47305</v>
      </c>
      <c r="P3243">
        <v>0</v>
      </c>
      <c r="Q3243">
        <v>6</v>
      </c>
      <c r="R3243" t="s">
        <v>47306</v>
      </c>
      <c r="S3243" t="s">
        <v>47414</v>
      </c>
      <c r="T3243" t="s">
        <v>49014</v>
      </c>
      <c r="U3243" t="s">
        <v>52358</v>
      </c>
      <c r="W3243" t="s">
        <v>43831</v>
      </c>
      <c r="X3243" t="s">
        <v>47308</v>
      </c>
    </row>
    <row r="3244" spans="1:24">
      <c r="A3244">
        <f>HYPERLINK("https://www.philgeps.gov.ph/GEPSNONPILOT/Tender/SplashBidNoticeAbstractUI.aspx?menuIndex=3&amp;refID=7195493&amp;Result=3","7195493")</f>
        <v>0</v>
      </c>
      <c r="B3244" t="s">
        <v>1298</v>
      </c>
      <c r="C3244" t="s">
        <v>6949</v>
      </c>
      <c r="D3244" t="s">
        <v>19002</v>
      </c>
      <c r="E3244" t="s">
        <v>22020</v>
      </c>
      <c r="F3244" t="s">
        <v>32606</v>
      </c>
      <c r="G3244" t="s">
        <v>32614</v>
      </c>
      <c r="H3244" t="s">
        <v>14201</v>
      </c>
      <c r="I3244" t="s">
        <v>32626</v>
      </c>
      <c r="J3244" t="s">
        <v>34999</v>
      </c>
      <c r="K3244" t="s">
        <v>42631</v>
      </c>
      <c r="M3244" t="s">
        <v>44270</v>
      </c>
      <c r="N3244" t="s">
        <v>47304</v>
      </c>
      <c r="O3244" t="s">
        <v>47305</v>
      </c>
      <c r="P3244">
        <v>0</v>
      </c>
      <c r="Q3244">
        <v>5</v>
      </c>
      <c r="R3244" t="s">
        <v>47306</v>
      </c>
      <c r="S3244" t="s">
        <v>47414</v>
      </c>
      <c r="T3244" t="s">
        <v>49002</v>
      </c>
      <c r="U3244" t="s">
        <v>52359</v>
      </c>
      <c r="W3244" t="s">
        <v>44270</v>
      </c>
      <c r="X3244" t="s">
        <v>47308</v>
      </c>
    </row>
    <row r="3245" spans="1:24">
      <c r="A3245">
        <f>HYPERLINK("https://www.philgeps.gov.ph/GEPSNONPILOT/Tender/SplashBidNoticeAbstractUI.aspx?menuIndex=3&amp;refID=7195456&amp;Result=3","7195456")</f>
        <v>0</v>
      </c>
      <c r="B3245" t="s">
        <v>1344</v>
      </c>
      <c r="C3245" t="s">
        <v>6950</v>
      </c>
      <c r="D3245" t="s">
        <v>19000</v>
      </c>
      <c r="E3245" t="s">
        <v>22021</v>
      </c>
      <c r="F3245" t="s">
        <v>32606</v>
      </c>
      <c r="G3245" t="s">
        <v>32613</v>
      </c>
      <c r="H3245" t="s">
        <v>14201</v>
      </c>
      <c r="I3245" t="s">
        <v>32631</v>
      </c>
      <c r="J3245" t="s">
        <v>35000</v>
      </c>
      <c r="K3245" t="s">
        <v>42623</v>
      </c>
      <c r="M3245" t="s">
        <v>44318</v>
      </c>
      <c r="N3245" t="s">
        <v>47304</v>
      </c>
      <c r="O3245" t="s">
        <v>47305</v>
      </c>
      <c r="P3245">
        <v>0</v>
      </c>
      <c r="Q3245">
        <v>0</v>
      </c>
      <c r="R3245" t="s">
        <v>47306</v>
      </c>
      <c r="S3245" t="s">
        <v>47414</v>
      </c>
      <c r="T3245" t="s">
        <v>49037</v>
      </c>
      <c r="U3245" t="s">
        <v>52360</v>
      </c>
      <c r="V3245" t="s">
        <v>62988</v>
      </c>
      <c r="W3245" t="s">
        <v>44318</v>
      </c>
      <c r="X3245" t="s">
        <v>47308</v>
      </c>
    </row>
    <row r="3246" spans="1:24">
      <c r="A3246">
        <f>HYPERLINK("https://www.philgeps.gov.ph/GEPSNONPILOT/Tender/SplashBidNoticeAbstractUI.aspx?menuIndex=3&amp;refID=7195491&amp;Result=3","7195491")</f>
        <v>0</v>
      </c>
      <c r="B3246" t="s">
        <v>1340</v>
      </c>
      <c r="C3246" t="s">
        <v>6951</v>
      </c>
      <c r="D3246" t="s">
        <v>19048</v>
      </c>
      <c r="E3246" t="s">
        <v>22022</v>
      </c>
      <c r="F3246" t="s">
        <v>32606</v>
      </c>
      <c r="G3246" t="s">
        <v>32613</v>
      </c>
      <c r="H3246" t="s">
        <v>32623</v>
      </c>
      <c r="I3246" t="s">
        <v>32639</v>
      </c>
      <c r="J3246" t="s">
        <v>32772</v>
      </c>
      <c r="K3246" t="s">
        <v>42631</v>
      </c>
      <c r="M3246" t="s">
        <v>44314</v>
      </c>
      <c r="N3246" t="s">
        <v>47304</v>
      </c>
      <c r="O3246" t="s">
        <v>47305</v>
      </c>
      <c r="P3246">
        <v>0</v>
      </c>
      <c r="Q3246">
        <v>1</v>
      </c>
      <c r="R3246" t="s">
        <v>47306</v>
      </c>
      <c r="S3246" t="s">
        <v>47414</v>
      </c>
      <c r="T3246" t="s">
        <v>48988</v>
      </c>
      <c r="U3246" t="s">
        <v>52361</v>
      </c>
      <c r="V3246" t="s">
        <v>62989</v>
      </c>
      <c r="W3246" t="s">
        <v>44314</v>
      </c>
      <c r="X3246" t="s">
        <v>47308</v>
      </c>
    </row>
    <row r="3247" spans="1:24">
      <c r="A3247">
        <f>HYPERLINK("https://www.philgeps.gov.ph/GEPSNONPILOT/Tender/SplashBidNoticeAbstractUI.aspx?menuIndex=3&amp;refID=7195490&amp;Result=3","7195490")</f>
        <v>0</v>
      </c>
      <c r="B3247" t="s">
        <v>1345</v>
      </c>
      <c r="C3247" t="s">
        <v>6952</v>
      </c>
      <c r="D3247" t="s">
        <v>19011</v>
      </c>
      <c r="E3247" t="s">
        <v>19918</v>
      </c>
      <c r="F3247" t="s">
        <v>32606</v>
      </c>
      <c r="G3247" t="s">
        <v>32613</v>
      </c>
      <c r="H3247" t="s">
        <v>14201</v>
      </c>
      <c r="I3247" t="s">
        <v>9013</v>
      </c>
      <c r="J3247" t="s">
        <v>35001</v>
      </c>
      <c r="K3247" t="s">
        <v>42631</v>
      </c>
      <c r="M3247" t="s">
        <v>44319</v>
      </c>
      <c r="N3247" t="s">
        <v>47304</v>
      </c>
      <c r="O3247" t="s">
        <v>47305</v>
      </c>
      <c r="P3247">
        <v>0</v>
      </c>
      <c r="Q3247">
        <v>1</v>
      </c>
      <c r="R3247" t="s">
        <v>47306</v>
      </c>
      <c r="S3247" t="s">
        <v>47414</v>
      </c>
      <c r="T3247" t="s">
        <v>48987</v>
      </c>
      <c r="U3247" t="s">
        <v>52362</v>
      </c>
      <c r="W3247" t="s">
        <v>44319</v>
      </c>
      <c r="X3247" t="s">
        <v>47308</v>
      </c>
    </row>
    <row r="3248" spans="1:24">
      <c r="A3248">
        <f>HYPERLINK("https://www.philgeps.gov.ph/GEPSNONPILOT/Tender/SplashBidNoticeAbstractUI.aspx?menuIndex=3&amp;refID=7195488&amp;Result=3","7195488")</f>
        <v>0</v>
      </c>
      <c r="B3248" t="s">
        <v>1346</v>
      </c>
      <c r="C3248" t="s">
        <v>6953</v>
      </c>
      <c r="E3248" t="s">
        <v>22023</v>
      </c>
      <c r="F3248" t="s">
        <v>32606</v>
      </c>
      <c r="G3248" t="s">
        <v>32619</v>
      </c>
      <c r="H3248" t="s">
        <v>14201</v>
      </c>
      <c r="I3248" t="s">
        <v>32633</v>
      </c>
      <c r="J3248" t="s">
        <v>33022</v>
      </c>
      <c r="K3248" t="s">
        <v>42624</v>
      </c>
      <c r="M3248" t="s">
        <v>44320</v>
      </c>
      <c r="N3248" t="s">
        <v>47304</v>
      </c>
      <c r="O3248" t="s">
        <v>47305</v>
      </c>
      <c r="P3248">
        <v>0</v>
      </c>
      <c r="Q3248">
        <v>1</v>
      </c>
      <c r="R3248" t="s">
        <v>47306</v>
      </c>
      <c r="S3248" t="s">
        <v>47414</v>
      </c>
      <c r="T3248" t="s">
        <v>48998</v>
      </c>
      <c r="U3248" t="s">
        <v>52363</v>
      </c>
      <c r="W3248" t="s">
        <v>44320</v>
      </c>
      <c r="X3248" t="s">
        <v>47308</v>
      </c>
    </row>
    <row r="3249" spans="1:24">
      <c r="A3249">
        <f>HYPERLINK("https://www.philgeps.gov.ph/GEPSNONPILOT/Tender/SplashBidNoticeAbstractUI.aspx?menuIndex=3&amp;refID=7195487&amp;Result=3","7195487")</f>
        <v>0</v>
      </c>
      <c r="B3249" t="s">
        <v>1328</v>
      </c>
      <c r="C3249" t="s">
        <v>6954</v>
      </c>
      <c r="E3249" t="s">
        <v>22024</v>
      </c>
      <c r="F3249" t="s">
        <v>32606</v>
      </c>
      <c r="G3249" t="s">
        <v>32619</v>
      </c>
      <c r="H3249" t="s">
        <v>14201</v>
      </c>
      <c r="I3249" t="s">
        <v>4112</v>
      </c>
      <c r="J3249" t="s">
        <v>33667</v>
      </c>
      <c r="K3249" t="s">
        <v>42630</v>
      </c>
      <c r="M3249" t="s">
        <v>44302</v>
      </c>
      <c r="N3249" t="s">
        <v>47304</v>
      </c>
      <c r="O3249" t="s">
        <v>47305</v>
      </c>
      <c r="P3249">
        <v>0</v>
      </c>
      <c r="Q3249">
        <v>0</v>
      </c>
      <c r="R3249" t="s">
        <v>47306</v>
      </c>
      <c r="S3249" t="s">
        <v>47414</v>
      </c>
      <c r="T3249" t="s">
        <v>48980</v>
      </c>
      <c r="U3249" t="s">
        <v>52364</v>
      </c>
      <c r="W3249" t="s">
        <v>44302</v>
      </c>
      <c r="X3249" t="s">
        <v>47308</v>
      </c>
    </row>
    <row r="3250" spans="1:24">
      <c r="A3250">
        <f>HYPERLINK("https://www.philgeps.gov.ph/GEPSNONPILOT/Tender/SplashBidNoticeAbstractUI.aspx?menuIndex=3&amp;refID=7195495&amp;Result=3","7195495")</f>
        <v>0</v>
      </c>
      <c r="B3250" t="s">
        <v>1347</v>
      </c>
      <c r="C3250" t="s">
        <v>6955</v>
      </c>
      <c r="D3250" t="s">
        <v>19070</v>
      </c>
      <c r="E3250" t="s">
        <v>22025</v>
      </c>
      <c r="F3250" t="s">
        <v>32606</v>
      </c>
      <c r="G3250" t="s">
        <v>32614</v>
      </c>
      <c r="H3250" t="s">
        <v>14201</v>
      </c>
      <c r="I3250" t="s">
        <v>32633</v>
      </c>
      <c r="J3250" t="s">
        <v>35002</v>
      </c>
      <c r="K3250" t="s">
        <v>42677</v>
      </c>
      <c r="L3250" t="s">
        <v>1347</v>
      </c>
      <c r="M3250" t="s">
        <v>44321</v>
      </c>
      <c r="N3250" t="s">
        <v>47304</v>
      </c>
      <c r="O3250" t="s">
        <v>47305</v>
      </c>
      <c r="P3250">
        <v>0</v>
      </c>
      <c r="Q3250">
        <v>3</v>
      </c>
      <c r="R3250" t="s">
        <v>47306</v>
      </c>
      <c r="S3250" t="s">
        <v>47414</v>
      </c>
      <c r="T3250" t="s">
        <v>48980</v>
      </c>
      <c r="U3250" t="s">
        <v>52365</v>
      </c>
      <c r="V3250" t="s">
        <v>62990</v>
      </c>
      <c r="W3250" t="s">
        <v>44321</v>
      </c>
      <c r="X3250" t="s">
        <v>47308</v>
      </c>
    </row>
    <row r="3251" spans="1:24">
      <c r="A3251">
        <f>HYPERLINK("https://www.philgeps.gov.ph/GEPSNONPILOT/Tender/SplashBidNoticeAbstractUI.aspx?menuIndex=3&amp;refID=7195484&amp;Result=3","7195484")</f>
        <v>0</v>
      </c>
      <c r="B3251" t="s">
        <v>98</v>
      </c>
      <c r="C3251" t="s">
        <v>6947</v>
      </c>
      <c r="D3251" t="s">
        <v>19014</v>
      </c>
      <c r="E3251" t="s">
        <v>22026</v>
      </c>
      <c r="F3251" t="s">
        <v>32606</v>
      </c>
      <c r="G3251" t="s">
        <v>32619</v>
      </c>
      <c r="H3251" t="s">
        <v>14201</v>
      </c>
      <c r="I3251" t="s">
        <v>4120</v>
      </c>
      <c r="J3251" t="s">
        <v>35003</v>
      </c>
      <c r="K3251" t="s">
        <v>42624</v>
      </c>
      <c r="M3251" t="s">
        <v>42996</v>
      </c>
      <c r="N3251" t="s">
        <v>47304</v>
      </c>
      <c r="O3251" t="s">
        <v>47305</v>
      </c>
      <c r="P3251">
        <v>0</v>
      </c>
      <c r="Q3251">
        <v>0</v>
      </c>
      <c r="R3251" t="s">
        <v>47306</v>
      </c>
      <c r="S3251" t="s">
        <v>47414</v>
      </c>
      <c r="T3251" t="s">
        <v>49020</v>
      </c>
      <c r="U3251" t="s">
        <v>52366</v>
      </c>
      <c r="W3251" t="s">
        <v>42996</v>
      </c>
      <c r="X3251" t="s">
        <v>47308</v>
      </c>
    </row>
    <row r="3252" spans="1:24">
      <c r="A3252">
        <f>HYPERLINK("https://www.philgeps.gov.ph/GEPSNONPILOT/Tender/SplashBidNoticeAbstractUI.aspx?menuIndex=3&amp;refID=7195492&amp;Result=3","7195492")</f>
        <v>0</v>
      </c>
      <c r="B3252" t="s">
        <v>1348</v>
      </c>
      <c r="C3252" t="s">
        <v>6956</v>
      </c>
      <c r="D3252" t="s">
        <v>19043</v>
      </c>
      <c r="E3252" t="s">
        <v>22027</v>
      </c>
      <c r="F3252" t="s">
        <v>32606</v>
      </c>
      <c r="G3252" t="s">
        <v>32614</v>
      </c>
      <c r="H3252" t="s">
        <v>14201</v>
      </c>
      <c r="I3252" t="s">
        <v>6931</v>
      </c>
      <c r="J3252" t="s">
        <v>35004</v>
      </c>
      <c r="K3252" t="s">
        <v>42623</v>
      </c>
      <c r="M3252" t="s">
        <v>44322</v>
      </c>
      <c r="N3252" t="s">
        <v>47304</v>
      </c>
      <c r="O3252" t="s">
        <v>47305</v>
      </c>
      <c r="P3252">
        <v>0</v>
      </c>
      <c r="Q3252">
        <v>0</v>
      </c>
      <c r="R3252" t="s">
        <v>47306</v>
      </c>
      <c r="S3252" t="s">
        <v>47414</v>
      </c>
      <c r="T3252" t="s">
        <v>49108</v>
      </c>
      <c r="U3252" t="s">
        <v>52367</v>
      </c>
      <c r="V3252" t="s">
        <v>62991</v>
      </c>
      <c r="W3252" t="s">
        <v>44322</v>
      </c>
      <c r="X3252" t="s">
        <v>47308</v>
      </c>
    </row>
    <row r="3253" spans="1:24">
      <c r="A3253">
        <f>HYPERLINK("https://www.philgeps.gov.ph/GEPSNONPILOT/Tender/SplashBidNoticeAbstractUI.aspx?menuIndex=3&amp;refID=7195481&amp;Result=3","7195481")</f>
        <v>0</v>
      </c>
      <c r="B3253" t="s">
        <v>360</v>
      </c>
      <c r="C3253" t="s">
        <v>6957</v>
      </c>
      <c r="D3253" t="s">
        <v>19040</v>
      </c>
      <c r="E3253" t="s">
        <v>22028</v>
      </c>
      <c r="F3253" t="s">
        <v>32606</v>
      </c>
      <c r="G3253" t="s">
        <v>32614</v>
      </c>
      <c r="H3253" t="s">
        <v>14201</v>
      </c>
      <c r="I3253" t="s">
        <v>4120</v>
      </c>
      <c r="J3253" t="s">
        <v>35005</v>
      </c>
      <c r="K3253" t="s">
        <v>42630</v>
      </c>
      <c r="M3253" t="s">
        <v>43262</v>
      </c>
      <c r="N3253" t="s">
        <v>47304</v>
      </c>
      <c r="O3253" t="s">
        <v>47305</v>
      </c>
      <c r="P3253">
        <v>0</v>
      </c>
      <c r="Q3253">
        <v>1</v>
      </c>
      <c r="R3253" t="s">
        <v>47306</v>
      </c>
      <c r="S3253" t="s">
        <v>47414</v>
      </c>
      <c r="T3253" t="s">
        <v>49050</v>
      </c>
      <c r="U3253" t="s">
        <v>50184</v>
      </c>
      <c r="W3253" t="s">
        <v>43262</v>
      </c>
      <c r="X3253" t="s">
        <v>47308</v>
      </c>
    </row>
    <row r="3254" spans="1:24">
      <c r="A3254">
        <f>HYPERLINK("https://www.philgeps.gov.ph/GEPSNONPILOT/Tender/SplashBidNoticeAbstractUI.aspx?menuIndex=3&amp;refID=7195498&amp;Result=3","7195498")</f>
        <v>0</v>
      </c>
      <c r="B3254" t="s">
        <v>81</v>
      </c>
      <c r="C3254" t="s">
        <v>6958</v>
      </c>
      <c r="D3254" t="s">
        <v>18995</v>
      </c>
      <c r="E3254" t="s">
        <v>22029</v>
      </c>
      <c r="F3254" t="s">
        <v>32606</v>
      </c>
      <c r="G3254" t="s">
        <v>32614</v>
      </c>
      <c r="H3254" t="s">
        <v>14201</v>
      </c>
      <c r="I3254" t="s">
        <v>32704</v>
      </c>
      <c r="J3254" t="s">
        <v>33380</v>
      </c>
      <c r="K3254" t="s">
        <v>42624</v>
      </c>
      <c r="M3254" t="s">
        <v>42978</v>
      </c>
      <c r="N3254" t="s">
        <v>47304</v>
      </c>
      <c r="O3254" t="s">
        <v>47305</v>
      </c>
      <c r="P3254">
        <v>0</v>
      </c>
      <c r="Q3254">
        <v>1</v>
      </c>
      <c r="R3254" t="s">
        <v>47306</v>
      </c>
      <c r="S3254" t="s">
        <v>47414</v>
      </c>
      <c r="T3254" t="s">
        <v>49014</v>
      </c>
      <c r="U3254" t="s">
        <v>52368</v>
      </c>
      <c r="W3254" t="s">
        <v>42978</v>
      </c>
      <c r="X3254" t="s">
        <v>47308</v>
      </c>
    </row>
    <row r="3255" spans="1:24">
      <c r="A3255">
        <f>HYPERLINK("https://www.philgeps.gov.ph/GEPSNONPILOT/Tender/SplashBidNoticeAbstractUI.aspx?menuIndex=3&amp;refID=7195489&amp;Result=3","7195489")</f>
        <v>0</v>
      </c>
      <c r="B3255" t="s">
        <v>167</v>
      </c>
      <c r="C3255" t="s">
        <v>6959</v>
      </c>
      <c r="D3255" t="s">
        <v>19033</v>
      </c>
      <c r="E3255" t="s">
        <v>22030</v>
      </c>
      <c r="F3255" t="s">
        <v>32606</v>
      </c>
      <c r="G3255" t="s">
        <v>32613</v>
      </c>
      <c r="H3255" t="s">
        <v>32623</v>
      </c>
      <c r="I3255" t="s">
        <v>17648</v>
      </c>
      <c r="J3255" t="s">
        <v>35006</v>
      </c>
      <c r="K3255" t="s">
        <v>42742</v>
      </c>
      <c r="M3255" t="s">
        <v>43068</v>
      </c>
      <c r="N3255" t="s">
        <v>47304</v>
      </c>
      <c r="O3255" t="s">
        <v>47305</v>
      </c>
      <c r="P3255">
        <v>0</v>
      </c>
      <c r="Q3255">
        <v>1</v>
      </c>
      <c r="R3255" t="s">
        <v>47306</v>
      </c>
      <c r="S3255" t="s">
        <v>47414</v>
      </c>
      <c r="T3255" t="s">
        <v>48983</v>
      </c>
      <c r="U3255" t="s">
        <v>52369</v>
      </c>
      <c r="W3255" t="s">
        <v>43068</v>
      </c>
      <c r="X3255" t="s">
        <v>47308</v>
      </c>
    </row>
    <row r="3256" spans="1:24">
      <c r="A3256">
        <f>HYPERLINK("https://www.philgeps.gov.ph/GEPSNONPILOT/Tender/SplashBidNoticeAbstractUI.aspx?menuIndex=3&amp;refID=7195455&amp;Result=3","7195455")</f>
        <v>0</v>
      </c>
      <c r="B3256" t="s">
        <v>1349</v>
      </c>
      <c r="C3256" t="s">
        <v>6960</v>
      </c>
      <c r="D3256" t="s">
        <v>19015</v>
      </c>
      <c r="E3256" t="s">
        <v>22031</v>
      </c>
      <c r="F3256" t="s">
        <v>32606</v>
      </c>
      <c r="G3256" t="s">
        <v>32614</v>
      </c>
      <c r="H3256" t="s">
        <v>14201</v>
      </c>
      <c r="I3256" t="s">
        <v>32660</v>
      </c>
      <c r="J3256" t="s">
        <v>33687</v>
      </c>
      <c r="K3256" t="s">
        <v>42623</v>
      </c>
      <c r="M3256" t="s">
        <v>44323</v>
      </c>
      <c r="N3256" t="s">
        <v>47304</v>
      </c>
      <c r="O3256" t="s">
        <v>47305</v>
      </c>
      <c r="P3256">
        <v>0</v>
      </c>
      <c r="Q3256">
        <v>0</v>
      </c>
      <c r="R3256" t="s">
        <v>47306</v>
      </c>
      <c r="S3256" t="s">
        <v>47414</v>
      </c>
      <c r="T3256" t="s">
        <v>49140</v>
      </c>
      <c r="U3256" t="s">
        <v>52370</v>
      </c>
      <c r="W3256" t="s">
        <v>44323</v>
      </c>
      <c r="X3256" t="s">
        <v>47308</v>
      </c>
    </row>
    <row r="3257" spans="1:24">
      <c r="A3257">
        <f>HYPERLINK("https://www.philgeps.gov.ph/GEPSNONPILOT/Tender/SplashBidNoticeAbstractUI.aspx?menuIndex=3&amp;refID=7195496&amp;Result=3","7195496")</f>
        <v>0</v>
      </c>
      <c r="B3257" t="s">
        <v>360</v>
      </c>
      <c r="C3257" t="s">
        <v>6961</v>
      </c>
      <c r="D3257" t="s">
        <v>19040</v>
      </c>
      <c r="E3257" t="s">
        <v>22032</v>
      </c>
      <c r="F3257" t="s">
        <v>32606</v>
      </c>
      <c r="G3257" t="s">
        <v>32614</v>
      </c>
      <c r="H3257" t="s">
        <v>14201</v>
      </c>
      <c r="I3257" t="s">
        <v>4120</v>
      </c>
      <c r="J3257" t="s">
        <v>35007</v>
      </c>
      <c r="K3257" t="s">
        <v>42630</v>
      </c>
      <c r="M3257" t="s">
        <v>43262</v>
      </c>
      <c r="N3257" t="s">
        <v>47304</v>
      </c>
      <c r="O3257" t="s">
        <v>47305</v>
      </c>
      <c r="P3257">
        <v>0</v>
      </c>
      <c r="Q3257">
        <v>2</v>
      </c>
      <c r="R3257" t="s">
        <v>47306</v>
      </c>
      <c r="S3257" t="s">
        <v>47414</v>
      </c>
      <c r="T3257" t="s">
        <v>49050</v>
      </c>
      <c r="U3257" t="s">
        <v>50184</v>
      </c>
      <c r="W3257" t="s">
        <v>43262</v>
      </c>
      <c r="X3257" t="s">
        <v>47308</v>
      </c>
    </row>
    <row r="3258" spans="1:24">
      <c r="A3258">
        <f>HYPERLINK("https://www.philgeps.gov.ph/GEPSNONPILOT/Tender/SplashBidNoticeAbstractUI.aspx?menuIndex=3&amp;refID=7195454&amp;Result=3","7195454")</f>
        <v>0</v>
      </c>
      <c r="B3258" t="s">
        <v>1350</v>
      </c>
      <c r="C3258" t="s">
        <v>6962</v>
      </c>
      <c r="D3258" t="s">
        <v>19049</v>
      </c>
      <c r="E3258" t="s">
        <v>22033</v>
      </c>
      <c r="F3258" t="s">
        <v>32606</v>
      </c>
      <c r="G3258" t="s">
        <v>32614</v>
      </c>
      <c r="H3258" t="s">
        <v>14201</v>
      </c>
      <c r="I3258" t="s">
        <v>6993</v>
      </c>
      <c r="J3258" t="s">
        <v>32981</v>
      </c>
      <c r="K3258" t="s">
        <v>42624</v>
      </c>
      <c r="M3258" t="s">
        <v>44324</v>
      </c>
      <c r="N3258" t="s">
        <v>47304</v>
      </c>
      <c r="O3258" t="s">
        <v>47305</v>
      </c>
      <c r="P3258">
        <v>0</v>
      </c>
      <c r="Q3258">
        <v>0</v>
      </c>
      <c r="R3258" t="s">
        <v>47306</v>
      </c>
      <c r="S3258" t="s">
        <v>47414</v>
      </c>
      <c r="T3258" t="s">
        <v>49004</v>
      </c>
      <c r="U3258" t="s">
        <v>52371</v>
      </c>
      <c r="V3258" t="s">
        <v>62803</v>
      </c>
      <c r="W3258" t="s">
        <v>44324</v>
      </c>
      <c r="X3258" t="s">
        <v>47308</v>
      </c>
    </row>
    <row r="3259" spans="1:24">
      <c r="A3259">
        <f>HYPERLINK("https://www.philgeps.gov.ph/GEPSNONPILOT/Tender/SplashBidNoticeAbstractUI.aspx?menuIndex=3&amp;refID=7195453&amp;Result=3","7195453")</f>
        <v>0</v>
      </c>
      <c r="B3259" t="s">
        <v>1351</v>
      </c>
      <c r="C3259" t="s">
        <v>6963</v>
      </c>
      <c r="D3259" t="s">
        <v>19011</v>
      </c>
      <c r="E3259" t="s">
        <v>22034</v>
      </c>
      <c r="F3259" t="s">
        <v>32606</v>
      </c>
      <c r="G3259" t="s">
        <v>32619</v>
      </c>
      <c r="H3259" t="s">
        <v>14201</v>
      </c>
      <c r="I3259" t="s">
        <v>32632</v>
      </c>
      <c r="J3259" t="s">
        <v>35008</v>
      </c>
      <c r="K3259" t="s">
        <v>42629</v>
      </c>
      <c r="M3259" t="s">
        <v>44325</v>
      </c>
      <c r="N3259" t="s">
        <v>47304</v>
      </c>
      <c r="O3259" t="s">
        <v>47305</v>
      </c>
      <c r="P3259">
        <v>0</v>
      </c>
      <c r="Q3259">
        <v>1</v>
      </c>
      <c r="R3259" t="s">
        <v>47306</v>
      </c>
      <c r="S3259" t="s">
        <v>47414</v>
      </c>
      <c r="T3259" t="s">
        <v>49017</v>
      </c>
      <c r="U3259" t="s">
        <v>52372</v>
      </c>
      <c r="V3259" t="s">
        <v>62992</v>
      </c>
      <c r="W3259" t="s">
        <v>44325</v>
      </c>
      <c r="X3259" t="s">
        <v>47308</v>
      </c>
    </row>
    <row r="3260" spans="1:24">
      <c r="A3260">
        <f>HYPERLINK("https://www.philgeps.gov.ph/GEPSNONPILOT/Tender/SplashBidNoticeAbstractUI.aspx?menuIndex=3&amp;refID=7195431&amp;Result=3","7195431")</f>
        <v>0</v>
      </c>
      <c r="B3260" t="s">
        <v>666</v>
      </c>
      <c r="C3260" t="s">
        <v>6964</v>
      </c>
      <c r="D3260" t="s">
        <v>19014</v>
      </c>
      <c r="E3260" t="s">
        <v>20274</v>
      </c>
      <c r="F3260" t="s">
        <v>32606</v>
      </c>
      <c r="G3260" t="s">
        <v>32619</v>
      </c>
      <c r="H3260" t="s">
        <v>14201</v>
      </c>
      <c r="I3260" t="s">
        <v>6478</v>
      </c>
      <c r="J3260" t="s">
        <v>35009</v>
      </c>
      <c r="K3260" t="s">
        <v>42624</v>
      </c>
      <c r="M3260" t="s">
        <v>43586</v>
      </c>
      <c r="N3260" t="s">
        <v>47304</v>
      </c>
      <c r="O3260" t="s">
        <v>47305</v>
      </c>
      <c r="P3260">
        <v>0</v>
      </c>
      <c r="Q3260">
        <v>0</v>
      </c>
      <c r="R3260" t="s">
        <v>47306</v>
      </c>
      <c r="S3260" t="s">
        <v>47414</v>
      </c>
      <c r="T3260" t="s">
        <v>49053</v>
      </c>
      <c r="U3260" t="s">
        <v>50703</v>
      </c>
      <c r="W3260" t="s">
        <v>43586</v>
      </c>
      <c r="X3260" t="s">
        <v>47308</v>
      </c>
    </row>
    <row r="3261" spans="1:24">
      <c r="A3261">
        <f>HYPERLINK("https://www.philgeps.gov.ph/GEPSNONPILOT/Tender/SplashBidNoticeAbstractUI.aspx?menuIndex=3&amp;refID=7195486&amp;Result=3","7195486")</f>
        <v>0</v>
      </c>
      <c r="B3261" t="s">
        <v>1337</v>
      </c>
      <c r="C3261" t="s">
        <v>6965</v>
      </c>
      <c r="E3261" t="s">
        <v>20138</v>
      </c>
      <c r="F3261" t="s">
        <v>32606</v>
      </c>
      <c r="G3261" t="s">
        <v>32613</v>
      </c>
      <c r="H3261" t="s">
        <v>14201</v>
      </c>
      <c r="I3261" t="s">
        <v>4114</v>
      </c>
      <c r="J3261" t="s">
        <v>35010</v>
      </c>
      <c r="K3261" t="s">
        <v>42624</v>
      </c>
      <c r="M3261" t="s">
        <v>44311</v>
      </c>
      <c r="N3261" t="s">
        <v>47304</v>
      </c>
      <c r="O3261" t="s">
        <v>47305</v>
      </c>
      <c r="P3261">
        <v>0</v>
      </c>
      <c r="Q3261">
        <v>0</v>
      </c>
      <c r="R3261" t="s">
        <v>47306</v>
      </c>
      <c r="S3261" t="s">
        <v>47414</v>
      </c>
      <c r="T3261" t="s">
        <v>48986</v>
      </c>
      <c r="U3261" t="s">
        <v>52345</v>
      </c>
      <c r="W3261" t="s">
        <v>44311</v>
      </c>
      <c r="X3261" t="s">
        <v>47308</v>
      </c>
    </row>
    <row r="3262" spans="1:24">
      <c r="A3262">
        <f>HYPERLINK("https://www.philgeps.gov.ph/GEPSNONPILOT/Tender/SplashBidNoticeAbstractUI.aspx?menuIndex=3&amp;refID=7195524&amp;Result=3","7195524")</f>
        <v>0</v>
      </c>
      <c r="B3262" t="s">
        <v>895</v>
      </c>
      <c r="C3262" t="s">
        <v>4830</v>
      </c>
      <c r="D3262" t="s">
        <v>18993</v>
      </c>
      <c r="E3262" t="s">
        <v>22035</v>
      </c>
      <c r="F3262" t="s">
        <v>32606</v>
      </c>
      <c r="G3262" t="s">
        <v>32619</v>
      </c>
      <c r="H3262" t="s">
        <v>14201</v>
      </c>
      <c r="I3262" t="s">
        <v>4120</v>
      </c>
      <c r="J3262" t="s">
        <v>35011</v>
      </c>
      <c r="K3262" t="s">
        <v>42624</v>
      </c>
      <c r="M3262" t="s">
        <v>43831</v>
      </c>
      <c r="N3262" t="s">
        <v>47304</v>
      </c>
      <c r="O3262" t="s">
        <v>47305</v>
      </c>
      <c r="P3262">
        <v>0</v>
      </c>
      <c r="Q3262">
        <v>5</v>
      </c>
      <c r="R3262" t="s">
        <v>47306</v>
      </c>
      <c r="S3262" t="s">
        <v>47414</v>
      </c>
      <c r="T3262" t="s">
        <v>49014</v>
      </c>
      <c r="U3262" t="s">
        <v>52373</v>
      </c>
      <c r="W3262" t="s">
        <v>43831</v>
      </c>
      <c r="X3262" t="s">
        <v>47308</v>
      </c>
    </row>
    <row r="3263" spans="1:24">
      <c r="A3263">
        <f>HYPERLINK("https://www.philgeps.gov.ph/GEPSNONPILOT/Tender/SplashBidNoticeAbstractUI.aspx?menuIndex=3&amp;refID=7195523&amp;Result=3","7195523")</f>
        <v>0</v>
      </c>
      <c r="B3263" t="s">
        <v>984</v>
      </c>
      <c r="C3263" t="s">
        <v>4718</v>
      </c>
      <c r="D3263" t="s">
        <v>19039</v>
      </c>
      <c r="E3263" t="s">
        <v>22036</v>
      </c>
      <c r="F3263" t="s">
        <v>32606</v>
      </c>
      <c r="G3263" t="s">
        <v>32614</v>
      </c>
      <c r="H3263" t="s">
        <v>14201</v>
      </c>
      <c r="I3263" t="s">
        <v>4120</v>
      </c>
      <c r="J3263" t="s">
        <v>35012</v>
      </c>
      <c r="K3263" t="s">
        <v>42625</v>
      </c>
      <c r="L3263" t="s">
        <v>984</v>
      </c>
      <c r="M3263" t="s">
        <v>43930</v>
      </c>
      <c r="N3263" t="s">
        <v>47304</v>
      </c>
      <c r="O3263" t="s">
        <v>47305</v>
      </c>
      <c r="P3263">
        <v>0</v>
      </c>
      <c r="Q3263">
        <v>0</v>
      </c>
      <c r="R3263" t="s">
        <v>47306</v>
      </c>
      <c r="S3263" t="s">
        <v>47414</v>
      </c>
      <c r="T3263" t="s">
        <v>48971</v>
      </c>
      <c r="U3263" t="s">
        <v>52374</v>
      </c>
      <c r="W3263" t="s">
        <v>43930</v>
      </c>
      <c r="X3263" t="s">
        <v>47308</v>
      </c>
    </row>
    <row r="3264" spans="1:24">
      <c r="A3264">
        <f>HYPERLINK("https://www.philgeps.gov.ph/GEPSNONPILOT/Tender/SplashBidNoticeAbstractUI.aspx?menuIndex=3&amp;refID=7195522&amp;Result=3","7195522")</f>
        <v>0</v>
      </c>
      <c r="B3264" t="s">
        <v>187</v>
      </c>
      <c r="C3264" t="s">
        <v>6966</v>
      </c>
      <c r="D3264" t="s">
        <v>19038</v>
      </c>
      <c r="E3264" t="s">
        <v>22037</v>
      </c>
      <c r="F3264" t="s">
        <v>32606</v>
      </c>
      <c r="G3264" t="s">
        <v>32613</v>
      </c>
      <c r="H3264" t="s">
        <v>14201</v>
      </c>
      <c r="I3264" t="s">
        <v>6931</v>
      </c>
      <c r="J3264" t="s">
        <v>35013</v>
      </c>
      <c r="K3264" t="s">
        <v>42622</v>
      </c>
      <c r="M3264" t="s">
        <v>43088</v>
      </c>
      <c r="N3264" t="s">
        <v>47304</v>
      </c>
      <c r="O3264" t="s">
        <v>47305</v>
      </c>
      <c r="P3264">
        <v>0</v>
      </c>
      <c r="Q3264">
        <v>0</v>
      </c>
      <c r="R3264" t="s">
        <v>47306</v>
      </c>
      <c r="S3264" t="s">
        <v>47414</v>
      </c>
      <c r="T3264" t="s">
        <v>48986</v>
      </c>
      <c r="U3264" t="s">
        <v>52375</v>
      </c>
      <c r="W3264" t="s">
        <v>43088</v>
      </c>
      <c r="X3264" t="s">
        <v>47308</v>
      </c>
    </row>
    <row r="3265" spans="1:24">
      <c r="A3265">
        <f>HYPERLINK("https://www.philgeps.gov.ph/GEPSNONPILOT/Tender/SplashBidNoticeAbstractUI.aspx?menuIndex=3&amp;refID=7195478&amp;Result=3","7195478")</f>
        <v>0</v>
      </c>
      <c r="B3265" t="s">
        <v>1352</v>
      </c>
      <c r="C3265" t="s">
        <v>6967</v>
      </c>
      <c r="D3265" t="s">
        <v>19037</v>
      </c>
      <c r="E3265" t="s">
        <v>22038</v>
      </c>
      <c r="F3265" t="s">
        <v>32606</v>
      </c>
      <c r="G3265" t="s">
        <v>32619</v>
      </c>
      <c r="H3265" t="s">
        <v>14201</v>
      </c>
      <c r="I3265" t="s">
        <v>32633</v>
      </c>
      <c r="J3265" t="s">
        <v>33034</v>
      </c>
      <c r="K3265" t="s">
        <v>42629</v>
      </c>
      <c r="M3265" t="s">
        <v>44326</v>
      </c>
      <c r="N3265" t="s">
        <v>47304</v>
      </c>
      <c r="O3265" t="s">
        <v>47305</v>
      </c>
      <c r="P3265">
        <v>0</v>
      </c>
      <c r="Q3265">
        <v>6</v>
      </c>
      <c r="R3265" t="s">
        <v>47306</v>
      </c>
      <c r="S3265" t="s">
        <v>47414</v>
      </c>
      <c r="T3265" t="s">
        <v>48979</v>
      </c>
      <c r="U3265" t="s">
        <v>52376</v>
      </c>
      <c r="W3265" t="s">
        <v>44326</v>
      </c>
      <c r="X3265" t="s">
        <v>47308</v>
      </c>
    </row>
    <row r="3266" spans="1:24">
      <c r="A3266">
        <f>HYPERLINK("https://www.philgeps.gov.ph/GEPSNONPILOT/Tender/SplashBidNoticeAbstractUI.aspx?menuIndex=3&amp;refID=7195520&amp;Result=3","7195520")</f>
        <v>0</v>
      </c>
      <c r="B3266" t="s">
        <v>1353</v>
      </c>
      <c r="C3266" t="s">
        <v>6968</v>
      </c>
      <c r="D3266" t="s">
        <v>19041</v>
      </c>
      <c r="E3266" t="s">
        <v>22007</v>
      </c>
      <c r="F3266" t="s">
        <v>32606</v>
      </c>
      <c r="G3266" t="s">
        <v>32614</v>
      </c>
      <c r="H3266" t="s">
        <v>14201</v>
      </c>
      <c r="I3266" t="s">
        <v>7233</v>
      </c>
      <c r="J3266" t="s">
        <v>35014</v>
      </c>
      <c r="K3266" t="s">
        <v>42624</v>
      </c>
      <c r="M3266" t="s">
        <v>44327</v>
      </c>
      <c r="N3266" t="s">
        <v>47304</v>
      </c>
      <c r="O3266" t="s">
        <v>47305</v>
      </c>
      <c r="P3266">
        <v>0</v>
      </c>
      <c r="Q3266">
        <v>0</v>
      </c>
      <c r="R3266" t="s">
        <v>47306</v>
      </c>
      <c r="S3266" t="s">
        <v>47414</v>
      </c>
      <c r="T3266" t="s">
        <v>49014</v>
      </c>
      <c r="U3266" t="s">
        <v>52377</v>
      </c>
      <c r="V3266" t="s">
        <v>62993</v>
      </c>
      <c r="W3266" t="s">
        <v>44327</v>
      </c>
      <c r="X3266" t="s">
        <v>47308</v>
      </c>
    </row>
    <row r="3267" spans="1:24">
      <c r="A3267">
        <f>HYPERLINK("https://www.philgeps.gov.ph/GEPSNONPILOT/Tender/SplashBidNoticeAbstractUI.aspx?menuIndex=3&amp;refID=7195517&amp;Result=3","7195517")</f>
        <v>0</v>
      </c>
      <c r="B3267" t="s">
        <v>1337</v>
      </c>
      <c r="C3267" t="s">
        <v>6969</v>
      </c>
      <c r="E3267" t="s">
        <v>22039</v>
      </c>
      <c r="F3267" t="s">
        <v>32606</v>
      </c>
      <c r="G3267" t="s">
        <v>32613</v>
      </c>
      <c r="H3267" t="s">
        <v>32623</v>
      </c>
      <c r="I3267" t="s">
        <v>6931</v>
      </c>
      <c r="J3267" t="s">
        <v>35015</v>
      </c>
      <c r="K3267" t="s">
        <v>42624</v>
      </c>
      <c r="M3267" t="s">
        <v>44311</v>
      </c>
      <c r="N3267" t="s">
        <v>47304</v>
      </c>
      <c r="O3267" t="s">
        <v>47305</v>
      </c>
      <c r="P3267">
        <v>0</v>
      </c>
      <c r="Q3267">
        <v>0</v>
      </c>
      <c r="R3267" t="s">
        <v>47306</v>
      </c>
      <c r="S3267" t="s">
        <v>47414</v>
      </c>
      <c r="T3267" t="s">
        <v>48986</v>
      </c>
      <c r="U3267" t="s">
        <v>52345</v>
      </c>
      <c r="W3267" t="s">
        <v>44311</v>
      </c>
      <c r="X3267" t="s">
        <v>47308</v>
      </c>
    </row>
    <row r="3268" spans="1:24">
      <c r="A3268">
        <f>HYPERLINK("https://www.philgeps.gov.ph/GEPSNONPILOT/Tender/SplashBidNoticeAbstractUI.aspx?menuIndex=3&amp;refID=7195516&amp;Result=3","7195516")</f>
        <v>0</v>
      </c>
      <c r="B3268" t="s">
        <v>1354</v>
      </c>
      <c r="C3268" t="s">
        <v>6970</v>
      </c>
      <c r="D3268" t="s">
        <v>18993</v>
      </c>
      <c r="E3268" t="s">
        <v>22040</v>
      </c>
      <c r="F3268" t="s">
        <v>32606</v>
      </c>
      <c r="G3268" t="s">
        <v>32614</v>
      </c>
      <c r="H3268" t="s">
        <v>14201</v>
      </c>
      <c r="I3268" t="s">
        <v>32640</v>
      </c>
      <c r="J3268" t="s">
        <v>33092</v>
      </c>
      <c r="K3268" t="s">
        <v>42629</v>
      </c>
      <c r="M3268" t="s">
        <v>44328</v>
      </c>
      <c r="N3268" t="s">
        <v>47304</v>
      </c>
      <c r="O3268" t="s">
        <v>47305</v>
      </c>
      <c r="P3268">
        <v>0</v>
      </c>
      <c r="Q3268">
        <v>3</v>
      </c>
      <c r="R3268" t="s">
        <v>47306</v>
      </c>
      <c r="S3268" t="s">
        <v>47414</v>
      </c>
      <c r="T3268" t="s">
        <v>48976</v>
      </c>
      <c r="U3268" t="s">
        <v>52378</v>
      </c>
      <c r="W3268" t="s">
        <v>44328</v>
      </c>
      <c r="X3268" t="s">
        <v>47308</v>
      </c>
    </row>
    <row r="3269" spans="1:24">
      <c r="A3269">
        <f>HYPERLINK("https://www.philgeps.gov.ph/GEPSNONPILOT/Tender/SplashBidNoticeAbstractUI.aspx?menuIndex=3&amp;refID=7195515&amp;Result=3","7195515")</f>
        <v>0</v>
      </c>
      <c r="B3269" t="s">
        <v>337</v>
      </c>
      <c r="C3269" t="s">
        <v>6971</v>
      </c>
      <c r="D3269" t="s">
        <v>19039</v>
      </c>
      <c r="E3269" t="s">
        <v>22041</v>
      </c>
      <c r="F3269" t="s">
        <v>32606</v>
      </c>
      <c r="G3269" t="s">
        <v>32619</v>
      </c>
      <c r="H3269" t="s">
        <v>14201</v>
      </c>
      <c r="I3269" t="s">
        <v>32629</v>
      </c>
      <c r="J3269" t="s">
        <v>32885</v>
      </c>
      <c r="K3269" t="s">
        <v>42622</v>
      </c>
      <c r="M3269" t="s">
        <v>43239</v>
      </c>
      <c r="N3269" t="s">
        <v>47304</v>
      </c>
      <c r="O3269" t="s">
        <v>47305</v>
      </c>
      <c r="P3269">
        <v>0</v>
      </c>
      <c r="Q3269">
        <v>0</v>
      </c>
      <c r="R3269" t="s">
        <v>47306</v>
      </c>
      <c r="S3269" t="s">
        <v>47414</v>
      </c>
      <c r="T3269" t="s">
        <v>48980</v>
      </c>
      <c r="U3269" t="s">
        <v>52379</v>
      </c>
      <c r="W3269" t="s">
        <v>43239</v>
      </c>
      <c r="X3269" t="s">
        <v>47308</v>
      </c>
    </row>
    <row r="3270" spans="1:24">
      <c r="A3270">
        <f>HYPERLINK("https://www.philgeps.gov.ph/GEPSNONPILOT/Tender/SplashBidNoticeAbstractUI.aspx?menuIndex=3&amp;refID=7195480&amp;Result=3","7195480")</f>
        <v>0</v>
      </c>
      <c r="B3270" t="s">
        <v>1308</v>
      </c>
      <c r="C3270" t="s">
        <v>6873</v>
      </c>
      <c r="D3270" t="s">
        <v>18990</v>
      </c>
      <c r="E3270" t="s">
        <v>22042</v>
      </c>
      <c r="F3270" t="s">
        <v>32606</v>
      </c>
      <c r="G3270" t="s">
        <v>32614</v>
      </c>
      <c r="H3270" t="s">
        <v>14201</v>
      </c>
      <c r="I3270" t="s">
        <v>6007</v>
      </c>
      <c r="J3270" t="s">
        <v>32999</v>
      </c>
      <c r="K3270" t="s">
        <v>42622</v>
      </c>
      <c r="M3270" t="s">
        <v>44282</v>
      </c>
      <c r="N3270" t="s">
        <v>47304</v>
      </c>
      <c r="O3270" t="s">
        <v>47305</v>
      </c>
      <c r="P3270">
        <v>0</v>
      </c>
      <c r="Q3270">
        <v>0</v>
      </c>
      <c r="R3270" t="s">
        <v>47306</v>
      </c>
      <c r="S3270" t="s">
        <v>47414</v>
      </c>
      <c r="T3270" t="s">
        <v>48980</v>
      </c>
      <c r="U3270" t="s">
        <v>52276</v>
      </c>
      <c r="W3270" t="s">
        <v>44282</v>
      </c>
      <c r="X3270" t="s">
        <v>47308</v>
      </c>
    </row>
    <row r="3271" spans="1:24">
      <c r="A3271">
        <f>HYPERLINK("https://www.philgeps.gov.ph/GEPSNONPILOT/Tender/SplashBidNoticeAbstractUI.aspx?menuIndex=3&amp;refID=7195511&amp;Result=3","7195511")</f>
        <v>0</v>
      </c>
      <c r="B3271" t="s">
        <v>258</v>
      </c>
      <c r="C3271" t="s">
        <v>6972</v>
      </c>
      <c r="D3271" t="s">
        <v>19038</v>
      </c>
      <c r="E3271" t="s">
        <v>22043</v>
      </c>
      <c r="F3271" t="s">
        <v>32606</v>
      </c>
      <c r="G3271" t="s">
        <v>32613</v>
      </c>
      <c r="H3271" t="s">
        <v>14201</v>
      </c>
      <c r="I3271" t="s">
        <v>7064</v>
      </c>
      <c r="J3271" t="s">
        <v>33043</v>
      </c>
      <c r="K3271" t="s">
        <v>42631</v>
      </c>
      <c r="M3271" t="s">
        <v>44329</v>
      </c>
      <c r="N3271" t="s">
        <v>47304</v>
      </c>
      <c r="O3271" t="s">
        <v>47305</v>
      </c>
      <c r="P3271">
        <v>0</v>
      </c>
      <c r="Q3271">
        <v>3</v>
      </c>
      <c r="R3271" t="s">
        <v>47306</v>
      </c>
      <c r="S3271" t="s">
        <v>47414</v>
      </c>
      <c r="T3271" t="s">
        <v>49008</v>
      </c>
      <c r="U3271" t="s">
        <v>52380</v>
      </c>
      <c r="W3271" t="s">
        <v>44329</v>
      </c>
      <c r="X3271" t="s">
        <v>47308</v>
      </c>
    </row>
    <row r="3272" spans="1:24">
      <c r="A3272">
        <f>HYPERLINK("https://www.philgeps.gov.ph/GEPSNONPILOT/Tender/SplashBidNoticeAbstractUI.aspx?menuIndex=3&amp;refID=7195510&amp;Result=3","7195510")</f>
        <v>0</v>
      </c>
      <c r="B3272" t="s">
        <v>662</v>
      </c>
      <c r="C3272" t="s">
        <v>4540</v>
      </c>
      <c r="D3272" t="s">
        <v>19023</v>
      </c>
      <c r="E3272" t="s">
        <v>22044</v>
      </c>
      <c r="F3272" t="s">
        <v>32606</v>
      </c>
      <c r="G3272" t="s">
        <v>32614</v>
      </c>
      <c r="H3272" t="s">
        <v>14201</v>
      </c>
      <c r="I3272" t="s">
        <v>32633</v>
      </c>
      <c r="J3272" t="s">
        <v>35016</v>
      </c>
      <c r="K3272" t="s">
        <v>42631</v>
      </c>
      <c r="M3272" t="s">
        <v>43582</v>
      </c>
      <c r="N3272" t="s">
        <v>47304</v>
      </c>
      <c r="O3272" t="s">
        <v>47305</v>
      </c>
      <c r="P3272">
        <v>0</v>
      </c>
      <c r="Q3272">
        <v>2</v>
      </c>
      <c r="R3272" t="s">
        <v>47306</v>
      </c>
      <c r="S3272" t="s">
        <v>47414</v>
      </c>
      <c r="T3272" t="s">
        <v>49004</v>
      </c>
      <c r="U3272" t="s">
        <v>52381</v>
      </c>
      <c r="W3272" t="s">
        <v>43582</v>
      </c>
      <c r="X3272" t="s">
        <v>47308</v>
      </c>
    </row>
    <row r="3273" spans="1:24">
      <c r="A3273">
        <f>HYPERLINK("https://www.philgeps.gov.ph/GEPSNONPILOT/Tender/SplashBidNoticeAbstractUI.aspx?menuIndex=3&amp;refID=7195509&amp;Result=3","7195509")</f>
        <v>0</v>
      </c>
      <c r="B3273" t="s">
        <v>1355</v>
      </c>
      <c r="C3273" t="s">
        <v>6973</v>
      </c>
      <c r="D3273" t="s">
        <v>19003</v>
      </c>
      <c r="E3273" t="s">
        <v>22045</v>
      </c>
      <c r="F3273" t="s">
        <v>32606</v>
      </c>
      <c r="G3273" t="s">
        <v>32614</v>
      </c>
      <c r="H3273" t="s">
        <v>14201</v>
      </c>
      <c r="I3273" t="s">
        <v>7577</v>
      </c>
      <c r="J3273" t="s">
        <v>35017</v>
      </c>
      <c r="K3273" t="s">
        <v>42627</v>
      </c>
      <c r="M3273" t="s">
        <v>44330</v>
      </c>
      <c r="N3273" t="s">
        <v>47304</v>
      </c>
      <c r="O3273" t="s">
        <v>47305</v>
      </c>
      <c r="P3273">
        <v>0</v>
      </c>
      <c r="Q3273">
        <v>4</v>
      </c>
      <c r="R3273" t="s">
        <v>47306</v>
      </c>
      <c r="S3273" t="s">
        <v>47414</v>
      </c>
      <c r="T3273" t="s">
        <v>49050</v>
      </c>
      <c r="U3273" t="s">
        <v>52382</v>
      </c>
      <c r="W3273" t="s">
        <v>44330</v>
      </c>
      <c r="X3273" t="s">
        <v>47308</v>
      </c>
    </row>
    <row r="3274" spans="1:24">
      <c r="A3274">
        <f>HYPERLINK("https://www.philgeps.gov.ph/GEPSNONPILOT/Tender/SplashBidNoticeAbstractUI.aspx?menuIndex=3&amp;refID=7195518&amp;Result=3","7195518")</f>
        <v>0</v>
      </c>
      <c r="B3274" t="s">
        <v>1356</v>
      </c>
      <c r="C3274" t="s">
        <v>4464</v>
      </c>
      <c r="D3274" t="s">
        <v>19024</v>
      </c>
      <c r="E3274" t="s">
        <v>19522</v>
      </c>
      <c r="F3274" t="s">
        <v>32606</v>
      </c>
      <c r="G3274" t="s">
        <v>32619</v>
      </c>
      <c r="H3274" t="s">
        <v>14201</v>
      </c>
      <c r="I3274" t="s">
        <v>4678</v>
      </c>
      <c r="J3274" t="s">
        <v>35018</v>
      </c>
      <c r="K3274" t="s">
        <v>42630</v>
      </c>
      <c r="M3274" t="s">
        <v>44331</v>
      </c>
      <c r="N3274" t="s">
        <v>47304</v>
      </c>
      <c r="O3274" t="s">
        <v>47305</v>
      </c>
      <c r="P3274">
        <v>0</v>
      </c>
      <c r="Q3274">
        <v>0</v>
      </c>
      <c r="R3274" t="s">
        <v>47306</v>
      </c>
      <c r="S3274" t="s">
        <v>47414</v>
      </c>
      <c r="T3274" t="s">
        <v>49071</v>
      </c>
      <c r="U3274" t="s">
        <v>52383</v>
      </c>
      <c r="W3274" t="s">
        <v>44331</v>
      </c>
      <c r="X3274" t="s">
        <v>47308</v>
      </c>
    </row>
    <row r="3275" spans="1:24">
      <c r="A3275">
        <f>HYPERLINK("https://www.philgeps.gov.ph/GEPSNONPILOT/Tender/SplashBidNoticeAbstractUI.aspx?menuIndex=3&amp;refID=7195507&amp;Result=3","7195507")</f>
        <v>0</v>
      </c>
      <c r="B3275" t="s">
        <v>1357</v>
      </c>
      <c r="C3275" t="s">
        <v>6974</v>
      </c>
      <c r="D3275" t="s">
        <v>18993</v>
      </c>
      <c r="E3275" t="s">
        <v>22046</v>
      </c>
      <c r="F3275" t="s">
        <v>32606</v>
      </c>
      <c r="G3275" t="s">
        <v>32614</v>
      </c>
      <c r="H3275" t="s">
        <v>14201</v>
      </c>
      <c r="I3275" t="s">
        <v>32675</v>
      </c>
      <c r="J3275" t="s">
        <v>35019</v>
      </c>
      <c r="K3275" t="s">
        <v>42631</v>
      </c>
      <c r="M3275" t="s">
        <v>44332</v>
      </c>
      <c r="N3275" t="s">
        <v>47304</v>
      </c>
      <c r="O3275" t="s">
        <v>47305</v>
      </c>
      <c r="P3275">
        <v>0</v>
      </c>
      <c r="Q3275">
        <v>1</v>
      </c>
      <c r="R3275" t="s">
        <v>47306</v>
      </c>
      <c r="S3275" t="s">
        <v>47414</v>
      </c>
      <c r="T3275" t="s">
        <v>48996</v>
      </c>
      <c r="U3275" t="s">
        <v>52384</v>
      </c>
      <c r="V3275" t="s">
        <v>62994</v>
      </c>
      <c r="W3275" t="s">
        <v>44332</v>
      </c>
      <c r="X3275" t="s">
        <v>47308</v>
      </c>
    </row>
    <row r="3276" spans="1:24">
      <c r="A3276">
        <f>HYPERLINK("https://www.philgeps.gov.ph/GEPSNONPILOT/Tender/SplashBidNoticeAbstractUI.aspx?menuIndex=3&amp;refID=7195506&amp;Result=3","7195506")</f>
        <v>0</v>
      </c>
      <c r="B3276" t="s">
        <v>1358</v>
      </c>
      <c r="C3276" t="s">
        <v>6975</v>
      </c>
      <c r="D3276" t="s">
        <v>18993</v>
      </c>
      <c r="E3276" t="s">
        <v>22047</v>
      </c>
      <c r="F3276" t="s">
        <v>32606</v>
      </c>
      <c r="G3276" t="s">
        <v>32614</v>
      </c>
      <c r="H3276" t="s">
        <v>14201</v>
      </c>
      <c r="I3276" t="s">
        <v>4120</v>
      </c>
      <c r="J3276" t="s">
        <v>35020</v>
      </c>
      <c r="K3276" t="s">
        <v>42623</v>
      </c>
      <c r="M3276" t="s">
        <v>44333</v>
      </c>
      <c r="N3276" t="s">
        <v>47304</v>
      </c>
      <c r="O3276" t="s">
        <v>47305</v>
      </c>
      <c r="P3276">
        <v>0</v>
      </c>
      <c r="Q3276">
        <v>14</v>
      </c>
      <c r="R3276" t="s">
        <v>47306</v>
      </c>
      <c r="S3276" t="s">
        <v>47414</v>
      </c>
      <c r="T3276" t="s">
        <v>48980</v>
      </c>
      <c r="U3276" t="s">
        <v>52385</v>
      </c>
      <c r="W3276" t="s">
        <v>44333</v>
      </c>
      <c r="X3276" t="s">
        <v>47308</v>
      </c>
    </row>
    <row r="3277" spans="1:24">
      <c r="A3277">
        <f>HYPERLINK("https://www.philgeps.gov.ph/GEPSNONPILOT/Tender/SplashBidNoticeAbstractUI.aspx?menuIndex=3&amp;refID=7195482&amp;Result=3","7195482")</f>
        <v>0</v>
      </c>
      <c r="B3277" t="s">
        <v>1359</v>
      </c>
      <c r="C3277" t="s">
        <v>6976</v>
      </c>
      <c r="D3277" t="s">
        <v>19014</v>
      </c>
      <c r="E3277" t="s">
        <v>22048</v>
      </c>
      <c r="F3277" t="s">
        <v>32606</v>
      </c>
      <c r="G3277" t="s">
        <v>32613</v>
      </c>
      <c r="H3277" t="s">
        <v>14201</v>
      </c>
      <c r="I3277" t="s">
        <v>6931</v>
      </c>
      <c r="J3277" t="s">
        <v>32981</v>
      </c>
      <c r="K3277" t="s">
        <v>42622</v>
      </c>
      <c r="L3277" t="s">
        <v>1359</v>
      </c>
      <c r="M3277" t="s">
        <v>44334</v>
      </c>
      <c r="N3277" t="s">
        <v>47304</v>
      </c>
      <c r="O3277" t="s">
        <v>47305</v>
      </c>
      <c r="P3277">
        <v>0</v>
      </c>
      <c r="Q3277">
        <v>1</v>
      </c>
      <c r="R3277" t="s">
        <v>47306</v>
      </c>
      <c r="S3277" t="s">
        <v>47414</v>
      </c>
      <c r="T3277" t="s">
        <v>49017</v>
      </c>
      <c r="U3277" t="s">
        <v>52386</v>
      </c>
      <c r="W3277" t="s">
        <v>44334</v>
      </c>
      <c r="X3277" t="s">
        <v>47308</v>
      </c>
    </row>
    <row r="3278" spans="1:24">
      <c r="A3278">
        <f>HYPERLINK("https://www.philgeps.gov.ph/GEPSNONPILOT/Tender/SplashBidNoticeAbstractUI.aspx?menuIndex=3&amp;refID=7195550&amp;Result=3","7195550")</f>
        <v>0</v>
      </c>
      <c r="B3278" t="s">
        <v>897</v>
      </c>
      <c r="C3278" t="s">
        <v>6977</v>
      </c>
      <c r="D3278" t="s">
        <v>19067</v>
      </c>
      <c r="E3278" t="s">
        <v>22049</v>
      </c>
      <c r="F3278" t="s">
        <v>32606</v>
      </c>
      <c r="G3278" t="s">
        <v>32614</v>
      </c>
      <c r="H3278" t="s">
        <v>14201</v>
      </c>
      <c r="I3278" t="s">
        <v>6931</v>
      </c>
      <c r="J3278" t="s">
        <v>35021</v>
      </c>
      <c r="K3278" t="s">
        <v>42631</v>
      </c>
      <c r="M3278" t="s">
        <v>43834</v>
      </c>
      <c r="N3278" t="s">
        <v>47304</v>
      </c>
      <c r="O3278" t="s">
        <v>47305</v>
      </c>
      <c r="P3278">
        <v>0</v>
      </c>
      <c r="Q3278">
        <v>1</v>
      </c>
      <c r="R3278" t="s">
        <v>47306</v>
      </c>
      <c r="S3278" t="s">
        <v>47414</v>
      </c>
      <c r="T3278" t="s">
        <v>49101</v>
      </c>
      <c r="U3278" t="s">
        <v>52387</v>
      </c>
      <c r="W3278" t="s">
        <v>43834</v>
      </c>
      <c r="X3278" t="s">
        <v>47308</v>
      </c>
    </row>
    <row r="3279" spans="1:24">
      <c r="A3279">
        <f>HYPERLINK("https://www.philgeps.gov.ph/GEPSNONPILOT/Tender/SplashBidNoticeAbstractUI.aspx?menuIndex=3&amp;refID=7195434&amp;Result=3","7195434")</f>
        <v>0</v>
      </c>
      <c r="B3279" t="s">
        <v>895</v>
      </c>
      <c r="C3279" t="s">
        <v>6978</v>
      </c>
      <c r="D3279" t="s">
        <v>18993</v>
      </c>
      <c r="E3279" t="s">
        <v>22050</v>
      </c>
      <c r="F3279" t="s">
        <v>32606</v>
      </c>
      <c r="G3279" t="s">
        <v>32619</v>
      </c>
      <c r="H3279" t="s">
        <v>14201</v>
      </c>
      <c r="I3279" t="s">
        <v>4114</v>
      </c>
      <c r="J3279" t="s">
        <v>35022</v>
      </c>
      <c r="K3279" t="s">
        <v>42624</v>
      </c>
      <c r="M3279" t="s">
        <v>43831</v>
      </c>
      <c r="N3279" t="s">
        <v>47304</v>
      </c>
      <c r="O3279" t="s">
        <v>47305</v>
      </c>
      <c r="P3279">
        <v>0</v>
      </c>
      <c r="Q3279">
        <v>9</v>
      </c>
      <c r="R3279" t="s">
        <v>47306</v>
      </c>
      <c r="S3279" t="s">
        <v>47414</v>
      </c>
      <c r="T3279" t="s">
        <v>49014</v>
      </c>
      <c r="U3279" t="s">
        <v>52388</v>
      </c>
      <c r="W3279" t="s">
        <v>43831</v>
      </c>
      <c r="X3279" t="s">
        <v>47308</v>
      </c>
    </row>
    <row r="3280" spans="1:24">
      <c r="A3280">
        <f>HYPERLINK("https://www.philgeps.gov.ph/GEPSNONPILOT/Tender/SplashBidNoticeAbstractUI.aspx?menuIndex=3&amp;refID=7195513&amp;Result=3","7195513")</f>
        <v>0</v>
      </c>
      <c r="B3280" t="s">
        <v>766</v>
      </c>
      <c r="C3280" t="s">
        <v>6979</v>
      </c>
      <c r="D3280" t="s">
        <v>19012</v>
      </c>
      <c r="E3280" t="s">
        <v>22051</v>
      </c>
      <c r="F3280" t="s">
        <v>32606</v>
      </c>
      <c r="G3280" t="s">
        <v>32614</v>
      </c>
      <c r="H3280" t="s">
        <v>14201</v>
      </c>
      <c r="I3280" t="s">
        <v>4114</v>
      </c>
      <c r="J3280" t="s">
        <v>35023</v>
      </c>
      <c r="K3280" t="s">
        <v>42631</v>
      </c>
      <c r="M3280" t="s">
        <v>44335</v>
      </c>
      <c r="N3280" t="s">
        <v>47304</v>
      </c>
      <c r="O3280" t="s">
        <v>47305</v>
      </c>
      <c r="P3280">
        <v>0</v>
      </c>
      <c r="Q3280">
        <v>6</v>
      </c>
      <c r="R3280" t="s">
        <v>47306</v>
      </c>
      <c r="S3280" t="s">
        <v>47414</v>
      </c>
      <c r="T3280" t="s">
        <v>48997</v>
      </c>
      <c r="U3280" t="s">
        <v>52389</v>
      </c>
      <c r="W3280" t="s">
        <v>44335</v>
      </c>
      <c r="X3280" t="s">
        <v>47308</v>
      </c>
    </row>
    <row r="3281" spans="1:24">
      <c r="A3281">
        <f>HYPERLINK("https://www.philgeps.gov.ph/GEPSNONPILOT/Tender/SplashBidNoticeAbstractUI.aspx?menuIndex=3&amp;refID=7195521&amp;Result=3","7195521")</f>
        <v>0</v>
      </c>
      <c r="B3281" t="s">
        <v>1360</v>
      </c>
      <c r="C3281" t="s">
        <v>6980</v>
      </c>
      <c r="D3281" t="s">
        <v>19042</v>
      </c>
      <c r="E3281" t="s">
        <v>22052</v>
      </c>
      <c r="F3281" t="s">
        <v>32606</v>
      </c>
      <c r="G3281" t="s">
        <v>32614</v>
      </c>
      <c r="H3281" t="s">
        <v>14201</v>
      </c>
      <c r="I3281" t="s">
        <v>32629</v>
      </c>
      <c r="J3281" t="s">
        <v>35024</v>
      </c>
      <c r="K3281" t="s">
        <v>42623</v>
      </c>
      <c r="M3281" t="s">
        <v>44336</v>
      </c>
      <c r="N3281" t="s">
        <v>47304</v>
      </c>
      <c r="O3281" t="s">
        <v>47305</v>
      </c>
      <c r="P3281">
        <v>0</v>
      </c>
      <c r="Q3281">
        <v>0</v>
      </c>
      <c r="R3281" t="s">
        <v>47306</v>
      </c>
      <c r="S3281" t="s">
        <v>47414</v>
      </c>
      <c r="T3281" t="s">
        <v>48979</v>
      </c>
      <c r="U3281" t="s">
        <v>52390</v>
      </c>
      <c r="W3281" t="s">
        <v>44336</v>
      </c>
      <c r="X3281" t="s">
        <v>47308</v>
      </c>
    </row>
    <row r="3282" spans="1:24">
      <c r="A3282">
        <f>HYPERLINK("https://www.philgeps.gov.ph/GEPSNONPILOT/Tender/SplashBidNoticeAbstractUI.aspx?menuIndex=3&amp;refID=7195547&amp;Result=3","7195547")</f>
        <v>0</v>
      </c>
      <c r="B3282" t="s">
        <v>1346</v>
      </c>
      <c r="C3282" t="s">
        <v>6981</v>
      </c>
      <c r="E3282" t="s">
        <v>22053</v>
      </c>
      <c r="F3282" t="s">
        <v>32606</v>
      </c>
      <c r="G3282" t="s">
        <v>32619</v>
      </c>
      <c r="H3282" t="s">
        <v>14201</v>
      </c>
      <c r="I3282" t="s">
        <v>4120</v>
      </c>
      <c r="J3282" t="s">
        <v>35025</v>
      </c>
      <c r="K3282" t="s">
        <v>42624</v>
      </c>
      <c r="M3282" t="s">
        <v>44320</v>
      </c>
      <c r="N3282" t="s">
        <v>47304</v>
      </c>
      <c r="O3282" t="s">
        <v>47305</v>
      </c>
      <c r="P3282">
        <v>0</v>
      </c>
      <c r="Q3282">
        <v>0</v>
      </c>
      <c r="R3282" t="s">
        <v>47306</v>
      </c>
      <c r="S3282" t="s">
        <v>47414</v>
      </c>
      <c r="T3282" t="s">
        <v>48998</v>
      </c>
      <c r="U3282" t="s">
        <v>52391</v>
      </c>
      <c r="W3282" t="s">
        <v>44320</v>
      </c>
      <c r="X3282" t="s">
        <v>47308</v>
      </c>
    </row>
    <row r="3283" spans="1:24">
      <c r="A3283">
        <f>HYPERLINK("https://www.philgeps.gov.ph/GEPSNONPILOT/Tender/SplashBidNoticeAbstractUI.aspx?menuIndex=3&amp;refID=7195543&amp;Result=3","7195543")</f>
        <v>0</v>
      </c>
      <c r="B3283" t="s">
        <v>534</v>
      </c>
      <c r="C3283" t="s">
        <v>4862</v>
      </c>
      <c r="D3283" t="s">
        <v>19006</v>
      </c>
      <c r="E3283" t="s">
        <v>22054</v>
      </c>
      <c r="F3283" t="s">
        <v>32606</v>
      </c>
      <c r="G3283" t="s">
        <v>32613</v>
      </c>
      <c r="H3283" t="s">
        <v>14201</v>
      </c>
      <c r="I3283" t="s">
        <v>4120</v>
      </c>
      <c r="J3283" t="s">
        <v>35026</v>
      </c>
      <c r="K3283" t="s">
        <v>42622</v>
      </c>
      <c r="M3283" t="s">
        <v>43447</v>
      </c>
      <c r="N3283" t="s">
        <v>47304</v>
      </c>
      <c r="O3283" t="s">
        <v>47305</v>
      </c>
      <c r="P3283">
        <v>0</v>
      </c>
      <c r="Q3283">
        <v>0</v>
      </c>
      <c r="R3283" t="s">
        <v>47306</v>
      </c>
      <c r="S3283" t="s">
        <v>47414</v>
      </c>
      <c r="T3283" t="s">
        <v>48990</v>
      </c>
      <c r="U3283" t="s">
        <v>52392</v>
      </c>
      <c r="W3283" t="s">
        <v>43447</v>
      </c>
      <c r="X3283" t="s">
        <v>47308</v>
      </c>
    </row>
    <row r="3284" spans="1:24">
      <c r="A3284">
        <f>HYPERLINK("https://www.philgeps.gov.ph/GEPSNONPILOT/Tender/SplashBidNoticeAbstractUI.aspx?menuIndex=3&amp;refID=7195451&amp;Result=3","7195451")</f>
        <v>0</v>
      </c>
      <c r="B3284" t="s">
        <v>234</v>
      </c>
      <c r="C3284" t="s">
        <v>3971</v>
      </c>
      <c r="D3284" t="s">
        <v>19052</v>
      </c>
      <c r="E3284" t="s">
        <v>22055</v>
      </c>
      <c r="F3284" t="s">
        <v>32606</v>
      </c>
      <c r="G3284" t="s">
        <v>32614</v>
      </c>
      <c r="H3284" t="s">
        <v>14201</v>
      </c>
      <c r="I3284" t="s">
        <v>4120</v>
      </c>
      <c r="J3284" t="s">
        <v>35027</v>
      </c>
      <c r="K3284" t="s">
        <v>42631</v>
      </c>
      <c r="M3284" t="s">
        <v>43135</v>
      </c>
      <c r="N3284" t="s">
        <v>47304</v>
      </c>
      <c r="O3284" t="s">
        <v>47305</v>
      </c>
      <c r="P3284">
        <v>0</v>
      </c>
      <c r="Q3284">
        <v>0</v>
      </c>
      <c r="R3284" t="s">
        <v>47306</v>
      </c>
      <c r="S3284" t="s">
        <v>47414</v>
      </c>
      <c r="T3284" t="s">
        <v>49050</v>
      </c>
      <c r="U3284" t="s">
        <v>51117</v>
      </c>
      <c r="V3284" t="s">
        <v>62641</v>
      </c>
      <c r="W3284" t="s">
        <v>43135</v>
      </c>
      <c r="X3284" t="s">
        <v>47308</v>
      </c>
    </row>
    <row r="3285" spans="1:24">
      <c r="A3285">
        <f>HYPERLINK("https://www.philgeps.gov.ph/GEPSNONPILOT/Tender/SplashBidNoticeAbstractUI.aspx?menuIndex=3&amp;refID=7195542&amp;Result=3","7195542")</f>
        <v>0</v>
      </c>
      <c r="B3285" t="s">
        <v>1361</v>
      </c>
      <c r="C3285" t="s">
        <v>6982</v>
      </c>
      <c r="D3285" t="s">
        <v>19033</v>
      </c>
      <c r="E3285" t="s">
        <v>21798</v>
      </c>
      <c r="F3285" t="s">
        <v>32606</v>
      </c>
      <c r="G3285" t="s">
        <v>32613</v>
      </c>
      <c r="H3285" t="s">
        <v>32624</v>
      </c>
      <c r="I3285" t="s">
        <v>32686</v>
      </c>
      <c r="J3285" t="s">
        <v>33051</v>
      </c>
      <c r="K3285" t="s">
        <v>42693</v>
      </c>
      <c r="M3285" t="s">
        <v>44337</v>
      </c>
      <c r="N3285" t="s">
        <v>47304</v>
      </c>
      <c r="O3285" t="s">
        <v>47305</v>
      </c>
      <c r="P3285">
        <v>0</v>
      </c>
      <c r="Q3285">
        <v>2</v>
      </c>
      <c r="R3285" t="s">
        <v>47306</v>
      </c>
      <c r="S3285" t="s">
        <v>47414</v>
      </c>
      <c r="T3285" t="s">
        <v>49259</v>
      </c>
      <c r="U3285" t="s">
        <v>52393</v>
      </c>
      <c r="V3285" t="s">
        <v>62995</v>
      </c>
      <c r="W3285" t="s">
        <v>44337</v>
      </c>
      <c r="X3285" t="s">
        <v>47308</v>
      </c>
    </row>
    <row r="3286" spans="1:24">
      <c r="A3286">
        <f>HYPERLINK("https://www.philgeps.gov.ph/GEPSNONPILOT/Tender/SplashBidNoticeAbstractUI.aspx?menuIndex=3&amp;refID=7195540&amp;Result=3","7195540")</f>
        <v>0</v>
      </c>
      <c r="B3286" t="s">
        <v>984</v>
      </c>
      <c r="C3286" t="s">
        <v>6983</v>
      </c>
      <c r="D3286" t="s">
        <v>19039</v>
      </c>
      <c r="E3286" t="s">
        <v>22056</v>
      </c>
      <c r="F3286" t="s">
        <v>32606</v>
      </c>
      <c r="G3286" t="s">
        <v>32614</v>
      </c>
      <c r="H3286" t="s">
        <v>14201</v>
      </c>
      <c r="I3286" t="s">
        <v>4114</v>
      </c>
      <c r="J3286" t="s">
        <v>35028</v>
      </c>
      <c r="K3286" t="s">
        <v>42625</v>
      </c>
      <c r="L3286" t="s">
        <v>984</v>
      </c>
      <c r="M3286" t="s">
        <v>43930</v>
      </c>
      <c r="N3286" t="s">
        <v>47304</v>
      </c>
      <c r="O3286" t="s">
        <v>47305</v>
      </c>
      <c r="P3286">
        <v>0</v>
      </c>
      <c r="Q3286">
        <v>0</v>
      </c>
      <c r="R3286" t="s">
        <v>47306</v>
      </c>
      <c r="S3286" t="s">
        <v>47414</v>
      </c>
      <c r="T3286" t="s">
        <v>48971</v>
      </c>
      <c r="U3286" t="s">
        <v>52394</v>
      </c>
      <c r="W3286" t="s">
        <v>43930</v>
      </c>
      <c r="X3286" t="s">
        <v>47308</v>
      </c>
    </row>
    <row r="3287" spans="1:24">
      <c r="A3287">
        <f>HYPERLINK("https://www.philgeps.gov.ph/GEPSNONPILOT/Tender/SplashBidNoticeAbstractUI.aspx?menuIndex=3&amp;refID=7195525&amp;Result=3","7195525")</f>
        <v>0</v>
      </c>
      <c r="B3287" t="s">
        <v>258</v>
      </c>
      <c r="C3287" t="s">
        <v>6984</v>
      </c>
      <c r="D3287" t="s">
        <v>19038</v>
      </c>
      <c r="E3287" t="s">
        <v>22057</v>
      </c>
      <c r="F3287" t="s">
        <v>32606</v>
      </c>
      <c r="G3287" t="s">
        <v>32613</v>
      </c>
      <c r="H3287" t="s">
        <v>14201</v>
      </c>
      <c r="I3287" t="s">
        <v>9013</v>
      </c>
      <c r="J3287" t="s">
        <v>35029</v>
      </c>
      <c r="K3287" t="s">
        <v>42631</v>
      </c>
      <c r="M3287" t="s">
        <v>44329</v>
      </c>
      <c r="N3287" t="s">
        <v>47304</v>
      </c>
      <c r="O3287" t="s">
        <v>47305</v>
      </c>
      <c r="P3287">
        <v>0</v>
      </c>
      <c r="Q3287">
        <v>0</v>
      </c>
      <c r="R3287" t="s">
        <v>47306</v>
      </c>
      <c r="S3287" t="s">
        <v>47414</v>
      </c>
      <c r="T3287" t="s">
        <v>49008</v>
      </c>
      <c r="U3287" t="s">
        <v>52395</v>
      </c>
      <c r="W3287" t="s">
        <v>44329</v>
      </c>
      <c r="X3287" t="s">
        <v>47308</v>
      </c>
    </row>
    <row r="3288" spans="1:24">
      <c r="A3288">
        <f>HYPERLINK("https://www.philgeps.gov.ph/GEPSNONPILOT/Tender/SplashBidNoticeAbstractUI.aspx?menuIndex=3&amp;refID=7195538&amp;Result=3","7195538")</f>
        <v>0</v>
      </c>
      <c r="B3288" t="s">
        <v>723</v>
      </c>
      <c r="C3288" t="s">
        <v>6985</v>
      </c>
      <c r="D3288" t="s">
        <v>18994</v>
      </c>
      <c r="E3288" t="s">
        <v>22058</v>
      </c>
      <c r="F3288" t="s">
        <v>32606</v>
      </c>
      <c r="G3288" t="s">
        <v>32614</v>
      </c>
      <c r="H3288" t="s">
        <v>14201</v>
      </c>
      <c r="I3288" t="s">
        <v>7064</v>
      </c>
      <c r="J3288" t="s">
        <v>33363</v>
      </c>
      <c r="K3288" t="s">
        <v>42630</v>
      </c>
      <c r="M3288" t="s">
        <v>43644</v>
      </c>
      <c r="N3288" t="s">
        <v>47304</v>
      </c>
      <c r="O3288" t="s">
        <v>47305</v>
      </c>
      <c r="P3288">
        <v>0</v>
      </c>
      <c r="Q3288">
        <v>0</v>
      </c>
      <c r="R3288" t="s">
        <v>47306</v>
      </c>
      <c r="S3288" t="s">
        <v>47414</v>
      </c>
      <c r="T3288" t="s">
        <v>49061</v>
      </c>
      <c r="U3288" t="s">
        <v>52396</v>
      </c>
      <c r="W3288" t="s">
        <v>43644</v>
      </c>
      <c r="X3288" t="s">
        <v>47308</v>
      </c>
    </row>
    <row r="3289" spans="1:24">
      <c r="A3289">
        <f>HYPERLINK("https://www.philgeps.gov.ph/GEPSNONPILOT/Tender/SplashBidNoticeAbstractUI.aspx?menuIndex=3&amp;refID=7195537&amp;Result=3","7195537")</f>
        <v>0</v>
      </c>
      <c r="B3289" t="s">
        <v>1362</v>
      </c>
      <c r="C3289" t="s">
        <v>6986</v>
      </c>
      <c r="E3289" t="s">
        <v>22059</v>
      </c>
      <c r="F3289" t="s">
        <v>32606</v>
      </c>
      <c r="G3289" t="s">
        <v>32614</v>
      </c>
      <c r="H3289" t="s">
        <v>14201</v>
      </c>
      <c r="I3289" t="s">
        <v>32638</v>
      </c>
      <c r="J3289" t="s">
        <v>33291</v>
      </c>
      <c r="K3289" t="s">
        <v>42624</v>
      </c>
      <c r="M3289" t="s">
        <v>44338</v>
      </c>
      <c r="N3289" t="s">
        <v>47304</v>
      </c>
      <c r="O3289" t="s">
        <v>47305</v>
      </c>
      <c r="P3289">
        <v>0</v>
      </c>
      <c r="Q3289">
        <v>13</v>
      </c>
      <c r="R3289" t="s">
        <v>47306</v>
      </c>
      <c r="S3289" t="s">
        <v>47414</v>
      </c>
      <c r="T3289" t="s">
        <v>49014</v>
      </c>
      <c r="U3289" t="s">
        <v>49938</v>
      </c>
      <c r="W3289" t="s">
        <v>44338</v>
      </c>
      <c r="X3289" t="s">
        <v>47308</v>
      </c>
    </row>
    <row r="3290" spans="1:24">
      <c r="A3290">
        <f>HYPERLINK("https://www.philgeps.gov.ph/GEPSNONPILOT/Tender/SplashBidNoticeAbstractUI.aspx?menuIndex=3&amp;refID=7195536&amp;Result=3","7195536")</f>
        <v>0</v>
      </c>
      <c r="B3290" t="s">
        <v>1363</v>
      </c>
      <c r="C3290" t="s">
        <v>6987</v>
      </c>
      <c r="D3290" t="s">
        <v>18992</v>
      </c>
      <c r="E3290" t="s">
        <v>22060</v>
      </c>
      <c r="F3290" t="s">
        <v>32606</v>
      </c>
      <c r="G3290" t="s">
        <v>32614</v>
      </c>
      <c r="H3290" t="s">
        <v>14201</v>
      </c>
      <c r="I3290" t="s">
        <v>6993</v>
      </c>
      <c r="J3290" t="s">
        <v>35030</v>
      </c>
      <c r="K3290" t="s">
        <v>42631</v>
      </c>
      <c r="M3290" t="s">
        <v>44339</v>
      </c>
      <c r="N3290" t="s">
        <v>47304</v>
      </c>
      <c r="O3290" t="s">
        <v>47305</v>
      </c>
      <c r="P3290">
        <v>0</v>
      </c>
      <c r="Q3290">
        <v>0</v>
      </c>
      <c r="R3290" t="s">
        <v>47306</v>
      </c>
      <c r="S3290" t="s">
        <v>47414</v>
      </c>
      <c r="T3290" t="s">
        <v>49062</v>
      </c>
      <c r="U3290" t="s">
        <v>52397</v>
      </c>
      <c r="W3290" t="s">
        <v>44339</v>
      </c>
      <c r="X3290" t="s">
        <v>47308</v>
      </c>
    </row>
    <row r="3291" spans="1:24">
      <c r="A3291">
        <f>HYPERLINK("https://www.philgeps.gov.ph/GEPSNONPILOT/Tender/SplashBidNoticeAbstractUI.aspx?menuIndex=3&amp;refID=7195548&amp;Result=3","7195548")</f>
        <v>0</v>
      </c>
      <c r="B3291" t="s">
        <v>1364</v>
      </c>
      <c r="C3291" t="s">
        <v>6988</v>
      </c>
      <c r="D3291" t="s">
        <v>18988</v>
      </c>
      <c r="E3291" t="s">
        <v>22061</v>
      </c>
      <c r="F3291" t="s">
        <v>32606</v>
      </c>
      <c r="G3291" t="s">
        <v>32613</v>
      </c>
      <c r="H3291" t="s">
        <v>14201</v>
      </c>
      <c r="I3291" t="s">
        <v>4120</v>
      </c>
      <c r="J3291" t="s">
        <v>35031</v>
      </c>
      <c r="K3291" t="s">
        <v>42629</v>
      </c>
      <c r="M3291" t="s">
        <v>44340</v>
      </c>
      <c r="N3291" t="s">
        <v>47304</v>
      </c>
      <c r="O3291" t="s">
        <v>47305</v>
      </c>
      <c r="P3291">
        <v>0</v>
      </c>
      <c r="Q3291">
        <v>3</v>
      </c>
      <c r="R3291" t="s">
        <v>47306</v>
      </c>
      <c r="S3291" t="s">
        <v>47414</v>
      </c>
      <c r="T3291" t="s">
        <v>48976</v>
      </c>
      <c r="U3291" t="s">
        <v>52398</v>
      </c>
      <c r="W3291" t="s">
        <v>44340</v>
      </c>
      <c r="X3291" t="s">
        <v>47308</v>
      </c>
    </row>
    <row r="3292" spans="1:24">
      <c r="A3292">
        <f>HYPERLINK("https://www.philgeps.gov.ph/GEPSNONPILOT/Tender/SplashBidNoticeAbstractUI.aspx?menuIndex=3&amp;refID=7195533&amp;Result=3","7195533")</f>
        <v>0</v>
      </c>
      <c r="B3292" t="s">
        <v>1351</v>
      </c>
      <c r="C3292" t="s">
        <v>6989</v>
      </c>
      <c r="D3292" t="s">
        <v>19011</v>
      </c>
      <c r="E3292" t="s">
        <v>22062</v>
      </c>
      <c r="F3292" t="s">
        <v>32606</v>
      </c>
      <c r="G3292" t="s">
        <v>32619</v>
      </c>
      <c r="H3292" t="s">
        <v>14201</v>
      </c>
      <c r="I3292" t="s">
        <v>7233</v>
      </c>
      <c r="J3292" t="s">
        <v>35032</v>
      </c>
      <c r="K3292" t="s">
        <v>42629</v>
      </c>
      <c r="M3292" t="s">
        <v>44325</v>
      </c>
      <c r="N3292" t="s">
        <v>47304</v>
      </c>
      <c r="O3292" t="s">
        <v>47305</v>
      </c>
      <c r="P3292">
        <v>0</v>
      </c>
      <c r="Q3292">
        <v>0</v>
      </c>
      <c r="R3292" t="s">
        <v>47306</v>
      </c>
      <c r="S3292" t="s">
        <v>47414</v>
      </c>
      <c r="T3292" t="s">
        <v>49017</v>
      </c>
      <c r="U3292" t="s">
        <v>52399</v>
      </c>
      <c r="V3292" t="s">
        <v>62992</v>
      </c>
      <c r="W3292" t="s">
        <v>44325</v>
      </c>
      <c r="X3292" t="s">
        <v>47308</v>
      </c>
    </row>
    <row r="3293" spans="1:24">
      <c r="A3293">
        <f>HYPERLINK("https://www.philgeps.gov.ph/GEPSNONPILOT/Tender/SplashBidNoticeAbstractUI.aspx?menuIndex=3&amp;refID=7195530&amp;Result=3","7195530")</f>
        <v>0</v>
      </c>
      <c r="B3293" t="s">
        <v>718</v>
      </c>
      <c r="C3293" t="s">
        <v>6990</v>
      </c>
      <c r="D3293" t="s">
        <v>19037</v>
      </c>
      <c r="E3293" t="s">
        <v>22063</v>
      </c>
      <c r="F3293" t="s">
        <v>32606</v>
      </c>
      <c r="G3293" t="s">
        <v>32614</v>
      </c>
      <c r="H3293" t="s">
        <v>14201</v>
      </c>
      <c r="I3293" t="s">
        <v>32652</v>
      </c>
      <c r="J3293" t="s">
        <v>32759</v>
      </c>
      <c r="K3293" t="s">
        <v>42624</v>
      </c>
      <c r="M3293" t="s">
        <v>44341</v>
      </c>
      <c r="N3293" t="s">
        <v>47304</v>
      </c>
      <c r="O3293" t="s">
        <v>47305</v>
      </c>
      <c r="P3293">
        <v>0</v>
      </c>
      <c r="Q3293">
        <v>1</v>
      </c>
      <c r="R3293" t="s">
        <v>47306</v>
      </c>
      <c r="S3293" t="s">
        <v>47414</v>
      </c>
      <c r="T3293" t="s">
        <v>49014</v>
      </c>
      <c r="U3293" t="s">
        <v>52400</v>
      </c>
      <c r="V3293" t="s">
        <v>62996</v>
      </c>
      <c r="W3293" t="s">
        <v>44341</v>
      </c>
      <c r="X3293" t="s">
        <v>47308</v>
      </c>
    </row>
    <row r="3294" spans="1:24">
      <c r="A3294">
        <f>HYPERLINK("https://www.philgeps.gov.ph/GEPSNONPILOT/Tender/SplashBidNoticeAbstractUI.aspx?menuIndex=3&amp;refID=7195551&amp;Result=3","7195551")</f>
        <v>0</v>
      </c>
      <c r="B3294" t="s">
        <v>1365</v>
      </c>
      <c r="C3294" t="s">
        <v>6991</v>
      </c>
      <c r="D3294" t="s">
        <v>19001</v>
      </c>
      <c r="E3294" t="s">
        <v>22064</v>
      </c>
      <c r="F3294" t="s">
        <v>32606</v>
      </c>
      <c r="G3294" t="s">
        <v>32613</v>
      </c>
      <c r="H3294" t="s">
        <v>14201</v>
      </c>
      <c r="I3294" t="s">
        <v>6298</v>
      </c>
      <c r="J3294" t="s">
        <v>32770</v>
      </c>
      <c r="K3294" t="s">
        <v>42631</v>
      </c>
      <c r="M3294" t="s">
        <v>44342</v>
      </c>
      <c r="N3294" t="s">
        <v>47304</v>
      </c>
      <c r="O3294" t="s">
        <v>47305</v>
      </c>
      <c r="P3294">
        <v>0</v>
      </c>
      <c r="Q3294">
        <v>3</v>
      </c>
      <c r="R3294" t="s">
        <v>47306</v>
      </c>
      <c r="S3294" t="s">
        <v>47414</v>
      </c>
      <c r="T3294" t="s">
        <v>48987</v>
      </c>
      <c r="U3294" t="s">
        <v>52401</v>
      </c>
      <c r="W3294" t="s">
        <v>44342</v>
      </c>
      <c r="X3294" t="s">
        <v>47308</v>
      </c>
    </row>
    <row r="3295" spans="1:24">
      <c r="A3295">
        <f>HYPERLINK("https://www.philgeps.gov.ph/GEPSNONPILOT/Tender/SplashBidNoticeAbstractUI.aspx?menuIndex=3&amp;refID=7195564&amp;Result=3","7195564")</f>
        <v>0</v>
      </c>
      <c r="B3295" t="s">
        <v>1366</v>
      </c>
      <c r="C3295" t="s">
        <v>4830</v>
      </c>
      <c r="D3295" t="s">
        <v>19044</v>
      </c>
      <c r="E3295" t="s">
        <v>19279</v>
      </c>
      <c r="F3295" t="s">
        <v>32606</v>
      </c>
      <c r="G3295" t="s">
        <v>32614</v>
      </c>
      <c r="H3295" t="s">
        <v>14201</v>
      </c>
      <c r="I3295" t="s">
        <v>4120</v>
      </c>
      <c r="J3295" t="s">
        <v>34045</v>
      </c>
      <c r="K3295" t="s">
        <v>42625</v>
      </c>
      <c r="M3295" t="s">
        <v>44343</v>
      </c>
      <c r="N3295" t="s">
        <v>47304</v>
      </c>
      <c r="O3295" t="s">
        <v>47305</v>
      </c>
      <c r="P3295">
        <v>0</v>
      </c>
      <c r="Q3295">
        <v>2</v>
      </c>
      <c r="R3295" t="s">
        <v>47306</v>
      </c>
      <c r="S3295" t="s">
        <v>47414</v>
      </c>
      <c r="T3295" t="s">
        <v>49061</v>
      </c>
      <c r="U3295" t="s">
        <v>52402</v>
      </c>
      <c r="W3295" t="s">
        <v>44343</v>
      </c>
      <c r="X3295" t="s">
        <v>47308</v>
      </c>
    </row>
    <row r="3296" spans="1:24">
      <c r="A3296">
        <f>HYPERLINK("https://www.philgeps.gov.ph/GEPSNONPILOT/Tender/SplashBidNoticeAbstractUI.aspx?menuIndex=3&amp;refID=7195562&amp;Result=3","7195562")</f>
        <v>0</v>
      </c>
      <c r="B3296" t="s">
        <v>1367</v>
      </c>
      <c r="C3296" t="s">
        <v>6992</v>
      </c>
      <c r="D3296" t="s">
        <v>19006</v>
      </c>
      <c r="E3296" t="s">
        <v>22065</v>
      </c>
      <c r="F3296" t="s">
        <v>32606</v>
      </c>
      <c r="G3296" t="s">
        <v>32614</v>
      </c>
      <c r="H3296" t="s">
        <v>14201</v>
      </c>
      <c r="I3296" t="s">
        <v>4678</v>
      </c>
      <c r="J3296" t="s">
        <v>35033</v>
      </c>
      <c r="K3296" t="s">
        <v>42629</v>
      </c>
      <c r="M3296" t="s">
        <v>44344</v>
      </c>
      <c r="N3296" t="s">
        <v>47304</v>
      </c>
      <c r="O3296" t="s">
        <v>47305</v>
      </c>
      <c r="P3296">
        <v>0</v>
      </c>
      <c r="Q3296">
        <v>1</v>
      </c>
      <c r="R3296" t="s">
        <v>47306</v>
      </c>
      <c r="S3296" t="s">
        <v>47414</v>
      </c>
      <c r="T3296" t="s">
        <v>48980</v>
      </c>
      <c r="U3296" t="s">
        <v>52403</v>
      </c>
      <c r="W3296" t="s">
        <v>44344</v>
      </c>
      <c r="X3296" t="s">
        <v>47308</v>
      </c>
    </row>
    <row r="3297" spans="1:24">
      <c r="A3297">
        <f>HYPERLINK("https://www.philgeps.gov.ph/GEPSNONPILOT/Tender/SplashBidNoticeAbstractUI.aspx?menuIndex=3&amp;refID=7195539&amp;Result=3","7195539")</f>
        <v>0</v>
      </c>
      <c r="B3297" t="s">
        <v>337</v>
      </c>
      <c r="C3297" t="s">
        <v>6993</v>
      </c>
      <c r="D3297" t="s">
        <v>19039</v>
      </c>
      <c r="E3297" t="s">
        <v>22066</v>
      </c>
      <c r="F3297" t="s">
        <v>32606</v>
      </c>
      <c r="G3297" t="s">
        <v>32619</v>
      </c>
      <c r="H3297" t="s">
        <v>14201</v>
      </c>
      <c r="I3297" t="s">
        <v>6993</v>
      </c>
      <c r="J3297" t="s">
        <v>35034</v>
      </c>
      <c r="K3297" t="s">
        <v>42622</v>
      </c>
      <c r="M3297" t="s">
        <v>43239</v>
      </c>
      <c r="N3297" t="s">
        <v>47304</v>
      </c>
      <c r="O3297" t="s">
        <v>47305</v>
      </c>
      <c r="P3297">
        <v>0</v>
      </c>
      <c r="Q3297">
        <v>0</v>
      </c>
      <c r="R3297" t="s">
        <v>47306</v>
      </c>
      <c r="S3297" t="s">
        <v>47414</v>
      </c>
      <c r="T3297" t="s">
        <v>48980</v>
      </c>
      <c r="U3297" t="s">
        <v>52404</v>
      </c>
      <c r="W3297" t="s">
        <v>43239</v>
      </c>
      <c r="X3297" t="s">
        <v>47308</v>
      </c>
    </row>
    <row r="3298" spans="1:24">
      <c r="A3298">
        <f>HYPERLINK("https://www.philgeps.gov.ph/GEPSNONPILOT/Tender/SplashBidNoticeAbstractUI.aspx?menuIndex=3&amp;refID=7195572&amp;Result=3","7195572")</f>
        <v>0</v>
      </c>
      <c r="B3298" t="s">
        <v>1368</v>
      </c>
      <c r="C3298" t="s">
        <v>6994</v>
      </c>
      <c r="D3298" t="s">
        <v>18988</v>
      </c>
      <c r="E3298" t="s">
        <v>22067</v>
      </c>
      <c r="F3298" t="s">
        <v>32606</v>
      </c>
      <c r="G3298" t="s">
        <v>32614</v>
      </c>
      <c r="H3298" t="s">
        <v>14201</v>
      </c>
      <c r="I3298" t="s">
        <v>6931</v>
      </c>
      <c r="J3298" t="s">
        <v>34205</v>
      </c>
      <c r="K3298" t="s">
        <v>42631</v>
      </c>
      <c r="M3298" t="s">
        <v>44345</v>
      </c>
      <c r="N3298" t="s">
        <v>47304</v>
      </c>
      <c r="O3298" t="s">
        <v>47305</v>
      </c>
      <c r="P3298">
        <v>0</v>
      </c>
      <c r="Q3298">
        <v>0</v>
      </c>
      <c r="R3298" t="s">
        <v>47306</v>
      </c>
      <c r="S3298" t="s">
        <v>47414</v>
      </c>
      <c r="T3298" t="s">
        <v>49004</v>
      </c>
      <c r="U3298" t="s">
        <v>52405</v>
      </c>
      <c r="W3298" t="s">
        <v>44345</v>
      </c>
      <c r="X3298" t="s">
        <v>47308</v>
      </c>
    </row>
    <row r="3299" spans="1:24">
      <c r="A3299">
        <f>HYPERLINK("https://www.philgeps.gov.ph/GEPSNONPILOT/Tender/SplashBidNoticeAbstractUI.aspx?menuIndex=3&amp;refID=7195571&amp;Result=3","7195571")</f>
        <v>0</v>
      </c>
      <c r="B3299" t="s">
        <v>1306</v>
      </c>
      <c r="C3299" t="s">
        <v>6995</v>
      </c>
      <c r="D3299" t="s">
        <v>19011</v>
      </c>
      <c r="E3299" t="s">
        <v>22068</v>
      </c>
      <c r="F3299" t="s">
        <v>32606</v>
      </c>
      <c r="G3299" t="s">
        <v>32619</v>
      </c>
      <c r="H3299" t="s">
        <v>14201</v>
      </c>
      <c r="I3299" t="s">
        <v>32630</v>
      </c>
      <c r="J3299" t="s">
        <v>32949</v>
      </c>
      <c r="K3299" t="s">
        <v>42631</v>
      </c>
      <c r="M3299" t="s">
        <v>44278</v>
      </c>
      <c r="N3299" t="s">
        <v>47304</v>
      </c>
      <c r="O3299" t="s">
        <v>47305</v>
      </c>
      <c r="P3299">
        <v>0</v>
      </c>
      <c r="Q3299">
        <v>1</v>
      </c>
      <c r="R3299" t="s">
        <v>47306</v>
      </c>
      <c r="S3299" t="s">
        <v>47414</v>
      </c>
      <c r="T3299" t="s">
        <v>49103</v>
      </c>
      <c r="U3299" t="s">
        <v>52271</v>
      </c>
      <c r="W3299" t="s">
        <v>44278</v>
      </c>
      <c r="X3299" t="s">
        <v>47308</v>
      </c>
    </row>
    <row r="3300" spans="1:24">
      <c r="A3300">
        <f>HYPERLINK("https://www.philgeps.gov.ph/GEPSNONPILOT/Tender/SplashBidNoticeAbstractUI.aspx?menuIndex=3&amp;refID=7195535&amp;Result=3","7195535")</f>
        <v>0</v>
      </c>
      <c r="B3300" t="s">
        <v>1348</v>
      </c>
      <c r="C3300" t="s">
        <v>6996</v>
      </c>
      <c r="D3300" t="s">
        <v>19043</v>
      </c>
      <c r="E3300" t="s">
        <v>22069</v>
      </c>
      <c r="F3300" t="s">
        <v>32606</v>
      </c>
      <c r="G3300" t="s">
        <v>32614</v>
      </c>
      <c r="H3300" t="s">
        <v>14201</v>
      </c>
      <c r="I3300" t="s">
        <v>32633</v>
      </c>
      <c r="J3300" t="s">
        <v>35035</v>
      </c>
      <c r="K3300" t="s">
        <v>42623</v>
      </c>
      <c r="M3300" t="s">
        <v>44322</v>
      </c>
      <c r="N3300" t="s">
        <v>47304</v>
      </c>
      <c r="O3300" t="s">
        <v>47305</v>
      </c>
      <c r="P3300">
        <v>0</v>
      </c>
      <c r="Q3300">
        <v>1</v>
      </c>
      <c r="R3300" t="s">
        <v>47306</v>
      </c>
      <c r="S3300" t="s">
        <v>47414</v>
      </c>
      <c r="T3300" t="s">
        <v>49108</v>
      </c>
      <c r="U3300" t="s">
        <v>52406</v>
      </c>
      <c r="V3300" t="s">
        <v>62991</v>
      </c>
      <c r="W3300" t="s">
        <v>44322</v>
      </c>
      <c r="X3300" t="s">
        <v>47308</v>
      </c>
    </row>
    <row r="3301" spans="1:24">
      <c r="A3301">
        <f>HYPERLINK("https://www.philgeps.gov.ph/GEPSNONPILOT/Tender/SplashBidNoticeAbstractUI.aspx?menuIndex=3&amp;refID=7195567&amp;Result=3","7195567")</f>
        <v>0</v>
      </c>
      <c r="B3301" t="s">
        <v>1369</v>
      </c>
      <c r="C3301" t="s">
        <v>6997</v>
      </c>
      <c r="D3301" t="s">
        <v>19013</v>
      </c>
      <c r="E3301" t="s">
        <v>22070</v>
      </c>
      <c r="F3301" t="s">
        <v>32606</v>
      </c>
      <c r="G3301" t="s">
        <v>32619</v>
      </c>
      <c r="H3301" t="s">
        <v>14201</v>
      </c>
      <c r="I3301" t="s">
        <v>6931</v>
      </c>
      <c r="J3301" t="s">
        <v>35036</v>
      </c>
      <c r="K3301" t="s">
        <v>42632</v>
      </c>
      <c r="M3301" t="s">
        <v>44346</v>
      </c>
      <c r="N3301" t="s">
        <v>47304</v>
      </c>
      <c r="O3301" t="s">
        <v>47305</v>
      </c>
      <c r="P3301">
        <v>0</v>
      </c>
      <c r="Q3301">
        <v>0</v>
      </c>
      <c r="R3301" t="s">
        <v>47306</v>
      </c>
      <c r="S3301" t="s">
        <v>47414</v>
      </c>
      <c r="T3301" t="s">
        <v>49108</v>
      </c>
      <c r="U3301" t="s">
        <v>52407</v>
      </c>
      <c r="W3301" t="s">
        <v>44346</v>
      </c>
      <c r="X3301" t="s">
        <v>47308</v>
      </c>
    </row>
    <row r="3302" spans="1:24">
      <c r="A3302">
        <f>HYPERLINK("https://www.philgeps.gov.ph/GEPSNONPILOT/Tender/SplashBidNoticeAbstractUI.aspx?menuIndex=3&amp;refID=7195541&amp;Result=3","7195541")</f>
        <v>0</v>
      </c>
      <c r="B3302" t="s">
        <v>1370</v>
      </c>
      <c r="C3302" t="s">
        <v>6998</v>
      </c>
      <c r="D3302" t="s">
        <v>19024</v>
      </c>
      <c r="E3302" t="s">
        <v>19561</v>
      </c>
      <c r="F3302" t="s">
        <v>32606</v>
      </c>
      <c r="G3302" t="s">
        <v>32613</v>
      </c>
      <c r="H3302" t="s">
        <v>14201</v>
      </c>
      <c r="I3302" t="s">
        <v>17648</v>
      </c>
      <c r="J3302" t="s">
        <v>35037</v>
      </c>
      <c r="K3302" t="s">
        <v>42639</v>
      </c>
      <c r="M3302" t="s">
        <v>44347</v>
      </c>
      <c r="N3302" t="s">
        <v>47304</v>
      </c>
      <c r="O3302" t="s">
        <v>47305</v>
      </c>
      <c r="P3302">
        <v>0</v>
      </c>
      <c r="Q3302">
        <v>0</v>
      </c>
      <c r="R3302" t="s">
        <v>47306</v>
      </c>
      <c r="S3302" t="s">
        <v>47414</v>
      </c>
      <c r="T3302" t="s">
        <v>49052</v>
      </c>
      <c r="U3302" t="s">
        <v>52408</v>
      </c>
      <c r="W3302" t="s">
        <v>44347</v>
      </c>
      <c r="X3302" t="s">
        <v>47308</v>
      </c>
    </row>
    <row r="3303" spans="1:24">
      <c r="A3303">
        <f>HYPERLINK("https://www.philgeps.gov.ph/GEPSNONPILOT/Tender/SplashBidNoticeAbstractUI.aspx?menuIndex=3&amp;refID=7195566&amp;Result=3","7195566")</f>
        <v>0</v>
      </c>
      <c r="B3303" t="s">
        <v>187</v>
      </c>
      <c r="C3303" t="s">
        <v>6999</v>
      </c>
      <c r="D3303" t="s">
        <v>19038</v>
      </c>
      <c r="E3303" t="s">
        <v>22071</v>
      </c>
      <c r="F3303" t="s">
        <v>32606</v>
      </c>
      <c r="G3303" t="s">
        <v>32613</v>
      </c>
      <c r="H3303" t="s">
        <v>14201</v>
      </c>
      <c r="I3303" t="s">
        <v>6931</v>
      </c>
      <c r="J3303" t="s">
        <v>35038</v>
      </c>
      <c r="K3303" t="s">
        <v>42622</v>
      </c>
      <c r="M3303" t="s">
        <v>43088</v>
      </c>
      <c r="N3303" t="s">
        <v>47304</v>
      </c>
      <c r="O3303" t="s">
        <v>47305</v>
      </c>
      <c r="P3303">
        <v>0</v>
      </c>
      <c r="Q3303">
        <v>0</v>
      </c>
      <c r="R3303" t="s">
        <v>47306</v>
      </c>
      <c r="S3303" t="s">
        <v>47414</v>
      </c>
      <c r="T3303" t="s">
        <v>48986</v>
      </c>
      <c r="U3303" t="s">
        <v>52409</v>
      </c>
      <c r="W3303" t="s">
        <v>43088</v>
      </c>
      <c r="X3303" t="s">
        <v>47308</v>
      </c>
    </row>
    <row r="3304" spans="1:24">
      <c r="A3304">
        <f>HYPERLINK("https://www.philgeps.gov.ph/GEPSNONPILOT/Tender/SplashBidNoticeAbstractUI.aspx?menuIndex=3&amp;refID=7195561&amp;Result=3","7195561")</f>
        <v>0</v>
      </c>
      <c r="B3304" t="s">
        <v>1349</v>
      </c>
      <c r="C3304" t="s">
        <v>7000</v>
      </c>
      <c r="D3304" t="s">
        <v>19015</v>
      </c>
      <c r="E3304" t="s">
        <v>22072</v>
      </c>
      <c r="F3304" t="s">
        <v>32606</v>
      </c>
      <c r="G3304" t="s">
        <v>32617</v>
      </c>
      <c r="H3304" t="s">
        <v>14201</v>
      </c>
      <c r="I3304" t="s">
        <v>6298</v>
      </c>
      <c r="J3304" t="s">
        <v>32949</v>
      </c>
      <c r="K3304" t="s">
        <v>42623</v>
      </c>
      <c r="M3304" t="s">
        <v>44323</v>
      </c>
      <c r="N3304" t="s">
        <v>47304</v>
      </c>
      <c r="O3304" t="s">
        <v>47305</v>
      </c>
      <c r="P3304">
        <v>0</v>
      </c>
      <c r="Q3304">
        <v>1</v>
      </c>
      <c r="R3304" t="s">
        <v>47306</v>
      </c>
      <c r="S3304" t="s">
        <v>47414</v>
      </c>
      <c r="T3304" t="s">
        <v>49140</v>
      </c>
      <c r="U3304" t="s">
        <v>52410</v>
      </c>
      <c r="W3304" t="s">
        <v>44323</v>
      </c>
      <c r="X3304" t="s">
        <v>47308</v>
      </c>
    </row>
    <row r="3305" spans="1:24">
      <c r="A3305">
        <f>HYPERLINK("https://www.philgeps.gov.ph/GEPSNONPILOT/Tender/SplashBidNoticeAbstractUI.aspx?menuIndex=3&amp;refID=7195560&amp;Result=3","7195560")</f>
        <v>0</v>
      </c>
      <c r="B3305" t="s">
        <v>726</v>
      </c>
      <c r="C3305" t="s">
        <v>7001</v>
      </c>
      <c r="D3305" t="s">
        <v>19009</v>
      </c>
      <c r="E3305" t="s">
        <v>22073</v>
      </c>
      <c r="F3305" t="s">
        <v>32606</v>
      </c>
      <c r="G3305" t="s">
        <v>32613</v>
      </c>
      <c r="H3305" t="s">
        <v>14201</v>
      </c>
      <c r="I3305" t="s">
        <v>7064</v>
      </c>
      <c r="J3305" t="s">
        <v>32795</v>
      </c>
      <c r="K3305" t="s">
        <v>42623</v>
      </c>
      <c r="M3305" t="s">
        <v>43648</v>
      </c>
      <c r="N3305" t="s">
        <v>47304</v>
      </c>
      <c r="O3305" t="s">
        <v>47305</v>
      </c>
      <c r="P3305">
        <v>0</v>
      </c>
      <c r="Q3305">
        <v>2</v>
      </c>
      <c r="R3305" t="s">
        <v>47306</v>
      </c>
      <c r="S3305" t="s">
        <v>47414</v>
      </c>
      <c r="T3305" t="s">
        <v>49205</v>
      </c>
      <c r="U3305" t="s">
        <v>52411</v>
      </c>
      <c r="V3305" t="s">
        <v>62935</v>
      </c>
      <c r="W3305" t="s">
        <v>43648</v>
      </c>
      <c r="X3305" t="s">
        <v>47308</v>
      </c>
    </row>
    <row r="3306" spans="1:24">
      <c r="A3306">
        <f>HYPERLINK("https://www.philgeps.gov.ph/GEPSNONPILOT/Tender/SplashBidNoticeAbstractUI.aspx?menuIndex=3&amp;refID=7195559&amp;Result=3","7195559")</f>
        <v>0</v>
      </c>
      <c r="B3306" t="s">
        <v>1348</v>
      </c>
      <c r="C3306" t="s">
        <v>7002</v>
      </c>
      <c r="D3306" t="s">
        <v>19043</v>
      </c>
      <c r="E3306" t="s">
        <v>22074</v>
      </c>
      <c r="F3306" t="s">
        <v>32606</v>
      </c>
      <c r="G3306" t="s">
        <v>32614</v>
      </c>
      <c r="H3306" t="s">
        <v>14201</v>
      </c>
      <c r="I3306" t="s">
        <v>6993</v>
      </c>
      <c r="J3306" t="s">
        <v>35039</v>
      </c>
      <c r="K3306" t="s">
        <v>42623</v>
      </c>
      <c r="M3306" t="s">
        <v>44322</v>
      </c>
      <c r="N3306" t="s">
        <v>47304</v>
      </c>
      <c r="O3306" t="s">
        <v>47305</v>
      </c>
      <c r="P3306">
        <v>0</v>
      </c>
      <c r="Q3306">
        <v>0</v>
      </c>
      <c r="R3306" t="s">
        <v>47306</v>
      </c>
      <c r="S3306" t="s">
        <v>47414</v>
      </c>
      <c r="T3306" t="s">
        <v>49108</v>
      </c>
      <c r="U3306" t="s">
        <v>52412</v>
      </c>
      <c r="V3306" t="s">
        <v>62991</v>
      </c>
      <c r="W3306" t="s">
        <v>44322</v>
      </c>
      <c r="X3306" t="s">
        <v>47308</v>
      </c>
    </row>
    <row r="3307" spans="1:24">
      <c r="A3307">
        <f>HYPERLINK("https://www.philgeps.gov.ph/GEPSNONPILOT/Tender/SplashBidNoticeAbstractUI.aspx?menuIndex=3&amp;refID=7195549&amp;Result=3","7195549")</f>
        <v>0</v>
      </c>
      <c r="B3307" t="s">
        <v>1371</v>
      </c>
      <c r="C3307" t="s">
        <v>7003</v>
      </c>
      <c r="D3307" t="s">
        <v>19016</v>
      </c>
      <c r="E3307" t="s">
        <v>19809</v>
      </c>
      <c r="F3307" t="s">
        <v>32606</v>
      </c>
      <c r="G3307" t="s">
        <v>32614</v>
      </c>
      <c r="H3307" t="s">
        <v>14201</v>
      </c>
      <c r="I3307" t="s">
        <v>4369</v>
      </c>
      <c r="J3307" t="s">
        <v>35040</v>
      </c>
      <c r="K3307" t="s">
        <v>42627</v>
      </c>
      <c r="M3307" t="s">
        <v>44348</v>
      </c>
      <c r="N3307" t="s">
        <v>47304</v>
      </c>
      <c r="O3307" t="s">
        <v>47305</v>
      </c>
      <c r="P3307">
        <v>0</v>
      </c>
      <c r="Q3307">
        <v>0</v>
      </c>
      <c r="R3307" t="s">
        <v>47306</v>
      </c>
      <c r="S3307" t="s">
        <v>47414</v>
      </c>
      <c r="T3307" t="s">
        <v>49010</v>
      </c>
      <c r="U3307" t="s">
        <v>52413</v>
      </c>
      <c r="W3307" t="s">
        <v>44348</v>
      </c>
      <c r="X3307" t="s">
        <v>47308</v>
      </c>
    </row>
    <row r="3308" spans="1:24">
      <c r="A3308">
        <f>HYPERLINK("https://www.philgeps.gov.ph/GEPSNONPILOT/Tender/SplashBidNoticeAbstractUI.aspx?menuIndex=3&amp;refID=7195570&amp;Result=3","7195570")</f>
        <v>0</v>
      </c>
      <c r="B3308" t="s">
        <v>1372</v>
      </c>
      <c r="C3308" t="s">
        <v>7004</v>
      </c>
      <c r="D3308" t="s">
        <v>19013</v>
      </c>
      <c r="E3308" t="s">
        <v>20123</v>
      </c>
      <c r="F3308" t="s">
        <v>32606</v>
      </c>
      <c r="G3308" t="s">
        <v>32613</v>
      </c>
      <c r="H3308" t="s">
        <v>32623</v>
      </c>
      <c r="I3308" t="s">
        <v>17648</v>
      </c>
      <c r="J3308" t="s">
        <v>35041</v>
      </c>
      <c r="K3308" t="s">
        <v>42675</v>
      </c>
      <c r="M3308" t="s">
        <v>44349</v>
      </c>
      <c r="N3308" t="s">
        <v>47304</v>
      </c>
      <c r="O3308" t="s">
        <v>47305</v>
      </c>
      <c r="P3308">
        <v>0</v>
      </c>
      <c r="Q3308">
        <v>0</v>
      </c>
      <c r="R3308" t="s">
        <v>47306</v>
      </c>
      <c r="S3308" t="s">
        <v>47414</v>
      </c>
      <c r="T3308" t="s">
        <v>49024</v>
      </c>
      <c r="U3308" t="s">
        <v>52414</v>
      </c>
      <c r="W3308" t="s">
        <v>44349</v>
      </c>
      <c r="X3308" t="s">
        <v>47308</v>
      </c>
    </row>
    <row r="3309" spans="1:24">
      <c r="A3309">
        <f>HYPERLINK("https://www.philgeps.gov.ph/GEPSNONPILOT/Tender/SplashBidNoticeAbstractUI.aspx?menuIndex=3&amp;refID=7195558&amp;Result=3","7195558")</f>
        <v>0</v>
      </c>
      <c r="B3309" t="s">
        <v>1357</v>
      </c>
      <c r="C3309" t="s">
        <v>7005</v>
      </c>
      <c r="D3309" t="s">
        <v>19007</v>
      </c>
      <c r="E3309" t="s">
        <v>22075</v>
      </c>
      <c r="F3309" t="s">
        <v>32606</v>
      </c>
      <c r="G3309" t="s">
        <v>32613</v>
      </c>
      <c r="H3309" t="s">
        <v>32623</v>
      </c>
      <c r="I3309" t="s">
        <v>32659</v>
      </c>
      <c r="J3309" t="s">
        <v>35042</v>
      </c>
      <c r="K3309" t="s">
        <v>42624</v>
      </c>
      <c r="M3309" t="s">
        <v>44350</v>
      </c>
      <c r="N3309" t="s">
        <v>47304</v>
      </c>
      <c r="O3309" t="s">
        <v>47305</v>
      </c>
      <c r="P3309">
        <v>0</v>
      </c>
      <c r="Q3309">
        <v>0</v>
      </c>
      <c r="R3309" t="s">
        <v>47306</v>
      </c>
      <c r="S3309" t="s">
        <v>47414</v>
      </c>
      <c r="T3309" t="s">
        <v>49001</v>
      </c>
      <c r="U3309" t="s">
        <v>52415</v>
      </c>
      <c r="V3309" t="s">
        <v>62997</v>
      </c>
      <c r="W3309" t="s">
        <v>44350</v>
      </c>
      <c r="X3309" t="s">
        <v>47308</v>
      </c>
    </row>
    <row r="3310" spans="1:24">
      <c r="A3310">
        <f>HYPERLINK("https://www.philgeps.gov.ph/GEPSNONPILOT/Tender/SplashBidNoticeAbstractUI.aspx?menuIndex=3&amp;refID=7195554&amp;Result=3","7195554")</f>
        <v>0</v>
      </c>
      <c r="B3310" t="s">
        <v>81</v>
      </c>
      <c r="C3310" t="s">
        <v>7006</v>
      </c>
      <c r="D3310" t="s">
        <v>18995</v>
      </c>
      <c r="E3310" t="s">
        <v>22076</v>
      </c>
      <c r="F3310" t="s">
        <v>32606</v>
      </c>
      <c r="G3310" t="s">
        <v>32614</v>
      </c>
      <c r="H3310" t="s">
        <v>14201</v>
      </c>
      <c r="I3310" t="s">
        <v>7064</v>
      </c>
      <c r="J3310" t="s">
        <v>35043</v>
      </c>
      <c r="K3310" t="s">
        <v>42624</v>
      </c>
      <c r="M3310" t="s">
        <v>42978</v>
      </c>
      <c r="N3310" t="s">
        <v>47304</v>
      </c>
      <c r="O3310" t="s">
        <v>47305</v>
      </c>
      <c r="P3310">
        <v>0</v>
      </c>
      <c r="Q3310">
        <v>0</v>
      </c>
      <c r="R3310" t="s">
        <v>47306</v>
      </c>
      <c r="S3310" t="s">
        <v>47414</v>
      </c>
      <c r="T3310" t="s">
        <v>49014</v>
      </c>
      <c r="U3310" t="s">
        <v>52416</v>
      </c>
      <c r="W3310" t="s">
        <v>42978</v>
      </c>
      <c r="X3310" t="s">
        <v>47308</v>
      </c>
    </row>
    <row r="3311" spans="1:24">
      <c r="A3311">
        <f>HYPERLINK("https://www.philgeps.gov.ph/GEPSNONPILOT/Tender/SplashBidNoticeAbstractUI.aspx?menuIndex=3&amp;refID=7195569&amp;Result=3","7195569")</f>
        <v>0</v>
      </c>
      <c r="B3311" t="s">
        <v>1342</v>
      </c>
      <c r="C3311" t="s">
        <v>7007</v>
      </c>
      <c r="D3311" t="s">
        <v>19009</v>
      </c>
      <c r="E3311" t="s">
        <v>22077</v>
      </c>
      <c r="F3311" t="s">
        <v>32606</v>
      </c>
      <c r="G3311" t="s">
        <v>32613</v>
      </c>
      <c r="H3311" t="s">
        <v>14201</v>
      </c>
      <c r="I3311" t="s">
        <v>6931</v>
      </c>
      <c r="J3311" t="s">
        <v>35044</v>
      </c>
      <c r="K3311" t="s">
        <v>42627</v>
      </c>
      <c r="M3311" t="s">
        <v>44316</v>
      </c>
      <c r="N3311" t="s">
        <v>47304</v>
      </c>
      <c r="O3311" t="s">
        <v>47305</v>
      </c>
      <c r="P3311">
        <v>0</v>
      </c>
      <c r="Q3311">
        <v>0</v>
      </c>
      <c r="R3311" t="s">
        <v>47306</v>
      </c>
      <c r="S3311" t="s">
        <v>47414</v>
      </c>
      <c r="T3311" t="s">
        <v>48971</v>
      </c>
      <c r="U3311" t="s">
        <v>52417</v>
      </c>
      <c r="W3311" t="s">
        <v>44316</v>
      </c>
      <c r="X3311" t="s">
        <v>47308</v>
      </c>
    </row>
    <row r="3312" spans="1:24">
      <c r="A3312">
        <f>HYPERLINK("https://www.philgeps.gov.ph/GEPSNONPILOT/Tender/SplashBidNoticeAbstractUI.aspx?menuIndex=3&amp;refID=7195602&amp;Result=3","7195602")</f>
        <v>0</v>
      </c>
      <c r="B3312" t="s">
        <v>344</v>
      </c>
      <c r="C3312" t="s">
        <v>7008</v>
      </c>
      <c r="D3312" t="s">
        <v>19002</v>
      </c>
      <c r="E3312" t="s">
        <v>22078</v>
      </c>
      <c r="F3312" t="s">
        <v>32606</v>
      </c>
      <c r="G3312" t="s">
        <v>32614</v>
      </c>
      <c r="H3312" t="s">
        <v>14201</v>
      </c>
      <c r="I3312" t="s">
        <v>4678</v>
      </c>
      <c r="J3312" t="s">
        <v>32885</v>
      </c>
      <c r="K3312" t="s">
        <v>42631</v>
      </c>
      <c r="M3312" t="s">
        <v>43246</v>
      </c>
      <c r="N3312" t="s">
        <v>47304</v>
      </c>
      <c r="O3312" t="s">
        <v>47305</v>
      </c>
      <c r="P3312">
        <v>0</v>
      </c>
      <c r="Q3312">
        <v>0</v>
      </c>
      <c r="R3312" t="s">
        <v>47306</v>
      </c>
      <c r="S3312" t="s">
        <v>47414</v>
      </c>
      <c r="T3312" t="s">
        <v>48996</v>
      </c>
      <c r="U3312" t="s">
        <v>52418</v>
      </c>
      <c r="W3312" t="s">
        <v>43246</v>
      </c>
      <c r="X3312" t="s">
        <v>47308</v>
      </c>
    </row>
    <row r="3313" spans="1:24">
      <c r="A3313">
        <f>HYPERLINK("https://www.philgeps.gov.ph/GEPSNONPILOT/Tender/SplashBidNoticeAbstractUI.aspx?menuIndex=3&amp;refID=7195601&amp;Result=3","7195601")</f>
        <v>0</v>
      </c>
      <c r="B3313" t="s">
        <v>726</v>
      </c>
      <c r="C3313" t="s">
        <v>7009</v>
      </c>
      <c r="D3313" t="s">
        <v>19009</v>
      </c>
      <c r="E3313" t="s">
        <v>22079</v>
      </c>
      <c r="F3313" t="s">
        <v>32606</v>
      </c>
      <c r="G3313" t="s">
        <v>32613</v>
      </c>
      <c r="H3313" t="s">
        <v>14201</v>
      </c>
      <c r="I3313" t="s">
        <v>7064</v>
      </c>
      <c r="J3313" t="s">
        <v>32999</v>
      </c>
      <c r="K3313" t="s">
        <v>42623</v>
      </c>
      <c r="M3313" t="s">
        <v>43648</v>
      </c>
      <c r="N3313" t="s">
        <v>47304</v>
      </c>
      <c r="O3313" t="s">
        <v>47305</v>
      </c>
      <c r="P3313">
        <v>0</v>
      </c>
      <c r="Q3313">
        <v>0</v>
      </c>
      <c r="R3313" t="s">
        <v>47306</v>
      </c>
      <c r="S3313" t="s">
        <v>47414</v>
      </c>
      <c r="T3313" t="s">
        <v>49205</v>
      </c>
      <c r="U3313" t="s">
        <v>52419</v>
      </c>
      <c r="V3313" t="s">
        <v>62935</v>
      </c>
      <c r="W3313" t="s">
        <v>43648</v>
      </c>
      <c r="X3313" t="s">
        <v>47308</v>
      </c>
    </row>
    <row r="3314" spans="1:24">
      <c r="A3314">
        <f>HYPERLINK("https://www.philgeps.gov.ph/GEPSNONPILOT/Tender/SplashBidNoticeAbstractUI.aspx?menuIndex=3&amp;refID=7195599&amp;Result=3","7195599")</f>
        <v>0</v>
      </c>
      <c r="B3314" t="s">
        <v>891</v>
      </c>
      <c r="C3314" t="s">
        <v>7010</v>
      </c>
      <c r="D3314" t="s">
        <v>19016</v>
      </c>
      <c r="E3314" t="s">
        <v>22080</v>
      </c>
      <c r="F3314" t="s">
        <v>32606</v>
      </c>
      <c r="G3314" t="s">
        <v>32614</v>
      </c>
      <c r="H3314" t="s">
        <v>14201</v>
      </c>
      <c r="I3314" t="s">
        <v>32633</v>
      </c>
      <c r="J3314" t="s">
        <v>35045</v>
      </c>
      <c r="K3314" t="s">
        <v>42631</v>
      </c>
      <c r="M3314" t="s">
        <v>43827</v>
      </c>
      <c r="N3314" t="s">
        <v>47304</v>
      </c>
      <c r="O3314" t="s">
        <v>47305</v>
      </c>
      <c r="P3314">
        <v>0</v>
      </c>
      <c r="Q3314">
        <v>3</v>
      </c>
      <c r="R3314" t="s">
        <v>47306</v>
      </c>
      <c r="S3314" t="s">
        <v>47414</v>
      </c>
      <c r="T3314" t="s">
        <v>49019</v>
      </c>
      <c r="U3314" t="s">
        <v>51254</v>
      </c>
      <c r="W3314" t="s">
        <v>64455</v>
      </c>
      <c r="X3314" t="s">
        <v>47308</v>
      </c>
    </row>
    <row r="3315" spans="1:24">
      <c r="A3315">
        <f>HYPERLINK("https://www.philgeps.gov.ph/GEPSNONPILOT/Tender/SplashBidNoticeAbstractUI.aspx?menuIndex=3&amp;refID=7195596&amp;Result=3","7195596")</f>
        <v>0</v>
      </c>
      <c r="B3315" t="s">
        <v>313</v>
      </c>
      <c r="C3315" t="s">
        <v>7011</v>
      </c>
      <c r="D3315" t="s">
        <v>18993</v>
      </c>
      <c r="E3315" t="s">
        <v>7011</v>
      </c>
      <c r="F3315" t="s">
        <v>32606</v>
      </c>
      <c r="G3315" t="s">
        <v>32614</v>
      </c>
      <c r="H3315" t="s">
        <v>14201</v>
      </c>
      <c r="I3315" t="s">
        <v>6014</v>
      </c>
      <c r="J3315" t="s">
        <v>35046</v>
      </c>
      <c r="K3315" t="s">
        <v>42623</v>
      </c>
      <c r="M3315" t="s">
        <v>43215</v>
      </c>
      <c r="N3315" t="s">
        <v>47304</v>
      </c>
      <c r="O3315" t="s">
        <v>47305</v>
      </c>
      <c r="P3315">
        <v>0</v>
      </c>
      <c r="Q3315">
        <v>11</v>
      </c>
      <c r="R3315" t="s">
        <v>47306</v>
      </c>
      <c r="S3315" t="s">
        <v>47414</v>
      </c>
      <c r="T3315" t="s">
        <v>48997</v>
      </c>
      <c r="U3315" t="s">
        <v>52420</v>
      </c>
      <c r="W3315" t="s">
        <v>43215</v>
      </c>
      <c r="X3315" t="s">
        <v>47308</v>
      </c>
    </row>
    <row r="3316" spans="1:24">
      <c r="A3316">
        <f>HYPERLINK("https://www.philgeps.gov.ph/GEPSNONPILOT/Tender/SplashBidNoticeAbstractUI.aspx?menuIndex=3&amp;refID=7195545&amp;Result=3","7195545")</f>
        <v>0</v>
      </c>
      <c r="B3316" t="s">
        <v>899</v>
      </c>
      <c r="C3316" t="s">
        <v>7012</v>
      </c>
      <c r="E3316" t="s">
        <v>22081</v>
      </c>
      <c r="F3316" t="s">
        <v>32606</v>
      </c>
      <c r="G3316" t="s">
        <v>32613</v>
      </c>
      <c r="H3316" t="s">
        <v>14201</v>
      </c>
      <c r="I3316" t="s">
        <v>32633</v>
      </c>
      <c r="J3316" t="s">
        <v>35047</v>
      </c>
      <c r="K3316" t="s">
        <v>42624</v>
      </c>
      <c r="M3316" t="s">
        <v>44351</v>
      </c>
      <c r="N3316" t="s">
        <v>47304</v>
      </c>
      <c r="O3316" t="s">
        <v>47305</v>
      </c>
      <c r="P3316">
        <v>0</v>
      </c>
      <c r="Q3316">
        <v>13</v>
      </c>
      <c r="R3316" t="s">
        <v>47306</v>
      </c>
      <c r="S3316" t="s">
        <v>47414</v>
      </c>
      <c r="T3316" t="s">
        <v>49017</v>
      </c>
      <c r="U3316" t="s">
        <v>52421</v>
      </c>
      <c r="W3316" t="s">
        <v>44351</v>
      </c>
      <c r="X3316" t="s">
        <v>47308</v>
      </c>
    </row>
    <row r="3317" spans="1:24">
      <c r="A3317">
        <f>HYPERLINK("https://www.philgeps.gov.ph/GEPSNONPILOT/Tender/SplashBidNoticeAbstractUI.aspx?menuIndex=3&amp;refID=7195557&amp;Result=3","7195557")</f>
        <v>0</v>
      </c>
      <c r="B3317" t="s">
        <v>984</v>
      </c>
      <c r="C3317" t="s">
        <v>7013</v>
      </c>
      <c r="D3317" t="s">
        <v>19039</v>
      </c>
      <c r="E3317" t="s">
        <v>22082</v>
      </c>
      <c r="F3317" t="s">
        <v>32606</v>
      </c>
      <c r="G3317" t="s">
        <v>32614</v>
      </c>
      <c r="H3317" t="s">
        <v>14201</v>
      </c>
      <c r="I3317" t="s">
        <v>4112</v>
      </c>
      <c r="J3317" t="s">
        <v>32973</v>
      </c>
      <c r="K3317" t="s">
        <v>42625</v>
      </c>
      <c r="L3317" t="s">
        <v>984</v>
      </c>
      <c r="M3317" t="s">
        <v>43930</v>
      </c>
      <c r="N3317" t="s">
        <v>47304</v>
      </c>
      <c r="O3317" t="s">
        <v>47305</v>
      </c>
      <c r="P3317">
        <v>0</v>
      </c>
      <c r="Q3317">
        <v>0</v>
      </c>
      <c r="R3317" t="s">
        <v>47306</v>
      </c>
      <c r="S3317" t="s">
        <v>47414</v>
      </c>
      <c r="T3317" t="s">
        <v>48971</v>
      </c>
      <c r="U3317" t="s">
        <v>52422</v>
      </c>
      <c r="W3317" t="s">
        <v>43930</v>
      </c>
      <c r="X3317" t="s">
        <v>47308</v>
      </c>
    </row>
    <row r="3318" spans="1:24">
      <c r="A3318">
        <f>HYPERLINK("https://www.philgeps.gov.ph/GEPSNONPILOT/Tender/SplashBidNoticeAbstractUI.aspx?menuIndex=3&amp;refID=7195568&amp;Result=3","7195568")</f>
        <v>0</v>
      </c>
      <c r="B3318" t="s">
        <v>616</v>
      </c>
      <c r="C3318" t="s">
        <v>7014</v>
      </c>
      <c r="D3318" t="s">
        <v>18989</v>
      </c>
      <c r="E3318" t="s">
        <v>22083</v>
      </c>
      <c r="F3318" t="s">
        <v>32606</v>
      </c>
      <c r="G3318" t="s">
        <v>32614</v>
      </c>
      <c r="H3318" t="s">
        <v>14201</v>
      </c>
      <c r="I3318" t="s">
        <v>32631</v>
      </c>
      <c r="J3318" t="s">
        <v>35048</v>
      </c>
      <c r="K3318" t="s">
        <v>42624</v>
      </c>
      <c r="M3318" t="s">
        <v>43534</v>
      </c>
      <c r="N3318" t="s">
        <v>47304</v>
      </c>
      <c r="O3318" t="s">
        <v>47305</v>
      </c>
      <c r="P3318">
        <v>0</v>
      </c>
      <c r="Q3318">
        <v>0</v>
      </c>
      <c r="R3318" t="s">
        <v>47306</v>
      </c>
      <c r="S3318" t="s">
        <v>47414</v>
      </c>
      <c r="T3318" t="s">
        <v>49004</v>
      </c>
      <c r="U3318" t="s">
        <v>50617</v>
      </c>
      <c r="W3318" t="s">
        <v>43534</v>
      </c>
      <c r="X3318" t="s">
        <v>47308</v>
      </c>
    </row>
    <row r="3319" spans="1:24">
      <c r="A3319">
        <f>HYPERLINK("https://www.philgeps.gov.ph/GEPSNONPILOT/Tender/SplashBidNoticeAbstractUI.aspx?menuIndex=3&amp;refID=7195595&amp;Result=3","7195595")</f>
        <v>0</v>
      </c>
      <c r="B3319" t="s">
        <v>1357</v>
      </c>
      <c r="C3319" t="s">
        <v>7015</v>
      </c>
      <c r="D3319" t="s">
        <v>18993</v>
      </c>
      <c r="E3319" t="s">
        <v>22084</v>
      </c>
      <c r="F3319" t="s">
        <v>32606</v>
      </c>
      <c r="G3319" t="s">
        <v>32613</v>
      </c>
      <c r="H3319" t="s">
        <v>32623</v>
      </c>
      <c r="I3319" t="s">
        <v>32659</v>
      </c>
      <c r="J3319" t="s">
        <v>33231</v>
      </c>
      <c r="K3319" t="s">
        <v>42624</v>
      </c>
      <c r="M3319" t="s">
        <v>44350</v>
      </c>
      <c r="N3319" t="s">
        <v>47304</v>
      </c>
      <c r="O3319" t="s">
        <v>47305</v>
      </c>
      <c r="P3319">
        <v>0</v>
      </c>
      <c r="Q3319">
        <v>0</v>
      </c>
      <c r="R3319" t="s">
        <v>47306</v>
      </c>
      <c r="S3319" t="s">
        <v>47414</v>
      </c>
      <c r="T3319" t="s">
        <v>49001</v>
      </c>
      <c r="U3319" t="s">
        <v>52423</v>
      </c>
      <c r="V3319" t="s">
        <v>62998</v>
      </c>
      <c r="W3319" t="s">
        <v>44350</v>
      </c>
      <c r="X3319" t="s">
        <v>47308</v>
      </c>
    </row>
    <row r="3320" spans="1:24">
      <c r="A3320">
        <f>HYPERLINK("https://www.philgeps.gov.ph/GEPSNONPILOT/Tender/SplashBidNoticeAbstractUI.aspx?menuIndex=3&amp;refID=7195594&amp;Result=3","7195594")</f>
        <v>0</v>
      </c>
      <c r="B3320" t="s">
        <v>1373</v>
      </c>
      <c r="C3320" t="s">
        <v>7016</v>
      </c>
      <c r="D3320" t="s">
        <v>18994</v>
      </c>
      <c r="E3320" t="s">
        <v>22085</v>
      </c>
      <c r="F3320" t="s">
        <v>32606</v>
      </c>
      <c r="G3320" t="s">
        <v>32614</v>
      </c>
      <c r="H3320" t="s">
        <v>14201</v>
      </c>
      <c r="I3320" t="s">
        <v>6931</v>
      </c>
      <c r="J3320" t="s">
        <v>35049</v>
      </c>
      <c r="K3320" t="s">
        <v>42623</v>
      </c>
      <c r="M3320" t="s">
        <v>44352</v>
      </c>
      <c r="N3320" t="s">
        <v>47304</v>
      </c>
      <c r="O3320" t="s">
        <v>47305</v>
      </c>
      <c r="P3320">
        <v>0</v>
      </c>
      <c r="Q3320">
        <v>0</v>
      </c>
      <c r="R3320" t="s">
        <v>47306</v>
      </c>
      <c r="S3320" t="s">
        <v>47414</v>
      </c>
      <c r="T3320" t="s">
        <v>49050</v>
      </c>
      <c r="U3320" t="s">
        <v>52424</v>
      </c>
      <c r="W3320" t="s">
        <v>44352</v>
      </c>
      <c r="X3320" t="s">
        <v>47308</v>
      </c>
    </row>
    <row r="3321" spans="1:24">
      <c r="A3321">
        <f>HYPERLINK("https://www.philgeps.gov.ph/GEPSNONPILOT/Tender/SplashBidNoticeAbstractUI.aspx?menuIndex=3&amp;refID=7195556&amp;Result=3","7195556")</f>
        <v>0</v>
      </c>
      <c r="B3321" t="s">
        <v>981</v>
      </c>
      <c r="C3321" t="s">
        <v>7017</v>
      </c>
      <c r="D3321" t="s">
        <v>19009</v>
      </c>
      <c r="E3321" t="s">
        <v>22086</v>
      </c>
      <c r="F3321" t="s">
        <v>32606</v>
      </c>
      <c r="G3321" t="s">
        <v>32614</v>
      </c>
      <c r="H3321" t="s">
        <v>14201</v>
      </c>
      <c r="I3321" t="s">
        <v>32640</v>
      </c>
      <c r="J3321" t="s">
        <v>32981</v>
      </c>
      <c r="K3321" t="s">
        <v>42629</v>
      </c>
      <c r="L3321" t="s">
        <v>981</v>
      </c>
      <c r="M3321" t="s">
        <v>43927</v>
      </c>
      <c r="N3321" t="s">
        <v>47304</v>
      </c>
      <c r="O3321" t="s">
        <v>47305</v>
      </c>
      <c r="P3321">
        <v>0</v>
      </c>
      <c r="Q3321">
        <v>1</v>
      </c>
      <c r="R3321" t="s">
        <v>47306</v>
      </c>
      <c r="S3321" t="s">
        <v>47414</v>
      </c>
      <c r="T3321" t="s">
        <v>49004</v>
      </c>
      <c r="U3321" t="s">
        <v>51500</v>
      </c>
      <c r="W3321" t="s">
        <v>43927</v>
      </c>
      <c r="X3321" t="s">
        <v>47308</v>
      </c>
    </row>
    <row r="3322" spans="1:24">
      <c r="A3322">
        <f>HYPERLINK("https://www.philgeps.gov.ph/GEPSNONPILOT/Tender/SplashBidNoticeAbstractUI.aspx?menuIndex=3&amp;refID=7195573&amp;Result=3","7195573")</f>
        <v>0</v>
      </c>
      <c r="B3322" t="s">
        <v>751</v>
      </c>
      <c r="C3322" t="s">
        <v>7018</v>
      </c>
      <c r="D3322" t="s">
        <v>18995</v>
      </c>
      <c r="E3322" t="s">
        <v>22087</v>
      </c>
      <c r="F3322" t="s">
        <v>32606</v>
      </c>
      <c r="G3322" t="s">
        <v>32614</v>
      </c>
      <c r="H3322" t="s">
        <v>14201</v>
      </c>
      <c r="I3322" t="s">
        <v>32645</v>
      </c>
      <c r="J3322" t="s">
        <v>32752</v>
      </c>
      <c r="K3322" t="s">
        <v>42623</v>
      </c>
      <c r="M3322" t="s">
        <v>43674</v>
      </c>
      <c r="N3322" t="s">
        <v>47304</v>
      </c>
      <c r="O3322" t="s">
        <v>47305</v>
      </c>
      <c r="P3322">
        <v>0</v>
      </c>
      <c r="Q3322">
        <v>0</v>
      </c>
      <c r="R3322" t="s">
        <v>47306</v>
      </c>
      <c r="S3322" t="s">
        <v>47414</v>
      </c>
      <c r="T3322" t="s">
        <v>49014</v>
      </c>
      <c r="U3322" t="s">
        <v>52425</v>
      </c>
      <c r="W3322" t="s">
        <v>43674</v>
      </c>
      <c r="X3322" t="s">
        <v>47308</v>
      </c>
    </row>
    <row r="3323" spans="1:24">
      <c r="A3323">
        <f>HYPERLINK("https://www.philgeps.gov.ph/GEPSNONPILOT/Tender/SplashBidNoticeAbstractUI.aspx?menuIndex=3&amp;refID=7195593&amp;Result=3","7195593")</f>
        <v>0</v>
      </c>
      <c r="B3323" t="s">
        <v>981</v>
      </c>
      <c r="C3323" t="s">
        <v>7019</v>
      </c>
      <c r="D3323" t="s">
        <v>19009</v>
      </c>
      <c r="E3323" t="s">
        <v>22088</v>
      </c>
      <c r="F3323" t="s">
        <v>32606</v>
      </c>
      <c r="G3323" t="s">
        <v>32614</v>
      </c>
      <c r="H3323" t="s">
        <v>14201</v>
      </c>
      <c r="I3323" t="s">
        <v>13131</v>
      </c>
      <c r="J3323" t="s">
        <v>35050</v>
      </c>
      <c r="K3323" t="s">
        <v>42629</v>
      </c>
      <c r="L3323" t="s">
        <v>981</v>
      </c>
      <c r="M3323" t="s">
        <v>43927</v>
      </c>
      <c r="N3323" t="s">
        <v>47304</v>
      </c>
      <c r="O3323" t="s">
        <v>47305</v>
      </c>
      <c r="P3323">
        <v>0</v>
      </c>
      <c r="Q3323">
        <v>0</v>
      </c>
      <c r="R3323" t="s">
        <v>47306</v>
      </c>
      <c r="S3323" t="s">
        <v>47414</v>
      </c>
      <c r="T3323" t="s">
        <v>49004</v>
      </c>
      <c r="U3323" t="s">
        <v>51500</v>
      </c>
      <c r="W3323" t="s">
        <v>43927</v>
      </c>
      <c r="X3323" t="s">
        <v>47308</v>
      </c>
    </row>
    <row r="3324" spans="1:24">
      <c r="A3324">
        <f>HYPERLINK("https://www.philgeps.gov.ph/GEPSNONPILOT/Tender/SplashBidNoticeAbstractUI.aspx?menuIndex=3&amp;refID=7195587&amp;Result=3","7195587")</f>
        <v>0</v>
      </c>
      <c r="B3324" t="s">
        <v>1374</v>
      </c>
      <c r="C3324" t="s">
        <v>7020</v>
      </c>
      <c r="D3324" t="s">
        <v>18993</v>
      </c>
      <c r="E3324" t="s">
        <v>22089</v>
      </c>
      <c r="F3324" t="s">
        <v>32606</v>
      </c>
      <c r="G3324" t="s">
        <v>32614</v>
      </c>
      <c r="H3324" t="s">
        <v>14201</v>
      </c>
      <c r="I3324" t="s">
        <v>32671</v>
      </c>
      <c r="J3324" t="s">
        <v>32981</v>
      </c>
      <c r="K3324" t="s">
        <v>42624</v>
      </c>
      <c r="M3324" t="s">
        <v>44353</v>
      </c>
      <c r="N3324" t="s">
        <v>47304</v>
      </c>
      <c r="O3324" t="s">
        <v>47305</v>
      </c>
      <c r="P3324">
        <v>0</v>
      </c>
      <c r="Q3324">
        <v>9</v>
      </c>
      <c r="R3324" t="s">
        <v>47306</v>
      </c>
      <c r="S3324" t="s">
        <v>47414</v>
      </c>
      <c r="T3324" t="s">
        <v>49010</v>
      </c>
      <c r="U3324" t="s">
        <v>52426</v>
      </c>
      <c r="V3324" t="s">
        <v>62999</v>
      </c>
      <c r="W3324" t="s">
        <v>44353</v>
      </c>
      <c r="X3324" t="s">
        <v>47308</v>
      </c>
    </row>
    <row r="3325" spans="1:24">
      <c r="A3325">
        <f>HYPERLINK("https://www.philgeps.gov.ph/GEPSNONPILOT/Tender/SplashBidNoticeAbstractUI.aspx?menuIndex=3&amp;refID=7195584&amp;Result=3","7195584")</f>
        <v>0</v>
      </c>
      <c r="B3325" t="s">
        <v>899</v>
      </c>
      <c r="C3325" t="s">
        <v>7021</v>
      </c>
      <c r="E3325" t="s">
        <v>22090</v>
      </c>
      <c r="F3325" t="s">
        <v>32606</v>
      </c>
      <c r="G3325" t="s">
        <v>32614</v>
      </c>
      <c r="H3325" t="s">
        <v>14201</v>
      </c>
      <c r="I3325" t="s">
        <v>7677</v>
      </c>
      <c r="J3325" t="s">
        <v>35051</v>
      </c>
      <c r="K3325" t="s">
        <v>42624</v>
      </c>
      <c r="M3325" t="s">
        <v>44351</v>
      </c>
      <c r="N3325" t="s">
        <v>47304</v>
      </c>
      <c r="O3325" t="s">
        <v>47305</v>
      </c>
      <c r="P3325">
        <v>0</v>
      </c>
      <c r="Q3325">
        <v>0</v>
      </c>
      <c r="R3325" t="s">
        <v>47306</v>
      </c>
      <c r="S3325" t="s">
        <v>47414</v>
      </c>
      <c r="T3325" t="s">
        <v>48971</v>
      </c>
      <c r="U3325" t="s">
        <v>52427</v>
      </c>
      <c r="W3325" t="s">
        <v>44351</v>
      </c>
      <c r="X3325" t="s">
        <v>47308</v>
      </c>
    </row>
    <row r="3326" spans="1:24">
      <c r="A3326">
        <f>HYPERLINK("https://www.philgeps.gov.ph/GEPSNONPILOT/Tender/SplashBidNoticeAbstractUI.aspx?menuIndex=3&amp;refID=7195597&amp;Result=3","7195597")</f>
        <v>0</v>
      </c>
      <c r="B3326" t="s">
        <v>692</v>
      </c>
      <c r="C3326" t="s">
        <v>7022</v>
      </c>
      <c r="D3326" t="s">
        <v>18992</v>
      </c>
      <c r="E3326" t="s">
        <v>20332</v>
      </c>
      <c r="F3326" t="s">
        <v>32606</v>
      </c>
      <c r="G3326" t="s">
        <v>32614</v>
      </c>
      <c r="H3326" t="s">
        <v>14201</v>
      </c>
      <c r="I3326" t="s">
        <v>6931</v>
      </c>
      <c r="J3326" t="s">
        <v>35052</v>
      </c>
      <c r="K3326" t="s">
        <v>42629</v>
      </c>
      <c r="M3326" t="s">
        <v>43613</v>
      </c>
      <c r="N3326" t="s">
        <v>47304</v>
      </c>
      <c r="O3326" t="s">
        <v>47305</v>
      </c>
      <c r="P3326">
        <v>0</v>
      </c>
      <c r="Q3326">
        <v>0</v>
      </c>
      <c r="R3326" t="s">
        <v>47306</v>
      </c>
      <c r="S3326" t="s">
        <v>47414</v>
      </c>
      <c r="T3326" t="s">
        <v>48980</v>
      </c>
      <c r="U3326" t="s">
        <v>52428</v>
      </c>
      <c r="W3326" t="s">
        <v>43613</v>
      </c>
      <c r="X3326" t="s">
        <v>47308</v>
      </c>
    </row>
    <row r="3327" spans="1:24">
      <c r="A3327">
        <f>HYPERLINK("https://www.philgeps.gov.ph/GEPSNONPILOT/Tender/SplashBidNoticeAbstractUI.aspx?menuIndex=3&amp;refID=7195582&amp;Result=3","7195582")</f>
        <v>0</v>
      </c>
      <c r="B3327" t="s">
        <v>384</v>
      </c>
      <c r="C3327" t="s">
        <v>7023</v>
      </c>
      <c r="D3327" t="s">
        <v>18995</v>
      </c>
      <c r="E3327" t="s">
        <v>22091</v>
      </c>
      <c r="F3327" t="s">
        <v>32606</v>
      </c>
      <c r="G3327" t="s">
        <v>32613</v>
      </c>
      <c r="H3327" t="s">
        <v>32623</v>
      </c>
      <c r="I3327" t="s">
        <v>17648</v>
      </c>
      <c r="J3327" t="s">
        <v>35053</v>
      </c>
      <c r="K3327" t="s">
        <v>42737</v>
      </c>
      <c r="M3327" t="s">
        <v>43287</v>
      </c>
      <c r="N3327" t="s">
        <v>47304</v>
      </c>
      <c r="O3327" t="s">
        <v>47305</v>
      </c>
      <c r="P3327">
        <v>0</v>
      </c>
      <c r="Q3327">
        <v>0</v>
      </c>
      <c r="R3327" t="s">
        <v>47306</v>
      </c>
      <c r="S3327" t="s">
        <v>47414</v>
      </c>
      <c r="T3327" t="s">
        <v>49048</v>
      </c>
      <c r="U3327" t="s">
        <v>52429</v>
      </c>
      <c r="W3327" t="s">
        <v>43287</v>
      </c>
      <c r="X3327" t="s">
        <v>47308</v>
      </c>
    </row>
    <row r="3328" spans="1:24">
      <c r="A3328">
        <f>HYPERLINK("https://www.philgeps.gov.ph/GEPSNONPILOT/Tender/SplashBidNoticeAbstractUI.aspx?menuIndex=3&amp;refID=7195578&amp;Result=3","7195578")</f>
        <v>0</v>
      </c>
      <c r="B3328" t="s">
        <v>891</v>
      </c>
      <c r="C3328" t="s">
        <v>4830</v>
      </c>
      <c r="D3328" t="s">
        <v>19016</v>
      </c>
      <c r="E3328" t="s">
        <v>22092</v>
      </c>
      <c r="F3328" t="s">
        <v>32606</v>
      </c>
      <c r="G3328" t="s">
        <v>32614</v>
      </c>
      <c r="H3328" t="s">
        <v>14201</v>
      </c>
      <c r="I3328" t="s">
        <v>4120</v>
      </c>
      <c r="J3328" t="s">
        <v>35054</v>
      </c>
      <c r="K3328" t="s">
        <v>42631</v>
      </c>
      <c r="M3328" t="s">
        <v>43827</v>
      </c>
      <c r="N3328" t="s">
        <v>47304</v>
      </c>
      <c r="O3328" t="s">
        <v>47305</v>
      </c>
      <c r="P3328">
        <v>0</v>
      </c>
      <c r="Q3328">
        <v>2</v>
      </c>
      <c r="R3328" t="s">
        <v>47306</v>
      </c>
      <c r="S3328" t="s">
        <v>47414</v>
      </c>
      <c r="T3328" t="s">
        <v>49019</v>
      </c>
      <c r="U3328" t="s">
        <v>51254</v>
      </c>
      <c r="W3328" t="s">
        <v>64455</v>
      </c>
      <c r="X3328" t="s">
        <v>47308</v>
      </c>
    </row>
    <row r="3329" spans="1:24">
      <c r="A3329">
        <f>HYPERLINK("https://www.philgeps.gov.ph/GEPSNONPILOT/Tender/SplashBidNoticeAbstractUI.aspx?menuIndex=3&amp;refID=7195574&amp;Result=3","7195574")</f>
        <v>0</v>
      </c>
      <c r="B3329" t="s">
        <v>747</v>
      </c>
      <c r="C3329" t="s">
        <v>7024</v>
      </c>
      <c r="D3329" t="s">
        <v>19014</v>
      </c>
      <c r="E3329" t="s">
        <v>22093</v>
      </c>
      <c r="F3329" t="s">
        <v>32606</v>
      </c>
      <c r="G3329" t="s">
        <v>32613</v>
      </c>
      <c r="H3329" t="s">
        <v>14201</v>
      </c>
      <c r="I3329" t="s">
        <v>32629</v>
      </c>
      <c r="J3329" t="s">
        <v>35055</v>
      </c>
      <c r="K3329" t="s">
        <v>42631</v>
      </c>
      <c r="M3329" t="s">
        <v>43670</v>
      </c>
      <c r="N3329" t="s">
        <v>47304</v>
      </c>
      <c r="O3329" t="s">
        <v>47305</v>
      </c>
      <c r="P3329">
        <v>0</v>
      </c>
      <c r="Q3329">
        <v>0</v>
      </c>
      <c r="R3329" t="s">
        <v>47306</v>
      </c>
      <c r="S3329" t="s">
        <v>47414</v>
      </c>
      <c r="T3329" t="s">
        <v>48973</v>
      </c>
      <c r="U3329" t="s">
        <v>52430</v>
      </c>
      <c r="V3329" t="s">
        <v>62817</v>
      </c>
      <c r="W3329" t="s">
        <v>43670</v>
      </c>
      <c r="X3329" t="s">
        <v>47308</v>
      </c>
    </row>
    <row r="3330" spans="1:24">
      <c r="A3330">
        <f>HYPERLINK("https://www.philgeps.gov.ph/GEPSNONPILOT/Tender/SplashBidNoticeAbstractUI.aspx?menuIndex=3&amp;refID=7195590&amp;Result=3","7195590")</f>
        <v>0</v>
      </c>
      <c r="B3330" t="s">
        <v>1357</v>
      </c>
      <c r="C3330" t="s">
        <v>7025</v>
      </c>
      <c r="D3330" t="s">
        <v>18993</v>
      </c>
      <c r="E3330" t="s">
        <v>22094</v>
      </c>
      <c r="F3330" t="s">
        <v>32606</v>
      </c>
      <c r="G3330" t="s">
        <v>32614</v>
      </c>
      <c r="H3330" t="s">
        <v>14201</v>
      </c>
      <c r="I3330" t="s">
        <v>32678</v>
      </c>
      <c r="J3330" t="s">
        <v>35056</v>
      </c>
      <c r="K3330" t="s">
        <v>42624</v>
      </c>
      <c r="M3330" t="s">
        <v>44354</v>
      </c>
      <c r="N3330" t="s">
        <v>47304</v>
      </c>
      <c r="O3330" t="s">
        <v>47305</v>
      </c>
      <c r="P3330">
        <v>0</v>
      </c>
      <c r="Q3330">
        <v>3</v>
      </c>
      <c r="R3330" t="s">
        <v>47306</v>
      </c>
      <c r="S3330" t="s">
        <v>47414</v>
      </c>
      <c r="T3330" t="s">
        <v>48996</v>
      </c>
      <c r="U3330" t="s">
        <v>52431</v>
      </c>
      <c r="V3330" t="s">
        <v>63000</v>
      </c>
      <c r="W3330" t="s">
        <v>44354</v>
      </c>
      <c r="X3330" t="s">
        <v>47308</v>
      </c>
    </row>
    <row r="3331" spans="1:24">
      <c r="A3331">
        <f>HYPERLINK("https://www.philgeps.gov.ph/GEPSNONPILOT/Tender/SplashBidNoticeAbstractUI.aspx?menuIndex=3&amp;refID=7195588&amp;Result=3","7195588")</f>
        <v>0</v>
      </c>
      <c r="B3331" t="s">
        <v>1348</v>
      </c>
      <c r="C3331" t="s">
        <v>7026</v>
      </c>
      <c r="D3331" t="s">
        <v>19043</v>
      </c>
      <c r="E3331" t="s">
        <v>22095</v>
      </c>
      <c r="F3331" t="s">
        <v>32606</v>
      </c>
      <c r="G3331" t="s">
        <v>32614</v>
      </c>
      <c r="H3331" t="s">
        <v>14201</v>
      </c>
      <c r="I3331" t="s">
        <v>32629</v>
      </c>
      <c r="J3331" t="s">
        <v>35057</v>
      </c>
      <c r="K3331" t="s">
        <v>42646</v>
      </c>
      <c r="M3331" t="s">
        <v>44322</v>
      </c>
      <c r="N3331" t="s">
        <v>47304</v>
      </c>
      <c r="O3331" t="s">
        <v>47305</v>
      </c>
      <c r="P3331">
        <v>0</v>
      </c>
      <c r="Q3331">
        <v>0</v>
      </c>
      <c r="R3331" t="s">
        <v>47306</v>
      </c>
      <c r="S3331" t="s">
        <v>47414</v>
      </c>
      <c r="T3331" t="s">
        <v>49108</v>
      </c>
      <c r="U3331" t="s">
        <v>52432</v>
      </c>
      <c r="V3331" t="s">
        <v>62991</v>
      </c>
      <c r="W3331" t="s">
        <v>44322</v>
      </c>
      <c r="X3331" t="s">
        <v>47308</v>
      </c>
    </row>
    <row r="3332" spans="1:24">
      <c r="A3332">
        <f>HYPERLINK("https://www.philgeps.gov.ph/GEPSNONPILOT/Tender/SplashBidNoticeAbstractUI.aspx?menuIndex=3&amp;refID=7195553&amp;Result=3","7195553")</f>
        <v>0</v>
      </c>
      <c r="B3332" t="s">
        <v>891</v>
      </c>
      <c r="C3332" t="s">
        <v>7027</v>
      </c>
      <c r="D3332" t="s">
        <v>19016</v>
      </c>
      <c r="E3332" t="s">
        <v>22096</v>
      </c>
      <c r="F3332" t="s">
        <v>32606</v>
      </c>
      <c r="G3332" t="s">
        <v>32614</v>
      </c>
      <c r="H3332" t="s">
        <v>14201</v>
      </c>
      <c r="I3332" t="s">
        <v>32633</v>
      </c>
      <c r="J3332" t="s">
        <v>35058</v>
      </c>
      <c r="K3332" t="s">
        <v>42631</v>
      </c>
      <c r="M3332" t="s">
        <v>43827</v>
      </c>
      <c r="N3332" t="s">
        <v>47304</v>
      </c>
      <c r="O3332" t="s">
        <v>47305</v>
      </c>
      <c r="P3332">
        <v>0</v>
      </c>
      <c r="Q3332">
        <v>5</v>
      </c>
      <c r="R3332" t="s">
        <v>47306</v>
      </c>
      <c r="S3332" t="s">
        <v>47414</v>
      </c>
      <c r="T3332" t="s">
        <v>49019</v>
      </c>
      <c r="U3332" t="s">
        <v>51254</v>
      </c>
      <c r="W3332" t="s">
        <v>64455</v>
      </c>
      <c r="X3332" t="s">
        <v>47308</v>
      </c>
    </row>
    <row r="3333" spans="1:24">
      <c r="A3333">
        <f>HYPERLINK("https://www.philgeps.gov.ph/GEPSNONPILOT/Tender/SplashBidNoticeAbstractUI.aspx?menuIndex=3&amp;refID=7195552&amp;Result=3","7195552")</f>
        <v>0</v>
      </c>
      <c r="B3333" t="s">
        <v>1234</v>
      </c>
      <c r="C3333" t="s">
        <v>7028</v>
      </c>
      <c r="D3333" t="s">
        <v>19047</v>
      </c>
      <c r="E3333" t="s">
        <v>22097</v>
      </c>
      <c r="F3333" t="s">
        <v>32606</v>
      </c>
      <c r="G3333" t="s">
        <v>32617</v>
      </c>
      <c r="H3333" t="s">
        <v>14201</v>
      </c>
      <c r="I3333" t="s">
        <v>4120</v>
      </c>
      <c r="J3333" t="s">
        <v>35059</v>
      </c>
      <c r="K3333" t="s">
        <v>42623</v>
      </c>
      <c r="M3333" t="s">
        <v>44199</v>
      </c>
      <c r="N3333" t="s">
        <v>47304</v>
      </c>
      <c r="O3333" t="s">
        <v>47305</v>
      </c>
      <c r="P3333">
        <v>0</v>
      </c>
      <c r="Q3333">
        <v>0</v>
      </c>
      <c r="R3333" t="s">
        <v>47306</v>
      </c>
      <c r="S3333" t="s">
        <v>47414</v>
      </c>
      <c r="T3333" t="s">
        <v>49062</v>
      </c>
      <c r="U3333" t="s">
        <v>52433</v>
      </c>
      <c r="W3333" t="s">
        <v>44199</v>
      </c>
      <c r="X3333" t="s">
        <v>47308</v>
      </c>
    </row>
    <row r="3334" spans="1:24">
      <c r="A3334">
        <f>HYPERLINK("https://www.philgeps.gov.ph/GEPSNONPILOT/Tender/SplashBidNoticeAbstractUI.aspx?menuIndex=3&amp;refID=7195586&amp;Result=3","7195586")</f>
        <v>0</v>
      </c>
      <c r="B3334" t="s">
        <v>337</v>
      </c>
      <c r="C3334" t="s">
        <v>7029</v>
      </c>
      <c r="D3334" t="s">
        <v>19039</v>
      </c>
      <c r="E3334" t="s">
        <v>22098</v>
      </c>
      <c r="F3334" t="s">
        <v>32606</v>
      </c>
      <c r="G3334" t="s">
        <v>32619</v>
      </c>
      <c r="H3334" t="s">
        <v>14201</v>
      </c>
      <c r="I3334" t="s">
        <v>4114</v>
      </c>
      <c r="J3334" t="s">
        <v>35060</v>
      </c>
      <c r="K3334" t="s">
        <v>42622</v>
      </c>
      <c r="M3334" t="s">
        <v>43239</v>
      </c>
      <c r="N3334" t="s">
        <v>47304</v>
      </c>
      <c r="O3334" t="s">
        <v>47305</v>
      </c>
      <c r="P3334">
        <v>0</v>
      </c>
      <c r="Q3334">
        <v>0</v>
      </c>
      <c r="R3334" t="s">
        <v>47306</v>
      </c>
      <c r="S3334" t="s">
        <v>47414</v>
      </c>
      <c r="T3334" t="s">
        <v>48980</v>
      </c>
      <c r="U3334" t="s">
        <v>52434</v>
      </c>
      <c r="W3334" t="s">
        <v>43239</v>
      </c>
      <c r="X3334" t="s">
        <v>47308</v>
      </c>
    </row>
    <row r="3335" spans="1:24">
      <c r="A3335">
        <f>HYPERLINK("https://www.philgeps.gov.ph/GEPSNONPILOT/Tender/SplashBidNoticeAbstractUI.aspx?menuIndex=3&amp;refID=7195579&amp;Result=3","7195579")</f>
        <v>0</v>
      </c>
      <c r="B3335" t="s">
        <v>76</v>
      </c>
      <c r="C3335" t="s">
        <v>7030</v>
      </c>
      <c r="D3335" t="s">
        <v>19010</v>
      </c>
      <c r="E3335" t="s">
        <v>22099</v>
      </c>
      <c r="F3335" t="s">
        <v>32606</v>
      </c>
      <c r="G3335" t="s">
        <v>32613</v>
      </c>
      <c r="H3335" t="s">
        <v>14201</v>
      </c>
      <c r="I3335" t="s">
        <v>9008</v>
      </c>
      <c r="J3335" t="s">
        <v>35061</v>
      </c>
      <c r="K3335" t="s">
        <v>42624</v>
      </c>
      <c r="M3335" t="s">
        <v>42973</v>
      </c>
      <c r="N3335" t="s">
        <v>47304</v>
      </c>
      <c r="O3335" t="s">
        <v>47305</v>
      </c>
      <c r="P3335">
        <v>0</v>
      </c>
      <c r="Q3335">
        <v>1</v>
      </c>
      <c r="R3335" t="s">
        <v>47306</v>
      </c>
      <c r="S3335" t="s">
        <v>47414</v>
      </c>
      <c r="T3335" t="s">
        <v>49011</v>
      </c>
      <c r="U3335" t="s">
        <v>52435</v>
      </c>
      <c r="W3335" t="s">
        <v>64421</v>
      </c>
      <c r="X3335" t="s">
        <v>47308</v>
      </c>
    </row>
    <row r="3336" spans="1:24">
      <c r="A3336">
        <f>HYPERLINK("https://www.philgeps.gov.ph/GEPSNONPILOT/Tender/SplashBidNoticeAbstractUI.aspx?menuIndex=3&amp;refID=7195583&amp;Result=3","7195583")</f>
        <v>0</v>
      </c>
      <c r="B3336" t="s">
        <v>616</v>
      </c>
      <c r="C3336" t="s">
        <v>4540</v>
      </c>
      <c r="D3336" t="s">
        <v>18989</v>
      </c>
      <c r="E3336" t="s">
        <v>22100</v>
      </c>
      <c r="F3336" t="s">
        <v>32606</v>
      </c>
      <c r="G3336" t="s">
        <v>32614</v>
      </c>
      <c r="H3336" t="s">
        <v>14201</v>
      </c>
      <c r="I3336" t="s">
        <v>32633</v>
      </c>
      <c r="J3336" t="s">
        <v>32765</v>
      </c>
      <c r="K3336" t="s">
        <v>42624</v>
      </c>
      <c r="M3336" t="s">
        <v>43534</v>
      </c>
      <c r="N3336" t="s">
        <v>47304</v>
      </c>
      <c r="O3336" t="s">
        <v>47305</v>
      </c>
      <c r="P3336">
        <v>0</v>
      </c>
      <c r="Q3336">
        <v>12</v>
      </c>
      <c r="R3336" t="s">
        <v>47306</v>
      </c>
      <c r="S3336" t="s">
        <v>47414</v>
      </c>
      <c r="T3336" t="s">
        <v>48979</v>
      </c>
      <c r="U3336" t="s">
        <v>50617</v>
      </c>
      <c r="W3336" t="s">
        <v>43534</v>
      </c>
      <c r="X3336" t="s">
        <v>47308</v>
      </c>
    </row>
    <row r="3337" spans="1:24">
      <c r="A3337">
        <f>HYPERLINK("https://www.philgeps.gov.ph/GEPSNONPILOT/Tender/SplashBidNoticeAbstractUI.aspx?menuIndex=3&amp;refID=7195577&amp;Result=3","7195577")</f>
        <v>0</v>
      </c>
      <c r="B3337" t="s">
        <v>81</v>
      </c>
      <c r="C3337" t="s">
        <v>7031</v>
      </c>
      <c r="D3337" t="s">
        <v>18995</v>
      </c>
      <c r="E3337" t="s">
        <v>22101</v>
      </c>
      <c r="F3337" t="s">
        <v>32606</v>
      </c>
      <c r="G3337" t="s">
        <v>32614</v>
      </c>
      <c r="H3337" t="s">
        <v>14201</v>
      </c>
      <c r="I3337" t="s">
        <v>5233</v>
      </c>
      <c r="J3337" t="s">
        <v>35062</v>
      </c>
      <c r="K3337" t="s">
        <v>42624</v>
      </c>
      <c r="M3337" t="s">
        <v>42978</v>
      </c>
      <c r="N3337" t="s">
        <v>47304</v>
      </c>
      <c r="O3337" t="s">
        <v>47305</v>
      </c>
      <c r="P3337">
        <v>0</v>
      </c>
      <c r="Q3337">
        <v>0</v>
      </c>
      <c r="R3337" t="s">
        <v>47306</v>
      </c>
      <c r="S3337" t="s">
        <v>47414</v>
      </c>
      <c r="T3337" t="s">
        <v>49014</v>
      </c>
      <c r="U3337" t="s">
        <v>52436</v>
      </c>
      <c r="W3337" t="s">
        <v>42978</v>
      </c>
      <c r="X3337" t="s">
        <v>47308</v>
      </c>
    </row>
    <row r="3338" spans="1:24">
      <c r="A3338">
        <f>HYPERLINK("https://www.philgeps.gov.ph/GEPSNONPILOT/Tender/SplashBidNoticeAbstractUI.aspx?menuIndex=3&amp;refID=7195627&amp;Result=3","7195627")</f>
        <v>0</v>
      </c>
      <c r="B3338" t="s">
        <v>1375</v>
      </c>
      <c r="C3338" t="s">
        <v>7032</v>
      </c>
      <c r="D3338" t="s">
        <v>19056</v>
      </c>
      <c r="E3338" t="s">
        <v>22102</v>
      </c>
      <c r="F3338" t="s">
        <v>32606</v>
      </c>
      <c r="G3338" t="s">
        <v>32614</v>
      </c>
      <c r="H3338" t="s">
        <v>14201</v>
      </c>
      <c r="I3338" t="s">
        <v>32633</v>
      </c>
      <c r="J3338" t="s">
        <v>35063</v>
      </c>
      <c r="K3338" t="s">
        <v>42623</v>
      </c>
      <c r="M3338" t="s">
        <v>44355</v>
      </c>
      <c r="N3338" t="s">
        <v>47304</v>
      </c>
      <c r="O3338" t="s">
        <v>47305</v>
      </c>
      <c r="P3338">
        <v>0</v>
      </c>
      <c r="Q3338">
        <v>4</v>
      </c>
      <c r="R3338" t="s">
        <v>47306</v>
      </c>
      <c r="S3338" t="s">
        <v>47414</v>
      </c>
      <c r="T3338" t="s">
        <v>49014</v>
      </c>
      <c r="U3338" t="s">
        <v>52437</v>
      </c>
      <c r="W3338" t="s">
        <v>44355</v>
      </c>
      <c r="X3338" t="s">
        <v>47308</v>
      </c>
    </row>
    <row r="3339" spans="1:24">
      <c r="A3339">
        <f>HYPERLINK("https://www.philgeps.gov.ph/GEPSNONPILOT/Tender/SplashBidNoticeAbstractUI.aspx?menuIndex=3&amp;refID=7195528&amp;Result=3","7195528")</f>
        <v>0</v>
      </c>
      <c r="B3339" t="s">
        <v>891</v>
      </c>
      <c r="C3339" t="s">
        <v>7033</v>
      </c>
      <c r="D3339" t="s">
        <v>19016</v>
      </c>
      <c r="E3339" t="s">
        <v>22103</v>
      </c>
      <c r="F3339" t="s">
        <v>32606</v>
      </c>
      <c r="G3339" t="s">
        <v>32614</v>
      </c>
      <c r="H3339" t="s">
        <v>14201</v>
      </c>
      <c r="I3339" t="s">
        <v>7577</v>
      </c>
      <c r="J3339" t="s">
        <v>35064</v>
      </c>
      <c r="K3339" t="s">
        <v>42632</v>
      </c>
      <c r="M3339" t="s">
        <v>43827</v>
      </c>
      <c r="N3339" t="s">
        <v>47304</v>
      </c>
      <c r="O3339" t="s">
        <v>47305</v>
      </c>
      <c r="P3339">
        <v>0</v>
      </c>
      <c r="Q3339">
        <v>1</v>
      </c>
      <c r="R3339" t="s">
        <v>47306</v>
      </c>
      <c r="S3339" t="s">
        <v>47414</v>
      </c>
      <c r="T3339" t="s">
        <v>49019</v>
      </c>
      <c r="U3339" t="s">
        <v>51254</v>
      </c>
      <c r="W3339" t="s">
        <v>64455</v>
      </c>
      <c r="X3339" t="s">
        <v>47308</v>
      </c>
    </row>
    <row r="3340" spans="1:24">
      <c r="A3340">
        <f>HYPERLINK("https://www.philgeps.gov.ph/GEPSNONPILOT/Tender/SplashBidNoticeAbstractUI.aspx?menuIndex=3&amp;refID=7195527&amp;Result=3","7195527")</f>
        <v>0</v>
      </c>
      <c r="B3340" t="s">
        <v>1376</v>
      </c>
      <c r="C3340" t="s">
        <v>7034</v>
      </c>
      <c r="D3340" t="s">
        <v>18993</v>
      </c>
      <c r="E3340" t="s">
        <v>22104</v>
      </c>
      <c r="F3340" t="s">
        <v>32606</v>
      </c>
      <c r="G3340" t="s">
        <v>32619</v>
      </c>
      <c r="H3340" t="s">
        <v>14201</v>
      </c>
      <c r="I3340" t="s">
        <v>32640</v>
      </c>
      <c r="J3340" t="s">
        <v>35065</v>
      </c>
      <c r="K3340" t="s">
        <v>42622</v>
      </c>
      <c r="M3340" t="s">
        <v>44356</v>
      </c>
      <c r="N3340" t="s">
        <v>47304</v>
      </c>
      <c r="O3340" t="s">
        <v>47305</v>
      </c>
      <c r="P3340">
        <v>0</v>
      </c>
      <c r="Q3340">
        <v>5</v>
      </c>
      <c r="R3340" t="s">
        <v>47306</v>
      </c>
      <c r="S3340" t="s">
        <v>47414</v>
      </c>
      <c r="T3340" t="s">
        <v>48979</v>
      </c>
      <c r="U3340" t="s">
        <v>52438</v>
      </c>
      <c r="W3340" t="s">
        <v>44356</v>
      </c>
      <c r="X3340" t="s">
        <v>47308</v>
      </c>
    </row>
    <row r="3341" spans="1:24">
      <c r="A3341">
        <f>HYPERLINK("https://www.philgeps.gov.ph/GEPSNONPILOT/Tender/SplashBidNoticeAbstractUI.aspx?menuIndex=3&amp;refID=7195626&amp;Result=3","7195626")</f>
        <v>0</v>
      </c>
      <c r="B3341" t="s">
        <v>1377</v>
      </c>
      <c r="C3341" t="s">
        <v>7035</v>
      </c>
      <c r="D3341" t="s">
        <v>19061</v>
      </c>
      <c r="E3341" t="s">
        <v>22105</v>
      </c>
      <c r="F3341" t="s">
        <v>32606</v>
      </c>
      <c r="G3341" t="s">
        <v>32614</v>
      </c>
      <c r="H3341" t="s">
        <v>14201</v>
      </c>
      <c r="I3341" t="s">
        <v>32723</v>
      </c>
      <c r="J3341" t="s">
        <v>35066</v>
      </c>
      <c r="K3341" t="s">
        <v>42624</v>
      </c>
      <c r="M3341" t="s">
        <v>44357</v>
      </c>
      <c r="N3341" t="s">
        <v>47304</v>
      </c>
      <c r="O3341" t="s">
        <v>47305</v>
      </c>
      <c r="P3341">
        <v>0</v>
      </c>
      <c r="Q3341">
        <v>0</v>
      </c>
      <c r="R3341" t="s">
        <v>47306</v>
      </c>
      <c r="S3341" t="s">
        <v>47414</v>
      </c>
      <c r="T3341" t="s">
        <v>49010</v>
      </c>
      <c r="U3341" t="s">
        <v>52439</v>
      </c>
      <c r="V3341" t="s">
        <v>63001</v>
      </c>
      <c r="W3341" t="s">
        <v>44357</v>
      </c>
      <c r="X3341" t="s">
        <v>47308</v>
      </c>
    </row>
    <row r="3342" spans="1:24">
      <c r="A3342">
        <f>HYPERLINK("https://www.philgeps.gov.ph/GEPSNONPILOT/Tender/SplashBidNoticeAbstractUI.aspx?menuIndex=3&amp;refID=7195625&amp;Result=3","7195625")</f>
        <v>0</v>
      </c>
      <c r="B3342" t="s">
        <v>1367</v>
      </c>
      <c r="C3342" t="s">
        <v>6992</v>
      </c>
      <c r="D3342" t="s">
        <v>19006</v>
      </c>
      <c r="E3342" t="s">
        <v>22065</v>
      </c>
      <c r="F3342" t="s">
        <v>32606</v>
      </c>
      <c r="G3342" t="s">
        <v>32614</v>
      </c>
      <c r="H3342" t="s">
        <v>14201</v>
      </c>
      <c r="I3342" t="s">
        <v>4678</v>
      </c>
      <c r="J3342" t="s">
        <v>35067</v>
      </c>
      <c r="K3342" t="s">
        <v>42629</v>
      </c>
      <c r="M3342" t="s">
        <v>44344</v>
      </c>
      <c r="N3342" t="s">
        <v>47304</v>
      </c>
      <c r="O3342" t="s">
        <v>47305</v>
      </c>
      <c r="P3342">
        <v>0</v>
      </c>
      <c r="Q3342">
        <v>1</v>
      </c>
      <c r="R3342" t="s">
        <v>47306</v>
      </c>
      <c r="S3342" t="s">
        <v>47414</v>
      </c>
      <c r="T3342" t="s">
        <v>48980</v>
      </c>
      <c r="U3342" t="s">
        <v>52440</v>
      </c>
      <c r="W3342" t="s">
        <v>44344</v>
      </c>
      <c r="X3342" t="s">
        <v>47308</v>
      </c>
    </row>
    <row r="3343" spans="1:24">
      <c r="A3343">
        <f>HYPERLINK("https://www.philgeps.gov.ph/GEPSNONPILOT/Tender/SplashBidNoticeAbstractUI.aspx?menuIndex=3&amp;refID=7195624&amp;Result=3","7195624")</f>
        <v>0</v>
      </c>
      <c r="B3343" t="s">
        <v>1378</v>
      </c>
      <c r="C3343" t="s">
        <v>7036</v>
      </c>
      <c r="D3343" t="s">
        <v>19033</v>
      </c>
      <c r="E3343" t="s">
        <v>20044</v>
      </c>
      <c r="F3343" t="s">
        <v>32606</v>
      </c>
      <c r="G3343" t="s">
        <v>32613</v>
      </c>
      <c r="H3343" t="s">
        <v>32623</v>
      </c>
      <c r="I3343" t="s">
        <v>6931</v>
      </c>
      <c r="J3343" t="s">
        <v>35068</v>
      </c>
      <c r="K3343" t="s">
        <v>42631</v>
      </c>
      <c r="M3343" t="s">
        <v>44358</v>
      </c>
      <c r="N3343" t="s">
        <v>47304</v>
      </c>
      <c r="O3343" t="s">
        <v>47305</v>
      </c>
      <c r="P3343">
        <v>0</v>
      </c>
      <c r="Q3343">
        <v>0</v>
      </c>
      <c r="R3343" t="s">
        <v>47306</v>
      </c>
      <c r="S3343" t="s">
        <v>47414</v>
      </c>
      <c r="T3343" t="s">
        <v>49084</v>
      </c>
      <c r="U3343" t="s">
        <v>52441</v>
      </c>
      <c r="W3343" t="s">
        <v>44358</v>
      </c>
      <c r="X3343" t="s">
        <v>47308</v>
      </c>
    </row>
    <row r="3344" spans="1:24">
      <c r="A3344">
        <f>HYPERLINK("https://www.philgeps.gov.ph/GEPSNONPILOT/Tender/SplashBidNoticeAbstractUI.aspx?menuIndex=3&amp;refID=7195623&amp;Result=3","7195623")</f>
        <v>0</v>
      </c>
      <c r="B3344" t="s">
        <v>981</v>
      </c>
      <c r="C3344" t="s">
        <v>7037</v>
      </c>
      <c r="D3344" t="s">
        <v>19009</v>
      </c>
      <c r="E3344" t="s">
        <v>22106</v>
      </c>
      <c r="F3344" t="s">
        <v>32606</v>
      </c>
      <c r="G3344" t="s">
        <v>32614</v>
      </c>
      <c r="H3344" t="s">
        <v>14201</v>
      </c>
      <c r="I3344" t="s">
        <v>6931</v>
      </c>
      <c r="J3344" t="s">
        <v>35069</v>
      </c>
      <c r="K3344" t="s">
        <v>42629</v>
      </c>
      <c r="L3344" t="s">
        <v>981</v>
      </c>
      <c r="M3344" t="s">
        <v>43927</v>
      </c>
      <c r="N3344" t="s">
        <v>47304</v>
      </c>
      <c r="O3344" t="s">
        <v>47305</v>
      </c>
      <c r="P3344">
        <v>0</v>
      </c>
      <c r="Q3344">
        <v>0</v>
      </c>
      <c r="R3344" t="s">
        <v>47306</v>
      </c>
      <c r="S3344" t="s">
        <v>47414</v>
      </c>
      <c r="T3344" t="s">
        <v>49004</v>
      </c>
      <c r="U3344" t="s">
        <v>51500</v>
      </c>
      <c r="W3344" t="s">
        <v>43927</v>
      </c>
      <c r="X3344" t="s">
        <v>47308</v>
      </c>
    </row>
    <row r="3345" spans="1:24">
      <c r="A3345">
        <f>HYPERLINK("https://www.philgeps.gov.ph/GEPSNONPILOT/Tender/SplashBidNoticeAbstractUI.aspx?menuIndex=3&amp;refID=7195620&amp;Result=3","7195620")</f>
        <v>0</v>
      </c>
      <c r="B3345" t="s">
        <v>353</v>
      </c>
      <c r="C3345" t="s">
        <v>7038</v>
      </c>
      <c r="D3345" t="s">
        <v>19012</v>
      </c>
      <c r="E3345" t="s">
        <v>22107</v>
      </c>
      <c r="F3345" t="s">
        <v>32606</v>
      </c>
      <c r="G3345" t="s">
        <v>32614</v>
      </c>
      <c r="H3345" t="s">
        <v>14201</v>
      </c>
      <c r="I3345" t="s">
        <v>32638</v>
      </c>
      <c r="J3345" t="s">
        <v>35070</v>
      </c>
      <c r="K3345" t="s">
        <v>42631</v>
      </c>
      <c r="M3345" t="s">
        <v>43255</v>
      </c>
      <c r="N3345" t="s">
        <v>47304</v>
      </c>
      <c r="O3345" t="s">
        <v>47305</v>
      </c>
      <c r="P3345">
        <v>0</v>
      </c>
      <c r="Q3345">
        <v>5</v>
      </c>
      <c r="R3345" t="s">
        <v>47306</v>
      </c>
      <c r="S3345" t="s">
        <v>47414</v>
      </c>
      <c r="T3345" t="s">
        <v>49014</v>
      </c>
      <c r="U3345" t="s">
        <v>52442</v>
      </c>
      <c r="W3345" t="s">
        <v>43255</v>
      </c>
      <c r="X3345" t="s">
        <v>47308</v>
      </c>
    </row>
    <row r="3346" spans="1:24">
      <c r="A3346">
        <f>HYPERLINK("https://www.philgeps.gov.ph/GEPSNONPILOT/Tender/SplashBidNoticeAbstractUI.aspx?menuIndex=3&amp;refID=7195628&amp;Result=3","7195628")</f>
        <v>0</v>
      </c>
      <c r="B3346" t="s">
        <v>233</v>
      </c>
      <c r="C3346" t="s">
        <v>7039</v>
      </c>
      <c r="D3346" t="s">
        <v>18997</v>
      </c>
      <c r="E3346" t="s">
        <v>22108</v>
      </c>
      <c r="F3346" t="s">
        <v>32606</v>
      </c>
      <c r="G3346" t="s">
        <v>32613</v>
      </c>
      <c r="H3346" t="s">
        <v>14201</v>
      </c>
      <c r="I3346" t="s">
        <v>6298</v>
      </c>
      <c r="J3346" t="s">
        <v>34282</v>
      </c>
      <c r="K3346" t="s">
        <v>42631</v>
      </c>
      <c r="M3346" t="s">
        <v>44359</v>
      </c>
      <c r="N3346" t="s">
        <v>47304</v>
      </c>
      <c r="O3346" t="s">
        <v>47305</v>
      </c>
      <c r="P3346">
        <v>0</v>
      </c>
      <c r="Q3346">
        <v>0</v>
      </c>
      <c r="R3346" t="s">
        <v>47306</v>
      </c>
      <c r="S3346" t="s">
        <v>47414</v>
      </c>
      <c r="T3346" t="s">
        <v>49023</v>
      </c>
      <c r="U3346" t="s">
        <v>52443</v>
      </c>
      <c r="V3346" t="s">
        <v>63002</v>
      </c>
      <c r="W3346" t="s">
        <v>44359</v>
      </c>
      <c r="X3346" t="s">
        <v>47308</v>
      </c>
    </row>
    <row r="3347" spans="1:24">
      <c r="A3347">
        <f>HYPERLINK("https://www.philgeps.gov.ph/GEPSNONPILOT/Tender/SplashBidNoticeAbstractUI.aspx?menuIndex=3&amp;refID=7195619&amp;Result=3","7195619")</f>
        <v>0</v>
      </c>
      <c r="B3347" t="s">
        <v>728</v>
      </c>
      <c r="C3347" t="s">
        <v>7040</v>
      </c>
      <c r="D3347" t="s">
        <v>19025</v>
      </c>
      <c r="E3347" t="s">
        <v>22109</v>
      </c>
      <c r="F3347" t="s">
        <v>32606</v>
      </c>
      <c r="G3347" t="s">
        <v>32613</v>
      </c>
      <c r="H3347" t="s">
        <v>32623</v>
      </c>
      <c r="I3347" t="s">
        <v>17648</v>
      </c>
      <c r="J3347" t="s">
        <v>35071</v>
      </c>
      <c r="K3347" t="s">
        <v>42743</v>
      </c>
      <c r="M3347" t="s">
        <v>44360</v>
      </c>
      <c r="N3347" t="s">
        <v>47304</v>
      </c>
      <c r="O3347" t="s">
        <v>47305</v>
      </c>
      <c r="Q3347">
        <v>0</v>
      </c>
      <c r="R3347" t="s">
        <v>47306</v>
      </c>
      <c r="S3347" t="s">
        <v>47420</v>
      </c>
      <c r="T3347" t="s">
        <v>49193</v>
      </c>
      <c r="U3347" t="s">
        <v>52444</v>
      </c>
      <c r="W3347" t="s">
        <v>44360</v>
      </c>
      <c r="X3347" t="s">
        <v>47308</v>
      </c>
    </row>
    <row r="3348" spans="1:24">
      <c r="A3348">
        <f>HYPERLINK("https://www.philgeps.gov.ph/GEPSNONPILOT/Tender/SplashBidNoticeAbstractUI.aspx?menuIndex=3&amp;refID=7195632&amp;Result=3","7195632")</f>
        <v>0</v>
      </c>
      <c r="B3348" t="s">
        <v>1379</v>
      </c>
      <c r="C3348" t="s">
        <v>7041</v>
      </c>
      <c r="D3348" t="s">
        <v>19011</v>
      </c>
      <c r="E3348" t="s">
        <v>22110</v>
      </c>
      <c r="F3348" t="s">
        <v>32606</v>
      </c>
      <c r="G3348" t="s">
        <v>32619</v>
      </c>
      <c r="H3348" t="s">
        <v>14201</v>
      </c>
      <c r="I3348" t="s">
        <v>4112</v>
      </c>
      <c r="J3348" t="s">
        <v>34972</v>
      </c>
      <c r="K3348" t="s">
        <v>42625</v>
      </c>
      <c r="M3348" t="s">
        <v>44361</v>
      </c>
      <c r="N3348" t="s">
        <v>47304</v>
      </c>
      <c r="O3348" t="s">
        <v>47305</v>
      </c>
      <c r="P3348">
        <v>0</v>
      </c>
      <c r="Q3348">
        <v>0</v>
      </c>
      <c r="R3348" t="s">
        <v>47306</v>
      </c>
      <c r="S3348" t="s">
        <v>47414</v>
      </c>
      <c r="T3348" t="s">
        <v>48980</v>
      </c>
      <c r="U3348" t="s">
        <v>52445</v>
      </c>
      <c r="W3348" t="s">
        <v>44361</v>
      </c>
      <c r="X3348" t="s">
        <v>47308</v>
      </c>
    </row>
    <row r="3349" spans="1:24">
      <c r="A3349">
        <f>HYPERLINK("https://www.philgeps.gov.ph/GEPSNONPILOT/Tender/SplashBidNoticeAbstractUI.aspx?menuIndex=3&amp;refID=7195526&amp;Result=3","7195526")</f>
        <v>0</v>
      </c>
      <c r="B3349" t="s">
        <v>1369</v>
      </c>
      <c r="C3349" t="s">
        <v>7042</v>
      </c>
      <c r="D3349" t="s">
        <v>19013</v>
      </c>
      <c r="E3349" t="s">
        <v>22111</v>
      </c>
      <c r="F3349" t="s">
        <v>32606</v>
      </c>
      <c r="G3349" t="s">
        <v>32619</v>
      </c>
      <c r="H3349" t="s">
        <v>14201</v>
      </c>
      <c r="I3349" t="s">
        <v>6931</v>
      </c>
      <c r="J3349" t="s">
        <v>35036</v>
      </c>
      <c r="K3349" t="s">
        <v>42632</v>
      </c>
      <c r="M3349" t="s">
        <v>44346</v>
      </c>
      <c r="N3349" t="s">
        <v>47304</v>
      </c>
      <c r="O3349" t="s">
        <v>47305</v>
      </c>
      <c r="P3349">
        <v>0</v>
      </c>
      <c r="Q3349">
        <v>0</v>
      </c>
      <c r="R3349" t="s">
        <v>47306</v>
      </c>
      <c r="S3349" t="s">
        <v>47414</v>
      </c>
      <c r="T3349" t="s">
        <v>49108</v>
      </c>
      <c r="U3349" t="s">
        <v>52407</v>
      </c>
      <c r="W3349" t="s">
        <v>44346</v>
      </c>
      <c r="X3349" t="s">
        <v>47308</v>
      </c>
    </row>
    <row r="3350" spans="1:24">
      <c r="A3350">
        <f>HYPERLINK("https://www.philgeps.gov.ph/GEPSNONPILOT/Tender/SplashBidNoticeAbstractUI.aspx?menuIndex=3&amp;refID=7195649&amp;Result=3","7195649")</f>
        <v>0</v>
      </c>
      <c r="B3350" t="s">
        <v>1380</v>
      </c>
      <c r="C3350" t="s">
        <v>7043</v>
      </c>
      <c r="D3350" t="s">
        <v>19014</v>
      </c>
      <c r="E3350" t="s">
        <v>22112</v>
      </c>
      <c r="F3350" t="s">
        <v>32606</v>
      </c>
      <c r="G3350" t="s">
        <v>32614</v>
      </c>
      <c r="H3350" t="s">
        <v>14201</v>
      </c>
      <c r="I3350" t="s">
        <v>6993</v>
      </c>
      <c r="J3350" t="s">
        <v>35072</v>
      </c>
      <c r="K3350" t="s">
        <v>42622</v>
      </c>
      <c r="M3350" t="s">
        <v>44362</v>
      </c>
      <c r="N3350" t="s">
        <v>47304</v>
      </c>
      <c r="O3350" t="s">
        <v>47305</v>
      </c>
      <c r="P3350">
        <v>0</v>
      </c>
      <c r="Q3350">
        <v>0</v>
      </c>
      <c r="R3350" t="s">
        <v>47306</v>
      </c>
      <c r="S3350" t="s">
        <v>47414</v>
      </c>
      <c r="T3350" t="s">
        <v>48980</v>
      </c>
      <c r="U3350" t="s">
        <v>52446</v>
      </c>
      <c r="W3350" t="s">
        <v>44362</v>
      </c>
      <c r="X3350" t="s">
        <v>47308</v>
      </c>
    </row>
    <row r="3351" spans="1:24">
      <c r="A3351">
        <f>HYPERLINK("https://www.philgeps.gov.ph/GEPSNONPILOT/Tender/SplashBidNoticeAbstractUI.aspx?menuIndex=3&amp;refID=7195654&amp;Result=3","7195654")</f>
        <v>0</v>
      </c>
      <c r="B3351" t="s">
        <v>415</v>
      </c>
      <c r="C3351" t="s">
        <v>7044</v>
      </c>
      <c r="D3351" t="s">
        <v>19037</v>
      </c>
      <c r="E3351" t="s">
        <v>22113</v>
      </c>
      <c r="F3351" t="s">
        <v>32606</v>
      </c>
      <c r="G3351" t="s">
        <v>32614</v>
      </c>
      <c r="H3351" t="s">
        <v>14201</v>
      </c>
      <c r="I3351" t="s">
        <v>6298</v>
      </c>
      <c r="J3351" t="s">
        <v>35073</v>
      </c>
      <c r="K3351" t="s">
        <v>42630</v>
      </c>
      <c r="M3351" t="s">
        <v>44205</v>
      </c>
      <c r="N3351" t="s">
        <v>47304</v>
      </c>
      <c r="O3351" t="s">
        <v>47305</v>
      </c>
      <c r="P3351">
        <v>0</v>
      </c>
      <c r="Q3351">
        <v>1</v>
      </c>
      <c r="R3351" t="s">
        <v>47306</v>
      </c>
      <c r="S3351" t="s">
        <v>47414</v>
      </c>
      <c r="T3351" t="s">
        <v>49014</v>
      </c>
      <c r="U3351" t="s">
        <v>52447</v>
      </c>
      <c r="V3351" t="s">
        <v>62962</v>
      </c>
      <c r="W3351" t="s">
        <v>44205</v>
      </c>
      <c r="X3351" t="s">
        <v>47308</v>
      </c>
    </row>
    <row r="3352" spans="1:24">
      <c r="A3352">
        <f>HYPERLINK("https://www.philgeps.gov.ph/GEPSNONPILOT/Tender/SplashBidNoticeAbstractUI.aspx?menuIndex=3&amp;refID=7195651&amp;Result=3","7195651")</f>
        <v>0</v>
      </c>
      <c r="B3352" t="s">
        <v>809</v>
      </c>
      <c r="C3352" t="s">
        <v>7045</v>
      </c>
      <c r="D3352" t="s">
        <v>19010</v>
      </c>
      <c r="E3352" t="s">
        <v>22114</v>
      </c>
      <c r="F3352" t="s">
        <v>32606</v>
      </c>
      <c r="G3352" t="s">
        <v>32613</v>
      </c>
      <c r="H3352" t="s">
        <v>32623</v>
      </c>
      <c r="I3352" t="s">
        <v>17648</v>
      </c>
      <c r="J3352" t="s">
        <v>35074</v>
      </c>
      <c r="K3352" t="s">
        <v>42636</v>
      </c>
      <c r="M3352" t="s">
        <v>43740</v>
      </c>
      <c r="N3352" t="s">
        <v>47304</v>
      </c>
      <c r="O3352" t="s">
        <v>47305</v>
      </c>
      <c r="P3352">
        <v>0</v>
      </c>
      <c r="Q3352">
        <v>0</v>
      </c>
      <c r="R3352" t="s">
        <v>47306</v>
      </c>
      <c r="S3352" t="s">
        <v>47414</v>
      </c>
      <c r="T3352" t="s">
        <v>49234</v>
      </c>
      <c r="U3352" t="s">
        <v>52448</v>
      </c>
      <c r="W3352" t="s">
        <v>43740</v>
      </c>
      <c r="X3352" t="s">
        <v>47308</v>
      </c>
    </row>
    <row r="3353" spans="1:24">
      <c r="A3353">
        <f>HYPERLINK("https://www.philgeps.gov.ph/GEPSNONPILOT/Tender/SplashBidNoticeAbstractUI.aspx?menuIndex=3&amp;refID=7195650&amp;Result=3","7195650")</f>
        <v>0</v>
      </c>
      <c r="B3353" t="s">
        <v>81</v>
      </c>
      <c r="C3353" t="s">
        <v>7046</v>
      </c>
      <c r="D3353" t="s">
        <v>18995</v>
      </c>
      <c r="E3353" t="s">
        <v>22115</v>
      </c>
      <c r="F3353" t="s">
        <v>32606</v>
      </c>
      <c r="G3353" t="s">
        <v>32614</v>
      </c>
      <c r="H3353" t="s">
        <v>14201</v>
      </c>
      <c r="I3353" t="s">
        <v>32634</v>
      </c>
      <c r="J3353" t="s">
        <v>35075</v>
      </c>
      <c r="K3353" t="s">
        <v>42624</v>
      </c>
      <c r="M3353" t="s">
        <v>42978</v>
      </c>
      <c r="N3353" t="s">
        <v>47304</v>
      </c>
      <c r="O3353" t="s">
        <v>47305</v>
      </c>
      <c r="P3353">
        <v>0</v>
      </c>
      <c r="Q3353">
        <v>2</v>
      </c>
      <c r="R3353" t="s">
        <v>47306</v>
      </c>
      <c r="S3353" t="s">
        <v>47414</v>
      </c>
      <c r="T3353" t="s">
        <v>49014</v>
      </c>
      <c r="U3353" t="s">
        <v>52449</v>
      </c>
      <c r="W3353" t="s">
        <v>42978</v>
      </c>
      <c r="X3353" t="s">
        <v>47308</v>
      </c>
    </row>
    <row r="3354" spans="1:24">
      <c r="A3354">
        <f>HYPERLINK("https://www.philgeps.gov.ph/GEPSNONPILOT/Tender/SplashBidNoticeAbstractUI.aspx?menuIndex=3&amp;refID=7195621&amp;Result=3","7195621")</f>
        <v>0</v>
      </c>
      <c r="B3354" t="s">
        <v>534</v>
      </c>
      <c r="C3354" t="s">
        <v>4547</v>
      </c>
      <c r="D3354" t="s">
        <v>19006</v>
      </c>
      <c r="E3354" t="s">
        <v>22116</v>
      </c>
      <c r="F3354" t="s">
        <v>32606</v>
      </c>
      <c r="G3354" t="s">
        <v>32613</v>
      </c>
      <c r="H3354" t="s">
        <v>14201</v>
      </c>
      <c r="I3354" t="s">
        <v>4120</v>
      </c>
      <c r="J3354" t="s">
        <v>35076</v>
      </c>
      <c r="K3354" t="s">
        <v>42622</v>
      </c>
      <c r="M3354" t="s">
        <v>43447</v>
      </c>
      <c r="N3354" t="s">
        <v>47304</v>
      </c>
      <c r="O3354" t="s">
        <v>47305</v>
      </c>
      <c r="P3354">
        <v>0</v>
      </c>
      <c r="Q3354">
        <v>1</v>
      </c>
      <c r="R3354" t="s">
        <v>47306</v>
      </c>
      <c r="S3354" t="s">
        <v>47414</v>
      </c>
      <c r="T3354" t="s">
        <v>48990</v>
      </c>
      <c r="U3354" t="s">
        <v>52450</v>
      </c>
      <c r="W3354" t="s">
        <v>43447</v>
      </c>
      <c r="X3354" t="s">
        <v>47308</v>
      </c>
    </row>
    <row r="3355" spans="1:24">
      <c r="A3355">
        <f>HYPERLINK("https://www.philgeps.gov.ph/GEPSNONPILOT/Tender/SplashBidNoticeAbstractUI.aspx?menuIndex=3&amp;refID=7195647&amp;Result=3","7195647")</f>
        <v>0</v>
      </c>
      <c r="B3355" t="s">
        <v>1014</v>
      </c>
      <c r="C3355" t="s">
        <v>7047</v>
      </c>
      <c r="D3355" t="s">
        <v>18989</v>
      </c>
      <c r="E3355" t="s">
        <v>22117</v>
      </c>
      <c r="F3355" t="s">
        <v>32606</v>
      </c>
      <c r="G3355" t="s">
        <v>32614</v>
      </c>
      <c r="H3355" t="s">
        <v>14201</v>
      </c>
      <c r="I3355" t="s">
        <v>32633</v>
      </c>
      <c r="J3355" t="s">
        <v>35077</v>
      </c>
      <c r="K3355" t="s">
        <v>42627</v>
      </c>
      <c r="L3355" t="s">
        <v>1014</v>
      </c>
      <c r="M3355" t="s">
        <v>43962</v>
      </c>
      <c r="N3355" t="s">
        <v>47304</v>
      </c>
      <c r="O3355" t="s">
        <v>47305</v>
      </c>
      <c r="P3355">
        <v>0</v>
      </c>
      <c r="Q3355">
        <v>3</v>
      </c>
      <c r="R3355" t="s">
        <v>47306</v>
      </c>
      <c r="S3355" t="s">
        <v>47414</v>
      </c>
      <c r="T3355" t="s">
        <v>49019</v>
      </c>
      <c r="U3355" t="s">
        <v>51580</v>
      </c>
      <c r="W3355" t="s">
        <v>43962</v>
      </c>
      <c r="X3355" t="s">
        <v>47308</v>
      </c>
    </row>
    <row r="3356" spans="1:24">
      <c r="A3356">
        <f>HYPERLINK("https://www.philgeps.gov.ph/GEPSNONPILOT/Tender/SplashBidNoticeAbstractUI.aspx?menuIndex=3&amp;refID=7195646&amp;Result=3","7195646")</f>
        <v>0</v>
      </c>
      <c r="B3356" t="s">
        <v>233</v>
      </c>
      <c r="C3356" t="s">
        <v>7048</v>
      </c>
      <c r="D3356" t="s">
        <v>18997</v>
      </c>
      <c r="E3356" t="s">
        <v>22118</v>
      </c>
      <c r="F3356" t="s">
        <v>32606</v>
      </c>
      <c r="G3356" t="s">
        <v>32613</v>
      </c>
      <c r="H3356" t="s">
        <v>14201</v>
      </c>
      <c r="I3356" t="s">
        <v>32629</v>
      </c>
      <c r="J3356" t="s">
        <v>35078</v>
      </c>
      <c r="K3356" t="s">
        <v>42631</v>
      </c>
      <c r="M3356" t="s">
        <v>44359</v>
      </c>
      <c r="N3356" t="s">
        <v>47304</v>
      </c>
      <c r="O3356" t="s">
        <v>47305</v>
      </c>
      <c r="P3356">
        <v>0</v>
      </c>
      <c r="Q3356">
        <v>0</v>
      </c>
      <c r="R3356" t="s">
        <v>47306</v>
      </c>
      <c r="S3356" t="s">
        <v>47414</v>
      </c>
      <c r="T3356" t="s">
        <v>49023</v>
      </c>
      <c r="U3356" t="s">
        <v>52451</v>
      </c>
      <c r="V3356" t="s">
        <v>63002</v>
      </c>
      <c r="W3356" t="s">
        <v>44359</v>
      </c>
      <c r="X3356" t="s">
        <v>47308</v>
      </c>
    </row>
    <row r="3357" spans="1:24">
      <c r="A3357">
        <f>HYPERLINK("https://www.philgeps.gov.ph/GEPSNONPILOT/Tender/SplashBidNoticeAbstractUI.aspx?menuIndex=3&amp;refID=7195645&amp;Result=3","7195645")</f>
        <v>0</v>
      </c>
      <c r="B3357" t="s">
        <v>1294</v>
      </c>
      <c r="C3357" t="s">
        <v>7049</v>
      </c>
      <c r="D3357" t="s">
        <v>18993</v>
      </c>
      <c r="E3357" t="s">
        <v>22119</v>
      </c>
      <c r="F3357" t="s">
        <v>32606</v>
      </c>
      <c r="G3357" t="s">
        <v>32613</v>
      </c>
      <c r="H3357" t="s">
        <v>14201</v>
      </c>
      <c r="I3357" t="s">
        <v>32640</v>
      </c>
      <c r="J3357" t="s">
        <v>33071</v>
      </c>
      <c r="K3357" t="s">
        <v>42631</v>
      </c>
      <c r="M3357" t="s">
        <v>44266</v>
      </c>
      <c r="N3357" t="s">
        <v>47304</v>
      </c>
      <c r="O3357" t="s">
        <v>47305</v>
      </c>
      <c r="P3357">
        <v>0</v>
      </c>
      <c r="Q3357">
        <v>10</v>
      </c>
      <c r="R3357" t="s">
        <v>47306</v>
      </c>
      <c r="S3357" t="s">
        <v>47414</v>
      </c>
      <c r="T3357" t="s">
        <v>48973</v>
      </c>
      <c r="U3357" t="s">
        <v>52452</v>
      </c>
      <c r="W3357" t="s">
        <v>44266</v>
      </c>
      <c r="X3357" t="s">
        <v>47308</v>
      </c>
    </row>
    <row r="3358" spans="1:24">
      <c r="A3358">
        <f>HYPERLINK("https://www.philgeps.gov.ph/GEPSNONPILOT/Tender/SplashBidNoticeAbstractUI.aspx?menuIndex=3&amp;refID=7195504&amp;Result=3","7195504")</f>
        <v>0</v>
      </c>
      <c r="B3358" t="s">
        <v>360</v>
      </c>
      <c r="C3358" t="s">
        <v>6961</v>
      </c>
      <c r="D3358" t="s">
        <v>19040</v>
      </c>
      <c r="E3358" t="s">
        <v>22032</v>
      </c>
      <c r="F3358" t="s">
        <v>32606</v>
      </c>
      <c r="G3358" t="s">
        <v>32619</v>
      </c>
      <c r="H3358" t="s">
        <v>14201</v>
      </c>
      <c r="I3358" t="s">
        <v>4120</v>
      </c>
      <c r="J3358" t="s">
        <v>35007</v>
      </c>
      <c r="K3358" t="s">
        <v>42630</v>
      </c>
      <c r="M3358" t="s">
        <v>43262</v>
      </c>
      <c r="N3358" t="s">
        <v>47304</v>
      </c>
      <c r="O3358" t="s">
        <v>47305</v>
      </c>
      <c r="P3358">
        <v>0</v>
      </c>
      <c r="Q3358">
        <v>0</v>
      </c>
      <c r="R3358" t="s">
        <v>47306</v>
      </c>
      <c r="S3358" t="s">
        <v>47414</v>
      </c>
      <c r="T3358" t="s">
        <v>49050</v>
      </c>
      <c r="U3358" t="s">
        <v>50184</v>
      </c>
      <c r="W3358" t="s">
        <v>43262</v>
      </c>
      <c r="X3358" t="s">
        <v>47308</v>
      </c>
    </row>
    <row r="3359" spans="1:24">
      <c r="A3359">
        <f>HYPERLINK("https://www.philgeps.gov.ph/GEPSNONPILOT/Tender/SplashBidNoticeAbstractUI.aspx?menuIndex=3&amp;refID=7195642&amp;Result=3","7195642")</f>
        <v>0</v>
      </c>
      <c r="B3359" t="s">
        <v>1381</v>
      </c>
      <c r="C3359" t="s">
        <v>7050</v>
      </c>
      <c r="D3359" t="s">
        <v>19004</v>
      </c>
      <c r="E3359" t="s">
        <v>20202</v>
      </c>
      <c r="F3359" t="s">
        <v>32606</v>
      </c>
      <c r="G3359" t="s">
        <v>32619</v>
      </c>
      <c r="H3359" t="s">
        <v>14201</v>
      </c>
      <c r="I3359" t="s">
        <v>4112</v>
      </c>
      <c r="J3359" t="s">
        <v>32973</v>
      </c>
      <c r="K3359" t="s">
        <v>42625</v>
      </c>
      <c r="M3359" t="s">
        <v>44363</v>
      </c>
      <c r="N3359" t="s">
        <v>47304</v>
      </c>
      <c r="O3359" t="s">
        <v>47305</v>
      </c>
      <c r="P3359">
        <v>0</v>
      </c>
      <c r="Q3359">
        <v>0</v>
      </c>
      <c r="R3359" t="s">
        <v>47306</v>
      </c>
      <c r="S3359" t="s">
        <v>47414</v>
      </c>
      <c r="T3359" t="s">
        <v>49083</v>
      </c>
      <c r="U3359" t="s">
        <v>52453</v>
      </c>
      <c r="W3359" t="s">
        <v>44363</v>
      </c>
      <c r="X3359" t="s">
        <v>47308</v>
      </c>
    </row>
    <row r="3360" spans="1:24">
      <c r="A3360">
        <f>HYPERLINK("https://www.philgeps.gov.ph/GEPSNONPILOT/Tender/SplashBidNoticeAbstractUI.aspx?menuIndex=3&amp;refID=7195622&amp;Result=3","7195622")</f>
        <v>0</v>
      </c>
      <c r="B3360" t="s">
        <v>89</v>
      </c>
      <c r="C3360" t="s">
        <v>7051</v>
      </c>
      <c r="D3360" t="s">
        <v>19018</v>
      </c>
      <c r="E3360" t="s">
        <v>22120</v>
      </c>
      <c r="F3360" t="s">
        <v>32606</v>
      </c>
      <c r="G3360" t="s">
        <v>32613</v>
      </c>
      <c r="H3360" t="s">
        <v>14201</v>
      </c>
      <c r="I3360" t="s">
        <v>7233</v>
      </c>
      <c r="J3360" t="s">
        <v>33080</v>
      </c>
      <c r="K3360" t="s">
        <v>42631</v>
      </c>
      <c r="M3360" t="s">
        <v>42987</v>
      </c>
      <c r="N3360" t="s">
        <v>47304</v>
      </c>
      <c r="O3360" t="s">
        <v>47305</v>
      </c>
      <c r="P3360">
        <v>0</v>
      </c>
      <c r="Q3360">
        <v>0</v>
      </c>
      <c r="R3360" t="s">
        <v>47306</v>
      </c>
      <c r="S3360" t="s">
        <v>47414</v>
      </c>
      <c r="T3360" t="s">
        <v>49008</v>
      </c>
      <c r="U3360" t="s">
        <v>52454</v>
      </c>
      <c r="W3360" t="s">
        <v>42987</v>
      </c>
      <c r="X3360" t="s">
        <v>47308</v>
      </c>
    </row>
    <row r="3361" spans="1:24">
      <c r="A3361">
        <f>HYPERLINK("https://www.philgeps.gov.ph/GEPSNONPILOT/Tender/SplashBidNoticeAbstractUI.aspx?menuIndex=3&amp;refID=7195648&amp;Result=3","7195648")</f>
        <v>0</v>
      </c>
      <c r="B3361" t="s">
        <v>1382</v>
      </c>
      <c r="C3361" t="s">
        <v>7052</v>
      </c>
      <c r="D3361" t="s">
        <v>18988</v>
      </c>
      <c r="E3361" t="s">
        <v>22121</v>
      </c>
      <c r="F3361" t="s">
        <v>32606</v>
      </c>
      <c r="G3361" t="s">
        <v>32614</v>
      </c>
      <c r="H3361" t="s">
        <v>14201</v>
      </c>
      <c r="I3361" t="s">
        <v>32663</v>
      </c>
      <c r="J3361" t="s">
        <v>32949</v>
      </c>
      <c r="K3361" t="s">
        <v>42627</v>
      </c>
      <c r="M3361" t="s">
        <v>44364</v>
      </c>
      <c r="N3361" t="s">
        <v>47304</v>
      </c>
      <c r="O3361" t="s">
        <v>47305</v>
      </c>
      <c r="P3361">
        <v>0</v>
      </c>
      <c r="Q3361">
        <v>0</v>
      </c>
      <c r="R3361" t="s">
        <v>47306</v>
      </c>
      <c r="S3361" t="s">
        <v>47414</v>
      </c>
      <c r="T3361" t="s">
        <v>48987</v>
      </c>
      <c r="U3361" t="s">
        <v>52455</v>
      </c>
      <c r="V3361" t="s">
        <v>63003</v>
      </c>
      <c r="W3361" t="s">
        <v>44364</v>
      </c>
      <c r="X3361" t="s">
        <v>47308</v>
      </c>
    </row>
    <row r="3362" spans="1:24">
      <c r="A3362">
        <f>HYPERLINK("https://www.philgeps.gov.ph/GEPSNONPILOT/Tender/SplashBidNoticeAbstractUI.aspx?menuIndex=3&amp;refID=7195638&amp;Result=3","7195638")</f>
        <v>0</v>
      </c>
      <c r="B3362" t="s">
        <v>1342</v>
      </c>
      <c r="C3362" t="s">
        <v>7053</v>
      </c>
      <c r="D3362" t="s">
        <v>19009</v>
      </c>
      <c r="E3362" t="s">
        <v>22077</v>
      </c>
      <c r="F3362" t="s">
        <v>32606</v>
      </c>
      <c r="G3362" t="s">
        <v>32613</v>
      </c>
      <c r="H3362" t="s">
        <v>14201</v>
      </c>
      <c r="I3362" t="s">
        <v>32698</v>
      </c>
      <c r="J3362" t="s">
        <v>35079</v>
      </c>
      <c r="K3362" t="s">
        <v>42631</v>
      </c>
      <c r="M3362" t="s">
        <v>44316</v>
      </c>
      <c r="N3362" t="s">
        <v>47304</v>
      </c>
      <c r="O3362" t="s">
        <v>47305</v>
      </c>
      <c r="P3362">
        <v>0</v>
      </c>
      <c r="Q3362">
        <v>1</v>
      </c>
      <c r="R3362" t="s">
        <v>47306</v>
      </c>
      <c r="S3362" t="s">
        <v>47414</v>
      </c>
      <c r="T3362" t="s">
        <v>48971</v>
      </c>
      <c r="U3362" t="s">
        <v>52456</v>
      </c>
      <c r="W3362" t="s">
        <v>44316</v>
      </c>
      <c r="X3362" t="s">
        <v>47308</v>
      </c>
    </row>
    <row r="3363" spans="1:24">
      <c r="A3363">
        <f>HYPERLINK("https://www.philgeps.gov.ph/GEPSNONPILOT/Tender/SplashBidNoticeAbstractUI.aspx?menuIndex=3&amp;refID=7195637&amp;Result=3","7195637")</f>
        <v>0</v>
      </c>
      <c r="B3363" t="s">
        <v>1198</v>
      </c>
      <c r="C3363" t="s">
        <v>7054</v>
      </c>
      <c r="D3363" t="s">
        <v>19049</v>
      </c>
      <c r="E3363" t="s">
        <v>21683</v>
      </c>
      <c r="F3363" t="s">
        <v>32606</v>
      </c>
      <c r="G3363" t="s">
        <v>32613</v>
      </c>
      <c r="H3363" t="s">
        <v>14201</v>
      </c>
      <c r="I3363" t="s">
        <v>32626</v>
      </c>
      <c r="J3363" t="s">
        <v>35080</v>
      </c>
      <c r="K3363" t="s">
        <v>42639</v>
      </c>
      <c r="M3363" t="s">
        <v>44162</v>
      </c>
      <c r="N3363" t="s">
        <v>47304</v>
      </c>
      <c r="O3363" t="s">
        <v>47305</v>
      </c>
      <c r="P3363">
        <v>0</v>
      </c>
      <c r="Q3363">
        <v>6</v>
      </c>
      <c r="R3363" t="s">
        <v>47306</v>
      </c>
      <c r="S3363" t="s">
        <v>47414</v>
      </c>
      <c r="T3363" t="s">
        <v>48985</v>
      </c>
      <c r="U3363" t="s">
        <v>52457</v>
      </c>
      <c r="W3363" t="s">
        <v>44162</v>
      </c>
      <c r="X3363" t="s">
        <v>47308</v>
      </c>
    </row>
    <row r="3364" spans="1:24">
      <c r="A3364">
        <f>HYPERLINK("https://www.philgeps.gov.ph/GEPSNONPILOT/Tender/SplashBidNoticeAbstractUI.aspx?menuIndex=3&amp;refID=7195636&amp;Result=3","7195636")</f>
        <v>0</v>
      </c>
      <c r="B3364" t="s">
        <v>1383</v>
      </c>
      <c r="C3364" t="s">
        <v>7055</v>
      </c>
      <c r="D3364" t="s">
        <v>19029</v>
      </c>
      <c r="E3364" t="s">
        <v>22122</v>
      </c>
      <c r="F3364" t="s">
        <v>32607</v>
      </c>
      <c r="G3364" t="s">
        <v>32619</v>
      </c>
      <c r="H3364" t="s">
        <v>14201</v>
      </c>
      <c r="I3364" t="s">
        <v>4115</v>
      </c>
      <c r="J3364" t="s">
        <v>34306</v>
      </c>
      <c r="K3364" t="s">
        <v>42630</v>
      </c>
      <c r="M3364" t="s">
        <v>44365</v>
      </c>
      <c r="N3364" t="s">
        <v>47304</v>
      </c>
      <c r="O3364" t="s">
        <v>47305</v>
      </c>
      <c r="P3364">
        <v>0</v>
      </c>
      <c r="Q3364">
        <v>3</v>
      </c>
      <c r="R3364" t="s">
        <v>47306</v>
      </c>
      <c r="S3364" t="s">
        <v>47414</v>
      </c>
      <c r="T3364" t="s">
        <v>48975</v>
      </c>
      <c r="U3364" t="s">
        <v>52458</v>
      </c>
      <c r="W3364" t="s">
        <v>44365</v>
      </c>
      <c r="X3364" t="s">
        <v>47308</v>
      </c>
    </row>
    <row r="3365" spans="1:24">
      <c r="A3365">
        <f>HYPERLINK("https://www.philgeps.gov.ph/GEPSNONPILOT/Tender/SplashBidNoticeAbstractUI.aspx?menuIndex=3&amp;refID=7195635&amp;Result=3","7195635")</f>
        <v>0</v>
      </c>
      <c r="B3365" t="s">
        <v>1384</v>
      </c>
      <c r="C3365" t="s">
        <v>7056</v>
      </c>
      <c r="E3365" t="s">
        <v>22123</v>
      </c>
      <c r="F3365" t="s">
        <v>32606</v>
      </c>
      <c r="G3365" t="s">
        <v>32614</v>
      </c>
      <c r="H3365" t="s">
        <v>14201</v>
      </c>
      <c r="I3365" t="s">
        <v>13131</v>
      </c>
      <c r="J3365" t="s">
        <v>35081</v>
      </c>
      <c r="K3365" t="s">
        <v>42624</v>
      </c>
      <c r="M3365" t="s">
        <v>44366</v>
      </c>
      <c r="N3365" t="s">
        <v>47304</v>
      </c>
      <c r="O3365" t="s">
        <v>47305</v>
      </c>
      <c r="P3365">
        <v>0</v>
      </c>
      <c r="Q3365">
        <v>7</v>
      </c>
      <c r="R3365" t="s">
        <v>47306</v>
      </c>
      <c r="S3365" t="s">
        <v>47414</v>
      </c>
      <c r="T3365" t="s">
        <v>48980</v>
      </c>
      <c r="U3365" t="s">
        <v>52459</v>
      </c>
      <c r="W3365" t="s">
        <v>44366</v>
      </c>
      <c r="X3365" t="s">
        <v>47308</v>
      </c>
    </row>
    <row r="3366" spans="1:24">
      <c r="A3366">
        <f>HYPERLINK("https://www.philgeps.gov.ph/GEPSNONPILOT/Tender/SplashBidNoticeAbstractUI.aspx?menuIndex=3&amp;refID=7195633&amp;Result=3","7195633")</f>
        <v>0</v>
      </c>
      <c r="B3366" t="s">
        <v>1385</v>
      </c>
      <c r="C3366" t="s">
        <v>7057</v>
      </c>
      <c r="E3366" t="s">
        <v>19315</v>
      </c>
      <c r="F3366" t="s">
        <v>32606</v>
      </c>
      <c r="G3366" t="s">
        <v>32613</v>
      </c>
      <c r="H3366" t="s">
        <v>14201</v>
      </c>
      <c r="I3366" t="s">
        <v>7577</v>
      </c>
      <c r="J3366" t="s">
        <v>35082</v>
      </c>
      <c r="K3366" t="s">
        <v>42624</v>
      </c>
      <c r="M3366" t="s">
        <v>44367</v>
      </c>
      <c r="N3366" t="s">
        <v>47304</v>
      </c>
      <c r="O3366" t="s">
        <v>47305</v>
      </c>
      <c r="P3366">
        <v>0</v>
      </c>
      <c r="Q3366">
        <v>1</v>
      </c>
      <c r="R3366" t="s">
        <v>47306</v>
      </c>
      <c r="S3366" t="s">
        <v>47414</v>
      </c>
      <c r="T3366" t="s">
        <v>48988</v>
      </c>
      <c r="U3366" t="s">
        <v>52460</v>
      </c>
      <c r="W3366" t="s">
        <v>44367</v>
      </c>
      <c r="X3366" t="s">
        <v>47308</v>
      </c>
    </row>
    <row r="3367" spans="1:24">
      <c r="A3367">
        <f>HYPERLINK("https://www.philgeps.gov.ph/GEPSNONPILOT/Tender/SplashBidNoticeAbstractUI.aspx?menuIndex=3&amp;refID=7195631&amp;Result=3","7195631")</f>
        <v>0</v>
      </c>
      <c r="B3367" t="s">
        <v>616</v>
      </c>
      <c r="C3367" t="s">
        <v>7058</v>
      </c>
      <c r="D3367" t="s">
        <v>18989</v>
      </c>
      <c r="E3367" t="s">
        <v>22124</v>
      </c>
      <c r="F3367" t="s">
        <v>32606</v>
      </c>
      <c r="G3367" t="s">
        <v>32614</v>
      </c>
      <c r="H3367" t="s">
        <v>14201</v>
      </c>
      <c r="I3367" t="s">
        <v>32640</v>
      </c>
      <c r="J3367" t="s">
        <v>35083</v>
      </c>
      <c r="K3367" t="s">
        <v>42624</v>
      </c>
      <c r="M3367" t="s">
        <v>43534</v>
      </c>
      <c r="N3367" t="s">
        <v>47304</v>
      </c>
      <c r="O3367" t="s">
        <v>47305</v>
      </c>
      <c r="P3367">
        <v>0</v>
      </c>
      <c r="Q3367">
        <v>2</v>
      </c>
      <c r="R3367" t="s">
        <v>47306</v>
      </c>
      <c r="S3367" t="s">
        <v>47414</v>
      </c>
      <c r="T3367" t="s">
        <v>49004</v>
      </c>
      <c r="U3367" t="s">
        <v>50617</v>
      </c>
      <c r="W3367" t="s">
        <v>43534</v>
      </c>
      <c r="X3367" t="s">
        <v>47308</v>
      </c>
    </row>
    <row r="3368" spans="1:24">
      <c r="A3368">
        <f>HYPERLINK("https://www.philgeps.gov.ph/GEPSNONPILOT/Tender/SplashBidNoticeAbstractUI.aspx?menuIndex=3&amp;refID=7195629&amp;Result=3","7195629")</f>
        <v>0</v>
      </c>
      <c r="B3368" t="s">
        <v>1386</v>
      </c>
      <c r="C3368" t="s">
        <v>7059</v>
      </c>
      <c r="D3368" t="s">
        <v>19011</v>
      </c>
      <c r="E3368" t="s">
        <v>19833</v>
      </c>
      <c r="F3368" t="s">
        <v>32606</v>
      </c>
      <c r="G3368" t="s">
        <v>32613</v>
      </c>
      <c r="H3368" t="s">
        <v>14201</v>
      </c>
      <c r="I3368" t="s">
        <v>6931</v>
      </c>
      <c r="J3368" t="s">
        <v>35084</v>
      </c>
      <c r="K3368" t="s">
        <v>42624</v>
      </c>
      <c r="M3368" t="s">
        <v>44368</v>
      </c>
      <c r="N3368" t="s">
        <v>47304</v>
      </c>
      <c r="O3368" t="s">
        <v>47305</v>
      </c>
      <c r="P3368">
        <v>0</v>
      </c>
      <c r="Q3368">
        <v>0</v>
      </c>
      <c r="R3368" t="s">
        <v>47306</v>
      </c>
      <c r="S3368" t="s">
        <v>47414</v>
      </c>
      <c r="T3368" t="s">
        <v>49116</v>
      </c>
      <c r="U3368" t="s">
        <v>52461</v>
      </c>
      <c r="W3368" t="s">
        <v>44368</v>
      </c>
      <c r="X3368" t="s">
        <v>47308</v>
      </c>
    </row>
    <row r="3369" spans="1:24">
      <c r="A3369">
        <f>HYPERLINK("https://www.philgeps.gov.ph/GEPSNONPILOT/Tender/SplashBidNoticeAbstractUI.aspx?menuIndex=3&amp;refID=7195618&amp;Result=3","7195618")</f>
        <v>0</v>
      </c>
      <c r="B3369" t="s">
        <v>360</v>
      </c>
      <c r="C3369" t="s">
        <v>7060</v>
      </c>
      <c r="D3369" t="s">
        <v>19040</v>
      </c>
      <c r="E3369" t="s">
        <v>22125</v>
      </c>
      <c r="F3369" t="s">
        <v>32606</v>
      </c>
      <c r="G3369" t="s">
        <v>32619</v>
      </c>
      <c r="H3369" t="s">
        <v>14201</v>
      </c>
      <c r="I3369" t="s">
        <v>4120</v>
      </c>
      <c r="J3369" t="s">
        <v>35085</v>
      </c>
      <c r="K3369" t="s">
        <v>42630</v>
      </c>
      <c r="M3369" t="s">
        <v>43262</v>
      </c>
      <c r="N3369" t="s">
        <v>47304</v>
      </c>
      <c r="O3369" t="s">
        <v>47305</v>
      </c>
      <c r="P3369">
        <v>0</v>
      </c>
      <c r="Q3369">
        <v>0</v>
      </c>
      <c r="R3369" t="s">
        <v>47306</v>
      </c>
      <c r="S3369" t="s">
        <v>47414</v>
      </c>
      <c r="T3369" t="s">
        <v>49050</v>
      </c>
      <c r="U3369" t="s">
        <v>50184</v>
      </c>
      <c r="W3369" t="s">
        <v>43262</v>
      </c>
      <c r="X3369" t="s">
        <v>47308</v>
      </c>
    </row>
    <row r="3370" spans="1:24">
      <c r="A3370">
        <f>HYPERLINK("https://www.philgeps.gov.ph/GEPSNONPILOT/Tender/SplashBidNoticeAbstractUI.aspx?menuIndex=3&amp;refID=7195617&amp;Result=3","7195617")</f>
        <v>0</v>
      </c>
      <c r="B3370" t="s">
        <v>276</v>
      </c>
      <c r="C3370" t="s">
        <v>7061</v>
      </c>
      <c r="D3370" t="s">
        <v>19001</v>
      </c>
      <c r="E3370" t="s">
        <v>22126</v>
      </c>
      <c r="F3370" t="s">
        <v>32606</v>
      </c>
      <c r="G3370" t="s">
        <v>32614</v>
      </c>
      <c r="H3370" t="s">
        <v>14201</v>
      </c>
      <c r="I3370" t="s">
        <v>6298</v>
      </c>
      <c r="J3370" t="s">
        <v>35086</v>
      </c>
      <c r="K3370" t="s">
        <v>42622</v>
      </c>
      <c r="M3370" t="s">
        <v>43177</v>
      </c>
      <c r="N3370" t="s">
        <v>47304</v>
      </c>
      <c r="O3370" t="s">
        <v>47305</v>
      </c>
      <c r="P3370">
        <v>0</v>
      </c>
      <c r="Q3370">
        <v>0</v>
      </c>
      <c r="R3370" t="s">
        <v>47306</v>
      </c>
      <c r="S3370" t="s">
        <v>47414</v>
      </c>
      <c r="T3370" t="s">
        <v>48986</v>
      </c>
      <c r="U3370" t="s">
        <v>52462</v>
      </c>
      <c r="W3370" t="s">
        <v>43177</v>
      </c>
      <c r="X3370" t="s">
        <v>47308</v>
      </c>
    </row>
    <row r="3371" spans="1:24">
      <c r="A3371">
        <f>HYPERLINK("https://www.philgeps.gov.ph/GEPSNONPILOT/Tender/SplashBidNoticeAbstractUI.aspx?menuIndex=3&amp;refID=7195615&amp;Result=3","7195615")</f>
        <v>0</v>
      </c>
      <c r="B3371" t="s">
        <v>81</v>
      </c>
      <c r="C3371" t="s">
        <v>7046</v>
      </c>
      <c r="D3371" t="s">
        <v>18995</v>
      </c>
      <c r="E3371" t="s">
        <v>22127</v>
      </c>
      <c r="F3371" t="s">
        <v>32606</v>
      </c>
      <c r="G3371" t="s">
        <v>32614</v>
      </c>
      <c r="H3371" t="s">
        <v>14201</v>
      </c>
      <c r="I3371" t="s">
        <v>32634</v>
      </c>
      <c r="J3371" t="s">
        <v>35087</v>
      </c>
      <c r="K3371" t="s">
        <v>42624</v>
      </c>
      <c r="M3371" t="s">
        <v>42978</v>
      </c>
      <c r="N3371" t="s">
        <v>47304</v>
      </c>
      <c r="O3371" t="s">
        <v>47305</v>
      </c>
      <c r="P3371">
        <v>0</v>
      </c>
      <c r="Q3371">
        <v>1</v>
      </c>
      <c r="R3371" t="s">
        <v>47306</v>
      </c>
      <c r="S3371" t="s">
        <v>47414</v>
      </c>
      <c r="T3371" t="s">
        <v>48980</v>
      </c>
      <c r="U3371" t="s">
        <v>52463</v>
      </c>
      <c r="W3371" t="s">
        <v>42978</v>
      </c>
      <c r="X3371" t="s">
        <v>47308</v>
      </c>
    </row>
    <row r="3372" spans="1:24">
      <c r="A3372">
        <f>HYPERLINK("https://www.philgeps.gov.ph/GEPSNONPILOT/Tender/SplashBidNoticeAbstractUI.aspx?menuIndex=3&amp;refID=7195614&amp;Result=3","7195614")</f>
        <v>0</v>
      </c>
      <c r="B3372" t="s">
        <v>38</v>
      </c>
      <c r="C3372" t="s">
        <v>7062</v>
      </c>
      <c r="D3372" t="s">
        <v>18998</v>
      </c>
      <c r="E3372" t="s">
        <v>22128</v>
      </c>
      <c r="F3372" t="s">
        <v>32606</v>
      </c>
      <c r="G3372" t="s">
        <v>32614</v>
      </c>
      <c r="H3372" t="s">
        <v>14201</v>
      </c>
      <c r="I3372" t="s">
        <v>32640</v>
      </c>
      <c r="J3372" t="s">
        <v>35088</v>
      </c>
      <c r="K3372" t="s">
        <v>42627</v>
      </c>
      <c r="M3372" t="s">
        <v>42935</v>
      </c>
      <c r="N3372" t="s">
        <v>47304</v>
      </c>
      <c r="O3372" t="s">
        <v>47305</v>
      </c>
      <c r="P3372">
        <v>0</v>
      </c>
      <c r="Q3372">
        <v>1</v>
      </c>
      <c r="R3372" t="s">
        <v>47306</v>
      </c>
      <c r="S3372" t="s">
        <v>47414</v>
      </c>
      <c r="T3372" t="s">
        <v>49260</v>
      </c>
      <c r="U3372" t="s">
        <v>52464</v>
      </c>
      <c r="W3372" t="s">
        <v>64419</v>
      </c>
      <c r="X3372" t="s">
        <v>47308</v>
      </c>
    </row>
    <row r="3373" spans="1:24">
      <c r="A3373">
        <f>HYPERLINK("https://www.philgeps.gov.ph/GEPSNONPILOT/Tender/SplashBidNoticeAbstractUI.aspx?menuIndex=3&amp;refID=7195612&amp;Result=3","7195612")</f>
        <v>0</v>
      </c>
      <c r="B3373" t="s">
        <v>233</v>
      </c>
      <c r="C3373" t="s">
        <v>7063</v>
      </c>
      <c r="D3373" t="s">
        <v>18997</v>
      </c>
      <c r="E3373" t="s">
        <v>22129</v>
      </c>
      <c r="F3373" t="s">
        <v>32606</v>
      </c>
      <c r="G3373" t="s">
        <v>32613</v>
      </c>
      <c r="H3373" t="s">
        <v>14201</v>
      </c>
      <c r="I3373" t="s">
        <v>32641</v>
      </c>
      <c r="J3373" t="s">
        <v>32913</v>
      </c>
      <c r="K3373" t="s">
        <v>42631</v>
      </c>
      <c r="M3373" t="s">
        <v>44359</v>
      </c>
      <c r="N3373" t="s">
        <v>47304</v>
      </c>
      <c r="O3373" t="s">
        <v>47305</v>
      </c>
      <c r="P3373">
        <v>0</v>
      </c>
      <c r="Q3373">
        <v>1</v>
      </c>
      <c r="R3373" t="s">
        <v>47306</v>
      </c>
      <c r="S3373" t="s">
        <v>47414</v>
      </c>
      <c r="T3373" t="s">
        <v>49023</v>
      </c>
      <c r="U3373" t="s">
        <v>52443</v>
      </c>
      <c r="V3373" t="s">
        <v>63002</v>
      </c>
      <c r="W3373" t="s">
        <v>44359</v>
      </c>
      <c r="X3373" t="s">
        <v>47308</v>
      </c>
    </row>
    <row r="3374" spans="1:24">
      <c r="A3374">
        <f>HYPERLINK("https://www.philgeps.gov.ph/GEPSNONPILOT/Tender/SplashBidNoticeAbstractUI.aspx?menuIndex=3&amp;refID=7195660&amp;Result=3","7195660")</f>
        <v>0</v>
      </c>
      <c r="B3374" t="s">
        <v>1387</v>
      </c>
      <c r="C3374" t="s">
        <v>7064</v>
      </c>
      <c r="D3374" t="s">
        <v>19038</v>
      </c>
      <c r="E3374" t="s">
        <v>22130</v>
      </c>
      <c r="F3374" t="s">
        <v>32606</v>
      </c>
      <c r="G3374" t="s">
        <v>32613</v>
      </c>
      <c r="H3374" t="s">
        <v>14201</v>
      </c>
      <c r="I3374" t="s">
        <v>7064</v>
      </c>
      <c r="J3374" t="s">
        <v>33385</v>
      </c>
      <c r="K3374" t="s">
        <v>42631</v>
      </c>
      <c r="M3374" t="s">
        <v>44369</v>
      </c>
      <c r="N3374" t="s">
        <v>47304</v>
      </c>
      <c r="O3374" t="s">
        <v>47305</v>
      </c>
      <c r="P3374">
        <v>0</v>
      </c>
      <c r="Q3374">
        <v>1</v>
      </c>
      <c r="R3374" t="s">
        <v>47306</v>
      </c>
      <c r="S3374" t="s">
        <v>47414</v>
      </c>
      <c r="T3374" t="s">
        <v>49101</v>
      </c>
      <c r="U3374" t="s">
        <v>52465</v>
      </c>
      <c r="W3374" t="s">
        <v>44369</v>
      </c>
      <c r="X3374" t="s">
        <v>47308</v>
      </c>
    </row>
    <row r="3375" spans="1:24">
      <c r="A3375">
        <f>HYPERLINK("https://www.philgeps.gov.ph/GEPSNONPILOT/Tender/SplashBidNoticeAbstractUI.aspx?menuIndex=3&amp;refID=7195673&amp;Result=3","7195673")</f>
        <v>0</v>
      </c>
      <c r="B3375" t="s">
        <v>1388</v>
      </c>
      <c r="C3375" t="s">
        <v>7065</v>
      </c>
      <c r="D3375" t="s">
        <v>18995</v>
      </c>
      <c r="E3375" t="s">
        <v>22131</v>
      </c>
      <c r="F3375" t="s">
        <v>32606</v>
      </c>
      <c r="G3375" t="s">
        <v>32619</v>
      </c>
      <c r="H3375" t="s">
        <v>14201</v>
      </c>
      <c r="I3375" t="s">
        <v>6931</v>
      </c>
      <c r="J3375" t="s">
        <v>35089</v>
      </c>
      <c r="K3375" t="s">
        <v>42624</v>
      </c>
      <c r="M3375" t="s">
        <v>44370</v>
      </c>
      <c r="N3375" t="s">
        <v>47304</v>
      </c>
      <c r="O3375" t="s">
        <v>47305</v>
      </c>
      <c r="P3375">
        <v>0</v>
      </c>
      <c r="Q3375">
        <v>0</v>
      </c>
      <c r="R3375" t="s">
        <v>47306</v>
      </c>
      <c r="S3375" t="s">
        <v>47414</v>
      </c>
      <c r="T3375" t="s">
        <v>49068</v>
      </c>
      <c r="U3375" t="s">
        <v>52466</v>
      </c>
      <c r="W3375" t="s">
        <v>44370</v>
      </c>
      <c r="X3375" t="s">
        <v>47308</v>
      </c>
    </row>
    <row r="3376" spans="1:24">
      <c r="A3376">
        <f>HYPERLINK("https://www.philgeps.gov.ph/GEPSNONPILOT/Tender/SplashBidNoticeAbstractUI.aspx?menuIndex=3&amp;refID=7195681&amp;Result=3","7195681")</f>
        <v>0</v>
      </c>
      <c r="B3376" t="s">
        <v>341</v>
      </c>
      <c r="C3376" t="s">
        <v>4496</v>
      </c>
      <c r="D3376" t="s">
        <v>19030</v>
      </c>
      <c r="E3376" t="s">
        <v>19698</v>
      </c>
      <c r="F3376" t="s">
        <v>32606</v>
      </c>
      <c r="G3376" t="s">
        <v>32614</v>
      </c>
      <c r="H3376" t="s">
        <v>14201</v>
      </c>
      <c r="I3376" t="s">
        <v>4112</v>
      </c>
      <c r="J3376" t="s">
        <v>35090</v>
      </c>
      <c r="K3376" t="s">
        <v>42629</v>
      </c>
      <c r="M3376" t="s">
        <v>43243</v>
      </c>
      <c r="N3376" t="s">
        <v>47304</v>
      </c>
      <c r="O3376" t="s">
        <v>47305</v>
      </c>
      <c r="P3376">
        <v>0</v>
      </c>
      <c r="Q3376">
        <v>0</v>
      </c>
      <c r="R3376" t="s">
        <v>47306</v>
      </c>
      <c r="S3376" t="s">
        <v>47414</v>
      </c>
      <c r="T3376" t="s">
        <v>49061</v>
      </c>
      <c r="U3376" t="s">
        <v>50146</v>
      </c>
      <c r="W3376" t="s">
        <v>64429</v>
      </c>
      <c r="X3376" t="s">
        <v>47308</v>
      </c>
    </row>
    <row r="3377" spans="1:24">
      <c r="A3377">
        <f>HYPERLINK("https://www.philgeps.gov.ph/GEPSNONPILOT/Tender/SplashBidNoticeAbstractUI.aspx?menuIndex=3&amp;refID=7195679&amp;Result=3","7195679")</f>
        <v>0</v>
      </c>
      <c r="B3377" t="s">
        <v>809</v>
      </c>
      <c r="C3377" t="s">
        <v>7066</v>
      </c>
      <c r="D3377" t="s">
        <v>19010</v>
      </c>
      <c r="E3377" t="s">
        <v>22132</v>
      </c>
      <c r="F3377" t="s">
        <v>32606</v>
      </c>
      <c r="G3377" t="s">
        <v>32613</v>
      </c>
      <c r="H3377" t="s">
        <v>32623</v>
      </c>
      <c r="I3377" t="s">
        <v>17648</v>
      </c>
      <c r="J3377" t="s">
        <v>35091</v>
      </c>
      <c r="K3377" t="s">
        <v>42631</v>
      </c>
      <c r="M3377" t="s">
        <v>43740</v>
      </c>
      <c r="N3377" t="s">
        <v>47304</v>
      </c>
      <c r="O3377" t="s">
        <v>47305</v>
      </c>
      <c r="P3377">
        <v>0</v>
      </c>
      <c r="Q3377">
        <v>0</v>
      </c>
      <c r="R3377" t="s">
        <v>47306</v>
      </c>
      <c r="S3377" t="s">
        <v>47414</v>
      </c>
      <c r="T3377" t="s">
        <v>49234</v>
      </c>
      <c r="U3377" t="s">
        <v>52448</v>
      </c>
      <c r="W3377" t="s">
        <v>43740</v>
      </c>
      <c r="X3377" t="s">
        <v>47308</v>
      </c>
    </row>
    <row r="3378" spans="1:24">
      <c r="A3378">
        <f>HYPERLINK("https://www.philgeps.gov.ph/GEPSNONPILOT/Tender/SplashBidNoticeAbstractUI.aspx?menuIndex=3&amp;refID=7195613&amp;Result=3","7195613")</f>
        <v>0</v>
      </c>
      <c r="B3378" t="s">
        <v>1328</v>
      </c>
      <c r="C3378" t="s">
        <v>7067</v>
      </c>
      <c r="E3378" t="s">
        <v>22133</v>
      </c>
      <c r="F3378" t="s">
        <v>32606</v>
      </c>
      <c r="G3378" t="s">
        <v>32619</v>
      </c>
      <c r="H3378" t="s">
        <v>14201</v>
      </c>
      <c r="I3378" t="s">
        <v>4112</v>
      </c>
      <c r="J3378" t="s">
        <v>34381</v>
      </c>
      <c r="K3378" t="s">
        <v>42630</v>
      </c>
      <c r="M3378" t="s">
        <v>44302</v>
      </c>
      <c r="N3378" t="s">
        <v>47304</v>
      </c>
      <c r="O3378" t="s">
        <v>47305</v>
      </c>
      <c r="P3378">
        <v>0</v>
      </c>
      <c r="Q3378">
        <v>0</v>
      </c>
      <c r="R3378" t="s">
        <v>47306</v>
      </c>
      <c r="S3378" t="s">
        <v>47414</v>
      </c>
      <c r="T3378" t="s">
        <v>49012</v>
      </c>
      <c r="U3378" t="s">
        <v>52467</v>
      </c>
      <c r="W3378" t="s">
        <v>44302</v>
      </c>
      <c r="X3378" t="s">
        <v>47308</v>
      </c>
    </row>
    <row r="3379" spans="1:24">
      <c r="A3379">
        <f>HYPERLINK("https://www.philgeps.gov.ph/GEPSNONPILOT/Tender/SplashBidNoticeAbstractUI.aspx?menuIndex=3&amp;refID=7195678&amp;Result=3","7195678")</f>
        <v>0</v>
      </c>
      <c r="B3379" t="s">
        <v>726</v>
      </c>
      <c r="C3379" t="s">
        <v>7068</v>
      </c>
      <c r="D3379" t="s">
        <v>19009</v>
      </c>
      <c r="E3379" t="s">
        <v>22134</v>
      </c>
      <c r="F3379" t="s">
        <v>32606</v>
      </c>
      <c r="G3379" t="s">
        <v>32613</v>
      </c>
      <c r="H3379" t="s">
        <v>14201</v>
      </c>
      <c r="I3379" t="s">
        <v>6993</v>
      </c>
      <c r="J3379" t="s">
        <v>35092</v>
      </c>
      <c r="K3379" t="s">
        <v>42623</v>
      </c>
      <c r="M3379" t="s">
        <v>43648</v>
      </c>
      <c r="N3379" t="s">
        <v>47304</v>
      </c>
      <c r="O3379" t="s">
        <v>47305</v>
      </c>
      <c r="P3379">
        <v>0</v>
      </c>
      <c r="Q3379">
        <v>0</v>
      </c>
      <c r="R3379" t="s">
        <v>47306</v>
      </c>
      <c r="S3379" t="s">
        <v>47414</v>
      </c>
      <c r="T3379" t="s">
        <v>49205</v>
      </c>
      <c r="U3379" t="s">
        <v>52468</v>
      </c>
      <c r="V3379" t="s">
        <v>62935</v>
      </c>
      <c r="W3379" t="s">
        <v>43648</v>
      </c>
      <c r="X3379" t="s">
        <v>47308</v>
      </c>
    </row>
    <row r="3380" spans="1:24">
      <c r="A3380">
        <f>HYPERLINK("https://www.philgeps.gov.ph/GEPSNONPILOT/Tender/SplashBidNoticeAbstractUI.aspx?menuIndex=3&amp;refID=7195677&amp;Result=3","7195677")</f>
        <v>0</v>
      </c>
      <c r="B3380" t="s">
        <v>1306</v>
      </c>
      <c r="C3380" t="s">
        <v>7069</v>
      </c>
      <c r="D3380" t="s">
        <v>19011</v>
      </c>
      <c r="E3380" t="s">
        <v>22135</v>
      </c>
      <c r="F3380" t="s">
        <v>32606</v>
      </c>
      <c r="G3380" t="s">
        <v>32619</v>
      </c>
      <c r="H3380" t="s">
        <v>14201</v>
      </c>
      <c r="I3380" t="s">
        <v>32640</v>
      </c>
      <c r="J3380" t="s">
        <v>32781</v>
      </c>
      <c r="K3380" t="s">
        <v>42623</v>
      </c>
      <c r="M3380" t="s">
        <v>44278</v>
      </c>
      <c r="N3380" t="s">
        <v>47304</v>
      </c>
      <c r="O3380" t="s">
        <v>47305</v>
      </c>
      <c r="P3380">
        <v>0</v>
      </c>
      <c r="Q3380">
        <v>6</v>
      </c>
      <c r="R3380" t="s">
        <v>47306</v>
      </c>
      <c r="S3380" t="s">
        <v>47414</v>
      </c>
      <c r="T3380" t="s">
        <v>49103</v>
      </c>
      <c r="U3380" t="s">
        <v>52271</v>
      </c>
      <c r="W3380" t="s">
        <v>44278</v>
      </c>
      <c r="X3380" t="s">
        <v>47308</v>
      </c>
    </row>
    <row r="3381" spans="1:24">
      <c r="A3381">
        <f>HYPERLINK("https://www.philgeps.gov.ph/GEPSNONPILOT/Tender/SplashBidNoticeAbstractUI.aspx?menuIndex=3&amp;refID=7195675&amp;Result=3","7195675")</f>
        <v>0</v>
      </c>
      <c r="B3381" t="s">
        <v>1389</v>
      </c>
      <c r="C3381" t="s">
        <v>7070</v>
      </c>
      <c r="D3381" t="s">
        <v>18992</v>
      </c>
      <c r="E3381" t="s">
        <v>19360</v>
      </c>
      <c r="F3381" t="s">
        <v>32606</v>
      </c>
      <c r="G3381" t="s">
        <v>32614</v>
      </c>
      <c r="H3381" t="s">
        <v>14201</v>
      </c>
      <c r="I3381" t="s">
        <v>7233</v>
      </c>
      <c r="J3381" t="s">
        <v>32868</v>
      </c>
      <c r="K3381" t="s">
        <v>42631</v>
      </c>
      <c r="M3381" t="s">
        <v>44371</v>
      </c>
      <c r="N3381" t="s">
        <v>47304</v>
      </c>
      <c r="O3381" t="s">
        <v>47305</v>
      </c>
      <c r="P3381">
        <v>0</v>
      </c>
      <c r="Q3381">
        <v>0</v>
      </c>
      <c r="R3381" t="s">
        <v>47306</v>
      </c>
      <c r="S3381" t="s">
        <v>47414</v>
      </c>
      <c r="T3381" t="s">
        <v>48986</v>
      </c>
      <c r="U3381" t="s">
        <v>52469</v>
      </c>
      <c r="W3381" t="s">
        <v>44371</v>
      </c>
      <c r="X3381" t="s">
        <v>47308</v>
      </c>
    </row>
    <row r="3382" spans="1:24">
      <c r="A3382">
        <f>HYPERLINK("https://www.philgeps.gov.ph/GEPSNONPILOT/Tender/SplashBidNoticeAbstractUI.aspx?menuIndex=3&amp;refID=7195643&amp;Result=3","7195643")</f>
        <v>0</v>
      </c>
      <c r="B3382" t="s">
        <v>340</v>
      </c>
      <c r="C3382" t="s">
        <v>7071</v>
      </c>
      <c r="D3382" t="s">
        <v>19029</v>
      </c>
      <c r="E3382" t="s">
        <v>22136</v>
      </c>
      <c r="F3382" t="s">
        <v>32606</v>
      </c>
      <c r="G3382" t="s">
        <v>32614</v>
      </c>
      <c r="H3382" t="s">
        <v>32623</v>
      </c>
      <c r="I3382" t="s">
        <v>17648</v>
      </c>
      <c r="J3382" t="s">
        <v>35093</v>
      </c>
      <c r="K3382" t="s">
        <v>42627</v>
      </c>
      <c r="M3382" t="s">
        <v>43242</v>
      </c>
      <c r="N3382" t="s">
        <v>47304</v>
      </c>
      <c r="O3382" t="s">
        <v>47305</v>
      </c>
      <c r="P3382">
        <v>0</v>
      </c>
      <c r="Q3382">
        <v>1</v>
      </c>
      <c r="R3382" t="s">
        <v>47306</v>
      </c>
      <c r="S3382" t="s">
        <v>47414</v>
      </c>
      <c r="T3382" t="s">
        <v>49067</v>
      </c>
      <c r="U3382" t="s">
        <v>52470</v>
      </c>
      <c r="W3382" t="s">
        <v>43242</v>
      </c>
      <c r="X3382" t="s">
        <v>47308</v>
      </c>
    </row>
    <row r="3383" spans="1:24">
      <c r="A3383">
        <f>HYPERLINK("https://www.philgeps.gov.ph/GEPSNONPILOT/Tender/SplashBidNoticeAbstractUI.aspx?menuIndex=3&amp;refID=7195672&amp;Result=3","7195672")</f>
        <v>0</v>
      </c>
      <c r="B3383" t="s">
        <v>1367</v>
      </c>
      <c r="C3383" t="s">
        <v>4547</v>
      </c>
      <c r="D3383" t="s">
        <v>19006</v>
      </c>
      <c r="E3383" t="s">
        <v>22065</v>
      </c>
      <c r="F3383" t="s">
        <v>32606</v>
      </c>
      <c r="G3383" t="s">
        <v>32614</v>
      </c>
      <c r="H3383" t="s">
        <v>14201</v>
      </c>
      <c r="I3383" t="s">
        <v>4678</v>
      </c>
      <c r="J3383" t="s">
        <v>32958</v>
      </c>
      <c r="K3383" t="s">
        <v>42629</v>
      </c>
      <c r="M3383" t="s">
        <v>44344</v>
      </c>
      <c r="N3383" t="s">
        <v>47304</v>
      </c>
      <c r="O3383" t="s">
        <v>47305</v>
      </c>
      <c r="P3383">
        <v>0</v>
      </c>
      <c r="Q3383">
        <v>0</v>
      </c>
      <c r="R3383" t="s">
        <v>47306</v>
      </c>
      <c r="S3383" t="s">
        <v>47414</v>
      </c>
      <c r="T3383" t="s">
        <v>48980</v>
      </c>
      <c r="U3383" t="s">
        <v>52471</v>
      </c>
      <c r="W3383" t="s">
        <v>44344</v>
      </c>
      <c r="X3383" t="s">
        <v>47308</v>
      </c>
    </row>
    <row r="3384" spans="1:24">
      <c r="A3384">
        <f>HYPERLINK("https://www.philgeps.gov.ph/GEPSNONPILOT/Tender/SplashBidNoticeAbstractUI.aspx?menuIndex=3&amp;refID=7195639&amp;Result=3","7195639")</f>
        <v>0</v>
      </c>
      <c r="B3384" t="s">
        <v>1369</v>
      </c>
      <c r="C3384" t="s">
        <v>7072</v>
      </c>
      <c r="D3384" t="s">
        <v>19013</v>
      </c>
      <c r="E3384" t="s">
        <v>22137</v>
      </c>
      <c r="F3384" t="s">
        <v>32606</v>
      </c>
      <c r="G3384" t="s">
        <v>32619</v>
      </c>
      <c r="H3384" t="s">
        <v>14201</v>
      </c>
      <c r="I3384" t="s">
        <v>6931</v>
      </c>
      <c r="J3384" t="s">
        <v>32765</v>
      </c>
      <c r="K3384" t="s">
        <v>42632</v>
      </c>
      <c r="M3384" t="s">
        <v>44346</v>
      </c>
      <c r="N3384" t="s">
        <v>47304</v>
      </c>
      <c r="O3384" t="s">
        <v>47305</v>
      </c>
      <c r="P3384">
        <v>0</v>
      </c>
      <c r="Q3384">
        <v>1</v>
      </c>
      <c r="R3384" t="s">
        <v>47306</v>
      </c>
      <c r="S3384" t="s">
        <v>47414</v>
      </c>
      <c r="T3384" t="s">
        <v>49108</v>
      </c>
      <c r="U3384" t="s">
        <v>52472</v>
      </c>
      <c r="W3384" t="s">
        <v>44346</v>
      </c>
      <c r="X3384" t="s">
        <v>47308</v>
      </c>
    </row>
    <row r="3385" spans="1:24">
      <c r="A3385">
        <f>HYPERLINK("https://www.philgeps.gov.ph/GEPSNONPILOT/Tender/SplashBidNoticeAbstractUI.aspx?menuIndex=3&amp;refID=7195669&amp;Result=3","7195669")</f>
        <v>0</v>
      </c>
      <c r="B3385" t="s">
        <v>238</v>
      </c>
      <c r="C3385" t="s">
        <v>7073</v>
      </c>
      <c r="D3385" t="s">
        <v>18993</v>
      </c>
      <c r="E3385" t="s">
        <v>22138</v>
      </c>
      <c r="F3385" t="s">
        <v>32606</v>
      </c>
      <c r="G3385" t="s">
        <v>32614</v>
      </c>
      <c r="H3385" t="s">
        <v>14201</v>
      </c>
      <c r="I3385" t="s">
        <v>32652</v>
      </c>
      <c r="J3385" t="s">
        <v>33291</v>
      </c>
      <c r="K3385" t="s">
        <v>42622</v>
      </c>
      <c r="M3385" t="s">
        <v>43357</v>
      </c>
      <c r="N3385" t="s">
        <v>47304</v>
      </c>
      <c r="O3385" t="s">
        <v>47305</v>
      </c>
      <c r="P3385">
        <v>0</v>
      </c>
      <c r="Q3385">
        <v>0</v>
      </c>
      <c r="R3385" t="s">
        <v>47306</v>
      </c>
      <c r="S3385" t="s">
        <v>47414</v>
      </c>
      <c r="T3385" t="s">
        <v>49123</v>
      </c>
      <c r="U3385" t="s">
        <v>52473</v>
      </c>
      <c r="V3385" t="s">
        <v>62749</v>
      </c>
      <c r="W3385" t="s">
        <v>43357</v>
      </c>
      <c r="X3385" t="s">
        <v>47308</v>
      </c>
    </row>
    <row r="3386" spans="1:24">
      <c r="A3386">
        <f>HYPERLINK("https://www.philgeps.gov.ph/GEPSNONPILOT/Tender/SplashBidNoticeAbstractUI.aspx?menuIndex=3&amp;refID=7195668&amp;Result=3","7195668")</f>
        <v>0</v>
      </c>
      <c r="B3386" t="s">
        <v>101</v>
      </c>
      <c r="C3386" t="s">
        <v>7074</v>
      </c>
      <c r="D3386" t="s">
        <v>18993</v>
      </c>
      <c r="E3386" t="s">
        <v>22139</v>
      </c>
      <c r="F3386" t="s">
        <v>32606</v>
      </c>
      <c r="G3386" t="s">
        <v>32617</v>
      </c>
      <c r="H3386" t="s">
        <v>14201</v>
      </c>
      <c r="I3386" t="s">
        <v>4678</v>
      </c>
      <c r="J3386" t="s">
        <v>34190</v>
      </c>
      <c r="K3386" t="s">
        <v>42623</v>
      </c>
      <c r="M3386" t="s">
        <v>44372</v>
      </c>
      <c r="N3386" t="s">
        <v>47304</v>
      </c>
      <c r="O3386" t="s">
        <v>47305</v>
      </c>
      <c r="P3386">
        <v>0</v>
      </c>
      <c r="Q3386">
        <v>0</v>
      </c>
      <c r="R3386" t="s">
        <v>47306</v>
      </c>
      <c r="S3386" t="s">
        <v>47414</v>
      </c>
      <c r="T3386" t="s">
        <v>48980</v>
      </c>
      <c r="U3386" t="s">
        <v>52474</v>
      </c>
      <c r="W3386" t="s">
        <v>44372</v>
      </c>
      <c r="X3386" t="s">
        <v>47308</v>
      </c>
    </row>
    <row r="3387" spans="1:24">
      <c r="A3387">
        <f>HYPERLINK("https://www.philgeps.gov.ph/GEPSNONPILOT/Tender/SplashBidNoticeAbstractUI.aspx?menuIndex=3&amp;refID=7195667&amp;Result=3","7195667")</f>
        <v>0</v>
      </c>
      <c r="B3387" t="s">
        <v>232</v>
      </c>
      <c r="C3387" t="s">
        <v>7075</v>
      </c>
      <c r="D3387" t="s">
        <v>19017</v>
      </c>
      <c r="E3387" t="s">
        <v>22140</v>
      </c>
      <c r="F3387" t="s">
        <v>32606</v>
      </c>
      <c r="G3387" t="s">
        <v>32613</v>
      </c>
      <c r="H3387" t="s">
        <v>32623</v>
      </c>
      <c r="I3387" t="s">
        <v>17648</v>
      </c>
      <c r="J3387" t="s">
        <v>35094</v>
      </c>
      <c r="K3387" t="s">
        <v>42636</v>
      </c>
      <c r="M3387" t="s">
        <v>43133</v>
      </c>
      <c r="N3387" t="s">
        <v>47304</v>
      </c>
      <c r="O3387" t="s">
        <v>47305</v>
      </c>
      <c r="P3387">
        <v>0</v>
      </c>
      <c r="Q3387">
        <v>0</v>
      </c>
      <c r="R3387" t="s">
        <v>47306</v>
      </c>
      <c r="S3387" t="s">
        <v>47414</v>
      </c>
      <c r="T3387" t="s">
        <v>48995</v>
      </c>
      <c r="U3387" t="s">
        <v>52475</v>
      </c>
      <c r="W3387" t="s">
        <v>43133</v>
      </c>
      <c r="X3387" t="s">
        <v>47308</v>
      </c>
    </row>
    <row r="3388" spans="1:24">
      <c r="A3388">
        <f>HYPERLINK("https://www.philgeps.gov.ph/GEPSNONPILOT/Tender/SplashBidNoticeAbstractUI.aspx?menuIndex=3&amp;refID=7195664&amp;Result=3","7195664")</f>
        <v>0</v>
      </c>
      <c r="B3388" t="s">
        <v>1215</v>
      </c>
      <c r="C3388" t="s">
        <v>7076</v>
      </c>
      <c r="D3388" t="s">
        <v>19055</v>
      </c>
      <c r="E3388" t="s">
        <v>22141</v>
      </c>
      <c r="F3388" t="s">
        <v>32606</v>
      </c>
      <c r="G3388" t="s">
        <v>32613</v>
      </c>
      <c r="H3388" t="s">
        <v>32623</v>
      </c>
      <c r="I3388" t="s">
        <v>17648</v>
      </c>
      <c r="J3388" t="s">
        <v>34435</v>
      </c>
      <c r="K3388" t="s">
        <v>42624</v>
      </c>
      <c r="M3388" t="s">
        <v>44180</v>
      </c>
      <c r="N3388" t="s">
        <v>47304</v>
      </c>
      <c r="O3388" t="s">
        <v>47305</v>
      </c>
      <c r="P3388">
        <v>0</v>
      </c>
      <c r="Q3388">
        <v>0</v>
      </c>
      <c r="R3388" t="s">
        <v>47306</v>
      </c>
      <c r="S3388" t="s">
        <v>47414</v>
      </c>
      <c r="T3388" t="s">
        <v>49190</v>
      </c>
      <c r="U3388" t="s">
        <v>52476</v>
      </c>
      <c r="W3388" t="s">
        <v>64466</v>
      </c>
      <c r="X3388" t="s">
        <v>47308</v>
      </c>
    </row>
    <row r="3389" spans="1:24">
      <c r="A3389">
        <f>HYPERLINK("https://www.philgeps.gov.ph/GEPSNONPILOT/Tender/SplashBidNoticeAbstractUI.aspx?menuIndex=3&amp;refID=7195676&amp;Result=3","7195676")</f>
        <v>0</v>
      </c>
      <c r="B3389" t="s">
        <v>1390</v>
      </c>
      <c r="C3389" t="s">
        <v>7077</v>
      </c>
      <c r="D3389" t="s">
        <v>19015</v>
      </c>
      <c r="E3389" t="s">
        <v>22142</v>
      </c>
      <c r="F3389" t="s">
        <v>32606</v>
      </c>
      <c r="G3389" t="s">
        <v>32614</v>
      </c>
      <c r="H3389" t="s">
        <v>14201</v>
      </c>
      <c r="I3389" t="s">
        <v>32631</v>
      </c>
      <c r="J3389" t="s">
        <v>35095</v>
      </c>
      <c r="K3389" t="s">
        <v>42630</v>
      </c>
      <c r="M3389" t="s">
        <v>44373</v>
      </c>
      <c r="N3389" t="s">
        <v>47304</v>
      </c>
      <c r="O3389" t="s">
        <v>47305</v>
      </c>
      <c r="P3389">
        <v>0</v>
      </c>
      <c r="Q3389">
        <v>0</v>
      </c>
      <c r="R3389" t="s">
        <v>47306</v>
      </c>
      <c r="S3389" t="s">
        <v>47414</v>
      </c>
      <c r="T3389" t="s">
        <v>49014</v>
      </c>
      <c r="U3389" t="s">
        <v>52477</v>
      </c>
      <c r="W3389" t="s">
        <v>44373</v>
      </c>
      <c r="X3389" t="s">
        <v>47308</v>
      </c>
    </row>
    <row r="3390" spans="1:24">
      <c r="A3390">
        <f>HYPERLINK("https://www.philgeps.gov.ph/GEPSNONPILOT/Tender/SplashBidNoticeAbstractUI.aspx?menuIndex=3&amp;refID=7195683&amp;Result=3","7195683")</f>
        <v>0</v>
      </c>
      <c r="B3390" t="s">
        <v>1391</v>
      </c>
      <c r="C3390" t="s">
        <v>7078</v>
      </c>
      <c r="D3390" t="s">
        <v>19004</v>
      </c>
      <c r="E3390" t="s">
        <v>22143</v>
      </c>
      <c r="F3390" t="s">
        <v>32606</v>
      </c>
      <c r="G3390" t="s">
        <v>32613</v>
      </c>
      <c r="H3390" t="s">
        <v>14201</v>
      </c>
      <c r="I3390" t="s">
        <v>6931</v>
      </c>
      <c r="J3390" t="s">
        <v>35096</v>
      </c>
      <c r="K3390" t="s">
        <v>42631</v>
      </c>
      <c r="M3390" t="s">
        <v>44374</v>
      </c>
      <c r="N3390" t="s">
        <v>47304</v>
      </c>
      <c r="O3390" t="s">
        <v>47305</v>
      </c>
      <c r="P3390">
        <v>0</v>
      </c>
      <c r="Q3390">
        <v>0</v>
      </c>
      <c r="R3390" t="s">
        <v>47306</v>
      </c>
      <c r="S3390" t="s">
        <v>47414</v>
      </c>
      <c r="T3390" t="s">
        <v>48996</v>
      </c>
      <c r="U3390" t="s">
        <v>52478</v>
      </c>
      <c r="W3390" t="s">
        <v>44374</v>
      </c>
      <c r="X3390" t="s">
        <v>47308</v>
      </c>
    </row>
    <row r="3391" spans="1:24">
      <c r="A3391">
        <f>HYPERLINK("https://www.philgeps.gov.ph/GEPSNONPILOT/Tender/SplashBidNoticeAbstractUI.aspx?menuIndex=3&amp;refID=7195640&amp;Result=3","7195640")</f>
        <v>0</v>
      </c>
      <c r="B3391" t="s">
        <v>1373</v>
      </c>
      <c r="C3391" t="s">
        <v>7079</v>
      </c>
      <c r="D3391" t="s">
        <v>18994</v>
      </c>
      <c r="E3391" t="s">
        <v>22144</v>
      </c>
      <c r="F3391" t="s">
        <v>32606</v>
      </c>
      <c r="G3391" t="s">
        <v>32614</v>
      </c>
      <c r="H3391" t="s">
        <v>14201</v>
      </c>
      <c r="I3391" t="s">
        <v>6931</v>
      </c>
      <c r="J3391" t="s">
        <v>33087</v>
      </c>
      <c r="K3391" t="s">
        <v>42623</v>
      </c>
      <c r="M3391" t="s">
        <v>44352</v>
      </c>
      <c r="N3391" t="s">
        <v>47304</v>
      </c>
      <c r="O3391" t="s">
        <v>47305</v>
      </c>
      <c r="P3391">
        <v>0</v>
      </c>
      <c r="Q3391">
        <v>0</v>
      </c>
      <c r="R3391" t="s">
        <v>47306</v>
      </c>
      <c r="S3391" t="s">
        <v>47414</v>
      </c>
      <c r="T3391" t="s">
        <v>49050</v>
      </c>
      <c r="U3391" t="s">
        <v>52479</v>
      </c>
      <c r="W3391" t="s">
        <v>44352</v>
      </c>
      <c r="X3391" t="s">
        <v>47308</v>
      </c>
    </row>
    <row r="3392" spans="1:24">
      <c r="A3392">
        <f>HYPERLINK("https://www.philgeps.gov.ph/GEPSNONPILOT/Tender/SplashBidNoticeAbstractUI.aspx?menuIndex=3&amp;refID=7195708&amp;Result=3","7195708")</f>
        <v>0</v>
      </c>
      <c r="B3392" t="s">
        <v>1392</v>
      </c>
      <c r="C3392" t="s">
        <v>7080</v>
      </c>
      <c r="D3392" t="s">
        <v>19011</v>
      </c>
      <c r="E3392" t="s">
        <v>22145</v>
      </c>
      <c r="F3392" t="s">
        <v>32606</v>
      </c>
      <c r="G3392" t="s">
        <v>32619</v>
      </c>
      <c r="H3392" t="s">
        <v>14201</v>
      </c>
      <c r="I3392" t="s">
        <v>32629</v>
      </c>
      <c r="J3392" t="s">
        <v>35097</v>
      </c>
      <c r="K3392" t="s">
        <v>42630</v>
      </c>
      <c r="M3392" t="s">
        <v>44375</v>
      </c>
      <c r="N3392" t="s">
        <v>47304</v>
      </c>
      <c r="O3392" t="s">
        <v>47305</v>
      </c>
      <c r="P3392">
        <v>0</v>
      </c>
      <c r="Q3392">
        <v>0</v>
      </c>
      <c r="R3392" t="s">
        <v>47306</v>
      </c>
      <c r="S3392" t="s">
        <v>47414</v>
      </c>
      <c r="T3392" t="s">
        <v>49015</v>
      </c>
      <c r="U3392" t="s">
        <v>52480</v>
      </c>
      <c r="W3392" t="s">
        <v>44375</v>
      </c>
      <c r="X3392" t="s">
        <v>47308</v>
      </c>
    </row>
    <row r="3393" spans="1:24">
      <c r="A3393">
        <f>HYPERLINK("https://www.philgeps.gov.ph/GEPSNONPILOT/Tender/SplashBidNoticeAbstractUI.aspx?menuIndex=3&amp;refID=7195707&amp;Result=3","7195707")</f>
        <v>0</v>
      </c>
      <c r="B3393" t="s">
        <v>1304</v>
      </c>
      <c r="C3393" t="s">
        <v>7081</v>
      </c>
      <c r="D3393" t="s">
        <v>18990</v>
      </c>
      <c r="E3393" t="s">
        <v>22146</v>
      </c>
      <c r="F3393" t="s">
        <v>32606</v>
      </c>
      <c r="G3393" t="s">
        <v>32613</v>
      </c>
      <c r="H3393" t="s">
        <v>32623</v>
      </c>
      <c r="I3393" t="s">
        <v>17648</v>
      </c>
      <c r="J3393" t="s">
        <v>32920</v>
      </c>
      <c r="K3393" t="s">
        <v>42683</v>
      </c>
      <c r="M3393" t="s">
        <v>44276</v>
      </c>
      <c r="N3393" t="s">
        <v>47304</v>
      </c>
      <c r="O3393" t="s">
        <v>47305</v>
      </c>
      <c r="P3393">
        <v>0</v>
      </c>
      <c r="Q3393">
        <v>0</v>
      </c>
      <c r="R3393" t="s">
        <v>47306</v>
      </c>
      <c r="S3393" t="s">
        <v>47414</v>
      </c>
      <c r="T3393" t="s">
        <v>48987</v>
      </c>
      <c r="U3393" t="s">
        <v>52481</v>
      </c>
      <c r="W3393" t="s">
        <v>44276</v>
      </c>
      <c r="X3393" t="s">
        <v>47308</v>
      </c>
    </row>
    <row r="3394" spans="1:24">
      <c r="A3394">
        <f>HYPERLINK("https://www.philgeps.gov.ph/GEPSNONPILOT/Tender/SplashBidNoticeAbstractUI.aspx?menuIndex=3&amp;refID=7195666&amp;Result=3","7195666")</f>
        <v>0</v>
      </c>
      <c r="B3394" t="s">
        <v>1393</v>
      </c>
      <c r="C3394" t="s">
        <v>7082</v>
      </c>
      <c r="D3394" t="s">
        <v>18993</v>
      </c>
      <c r="E3394" t="s">
        <v>22147</v>
      </c>
      <c r="F3394" t="s">
        <v>32606</v>
      </c>
      <c r="G3394" t="s">
        <v>32613</v>
      </c>
      <c r="H3394" t="s">
        <v>14201</v>
      </c>
      <c r="I3394" t="s">
        <v>32640</v>
      </c>
      <c r="J3394" t="s">
        <v>35098</v>
      </c>
      <c r="K3394" t="s">
        <v>42712</v>
      </c>
      <c r="M3394" t="s">
        <v>44376</v>
      </c>
      <c r="N3394" t="s">
        <v>47304</v>
      </c>
      <c r="O3394" t="s">
        <v>47305</v>
      </c>
      <c r="P3394">
        <v>0</v>
      </c>
      <c r="Q3394">
        <v>11</v>
      </c>
      <c r="R3394" t="s">
        <v>47306</v>
      </c>
      <c r="S3394" t="s">
        <v>47414</v>
      </c>
      <c r="T3394" t="s">
        <v>49024</v>
      </c>
      <c r="U3394" t="s">
        <v>52482</v>
      </c>
      <c r="W3394" t="s">
        <v>44376</v>
      </c>
      <c r="X3394" t="s">
        <v>47308</v>
      </c>
    </row>
    <row r="3395" spans="1:24">
      <c r="A3395">
        <f>HYPERLINK("https://www.philgeps.gov.ph/GEPSNONPILOT/Tender/SplashBidNoticeAbstractUI.aspx?menuIndex=3&amp;refID=7195674&amp;Result=3","7195674")</f>
        <v>0</v>
      </c>
      <c r="B3395" t="s">
        <v>1014</v>
      </c>
      <c r="C3395" t="s">
        <v>7083</v>
      </c>
      <c r="D3395" t="s">
        <v>18989</v>
      </c>
      <c r="E3395" t="s">
        <v>22148</v>
      </c>
      <c r="F3395" t="s">
        <v>32606</v>
      </c>
      <c r="G3395" t="s">
        <v>32614</v>
      </c>
      <c r="H3395" t="s">
        <v>14201</v>
      </c>
      <c r="I3395" t="s">
        <v>4678</v>
      </c>
      <c r="J3395" t="s">
        <v>32999</v>
      </c>
      <c r="K3395" t="s">
        <v>42622</v>
      </c>
      <c r="L3395" t="s">
        <v>1014</v>
      </c>
      <c r="M3395" t="s">
        <v>43962</v>
      </c>
      <c r="N3395" t="s">
        <v>47304</v>
      </c>
      <c r="O3395" t="s">
        <v>47305</v>
      </c>
      <c r="P3395">
        <v>0</v>
      </c>
      <c r="Q3395">
        <v>0</v>
      </c>
      <c r="R3395" t="s">
        <v>47306</v>
      </c>
      <c r="S3395" t="s">
        <v>47414</v>
      </c>
      <c r="T3395" t="s">
        <v>49019</v>
      </c>
      <c r="U3395" t="s">
        <v>51580</v>
      </c>
      <c r="W3395" t="s">
        <v>43962</v>
      </c>
      <c r="X3395" t="s">
        <v>47308</v>
      </c>
    </row>
    <row r="3396" spans="1:24">
      <c r="A3396">
        <f>HYPERLINK("https://www.philgeps.gov.ph/GEPSNONPILOT/Tender/SplashBidNoticeAbstractUI.aspx?menuIndex=3&amp;refID=7195670&amp;Result=3","7195670")</f>
        <v>0</v>
      </c>
      <c r="B3396" t="s">
        <v>313</v>
      </c>
      <c r="C3396" t="s">
        <v>7084</v>
      </c>
      <c r="D3396" t="s">
        <v>18993</v>
      </c>
      <c r="E3396" t="s">
        <v>7084</v>
      </c>
      <c r="F3396" t="s">
        <v>32606</v>
      </c>
      <c r="G3396" t="s">
        <v>32614</v>
      </c>
      <c r="H3396" t="s">
        <v>14201</v>
      </c>
      <c r="I3396" t="s">
        <v>4120</v>
      </c>
      <c r="J3396" t="s">
        <v>33881</v>
      </c>
      <c r="K3396" t="s">
        <v>42631</v>
      </c>
      <c r="M3396" t="s">
        <v>43215</v>
      </c>
      <c r="N3396" t="s">
        <v>47304</v>
      </c>
      <c r="O3396" t="s">
        <v>47305</v>
      </c>
      <c r="P3396">
        <v>0</v>
      </c>
      <c r="Q3396">
        <v>4</v>
      </c>
      <c r="R3396" t="s">
        <v>47306</v>
      </c>
      <c r="S3396" t="s">
        <v>47414</v>
      </c>
      <c r="T3396" t="s">
        <v>49014</v>
      </c>
      <c r="U3396" t="s">
        <v>52483</v>
      </c>
      <c r="W3396" t="s">
        <v>43215</v>
      </c>
      <c r="X3396" t="s">
        <v>47308</v>
      </c>
    </row>
    <row r="3397" spans="1:24">
      <c r="A3397">
        <f>HYPERLINK("https://www.philgeps.gov.ph/GEPSNONPILOT/Tender/SplashBidNoticeAbstractUI.aspx?menuIndex=3&amp;refID=7195699&amp;Result=3","7195699")</f>
        <v>0</v>
      </c>
      <c r="B3397" t="s">
        <v>1394</v>
      </c>
      <c r="C3397" t="s">
        <v>7085</v>
      </c>
      <c r="D3397" t="s">
        <v>19016</v>
      </c>
      <c r="E3397" t="s">
        <v>22149</v>
      </c>
      <c r="F3397" t="s">
        <v>32606</v>
      </c>
      <c r="G3397" t="s">
        <v>32613</v>
      </c>
      <c r="H3397" t="s">
        <v>32623</v>
      </c>
      <c r="I3397" t="s">
        <v>17648</v>
      </c>
      <c r="J3397" t="s">
        <v>35099</v>
      </c>
      <c r="K3397" t="s">
        <v>42646</v>
      </c>
      <c r="L3397" t="s">
        <v>1394</v>
      </c>
      <c r="M3397" t="s">
        <v>44377</v>
      </c>
      <c r="N3397" t="s">
        <v>47304</v>
      </c>
      <c r="O3397" t="s">
        <v>47305</v>
      </c>
      <c r="P3397">
        <v>0</v>
      </c>
      <c r="Q3397">
        <v>7</v>
      </c>
      <c r="R3397" t="s">
        <v>47306</v>
      </c>
      <c r="S3397" t="s">
        <v>47414</v>
      </c>
      <c r="T3397" t="s">
        <v>48973</v>
      </c>
      <c r="U3397" t="s">
        <v>52484</v>
      </c>
      <c r="V3397" t="s">
        <v>63004</v>
      </c>
      <c r="W3397" t="s">
        <v>44377</v>
      </c>
      <c r="X3397" t="s">
        <v>47308</v>
      </c>
    </row>
    <row r="3398" spans="1:24">
      <c r="A3398">
        <f>HYPERLINK("https://www.philgeps.gov.ph/GEPSNONPILOT/Tender/SplashBidNoticeAbstractUI.aspx?menuIndex=3&amp;refID=7195697&amp;Result=3","7195697")</f>
        <v>0</v>
      </c>
      <c r="B3398" t="s">
        <v>234</v>
      </c>
      <c r="C3398" t="s">
        <v>7086</v>
      </c>
      <c r="D3398" t="s">
        <v>19052</v>
      </c>
      <c r="E3398" t="s">
        <v>22150</v>
      </c>
      <c r="F3398" t="s">
        <v>32606</v>
      </c>
      <c r="G3398" t="s">
        <v>32614</v>
      </c>
      <c r="H3398" t="s">
        <v>14201</v>
      </c>
      <c r="I3398" t="s">
        <v>32629</v>
      </c>
      <c r="J3398" t="s">
        <v>35100</v>
      </c>
      <c r="K3398" t="s">
        <v>42631</v>
      </c>
      <c r="M3398" t="s">
        <v>43135</v>
      </c>
      <c r="N3398" t="s">
        <v>47304</v>
      </c>
      <c r="O3398" t="s">
        <v>47305</v>
      </c>
      <c r="P3398">
        <v>0</v>
      </c>
      <c r="Q3398">
        <v>0</v>
      </c>
      <c r="R3398" t="s">
        <v>47306</v>
      </c>
      <c r="S3398" t="s">
        <v>47414</v>
      </c>
      <c r="T3398" t="s">
        <v>49050</v>
      </c>
      <c r="U3398" t="s">
        <v>52485</v>
      </c>
      <c r="V3398" t="s">
        <v>62641</v>
      </c>
      <c r="W3398" t="s">
        <v>43135</v>
      </c>
      <c r="X3398" t="s">
        <v>47308</v>
      </c>
    </row>
    <row r="3399" spans="1:24">
      <c r="A3399">
        <f>HYPERLINK("https://www.philgeps.gov.ph/GEPSNONPILOT/Tender/SplashBidNoticeAbstractUI.aspx?menuIndex=3&amp;refID=7195701&amp;Result=3","7195701")</f>
        <v>0</v>
      </c>
      <c r="B3399" t="s">
        <v>1355</v>
      </c>
      <c r="C3399" t="s">
        <v>7087</v>
      </c>
      <c r="D3399" t="s">
        <v>19003</v>
      </c>
      <c r="E3399" t="s">
        <v>22151</v>
      </c>
      <c r="F3399" t="s">
        <v>32606</v>
      </c>
      <c r="G3399" t="s">
        <v>32614</v>
      </c>
      <c r="H3399" t="s">
        <v>32624</v>
      </c>
      <c r="I3399" t="s">
        <v>32707</v>
      </c>
      <c r="J3399" t="s">
        <v>32789</v>
      </c>
      <c r="K3399" t="s">
        <v>42627</v>
      </c>
      <c r="M3399" t="s">
        <v>44330</v>
      </c>
      <c r="N3399" t="s">
        <v>47304</v>
      </c>
      <c r="O3399" t="s">
        <v>47305</v>
      </c>
      <c r="P3399">
        <v>0</v>
      </c>
      <c r="Q3399">
        <v>2</v>
      </c>
      <c r="R3399" t="s">
        <v>47306</v>
      </c>
      <c r="S3399" t="s">
        <v>47414</v>
      </c>
      <c r="T3399" t="s">
        <v>49050</v>
      </c>
      <c r="U3399" t="s">
        <v>52486</v>
      </c>
      <c r="W3399" t="s">
        <v>44330</v>
      </c>
      <c r="X3399" t="s">
        <v>47308</v>
      </c>
    </row>
    <row r="3400" spans="1:24">
      <c r="A3400">
        <f>HYPERLINK("https://www.philgeps.gov.ph/GEPSNONPILOT/Tender/SplashBidNoticeAbstractUI.aspx?menuIndex=3&amp;refID=7195505&amp;Result=3","7195505")</f>
        <v>0</v>
      </c>
      <c r="B3400" t="s">
        <v>1357</v>
      </c>
      <c r="C3400" t="s">
        <v>7088</v>
      </c>
      <c r="D3400" t="s">
        <v>18993</v>
      </c>
      <c r="E3400" t="s">
        <v>22152</v>
      </c>
      <c r="F3400" t="s">
        <v>32606</v>
      </c>
      <c r="G3400" t="s">
        <v>32614</v>
      </c>
      <c r="H3400" t="s">
        <v>14201</v>
      </c>
      <c r="I3400" t="s">
        <v>4115</v>
      </c>
      <c r="J3400" t="s">
        <v>34755</v>
      </c>
      <c r="K3400" t="s">
        <v>42624</v>
      </c>
      <c r="M3400" t="s">
        <v>44354</v>
      </c>
      <c r="N3400" t="s">
        <v>47304</v>
      </c>
      <c r="O3400" t="s">
        <v>47305</v>
      </c>
      <c r="P3400">
        <v>0</v>
      </c>
      <c r="Q3400">
        <v>6</v>
      </c>
      <c r="R3400" t="s">
        <v>47306</v>
      </c>
      <c r="S3400" t="s">
        <v>47414</v>
      </c>
      <c r="T3400" t="s">
        <v>48996</v>
      </c>
      <c r="U3400" t="s">
        <v>52487</v>
      </c>
      <c r="V3400" t="s">
        <v>63000</v>
      </c>
      <c r="W3400" t="s">
        <v>44354</v>
      </c>
      <c r="X3400" t="s">
        <v>47308</v>
      </c>
    </row>
    <row r="3401" spans="1:24">
      <c r="A3401">
        <f>HYPERLINK("https://www.philgeps.gov.ph/GEPSNONPILOT/Tender/SplashBidNoticeAbstractUI.aspx?menuIndex=3&amp;refID=7195695&amp;Result=3","7195695")</f>
        <v>0</v>
      </c>
      <c r="B3401" t="s">
        <v>1395</v>
      </c>
      <c r="C3401" t="s">
        <v>7089</v>
      </c>
      <c r="D3401" t="s">
        <v>19037</v>
      </c>
      <c r="E3401" t="s">
        <v>22153</v>
      </c>
      <c r="F3401" t="s">
        <v>32606</v>
      </c>
      <c r="G3401" t="s">
        <v>32614</v>
      </c>
      <c r="H3401" t="s">
        <v>14201</v>
      </c>
      <c r="I3401" t="s">
        <v>4114</v>
      </c>
      <c r="J3401" t="s">
        <v>34060</v>
      </c>
      <c r="K3401" t="s">
        <v>42623</v>
      </c>
      <c r="M3401" t="s">
        <v>44378</v>
      </c>
      <c r="N3401" t="s">
        <v>47304</v>
      </c>
      <c r="O3401" t="s">
        <v>47305</v>
      </c>
      <c r="P3401">
        <v>0</v>
      </c>
      <c r="Q3401">
        <v>0</v>
      </c>
      <c r="R3401" t="s">
        <v>47306</v>
      </c>
      <c r="S3401" t="s">
        <v>47414</v>
      </c>
      <c r="T3401" t="s">
        <v>48979</v>
      </c>
      <c r="U3401" t="s">
        <v>52488</v>
      </c>
      <c r="W3401" t="s">
        <v>44378</v>
      </c>
      <c r="X3401" t="s">
        <v>47308</v>
      </c>
    </row>
    <row r="3402" spans="1:24">
      <c r="A3402">
        <f>HYPERLINK("https://www.philgeps.gov.ph/GEPSNONPILOT/Tender/SplashBidNoticeAbstractUI.aspx?menuIndex=3&amp;refID=7195694&amp;Result=3","7195694")</f>
        <v>0</v>
      </c>
      <c r="B3402" t="s">
        <v>374</v>
      </c>
      <c r="C3402" t="s">
        <v>7090</v>
      </c>
      <c r="D3402" t="s">
        <v>18999</v>
      </c>
      <c r="E3402" t="s">
        <v>22154</v>
      </c>
      <c r="F3402" t="s">
        <v>32606</v>
      </c>
      <c r="G3402" t="s">
        <v>32614</v>
      </c>
      <c r="H3402" t="s">
        <v>14201</v>
      </c>
      <c r="I3402" t="s">
        <v>17648</v>
      </c>
      <c r="J3402" t="s">
        <v>33578</v>
      </c>
      <c r="K3402" t="s">
        <v>42623</v>
      </c>
      <c r="M3402" t="s">
        <v>43276</v>
      </c>
      <c r="N3402" t="s">
        <v>47304</v>
      </c>
      <c r="O3402" t="s">
        <v>47305</v>
      </c>
      <c r="P3402">
        <v>0</v>
      </c>
      <c r="Q3402">
        <v>2</v>
      </c>
      <c r="R3402" t="s">
        <v>47306</v>
      </c>
      <c r="S3402" t="s">
        <v>47414</v>
      </c>
      <c r="T3402" t="s">
        <v>49010</v>
      </c>
      <c r="U3402" t="s">
        <v>50215</v>
      </c>
      <c r="W3402" t="s">
        <v>43276</v>
      </c>
      <c r="X3402" t="s">
        <v>47308</v>
      </c>
    </row>
    <row r="3403" spans="1:24">
      <c r="A3403">
        <f>HYPERLINK("https://www.philgeps.gov.ph/GEPSNONPILOT/Tender/SplashBidNoticeAbstractUI.aspx?menuIndex=3&amp;refID=7195693&amp;Result=3","7195693")</f>
        <v>0</v>
      </c>
      <c r="B3403" t="s">
        <v>497</v>
      </c>
      <c r="C3403" t="s">
        <v>4789</v>
      </c>
      <c r="D3403" t="s">
        <v>18991</v>
      </c>
      <c r="E3403" t="s">
        <v>22155</v>
      </c>
      <c r="F3403" t="s">
        <v>32606</v>
      </c>
      <c r="G3403" t="s">
        <v>32614</v>
      </c>
      <c r="H3403" t="s">
        <v>14201</v>
      </c>
      <c r="I3403" t="s">
        <v>32689</v>
      </c>
      <c r="J3403" t="s">
        <v>35101</v>
      </c>
      <c r="K3403" t="s">
        <v>42624</v>
      </c>
      <c r="M3403" t="s">
        <v>43410</v>
      </c>
      <c r="N3403" t="s">
        <v>47304</v>
      </c>
      <c r="O3403" t="s">
        <v>47305</v>
      </c>
      <c r="P3403">
        <v>0</v>
      </c>
      <c r="Q3403">
        <v>0</v>
      </c>
      <c r="R3403" t="s">
        <v>47306</v>
      </c>
      <c r="S3403" t="s">
        <v>47414</v>
      </c>
      <c r="T3403" t="s">
        <v>49004</v>
      </c>
      <c r="U3403" t="s">
        <v>52489</v>
      </c>
      <c r="W3403" t="s">
        <v>43410</v>
      </c>
      <c r="X3403" t="s">
        <v>47308</v>
      </c>
    </row>
    <row r="3404" spans="1:24">
      <c r="A3404">
        <f>HYPERLINK("https://www.philgeps.gov.ph/GEPSNONPILOT/Tender/SplashBidNoticeAbstractUI.aspx?menuIndex=3&amp;refID=7195691&amp;Result=3","7195691")</f>
        <v>0</v>
      </c>
      <c r="B3404" t="s">
        <v>360</v>
      </c>
      <c r="C3404" t="s">
        <v>7091</v>
      </c>
      <c r="D3404" t="s">
        <v>19040</v>
      </c>
      <c r="E3404" t="s">
        <v>22156</v>
      </c>
      <c r="F3404" t="s">
        <v>32606</v>
      </c>
      <c r="G3404" t="s">
        <v>32619</v>
      </c>
      <c r="H3404" t="s">
        <v>14201</v>
      </c>
      <c r="I3404" t="s">
        <v>4120</v>
      </c>
      <c r="J3404" t="s">
        <v>35102</v>
      </c>
      <c r="K3404" t="s">
        <v>42630</v>
      </c>
      <c r="M3404" t="s">
        <v>43262</v>
      </c>
      <c r="N3404" t="s">
        <v>47304</v>
      </c>
      <c r="O3404" t="s">
        <v>47305</v>
      </c>
      <c r="P3404">
        <v>0</v>
      </c>
      <c r="Q3404">
        <v>0</v>
      </c>
      <c r="R3404" t="s">
        <v>47306</v>
      </c>
      <c r="S3404" t="s">
        <v>47414</v>
      </c>
      <c r="T3404" t="s">
        <v>49050</v>
      </c>
      <c r="U3404" t="s">
        <v>50184</v>
      </c>
      <c r="W3404" t="s">
        <v>43262</v>
      </c>
      <c r="X3404" t="s">
        <v>47308</v>
      </c>
    </row>
    <row r="3405" spans="1:24">
      <c r="A3405">
        <f>HYPERLINK("https://www.philgeps.gov.ph/GEPSNONPILOT/Tender/SplashBidNoticeAbstractUI.aspx?menuIndex=3&amp;refID=7195689&amp;Result=3","7195689")</f>
        <v>0</v>
      </c>
      <c r="B3405" t="s">
        <v>301</v>
      </c>
      <c r="C3405" t="s">
        <v>7092</v>
      </c>
      <c r="D3405" t="s">
        <v>19011</v>
      </c>
      <c r="E3405" t="s">
        <v>22157</v>
      </c>
      <c r="F3405" t="s">
        <v>32606</v>
      </c>
      <c r="G3405" t="s">
        <v>32614</v>
      </c>
      <c r="H3405" t="s">
        <v>14201</v>
      </c>
      <c r="I3405" t="s">
        <v>4678</v>
      </c>
      <c r="J3405" t="s">
        <v>32956</v>
      </c>
      <c r="K3405" t="s">
        <v>42629</v>
      </c>
      <c r="M3405" t="s">
        <v>44379</v>
      </c>
      <c r="N3405" t="s">
        <v>47304</v>
      </c>
      <c r="O3405" t="s">
        <v>47305</v>
      </c>
      <c r="P3405">
        <v>0</v>
      </c>
      <c r="Q3405">
        <v>3</v>
      </c>
      <c r="R3405" t="s">
        <v>47306</v>
      </c>
      <c r="S3405" t="s">
        <v>47414</v>
      </c>
      <c r="T3405" t="s">
        <v>49014</v>
      </c>
      <c r="U3405" t="s">
        <v>52490</v>
      </c>
      <c r="W3405" t="s">
        <v>44379</v>
      </c>
      <c r="X3405" t="s">
        <v>47308</v>
      </c>
    </row>
    <row r="3406" spans="1:24">
      <c r="A3406">
        <f>HYPERLINK("https://www.philgeps.gov.ph/GEPSNONPILOT/Tender/SplashBidNoticeAbstractUI.aspx?menuIndex=3&amp;refID=7195698&amp;Result=3","7195698")</f>
        <v>0</v>
      </c>
      <c r="B3406" t="s">
        <v>344</v>
      </c>
      <c r="C3406" t="s">
        <v>7093</v>
      </c>
      <c r="D3406" t="s">
        <v>19002</v>
      </c>
      <c r="E3406" t="s">
        <v>22158</v>
      </c>
      <c r="F3406" t="s">
        <v>32606</v>
      </c>
      <c r="G3406" t="s">
        <v>32614</v>
      </c>
      <c r="H3406" t="s">
        <v>14201</v>
      </c>
      <c r="I3406" t="s">
        <v>7577</v>
      </c>
      <c r="J3406" t="s">
        <v>32949</v>
      </c>
      <c r="K3406" t="s">
        <v>42631</v>
      </c>
      <c r="M3406" t="s">
        <v>43246</v>
      </c>
      <c r="N3406" t="s">
        <v>47304</v>
      </c>
      <c r="O3406" t="s">
        <v>47305</v>
      </c>
      <c r="P3406">
        <v>0</v>
      </c>
      <c r="Q3406">
        <v>0</v>
      </c>
      <c r="R3406" t="s">
        <v>47306</v>
      </c>
      <c r="S3406" t="s">
        <v>47414</v>
      </c>
      <c r="T3406" t="s">
        <v>48996</v>
      </c>
      <c r="U3406" t="s">
        <v>52491</v>
      </c>
      <c r="W3406" t="s">
        <v>43246</v>
      </c>
      <c r="X3406" t="s">
        <v>47308</v>
      </c>
    </row>
    <row r="3407" spans="1:24">
      <c r="A3407">
        <f>HYPERLINK("https://www.philgeps.gov.ph/GEPSNONPILOT/Tender/SplashBidNoticeAbstractUI.aspx?menuIndex=3&amp;refID=7195702&amp;Result=3","7195702")</f>
        <v>0</v>
      </c>
      <c r="B3407" t="s">
        <v>1388</v>
      </c>
      <c r="C3407" t="s">
        <v>7094</v>
      </c>
      <c r="D3407" t="s">
        <v>18995</v>
      </c>
      <c r="E3407" t="s">
        <v>22159</v>
      </c>
      <c r="F3407" t="s">
        <v>32606</v>
      </c>
      <c r="G3407" t="s">
        <v>32619</v>
      </c>
      <c r="H3407" t="s">
        <v>14201</v>
      </c>
      <c r="I3407" t="s">
        <v>4114</v>
      </c>
      <c r="J3407" t="s">
        <v>33062</v>
      </c>
      <c r="K3407" t="s">
        <v>42624</v>
      </c>
      <c r="M3407" t="s">
        <v>44370</v>
      </c>
      <c r="N3407" t="s">
        <v>47304</v>
      </c>
      <c r="O3407" t="s">
        <v>47305</v>
      </c>
      <c r="P3407">
        <v>0</v>
      </c>
      <c r="Q3407">
        <v>2</v>
      </c>
      <c r="R3407" t="s">
        <v>47306</v>
      </c>
      <c r="S3407" t="s">
        <v>47414</v>
      </c>
      <c r="T3407" t="s">
        <v>49068</v>
      </c>
      <c r="U3407" t="s">
        <v>52492</v>
      </c>
      <c r="W3407" t="s">
        <v>44370</v>
      </c>
      <c r="X3407" t="s">
        <v>47308</v>
      </c>
    </row>
    <row r="3408" spans="1:24">
      <c r="A3408">
        <f>HYPERLINK("https://www.philgeps.gov.ph/GEPSNONPILOT/Tender/SplashBidNoticeAbstractUI.aspx?menuIndex=3&amp;refID=7195696&amp;Result=3","7195696")</f>
        <v>0</v>
      </c>
      <c r="B3408" t="s">
        <v>1379</v>
      </c>
      <c r="C3408" t="s">
        <v>7095</v>
      </c>
      <c r="D3408" t="s">
        <v>19011</v>
      </c>
      <c r="E3408" t="s">
        <v>22160</v>
      </c>
      <c r="F3408" t="s">
        <v>32606</v>
      </c>
      <c r="G3408" t="s">
        <v>32619</v>
      </c>
      <c r="H3408" t="s">
        <v>32624</v>
      </c>
      <c r="I3408" t="s">
        <v>32652</v>
      </c>
      <c r="J3408" t="s">
        <v>32885</v>
      </c>
      <c r="K3408" t="s">
        <v>42625</v>
      </c>
      <c r="M3408" t="s">
        <v>44361</v>
      </c>
      <c r="N3408" t="s">
        <v>47304</v>
      </c>
      <c r="O3408" t="s">
        <v>47305</v>
      </c>
      <c r="P3408">
        <v>0</v>
      </c>
      <c r="Q3408">
        <v>0</v>
      </c>
      <c r="R3408" t="s">
        <v>47306</v>
      </c>
      <c r="S3408" t="s">
        <v>47414</v>
      </c>
      <c r="T3408" t="s">
        <v>48980</v>
      </c>
      <c r="U3408" t="s">
        <v>52445</v>
      </c>
      <c r="W3408" t="s">
        <v>44361</v>
      </c>
      <c r="X3408" t="s">
        <v>47308</v>
      </c>
    </row>
    <row r="3409" spans="1:24">
      <c r="A3409">
        <f>HYPERLINK("https://www.philgeps.gov.ph/GEPSNONPILOT/Tender/SplashBidNoticeAbstractUI.aspx?menuIndex=3&amp;refID=7195575&amp;Result=3","7195575")</f>
        <v>0</v>
      </c>
      <c r="B3409" t="s">
        <v>981</v>
      </c>
      <c r="C3409" t="s">
        <v>7096</v>
      </c>
      <c r="D3409" t="s">
        <v>19009</v>
      </c>
      <c r="E3409" t="s">
        <v>22161</v>
      </c>
      <c r="F3409" t="s">
        <v>32606</v>
      </c>
      <c r="G3409" t="s">
        <v>32614</v>
      </c>
      <c r="H3409" t="s">
        <v>32623</v>
      </c>
      <c r="I3409" t="s">
        <v>32648</v>
      </c>
      <c r="J3409" t="s">
        <v>33897</v>
      </c>
      <c r="K3409" t="s">
        <v>42674</v>
      </c>
      <c r="L3409" t="s">
        <v>981</v>
      </c>
      <c r="M3409" t="s">
        <v>43927</v>
      </c>
      <c r="N3409" t="s">
        <v>47304</v>
      </c>
      <c r="O3409" t="s">
        <v>47305</v>
      </c>
      <c r="P3409">
        <v>0</v>
      </c>
      <c r="Q3409">
        <v>0</v>
      </c>
      <c r="R3409" t="s">
        <v>47306</v>
      </c>
      <c r="S3409" t="s">
        <v>47414</v>
      </c>
      <c r="T3409" t="s">
        <v>48979</v>
      </c>
      <c r="U3409" t="s">
        <v>51500</v>
      </c>
      <c r="W3409" t="s">
        <v>43927</v>
      </c>
      <c r="X3409" t="s">
        <v>47308</v>
      </c>
    </row>
    <row r="3410" spans="1:24">
      <c r="A3410">
        <f>HYPERLINK("https://www.philgeps.gov.ph/GEPSNONPILOT/Tender/SplashBidNoticeAbstractUI.aspx?menuIndex=3&amp;refID=7195682&amp;Result=3","7195682")</f>
        <v>0</v>
      </c>
      <c r="B3410" t="s">
        <v>692</v>
      </c>
      <c r="C3410" t="s">
        <v>7097</v>
      </c>
      <c r="D3410" t="s">
        <v>18992</v>
      </c>
      <c r="E3410" t="s">
        <v>20332</v>
      </c>
      <c r="F3410" t="s">
        <v>32606</v>
      </c>
      <c r="G3410" t="s">
        <v>32614</v>
      </c>
      <c r="H3410" t="s">
        <v>14201</v>
      </c>
      <c r="I3410" t="s">
        <v>32654</v>
      </c>
      <c r="J3410" t="s">
        <v>32811</v>
      </c>
      <c r="K3410" t="s">
        <v>42629</v>
      </c>
      <c r="M3410" t="s">
        <v>43613</v>
      </c>
      <c r="N3410" t="s">
        <v>47304</v>
      </c>
      <c r="O3410" t="s">
        <v>47305</v>
      </c>
      <c r="P3410">
        <v>0</v>
      </c>
      <c r="Q3410">
        <v>0</v>
      </c>
      <c r="R3410" t="s">
        <v>47306</v>
      </c>
      <c r="S3410" t="s">
        <v>47414</v>
      </c>
      <c r="T3410" t="s">
        <v>48980</v>
      </c>
      <c r="U3410" t="s">
        <v>52493</v>
      </c>
      <c r="W3410" t="s">
        <v>43613</v>
      </c>
      <c r="X3410" t="s">
        <v>47308</v>
      </c>
    </row>
    <row r="3411" spans="1:24">
      <c r="A3411">
        <f>HYPERLINK("https://www.philgeps.gov.ph/GEPSNONPILOT/Tender/SplashBidNoticeAbstractUI.aspx?menuIndex=3&amp;refID=7195663&amp;Result=3","7195663")</f>
        <v>0</v>
      </c>
      <c r="B3411" t="s">
        <v>301</v>
      </c>
      <c r="C3411" t="s">
        <v>7098</v>
      </c>
      <c r="D3411" t="s">
        <v>19011</v>
      </c>
      <c r="E3411" t="s">
        <v>22162</v>
      </c>
      <c r="F3411" t="s">
        <v>32606</v>
      </c>
      <c r="G3411" t="s">
        <v>32614</v>
      </c>
      <c r="H3411" t="s">
        <v>14201</v>
      </c>
      <c r="I3411" t="s">
        <v>4120</v>
      </c>
      <c r="J3411" t="s">
        <v>32981</v>
      </c>
      <c r="K3411" t="s">
        <v>42629</v>
      </c>
      <c r="M3411" t="s">
        <v>44379</v>
      </c>
      <c r="N3411" t="s">
        <v>47304</v>
      </c>
      <c r="O3411" t="s">
        <v>47305</v>
      </c>
      <c r="P3411">
        <v>0</v>
      </c>
      <c r="Q3411">
        <v>2</v>
      </c>
      <c r="R3411" t="s">
        <v>47306</v>
      </c>
      <c r="S3411" t="s">
        <v>47414</v>
      </c>
      <c r="T3411" t="s">
        <v>49014</v>
      </c>
      <c r="U3411" t="s">
        <v>52490</v>
      </c>
      <c r="W3411" t="s">
        <v>44379</v>
      </c>
      <c r="X3411" t="s">
        <v>47308</v>
      </c>
    </row>
    <row r="3412" spans="1:24">
      <c r="A3412">
        <f>HYPERLINK("https://www.philgeps.gov.ph/GEPSNONPILOT/Tender/SplashBidNoticeAbstractUI.aspx?menuIndex=3&amp;refID=7195710&amp;Result=3","7195710")</f>
        <v>0</v>
      </c>
      <c r="B3412" t="s">
        <v>692</v>
      </c>
      <c r="C3412" t="s">
        <v>7099</v>
      </c>
      <c r="D3412" t="s">
        <v>18992</v>
      </c>
      <c r="E3412" t="s">
        <v>20332</v>
      </c>
      <c r="F3412" t="s">
        <v>32606</v>
      </c>
      <c r="G3412" t="s">
        <v>32614</v>
      </c>
      <c r="H3412" t="s">
        <v>14201</v>
      </c>
      <c r="I3412" t="s">
        <v>6993</v>
      </c>
      <c r="J3412" t="s">
        <v>35103</v>
      </c>
      <c r="K3412" t="s">
        <v>42629</v>
      </c>
      <c r="M3412" t="s">
        <v>43613</v>
      </c>
      <c r="N3412" t="s">
        <v>47304</v>
      </c>
      <c r="O3412" t="s">
        <v>47305</v>
      </c>
      <c r="P3412">
        <v>0</v>
      </c>
      <c r="Q3412">
        <v>0</v>
      </c>
      <c r="R3412" t="s">
        <v>47306</v>
      </c>
      <c r="S3412" t="s">
        <v>47414</v>
      </c>
      <c r="T3412" t="s">
        <v>48980</v>
      </c>
      <c r="U3412" t="s">
        <v>52494</v>
      </c>
      <c r="W3412" t="s">
        <v>43613</v>
      </c>
      <c r="X3412" t="s">
        <v>47308</v>
      </c>
    </row>
    <row r="3413" spans="1:24">
      <c r="A3413">
        <f>HYPERLINK("https://www.philgeps.gov.ph/GEPSNONPILOT/Tender/SplashBidNoticeAbstractUI.aspx?menuIndex=3&amp;refID=7195724&amp;Result=3","7195724")</f>
        <v>0</v>
      </c>
      <c r="B3413" t="s">
        <v>1396</v>
      </c>
      <c r="C3413" t="s">
        <v>7100</v>
      </c>
      <c r="E3413" t="s">
        <v>22163</v>
      </c>
      <c r="F3413" t="s">
        <v>32606</v>
      </c>
      <c r="G3413" t="s">
        <v>32614</v>
      </c>
      <c r="H3413" t="s">
        <v>14201</v>
      </c>
      <c r="I3413" t="s">
        <v>4112</v>
      </c>
      <c r="J3413" t="s">
        <v>33783</v>
      </c>
      <c r="K3413" t="s">
        <v>42622</v>
      </c>
      <c r="M3413" t="s">
        <v>44380</v>
      </c>
      <c r="N3413" t="s">
        <v>47304</v>
      </c>
      <c r="O3413" t="s">
        <v>47305</v>
      </c>
      <c r="P3413">
        <v>0</v>
      </c>
      <c r="Q3413">
        <v>0</v>
      </c>
      <c r="R3413" t="s">
        <v>47306</v>
      </c>
      <c r="S3413" t="s">
        <v>47414</v>
      </c>
      <c r="T3413" t="s">
        <v>49050</v>
      </c>
      <c r="U3413" t="s">
        <v>52495</v>
      </c>
      <c r="W3413" t="s">
        <v>44380</v>
      </c>
      <c r="X3413" t="s">
        <v>47308</v>
      </c>
    </row>
    <row r="3414" spans="1:24">
      <c r="A3414">
        <f>HYPERLINK("https://www.philgeps.gov.ph/GEPSNONPILOT/Tender/SplashBidNoticeAbstractUI.aspx?menuIndex=3&amp;refID=7195731&amp;Result=3","7195731")</f>
        <v>0</v>
      </c>
      <c r="B3414" t="s">
        <v>728</v>
      </c>
      <c r="C3414" t="s">
        <v>7101</v>
      </c>
      <c r="D3414" t="s">
        <v>19025</v>
      </c>
      <c r="E3414" t="s">
        <v>22164</v>
      </c>
      <c r="F3414" t="s">
        <v>32606</v>
      </c>
      <c r="G3414" t="s">
        <v>32613</v>
      </c>
      <c r="H3414" t="s">
        <v>32623</v>
      </c>
      <c r="I3414" t="s">
        <v>17648</v>
      </c>
      <c r="J3414" t="s">
        <v>35104</v>
      </c>
      <c r="K3414" t="s">
        <v>42744</v>
      </c>
      <c r="M3414" t="s">
        <v>44360</v>
      </c>
      <c r="N3414" t="s">
        <v>47304</v>
      </c>
      <c r="O3414" t="s">
        <v>47305</v>
      </c>
      <c r="Q3414">
        <v>0</v>
      </c>
      <c r="R3414" t="s">
        <v>47306</v>
      </c>
      <c r="S3414" t="s">
        <v>47421</v>
      </c>
      <c r="T3414" t="s">
        <v>49193</v>
      </c>
      <c r="U3414" t="s">
        <v>52496</v>
      </c>
      <c r="W3414" t="s">
        <v>44360</v>
      </c>
      <c r="X3414" t="s">
        <v>47308</v>
      </c>
    </row>
    <row r="3415" spans="1:24">
      <c r="A3415">
        <f>HYPERLINK("https://www.philgeps.gov.ph/GEPSNONPILOT/Tender/SplashBidNoticeAbstractUI.aspx?menuIndex=3&amp;refID=7195690&amp;Result=3","7195690")</f>
        <v>0</v>
      </c>
      <c r="B3415" t="s">
        <v>81</v>
      </c>
      <c r="C3415" t="s">
        <v>4442</v>
      </c>
      <c r="D3415" t="s">
        <v>18995</v>
      </c>
      <c r="E3415" t="s">
        <v>22165</v>
      </c>
      <c r="F3415" t="s">
        <v>32606</v>
      </c>
      <c r="G3415" t="s">
        <v>32614</v>
      </c>
      <c r="H3415" t="s">
        <v>14201</v>
      </c>
      <c r="I3415" t="s">
        <v>32640</v>
      </c>
      <c r="J3415" t="s">
        <v>35105</v>
      </c>
      <c r="K3415" t="s">
        <v>42624</v>
      </c>
      <c r="M3415" t="s">
        <v>42978</v>
      </c>
      <c r="N3415" t="s">
        <v>47304</v>
      </c>
      <c r="O3415" t="s">
        <v>47305</v>
      </c>
      <c r="P3415">
        <v>0</v>
      </c>
      <c r="Q3415">
        <v>0</v>
      </c>
      <c r="R3415" t="s">
        <v>47306</v>
      </c>
      <c r="S3415" t="s">
        <v>47414</v>
      </c>
      <c r="T3415" t="s">
        <v>49014</v>
      </c>
      <c r="U3415" t="s">
        <v>52497</v>
      </c>
      <c r="W3415" t="s">
        <v>42978</v>
      </c>
      <c r="X3415" t="s">
        <v>47308</v>
      </c>
    </row>
    <row r="3416" spans="1:24">
      <c r="A3416">
        <f>HYPERLINK("https://www.philgeps.gov.ph/GEPSNONPILOT/Tender/SplashBidNoticeAbstractUI.aspx?menuIndex=3&amp;refID=7195688&amp;Result=3","7195688")</f>
        <v>0</v>
      </c>
      <c r="B3416" t="s">
        <v>1397</v>
      </c>
      <c r="C3416" t="s">
        <v>7102</v>
      </c>
      <c r="D3416" t="s">
        <v>18989</v>
      </c>
      <c r="E3416" t="s">
        <v>22166</v>
      </c>
      <c r="F3416" t="s">
        <v>32606</v>
      </c>
      <c r="G3416" t="s">
        <v>32614</v>
      </c>
      <c r="H3416" t="s">
        <v>14201</v>
      </c>
      <c r="I3416" t="s">
        <v>32688</v>
      </c>
      <c r="J3416" t="s">
        <v>35106</v>
      </c>
      <c r="K3416" t="s">
        <v>42629</v>
      </c>
      <c r="M3416" t="s">
        <v>44381</v>
      </c>
      <c r="N3416" t="s">
        <v>47304</v>
      </c>
      <c r="O3416" t="s">
        <v>47305</v>
      </c>
      <c r="P3416">
        <v>0</v>
      </c>
      <c r="Q3416">
        <v>1</v>
      </c>
      <c r="R3416" t="s">
        <v>47306</v>
      </c>
      <c r="S3416" t="s">
        <v>47414</v>
      </c>
      <c r="T3416" t="s">
        <v>49004</v>
      </c>
      <c r="U3416" t="s">
        <v>52498</v>
      </c>
      <c r="W3416" t="s">
        <v>44381</v>
      </c>
      <c r="X3416" t="s">
        <v>47308</v>
      </c>
    </row>
    <row r="3417" spans="1:24">
      <c r="A3417">
        <f>HYPERLINK("https://www.philgeps.gov.ph/GEPSNONPILOT/Tender/SplashBidNoticeAbstractUI.aspx?menuIndex=3&amp;refID=7195687&amp;Result=3","7195687")</f>
        <v>0</v>
      </c>
      <c r="B3417" t="s">
        <v>1342</v>
      </c>
      <c r="C3417" t="s">
        <v>7103</v>
      </c>
      <c r="D3417" t="s">
        <v>19009</v>
      </c>
      <c r="E3417" t="s">
        <v>22167</v>
      </c>
      <c r="F3417" t="s">
        <v>32606</v>
      </c>
      <c r="G3417" t="s">
        <v>32613</v>
      </c>
      <c r="H3417" t="s">
        <v>14201</v>
      </c>
      <c r="I3417" t="s">
        <v>6931</v>
      </c>
      <c r="J3417" t="s">
        <v>35107</v>
      </c>
      <c r="K3417" t="s">
        <v>42627</v>
      </c>
      <c r="M3417" t="s">
        <v>44316</v>
      </c>
      <c r="N3417" t="s">
        <v>47304</v>
      </c>
      <c r="O3417" t="s">
        <v>47305</v>
      </c>
      <c r="P3417">
        <v>0</v>
      </c>
      <c r="Q3417">
        <v>0</v>
      </c>
      <c r="R3417" t="s">
        <v>47306</v>
      </c>
      <c r="S3417" t="s">
        <v>47414</v>
      </c>
      <c r="T3417" t="s">
        <v>48971</v>
      </c>
      <c r="U3417" t="s">
        <v>52499</v>
      </c>
      <c r="W3417" t="s">
        <v>44316</v>
      </c>
      <c r="X3417" t="s">
        <v>47308</v>
      </c>
    </row>
    <row r="3418" spans="1:24">
      <c r="A3418">
        <f>HYPERLINK("https://www.philgeps.gov.ph/GEPSNONPILOT/Tender/SplashBidNoticeAbstractUI.aspx?menuIndex=3&amp;refID=7195686&amp;Result=3","7195686")</f>
        <v>0</v>
      </c>
      <c r="B3418" t="s">
        <v>895</v>
      </c>
      <c r="C3418" t="s">
        <v>7104</v>
      </c>
      <c r="D3418" t="s">
        <v>18993</v>
      </c>
      <c r="E3418" t="s">
        <v>22168</v>
      </c>
      <c r="F3418" t="s">
        <v>32606</v>
      </c>
      <c r="G3418" t="s">
        <v>32619</v>
      </c>
      <c r="H3418" t="s">
        <v>14201</v>
      </c>
      <c r="I3418" t="s">
        <v>7577</v>
      </c>
      <c r="J3418" t="s">
        <v>32811</v>
      </c>
      <c r="K3418" t="s">
        <v>42624</v>
      </c>
      <c r="M3418" t="s">
        <v>43831</v>
      </c>
      <c r="N3418" t="s">
        <v>47304</v>
      </c>
      <c r="O3418" t="s">
        <v>47305</v>
      </c>
      <c r="P3418">
        <v>0</v>
      </c>
      <c r="Q3418">
        <v>0</v>
      </c>
      <c r="R3418" t="s">
        <v>47306</v>
      </c>
      <c r="S3418" t="s">
        <v>47414</v>
      </c>
      <c r="T3418" t="s">
        <v>49014</v>
      </c>
      <c r="U3418" t="s">
        <v>52500</v>
      </c>
      <c r="W3418" t="s">
        <v>43831</v>
      </c>
      <c r="X3418" t="s">
        <v>47308</v>
      </c>
    </row>
    <row r="3419" spans="1:24">
      <c r="A3419">
        <f>HYPERLINK("https://www.philgeps.gov.ph/GEPSNONPILOT/Tender/SplashBidNoticeAbstractUI.aspx?menuIndex=3&amp;refID=7195726&amp;Result=3","7195726")</f>
        <v>0</v>
      </c>
      <c r="B3419" t="s">
        <v>662</v>
      </c>
      <c r="C3419" t="s">
        <v>7013</v>
      </c>
      <c r="D3419" t="s">
        <v>19023</v>
      </c>
      <c r="E3419" t="s">
        <v>22169</v>
      </c>
      <c r="F3419" t="s">
        <v>32606</v>
      </c>
      <c r="G3419" t="s">
        <v>32614</v>
      </c>
      <c r="H3419" t="s">
        <v>14201</v>
      </c>
      <c r="I3419" t="s">
        <v>6007</v>
      </c>
      <c r="J3419" t="s">
        <v>32820</v>
      </c>
      <c r="K3419" t="s">
        <v>42631</v>
      </c>
      <c r="M3419" t="s">
        <v>43582</v>
      </c>
      <c r="N3419" t="s">
        <v>47304</v>
      </c>
      <c r="O3419" t="s">
        <v>47305</v>
      </c>
      <c r="P3419">
        <v>0</v>
      </c>
      <c r="Q3419">
        <v>0</v>
      </c>
      <c r="R3419" t="s">
        <v>47306</v>
      </c>
      <c r="S3419" t="s">
        <v>47414</v>
      </c>
      <c r="T3419" t="s">
        <v>49004</v>
      </c>
      <c r="U3419" t="s">
        <v>52501</v>
      </c>
      <c r="W3419" t="s">
        <v>43582</v>
      </c>
      <c r="X3419" t="s">
        <v>47308</v>
      </c>
    </row>
    <row r="3420" spans="1:24">
      <c r="A3420">
        <f>HYPERLINK("https://www.philgeps.gov.ph/GEPSNONPILOT/Tender/SplashBidNoticeAbstractUI.aspx?menuIndex=3&amp;refID=7195723&amp;Result=3","7195723")</f>
        <v>0</v>
      </c>
      <c r="B3420" t="s">
        <v>1342</v>
      </c>
      <c r="C3420" t="s">
        <v>7105</v>
      </c>
      <c r="D3420" t="s">
        <v>19009</v>
      </c>
      <c r="E3420" t="s">
        <v>22167</v>
      </c>
      <c r="F3420" t="s">
        <v>32606</v>
      </c>
      <c r="G3420" t="s">
        <v>32613</v>
      </c>
      <c r="H3420" t="s">
        <v>14201</v>
      </c>
      <c r="I3420" t="s">
        <v>32635</v>
      </c>
      <c r="J3420" t="s">
        <v>35108</v>
      </c>
      <c r="K3420" t="s">
        <v>42631</v>
      </c>
      <c r="M3420" t="s">
        <v>44316</v>
      </c>
      <c r="N3420" t="s">
        <v>47304</v>
      </c>
      <c r="O3420" t="s">
        <v>47305</v>
      </c>
      <c r="P3420">
        <v>0</v>
      </c>
      <c r="Q3420">
        <v>1</v>
      </c>
      <c r="R3420" t="s">
        <v>47306</v>
      </c>
      <c r="S3420" t="s">
        <v>47414</v>
      </c>
      <c r="T3420" t="s">
        <v>48971</v>
      </c>
      <c r="U3420" t="s">
        <v>52502</v>
      </c>
      <c r="W3420" t="s">
        <v>44316</v>
      </c>
      <c r="X3420" t="s">
        <v>47308</v>
      </c>
    </row>
    <row r="3421" spans="1:24">
      <c r="A3421">
        <f>HYPERLINK("https://www.philgeps.gov.ph/GEPSNONPILOT/Tender/SplashBidNoticeAbstractUI.aspx?menuIndex=3&amp;refID=7195700&amp;Result=3","7195700")</f>
        <v>0</v>
      </c>
      <c r="B3421" t="s">
        <v>1398</v>
      </c>
      <c r="C3421" t="s">
        <v>7106</v>
      </c>
      <c r="D3421" t="s">
        <v>19016</v>
      </c>
      <c r="E3421" t="s">
        <v>20397</v>
      </c>
      <c r="F3421" t="s">
        <v>32606</v>
      </c>
      <c r="G3421" t="s">
        <v>32613</v>
      </c>
      <c r="H3421" t="s">
        <v>14201</v>
      </c>
      <c r="I3421" t="s">
        <v>7577</v>
      </c>
      <c r="J3421" t="s">
        <v>35109</v>
      </c>
      <c r="K3421" t="s">
        <v>42639</v>
      </c>
      <c r="M3421" t="s">
        <v>44382</v>
      </c>
      <c r="N3421" t="s">
        <v>47304</v>
      </c>
      <c r="O3421" t="s">
        <v>47305</v>
      </c>
      <c r="P3421">
        <v>0</v>
      </c>
      <c r="Q3421">
        <v>3</v>
      </c>
      <c r="R3421" t="s">
        <v>47306</v>
      </c>
      <c r="S3421" t="s">
        <v>47414</v>
      </c>
      <c r="T3421" t="s">
        <v>48977</v>
      </c>
      <c r="U3421" t="s">
        <v>52503</v>
      </c>
      <c r="W3421" t="s">
        <v>44382</v>
      </c>
      <c r="X3421" t="s">
        <v>47308</v>
      </c>
    </row>
    <row r="3422" spans="1:24">
      <c r="A3422">
        <f>HYPERLINK("https://www.philgeps.gov.ph/GEPSNONPILOT/Tender/SplashBidNoticeAbstractUI.aspx?menuIndex=3&amp;refID=7195721&amp;Result=3","7195721")</f>
        <v>0</v>
      </c>
      <c r="B3422" t="s">
        <v>238</v>
      </c>
      <c r="C3422" t="s">
        <v>7107</v>
      </c>
      <c r="D3422" t="s">
        <v>18993</v>
      </c>
      <c r="E3422" t="s">
        <v>22170</v>
      </c>
      <c r="F3422" t="s">
        <v>32606</v>
      </c>
      <c r="G3422" t="s">
        <v>32614</v>
      </c>
      <c r="H3422" t="s">
        <v>14201</v>
      </c>
      <c r="I3422" t="s">
        <v>32652</v>
      </c>
      <c r="J3422" t="s">
        <v>35110</v>
      </c>
      <c r="K3422" t="s">
        <v>42622</v>
      </c>
      <c r="M3422" t="s">
        <v>43357</v>
      </c>
      <c r="N3422" t="s">
        <v>47304</v>
      </c>
      <c r="O3422" t="s">
        <v>47305</v>
      </c>
      <c r="P3422">
        <v>0</v>
      </c>
      <c r="Q3422">
        <v>0</v>
      </c>
      <c r="R3422" t="s">
        <v>47306</v>
      </c>
      <c r="S3422" t="s">
        <v>47414</v>
      </c>
      <c r="T3422" t="s">
        <v>49123</v>
      </c>
      <c r="U3422" t="s">
        <v>52504</v>
      </c>
      <c r="V3422" t="s">
        <v>62749</v>
      </c>
      <c r="W3422" t="s">
        <v>43357</v>
      </c>
      <c r="X3422" t="s">
        <v>47308</v>
      </c>
    </row>
    <row r="3423" spans="1:24">
      <c r="A3423">
        <f>HYPERLINK("https://www.philgeps.gov.ph/GEPSNONPILOT/Tender/SplashBidNoticeAbstractUI.aspx?menuIndex=3&amp;refID=7195719&amp;Result=3","7195719")</f>
        <v>0</v>
      </c>
      <c r="B3423" t="s">
        <v>439</v>
      </c>
      <c r="C3423" t="s">
        <v>7108</v>
      </c>
      <c r="D3423" t="s">
        <v>19054</v>
      </c>
      <c r="E3423" t="s">
        <v>22171</v>
      </c>
      <c r="F3423" t="s">
        <v>32606</v>
      </c>
      <c r="G3423" t="s">
        <v>32614</v>
      </c>
      <c r="H3423" t="s">
        <v>14201</v>
      </c>
      <c r="I3423" t="s">
        <v>17648</v>
      </c>
      <c r="J3423" t="s">
        <v>35111</v>
      </c>
      <c r="K3423" t="s">
        <v>42631</v>
      </c>
      <c r="M3423" t="s">
        <v>43346</v>
      </c>
      <c r="N3423" t="s">
        <v>47304</v>
      </c>
      <c r="O3423" t="s">
        <v>47305</v>
      </c>
      <c r="P3423">
        <v>0</v>
      </c>
      <c r="Q3423">
        <v>0</v>
      </c>
      <c r="R3423" t="s">
        <v>47306</v>
      </c>
      <c r="S3423" t="s">
        <v>47414</v>
      </c>
      <c r="T3423" t="s">
        <v>49050</v>
      </c>
      <c r="U3423" t="s">
        <v>52505</v>
      </c>
      <c r="W3423" t="s">
        <v>43346</v>
      </c>
      <c r="X3423" t="s">
        <v>47308</v>
      </c>
    </row>
    <row r="3424" spans="1:24">
      <c r="A3424">
        <f>HYPERLINK("https://www.philgeps.gov.ph/GEPSNONPILOT/Tender/SplashBidNoticeAbstractUI.aspx?menuIndex=3&amp;refID=7195715&amp;Result=3","7195715")</f>
        <v>0</v>
      </c>
      <c r="B3424" t="s">
        <v>81</v>
      </c>
      <c r="C3424" t="s">
        <v>7109</v>
      </c>
      <c r="D3424" t="s">
        <v>18995</v>
      </c>
      <c r="E3424" t="s">
        <v>22172</v>
      </c>
      <c r="F3424" t="s">
        <v>32606</v>
      </c>
      <c r="G3424" t="s">
        <v>32614</v>
      </c>
      <c r="H3424" t="s">
        <v>14201</v>
      </c>
      <c r="I3424" t="s">
        <v>6014</v>
      </c>
      <c r="J3424" t="s">
        <v>35112</v>
      </c>
      <c r="K3424" t="s">
        <v>42624</v>
      </c>
      <c r="M3424" t="s">
        <v>42978</v>
      </c>
      <c r="N3424" t="s">
        <v>47304</v>
      </c>
      <c r="O3424" t="s">
        <v>47305</v>
      </c>
      <c r="P3424">
        <v>0</v>
      </c>
      <c r="Q3424">
        <v>2</v>
      </c>
      <c r="R3424" t="s">
        <v>47306</v>
      </c>
      <c r="S3424" t="s">
        <v>47414</v>
      </c>
      <c r="T3424" t="s">
        <v>49014</v>
      </c>
      <c r="U3424" t="s">
        <v>52506</v>
      </c>
      <c r="W3424" t="s">
        <v>42978</v>
      </c>
      <c r="X3424" t="s">
        <v>47308</v>
      </c>
    </row>
    <row r="3425" spans="1:24">
      <c r="A3425">
        <f>HYPERLINK("https://www.philgeps.gov.ph/GEPSNONPILOT/Tender/SplashBidNoticeAbstractUI.aspx?menuIndex=3&amp;refID=7195729&amp;Result=3","7195729")</f>
        <v>0</v>
      </c>
      <c r="B3425" t="s">
        <v>726</v>
      </c>
      <c r="C3425" t="s">
        <v>7110</v>
      </c>
      <c r="D3425" t="s">
        <v>19009</v>
      </c>
      <c r="E3425" t="s">
        <v>22173</v>
      </c>
      <c r="F3425" t="s">
        <v>32606</v>
      </c>
      <c r="G3425" t="s">
        <v>32613</v>
      </c>
      <c r="H3425" t="s">
        <v>14201</v>
      </c>
      <c r="I3425" t="s">
        <v>6931</v>
      </c>
      <c r="J3425" t="s">
        <v>35113</v>
      </c>
      <c r="K3425" t="s">
        <v>42623</v>
      </c>
      <c r="M3425" t="s">
        <v>43648</v>
      </c>
      <c r="N3425" t="s">
        <v>47304</v>
      </c>
      <c r="O3425" t="s">
        <v>47305</v>
      </c>
      <c r="P3425">
        <v>0</v>
      </c>
      <c r="Q3425">
        <v>0</v>
      </c>
      <c r="R3425" t="s">
        <v>47306</v>
      </c>
      <c r="S3425" t="s">
        <v>47414</v>
      </c>
      <c r="T3425" t="s">
        <v>49205</v>
      </c>
      <c r="U3425" t="s">
        <v>52507</v>
      </c>
      <c r="V3425" t="s">
        <v>62935</v>
      </c>
      <c r="W3425" t="s">
        <v>43648</v>
      </c>
      <c r="X3425" t="s">
        <v>47308</v>
      </c>
    </row>
    <row r="3426" spans="1:24">
      <c r="A3426">
        <f>HYPERLINK("https://www.philgeps.gov.ph/GEPSNONPILOT/Tender/SplashBidNoticeAbstractUI.aspx?menuIndex=3&amp;refID=7195714&amp;Result=3","7195714")</f>
        <v>0</v>
      </c>
      <c r="B3426" t="s">
        <v>233</v>
      </c>
      <c r="C3426" t="s">
        <v>7111</v>
      </c>
      <c r="D3426" t="s">
        <v>18997</v>
      </c>
      <c r="E3426" t="s">
        <v>22174</v>
      </c>
      <c r="F3426" t="s">
        <v>32606</v>
      </c>
      <c r="G3426" t="s">
        <v>32613</v>
      </c>
      <c r="H3426" t="s">
        <v>14201</v>
      </c>
      <c r="I3426" t="s">
        <v>32629</v>
      </c>
      <c r="J3426" t="s">
        <v>35078</v>
      </c>
      <c r="K3426" t="s">
        <v>42631</v>
      </c>
      <c r="M3426" t="s">
        <v>44359</v>
      </c>
      <c r="N3426" t="s">
        <v>47304</v>
      </c>
      <c r="O3426" t="s">
        <v>47305</v>
      </c>
      <c r="P3426">
        <v>0</v>
      </c>
      <c r="Q3426">
        <v>0</v>
      </c>
      <c r="R3426" t="s">
        <v>47306</v>
      </c>
      <c r="S3426" t="s">
        <v>47414</v>
      </c>
      <c r="T3426" t="s">
        <v>49023</v>
      </c>
      <c r="U3426" t="s">
        <v>52451</v>
      </c>
      <c r="V3426" t="s">
        <v>63002</v>
      </c>
      <c r="W3426" t="s">
        <v>44359</v>
      </c>
      <c r="X3426" t="s">
        <v>47308</v>
      </c>
    </row>
    <row r="3427" spans="1:24">
      <c r="A3427">
        <f>HYPERLINK("https://www.philgeps.gov.ph/GEPSNONPILOT/Tender/SplashBidNoticeAbstractUI.aspx?menuIndex=3&amp;refID=7195713&amp;Result=3","7195713")</f>
        <v>0</v>
      </c>
      <c r="B3427" t="s">
        <v>456</v>
      </c>
      <c r="C3427" t="s">
        <v>7112</v>
      </c>
      <c r="D3427" t="s">
        <v>19024</v>
      </c>
      <c r="E3427" t="s">
        <v>22175</v>
      </c>
      <c r="F3427" t="s">
        <v>32606</v>
      </c>
      <c r="G3427" t="s">
        <v>32619</v>
      </c>
      <c r="H3427" t="s">
        <v>14201</v>
      </c>
      <c r="I3427" t="s">
        <v>4114</v>
      </c>
      <c r="J3427" t="s">
        <v>35114</v>
      </c>
      <c r="K3427" t="s">
        <v>42624</v>
      </c>
      <c r="M3427" t="s">
        <v>43366</v>
      </c>
      <c r="N3427" t="s">
        <v>47304</v>
      </c>
      <c r="O3427" t="s">
        <v>47305</v>
      </c>
      <c r="P3427">
        <v>0</v>
      </c>
      <c r="Q3427">
        <v>1</v>
      </c>
      <c r="R3427" t="s">
        <v>47306</v>
      </c>
      <c r="S3427" t="s">
        <v>47414</v>
      </c>
      <c r="T3427" t="s">
        <v>49053</v>
      </c>
      <c r="U3427" t="s">
        <v>52508</v>
      </c>
      <c r="W3427" t="s">
        <v>43366</v>
      </c>
      <c r="X3427" t="s">
        <v>47308</v>
      </c>
    </row>
    <row r="3428" spans="1:24">
      <c r="A3428">
        <f>HYPERLINK("https://www.philgeps.gov.ph/GEPSNONPILOT/Tender/SplashBidNoticeAbstractUI.aspx?menuIndex=3&amp;refID=7195712&amp;Result=3","7195712")</f>
        <v>0</v>
      </c>
      <c r="B3428" t="s">
        <v>360</v>
      </c>
      <c r="C3428" t="s">
        <v>7113</v>
      </c>
      <c r="D3428" t="s">
        <v>19040</v>
      </c>
      <c r="E3428" t="s">
        <v>22176</v>
      </c>
      <c r="F3428" t="s">
        <v>32606</v>
      </c>
      <c r="G3428" t="s">
        <v>32619</v>
      </c>
      <c r="H3428" t="s">
        <v>14201</v>
      </c>
      <c r="I3428" t="s">
        <v>4120</v>
      </c>
      <c r="J3428" t="s">
        <v>35115</v>
      </c>
      <c r="K3428" t="s">
        <v>42630</v>
      </c>
      <c r="M3428" t="s">
        <v>43262</v>
      </c>
      <c r="N3428" t="s">
        <v>47304</v>
      </c>
      <c r="O3428" t="s">
        <v>47305</v>
      </c>
      <c r="P3428">
        <v>0</v>
      </c>
      <c r="Q3428">
        <v>0</v>
      </c>
      <c r="R3428" t="s">
        <v>47306</v>
      </c>
      <c r="S3428" t="s">
        <v>47414</v>
      </c>
      <c r="T3428" t="s">
        <v>49050</v>
      </c>
      <c r="U3428" t="s">
        <v>50184</v>
      </c>
      <c r="W3428" t="s">
        <v>43262</v>
      </c>
      <c r="X3428" t="s">
        <v>47308</v>
      </c>
    </row>
    <row r="3429" spans="1:24">
      <c r="A3429">
        <f>HYPERLINK("https://www.philgeps.gov.ph/GEPSNONPILOT/Tender/SplashBidNoticeAbstractUI.aspx?menuIndex=3&amp;refID=7195722&amp;Result=3","7195722")</f>
        <v>0</v>
      </c>
      <c r="B3429" t="s">
        <v>101</v>
      </c>
      <c r="C3429" t="s">
        <v>7114</v>
      </c>
      <c r="D3429" t="s">
        <v>18993</v>
      </c>
      <c r="E3429" t="s">
        <v>22177</v>
      </c>
      <c r="F3429" t="s">
        <v>32606</v>
      </c>
      <c r="G3429" t="s">
        <v>32617</v>
      </c>
      <c r="H3429" t="s">
        <v>14201</v>
      </c>
      <c r="I3429" t="s">
        <v>4114</v>
      </c>
      <c r="J3429" t="s">
        <v>35116</v>
      </c>
      <c r="K3429" t="s">
        <v>42631</v>
      </c>
      <c r="M3429" t="s">
        <v>44372</v>
      </c>
      <c r="N3429" t="s">
        <v>47304</v>
      </c>
      <c r="O3429" t="s">
        <v>47305</v>
      </c>
      <c r="P3429">
        <v>0</v>
      </c>
      <c r="Q3429">
        <v>2</v>
      </c>
      <c r="R3429" t="s">
        <v>47306</v>
      </c>
      <c r="S3429" t="s">
        <v>47414</v>
      </c>
      <c r="T3429" t="s">
        <v>48980</v>
      </c>
      <c r="U3429" t="s">
        <v>52509</v>
      </c>
      <c r="W3429" t="s">
        <v>44372</v>
      </c>
      <c r="X3429" t="s">
        <v>47308</v>
      </c>
    </row>
    <row r="3430" spans="1:24">
      <c r="A3430">
        <f>HYPERLINK("https://www.philgeps.gov.ph/GEPSNONPILOT/Tender/SplashBidNoticeAbstractUI.aspx?menuIndex=3&amp;refID=7195725&amp;Result=3","7195725")</f>
        <v>0</v>
      </c>
      <c r="B3430" t="s">
        <v>1210</v>
      </c>
      <c r="C3430" t="s">
        <v>7115</v>
      </c>
      <c r="D3430" t="s">
        <v>18988</v>
      </c>
      <c r="E3430" t="s">
        <v>22178</v>
      </c>
      <c r="F3430" t="s">
        <v>32606</v>
      </c>
      <c r="G3430" t="s">
        <v>32614</v>
      </c>
      <c r="H3430" t="s">
        <v>14201</v>
      </c>
      <c r="I3430" t="s">
        <v>32724</v>
      </c>
      <c r="J3430" t="s">
        <v>33816</v>
      </c>
      <c r="K3430" t="s">
        <v>42624</v>
      </c>
      <c r="M3430" t="s">
        <v>44175</v>
      </c>
      <c r="N3430" t="s">
        <v>47304</v>
      </c>
      <c r="O3430" t="s">
        <v>47305</v>
      </c>
      <c r="P3430">
        <v>0</v>
      </c>
      <c r="Q3430">
        <v>0</v>
      </c>
      <c r="R3430" t="s">
        <v>47306</v>
      </c>
      <c r="S3430" t="s">
        <v>47414</v>
      </c>
      <c r="T3430" t="s">
        <v>48989</v>
      </c>
      <c r="U3430" t="s">
        <v>52510</v>
      </c>
      <c r="W3430" t="s">
        <v>44175</v>
      </c>
      <c r="X3430" t="s">
        <v>47308</v>
      </c>
    </row>
    <row r="3431" spans="1:24">
      <c r="A3431">
        <f>HYPERLINK("https://www.philgeps.gov.ph/GEPSNONPILOT/Tender/SplashBidNoticeAbstractUI.aspx?menuIndex=3&amp;refID=7195709&amp;Result=3","7195709")</f>
        <v>0</v>
      </c>
      <c r="B3431" t="s">
        <v>1306</v>
      </c>
      <c r="C3431" t="s">
        <v>7116</v>
      </c>
      <c r="D3431" t="s">
        <v>19011</v>
      </c>
      <c r="E3431" t="s">
        <v>22179</v>
      </c>
      <c r="F3431" t="s">
        <v>32606</v>
      </c>
      <c r="G3431" t="s">
        <v>32619</v>
      </c>
      <c r="H3431" t="s">
        <v>14201</v>
      </c>
      <c r="I3431" t="s">
        <v>32630</v>
      </c>
      <c r="J3431" t="s">
        <v>35117</v>
      </c>
      <c r="K3431" t="s">
        <v>42623</v>
      </c>
      <c r="M3431" t="s">
        <v>44278</v>
      </c>
      <c r="N3431" t="s">
        <v>47304</v>
      </c>
      <c r="O3431" t="s">
        <v>47305</v>
      </c>
      <c r="P3431">
        <v>0</v>
      </c>
      <c r="Q3431">
        <v>1</v>
      </c>
      <c r="R3431" t="s">
        <v>47306</v>
      </c>
      <c r="S3431" t="s">
        <v>47414</v>
      </c>
      <c r="T3431" t="s">
        <v>49103</v>
      </c>
      <c r="U3431" t="s">
        <v>52271</v>
      </c>
      <c r="W3431" t="s">
        <v>44278</v>
      </c>
      <c r="X3431" t="s">
        <v>47308</v>
      </c>
    </row>
    <row r="3432" spans="1:24">
      <c r="A3432">
        <f>HYPERLINK("https://www.philgeps.gov.ph/GEPSNONPILOT/Tender/SplashBidNoticeAbstractUI.aspx?menuIndex=3&amp;refID=7195732&amp;Result=3","7195732")</f>
        <v>0</v>
      </c>
      <c r="B3432" t="s">
        <v>692</v>
      </c>
      <c r="C3432" t="s">
        <v>7117</v>
      </c>
      <c r="D3432" t="s">
        <v>18992</v>
      </c>
      <c r="E3432" t="s">
        <v>20332</v>
      </c>
      <c r="F3432" t="s">
        <v>32606</v>
      </c>
      <c r="G3432" t="s">
        <v>32614</v>
      </c>
      <c r="H3432" t="s">
        <v>14201</v>
      </c>
      <c r="I3432" t="s">
        <v>32675</v>
      </c>
      <c r="J3432" t="s">
        <v>35118</v>
      </c>
      <c r="K3432" t="s">
        <v>42629</v>
      </c>
      <c r="M3432" t="s">
        <v>43613</v>
      </c>
      <c r="N3432" t="s">
        <v>47304</v>
      </c>
      <c r="O3432" t="s">
        <v>47305</v>
      </c>
      <c r="P3432">
        <v>0</v>
      </c>
      <c r="Q3432">
        <v>0</v>
      </c>
      <c r="R3432" t="s">
        <v>47306</v>
      </c>
      <c r="S3432" t="s">
        <v>47414</v>
      </c>
      <c r="T3432" t="s">
        <v>48980</v>
      </c>
      <c r="U3432" t="s">
        <v>52511</v>
      </c>
      <c r="W3432" t="s">
        <v>43613</v>
      </c>
      <c r="X3432" t="s">
        <v>47308</v>
      </c>
    </row>
    <row r="3433" spans="1:24">
      <c r="A3433">
        <f>HYPERLINK("https://www.philgeps.gov.ph/GEPSNONPILOT/Tender/SplashBidNoticeAbstractUI.aspx?menuIndex=3&amp;refID=7195745&amp;Result=3","7195745")</f>
        <v>0</v>
      </c>
      <c r="B3433" t="s">
        <v>1399</v>
      </c>
      <c r="C3433" t="s">
        <v>7118</v>
      </c>
      <c r="D3433" t="s">
        <v>19043</v>
      </c>
      <c r="E3433" t="s">
        <v>22180</v>
      </c>
      <c r="F3433" t="s">
        <v>32606</v>
      </c>
      <c r="G3433" t="s">
        <v>32613</v>
      </c>
      <c r="H3433" t="s">
        <v>14201</v>
      </c>
      <c r="I3433" t="s">
        <v>6931</v>
      </c>
      <c r="J3433" t="s">
        <v>35119</v>
      </c>
      <c r="K3433" t="s">
        <v>42624</v>
      </c>
      <c r="M3433" t="s">
        <v>44383</v>
      </c>
      <c r="N3433" t="s">
        <v>47304</v>
      </c>
      <c r="O3433" t="s">
        <v>47305</v>
      </c>
      <c r="P3433">
        <v>0</v>
      </c>
      <c r="Q3433">
        <v>1</v>
      </c>
      <c r="R3433" t="s">
        <v>47306</v>
      </c>
      <c r="S3433" t="s">
        <v>47414</v>
      </c>
      <c r="T3433" t="s">
        <v>49140</v>
      </c>
      <c r="U3433" t="s">
        <v>52512</v>
      </c>
      <c r="W3433" t="s">
        <v>44383</v>
      </c>
      <c r="X3433" t="s">
        <v>47308</v>
      </c>
    </row>
    <row r="3434" spans="1:24">
      <c r="A3434">
        <f>HYPERLINK("https://www.philgeps.gov.ph/GEPSNONPILOT/Tender/SplashBidNoticeAbstractUI.aspx?menuIndex=3&amp;refID=7195716&amp;Result=3","7195716")</f>
        <v>0</v>
      </c>
      <c r="B3434" t="s">
        <v>1378</v>
      </c>
      <c r="C3434" t="s">
        <v>7119</v>
      </c>
      <c r="D3434" t="s">
        <v>19033</v>
      </c>
      <c r="E3434" t="s">
        <v>20090</v>
      </c>
      <c r="F3434" t="s">
        <v>32606</v>
      </c>
      <c r="G3434" t="s">
        <v>32613</v>
      </c>
      <c r="H3434" t="s">
        <v>14201</v>
      </c>
      <c r="I3434" t="s">
        <v>32634</v>
      </c>
      <c r="J3434" t="s">
        <v>35120</v>
      </c>
      <c r="K3434" t="s">
        <v>42631</v>
      </c>
      <c r="M3434" t="s">
        <v>44358</v>
      </c>
      <c r="N3434" t="s">
        <v>47304</v>
      </c>
      <c r="O3434" t="s">
        <v>47305</v>
      </c>
      <c r="P3434">
        <v>0</v>
      </c>
      <c r="Q3434">
        <v>0</v>
      </c>
      <c r="R3434" t="s">
        <v>47306</v>
      </c>
      <c r="S3434" t="s">
        <v>47414</v>
      </c>
      <c r="T3434" t="s">
        <v>49084</v>
      </c>
      <c r="U3434" t="s">
        <v>52513</v>
      </c>
      <c r="W3434" t="s">
        <v>44358</v>
      </c>
      <c r="X3434" t="s">
        <v>47308</v>
      </c>
    </row>
    <row r="3435" spans="1:24">
      <c r="A3435">
        <f>HYPERLINK("https://www.philgeps.gov.ph/GEPSNONPILOT/Tender/SplashBidNoticeAbstractUI.aspx?menuIndex=3&amp;refID=7195717&amp;Result=3","7195717")</f>
        <v>0</v>
      </c>
      <c r="B3435" t="s">
        <v>89</v>
      </c>
      <c r="C3435" t="s">
        <v>7120</v>
      </c>
      <c r="D3435" t="s">
        <v>19018</v>
      </c>
      <c r="E3435" t="s">
        <v>22181</v>
      </c>
      <c r="F3435" t="s">
        <v>32606</v>
      </c>
      <c r="G3435" t="s">
        <v>32613</v>
      </c>
      <c r="H3435" t="s">
        <v>14201</v>
      </c>
      <c r="I3435" t="s">
        <v>4678</v>
      </c>
      <c r="J3435" t="s">
        <v>34591</v>
      </c>
      <c r="K3435" t="s">
        <v>42631</v>
      </c>
      <c r="M3435" t="s">
        <v>42987</v>
      </c>
      <c r="N3435" t="s">
        <v>47304</v>
      </c>
      <c r="O3435" t="s">
        <v>47305</v>
      </c>
      <c r="P3435">
        <v>0</v>
      </c>
      <c r="Q3435">
        <v>3</v>
      </c>
      <c r="R3435" t="s">
        <v>47306</v>
      </c>
      <c r="S3435" t="s">
        <v>47414</v>
      </c>
      <c r="T3435" t="s">
        <v>49008</v>
      </c>
      <c r="U3435" t="s">
        <v>52514</v>
      </c>
      <c r="W3435" t="s">
        <v>42987</v>
      </c>
      <c r="X3435" t="s">
        <v>47308</v>
      </c>
    </row>
    <row r="3436" spans="1:24">
      <c r="A3436">
        <f>HYPERLINK("https://www.philgeps.gov.ph/GEPSNONPILOT/Tender/SplashBidNoticeAbstractUI.aspx?menuIndex=3&amp;refID=7195751&amp;Result=3","7195751")</f>
        <v>0</v>
      </c>
      <c r="B3436" t="s">
        <v>487</v>
      </c>
      <c r="C3436" t="s">
        <v>7121</v>
      </c>
      <c r="D3436" t="s">
        <v>19027</v>
      </c>
      <c r="E3436" t="s">
        <v>22182</v>
      </c>
      <c r="F3436" t="s">
        <v>32606</v>
      </c>
      <c r="G3436" t="s">
        <v>32614</v>
      </c>
      <c r="H3436" t="s">
        <v>14201</v>
      </c>
      <c r="I3436" t="s">
        <v>4678</v>
      </c>
      <c r="J3436" t="s">
        <v>35121</v>
      </c>
      <c r="K3436" t="s">
        <v>42623</v>
      </c>
      <c r="M3436" t="s">
        <v>43399</v>
      </c>
      <c r="N3436" t="s">
        <v>47304</v>
      </c>
      <c r="O3436" t="s">
        <v>47305</v>
      </c>
      <c r="P3436">
        <v>0</v>
      </c>
      <c r="Q3436">
        <v>0</v>
      </c>
      <c r="R3436" t="s">
        <v>47306</v>
      </c>
      <c r="S3436" t="s">
        <v>47414</v>
      </c>
      <c r="T3436" t="s">
        <v>48987</v>
      </c>
      <c r="U3436" t="s">
        <v>52515</v>
      </c>
      <c r="W3436" t="s">
        <v>43399</v>
      </c>
      <c r="X3436" t="s">
        <v>47308</v>
      </c>
    </row>
    <row r="3437" spans="1:24">
      <c r="A3437">
        <f>HYPERLINK("https://www.philgeps.gov.ph/GEPSNONPILOT/Tender/SplashBidNoticeAbstractUI.aspx?menuIndex=3&amp;refID=7195727&amp;Result=3","7195727")</f>
        <v>0</v>
      </c>
      <c r="B3437" t="s">
        <v>1400</v>
      </c>
      <c r="C3437" t="s">
        <v>7122</v>
      </c>
      <c r="D3437" t="s">
        <v>19019</v>
      </c>
      <c r="E3437" t="s">
        <v>19521</v>
      </c>
      <c r="F3437" t="s">
        <v>32606</v>
      </c>
      <c r="G3437" t="s">
        <v>32619</v>
      </c>
      <c r="H3437" t="s">
        <v>14201</v>
      </c>
      <c r="I3437" t="s">
        <v>6298</v>
      </c>
      <c r="J3437" t="s">
        <v>35122</v>
      </c>
      <c r="K3437" t="s">
        <v>42625</v>
      </c>
      <c r="M3437" t="s">
        <v>44384</v>
      </c>
      <c r="N3437" t="s">
        <v>47304</v>
      </c>
      <c r="O3437" t="s">
        <v>47305</v>
      </c>
      <c r="P3437">
        <v>0</v>
      </c>
      <c r="Q3437">
        <v>0</v>
      </c>
      <c r="R3437" t="s">
        <v>47306</v>
      </c>
      <c r="S3437" t="s">
        <v>47414</v>
      </c>
      <c r="T3437" t="s">
        <v>49053</v>
      </c>
      <c r="U3437" t="s">
        <v>52516</v>
      </c>
      <c r="V3437" t="s">
        <v>62704</v>
      </c>
      <c r="W3437" t="s">
        <v>44384</v>
      </c>
      <c r="X3437" t="s">
        <v>47308</v>
      </c>
    </row>
    <row r="3438" spans="1:24">
      <c r="A3438">
        <f>HYPERLINK("https://www.philgeps.gov.ph/GEPSNONPILOT/Tender/SplashBidNoticeAbstractUI.aspx?menuIndex=3&amp;refID=7195747&amp;Result=3","7195747")</f>
        <v>0</v>
      </c>
      <c r="B3438" t="s">
        <v>81</v>
      </c>
      <c r="C3438" t="s">
        <v>7123</v>
      </c>
      <c r="D3438" t="s">
        <v>18995</v>
      </c>
      <c r="E3438" t="s">
        <v>22183</v>
      </c>
      <c r="F3438" t="s">
        <v>32606</v>
      </c>
      <c r="G3438" t="s">
        <v>32614</v>
      </c>
      <c r="H3438" t="s">
        <v>14201</v>
      </c>
      <c r="I3438" t="s">
        <v>6931</v>
      </c>
      <c r="J3438" t="s">
        <v>35123</v>
      </c>
      <c r="K3438" t="s">
        <v>42624</v>
      </c>
      <c r="M3438" t="s">
        <v>42978</v>
      </c>
      <c r="N3438" t="s">
        <v>47304</v>
      </c>
      <c r="O3438" t="s">
        <v>47305</v>
      </c>
      <c r="P3438">
        <v>0</v>
      </c>
      <c r="Q3438">
        <v>0</v>
      </c>
      <c r="R3438" t="s">
        <v>47306</v>
      </c>
      <c r="S3438" t="s">
        <v>47414</v>
      </c>
      <c r="T3438" t="s">
        <v>49014</v>
      </c>
      <c r="U3438" t="s">
        <v>52517</v>
      </c>
      <c r="W3438" t="s">
        <v>42978</v>
      </c>
      <c r="X3438" t="s">
        <v>47308</v>
      </c>
    </row>
    <row r="3439" spans="1:24">
      <c r="A3439">
        <f>HYPERLINK("https://www.philgeps.gov.ph/GEPSNONPILOT/Tender/SplashBidNoticeAbstractUI.aspx?menuIndex=3&amp;refID=7195746&amp;Result=3","7195746")</f>
        <v>0</v>
      </c>
      <c r="B3439" t="s">
        <v>233</v>
      </c>
      <c r="C3439" t="s">
        <v>7124</v>
      </c>
      <c r="D3439" t="s">
        <v>18997</v>
      </c>
      <c r="E3439" t="s">
        <v>22184</v>
      </c>
      <c r="F3439" t="s">
        <v>32606</v>
      </c>
      <c r="G3439" t="s">
        <v>32613</v>
      </c>
      <c r="H3439" t="s">
        <v>14201</v>
      </c>
      <c r="I3439" t="s">
        <v>6007</v>
      </c>
      <c r="J3439" t="s">
        <v>35124</v>
      </c>
      <c r="K3439" t="s">
        <v>42625</v>
      </c>
      <c r="M3439" t="s">
        <v>44359</v>
      </c>
      <c r="N3439" t="s">
        <v>47304</v>
      </c>
      <c r="O3439" t="s">
        <v>47305</v>
      </c>
      <c r="P3439">
        <v>0</v>
      </c>
      <c r="Q3439">
        <v>0</v>
      </c>
      <c r="R3439" t="s">
        <v>47306</v>
      </c>
      <c r="S3439" t="s">
        <v>47414</v>
      </c>
      <c r="T3439" t="s">
        <v>49023</v>
      </c>
      <c r="U3439" t="s">
        <v>52443</v>
      </c>
      <c r="V3439" t="s">
        <v>63002</v>
      </c>
      <c r="W3439" t="s">
        <v>44359</v>
      </c>
      <c r="X3439" t="s">
        <v>47308</v>
      </c>
    </row>
    <row r="3440" spans="1:24">
      <c r="A3440">
        <f>HYPERLINK("https://www.philgeps.gov.ph/GEPSNONPILOT/Tender/SplashBidNoticeAbstractUI.aspx?menuIndex=3&amp;refID=7195744&amp;Result=3","7195744")</f>
        <v>0</v>
      </c>
      <c r="B3440" t="s">
        <v>76</v>
      </c>
      <c r="C3440" t="s">
        <v>7125</v>
      </c>
      <c r="D3440" t="s">
        <v>19010</v>
      </c>
      <c r="E3440" t="s">
        <v>22185</v>
      </c>
      <c r="F3440" t="s">
        <v>32606</v>
      </c>
      <c r="G3440" t="s">
        <v>32613</v>
      </c>
      <c r="H3440" t="s">
        <v>14201</v>
      </c>
      <c r="I3440" t="s">
        <v>9008</v>
      </c>
      <c r="J3440" t="s">
        <v>35125</v>
      </c>
      <c r="K3440" t="s">
        <v>42624</v>
      </c>
      <c r="M3440" t="s">
        <v>42973</v>
      </c>
      <c r="N3440" t="s">
        <v>47304</v>
      </c>
      <c r="O3440" t="s">
        <v>47305</v>
      </c>
      <c r="P3440">
        <v>0</v>
      </c>
      <c r="Q3440">
        <v>0</v>
      </c>
      <c r="R3440" t="s">
        <v>47306</v>
      </c>
      <c r="S3440" t="s">
        <v>47414</v>
      </c>
      <c r="T3440" t="s">
        <v>49011</v>
      </c>
      <c r="U3440" t="s">
        <v>52518</v>
      </c>
      <c r="W3440" t="s">
        <v>64421</v>
      </c>
      <c r="X3440" t="s">
        <v>47308</v>
      </c>
    </row>
    <row r="3441" spans="1:24">
      <c r="A3441">
        <f>HYPERLINK("https://www.philgeps.gov.ph/GEPSNONPILOT/Tender/SplashBidNoticeAbstractUI.aspx?menuIndex=3&amp;refID=7195711&amp;Result=3","7195711")</f>
        <v>0</v>
      </c>
      <c r="B3441" t="s">
        <v>1349</v>
      </c>
      <c r="C3441" t="s">
        <v>7126</v>
      </c>
      <c r="E3441" t="s">
        <v>22186</v>
      </c>
      <c r="F3441" t="s">
        <v>32606</v>
      </c>
      <c r="G3441" t="s">
        <v>32617</v>
      </c>
      <c r="H3441" t="s">
        <v>14201</v>
      </c>
      <c r="I3441" t="s">
        <v>6298</v>
      </c>
      <c r="J3441" t="s">
        <v>33062</v>
      </c>
      <c r="K3441" t="s">
        <v>42636</v>
      </c>
      <c r="M3441" t="s">
        <v>44323</v>
      </c>
      <c r="N3441" t="s">
        <v>47304</v>
      </c>
      <c r="O3441" t="s">
        <v>47305</v>
      </c>
      <c r="P3441">
        <v>0</v>
      </c>
      <c r="Q3441">
        <v>0</v>
      </c>
      <c r="R3441" t="s">
        <v>47306</v>
      </c>
      <c r="S3441" t="s">
        <v>47414</v>
      </c>
      <c r="T3441" t="s">
        <v>49140</v>
      </c>
      <c r="U3441" t="s">
        <v>52519</v>
      </c>
      <c r="W3441" t="s">
        <v>44323</v>
      </c>
      <c r="X3441" t="s">
        <v>47308</v>
      </c>
    </row>
    <row r="3442" spans="1:24">
      <c r="A3442">
        <f>HYPERLINK("https://www.philgeps.gov.ph/GEPSNONPILOT/Tender/SplashBidNoticeAbstractUI.aspx?menuIndex=3&amp;refID=7195742&amp;Result=3","7195742")</f>
        <v>0</v>
      </c>
      <c r="B3442" t="s">
        <v>360</v>
      </c>
      <c r="C3442" t="s">
        <v>7127</v>
      </c>
      <c r="D3442" t="s">
        <v>19040</v>
      </c>
      <c r="E3442" t="s">
        <v>22187</v>
      </c>
      <c r="F3442" t="s">
        <v>32606</v>
      </c>
      <c r="G3442" t="s">
        <v>32619</v>
      </c>
      <c r="H3442" t="s">
        <v>14201</v>
      </c>
      <c r="I3442" t="s">
        <v>4120</v>
      </c>
      <c r="J3442" t="s">
        <v>35126</v>
      </c>
      <c r="K3442" t="s">
        <v>42630</v>
      </c>
      <c r="M3442" t="s">
        <v>43262</v>
      </c>
      <c r="N3442" t="s">
        <v>47304</v>
      </c>
      <c r="O3442" t="s">
        <v>47305</v>
      </c>
      <c r="P3442">
        <v>0</v>
      </c>
      <c r="Q3442">
        <v>0</v>
      </c>
      <c r="R3442" t="s">
        <v>47306</v>
      </c>
      <c r="S3442" t="s">
        <v>47414</v>
      </c>
      <c r="T3442" t="s">
        <v>49050</v>
      </c>
      <c r="U3442" t="s">
        <v>50184</v>
      </c>
      <c r="W3442" t="s">
        <v>43262</v>
      </c>
      <c r="X3442" t="s">
        <v>47308</v>
      </c>
    </row>
    <row r="3443" spans="1:24">
      <c r="A3443">
        <f>HYPERLINK("https://www.philgeps.gov.ph/GEPSNONPILOT/Tender/SplashBidNoticeAbstractUI.aspx?menuIndex=3&amp;refID=7195741&amp;Result=3","7195741")</f>
        <v>0</v>
      </c>
      <c r="B3443" t="s">
        <v>590</v>
      </c>
      <c r="C3443" t="s">
        <v>7128</v>
      </c>
      <c r="D3443" t="s">
        <v>19007</v>
      </c>
      <c r="E3443" t="s">
        <v>22188</v>
      </c>
      <c r="F3443" t="s">
        <v>32606</v>
      </c>
      <c r="G3443" t="s">
        <v>32613</v>
      </c>
      <c r="H3443" t="s">
        <v>14201</v>
      </c>
      <c r="I3443" t="s">
        <v>32661</v>
      </c>
      <c r="J3443" t="s">
        <v>35127</v>
      </c>
      <c r="K3443" t="s">
        <v>42631</v>
      </c>
      <c r="M3443" t="s">
        <v>44385</v>
      </c>
      <c r="N3443" t="s">
        <v>47304</v>
      </c>
      <c r="O3443" t="s">
        <v>47305</v>
      </c>
      <c r="P3443">
        <v>0</v>
      </c>
      <c r="Q3443">
        <v>1</v>
      </c>
      <c r="R3443" t="s">
        <v>47306</v>
      </c>
      <c r="S3443" t="s">
        <v>47414</v>
      </c>
      <c r="T3443" t="s">
        <v>49074</v>
      </c>
      <c r="U3443" t="s">
        <v>52520</v>
      </c>
      <c r="W3443" t="s">
        <v>44385</v>
      </c>
      <c r="X3443" t="s">
        <v>47308</v>
      </c>
    </row>
    <row r="3444" spans="1:24">
      <c r="A3444">
        <f>HYPERLINK("https://www.philgeps.gov.ph/GEPSNONPILOT/Tender/SplashBidNoticeAbstractUI.aspx?menuIndex=3&amp;refID=7195749&amp;Result=3","7195749")</f>
        <v>0</v>
      </c>
      <c r="B3444" t="s">
        <v>1401</v>
      </c>
      <c r="C3444" t="s">
        <v>7129</v>
      </c>
      <c r="D3444" t="s">
        <v>19003</v>
      </c>
      <c r="E3444" t="s">
        <v>22189</v>
      </c>
      <c r="F3444" t="s">
        <v>32606</v>
      </c>
      <c r="G3444" t="s">
        <v>32619</v>
      </c>
      <c r="H3444" t="s">
        <v>14201</v>
      </c>
      <c r="I3444" t="s">
        <v>4120</v>
      </c>
      <c r="J3444" t="s">
        <v>33800</v>
      </c>
      <c r="K3444" t="s">
        <v>42625</v>
      </c>
      <c r="M3444" t="s">
        <v>44386</v>
      </c>
      <c r="N3444" t="s">
        <v>47304</v>
      </c>
      <c r="O3444" t="s">
        <v>47305</v>
      </c>
      <c r="P3444">
        <v>0</v>
      </c>
      <c r="Q3444">
        <v>0</v>
      </c>
      <c r="R3444" t="s">
        <v>47306</v>
      </c>
      <c r="S3444" t="s">
        <v>47414</v>
      </c>
      <c r="T3444" t="s">
        <v>49072</v>
      </c>
      <c r="U3444" t="s">
        <v>52521</v>
      </c>
      <c r="V3444" t="s">
        <v>63005</v>
      </c>
      <c r="W3444" t="s">
        <v>44386</v>
      </c>
      <c r="X3444" t="s">
        <v>47308</v>
      </c>
    </row>
    <row r="3445" spans="1:24">
      <c r="A3445">
        <f>HYPERLINK("https://www.philgeps.gov.ph/GEPSNONPILOT/Tender/SplashBidNoticeAbstractUI.aspx?menuIndex=3&amp;refID=7195739&amp;Result=3","7195739")</f>
        <v>0</v>
      </c>
      <c r="B3445" t="s">
        <v>1402</v>
      </c>
      <c r="C3445" t="s">
        <v>7130</v>
      </c>
      <c r="D3445" t="s">
        <v>18992</v>
      </c>
      <c r="E3445" t="s">
        <v>22190</v>
      </c>
      <c r="F3445" t="s">
        <v>32606</v>
      </c>
      <c r="G3445" t="s">
        <v>32613</v>
      </c>
      <c r="H3445" t="s">
        <v>14201</v>
      </c>
      <c r="I3445" t="s">
        <v>6931</v>
      </c>
      <c r="J3445" t="s">
        <v>35128</v>
      </c>
      <c r="K3445" t="s">
        <v>42707</v>
      </c>
      <c r="M3445" t="s">
        <v>44387</v>
      </c>
      <c r="N3445" t="s">
        <v>47304</v>
      </c>
      <c r="O3445" t="s">
        <v>47305</v>
      </c>
      <c r="P3445">
        <v>0</v>
      </c>
      <c r="Q3445">
        <v>0</v>
      </c>
      <c r="R3445" t="s">
        <v>47306</v>
      </c>
      <c r="S3445" t="s">
        <v>47414</v>
      </c>
      <c r="T3445" t="s">
        <v>48994</v>
      </c>
      <c r="U3445" t="s">
        <v>52522</v>
      </c>
      <c r="W3445" t="s">
        <v>44387</v>
      </c>
      <c r="X3445" t="s">
        <v>47308</v>
      </c>
    </row>
    <row r="3446" spans="1:24">
      <c r="A3446">
        <f>HYPERLINK("https://www.philgeps.gov.ph/GEPSNONPILOT/Tender/SplashBidNoticeAbstractUI.aspx?menuIndex=3&amp;refID=7195737&amp;Result=3","7195737")</f>
        <v>0</v>
      </c>
      <c r="B3446" t="s">
        <v>30</v>
      </c>
      <c r="C3446" t="s">
        <v>7131</v>
      </c>
      <c r="D3446" t="s">
        <v>18989</v>
      </c>
      <c r="E3446" t="s">
        <v>22191</v>
      </c>
      <c r="F3446" t="s">
        <v>32606</v>
      </c>
      <c r="G3446" t="s">
        <v>32613</v>
      </c>
      <c r="H3446" t="s">
        <v>14201</v>
      </c>
      <c r="I3446" t="s">
        <v>6993</v>
      </c>
      <c r="J3446" t="s">
        <v>34207</v>
      </c>
      <c r="K3446" t="s">
        <v>42631</v>
      </c>
      <c r="M3446" t="s">
        <v>42927</v>
      </c>
      <c r="N3446" t="s">
        <v>47304</v>
      </c>
      <c r="O3446" t="s">
        <v>47305</v>
      </c>
      <c r="P3446">
        <v>0</v>
      </c>
      <c r="Q3446">
        <v>0</v>
      </c>
      <c r="R3446" t="s">
        <v>47306</v>
      </c>
      <c r="S3446" t="s">
        <v>47414</v>
      </c>
      <c r="T3446" t="s">
        <v>48977</v>
      </c>
      <c r="U3446" t="s">
        <v>52523</v>
      </c>
      <c r="W3446" t="s">
        <v>42927</v>
      </c>
      <c r="X3446" t="s">
        <v>47308</v>
      </c>
    </row>
    <row r="3447" spans="1:24">
      <c r="A3447">
        <f>HYPERLINK("https://www.philgeps.gov.ph/GEPSNONPILOT/Tender/SplashBidNoticeAbstractUI.aspx?menuIndex=3&amp;refID=7195736&amp;Result=3","7195736")</f>
        <v>0</v>
      </c>
      <c r="B3447" t="s">
        <v>1403</v>
      </c>
      <c r="C3447" t="s">
        <v>7132</v>
      </c>
      <c r="D3447" t="s">
        <v>19038</v>
      </c>
      <c r="E3447" t="s">
        <v>22192</v>
      </c>
      <c r="F3447" t="s">
        <v>32606</v>
      </c>
      <c r="G3447" t="s">
        <v>32619</v>
      </c>
      <c r="H3447" t="s">
        <v>14201</v>
      </c>
      <c r="I3447" t="s">
        <v>32629</v>
      </c>
      <c r="J3447" t="s">
        <v>33189</v>
      </c>
      <c r="K3447" t="s">
        <v>42631</v>
      </c>
      <c r="M3447" t="s">
        <v>44388</v>
      </c>
      <c r="N3447" t="s">
        <v>47304</v>
      </c>
      <c r="O3447" t="s">
        <v>47305</v>
      </c>
      <c r="P3447">
        <v>0</v>
      </c>
      <c r="Q3447">
        <v>0</v>
      </c>
      <c r="R3447" t="s">
        <v>47306</v>
      </c>
      <c r="S3447" t="s">
        <v>47414</v>
      </c>
      <c r="T3447" t="s">
        <v>48986</v>
      </c>
      <c r="U3447" t="s">
        <v>52524</v>
      </c>
      <c r="W3447" t="s">
        <v>44388</v>
      </c>
      <c r="X3447" t="s">
        <v>47308</v>
      </c>
    </row>
    <row r="3448" spans="1:24">
      <c r="A3448">
        <f>HYPERLINK("https://www.philgeps.gov.ph/GEPSNONPILOT/Tender/SplashBidNoticeAbstractUI.aspx?menuIndex=3&amp;refID=7195735&amp;Result=3","7195735")</f>
        <v>0</v>
      </c>
      <c r="B3448" t="s">
        <v>234</v>
      </c>
      <c r="C3448" t="s">
        <v>4615</v>
      </c>
      <c r="D3448" t="s">
        <v>19052</v>
      </c>
      <c r="E3448" t="s">
        <v>22193</v>
      </c>
      <c r="F3448" t="s">
        <v>32606</v>
      </c>
      <c r="G3448" t="s">
        <v>32614</v>
      </c>
      <c r="H3448" t="s">
        <v>14201</v>
      </c>
      <c r="I3448" t="s">
        <v>6931</v>
      </c>
      <c r="J3448" t="s">
        <v>35129</v>
      </c>
      <c r="K3448" t="s">
        <v>42631</v>
      </c>
      <c r="M3448" t="s">
        <v>43135</v>
      </c>
      <c r="N3448" t="s">
        <v>47304</v>
      </c>
      <c r="O3448" t="s">
        <v>47305</v>
      </c>
      <c r="P3448">
        <v>0</v>
      </c>
      <c r="Q3448">
        <v>0</v>
      </c>
      <c r="R3448" t="s">
        <v>47306</v>
      </c>
      <c r="S3448" t="s">
        <v>47414</v>
      </c>
      <c r="T3448" t="s">
        <v>49050</v>
      </c>
      <c r="U3448" t="s">
        <v>50216</v>
      </c>
      <c r="V3448" t="s">
        <v>62641</v>
      </c>
      <c r="W3448" t="s">
        <v>43135</v>
      </c>
      <c r="X3448" t="s">
        <v>47308</v>
      </c>
    </row>
    <row r="3449" spans="1:24">
      <c r="A3449">
        <f>HYPERLINK("https://www.philgeps.gov.ph/GEPSNONPILOT/Tender/SplashBidNoticeAbstractUI.aspx?menuIndex=3&amp;refID=7195734&amp;Result=3","7195734")</f>
        <v>0</v>
      </c>
      <c r="B3449" t="s">
        <v>1346</v>
      </c>
      <c r="C3449" t="s">
        <v>7133</v>
      </c>
      <c r="E3449" t="s">
        <v>22194</v>
      </c>
      <c r="F3449" t="s">
        <v>32606</v>
      </c>
      <c r="G3449" t="s">
        <v>32619</v>
      </c>
      <c r="H3449" t="s">
        <v>14201</v>
      </c>
      <c r="I3449" t="s">
        <v>6007</v>
      </c>
      <c r="J3449" t="s">
        <v>35130</v>
      </c>
      <c r="K3449" t="s">
        <v>42624</v>
      </c>
      <c r="M3449" t="s">
        <v>44320</v>
      </c>
      <c r="N3449" t="s">
        <v>47304</v>
      </c>
      <c r="O3449" t="s">
        <v>47305</v>
      </c>
      <c r="P3449">
        <v>0</v>
      </c>
      <c r="Q3449">
        <v>0</v>
      </c>
      <c r="R3449" t="s">
        <v>47306</v>
      </c>
      <c r="S3449" t="s">
        <v>47414</v>
      </c>
      <c r="T3449" t="s">
        <v>48998</v>
      </c>
      <c r="U3449" t="s">
        <v>52525</v>
      </c>
      <c r="W3449" t="s">
        <v>44320</v>
      </c>
      <c r="X3449" t="s">
        <v>47308</v>
      </c>
    </row>
    <row r="3450" spans="1:24">
      <c r="A3450">
        <f>HYPERLINK("https://www.philgeps.gov.ph/GEPSNONPILOT/Tender/SplashBidNoticeAbstractUI.aspx?menuIndex=3&amp;refID=7195733&amp;Result=3","7195733")</f>
        <v>0</v>
      </c>
      <c r="B3450" t="s">
        <v>251</v>
      </c>
      <c r="C3450" t="s">
        <v>7134</v>
      </c>
      <c r="D3450" t="s">
        <v>19023</v>
      </c>
      <c r="E3450" t="s">
        <v>22195</v>
      </c>
      <c r="F3450" t="s">
        <v>32606</v>
      </c>
      <c r="G3450" t="s">
        <v>32614</v>
      </c>
      <c r="H3450" t="s">
        <v>14201</v>
      </c>
      <c r="I3450" t="s">
        <v>32629</v>
      </c>
      <c r="J3450" t="s">
        <v>35131</v>
      </c>
      <c r="K3450" t="s">
        <v>42632</v>
      </c>
      <c r="M3450" t="s">
        <v>43152</v>
      </c>
      <c r="N3450" t="s">
        <v>47304</v>
      </c>
      <c r="O3450" t="s">
        <v>47305</v>
      </c>
      <c r="P3450">
        <v>0</v>
      </c>
      <c r="Q3450">
        <v>0</v>
      </c>
      <c r="R3450" t="s">
        <v>47306</v>
      </c>
      <c r="S3450" t="s">
        <v>47414</v>
      </c>
      <c r="T3450" t="s">
        <v>49061</v>
      </c>
      <c r="U3450" t="s">
        <v>52526</v>
      </c>
      <c r="W3450" t="s">
        <v>43152</v>
      </c>
      <c r="X3450" t="s">
        <v>47308</v>
      </c>
    </row>
    <row r="3451" spans="1:24">
      <c r="A3451">
        <f>HYPERLINK("https://www.philgeps.gov.ph/GEPSNONPILOT/Tender/SplashBidNoticeAbstractUI.aspx?menuIndex=3&amp;refID=7195754&amp;Result=3","7195754")</f>
        <v>0</v>
      </c>
      <c r="B3451" t="s">
        <v>1395</v>
      </c>
      <c r="C3451" t="s">
        <v>7135</v>
      </c>
      <c r="D3451" t="s">
        <v>19037</v>
      </c>
      <c r="E3451" t="s">
        <v>22196</v>
      </c>
      <c r="F3451" t="s">
        <v>32606</v>
      </c>
      <c r="G3451" t="s">
        <v>32614</v>
      </c>
      <c r="H3451" t="s">
        <v>14201</v>
      </c>
      <c r="I3451" t="s">
        <v>6931</v>
      </c>
      <c r="J3451" t="s">
        <v>35132</v>
      </c>
      <c r="K3451" t="s">
        <v>42623</v>
      </c>
      <c r="M3451" t="s">
        <v>44378</v>
      </c>
      <c r="N3451" t="s">
        <v>47304</v>
      </c>
      <c r="O3451" t="s">
        <v>47305</v>
      </c>
      <c r="P3451">
        <v>0</v>
      </c>
      <c r="Q3451">
        <v>0</v>
      </c>
      <c r="R3451" t="s">
        <v>47306</v>
      </c>
      <c r="S3451" t="s">
        <v>47414</v>
      </c>
      <c r="T3451" t="s">
        <v>48979</v>
      </c>
      <c r="U3451" t="s">
        <v>52488</v>
      </c>
      <c r="W3451" t="s">
        <v>44378</v>
      </c>
      <c r="X3451" t="s">
        <v>47308</v>
      </c>
    </row>
    <row r="3452" spans="1:24">
      <c r="A3452">
        <f>HYPERLINK("https://www.philgeps.gov.ph/GEPSNONPILOT/Tender/SplashBidNoticeAbstractUI.aspx?menuIndex=3&amp;refID=7195743&amp;Result=3","7195743")</f>
        <v>0</v>
      </c>
      <c r="B3452" t="s">
        <v>1306</v>
      </c>
      <c r="C3452" t="s">
        <v>7136</v>
      </c>
      <c r="D3452" t="s">
        <v>19011</v>
      </c>
      <c r="E3452" t="s">
        <v>22197</v>
      </c>
      <c r="F3452" t="s">
        <v>32606</v>
      </c>
      <c r="G3452" t="s">
        <v>32619</v>
      </c>
      <c r="H3452" t="s">
        <v>14201</v>
      </c>
      <c r="I3452" t="s">
        <v>7577</v>
      </c>
      <c r="J3452" t="s">
        <v>32825</v>
      </c>
      <c r="K3452" t="s">
        <v>42631</v>
      </c>
      <c r="M3452" t="s">
        <v>44278</v>
      </c>
      <c r="N3452" t="s">
        <v>47304</v>
      </c>
      <c r="O3452" t="s">
        <v>47305</v>
      </c>
      <c r="P3452">
        <v>0</v>
      </c>
      <c r="Q3452">
        <v>4</v>
      </c>
      <c r="R3452" t="s">
        <v>47306</v>
      </c>
      <c r="S3452" t="s">
        <v>47414</v>
      </c>
      <c r="T3452" t="s">
        <v>49103</v>
      </c>
      <c r="U3452" t="s">
        <v>52271</v>
      </c>
      <c r="W3452" t="s">
        <v>44278</v>
      </c>
      <c r="X3452" t="s">
        <v>47308</v>
      </c>
    </row>
    <row r="3453" spans="1:24">
      <c r="A3453">
        <f>HYPERLINK("https://www.philgeps.gov.ph/GEPSNONPILOT/Tender/SplashBidNoticeAbstractUI.aspx?menuIndex=3&amp;refID=7195662&amp;Result=3","7195662")</f>
        <v>0</v>
      </c>
      <c r="B3453" t="s">
        <v>360</v>
      </c>
      <c r="C3453" t="s">
        <v>7137</v>
      </c>
      <c r="D3453" t="s">
        <v>19040</v>
      </c>
      <c r="E3453" t="s">
        <v>22198</v>
      </c>
      <c r="F3453" t="s">
        <v>32606</v>
      </c>
      <c r="G3453" t="s">
        <v>32619</v>
      </c>
      <c r="H3453" t="s">
        <v>14201</v>
      </c>
      <c r="I3453" t="s">
        <v>4120</v>
      </c>
      <c r="J3453" t="s">
        <v>35133</v>
      </c>
      <c r="K3453" t="s">
        <v>42630</v>
      </c>
      <c r="M3453" t="s">
        <v>43262</v>
      </c>
      <c r="N3453" t="s">
        <v>47304</v>
      </c>
      <c r="O3453" t="s">
        <v>47305</v>
      </c>
      <c r="P3453">
        <v>0</v>
      </c>
      <c r="Q3453">
        <v>1</v>
      </c>
      <c r="R3453" t="s">
        <v>47306</v>
      </c>
      <c r="S3453" t="s">
        <v>47414</v>
      </c>
      <c r="T3453" t="s">
        <v>49050</v>
      </c>
      <c r="U3453" t="s">
        <v>50184</v>
      </c>
      <c r="W3453" t="s">
        <v>43262</v>
      </c>
      <c r="X3453" t="s">
        <v>47308</v>
      </c>
    </row>
    <row r="3454" spans="1:24">
      <c r="A3454">
        <f>HYPERLINK("https://www.philgeps.gov.ph/GEPSNONPILOT/Tender/SplashBidNoticeAbstractUI.aspx?menuIndex=3&amp;refID=7195775&amp;Result=3","7195775")</f>
        <v>0</v>
      </c>
      <c r="B3454" t="s">
        <v>360</v>
      </c>
      <c r="C3454" t="s">
        <v>7138</v>
      </c>
      <c r="D3454" t="s">
        <v>19040</v>
      </c>
      <c r="E3454" t="s">
        <v>22199</v>
      </c>
      <c r="F3454" t="s">
        <v>32606</v>
      </c>
      <c r="G3454" t="s">
        <v>32619</v>
      </c>
      <c r="H3454" t="s">
        <v>14201</v>
      </c>
      <c r="I3454" t="s">
        <v>6014</v>
      </c>
      <c r="J3454" t="s">
        <v>35134</v>
      </c>
      <c r="K3454" t="s">
        <v>42630</v>
      </c>
      <c r="M3454" t="s">
        <v>43262</v>
      </c>
      <c r="N3454" t="s">
        <v>47304</v>
      </c>
      <c r="O3454" t="s">
        <v>47305</v>
      </c>
      <c r="P3454">
        <v>0</v>
      </c>
      <c r="Q3454">
        <v>3</v>
      </c>
      <c r="R3454" t="s">
        <v>47306</v>
      </c>
      <c r="S3454" t="s">
        <v>47414</v>
      </c>
      <c r="T3454" t="s">
        <v>49050</v>
      </c>
      <c r="U3454" t="s">
        <v>50184</v>
      </c>
      <c r="W3454" t="s">
        <v>43262</v>
      </c>
      <c r="X3454" t="s">
        <v>47308</v>
      </c>
    </row>
    <row r="3455" spans="1:24">
      <c r="A3455">
        <f>HYPERLINK("https://www.philgeps.gov.ph/GEPSNONPILOT/Tender/SplashBidNoticeAbstractUI.aspx?menuIndex=3&amp;refID=7195773&amp;Result=3","7195773")</f>
        <v>0</v>
      </c>
      <c r="B3455" t="s">
        <v>1404</v>
      </c>
      <c r="C3455" t="s">
        <v>7139</v>
      </c>
      <c r="D3455" t="s">
        <v>19054</v>
      </c>
      <c r="E3455" t="s">
        <v>22200</v>
      </c>
      <c r="F3455" t="s">
        <v>32606</v>
      </c>
      <c r="G3455" t="s">
        <v>32614</v>
      </c>
      <c r="H3455" t="s">
        <v>14201</v>
      </c>
      <c r="I3455" t="s">
        <v>4120</v>
      </c>
      <c r="J3455" t="s">
        <v>35135</v>
      </c>
      <c r="K3455" t="s">
        <v>42629</v>
      </c>
      <c r="M3455" t="s">
        <v>44389</v>
      </c>
      <c r="N3455" t="s">
        <v>47304</v>
      </c>
      <c r="O3455" t="s">
        <v>47305</v>
      </c>
      <c r="P3455">
        <v>0</v>
      </c>
      <c r="Q3455">
        <v>0</v>
      </c>
      <c r="R3455" t="s">
        <v>47306</v>
      </c>
      <c r="S3455" t="s">
        <v>47414</v>
      </c>
      <c r="T3455" t="s">
        <v>48979</v>
      </c>
      <c r="U3455" t="s">
        <v>52527</v>
      </c>
      <c r="V3455" t="s">
        <v>63006</v>
      </c>
      <c r="W3455" t="s">
        <v>44389</v>
      </c>
      <c r="X3455" t="s">
        <v>47308</v>
      </c>
    </row>
    <row r="3456" spans="1:24">
      <c r="A3456">
        <f>HYPERLINK("https://www.philgeps.gov.ph/GEPSNONPILOT/Tender/SplashBidNoticeAbstractUI.aspx?menuIndex=3&amp;refID=7195772&amp;Result=3","7195772")</f>
        <v>0</v>
      </c>
      <c r="B3456" t="s">
        <v>1405</v>
      </c>
      <c r="C3456" t="s">
        <v>7140</v>
      </c>
      <c r="D3456" t="s">
        <v>19012</v>
      </c>
      <c r="E3456" t="s">
        <v>22201</v>
      </c>
      <c r="F3456" t="s">
        <v>32606</v>
      </c>
      <c r="G3456" t="s">
        <v>32614</v>
      </c>
      <c r="H3456" t="s">
        <v>14201</v>
      </c>
      <c r="I3456" t="s">
        <v>32700</v>
      </c>
      <c r="J3456" t="s">
        <v>32949</v>
      </c>
      <c r="K3456" t="s">
        <v>42630</v>
      </c>
      <c r="M3456" t="s">
        <v>44390</v>
      </c>
      <c r="N3456" t="s">
        <v>47304</v>
      </c>
      <c r="O3456" t="s">
        <v>47305</v>
      </c>
      <c r="P3456">
        <v>0</v>
      </c>
      <c r="Q3456">
        <v>2</v>
      </c>
      <c r="R3456" t="s">
        <v>47306</v>
      </c>
      <c r="S3456" t="s">
        <v>47414</v>
      </c>
      <c r="T3456" t="s">
        <v>49016</v>
      </c>
      <c r="U3456" t="s">
        <v>52528</v>
      </c>
      <c r="W3456" t="s">
        <v>44390</v>
      </c>
      <c r="X3456" t="s">
        <v>47308</v>
      </c>
    </row>
    <row r="3457" spans="1:24">
      <c r="A3457">
        <f>HYPERLINK("https://www.philgeps.gov.ph/GEPSNONPILOT/Tender/SplashBidNoticeAbstractUI.aspx?menuIndex=3&amp;refID=7195728&amp;Result=3","7195728")</f>
        <v>0</v>
      </c>
      <c r="B3457" t="s">
        <v>232</v>
      </c>
      <c r="C3457" t="s">
        <v>7141</v>
      </c>
      <c r="D3457" t="s">
        <v>19017</v>
      </c>
      <c r="E3457" t="s">
        <v>22202</v>
      </c>
      <c r="F3457" t="s">
        <v>32606</v>
      </c>
      <c r="G3457" t="s">
        <v>32613</v>
      </c>
      <c r="H3457" t="s">
        <v>32623</v>
      </c>
      <c r="I3457" t="s">
        <v>17648</v>
      </c>
      <c r="J3457" t="s">
        <v>35136</v>
      </c>
      <c r="K3457" t="s">
        <v>42694</v>
      </c>
      <c r="M3457" t="s">
        <v>43133</v>
      </c>
      <c r="N3457" t="s">
        <v>47304</v>
      </c>
      <c r="O3457" t="s">
        <v>47305</v>
      </c>
      <c r="P3457">
        <v>0</v>
      </c>
      <c r="Q3457">
        <v>1</v>
      </c>
      <c r="R3457" t="s">
        <v>47306</v>
      </c>
      <c r="S3457" t="s">
        <v>47414</v>
      </c>
      <c r="T3457" t="s">
        <v>48995</v>
      </c>
      <c r="U3457" t="s">
        <v>52529</v>
      </c>
      <c r="W3457" t="s">
        <v>43133</v>
      </c>
      <c r="X3457" t="s">
        <v>47308</v>
      </c>
    </row>
    <row r="3458" spans="1:24">
      <c r="A3458">
        <f>HYPERLINK("https://www.philgeps.gov.ph/GEPSNONPILOT/Tender/SplashBidNoticeAbstractUI.aspx?menuIndex=3&amp;refID=7195771&amp;Result=3","7195771")</f>
        <v>0</v>
      </c>
      <c r="B3458" t="s">
        <v>692</v>
      </c>
      <c r="C3458" t="s">
        <v>7142</v>
      </c>
      <c r="D3458" t="s">
        <v>18992</v>
      </c>
      <c r="E3458" t="s">
        <v>20332</v>
      </c>
      <c r="F3458" t="s">
        <v>32606</v>
      </c>
      <c r="G3458" t="s">
        <v>32614</v>
      </c>
      <c r="H3458" t="s">
        <v>14201</v>
      </c>
      <c r="I3458" t="s">
        <v>7233</v>
      </c>
      <c r="J3458" t="s">
        <v>32981</v>
      </c>
      <c r="K3458" t="s">
        <v>42629</v>
      </c>
      <c r="M3458" t="s">
        <v>43613</v>
      </c>
      <c r="N3458" t="s">
        <v>47304</v>
      </c>
      <c r="O3458" t="s">
        <v>47305</v>
      </c>
      <c r="P3458">
        <v>0</v>
      </c>
      <c r="Q3458">
        <v>0</v>
      </c>
      <c r="R3458" t="s">
        <v>47306</v>
      </c>
      <c r="S3458" t="s">
        <v>47414</v>
      </c>
      <c r="T3458" t="s">
        <v>48980</v>
      </c>
      <c r="U3458" t="s">
        <v>52530</v>
      </c>
      <c r="W3458" t="s">
        <v>43613</v>
      </c>
      <c r="X3458" t="s">
        <v>47308</v>
      </c>
    </row>
    <row r="3459" spans="1:24">
      <c r="A3459">
        <f>HYPERLINK("https://www.philgeps.gov.ph/GEPSNONPILOT/Tender/SplashBidNoticeAbstractUI.aspx?menuIndex=3&amp;refID=7195770&amp;Result=3","7195770")</f>
        <v>0</v>
      </c>
      <c r="B3459" t="s">
        <v>243</v>
      </c>
      <c r="C3459" t="s">
        <v>7143</v>
      </c>
      <c r="D3459" t="s">
        <v>19027</v>
      </c>
      <c r="E3459" t="s">
        <v>22203</v>
      </c>
      <c r="F3459" t="s">
        <v>32606</v>
      </c>
      <c r="G3459" t="s">
        <v>32619</v>
      </c>
      <c r="H3459" t="s">
        <v>14201</v>
      </c>
      <c r="I3459" t="s">
        <v>6007</v>
      </c>
      <c r="J3459" t="s">
        <v>32869</v>
      </c>
      <c r="K3459" t="s">
        <v>42624</v>
      </c>
      <c r="M3459" t="s">
        <v>44391</v>
      </c>
      <c r="N3459" t="s">
        <v>47304</v>
      </c>
      <c r="O3459" t="s">
        <v>47305</v>
      </c>
      <c r="P3459">
        <v>0</v>
      </c>
      <c r="Q3459">
        <v>0</v>
      </c>
      <c r="R3459" t="s">
        <v>47306</v>
      </c>
      <c r="S3459" t="s">
        <v>47414</v>
      </c>
      <c r="T3459" t="s">
        <v>48996</v>
      </c>
      <c r="U3459" t="s">
        <v>52531</v>
      </c>
      <c r="W3459" t="s">
        <v>64471</v>
      </c>
      <c r="X3459" t="s">
        <v>47308</v>
      </c>
    </row>
    <row r="3460" spans="1:24">
      <c r="A3460">
        <f>HYPERLINK("https://www.philgeps.gov.ph/GEPSNONPILOT/Tender/SplashBidNoticeAbstractUI.aspx?menuIndex=3&amp;refID=7195768&amp;Result=3","7195768")</f>
        <v>0</v>
      </c>
      <c r="B3460" t="s">
        <v>234</v>
      </c>
      <c r="C3460" t="s">
        <v>7144</v>
      </c>
      <c r="D3460" t="s">
        <v>19052</v>
      </c>
      <c r="E3460" t="s">
        <v>22204</v>
      </c>
      <c r="F3460" t="s">
        <v>32606</v>
      </c>
      <c r="G3460" t="s">
        <v>32614</v>
      </c>
      <c r="H3460" t="s">
        <v>14201</v>
      </c>
      <c r="I3460" t="s">
        <v>32650</v>
      </c>
      <c r="J3460" t="s">
        <v>33009</v>
      </c>
      <c r="K3460" t="s">
        <v>42631</v>
      </c>
      <c r="M3460" t="s">
        <v>43135</v>
      </c>
      <c r="N3460" t="s">
        <v>47304</v>
      </c>
      <c r="O3460" t="s">
        <v>47305</v>
      </c>
      <c r="P3460">
        <v>0</v>
      </c>
      <c r="Q3460">
        <v>3</v>
      </c>
      <c r="R3460" t="s">
        <v>47306</v>
      </c>
      <c r="S3460" t="s">
        <v>47414</v>
      </c>
      <c r="T3460" t="s">
        <v>49050</v>
      </c>
      <c r="U3460" t="s">
        <v>52532</v>
      </c>
      <c r="V3460" t="s">
        <v>62641</v>
      </c>
      <c r="W3460" t="s">
        <v>43135</v>
      </c>
      <c r="X3460" t="s">
        <v>47308</v>
      </c>
    </row>
    <row r="3461" spans="1:24">
      <c r="A3461">
        <f>HYPERLINK("https://www.philgeps.gov.ph/GEPSNONPILOT/Tender/SplashBidNoticeAbstractUI.aspx?menuIndex=3&amp;refID=7195767&amp;Result=3","7195767")</f>
        <v>0</v>
      </c>
      <c r="B3461" t="s">
        <v>141</v>
      </c>
      <c r="C3461" t="s">
        <v>7145</v>
      </c>
      <c r="E3461" t="s">
        <v>22205</v>
      </c>
      <c r="F3461" t="s">
        <v>32606</v>
      </c>
      <c r="G3461" t="s">
        <v>32614</v>
      </c>
      <c r="H3461" t="s">
        <v>32623</v>
      </c>
      <c r="I3461" t="s">
        <v>17648</v>
      </c>
      <c r="J3461" t="s">
        <v>35137</v>
      </c>
      <c r="K3461" t="s">
        <v>42624</v>
      </c>
      <c r="M3461" t="s">
        <v>43042</v>
      </c>
      <c r="N3461" t="s">
        <v>47304</v>
      </c>
      <c r="O3461" t="s">
        <v>47305</v>
      </c>
      <c r="P3461">
        <v>0</v>
      </c>
      <c r="Q3461">
        <v>1</v>
      </c>
      <c r="R3461" t="s">
        <v>47306</v>
      </c>
      <c r="S3461" t="s">
        <v>47414</v>
      </c>
      <c r="T3461" t="s">
        <v>49004</v>
      </c>
      <c r="U3461" t="s">
        <v>52533</v>
      </c>
      <c r="W3461" t="s">
        <v>43042</v>
      </c>
      <c r="X3461" t="s">
        <v>47308</v>
      </c>
    </row>
    <row r="3462" spans="1:24">
      <c r="A3462">
        <f>HYPERLINK("https://www.philgeps.gov.ph/GEPSNONPILOT/Tender/SplashBidNoticeAbstractUI.aspx?menuIndex=3&amp;refID=7195766&amp;Result=3","7195766")</f>
        <v>0</v>
      </c>
      <c r="B3462" t="s">
        <v>1406</v>
      </c>
      <c r="C3462" t="s">
        <v>7146</v>
      </c>
      <c r="D3462" t="s">
        <v>19019</v>
      </c>
      <c r="E3462" t="s">
        <v>22206</v>
      </c>
      <c r="F3462" t="s">
        <v>32606</v>
      </c>
      <c r="G3462" t="s">
        <v>32613</v>
      </c>
      <c r="H3462" t="s">
        <v>14201</v>
      </c>
      <c r="I3462" t="s">
        <v>4114</v>
      </c>
      <c r="J3462" t="s">
        <v>35138</v>
      </c>
      <c r="K3462" t="s">
        <v>42631</v>
      </c>
      <c r="M3462" t="s">
        <v>44392</v>
      </c>
      <c r="N3462" t="s">
        <v>47304</v>
      </c>
      <c r="O3462" t="s">
        <v>47305</v>
      </c>
      <c r="P3462">
        <v>0</v>
      </c>
      <c r="Q3462">
        <v>0</v>
      </c>
      <c r="R3462" t="s">
        <v>47306</v>
      </c>
      <c r="S3462" t="s">
        <v>47414</v>
      </c>
      <c r="T3462" t="s">
        <v>49056</v>
      </c>
      <c r="U3462" t="s">
        <v>52534</v>
      </c>
      <c r="W3462" t="s">
        <v>44392</v>
      </c>
      <c r="X3462" t="s">
        <v>47308</v>
      </c>
    </row>
    <row r="3463" spans="1:24">
      <c r="A3463">
        <f>HYPERLINK("https://www.philgeps.gov.ph/GEPSNONPILOT/Tender/SplashBidNoticeAbstractUI.aspx?menuIndex=3&amp;refID=7195765&amp;Result=3","7195765")</f>
        <v>0</v>
      </c>
      <c r="B3463" t="s">
        <v>1121</v>
      </c>
      <c r="C3463" t="s">
        <v>7147</v>
      </c>
      <c r="D3463" t="s">
        <v>19037</v>
      </c>
      <c r="E3463" t="s">
        <v>22207</v>
      </c>
      <c r="F3463" t="s">
        <v>32606</v>
      </c>
      <c r="G3463" t="s">
        <v>32614</v>
      </c>
      <c r="H3463" t="s">
        <v>14201</v>
      </c>
      <c r="I3463" t="s">
        <v>4120</v>
      </c>
      <c r="J3463" t="s">
        <v>35139</v>
      </c>
      <c r="K3463" t="s">
        <v>42639</v>
      </c>
      <c r="M3463" t="s">
        <v>44393</v>
      </c>
      <c r="N3463" t="s">
        <v>47304</v>
      </c>
      <c r="O3463" t="s">
        <v>47305</v>
      </c>
      <c r="P3463">
        <v>0</v>
      </c>
      <c r="Q3463">
        <v>3</v>
      </c>
      <c r="R3463" t="s">
        <v>47306</v>
      </c>
      <c r="S3463" t="s">
        <v>47414</v>
      </c>
      <c r="T3463" t="s">
        <v>49062</v>
      </c>
      <c r="U3463" t="s">
        <v>52535</v>
      </c>
      <c r="W3463" t="s">
        <v>44393</v>
      </c>
      <c r="X3463" t="s">
        <v>47308</v>
      </c>
    </row>
    <row r="3464" spans="1:24">
      <c r="A3464">
        <f>HYPERLINK("https://www.philgeps.gov.ph/GEPSNONPILOT/Tender/SplashBidNoticeAbstractUI.aspx?menuIndex=3&amp;refID=7195764&amp;Result=3","7195764")</f>
        <v>0</v>
      </c>
      <c r="B3464" t="s">
        <v>238</v>
      </c>
      <c r="C3464" t="s">
        <v>7148</v>
      </c>
      <c r="D3464" t="s">
        <v>18993</v>
      </c>
      <c r="E3464" t="s">
        <v>22208</v>
      </c>
      <c r="F3464" t="s">
        <v>32606</v>
      </c>
      <c r="G3464" t="s">
        <v>32614</v>
      </c>
      <c r="H3464" t="s">
        <v>14201</v>
      </c>
      <c r="I3464" t="s">
        <v>32652</v>
      </c>
      <c r="J3464" t="s">
        <v>35140</v>
      </c>
      <c r="K3464" t="s">
        <v>42622</v>
      </c>
      <c r="M3464" t="s">
        <v>43357</v>
      </c>
      <c r="N3464" t="s">
        <v>47304</v>
      </c>
      <c r="O3464" t="s">
        <v>47305</v>
      </c>
      <c r="P3464">
        <v>0</v>
      </c>
      <c r="Q3464">
        <v>0</v>
      </c>
      <c r="R3464" t="s">
        <v>47306</v>
      </c>
      <c r="S3464" t="s">
        <v>47414</v>
      </c>
      <c r="T3464" t="s">
        <v>49123</v>
      </c>
      <c r="U3464" t="s">
        <v>52536</v>
      </c>
      <c r="V3464" t="s">
        <v>62749</v>
      </c>
      <c r="W3464" t="s">
        <v>43357</v>
      </c>
      <c r="X3464" t="s">
        <v>47308</v>
      </c>
    </row>
    <row r="3465" spans="1:24">
      <c r="A3465">
        <f>HYPERLINK("https://www.philgeps.gov.ph/GEPSNONPILOT/Tender/SplashBidNoticeAbstractUI.aspx?menuIndex=3&amp;refID=7195738&amp;Result=3","7195738")</f>
        <v>0</v>
      </c>
      <c r="B3465" t="s">
        <v>1386</v>
      </c>
      <c r="C3465" t="s">
        <v>7149</v>
      </c>
      <c r="D3465" t="s">
        <v>19011</v>
      </c>
      <c r="E3465" t="s">
        <v>19847</v>
      </c>
      <c r="F3465" t="s">
        <v>32606</v>
      </c>
      <c r="G3465" t="s">
        <v>32613</v>
      </c>
      <c r="H3465" t="s">
        <v>14201</v>
      </c>
      <c r="I3465" t="s">
        <v>6931</v>
      </c>
      <c r="J3465" t="s">
        <v>35141</v>
      </c>
      <c r="K3465" t="s">
        <v>42624</v>
      </c>
      <c r="M3465" t="s">
        <v>44368</v>
      </c>
      <c r="N3465" t="s">
        <v>47304</v>
      </c>
      <c r="O3465" t="s">
        <v>47305</v>
      </c>
      <c r="P3465">
        <v>0</v>
      </c>
      <c r="Q3465">
        <v>0</v>
      </c>
      <c r="R3465" t="s">
        <v>47306</v>
      </c>
      <c r="S3465" t="s">
        <v>47414</v>
      </c>
      <c r="T3465" t="s">
        <v>49116</v>
      </c>
      <c r="U3465" t="s">
        <v>52537</v>
      </c>
      <c r="W3465" t="s">
        <v>44368</v>
      </c>
      <c r="X3465" t="s">
        <v>47308</v>
      </c>
    </row>
    <row r="3466" spans="1:24">
      <c r="A3466">
        <f>HYPERLINK("https://www.philgeps.gov.ph/GEPSNONPILOT/Tender/SplashBidNoticeAbstractUI.aspx?menuIndex=3&amp;refID=7195762&amp;Result=3","7195762")</f>
        <v>0</v>
      </c>
      <c r="B3466" t="s">
        <v>1407</v>
      </c>
      <c r="C3466" t="s">
        <v>7150</v>
      </c>
      <c r="D3466" t="s">
        <v>19028</v>
      </c>
      <c r="E3466" t="s">
        <v>22209</v>
      </c>
      <c r="F3466" t="s">
        <v>32606</v>
      </c>
      <c r="G3466" t="s">
        <v>32613</v>
      </c>
      <c r="H3466" t="s">
        <v>14201</v>
      </c>
      <c r="I3466" t="s">
        <v>7677</v>
      </c>
      <c r="J3466" t="s">
        <v>33441</v>
      </c>
      <c r="K3466" t="s">
        <v>42629</v>
      </c>
      <c r="M3466" t="s">
        <v>44394</v>
      </c>
      <c r="N3466" t="s">
        <v>47304</v>
      </c>
      <c r="O3466" t="s">
        <v>47305</v>
      </c>
      <c r="P3466">
        <v>0</v>
      </c>
      <c r="Q3466">
        <v>0</v>
      </c>
      <c r="R3466" t="s">
        <v>47306</v>
      </c>
      <c r="S3466" t="s">
        <v>47414</v>
      </c>
      <c r="T3466" t="s">
        <v>48976</v>
      </c>
      <c r="U3466" t="s">
        <v>52538</v>
      </c>
      <c r="W3466" t="s">
        <v>44394</v>
      </c>
      <c r="X3466" t="s">
        <v>47308</v>
      </c>
    </row>
    <row r="3467" spans="1:24">
      <c r="A3467">
        <f>HYPERLINK("https://www.philgeps.gov.ph/GEPSNONPILOT/Tender/SplashBidNoticeAbstractUI.aspx?menuIndex=3&amp;refID=7195761&amp;Result=3","7195761")</f>
        <v>0</v>
      </c>
      <c r="B3467" t="s">
        <v>360</v>
      </c>
      <c r="C3467" t="s">
        <v>7151</v>
      </c>
      <c r="D3467" t="s">
        <v>19040</v>
      </c>
      <c r="E3467" t="s">
        <v>22210</v>
      </c>
      <c r="F3467" t="s">
        <v>32606</v>
      </c>
      <c r="G3467" t="s">
        <v>32619</v>
      </c>
      <c r="H3467" t="s">
        <v>14201</v>
      </c>
      <c r="I3467" t="s">
        <v>32633</v>
      </c>
      <c r="J3467" t="s">
        <v>35142</v>
      </c>
      <c r="K3467" t="s">
        <v>42630</v>
      </c>
      <c r="M3467" t="s">
        <v>43262</v>
      </c>
      <c r="N3467" t="s">
        <v>47304</v>
      </c>
      <c r="O3467" t="s">
        <v>47305</v>
      </c>
      <c r="P3467">
        <v>0</v>
      </c>
      <c r="Q3467">
        <v>9</v>
      </c>
      <c r="R3467" t="s">
        <v>47306</v>
      </c>
      <c r="S3467" t="s">
        <v>47414</v>
      </c>
      <c r="T3467" t="s">
        <v>49050</v>
      </c>
      <c r="U3467" t="s">
        <v>50184</v>
      </c>
      <c r="W3467" t="s">
        <v>43262</v>
      </c>
      <c r="X3467" t="s">
        <v>47308</v>
      </c>
    </row>
    <row r="3468" spans="1:24">
      <c r="A3468">
        <f>HYPERLINK("https://www.philgeps.gov.ph/GEPSNONPILOT/Tender/SplashBidNoticeAbstractUI.aspx?menuIndex=3&amp;refID=7195769&amp;Result=3","7195769")</f>
        <v>0</v>
      </c>
      <c r="B3468" t="s">
        <v>76</v>
      </c>
      <c r="C3468" t="s">
        <v>7152</v>
      </c>
      <c r="D3468" t="s">
        <v>19010</v>
      </c>
      <c r="E3468" t="s">
        <v>22211</v>
      </c>
      <c r="F3468" t="s">
        <v>32606</v>
      </c>
      <c r="G3468" t="s">
        <v>32613</v>
      </c>
      <c r="H3468" t="s">
        <v>14201</v>
      </c>
      <c r="I3468" t="s">
        <v>9008</v>
      </c>
      <c r="J3468" t="s">
        <v>35143</v>
      </c>
      <c r="K3468" t="s">
        <v>42624</v>
      </c>
      <c r="M3468" t="s">
        <v>42973</v>
      </c>
      <c r="N3468" t="s">
        <v>47304</v>
      </c>
      <c r="O3468" t="s">
        <v>47305</v>
      </c>
      <c r="P3468">
        <v>0</v>
      </c>
      <c r="Q3468">
        <v>0</v>
      </c>
      <c r="R3468" t="s">
        <v>47306</v>
      </c>
      <c r="S3468" t="s">
        <v>47414</v>
      </c>
      <c r="T3468" t="s">
        <v>49011</v>
      </c>
      <c r="U3468" t="s">
        <v>52539</v>
      </c>
      <c r="W3468" t="s">
        <v>64421</v>
      </c>
      <c r="X3468" t="s">
        <v>47308</v>
      </c>
    </row>
    <row r="3469" spans="1:24">
      <c r="A3469">
        <f>HYPERLINK("https://www.philgeps.gov.ph/GEPSNONPILOT/Tender/SplashBidNoticeAbstractUI.aspx?menuIndex=3&amp;refID=7195759&amp;Result=3","7195759")</f>
        <v>0</v>
      </c>
      <c r="B3469" t="s">
        <v>813</v>
      </c>
      <c r="C3469" t="s">
        <v>7153</v>
      </c>
      <c r="D3469" t="s">
        <v>19044</v>
      </c>
      <c r="E3469" t="s">
        <v>22212</v>
      </c>
      <c r="F3469" t="s">
        <v>32606</v>
      </c>
      <c r="G3469" t="s">
        <v>32614</v>
      </c>
      <c r="H3469" t="s">
        <v>14201</v>
      </c>
      <c r="I3469" t="s">
        <v>4120</v>
      </c>
      <c r="J3469" t="s">
        <v>35144</v>
      </c>
      <c r="K3469" t="s">
        <v>42630</v>
      </c>
      <c r="M3469" t="s">
        <v>43744</v>
      </c>
      <c r="N3469" t="s">
        <v>47304</v>
      </c>
      <c r="O3469" t="s">
        <v>47305</v>
      </c>
      <c r="P3469">
        <v>0</v>
      </c>
      <c r="Q3469">
        <v>1</v>
      </c>
      <c r="R3469" t="s">
        <v>47306</v>
      </c>
      <c r="S3469" t="s">
        <v>47414</v>
      </c>
      <c r="T3469" t="s">
        <v>48987</v>
      </c>
      <c r="U3469" t="s">
        <v>52540</v>
      </c>
      <c r="W3469" t="s">
        <v>43744</v>
      </c>
      <c r="X3469" t="s">
        <v>47308</v>
      </c>
    </row>
    <row r="3470" spans="1:24">
      <c r="A3470">
        <f>HYPERLINK("https://www.philgeps.gov.ph/GEPSNONPILOT/Tender/SplashBidNoticeAbstractUI.aspx?menuIndex=3&amp;refID=7195763&amp;Result=3","7195763")</f>
        <v>0</v>
      </c>
      <c r="B3470" t="s">
        <v>233</v>
      </c>
      <c r="C3470" t="s">
        <v>7154</v>
      </c>
      <c r="D3470" t="s">
        <v>18997</v>
      </c>
      <c r="E3470" t="s">
        <v>22213</v>
      </c>
      <c r="F3470" t="s">
        <v>32606</v>
      </c>
      <c r="G3470" t="s">
        <v>32613</v>
      </c>
      <c r="H3470" t="s">
        <v>14201</v>
      </c>
      <c r="I3470" t="s">
        <v>6007</v>
      </c>
      <c r="J3470" t="s">
        <v>35145</v>
      </c>
      <c r="K3470" t="s">
        <v>42625</v>
      </c>
      <c r="M3470" t="s">
        <v>44359</v>
      </c>
      <c r="N3470" t="s">
        <v>47304</v>
      </c>
      <c r="O3470" t="s">
        <v>47305</v>
      </c>
      <c r="P3470">
        <v>0</v>
      </c>
      <c r="Q3470">
        <v>0</v>
      </c>
      <c r="R3470" t="s">
        <v>47306</v>
      </c>
      <c r="S3470" t="s">
        <v>47414</v>
      </c>
      <c r="T3470" t="s">
        <v>49023</v>
      </c>
      <c r="U3470" t="s">
        <v>52443</v>
      </c>
      <c r="V3470" t="s">
        <v>63002</v>
      </c>
      <c r="W3470" t="s">
        <v>44359</v>
      </c>
      <c r="X3470" t="s">
        <v>47308</v>
      </c>
    </row>
    <row r="3471" spans="1:24">
      <c r="A3471">
        <f>HYPERLINK("https://www.philgeps.gov.ph/GEPSNONPILOT/Tender/SplashBidNoticeAbstractUI.aspx?menuIndex=3&amp;refID=7195659&amp;Result=3","7195659")</f>
        <v>0</v>
      </c>
      <c r="B3471" t="s">
        <v>296</v>
      </c>
      <c r="C3471" t="s">
        <v>7155</v>
      </c>
      <c r="D3471" t="s">
        <v>19038</v>
      </c>
      <c r="E3471" t="s">
        <v>22214</v>
      </c>
      <c r="F3471" t="s">
        <v>32606</v>
      </c>
      <c r="G3471" t="s">
        <v>32613</v>
      </c>
      <c r="H3471" t="s">
        <v>14201</v>
      </c>
      <c r="I3471" t="s">
        <v>32661</v>
      </c>
      <c r="J3471" t="s">
        <v>35146</v>
      </c>
      <c r="K3471" t="s">
        <v>42624</v>
      </c>
      <c r="M3471" t="s">
        <v>43198</v>
      </c>
      <c r="N3471" t="s">
        <v>47304</v>
      </c>
      <c r="O3471" t="s">
        <v>47305</v>
      </c>
      <c r="P3471">
        <v>0</v>
      </c>
      <c r="Q3471">
        <v>0</v>
      </c>
      <c r="R3471" t="s">
        <v>47306</v>
      </c>
      <c r="S3471" t="s">
        <v>47414</v>
      </c>
      <c r="T3471" t="s">
        <v>49017</v>
      </c>
      <c r="U3471" t="s">
        <v>50103</v>
      </c>
      <c r="W3471" t="s">
        <v>43198</v>
      </c>
      <c r="X3471" t="s">
        <v>47308</v>
      </c>
    </row>
    <row r="3472" spans="1:24">
      <c r="A3472">
        <f>HYPERLINK("https://www.philgeps.gov.ph/GEPSNONPILOT/Tender/SplashBidNoticeAbstractUI.aspx?menuIndex=3&amp;refID=7195748&amp;Result=3","7195748")</f>
        <v>0</v>
      </c>
      <c r="B3472" t="s">
        <v>238</v>
      </c>
      <c r="C3472" t="s">
        <v>7156</v>
      </c>
      <c r="D3472" t="s">
        <v>18993</v>
      </c>
      <c r="E3472" t="s">
        <v>22215</v>
      </c>
      <c r="F3472" t="s">
        <v>32606</v>
      </c>
      <c r="G3472" t="s">
        <v>32614</v>
      </c>
      <c r="H3472" t="s">
        <v>14201</v>
      </c>
      <c r="I3472" t="s">
        <v>32652</v>
      </c>
      <c r="J3472" t="s">
        <v>33119</v>
      </c>
      <c r="K3472" t="s">
        <v>42622</v>
      </c>
      <c r="M3472" t="s">
        <v>43357</v>
      </c>
      <c r="N3472" t="s">
        <v>47304</v>
      </c>
      <c r="O3472" t="s">
        <v>47305</v>
      </c>
      <c r="P3472">
        <v>0</v>
      </c>
      <c r="Q3472">
        <v>0</v>
      </c>
      <c r="R3472" t="s">
        <v>47306</v>
      </c>
      <c r="S3472" t="s">
        <v>47414</v>
      </c>
      <c r="T3472" t="s">
        <v>49123</v>
      </c>
      <c r="U3472" t="s">
        <v>52541</v>
      </c>
      <c r="V3472" t="s">
        <v>62749</v>
      </c>
      <c r="W3472" t="s">
        <v>43357</v>
      </c>
      <c r="X3472" t="s">
        <v>47308</v>
      </c>
    </row>
    <row r="3473" spans="1:24">
      <c r="A3473">
        <f>HYPERLINK("https://www.philgeps.gov.ph/GEPSNONPILOT/Tender/SplashBidNoticeAbstractUI.aspx?menuIndex=3&amp;refID=7195760&amp;Result=3","7195760")</f>
        <v>0</v>
      </c>
      <c r="B3473" t="s">
        <v>867</v>
      </c>
      <c r="C3473" t="s">
        <v>7157</v>
      </c>
      <c r="D3473" t="s">
        <v>19040</v>
      </c>
      <c r="E3473" t="s">
        <v>22216</v>
      </c>
      <c r="F3473" t="s">
        <v>32606</v>
      </c>
      <c r="G3473" t="s">
        <v>32614</v>
      </c>
      <c r="H3473" t="s">
        <v>14201</v>
      </c>
      <c r="I3473" t="s">
        <v>32694</v>
      </c>
      <c r="J3473" t="s">
        <v>33075</v>
      </c>
      <c r="K3473" t="s">
        <v>42631</v>
      </c>
      <c r="M3473" t="s">
        <v>43801</v>
      </c>
      <c r="N3473" t="s">
        <v>47304</v>
      </c>
      <c r="O3473" t="s">
        <v>47305</v>
      </c>
      <c r="P3473">
        <v>0</v>
      </c>
      <c r="Q3473">
        <v>1</v>
      </c>
      <c r="R3473" t="s">
        <v>47306</v>
      </c>
      <c r="S3473" t="s">
        <v>47414</v>
      </c>
      <c r="T3473" t="s">
        <v>49061</v>
      </c>
      <c r="U3473" t="s">
        <v>52542</v>
      </c>
      <c r="W3473" t="s">
        <v>43801</v>
      </c>
      <c r="X3473" t="s">
        <v>47308</v>
      </c>
    </row>
    <row r="3474" spans="1:24">
      <c r="A3474">
        <f>HYPERLINK("https://www.philgeps.gov.ph/GEPSNONPILOT/Tender/SplashBidNoticeAbstractUI.aspx?menuIndex=3&amp;refID=7195611&amp;Result=3","7195611")</f>
        <v>0</v>
      </c>
      <c r="B3474" t="s">
        <v>757</v>
      </c>
      <c r="C3474" t="s">
        <v>7158</v>
      </c>
      <c r="E3474" t="s">
        <v>22217</v>
      </c>
      <c r="F3474" t="s">
        <v>32606</v>
      </c>
      <c r="G3474" t="s">
        <v>32619</v>
      </c>
      <c r="H3474" t="s">
        <v>14201</v>
      </c>
      <c r="I3474" t="s">
        <v>4678</v>
      </c>
      <c r="J3474" t="s">
        <v>33380</v>
      </c>
      <c r="K3474" t="s">
        <v>42629</v>
      </c>
      <c r="L3474" t="s">
        <v>757</v>
      </c>
      <c r="M3474" t="s">
        <v>43681</v>
      </c>
      <c r="N3474" t="s">
        <v>47304</v>
      </c>
      <c r="O3474" t="s">
        <v>47305</v>
      </c>
      <c r="P3474">
        <v>0</v>
      </c>
      <c r="Q3474">
        <v>1</v>
      </c>
      <c r="R3474" t="s">
        <v>47306</v>
      </c>
      <c r="S3474" t="s">
        <v>47414</v>
      </c>
      <c r="T3474" t="s">
        <v>48979</v>
      </c>
      <c r="U3474" t="s">
        <v>52543</v>
      </c>
      <c r="V3474" t="s">
        <v>63007</v>
      </c>
      <c r="W3474" t="s">
        <v>43681</v>
      </c>
      <c r="X3474" t="s">
        <v>47308</v>
      </c>
    </row>
    <row r="3475" spans="1:24">
      <c r="A3475">
        <f>HYPERLINK("https://www.philgeps.gov.ph/GEPSNONPILOT/Tender/SplashBidNoticeAbstractUI.aspx?menuIndex=3&amp;refID=7195608&amp;Result=3","7195608")</f>
        <v>0</v>
      </c>
      <c r="B3475" t="s">
        <v>320</v>
      </c>
      <c r="C3475" t="s">
        <v>7159</v>
      </c>
      <c r="D3475" t="s">
        <v>19037</v>
      </c>
      <c r="E3475" t="s">
        <v>22218</v>
      </c>
      <c r="F3475" t="s">
        <v>32606</v>
      </c>
      <c r="G3475" t="s">
        <v>32614</v>
      </c>
      <c r="H3475" t="s">
        <v>14201</v>
      </c>
      <c r="I3475" t="s">
        <v>6014</v>
      </c>
      <c r="J3475" t="s">
        <v>35147</v>
      </c>
      <c r="K3475" t="s">
        <v>42631</v>
      </c>
      <c r="M3475" t="s">
        <v>43222</v>
      </c>
      <c r="N3475" t="s">
        <v>47304</v>
      </c>
      <c r="O3475" t="s">
        <v>47305</v>
      </c>
      <c r="P3475">
        <v>0</v>
      </c>
      <c r="Q3475">
        <v>4</v>
      </c>
      <c r="R3475" t="s">
        <v>47306</v>
      </c>
      <c r="S3475" t="s">
        <v>47414</v>
      </c>
      <c r="T3475" t="s">
        <v>49010</v>
      </c>
      <c r="U3475" t="s">
        <v>52544</v>
      </c>
      <c r="W3475" t="s">
        <v>43222</v>
      </c>
      <c r="X3475" t="s">
        <v>47308</v>
      </c>
    </row>
    <row r="3476" spans="1:24">
      <c r="A3476">
        <f>HYPERLINK("https://www.philgeps.gov.ph/GEPSNONPILOT/Tender/SplashBidNoticeAbstractUI.aspx?menuIndex=3&amp;refID=7195758&amp;Result=3","7195758")</f>
        <v>0</v>
      </c>
      <c r="B3476" t="s">
        <v>384</v>
      </c>
      <c r="C3476" t="s">
        <v>7160</v>
      </c>
      <c r="D3476" t="s">
        <v>18995</v>
      </c>
      <c r="E3476" t="s">
        <v>22091</v>
      </c>
      <c r="F3476" t="s">
        <v>32606</v>
      </c>
      <c r="G3476" t="s">
        <v>32613</v>
      </c>
      <c r="H3476" t="s">
        <v>32623</v>
      </c>
      <c r="I3476" t="s">
        <v>17648</v>
      </c>
      <c r="J3476" t="s">
        <v>35148</v>
      </c>
      <c r="K3476" t="s">
        <v>42643</v>
      </c>
      <c r="M3476" t="s">
        <v>43287</v>
      </c>
      <c r="N3476" t="s">
        <v>47304</v>
      </c>
      <c r="O3476" t="s">
        <v>47305</v>
      </c>
      <c r="P3476">
        <v>0</v>
      </c>
      <c r="Q3476">
        <v>0</v>
      </c>
      <c r="R3476" t="s">
        <v>47306</v>
      </c>
      <c r="S3476" t="s">
        <v>47414</v>
      </c>
      <c r="T3476" t="s">
        <v>49048</v>
      </c>
      <c r="U3476" t="s">
        <v>52545</v>
      </c>
      <c r="W3476" t="s">
        <v>43287</v>
      </c>
      <c r="X3476" t="s">
        <v>47308</v>
      </c>
    </row>
    <row r="3477" spans="1:24">
      <c r="A3477">
        <f>HYPERLINK("https://www.philgeps.gov.ph/GEPSNONPILOT/Tender/SplashBidNoticeAbstractUI.aspx?menuIndex=3&amp;refID=7195606&amp;Result=3","7195606")</f>
        <v>0</v>
      </c>
      <c r="B3477" t="s">
        <v>1391</v>
      </c>
      <c r="C3477" t="s">
        <v>7161</v>
      </c>
      <c r="D3477" t="s">
        <v>19004</v>
      </c>
      <c r="E3477" t="s">
        <v>22219</v>
      </c>
      <c r="F3477" t="s">
        <v>32606</v>
      </c>
      <c r="G3477" t="s">
        <v>32613</v>
      </c>
      <c r="H3477" t="s">
        <v>14201</v>
      </c>
      <c r="I3477" t="s">
        <v>32647</v>
      </c>
      <c r="J3477" t="s">
        <v>35149</v>
      </c>
      <c r="K3477" t="s">
        <v>42646</v>
      </c>
      <c r="M3477" t="s">
        <v>44374</v>
      </c>
      <c r="N3477" t="s">
        <v>47304</v>
      </c>
      <c r="O3477" t="s">
        <v>47305</v>
      </c>
      <c r="P3477">
        <v>0</v>
      </c>
      <c r="Q3477">
        <v>0</v>
      </c>
      <c r="R3477" t="s">
        <v>47306</v>
      </c>
      <c r="S3477" t="s">
        <v>47414</v>
      </c>
      <c r="T3477" t="s">
        <v>49101</v>
      </c>
      <c r="U3477" t="s">
        <v>52546</v>
      </c>
      <c r="W3477" t="s">
        <v>44374</v>
      </c>
      <c r="X3477" t="s">
        <v>47308</v>
      </c>
    </row>
    <row r="3478" spans="1:24">
      <c r="A3478">
        <f>HYPERLINK("https://www.philgeps.gov.ph/GEPSNONPILOT/Tender/SplashBidNoticeAbstractUI.aspx?menuIndex=3&amp;refID=7195605&amp;Result=3","7195605")</f>
        <v>0</v>
      </c>
      <c r="B3478" t="s">
        <v>76</v>
      </c>
      <c r="C3478" t="s">
        <v>7162</v>
      </c>
      <c r="D3478" t="s">
        <v>19010</v>
      </c>
      <c r="E3478" t="s">
        <v>22220</v>
      </c>
      <c r="F3478" t="s">
        <v>32606</v>
      </c>
      <c r="G3478" t="s">
        <v>32613</v>
      </c>
      <c r="H3478" t="s">
        <v>14201</v>
      </c>
      <c r="I3478" t="s">
        <v>9008</v>
      </c>
      <c r="J3478" t="s">
        <v>35150</v>
      </c>
      <c r="K3478" t="s">
        <v>42624</v>
      </c>
      <c r="M3478" t="s">
        <v>42973</v>
      </c>
      <c r="N3478" t="s">
        <v>47304</v>
      </c>
      <c r="O3478" t="s">
        <v>47305</v>
      </c>
      <c r="P3478">
        <v>0</v>
      </c>
      <c r="Q3478">
        <v>0</v>
      </c>
      <c r="R3478" t="s">
        <v>47306</v>
      </c>
      <c r="S3478" t="s">
        <v>47414</v>
      </c>
      <c r="T3478" t="s">
        <v>49011</v>
      </c>
      <c r="U3478" t="s">
        <v>52547</v>
      </c>
      <c r="W3478" t="s">
        <v>64421</v>
      </c>
      <c r="X3478" t="s">
        <v>47308</v>
      </c>
    </row>
    <row r="3479" spans="1:24">
      <c r="A3479">
        <f>HYPERLINK("https://www.philgeps.gov.ph/GEPSNONPILOT/Tender/SplashBidNoticeAbstractUI.aspx?menuIndex=3&amp;refID=7195755&amp;Result=3","7195755")</f>
        <v>0</v>
      </c>
      <c r="B3479" t="s">
        <v>1408</v>
      </c>
      <c r="C3479" t="s">
        <v>7163</v>
      </c>
      <c r="D3479" t="s">
        <v>19031</v>
      </c>
      <c r="E3479" t="s">
        <v>19133</v>
      </c>
      <c r="F3479" t="s">
        <v>32606</v>
      </c>
      <c r="G3479" t="s">
        <v>32619</v>
      </c>
      <c r="H3479" t="s">
        <v>14201</v>
      </c>
      <c r="I3479" t="s">
        <v>4120</v>
      </c>
      <c r="J3479" t="s">
        <v>33105</v>
      </c>
      <c r="K3479" t="s">
        <v>42623</v>
      </c>
      <c r="M3479" t="s">
        <v>44395</v>
      </c>
      <c r="N3479" t="s">
        <v>47304</v>
      </c>
      <c r="O3479" t="s">
        <v>47305</v>
      </c>
      <c r="P3479">
        <v>0</v>
      </c>
      <c r="Q3479">
        <v>1</v>
      </c>
      <c r="R3479" t="s">
        <v>47306</v>
      </c>
      <c r="S3479" t="s">
        <v>47414</v>
      </c>
      <c r="T3479" t="s">
        <v>48998</v>
      </c>
      <c r="U3479" t="s">
        <v>52548</v>
      </c>
      <c r="W3479" t="s">
        <v>44395</v>
      </c>
      <c r="X3479" t="s">
        <v>47308</v>
      </c>
    </row>
    <row r="3480" spans="1:24">
      <c r="A3480">
        <f>HYPERLINK("https://www.philgeps.gov.ph/GEPSNONPILOT/Tender/SplashBidNoticeAbstractUI.aspx?menuIndex=3&amp;refID=7195503&amp;Result=3","7195503")</f>
        <v>0</v>
      </c>
      <c r="B3480" t="s">
        <v>258</v>
      </c>
      <c r="C3480" t="s">
        <v>7164</v>
      </c>
      <c r="D3480" t="s">
        <v>19038</v>
      </c>
      <c r="E3480" t="s">
        <v>22221</v>
      </c>
      <c r="F3480" t="s">
        <v>32606</v>
      </c>
      <c r="G3480" t="s">
        <v>32613</v>
      </c>
      <c r="H3480" t="s">
        <v>14201</v>
      </c>
      <c r="I3480" t="s">
        <v>7064</v>
      </c>
      <c r="J3480" t="s">
        <v>34591</v>
      </c>
      <c r="K3480" t="s">
        <v>42631</v>
      </c>
      <c r="M3480" t="s">
        <v>44329</v>
      </c>
      <c r="N3480" t="s">
        <v>47304</v>
      </c>
      <c r="O3480" t="s">
        <v>47305</v>
      </c>
      <c r="P3480">
        <v>0</v>
      </c>
      <c r="Q3480">
        <v>1</v>
      </c>
      <c r="R3480" t="s">
        <v>47306</v>
      </c>
      <c r="S3480" t="s">
        <v>47414</v>
      </c>
      <c r="T3480" t="s">
        <v>49008</v>
      </c>
      <c r="U3480" t="s">
        <v>52549</v>
      </c>
      <c r="W3480" t="s">
        <v>44329</v>
      </c>
      <c r="X3480" t="s">
        <v>47308</v>
      </c>
    </row>
    <row r="3481" spans="1:24">
      <c r="A3481">
        <f>HYPERLINK("https://www.philgeps.gov.ph/GEPSNONPILOT/Tender/SplashBidNoticeAbstractUI.aspx?menuIndex=3&amp;refID=7195800&amp;Result=3","7195800")</f>
        <v>0</v>
      </c>
      <c r="B3481" t="s">
        <v>1331</v>
      </c>
      <c r="C3481" t="s">
        <v>7165</v>
      </c>
      <c r="D3481" t="s">
        <v>18999</v>
      </c>
      <c r="E3481" t="s">
        <v>22222</v>
      </c>
      <c r="F3481" t="s">
        <v>32606</v>
      </c>
      <c r="G3481" t="s">
        <v>32614</v>
      </c>
      <c r="H3481" t="s">
        <v>14201</v>
      </c>
      <c r="I3481" t="s">
        <v>4678</v>
      </c>
      <c r="J3481" t="s">
        <v>32789</v>
      </c>
      <c r="K3481" t="s">
        <v>42624</v>
      </c>
      <c r="M3481" t="s">
        <v>44305</v>
      </c>
      <c r="N3481" t="s">
        <v>47304</v>
      </c>
      <c r="O3481" t="s">
        <v>47305</v>
      </c>
      <c r="P3481">
        <v>0</v>
      </c>
      <c r="Q3481">
        <v>1</v>
      </c>
      <c r="R3481" t="s">
        <v>47306</v>
      </c>
      <c r="S3481" t="s">
        <v>47414</v>
      </c>
      <c r="T3481" t="s">
        <v>48986</v>
      </c>
      <c r="U3481" t="s">
        <v>52550</v>
      </c>
      <c r="W3481" t="s">
        <v>44305</v>
      </c>
      <c r="X3481" t="s">
        <v>47308</v>
      </c>
    </row>
    <row r="3482" spans="1:24">
      <c r="A3482">
        <f>HYPERLINK("https://www.philgeps.gov.ph/GEPSNONPILOT/Tender/SplashBidNoticeAbstractUI.aspx?menuIndex=3&amp;refID=7195656&amp;Result=3","7195656")</f>
        <v>0</v>
      </c>
      <c r="B3482" t="s">
        <v>1306</v>
      </c>
      <c r="C3482" t="s">
        <v>7166</v>
      </c>
      <c r="D3482" t="s">
        <v>19011</v>
      </c>
      <c r="E3482" t="s">
        <v>22223</v>
      </c>
      <c r="F3482" t="s">
        <v>32606</v>
      </c>
      <c r="G3482" t="s">
        <v>32619</v>
      </c>
      <c r="H3482" t="s">
        <v>14201</v>
      </c>
      <c r="I3482" t="s">
        <v>8606</v>
      </c>
      <c r="J3482" t="s">
        <v>32981</v>
      </c>
      <c r="K3482" t="s">
        <v>42623</v>
      </c>
      <c r="M3482" t="s">
        <v>44278</v>
      </c>
      <c r="N3482" t="s">
        <v>47304</v>
      </c>
      <c r="O3482" t="s">
        <v>47305</v>
      </c>
      <c r="P3482">
        <v>0</v>
      </c>
      <c r="Q3482">
        <v>1</v>
      </c>
      <c r="R3482" t="s">
        <v>47306</v>
      </c>
      <c r="S3482" t="s">
        <v>47414</v>
      </c>
      <c r="T3482" t="s">
        <v>49103</v>
      </c>
      <c r="U3482" t="s">
        <v>52271</v>
      </c>
      <c r="W3482" t="s">
        <v>44278</v>
      </c>
      <c r="X3482" t="s">
        <v>47308</v>
      </c>
    </row>
    <row r="3483" spans="1:24">
      <c r="A3483">
        <f>HYPERLINK("https://www.philgeps.gov.ph/GEPSNONPILOT/Tender/SplashBidNoticeAbstractUI.aspx?menuIndex=3&amp;refID=7195796&amp;Result=3","7195796")</f>
        <v>0</v>
      </c>
      <c r="B3483" t="s">
        <v>169</v>
      </c>
      <c r="C3483" t="s">
        <v>7167</v>
      </c>
      <c r="D3483" t="s">
        <v>19010</v>
      </c>
      <c r="E3483" t="s">
        <v>22224</v>
      </c>
      <c r="F3483" t="s">
        <v>32606</v>
      </c>
      <c r="G3483" t="s">
        <v>32614</v>
      </c>
      <c r="H3483" t="s">
        <v>14201</v>
      </c>
      <c r="I3483" t="s">
        <v>32678</v>
      </c>
      <c r="J3483" t="s">
        <v>32799</v>
      </c>
      <c r="K3483" t="s">
        <v>42623</v>
      </c>
      <c r="M3483" t="s">
        <v>43070</v>
      </c>
      <c r="N3483" t="s">
        <v>47304</v>
      </c>
      <c r="O3483" t="s">
        <v>47305</v>
      </c>
      <c r="P3483">
        <v>0</v>
      </c>
      <c r="Q3483">
        <v>1</v>
      </c>
      <c r="R3483" t="s">
        <v>47306</v>
      </c>
      <c r="S3483" t="s">
        <v>47414</v>
      </c>
      <c r="T3483" t="s">
        <v>49014</v>
      </c>
      <c r="U3483" t="s">
        <v>52551</v>
      </c>
      <c r="W3483" t="s">
        <v>43070</v>
      </c>
      <c r="X3483" t="s">
        <v>47308</v>
      </c>
    </row>
    <row r="3484" spans="1:24">
      <c r="A3484">
        <f>HYPERLINK("https://www.philgeps.gov.ph/GEPSNONPILOT/Tender/SplashBidNoticeAbstractUI.aspx?menuIndex=3&amp;refID=7195795&amp;Result=3","7195795")</f>
        <v>0</v>
      </c>
      <c r="B3484" t="s">
        <v>81</v>
      </c>
      <c r="C3484" t="s">
        <v>7123</v>
      </c>
      <c r="D3484" t="s">
        <v>18995</v>
      </c>
      <c r="E3484" t="s">
        <v>22225</v>
      </c>
      <c r="F3484" t="s">
        <v>32606</v>
      </c>
      <c r="G3484" t="s">
        <v>32614</v>
      </c>
      <c r="H3484" t="s">
        <v>14201</v>
      </c>
      <c r="I3484" t="s">
        <v>6931</v>
      </c>
      <c r="J3484" t="s">
        <v>35151</v>
      </c>
      <c r="K3484" t="s">
        <v>42624</v>
      </c>
      <c r="M3484" t="s">
        <v>42978</v>
      </c>
      <c r="N3484" t="s">
        <v>47304</v>
      </c>
      <c r="O3484" t="s">
        <v>47305</v>
      </c>
      <c r="P3484">
        <v>0</v>
      </c>
      <c r="Q3484">
        <v>0</v>
      </c>
      <c r="R3484" t="s">
        <v>47306</v>
      </c>
      <c r="S3484" t="s">
        <v>47414</v>
      </c>
      <c r="T3484" t="s">
        <v>49014</v>
      </c>
      <c r="U3484" t="s">
        <v>52552</v>
      </c>
      <c r="W3484" t="s">
        <v>42978</v>
      </c>
      <c r="X3484" t="s">
        <v>47308</v>
      </c>
    </row>
    <row r="3485" spans="1:24">
      <c r="A3485">
        <f>HYPERLINK("https://www.philgeps.gov.ph/GEPSNONPILOT/Tender/SplashBidNoticeAbstractUI.aspx?menuIndex=3&amp;refID=7195756&amp;Result=3","7195756")</f>
        <v>0</v>
      </c>
      <c r="B3485" t="s">
        <v>1409</v>
      </c>
      <c r="C3485" t="s">
        <v>7168</v>
      </c>
      <c r="D3485" t="s">
        <v>18993</v>
      </c>
      <c r="E3485" t="s">
        <v>22226</v>
      </c>
      <c r="F3485" t="s">
        <v>32606</v>
      </c>
      <c r="G3485" t="s">
        <v>32613</v>
      </c>
      <c r="H3485" t="s">
        <v>14201</v>
      </c>
      <c r="I3485" t="s">
        <v>7677</v>
      </c>
      <c r="J3485" t="s">
        <v>32995</v>
      </c>
      <c r="K3485" t="s">
        <v>42624</v>
      </c>
      <c r="L3485" t="s">
        <v>1409</v>
      </c>
      <c r="M3485" t="s">
        <v>44396</v>
      </c>
      <c r="N3485" t="s">
        <v>47304</v>
      </c>
      <c r="O3485" t="s">
        <v>47305</v>
      </c>
      <c r="P3485">
        <v>0</v>
      </c>
      <c r="Q3485">
        <v>4</v>
      </c>
      <c r="R3485" t="s">
        <v>47306</v>
      </c>
      <c r="S3485" t="s">
        <v>47414</v>
      </c>
      <c r="T3485" t="s">
        <v>49261</v>
      </c>
      <c r="U3485" t="s">
        <v>52553</v>
      </c>
      <c r="W3485" t="s">
        <v>44396</v>
      </c>
      <c r="X3485" t="s">
        <v>47308</v>
      </c>
    </row>
    <row r="3486" spans="1:24">
      <c r="A3486">
        <f>HYPERLINK("https://www.philgeps.gov.ph/GEPSNONPILOT/Tender/SplashBidNoticeAbstractUI.aspx?menuIndex=3&amp;refID=7195750&amp;Result=3","7195750")</f>
        <v>0</v>
      </c>
      <c r="B3486" t="s">
        <v>895</v>
      </c>
      <c r="C3486" t="s">
        <v>4830</v>
      </c>
      <c r="D3486" t="s">
        <v>18993</v>
      </c>
      <c r="E3486" t="s">
        <v>22227</v>
      </c>
      <c r="F3486" t="s">
        <v>32606</v>
      </c>
      <c r="G3486" t="s">
        <v>32619</v>
      </c>
      <c r="H3486" t="s">
        <v>14201</v>
      </c>
      <c r="I3486" t="s">
        <v>7577</v>
      </c>
      <c r="J3486" t="s">
        <v>33025</v>
      </c>
      <c r="K3486" t="s">
        <v>42624</v>
      </c>
      <c r="M3486" t="s">
        <v>43831</v>
      </c>
      <c r="N3486" t="s">
        <v>47304</v>
      </c>
      <c r="O3486" t="s">
        <v>47305</v>
      </c>
      <c r="P3486">
        <v>0</v>
      </c>
      <c r="Q3486">
        <v>3</v>
      </c>
      <c r="R3486" t="s">
        <v>47306</v>
      </c>
      <c r="S3486" t="s">
        <v>47414</v>
      </c>
      <c r="T3486" t="s">
        <v>49014</v>
      </c>
      <c r="U3486" t="s">
        <v>52554</v>
      </c>
      <c r="W3486" t="s">
        <v>43831</v>
      </c>
      <c r="X3486" t="s">
        <v>47308</v>
      </c>
    </row>
    <row r="3487" spans="1:24">
      <c r="A3487">
        <f>HYPERLINK("https://www.philgeps.gov.ph/GEPSNONPILOT/Tender/SplashBidNoticeAbstractUI.aspx?menuIndex=3&amp;refID=7195793&amp;Result=3","7195793")</f>
        <v>0</v>
      </c>
      <c r="B3487" t="s">
        <v>1410</v>
      </c>
      <c r="C3487" t="s">
        <v>7169</v>
      </c>
      <c r="D3487" t="s">
        <v>19056</v>
      </c>
      <c r="E3487" t="s">
        <v>22228</v>
      </c>
      <c r="F3487" t="s">
        <v>32606</v>
      </c>
      <c r="G3487" t="s">
        <v>32613</v>
      </c>
      <c r="H3487" t="s">
        <v>14201</v>
      </c>
      <c r="I3487" t="s">
        <v>32656</v>
      </c>
      <c r="J3487" t="s">
        <v>35152</v>
      </c>
      <c r="K3487" t="s">
        <v>42631</v>
      </c>
      <c r="M3487" t="s">
        <v>44397</v>
      </c>
      <c r="N3487" t="s">
        <v>47304</v>
      </c>
      <c r="O3487" t="s">
        <v>47305</v>
      </c>
      <c r="P3487">
        <v>0</v>
      </c>
      <c r="Q3487">
        <v>0</v>
      </c>
      <c r="R3487" t="s">
        <v>47306</v>
      </c>
      <c r="S3487" t="s">
        <v>47414</v>
      </c>
      <c r="T3487" t="s">
        <v>49009</v>
      </c>
      <c r="U3487" t="s">
        <v>52555</v>
      </c>
      <c r="W3487" t="s">
        <v>44397</v>
      </c>
      <c r="X3487" t="s">
        <v>47308</v>
      </c>
    </row>
    <row r="3488" spans="1:24">
      <c r="A3488">
        <f>HYPERLINK("https://www.philgeps.gov.ph/GEPSNONPILOT/Tender/SplashBidNoticeAbstractUI.aspx?menuIndex=3&amp;refID=7195790&amp;Result=3","7195790")</f>
        <v>0</v>
      </c>
      <c r="B3488" t="s">
        <v>1346</v>
      </c>
      <c r="C3488" t="s">
        <v>7170</v>
      </c>
      <c r="E3488" t="s">
        <v>22229</v>
      </c>
      <c r="F3488" t="s">
        <v>32606</v>
      </c>
      <c r="G3488" t="s">
        <v>32619</v>
      </c>
      <c r="H3488" t="s">
        <v>14201</v>
      </c>
      <c r="I3488" t="s">
        <v>6007</v>
      </c>
      <c r="J3488" t="s">
        <v>35153</v>
      </c>
      <c r="K3488" t="s">
        <v>42624</v>
      </c>
      <c r="M3488" t="s">
        <v>44320</v>
      </c>
      <c r="N3488" t="s">
        <v>47304</v>
      </c>
      <c r="O3488" t="s">
        <v>47305</v>
      </c>
      <c r="P3488">
        <v>0</v>
      </c>
      <c r="Q3488">
        <v>0</v>
      </c>
      <c r="R3488" t="s">
        <v>47306</v>
      </c>
      <c r="S3488" t="s">
        <v>47414</v>
      </c>
      <c r="T3488" t="s">
        <v>49072</v>
      </c>
      <c r="U3488" t="s">
        <v>52556</v>
      </c>
      <c r="W3488" t="s">
        <v>44320</v>
      </c>
      <c r="X3488" t="s">
        <v>47308</v>
      </c>
    </row>
    <row r="3489" spans="1:24">
      <c r="A3489">
        <f>HYPERLINK("https://www.philgeps.gov.ph/GEPSNONPILOT/Tender/SplashBidNoticeAbstractUI.aspx?menuIndex=3&amp;refID=7195797&amp;Result=3","7195797")</f>
        <v>0</v>
      </c>
      <c r="B3489" t="s">
        <v>1328</v>
      </c>
      <c r="C3489" t="s">
        <v>7171</v>
      </c>
      <c r="E3489" t="s">
        <v>22133</v>
      </c>
      <c r="F3489" t="s">
        <v>32606</v>
      </c>
      <c r="G3489" t="s">
        <v>32619</v>
      </c>
      <c r="H3489" t="s">
        <v>14201</v>
      </c>
      <c r="I3489" t="s">
        <v>9008</v>
      </c>
      <c r="J3489" t="s">
        <v>35154</v>
      </c>
      <c r="K3489" t="s">
        <v>42630</v>
      </c>
      <c r="M3489" t="s">
        <v>44302</v>
      </c>
      <c r="N3489" t="s">
        <v>47304</v>
      </c>
      <c r="O3489" t="s">
        <v>47305</v>
      </c>
      <c r="P3489">
        <v>0</v>
      </c>
      <c r="Q3489">
        <v>1</v>
      </c>
      <c r="R3489" t="s">
        <v>47306</v>
      </c>
      <c r="S3489" t="s">
        <v>47414</v>
      </c>
      <c r="T3489" t="s">
        <v>49196</v>
      </c>
      <c r="U3489" t="s">
        <v>52557</v>
      </c>
      <c r="W3489" t="s">
        <v>44302</v>
      </c>
      <c r="X3489" t="s">
        <v>47308</v>
      </c>
    </row>
    <row r="3490" spans="1:24">
      <c r="A3490">
        <f>HYPERLINK("https://www.philgeps.gov.ph/GEPSNONPILOT/Tender/SplashBidNoticeAbstractUI.aspx?menuIndex=3&amp;refID=7195787&amp;Result=3","7195787")</f>
        <v>0</v>
      </c>
      <c r="B3490" t="s">
        <v>337</v>
      </c>
      <c r="C3490" t="s">
        <v>7172</v>
      </c>
      <c r="D3490" t="s">
        <v>19039</v>
      </c>
      <c r="E3490" t="s">
        <v>22230</v>
      </c>
      <c r="F3490" t="s">
        <v>32606</v>
      </c>
      <c r="G3490" t="s">
        <v>32619</v>
      </c>
      <c r="H3490" t="s">
        <v>14201</v>
      </c>
      <c r="I3490" t="s">
        <v>4114</v>
      </c>
      <c r="J3490" t="s">
        <v>32977</v>
      </c>
      <c r="K3490" t="s">
        <v>42622</v>
      </c>
      <c r="M3490" t="s">
        <v>43239</v>
      </c>
      <c r="N3490" t="s">
        <v>47304</v>
      </c>
      <c r="O3490" t="s">
        <v>47305</v>
      </c>
      <c r="P3490">
        <v>0</v>
      </c>
      <c r="Q3490">
        <v>0</v>
      </c>
      <c r="R3490" t="s">
        <v>47306</v>
      </c>
      <c r="S3490" t="s">
        <v>47414</v>
      </c>
      <c r="T3490" t="s">
        <v>48980</v>
      </c>
      <c r="U3490" t="s">
        <v>52558</v>
      </c>
      <c r="W3490" t="s">
        <v>43239</v>
      </c>
      <c r="X3490" t="s">
        <v>47308</v>
      </c>
    </row>
    <row r="3491" spans="1:24">
      <c r="A3491">
        <f>HYPERLINK("https://www.philgeps.gov.ph/GEPSNONPILOT/Tender/SplashBidNoticeAbstractUI.aspx?menuIndex=3&amp;refID=7195786&amp;Result=3","7195786")</f>
        <v>0</v>
      </c>
      <c r="B3491" t="s">
        <v>439</v>
      </c>
      <c r="C3491" t="s">
        <v>7173</v>
      </c>
      <c r="D3491" t="s">
        <v>19054</v>
      </c>
      <c r="E3491" t="s">
        <v>22231</v>
      </c>
      <c r="F3491" t="s">
        <v>32606</v>
      </c>
      <c r="G3491" t="s">
        <v>32614</v>
      </c>
      <c r="H3491" t="s">
        <v>14201</v>
      </c>
      <c r="I3491" t="s">
        <v>17648</v>
      </c>
      <c r="J3491" t="s">
        <v>35155</v>
      </c>
      <c r="K3491" t="s">
        <v>42631</v>
      </c>
      <c r="M3491" t="s">
        <v>43346</v>
      </c>
      <c r="N3491" t="s">
        <v>47304</v>
      </c>
      <c r="O3491" t="s">
        <v>47305</v>
      </c>
      <c r="P3491">
        <v>0</v>
      </c>
      <c r="Q3491">
        <v>0</v>
      </c>
      <c r="R3491" t="s">
        <v>47306</v>
      </c>
      <c r="S3491" t="s">
        <v>47414</v>
      </c>
      <c r="T3491" t="s">
        <v>49050</v>
      </c>
      <c r="U3491" t="s">
        <v>52559</v>
      </c>
      <c r="W3491" t="s">
        <v>43346</v>
      </c>
      <c r="X3491" t="s">
        <v>47308</v>
      </c>
    </row>
    <row r="3492" spans="1:24">
      <c r="A3492">
        <f>HYPERLINK("https://www.philgeps.gov.ph/GEPSNONPILOT/Tender/SplashBidNoticeAbstractUI.aspx?menuIndex=3&amp;refID=7195794&amp;Result=3","7195794")</f>
        <v>0</v>
      </c>
      <c r="B3492" t="s">
        <v>616</v>
      </c>
      <c r="C3492" t="s">
        <v>4540</v>
      </c>
      <c r="D3492" t="s">
        <v>18989</v>
      </c>
      <c r="E3492" t="s">
        <v>22232</v>
      </c>
      <c r="F3492" t="s">
        <v>32606</v>
      </c>
      <c r="G3492" t="s">
        <v>32614</v>
      </c>
      <c r="H3492" t="s">
        <v>14201</v>
      </c>
      <c r="I3492" t="s">
        <v>32633</v>
      </c>
      <c r="J3492" t="s">
        <v>35156</v>
      </c>
      <c r="K3492" t="s">
        <v>42624</v>
      </c>
      <c r="M3492" t="s">
        <v>43534</v>
      </c>
      <c r="N3492" t="s">
        <v>47304</v>
      </c>
      <c r="O3492" t="s">
        <v>47305</v>
      </c>
      <c r="P3492">
        <v>0</v>
      </c>
      <c r="Q3492">
        <v>12</v>
      </c>
      <c r="R3492" t="s">
        <v>47306</v>
      </c>
      <c r="S3492" t="s">
        <v>47414</v>
      </c>
      <c r="T3492" t="s">
        <v>49004</v>
      </c>
      <c r="U3492" t="s">
        <v>50617</v>
      </c>
      <c r="W3492" t="s">
        <v>43534</v>
      </c>
      <c r="X3492" t="s">
        <v>47308</v>
      </c>
    </row>
    <row r="3493" spans="1:24">
      <c r="A3493">
        <f>HYPERLINK("https://www.philgeps.gov.ph/GEPSNONPILOT/Tender/SplashBidNoticeAbstractUI.aspx?menuIndex=3&amp;refID=7195782&amp;Result=3","7195782")</f>
        <v>0</v>
      </c>
      <c r="B3493" t="s">
        <v>233</v>
      </c>
      <c r="C3493" t="s">
        <v>7174</v>
      </c>
      <c r="D3493" t="s">
        <v>18997</v>
      </c>
      <c r="E3493" t="s">
        <v>22233</v>
      </c>
      <c r="F3493" t="s">
        <v>32606</v>
      </c>
      <c r="G3493" t="s">
        <v>32613</v>
      </c>
      <c r="H3493" t="s">
        <v>14201</v>
      </c>
      <c r="I3493" t="s">
        <v>6007</v>
      </c>
      <c r="J3493" t="s">
        <v>34960</v>
      </c>
      <c r="K3493" t="s">
        <v>42625</v>
      </c>
      <c r="M3493" t="s">
        <v>44359</v>
      </c>
      <c r="N3493" t="s">
        <v>47304</v>
      </c>
      <c r="O3493" t="s">
        <v>47305</v>
      </c>
      <c r="P3493">
        <v>0</v>
      </c>
      <c r="Q3493">
        <v>0</v>
      </c>
      <c r="R3493" t="s">
        <v>47306</v>
      </c>
      <c r="S3493" t="s">
        <v>47414</v>
      </c>
      <c r="T3493" t="s">
        <v>49023</v>
      </c>
      <c r="U3493" t="s">
        <v>52443</v>
      </c>
      <c r="V3493" t="s">
        <v>63002</v>
      </c>
      <c r="W3493" t="s">
        <v>44359</v>
      </c>
      <c r="X3493" t="s">
        <v>47308</v>
      </c>
    </row>
    <row r="3494" spans="1:24">
      <c r="A3494">
        <f>HYPERLINK("https://www.philgeps.gov.ph/GEPSNONPILOT/Tender/SplashBidNoticeAbstractUI.aspx?menuIndex=3&amp;refID=7195791&amp;Result=3","7195791")</f>
        <v>0</v>
      </c>
      <c r="B3494" t="s">
        <v>276</v>
      </c>
      <c r="C3494" t="s">
        <v>7175</v>
      </c>
      <c r="D3494" t="s">
        <v>19001</v>
      </c>
      <c r="E3494" t="s">
        <v>22234</v>
      </c>
      <c r="F3494" t="s">
        <v>32606</v>
      </c>
      <c r="G3494" t="s">
        <v>32614</v>
      </c>
      <c r="H3494" t="s">
        <v>14201</v>
      </c>
      <c r="I3494" t="s">
        <v>6931</v>
      </c>
      <c r="J3494" t="s">
        <v>35157</v>
      </c>
      <c r="K3494" t="s">
        <v>42622</v>
      </c>
      <c r="M3494" t="s">
        <v>43177</v>
      </c>
      <c r="N3494" t="s">
        <v>47304</v>
      </c>
      <c r="O3494" t="s">
        <v>47305</v>
      </c>
      <c r="P3494">
        <v>0</v>
      </c>
      <c r="Q3494">
        <v>0</v>
      </c>
      <c r="R3494" t="s">
        <v>47306</v>
      </c>
      <c r="S3494" t="s">
        <v>47414</v>
      </c>
      <c r="T3494" t="s">
        <v>48986</v>
      </c>
      <c r="U3494" t="s">
        <v>52560</v>
      </c>
      <c r="W3494" t="s">
        <v>43177</v>
      </c>
      <c r="X3494" t="s">
        <v>47308</v>
      </c>
    </row>
    <row r="3495" spans="1:24">
      <c r="A3495">
        <f>HYPERLINK("https://www.philgeps.gov.ph/GEPSNONPILOT/Tender/SplashBidNoticeAbstractUI.aspx?menuIndex=3&amp;refID=7195820&amp;Result=3","7195820")</f>
        <v>0</v>
      </c>
      <c r="B3495" t="s">
        <v>1405</v>
      </c>
      <c r="C3495" t="s">
        <v>7176</v>
      </c>
      <c r="D3495" t="s">
        <v>19012</v>
      </c>
      <c r="E3495" t="s">
        <v>22201</v>
      </c>
      <c r="F3495" t="s">
        <v>32606</v>
      </c>
      <c r="G3495" t="s">
        <v>32614</v>
      </c>
      <c r="H3495" t="s">
        <v>14201</v>
      </c>
      <c r="I3495" t="s">
        <v>32707</v>
      </c>
      <c r="J3495" t="s">
        <v>32799</v>
      </c>
      <c r="K3495" t="s">
        <v>42630</v>
      </c>
      <c r="M3495" t="s">
        <v>44390</v>
      </c>
      <c r="N3495" t="s">
        <v>47304</v>
      </c>
      <c r="O3495" t="s">
        <v>47305</v>
      </c>
      <c r="P3495">
        <v>0</v>
      </c>
      <c r="Q3495">
        <v>3</v>
      </c>
      <c r="R3495" t="s">
        <v>47306</v>
      </c>
      <c r="S3495" t="s">
        <v>47414</v>
      </c>
      <c r="T3495" t="s">
        <v>49016</v>
      </c>
      <c r="U3495" t="s">
        <v>52561</v>
      </c>
      <c r="W3495" t="s">
        <v>44390</v>
      </c>
      <c r="X3495" t="s">
        <v>47308</v>
      </c>
    </row>
    <row r="3496" spans="1:24">
      <c r="A3496">
        <f>HYPERLINK("https://www.philgeps.gov.ph/GEPSNONPILOT/Tender/SplashBidNoticeAbstractUI.aspx?menuIndex=3&amp;refID=7195819&amp;Result=3","7195819")</f>
        <v>0</v>
      </c>
      <c r="B3496" t="s">
        <v>1410</v>
      </c>
      <c r="C3496" t="s">
        <v>7177</v>
      </c>
      <c r="D3496" t="s">
        <v>19056</v>
      </c>
      <c r="E3496" t="s">
        <v>22235</v>
      </c>
      <c r="F3496" t="s">
        <v>32606</v>
      </c>
      <c r="G3496" t="s">
        <v>32613</v>
      </c>
      <c r="H3496" t="s">
        <v>32623</v>
      </c>
      <c r="I3496" t="s">
        <v>17648</v>
      </c>
      <c r="J3496" t="s">
        <v>35158</v>
      </c>
      <c r="K3496" t="s">
        <v>42631</v>
      </c>
      <c r="M3496" t="s">
        <v>44397</v>
      </c>
      <c r="N3496" t="s">
        <v>47304</v>
      </c>
      <c r="O3496" t="s">
        <v>47305</v>
      </c>
      <c r="P3496">
        <v>0</v>
      </c>
      <c r="Q3496">
        <v>0</v>
      </c>
      <c r="R3496" t="s">
        <v>47306</v>
      </c>
      <c r="S3496" t="s">
        <v>47414</v>
      </c>
      <c r="T3496" t="s">
        <v>49009</v>
      </c>
      <c r="U3496" t="s">
        <v>52555</v>
      </c>
      <c r="W3496" t="s">
        <v>44397</v>
      </c>
      <c r="X3496" t="s">
        <v>47308</v>
      </c>
    </row>
    <row r="3497" spans="1:24">
      <c r="A3497">
        <f>HYPERLINK("https://www.philgeps.gov.ph/GEPSNONPILOT/Tender/SplashBidNoticeAbstractUI.aspx?menuIndex=3&amp;refID=7195799&amp;Result=3","7195799")</f>
        <v>0</v>
      </c>
      <c r="B3497" t="s">
        <v>243</v>
      </c>
      <c r="C3497" t="s">
        <v>7178</v>
      </c>
      <c r="D3497" t="s">
        <v>19027</v>
      </c>
      <c r="E3497" t="s">
        <v>22236</v>
      </c>
      <c r="F3497" t="s">
        <v>32606</v>
      </c>
      <c r="G3497" t="s">
        <v>32619</v>
      </c>
      <c r="H3497" t="s">
        <v>14201</v>
      </c>
      <c r="I3497" t="s">
        <v>6007</v>
      </c>
      <c r="J3497" t="s">
        <v>35159</v>
      </c>
      <c r="K3497" t="s">
        <v>42624</v>
      </c>
      <c r="M3497" t="s">
        <v>44391</v>
      </c>
      <c r="N3497" t="s">
        <v>47304</v>
      </c>
      <c r="O3497" t="s">
        <v>47305</v>
      </c>
      <c r="P3497">
        <v>0</v>
      </c>
      <c r="Q3497">
        <v>1</v>
      </c>
      <c r="R3497" t="s">
        <v>47306</v>
      </c>
      <c r="S3497" t="s">
        <v>47414</v>
      </c>
      <c r="T3497" t="s">
        <v>48996</v>
      </c>
      <c r="U3497" t="s">
        <v>52562</v>
      </c>
      <c r="W3497" t="s">
        <v>64471</v>
      </c>
      <c r="X3497" t="s">
        <v>47308</v>
      </c>
    </row>
    <row r="3498" spans="1:24">
      <c r="A3498">
        <f>HYPERLINK("https://www.philgeps.gov.ph/GEPSNONPILOT/Tender/SplashBidNoticeAbstractUI.aspx?menuIndex=3&amp;refID=7195818&amp;Result=3","7195818")</f>
        <v>0</v>
      </c>
      <c r="B3498" t="s">
        <v>232</v>
      </c>
      <c r="C3498" t="s">
        <v>7179</v>
      </c>
      <c r="D3498" t="s">
        <v>19017</v>
      </c>
      <c r="E3498" t="s">
        <v>22237</v>
      </c>
      <c r="F3498" t="s">
        <v>32606</v>
      </c>
      <c r="G3498" t="s">
        <v>32613</v>
      </c>
      <c r="H3498" t="s">
        <v>14201</v>
      </c>
      <c r="I3498" t="s">
        <v>32633</v>
      </c>
      <c r="J3498" t="s">
        <v>35160</v>
      </c>
      <c r="K3498" t="s">
        <v>42623</v>
      </c>
      <c r="M3498" t="s">
        <v>43133</v>
      </c>
      <c r="N3498" t="s">
        <v>47304</v>
      </c>
      <c r="O3498" t="s">
        <v>47305</v>
      </c>
      <c r="P3498">
        <v>0</v>
      </c>
      <c r="Q3498">
        <v>5</v>
      </c>
      <c r="R3498" t="s">
        <v>47306</v>
      </c>
      <c r="S3498" t="s">
        <v>47414</v>
      </c>
      <c r="T3498" t="s">
        <v>48995</v>
      </c>
      <c r="U3498" t="s">
        <v>52563</v>
      </c>
      <c r="W3498" t="s">
        <v>43133</v>
      </c>
      <c r="X3498" t="s">
        <v>47308</v>
      </c>
    </row>
    <row r="3499" spans="1:24">
      <c r="A3499">
        <f>HYPERLINK("https://www.philgeps.gov.ph/GEPSNONPILOT/Tender/SplashBidNoticeAbstractUI.aspx?menuIndex=3&amp;refID=7195740&amp;Result=3","7195740")</f>
        <v>0</v>
      </c>
      <c r="B3499" t="s">
        <v>141</v>
      </c>
      <c r="C3499" t="s">
        <v>7180</v>
      </c>
      <c r="E3499" t="s">
        <v>22238</v>
      </c>
      <c r="F3499" t="s">
        <v>32606</v>
      </c>
      <c r="G3499" t="s">
        <v>32614</v>
      </c>
      <c r="H3499" t="s">
        <v>14201</v>
      </c>
      <c r="I3499" t="s">
        <v>32626</v>
      </c>
      <c r="J3499" t="s">
        <v>35161</v>
      </c>
      <c r="K3499" t="s">
        <v>42624</v>
      </c>
      <c r="M3499" t="s">
        <v>43042</v>
      </c>
      <c r="N3499" t="s">
        <v>47304</v>
      </c>
      <c r="O3499" t="s">
        <v>47305</v>
      </c>
      <c r="P3499">
        <v>0</v>
      </c>
      <c r="Q3499">
        <v>2</v>
      </c>
      <c r="R3499" t="s">
        <v>47306</v>
      </c>
      <c r="S3499" t="s">
        <v>47414</v>
      </c>
      <c r="T3499" t="s">
        <v>49004</v>
      </c>
      <c r="U3499" t="s">
        <v>52564</v>
      </c>
      <c r="W3499" t="s">
        <v>43042</v>
      </c>
      <c r="X3499" t="s">
        <v>47308</v>
      </c>
    </row>
    <row r="3500" spans="1:24">
      <c r="A3500">
        <f>HYPERLINK("https://www.philgeps.gov.ph/GEPSNONPILOT/Tender/SplashBidNoticeAbstractUI.aspx?menuIndex=3&amp;refID=7195817&amp;Result=3","7195817")</f>
        <v>0</v>
      </c>
      <c r="B3500" t="s">
        <v>1411</v>
      </c>
      <c r="C3500" t="s">
        <v>7181</v>
      </c>
      <c r="D3500" t="s">
        <v>19051</v>
      </c>
      <c r="E3500" t="s">
        <v>22239</v>
      </c>
      <c r="F3500" t="s">
        <v>32606</v>
      </c>
      <c r="G3500" t="s">
        <v>32614</v>
      </c>
      <c r="H3500" t="s">
        <v>14201</v>
      </c>
      <c r="I3500" t="s">
        <v>6931</v>
      </c>
      <c r="J3500" t="s">
        <v>35162</v>
      </c>
      <c r="K3500" t="s">
        <v>42632</v>
      </c>
      <c r="M3500" t="s">
        <v>44398</v>
      </c>
      <c r="N3500" t="s">
        <v>47304</v>
      </c>
      <c r="O3500" t="s">
        <v>47305</v>
      </c>
      <c r="P3500">
        <v>0</v>
      </c>
      <c r="Q3500">
        <v>0</v>
      </c>
      <c r="R3500" t="s">
        <v>47306</v>
      </c>
      <c r="S3500" t="s">
        <v>47414</v>
      </c>
      <c r="T3500" t="s">
        <v>49019</v>
      </c>
      <c r="U3500" t="s">
        <v>52565</v>
      </c>
      <c r="W3500" t="s">
        <v>44398</v>
      </c>
      <c r="X3500" t="s">
        <v>47308</v>
      </c>
    </row>
    <row r="3501" spans="1:24">
      <c r="A3501">
        <f>HYPERLINK("https://www.philgeps.gov.ph/GEPSNONPILOT/Tender/SplashBidNoticeAbstractUI.aspx?menuIndex=3&amp;refID=7195814&amp;Result=3","7195814")</f>
        <v>0</v>
      </c>
      <c r="B3501" t="s">
        <v>233</v>
      </c>
      <c r="C3501" t="s">
        <v>7182</v>
      </c>
      <c r="D3501" t="s">
        <v>18997</v>
      </c>
      <c r="E3501" t="s">
        <v>22240</v>
      </c>
      <c r="F3501" t="s">
        <v>32606</v>
      </c>
      <c r="G3501" t="s">
        <v>32613</v>
      </c>
      <c r="H3501" t="s">
        <v>14201</v>
      </c>
      <c r="I3501" t="s">
        <v>6007</v>
      </c>
      <c r="J3501" t="s">
        <v>35163</v>
      </c>
      <c r="K3501" t="s">
        <v>42625</v>
      </c>
      <c r="M3501" t="s">
        <v>44359</v>
      </c>
      <c r="N3501" t="s">
        <v>47304</v>
      </c>
      <c r="O3501" t="s">
        <v>47305</v>
      </c>
      <c r="P3501">
        <v>0</v>
      </c>
      <c r="Q3501">
        <v>0</v>
      </c>
      <c r="R3501" t="s">
        <v>47306</v>
      </c>
      <c r="S3501" t="s">
        <v>47414</v>
      </c>
      <c r="T3501" t="s">
        <v>49023</v>
      </c>
      <c r="U3501" t="s">
        <v>52443</v>
      </c>
      <c r="V3501" t="s">
        <v>63002</v>
      </c>
      <c r="W3501" t="s">
        <v>44359</v>
      </c>
      <c r="X3501" t="s">
        <v>47308</v>
      </c>
    </row>
    <row r="3502" spans="1:24">
      <c r="A3502">
        <f>HYPERLINK("https://www.philgeps.gov.ph/GEPSNONPILOT/Tender/SplashBidNoticeAbstractUI.aspx?menuIndex=3&amp;refID=7195813&amp;Result=3","7195813")</f>
        <v>0</v>
      </c>
      <c r="B3502" t="s">
        <v>238</v>
      </c>
      <c r="C3502" t="s">
        <v>7183</v>
      </c>
      <c r="D3502" t="s">
        <v>18993</v>
      </c>
      <c r="E3502" t="s">
        <v>22241</v>
      </c>
      <c r="F3502" t="s">
        <v>32606</v>
      </c>
      <c r="G3502" t="s">
        <v>32614</v>
      </c>
      <c r="H3502" t="s">
        <v>14201</v>
      </c>
      <c r="I3502" t="s">
        <v>32652</v>
      </c>
      <c r="J3502" t="s">
        <v>32811</v>
      </c>
      <c r="K3502" t="s">
        <v>42622</v>
      </c>
      <c r="M3502" t="s">
        <v>43357</v>
      </c>
      <c r="N3502" t="s">
        <v>47304</v>
      </c>
      <c r="O3502" t="s">
        <v>47305</v>
      </c>
      <c r="P3502">
        <v>0</v>
      </c>
      <c r="Q3502">
        <v>2</v>
      </c>
      <c r="R3502" t="s">
        <v>47306</v>
      </c>
      <c r="S3502" t="s">
        <v>47414</v>
      </c>
      <c r="T3502" t="s">
        <v>49123</v>
      </c>
      <c r="U3502" t="s">
        <v>52566</v>
      </c>
      <c r="V3502" t="s">
        <v>62749</v>
      </c>
      <c r="W3502" t="s">
        <v>43357</v>
      </c>
      <c r="X3502" t="s">
        <v>47308</v>
      </c>
    </row>
    <row r="3503" spans="1:24">
      <c r="A3503">
        <f>HYPERLINK("https://www.philgeps.gov.ph/GEPSNONPILOT/Tender/SplashBidNoticeAbstractUI.aspx?menuIndex=3&amp;refID=7195811&amp;Result=3","7195811")</f>
        <v>0</v>
      </c>
      <c r="B3503" t="s">
        <v>812</v>
      </c>
      <c r="C3503" t="s">
        <v>7184</v>
      </c>
      <c r="D3503" t="s">
        <v>19028</v>
      </c>
      <c r="E3503" t="s">
        <v>22242</v>
      </c>
      <c r="F3503" t="s">
        <v>32606</v>
      </c>
      <c r="G3503" t="s">
        <v>32614</v>
      </c>
      <c r="H3503" t="s">
        <v>14201</v>
      </c>
      <c r="I3503" t="s">
        <v>32626</v>
      </c>
      <c r="J3503" t="s">
        <v>35164</v>
      </c>
      <c r="K3503" t="s">
        <v>42632</v>
      </c>
      <c r="M3503" t="s">
        <v>43743</v>
      </c>
      <c r="N3503" t="s">
        <v>47304</v>
      </c>
      <c r="O3503" t="s">
        <v>47305</v>
      </c>
      <c r="P3503">
        <v>0</v>
      </c>
      <c r="Q3503">
        <v>11</v>
      </c>
      <c r="R3503" t="s">
        <v>47306</v>
      </c>
      <c r="S3503" t="s">
        <v>47414</v>
      </c>
      <c r="T3503" t="s">
        <v>49062</v>
      </c>
      <c r="U3503" t="s">
        <v>51048</v>
      </c>
      <c r="W3503" t="s">
        <v>43743</v>
      </c>
      <c r="X3503" t="s">
        <v>47308</v>
      </c>
    </row>
    <row r="3504" spans="1:24">
      <c r="A3504">
        <f>HYPERLINK("https://www.philgeps.gov.ph/GEPSNONPILOT/Tender/SplashBidNoticeAbstractUI.aspx?menuIndex=3&amp;refID=7195810&amp;Result=3","7195810")</f>
        <v>0</v>
      </c>
      <c r="B3504" t="s">
        <v>1137</v>
      </c>
      <c r="C3504" t="s">
        <v>7185</v>
      </c>
      <c r="D3504" t="s">
        <v>19042</v>
      </c>
      <c r="E3504" t="s">
        <v>22243</v>
      </c>
      <c r="F3504" t="s">
        <v>32606</v>
      </c>
      <c r="G3504" t="s">
        <v>32617</v>
      </c>
      <c r="H3504" t="s">
        <v>14201</v>
      </c>
      <c r="I3504" t="s">
        <v>4120</v>
      </c>
      <c r="J3504" t="s">
        <v>35165</v>
      </c>
      <c r="K3504" t="s">
        <v>42629</v>
      </c>
      <c r="M3504" t="s">
        <v>44099</v>
      </c>
      <c r="N3504" t="s">
        <v>47304</v>
      </c>
      <c r="O3504" t="s">
        <v>47305</v>
      </c>
      <c r="P3504">
        <v>0</v>
      </c>
      <c r="Q3504">
        <v>1</v>
      </c>
      <c r="R3504" t="s">
        <v>47306</v>
      </c>
      <c r="S3504" t="s">
        <v>47414</v>
      </c>
      <c r="T3504" t="s">
        <v>48997</v>
      </c>
      <c r="U3504" t="s">
        <v>52567</v>
      </c>
      <c r="W3504" t="s">
        <v>44099</v>
      </c>
      <c r="X3504" t="s">
        <v>47308</v>
      </c>
    </row>
    <row r="3505" spans="1:24">
      <c r="A3505">
        <f>HYPERLINK("https://www.philgeps.gov.ph/GEPSNONPILOT/Tender/SplashBidNoticeAbstractUI.aspx?menuIndex=3&amp;refID=7195809&amp;Result=3","7195809")</f>
        <v>0</v>
      </c>
      <c r="B3505" t="s">
        <v>1396</v>
      </c>
      <c r="C3505" t="s">
        <v>7186</v>
      </c>
      <c r="D3505" t="s">
        <v>18992</v>
      </c>
      <c r="E3505" t="s">
        <v>22244</v>
      </c>
      <c r="F3505" t="s">
        <v>32606</v>
      </c>
      <c r="G3505" t="s">
        <v>32614</v>
      </c>
      <c r="H3505" t="s">
        <v>14201</v>
      </c>
      <c r="I3505" t="s">
        <v>7677</v>
      </c>
      <c r="J3505" t="s">
        <v>35166</v>
      </c>
      <c r="K3505" t="s">
        <v>42645</v>
      </c>
      <c r="M3505" t="s">
        <v>44380</v>
      </c>
      <c r="N3505" t="s">
        <v>47304</v>
      </c>
      <c r="O3505" t="s">
        <v>47305</v>
      </c>
      <c r="P3505">
        <v>0</v>
      </c>
      <c r="Q3505">
        <v>1</v>
      </c>
      <c r="R3505" t="s">
        <v>47306</v>
      </c>
      <c r="S3505" t="s">
        <v>47414</v>
      </c>
      <c r="T3505" t="s">
        <v>49050</v>
      </c>
      <c r="U3505" t="s">
        <v>52568</v>
      </c>
      <c r="W3505" t="s">
        <v>44380</v>
      </c>
      <c r="X3505" t="s">
        <v>47308</v>
      </c>
    </row>
    <row r="3506" spans="1:24">
      <c r="A3506">
        <f>HYPERLINK("https://www.philgeps.gov.ph/GEPSNONPILOT/Tender/SplashBidNoticeAbstractUI.aspx?menuIndex=3&amp;refID=7195808&amp;Result=3","7195808")</f>
        <v>0</v>
      </c>
      <c r="B3506" t="s">
        <v>234</v>
      </c>
      <c r="C3506" t="s">
        <v>7187</v>
      </c>
      <c r="D3506" t="s">
        <v>19052</v>
      </c>
      <c r="E3506" t="s">
        <v>22245</v>
      </c>
      <c r="F3506" t="s">
        <v>32606</v>
      </c>
      <c r="G3506" t="s">
        <v>32614</v>
      </c>
      <c r="H3506" t="s">
        <v>14201</v>
      </c>
      <c r="I3506" t="s">
        <v>32660</v>
      </c>
      <c r="J3506" t="s">
        <v>32949</v>
      </c>
      <c r="K3506" t="s">
        <v>42631</v>
      </c>
      <c r="M3506" t="s">
        <v>43135</v>
      </c>
      <c r="N3506" t="s">
        <v>47304</v>
      </c>
      <c r="O3506" t="s">
        <v>47305</v>
      </c>
      <c r="P3506">
        <v>0</v>
      </c>
      <c r="Q3506">
        <v>0</v>
      </c>
      <c r="R3506" t="s">
        <v>47306</v>
      </c>
      <c r="S3506" t="s">
        <v>47414</v>
      </c>
      <c r="T3506" t="s">
        <v>49050</v>
      </c>
      <c r="U3506" t="s">
        <v>52569</v>
      </c>
      <c r="V3506" t="s">
        <v>62641</v>
      </c>
      <c r="W3506" t="s">
        <v>43135</v>
      </c>
      <c r="X3506" t="s">
        <v>47308</v>
      </c>
    </row>
    <row r="3507" spans="1:24">
      <c r="A3507">
        <f>HYPERLINK("https://www.philgeps.gov.ph/GEPSNONPILOT/Tender/SplashBidNoticeAbstractUI.aspx?menuIndex=3&amp;refID=7195807&amp;Result=3","7195807")</f>
        <v>0</v>
      </c>
      <c r="B3507" t="s">
        <v>1331</v>
      </c>
      <c r="C3507" t="s">
        <v>7188</v>
      </c>
      <c r="D3507" t="s">
        <v>18999</v>
      </c>
      <c r="E3507" t="s">
        <v>22246</v>
      </c>
      <c r="F3507" t="s">
        <v>32606</v>
      </c>
      <c r="G3507" t="s">
        <v>32613</v>
      </c>
      <c r="H3507" t="s">
        <v>32623</v>
      </c>
      <c r="I3507" t="s">
        <v>17648</v>
      </c>
      <c r="J3507" t="s">
        <v>32821</v>
      </c>
      <c r="K3507" t="s">
        <v>42682</v>
      </c>
      <c r="M3507" t="s">
        <v>44399</v>
      </c>
      <c r="N3507" t="s">
        <v>47304</v>
      </c>
      <c r="O3507" t="s">
        <v>47305</v>
      </c>
      <c r="P3507">
        <v>0</v>
      </c>
      <c r="Q3507">
        <v>1</v>
      </c>
      <c r="R3507" t="s">
        <v>47306</v>
      </c>
      <c r="S3507" t="s">
        <v>47414</v>
      </c>
      <c r="T3507" t="s">
        <v>49008</v>
      </c>
      <c r="U3507" t="s">
        <v>52570</v>
      </c>
      <c r="W3507" t="s">
        <v>64472</v>
      </c>
      <c r="X3507" t="s">
        <v>47308</v>
      </c>
    </row>
    <row r="3508" spans="1:24">
      <c r="A3508">
        <f>HYPERLINK("https://www.philgeps.gov.ph/GEPSNONPILOT/Tender/SplashBidNoticeAbstractUI.aspx?menuIndex=3&amp;refID=7195815&amp;Result=3","7195815")</f>
        <v>0</v>
      </c>
      <c r="B3508" t="s">
        <v>1412</v>
      </c>
      <c r="C3508" t="s">
        <v>7189</v>
      </c>
      <c r="D3508" t="s">
        <v>19056</v>
      </c>
      <c r="E3508" t="s">
        <v>22247</v>
      </c>
      <c r="F3508" t="s">
        <v>32606</v>
      </c>
      <c r="G3508" t="s">
        <v>32614</v>
      </c>
      <c r="H3508" t="s">
        <v>14201</v>
      </c>
      <c r="I3508" t="s">
        <v>6007</v>
      </c>
      <c r="J3508" t="s">
        <v>35167</v>
      </c>
      <c r="K3508" t="s">
        <v>42638</v>
      </c>
      <c r="M3508" t="s">
        <v>44400</v>
      </c>
      <c r="N3508" t="s">
        <v>47304</v>
      </c>
      <c r="O3508" t="s">
        <v>47305</v>
      </c>
      <c r="P3508">
        <v>0</v>
      </c>
      <c r="Q3508">
        <v>0</v>
      </c>
      <c r="R3508" t="s">
        <v>47306</v>
      </c>
      <c r="S3508" t="s">
        <v>47414</v>
      </c>
      <c r="T3508" t="s">
        <v>48979</v>
      </c>
      <c r="U3508" t="s">
        <v>52571</v>
      </c>
      <c r="W3508" t="s">
        <v>44400</v>
      </c>
      <c r="X3508" t="s">
        <v>47308</v>
      </c>
    </row>
    <row r="3509" spans="1:24">
      <c r="A3509">
        <f>HYPERLINK("https://www.philgeps.gov.ph/GEPSNONPILOT/Tender/SplashBidNoticeAbstractUI.aspx?menuIndex=3&amp;refID=7195805&amp;Result=3","7195805")</f>
        <v>0</v>
      </c>
      <c r="B3509" t="s">
        <v>497</v>
      </c>
      <c r="C3509" t="s">
        <v>7190</v>
      </c>
      <c r="D3509" t="s">
        <v>18991</v>
      </c>
      <c r="E3509" t="s">
        <v>22248</v>
      </c>
      <c r="F3509" t="s">
        <v>32606</v>
      </c>
      <c r="G3509" t="s">
        <v>32614</v>
      </c>
      <c r="H3509" t="s">
        <v>14201</v>
      </c>
      <c r="I3509" t="s">
        <v>6931</v>
      </c>
      <c r="J3509" t="s">
        <v>35168</v>
      </c>
      <c r="K3509" t="s">
        <v>42624</v>
      </c>
      <c r="M3509" t="s">
        <v>43410</v>
      </c>
      <c r="N3509" t="s">
        <v>47304</v>
      </c>
      <c r="O3509" t="s">
        <v>47305</v>
      </c>
      <c r="P3509">
        <v>0</v>
      </c>
      <c r="Q3509">
        <v>0</v>
      </c>
      <c r="R3509" t="s">
        <v>47306</v>
      </c>
      <c r="S3509" t="s">
        <v>47414</v>
      </c>
      <c r="T3509" t="s">
        <v>49004</v>
      </c>
      <c r="U3509" t="s">
        <v>52572</v>
      </c>
      <c r="W3509" t="s">
        <v>43410</v>
      </c>
      <c r="X3509" t="s">
        <v>47308</v>
      </c>
    </row>
    <row r="3510" spans="1:24">
      <c r="A3510">
        <f>HYPERLINK("https://www.philgeps.gov.ph/GEPSNONPILOT/Tender/SplashBidNoticeAbstractUI.aspx?menuIndex=3&amp;refID=7195804&amp;Result=3","7195804")</f>
        <v>0</v>
      </c>
      <c r="B3510" t="s">
        <v>1413</v>
      </c>
      <c r="C3510" t="s">
        <v>7191</v>
      </c>
      <c r="D3510" t="s">
        <v>19055</v>
      </c>
      <c r="E3510" t="s">
        <v>22249</v>
      </c>
      <c r="F3510" t="s">
        <v>32606</v>
      </c>
      <c r="G3510" t="s">
        <v>32614</v>
      </c>
      <c r="H3510" t="s">
        <v>14201</v>
      </c>
      <c r="I3510" t="s">
        <v>6931</v>
      </c>
      <c r="J3510" t="s">
        <v>35169</v>
      </c>
      <c r="K3510" t="s">
        <v>42623</v>
      </c>
      <c r="M3510" t="s">
        <v>44401</v>
      </c>
      <c r="N3510" t="s">
        <v>47304</v>
      </c>
      <c r="O3510" t="s">
        <v>47305</v>
      </c>
      <c r="P3510">
        <v>0</v>
      </c>
      <c r="Q3510">
        <v>0</v>
      </c>
      <c r="R3510" t="s">
        <v>47306</v>
      </c>
      <c r="S3510" t="s">
        <v>47414</v>
      </c>
      <c r="T3510" t="s">
        <v>48977</v>
      </c>
      <c r="U3510" t="s">
        <v>52573</v>
      </c>
      <c r="W3510" t="s">
        <v>44401</v>
      </c>
      <c r="X3510" t="s">
        <v>47308</v>
      </c>
    </row>
    <row r="3511" spans="1:24">
      <c r="A3511">
        <f>HYPERLINK("https://www.philgeps.gov.ph/GEPSNONPILOT/Tender/SplashBidNoticeAbstractUI.aspx?menuIndex=3&amp;refID=7195812&amp;Result=3","7195812")</f>
        <v>0</v>
      </c>
      <c r="B3511" t="s">
        <v>1414</v>
      </c>
      <c r="C3511" t="s">
        <v>7192</v>
      </c>
      <c r="D3511" t="s">
        <v>18994</v>
      </c>
      <c r="E3511" t="s">
        <v>22250</v>
      </c>
      <c r="F3511" t="s">
        <v>32606</v>
      </c>
      <c r="G3511" t="s">
        <v>32614</v>
      </c>
      <c r="H3511" t="s">
        <v>14201</v>
      </c>
      <c r="I3511" t="s">
        <v>32633</v>
      </c>
      <c r="J3511" t="s">
        <v>35170</v>
      </c>
      <c r="K3511" t="s">
        <v>42623</v>
      </c>
      <c r="M3511" t="s">
        <v>44402</v>
      </c>
      <c r="N3511" t="s">
        <v>47304</v>
      </c>
      <c r="O3511" t="s">
        <v>47305</v>
      </c>
      <c r="P3511">
        <v>0</v>
      </c>
      <c r="Q3511">
        <v>1</v>
      </c>
      <c r="R3511" t="s">
        <v>47306</v>
      </c>
      <c r="S3511" t="s">
        <v>47414</v>
      </c>
      <c r="T3511" t="s">
        <v>48980</v>
      </c>
      <c r="U3511" t="s">
        <v>52574</v>
      </c>
      <c r="W3511" t="s">
        <v>44402</v>
      </c>
      <c r="X3511" t="s">
        <v>47308</v>
      </c>
    </row>
    <row r="3512" spans="1:24">
      <c r="A3512">
        <f>HYPERLINK("https://www.philgeps.gov.ph/GEPSNONPILOT/Tender/SplashBidNoticeAbstractUI.aspx?menuIndex=3&amp;refID=7195803&amp;Result=3","7195803")</f>
        <v>0</v>
      </c>
      <c r="B3512" t="s">
        <v>251</v>
      </c>
      <c r="C3512" t="s">
        <v>7193</v>
      </c>
      <c r="D3512" t="s">
        <v>19023</v>
      </c>
      <c r="E3512" t="s">
        <v>22251</v>
      </c>
      <c r="F3512" t="s">
        <v>32606</v>
      </c>
      <c r="G3512" t="s">
        <v>32614</v>
      </c>
      <c r="H3512" t="s">
        <v>14201</v>
      </c>
      <c r="I3512" t="s">
        <v>8682</v>
      </c>
      <c r="J3512" t="s">
        <v>35171</v>
      </c>
      <c r="K3512" t="s">
        <v>42623</v>
      </c>
      <c r="M3512" t="s">
        <v>43152</v>
      </c>
      <c r="N3512" t="s">
        <v>47304</v>
      </c>
      <c r="O3512" t="s">
        <v>47305</v>
      </c>
      <c r="P3512">
        <v>0</v>
      </c>
      <c r="Q3512">
        <v>1</v>
      </c>
      <c r="R3512" t="s">
        <v>47306</v>
      </c>
      <c r="S3512" t="s">
        <v>47414</v>
      </c>
      <c r="T3512" t="s">
        <v>49061</v>
      </c>
      <c r="U3512" t="s">
        <v>52575</v>
      </c>
      <c r="W3512" t="s">
        <v>43152</v>
      </c>
      <c r="X3512" t="s">
        <v>47308</v>
      </c>
    </row>
    <row r="3513" spans="1:24">
      <c r="A3513">
        <f>HYPERLINK("https://www.philgeps.gov.ph/GEPSNONPILOT/Tender/SplashBidNoticeAbstractUI.aspx?menuIndex=3&amp;refID=7195802&amp;Result=3","7195802")</f>
        <v>0</v>
      </c>
      <c r="B3513" t="s">
        <v>1415</v>
      </c>
      <c r="C3513" t="s">
        <v>7194</v>
      </c>
      <c r="D3513" t="s">
        <v>19056</v>
      </c>
      <c r="E3513" t="s">
        <v>21793</v>
      </c>
      <c r="F3513" t="s">
        <v>32606</v>
      </c>
      <c r="G3513" t="s">
        <v>32614</v>
      </c>
      <c r="H3513" t="s">
        <v>14201</v>
      </c>
      <c r="I3513" t="s">
        <v>4678</v>
      </c>
      <c r="J3513" t="s">
        <v>33167</v>
      </c>
      <c r="K3513" t="s">
        <v>42630</v>
      </c>
      <c r="M3513" t="s">
        <v>44403</v>
      </c>
      <c r="N3513" t="s">
        <v>47304</v>
      </c>
      <c r="O3513" t="s">
        <v>47305</v>
      </c>
      <c r="P3513">
        <v>0</v>
      </c>
      <c r="Q3513">
        <v>2</v>
      </c>
      <c r="R3513" t="s">
        <v>47306</v>
      </c>
      <c r="S3513" t="s">
        <v>47414</v>
      </c>
      <c r="T3513" t="s">
        <v>48980</v>
      </c>
      <c r="U3513" t="s">
        <v>52576</v>
      </c>
      <c r="W3513" t="s">
        <v>44403</v>
      </c>
      <c r="X3513" t="s">
        <v>47308</v>
      </c>
    </row>
    <row r="3514" spans="1:24">
      <c r="A3514">
        <f>HYPERLINK("https://www.philgeps.gov.ph/GEPSNONPILOT/Tender/SplashBidNoticeAbstractUI.aspx?menuIndex=3&amp;refID=7195788&amp;Result=3","7195788")</f>
        <v>0</v>
      </c>
      <c r="B3514" t="s">
        <v>1345</v>
      </c>
      <c r="C3514" t="s">
        <v>7195</v>
      </c>
      <c r="D3514" t="s">
        <v>19011</v>
      </c>
      <c r="E3514" t="s">
        <v>19312</v>
      </c>
      <c r="F3514" t="s">
        <v>32606</v>
      </c>
      <c r="G3514" t="s">
        <v>32615</v>
      </c>
      <c r="H3514" t="s">
        <v>14201</v>
      </c>
      <c r="I3514" t="s">
        <v>32640</v>
      </c>
      <c r="J3514" t="s">
        <v>35172</v>
      </c>
      <c r="K3514" t="s">
        <v>42631</v>
      </c>
      <c r="M3514" t="s">
        <v>44319</v>
      </c>
      <c r="N3514" t="s">
        <v>47304</v>
      </c>
      <c r="O3514" t="s">
        <v>47305</v>
      </c>
      <c r="P3514">
        <v>0</v>
      </c>
      <c r="Q3514">
        <v>3</v>
      </c>
      <c r="R3514" t="s">
        <v>47306</v>
      </c>
      <c r="S3514" t="s">
        <v>47414</v>
      </c>
      <c r="T3514" t="s">
        <v>48982</v>
      </c>
      <c r="U3514" t="s">
        <v>52577</v>
      </c>
      <c r="W3514" t="s">
        <v>44319</v>
      </c>
      <c r="X3514" t="s">
        <v>47308</v>
      </c>
    </row>
    <row r="3515" spans="1:24">
      <c r="A3515">
        <f>HYPERLINK("https://www.philgeps.gov.ph/GEPSNONPILOT/Tender/SplashBidNoticeAbstractUI.aspx?menuIndex=3&amp;refID=7195841&amp;Result=3","7195841")</f>
        <v>0</v>
      </c>
      <c r="B3515" t="s">
        <v>1416</v>
      </c>
      <c r="C3515" t="s">
        <v>7196</v>
      </c>
      <c r="D3515" t="s">
        <v>18993</v>
      </c>
      <c r="E3515" t="s">
        <v>22252</v>
      </c>
      <c r="F3515" t="s">
        <v>32606</v>
      </c>
      <c r="G3515" t="s">
        <v>32614</v>
      </c>
      <c r="H3515" t="s">
        <v>14201</v>
      </c>
      <c r="I3515" t="s">
        <v>7577</v>
      </c>
      <c r="J3515" t="s">
        <v>35173</v>
      </c>
      <c r="K3515" t="s">
        <v>42627</v>
      </c>
      <c r="M3515" t="s">
        <v>44404</v>
      </c>
      <c r="N3515" t="s">
        <v>47304</v>
      </c>
      <c r="O3515" t="s">
        <v>47305</v>
      </c>
      <c r="Q3515">
        <v>3</v>
      </c>
      <c r="R3515" t="s">
        <v>47306</v>
      </c>
      <c r="S3515" t="s">
        <v>47422</v>
      </c>
      <c r="T3515" t="s">
        <v>49100</v>
      </c>
      <c r="U3515" t="s">
        <v>49653</v>
      </c>
      <c r="W3515" t="s">
        <v>44404</v>
      </c>
      <c r="X3515" t="s">
        <v>47308</v>
      </c>
    </row>
    <row r="3516" spans="1:24">
      <c r="A3516">
        <f>HYPERLINK("https://www.philgeps.gov.ph/GEPSNONPILOT/Tender/SplashBidNoticeAbstractUI.aspx?menuIndex=3&amp;refID=7195840&amp;Result=3","7195840")</f>
        <v>0</v>
      </c>
      <c r="B3516" t="s">
        <v>234</v>
      </c>
      <c r="C3516" t="s">
        <v>7197</v>
      </c>
      <c r="D3516" t="s">
        <v>19052</v>
      </c>
      <c r="E3516" t="s">
        <v>22253</v>
      </c>
      <c r="F3516" t="s">
        <v>32606</v>
      </c>
      <c r="G3516" t="s">
        <v>32614</v>
      </c>
      <c r="H3516" t="s">
        <v>14201</v>
      </c>
      <c r="I3516" t="s">
        <v>6007</v>
      </c>
      <c r="J3516" t="s">
        <v>33291</v>
      </c>
      <c r="K3516" t="s">
        <v>42631</v>
      </c>
      <c r="M3516" t="s">
        <v>43135</v>
      </c>
      <c r="N3516" t="s">
        <v>47304</v>
      </c>
      <c r="O3516" t="s">
        <v>47305</v>
      </c>
      <c r="P3516">
        <v>0</v>
      </c>
      <c r="Q3516">
        <v>0</v>
      </c>
      <c r="R3516" t="s">
        <v>47306</v>
      </c>
      <c r="S3516" t="s">
        <v>47414</v>
      </c>
      <c r="T3516" t="s">
        <v>49050</v>
      </c>
      <c r="U3516" t="s">
        <v>52578</v>
      </c>
      <c r="V3516" t="s">
        <v>62641</v>
      </c>
      <c r="W3516" t="s">
        <v>43135</v>
      </c>
      <c r="X3516" t="s">
        <v>47308</v>
      </c>
    </row>
    <row r="3517" spans="1:24">
      <c r="A3517">
        <f>HYPERLINK("https://www.philgeps.gov.ph/GEPSNONPILOT/Tender/SplashBidNoticeAbstractUI.aspx?menuIndex=3&amp;refID=7195839&amp;Result=3","7195839")</f>
        <v>0</v>
      </c>
      <c r="B3517" t="s">
        <v>76</v>
      </c>
      <c r="C3517" t="s">
        <v>7198</v>
      </c>
      <c r="D3517" t="s">
        <v>19010</v>
      </c>
      <c r="E3517" t="s">
        <v>22254</v>
      </c>
      <c r="F3517" t="s">
        <v>32606</v>
      </c>
      <c r="G3517" t="s">
        <v>32613</v>
      </c>
      <c r="H3517" t="s">
        <v>14201</v>
      </c>
      <c r="I3517" t="s">
        <v>9008</v>
      </c>
      <c r="J3517" t="s">
        <v>35174</v>
      </c>
      <c r="K3517" t="s">
        <v>42624</v>
      </c>
      <c r="M3517" t="s">
        <v>42973</v>
      </c>
      <c r="N3517" t="s">
        <v>47304</v>
      </c>
      <c r="O3517" t="s">
        <v>47305</v>
      </c>
      <c r="P3517">
        <v>0</v>
      </c>
      <c r="Q3517">
        <v>0</v>
      </c>
      <c r="R3517" t="s">
        <v>47306</v>
      </c>
      <c r="S3517" t="s">
        <v>47414</v>
      </c>
      <c r="T3517" t="s">
        <v>49011</v>
      </c>
      <c r="U3517" t="s">
        <v>52579</v>
      </c>
      <c r="W3517" t="s">
        <v>64421</v>
      </c>
      <c r="X3517" t="s">
        <v>47308</v>
      </c>
    </row>
    <row r="3518" spans="1:24">
      <c r="A3518">
        <f>HYPERLINK("https://www.philgeps.gov.ph/GEPSNONPILOT/Tender/SplashBidNoticeAbstractUI.aspx?menuIndex=3&amp;refID=7195837&amp;Result=3","7195837")</f>
        <v>0</v>
      </c>
      <c r="B3518" t="s">
        <v>210</v>
      </c>
      <c r="C3518" t="s">
        <v>7199</v>
      </c>
      <c r="D3518" t="s">
        <v>18986</v>
      </c>
      <c r="E3518" t="s">
        <v>22255</v>
      </c>
      <c r="F3518" t="s">
        <v>32606</v>
      </c>
      <c r="G3518" t="s">
        <v>32613</v>
      </c>
      <c r="H3518" t="s">
        <v>32623</v>
      </c>
      <c r="I3518" t="s">
        <v>17648</v>
      </c>
      <c r="J3518" t="s">
        <v>35175</v>
      </c>
      <c r="K3518" t="s">
        <v>42689</v>
      </c>
      <c r="M3518" t="s">
        <v>43111</v>
      </c>
      <c r="N3518" t="s">
        <v>47304</v>
      </c>
      <c r="O3518" t="s">
        <v>47305</v>
      </c>
      <c r="P3518">
        <v>0</v>
      </c>
      <c r="Q3518">
        <v>0</v>
      </c>
      <c r="R3518" t="s">
        <v>47306</v>
      </c>
      <c r="S3518" t="s">
        <v>47414</v>
      </c>
      <c r="T3518" t="s">
        <v>48971</v>
      </c>
      <c r="U3518" t="s">
        <v>52580</v>
      </c>
      <c r="W3518" t="s">
        <v>43111</v>
      </c>
      <c r="X3518" t="s">
        <v>47308</v>
      </c>
    </row>
    <row r="3519" spans="1:24">
      <c r="A3519">
        <f>HYPERLINK("https://www.philgeps.gov.ph/GEPSNONPILOT/Tender/SplashBidNoticeAbstractUI.aspx?menuIndex=3&amp;refID=7195806&amp;Result=3","7195806")</f>
        <v>0</v>
      </c>
      <c r="B3519" t="s">
        <v>360</v>
      </c>
      <c r="C3519" t="s">
        <v>7200</v>
      </c>
      <c r="D3519" t="s">
        <v>19040</v>
      </c>
      <c r="E3519" t="s">
        <v>22256</v>
      </c>
      <c r="F3519" t="s">
        <v>32606</v>
      </c>
      <c r="G3519" t="s">
        <v>32619</v>
      </c>
      <c r="H3519" t="s">
        <v>14201</v>
      </c>
      <c r="I3519" t="s">
        <v>6014</v>
      </c>
      <c r="J3519" t="s">
        <v>35176</v>
      </c>
      <c r="K3519" t="s">
        <v>42630</v>
      </c>
      <c r="M3519" t="s">
        <v>43262</v>
      </c>
      <c r="N3519" t="s">
        <v>47304</v>
      </c>
      <c r="O3519" t="s">
        <v>47305</v>
      </c>
      <c r="P3519">
        <v>0</v>
      </c>
      <c r="Q3519">
        <v>3</v>
      </c>
      <c r="R3519" t="s">
        <v>47306</v>
      </c>
      <c r="S3519" t="s">
        <v>47414</v>
      </c>
      <c r="T3519" t="s">
        <v>49050</v>
      </c>
      <c r="U3519" t="s">
        <v>50184</v>
      </c>
      <c r="W3519" t="s">
        <v>43262</v>
      </c>
      <c r="X3519" t="s">
        <v>47308</v>
      </c>
    </row>
    <row r="3520" spans="1:24">
      <c r="A3520">
        <f>HYPERLINK("https://www.philgeps.gov.ph/GEPSNONPILOT/Tender/SplashBidNoticeAbstractUI.aspx?menuIndex=3&amp;refID=7195836&amp;Result=3","7195836")</f>
        <v>0</v>
      </c>
      <c r="B3520" t="s">
        <v>616</v>
      </c>
      <c r="C3520" t="s">
        <v>5002</v>
      </c>
      <c r="D3520" t="s">
        <v>18989</v>
      </c>
      <c r="E3520" t="s">
        <v>22257</v>
      </c>
      <c r="F3520" t="s">
        <v>32606</v>
      </c>
      <c r="G3520" t="s">
        <v>32614</v>
      </c>
      <c r="H3520" t="s">
        <v>14201</v>
      </c>
      <c r="I3520" t="s">
        <v>32633</v>
      </c>
      <c r="J3520" t="s">
        <v>33658</v>
      </c>
      <c r="K3520" t="s">
        <v>42624</v>
      </c>
      <c r="M3520" t="s">
        <v>43534</v>
      </c>
      <c r="N3520" t="s">
        <v>47304</v>
      </c>
      <c r="O3520" t="s">
        <v>47305</v>
      </c>
      <c r="P3520">
        <v>0</v>
      </c>
      <c r="Q3520">
        <v>7</v>
      </c>
      <c r="R3520" t="s">
        <v>47306</v>
      </c>
      <c r="S3520" t="s">
        <v>47414</v>
      </c>
      <c r="T3520" t="s">
        <v>49004</v>
      </c>
      <c r="U3520" t="s">
        <v>50617</v>
      </c>
      <c r="W3520" t="s">
        <v>43534</v>
      </c>
      <c r="X3520" t="s">
        <v>47308</v>
      </c>
    </row>
    <row r="3521" spans="1:24">
      <c r="A3521">
        <f>HYPERLINK("https://www.philgeps.gov.ph/GEPSNONPILOT/Tender/SplashBidNoticeAbstractUI.aspx?menuIndex=3&amp;refID=7195834&amp;Result=3","7195834")</f>
        <v>0</v>
      </c>
      <c r="B3521" t="s">
        <v>1395</v>
      </c>
      <c r="C3521" t="s">
        <v>7201</v>
      </c>
      <c r="D3521" t="s">
        <v>19037</v>
      </c>
      <c r="E3521" t="s">
        <v>22258</v>
      </c>
      <c r="F3521" t="s">
        <v>32606</v>
      </c>
      <c r="G3521" t="s">
        <v>32614</v>
      </c>
      <c r="H3521" t="s">
        <v>14201</v>
      </c>
      <c r="I3521" t="s">
        <v>4114</v>
      </c>
      <c r="J3521" t="s">
        <v>32923</v>
      </c>
      <c r="K3521" t="s">
        <v>42623</v>
      </c>
      <c r="M3521" t="s">
        <v>44378</v>
      </c>
      <c r="N3521" t="s">
        <v>47304</v>
      </c>
      <c r="O3521" t="s">
        <v>47305</v>
      </c>
      <c r="P3521">
        <v>0</v>
      </c>
      <c r="Q3521">
        <v>0</v>
      </c>
      <c r="R3521" t="s">
        <v>47306</v>
      </c>
      <c r="S3521" t="s">
        <v>47414</v>
      </c>
      <c r="T3521" t="s">
        <v>48979</v>
      </c>
      <c r="U3521" t="s">
        <v>52488</v>
      </c>
      <c r="W3521" t="s">
        <v>44378</v>
      </c>
      <c r="X3521" t="s">
        <v>47308</v>
      </c>
    </row>
    <row r="3522" spans="1:24">
      <c r="A3522">
        <f>HYPERLINK("https://www.philgeps.gov.ph/GEPSNONPILOT/Tender/SplashBidNoticeAbstractUI.aspx?menuIndex=3&amp;refID=7195832&amp;Result=3","7195832")</f>
        <v>0</v>
      </c>
      <c r="B3522" t="s">
        <v>1331</v>
      </c>
      <c r="C3522" t="s">
        <v>7202</v>
      </c>
      <c r="D3522" t="s">
        <v>18999</v>
      </c>
      <c r="E3522" t="s">
        <v>22259</v>
      </c>
      <c r="F3522" t="s">
        <v>32606</v>
      </c>
      <c r="G3522" t="s">
        <v>32613</v>
      </c>
      <c r="H3522" t="s">
        <v>32623</v>
      </c>
      <c r="I3522" t="s">
        <v>17648</v>
      </c>
      <c r="J3522" t="s">
        <v>33071</v>
      </c>
      <c r="K3522" t="s">
        <v>42646</v>
      </c>
      <c r="M3522" t="s">
        <v>44399</v>
      </c>
      <c r="N3522" t="s">
        <v>47304</v>
      </c>
      <c r="O3522" t="s">
        <v>47305</v>
      </c>
      <c r="P3522">
        <v>0</v>
      </c>
      <c r="Q3522">
        <v>1</v>
      </c>
      <c r="R3522" t="s">
        <v>47306</v>
      </c>
      <c r="S3522" t="s">
        <v>47414</v>
      </c>
      <c r="T3522" t="s">
        <v>49008</v>
      </c>
      <c r="U3522" t="s">
        <v>52570</v>
      </c>
      <c r="W3522" t="s">
        <v>64472</v>
      </c>
      <c r="X3522" t="s">
        <v>47308</v>
      </c>
    </row>
    <row r="3523" spans="1:24">
      <c r="A3523">
        <f>HYPERLINK("https://www.philgeps.gov.ph/GEPSNONPILOT/Tender/SplashBidNoticeAbstractUI.aspx?menuIndex=3&amp;refID=7195798&amp;Result=3","7195798")</f>
        <v>0</v>
      </c>
      <c r="B3523" t="s">
        <v>76</v>
      </c>
      <c r="C3523" t="s">
        <v>7203</v>
      </c>
      <c r="D3523" t="s">
        <v>19010</v>
      </c>
      <c r="E3523" t="s">
        <v>22260</v>
      </c>
      <c r="F3523" t="s">
        <v>32606</v>
      </c>
      <c r="G3523" t="s">
        <v>32613</v>
      </c>
      <c r="H3523" t="s">
        <v>14201</v>
      </c>
      <c r="I3523" t="s">
        <v>9008</v>
      </c>
      <c r="J3523" t="s">
        <v>35177</v>
      </c>
      <c r="K3523" t="s">
        <v>42624</v>
      </c>
      <c r="M3523" t="s">
        <v>42973</v>
      </c>
      <c r="N3523" t="s">
        <v>47304</v>
      </c>
      <c r="O3523" t="s">
        <v>47305</v>
      </c>
      <c r="P3523">
        <v>0</v>
      </c>
      <c r="Q3523">
        <v>0</v>
      </c>
      <c r="R3523" t="s">
        <v>47306</v>
      </c>
      <c r="S3523" t="s">
        <v>47414</v>
      </c>
      <c r="T3523" t="s">
        <v>49011</v>
      </c>
      <c r="U3523" t="s">
        <v>52581</v>
      </c>
      <c r="W3523" t="s">
        <v>64421</v>
      </c>
      <c r="X3523" t="s">
        <v>47308</v>
      </c>
    </row>
    <row r="3524" spans="1:24">
      <c r="A3524">
        <f>HYPERLINK("https://www.philgeps.gov.ph/GEPSNONPILOT/Tender/SplashBidNoticeAbstractUI.aspx?menuIndex=3&amp;refID=7195830&amp;Result=3","7195830")</f>
        <v>0</v>
      </c>
      <c r="B3524" t="s">
        <v>176</v>
      </c>
      <c r="C3524" t="s">
        <v>7204</v>
      </c>
      <c r="D3524" t="s">
        <v>19039</v>
      </c>
      <c r="E3524" t="s">
        <v>22261</v>
      </c>
      <c r="F3524" t="s">
        <v>32606</v>
      </c>
      <c r="G3524" t="s">
        <v>32613</v>
      </c>
      <c r="H3524" t="s">
        <v>32623</v>
      </c>
      <c r="I3524" t="s">
        <v>6931</v>
      </c>
      <c r="J3524" t="s">
        <v>35178</v>
      </c>
      <c r="K3524" t="s">
        <v>42636</v>
      </c>
      <c r="M3524" t="s">
        <v>43077</v>
      </c>
      <c r="N3524" t="s">
        <v>47304</v>
      </c>
      <c r="O3524" t="s">
        <v>47305</v>
      </c>
      <c r="P3524">
        <v>0</v>
      </c>
      <c r="Q3524">
        <v>0</v>
      </c>
      <c r="R3524" t="s">
        <v>47306</v>
      </c>
      <c r="S3524" t="s">
        <v>47414</v>
      </c>
      <c r="T3524" t="s">
        <v>49058</v>
      </c>
      <c r="U3524" t="s">
        <v>52582</v>
      </c>
      <c r="W3524" t="s">
        <v>43077</v>
      </c>
      <c r="X3524" t="s">
        <v>47308</v>
      </c>
    </row>
    <row r="3525" spans="1:24">
      <c r="A3525">
        <f>HYPERLINK("https://www.philgeps.gov.ph/GEPSNONPILOT/Tender/SplashBidNoticeAbstractUI.aspx?menuIndex=3&amp;refID=7195829&amp;Result=3","7195829")</f>
        <v>0</v>
      </c>
      <c r="B3525" t="s">
        <v>1417</v>
      </c>
      <c r="C3525" t="s">
        <v>7205</v>
      </c>
      <c r="D3525" t="s">
        <v>19029</v>
      </c>
      <c r="E3525" t="s">
        <v>20123</v>
      </c>
      <c r="F3525" t="s">
        <v>32606</v>
      </c>
      <c r="G3525" t="s">
        <v>32617</v>
      </c>
      <c r="H3525" t="s">
        <v>14201</v>
      </c>
      <c r="I3525" t="s">
        <v>4114</v>
      </c>
      <c r="J3525" t="s">
        <v>35179</v>
      </c>
      <c r="K3525" t="s">
        <v>42632</v>
      </c>
      <c r="M3525" t="s">
        <v>44405</v>
      </c>
      <c r="N3525" t="s">
        <v>47304</v>
      </c>
      <c r="O3525" t="s">
        <v>47305</v>
      </c>
      <c r="P3525">
        <v>0</v>
      </c>
      <c r="Q3525">
        <v>1</v>
      </c>
      <c r="R3525" t="s">
        <v>47306</v>
      </c>
      <c r="S3525" t="s">
        <v>47414</v>
      </c>
      <c r="T3525" t="s">
        <v>48979</v>
      </c>
      <c r="U3525" t="s">
        <v>52583</v>
      </c>
      <c r="W3525" t="s">
        <v>44405</v>
      </c>
      <c r="X3525" t="s">
        <v>47308</v>
      </c>
    </row>
    <row r="3526" spans="1:24">
      <c r="A3526">
        <f>HYPERLINK("https://www.philgeps.gov.ph/GEPSNONPILOT/Tender/SplashBidNoticeAbstractUI.aspx?menuIndex=3&amp;refID=7195827&amp;Result=3","7195827")</f>
        <v>0</v>
      </c>
      <c r="B3526" t="s">
        <v>81</v>
      </c>
      <c r="C3526" t="s">
        <v>7123</v>
      </c>
      <c r="D3526" t="s">
        <v>18995</v>
      </c>
      <c r="E3526" t="s">
        <v>22262</v>
      </c>
      <c r="F3526" t="s">
        <v>32606</v>
      </c>
      <c r="G3526" t="s">
        <v>32614</v>
      </c>
      <c r="H3526" t="s">
        <v>14201</v>
      </c>
      <c r="I3526" t="s">
        <v>6931</v>
      </c>
      <c r="J3526" t="s">
        <v>35180</v>
      </c>
      <c r="K3526" t="s">
        <v>42624</v>
      </c>
      <c r="M3526" t="s">
        <v>42978</v>
      </c>
      <c r="N3526" t="s">
        <v>47304</v>
      </c>
      <c r="O3526" t="s">
        <v>47305</v>
      </c>
      <c r="P3526">
        <v>0</v>
      </c>
      <c r="Q3526">
        <v>0</v>
      </c>
      <c r="R3526" t="s">
        <v>47306</v>
      </c>
      <c r="S3526" t="s">
        <v>47414</v>
      </c>
      <c r="T3526" t="s">
        <v>49014</v>
      </c>
      <c r="U3526" t="s">
        <v>52584</v>
      </c>
      <c r="W3526" t="s">
        <v>42978</v>
      </c>
      <c r="X3526" t="s">
        <v>47308</v>
      </c>
    </row>
    <row r="3527" spans="1:24">
      <c r="A3527">
        <f>HYPERLINK("https://www.philgeps.gov.ph/GEPSNONPILOT/Tender/SplashBidNoticeAbstractUI.aspx?menuIndex=3&amp;refID=7195826&amp;Result=3","7195826")</f>
        <v>0</v>
      </c>
      <c r="B3527" t="s">
        <v>251</v>
      </c>
      <c r="C3527" t="s">
        <v>7206</v>
      </c>
      <c r="D3527" t="s">
        <v>19023</v>
      </c>
      <c r="E3527" t="s">
        <v>22263</v>
      </c>
      <c r="F3527" t="s">
        <v>32606</v>
      </c>
      <c r="G3527" t="s">
        <v>32614</v>
      </c>
      <c r="H3527" t="s">
        <v>14201</v>
      </c>
      <c r="I3527" t="s">
        <v>6007</v>
      </c>
      <c r="J3527" t="s">
        <v>35181</v>
      </c>
      <c r="K3527" t="s">
        <v>42632</v>
      </c>
      <c r="M3527" t="s">
        <v>43152</v>
      </c>
      <c r="N3527" t="s">
        <v>47304</v>
      </c>
      <c r="O3527" t="s">
        <v>47305</v>
      </c>
      <c r="P3527">
        <v>0</v>
      </c>
      <c r="Q3527">
        <v>0</v>
      </c>
      <c r="R3527" t="s">
        <v>47306</v>
      </c>
      <c r="S3527" t="s">
        <v>47414</v>
      </c>
      <c r="T3527" t="s">
        <v>49061</v>
      </c>
      <c r="U3527" t="s">
        <v>52585</v>
      </c>
      <c r="W3527" t="s">
        <v>43152</v>
      </c>
      <c r="X3527" t="s">
        <v>47308</v>
      </c>
    </row>
    <row r="3528" spans="1:24">
      <c r="A3528">
        <f>HYPERLINK("https://www.philgeps.gov.ph/GEPSNONPILOT/Tender/SplashBidNoticeAbstractUI.aspx?menuIndex=3&amp;refID=7195833&amp;Result=3","7195833")</f>
        <v>0</v>
      </c>
      <c r="B3528" t="s">
        <v>1418</v>
      </c>
      <c r="C3528" t="s">
        <v>7207</v>
      </c>
      <c r="D3528" t="s">
        <v>19002</v>
      </c>
      <c r="E3528" t="s">
        <v>22264</v>
      </c>
      <c r="F3528" t="s">
        <v>32606</v>
      </c>
      <c r="G3528" t="s">
        <v>32613</v>
      </c>
      <c r="H3528" t="s">
        <v>14201</v>
      </c>
      <c r="I3528" t="s">
        <v>32629</v>
      </c>
      <c r="J3528" t="s">
        <v>32752</v>
      </c>
      <c r="K3528" t="s">
        <v>42624</v>
      </c>
      <c r="M3528" t="s">
        <v>44406</v>
      </c>
      <c r="N3528" t="s">
        <v>47304</v>
      </c>
      <c r="O3528" t="s">
        <v>47305</v>
      </c>
      <c r="P3528">
        <v>0</v>
      </c>
      <c r="Q3528">
        <v>0</v>
      </c>
      <c r="R3528" t="s">
        <v>47306</v>
      </c>
      <c r="S3528" t="s">
        <v>47414</v>
      </c>
      <c r="T3528" t="s">
        <v>49107</v>
      </c>
      <c r="U3528" t="s">
        <v>52586</v>
      </c>
      <c r="W3528" t="s">
        <v>44406</v>
      </c>
      <c r="X3528" t="s">
        <v>47308</v>
      </c>
    </row>
    <row r="3529" spans="1:24">
      <c r="A3529">
        <f>HYPERLINK("https://www.philgeps.gov.ph/GEPSNONPILOT/Tender/SplashBidNoticeAbstractUI.aspx?menuIndex=3&amp;refID=7195831&amp;Result=3","7195831")</f>
        <v>0</v>
      </c>
      <c r="B3529" t="s">
        <v>233</v>
      </c>
      <c r="C3529" t="s">
        <v>7208</v>
      </c>
      <c r="D3529" t="s">
        <v>18997</v>
      </c>
      <c r="E3529" t="s">
        <v>22265</v>
      </c>
      <c r="F3529" t="s">
        <v>32606</v>
      </c>
      <c r="G3529" t="s">
        <v>32613</v>
      </c>
      <c r="H3529" t="s">
        <v>14201</v>
      </c>
      <c r="I3529" t="s">
        <v>32640</v>
      </c>
      <c r="J3529" t="s">
        <v>35182</v>
      </c>
      <c r="K3529" t="s">
        <v>42631</v>
      </c>
      <c r="M3529" t="s">
        <v>44359</v>
      </c>
      <c r="N3529" t="s">
        <v>47304</v>
      </c>
      <c r="O3529" t="s">
        <v>47305</v>
      </c>
      <c r="P3529">
        <v>0</v>
      </c>
      <c r="Q3529">
        <v>0</v>
      </c>
      <c r="R3529" t="s">
        <v>47306</v>
      </c>
      <c r="S3529" t="s">
        <v>47414</v>
      </c>
      <c r="T3529" t="s">
        <v>49023</v>
      </c>
      <c r="U3529" t="s">
        <v>52443</v>
      </c>
      <c r="V3529" t="s">
        <v>63002</v>
      </c>
      <c r="W3529" t="s">
        <v>44359</v>
      </c>
      <c r="X3529" t="s">
        <v>47308</v>
      </c>
    </row>
    <row r="3530" spans="1:24">
      <c r="A3530">
        <f>HYPERLINK("https://www.philgeps.gov.ph/GEPSNONPILOT/Tender/SplashBidNoticeAbstractUI.aspx?menuIndex=3&amp;refID=7195825&amp;Result=3","7195825")</f>
        <v>0</v>
      </c>
      <c r="B3530" t="s">
        <v>360</v>
      </c>
      <c r="C3530" t="s">
        <v>7209</v>
      </c>
      <c r="D3530" t="s">
        <v>19040</v>
      </c>
      <c r="E3530" t="s">
        <v>22266</v>
      </c>
      <c r="F3530" t="s">
        <v>32606</v>
      </c>
      <c r="G3530" t="s">
        <v>32614</v>
      </c>
      <c r="H3530" t="s">
        <v>14201</v>
      </c>
      <c r="I3530" t="s">
        <v>4369</v>
      </c>
      <c r="J3530" t="s">
        <v>32813</v>
      </c>
      <c r="K3530" t="s">
        <v>42630</v>
      </c>
      <c r="M3530" t="s">
        <v>43262</v>
      </c>
      <c r="N3530" t="s">
        <v>47304</v>
      </c>
      <c r="O3530" t="s">
        <v>47305</v>
      </c>
      <c r="P3530">
        <v>0</v>
      </c>
      <c r="Q3530">
        <v>1</v>
      </c>
      <c r="R3530" t="s">
        <v>47306</v>
      </c>
      <c r="S3530" t="s">
        <v>47414</v>
      </c>
      <c r="T3530" t="s">
        <v>49050</v>
      </c>
      <c r="U3530" t="s">
        <v>50184</v>
      </c>
      <c r="W3530" t="s">
        <v>43262</v>
      </c>
      <c r="X3530" t="s">
        <v>47308</v>
      </c>
    </row>
    <row r="3531" spans="1:24">
      <c r="A3531">
        <f>HYPERLINK("https://www.philgeps.gov.ph/GEPSNONPILOT/Tender/SplashBidNoticeAbstractUI.aspx?menuIndex=3&amp;refID=7195822&amp;Result=3","7195822")</f>
        <v>0</v>
      </c>
      <c r="B3531" t="s">
        <v>692</v>
      </c>
      <c r="C3531" t="s">
        <v>7210</v>
      </c>
      <c r="D3531" t="s">
        <v>18992</v>
      </c>
      <c r="E3531" t="s">
        <v>20332</v>
      </c>
      <c r="F3531" t="s">
        <v>32606</v>
      </c>
      <c r="G3531" t="s">
        <v>32614</v>
      </c>
      <c r="H3531" t="s">
        <v>14201</v>
      </c>
      <c r="I3531" t="s">
        <v>32675</v>
      </c>
      <c r="J3531" t="s">
        <v>35183</v>
      </c>
      <c r="K3531" t="s">
        <v>42629</v>
      </c>
      <c r="M3531" t="s">
        <v>43613</v>
      </c>
      <c r="N3531" t="s">
        <v>47304</v>
      </c>
      <c r="O3531" t="s">
        <v>47305</v>
      </c>
      <c r="P3531">
        <v>0</v>
      </c>
      <c r="Q3531">
        <v>0</v>
      </c>
      <c r="R3531" t="s">
        <v>47306</v>
      </c>
      <c r="S3531" t="s">
        <v>47414</v>
      </c>
      <c r="T3531" t="s">
        <v>48980</v>
      </c>
      <c r="U3531" t="s">
        <v>52587</v>
      </c>
      <c r="W3531" t="s">
        <v>43613</v>
      </c>
      <c r="X3531" t="s">
        <v>47308</v>
      </c>
    </row>
    <row r="3532" spans="1:24">
      <c r="A3532">
        <f>HYPERLINK("https://www.philgeps.gov.ph/GEPSNONPILOT/Tender/SplashBidNoticeAbstractUI.aspx?menuIndex=3&amp;refID=7195828&amp;Result=3","7195828")</f>
        <v>0</v>
      </c>
      <c r="B3532" t="s">
        <v>1419</v>
      </c>
      <c r="C3532" t="s">
        <v>7211</v>
      </c>
      <c r="D3532" t="s">
        <v>18993</v>
      </c>
      <c r="E3532" t="s">
        <v>22267</v>
      </c>
      <c r="F3532" t="s">
        <v>32606</v>
      </c>
      <c r="G3532" t="s">
        <v>32619</v>
      </c>
      <c r="H3532" t="s">
        <v>14201</v>
      </c>
      <c r="I3532" t="s">
        <v>6298</v>
      </c>
      <c r="J3532" t="s">
        <v>32813</v>
      </c>
      <c r="K3532" t="s">
        <v>42630</v>
      </c>
      <c r="M3532" t="s">
        <v>44407</v>
      </c>
      <c r="N3532" t="s">
        <v>47304</v>
      </c>
      <c r="O3532" t="s">
        <v>47305</v>
      </c>
      <c r="P3532">
        <v>0</v>
      </c>
      <c r="Q3532">
        <v>0</v>
      </c>
      <c r="R3532" t="s">
        <v>47306</v>
      </c>
      <c r="S3532" t="s">
        <v>47414</v>
      </c>
      <c r="T3532" t="s">
        <v>48986</v>
      </c>
      <c r="U3532" t="s">
        <v>52588</v>
      </c>
      <c r="W3532" t="s">
        <v>44407</v>
      </c>
      <c r="X3532" t="s">
        <v>47308</v>
      </c>
    </row>
    <row r="3533" spans="1:24">
      <c r="A3533">
        <f>HYPERLINK("https://www.philgeps.gov.ph/GEPSNONPILOT/Tender/SplashBidNoticeAbstractUI.aspx?menuIndex=3&amp;refID=7195821&amp;Result=3","7195821")</f>
        <v>0</v>
      </c>
      <c r="B3533" t="s">
        <v>1420</v>
      </c>
      <c r="C3533" t="s">
        <v>7212</v>
      </c>
      <c r="D3533" t="s">
        <v>19020</v>
      </c>
      <c r="E3533" t="s">
        <v>22268</v>
      </c>
      <c r="F3533" t="s">
        <v>32606</v>
      </c>
      <c r="G3533" t="s">
        <v>32614</v>
      </c>
      <c r="H3533" t="s">
        <v>14201</v>
      </c>
      <c r="I3533" t="s">
        <v>32659</v>
      </c>
      <c r="J3533" t="s">
        <v>35184</v>
      </c>
      <c r="K3533" t="s">
        <v>42623</v>
      </c>
      <c r="M3533" t="s">
        <v>44408</v>
      </c>
      <c r="N3533" t="s">
        <v>47304</v>
      </c>
      <c r="O3533" t="s">
        <v>47305</v>
      </c>
      <c r="P3533">
        <v>0</v>
      </c>
      <c r="Q3533">
        <v>0</v>
      </c>
      <c r="R3533" t="s">
        <v>47306</v>
      </c>
      <c r="S3533" t="s">
        <v>47414</v>
      </c>
      <c r="T3533" t="s">
        <v>48979</v>
      </c>
      <c r="U3533" t="s">
        <v>52589</v>
      </c>
      <c r="W3533" t="s">
        <v>44408</v>
      </c>
      <c r="X3533" t="s">
        <v>47308</v>
      </c>
    </row>
    <row r="3534" spans="1:24">
      <c r="A3534">
        <f>HYPERLINK("https://www.philgeps.gov.ph/GEPSNONPILOT/Tender/SplashBidNoticeAbstractUI.aspx?menuIndex=3&amp;refID=7195781&amp;Result=3","7195781")</f>
        <v>0</v>
      </c>
      <c r="B3534" t="s">
        <v>89</v>
      </c>
      <c r="C3534" t="s">
        <v>7213</v>
      </c>
      <c r="D3534" t="s">
        <v>19018</v>
      </c>
      <c r="E3534" t="s">
        <v>22269</v>
      </c>
      <c r="F3534" t="s">
        <v>32606</v>
      </c>
      <c r="G3534" t="s">
        <v>32613</v>
      </c>
      <c r="H3534" t="s">
        <v>14201</v>
      </c>
      <c r="I3534" t="s">
        <v>6007</v>
      </c>
      <c r="J3534" t="s">
        <v>35185</v>
      </c>
      <c r="K3534" t="s">
        <v>42631</v>
      </c>
      <c r="M3534" t="s">
        <v>42987</v>
      </c>
      <c r="N3534" t="s">
        <v>47304</v>
      </c>
      <c r="O3534" t="s">
        <v>47305</v>
      </c>
      <c r="P3534">
        <v>0</v>
      </c>
      <c r="Q3534">
        <v>0</v>
      </c>
      <c r="R3534" t="s">
        <v>47306</v>
      </c>
      <c r="S3534" t="s">
        <v>47414</v>
      </c>
      <c r="T3534" t="s">
        <v>49008</v>
      </c>
      <c r="U3534" t="s">
        <v>52590</v>
      </c>
      <c r="W3534" t="s">
        <v>42987</v>
      </c>
      <c r="X3534" t="s">
        <v>47308</v>
      </c>
    </row>
    <row r="3535" spans="1:24">
      <c r="A3535">
        <f>HYPERLINK("https://www.philgeps.gov.ph/GEPSNONPILOT/Tender/SplashBidNoticeAbstractUI.aspx?menuIndex=3&amp;refID=7195824&amp;Result=3","7195824")</f>
        <v>0</v>
      </c>
      <c r="B3535" t="s">
        <v>1421</v>
      </c>
      <c r="C3535" t="s">
        <v>7214</v>
      </c>
      <c r="D3535" t="s">
        <v>18995</v>
      </c>
      <c r="E3535" t="s">
        <v>22270</v>
      </c>
      <c r="F3535" t="s">
        <v>32606</v>
      </c>
      <c r="G3535" t="s">
        <v>32614</v>
      </c>
      <c r="H3535" t="s">
        <v>14201</v>
      </c>
      <c r="I3535" t="s">
        <v>6931</v>
      </c>
      <c r="J3535" t="s">
        <v>35186</v>
      </c>
      <c r="K3535" t="s">
        <v>42630</v>
      </c>
      <c r="M3535" t="s">
        <v>44409</v>
      </c>
      <c r="N3535" t="s">
        <v>47304</v>
      </c>
      <c r="O3535" t="s">
        <v>47305</v>
      </c>
      <c r="P3535">
        <v>0</v>
      </c>
      <c r="Q3535">
        <v>1</v>
      </c>
      <c r="R3535" t="s">
        <v>47306</v>
      </c>
      <c r="S3535" t="s">
        <v>47414</v>
      </c>
      <c r="T3535" t="s">
        <v>48979</v>
      </c>
      <c r="U3535" t="s">
        <v>52591</v>
      </c>
      <c r="W3535" t="s">
        <v>44409</v>
      </c>
      <c r="X3535" t="s">
        <v>47308</v>
      </c>
    </row>
    <row r="3536" spans="1:24">
      <c r="A3536">
        <f>HYPERLINK("https://www.philgeps.gov.ph/GEPSNONPILOT/Tender/SplashBidNoticeAbstractUI.aspx?menuIndex=3&amp;refID=7195823&amp;Result=3","7195823")</f>
        <v>0</v>
      </c>
      <c r="B3536" t="s">
        <v>1422</v>
      </c>
      <c r="C3536" t="s">
        <v>3971</v>
      </c>
      <c r="D3536" t="s">
        <v>19018</v>
      </c>
      <c r="E3536" t="s">
        <v>19670</v>
      </c>
      <c r="F3536" t="s">
        <v>32606</v>
      </c>
      <c r="G3536" t="s">
        <v>32617</v>
      </c>
      <c r="H3536" t="s">
        <v>14201</v>
      </c>
      <c r="I3536" t="s">
        <v>4114</v>
      </c>
      <c r="J3536" t="s">
        <v>33257</v>
      </c>
      <c r="K3536" t="s">
        <v>42624</v>
      </c>
      <c r="M3536" t="s">
        <v>44410</v>
      </c>
      <c r="N3536" t="s">
        <v>47304</v>
      </c>
      <c r="O3536" t="s">
        <v>47305</v>
      </c>
      <c r="P3536">
        <v>0</v>
      </c>
      <c r="Q3536">
        <v>0</v>
      </c>
      <c r="R3536" t="s">
        <v>47306</v>
      </c>
      <c r="S3536" t="s">
        <v>47414</v>
      </c>
      <c r="T3536" t="s">
        <v>49014</v>
      </c>
      <c r="U3536" t="s">
        <v>52592</v>
      </c>
      <c r="W3536" t="s">
        <v>44410</v>
      </c>
      <c r="X3536" t="s">
        <v>47308</v>
      </c>
    </row>
    <row r="3537" spans="1:24">
      <c r="A3537">
        <f>HYPERLINK("https://www.philgeps.gov.ph/GEPSNONPILOT/Tender/SplashBidNoticeAbstractUI.aspx?menuIndex=3&amp;refID=7195778&amp;Result=3","7195778")</f>
        <v>0</v>
      </c>
      <c r="B3537" t="s">
        <v>1331</v>
      </c>
      <c r="C3537" t="s">
        <v>7215</v>
      </c>
      <c r="D3537" t="s">
        <v>18999</v>
      </c>
      <c r="E3537" t="s">
        <v>22271</v>
      </c>
      <c r="F3537" t="s">
        <v>32606</v>
      </c>
      <c r="G3537" t="s">
        <v>32613</v>
      </c>
      <c r="H3537" t="s">
        <v>32623</v>
      </c>
      <c r="I3537" t="s">
        <v>17648</v>
      </c>
      <c r="J3537" t="s">
        <v>32795</v>
      </c>
      <c r="K3537" t="s">
        <v>42639</v>
      </c>
      <c r="M3537" t="s">
        <v>44399</v>
      </c>
      <c r="N3537" t="s">
        <v>47304</v>
      </c>
      <c r="O3537" t="s">
        <v>47305</v>
      </c>
      <c r="P3537">
        <v>0</v>
      </c>
      <c r="Q3537">
        <v>1</v>
      </c>
      <c r="R3537" t="s">
        <v>47306</v>
      </c>
      <c r="S3537" t="s">
        <v>47414</v>
      </c>
      <c r="T3537" t="s">
        <v>49008</v>
      </c>
      <c r="U3537" t="s">
        <v>52570</v>
      </c>
      <c r="W3537" t="s">
        <v>64472</v>
      </c>
      <c r="X3537" t="s">
        <v>47308</v>
      </c>
    </row>
    <row r="3538" spans="1:24">
      <c r="A3538">
        <f>HYPERLINK("https://www.philgeps.gov.ph/GEPSNONPILOT/Tender/SplashBidNoticeAbstractUI.aspx?menuIndex=3&amp;refID=7195777&amp;Result=3","7195777")</f>
        <v>0</v>
      </c>
      <c r="B3538" t="s">
        <v>141</v>
      </c>
      <c r="C3538" t="s">
        <v>7216</v>
      </c>
      <c r="E3538" t="s">
        <v>22272</v>
      </c>
      <c r="F3538" t="s">
        <v>32606</v>
      </c>
      <c r="G3538" t="s">
        <v>32614</v>
      </c>
      <c r="H3538" t="s">
        <v>32623</v>
      </c>
      <c r="I3538" t="s">
        <v>17648</v>
      </c>
      <c r="J3538" t="s">
        <v>32765</v>
      </c>
      <c r="K3538" t="s">
        <v>42624</v>
      </c>
      <c r="M3538" t="s">
        <v>43042</v>
      </c>
      <c r="N3538" t="s">
        <v>47304</v>
      </c>
      <c r="O3538" t="s">
        <v>47305</v>
      </c>
      <c r="P3538">
        <v>0</v>
      </c>
      <c r="Q3538">
        <v>0</v>
      </c>
      <c r="R3538" t="s">
        <v>47306</v>
      </c>
      <c r="S3538" t="s">
        <v>47414</v>
      </c>
      <c r="T3538" t="s">
        <v>49004</v>
      </c>
      <c r="U3538" t="s">
        <v>52533</v>
      </c>
      <c r="W3538" t="s">
        <v>43042</v>
      </c>
      <c r="X3538" t="s">
        <v>47308</v>
      </c>
    </row>
    <row r="3539" spans="1:24">
      <c r="A3539">
        <f>HYPERLINK("https://www.philgeps.gov.ph/GEPSNONPILOT/Tender/SplashBidNoticeAbstractUI.aspx?menuIndex=3&amp;refID=7195801&amp;Result=3","7195801")</f>
        <v>0</v>
      </c>
      <c r="B3539" t="s">
        <v>692</v>
      </c>
      <c r="C3539" t="s">
        <v>7217</v>
      </c>
      <c r="D3539" t="s">
        <v>18992</v>
      </c>
      <c r="E3539" t="s">
        <v>20332</v>
      </c>
      <c r="F3539" t="s">
        <v>32606</v>
      </c>
      <c r="G3539" t="s">
        <v>32614</v>
      </c>
      <c r="H3539" t="s">
        <v>14201</v>
      </c>
      <c r="I3539" t="s">
        <v>6993</v>
      </c>
      <c r="J3539" t="s">
        <v>35187</v>
      </c>
      <c r="K3539" t="s">
        <v>42629</v>
      </c>
      <c r="M3539" t="s">
        <v>43613</v>
      </c>
      <c r="N3539" t="s">
        <v>47304</v>
      </c>
      <c r="O3539" t="s">
        <v>47305</v>
      </c>
      <c r="P3539">
        <v>0</v>
      </c>
      <c r="Q3539">
        <v>0</v>
      </c>
      <c r="R3539" t="s">
        <v>47306</v>
      </c>
      <c r="S3539" t="s">
        <v>47414</v>
      </c>
      <c r="T3539" t="s">
        <v>48980</v>
      </c>
      <c r="U3539" t="s">
        <v>52593</v>
      </c>
      <c r="W3539" t="s">
        <v>43613</v>
      </c>
      <c r="X3539" t="s">
        <v>47308</v>
      </c>
    </row>
    <row r="3540" spans="1:24">
      <c r="A3540">
        <f>HYPERLINK("https://www.philgeps.gov.ph/GEPSNONPILOT/Tender/SplashBidNoticeAbstractUI.aspx?menuIndex=3&amp;refID=7195776&amp;Result=3","7195776")</f>
        <v>0</v>
      </c>
      <c r="B3540" t="s">
        <v>1423</v>
      </c>
      <c r="C3540" t="s">
        <v>7218</v>
      </c>
      <c r="D3540" t="s">
        <v>19042</v>
      </c>
      <c r="E3540" t="s">
        <v>20122</v>
      </c>
      <c r="F3540" t="s">
        <v>32606</v>
      </c>
      <c r="G3540" t="s">
        <v>32613</v>
      </c>
      <c r="H3540" t="s">
        <v>14201</v>
      </c>
      <c r="I3540" t="s">
        <v>6931</v>
      </c>
      <c r="J3540" t="s">
        <v>35188</v>
      </c>
      <c r="K3540" t="s">
        <v>42631</v>
      </c>
      <c r="M3540" t="s">
        <v>44411</v>
      </c>
      <c r="N3540" t="s">
        <v>47304</v>
      </c>
      <c r="O3540" t="s">
        <v>47305</v>
      </c>
      <c r="P3540">
        <v>0</v>
      </c>
      <c r="Q3540">
        <v>0</v>
      </c>
      <c r="R3540" t="s">
        <v>47306</v>
      </c>
      <c r="S3540" t="s">
        <v>47414</v>
      </c>
      <c r="T3540" t="s">
        <v>49016</v>
      </c>
      <c r="U3540" t="s">
        <v>52594</v>
      </c>
      <c r="W3540" t="s">
        <v>44411</v>
      </c>
      <c r="X3540" t="s">
        <v>47308</v>
      </c>
    </row>
    <row r="3541" spans="1:24">
      <c r="A3541">
        <f>HYPERLINK("https://www.philgeps.gov.ph/GEPSNONPILOT/Tender/SplashBidNoticeAbstractUI.aspx?menuIndex=3&amp;refID=7195502&amp;Result=3","7195502")</f>
        <v>0</v>
      </c>
      <c r="B3541" t="s">
        <v>1424</v>
      </c>
      <c r="C3541" t="s">
        <v>7219</v>
      </c>
      <c r="D3541" t="s">
        <v>19024</v>
      </c>
      <c r="E3541" t="s">
        <v>19561</v>
      </c>
      <c r="F3541" t="s">
        <v>32606</v>
      </c>
      <c r="G3541" t="s">
        <v>32613</v>
      </c>
      <c r="H3541" t="s">
        <v>14201</v>
      </c>
      <c r="I3541" t="s">
        <v>7064</v>
      </c>
      <c r="J3541" t="s">
        <v>32752</v>
      </c>
      <c r="K3541" t="s">
        <v>42631</v>
      </c>
      <c r="M3541" t="s">
        <v>44412</v>
      </c>
      <c r="N3541" t="s">
        <v>47304</v>
      </c>
      <c r="O3541" t="s">
        <v>47305</v>
      </c>
      <c r="P3541">
        <v>0</v>
      </c>
      <c r="Q3541">
        <v>0</v>
      </c>
      <c r="R3541" t="s">
        <v>47306</v>
      </c>
      <c r="S3541" t="s">
        <v>47414</v>
      </c>
      <c r="T3541" t="s">
        <v>49052</v>
      </c>
      <c r="U3541" t="s">
        <v>52595</v>
      </c>
      <c r="W3541" t="s">
        <v>44412</v>
      </c>
      <c r="X3541" t="s">
        <v>47308</v>
      </c>
    </row>
    <row r="3542" spans="1:24">
      <c r="A3542">
        <f>HYPERLINK("https://www.philgeps.gov.ph/GEPSNONPILOT/Tender/SplashBidNoticeAbstractUI.aspx?menuIndex=3&amp;refID=7195500&amp;Result=3","7195500")</f>
        <v>0</v>
      </c>
      <c r="B3542" t="s">
        <v>718</v>
      </c>
      <c r="C3542" t="s">
        <v>7220</v>
      </c>
      <c r="D3542" t="s">
        <v>19037</v>
      </c>
      <c r="E3542" t="s">
        <v>22273</v>
      </c>
      <c r="F3542" t="s">
        <v>32606</v>
      </c>
      <c r="G3542" t="s">
        <v>32614</v>
      </c>
      <c r="H3542" t="s">
        <v>14201</v>
      </c>
      <c r="I3542" t="s">
        <v>32638</v>
      </c>
      <c r="J3542" t="s">
        <v>35189</v>
      </c>
      <c r="K3542" t="s">
        <v>42623</v>
      </c>
      <c r="M3542" t="s">
        <v>44413</v>
      </c>
      <c r="N3542" t="s">
        <v>47304</v>
      </c>
      <c r="O3542" t="s">
        <v>47305</v>
      </c>
      <c r="P3542">
        <v>0</v>
      </c>
      <c r="Q3542">
        <v>5</v>
      </c>
      <c r="R3542" t="s">
        <v>47306</v>
      </c>
      <c r="S3542" t="s">
        <v>47414</v>
      </c>
      <c r="T3542" t="s">
        <v>48988</v>
      </c>
      <c r="U3542" t="s">
        <v>52596</v>
      </c>
      <c r="W3542" t="s">
        <v>44413</v>
      </c>
      <c r="X3542" t="s">
        <v>47308</v>
      </c>
    </row>
    <row r="3543" spans="1:24">
      <c r="A3543">
        <f>HYPERLINK("https://www.philgeps.gov.ph/GEPSNONPILOT/Tender/SplashBidNoticeAbstractUI.aspx?menuIndex=3&amp;refID=7195430&amp;Result=3","7195430")</f>
        <v>0</v>
      </c>
      <c r="B3543" t="s">
        <v>438</v>
      </c>
      <c r="C3543" t="s">
        <v>7221</v>
      </c>
      <c r="D3543" t="s">
        <v>19003</v>
      </c>
      <c r="E3543" t="s">
        <v>22274</v>
      </c>
      <c r="F3543" t="s">
        <v>32606</v>
      </c>
      <c r="G3543" t="s">
        <v>32613</v>
      </c>
      <c r="H3543" t="s">
        <v>14201</v>
      </c>
      <c r="I3543" t="s">
        <v>9008</v>
      </c>
      <c r="J3543" t="s">
        <v>35190</v>
      </c>
      <c r="K3543" t="s">
        <v>42638</v>
      </c>
      <c r="M3543" t="s">
        <v>43345</v>
      </c>
      <c r="N3543" t="s">
        <v>47304</v>
      </c>
      <c r="O3543" t="s">
        <v>47305</v>
      </c>
      <c r="P3543">
        <v>0</v>
      </c>
      <c r="Q3543">
        <v>2</v>
      </c>
      <c r="R3543" t="s">
        <v>47306</v>
      </c>
      <c r="S3543" t="s">
        <v>47414</v>
      </c>
      <c r="T3543" t="s">
        <v>49094</v>
      </c>
      <c r="U3543" t="s">
        <v>52597</v>
      </c>
      <c r="W3543" t="s">
        <v>43345</v>
      </c>
      <c r="X3543" t="s">
        <v>47308</v>
      </c>
    </row>
    <row r="3544" spans="1:24">
      <c r="A3544">
        <f>HYPERLINK("https://www.philgeps.gov.ph/GEPSNONPILOT/Tender/SplashBidNoticeAbstractUI.aspx?menuIndex=3&amp;refID=7195428&amp;Result=3","7195428")</f>
        <v>0</v>
      </c>
      <c r="B3544" t="s">
        <v>81</v>
      </c>
      <c r="C3544" t="s">
        <v>6899</v>
      </c>
      <c r="D3544" t="s">
        <v>18995</v>
      </c>
      <c r="E3544" t="s">
        <v>22275</v>
      </c>
      <c r="F3544" t="s">
        <v>32606</v>
      </c>
      <c r="G3544" t="s">
        <v>32614</v>
      </c>
      <c r="H3544" t="s">
        <v>14201</v>
      </c>
      <c r="I3544" t="s">
        <v>32634</v>
      </c>
      <c r="J3544" t="s">
        <v>34961</v>
      </c>
      <c r="K3544" t="s">
        <v>42624</v>
      </c>
      <c r="M3544" t="s">
        <v>42978</v>
      </c>
      <c r="N3544" t="s">
        <v>47304</v>
      </c>
      <c r="O3544" t="s">
        <v>47305</v>
      </c>
      <c r="P3544">
        <v>0</v>
      </c>
      <c r="Q3544">
        <v>0</v>
      </c>
      <c r="R3544" t="s">
        <v>47306</v>
      </c>
      <c r="S3544" t="s">
        <v>47414</v>
      </c>
      <c r="T3544" t="s">
        <v>49014</v>
      </c>
      <c r="U3544" t="s">
        <v>52598</v>
      </c>
      <c r="W3544" t="s">
        <v>42978</v>
      </c>
      <c r="X3544" t="s">
        <v>47308</v>
      </c>
    </row>
    <row r="3545" spans="1:24">
      <c r="A3545">
        <f>HYPERLINK("https://www.philgeps.gov.ph/GEPSNONPILOT/Tender/SplashBidNoticeAbstractUI.aspx?menuIndex=3&amp;refID=7195780&amp;Result=3","7195780")</f>
        <v>0</v>
      </c>
      <c r="B3545" t="s">
        <v>1411</v>
      </c>
      <c r="C3545" t="s">
        <v>7222</v>
      </c>
      <c r="D3545" t="s">
        <v>19051</v>
      </c>
      <c r="E3545" t="s">
        <v>22276</v>
      </c>
      <c r="F3545" t="s">
        <v>32606</v>
      </c>
      <c r="G3545" t="s">
        <v>32614</v>
      </c>
      <c r="H3545" t="s">
        <v>14201</v>
      </c>
      <c r="I3545" t="s">
        <v>6931</v>
      </c>
      <c r="J3545" t="s">
        <v>35162</v>
      </c>
      <c r="K3545" t="s">
        <v>42632</v>
      </c>
      <c r="M3545" t="s">
        <v>44398</v>
      </c>
      <c r="N3545" t="s">
        <v>47304</v>
      </c>
      <c r="O3545" t="s">
        <v>47305</v>
      </c>
      <c r="P3545">
        <v>0</v>
      </c>
      <c r="Q3545">
        <v>0</v>
      </c>
      <c r="R3545" t="s">
        <v>47306</v>
      </c>
      <c r="S3545" t="s">
        <v>47414</v>
      </c>
      <c r="T3545" t="s">
        <v>49019</v>
      </c>
      <c r="U3545" t="s">
        <v>52599</v>
      </c>
      <c r="W3545" t="s">
        <v>44398</v>
      </c>
      <c r="X3545" t="s">
        <v>47308</v>
      </c>
    </row>
    <row r="3546" spans="1:24">
      <c r="A3546">
        <f>HYPERLINK("https://www.philgeps.gov.ph/GEPSNONPILOT/Tender/SplashBidNoticeAbstractUI.aspx?menuIndex=3&amp;refID=7195426&amp;Result=3","7195426")</f>
        <v>0</v>
      </c>
      <c r="B3546" t="s">
        <v>1425</v>
      </c>
      <c r="C3546" t="s">
        <v>7223</v>
      </c>
      <c r="D3546" t="s">
        <v>19019</v>
      </c>
      <c r="E3546" t="s">
        <v>22277</v>
      </c>
      <c r="F3546" t="s">
        <v>32606</v>
      </c>
      <c r="G3546" t="s">
        <v>32619</v>
      </c>
      <c r="H3546" t="s">
        <v>14201</v>
      </c>
      <c r="I3546" t="s">
        <v>6298</v>
      </c>
      <c r="J3546" t="s">
        <v>35191</v>
      </c>
      <c r="K3546" t="s">
        <v>42630</v>
      </c>
      <c r="M3546" t="s">
        <v>44414</v>
      </c>
      <c r="N3546" t="s">
        <v>47304</v>
      </c>
      <c r="O3546" t="s">
        <v>47305</v>
      </c>
      <c r="P3546">
        <v>0</v>
      </c>
      <c r="Q3546">
        <v>0</v>
      </c>
      <c r="R3546" t="s">
        <v>47306</v>
      </c>
      <c r="S3546" t="s">
        <v>47414</v>
      </c>
      <c r="T3546" t="s">
        <v>49165</v>
      </c>
      <c r="U3546" t="s">
        <v>52600</v>
      </c>
      <c r="W3546" t="s">
        <v>44414</v>
      </c>
      <c r="X3546" t="s">
        <v>47308</v>
      </c>
    </row>
    <row r="3547" spans="1:24">
      <c r="A3547">
        <f>HYPERLINK("https://www.philgeps.gov.ph/GEPSNONPILOT/Tender/SplashBidNoticeAbstractUI.aspx?menuIndex=3&amp;refID=7195838&amp;Result=3","7195838")</f>
        <v>0</v>
      </c>
      <c r="B3547" t="s">
        <v>439</v>
      </c>
      <c r="C3547" t="s">
        <v>7224</v>
      </c>
      <c r="D3547" t="s">
        <v>19054</v>
      </c>
      <c r="E3547" t="s">
        <v>22278</v>
      </c>
      <c r="F3547" t="s">
        <v>32606</v>
      </c>
      <c r="G3547" t="s">
        <v>32614</v>
      </c>
      <c r="H3547" t="s">
        <v>14201</v>
      </c>
      <c r="I3547" t="s">
        <v>32666</v>
      </c>
      <c r="J3547" t="s">
        <v>35192</v>
      </c>
      <c r="K3547" t="s">
        <v>42631</v>
      </c>
      <c r="M3547" t="s">
        <v>43346</v>
      </c>
      <c r="N3547" t="s">
        <v>47304</v>
      </c>
      <c r="O3547" t="s">
        <v>47305</v>
      </c>
      <c r="P3547">
        <v>0</v>
      </c>
      <c r="Q3547">
        <v>0</v>
      </c>
      <c r="R3547" t="s">
        <v>47306</v>
      </c>
      <c r="S3547" t="s">
        <v>47414</v>
      </c>
      <c r="T3547" t="s">
        <v>49050</v>
      </c>
      <c r="U3547" t="s">
        <v>52601</v>
      </c>
      <c r="W3547" t="s">
        <v>43346</v>
      </c>
      <c r="X3547" t="s">
        <v>47308</v>
      </c>
    </row>
    <row r="3548" spans="1:24">
      <c r="A3548">
        <f>HYPERLINK("https://www.philgeps.gov.ph/GEPSNONPILOT/Tender/SplashBidNoticeAbstractUI.aspx?menuIndex=3&amp;refID=7195406&amp;Result=3","7195406")</f>
        <v>0</v>
      </c>
      <c r="B3548" t="s">
        <v>1333</v>
      </c>
      <c r="C3548" t="s">
        <v>7225</v>
      </c>
      <c r="D3548" t="s">
        <v>19005</v>
      </c>
      <c r="E3548" t="s">
        <v>22279</v>
      </c>
      <c r="F3548" t="s">
        <v>32606</v>
      </c>
      <c r="G3548" t="s">
        <v>32614</v>
      </c>
      <c r="H3548" t="s">
        <v>14201</v>
      </c>
      <c r="I3548" t="s">
        <v>4114</v>
      </c>
      <c r="J3548" t="s">
        <v>34115</v>
      </c>
      <c r="K3548" t="s">
        <v>42632</v>
      </c>
      <c r="M3548" t="s">
        <v>44307</v>
      </c>
      <c r="N3548" t="s">
        <v>47304</v>
      </c>
      <c r="O3548" t="s">
        <v>47305</v>
      </c>
      <c r="P3548">
        <v>0</v>
      </c>
      <c r="Q3548">
        <v>1</v>
      </c>
      <c r="R3548" t="s">
        <v>47306</v>
      </c>
      <c r="S3548" t="s">
        <v>47414</v>
      </c>
      <c r="T3548" t="s">
        <v>49087</v>
      </c>
      <c r="U3548" t="s">
        <v>52602</v>
      </c>
      <c r="W3548" t="s">
        <v>44307</v>
      </c>
      <c r="X3548" t="s">
        <v>47308</v>
      </c>
    </row>
    <row r="3549" spans="1:24">
      <c r="A3549">
        <f>HYPERLINK("https://www.philgeps.gov.ph/GEPSNONPILOT/Tender/SplashBidNoticeAbstractUI.aspx?menuIndex=3&amp;refID=7195403&amp;Result=3","7195403")</f>
        <v>0</v>
      </c>
      <c r="B3549" t="s">
        <v>34</v>
      </c>
      <c r="C3549" t="s">
        <v>7226</v>
      </c>
      <c r="D3549" t="s">
        <v>18993</v>
      </c>
      <c r="E3549" t="s">
        <v>22280</v>
      </c>
      <c r="F3549" t="s">
        <v>32606</v>
      </c>
      <c r="G3549" t="s">
        <v>32613</v>
      </c>
      <c r="H3549" t="s">
        <v>14201</v>
      </c>
      <c r="I3549" t="s">
        <v>32652</v>
      </c>
      <c r="J3549" t="s">
        <v>32923</v>
      </c>
      <c r="K3549" t="s">
        <v>42631</v>
      </c>
      <c r="M3549" t="s">
        <v>42931</v>
      </c>
      <c r="N3549" t="s">
        <v>47304</v>
      </c>
      <c r="O3549" t="s">
        <v>47305</v>
      </c>
      <c r="P3549">
        <v>0</v>
      </c>
      <c r="Q3549">
        <v>0</v>
      </c>
      <c r="R3549" t="s">
        <v>47306</v>
      </c>
      <c r="S3549" t="s">
        <v>47414</v>
      </c>
      <c r="T3549" t="s">
        <v>49262</v>
      </c>
      <c r="U3549" t="s">
        <v>52603</v>
      </c>
      <c r="W3549" t="s">
        <v>42931</v>
      </c>
      <c r="X3549" t="s">
        <v>47308</v>
      </c>
    </row>
    <row r="3550" spans="1:24">
      <c r="A3550">
        <f>HYPERLINK("https://www.philgeps.gov.ph/GEPSNONPILOT/Tender/SplashBidNoticeAbstractUI.aspx?menuIndex=3&amp;refID=7195401&amp;Result=3","7195401")</f>
        <v>0</v>
      </c>
      <c r="B3550" t="s">
        <v>360</v>
      </c>
      <c r="C3550" t="s">
        <v>7227</v>
      </c>
      <c r="D3550" t="s">
        <v>19040</v>
      </c>
      <c r="E3550" t="s">
        <v>22281</v>
      </c>
      <c r="F3550" t="s">
        <v>32606</v>
      </c>
      <c r="G3550" t="s">
        <v>32614</v>
      </c>
      <c r="H3550" t="s">
        <v>14201</v>
      </c>
      <c r="I3550" t="s">
        <v>4120</v>
      </c>
      <c r="J3550" t="s">
        <v>35193</v>
      </c>
      <c r="K3550" t="s">
        <v>42630</v>
      </c>
      <c r="M3550" t="s">
        <v>43262</v>
      </c>
      <c r="N3550" t="s">
        <v>47304</v>
      </c>
      <c r="O3550" t="s">
        <v>47305</v>
      </c>
      <c r="P3550">
        <v>0</v>
      </c>
      <c r="Q3550">
        <v>2</v>
      </c>
      <c r="R3550" t="s">
        <v>47306</v>
      </c>
      <c r="S3550" t="s">
        <v>47414</v>
      </c>
      <c r="T3550" t="s">
        <v>49050</v>
      </c>
      <c r="U3550" t="s">
        <v>50184</v>
      </c>
      <c r="W3550" t="s">
        <v>43262</v>
      </c>
      <c r="X3550" t="s">
        <v>47308</v>
      </c>
    </row>
    <row r="3551" spans="1:24">
      <c r="A3551">
        <f>HYPERLINK("https://www.philgeps.gov.ph/GEPSNONPILOT/Tender/SplashBidNoticeAbstractUI.aspx?menuIndex=3&amp;refID=7195429&amp;Result=3","7195429")</f>
        <v>0</v>
      </c>
      <c r="B3551" t="s">
        <v>357</v>
      </c>
      <c r="C3551" t="s">
        <v>7228</v>
      </c>
      <c r="D3551" t="s">
        <v>19010</v>
      </c>
      <c r="E3551" t="s">
        <v>22282</v>
      </c>
      <c r="F3551" t="s">
        <v>32606</v>
      </c>
      <c r="G3551" t="s">
        <v>32613</v>
      </c>
      <c r="H3551" t="s">
        <v>32623</v>
      </c>
      <c r="I3551" t="s">
        <v>17648</v>
      </c>
      <c r="J3551" t="s">
        <v>35194</v>
      </c>
      <c r="K3551" t="s">
        <v>42646</v>
      </c>
      <c r="M3551" t="s">
        <v>43259</v>
      </c>
      <c r="N3551" t="s">
        <v>47304</v>
      </c>
      <c r="O3551" t="s">
        <v>47305</v>
      </c>
      <c r="P3551">
        <v>0</v>
      </c>
      <c r="Q3551">
        <v>0</v>
      </c>
      <c r="R3551" t="s">
        <v>47306</v>
      </c>
      <c r="S3551" t="s">
        <v>47414</v>
      </c>
      <c r="T3551" t="s">
        <v>49008</v>
      </c>
      <c r="U3551" t="s">
        <v>52322</v>
      </c>
      <c r="V3551" t="s">
        <v>62729</v>
      </c>
      <c r="W3551" t="s">
        <v>43259</v>
      </c>
      <c r="X3551" t="s">
        <v>47308</v>
      </c>
    </row>
    <row r="3552" spans="1:24">
      <c r="A3552">
        <f>HYPERLINK("https://www.philgeps.gov.ph/GEPSNONPILOT/Tender/SplashBidNoticeAbstractUI.aspx?menuIndex=3&amp;refID=7195427&amp;Result=3","7195427")</f>
        <v>0</v>
      </c>
      <c r="B3552" t="s">
        <v>1426</v>
      </c>
      <c r="C3552" t="s">
        <v>7229</v>
      </c>
      <c r="D3552" t="s">
        <v>19024</v>
      </c>
      <c r="E3552" t="s">
        <v>22283</v>
      </c>
      <c r="F3552" t="s">
        <v>32606</v>
      </c>
      <c r="G3552" t="s">
        <v>32614</v>
      </c>
      <c r="H3552" t="s">
        <v>14201</v>
      </c>
      <c r="I3552" t="s">
        <v>32633</v>
      </c>
      <c r="J3552" t="s">
        <v>32981</v>
      </c>
      <c r="K3552" t="s">
        <v>42624</v>
      </c>
      <c r="M3552" t="s">
        <v>44415</v>
      </c>
      <c r="N3552" t="s">
        <v>47304</v>
      </c>
      <c r="O3552" t="s">
        <v>47305</v>
      </c>
      <c r="P3552">
        <v>0</v>
      </c>
      <c r="Q3552">
        <v>9</v>
      </c>
      <c r="R3552" t="s">
        <v>47306</v>
      </c>
      <c r="S3552" t="s">
        <v>47414</v>
      </c>
      <c r="T3552" t="s">
        <v>48997</v>
      </c>
      <c r="U3552" t="s">
        <v>52604</v>
      </c>
      <c r="V3552" t="s">
        <v>63008</v>
      </c>
      <c r="W3552" t="s">
        <v>44415</v>
      </c>
      <c r="X3552" t="s">
        <v>47308</v>
      </c>
    </row>
    <row r="3553" spans="1:24">
      <c r="A3553">
        <f>HYPERLINK("https://www.philgeps.gov.ph/GEPSNONPILOT/Tender/SplashBidNoticeAbstractUI.aspx?menuIndex=3&amp;refID=7195407&amp;Result=3","7195407")</f>
        <v>0</v>
      </c>
      <c r="B3553" t="s">
        <v>684</v>
      </c>
      <c r="C3553" t="s">
        <v>7230</v>
      </c>
      <c r="D3553" t="s">
        <v>19012</v>
      </c>
      <c r="E3553" t="s">
        <v>22284</v>
      </c>
      <c r="F3553" t="s">
        <v>32606</v>
      </c>
      <c r="G3553" t="s">
        <v>32614</v>
      </c>
      <c r="H3553" t="s">
        <v>14201</v>
      </c>
      <c r="I3553" t="s">
        <v>4678</v>
      </c>
      <c r="J3553" t="s">
        <v>33274</v>
      </c>
      <c r="K3553" t="s">
        <v>42627</v>
      </c>
      <c r="L3553" t="s">
        <v>684</v>
      </c>
      <c r="M3553" t="s">
        <v>43605</v>
      </c>
      <c r="N3553" t="s">
        <v>47304</v>
      </c>
      <c r="O3553" t="s">
        <v>47305</v>
      </c>
      <c r="P3553">
        <v>0</v>
      </c>
      <c r="Q3553">
        <v>3</v>
      </c>
      <c r="R3553" t="s">
        <v>47306</v>
      </c>
      <c r="S3553" t="s">
        <v>47414</v>
      </c>
      <c r="T3553" t="s">
        <v>48997</v>
      </c>
      <c r="U3553" t="s">
        <v>52303</v>
      </c>
      <c r="V3553" t="s">
        <v>62802</v>
      </c>
      <c r="W3553" t="s">
        <v>43605</v>
      </c>
      <c r="X3553" t="s">
        <v>47308</v>
      </c>
    </row>
    <row r="3554" spans="1:24">
      <c r="A3554">
        <f>HYPERLINK("https://www.philgeps.gov.ph/GEPSNONPILOT/Tender/SplashBidNoticeAbstractUI.aspx?menuIndex=3&amp;refID=7195374&amp;Result=3","7195374")</f>
        <v>0</v>
      </c>
      <c r="B3554" t="s">
        <v>1427</v>
      </c>
      <c r="C3554" t="s">
        <v>4329</v>
      </c>
      <c r="D3554" t="s">
        <v>19019</v>
      </c>
      <c r="E3554" t="s">
        <v>20946</v>
      </c>
      <c r="F3554" t="s">
        <v>32606</v>
      </c>
      <c r="G3554" t="s">
        <v>32619</v>
      </c>
      <c r="H3554" t="s">
        <v>14201</v>
      </c>
      <c r="I3554" t="s">
        <v>6298</v>
      </c>
      <c r="J3554" t="s">
        <v>35195</v>
      </c>
      <c r="K3554" t="s">
        <v>42625</v>
      </c>
      <c r="M3554" t="s">
        <v>44416</v>
      </c>
      <c r="N3554" t="s">
        <v>47304</v>
      </c>
      <c r="O3554" t="s">
        <v>47305</v>
      </c>
      <c r="P3554">
        <v>0</v>
      </c>
      <c r="Q3554">
        <v>0</v>
      </c>
      <c r="R3554" t="s">
        <v>47306</v>
      </c>
      <c r="S3554" t="s">
        <v>47414</v>
      </c>
      <c r="T3554" t="s">
        <v>48979</v>
      </c>
      <c r="U3554" t="s">
        <v>52605</v>
      </c>
      <c r="V3554" t="s">
        <v>62704</v>
      </c>
      <c r="W3554" t="s">
        <v>44416</v>
      </c>
      <c r="X3554" t="s">
        <v>47308</v>
      </c>
    </row>
    <row r="3555" spans="1:24">
      <c r="A3555">
        <f>HYPERLINK("https://www.philgeps.gov.ph/GEPSNONPILOT/Tender/SplashBidNoticeAbstractUI.aspx?menuIndex=3&amp;refID=7195405&amp;Result=3","7195405")</f>
        <v>0</v>
      </c>
      <c r="B3555" t="s">
        <v>689</v>
      </c>
      <c r="C3555" t="s">
        <v>7231</v>
      </c>
      <c r="D3555" t="s">
        <v>19004</v>
      </c>
      <c r="E3555" t="s">
        <v>22285</v>
      </c>
      <c r="F3555" t="s">
        <v>32606</v>
      </c>
      <c r="G3555" t="s">
        <v>32619</v>
      </c>
      <c r="H3555" t="s">
        <v>14201</v>
      </c>
      <c r="I3555" t="s">
        <v>6007</v>
      </c>
      <c r="J3555" t="s">
        <v>35196</v>
      </c>
      <c r="K3555" t="s">
        <v>42624</v>
      </c>
      <c r="M3555" t="s">
        <v>43610</v>
      </c>
      <c r="N3555" t="s">
        <v>47304</v>
      </c>
      <c r="O3555" t="s">
        <v>47305</v>
      </c>
      <c r="P3555">
        <v>0</v>
      </c>
      <c r="Q3555">
        <v>0</v>
      </c>
      <c r="R3555" t="s">
        <v>47306</v>
      </c>
      <c r="S3555" t="s">
        <v>47414</v>
      </c>
      <c r="T3555" t="s">
        <v>49263</v>
      </c>
      <c r="U3555" t="s">
        <v>52606</v>
      </c>
      <c r="W3555" t="s">
        <v>43610</v>
      </c>
      <c r="X3555" t="s">
        <v>47308</v>
      </c>
    </row>
    <row r="3556" spans="1:24">
      <c r="A3556">
        <f>HYPERLINK("https://www.philgeps.gov.ph/GEPSNONPILOT/Tender/SplashBidNoticeAbstractUI.aspx?menuIndex=3&amp;refID=7195353&amp;Result=3","7195353")</f>
        <v>0</v>
      </c>
      <c r="B3556" t="s">
        <v>1319</v>
      </c>
      <c r="C3556" t="s">
        <v>7232</v>
      </c>
      <c r="D3556" t="s">
        <v>19007</v>
      </c>
      <c r="E3556" t="s">
        <v>22286</v>
      </c>
      <c r="F3556" t="s">
        <v>32606</v>
      </c>
      <c r="G3556" t="s">
        <v>32619</v>
      </c>
      <c r="H3556" t="s">
        <v>14201</v>
      </c>
      <c r="I3556" t="s">
        <v>32634</v>
      </c>
      <c r="J3556" t="s">
        <v>32963</v>
      </c>
      <c r="K3556" t="s">
        <v>42624</v>
      </c>
      <c r="M3556" t="s">
        <v>44293</v>
      </c>
      <c r="N3556" t="s">
        <v>47304</v>
      </c>
      <c r="O3556" t="s">
        <v>47305</v>
      </c>
      <c r="P3556">
        <v>0</v>
      </c>
      <c r="Q3556">
        <v>0</v>
      </c>
      <c r="R3556" t="s">
        <v>47306</v>
      </c>
      <c r="S3556" t="s">
        <v>47414</v>
      </c>
      <c r="T3556" t="s">
        <v>48980</v>
      </c>
      <c r="U3556" t="s">
        <v>52607</v>
      </c>
      <c r="W3556" t="s">
        <v>44293</v>
      </c>
      <c r="X3556" t="s">
        <v>47308</v>
      </c>
    </row>
    <row r="3557" spans="1:24">
      <c r="A3557">
        <f>HYPERLINK("https://www.philgeps.gov.ph/GEPSNONPILOT/Tender/SplashBidNoticeAbstractUI.aspx?menuIndex=3&amp;refID=7195399&amp;Result=3","7195399")</f>
        <v>0</v>
      </c>
      <c r="B3557" t="s">
        <v>357</v>
      </c>
      <c r="C3557" t="s">
        <v>7233</v>
      </c>
      <c r="D3557" t="s">
        <v>19010</v>
      </c>
      <c r="E3557" t="s">
        <v>22287</v>
      </c>
      <c r="F3557" t="s">
        <v>32606</v>
      </c>
      <c r="G3557" t="s">
        <v>32614</v>
      </c>
      <c r="H3557" t="s">
        <v>14201</v>
      </c>
      <c r="I3557" t="s">
        <v>7233</v>
      </c>
      <c r="J3557" t="s">
        <v>35197</v>
      </c>
      <c r="K3557" t="s">
        <v>42630</v>
      </c>
      <c r="M3557" t="s">
        <v>43259</v>
      </c>
      <c r="N3557" t="s">
        <v>47304</v>
      </c>
      <c r="O3557" t="s">
        <v>47305</v>
      </c>
      <c r="P3557">
        <v>0</v>
      </c>
      <c r="Q3557">
        <v>0</v>
      </c>
      <c r="R3557" t="s">
        <v>47306</v>
      </c>
      <c r="S3557" t="s">
        <v>47414</v>
      </c>
      <c r="T3557" t="s">
        <v>48980</v>
      </c>
      <c r="U3557" t="s">
        <v>52608</v>
      </c>
      <c r="W3557" t="s">
        <v>43259</v>
      </c>
      <c r="X3557" t="s">
        <v>47308</v>
      </c>
    </row>
    <row r="3558" spans="1:24">
      <c r="A3558">
        <f>HYPERLINK("https://www.philgeps.gov.ph/GEPSNONPILOT/Tender/SplashBidNoticeAbstractUI.aspx?menuIndex=3&amp;refID=7195328&amp;Result=3","7195328")</f>
        <v>0</v>
      </c>
      <c r="B3558" t="s">
        <v>1428</v>
      </c>
      <c r="C3558" t="s">
        <v>7234</v>
      </c>
      <c r="D3558" t="s">
        <v>18995</v>
      </c>
      <c r="F3558" t="s">
        <v>32606</v>
      </c>
      <c r="G3558" t="s">
        <v>32613</v>
      </c>
      <c r="H3558" t="s">
        <v>14201</v>
      </c>
      <c r="I3558" t="s">
        <v>17648</v>
      </c>
      <c r="J3558" t="s">
        <v>35198</v>
      </c>
      <c r="K3558" t="s">
        <v>42629</v>
      </c>
      <c r="M3558" t="s">
        <v>44417</v>
      </c>
      <c r="N3558" t="s">
        <v>47304</v>
      </c>
      <c r="O3558" t="s">
        <v>47305</v>
      </c>
      <c r="P3558">
        <v>0</v>
      </c>
      <c r="Q3558">
        <v>0</v>
      </c>
      <c r="R3558" t="s">
        <v>47306</v>
      </c>
      <c r="S3558" t="s">
        <v>47414</v>
      </c>
      <c r="T3558" t="s">
        <v>49169</v>
      </c>
      <c r="U3558" t="s">
        <v>52609</v>
      </c>
      <c r="W3558" t="s">
        <v>44417</v>
      </c>
      <c r="X3558" t="s">
        <v>47308</v>
      </c>
    </row>
    <row r="3559" spans="1:24">
      <c r="A3559">
        <f>HYPERLINK("https://www.philgeps.gov.ph/GEPSNONPILOT/Tender/SplashBidNoticeAbstractUI.aspx?menuIndex=3&amp;refID=7195816&amp;Result=3","7195816")</f>
        <v>0</v>
      </c>
      <c r="B3559" t="s">
        <v>76</v>
      </c>
      <c r="C3559" t="s">
        <v>7235</v>
      </c>
      <c r="D3559" t="s">
        <v>19010</v>
      </c>
      <c r="E3559" t="s">
        <v>22288</v>
      </c>
      <c r="F3559" t="s">
        <v>32606</v>
      </c>
      <c r="G3559" t="s">
        <v>32613</v>
      </c>
      <c r="H3559" t="s">
        <v>14201</v>
      </c>
      <c r="I3559" t="s">
        <v>9008</v>
      </c>
      <c r="J3559" t="s">
        <v>35199</v>
      </c>
      <c r="K3559" t="s">
        <v>42624</v>
      </c>
      <c r="M3559" t="s">
        <v>42973</v>
      </c>
      <c r="N3559" t="s">
        <v>47304</v>
      </c>
      <c r="O3559" t="s">
        <v>47305</v>
      </c>
      <c r="P3559">
        <v>0</v>
      </c>
      <c r="Q3559">
        <v>0</v>
      </c>
      <c r="R3559" t="s">
        <v>47306</v>
      </c>
      <c r="S3559" t="s">
        <v>47414</v>
      </c>
      <c r="T3559" t="s">
        <v>49011</v>
      </c>
      <c r="U3559" t="s">
        <v>52610</v>
      </c>
      <c r="W3559" t="s">
        <v>64421</v>
      </c>
      <c r="X3559" t="s">
        <v>47308</v>
      </c>
    </row>
    <row r="3560" spans="1:24">
      <c r="A3560">
        <f>HYPERLINK("https://www.philgeps.gov.ph/GEPSNONPILOT/Tender/SplashBidNoticeAbstractUI.aspx?menuIndex=3&amp;refID=7195843&amp;Result=3","7195843")</f>
        <v>0</v>
      </c>
      <c r="B3560" t="s">
        <v>415</v>
      </c>
      <c r="C3560" t="s">
        <v>7236</v>
      </c>
      <c r="D3560" t="s">
        <v>19037</v>
      </c>
      <c r="E3560" t="s">
        <v>22289</v>
      </c>
      <c r="F3560" t="s">
        <v>32606</v>
      </c>
      <c r="G3560" t="s">
        <v>32614</v>
      </c>
      <c r="H3560" t="s">
        <v>14201</v>
      </c>
      <c r="I3560" t="s">
        <v>32650</v>
      </c>
      <c r="J3560" t="s">
        <v>33861</v>
      </c>
      <c r="K3560" t="s">
        <v>42630</v>
      </c>
      <c r="M3560" t="s">
        <v>44205</v>
      </c>
      <c r="N3560" t="s">
        <v>47304</v>
      </c>
      <c r="O3560" t="s">
        <v>47305</v>
      </c>
      <c r="P3560">
        <v>0</v>
      </c>
      <c r="Q3560">
        <v>2</v>
      </c>
      <c r="R3560" t="s">
        <v>47306</v>
      </c>
      <c r="S3560" t="s">
        <v>47414</v>
      </c>
      <c r="T3560" t="s">
        <v>49014</v>
      </c>
      <c r="U3560" t="s">
        <v>52611</v>
      </c>
      <c r="V3560" t="s">
        <v>62962</v>
      </c>
      <c r="W3560" t="s">
        <v>44205</v>
      </c>
      <c r="X3560" t="s">
        <v>47308</v>
      </c>
    </row>
    <row r="3561" spans="1:24">
      <c r="A3561">
        <f>HYPERLINK("https://www.philgeps.gov.ph/GEPSNONPILOT/Tender/SplashBidNoticeAbstractUI.aspx?menuIndex=3&amp;refID=7195861&amp;Result=3","7195861")</f>
        <v>0</v>
      </c>
      <c r="B3561" t="s">
        <v>360</v>
      </c>
      <c r="C3561" t="s">
        <v>7237</v>
      </c>
      <c r="D3561" t="s">
        <v>19040</v>
      </c>
      <c r="E3561" t="s">
        <v>22290</v>
      </c>
      <c r="F3561" t="s">
        <v>32606</v>
      </c>
      <c r="G3561" t="s">
        <v>32614</v>
      </c>
      <c r="H3561" t="s">
        <v>14201</v>
      </c>
      <c r="I3561" t="s">
        <v>6298</v>
      </c>
      <c r="J3561" t="s">
        <v>35200</v>
      </c>
      <c r="K3561" t="s">
        <v>42630</v>
      </c>
      <c r="M3561" t="s">
        <v>43262</v>
      </c>
      <c r="N3561" t="s">
        <v>47304</v>
      </c>
      <c r="O3561" t="s">
        <v>47305</v>
      </c>
      <c r="P3561">
        <v>0</v>
      </c>
      <c r="Q3561">
        <v>1</v>
      </c>
      <c r="R3561" t="s">
        <v>47306</v>
      </c>
      <c r="S3561" t="s">
        <v>47414</v>
      </c>
      <c r="T3561" t="s">
        <v>49050</v>
      </c>
      <c r="U3561" t="s">
        <v>50184</v>
      </c>
      <c r="W3561" t="s">
        <v>43262</v>
      </c>
      <c r="X3561" t="s">
        <v>47308</v>
      </c>
    </row>
    <row r="3562" spans="1:24">
      <c r="A3562">
        <f>HYPERLINK("https://www.philgeps.gov.ph/GEPSNONPILOT/Tender/SplashBidNoticeAbstractUI.aspx?menuIndex=3&amp;refID=7195400&amp;Result=3","7195400")</f>
        <v>0</v>
      </c>
      <c r="B3562" t="s">
        <v>666</v>
      </c>
      <c r="C3562" t="s">
        <v>7238</v>
      </c>
      <c r="D3562" t="s">
        <v>19014</v>
      </c>
      <c r="E3562" t="s">
        <v>21514</v>
      </c>
      <c r="F3562" t="s">
        <v>32606</v>
      </c>
      <c r="G3562" t="s">
        <v>32619</v>
      </c>
      <c r="H3562" t="s">
        <v>14201</v>
      </c>
      <c r="I3562" t="s">
        <v>6478</v>
      </c>
      <c r="J3562" t="s">
        <v>35201</v>
      </c>
      <c r="K3562" t="s">
        <v>42624</v>
      </c>
      <c r="M3562" t="s">
        <v>43586</v>
      </c>
      <c r="N3562" t="s">
        <v>47304</v>
      </c>
      <c r="O3562" t="s">
        <v>47305</v>
      </c>
      <c r="P3562">
        <v>0</v>
      </c>
      <c r="Q3562">
        <v>0</v>
      </c>
      <c r="R3562" t="s">
        <v>47306</v>
      </c>
      <c r="S3562" t="s">
        <v>47414</v>
      </c>
      <c r="T3562" t="s">
        <v>49053</v>
      </c>
      <c r="U3562" t="s">
        <v>50703</v>
      </c>
      <c r="W3562" t="s">
        <v>43586</v>
      </c>
      <c r="X3562" t="s">
        <v>47308</v>
      </c>
    </row>
    <row r="3563" spans="1:24">
      <c r="A3563">
        <f>HYPERLINK("https://www.philgeps.gov.ph/GEPSNONPILOT/Tender/SplashBidNoticeAbstractUI.aspx?menuIndex=3&amp;refID=7195857&amp;Result=3","7195857")</f>
        <v>0</v>
      </c>
      <c r="B3563" t="s">
        <v>1189</v>
      </c>
      <c r="C3563" t="s">
        <v>7239</v>
      </c>
      <c r="D3563" t="s">
        <v>19016</v>
      </c>
      <c r="E3563" t="s">
        <v>22291</v>
      </c>
      <c r="F3563" t="s">
        <v>32606</v>
      </c>
      <c r="G3563" t="s">
        <v>32614</v>
      </c>
      <c r="H3563" t="s">
        <v>14201</v>
      </c>
      <c r="I3563" t="s">
        <v>9013</v>
      </c>
      <c r="J3563" t="s">
        <v>35202</v>
      </c>
      <c r="K3563" t="s">
        <v>42623</v>
      </c>
      <c r="M3563" t="s">
        <v>44153</v>
      </c>
      <c r="N3563" t="s">
        <v>47304</v>
      </c>
      <c r="O3563" t="s">
        <v>47305</v>
      </c>
      <c r="P3563">
        <v>0</v>
      </c>
      <c r="Q3563">
        <v>1</v>
      </c>
      <c r="R3563" t="s">
        <v>47306</v>
      </c>
      <c r="S3563" t="s">
        <v>47414</v>
      </c>
      <c r="T3563" t="s">
        <v>49004</v>
      </c>
      <c r="U3563" t="s">
        <v>52612</v>
      </c>
      <c r="V3563" t="s">
        <v>62952</v>
      </c>
      <c r="W3563" t="s">
        <v>44153</v>
      </c>
      <c r="X3563" t="s">
        <v>47308</v>
      </c>
    </row>
    <row r="3564" spans="1:24">
      <c r="A3564">
        <f>HYPERLINK("https://www.philgeps.gov.ph/GEPSNONPILOT/Tender/SplashBidNoticeAbstractUI.aspx?menuIndex=3&amp;refID=7195851&amp;Result=3","7195851")</f>
        <v>0</v>
      </c>
      <c r="B3564" t="s">
        <v>238</v>
      </c>
      <c r="C3564" t="s">
        <v>7240</v>
      </c>
      <c r="D3564" t="s">
        <v>18993</v>
      </c>
      <c r="E3564" t="s">
        <v>22292</v>
      </c>
      <c r="F3564" t="s">
        <v>32606</v>
      </c>
      <c r="G3564" t="s">
        <v>32614</v>
      </c>
      <c r="H3564" t="s">
        <v>14201</v>
      </c>
      <c r="I3564" t="s">
        <v>9013</v>
      </c>
      <c r="J3564" t="s">
        <v>35183</v>
      </c>
      <c r="K3564" t="s">
        <v>42622</v>
      </c>
      <c r="M3564" t="s">
        <v>43357</v>
      </c>
      <c r="N3564" t="s">
        <v>47304</v>
      </c>
      <c r="O3564" t="s">
        <v>47305</v>
      </c>
      <c r="P3564">
        <v>0</v>
      </c>
      <c r="Q3564">
        <v>1</v>
      </c>
      <c r="R3564" t="s">
        <v>47306</v>
      </c>
      <c r="S3564" t="s">
        <v>47414</v>
      </c>
      <c r="T3564" t="s">
        <v>49123</v>
      </c>
      <c r="U3564" t="s">
        <v>52613</v>
      </c>
      <c r="V3564" t="s">
        <v>62749</v>
      </c>
      <c r="W3564" t="s">
        <v>43357</v>
      </c>
      <c r="X3564" t="s">
        <v>47308</v>
      </c>
    </row>
    <row r="3565" spans="1:24">
      <c r="A3565">
        <f>HYPERLINK("https://www.philgeps.gov.ph/GEPSNONPILOT/Tender/SplashBidNoticeAbstractUI.aspx?menuIndex=3&amp;refID=7195850&amp;Result=3","7195850")</f>
        <v>0</v>
      </c>
      <c r="B3565" t="s">
        <v>692</v>
      </c>
      <c r="C3565" t="s">
        <v>7241</v>
      </c>
      <c r="D3565" t="s">
        <v>18992</v>
      </c>
      <c r="E3565" t="s">
        <v>20332</v>
      </c>
      <c r="F3565" t="s">
        <v>32606</v>
      </c>
      <c r="G3565" t="s">
        <v>32614</v>
      </c>
      <c r="H3565" t="s">
        <v>14201</v>
      </c>
      <c r="I3565" t="s">
        <v>4114</v>
      </c>
      <c r="J3565" t="s">
        <v>35140</v>
      </c>
      <c r="K3565" t="s">
        <v>42629</v>
      </c>
      <c r="M3565" t="s">
        <v>43613</v>
      </c>
      <c r="N3565" t="s">
        <v>47304</v>
      </c>
      <c r="O3565" t="s">
        <v>47305</v>
      </c>
      <c r="P3565">
        <v>0</v>
      </c>
      <c r="Q3565">
        <v>0</v>
      </c>
      <c r="R3565" t="s">
        <v>47306</v>
      </c>
      <c r="S3565" t="s">
        <v>47414</v>
      </c>
      <c r="T3565" t="s">
        <v>48980</v>
      </c>
      <c r="U3565" t="s">
        <v>52614</v>
      </c>
      <c r="W3565" t="s">
        <v>43613</v>
      </c>
      <c r="X3565" t="s">
        <v>47308</v>
      </c>
    </row>
    <row r="3566" spans="1:24">
      <c r="A3566">
        <f>HYPERLINK("https://www.philgeps.gov.ph/GEPSNONPILOT/Tender/SplashBidNoticeAbstractUI.aspx?menuIndex=3&amp;refID=7195842&amp;Result=3","7195842")</f>
        <v>0</v>
      </c>
      <c r="B3566" t="s">
        <v>487</v>
      </c>
      <c r="C3566" t="s">
        <v>7242</v>
      </c>
      <c r="D3566" t="s">
        <v>19027</v>
      </c>
      <c r="E3566" t="s">
        <v>22293</v>
      </c>
      <c r="F3566" t="s">
        <v>32606</v>
      </c>
      <c r="G3566" t="s">
        <v>32614</v>
      </c>
      <c r="H3566" t="s">
        <v>14201</v>
      </c>
      <c r="I3566" t="s">
        <v>32629</v>
      </c>
      <c r="J3566" t="s">
        <v>33291</v>
      </c>
      <c r="K3566" t="s">
        <v>42623</v>
      </c>
      <c r="M3566" t="s">
        <v>43399</v>
      </c>
      <c r="N3566" t="s">
        <v>47304</v>
      </c>
      <c r="O3566" t="s">
        <v>47305</v>
      </c>
      <c r="P3566">
        <v>0</v>
      </c>
      <c r="Q3566">
        <v>0</v>
      </c>
      <c r="R3566" t="s">
        <v>47306</v>
      </c>
      <c r="S3566" t="s">
        <v>47414</v>
      </c>
      <c r="T3566" t="s">
        <v>48987</v>
      </c>
      <c r="U3566" t="s">
        <v>52615</v>
      </c>
      <c r="W3566" t="s">
        <v>43399</v>
      </c>
      <c r="X3566" t="s">
        <v>47308</v>
      </c>
    </row>
    <row r="3567" spans="1:24">
      <c r="A3567">
        <f>HYPERLINK("https://www.philgeps.gov.ph/GEPSNONPILOT/Tender/SplashBidNoticeAbstractUI.aspx?menuIndex=3&amp;refID=7195852&amp;Result=3","7195852")</f>
        <v>0</v>
      </c>
      <c r="B3567" t="s">
        <v>344</v>
      </c>
      <c r="C3567" t="s">
        <v>7243</v>
      </c>
      <c r="D3567" t="s">
        <v>19002</v>
      </c>
      <c r="E3567" t="s">
        <v>22294</v>
      </c>
      <c r="F3567" t="s">
        <v>32606</v>
      </c>
      <c r="G3567" t="s">
        <v>32614</v>
      </c>
      <c r="H3567" t="s">
        <v>14201</v>
      </c>
      <c r="I3567" t="s">
        <v>32634</v>
      </c>
      <c r="J3567" t="s">
        <v>32999</v>
      </c>
      <c r="K3567" t="s">
        <v>42631</v>
      </c>
      <c r="M3567" t="s">
        <v>43246</v>
      </c>
      <c r="N3567" t="s">
        <v>47304</v>
      </c>
      <c r="O3567" t="s">
        <v>47305</v>
      </c>
      <c r="P3567">
        <v>0</v>
      </c>
      <c r="Q3567">
        <v>0</v>
      </c>
      <c r="R3567" t="s">
        <v>47306</v>
      </c>
      <c r="S3567" t="s">
        <v>47414</v>
      </c>
      <c r="T3567" t="s">
        <v>49028</v>
      </c>
      <c r="U3567" t="s">
        <v>52616</v>
      </c>
      <c r="W3567" t="s">
        <v>43246</v>
      </c>
      <c r="X3567" t="s">
        <v>47308</v>
      </c>
    </row>
    <row r="3568" spans="1:24">
      <c r="A3568">
        <f>HYPERLINK("https://www.philgeps.gov.ph/GEPSNONPILOT/Tender/SplashBidNoticeAbstractUI.aspx?menuIndex=3&amp;refID=7195849&amp;Result=3","7195849")</f>
        <v>0</v>
      </c>
      <c r="B3568" t="s">
        <v>744</v>
      </c>
      <c r="C3568" t="s">
        <v>7244</v>
      </c>
      <c r="D3568" t="s">
        <v>19056</v>
      </c>
      <c r="E3568" t="s">
        <v>21413</v>
      </c>
      <c r="F3568" t="s">
        <v>32606</v>
      </c>
      <c r="G3568" t="s">
        <v>32613</v>
      </c>
      <c r="H3568" t="s">
        <v>14201</v>
      </c>
      <c r="I3568" t="s">
        <v>32650</v>
      </c>
      <c r="J3568" t="s">
        <v>34246</v>
      </c>
      <c r="K3568" t="s">
        <v>42627</v>
      </c>
      <c r="M3568" t="s">
        <v>43667</v>
      </c>
      <c r="N3568" t="s">
        <v>47304</v>
      </c>
      <c r="O3568" t="s">
        <v>47305</v>
      </c>
      <c r="P3568">
        <v>0</v>
      </c>
      <c r="Q3568">
        <v>4</v>
      </c>
      <c r="R3568" t="s">
        <v>47306</v>
      </c>
      <c r="S3568" t="s">
        <v>47414</v>
      </c>
      <c r="T3568" t="s">
        <v>48973</v>
      </c>
      <c r="U3568" t="s">
        <v>52617</v>
      </c>
      <c r="W3568" t="s">
        <v>43667</v>
      </c>
      <c r="X3568" t="s">
        <v>47308</v>
      </c>
    </row>
    <row r="3569" spans="1:24">
      <c r="A3569">
        <f>HYPERLINK("https://www.philgeps.gov.ph/GEPSNONPILOT/Tender/SplashBidNoticeAbstractUI.aspx?menuIndex=3&amp;refID=7195860&amp;Result=3","7195860")</f>
        <v>0</v>
      </c>
      <c r="B3569" t="s">
        <v>89</v>
      </c>
      <c r="C3569" t="s">
        <v>7245</v>
      </c>
      <c r="D3569" t="s">
        <v>19018</v>
      </c>
      <c r="E3569" t="s">
        <v>22269</v>
      </c>
      <c r="F3569" t="s">
        <v>32606</v>
      </c>
      <c r="G3569" t="s">
        <v>32613</v>
      </c>
      <c r="H3569" t="s">
        <v>14201</v>
      </c>
      <c r="I3569" t="s">
        <v>32676</v>
      </c>
      <c r="J3569" t="s">
        <v>34282</v>
      </c>
      <c r="K3569" t="s">
        <v>42631</v>
      </c>
      <c r="M3569" t="s">
        <v>42987</v>
      </c>
      <c r="N3569" t="s">
        <v>47304</v>
      </c>
      <c r="O3569" t="s">
        <v>47305</v>
      </c>
      <c r="P3569">
        <v>0</v>
      </c>
      <c r="Q3569">
        <v>0</v>
      </c>
      <c r="R3569" t="s">
        <v>47306</v>
      </c>
      <c r="S3569" t="s">
        <v>47414</v>
      </c>
      <c r="T3569" t="s">
        <v>49008</v>
      </c>
      <c r="U3569" t="s">
        <v>52590</v>
      </c>
      <c r="W3569" t="s">
        <v>42987</v>
      </c>
      <c r="X3569" t="s">
        <v>47308</v>
      </c>
    </row>
    <row r="3570" spans="1:24">
      <c r="A3570">
        <f>HYPERLINK("https://www.philgeps.gov.ph/GEPSNONPILOT/Tender/SplashBidNoticeAbstractUI.aspx?menuIndex=3&amp;refID=7195866&amp;Result=3","7195866")</f>
        <v>0</v>
      </c>
      <c r="B3570" t="s">
        <v>233</v>
      </c>
      <c r="C3570" t="s">
        <v>7246</v>
      </c>
      <c r="D3570" t="s">
        <v>18997</v>
      </c>
      <c r="E3570" t="s">
        <v>22295</v>
      </c>
      <c r="F3570" t="s">
        <v>32606</v>
      </c>
      <c r="G3570" t="s">
        <v>32613</v>
      </c>
      <c r="H3570" t="s">
        <v>14201</v>
      </c>
      <c r="I3570" t="s">
        <v>32631</v>
      </c>
      <c r="J3570" t="s">
        <v>35203</v>
      </c>
      <c r="K3570" t="s">
        <v>42631</v>
      </c>
      <c r="M3570" t="s">
        <v>44359</v>
      </c>
      <c r="N3570" t="s">
        <v>47304</v>
      </c>
      <c r="O3570" t="s">
        <v>47305</v>
      </c>
      <c r="P3570">
        <v>0</v>
      </c>
      <c r="Q3570">
        <v>0</v>
      </c>
      <c r="R3570" t="s">
        <v>47306</v>
      </c>
      <c r="S3570" t="s">
        <v>47414</v>
      </c>
      <c r="T3570" t="s">
        <v>49023</v>
      </c>
      <c r="U3570" t="s">
        <v>52443</v>
      </c>
      <c r="V3570" t="s">
        <v>63002</v>
      </c>
      <c r="W3570" t="s">
        <v>44359</v>
      </c>
      <c r="X3570" t="s">
        <v>47308</v>
      </c>
    </row>
    <row r="3571" spans="1:24">
      <c r="A3571">
        <f>HYPERLINK("https://www.philgeps.gov.ph/GEPSNONPILOT/Tender/SplashBidNoticeAbstractUI.aspx?menuIndex=3&amp;refID=7195865&amp;Result=3","7195865")</f>
        <v>0</v>
      </c>
      <c r="B3571" t="s">
        <v>1429</v>
      </c>
      <c r="C3571" t="s">
        <v>7247</v>
      </c>
      <c r="D3571" t="s">
        <v>19008</v>
      </c>
      <c r="E3571" t="s">
        <v>22296</v>
      </c>
      <c r="F3571" t="s">
        <v>32606</v>
      </c>
      <c r="G3571" t="s">
        <v>32613</v>
      </c>
      <c r="H3571" t="s">
        <v>14201</v>
      </c>
      <c r="I3571" t="s">
        <v>32680</v>
      </c>
      <c r="J3571" t="s">
        <v>35204</v>
      </c>
      <c r="K3571" t="s">
        <v>42622</v>
      </c>
      <c r="M3571" t="s">
        <v>44418</v>
      </c>
      <c r="N3571" t="s">
        <v>47304</v>
      </c>
      <c r="O3571" t="s">
        <v>47305</v>
      </c>
      <c r="P3571">
        <v>0</v>
      </c>
      <c r="Q3571">
        <v>1</v>
      </c>
      <c r="R3571" t="s">
        <v>47306</v>
      </c>
      <c r="S3571" t="s">
        <v>47414</v>
      </c>
      <c r="T3571" t="s">
        <v>48986</v>
      </c>
      <c r="U3571" t="s">
        <v>52618</v>
      </c>
      <c r="W3571" t="s">
        <v>44418</v>
      </c>
      <c r="X3571" t="s">
        <v>47308</v>
      </c>
    </row>
    <row r="3572" spans="1:24">
      <c r="A3572">
        <f>HYPERLINK("https://www.philgeps.gov.ph/GEPSNONPILOT/Tender/SplashBidNoticeAbstractUI.aspx?menuIndex=3&amp;refID=7195864&amp;Result=3","7195864")</f>
        <v>0</v>
      </c>
      <c r="B3572" t="s">
        <v>609</v>
      </c>
      <c r="C3572" t="s">
        <v>7248</v>
      </c>
      <c r="D3572" t="s">
        <v>19024</v>
      </c>
      <c r="E3572" t="s">
        <v>22297</v>
      </c>
      <c r="F3572" t="s">
        <v>32606</v>
      </c>
      <c r="G3572" t="s">
        <v>32619</v>
      </c>
      <c r="H3572" t="s">
        <v>14201</v>
      </c>
      <c r="I3572" t="s">
        <v>32633</v>
      </c>
      <c r="J3572" t="s">
        <v>33169</v>
      </c>
      <c r="K3572" t="s">
        <v>42624</v>
      </c>
      <c r="M3572" t="s">
        <v>43526</v>
      </c>
      <c r="N3572" t="s">
        <v>47304</v>
      </c>
      <c r="O3572" t="s">
        <v>47305</v>
      </c>
      <c r="P3572">
        <v>0</v>
      </c>
      <c r="Q3572">
        <v>3</v>
      </c>
      <c r="R3572" t="s">
        <v>47306</v>
      </c>
      <c r="S3572" t="s">
        <v>47414</v>
      </c>
      <c r="T3572" t="s">
        <v>48988</v>
      </c>
      <c r="U3572" t="s">
        <v>52619</v>
      </c>
      <c r="V3572" t="s">
        <v>63009</v>
      </c>
      <c r="W3572" t="s">
        <v>43526</v>
      </c>
      <c r="X3572" t="s">
        <v>47308</v>
      </c>
    </row>
    <row r="3573" spans="1:24">
      <c r="A3573">
        <f>HYPERLINK("https://www.philgeps.gov.ph/GEPSNONPILOT/Tender/SplashBidNoticeAbstractUI.aspx?menuIndex=3&amp;refID=7195863&amp;Result=3","7195863")</f>
        <v>0</v>
      </c>
      <c r="B3573" t="s">
        <v>76</v>
      </c>
      <c r="C3573" t="s">
        <v>7249</v>
      </c>
      <c r="D3573" t="s">
        <v>19010</v>
      </c>
      <c r="E3573" t="s">
        <v>22298</v>
      </c>
      <c r="F3573" t="s">
        <v>32606</v>
      </c>
      <c r="G3573" t="s">
        <v>32613</v>
      </c>
      <c r="H3573" t="s">
        <v>14201</v>
      </c>
      <c r="I3573" t="s">
        <v>9008</v>
      </c>
      <c r="J3573" t="s">
        <v>35205</v>
      </c>
      <c r="K3573" t="s">
        <v>42624</v>
      </c>
      <c r="M3573" t="s">
        <v>42973</v>
      </c>
      <c r="N3573" t="s">
        <v>47304</v>
      </c>
      <c r="O3573" t="s">
        <v>47305</v>
      </c>
      <c r="P3573">
        <v>0</v>
      </c>
      <c r="Q3573">
        <v>0</v>
      </c>
      <c r="R3573" t="s">
        <v>47306</v>
      </c>
      <c r="S3573" t="s">
        <v>47414</v>
      </c>
      <c r="T3573" t="s">
        <v>49011</v>
      </c>
      <c r="U3573" t="s">
        <v>52620</v>
      </c>
      <c r="W3573" t="s">
        <v>64421</v>
      </c>
      <c r="X3573" t="s">
        <v>47308</v>
      </c>
    </row>
    <row r="3574" spans="1:24">
      <c r="A3574">
        <f>HYPERLINK("https://www.philgeps.gov.ph/GEPSNONPILOT/Tender/SplashBidNoticeAbstractUI.aspx?menuIndex=3&amp;refID=7195862&amp;Result=3","7195862")</f>
        <v>0</v>
      </c>
      <c r="B3574" t="s">
        <v>337</v>
      </c>
      <c r="C3574" t="s">
        <v>7250</v>
      </c>
      <c r="D3574" t="s">
        <v>19039</v>
      </c>
      <c r="E3574" t="s">
        <v>22299</v>
      </c>
      <c r="F3574" t="s">
        <v>32606</v>
      </c>
      <c r="G3574" t="s">
        <v>32619</v>
      </c>
      <c r="H3574" t="s">
        <v>14201</v>
      </c>
      <c r="I3574" t="s">
        <v>32641</v>
      </c>
      <c r="J3574" t="s">
        <v>35206</v>
      </c>
      <c r="K3574" t="s">
        <v>42622</v>
      </c>
      <c r="M3574" t="s">
        <v>43239</v>
      </c>
      <c r="N3574" t="s">
        <v>47304</v>
      </c>
      <c r="O3574" t="s">
        <v>47305</v>
      </c>
      <c r="P3574">
        <v>0</v>
      </c>
      <c r="Q3574">
        <v>0</v>
      </c>
      <c r="R3574" t="s">
        <v>47306</v>
      </c>
      <c r="S3574" t="s">
        <v>47414</v>
      </c>
      <c r="T3574" t="s">
        <v>48980</v>
      </c>
      <c r="U3574" t="s">
        <v>52621</v>
      </c>
      <c r="W3574" t="s">
        <v>43239</v>
      </c>
      <c r="X3574" t="s">
        <v>47308</v>
      </c>
    </row>
    <row r="3575" spans="1:24">
      <c r="A3575">
        <f>HYPERLINK("https://www.philgeps.gov.ph/GEPSNONPILOT/Tender/SplashBidNoticeAbstractUI.aspx?menuIndex=3&amp;refID=7195848&amp;Result=3","7195848")</f>
        <v>0</v>
      </c>
      <c r="B3575" t="s">
        <v>251</v>
      </c>
      <c r="C3575" t="s">
        <v>7251</v>
      </c>
      <c r="D3575" t="s">
        <v>19023</v>
      </c>
      <c r="E3575" t="s">
        <v>22300</v>
      </c>
      <c r="F3575" t="s">
        <v>32606</v>
      </c>
      <c r="G3575" t="s">
        <v>32614</v>
      </c>
      <c r="H3575" t="s">
        <v>14201</v>
      </c>
      <c r="I3575" t="s">
        <v>4120</v>
      </c>
      <c r="J3575" t="s">
        <v>35207</v>
      </c>
      <c r="K3575" t="s">
        <v>42632</v>
      </c>
      <c r="M3575" t="s">
        <v>43152</v>
      </c>
      <c r="N3575" t="s">
        <v>47304</v>
      </c>
      <c r="O3575" t="s">
        <v>47305</v>
      </c>
      <c r="P3575">
        <v>0</v>
      </c>
      <c r="Q3575">
        <v>0</v>
      </c>
      <c r="R3575" t="s">
        <v>47306</v>
      </c>
      <c r="S3575" t="s">
        <v>47414</v>
      </c>
      <c r="T3575" t="s">
        <v>49061</v>
      </c>
      <c r="U3575" t="s">
        <v>52622</v>
      </c>
      <c r="W3575" t="s">
        <v>43152</v>
      </c>
      <c r="X3575" t="s">
        <v>47308</v>
      </c>
    </row>
    <row r="3576" spans="1:24">
      <c r="A3576">
        <f>HYPERLINK("https://www.philgeps.gov.ph/GEPSNONPILOT/Tender/SplashBidNoticeAbstractUI.aspx?menuIndex=3&amp;refID=7195847&amp;Result=3","7195847")</f>
        <v>0</v>
      </c>
      <c r="B3576" t="s">
        <v>233</v>
      </c>
      <c r="C3576" t="s">
        <v>7252</v>
      </c>
      <c r="D3576" t="s">
        <v>18997</v>
      </c>
      <c r="E3576" t="s">
        <v>22301</v>
      </c>
      <c r="F3576" t="s">
        <v>32606</v>
      </c>
      <c r="G3576" t="s">
        <v>32613</v>
      </c>
      <c r="H3576" t="s">
        <v>14201</v>
      </c>
      <c r="I3576" t="s">
        <v>32640</v>
      </c>
      <c r="J3576" t="s">
        <v>33225</v>
      </c>
      <c r="K3576" t="s">
        <v>42631</v>
      </c>
      <c r="M3576" t="s">
        <v>44359</v>
      </c>
      <c r="N3576" t="s">
        <v>47304</v>
      </c>
      <c r="O3576" t="s">
        <v>47305</v>
      </c>
      <c r="P3576">
        <v>0</v>
      </c>
      <c r="Q3576">
        <v>0</v>
      </c>
      <c r="R3576" t="s">
        <v>47306</v>
      </c>
      <c r="S3576" t="s">
        <v>47414</v>
      </c>
      <c r="T3576" t="s">
        <v>49023</v>
      </c>
      <c r="U3576" t="s">
        <v>52443</v>
      </c>
      <c r="V3576" t="s">
        <v>63002</v>
      </c>
      <c r="W3576" t="s">
        <v>44359</v>
      </c>
      <c r="X3576" t="s">
        <v>47308</v>
      </c>
    </row>
    <row r="3577" spans="1:24">
      <c r="A3577">
        <f>HYPERLINK("https://www.philgeps.gov.ph/GEPSNONPILOT/Tender/SplashBidNoticeAbstractUI.aspx?menuIndex=3&amp;refID=7195844&amp;Result=3","7195844")</f>
        <v>0</v>
      </c>
      <c r="B3577" t="s">
        <v>360</v>
      </c>
      <c r="C3577" t="s">
        <v>7253</v>
      </c>
      <c r="D3577" t="s">
        <v>19040</v>
      </c>
      <c r="E3577" t="s">
        <v>22302</v>
      </c>
      <c r="F3577" t="s">
        <v>32606</v>
      </c>
      <c r="G3577" t="s">
        <v>32614</v>
      </c>
      <c r="H3577" t="s">
        <v>14201</v>
      </c>
      <c r="I3577" t="s">
        <v>32664</v>
      </c>
      <c r="J3577" t="s">
        <v>33243</v>
      </c>
      <c r="K3577" t="s">
        <v>42630</v>
      </c>
      <c r="M3577" t="s">
        <v>43262</v>
      </c>
      <c r="N3577" t="s">
        <v>47304</v>
      </c>
      <c r="O3577" t="s">
        <v>47305</v>
      </c>
      <c r="P3577">
        <v>0</v>
      </c>
      <c r="Q3577">
        <v>3</v>
      </c>
      <c r="R3577" t="s">
        <v>47306</v>
      </c>
      <c r="S3577" t="s">
        <v>47414</v>
      </c>
      <c r="T3577" t="s">
        <v>49050</v>
      </c>
      <c r="U3577" t="s">
        <v>50184</v>
      </c>
      <c r="W3577" t="s">
        <v>43262</v>
      </c>
      <c r="X3577" t="s">
        <v>47308</v>
      </c>
    </row>
    <row r="3578" spans="1:24">
      <c r="A3578">
        <f>HYPERLINK("https://www.philgeps.gov.ph/GEPSNONPILOT/Tender/SplashBidNoticeAbstractUI.aspx?menuIndex=3&amp;refID=7195859&amp;Result=3","7195859")</f>
        <v>0</v>
      </c>
      <c r="B3578" t="s">
        <v>1403</v>
      </c>
      <c r="C3578" t="s">
        <v>7254</v>
      </c>
      <c r="D3578" t="s">
        <v>19038</v>
      </c>
      <c r="E3578" t="s">
        <v>22303</v>
      </c>
      <c r="F3578" t="s">
        <v>32606</v>
      </c>
      <c r="G3578" t="s">
        <v>32619</v>
      </c>
      <c r="H3578" t="s">
        <v>14201</v>
      </c>
      <c r="I3578" t="s">
        <v>32629</v>
      </c>
      <c r="J3578" t="s">
        <v>33189</v>
      </c>
      <c r="K3578" t="s">
        <v>42631</v>
      </c>
      <c r="M3578" t="s">
        <v>44388</v>
      </c>
      <c r="N3578" t="s">
        <v>47304</v>
      </c>
      <c r="O3578" t="s">
        <v>47305</v>
      </c>
      <c r="P3578">
        <v>0</v>
      </c>
      <c r="Q3578">
        <v>0</v>
      </c>
      <c r="R3578" t="s">
        <v>47306</v>
      </c>
      <c r="S3578" t="s">
        <v>47414</v>
      </c>
      <c r="T3578" t="s">
        <v>48986</v>
      </c>
      <c r="U3578" t="s">
        <v>52623</v>
      </c>
      <c r="W3578" t="s">
        <v>44388</v>
      </c>
      <c r="X3578" t="s">
        <v>47308</v>
      </c>
    </row>
    <row r="3579" spans="1:24">
      <c r="A3579">
        <f>HYPERLINK("https://www.philgeps.gov.ph/GEPSNONPILOT/Tender/SplashBidNoticeAbstractUI.aspx?menuIndex=3&amp;refID=7195858&amp;Result=3","7195858")</f>
        <v>0</v>
      </c>
      <c r="B3579" t="s">
        <v>106</v>
      </c>
      <c r="C3579" t="s">
        <v>7255</v>
      </c>
      <c r="E3579" t="s">
        <v>22304</v>
      </c>
      <c r="F3579" t="s">
        <v>32606</v>
      </c>
      <c r="G3579" t="s">
        <v>32614</v>
      </c>
      <c r="H3579" t="s">
        <v>14201</v>
      </c>
      <c r="I3579" t="s">
        <v>7677</v>
      </c>
      <c r="J3579" t="s">
        <v>35208</v>
      </c>
      <c r="K3579" t="s">
        <v>42694</v>
      </c>
      <c r="M3579" t="s">
        <v>43004</v>
      </c>
      <c r="N3579" t="s">
        <v>47304</v>
      </c>
      <c r="O3579" t="s">
        <v>47305</v>
      </c>
      <c r="P3579">
        <v>0</v>
      </c>
      <c r="Q3579">
        <v>1</v>
      </c>
      <c r="R3579" t="s">
        <v>47306</v>
      </c>
      <c r="S3579" t="s">
        <v>47414</v>
      </c>
      <c r="T3579" t="s">
        <v>48979</v>
      </c>
      <c r="U3579" t="s">
        <v>52624</v>
      </c>
      <c r="V3579" t="s">
        <v>62671</v>
      </c>
      <c r="W3579" t="s">
        <v>43528</v>
      </c>
      <c r="X3579" t="s">
        <v>47308</v>
      </c>
    </row>
    <row r="3580" spans="1:24">
      <c r="A3580">
        <f>HYPERLINK("https://www.philgeps.gov.ph/GEPSNONPILOT/Tender/SplashBidNoticeAbstractUI.aspx?menuIndex=3&amp;refID=7195785&amp;Result=3","7195785")</f>
        <v>0</v>
      </c>
      <c r="B3580" t="s">
        <v>1403</v>
      </c>
      <c r="C3580" t="s">
        <v>7256</v>
      </c>
      <c r="D3580" t="s">
        <v>19038</v>
      </c>
      <c r="E3580" t="s">
        <v>22305</v>
      </c>
      <c r="F3580" t="s">
        <v>32606</v>
      </c>
      <c r="G3580" t="s">
        <v>32619</v>
      </c>
      <c r="H3580" t="s">
        <v>14201</v>
      </c>
      <c r="I3580" t="s">
        <v>32629</v>
      </c>
      <c r="J3580" t="s">
        <v>33189</v>
      </c>
      <c r="K3580" t="s">
        <v>42631</v>
      </c>
      <c r="M3580" t="s">
        <v>44388</v>
      </c>
      <c r="N3580" t="s">
        <v>47304</v>
      </c>
      <c r="O3580" t="s">
        <v>47305</v>
      </c>
      <c r="P3580">
        <v>0</v>
      </c>
      <c r="Q3580">
        <v>0</v>
      </c>
      <c r="R3580" t="s">
        <v>47306</v>
      </c>
      <c r="S3580" t="s">
        <v>47414</v>
      </c>
      <c r="T3580" t="s">
        <v>48986</v>
      </c>
      <c r="U3580" t="s">
        <v>52625</v>
      </c>
      <c r="W3580" t="s">
        <v>44388</v>
      </c>
      <c r="X3580" t="s">
        <v>47308</v>
      </c>
    </row>
    <row r="3581" spans="1:24">
      <c r="A3581">
        <f>HYPERLINK("https://www.philgeps.gov.ph/GEPSNONPILOT/Tender/SplashBidNoticeAbstractUI.aspx?menuIndex=3&amp;refID=7195867&amp;Result=3","7195867")</f>
        <v>0</v>
      </c>
      <c r="B3581" t="s">
        <v>1430</v>
      </c>
      <c r="C3581" t="s">
        <v>7257</v>
      </c>
      <c r="D3581" t="s">
        <v>19008</v>
      </c>
      <c r="E3581" t="s">
        <v>22306</v>
      </c>
      <c r="F3581" t="s">
        <v>32606</v>
      </c>
      <c r="G3581" t="s">
        <v>32613</v>
      </c>
      <c r="H3581" t="s">
        <v>14201</v>
      </c>
      <c r="I3581" t="s">
        <v>6931</v>
      </c>
      <c r="J3581" t="s">
        <v>35209</v>
      </c>
      <c r="K3581" t="s">
        <v>42631</v>
      </c>
      <c r="M3581" t="s">
        <v>44419</v>
      </c>
      <c r="N3581" t="s">
        <v>47304</v>
      </c>
      <c r="O3581" t="s">
        <v>47305</v>
      </c>
      <c r="P3581">
        <v>0</v>
      </c>
      <c r="Q3581">
        <v>0</v>
      </c>
      <c r="R3581" t="s">
        <v>47306</v>
      </c>
      <c r="S3581" t="s">
        <v>47414</v>
      </c>
      <c r="T3581" t="s">
        <v>49264</v>
      </c>
      <c r="U3581" t="s">
        <v>52626</v>
      </c>
      <c r="V3581" t="s">
        <v>63010</v>
      </c>
      <c r="W3581" t="s">
        <v>44419</v>
      </c>
      <c r="X3581" t="s">
        <v>47308</v>
      </c>
    </row>
    <row r="3582" spans="1:24">
      <c r="A3582">
        <f>HYPERLINK("https://www.philgeps.gov.ph/GEPSNONPILOT/Tender/SplashBidNoticeAbstractUI.aspx?menuIndex=3&amp;refID=7195879&amp;Result=3","7195879")</f>
        <v>0</v>
      </c>
      <c r="B3582" t="s">
        <v>1419</v>
      </c>
      <c r="C3582" t="s">
        <v>7258</v>
      </c>
      <c r="D3582" t="s">
        <v>18993</v>
      </c>
      <c r="E3582" t="s">
        <v>22307</v>
      </c>
      <c r="F3582" t="s">
        <v>32606</v>
      </c>
      <c r="G3582" t="s">
        <v>32619</v>
      </c>
      <c r="H3582" t="s">
        <v>14201</v>
      </c>
      <c r="I3582" t="s">
        <v>6298</v>
      </c>
      <c r="J3582" t="s">
        <v>32813</v>
      </c>
      <c r="K3582" t="s">
        <v>42630</v>
      </c>
      <c r="M3582" t="s">
        <v>44407</v>
      </c>
      <c r="N3582" t="s">
        <v>47304</v>
      </c>
      <c r="O3582" t="s">
        <v>47305</v>
      </c>
      <c r="P3582">
        <v>0</v>
      </c>
      <c r="Q3582">
        <v>0</v>
      </c>
      <c r="R3582" t="s">
        <v>47306</v>
      </c>
      <c r="S3582" t="s">
        <v>47414</v>
      </c>
      <c r="T3582" t="s">
        <v>48986</v>
      </c>
      <c r="U3582" t="s">
        <v>52588</v>
      </c>
      <c r="W3582" t="s">
        <v>44407</v>
      </c>
      <c r="X3582" t="s">
        <v>47308</v>
      </c>
    </row>
    <row r="3583" spans="1:24">
      <c r="A3583">
        <f>HYPERLINK("https://www.philgeps.gov.ph/GEPSNONPILOT/Tender/SplashBidNoticeAbstractUI.aspx?menuIndex=3&amp;refID=7195873&amp;Result=3","7195873")</f>
        <v>0</v>
      </c>
      <c r="B3583" t="s">
        <v>1346</v>
      </c>
      <c r="C3583" t="s">
        <v>7170</v>
      </c>
      <c r="E3583" t="s">
        <v>22308</v>
      </c>
      <c r="F3583" t="s">
        <v>32606</v>
      </c>
      <c r="G3583" t="s">
        <v>32619</v>
      </c>
      <c r="H3583" t="s">
        <v>14201</v>
      </c>
      <c r="I3583" t="s">
        <v>6007</v>
      </c>
      <c r="J3583" t="s">
        <v>35153</v>
      </c>
      <c r="K3583" t="s">
        <v>42624</v>
      </c>
      <c r="M3583" t="s">
        <v>44320</v>
      </c>
      <c r="N3583" t="s">
        <v>47304</v>
      </c>
      <c r="O3583" t="s">
        <v>47305</v>
      </c>
      <c r="P3583">
        <v>0</v>
      </c>
      <c r="Q3583">
        <v>0</v>
      </c>
      <c r="R3583" t="s">
        <v>47306</v>
      </c>
      <c r="S3583" t="s">
        <v>47414</v>
      </c>
      <c r="T3583" t="s">
        <v>48998</v>
      </c>
      <c r="U3583" t="s">
        <v>52627</v>
      </c>
      <c r="W3583" t="s">
        <v>44320</v>
      </c>
      <c r="X3583" t="s">
        <v>47308</v>
      </c>
    </row>
    <row r="3584" spans="1:24">
      <c r="A3584">
        <f>HYPERLINK("https://www.philgeps.gov.ph/GEPSNONPILOT/Tender/SplashBidNoticeAbstractUI.aspx?menuIndex=3&amp;refID=7195871&amp;Result=3","7195871")</f>
        <v>0</v>
      </c>
      <c r="B3584" t="s">
        <v>79</v>
      </c>
      <c r="C3584" t="s">
        <v>7259</v>
      </c>
      <c r="D3584" t="s">
        <v>18993</v>
      </c>
      <c r="E3584" t="s">
        <v>22309</v>
      </c>
      <c r="F3584" t="s">
        <v>32606</v>
      </c>
      <c r="G3584" t="s">
        <v>32617</v>
      </c>
      <c r="H3584" t="s">
        <v>14201</v>
      </c>
      <c r="I3584" t="s">
        <v>32648</v>
      </c>
      <c r="J3584" t="s">
        <v>35210</v>
      </c>
      <c r="K3584" t="s">
        <v>42623</v>
      </c>
      <c r="M3584" t="s">
        <v>42976</v>
      </c>
      <c r="N3584" t="s">
        <v>47304</v>
      </c>
      <c r="O3584" t="s">
        <v>47305</v>
      </c>
      <c r="P3584">
        <v>0</v>
      </c>
      <c r="Q3584">
        <v>3</v>
      </c>
      <c r="R3584" t="s">
        <v>47306</v>
      </c>
      <c r="S3584" t="s">
        <v>47414</v>
      </c>
      <c r="T3584" t="s">
        <v>48980</v>
      </c>
      <c r="U3584" t="s">
        <v>52628</v>
      </c>
      <c r="W3584" t="s">
        <v>42976</v>
      </c>
      <c r="X3584" t="s">
        <v>47308</v>
      </c>
    </row>
    <row r="3585" spans="1:24">
      <c r="A3585">
        <f>HYPERLINK("https://www.philgeps.gov.ph/GEPSNONPILOT/Tender/SplashBidNoticeAbstractUI.aspx?menuIndex=3&amp;refID=7195870&amp;Result=3","7195870")</f>
        <v>0</v>
      </c>
      <c r="B3585" t="s">
        <v>1328</v>
      </c>
      <c r="C3585" t="s">
        <v>7260</v>
      </c>
      <c r="E3585" t="s">
        <v>22310</v>
      </c>
      <c r="F3585" t="s">
        <v>32606</v>
      </c>
      <c r="G3585" t="s">
        <v>32614</v>
      </c>
      <c r="H3585" t="s">
        <v>14201</v>
      </c>
      <c r="I3585" t="s">
        <v>6931</v>
      </c>
      <c r="J3585" t="s">
        <v>35211</v>
      </c>
      <c r="K3585" t="s">
        <v>42623</v>
      </c>
      <c r="M3585" t="s">
        <v>44302</v>
      </c>
      <c r="N3585" t="s">
        <v>47304</v>
      </c>
      <c r="O3585" t="s">
        <v>47305</v>
      </c>
      <c r="P3585">
        <v>0</v>
      </c>
      <c r="Q3585">
        <v>0</v>
      </c>
      <c r="R3585" t="s">
        <v>47306</v>
      </c>
      <c r="S3585" t="s">
        <v>47414</v>
      </c>
      <c r="T3585" t="s">
        <v>49067</v>
      </c>
      <c r="U3585" t="s">
        <v>52629</v>
      </c>
      <c r="W3585" t="s">
        <v>44302</v>
      </c>
      <c r="X3585" t="s">
        <v>47308</v>
      </c>
    </row>
    <row r="3586" spans="1:24">
      <c r="A3586">
        <f>HYPERLINK("https://www.philgeps.gov.ph/GEPSNONPILOT/Tender/SplashBidNoticeAbstractUI.aspx?menuIndex=3&amp;refID=7195869&amp;Result=3","7195869")</f>
        <v>0</v>
      </c>
      <c r="B3586" t="s">
        <v>30</v>
      </c>
      <c r="C3586" t="s">
        <v>7261</v>
      </c>
      <c r="D3586" t="s">
        <v>18989</v>
      </c>
      <c r="E3586" t="s">
        <v>22311</v>
      </c>
      <c r="F3586" t="s">
        <v>32606</v>
      </c>
      <c r="G3586" t="s">
        <v>32613</v>
      </c>
      <c r="H3586" t="s">
        <v>14201</v>
      </c>
      <c r="I3586" t="s">
        <v>5233</v>
      </c>
      <c r="J3586" t="s">
        <v>33848</v>
      </c>
      <c r="K3586" t="s">
        <v>42622</v>
      </c>
      <c r="M3586" t="s">
        <v>42927</v>
      </c>
      <c r="N3586" t="s">
        <v>47304</v>
      </c>
      <c r="O3586" t="s">
        <v>47305</v>
      </c>
      <c r="P3586">
        <v>0</v>
      </c>
      <c r="Q3586">
        <v>0</v>
      </c>
      <c r="R3586" t="s">
        <v>47306</v>
      </c>
      <c r="S3586" t="s">
        <v>47414</v>
      </c>
      <c r="T3586" t="s">
        <v>48977</v>
      </c>
      <c r="U3586" t="s">
        <v>52630</v>
      </c>
      <c r="W3586" t="s">
        <v>42927</v>
      </c>
      <c r="X3586" t="s">
        <v>47308</v>
      </c>
    </row>
    <row r="3587" spans="1:24">
      <c r="A3587">
        <f>HYPERLINK("https://www.philgeps.gov.ph/GEPSNONPILOT/Tender/SplashBidNoticeAbstractUI.aspx?menuIndex=3&amp;refID=7195868&amp;Result=3","7195868")</f>
        <v>0</v>
      </c>
      <c r="B3587" t="s">
        <v>1082</v>
      </c>
      <c r="C3587" t="s">
        <v>7262</v>
      </c>
      <c r="D3587" t="s">
        <v>18993</v>
      </c>
      <c r="E3587" t="s">
        <v>22312</v>
      </c>
      <c r="F3587" t="s">
        <v>32606</v>
      </c>
      <c r="G3587" t="s">
        <v>32619</v>
      </c>
      <c r="H3587" t="s">
        <v>14201</v>
      </c>
      <c r="I3587" t="s">
        <v>32669</v>
      </c>
      <c r="J3587" t="s">
        <v>35212</v>
      </c>
      <c r="K3587" t="s">
        <v>42625</v>
      </c>
      <c r="M3587" t="s">
        <v>44036</v>
      </c>
      <c r="N3587" t="s">
        <v>47304</v>
      </c>
      <c r="O3587" t="s">
        <v>47305</v>
      </c>
      <c r="P3587">
        <v>0</v>
      </c>
      <c r="Q3587">
        <v>5</v>
      </c>
      <c r="R3587" t="s">
        <v>47306</v>
      </c>
      <c r="S3587" t="s">
        <v>47414</v>
      </c>
      <c r="T3587" t="s">
        <v>49257</v>
      </c>
      <c r="U3587" t="s">
        <v>52631</v>
      </c>
      <c r="W3587" t="s">
        <v>44036</v>
      </c>
      <c r="X3587" t="s">
        <v>47308</v>
      </c>
    </row>
    <row r="3588" spans="1:24">
      <c r="A3588">
        <f>HYPERLINK("https://www.philgeps.gov.ph/GEPSNONPILOT/Tender/SplashBidNoticeAbstractUI.aspx?menuIndex=3&amp;refID=7195856&amp;Result=3","7195856")</f>
        <v>0</v>
      </c>
      <c r="B3588" t="s">
        <v>616</v>
      </c>
      <c r="C3588" t="s">
        <v>7263</v>
      </c>
      <c r="D3588" t="s">
        <v>18989</v>
      </c>
      <c r="E3588" t="s">
        <v>22313</v>
      </c>
      <c r="F3588" t="s">
        <v>32606</v>
      </c>
      <c r="G3588" t="s">
        <v>32617</v>
      </c>
      <c r="H3588" t="s">
        <v>14201</v>
      </c>
      <c r="I3588" t="s">
        <v>4114</v>
      </c>
      <c r="J3588" t="s">
        <v>35213</v>
      </c>
      <c r="K3588" t="s">
        <v>42624</v>
      </c>
      <c r="M3588" t="s">
        <v>43534</v>
      </c>
      <c r="N3588" t="s">
        <v>47304</v>
      </c>
      <c r="O3588" t="s">
        <v>47305</v>
      </c>
      <c r="P3588">
        <v>0</v>
      </c>
      <c r="Q3588">
        <v>5</v>
      </c>
      <c r="R3588" t="s">
        <v>47306</v>
      </c>
      <c r="S3588" t="s">
        <v>47414</v>
      </c>
      <c r="T3588" t="s">
        <v>49004</v>
      </c>
      <c r="U3588" t="s">
        <v>50617</v>
      </c>
      <c r="W3588" t="s">
        <v>43534</v>
      </c>
      <c r="X3588" t="s">
        <v>47308</v>
      </c>
    </row>
    <row r="3589" spans="1:24">
      <c r="A3589">
        <f>HYPERLINK("https://www.philgeps.gov.ph/GEPSNONPILOT/Tender/SplashBidNoticeAbstractUI.aspx?menuIndex=3&amp;refID=7195889&amp;Result=3","7195889")</f>
        <v>0</v>
      </c>
      <c r="B3589" t="s">
        <v>616</v>
      </c>
      <c r="C3589" t="s">
        <v>4315</v>
      </c>
      <c r="D3589" t="s">
        <v>18989</v>
      </c>
      <c r="E3589" t="s">
        <v>22314</v>
      </c>
      <c r="F3589" t="s">
        <v>32606</v>
      </c>
      <c r="G3589" t="s">
        <v>32617</v>
      </c>
      <c r="H3589" t="s">
        <v>14201</v>
      </c>
      <c r="I3589" t="s">
        <v>4120</v>
      </c>
      <c r="J3589" t="s">
        <v>35214</v>
      </c>
      <c r="K3589" t="s">
        <v>42624</v>
      </c>
      <c r="M3589" t="s">
        <v>43534</v>
      </c>
      <c r="N3589" t="s">
        <v>47304</v>
      </c>
      <c r="O3589" t="s">
        <v>47305</v>
      </c>
      <c r="P3589">
        <v>0</v>
      </c>
      <c r="Q3589">
        <v>3</v>
      </c>
      <c r="R3589" t="s">
        <v>47306</v>
      </c>
      <c r="S3589" t="s">
        <v>47414</v>
      </c>
      <c r="T3589" t="s">
        <v>49004</v>
      </c>
      <c r="U3589" t="s">
        <v>50617</v>
      </c>
      <c r="W3589" t="s">
        <v>43534</v>
      </c>
      <c r="X3589" t="s">
        <v>47308</v>
      </c>
    </row>
    <row r="3590" spans="1:24">
      <c r="A3590">
        <f>HYPERLINK("https://www.philgeps.gov.ph/GEPSNONPILOT/Tender/SplashBidNoticeAbstractUI.aspx?menuIndex=3&amp;refID=7195887&amp;Result=3","7195887")</f>
        <v>0</v>
      </c>
      <c r="B3590" t="s">
        <v>233</v>
      </c>
      <c r="C3590" t="s">
        <v>7264</v>
      </c>
      <c r="D3590" t="s">
        <v>18997</v>
      </c>
      <c r="E3590" t="s">
        <v>22315</v>
      </c>
      <c r="F3590" t="s">
        <v>32606</v>
      </c>
      <c r="G3590" t="s">
        <v>32613</v>
      </c>
      <c r="H3590" t="s">
        <v>14201</v>
      </c>
      <c r="I3590" t="s">
        <v>32631</v>
      </c>
      <c r="J3590" t="s">
        <v>33569</v>
      </c>
      <c r="K3590" t="s">
        <v>42631</v>
      </c>
      <c r="M3590" t="s">
        <v>44359</v>
      </c>
      <c r="N3590" t="s">
        <v>47304</v>
      </c>
      <c r="O3590" t="s">
        <v>47305</v>
      </c>
      <c r="P3590">
        <v>0</v>
      </c>
      <c r="Q3590">
        <v>0</v>
      </c>
      <c r="R3590" t="s">
        <v>47306</v>
      </c>
      <c r="S3590" t="s">
        <v>47414</v>
      </c>
      <c r="T3590" t="s">
        <v>49023</v>
      </c>
      <c r="U3590" t="s">
        <v>52443</v>
      </c>
      <c r="V3590" t="s">
        <v>63002</v>
      </c>
      <c r="W3590" t="s">
        <v>44359</v>
      </c>
      <c r="X3590" t="s">
        <v>47308</v>
      </c>
    </row>
    <row r="3591" spans="1:24">
      <c r="A3591">
        <f>HYPERLINK("https://www.philgeps.gov.ph/GEPSNONPILOT/Tender/SplashBidNoticeAbstractUI.aspx?menuIndex=3&amp;refID=7195886&amp;Result=3","7195886")</f>
        <v>0</v>
      </c>
      <c r="B3591" t="s">
        <v>1431</v>
      </c>
      <c r="C3591" t="s">
        <v>7265</v>
      </c>
      <c r="D3591" t="s">
        <v>19014</v>
      </c>
      <c r="E3591" t="s">
        <v>20519</v>
      </c>
      <c r="F3591" t="s">
        <v>32607</v>
      </c>
      <c r="G3591" t="s">
        <v>32619</v>
      </c>
      <c r="H3591" t="s">
        <v>14201</v>
      </c>
      <c r="I3591" t="s">
        <v>32626</v>
      </c>
      <c r="J3591" t="s">
        <v>35215</v>
      </c>
      <c r="K3591" t="s">
        <v>42629</v>
      </c>
      <c r="M3591" t="s">
        <v>44420</v>
      </c>
      <c r="N3591" t="s">
        <v>47304</v>
      </c>
      <c r="O3591" t="s">
        <v>47305</v>
      </c>
      <c r="P3591">
        <v>0</v>
      </c>
      <c r="Q3591">
        <v>1</v>
      </c>
      <c r="R3591" t="s">
        <v>47306</v>
      </c>
      <c r="S3591" t="s">
        <v>47414</v>
      </c>
      <c r="T3591" t="s">
        <v>48975</v>
      </c>
      <c r="U3591" t="s">
        <v>52632</v>
      </c>
      <c r="W3591" t="s">
        <v>44420</v>
      </c>
      <c r="X3591" t="s">
        <v>47308</v>
      </c>
    </row>
    <row r="3592" spans="1:24">
      <c r="A3592">
        <f>HYPERLINK("https://www.philgeps.gov.ph/GEPSNONPILOT/Tender/SplashBidNoticeAbstractUI.aspx?menuIndex=3&amp;refID=7195885&amp;Result=3","7195885")</f>
        <v>0</v>
      </c>
      <c r="B3592" t="s">
        <v>81</v>
      </c>
      <c r="C3592" t="s">
        <v>7266</v>
      </c>
      <c r="D3592" t="s">
        <v>18995</v>
      </c>
      <c r="E3592" t="s">
        <v>22316</v>
      </c>
      <c r="F3592" t="s">
        <v>32606</v>
      </c>
      <c r="G3592" t="s">
        <v>32614</v>
      </c>
      <c r="H3592" t="s">
        <v>14201</v>
      </c>
      <c r="I3592" t="s">
        <v>32712</v>
      </c>
      <c r="J3592" t="s">
        <v>35216</v>
      </c>
      <c r="K3592" t="s">
        <v>42624</v>
      </c>
      <c r="M3592" t="s">
        <v>42978</v>
      </c>
      <c r="N3592" t="s">
        <v>47304</v>
      </c>
      <c r="O3592" t="s">
        <v>47305</v>
      </c>
      <c r="P3592">
        <v>0</v>
      </c>
      <c r="Q3592">
        <v>3</v>
      </c>
      <c r="R3592" t="s">
        <v>47306</v>
      </c>
      <c r="S3592" t="s">
        <v>47414</v>
      </c>
      <c r="T3592" t="s">
        <v>49014</v>
      </c>
      <c r="U3592" t="s">
        <v>52633</v>
      </c>
      <c r="W3592" t="s">
        <v>42978</v>
      </c>
      <c r="X3592" t="s">
        <v>47308</v>
      </c>
    </row>
    <row r="3593" spans="1:24">
      <c r="A3593">
        <f>HYPERLINK("https://www.philgeps.gov.ph/GEPSNONPILOT/Tender/SplashBidNoticeAbstractUI.aspx?menuIndex=3&amp;refID=7195884&amp;Result=3","7195884")</f>
        <v>0</v>
      </c>
      <c r="B3593" t="s">
        <v>1432</v>
      </c>
      <c r="C3593" t="s">
        <v>7267</v>
      </c>
      <c r="D3593" t="s">
        <v>19040</v>
      </c>
      <c r="E3593" t="s">
        <v>22317</v>
      </c>
      <c r="F3593" t="s">
        <v>32606</v>
      </c>
      <c r="G3593" t="s">
        <v>32614</v>
      </c>
      <c r="H3593" t="s">
        <v>14201</v>
      </c>
      <c r="I3593" t="s">
        <v>17648</v>
      </c>
      <c r="J3593" t="s">
        <v>35217</v>
      </c>
      <c r="K3593" t="s">
        <v>42639</v>
      </c>
      <c r="M3593" t="s">
        <v>44421</v>
      </c>
      <c r="N3593" t="s">
        <v>47304</v>
      </c>
      <c r="O3593" t="s">
        <v>47305</v>
      </c>
      <c r="P3593">
        <v>0</v>
      </c>
      <c r="Q3593">
        <v>1</v>
      </c>
      <c r="R3593" t="s">
        <v>47306</v>
      </c>
      <c r="S3593" t="s">
        <v>47414</v>
      </c>
      <c r="T3593" t="s">
        <v>48972</v>
      </c>
      <c r="U3593" t="s">
        <v>49653</v>
      </c>
      <c r="W3593" t="s">
        <v>44421</v>
      </c>
      <c r="X3593" t="s">
        <v>47308</v>
      </c>
    </row>
    <row r="3594" spans="1:24">
      <c r="A3594">
        <f>HYPERLINK("https://www.philgeps.gov.ph/GEPSNONPILOT/Tender/SplashBidNoticeAbstractUI.aspx?menuIndex=3&amp;refID=7195883&amp;Result=3","7195883")</f>
        <v>0</v>
      </c>
      <c r="B3594" t="s">
        <v>1203</v>
      </c>
      <c r="C3594" t="s">
        <v>7268</v>
      </c>
      <c r="D3594" t="s">
        <v>19027</v>
      </c>
      <c r="E3594" t="s">
        <v>22318</v>
      </c>
      <c r="F3594" t="s">
        <v>32606</v>
      </c>
      <c r="G3594" t="s">
        <v>32613</v>
      </c>
      <c r="H3594" t="s">
        <v>14201</v>
      </c>
      <c r="I3594" t="s">
        <v>4114</v>
      </c>
      <c r="J3594" t="s">
        <v>32799</v>
      </c>
      <c r="K3594" t="s">
        <v>42624</v>
      </c>
      <c r="M3594" t="s">
        <v>44167</v>
      </c>
      <c r="N3594" t="s">
        <v>47304</v>
      </c>
      <c r="O3594" t="s">
        <v>47305</v>
      </c>
      <c r="P3594">
        <v>0</v>
      </c>
      <c r="Q3594">
        <v>2</v>
      </c>
      <c r="R3594" t="s">
        <v>47306</v>
      </c>
      <c r="S3594" t="s">
        <v>47414</v>
      </c>
      <c r="T3594" t="s">
        <v>48990</v>
      </c>
      <c r="U3594" t="s">
        <v>52634</v>
      </c>
      <c r="V3594" t="s">
        <v>63011</v>
      </c>
      <c r="W3594" t="s">
        <v>44167</v>
      </c>
      <c r="X3594" t="s">
        <v>47308</v>
      </c>
    </row>
    <row r="3595" spans="1:24">
      <c r="A3595">
        <f>HYPERLINK("https://www.philgeps.gov.ph/GEPSNONPILOT/Tender/SplashBidNoticeAbstractUI.aspx?menuIndex=3&amp;refID=7195882&amp;Result=3","7195882")</f>
        <v>0</v>
      </c>
      <c r="B3595" t="s">
        <v>648</v>
      </c>
      <c r="C3595" t="s">
        <v>7269</v>
      </c>
      <c r="D3595" t="s">
        <v>19059</v>
      </c>
      <c r="E3595" t="s">
        <v>22319</v>
      </c>
      <c r="F3595" t="s">
        <v>32606</v>
      </c>
      <c r="G3595" t="s">
        <v>32615</v>
      </c>
      <c r="H3595" t="s">
        <v>14201</v>
      </c>
      <c r="I3595" t="s">
        <v>32660</v>
      </c>
      <c r="J3595" t="s">
        <v>33071</v>
      </c>
      <c r="K3595" t="s">
        <v>42648</v>
      </c>
      <c r="M3595" t="s">
        <v>43566</v>
      </c>
      <c r="N3595" t="s">
        <v>47304</v>
      </c>
      <c r="O3595" t="s">
        <v>47305</v>
      </c>
      <c r="P3595">
        <v>0</v>
      </c>
      <c r="Q3595">
        <v>1</v>
      </c>
      <c r="R3595" t="s">
        <v>47306</v>
      </c>
      <c r="S3595" t="s">
        <v>47414</v>
      </c>
      <c r="T3595" t="s">
        <v>49050</v>
      </c>
      <c r="U3595" t="s">
        <v>52635</v>
      </c>
      <c r="W3595" t="s">
        <v>43566</v>
      </c>
      <c r="X3595" t="s">
        <v>47308</v>
      </c>
    </row>
    <row r="3596" spans="1:24">
      <c r="A3596">
        <f>HYPERLINK("https://www.philgeps.gov.ph/GEPSNONPILOT/Tender/SplashBidNoticeAbstractUI.aspx?menuIndex=3&amp;refID=7195878&amp;Result=3","7195878")</f>
        <v>0</v>
      </c>
      <c r="B3596" t="s">
        <v>1395</v>
      </c>
      <c r="C3596" t="s">
        <v>7270</v>
      </c>
      <c r="D3596" t="s">
        <v>19037</v>
      </c>
      <c r="E3596" t="s">
        <v>22320</v>
      </c>
      <c r="F3596" t="s">
        <v>32606</v>
      </c>
      <c r="G3596" t="s">
        <v>32614</v>
      </c>
      <c r="H3596" t="s">
        <v>14201</v>
      </c>
      <c r="I3596" t="s">
        <v>6931</v>
      </c>
      <c r="J3596" t="s">
        <v>35218</v>
      </c>
      <c r="K3596" t="s">
        <v>42623</v>
      </c>
      <c r="M3596" t="s">
        <v>44378</v>
      </c>
      <c r="N3596" t="s">
        <v>47304</v>
      </c>
      <c r="O3596" t="s">
        <v>47305</v>
      </c>
      <c r="P3596">
        <v>0</v>
      </c>
      <c r="Q3596">
        <v>0</v>
      </c>
      <c r="R3596" t="s">
        <v>47306</v>
      </c>
      <c r="S3596" t="s">
        <v>47414</v>
      </c>
      <c r="T3596" t="s">
        <v>48979</v>
      </c>
      <c r="U3596" t="s">
        <v>52636</v>
      </c>
      <c r="W3596" t="s">
        <v>44378</v>
      </c>
      <c r="X3596" t="s">
        <v>47308</v>
      </c>
    </row>
    <row r="3597" spans="1:24">
      <c r="A3597">
        <f>HYPERLINK("https://www.philgeps.gov.ph/GEPSNONPILOT/Tender/SplashBidNoticeAbstractUI.aspx?menuIndex=3&amp;refID=7195909&amp;Result=3","7195909")</f>
        <v>0</v>
      </c>
      <c r="B3597" t="s">
        <v>1433</v>
      </c>
      <c r="C3597" t="s">
        <v>7271</v>
      </c>
      <c r="D3597" t="s">
        <v>18999</v>
      </c>
      <c r="E3597" t="s">
        <v>22321</v>
      </c>
      <c r="F3597" t="s">
        <v>32606</v>
      </c>
      <c r="G3597" t="s">
        <v>32614</v>
      </c>
      <c r="H3597" t="s">
        <v>32624</v>
      </c>
      <c r="I3597" t="s">
        <v>6007</v>
      </c>
      <c r="J3597" t="s">
        <v>35219</v>
      </c>
      <c r="K3597" t="s">
        <v>42635</v>
      </c>
      <c r="M3597" t="s">
        <v>44422</v>
      </c>
      <c r="N3597" t="s">
        <v>47304</v>
      </c>
      <c r="O3597" t="s">
        <v>47305</v>
      </c>
      <c r="P3597">
        <v>0</v>
      </c>
      <c r="Q3597">
        <v>0</v>
      </c>
      <c r="R3597" t="s">
        <v>47306</v>
      </c>
      <c r="S3597" t="s">
        <v>47414</v>
      </c>
      <c r="T3597" t="s">
        <v>49002</v>
      </c>
      <c r="U3597" t="s">
        <v>52637</v>
      </c>
      <c r="W3597" t="s">
        <v>64473</v>
      </c>
      <c r="X3597" t="s">
        <v>47308</v>
      </c>
    </row>
    <row r="3598" spans="1:24">
      <c r="A3598">
        <f>HYPERLINK("https://www.philgeps.gov.ph/GEPSNONPILOT/Tender/SplashBidNoticeAbstractUI.aspx?menuIndex=3&amp;refID=7195908&amp;Result=3","7195908")</f>
        <v>0</v>
      </c>
      <c r="B3598" t="s">
        <v>233</v>
      </c>
      <c r="C3598" t="s">
        <v>7272</v>
      </c>
      <c r="D3598" t="s">
        <v>18997</v>
      </c>
      <c r="E3598" t="s">
        <v>22322</v>
      </c>
      <c r="F3598" t="s">
        <v>32606</v>
      </c>
      <c r="G3598" t="s">
        <v>32613</v>
      </c>
      <c r="H3598" t="s">
        <v>14201</v>
      </c>
      <c r="I3598" t="s">
        <v>32631</v>
      </c>
      <c r="J3598" t="s">
        <v>35220</v>
      </c>
      <c r="K3598" t="s">
        <v>42631</v>
      </c>
      <c r="M3598" t="s">
        <v>44359</v>
      </c>
      <c r="N3598" t="s">
        <v>47304</v>
      </c>
      <c r="O3598" t="s">
        <v>47305</v>
      </c>
      <c r="P3598">
        <v>0</v>
      </c>
      <c r="Q3598">
        <v>0</v>
      </c>
      <c r="R3598" t="s">
        <v>47306</v>
      </c>
      <c r="S3598" t="s">
        <v>47414</v>
      </c>
      <c r="T3598" t="s">
        <v>49023</v>
      </c>
      <c r="U3598" t="s">
        <v>52443</v>
      </c>
      <c r="V3598" t="s">
        <v>63002</v>
      </c>
      <c r="W3598" t="s">
        <v>44359</v>
      </c>
      <c r="X3598" t="s">
        <v>47308</v>
      </c>
    </row>
    <row r="3599" spans="1:24">
      <c r="A3599">
        <f>HYPERLINK("https://www.philgeps.gov.ph/GEPSNONPILOT/Tender/SplashBidNoticeAbstractUI.aspx?menuIndex=3&amp;refID=7195888&amp;Result=3","7195888")</f>
        <v>0</v>
      </c>
      <c r="B3599" t="s">
        <v>1434</v>
      </c>
      <c r="C3599" t="s">
        <v>7273</v>
      </c>
      <c r="D3599" t="s">
        <v>19003</v>
      </c>
      <c r="E3599" t="s">
        <v>22323</v>
      </c>
      <c r="F3599" t="s">
        <v>32606</v>
      </c>
      <c r="G3599" t="s">
        <v>32614</v>
      </c>
      <c r="H3599" t="s">
        <v>14201</v>
      </c>
      <c r="I3599" t="s">
        <v>32643</v>
      </c>
      <c r="J3599" t="s">
        <v>35221</v>
      </c>
      <c r="K3599" t="s">
        <v>42623</v>
      </c>
      <c r="M3599" t="s">
        <v>44423</v>
      </c>
      <c r="N3599" t="s">
        <v>47304</v>
      </c>
      <c r="O3599" t="s">
        <v>47305</v>
      </c>
      <c r="P3599">
        <v>0</v>
      </c>
      <c r="Q3599">
        <v>2</v>
      </c>
      <c r="R3599" t="s">
        <v>47306</v>
      </c>
      <c r="S3599" t="s">
        <v>47414</v>
      </c>
      <c r="T3599" t="s">
        <v>48988</v>
      </c>
      <c r="U3599" t="s">
        <v>52638</v>
      </c>
      <c r="V3599" t="s">
        <v>63012</v>
      </c>
      <c r="W3599" t="s">
        <v>44423</v>
      </c>
      <c r="X3599" t="s">
        <v>47308</v>
      </c>
    </row>
    <row r="3600" spans="1:24">
      <c r="A3600">
        <f>HYPERLINK("https://www.philgeps.gov.ph/GEPSNONPILOT/Tender/SplashBidNoticeAbstractUI.aspx?menuIndex=3&amp;refID=7195907&amp;Result=3","7195907")</f>
        <v>0</v>
      </c>
      <c r="B3600" t="s">
        <v>1346</v>
      </c>
      <c r="C3600" t="s">
        <v>7274</v>
      </c>
      <c r="E3600" t="s">
        <v>22324</v>
      </c>
      <c r="F3600" t="s">
        <v>32606</v>
      </c>
      <c r="G3600" t="s">
        <v>32619</v>
      </c>
      <c r="H3600" t="s">
        <v>14201</v>
      </c>
      <c r="I3600" t="s">
        <v>6007</v>
      </c>
      <c r="J3600" t="s">
        <v>33704</v>
      </c>
      <c r="K3600" t="s">
        <v>42624</v>
      </c>
      <c r="M3600" t="s">
        <v>44320</v>
      </c>
      <c r="N3600" t="s">
        <v>47304</v>
      </c>
      <c r="O3600" t="s">
        <v>47305</v>
      </c>
      <c r="P3600">
        <v>0</v>
      </c>
      <c r="Q3600">
        <v>0</v>
      </c>
      <c r="R3600" t="s">
        <v>47306</v>
      </c>
      <c r="S3600" t="s">
        <v>47414</v>
      </c>
      <c r="T3600" t="s">
        <v>48998</v>
      </c>
      <c r="U3600" t="s">
        <v>52639</v>
      </c>
      <c r="W3600" t="s">
        <v>44320</v>
      </c>
      <c r="X3600" t="s">
        <v>47308</v>
      </c>
    </row>
    <row r="3601" spans="1:24">
      <c r="A3601">
        <f>HYPERLINK("https://www.philgeps.gov.ph/GEPSNONPILOT/Tender/SplashBidNoticeAbstractUI.aspx?menuIndex=3&amp;refID=7195905&amp;Result=3","7195905")</f>
        <v>0</v>
      </c>
      <c r="B3601" t="s">
        <v>1403</v>
      </c>
      <c r="C3601" t="s">
        <v>7275</v>
      </c>
      <c r="D3601" t="s">
        <v>19038</v>
      </c>
      <c r="E3601" t="s">
        <v>22325</v>
      </c>
      <c r="F3601" t="s">
        <v>32606</v>
      </c>
      <c r="G3601" t="s">
        <v>32619</v>
      </c>
      <c r="H3601" t="s">
        <v>14201</v>
      </c>
      <c r="I3601" t="s">
        <v>32629</v>
      </c>
      <c r="J3601" t="s">
        <v>33251</v>
      </c>
      <c r="K3601" t="s">
        <v>42631</v>
      </c>
      <c r="M3601" t="s">
        <v>44388</v>
      </c>
      <c r="N3601" t="s">
        <v>47304</v>
      </c>
      <c r="O3601" t="s">
        <v>47305</v>
      </c>
      <c r="P3601">
        <v>0</v>
      </c>
      <c r="Q3601">
        <v>0</v>
      </c>
      <c r="R3601" t="s">
        <v>47306</v>
      </c>
      <c r="S3601" t="s">
        <v>47414</v>
      </c>
      <c r="T3601" t="s">
        <v>48986</v>
      </c>
      <c r="U3601" t="s">
        <v>52640</v>
      </c>
      <c r="W3601" t="s">
        <v>44388</v>
      </c>
      <c r="X3601" t="s">
        <v>47308</v>
      </c>
    </row>
    <row r="3602" spans="1:24">
      <c r="A3602">
        <f>HYPERLINK("https://www.philgeps.gov.ph/GEPSNONPILOT/Tender/SplashBidNoticeAbstractUI.aspx?menuIndex=3&amp;refID=7195903&amp;Result=3","7195903")</f>
        <v>0</v>
      </c>
      <c r="B3602" t="s">
        <v>1435</v>
      </c>
      <c r="C3602" t="s">
        <v>7276</v>
      </c>
      <c r="D3602" t="s">
        <v>19025</v>
      </c>
      <c r="E3602" t="s">
        <v>22326</v>
      </c>
      <c r="F3602" t="s">
        <v>32606</v>
      </c>
      <c r="G3602" t="s">
        <v>32614</v>
      </c>
      <c r="H3602" t="s">
        <v>14201</v>
      </c>
      <c r="I3602" t="s">
        <v>4678</v>
      </c>
      <c r="J3602" t="s">
        <v>32765</v>
      </c>
      <c r="K3602" t="s">
        <v>42630</v>
      </c>
      <c r="M3602" t="s">
        <v>44424</v>
      </c>
      <c r="N3602" t="s">
        <v>47304</v>
      </c>
      <c r="O3602" t="s">
        <v>47305</v>
      </c>
      <c r="P3602">
        <v>0</v>
      </c>
      <c r="Q3602">
        <v>7</v>
      </c>
      <c r="R3602" t="s">
        <v>47306</v>
      </c>
      <c r="S3602" t="s">
        <v>47414</v>
      </c>
      <c r="T3602" t="s">
        <v>49050</v>
      </c>
      <c r="U3602" t="s">
        <v>52641</v>
      </c>
      <c r="W3602" t="s">
        <v>44424</v>
      </c>
      <c r="X3602" t="s">
        <v>47308</v>
      </c>
    </row>
    <row r="3603" spans="1:24">
      <c r="A3603">
        <f>HYPERLINK("https://www.philgeps.gov.ph/GEPSNONPILOT/Tender/SplashBidNoticeAbstractUI.aspx?menuIndex=3&amp;refID=7195890&amp;Result=3","7195890")</f>
        <v>0</v>
      </c>
      <c r="B3603" t="s">
        <v>1422</v>
      </c>
      <c r="C3603" t="s">
        <v>3971</v>
      </c>
      <c r="D3603" t="s">
        <v>19018</v>
      </c>
      <c r="E3603" t="s">
        <v>19663</v>
      </c>
      <c r="F3603" t="s">
        <v>32606</v>
      </c>
      <c r="G3603" t="s">
        <v>32617</v>
      </c>
      <c r="H3603" t="s">
        <v>14201</v>
      </c>
      <c r="I3603" t="s">
        <v>4114</v>
      </c>
      <c r="J3603" t="s">
        <v>33257</v>
      </c>
      <c r="K3603" t="s">
        <v>42624</v>
      </c>
      <c r="M3603" t="s">
        <v>44410</v>
      </c>
      <c r="N3603" t="s">
        <v>47304</v>
      </c>
      <c r="O3603" t="s">
        <v>47305</v>
      </c>
      <c r="P3603">
        <v>0</v>
      </c>
      <c r="Q3603">
        <v>0</v>
      </c>
      <c r="R3603" t="s">
        <v>47306</v>
      </c>
      <c r="S3603" t="s">
        <v>47414</v>
      </c>
      <c r="T3603" t="s">
        <v>49014</v>
      </c>
      <c r="U3603" t="s">
        <v>52592</v>
      </c>
      <c r="W3603" t="s">
        <v>44410</v>
      </c>
      <c r="X3603" t="s">
        <v>47308</v>
      </c>
    </row>
    <row r="3604" spans="1:24">
      <c r="A3604">
        <f>HYPERLINK("https://www.philgeps.gov.ph/GEPSNONPILOT/Tender/SplashBidNoticeAbstractUI.aspx?menuIndex=3&amp;refID=7195875&amp;Result=3","7195875")</f>
        <v>0</v>
      </c>
      <c r="B3604" t="s">
        <v>1436</v>
      </c>
      <c r="C3604" t="s">
        <v>7277</v>
      </c>
      <c r="D3604" t="s">
        <v>19028</v>
      </c>
      <c r="E3604" t="s">
        <v>22327</v>
      </c>
      <c r="F3604" t="s">
        <v>32606</v>
      </c>
      <c r="G3604" t="s">
        <v>32613</v>
      </c>
      <c r="H3604" t="s">
        <v>14201</v>
      </c>
      <c r="I3604" t="s">
        <v>7677</v>
      </c>
      <c r="J3604" t="s">
        <v>32752</v>
      </c>
      <c r="K3604" t="s">
        <v>42629</v>
      </c>
      <c r="M3604" t="s">
        <v>44425</v>
      </c>
      <c r="N3604" t="s">
        <v>47304</v>
      </c>
      <c r="O3604" t="s">
        <v>47305</v>
      </c>
      <c r="P3604">
        <v>0</v>
      </c>
      <c r="Q3604">
        <v>0</v>
      </c>
      <c r="R3604" t="s">
        <v>47306</v>
      </c>
      <c r="S3604" t="s">
        <v>47414</v>
      </c>
      <c r="T3604" t="s">
        <v>48976</v>
      </c>
      <c r="U3604" t="s">
        <v>52642</v>
      </c>
      <c r="W3604" t="s">
        <v>44425</v>
      </c>
      <c r="X3604" t="s">
        <v>47308</v>
      </c>
    </row>
    <row r="3605" spans="1:24">
      <c r="A3605">
        <f>HYPERLINK("https://www.philgeps.gov.ph/GEPSNONPILOT/Tender/SplashBidNoticeAbstractUI.aspx?menuIndex=3&amp;refID=7195913&amp;Result=3","7195913")</f>
        <v>0</v>
      </c>
      <c r="B3605" t="s">
        <v>90</v>
      </c>
      <c r="C3605" t="s">
        <v>7278</v>
      </c>
      <c r="D3605" t="s">
        <v>18988</v>
      </c>
      <c r="E3605" t="s">
        <v>22328</v>
      </c>
      <c r="F3605" t="s">
        <v>32606</v>
      </c>
      <c r="G3605" t="s">
        <v>32613</v>
      </c>
      <c r="H3605" t="s">
        <v>14201</v>
      </c>
      <c r="I3605" t="s">
        <v>32631</v>
      </c>
      <c r="J3605" t="s">
        <v>35222</v>
      </c>
      <c r="K3605" t="s">
        <v>42624</v>
      </c>
      <c r="M3605" t="s">
        <v>42988</v>
      </c>
      <c r="N3605" t="s">
        <v>47304</v>
      </c>
      <c r="O3605" t="s">
        <v>47305</v>
      </c>
      <c r="P3605">
        <v>0</v>
      </c>
      <c r="Q3605">
        <v>0</v>
      </c>
      <c r="R3605" t="s">
        <v>47306</v>
      </c>
      <c r="S3605" t="s">
        <v>47414</v>
      </c>
      <c r="T3605" t="s">
        <v>49018</v>
      </c>
      <c r="U3605" t="s">
        <v>52643</v>
      </c>
      <c r="V3605" t="s">
        <v>62666</v>
      </c>
      <c r="W3605" t="s">
        <v>42988</v>
      </c>
      <c r="X3605" t="s">
        <v>47308</v>
      </c>
    </row>
    <row r="3606" spans="1:24">
      <c r="A3606">
        <f>HYPERLINK("https://www.philgeps.gov.ph/GEPSNONPILOT/Tender/SplashBidNoticeAbstractUI.aspx?menuIndex=3&amp;refID=7195912&amp;Result=3","7195912")</f>
        <v>0</v>
      </c>
      <c r="B3606" t="s">
        <v>307</v>
      </c>
      <c r="C3606" t="s">
        <v>7279</v>
      </c>
      <c r="D3606" t="s">
        <v>19051</v>
      </c>
      <c r="E3606" t="s">
        <v>22329</v>
      </c>
      <c r="F3606" t="s">
        <v>32606</v>
      </c>
      <c r="G3606" t="s">
        <v>32614</v>
      </c>
      <c r="H3606" t="s">
        <v>14201</v>
      </c>
      <c r="I3606" t="s">
        <v>6298</v>
      </c>
      <c r="J3606" t="s">
        <v>33030</v>
      </c>
      <c r="K3606" t="s">
        <v>42623</v>
      </c>
      <c r="M3606" t="s">
        <v>43209</v>
      </c>
      <c r="N3606" t="s">
        <v>47304</v>
      </c>
      <c r="O3606" t="s">
        <v>47305</v>
      </c>
      <c r="P3606">
        <v>0</v>
      </c>
      <c r="Q3606">
        <v>2</v>
      </c>
      <c r="R3606" t="s">
        <v>47306</v>
      </c>
      <c r="S3606" t="s">
        <v>47414</v>
      </c>
      <c r="T3606" t="s">
        <v>48979</v>
      </c>
      <c r="U3606" t="s">
        <v>52644</v>
      </c>
      <c r="W3606" t="s">
        <v>43209</v>
      </c>
      <c r="X3606" t="s">
        <v>47308</v>
      </c>
    </row>
    <row r="3607" spans="1:24">
      <c r="A3607">
        <f>HYPERLINK("https://www.philgeps.gov.ph/GEPSNONPILOT/Tender/SplashBidNoticeAbstractUI.aspx?menuIndex=3&amp;refID=7195911&amp;Result=3","7195911")</f>
        <v>0</v>
      </c>
      <c r="B3607" t="s">
        <v>238</v>
      </c>
      <c r="C3607" t="s">
        <v>7280</v>
      </c>
      <c r="D3607" t="s">
        <v>18993</v>
      </c>
      <c r="E3607" t="s">
        <v>22330</v>
      </c>
      <c r="F3607" t="s">
        <v>32606</v>
      </c>
      <c r="G3607" t="s">
        <v>32619</v>
      </c>
      <c r="H3607" t="s">
        <v>14201</v>
      </c>
      <c r="I3607" t="s">
        <v>6298</v>
      </c>
      <c r="J3607" t="s">
        <v>35223</v>
      </c>
      <c r="K3607" t="s">
        <v>42622</v>
      </c>
      <c r="M3607" t="s">
        <v>43357</v>
      </c>
      <c r="N3607" t="s">
        <v>47304</v>
      </c>
      <c r="O3607" t="s">
        <v>47305</v>
      </c>
      <c r="P3607">
        <v>0</v>
      </c>
      <c r="Q3607">
        <v>0</v>
      </c>
      <c r="R3607" t="s">
        <v>47306</v>
      </c>
      <c r="S3607" t="s">
        <v>47414</v>
      </c>
      <c r="T3607" t="s">
        <v>49123</v>
      </c>
      <c r="U3607" t="s">
        <v>52645</v>
      </c>
      <c r="V3607" t="s">
        <v>62749</v>
      </c>
      <c r="W3607" t="s">
        <v>43357</v>
      </c>
      <c r="X3607" t="s">
        <v>47308</v>
      </c>
    </row>
    <row r="3608" spans="1:24">
      <c r="A3608">
        <f>HYPERLINK("https://www.philgeps.gov.ph/GEPSNONPILOT/Tender/SplashBidNoticeAbstractUI.aspx?menuIndex=3&amp;refID=7195901&amp;Result=3","7195901")</f>
        <v>0</v>
      </c>
      <c r="B3608" t="s">
        <v>616</v>
      </c>
      <c r="C3608" t="s">
        <v>4718</v>
      </c>
      <c r="D3608" t="s">
        <v>18989</v>
      </c>
      <c r="E3608" t="s">
        <v>22331</v>
      </c>
      <c r="F3608" t="s">
        <v>32606</v>
      </c>
      <c r="G3608" t="s">
        <v>32617</v>
      </c>
      <c r="H3608" t="s">
        <v>14201</v>
      </c>
      <c r="I3608" t="s">
        <v>4120</v>
      </c>
      <c r="J3608" t="s">
        <v>35224</v>
      </c>
      <c r="K3608" t="s">
        <v>42624</v>
      </c>
      <c r="M3608" t="s">
        <v>43534</v>
      </c>
      <c r="N3608" t="s">
        <v>47304</v>
      </c>
      <c r="O3608" t="s">
        <v>47305</v>
      </c>
      <c r="P3608">
        <v>0</v>
      </c>
      <c r="Q3608">
        <v>1</v>
      </c>
      <c r="R3608" t="s">
        <v>47306</v>
      </c>
      <c r="S3608" t="s">
        <v>47414</v>
      </c>
      <c r="T3608" t="s">
        <v>49004</v>
      </c>
      <c r="U3608" t="s">
        <v>50617</v>
      </c>
      <c r="W3608" t="s">
        <v>43534</v>
      </c>
      <c r="X3608" t="s">
        <v>47308</v>
      </c>
    </row>
    <row r="3609" spans="1:24">
      <c r="A3609">
        <f>HYPERLINK("https://www.philgeps.gov.ph/GEPSNONPILOT/Tender/SplashBidNoticeAbstractUI.aspx?menuIndex=3&amp;refID=7195900&amp;Result=3","7195900")</f>
        <v>0</v>
      </c>
      <c r="B3609" t="s">
        <v>337</v>
      </c>
      <c r="C3609" t="s">
        <v>7281</v>
      </c>
      <c r="D3609" t="s">
        <v>19039</v>
      </c>
      <c r="E3609" t="s">
        <v>22332</v>
      </c>
      <c r="F3609" t="s">
        <v>32606</v>
      </c>
      <c r="G3609" t="s">
        <v>32619</v>
      </c>
      <c r="H3609" t="s">
        <v>14201</v>
      </c>
      <c r="I3609" t="s">
        <v>32692</v>
      </c>
      <c r="J3609" t="s">
        <v>35225</v>
      </c>
      <c r="K3609" t="s">
        <v>42622</v>
      </c>
      <c r="M3609" t="s">
        <v>43239</v>
      </c>
      <c r="N3609" t="s">
        <v>47304</v>
      </c>
      <c r="O3609" t="s">
        <v>47305</v>
      </c>
      <c r="P3609">
        <v>0</v>
      </c>
      <c r="Q3609">
        <v>0</v>
      </c>
      <c r="R3609" t="s">
        <v>47306</v>
      </c>
      <c r="S3609" t="s">
        <v>47414</v>
      </c>
      <c r="T3609" t="s">
        <v>48980</v>
      </c>
      <c r="U3609" t="s">
        <v>52646</v>
      </c>
      <c r="W3609" t="s">
        <v>43239</v>
      </c>
      <c r="X3609" t="s">
        <v>47308</v>
      </c>
    </row>
    <row r="3610" spans="1:24">
      <c r="A3610">
        <f>HYPERLINK("https://www.philgeps.gov.ph/GEPSNONPILOT/Tender/SplashBidNoticeAbstractUI.aspx?menuIndex=3&amp;refID=7195897&amp;Result=3","7195897")</f>
        <v>0</v>
      </c>
      <c r="B3610" t="s">
        <v>464</v>
      </c>
      <c r="C3610" t="s">
        <v>7282</v>
      </c>
      <c r="D3610" t="s">
        <v>19044</v>
      </c>
      <c r="E3610" t="s">
        <v>22333</v>
      </c>
      <c r="F3610" t="s">
        <v>32606</v>
      </c>
      <c r="G3610" t="s">
        <v>32614</v>
      </c>
      <c r="H3610" t="s">
        <v>14201</v>
      </c>
      <c r="I3610" t="s">
        <v>4120</v>
      </c>
      <c r="J3610" t="s">
        <v>33783</v>
      </c>
      <c r="K3610" t="s">
        <v>42632</v>
      </c>
      <c r="M3610" t="s">
        <v>43374</v>
      </c>
      <c r="N3610" t="s">
        <v>47304</v>
      </c>
      <c r="O3610" t="s">
        <v>47305</v>
      </c>
      <c r="P3610">
        <v>0</v>
      </c>
      <c r="Q3610">
        <v>0</v>
      </c>
      <c r="R3610" t="s">
        <v>47306</v>
      </c>
      <c r="S3610" t="s">
        <v>47414</v>
      </c>
      <c r="T3610" t="s">
        <v>48980</v>
      </c>
      <c r="U3610" t="s">
        <v>52647</v>
      </c>
      <c r="W3610" t="s">
        <v>43374</v>
      </c>
      <c r="X3610" t="s">
        <v>47308</v>
      </c>
    </row>
    <row r="3611" spans="1:24">
      <c r="A3611">
        <f>HYPERLINK("https://www.philgeps.gov.ph/GEPSNONPILOT/Tender/SplashBidNoticeAbstractUI.aspx?menuIndex=3&amp;refID=7195895&amp;Result=3","7195895")</f>
        <v>0</v>
      </c>
      <c r="B3611" t="s">
        <v>1420</v>
      </c>
      <c r="C3611" t="s">
        <v>7283</v>
      </c>
      <c r="D3611" t="s">
        <v>19020</v>
      </c>
      <c r="E3611" t="s">
        <v>22334</v>
      </c>
      <c r="F3611" t="s">
        <v>32606</v>
      </c>
      <c r="G3611" t="s">
        <v>32619</v>
      </c>
      <c r="H3611" t="s">
        <v>14201</v>
      </c>
      <c r="I3611" t="s">
        <v>32661</v>
      </c>
      <c r="J3611" t="s">
        <v>35226</v>
      </c>
      <c r="K3611" t="s">
        <v>42623</v>
      </c>
      <c r="M3611" t="s">
        <v>44408</v>
      </c>
      <c r="N3611" t="s">
        <v>47304</v>
      </c>
      <c r="O3611" t="s">
        <v>47305</v>
      </c>
      <c r="P3611">
        <v>0</v>
      </c>
      <c r="Q3611">
        <v>1</v>
      </c>
      <c r="R3611" t="s">
        <v>47306</v>
      </c>
      <c r="S3611" t="s">
        <v>47414</v>
      </c>
      <c r="T3611" t="s">
        <v>48979</v>
      </c>
      <c r="U3611" t="s">
        <v>52648</v>
      </c>
      <c r="W3611" t="s">
        <v>44408</v>
      </c>
      <c r="X3611" t="s">
        <v>47308</v>
      </c>
    </row>
    <row r="3612" spans="1:24">
      <c r="A3612">
        <f>HYPERLINK("https://www.philgeps.gov.ph/GEPSNONPILOT/Tender/SplashBidNoticeAbstractUI.aspx?menuIndex=3&amp;refID=7195915&amp;Result=3","7195915")</f>
        <v>0</v>
      </c>
      <c r="B3612" t="s">
        <v>30</v>
      </c>
      <c r="C3612" t="s">
        <v>7284</v>
      </c>
      <c r="D3612" t="s">
        <v>18989</v>
      </c>
      <c r="E3612" t="s">
        <v>22335</v>
      </c>
      <c r="F3612" t="s">
        <v>32606</v>
      </c>
      <c r="G3612" t="s">
        <v>32613</v>
      </c>
      <c r="H3612" t="s">
        <v>14201</v>
      </c>
      <c r="I3612" t="s">
        <v>32696</v>
      </c>
      <c r="J3612" t="s">
        <v>35227</v>
      </c>
      <c r="K3612" t="s">
        <v>42622</v>
      </c>
      <c r="M3612" t="s">
        <v>42927</v>
      </c>
      <c r="N3612" t="s">
        <v>47304</v>
      </c>
      <c r="O3612" t="s">
        <v>47305</v>
      </c>
      <c r="P3612">
        <v>0</v>
      </c>
      <c r="Q3612">
        <v>0</v>
      </c>
      <c r="R3612" t="s">
        <v>47306</v>
      </c>
      <c r="S3612" t="s">
        <v>47414</v>
      </c>
      <c r="T3612" t="s">
        <v>48977</v>
      </c>
      <c r="U3612" t="s">
        <v>52649</v>
      </c>
      <c r="W3612" t="s">
        <v>42927</v>
      </c>
      <c r="X3612" t="s">
        <v>47308</v>
      </c>
    </row>
    <row r="3613" spans="1:24">
      <c r="A3613">
        <f>HYPERLINK("https://www.philgeps.gov.ph/GEPSNONPILOT/Tender/SplashBidNoticeAbstractUI.aspx?menuIndex=3&amp;refID=7195894&amp;Result=3","7195894")</f>
        <v>0</v>
      </c>
      <c r="B3613" t="s">
        <v>1396</v>
      </c>
      <c r="C3613" t="s">
        <v>7285</v>
      </c>
      <c r="D3613" t="s">
        <v>18992</v>
      </c>
      <c r="E3613" t="s">
        <v>22336</v>
      </c>
      <c r="F3613" t="s">
        <v>32606</v>
      </c>
      <c r="G3613" t="s">
        <v>32614</v>
      </c>
      <c r="H3613" t="s">
        <v>14201</v>
      </c>
      <c r="I3613" t="s">
        <v>7677</v>
      </c>
      <c r="J3613" t="s">
        <v>35228</v>
      </c>
      <c r="K3613" t="s">
        <v>42627</v>
      </c>
      <c r="M3613" t="s">
        <v>44380</v>
      </c>
      <c r="N3613" t="s">
        <v>47304</v>
      </c>
      <c r="O3613" t="s">
        <v>47305</v>
      </c>
      <c r="P3613">
        <v>0</v>
      </c>
      <c r="Q3613">
        <v>3</v>
      </c>
      <c r="R3613" t="s">
        <v>47306</v>
      </c>
      <c r="S3613" t="s">
        <v>47414</v>
      </c>
      <c r="T3613" t="s">
        <v>49050</v>
      </c>
      <c r="U3613" t="s">
        <v>52650</v>
      </c>
      <c r="W3613" t="s">
        <v>44380</v>
      </c>
      <c r="X3613" t="s">
        <v>47308</v>
      </c>
    </row>
    <row r="3614" spans="1:24">
      <c r="A3614">
        <f>HYPERLINK("https://www.philgeps.gov.ph/GEPSNONPILOT/Tender/SplashBidNoticeAbstractUI.aspx?menuIndex=3&amp;refID=7195910&amp;Result=3","7195910")</f>
        <v>0</v>
      </c>
      <c r="B3614" t="s">
        <v>1008</v>
      </c>
      <c r="C3614" t="s">
        <v>7286</v>
      </c>
      <c r="D3614" t="s">
        <v>19005</v>
      </c>
      <c r="E3614" t="s">
        <v>22337</v>
      </c>
      <c r="F3614" t="s">
        <v>32606</v>
      </c>
      <c r="G3614" t="s">
        <v>32619</v>
      </c>
      <c r="H3614" t="s">
        <v>14201</v>
      </c>
      <c r="I3614" t="s">
        <v>7677</v>
      </c>
      <c r="J3614" t="s">
        <v>35229</v>
      </c>
      <c r="K3614" t="s">
        <v>42624</v>
      </c>
      <c r="M3614" t="s">
        <v>43956</v>
      </c>
      <c r="N3614" t="s">
        <v>47304</v>
      </c>
      <c r="O3614" t="s">
        <v>47305</v>
      </c>
      <c r="P3614">
        <v>0</v>
      </c>
      <c r="Q3614">
        <v>9</v>
      </c>
      <c r="R3614" t="s">
        <v>47306</v>
      </c>
      <c r="S3614" t="s">
        <v>47414</v>
      </c>
      <c r="T3614" t="s">
        <v>49162</v>
      </c>
      <c r="U3614" t="s">
        <v>52651</v>
      </c>
      <c r="W3614" t="s">
        <v>43956</v>
      </c>
      <c r="X3614" t="s">
        <v>47308</v>
      </c>
    </row>
    <row r="3615" spans="1:24">
      <c r="A3615">
        <f>HYPERLINK("https://www.philgeps.gov.ph/GEPSNONPILOT/Tender/SplashBidNoticeAbstractUI.aspx?menuIndex=3&amp;refID=7195904&amp;Result=3","7195904")</f>
        <v>0</v>
      </c>
      <c r="B3615" t="s">
        <v>1437</v>
      </c>
      <c r="C3615" t="s">
        <v>7287</v>
      </c>
      <c r="E3615" t="s">
        <v>22338</v>
      </c>
      <c r="F3615" t="s">
        <v>32606</v>
      </c>
      <c r="G3615" t="s">
        <v>32614</v>
      </c>
      <c r="H3615" t="s">
        <v>14201</v>
      </c>
      <c r="I3615" t="s">
        <v>32638</v>
      </c>
      <c r="J3615" t="s">
        <v>35230</v>
      </c>
      <c r="K3615" t="s">
        <v>42624</v>
      </c>
      <c r="M3615" t="s">
        <v>44426</v>
      </c>
      <c r="N3615" t="s">
        <v>47304</v>
      </c>
      <c r="O3615" t="s">
        <v>47305</v>
      </c>
      <c r="P3615">
        <v>0</v>
      </c>
      <c r="Q3615">
        <v>4</v>
      </c>
      <c r="R3615" t="s">
        <v>47306</v>
      </c>
      <c r="S3615" t="s">
        <v>47414</v>
      </c>
      <c r="T3615" t="s">
        <v>49014</v>
      </c>
      <c r="U3615" t="s">
        <v>52652</v>
      </c>
      <c r="W3615" t="s">
        <v>44426</v>
      </c>
      <c r="X3615" t="s">
        <v>47308</v>
      </c>
    </row>
    <row r="3616" spans="1:24">
      <c r="A3616">
        <f>HYPERLINK("https://www.philgeps.gov.ph/GEPSNONPILOT/Tender/SplashBidNoticeAbstractUI.aspx?menuIndex=3&amp;refID=7195917&amp;Result=3","7195917")</f>
        <v>0</v>
      </c>
      <c r="B3616" t="s">
        <v>1438</v>
      </c>
      <c r="C3616" t="s">
        <v>7288</v>
      </c>
      <c r="D3616" t="s">
        <v>18993</v>
      </c>
      <c r="E3616" t="s">
        <v>22339</v>
      </c>
      <c r="F3616" t="s">
        <v>32606</v>
      </c>
      <c r="G3616" t="s">
        <v>32614</v>
      </c>
      <c r="H3616" t="s">
        <v>14201</v>
      </c>
      <c r="I3616" t="s">
        <v>13131</v>
      </c>
      <c r="J3616" t="s">
        <v>33526</v>
      </c>
      <c r="K3616" t="s">
        <v>42624</v>
      </c>
      <c r="M3616" t="s">
        <v>44427</v>
      </c>
      <c r="N3616" t="s">
        <v>47304</v>
      </c>
      <c r="O3616" t="s">
        <v>47305</v>
      </c>
      <c r="P3616">
        <v>0</v>
      </c>
      <c r="Q3616">
        <v>6</v>
      </c>
      <c r="R3616" t="s">
        <v>47306</v>
      </c>
      <c r="S3616" t="s">
        <v>47414</v>
      </c>
      <c r="T3616" t="s">
        <v>49061</v>
      </c>
      <c r="U3616" t="s">
        <v>52653</v>
      </c>
      <c r="W3616" t="s">
        <v>64474</v>
      </c>
      <c r="X3616" t="s">
        <v>47308</v>
      </c>
    </row>
    <row r="3617" spans="1:24">
      <c r="A3617">
        <f>HYPERLINK("https://www.philgeps.gov.ph/GEPSNONPILOT/Tender/SplashBidNoticeAbstractUI.aspx?menuIndex=3&amp;refID=7195876&amp;Result=3","7195876")</f>
        <v>0</v>
      </c>
      <c r="B3617" t="s">
        <v>141</v>
      </c>
      <c r="C3617" t="s">
        <v>6737</v>
      </c>
      <c r="E3617" t="s">
        <v>22340</v>
      </c>
      <c r="F3617" t="s">
        <v>32606</v>
      </c>
      <c r="G3617" t="s">
        <v>32614</v>
      </c>
      <c r="H3617" t="s">
        <v>14201</v>
      </c>
      <c r="I3617" t="s">
        <v>6993</v>
      </c>
      <c r="J3617" t="s">
        <v>35231</v>
      </c>
      <c r="K3617" t="s">
        <v>42624</v>
      </c>
      <c r="M3617" t="s">
        <v>43042</v>
      </c>
      <c r="N3617" t="s">
        <v>47304</v>
      </c>
      <c r="O3617" t="s">
        <v>47305</v>
      </c>
      <c r="P3617">
        <v>0</v>
      </c>
      <c r="Q3617">
        <v>1</v>
      </c>
      <c r="R3617" t="s">
        <v>47306</v>
      </c>
      <c r="S3617" t="s">
        <v>47414</v>
      </c>
      <c r="T3617" t="s">
        <v>49004</v>
      </c>
      <c r="U3617" t="s">
        <v>49781</v>
      </c>
      <c r="W3617" t="s">
        <v>43042</v>
      </c>
      <c r="X3617" t="s">
        <v>47308</v>
      </c>
    </row>
    <row r="3618" spans="1:24">
      <c r="A3618">
        <f>HYPERLINK("https://www.philgeps.gov.ph/GEPSNONPILOT/Tender/SplashBidNoticeAbstractUI.aspx?menuIndex=3&amp;refID=7195916&amp;Result=3","7195916")</f>
        <v>0</v>
      </c>
      <c r="B3618" t="s">
        <v>716</v>
      </c>
      <c r="C3618" t="s">
        <v>7289</v>
      </c>
      <c r="D3618" t="s">
        <v>19008</v>
      </c>
      <c r="E3618" t="s">
        <v>22341</v>
      </c>
      <c r="F3618" t="s">
        <v>32606</v>
      </c>
      <c r="G3618" t="s">
        <v>32614</v>
      </c>
      <c r="H3618" t="s">
        <v>14201</v>
      </c>
      <c r="I3618" t="s">
        <v>32640</v>
      </c>
      <c r="J3618" t="s">
        <v>33441</v>
      </c>
      <c r="K3618" t="s">
        <v>42624</v>
      </c>
      <c r="M3618" t="s">
        <v>43637</v>
      </c>
      <c r="N3618" t="s">
        <v>47304</v>
      </c>
      <c r="O3618" t="s">
        <v>47305</v>
      </c>
      <c r="P3618">
        <v>0</v>
      </c>
      <c r="Q3618">
        <v>1</v>
      </c>
      <c r="R3618" t="s">
        <v>47306</v>
      </c>
      <c r="S3618" t="s">
        <v>47414</v>
      </c>
      <c r="T3618" t="s">
        <v>48988</v>
      </c>
      <c r="U3618" t="s">
        <v>52654</v>
      </c>
      <c r="W3618" t="s">
        <v>43637</v>
      </c>
      <c r="X3618" t="s">
        <v>47308</v>
      </c>
    </row>
    <row r="3619" spans="1:24">
      <c r="A3619">
        <f>HYPERLINK("https://www.philgeps.gov.ph/GEPSNONPILOT/Tender/SplashBidNoticeAbstractUI.aspx?menuIndex=3&amp;refID=7195892&amp;Result=3","7195892")</f>
        <v>0</v>
      </c>
      <c r="B3619" t="s">
        <v>76</v>
      </c>
      <c r="C3619" t="s">
        <v>7290</v>
      </c>
      <c r="D3619" t="s">
        <v>19010</v>
      </c>
      <c r="E3619" t="s">
        <v>22342</v>
      </c>
      <c r="F3619" t="s">
        <v>32606</v>
      </c>
      <c r="G3619" t="s">
        <v>32613</v>
      </c>
      <c r="H3619" t="s">
        <v>14201</v>
      </c>
      <c r="I3619" t="s">
        <v>9008</v>
      </c>
      <c r="J3619" t="s">
        <v>34545</v>
      </c>
      <c r="K3619" t="s">
        <v>42624</v>
      </c>
      <c r="M3619" t="s">
        <v>42973</v>
      </c>
      <c r="N3619" t="s">
        <v>47304</v>
      </c>
      <c r="O3619" t="s">
        <v>47305</v>
      </c>
      <c r="P3619">
        <v>0</v>
      </c>
      <c r="Q3619">
        <v>0</v>
      </c>
      <c r="R3619" t="s">
        <v>47306</v>
      </c>
      <c r="S3619" t="s">
        <v>47414</v>
      </c>
      <c r="T3619" t="s">
        <v>49011</v>
      </c>
      <c r="U3619" t="s">
        <v>52655</v>
      </c>
      <c r="W3619" t="s">
        <v>64421</v>
      </c>
      <c r="X3619" t="s">
        <v>47308</v>
      </c>
    </row>
    <row r="3620" spans="1:24">
      <c r="A3620">
        <f>HYPERLINK("https://www.philgeps.gov.ph/GEPSNONPILOT/Tender/SplashBidNoticeAbstractUI.aspx?menuIndex=3&amp;refID=7195939&amp;Result=3","7195939")</f>
        <v>0</v>
      </c>
      <c r="B3620" t="s">
        <v>1412</v>
      </c>
      <c r="C3620" t="s">
        <v>7189</v>
      </c>
      <c r="D3620" t="s">
        <v>19056</v>
      </c>
      <c r="E3620" t="s">
        <v>22343</v>
      </c>
      <c r="F3620" t="s">
        <v>32606</v>
      </c>
      <c r="G3620" t="s">
        <v>32614</v>
      </c>
      <c r="H3620" t="s">
        <v>14201</v>
      </c>
      <c r="I3620" t="s">
        <v>6007</v>
      </c>
      <c r="J3620" t="s">
        <v>35167</v>
      </c>
      <c r="K3620" t="s">
        <v>42638</v>
      </c>
      <c r="M3620" t="s">
        <v>44400</v>
      </c>
      <c r="N3620" t="s">
        <v>47304</v>
      </c>
      <c r="O3620" t="s">
        <v>47305</v>
      </c>
      <c r="P3620">
        <v>0</v>
      </c>
      <c r="Q3620">
        <v>0</v>
      </c>
      <c r="R3620" t="s">
        <v>47306</v>
      </c>
      <c r="S3620" t="s">
        <v>47414</v>
      </c>
      <c r="T3620" t="s">
        <v>48979</v>
      </c>
      <c r="U3620" t="s">
        <v>52656</v>
      </c>
      <c r="W3620" t="s">
        <v>44400</v>
      </c>
      <c r="X3620" t="s">
        <v>47308</v>
      </c>
    </row>
    <row r="3621" spans="1:24">
      <c r="A3621">
        <f>HYPERLINK("https://www.philgeps.gov.ph/GEPSNONPILOT/Tender/SplashBidNoticeAbstractUI.aspx?menuIndex=3&amp;refID=7195891&amp;Result=3","7195891")</f>
        <v>0</v>
      </c>
      <c r="B3621" t="s">
        <v>1439</v>
      </c>
      <c r="C3621" t="s">
        <v>7291</v>
      </c>
      <c r="D3621" t="s">
        <v>18993</v>
      </c>
      <c r="E3621" t="s">
        <v>22344</v>
      </c>
      <c r="F3621" t="s">
        <v>32606</v>
      </c>
      <c r="G3621" t="s">
        <v>32614</v>
      </c>
      <c r="H3621" t="s">
        <v>14201</v>
      </c>
      <c r="I3621" t="s">
        <v>4369</v>
      </c>
      <c r="J3621" t="s">
        <v>35232</v>
      </c>
      <c r="K3621" t="s">
        <v>42630</v>
      </c>
      <c r="M3621" t="s">
        <v>44428</v>
      </c>
      <c r="N3621" t="s">
        <v>47304</v>
      </c>
      <c r="O3621" t="s">
        <v>47305</v>
      </c>
      <c r="P3621">
        <v>0</v>
      </c>
      <c r="Q3621">
        <v>1</v>
      </c>
      <c r="R3621" t="s">
        <v>47306</v>
      </c>
      <c r="S3621" t="s">
        <v>47414</v>
      </c>
      <c r="T3621" t="s">
        <v>48979</v>
      </c>
      <c r="U3621" t="s">
        <v>52657</v>
      </c>
      <c r="W3621" t="s">
        <v>44428</v>
      </c>
      <c r="X3621" t="s">
        <v>47308</v>
      </c>
    </row>
    <row r="3622" spans="1:24">
      <c r="A3622">
        <f>HYPERLINK("https://www.philgeps.gov.ph/GEPSNONPILOT/Tender/SplashBidNoticeAbstractUI.aspx?menuIndex=3&amp;refID=7195938&amp;Result=3","7195938")</f>
        <v>0</v>
      </c>
      <c r="B3622" t="s">
        <v>771</v>
      </c>
      <c r="C3622" t="s">
        <v>7292</v>
      </c>
      <c r="D3622" t="s">
        <v>19058</v>
      </c>
      <c r="E3622" t="s">
        <v>22345</v>
      </c>
      <c r="F3622" t="s">
        <v>32606</v>
      </c>
      <c r="G3622" t="s">
        <v>32614</v>
      </c>
      <c r="H3622" t="s">
        <v>14201</v>
      </c>
      <c r="I3622" t="s">
        <v>4120</v>
      </c>
      <c r="J3622" t="s">
        <v>35233</v>
      </c>
      <c r="K3622" t="s">
        <v>42631</v>
      </c>
      <c r="M3622" t="s">
        <v>43699</v>
      </c>
      <c r="N3622" t="s">
        <v>47304</v>
      </c>
      <c r="O3622" t="s">
        <v>47305</v>
      </c>
      <c r="P3622">
        <v>0</v>
      </c>
      <c r="Q3622">
        <v>2</v>
      </c>
      <c r="R3622" t="s">
        <v>47306</v>
      </c>
      <c r="S3622" t="s">
        <v>47414</v>
      </c>
      <c r="T3622" t="s">
        <v>49175</v>
      </c>
      <c r="U3622" t="s">
        <v>52658</v>
      </c>
      <c r="W3622" t="s">
        <v>43699</v>
      </c>
      <c r="X3622" t="s">
        <v>47308</v>
      </c>
    </row>
    <row r="3623" spans="1:24">
      <c r="A3623">
        <f>HYPERLINK("https://www.philgeps.gov.ph/GEPSNONPILOT/Tender/SplashBidNoticeAbstractUI.aspx?menuIndex=3&amp;refID=7195936&amp;Result=3","7195936")</f>
        <v>0</v>
      </c>
      <c r="B3623" t="s">
        <v>439</v>
      </c>
      <c r="C3623" t="s">
        <v>7293</v>
      </c>
      <c r="D3623" t="s">
        <v>19054</v>
      </c>
      <c r="E3623" t="s">
        <v>22346</v>
      </c>
      <c r="F3623" t="s">
        <v>32606</v>
      </c>
      <c r="G3623" t="s">
        <v>32614</v>
      </c>
      <c r="H3623" t="s">
        <v>14201</v>
      </c>
      <c r="I3623" t="s">
        <v>8682</v>
      </c>
      <c r="J3623" t="s">
        <v>35234</v>
      </c>
      <c r="K3623" t="s">
        <v>42631</v>
      </c>
      <c r="M3623" t="s">
        <v>43346</v>
      </c>
      <c r="N3623" t="s">
        <v>47304</v>
      </c>
      <c r="O3623" t="s">
        <v>47305</v>
      </c>
      <c r="P3623">
        <v>0</v>
      </c>
      <c r="Q3623">
        <v>1</v>
      </c>
      <c r="R3623" t="s">
        <v>47306</v>
      </c>
      <c r="S3623" t="s">
        <v>47414</v>
      </c>
      <c r="T3623" t="s">
        <v>49050</v>
      </c>
      <c r="U3623" t="s">
        <v>52659</v>
      </c>
      <c r="W3623" t="s">
        <v>43346</v>
      </c>
      <c r="X3623" t="s">
        <v>47308</v>
      </c>
    </row>
    <row r="3624" spans="1:24">
      <c r="A3624">
        <f>HYPERLINK("https://www.philgeps.gov.ph/GEPSNONPILOT/Tender/SplashBidNoticeAbstractUI.aspx?menuIndex=3&amp;refID=7195935&amp;Result=3","7195935")</f>
        <v>0</v>
      </c>
      <c r="B3624" t="s">
        <v>590</v>
      </c>
      <c r="C3624" t="s">
        <v>7294</v>
      </c>
      <c r="D3624" t="s">
        <v>19007</v>
      </c>
      <c r="E3624" t="s">
        <v>22347</v>
      </c>
      <c r="F3624" t="s">
        <v>32606</v>
      </c>
      <c r="G3624" t="s">
        <v>32613</v>
      </c>
      <c r="H3624" t="s">
        <v>14201</v>
      </c>
      <c r="I3624" t="s">
        <v>32645</v>
      </c>
      <c r="J3624" t="s">
        <v>35235</v>
      </c>
      <c r="K3624" t="s">
        <v>42631</v>
      </c>
      <c r="M3624" t="s">
        <v>44385</v>
      </c>
      <c r="N3624" t="s">
        <v>47304</v>
      </c>
      <c r="O3624" t="s">
        <v>47305</v>
      </c>
      <c r="P3624">
        <v>0</v>
      </c>
      <c r="Q3624">
        <v>2</v>
      </c>
      <c r="R3624" t="s">
        <v>47306</v>
      </c>
      <c r="S3624" t="s">
        <v>47414</v>
      </c>
      <c r="T3624" t="s">
        <v>48985</v>
      </c>
      <c r="U3624" t="s">
        <v>52660</v>
      </c>
      <c r="W3624" t="s">
        <v>44385</v>
      </c>
      <c r="X3624" t="s">
        <v>47308</v>
      </c>
    </row>
    <row r="3625" spans="1:24">
      <c r="A3625">
        <f>HYPERLINK("https://www.philgeps.gov.ph/GEPSNONPILOT/Tender/SplashBidNoticeAbstractUI.aspx?menuIndex=3&amp;refID=7195932&amp;Result=3","7195932")</f>
        <v>0</v>
      </c>
      <c r="B3625" t="s">
        <v>237</v>
      </c>
      <c r="C3625" t="s">
        <v>7295</v>
      </c>
      <c r="D3625" t="s">
        <v>18993</v>
      </c>
      <c r="E3625" t="s">
        <v>22348</v>
      </c>
      <c r="F3625" t="s">
        <v>32606</v>
      </c>
      <c r="G3625" t="s">
        <v>32619</v>
      </c>
      <c r="H3625" t="s">
        <v>14201</v>
      </c>
      <c r="I3625" t="s">
        <v>4369</v>
      </c>
      <c r="J3625" t="s">
        <v>35236</v>
      </c>
      <c r="K3625" t="s">
        <v>42630</v>
      </c>
      <c r="M3625" t="s">
        <v>43138</v>
      </c>
      <c r="N3625" t="s">
        <v>47304</v>
      </c>
      <c r="O3625" t="s">
        <v>47305</v>
      </c>
      <c r="P3625">
        <v>0</v>
      </c>
      <c r="Q3625">
        <v>10</v>
      </c>
      <c r="R3625" t="s">
        <v>47306</v>
      </c>
      <c r="S3625" t="s">
        <v>47414</v>
      </c>
      <c r="T3625" t="s">
        <v>49072</v>
      </c>
      <c r="U3625" t="s">
        <v>52661</v>
      </c>
      <c r="V3625" t="s">
        <v>62702</v>
      </c>
      <c r="W3625" t="s">
        <v>43138</v>
      </c>
      <c r="X3625" t="s">
        <v>47308</v>
      </c>
    </row>
    <row r="3626" spans="1:24">
      <c r="A3626">
        <f>HYPERLINK("https://www.philgeps.gov.ph/GEPSNONPILOT/Tender/SplashBidNoticeAbstractUI.aspx?menuIndex=3&amp;refID=7195918&amp;Result=3","7195918")</f>
        <v>0</v>
      </c>
      <c r="B3626" t="s">
        <v>89</v>
      </c>
      <c r="C3626" t="s">
        <v>7296</v>
      </c>
      <c r="D3626" t="s">
        <v>19018</v>
      </c>
      <c r="E3626" t="s">
        <v>22349</v>
      </c>
      <c r="F3626" t="s">
        <v>32606</v>
      </c>
      <c r="G3626" t="s">
        <v>32613</v>
      </c>
      <c r="H3626" t="s">
        <v>14201</v>
      </c>
      <c r="I3626" t="s">
        <v>13131</v>
      </c>
      <c r="J3626" t="s">
        <v>32770</v>
      </c>
      <c r="K3626" t="s">
        <v>42631</v>
      </c>
      <c r="M3626" t="s">
        <v>42987</v>
      </c>
      <c r="N3626" t="s">
        <v>47304</v>
      </c>
      <c r="O3626" t="s">
        <v>47305</v>
      </c>
      <c r="P3626">
        <v>0</v>
      </c>
      <c r="Q3626">
        <v>4</v>
      </c>
      <c r="R3626" t="s">
        <v>47306</v>
      </c>
      <c r="S3626" t="s">
        <v>47414</v>
      </c>
      <c r="T3626" t="s">
        <v>49008</v>
      </c>
      <c r="U3626" t="s">
        <v>52662</v>
      </c>
      <c r="W3626" t="s">
        <v>42987</v>
      </c>
      <c r="X3626" t="s">
        <v>47308</v>
      </c>
    </row>
    <row r="3627" spans="1:24">
      <c r="A3627">
        <f>HYPERLINK("https://www.philgeps.gov.ph/GEPSNONPILOT/Tender/SplashBidNoticeAbstractUI.aspx?menuIndex=3&amp;refID=7195930&amp;Result=3","7195930")</f>
        <v>0</v>
      </c>
      <c r="B3627" t="s">
        <v>1403</v>
      </c>
      <c r="C3627" t="s">
        <v>7297</v>
      </c>
      <c r="D3627" t="s">
        <v>19038</v>
      </c>
      <c r="E3627" t="s">
        <v>22350</v>
      </c>
      <c r="F3627" t="s">
        <v>32606</v>
      </c>
      <c r="G3627" t="s">
        <v>32619</v>
      </c>
      <c r="H3627" t="s">
        <v>14201</v>
      </c>
      <c r="I3627" t="s">
        <v>32629</v>
      </c>
      <c r="J3627" t="s">
        <v>34207</v>
      </c>
      <c r="K3627" t="s">
        <v>42631</v>
      </c>
      <c r="M3627" t="s">
        <v>44388</v>
      </c>
      <c r="N3627" t="s">
        <v>47304</v>
      </c>
      <c r="O3627" t="s">
        <v>47305</v>
      </c>
      <c r="P3627">
        <v>0</v>
      </c>
      <c r="Q3627">
        <v>0</v>
      </c>
      <c r="R3627" t="s">
        <v>47306</v>
      </c>
      <c r="S3627" t="s">
        <v>47414</v>
      </c>
      <c r="T3627" t="s">
        <v>48986</v>
      </c>
      <c r="U3627" t="s">
        <v>52663</v>
      </c>
      <c r="W3627" t="s">
        <v>44388</v>
      </c>
      <c r="X3627" t="s">
        <v>47308</v>
      </c>
    </row>
    <row r="3628" spans="1:24">
      <c r="A3628">
        <f>HYPERLINK("https://www.philgeps.gov.ph/GEPSNONPILOT/Tender/SplashBidNoticeAbstractUI.aspx?menuIndex=3&amp;refID=7195928&amp;Result=3","7195928")</f>
        <v>0</v>
      </c>
      <c r="B3628" t="s">
        <v>344</v>
      </c>
      <c r="C3628" t="s">
        <v>7243</v>
      </c>
      <c r="D3628" t="s">
        <v>19002</v>
      </c>
      <c r="E3628" t="s">
        <v>22351</v>
      </c>
      <c r="F3628" t="s">
        <v>32606</v>
      </c>
      <c r="G3628" t="s">
        <v>32614</v>
      </c>
      <c r="H3628" t="s">
        <v>14201</v>
      </c>
      <c r="I3628" t="s">
        <v>32634</v>
      </c>
      <c r="J3628" t="s">
        <v>32949</v>
      </c>
      <c r="K3628" t="s">
        <v>42631</v>
      </c>
      <c r="M3628" t="s">
        <v>43246</v>
      </c>
      <c r="N3628" t="s">
        <v>47304</v>
      </c>
      <c r="O3628" t="s">
        <v>47305</v>
      </c>
      <c r="P3628">
        <v>0</v>
      </c>
      <c r="Q3628">
        <v>0</v>
      </c>
      <c r="R3628" t="s">
        <v>47306</v>
      </c>
      <c r="S3628" t="s">
        <v>47414</v>
      </c>
      <c r="T3628" t="s">
        <v>48996</v>
      </c>
      <c r="U3628" t="s">
        <v>52664</v>
      </c>
      <c r="W3628" t="s">
        <v>43246</v>
      </c>
      <c r="X3628" t="s">
        <v>47308</v>
      </c>
    </row>
    <row r="3629" spans="1:24">
      <c r="A3629">
        <f>HYPERLINK("https://www.philgeps.gov.ph/GEPSNONPILOT/Tender/SplashBidNoticeAbstractUI.aspx?menuIndex=3&amp;refID=7195927&amp;Result=3","7195927")</f>
        <v>0</v>
      </c>
      <c r="B3629" t="s">
        <v>1419</v>
      </c>
      <c r="C3629" t="s">
        <v>7298</v>
      </c>
      <c r="D3629" t="s">
        <v>18993</v>
      </c>
      <c r="E3629" t="s">
        <v>22352</v>
      </c>
      <c r="F3629" t="s">
        <v>32606</v>
      </c>
      <c r="G3629" t="s">
        <v>32613</v>
      </c>
      <c r="H3629" t="s">
        <v>14201</v>
      </c>
      <c r="I3629" t="s">
        <v>6298</v>
      </c>
      <c r="J3629" t="s">
        <v>32981</v>
      </c>
      <c r="K3629" t="s">
        <v>42630</v>
      </c>
      <c r="M3629" t="s">
        <v>44407</v>
      </c>
      <c r="N3629" t="s">
        <v>47304</v>
      </c>
      <c r="O3629" t="s">
        <v>47305</v>
      </c>
      <c r="P3629">
        <v>0</v>
      </c>
      <c r="Q3629">
        <v>0</v>
      </c>
      <c r="R3629" t="s">
        <v>47306</v>
      </c>
      <c r="S3629" t="s">
        <v>47414</v>
      </c>
      <c r="T3629" t="s">
        <v>48986</v>
      </c>
      <c r="U3629" t="s">
        <v>52665</v>
      </c>
      <c r="W3629" t="s">
        <v>44407</v>
      </c>
      <c r="X3629" t="s">
        <v>47308</v>
      </c>
    </row>
    <row r="3630" spans="1:24">
      <c r="A3630">
        <f>HYPERLINK("https://www.philgeps.gov.ph/GEPSNONPILOT/Tender/SplashBidNoticeAbstractUI.aspx?menuIndex=3&amp;refID=7195933&amp;Result=3","7195933")</f>
        <v>0</v>
      </c>
      <c r="B3630" t="s">
        <v>1385</v>
      </c>
      <c r="C3630" t="s">
        <v>7299</v>
      </c>
      <c r="E3630" t="s">
        <v>19809</v>
      </c>
      <c r="F3630" t="s">
        <v>32606</v>
      </c>
      <c r="G3630" t="s">
        <v>32613</v>
      </c>
      <c r="H3630" t="s">
        <v>14201</v>
      </c>
      <c r="I3630" t="s">
        <v>6931</v>
      </c>
      <c r="J3630" t="s">
        <v>35237</v>
      </c>
      <c r="K3630" t="s">
        <v>42624</v>
      </c>
      <c r="M3630" t="s">
        <v>44367</v>
      </c>
      <c r="N3630" t="s">
        <v>47304</v>
      </c>
      <c r="O3630" t="s">
        <v>47305</v>
      </c>
      <c r="P3630">
        <v>0</v>
      </c>
      <c r="Q3630">
        <v>0</v>
      </c>
      <c r="R3630" t="s">
        <v>47306</v>
      </c>
      <c r="S3630" t="s">
        <v>47414</v>
      </c>
      <c r="T3630" t="s">
        <v>48988</v>
      </c>
      <c r="U3630" t="s">
        <v>52666</v>
      </c>
      <c r="W3630" t="s">
        <v>44367</v>
      </c>
      <c r="X3630" t="s">
        <v>47308</v>
      </c>
    </row>
    <row r="3631" spans="1:24">
      <c r="A3631">
        <f>HYPERLINK("https://www.philgeps.gov.ph/GEPSNONPILOT/Tender/SplashBidNoticeAbstractUI.aspx?menuIndex=3&amp;refID=7195925&amp;Result=3","7195925")</f>
        <v>0</v>
      </c>
      <c r="B3631" t="s">
        <v>1395</v>
      </c>
      <c r="C3631" t="s">
        <v>7300</v>
      </c>
      <c r="D3631" t="s">
        <v>19037</v>
      </c>
      <c r="E3631" t="s">
        <v>22353</v>
      </c>
      <c r="F3631" t="s">
        <v>32606</v>
      </c>
      <c r="G3631" t="s">
        <v>32614</v>
      </c>
      <c r="H3631" t="s">
        <v>14201</v>
      </c>
      <c r="I3631" t="s">
        <v>6478</v>
      </c>
      <c r="J3631" t="s">
        <v>35238</v>
      </c>
      <c r="K3631" t="s">
        <v>42623</v>
      </c>
      <c r="M3631" t="s">
        <v>44378</v>
      </c>
      <c r="N3631" t="s">
        <v>47304</v>
      </c>
      <c r="O3631" t="s">
        <v>47305</v>
      </c>
      <c r="P3631">
        <v>0</v>
      </c>
      <c r="Q3631">
        <v>0</v>
      </c>
      <c r="R3631" t="s">
        <v>47306</v>
      </c>
      <c r="S3631" t="s">
        <v>47414</v>
      </c>
      <c r="T3631" t="s">
        <v>48979</v>
      </c>
      <c r="U3631" t="s">
        <v>52667</v>
      </c>
      <c r="W3631" t="s">
        <v>44378</v>
      </c>
      <c r="X3631" t="s">
        <v>47308</v>
      </c>
    </row>
    <row r="3632" spans="1:24">
      <c r="A3632">
        <f>HYPERLINK("https://www.philgeps.gov.ph/GEPSNONPILOT/Tender/SplashBidNoticeAbstractUI.aspx?menuIndex=3&amp;refID=7195931&amp;Result=3","7195931")</f>
        <v>0</v>
      </c>
      <c r="B3632" t="s">
        <v>1440</v>
      </c>
      <c r="C3632" t="s">
        <v>7301</v>
      </c>
      <c r="D3632" t="s">
        <v>19029</v>
      </c>
      <c r="E3632" t="s">
        <v>19315</v>
      </c>
      <c r="F3632" t="s">
        <v>32606</v>
      </c>
      <c r="G3632" t="s">
        <v>32619</v>
      </c>
      <c r="H3632" t="s">
        <v>14201</v>
      </c>
      <c r="I3632" t="s">
        <v>4114</v>
      </c>
      <c r="J3632" t="s">
        <v>35239</v>
      </c>
      <c r="K3632" t="s">
        <v>42630</v>
      </c>
      <c r="M3632" t="s">
        <v>44429</v>
      </c>
      <c r="N3632" t="s">
        <v>47304</v>
      </c>
      <c r="O3632" t="s">
        <v>47305</v>
      </c>
      <c r="P3632">
        <v>0</v>
      </c>
      <c r="Q3632">
        <v>2</v>
      </c>
      <c r="R3632" t="s">
        <v>47306</v>
      </c>
      <c r="S3632" t="s">
        <v>47414</v>
      </c>
      <c r="T3632" t="s">
        <v>49265</v>
      </c>
      <c r="U3632" t="s">
        <v>52668</v>
      </c>
      <c r="W3632" t="s">
        <v>44429</v>
      </c>
      <c r="X3632" t="s">
        <v>47308</v>
      </c>
    </row>
    <row r="3633" spans="1:24">
      <c r="A3633">
        <f>HYPERLINK("https://www.philgeps.gov.ph/GEPSNONPILOT/Tender/SplashBidNoticeAbstractUI.aspx?menuIndex=3&amp;refID=7195920&amp;Result=3","7195920")</f>
        <v>0</v>
      </c>
      <c r="B3633" t="s">
        <v>1441</v>
      </c>
      <c r="C3633" t="s">
        <v>7302</v>
      </c>
      <c r="D3633" t="s">
        <v>19001</v>
      </c>
      <c r="E3633" t="s">
        <v>19358</v>
      </c>
      <c r="F3633" t="s">
        <v>32606</v>
      </c>
      <c r="G3633" t="s">
        <v>32614</v>
      </c>
      <c r="H3633" t="s">
        <v>14201</v>
      </c>
      <c r="I3633" t="s">
        <v>32648</v>
      </c>
      <c r="J3633" t="s">
        <v>35240</v>
      </c>
      <c r="K3633" t="s">
        <v>42632</v>
      </c>
      <c r="M3633" t="s">
        <v>44430</v>
      </c>
      <c r="N3633" t="s">
        <v>47304</v>
      </c>
      <c r="O3633" t="s">
        <v>47305</v>
      </c>
      <c r="P3633">
        <v>0</v>
      </c>
      <c r="Q3633">
        <v>4</v>
      </c>
      <c r="R3633" t="s">
        <v>47306</v>
      </c>
      <c r="S3633" t="s">
        <v>47414</v>
      </c>
      <c r="T3633" t="s">
        <v>49014</v>
      </c>
      <c r="U3633" t="s">
        <v>52669</v>
      </c>
      <c r="V3633" t="s">
        <v>63013</v>
      </c>
      <c r="W3633" t="s">
        <v>44430</v>
      </c>
      <c r="X3633" t="s">
        <v>47308</v>
      </c>
    </row>
    <row r="3634" spans="1:24">
      <c r="A3634">
        <f>HYPERLINK("https://www.philgeps.gov.ph/GEPSNONPILOT/Tender/SplashBidNoticeAbstractUI.aspx?menuIndex=3&amp;refID=7195922&amp;Result=3","7195922")</f>
        <v>0</v>
      </c>
      <c r="B3634" t="s">
        <v>1442</v>
      </c>
      <c r="C3634" t="s">
        <v>7303</v>
      </c>
      <c r="D3634" t="s">
        <v>19005</v>
      </c>
      <c r="E3634" t="s">
        <v>22354</v>
      </c>
      <c r="F3634" t="s">
        <v>32606</v>
      </c>
      <c r="G3634" t="s">
        <v>32614</v>
      </c>
      <c r="H3634" t="s">
        <v>14201</v>
      </c>
      <c r="I3634" t="s">
        <v>6309</v>
      </c>
      <c r="J3634" t="s">
        <v>35241</v>
      </c>
      <c r="K3634" t="s">
        <v>42625</v>
      </c>
      <c r="M3634" t="s">
        <v>44431</v>
      </c>
      <c r="N3634" t="s">
        <v>47304</v>
      </c>
      <c r="O3634" t="s">
        <v>47305</v>
      </c>
      <c r="P3634">
        <v>0</v>
      </c>
      <c r="Q3634">
        <v>0</v>
      </c>
      <c r="R3634" t="s">
        <v>47306</v>
      </c>
      <c r="S3634" t="s">
        <v>47414</v>
      </c>
      <c r="T3634" t="s">
        <v>49050</v>
      </c>
      <c r="U3634" t="s">
        <v>52670</v>
      </c>
      <c r="W3634" t="s">
        <v>44431</v>
      </c>
      <c r="X3634" t="s">
        <v>47308</v>
      </c>
    </row>
    <row r="3635" spans="1:24">
      <c r="A3635">
        <f>HYPERLINK("https://www.philgeps.gov.ph/GEPSNONPILOT/Tender/SplashBidNoticeAbstractUI.aspx?menuIndex=3&amp;refID=7195941&amp;Result=3","7195941")</f>
        <v>0</v>
      </c>
      <c r="B3635" t="s">
        <v>90</v>
      </c>
      <c r="C3635" t="s">
        <v>7304</v>
      </c>
      <c r="D3635" t="s">
        <v>18988</v>
      </c>
      <c r="E3635" t="s">
        <v>22355</v>
      </c>
      <c r="F3635" t="s">
        <v>32606</v>
      </c>
      <c r="G3635" t="s">
        <v>32613</v>
      </c>
      <c r="H3635" t="s">
        <v>14201</v>
      </c>
      <c r="I3635" t="s">
        <v>7577</v>
      </c>
      <c r="J3635" t="s">
        <v>32885</v>
      </c>
      <c r="K3635" t="s">
        <v>42624</v>
      </c>
      <c r="M3635" t="s">
        <v>42988</v>
      </c>
      <c r="N3635" t="s">
        <v>47304</v>
      </c>
      <c r="O3635" t="s">
        <v>47305</v>
      </c>
      <c r="P3635">
        <v>0</v>
      </c>
      <c r="Q3635">
        <v>1</v>
      </c>
      <c r="R3635" t="s">
        <v>47306</v>
      </c>
      <c r="S3635" t="s">
        <v>47414</v>
      </c>
      <c r="T3635" t="s">
        <v>49018</v>
      </c>
      <c r="U3635" t="s">
        <v>52671</v>
      </c>
      <c r="V3635" t="s">
        <v>62667</v>
      </c>
      <c r="W3635" t="s">
        <v>42988</v>
      </c>
      <c r="X3635" t="s">
        <v>47308</v>
      </c>
    </row>
    <row r="3636" spans="1:24">
      <c r="A3636">
        <f>HYPERLINK("https://www.philgeps.gov.ph/GEPSNONPILOT/Tender/SplashBidNoticeAbstractUI.aspx?menuIndex=3&amp;refID=7195896&amp;Result=3","7195896")</f>
        <v>0</v>
      </c>
      <c r="B3636" t="s">
        <v>1419</v>
      </c>
      <c r="C3636" t="s">
        <v>7305</v>
      </c>
      <c r="D3636" t="s">
        <v>18993</v>
      </c>
      <c r="E3636" t="s">
        <v>21477</v>
      </c>
      <c r="F3636" t="s">
        <v>32606</v>
      </c>
      <c r="G3636" t="s">
        <v>32619</v>
      </c>
      <c r="H3636" t="s">
        <v>14201</v>
      </c>
      <c r="I3636" t="s">
        <v>6298</v>
      </c>
      <c r="J3636" t="s">
        <v>32813</v>
      </c>
      <c r="K3636" t="s">
        <v>42630</v>
      </c>
      <c r="M3636" t="s">
        <v>44407</v>
      </c>
      <c r="N3636" t="s">
        <v>47304</v>
      </c>
      <c r="O3636" t="s">
        <v>47305</v>
      </c>
      <c r="P3636">
        <v>0</v>
      </c>
      <c r="Q3636">
        <v>0</v>
      </c>
      <c r="R3636" t="s">
        <v>47306</v>
      </c>
      <c r="S3636" t="s">
        <v>47414</v>
      </c>
      <c r="T3636" t="s">
        <v>48986</v>
      </c>
      <c r="U3636" t="s">
        <v>52672</v>
      </c>
      <c r="W3636" t="s">
        <v>44407</v>
      </c>
      <c r="X3636" t="s">
        <v>47308</v>
      </c>
    </row>
    <row r="3637" spans="1:24">
      <c r="A3637">
        <f>HYPERLINK("https://www.philgeps.gov.ph/GEPSNONPILOT/Tender/SplashBidNoticeAbstractUI.aspx?menuIndex=3&amp;refID=7195940&amp;Result=3","7195940")</f>
        <v>0</v>
      </c>
      <c r="B3637" t="s">
        <v>718</v>
      </c>
      <c r="C3637" t="s">
        <v>7306</v>
      </c>
      <c r="D3637" t="s">
        <v>19005</v>
      </c>
      <c r="E3637" t="s">
        <v>22356</v>
      </c>
      <c r="F3637" t="s">
        <v>32606</v>
      </c>
      <c r="G3637" t="s">
        <v>32614</v>
      </c>
      <c r="H3637" t="s">
        <v>32624</v>
      </c>
      <c r="I3637" t="s">
        <v>32690</v>
      </c>
      <c r="J3637" t="s">
        <v>33441</v>
      </c>
      <c r="K3637" t="s">
        <v>42631</v>
      </c>
      <c r="M3637" t="s">
        <v>44059</v>
      </c>
      <c r="N3637" t="s">
        <v>47304</v>
      </c>
      <c r="O3637" t="s">
        <v>47305</v>
      </c>
      <c r="P3637">
        <v>0</v>
      </c>
      <c r="Q3637">
        <v>0</v>
      </c>
      <c r="R3637" t="s">
        <v>47306</v>
      </c>
      <c r="S3637" t="s">
        <v>47414</v>
      </c>
      <c r="T3637" t="s">
        <v>49014</v>
      </c>
      <c r="U3637" t="s">
        <v>52673</v>
      </c>
      <c r="W3637" t="s">
        <v>44059</v>
      </c>
      <c r="X3637" t="s">
        <v>47308</v>
      </c>
    </row>
    <row r="3638" spans="1:24">
      <c r="A3638">
        <f>HYPERLINK("https://www.philgeps.gov.ph/GEPSNONPILOT/Tender/SplashBidNoticeAbstractUI.aspx?menuIndex=3&amp;refID=7195874&amp;Result=3","7195874")</f>
        <v>0</v>
      </c>
      <c r="B3638" t="s">
        <v>1443</v>
      </c>
      <c r="C3638" t="s">
        <v>7307</v>
      </c>
      <c r="D3638" t="s">
        <v>19007</v>
      </c>
      <c r="E3638" t="s">
        <v>22357</v>
      </c>
      <c r="F3638" t="s">
        <v>32606</v>
      </c>
      <c r="G3638" t="s">
        <v>32613</v>
      </c>
      <c r="H3638" t="s">
        <v>14201</v>
      </c>
      <c r="I3638" t="s">
        <v>4678</v>
      </c>
      <c r="J3638" t="s">
        <v>35242</v>
      </c>
      <c r="K3638" t="s">
        <v>42636</v>
      </c>
      <c r="M3638" t="s">
        <v>44432</v>
      </c>
      <c r="N3638" t="s">
        <v>47304</v>
      </c>
      <c r="O3638" t="s">
        <v>47305</v>
      </c>
      <c r="P3638">
        <v>0</v>
      </c>
      <c r="Q3638">
        <v>3</v>
      </c>
      <c r="R3638" t="s">
        <v>47306</v>
      </c>
      <c r="S3638" t="s">
        <v>47414</v>
      </c>
      <c r="T3638" t="s">
        <v>49121</v>
      </c>
      <c r="U3638" t="s">
        <v>52674</v>
      </c>
      <c r="W3638" t="s">
        <v>44432</v>
      </c>
      <c r="X3638" t="s">
        <v>47308</v>
      </c>
    </row>
    <row r="3639" spans="1:24">
      <c r="A3639">
        <f>HYPERLINK("https://www.philgeps.gov.ph/GEPSNONPILOT/Tender/SplashBidNoticeAbstractUI.aspx?menuIndex=3&amp;refID=7195957&amp;Result=3","7195957")</f>
        <v>0</v>
      </c>
      <c r="B3639" t="s">
        <v>639</v>
      </c>
      <c r="C3639" t="s">
        <v>7308</v>
      </c>
      <c r="E3639" t="s">
        <v>22358</v>
      </c>
      <c r="F3639" t="s">
        <v>32606</v>
      </c>
      <c r="G3639" t="s">
        <v>32614</v>
      </c>
      <c r="H3639" t="s">
        <v>14201</v>
      </c>
      <c r="I3639" t="s">
        <v>4678</v>
      </c>
      <c r="J3639" t="s">
        <v>35243</v>
      </c>
      <c r="K3639" t="s">
        <v>42624</v>
      </c>
      <c r="M3639" t="s">
        <v>44433</v>
      </c>
      <c r="N3639" t="s">
        <v>47304</v>
      </c>
      <c r="O3639" t="s">
        <v>47305</v>
      </c>
      <c r="P3639">
        <v>0</v>
      </c>
      <c r="Q3639">
        <v>4</v>
      </c>
      <c r="R3639" t="s">
        <v>47306</v>
      </c>
      <c r="S3639" t="s">
        <v>47414</v>
      </c>
      <c r="T3639" t="s">
        <v>48979</v>
      </c>
      <c r="U3639" t="s">
        <v>52675</v>
      </c>
      <c r="W3639" t="s">
        <v>44433</v>
      </c>
      <c r="X3639" t="s">
        <v>47308</v>
      </c>
    </row>
    <row r="3640" spans="1:24">
      <c r="A3640">
        <f>HYPERLINK("https://www.philgeps.gov.ph/GEPSNONPILOT/Tender/SplashBidNoticeAbstractUI.aspx?menuIndex=3&amp;refID=7195955&amp;Result=3","7195955")</f>
        <v>0</v>
      </c>
      <c r="B3640" t="s">
        <v>1357</v>
      </c>
      <c r="C3640" t="s">
        <v>7309</v>
      </c>
      <c r="D3640" t="s">
        <v>18993</v>
      </c>
      <c r="E3640" t="s">
        <v>22359</v>
      </c>
      <c r="F3640" t="s">
        <v>32606</v>
      </c>
      <c r="G3640" t="s">
        <v>32613</v>
      </c>
      <c r="H3640" t="s">
        <v>14201</v>
      </c>
      <c r="I3640" t="s">
        <v>7064</v>
      </c>
      <c r="J3640" t="s">
        <v>35244</v>
      </c>
      <c r="K3640" t="s">
        <v>42631</v>
      </c>
      <c r="M3640" t="s">
        <v>44354</v>
      </c>
      <c r="N3640" t="s">
        <v>47304</v>
      </c>
      <c r="O3640" t="s">
        <v>47305</v>
      </c>
      <c r="P3640">
        <v>0</v>
      </c>
      <c r="Q3640">
        <v>4</v>
      </c>
      <c r="R3640" t="s">
        <v>47306</v>
      </c>
      <c r="S3640" t="s">
        <v>47414</v>
      </c>
      <c r="T3640" t="s">
        <v>49266</v>
      </c>
      <c r="U3640" t="s">
        <v>52676</v>
      </c>
      <c r="V3640" t="s">
        <v>63014</v>
      </c>
      <c r="W3640" t="s">
        <v>44354</v>
      </c>
      <c r="X3640" t="s">
        <v>47308</v>
      </c>
    </row>
    <row r="3641" spans="1:24">
      <c r="A3641">
        <f>HYPERLINK("https://www.philgeps.gov.ph/GEPSNONPILOT/Tender/SplashBidNoticeAbstractUI.aspx?menuIndex=3&amp;refID=7195952&amp;Result=3","7195952")</f>
        <v>0</v>
      </c>
      <c r="B3641" t="s">
        <v>76</v>
      </c>
      <c r="C3641" t="s">
        <v>7310</v>
      </c>
      <c r="D3641" t="s">
        <v>19010</v>
      </c>
      <c r="E3641" t="s">
        <v>22360</v>
      </c>
      <c r="F3641" t="s">
        <v>32606</v>
      </c>
      <c r="G3641" t="s">
        <v>32613</v>
      </c>
      <c r="H3641" t="s">
        <v>14201</v>
      </c>
      <c r="I3641" t="s">
        <v>9008</v>
      </c>
      <c r="J3641" t="s">
        <v>35245</v>
      </c>
      <c r="K3641" t="s">
        <v>42624</v>
      </c>
      <c r="M3641" t="s">
        <v>42973</v>
      </c>
      <c r="N3641" t="s">
        <v>47304</v>
      </c>
      <c r="O3641" t="s">
        <v>47305</v>
      </c>
      <c r="P3641">
        <v>0</v>
      </c>
      <c r="Q3641">
        <v>0</v>
      </c>
      <c r="R3641" t="s">
        <v>47306</v>
      </c>
      <c r="S3641" t="s">
        <v>47414</v>
      </c>
      <c r="T3641" t="s">
        <v>49011</v>
      </c>
      <c r="U3641" t="s">
        <v>52677</v>
      </c>
      <c r="W3641" t="s">
        <v>64421</v>
      </c>
      <c r="X3641" t="s">
        <v>47308</v>
      </c>
    </row>
    <row r="3642" spans="1:24">
      <c r="A3642">
        <f>HYPERLINK("https://www.philgeps.gov.ph/GEPSNONPILOT/Tender/SplashBidNoticeAbstractUI.aspx?menuIndex=3&amp;refID=7195919&amp;Result=3","7195919")</f>
        <v>0</v>
      </c>
      <c r="B3642" t="s">
        <v>1444</v>
      </c>
      <c r="C3642" t="s">
        <v>7311</v>
      </c>
      <c r="D3642" t="s">
        <v>19005</v>
      </c>
      <c r="E3642" t="s">
        <v>22361</v>
      </c>
      <c r="F3642" t="s">
        <v>32606</v>
      </c>
      <c r="G3642" t="s">
        <v>32619</v>
      </c>
      <c r="H3642" t="s">
        <v>14201</v>
      </c>
      <c r="I3642" t="s">
        <v>6931</v>
      </c>
      <c r="J3642" t="s">
        <v>35246</v>
      </c>
      <c r="K3642" t="s">
        <v>42622</v>
      </c>
      <c r="M3642" t="s">
        <v>44434</v>
      </c>
      <c r="N3642" t="s">
        <v>47304</v>
      </c>
      <c r="O3642" t="s">
        <v>47305</v>
      </c>
      <c r="P3642">
        <v>0</v>
      </c>
      <c r="Q3642">
        <v>0</v>
      </c>
      <c r="R3642" t="s">
        <v>47306</v>
      </c>
      <c r="S3642" t="s">
        <v>47414</v>
      </c>
      <c r="T3642" t="s">
        <v>48980</v>
      </c>
      <c r="U3642" t="s">
        <v>52678</v>
      </c>
      <c r="W3642" t="s">
        <v>44434</v>
      </c>
      <c r="X3642" t="s">
        <v>47308</v>
      </c>
    </row>
    <row r="3643" spans="1:24">
      <c r="A3643">
        <f>HYPERLINK("https://www.philgeps.gov.ph/GEPSNONPILOT/Tender/SplashBidNoticeAbstractUI.aspx?menuIndex=3&amp;refID=7195880&amp;Result=3","7195880")</f>
        <v>0</v>
      </c>
      <c r="B3643" t="s">
        <v>1442</v>
      </c>
      <c r="C3643" t="s">
        <v>7312</v>
      </c>
      <c r="D3643" t="s">
        <v>19005</v>
      </c>
      <c r="E3643" t="s">
        <v>22362</v>
      </c>
      <c r="F3643" t="s">
        <v>32606</v>
      </c>
      <c r="G3643" t="s">
        <v>32614</v>
      </c>
      <c r="H3643" t="s">
        <v>14201</v>
      </c>
      <c r="I3643" t="s">
        <v>6478</v>
      </c>
      <c r="J3643" t="s">
        <v>35247</v>
      </c>
      <c r="K3643" t="s">
        <v>42625</v>
      </c>
      <c r="M3643" t="s">
        <v>44431</v>
      </c>
      <c r="N3643" t="s">
        <v>47304</v>
      </c>
      <c r="O3643" t="s">
        <v>47305</v>
      </c>
      <c r="P3643">
        <v>0</v>
      </c>
      <c r="Q3643">
        <v>0</v>
      </c>
      <c r="R3643" t="s">
        <v>47306</v>
      </c>
      <c r="S3643" t="s">
        <v>47414</v>
      </c>
      <c r="T3643" t="s">
        <v>49050</v>
      </c>
      <c r="U3643" t="s">
        <v>52679</v>
      </c>
      <c r="W3643" t="s">
        <v>44431</v>
      </c>
      <c r="X3643" t="s">
        <v>47308</v>
      </c>
    </row>
    <row r="3644" spans="1:24">
      <c r="A3644">
        <f>HYPERLINK("https://www.philgeps.gov.ph/GEPSNONPILOT/Tender/SplashBidNoticeAbstractUI.aspx?menuIndex=3&amp;refID=7195961&amp;Result=3","7195961")</f>
        <v>0</v>
      </c>
      <c r="B3644" t="s">
        <v>1445</v>
      </c>
      <c r="C3644" t="s">
        <v>7313</v>
      </c>
      <c r="D3644" t="s">
        <v>19011</v>
      </c>
      <c r="E3644" t="s">
        <v>22363</v>
      </c>
      <c r="F3644" t="s">
        <v>32606</v>
      </c>
      <c r="G3644" t="s">
        <v>32614</v>
      </c>
      <c r="H3644" t="s">
        <v>14201</v>
      </c>
      <c r="I3644" t="s">
        <v>32631</v>
      </c>
      <c r="J3644" t="s">
        <v>34485</v>
      </c>
      <c r="K3644" t="s">
        <v>42623</v>
      </c>
      <c r="M3644" t="s">
        <v>44435</v>
      </c>
      <c r="N3644" t="s">
        <v>47304</v>
      </c>
      <c r="O3644" t="s">
        <v>47305</v>
      </c>
      <c r="P3644">
        <v>0</v>
      </c>
      <c r="Q3644">
        <v>0</v>
      </c>
      <c r="R3644" t="s">
        <v>47306</v>
      </c>
      <c r="S3644" t="s">
        <v>47414</v>
      </c>
      <c r="T3644" t="s">
        <v>49004</v>
      </c>
      <c r="U3644" t="s">
        <v>52680</v>
      </c>
      <c r="V3644" t="s">
        <v>63015</v>
      </c>
      <c r="W3644" t="s">
        <v>44435</v>
      </c>
      <c r="X3644" t="s">
        <v>47308</v>
      </c>
    </row>
    <row r="3645" spans="1:24">
      <c r="A3645">
        <f>HYPERLINK("https://www.philgeps.gov.ph/GEPSNONPILOT/Tender/SplashBidNoticeAbstractUI.aspx?menuIndex=3&amp;refID=7195926&amp;Result=3","7195926")</f>
        <v>0</v>
      </c>
      <c r="B3645" t="s">
        <v>81</v>
      </c>
      <c r="C3645" t="s">
        <v>7314</v>
      </c>
      <c r="D3645" t="s">
        <v>18995</v>
      </c>
      <c r="E3645" t="s">
        <v>22364</v>
      </c>
      <c r="F3645" t="s">
        <v>32606</v>
      </c>
      <c r="G3645" t="s">
        <v>32614</v>
      </c>
      <c r="H3645" t="s">
        <v>14201</v>
      </c>
      <c r="I3645" t="s">
        <v>6298</v>
      </c>
      <c r="J3645" t="s">
        <v>35248</v>
      </c>
      <c r="K3645" t="s">
        <v>42624</v>
      </c>
      <c r="M3645" t="s">
        <v>42978</v>
      </c>
      <c r="N3645" t="s">
        <v>47304</v>
      </c>
      <c r="O3645" t="s">
        <v>47305</v>
      </c>
      <c r="P3645">
        <v>0</v>
      </c>
      <c r="Q3645">
        <v>4</v>
      </c>
      <c r="R3645" t="s">
        <v>47306</v>
      </c>
      <c r="S3645" t="s">
        <v>47414</v>
      </c>
      <c r="T3645" t="s">
        <v>49014</v>
      </c>
      <c r="U3645" t="s">
        <v>52681</v>
      </c>
      <c r="W3645" t="s">
        <v>42978</v>
      </c>
      <c r="X3645" t="s">
        <v>47308</v>
      </c>
    </row>
    <row r="3646" spans="1:24">
      <c r="A3646">
        <f>HYPERLINK("https://www.philgeps.gov.ph/GEPSNONPILOT/Tender/SplashBidNoticeAbstractUI.aspx?menuIndex=3&amp;refID=7195956&amp;Result=3","7195956")</f>
        <v>0</v>
      </c>
      <c r="B3646" t="s">
        <v>1446</v>
      </c>
      <c r="C3646" t="s">
        <v>7315</v>
      </c>
      <c r="D3646" t="s">
        <v>19039</v>
      </c>
      <c r="E3646" t="s">
        <v>22365</v>
      </c>
      <c r="F3646" t="s">
        <v>32607</v>
      </c>
      <c r="G3646" t="s">
        <v>32614</v>
      </c>
      <c r="H3646" t="s">
        <v>14201</v>
      </c>
      <c r="I3646" t="s">
        <v>4120</v>
      </c>
      <c r="J3646" t="s">
        <v>35249</v>
      </c>
      <c r="K3646" t="s">
        <v>42630</v>
      </c>
      <c r="M3646" t="s">
        <v>44436</v>
      </c>
      <c r="N3646" t="s">
        <v>47304</v>
      </c>
      <c r="O3646" t="s">
        <v>47305</v>
      </c>
      <c r="P3646">
        <v>0</v>
      </c>
      <c r="Q3646">
        <v>1</v>
      </c>
      <c r="R3646" t="s">
        <v>47306</v>
      </c>
      <c r="S3646" t="s">
        <v>47414</v>
      </c>
      <c r="T3646" t="s">
        <v>48976</v>
      </c>
      <c r="U3646" t="s">
        <v>52682</v>
      </c>
      <c r="W3646" t="s">
        <v>44436</v>
      </c>
      <c r="X3646" t="s">
        <v>47308</v>
      </c>
    </row>
    <row r="3647" spans="1:24">
      <c r="A3647">
        <f>HYPERLINK("https://www.philgeps.gov.ph/GEPSNONPILOT/Tender/SplashBidNoticeAbstractUI.aspx?menuIndex=3&amp;refID=7195960&amp;Result=3","7195960")</f>
        <v>0</v>
      </c>
      <c r="B3647" t="s">
        <v>1395</v>
      </c>
      <c r="C3647" t="s">
        <v>7316</v>
      </c>
      <c r="D3647" t="s">
        <v>19037</v>
      </c>
      <c r="E3647" t="s">
        <v>22366</v>
      </c>
      <c r="F3647" t="s">
        <v>32606</v>
      </c>
      <c r="G3647" t="s">
        <v>32614</v>
      </c>
      <c r="H3647" t="s">
        <v>14201</v>
      </c>
      <c r="I3647" t="s">
        <v>6931</v>
      </c>
      <c r="J3647" t="s">
        <v>35250</v>
      </c>
      <c r="K3647" t="s">
        <v>42623</v>
      </c>
      <c r="M3647" t="s">
        <v>44378</v>
      </c>
      <c r="N3647" t="s">
        <v>47304</v>
      </c>
      <c r="O3647" t="s">
        <v>47305</v>
      </c>
      <c r="P3647">
        <v>0</v>
      </c>
      <c r="Q3647">
        <v>0</v>
      </c>
      <c r="R3647" t="s">
        <v>47306</v>
      </c>
      <c r="S3647" t="s">
        <v>47414</v>
      </c>
      <c r="T3647" t="s">
        <v>48979</v>
      </c>
      <c r="U3647" t="s">
        <v>52636</v>
      </c>
      <c r="W3647" t="s">
        <v>44378</v>
      </c>
      <c r="X3647" t="s">
        <v>47308</v>
      </c>
    </row>
    <row r="3648" spans="1:24">
      <c r="A3648">
        <f>HYPERLINK("https://www.philgeps.gov.ph/GEPSNONPILOT/Tender/SplashBidNoticeAbstractUI.aspx?menuIndex=3&amp;refID=7195958&amp;Result=3","7195958")</f>
        <v>0</v>
      </c>
      <c r="B3648" t="s">
        <v>1422</v>
      </c>
      <c r="C3648" t="s">
        <v>7317</v>
      </c>
      <c r="D3648" t="s">
        <v>19018</v>
      </c>
      <c r="E3648" t="s">
        <v>20378</v>
      </c>
      <c r="F3648" t="s">
        <v>32606</v>
      </c>
      <c r="G3648" t="s">
        <v>32614</v>
      </c>
      <c r="H3648" t="s">
        <v>14201</v>
      </c>
      <c r="I3648" t="s">
        <v>32640</v>
      </c>
      <c r="J3648" t="s">
        <v>32977</v>
      </c>
      <c r="K3648" t="s">
        <v>42624</v>
      </c>
      <c r="M3648" t="s">
        <v>44410</v>
      </c>
      <c r="N3648" t="s">
        <v>47304</v>
      </c>
      <c r="O3648" t="s">
        <v>47305</v>
      </c>
      <c r="P3648">
        <v>0</v>
      </c>
      <c r="Q3648">
        <v>0</v>
      </c>
      <c r="R3648" t="s">
        <v>47306</v>
      </c>
      <c r="S3648" t="s">
        <v>47414</v>
      </c>
      <c r="T3648" t="s">
        <v>49014</v>
      </c>
      <c r="U3648" t="s">
        <v>52592</v>
      </c>
      <c r="W3648" t="s">
        <v>44410</v>
      </c>
      <c r="X3648" t="s">
        <v>47308</v>
      </c>
    </row>
    <row r="3649" spans="1:24">
      <c r="A3649">
        <f>HYPERLINK("https://www.philgeps.gov.ph/GEPSNONPILOT/Tender/SplashBidNoticeAbstractUI.aspx?menuIndex=3&amp;refID=7195950&amp;Result=3","7195950")</f>
        <v>0</v>
      </c>
      <c r="B3649" t="s">
        <v>61</v>
      </c>
      <c r="C3649" t="s">
        <v>7318</v>
      </c>
      <c r="D3649" t="s">
        <v>19012</v>
      </c>
      <c r="E3649" t="s">
        <v>22367</v>
      </c>
      <c r="F3649" t="s">
        <v>32606</v>
      </c>
      <c r="G3649" t="s">
        <v>32619</v>
      </c>
      <c r="H3649" t="s">
        <v>14201</v>
      </c>
      <c r="I3649" t="s">
        <v>32655</v>
      </c>
      <c r="J3649" t="s">
        <v>35251</v>
      </c>
      <c r="K3649" t="s">
        <v>42622</v>
      </c>
      <c r="M3649" t="s">
        <v>42958</v>
      </c>
      <c r="N3649" t="s">
        <v>47304</v>
      </c>
      <c r="O3649" t="s">
        <v>47305</v>
      </c>
      <c r="P3649">
        <v>0</v>
      </c>
      <c r="Q3649">
        <v>1</v>
      </c>
      <c r="R3649" t="s">
        <v>47306</v>
      </c>
      <c r="S3649" t="s">
        <v>47414</v>
      </c>
      <c r="T3649" t="s">
        <v>48980</v>
      </c>
      <c r="U3649" t="s">
        <v>52683</v>
      </c>
      <c r="V3649" t="s">
        <v>63016</v>
      </c>
      <c r="W3649" t="s">
        <v>42958</v>
      </c>
      <c r="X3649" t="s">
        <v>47308</v>
      </c>
    </row>
    <row r="3650" spans="1:24">
      <c r="A3650">
        <f>HYPERLINK("https://www.philgeps.gov.ph/GEPSNONPILOT/Tender/SplashBidNoticeAbstractUI.aspx?menuIndex=3&amp;refID=7195946&amp;Result=3","7195946")</f>
        <v>0</v>
      </c>
      <c r="B3650" t="s">
        <v>1346</v>
      </c>
      <c r="C3650" t="s">
        <v>7319</v>
      </c>
      <c r="E3650" t="s">
        <v>22368</v>
      </c>
      <c r="F3650" t="s">
        <v>32606</v>
      </c>
      <c r="G3650" t="s">
        <v>32619</v>
      </c>
      <c r="H3650" t="s">
        <v>14201</v>
      </c>
      <c r="I3650" t="s">
        <v>6007</v>
      </c>
      <c r="J3650" t="s">
        <v>35252</v>
      </c>
      <c r="K3650" t="s">
        <v>42624</v>
      </c>
      <c r="M3650" t="s">
        <v>44320</v>
      </c>
      <c r="N3650" t="s">
        <v>47304</v>
      </c>
      <c r="O3650" t="s">
        <v>47305</v>
      </c>
      <c r="P3650">
        <v>0</v>
      </c>
      <c r="Q3650">
        <v>0</v>
      </c>
      <c r="R3650" t="s">
        <v>47306</v>
      </c>
      <c r="S3650" t="s">
        <v>47414</v>
      </c>
      <c r="T3650" t="s">
        <v>48998</v>
      </c>
      <c r="U3650" t="s">
        <v>52684</v>
      </c>
      <c r="W3650" t="s">
        <v>44320</v>
      </c>
      <c r="X3650" t="s">
        <v>47308</v>
      </c>
    </row>
    <row r="3651" spans="1:24">
      <c r="A3651">
        <f>HYPERLINK("https://www.philgeps.gov.ph/GEPSNONPILOT/Tender/SplashBidNoticeAbstractUI.aspx?menuIndex=3&amp;refID=7195962&amp;Result=3","7195962")</f>
        <v>0</v>
      </c>
      <c r="B3651" t="s">
        <v>233</v>
      </c>
      <c r="C3651" t="s">
        <v>7320</v>
      </c>
      <c r="D3651" t="s">
        <v>18997</v>
      </c>
      <c r="E3651" t="s">
        <v>22369</v>
      </c>
      <c r="F3651" t="s">
        <v>32606</v>
      </c>
      <c r="G3651" t="s">
        <v>32613</v>
      </c>
      <c r="H3651" t="s">
        <v>14201</v>
      </c>
      <c r="I3651" t="s">
        <v>6931</v>
      </c>
      <c r="J3651" t="s">
        <v>35253</v>
      </c>
      <c r="K3651" t="s">
        <v>42631</v>
      </c>
      <c r="M3651" t="s">
        <v>44359</v>
      </c>
      <c r="N3651" t="s">
        <v>47304</v>
      </c>
      <c r="O3651" t="s">
        <v>47305</v>
      </c>
      <c r="P3651">
        <v>0</v>
      </c>
      <c r="Q3651">
        <v>0</v>
      </c>
      <c r="R3651" t="s">
        <v>47306</v>
      </c>
      <c r="S3651" t="s">
        <v>47414</v>
      </c>
      <c r="T3651" t="s">
        <v>49023</v>
      </c>
      <c r="U3651" t="s">
        <v>52443</v>
      </c>
      <c r="V3651" t="s">
        <v>63002</v>
      </c>
      <c r="W3651" t="s">
        <v>44359</v>
      </c>
      <c r="X3651" t="s">
        <v>47308</v>
      </c>
    </row>
    <row r="3652" spans="1:24">
      <c r="A3652">
        <f>HYPERLINK("https://www.philgeps.gov.ph/GEPSNONPILOT/Tender/SplashBidNoticeAbstractUI.aspx?menuIndex=3&amp;refID=7195921&amp;Result=3","7195921")</f>
        <v>0</v>
      </c>
      <c r="B3652" t="s">
        <v>76</v>
      </c>
      <c r="C3652" t="s">
        <v>7321</v>
      </c>
      <c r="D3652" t="s">
        <v>19010</v>
      </c>
      <c r="E3652" t="s">
        <v>22370</v>
      </c>
      <c r="F3652" t="s">
        <v>32606</v>
      </c>
      <c r="G3652" t="s">
        <v>32613</v>
      </c>
      <c r="H3652" t="s">
        <v>14201</v>
      </c>
      <c r="I3652" t="s">
        <v>9008</v>
      </c>
      <c r="J3652" t="s">
        <v>35245</v>
      </c>
      <c r="K3652" t="s">
        <v>42624</v>
      </c>
      <c r="M3652" t="s">
        <v>42973</v>
      </c>
      <c r="N3652" t="s">
        <v>47304</v>
      </c>
      <c r="O3652" t="s">
        <v>47305</v>
      </c>
      <c r="P3652">
        <v>0</v>
      </c>
      <c r="Q3652">
        <v>0</v>
      </c>
      <c r="R3652" t="s">
        <v>47306</v>
      </c>
      <c r="S3652" t="s">
        <v>47414</v>
      </c>
      <c r="T3652" t="s">
        <v>49060</v>
      </c>
      <c r="U3652" t="s">
        <v>52677</v>
      </c>
      <c r="W3652" t="s">
        <v>64421</v>
      </c>
      <c r="X3652" t="s">
        <v>47308</v>
      </c>
    </row>
    <row r="3653" spans="1:24">
      <c r="A3653">
        <f>HYPERLINK("https://www.philgeps.gov.ph/GEPSNONPILOT/Tender/SplashBidNoticeAbstractUI.aspx?menuIndex=3&amp;refID=7195959&amp;Result=3","7195959")</f>
        <v>0</v>
      </c>
      <c r="B3653" t="s">
        <v>1419</v>
      </c>
      <c r="C3653" t="s">
        <v>7322</v>
      </c>
      <c r="D3653" t="s">
        <v>18993</v>
      </c>
      <c r="E3653" t="s">
        <v>20139</v>
      </c>
      <c r="F3653" t="s">
        <v>32606</v>
      </c>
      <c r="G3653" t="s">
        <v>32613</v>
      </c>
      <c r="H3653" t="s">
        <v>14201</v>
      </c>
      <c r="I3653" t="s">
        <v>6298</v>
      </c>
      <c r="J3653" t="s">
        <v>33079</v>
      </c>
      <c r="K3653" t="s">
        <v>42630</v>
      </c>
      <c r="M3653" t="s">
        <v>44407</v>
      </c>
      <c r="N3653" t="s">
        <v>47304</v>
      </c>
      <c r="O3653" t="s">
        <v>47305</v>
      </c>
      <c r="P3653">
        <v>0</v>
      </c>
      <c r="Q3653">
        <v>0</v>
      </c>
      <c r="R3653" t="s">
        <v>47306</v>
      </c>
      <c r="S3653" t="s">
        <v>47414</v>
      </c>
      <c r="T3653" t="s">
        <v>48986</v>
      </c>
      <c r="U3653" t="s">
        <v>52665</v>
      </c>
      <c r="W3653" t="s">
        <v>44407</v>
      </c>
      <c r="X3653" t="s">
        <v>47308</v>
      </c>
    </row>
    <row r="3654" spans="1:24">
      <c r="A3654">
        <f>HYPERLINK("https://www.philgeps.gov.ph/GEPSNONPILOT/Tender/SplashBidNoticeAbstractUI.aspx?menuIndex=3&amp;refID=7195945&amp;Result=3","7195945")</f>
        <v>0</v>
      </c>
      <c r="B3654" t="s">
        <v>662</v>
      </c>
      <c r="C3654" t="s">
        <v>7013</v>
      </c>
      <c r="D3654" t="s">
        <v>19023</v>
      </c>
      <c r="E3654" t="s">
        <v>22371</v>
      </c>
      <c r="F3654" t="s">
        <v>32606</v>
      </c>
      <c r="G3654" t="s">
        <v>32614</v>
      </c>
      <c r="H3654" t="s">
        <v>14201</v>
      </c>
      <c r="I3654" t="s">
        <v>6007</v>
      </c>
      <c r="J3654" t="s">
        <v>32752</v>
      </c>
      <c r="K3654" t="s">
        <v>42631</v>
      </c>
      <c r="M3654" t="s">
        <v>43582</v>
      </c>
      <c r="N3654" t="s">
        <v>47304</v>
      </c>
      <c r="O3654" t="s">
        <v>47305</v>
      </c>
      <c r="P3654">
        <v>0</v>
      </c>
      <c r="Q3654">
        <v>0</v>
      </c>
      <c r="R3654" t="s">
        <v>47306</v>
      </c>
      <c r="S3654" t="s">
        <v>47414</v>
      </c>
      <c r="T3654" t="s">
        <v>49004</v>
      </c>
      <c r="U3654" t="s">
        <v>52685</v>
      </c>
      <c r="W3654" t="s">
        <v>43582</v>
      </c>
      <c r="X3654" t="s">
        <v>47308</v>
      </c>
    </row>
    <row r="3655" spans="1:24">
      <c r="A3655">
        <f>HYPERLINK("https://www.philgeps.gov.ph/GEPSNONPILOT/Tender/SplashBidNoticeAbstractUI.aspx?menuIndex=3&amp;refID=7195943&amp;Result=3","7195943")</f>
        <v>0</v>
      </c>
      <c r="B3655" t="s">
        <v>692</v>
      </c>
      <c r="C3655" t="s">
        <v>7323</v>
      </c>
      <c r="D3655" t="s">
        <v>18992</v>
      </c>
      <c r="E3655" t="s">
        <v>20332</v>
      </c>
      <c r="F3655" t="s">
        <v>32606</v>
      </c>
      <c r="G3655" t="s">
        <v>32614</v>
      </c>
      <c r="H3655" t="s">
        <v>14201</v>
      </c>
      <c r="I3655" t="s">
        <v>7529</v>
      </c>
      <c r="J3655" t="s">
        <v>32957</v>
      </c>
      <c r="K3655" t="s">
        <v>42629</v>
      </c>
      <c r="M3655" t="s">
        <v>43613</v>
      </c>
      <c r="N3655" t="s">
        <v>47304</v>
      </c>
      <c r="O3655" t="s">
        <v>47305</v>
      </c>
      <c r="P3655">
        <v>0</v>
      </c>
      <c r="Q3655">
        <v>0</v>
      </c>
      <c r="R3655" t="s">
        <v>47306</v>
      </c>
      <c r="S3655" t="s">
        <v>47414</v>
      </c>
      <c r="T3655" t="s">
        <v>48980</v>
      </c>
      <c r="U3655" t="s">
        <v>52686</v>
      </c>
      <c r="W3655" t="s">
        <v>43613</v>
      </c>
      <c r="X3655" t="s">
        <v>47308</v>
      </c>
    </row>
    <row r="3656" spans="1:24">
      <c r="A3656">
        <f>HYPERLINK("https://www.philgeps.gov.ph/GEPSNONPILOT/Tender/SplashBidNoticeAbstractUI.aspx?menuIndex=3&amp;refID=7195951&amp;Result=3","7195951")</f>
        <v>0</v>
      </c>
      <c r="B3656" t="s">
        <v>1447</v>
      </c>
      <c r="C3656" t="s">
        <v>7324</v>
      </c>
      <c r="D3656" t="s">
        <v>18993</v>
      </c>
      <c r="E3656" t="s">
        <v>20539</v>
      </c>
      <c r="F3656" t="s">
        <v>32606</v>
      </c>
      <c r="G3656" t="s">
        <v>32613</v>
      </c>
      <c r="H3656" t="s">
        <v>14201</v>
      </c>
      <c r="I3656" t="s">
        <v>6298</v>
      </c>
      <c r="J3656" t="s">
        <v>33742</v>
      </c>
      <c r="K3656" t="s">
        <v>42632</v>
      </c>
      <c r="M3656" t="s">
        <v>44437</v>
      </c>
      <c r="N3656" t="s">
        <v>47304</v>
      </c>
      <c r="O3656" t="s">
        <v>47305</v>
      </c>
      <c r="P3656">
        <v>0</v>
      </c>
      <c r="Q3656">
        <v>0</v>
      </c>
      <c r="R3656" t="s">
        <v>47306</v>
      </c>
      <c r="S3656" t="s">
        <v>47414</v>
      </c>
      <c r="T3656" t="s">
        <v>48986</v>
      </c>
      <c r="U3656" t="s">
        <v>52687</v>
      </c>
      <c r="W3656" t="s">
        <v>44437</v>
      </c>
      <c r="X3656" t="s">
        <v>47308</v>
      </c>
    </row>
    <row r="3657" spans="1:24">
      <c r="A3657">
        <f>HYPERLINK("https://www.philgeps.gov.ph/GEPSNONPILOT/Tender/SplashBidNoticeAbstractUI.aspx?menuIndex=3&amp;refID=7195942&amp;Result=3","7195942")</f>
        <v>0</v>
      </c>
      <c r="B3657" t="s">
        <v>1448</v>
      </c>
      <c r="C3657" t="s">
        <v>7325</v>
      </c>
      <c r="D3657" t="s">
        <v>18989</v>
      </c>
      <c r="E3657" t="s">
        <v>20107</v>
      </c>
      <c r="F3657" t="s">
        <v>32606</v>
      </c>
      <c r="G3657" t="s">
        <v>32614</v>
      </c>
      <c r="H3657" t="s">
        <v>14201</v>
      </c>
      <c r="I3657" t="s">
        <v>32725</v>
      </c>
      <c r="J3657" t="s">
        <v>32999</v>
      </c>
      <c r="K3657" t="s">
        <v>42624</v>
      </c>
      <c r="M3657" t="s">
        <v>44438</v>
      </c>
      <c r="N3657" t="s">
        <v>47304</v>
      </c>
      <c r="O3657" t="s">
        <v>47305</v>
      </c>
      <c r="P3657">
        <v>0</v>
      </c>
      <c r="Q3657">
        <v>0</v>
      </c>
      <c r="R3657" t="s">
        <v>47306</v>
      </c>
      <c r="S3657" t="s">
        <v>47414</v>
      </c>
      <c r="T3657" t="s">
        <v>48980</v>
      </c>
      <c r="U3657" t="s">
        <v>52688</v>
      </c>
      <c r="W3657" t="s">
        <v>44438</v>
      </c>
      <c r="X3657" t="s">
        <v>47308</v>
      </c>
    </row>
    <row r="3658" spans="1:24">
      <c r="A3658">
        <f>HYPERLINK("https://www.philgeps.gov.ph/GEPSNONPILOT/Tender/SplashBidNoticeAbstractUI.aspx?menuIndex=3&amp;refID=7195963&amp;Result=3","7195963")</f>
        <v>0</v>
      </c>
      <c r="B3658" t="s">
        <v>90</v>
      </c>
      <c r="C3658" t="s">
        <v>7326</v>
      </c>
      <c r="D3658" t="s">
        <v>18988</v>
      </c>
      <c r="E3658" t="s">
        <v>22372</v>
      </c>
      <c r="F3658" t="s">
        <v>32606</v>
      </c>
      <c r="G3658" t="s">
        <v>32613</v>
      </c>
      <c r="H3658" t="s">
        <v>14201</v>
      </c>
      <c r="I3658" t="s">
        <v>32631</v>
      </c>
      <c r="J3658" t="s">
        <v>35254</v>
      </c>
      <c r="K3658" t="s">
        <v>42624</v>
      </c>
      <c r="M3658" t="s">
        <v>42988</v>
      </c>
      <c r="N3658" t="s">
        <v>47304</v>
      </c>
      <c r="O3658" t="s">
        <v>47305</v>
      </c>
      <c r="P3658">
        <v>0</v>
      </c>
      <c r="Q3658">
        <v>1</v>
      </c>
      <c r="R3658" t="s">
        <v>47306</v>
      </c>
      <c r="S3658" t="s">
        <v>47414</v>
      </c>
      <c r="T3658" t="s">
        <v>49018</v>
      </c>
      <c r="U3658" t="s">
        <v>52689</v>
      </c>
      <c r="V3658" t="s">
        <v>62665</v>
      </c>
      <c r="W3658" t="s">
        <v>42988</v>
      </c>
      <c r="X3658" t="s">
        <v>47308</v>
      </c>
    </row>
    <row r="3659" spans="1:24">
      <c r="A3659">
        <f>HYPERLINK("https://www.philgeps.gov.ph/GEPSNONPILOT/Tender/SplashBidNoticeAbstractUI.aspx?menuIndex=3&amp;refID=7195983&amp;Result=3","7195983")</f>
        <v>0</v>
      </c>
      <c r="B3659" t="s">
        <v>529</v>
      </c>
      <c r="C3659" t="s">
        <v>7327</v>
      </c>
      <c r="D3659" t="s">
        <v>19063</v>
      </c>
      <c r="E3659" t="s">
        <v>22373</v>
      </c>
      <c r="F3659" t="s">
        <v>32606</v>
      </c>
      <c r="G3659" t="s">
        <v>32617</v>
      </c>
      <c r="H3659" t="s">
        <v>14201</v>
      </c>
      <c r="I3659" t="s">
        <v>4114</v>
      </c>
      <c r="J3659" t="s">
        <v>35255</v>
      </c>
      <c r="K3659" t="s">
        <v>42630</v>
      </c>
      <c r="M3659" t="s">
        <v>43442</v>
      </c>
      <c r="N3659" t="s">
        <v>47304</v>
      </c>
      <c r="O3659" t="s">
        <v>47305</v>
      </c>
      <c r="P3659">
        <v>0</v>
      </c>
      <c r="Q3659">
        <v>0</v>
      </c>
      <c r="R3659" t="s">
        <v>47306</v>
      </c>
      <c r="S3659" t="s">
        <v>47414</v>
      </c>
      <c r="T3659" t="s">
        <v>48980</v>
      </c>
      <c r="U3659" t="s">
        <v>52690</v>
      </c>
      <c r="W3659" t="s">
        <v>43442</v>
      </c>
      <c r="X3659" t="s">
        <v>47308</v>
      </c>
    </row>
    <row r="3660" spans="1:24">
      <c r="A3660">
        <f>HYPERLINK("https://www.philgeps.gov.ph/GEPSNONPILOT/Tender/SplashBidNoticeAbstractUI.aspx?menuIndex=3&amp;refID=7195979&amp;Result=3","7195979")</f>
        <v>0</v>
      </c>
      <c r="B3660" t="s">
        <v>439</v>
      </c>
      <c r="C3660" t="s">
        <v>7328</v>
      </c>
      <c r="D3660" t="s">
        <v>19054</v>
      </c>
      <c r="E3660" t="s">
        <v>22374</v>
      </c>
      <c r="F3660" t="s">
        <v>32606</v>
      </c>
      <c r="G3660" t="s">
        <v>32619</v>
      </c>
      <c r="H3660" t="s">
        <v>14201</v>
      </c>
      <c r="I3660" t="s">
        <v>32629</v>
      </c>
      <c r="J3660" t="s">
        <v>35256</v>
      </c>
      <c r="K3660" t="s">
        <v>42631</v>
      </c>
      <c r="M3660" t="s">
        <v>43346</v>
      </c>
      <c r="N3660" t="s">
        <v>47304</v>
      </c>
      <c r="O3660" t="s">
        <v>47305</v>
      </c>
      <c r="P3660">
        <v>0</v>
      </c>
      <c r="Q3660">
        <v>0</v>
      </c>
      <c r="R3660" t="s">
        <v>47306</v>
      </c>
      <c r="S3660" t="s">
        <v>47414</v>
      </c>
      <c r="T3660" t="s">
        <v>49050</v>
      </c>
      <c r="U3660" t="s">
        <v>52691</v>
      </c>
      <c r="W3660" t="s">
        <v>43346</v>
      </c>
      <c r="X3660" t="s">
        <v>47308</v>
      </c>
    </row>
    <row r="3661" spans="1:24">
      <c r="A3661">
        <f>HYPERLINK("https://www.philgeps.gov.ph/GEPSNONPILOT/Tender/SplashBidNoticeAbstractUI.aspx?menuIndex=3&amp;refID=7195947&amp;Result=3","7195947")</f>
        <v>0</v>
      </c>
      <c r="B3661" t="s">
        <v>464</v>
      </c>
      <c r="C3661" t="s">
        <v>7329</v>
      </c>
      <c r="D3661" t="s">
        <v>19044</v>
      </c>
      <c r="E3661" t="s">
        <v>22375</v>
      </c>
      <c r="F3661" t="s">
        <v>32606</v>
      </c>
      <c r="G3661" t="s">
        <v>32614</v>
      </c>
      <c r="H3661" t="s">
        <v>14201</v>
      </c>
      <c r="I3661" t="s">
        <v>32631</v>
      </c>
      <c r="J3661" t="s">
        <v>35257</v>
      </c>
      <c r="K3661" t="s">
        <v>42623</v>
      </c>
      <c r="M3661" t="s">
        <v>43374</v>
      </c>
      <c r="N3661" t="s">
        <v>47304</v>
      </c>
      <c r="O3661" t="s">
        <v>47305</v>
      </c>
      <c r="P3661">
        <v>0</v>
      </c>
      <c r="Q3661">
        <v>0</v>
      </c>
      <c r="R3661" t="s">
        <v>47306</v>
      </c>
      <c r="S3661" t="s">
        <v>47414</v>
      </c>
      <c r="T3661" t="s">
        <v>48980</v>
      </c>
      <c r="U3661" t="s">
        <v>52692</v>
      </c>
      <c r="W3661" t="s">
        <v>43374</v>
      </c>
      <c r="X3661" t="s">
        <v>47308</v>
      </c>
    </row>
    <row r="3662" spans="1:24">
      <c r="A3662">
        <f>HYPERLINK("https://www.philgeps.gov.ph/GEPSNONPILOT/Tender/SplashBidNoticeAbstractUI.aspx?menuIndex=3&amp;refID=7195977&amp;Result=3","7195977")</f>
        <v>0</v>
      </c>
      <c r="B3662" t="s">
        <v>81</v>
      </c>
      <c r="C3662" t="s">
        <v>7314</v>
      </c>
      <c r="D3662" t="s">
        <v>18995</v>
      </c>
      <c r="E3662" t="s">
        <v>22376</v>
      </c>
      <c r="F3662" t="s">
        <v>32606</v>
      </c>
      <c r="G3662" t="s">
        <v>32614</v>
      </c>
      <c r="H3662" t="s">
        <v>14201</v>
      </c>
      <c r="I3662" t="s">
        <v>6298</v>
      </c>
      <c r="J3662" t="s">
        <v>35258</v>
      </c>
      <c r="K3662" t="s">
        <v>42624</v>
      </c>
      <c r="M3662" t="s">
        <v>42978</v>
      </c>
      <c r="N3662" t="s">
        <v>47304</v>
      </c>
      <c r="O3662" t="s">
        <v>47305</v>
      </c>
      <c r="P3662">
        <v>0</v>
      </c>
      <c r="Q3662">
        <v>2</v>
      </c>
      <c r="R3662" t="s">
        <v>47306</v>
      </c>
      <c r="S3662" t="s">
        <v>47414</v>
      </c>
      <c r="T3662" t="s">
        <v>49014</v>
      </c>
      <c r="U3662" t="s">
        <v>52693</v>
      </c>
      <c r="W3662" t="s">
        <v>42978</v>
      </c>
      <c r="X3662" t="s">
        <v>47308</v>
      </c>
    </row>
    <row r="3663" spans="1:24">
      <c r="A3663">
        <f>HYPERLINK("https://www.philgeps.gov.ph/GEPSNONPILOT/Tender/SplashBidNoticeAbstractUI.aspx?menuIndex=3&amp;refID=7195991&amp;Result=3","7195991")</f>
        <v>0</v>
      </c>
      <c r="B3663" t="s">
        <v>238</v>
      </c>
      <c r="C3663" t="s">
        <v>7330</v>
      </c>
      <c r="D3663" t="s">
        <v>18993</v>
      </c>
      <c r="E3663" t="s">
        <v>22377</v>
      </c>
      <c r="F3663" t="s">
        <v>32606</v>
      </c>
      <c r="G3663" t="s">
        <v>32617</v>
      </c>
      <c r="H3663" t="s">
        <v>14201</v>
      </c>
      <c r="I3663" t="s">
        <v>32683</v>
      </c>
      <c r="J3663" t="s">
        <v>35259</v>
      </c>
      <c r="K3663" t="s">
        <v>42622</v>
      </c>
      <c r="M3663" t="s">
        <v>43357</v>
      </c>
      <c r="N3663" t="s">
        <v>47304</v>
      </c>
      <c r="O3663" t="s">
        <v>47305</v>
      </c>
      <c r="P3663">
        <v>0</v>
      </c>
      <c r="Q3663">
        <v>2</v>
      </c>
      <c r="R3663" t="s">
        <v>47306</v>
      </c>
      <c r="S3663" t="s">
        <v>47414</v>
      </c>
      <c r="T3663" t="s">
        <v>49123</v>
      </c>
      <c r="U3663" t="s">
        <v>52694</v>
      </c>
      <c r="V3663" t="s">
        <v>62749</v>
      </c>
      <c r="W3663" t="s">
        <v>43357</v>
      </c>
      <c r="X3663" t="s">
        <v>47308</v>
      </c>
    </row>
    <row r="3664" spans="1:24">
      <c r="A3664">
        <f>HYPERLINK("https://www.philgeps.gov.ph/GEPSNONPILOT/Tender/SplashBidNoticeAbstractUI.aspx?menuIndex=3&amp;refID=7195944&amp;Result=3","7195944")</f>
        <v>0</v>
      </c>
      <c r="B3664" t="s">
        <v>279</v>
      </c>
      <c r="C3664" t="s">
        <v>7331</v>
      </c>
      <c r="D3664" t="s">
        <v>19047</v>
      </c>
      <c r="E3664" t="s">
        <v>22378</v>
      </c>
      <c r="F3664" t="s">
        <v>32606</v>
      </c>
      <c r="G3664" t="s">
        <v>32614</v>
      </c>
      <c r="H3664" t="s">
        <v>14201</v>
      </c>
      <c r="I3664" t="s">
        <v>32640</v>
      </c>
      <c r="J3664" t="s">
        <v>35260</v>
      </c>
      <c r="K3664" t="s">
        <v>42631</v>
      </c>
      <c r="M3664" t="s">
        <v>43515</v>
      </c>
      <c r="N3664" t="s">
        <v>47304</v>
      </c>
      <c r="O3664" t="s">
        <v>47305</v>
      </c>
      <c r="P3664">
        <v>0</v>
      </c>
      <c r="Q3664">
        <v>2</v>
      </c>
      <c r="R3664" t="s">
        <v>47306</v>
      </c>
      <c r="S3664" t="s">
        <v>47414</v>
      </c>
      <c r="T3664" t="s">
        <v>49004</v>
      </c>
      <c r="U3664" t="s">
        <v>52695</v>
      </c>
      <c r="V3664" t="s">
        <v>63017</v>
      </c>
      <c r="W3664" t="s">
        <v>43515</v>
      </c>
      <c r="X3664" t="s">
        <v>47308</v>
      </c>
    </row>
    <row r="3665" spans="1:24">
      <c r="A3665">
        <f>HYPERLINK("https://www.philgeps.gov.ph/GEPSNONPILOT/Tender/SplashBidNoticeAbstractUI.aspx?menuIndex=3&amp;refID=7195980&amp;Result=3","7195980")</f>
        <v>0</v>
      </c>
      <c r="B3665" t="s">
        <v>233</v>
      </c>
      <c r="C3665" t="s">
        <v>7332</v>
      </c>
      <c r="D3665" t="s">
        <v>18997</v>
      </c>
      <c r="E3665" t="s">
        <v>22379</v>
      </c>
      <c r="F3665" t="s">
        <v>32606</v>
      </c>
      <c r="G3665" t="s">
        <v>32613</v>
      </c>
      <c r="H3665" t="s">
        <v>14201</v>
      </c>
      <c r="I3665" t="s">
        <v>6931</v>
      </c>
      <c r="J3665" t="s">
        <v>35261</v>
      </c>
      <c r="K3665" t="s">
        <v>42631</v>
      </c>
      <c r="M3665" t="s">
        <v>44359</v>
      </c>
      <c r="N3665" t="s">
        <v>47304</v>
      </c>
      <c r="O3665" t="s">
        <v>47305</v>
      </c>
      <c r="P3665">
        <v>0</v>
      </c>
      <c r="Q3665">
        <v>0</v>
      </c>
      <c r="R3665" t="s">
        <v>47306</v>
      </c>
      <c r="S3665" t="s">
        <v>47414</v>
      </c>
      <c r="T3665" t="s">
        <v>49023</v>
      </c>
      <c r="U3665" t="s">
        <v>52443</v>
      </c>
      <c r="V3665" t="s">
        <v>63002</v>
      </c>
      <c r="W3665" t="s">
        <v>44359</v>
      </c>
      <c r="X3665" t="s">
        <v>47308</v>
      </c>
    </row>
    <row r="3666" spans="1:24">
      <c r="A3666">
        <f>HYPERLINK("https://www.philgeps.gov.ph/GEPSNONPILOT/Tender/SplashBidNoticeAbstractUI.aspx?menuIndex=3&amp;refID=7195929&amp;Result=3","7195929")</f>
        <v>0</v>
      </c>
      <c r="B3666" t="s">
        <v>1402</v>
      </c>
      <c r="C3666" t="s">
        <v>7333</v>
      </c>
      <c r="D3666" t="s">
        <v>18992</v>
      </c>
      <c r="E3666" t="s">
        <v>22380</v>
      </c>
      <c r="F3666" t="s">
        <v>32606</v>
      </c>
      <c r="G3666" t="s">
        <v>32613</v>
      </c>
      <c r="H3666" t="s">
        <v>14201</v>
      </c>
      <c r="I3666" t="s">
        <v>6931</v>
      </c>
      <c r="J3666" t="s">
        <v>35262</v>
      </c>
      <c r="K3666" t="s">
        <v>42707</v>
      </c>
      <c r="M3666" t="s">
        <v>44387</v>
      </c>
      <c r="N3666" t="s">
        <v>47304</v>
      </c>
      <c r="O3666" t="s">
        <v>47305</v>
      </c>
      <c r="P3666">
        <v>0</v>
      </c>
      <c r="Q3666">
        <v>1</v>
      </c>
      <c r="R3666" t="s">
        <v>47306</v>
      </c>
      <c r="S3666" t="s">
        <v>47414</v>
      </c>
      <c r="T3666" t="s">
        <v>48994</v>
      </c>
      <c r="U3666" t="s">
        <v>52696</v>
      </c>
      <c r="W3666" t="s">
        <v>44387</v>
      </c>
      <c r="X3666" t="s">
        <v>47308</v>
      </c>
    </row>
    <row r="3667" spans="1:24">
      <c r="A3667">
        <f>HYPERLINK("https://www.philgeps.gov.ph/GEPSNONPILOT/Tender/SplashBidNoticeAbstractUI.aspx?menuIndex=3&amp;refID=7195986&amp;Result=3","7195986")</f>
        <v>0</v>
      </c>
      <c r="B3667" t="s">
        <v>1429</v>
      </c>
      <c r="C3667" t="s">
        <v>7334</v>
      </c>
      <c r="D3667" t="s">
        <v>19008</v>
      </c>
      <c r="E3667" t="s">
        <v>22381</v>
      </c>
      <c r="F3667" t="s">
        <v>32606</v>
      </c>
      <c r="G3667" t="s">
        <v>32613</v>
      </c>
      <c r="H3667" t="s">
        <v>14201</v>
      </c>
      <c r="I3667" t="s">
        <v>6931</v>
      </c>
      <c r="J3667" t="s">
        <v>35263</v>
      </c>
      <c r="K3667" t="s">
        <v>42622</v>
      </c>
      <c r="M3667" t="s">
        <v>44418</v>
      </c>
      <c r="N3667" t="s">
        <v>47304</v>
      </c>
      <c r="O3667" t="s">
        <v>47305</v>
      </c>
      <c r="P3667">
        <v>0</v>
      </c>
      <c r="Q3667">
        <v>2</v>
      </c>
      <c r="R3667" t="s">
        <v>47306</v>
      </c>
      <c r="S3667" t="s">
        <v>47414</v>
      </c>
      <c r="T3667" t="s">
        <v>48986</v>
      </c>
      <c r="U3667" t="s">
        <v>52697</v>
      </c>
      <c r="W3667" t="s">
        <v>44418</v>
      </c>
      <c r="X3667" t="s">
        <v>47308</v>
      </c>
    </row>
    <row r="3668" spans="1:24">
      <c r="A3668">
        <f>HYPERLINK("https://www.philgeps.gov.ph/GEPSNONPILOT/Tender/SplashBidNoticeAbstractUI.aspx?menuIndex=3&amp;refID=7195984&amp;Result=3","7195984")</f>
        <v>0</v>
      </c>
      <c r="B3668" t="s">
        <v>1363</v>
      </c>
      <c r="C3668" t="s">
        <v>7335</v>
      </c>
      <c r="D3668" t="s">
        <v>18992</v>
      </c>
      <c r="E3668" t="s">
        <v>22382</v>
      </c>
      <c r="F3668" t="s">
        <v>32606</v>
      </c>
      <c r="G3668" t="s">
        <v>32614</v>
      </c>
      <c r="H3668" t="s">
        <v>14201</v>
      </c>
      <c r="I3668" t="s">
        <v>6931</v>
      </c>
      <c r="J3668" t="s">
        <v>35264</v>
      </c>
      <c r="K3668" t="s">
        <v>42631</v>
      </c>
      <c r="M3668" t="s">
        <v>44339</v>
      </c>
      <c r="N3668" t="s">
        <v>47304</v>
      </c>
      <c r="O3668" t="s">
        <v>47305</v>
      </c>
      <c r="P3668">
        <v>0</v>
      </c>
      <c r="Q3668">
        <v>0</v>
      </c>
      <c r="R3668" t="s">
        <v>47306</v>
      </c>
      <c r="S3668" t="s">
        <v>47414</v>
      </c>
      <c r="T3668" t="s">
        <v>49062</v>
      </c>
      <c r="U3668" t="s">
        <v>52698</v>
      </c>
      <c r="W3668" t="s">
        <v>44339</v>
      </c>
      <c r="X3668" t="s">
        <v>47308</v>
      </c>
    </row>
    <row r="3669" spans="1:24">
      <c r="A3669">
        <f>HYPERLINK("https://www.philgeps.gov.ph/GEPSNONPILOT/Tender/SplashBidNoticeAbstractUI.aspx?menuIndex=3&amp;refID=7195976&amp;Result=3","7195976")</f>
        <v>0</v>
      </c>
      <c r="B3669" t="s">
        <v>438</v>
      </c>
      <c r="C3669" t="s">
        <v>7336</v>
      </c>
      <c r="D3669" t="s">
        <v>19003</v>
      </c>
      <c r="E3669" t="s">
        <v>22383</v>
      </c>
      <c r="F3669" t="s">
        <v>32606</v>
      </c>
      <c r="G3669" t="s">
        <v>32614</v>
      </c>
      <c r="H3669" t="s">
        <v>14201</v>
      </c>
      <c r="I3669" t="s">
        <v>4120</v>
      </c>
      <c r="J3669" t="s">
        <v>32789</v>
      </c>
      <c r="K3669" t="s">
        <v>42638</v>
      </c>
      <c r="M3669" t="s">
        <v>43345</v>
      </c>
      <c r="N3669" t="s">
        <v>47304</v>
      </c>
      <c r="O3669" t="s">
        <v>47305</v>
      </c>
      <c r="P3669">
        <v>0</v>
      </c>
      <c r="Q3669">
        <v>0</v>
      </c>
      <c r="R3669" t="s">
        <v>47306</v>
      </c>
      <c r="S3669" t="s">
        <v>47414</v>
      </c>
      <c r="T3669" t="s">
        <v>49076</v>
      </c>
      <c r="U3669" t="s">
        <v>52699</v>
      </c>
      <c r="W3669" t="s">
        <v>43345</v>
      </c>
      <c r="X3669" t="s">
        <v>47308</v>
      </c>
    </row>
    <row r="3670" spans="1:24">
      <c r="A3670">
        <f>HYPERLINK("https://www.philgeps.gov.ph/GEPSNONPILOT/Tender/SplashBidNoticeAbstractUI.aspx?menuIndex=3&amp;refID=7195975&amp;Result=3","7195975")</f>
        <v>0</v>
      </c>
      <c r="B3670" t="s">
        <v>1346</v>
      </c>
      <c r="C3670" t="s">
        <v>7337</v>
      </c>
      <c r="E3670" t="s">
        <v>22384</v>
      </c>
      <c r="F3670" t="s">
        <v>32606</v>
      </c>
      <c r="G3670" t="s">
        <v>32619</v>
      </c>
      <c r="H3670" t="s">
        <v>14201</v>
      </c>
      <c r="I3670" t="s">
        <v>6007</v>
      </c>
      <c r="J3670" t="s">
        <v>35265</v>
      </c>
      <c r="K3670" t="s">
        <v>42624</v>
      </c>
      <c r="M3670" t="s">
        <v>44320</v>
      </c>
      <c r="N3670" t="s">
        <v>47304</v>
      </c>
      <c r="O3670" t="s">
        <v>47305</v>
      </c>
      <c r="P3670">
        <v>0</v>
      </c>
      <c r="Q3670">
        <v>0</v>
      </c>
      <c r="R3670" t="s">
        <v>47306</v>
      </c>
      <c r="S3670" t="s">
        <v>47414</v>
      </c>
      <c r="T3670" t="s">
        <v>48998</v>
      </c>
      <c r="U3670" t="s">
        <v>52700</v>
      </c>
      <c r="W3670" t="s">
        <v>44320</v>
      </c>
      <c r="X3670" t="s">
        <v>47308</v>
      </c>
    </row>
    <row r="3671" spans="1:24">
      <c r="A3671">
        <f>HYPERLINK("https://www.philgeps.gov.ph/GEPSNONPILOT/Tender/SplashBidNoticeAbstractUI.aspx?menuIndex=3&amp;refID=7195970&amp;Result=3","7195970")</f>
        <v>0</v>
      </c>
      <c r="B3671" t="s">
        <v>718</v>
      </c>
      <c r="C3671" t="s">
        <v>7338</v>
      </c>
      <c r="D3671" t="s">
        <v>19037</v>
      </c>
      <c r="E3671" t="s">
        <v>22385</v>
      </c>
      <c r="F3671" t="s">
        <v>32606</v>
      </c>
      <c r="G3671" t="s">
        <v>32614</v>
      </c>
      <c r="H3671" t="s">
        <v>14201</v>
      </c>
      <c r="I3671" t="s">
        <v>6007</v>
      </c>
      <c r="J3671" t="s">
        <v>32926</v>
      </c>
      <c r="K3671" t="s">
        <v>42684</v>
      </c>
      <c r="M3671" t="s">
        <v>44439</v>
      </c>
      <c r="N3671" t="s">
        <v>47304</v>
      </c>
      <c r="O3671" t="s">
        <v>47305</v>
      </c>
      <c r="P3671">
        <v>0</v>
      </c>
      <c r="Q3671">
        <v>1</v>
      </c>
      <c r="R3671" t="s">
        <v>47306</v>
      </c>
      <c r="S3671" t="s">
        <v>47414</v>
      </c>
      <c r="T3671" t="s">
        <v>48997</v>
      </c>
      <c r="U3671" t="s">
        <v>52701</v>
      </c>
      <c r="V3671" t="s">
        <v>63018</v>
      </c>
      <c r="W3671" t="s">
        <v>44439</v>
      </c>
      <c r="X3671" t="s">
        <v>47308</v>
      </c>
    </row>
    <row r="3672" spans="1:24">
      <c r="A3672">
        <f>HYPERLINK("https://www.philgeps.gov.ph/GEPSNONPILOT/Tender/SplashBidNoticeAbstractUI.aspx?menuIndex=3&amp;refID=7195989&amp;Result=3","7195989")</f>
        <v>0</v>
      </c>
      <c r="B3672" t="s">
        <v>344</v>
      </c>
      <c r="C3672" t="s">
        <v>7339</v>
      </c>
      <c r="D3672" t="s">
        <v>19002</v>
      </c>
      <c r="E3672" t="s">
        <v>22386</v>
      </c>
      <c r="F3672" t="s">
        <v>32606</v>
      </c>
      <c r="G3672" t="s">
        <v>32614</v>
      </c>
      <c r="H3672" t="s">
        <v>14201</v>
      </c>
      <c r="I3672" t="s">
        <v>6014</v>
      </c>
      <c r="J3672" t="s">
        <v>32868</v>
      </c>
      <c r="K3672" t="s">
        <v>42622</v>
      </c>
      <c r="M3672" t="s">
        <v>43246</v>
      </c>
      <c r="N3672" t="s">
        <v>47304</v>
      </c>
      <c r="O3672" t="s">
        <v>47305</v>
      </c>
      <c r="P3672">
        <v>0</v>
      </c>
      <c r="Q3672">
        <v>0</v>
      </c>
      <c r="R3672" t="s">
        <v>47306</v>
      </c>
      <c r="S3672" t="s">
        <v>47414</v>
      </c>
      <c r="T3672" t="s">
        <v>48996</v>
      </c>
      <c r="U3672" t="s">
        <v>52702</v>
      </c>
      <c r="W3672" t="s">
        <v>43246</v>
      </c>
      <c r="X3672" t="s">
        <v>47308</v>
      </c>
    </row>
    <row r="3673" spans="1:24">
      <c r="A3673">
        <f>HYPERLINK("https://www.philgeps.gov.ph/GEPSNONPILOT/Tender/SplashBidNoticeAbstractUI.aspx?menuIndex=3&amp;refID=7195969&amp;Result=3","7195969")</f>
        <v>0</v>
      </c>
      <c r="B3673" t="s">
        <v>1412</v>
      </c>
      <c r="C3673" t="s">
        <v>7189</v>
      </c>
      <c r="D3673" t="s">
        <v>19056</v>
      </c>
      <c r="E3673" t="s">
        <v>22387</v>
      </c>
      <c r="F3673" t="s">
        <v>32606</v>
      </c>
      <c r="G3673" t="s">
        <v>32614</v>
      </c>
      <c r="H3673" t="s">
        <v>14201</v>
      </c>
      <c r="I3673" t="s">
        <v>6007</v>
      </c>
      <c r="J3673" t="s">
        <v>35167</v>
      </c>
      <c r="K3673" t="s">
        <v>42638</v>
      </c>
      <c r="M3673" t="s">
        <v>44400</v>
      </c>
      <c r="N3673" t="s">
        <v>47304</v>
      </c>
      <c r="O3673" t="s">
        <v>47305</v>
      </c>
      <c r="P3673">
        <v>0</v>
      </c>
      <c r="Q3673">
        <v>0</v>
      </c>
      <c r="R3673" t="s">
        <v>47306</v>
      </c>
      <c r="S3673" t="s">
        <v>47414</v>
      </c>
      <c r="T3673" t="s">
        <v>48979</v>
      </c>
      <c r="U3673" t="s">
        <v>52656</v>
      </c>
      <c r="W3673" t="s">
        <v>44400</v>
      </c>
      <c r="X3673" t="s">
        <v>47308</v>
      </c>
    </row>
    <row r="3674" spans="1:24">
      <c r="A3674">
        <f>HYPERLINK("https://www.philgeps.gov.ph/GEPSNONPILOT/Tender/SplashBidNoticeAbstractUI.aspx?menuIndex=3&amp;refID=7195982&amp;Result=3","7195982")</f>
        <v>0</v>
      </c>
      <c r="B3674" t="s">
        <v>1092</v>
      </c>
      <c r="C3674" t="s">
        <v>7340</v>
      </c>
      <c r="D3674" t="s">
        <v>18993</v>
      </c>
      <c r="E3674" t="s">
        <v>22388</v>
      </c>
      <c r="F3674" t="s">
        <v>32606</v>
      </c>
      <c r="G3674" t="s">
        <v>32617</v>
      </c>
      <c r="H3674" t="s">
        <v>14201</v>
      </c>
      <c r="I3674" t="s">
        <v>7577</v>
      </c>
      <c r="J3674" t="s">
        <v>32914</v>
      </c>
      <c r="K3674" t="s">
        <v>42624</v>
      </c>
      <c r="M3674" t="s">
        <v>44048</v>
      </c>
      <c r="N3674" t="s">
        <v>47304</v>
      </c>
      <c r="O3674" t="s">
        <v>47305</v>
      </c>
      <c r="P3674">
        <v>0</v>
      </c>
      <c r="Q3674">
        <v>9</v>
      </c>
      <c r="R3674" t="s">
        <v>47306</v>
      </c>
      <c r="S3674" t="s">
        <v>47414</v>
      </c>
      <c r="T3674" t="s">
        <v>49061</v>
      </c>
      <c r="U3674" t="s">
        <v>52703</v>
      </c>
      <c r="W3674" t="s">
        <v>44048</v>
      </c>
      <c r="X3674" t="s">
        <v>47308</v>
      </c>
    </row>
    <row r="3675" spans="1:24">
      <c r="A3675">
        <f>HYPERLINK("https://www.philgeps.gov.ph/GEPSNONPILOT/Tender/SplashBidNoticeAbstractUI.aspx?menuIndex=3&amp;refID=7195985&amp;Result=3","7195985")</f>
        <v>0</v>
      </c>
      <c r="B3675" t="s">
        <v>90</v>
      </c>
      <c r="C3675" t="s">
        <v>7341</v>
      </c>
      <c r="D3675" t="s">
        <v>18988</v>
      </c>
      <c r="E3675" t="s">
        <v>22389</v>
      </c>
      <c r="F3675" t="s">
        <v>32606</v>
      </c>
      <c r="G3675" t="s">
        <v>32613</v>
      </c>
      <c r="H3675" t="s">
        <v>14201</v>
      </c>
      <c r="I3675" t="s">
        <v>32631</v>
      </c>
      <c r="J3675" t="s">
        <v>35266</v>
      </c>
      <c r="K3675" t="s">
        <v>42624</v>
      </c>
      <c r="M3675" t="s">
        <v>42988</v>
      </c>
      <c r="N3675" t="s">
        <v>47304</v>
      </c>
      <c r="O3675" t="s">
        <v>47305</v>
      </c>
      <c r="P3675">
        <v>0</v>
      </c>
      <c r="Q3675">
        <v>0</v>
      </c>
      <c r="R3675" t="s">
        <v>47306</v>
      </c>
      <c r="S3675" t="s">
        <v>47414</v>
      </c>
      <c r="T3675" t="s">
        <v>49018</v>
      </c>
      <c r="U3675" t="s">
        <v>52704</v>
      </c>
      <c r="V3675" t="s">
        <v>62666</v>
      </c>
      <c r="W3675" t="s">
        <v>42988</v>
      </c>
      <c r="X3675" t="s">
        <v>47308</v>
      </c>
    </row>
    <row r="3676" spans="1:24">
      <c r="A3676">
        <f>HYPERLINK("https://www.philgeps.gov.ph/GEPSNONPILOT/Tender/SplashBidNoticeAbstractUI.aspx?menuIndex=3&amp;refID=7195992&amp;Result=3","7195992")</f>
        <v>0</v>
      </c>
      <c r="B3676" t="s">
        <v>1449</v>
      </c>
      <c r="C3676" t="s">
        <v>7342</v>
      </c>
      <c r="D3676" t="s">
        <v>19016</v>
      </c>
      <c r="E3676" t="s">
        <v>22390</v>
      </c>
      <c r="F3676" t="s">
        <v>32606</v>
      </c>
      <c r="G3676" t="s">
        <v>32613</v>
      </c>
      <c r="H3676" t="s">
        <v>32623</v>
      </c>
      <c r="I3676" t="s">
        <v>17648</v>
      </c>
      <c r="J3676" t="s">
        <v>35267</v>
      </c>
      <c r="K3676" t="s">
        <v>42716</v>
      </c>
      <c r="M3676" t="s">
        <v>44440</v>
      </c>
      <c r="N3676" t="s">
        <v>47304</v>
      </c>
      <c r="O3676" t="s">
        <v>47305</v>
      </c>
      <c r="P3676">
        <v>0</v>
      </c>
      <c r="Q3676">
        <v>6</v>
      </c>
      <c r="R3676" t="s">
        <v>47306</v>
      </c>
      <c r="S3676" t="s">
        <v>47414</v>
      </c>
      <c r="T3676" t="s">
        <v>48995</v>
      </c>
      <c r="U3676" t="s">
        <v>52705</v>
      </c>
      <c r="W3676" t="s">
        <v>44440</v>
      </c>
      <c r="X3676" t="s">
        <v>47308</v>
      </c>
    </row>
    <row r="3677" spans="1:24">
      <c r="A3677">
        <f>HYPERLINK("https://www.philgeps.gov.ph/GEPSNONPILOT/Tender/SplashBidNoticeAbstractUI.aspx?menuIndex=3&amp;refID=7196011&amp;Result=3","7196011")</f>
        <v>0</v>
      </c>
      <c r="B3677" t="s">
        <v>692</v>
      </c>
      <c r="C3677" t="s">
        <v>7343</v>
      </c>
      <c r="D3677" t="s">
        <v>18992</v>
      </c>
      <c r="E3677" t="s">
        <v>20332</v>
      </c>
      <c r="F3677" t="s">
        <v>32606</v>
      </c>
      <c r="G3677" t="s">
        <v>32614</v>
      </c>
      <c r="H3677" t="s">
        <v>14201</v>
      </c>
      <c r="I3677" t="s">
        <v>6993</v>
      </c>
      <c r="J3677" t="s">
        <v>35268</v>
      </c>
      <c r="K3677" t="s">
        <v>42629</v>
      </c>
      <c r="M3677" t="s">
        <v>43613</v>
      </c>
      <c r="N3677" t="s">
        <v>47304</v>
      </c>
      <c r="O3677" t="s">
        <v>47305</v>
      </c>
      <c r="P3677">
        <v>0</v>
      </c>
      <c r="Q3677">
        <v>0</v>
      </c>
      <c r="R3677" t="s">
        <v>47306</v>
      </c>
      <c r="S3677" t="s">
        <v>47414</v>
      </c>
      <c r="T3677" t="s">
        <v>48980</v>
      </c>
      <c r="U3677" t="s">
        <v>52706</v>
      </c>
      <c r="W3677" t="s">
        <v>43613</v>
      </c>
      <c r="X3677" t="s">
        <v>47308</v>
      </c>
    </row>
    <row r="3678" spans="1:24">
      <c r="A3678">
        <f>HYPERLINK("https://www.philgeps.gov.ph/GEPSNONPILOT/Tender/SplashBidNoticeAbstractUI.aspx?menuIndex=3&amp;refID=7195974&amp;Result=3","7195974")</f>
        <v>0</v>
      </c>
      <c r="B3678" t="s">
        <v>1447</v>
      </c>
      <c r="C3678" t="s">
        <v>7344</v>
      </c>
      <c r="D3678" t="s">
        <v>18993</v>
      </c>
      <c r="E3678" t="s">
        <v>20539</v>
      </c>
      <c r="F3678" t="s">
        <v>32606</v>
      </c>
      <c r="G3678" t="s">
        <v>32613</v>
      </c>
      <c r="H3678" t="s">
        <v>14201</v>
      </c>
      <c r="I3678" t="s">
        <v>6298</v>
      </c>
      <c r="J3678" t="s">
        <v>35269</v>
      </c>
      <c r="K3678" t="s">
        <v>42632</v>
      </c>
      <c r="M3678" t="s">
        <v>44437</v>
      </c>
      <c r="N3678" t="s">
        <v>47304</v>
      </c>
      <c r="O3678" t="s">
        <v>47305</v>
      </c>
      <c r="P3678">
        <v>0</v>
      </c>
      <c r="Q3678">
        <v>0</v>
      </c>
      <c r="R3678" t="s">
        <v>47306</v>
      </c>
      <c r="S3678" t="s">
        <v>47414</v>
      </c>
      <c r="T3678" t="s">
        <v>49023</v>
      </c>
      <c r="U3678" t="s">
        <v>52707</v>
      </c>
      <c r="W3678" t="s">
        <v>44437</v>
      </c>
      <c r="X3678" t="s">
        <v>47308</v>
      </c>
    </row>
    <row r="3679" spans="1:24">
      <c r="A3679">
        <f>HYPERLINK("https://www.philgeps.gov.ph/GEPSNONPILOT/Tender/SplashBidNoticeAbstractUI.aspx?menuIndex=3&amp;refID=7195990&amp;Result=3","7195990")</f>
        <v>0</v>
      </c>
      <c r="B3679" t="s">
        <v>1450</v>
      </c>
      <c r="C3679" t="s">
        <v>7345</v>
      </c>
      <c r="D3679" t="s">
        <v>19002</v>
      </c>
      <c r="E3679" t="s">
        <v>22391</v>
      </c>
      <c r="F3679" t="s">
        <v>32606</v>
      </c>
      <c r="G3679" t="s">
        <v>32619</v>
      </c>
      <c r="H3679" t="s">
        <v>14201</v>
      </c>
      <c r="I3679" t="s">
        <v>7064</v>
      </c>
      <c r="J3679" t="s">
        <v>32799</v>
      </c>
      <c r="K3679" t="s">
        <v>42627</v>
      </c>
      <c r="M3679" t="s">
        <v>44441</v>
      </c>
      <c r="N3679" t="s">
        <v>47304</v>
      </c>
      <c r="O3679" t="s">
        <v>47305</v>
      </c>
      <c r="P3679">
        <v>0</v>
      </c>
      <c r="Q3679">
        <v>0</v>
      </c>
      <c r="R3679" t="s">
        <v>47306</v>
      </c>
      <c r="S3679" t="s">
        <v>47414</v>
      </c>
      <c r="T3679" t="s">
        <v>48997</v>
      </c>
      <c r="U3679" t="s">
        <v>52708</v>
      </c>
      <c r="W3679" t="s">
        <v>44441</v>
      </c>
      <c r="X3679" t="s">
        <v>47308</v>
      </c>
    </row>
    <row r="3680" spans="1:24">
      <c r="A3680">
        <f>HYPERLINK("https://www.philgeps.gov.ph/GEPSNONPILOT/Tender/SplashBidNoticeAbstractUI.aspx?menuIndex=3&amp;refID=7196018&amp;Result=3","7196018")</f>
        <v>0</v>
      </c>
      <c r="B3680" t="s">
        <v>233</v>
      </c>
      <c r="C3680" t="s">
        <v>7346</v>
      </c>
      <c r="D3680" t="s">
        <v>18997</v>
      </c>
      <c r="E3680" t="s">
        <v>22392</v>
      </c>
      <c r="F3680" t="s">
        <v>32606</v>
      </c>
      <c r="G3680" t="s">
        <v>32613</v>
      </c>
      <c r="H3680" t="s">
        <v>14201</v>
      </c>
      <c r="I3680" t="s">
        <v>6993</v>
      </c>
      <c r="J3680" t="s">
        <v>32913</v>
      </c>
      <c r="K3680" t="s">
        <v>42631</v>
      </c>
      <c r="M3680" t="s">
        <v>44359</v>
      </c>
      <c r="N3680" t="s">
        <v>47304</v>
      </c>
      <c r="O3680" t="s">
        <v>47305</v>
      </c>
      <c r="P3680">
        <v>0</v>
      </c>
      <c r="Q3680">
        <v>0</v>
      </c>
      <c r="R3680" t="s">
        <v>47306</v>
      </c>
      <c r="S3680" t="s">
        <v>47414</v>
      </c>
      <c r="T3680" t="s">
        <v>49023</v>
      </c>
      <c r="U3680" t="s">
        <v>52443</v>
      </c>
      <c r="V3680" t="s">
        <v>63002</v>
      </c>
      <c r="W3680" t="s">
        <v>44359</v>
      </c>
      <c r="X3680" t="s">
        <v>47308</v>
      </c>
    </row>
    <row r="3681" spans="1:24">
      <c r="A3681">
        <f>HYPERLINK("https://www.philgeps.gov.ph/GEPSNONPILOT/Tender/SplashBidNoticeAbstractUI.aspx?menuIndex=3&amp;refID=7196017&amp;Result=3","7196017")</f>
        <v>0</v>
      </c>
      <c r="B3681" t="s">
        <v>1451</v>
      </c>
      <c r="C3681" t="s">
        <v>7347</v>
      </c>
      <c r="D3681" t="s">
        <v>18995</v>
      </c>
      <c r="E3681" t="s">
        <v>22393</v>
      </c>
      <c r="F3681" t="s">
        <v>32606</v>
      </c>
      <c r="G3681" t="s">
        <v>32619</v>
      </c>
      <c r="H3681" t="s">
        <v>14201</v>
      </c>
      <c r="I3681" t="s">
        <v>32678</v>
      </c>
      <c r="J3681" t="s">
        <v>35270</v>
      </c>
      <c r="K3681" t="s">
        <v>42636</v>
      </c>
      <c r="M3681" t="s">
        <v>44442</v>
      </c>
      <c r="N3681" t="s">
        <v>47304</v>
      </c>
      <c r="O3681" t="s">
        <v>47305</v>
      </c>
      <c r="P3681">
        <v>0</v>
      </c>
      <c r="Q3681">
        <v>2</v>
      </c>
      <c r="R3681" t="s">
        <v>47306</v>
      </c>
      <c r="S3681" t="s">
        <v>47414</v>
      </c>
      <c r="T3681" t="s">
        <v>49267</v>
      </c>
      <c r="U3681" t="s">
        <v>52709</v>
      </c>
      <c r="W3681" t="s">
        <v>64475</v>
      </c>
      <c r="X3681" t="s">
        <v>47308</v>
      </c>
    </row>
    <row r="3682" spans="1:24">
      <c r="A3682">
        <f>HYPERLINK("https://www.philgeps.gov.ph/GEPSNONPILOT/Tender/SplashBidNoticeAbstractUI.aspx?menuIndex=3&amp;refID=7196015&amp;Result=3","7196015")</f>
        <v>0</v>
      </c>
      <c r="B3682" t="s">
        <v>1452</v>
      </c>
      <c r="C3682" t="s">
        <v>7348</v>
      </c>
      <c r="D3682" t="s">
        <v>19015</v>
      </c>
      <c r="E3682" t="s">
        <v>22394</v>
      </c>
      <c r="F3682" t="s">
        <v>32606</v>
      </c>
      <c r="G3682" t="s">
        <v>32613</v>
      </c>
      <c r="H3682" t="s">
        <v>32623</v>
      </c>
      <c r="I3682" t="s">
        <v>17648</v>
      </c>
      <c r="J3682" t="s">
        <v>32765</v>
      </c>
      <c r="K3682" t="s">
        <v>42639</v>
      </c>
      <c r="M3682" t="s">
        <v>44443</v>
      </c>
      <c r="N3682" t="s">
        <v>47304</v>
      </c>
      <c r="O3682" t="s">
        <v>47305</v>
      </c>
      <c r="P3682">
        <v>0</v>
      </c>
      <c r="Q3682">
        <v>0</v>
      </c>
      <c r="R3682" t="s">
        <v>47306</v>
      </c>
      <c r="S3682" t="s">
        <v>47414</v>
      </c>
      <c r="T3682" t="s">
        <v>48989</v>
      </c>
      <c r="U3682" t="s">
        <v>52710</v>
      </c>
      <c r="W3682" t="s">
        <v>44443</v>
      </c>
      <c r="X3682" t="s">
        <v>47308</v>
      </c>
    </row>
    <row r="3683" spans="1:24">
      <c r="A3683">
        <f>HYPERLINK("https://www.philgeps.gov.ph/GEPSNONPILOT/Tender/SplashBidNoticeAbstractUI.aspx?menuIndex=3&amp;refID=7196014&amp;Result=3","7196014")</f>
        <v>0</v>
      </c>
      <c r="B3683" t="s">
        <v>696</v>
      </c>
      <c r="C3683" t="s">
        <v>7349</v>
      </c>
      <c r="D3683" t="s">
        <v>18993</v>
      </c>
      <c r="E3683" t="s">
        <v>22395</v>
      </c>
      <c r="F3683" t="s">
        <v>32606</v>
      </c>
      <c r="G3683" t="s">
        <v>32617</v>
      </c>
      <c r="H3683" t="s">
        <v>14201</v>
      </c>
      <c r="I3683" t="s">
        <v>4678</v>
      </c>
      <c r="J3683" t="s">
        <v>33102</v>
      </c>
      <c r="K3683" t="s">
        <v>42623</v>
      </c>
      <c r="M3683" t="s">
        <v>43617</v>
      </c>
      <c r="N3683" t="s">
        <v>47304</v>
      </c>
      <c r="O3683" t="s">
        <v>47305</v>
      </c>
      <c r="P3683">
        <v>0</v>
      </c>
      <c r="Q3683">
        <v>5</v>
      </c>
      <c r="R3683" t="s">
        <v>47306</v>
      </c>
      <c r="S3683" t="s">
        <v>47414</v>
      </c>
      <c r="T3683" t="s">
        <v>49081</v>
      </c>
      <c r="U3683" t="s">
        <v>50770</v>
      </c>
      <c r="V3683" t="s">
        <v>62804</v>
      </c>
      <c r="W3683" t="s">
        <v>43617</v>
      </c>
      <c r="X3683" t="s">
        <v>47308</v>
      </c>
    </row>
    <row r="3684" spans="1:24">
      <c r="A3684">
        <f>HYPERLINK("https://www.philgeps.gov.ph/GEPSNONPILOT/Tender/SplashBidNoticeAbstractUI.aspx?menuIndex=3&amp;refID=7195965&amp;Result=3","7195965")</f>
        <v>0</v>
      </c>
      <c r="B3684" t="s">
        <v>1453</v>
      </c>
      <c r="C3684" t="s">
        <v>7350</v>
      </c>
      <c r="D3684" t="s">
        <v>19011</v>
      </c>
      <c r="E3684" t="s">
        <v>22396</v>
      </c>
      <c r="F3684" t="s">
        <v>32606</v>
      </c>
      <c r="G3684" t="s">
        <v>32613</v>
      </c>
      <c r="H3684" t="s">
        <v>14201</v>
      </c>
      <c r="I3684" t="s">
        <v>32633</v>
      </c>
      <c r="J3684" t="s">
        <v>35271</v>
      </c>
      <c r="K3684" t="s">
        <v>42630</v>
      </c>
      <c r="M3684" t="s">
        <v>44444</v>
      </c>
      <c r="N3684" t="s">
        <v>47304</v>
      </c>
      <c r="O3684" t="s">
        <v>47305</v>
      </c>
      <c r="P3684">
        <v>0</v>
      </c>
      <c r="Q3684">
        <v>5</v>
      </c>
      <c r="R3684" t="s">
        <v>47306</v>
      </c>
      <c r="S3684" t="s">
        <v>47414</v>
      </c>
      <c r="T3684" t="s">
        <v>48987</v>
      </c>
      <c r="U3684" t="s">
        <v>52711</v>
      </c>
      <c r="W3684" t="s">
        <v>44444</v>
      </c>
      <c r="X3684" t="s">
        <v>47308</v>
      </c>
    </row>
    <row r="3685" spans="1:24">
      <c r="A3685">
        <f>HYPERLINK("https://www.philgeps.gov.ph/GEPSNONPILOT/Tender/SplashBidNoticeAbstractUI.aspx?menuIndex=3&amp;refID=7196012&amp;Result=3","7196012")</f>
        <v>0</v>
      </c>
      <c r="B3685" t="s">
        <v>1454</v>
      </c>
      <c r="C3685" t="s">
        <v>7351</v>
      </c>
      <c r="E3685" t="s">
        <v>22397</v>
      </c>
      <c r="F3685" t="s">
        <v>32606</v>
      </c>
      <c r="G3685" t="s">
        <v>32614</v>
      </c>
      <c r="H3685" t="s">
        <v>14201</v>
      </c>
      <c r="I3685" t="s">
        <v>4120</v>
      </c>
      <c r="J3685" t="s">
        <v>35272</v>
      </c>
      <c r="K3685" t="s">
        <v>42630</v>
      </c>
      <c r="M3685" t="s">
        <v>44445</v>
      </c>
      <c r="N3685" t="s">
        <v>47304</v>
      </c>
      <c r="O3685" t="s">
        <v>47305</v>
      </c>
      <c r="P3685">
        <v>0</v>
      </c>
      <c r="Q3685">
        <v>1</v>
      </c>
      <c r="R3685" t="s">
        <v>47306</v>
      </c>
      <c r="S3685" t="s">
        <v>47414</v>
      </c>
      <c r="T3685" t="s">
        <v>49004</v>
      </c>
      <c r="U3685" t="s">
        <v>52712</v>
      </c>
      <c r="V3685" t="s">
        <v>63019</v>
      </c>
      <c r="W3685" t="s">
        <v>44445</v>
      </c>
      <c r="X3685" t="s">
        <v>47308</v>
      </c>
    </row>
    <row r="3686" spans="1:24">
      <c r="A3686">
        <f>HYPERLINK("https://www.philgeps.gov.ph/GEPSNONPILOT/Tender/SplashBidNoticeAbstractUI.aspx?menuIndex=3&amp;refID=7196009&amp;Result=3","7196009")</f>
        <v>0</v>
      </c>
      <c r="B3686" t="s">
        <v>1455</v>
      </c>
      <c r="C3686" t="s">
        <v>7352</v>
      </c>
      <c r="D3686" t="s">
        <v>19029</v>
      </c>
      <c r="E3686" t="s">
        <v>22398</v>
      </c>
      <c r="F3686" t="s">
        <v>32606</v>
      </c>
      <c r="G3686" t="s">
        <v>32619</v>
      </c>
      <c r="H3686" t="s">
        <v>14201</v>
      </c>
      <c r="I3686" t="s">
        <v>32660</v>
      </c>
      <c r="J3686" t="s">
        <v>34118</v>
      </c>
      <c r="K3686" t="s">
        <v>42622</v>
      </c>
      <c r="M3686" t="s">
        <v>44446</v>
      </c>
      <c r="N3686" t="s">
        <v>47304</v>
      </c>
      <c r="O3686" t="s">
        <v>47305</v>
      </c>
      <c r="P3686">
        <v>0</v>
      </c>
      <c r="Q3686">
        <v>0</v>
      </c>
      <c r="R3686" t="s">
        <v>47306</v>
      </c>
      <c r="S3686" t="s">
        <v>47414</v>
      </c>
      <c r="T3686" t="s">
        <v>49096</v>
      </c>
      <c r="U3686" t="s">
        <v>52713</v>
      </c>
      <c r="W3686" t="s">
        <v>44446</v>
      </c>
      <c r="X3686" t="s">
        <v>47308</v>
      </c>
    </row>
    <row r="3687" spans="1:24">
      <c r="A3687">
        <f>HYPERLINK("https://www.philgeps.gov.ph/GEPSNONPILOT/Tender/SplashBidNoticeAbstractUI.aspx?menuIndex=3&amp;refID=7196007&amp;Result=3","7196007")</f>
        <v>0</v>
      </c>
      <c r="B3687" t="s">
        <v>1444</v>
      </c>
      <c r="C3687" t="s">
        <v>7353</v>
      </c>
      <c r="D3687" t="s">
        <v>19005</v>
      </c>
      <c r="E3687" t="s">
        <v>22399</v>
      </c>
      <c r="F3687" t="s">
        <v>32606</v>
      </c>
      <c r="G3687" t="s">
        <v>32619</v>
      </c>
      <c r="H3687" t="s">
        <v>14201</v>
      </c>
      <c r="I3687" t="s">
        <v>6993</v>
      </c>
      <c r="J3687" t="s">
        <v>35273</v>
      </c>
      <c r="K3687" t="s">
        <v>42632</v>
      </c>
      <c r="M3687" t="s">
        <v>44434</v>
      </c>
      <c r="N3687" t="s">
        <v>47304</v>
      </c>
      <c r="O3687" t="s">
        <v>47305</v>
      </c>
      <c r="P3687">
        <v>0</v>
      </c>
      <c r="Q3687">
        <v>0</v>
      </c>
      <c r="R3687" t="s">
        <v>47306</v>
      </c>
      <c r="S3687" t="s">
        <v>47414</v>
      </c>
      <c r="T3687" t="s">
        <v>49268</v>
      </c>
      <c r="U3687" t="s">
        <v>52714</v>
      </c>
      <c r="W3687" t="s">
        <v>44434</v>
      </c>
      <c r="X3687" t="s">
        <v>47308</v>
      </c>
    </row>
    <row r="3688" spans="1:24">
      <c r="A3688">
        <f>HYPERLINK("https://www.philgeps.gov.ph/GEPSNONPILOT/Tender/SplashBidNoticeAbstractUI.aspx?menuIndex=3&amp;refID=7196005&amp;Result=3","7196005")</f>
        <v>0</v>
      </c>
      <c r="B3688" t="s">
        <v>1456</v>
      </c>
      <c r="C3688" t="s">
        <v>7354</v>
      </c>
      <c r="D3688" t="s">
        <v>19014</v>
      </c>
      <c r="E3688" t="s">
        <v>22400</v>
      </c>
      <c r="F3688" t="s">
        <v>32606</v>
      </c>
      <c r="G3688" t="s">
        <v>32617</v>
      </c>
      <c r="H3688" t="s">
        <v>14201</v>
      </c>
      <c r="I3688" t="s">
        <v>4678</v>
      </c>
      <c r="J3688" t="s">
        <v>32765</v>
      </c>
      <c r="K3688" t="s">
        <v>42624</v>
      </c>
      <c r="M3688" t="s">
        <v>44447</v>
      </c>
      <c r="N3688" t="s">
        <v>47304</v>
      </c>
      <c r="O3688" t="s">
        <v>47305</v>
      </c>
      <c r="P3688">
        <v>0</v>
      </c>
      <c r="Q3688">
        <v>0</v>
      </c>
      <c r="R3688" t="s">
        <v>47306</v>
      </c>
      <c r="S3688" t="s">
        <v>47414</v>
      </c>
      <c r="T3688" t="s">
        <v>49004</v>
      </c>
      <c r="U3688" t="s">
        <v>52715</v>
      </c>
      <c r="W3688" t="s">
        <v>44447</v>
      </c>
      <c r="X3688" t="s">
        <v>47308</v>
      </c>
    </row>
    <row r="3689" spans="1:24">
      <c r="A3689">
        <f>HYPERLINK("https://www.philgeps.gov.ph/GEPSNONPILOT/Tender/SplashBidNoticeAbstractUI.aspx?menuIndex=3&amp;refID=7196003&amp;Result=3","7196003")</f>
        <v>0</v>
      </c>
      <c r="B3689" t="s">
        <v>1457</v>
      </c>
      <c r="C3689" t="s">
        <v>7355</v>
      </c>
      <c r="D3689" t="s">
        <v>19056</v>
      </c>
      <c r="E3689" t="s">
        <v>22401</v>
      </c>
      <c r="F3689" t="s">
        <v>32606</v>
      </c>
      <c r="G3689" t="s">
        <v>32617</v>
      </c>
      <c r="H3689" t="s">
        <v>14201</v>
      </c>
      <c r="I3689" t="s">
        <v>32691</v>
      </c>
      <c r="J3689" t="s">
        <v>35274</v>
      </c>
      <c r="K3689" t="s">
        <v>42631</v>
      </c>
      <c r="M3689" t="s">
        <v>44448</v>
      </c>
      <c r="N3689" t="s">
        <v>47304</v>
      </c>
      <c r="O3689" t="s">
        <v>47305</v>
      </c>
      <c r="P3689">
        <v>0</v>
      </c>
      <c r="Q3689">
        <v>8</v>
      </c>
      <c r="R3689" t="s">
        <v>47306</v>
      </c>
      <c r="S3689" t="s">
        <v>47414</v>
      </c>
      <c r="T3689" t="s">
        <v>49014</v>
      </c>
      <c r="U3689" t="s">
        <v>52716</v>
      </c>
      <c r="W3689" t="s">
        <v>44448</v>
      </c>
      <c r="X3689" t="s">
        <v>47308</v>
      </c>
    </row>
    <row r="3690" spans="1:24">
      <c r="A3690">
        <f>HYPERLINK("https://www.philgeps.gov.ph/GEPSNONPILOT/Tender/SplashBidNoticeAbstractUI.aspx?menuIndex=3&amp;refID=7196016&amp;Result=3","7196016")</f>
        <v>0</v>
      </c>
      <c r="B3690" t="s">
        <v>1225</v>
      </c>
      <c r="C3690" t="s">
        <v>4507</v>
      </c>
      <c r="D3690" t="s">
        <v>19038</v>
      </c>
      <c r="E3690" t="s">
        <v>22402</v>
      </c>
      <c r="F3690" t="s">
        <v>32606</v>
      </c>
      <c r="G3690" t="s">
        <v>32614</v>
      </c>
      <c r="H3690" t="s">
        <v>14201</v>
      </c>
      <c r="I3690" t="s">
        <v>6007</v>
      </c>
      <c r="J3690" t="s">
        <v>32765</v>
      </c>
      <c r="K3690" t="s">
        <v>42624</v>
      </c>
      <c r="M3690" t="s">
        <v>44449</v>
      </c>
      <c r="N3690" t="s">
        <v>47304</v>
      </c>
      <c r="O3690" t="s">
        <v>47305</v>
      </c>
      <c r="P3690">
        <v>0</v>
      </c>
      <c r="Q3690">
        <v>0</v>
      </c>
      <c r="R3690" t="s">
        <v>47306</v>
      </c>
      <c r="S3690" t="s">
        <v>47414</v>
      </c>
      <c r="T3690" t="s">
        <v>49028</v>
      </c>
      <c r="U3690" t="s">
        <v>52717</v>
      </c>
      <c r="W3690" t="s">
        <v>64467</v>
      </c>
      <c r="X3690" t="s">
        <v>47308</v>
      </c>
    </row>
    <row r="3691" spans="1:24">
      <c r="A3691">
        <f>HYPERLINK("https://www.philgeps.gov.ph/GEPSNONPILOT/Tender/SplashBidNoticeAbstractUI.aspx?menuIndex=3&amp;refID=7196000&amp;Result=3","7196000")</f>
        <v>0</v>
      </c>
      <c r="B3691" t="s">
        <v>1395</v>
      </c>
      <c r="C3691" t="s">
        <v>7356</v>
      </c>
      <c r="D3691" t="s">
        <v>19037</v>
      </c>
      <c r="E3691" t="s">
        <v>22403</v>
      </c>
      <c r="F3691" t="s">
        <v>32606</v>
      </c>
      <c r="G3691" t="s">
        <v>32614</v>
      </c>
      <c r="H3691" t="s">
        <v>14201</v>
      </c>
      <c r="I3691" t="s">
        <v>7233</v>
      </c>
      <c r="J3691" t="s">
        <v>33561</v>
      </c>
      <c r="K3691" t="s">
        <v>42623</v>
      </c>
      <c r="M3691" t="s">
        <v>44378</v>
      </c>
      <c r="N3691" t="s">
        <v>47304</v>
      </c>
      <c r="O3691" t="s">
        <v>47305</v>
      </c>
      <c r="P3691">
        <v>0</v>
      </c>
      <c r="Q3691">
        <v>0</v>
      </c>
      <c r="R3691" t="s">
        <v>47306</v>
      </c>
      <c r="S3691" t="s">
        <v>47414</v>
      </c>
      <c r="T3691" t="s">
        <v>48979</v>
      </c>
      <c r="U3691" t="s">
        <v>52718</v>
      </c>
      <c r="W3691" t="s">
        <v>44378</v>
      </c>
      <c r="X3691" t="s">
        <v>47308</v>
      </c>
    </row>
    <row r="3692" spans="1:24">
      <c r="A3692">
        <f>HYPERLINK("https://www.philgeps.gov.ph/GEPSNONPILOT/Tender/SplashBidNoticeAbstractUI.aspx?menuIndex=3&amp;refID=7195997&amp;Result=3","7195997")</f>
        <v>0</v>
      </c>
      <c r="B3692" t="s">
        <v>775</v>
      </c>
      <c r="C3692" t="s">
        <v>7357</v>
      </c>
      <c r="D3692" t="s">
        <v>19024</v>
      </c>
      <c r="E3692" t="s">
        <v>22404</v>
      </c>
      <c r="F3692" t="s">
        <v>32606</v>
      </c>
      <c r="G3692" t="s">
        <v>32614</v>
      </c>
      <c r="H3692" t="s">
        <v>32624</v>
      </c>
      <c r="I3692" t="s">
        <v>6007</v>
      </c>
      <c r="J3692" t="s">
        <v>33897</v>
      </c>
      <c r="K3692" t="s">
        <v>42630</v>
      </c>
      <c r="M3692" t="s">
        <v>44450</v>
      </c>
      <c r="N3692" t="s">
        <v>47304</v>
      </c>
      <c r="O3692" t="s">
        <v>47305</v>
      </c>
      <c r="P3692">
        <v>0</v>
      </c>
      <c r="Q3692">
        <v>0</v>
      </c>
      <c r="R3692" t="s">
        <v>47306</v>
      </c>
      <c r="S3692" t="s">
        <v>47414</v>
      </c>
      <c r="T3692" t="s">
        <v>48976</v>
      </c>
      <c r="U3692" t="s">
        <v>52719</v>
      </c>
      <c r="V3692" t="s">
        <v>63020</v>
      </c>
      <c r="W3692" t="s">
        <v>44450</v>
      </c>
      <c r="X3692" t="s">
        <v>47308</v>
      </c>
    </row>
    <row r="3693" spans="1:24">
      <c r="A3693">
        <f>HYPERLINK("https://www.philgeps.gov.ph/GEPSNONPILOT/Tender/SplashBidNoticeAbstractUI.aspx?menuIndex=3&amp;refID=7196006&amp;Result=3","7196006")</f>
        <v>0</v>
      </c>
      <c r="B3693" t="s">
        <v>1458</v>
      </c>
      <c r="C3693" t="s">
        <v>7358</v>
      </c>
      <c r="D3693" t="s">
        <v>18995</v>
      </c>
      <c r="E3693" t="s">
        <v>22405</v>
      </c>
      <c r="F3693" t="s">
        <v>32606</v>
      </c>
      <c r="G3693" t="s">
        <v>32614</v>
      </c>
      <c r="H3693" t="s">
        <v>14201</v>
      </c>
      <c r="I3693" t="s">
        <v>32633</v>
      </c>
      <c r="J3693" t="s">
        <v>35275</v>
      </c>
      <c r="K3693" t="s">
        <v>42622</v>
      </c>
      <c r="M3693" t="s">
        <v>44451</v>
      </c>
      <c r="N3693" t="s">
        <v>47304</v>
      </c>
      <c r="O3693" t="s">
        <v>47305</v>
      </c>
      <c r="P3693">
        <v>0</v>
      </c>
      <c r="Q3693">
        <v>6</v>
      </c>
      <c r="R3693" t="s">
        <v>47306</v>
      </c>
      <c r="S3693" t="s">
        <v>47414</v>
      </c>
      <c r="T3693" t="s">
        <v>49023</v>
      </c>
      <c r="U3693" t="s">
        <v>52720</v>
      </c>
      <c r="W3693" t="s">
        <v>44451</v>
      </c>
      <c r="X3693" t="s">
        <v>47308</v>
      </c>
    </row>
    <row r="3694" spans="1:24">
      <c r="A3694">
        <f>HYPERLINK("https://www.philgeps.gov.ph/GEPSNONPILOT/Tender/SplashBidNoticeAbstractUI.aspx?menuIndex=3&amp;refID=7195995&amp;Result=3","7195995")</f>
        <v>0</v>
      </c>
      <c r="B3694" t="s">
        <v>233</v>
      </c>
      <c r="C3694" t="s">
        <v>7359</v>
      </c>
      <c r="D3694" t="s">
        <v>18997</v>
      </c>
      <c r="E3694" t="s">
        <v>22406</v>
      </c>
      <c r="F3694" t="s">
        <v>32606</v>
      </c>
      <c r="G3694" t="s">
        <v>32613</v>
      </c>
      <c r="H3694" t="s">
        <v>14201</v>
      </c>
      <c r="I3694" t="s">
        <v>6993</v>
      </c>
      <c r="J3694" t="s">
        <v>32913</v>
      </c>
      <c r="K3694" t="s">
        <v>42631</v>
      </c>
      <c r="M3694" t="s">
        <v>44359</v>
      </c>
      <c r="N3694" t="s">
        <v>47304</v>
      </c>
      <c r="O3694" t="s">
        <v>47305</v>
      </c>
      <c r="P3694">
        <v>0</v>
      </c>
      <c r="Q3694">
        <v>0</v>
      </c>
      <c r="R3694" t="s">
        <v>47306</v>
      </c>
      <c r="S3694" t="s">
        <v>47414</v>
      </c>
      <c r="T3694" t="s">
        <v>49023</v>
      </c>
      <c r="U3694" t="s">
        <v>52443</v>
      </c>
      <c r="V3694" t="s">
        <v>63002</v>
      </c>
      <c r="W3694" t="s">
        <v>44359</v>
      </c>
      <c r="X3694" t="s">
        <v>47308</v>
      </c>
    </row>
    <row r="3695" spans="1:24">
      <c r="A3695">
        <f>HYPERLINK("https://www.philgeps.gov.ph/GEPSNONPILOT/Tender/SplashBidNoticeAbstractUI.aspx?menuIndex=3&amp;refID=7196020&amp;Result=3","7196020")</f>
        <v>0</v>
      </c>
      <c r="B3695" t="s">
        <v>1459</v>
      </c>
      <c r="C3695" t="s">
        <v>7360</v>
      </c>
      <c r="D3695" t="s">
        <v>18993</v>
      </c>
      <c r="E3695" t="s">
        <v>19833</v>
      </c>
      <c r="F3695" t="s">
        <v>32606</v>
      </c>
      <c r="G3695" t="s">
        <v>32614</v>
      </c>
      <c r="H3695" t="s">
        <v>32623</v>
      </c>
      <c r="I3695" t="s">
        <v>32709</v>
      </c>
      <c r="J3695" t="s">
        <v>35276</v>
      </c>
      <c r="K3695" t="s">
        <v>42629</v>
      </c>
      <c r="M3695" t="s">
        <v>44452</v>
      </c>
      <c r="N3695" t="s">
        <v>47304</v>
      </c>
      <c r="O3695" t="s">
        <v>47305</v>
      </c>
      <c r="P3695">
        <v>0</v>
      </c>
      <c r="Q3695">
        <v>3</v>
      </c>
      <c r="R3695" t="s">
        <v>47306</v>
      </c>
      <c r="S3695" t="s">
        <v>47414</v>
      </c>
      <c r="T3695" t="s">
        <v>48979</v>
      </c>
      <c r="U3695" t="s">
        <v>52721</v>
      </c>
      <c r="W3695" t="s">
        <v>44452</v>
      </c>
      <c r="X3695" t="s">
        <v>47308</v>
      </c>
    </row>
    <row r="3696" spans="1:24">
      <c r="A3696">
        <f>HYPERLINK("https://www.philgeps.gov.ph/GEPSNONPILOT/Tender/SplashBidNoticeAbstractUI.aspx?menuIndex=3&amp;refID=7196001&amp;Result=3","7196001")</f>
        <v>0</v>
      </c>
      <c r="B3696" t="s">
        <v>1442</v>
      </c>
      <c r="C3696" t="s">
        <v>7361</v>
      </c>
      <c r="D3696" t="s">
        <v>19005</v>
      </c>
      <c r="E3696" t="s">
        <v>22407</v>
      </c>
      <c r="F3696" t="s">
        <v>32606</v>
      </c>
      <c r="G3696" t="s">
        <v>32614</v>
      </c>
      <c r="H3696" t="s">
        <v>14201</v>
      </c>
      <c r="I3696" t="s">
        <v>7577</v>
      </c>
      <c r="J3696" t="s">
        <v>35277</v>
      </c>
      <c r="K3696" t="s">
        <v>42625</v>
      </c>
      <c r="M3696" t="s">
        <v>44431</v>
      </c>
      <c r="N3696" t="s">
        <v>47304</v>
      </c>
      <c r="O3696" t="s">
        <v>47305</v>
      </c>
      <c r="P3696">
        <v>0</v>
      </c>
      <c r="Q3696">
        <v>0</v>
      </c>
      <c r="R3696" t="s">
        <v>47306</v>
      </c>
      <c r="S3696" t="s">
        <v>47414</v>
      </c>
      <c r="T3696" t="s">
        <v>49050</v>
      </c>
      <c r="U3696" t="s">
        <v>52722</v>
      </c>
      <c r="W3696" t="s">
        <v>44431</v>
      </c>
      <c r="X3696" t="s">
        <v>47308</v>
      </c>
    </row>
    <row r="3697" spans="1:24">
      <c r="A3697">
        <f>HYPERLINK("https://www.philgeps.gov.ph/GEPSNONPILOT/Tender/SplashBidNoticeAbstractUI.aspx?menuIndex=3&amp;refID=7195999&amp;Result=3","7195999")</f>
        <v>0</v>
      </c>
      <c r="B3697" t="s">
        <v>464</v>
      </c>
      <c r="C3697" t="s">
        <v>7362</v>
      </c>
      <c r="D3697" t="s">
        <v>19044</v>
      </c>
      <c r="E3697" t="s">
        <v>22408</v>
      </c>
      <c r="F3697" t="s">
        <v>32606</v>
      </c>
      <c r="G3697" t="s">
        <v>32614</v>
      </c>
      <c r="H3697" t="s">
        <v>14201</v>
      </c>
      <c r="I3697" t="s">
        <v>32640</v>
      </c>
      <c r="J3697" t="s">
        <v>35278</v>
      </c>
      <c r="K3697" t="s">
        <v>42631</v>
      </c>
      <c r="M3697" t="s">
        <v>43374</v>
      </c>
      <c r="N3697" t="s">
        <v>47304</v>
      </c>
      <c r="O3697" t="s">
        <v>47305</v>
      </c>
      <c r="P3697">
        <v>0</v>
      </c>
      <c r="Q3697">
        <v>1</v>
      </c>
      <c r="R3697" t="s">
        <v>47306</v>
      </c>
      <c r="S3697" t="s">
        <v>47414</v>
      </c>
      <c r="T3697" t="s">
        <v>48980</v>
      </c>
      <c r="U3697" t="s">
        <v>52723</v>
      </c>
      <c r="W3697" t="s">
        <v>43374</v>
      </c>
      <c r="X3697" t="s">
        <v>47308</v>
      </c>
    </row>
    <row r="3698" spans="1:24">
      <c r="A3698">
        <f>HYPERLINK("https://www.philgeps.gov.ph/GEPSNONPILOT/Tender/SplashBidNoticeAbstractUI.aspx?menuIndex=3&amp;refID=7196029&amp;Result=3","7196029")</f>
        <v>0</v>
      </c>
      <c r="B3698" t="s">
        <v>83</v>
      </c>
      <c r="C3698" t="s">
        <v>7363</v>
      </c>
      <c r="D3698" t="s">
        <v>19021</v>
      </c>
      <c r="E3698" t="s">
        <v>22409</v>
      </c>
      <c r="F3698" t="s">
        <v>32606</v>
      </c>
      <c r="G3698" t="s">
        <v>32614</v>
      </c>
      <c r="H3698" t="s">
        <v>14201</v>
      </c>
      <c r="I3698" t="s">
        <v>4120</v>
      </c>
      <c r="J3698" t="s">
        <v>35279</v>
      </c>
      <c r="K3698" t="s">
        <v>42623</v>
      </c>
      <c r="M3698" t="s">
        <v>42980</v>
      </c>
      <c r="N3698" t="s">
        <v>47304</v>
      </c>
      <c r="O3698" t="s">
        <v>47305</v>
      </c>
      <c r="P3698">
        <v>0</v>
      </c>
      <c r="Q3698">
        <v>0</v>
      </c>
      <c r="R3698" t="s">
        <v>47306</v>
      </c>
      <c r="S3698" t="s">
        <v>47414</v>
      </c>
      <c r="T3698" t="s">
        <v>49015</v>
      </c>
      <c r="U3698" t="s">
        <v>52724</v>
      </c>
      <c r="W3698" t="s">
        <v>42980</v>
      </c>
      <c r="X3698" t="s">
        <v>47308</v>
      </c>
    </row>
    <row r="3699" spans="1:24">
      <c r="A3699">
        <f>HYPERLINK("https://www.philgeps.gov.ph/GEPSNONPILOT/Tender/SplashBidNoticeAbstractUI.aspx?menuIndex=3&amp;refID=7195971&amp;Result=3","7195971")</f>
        <v>0</v>
      </c>
      <c r="B3699" t="s">
        <v>844</v>
      </c>
      <c r="C3699" t="s">
        <v>7364</v>
      </c>
      <c r="D3699" t="s">
        <v>19056</v>
      </c>
      <c r="E3699" t="s">
        <v>22410</v>
      </c>
      <c r="F3699" t="s">
        <v>32606</v>
      </c>
      <c r="G3699" t="s">
        <v>32613</v>
      </c>
      <c r="H3699" t="s">
        <v>14201</v>
      </c>
      <c r="I3699" t="s">
        <v>32654</v>
      </c>
      <c r="J3699" t="s">
        <v>35280</v>
      </c>
      <c r="K3699" t="s">
        <v>42631</v>
      </c>
      <c r="L3699" t="s">
        <v>844</v>
      </c>
      <c r="M3699" t="s">
        <v>43776</v>
      </c>
      <c r="N3699" t="s">
        <v>47304</v>
      </c>
      <c r="O3699" t="s">
        <v>47305</v>
      </c>
      <c r="P3699">
        <v>0</v>
      </c>
      <c r="Q3699">
        <v>1</v>
      </c>
      <c r="R3699" t="s">
        <v>47306</v>
      </c>
      <c r="S3699" t="s">
        <v>47414</v>
      </c>
      <c r="T3699" t="s">
        <v>49009</v>
      </c>
      <c r="U3699" t="s">
        <v>52725</v>
      </c>
      <c r="V3699" t="s">
        <v>63021</v>
      </c>
      <c r="W3699" t="s">
        <v>43776</v>
      </c>
      <c r="X3699" t="s">
        <v>47308</v>
      </c>
    </row>
    <row r="3700" spans="1:24">
      <c r="A3700">
        <f>HYPERLINK("https://www.philgeps.gov.ph/GEPSNONPILOT/Tender/SplashBidNoticeAbstractUI.aspx?menuIndex=3&amp;refID=7195964&amp;Result=3","7195964")</f>
        <v>0</v>
      </c>
      <c r="B3700" t="s">
        <v>1460</v>
      </c>
      <c r="C3700" t="s">
        <v>7365</v>
      </c>
      <c r="D3700" t="s">
        <v>18993</v>
      </c>
      <c r="E3700" t="s">
        <v>22411</v>
      </c>
      <c r="F3700" t="s">
        <v>32606</v>
      </c>
      <c r="G3700" t="s">
        <v>32613</v>
      </c>
      <c r="H3700" t="s">
        <v>14201</v>
      </c>
      <c r="I3700" t="s">
        <v>32662</v>
      </c>
      <c r="J3700" t="s">
        <v>34431</v>
      </c>
      <c r="K3700" t="s">
        <v>42636</v>
      </c>
      <c r="M3700" t="s">
        <v>44453</v>
      </c>
      <c r="N3700" t="s">
        <v>47304</v>
      </c>
      <c r="O3700" t="s">
        <v>47305</v>
      </c>
      <c r="P3700">
        <v>0</v>
      </c>
      <c r="Q3700">
        <v>9</v>
      </c>
      <c r="R3700" t="s">
        <v>47306</v>
      </c>
      <c r="S3700" t="s">
        <v>47414</v>
      </c>
      <c r="T3700" t="s">
        <v>49048</v>
      </c>
      <c r="U3700" t="s">
        <v>52726</v>
      </c>
      <c r="W3700" t="s">
        <v>44453</v>
      </c>
      <c r="X3700" t="s">
        <v>47308</v>
      </c>
    </row>
    <row r="3701" spans="1:24">
      <c r="A3701">
        <f>HYPERLINK("https://www.philgeps.gov.ph/GEPSNONPILOT/Tender/SplashBidNoticeAbstractUI.aspx?menuIndex=3&amp;refID=7196028&amp;Result=3","7196028")</f>
        <v>0</v>
      </c>
      <c r="B3701" t="s">
        <v>1130</v>
      </c>
      <c r="C3701" t="s">
        <v>7366</v>
      </c>
      <c r="D3701" t="s">
        <v>19053</v>
      </c>
      <c r="E3701" t="s">
        <v>22412</v>
      </c>
      <c r="F3701" t="s">
        <v>32606</v>
      </c>
      <c r="G3701" t="s">
        <v>32614</v>
      </c>
      <c r="H3701" t="s">
        <v>14201</v>
      </c>
      <c r="I3701" t="s">
        <v>32637</v>
      </c>
      <c r="J3701" t="s">
        <v>32820</v>
      </c>
      <c r="K3701" t="s">
        <v>42624</v>
      </c>
      <c r="M3701" t="s">
        <v>44454</v>
      </c>
      <c r="N3701" t="s">
        <v>47304</v>
      </c>
      <c r="O3701" t="s">
        <v>47305</v>
      </c>
      <c r="P3701">
        <v>0</v>
      </c>
      <c r="Q3701">
        <v>2</v>
      </c>
      <c r="R3701" t="s">
        <v>47306</v>
      </c>
      <c r="S3701" t="s">
        <v>47414</v>
      </c>
      <c r="T3701" t="s">
        <v>49010</v>
      </c>
      <c r="U3701" t="s">
        <v>52727</v>
      </c>
      <c r="V3701" t="s">
        <v>63022</v>
      </c>
      <c r="W3701" t="s">
        <v>44454</v>
      </c>
      <c r="X3701" t="s">
        <v>47308</v>
      </c>
    </row>
    <row r="3702" spans="1:24">
      <c r="A3702">
        <f>HYPERLINK("https://www.philgeps.gov.ph/GEPSNONPILOT/Tender/SplashBidNoticeAbstractUI.aspx?menuIndex=3&amp;refID=7195993&amp;Result=3","7195993")</f>
        <v>0</v>
      </c>
      <c r="B3702" t="s">
        <v>1367</v>
      </c>
      <c r="C3702" t="s">
        <v>6992</v>
      </c>
      <c r="D3702" t="s">
        <v>19006</v>
      </c>
      <c r="E3702" t="s">
        <v>22065</v>
      </c>
      <c r="F3702" t="s">
        <v>32606</v>
      </c>
      <c r="G3702" t="s">
        <v>32614</v>
      </c>
      <c r="H3702" t="s">
        <v>14201</v>
      </c>
      <c r="I3702" t="s">
        <v>4678</v>
      </c>
      <c r="J3702" t="s">
        <v>35281</v>
      </c>
      <c r="K3702" t="s">
        <v>42629</v>
      </c>
      <c r="M3702" t="s">
        <v>44344</v>
      </c>
      <c r="N3702" t="s">
        <v>47304</v>
      </c>
      <c r="O3702" t="s">
        <v>47305</v>
      </c>
      <c r="P3702">
        <v>0</v>
      </c>
      <c r="Q3702">
        <v>0</v>
      </c>
      <c r="R3702" t="s">
        <v>47306</v>
      </c>
      <c r="S3702" t="s">
        <v>47414</v>
      </c>
      <c r="T3702" t="s">
        <v>48980</v>
      </c>
      <c r="U3702" t="s">
        <v>52728</v>
      </c>
      <c r="W3702" t="s">
        <v>44344</v>
      </c>
      <c r="X3702" t="s">
        <v>47308</v>
      </c>
    </row>
    <row r="3703" spans="1:24">
      <c r="A3703">
        <f>HYPERLINK("https://www.philgeps.gov.ph/GEPSNONPILOT/Tender/SplashBidNoticeAbstractUI.aspx?menuIndex=3&amp;refID=7196048&amp;Result=3","7196048")</f>
        <v>0</v>
      </c>
      <c r="B3703" t="s">
        <v>1418</v>
      </c>
      <c r="C3703" t="s">
        <v>7367</v>
      </c>
      <c r="D3703" t="s">
        <v>19002</v>
      </c>
      <c r="E3703" t="s">
        <v>22413</v>
      </c>
      <c r="F3703" t="s">
        <v>32606</v>
      </c>
      <c r="G3703" t="s">
        <v>32615</v>
      </c>
      <c r="H3703" t="s">
        <v>14201</v>
      </c>
      <c r="I3703" t="s">
        <v>6931</v>
      </c>
      <c r="J3703" t="s">
        <v>32981</v>
      </c>
      <c r="K3703" t="s">
        <v>42624</v>
      </c>
      <c r="M3703" t="s">
        <v>44406</v>
      </c>
      <c r="N3703" t="s">
        <v>47304</v>
      </c>
      <c r="O3703" t="s">
        <v>47305</v>
      </c>
      <c r="P3703">
        <v>0</v>
      </c>
      <c r="Q3703">
        <v>0</v>
      </c>
      <c r="R3703" t="s">
        <v>47306</v>
      </c>
      <c r="S3703" t="s">
        <v>47414</v>
      </c>
      <c r="T3703" t="s">
        <v>49107</v>
      </c>
      <c r="U3703" t="s">
        <v>52729</v>
      </c>
      <c r="W3703" t="s">
        <v>44406</v>
      </c>
      <c r="X3703" t="s">
        <v>47308</v>
      </c>
    </row>
    <row r="3704" spans="1:24">
      <c r="A3704">
        <f>HYPERLINK("https://www.philgeps.gov.ph/GEPSNONPILOT/Tender/SplashBidNoticeAbstractUI.aspx?menuIndex=3&amp;refID=7196047&amp;Result=3","7196047")</f>
        <v>0</v>
      </c>
      <c r="B3704" t="s">
        <v>1461</v>
      </c>
      <c r="C3704" t="s">
        <v>7368</v>
      </c>
      <c r="D3704" t="s">
        <v>19008</v>
      </c>
      <c r="E3704" t="s">
        <v>22414</v>
      </c>
      <c r="F3704" t="s">
        <v>32606</v>
      </c>
      <c r="G3704" t="s">
        <v>32615</v>
      </c>
      <c r="H3704" t="s">
        <v>14201</v>
      </c>
      <c r="I3704" t="s">
        <v>7233</v>
      </c>
      <c r="J3704" t="s">
        <v>33102</v>
      </c>
      <c r="K3704" t="s">
        <v>42631</v>
      </c>
      <c r="M3704" t="s">
        <v>44455</v>
      </c>
      <c r="N3704" t="s">
        <v>47304</v>
      </c>
      <c r="O3704" t="s">
        <v>47305</v>
      </c>
      <c r="P3704">
        <v>0</v>
      </c>
      <c r="Q3704">
        <v>0</v>
      </c>
      <c r="R3704" t="s">
        <v>47306</v>
      </c>
      <c r="S3704" t="s">
        <v>47414</v>
      </c>
      <c r="T3704" t="s">
        <v>49087</v>
      </c>
      <c r="U3704" t="s">
        <v>52730</v>
      </c>
      <c r="W3704" t="s">
        <v>44455</v>
      </c>
      <c r="X3704" t="s">
        <v>47308</v>
      </c>
    </row>
    <row r="3705" spans="1:24">
      <c r="A3705">
        <f>HYPERLINK("https://www.philgeps.gov.ph/GEPSNONPILOT/Tender/SplashBidNoticeAbstractUI.aspx?menuIndex=3&amp;refID=7196045&amp;Result=3","7196045")</f>
        <v>0</v>
      </c>
      <c r="B3705" t="s">
        <v>1462</v>
      </c>
      <c r="C3705" t="s">
        <v>7369</v>
      </c>
      <c r="D3705" t="s">
        <v>19019</v>
      </c>
      <c r="E3705" t="s">
        <v>22415</v>
      </c>
      <c r="F3705" t="s">
        <v>32606</v>
      </c>
      <c r="G3705" t="s">
        <v>32619</v>
      </c>
      <c r="H3705" t="s">
        <v>14201</v>
      </c>
      <c r="I3705" t="s">
        <v>6931</v>
      </c>
      <c r="J3705" t="s">
        <v>35282</v>
      </c>
      <c r="K3705" t="s">
        <v>42663</v>
      </c>
      <c r="M3705" t="s">
        <v>44456</v>
      </c>
      <c r="N3705" t="s">
        <v>47304</v>
      </c>
      <c r="O3705" t="s">
        <v>47305</v>
      </c>
      <c r="P3705">
        <v>0</v>
      </c>
      <c r="Q3705">
        <v>0</v>
      </c>
      <c r="R3705" t="s">
        <v>47306</v>
      </c>
      <c r="S3705" t="s">
        <v>47414</v>
      </c>
      <c r="T3705" t="s">
        <v>48998</v>
      </c>
      <c r="U3705" t="s">
        <v>52731</v>
      </c>
      <c r="W3705" t="s">
        <v>44456</v>
      </c>
      <c r="X3705" t="s">
        <v>47308</v>
      </c>
    </row>
    <row r="3706" spans="1:24">
      <c r="A3706">
        <f>HYPERLINK("https://www.philgeps.gov.ph/GEPSNONPILOT/Tender/SplashBidNoticeAbstractUI.aspx?menuIndex=3&amp;refID=7196044&amp;Result=3","7196044")</f>
        <v>0</v>
      </c>
      <c r="B3706" t="s">
        <v>30</v>
      </c>
      <c r="C3706" t="s">
        <v>7370</v>
      </c>
      <c r="D3706" t="s">
        <v>18989</v>
      </c>
      <c r="E3706" t="s">
        <v>22416</v>
      </c>
      <c r="F3706" t="s">
        <v>32606</v>
      </c>
      <c r="G3706" t="s">
        <v>32613</v>
      </c>
      <c r="H3706" t="s">
        <v>32623</v>
      </c>
      <c r="I3706" t="s">
        <v>17648</v>
      </c>
      <c r="J3706" t="s">
        <v>33231</v>
      </c>
      <c r="K3706" t="s">
        <v>42745</v>
      </c>
      <c r="M3706" t="s">
        <v>42927</v>
      </c>
      <c r="N3706" t="s">
        <v>47304</v>
      </c>
      <c r="O3706" t="s">
        <v>47305</v>
      </c>
      <c r="P3706">
        <v>0</v>
      </c>
      <c r="Q3706">
        <v>1</v>
      </c>
      <c r="R3706" t="s">
        <v>47306</v>
      </c>
      <c r="S3706" t="s">
        <v>47414</v>
      </c>
      <c r="T3706" t="s">
        <v>49169</v>
      </c>
      <c r="U3706" t="s">
        <v>52732</v>
      </c>
      <c r="W3706" t="s">
        <v>42927</v>
      </c>
      <c r="X3706" t="s">
        <v>47308</v>
      </c>
    </row>
    <row r="3707" spans="1:24">
      <c r="A3707">
        <f>HYPERLINK("https://www.philgeps.gov.ph/GEPSNONPILOT/Tender/SplashBidNoticeAbstractUI.aspx?menuIndex=3&amp;refID=7196041&amp;Result=3","7196041")</f>
        <v>0</v>
      </c>
      <c r="B3707" t="s">
        <v>233</v>
      </c>
      <c r="C3707" t="s">
        <v>7371</v>
      </c>
      <c r="D3707" t="s">
        <v>18997</v>
      </c>
      <c r="E3707" t="s">
        <v>22417</v>
      </c>
      <c r="F3707" t="s">
        <v>32606</v>
      </c>
      <c r="G3707" t="s">
        <v>32613</v>
      </c>
      <c r="H3707" t="s">
        <v>14201</v>
      </c>
      <c r="I3707" t="s">
        <v>5233</v>
      </c>
      <c r="J3707" t="s">
        <v>35283</v>
      </c>
      <c r="K3707" t="s">
        <v>42631</v>
      </c>
      <c r="M3707" t="s">
        <v>44359</v>
      </c>
      <c r="N3707" t="s">
        <v>47304</v>
      </c>
      <c r="O3707" t="s">
        <v>47305</v>
      </c>
      <c r="P3707">
        <v>0</v>
      </c>
      <c r="Q3707">
        <v>0</v>
      </c>
      <c r="R3707" t="s">
        <v>47306</v>
      </c>
      <c r="S3707" t="s">
        <v>47414</v>
      </c>
      <c r="T3707" t="s">
        <v>49023</v>
      </c>
      <c r="U3707" t="s">
        <v>52443</v>
      </c>
      <c r="V3707" t="s">
        <v>63002</v>
      </c>
      <c r="W3707" t="s">
        <v>44359</v>
      </c>
      <c r="X3707" t="s">
        <v>47308</v>
      </c>
    </row>
    <row r="3708" spans="1:24">
      <c r="A3708">
        <f>HYPERLINK("https://www.philgeps.gov.ph/GEPSNONPILOT/Tender/SplashBidNoticeAbstractUI.aspx?menuIndex=3&amp;refID=7196040&amp;Result=3","7196040")</f>
        <v>0</v>
      </c>
      <c r="B3708" t="s">
        <v>1463</v>
      </c>
      <c r="C3708" t="s">
        <v>7372</v>
      </c>
      <c r="D3708" t="s">
        <v>19037</v>
      </c>
      <c r="E3708" t="s">
        <v>22418</v>
      </c>
      <c r="F3708" t="s">
        <v>32606</v>
      </c>
      <c r="G3708" t="s">
        <v>32614</v>
      </c>
      <c r="H3708" t="s">
        <v>14201</v>
      </c>
      <c r="I3708" t="s">
        <v>32706</v>
      </c>
      <c r="J3708" t="s">
        <v>35284</v>
      </c>
      <c r="K3708" t="s">
        <v>42625</v>
      </c>
      <c r="M3708" t="s">
        <v>44457</v>
      </c>
      <c r="N3708" t="s">
        <v>47304</v>
      </c>
      <c r="O3708" t="s">
        <v>47305</v>
      </c>
      <c r="P3708">
        <v>0</v>
      </c>
      <c r="Q3708">
        <v>1</v>
      </c>
      <c r="R3708" t="s">
        <v>47306</v>
      </c>
      <c r="S3708" t="s">
        <v>47414</v>
      </c>
      <c r="T3708" t="s">
        <v>49004</v>
      </c>
      <c r="U3708" t="s">
        <v>52733</v>
      </c>
      <c r="W3708" t="s">
        <v>44457</v>
      </c>
      <c r="X3708" t="s">
        <v>47308</v>
      </c>
    </row>
    <row r="3709" spans="1:24">
      <c r="A3709">
        <f>HYPERLINK("https://www.philgeps.gov.ph/GEPSNONPILOT/Tender/SplashBidNoticeAbstractUI.aspx?menuIndex=3&amp;refID=7196038&amp;Result=3","7196038")</f>
        <v>0</v>
      </c>
      <c r="B3709" t="s">
        <v>169</v>
      </c>
      <c r="C3709" t="s">
        <v>7373</v>
      </c>
      <c r="D3709" t="s">
        <v>19010</v>
      </c>
      <c r="E3709" t="s">
        <v>22419</v>
      </c>
      <c r="F3709" t="s">
        <v>32606</v>
      </c>
      <c r="G3709" t="s">
        <v>32614</v>
      </c>
      <c r="H3709" t="s">
        <v>14201</v>
      </c>
      <c r="I3709" t="s">
        <v>7233</v>
      </c>
      <c r="J3709" t="s">
        <v>33667</v>
      </c>
      <c r="K3709" t="s">
        <v>42631</v>
      </c>
      <c r="M3709" t="s">
        <v>43070</v>
      </c>
      <c r="N3709" t="s">
        <v>47304</v>
      </c>
      <c r="O3709" t="s">
        <v>47305</v>
      </c>
      <c r="P3709">
        <v>0</v>
      </c>
      <c r="Q3709">
        <v>0</v>
      </c>
      <c r="R3709" t="s">
        <v>47306</v>
      </c>
      <c r="S3709" t="s">
        <v>47414</v>
      </c>
      <c r="T3709" t="s">
        <v>49014</v>
      </c>
      <c r="U3709" t="s">
        <v>52734</v>
      </c>
      <c r="W3709" t="s">
        <v>43070</v>
      </c>
      <c r="X3709" t="s">
        <v>47308</v>
      </c>
    </row>
    <row r="3710" spans="1:24">
      <c r="A3710">
        <f>HYPERLINK("https://www.philgeps.gov.ph/GEPSNONPILOT/Tender/SplashBidNoticeAbstractUI.aspx?menuIndex=3&amp;refID=7196037&amp;Result=3","7196037")</f>
        <v>0</v>
      </c>
      <c r="B3710" t="s">
        <v>867</v>
      </c>
      <c r="C3710" t="s">
        <v>5665</v>
      </c>
      <c r="D3710" t="s">
        <v>19040</v>
      </c>
      <c r="E3710" t="s">
        <v>22420</v>
      </c>
      <c r="F3710" t="s">
        <v>32606</v>
      </c>
      <c r="G3710" t="s">
        <v>32614</v>
      </c>
      <c r="H3710" t="s">
        <v>14201</v>
      </c>
      <c r="I3710" t="s">
        <v>7677</v>
      </c>
      <c r="J3710" t="s">
        <v>35285</v>
      </c>
      <c r="K3710" t="s">
        <v>42631</v>
      </c>
      <c r="M3710" t="s">
        <v>43801</v>
      </c>
      <c r="N3710" t="s">
        <v>47304</v>
      </c>
      <c r="O3710" t="s">
        <v>47305</v>
      </c>
      <c r="P3710">
        <v>0</v>
      </c>
      <c r="Q3710">
        <v>7</v>
      </c>
      <c r="R3710" t="s">
        <v>47306</v>
      </c>
      <c r="S3710" t="s">
        <v>47414</v>
      </c>
      <c r="T3710" t="s">
        <v>49061</v>
      </c>
      <c r="U3710" t="s">
        <v>51203</v>
      </c>
      <c r="W3710" t="s">
        <v>43801</v>
      </c>
      <c r="X3710" t="s">
        <v>47308</v>
      </c>
    </row>
    <row r="3711" spans="1:24">
      <c r="A3711">
        <f>HYPERLINK("https://www.philgeps.gov.ph/GEPSNONPILOT/Tender/SplashBidNoticeAbstractUI.aspx?menuIndex=3&amp;refID=7196026&amp;Result=3","7196026")</f>
        <v>0</v>
      </c>
      <c r="B3711" t="s">
        <v>1464</v>
      </c>
      <c r="C3711" t="s">
        <v>7374</v>
      </c>
      <c r="D3711" t="s">
        <v>19012</v>
      </c>
      <c r="E3711" t="s">
        <v>21961</v>
      </c>
      <c r="F3711" t="s">
        <v>32606</v>
      </c>
      <c r="G3711" t="s">
        <v>32617</v>
      </c>
      <c r="H3711" t="s">
        <v>14201</v>
      </c>
      <c r="I3711" t="s">
        <v>4114</v>
      </c>
      <c r="J3711" t="s">
        <v>35286</v>
      </c>
      <c r="K3711" t="s">
        <v>42622</v>
      </c>
      <c r="M3711" t="s">
        <v>44458</v>
      </c>
      <c r="N3711" t="s">
        <v>47304</v>
      </c>
      <c r="O3711" t="s">
        <v>47305</v>
      </c>
      <c r="P3711">
        <v>0</v>
      </c>
      <c r="Q3711">
        <v>4</v>
      </c>
      <c r="R3711" t="s">
        <v>47306</v>
      </c>
      <c r="S3711" t="s">
        <v>47414</v>
      </c>
      <c r="T3711" t="s">
        <v>48980</v>
      </c>
      <c r="U3711" t="s">
        <v>52735</v>
      </c>
      <c r="V3711" t="s">
        <v>63023</v>
      </c>
      <c r="W3711" t="s">
        <v>44458</v>
      </c>
      <c r="X3711" t="s">
        <v>47308</v>
      </c>
    </row>
    <row r="3712" spans="1:24">
      <c r="A3712">
        <f>HYPERLINK("https://www.philgeps.gov.ph/GEPSNONPILOT/Tender/SplashBidNoticeAbstractUI.aspx?menuIndex=3&amp;refID=7196002&amp;Result=3","7196002")</f>
        <v>0</v>
      </c>
      <c r="B3712" t="s">
        <v>302</v>
      </c>
      <c r="C3712" t="s">
        <v>7086</v>
      </c>
      <c r="D3712" t="s">
        <v>19003</v>
      </c>
      <c r="E3712" t="s">
        <v>22421</v>
      </c>
      <c r="F3712" t="s">
        <v>32606</v>
      </c>
      <c r="G3712" t="s">
        <v>32613</v>
      </c>
      <c r="H3712" t="s">
        <v>14201</v>
      </c>
      <c r="I3712" t="s">
        <v>32629</v>
      </c>
      <c r="J3712" t="s">
        <v>35287</v>
      </c>
      <c r="K3712" t="s">
        <v>42712</v>
      </c>
      <c r="M3712" t="s">
        <v>43204</v>
      </c>
      <c r="N3712" t="s">
        <v>47304</v>
      </c>
      <c r="O3712" t="s">
        <v>47305</v>
      </c>
      <c r="P3712">
        <v>0</v>
      </c>
      <c r="Q3712">
        <v>0</v>
      </c>
      <c r="R3712" t="s">
        <v>47306</v>
      </c>
      <c r="S3712" t="s">
        <v>47414</v>
      </c>
      <c r="T3712" t="s">
        <v>49082</v>
      </c>
      <c r="U3712" t="s">
        <v>52736</v>
      </c>
      <c r="V3712" t="s">
        <v>62718</v>
      </c>
      <c r="W3712" t="s">
        <v>43204</v>
      </c>
      <c r="X3712" t="s">
        <v>47308</v>
      </c>
    </row>
    <row r="3713" spans="1:24">
      <c r="A3713">
        <f>HYPERLINK("https://www.philgeps.gov.ph/GEPSNONPILOT/Tender/SplashBidNoticeAbstractUI.aspx?menuIndex=3&amp;refID=7196033&amp;Result=3","7196033")</f>
        <v>0</v>
      </c>
      <c r="B3713" t="s">
        <v>330</v>
      </c>
      <c r="C3713" t="s">
        <v>7375</v>
      </c>
      <c r="D3713" t="s">
        <v>19059</v>
      </c>
      <c r="E3713" t="s">
        <v>22422</v>
      </c>
      <c r="F3713" t="s">
        <v>32606</v>
      </c>
      <c r="G3713" t="s">
        <v>32613</v>
      </c>
      <c r="H3713" t="s">
        <v>32623</v>
      </c>
      <c r="I3713" t="s">
        <v>17648</v>
      </c>
      <c r="J3713" t="s">
        <v>35288</v>
      </c>
      <c r="K3713" t="s">
        <v>42746</v>
      </c>
      <c r="M3713" t="s">
        <v>43232</v>
      </c>
      <c r="N3713" t="s">
        <v>47304</v>
      </c>
      <c r="O3713" t="s">
        <v>47305</v>
      </c>
      <c r="P3713">
        <v>0</v>
      </c>
      <c r="Q3713">
        <v>0</v>
      </c>
      <c r="R3713" t="s">
        <v>47306</v>
      </c>
      <c r="S3713" t="s">
        <v>47414</v>
      </c>
      <c r="T3713" t="s">
        <v>48976</v>
      </c>
      <c r="U3713" t="s">
        <v>52737</v>
      </c>
      <c r="V3713" t="s">
        <v>63024</v>
      </c>
      <c r="W3713" t="s">
        <v>43232</v>
      </c>
      <c r="X3713" t="s">
        <v>47308</v>
      </c>
    </row>
    <row r="3714" spans="1:24">
      <c r="A3714">
        <f>HYPERLINK("https://www.philgeps.gov.ph/GEPSNONPILOT/Tender/SplashBidNoticeAbstractUI.aspx?menuIndex=3&amp;refID=7196024&amp;Result=3","7196024")</f>
        <v>0</v>
      </c>
      <c r="B3714" t="s">
        <v>1465</v>
      </c>
      <c r="C3714" t="s">
        <v>7376</v>
      </c>
      <c r="D3714" t="s">
        <v>18991</v>
      </c>
      <c r="E3714" t="s">
        <v>22423</v>
      </c>
      <c r="F3714" t="s">
        <v>32606</v>
      </c>
      <c r="G3714" t="s">
        <v>32614</v>
      </c>
      <c r="H3714" t="s">
        <v>14201</v>
      </c>
      <c r="I3714" t="s">
        <v>32640</v>
      </c>
      <c r="J3714" t="s">
        <v>35289</v>
      </c>
      <c r="K3714" t="s">
        <v>42631</v>
      </c>
      <c r="M3714" t="s">
        <v>44459</v>
      </c>
      <c r="N3714" t="s">
        <v>47304</v>
      </c>
      <c r="O3714" t="s">
        <v>47305</v>
      </c>
      <c r="P3714">
        <v>0</v>
      </c>
      <c r="Q3714">
        <v>8</v>
      </c>
      <c r="R3714" t="s">
        <v>47306</v>
      </c>
      <c r="S3714" t="s">
        <v>47414</v>
      </c>
      <c r="T3714" t="s">
        <v>48980</v>
      </c>
      <c r="U3714" t="s">
        <v>52738</v>
      </c>
      <c r="W3714" t="s">
        <v>44459</v>
      </c>
      <c r="X3714" t="s">
        <v>47308</v>
      </c>
    </row>
    <row r="3715" spans="1:24">
      <c r="A3715">
        <f>HYPERLINK("https://www.philgeps.gov.ph/GEPSNONPILOT/Tender/SplashBidNoticeAbstractUI.aspx?menuIndex=3&amp;refID=7196022&amp;Result=3","7196022")</f>
        <v>0</v>
      </c>
      <c r="B3715" t="s">
        <v>81</v>
      </c>
      <c r="C3715" t="s">
        <v>7377</v>
      </c>
      <c r="D3715" t="s">
        <v>18995</v>
      </c>
      <c r="E3715" t="s">
        <v>22424</v>
      </c>
      <c r="F3715" t="s">
        <v>32606</v>
      </c>
      <c r="G3715" t="s">
        <v>32614</v>
      </c>
      <c r="H3715" t="s">
        <v>14201</v>
      </c>
      <c r="I3715" t="s">
        <v>4112</v>
      </c>
      <c r="J3715" t="s">
        <v>35290</v>
      </c>
      <c r="K3715" t="s">
        <v>42624</v>
      </c>
      <c r="M3715" t="s">
        <v>42978</v>
      </c>
      <c r="N3715" t="s">
        <v>47304</v>
      </c>
      <c r="O3715" t="s">
        <v>47305</v>
      </c>
      <c r="P3715">
        <v>0</v>
      </c>
      <c r="Q3715">
        <v>0</v>
      </c>
      <c r="R3715" t="s">
        <v>47306</v>
      </c>
      <c r="S3715" t="s">
        <v>47414</v>
      </c>
      <c r="T3715" t="s">
        <v>49014</v>
      </c>
      <c r="U3715" t="s">
        <v>52739</v>
      </c>
      <c r="W3715" t="s">
        <v>42978</v>
      </c>
      <c r="X3715" t="s">
        <v>47308</v>
      </c>
    </row>
    <row r="3716" spans="1:24">
      <c r="A3716">
        <f>HYPERLINK("https://www.philgeps.gov.ph/GEPSNONPILOT/Tender/SplashBidNoticeAbstractUI.aspx?menuIndex=3&amp;refID=7196019&amp;Result=3","7196019")</f>
        <v>0</v>
      </c>
      <c r="B3716" t="s">
        <v>1456</v>
      </c>
      <c r="C3716" t="s">
        <v>7378</v>
      </c>
      <c r="D3716" t="s">
        <v>19014</v>
      </c>
      <c r="E3716" t="s">
        <v>22425</v>
      </c>
      <c r="F3716" t="s">
        <v>32606</v>
      </c>
      <c r="G3716" t="s">
        <v>32617</v>
      </c>
      <c r="H3716" t="s">
        <v>14201</v>
      </c>
      <c r="I3716" t="s">
        <v>8682</v>
      </c>
      <c r="J3716" t="s">
        <v>35291</v>
      </c>
      <c r="K3716" t="s">
        <v>42624</v>
      </c>
      <c r="M3716" t="s">
        <v>44447</v>
      </c>
      <c r="N3716" t="s">
        <v>47304</v>
      </c>
      <c r="O3716" t="s">
        <v>47305</v>
      </c>
      <c r="P3716">
        <v>0</v>
      </c>
      <c r="Q3716">
        <v>1</v>
      </c>
      <c r="R3716" t="s">
        <v>47306</v>
      </c>
      <c r="S3716" t="s">
        <v>47414</v>
      </c>
      <c r="T3716" t="s">
        <v>49004</v>
      </c>
      <c r="U3716" t="s">
        <v>52740</v>
      </c>
      <c r="W3716" t="s">
        <v>44447</v>
      </c>
      <c r="X3716" t="s">
        <v>47308</v>
      </c>
    </row>
    <row r="3717" spans="1:24">
      <c r="A3717">
        <f>HYPERLINK("https://www.philgeps.gov.ph/GEPSNONPILOT/Tender/SplashBidNoticeAbstractUI.aspx?menuIndex=3&amp;refID=7196021&amp;Result=3","7196021")</f>
        <v>0</v>
      </c>
      <c r="B3717" t="s">
        <v>1064</v>
      </c>
      <c r="C3717" t="s">
        <v>7379</v>
      </c>
      <c r="D3717" t="s">
        <v>19013</v>
      </c>
      <c r="E3717" t="s">
        <v>22426</v>
      </c>
      <c r="F3717" t="s">
        <v>32606</v>
      </c>
      <c r="G3717" t="s">
        <v>32614</v>
      </c>
      <c r="H3717" t="s">
        <v>14201</v>
      </c>
      <c r="I3717" t="s">
        <v>4369</v>
      </c>
      <c r="J3717" t="s">
        <v>35292</v>
      </c>
      <c r="K3717" t="s">
        <v>42624</v>
      </c>
      <c r="M3717" t="s">
        <v>44017</v>
      </c>
      <c r="N3717" t="s">
        <v>47304</v>
      </c>
      <c r="O3717" t="s">
        <v>47305</v>
      </c>
      <c r="P3717">
        <v>0</v>
      </c>
      <c r="Q3717">
        <v>2</v>
      </c>
      <c r="R3717" t="s">
        <v>47306</v>
      </c>
      <c r="S3717" t="s">
        <v>47414</v>
      </c>
      <c r="T3717" t="s">
        <v>48980</v>
      </c>
      <c r="U3717" t="s">
        <v>51694</v>
      </c>
      <c r="W3717" t="s">
        <v>44017</v>
      </c>
      <c r="X3717" t="s">
        <v>47308</v>
      </c>
    </row>
    <row r="3718" spans="1:24">
      <c r="A3718">
        <f>HYPERLINK("https://www.philgeps.gov.ph/GEPSNONPILOT/Tender/SplashBidNoticeAbstractUI.aspx?menuIndex=3&amp;refID=7195968&amp;Result=3","7195968")</f>
        <v>0</v>
      </c>
      <c r="B3718" t="s">
        <v>1466</v>
      </c>
      <c r="C3718" t="s">
        <v>7380</v>
      </c>
      <c r="D3718" t="s">
        <v>18988</v>
      </c>
      <c r="E3718" t="s">
        <v>19233</v>
      </c>
      <c r="F3718" t="s">
        <v>32606</v>
      </c>
      <c r="G3718" t="s">
        <v>32614</v>
      </c>
      <c r="H3718" t="s">
        <v>14201</v>
      </c>
      <c r="I3718" t="s">
        <v>4114</v>
      </c>
      <c r="J3718" t="s">
        <v>32967</v>
      </c>
      <c r="K3718" t="s">
        <v>42624</v>
      </c>
      <c r="M3718" t="s">
        <v>44460</v>
      </c>
      <c r="N3718" t="s">
        <v>47304</v>
      </c>
      <c r="O3718" t="s">
        <v>47305</v>
      </c>
      <c r="P3718">
        <v>0</v>
      </c>
      <c r="Q3718">
        <v>2</v>
      </c>
      <c r="R3718" t="s">
        <v>47306</v>
      </c>
      <c r="S3718" t="s">
        <v>47414</v>
      </c>
      <c r="T3718" t="s">
        <v>49117</v>
      </c>
      <c r="U3718" t="s">
        <v>52741</v>
      </c>
      <c r="W3718" t="s">
        <v>44460</v>
      </c>
      <c r="X3718" t="s">
        <v>47308</v>
      </c>
    </row>
    <row r="3719" spans="1:24">
      <c r="A3719">
        <f>HYPERLINK("https://www.philgeps.gov.ph/GEPSNONPILOT/Tender/SplashBidNoticeAbstractUI.aspx?menuIndex=3&amp;refID=7196032&amp;Result=3","7196032")</f>
        <v>0</v>
      </c>
      <c r="B3719" t="s">
        <v>1467</v>
      </c>
      <c r="C3719" t="s">
        <v>7381</v>
      </c>
      <c r="D3719" t="s">
        <v>19005</v>
      </c>
      <c r="E3719" t="s">
        <v>22427</v>
      </c>
      <c r="F3719" t="s">
        <v>32606</v>
      </c>
      <c r="G3719" t="s">
        <v>32619</v>
      </c>
      <c r="H3719" t="s">
        <v>14201</v>
      </c>
      <c r="I3719" t="s">
        <v>4120</v>
      </c>
      <c r="J3719" t="s">
        <v>35293</v>
      </c>
      <c r="K3719" t="s">
        <v>42624</v>
      </c>
      <c r="M3719" t="s">
        <v>44461</v>
      </c>
      <c r="N3719" t="s">
        <v>47304</v>
      </c>
      <c r="O3719" t="s">
        <v>47305</v>
      </c>
      <c r="P3719">
        <v>0</v>
      </c>
      <c r="Q3719">
        <v>0</v>
      </c>
      <c r="R3719" t="s">
        <v>47306</v>
      </c>
      <c r="S3719" t="s">
        <v>47414</v>
      </c>
      <c r="T3719" t="s">
        <v>49269</v>
      </c>
      <c r="U3719" t="s">
        <v>52742</v>
      </c>
      <c r="W3719" t="s">
        <v>44461</v>
      </c>
      <c r="X3719" t="s">
        <v>47308</v>
      </c>
    </row>
    <row r="3720" spans="1:24">
      <c r="A3720">
        <f>HYPERLINK("https://www.philgeps.gov.ph/GEPSNONPILOT/Tender/SplashBidNoticeAbstractUI.aspx?menuIndex=3&amp;refID=7196051&amp;Result=3","7196051")</f>
        <v>0</v>
      </c>
      <c r="B3720" t="s">
        <v>1468</v>
      </c>
      <c r="C3720" t="s">
        <v>7382</v>
      </c>
      <c r="D3720" t="s">
        <v>19046</v>
      </c>
      <c r="E3720" t="s">
        <v>20606</v>
      </c>
      <c r="F3720" t="s">
        <v>32606</v>
      </c>
      <c r="G3720" t="s">
        <v>32613</v>
      </c>
      <c r="H3720" t="s">
        <v>32623</v>
      </c>
      <c r="I3720" t="s">
        <v>17648</v>
      </c>
      <c r="J3720" t="s">
        <v>35294</v>
      </c>
      <c r="K3720" t="s">
        <v>42636</v>
      </c>
      <c r="M3720" t="s">
        <v>44462</v>
      </c>
      <c r="N3720" t="s">
        <v>47304</v>
      </c>
      <c r="O3720" t="s">
        <v>47305</v>
      </c>
      <c r="P3720">
        <v>0</v>
      </c>
      <c r="Q3720">
        <v>0</v>
      </c>
      <c r="R3720" t="s">
        <v>47306</v>
      </c>
      <c r="S3720" t="s">
        <v>47414</v>
      </c>
      <c r="T3720" t="s">
        <v>49016</v>
      </c>
      <c r="U3720" t="s">
        <v>52743</v>
      </c>
      <c r="W3720" t="s">
        <v>44462</v>
      </c>
      <c r="X3720" t="s">
        <v>47308</v>
      </c>
    </row>
    <row r="3721" spans="1:24">
      <c r="A3721">
        <f>HYPERLINK("https://www.philgeps.gov.ph/GEPSNONPILOT/Tender/SplashBidNoticeAbstractUI.aspx?menuIndex=3&amp;refID=7196064&amp;Result=3","7196064")</f>
        <v>0</v>
      </c>
      <c r="B3721" t="s">
        <v>848</v>
      </c>
      <c r="C3721" t="s">
        <v>7383</v>
      </c>
      <c r="D3721" t="s">
        <v>19063</v>
      </c>
      <c r="E3721" t="s">
        <v>22428</v>
      </c>
      <c r="F3721" t="s">
        <v>32606</v>
      </c>
      <c r="G3721" t="s">
        <v>32613</v>
      </c>
      <c r="H3721" t="s">
        <v>14201</v>
      </c>
      <c r="I3721" t="s">
        <v>32641</v>
      </c>
      <c r="J3721" t="s">
        <v>33274</v>
      </c>
      <c r="K3721" t="s">
        <v>42639</v>
      </c>
      <c r="M3721" t="s">
        <v>43780</v>
      </c>
      <c r="N3721" t="s">
        <v>47304</v>
      </c>
      <c r="O3721" t="s">
        <v>47305</v>
      </c>
      <c r="P3721">
        <v>0</v>
      </c>
      <c r="Q3721">
        <v>0</v>
      </c>
      <c r="R3721" t="s">
        <v>47306</v>
      </c>
      <c r="S3721" t="s">
        <v>47414</v>
      </c>
      <c r="T3721" t="s">
        <v>49009</v>
      </c>
      <c r="U3721" t="s">
        <v>52744</v>
      </c>
      <c r="W3721" t="s">
        <v>43780</v>
      </c>
      <c r="X3721" t="s">
        <v>47308</v>
      </c>
    </row>
    <row r="3722" spans="1:24">
      <c r="A3722">
        <f>HYPERLINK("https://www.philgeps.gov.ph/GEPSNONPILOT/Tender/SplashBidNoticeAbstractUI.aspx?menuIndex=3&amp;refID=7196060&amp;Result=3","7196060")</f>
        <v>0</v>
      </c>
      <c r="B3722" t="s">
        <v>1413</v>
      </c>
      <c r="C3722" t="s">
        <v>7384</v>
      </c>
      <c r="D3722" t="s">
        <v>19055</v>
      </c>
      <c r="E3722" t="s">
        <v>22429</v>
      </c>
      <c r="F3722" t="s">
        <v>32606</v>
      </c>
      <c r="G3722" t="s">
        <v>32614</v>
      </c>
      <c r="H3722" t="s">
        <v>14201</v>
      </c>
      <c r="I3722" t="s">
        <v>6931</v>
      </c>
      <c r="J3722" t="s">
        <v>35295</v>
      </c>
      <c r="K3722" t="s">
        <v>42631</v>
      </c>
      <c r="M3722" t="s">
        <v>44401</v>
      </c>
      <c r="N3722" t="s">
        <v>47304</v>
      </c>
      <c r="O3722" t="s">
        <v>47305</v>
      </c>
      <c r="P3722">
        <v>0</v>
      </c>
      <c r="Q3722">
        <v>0</v>
      </c>
      <c r="R3722" t="s">
        <v>47306</v>
      </c>
      <c r="S3722" t="s">
        <v>47414</v>
      </c>
      <c r="T3722" t="s">
        <v>48977</v>
      </c>
      <c r="U3722" t="s">
        <v>52745</v>
      </c>
      <c r="W3722" t="s">
        <v>44401</v>
      </c>
      <c r="X3722" t="s">
        <v>47308</v>
      </c>
    </row>
    <row r="3723" spans="1:24">
      <c r="A3723">
        <f>HYPERLINK("https://www.philgeps.gov.ph/GEPSNONPILOT/Tender/SplashBidNoticeAbstractUI.aspx?menuIndex=3&amp;refID=7196057&amp;Result=3","7196057")</f>
        <v>0</v>
      </c>
      <c r="B3723" t="s">
        <v>787</v>
      </c>
      <c r="C3723" t="s">
        <v>7385</v>
      </c>
      <c r="D3723" t="s">
        <v>18995</v>
      </c>
      <c r="E3723" t="s">
        <v>22430</v>
      </c>
      <c r="F3723" t="s">
        <v>32606</v>
      </c>
      <c r="G3723" t="s">
        <v>32613</v>
      </c>
      <c r="H3723" t="s">
        <v>32623</v>
      </c>
      <c r="I3723" t="s">
        <v>17648</v>
      </c>
      <c r="J3723" t="s">
        <v>35296</v>
      </c>
      <c r="K3723" t="s">
        <v>42631</v>
      </c>
      <c r="M3723" t="s">
        <v>43718</v>
      </c>
      <c r="N3723" t="s">
        <v>47304</v>
      </c>
      <c r="O3723" t="s">
        <v>47305</v>
      </c>
      <c r="P3723">
        <v>0</v>
      </c>
      <c r="Q3723">
        <v>1</v>
      </c>
      <c r="R3723" t="s">
        <v>47306</v>
      </c>
      <c r="S3723" t="s">
        <v>47414</v>
      </c>
      <c r="T3723" t="s">
        <v>49017</v>
      </c>
      <c r="U3723" t="s">
        <v>52746</v>
      </c>
      <c r="W3723" t="s">
        <v>43718</v>
      </c>
      <c r="X3723" t="s">
        <v>47308</v>
      </c>
    </row>
    <row r="3724" spans="1:24">
      <c r="A3724">
        <f>HYPERLINK("https://www.philgeps.gov.ph/GEPSNONPILOT/Tender/SplashBidNoticeAbstractUI.aspx?menuIndex=3&amp;refID=7196056&amp;Result=3","7196056")</f>
        <v>0</v>
      </c>
      <c r="B3724" t="s">
        <v>330</v>
      </c>
      <c r="C3724" t="s">
        <v>7386</v>
      </c>
      <c r="D3724" t="s">
        <v>19059</v>
      </c>
      <c r="E3724" t="s">
        <v>22431</v>
      </c>
      <c r="F3724" t="s">
        <v>32606</v>
      </c>
      <c r="G3724" t="s">
        <v>32613</v>
      </c>
      <c r="H3724" t="s">
        <v>32623</v>
      </c>
      <c r="I3724" t="s">
        <v>17648</v>
      </c>
      <c r="J3724" t="s">
        <v>35297</v>
      </c>
      <c r="K3724" t="s">
        <v>42747</v>
      </c>
      <c r="M3724" t="s">
        <v>43232</v>
      </c>
      <c r="N3724" t="s">
        <v>47304</v>
      </c>
      <c r="O3724" t="s">
        <v>47305</v>
      </c>
      <c r="P3724">
        <v>0</v>
      </c>
      <c r="Q3724">
        <v>0</v>
      </c>
      <c r="R3724" t="s">
        <v>47306</v>
      </c>
      <c r="S3724" t="s">
        <v>47414</v>
      </c>
      <c r="T3724" t="s">
        <v>48976</v>
      </c>
      <c r="U3724" t="s">
        <v>52747</v>
      </c>
      <c r="V3724" t="s">
        <v>63025</v>
      </c>
      <c r="W3724" t="s">
        <v>43232</v>
      </c>
      <c r="X3724" t="s">
        <v>47308</v>
      </c>
    </row>
    <row r="3725" spans="1:24">
      <c r="A3725">
        <f>HYPERLINK("https://www.philgeps.gov.ph/GEPSNONPILOT/Tender/SplashBidNoticeAbstractUI.aspx?menuIndex=3&amp;refID=7196055&amp;Result=3","7196055")</f>
        <v>0</v>
      </c>
      <c r="B3725" t="s">
        <v>529</v>
      </c>
      <c r="C3725" t="s">
        <v>7387</v>
      </c>
      <c r="D3725" t="s">
        <v>19063</v>
      </c>
      <c r="E3725" t="s">
        <v>22432</v>
      </c>
      <c r="F3725" t="s">
        <v>32606</v>
      </c>
      <c r="G3725" t="s">
        <v>32614</v>
      </c>
      <c r="H3725" t="s">
        <v>14201</v>
      </c>
      <c r="I3725" t="s">
        <v>32646</v>
      </c>
      <c r="J3725" t="s">
        <v>35298</v>
      </c>
      <c r="K3725" t="s">
        <v>42630</v>
      </c>
      <c r="M3725" t="s">
        <v>43442</v>
      </c>
      <c r="N3725" t="s">
        <v>47304</v>
      </c>
      <c r="O3725" t="s">
        <v>47305</v>
      </c>
      <c r="P3725">
        <v>0</v>
      </c>
      <c r="Q3725">
        <v>0</v>
      </c>
      <c r="R3725" t="s">
        <v>47306</v>
      </c>
      <c r="S3725" t="s">
        <v>47414</v>
      </c>
      <c r="T3725" t="s">
        <v>48980</v>
      </c>
      <c r="U3725" t="s">
        <v>52748</v>
      </c>
      <c r="W3725" t="s">
        <v>43442</v>
      </c>
      <c r="X3725" t="s">
        <v>47308</v>
      </c>
    </row>
    <row r="3726" spans="1:24">
      <c r="A3726">
        <f>HYPERLINK("https://www.philgeps.gov.ph/GEPSNONPILOT/Tender/SplashBidNoticeAbstractUI.aspx?menuIndex=3&amp;refID=7196062&amp;Result=3","7196062")</f>
        <v>0</v>
      </c>
      <c r="B3726" t="s">
        <v>1456</v>
      </c>
      <c r="C3726" t="s">
        <v>7388</v>
      </c>
      <c r="D3726" t="s">
        <v>19014</v>
      </c>
      <c r="E3726" t="s">
        <v>22433</v>
      </c>
      <c r="F3726" t="s">
        <v>32606</v>
      </c>
      <c r="G3726" t="s">
        <v>32617</v>
      </c>
      <c r="H3726" t="s">
        <v>14201</v>
      </c>
      <c r="I3726" t="s">
        <v>4678</v>
      </c>
      <c r="J3726" t="s">
        <v>32981</v>
      </c>
      <c r="K3726" t="s">
        <v>42624</v>
      </c>
      <c r="M3726" t="s">
        <v>44447</v>
      </c>
      <c r="N3726" t="s">
        <v>47304</v>
      </c>
      <c r="O3726" t="s">
        <v>47305</v>
      </c>
      <c r="P3726">
        <v>0</v>
      </c>
      <c r="Q3726">
        <v>0</v>
      </c>
      <c r="R3726" t="s">
        <v>47306</v>
      </c>
      <c r="S3726" t="s">
        <v>47414</v>
      </c>
      <c r="T3726" t="s">
        <v>49004</v>
      </c>
      <c r="U3726" t="s">
        <v>52749</v>
      </c>
      <c r="W3726" t="s">
        <v>44447</v>
      </c>
      <c r="X3726" t="s">
        <v>47308</v>
      </c>
    </row>
    <row r="3727" spans="1:24">
      <c r="A3727">
        <f>HYPERLINK("https://www.philgeps.gov.ph/GEPSNONPILOT/Tender/SplashBidNoticeAbstractUI.aspx?menuIndex=3&amp;refID=7196059&amp;Result=3","7196059")</f>
        <v>0</v>
      </c>
      <c r="B3727" t="s">
        <v>1081</v>
      </c>
      <c r="C3727" t="s">
        <v>7389</v>
      </c>
      <c r="D3727" t="s">
        <v>19039</v>
      </c>
      <c r="E3727" t="s">
        <v>22434</v>
      </c>
      <c r="F3727" t="s">
        <v>32606</v>
      </c>
      <c r="G3727" t="s">
        <v>32614</v>
      </c>
      <c r="H3727" t="s">
        <v>14201</v>
      </c>
      <c r="I3727" t="s">
        <v>4120</v>
      </c>
      <c r="J3727" t="s">
        <v>35299</v>
      </c>
      <c r="K3727" t="s">
        <v>42624</v>
      </c>
      <c r="M3727" t="s">
        <v>44034</v>
      </c>
      <c r="N3727" t="s">
        <v>47304</v>
      </c>
      <c r="O3727" t="s">
        <v>47305</v>
      </c>
      <c r="P3727">
        <v>0</v>
      </c>
      <c r="Q3727">
        <v>0</v>
      </c>
      <c r="R3727" t="s">
        <v>47306</v>
      </c>
      <c r="S3727" t="s">
        <v>47414</v>
      </c>
      <c r="T3727" t="s">
        <v>48979</v>
      </c>
      <c r="U3727" t="s">
        <v>52750</v>
      </c>
      <c r="W3727" t="s">
        <v>44034</v>
      </c>
      <c r="X3727" t="s">
        <v>47308</v>
      </c>
    </row>
    <row r="3728" spans="1:24">
      <c r="A3728">
        <f>HYPERLINK("https://www.philgeps.gov.ph/GEPSNONPILOT/Tender/SplashBidNoticeAbstractUI.aspx?menuIndex=3&amp;refID=7196076&amp;Result=3","7196076")</f>
        <v>0</v>
      </c>
      <c r="B3728" t="s">
        <v>1469</v>
      </c>
      <c r="C3728" t="s">
        <v>3971</v>
      </c>
      <c r="D3728" t="s">
        <v>19018</v>
      </c>
      <c r="E3728" t="s">
        <v>19847</v>
      </c>
      <c r="F3728" t="s">
        <v>32606</v>
      </c>
      <c r="G3728" t="s">
        <v>32617</v>
      </c>
      <c r="H3728" t="s">
        <v>14201</v>
      </c>
      <c r="I3728" t="s">
        <v>4114</v>
      </c>
      <c r="J3728" t="s">
        <v>33257</v>
      </c>
      <c r="K3728" t="s">
        <v>42624</v>
      </c>
      <c r="M3728" t="s">
        <v>44463</v>
      </c>
      <c r="N3728" t="s">
        <v>47304</v>
      </c>
      <c r="O3728" t="s">
        <v>47305</v>
      </c>
      <c r="P3728">
        <v>0</v>
      </c>
      <c r="Q3728">
        <v>0</v>
      </c>
      <c r="R3728" t="s">
        <v>47306</v>
      </c>
      <c r="S3728" t="s">
        <v>47414</v>
      </c>
      <c r="T3728" t="s">
        <v>49014</v>
      </c>
      <c r="U3728" t="s">
        <v>52592</v>
      </c>
      <c r="W3728" t="s">
        <v>44463</v>
      </c>
      <c r="X3728" t="s">
        <v>47308</v>
      </c>
    </row>
    <row r="3729" spans="1:24">
      <c r="A3729">
        <f>HYPERLINK("https://www.philgeps.gov.ph/GEPSNONPILOT/Tender/SplashBidNoticeAbstractUI.aspx?menuIndex=3&amp;refID=7196075&amp;Result=3","7196075")</f>
        <v>0</v>
      </c>
      <c r="B3729" t="s">
        <v>1470</v>
      </c>
      <c r="C3729" t="s">
        <v>7390</v>
      </c>
      <c r="D3729" t="s">
        <v>18988</v>
      </c>
      <c r="E3729" t="s">
        <v>22435</v>
      </c>
      <c r="F3729" t="s">
        <v>32606</v>
      </c>
      <c r="G3729" t="s">
        <v>32619</v>
      </c>
      <c r="H3729" t="s">
        <v>14201</v>
      </c>
      <c r="I3729" t="s">
        <v>32626</v>
      </c>
      <c r="J3729" t="s">
        <v>35300</v>
      </c>
      <c r="K3729" t="s">
        <v>42631</v>
      </c>
      <c r="M3729" t="s">
        <v>44464</v>
      </c>
      <c r="N3729" t="s">
        <v>47304</v>
      </c>
      <c r="O3729" t="s">
        <v>47305</v>
      </c>
      <c r="P3729">
        <v>0</v>
      </c>
      <c r="Q3729">
        <v>9</v>
      </c>
      <c r="R3729" t="s">
        <v>47306</v>
      </c>
      <c r="S3729" t="s">
        <v>47414</v>
      </c>
      <c r="T3729" t="s">
        <v>48982</v>
      </c>
      <c r="U3729" t="s">
        <v>52751</v>
      </c>
      <c r="W3729" t="s">
        <v>44464</v>
      </c>
      <c r="X3729" t="s">
        <v>47308</v>
      </c>
    </row>
    <row r="3730" spans="1:24">
      <c r="A3730">
        <f>HYPERLINK("https://www.philgeps.gov.ph/GEPSNONPILOT/Tender/SplashBidNoticeAbstractUI.aspx?menuIndex=3&amp;refID=7196073&amp;Result=3","7196073")</f>
        <v>0</v>
      </c>
      <c r="B3730" t="s">
        <v>233</v>
      </c>
      <c r="C3730" t="s">
        <v>7391</v>
      </c>
      <c r="D3730" t="s">
        <v>18997</v>
      </c>
      <c r="E3730" t="s">
        <v>22436</v>
      </c>
      <c r="F3730" t="s">
        <v>32606</v>
      </c>
      <c r="G3730" t="s">
        <v>32613</v>
      </c>
      <c r="H3730" t="s">
        <v>14201</v>
      </c>
      <c r="I3730" t="s">
        <v>8606</v>
      </c>
      <c r="J3730" t="s">
        <v>32973</v>
      </c>
      <c r="K3730" t="s">
        <v>42631</v>
      </c>
      <c r="M3730" t="s">
        <v>44359</v>
      </c>
      <c r="N3730" t="s">
        <v>47304</v>
      </c>
      <c r="O3730" t="s">
        <v>47305</v>
      </c>
      <c r="P3730">
        <v>0</v>
      </c>
      <c r="Q3730">
        <v>0</v>
      </c>
      <c r="R3730" t="s">
        <v>47306</v>
      </c>
      <c r="S3730" t="s">
        <v>47414</v>
      </c>
      <c r="T3730" t="s">
        <v>49023</v>
      </c>
      <c r="U3730" t="s">
        <v>52443</v>
      </c>
      <c r="V3730" t="s">
        <v>63002</v>
      </c>
      <c r="W3730" t="s">
        <v>44359</v>
      </c>
      <c r="X3730" t="s">
        <v>47308</v>
      </c>
    </row>
    <row r="3731" spans="1:24">
      <c r="A3731">
        <f>HYPERLINK("https://www.philgeps.gov.ph/GEPSNONPILOT/Tender/SplashBidNoticeAbstractUI.aspx?menuIndex=3&amp;refID=7196052&amp;Result=3","7196052")</f>
        <v>0</v>
      </c>
      <c r="B3731" t="s">
        <v>1459</v>
      </c>
      <c r="C3731" t="s">
        <v>7392</v>
      </c>
      <c r="D3731" t="s">
        <v>18993</v>
      </c>
      <c r="E3731" t="s">
        <v>19847</v>
      </c>
      <c r="F3731" t="s">
        <v>32606</v>
      </c>
      <c r="G3731" t="s">
        <v>32614</v>
      </c>
      <c r="H3731" t="s">
        <v>32623</v>
      </c>
      <c r="I3731" t="s">
        <v>9013</v>
      </c>
      <c r="J3731" t="s">
        <v>35301</v>
      </c>
      <c r="K3731" t="s">
        <v>42629</v>
      </c>
      <c r="M3731" t="s">
        <v>44452</v>
      </c>
      <c r="N3731" t="s">
        <v>47304</v>
      </c>
      <c r="O3731" t="s">
        <v>47305</v>
      </c>
      <c r="P3731">
        <v>0</v>
      </c>
      <c r="Q3731">
        <v>6</v>
      </c>
      <c r="R3731" t="s">
        <v>47306</v>
      </c>
      <c r="S3731" t="s">
        <v>47414</v>
      </c>
      <c r="T3731" t="s">
        <v>48979</v>
      </c>
      <c r="U3731" t="s">
        <v>52752</v>
      </c>
      <c r="W3731" t="s">
        <v>44452</v>
      </c>
      <c r="X3731" t="s">
        <v>47308</v>
      </c>
    </row>
    <row r="3732" spans="1:24">
      <c r="A3732">
        <f>HYPERLINK("https://www.philgeps.gov.ph/GEPSNONPILOT/Tender/SplashBidNoticeAbstractUI.aspx?menuIndex=3&amp;refID=7196072&amp;Result=3","7196072")</f>
        <v>0</v>
      </c>
      <c r="B3732" t="s">
        <v>839</v>
      </c>
      <c r="C3732" t="s">
        <v>7393</v>
      </c>
      <c r="D3732" t="s">
        <v>19011</v>
      </c>
      <c r="E3732" t="s">
        <v>22437</v>
      </c>
      <c r="F3732" t="s">
        <v>32606</v>
      </c>
      <c r="G3732" t="s">
        <v>32614</v>
      </c>
      <c r="H3732" t="s">
        <v>14201</v>
      </c>
      <c r="I3732" t="s">
        <v>32635</v>
      </c>
      <c r="J3732" t="s">
        <v>35302</v>
      </c>
      <c r="K3732" t="s">
        <v>42631</v>
      </c>
      <c r="M3732" t="s">
        <v>43771</v>
      </c>
      <c r="N3732" t="s">
        <v>47304</v>
      </c>
      <c r="O3732" t="s">
        <v>47305</v>
      </c>
      <c r="P3732">
        <v>0</v>
      </c>
      <c r="Q3732">
        <v>0</v>
      </c>
      <c r="R3732" t="s">
        <v>47306</v>
      </c>
      <c r="S3732" t="s">
        <v>47414</v>
      </c>
      <c r="T3732" t="s">
        <v>49042</v>
      </c>
      <c r="U3732" t="s">
        <v>51118</v>
      </c>
      <c r="W3732" t="s">
        <v>43771</v>
      </c>
      <c r="X3732" t="s">
        <v>47308</v>
      </c>
    </row>
    <row r="3733" spans="1:24">
      <c r="A3733">
        <f>HYPERLINK("https://www.philgeps.gov.ph/GEPSNONPILOT/Tender/SplashBidNoticeAbstractUI.aspx?menuIndex=3&amp;refID=7196068&amp;Result=3","7196068")</f>
        <v>0</v>
      </c>
      <c r="B3733" t="s">
        <v>1471</v>
      </c>
      <c r="C3733" t="s">
        <v>7394</v>
      </c>
      <c r="D3733" t="s">
        <v>19010</v>
      </c>
      <c r="E3733" t="s">
        <v>22438</v>
      </c>
      <c r="F3733" t="s">
        <v>32606</v>
      </c>
      <c r="G3733" t="s">
        <v>32613</v>
      </c>
      <c r="H3733" t="s">
        <v>14201</v>
      </c>
      <c r="I3733" t="s">
        <v>6931</v>
      </c>
      <c r="J3733" t="s">
        <v>35303</v>
      </c>
      <c r="K3733" t="s">
        <v>42630</v>
      </c>
      <c r="M3733" t="s">
        <v>44465</v>
      </c>
      <c r="N3733" t="s">
        <v>47304</v>
      </c>
      <c r="O3733" t="s">
        <v>47305</v>
      </c>
      <c r="P3733">
        <v>0</v>
      </c>
      <c r="Q3733">
        <v>0</v>
      </c>
      <c r="R3733" t="s">
        <v>47306</v>
      </c>
      <c r="S3733" t="s">
        <v>47414</v>
      </c>
      <c r="T3733" t="s">
        <v>49073</v>
      </c>
      <c r="U3733" t="s">
        <v>52753</v>
      </c>
      <c r="V3733" t="s">
        <v>63026</v>
      </c>
      <c r="W3733" t="s">
        <v>44465</v>
      </c>
      <c r="X3733" t="s">
        <v>47308</v>
      </c>
    </row>
    <row r="3734" spans="1:24">
      <c r="A3734">
        <f>HYPERLINK("https://www.philgeps.gov.ph/GEPSNONPILOT/Tender/SplashBidNoticeAbstractUI.aspx?menuIndex=3&amp;refID=7196066&amp;Result=3","7196066")</f>
        <v>0</v>
      </c>
      <c r="B3734" t="s">
        <v>1472</v>
      </c>
      <c r="C3734" t="s">
        <v>7395</v>
      </c>
      <c r="D3734" t="s">
        <v>19022</v>
      </c>
      <c r="E3734" t="s">
        <v>22439</v>
      </c>
      <c r="F3734" t="s">
        <v>32606</v>
      </c>
      <c r="G3734" t="s">
        <v>32614</v>
      </c>
      <c r="H3734" t="s">
        <v>14201</v>
      </c>
      <c r="I3734" t="s">
        <v>4678</v>
      </c>
      <c r="J3734" t="s">
        <v>35304</v>
      </c>
      <c r="K3734" t="s">
        <v>42630</v>
      </c>
      <c r="M3734" t="s">
        <v>44466</v>
      </c>
      <c r="N3734" t="s">
        <v>47304</v>
      </c>
      <c r="O3734" t="s">
        <v>47305</v>
      </c>
      <c r="P3734">
        <v>0</v>
      </c>
      <c r="Q3734">
        <v>1</v>
      </c>
      <c r="R3734" t="s">
        <v>47306</v>
      </c>
      <c r="S3734" t="s">
        <v>47414</v>
      </c>
      <c r="T3734" t="s">
        <v>48997</v>
      </c>
      <c r="U3734" t="s">
        <v>52754</v>
      </c>
      <c r="W3734" t="s">
        <v>44466</v>
      </c>
      <c r="X3734" t="s">
        <v>47308</v>
      </c>
    </row>
    <row r="3735" spans="1:24">
      <c r="A3735">
        <f>HYPERLINK("https://www.philgeps.gov.ph/GEPSNONPILOT/Tender/SplashBidNoticeAbstractUI.aspx?menuIndex=3&amp;refID=7196077&amp;Result=3","7196077")</f>
        <v>0</v>
      </c>
      <c r="B3735" t="s">
        <v>1473</v>
      </c>
      <c r="C3735" t="s">
        <v>7354</v>
      </c>
      <c r="D3735" t="s">
        <v>18993</v>
      </c>
      <c r="E3735" t="s">
        <v>19279</v>
      </c>
      <c r="F3735" t="s">
        <v>32606</v>
      </c>
      <c r="G3735" t="s">
        <v>32619</v>
      </c>
      <c r="H3735" t="s">
        <v>14201</v>
      </c>
      <c r="I3735" t="s">
        <v>32640</v>
      </c>
      <c r="J3735" t="s">
        <v>35305</v>
      </c>
      <c r="K3735" t="s">
        <v>42629</v>
      </c>
      <c r="M3735" t="s">
        <v>44467</v>
      </c>
      <c r="N3735" t="s">
        <v>47304</v>
      </c>
      <c r="O3735" t="s">
        <v>47305</v>
      </c>
      <c r="P3735">
        <v>0</v>
      </c>
      <c r="Q3735">
        <v>6</v>
      </c>
      <c r="R3735" t="s">
        <v>47306</v>
      </c>
      <c r="S3735" t="s">
        <v>47414</v>
      </c>
      <c r="T3735" t="s">
        <v>49061</v>
      </c>
      <c r="U3735" t="s">
        <v>52755</v>
      </c>
      <c r="V3735" t="s">
        <v>63027</v>
      </c>
      <c r="W3735" t="s">
        <v>44467</v>
      </c>
      <c r="X3735" t="s">
        <v>47308</v>
      </c>
    </row>
    <row r="3736" spans="1:24">
      <c r="A3736">
        <f>HYPERLINK("https://www.philgeps.gov.ph/GEPSNONPILOT/Tender/SplashBidNoticeAbstractUI.aspx?menuIndex=3&amp;refID=7196063&amp;Result=3","7196063")</f>
        <v>0</v>
      </c>
      <c r="B3736" t="s">
        <v>696</v>
      </c>
      <c r="C3736" t="s">
        <v>7396</v>
      </c>
      <c r="D3736" t="s">
        <v>18993</v>
      </c>
      <c r="E3736" t="s">
        <v>22440</v>
      </c>
      <c r="F3736" t="s">
        <v>32606</v>
      </c>
      <c r="G3736" t="s">
        <v>32617</v>
      </c>
      <c r="H3736" t="s">
        <v>14201</v>
      </c>
      <c r="I3736" t="s">
        <v>4678</v>
      </c>
      <c r="J3736" t="s">
        <v>34669</v>
      </c>
      <c r="K3736" t="s">
        <v>42623</v>
      </c>
      <c r="M3736" t="s">
        <v>43617</v>
      </c>
      <c r="N3736" t="s">
        <v>47304</v>
      </c>
      <c r="O3736" t="s">
        <v>47305</v>
      </c>
      <c r="P3736">
        <v>0</v>
      </c>
      <c r="Q3736">
        <v>10</v>
      </c>
      <c r="R3736" t="s">
        <v>47306</v>
      </c>
      <c r="S3736" t="s">
        <v>47414</v>
      </c>
      <c r="T3736" t="s">
        <v>49084</v>
      </c>
      <c r="U3736" t="s">
        <v>50770</v>
      </c>
      <c r="V3736" t="s">
        <v>62804</v>
      </c>
      <c r="W3736" t="s">
        <v>43617</v>
      </c>
      <c r="X3736" t="s">
        <v>47308</v>
      </c>
    </row>
    <row r="3737" spans="1:24">
      <c r="A3737">
        <f>HYPERLINK("https://www.philgeps.gov.ph/GEPSNONPILOT/Tender/SplashBidNoticeAbstractUI.aspx?menuIndex=3&amp;refID=7196070&amp;Result=3","7196070")</f>
        <v>0</v>
      </c>
      <c r="B3737" t="s">
        <v>895</v>
      </c>
      <c r="C3737" t="s">
        <v>7397</v>
      </c>
      <c r="D3737" t="s">
        <v>18993</v>
      </c>
      <c r="E3737" t="s">
        <v>22441</v>
      </c>
      <c r="F3737" t="s">
        <v>32606</v>
      </c>
      <c r="G3737" t="s">
        <v>32619</v>
      </c>
      <c r="H3737" t="s">
        <v>14201</v>
      </c>
      <c r="I3737" t="s">
        <v>7577</v>
      </c>
      <c r="J3737" t="s">
        <v>32752</v>
      </c>
      <c r="K3737" t="s">
        <v>42624</v>
      </c>
      <c r="M3737" t="s">
        <v>43831</v>
      </c>
      <c r="N3737" t="s">
        <v>47304</v>
      </c>
      <c r="O3737" t="s">
        <v>47305</v>
      </c>
      <c r="P3737">
        <v>0</v>
      </c>
      <c r="Q3737">
        <v>0</v>
      </c>
      <c r="R3737" t="s">
        <v>47306</v>
      </c>
      <c r="S3737" t="s">
        <v>47414</v>
      </c>
      <c r="T3737" t="s">
        <v>49014</v>
      </c>
      <c r="U3737" t="s">
        <v>52756</v>
      </c>
      <c r="W3737" t="s">
        <v>43831</v>
      </c>
      <c r="X3737" t="s">
        <v>47308</v>
      </c>
    </row>
    <row r="3738" spans="1:24">
      <c r="A3738">
        <f>HYPERLINK("https://www.philgeps.gov.ph/GEPSNONPILOT/Tender/SplashBidNoticeAbstractUI.aspx?menuIndex=3&amp;refID=7196090&amp;Result=3","7196090")</f>
        <v>0</v>
      </c>
      <c r="B3738" t="s">
        <v>1464</v>
      </c>
      <c r="C3738" t="s">
        <v>7398</v>
      </c>
      <c r="E3738" t="s">
        <v>22442</v>
      </c>
      <c r="F3738" t="s">
        <v>32606</v>
      </c>
      <c r="G3738" t="s">
        <v>32619</v>
      </c>
      <c r="H3738" t="s">
        <v>14201</v>
      </c>
      <c r="I3738" t="s">
        <v>32633</v>
      </c>
      <c r="J3738" t="s">
        <v>35306</v>
      </c>
      <c r="K3738" t="s">
        <v>42623</v>
      </c>
      <c r="M3738" t="s">
        <v>44458</v>
      </c>
      <c r="N3738" t="s">
        <v>47304</v>
      </c>
      <c r="O3738" t="s">
        <v>47305</v>
      </c>
      <c r="P3738">
        <v>0</v>
      </c>
      <c r="Q3738">
        <v>7</v>
      </c>
      <c r="R3738" t="s">
        <v>47306</v>
      </c>
      <c r="S3738" t="s">
        <v>47414</v>
      </c>
      <c r="T3738" t="s">
        <v>48980</v>
      </c>
      <c r="U3738" t="s">
        <v>52757</v>
      </c>
      <c r="V3738" t="s">
        <v>63028</v>
      </c>
      <c r="W3738" t="s">
        <v>44458</v>
      </c>
      <c r="X3738" t="s">
        <v>47308</v>
      </c>
    </row>
    <row r="3739" spans="1:24">
      <c r="A3739">
        <f>HYPERLINK("https://www.philgeps.gov.ph/GEPSNONPILOT/Tender/SplashBidNoticeAbstractUI.aspx?menuIndex=3&amp;refID=7196088&amp;Result=3","7196088")</f>
        <v>0</v>
      </c>
      <c r="B3739" t="s">
        <v>1395</v>
      </c>
      <c r="C3739" t="s">
        <v>7399</v>
      </c>
      <c r="D3739" t="s">
        <v>19037</v>
      </c>
      <c r="E3739" t="s">
        <v>22443</v>
      </c>
      <c r="F3739" t="s">
        <v>32606</v>
      </c>
      <c r="G3739" t="s">
        <v>32614</v>
      </c>
      <c r="H3739" t="s">
        <v>14201</v>
      </c>
      <c r="I3739" t="s">
        <v>6931</v>
      </c>
      <c r="J3739" t="s">
        <v>32813</v>
      </c>
      <c r="K3739" t="s">
        <v>42623</v>
      </c>
      <c r="M3739" t="s">
        <v>44378</v>
      </c>
      <c r="N3739" t="s">
        <v>47304</v>
      </c>
      <c r="O3739" t="s">
        <v>47305</v>
      </c>
      <c r="P3739">
        <v>0</v>
      </c>
      <c r="Q3739">
        <v>0</v>
      </c>
      <c r="R3739" t="s">
        <v>47306</v>
      </c>
      <c r="S3739" t="s">
        <v>47414</v>
      </c>
      <c r="T3739" t="s">
        <v>48979</v>
      </c>
      <c r="U3739" t="s">
        <v>52636</v>
      </c>
      <c r="W3739" t="s">
        <v>44378</v>
      </c>
      <c r="X3739" t="s">
        <v>47308</v>
      </c>
    </row>
    <row r="3740" spans="1:24">
      <c r="A3740">
        <f>HYPERLINK("https://www.philgeps.gov.ph/GEPSNONPILOT/Tender/SplashBidNoticeAbstractUI.aspx?menuIndex=3&amp;refID=7196087&amp;Result=3","7196087")</f>
        <v>0</v>
      </c>
      <c r="B3740" t="s">
        <v>1474</v>
      </c>
      <c r="C3740" t="s">
        <v>7400</v>
      </c>
      <c r="D3740" t="s">
        <v>18988</v>
      </c>
      <c r="E3740" t="s">
        <v>22444</v>
      </c>
      <c r="F3740" t="s">
        <v>32606</v>
      </c>
      <c r="G3740" t="s">
        <v>32615</v>
      </c>
      <c r="H3740" t="s">
        <v>14201</v>
      </c>
      <c r="I3740" t="s">
        <v>32692</v>
      </c>
      <c r="J3740" t="s">
        <v>35307</v>
      </c>
      <c r="K3740" t="s">
        <v>42625</v>
      </c>
      <c r="M3740" t="s">
        <v>44468</v>
      </c>
      <c r="N3740" t="s">
        <v>47304</v>
      </c>
      <c r="O3740" t="s">
        <v>47305</v>
      </c>
      <c r="P3740">
        <v>0</v>
      </c>
      <c r="Q3740">
        <v>0</v>
      </c>
      <c r="R3740" t="s">
        <v>47306</v>
      </c>
      <c r="S3740" t="s">
        <v>47414</v>
      </c>
      <c r="T3740" t="s">
        <v>48997</v>
      </c>
      <c r="U3740" t="s">
        <v>52758</v>
      </c>
      <c r="W3740" t="s">
        <v>44468</v>
      </c>
      <c r="X3740" t="s">
        <v>47308</v>
      </c>
    </row>
    <row r="3741" spans="1:24">
      <c r="A3741">
        <f>HYPERLINK("https://www.philgeps.gov.ph/GEPSNONPILOT/Tender/SplashBidNoticeAbstractUI.aspx?menuIndex=3&amp;refID=7196065&amp;Result=3","7196065")</f>
        <v>0</v>
      </c>
      <c r="B3741" t="s">
        <v>1475</v>
      </c>
      <c r="C3741" t="s">
        <v>7401</v>
      </c>
      <c r="D3741" t="s">
        <v>19011</v>
      </c>
      <c r="E3741" t="s">
        <v>19833</v>
      </c>
      <c r="F3741" t="s">
        <v>32606</v>
      </c>
      <c r="G3741" t="s">
        <v>32613</v>
      </c>
      <c r="H3741" t="s">
        <v>14201</v>
      </c>
      <c r="I3741" t="s">
        <v>32656</v>
      </c>
      <c r="J3741" t="s">
        <v>35308</v>
      </c>
      <c r="K3741" t="s">
        <v>42624</v>
      </c>
      <c r="M3741" t="s">
        <v>44469</v>
      </c>
      <c r="N3741" t="s">
        <v>47304</v>
      </c>
      <c r="O3741" t="s">
        <v>47305</v>
      </c>
      <c r="P3741">
        <v>0</v>
      </c>
      <c r="Q3741">
        <v>1</v>
      </c>
      <c r="R3741" t="s">
        <v>47306</v>
      </c>
      <c r="S3741" t="s">
        <v>47414</v>
      </c>
      <c r="T3741" t="s">
        <v>49099</v>
      </c>
      <c r="U3741" t="s">
        <v>52759</v>
      </c>
      <c r="W3741" t="s">
        <v>44469</v>
      </c>
      <c r="X3741" t="s">
        <v>47308</v>
      </c>
    </row>
    <row r="3742" spans="1:24">
      <c r="A3742">
        <f>HYPERLINK("https://www.philgeps.gov.ph/GEPSNONPILOT/Tender/SplashBidNoticeAbstractUI.aspx?menuIndex=3&amp;refID=7196061&amp;Result=3","7196061")</f>
        <v>0</v>
      </c>
      <c r="B3742" t="s">
        <v>1346</v>
      </c>
      <c r="C3742" t="s">
        <v>7402</v>
      </c>
      <c r="E3742" t="s">
        <v>22445</v>
      </c>
      <c r="F3742" t="s">
        <v>32606</v>
      </c>
      <c r="G3742" t="s">
        <v>32619</v>
      </c>
      <c r="H3742" t="s">
        <v>14201</v>
      </c>
      <c r="I3742" t="s">
        <v>6007</v>
      </c>
      <c r="J3742" t="s">
        <v>35309</v>
      </c>
      <c r="K3742" t="s">
        <v>42624</v>
      </c>
      <c r="M3742" t="s">
        <v>44320</v>
      </c>
      <c r="N3742" t="s">
        <v>47304</v>
      </c>
      <c r="O3742" t="s">
        <v>47305</v>
      </c>
      <c r="P3742">
        <v>0</v>
      </c>
      <c r="Q3742">
        <v>0</v>
      </c>
      <c r="R3742" t="s">
        <v>47306</v>
      </c>
      <c r="S3742" t="s">
        <v>47414</v>
      </c>
      <c r="T3742" t="s">
        <v>48998</v>
      </c>
      <c r="U3742" t="s">
        <v>52760</v>
      </c>
      <c r="W3742" t="s">
        <v>44320</v>
      </c>
      <c r="X3742" t="s">
        <v>47308</v>
      </c>
    </row>
    <row r="3743" spans="1:24">
      <c r="A3743">
        <f>HYPERLINK("https://www.philgeps.gov.ph/GEPSNONPILOT/Tender/SplashBidNoticeAbstractUI.aspx?menuIndex=3&amp;refID=7196084&amp;Result=3","7196084")</f>
        <v>0</v>
      </c>
      <c r="B3743" t="s">
        <v>1476</v>
      </c>
      <c r="C3743" t="s">
        <v>7403</v>
      </c>
      <c r="D3743" t="s">
        <v>18988</v>
      </c>
      <c r="E3743" t="s">
        <v>22446</v>
      </c>
      <c r="F3743" t="s">
        <v>32606</v>
      </c>
      <c r="G3743" t="s">
        <v>32614</v>
      </c>
      <c r="H3743" t="s">
        <v>14201</v>
      </c>
      <c r="I3743" t="s">
        <v>32633</v>
      </c>
      <c r="J3743" t="s">
        <v>35310</v>
      </c>
      <c r="K3743" t="s">
        <v>42623</v>
      </c>
      <c r="M3743" t="s">
        <v>44470</v>
      </c>
      <c r="N3743" t="s">
        <v>47304</v>
      </c>
      <c r="O3743" t="s">
        <v>47305</v>
      </c>
      <c r="P3743">
        <v>0</v>
      </c>
      <c r="Q3743">
        <v>4</v>
      </c>
      <c r="R3743" t="s">
        <v>47306</v>
      </c>
      <c r="S3743" t="s">
        <v>47414</v>
      </c>
      <c r="T3743" t="s">
        <v>48979</v>
      </c>
      <c r="U3743" t="s">
        <v>52761</v>
      </c>
      <c r="W3743" t="s">
        <v>44470</v>
      </c>
      <c r="X3743" t="s">
        <v>47308</v>
      </c>
    </row>
    <row r="3744" spans="1:24">
      <c r="A3744">
        <f>HYPERLINK("https://www.philgeps.gov.ph/GEPSNONPILOT/Tender/SplashBidNoticeAbstractUI.aspx?menuIndex=3&amp;refID=7196083&amp;Result=3","7196083")</f>
        <v>0</v>
      </c>
      <c r="B3744" t="s">
        <v>376</v>
      </c>
      <c r="C3744" t="s">
        <v>7404</v>
      </c>
      <c r="D3744" t="s">
        <v>19039</v>
      </c>
      <c r="E3744" t="s">
        <v>22447</v>
      </c>
      <c r="F3744" t="s">
        <v>32606</v>
      </c>
      <c r="G3744" t="s">
        <v>32614</v>
      </c>
      <c r="H3744" t="s">
        <v>14201</v>
      </c>
      <c r="I3744" t="s">
        <v>32640</v>
      </c>
      <c r="J3744" t="s">
        <v>32981</v>
      </c>
      <c r="K3744" t="s">
        <v>42630</v>
      </c>
      <c r="M3744" t="s">
        <v>43278</v>
      </c>
      <c r="N3744" t="s">
        <v>47304</v>
      </c>
      <c r="O3744" t="s">
        <v>47305</v>
      </c>
      <c r="P3744">
        <v>0</v>
      </c>
      <c r="Q3744">
        <v>0</v>
      </c>
      <c r="R3744" t="s">
        <v>47306</v>
      </c>
      <c r="S3744" t="s">
        <v>47414</v>
      </c>
      <c r="T3744" t="s">
        <v>49010</v>
      </c>
      <c r="U3744" t="s">
        <v>52762</v>
      </c>
      <c r="W3744" t="s">
        <v>43278</v>
      </c>
      <c r="X3744" t="s">
        <v>47308</v>
      </c>
    </row>
    <row r="3745" spans="1:24">
      <c r="A3745">
        <f>HYPERLINK("https://www.philgeps.gov.ph/GEPSNONPILOT/Tender/SplashBidNoticeAbstractUI.aspx?menuIndex=3&amp;refID=7196097&amp;Result=3","7196097")</f>
        <v>0</v>
      </c>
      <c r="B3745" t="s">
        <v>211</v>
      </c>
      <c r="C3745" t="s">
        <v>7405</v>
      </c>
      <c r="D3745" t="s">
        <v>19007</v>
      </c>
      <c r="E3745" t="s">
        <v>22448</v>
      </c>
      <c r="F3745" t="s">
        <v>32606</v>
      </c>
      <c r="G3745" t="s">
        <v>32619</v>
      </c>
      <c r="H3745" t="s">
        <v>14201</v>
      </c>
      <c r="I3745" t="s">
        <v>4678</v>
      </c>
      <c r="J3745" t="s">
        <v>35311</v>
      </c>
      <c r="K3745" t="s">
        <v>42624</v>
      </c>
      <c r="M3745" t="s">
        <v>43112</v>
      </c>
      <c r="N3745" t="s">
        <v>47304</v>
      </c>
      <c r="O3745" t="s">
        <v>47305</v>
      </c>
      <c r="P3745">
        <v>0</v>
      </c>
      <c r="Q3745">
        <v>7</v>
      </c>
      <c r="R3745" t="s">
        <v>47306</v>
      </c>
      <c r="S3745" t="s">
        <v>47414</v>
      </c>
      <c r="T3745" t="s">
        <v>49061</v>
      </c>
      <c r="U3745" t="s">
        <v>52763</v>
      </c>
      <c r="W3745" t="s">
        <v>43112</v>
      </c>
      <c r="X3745" t="s">
        <v>47308</v>
      </c>
    </row>
    <row r="3746" spans="1:24">
      <c r="A3746">
        <f>HYPERLINK("https://www.philgeps.gov.ph/GEPSNONPILOT/Tender/SplashBidNoticeAbstractUI.aspx?menuIndex=3&amp;refID=7196086&amp;Result=3","7196086")</f>
        <v>0</v>
      </c>
      <c r="B3746" t="s">
        <v>1328</v>
      </c>
      <c r="C3746" t="s">
        <v>7406</v>
      </c>
      <c r="E3746" t="s">
        <v>22449</v>
      </c>
      <c r="F3746" t="s">
        <v>32606</v>
      </c>
      <c r="G3746" t="s">
        <v>32614</v>
      </c>
      <c r="H3746" t="s">
        <v>14201</v>
      </c>
      <c r="I3746" t="s">
        <v>6931</v>
      </c>
      <c r="J3746" t="s">
        <v>35312</v>
      </c>
      <c r="K3746" t="s">
        <v>42623</v>
      </c>
      <c r="M3746" t="s">
        <v>44302</v>
      </c>
      <c r="N3746" t="s">
        <v>47304</v>
      </c>
      <c r="O3746" t="s">
        <v>47305</v>
      </c>
      <c r="P3746">
        <v>0</v>
      </c>
      <c r="Q3746">
        <v>0</v>
      </c>
      <c r="R3746" t="s">
        <v>47306</v>
      </c>
      <c r="S3746" t="s">
        <v>47414</v>
      </c>
      <c r="T3746" t="s">
        <v>49270</v>
      </c>
      <c r="U3746" t="s">
        <v>52764</v>
      </c>
      <c r="W3746" t="s">
        <v>44302</v>
      </c>
      <c r="X3746" t="s">
        <v>47308</v>
      </c>
    </row>
    <row r="3747" spans="1:24">
      <c r="A3747">
        <f>HYPERLINK("https://www.philgeps.gov.ph/GEPSNONPILOT/Tender/SplashBidNoticeAbstractUI.aspx?menuIndex=3&amp;refID=7196085&amp;Result=3","7196085")</f>
        <v>0</v>
      </c>
      <c r="B3747" t="s">
        <v>1385</v>
      </c>
      <c r="C3747" t="s">
        <v>7407</v>
      </c>
      <c r="E3747" t="s">
        <v>19833</v>
      </c>
      <c r="F3747" t="s">
        <v>32606</v>
      </c>
      <c r="G3747" t="s">
        <v>32613</v>
      </c>
      <c r="H3747" t="s">
        <v>14201</v>
      </c>
      <c r="I3747" t="s">
        <v>6931</v>
      </c>
      <c r="J3747" t="s">
        <v>35313</v>
      </c>
      <c r="K3747" t="s">
        <v>42624</v>
      </c>
      <c r="M3747" t="s">
        <v>44367</v>
      </c>
      <c r="N3747" t="s">
        <v>47304</v>
      </c>
      <c r="O3747" t="s">
        <v>47305</v>
      </c>
      <c r="P3747">
        <v>0</v>
      </c>
      <c r="Q3747">
        <v>0</v>
      </c>
      <c r="R3747" t="s">
        <v>47306</v>
      </c>
      <c r="S3747" t="s">
        <v>47414</v>
      </c>
      <c r="T3747" t="s">
        <v>48988</v>
      </c>
      <c r="U3747" t="s">
        <v>52765</v>
      </c>
      <c r="W3747" t="s">
        <v>44367</v>
      </c>
      <c r="X3747" t="s">
        <v>47308</v>
      </c>
    </row>
    <row r="3748" spans="1:24">
      <c r="A3748">
        <f>HYPERLINK("https://www.philgeps.gov.ph/GEPSNONPILOT/Tender/SplashBidNoticeAbstractUI.aspx?menuIndex=3&amp;refID=7196074&amp;Result=3","7196074")</f>
        <v>0</v>
      </c>
      <c r="B3748" t="s">
        <v>1477</v>
      </c>
      <c r="C3748" t="s">
        <v>7408</v>
      </c>
      <c r="D3748" t="s">
        <v>19007</v>
      </c>
      <c r="E3748" t="s">
        <v>22450</v>
      </c>
      <c r="F3748" t="s">
        <v>32606</v>
      </c>
      <c r="G3748" t="s">
        <v>32613</v>
      </c>
      <c r="H3748" t="s">
        <v>14201</v>
      </c>
      <c r="I3748" t="s">
        <v>6298</v>
      </c>
      <c r="J3748" t="s">
        <v>33084</v>
      </c>
      <c r="K3748" t="s">
        <v>42624</v>
      </c>
      <c r="M3748" t="s">
        <v>44471</v>
      </c>
      <c r="N3748" t="s">
        <v>47304</v>
      </c>
      <c r="O3748" t="s">
        <v>47305</v>
      </c>
      <c r="P3748">
        <v>0</v>
      </c>
      <c r="Q3748">
        <v>1</v>
      </c>
      <c r="R3748" t="s">
        <v>47306</v>
      </c>
      <c r="S3748" t="s">
        <v>47414</v>
      </c>
      <c r="T3748" t="s">
        <v>48976</v>
      </c>
      <c r="U3748" t="s">
        <v>52766</v>
      </c>
      <c r="W3748" t="s">
        <v>44471</v>
      </c>
      <c r="X3748" t="s">
        <v>47308</v>
      </c>
    </row>
    <row r="3749" spans="1:24">
      <c r="A3749">
        <f>HYPERLINK("https://www.philgeps.gov.ph/GEPSNONPILOT/Tender/SplashBidNoticeAbstractUI.aspx?menuIndex=3&amp;refID=7196095&amp;Result=3","7196095")</f>
        <v>0</v>
      </c>
      <c r="B3749" t="s">
        <v>1478</v>
      </c>
      <c r="C3749" t="s">
        <v>7409</v>
      </c>
      <c r="D3749" t="s">
        <v>19003</v>
      </c>
      <c r="E3749" t="s">
        <v>22451</v>
      </c>
      <c r="F3749" t="s">
        <v>32606</v>
      </c>
      <c r="G3749" t="s">
        <v>32619</v>
      </c>
      <c r="H3749" t="s">
        <v>14201</v>
      </c>
      <c r="I3749" t="s">
        <v>6298</v>
      </c>
      <c r="J3749" t="s">
        <v>35314</v>
      </c>
      <c r="K3749" t="s">
        <v>42624</v>
      </c>
      <c r="M3749" t="s">
        <v>44472</v>
      </c>
      <c r="N3749" t="s">
        <v>47304</v>
      </c>
      <c r="O3749" t="s">
        <v>47305</v>
      </c>
      <c r="P3749">
        <v>0</v>
      </c>
      <c r="Q3749">
        <v>0</v>
      </c>
      <c r="R3749" t="s">
        <v>47306</v>
      </c>
      <c r="S3749" t="s">
        <v>47414</v>
      </c>
      <c r="T3749" t="s">
        <v>49000</v>
      </c>
      <c r="U3749" t="s">
        <v>52767</v>
      </c>
      <c r="W3749" t="s">
        <v>44472</v>
      </c>
      <c r="X3749" t="s">
        <v>47308</v>
      </c>
    </row>
    <row r="3750" spans="1:24">
      <c r="A3750">
        <f>HYPERLINK("https://www.philgeps.gov.ph/GEPSNONPILOT/Tender/SplashBidNoticeAbstractUI.aspx?menuIndex=3&amp;refID=7196092&amp;Result=3","7196092")</f>
        <v>0</v>
      </c>
      <c r="B3750" t="s">
        <v>1462</v>
      </c>
      <c r="C3750" t="s">
        <v>7410</v>
      </c>
      <c r="D3750" t="s">
        <v>19019</v>
      </c>
      <c r="E3750" t="s">
        <v>22452</v>
      </c>
      <c r="F3750" t="s">
        <v>32606</v>
      </c>
      <c r="G3750" t="s">
        <v>32619</v>
      </c>
      <c r="H3750" t="s">
        <v>14201</v>
      </c>
      <c r="I3750" t="s">
        <v>32633</v>
      </c>
      <c r="J3750" t="s">
        <v>33441</v>
      </c>
      <c r="K3750" t="s">
        <v>42629</v>
      </c>
      <c r="M3750" t="s">
        <v>44456</v>
      </c>
      <c r="N3750" t="s">
        <v>47304</v>
      </c>
      <c r="O3750" t="s">
        <v>47305</v>
      </c>
      <c r="P3750">
        <v>0</v>
      </c>
      <c r="Q3750">
        <v>6</v>
      </c>
      <c r="R3750" t="s">
        <v>47306</v>
      </c>
      <c r="S3750" t="s">
        <v>47414</v>
      </c>
      <c r="T3750" t="s">
        <v>48998</v>
      </c>
      <c r="U3750" t="s">
        <v>52768</v>
      </c>
      <c r="W3750" t="s">
        <v>44456</v>
      </c>
      <c r="X3750" t="s">
        <v>47308</v>
      </c>
    </row>
    <row r="3751" spans="1:24">
      <c r="A3751">
        <f>HYPERLINK("https://www.philgeps.gov.ph/GEPSNONPILOT/Tender/SplashBidNoticeAbstractUI.aspx?menuIndex=3&amp;refID=7196089&amp;Result=3","7196089")</f>
        <v>0</v>
      </c>
      <c r="B3751" t="s">
        <v>81</v>
      </c>
      <c r="C3751" t="s">
        <v>7411</v>
      </c>
      <c r="D3751" t="s">
        <v>18995</v>
      </c>
      <c r="E3751" t="s">
        <v>22453</v>
      </c>
      <c r="F3751" t="s">
        <v>32606</v>
      </c>
      <c r="G3751" t="s">
        <v>32614</v>
      </c>
      <c r="H3751" t="s">
        <v>14201</v>
      </c>
      <c r="I3751" t="s">
        <v>32632</v>
      </c>
      <c r="J3751" t="s">
        <v>33075</v>
      </c>
      <c r="K3751" t="s">
        <v>42624</v>
      </c>
      <c r="M3751" t="s">
        <v>42978</v>
      </c>
      <c r="N3751" t="s">
        <v>47304</v>
      </c>
      <c r="O3751" t="s">
        <v>47305</v>
      </c>
      <c r="P3751">
        <v>0</v>
      </c>
      <c r="Q3751">
        <v>0</v>
      </c>
      <c r="R3751" t="s">
        <v>47306</v>
      </c>
      <c r="S3751" t="s">
        <v>47414</v>
      </c>
      <c r="T3751" t="s">
        <v>49014</v>
      </c>
      <c r="U3751" t="s">
        <v>52769</v>
      </c>
      <c r="W3751" t="s">
        <v>42978</v>
      </c>
      <c r="X3751" t="s">
        <v>47308</v>
      </c>
    </row>
    <row r="3752" spans="1:24">
      <c r="A3752">
        <f>HYPERLINK("https://www.philgeps.gov.ph/GEPSNONPILOT/Tender/SplashBidNoticeAbstractUI.aspx?menuIndex=3&amp;refID=7196091&amp;Result=3","7196091")</f>
        <v>0</v>
      </c>
      <c r="B3752" t="s">
        <v>1479</v>
      </c>
      <c r="C3752" t="s">
        <v>7412</v>
      </c>
      <c r="D3752" t="s">
        <v>18999</v>
      </c>
      <c r="E3752" t="s">
        <v>19809</v>
      </c>
      <c r="F3752" t="s">
        <v>32606</v>
      </c>
      <c r="G3752" t="s">
        <v>32619</v>
      </c>
      <c r="H3752" t="s">
        <v>14201</v>
      </c>
      <c r="I3752" t="s">
        <v>6478</v>
      </c>
      <c r="J3752" t="s">
        <v>35315</v>
      </c>
      <c r="K3752" t="s">
        <v>42663</v>
      </c>
      <c r="M3752" t="s">
        <v>44473</v>
      </c>
      <c r="N3752" t="s">
        <v>47304</v>
      </c>
      <c r="O3752" t="s">
        <v>47305</v>
      </c>
      <c r="P3752">
        <v>0</v>
      </c>
      <c r="Q3752">
        <v>3</v>
      </c>
      <c r="R3752" t="s">
        <v>47306</v>
      </c>
      <c r="S3752" t="s">
        <v>47414</v>
      </c>
      <c r="T3752" t="s">
        <v>49072</v>
      </c>
      <c r="U3752" t="s">
        <v>52770</v>
      </c>
      <c r="W3752" t="s">
        <v>44473</v>
      </c>
      <c r="X3752" t="s">
        <v>47308</v>
      </c>
    </row>
    <row r="3753" spans="1:24">
      <c r="A3753">
        <f>HYPERLINK("https://www.philgeps.gov.ph/GEPSNONPILOT/Tender/SplashBidNoticeAbstractUI.aspx?menuIndex=3&amp;refID=7196025&amp;Result=3","7196025")</f>
        <v>0</v>
      </c>
      <c r="B3753" t="s">
        <v>798</v>
      </c>
      <c r="C3753" t="s">
        <v>7413</v>
      </c>
      <c r="D3753" t="s">
        <v>19039</v>
      </c>
      <c r="E3753" t="s">
        <v>22454</v>
      </c>
      <c r="F3753" t="s">
        <v>32606</v>
      </c>
      <c r="G3753" t="s">
        <v>32614</v>
      </c>
      <c r="H3753" t="s">
        <v>14201</v>
      </c>
      <c r="I3753" t="s">
        <v>32668</v>
      </c>
      <c r="J3753" t="s">
        <v>35316</v>
      </c>
      <c r="K3753" t="s">
        <v>42630</v>
      </c>
      <c r="M3753" t="s">
        <v>43729</v>
      </c>
      <c r="N3753" t="s">
        <v>47304</v>
      </c>
      <c r="O3753" t="s">
        <v>47305</v>
      </c>
      <c r="P3753">
        <v>0</v>
      </c>
      <c r="Q3753">
        <v>1</v>
      </c>
      <c r="R3753" t="s">
        <v>47306</v>
      </c>
      <c r="S3753" t="s">
        <v>47414</v>
      </c>
      <c r="T3753" t="s">
        <v>49061</v>
      </c>
      <c r="U3753" t="s">
        <v>52771</v>
      </c>
      <c r="W3753" t="s">
        <v>43729</v>
      </c>
      <c r="X3753" t="s">
        <v>47308</v>
      </c>
    </row>
    <row r="3754" spans="1:24">
      <c r="A3754">
        <f>HYPERLINK("https://www.philgeps.gov.ph/GEPSNONPILOT/Tender/SplashBidNoticeAbstractUI.aspx?menuIndex=3&amp;refID=7196080&amp;Result=3","7196080")</f>
        <v>0</v>
      </c>
      <c r="B3754" t="s">
        <v>1456</v>
      </c>
      <c r="C3754" t="s">
        <v>7414</v>
      </c>
      <c r="D3754" t="s">
        <v>19014</v>
      </c>
      <c r="E3754" t="s">
        <v>22455</v>
      </c>
      <c r="F3754" t="s">
        <v>32606</v>
      </c>
      <c r="G3754" t="s">
        <v>32617</v>
      </c>
      <c r="H3754" t="s">
        <v>14201</v>
      </c>
      <c r="I3754" t="s">
        <v>32634</v>
      </c>
      <c r="J3754" t="s">
        <v>32781</v>
      </c>
      <c r="K3754" t="s">
        <v>42624</v>
      </c>
      <c r="M3754" t="s">
        <v>44447</v>
      </c>
      <c r="N3754" t="s">
        <v>47304</v>
      </c>
      <c r="O3754" t="s">
        <v>47305</v>
      </c>
      <c r="P3754">
        <v>0</v>
      </c>
      <c r="Q3754">
        <v>1</v>
      </c>
      <c r="R3754" t="s">
        <v>47306</v>
      </c>
      <c r="S3754" t="s">
        <v>47414</v>
      </c>
      <c r="T3754" t="s">
        <v>49004</v>
      </c>
      <c r="U3754" t="s">
        <v>52772</v>
      </c>
      <c r="W3754" t="s">
        <v>44447</v>
      </c>
      <c r="X3754" t="s">
        <v>47308</v>
      </c>
    </row>
    <row r="3755" spans="1:24">
      <c r="A3755">
        <f>HYPERLINK("https://www.philgeps.gov.ph/GEPSNONPILOT/Tender/SplashBidNoticeAbstractUI.aspx?menuIndex=3&amp;refID=7196082&amp;Result=3","7196082")</f>
        <v>0</v>
      </c>
      <c r="B3755" t="s">
        <v>1480</v>
      </c>
      <c r="C3755" t="s">
        <v>7415</v>
      </c>
      <c r="D3755" t="s">
        <v>19012</v>
      </c>
      <c r="E3755" t="s">
        <v>22456</v>
      </c>
      <c r="F3755" t="s">
        <v>32606</v>
      </c>
      <c r="G3755" t="s">
        <v>32614</v>
      </c>
      <c r="H3755" t="s">
        <v>14201</v>
      </c>
      <c r="I3755" t="s">
        <v>32640</v>
      </c>
      <c r="J3755" t="s">
        <v>32999</v>
      </c>
      <c r="K3755" t="s">
        <v>42631</v>
      </c>
      <c r="M3755" t="s">
        <v>44474</v>
      </c>
      <c r="N3755" t="s">
        <v>47304</v>
      </c>
      <c r="O3755" t="s">
        <v>47305</v>
      </c>
      <c r="P3755">
        <v>0</v>
      </c>
      <c r="Q3755">
        <v>5</v>
      </c>
      <c r="R3755" t="s">
        <v>47306</v>
      </c>
      <c r="S3755" t="s">
        <v>47414</v>
      </c>
      <c r="T3755" t="s">
        <v>48997</v>
      </c>
      <c r="U3755" t="s">
        <v>52773</v>
      </c>
      <c r="W3755" t="s">
        <v>44474</v>
      </c>
      <c r="X3755" t="s">
        <v>47308</v>
      </c>
    </row>
    <row r="3756" spans="1:24">
      <c r="A3756">
        <f>HYPERLINK("https://www.philgeps.gov.ph/GEPSNONPILOT/Tender/SplashBidNoticeAbstractUI.aspx?menuIndex=3&amp;refID=7196098&amp;Result=3","7196098")</f>
        <v>0</v>
      </c>
      <c r="B3756" t="s">
        <v>662</v>
      </c>
      <c r="C3756" t="s">
        <v>7416</v>
      </c>
      <c r="D3756" t="s">
        <v>19023</v>
      </c>
      <c r="E3756" t="s">
        <v>22457</v>
      </c>
      <c r="F3756" t="s">
        <v>32606</v>
      </c>
      <c r="G3756" t="s">
        <v>32614</v>
      </c>
      <c r="H3756" t="s">
        <v>14201</v>
      </c>
      <c r="I3756" t="s">
        <v>6993</v>
      </c>
      <c r="J3756" t="s">
        <v>35317</v>
      </c>
      <c r="K3756" t="s">
        <v>42631</v>
      </c>
      <c r="M3756" t="s">
        <v>43582</v>
      </c>
      <c r="N3756" t="s">
        <v>47304</v>
      </c>
      <c r="O3756" t="s">
        <v>47305</v>
      </c>
      <c r="P3756">
        <v>0</v>
      </c>
      <c r="Q3756">
        <v>0</v>
      </c>
      <c r="R3756" t="s">
        <v>47306</v>
      </c>
      <c r="S3756" t="s">
        <v>47414</v>
      </c>
      <c r="T3756" t="s">
        <v>49004</v>
      </c>
      <c r="U3756" t="s">
        <v>52774</v>
      </c>
      <c r="W3756" t="s">
        <v>43582</v>
      </c>
      <c r="X3756" t="s">
        <v>47308</v>
      </c>
    </row>
    <row r="3757" spans="1:24">
      <c r="A3757">
        <f>HYPERLINK("https://www.philgeps.gov.ph/GEPSNONPILOT/Tender/SplashBidNoticeAbstractUI.aspx?menuIndex=3&amp;refID=7196111&amp;Result=3","7196111")</f>
        <v>0</v>
      </c>
      <c r="B3757" t="s">
        <v>1481</v>
      </c>
      <c r="C3757" t="s">
        <v>7417</v>
      </c>
      <c r="D3757" t="s">
        <v>19012</v>
      </c>
      <c r="E3757" t="s">
        <v>22458</v>
      </c>
      <c r="F3757" t="s">
        <v>32606</v>
      </c>
      <c r="G3757" t="s">
        <v>32614</v>
      </c>
      <c r="H3757" t="s">
        <v>14201</v>
      </c>
      <c r="I3757" t="s">
        <v>4120</v>
      </c>
      <c r="J3757" t="s">
        <v>35318</v>
      </c>
      <c r="K3757" t="s">
        <v>42632</v>
      </c>
      <c r="M3757" t="s">
        <v>44475</v>
      </c>
      <c r="N3757" t="s">
        <v>47304</v>
      </c>
      <c r="O3757" t="s">
        <v>47305</v>
      </c>
      <c r="P3757">
        <v>0</v>
      </c>
      <c r="Q3757">
        <v>0</v>
      </c>
      <c r="R3757" t="s">
        <v>47306</v>
      </c>
      <c r="S3757" t="s">
        <v>47414</v>
      </c>
      <c r="T3757" t="s">
        <v>49050</v>
      </c>
      <c r="U3757" t="s">
        <v>52775</v>
      </c>
      <c r="W3757" t="s">
        <v>44475</v>
      </c>
      <c r="X3757" t="s">
        <v>47308</v>
      </c>
    </row>
    <row r="3758" spans="1:24">
      <c r="A3758">
        <f>HYPERLINK("https://www.philgeps.gov.ph/GEPSNONPILOT/Tender/SplashBidNoticeAbstractUI.aspx?menuIndex=3&amp;refID=7196110&amp;Result=3","7196110")</f>
        <v>0</v>
      </c>
      <c r="B3758" t="s">
        <v>1311</v>
      </c>
      <c r="C3758" t="s">
        <v>7418</v>
      </c>
      <c r="D3758" t="s">
        <v>18992</v>
      </c>
      <c r="E3758" t="s">
        <v>21939</v>
      </c>
      <c r="F3758" t="s">
        <v>32606</v>
      </c>
      <c r="G3758" t="s">
        <v>32614</v>
      </c>
      <c r="H3758" t="s">
        <v>14201</v>
      </c>
      <c r="I3758" t="s">
        <v>4120</v>
      </c>
      <c r="J3758" t="s">
        <v>35319</v>
      </c>
      <c r="K3758" t="s">
        <v>42629</v>
      </c>
      <c r="M3758" t="s">
        <v>44285</v>
      </c>
      <c r="N3758" t="s">
        <v>47304</v>
      </c>
      <c r="O3758" t="s">
        <v>47305</v>
      </c>
      <c r="P3758">
        <v>0</v>
      </c>
      <c r="Q3758">
        <v>0</v>
      </c>
      <c r="R3758" t="s">
        <v>47306</v>
      </c>
      <c r="S3758" t="s">
        <v>47414</v>
      </c>
      <c r="T3758" t="s">
        <v>48979</v>
      </c>
      <c r="U3758" t="s">
        <v>52776</v>
      </c>
      <c r="W3758" t="s">
        <v>44285</v>
      </c>
      <c r="X3758" t="s">
        <v>47308</v>
      </c>
    </row>
    <row r="3759" spans="1:24">
      <c r="A3759">
        <f>HYPERLINK("https://www.philgeps.gov.ph/GEPSNONPILOT/Tender/SplashBidNoticeAbstractUI.aspx?menuIndex=3&amp;refID=7196096&amp;Result=3","7196096")</f>
        <v>0</v>
      </c>
      <c r="B3759" t="s">
        <v>511</v>
      </c>
      <c r="C3759" t="s">
        <v>7419</v>
      </c>
      <c r="D3759" t="s">
        <v>19058</v>
      </c>
      <c r="E3759" t="s">
        <v>22459</v>
      </c>
      <c r="F3759" t="s">
        <v>32606</v>
      </c>
      <c r="G3759" t="s">
        <v>32613</v>
      </c>
      <c r="H3759" t="s">
        <v>32623</v>
      </c>
      <c r="I3759" t="s">
        <v>17648</v>
      </c>
      <c r="J3759" t="s">
        <v>32821</v>
      </c>
      <c r="K3759" t="s">
        <v>42624</v>
      </c>
      <c r="M3759" t="s">
        <v>43424</v>
      </c>
      <c r="N3759" t="s">
        <v>47304</v>
      </c>
      <c r="O3759" t="s">
        <v>47305</v>
      </c>
      <c r="P3759">
        <v>0</v>
      </c>
      <c r="Q3759">
        <v>0</v>
      </c>
      <c r="R3759" t="s">
        <v>47306</v>
      </c>
      <c r="S3759" t="s">
        <v>47414</v>
      </c>
      <c r="T3759" t="s">
        <v>48988</v>
      </c>
      <c r="U3759" t="s">
        <v>52777</v>
      </c>
      <c r="W3759" t="s">
        <v>43424</v>
      </c>
      <c r="X3759" t="s">
        <v>47308</v>
      </c>
    </row>
    <row r="3760" spans="1:24">
      <c r="A3760">
        <f>HYPERLINK("https://www.philgeps.gov.ph/GEPSNONPILOT/Tender/SplashBidNoticeAbstractUI.aspx?menuIndex=3&amp;refID=7196109&amp;Result=3","7196109")</f>
        <v>0</v>
      </c>
      <c r="B3760" t="s">
        <v>1482</v>
      </c>
      <c r="C3760" t="s">
        <v>7420</v>
      </c>
      <c r="D3760" t="s">
        <v>19002</v>
      </c>
      <c r="E3760" t="s">
        <v>22460</v>
      </c>
      <c r="F3760" t="s">
        <v>32606</v>
      </c>
      <c r="G3760" t="s">
        <v>32614</v>
      </c>
      <c r="H3760" t="s">
        <v>14201</v>
      </c>
      <c r="I3760" t="s">
        <v>6309</v>
      </c>
      <c r="J3760" t="s">
        <v>35320</v>
      </c>
      <c r="K3760" t="s">
        <v>42624</v>
      </c>
      <c r="M3760" t="s">
        <v>44476</v>
      </c>
      <c r="N3760" t="s">
        <v>47304</v>
      </c>
      <c r="O3760" t="s">
        <v>47305</v>
      </c>
      <c r="P3760">
        <v>0</v>
      </c>
      <c r="Q3760">
        <v>0</v>
      </c>
      <c r="R3760" t="s">
        <v>47306</v>
      </c>
      <c r="S3760" t="s">
        <v>47414</v>
      </c>
      <c r="T3760" t="s">
        <v>48980</v>
      </c>
      <c r="U3760" t="s">
        <v>52778</v>
      </c>
      <c r="V3760" t="s">
        <v>63029</v>
      </c>
      <c r="W3760" t="s">
        <v>44476</v>
      </c>
      <c r="X3760" t="s">
        <v>47308</v>
      </c>
    </row>
    <row r="3761" spans="1:24">
      <c r="A3761">
        <f>HYPERLINK("https://www.philgeps.gov.ph/GEPSNONPILOT/Tender/SplashBidNoticeAbstractUI.aspx?menuIndex=3&amp;refID=7196107&amp;Result=3","7196107")</f>
        <v>0</v>
      </c>
      <c r="B3761" t="s">
        <v>885</v>
      </c>
      <c r="C3761" t="s">
        <v>7421</v>
      </c>
      <c r="D3761" t="s">
        <v>19054</v>
      </c>
      <c r="E3761" t="s">
        <v>22461</v>
      </c>
      <c r="F3761" t="s">
        <v>32606</v>
      </c>
      <c r="G3761" t="s">
        <v>32614</v>
      </c>
      <c r="H3761" t="s">
        <v>14201</v>
      </c>
      <c r="I3761" t="s">
        <v>4114</v>
      </c>
      <c r="J3761" t="s">
        <v>35321</v>
      </c>
      <c r="K3761" t="s">
        <v>42631</v>
      </c>
      <c r="M3761" t="s">
        <v>43821</v>
      </c>
      <c r="N3761" t="s">
        <v>47304</v>
      </c>
      <c r="O3761" t="s">
        <v>47305</v>
      </c>
      <c r="P3761">
        <v>0</v>
      </c>
      <c r="Q3761">
        <v>1</v>
      </c>
      <c r="R3761" t="s">
        <v>47306</v>
      </c>
      <c r="S3761" t="s">
        <v>47414</v>
      </c>
      <c r="T3761" t="s">
        <v>49050</v>
      </c>
      <c r="U3761" t="s">
        <v>52779</v>
      </c>
      <c r="V3761" t="s">
        <v>62850</v>
      </c>
      <c r="W3761" t="s">
        <v>43821</v>
      </c>
      <c r="X3761" t="s">
        <v>47308</v>
      </c>
    </row>
    <row r="3762" spans="1:24">
      <c r="A3762">
        <f>HYPERLINK("https://www.philgeps.gov.ph/GEPSNONPILOT/Tender/SplashBidNoticeAbstractUI.aspx?menuIndex=3&amp;refID=7196105&amp;Result=3","7196105")</f>
        <v>0</v>
      </c>
      <c r="B3762" t="s">
        <v>376</v>
      </c>
      <c r="C3762" t="s">
        <v>4562</v>
      </c>
      <c r="D3762" t="s">
        <v>19039</v>
      </c>
      <c r="E3762" t="s">
        <v>22462</v>
      </c>
      <c r="F3762" t="s">
        <v>32606</v>
      </c>
      <c r="G3762" t="s">
        <v>32614</v>
      </c>
      <c r="H3762" t="s">
        <v>14201</v>
      </c>
      <c r="I3762" t="s">
        <v>6007</v>
      </c>
      <c r="J3762" t="s">
        <v>32981</v>
      </c>
      <c r="K3762" t="s">
        <v>42630</v>
      </c>
      <c r="M3762" t="s">
        <v>43278</v>
      </c>
      <c r="N3762" t="s">
        <v>47304</v>
      </c>
      <c r="O3762" t="s">
        <v>47305</v>
      </c>
      <c r="P3762">
        <v>0</v>
      </c>
      <c r="Q3762">
        <v>0</v>
      </c>
      <c r="R3762" t="s">
        <v>47306</v>
      </c>
      <c r="S3762" t="s">
        <v>47414</v>
      </c>
      <c r="T3762" t="s">
        <v>49271</v>
      </c>
      <c r="U3762" t="s">
        <v>52780</v>
      </c>
      <c r="W3762" t="s">
        <v>43278</v>
      </c>
      <c r="X3762" t="s">
        <v>47308</v>
      </c>
    </row>
    <row r="3763" spans="1:24">
      <c r="A3763">
        <f>HYPERLINK("https://www.philgeps.gov.ph/GEPSNONPILOT/Tender/SplashBidNoticeAbstractUI.aspx?menuIndex=3&amp;refID=7196093&amp;Result=3","7196093")</f>
        <v>0</v>
      </c>
      <c r="B3763" t="s">
        <v>1483</v>
      </c>
      <c r="C3763" t="s">
        <v>7422</v>
      </c>
      <c r="D3763" t="s">
        <v>19054</v>
      </c>
      <c r="E3763" t="s">
        <v>22463</v>
      </c>
      <c r="F3763" t="s">
        <v>32606</v>
      </c>
      <c r="G3763" t="s">
        <v>32619</v>
      </c>
      <c r="H3763" t="s">
        <v>14201</v>
      </c>
      <c r="I3763" t="s">
        <v>7529</v>
      </c>
      <c r="J3763" t="s">
        <v>35322</v>
      </c>
      <c r="K3763" t="s">
        <v>42629</v>
      </c>
      <c r="M3763" t="s">
        <v>44477</v>
      </c>
      <c r="N3763" t="s">
        <v>47304</v>
      </c>
      <c r="O3763" t="s">
        <v>47305</v>
      </c>
      <c r="P3763">
        <v>0</v>
      </c>
      <c r="Q3763">
        <v>0</v>
      </c>
      <c r="R3763" t="s">
        <v>47306</v>
      </c>
      <c r="S3763" t="s">
        <v>47414</v>
      </c>
      <c r="T3763" t="s">
        <v>49072</v>
      </c>
      <c r="U3763" t="s">
        <v>52781</v>
      </c>
      <c r="V3763" t="s">
        <v>63030</v>
      </c>
      <c r="W3763" t="s">
        <v>44477</v>
      </c>
      <c r="X3763" t="s">
        <v>47308</v>
      </c>
    </row>
    <row r="3764" spans="1:24">
      <c r="A3764">
        <f>HYPERLINK("https://www.philgeps.gov.ph/GEPSNONPILOT/Tender/SplashBidNoticeAbstractUI.aspx?menuIndex=3&amp;refID=7196094&amp;Result=3","7196094")</f>
        <v>0</v>
      </c>
      <c r="B3764" t="s">
        <v>233</v>
      </c>
      <c r="C3764" t="s">
        <v>7423</v>
      </c>
      <c r="D3764" t="s">
        <v>18997</v>
      </c>
      <c r="E3764" t="s">
        <v>22464</v>
      </c>
      <c r="F3764" t="s">
        <v>32606</v>
      </c>
      <c r="G3764" t="s">
        <v>32613</v>
      </c>
      <c r="H3764" t="s">
        <v>14201</v>
      </c>
      <c r="I3764" t="s">
        <v>32644</v>
      </c>
      <c r="J3764" t="s">
        <v>35323</v>
      </c>
      <c r="K3764" t="s">
        <v>42631</v>
      </c>
      <c r="M3764" t="s">
        <v>44359</v>
      </c>
      <c r="N3764" t="s">
        <v>47304</v>
      </c>
      <c r="O3764" t="s">
        <v>47305</v>
      </c>
      <c r="P3764">
        <v>0</v>
      </c>
      <c r="Q3764">
        <v>0</v>
      </c>
      <c r="R3764" t="s">
        <v>47306</v>
      </c>
      <c r="S3764" t="s">
        <v>47414</v>
      </c>
      <c r="T3764" t="s">
        <v>49023</v>
      </c>
      <c r="U3764" t="s">
        <v>52443</v>
      </c>
      <c r="V3764" t="s">
        <v>63002</v>
      </c>
      <c r="W3764" t="s">
        <v>44359</v>
      </c>
      <c r="X3764" t="s">
        <v>47308</v>
      </c>
    </row>
    <row r="3765" spans="1:24">
      <c r="A3765">
        <f>HYPERLINK("https://www.philgeps.gov.ph/GEPSNONPILOT/Tender/SplashBidNoticeAbstractUI.aspx?menuIndex=3&amp;refID=7196104&amp;Result=3","7196104")</f>
        <v>0</v>
      </c>
      <c r="B3765" t="s">
        <v>238</v>
      </c>
      <c r="C3765" t="s">
        <v>7424</v>
      </c>
      <c r="D3765" t="s">
        <v>18993</v>
      </c>
      <c r="E3765" t="s">
        <v>22465</v>
      </c>
      <c r="F3765" t="s">
        <v>32606</v>
      </c>
      <c r="G3765" t="s">
        <v>32619</v>
      </c>
      <c r="H3765" t="s">
        <v>14201</v>
      </c>
      <c r="I3765" t="s">
        <v>32683</v>
      </c>
      <c r="J3765" t="s">
        <v>35324</v>
      </c>
      <c r="K3765" t="s">
        <v>42622</v>
      </c>
      <c r="M3765" t="s">
        <v>43357</v>
      </c>
      <c r="N3765" t="s">
        <v>47304</v>
      </c>
      <c r="O3765" t="s">
        <v>47305</v>
      </c>
      <c r="P3765">
        <v>0</v>
      </c>
      <c r="Q3765">
        <v>3</v>
      </c>
      <c r="R3765" t="s">
        <v>47306</v>
      </c>
      <c r="S3765" t="s">
        <v>47414</v>
      </c>
      <c r="T3765" t="s">
        <v>49123</v>
      </c>
      <c r="U3765" t="s">
        <v>50577</v>
      </c>
      <c r="V3765" t="s">
        <v>62749</v>
      </c>
      <c r="W3765" t="s">
        <v>43357</v>
      </c>
      <c r="X3765" t="s">
        <v>47308</v>
      </c>
    </row>
    <row r="3766" spans="1:24">
      <c r="A3766">
        <f>HYPERLINK("https://www.philgeps.gov.ph/GEPSNONPILOT/Tender/SplashBidNoticeAbstractUI.aspx?menuIndex=3&amp;refID=7196081&amp;Result=3","7196081")</f>
        <v>0</v>
      </c>
      <c r="B3766" t="s">
        <v>1289</v>
      </c>
      <c r="C3766" t="s">
        <v>7425</v>
      </c>
      <c r="D3766" t="s">
        <v>18993</v>
      </c>
      <c r="E3766" t="s">
        <v>22466</v>
      </c>
      <c r="F3766" t="s">
        <v>32606</v>
      </c>
      <c r="G3766" t="s">
        <v>32614</v>
      </c>
      <c r="H3766" t="s">
        <v>14201</v>
      </c>
      <c r="I3766" t="s">
        <v>32633</v>
      </c>
      <c r="J3766" t="s">
        <v>32995</v>
      </c>
      <c r="K3766" t="s">
        <v>42623</v>
      </c>
      <c r="M3766" t="s">
        <v>44478</v>
      </c>
      <c r="N3766" t="s">
        <v>47304</v>
      </c>
      <c r="O3766" t="s">
        <v>47305</v>
      </c>
      <c r="P3766">
        <v>0</v>
      </c>
      <c r="Q3766">
        <v>20</v>
      </c>
      <c r="R3766" t="s">
        <v>47306</v>
      </c>
      <c r="S3766" t="s">
        <v>47414</v>
      </c>
      <c r="T3766" t="s">
        <v>49196</v>
      </c>
      <c r="U3766" t="s">
        <v>52782</v>
      </c>
      <c r="W3766" t="s">
        <v>44478</v>
      </c>
      <c r="X3766" t="s">
        <v>47308</v>
      </c>
    </row>
    <row r="3767" spans="1:24">
      <c r="A3767">
        <f>HYPERLINK("https://www.philgeps.gov.ph/GEPSNONPILOT/Tender/SplashBidNoticeAbstractUI.aspx?menuIndex=3&amp;refID=7196117&amp;Result=3","7196117")</f>
        <v>0</v>
      </c>
      <c r="B3767" t="s">
        <v>438</v>
      </c>
      <c r="C3767" t="s">
        <v>7426</v>
      </c>
      <c r="D3767" t="s">
        <v>19003</v>
      </c>
      <c r="E3767" t="s">
        <v>22467</v>
      </c>
      <c r="F3767" t="s">
        <v>32606</v>
      </c>
      <c r="G3767" t="s">
        <v>32614</v>
      </c>
      <c r="H3767" t="s">
        <v>14201</v>
      </c>
      <c r="I3767" t="s">
        <v>32633</v>
      </c>
      <c r="J3767" t="s">
        <v>35325</v>
      </c>
      <c r="K3767" t="s">
        <v>42638</v>
      </c>
      <c r="M3767" t="s">
        <v>43345</v>
      </c>
      <c r="N3767" t="s">
        <v>47304</v>
      </c>
      <c r="O3767" t="s">
        <v>47305</v>
      </c>
      <c r="P3767">
        <v>0</v>
      </c>
      <c r="Q3767">
        <v>3</v>
      </c>
      <c r="R3767" t="s">
        <v>47306</v>
      </c>
      <c r="S3767" t="s">
        <v>47414</v>
      </c>
      <c r="T3767" t="s">
        <v>49076</v>
      </c>
      <c r="U3767" t="s">
        <v>52783</v>
      </c>
      <c r="W3767" t="s">
        <v>43345</v>
      </c>
      <c r="X3767" t="s">
        <v>47308</v>
      </c>
    </row>
    <row r="3768" spans="1:24">
      <c r="A3768">
        <f>HYPERLINK("https://www.philgeps.gov.ph/GEPSNONPILOT/Tender/SplashBidNoticeAbstractUI.aspx?menuIndex=3&amp;refID=7196108&amp;Result=3","7196108")</f>
        <v>0</v>
      </c>
      <c r="B3768" t="s">
        <v>233</v>
      </c>
      <c r="C3768" t="s">
        <v>7427</v>
      </c>
      <c r="D3768" t="s">
        <v>18997</v>
      </c>
      <c r="E3768" t="s">
        <v>22468</v>
      </c>
      <c r="F3768" t="s">
        <v>32606</v>
      </c>
      <c r="G3768" t="s">
        <v>32613</v>
      </c>
      <c r="H3768" t="s">
        <v>14201</v>
      </c>
      <c r="I3768" t="s">
        <v>32635</v>
      </c>
      <c r="J3768" t="s">
        <v>35326</v>
      </c>
      <c r="K3768" t="s">
        <v>42631</v>
      </c>
      <c r="M3768" t="s">
        <v>44359</v>
      </c>
      <c r="N3768" t="s">
        <v>47304</v>
      </c>
      <c r="O3768" t="s">
        <v>47305</v>
      </c>
      <c r="P3768">
        <v>0</v>
      </c>
      <c r="Q3768">
        <v>2</v>
      </c>
      <c r="R3768" t="s">
        <v>47306</v>
      </c>
      <c r="S3768" t="s">
        <v>47414</v>
      </c>
      <c r="T3768" t="s">
        <v>49023</v>
      </c>
      <c r="U3768" t="s">
        <v>52443</v>
      </c>
      <c r="V3768" t="s">
        <v>63002</v>
      </c>
      <c r="W3768" t="s">
        <v>44359</v>
      </c>
      <c r="X3768" t="s">
        <v>47308</v>
      </c>
    </row>
    <row r="3769" spans="1:24">
      <c r="A3769">
        <f>HYPERLINK("https://www.philgeps.gov.ph/GEPSNONPILOT/Tender/SplashBidNoticeAbstractUI.aspx?menuIndex=3&amp;refID=7196116&amp;Result=3","7196116")</f>
        <v>0</v>
      </c>
      <c r="B3769" t="s">
        <v>344</v>
      </c>
      <c r="C3769" t="s">
        <v>7428</v>
      </c>
      <c r="D3769" t="s">
        <v>19002</v>
      </c>
      <c r="E3769" t="s">
        <v>22469</v>
      </c>
      <c r="F3769" t="s">
        <v>32606</v>
      </c>
      <c r="G3769" t="s">
        <v>32614</v>
      </c>
      <c r="H3769" t="s">
        <v>14201</v>
      </c>
      <c r="I3769" t="s">
        <v>32631</v>
      </c>
      <c r="J3769" t="s">
        <v>35327</v>
      </c>
      <c r="K3769" t="s">
        <v>42622</v>
      </c>
      <c r="M3769" t="s">
        <v>43246</v>
      </c>
      <c r="N3769" t="s">
        <v>47304</v>
      </c>
      <c r="O3769" t="s">
        <v>47305</v>
      </c>
      <c r="P3769">
        <v>0</v>
      </c>
      <c r="Q3769">
        <v>0</v>
      </c>
      <c r="R3769" t="s">
        <v>47306</v>
      </c>
      <c r="S3769" t="s">
        <v>47414</v>
      </c>
      <c r="T3769" t="s">
        <v>48996</v>
      </c>
      <c r="U3769" t="s">
        <v>52784</v>
      </c>
      <c r="W3769" t="s">
        <v>43246</v>
      </c>
      <c r="X3769" t="s">
        <v>47308</v>
      </c>
    </row>
    <row r="3770" spans="1:24">
      <c r="A3770">
        <f>HYPERLINK("https://www.philgeps.gov.ph/GEPSNONPILOT/Tender/SplashBidNoticeAbstractUI.aspx?menuIndex=3&amp;refID=7196106&amp;Result=3","7196106")</f>
        <v>0</v>
      </c>
      <c r="B3770" t="s">
        <v>1346</v>
      </c>
      <c r="C3770" t="s">
        <v>7170</v>
      </c>
      <c r="E3770" t="s">
        <v>22470</v>
      </c>
      <c r="F3770" t="s">
        <v>32606</v>
      </c>
      <c r="G3770" t="s">
        <v>32619</v>
      </c>
      <c r="H3770" t="s">
        <v>14201</v>
      </c>
      <c r="I3770" t="s">
        <v>6007</v>
      </c>
      <c r="J3770" t="s">
        <v>35153</v>
      </c>
      <c r="K3770" t="s">
        <v>42624</v>
      </c>
      <c r="M3770" t="s">
        <v>44320</v>
      </c>
      <c r="N3770" t="s">
        <v>47304</v>
      </c>
      <c r="O3770" t="s">
        <v>47305</v>
      </c>
      <c r="P3770">
        <v>0</v>
      </c>
      <c r="Q3770">
        <v>0</v>
      </c>
      <c r="R3770" t="s">
        <v>47306</v>
      </c>
      <c r="S3770" t="s">
        <v>47414</v>
      </c>
      <c r="T3770" t="s">
        <v>48998</v>
      </c>
      <c r="U3770" t="s">
        <v>52785</v>
      </c>
      <c r="W3770" t="s">
        <v>44320</v>
      </c>
      <c r="X3770" t="s">
        <v>47308</v>
      </c>
    </row>
    <row r="3771" spans="1:24">
      <c r="A3771">
        <f>HYPERLINK("https://www.philgeps.gov.ph/GEPSNONPILOT/Tender/SplashBidNoticeAbstractUI.aspx?menuIndex=3&amp;refID=7196115&amp;Result=3","7196115")</f>
        <v>0</v>
      </c>
      <c r="B3771" t="s">
        <v>1446</v>
      </c>
      <c r="C3771" t="s">
        <v>7429</v>
      </c>
      <c r="D3771" t="s">
        <v>19039</v>
      </c>
      <c r="E3771" t="s">
        <v>22471</v>
      </c>
      <c r="F3771" t="s">
        <v>32607</v>
      </c>
      <c r="G3771" t="s">
        <v>32614</v>
      </c>
      <c r="H3771" t="s">
        <v>14201</v>
      </c>
      <c r="I3771" t="s">
        <v>6007</v>
      </c>
      <c r="J3771" t="s">
        <v>33526</v>
      </c>
      <c r="K3771" t="s">
        <v>42630</v>
      </c>
      <c r="M3771" t="s">
        <v>44436</v>
      </c>
      <c r="N3771" t="s">
        <v>47304</v>
      </c>
      <c r="O3771" t="s">
        <v>47305</v>
      </c>
      <c r="P3771">
        <v>0</v>
      </c>
      <c r="Q3771">
        <v>0</v>
      </c>
      <c r="R3771" t="s">
        <v>47306</v>
      </c>
      <c r="S3771" t="s">
        <v>47414</v>
      </c>
      <c r="T3771" t="s">
        <v>48976</v>
      </c>
      <c r="U3771" t="s">
        <v>52786</v>
      </c>
      <c r="W3771" t="s">
        <v>44436</v>
      </c>
      <c r="X3771" t="s">
        <v>47308</v>
      </c>
    </row>
    <row r="3772" spans="1:24">
      <c r="A3772">
        <f>HYPERLINK("https://www.philgeps.gov.ph/GEPSNONPILOT/Tender/SplashBidNoticeAbstractUI.aspx?menuIndex=3&amp;refID=7196113&amp;Result=3","7196113")</f>
        <v>0</v>
      </c>
      <c r="B3772" t="s">
        <v>511</v>
      </c>
      <c r="C3772" t="s">
        <v>7430</v>
      </c>
      <c r="D3772" t="s">
        <v>19058</v>
      </c>
      <c r="E3772" t="s">
        <v>22472</v>
      </c>
      <c r="F3772" t="s">
        <v>32606</v>
      </c>
      <c r="G3772" t="s">
        <v>32613</v>
      </c>
      <c r="H3772" t="s">
        <v>32623</v>
      </c>
      <c r="I3772" t="s">
        <v>17648</v>
      </c>
      <c r="J3772" t="s">
        <v>32830</v>
      </c>
      <c r="K3772" t="s">
        <v>42624</v>
      </c>
      <c r="M3772" t="s">
        <v>43424</v>
      </c>
      <c r="N3772" t="s">
        <v>47304</v>
      </c>
      <c r="O3772" t="s">
        <v>47305</v>
      </c>
      <c r="P3772">
        <v>0</v>
      </c>
      <c r="Q3772">
        <v>0</v>
      </c>
      <c r="R3772" t="s">
        <v>47306</v>
      </c>
      <c r="S3772" t="s">
        <v>47414</v>
      </c>
      <c r="T3772" t="s">
        <v>48988</v>
      </c>
      <c r="U3772" t="s">
        <v>52787</v>
      </c>
      <c r="W3772" t="s">
        <v>43424</v>
      </c>
      <c r="X3772" t="s">
        <v>47308</v>
      </c>
    </row>
    <row r="3773" spans="1:24">
      <c r="A3773">
        <f>HYPERLINK("https://www.philgeps.gov.ph/GEPSNONPILOT/Tender/SplashBidNoticeAbstractUI.aspx?menuIndex=3&amp;refID=7196122&amp;Result=3","7196122")</f>
        <v>0</v>
      </c>
      <c r="B3773" t="s">
        <v>234</v>
      </c>
      <c r="C3773" t="s">
        <v>7431</v>
      </c>
      <c r="D3773" t="s">
        <v>19052</v>
      </c>
      <c r="E3773" t="s">
        <v>22473</v>
      </c>
      <c r="F3773" t="s">
        <v>32606</v>
      </c>
      <c r="G3773" t="s">
        <v>32614</v>
      </c>
      <c r="H3773" t="s">
        <v>14201</v>
      </c>
      <c r="I3773" t="s">
        <v>32660</v>
      </c>
      <c r="J3773" t="s">
        <v>35328</v>
      </c>
      <c r="K3773" t="s">
        <v>42631</v>
      </c>
      <c r="M3773" t="s">
        <v>43135</v>
      </c>
      <c r="N3773" t="s">
        <v>47304</v>
      </c>
      <c r="O3773" t="s">
        <v>47305</v>
      </c>
      <c r="P3773">
        <v>0</v>
      </c>
      <c r="Q3773">
        <v>0</v>
      </c>
      <c r="R3773" t="s">
        <v>47306</v>
      </c>
      <c r="S3773" t="s">
        <v>47414</v>
      </c>
      <c r="T3773" t="s">
        <v>49050</v>
      </c>
      <c r="U3773" t="s">
        <v>52788</v>
      </c>
      <c r="V3773" t="s">
        <v>62641</v>
      </c>
      <c r="W3773" t="s">
        <v>43135</v>
      </c>
      <c r="X3773" t="s">
        <v>47308</v>
      </c>
    </row>
    <row r="3774" spans="1:24">
      <c r="A3774">
        <f>HYPERLINK("https://www.philgeps.gov.ph/GEPSNONPILOT/Tender/SplashBidNoticeAbstractUI.aspx?menuIndex=3&amp;refID=7196102&amp;Result=3","7196102")</f>
        <v>0</v>
      </c>
      <c r="B3774" t="s">
        <v>535</v>
      </c>
      <c r="C3774" t="s">
        <v>7432</v>
      </c>
      <c r="D3774" t="s">
        <v>19031</v>
      </c>
      <c r="E3774" t="s">
        <v>22474</v>
      </c>
      <c r="F3774" t="s">
        <v>32606</v>
      </c>
      <c r="G3774" t="s">
        <v>32614</v>
      </c>
      <c r="H3774" t="s">
        <v>14201</v>
      </c>
      <c r="I3774" t="s">
        <v>32652</v>
      </c>
      <c r="J3774" t="s">
        <v>33227</v>
      </c>
      <c r="K3774" t="s">
        <v>42631</v>
      </c>
      <c r="M3774" t="s">
        <v>43448</v>
      </c>
      <c r="N3774" t="s">
        <v>47304</v>
      </c>
      <c r="O3774" t="s">
        <v>47305</v>
      </c>
      <c r="P3774">
        <v>0</v>
      </c>
      <c r="Q3774">
        <v>0</v>
      </c>
      <c r="R3774" t="s">
        <v>47306</v>
      </c>
      <c r="S3774" t="s">
        <v>47414</v>
      </c>
      <c r="T3774" t="s">
        <v>48980</v>
      </c>
      <c r="U3774" t="s">
        <v>52789</v>
      </c>
      <c r="W3774" t="s">
        <v>43448</v>
      </c>
      <c r="X3774" t="s">
        <v>47308</v>
      </c>
    </row>
    <row r="3775" spans="1:24">
      <c r="A3775">
        <f>HYPERLINK("https://www.philgeps.gov.ph/GEPSNONPILOT/Tender/SplashBidNoticeAbstractUI.aspx?menuIndex=3&amp;refID=7196118&amp;Result=3","7196118")</f>
        <v>0</v>
      </c>
      <c r="B3775" t="s">
        <v>1349</v>
      </c>
      <c r="C3775" t="s">
        <v>7433</v>
      </c>
      <c r="D3775" t="s">
        <v>19014</v>
      </c>
      <c r="E3775" t="s">
        <v>22475</v>
      </c>
      <c r="F3775" t="s">
        <v>32606</v>
      </c>
      <c r="G3775" t="s">
        <v>32614</v>
      </c>
      <c r="H3775" t="s">
        <v>32624</v>
      </c>
      <c r="I3775" t="s">
        <v>32675</v>
      </c>
      <c r="J3775" t="s">
        <v>35329</v>
      </c>
      <c r="K3775" t="s">
        <v>42636</v>
      </c>
      <c r="M3775" t="s">
        <v>44323</v>
      </c>
      <c r="N3775" t="s">
        <v>47304</v>
      </c>
      <c r="O3775" t="s">
        <v>47305</v>
      </c>
      <c r="P3775">
        <v>0</v>
      </c>
      <c r="Q3775">
        <v>0</v>
      </c>
      <c r="R3775" t="s">
        <v>47306</v>
      </c>
      <c r="S3775" t="s">
        <v>47414</v>
      </c>
      <c r="T3775" t="s">
        <v>49140</v>
      </c>
      <c r="U3775" t="s">
        <v>52790</v>
      </c>
      <c r="W3775" t="s">
        <v>44323</v>
      </c>
      <c r="X3775" t="s">
        <v>47308</v>
      </c>
    </row>
    <row r="3776" spans="1:24">
      <c r="A3776">
        <f>HYPERLINK("https://www.philgeps.gov.ph/GEPSNONPILOT/Tender/SplashBidNoticeAbstractUI.aspx?menuIndex=3&amp;refID=7196100&amp;Result=3","7196100")</f>
        <v>0</v>
      </c>
      <c r="B3776" t="s">
        <v>1484</v>
      </c>
      <c r="C3776" t="s">
        <v>7434</v>
      </c>
      <c r="D3776" t="s">
        <v>19011</v>
      </c>
      <c r="E3776" t="s">
        <v>22476</v>
      </c>
      <c r="F3776" t="s">
        <v>32606</v>
      </c>
      <c r="G3776" t="s">
        <v>32613</v>
      </c>
      <c r="H3776" t="s">
        <v>14201</v>
      </c>
      <c r="I3776" t="s">
        <v>6931</v>
      </c>
      <c r="J3776" t="s">
        <v>32789</v>
      </c>
      <c r="K3776" t="s">
        <v>42622</v>
      </c>
      <c r="M3776" t="s">
        <v>44479</v>
      </c>
      <c r="N3776" t="s">
        <v>47304</v>
      </c>
      <c r="O3776" t="s">
        <v>47305</v>
      </c>
      <c r="P3776">
        <v>0</v>
      </c>
      <c r="Q3776">
        <v>2</v>
      </c>
      <c r="R3776" t="s">
        <v>47306</v>
      </c>
      <c r="S3776" t="s">
        <v>47414</v>
      </c>
      <c r="T3776" t="s">
        <v>49080</v>
      </c>
      <c r="U3776" t="s">
        <v>52791</v>
      </c>
      <c r="W3776" t="s">
        <v>44479</v>
      </c>
      <c r="X3776" t="s">
        <v>47308</v>
      </c>
    </row>
    <row r="3777" spans="1:24">
      <c r="A3777">
        <f>HYPERLINK("https://www.philgeps.gov.ph/GEPSNONPILOT/Tender/SplashBidNoticeAbstractUI.aspx?menuIndex=3&amp;refID=7196140&amp;Result=3","7196140")</f>
        <v>0</v>
      </c>
      <c r="B3777" t="s">
        <v>464</v>
      </c>
      <c r="C3777" t="s">
        <v>7435</v>
      </c>
      <c r="D3777" t="s">
        <v>19044</v>
      </c>
      <c r="E3777" t="s">
        <v>22477</v>
      </c>
      <c r="F3777" t="s">
        <v>32606</v>
      </c>
      <c r="G3777" t="s">
        <v>32614</v>
      </c>
      <c r="H3777" t="s">
        <v>14201</v>
      </c>
      <c r="I3777" t="s">
        <v>6298</v>
      </c>
      <c r="J3777" t="s">
        <v>33251</v>
      </c>
      <c r="K3777" t="s">
        <v>42631</v>
      </c>
      <c r="M3777" t="s">
        <v>43374</v>
      </c>
      <c r="N3777" t="s">
        <v>47304</v>
      </c>
      <c r="O3777" t="s">
        <v>47305</v>
      </c>
      <c r="P3777">
        <v>0</v>
      </c>
      <c r="Q3777">
        <v>3</v>
      </c>
      <c r="R3777" t="s">
        <v>47306</v>
      </c>
      <c r="S3777" t="s">
        <v>47414</v>
      </c>
      <c r="T3777" t="s">
        <v>48980</v>
      </c>
      <c r="U3777" t="s">
        <v>52792</v>
      </c>
      <c r="W3777" t="s">
        <v>43374</v>
      </c>
      <c r="X3777" t="s">
        <v>47308</v>
      </c>
    </row>
    <row r="3778" spans="1:24">
      <c r="A3778">
        <f>HYPERLINK("https://www.philgeps.gov.ph/GEPSNONPILOT/Tender/SplashBidNoticeAbstractUI.aspx?menuIndex=3&amp;refID=7196139&amp;Result=3","7196139")</f>
        <v>0</v>
      </c>
      <c r="B3778" t="s">
        <v>1485</v>
      </c>
      <c r="C3778" t="s">
        <v>7436</v>
      </c>
      <c r="D3778" t="s">
        <v>18993</v>
      </c>
      <c r="E3778" t="s">
        <v>22478</v>
      </c>
      <c r="F3778" t="s">
        <v>32606</v>
      </c>
      <c r="G3778" t="s">
        <v>32617</v>
      </c>
      <c r="H3778" t="s">
        <v>14201</v>
      </c>
      <c r="I3778" t="s">
        <v>4114</v>
      </c>
      <c r="J3778" t="s">
        <v>35330</v>
      </c>
      <c r="K3778" t="s">
        <v>42631</v>
      </c>
      <c r="M3778" t="s">
        <v>44480</v>
      </c>
      <c r="N3778" t="s">
        <v>47304</v>
      </c>
      <c r="O3778" t="s">
        <v>47305</v>
      </c>
      <c r="P3778">
        <v>0</v>
      </c>
      <c r="Q3778">
        <v>9</v>
      </c>
      <c r="R3778" t="s">
        <v>47306</v>
      </c>
      <c r="S3778" t="s">
        <v>47414</v>
      </c>
      <c r="T3778" t="s">
        <v>48986</v>
      </c>
      <c r="U3778" t="s">
        <v>51739</v>
      </c>
      <c r="W3778" t="s">
        <v>44480</v>
      </c>
      <c r="X3778" t="s">
        <v>47308</v>
      </c>
    </row>
    <row r="3779" spans="1:24">
      <c r="A3779">
        <f>HYPERLINK("https://www.philgeps.gov.ph/GEPSNONPILOT/Tender/SplashBidNoticeAbstractUI.aspx?menuIndex=3&amp;refID=7196114&amp;Result=3","7196114")</f>
        <v>0</v>
      </c>
      <c r="B3779" t="s">
        <v>1486</v>
      </c>
      <c r="C3779" t="s">
        <v>7437</v>
      </c>
      <c r="D3779" t="s">
        <v>19044</v>
      </c>
      <c r="E3779" t="s">
        <v>22479</v>
      </c>
      <c r="F3779" t="s">
        <v>32606</v>
      </c>
      <c r="G3779" t="s">
        <v>32613</v>
      </c>
      <c r="H3779" t="s">
        <v>14201</v>
      </c>
      <c r="I3779" t="s">
        <v>6931</v>
      </c>
      <c r="J3779" t="s">
        <v>35331</v>
      </c>
      <c r="K3779" t="s">
        <v>42639</v>
      </c>
      <c r="M3779" t="s">
        <v>44481</v>
      </c>
      <c r="N3779" t="s">
        <v>47304</v>
      </c>
      <c r="O3779" t="s">
        <v>47305</v>
      </c>
      <c r="P3779">
        <v>0</v>
      </c>
      <c r="Q3779">
        <v>0</v>
      </c>
      <c r="R3779" t="s">
        <v>47306</v>
      </c>
      <c r="S3779" t="s">
        <v>47414</v>
      </c>
      <c r="T3779" t="s">
        <v>49009</v>
      </c>
      <c r="U3779" t="s">
        <v>52793</v>
      </c>
      <c r="W3779" t="s">
        <v>44481</v>
      </c>
      <c r="X3779" t="s">
        <v>47308</v>
      </c>
    </row>
    <row r="3780" spans="1:24">
      <c r="A3780">
        <f>HYPERLINK("https://www.philgeps.gov.ph/GEPSNONPILOT/Tender/SplashBidNoticeAbstractUI.aspx?menuIndex=3&amp;refID=7196138&amp;Result=3","7196138")</f>
        <v>0</v>
      </c>
      <c r="B3780" t="s">
        <v>1487</v>
      </c>
      <c r="C3780" t="s">
        <v>7438</v>
      </c>
      <c r="D3780" t="s">
        <v>19008</v>
      </c>
      <c r="E3780" t="s">
        <v>22480</v>
      </c>
      <c r="F3780" t="s">
        <v>32606</v>
      </c>
      <c r="G3780" t="s">
        <v>32614</v>
      </c>
      <c r="H3780" t="s">
        <v>14201</v>
      </c>
      <c r="I3780" t="s">
        <v>4114</v>
      </c>
      <c r="J3780" t="s">
        <v>35332</v>
      </c>
      <c r="K3780" t="s">
        <v>42631</v>
      </c>
      <c r="M3780" t="s">
        <v>44482</v>
      </c>
      <c r="N3780" t="s">
        <v>47304</v>
      </c>
      <c r="O3780" t="s">
        <v>47305</v>
      </c>
      <c r="P3780">
        <v>0</v>
      </c>
      <c r="Q3780">
        <v>2</v>
      </c>
      <c r="R3780" t="s">
        <v>47306</v>
      </c>
      <c r="S3780" t="s">
        <v>47414</v>
      </c>
      <c r="T3780" t="s">
        <v>48980</v>
      </c>
      <c r="U3780" t="s">
        <v>52794</v>
      </c>
      <c r="W3780" t="s">
        <v>44482</v>
      </c>
      <c r="X3780" t="s">
        <v>47308</v>
      </c>
    </row>
    <row r="3781" spans="1:24">
      <c r="A3781">
        <f>HYPERLINK("https://www.philgeps.gov.ph/GEPSNONPILOT/Tender/SplashBidNoticeAbstractUI.aspx?menuIndex=3&amp;refID=7196031&amp;Result=3","7196031")</f>
        <v>0</v>
      </c>
      <c r="B3781" t="s">
        <v>1411</v>
      </c>
      <c r="C3781" t="s">
        <v>7439</v>
      </c>
      <c r="D3781" t="s">
        <v>19051</v>
      </c>
      <c r="E3781" t="s">
        <v>22481</v>
      </c>
      <c r="F3781" t="s">
        <v>32606</v>
      </c>
      <c r="G3781" t="s">
        <v>32614</v>
      </c>
      <c r="H3781" t="s">
        <v>14201</v>
      </c>
      <c r="I3781" t="s">
        <v>6931</v>
      </c>
      <c r="J3781" t="s">
        <v>35333</v>
      </c>
      <c r="K3781" t="s">
        <v>42632</v>
      </c>
      <c r="M3781" t="s">
        <v>44398</v>
      </c>
      <c r="N3781" t="s">
        <v>47304</v>
      </c>
      <c r="O3781" t="s">
        <v>47305</v>
      </c>
      <c r="P3781">
        <v>0</v>
      </c>
      <c r="Q3781">
        <v>0</v>
      </c>
      <c r="R3781" t="s">
        <v>47306</v>
      </c>
      <c r="S3781" t="s">
        <v>47414</v>
      </c>
      <c r="T3781" t="s">
        <v>49019</v>
      </c>
      <c r="U3781" t="s">
        <v>52795</v>
      </c>
      <c r="W3781" t="s">
        <v>44398</v>
      </c>
      <c r="X3781" t="s">
        <v>47308</v>
      </c>
    </row>
    <row r="3782" spans="1:24">
      <c r="A3782">
        <f>HYPERLINK("https://www.philgeps.gov.ph/GEPSNONPILOT/Tender/SplashBidNoticeAbstractUI.aspx?menuIndex=3&amp;refID=7196123&amp;Result=3","7196123")</f>
        <v>0</v>
      </c>
      <c r="B3782" t="s">
        <v>895</v>
      </c>
      <c r="C3782" t="s">
        <v>4830</v>
      </c>
      <c r="D3782" t="s">
        <v>18993</v>
      </c>
      <c r="E3782" t="s">
        <v>22482</v>
      </c>
      <c r="F3782" t="s">
        <v>32606</v>
      </c>
      <c r="G3782" t="s">
        <v>32619</v>
      </c>
      <c r="H3782" t="s">
        <v>14201</v>
      </c>
      <c r="I3782" t="s">
        <v>4120</v>
      </c>
      <c r="J3782" t="s">
        <v>35334</v>
      </c>
      <c r="K3782" t="s">
        <v>42624</v>
      </c>
      <c r="M3782" t="s">
        <v>43831</v>
      </c>
      <c r="N3782" t="s">
        <v>47304</v>
      </c>
      <c r="O3782" t="s">
        <v>47305</v>
      </c>
      <c r="P3782">
        <v>0</v>
      </c>
      <c r="Q3782">
        <v>3</v>
      </c>
      <c r="R3782" t="s">
        <v>47306</v>
      </c>
      <c r="S3782" t="s">
        <v>47414</v>
      </c>
      <c r="T3782" t="s">
        <v>49014</v>
      </c>
      <c r="U3782" t="s">
        <v>52796</v>
      </c>
      <c r="W3782" t="s">
        <v>43831</v>
      </c>
      <c r="X3782" t="s">
        <v>47308</v>
      </c>
    </row>
    <row r="3783" spans="1:24">
      <c r="A3783">
        <f>HYPERLINK("https://www.philgeps.gov.ph/GEPSNONPILOT/Tender/SplashBidNoticeAbstractUI.aspx?menuIndex=3&amp;refID=7196146&amp;Result=3","7196146")</f>
        <v>0</v>
      </c>
      <c r="B3783" t="s">
        <v>1446</v>
      </c>
      <c r="C3783" t="s">
        <v>7440</v>
      </c>
      <c r="D3783" t="s">
        <v>19039</v>
      </c>
      <c r="E3783" t="s">
        <v>22483</v>
      </c>
      <c r="F3783" t="s">
        <v>32607</v>
      </c>
      <c r="G3783" t="s">
        <v>32614</v>
      </c>
      <c r="H3783" t="s">
        <v>14201</v>
      </c>
      <c r="I3783" t="s">
        <v>32633</v>
      </c>
      <c r="J3783" t="s">
        <v>32811</v>
      </c>
      <c r="K3783" t="s">
        <v>42630</v>
      </c>
      <c r="M3783" t="s">
        <v>44436</v>
      </c>
      <c r="N3783" t="s">
        <v>47304</v>
      </c>
      <c r="O3783" t="s">
        <v>47305</v>
      </c>
      <c r="P3783">
        <v>0</v>
      </c>
      <c r="Q3783">
        <v>1</v>
      </c>
      <c r="R3783" t="s">
        <v>47306</v>
      </c>
      <c r="S3783" t="s">
        <v>47414</v>
      </c>
      <c r="T3783" t="s">
        <v>48976</v>
      </c>
      <c r="U3783" t="s">
        <v>52797</v>
      </c>
      <c r="W3783" t="s">
        <v>44436</v>
      </c>
      <c r="X3783" t="s">
        <v>47308</v>
      </c>
    </row>
    <row r="3784" spans="1:24">
      <c r="A3784">
        <f>HYPERLINK("https://www.philgeps.gov.ph/GEPSNONPILOT/Tender/SplashBidNoticeAbstractUI.aspx?menuIndex=3&amp;refID=7196079&amp;Result=3","7196079")</f>
        <v>0</v>
      </c>
      <c r="B3784" t="s">
        <v>1488</v>
      </c>
      <c r="C3784" t="s">
        <v>7441</v>
      </c>
      <c r="D3784" t="s">
        <v>19043</v>
      </c>
      <c r="E3784" t="s">
        <v>22484</v>
      </c>
      <c r="F3784" t="s">
        <v>32606</v>
      </c>
      <c r="G3784" t="s">
        <v>32614</v>
      </c>
      <c r="H3784" t="s">
        <v>14201</v>
      </c>
      <c r="I3784" t="s">
        <v>6993</v>
      </c>
      <c r="J3784" t="s">
        <v>33125</v>
      </c>
      <c r="K3784" t="s">
        <v>42623</v>
      </c>
      <c r="M3784" t="s">
        <v>44483</v>
      </c>
      <c r="N3784" t="s">
        <v>47304</v>
      </c>
      <c r="O3784" t="s">
        <v>47305</v>
      </c>
      <c r="P3784">
        <v>0</v>
      </c>
      <c r="Q3784">
        <v>0</v>
      </c>
      <c r="R3784" t="s">
        <v>47306</v>
      </c>
      <c r="S3784" t="s">
        <v>47414</v>
      </c>
      <c r="T3784" t="s">
        <v>48986</v>
      </c>
      <c r="U3784" t="s">
        <v>52798</v>
      </c>
      <c r="W3784" t="s">
        <v>44483</v>
      </c>
      <c r="X3784" t="s">
        <v>47308</v>
      </c>
    </row>
    <row r="3785" spans="1:24">
      <c r="A3785">
        <f>HYPERLINK("https://www.philgeps.gov.ph/GEPSNONPILOT/Tender/SplashBidNoticeAbstractUI.aspx?menuIndex=3&amp;refID=7196136&amp;Result=3","7196136")</f>
        <v>0</v>
      </c>
      <c r="B3785" t="s">
        <v>1045</v>
      </c>
      <c r="C3785" t="s">
        <v>7442</v>
      </c>
      <c r="D3785" t="s">
        <v>18995</v>
      </c>
      <c r="E3785" t="s">
        <v>22485</v>
      </c>
      <c r="F3785" t="s">
        <v>32606</v>
      </c>
      <c r="G3785" t="s">
        <v>32614</v>
      </c>
      <c r="H3785" t="s">
        <v>14201</v>
      </c>
      <c r="I3785" t="s">
        <v>6007</v>
      </c>
      <c r="J3785" t="s">
        <v>35335</v>
      </c>
      <c r="K3785" t="s">
        <v>42624</v>
      </c>
      <c r="M3785" t="s">
        <v>43998</v>
      </c>
      <c r="N3785" t="s">
        <v>47304</v>
      </c>
      <c r="O3785" t="s">
        <v>47305</v>
      </c>
      <c r="P3785">
        <v>0</v>
      </c>
      <c r="Q3785">
        <v>0</v>
      </c>
      <c r="R3785" t="s">
        <v>47306</v>
      </c>
      <c r="S3785" t="s">
        <v>47414</v>
      </c>
      <c r="T3785" t="s">
        <v>48979</v>
      </c>
      <c r="U3785" t="s">
        <v>52799</v>
      </c>
      <c r="W3785" t="s">
        <v>43998</v>
      </c>
      <c r="X3785" t="s">
        <v>47308</v>
      </c>
    </row>
    <row r="3786" spans="1:24">
      <c r="A3786">
        <f>HYPERLINK("https://www.philgeps.gov.ph/GEPSNONPILOT/Tender/SplashBidNoticeAbstractUI.aspx?menuIndex=3&amp;refID=7196144&amp;Result=3","7196144")</f>
        <v>0</v>
      </c>
      <c r="B3786" t="s">
        <v>81</v>
      </c>
      <c r="C3786" t="s">
        <v>7443</v>
      </c>
      <c r="D3786" t="s">
        <v>18995</v>
      </c>
      <c r="E3786" t="s">
        <v>22486</v>
      </c>
      <c r="F3786" t="s">
        <v>32606</v>
      </c>
      <c r="G3786" t="s">
        <v>32614</v>
      </c>
      <c r="H3786" t="s">
        <v>14201</v>
      </c>
      <c r="I3786" t="s">
        <v>7577</v>
      </c>
      <c r="J3786" t="s">
        <v>35336</v>
      </c>
      <c r="K3786" t="s">
        <v>42624</v>
      </c>
      <c r="M3786" t="s">
        <v>42978</v>
      </c>
      <c r="N3786" t="s">
        <v>47304</v>
      </c>
      <c r="O3786" t="s">
        <v>47305</v>
      </c>
      <c r="P3786">
        <v>0</v>
      </c>
      <c r="Q3786">
        <v>0</v>
      </c>
      <c r="R3786" t="s">
        <v>47306</v>
      </c>
      <c r="S3786" t="s">
        <v>47414</v>
      </c>
      <c r="T3786" t="s">
        <v>49014</v>
      </c>
      <c r="U3786" t="s">
        <v>52800</v>
      </c>
      <c r="W3786" t="s">
        <v>42978</v>
      </c>
      <c r="X3786" t="s">
        <v>47308</v>
      </c>
    </row>
    <row r="3787" spans="1:24">
      <c r="A3787">
        <f>HYPERLINK("https://www.philgeps.gov.ph/GEPSNONPILOT/Tender/SplashBidNoticeAbstractUI.aspx?menuIndex=3&amp;refID=7196103&amp;Result=3","7196103")</f>
        <v>0</v>
      </c>
      <c r="B3787" t="s">
        <v>1472</v>
      </c>
      <c r="C3787" t="s">
        <v>7444</v>
      </c>
      <c r="D3787" t="s">
        <v>19022</v>
      </c>
      <c r="E3787" t="s">
        <v>22487</v>
      </c>
      <c r="F3787" t="s">
        <v>32606</v>
      </c>
      <c r="G3787" t="s">
        <v>32614</v>
      </c>
      <c r="H3787" t="s">
        <v>14201</v>
      </c>
      <c r="I3787" t="s">
        <v>4112</v>
      </c>
      <c r="J3787" t="s">
        <v>32981</v>
      </c>
      <c r="K3787" t="s">
        <v>42630</v>
      </c>
      <c r="M3787" t="s">
        <v>44466</v>
      </c>
      <c r="N3787" t="s">
        <v>47304</v>
      </c>
      <c r="O3787" t="s">
        <v>47305</v>
      </c>
      <c r="P3787">
        <v>0</v>
      </c>
      <c r="Q3787">
        <v>1</v>
      </c>
      <c r="R3787" t="s">
        <v>47306</v>
      </c>
      <c r="S3787" t="s">
        <v>47414</v>
      </c>
      <c r="T3787" t="s">
        <v>48997</v>
      </c>
      <c r="U3787" t="s">
        <v>52801</v>
      </c>
      <c r="W3787" t="s">
        <v>44466</v>
      </c>
      <c r="X3787" t="s">
        <v>47308</v>
      </c>
    </row>
    <row r="3788" spans="1:24">
      <c r="A3788">
        <f>HYPERLINK("https://www.philgeps.gov.ph/GEPSNONPILOT/Tender/SplashBidNoticeAbstractUI.aspx?menuIndex=3&amp;refID=7196143&amp;Result=3","7196143")</f>
        <v>0</v>
      </c>
      <c r="B3788" t="s">
        <v>809</v>
      </c>
      <c r="C3788" t="s">
        <v>7445</v>
      </c>
      <c r="D3788" t="s">
        <v>19010</v>
      </c>
      <c r="E3788" t="s">
        <v>22488</v>
      </c>
      <c r="F3788" t="s">
        <v>32606</v>
      </c>
      <c r="G3788" t="s">
        <v>32614</v>
      </c>
      <c r="H3788" t="s">
        <v>14201</v>
      </c>
      <c r="I3788" t="s">
        <v>6298</v>
      </c>
      <c r="J3788" t="s">
        <v>35337</v>
      </c>
      <c r="K3788" t="s">
        <v>42622</v>
      </c>
      <c r="M3788" t="s">
        <v>43740</v>
      </c>
      <c r="N3788" t="s">
        <v>47304</v>
      </c>
      <c r="O3788" t="s">
        <v>47305</v>
      </c>
      <c r="P3788">
        <v>0</v>
      </c>
      <c r="Q3788">
        <v>1</v>
      </c>
      <c r="R3788" t="s">
        <v>47306</v>
      </c>
      <c r="S3788" t="s">
        <v>47414</v>
      </c>
      <c r="T3788" t="s">
        <v>49023</v>
      </c>
      <c r="U3788" t="s">
        <v>52802</v>
      </c>
      <c r="W3788" t="s">
        <v>43740</v>
      </c>
      <c r="X3788" t="s">
        <v>47308</v>
      </c>
    </row>
    <row r="3789" spans="1:24">
      <c r="A3789">
        <f>HYPERLINK("https://www.philgeps.gov.ph/GEPSNONPILOT/Tender/SplashBidNoticeAbstractUI.aspx?menuIndex=3&amp;refID=7196150&amp;Result=3","7196150")</f>
        <v>0</v>
      </c>
      <c r="B3789" t="s">
        <v>296</v>
      </c>
      <c r="C3789" t="s">
        <v>7446</v>
      </c>
      <c r="D3789" t="s">
        <v>19038</v>
      </c>
      <c r="E3789" t="s">
        <v>22489</v>
      </c>
      <c r="F3789" t="s">
        <v>32606</v>
      </c>
      <c r="G3789" t="s">
        <v>32613</v>
      </c>
      <c r="H3789" t="s">
        <v>14201</v>
      </c>
      <c r="I3789" t="s">
        <v>7677</v>
      </c>
      <c r="J3789" t="s">
        <v>35338</v>
      </c>
      <c r="K3789" t="s">
        <v>42624</v>
      </c>
      <c r="M3789" t="s">
        <v>43198</v>
      </c>
      <c r="N3789" t="s">
        <v>47304</v>
      </c>
      <c r="O3789" t="s">
        <v>47305</v>
      </c>
      <c r="P3789">
        <v>0</v>
      </c>
      <c r="Q3789">
        <v>0</v>
      </c>
      <c r="R3789" t="s">
        <v>47306</v>
      </c>
      <c r="S3789" t="s">
        <v>47414</v>
      </c>
      <c r="T3789" t="s">
        <v>49017</v>
      </c>
      <c r="U3789" t="s">
        <v>50103</v>
      </c>
      <c r="W3789" t="s">
        <v>43198</v>
      </c>
      <c r="X3789" t="s">
        <v>47308</v>
      </c>
    </row>
    <row r="3790" spans="1:24">
      <c r="A3790">
        <f>HYPERLINK("https://www.philgeps.gov.ph/GEPSNONPILOT/Tender/SplashBidNoticeAbstractUI.aspx?menuIndex=3&amp;refID=7196134&amp;Result=3","7196134")</f>
        <v>0</v>
      </c>
      <c r="B3790" t="s">
        <v>1411</v>
      </c>
      <c r="C3790" t="s">
        <v>7447</v>
      </c>
      <c r="D3790" t="s">
        <v>19031</v>
      </c>
      <c r="E3790" t="s">
        <v>22490</v>
      </c>
      <c r="F3790" t="s">
        <v>32606</v>
      </c>
      <c r="G3790" t="s">
        <v>32614</v>
      </c>
      <c r="H3790" t="s">
        <v>14201</v>
      </c>
      <c r="I3790" t="s">
        <v>4120</v>
      </c>
      <c r="J3790" t="s">
        <v>33009</v>
      </c>
      <c r="K3790" t="s">
        <v>42632</v>
      </c>
      <c r="M3790" t="s">
        <v>44398</v>
      </c>
      <c r="N3790" t="s">
        <v>47304</v>
      </c>
      <c r="O3790" t="s">
        <v>47305</v>
      </c>
      <c r="P3790">
        <v>0</v>
      </c>
      <c r="Q3790">
        <v>1</v>
      </c>
      <c r="R3790" t="s">
        <v>47306</v>
      </c>
      <c r="S3790" t="s">
        <v>47414</v>
      </c>
      <c r="T3790" t="s">
        <v>49019</v>
      </c>
      <c r="U3790" t="s">
        <v>52803</v>
      </c>
      <c r="W3790" t="s">
        <v>44398</v>
      </c>
      <c r="X3790" t="s">
        <v>47308</v>
      </c>
    </row>
    <row r="3791" spans="1:24">
      <c r="A3791">
        <f>HYPERLINK("https://www.philgeps.gov.ph/GEPSNONPILOT/Tender/SplashBidNoticeAbstractUI.aspx?menuIndex=3&amp;refID=7196148&amp;Result=3","7196148")</f>
        <v>0</v>
      </c>
      <c r="B3791" t="s">
        <v>980</v>
      </c>
      <c r="C3791" t="s">
        <v>7448</v>
      </c>
      <c r="E3791" t="s">
        <v>22491</v>
      </c>
      <c r="F3791" t="s">
        <v>32606</v>
      </c>
      <c r="G3791" t="s">
        <v>32614</v>
      </c>
      <c r="H3791" t="s">
        <v>14201</v>
      </c>
      <c r="I3791" t="s">
        <v>32639</v>
      </c>
      <c r="J3791" t="s">
        <v>33103</v>
      </c>
      <c r="K3791" t="s">
        <v>42624</v>
      </c>
      <c r="M3791" t="s">
        <v>43926</v>
      </c>
      <c r="N3791" t="s">
        <v>47304</v>
      </c>
      <c r="O3791" t="s">
        <v>47305</v>
      </c>
      <c r="P3791">
        <v>0</v>
      </c>
      <c r="Q3791">
        <v>4</v>
      </c>
      <c r="R3791" t="s">
        <v>47306</v>
      </c>
      <c r="S3791" t="s">
        <v>47414</v>
      </c>
      <c r="T3791" t="s">
        <v>49014</v>
      </c>
      <c r="U3791" t="s">
        <v>52804</v>
      </c>
      <c r="V3791" t="s">
        <v>62772</v>
      </c>
      <c r="W3791" t="s">
        <v>43926</v>
      </c>
      <c r="X3791" t="s">
        <v>47308</v>
      </c>
    </row>
    <row r="3792" spans="1:24">
      <c r="A3792">
        <f>HYPERLINK("https://www.philgeps.gov.ph/GEPSNONPILOT/Tender/SplashBidNoticeAbstractUI.aspx?menuIndex=3&amp;refID=7196130&amp;Result=3","7196130")</f>
        <v>0</v>
      </c>
      <c r="B3792" t="s">
        <v>1489</v>
      </c>
      <c r="C3792" t="s">
        <v>7449</v>
      </c>
      <c r="D3792" t="s">
        <v>19063</v>
      </c>
      <c r="E3792" t="s">
        <v>22492</v>
      </c>
      <c r="F3792" t="s">
        <v>32606</v>
      </c>
      <c r="G3792" t="s">
        <v>32614</v>
      </c>
      <c r="H3792" t="s">
        <v>14201</v>
      </c>
      <c r="I3792" t="s">
        <v>7577</v>
      </c>
      <c r="J3792" t="s">
        <v>35339</v>
      </c>
      <c r="K3792" t="s">
        <v>42622</v>
      </c>
      <c r="M3792" t="s">
        <v>44484</v>
      </c>
      <c r="N3792" t="s">
        <v>47304</v>
      </c>
      <c r="O3792" t="s">
        <v>47305</v>
      </c>
      <c r="P3792">
        <v>0</v>
      </c>
      <c r="Q3792">
        <v>2</v>
      </c>
      <c r="R3792" t="s">
        <v>47306</v>
      </c>
      <c r="S3792" t="s">
        <v>47414</v>
      </c>
      <c r="T3792" t="s">
        <v>49004</v>
      </c>
      <c r="U3792" t="s">
        <v>52805</v>
      </c>
      <c r="V3792" t="s">
        <v>63031</v>
      </c>
      <c r="W3792" t="s">
        <v>44484</v>
      </c>
      <c r="X3792" t="s">
        <v>47308</v>
      </c>
    </row>
    <row r="3793" spans="1:24">
      <c r="A3793">
        <f>HYPERLINK("https://www.philgeps.gov.ph/GEPSNONPILOT/Tender/SplashBidNoticeAbstractUI.aspx?menuIndex=3&amp;refID=7196129&amp;Result=3","7196129")</f>
        <v>0</v>
      </c>
      <c r="B3793" t="s">
        <v>1490</v>
      </c>
      <c r="C3793" t="s">
        <v>7450</v>
      </c>
      <c r="D3793" t="s">
        <v>19005</v>
      </c>
      <c r="E3793" t="s">
        <v>22493</v>
      </c>
      <c r="F3793" t="s">
        <v>32606</v>
      </c>
      <c r="G3793" t="s">
        <v>32614</v>
      </c>
      <c r="H3793" t="s">
        <v>14201</v>
      </c>
      <c r="I3793" t="s">
        <v>32638</v>
      </c>
      <c r="J3793" t="s">
        <v>35340</v>
      </c>
      <c r="K3793" t="s">
        <v>42629</v>
      </c>
      <c r="M3793" t="s">
        <v>44485</v>
      </c>
      <c r="N3793" t="s">
        <v>47304</v>
      </c>
      <c r="O3793" t="s">
        <v>47305</v>
      </c>
      <c r="P3793">
        <v>0</v>
      </c>
      <c r="Q3793">
        <v>3</v>
      </c>
      <c r="R3793" t="s">
        <v>47306</v>
      </c>
      <c r="S3793" t="s">
        <v>47414</v>
      </c>
      <c r="T3793" t="s">
        <v>49014</v>
      </c>
      <c r="U3793" t="s">
        <v>52806</v>
      </c>
      <c r="W3793" t="s">
        <v>44485</v>
      </c>
      <c r="X3793" t="s">
        <v>47308</v>
      </c>
    </row>
    <row r="3794" spans="1:24">
      <c r="A3794">
        <f>HYPERLINK("https://www.philgeps.gov.ph/GEPSNONPILOT/Tender/SplashBidNoticeAbstractUI.aspx?menuIndex=3&amp;refID=7196128&amp;Result=3","7196128")</f>
        <v>0</v>
      </c>
      <c r="B3794" t="s">
        <v>1491</v>
      </c>
      <c r="C3794" t="s">
        <v>7451</v>
      </c>
      <c r="D3794" t="s">
        <v>18987</v>
      </c>
      <c r="E3794" t="s">
        <v>22494</v>
      </c>
      <c r="F3794" t="s">
        <v>32606</v>
      </c>
      <c r="G3794" t="s">
        <v>32614</v>
      </c>
      <c r="H3794" t="s">
        <v>14201</v>
      </c>
      <c r="I3794" t="s">
        <v>32640</v>
      </c>
      <c r="J3794" t="s">
        <v>32999</v>
      </c>
      <c r="K3794" t="s">
        <v>42631</v>
      </c>
      <c r="M3794" t="s">
        <v>44486</v>
      </c>
      <c r="N3794" t="s">
        <v>47304</v>
      </c>
      <c r="O3794" t="s">
        <v>47305</v>
      </c>
      <c r="P3794">
        <v>0</v>
      </c>
      <c r="Q3794">
        <v>0</v>
      </c>
      <c r="R3794" t="s">
        <v>47306</v>
      </c>
      <c r="S3794" t="s">
        <v>47414</v>
      </c>
      <c r="T3794" t="s">
        <v>48992</v>
      </c>
      <c r="U3794" t="s">
        <v>52807</v>
      </c>
      <c r="V3794" t="s">
        <v>62938</v>
      </c>
      <c r="W3794" t="s">
        <v>44486</v>
      </c>
      <c r="X3794" t="s">
        <v>47308</v>
      </c>
    </row>
    <row r="3795" spans="1:24">
      <c r="A3795">
        <f>HYPERLINK("https://www.philgeps.gov.ph/GEPSNONPILOT/Tender/SplashBidNoticeAbstractUI.aspx?menuIndex=3&amp;refID=7196145&amp;Result=3","7196145")</f>
        <v>0</v>
      </c>
      <c r="B3795" t="s">
        <v>1492</v>
      </c>
      <c r="C3795" t="s">
        <v>7452</v>
      </c>
      <c r="D3795" t="s">
        <v>19012</v>
      </c>
      <c r="E3795" t="s">
        <v>22495</v>
      </c>
      <c r="F3795" t="s">
        <v>32606</v>
      </c>
      <c r="G3795" t="s">
        <v>32614</v>
      </c>
      <c r="H3795" t="s">
        <v>14201</v>
      </c>
      <c r="I3795" t="s">
        <v>32704</v>
      </c>
      <c r="J3795" t="s">
        <v>32949</v>
      </c>
      <c r="K3795" t="s">
        <v>42624</v>
      </c>
      <c r="M3795" t="s">
        <v>44487</v>
      </c>
      <c r="N3795" t="s">
        <v>47304</v>
      </c>
      <c r="O3795" t="s">
        <v>47305</v>
      </c>
      <c r="P3795">
        <v>0</v>
      </c>
      <c r="Q3795">
        <v>0</v>
      </c>
      <c r="R3795" t="s">
        <v>47306</v>
      </c>
      <c r="S3795" t="s">
        <v>47414</v>
      </c>
      <c r="T3795" t="s">
        <v>49061</v>
      </c>
      <c r="U3795" t="s">
        <v>52808</v>
      </c>
      <c r="W3795" t="s">
        <v>44487</v>
      </c>
      <c r="X3795" t="s">
        <v>47308</v>
      </c>
    </row>
    <row r="3796" spans="1:24">
      <c r="A3796">
        <f>HYPERLINK("https://www.philgeps.gov.ph/GEPSNONPILOT/Tender/SplashBidNoticeAbstractUI.aspx?menuIndex=3&amp;refID=7196142&amp;Result=3","7196142")</f>
        <v>0</v>
      </c>
      <c r="B3796" t="s">
        <v>696</v>
      </c>
      <c r="C3796" t="s">
        <v>7453</v>
      </c>
      <c r="D3796" t="s">
        <v>18993</v>
      </c>
      <c r="E3796" t="s">
        <v>22496</v>
      </c>
      <c r="F3796" t="s">
        <v>32606</v>
      </c>
      <c r="G3796" t="s">
        <v>32614</v>
      </c>
      <c r="H3796" t="s">
        <v>14201</v>
      </c>
      <c r="I3796" t="s">
        <v>32640</v>
      </c>
      <c r="J3796" t="s">
        <v>32920</v>
      </c>
      <c r="K3796" t="s">
        <v>42622</v>
      </c>
      <c r="M3796" t="s">
        <v>43617</v>
      </c>
      <c r="N3796" t="s">
        <v>47304</v>
      </c>
      <c r="O3796" t="s">
        <v>47305</v>
      </c>
      <c r="P3796">
        <v>0</v>
      </c>
      <c r="Q3796">
        <v>2</v>
      </c>
      <c r="R3796" t="s">
        <v>47306</v>
      </c>
      <c r="S3796" t="s">
        <v>47414</v>
      </c>
      <c r="T3796" t="s">
        <v>49084</v>
      </c>
      <c r="U3796" t="s">
        <v>50770</v>
      </c>
      <c r="V3796" t="s">
        <v>62804</v>
      </c>
      <c r="W3796" t="s">
        <v>43617</v>
      </c>
      <c r="X3796" t="s">
        <v>47308</v>
      </c>
    </row>
    <row r="3797" spans="1:24">
      <c r="A3797">
        <f>HYPERLINK("https://www.philgeps.gov.ph/GEPSNONPILOT/Tender/SplashBidNoticeAbstractUI.aspx?menuIndex=3&amp;refID=7196124&amp;Result=3","7196124")</f>
        <v>0</v>
      </c>
      <c r="B3797" t="s">
        <v>1493</v>
      </c>
      <c r="C3797" t="s">
        <v>4114</v>
      </c>
      <c r="D3797" t="s">
        <v>19023</v>
      </c>
      <c r="E3797" t="s">
        <v>22497</v>
      </c>
      <c r="F3797" t="s">
        <v>32606</v>
      </c>
      <c r="G3797" t="s">
        <v>32614</v>
      </c>
      <c r="H3797" t="s">
        <v>14201</v>
      </c>
      <c r="I3797" t="s">
        <v>4114</v>
      </c>
      <c r="J3797" t="s">
        <v>35341</v>
      </c>
      <c r="K3797" t="s">
        <v>42629</v>
      </c>
      <c r="M3797" t="s">
        <v>44488</v>
      </c>
      <c r="N3797" t="s">
        <v>47304</v>
      </c>
      <c r="O3797" t="s">
        <v>47305</v>
      </c>
      <c r="P3797">
        <v>0</v>
      </c>
      <c r="Q3797">
        <v>0</v>
      </c>
      <c r="R3797" t="s">
        <v>47306</v>
      </c>
      <c r="S3797" t="s">
        <v>47414</v>
      </c>
      <c r="T3797" t="s">
        <v>49004</v>
      </c>
      <c r="U3797" t="s">
        <v>52809</v>
      </c>
      <c r="V3797" t="s">
        <v>63032</v>
      </c>
      <c r="W3797" t="s">
        <v>44488</v>
      </c>
      <c r="X3797" t="s">
        <v>47308</v>
      </c>
    </row>
    <row r="3798" spans="1:24">
      <c r="A3798">
        <f>HYPERLINK("https://www.philgeps.gov.ph/GEPSNONPILOT/Tender/SplashBidNoticeAbstractUI.aspx?menuIndex=3&amp;refID=7196101&amp;Result=3","7196101")</f>
        <v>0</v>
      </c>
      <c r="B3798" t="s">
        <v>867</v>
      </c>
      <c r="C3798" t="s">
        <v>4434</v>
      </c>
      <c r="D3798" t="s">
        <v>19040</v>
      </c>
      <c r="E3798" t="s">
        <v>22498</v>
      </c>
      <c r="F3798" t="s">
        <v>32606</v>
      </c>
      <c r="G3798" t="s">
        <v>32614</v>
      </c>
      <c r="H3798" t="s">
        <v>14201</v>
      </c>
      <c r="I3798" t="s">
        <v>32638</v>
      </c>
      <c r="J3798" t="s">
        <v>35342</v>
      </c>
      <c r="K3798" t="s">
        <v>42631</v>
      </c>
      <c r="M3798" t="s">
        <v>43801</v>
      </c>
      <c r="N3798" t="s">
        <v>47304</v>
      </c>
      <c r="O3798" t="s">
        <v>47305</v>
      </c>
      <c r="P3798">
        <v>0</v>
      </c>
      <c r="Q3798">
        <v>4</v>
      </c>
      <c r="R3798" t="s">
        <v>47306</v>
      </c>
      <c r="S3798" t="s">
        <v>47414</v>
      </c>
      <c r="T3798" t="s">
        <v>49061</v>
      </c>
      <c r="U3798" t="s">
        <v>52810</v>
      </c>
      <c r="W3798" t="s">
        <v>43801</v>
      </c>
      <c r="X3798" t="s">
        <v>47308</v>
      </c>
    </row>
    <row r="3799" spans="1:24">
      <c r="A3799">
        <f>HYPERLINK("https://www.philgeps.gov.ph/GEPSNONPILOT/Tender/SplashBidNoticeAbstractUI.aspx?menuIndex=3&amp;refID=7196151&amp;Result=3","7196151")</f>
        <v>0</v>
      </c>
      <c r="B3799" t="s">
        <v>1494</v>
      </c>
      <c r="C3799" t="s">
        <v>7454</v>
      </c>
      <c r="D3799" t="s">
        <v>19019</v>
      </c>
      <c r="E3799" t="s">
        <v>19521</v>
      </c>
      <c r="F3799" t="s">
        <v>32606</v>
      </c>
      <c r="G3799" t="s">
        <v>32619</v>
      </c>
      <c r="H3799" t="s">
        <v>14201</v>
      </c>
      <c r="I3799" t="s">
        <v>6298</v>
      </c>
      <c r="J3799" t="s">
        <v>35343</v>
      </c>
      <c r="K3799" t="s">
        <v>42625</v>
      </c>
      <c r="M3799" t="s">
        <v>44489</v>
      </c>
      <c r="N3799" t="s">
        <v>47304</v>
      </c>
      <c r="O3799" t="s">
        <v>47305</v>
      </c>
      <c r="P3799">
        <v>0</v>
      </c>
      <c r="Q3799">
        <v>0</v>
      </c>
      <c r="R3799" t="s">
        <v>47306</v>
      </c>
      <c r="S3799" t="s">
        <v>47414</v>
      </c>
      <c r="T3799" t="s">
        <v>49053</v>
      </c>
      <c r="U3799" t="s">
        <v>52811</v>
      </c>
      <c r="V3799" t="s">
        <v>63033</v>
      </c>
      <c r="W3799" t="s">
        <v>44489</v>
      </c>
      <c r="X3799" t="s">
        <v>47308</v>
      </c>
    </row>
    <row r="3800" spans="1:24">
      <c r="A3800">
        <f>HYPERLINK("https://www.philgeps.gov.ph/GEPSNONPILOT/Tender/SplashBidNoticeAbstractUI.aspx?menuIndex=3&amp;refID=7196163&amp;Result=3","7196163")</f>
        <v>0</v>
      </c>
      <c r="B3800" t="s">
        <v>1464</v>
      </c>
      <c r="C3800" t="s">
        <v>7455</v>
      </c>
      <c r="D3800" t="s">
        <v>19012</v>
      </c>
      <c r="E3800" t="s">
        <v>22499</v>
      </c>
      <c r="F3800" t="s">
        <v>32606</v>
      </c>
      <c r="G3800" t="s">
        <v>32619</v>
      </c>
      <c r="H3800" t="s">
        <v>14201</v>
      </c>
      <c r="I3800" t="s">
        <v>7577</v>
      </c>
      <c r="J3800" t="s">
        <v>35344</v>
      </c>
      <c r="K3800" t="s">
        <v>42623</v>
      </c>
      <c r="M3800" t="s">
        <v>44458</v>
      </c>
      <c r="N3800" t="s">
        <v>47304</v>
      </c>
      <c r="O3800" t="s">
        <v>47305</v>
      </c>
      <c r="P3800">
        <v>0</v>
      </c>
      <c r="Q3800">
        <v>1</v>
      </c>
      <c r="R3800" t="s">
        <v>47306</v>
      </c>
      <c r="S3800" t="s">
        <v>47414</v>
      </c>
      <c r="T3800" t="s">
        <v>48980</v>
      </c>
      <c r="U3800" t="s">
        <v>52812</v>
      </c>
      <c r="V3800" t="s">
        <v>63034</v>
      </c>
      <c r="W3800" t="s">
        <v>44458</v>
      </c>
      <c r="X3800" t="s">
        <v>47308</v>
      </c>
    </row>
    <row r="3801" spans="1:24">
      <c r="A3801">
        <f>HYPERLINK("https://www.philgeps.gov.ph/GEPSNONPILOT/Tender/SplashBidNoticeAbstractUI.aspx?menuIndex=3&amp;refID=7196162&amp;Result=3","7196162")</f>
        <v>0</v>
      </c>
      <c r="B3801" t="s">
        <v>519</v>
      </c>
      <c r="C3801" t="s">
        <v>7456</v>
      </c>
      <c r="E3801" t="s">
        <v>22500</v>
      </c>
      <c r="F3801" t="s">
        <v>32606</v>
      </c>
      <c r="G3801" t="s">
        <v>32614</v>
      </c>
      <c r="H3801" t="s">
        <v>14201</v>
      </c>
      <c r="I3801" t="s">
        <v>32634</v>
      </c>
      <c r="J3801" t="s">
        <v>35345</v>
      </c>
      <c r="K3801" t="s">
        <v>42624</v>
      </c>
      <c r="M3801" t="s">
        <v>43432</v>
      </c>
      <c r="N3801" t="s">
        <v>47304</v>
      </c>
      <c r="O3801" t="s">
        <v>47305</v>
      </c>
      <c r="P3801">
        <v>0</v>
      </c>
      <c r="Q3801">
        <v>4</v>
      </c>
      <c r="R3801" t="s">
        <v>47306</v>
      </c>
      <c r="S3801" t="s">
        <v>47414</v>
      </c>
      <c r="T3801" t="s">
        <v>48980</v>
      </c>
      <c r="U3801" t="s">
        <v>52813</v>
      </c>
      <c r="W3801" t="s">
        <v>43432</v>
      </c>
      <c r="X3801" t="s">
        <v>47308</v>
      </c>
    </row>
    <row r="3802" spans="1:24">
      <c r="A3802">
        <f>HYPERLINK("https://www.philgeps.gov.ph/GEPSNONPILOT/Tender/SplashBidNoticeAbstractUI.aspx?menuIndex=3&amp;refID=7196141&amp;Result=3","7196141")</f>
        <v>0</v>
      </c>
      <c r="B3802" t="s">
        <v>210</v>
      </c>
      <c r="C3802" t="s">
        <v>7457</v>
      </c>
      <c r="D3802" t="s">
        <v>18986</v>
      </c>
      <c r="E3802" t="s">
        <v>22501</v>
      </c>
      <c r="F3802" t="s">
        <v>32606</v>
      </c>
      <c r="G3802" t="s">
        <v>32613</v>
      </c>
      <c r="H3802" t="s">
        <v>32623</v>
      </c>
      <c r="I3802" t="s">
        <v>17648</v>
      </c>
      <c r="J3802" t="s">
        <v>35346</v>
      </c>
      <c r="K3802" t="s">
        <v>42748</v>
      </c>
      <c r="M3802" t="s">
        <v>43111</v>
      </c>
      <c r="N3802" t="s">
        <v>47304</v>
      </c>
      <c r="O3802" t="s">
        <v>47305</v>
      </c>
      <c r="P3802">
        <v>0</v>
      </c>
      <c r="Q3802">
        <v>0</v>
      </c>
      <c r="R3802" t="s">
        <v>47306</v>
      </c>
      <c r="S3802" t="s">
        <v>47414</v>
      </c>
      <c r="T3802" t="s">
        <v>49033</v>
      </c>
      <c r="U3802" t="s">
        <v>52814</v>
      </c>
      <c r="W3802" t="s">
        <v>43111</v>
      </c>
      <c r="X3802" t="s">
        <v>47308</v>
      </c>
    </row>
    <row r="3803" spans="1:24">
      <c r="A3803">
        <f>HYPERLINK("https://www.philgeps.gov.ph/GEPSNONPILOT/Tender/SplashBidNoticeAbstractUI.aspx?menuIndex=3&amp;refID=7196160&amp;Result=3","7196160")</f>
        <v>0</v>
      </c>
      <c r="B3803" t="s">
        <v>466</v>
      </c>
      <c r="C3803" t="s">
        <v>7458</v>
      </c>
      <c r="D3803" t="s">
        <v>19022</v>
      </c>
      <c r="E3803" t="s">
        <v>22502</v>
      </c>
      <c r="F3803" t="s">
        <v>32606</v>
      </c>
      <c r="G3803" t="s">
        <v>32614</v>
      </c>
      <c r="H3803" t="s">
        <v>14201</v>
      </c>
      <c r="I3803" t="s">
        <v>6007</v>
      </c>
      <c r="J3803" t="s">
        <v>35347</v>
      </c>
      <c r="K3803" t="s">
        <v>42623</v>
      </c>
      <c r="M3803" t="s">
        <v>43377</v>
      </c>
      <c r="N3803" t="s">
        <v>47304</v>
      </c>
      <c r="O3803" t="s">
        <v>47305</v>
      </c>
      <c r="P3803">
        <v>0</v>
      </c>
      <c r="Q3803">
        <v>1</v>
      </c>
      <c r="R3803" t="s">
        <v>47306</v>
      </c>
      <c r="S3803" t="s">
        <v>47414</v>
      </c>
      <c r="T3803" t="s">
        <v>49011</v>
      </c>
      <c r="U3803" t="s">
        <v>50375</v>
      </c>
      <c r="W3803" t="s">
        <v>43377</v>
      </c>
      <c r="X3803" t="s">
        <v>47308</v>
      </c>
    </row>
    <row r="3804" spans="1:24">
      <c r="A3804">
        <f>HYPERLINK("https://www.philgeps.gov.ph/GEPSNONPILOT/Tender/SplashBidNoticeAbstractUI.aspx?menuIndex=3&amp;refID=7196158&amp;Result=3","7196158")</f>
        <v>0</v>
      </c>
      <c r="B3804" t="s">
        <v>1395</v>
      </c>
      <c r="C3804" t="s">
        <v>7459</v>
      </c>
      <c r="D3804" t="s">
        <v>19037</v>
      </c>
      <c r="E3804" t="s">
        <v>22503</v>
      </c>
      <c r="F3804" t="s">
        <v>32606</v>
      </c>
      <c r="G3804" t="s">
        <v>32614</v>
      </c>
      <c r="H3804" t="s">
        <v>14201</v>
      </c>
      <c r="I3804" t="s">
        <v>6931</v>
      </c>
      <c r="J3804" t="s">
        <v>35348</v>
      </c>
      <c r="K3804" t="s">
        <v>42623</v>
      </c>
      <c r="M3804" t="s">
        <v>44378</v>
      </c>
      <c r="N3804" t="s">
        <v>47304</v>
      </c>
      <c r="O3804" t="s">
        <v>47305</v>
      </c>
      <c r="P3804">
        <v>0</v>
      </c>
      <c r="Q3804">
        <v>0</v>
      </c>
      <c r="R3804" t="s">
        <v>47306</v>
      </c>
      <c r="S3804" t="s">
        <v>47414</v>
      </c>
      <c r="T3804" t="s">
        <v>48979</v>
      </c>
      <c r="U3804" t="s">
        <v>52636</v>
      </c>
      <c r="W3804" t="s">
        <v>44378</v>
      </c>
      <c r="X3804" t="s">
        <v>47308</v>
      </c>
    </row>
    <row r="3805" spans="1:24">
      <c r="A3805">
        <f>HYPERLINK("https://www.philgeps.gov.ph/GEPSNONPILOT/Tender/SplashBidNoticeAbstractUI.aspx?menuIndex=3&amp;refID=7196156&amp;Result=3","7196156")</f>
        <v>0</v>
      </c>
      <c r="B3805" t="s">
        <v>895</v>
      </c>
      <c r="C3805" t="s">
        <v>7460</v>
      </c>
      <c r="D3805" t="s">
        <v>18993</v>
      </c>
      <c r="E3805" t="s">
        <v>22504</v>
      </c>
      <c r="F3805" t="s">
        <v>32606</v>
      </c>
      <c r="G3805" t="s">
        <v>32619</v>
      </c>
      <c r="H3805" t="s">
        <v>14201</v>
      </c>
      <c r="I3805" t="s">
        <v>7577</v>
      </c>
      <c r="J3805" t="s">
        <v>33161</v>
      </c>
      <c r="K3805" t="s">
        <v>42624</v>
      </c>
      <c r="M3805" t="s">
        <v>43831</v>
      </c>
      <c r="N3805" t="s">
        <v>47304</v>
      </c>
      <c r="O3805" t="s">
        <v>47305</v>
      </c>
      <c r="P3805">
        <v>0</v>
      </c>
      <c r="Q3805">
        <v>0</v>
      </c>
      <c r="R3805" t="s">
        <v>47306</v>
      </c>
      <c r="S3805" t="s">
        <v>47414</v>
      </c>
      <c r="T3805" t="s">
        <v>49014</v>
      </c>
      <c r="U3805" t="s">
        <v>52815</v>
      </c>
      <c r="W3805" t="s">
        <v>43831</v>
      </c>
      <c r="X3805" t="s">
        <v>47308</v>
      </c>
    </row>
    <row r="3806" spans="1:24">
      <c r="A3806">
        <f>HYPERLINK("https://www.philgeps.gov.ph/GEPSNONPILOT/Tender/SplashBidNoticeAbstractUI.aspx?menuIndex=3&amp;refID=7196154&amp;Result=3","7196154")</f>
        <v>0</v>
      </c>
      <c r="B3806" t="s">
        <v>306</v>
      </c>
      <c r="C3806" t="s">
        <v>7461</v>
      </c>
      <c r="D3806" t="s">
        <v>19005</v>
      </c>
      <c r="E3806" t="s">
        <v>22505</v>
      </c>
      <c r="F3806" t="s">
        <v>32606</v>
      </c>
      <c r="G3806" t="s">
        <v>32619</v>
      </c>
      <c r="H3806" t="s">
        <v>14201</v>
      </c>
      <c r="I3806" t="s">
        <v>6993</v>
      </c>
      <c r="J3806" t="s">
        <v>35349</v>
      </c>
      <c r="K3806" t="s">
        <v>42623</v>
      </c>
      <c r="M3806" t="s">
        <v>43208</v>
      </c>
      <c r="N3806" t="s">
        <v>47304</v>
      </c>
      <c r="O3806" t="s">
        <v>47305</v>
      </c>
      <c r="P3806">
        <v>0</v>
      </c>
      <c r="Q3806">
        <v>0</v>
      </c>
      <c r="R3806" t="s">
        <v>47306</v>
      </c>
      <c r="S3806" t="s">
        <v>47414</v>
      </c>
      <c r="T3806" t="s">
        <v>49076</v>
      </c>
      <c r="U3806" t="s">
        <v>52816</v>
      </c>
      <c r="W3806" t="s">
        <v>43208</v>
      </c>
      <c r="X3806" t="s">
        <v>47308</v>
      </c>
    </row>
    <row r="3807" spans="1:24">
      <c r="A3807">
        <f>HYPERLINK("https://www.philgeps.gov.ph/GEPSNONPILOT/Tender/SplashBidNoticeAbstractUI.aspx?menuIndex=3&amp;refID=7196172&amp;Result=3","7196172")</f>
        <v>0</v>
      </c>
      <c r="B3807" t="s">
        <v>235</v>
      </c>
      <c r="C3807" t="s">
        <v>7462</v>
      </c>
      <c r="D3807" t="s">
        <v>19001</v>
      </c>
      <c r="E3807" t="s">
        <v>22506</v>
      </c>
      <c r="F3807" t="s">
        <v>32606</v>
      </c>
      <c r="G3807" t="s">
        <v>32614</v>
      </c>
      <c r="H3807" t="s">
        <v>14201</v>
      </c>
      <c r="I3807" t="s">
        <v>6931</v>
      </c>
      <c r="J3807" t="s">
        <v>35350</v>
      </c>
      <c r="K3807" t="s">
        <v>42623</v>
      </c>
      <c r="M3807" t="s">
        <v>43136</v>
      </c>
      <c r="N3807" t="s">
        <v>47304</v>
      </c>
      <c r="O3807" t="s">
        <v>47305</v>
      </c>
      <c r="P3807">
        <v>0</v>
      </c>
      <c r="Q3807">
        <v>0</v>
      </c>
      <c r="R3807" t="s">
        <v>47306</v>
      </c>
      <c r="S3807" t="s">
        <v>47414</v>
      </c>
      <c r="T3807" t="s">
        <v>48980</v>
      </c>
      <c r="U3807" t="s">
        <v>52817</v>
      </c>
      <c r="V3807" t="s">
        <v>62701</v>
      </c>
      <c r="W3807" t="s">
        <v>43136</v>
      </c>
      <c r="X3807" t="s">
        <v>47308</v>
      </c>
    </row>
    <row r="3808" spans="1:24">
      <c r="A3808">
        <f>HYPERLINK("https://www.philgeps.gov.ph/GEPSNONPILOT/Tender/SplashBidNoticeAbstractUI.aspx?menuIndex=3&amp;refID=7196126&amp;Result=3","7196126")</f>
        <v>0</v>
      </c>
      <c r="B3808" t="s">
        <v>1395</v>
      </c>
      <c r="C3808" t="s">
        <v>7463</v>
      </c>
      <c r="D3808" t="s">
        <v>19037</v>
      </c>
      <c r="E3808" t="s">
        <v>22507</v>
      </c>
      <c r="F3808" t="s">
        <v>32606</v>
      </c>
      <c r="G3808" t="s">
        <v>32614</v>
      </c>
      <c r="H3808" t="s">
        <v>14201</v>
      </c>
      <c r="I3808" t="s">
        <v>7233</v>
      </c>
      <c r="J3808" t="s">
        <v>32949</v>
      </c>
      <c r="K3808" t="s">
        <v>42623</v>
      </c>
      <c r="M3808" t="s">
        <v>44378</v>
      </c>
      <c r="N3808" t="s">
        <v>47304</v>
      </c>
      <c r="O3808" t="s">
        <v>47305</v>
      </c>
      <c r="P3808">
        <v>0</v>
      </c>
      <c r="Q3808">
        <v>0</v>
      </c>
      <c r="R3808" t="s">
        <v>47306</v>
      </c>
      <c r="S3808" t="s">
        <v>47414</v>
      </c>
      <c r="T3808" t="s">
        <v>48979</v>
      </c>
      <c r="U3808" t="s">
        <v>52718</v>
      </c>
      <c r="W3808" t="s">
        <v>44378</v>
      </c>
      <c r="X3808" t="s">
        <v>47308</v>
      </c>
    </row>
    <row r="3809" spans="1:24">
      <c r="A3809">
        <f>HYPERLINK("https://www.philgeps.gov.ph/GEPSNONPILOT/Tender/SplashBidNoticeAbstractUI.aspx?menuIndex=3&amp;refID=7196164&amp;Result=3","7196164")</f>
        <v>0</v>
      </c>
      <c r="B3809" t="s">
        <v>1495</v>
      </c>
      <c r="C3809" t="s">
        <v>7464</v>
      </c>
      <c r="D3809" t="s">
        <v>18997</v>
      </c>
      <c r="E3809" t="s">
        <v>22508</v>
      </c>
      <c r="F3809" t="s">
        <v>32606</v>
      </c>
      <c r="G3809" t="s">
        <v>32614</v>
      </c>
      <c r="H3809" t="s">
        <v>14201</v>
      </c>
      <c r="I3809" t="s">
        <v>6478</v>
      </c>
      <c r="J3809" t="s">
        <v>35351</v>
      </c>
      <c r="K3809" t="s">
        <v>42623</v>
      </c>
      <c r="M3809" t="s">
        <v>44490</v>
      </c>
      <c r="N3809" t="s">
        <v>47304</v>
      </c>
      <c r="O3809" t="s">
        <v>47305</v>
      </c>
      <c r="P3809">
        <v>0</v>
      </c>
      <c r="Q3809">
        <v>0</v>
      </c>
      <c r="R3809" t="s">
        <v>47306</v>
      </c>
      <c r="S3809" t="s">
        <v>47414</v>
      </c>
      <c r="T3809" t="s">
        <v>48986</v>
      </c>
      <c r="U3809" t="s">
        <v>52818</v>
      </c>
      <c r="W3809" t="s">
        <v>44490</v>
      </c>
      <c r="X3809" t="s">
        <v>47308</v>
      </c>
    </row>
    <row r="3810" spans="1:24">
      <c r="A3810">
        <f>HYPERLINK("https://www.philgeps.gov.ph/GEPSNONPILOT/Tender/SplashBidNoticeAbstractUI.aspx?menuIndex=3&amp;refID=7196159&amp;Result=3","7196159")</f>
        <v>0</v>
      </c>
      <c r="B3810" t="s">
        <v>726</v>
      </c>
      <c r="C3810" t="s">
        <v>7465</v>
      </c>
      <c r="D3810" t="s">
        <v>19009</v>
      </c>
      <c r="E3810" t="s">
        <v>22509</v>
      </c>
      <c r="F3810" t="s">
        <v>32606</v>
      </c>
      <c r="G3810" t="s">
        <v>32614</v>
      </c>
      <c r="H3810" t="s">
        <v>14201</v>
      </c>
      <c r="I3810" t="s">
        <v>6993</v>
      </c>
      <c r="J3810" t="s">
        <v>35352</v>
      </c>
      <c r="K3810" t="s">
        <v>42623</v>
      </c>
      <c r="M3810" t="s">
        <v>44491</v>
      </c>
      <c r="N3810" t="s">
        <v>47304</v>
      </c>
      <c r="O3810" t="s">
        <v>47305</v>
      </c>
      <c r="P3810">
        <v>0</v>
      </c>
      <c r="Q3810">
        <v>0</v>
      </c>
      <c r="R3810" t="s">
        <v>47306</v>
      </c>
      <c r="S3810" t="s">
        <v>47414</v>
      </c>
      <c r="T3810" t="s">
        <v>49242</v>
      </c>
      <c r="U3810" t="s">
        <v>52819</v>
      </c>
      <c r="V3810" t="s">
        <v>62846</v>
      </c>
      <c r="W3810" t="s">
        <v>44491</v>
      </c>
      <c r="X3810" t="s">
        <v>47308</v>
      </c>
    </row>
    <row r="3811" spans="1:24">
      <c r="A3811">
        <f>HYPERLINK("https://www.philgeps.gov.ph/GEPSNONPILOT/Tender/SplashBidNoticeAbstractUI.aspx?menuIndex=3&amp;refID=7196169&amp;Result=3","7196169")</f>
        <v>0</v>
      </c>
      <c r="B3811" t="s">
        <v>1496</v>
      </c>
      <c r="C3811" t="s">
        <v>7466</v>
      </c>
      <c r="D3811" t="s">
        <v>19044</v>
      </c>
      <c r="E3811" t="s">
        <v>22510</v>
      </c>
      <c r="F3811" t="s">
        <v>32606</v>
      </c>
      <c r="G3811" t="s">
        <v>32613</v>
      </c>
      <c r="H3811" t="s">
        <v>14201</v>
      </c>
      <c r="I3811" t="s">
        <v>6931</v>
      </c>
      <c r="J3811" t="s">
        <v>35353</v>
      </c>
      <c r="K3811" t="s">
        <v>42623</v>
      </c>
      <c r="M3811" t="s">
        <v>44492</v>
      </c>
      <c r="N3811" t="s">
        <v>47304</v>
      </c>
      <c r="O3811" t="s">
        <v>47305</v>
      </c>
      <c r="P3811">
        <v>0</v>
      </c>
      <c r="Q3811">
        <v>0</v>
      </c>
      <c r="R3811" t="s">
        <v>47306</v>
      </c>
      <c r="S3811" t="s">
        <v>47414</v>
      </c>
      <c r="T3811" t="s">
        <v>49024</v>
      </c>
      <c r="U3811" t="s">
        <v>52820</v>
      </c>
      <c r="W3811" t="s">
        <v>44492</v>
      </c>
      <c r="X3811" t="s">
        <v>47308</v>
      </c>
    </row>
    <row r="3812" spans="1:24">
      <c r="A3812">
        <f>HYPERLINK("https://www.philgeps.gov.ph/GEPSNONPILOT/Tender/SplashBidNoticeAbstractUI.aspx?menuIndex=3&amp;refID=7196157&amp;Result=3","7196157")</f>
        <v>0</v>
      </c>
      <c r="B3812" t="s">
        <v>1465</v>
      </c>
      <c r="C3812" t="s">
        <v>7467</v>
      </c>
      <c r="D3812" t="s">
        <v>18991</v>
      </c>
      <c r="E3812" t="s">
        <v>22511</v>
      </c>
      <c r="F3812" t="s">
        <v>32606</v>
      </c>
      <c r="G3812" t="s">
        <v>32614</v>
      </c>
      <c r="H3812" t="s">
        <v>14201</v>
      </c>
      <c r="I3812" t="s">
        <v>6931</v>
      </c>
      <c r="J3812" t="s">
        <v>33317</v>
      </c>
      <c r="K3812" t="s">
        <v>42631</v>
      </c>
      <c r="M3812" t="s">
        <v>44459</v>
      </c>
      <c r="N3812" t="s">
        <v>47304</v>
      </c>
      <c r="O3812" t="s">
        <v>47305</v>
      </c>
      <c r="P3812">
        <v>0</v>
      </c>
      <c r="Q3812">
        <v>2</v>
      </c>
      <c r="R3812" t="s">
        <v>47306</v>
      </c>
      <c r="S3812" t="s">
        <v>47414</v>
      </c>
      <c r="T3812" t="s">
        <v>48980</v>
      </c>
      <c r="U3812" t="s">
        <v>52738</v>
      </c>
      <c r="W3812" t="s">
        <v>44459</v>
      </c>
      <c r="X3812" t="s">
        <v>47308</v>
      </c>
    </row>
    <row r="3813" spans="1:24">
      <c r="A3813">
        <f>HYPERLINK("https://www.philgeps.gov.ph/GEPSNONPILOT/Tender/SplashBidNoticeAbstractUI.aspx?menuIndex=3&amp;refID=7196166&amp;Result=3","7196166")</f>
        <v>0</v>
      </c>
      <c r="B3813" t="s">
        <v>599</v>
      </c>
      <c r="C3813" t="s">
        <v>7468</v>
      </c>
      <c r="D3813" t="s">
        <v>18994</v>
      </c>
      <c r="E3813" t="s">
        <v>22512</v>
      </c>
      <c r="F3813" t="s">
        <v>32606</v>
      </c>
      <c r="G3813" t="s">
        <v>32619</v>
      </c>
      <c r="H3813" t="s">
        <v>14201</v>
      </c>
      <c r="I3813" t="s">
        <v>4120</v>
      </c>
      <c r="J3813" t="s">
        <v>34487</v>
      </c>
      <c r="K3813" t="s">
        <v>42630</v>
      </c>
      <c r="M3813" t="s">
        <v>43514</v>
      </c>
      <c r="N3813" t="s">
        <v>47304</v>
      </c>
      <c r="O3813" t="s">
        <v>47305</v>
      </c>
      <c r="P3813">
        <v>0</v>
      </c>
      <c r="Q3813">
        <v>0</v>
      </c>
      <c r="R3813" t="s">
        <v>47306</v>
      </c>
      <c r="S3813" t="s">
        <v>47414</v>
      </c>
      <c r="T3813" t="s">
        <v>49071</v>
      </c>
      <c r="U3813" t="s">
        <v>52821</v>
      </c>
      <c r="W3813" t="s">
        <v>43514</v>
      </c>
      <c r="X3813" t="s">
        <v>47308</v>
      </c>
    </row>
    <row r="3814" spans="1:24">
      <c r="A3814">
        <f>HYPERLINK("https://www.philgeps.gov.ph/GEPSNONPILOT/Tender/SplashBidNoticeAbstractUI.aspx?menuIndex=3&amp;refID=7196165&amp;Result=3","7196165")</f>
        <v>0</v>
      </c>
      <c r="B3814" t="s">
        <v>809</v>
      </c>
      <c r="C3814" t="s">
        <v>7469</v>
      </c>
      <c r="D3814" t="s">
        <v>19010</v>
      </c>
      <c r="E3814" t="s">
        <v>22513</v>
      </c>
      <c r="F3814" t="s">
        <v>32606</v>
      </c>
      <c r="G3814" t="s">
        <v>32614</v>
      </c>
      <c r="H3814" t="s">
        <v>14201</v>
      </c>
      <c r="I3814" t="s">
        <v>6298</v>
      </c>
      <c r="J3814" t="s">
        <v>32776</v>
      </c>
      <c r="K3814" t="s">
        <v>42622</v>
      </c>
      <c r="M3814" t="s">
        <v>43740</v>
      </c>
      <c r="N3814" t="s">
        <v>47304</v>
      </c>
      <c r="O3814" t="s">
        <v>47305</v>
      </c>
      <c r="P3814">
        <v>0</v>
      </c>
      <c r="Q3814">
        <v>1</v>
      </c>
      <c r="R3814" t="s">
        <v>47306</v>
      </c>
      <c r="S3814" t="s">
        <v>47414</v>
      </c>
      <c r="T3814" t="s">
        <v>49023</v>
      </c>
      <c r="U3814" t="s">
        <v>52822</v>
      </c>
      <c r="W3814" t="s">
        <v>43740</v>
      </c>
      <c r="X3814" t="s">
        <v>47308</v>
      </c>
    </row>
    <row r="3815" spans="1:24">
      <c r="A3815">
        <f>HYPERLINK("https://www.philgeps.gov.ph/GEPSNONPILOT/Tender/SplashBidNoticeAbstractUI.aspx?menuIndex=3&amp;refID=7196153&amp;Result=3","7196153")</f>
        <v>0</v>
      </c>
      <c r="B3815" t="s">
        <v>1497</v>
      </c>
      <c r="C3815" t="s">
        <v>6502</v>
      </c>
      <c r="D3815" t="s">
        <v>19015</v>
      </c>
      <c r="E3815" t="s">
        <v>22514</v>
      </c>
      <c r="F3815" t="s">
        <v>32606</v>
      </c>
      <c r="G3815" t="s">
        <v>32614</v>
      </c>
      <c r="H3815" t="s">
        <v>14201</v>
      </c>
      <c r="I3815" t="s">
        <v>7577</v>
      </c>
      <c r="J3815" t="s">
        <v>32789</v>
      </c>
      <c r="K3815" t="s">
        <v>42623</v>
      </c>
      <c r="M3815" t="s">
        <v>44493</v>
      </c>
      <c r="N3815" t="s">
        <v>47304</v>
      </c>
      <c r="O3815" t="s">
        <v>47305</v>
      </c>
      <c r="P3815">
        <v>0</v>
      </c>
      <c r="Q3815">
        <v>0</v>
      </c>
      <c r="R3815" t="s">
        <v>47306</v>
      </c>
      <c r="S3815" t="s">
        <v>47414</v>
      </c>
      <c r="T3815" t="s">
        <v>48986</v>
      </c>
      <c r="U3815" t="s">
        <v>52823</v>
      </c>
      <c r="V3815" t="s">
        <v>63035</v>
      </c>
      <c r="W3815" t="s">
        <v>44493</v>
      </c>
      <c r="X3815" t="s">
        <v>47308</v>
      </c>
    </row>
    <row r="3816" spans="1:24">
      <c r="A3816">
        <f>HYPERLINK("https://www.philgeps.gov.ph/GEPSNONPILOT/Tender/SplashBidNoticeAbstractUI.aspx?menuIndex=3&amp;refID=7196152&amp;Result=3","7196152")</f>
        <v>0</v>
      </c>
      <c r="B3816" t="s">
        <v>1498</v>
      </c>
      <c r="C3816" t="s">
        <v>7470</v>
      </c>
      <c r="D3816" t="s">
        <v>18993</v>
      </c>
      <c r="E3816" t="s">
        <v>22515</v>
      </c>
      <c r="F3816" t="s">
        <v>32606</v>
      </c>
      <c r="G3816" t="s">
        <v>32614</v>
      </c>
      <c r="H3816" t="s">
        <v>14201</v>
      </c>
      <c r="I3816" t="s">
        <v>7677</v>
      </c>
      <c r="J3816" t="s">
        <v>35354</v>
      </c>
      <c r="K3816" t="s">
        <v>42630</v>
      </c>
      <c r="M3816" t="s">
        <v>44494</v>
      </c>
      <c r="N3816" t="s">
        <v>47304</v>
      </c>
      <c r="O3816" t="s">
        <v>47305</v>
      </c>
      <c r="P3816">
        <v>0</v>
      </c>
      <c r="Q3816">
        <v>5</v>
      </c>
      <c r="R3816" t="s">
        <v>47306</v>
      </c>
      <c r="S3816" t="s">
        <v>47414</v>
      </c>
      <c r="T3816" t="s">
        <v>49014</v>
      </c>
      <c r="U3816" t="s">
        <v>52824</v>
      </c>
      <c r="W3816" t="s">
        <v>44494</v>
      </c>
      <c r="X3816" t="s">
        <v>47308</v>
      </c>
    </row>
    <row r="3817" spans="1:24">
      <c r="A3817">
        <f>HYPERLINK("https://www.philgeps.gov.ph/GEPSNONPILOT/Tender/SplashBidNoticeAbstractUI.aspx?menuIndex=3&amp;refID=7196173&amp;Result=3","7196173")</f>
        <v>0</v>
      </c>
      <c r="B3817" t="s">
        <v>238</v>
      </c>
      <c r="C3817" t="s">
        <v>7471</v>
      </c>
      <c r="D3817" t="s">
        <v>18993</v>
      </c>
      <c r="E3817" t="s">
        <v>22516</v>
      </c>
      <c r="F3817" t="s">
        <v>32606</v>
      </c>
      <c r="G3817" t="s">
        <v>32619</v>
      </c>
      <c r="H3817" t="s">
        <v>14201</v>
      </c>
      <c r="I3817" t="s">
        <v>32683</v>
      </c>
      <c r="J3817" t="s">
        <v>35355</v>
      </c>
      <c r="K3817" t="s">
        <v>42622</v>
      </c>
      <c r="M3817" t="s">
        <v>43357</v>
      </c>
      <c r="N3817" t="s">
        <v>47304</v>
      </c>
      <c r="O3817" t="s">
        <v>47305</v>
      </c>
      <c r="P3817">
        <v>0</v>
      </c>
      <c r="Q3817">
        <v>2</v>
      </c>
      <c r="R3817" t="s">
        <v>47306</v>
      </c>
      <c r="S3817" t="s">
        <v>47414</v>
      </c>
      <c r="T3817" t="s">
        <v>49123</v>
      </c>
      <c r="U3817" t="s">
        <v>50577</v>
      </c>
      <c r="V3817" t="s">
        <v>62749</v>
      </c>
      <c r="W3817" t="s">
        <v>43357</v>
      </c>
      <c r="X3817" t="s">
        <v>47308</v>
      </c>
    </row>
    <row r="3818" spans="1:24">
      <c r="A3818">
        <f>HYPERLINK("https://www.philgeps.gov.ph/GEPSNONPILOT/Tender/SplashBidNoticeAbstractUI.aspx?menuIndex=3&amp;refID=7196191&amp;Result=3","7196191")</f>
        <v>0</v>
      </c>
      <c r="B3818" t="s">
        <v>1491</v>
      </c>
      <c r="C3818" t="s">
        <v>7472</v>
      </c>
      <c r="D3818" t="s">
        <v>18987</v>
      </c>
      <c r="E3818" t="s">
        <v>22517</v>
      </c>
      <c r="F3818" t="s">
        <v>32606</v>
      </c>
      <c r="G3818" t="s">
        <v>32614</v>
      </c>
      <c r="H3818" t="s">
        <v>14201</v>
      </c>
      <c r="I3818" t="s">
        <v>4678</v>
      </c>
      <c r="J3818" t="s">
        <v>35356</v>
      </c>
      <c r="K3818" t="s">
        <v>42631</v>
      </c>
      <c r="M3818" t="s">
        <v>44486</v>
      </c>
      <c r="N3818" t="s">
        <v>47304</v>
      </c>
      <c r="O3818" t="s">
        <v>47305</v>
      </c>
      <c r="P3818">
        <v>0</v>
      </c>
      <c r="Q3818">
        <v>1</v>
      </c>
      <c r="R3818" t="s">
        <v>47306</v>
      </c>
      <c r="S3818" t="s">
        <v>47414</v>
      </c>
      <c r="T3818" t="s">
        <v>48992</v>
      </c>
      <c r="U3818" t="s">
        <v>52825</v>
      </c>
      <c r="V3818" t="s">
        <v>62938</v>
      </c>
      <c r="W3818" t="s">
        <v>44486</v>
      </c>
      <c r="X3818" t="s">
        <v>47308</v>
      </c>
    </row>
    <row r="3819" spans="1:24">
      <c r="A3819">
        <f>HYPERLINK("https://www.philgeps.gov.ph/GEPSNONPILOT/Tender/SplashBidNoticeAbstractUI.aspx?menuIndex=3&amp;refID=7196189&amp;Result=3","7196189")</f>
        <v>0</v>
      </c>
      <c r="B3819" t="s">
        <v>1483</v>
      </c>
      <c r="C3819" t="s">
        <v>7473</v>
      </c>
      <c r="D3819" t="s">
        <v>19054</v>
      </c>
      <c r="E3819" t="s">
        <v>22463</v>
      </c>
      <c r="F3819" t="s">
        <v>32606</v>
      </c>
      <c r="G3819" t="s">
        <v>32619</v>
      </c>
      <c r="H3819" t="s">
        <v>14201</v>
      </c>
      <c r="I3819" t="s">
        <v>32712</v>
      </c>
      <c r="J3819" t="s">
        <v>35357</v>
      </c>
      <c r="K3819" t="s">
        <v>42629</v>
      </c>
      <c r="M3819" t="s">
        <v>44477</v>
      </c>
      <c r="N3819" t="s">
        <v>47304</v>
      </c>
      <c r="O3819" t="s">
        <v>47305</v>
      </c>
      <c r="P3819">
        <v>0</v>
      </c>
      <c r="Q3819">
        <v>0</v>
      </c>
      <c r="R3819" t="s">
        <v>47306</v>
      </c>
      <c r="S3819" t="s">
        <v>47414</v>
      </c>
      <c r="T3819" t="s">
        <v>49072</v>
      </c>
      <c r="U3819" t="s">
        <v>52826</v>
      </c>
      <c r="V3819" t="s">
        <v>63030</v>
      </c>
      <c r="W3819" t="s">
        <v>44477</v>
      </c>
      <c r="X3819" t="s">
        <v>47308</v>
      </c>
    </row>
    <row r="3820" spans="1:24">
      <c r="A3820">
        <f>HYPERLINK("https://www.philgeps.gov.ph/GEPSNONPILOT/Tender/SplashBidNoticeAbstractUI.aspx?menuIndex=3&amp;refID=7196170&amp;Result=3","7196170")</f>
        <v>0</v>
      </c>
      <c r="B3820" t="s">
        <v>1499</v>
      </c>
      <c r="C3820" t="s">
        <v>7474</v>
      </c>
      <c r="D3820" t="s">
        <v>19038</v>
      </c>
      <c r="E3820" t="s">
        <v>19670</v>
      </c>
      <c r="F3820" t="s">
        <v>32606</v>
      </c>
      <c r="G3820" t="s">
        <v>32619</v>
      </c>
      <c r="H3820" t="s">
        <v>14201</v>
      </c>
      <c r="I3820" t="s">
        <v>6007</v>
      </c>
      <c r="J3820" t="s">
        <v>32770</v>
      </c>
      <c r="K3820" t="s">
        <v>42629</v>
      </c>
      <c r="M3820" t="s">
        <v>44495</v>
      </c>
      <c r="N3820" t="s">
        <v>47304</v>
      </c>
      <c r="O3820" t="s">
        <v>47305</v>
      </c>
      <c r="P3820">
        <v>0</v>
      </c>
      <c r="Q3820">
        <v>0</v>
      </c>
      <c r="R3820" t="s">
        <v>47306</v>
      </c>
      <c r="S3820" t="s">
        <v>47414</v>
      </c>
      <c r="T3820" t="s">
        <v>48980</v>
      </c>
      <c r="U3820" t="s">
        <v>52827</v>
      </c>
      <c r="W3820" t="s">
        <v>44495</v>
      </c>
      <c r="X3820" t="s">
        <v>47308</v>
      </c>
    </row>
    <row r="3821" spans="1:24">
      <c r="A3821">
        <f>HYPERLINK("https://www.philgeps.gov.ph/GEPSNONPILOT/Tender/SplashBidNoticeAbstractUI.aspx?menuIndex=3&amp;refID=7196188&amp;Result=3","7196188")</f>
        <v>0</v>
      </c>
      <c r="B3821" t="s">
        <v>1500</v>
      </c>
      <c r="C3821" t="s">
        <v>7475</v>
      </c>
      <c r="D3821" t="s">
        <v>19036</v>
      </c>
      <c r="E3821" t="s">
        <v>7475</v>
      </c>
      <c r="F3821" t="s">
        <v>32606</v>
      </c>
      <c r="G3821" t="s">
        <v>32613</v>
      </c>
      <c r="H3821" t="s">
        <v>14201</v>
      </c>
      <c r="I3821" t="s">
        <v>6993</v>
      </c>
      <c r="J3821" t="s">
        <v>32767</v>
      </c>
      <c r="K3821" t="s">
        <v>42636</v>
      </c>
      <c r="M3821" t="s">
        <v>44496</v>
      </c>
      <c r="N3821" t="s">
        <v>47304</v>
      </c>
      <c r="O3821" t="s">
        <v>47305</v>
      </c>
      <c r="P3821">
        <v>0</v>
      </c>
      <c r="Q3821">
        <v>1</v>
      </c>
      <c r="R3821" t="s">
        <v>47306</v>
      </c>
      <c r="S3821" t="s">
        <v>47414</v>
      </c>
      <c r="T3821" t="s">
        <v>49133</v>
      </c>
      <c r="U3821" t="s">
        <v>52828</v>
      </c>
      <c r="W3821" t="s">
        <v>44496</v>
      </c>
      <c r="X3821" t="s">
        <v>47308</v>
      </c>
    </row>
    <row r="3822" spans="1:24">
      <c r="A3822">
        <f>HYPERLINK("https://www.philgeps.gov.ph/GEPSNONPILOT/Tender/SplashBidNoticeAbstractUI.aspx?menuIndex=3&amp;refID=7196185&amp;Result=3","7196185")</f>
        <v>0</v>
      </c>
      <c r="B3822" t="s">
        <v>1501</v>
      </c>
      <c r="C3822" t="s">
        <v>7476</v>
      </c>
      <c r="D3822" t="s">
        <v>19006</v>
      </c>
      <c r="E3822" t="s">
        <v>22518</v>
      </c>
      <c r="F3822" t="s">
        <v>32606</v>
      </c>
      <c r="G3822" t="s">
        <v>32614</v>
      </c>
      <c r="H3822" t="s">
        <v>14201</v>
      </c>
      <c r="I3822" t="s">
        <v>32631</v>
      </c>
      <c r="J3822" t="s">
        <v>35358</v>
      </c>
      <c r="K3822" t="s">
        <v>42624</v>
      </c>
      <c r="M3822" t="s">
        <v>44497</v>
      </c>
      <c r="N3822" t="s">
        <v>47304</v>
      </c>
      <c r="O3822" t="s">
        <v>47305</v>
      </c>
      <c r="P3822">
        <v>0</v>
      </c>
      <c r="Q3822">
        <v>1</v>
      </c>
      <c r="R3822" t="s">
        <v>47306</v>
      </c>
      <c r="S3822" t="s">
        <v>47414</v>
      </c>
      <c r="T3822" t="s">
        <v>48987</v>
      </c>
      <c r="U3822" t="s">
        <v>52829</v>
      </c>
      <c r="W3822" t="s">
        <v>44497</v>
      </c>
      <c r="X3822" t="s">
        <v>47308</v>
      </c>
    </row>
    <row r="3823" spans="1:24">
      <c r="A3823">
        <f>HYPERLINK("https://www.philgeps.gov.ph/GEPSNONPILOT/Tender/SplashBidNoticeAbstractUI.aspx?menuIndex=3&amp;refID=7196155&amp;Result=3","7196155")</f>
        <v>0</v>
      </c>
      <c r="B3823" t="s">
        <v>1232</v>
      </c>
      <c r="C3823" t="s">
        <v>6648</v>
      </c>
      <c r="D3823" t="s">
        <v>18993</v>
      </c>
      <c r="E3823" t="s">
        <v>22519</v>
      </c>
      <c r="F3823" t="s">
        <v>32606</v>
      </c>
      <c r="G3823" t="s">
        <v>32614</v>
      </c>
      <c r="H3823" t="s">
        <v>14201</v>
      </c>
      <c r="I3823" t="s">
        <v>6007</v>
      </c>
      <c r="J3823" t="s">
        <v>32813</v>
      </c>
      <c r="K3823" t="s">
        <v>42632</v>
      </c>
      <c r="M3823" t="s">
        <v>44197</v>
      </c>
      <c r="N3823" t="s">
        <v>47304</v>
      </c>
      <c r="O3823" t="s">
        <v>47305</v>
      </c>
      <c r="P3823">
        <v>0</v>
      </c>
      <c r="Q3823">
        <v>1</v>
      </c>
      <c r="R3823" t="s">
        <v>47306</v>
      </c>
      <c r="S3823" t="s">
        <v>47414</v>
      </c>
      <c r="T3823" t="s">
        <v>48979</v>
      </c>
      <c r="U3823" t="s">
        <v>52230</v>
      </c>
      <c r="W3823" t="s">
        <v>44197</v>
      </c>
      <c r="X3823" t="s">
        <v>47308</v>
      </c>
    </row>
    <row r="3824" spans="1:24">
      <c r="A3824">
        <f>HYPERLINK("https://www.philgeps.gov.ph/GEPSNONPILOT/Tender/SplashBidNoticeAbstractUI.aspx?menuIndex=3&amp;refID=7196199&amp;Result=3","7196199")</f>
        <v>0</v>
      </c>
      <c r="B3824" t="s">
        <v>376</v>
      </c>
      <c r="C3824" t="s">
        <v>5801</v>
      </c>
      <c r="D3824" t="s">
        <v>19039</v>
      </c>
      <c r="E3824" t="s">
        <v>22520</v>
      </c>
      <c r="F3824" t="s">
        <v>32606</v>
      </c>
      <c r="G3824" t="s">
        <v>32614</v>
      </c>
      <c r="H3824" t="s">
        <v>14201</v>
      </c>
      <c r="I3824" t="s">
        <v>32677</v>
      </c>
      <c r="J3824" t="s">
        <v>32885</v>
      </c>
      <c r="K3824" t="s">
        <v>42630</v>
      </c>
      <c r="M3824" t="s">
        <v>43278</v>
      </c>
      <c r="N3824" t="s">
        <v>47304</v>
      </c>
      <c r="O3824" t="s">
        <v>47305</v>
      </c>
      <c r="P3824">
        <v>0</v>
      </c>
      <c r="Q3824">
        <v>0</v>
      </c>
      <c r="R3824" t="s">
        <v>47306</v>
      </c>
      <c r="S3824" t="s">
        <v>47414</v>
      </c>
      <c r="T3824" t="s">
        <v>49067</v>
      </c>
      <c r="U3824" t="s">
        <v>52830</v>
      </c>
      <c r="W3824" t="s">
        <v>43278</v>
      </c>
      <c r="X3824" t="s">
        <v>47308</v>
      </c>
    </row>
    <row r="3825" spans="1:24">
      <c r="A3825">
        <f>HYPERLINK("https://www.philgeps.gov.ph/GEPSNONPILOT/Tender/SplashBidNoticeAbstractUI.aspx?menuIndex=3&amp;refID=7196197&amp;Result=3","7196197")</f>
        <v>0</v>
      </c>
      <c r="B3825" t="s">
        <v>1502</v>
      </c>
      <c r="C3825" t="s">
        <v>7477</v>
      </c>
      <c r="D3825" t="s">
        <v>18993</v>
      </c>
      <c r="E3825" t="s">
        <v>22521</v>
      </c>
      <c r="F3825" t="s">
        <v>32606</v>
      </c>
      <c r="G3825" t="s">
        <v>32614</v>
      </c>
      <c r="H3825" t="s">
        <v>14201</v>
      </c>
      <c r="I3825" t="s">
        <v>6478</v>
      </c>
      <c r="J3825" t="s">
        <v>33449</v>
      </c>
      <c r="K3825" t="s">
        <v>42623</v>
      </c>
      <c r="M3825" t="s">
        <v>44498</v>
      </c>
      <c r="N3825" t="s">
        <v>47304</v>
      </c>
      <c r="O3825" t="s">
        <v>47305</v>
      </c>
      <c r="P3825">
        <v>0</v>
      </c>
      <c r="Q3825">
        <v>2</v>
      </c>
      <c r="R3825" t="s">
        <v>47306</v>
      </c>
      <c r="S3825" t="s">
        <v>47414</v>
      </c>
      <c r="T3825" t="s">
        <v>49108</v>
      </c>
      <c r="U3825" t="s">
        <v>52831</v>
      </c>
      <c r="W3825" t="s">
        <v>44498</v>
      </c>
      <c r="X3825" t="s">
        <v>47308</v>
      </c>
    </row>
    <row r="3826" spans="1:24">
      <c r="A3826">
        <f>HYPERLINK("https://www.philgeps.gov.ph/GEPSNONPILOT/Tender/SplashBidNoticeAbstractUI.aspx?menuIndex=3&amp;refID=7196196&amp;Result=3","7196196")</f>
        <v>0</v>
      </c>
      <c r="B3826" t="s">
        <v>276</v>
      </c>
      <c r="C3826" t="s">
        <v>7478</v>
      </c>
      <c r="D3826" t="s">
        <v>19001</v>
      </c>
      <c r="E3826" t="s">
        <v>22522</v>
      </c>
      <c r="F3826" t="s">
        <v>32606</v>
      </c>
      <c r="G3826" t="s">
        <v>32614</v>
      </c>
      <c r="H3826" t="s">
        <v>14201</v>
      </c>
      <c r="I3826" t="s">
        <v>6931</v>
      </c>
      <c r="J3826" t="s">
        <v>35359</v>
      </c>
      <c r="K3826" t="s">
        <v>42622</v>
      </c>
      <c r="M3826" t="s">
        <v>43177</v>
      </c>
      <c r="N3826" t="s">
        <v>47304</v>
      </c>
      <c r="O3826" t="s">
        <v>47305</v>
      </c>
      <c r="P3826">
        <v>0</v>
      </c>
      <c r="Q3826">
        <v>0</v>
      </c>
      <c r="R3826" t="s">
        <v>47306</v>
      </c>
      <c r="S3826" t="s">
        <v>47414</v>
      </c>
      <c r="T3826" t="s">
        <v>48986</v>
      </c>
      <c r="U3826" t="s">
        <v>52832</v>
      </c>
      <c r="W3826" t="s">
        <v>43177</v>
      </c>
      <c r="X3826" t="s">
        <v>47308</v>
      </c>
    </row>
    <row r="3827" spans="1:24">
      <c r="A3827">
        <f>HYPERLINK("https://www.philgeps.gov.ph/GEPSNONPILOT/Tender/SplashBidNoticeAbstractUI.aspx?menuIndex=3&amp;refID=7196131&amp;Result=3","7196131")</f>
        <v>0</v>
      </c>
      <c r="B3827" t="s">
        <v>1029</v>
      </c>
      <c r="C3827" t="s">
        <v>7479</v>
      </c>
      <c r="D3827" t="s">
        <v>19028</v>
      </c>
      <c r="E3827" t="s">
        <v>22523</v>
      </c>
      <c r="F3827" t="s">
        <v>32606</v>
      </c>
      <c r="G3827" t="s">
        <v>32613</v>
      </c>
      <c r="H3827" t="s">
        <v>14201</v>
      </c>
      <c r="I3827" t="s">
        <v>32654</v>
      </c>
      <c r="J3827" t="s">
        <v>35360</v>
      </c>
      <c r="K3827" t="s">
        <v>42622</v>
      </c>
      <c r="M3827" t="s">
        <v>43982</v>
      </c>
      <c r="N3827" t="s">
        <v>47304</v>
      </c>
      <c r="O3827" t="s">
        <v>47305</v>
      </c>
      <c r="P3827">
        <v>0</v>
      </c>
      <c r="Q3827">
        <v>0</v>
      </c>
      <c r="R3827" t="s">
        <v>47306</v>
      </c>
      <c r="S3827" t="s">
        <v>47414</v>
      </c>
      <c r="T3827" t="s">
        <v>49032</v>
      </c>
      <c r="U3827" t="s">
        <v>52833</v>
      </c>
      <c r="W3827" t="s">
        <v>43982</v>
      </c>
      <c r="X3827" t="s">
        <v>47308</v>
      </c>
    </row>
    <row r="3828" spans="1:24">
      <c r="A3828">
        <f>HYPERLINK("https://www.philgeps.gov.ph/GEPSNONPILOT/Tender/SplashBidNoticeAbstractUI.aspx?menuIndex=3&amp;refID=7196194&amp;Result=3","7196194")</f>
        <v>0</v>
      </c>
      <c r="B3828" t="s">
        <v>841</v>
      </c>
      <c r="C3828" t="s">
        <v>7480</v>
      </c>
      <c r="D3828" t="s">
        <v>19002</v>
      </c>
      <c r="E3828" t="s">
        <v>22524</v>
      </c>
      <c r="F3828" t="s">
        <v>32606</v>
      </c>
      <c r="G3828" t="s">
        <v>32614</v>
      </c>
      <c r="H3828" t="s">
        <v>14201</v>
      </c>
      <c r="I3828" t="s">
        <v>32632</v>
      </c>
      <c r="J3828" t="s">
        <v>35361</v>
      </c>
      <c r="K3828" t="s">
        <v>42624</v>
      </c>
      <c r="M3828" t="s">
        <v>43773</v>
      </c>
      <c r="N3828" t="s">
        <v>47304</v>
      </c>
      <c r="O3828" t="s">
        <v>47305</v>
      </c>
      <c r="P3828">
        <v>0</v>
      </c>
      <c r="Q3828">
        <v>2</v>
      </c>
      <c r="R3828" t="s">
        <v>47306</v>
      </c>
      <c r="S3828" t="s">
        <v>47414</v>
      </c>
      <c r="T3828" t="s">
        <v>48979</v>
      </c>
      <c r="U3828" t="s">
        <v>52834</v>
      </c>
      <c r="W3828" t="s">
        <v>43773</v>
      </c>
      <c r="X3828" t="s">
        <v>47308</v>
      </c>
    </row>
    <row r="3829" spans="1:24">
      <c r="A3829">
        <f>HYPERLINK("https://www.philgeps.gov.ph/GEPSNONPILOT/Tender/SplashBidNoticeAbstractUI.aspx?menuIndex=3&amp;refID=7196186&amp;Result=3","7196186")</f>
        <v>0</v>
      </c>
      <c r="B3829" t="s">
        <v>775</v>
      </c>
      <c r="C3829" t="s">
        <v>7481</v>
      </c>
      <c r="D3829" t="s">
        <v>19024</v>
      </c>
      <c r="E3829" t="s">
        <v>22525</v>
      </c>
      <c r="F3829" t="s">
        <v>32606</v>
      </c>
      <c r="G3829" t="s">
        <v>32614</v>
      </c>
      <c r="H3829" t="s">
        <v>14201</v>
      </c>
      <c r="I3829" t="s">
        <v>6298</v>
      </c>
      <c r="J3829" t="s">
        <v>35362</v>
      </c>
      <c r="K3829" t="s">
        <v>42631</v>
      </c>
      <c r="M3829" t="s">
        <v>44499</v>
      </c>
      <c r="N3829" t="s">
        <v>47304</v>
      </c>
      <c r="O3829" t="s">
        <v>47305</v>
      </c>
      <c r="P3829">
        <v>0</v>
      </c>
      <c r="Q3829">
        <v>1</v>
      </c>
      <c r="R3829" t="s">
        <v>47306</v>
      </c>
      <c r="S3829" t="s">
        <v>47414</v>
      </c>
      <c r="T3829" t="s">
        <v>49093</v>
      </c>
      <c r="U3829" t="s">
        <v>52835</v>
      </c>
      <c r="W3829" t="s">
        <v>44499</v>
      </c>
      <c r="X3829" t="s">
        <v>47308</v>
      </c>
    </row>
    <row r="3830" spans="1:24">
      <c r="A3830">
        <f>HYPERLINK("https://www.philgeps.gov.ph/GEPSNONPILOT/Tender/SplashBidNoticeAbstractUI.aspx?menuIndex=3&amp;refID=7196192&amp;Result=3","7196192")</f>
        <v>0</v>
      </c>
      <c r="B3830" t="s">
        <v>234</v>
      </c>
      <c r="C3830" t="s">
        <v>7086</v>
      </c>
      <c r="D3830" t="s">
        <v>19052</v>
      </c>
      <c r="E3830" t="s">
        <v>22526</v>
      </c>
      <c r="F3830" t="s">
        <v>32606</v>
      </c>
      <c r="G3830" t="s">
        <v>32614</v>
      </c>
      <c r="H3830" t="s">
        <v>14201</v>
      </c>
      <c r="I3830" t="s">
        <v>32629</v>
      </c>
      <c r="J3830" t="s">
        <v>35363</v>
      </c>
      <c r="K3830" t="s">
        <v>42631</v>
      </c>
      <c r="M3830" t="s">
        <v>43135</v>
      </c>
      <c r="N3830" t="s">
        <v>47304</v>
      </c>
      <c r="O3830" t="s">
        <v>47305</v>
      </c>
      <c r="P3830">
        <v>0</v>
      </c>
      <c r="Q3830">
        <v>0</v>
      </c>
      <c r="R3830" t="s">
        <v>47306</v>
      </c>
      <c r="S3830" t="s">
        <v>47414</v>
      </c>
      <c r="T3830" t="s">
        <v>49050</v>
      </c>
      <c r="U3830" t="s">
        <v>52485</v>
      </c>
      <c r="V3830" t="s">
        <v>62641</v>
      </c>
      <c r="W3830" t="s">
        <v>43135</v>
      </c>
      <c r="X3830" t="s">
        <v>47308</v>
      </c>
    </row>
    <row r="3831" spans="1:24">
      <c r="A3831">
        <f>HYPERLINK("https://www.philgeps.gov.ph/GEPSNONPILOT/Tender/SplashBidNoticeAbstractUI.aspx?menuIndex=3&amp;refID=7196182&amp;Result=3","7196182")</f>
        <v>0</v>
      </c>
      <c r="B3831" t="s">
        <v>318</v>
      </c>
      <c r="C3831" t="s">
        <v>7482</v>
      </c>
      <c r="D3831" t="s">
        <v>19025</v>
      </c>
      <c r="E3831" t="s">
        <v>22527</v>
      </c>
      <c r="F3831" t="s">
        <v>32606</v>
      </c>
      <c r="G3831" t="s">
        <v>32614</v>
      </c>
      <c r="H3831" t="s">
        <v>14201</v>
      </c>
      <c r="I3831" t="s">
        <v>32648</v>
      </c>
      <c r="J3831" t="s">
        <v>34819</v>
      </c>
      <c r="K3831" t="s">
        <v>42624</v>
      </c>
      <c r="M3831" t="s">
        <v>43220</v>
      </c>
      <c r="N3831" t="s">
        <v>47304</v>
      </c>
      <c r="O3831" t="s">
        <v>47305</v>
      </c>
      <c r="P3831">
        <v>0</v>
      </c>
      <c r="Q3831">
        <v>1</v>
      </c>
      <c r="R3831" t="s">
        <v>47306</v>
      </c>
      <c r="S3831" t="s">
        <v>47414</v>
      </c>
      <c r="T3831" t="s">
        <v>49081</v>
      </c>
      <c r="U3831" t="s">
        <v>52836</v>
      </c>
      <c r="W3831" t="s">
        <v>43220</v>
      </c>
      <c r="X3831" t="s">
        <v>47308</v>
      </c>
    </row>
    <row r="3832" spans="1:24">
      <c r="A3832">
        <f>HYPERLINK("https://www.philgeps.gov.ph/GEPSNONPILOT/Tender/SplashBidNoticeAbstractUI.aspx?menuIndex=3&amp;refID=7196180&amp;Result=3","7196180")</f>
        <v>0</v>
      </c>
      <c r="B3832" t="s">
        <v>650</v>
      </c>
      <c r="C3832" t="s">
        <v>7483</v>
      </c>
      <c r="D3832" t="s">
        <v>19057</v>
      </c>
      <c r="E3832" t="s">
        <v>22528</v>
      </c>
      <c r="F3832" t="s">
        <v>32606</v>
      </c>
      <c r="G3832" t="s">
        <v>32614</v>
      </c>
      <c r="H3832" t="s">
        <v>14201</v>
      </c>
      <c r="I3832" t="s">
        <v>4369</v>
      </c>
      <c r="J3832" t="s">
        <v>32999</v>
      </c>
      <c r="K3832" t="s">
        <v>42623</v>
      </c>
      <c r="M3832" t="s">
        <v>43569</v>
      </c>
      <c r="N3832" t="s">
        <v>47304</v>
      </c>
      <c r="O3832" t="s">
        <v>47305</v>
      </c>
      <c r="P3832">
        <v>0</v>
      </c>
      <c r="Q3832">
        <v>3</v>
      </c>
      <c r="R3832" t="s">
        <v>47306</v>
      </c>
      <c r="S3832" t="s">
        <v>47414</v>
      </c>
      <c r="T3832" t="s">
        <v>49050</v>
      </c>
      <c r="U3832" t="s">
        <v>52837</v>
      </c>
      <c r="W3832" t="s">
        <v>43569</v>
      </c>
      <c r="X3832" t="s">
        <v>47308</v>
      </c>
    </row>
    <row r="3833" spans="1:24">
      <c r="A3833">
        <f>HYPERLINK("https://www.philgeps.gov.ph/GEPSNONPILOT/Tender/SplashBidNoticeAbstractUI.aspx?menuIndex=3&amp;refID=7196198&amp;Result=3","7196198")</f>
        <v>0</v>
      </c>
      <c r="B3833" t="s">
        <v>466</v>
      </c>
      <c r="C3833" t="s">
        <v>7484</v>
      </c>
      <c r="D3833" t="s">
        <v>19022</v>
      </c>
      <c r="E3833" t="s">
        <v>22529</v>
      </c>
      <c r="F3833" t="s">
        <v>32606</v>
      </c>
      <c r="G3833" t="s">
        <v>32614</v>
      </c>
      <c r="H3833" t="s">
        <v>14201</v>
      </c>
      <c r="I3833" t="s">
        <v>6007</v>
      </c>
      <c r="J3833" t="s">
        <v>33482</v>
      </c>
      <c r="K3833" t="s">
        <v>42623</v>
      </c>
      <c r="M3833" t="s">
        <v>43377</v>
      </c>
      <c r="N3833" t="s">
        <v>47304</v>
      </c>
      <c r="O3833" t="s">
        <v>47305</v>
      </c>
      <c r="P3833">
        <v>0</v>
      </c>
      <c r="Q3833">
        <v>0</v>
      </c>
      <c r="R3833" t="s">
        <v>47306</v>
      </c>
      <c r="S3833" t="s">
        <v>47414</v>
      </c>
      <c r="T3833" t="s">
        <v>49011</v>
      </c>
      <c r="U3833" t="s">
        <v>50375</v>
      </c>
      <c r="W3833" t="s">
        <v>43377</v>
      </c>
      <c r="X3833" t="s">
        <v>47308</v>
      </c>
    </row>
    <row r="3834" spans="1:24">
      <c r="A3834">
        <f>HYPERLINK("https://www.philgeps.gov.ph/GEPSNONPILOT/Tender/SplashBidNoticeAbstractUI.aspx?menuIndex=3&amp;refID=7196178&amp;Result=3","7196178")</f>
        <v>0</v>
      </c>
      <c r="B3834" t="s">
        <v>81</v>
      </c>
      <c r="C3834" t="s">
        <v>7485</v>
      </c>
      <c r="D3834" t="s">
        <v>18995</v>
      </c>
      <c r="E3834" t="s">
        <v>22530</v>
      </c>
      <c r="F3834" t="s">
        <v>32606</v>
      </c>
      <c r="G3834" t="s">
        <v>32614</v>
      </c>
      <c r="H3834" t="s">
        <v>14201</v>
      </c>
      <c r="I3834" t="s">
        <v>6014</v>
      </c>
      <c r="J3834" t="s">
        <v>33155</v>
      </c>
      <c r="K3834" t="s">
        <v>42624</v>
      </c>
      <c r="M3834" t="s">
        <v>42978</v>
      </c>
      <c r="N3834" t="s">
        <v>47304</v>
      </c>
      <c r="O3834" t="s">
        <v>47305</v>
      </c>
      <c r="P3834">
        <v>0</v>
      </c>
      <c r="Q3834">
        <v>2</v>
      </c>
      <c r="R3834" t="s">
        <v>47306</v>
      </c>
      <c r="S3834" t="s">
        <v>47414</v>
      </c>
      <c r="T3834" t="s">
        <v>49014</v>
      </c>
      <c r="U3834" t="s">
        <v>52838</v>
      </c>
      <c r="W3834" t="s">
        <v>42978</v>
      </c>
      <c r="X3834" t="s">
        <v>47308</v>
      </c>
    </row>
    <row r="3835" spans="1:24">
      <c r="A3835">
        <f>HYPERLINK("https://www.philgeps.gov.ph/GEPSNONPILOT/Tender/SplashBidNoticeAbstractUI.aspx?menuIndex=3&amp;refID=7196175&amp;Result=3","7196175")</f>
        <v>0</v>
      </c>
      <c r="B3835" t="s">
        <v>775</v>
      </c>
      <c r="C3835" t="s">
        <v>7486</v>
      </c>
      <c r="D3835" t="s">
        <v>19024</v>
      </c>
      <c r="E3835" t="s">
        <v>22531</v>
      </c>
      <c r="F3835" t="s">
        <v>32606</v>
      </c>
      <c r="G3835" t="s">
        <v>32614</v>
      </c>
      <c r="H3835" t="s">
        <v>32624</v>
      </c>
      <c r="I3835" t="s">
        <v>6007</v>
      </c>
      <c r="J3835" t="s">
        <v>33897</v>
      </c>
      <c r="K3835" t="s">
        <v>42630</v>
      </c>
      <c r="M3835" t="s">
        <v>44450</v>
      </c>
      <c r="N3835" t="s">
        <v>47304</v>
      </c>
      <c r="O3835" t="s">
        <v>47305</v>
      </c>
      <c r="P3835">
        <v>0</v>
      </c>
      <c r="Q3835">
        <v>0</v>
      </c>
      <c r="R3835" t="s">
        <v>47306</v>
      </c>
      <c r="S3835" t="s">
        <v>47414</v>
      </c>
      <c r="T3835" t="s">
        <v>48976</v>
      </c>
      <c r="U3835" t="s">
        <v>52839</v>
      </c>
      <c r="V3835" t="s">
        <v>63020</v>
      </c>
      <c r="W3835" t="s">
        <v>44450</v>
      </c>
      <c r="X3835" t="s">
        <v>47308</v>
      </c>
    </row>
    <row r="3836" spans="1:24">
      <c r="A3836">
        <f>HYPERLINK("https://www.philgeps.gov.ph/GEPSNONPILOT/Tender/SplashBidNoticeAbstractUI.aspx?menuIndex=3&amp;refID=7196190&amp;Result=3","7196190")</f>
        <v>0</v>
      </c>
      <c r="B3836" t="s">
        <v>1503</v>
      </c>
      <c r="C3836" t="s">
        <v>7487</v>
      </c>
      <c r="D3836" t="s">
        <v>19049</v>
      </c>
      <c r="E3836" t="s">
        <v>22532</v>
      </c>
      <c r="F3836" t="s">
        <v>32609</v>
      </c>
      <c r="G3836" t="s">
        <v>32619</v>
      </c>
      <c r="H3836" t="s">
        <v>14201</v>
      </c>
      <c r="I3836" t="s">
        <v>7064</v>
      </c>
      <c r="J3836" t="s">
        <v>35364</v>
      </c>
      <c r="K3836" t="s">
        <v>42636</v>
      </c>
      <c r="M3836" t="s">
        <v>44500</v>
      </c>
      <c r="N3836" t="s">
        <v>47304</v>
      </c>
      <c r="O3836" t="s">
        <v>47305</v>
      </c>
      <c r="P3836">
        <v>0</v>
      </c>
      <c r="Q3836">
        <v>1</v>
      </c>
      <c r="R3836" t="s">
        <v>47306</v>
      </c>
      <c r="S3836" t="s">
        <v>47414</v>
      </c>
      <c r="T3836" t="s">
        <v>49057</v>
      </c>
      <c r="U3836" t="s">
        <v>52840</v>
      </c>
      <c r="W3836" t="s">
        <v>44500</v>
      </c>
      <c r="X3836" t="s">
        <v>47308</v>
      </c>
    </row>
    <row r="3837" spans="1:24">
      <c r="A3837">
        <f>HYPERLINK("https://www.philgeps.gov.ph/GEPSNONPILOT/Tender/SplashBidNoticeAbstractUI.aspx?menuIndex=3&amp;refID=7196174&amp;Result=3","7196174")</f>
        <v>0</v>
      </c>
      <c r="B3837" t="s">
        <v>1504</v>
      </c>
      <c r="C3837" t="s">
        <v>7488</v>
      </c>
      <c r="D3837" t="s">
        <v>18993</v>
      </c>
      <c r="E3837" t="s">
        <v>22533</v>
      </c>
      <c r="F3837" t="s">
        <v>32606</v>
      </c>
      <c r="G3837" t="s">
        <v>32619</v>
      </c>
      <c r="H3837" t="s">
        <v>14201</v>
      </c>
      <c r="I3837" t="s">
        <v>32633</v>
      </c>
      <c r="J3837" t="s">
        <v>32981</v>
      </c>
      <c r="K3837" t="s">
        <v>42632</v>
      </c>
      <c r="M3837" t="s">
        <v>44501</v>
      </c>
      <c r="N3837" t="s">
        <v>47304</v>
      </c>
      <c r="O3837" t="s">
        <v>47305</v>
      </c>
      <c r="P3837">
        <v>0</v>
      </c>
      <c r="Q3837">
        <v>3</v>
      </c>
      <c r="R3837" t="s">
        <v>47306</v>
      </c>
      <c r="S3837" t="s">
        <v>47414</v>
      </c>
      <c r="T3837" t="s">
        <v>49014</v>
      </c>
      <c r="U3837" t="s">
        <v>52841</v>
      </c>
      <c r="W3837" t="s">
        <v>44501</v>
      </c>
      <c r="X3837" t="s">
        <v>47308</v>
      </c>
    </row>
    <row r="3838" spans="1:24">
      <c r="A3838">
        <f>HYPERLINK("https://www.philgeps.gov.ph/GEPSNONPILOT/Tender/SplashBidNoticeAbstractUI.aspx?menuIndex=3&amp;refID=7196179&amp;Result=3","7196179")</f>
        <v>0</v>
      </c>
      <c r="B3838" t="s">
        <v>344</v>
      </c>
      <c r="C3838" t="s">
        <v>7489</v>
      </c>
      <c r="D3838" t="s">
        <v>19002</v>
      </c>
      <c r="E3838" t="s">
        <v>22534</v>
      </c>
      <c r="F3838" t="s">
        <v>32606</v>
      </c>
      <c r="G3838" t="s">
        <v>32614</v>
      </c>
      <c r="H3838" t="s">
        <v>14201</v>
      </c>
      <c r="I3838" t="s">
        <v>32633</v>
      </c>
      <c r="J3838" t="s">
        <v>35365</v>
      </c>
      <c r="K3838" t="s">
        <v>42622</v>
      </c>
      <c r="M3838" t="s">
        <v>44172</v>
      </c>
      <c r="N3838" t="s">
        <v>47304</v>
      </c>
      <c r="O3838" t="s">
        <v>47305</v>
      </c>
      <c r="P3838">
        <v>0</v>
      </c>
      <c r="Q3838">
        <v>3</v>
      </c>
      <c r="R3838" t="s">
        <v>47306</v>
      </c>
      <c r="S3838" t="s">
        <v>47414</v>
      </c>
      <c r="T3838" t="s">
        <v>48996</v>
      </c>
      <c r="U3838" t="s">
        <v>52842</v>
      </c>
      <c r="W3838" t="s">
        <v>44172</v>
      </c>
      <c r="X3838" t="s">
        <v>47308</v>
      </c>
    </row>
    <row r="3839" spans="1:24">
      <c r="A3839">
        <f>HYPERLINK("https://www.philgeps.gov.ph/GEPSNONPILOT/Tender/SplashBidNoticeAbstractUI.aspx?menuIndex=3&amp;refID=7196168&amp;Result=3","7196168")</f>
        <v>0</v>
      </c>
      <c r="B3839" t="s">
        <v>343</v>
      </c>
      <c r="C3839" t="s">
        <v>7490</v>
      </c>
      <c r="D3839" t="s">
        <v>18993</v>
      </c>
      <c r="E3839" t="s">
        <v>22535</v>
      </c>
      <c r="F3839" t="s">
        <v>32606</v>
      </c>
      <c r="G3839" t="s">
        <v>32613</v>
      </c>
      <c r="H3839" t="s">
        <v>14201</v>
      </c>
      <c r="I3839" t="s">
        <v>6993</v>
      </c>
      <c r="J3839" t="s">
        <v>35366</v>
      </c>
      <c r="K3839" t="s">
        <v>42624</v>
      </c>
      <c r="M3839" t="s">
        <v>44502</v>
      </c>
      <c r="N3839" t="s">
        <v>47304</v>
      </c>
      <c r="O3839" t="s">
        <v>47305</v>
      </c>
      <c r="P3839">
        <v>0</v>
      </c>
      <c r="Q3839">
        <v>0</v>
      </c>
      <c r="R3839" t="s">
        <v>47306</v>
      </c>
      <c r="S3839" t="s">
        <v>47414</v>
      </c>
      <c r="T3839" t="s">
        <v>49009</v>
      </c>
      <c r="U3839" t="s">
        <v>52843</v>
      </c>
      <c r="W3839" t="s">
        <v>44502</v>
      </c>
      <c r="X3839" t="s">
        <v>47308</v>
      </c>
    </row>
    <row r="3840" spans="1:24">
      <c r="A3840">
        <f>HYPERLINK("https://www.philgeps.gov.ph/GEPSNONPILOT/Tender/SplashBidNoticeAbstractUI.aspx?menuIndex=3&amp;refID=7196200&amp;Result=3","7196200")</f>
        <v>0</v>
      </c>
      <c r="B3840" t="s">
        <v>775</v>
      </c>
      <c r="C3840" t="s">
        <v>7491</v>
      </c>
      <c r="D3840" t="s">
        <v>19019</v>
      </c>
      <c r="E3840" t="s">
        <v>22536</v>
      </c>
      <c r="F3840" t="s">
        <v>32606</v>
      </c>
      <c r="G3840" t="s">
        <v>32614</v>
      </c>
      <c r="H3840" t="s">
        <v>14201</v>
      </c>
      <c r="I3840" t="s">
        <v>4678</v>
      </c>
      <c r="J3840" t="s">
        <v>33291</v>
      </c>
      <c r="K3840" t="s">
        <v>42630</v>
      </c>
      <c r="M3840" t="s">
        <v>43704</v>
      </c>
      <c r="N3840" t="s">
        <v>47304</v>
      </c>
      <c r="O3840" t="s">
        <v>47305</v>
      </c>
      <c r="P3840">
        <v>0</v>
      </c>
      <c r="Q3840">
        <v>0</v>
      </c>
      <c r="R3840" t="s">
        <v>47306</v>
      </c>
      <c r="S3840" t="s">
        <v>47414</v>
      </c>
      <c r="T3840" t="s">
        <v>49117</v>
      </c>
      <c r="U3840" t="s">
        <v>52844</v>
      </c>
      <c r="W3840" t="s">
        <v>43704</v>
      </c>
      <c r="X3840" t="s">
        <v>47308</v>
      </c>
    </row>
    <row r="3841" spans="1:24">
      <c r="A3841">
        <f>HYPERLINK("https://www.philgeps.gov.ph/GEPSNONPILOT/Tender/SplashBidNoticeAbstractUI.aspx?menuIndex=3&amp;refID=7196209&amp;Result=3","7196209")</f>
        <v>0</v>
      </c>
      <c r="B3841" t="s">
        <v>1194</v>
      </c>
      <c r="C3841" t="s">
        <v>7492</v>
      </c>
      <c r="D3841" t="s">
        <v>19025</v>
      </c>
      <c r="E3841" t="s">
        <v>22537</v>
      </c>
      <c r="F3841" t="s">
        <v>32606</v>
      </c>
      <c r="G3841" t="s">
        <v>32613</v>
      </c>
      <c r="H3841" t="s">
        <v>14201</v>
      </c>
      <c r="I3841" t="s">
        <v>6931</v>
      </c>
      <c r="J3841" t="s">
        <v>35367</v>
      </c>
      <c r="K3841" t="s">
        <v>42623</v>
      </c>
      <c r="M3841" t="s">
        <v>44158</v>
      </c>
      <c r="N3841" t="s">
        <v>47304</v>
      </c>
      <c r="O3841" t="s">
        <v>47305</v>
      </c>
      <c r="P3841">
        <v>0</v>
      </c>
      <c r="Q3841">
        <v>1</v>
      </c>
      <c r="R3841" t="s">
        <v>47306</v>
      </c>
      <c r="S3841" t="s">
        <v>47414</v>
      </c>
      <c r="T3841" t="s">
        <v>49002</v>
      </c>
      <c r="U3841" t="s">
        <v>52845</v>
      </c>
      <c r="W3841" t="s">
        <v>44158</v>
      </c>
      <c r="X3841" t="s">
        <v>47308</v>
      </c>
    </row>
    <row r="3842" spans="1:24">
      <c r="A3842">
        <f>HYPERLINK("https://www.philgeps.gov.ph/GEPSNONPILOT/Tender/SplashBidNoticeAbstractUI.aspx?menuIndex=3&amp;refID=7196208&amp;Result=3","7196208")</f>
        <v>0</v>
      </c>
      <c r="B3842" t="s">
        <v>1501</v>
      </c>
      <c r="C3842" t="s">
        <v>7493</v>
      </c>
      <c r="D3842" t="s">
        <v>19006</v>
      </c>
      <c r="E3842" t="s">
        <v>22538</v>
      </c>
      <c r="F3842" t="s">
        <v>32606</v>
      </c>
      <c r="G3842" t="s">
        <v>32614</v>
      </c>
      <c r="H3842" t="s">
        <v>14201</v>
      </c>
      <c r="I3842" t="s">
        <v>32631</v>
      </c>
      <c r="J3842" t="s">
        <v>32999</v>
      </c>
      <c r="K3842" t="s">
        <v>42624</v>
      </c>
      <c r="M3842" t="s">
        <v>44497</v>
      </c>
      <c r="N3842" t="s">
        <v>47304</v>
      </c>
      <c r="O3842" t="s">
        <v>47305</v>
      </c>
      <c r="P3842">
        <v>0</v>
      </c>
      <c r="Q3842">
        <v>1</v>
      </c>
      <c r="R3842" t="s">
        <v>47306</v>
      </c>
      <c r="S3842" t="s">
        <v>47414</v>
      </c>
      <c r="T3842" t="s">
        <v>48987</v>
      </c>
      <c r="U3842" t="s">
        <v>52846</v>
      </c>
      <c r="W3842" t="s">
        <v>44497</v>
      </c>
      <c r="X3842" t="s">
        <v>47308</v>
      </c>
    </row>
    <row r="3843" spans="1:24">
      <c r="A3843">
        <f>HYPERLINK("https://www.philgeps.gov.ph/GEPSNONPILOT/Tender/SplashBidNoticeAbstractUI.aspx?menuIndex=3&amp;refID=7196213&amp;Result=3","7196213")</f>
        <v>0</v>
      </c>
      <c r="B3843" t="s">
        <v>1505</v>
      </c>
      <c r="C3843" t="s">
        <v>7494</v>
      </c>
      <c r="D3843" t="s">
        <v>19067</v>
      </c>
      <c r="E3843" t="s">
        <v>22539</v>
      </c>
      <c r="F3843" t="s">
        <v>32606</v>
      </c>
      <c r="G3843" t="s">
        <v>32613</v>
      </c>
      <c r="H3843" t="s">
        <v>32623</v>
      </c>
      <c r="I3843" t="s">
        <v>6931</v>
      </c>
      <c r="J3843" t="s">
        <v>32765</v>
      </c>
      <c r="K3843" t="s">
        <v>42631</v>
      </c>
      <c r="M3843" t="s">
        <v>44503</v>
      </c>
      <c r="N3843" t="s">
        <v>47304</v>
      </c>
      <c r="O3843" t="s">
        <v>47305</v>
      </c>
      <c r="P3843">
        <v>0</v>
      </c>
      <c r="Q3843">
        <v>0</v>
      </c>
      <c r="R3843" t="s">
        <v>47306</v>
      </c>
      <c r="S3843" t="s">
        <v>47414</v>
      </c>
      <c r="T3843" t="s">
        <v>48988</v>
      </c>
      <c r="U3843" t="s">
        <v>52847</v>
      </c>
      <c r="W3843" t="s">
        <v>44503</v>
      </c>
      <c r="X3843" t="s">
        <v>47308</v>
      </c>
    </row>
    <row r="3844" spans="1:24">
      <c r="A3844">
        <f>HYPERLINK("https://www.philgeps.gov.ph/GEPSNONPILOT/Tender/SplashBidNoticeAbstractUI.aspx?menuIndex=3&amp;refID=7196181&amp;Result=3","7196181")</f>
        <v>0</v>
      </c>
      <c r="B3844" t="s">
        <v>466</v>
      </c>
      <c r="C3844" t="s">
        <v>7495</v>
      </c>
      <c r="D3844" t="s">
        <v>19022</v>
      </c>
      <c r="E3844" t="s">
        <v>22540</v>
      </c>
      <c r="F3844" t="s">
        <v>32606</v>
      </c>
      <c r="G3844" t="s">
        <v>32614</v>
      </c>
      <c r="H3844" t="s">
        <v>14201</v>
      </c>
      <c r="I3844" t="s">
        <v>32629</v>
      </c>
      <c r="J3844" t="s">
        <v>32781</v>
      </c>
      <c r="K3844" t="s">
        <v>42623</v>
      </c>
      <c r="M3844" t="s">
        <v>43377</v>
      </c>
      <c r="N3844" t="s">
        <v>47304</v>
      </c>
      <c r="O3844" t="s">
        <v>47305</v>
      </c>
      <c r="P3844">
        <v>0</v>
      </c>
      <c r="Q3844">
        <v>0</v>
      </c>
      <c r="R3844" t="s">
        <v>47306</v>
      </c>
      <c r="S3844" t="s">
        <v>47414</v>
      </c>
      <c r="T3844" t="s">
        <v>49011</v>
      </c>
      <c r="U3844" t="s">
        <v>50375</v>
      </c>
      <c r="W3844" t="s">
        <v>43377</v>
      </c>
      <c r="X3844" t="s">
        <v>47308</v>
      </c>
    </row>
    <row r="3845" spans="1:24">
      <c r="A3845">
        <f>HYPERLINK("https://www.philgeps.gov.ph/GEPSNONPILOT/Tender/SplashBidNoticeAbstractUI.aspx?menuIndex=3&amp;refID=7196207&amp;Result=3","7196207")</f>
        <v>0</v>
      </c>
      <c r="B3845" t="s">
        <v>1506</v>
      </c>
      <c r="C3845" t="s">
        <v>7496</v>
      </c>
      <c r="D3845" t="s">
        <v>19063</v>
      </c>
      <c r="E3845" t="s">
        <v>21785</v>
      </c>
      <c r="F3845" t="s">
        <v>32606</v>
      </c>
      <c r="G3845" t="s">
        <v>32613</v>
      </c>
      <c r="H3845" t="s">
        <v>32623</v>
      </c>
      <c r="I3845" t="s">
        <v>17648</v>
      </c>
      <c r="J3845" t="s">
        <v>35368</v>
      </c>
      <c r="K3845" t="s">
        <v>42634</v>
      </c>
      <c r="M3845" t="s">
        <v>44504</v>
      </c>
      <c r="N3845" t="s">
        <v>47304</v>
      </c>
      <c r="O3845" t="s">
        <v>47305</v>
      </c>
      <c r="P3845">
        <v>0</v>
      </c>
      <c r="Q3845">
        <v>1</v>
      </c>
      <c r="R3845" t="s">
        <v>47306</v>
      </c>
      <c r="S3845" t="s">
        <v>47414</v>
      </c>
      <c r="T3845" t="s">
        <v>49029</v>
      </c>
      <c r="U3845" t="s">
        <v>52848</v>
      </c>
      <c r="W3845" t="s">
        <v>44504</v>
      </c>
      <c r="X3845" t="s">
        <v>47308</v>
      </c>
    </row>
    <row r="3846" spans="1:24">
      <c r="A3846">
        <f>HYPERLINK("https://www.philgeps.gov.ph/GEPSNONPILOT/Tender/SplashBidNoticeAbstractUI.aspx?menuIndex=3&amp;refID=7196171&amp;Result=3","7196171")</f>
        <v>0</v>
      </c>
      <c r="B3846" t="s">
        <v>1441</v>
      </c>
      <c r="C3846" t="s">
        <v>7497</v>
      </c>
      <c r="D3846" t="s">
        <v>18999</v>
      </c>
      <c r="E3846" t="s">
        <v>19233</v>
      </c>
      <c r="F3846" t="s">
        <v>32606</v>
      </c>
      <c r="G3846" t="s">
        <v>32614</v>
      </c>
      <c r="H3846" t="s">
        <v>14201</v>
      </c>
      <c r="I3846" t="s">
        <v>32648</v>
      </c>
      <c r="J3846" t="s">
        <v>35369</v>
      </c>
      <c r="K3846" t="s">
        <v>42622</v>
      </c>
      <c r="M3846" t="s">
        <v>44430</v>
      </c>
      <c r="N3846" t="s">
        <v>47304</v>
      </c>
      <c r="O3846" t="s">
        <v>47305</v>
      </c>
      <c r="P3846">
        <v>0</v>
      </c>
      <c r="Q3846">
        <v>3</v>
      </c>
      <c r="R3846" t="s">
        <v>47306</v>
      </c>
      <c r="S3846" t="s">
        <v>47414</v>
      </c>
      <c r="T3846" t="s">
        <v>49014</v>
      </c>
      <c r="U3846" t="s">
        <v>52849</v>
      </c>
      <c r="V3846" t="s">
        <v>63036</v>
      </c>
      <c r="W3846" t="s">
        <v>44430</v>
      </c>
      <c r="X3846" t="s">
        <v>47308</v>
      </c>
    </row>
    <row r="3847" spans="1:24">
      <c r="A3847">
        <f>HYPERLINK("https://www.philgeps.gov.ph/GEPSNONPILOT/Tender/SplashBidNoticeAbstractUI.aspx?menuIndex=3&amp;refID=7196206&amp;Result=3","7196206")</f>
        <v>0</v>
      </c>
      <c r="B3847" t="s">
        <v>1454</v>
      </c>
      <c r="C3847" t="s">
        <v>7498</v>
      </c>
      <c r="E3847" t="s">
        <v>22541</v>
      </c>
      <c r="F3847" t="s">
        <v>32606</v>
      </c>
      <c r="G3847" t="s">
        <v>32614</v>
      </c>
      <c r="H3847" t="s">
        <v>14201</v>
      </c>
      <c r="I3847" t="s">
        <v>6993</v>
      </c>
      <c r="J3847" t="s">
        <v>35370</v>
      </c>
      <c r="K3847" t="s">
        <v>42630</v>
      </c>
      <c r="M3847" t="s">
        <v>44445</v>
      </c>
      <c r="N3847" t="s">
        <v>47304</v>
      </c>
      <c r="O3847" t="s">
        <v>47305</v>
      </c>
      <c r="P3847">
        <v>0</v>
      </c>
      <c r="Q3847">
        <v>0</v>
      </c>
      <c r="R3847" t="s">
        <v>47306</v>
      </c>
      <c r="S3847" t="s">
        <v>47414</v>
      </c>
      <c r="T3847" t="s">
        <v>49004</v>
      </c>
      <c r="U3847" t="s">
        <v>52850</v>
      </c>
      <c r="V3847" t="s">
        <v>63019</v>
      </c>
      <c r="W3847" t="s">
        <v>44445</v>
      </c>
      <c r="X3847" t="s">
        <v>47308</v>
      </c>
    </row>
    <row r="3848" spans="1:24">
      <c r="A3848">
        <f>HYPERLINK("https://www.philgeps.gov.ph/GEPSNONPILOT/Tender/SplashBidNoticeAbstractUI.aspx?menuIndex=3&amp;refID=7196204&amp;Result=3","7196204")</f>
        <v>0</v>
      </c>
      <c r="B3848" t="s">
        <v>1507</v>
      </c>
      <c r="C3848" t="s">
        <v>7499</v>
      </c>
      <c r="D3848" t="s">
        <v>19039</v>
      </c>
      <c r="E3848" t="s">
        <v>22542</v>
      </c>
      <c r="F3848" t="s">
        <v>32607</v>
      </c>
      <c r="G3848" t="s">
        <v>32613</v>
      </c>
      <c r="H3848" t="s">
        <v>14201</v>
      </c>
      <c r="I3848" t="s">
        <v>7577</v>
      </c>
      <c r="J3848" t="s">
        <v>35371</v>
      </c>
      <c r="K3848" t="s">
        <v>42639</v>
      </c>
      <c r="M3848" t="s">
        <v>44505</v>
      </c>
      <c r="N3848" t="s">
        <v>47304</v>
      </c>
      <c r="O3848" t="s">
        <v>47305</v>
      </c>
      <c r="P3848">
        <v>0</v>
      </c>
      <c r="Q3848">
        <v>0</v>
      </c>
      <c r="R3848" t="s">
        <v>47306</v>
      </c>
      <c r="S3848" t="s">
        <v>47414</v>
      </c>
      <c r="T3848" t="s">
        <v>49272</v>
      </c>
      <c r="U3848" t="s">
        <v>52851</v>
      </c>
      <c r="W3848" t="s">
        <v>44505</v>
      </c>
      <c r="X3848" t="s">
        <v>47308</v>
      </c>
    </row>
    <row r="3849" spans="1:24">
      <c r="A3849">
        <f>HYPERLINK("https://www.philgeps.gov.ph/GEPSNONPILOT/Tender/SplashBidNoticeAbstractUI.aspx?menuIndex=3&amp;refID=7196201&amp;Result=3","7196201")</f>
        <v>0</v>
      </c>
      <c r="B3849" t="s">
        <v>1464</v>
      </c>
      <c r="C3849" t="s">
        <v>7500</v>
      </c>
      <c r="D3849" t="s">
        <v>19012</v>
      </c>
      <c r="E3849" t="s">
        <v>22543</v>
      </c>
      <c r="F3849" t="s">
        <v>32606</v>
      </c>
      <c r="G3849" t="s">
        <v>32619</v>
      </c>
      <c r="H3849" t="s">
        <v>14201</v>
      </c>
      <c r="I3849" t="s">
        <v>7577</v>
      </c>
      <c r="J3849" t="s">
        <v>34048</v>
      </c>
      <c r="K3849" t="s">
        <v>42623</v>
      </c>
      <c r="M3849" t="s">
        <v>44458</v>
      </c>
      <c r="N3849" t="s">
        <v>47304</v>
      </c>
      <c r="O3849" t="s">
        <v>47305</v>
      </c>
      <c r="P3849">
        <v>0</v>
      </c>
      <c r="Q3849">
        <v>0</v>
      </c>
      <c r="R3849" t="s">
        <v>47306</v>
      </c>
      <c r="S3849" t="s">
        <v>47414</v>
      </c>
      <c r="T3849" t="s">
        <v>48980</v>
      </c>
      <c r="U3849" t="s">
        <v>52852</v>
      </c>
      <c r="V3849" t="s">
        <v>63028</v>
      </c>
      <c r="W3849" t="s">
        <v>44458</v>
      </c>
      <c r="X3849" t="s">
        <v>47308</v>
      </c>
    </row>
    <row r="3850" spans="1:24">
      <c r="A3850">
        <f>HYPERLINK("https://www.philgeps.gov.ph/GEPSNONPILOT/Tender/SplashBidNoticeAbstractUI.aspx?menuIndex=3&amp;refID=7196221&amp;Result=3","7196221")</f>
        <v>0</v>
      </c>
      <c r="B3850" t="s">
        <v>984</v>
      </c>
      <c r="C3850" t="s">
        <v>7501</v>
      </c>
      <c r="D3850" t="s">
        <v>19039</v>
      </c>
      <c r="E3850" t="s">
        <v>22544</v>
      </c>
      <c r="F3850" t="s">
        <v>32606</v>
      </c>
      <c r="G3850" t="s">
        <v>32613</v>
      </c>
      <c r="H3850" t="s">
        <v>32623</v>
      </c>
      <c r="I3850" t="s">
        <v>17648</v>
      </c>
      <c r="J3850" t="s">
        <v>33460</v>
      </c>
      <c r="K3850" t="s">
        <v>42623</v>
      </c>
      <c r="L3850" t="s">
        <v>984</v>
      </c>
      <c r="M3850" t="s">
        <v>43930</v>
      </c>
      <c r="N3850" t="s">
        <v>47304</v>
      </c>
      <c r="O3850" t="s">
        <v>47305</v>
      </c>
      <c r="P3850">
        <v>0</v>
      </c>
      <c r="Q3850">
        <v>0</v>
      </c>
      <c r="R3850" t="s">
        <v>47306</v>
      </c>
      <c r="S3850" t="s">
        <v>47414</v>
      </c>
      <c r="T3850" t="s">
        <v>48992</v>
      </c>
      <c r="U3850" t="s">
        <v>52853</v>
      </c>
      <c r="W3850" t="s">
        <v>43930</v>
      </c>
      <c r="X3850" t="s">
        <v>47308</v>
      </c>
    </row>
    <row r="3851" spans="1:24">
      <c r="A3851">
        <f>HYPERLINK("https://www.philgeps.gov.ph/GEPSNONPILOT/Tender/SplashBidNoticeAbstractUI.aspx?menuIndex=3&amp;refID=7196220&amp;Result=3","7196220")</f>
        <v>0</v>
      </c>
      <c r="B3851" t="s">
        <v>1491</v>
      </c>
      <c r="C3851" t="s">
        <v>7502</v>
      </c>
      <c r="D3851" t="s">
        <v>18987</v>
      </c>
      <c r="E3851" t="s">
        <v>22545</v>
      </c>
      <c r="F3851" t="s">
        <v>32606</v>
      </c>
      <c r="G3851" t="s">
        <v>32614</v>
      </c>
      <c r="H3851" t="s">
        <v>14201</v>
      </c>
      <c r="I3851" t="s">
        <v>7677</v>
      </c>
      <c r="J3851" t="s">
        <v>35372</v>
      </c>
      <c r="K3851" t="s">
        <v>42631</v>
      </c>
      <c r="M3851" t="s">
        <v>44486</v>
      </c>
      <c r="N3851" t="s">
        <v>47304</v>
      </c>
      <c r="O3851" t="s">
        <v>47305</v>
      </c>
      <c r="P3851">
        <v>0</v>
      </c>
      <c r="Q3851">
        <v>1</v>
      </c>
      <c r="R3851" t="s">
        <v>47306</v>
      </c>
      <c r="S3851" t="s">
        <v>47414</v>
      </c>
      <c r="T3851" t="s">
        <v>48992</v>
      </c>
      <c r="U3851" t="s">
        <v>52854</v>
      </c>
      <c r="V3851" t="s">
        <v>62938</v>
      </c>
      <c r="W3851" t="s">
        <v>44486</v>
      </c>
      <c r="X3851" t="s">
        <v>47308</v>
      </c>
    </row>
    <row r="3852" spans="1:24">
      <c r="A3852">
        <f>HYPERLINK("https://www.philgeps.gov.ph/GEPSNONPILOT/Tender/SplashBidNoticeAbstractUI.aspx?menuIndex=3&amp;refID=7196219&amp;Result=3","7196219")</f>
        <v>0</v>
      </c>
      <c r="B3852" t="s">
        <v>344</v>
      </c>
      <c r="C3852" t="s">
        <v>7503</v>
      </c>
      <c r="D3852" t="s">
        <v>19002</v>
      </c>
      <c r="E3852" t="s">
        <v>22546</v>
      </c>
      <c r="F3852" t="s">
        <v>32606</v>
      </c>
      <c r="G3852" t="s">
        <v>32614</v>
      </c>
      <c r="H3852" t="s">
        <v>14201</v>
      </c>
      <c r="I3852" t="s">
        <v>32662</v>
      </c>
      <c r="J3852" t="s">
        <v>33189</v>
      </c>
      <c r="K3852" t="s">
        <v>42631</v>
      </c>
      <c r="M3852" t="s">
        <v>44172</v>
      </c>
      <c r="N3852" t="s">
        <v>47304</v>
      </c>
      <c r="O3852" t="s">
        <v>47305</v>
      </c>
      <c r="P3852">
        <v>0</v>
      </c>
      <c r="Q3852">
        <v>2</v>
      </c>
      <c r="R3852" t="s">
        <v>47306</v>
      </c>
      <c r="S3852" t="s">
        <v>47414</v>
      </c>
      <c r="T3852" t="s">
        <v>48996</v>
      </c>
      <c r="U3852" t="s">
        <v>52855</v>
      </c>
      <c r="W3852" t="s">
        <v>44172</v>
      </c>
      <c r="X3852" t="s">
        <v>47308</v>
      </c>
    </row>
    <row r="3853" spans="1:24">
      <c r="A3853">
        <f>HYPERLINK("https://www.philgeps.gov.ph/GEPSNONPILOT/Tender/SplashBidNoticeAbstractUI.aspx?menuIndex=3&amp;refID=7196218&amp;Result=3","7196218")</f>
        <v>0</v>
      </c>
      <c r="B3853" t="s">
        <v>1508</v>
      </c>
      <c r="C3853" t="s">
        <v>7504</v>
      </c>
      <c r="D3853" t="s">
        <v>19016</v>
      </c>
      <c r="E3853" t="s">
        <v>22547</v>
      </c>
      <c r="F3853" t="s">
        <v>32606</v>
      </c>
      <c r="G3853" t="s">
        <v>32614</v>
      </c>
      <c r="H3853" t="s">
        <v>14201</v>
      </c>
      <c r="I3853" t="s">
        <v>4112</v>
      </c>
      <c r="J3853" t="s">
        <v>35373</v>
      </c>
      <c r="K3853" t="s">
        <v>42636</v>
      </c>
      <c r="L3853" t="s">
        <v>1508</v>
      </c>
      <c r="M3853" t="s">
        <v>44506</v>
      </c>
      <c r="N3853" t="s">
        <v>47304</v>
      </c>
      <c r="O3853" t="s">
        <v>47305</v>
      </c>
      <c r="P3853">
        <v>0</v>
      </c>
      <c r="Q3853">
        <v>0</v>
      </c>
      <c r="R3853" t="s">
        <v>47306</v>
      </c>
      <c r="S3853" t="s">
        <v>47414</v>
      </c>
      <c r="T3853" t="s">
        <v>48979</v>
      </c>
      <c r="U3853" t="s">
        <v>52856</v>
      </c>
      <c r="W3853" t="s">
        <v>44506</v>
      </c>
      <c r="X3853" t="s">
        <v>47308</v>
      </c>
    </row>
    <row r="3854" spans="1:24">
      <c r="A3854">
        <f>HYPERLINK("https://www.philgeps.gov.ph/GEPSNONPILOT/Tender/SplashBidNoticeAbstractUI.aspx?menuIndex=3&amp;refID=7196211&amp;Result=3","7196211")</f>
        <v>0</v>
      </c>
      <c r="B3854" t="s">
        <v>1509</v>
      </c>
      <c r="C3854" t="s">
        <v>7505</v>
      </c>
      <c r="D3854" t="s">
        <v>19030</v>
      </c>
      <c r="E3854" t="s">
        <v>22548</v>
      </c>
      <c r="F3854" t="s">
        <v>32606</v>
      </c>
      <c r="G3854" t="s">
        <v>32613</v>
      </c>
      <c r="H3854" t="s">
        <v>14201</v>
      </c>
      <c r="I3854" t="s">
        <v>4120</v>
      </c>
      <c r="J3854" t="s">
        <v>35374</v>
      </c>
      <c r="K3854" t="s">
        <v>42623</v>
      </c>
      <c r="M3854" t="s">
        <v>44507</v>
      </c>
      <c r="N3854" t="s">
        <v>47304</v>
      </c>
      <c r="O3854" t="s">
        <v>47305</v>
      </c>
      <c r="P3854">
        <v>0</v>
      </c>
      <c r="Q3854">
        <v>2</v>
      </c>
      <c r="R3854" t="s">
        <v>47306</v>
      </c>
      <c r="S3854" t="s">
        <v>47414</v>
      </c>
      <c r="T3854" t="s">
        <v>49075</v>
      </c>
      <c r="U3854" t="s">
        <v>52857</v>
      </c>
      <c r="W3854" t="s">
        <v>44507</v>
      </c>
      <c r="X3854" t="s">
        <v>47308</v>
      </c>
    </row>
    <row r="3855" spans="1:24">
      <c r="A3855">
        <f>HYPERLINK("https://www.philgeps.gov.ph/GEPSNONPILOT/Tender/SplashBidNoticeAbstractUI.aspx?menuIndex=3&amp;refID=7196216&amp;Result=3","7196216")</f>
        <v>0</v>
      </c>
      <c r="B3855" t="s">
        <v>1221</v>
      </c>
      <c r="C3855" t="s">
        <v>7506</v>
      </c>
      <c r="D3855" t="s">
        <v>19063</v>
      </c>
      <c r="E3855" t="s">
        <v>22549</v>
      </c>
      <c r="F3855" t="s">
        <v>32606</v>
      </c>
      <c r="G3855" t="s">
        <v>32613</v>
      </c>
      <c r="H3855" t="s">
        <v>14201</v>
      </c>
      <c r="I3855" t="s">
        <v>7064</v>
      </c>
      <c r="J3855" t="s">
        <v>35375</v>
      </c>
      <c r="K3855" t="s">
        <v>42631</v>
      </c>
      <c r="M3855" t="s">
        <v>44186</v>
      </c>
      <c r="N3855" t="s">
        <v>47304</v>
      </c>
      <c r="O3855" t="s">
        <v>47305</v>
      </c>
      <c r="P3855">
        <v>0</v>
      </c>
      <c r="Q3855">
        <v>7</v>
      </c>
      <c r="R3855" t="s">
        <v>47306</v>
      </c>
      <c r="S3855" t="s">
        <v>47414</v>
      </c>
      <c r="T3855" t="s">
        <v>49009</v>
      </c>
      <c r="U3855" t="s">
        <v>52858</v>
      </c>
      <c r="W3855" t="s">
        <v>44186</v>
      </c>
      <c r="X3855" t="s">
        <v>47308</v>
      </c>
    </row>
    <row r="3856" spans="1:24">
      <c r="A3856">
        <f>HYPERLINK("https://www.philgeps.gov.ph/GEPSNONPILOT/Tender/SplashBidNoticeAbstractUI.aspx?menuIndex=3&amp;refID=7196215&amp;Result=3","7196215")</f>
        <v>0</v>
      </c>
      <c r="B3856" t="s">
        <v>1437</v>
      </c>
      <c r="C3856" t="s">
        <v>7507</v>
      </c>
      <c r="D3856" t="s">
        <v>18993</v>
      </c>
      <c r="E3856" t="s">
        <v>22550</v>
      </c>
      <c r="F3856" t="s">
        <v>32606</v>
      </c>
      <c r="G3856" t="s">
        <v>32614</v>
      </c>
      <c r="H3856" t="s">
        <v>14201</v>
      </c>
      <c r="I3856" t="s">
        <v>6931</v>
      </c>
      <c r="J3856" t="s">
        <v>35376</v>
      </c>
      <c r="K3856" t="s">
        <v>42624</v>
      </c>
      <c r="M3856" t="s">
        <v>44508</v>
      </c>
      <c r="N3856" t="s">
        <v>47304</v>
      </c>
      <c r="O3856" t="s">
        <v>47305</v>
      </c>
      <c r="P3856">
        <v>0</v>
      </c>
      <c r="Q3856">
        <v>6</v>
      </c>
      <c r="R3856" t="s">
        <v>47306</v>
      </c>
      <c r="S3856" t="s">
        <v>47414</v>
      </c>
      <c r="T3856" t="s">
        <v>49014</v>
      </c>
      <c r="U3856" t="s">
        <v>52859</v>
      </c>
      <c r="W3856" t="s">
        <v>44508</v>
      </c>
      <c r="X3856" t="s">
        <v>47308</v>
      </c>
    </row>
    <row r="3857" spans="1:24">
      <c r="A3857">
        <f>HYPERLINK("https://www.philgeps.gov.ph/GEPSNONPILOT/Tender/SplashBidNoticeAbstractUI.aspx?menuIndex=3&amp;refID=7196202&amp;Result=3","7196202")</f>
        <v>0</v>
      </c>
      <c r="B3857" t="s">
        <v>671</v>
      </c>
      <c r="C3857" t="s">
        <v>7508</v>
      </c>
      <c r="D3857" t="s">
        <v>18993</v>
      </c>
      <c r="E3857" t="s">
        <v>22551</v>
      </c>
      <c r="F3857" t="s">
        <v>32606</v>
      </c>
      <c r="G3857" t="s">
        <v>32617</v>
      </c>
      <c r="H3857" t="s">
        <v>14201</v>
      </c>
      <c r="I3857" t="s">
        <v>7677</v>
      </c>
      <c r="J3857" t="s">
        <v>35377</v>
      </c>
      <c r="K3857" t="s">
        <v>42624</v>
      </c>
      <c r="M3857" t="s">
        <v>43591</v>
      </c>
      <c r="N3857" t="s">
        <v>47304</v>
      </c>
      <c r="O3857" t="s">
        <v>47305</v>
      </c>
      <c r="P3857">
        <v>0</v>
      </c>
      <c r="Q3857">
        <v>1</v>
      </c>
      <c r="R3857" t="s">
        <v>47306</v>
      </c>
      <c r="S3857" t="s">
        <v>47414</v>
      </c>
      <c r="T3857" t="s">
        <v>49014</v>
      </c>
      <c r="U3857" t="s">
        <v>50716</v>
      </c>
      <c r="W3857" t="s">
        <v>43591</v>
      </c>
      <c r="X3857" t="s">
        <v>47308</v>
      </c>
    </row>
    <row r="3858" spans="1:24">
      <c r="A3858">
        <f>HYPERLINK("https://www.philgeps.gov.ph/GEPSNONPILOT/Tender/SplashBidNoticeAbstractUI.aspx?menuIndex=3&amp;refID=7196205&amp;Result=3","7196205")</f>
        <v>0</v>
      </c>
      <c r="B3858" t="s">
        <v>688</v>
      </c>
      <c r="C3858" t="s">
        <v>7509</v>
      </c>
      <c r="D3858" t="s">
        <v>19006</v>
      </c>
      <c r="E3858" t="s">
        <v>22552</v>
      </c>
      <c r="F3858" t="s">
        <v>32606</v>
      </c>
      <c r="G3858" t="s">
        <v>32614</v>
      </c>
      <c r="H3858" t="s">
        <v>14201</v>
      </c>
      <c r="I3858" t="s">
        <v>32669</v>
      </c>
      <c r="J3858" t="s">
        <v>33667</v>
      </c>
      <c r="K3858" t="s">
        <v>42749</v>
      </c>
      <c r="M3858" t="s">
        <v>43805</v>
      </c>
      <c r="N3858" t="s">
        <v>47304</v>
      </c>
      <c r="O3858" t="s">
        <v>47305</v>
      </c>
      <c r="P3858">
        <v>0</v>
      </c>
      <c r="Q3858">
        <v>0</v>
      </c>
      <c r="R3858" t="s">
        <v>47306</v>
      </c>
      <c r="S3858" t="s">
        <v>47414</v>
      </c>
      <c r="T3858" t="s">
        <v>49004</v>
      </c>
      <c r="U3858" t="s">
        <v>52860</v>
      </c>
      <c r="W3858" t="s">
        <v>43805</v>
      </c>
      <c r="X3858" t="s">
        <v>47308</v>
      </c>
    </row>
    <row r="3859" spans="1:24">
      <c r="A3859">
        <f>HYPERLINK("https://www.philgeps.gov.ph/GEPSNONPILOT/Tender/SplashBidNoticeAbstractUI.aspx?menuIndex=3&amp;refID=7196223&amp;Result=3","7196223")</f>
        <v>0</v>
      </c>
      <c r="B3859" t="s">
        <v>1510</v>
      </c>
      <c r="C3859" t="s">
        <v>7510</v>
      </c>
      <c r="D3859" t="s">
        <v>18992</v>
      </c>
      <c r="E3859" t="s">
        <v>19382</v>
      </c>
      <c r="F3859" t="s">
        <v>32606</v>
      </c>
      <c r="G3859" t="s">
        <v>32614</v>
      </c>
      <c r="H3859" t="s">
        <v>14201</v>
      </c>
      <c r="I3859" t="s">
        <v>6931</v>
      </c>
      <c r="J3859" t="s">
        <v>35378</v>
      </c>
      <c r="K3859" t="s">
        <v>42631</v>
      </c>
      <c r="M3859" t="s">
        <v>44509</v>
      </c>
      <c r="N3859" t="s">
        <v>47304</v>
      </c>
      <c r="O3859" t="s">
        <v>47305</v>
      </c>
      <c r="P3859">
        <v>0</v>
      </c>
      <c r="Q3859">
        <v>0</v>
      </c>
      <c r="R3859" t="s">
        <v>47306</v>
      </c>
      <c r="S3859" t="s">
        <v>47414</v>
      </c>
      <c r="T3859" t="s">
        <v>49050</v>
      </c>
      <c r="U3859" t="s">
        <v>52861</v>
      </c>
      <c r="W3859" t="s">
        <v>44509</v>
      </c>
      <c r="X3859" t="s">
        <v>47308</v>
      </c>
    </row>
    <row r="3860" spans="1:24">
      <c r="A3860">
        <f>HYPERLINK("https://www.philgeps.gov.ph/GEPSNONPILOT/Tender/SplashBidNoticeAbstractUI.aspx?menuIndex=3&amp;refID=7196214&amp;Result=3","7196214")</f>
        <v>0</v>
      </c>
      <c r="B3860" t="s">
        <v>1241</v>
      </c>
      <c r="C3860" t="s">
        <v>7511</v>
      </c>
      <c r="D3860" t="s">
        <v>18993</v>
      </c>
      <c r="E3860" t="s">
        <v>22553</v>
      </c>
      <c r="F3860" t="s">
        <v>32606</v>
      </c>
      <c r="G3860" t="s">
        <v>32614</v>
      </c>
      <c r="H3860" t="s">
        <v>14201</v>
      </c>
      <c r="I3860" t="s">
        <v>32696</v>
      </c>
      <c r="J3860" t="s">
        <v>33263</v>
      </c>
      <c r="K3860" t="s">
        <v>42624</v>
      </c>
      <c r="M3860" t="s">
        <v>44207</v>
      </c>
      <c r="N3860" t="s">
        <v>47304</v>
      </c>
      <c r="O3860" t="s">
        <v>47305</v>
      </c>
      <c r="P3860">
        <v>0</v>
      </c>
      <c r="Q3860">
        <v>1</v>
      </c>
      <c r="R3860" t="s">
        <v>47306</v>
      </c>
      <c r="S3860" t="s">
        <v>47414</v>
      </c>
      <c r="T3860" t="s">
        <v>48986</v>
      </c>
      <c r="U3860" t="s">
        <v>52862</v>
      </c>
      <c r="W3860" t="s">
        <v>44207</v>
      </c>
      <c r="X3860" t="s">
        <v>47308</v>
      </c>
    </row>
    <row r="3861" spans="1:24">
      <c r="A3861">
        <f>HYPERLINK("https://www.philgeps.gov.ph/GEPSNONPILOT/Tender/SplashBidNoticeAbstractUI.aspx?menuIndex=3&amp;refID=7196233&amp;Result=3","7196233")</f>
        <v>0</v>
      </c>
      <c r="B3861" t="s">
        <v>529</v>
      </c>
      <c r="C3861" t="s">
        <v>7512</v>
      </c>
      <c r="D3861" t="s">
        <v>19063</v>
      </c>
      <c r="E3861" t="s">
        <v>22554</v>
      </c>
      <c r="F3861" t="s">
        <v>32606</v>
      </c>
      <c r="G3861" t="s">
        <v>32614</v>
      </c>
      <c r="H3861" t="s">
        <v>14201</v>
      </c>
      <c r="I3861" t="s">
        <v>32630</v>
      </c>
      <c r="J3861" t="s">
        <v>32770</v>
      </c>
      <c r="K3861" t="s">
        <v>42630</v>
      </c>
      <c r="M3861" t="s">
        <v>43442</v>
      </c>
      <c r="N3861" t="s">
        <v>47304</v>
      </c>
      <c r="O3861" t="s">
        <v>47305</v>
      </c>
      <c r="P3861">
        <v>0</v>
      </c>
      <c r="Q3861">
        <v>1</v>
      </c>
      <c r="R3861" t="s">
        <v>47306</v>
      </c>
      <c r="S3861" t="s">
        <v>47414</v>
      </c>
      <c r="T3861" t="s">
        <v>48980</v>
      </c>
      <c r="U3861" t="s">
        <v>52863</v>
      </c>
      <c r="W3861" t="s">
        <v>43442</v>
      </c>
      <c r="X3861" t="s">
        <v>47308</v>
      </c>
    </row>
    <row r="3862" spans="1:24">
      <c r="A3862">
        <f>HYPERLINK("https://www.philgeps.gov.ph/GEPSNONPILOT/Tender/SplashBidNoticeAbstractUI.aspx?menuIndex=3&amp;refID=7196236&amp;Result=3","7196236")</f>
        <v>0</v>
      </c>
      <c r="B3862" t="s">
        <v>1511</v>
      </c>
      <c r="C3862" t="s">
        <v>7513</v>
      </c>
      <c r="D3862" t="s">
        <v>18993</v>
      </c>
      <c r="E3862" t="s">
        <v>22555</v>
      </c>
      <c r="F3862" t="s">
        <v>32606</v>
      </c>
      <c r="G3862" t="s">
        <v>32613</v>
      </c>
      <c r="H3862" t="s">
        <v>14201</v>
      </c>
      <c r="I3862" t="s">
        <v>4678</v>
      </c>
      <c r="J3862" t="s">
        <v>35379</v>
      </c>
      <c r="K3862" t="s">
        <v>42623</v>
      </c>
      <c r="M3862" t="s">
        <v>44510</v>
      </c>
      <c r="N3862" t="s">
        <v>47304</v>
      </c>
      <c r="O3862" t="s">
        <v>47305</v>
      </c>
      <c r="P3862">
        <v>0</v>
      </c>
      <c r="Q3862">
        <v>10</v>
      </c>
      <c r="R3862" t="s">
        <v>47306</v>
      </c>
      <c r="S3862" t="s">
        <v>47414</v>
      </c>
      <c r="T3862" t="s">
        <v>49032</v>
      </c>
      <c r="U3862" t="s">
        <v>52864</v>
      </c>
      <c r="W3862" t="s">
        <v>44510</v>
      </c>
      <c r="X3862" t="s">
        <v>47308</v>
      </c>
    </row>
    <row r="3863" spans="1:24">
      <c r="A3863">
        <f>HYPERLINK("https://www.philgeps.gov.ph/GEPSNONPILOT/Tender/SplashBidNoticeAbstractUI.aspx?menuIndex=3&amp;refID=7196230&amp;Result=3","7196230")</f>
        <v>0</v>
      </c>
      <c r="B3863" t="s">
        <v>327</v>
      </c>
      <c r="C3863" t="s">
        <v>7514</v>
      </c>
      <c r="D3863" t="s">
        <v>19037</v>
      </c>
      <c r="E3863" t="s">
        <v>22556</v>
      </c>
      <c r="F3863" t="s">
        <v>32606</v>
      </c>
      <c r="G3863" t="s">
        <v>32614</v>
      </c>
      <c r="H3863" t="s">
        <v>14201</v>
      </c>
      <c r="I3863" t="s">
        <v>32713</v>
      </c>
      <c r="J3863" t="s">
        <v>33113</v>
      </c>
      <c r="K3863" t="s">
        <v>42630</v>
      </c>
      <c r="M3863" t="s">
        <v>43229</v>
      </c>
      <c r="N3863" t="s">
        <v>47304</v>
      </c>
      <c r="O3863" t="s">
        <v>47305</v>
      </c>
      <c r="P3863">
        <v>0</v>
      </c>
      <c r="Q3863">
        <v>0</v>
      </c>
      <c r="R3863" t="s">
        <v>47306</v>
      </c>
      <c r="S3863" t="s">
        <v>47414</v>
      </c>
      <c r="T3863" t="s">
        <v>49002</v>
      </c>
      <c r="U3863" t="s">
        <v>52865</v>
      </c>
      <c r="V3863" t="s">
        <v>62724</v>
      </c>
      <c r="W3863" t="s">
        <v>43229</v>
      </c>
      <c r="X3863" t="s">
        <v>47308</v>
      </c>
    </row>
    <row r="3864" spans="1:24">
      <c r="A3864">
        <f>HYPERLINK("https://www.philgeps.gov.ph/GEPSNONPILOT/Tender/SplashBidNoticeAbstractUI.aspx?menuIndex=3&amp;refID=7196229&amp;Result=3","7196229")</f>
        <v>0</v>
      </c>
      <c r="B3864" t="s">
        <v>1393</v>
      </c>
      <c r="C3864" t="s">
        <v>7515</v>
      </c>
      <c r="D3864" t="s">
        <v>18993</v>
      </c>
      <c r="E3864" t="s">
        <v>22557</v>
      </c>
      <c r="F3864" t="s">
        <v>32606</v>
      </c>
      <c r="G3864" t="s">
        <v>32614</v>
      </c>
      <c r="H3864" t="s">
        <v>14201</v>
      </c>
      <c r="I3864" t="s">
        <v>32726</v>
      </c>
      <c r="J3864" t="s">
        <v>32833</v>
      </c>
      <c r="K3864" t="s">
        <v>42629</v>
      </c>
      <c r="M3864" t="s">
        <v>44511</v>
      </c>
      <c r="N3864" t="s">
        <v>47304</v>
      </c>
      <c r="O3864" t="s">
        <v>47305</v>
      </c>
      <c r="P3864">
        <v>0</v>
      </c>
      <c r="Q3864">
        <v>0</v>
      </c>
      <c r="R3864" t="s">
        <v>47306</v>
      </c>
      <c r="S3864" t="s">
        <v>47414</v>
      </c>
      <c r="T3864" t="s">
        <v>49019</v>
      </c>
      <c r="U3864" t="s">
        <v>52866</v>
      </c>
      <c r="W3864" t="s">
        <v>44511</v>
      </c>
      <c r="X3864" t="s">
        <v>47308</v>
      </c>
    </row>
    <row r="3865" spans="1:24">
      <c r="A3865">
        <f>HYPERLINK("https://www.philgeps.gov.ph/GEPSNONPILOT/Tender/SplashBidNoticeAbstractUI.aspx?menuIndex=3&amp;refID=7196234&amp;Result=3","7196234")</f>
        <v>0</v>
      </c>
      <c r="B3865" t="s">
        <v>1512</v>
      </c>
      <c r="C3865" t="s">
        <v>7516</v>
      </c>
      <c r="D3865" t="s">
        <v>19041</v>
      </c>
      <c r="E3865" t="s">
        <v>22558</v>
      </c>
      <c r="F3865" t="s">
        <v>32606</v>
      </c>
      <c r="G3865" t="s">
        <v>32614</v>
      </c>
      <c r="H3865" t="s">
        <v>32624</v>
      </c>
      <c r="I3865" t="s">
        <v>32709</v>
      </c>
      <c r="J3865" t="s">
        <v>35380</v>
      </c>
      <c r="K3865" t="s">
        <v>42632</v>
      </c>
      <c r="M3865" t="s">
        <v>44512</v>
      </c>
      <c r="N3865" t="s">
        <v>47304</v>
      </c>
      <c r="O3865" t="s">
        <v>47305</v>
      </c>
      <c r="P3865">
        <v>0</v>
      </c>
      <c r="Q3865">
        <v>4</v>
      </c>
      <c r="R3865" t="s">
        <v>47306</v>
      </c>
      <c r="S3865" t="s">
        <v>47414</v>
      </c>
      <c r="T3865" t="s">
        <v>49002</v>
      </c>
      <c r="U3865" t="s">
        <v>52867</v>
      </c>
      <c r="W3865" t="s">
        <v>44512</v>
      </c>
      <c r="X3865" t="s">
        <v>47308</v>
      </c>
    </row>
    <row r="3866" spans="1:24">
      <c r="A3866">
        <f>HYPERLINK("https://www.philgeps.gov.ph/GEPSNONPILOT/Tender/SplashBidNoticeAbstractUI.aspx?menuIndex=3&amp;refID=7196212&amp;Result=3","7196212")</f>
        <v>0</v>
      </c>
      <c r="B3866" t="s">
        <v>1497</v>
      </c>
      <c r="C3866" t="s">
        <v>7517</v>
      </c>
      <c r="D3866" t="s">
        <v>19015</v>
      </c>
      <c r="E3866" t="s">
        <v>22559</v>
      </c>
      <c r="F3866" t="s">
        <v>32606</v>
      </c>
      <c r="G3866" t="s">
        <v>32614</v>
      </c>
      <c r="H3866" t="s">
        <v>14201</v>
      </c>
      <c r="I3866" t="s">
        <v>6298</v>
      </c>
      <c r="J3866" t="s">
        <v>33291</v>
      </c>
      <c r="K3866" t="s">
        <v>42623</v>
      </c>
      <c r="M3866" t="s">
        <v>44493</v>
      </c>
      <c r="N3866" t="s">
        <v>47304</v>
      </c>
      <c r="O3866" t="s">
        <v>47305</v>
      </c>
      <c r="P3866">
        <v>0</v>
      </c>
      <c r="Q3866">
        <v>3</v>
      </c>
      <c r="R3866" t="s">
        <v>47306</v>
      </c>
      <c r="S3866" t="s">
        <v>47414</v>
      </c>
      <c r="T3866" t="s">
        <v>48986</v>
      </c>
      <c r="U3866" t="s">
        <v>52868</v>
      </c>
      <c r="V3866" t="s">
        <v>63035</v>
      </c>
      <c r="W3866" t="s">
        <v>44493</v>
      </c>
      <c r="X3866" t="s">
        <v>47308</v>
      </c>
    </row>
    <row r="3867" spans="1:24">
      <c r="A3867">
        <f>HYPERLINK("https://www.philgeps.gov.ph/GEPSNONPILOT/Tender/SplashBidNoticeAbstractUI.aspx?menuIndex=3&amp;refID=7196232&amp;Result=3","7196232")</f>
        <v>0</v>
      </c>
      <c r="B3867" t="s">
        <v>296</v>
      </c>
      <c r="C3867" t="s">
        <v>7518</v>
      </c>
      <c r="D3867" t="s">
        <v>19038</v>
      </c>
      <c r="E3867" t="s">
        <v>22560</v>
      </c>
      <c r="F3867" t="s">
        <v>32606</v>
      </c>
      <c r="G3867" t="s">
        <v>32613</v>
      </c>
      <c r="H3867" t="s">
        <v>14201</v>
      </c>
      <c r="I3867" t="s">
        <v>4114</v>
      </c>
      <c r="J3867" t="s">
        <v>35381</v>
      </c>
      <c r="K3867" t="s">
        <v>42624</v>
      </c>
      <c r="M3867" t="s">
        <v>43198</v>
      </c>
      <c r="N3867" t="s">
        <v>47304</v>
      </c>
      <c r="O3867" t="s">
        <v>47305</v>
      </c>
      <c r="P3867">
        <v>0</v>
      </c>
      <c r="Q3867">
        <v>0</v>
      </c>
      <c r="R3867" t="s">
        <v>47306</v>
      </c>
      <c r="S3867" t="s">
        <v>47414</v>
      </c>
      <c r="T3867" t="s">
        <v>49017</v>
      </c>
      <c r="U3867" t="s">
        <v>50103</v>
      </c>
      <c r="W3867" t="s">
        <v>43198</v>
      </c>
      <c r="X3867" t="s">
        <v>47308</v>
      </c>
    </row>
    <row r="3868" spans="1:24">
      <c r="A3868">
        <f>HYPERLINK("https://www.philgeps.gov.ph/GEPSNONPILOT/Tender/SplashBidNoticeAbstractUI.aspx?menuIndex=3&amp;refID=7196226&amp;Result=3","7196226")</f>
        <v>0</v>
      </c>
      <c r="B3868" t="s">
        <v>841</v>
      </c>
      <c r="C3868" t="s">
        <v>7519</v>
      </c>
      <c r="D3868" t="s">
        <v>19002</v>
      </c>
      <c r="E3868" t="s">
        <v>22561</v>
      </c>
      <c r="F3868" t="s">
        <v>32606</v>
      </c>
      <c r="G3868" t="s">
        <v>32614</v>
      </c>
      <c r="H3868" t="s">
        <v>14201</v>
      </c>
      <c r="I3868" t="s">
        <v>32658</v>
      </c>
      <c r="J3868" t="s">
        <v>35382</v>
      </c>
      <c r="K3868" t="s">
        <v>42624</v>
      </c>
      <c r="M3868" t="s">
        <v>43773</v>
      </c>
      <c r="N3868" t="s">
        <v>47304</v>
      </c>
      <c r="O3868" t="s">
        <v>47305</v>
      </c>
      <c r="P3868">
        <v>0</v>
      </c>
      <c r="Q3868">
        <v>3</v>
      </c>
      <c r="R3868" t="s">
        <v>47306</v>
      </c>
      <c r="S3868" t="s">
        <v>47414</v>
      </c>
      <c r="T3868" t="s">
        <v>48979</v>
      </c>
      <c r="U3868" t="s">
        <v>52869</v>
      </c>
      <c r="W3868" t="s">
        <v>43773</v>
      </c>
      <c r="X3868" t="s">
        <v>47308</v>
      </c>
    </row>
    <row r="3869" spans="1:24">
      <c r="A3869">
        <f>HYPERLINK("https://www.philgeps.gov.ph/GEPSNONPILOT/Tender/SplashBidNoticeAbstractUI.aspx?menuIndex=3&amp;refID=7196245&amp;Result=3","7196245")</f>
        <v>0</v>
      </c>
      <c r="B3869" t="s">
        <v>531</v>
      </c>
      <c r="C3869" t="s">
        <v>7520</v>
      </c>
      <c r="D3869" t="s">
        <v>18992</v>
      </c>
      <c r="E3869" t="s">
        <v>22562</v>
      </c>
      <c r="F3869" t="s">
        <v>32606</v>
      </c>
      <c r="G3869" t="s">
        <v>32614</v>
      </c>
      <c r="H3869" t="s">
        <v>14201</v>
      </c>
      <c r="I3869" t="s">
        <v>7529</v>
      </c>
      <c r="J3869" t="s">
        <v>35383</v>
      </c>
      <c r="K3869" t="s">
        <v>42629</v>
      </c>
      <c r="M3869" t="s">
        <v>43444</v>
      </c>
      <c r="N3869" t="s">
        <v>47304</v>
      </c>
      <c r="O3869" t="s">
        <v>47305</v>
      </c>
      <c r="P3869">
        <v>0</v>
      </c>
      <c r="Q3869">
        <v>0</v>
      </c>
      <c r="R3869" t="s">
        <v>47306</v>
      </c>
      <c r="S3869" t="s">
        <v>47414</v>
      </c>
      <c r="T3869" t="s">
        <v>49010</v>
      </c>
      <c r="U3869" t="s">
        <v>52870</v>
      </c>
      <c r="W3869" t="s">
        <v>43444</v>
      </c>
      <c r="X3869" t="s">
        <v>47308</v>
      </c>
    </row>
    <row r="3870" spans="1:24">
      <c r="A3870">
        <f>HYPERLINK("https://www.philgeps.gov.ph/GEPSNONPILOT/Tender/SplashBidNoticeAbstractUI.aspx?menuIndex=3&amp;refID=7196227&amp;Result=3","7196227")</f>
        <v>0</v>
      </c>
      <c r="B3870" t="s">
        <v>1472</v>
      </c>
      <c r="C3870" t="s">
        <v>7521</v>
      </c>
      <c r="D3870" t="s">
        <v>19022</v>
      </c>
      <c r="E3870" t="s">
        <v>22563</v>
      </c>
      <c r="F3870" t="s">
        <v>32606</v>
      </c>
      <c r="G3870" t="s">
        <v>32614</v>
      </c>
      <c r="H3870" t="s">
        <v>14201</v>
      </c>
      <c r="I3870" t="s">
        <v>4678</v>
      </c>
      <c r="J3870" t="s">
        <v>32789</v>
      </c>
      <c r="K3870" t="s">
        <v>42630</v>
      </c>
      <c r="M3870" t="s">
        <v>44466</v>
      </c>
      <c r="N3870" t="s">
        <v>47304</v>
      </c>
      <c r="O3870" t="s">
        <v>47305</v>
      </c>
      <c r="P3870">
        <v>0</v>
      </c>
      <c r="Q3870">
        <v>3</v>
      </c>
      <c r="R3870" t="s">
        <v>47306</v>
      </c>
      <c r="S3870" t="s">
        <v>47414</v>
      </c>
      <c r="T3870" t="s">
        <v>48997</v>
      </c>
      <c r="U3870" t="s">
        <v>52801</v>
      </c>
      <c r="W3870" t="s">
        <v>44466</v>
      </c>
      <c r="X3870" t="s">
        <v>47308</v>
      </c>
    </row>
    <row r="3871" spans="1:24">
      <c r="A3871">
        <f>HYPERLINK("https://www.philgeps.gov.ph/GEPSNONPILOT/Tender/SplashBidNoticeAbstractUI.aspx?menuIndex=3&amp;refID=7196244&amp;Result=3","7196244")</f>
        <v>0</v>
      </c>
      <c r="B3871" t="s">
        <v>1465</v>
      </c>
      <c r="C3871" t="s">
        <v>7522</v>
      </c>
      <c r="D3871" t="s">
        <v>18991</v>
      </c>
      <c r="E3871" t="s">
        <v>22564</v>
      </c>
      <c r="F3871" t="s">
        <v>32606</v>
      </c>
      <c r="G3871" t="s">
        <v>32614</v>
      </c>
      <c r="H3871" t="s">
        <v>14201</v>
      </c>
      <c r="I3871" t="s">
        <v>32710</v>
      </c>
      <c r="J3871" t="s">
        <v>32813</v>
      </c>
      <c r="K3871" t="s">
        <v>42631</v>
      </c>
      <c r="M3871" t="s">
        <v>44459</v>
      </c>
      <c r="N3871" t="s">
        <v>47304</v>
      </c>
      <c r="O3871" t="s">
        <v>47305</v>
      </c>
      <c r="P3871">
        <v>0</v>
      </c>
      <c r="Q3871">
        <v>2</v>
      </c>
      <c r="R3871" t="s">
        <v>47306</v>
      </c>
      <c r="S3871" t="s">
        <v>47414</v>
      </c>
      <c r="T3871" t="s">
        <v>48980</v>
      </c>
      <c r="U3871" t="s">
        <v>52738</v>
      </c>
      <c r="W3871" t="s">
        <v>44459</v>
      </c>
      <c r="X3871" t="s">
        <v>47308</v>
      </c>
    </row>
    <row r="3872" spans="1:24">
      <c r="A3872">
        <f>HYPERLINK("https://www.philgeps.gov.ph/GEPSNONPILOT/Tender/SplashBidNoticeAbstractUI.aspx?menuIndex=3&amp;refID=7196235&amp;Result=3","7196235")</f>
        <v>0</v>
      </c>
      <c r="B3872" t="s">
        <v>1454</v>
      </c>
      <c r="C3872" t="s">
        <v>7523</v>
      </c>
      <c r="E3872" t="s">
        <v>22565</v>
      </c>
      <c r="F3872" t="s">
        <v>32606</v>
      </c>
      <c r="G3872" t="s">
        <v>32614</v>
      </c>
      <c r="H3872" t="s">
        <v>14201</v>
      </c>
      <c r="I3872" t="s">
        <v>6298</v>
      </c>
      <c r="J3872" t="s">
        <v>35384</v>
      </c>
      <c r="K3872" t="s">
        <v>42630</v>
      </c>
      <c r="M3872" t="s">
        <v>44445</v>
      </c>
      <c r="N3872" t="s">
        <v>47304</v>
      </c>
      <c r="O3872" t="s">
        <v>47305</v>
      </c>
      <c r="P3872">
        <v>0</v>
      </c>
      <c r="Q3872">
        <v>0</v>
      </c>
      <c r="R3872" t="s">
        <v>47306</v>
      </c>
      <c r="S3872" t="s">
        <v>47414</v>
      </c>
      <c r="T3872" t="s">
        <v>49004</v>
      </c>
      <c r="U3872" t="s">
        <v>52871</v>
      </c>
      <c r="V3872" t="s">
        <v>63019</v>
      </c>
      <c r="W3872" t="s">
        <v>44445</v>
      </c>
      <c r="X3872" t="s">
        <v>47308</v>
      </c>
    </row>
    <row r="3873" spans="1:24">
      <c r="A3873">
        <f>HYPERLINK("https://www.philgeps.gov.ph/GEPSNONPILOT/Tender/SplashBidNoticeAbstractUI.aspx?menuIndex=3&amp;refID=7196243&amp;Result=3","7196243")</f>
        <v>0</v>
      </c>
      <c r="B3873" t="s">
        <v>1513</v>
      </c>
      <c r="C3873" t="s">
        <v>7524</v>
      </c>
      <c r="D3873" t="s">
        <v>19042</v>
      </c>
      <c r="E3873" t="s">
        <v>22566</v>
      </c>
      <c r="F3873" t="s">
        <v>32606</v>
      </c>
      <c r="G3873" t="s">
        <v>32619</v>
      </c>
      <c r="H3873" t="s">
        <v>14201</v>
      </c>
      <c r="I3873" t="s">
        <v>8682</v>
      </c>
      <c r="J3873" t="s">
        <v>35385</v>
      </c>
      <c r="K3873" t="s">
        <v>42632</v>
      </c>
      <c r="L3873" t="s">
        <v>1513</v>
      </c>
      <c r="M3873" t="s">
        <v>44513</v>
      </c>
      <c r="N3873" t="s">
        <v>47304</v>
      </c>
      <c r="O3873" t="s">
        <v>47305</v>
      </c>
      <c r="P3873">
        <v>0</v>
      </c>
      <c r="Q3873">
        <v>1</v>
      </c>
      <c r="R3873" t="s">
        <v>47306</v>
      </c>
      <c r="S3873" t="s">
        <v>47414</v>
      </c>
      <c r="T3873" t="s">
        <v>49068</v>
      </c>
      <c r="U3873" t="s">
        <v>52872</v>
      </c>
      <c r="W3873" t="s">
        <v>44513</v>
      </c>
      <c r="X3873" t="s">
        <v>47308</v>
      </c>
    </row>
    <row r="3874" spans="1:24">
      <c r="A3874">
        <f>HYPERLINK("https://www.philgeps.gov.ph/GEPSNONPILOT/Tender/SplashBidNoticeAbstractUI.aspx?menuIndex=3&amp;refID=7196228&amp;Result=3","7196228")</f>
        <v>0</v>
      </c>
      <c r="B3874" t="s">
        <v>1514</v>
      </c>
      <c r="C3874" t="s">
        <v>7525</v>
      </c>
      <c r="D3874" t="s">
        <v>18993</v>
      </c>
      <c r="E3874" t="s">
        <v>22567</v>
      </c>
      <c r="F3874" t="s">
        <v>32606</v>
      </c>
      <c r="G3874" t="s">
        <v>32614</v>
      </c>
      <c r="H3874" t="s">
        <v>14201</v>
      </c>
      <c r="I3874" t="s">
        <v>32727</v>
      </c>
      <c r="J3874" t="s">
        <v>35386</v>
      </c>
      <c r="K3874" t="s">
        <v>42622</v>
      </c>
      <c r="M3874" t="s">
        <v>44514</v>
      </c>
      <c r="N3874" t="s">
        <v>47304</v>
      </c>
      <c r="O3874" t="s">
        <v>47305</v>
      </c>
      <c r="P3874">
        <v>0</v>
      </c>
      <c r="Q3874">
        <v>2</v>
      </c>
      <c r="R3874" t="s">
        <v>47306</v>
      </c>
      <c r="S3874" t="s">
        <v>47414</v>
      </c>
      <c r="T3874" t="s">
        <v>49014</v>
      </c>
      <c r="U3874" t="s">
        <v>52873</v>
      </c>
      <c r="V3874" t="s">
        <v>63037</v>
      </c>
      <c r="W3874" t="s">
        <v>44514</v>
      </c>
      <c r="X3874" t="s">
        <v>47308</v>
      </c>
    </row>
    <row r="3875" spans="1:24">
      <c r="A3875">
        <f>HYPERLINK("https://www.philgeps.gov.ph/GEPSNONPILOT/Tender/SplashBidNoticeAbstractUI.aspx?menuIndex=3&amp;refID=7196242&amp;Result=3","7196242")</f>
        <v>0</v>
      </c>
      <c r="B3875" t="s">
        <v>466</v>
      </c>
      <c r="C3875" t="s">
        <v>7526</v>
      </c>
      <c r="D3875" t="s">
        <v>19022</v>
      </c>
      <c r="E3875" t="s">
        <v>22568</v>
      </c>
      <c r="F3875" t="s">
        <v>32606</v>
      </c>
      <c r="G3875" t="s">
        <v>32614</v>
      </c>
      <c r="H3875" t="s">
        <v>14201</v>
      </c>
      <c r="I3875" t="s">
        <v>32629</v>
      </c>
      <c r="J3875" t="s">
        <v>33221</v>
      </c>
      <c r="K3875" t="s">
        <v>42623</v>
      </c>
      <c r="M3875" t="s">
        <v>43377</v>
      </c>
      <c r="N3875" t="s">
        <v>47304</v>
      </c>
      <c r="O3875" t="s">
        <v>47305</v>
      </c>
      <c r="P3875">
        <v>0</v>
      </c>
      <c r="Q3875">
        <v>0</v>
      </c>
      <c r="R3875" t="s">
        <v>47306</v>
      </c>
      <c r="S3875" t="s">
        <v>47414</v>
      </c>
      <c r="T3875" t="s">
        <v>49011</v>
      </c>
      <c r="U3875" t="s">
        <v>50375</v>
      </c>
      <c r="W3875" t="s">
        <v>43377</v>
      </c>
      <c r="X3875" t="s">
        <v>47308</v>
      </c>
    </row>
    <row r="3876" spans="1:24">
      <c r="A3876">
        <f>HYPERLINK("https://www.philgeps.gov.ph/GEPSNONPILOT/Tender/SplashBidNoticeAbstractUI.aspx?menuIndex=3&amp;refID=7196241&amp;Result=3","7196241")</f>
        <v>0</v>
      </c>
      <c r="B3876" t="s">
        <v>37</v>
      </c>
      <c r="C3876" t="s">
        <v>7527</v>
      </c>
      <c r="D3876" t="s">
        <v>18997</v>
      </c>
      <c r="E3876" t="s">
        <v>22569</v>
      </c>
      <c r="F3876" t="s">
        <v>32606</v>
      </c>
      <c r="G3876" t="s">
        <v>32613</v>
      </c>
      <c r="H3876" t="s">
        <v>14201</v>
      </c>
      <c r="I3876" t="s">
        <v>7677</v>
      </c>
      <c r="J3876" t="s">
        <v>32765</v>
      </c>
      <c r="K3876" t="s">
        <v>42631</v>
      </c>
      <c r="M3876" t="s">
        <v>42934</v>
      </c>
      <c r="N3876" t="s">
        <v>47304</v>
      </c>
      <c r="O3876" t="s">
        <v>47305</v>
      </c>
      <c r="P3876">
        <v>0</v>
      </c>
      <c r="Q3876">
        <v>1</v>
      </c>
      <c r="R3876" t="s">
        <v>47306</v>
      </c>
      <c r="S3876" t="s">
        <v>47414</v>
      </c>
      <c r="T3876" t="s">
        <v>48987</v>
      </c>
      <c r="U3876" t="s">
        <v>52874</v>
      </c>
      <c r="W3876" t="s">
        <v>42934</v>
      </c>
      <c r="X3876" t="s">
        <v>47308</v>
      </c>
    </row>
    <row r="3877" spans="1:24">
      <c r="A3877">
        <f>HYPERLINK("https://www.philgeps.gov.ph/GEPSNONPILOT/Tender/SplashBidNoticeAbstractUI.aspx?menuIndex=3&amp;refID=7196239&amp;Result=3","7196239")</f>
        <v>0</v>
      </c>
      <c r="B3877" t="s">
        <v>101</v>
      </c>
      <c r="C3877" t="s">
        <v>7528</v>
      </c>
      <c r="D3877" t="s">
        <v>18993</v>
      </c>
      <c r="E3877" t="s">
        <v>22570</v>
      </c>
      <c r="F3877" t="s">
        <v>32606</v>
      </c>
      <c r="G3877" t="s">
        <v>32617</v>
      </c>
      <c r="H3877" t="s">
        <v>14201</v>
      </c>
      <c r="I3877" t="s">
        <v>4120</v>
      </c>
      <c r="J3877" t="s">
        <v>35387</v>
      </c>
      <c r="K3877" t="s">
        <v>42631</v>
      </c>
      <c r="M3877" t="s">
        <v>44515</v>
      </c>
      <c r="N3877" t="s">
        <v>47304</v>
      </c>
      <c r="O3877" t="s">
        <v>47305</v>
      </c>
      <c r="P3877">
        <v>0</v>
      </c>
      <c r="Q3877">
        <v>7</v>
      </c>
      <c r="R3877" t="s">
        <v>47306</v>
      </c>
      <c r="S3877" t="s">
        <v>47414</v>
      </c>
      <c r="T3877" t="s">
        <v>48980</v>
      </c>
      <c r="U3877" t="s">
        <v>49695</v>
      </c>
      <c r="W3877" t="s">
        <v>44515</v>
      </c>
      <c r="X3877" t="s">
        <v>47308</v>
      </c>
    </row>
    <row r="3878" spans="1:24">
      <c r="A3878">
        <f>HYPERLINK("https://www.philgeps.gov.ph/GEPSNONPILOT/Tender/SplashBidNoticeAbstractUI.aspx?menuIndex=3&amp;refID=7196231&amp;Result=3","7196231")</f>
        <v>0</v>
      </c>
      <c r="B3878" t="s">
        <v>1493</v>
      </c>
      <c r="C3878" t="s">
        <v>7529</v>
      </c>
      <c r="D3878" t="s">
        <v>19023</v>
      </c>
      <c r="E3878" t="s">
        <v>22571</v>
      </c>
      <c r="F3878" t="s">
        <v>32606</v>
      </c>
      <c r="G3878" t="s">
        <v>32614</v>
      </c>
      <c r="H3878" t="s">
        <v>14201</v>
      </c>
      <c r="I3878" t="s">
        <v>7529</v>
      </c>
      <c r="J3878" t="s">
        <v>35388</v>
      </c>
      <c r="K3878" t="s">
        <v>42629</v>
      </c>
      <c r="M3878" t="s">
        <v>44488</v>
      </c>
      <c r="N3878" t="s">
        <v>47304</v>
      </c>
      <c r="O3878" t="s">
        <v>47305</v>
      </c>
      <c r="P3878">
        <v>0</v>
      </c>
      <c r="Q3878">
        <v>0</v>
      </c>
      <c r="R3878" t="s">
        <v>47306</v>
      </c>
      <c r="S3878" t="s">
        <v>47414</v>
      </c>
      <c r="T3878" t="s">
        <v>49004</v>
      </c>
      <c r="U3878" t="s">
        <v>52875</v>
      </c>
      <c r="V3878" t="s">
        <v>63032</v>
      </c>
      <c r="W3878" t="s">
        <v>44488</v>
      </c>
      <c r="X3878" t="s">
        <v>47308</v>
      </c>
    </row>
    <row r="3879" spans="1:24">
      <c r="A3879">
        <f>HYPERLINK("https://www.philgeps.gov.ph/GEPSNONPILOT/Tender/SplashBidNoticeAbstractUI.aspx?menuIndex=3&amp;refID=7196237&amp;Result=3","7196237")</f>
        <v>0</v>
      </c>
      <c r="B3879" t="s">
        <v>1515</v>
      </c>
      <c r="C3879" t="s">
        <v>7530</v>
      </c>
      <c r="D3879" t="s">
        <v>19011</v>
      </c>
      <c r="E3879" t="s">
        <v>19315</v>
      </c>
      <c r="F3879" t="s">
        <v>32606</v>
      </c>
      <c r="G3879" t="s">
        <v>32613</v>
      </c>
      <c r="H3879" t="s">
        <v>14201</v>
      </c>
      <c r="I3879" t="s">
        <v>32661</v>
      </c>
      <c r="J3879" t="s">
        <v>35389</v>
      </c>
      <c r="K3879" t="s">
        <v>42624</v>
      </c>
      <c r="M3879" t="s">
        <v>44516</v>
      </c>
      <c r="N3879" t="s">
        <v>47304</v>
      </c>
      <c r="O3879" t="s">
        <v>47305</v>
      </c>
      <c r="P3879">
        <v>0</v>
      </c>
      <c r="Q3879">
        <v>0</v>
      </c>
      <c r="R3879" t="s">
        <v>47306</v>
      </c>
      <c r="S3879" t="s">
        <v>47414</v>
      </c>
      <c r="T3879" t="s">
        <v>49240</v>
      </c>
      <c r="U3879" t="s">
        <v>52876</v>
      </c>
      <c r="W3879" t="s">
        <v>44516</v>
      </c>
      <c r="X3879" t="s">
        <v>47308</v>
      </c>
    </row>
    <row r="3880" spans="1:24">
      <c r="A3880">
        <f>HYPERLINK("https://www.philgeps.gov.ph/GEPSNONPILOT/Tender/SplashBidNoticeAbstractUI.aspx?menuIndex=3&amp;refID=7196238&amp;Result=3","7196238")</f>
        <v>0</v>
      </c>
      <c r="B3880" t="s">
        <v>1516</v>
      </c>
      <c r="C3880" t="s">
        <v>7531</v>
      </c>
      <c r="D3880" t="s">
        <v>18995</v>
      </c>
      <c r="E3880" t="s">
        <v>22572</v>
      </c>
      <c r="F3880" t="s">
        <v>32606</v>
      </c>
      <c r="G3880" t="s">
        <v>32613</v>
      </c>
      <c r="H3880" t="s">
        <v>32625</v>
      </c>
      <c r="I3880" t="s">
        <v>32625</v>
      </c>
      <c r="J3880" t="s">
        <v>33231</v>
      </c>
      <c r="K3880" t="s">
        <v>42631</v>
      </c>
      <c r="M3880" t="s">
        <v>44517</v>
      </c>
      <c r="N3880" t="s">
        <v>47304</v>
      </c>
      <c r="O3880" t="s">
        <v>47305</v>
      </c>
      <c r="P3880">
        <v>0</v>
      </c>
      <c r="Q3880">
        <v>3</v>
      </c>
      <c r="R3880" t="s">
        <v>47306</v>
      </c>
      <c r="S3880" t="s">
        <v>47414</v>
      </c>
      <c r="T3880" t="s">
        <v>48986</v>
      </c>
      <c r="U3880" t="s">
        <v>52877</v>
      </c>
      <c r="W3880" t="s">
        <v>44517</v>
      </c>
      <c r="X3880" t="s">
        <v>47308</v>
      </c>
    </row>
    <row r="3881" spans="1:24">
      <c r="A3881">
        <f>HYPERLINK("https://www.philgeps.gov.ph/GEPSNONPILOT/Tender/SplashBidNoticeAbstractUI.aspx?menuIndex=3&amp;refID=7196249&amp;Result=3","7196249")</f>
        <v>0</v>
      </c>
      <c r="B3881" t="s">
        <v>1517</v>
      </c>
      <c r="C3881" t="s">
        <v>7532</v>
      </c>
      <c r="D3881" t="s">
        <v>18992</v>
      </c>
      <c r="E3881" t="s">
        <v>22573</v>
      </c>
      <c r="F3881" t="s">
        <v>32606</v>
      </c>
      <c r="G3881" t="s">
        <v>32615</v>
      </c>
      <c r="H3881" t="s">
        <v>14201</v>
      </c>
      <c r="I3881" t="s">
        <v>32626</v>
      </c>
      <c r="J3881" t="s">
        <v>35390</v>
      </c>
      <c r="K3881" t="s">
        <v>42631</v>
      </c>
      <c r="M3881" t="s">
        <v>44518</v>
      </c>
      <c r="N3881" t="s">
        <v>47304</v>
      </c>
      <c r="O3881" t="s">
        <v>47305</v>
      </c>
      <c r="P3881">
        <v>0</v>
      </c>
      <c r="Q3881">
        <v>1</v>
      </c>
      <c r="R3881" t="s">
        <v>47306</v>
      </c>
      <c r="S3881" t="s">
        <v>47414</v>
      </c>
      <c r="T3881" t="s">
        <v>48980</v>
      </c>
      <c r="U3881" t="s">
        <v>52878</v>
      </c>
      <c r="W3881" t="s">
        <v>44518</v>
      </c>
      <c r="X3881" t="s">
        <v>47308</v>
      </c>
    </row>
    <row r="3882" spans="1:24">
      <c r="A3882">
        <f>HYPERLINK("https://www.philgeps.gov.ph/GEPSNONPILOT/Tender/SplashBidNoticeAbstractUI.aspx?menuIndex=3&amp;refID=7196257&amp;Result=3","7196257")</f>
        <v>0</v>
      </c>
      <c r="B3882" t="s">
        <v>81</v>
      </c>
      <c r="C3882" t="s">
        <v>7533</v>
      </c>
      <c r="D3882" t="s">
        <v>18995</v>
      </c>
      <c r="E3882" t="s">
        <v>22574</v>
      </c>
      <c r="F3882" t="s">
        <v>32606</v>
      </c>
      <c r="G3882" t="s">
        <v>32614</v>
      </c>
      <c r="H3882" t="s">
        <v>14201</v>
      </c>
      <c r="I3882" t="s">
        <v>32653</v>
      </c>
      <c r="J3882" t="s">
        <v>33840</v>
      </c>
      <c r="K3882" t="s">
        <v>42624</v>
      </c>
      <c r="M3882" t="s">
        <v>42978</v>
      </c>
      <c r="N3882" t="s">
        <v>47304</v>
      </c>
      <c r="O3882" t="s">
        <v>47305</v>
      </c>
      <c r="P3882">
        <v>0</v>
      </c>
      <c r="Q3882">
        <v>0</v>
      </c>
      <c r="R3882" t="s">
        <v>47306</v>
      </c>
      <c r="S3882" t="s">
        <v>47414</v>
      </c>
      <c r="T3882" t="s">
        <v>49014</v>
      </c>
      <c r="U3882" t="s">
        <v>52879</v>
      </c>
      <c r="W3882" t="s">
        <v>42978</v>
      </c>
      <c r="X3882" t="s">
        <v>47308</v>
      </c>
    </row>
    <row r="3883" spans="1:24">
      <c r="A3883">
        <f>HYPERLINK("https://www.philgeps.gov.ph/GEPSNONPILOT/Tender/SplashBidNoticeAbstractUI.aspx?menuIndex=3&amp;refID=7196252&amp;Result=3","7196252")</f>
        <v>0</v>
      </c>
      <c r="B3883" t="s">
        <v>1518</v>
      </c>
      <c r="C3883" t="s">
        <v>7534</v>
      </c>
      <c r="D3883" t="s">
        <v>19014</v>
      </c>
      <c r="E3883" t="s">
        <v>7534</v>
      </c>
      <c r="F3883" t="s">
        <v>32606</v>
      </c>
      <c r="G3883" t="s">
        <v>32614</v>
      </c>
      <c r="H3883" t="s">
        <v>14201</v>
      </c>
      <c r="I3883" t="s">
        <v>32626</v>
      </c>
      <c r="J3883" t="s">
        <v>33974</v>
      </c>
      <c r="K3883" t="s">
        <v>42623</v>
      </c>
      <c r="M3883" t="s">
        <v>44519</v>
      </c>
      <c r="N3883" t="s">
        <v>47304</v>
      </c>
      <c r="O3883" t="s">
        <v>47305</v>
      </c>
      <c r="P3883">
        <v>0</v>
      </c>
      <c r="Q3883">
        <v>8</v>
      </c>
      <c r="R3883" t="s">
        <v>47306</v>
      </c>
      <c r="S3883" t="s">
        <v>47414</v>
      </c>
      <c r="T3883" t="s">
        <v>49014</v>
      </c>
      <c r="U3883" t="s">
        <v>52880</v>
      </c>
      <c r="W3883" t="s">
        <v>44519</v>
      </c>
      <c r="X3883" t="s">
        <v>47308</v>
      </c>
    </row>
    <row r="3884" spans="1:24">
      <c r="A3884">
        <f>HYPERLINK("https://www.philgeps.gov.ph/GEPSNONPILOT/Tender/SplashBidNoticeAbstractUI.aspx?menuIndex=3&amp;refID=7196210&amp;Result=3","7196210")</f>
        <v>0</v>
      </c>
      <c r="B3884" t="s">
        <v>809</v>
      </c>
      <c r="C3884" t="s">
        <v>7535</v>
      </c>
      <c r="D3884" t="s">
        <v>19010</v>
      </c>
      <c r="E3884" t="s">
        <v>22575</v>
      </c>
      <c r="F3884" t="s">
        <v>32606</v>
      </c>
      <c r="G3884" t="s">
        <v>32614</v>
      </c>
      <c r="H3884" t="s">
        <v>14201</v>
      </c>
      <c r="I3884" t="s">
        <v>6298</v>
      </c>
      <c r="J3884" t="s">
        <v>33274</v>
      </c>
      <c r="K3884" t="s">
        <v>42622</v>
      </c>
      <c r="M3884" t="s">
        <v>43740</v>
      </c>
      <c r="N3884" t="s">
        <v>47304</v>
      </c>
      <c r="O3884" t="s">
        <v>47305</v>
      </c>
      <c r="P3884">
        <v>0</v>
      </c>
      <c r="Q3884">
        <v>0</v>
      </c>
      <c r="R3884" t="s">
        <v>47306</v>
      </c>
      <c r="S3884" t="s">
        <v>47414</v>
      </c>
      <c r="T3884" t="s">
        <v>49023</v>
      </c>
      <c r="U3884" t="s">
        <v>52822</v>
      </c>
      <c r="W3884" t="s">
        <v>43740</v>
      </c>
      <c r="X3884" t="s">
        <v>47308</v>
      </c>
    </row>
    <row r="3885" spans="1:24">
      <c r="A3885">
        <f>HYPERLINK("https://www.philgeps.gov.ph/GEPSNONPILOT/Tender/SplashBidNoticeAbstractUI.aspx?menuIndex=3&amp;refID=7196251&amp;Result=3","7196251")</f>
        <v>0</v>
      </c>
      <c r="B3885" t="s">
        <v>1045</v>
      </c>
      <c r="C3885" t="s">
        <v>7536</v>
      </c>
      <c r="D3885" t="s">
        <v>18995</v>
      </c>
      <c r="E3885" t="s">
        <v>22576</v>
      </c>
      <c r="F3885" t="s">
        <v>32606</v>
      </c>
      <c r="G3885" t="s">
        <v>32614</v>
      </c>
      <c r="H3885" t="s">
        <v>14201</v>
      </c>
      <c r="I3885" t="s">
        <v>32650</v>
      </c>
      <c r="J3885" t="s">
        <v>35391</v>
      </c>
      <c r="K3885" t="s">
        <v>42624</v>
      </c>
      <c r="M3885" t="s">
        <v>43998</v>
      </c>
      <c r="N3885" t="s">
        <v>47304</v>
      </c>
      <c r="O3885" t="s">
        <v>47305</v>
      </c>
      <c r="P3885">
        <v>0</v>
      </c>
      <c r="Q3885">
        <v>0</v>
      </c>
      <c r="R3885" t="s">
        <v>47306</v>
      </c>
      <c r="S3885" t="s">
        <v>47414</v>
      </c>
      <c r="T3885" t="s">
        <v>48979</v>
      </c>
      <c r="U3885" t="s">
        <v>52881</v>
      </c>
      <c r="W3885" t="s">
        <v>43998</v>
      </c>
      <c r="X3885" t="s">
        <v>47308</v>
      </c>
    </row>
    <row r="3886" spans="1:24">
      <c r="A3886">
        <f>HYPERLINK("https://www.philgeps.gov.ph/GEPSNONPILOT/Tender/SplashBidNoticeAbstractUI.aspx?menuIndex=3&amp;refID=7196250&amp;Result=3","7196250")</f>
        <v>0</v>
      </c>
      <c r="B3886" t="s">
        <v>344</v>
      </c>
      <c r="C3886" t="s">
        <v>7503</v>
      </c>
      <c r="D3886" t="s">
        <v>19002</v>
      </c>
      <c r="E3886" t="s">
        <v>22577</v>
      </c>
      <c r="F3886" t="s">
        <v>32606</v>
      </c>
      <c r="G3886" t="s">
        <v>32614</v>
      </c>
      <c r="H3886" t="s">
        <v>14201</v>
      </c>
      <c r="I3886" t="s">
        <v>32662</v>
      </c>
      <c r="J3886" t="s">
        <v>35392</v>
      </c>
      <c r="K3886" t="s">
        <v>42631</v>
      </c>
      <c r="M3886" t="s">
        <v>44172</v>
      </c>
      <c r="N3886" t="s">
        <v>47304</v>
      </c>
      <c r="O3886" t="s">
        <v>47305</v>
      </c>
      <c r="P3886">
        <v>0</v>
      </c>
      <c r="Q3886">
        <v>2</v>
      </c>
      <c r="R3886" t="s">
        <v>47306</v>
      </c>
      <c r="S3886" t="s">
        <v>47414</v>
      </c>
      <c r="T3886" t="s">
        <v>48996</v>
      </c>
      <c r="U3886" t="s">
        <v>52882</v>
      </c>
      <c r="W3886" t="s">
        <v>44172</v>
      </c>
      <c r="X3886" t="s">
        <v>47308</v>
      </c>
    </row>
    <row r="3887" spans="1:24">
      <c r="A3887">
        <f>HYPERLINK("https://www.philgeps.gov.ph/GEPSNONPILOT/Tender/SplashBidNoticeAbstractUI.aspx?menuIndex=3&amp;refID=7196273&amp;Result=3","7196273")</f>
        <v>0</v>
      </c>
      <c r="B3887" t="s">
        <v>913</v>
      </c>
      <c r="C3887" t="s">
        <v>7537</v>
      </c>
      <c r="D3887" t="s">
        <v>19046</v>
      </c>
      <c r="E3887" t="s">
        <v>22578</v>
      </c>
      <c r="F3887" t="s">
        <v>32606</v>
      </c>
      <c r="G3887" t="s">
        <v>32614</v>
      </c>
      <c r="H3887" t="s">
        <v>14201</v>
      </c>
      <c r="I3887" t="s">
        <v>6007</v>
      </c>
      <c r="J3887" t="s">
        <v>32981</v>
      </c>
      <c r="K3887" t="s">
        <v>42663</v>
      </c>
      <c r="M3887" t="s">
        <v>43852</v>
      </c>
      <c r="N3887" t="s">
        <v>47304</v>
      </c>
      <c r="O3887" t="s">
        <v>47305</v>
      </c>
      <c r="P3887">
        <v>0</v>
      </c>
      <c r="Q3887">
        <v>0</v>
      </c>
      <c r="R3887" t="s">
        <v>47306</v>
      </c>
      <c r="S3887" t="s">
        <v>47414</v>
      </c>
      <c r="T3887" t="s">
        <v>48987</v>
      </c>
      <c r="U3887" t="s">
        <v>52883</v>
      </c>
      <c r="W3887" t="s">
        <v>43852</v>
      </c>
      <c r="X3887" t="s">
        <v>47308</v>
      </c>
    </row>
    <row r="3888" spans="1:24">
      <c r="A3888">
        <f>HYPERLINK("https://www.philgeps.gov.ph/GEPSNONPILOT/Tender/SplashBidNoticeAbstractUI.aspx?menuIndex=3&amp;refID=7196272&amp;Result=3","7196272")</f>
        <v>0</v>
      </c>
      <c r="B3888" t="s">
        <v>1360</v>
      </c>
      <c r="C3888" t="s">
        <v>7538</v>
      </c>
      <c r="D3888" t="s">
        <v>19042</v>
      </c>
      <c r="E3888" t="s">
        <v>22579</v>
      </c>
      <c r="F3888" t="s">
        <v>32606</v>
      </c>
      <c r="G3888" t="s">
        <v>32614</v>
      </c>
      <c r="H3888" t="s">
        <v>14201</v>
      </c>
      <c r="I3888" t="s">
        <v>6298</v>
      </c>
      <c r="J3888" t="s">
        <v>35393</v>
      </c>
      <c r="K3888" t="s">
        <v>42623</v>
      </c>
      <c r="M3888" t="s">
        <v>44336</v>
      </c>
      <c r="N3888" t="s">
        <v>47304</v>
      </c>
      <c r="O3888" t="s">
        <v>47305</v>
      </c>
      <c r="P3888">
        <v>0</v>
      </c>
      <c r="Q3888">
        <v>0</v>
      </c>
      <c r="R3888" t="s">
        <v>47306</v>
      </c>
      <c r="S3888" t="s">
        <v>47414</v>
      </c>
      <c r="T3888" t="s">
        <v>48986</v>
      </c>
      <c r="U3888" t="s">
        <v>52390</v>
      </c>
      <c r="W3888" t="s">
        <v>44336</v>
      </c>
      <c r="X3888" t="s">
        <v>47308</v>
      </c>
    </row>
    <row r="3889" spans="1:24">
      <c r="A3889">
        <f>HYPERLINK("https://www.philgeps.gov.ph/GEPSNONPILOT/Tender/SplashBidNoticeAbstractUI.aspx?menuIndex=3&amp;refID=7196270&amp;Result=3","7196270")</f>
        <v>0</v>
      </c>
      <c r="B3889" t="s">
        <v>234</v>
      </c>
      <c r="C3889" t="s">
        <v>7539</v>
      </c>
      <c r="D3889" t="s">
        <v>19052</v>
      </c>
      <c r="E3889" t="s">
        <v>22580</v>
      </c>
      <c r="F3889" t="s">
        <v>32606</v>
      </c>
      <c r="G3889" t="s">
        <v>32614</v>
      </c>
      <c r="H3889" t="s">
        <v>14201</v>
      </c>
      <c r="I3889" t="s">
        <v>32680</v>
      </c>
      <c r="J3889" t="s">
        <v>35394</v>
      </c>
      <c r="K3889" t="s">
        <v>42631</v>
      </c>
      <c r="M3889" t="s">
        <v>43135</v>
      </c>
      <c r="N3889" t="s">
        <v>47304</v>
      </c>
      <c r="O3889" t="s">
        <v>47305</v>
      </c>
      <c r="P3889">
        <v>0</v>
      </c>
      <c r="Q3889">
        <v>2</v>
      </c>
      <c r="R3889" t="s">
        <v>47306</v>
      </c>
      <c r="S3889" t="s">
        <v>47414</v>
      </c>
      <c r="T3889" t="s">
        <v>49050</v>
      </c>
      <c r="U3889" t="s">
        <v>52884</v>
      </c>
      <c r="V3889" t="s">
        <v>62641</v>
      </c>
      <c r="W3889" t="s">
        <v>43135</v>
      </c>
      <c r="X3889" t="s">
        <v>47308</v>
      </c>
    </row>
    <row r="3890" spans="1:24">
      <c r="A3890">
        <f>HYPERLINK("https://www.philgeps.gov.ph/GEPSNONPILOT/Tender/SplashBidNoticeAbstractUI.aspx?menuIndex=3&amp;refID=7196269&amp;Result=3","7196269")</f>
        <v>0</v>
      </c>
      <c r="B3890" t="s">
        <v>1519</v>
      </c>
      <c r="C3890" t="s">
        <v>7540</v>
      </c>
      <c r="D3890" t="s">
        <v>19040</v>
      </c>
      <c r="E3890" t="s">
        <v>22581</v>
      </c>
      <c r="F3890" t="s">
        <v>32606</v>
      </c>
      <c r="G3890" t="s">
        <v>32614</v>
      </c>
      <c r="H3890" t="s">
        <v>14201</v>
      </c>
      <c r="I3890" t="s">
        <v>32700</v>
      </c>
      <c r="J3890" t="s">
        <v>35395</v>
      </c>
      <c r="K3890" t="s">
        <v>42631</v>
      </c>
      <c r="M3890" t="s">
        <v>44520</v>
      </c>
      <c r="N3890" t="s">
        <v>47304</v>
      </c>
      <c r="O3890" t="s">
        <v>47305</v>
      </c>
      <c r="P3890">
        <v>0</v>
      </c>
      <c r="Q3890">
        <v>11</v>
      </c>
      <c r="R3890" t="s">
        <v>47306</v>
      </c>
      <c r="S3890" t="s">
        <v>47414</v>
      </c>
      <c r="T3890" t="s">
        <v>49273</v>
      </c>
      <c r="U3890" t="s">
        <v>52885</v>
      </c>
      <c r="V3890" t="s">
        <v>63038</v>
      </c>
      <c r="W3890" t="s">
        <v>44520</v>
      </c>
      <c r="X3890" t="s">
        <v>47308</v>
      </c>
    </row>
    <row r="3891" spans="1:24">
      <c r="A3891">
        <f>HYPERLINK("https://www.philgeps.gov.ph/GEPSNONPILOT/Tender/SplashBidNoticeAbstractUI.aspx?menuIndex=3&amp;refID=7196268&amp;Result=3","7196268")</f>
        <v>0</v>
      </c>
      <c r="B3891" t="s">
        <v>1520</v>
      </c>
      <c r="C3891" t="s">
        <v>7541</v>
      </c>
      <c r="D3891" t="s">
        <v>18988</v>
      </c>
      <c r="E3891" t="s">
        <v>22582</v>
      </c>
      <c r="F3891" t="s">
        <v>32606</v>
      </c>
      <c r="G3891" t="s">
        <v>32614</v>
      </c>
      <c r="H3891" t="s">
        <v>14201</v>
      </c>
      <c r="I3891" t="s">
        <v>9013</v>
      </c>
      <c r="J3891" t="s">
        <v>35396</v>
      </c>
      <c r="K3891" t="s">
        <v>42631</v>
      </c>
      <c r="M3891" t="s">
        <v>44521</v>
      </c>
      <c r="N3891" t="s">
        <v>47304</v>
      </c>
      <c r="O3891" t="s">
        <v>47305</v>
      </c>
      <c r="P3891">
        <v>0</v>
      </c>
      <c r="Q3891">
        <v>2</v>
      </c>
      <c r="R3891" t="s">
        <v>47306</v>
      </c>
      <c r="S3891" t="s">
        <v>47414</v>
      </c>
      <c r="T3891" t="s">
        <v>48980</v>
      </c>
      <c r="U3891" t="s">
        <v>52886</v>
      </c>
      <c r="V3891" t="s">
        <v>63039</v>
      </c>
      <c r="W3891" t="s">
        <v>44521</v>
      </c>
      <c r="X3891" t="s">
        <v>47308</v>
      </c>
    </row>
    <row r="3892" spans="1:24">
      <c r="A3892">
        <f>HYPERLINK("https://www.philgeps.gov.ph/GEPSNONPILOT/Tender/SplashBidNoticeAbstractUI.aspx?menuIndex=3&amp;refID=7196267&amp;Result=3","7196267")</f>
        <v>0</v>
      </c>
      <c r="B3892" t="s">
        <v>1454</v>
      </c>
      <c r="C3892" t="s">
        <v>7542</v>
      </c>
      <c r="E3892" t="s">
        <v>22583</v>
      </c>
      <c r="F3892" t="s">
        <v>32606</v>
      </c>
      <c r="G3892" t="s">
        <v>32614</v>
      </c>
      <c r="H3892" t="s">
        <v>14201</v>
      </c>
      <c r="I3892" t="s">
        <v>9008</v>
      </c>
      <c r="J3892" t="s">
        <v>35397</v>
      </c>
      <c r="K3892" t="s">
        <v>42630</v>
      </c>
      <c r="M3892" t="s">
        <v>44445</v>
      </c>
      <c r="N3892" t="s">
        <v>47304</v>
      </c>
      <c r="O3892" t="s">
        <v>47305</v>
      </c>
      <c r="P3892">
        <v>0</v>
      </c>
      <c r="Q3892">
        <v>0</v>
      </c>
      <c r="R3892" t="s">
        <v>47306</v>
      </c>
      <c r="S3892" t="s">
        <v>47414</v>
      </c>
      <c r="T3892" t="s">
        <v>49004</v>
      </c>
      <c r="U3892" t="s">
        <v>52887</v>
      </c>
      <c r="V3892" t="s">
        <v>63019</v>
      </c>
      <c r="W3892" t="s">
        <v>44445</v>
      </c>
      <c r="X3892" t="s">
        <v>47308</v>
      </c>
    </row>
    <row r="3893" spans="1:24">
      <c r="A3893">
        <f>HYPERLINK("https://www.philgeps.gov.ph/GEPSNONPILOT/Tender/SplashBidNoticeAbstractUI.aspx?menuIndex=3&amp;refID=7196253&amp;Result=3","7196253")</f>
        <v>0</v>
      </c>
      <c r="B3893" t="s">
        <v>1521</v>
      </c>
      <c r="C3893" t="s">
        <v>7543</v>
      </c>
      <c r="D3893" t="s">
        <v>19019</v>
      </c>
      <c r="E3893" t="s">
        <v>19521</v>
      </c>
      <c r="F3893" t="s">
        <v>32606</v>
      </c>
      <c r="G3893" t="s">
        <v>32619</v>
      </c>
      <c r="H3893" t="s">
        <v>14201</v>
      </c>
      <c r="I3893" t="s">
        <v>6298</v>
      </c>
      <c r="J3893" t="s">
        <v>35398</v>
      </c>
      <c r="K3893" t="s">
        <v>42625</v>
      </c>
      <c r="M3893" t="s">
        <v>44522</v>
      </c>
      <c r="N3893" t="s">
        <v>47304</v>
      </c>
      <c r="O3893" t="s">
        <v>47305</v>
      </c>
      <c r="P3893">
        <v>0</v>
      </c>
      <c r="Q3893">
        <v>0</v>
      </c>
      <c r="R3893" t="s">
        <v>47306</v>
      </c>
      <c r="S3893" t="s">
        <v>47414</v>
      </c>
      <c r="T3893" t="s">
        <v>49083</v>
      </c>
      <c r="U3893" t="s">
        <v>52888</v>
      </c>
      <c r="V3893" t="s">
        <v>62704</v>
      </c>
      <c r="W3893" t="s">
        <v>44522</v>
      </c>
      <c r="X3893" t="s">
        <v>47308</v>
      </c>
    </row>
    <row r="3894" spans="1:24">
      <c r="A3894">
        <f>HYPERLINK("https://www.philgeps.gov.ph/GEPSNONPILOT/Tender/SplashBidNoticeAbstractUI.aspx?menuIndex=3&amp;refID=7196265&amp;Result=3","7196265")</f>
        <v>0</v>
      </c>
      <c r="B3894" t="s">
        <v>225</v>
      </c>
      <c r="C3894" t="s">
        <v>4123</v>
      </c>
      <c r="D3894" t="s">
        <v>19011</v>
      </c>
      <c r="E3894" t="s">
        <v>22584</v>
      </c>
      <c r="F3894" t="s">
        <v>32606</v>
      </c>
      <c r="G3894" t="s">
        <v>32614</v>
      </c>
      <c r="H3894" t="s">
        <v>14201</v>
      </c>
      <c r="I3894" t="s">
        <v>4678</v>
      </c>
      <c r="J3894" t="s">
        <v>32949</v>
      </c>
      <c r="K3894" t="s">
        <v>42623</v>
      </c>
      <c r="M3894" t="s">
        <v>43126</v>
      </c>
      <c r="N3894" t="s">
        <v>47304</v>
      </c>
      <c r="O3894" t="s">
        <v>47305</v>
      </c>
      <c r="P3894">
        <v>0</v>
      </c>
      <c r="Q3894">
        <v>1</v>
      </c>
      <c r="R3894" t="s">
        <v>47306</v>
      </c>
      <c r="S3894" t="s">
        <v>47414</v>
      </c>
      <c r="T3894" t="s">
        <v>48997</v>
      </c>
      <c r="U3894" t="s">
        <v>52889</v>
      </c>
      <c r="W3894" t="s">
        <v>43126</v>
      </c>
      <c r="X3894" t="s">
        <v>47308</v>
      </c>
    </row>
    <row r="3895" spans="1:24">
      <c r="A3895">
        <f>HYPERLINK("https://www.philgeps.gov.ph/GEPSNONPILOT/Tender/SplashBidNoticeAbstractUI.aspx?menuIndex=3&amp;refID=7196261&amp;Result=3","7196261")</f>
        <v>0</v>
      </c>
      <c r="B3895" t="s">
        <v>1514</v>
      </c>
      <c r="C3895" t="s">
        <v>7544</v>
      </c>
      <c r="D3895" t="s">
        <v>18993</v>
      </c>
      <c r="E3895" t="s">
        <v>22585</v>
      </c>
      <c r="F3895" t="s">
        <v>32606</v>
      </c>
      <c r="G3895" t="s">
        <v>32614</v>
      </c>
      <c r="H3895" t="s">
        <v>14201</v>
      </c>
      <c r="I3895" t="s">
        <v>32691</v>
      </c>
      <c r="J3895" t="s">
        <v>35399</v>
      </c>
      <c r="K3895" t="s">
        <v>42622</v>
      </c>
      <c r="M3895" t="s">
        <v>44514</v>
      </c>
      <c r="N3895" t="s">
        <v>47304</v>
      </c>
      <c r="O3895" t="s">
        <v>47305</v>
      </c>
      <c r="P3895">
        <v>0</v>
      </c>
      <c r="Q3895">
        <v>2</v>
      </c>
      <c r="R3895" t="s">
        <v>47306</v>
      </c>
      <c r="S3895" t="s">
        <v>47414</v>
      </c>
      <c r="T3895" t="s">
        <v>49014</v>
      </c>
      <c r="U3895" t="s">
        <v>52890</v>
      </c>
      <c r="V3895" t="s">
        <v>63037</v>
      </c>
      <c r="W3895" t="s">
        <v>44514</v>
      </c>
      <c r="X3895" t="s">
        <v>47308</v>
      </c>
    </row>
    <row r="3896" spans="1:24">
      <c r="A3896">
        <f>HYPERLINK("https://www.philgeps.gov.ph/GEPSNONPILOT/Tender/SplashBidNoticeAbstractUI.aspx?menuIndex=3&amp;refID=7196260&amp;Result=3","7196260")</f>
        <v>0</v>
      </c>
      <c r="B3896" t="s">
        <v>775</v>
      </c>
      <c r="C3896" t="s">
        <v>7545</v>
      </c>
      <c r="D3896" t="s">
        <v>19024</v>
      </c>
      <c r="E3896" t="s">
        <v>22586</v>
      </c>
      <c r="F3896" t="s">
        <v>32606</v>
      </c>
      <c r="G3896" t="s">
        <v>32614</v>
      </c>
      <c r="H3896" t="s">
        <v>14201</v>
      </c>
      <c r="I3896" t="s">
        <v>6007</v>
      </c>
      <c r="J3896" t="s">
        <v>35400</v>
      </c>
      <c r="K3896" t="s">
        <v>42630</v>
      </c>
      <c r="M3896" t="s">
        <v>44450</v>
      </c>
      <c r="N3896" t="s">
        <v>47304</v>
      </c>
      <c r="O3896" t="s">
        <v>47305</v>
      </c>
      <c r="P3896">
        <v>0</v>
      </c>
      <c r="Q3896">
        <v>0</v>
      </c>
      <c r="R3896" t="s">
        <v>47306</v>
      </c>
      <c r="S3896" t="s">
        <v>47414</v>
      </c>
      <c r="T3896" t="s">
        <v>48976</v>
      </c>
      <c r="U3896" t="s">
        <v>52891</v>
      </c>
      <c r="V3896" t="s">
        <v>63020</v>
      </c>
      <c r="W3896" t="s">
        <v>44450</v>
      </c>
      <c r="X3896" t="s">
        <v>47308</v>
      </c>
    </row>
    <row r="3897" spans="1:24">
      <c r="A3897">
        <f>HYPERLINK("https://www.philgeps.gov.ph/GEPSNONPILOT/Tender/SplashBidNoticeAbstractUI.aspx?menuIndex=3&amp;refID=7196258&amp;Result=3","7196258")</f>
        <v>0</v>
      </c>
      <c r="B3897" t="s">
        <v>1472</v>
      </c>
      <c r="C3897" t="s">
        <v>7546</v>
      </c>
      <c r="D3897" t="s">
        <v>19022</v>
      </c>
      <c r="E3897" t="s">
        <v>22460</v>
      </c>
      <c r="F3897" t="s">
        <v>32606</v>
      </c>
      <c r="G3897" t="s">
        <v>32614</v>
      </c>
      <c r="H3897" t="s">
        <v>14201</v>
      </c>
      <c r="I3897" t="s">
        <v>6007</v>
      </c>
      <c r="J3897" t="s">
        <v>33221</v>
      </c>
      <c r="K3897" t="s">
        <v>42630</v>
      </c>
      <c r="M3897" t="s">
        <v>44466</v>
      </c>
      <c r="N3897" t="s">
        <v>47304</v>
      </c>
      <c r="O3897" t="s">
        <v>47305</v>
      </c>
      <c r="P3897">
        <v>0</v>
      </c>
      <c r="Q3897">
        <v>0</v>
      </c>
      <c r="R3897" t="s">
        <v>47306</v>
      </c>
      <c r="S3897" t="s">
        <v>47414</v>
      </c>
      <c r="T3897" t="s">
        <v>48997</v>
      </c>
      <c r="U3897" t="s">
        <v>52801</v>
      </c>
      <c r="W3897" t="s">
        <v>44466</v>
      </c>
      <c r="X3897" t="s">
        <v>47308</v>
      </c>
    </row>
    <row r="3898" spans="1:24">
      <c r="A3898">
        <f>HYPERLINK("https://www.philgeps.gov.ph/GEPSNONPILOT/Tender/SplashBidNoticeAbstractUI.aspx?menuIndex=3&amp;refID=7196275&amp;Result=3","7196275")</f>
        <v>0</v>
      </c>
      <c r="B3898" t="s">
        <v>1522</v>
      </c>
      <c r="C3898" t="s">
        <v>7547</v>
      </c>
      <c r="D3898" t="s">
        <v>19023</v>
      </c>
      <c r="E3898" t="s">
        <v>22587</v>
      </c>
      <c r="F3898" t="s">
        <v>32606</v>
      </c>
      <c r="G3898" t="s">
        <v>32614</v>
      </c>
      <c r="H3898" t="s">
        <v>14201</v>
      </c>
      <c r="I3898" t="s">
        <v>32675</v>
      </c>
      <c r="J3898" t="s">
        <v>32813</v>
      </c>
      <c r="K3898" t="s">
        <v>42624</v>
      </c>
      <c r="M3898" t="s">
        <v>44523</v>
      </c>
      <c r="N3898" t="s">
        <v>47304</v>
      </c>
      <c r="O3898" t="s">
        <v>47305</v>
      </c>
      <c r="P3898">
        <v>0</v>
      </c>
      <c r="Q3898">
        <v>0</v>
      </c>
      <c r="R3898" t="s">
        <v>47306</v>
      </c>
      <c r="S3898" t="s">
        <v>47414</v>
      </c>
      <c r="T3898" t="s">
        <v>48988</v>
      </c>
      <c r="U3898" t="s">
        <v>52892</v>
      </c>
      <c r="W3898" t="s">
        <v>44523</v>
      </c>
      <c r="X3898" t="s">
        <v>47308</v>
      </c>
    </row>
    <row r="3899" spans="1:24">
      <c r="A3899">
        <f>HYPERLINK("https://www.philgeps.gov.ph/GEPSNONPILOT/Tender/SplashBidNoticeAbstractUI.aspx?menuIndex=3&amp;refID=7196288&amp;Result=3","7196288")</f>
        <v>0</v>
      </c>
      <c r="B3899" t="s">
        <v>984</v>
      </c>
      <c r="C3899" t="s">
        <v>7548</v>
      </c>
      <c r="D3899" t="s">
        <v>19039</v>
      </c>
      <c r="E3899" t="s">
        <v>22588</v>
      </c>
      <c r="F3899" t="s">
        <v>32606</v>
      </c>
      <c r="G3899" t="s">
        <v>32613</v>
      </c>
      <c r="H3899" t="s">
        <v>32623</v>
      </c>
      <c r="I3899" t="s">
        <v>17648</v>
      </c>
      <c r="J3899" t="s">
        <v>32860</v>
      </c>
      <c r="K3899" t="s">
        <v>42648</v>
      </c>
      <c r="L3899" t="s">
        <v>984</v>
      </c>
      <c r="M3899" t="s">
        <v>43930</v>
      </c>
      <c r="N3899" t="s">
        <v>47304</v>
      </c>
      <c r="O3899" t="s">
        <v>47305</v>
      </c>
      <c r="P3899">
        <v>0</v>
      </c>
      <c r="Q3899">
        <v>0</v>
      </c>
      <c r="R3899" t="s">
        <v>47306</v>
      </c>
      <c r="S3899" t="s">
        <v>47414</v>
      </c>
      <c r="T3899" t="s">
        <v>48992</v>
      </c>
      <c r="U3899" t="s">
        <v>52893</v>
      </c>
      <c r="W3899" t="s">
        <v>43930</v>
      </c>
      <c r="X3899" t="s">
        <v>47308</v>
      </c>
    </row>
    <row r="3900" spans="1:24">
      <c r="A3900">
        <f>HYPERLINK("https://www.philgeps.gov.ph/GEPSNONPILOT/Tender/SplashBidNoticeAbstractUI.aspx?menuIndex=3&amp;refID=7196291&amp;Result=3","7196291")</f>
        <v>0</v>
      </c>
      <c r="B3900" t="s">
        <v>1523</v>
      </c>
      <c r="C3900" t="s">
        <v>3971</v>
      </c>
      <c r="D3900" t="s">
        <v>19018</v>
      </c>
      <c r="E3900" t="s">
        <v>19833</v>
      </c>
      <c r="F3900" t="s">
        <v>32606</v>
      </c>
      <c r="G3900" t="s">
        <v>32617</v>
      </c>
      <c r="H3900" t="s">
        <v>14201</v>
      </c>
      <c r="I3900" t="s">
        <v>4114</v>
      </c>
      <c r="J3900" t="s">
        <v>33257</v>
      </c>
      <c r="K3900" t="s">
        <v>42624</v>
      </c>
      <c r="M3900" t="s">
        <v>44524</v>
      </c>
      <c r="N3900" t="s">
        <v>47304</v>
      </c>
      <c r="O3900" t="s">
        <v>47305</v>
      </c>
      <c r="P3900">
        <v>0</v>
      </c>
      <c r="Q3900">
        <v>0</v>
      </c>
      <c r="R3900" t="s">
        <v>47306</v>
      </c>
      <c r="S3900" t="s">
        <v>47414</v>
      </c>
      <c r="T3900" t="s">
        <v>49014</v>
      </c>
      <c r="U3900" t="s">
        <v>52592</v>
      </c>
      <c r="W3900" t="s">
        <v>44524</v>
      </c>
      <c r="X3900" t="s">
        <v>47308</v>
      </c>
    </row>
    <row r="3901" spans="1:24">
      <c r="A3901">
        <f>HYPERLINK("https://www.philgeps.gov.ph/GEPSNONPILOT/Tender/SplashBidNoticeAbstractUI.aspx?menuIndex=3&amp;refID=7196259&amp;Result=3","7196259")</f>
        <v>0</v>
      </c>
      <c r="B3901" t="s">
        <v>461</v>
      </c>
      <c r="C3901" t="s">
        <v>7549</v>
      </c>
      <c r="D3901" t="s">
        <v>19011</v>
      </c>
      <c r="E3901" t="s">
        <v>22589</v>
      </c>
      <c r="F3901" t="s">
        <v>32606</v>
      </c>
      <c r="G3901" t="s">
        <v>32619</v>
      </c>
      <c r="H3901" t="s">
        <v>14201</v>
      </c>
      <c r="I3901" t="s">
        <v>4678</v>
      </c>
      <c r="J3901" t="s">
        <v>35401</v>
      </c>
      <c r="K3901" t="s">
        <v>42624</v>
      </c>
      <c r="M3901" t="s">
        <v>43371</v>
      </c>
      <c r="N3901" t="s">
        <v>47304</v>
      </c>
      <c r="O3901" t="s">
        <v>47305</v>
      </c>
      <c r="P3901">
        <v>0</v>
      </c>
      <c r="Q3901">
        <v>2</v>
      </c>
      <c r="R3901" t="s">
        <v>47306</v>
      </c>
      <c r="S3901" t="s">
        <v>47414</v>
      </c>
      <c r="T3901" t="s">
        <v>49068</v>
      </c>
      <c r="U3901" t="s">
        <v>52894</v>
      </c>
      <c r="W3901" t="s">
        <v>43371</v>
      </c>
      <c r="X3901" t="s">
        <v>47308</v>
      </c>
    </row>
    <row r="3902" spans="1:24">
      <c r="A3902">
        <f>HYPERLINK("https://www.philgeps.gov.ph/GEPSNONPILOT/Tender/SplashBidNoticeAbstractUI.aspx?menuIndex=3&amp;refID=7196287&amp;Result=3","7196287")</f>
        <v>0</v>
      </c>
      <c r="B3902" t="s">
        <v>296</v>
      </c>
      <c r="C3902" t="s">
        <v>7550</v>
      </c>
      <c r="D3902" t="s">
        <v>19038</v>
      </c>
      <c r="E3902" t="s">
        <v>22590</v>
      </c>
      <c r="F3902" t="s">
        <v>32606</v>
      </c>
      <c r="G3902" t="s">
        <v>32613</v>
      </c>
      <c r="H3902" t="s">
        <v>14201</v>
      </c>
      <c r="I3902" t="s">
        <v>4120</v>
      </c>
      <c r="J3902" t="s">
        <v>35402</v>
      </c>
      <c r="K3902" t="s">
        <v>42624</v>
      </c>
      <c r="M3902" t="s">
        <v>43198</v>
      </c>
      <c r="N3902" t="s">
        <v>47304</v>
      </c>
      <c r="O3902" t="s">
        <v>47305</v>
      </c>
      <c r="P3902">
        <v>0</v>
      </c>
      <c r="Q3902">
        <v>0</v>
      </c>
      <c r="R3902" t="s">
        <v>47306</v>
      </c>
      <c r="S3902" t="s">
        <v>47414</v>
      </c>
      <c r="T3902" t="s">
        <v>49017</v>
      </c>
      <c r="U3902" t="s">
        <v>50103</v>
      </c>
      <c r="W3902" t="s">
        <v>43198</v>
      </c>
      <c r="X3902" t="s">
        <v>47308</v>
      </c>
    </row>
    <row r="3903" spans="1:24">
      <c r="A3903">
        <f>HYPERLINK("https://www.philgeps.gov.ph/GEPSNONPILOT/Tender/SplashBidNoticeAbstractUI.aspx?menuIndex=3&amp;refID=7196283&amp;Result=3","7196283")</f>
        <v>0</v>
      </c>
      <c r="B3903" t="s">
        <v>1524</v>
      </c>
      <c r="C3903" t="s">
        <v>7551</v>
      </c>
      <c r="D3903" t="s">
        <v>19002</v>
      </c>
      <c r="E3903" t="s">
        <v>22591</v>
      </c>
      <c r="F3903" t="s">
        <v>32606</v>
      </c>
      <c r="G3903" t="s">
        <v>32614</v>
      </c>
      <c r="H3903" t="s">
        <v>14201</v>
      </c>
      <c r="I3903" t="s">
        <v>9013</v>
      </c>
      <c r="J3903" t="s">
        <v>35403</v>
      </c>
      <c r="K3903" t="s">
        <v>42623</v>
      </c>
      <c r="M3903" t="s">
        <v>44525</v>
      </c>
      <c r="N3903" t="s">
        <v>47304</v>
      </c>
      <c r="O3903" t="s">
        <v>47305</v>
      </c>
      <c r="P3903">
        <v>0</v>
      </c>
      <c r="Q3903">
        <v>1</v>
      </c>
      <c r="R3903" t="s">
        <v>47306</v>
      </c>
      <c r="S3903" t="s">
        <v>47414</v>
      </c>
      <c r="T3903" t="s">
        <v>49274</v>
      </c>
      <c r="U3903" t="s">
        <v>52895</v>
      </c>
      <c r="V3903" t="s">
        <v>63040</v>
      </c>
      <c r="W3903" t="s">
        <v>44525</v>
      </c>
      <c r="X3903" t="s">
        <v>47308</v>
      </c>
    </row>
    <row r="3904" spans="1:24">
      <c r="A3904">
        <f>HYPERLINK("https://www.philgeps.gov.ph/GEPSNONPILOT/Tender/SplashBidNoticeAbstractUI.aspx?menuIndex=3&amp;refID=7196282&amp;Result=3","7196282")</f>
        <v>0</v>
      </c>
      <c r="B3904" t="s">
        <v>1525</v>
      </c>
      <c r="C3904" t="s">
        <v>7552</v>
      </c>
      <c r="D3904" t="s">
        <v>19010</v>
      </c>
      <c r="E3904" t="s">
        <v>22592</v>
      </c>
      <c r="F3904" t="s">
        <v>32606</v>
      </c>
      <c r="G3904" t="s">
        <v>32613</v>
      </c>
      <c r="H3904" t="s">
        <v>14201</v>
      </c>
      <c r="I3904" t="s">
        <v>17648</v>
      </c>
      <c r="J3904" t="s">
        <v>35404</v>
      </c>
      <c r="K3904" t="s">
        <v>42624</v>
      </c>
      <c r="M3904" t="s">
        <v>44526</v>
      </c>
      <c r="N3904" t="s">
        <v>47304</v>
      </c>
      <c r="O3904" t="s">
        <v>47305</v>
      </c>
      <c r="P3904">
        <v>0</v>
      </c>
      <c r="Q3904">
        <v>0</v>
      </c>
      <c r="R3904" t="s">
        <v>47306</v>
      </c>
      <c r="S3904" t="s">
        <v>47414</v>
      </c>
      <c r="T3904" t="s">
        <v>48976</v>
      </c>
      <c r="U3904" t="s">
        <v>52896</v>
      </c>
      <c r="W3904" t="s">
        <v>44526</v>
      </c>
      <c r="X3904" t="s">
        <v>47308</v>
      </c>
    </row>
    <row r="3905" spans="1:24">
      <c r="A3905">
        <f>HYPERLINK("https://www.philgeps.gov.ph/GEPSNONPILOT/Tender/SplashBidNoticeAbstractUI.aspx?menuIndex=3&amp;refID=7196281&amp;Result=3","7196281")</f>
        <v>0</v>
      </c>
      <c r="B3905" t="s">
        <v>81</v>
      </c>
      <c r="C3905" t="s">
        <v>7123</v>
      </c>
      <c r="D3905" t="s">
        <v>18995</v>
      </c>
      <c r="E3905" t="s">
        <v>22593</v>
      </c>
      <c r="F3905" t="s">
        <v>32606</v>
      </c>
      <c r="G3905" t="s">
        <v>32614</v>
      </c>
      <c r="H3905" t="s">
        <v>14201</v>
      </c>
      <c r="I3905" t="s">
        <v>6931</v>
      </c>
      <c r="J3905" t="s">
        <v>35405</v>
      </c>
      <c r="K3905" t="s">
        <v>42624</v>
      </c>
      <c r="M3905" t="s">
        <v>42978</v>
      </c>
      <c r="N3905" t="s">
        <v>47304</v>
      </c>
      <c r="O3905" t="s">
        <v>47305</v>
      </c>
      <c r="P3905">
        <v>0</v>
      </c>
      <c r="Q3905">
        <v>0</v>
      </c>
      <c r="R3905" t="s">
        <v>47306</v>
      </c>
      <c r="S3905" t="s">
        <v>47414</v>
      </c>
      <c r="T3905" t="s">
        <v>49014</v>
      </c>
      <c r="U3905" t="s">
        <v>52897</v>
      </c>
      <c r="W3905" t="s">
        <v>42978</v>
      </c>
      <c r="X3905" t="s">
        <v>47308</v>
      </c>
    </row>
    <row r="3906" spans="1:24">
      <c r="A3906">
        <f>HYPERLINK("https://www.philgeps.gov.ph/GEPSNONPILOT/Tender/SplashBidNoticeAbstractUI.aspx?menuIndex=3&amp;refID=7196280&amp;Result=3","7196280")</f>
        <v>0</v>
      </c>
      <c r="B3906" t="s">
        <v>1493</v>
      </c>
      <c r="C3906" t="s">
        <v>7529</v>
      </c>
      <c r="D3906" t="s">
        <v>19023</v>
      </c>
      <c r="E3906" t="s">
        <v>22594</v>
      </c>
      <c r="F3906" t="s">
        <v>32606</v>
      </c>
      <c r="G3906" t="s">
        <v>32614</v>
      </c>
      <c r="H3906" t="s">
        <v>14201</v>
      </c>
      <c r="I3906" t="s">
        <v>7529</v>
      </c>
      <c r="J3906" t="s">
        <v>35406</v>
      </c>
      <c r="K3906" t="s">
        <v>42629</v>
      </c>
      <c r="M3906" t="s">
        <v>44488</v>
      </c>
      <c r="N3906" t="s">
        <v>47304</v>
      </c>
      <c r="O3906" t="s">
        <v>47305</v>
      </c>
      <c r="P3906">
        <v>0</v>
      </c>
      <c r="Q3906">
        <v>0</v>
      </c>
      <c r="R3906" t="s">
        <v>47306</v>
      </c>
      <c r="S3906" t="s">
        <v>47414</v>
      </c>
      <c r="T3906" t="s">
        <v>49004</v>
      </c>
      <c r="U3906" t="s">
        <v>52898</v>
      </c>
      <c r="V3906" t="s">
        <v>63032</v>
      </c>
      <c r="W3906" t="s">
        <v>44488</v>
      </c>
      <c r="X3906" t="s">
        <v>47308</v>
      </c>
    </row>
    <row r="3907" spans="1:24">
      <c r="A3907">
        <f>HYPERLINK("https://www.philgeps.gov.ph/GEPSNONPILOT/Tender/SplashBidNoticeAbstractUI.aspx?menuIndex=3&amp;refID=7196290&amp;Result=3","7196290")</f>
        <v>0</v>
      </c>
      <c r="B3907" t="s">
        <v>1464</v>
      </c>
      <c r="C3907" t="s">
        <v>7553</v>
      </c>
      <c r="D3907" t="s">
        <v>19012</v>
      </c>
      <c r="E3907" t="s">
        <v>22595</v>
      </c>
      <c r="F3907" t="s">
        <v>32606</v>
      </c>
      <c r="G3907" t="s">
        <v>32619</v>
      </c>
      <c r="H3907" t="s">
        <v>14201</v>
      </c>
      <c r="I3907" t="s">
        <v>7577</v>
      </c>
      <c r="J3907" t="s">
        <v>32868</v>
      </c>
      <c r="K3907" t="s">
        <v>42623</v>
      </c>
      <c r="M3907" t="s">
        <v>44458</v>
      </c>
      <c r="N3907" t="s">
        <v>47304</v>
      </c>
      <c r="O3907" t="s">
        <v>47305</v>
      </c>
      <c r="P3907">
        <v>0</v>
      </c>
      <c r="Q3907">
        <v>1</v>
      </c>
      <c r="R3907" t="s">
        <v>47306</v>
      </c>
      <c r="S3907" t="s">
        <v>47414</v>
      </c>
      <c r="T3907" t="s">
        <v>48980</v>
      </c>
      <c r="U3907" t="s">
        <v>52899</v>
      </c>
      <c r="V3907" t="s">
        <v>63028</v>
      </c>
      <c r="W3907" t="s">
        <v>44458</v>
      </c>
      <c r="X3907" t="s">
        <v>47308</v>
      </c>
    </row>
    <row r="3908" spans="1:24">
      <c r="A3908">
        <f>HYPERLINK("https://www.philgeps.gov.ph/GEPSNONPILOT/Tender/SplashBidNoticeAbstractUI.aspx?menuIndex=3&amp;refID=7196262&amp;Result=3","7196262")</f>
        <v>0</v>
      </c>
      <c r="B3908" t="s">
        <v>1526</v>
      </c>
      <c r="C3908" t="s">
        <v>7554</v>
      </c>
      <c r="D3908" t="s">
        <v>19006</v>
      </c>
      <c r="E3908" t="s">
        <v>22596</v>
      </c>
      <c r="F3908" t="s">
        <v>32606</v>
      </c>
      <c r="G3908" t="s">
        <v>32614</v>
      </c>
      <c r="H3908" t="s">
        <v>14201</v>
      </c>
      <c r="I3908" t="s">
        <v>32631</v>
      </c>
      <c r="J3908" t="s">
        <v>33084</v>
      </c>
      <c r="K3908" t="s">
        <v>42624</v>
      </c>
      <c r="M3908" t="s">
        <v>44527</v>
      </c>
      <c r="N3908" t="s">
        <v>47304</v>
      </c>
      <c r="O3908" t="s">
        <v>47305</v>
      </c>
      <c r="P3908">
        <v>0</v>
      </c>
      <c r="Q3908">
        <v>1</v>
      </c>
      <c r="R3908" t="s">
        <v>47306</v>
      </c>
      <c r="S3908" t="s">
        <v>47414</v>
      </c>
      <c r="T3908" t="s">
        <v>48987</v>
      </c>
      <c r="U3908" t="s">
        <v>52900</v>
      </c>
      <c r="W3908" t="s">
        <v>44527</v>
      </c>
      <c r="X3908" t="s">
        <v>47308</v>
      </c>
    </row>
    <row r="3909" spans="1:24">
      <c r="A3909">
        <f>HYPERLINK("https://www.philgeps.gov.ph/GEPSNONPILOT/Tender/SplashBidNoticeAbstractUI.aspx?menuIndex=3&amp;refID=7196297&amp;Result=3","7196297")</f>
        <v>0</v>
      </c>
      <c r="B3909" t="s">
        <v>1527</v>
      </c>
      <c r="C3909" t="s">
        <v>7555</v>
      </c>
      <c r="D3909" t="s">
        <v>19056</v>
      </c>
      <c r="E3909" t="s">
        <v>22597</v>
      </c>
      <c r="F3909" t="s">
        <v>32606</v>
      </c>
      <c r="G3909" t="s">
        <v>32613</v>
      </c>
      <c r="H3909" t="s">
        <v>32623</v>
      </c>
      <c r="I3909" t="s">
        <v>17648</v>
      </c>
      <c r="J3909" t="s">
        <v>35368</v>
      </c>
      <c r="K3909" t="s">
        <v>42646</v>
      </c>
      <c r="M3909" t="s">
        <v>44528</v>
      </c>
      <c r="N3909" t="s">
        <v>47304</v>
      </c>
      <c r="O3909" t="s">
        <v>47305</v>
      </c>
      <c r="P3909">
        <v>0</v>
      </c>
      <c r="Q3909">
        <v>0</v>
      </c>
      <c r="R3909" t="s">
        <v>47306</v>
      </c>
      <c r="S3909" t="s">
        <v>47414</v>
      </c>
      <c r="T3909" t="s">
        <v>48973</v>
      </c>
      <c r="U3909" t="s">
        <v>52901</v>
      </c>
      <c r="V3909" t="s">
        <v>63041</v>
      </c>
      <c r="W3909" t="s">
        <v>44528</v>
      </c>
      <c r="X3909" t="s">
        <v>47308</v>
      </c>
    </row>
    <row r="3910" spans="1:24">
      <c r="A3910">
        <f>HYPERLINK("https://www.philgeps.gov.ph/GEPSNONPILOT/Tender/SplashBidNoticeAbstractUI.aspx?menuIndex=3&amp;refID=7196295&amp;Result=3","7196295")</f>
        <v>0</v>
      </c>
      <c r="B3910" t="s">
        <v>671</v>
      </c>
      <c r="C3910" t="s">
        <v>7556</v>
      </c>
      <c r="D3910" t="s">
        <v>18993</v>
      </c>
      <c r="E3910" t="s">
        <v>22598</v>
      </c>
      <c r="F3910" t="s">
        <v>32606</v>
      </c>
      <c r="G3910" t="s">
        <v>32617</v>
      </c>
      <c r="H3910" t="s">
        <v>14201</v>
      </c>
      <c r="I3910" t="s">
        <v>7677</v>
      </c>
      <c r="J3910" t="s">
        <v>35407</v>
      </c>
      <c r="K3910" t="s">
        <v>42624</v>
      </c>
      <c r="M3910" t="s">
        <v>43591</v>
      </c>
      <c r="N3910" t="s">
        <v>47304</v>
      </c>
      <c r="O3910" t="s">
        <v>47305</v>
      </c>
      <c r="P3910">
        <v>0</v>
      </c>
      <c r="Q3910">
        <v>2</v>
      </c>
      <c r="R3910" t="s">
        <v>47306</v>
      </c>
      <c r="S3910" t="s">
        <v>47414</v>
      </c>
      <c r="T3910" t="s">
        <v>49014</v>
      </c>
      <c r="U3910" t="s">
        <v>50716</v>
      </c>
      <c r="W3910" t="s">
        <v>43591</v>
      </c>
      <c r="X3910" t="s">
        <v>47308</v>
      </c>
    </row>
    <row r="3911" spans="1:24">
      <c r="A3911">
        <f>HYPERLINK("https://www.philgeps.gov.ph/GEPSNONPILOT/Tender/SplashBidNoticeAbstractUI.aspx?menuIndex=3&amp;refID=7196278&amp;Result=3","7196278")</f>
        <v>0</v>
      </c>
      <c r="B3911" t="s">
        <v>1385</v>
      </c>
      <c r="C3911" t="s">
        <v>7557</v>
      </c>
      <c r="E3911" t="s">
        <v>19847</v>
      </c>
      <c r="F3911" t="s">
        <v>32606</v>
      </c>
      <c r="G3911" t="s">
        <v>32613</v>
      </c>
      <c r="H3911" t="s">
        <v>14201</v>
      </c>
      <c r="I3911" t="s">
        <v>6931</v>
      </c>
      <c r="J3911" t="s">
        <v>35408</v>
      </c>
      <c r="K3911" t="s">
        <v>42624</v>
      </c>
      <c r="M3911" t="s">
        <v>44367</v>
      </c>
      <c r="N3911" t="s">
        <v>47304</v>
      </c>
      <c r="O3911" t="s">
        <v>47305</v>
      </c>
      <c r="P3911">
        <v>0</v>
      </c>
      <c r="Q3911">
        <v>0</v>
      </c>
      <c r="R3911" t="s">
        <v>47306</v>
      </c>
      <c r="S3911" t="s">
        <v>47414</v>
      </c>
      <c r="T3911" t="s">
        <v>48988</v>
      </c>
      <c r="U3911" t="s">
        <v>52902</v>
      </c>
      <c r="W3911" t="s">
        <v>44367</v>
      </c>
      <c r="X3911" t="s">
        <v>47308</v>
      </c>
    </row>
    <row r="3912" spans="1:24">
      <c r="A3912">
        <f>HYPERLINK("https://www.philgeps.gov.ph/GEPSNONPILOT/Tender/SplashBidNoticeAbstractUI.aspx?menuIndex=3&amp;refID=7196293&amp;Result=3","7196293")</f>
        <v>0</v>
      </c>
      <c r="B3912" t="s">
        <v>343</v>
      </c>
      <c r="C3912" t="s">
        <v>7558</v>
      </c>
      <c r="D3912" t="s">
        <v>18993</v>
      </c>
      <c r="E3912" t="s">
        <v>22599</v>
      </c>
      <c r="F3912" t="s">
        <v>32606</v>
      </c>
      <c r="G3912" t="s">
        <v>32613</v>
      </c>
      <c r="H3912" t="s">
        <v>14201</v>
      </c>
      <c r="I3912" t="s">
        <v>32640</v>
      </c>
      <c r="J3912" t="s">
        <v>35409</v>
      </c>
      <c r="K3912" t="s">
        <v>42624</v>
      </c>
      <c r="M3912" t="s">
        <v>44529</v>
      </c>
      <c r="N3912" t="s">
        <v>47304</v>
      </c>
      <c r="O3912" t="s">
        <v>47305</v>
      </c>
      <c r="P3912">
        <v>0</v>
      </c>
      <c r="Q3912">
        <v>11</v>
      </c>
      <c r="R3912" t="s">
        <v>47306</v>
      </c>
      <c r="S3912" t="s">
        <v>47414</v>
      </c>
      <c r="T3912" t="s">
        <v>49009</v>
      </c>
      <c r="U3912" t="s">
        <v>52903</v>
      </c>
      <c r="W3912" t="s">
        <v>44529</v>
      </c>
      <c r="X3912" t="s">
        <v>47308</v>
      </c>
    </row>
    <row r="3913" spans="1:24">
      <c r="A3913">
        <f>HYPERLINK("https://www.philgeps.gov.ph/GEPSNONPILOT/Tender/SplashBidNoticeAbstractUI.aspx?menuIndex=3&amp;refID=7196255&amp;Result=3","7196255")</f>
        <v>0</v>
      </c>
      <c r="B3913" t="s">
        <v>1524</v>
      </c>
      <c r="C3913" t="s">
        <v>7559</v>
      </c>
      <c r="D3913" t="s">
        <v>19002</v>
      </c>
      <c r="E3913" t="s">
        <v>22591</v>
      </c>
      <c r="F3913" t="s">
        <v>32606</v>
      </c>
      <c r="G3913" t="s">
        <v>32614</v>
      </c>
      <c r="H3913" t="s">
        <v>32623</v>
      </c>
      <c r="I3913" t="s">
        <v>17648</v>
      </c>
      <c r="J3913" t="s">
        <v>35410</v>
      </c>
      <c r="K3913" t="s">
        <v>42636</v>
      </c>
      <c r="M3913" t="s">
        <v>44525</v>
      </c>
      <c r="N3913" t="s">
        <v>47304</v>
      </c>
      <c r="O3913" t="s">
        <v>47305</v>
      </c>
      <c r="Q3913">
        <v>0</v>
      </c>
      <c r="R3913" t="s">
        <v>47306</v>
      </c>
      <c r="S3913" t="s">
        <v>47423</v>
      </c>
      <c r="T3913" t="s">
        <v>48997</v>
      </c>
      <c r="U3913" t="s">
        <v>52904</v>
      </c>
      <c r="V3913" t="s">
        <v>63042</v>
      </c>
      <c r="W3913" t="s">
        <v>44525</v>
      </c>
      <c r="X3913" t="s">
        <v>47308</v>
      </c>
    </row>
    <row r="3914" spans="1:24">
      <c r="A3914">
        <f>HYPERLINK("https://www.philgeps.gov.ph/GEPSNONPILOT/Tender/SplashBidNoticeAbstractUI.aspx?menuIndex=3&amp;refID=7196298&amp;Result=3","7196298")</f>
        <v>0</v>
      </c>
      <c r="B3914" t="s">
        <v>1528</v>
      </c>
      <c r="C3914" t="s">
        <v>7560</v>
      </c>
      <c r="D3914" t="s">
        <v>18989</v>
      </c>
      <c r="E3914" t="s">
        <v>22600</v>
      </c>
      <c r="F3914" t="s">
        <v>32606</v>
      </c>
      <c r="G3914" t="s">
        <v>32614</v>
      </c>
      <c r="H3914" t="s">
        <v>14201</v>
      </c>
      <c r="I3914" t="s">
        <v>4120</v>
      </c>
      <c r="J3914" t="s">
        <v>34038</v>
      </c>
      <c r="K3914" t="s">
        <v>42631</v>
      </c>
      <c r="M3914" t="s">
        <v>44530</v>
      </c>
      <c r="N3914" t="s">
        <v>47304</v>
      </c>
      <c r="O3914" t="s">
        <v>47305</v>
      </c>
      <c r="P3914">
        <v>0</v>
      </c>
      <c r="Q3914">
        <v>0</v>
      </c>
      <c r="R3914" t="s">
        <v>47306</v>
      </c>
      <c r="S3914" t="s">
        <v>47414</v>
      </c>
      <c r="T3914" t="s">
        <v>48997</v>
      </c>
      <c r="U3914" t="s">
        <v>52905</v>
      </c>
      <c r="V3914" t="s">
        <v>63043</v>
      </c>
      <c r="W3914" t="s">
        <v>44530</v>
      </c>
      <c r="X3914" t="s">
        <v>47308</v>
      </c>
    </row>
    <row r="3915" spans="1:24">
      <c r="A3915">
        <f>HYPERLINK("https://www.philgeps.gov.ph/GEPSNONPILOT/Tender/SplashBidNoticeAbstractUI.aspx?menuIndex=3&amp;refID=7196276&amp;Result=3","7196276")</f>
        <v>0</v>
      </c>
      <c r="B3915" t="s">
        <v>1472</v>
      </c>
      <c r="C3915" t="s">
        <v>7546</v>
      </c>
      <c r="D3915" t="s">
        <v>19022</v>
      </c>
      <c r="E3915" t="s">
        <v>22601</v>
      </c>
      <c r="F3915" t="s">
        <v>32606</v>
      </c>
      <c r="G3915" t="s">
        <v>32614</v>
      </c>
      <c r="H3915" t="s">
        <v>14201</v>
      </c>
      <c r="I3915" t="s">
        <v>6007</v>
      </c>
      <c r="J3915" t="s">
        <v>35373</v>
      </c>
      <c r="K3915" t="s">
        <v>42630</v>
      </c>
      <c r="M3915" t="s">
        <v>44466</v>
      </c>
      <c r="N3915" t="s">
        <v>47304</v>
      </c>
      <c r="O3915" t="s">
        <v>47305</v>
      </c>
      <c r="P3915">
        <v>0</v>
      </c>
      <c r="Q3915">
        <v>0</v>
      </c>
      <c r="R3915" t="s">
        <v>47306</v>
      </c>
      <c r="S3915" t="s">
        <v>47414</v>
      </c>
      <c r="T3915" t="s">
        <v>48997</v>
      </c>
      <c r="U3915" t="s">
        <v>52801</v>
      </c>
      <c r="W3915" t="s">
        <v>44466</v>
      </c>
      <c r="X3915" t="s">
        <v>47308</v>
      </c>
    </row>
    <row r="3916" spans="1:24">
      <c r="A3916">
        <f>HYPERLINK("https://www.philgeps.gov.ph/GEPSNONPILOT/Tender/SplashBidNoticeAbstractUI.aspx?menuIndex=3&amp;refID=7196284&amp;Result=3","7196284")</f>
        <v>0</v>
      </c>
      <c r="B3916" t="s">
        <v>1514</v>
      </c>
      <c r="C3916" t="s">
        <v>7561</v>
      </c>
      <c r="D3916" t="s">
        <v>18993</v>
      </c>
      <c r="E3916" t="s">
        <v>22602</v>
      </c>
      <c r="F3916" t="s">
        <v>32606</v>
      </c>
      <c r="G3916" t="s">
        <v>32614</v>
      </c>
      <c r="H3916" t="s">
        <v>32624</v>
      </c>
      <c r="I3916" t="s">
        <v>32634</v>
      </c>
      <c r="J3916" t="s">
        <v>32885</v>
      </c>
      <c r="K3916" t="s">
        <v>42622</v>
      </c>
      <c r="M3916" t="s">
        <v>44514</v>
      </c>
      <c r="N3916" t="s">
        <v>47304</v>
      </c>
      <c r="O3916" t="s">
        <v>47305</v>
      </c>
      <c r="P3916">
        <v>0</v>
      </c>
      <c r="Q3916">
        <v>2</v>
      </c>
      <c r="R3916" t="s">
        <v>47306</v>
      </c>
      <c r="S3916" t="s">
        <v>47414</v>
      </c>
      <c r="T3916" t="s">
        <v>49014</v>
      </c>
      <c r="U3916" t="s">
        <v>52906</v>
      </c>
      <c r="V3916" t="s">
        <v>63037</v>
      </c>
      <c r="W3916" t="s">
        <v>44514</v>
      </c>
      <c r="X3916" t="s">
        <v>47308</v>
      </c>
    </row>
    <row r="3917" spans="1:24">
      <c r="A3917">
        <f>HYPERLINK("https://www.philgeps.gov.ph/GEPSNONPILOT/Tender/SplashBidNoticeAbstractUI.aspx?menuIndex=3&amp;refID=7196312&amp;Result=3","7196312")</f>
        <v>0</v>
      </c>
      <c r="B3917" t="s">
        <v>650</v>
      </c>
      <c r="C3917" t="s">
        <v>7562</v>
      </c>
      <c r="D3917" t="s">
        <v>19057</v>
      </c>
      <c r="E3917" t="s">
        <v>22603</v>
      </c>
      <c r="F3917" t="s">
        <v>32606</v>
      </c>
      <c r="G3917" t="s">
        <v>32614</v>
      </c>
      <c r="H3917" t="s">
        <v>14201</v>
      </c>
      <c r="I3917" t="s">
        <v>6007</v>
      </c>
      <c r="J3917" t="s">
        <v>35411</v>
      </c>
      <c r="K3917" t="s">
        <v>42623</v>
      </c>
      <c r="M3917" t="s">
        <v>43569</v>
      </c>
      <c r="N3917" t="s">
        <v>47304</v>
      </c>
      <c r="O3917" t="s">
        <v>47305</v>
      </c>
      <c r="P3917">
        <v>0</v>
      </c>
      <c r="Q3917">
        <v>0</v>
      </c>
      <c r="R3917" t="s">
        <v>47306</v>
      </c>
      <c r="S3917" t="s">
        <v>47414</v>
      </c>
      <c r="T3917" t="s">
        <v>49010</v>
      </c>
      <c r="U3917" t="s">
        <v>52907</v>
      </c>
      <c r="W3917" t="s">
        <v>43569</v>
      </c>
      <c r="X3917" t="s">
        <v>47308</v>
      </c>
    </row>
    <row r="3918" spans="1:24">
      <c r="A3918">
        <f>HYPERLINK("https://www.philgeps.gov.ph/GEPSNONPILOT/Tender/SplashBidNoticeAbstractUI.aspx?menuIndex=3&amp;refID=7196294&amp;Result=3","7196294")</f>
        <v>0</v>
      </c>
      <c r="B3918" t="s">
        <v>1506</v>
      </c>
      <c r="C3918" t="s">
        <v>7563</v>
      </c>
      <c r="D3918" t="s">
        <v>19063</v>
      </c>
      <c r="E3918" t="s">
        <v>22604</v>
      </c>
      <c r="F3918" t="s">
        <v>32606</v>
      </c>
      <c r="G3918" t="s">
        <v>32613</v>
      </c>
      <c r="H3918" t="s">
        <v>32623</v>
      </c>
      <c r="I3918" t="s">
        <v>17648</v>
      </c>
      <c r="J3918" t="s">
        <v>32821</v>
      </c>
      <c r="K3918" t="s">
        <v>42706</v>
      </c>
      <c r="M3918" t="s">
        <v>44504</v>
      </c>
      <c r="N3918" t="s">
        <v>47304</v>
      </c>
      <c r="O3918" t="s">
        <v>47305</v>
      </c>
      <c r="P3918">
        <v>0</v>
      </c>
      <c r="Q3918">
        <v>1</v>
      </c>
      <c r="R3918" t="s">
        <v>47306</v>
      </c>
      <c r="S3918" t="s">
        <v>47414</v>
      </c>
      <c r="T3918" t="s">
        <v>49005</v>
      </c>
      <c r="U3918" t="s">
        <v>52908</v>
      </c>
      <c r="W3918" t="s">
        <v>44504</v>
      </c>
      <c r="X3918" t="s">
        <v>47308</v>
      </c>
    </row>
    <row r="3919" spans="1:24">
      <c r="A3919">
        <f>HYPERLINK("https://www.philgeps.gov.ph/GEPSNONPILOT/Tender/SplashBidNoticeAbstractUI.aspx?menuIndex=3&amp;refID=7196310&amp;Result=3","7196310")</f>
        <v>0</v>
      </c>
      <c r="B3919" t="s">
        <v>678</v>
      </c>
      <c r="C3919" t="s">
        <v>7564</v>
      </c>
      <c r="D3919" t="s">
        <v>18999</v>
      </c>
      <c r="E3919" t="s">
        <v>22605</v>
      </c>
      <c r="F3919" t="s">
        <v>32606</v>
      </c>
      <c r="G3919" t="s">
        <v>32619</v>
      </c>
      <c r="H3919" t="s">
        <v>14201</v>
      </c>
      <c r="I3919" t="s">
        <v>4120</v>
      </c>
      <c r="J3919" t="s">
        <v>35412</v>
      </c>
      <c r="K3919" t="s">
        <v>42629</v>
      </c>
      <c r="M3919" t="s">
        <v>43598</v>
      </c>
      <c r="N3919" t="s">
        <v>47304</v>
      </c>
      <c r="O3919" t="s">
        <v>47305</v>
      </c>
      <c r="P3919">
        <v>0</v>
      </c>
      <c r="Q3919">
        <v>1</v>
      </c>
      <c r="R3919" t="s">
        <v>47306</v>
      </c>
      <c r="S3919" t="s">
        <v>47414</v>
      </c>
      <c r="T3919" t="s">
        <v>49053</v>
      </c>
      <c r="U3919" t="s">
        <v>52909</v>
      </c>
      <c r="W3919" t="s">
        <v>43598</v>
      </c>
      <c r="X3919" t="s">
        <v>47308</v>
      </c>
    </row>
    <row r="3920" spans="1:24">
      <c r="A3920">
        <f>HYPERLINK("https://www.philgeps.gov.ph/GEPSNONPILOT/Tender/SplashBidNoticeAbstractUI.aspx?menuIndex=3&amp;refID=7196289&amp;Result=3","7196289")</f>
        <v>0</v>
      </c>
      <c r="B3920" t="s">
        <v>343</v>
      </c>
      <c r="C3920" t="s">
        <v>7565</v>
      </c>
      <c r="D3920" t="s">
        <v>18993</v>
      </c>
      <c r="E3920" t="s">
        <v>22606</v>
      </c>
      <c r="F3920" t="s">
        <v>32606</v>
      </c>
      <c r="G3920" t="s">
        <v>32613</v>
      </c>
      <c r="H3920" t="s">
        <v>14201</v>
      </c>
      <c r="I3920" t="s">
        <v>32650</v>
      </c>
      <c r="J3920" t="s">
        <v>35413</v>
      </c>
      <c r="K3920" t="s">
        <v>42624</v>
      </c>
      <c r="M3920" t="s">
        <v>44531</v>
      </c>
      <c r="N3920" t="s">
        <v>47304</v>
      </c>
      <c r="O3920" t="s">
        <v>47305</v>
      </c>
      <c r="P3920">
        <v>0</v>
      </c>
      <c r="Q3920">
        <v>1</v>
      </c>
      <c r="R3920" t="s">
        <v>47306</v>
      </c>
      <c r="S3920" t="s">
        <v>47414</v>
      </c>
      <c r="T3920" t="s">
        <v>49009</v>
      </c>
      <c r="U3920" t="s">
        <v>52910</v>
      </c>
      <c r="W3920" t="s">
        <v>44531</v>
      </c>
      <c r="X3920" t="s">
        <v>47308</v>
      </c>
    </row>
    <row r="3921" spans="1:24">
      <c r="A3921">
        <f>HYPERLINK("https://www.philgeps.gov.ph/GEPSNONPILOT/Tender/SplashBidNoticeAbstractUI.aspx?menuIndex=3&amp;refID=7196256&amp;Result=3","7196256")</f>
        <v>0</v>
      </c>
      <c r="B3921" t="s">
        <v>1529</v>
      </c>
      <c r="C3921" t="s">
        <v>7566</v>
      </c>
      <c r="D3921" t="s">
        <v>18993</v>
      </c>
      <c r="E3921" t="s">
        <v>22607</v>
      </c>
      <c r="F3921" t="s">
        <v>32610</v>
      </c>
      <c r="G3921" t="s">
        <v>32614</v>
      </c>
      <c r="H3921" t="s">
        <v>14201</v>
      </c>
      <c r="I3921" t="s">
        <v>32640</v>
      </c>
      <c r="J3921" t="s">
        <v>32950</v>
      </c>
      <c r="K3921" t="s">
        <v>42622</v>
      </c>
      <c r="M3921" t="s">
        <v>44532</v>
      </c>
      <c r="N3921" t="s">
        <v>47304</v>
      </c>
      <c r="O3921" t="s">
        <v>47305</v>
      </c>
      <c r="P3921">
        <v>0</v>
      </c>
      <c r="Q3921">
        <v>10</v>
      </c>
      <c r="R3921" t="s">
        <v>47306</v>
      </c>
      <c r="S3921" t="s">
        <v>47414</v>
      </c>
      <c r="T3921" t="s">
        <v>49162</v>
      </c>
      <c r="U3921" t="s">
        <v>52911</v>
      </c>
      <c r="W3921" t="s">
        <v>44532</v>
      </c>
      <c r="X3921" t="s">
        <v>47308</v>
      </c>
    </row>
    <row r="3922" spans="1:24">
      <c r="A3922">
        <f>HYPERLINK("https://www.philgeps.gov.ph/GEPSNONPILOT/Tender/SplashBidNoticeAbstractUI.aspx?menuIndex=3&amp;refID=7196319&amp;Result=3","7196319")</f>
        <v>0</v>
      </c>
      <c r="B3922" t="s">
        <v>857</v>
      </c>
      <c r="C3922" t="s">
        <v>7567</v>
      </c>
      <c r="D3922" t="s">
        <v>19014</v>
      </c>
      <c r="E3922" t="s">
        <v>22608</v>
      </c>
      <c r="F3922" t="s">
        <v>32606</v>
      </c>
      <c r="G3922" t="s">
        <v>32614</v>
      </c>
      <c r="H3922" t="s">
        <v>14201</v>
      </c>
      <c r="I3922" t="s">
        <v>6007</v>
      </c>
      <c r="J3922" t="s">
        <v>35414</v>
      </c>
      <c r="K3922" t="s">
        <v>42630</v>
      </c>
      <c r="M3922" t="s">
        <v>43790</v>
      </c>
      <c r="N3922" t="s">
        <v>47304</v>
      </c>
      <c r="O3922" t="s">
        <v>47305</v>
      </c>
      <c r="P3922">
        <v>0</v>
      </c>
      <c r="Q3922">
        <v>0</v>
      </c>
      <c r="R3922" t="s">
        <v>47306</v>
      </c>
      <c r="S3922" t="s">
        <v>47414</v>
      </c>
      <c r="T3922" t="s">
        <v>48979</v>
      </c>
      <c r="U3922" t="s">
        <v>52912</v>
      </c>
      <c r="W3922" t="s">
        <v>43790</v>
      </c>
      <c r="X3922" t="s">
        <v>47308</v>
      </c>
    </row>
    <row r="3923" spans="1:24">
      <c r="A3923">
        <f>HYPERLINK("https://www.philgeps.gov.ph/GEPSNONPILOT/Tender/SplashBidNoticeAbstractUI.aspx?menuIndex=3&amp;refID=7196277&amp;Result=3","7196277")</f>
        <v>0</v>
      </c>
      <c r="B3923" t="s">
        <v>1491</v>
      </c>
      <c r="C3923" t="s">
        <v>7568</v>
      </c>
      <c r="D3923" t="s">
        <v>18987</v>
      </c>
      <c r="E3923" t="s">
        <v>22609</v>
      </c>
      <c r="F3923" t="s">
        <v>32606</v>
      </c>
      <c r="G3923" t="s">
        <v>32613</v>
      </c>
      <c r="H3923" t="s">
        <v>14201</v>
      </c>
      <c r="I3923" t="s">
        <v>4120</v>
      </c>
      <c r="J3923" t="s">
        <v>35415</v>
      </c>
      <c r="K3923" t="s">
        <v>42631</v>
      </c>
      <c r="M3923" t="s">
        <v>44486</v>
      </c>
      <c r="N3923" t="s">
        <v>47304</v>
      </c>
      <c r="O3923" t="s">
        <v>47305</v>
      </c>
      <c r="P3923">
        <v>0</v>
      </c>
      <c r="Q3923">
        <v>0</v>
      </c>
      <c r="R3923" t="s">
        <v>47306</v>
      </c>
      <c r="S3923" t="s">
        <v>47414</v>
      </c>
      <c r="T3923" t="s">
        <v>49110</v>
      </c>
      <c r="U3923" t="s">
        <v>52913</v>
      </c>
      <c r="V3923" t="s">
        <v>62938</v>
      </c>
      <c r="W3923" t="s">
        <v>44486</v>
      </c>
      <c r="X3923" t="s">
        <v>47308</v>
      </c>
    </row>
    <row r="3924" spans="1:24">
      <c r="A3924">
        <f>HYPERLINK("https://www.philgeps.gov.ph/GEPSNONPILOT/Tender/SplashBidNoticeAbstractUI.aspx?menuIndex=3&amp;refID=7196318&amp;Result=3","7196318")</f>
        <v>0</v>
      </c>
      <c r="B3924" t="s">
        <v>1530</v>
      </c>
      <c r="C3924" t="s">
        <v>7569</v>
      </c>
      <c r="D3924" t="s">
        <v>19012</v>
      </c>
      <c r="E3924" t="s">
        <v>22610</v>
      </c>
      <c r="F3924" t="s">
        <v>32606</v>
      </c>
      <c r="G3924" t="s">
        <v>32614</v>
      </c>
      <c r="H3924" t="s">
        <v>14201</v>
      </c>
      <c r="I3924" t="s">
        <v>9013</v>
      </c>
      <c r="J3924" t="s">
        <v>35416</v>
      </c>
      <c r="K3924" t="s">
        <v>42623</v>
      </c>
      <c r="M3924" t="s">
        <v>44533</v>
      </c>
      <c r="N3924" t="s">
        <v>47304</v>
      </c>
      <c r="O3924" t="s">
        <v>47305</v>
      </c>
      <c r="P3924">
        <v>0</v>
      </c>
      <c r="Q3924">
        <v>3</v>
      </c>
      <c r="R3924" t="s">
        <v>47306</v>
      </c>
      <c r="S3924" t="s">
        <v>47414</v>
      </c>
      <c r="T3924" t="s">
        <v>49004</v>
      </c>
      <c r="U3924" t="s">
        <v>52914</v>
      </c>
      <c r="W3924" t="s">
        <v>44533</v>
      </c>
      <c r="X3924" t="s">
        <v>47308</v>
      </c>
    </row>
    <row r="3925" spans="1:24">
      <c r="A3925">
        <f>HYPERLINK("https://www.philgeps.gov.ph/GEPSNONPILOT/Tender/SplashBidNoticeAbstractUI.aspx?menuIndex=3&amp;refID=7196317&amp;Result=3","7196317")</f>
        <v>0</v>
      </c>
      <c r="B3925" t="s">
        <v>1531</v>
      </c>
      <c r="C3925" t="s">
        <v>7570</v>
      </c>
      <c r="D3925" t="s">
        <v>19008</v>
      </c>
      <c r="E3925" t="s">
        <v>19314</v>
      </c>
      <c r="F3925" t="s">
        <v>32606</v>
      </c>
      <c r="G3925" t="s">
        <v>32614</v>
      </c>
      <c r="H3925" t="s">
        <v>14201</v>
      </c>
      <c r="I3925" t="s">
        <v>4120</v>
      </c>
      <c r="J3925" t="s">
        <v>35417</v>
      </c>
      <c r="K3925" t="s">
        <v>42631</v>
      </c>
      <c r="M3925" t="s">
        <v>44534</v>
      </c>
      <c r="N3925" t="s">
        <v>47304</v>
      </c>
      <c r="O3925" t="s">
        <v>47305</v>
      </c>
      <c r="P3925">
        <v>0</v>
      </c>
      <c r="Q3925">
        <v>0</v>
      </c>
      <c r="R3925" t="s">
        <v>47306</v>
      </c>
      <c r="S3925" t="s">
        <v>47414</v>
      </c>
      <c r="T3925" t="s">
        <v>49062</v>
      </c>
      <c r="U3925" t="s">
        <v>52915</v>
      </c>
      <c r="W3925" t="s">
        <v>44534</v>
      </c>
      <c r="X3925" t="s">
        <v>47308</v>
      </c>
    </row>
    <row r="3926" spans="1:24">
      <c r="A3926">
        <f>HYPERLINK("https://www.philgeps.gov.ph/GEPSNONPILOT/Tender/SplashBidNoticeAbstractUI.aspx?menuIndex=3&amp;refID=7196315&amp;Result=3","7196315")</f>
        <v>0</v>
      </c>
      <c r="B3926" t="s">
        <v>1532</v>
      </c>
      <c r="C3926" t="s">
        <v>7571</v>
      </c>
      <c r="D3926" t="s">
        <v>19057</v>
      </c>
      <c r="E3926" t="s">
        <v>22611</v>
      </c>
      <c r="F3926" t="s">
        <v>32606</v>
      </c>
      <c r="G3926" t="s">
        <v>32613</v>
      </c>
      <c r="H3926" t="s">
        <v>32623</v>
      </c>
      <c r="I3926" t="s">
        <v>17648</v>
      </c>
      <c r="J3926" t="s">
        <v>35418</v>
      </c>
      <c r="K3926" t="s">
        <v>42631</v>
      </c>
      <c r="M3926" t="s">
        <v>44535</v>
      </c>
      <c r="N3926" t="s">
        <v>47304</v>
      </c>
      <c r="O3926" t="s">
        <v>47305</v>
      </c>
      <c r="P3926">
        <v>0</v>
      </c>
      <c r="Q3926">
        <v>0</v>
      </c>
      <c r="R3926" t="s">
        <v>47306</v>
      </c>
      <c r="S3926" t="s">
        <v>47414</v>
      </c>
      <c r="T3926" t="s">
        <v>48978</v>
      </c>
      <c r="U3926" t="s">
        <v>52916</v>
      </c>
      <c r="W3926" t="s">
        <v>44535</v>
      </c>
      <c r="X3926" t="s">
        <v>47308</v>
      </c>
    </row>
    <row r="3927" spans="1:24">
      <c r="A3927">
        <f>HYPERLINK("https://www.philgeps.gov.ph/GEPSNONPILOT/Tender/SplashBidNoticeAbstractUI.aspx?menuIndex=3&amp;refID=7196314&amp;Result=3","7196314")</f>
        <v>0</v>
      </c>
      <c r="B3927" t="s">
        <v>910</v>
      </c>
      <c r="C3927" t="s">
        <v>7572</v>
      </c>
      <c r="D3927" t="s">
        <v>18992</v>
      </c>
      <c r="E3927" t="s">
        <v>22612</v>
      </c>
      <c r="F3927" t="s">
        <v>32606</v>
      </c>
      <c r="G3927" t="s">
        <v>32613</v>
      </c>
      <c r="H3927" t="s">
        <v>32623</v>
      </c>
      <c r="I3927" t="s">
        <v>17648</v>
      </c>
      <c r="J3927" t="s">
        <v>32772</v>
      </c>
      <c r="K3927" t="s">
        <v>42631</v>
      </c>
      <c r="M3927" t="s">
        <v>43848</v>
      </c>
      <c r="N3927" t="s">
        <v>47304</v>
      </c>
      <c r="O3927" t="s">
        <v>47305</v>
      </c>
      <c r="P3927">
        <v>0</v>
      </c>
      <c r="Q3927">
        <v>0</v>
      </c>
      <c r="R3927" t="s">
        <v>47306</v>
      </c>
      <c r="S3927" t="s">
        <v>47414</v>
      </c>
      <c r="T3927" t="s">
        <v>49009</v>
      </c>
      <c r="U3927" t="s">
        <v>52917</v>
      </c>
      <c r="W3927" t="s">
        <v>43848</v>
      </c>
      <c r="X3927" t="s">
        <v>47308</v>
      </c>
    </row>
    <row r="3928" spans="1:24">
      <c r="A3928">
        <f>HYPERLINK("https://www.philgeps.gov.ph/GEPSNONPILOT/Tender/SplashBidNoticeAbstractUI.aspx?menuIndex=3&amp;refID=7196309&amp;Result=3","7196309")</f>
        <v>0</v>
      </c>
      <c r="B3928" t="s">
        <v>1491</v>
      </c>
      <c r="C3928" t="s">
        <v>7573</v>
      </c>
      <c r="D3928" t="s">
        <v>18987</v>
      </c>
      <c r="E3928" t="s">
        <v>22613</v>
      </c>
      <c r="F3928" t="s">
        <v>32606</v>
      </c>
      <c r="G3928" t="s">
        <v>32613</v>
      </c>
      <c r="H3928" t="s">
        <v>14201</v>
      </c>
      <c r="I3928" t="s">
        <v>32655</v>
      </c>
      <c r="J3928" t="s">
        <v>35419</v>
      </c>
      <c r="K3928" t="s">
        <v>42639</v>
      </c>
      <c r="M3928" t="s">
        <v>44486</v>
      </c>
      <c r="N3928" t="s">
        <v>47304</v>
      </c>
      <c r="O3928" t="s">
        <v>47305</v>
      </c>
      <c r="P3928">
        <v>0</v>
      </c>
      <c r="Q3928">
        <v>2</v>
      </c>
      <c r="R3928" t="s">
        <v>47306</v>
      </c>
      <c r="S3928" t="s">
        <v>47414</v>
      </c>
      <c r="T3928" t="s">
        <v>49110</v>
      </c>
      <c r="U3928" t="s">
        <v>52918</v>
      </c>
      <c r="V3928" t="s">
        <v>62938</v>
      </c>
      <c r="W3928" t="s">
        <v>44486</v>
      </c>
      <c r="X3928" t="s">
        <v>47308</v>
      </c>
    </row>
    <row r="3929" spans="1:24">
      <c r="A3929">
        <f>HYPERLINK("https://www.philgeps.gov.ph/GEPSNONPILOT/Tender/SplashBidNoticeAbstractUI.aspx?menuIndex=3&amp;refID=7196308&amp;Result=3","7196308")</f>
        <v>0</v>
      </c>
      <c r="B3929" t="s">
        <v>1520</v>
      </c>
      <c r="C3929" t="s">
        <v>7574</v>
      </c>
      <c r="D3929" t="s">
        <v>18988</v>
      </c>
      <c r="E3929" t="s">
        <v>22614</v>
      </c>
      <c r="F3929" t="s">
        <v>32606</v>
      </c>
      <c r="G3929" t="s">
        <v>32614</v>
      </c>
      <c r="H3929" t="s">
        <v>14201</v>
      </c>
      <c r="I3929" t="s">
        <v>32631</v>
      </c>
      <c r="J3929" t="s">
        <v>35420</v>
      </c>
      <c r="K3929" t="s">
        <v>42631</v>
      </c>
      <c r="M3929" t="s">
        <v>44521</v>
      </c>
      <c r="N3929" t="s">
        <v>47304</v>
      </c>
      <c r="O3929" t="s">
        <v>47305</v>
      </c>
      <c r="P3929">
        <v>0</v>
      </c>
      <c r="Q3929">
        <v>0</v>
      </c>
      <c r="R3929" t="s">
        <v>47306</v>
      </c>
      <c r="S3929" t="s">
        <v>47414</v>
      </c>
      <c r="T3929" t="s">
        <v>48980</v>
      </c>
      <c r="U3929" t="s">
        <v>52886</v>
      </c>
      <c r="V3929" t="s">
        <v>63039</v>
      </c>
      <c r="W3929" t="s">
        <v>44521</v>
      </c>
      <c r="X3929" t="s">
        <v>47308</v>
      </c>
    </row>
    <row r="3930" spans="1:24">
      <c r="A3930">
        <f>HYPERLINK("https://www.philgeps.gov.ph/GEPSNONPILOT/Tender/SplashBidNoticeAbstractUI.aspx?menuIndex=3&amp;refID=7196311&amp;Result=3","7196311")</f>
        <v>0</v>
      </c>
      <c r="B3930" t="s">
        <v>1508</v>
      </c>
      <c r="C3930" t="s">
        <v>7575</v>
      </c>
      <c r="D3930" t="s">
        <v>19016</v>
      </c>
      <c r="E3930" t="s">
        <v>22615</v>
      </c>
      <c r="F3930" t="s">
        <v>32606</v>
      </c>
      <c r="G3930" t="s">
        <v>32614</v>
      </c>
      <c r="H3930" t="s">
        <v>14201</v>
      </c>
      <c r="I3930" t="s">
        <v>32633</v>
      </c>
      <c r="J3930" t="s">
        <v>35421</v>
      </c>
      <c r="K3930" t="s">
        <v>42631</v>
      </c>
      <c r="L3930" t="s">
        <v>1508</v>
      </c>
      <c r="M3930" t="s">
        <v>44506</v>
      </c>
      <c r="N3930" t="s">
        <v>47304</v>
      </c>
      <c r="O3930" t="s">
        <v>47305</v>
      </c>
      <c r="P3930">
        <v>0</v>
      </c>
      <c r="Q3930">
        <v>2</v>
      </c>
      <c r="R3930" t="s">
        <v>47306</v>
      </c>
      <c r="S3930" t="s">
        <v>47414</v>
      </c>
      <c r="T3930" t="s">
        <v>48979</v>
      </c>
      <c r="U3930" t="s">
        <v>52919</v>
      </c>
      <c r="W3930" t="s">
        <v>44506</v>
      </c>
      <c r="X3930" t="s">
        <v>47308</v>
      </c>
    </row>
    <row r="3931" spans="1:24">
      <c r="A3931">
        <f>HYPERLINK("https://www.philgeps.gov.ph/GEPSNONPILOT/Tender/SplashBidNoticeAbstractUI.aspx?menuIndex=3&amp;refID=7196307&amp;Result=3","7196307")</f>
        <v>0</v>
      </c>
      <c r="B3931" t="s">
        <v>1533</v>
      </c>
      <c r="C3931" t="s">
        <v>7576</v>
      </c>
      <c r="D3931" t="s">
        <v>18994</v>
      </c>
      <c r="E3931" t="s">
        <v>22616</v>
      </c>
      <c r="F3931" t="s">
        <v>32606</v>
      </c>
      <c r="G3931" t="s">
        <v>32614</v>
      </c>
      <c r="H3931" t="s">
        <v>32624</v>
      </c>
      <c r="I3931" t="s">
        <v>32652</v>
      </c>
      <c r="J3931" t="s">
        <v>35422</v>
      </c>
      <c r="K3931" t="s">
        <v>42630</v>
      </c>
      <c r="M3931" t="s">
        <v>44536</v>
      </c>
      <c r="N3931" t="s">
        <v>47304</v>
      </c>
      <c r="O3931" t="s">
        <v>47305</v>
      </c>
      <c r="P3931">
        <v>0</v>
      </c>
      <c r="Q3931">
        <v>0</v>
      </c>
      <c r="R3931" t="s">
        <v>47306</v>
      </c>
      <c r="S3931" t="s">
        <v>47414</v>
      </c>
      <c r="T3931" t="s">
        <v>48997</v>
      </c>
      <c r="U3931" t="s">
        <v>52920</v>
      </c>
      <c r="V3931" t="s">
        <v>62644</v>
      </c>
      <c r="W3931" t="s">
        <v>44536</v>
      </c>
      <c r="X3931" t="s">
        <v>47308</v>
      </c>
    </row>
    <row r="3932" spans="1:24">
      <c r="A3932">
        <f>HYPERLINK("https://www.philgeps.gov.ph/GEPSNONPILOT/Tender/SplashBidNoticeAbstractUI.aspx?menuIndex=3&amp;refID=7196306&amp;Result=3","7196306")</f>
        <v>0</v>
      </c>
      <c r="B3932" t="s">
        <v>1493</v>
      </c>
      <c r="C3932" t="s">
        <v>7577</v>
      </c>
      <c r="D3932" t="s">
        <v>19023</v>
      </c>
      <c r="E3932" t="s">
        <v>22617</v>
      </c>
      <c r="F3932" t="s">
        <v>32606</v>
      </c>
      <c r="G3932" t="s">
        <v>32614</v>
      </c>
      <c r="H3932" t="s">
        <v>14201</v>
      </c>
      <c r="I3932" t="s">
        <v>7577</v>
      </c>
      <c r="J3932" t="s">
        <v>35423</v>
      </c>
      <c r="K3932" t="s">
        <v>42629</v>
      </c>
      <c r="M3932" t="s">
        <v>44488</v>
      </c>
      <c r="N3932" t="s">
        <v>47304</v>
      </c>
      <c r="O3932" t="s">
        <v>47305</v>
      </c>
      <c r="P3932">
        <v>0</v>
      </c>
      <c r="Q3932">
        <v>0</v>
      </c>
      <c r="R3932" t="s">
        <v>47306</v>
      </c>
      <c r="S3932" t="s">
        <v>47414</v>
      </c>
      <c r="T3932" t="s">
        <v>49004</v>
      </c>
      <c r="U3932" t="s">
        <v>52921</v>
      </c>
      <c r="V3932" t="s">
        <v>63032</v>
      </c>
      <c r="W3932" t="s">
        <v>44488</v>
      </c>
      <c r="X3932" t="s">
        <v>47308</v>
      </c>
    </row>
    <row r="3933" spans="1:24">
      <c r="A3933">
        <f>HYPERLINK("https://www.philgeps.gov.ph/GEPSNONPILOT/Tender/SplashBidNoticeAbstractUI.aspx?menuIndex=3&amp;refID=7196300&amp;Result=3","7196300")</f>
        <v>0</v>
      </c>
      <c r="B3933" t="s">
        <v>535</v>
      </c>
      <c r="C3933" t="s">
        <v>7578</v>
      </c>
      <c r="D3933" t="s">
        <v>19031</v>
      </c>
      <c r="E3933" t="s">
        <v>22618</v>
      </c>
      <c r="F3933" t="s">
        <v>32606</v>
      </c>
      <c r="G3933" t="s">
        <v>32613</v>
      </c>
      <c r="H3933" t="s">
        <v>14201</v>
      </c>
      <c r="I3933" t="s">
        <v>4120</v>
      </c>
      <c r="J3933" t="s">
        <v>35424</v>
      </c>
      <c r="K3933" t="s">
        <v>42631</v>
      </c>
      <c r="M3933" t="s">
        <v>43448</v>
      </c>
      <c r="N3933" t="s">
        <v>47304</v>
      </c>
      <c r="O3933" t="s">
        <v>47305</v>
      </c>
      <c r="P3933">
        <v>0</v>
      </c>
      <c r="Q3933">
        <v>0</v>
      </c>
      <c r="R3933" t="s">
        <v>47306</v>
      </c>
      <c r="S3933" t="s">
        <v>47414</v>
      </c>
      <c r="T3933" t="s">
        <v>48986</v>
      </c>
      <c r="U3933" t="s">
        <v>52922</v>
      </c>
      <c r="W3933" t="s">
        <v>43448</v>
      </c>
      <c r="X3933" t="s">
        <v>47308</v>
      </c>
    </row>
    <row r="3934" spans="1:24">
      <c r="A3934">
        <f>HYPERLINK("https://www.philgeps.gov.ph/GEPSNONPILOT/Tender/SplashBidNoticeAbstractUI.aspx?menuIndex=3&amp;refID=7196303&amp;Result=3","7196303")</f>
        <v>0</v>
      </c>
      <c r="B3934" t="s">
        <v>1221</v>
      </c>
      <c r="C3934" t="s">
        <v>7579</v>
      </c>
      <c r="D3934" t="s">
        <v>19063</v>
      </c>
      <c r="E3934" t="s">
        <v>22619</v>
      </c>
      <c r="F3934" t="s">
        <v>32606</v>
      </c>
      <c r="G3934" t="s">
        <v>32613</v>
      </c>
      <c r="H3934" t="s">
        <v>14201</v>
      </c>
      <c r="I3934" t="s">
        <v>7677</v>
      </c>
      <c r="J3934" t="s">
        <v>35425</v>
      </c>
      <c r="K3934" t="s">
        <v>42631</v>
      </c>
      <c r="M3934" t="s">
        <v>44537</v>
      </c>
      <c r="N3934" t="s">
        <v>47304</v>
      </c>
      <c r="O3934" t="s">
        <v>47305</v>
      </c>
      <c r="P3934">
        <v>0</v>
      </c>
      <c r="Q3934">
        <v>1</v>
      </c>
      <c r="R3934" t="s">
        <v>47306</v>
      </c>
      <c r="S3934" t="s">
        <v>47414</v>
      </c>
      <c r="T3934" t="s">
        <v>49009</v>
      </c>
      <c r="U3934" t="s">
        <v>52923</v>
      </c>
      <c r="W3934" t="s">
        <v>44537</v>
      </c>
      <c r="X3934" t="s">
        <v>47308</v>
      </c>
    </row>
    <row r="3935" spans="1:24">
      <c r="A3935">
        <f>HYPERLINK("https://www.philgeps.gov.ph/GEPSNONPILOT/Tender/SplashBidNoticeAbstractUI.aspx?menuIndex=3&amp;refID=7196313&amp;Result=3","7196313")</f>
        <v>0</v>
      </c>
      <c r="B3935" t="s">
        <v>758</v>
      </c>
      <c r="C3935" t="s">
        <v>7580</v>
      </c>
      <c r="D3935" t="s">
        <v>19032</v>
      </c>
      <c r="E3935" t="s">
        <v>22620</v>
      </c>
      <c r="F3935" t="s">
        <v>32606</v>
      </c>
      <c r="G3935" t="s">
        <v>32614</v>
      </c>
      <c r="H3935" t="s">
        <v>14201</v>
      </c>
      <c r="I3935" t="s">
        <v>32638</v>
      </c>
      <c r="J3935" t="s">
        <v>35426</v>
      </c>
      <c r="K3935" t="s">
        <v>42629</v>
      </c>
      <c r="M3935" t="s">
        <v>43682</v>
      </c>
      <c r="N3935" t="s">
        <v>47304</v>
      </c>
      <c r="O3935" t="s">
        <v>47305</v>
      </c>
      <c r="P3935">
        <v>0</v>
      </c>
      <c r="Q3935">
        <v>5</v>
      </c>
      <c r="R3935" t="s">
        <v>47306</v>
      </c>
      <c r="S3935" t="s">
        <v>47414</v>
      </c>
      <c r="T3935" t="s">
        <v>49004</v>
      </c>
      <c r="U3935" t="s">
        <v>50919</v>
      </c>
      <c r="V3935" t="s">
        <v>62821</v>
      </c>
      <c r="W3935" t="s">
        <v>43682</v>
      </c>
      <c r="X3935" t="s">
        <v>47308</v>
      </c>
    </row>
    <row r="3936" spans="1:24">
      <c r="A3936">
        <f>HYPERLINK("https://www.philgeps.gov.ph/GEPSNONPILOT/Tender/SplashBidNoticeAbstractUI.aspx?menuIndex=3&amp;refID=7196320&amp;Result=3","7196320")</f>
        <v>0</v>
      </c>
      <c r="B3936" t="s">
        <v>1433</v>
      </c>
      <c r="C3936" t="s">
        <v>7581</v>
      </c>
      <c r="D3936" t="s">
        <v>18999</v>
      </c>
      <c r="E3936" t="s">
        <v>22621</v>
      </c>
      <c r="F3936" t="s">
        <v>32606</v>
      </c>
      <c r="G3936" t="s">
        <v>32614</v>
      </c>
      <c r="H3936" t="s">
        <v>32624</v>
      </c>
      <c r="I3936" t="s">
        <v>6007</v>
      </c>
      <c r="J3936" t="s">
        <v>35427</v>
      </c>
      <c r="K3936" t="s">
        <v>42622</v>
      </c>
      <c r="M3936" t="s">
        <v>44422</v>
      </c>
      <c r="N3936" t="s">
        <v>47304</v>
      </c>
      <c r="O3936" t="s">
        <v>47305</v>
      </c>
      <c r="P3936">
        <v>0</v>
      </c>
      <c r="Q3936">
        <v>0</v>
      </c>
      <c r="R3936" t="s">
        <v>47306</v>
      </c>
      <c r="S3936" t="s">
        <v>47414</v>
      </c>
      <c r="T3936" t="s">
        <v>49002</v>
      </c>
      <c r="U3936" t="s">
        <v>52637</v>
      </c>
      <c r="W3936" t="s">
        <v>64473</v>
      </c>
      <c r="X3936" t="s">
        <v>47308</v>
      </c>
    </row>
    <row r="3937" spans="1:24">
      <c r="A3937">
        <f>HYPERLINK("https://www.philgeps.gov.ph/GEPSNONPILOT/Tender/SplashBidNoticeAbstractUI.aspx?menuIndex=3&amp;refID=7196333&amp;Result=3","7196333")</f>
        <v>0</v>
      </c>
      <c r="B3937" t="s">
        <v>1534</v>
      </c>
      <c r="C3937" t="s">
        <v>7582</v>
      </c>
      <c r="D3937" t="s">
        <v>19014</v>
      </c>
      <c r="E3937" t="s">
        <v>22622</v>
      </c>
      <c r="F3937" t="s">
        <v>32606</v>
      </c>
      <c r="G3937" t="s">
        <v>32613</v>
      </c>
      <c r="H3937" t="s">
        <v>14201</v>
      </c>
      <c r="I3937" t="s">
        <v>7064</v>
      </c>
      <c r="J3937" t="s">
        <v>32949</v>
      </c>
      <c r="K3937" t="s">
        <v>42631</v>
      </c>
      <c r="M3937" t="s">
        <v>44538</v>
      </c>
      <c r="N3937" t="s">
        <v>47304</v>
      </c>
      <c r="O3937" t="s">
        <v>47305</v>
      </c>
      <c r="P3937">
        <v>0</v>
      </c>
      <c r="Q3937">
        <v>0</v>
      </c>
      <c r="R3937" t="s">
        <v>47306</v>
      </c>
      <c r="S3937" t="s">
        <v>47414</v>
      </c>
      <c r="T3937" t="s">
        <v>48986</v>
      </c>
      <c r="U3937" t="s">
        <v>52924</v>
      </c>
      <c r="W3937" t="s">
        <v>44538</v>
      </c>
      <c r="X3937" t="s">
        <v>47308</v>
      </c>
    </row>
    <row r="3938" spans="1:24">
      <c r="A3938">
        <f>HYPERLINK("https://www.philgeps.gov.ph/GEPSNONPILOT/Tender/SplashBidNoticeAbstractUI.aspx?menuIndex=3&amp;refID=7196292&amp;Result=3","7196292")</f>
        <v>0</v>
      </c>
      <c r="B3938" t="s">
        <v>1535</v>
      </c>
      <c r="C3938" t="s">
        <v>7583</v>
      </c>
      <c r="D3938" t="s">
        <v>18993</v>
      </c>
      <c r="E3938" t="s">
        <v>22623</v>
      </c>
      <c r="F3938" t="s">
        <v>32606</v>
      </c>
      <c r="G3938" t="s">
        <v>32613</v>
      </c>
      <c r="H3938" t="s">
        <v>32624</v>
      </c>
      <c r="I3938" t="s">
        <v>32653</v>
      </c>
      <c r="J3938" t="s">
        <v>35428</v>
      </c>
      <c r="K3938" t="s">
        <v>42665</v>
      </c>
      <c r="M3938" t="s">
        <v>44539</v>
      </c>
      <c r="N3938" t="s">
        <v>47304</v>
      </c>
      <c r="O3938" t="s">
        <v>47305</v>
      </c>
      <c r="P3938">
        <v>0</v>
      </c>
      <c r="Q3938">
        <v>2</v>
      </c>
      <c r="R3938" t="s">
        <v>47306</v>
      </c>
      <c r="S3938" t="s">
        <v>47414</v>
      </c>
      <c r="T3938" t="s">
        <v>48990</v>
      </c>
      <c r="U3938" t="s">
        <v>52925</v>
      </c>
      <c r="W3938" t="s">
        <v>44539</v>
      </c>
      <c r="X3938" t="s">
        <v>47308</v>
      </c>
    </row>
    <row r="3939" spans="1:24">
      <c r="A3939">
        <f>HYPERLINK("https://www.philgeps.gov.ph/GEPSNONPILOT/Tender/SplashBidNoticeAbstractUI.aspx?menuIndex=3&amp;refID=7196332&amp;Result=3","7196332")</f>
        <v>0</v>
      </c>
      <c r="B3939" t="s">
        <v>723</v>
      </c>
      <c r="C3939" t="s">
        <v>7584</v>
      </c>
      <c r="D3939" t="s">
        <v>18994</v>
      </c>
      <c r="E3939" t="s">
        <v>22624</v>
      </c>
      <c r="F3939" t="s">
        <v>32606</v>
      </c>
      <c r="G3939" t="s">
        <v>32614</v>
      </c>
      <c r="H3939" t="s">
        <v>14201</v>
      </c>
      <c r="I3939" t="s">
        <v>7577</v>
      </c>
      <c r="J3939" t="s">
        <v>35429</v>
      </c>
      <c r="K3939" t="s">
        <v>42630</v>
      </c>
      <c r="M3939" t="s">
        <v>43644</v>
      </c>
      <c r="N3939" t="s">
        <v>47304</v>
      </c>
      <c r="O3939" t="s">
        <v>47305</v>
      </c>
      <c r="P3939">
        <v>0</v>
      </c>
      <c r="Q3939">
        <v>1</v>
      </c>
      <c r="R3939" t="s">
        <v>47306</v>
      </c>
      <c r="S3939" t="s">
        <v>47414</v>
      </c>
      <c r="T3939" t="s">
        <v>49061</v>
      </c>
      <c r="U3939" t="s">
        <v>50845</v>
      </c>
      <c r="W3939" t="s">
        <v>43644</v>
      </c>
      <c r="X3939" t="s">
        <v>47308</v>
      </c>
    </row>
    <row r="3940" spans="1:24">
      <c r="A3940">
        <f>HYPERLINK("https://www.philgeps.gov.ph/GEPSNONPILOT/Tender/SplashBidNoticeAbstractUI.aspx?menuIndex=3&amp;refID=7196331&amp;Result=3","7196331")</f>
        <v>0</v>
      </c>
      <c r="B3940" t="s">
        <v>1160</v>
      </c>
      <c r="C3940" t="s">
        <v>7585</v>
      </c>
      <c r="D3940" t="s">
        <v>19058</v>
      </c>
      <c r="E3940" t="s">
        <v>22625</v>
      </c>
      <c r="F3940" t="s">
        <v>32606</v>
      </c>
      <c r="G3940" t="s">
        <v>32614</v>
      </c>
      <c r="H3940" t="s">
        <v>32624</v>
      </c>
      <c r="I3940" t="s">
        <v>6931</v>
      </c>
      <c r="J3940" t="s">
        <v>34205</v>
      </c>
      <c r="K3940" t="s">
        <v>42631</v>
      </c>
      <c r="M3940" t="s">
        <v>44123</v>
      </c>
      <c r="N3940" t="s">
        <v>47304</v>
      </c>
      <c r="O3940" t="s">
        <v>47305</v>
      </c>
      <c r="P3940">
        <v>0</v>
      </c>
      <c r="Q3940">
        <v>6</v>
      </c>
      <c r="R3940" t="s">
        <v>47306</v>
      </c>
      <c r="S3940" t="s">
        <v>47414</v>
      </c>
      <c r="T3940" t="s">
        <v>49004</v>
      </c>
      <c r="U3940" t="s">
        <v>52926</v>
      </c>
      <c r="V3940" t="s">
        <v>62942</v>
      </c>
      <c r="W3940" t="s">
        <v>44123</v>
      </c>
      <c r="X3940" t="s">
        <v>47308</v>
      </c>
    </row>
    <row r="3941" spans="1:24">
      <c r="A3941">
        <f>HYPERLINK("https://www.philgeps.gov.ph/GEPSNONPILOT/Tender/SplashBidNoticeAbstractUI.aspx?menuIndex=3&amp;refID=7196304&amp;Result=3","7196304")</f>
        <v>0</v>
      </c>
      <c r="B3941" t="s">
        <v>461</v>
      </c>
      <c r="C3941" t="s">
        <v>7586</v>
      </c>
      <c r="D3941" t="s">
        <v>19011</v>
      </c>
      <c r="E3941" t="s">
        <v>22626</v>
      </c>
      <c r="F3941" t="s">
        <v>32606</v>
      </c>
      <c r="G3941" t="s">
        <v>32619</v>
      </c>
      <c r="H3941" t="s">
        <v>14201</v>
      </c>
      <c r="I3941" t="s">
        <v>4120</v>
      </c>
      <c r="J3941" t="s">
        <v>35430</v>
      </c>
      <c r="K3941" t="s">
        <v>42624</v>
      </c>
      <c r="M3941" t="s">
        <v>43371</v>
      </c>
      <c r="N3941" t="s">
        <v>47304</v>
      </c>
      <c r="O3941" t="s">
        <v>47305</v>
      </c>
      <c r="P3941">
        <v>0</v>
      </c>
      <c r="Q3941">
        <v>0</v>
      </c>
      <c r="R3941" t="s">
        <v>47306</v>
      </c>
      <c r="S3941" t="s">
        <v>47414</v>
      </c>
      <c r="T3941" t="s">
        <v>49068</v>
      </c>
      <c r="U3941" t="s">
        <v>52927</v>
      </c>
      <c r="W3941" t="s">
        <v>43371</v>
      </c>
      <c r="X3941" t="s">
        <v>47308</v>
      </c>
    </row>
    <row r="3942" spans="1:24">
      <c r="A3942">
        <f>HYPERLINK("https://www.philgeps.gov.ph/GEPSNONPILOT/Tender/SplashBidNoticeAbstractUI.aspx?menuIndex=3&amp;refID=7196329&amp;Result=3","7196329")</f>
        <v>0</v>
      </c>
      <c r="B3942" t="s">
        <v>1045</v>
      </c>
      <c r="C3942" t="s">
        <v>7587</v>
      </c>
      <c r="D3942" t="s">
        <v>18995</v>
      </c>
      <c r="E3942" t="s">
        <v>22627</v>
      </c>
      <c r="F3942" t="s">
        <v>32606</v>
      </c>
      <c r="G3942" t="s">
        <v>32614</v>
      </c>
      <c r="H3942" t="s">
        <v>14201</v>
      </c>
      <c r="I3942" t="s">
        <v>32650</v>
      </c>
      <c r="J3942" t="s">
        <v>33291</v>
      </c>
      <c r="K3942" t="s">
        <v>42624</v>
      </c>
      <c r="M3942" t="s">
        <v>43998</v>
      </c>
      <c r="N3942" t="s">
        <v>47304</v>
      </c>
      <c r="O3942" t="s">
        <v>47305</v>
      </c>
      <c r="P3942">
        <v>0</v>
      </c>
      <c r="Q3942">
        <v>0</v>
      </c>
      <c r="R3942" t="s">
        <v>47306</v>
      </c>
      <c r="S3942" t="s">
        <v>47414</v>
      </c>
      <c r="T3942" t="s">
        <v>48979</v>
      </c>
      <c r="U3942" t="s">
        <v>52928</v>
      </c>
      <c r="W3942" t="s">
        <v>43998</v>
      </c>
      <c r="X3942" t="s">
        <v>47308</v>
      </c>
    </row>
    <row r="3943" spans="1:24">
      <c r="A3943">
        <f>HYPERLINK("https://www.philgeps.gov.ph/GEPSNONPILOT/Tender/SplashBidNoticeAbstractUI.aspx?menuIndex=3&amp;refID=7196328&amp;Result=3","7196328")</f>
        <v>0</v>
      </c>
      <c r="B3943" t="s">
        <v>1514</v>
      </c>
      <c r="C3943" t="s">
        <v>7588</v>
      </c>
      <c r="D3943" t="s">
        <v>18993</v>
      </c>
      <c r="E3943" t="s">
        <v>22628</v>
      </c>
      <c r="F3943" t="s">
        <v>32606</v>
      </c>
      <c r="G3943" t="s">
        <v>32614</v>
      </c>
      <c r="H3943" t="s">
        <v>14201</v>
      </c>
      <c r="I3943" t="s">
        <v>13131</v>
      </c>
      <c r="J3943" t="s">
        <v>35431</v>
      </c>
      <c r="K3943" t="s">
        <v>42622</v>
      </c>
      <c r="M3943" t="s">
        <v>44514</v>
      </c>
      <c r="N3943" t="s">
        <v>47304</v>
      </c>
      <c r="O3943" t="s">
        <v>47305</v>
      </c>
      <c r="P3943">
        <v>0</v>
      </c>
      <c r="Q3943">
        <v>7</v>
      </c>
      <c r="R3943" t="s">
        <v>47306</v>
      </c>
      <c r="S3943" t="s">
        <v>47414</v>
      </c>
      <c r="T3943" t="s">
        <v>49014</v>
      </c>
      <c r="U3943" t="s">
        <v>52929</v>
      </c>
      <c r="V3943" t="s">
        <v>63037</v>
      </c>
      <c r="W3943" t="s">
        <v>44514</v>
      </c>
      <c r="X3943" t="s">
        <v>47308</v>
      </c>
    </row>
    <row r="3944" spans="1:24">
      <c r="A3944">
        <f>HYPERLINK("https://www.philgeps.gov.ph/GEPSNONPILOT/Tender/SplashBidNoticeAbstractUI.aspx?menuIndex=3&amp;refID=7196302&amp;Result=3","7196302")</f>
        <v>0</v>
      </c>
      <c r="B3944" t="s">
        <v>1514</v>
      </c>
      <c r="C3944" t="s">
        <v>7589</v>
      </c>
      <c r="D3944" t="s">
        <v>18993</v>
      </c>
      <c r="E3944" t="s">
        <v>22629</v>
      </c>
      <c r="F3944" t="s">
        <v>32606</v>
      </c>
      <c r="G3944" t="s">
        <v>32614</v>
      </c>
      <c r="H3944" t="s">
        <v>14201</v>
      </c>
      <c r="I3944" t="s">
        <v>4114</v>
      </c>
      <c r="J3944" t="s">
        <v>35432</v>
      </c>
      <c r="K3944" t="s">
        <v>42622</v>
      </c>
      <c r="M3944" t="s">
        <v>44514</v>
      </c>
      <c r="N3944" t="s">
        <v>47304</v>
      </c>
      <c r="O3944" t="s">
        <v>47305</v>
      </c>
      <c r="P3944">
        <v>0</v>
      </c>
      <c r="Q3944">
        <v>2</v>
      </c>
      <c r="R3944" t="s">
        <v>47306</v>
      </c>
      <c r="S3944" t="s">
        <v>47414</v>
      </c>
      <c r="T3944" t="s">
        <v>49014</v>
      </c>
      <c r="U3944" t="s">
        <v>52930</v>
      </c>
      <c r="V3944" t="s">
        <v>63037</v>
      </c>
      <c r="W3944" t="s">
        <v>44514</v>
      </c>
      <c r="X3944" t="s">
        <v>47308</v>
      </c>
    </row>
    <row r="3945" spans="1:24">
      <c r="A3945">
        <f>HYPERLINK("https://www.philgeps.gov.ph/GEPSNONPILOT/Tender/SplashBidNoticeAbstractUI.aspx?menuIndex=3&amp;refID=7196305&amp;Result=3","7196305")</f>
        <v>0</v>
      </c>
      <c r="B3945" t="s">
        <v>874</v>
      </c>
      <c r="C3945" t="s">
        <v>7590</v>
      </c>
      <c r="D3945" t="s">
        <v>18986</v>
      </c>
      <c r="E3945" t="s">
        <v>22630</v>
      </c>
      <c r="F3945" t="s">
        <v>32606</v>
      </c>
      <c r="G3945" t="s">
        <v>32619</v>
      </c>
      <c r="H3945" t="s">
        <v>14201</v>
      </c>
      <c r="I3945" t="s">
        <v>13131</v>
      </c>
      <c r="J3945" t="s">
        <v>35433</v>
      </c>
      <c r="K3945" t="s">
        <v>42623</v>
      </c>
      <c r="M3945" t="s">
        <v>43810</v>
      </c>
      <c r="N3945" t="s">
        <v>47304</v>
      </c>
      <c r="O3945" t="s">
        <v>47305</v>
      </c>
      <c r="P3945">
        <v>0</v>
      </c>
      <c r="Q3945">
        <v>2</v>
      </c>
      <c r="R3945" t="s">
        <v>47306</v>
      </c>
      <c r="S3945" t="s">
        <v>47414</v>
      </c>
      <c r="T3945" t="s">
        <v>48979</v>
      </c>
      <c r="U3945" t="s">
        <v>52931</v>
      </c>
      <c r="W3945" t="s">
        <v>43810</v>
      </c>
      <c r="X3945" t="s">
        <v>47308</v>
      </c>
    </row>
    <row r="3946" spans="1:24">
      <c r="A3946">
        <f>HYPERLINK("https://www.philgeps.gov.ph/GEPSNONPILOT/Tender/SplashBidNoticeAbstractUI.aspx?menuIndex=3&amp;refID=7196330&amp;Result=3","7196330")</f>
        <v>0</v>
      </c>
      <c r="B3946" t="s">
        <v>1536</v>
      </c>
      <c r="C3946" t="s">
        <v>7591</v>
      </c>
      <c r="D3946" t="s">
        <v>18995</v>
      </c>
      <c r="E3946" t="s">
        <v>22631</v>
      </c>
      <c r="F3946" t="s">
        <v>32606</v>
      </c>
      <c r="G3946" t="s">
        <v>32619</v>
      </c>
      <c r="H3946" t="s">
        <v>14201</v>
      </c>
      <c r="I3946" t="s">
        <v>9013</v>
      </c>
      <c r="J3946" t="s">
        <v>32765</v>
      </c>
      <c r="K3946" t="s">
        <v>42624</v>
      </c>
      <c r="M3946" t="s">
        <v>44540</v>
      </c>
      <c r="N3946" t="s">
        <v>47304</v>
      </c>
      <c r="O3946" t="s">
        <v>47305</v>
      </c>
      <c r="P3946">
        <v>0</v>
      </c>
      <c r="Q3946">
        <v>3</v>
      </c>
      <c r="R3946" t="s">
        <v>47306</v>
      </c>
      <c r="S3946" t="s">
        <v>47414</v>
      </c>
      <c r="T3946" t="s">
        <v>49269</v>
      </c>
      <c r="U3946" t="s">
        <v>52932</v>
      </c>
      <c r="W3946" t="s">
        <v>44540</v>
      </c>
      <c r="X3946" t="s">
        <v>47308</v>
      </c>
    </row>
    <row r="3947" spans="1:24">
      <c r="A3947">
        <f>HYPERLINK("https://www.philgeps.gov.ph/GEPSNONPILOT/Tender/SplashBidNoticeAbstractUI.aspx?menuIndex=3&amp;refID=7196340&amp;Result=3","7196340")</f>
        <v>0</v>
      </c>
      <c r="B3947" t="s">
        <v>1537</v>
      </c>
      <c r="C3947" t="s">
        <v>7592</v>
      </c>
      <c r="D3947" t="s">
        <v>19007</v>
      </c>
      <c r="E3947" t="s">
        <v>22632</v>
      </c>
      <c r="F3947" t="s">
        <v>32607</v>
      </c>
      <c r="G3947" t="s">
        <v>32619</v>
      </c>
      <c r="H3947" t="s">
        <v>14201</v>
      </c>
      <c r="I3947" t="s">
        <v>6298</v>
      </c>
      <c r="J3947" t="s">
        <v>35434</v>
      </c>
      <c r="K3947" t="s">
        <v>42625</v>
      </c>
      <c r="M3947" t="s">
        <v>44541</v>
      </c>
      <c r="N3947" t="s">
        <v>47304</v>
      </c>
      <c r="O3947" t="s">
        <v>47305</v>
      </c>
      <c r="P3947">
        <v>0</v>
      </c>
      <c r="Q3947">
        <v>1</v>
      </c>
      <c r="R3947" t="s">
        <v>47306</v>
      </c>
      <c r="S3947" t="s">
        <v>47414</v>
      </c>
      <c r="T3947" t="s">
        <v>49083</v>
      </c>
      <c r="U3947" t="s">
        <v>52933</v>
      </c>
      <c r="W3947" t="s">
        <v>44541</v>
      </c>
      <c r="X3947" t="s">
        <v>47308</v>
      </c>
    </row>
    <row r="3948" spans="1:24">
      <c r="A3948">
        <f>HYPERLINK("https://www.philgeps.gov.ph/GEPSNONPILOT/Tender/SplashBidNoticeAbstractUI.aspx?menuIndex=3&amp;refID=7196338&amp;Result=3","7196338")</f>
        <v>0</v>
      </c>
      <c r="B3948" t="s">
        <v>1538</v>
      </c>
      <c r="C3948" t="s">
        <v>7593</v>
      </c>
      <c r="D3948" t="s">
        <v>19011</v>
      </c>
      <c r="E3948" t="s">
        <v>22633</v>
      </c>
      <c r="F3948" t="s">
        <v>32606</v>
      </c>
      <c r="G3948" t="s">
        <v>32613</v>
      </c>
      <c r="H3948" t="s">
        <v>14201</v>
      </c>
      <c r="I3948" t="s">
        <v>32661</v>
      </c>
      <c r="J3948" t="s">
        <v>32981</v>
      </c>
      <c r="K3948" t="s">
        <v>42630</v>
      </c>
      <c r="M3948" t="s">
        <v>44542</v>
      </c>
      <c r="N3948" t="s">
        <v>47304</v>
      </c>
      <c r="O3948" t="s">
        <v>47305</v>
      </c>
      <c r="P3948">
        <v>0</v>
      </c>
      <c r="Q3948">
        <v>1</v>
      </c>
      <c r="R3948" t="s">
        <v>47306</v>
      </c>
      <c r="S3948" t="s">
        <v>47414</v>
      </c>
      <c r="T3948" t="s">
        <v>49135</v>
      </c>
      <c r="U3948" t="s">
        <v>52934</v>
      </c>
      <c r="W3948" t="s">
        <v>44542</v>
      </c>
      <c r="X3948" t="s">
        <v>47308</v>
      </c>
    </row>
    <row r="3949" spans="1:24">
      <c r="A3949">
        <f>HYPERLINK("https://www.philgeps.gov.ph/GEPSNONPILOT/Tender/SplashBidNoticeAbstractUI.aspx?menuIndex=3&amp;refID=7196327&amp;Result=3","7196327")</f>
        <v>0</v>
      </c>
      <c r="B3949" t="s">
        <v>1539</v>
      </c>
      <c r="C3949" t="s">
        <v>7594</v>
      </c>
      <c r="D3949" t="s">
        <v>19016</v>
      </c>
      <c r="E3949" t="s">
        <v>22634</v>
      </c>
      <c r="F3949" t="s">
        <v>32606</v>
      </c>
      <c r="G3949" t="s">
        <v>32613</v>
      </c>
      <c r="H3949" t="s">
        <v>32623</v>
      </c>
      <c r="I3949" t="s">
        <v>17648</v>
      </c>
      <c r="J3949" t="s">
        <v>35435</v>
      </c>
      <c r="K3949" t="s">
        <v>42648</v>
      </c>
      <c r="M3949" t="s">
        <v>44543</v>
      </c>
      <c r="N3949" t="s">
        <v>47304</v>
      </c>
      <c r="O3949" t="s">
        <v>47305</v>
      </c>
      <c r="P3949">
        <v>0</v>
      </c>
      <c r="Q3949">
        <v>3</v>
      </c>
      <c r="R3949" t="s">
        <v>47306</v>
      </c>
      <c r="S3949" t="s">
        <v>47414</v>
      </c>
      <c r="T3949" t="s">
        <v>48978</v>
      </c>
      <c r="U3949" t="s">
        <v>52935</v>
      </c>
      <c r="W3949" t="s">
        <v>44543</v>
      </c>
      <c r="X3949" t="s">
        <v>47308</v>
      </c>
    </row>
    <row r="3950" spans="1:24">
      <c r="A3950">
        <f>HYPERLINK("https://www.philgeps.gov.ph/GEPSNONPILOT/Tender/SplashBidNoticeAbstractUI.aspx?menuIndex=3&amp;refID=7196326&amp;Result=3","7196326")</f>
        <v>0</v>
      </c>
      <c r="B3950" t="s">
        <v>1540</v>
      </c>
      <c r="C3950" t="s">
        <v>7595</v>
      </c>
      <c r="D3950" t="s">
        <v>19056</v>
      </c>
      <c r="E3950" t="s">
        <v>22635</v>
      </c>
      <c r="F3950" t="s">
        <v>32606</v>
      </c>
      <c r="G3950" t="s">
        <v>32614</v>
      </c>
      <c r="H3950" t="s">
        <v>14201</v>
      </c>
      <c r="I3950" t="s">
        <v>6931</v>
      </c>
      <c r="J3950" t="s">
        <v>32927</v>
      </c>
      <c r="K3950" t="s">
        <v>42622</v>
      </c>
      <c r="M3950" t="s">
        <v>44544</v>
      </c>
      <c r="N3950" t="s">
        <v>47304</v>
      </c>
      <c r="O3950" t="s">
        <v>47305</v>
      </c>
      <c r="P3950">
        <v>0</v>
      </c>
      <c r="Q3950">
        <v>2</v>
      </c>
      <c r="R3950" t="s">
        <v>47306</v>
      </c>
      <c r="S3950" t="s">
        <v>47414</v>
      </c>
      <c r="T3950" t="s">
        <v>48979</v>
      </c>
      <c r="U3950" t="s">
        <v>52936</v>
      </c>
      <c r="W3950" t="s">
        <v>44544</v>
      </c>
      <c r="X3950" t="s">
        <v>47308</v>
      </c>
    </row>
    <row r="3951" spans="1:24">
      <c r="A3951">
        <f>HYPERLINK("https://www.philgeps.gov.ph/GEPSNONPILOT/Tender/SplashBidNoticeAbstractUI.aspx?menuIndex=3&amp;refID=7196336&amp;Result=3","7196336")</f>
        <v>0</v>
      </c>
      <c r="B3951" t="s">
        <v>1188</v>
      </c>
      <c r="C3951" t="s">
        <v>7596</v>
      </c>
      <c r="D3951" t="s">
        <v>19070</v>
      </c>
      <c r="E3951" t="s">
        <v>22636</v>
      </c>
      <c r="F3951" t="s">
        <v>32606</v>
      </c>
      <c r="G3951" t="s">
        <v>32613</v>
      </c>
      <c r="H3951" t="s">
        <v>32623</v>
      </c>
      <c r="I3951" t="s">
        <v>17648</v>
      </c>
      <c r="J3951" t="s">
        <v>32981</v>
      </c>
      <c r="K3951" t="s">
        <v>42636</v>
      </c>
      <c r="M3951" t="s">
        <v>44152</v>
      </c>
      <c r="N3951" t="s">
        <v>47304</v>
      </c>
      <c r="O3951" t="s">
        <v>47305</v>
      </c>
      <c r="P3951">
        <v>0</v>
      </c>
      <c r="Q3951">
        <v>1</v>
      </c>
      <c r="R3951" t="s">
        <v>47306</v>
      </c>
      <c r="S3951" t="s">
        <v>47414</v>
      </c>
      <c r="T3951" t="s">
        <v>48976</v>
      </c>
      <c r="U3951" t="s">
        <v>52937</v>
      </c>
      <c r="V3951" t="s">
        <v>63044</v>
      </c>
      <c r="W3951" t="s">
        <v>44152</v>
      </c>
      <c r="X3951" t="s">
        <v>47308</v>
      </c>
    </row>
    <row r="3952" spans="1:24">
      <c r="A3952">
        <f>HYPERLINK("https://www.philgeps.gov.ph/GEPSNONPILOT/Tender/SplashBidNoticeAbstractUI.aspx?menuIndex=3&amp;refID=7196325&amp;Result=3","7196325")</f>
        <v>0</v>
      </c>
      <c r="B3952" t="s">
        <v>1541</v>
      </c>
      <c r="C3952" t="s">
        <v>7597</v>
      </c>
      <c r="D3952" t="s">
        <v>19025</v>
      </c>
      <c r="E3952" t="s">
        <v>22637</v>
      </c>
      <c r="F3952" t="s">
        <v>32606</v>
      </c>
      <c r="G3952" t="s">
        <v>32619</v>
      </c>
      <c r="H3952" t="s">
        <v>14201</v>
      </c>
      <c r="I3952" t="s">
        <v>6478</v>
      </c>
      <c r="J3952" t="s">
        <v>35436</v>
      </c>
      <c r="K3952" t="s">
        <v>42622</v>
      </c>
      <c r="M3952" t="s">
        <v>44545</v>
      </c>
      <c r="N3952" t="s">
        <v>47304</v>
      </c>
      <c r="O3952" t="s">
        <v>47305</v>
      </c>
      <c r="P3952">
        <v>0</v>
      </c>
      <c r="Q3952">
        <v>0</v>
      </c>
      <c r="R3952" t="s">
        <v>47306</v>
      </c>
      <c r="S3952" t="s">
        <v>47414</v>
      </c>
      <c r="T3952" t="s">
        <v>49062</v>
      </c>
      <c r="U3952" t="s">
        <v>52938</v>
      </c>
      <c r="W3952" t="s">
        <v>44545</v>
      </c>
      <c r="X3952" t="s">
        <v>47308</v>
      </c>
    </row>
    <row r="3953" spans="1:24">
      <c r="A3953">
        <f>HYPERLINK("https://www.philgeps.gov.ph/GEPSNONPILOT/Tender/SplashBidNoticeAbstractUI.aspx?menuIndex=3&amp;refID=7196341&amp;Result=3","7196341")</f>
        <v>0</v>
      </c>
      <c r="B3953" t="s">
        <v>1542</v>
      </c>
      <c r="C3953" t="s">
        <v>6097</v>
      </c>
      <c r="D3953" t="s">
        <v>18992</v>
      </c>
      <c r="E3953" t="s">
        <v>19145</v>
      </c>
      <c r="F3953" t="s">
        <v>32606</v>
      </c>
      <c r="G3953" t="s">
        <v>32614</v>
      </c>
      <c r="H3953" t="s">
        <v>14201</v>
      </c>
      <c r="I3953" t="s">
        <v>4678</v>
      </c>
      <c r="J3953" t="s">
        <v>34077</v>
      </c>
      <c r="K3953" t="s">
        <v>42631</v>
      </c>
      <c r="M3953" t="s">
        <v>44546</v>
      </c>
      <c r="N3953" t="s">
        <v>47304</v>
      </c>
      <c r="O3953" t="s">
        <v>47305</v>
      </c>
      <c r="P3953">
        <v>0</v>
      </c>
      <c r="Q3953">
        <v>0</v>
      </c>
      <c r="R3953" t="s">
        <v>47306</v>
      </c>
      <c r="S3953" t="s">
        <v>47414</v>
      </c>
      <c r="T3953" t="s">
        <v>49014</v>
      </c>
      <c r="U3953" t="s">
        <v>52939</v>
      </c>
      <c r="W3953" t="s">
        <v>44546</v>
      </c>
      <c r="X3953" t="s">
        <v>47308</v>
      </c>
    </row>
    <row r="3954" spans="1:24">
      <c r="A3954">
        <f>HYPERLINK("https://www.philgeps.gov.ph/GEPSNONPILOT/Tender/SplashBidNoticeAbstractUI.aspx?menuIndex=3&amp;refID=7196323&amp;Result=3","7196323")</f>
        <v>0</v>
      </c>
      <c r="B3954" t="s">
        <v>1517</v>
      </c>
      <c r="C3954" t="s">
        <v>7598</v>
      </c>
      <c r="D3954" t="s">
        <v>18992</v>
      </c>
      <c r="E3954" t="s">
        <v>22638</v>
      </c>
      <c r="F3954" t="s">
        <v>32606</v>
      </c>
      <c r="G3954" t="s">
        <v>32615</v>
      </c>
      <c r="H3954" t="s">
        <v>14201</v>
      </c>
      <c r="I3954" t="s">
        <v>32640</v>
      </c>
      <c r="J3954" t="s">
        <v>35437</v>
      </c>
      <c r="K3954" t="s">
        <v>42631</v>
      </c>
      <c r="M3954" t="s">
        <v>44518</v>
      </c>
      <c r="N3954" t="s">
        <v>47304</v>
      </c>
      <c r="O3954" t="s">
        <v>47305</v>
      </c>
      <c r="P3954">
        <v>0</v>
      </c>
      <c r="Q3954">
        <v>0</v>
      </c>
      <c r="R3954" t="s">
        <v>47306</v>
      </c>
      <c r="S3954" t="s">
        <v>47414</v>
      </c>
      <c r="T3954" t="s">
        <v>48980</v>
      </c>
      <c r="U3954" t="s">
        <v>52940</v>
      </c>
      <c r="W3954" t="s">
        <v>44518</v>
      </c>
      <c r="X3954" t="s">
        <v>47308</v>
      </c>
    </row>
    <row r="3955" spans="1:24">
      <c r="A3955">
        <f>HYPERLINK("https://www.philgeps.gov.ph/GEPSNONPILOT/Tender/SplashBidNoticeAbstractUI.aspx?menuIndex=3&amp;refID=7196321&amp;Result=3","7196321")</f>
        <v>0</v>
      </c>
      <c r="B3955" t="s">
        <v>233</v>
      </c>
      <c r="C3955" t="s">
        <v>7599</v>
      </c>
      <c r="D3955" t="s">
        <v>18997</v>
      </c>
      <c r="E3955" t="s">
        <v>22639</v>
      </c>
      <c r="F3955" t="s">
        <v>32606</v>
      </c>
      <c r="G3955" t="s">
        <v>32613</v>
      </c>
      <c r="H3955" t="s">
        <v>14201</v>
      </c>
      <c r="I3955" t="s">
        <v>32635</v>
      </c>
      <c r="J3955" t="s">
        <v>35438</v>
      </c>
      <c r="K3955" t="s">
        <v>42631</v>
      </c>
      <c r="M3955" t="s">
        <v>44359</v>
      </c>
      <c r="N3955" t="s">
        <v>47304</v>
      </c>
      <c r="O3955" t="s">
        <v>47305</v>
      </c>
      <c r="P3955">
        <v>0</v>
      </c>
      <c r="Q3955">
        <v>1</v>
      </c>
      <c r="R3955" t="s">
        <v>47306</v>
      </c>
      <c r="S3955" t="s">
        <v>47414</v>
      </c>
      <c r="T3955" t="s">
        <v>49023</v>
      </c>
      <c r="U3955" t="s">
        <v>52443</v>
      </c>
      <c r="V3955" t="s">
        <v>63002</v>
      </c>
      <c r="W3955" t="s">
        <v>44359</v>
      </c>
      <c r="X3955" t="s">
        <v>47308</v>
      </c>
    </row>
    <row r="3956" spans="1:24">
      <c r="A3956">
        <f>HYPERLINK("https://www.philgeps.gov.ph/GEPSNONPILOT/Tender/SplashBidNoticeAbstractUI.aspx?menuIndex=3&amp;refID=7196316&amp;Result=3","7196316")</f>
        <v>0</v>
      </c>
      <c r="B3956" t="s">
        <v>238</v>
      </c>
      <c r="C3956" t="s">
        <v>7600</v>
      </c>
      <c r="D3956" t="s">
        <v>18993</v>
      </c>
      <c r="E3956" t="s">
        <v>22640</v>
      </c>
      <c r="F3956" t="s">
        <v>32606</v>
      </c>
      <c r="G3956" t="s">
        <v>32619</v>
      </c>
      <c r="H3956" t="s">
        <v>14201</v>
      </c>
      <c r="I3956" t="s">
        <v>32683</v>
      </c>
      <c r="J3956" t="s">
        <v>35439</v>
      </c>
      <c r="K3956" t="s">
        <v>42622</v>
      </c>
      <c r="M3956" t="s">
        <v>43357</v>
      </c>
      <c r="N3956" t="s">
        <v>47304</v>
      </c>
      <c r="O3956" t="s">
        <v>47305</v>
      </c>
      <c r="P3956">
        <v>0</v>
      </c>
      <c r="Q3956">
        <v>3</v>
      </c>
      <c r="R3956" t="s">
        <v>47306</v>
      </c>
      <c r="S3956" t="s">
        <v>47414</v>
      </c>
      <c r="T3956" t="s">
        <v>49123</v>
      </c>
      <c r="U3956" t="s">
        <v>52941</v>
      </c>
      <c r="V3956" t="s">
        <v>62749</v>
      </c>
      <c r="W3956" t="s">
        <v>43357</v>
      </c>
      <c r="X3956" t="s">
        <v>47308</v>
      </c>
    </row>
    <row r="3957" spans="1:24">
      <c r="A3957">
        <f>HYPERLINK("https://www.philgeps.gov.ph/GEPSNONPILOT/Tender/SplashBidNoticeAbstractUI.aspx?menuIndex=3&amp;refID=7196343&amp;Result=3","7196343")</f>
        <v>0</v>
      </c>
      <c r="B3957" t="s">
        <v>639</v>
      </c>
      <c r="C3957" t="s">
        <v>7601</v>
      </c>
      <c r="E3957" t="s">
        <v>22641</v>
      </c>
      <c r="F3957" t="s">
        <v>32606</v>
      </c>
      <c r="G3957" t="s">
        <v>32614</v>
      </c>
      <c r="H3957" t="s">
        <v>14201</v>
      </c>
      <c r="I3957" t="s">
        <v>6931</v>
      </c>
      <c r="J3957" t="s">
        <v>35440</v>
      </c>
      <c r="K3957" t="s">
        <v>42624</v>
      </c>
      <c r="M3957" t="s">
        <v>44433</v>
      </c>
      <c r="N3957" t="s">
        <v>47304</v>
      </c>
      <c r="O3957" t="s">
        <v>47305</v>
      </c>
      <c r="P3957">
        <v>0</v>
      </c>
      <c r="Q3957">
        <v>1</v>
      </c>
      <c r="R3957" t="s">
        <v>47306</v>
      </c>
      <c r="S3957" t="s">
        <v>47414</v>
      </c>
      <c r="T3957" t="s">
        <v>48979</v>
      </c>
      <c r="U3957" t="s">
        <v>52675</v>
      </c>
      <c r="W3957" t="s">
        <v>44433</v>
      </c>
      <c r="X3957" t="s">
        <v>47308</v>
      </c>
    </row>
    <row r="3958" spans="1:24">
      <c r="A3958">
        <f>HYPERLINK("https://www.philgeps.gov.ph/GEPSNONPILOT/Tender/SplashBidNoticeAbstractUI.aspx?menuIndex=3&amp;refID=7196337&amp;Result=3","7196337")</f>
        <v>0</v>
      </c>
      <c r="B3958" t="s">
        <v>671</v>
      </c>
      <c r="C3958" t="s">
        <v>7602</v>
      </c>
      <c r="D3958" t="s">
        <v>18993</v>
      </c>
      <c r="E3958" t="s">
        <v>22642</v>
      </c>
      <c r="F3958" t="s">
        <v>32606</v>
      </c>
      <c r="G3958" t="s">
        <v>32617</v>
      </c>
      <c r="H3958" t="s">
        <v>14201</v>
      </c>
      <c r="I3958" t="s">
        <v>7677</v>
      </c>
      <c r="J3958" t="s">
        <v>35441</v>
      </c>
      <c r="K3958" t="s">
        <v>42624</v>
      </c>
      <c r="M3958" t="s">
        <v>43591</v>
      </c>
      <c r="N3958" t="s">
        <v>47304</v>
      </c>
      <c r="O3958" t="s">
        <v>47305</v>
      </c>
      <c r="P3958">
        <v>0</v>
      </c>
      <c r="Q3958">
        <v>1</v>
      </c>
      <c r="R3958" t="s">
        <v>47306</v>
      </c>
      <c r="S3958" t="s">
        <v>47414</v>
      </c>
      <c r="T3958" t="s">
        <v>49014</v>
      </c>
      <c r="U3958" t="s">
        <v>50716</v>
      </c>
      <c r="W3958" t="s">
        <v>43591</v>
      </c>
      <c r="X3958" t="s">
        <v>47308</v>
      </c>
    </row>
    <row r="3959" spans="1:24">
      <c r="A3959">
        <f>HYPERLINK("https://www.philgeps.gov.ph/GEPSNONPILOT/Tender/SplashBidNoticeAbstractUI.aspx?menuIndex=3&amp;refID=7196339&amp;Result=3","7196339")</f>
        <v>0</v>
      </c>
      <c r="B3959" t="s">
        <v>65</v>
      </c>
      <c r="C3959" t="s">
        <v>7603</v>
      </c>
      <c r="D3959" t="s">
        <v>19015</v>
      </c>
      <c r="E3959" t="s">
        <v>21320</v>
      </c>
      <c r="F3959" t="s">
        <v>32606</v>
      </c>
      <c r="G3959" t="s">
        <v>32613</v>
      </c>
      <c r="H3959" t="s">
        <v>14201</v>
      </c>
      <c r="I3959" t="s">
        <v>6931</v>
      </c>
      <c r="J3959" t="s">
        <v>35442</v>
      </c>
      <c r="K3959" t="s">
        <v>42622</v>
      </c>
      <c r="M3959" t="s">
        <v>42962</v>
      </c>
      <c r="N3959" t="s">
        <v>47304</v>
      </c>
      <c r="O3959" t="s">
        <v>47305</v>
      </c>
      <c r="P3959">
        <v>0</v>
      </c>
      <c r="Q3959">
        <v>0</v>
      </c>
      <c r="R3959" t="s">
        <v>47306</v>
      </c>
      <c r="S3959" t="s">
        <v>47414</v>
      </c>
      <c r="T3959" t="s">
        <v>49002</v>
      </c>
      <c r="U3959" t="s">
        <v>52942</v>
      </c>
      <c r="W3959" t="s">
        <v>42962</v>
      </c>
      <c r="X3959" t="s">
        <v>47308</v>
      </c>
    </row>
    <row r="3960" spans="1:24">
      <c r="A3960">
        <f>HYPERLINK("https://www.philgeps.gov.ph/GEPSNONPILOT/Tender/SplashBidNoticeAbstractUI.aspx?menuIndex=3&amp;refID=7196301&amp;Result=3","7196301")</f>
        <v>0</v>
      </c>
      <c r="B3960" t="s">
        <v>202</v>
      </c>
      <c r="C3960" t="s">
        <v>7604</v>
      </c>
      <c r="D3960" t="s">
        <v>19043</v>
      </c>
      <c r="E3960" t="s">
        <v>22643</v>
      </c>
      <c r="F3960" t="s">
        <v>32606</v>
      </c>
      <c r="G3960" t="s">
        <v>32617</v>
      </c>
      <c r="H3960" t="s">
        <v>14201</v>
      </c>
      <c r="I3960" t="s">
        <v>4120</v>
      </c>
      <c r="J3960" t="s">
        <v>33075</v>
      </c>
      <c r="K3960" t="s">
        <v>42630</v>
      </c>
      <c r="M3960" t="s">
        <v>43103</v>
      </c>
      <c r="N3960" t="s">
        <v>47304</v>
      </c>
      <c r="O3960" t="s">
        <v>47305</v>
      </c>
      <c r="P3960">
        <v>0</v>
      </c>
      <c r="Q3960">
        <v>0</v>
      </c>
      <c r="R3960" t="s">
        <v>47306</v>
      </c>
      <c r="S3960" t="s">
        <v>47414</v>
      </c>
      <c r="T3960" t="s">
        <v>49004</v>
      </c>
      <c r="U3960" t="s">
        <v>52943</v>
      </c>
      <c r="V3960" t="s">
        <v>63045</v>
      </c>
      <c r="W3960" t="s">
        <v>43103</v>
      </c>
      <c r="X3960" t="s">
        <v>47308</v>
      </c>
    </row>
    <row r="3961" spans="1:24">
      <c r="A3961">
        <f>HYPERLINK("https://www.philgeps.gov.ph/GEPSNONPILOT/Tender/SplashBidNoticeAbstractUI.aspx?menuIndex=3&amp;refID=7196342&amp;Result=3","7196342")</f>
        <v>0</v>
      </c>
      <c r="B3961" t="s">
        <v>192</v>
      </c>
      <c r="C3961" t="s">
        <v>7605</v>
      </c>
      <c r="D3961" t="s">
        <v>19016</v>
      </c>
      <c r="E3961" t="s">
        <v>22644</v>
      </c>
      <c r="F3961" t="s">
        <v>32606</v>
      </c>
      <c r="G3961" t="s">
        <v>32619</v>
      </c>
      <c r="H3961" t="s">
        <v>14201</v>
      </c>
      <c r="I3961" t="s">
        <v>32633</v>
      </c>
      <c r="J3961" t="s">
        <v>35443</v>
      </c>
      <c r="K3961" t="s">
        <v>42624</v>
      </c>
      <c r="M3961" t="s">
        <v>43093</v>
      </c>
      <c r="N3961" t="s">
        <v>47304</v>
      </c>
      <c r="O3961" t="s">
        <v>47305</v>
      </c>
      <c r="P3961">
        <v>0</v>
      </c>
      <c r="Q3961">
        <v>4</v>
      </c>
      <c r="R3961" t="s">
        <v>47306</v>
      </c>
      <c r="S3961" t="s">
        <v>47414</v>
      </c>
      <c r="T3961" t="s">
        <v>49014</v>
      </c>
      <c r="U3961" t="s">
        <v>52944</v>
      </c>
      <c r="V3961" t="s">
        <v>62691</v>
      </c>
      <c r="W3961" t="s">
        <v>43093</v>
      </c>
      <c r="X3961" t="s">
        <v>47308</v>
      </c>
    </row>
    <row r="3962" spans="1:24">
      <c r="A3962">
        <f>HYPERLINK("https://www.philgeps.gov.ph/GEPSNONPILOT/Tender/SplashBidNoticeAbstractUI.aspx?menuIndex=3&amp;refID=7196363&amp;Result=3","7196363")</f>
        <v>0</v>
      </c>
      <c r="B3962" t="s">
        <v>76</v>
      </c>
      <c r="C3962" t="s">
        <v>7606</v>
      </c>
      <c r="D3962" t="s">
        <v>19010</v>
      </c>
      <c r="E3962" t="s">
        <v>22645</v>
      </c>
      <c r="F3962" t="s">
        <v>32606</v>
      </c>
      <c r="G3962" t="s">
        <v>32613</v>
      </c>
      <c r="H3962" t="s">
        <v>14201</v>
      </c>
      <c r="I3962" t="s">
        <v>8682</v>
      </c>
      <c r="J3962" t="s">
        <v>35373</v>
      </c>
      <c r="K3962" t="s">
        <v>42624</v>
      </c>
      <c r="M3962" t="s">
        <v>42973</v>
      </c>
      <c r="N3962" t="s">
        <v>47304</v>
      </c>
      <c r="O3962" t="s">
        <v>47305</v>
      </c>
      <c r="P3962">
        <v>0</v>
      </c>
      <c r="Q3962">
        <v>2</v>
      </c>
      <c r="R3962" t="s">
        <v>47306</v>
      </c>
      <c r="S3962" t="s">
        <v>47414</v>
      </c>
      <c r="T3962" t="s">
        <v>49011</v>
      </c>
      <c r="U3962" t="s">
        <v>52945</v>
      </c>
      <c r="W3962" t="s">
        <v>64421</v>
      </c>
      <c r="X3962" t="s">
        <v>47308</v>
      </c>
    </row>
    <row r="3963" spans="1:24">
      <c r="A3963">
        <f>HYPERLINK("https://www.philgeps.gov.ph/GEPSNONPILOT/Tender/SplashBidNoticeAbstractUI.aspx?menuIndex=3&amp;refID=7196362&amp;Result=3","7196362")</f>
        <v>0</v>
      </c>
      <c r="B3963" t="s">
        <v>1543</v>
      </c>
      <c r="C3963" t="s">
        <v>7607</v>
      </c>
      <c r="D3963" t="s">
        <v>19013</v>
      </c>
      <c r="E3963" t="s">
        <v>22646</v>
      </c>
      <c r="F3963" t="s">
        <v>32606</v>
      </c>
      <c r="G3963" t="s">
        <v>32613</v>
      </c>
      <c r="H3963" t="s">
        <v>14201</v>
      </c>
      <c r="I3963" t="s">
        <v>6931</v>
      </c>
      <c r="J3963" t="s">
        <v>35444</v>
      </c>
      <c r="K3963" t="s">
        <v>42624</v>
      </c>
      <c r="M3963" t="s">
        <v>44547</v>
      </c>
      <c r="N3963" t="s">
        <v>47304</v>
      </c>
      <c r="O3963" t="s">
        <v>47305</v>
      </c>
      <c r="P3963">
        <v>0</v>
      </c>
      <c r="Q3963">
        <v>0</v>
      </c>
      <c r="R3963" t="s">
        <v>47306</v>
      </c>
      <c r="S3963" t="s">
        <v>47414</v>
      </c>
      <c r="T3963" t="s">
        <v>49040</v>
      </c>
      <c r="U3963" t="s">
        <v>52946</v>
      </c>
      <c r="W3963" t="s">
        <v>44547</v>
      </c>
      <c r="X3963" t="s">
        <v>47308</v>
      </c>
    </row>
    <row r="3964" spans="1:24">
      <c r="A3964">
        <f>HYPERLINK("https://www.philgeps.gov.ph/GEPSNONPILOT/Tender/SplashBidNoticeAbstractUI.aspx?menuIndex=3&amp;refID=7196360&amp;Result=3","7196360")</f>
        <v>0</v>
      </c>
      <c r="B3964" t="s">
        <v>1544</v>
      </c>
      <c r="C3964" t="s">
        <v>7608</v>
      </c>
      <c r="D3964" t="s">
        <v>19058</v>
      </c>
      <c r="E3964" t="s">
        <v>22647</v>
      </c>
      <c r="F3964" t="s">
        <v>32606</v>
      </c>
      <c r="G3964" t="s">
        <v>32619</v>
      </c>
      <c r="H3964" t="s">
        <v>14201</v>
      </c>
      <c r="I3964" t="s">
        <v>32664</v>
      </c>
      <c r="J3964" t="s">
        <v>34321</v>
      </c>
      <c r="K3964" t="s">
        <v>42630</v>
      </c>
      <c r="M3964" t="s">
        <v>44548</v>
      </c>
      <c r="N3964" t="s">
        <v>47304</v>
      </c>
      <c r="O3964" t="s">
        <v>47305</v>
      </c>
      <c r="P3964">
        <v>0</v>
      </c>
      <c r="Q3964">
        <v>2</v>
      </c>
      <c r="R3964" t="s">
        <v>47306</v>
      </c>
      <c r="S3964" t="s">
        <v>47414</v>
      </c>
      <c r="T3964" t="s">
        <v>48998</v>
      </c>
      <c r="U3964" t="s">
        <v>52947</v>
      </c>
      <c r="W3964" t="s">
        <v>44548</v>
      </c>
      <c r="X3964" t="s">
        <v>47308</v>
      </c>
    </row>
    <row r="3965" spans="1:24">
      <c r="A3965">
        <f>HYPERLINK("https://www.philgeps.gov.ph/GEPSNONPILOT/Tender/SplashBidNoticeAbstractUI.aspx?menuIndex=3&amp;refID=7196359&amp;Result=3","7196359")</f>
        <v>0</v>
      </c>
      <c r="B3965" t="s">
        <v>1545</v>
      </c>
      <c r="C3965" t="s">
        <v>7609</v>
      </c>
      <c r="D3965" t="s">
        <v>19056</v>
      </c>
      <c r="E3965" t="s">
        <v>22648</v>
      </c>
      <c r="F3965" t="s">
        <v>32606</v>
      </c>
      <c r="G3965" t="s">
        <v>32613</v>
      </c>
      <c r="H3965" t="s">
        <v>32623</v>
      </c>
      <c r="I3965" t="s">
        <v>17648</v>
      </c>
      <c r="J3965" t="s">
        <v>35445</v>
      </c>
      <c r="K3965" t="s">
        <v>42622</v>
      </c>
      <c r="M3965" t="s">
        <v>44549</v>
      </c>
      <c r="N3965" t="s">
        <v>47304</v>
      </c>
      <c r="O3965" t="s">
        <v>47305</v>
      </c>
      <c r="P3965">
        <v>0</v>
      </c>
      <c r="Q3965">
        <v>0</v>
      </c>
      <c r="R3965" t="s">
        <v>47306</v>
      </c>
      <c r="S3965" t="s">
        <v>47414</v>
      </c>
      <c r="T3965" t="s">
        <v>49002</v>
      </c>
      <c r="U3965" t="s">
        <v>52948</v>
      </c>
      <c r="W3965" t="s">
        <v>44549</v>
      </c>
      <c r="X3965" t="s">
        <v>47308</v>
      </c>
    </row>
    <row r="3966" spans="1:24">
      <c r="A3966">
        <f>HYPERLINK("https://www.philgeps.gov.ph/GEPSNONPILOT/Tender/SplashBidNoticeAbstractUI.aspx?menuIndex=3&amp;refID=7196322&amp;Result=3","7196322")</f>
        <v>0</v>
      </c>
      <c r="B3966" t="s">
        <v>1546</v>
      </c>
      <c r="C3966" t="s">
        <v>7610</v>
      </c>
      <c r="D3966" t="s">
        <v>18995</v>
      </c>
      <c r="E3966" t="s">
        <v>22649</v>
      </c>
      <c r="F3966" t="s">
        <v>32606</v>
      </c>
      <c r="G3966" t="s">
        <v>32619</v>
      </c>
      <c r="H3966" t="s">
        <v>14201</v>
      </c>
      <c r="I3966" t="s">
        <v>13131</v>
      </c>
      <c r="J3966" t="s">
        <v>33853</v>
      </c>
      <c r="K3966" t="s">
        <v>42631</v>
      </c>
      <c r="M3966" t="s">
        <v>44550</v>
      </c>
      <c r="N3966" t="s">
        <v>47304</v>
      </c>
      <c r="O3966" t="s">
        <v>47305</v>
      </c>
      <c r="P3966">
        <v>0</v>
      </c>
      <c r="Q3966">
        <v>3</v>
      </c>
      <c r="R3966" t="s">
        <v>47306</v>
      </c>
      <c r="S3966" t="s">
        <v>47414</v>
      </c>
      <c r="T3966" t="s">
        <v>48980</v>
      </c>
      <c r="U3966" t="s">
        <v>52949</v>
      </c>
      <c r="W3966" t="s">
        <v>44550</v>
      </c>
      <c r="X3966" t="s">
        <v>47308</v>
      </c>
    </row>
    <row r="3967" spans="1:24">
      <c r="A3967">
        <f>HYPERLINK("https://www.philgeps.gov.ph/GEPSNONPILOT/Tender/SplashBidNoticeAbstractUI.aspx?menuIndex=3&amp;refID=7196356&amp;Result=3","7196356")</f>
        <v>0</v>
      </c>
      <c r="B3967" t="s">
        <v>1547</v>
      </c>
      <c r="C3967" t="s">
        <v>7611</v>
      </c>
      <c r="D3967" t="s">
        <v>18992</v>
      </c>
      <c r="E3967" t="s">
        <v>22396</v>
      </c>
      <c r="F3967" t="s">
        <v>32606</v>
      </c>
      <c r="G3967" t="s">
        <v>32613</v>
      </c>
      <c r="H3967" t="s">
        <v>32623</v>
      </c>
      <c r="I3967" t="s">
        <v>17648</v>
      </c>
      <c r="J3967" t="s">
        <v>32923</v>
      </c>
      <c r="K3967" t="s">
        <v>42636</v>
      </c>
      <c r="M3967" t="s">
        <v>44551</v>
      </c>
      <c r="N3967" t="s">
        <v>47304</v>
      </c>
      <c r="O3967" t="s">
        <v>47305</v>
      </c>
      <c r="P3967">
        <v>0</v>
      </c>
      <c r="Q3967">
        <v>0</v>
      </c>
      <c r="R3967" t="s">
        <v>47306</v>
      </c>
      <c r="S3967" t="s">
        <v>47414</v>
      </c>
      <c r="T3967" t="s">
        <v>49023</v>
      </c>
      <c r="U3967" t="s">
        <v>52950</v>
      </c>
      <c r="W3967" t="s">
        <v>44551</v>
      </c>
      <c r="X3967" t="s">
        <v>47308</v>
      </c>
    </row>
    <row r="3968" spans="1:24">
      <c r="A3968">
        <f>HYPERLINK("https://www.philgeps.gov.ph/GEPSNONPILOT/Tender/SplashBidNoticeAbstractUI.aspx?menuIndex=3&amp;refID=7196355&amp;Result=3","7196355")</f>
        <v>0</v>
      </c>
      <c r="B3968" t="s">
        <v>1523</v>
      </c>
      <c r="C3968" t="s">
        <v>3971</v>
      </c>
      <c r="D3968" t="s">
        <v>19018</v>
      </c>
      <c r="E3968" t="s">
        <v>19847</v>
      </c>
      <c r="F3968" t="s">
        <v>32606</v>
      </c>
      <c r="G3968" t="s">
        <v>32617</v>
      </c>
      <c r="H3968" t="s">
        <v>14201</v>
      </c>
      <c r="I3968" t="s">
        <v>4114</v>
      </c>
      <c r="J3968" t="s">
        <v>33257</v>
      </c>
      <c r="K3968" t="s">
        <v>42624</v>
      </c>
      <c r="M3968" t="s">
        <v>44524</v>
      </c>
      <c r="N3968" t="s">
        <v>47304</v>
      </c>
      <c r="O3968" t="s">
        <v>47305</v>
      </c>
      <c r="P3968">
        <v>0</v>
      </c>
      <c r="Q3968">
        <v>0</v>
      </c>
      <c r="R3968" t="s">
        <v>47306</v>
      </c>
      <c r="S3968" t="s">
        <v>47414</v>
      </c>
      <c r="T3968" t="s">
        <v>49014</v>
      </c>
      <c r="U3968" t="s">
        <v>52592</v>
      </c>
      <c r="W3968" t="s">
        <v>44524</v>
      </c>
      <c r="X3968" t="s">
        <v>47308</v>
      </c>
    </row>
    <row r="3969" spans="1:24">
      <c r="A3969">
        <f>HYPERLINK("https://www.philgeps.gov.ph/GEPSNONPILOT/Tender/SplashBidNoticeAbstractUI.aspx?menuIndex=3&amp;refID=7196364&amp;Result=3","7196364")</f>
        <v>0</v>
      </c>
      <c r="B3969" t="s">
        <v>1395</v>
      </c>
      <c r="C3969" t="s">
        <v>7612</v>
      </c>
      <c r="D3969" t="s">
        <v>19037</v>
      </c>
      <c r="E3969" t="s">
        <v>22650</v>
      </c>
      <c r="F3969" t="s">
        <v>32606</v>
      </c>
      <c r="G3969" t="s">
        <v>32614</v>
      </c>
      <c r="H3969" t="s">
        <v>14201</v>
      </c>
      <c r="I3969" t="s">
        <v>32673</v>
      </c>
      <c r="J3969" t="s">
        <v>32885</v>
      </c>
      <c r="K3969" t="s">
        <v>42623</v>
      </c>
      <c r="M3969" t="s">
        <v>44378</v>
      </c>
      <c r="N3969" t="s">
        <v>47304</v>
      </c>
      <c r="O3969" t="s">
        <v>47305</v>
      </c>
      <c r="P3969">
        <v>0</v>
      </c>
      <c r="Q3969">
        <v>0</v>
      </c>
      <c r="R3969" t="s">
        <v>47306</v>
      </c>
      <c r="S3969" t="s">
        <v>47414</v>
      </c>
      <c r="T3969" t="s">
        <v>48979</v>
      </c>
      <c r="U3969" t="s">
        <v>52951</v>
      </c>
      <c r="W3969" t="s">
        <v>44378</v>
      </c>
      <c r="X3969" t="s">
        <v>47308</v>
      </c>
    </row>
    <row r="3970" spans="1:24">
      <c r="A3970">
        <f>HYPERLINK("https://www.philgeps.gov.ph/GEPSNONPILOT/Tender/SplashBidNoticeAbstractUI.aspx?menuIndex=3&amp;refID=7196351&amp;Result=3","7196351")</f>
        <v>0</v>
      </c>
      <c r="B3970" t="s">
        <v>984</v>
      </c>
      <c r="C3970" t="s">
        <v>7613</v>
      </c>
      <c r="D3970" t="s">
        <v>19039</v>
      </c>
      <c r="E3970" t="s">
        <v>22651</v>
      </c>
      <c r="F3970" t="s">
        <v>32606</v>
      </c>
      <c r="G3970" t="s">
        <v>32614</v>
      </c>
      <c r="H3970" t="s">
        <v>14201</v>
      </c>
      <c r="I3970" t="s">
        <v>6993</v>
      </c>
      <c r="J3970" t="s">
        <v>35140</v>
      </c>
      <c r="K3970" t="s">
        <v>42625</v>
      </c>
      <c r="L3970" t="s">
        <v>984</v>
      </c>
      <c r="M3970" t="s">
        <v>43930</v>
      </c>
      <c r="N3970" t="s">
        <v>47304</v>
      </c>
      <c r="O3970" t="s">
        <v>47305</v>
      </c>
      <c r="P3970">
        <v>0</v>
      </c>
      <c r="Q3970">
        <v>0</v>
      </c>
      <c r="R3970" t="s">
        <v>47306</v>
      </c>
      <c r="S3970" t="s">
        <v>47414</v>
      </c>
      <c r="T3970" t="s">
        <v>48971</v>
      </c>
      <c r="U3970" t="s">
        <v>52952</v>
      </c>
      <c r="W3970" t="s">
        <v>43930</v>
      </c>
      <c r="X3970" t="s">
        <v>47308</v>
      </c>
    </row>
    <row r="3971" spans="1:24">
      <c r="A3971">
        <f>HYPERLINK("https://www.philgeps.gov.ph/GEPSNONPILOT/Tender/SplashBidNoticeAbstractUI.aspx?menuIndex=3&amp;refID=7196349&amp;Result=3","7196349")</f>
        <v>0</v>
      </c>
      <c r="B3971" t="s">
        <v>1514</v>
      </c>
      <c r="C3971" t="s">
        <v>7614</v>
      </c>
      <c r="D3971" t="s">
        <v>18993</v>
      </c>
      <c r="E3971" t="s">
        <v>22652</v>
      </c>
      <c r="F3971" t="s">
        <v>32606</v>
      </c>
      <c r="G3971" t="s">
        <v>32614</v>
      </c>
      <c r="H3971" t="s">
        <v>14201</v>
      </c>
      <c r="I3971" t="s">
        <v>32640</v>
      </c>
      <c r="J3971" t="s">
        <v>35446</v>
      </c>
      <c r="K3971" t="s">
        <v>42622</v>
      </c>
      <c r="M3971" t="s">
        <v>44514</v>
      </c>
      <c r="N3971" t="s">
        <v>47304</v>
      </c>
      <c r="O3971" t="s">
        <v>47305</v>
      </c>
      <c r="P3971">
        <v>0</v>
      </c>
      <c r="Q3971">
        <v>6</v>
      </c>
      <c r="R3971" t="s">
        <v>47306</v>
      </c>
      <c r="S3971" t="s">
        <v>47414</v>
      </c>
      <c r="T3971" t="s">
        <v>49014</v>
      </c>
      <c r="U3971" t="s">
        <v>52953</v>
      </c>
      <c r="V3971" t="s">
        <v>63037</v>
      </c>
      <c r="W3971" t="s">
        <v>44514</v>
      </c>
      <c r="X3971" t="s">
        <v>47308</v>
      </c>
    </row>
    <row r="3972" spans="1:24">
      <c r="A3972">
        <f>HYPERLINK("https://www.philgeps.gov.ph/GEPSNONPILOT/Tender/SplashBidNoticeAbstractUI.aspx?menuIndex=3&amp;refID=7196361&amp;Result=3","7196361")</f>
        <v>0</v>
      </c>
      <c r="B3972" t="s">
        <v>1328</v>
      </c>
      <c r="C3972" t="s">
        <v>7615</v>
      </c>
      <c r="E3972" t="s">
        <v>22653</v>
      </c>
      <c r="F3972" t="s">
        <v>32606</v>
      </c>
      <c r="G3972" t="s">
        <v>32619</v>
      </c>
      <c r="H3972" t="s">
        <v>14201</v>
      </c>
      <c r="I3972" t="s">
        <v>4112</v>
      </c>
      <c r="J3972" t="s">
        <v>35447</v>
      </c>
      <c r="K3972" t="s">
        <v>42630</v>
      </c>
      <c r="M3972" t="s">
        <v>44302</v>
      </c>
      <c r="N3972" t="s">
        <v>47304</v>
      </c>
      <c r="O3972" t="s">
        <v>47305</v>
      </c>
      <c r="P3972">
        <v>0</v>
      </c>
      <c r="Q3972">
        <v>0</v>
      </c>
      <c r="R3972" t="s">
        <v>47306</v>
      </c>
      <c r="S3972" t="s">
        <v>47414</v>
      </c>
      <c r="T3972" t="s">
        <v>49019</v>
      </c>
      <c r="U3972" t="s">
        <v>52954</v>
      </c>
      <c r="W3972" t="s">
        <v>44302</v>
      </c>
      <c r="X3972" t="s">
        <v>47308</v>
      </c>
    </row>
    <row r="3973" spans="1:24">
      <c r="A3973">
        <f>HYPERLINK("https://www.philgeps.gov.ph/GEPSNONPILOT/Tender/SplashBidNoticeAbstractUI.aspx?menuIndex=3&amp;refID=7196348&amp;Result=3","7196348")</f>
        <v>0</v>
      </c>
      <c r="B3973" t="s">
        <v>410</v>
      </c>
      <c r="C3973" t="s">
        <v>7123</v>
      </c>
      <c r="D3973" t="s">
        <v>18994</v>
      </c>
      <c r="E3973" t="s">
        <v>22654</v>
      </c>
      <c r="F3973" t="s">
        <v>32606</v>
      </c>
      <c r="G3973" t="s">
        <v>32614</v>
      </c>
      <c r="H3973" t="s">
        <v>14201</v>
      </c>
      <c r="I3973" t="s">
        <v>6931</v>
      </c>
      <c r="J3973" t="s">
        <v>32752</v>
      </c>
      <c r="K3973" t="s">
        <v>42629</v>
      </c>
      <c r="M3973" t="s">
        <v>43314</v>
      </c>
      <c r="N3973" t="s">
        <v>47304</v>
      </c>
      <c r="O3973" t="s">
        <v>47305</v>
      </c>
      <c r="P3973">
        <v>0</v>
      </c>
      <c r="Q3973">
        <v>0</v>
      </c>
      <c r="R3973" t="s">
        <v>47306</v>
      </c>
      <c r="S3973" t="s">
        <v>47414</v>
      </c>
      <c r="T3973" t="s">
        <v>49014</v>
      </c>
      <c r="U3973" t="s">
        <v>50263</v>
      </c>
      <c r="W3973" t="s">
        <v>43314</v>
      </c>
      <c r="X3973" t="s">
        <v>47308</v>
      </c>
    </row>
    <row r="3974" spans="1:24">
      <c r="A3974">
        <f>HYPERLINK("https://www.philgeps.gov.ph/GEPSNONPILOT/Tender/SplashBidNoticeAbstractUI.aspx?menuIndex=3&amp;refID=7196358&amp;Result=3","7196358")</f>
        <v>0</v>
      </c>
      <c r="B3974" t="s">
        <v>1369</v>
      </c>
      <c r="C3974" t="s">
        <v>7616</v>
      </c>
      <c r="D3974" t="s">
        <v>19013</v>
      </c>
      <c r="E3974" t="s">
        <v>22655</v>
      </c>
      <c r="F3974" t="s">
        <v>32606</v>
      </c>
      <c r="G3974" t="s">
        <v>32619</v>
      </c>
      <c r="H3974" t="s">
        <v>14201</v>
      </c>
      <c r="I3974" t="s">
        <v>6931</v>
      </c>
      <c r="J3974" t="s">
        <v>35036</v>
      </c>
      <c r="K3974" t="s">
        <v>42632</v>
      </c>
      <c r="M3974" t="s">
        <v>44346</v>
      </c>
      <c r="N3974" t="s">
        <v>47304</v>
      </c>
      <c r="O3974" t="s">
        <v>47305</v>
      </c>
      <c r="P3974">
        <v>0</v>
      </c>
      <c r="Q3974">
        <v>0</v>
      </c>
      <c r="R3974" t="s">
        <v>47306</v>
      </c>
      <c r="S3974" t="s">
        <v>47414</v>
      </c>
      <c r="T3974" t="s">
        <v>49108</v>
      </c>
      <c r="U3974" t="s">
        <v>52955</v>
      </c>
      <c r="W3974" t="s">
        <v>44346</v>
      </c>
      <c r="X3974" t="s">
        <v>47308</v>
      </c>
    </row>
    <row r="3975" spans="1:24">
      <c r="A3975">
        <f>HYPERLINK("https://www.philgeps.gov.ph/GEPSNONPILOT/Tender/SplashBidNoticeAbstractUI.aspx?menuIndex=3&amp;refID=7196347&amp;Result=3","7196347")</f>
        <v>0</v>
      </c>
      <c r="B3975" t="s">
        <v>1493</v>
      </c>
      <c r="C3975" t="s">
        <v>6931</v>
      </c>
      <c r="D3975" t="s">
        <v>19023</v>
      </c>
      <c r="E3975" t="s">
        <v>22656</v>
      </c>
      <c r="F3975" t="s">
        <v>32606</v>
      </c>
      <c r="G3975" t="s">
        <v>32614</v>
      </c>
      <c r="H3975" t="s">
        <v>14201</v>
      </c>
      <c r="I3975" t="s">
        <v>6931</v>
      </c>
      <c r="J3975" t="s">
        <v>35448</v>
      </c>
      <c r="K3975" t="s">
        <v>42629</v>
      </c>
      <c r="M3975" t="s">
        <v>44488</v>
      </c>
      <c r="N3975" t="s">
        <v>47304</v>
      </c>
      <c r="O3975" t="s">
        <v>47305</v>
      </c>
      <c r="P3975">
        <v>0</v>
      </c>
      <c r="Q3975">
        <v>0</v>
      </c>
      <c r="R3975" t="s">
        <v>47306</v>
      </c>
      <c r="S3975" t="s">
        <v>47414</v>
      </c>
      <c r="T3975" t="s">
        <v>49004</v>
      </c>
      <c r="U3975" t="s">
        <v>52956</v>
      </c>
      <c r="V3975" t="s">
        <v>63032</v>
      </c>
      <c r="W3975" t="s">
        <v>44488</v>
      </c>
      <c r="X3975" t="s">
        <v>47308</v>
      </c>
    </row>
    <row r="3976" spans="1:24">
      <c r="A3976">
        <f>HYPERLINK("https://www.philgeps.gov.ph/GEPSNONPILOT/Tender/SplashBidNoticeAbstractUI.aspx?menuIndex=3&amp;refID=7196344&amp;Result=3","7196344")</f>
        <v>0</v>
      </c>
      <c r="B3976" t="s">
        <v>210</v>
      </c>
      <c r="C3976" t="s">
        <v>7617</v>
      </c>
      <c r="D3976" t="s">
        <v>18986</v>
      </c>
      <c r="E3976" t="s">
        <v>22657</v>
      </c>
      <c r="F3976" t="s">
        <v>32606</v>
      </c>
      <c r="G3976" t="s">
        <v>32613</v>
      </c>
      <c r="H3976" t="s">
        <v>32623</v>
      </c>
      <c r="I3976" t="s">
        <v>17648</v>
      </c>
      <c r="J3976" t="s">
        <v>35449</v>
      </c>
      <c r="K3976" t="s">
        <v>42653</v>
      </c>
      <c r="M3976" t="s">
        <v>43111</v>
      </c>
      <c r="N3976" t="s">
        <v>47304</v>
      </c>
      <c r="O3976" t="s">
        <v>47305</v>
      </c>
      <c r="P3976">
        <v>0</v>
      </c>
      <c r="Q3976">
        <v>0</v>
      </c>
      <c r="R3976" t="s">
        <v>47306</v>
      </c>
      <c r="S3976" t="s">
        <v>47414</v>
      </c>
      <c r="T3976" t="s">
        <v>49033</v>
      </c>
      <c r="U3976" t="s">
        <v>52957</v>
      </c>
      <c r="W3976" t="s">
        <v>43111</v>
      </c>
      <c r="X3976" t="s">
        <v>47308</v>
      </c>
    </row>
    <row r="3977" spans="1:24">
      <c r="A3977">
        <f>HYPERLINK("https://www.philgeps.gov.ph/GEPSNONPILOT/Tender/SplashBidNoticeAbstractUI.aspx?menuIndex=3&amp;refID=7196335&amp;Result=3","7196335")</f>
        <v>0</v>
      </c>
      <c r="B3977" t="s">
        <v>233</v>
      </c>
      <c r="C3977" t="s">
        <v>7618</v>
      </c>
      <c r="D3977" t="s">
        <v>18997</v>
      </c>
      <c r="E3977" t="s">
        <v>22658</v>
      </c>
      <c r="F3977" t="s">
        <v>32606</v>
      </c>
      <c r="G3977" t="s">
        <v>32613</v>
      </c>
      <c r="H3977" t="s">
        <v>14201</v>
      </c>
      <c r="I3977" t="s">
        <v>32652</v>
      </c>
      <c r="J3977" t="s">
        <v>32999</v>
      </c>
      <c r="K3977" t="s">
        <v>42631</v>
      </c>
      <c r="M3977" t="s">
        <v>44359</v>
      </c>
      <c r="N3977" t="s">
        <v>47304</v>
      </c>
      <c r="O3977" t="s">
        <v>47305</v>
      </c>
      <c r="P3977">
        <v>0</v>
      </c>
      <c r="Q3977">
        <v>0</v>
      </c>
      <c r="R3977" t="s">
        <v>47306</v>
      </c>
      <c r="S3977" t="s">
        <v>47414</v>
      </c>
      <c r="T3977" t="s">
        <v>49023</v>
      </c>
      <c r="U3977" t="s">
        <v>52443</v>
      </c>
      <c r="V3977" t="s">
        <v>63002</v>
      </c>
      <c r="W3977" t="s">
        <v>44359</v>
      </c>
      <c r="X3977" t="s">
        <v>47308</v>
      </c>
    </row>
    <row r="3978" spans="1:24">
      <c r="A3978">
        <f>HYPERLINK("https://www.philgeps.gov.ph/GEPSNONPILOT/Tender/SplashBidNoticeAbstractUI.aspx?menuIndex=3&amp;refID=7196357&amp;Result=3","7196357")</f>
        <v>0</v>
      </c>
      <c r="B3978" t="s">
        <v>145</v>
      </c>
      <c r="C3978" t="s">
        <v>7619</v>
      </c>
      <c r="D3978" t="s">
        <v>19033</v>
      </c>
      <c r="E3978" t="s">
        <v>19339</v>
      </c>
      <c r="F3978" t="s">
        <v>32606</v>
      </c>
      <c r="G3978" t="s">
        <v>32613</v>
      </c>
      <c r="H3978" t="s">
        <v>32623</v>
      </c>
      <c r="I3978" t="s">
        <v>32659</v>
      </c>
      <c r="J3978" t="s">
        <v>32981</v>
      </c>
      <c r="K3978" t="s">
        <v>42631</v>
      </c>
      <c r="M3978" t="s">
        <v>43046</v>
      </c>
      <c r="N3978" t="s">
        <v>47304</v>
      </c>
      <c r="O3978" t="s">
        <v>47305</v>
      </c>
      <c r="P3978">
        <v>0</v>
      </c>
      <c r="Q3978">
        <v>0</v>
      </c>
      <c r="R3978" t="s">
        <v>47306</v>
      </c>
      <c r="S3978" t="s">
        <v>47414</v>
      </c>
      <c r="T3978" t="s">
        <v>48971</v>
      </c>
      <c r="U3978" t="s">
        <v>52958</v>
      </c>
      <c r="W3978" t="s">
        <v>43046</v>
      </c>
      <c r="X3978" t="s">
        <v>47308</v>
      </c>
    </row>
    <row r="3979" spans="1:24">
      <c r="A3979">
        <f>HYPERLINK("https://www.philgeps.gov.ph/GEPSNONPILOT/Tender/SplashBidNoticeAbstractUI.aspx?menuIndex=3&amp;refID=7196346&amp;Result=3","7196346")</f>
        <v>0</v>
      </c>
      <c r="B3979" t="s">
        <v>250</v>
      </c>
      <c r="C3979" t="s">
        <v>7620</v>
      </c>
      <c r="D3979" t="s">
        <v>19044</v>
      </c>
      <c r="E3979" t="s">
        <v>22659</v>
      </c>
      <c r="F3979" t="s">
        <v>32606</v>
      </c>
      <c r="G3979" t="s">
        <v>32617</v>
      </c>
      <c r="H3979" t="s">
        <v>14201</v>
      </c>
      <c r="I3979" t="s">
        <v>32633</v>
      </c>
      <c r="J3979" t="s">
        <v>34335</v>
      </c>
      <c r="K3979" t="s">
        <v>42629</v>
      </c>
      <c r="L3979" t="s">
        <v>250</v>
      </c>
      <c r="M3979" t="s">
        <v>43151</v>
      </c>
      <c r="N3979" t="s">
        <v>47304</v>
      </c>
      <c r="O3979" t="s">
        <v>47305</v>
      </c>
      <c r="P3979">
        <v>0</v>
      </c>
      <c r="Q3979">
        <v>9</v>
      </c>
      <c r="R3979" t="s">
        <v>47306</v>
      </c>
      <c r="S3979" t="s">
        <v>47414</v>
      </c>
      <c r="T3979" t="s">
        <v>48980</v>
      </c>
      <c r="U3979" t="s">
        <v>52959</v>
      </c>
      <c r="W3979" t="s">
        <v>43151</v>
      </c>
      <c r="X3979" t="s">
        <v>47308</v>
      </c>
    </row>
    <row r="3980" spans="1:24">
      <c r="A3980">
        <f>HYPERLINK("https://www.philgeps.gov.ph/GEPSNONPILOT/Tender/SplashBidNoticeAbstractUI.aspx?menuIndex=3&amp;refID=7196353&amp;Result=3","7196353")</f>
        <v>0</v>
      </c>
      <c r="B3980" t="s">
        <v>1130</v>
      </c>
      <c r="C3980" t="s">
        <v>7621</v>
      </c>
      <c r="D3980" t="s">
        <v>19053</v>
      </c>
      <c r="E3980" t="s">
        <v>22660</v>
      </c>
      <c r="F3980" t="s">
        <v>32606</v>
      </c>
      <c r="G3980" t="s">
        <v>32614</v>
      </c>
      <c r="H3980" t="s">
        <v>14201</v>
      </c>
      <c r="I3980" t="s">
        <v>6014</v>
      </c>
      <c r="J3980" t="s">
        <v>32752</v>
      </c>
      <c r="K3980" t="s">
        <v>42624</v>
      </c>
      <c r="M3980" t="s">
        <v>44454</v>
      </c>
      <c r="N3980" t="s">
        <v>47304</v>
      </c>
      <c r="O3980" t="s">
        <v>47305</v>
      </c>
      <c r="P3980">
        <v>0</v>
      </c>
      <c r="Q3980">
        <v>9</v>
      </c>
      <c r="R3980" t="s">
        <v>47306</v>
      </c>
      <c r="S3980" t="s">
        <v>47414</v>
      </c>
      <c r="T3980" t="s">
        <v>49010</v>
      </c>
      <c r="U3980" t="s">
        <v>52960</v>
      </c>
      <c r="V3980" t="s">
        <v>63046</v>
      </c>
      <c r="W3980" t="s">
        <v>44454</v>
      </c>
      <c r="X3980" t="s">
        <v>47308</v>
      </c>
    </row>
    <row r="3981" spans="1:24">
      <c r="A3981">
        <f>HYPERLINK("https://www.philgeps.gov.ph/GEPSNONPILOT/Tender/SplashBidNoticeAbstractUI.aspx?menuIndex=3&amp;refID=7196345&amp;Result=3","7196345")</f>
        <v>0</v>
      </c>
      <c r="B3981" t="s">
        <v>1190</v>
      </c>
      <c r="C3981" t="s">
        <v>7622</v>
      </c>
      <c r="D3981" t="s">
        <v>19011</v>
      </c>
      <c r="E3981" t="s">
        <v>22661</v>
      </c>
      <c r="F3981" t="s">
        <v>32606</v>
      </c>
      <c r="G3981" t="s">
        <v>32619</v>
      </c>
      <c r="H3981" t="s">
        <v>14201</v>
      </c>
      <c r="I3981" t="s">
        <v>6931</v>
      </c>
      <c r="J3981" t="s">
        <v>35450</v>
      </c>
      <c r="K3981" t="s">
        <v>42624</v>
      </c>
      <c r="M3981" t="s">
        <v>44154</v>
      </c>
      <c r="N3981" t="s">
        <v>47304</v>
      </c>
      <c r="O3981" t="s">
        <v>47305</v>
      </c>
      <c r="P3981">
        <v>0</v>
      </c>
      <c r="Q3981">
        <v>1</v>
      </c>
      <c r="R3981" t="s">
        <v>47306</v>
      </c>
      <c r="S3981" t="s">
        <v>47414</v>
      </c>
      <c r="T3981" t="s">
        <v>49047</v>
      </c>
      <c r="U3981" t="s">
        <v>52961</v>
      </c>
      <c r="W3981" t="s">
        <v>44154</v>
      </c>
      <c r="X3981" t="s">
        <v>47308</v>
      </c>
    </row>
    <row r="3982" spans="1:24">
      <c r="A3982">
        <f>HYPERLINK("https://www.philgeps.gov.ph/GEPSNONPILOT/Tender/SplashBidNoticeAbstractUI.aspx?menuIndex=3&amp;refID=7196376&amp;Result=3","7196376")</f>
        <v>0</v>
      </c>
      <c r="B3982" t="s">
        <v>225</v>
      </c>
      <c r="C3982" t="s">
        <v>7623</v>
      </c>
      <c r="D3982" t="s">
        <v>19000</v>
      </c>
      <c r="E3982" t="s">
        <v>22662</v>
      </c>
      <c r="F3982" t="s">
        <v>32606</v>
      </c>
      <c r="G3982" t="s">
        <v>32614</v>
      </c>
      <c r="H3982" t="s">
        <v>14201</v>
      </c>
      <c r="I3982" t="s">
        <v>32671</v>
      </c>
      <c r="J3982" t="s">
        <v>32765</v>
      </c>
      <c r="K3982" t="s">
        <v>42631</v>
      </c>
      <c r="M3982" t="s">
        <v>43126</v>
      </c>
      <c r="N3982" t="s">
        <v>47304</v>
      </c>
      <c r="O3982" t="s">
        <v>47305</v>
      </c>
      <c r="P3982">
        <v>0</v>
      </c>
      <c r="Q3982">
        <v>0</v>
      </c>
      <c r="R3982" t="s">
        <v>47306</v>
      </c>
      <c r="S3982" t="s">
        <v>47414</v>
      </c>
      <c r="T3982" t="s">
        <v>48997</v>
      </c>
      <c r="U3982" t="s">
        <v>52962</v>
      </c>
      <c r="W3982" t="s">
        <v>43126</v>
      </c>
      <c r="X3982" t="s">
        <v>47308</v>
      </c>
    </row>
    <row r="3983" spans="1:24">
      <c r="A3983">
        <f>HYPERLINK("https://www.philgeps.gov.ph/GEPSNONPILOT/Tender/SplashBidNoticeAbstractUI.aspx?menuIndex=3&amp;refID=7196367&amp;Result=3","7196367")</f>
        <v>0</v>
      </c>
      <c r="B3983" t="s">
        <v>81</v>
      </c>
      <c r="C3983" t="s">
        <v>7624</v>
      </c>
      <c r="D3983" t="s">
        <v>18995</v>
      </c>
      <c r="E3983" t="s">
        <v>22663</v>
      </c>
      <c r="F3983" t="s">
        <v>32606</v>
      </c>
      <c r="G3983" t="s">
        <v>32614</v>
      </c>
      <c r="H3983" t="s">
        <v>14201</v>
      </c>
      <c r="I3983" t="s">
        <v>32640</v>
      </c>
      <c r="J3983" t="s">
        <v>35451</v>
      </c>
      <c r="K3983" t="s">
        <v>42624</v>
      </c>
      <c r="M3983" t="s">
        <v>42978</v>
      </c>
      <c r="N3983" t="s">
        <v>47304</v>
      </c>
      <c r="O3983" t="s">
        <v>47305</v>
      </c>
      <c r="P3983">
        <v>0</v>
      </c>
      <c r="Q3983">
        <v>2</v>
      </c>
      <c r="R3983" t="s">
        <v>47306</v>
      </c>
      <c r="S3983" t="s">
        <v>47414</v>
      </c>
      <c r="T3983" t="s">
        <v>49014</v>
      </c>
      <c r="U3983" t="s">
        <v>52963</v>
      </c>
      <c r="W3983" t="s">
        <v>42978</v>
      </c>
      <c r="X3983" t="s">
        <v>47308</v>
      </c>
    </row>
    <row r="3984" spans="1:24">
      <c r="A3984">
        <f>HYPERLINK("https://www.philgeps.gov.ph/GEPSNONPILOT/Tender/SplashBidNoticeAbstractUI.aspx?menuIndex=3&amp;refID=7196374&amp;Result=3","7196374")</f>
        <v>0</v>
      </c>
      <c r="B3984" t="s">
        <v>974</v>
      </c>
      <c r="C3984" t="s">
        <v>7625</v>
      </c>
      <c r="D3984" t="s">
        <v>19037</v>
      </c>
      <c r="E3984" t="s">
        <v>22664</v>
      </c>
      <c r="F3984" t="s">
        <v>32606</v>
      </c>
      <c r="G3984" t="s">
        <v>32619</v>
      </c>
      <c r="H3984" t="s">
        <v>14201</v>
      </c>
      <c r="I3984" t="s">
        <v>32634</v>
      </c>
      <c r="J3984" t="s">
        <v>32949</v>
      </c>
      <c r="K3984" t="s">
        <v>42630</v>
      </c>
      <c r="M3984" t="s">
        <v>43920</v>
      </c>
      <c r="N3984" t="s">
        <v>47304</v>
      </c>
      <c r="O3984" t="s">
        <v>47305</v>
      </c>
      <c r="P3984">
        <v>0</v>
      </c>
      <c r="Q3984">
        <v>0</v>
      </c>
      <c r="R3984" t="s">
        <v>47306</v>
      </c>
      <c r="S3984" t="s">
        <v>47414</v>
      </c>
      <c r="T3984" t="s">
        <v>48986</v>
      </c>
      <c r="U3984" t="s">
        <v>52964</v>
      </c>
      <c r="W3984" t="s">
        <v>43920</v>
      </c>
      <c r="X3984" t="s">
        <v>47308</v>
      </c>
    </row>
    <row r="3985" spans="1:24">
      <c r="A3985">
        <f>HYPERLINK("https://www.philgeps.gov.ph/GEPSNONPILOT/Tender/SplashBidNoticeAbstractUI.aspx?menuIndex=3&amp;refID=7196372&amp;Result=3","7196372")</f>
        <v>0</v>
      </c>
      <c r="B3985" t="s">
        <v>1548</v>
      </c>
      <c r="C3985" t="s">
        <v>7626</v>
      </c>
      <c r="D3985" t="s">
        <v>19010</v>
      </c>
      <c r="E3985" t="s">
        <v>19462</v>
      </c>
      <c r="F3985" t="s">
        <v>32606</v>
      </c>
      <c r="G3985" t="s">
        <v>32613</v>
      </c>
      <c r="H3985" t="s">
        <v>32623</v>
      </c>
      <c r="I3985" t="s">
        <v>17648</v>
      </c>
      <c r="J3985" t="s">
        <v>35452</v>
      </c>
      <c r="K3985" t="s">
        <v>42668</v>
      </c>
      <c r="M3985" t="s">
        <v>44552</v>
      </c>
      <c r="N3985" t="s">
        <v>47304</v>
      </c>
      <c r="O3985" t="s">
        <v>47305</v>
      </c>
      <c r="P3985">
        <v>0</v>
      </c>
      <c r="Q3985">
        <v>0</v>
      </c>
      <c r="R3985" t="s">
        <v>47306</v>
      </c>
      <c r="S3985" t="s">
        <v>47414</v>
      </c>
      <c r="T3985" t="s">
        <v>49016</v>
      </c>
      <c r="U3985" t="s">
        <v>52965</v>
      </c>
      <c r="W3985" t="s">
        <v>44552</v>
      </c>
      <c r="X3985" t="s">
        <v>47308</v>
      </c>
    </row>
    <row r="3986" spans="1:24">
      <c r="A3986">
        <f>HYPERLINK("https://www.philgeps.gov.ph/GEPSNONPILOT/Tender/SplashBidNoticeAbstractUI.aspx?menuIndex=3&amp;refID=7196371&amp;Result=3","7196371")</f>
        <v>0</v>
      </c>
      <c r="B3986" t="s">
        <v>723</v>
      </c>
      <c r="C3986" t="s">
        <v>7627</v>
      </c>
      <c r="D3986" t="s">
        <v>18994</v>
      </c>
      <c r="E3986" t="s">
        <v>22665</v>
      </c>
      <c r="F3986" t="s">
        <v>32606</v>
      </c>
      <c r="G3986" t="s">
        <v>32614</v>
      </c>
      <c r="H3986" t="s">
        <v>14201</v>
      </c>
      <c r="I3986" t="s">
        <v>32640</v>
      </c>
      <c r="J3986" t="s">
        <v>35453</v>
      </c>
      <c r="K3986" t="s">
        <v>42630</v>
      </c>
      <c r="M3986" t="s">
        <v>43644</v>
      </c>
      <c r="N3986" t="s">
        <v>47304</v>
      </c>
      <c r="O3986" t="s">
        <v>47305</v>
      </c>
      <c r="P3986">
        <v>0</v>
      </c>
      <c r="Q3986">
        <v>2</v>
      </c>
      <c r="R3986" t="s">
        <v>47306</v>
      </c>
      <c r="S3986" t="s">
        <v>47414</v>
      </c>
      <c r="T3986" t="s">
        <v>49061</v>
      </c>
      <c r="U3986" t="s">
        <v>50845</v>
      </c>
      <c r="W3986" t="s">
        <v>43644</v>
      </c>
      <c r="X3986" t="s">
        <v>47308</v>
      </c>
    </row>
    <row r="3987" spans="1:24">
      <c r="A3987">
        <f>HYPERLINK("https://www.philgeps.gov.ph/GEPSNONPILOT/Tender/SplashBidNoticeAbstractUI.aspx?menuIndex=3&amp;refID=7196366&amp;Result=3","7196366")</f>
        <v>0</v>
      </c>
      <c r="B3987" t="s">
        <v>1360</v>
      </c>
      <c r="C3987" t="s">
        <v>7628</v>
      </c>
      <c r="D3987" t="s">
        <v>19042</v>
      </c>
      <c r="E3987" t="s">
        <v>22666</v>
      </c>
      <c r="F3987" t="s">
        <v>32606</v>
      </c>
      <c r="G3987" t="s">
        <v>32614</v>
      </c>
      <c r="H3987" t="s">
        <v>14201</v>
      </c>
      <c r="I3987" t="s">
        <v>7677</v>
      </c>
      <c r="J3987" t="s">
        <v>35454</v>
      </c>
      <c r="K3987" t="s">
        <v>42630</v>
      </c>
      <c r="M3987" t="s">
        <v>44336</v>
      </c>
      <c r="N3987" t="s">
        <v>47304</v>
      </c>
      <c r="O3987" t="s">
        <v>47305</v>
      </c>
      <c r="P3987">
        <v>0</v>
      </c>
      <c r="Q3987">
        <v>0</v>
      </c>
      <c r="R3987" t="s">
        <v>47306</v>
      </c>
      <c r="S3987" t="s">
        <v>47414</v>
      </c>
      <c r="T3987" t="s">
        <v>48980</v>
      </c>
      <c r="U3987" t="s">
        <v>52966</v>
      </c>
      <c r="W3987" t="s">
        <v>44336</v>
      </c>
      <c r="X3987" t="s">
        <v>47308</v>
      </c>
    </row>
    <row r="3988" spans="1:24">
      <c r="A3988">
        <f>HYPERLINK("https://www.philgeps.gov.ph/GEPSNONPILOT/Tender/SplashBidNoticeAbstractUI.aspx?menuIndex=3&amp;refID=7196369&amp;Result=3","7196369")</f>
        <v>0</v>
      </c>
      <c r="B3988" t="s">
        <v>678</v>
      </c>
      <c r="C3988" t="s">
        <v>7629</v>
      </c>
      <c r="D3988" t="s">
        <v>18999</v>
      </c>
      <c r="E3988" t="s">
        <v>22667</v>
      </c>
      <c r="F3988" t="s">
        <v>32606</v>
      </c>
      <c r="G3988" t="s">
        <v>32619</v>
      </c>
      <c r="H3988" t="s">
        <v>14201</v>
      </c>
      <c r="I3988" t="s">
        <v>4120</v>
      </c>
      <c r="J3988" t="s">
        <v>35455</v>
      </c>
      <c r="K3988" t="s">
        <v>42632</v>
      </c>
      <c r="M3988" t="s">
        <v>43598</v>
      </c>
      <c r="N3988" t="s">
        <v>47304</v>
      </c>
      <c r="O3988" t="s">
        <v>47305</v>
      </c>
      <c r="P3988">
        <v>0</v>
      </c>
      <c r="Q3988">
        <v>1</v>
      </c>
      <c r="R3988" t="s">
        <v>47306</v>
      </c>
      <c r="S3988" t="s">
        <v>47414</v>
      </c>
      <c r="T3988" t="s">
        <v>49053</v>
      </c>
      <c r="U3988" t="s">
        <v>52967</v>
      </c>
      <c r="W3988" t="s">
        <v>43598</v>
      </c>
      <c r="X3988" t="s">
        <v>47308</v>
      </c>
    </row>
    <row r="3989" spans="1:24">
      <c r="A3989">
        <f>HYPERLINK("https://www.philgeps.gov.ph/GEPSNONPILOT/Tender/SplashBidNoticeAbstractUI.aspx?menuIndex=3&amp;refID=7196368&amp;Result=3","7196368")</f>
        <v>0</v>
      </c>
      <c r="B3989" t="s">
        <v>1549</v>
      </c>
      <c r="C3989" t="s">
        <v>7630</v>
      </c>
      <c r="D3989" t="s">
        <v>19014</v>
      </c>
      <c r="E3989" t="s">
        <v>22533</v>
      </c>
      <c r="F3989" t="s">
        <v>32606</v>
      </c>
      <c r="G3989" t="s">
        <v>32613</v>
      </c>
      <c r="H3989" t="s">
        <v>14201</v>
      </c>
      <c r="I3989" t="s">
        <v>6931</v>
      </c>
      <c r="J3989" t="s">
        <v>35456</v>
      </c>
      <c r="K3989" t="s">
        <v>42631</v>
      </c>
      <c r="M3989" t="s">
        <v>44553</v>
      </c>
      <c r="N3989" t="s">
        <v>47304</v>
      </c>
      <c r="O3989" t="s">
        <v>47305</v>
      </c>
      <c r="P3989">
        <v>0</v>
      </c>
      <c r="Q3989">
        <v>0</v>
      </c>
      <c r="R3989" t="s">
        <v>47306</v>
      </c>
      <c r="S3989" t="s">
        <v>47414</v>
      </c>
      <c r="T3989" t="s">
        <v>48986</v>
      </c>
      <c r="U3989" t="s">
        <v>52924</v>
      </c>
      <c r="W3989" t="s">
        <v>44553</v>
      </c>
      <c r="X3989" t="s">
        <v>47308</v>
      </c>
    </row>
    <row r="3990" spans="1:24">
      <c r="A3990">
        <f>HYPERLINK("https://www.philgeps.gov.ph/GEPSNONPILOT/Tender/SplashBidNoticeAbstractUI.aspx?menuIndex=3&amp;refID=7196379&amp;Result=3","7196379")</f>
        <v>0</v>
      </c>
      <c r="B3990" t="s">
        <v>1550</v>
      </c>
      <c r="C3990" t="s">
        <v>7631</v>
      </c>
      <c r="D3990" t="s">
        <v>19049</v>
      </c>
      <c r="E3990" t="s">
        <v>22668</v>
      </c>
      <c r="F3990" t="s">
        <v>32606</v>
      </c>
      <c r="G3990" t="s">
        <v>32613</v>
      </c>
      <c r="H3990" t="s">
        <v>14201</v>
      </c>
      <c r="I3990" t="s">
        <v>32638</v>
      </c>
      <c r="J3990" t="s">
        <v>35457</v>
      </c>
      <c r="K3990" t="s">
        <v>42623</v>
      </c>
      <c r="M3990" t="s">
        <v>44554</v>
      </c>
      <c r="N3990" t="s">
        <v>47304</v>
      </c>
      <c r="O3990" t="s">
        <v>47305</v>
      </c>
      <c r="P3990">
        <v>0</v>
      </c>
      <c r="Q3990">
        <v>6</v>
      </c>
      <c r="R3990" t="s">
        <v>47306</v>
      </c>
      <c r="S3990" t="s">
        <v>47414</v>
      </c>
      <c r="T3990" t="s">
        <v>49056</v>
      </c>
      <c r="U3990" t="s">
        <v>52968</v>
      </c>
      <c r="W3990" t="s">
        <v>44554</v>
      </c>
      <c r="X3990" t="s">
        <v>47308</v>
      </c>
    </row>
    <row r="3991" spans="1:24">
      <c r="A3991">
        <f>HYPERLINK("https://www.philgeps.gov.ph/GEPSNONPILOT/Tender/SplashBidNoticeAbstractUI.aspx?menuIndex=3&amp;refID=7196373&amp;Result=3","7196373")</f>
        <v>0</v>
      </c>
      <c r="B3991" t="s">
        <v>296</v>
      </c>
      <c r="C3991" t="s">
        <v>7632</v>
      </c>
      <c r="D3991" t="s">
        <v>19038</v>
      </c>
      <c r="E3991" t="s">
        <v>22669</v>
      </c>
      <c r="F3991" t="s">
        <v>32606</v>
      </c>
      <c r="G3991" t="s">
        <v>32613</v>
      </c>
      <c r="H3991" t="s">
        <v>14201</v>
      </c>
      <c r="I3991" t="s">
        <v>4114</v>
      </c>
      <c r="J3991" t="s">
        <v>35458</v>
      </c>
      <c r="K3991" t="s">
        <v>42624</v>
      </c>
      <c r="M3991" t="s">
        <v>43198</v>
      </c>
      <c r="N3991" t="s">
        <v>47304</v>
      </c>
      <c r="O3991" t="s">
        <v>47305</v>
      </c>
      <c r="P3991">
        <v>0</v>
      </c>
      <c r="Q3991">
        <v>0</v>
      </c>
      <c r="R3991" t="s">
        <v>47306</v>
      </c>
      <c r="S3991" t="s">
        <v>47414</v>
      </c>
      <c r="T3991" t="s">
        <v>49017</v>
      </c>
      <c r="U3991" t="s">
        <v>50103</v>
      </c>
      <c r="W3991" t="s">
        <v>43198</v>
      </c>
      <c r="X3991" t="s">
        <v>47308</v>
      </c>
    </row>
    <row r="3992" spans="1:24">
      <c r="A3992">
        <f>HYPERLINK("https://www.philgeps.gov.ph/GEPSNONPILOT/Tender/SplashBidNoticeAbstractUI.aspx?menuIndex=3&amp;refID=7196390&amp;Result=3","7196390")</f>
        <v>0</v>
      </c>
      <c r="B3992" t="s">
        <v>268</v>
      </c>
      <c r="C3992" t="s">
        <v>7633</v>
      </c>
      <c r="D3992" t="s">
        <v>18993</v>
      </c>
      <c r="E3992" t="s">
        <v>22670</v>
      </c>
      <c r="F3992" t="s">
        <v>32606</v>
      </c>
      <c r="G3992" t="s">
        <v>32614</v>
      </c>
      <c r="H3992" t="s">
        <v>32624</v>
      </c>
      <c r="I3992" t="s">
        <v>32728</v>
      </c>
      <c r="J3992" t="s">
        <v>32995</v>
      </c>
      <c r="K3992" t="s">
        <v>42631</v>
      </c>
      <c r="M3992" t="s">
        <v>43169</v>
      </c>
      <c r="N3992" t="s">
        <v>47304</v>
      </c>
      <c r="O3992" t="s">
        <v>47305</v>
      </c>
      <c r="P3992">
        <v>0</v>
      </c>
      <c r="Q3992">
        <v>2</v>
      </c>
      <c r="R3992" t="s">
        <v>47306</v>
      </c>
      <c r="S3992" t="s">
        <v>47414</v>
      </c>
      <c r="T3992" t="s">
        <v>49014</v>
      </c>
      <c r="U3992" t="s">
        <v>52969</v>
      </c>
      <c r="W3992" t="s">
        <v>43169</v>
      </c>
      <c r="X3992" t="s">
        <v>47308</v>
      </c>
    </row>
    <row r="3993" spans="1:24">
      <c r="A3993">
        <f>HYPERLINK("https://www.philgeps.gov.ph/GEPSNONPILOT/Tender/SplashBidNoticeAbstractUI.aspx?menuIndex=3&amp;refID=7196387&amp;Result=3","7196387")</f>
        <v>0</v>
      </c>
      <c r="B3993" t="s">
        <v>1551</v>
      </c>
      <c r="C3993" t="s">
        <v>7634</v>
      </c>
      <c r="D3993" t="s">
        <v>19046</v>
      </c>
      <c r="E3993" t="s">
        <v>22671</v>
      </c>
      <c r="F3993" t="s">
        <v>32606</v>
      </c>
      <c r="G3993" t="s">
        <v>32614</v>
      </c>
      <c r="H3993" t="s">
        <v>14201</v>
      </c>
      <c r="I3993" t="s">
        <v>32629</v>
      </c>
      <c r="J3993" t="s">
        <v>35459</v>
      </c>
      <c r="K3993" t="s">
        <v>42623</v>
      </c>
      <c r="M3993" t="s">
        <v>44555</v>
      </c>
      <c r="N3993" t="s">
        <v>47304</v>
      </c>
      <c r="O3993" t="s">
        <v>47305</v>
      </c>
      <c r="P3993">
        <v>0</v>
      </c>
      <c r="Q3993">
        <v>0</v>
      </c>
      <c r="R3993" t="s">
        <v>47306</v>
      </c>
      <c r="S3993" t="s">
        <v>47414</v>
      </c>
      <c r="T3993" t="s">
        <v>48980</v>
      </c>
      <c r="U3993" t="s">
        <v>52970</v>
      </c>
      <c r="W3993" t="s">
        <v>44555</v>
      </c>
      <c r="X3993" t="s">
        <v>47308</v>
      </c>
    </row>
    <row r="3994" spans="1:24">
      <c r="A3994">
        <f>HYPERLINK("https://www.philgeps.gov.ph/GEPSNONPILOT/Tender/SplashBidNoticeAbstractUI.aspx?menuIndex=3&amp;refID=7196385&amp;Result=3","7196385")</f>
        <v>0</v>
      </c>
      <c r="B3994" t="s">
        <v>984</v>
      </c>
      <c r="C3994" t="s">
        <v>7613</v>
      </c>
      <c r="D3994" t="s">
        <v>19039</v>
      </c>
      <c r="E3994" t="s">
        <v>22672</v>
      </c>
      <c r="F3994" t="s">
        <v>32606</v>
      </c>
      <c r="G3994" t="s">
        <v>32614</v>
      </c>
      <c r="H3994" t="s">
        <v>14201</v>
      </c>
      <c r="I3994" t="s">
        <v>6993</v>
      </c>
      <c r="J3994" t="s">
        <v>33274</v>
      </c>
      <c r="K3994" t="s">
        <v>42625</v>
      </c>
      <c r="L3994" t="s">
        <v>984</v>
      </c>
      <c r="M3994" t="s">
        <v>43930</v>
      </c>
      <c r="N3994" t="s">
        <v>47304</v>
      </c>
      <c r="O3994" t="s">
        <v>47305</v>
      </c>
      <c r="P3994">
        <v>0</v>
      </c>
      <c r="Q3994">
        <v>0</v>
      </c>
      <c r="R3994" t="s">
        <v>47306</v>
      </c>
      <c r="S3994" t="s">
        <v>47414</v>
      </c>
      <c r="T3994" t="s">
        <v>48971</v>
      </c>
      <c r="U3994" t="s">
        <v>52971</v>
      </c>
      <c r="W3994" t="s">
        <v>43930</v>
      </c>
      <c r="X3994" t="s">
        <v>47308</v>
      </c>
    </row>
    <row r="3995" spans="1:24">
      <c r="A3995">
        <f>HYPERLINK("https://www.philgeps.gov.ph/GEPSNONPILOT/Tender/SplashBidNoticeAbstractUI.aspx?menuIndex=3&amp;refID=7196384&amp;Result=3","7196384")</f>
        <v>0</v>
      </c>
      <c r="B3995" t="s">
        <v>1552</v>
      </c>
      <c r="C3995" t="s">
        <v>7635</v>
      </c>
      <c r="D3995" t="s">
        <v>18988</v>
      </c>
      <c r="E3995" t="s">
        <v>22673</v>
      </c>
      <c r="F3995" t="s">
        <v>32607</v>
      </c>
      <c r="G3995" t="s">
        <v>32614</v>
      </c>
      <c r="H3995" t="s">
        <v>14201</v>
      </c>
      <c r="I3995" t="s">
        <v>32686</v>
      </c>
      <c r="J3995" t="s">
        <v>34423</v>
      </c>
      <c r="K3995" t="s">
        <v>42631</v>
      </c>
      <c r="M3995" t="s">
        <v>44556</v>
      </c>
      <c r="N3995" t="s">
        <v>47304</v>
      </c>
      <c r="O3995" t="s">
        <v>47305</v>
      </c>
      <c r="P3995">
        <v>0</v>
      </c>
      <c r="Q3995">
        <v>1</v>
      </c>
      <c r="R3995" t="s">
        <v>47306</v>
      </c>
      <c r="S3995" t="s">
        <v>47414</v>
      </c>
      <c r="T3995" t="s">
        <v>49028</v>
      </c>
      <c r="U3995" t="s">
        <v>52972</v>
      </c>
      <c r="W3995" t="s">
        <v>44556</v>
      </c>
      <c r="X3995" t="s">
        <v>47308</v>
      </c>
    </row>
    <row r="3996" spans="1:24">
      <c r="A3996">
        <f>HYPERLINK("https://www.philgeps.gov.ph/GEPSNONPILOT/Tender/SplashBidNoticeAbstractUI.aspx?menuIndex=3&amp;refID=7196389&amp;Result=3","7196389")</f>
        <v>0</v>
      </c>
      <c r="B3996" t="s">
        <v>1398</v>
      </c>
      <c r="C3996" t="s">
        <v>7636</v>
      </c>
      <c r="D3996" t="s">
        <v>19016</v>
      </c>
      <c r="E3996" t="s">
        <v>21964</v>
      </c>
      <c r="F3996" t="s">
        <v>32606</v>
      </c>
      <c r="G3996" t="s">
        <v>32614</v>
      </c>
      <c r="H3996" t="s">
        <v>14201</v>
      </c>
      <c r="I3996" t="s">
        <v>32650</v>
      </c>
      <c r="J3996" t="s">
        <v>32981</v>
      </c>
      <c r="K3996" t="s">
        <v>42623</v>
      </c>
      <c r="M3996" t="s">
        <v>44382</v>
      </c>
      <c r="N3996" t="s">
        <v>47304</v>
      </c>
      <c r="O3996" t="s">
        <v>47305</v>
      </c>
      <c r="P3996">
        <v>0</v>
      </c>
      <c r="Q3996">
        <v>1</v>
      </c>
      <c r="R3996" t="s">
        <v>47306</v>
      </c>
      <c r="S3996" t="s">
        <v>47414</v>
      </c>
      <c r="T3996" t="s">
        <v>48977</v>
      </c>
      <c r="U3996" t="s">
        <v>52973</v>
      </c>
      <c r="W3996" t="s">
        <v>44382</v>
      </c>
      <c r="X3996" t="s">
        <v>47308</v>
      </c>
    </row>
    <row r="3997" spans="1:24">
      <c r="A3997">
        <f>HYPERLINK("https://www.philgeps.gov.ph/GEPSNONPILOT/Tender/SplashBidNoticeAbstractUI.aspx?menuIndex=3&amp;refID=7196391&amp;Result=3","7196391")</f>
        <v>0</v>
      </c>
      <c r="B3997" t="s">
        <v>61</v>
      </c>
      <c r="C3997" t="s">
        <v>7637</v>
      </c>
      <c r="D3997" t="s">
        <v>19012</v>
      </c>
      <c r="E3997" t="s">
        <v>19841</v>
      </c>
      <c r="F3997" t="s">
        <v>32606</v>
      </c>
      <c r="G3997" t="s">
        <v>32619</v>
      </c>
      <c r="H3997" t="s">
        <v>14201</v>
      </c>
      <c r="I3997" t="s">
        <v>32655</v>
      </c>
      <c r="J3997" t="s">
        <v>35460</v>
      </c>
      <c r="K3997" t="s">
        <v>42622</v>
      </c>
      <c r="M3997" t="s">
        <v>42958</v>
      </c>
      <c r="N3997" t="s">
        <v>47304</v>
      </c>
      <c r="O3997" t="s">
        <v>47305</v>
      </c>
      <c r="P3997">
        <v>0</v>
      </c>
      <c r="Q3997">
        <v>2</v>
      </c>
      <c r="R3997" t="s">
        <v>47306</v>
      </c>
      <c r="S3997" t="s">
        <v>47414</v>
      </c>
      <c r="T3997" t="s">
        <v>48980</v>
      </c>
      <c r="U3997" t="s">
        <v>52974</v>
      </c>
      <c r="V3997" t="s">
        <v>63047</v>
      </c>
      <c r="W3997" t="s">
        <v>42958</v>
      </c>
      <c r="X3997" t="s">
        <v>47308</v>
      </c>
    </row>
    <row r="3998" spans="1:24">
      <c r="A3998">
        <f>HYPERLINK("https://www.philgeps.gov.ph/GEPSNONPILOT/Tender/SplashBidNoticeAbstractUI.aspx?menuIndex=3&amp;refID=7196383&amp;Result=3","7196383")</f>
        <v>0</v>
      </c>
      <c r="B3998" t="s">
        <v>238</v>
      </c>
      <c r="C3998" t="s">
        <v>7638</v>
      </c>
      <c r="D3998" t="s">
        <v>18993</v>
      </c>
      <c r="E3998" t="s">
        <v>22674</v>
      </c>
      <c r="F3998" t="s">
        <v>32606</v>
      </c>
      <c r="G3998" t="s">
        <v>32619</v>
      </c>
      <c r="H3998" t="s">
        <v>14201</v>
      </c>
      <c r="I3998" t="s">
        <v>32683</v>
      </c>
      <c r="J3998" t="s">
        <v>34338</v>
      </c>
      <c r="K3998" t="s">
        <v>42622</v>
      </c>
      <c r="M3998" t="s">
        <v>43357</v>
      </c>
      <c r="N3998" t="s">
        <v>47304</v>
      </c>
      <c r="O3998" t="s">
        <v>47305</v>
      </c>
      <c r="P3998">
        <v>0</v>
      </c>
      <c r="Q3998">
        <v>2</v>
      </c>
      <c r="R3998" t="s">
        <v>47306</v>
      </c>
      <c r="S3998" t="s">
        <v>47414</v>
      </c>
      <c r="T3998" t="s">
        <v>49123</v>
      </c>
      <c r="U3998" t="s">
        <v>52975</v>
      </c>
      <c r="V3998" t="s">
        <v>62749</v>
      </c>
      <c r="W3998" t="s">
        <v>43357</v>
      </c>
      <c r="X3998" t="s">
        <v>47308</v>
      </c>
    </row>
    <row r="3999" spans="1:24">
      <c r="A3999">
        <f>HYPERLINK("https://www.philgeps.gov.ph/GEPSNONPILOT/Tender/SplashBidNoticeAbstractUI.aspx?menuIndex=3&amp;refID=7196407&amp;Result=3","7196407")</f>
        <v>0</v>
      </c>
      <c r="B3999" t="s">
        <v>1508</v>
      </c>
      <c r="C3999" t="s">
        <v>7639</v>
      </c>
      <c r="D3999" t="s">
        <v>19016</v>
      </c>
      <c r="E3999" t="s">
        <v>22675</v>
      </c>
      <c r="F3999" t="s">
        <v>32606</v>
      </c>
      <c r="G3999" t="s">
        <v>32617</v>
      </c>
      <c r="H3999" t="s">
        <v>14201</v>
      </c>
      <c r="I3999" t="s">
        <v>4120</v>
      </c>
      <c r="J3999" t="s">
        <v>35461</v>
      </c>
      <c r="K3999" t="s">
        <v>42623</v>
      </c>
      <c r="L3999" t="s">
        <v>1508</v>
      </c>
      <c r="M3999" t="s">
        <v>44506</v>
      </c>
      <c r="N3999" t="s">
        <v>47304</v>
      </c>
      <c r="O3999" t="s">
        <v>47305</v>
      </c>
      <c r="P3999">
        <v>0</v>
      </c>
      <c r="Q3999">
        <v>0</v>
      </c>
      <c r="R3999" t="s">
        <v>47306</v>
      </c>
      <c r="S3999" t="s">
        <v>47414</v>
      </c>
      <c r="T3999" t="s">
        <v>48976</v>
      </c>
      <c r="U3999" t="s">
        <v>52976</v>
      </c>
      <c r="W3999" t="s">
        <v>44506</v>
      </c>
      <c r="X3999" t="s">
        <v>47308</v>
      </c>
    </row>
    <row r="4000" spans="1:24">
      <c r="A4000">
        <f>HYPERLINK("https://www.philgeps.gov.ph/GEPSNONPILOT/Tender/SplashBidNoticeAbstractUI.aspx?menuIndex=3&amp;refID=7196406&amp;Result=3","7196406")</f>
        <v>0</v>
      </c>
      <c r="B4000" t="s">
        <v>1553</v>
      </c>
      <c r="C4000" t="s">
        <v>7640</v>
      </c>
      <c r="D4000" t="s">
        <v>18993</v>
      </c>
      <c r="E4000" t="s">
        <v>22676</v>
      </c>
      <c r="F4000" t="s">
        <v>32606</v>
      </c>
      <c r="G4000" t="s">
        <v>32613</v>
      </c>
      <c r="H4000" t="s">
        <v>14201</v>
      </c>
      <c r="I4000" t="s">
        <v>6298</v>
      </c>
      <c r="J4000" t="s">
        <v>35462</v>
      </c>
      <c r="K4000" t="s">
        <v>42632</v>
      </c>
      <c r="M4000" t="s">
        <v>44557</v>
      </c>
      <c r="N4000" t="s">
        <v>47304</v>
      </c>
      <c r="O4000" t="s">
        <v>47305</v>
      </c>
      <c r="P4000">
        <v>0</v>
      </c>
      <c r="Q4000">
        <v>4</v>
      </c>
      <c r="R4000" t="s">
        <v>47306</v>
      </c>
      <c r="S4000" t="s">
        <v>47414</v>
      </c>
      <c r="T4000" t="s">
        <v>48996</v>
      </c>
      <c r="U4000" t="s">
        <v>52977</v>
      </c>
      <c r="V4000" t="s">
        <v>63048</v>
      </c>
      <c r="W4000" t="s">
        <v>44557</v>
      </c>
      <c r="X4000" t="s">
        <v>47308</v>
      </c>
    </row>
    <row r="4001" spans="1:24">
      <c r="A4001">
        <f>HYPERLINK("https://www.philgeps.gov.ph/GEPSNONPILOT/Tender/SplashBidNoticeAbstractUI.aspx?menuIndex=3&amp;refID=7196402&amp;Result=3","7196402")</f>
        <v>0</v>
      </c>
      <c r="B4001" t="s">
        <v>1554</v>
      </c>
      <c r="C4001" t="s">
        <v>7641</v>
      </c>
      <c r="D4001" t="s">
        <v>18993</v>
      </c>
      <c r="E4001" t="s">
        <v>22677</v>
      </c>
      <c r="F4001" t="s">
        <v>32606</v>
      </c>
      <c r="G4001" t="s">
        <v>32619</v>
      </c>
      <c r="H4001" t="s">
        <v>14201</v>
      </c>
      <c r="I4001" t="s">
        <v>4114</v>
      </c>
      <c r="J4001" t="s">
        <v>32811</v>
      </c>
      <c r="K4001" t="s">
        <v>42630</v>
      </c>
      <c r="M4001" t="s">
        <v>44558</v>
      </c>
      <c r="N4001" t="s">
        <v>47304</v>
      </c>
      <c r="O4001" t="s">
        <v>47305</v>
      </c>
      <c r="P4001">
        <v>0</v>
      </c>
      <c r="Q4001">
        <v>6</v>
      </c>
      <c r="R4001" t="s">
        <v>47306</v>
      </c>
      <c r="S4001" t="s">
        <v>47414</v>
      </c>
      <c r="T4001" t="s">
        <v>49019</v>
      </c>
      <c r="U4001" t="s">
        <v>52978</v>
      </c>
      <c r="W4001" t="s">
        <v>44558</v>
      </c>
      <c r="X4001" t="s">
        <v>47308</v>
      </c>
    </row>
    <row r="4002" spans="1:24">
      <c r="A4002">
        <f>HYPERLINK("https://www.philgeps.gov.ph/GEPSNONPILOT/Tender/SplashBidNoticeAbstractUI.aspx?menuIndex=3&amp;refID=7196400&amp;Result=3","7196400")</f>
        <v>0</v>
      </c>
      <c r="B4002" t="s">
        <v>439</v>
      </c>
      <c r="C4002" t="s">
        <v>4670</v>
      </c>
      <c r="D4002" t="s">
        <v>19054</v>
      </c>
      <c r="E4002" t="s">
        <v>19875</v>
      </c>
      <c r="F4002" t="s">
        <v>32606</v>
      </c>
      <c r="G4002" t="s">
        <v>32619</v>
      </c>
      <c r="H4002" t="s">
        <v>14201</v>
      </c>
      <c r="I4002" t="s">
        <v>4678</v>
      </c>
      <c r="J4002" t="s">
        <v>35463</v>
      </c>
      <c r="K4002" t="s">
        <v>42631</v>
      </c>
      <c r="M4002" t="s">
        <v>43346</v>
      </c>
      <c r="N4002" t="s">
        <v>47304</v>
      </c>
      <c r="O4002" t="s">
        <v>47305</v>
      </c>
      <c r="P4002">
        <v>0</v>
      </c>
      <c r="Q4002">
        <v>1</v>
      </c>
      <c r="R4002" t="s">
        <v>47306</v>
      </c>
      <c r="S4002" t="s">
        <v>47414</v>
      </c>
      <c r="T4002" t="s">
        <v>49050</v>
      </c>
      <c r="U4002" t="s">
        <v>52979</v>
      </c>
      <c r="W4002" t="s">
        <v>43346</v>
      </c>
      <c r="X4002" t="s">
        <v>47308</v>
      </c>
    </row>
    <row r="4003" spans="1:24">
      <c r="A4003">
        <f>HYPERLINK("https://www.philgeps.gov.ph/GEPSNONPILOT/Tender/SplashBidNoticeAbstractUI.aspx?menuIndex=3&amp;refID=7196382&amp;Result=3","7196382")</f>
        <v>0</v>
      </c>
      <c r="B4003" t="s">
        <v>1520</v>
      </c>
      <c r="C4003" t="s">
        <v>7642</v>
      </c>
      <c r="D4003" t="s">
        <v>18988</v>
      </c>
      <c r="E4003" t="s">
        <v>22678</v>
      </c>
      <c r="F4003" t="s">
        <v>32606</v>
      </c>
      <c r="G4003" t="s">
        <v>32614</v>
      </c>
      <c r="H4003" t="s">
        <v>14201</v>
      </c>
      <c r="I4003" t="s">
        <v>7577</v>
      </c>
      <c r="J4003" t="s">
        <v>35464</v>
      </c>
      <c r="K4003" t="s">
        <v>42631</v>
      </c>
      <c r="M4003" t="s">
        <v>44521</v>
      </c>
      <c r="N4003" t="s">
        <v>47304</v>
      </c>
      <c r="O4003" t="s">
        <v>47305</v>
      </c>
      <c r="P4003">
        <v>0</v>
      </c>
      <c r="Q4003">
        <v>2</v>
      </c>
      <c r="R4003" t="s">
        <v>47306</v>
      </c>
      <c r="S4003" t="s">
        <v>47414</v>
      </c>
      <c r="T4003" t="s">
        <v>48980</v>
      </c>
      <c r="U4003" t="s">
        <v>52886</v>
      </c>
      <c r="V4003" t="s">
        <v>63039</v>
      </c>
      <c r="W4003" t="s">
        <v>44521</v>
      </c>
      <c r="X4003" t="s">
        <v>47308</v>
      </c>
    </row>
    <row r="4004" spans="1:24">
      <c r="A4004">
        <f>HYPERLINK("https://www.philgeps.gov.ph/GEPSNONPILOT/Tender/SplashBidNoticeAbstractUI.aspx?menuIndex=3&amp;refID=7196399&amp;Result=3","7196399")</f>
        <v>0</v>
      </c>
      <c r="B4004" t="s">
        <v>1535</v>
      </c>
      <c r="C4004" t="s">
        <v>7643</v>
      </c>
      <c r="D4004" t="s">
        <v>18993</v>
      </c>
      <c r="E4004" t="s">
        <v>22679</v>
      </c>
      <c r="F4004" t="s">
        <v>32606</v>
      </c>
      <c r="G4004" t="s">
        <v>32613</v>
      </c>
      <c r="H4004" t="s">
        <v>32624</v>
      </c>
      <c r="I4004" t="s">
        <v>32675</v>
      </c>
      <c r="J4004" t="s">
        <v>34709</v>
      </c>
      <c r="K4004" t="s">
        <v>42623</v>
      </c>
      <c r="M4004" t="s">
        <v>44539</v>
      </c>
      <c r="N4004" t="s">
        <v>47304</v>
      </c>
      <c r="O4004" t="s">
        <v>47305</v>
      </c>
      <c r="P4004">
        <v>0</v>
      </c>
      <c r="Q4004">
        <v>0</v>
      </c>
      <c r="R4004" t="s">
        <v>47306</v>
      </c>
      <c r="S4004" t="s">
        <v>47414</v>
      </c>
      <c r="T4004" t="s">
        <v>48990</v>
      </c>
      <c r="U4004" t="s">
        <v>52980</v>
      </c>
      <c r="W4004" t="s">
        <v>44539</v>
      </c>
      <c r="X4004" t="s">
        <v>47308</v>
      </c>
    </row>
    <row r="4005" spans="1:24">
      <c r="A4005">
        <f>HYPERLINK("https://www.philgeps.gov.ph/GEPSNONPILOT/Tender/SplashBidNoticeAbstractUI.aspx?menuIndex=3&amp;refID=7196392&amp;Result=3","7196392")</f>
        <v>0</v>
      </c>
      <c r="B4005" t="s">
        <v>145</v>
      </c>
      <c r="C4005" t="s">
        <v>7644</v>
      </c>
      <c r="D4005" t="s">
        <v>19033</v>
      </c>
      <c r="E4005" t="s">
        <v>19339</v>
      </c>
      <c r="F4005" t="s">
        <v>32606</v>
      </c>
      <c r="G4005" t="s">
        <v>32613</v>
      </c>
      <c r="H4005" t="s">
        <v>32623</v>
      </c>
      <c r="I4005" t="s">
        <v>32659</v>
      </c>
      <c r="J4005" t="s">
        <v>32981</v>
      </c>
      <c r="K4005" t="s">
        <v>42631</v>
      </c>
      <c r="M4005" t="s">
        <v>43046</v>
      </c>
      <c r="N4005" t="s">
        <v>47304</v>
      </c>
      <c r="O4005" t="s">
        <v>47305</v>
      </c>
      <c r="P4005">
        <v>0</v>
      </c>
      <c r="Q4005">
        <v>0</v>
      </c>
      <c r="R4005" t="s">
        <v>47306</v>
      </c>
      <c r="S4005" t="s">
        <v>47414</v>
      </c>
      <c r="T4005" t="s">
        <v>49028</v>
      </c>
      <c r="U4005" t="s">
        <v>52981</v>
      </c>
      <c r="W4005" t="s">
        <v>43046</v>
      </c>
      <c r="X4005" t="s">
        <v>47308</v>
      </c>
    </row>
    <row r="4006" spans="1:24">
      <c r="A4006">
        <f>HYPERLINK("https://www.philgeps.gov.ph/GEPSNONPILOT/Tender/SplashBidNoticeAbstractUI.aspx?menuIndex=3&amp;refID=7196405&amp;Result=3","7196405")</f>
        <v>0</v>
      </c>
      <c r="B4006" t="s">
        <v>307</v>
      </c>
      <c r="C4006" t="s">
        <v>7645</v>
      </c>
      <c r="D4006" t="s">
        <v>19016</v>
      </c>
      <c r="E4006" t="s">
        <v>22680</v>
      </c>
      <c r="F4006" t="s">
        <v>32606</v>
      </c>
      <c r="G4006" t="s">
        <v>32619</v>
      </c>
      <c r="H4006" t="s">
        <v>14201</v>
      </c>
      <c r="I4006" t="s">
        <v>32633</v>
      </c>
      <c r="J4006" t="s">
        <v>35465</v>
      </c>
      <c r="K4006" t="s">
        <v>42623</v>
      </c>
      <c r="M4006" t="s">
        <v>43209</v>
      </c>
      <c r="N4006" t="s">
        <v>47304</v>
      </c>
      <c r="O4006" t="s">
        <v>47305</v>
      </c>
      <c r="P4006">
        <v>0</v>
      </c>
      <c r="Q4006">
        <v>10</v>
      </c>
      <c r="R4006" t="s">
        <v>47306</v>
      </c>
      <c r="S4006" t="s">
        <v>47414</v>
      </c>
      <c r="T4006" t="s">
        <v>48979</v>
      </c>
      <c r="U4006" t="s">
        <v>52982</v>
      </c>
      <c r="W4006" t="s">
        <v>43209</v>
      </c>
      <c r="X4006" t="s">
        <v>47308</v>
      </c>
    </row>
    <row r="4007" spans="1:24">
      <c r="A4007">
        <f>HYPERLINK("https://www.philgeps.gov.ph/GEPSNONPILOT/Tender/SplashBidNoticeAbstractUI.aspx?menuIndex=3&amp;refID=7196412&amp;Result=3","7196412")</f>
        <v>0</v>
      </c>
      <c r="B4007" t="s">
        <v>1555</v>
      </c>
      <c r="C4007" t="s">
        <v>7646</v>
      </c>
      <c r="D4007" t="s">
        <v>19034</v>
      </c>
      <c r="E4007" t="s">
        <v>22681</v>
      </c>
      <c r="F4007" t="s">
        <v>32606</v>
      </c>
      <c r="G4007" t="s">
        <v>32613</v>
      </c>
      <c r="H4007" t="s">
        <v>14201</v>
      </c>
      <c r="I4007" t="s">
        <v>32631</v>
      </c>
      <c r="J4007" t="s">
        <v>35466</v>
      </c>
      <c r="K4007" t="s">
        <v>42624</v>
      </c>
      <c r="M4007" t="s">
        <v>44559</v>
      </c>
      <c r="N4007" t="s">
        <v>47304</v>
      </c>
      <c r="O4007" t="s">
        <v>47305</v>
      </c>
      <c r="P4007">
        <v>0</v>
      </c>
      <c r="Q4007">
        <v>0</v>
      </c>
      <c r="R4007" t="s">
        <v>47306</v>
      </c>
      <c r="S4007" t="s">
        <v>47414</v>
      </c>
      <c r="T4007" t="s">
        <v>48976</v>
      </c>
      <c r="U4007" t="s">
        <v>52983</v>
      </c>
      <c r="W4007" t="s">
        <v>44559</v>
      </c>
      <c r="X4007" t="s">
        <v>47308</v>
      </c>
    </row>
    <row r="4008" spans="1:24">
      <c r="A4008">
        <f>HYPERLINK("https://www.philgeps.gov.ph/GEPSNONPILOT/Tender/SplashBidNoticeAbstractUI.aspx?menuIndex=3&amp;refID=7196381&amp;Result=3","7196381")</f>
        <v>0</v>
      </c>
      <c r="B4008" t="s">
        <v>1193</v>
      </c>
      <c r="C4008" t="s">
        <v>7647</v>
      </c>
      <c r="D4008" t="s">
        <v>19007</v>
      </c>
      <c r="E4008" t="s">
        <v>22682</v>
      </c>
      <c r="F4008" t="s">
        <v>32606</v>
      </c>
      <c r="G4008" t="s">
        <v>32613</v>
      </c>
      <c r="H4008" t="s">
        <v>14201</v>
      </c>
      <c r="I4008" t="s">
        <v>7677</v>
      </c>
      <c r="J4008" t="s">
        <v>35467</v>
      </c>
      <c r="K4008" t="s">
        <v>42624</v>
      </c>
      <c r="M4008" t="s">
        <v>44560</v>
      </c>
      <c r="N4008" t="s">
        <v>47304</v>
      </c>
      <c r="O4008" t="s">
        <v>47305</v>
      </c>
      <c r="P4008">
        <v>0</v>
      </c>
      <c r="Q4008">
        <v>1</v>
      </c>
      <c r="R4008" t="s">
        <v>47306</v>
      </c>
      <c r="S4008" t="s">
        <v>47414</v>
      </c>
      <c r="T4008" t="s">
        <v>49029</v>
      </c>
      <c r="U4008" t="s">
        <v>52984</v>
      </c>
      <c r="W4008" t="s">
        <v>44560</v>
      </c>
      <c r="X4008" t="s">
        <v>47308</v>
      </c>
    </row>
    <row r="4009" spans="1:24">
      <c r="A4009">
        <f>HYPERLINK("https://www.philgeps.gov.ph/GEPSNONPILOT/Tender/SplashBidNoticeAbstractUI.aspx?menuIndex=3&amp;refID=7196410&amp;Result=3","7196410")</f>
        <v>0</v>
      </c>
      <c r="B4009" t="s">
        <v>410</v>
      </c>
      <c r="C4009" t="s">
        <v>7648</v>
      </c>
      <c r="D4009" t="s">
        <v>18994</v>
      </c>
      <c r="E4009" t="s">
        <v>22683</v>
      </c>
      <c r="F4009" t="s">
        <v>32606</v>
      </c>
      <c r="G4009" t="s">
        <v>32614</v>
      </c>
      <c r="H4009" t="s">
        <v>14201</v>
      </c>
      <c r="I4009" t="s">
        <v>9013</v>
      </c>
      <c r="J4009" t="s">
        <v>32967</v>
      </c>
      <c r="K4009" t="s">
        <v>42629</v>
      </c>
      <c r="M4009" t="s">
        <v>43314</v>
      </c>
      <c r="N4009" t="s">
        <v>47304</v>
      </c>
      <c r="O4009" t="s">
        <v>47305</v>
      </c>
      <c r="P4009">
        <v>0</v>
      </c>
      <c r="Q4009">
        <v>1</v>
      </c>
      <c r="R4009" t="s">
        <v>47306</v>
      </c>
      <c r="S4009" t="s">
        <v>47414</v>
      </c>
      <c r="T4009" t="s">
        <v>49014</v>
      </c>
      <c r="U4009" t="s">
        <v>52985</v>
      </c>
      <c r="W4009" t="s">
        <v>43314</v>
      </c>
      <c r="X4009" t="s">
        <v>47308</v>
      </c>
    </row>
    <row r="4010" spans="1:24">
      <c r="A4010">
        <f>HYPERLINK("https://www.philgeps.gov.ph/GEPSNONPILOT/Tender/SplashBidNoticeAbstractUI.aspx?menuIndex=3&amp;refID=7196398&amp;Result=3","7196398")</f>
        <v>0</v>
      </c>
      <c r="B4010" t="s">
        <v>234</v>
      </c>
      <c r="C4010" t="s">
        <v>4229</v>
      </c>
      <c r="D4010" t="s">
        <v>19052</v>
      </c>
      <c r="E4010" t="s">
        <v>22684</v>
      </c>
      <c r="F4010" t="s">
        <v>32606</v>
      </c>
      <c r="G4010" t="s">
        <v>32614</v>
      </c>
      <c r="H4010" t="s">
        <v>14201</v>
      </c>
      <c r="I4010" t="s">
        <v>4678</v>
      </c>
      <c r="J4010" t="s">
        <v>35468</v>
      </c>
      <c r="K4010" t="s">
        <v>42631</v>
      </c>
      <c r="M4010" t="s">
        <v>43135</v>
      </c>
      <c r="N4010" t="s">
        <v>47304</v>
      </c>
      <c r="O4010" t="s">
        <v>47305</v>
      </c>
      <c r="P4010">
        <v>0</v>
      </c>
      <c r="Q4010">
        <v>3</v>
      </c>
      <c r="R4010" t="s">
        <v>47306</v>
      </c>
      <c r="S4010" t="s">
        <v>47414</v>
      </c>
      <c r="T4010" t="s">
        <v>49050</v>
      </c>
      <c r="U4010" t="s">
        <v>49952</v>
      </c>
      <c r="V4010" t="s">
        <v>62641</v>
      </c>
      <c r="W4010" t="s">
        <v>43135</v>
      </c>
      <c r="X4010" t="s">
        <v>47308</v>
      </c>
    </row>
    <row r="4011" spans="1:24">
      <c r="A4011">
        <f>HYPERLINK("https://www.philgeps.gov.ph/GEPSNONPILOT/Tender/SplashBidNoticeAbstractUI.aspx?menuIndex=3&amp;refID=7196408&amp;Result=3","7196408")</f>
        <v>0</v>
      </c>
      <c r="B4011" t="s">
        <v>1556</v>
      </c>
      <c r="C4011" t="s">
        <v>7649</v>
      </c>
      <c r="D4011" t="s">
        <v>19011</v>
      </c>
      <c r="E4011" t="s">
        <v>19315</v>
      </c>
      <c r="F4011" t="s">
        <v>32606</v>
      </c>
      <c r="G4011" t="s">
        <v>32613</v>
      </c>
      <c r="H4011" t="s">
        <v>14201</v>
      </c>
      <c r="I4011" t="s">
        <v>32661</v>
      </c>
      <c r="J4011" t="s">
        <v>35469</v>
      </c>
      <c r="K4011" t="s">
        <v>42624</v>
      </c>
      <c r="M4011" t="s">
        <v>44561</v>
      </c>
      <c r="N4011" t="s">
        <v>47304</v>
      </c>
      <c r="O4011" t="s">
        <v>47305</v>
      </c>
      <c r="P4011">
        <v>0</v>
      </c>
      <c r="Q4011">
        <v>0</v>
      </c>
      <c r="R4011" t="s">
        <v>47306</v>
      </c>
      <c r="S4011" t="s">
        <v>47414</v>
      </c>
      <c r="T4011" t="s">
        <v>49104</v>
      </c>
      <c r="U4011" t="s">
        <v>52986</v>
      </c>
      <c r="W4011" t="s">
        <v>44561</v>
      </c>
      <c r="X4011" t="s">
        <v>47308</v>
      </c>
    </row>
    <row r="4012" spans="1:24">
      <c r="A4012">
        <f>HYPERLINK("https://www.philgeps.gov.ph/GEPSNONPILOT/Tender/SplashBidNoticeAbstractUI.aspx?menuIndex=3&amp;refID=7196397&amp;Result=3","7196397")</f>
        <v>0</v>
      </c>
      <c r="B4012" t="s">
        <v>1545</v>
      </c>
      <c r="C4012" t="s">
        <v>7650</v>
      </c>
      <c r="D4012" t="s">
        <v>19056</v>
      </c>
      <c r="E4012" t="s">
        <v>22685</v>
      </c>
      <c r="F4012" t="s">
        <v>32606</v>
      </c>
      <c r="G4012" t="s">
        <v>32613</v>
      </c>
      <c r="H4012" t="s">
        <v>32623</v>
      </c>
      <c r="I4012" t="s">
        <v>17648</v>
      </c>
      <c r="J4012" t="s">
        <v>35470</v>
      </c>
      <c r="K4012" t="s">
        <v>42622</v>
      </c>
      <c r="M4012" t="s">
        <v>44549</v>
      </c>
      <c r="N4012" t="s">
        <v>47304</v>
      </c>
      <c r="O4012" t="s">
        <v>47305</v>
      </c>
      <c r="P4012">
        <v>0</v>
      </c>
      <c r="Q4012">
        <v>0</v>
      </c>
      <c r="R4012" t="s">
        <v>47306</v>
      </c>
      <c r="S4012" t="s">
        <v>47414</v>
      </c>
      <c r="T4012" t="s">
        <v>48976</v>
      </c>
      <c r="U4012" t="s">
        <v>52987</v>
      </c>
      <c r="W4012" t="s">
        <v>44549</v>
      </c>
      <c r="X4012" t="s">
        <v>47308</v>
      </c>
    </row>
    <row r="4013" spans="1:24">
      <c r="A4013">
        <f>HYPERLINK("https://www.philgeps.gov.ph/GEPSNONPILOT/Tender/SplashBidNoticeAbstractUI.aspx?menuIndex=3&amp;refID=7196396&amp;Result=3","7196396")</f>
        <v>0</v>
      </c>
      <c r="B4013" t="s">
        <v>527</v>
      </c>
      <c r="C4013" t="s">
        <v>4855</v>
      </c>
      <c r="D4013" t="s">
        <v>19018</v>
      </c>
      <c r="E4013" t="s">
        <v>22686</v>
      </c>
      <c r="F4013" t="s">
        <v>32606</v>
      </c>
      <c r="G4013" t="s">
        <v>32614</v>
      </c>
      <c r="H4013" t="s">
        <v>14201</v>
      </c>
      <c r="I4013" t="s">
        <v>32633</v>
      </c>
      <c r="J4013" t="s">
        <v>35471</v>
      </c>
      <c r="K4013" t="s">
        <v>42630</v>
      </c>
      <c r="M4013" t="s">
        <v>43440</v>
      </c>
      <c r="N4013" t="s">
        <v>47304</v>
      </c>
      <c r="O4013" t="s">
        <v>47305</v>
      </c>
      <c r="P4013">
        <v>0</v>
      </c>
      <c r="Q4013">
        <v>5</v>
      </c>
      <c r="R4013" t="s">
        <v>47306</v>
      </c>
      <c r="S4013" t="s">
        <v>47414</v>
      </c>
      <c r="T4013" t="s">
        <v>49050</v>
      </c>
      <c r="U4013" t="s">
        <v>52988</v>
      </c>
      <c r="W4013" t="s">
        <v>43440</v>
      </c>
      <c r="X4013" t="s">
        <v>47308</v>
      </c>
    </row>
    <row r="4014" spans="1:24">
      <c r="A4014">
        <f>HYPERLINK("https://www.philgeps.gov.ph/GEPSNONPILOT/Tender/SplashBidNoticeAbstractUI.aspx?menuIndex=3&amp;refID=7196377&amp;Result=3","7196377")</f>
        <v>0</v>
      </c>
      <c r="B4014" t="s">
        <v>1535</v>
      </c>
      <c r="C4014" t="s">
        <v>4359</v>
      </c>
      <c r="D4014" t="s">
        <v>18993</v>
      </c>
      <c r="E4014" t="s">
        <v>22687</v>
      </c>
      <c r="F4014" t="s">
        <v>32606</v>
      </c>
      <c r="G4014" t="s">
        <v>32617</v>
      </c>
      <c r="H4014" t="s">
        <v>14201</v>
      </c>
      <c r="I4014" t="s">
        <v>6931</v>
      </c>
      <c r="J4014" t="s">
        <v>35472</v>
      </c>
      <c r="K4014" t="s">
        <v>42623</v>
      </c>
      <c r="M4014" t="s">
        <v>44562</v>
      </c>
      <c r="N4014" t="s">
        <v>47304</v>
      </c>
      <c r="O4014" t="s">
        <v>47305</v>
      </c>
      <c r="P4014">
        <v>0</v>
      </c>
      <c r="Q4014">
        <v>2</v>
      </c>
      <c r="R4014" t="s">
        <v>47306</v>
      </c>
      <c r="S4014" t="s">
        <v>47414</v>
      </c>
      <c r="T4014" t="s">
        <v>49062</v>
      </c>
      <c r="U4014" t="s">
        <v>52989</v>
      </c>
      <c r="W4014" t="s">
        <v>44562</v>
      </c>
      <c r="X4014" t="s">
        <v>47308</v>
      </c>
    </row>
    <row r="4015" spans="1:24">
      <c r="A4015">
        <f>HYPERLINK("https://www.philgeps.gov.ph/GEPSNONPILOT/Tender/SplashBidNoticeAbstractUI.aspx?menuIndex=3&amp;refID=7196393&amp;Result=3","7196393")</f>
        <v>0</v>
      </c>
      <c r="B4015" t="s">
        <v>1504</v>
      </c>
      <c r="C4015" t="s">
        <v>7651</v>
      </c>
      <c r="D4015" t="s">
        <v>18993</v>
      </c>
      <c r="E4015" t="s">
        <v>22688</v>
      </c>
      <c r="F4015" t="s">
        <v>32606</v>
      </c>
      <c r="G4015" t="s">
        <v>32619</v>
      </c>
      <c r="H4015" t="s">
        <v>14201</v>
      </c>
      <c r="I4015" t="s">
        <v>32640</v>
      </c>
      <c r="J4015" t="s">
        <v>32981</v>
      </c>
      <c r="K4015" t="s">
        <v>42632</v>
      </c>
      <c r="M4015" t="s">
        <v>44501</v>
      </c>
      <c r="N4015" t="s">
        <v>47304</v>
      </c>
      <c r="O4015" t="s">
        <v>47305</v>
      </c>
      <c r="P4015">
        <v>0</v>
      </c>
      <c r="Q4015">
        <v>4</v>
      </c>
      <c r="R4015" t="s">
        <v>47306</v>
      </c>
      <c r="S4015" t="s">
        <v>47414</v>
      </c>
      <c r="T4015" t="s">
        <v>49014</v>
      </c>
      <c r="U4015" t="s">
        <v>52990</v>
      </c>
      <c r="W4015" t="s">
        <v>44501</v>
      </c>
      <c r="X4015" t="s">
        <v>47308</v>
      </c>
    </row>
    <row r="4016" spans="1:24">
      <c r="A4016">
        <f>HYPERLINK("https://www.philgeps.gov.ph/GEPSNONPILOT/Tender/SplashBidNoticeAbstractUI.aspx?menuIndex=3&amp;refID=7196411&amp;Result=3","7196411")</f>
        <v>0</v>
      </c>
      <c r="B4016" t="s">
        <v>692</v>
      </c>
      <c r="C4016" t="s">
        <v>7652</v>
      </c>
      <c r="D4016" t="s">
        <v>18992</v>
      </c>
      <c r="E4016" t="s">
        <v>20332</v>
      </c>
      <c r="F4016" t="s">
        <v>32606</v>
      </c>
      <c r="G4016" t="s">
        <v>32614</v>
      </c>
      <c r="H4016" t="s">
        <v>14201</v>
      </c>
      <c r="I4016" t="s">
        <v>9013</v>
      </c>
      <c r="J4016" t="s">
        <v>33840</v>
      </c>
      <c r="K4016" t="s">
        <v>42629</v>
      </c>
      <c r="M4016" t="s">
        <v>43613</v>
      </c>
      <c r="N4016" t="s">
        <v>47304</v>
      </c>
      <c r="O4016" t="s">
        <v>47305</v>
      </c>
      <c r="P4016">
        <v>0</v>
      </c>
      <c r="Q4016">
        <v>1</v>
      </c>
      <c r="R4016" t="s">
        <v>47306</v>
      </c>
      <c r="S4016" t="s">
        <v>47414</v>
      </c>
      <c r="T4016" t="s">
        <v>48980</v>
      </c>
      <c r="U4016" t="s">
        <v>52991</v>
      </c>
      <c r="W4016" t="s">
        <v>43613</v>
      </c>
      <c r="X4016" t="s">
        <v>47308</v>
      </c>
    </row>
    <row r="4017" spans="1:24">
      <c r="A4017">
        <f>HYPERLINK("https://www.philgeps.gov.ph/GEPSNONPILOT/Tender/SplashBidNoticeAbstractUI.aspx?menuIndex=3&amp;refID=7196404&amp;Result=3","7196404")</f>
        <v>0</v>
      </c>
      <c r="B4017" t="s">
        <v>1557</v>
      </c>
      <c r="C4017" t="s">
        <v>7653</v>
      </c>
      <c r="D4017" t="s">
        <v>19003</v>
      </c>
      <c r="E4017" t="s">
        <v>22689</v>
      </c>
      <c r="F4017" t="s">
        <v>32606</v>
      </c>
      <c r="G4017" t="s">
        <v>32614</v>
      </c>
      <c r="H4017" t="s">
        <v>14201</v>
      </c>
      <c r="I4017" t="s">
        <v>6931</v>
      </c>
      <c r="J4017" t="s">
        <v>35473</v>
      </c>
      <c r="K4017" t="s">
        <v>42624</v>
      </c>
      <c r="M4017" t="s">
        <v>44563</v>
      </c>
      <c r="N4017" t="s">
        <v>47304</v>
      </c>
      <c r="O4017" t="s">
        <v>47305</v>
      </c>
      <c r="P4017">
        <v>0</v>
      </c>
      <c r="Q4017">
        <v>0</v>
      </c>
      <c r="R4017" t="s">
        <v>47306</v>
      </c>
      <c r="S4017" t="s">
        <v>47414</v>
      </c>
      <c r="T4017" t="s">
        <v>48996</v>
      </c>
      <c r="U4017" t="s">
        <v>52992</v>
      </c>
      <c r="W4017" t="s">
        <v>44563</v>
      </c>
      <c r="X4017" t="s">
        <v>47308</v>
      </c>
    </row>
    <row r="4018" spans="1:24">
      <c r="A4018">
        <f>HYPERLINK("https://www.philgeps.gov.ph/GEPSNONPILOT/Tender/SplashBidNoticeAbstractUI.aspx?menuIndex=3&amp;refID=7196409&amp;Result=3","7196409")</f>
        <v>0</v>
      </c>
      <c r="B4018" t="s">
        <v>1558</v>
      </c>
      <c r="C4018" t="s">
        <v>7654</v>
      </c>
      <c r="D4018" t="s">
        <v>19014</v>
      </c>
      <c r="E4018" t="s">
        <v>22533</v>
      </c>
      <c r="F4018" t="s">
        <v>32606</v>
      </c>
      <c r="G4018" t="s">
        <v>32613</v>
      </c>
      <c r="H4018" t="s">
        <v>14201</v>
      </c>
      <c r="I4018" t="s">
        <v>6931</v>
      </c>
      <c r="J4018" t="s">
        <v>35474</v>
      </c>
      <c r="K4018" t="s">
        <v>42631</v>
      </c>
      <c r="M4018" t="s">
        <v>44564</v>
      </c>
      <c r="N4018" t="s">
        <v>47304</v>
      </c>
      <c r="O4018" t="s">
        <v>47305</v>
      </c>
      <c r="P4018">
        <v>0</v>
      </c>
      <c r="Q4018">
        <v>0</v>
      </c>
      <c r="R4018" t="s">
        <v>47306</v>
      </c>
      <c r="S4018" t="s">
        <v>47414</v>
      </c>
      <c r="T4018" t="s">
        <v>48986</v>
      </c>
      <c r="U4018" t="s">
        <v>52924</v>
      </c>
      <c r="W4018" t="s">
        <v>44564</v>
      </c>
      <c r="X4018" t="s">
        <v>47308</v>
      </c>
    </row>
    <row r="4019" spans="1:24">
      <c r="A4019">
        <f>HYPERLINK("https://www.philgeps.gov.ph/GEPSNONPILOT/Tender/SplashBidNoticeAbstractUI.aspx?menuIndex=3&amp;refID=7196428&amp;Result=3","7196428")</f>
        <v>0</v>
      </c>
      <c r="B4019" t="s">
        <v>65</v>
      </c>
      <c r="C4019" t="s">
        <v>7655</v>
      </c>
      <c r="D4019" t="s">
        <v>19015</v>
      </c>
      <c r="E4019" t="s">
        <v>22690</v>
      </c>
      <c r="F4019" t="s">
        <v>32606</v>
      </c>
      <c r="G4019" t="s">
        <v>32613</v>
      </c>
      <c r="H4019" t="s">
        <v>14201</v>
      </c>
      <c r="I4019" t="s">
        <v>6931</v>
      </c>
      <c r="J4019" t="s">
        <v>35475</v>
      </c>
      <c r="K4019" t="s">
        <v>42622</v>
      </c>
      <c r="M4019" t="s">
        <v>42962</v>
      </c>
      <c r="N4019" t="s">
        <v>47304</v>
      </c>
      <c r="O4019" t="s">
        <v>47305</v>
      </c>
      <c r="P4019">
        <v>0</v>
      </c>
      <c r="Q4019">
        <v>0</v>
      </c>
      <c r="R4019" t="s">
        <v>47306</v>
      </c>
      <c r="S4019" t="s">
        <v>47414</v>
      </c>
      <c r="T4019" t="s">
        <v>49002</v>
      </c>
      <c r="U4019" t="s">
        <v>52993</v>
      </c>
      <c r="W4019" t="s">
        <v>42962</v>
      </c>
      <c r="X4019" t="s">
        <v>47308</v>
      </c>
    </row>
    <row r="4020" spans="1:24">
      <c r="A4020">
        <f>HYPERLINK("https://www.philgeps.gov.ph/GEPSNONPILOT/Tender/SplashBidNoticeAbstractUI.aspx?menuIndex=3&amp;refID=7196378&amp;Result=3","7196378")</f>
        <v>0</v>
      </c>
      <c r="B4020" t="s">
        <v>1559</v>
      </c>
      <c r="C4020" t="s">
        <v>7656</v>
      </c>
      <c r="D4020" t="s">
        <v>19032</v>
      </c>
      <c r="E4020" t="s">
        <v>22691</v>
      </c>
      <c r="F4020" t="s">
        <v>32606</v>
      </c>
      <c r="G4020" t="s">
        <v>32614</v>
      </c>
      <c r="H4020" t="s">
        <v>14201</v>
      </c>
      <c r="I4020" t="s">
        <v>6007</v>
      </c>
      <c r="J4020" t="s">
        <v>35476</v>
      </c>
      <c r="K4020" t="s">
        <v>42624</v>
      </c>
      <c r="M4020" t="s">
        <v>44565</v>
      </c>
      <c r="N4020" t="s">
        <v>47304</v>
      </c>
      <c r="O4020" t="s">
        <v>47305</v>
      </c>
      <c r="P4020">
        <v>0</v>
      </c>
      <c r="Q4020">
        <v>0</v>
      </c>
      <c r="R4020" t="s">
        <v>47306</v>
      </c>
      <c r="S4020" t="s">
        <v>47414</v>
      </c>
      <c r="T4020" t="s">
        <v>49004</v>
      </c>
      <c r="U4020" t="s">
        <v>52994</v>
      </c>
      <c r="W4020" t="s">
        <v>44565</v>
      </c>
      <c r="X4020" t="s">
        <v>47308</v>
      </c>
    </row>
    <row r="4021" spans="1:24">
      <c r="A4021">
        <f>HYPERLINK("https://www.philgeps.gov.ph/GEPSNONPILOT/Tender/SplashBidNoticeAbstractUI.aspx?menuIndex=3&amp;refID=7196414&amp;Result=3","7196414")</f>
        <v>0</v>
      </c>
      <c r="B4021" t="s">
        <v>343</v>
      </c>
      <c r="C4021" t="s">
        <v>7657</v>
      </c>
      <c r="D4021" t="s">
        <v>18993</v>
      </c>
      <c r="E4021" t="s">
        <v>22692</v>
      </c>
      <c r="F4021" t="s">
        <v>32606</v>
      </c>
      <c r="G4021" t="s">
        <v>32614</v>
      </c>
      <c r="H4021" t="s">
        <v>14201</v>
      </c>
      <c r="I4021" t="s">
        <v>32694</v>
      </c>
      <c r="J4021" t="s">
        <v>35064</v>
      </c>
      <c r="K4021" t="s">
        <v>42624</v>
      </c>
      <c r="M4021" t="s">
        <v>43833</v>
      </c>
      <c r="N4021" t="s">
        <v>47304</v>
      </c>
      <c r="O4021" t="s">
        <v>47305</v>
      </c>
      <c r="P4021">
        <v>0</v>
      </c>
      <c r="Q4021">
        <v>1</v>
      </c>
      <c r="R4021" t="s">
        <v>47306</v>
      </c>
      <c r="S4021" t="s">
        <v>47414</v>
      </c>
      <c r="T4021" t="s">
        <v>49023</v>
      </c>
      <c r="U4021" t="s">
        <v>52995</v>
      </c>
      <c r="V4021" t="s">
        <v>62856</v>
      </c>
      <c r="W4021" t="s">
        <v>43833</v>
      </c>
      <c r="X4021" t="s">
        <v>47308</v>
      </c>
    </row>
    <row r="4022" spans="1:24">
      <c r="A4022">
        <f>HYPERLINK("https://www.philgeps.gov.ph/GEPSNONPILOT/Tender/SplashBidNoticeAbstractUI.aspx?menuIndex=3&amp;refID=7196395&amp;Result=3","7196395")</f>
        <v>0</v>
      </c>
      <c r="B4022" t="s">
        <v>1560</v>
      </c>
      <c r="C4022" t="s">
        <v>7658</v>
      </c>
      <c r="D4022" t="s">
        <v>18993</v>
      </c>
      <c r="E4022" t="s">
        <v>19996</v>
      </c>
      <c r="F4022" t="s">
        <v>32606</v>
      </c>
      <c r="G4022" t="s">
        <v>32614</v>
      </c>
      <c r="H4022" t="s">
        <v>14201</v>
      </c>
      <c r="I4022" t="s">
        <v>32680</v>
      </c>
      <c r="J4022" t="s">
        <v>35477</v>
      </c>
      <c r="K4022" t="s">
        <v>42636</v>
      </c>
      <c r="M4022" t="s">
        <v>44566</v>
      </c>
      <c r="N4022" t="s">
        <v>47304</v>
      </c>
      <c r="O4022" t="s">
        <v>47305</v>
      </c>
      <c r="P4022">
        <v>0</v>
      </c>
      <c r="Q4022">
        <v>1</v>
      </c>
      <c r="R4022" t="s">
        <v>47306</v>
      </c>
      <c r="S4022" t="s">
        <v>47414</v>
      </c>
      <c r="T4022" t="s">
        <v>48979</v>
      </c>
      <c r="U4022" t="s">
        <v>52996</v>
      </c>
      <c r="W4022" t="s">
        <v>44566</v>
      </c>
      <c r="X4022" t="s">
        <v>47308</v>
      </c>
    </row>
    <row r="4023" spans="1:24">
      <c r="A4023">
        <f>HYPERLINK("https://www.philgeps.gov.ph/GEPSNONPILOT/Tender/SplashBidNoticeAbstractUI.aspx?menuIndex=3&amp;refID=7196440&amp;Result=3","7196440")</f>
        <v>0</v>
      </c>
      <c r="B4023" t="s">
        <v>1395</v>
      </c>
      <c r="C4023" t="s">
        <v>7659</v>
      </c>
      <c r="D4023" t="s">
        <v>19037</v>
      </c>
      <c r="E4023" t="s">
        <v>22693</v>
      </c>
      <c r="F4023" t="s">
        <v>32606</v>
      </c>
      <c r="G4023" t="s">
        <v>32614</v>
      </c>
      <c r="H4023" t="s">
        <v>14201</v>
      </c>
      <c r="I4023" t="s">
        <v>7577</v>
      </c>
      <c r="J4023" t="s">
        <v>32813</v>
      </c>
      <c r="K4023" t="s">
        <v>42623</v>
      </c>
      <c r="M4023" t="s">
        <v>44378</v>
      </c>
      <c r="N4023" t="s">
        <v>47304</v>
      </c>
      <c r="O4023" t="s">
        <v>47305</v>
      </c>
      <c r="P4023">
        <v>0</v>
      </c>
      <c r="Q4023">
        <v>0</v>
      </c>
      <c r="R4023" t="s">
        <v>47306</v>
      </c>
      <c r="S4023" t="s">
        <v>47414</v>
      </c>
      <c r="T4023" t="s">
        <v>48979</v>
      </c>
      <c r="U4023" t="s">
        <v>52951</v>
      </c>
      <c r="W4023" t="s">
        <v>44378</v>
      </c>
      <c r="X4023" t="s">
        <v>47308</v>
      </c>
    </row>
    <row r="4024" spans="1:24">
      <c r="A4024">
        <f>HYPERLINK("https://www.philgeps.gov.ph/GEPSNONPILOT/Tender/SplashBidNoticeAbstractUI.aspx?menuIndex=3&amp;refID=7196437&amp;Result=3","7196437")</f>
        <v>0</v>
      </c>
      <c r="B4024" t="s">
        <v>79</v>
      </c>
      <c r="C4024" t="s">
        <v>7660</v>
      </c>
      <c r="D4024" t="s">
        <v>18993</v>
      </c>
      <c r="E4024" t="s">
        <v>22694</v>
      </c>
      <c r="F4024" t="s">
        <v>32606</v>
      </c>
      <c r="G4024" t="s">
        <v>32619</v>
      </c>
      <c r="H4024" t="s">
        <v>14201</v>
      </c>
      <c r="I4024" t="s">
        <v>4115</v>
      </c>
      <c r="J4024" t="s">
        <v>35478</v>
      </c>
      <c r="K4024" t="s">
        <v>42623</v>
      </c>
      <c r="M4024" t="s">
        <v>44567</v>
      </c>
      <c r="N4024" t="s">
        <v>47304</v>
      </c>
      <c r="O4024" t="s">
        <v>47305</v>
      </c>
      <c r="P4024">
        <v>0</v>
      </c>
      <c r="Q4024">
        <v>4</v>
      </c>
      <c r="R4024" t="s">
        <v>47306</v>
      </c>
      <c r="S4024" t="s">
        <v>47414</v>
      </c>
      <c r="T4024" t="s">
        <v>49087</v>
      </c>
      <c r="U4024" t="s">
        <v>52997</v>
      </c>
      <c r="V4024" t="s">
        <v>63049</v>
      </c>
      <c r="W4024" t="s">
        <v>44567</v>
      </c>
      <c r="X4024" t="s">
        <v>47308</v>
      </c>
    </row>
    <row r="4025" spans="1:24">
      <c r="A4025">
        <f>HYPERLINK("https://www.philgeps.gov.ph/GEPSNONPILOT/Tender/SplashBidNoticeAbstractUI.aspx?menuIndex=3&amp;refID=7196436&amp;Result=3","7196436")</f>
        <v>0</v>
      </c>
      <c r="B4025" t="s">
        <v>1561</v>
      </c>
      <c r="C4025" t="s">
        <v>7661</v>
      </c>
      <c r="D4025" t="s">
        <v>19002</v>
      </c>
      <c r="E4025" t="s">
        <v>22695</v>
      </c>
      <c r="F4025" t="s">
        <v>32606</v>
      </c>
      <c r="G4025" t="s">
        <v>32613</v>
      </c>
      <c r="H4025" t="s">
        <v>32623</v>
      </c>
      <c r="I4025" t="s">
        <v>17648</v>
      </c>
      <c r="J4025" t="s">
        <v>32795</v>
      </c>
      <c r="K4025" t="s">
        <v>42722</v>
      </c>
      <c r="L4025" t="s">
        <v>1561</v>
      </c>
      <c r="M4025" t="s">
        <v>44568</v>
      </c>
      <c r="N4025" t="s">
        <v>47304</v>
      </c>
      <c r="O4025" t="s">
        <v>47305</v>
      </c>
      <c r="P4025">
        <v>0</v>
      </c>
      <c r="Q4025">
        <v>1</v>
      </c>
      <c r="R4025" t="s">
        <v>47306</v>
      </c>
      <c r="S4025" t="s">
        <v>47414</v>
      </c>
      <c r="T4025" t="s">
        <v>49008</v>
      </c>
      <c r="U4025" t="s">
        <v>52998</v>
      </c>
      <c r="W4025" t="s">
        <v>44568</v>
      </c>
      <c r="X4025" t="s">
        <v>47308</v>
      </c>
    </row>
    <row r="4026" spans="1:24">
      <c r="A4026">
        <f>HYPERLINK("https://www.philgeps.gov.ph/GEPSNONPILOT/Tender/SplashBidNoticeAbstractUI.aspx?menuIndex=3&amp;refID=7196439&amp;Result=3","7196439")</f>
        <v>0</v>
      </c>
      <c r="B4026" t="s">
        <v>1520</v>
      </c>
      <c r="C4026" t="s">
        <v>7662</v>
      </c>
      <c r="D4026" t="s">
        <v>18988</v>
      </c>
      <c r="E4026" t="s">
        <v>22696</v>
      </c>
      <c r="F4026" t="s">
        <v>32606</v>
      </c>
      <c r="G4026" t="s">
        <v>32614</v>
      </c>
      <c r="H4026" t="s">
        <v>14201</v>
      </c>
      <c r="I4026" t="s">
        <v>7577</v>
      </c>
      <c r="J4026" t="s">
        <v>35479</v>
      </c>
      <c r="K4026" t="s">
        <v>42631</v>
      </c>
      <c r="M4026" t="s">
        <v>44521</v>
      </c>
      <c r="N4026" t="s">
        <v>47304</v>
      </c>
      <c r="O4026" t="s">
        <v>47305</v>
      </c>
      <c r="P4026">
        <v>0</v>
      </c>
      <c r="Q4026">
        <v>1</v>
      </c>
      <c r="R4026" t="s">
        <v>47306</v>
      </c>
      <c r="S4026" t="s">
        <v>47414</v>
      </c>
      <c r="T4026" t="s">
        <v>48980</v>
      </c>
      <c r="U4026" t="s">
        <v>52886</v>
      </c>
      <c r="V4026" t="s">
        <v>63039</v>
      </c>
      <c r="W4026" t="s">
        <v>44521</v>
      </c>
      <c r="X4026" t="s">
        <v>47308</v>
      </c>
    </row>
    <row r="4027" spans="1:24">
      <c r="A4027">
        <f>HYPERLINK("https://www.philgeps.gov.ph/GEPSNONPILOT/Tender/SplashBidNoticeAbstractUI.aspx?menuIndex=3&amp;refID=7196433&amp;Result=3","7196433")</f>
        <v>0</v>
      </c>
      <c r="B4027" t="s">
        <v>1562</v>
      </c>
      <c r="C4027" t="s">
        <v>7663</v>
      </c>
      <c r="D4027" t="s">
        <v>18995</v>
      </c>
      <c r="E4027" t="s">
        <v>22697</v>
      </c>
      <c r="F4027" t="s">
        <v>32606</v>
      </c>
      <c r="G4027" t="s">
        <v>32614</v>
      </c>
      <c r="H4027" t="s">
        <v>14201</v>
      </c>
      <c r="I4027" t="s">
        <v>4678</v>
      </c>
      <c r="J4027" t="s">
        <v>32765</v>
      </c>
      <c r="K4027" t="s">
        <v>42630</v>
      </c>
      <c r="M4027" t="s">
        <v>44569</v>
      </c>
      <c r="N4027" t="s">
        <v>47304</v>
      </c>
      <c r="O4027" t="s">
        <v>47305</v>
      </c>
      <c r="P4027">
        <v>0</v>
      </c>
      <c r="Q4027">
        <v>1</v>
      </c>
      <c r="R4027" t="s">
        <v>47306</v>
      </c>
      <c r="S4027" t="s">
        <v>47414</v>
      </c>
      <c r="T4027" t="s">
        <v>48975</v>
      </c>
      <c r="U4027" t="s">
        <v>52999</v>
      </c>
      <c r="W4027" t="s">
        <v>44569</v>
      </c>
      <c r="X4027" t="s">
        <v>47308</v>
      </c>
    </row>
    <row r="4028" spans="1:24">
      <c r="A4028">
        <f>HYPERLINK("https://www.philgeps.gov.ph/GEPSNONPILOT/Tender/SplashBidNoticeAbstractUI.aspx?menuIndex=3&amp;refID=7196426&amp;Result=3","7196426")</f>
        <v>0</v>
      </c>
      <c r="B4028" t="s">
        <v>234</v>
      </c>
      <c r="C4028" t="s">
        <v>7664</v>
      </c>
      <c r="D4028" t="s">
        <v>19052</v>
      </c>
      <c r="E4028" t="s">
        <v>22698</v>
      </c>
      <c r="F4028" t="s">
        <v>32606</v>
      </c>
      <c r="G4028" t="s">
        <v>32614</v>
      </c>
      <c r="H4028" t="s">
        <v>14201</v>
      </c>
      <c r="I4028" t="s">
        <v>32640</v>
      </c>
      <c r="J4028" t="s">
        <v>35112</v>
      </c>
      <c r="K4028" t="s">
        <v>42631</v>
      </c>
      <c r="M4028" t="s">
        <v>43135</v>
      </c>
      <c r="N4028" t="s">
        <v>47304</v>
      </c>
      <c r="O4028" t="s">
        <v>47305</v>
      </c>
      <c r="P4028">
        <v>0</v>
      </c>
      <c r="Q4028">
        <v>4</v>
      </c>
      <c r="R4028" t="s">
        <v>47306</v>
      </c>
      <c r="S4028" t="s">
        <v>47414</v>
      </c>
      <c r="T4028" t="s">
        <v>49050</v>
      </c>
      <c r="U4028" t="s">
        <v>53000</v>
      </c>
      <c r="V4028" t="s">
        <v>62641</v>
      </c>
      <c r="W4028" t="s">
        <v>43135</v>
      </c>
      <c r="X4028" t="s">
        <v>47308</v>
      </c>
    </row>
    <row r="4029" spans="1:24">
      <c r="A4029">
        <f>HYPERLINK("https://www.philgeps.gov.ph/GEPSNONPILOT/Tender/SplashBidNoticeAbstractUI.aspx?menuIndex=3&amp;refID=7196438&amp;Result=3","7196438")</f>
        <v>0</v>
      </c>
      <c r="B4029" t="s">
        <v>1527</v>
      </c>
      <c r="C4029" t="s">
        <v>7665</v>
      </c>
      <c r="D4029" t="s">
        <v>19056</v>
      </c>
      <c r="E4029" t="s">
        <v>22699</v>
      </c>
      <c r="F4029" t="s">
        <v>32606</v>
      </c>
      <c r="G4029" t="s">
        <v>32613</v>
      </c>
      <c r="H4029" t="s">
        <v>32623</v>
      </c>
      <c r="I4029" t="s">
        <v>17648</v>
      </c>
      <c r="J4029" t="s">
        <v>32767</v>
      </c>
      <c r="K4029" t="s">
        <v>42643</v>
      </c>
      <c r="M4029" t="s">
        <v>44528</v>
      </c>
      <c r="N4029" t="s">
        <v>47304</v>
      </c>
      <c r="O4029" t="s">
        <v>47305</v>
      </c>
      <c r="P4029">
        <v>0</v>
      </c>
      <c r="Q4029">
        <v>0</v>
      </c>
      <c r="R4029" t="s">
        <v>47306</v>
      </c>
      <c r="S4029" t="s">
        <v>47414</v>
      </c>
      <c r="T4029" t="s">
        <v>48973</v>
      </c>
      <c r="U4029" t="s">
        <v>52901</v>
      </c>
      <c r="V4029" t="s">
        <v>63050</v>
      </c>
      <c r="W4029" t="s">
        <v>44528</v>
      </c>
      <c r="X4029" t="s">
        <v>47308</v>
      </c>
    </row>
    <row r="4030" spans="1:24">
      <c r="A4030">
        <f>HYPERLINK("https://www.philgeps.gov.ph/GEPSNONPILOT/Tender/SplashBidNoticeAbstractUI.aspx?menuIndex=3&amp;refID=7196424&amp;Result=3","7196424")</f>
        <v>0</v>
      </c>
      <c r="B4030" t="s">
        <v>1563</v>
      </c>
      <c r="C4030" t="s">
        <v>7666</v>
      </c>
      <c r="D4030" t="s">
        <v>19008</v>
      </c>
      <c r="E4030" t="s">
        <v>22700</v>
      </c>
      <c r="F4030" t="s">
        <v>32606</v>
      </c>
      <c r="G4030" t="s">
        <v>32614</v>
      </c>
      <c r="H4030" t="s">
        <v>14201</v>
      </c>
      <c r="I4030" t="s">
        <v>32640</v>
      </c>
      <c r="J4030" t="s">
        <v>33060</v>
      </c>
      <c r="K4030" t="s">
        <v>42623</v>
      </c>
      <c r="M4030" t="s">
        <v>44570</v>
      </c>
      <c r="N4030" t="s">
        <v>47304</v>
      </c>
      <c r="O4030" t="s">
        <v>47305</v>
      </c>
      <c r="P4030">
        <v>0</v>
      </c>
      <c r="Q4030">
        <v>4</v>
      </c>
      <c r="R4030" t="s">
        <v>47306</v>
      </c>
      <c r="S4030" t="s">
        <v>47414</v>
      </c>
      <c r="T4030" t="s">
        <v>49108</v>
      </c>
      <c r="U4030" t="s">
        <v>53001</v>
      </c>
      <c r="W4030" t="s">
        <v>44570</v>
      </c>
      <c r="X4030" t="s">
        <v>47308</v>
      </c>
    </row>
    <row r="4031" spans="1:24">
      <c r="A4031">
        <f>HYPERLINK("https://www.philgeps.gov.ph/GEPSNONPILOT/Tender/SplashBidNoticeAbstractUI.aspx?menuIndex=3&amp;refID=7196434&amp;Result=3","7196434")</f>
        <v>0</v>
      </c>
      <c r="B4031" t="s">
        <v>1327</v>
      </c>
      <c r="C4031" t="s">
        <v>7667</v>
      </c>
      <c r="D4031" t="s">
        <v>19018</v>
      </c>
      <c r="E4031" t="s">
        <v>19318</v>
      </c>
      <c r="F4031" t="s">
        <v>32606</v>
      </c>
      <c r="G4031" t="s">
        <v>32614</v>
      </c>
      <c r="H4031" t="s">
        <v>14201</v>
      </c>
      <c r="I4031" t="s">
        <v>32629</v>
      </c>
      <c r="J4031" t="s">
        <v>35480</v>
      </c>
      <c r="K4031" t="s">
        <v>42630</v>
      </c>
      <c r="M4031" t="s">
        <v>44301</v>
      </c>
      <c r="N4031" t="s">
        <v>47304</v>
      </c>
      <c r="O4031" t="s">
        <v>47305</v>
      </c>
      <c r="P4031">
        <v>0</v>
      </c>
      <c r="Q4031">
        <v>0</v>
      </c>
      <c r="R4031" t="s">
        <v>47306</v>
      </c>
      <c r="S4031" t="s">
        <v>47414</v>
      </c>
      <c r="T4031" t="s">
        <v>49050</v>
      </c>
      <c r="U4031" t="s">
        <v>52315</v>
      </c>
      <c r="W4031" t="s">
        <v>44301</v>
      </c>
      <c r="X4031" t="s">
        <v>47308</v>
      </c>
    </row>
    <row r="4032" spans="1:24">
      <c r="A4032">
        <f>HYPERLINK("https://www.philgeps.gov.ph/GEPSNONPILOT/Tender/SplashBidNoticeAbstractUI.aspx?menuIndex=3&amp;refID=7196421&amp;Result=3","7196421")</f>
        <v>0</v>
      </c>
      <c r="B4032" t="s">
        <v>1564</v>
      </c>
      <c r="C4032" t="s">
        <v>7668</v>
      </c>
      <c r="D4032" t="s">
        <v>19011</v>
      </c>
      <c r="E4032" t="s">
        <v>22701</v>
      </c>
      <c r="F4032" t="s">
        <v>32606</v>
      </c>
      <c r="G4032" t="s">
        <v>32619</v>
      </c>
      <c r="H4032" t="s">
        <v>14201</v>
      </c>
      <c r="I4032" t="s">
        <v>32691</v>
      </c>
      <c r="J4032" t="s">
        <v>32949</v>
      </c>
      <c r="K4032" t="s">
        <v>42624</v>
      </c>
      <c r="M4032" t="s">
        <v>44571</v>
      </c>
      <c r="N4032" t="s">
        <v>47304</v>
      </c>
      <c r="O4032" t="s">
        <v>47305</v>
      </c>
      <c r="P4032">
        <v>0</v>
      </c>
      <c r="Q4032">
        <v>2</v>
      </c>
      <c r="R4032" t="s">
        <v>47306</v>
      </c>
      <c r="S4032" t="s">
        <v>47414</v>
      </c>
      <c r="T4032" t="s">
        <v>49050</v>
      </c>
      <c r="U4032" t="s">
        <v>53002</v>
      </c>
      <c r="W4032" t="s">
        <v>44571</v>
      </c>
      <c r="X4032" t="s">
        <v>47308</v>
      </c>
    </row>
    <row r="4033" spans="1:24">
      <c r="A4033">
        <f>HYPERLINK("https://www.philgeps.gov.ph/GEPSNONPILOT/Tender/SplashBidNoticeAbstractUI.aspx?menuIndex=3&amp;refID=7196417&amp;Result=3","7196417")</f>
        <v>0</v>
      </c>
      <c r="B4033" t="s">
        <v>187</v>
      </c>
      <c r="C4033" t="s">
        <v>7669</v>
      </c>
      <c r="D4033" t="s">
        <v>19038</v>
      </c>
      <c r="E4033" t="s">
        <v>22702</v>
      </c>
      <c r="F4033" t="s">
        <v>32606</v>
      </c>
      <c r="G4033" t="s">
        <v>32613</v>
      </c>
      <c r="H4033" t="s">
        <v>14201</v>
      </c>
      <c r="I4033" t="s">
        <v>6931</v>
      </c>
      <c r="J4033" t="s">
        <v>35481</v>
      </c>
      <c r="K4033" t="s">
        <v>42622</v>
      </c>
      <c r="M4033" t="s">
        <v>43088</v>
      </c>
      <c r="N4033" t="s">
        <v>47304</v>
      </c>
      <c r="O4033" t="s">
        <v>47305</v>
      </c>
      <c r="P4033">
        <v>0</v>
      </c>
      <c r="Q4033">
        <v>0</v>
      </c>
      <c r="R4033" t="s">
        <v>47306</v>
      </c>
      <c r="S4033" t="s">
        <v>47414</v>
      </c>
      <c r="T4033" t="s">
        <v>48986</v>
      </c>
      <c r="U4033" t="s">
        <v>53003</v>
      </c>
      <c r="W4033" t="s">
        <v>43088</v>
      </c>
      <c r="X4033" t="s">
        <v>47308</v>
      </c>
    </row>
    <row r="4034" spans="1:24">
      <c r="A4034">
        <f>HYPERLINK("https://www.philgeps.gov.ph/GEPSNONPILOT/Tender/SplashBidNoticeAbstractUI.aspx?menuIndex=3&amp;refID=7196415&amp;Result=3","7196415")</f>
        <v>0</v>
      </c>
      <c r="B4034" t="s">
        <v>1565</v>
      </c>
      <c r="C4034" t="s">
        <v>7670</v>
      </c>
      <c r="D4034" t="s">
        <v>19029</v>
      </c>
      <c r="E4034" t="s">
        <v>22703</v>
      </c>
      <c r="F4034" t="s">
        <v>32606</v>
      </c>
      <c r="G4034" t="s">
        <v>32614</v>
      </c>
      <c r="H4034" t="s">
        <v>14201</v>
      </c>
      <c r="I4034" t="s">
        <v>4120</v>
      </c>
      <c r="J4034" t="s">
        <v>33843</v>
      </c>
      <c r="K4034" t="s">
        <v>42622</v>
      </c>
      <c r="M4034" t="s">
        <v>44572</v>
      </c>
      <c r="N4034" t="s">
        <v>47304</v>
      </c>
      <c r="O4034" t="s">
        <v>47305</v>
      </c>
      <c r="P4034">
        <v>0</v>
      </c>
      <c r="Q4034">
        <v>1</v>
      </c>
      <c r="R4034" t="s">
        <v>47306</v>
      </c>
      <c r="S4034" t="s">
        <v>47414</v>
      </c>
      <c r="T4034" t="s">
        <v>49004</v>
      </c>
      <c r="U4034" t="s">
        <v>53004</v>
      </c>
      <c r="W4034" t="s">
        <v>44572</v>
      </c>
      <c r="X4034" t="s">
        <v>47308</v>
      </c>
    </row>
    <row r="4035" spans="1:24">
      <c r="A4035">
        <f>HYPERLINK("https://www.philgeps.gov.ph/GEPSNONPILOT/Tender/SplashBidNoticeAbstractUI.aspx?menuIndex=3&amp;refID=7196425&amp;Result=3","7196425")</f>
        <v>0</v>
      </c>
      <c r="B4035" t="s">
        <v>233</v>
      </c>
      <c r="C4035" t="s">
        <v>7671</v>
      </c>
      <c r="D4035" t="s">
        <v>18997</v>
      </c>
      <c r="E4035" t="s">
        <v>22704</v>
      </c>
      <c r="F4035" t="s">
        <v>32606</v>
      </c>
      <c r="G4035" t="s">
        <v>32613</v>
      </c>
      <c r="H4035" t="s">
        <v>14201</v>
      </c>
      <c r="I4035" t="s">
        <v>32671</v>
      </c>
      <c r="J4035" t="s">
        <v>33158</v>
      </c>
      <c r="K4035" t="s">
        <v>42631</v>
      </c>
      <c r="M4035" t="s">
        <v>44359</v>
      </c>
      <c r="N4035" t="s">
        <v>47304</v>
      </c>
      <c r="O4035" t="s">
        <v>47305</v>
      </c>
      <c r="P4035">
        <v>0</v>
      </c>
      <c r="Q4035">
        <v>0</v>
      </c>
      <c r="R4035" t="s">
        <v>47306</v>
      </c>
      <c r="S4035" t="s">
        <v>47414</v>
      </c>
      <c r="T4035" t="s">
        <v>49023</v>
      </c>
      <c r="U4035" t="s">
        <v>52443</v>
      </c>
      <c r="V4035" t="s">
        <v>63002</v>
      </c>
      <c r="W4035" t="s">
        <v>44359</v>
      </c>
      <c r="X4035" t="s">
        <v>47308</v>
      </c>
    </row>
    <row r="4036" spans="1:24">
      <c r="A4036">
        <f>HYPERLINK("https://www.philgeps.gov.ph/GEPSNONPILOT/Tender/SplashBidNoticeAbstractUI.aspx?menuIndex=3&amp;refID=7196423&amp;Result=3","7196423")</f>
        <v>0</v>
      </c>
      <c r="B4036" t="s">
        <v>1551</v>
      </c>
      <c r="C4036" t="s">
        <v>7672</v>
      </c>
      <c r="D4036" t="s">
        <v>19046</v>
      </c>
      <c r="E4036" t="s">
        <v>22705</v>
      </c>
      <c r="F4036" t="s">
        <v>32606</v>
      </c>
      <c r="G4036" t="s">
        <v>32614</v>
      </c>
      <c r="H4036" t="s">
        <v>14201</v>
      </c>
      <c r="I4036" t="s">
        <v>32629</v>
      </c>
      <c r="J4036" t="s">
        <v>33555</v>
      </c>
      <c r="K4036" t="s">
        <v>42623</v>
      </c>
      <c r="M4036" t="s">
        <v>44555</v>
      </c>
      <c r="N4036" t="s">
        <v>47304</v>
      </c>
      <c r="O4036" t="s">
        <v>47305</v>
      </c>
      <c r="P4036">
        <v>0</v>
      </c>
      <c r="Q4036">
        <v>0</v>
      </c>
      <c r="R4036" t="s">
        <v>47306</v>
      </c>
      <c r="S4036" t="s">
        <v>47414</v>
      </c>
      <c r="T4036" t="s">
        <v>48980</v>
      </c>
      <c r="U4036" t="s">
        <v>53005</v>
      </c>
      <c r="W4036" t="s">
        <v>44555</v>
      </c>
      <c r="X4036" t="s">
        <v>47308</v>
      </c>
    </row>
    <row r="4037" spans="1:24">
      <c r="A4037">
        <f>HYPERLINK("https://www.philgeps.gov.ph/GEPSNONPILOT/Tender/SplashBidNoticeAbstractUI.aspx?menuIndex=3&amp;refID=7196441&amp;Result=3","7196441")</f>
        <v>0</v>
      </c>
      <c r="B4037" t="s">
        <v>1545</v>
      </c>
      <c r="C4037" t="s">
        <v>7673</v>
      </c>
      <c r="D4037" t="s">
        <v>19056</v>
      </c>
      <c r="E4037" t="s">
        <v>22706</v>
      </c>
      <c r="F4037" t="s">
        <v>32606</v>
      </c>
      <c r="G4037" t="s">
        <v>32613</v>
      </c>
      <c r="H4037" t="s">
        <v>32623</v>
      </c>
      <c r="I4037" t="s">
        <v>17648</v>
      </c>
      <c r="J4037" t="s">
        <v>35482</v>
      </c>
      <c r="K4037" t="s">
        <v>42622</v>
      </c>
      <c r="M4037" t="s">
        <v>44549</v>
      </c>
      <c r="N4037" t="s">
        <v>47304</v>
      </c>
      <c r="O4037" t="s">
        <v>47305</v>
      </c>
      <c r="P4037">
        <v>0</v>
      </c>
      <c r="Q4037">
        <v>0</v>
      </c>
      <c r="R4037" t="s">
        <v>47306</v>
      </c>
      <c r="S4037" t="s">
        <v>47414</v>
      </c>
      <c r="T4037" t="s">
        <v>49002</v>
      </c>
      <c r="U4037" t="s">
        <v>53006</v>
      </c>
      <c r="W4037" t="s">
        <v>44549</v>
      </c>
      <c r="X4037" t="s">
        <v>47308</v>
      </c>
    </row>
    <row r="4038" spans="1:24">
      <c r="A4038">
        <f>HYPERLINK("https://www.philgeps.gov.ph/GEPSNONPILOT/Tender/SplashBidNoticeAbstractUI.aspx?menuIndex=3&amp;refID=7196418&amp;Result=3","7196418")</f>
        <v>0</v>
      </c>
      <c r="B4038" t="s">
        <v>497</v>
      </c>
      <c r="C4038" t="s">
        <v>7674</v>
      </c>
      <c r="D4038" t="s">
        <v>18991</v>
      </c>
      <c r="E4038" t="s">
        <v>22707</v>
      </c>
      <c r="F4038" t="s">
        <v>32606</v>
      </c>
      <c r="G4038" t="s">
        <v>32614</v>
      </c>
      <c r="H4038" t="s">
        <v>14201</v>
      </c>
      <c r="I4038" t="s">
        <v>6931</v>
      </c>
      <c r="J4038" t="s">
        <v>35483</v>
      </c>
      <c r="K4038" t="s">
        <v>42624</v>
      </c>
      <c r="M4038" t="s">
        <v>43410</v>
      </c>
      <c r="N4038" t="s">
        <v>47304</v>
      </c>
      <c r="O4038" t="s">
        <v>47305</v>
      </c>
      <c r="P4038">
        <v>0</v>
      </c>
      <c r="Q4038">
        <v>0</v>
      </c>
      <c r="R4038" t="s">
        <v>47306</v>
      </c>
      <c r="S4038" t="s">
        <v>47414</v>
      </c>
      <c r="T4038" t="s">
        <v>48979</v>
      </c>
      <c r="U4038" t="s">
        <v>53007</v>
      </c>
      <c r="W4038" t="s">
        <v>43410</v>
      </c>
      <c r="X4038" t="s">
        <v>47308</v>
      </c>
    </row>
    <row r="4039" spans="1:24">
      <c r="A4039">
        <f>HYPERLINK("https://www.philgeps.gov.ph/GEPSNONPILOT/Tender/SplashBidNoticeAbstractUI.aspx?menuIndex=3&amp;refID=7196453&amp;Result=3","7196453")</f>
        <v>0</v>
      </c>
      <c r="B4039" t="s">
        <v>1543</v>
      </c>
      <c r="C4039" t="s">
        <v>7675</v>
      </c>
      <c r="D4039" t="s">
        <v>19013</v>
      </c>
      <c r="E4039" t="s">
        <v>22708</v>
      </c>
      <c r="F4039" t="s">
        <v>32606</v>
      </c>
      <c r="G4039" t="s">
        <v>32614</v>
      </c>
      <c r="H4039" t="s">
        <v>14201</v>
      </c>
      <c r="I4039" t="s">
        <v>32634</v>
      </c>
      <c r="J4039" t="s">
        <v>34885</v>
      </c>
      <c r="K4039" t="s">
        <v>42624</v>
      </c>
      <c r="M4039" t="s">
        <v>44547</v>
      </c>
      <c r="N4039" t="s">
        <v>47304</v>
      </c>
      <c r="O4039" t="s">
        <v>47305</v>
      </c>
      <c r="P4039">
        <v>0</v>
      </c>
      <c r="Q4039">
        <v>2</v>
      </c>
      <c r="R4039" t="s">
        <v>47306</v>
      </c>
      <c r="S4039" t="s">
        <v>47414</v>
      </c>
      <c r="T4039" t="s">
        <v>49196</v>
      </c>
      <c r="U4039" t="s">
        <v>53008</v>
      </c>
      <c r="W4039" t="s">
        <v>44547</v>
      </c>
      <c r="X4039" t="s">
        <v>47308</v>
      </c>
    </row>
    <row r="4040" spans="1:24">
      <c r="A4040">
        <f>HYPERLINK("https://www.philgeps.gov.ph/GEPSNONPILOT/Tender/SplashBidNoticeAbstractUI.aspx?menuIndex=3&amp;refID=7196430&amp;Result=3","7196430")</f>
        <v>0</v>
      </c>
      <c r="B4040" t="s">
        <v>723</v>
      </c>
      <c r="C4040" t="s">
        <v>7676</v>
      </c>
      <c r="D4040" t="s">
        <v>18994</v>
      </c>
      <c r="E4040" t="s">
        <v>22709</v>
      </c>
      <c r="F4040" t="s">
        <v>32606</v>
      </c>
      <c r="G4040" t="s">
        <v>32614</v>
      </c>
      <c r="H4040" t="s">
        <v>14201</v>
      </c>
      <c r="I4040" t="s">
        <v>4369</v>
      </c>
      <c r="J4040" t="s">
        <v>33189</v>
      </c>
      <c r="K4040" t="s">
        <v>42630</v>
      </c>
      <c r="M4040" t="s">
        <v>43644</v>
      </c>
      <c r="N4040" t="s">
        <v>47304</v>
      </c>
      <c r="O4040" t="s">
        <v>47305</v>
      </c>
      <c r="P4040">
        <v>0</v>
      </c>
      <c r="Q4040">
        <v>6</v>
      </c>
      <c r="R4040" t="s">
        <v>47306</v>
      </c>
      <c r="S4040" t="s">
        <v>47414</v>
      </c>
      <c r="T4040" t="s">
        <v>49061</v>
      </c>
      <c r="U4040" t="s">
        <v>52396</v>
      </c>
      <c r="W4040" t="s">
        <v>43644</v>
      </c>
      <c r="X4040" t="s">
        <v>47308</v>
      </c>
    </row>
    <row r="4041" spans="1:24">
      <c r="A4041">
        <f>HYPERLINK("https://www.philgeps.gov.ph/GEPSNONPILOT/Tender/SplashBidNoticeAbstractUI.aspx?menuIndex=3&amp;refID=7196456&amp;Result=3","7196456")</f>
        <v>0</v>
      </c>
      <c r="B4041" t="s">
        <v>239</v>
      </c>
      <c r="C4041" t="s">
        <v>7677</v>
      </c>
      <c r="D4041" t="s">
        <v>19010</v>
      </c>
      <c r="E4041" t="s">
        <v>19360</v>
      </c>
      <c r="F4041" t="s">
        <v>32606</v>
      </c>
      <c r="G4041" t="s">
        <v>32613</v>
      </c>
      <c r="H4041" t="s">
        <v>14201</v>
      </c>
      <c r="I4041" t="s">
        <v>7677</v>
      </c>
      <c r="J4041" t="s">
        <v>35484</v>
      </c>
      <c r="K4041" t="s">
        <v>42630</v>
      </c>
      <c r="M4041" t="s">
        <v>43140</v>
      </c>
      <c r="N4041" t="s">
        <v>47304</v>
      </c>
      <c r="O4041" t="s">
        <v>47305</v>
      </c>
      <c r="P4041">
        <v>0</v>
      </c>
      <c r="Q4041">
        <v>1</v>
      </c>
      <c r="R4041" t="s">
        <v>47306</v>
      </c>
      <c r="S4041" t="s">
        <v>47414</v>
      </c>
      <c r="T4041" t="s">
        <v>48989</v>
      </c>
      <c r="U4041" t="s">
        <v>53009</v>
      </c>
      <c r="W4041" t="s">
        <v>43140</v>
      </c>
      <c r="X4041" t="s">
        <v>47308</v>
      </c>
    </row>
    <row r="4042" spans="1:24">
      <c r="A4042">
        <f>HYPERLINK("https://www.philgeps.gov.ph/GEPSNONPILOT/Tender/SplashBidNoticeAbstractUI.aspx?menuIndex=3&amp;refID=7196455&amp;Result=3","7196455")</f>
        <v>0</v>
      </c>
      <c r="B4042" t="s">
        <v>778</v>
      </c>
      <c r="C4042" t="s">
        <v>7678</v>
      </c>
      <c r="D4042" t="s">
        <v>19012</v>
      </c>
      <c r="E4042" t="s">
        <v>22710</v>
      </c>
      <c r="F4042" t="s">
        <v>32606</v>
      </c>
      <c r="G4042" t="s">
        <v>32614</v>
      </c>
      <c r="H4042" t="s">
        <v>14201</v>
      </c>
      <c r="I4042" t="s">
        <v>6298</v>
      </c>
      <c r="J4042" t="s">
        <v>35485</v>
      </c>
      <c r="K4042" t="s">
        <v>42623</v>
      </c>
      <c r="M4042" t="s">
        <v>44573</v>
      </c>
      <c r="N4042" t="s">
        <v>47304</v>
      </c>
      <c r="O4042" t="s">
        <v>47305</v>
      </c>
      <c r="P4042">
        <v>0</v>
      </c>
      <c r="Q4042">
        <v>0</v>
      </c>
      <c r="R4042" t="s">
        <v>47306</v>
      </c>
      <c r="S4042" t="s">
        <v>47414</v>
      </c>
      <c r="T4042" t="s">
        <v>48979</v>
      </c>
      <c r="U4042" t="s">
        <v>53010</v>
      </c>
      <c r="W4042" t="s">
        <v>44573</v>
      </c>
      <c r="X4042" t="s">
        <v>47308</v>
      </c>
    </row>
    <row r="4043" spans="1:24">
      <c r="A4043">
        <f>HYPERLINK("https://www.philgeps.gov.ph/GEPSNONPILOT/Tender/SplashBidNoticeAbstractUI.aspx?menuIndex=3&amp;refID=7196454&amp;Result=3","7196454")</f>
        <v>0</v>
      </c>
      <c r="B4043" t="s">
        <v>1541</v>
      </c>
      <c r="C4043" t="s">
        <v>7679</v>
      </c>
      <c r="D4043" t="s">
        <v>19025</v>
      </c>
      <c r="E4043" t="s">
        <v>22637</v>
      </c>
      <c r="F4043" t="s">
        <v>32606</v>
      </c>
      <c r="G4043" t="s">
        <v>32619</v>
      </c>
      <c r="H4043" t="s">
        <v>14201</v>
      </c>
      <c r="I4043" t="s">
        <v>6478</v>
      </c>
      <c r="J4043" t="s">
        <v>35486</v>
      </c>
      <c r="K4043" t="s">
        <v>42622</v>
      </c>
      <c r="M4043" t="s">
        <v>44545</v>
      </c>
      <c r="N4043" t="s">
        <v>47304</v>
      </c>
      <c r="O4043" t="s">
        <v>47305</v>
      </c>
      <c r="P4043">
        <v>0</v>
      </c>
      <c r="Q4043">
        <v>0</v>
      </c>
      <c r="R4043" t="s">
        <v>47306</v>
      </c>
      <c r="S4043" t="s">
        <v>47414</v>
      </c>
      <c r="T4043" t="s">
        <v>49062</v>
      </c>
      <c r="U4043" t="s">
        <v>53011</v>
      </c>
      <c r="W4043" t="s">
        <v>44545</v>
      </c>
      <c r="X4043" t="s">
        <v>47308</v>
      </c>
    </row>
    <row r="4044" spans="1:24">
      <c r="A4044">
        <f>HYPERLINK("https://www.philgeps.gov.ph/GEPSNONPILOT/Tender/SplashBidNoticeAbstractUI.aspx?menuIndex=3&amp;refID=7196463&amp;Result=3","7196463")</f>
        <v>0</v>
      </c>
      <c r="B4044" t="s">
        <v>1346</v>
      </c>
      <c r="C4044" t="s">
        <v>7680</v>
      </c>
      <c r="E4044" t="s">
        <v>22711</v>
      </c>
      <c r="F4044" t="s">
        <v>32606</v>
      </c>
      <c r="G4044" t="s">
        <v>32619</v>
      </c>
      <c r="H4044" t="s">
        <v>14201</v>
      </c>
      <c r="I4044" t="s">
        <v>6007</v>
      </c>
      <c r="J4044" t="s">
        <v>33853</v>
      </c>
      <c r="K4044" t="s">
        <v>42624</v>
      </c>
      <c r="M4044" t="s">
        <v>44320</v>
      </c>
      <c r="N4044" t="s">
        <v>47304</v>
      </c>
      <c r="O4044" t="s">
        <v>47305</v>
      </c>
      <c r="P4044">
        <v>0</v>
      </c>
      <c r="Q4044">
        <v>0</v>
      </c>
      <c r="R4044" t="s">
        <v>47306</v>
      </c>
      <c r="S4044" t="s">
        <v>47414</v>
      </c>
      <c r="T4044" t="s">
        <v>49268</v>
      </c>
      <c r="U4044" t="s">
        <v>53012</v>
      </c>
      <c r="W4044" t="s">
        <v>44320</v>
      </c>
      <c r="X4044" t="s">
        <v>47308</v>
      </c>
    </row>
    <row r="4045" spans="1:24">
      <c r="A4045">
        <f>HYPERLINK("https://www.philgeps.gov.ph/GEPSNONPILOT/Tender/SplashBidNoticeAbstractUI.aspx?menuIndex=3&amp;refID=7196460&amp;Result=3","7196460")</f>
        <v>0</v>
      </c>
      <c r="B4045" t="s">
        <v>145</v>
      </c>
      <c r="C4045" t="s">
        <v>7681</v>
      </c>
      <c r="D4045" t="s">
        <v>19033</v>
      </c>
      <c r="E4045" t="s">
        <v>19339</v>
      </c>
      <c r="F4045" t="s">
        <v>32606</v>
      </c>
      <c r="G4045" t="s">
        <v>32613</v>
      </c>
      <c r="H4045" t="s">
        <v>32623</v>
      </c>
      <c r="I4045" t="s">
        <v>32659</v>
      </c>
      <c r="J4045" t="s">
        <v>32981</v>
      </c>
      <c r="K4045" t="s">
        <v>42631</v>
      </c>
      <c r="M4045" t="s">
        <v>43046</v>
      </c>
      <c r="N4045" t="s">
        <v>47304</v>
      </c>
      <c r="O4045" t="s">
        <v>47305</v>
      </c>
      <c r="P4045">
        <v>0</v>
      </c>
      <c r="Q4045">
        <v>0</v>
      </c>
      <c r="R4045" t="s">
        <v>47306</v>
      </c>
      <c r="S4045" t="s">
        <v>47414</v>
      </c>
      <c r="T4045" t="s">
        <v>48971</v>
      </c>
      <c r="U4045" t="s">
        <v>53013</v>
      </c>
      <c r="W4045" t="s">
        <v>43046</v>
      </c>
      <c r="X4045" t="s">
        <v>47308</v>
      </c>
    </row>
    <row r="4046" spans="1:24">
      <c r="A4046">
        <f>HYPERLINK("https://www.philgeps.gov.ph/GEPSNONPILOT/Tender/SplashBidNoticeAbstractUI.aspx?menuIndex=3&amp;refID=7196432&amp;Result=3","7196432")</f>
        <v>0</v>
      </c>
      <c r="B4046" t="s">
        <v>1433</v>
      </c>
      <c r="C4046" t="s">
        <v>7682</v>
      </c>
      <c r="D4046" t="s">
        <v>19061</v>
      </c>
      <c r="E4046" t="s">
        <v>22712</v>
      </c>
      <c r="F4046" t="s">
        <v>32606</v>
      </c>
      <c r="G4046" t="s">
        <v>32614</v>
      </c>
      <c r="H4046" t="s">
        <v>14201</v>
      </c>
      <c r="I4046" t="s">
        <v>32660</v>
      </c>
      <c r="J4046" t="s">
        <v>35487</v>
      </c>
      <c r="K4046" t="s">
        <v>42631</v>
      </c>
      <c r="M4046" t="s">
        <v>44422</v>
      </c>
      <c r="N4046" t="s">
        <v>47304</v>
      </c>
      <c r="O4046" t="s">
        <v>47305</v>
      </c>
      <c r="P4046">
        <v>0</v>
      </c>
      <c r="Q4046">
        <v>1</v>
      </c>
      <c r="R4046" t="s">
        <v>47306</v>
      </c>
      <c r="S4046" t="s">
        <v>47414</v>
      </c>
      <c r="T4046" t="s">
        <v>49002</v>
      </c>
      <c r="U4046" t="s">
        <v>52637</v>
      </c>
      <c r="W4046" t="s">
        <v>64473</v>
      </c>
      <c r="X4046" t="s">
        <v>47308</v>
      </c>
    </row>
    <row r="4047" spans="1:24">
      <c r="A4047">
        <f>HYPERLINK("https://www.philgeps.gov.ph/GEPSNONPILOT/Tender/SplashBidNoticeAbstractUI.aspx?menuIndex=3&amp;refID=7196457&amp;Result=3","7196457")</f>
        <v>0</v>
      </c>
      <c r="B4047" t="s">
        <v>237</v>
      </c>
      <c r="C4047" t="s">
        <v>7683</v>
      </c>
      <c r="D4047" t="s">
        <v>18993</v>
      </c>
      <c r="E4047" t="s">
        <v>22713</v>
      </c>
      <c r="F4047" t="s">
        <v>32606</v>
      </c>
      <c r="G4047" t="s">
        <v>32614</v>
      </c>
      <c r="H4047" t="s">
        <v>14201</v>
      </c>
      <c r="I4047" t="s">
        <v>32633</v>
      </c>
      <c r="J4047" t="s">
        <v>35488</v>
      </c>
      <c r="K4047" t="s">
        <v>42630</v>
      </c>
      <c r="M4047" t="s">
        <v>44574</v>
      </c>
      <c r="N4047" t="s">
        <v>47304</v>
      </c>
      <c r="O4047" t="s">
        <v>47305</v>
      </c>
      <c r="P4047">
        <v>0</v>
      </c>
      <c r="Q4047">
        <v>6</v>
      </c>
      <c r="R4047" t="s">
        <v>47306</v>
      </c>
      <c r="S4047" t="s">
        <v>47414</v>
      </c>
      <c r="T4047" t="s">
        <v>48980</v>
      </c>
      <c r="U4047" t="s">
        <v>53014</v>
      </c>
      <c r="V4047" t="s">
        <v>63051</v>
      </c>
      <c r="W4047" t="s">
        <v>44574</v>
      </c>
      <c r="X4047" t="s">
        <v>47308</v>
      </c>
    </row>
    <row r="4048" spans="1:24">
      <c r="A4048">
        <f>HYPERLINK("https://www.philgeps.gov.ph/GEPSNONPILOT/Tender/SplashBidNoticeAbstractUI.aspx?menuIndex=3&amp;refID=7196452&amp;Result=3","7196452")</f>
        <v>0</v>
      </c>
      <c r="B4048" t="s">
        <v>1558</v>
      </c>
      <c r="C4048" t="s">
        <v>7257</v>
      </c>
      <c r="D4048" t="s">
        <v>19014</v>
      </c>
      <c r="E4048" t="s">
        <v>20654</v>
      </c>
      <c r="F4048" t="s">
        <v>32606</v>
      </c>
      <c r="G4048" t="s">
        <v>32613</v>
      </c>
      <c r="H4048" t="s">
        <v>14201</v>
      </c>
      <c r="I4048" t="s">
        <v>6931</v>
      </c>
      <c r="J4048" t="s">
        <v>35489</v>
      </c>
      <c r="K4048" t="s">
        <v>42631</v>
      </c>
      <c r="M4048" t="s">
        <v>44564</v>
      </c>
      <c r="N4048" t="s">
        <v>47304</v>
      </c>
      <c r="O4048" t="s">
        <v>47305</v>
      </c>
      <c r="P4048">
        <v>0</v>
      </c>
      <c r="Q4048">
        <v>0</v>
      </c>
      <c r="R4048" t="s">
        <v>47306</v>
      </c>
      <c r="S4048" t="s">
        <v>47414</v>
      </c>
      <c r="T4048" t="s">
        <v>48986</v>
      </c>
      <c r="U4048" t="s">
        <v>52924</v>
      </c>
      <c r="W4048" t="s">
        <v>44564</v>
      </c>
      <c r="X4048" t="s">
        <v>47308</v>
      </c>
    </row>
    <row r="4049" spans="1:24">
      <c r="A4049">
        <f>HYPERLINK("https://www.philgeps.gov.ph/GEPSNONPILOT/Tender/SplashBidNoticeAbstractUI.aspx?menuIndex=3&amp;refID=7196449&amp;Result=3","7196449")</f>
        <v>0</v>
      </c>
      <c r="B4049" t="s">
        <v>1566</v>
      </c>
      <c r="C4049" t="s">
        <v>6530</v>
      </c>
      <c r="D4049" t="s">
        <v>19007</v>
      </c>
      <c r="E4049" t="s">
        <v>22714</v>
      </c>
      <c r="F4049" t="s">
        <v>32606</v>
      </c>
      <c r="G4049" t="s">
        <v>32619</v>
      </c>
      <c r="H4049" t="s">
        <v>14201</v>
      </c>
      <c r="I4049" t="s">
        <v>8606</v>
      </c>
      <c r="J4049" t="s">
        <v>33526</v>
      </c>
      <c r="K4049" t="s">
        <v>42623</v>
      </c>
      <c r="M4049" t="s">
        <v>44575</v>
      </c>
      <c r="N4049" t="s">
        <v>47304</v>
      </c>
      <c r="O4049" t="s">
        <v>47305</v>
      </c>
      <c r="P4049">
        <v>0</v>
      </c>
      <c r="Q4049">
        <v>0</v>
      </c>
      <c r="R4049" t="s">
        <v>47306</v>
      </c>
      <c r="S4049" t="s">
        <v>47414</v>
      </c>
      <c r="T4049" t="s">
        <v>48971</v>
      </c>
      <c r="U4049" t="s">
        <v>53015</v>
      </c>
      <c r="W4049" t="s">
        <v>44575</v>
      </c>
      <c r="X4049" t="s">
        <v>47308</v>
      </c>
    </row>
    <row r="4050" spans="1:24">
      <c r="A4050">
        <f>HYPERLINK("https://www.philgeps.gov.ph/GEPSNONPILOT/Tender/SplashBidNoticeAbstractUI.aspx?menuIndex=3&amp;refID=7196427&amp;Result=3","7196427")</f>
        <v>0</v>
      </c>
      <c r="B4050" t="s">
        <v>1567</v>
      </c>
      <c r="C4050" t="s">
        <v>7684</v>
      </c>
      <c r="D4050" t="s">
        <v>18988</v>
      </c>
      <c r="E4050" t="s">
        <v>22715</v>
      </c>
      <c r="F4050" t="s">
        <v>32606</v>
      </c>
      <c r="G4050" t="s">
        <v>32613</v>
      </c>
      <c r="H4050" t="s">
        <v>14201</v>
      </c>
      <c r="I4050" t="s">
        <v>4120</v>
      </c>
      <c r="J4050" t="s">
        <v>35490</v>
      </c>
      <c r="K4050" t="s">
        <v>42623</v>
      </c>
      <c r="M4050" t="s">
        <v>44576</v>
      </c>
      <c r="N4050" t="s">
        <v>47304</v>
      </c>
      <c r="O4050" t="s">
        <v>47305</v>
      </c>
      <c r="P4050">
        <v>0</v>
      </c>
      <c r="Q4050">
        <v>0</v>
      </c>
      <c r="R4050" t="s">
        <v>47306</v>
      </c>
      <c r="S4050" t="s">
        <v>47414</v>
      </c>
      <c r="T4050" t="s">
        <v>49135</v>
      </c>
      <c r="U4050" t="s">
        <v>53016</v>
      </c>
      <c r="W4050" t="s">
        <v>44576</v>
      </c>
      <c r="X4050" t="s">
        <v>47308</v>
      </c>
    </row>
    <row r="4051" spans="1:24">
      <c r="A4051">
        <f>HYPERLINK("https://www.philgeps.gov.ph/GEPSNONPILOT/Tender/SplashBidNoticeAbstractUI.aspx?menuIndex=3&amp;refID=7196462&amp;Result=3","7196462")</f>
        <v>0</v>
      </c>
      <c r="B4051" t="s">
        <v>1568</v>
      </c>
      <c r="C4051" t="s">
        <v>7685</v>
      </c>
      <c r="D4051" t="s">
        <v>18994</v>
      </c>
      <c r="E4051" t="s">
        <v>22716</v>
      </c>
      <c r="F4051" t="s">
        <v>32606</v>
      </c>
      <c r="G4051" t="s">
        <v>32613</v>
      </c>
      <c r="H4051" t="s">
        <v>14201</v>
      </c>
      <c r="I4051" t="s">
        <v>7677</v>
      </c>
      <c r="J4051" t="s">
        <v>35491</v>
      </c>
      <c r="K4051" t="s">
        <v>42627</v>
      </c>
      <c r="M4051" t="s">
        <v>44577</v>
      </c>
      <c r="N4051" t="s">
        <v>47304</v>
      </c>
      <c r="O4051" t="s">
        <v>47305</v>
      </c>
      <c r="P4051">
        <v>0</v>
      </c>
      <c r="Q4051">
        <v>6</v>
      </c>
      <c r="R4051" t="s">
        <v>47306</v>
      </c>
      <c r="S4051" t="s">
        <v>47414</v>
      </c>
      <c r="T4051" t="s">
        <v>48995</v>
      </c>
      <c r="U4051" t="s">
        <v>53017</v>
      </c>
      <c r="V4051" t="s">
        <v>62763</v>
      </c>
      <c r="W4051" t="s">
        <v>44577</v>
      </c>
      <c r="X4051" t="s">
        <v>47308</v>
      </c>
    </row>
    <row r="4052" spans="1:24">
      <c r="A4052">
        <f>HYPERLINK("https://www.philgeps.gov.ph/GEPSNONPILOT/Tender/SplashBidNoticeAbstractUI.aspx?menuIndex=3&amp;refID=7196458&amp;Result=3","7196458")</f>
        <v>0</v>
      </c>
      <c r="B4052" t="s">
        <v>234</v>
      </c>
      <c r="C4052" t="s">
        <v>7686</v>
      </c>
      <c r="D4052" t="s">
        <v>19052</v>
      </c>
      <c r="E4052" t="s">
        <v>22717</v>
      </c>
      <c r="F4052" t="s">
        <v>32606</v>
      </c>
      <c r="G4052" t="s">
        <v>32614</v>
      </c>
      <c r="H4052" t="s">
        <v>14201</v>
      </c>
      <c r="I4052" t="s">
        <v>9008</v>
      </c>
      <c r="J4052" t="s">
        <v>35492</v>
      </c>
      <c r="K4052" t="s">
        <v>42631</v>
      </c>
      <c r="M4052" t="s">
        <v>43135</v>
      </c>
      <c r="N4052" t="s">
        <v>47304</v>
      </c>
      <c r="O4052" t="s">
        <v>47305</v>
      </c>
      <c r="P4052">
        <v>0</v>
      </c>
      <c r="Q4052">
        <v>0</v>
      </c>
      <c r="R4052" t="s">
        <v>47306</v>
      </c>
      <c r="S4052" t="s">
        <v>47414</v>
      </c>
      <c r="T4052" t="s">
        <v>49050</v>
      </c>
      <c r="U4052" t="s">
        <v>53018</v>
      </c>
      <c r="V4052" t="s">
        <v>62641</v>
      </c>
      <c r="W4052" t="s">
        <v>43135</v>
      </c>
      <c r="X4052" t="s">
        <v>47308</v>
      </c>
    </row>
    <row r="4053" spans="1:24">
      <c r="A4053">
        <f>HYPERLINK("https://www.philgeps.gov.ph/GEPSNONPILOT/Tender/SplashBidNoticeAbstractUI.aspx?menuIndex=3&amp;refID=7196444&amp;Result=3","7196444")</f>
        <v>0</v>
      </c>
      <c r="B4053" t="s">
        <v>599</v>
      </c>
      <c r="C4053" t="s">
        <v>7687</v>
      </c>
      <c r="D4053" t="s">
        <v>18994</v>
      </c>
      <c r="E4053" t="s">
        <v>22718</v>
      </c>
      <c r="F4053" t="s">
        <v>32606</v>
      </c>
      <c r="G4053" t="s">
        <v>32619</v>
      </c>
      <c r="H4053" t="s">
        <v>14201</v>
      </c>
      <c r="I4053" t="s">
        <v>4120</v>
      </c>
      <c r="J4053" t="s">
        <v>35493</v>
      </c>
      <c r="K4053" t="s">
        <v>42630</v>
      </c>
      <c r="M4053" t="s">
        <v>43514</v>
      </c>
      <c r="N4053" t="s">
        <v>47304</v>
      </c>
      <c r="O4053" t="s">
        <v>47305</v>
      </c>
      <c r="P4053">
        <v>0</v>
      </c>
      <c r="Q4053">
        <v>0</v>
      </c>
      <c r="R4053" t="s">
        <v>47306</v>
      </c>
      <c r="S4053" t="s">
        <v>47414</v>
      </c>
      <c r="T4053" t="s">
        <v>49071</v>
      </c>
      <c r="U4053" t="s">
        <v>53019</v>
      </c>
      <c r="W4053" t="s">
        <v>43514</v>
      </c>
      <c r="X4053" t="s">
        <v>47308</v>
      </c>
    </row>
    <row r="4054" spans="1:24">
      <c r="A4054">
        <f>HYPERLINK("https://www.philgeps.gov.ph/GEPSNONPILOT/Tender/SplashBidNoticeAbstractUI.aspx?menuIndex=3&amp;refID=7196459&amp;Result=3","7196459")</f>
        <v>0</v>
      </c>
      <c r="B4054" t="s">
        <v>247</v>
      </c>
      <c r="C4054" t="s">
        <v>7688</v>
      </c>
      <c r="D4054" t="s">
        <v>18993</v>
      </c>
      <c r="E4054" t="s">
        <v>22719</v>
      </c>
      <c r="F4054" t="s">
        <v>32606</v>
      </c>
      <c r="G4054" t="s">
        <v>32613</v>
      </c>
      <c r="H4054" t="s">
        <v>14201</v>
      </c>
      <c r="I4054" t="s">
        <v>7064</v>
      </c>
      <c r="J4054" t="s">
        <v>32830</v>
      </c>
      <c r="K4054" t="s">
        <v>42636</v>
      </c>
      <c r="M4054" t="s">
        <v>44578</v>
      </c>
      <c r="N4054" t="s">
        <v>47304</v>
      </c>
      <c r="O4054" t="s">
        <v>47305</v>
      </c>
      <c r="P4054">
        <v>0</v>
      </c>
      <c r="Q4054">
        <v>4</v>
      </c>
      <c r="R4054" t="s">
        <v>47306</v>
      </c>
      <c r="S4054" t="s">
        <v>47414</v>
      </c>
      <c r="T4054" t="s">
        <v>49275</v>
      </c>
      <c r="U4054" t="s">
        <v>53020</v>
      </c>
      <c r="V4054" t="s">
        <v>63052</v>
      </c>
      <c r="W4054" t="s">
        <v>44578</v>
      </c>
      <c r="X4054" t="s">
        <v>47308</v>
      </c>
    </row>
    <row r="4055" spans="1:24">
      <c r="A4055">
        <f>HYPERLINK("https://www.philgeps.gov.ph/GEPSNONPILOT/Tender/SplashBidNoticeAbstractUI.aspx?menuIndex=3&amp;refID=7196443&amp;Result=3","7196443")</f>
        <v>0</v>
      </c>
      <c r="B4055" t="s">
        <v>1130</v>
      </c>
      <c r="C4055" t="s">
        <v>7689</v>
      </c>
      <c r="D4055" t="s">
        <v>19053</v>
      </c>
      <c r="E4055" t="s">
        <v>22720</v>
      </c>
      <c r="F4055" t="s">
        <v>32606</v>
      </c>
      <c r="G4055" t="s">
        <v>32614</v>
      </c>
      <c r="H4055" t="s">
        <v>14201</v>
      </c>
      <c r="I4055" t="s">
        <v>9013</v>
      </c>
      <c r="J4055" t="s">
        <v>33936</v>
      </c>
      <c r="K4055" t="s">
        <v>42624</v>
      </c>
      <c r="M4055" t="s">
        <v>44454</v>
      </c>
      <c r="N4055" t="s">
        <v>47304</v>
      </c>
      <c r="O4055" t="s">
        <v>47305</v>
      </c>
      <c r="P4055">
        <v>0</v>
      </c>
      <c r="Q4055">
        <v>13</v>
      </c>
      <c r="R4055" t="s">
        <v>47306</v>
      </c>
      <c r="S4055" t="s">
        <v>47414</v>
      </c>
      <c r="T4055" t="s">
        <v>49010</v>
      </c>
      <c r="U4055" t="s">
        <v>53021</v>
      </c>
      <c r="V4055" t="s">
        <v>63046</v>
      </c>
      <c r="W4055" t="s">
        <v>44454</v>
      </c>
      <c r="X4055" t="s">
        <v>47308</v>
      </c>
    </row>
    <row r="4056" spans="1:24">
      <c r="A4056">
        <f>HYPERLINK("https://www.philgeps.gov.ph/GEPSNONPILOT/Tender/SplashBidNoticeAbstractUI.aspx?menuIndex=3&amp;refID=7196448&amp;Result=3","7196448")</f>
        <v>0</v>
      </c>
      <c r="B4056" t="s">
        <v>269</v>
      </c>
      <c r="C4056" t="s">
        <v>7690</v>
      </c>
      <c r="D4056" t="s">
        <v>19023</v>
      </c>
      <c r="E4056" t="s">
        <v>22721</v>
      </c>
      <c r="F4056" t="s">
        <v>32606</v>
      </c>
      <c r="G4056" t="s">
        <v>32614</v>
      </c>
      <c r="H4056" t="s">
        <v>14201</v>
      </c>
      <c r="I4056" t="s">
        <v>6993</v>
      </c>
      <c r="J4056" t="s">
        <v>32885</v>
      </c>
      <c r="K4056" t="s">
        <v>42622</v>
      </c>
      <c r="M4056" t="s">
        <v>43170</v>
      </c>
      <c r="N4056" t="s">
        <v>47304</v>
      </c>
      <c r="O4056" t="s">
        <v>47305</v>
      </c>
      <c r="P4056">
        <v>0</v>
      </c>
      <c r="Q4056">
        <v>0</v>
      </c>
      <c r="R4056" t="s">
        <v>47306</v>
      </c>
      <c r="S4056" t="s">
        <v>47414</v>
      </c>
      <c r="T4056" t="s">
        <v>49050</v>
      </c>
      <c r="U4056" t="s">
        <v>50006</v>
      </c>
      <c r="W4056" t="s">
        <v>43170</v>
      </c>
      <c r="X4056" t="s">
        <v>47308</v>
      </c>
    </row>
    <row r="4057" spans="1:24">
      <c r="A4057">
        <f>HYPERLINK("https://www.philgeps.gov.ph/GEPSNONPILOT/Tender/SplashBidNoticeAbstractUI.aspx?menuIndex=3&amp;refID=7196477&amp;Result=3","7196477")</f>
        <v>0</v>
      </c>
      <c r="B4057" t="s">
        <v>778</v>
      </c>
      <c r="C4057" t="s">
        <v>7691</v>
      </c>
      <c r="D4057" t="s">
        <v>19012</v>
      </c>
      <c r="E4057" t="s">
        <v>19453</v>
      </c>
      <c r="F4057" t="s">
        <v>32606</v>
      </c>
      <c r="G4057" t="s">
        <v>32613</v>
      </c>
      <c r="H4057" t="s">
        <v>14201</v>
      </c>
      <c r="I4057" t="s">
        <v>7577</v>
      </c>
      <c r="J4057" t="s">
        <v>35494</v>
      </c>
      <c r="K4057" t="s">
        <v>42623</v>
      </c>
      <c r="M4057" t="s">
        <v>43708</v>
      </c>
      <c r="N4057" t="s">
        <v>47304</v>
      </c>
      <c r="O4057" t="s">
        <v>47305</v>
      </c>
      <c r="P4057">
        <v>0</v>
      </c>
      <c r="Q4057">
        <v>3</v>
      </c>
      <c r="R4057" t="s">
        <v>47306</v>
      </c>
      <c r="S4057" t="s">
        <v>47414</v>
      </c>
      <c r="T4057" t="s">
        <v>49017</v>
      </c>
      <c r="U4057" t="s">
        <v>53022</v>
      </c>
      <c r="W4057" t="s">
        <v>43708</v>
      </c>
      <c r="X4057" t="s">
        <v>47308</v>
      </c>
    </row>
    <row r="4058" spans="1:24">
      <c r="A4058">
        <f>HYPERLINK("https://www.philgeps.gov.ph/GEPSNONPILOT/Tender/SplashBidNoticeAbstractUI.aspx?menuIndex=3&amp;refID=7196488&amp;Result=3","7196488")</f>
        <v>0</v>
      </c>
      <c r="B4058" t="s">
        <v>321</v>
      </c>
      <c r="C4058" t="s">
        <v>7692</v>
      </c>
      <c r="D4058" t="s">
        <v>19048</v>
      </c>
      <c r="E4058" t="s">
        <v>22722</v>
      </c>
      <c r="F4058" t="s">
        <v>32606</v>
      </c>
      <c r="G4058" t="s">
        <v>32614</v>
      </c>
      <c r="H4058" t="s">
        <v>14201</v>
      </c>
      <c r="I4058" t="s">
        <v>32633</v>
      </c>
      <c r="J4058" t="s">
        <v>35495</v>
      </c>
      <c r="K4058" t="s">
        <v>42624</v>
      </c>
      <c r="M4058" t="s">
        <v>43223</v>
      </c>
      <c r="N4058" t="s">
        <v>47304</v>
      </c>
      <c r="O4058" t="s">
        <v>47305</v>
      </c>
      <c r="P4058">
        <v>0</v>
      </c>
      <c r="Q4058">
        <v>3</v>
      </c>
      <c r="R4058" t="s">
        <v>47306</v>
      </c>
      <c r="S4058" t="s">
        <v>47414</v>
      </c>
      <c r="T4058" t="s">
        <v>49276</v>
      </c>
      <c r="U4058" t="s">
        <v>50107</v>
      </c>
      <c r="W4058" t="s">
        <v>43223</v>
      </c>
      <c r="X4058" t="s">
        <v>47308</v>
      </c>
    </row>
    <row r="4059" spans="1:24">
      <c r="A4059">
        <f>HYPERLINK("https://www.philgeps.gov.ph/GEPSNONPILOT/Tender/SplashBidNoticeAbstractUI.aspx?menuIndex=3&amp;refID=7196446&amp;Result=3","7196446")</f>
        <v>0</v>
      </c>
      <c r="B4059" t="s">
        <v>1559</v>
      </c>
      <c r="C4059" t="s">
        <v>7693</v>
      </c>
      <c r="D4059" t="s">
        <v>19040</v>
      </c>
      <c r="E4059" t="s">
        <v>22723</v>
      </c>
      <c r="F4059" t="s">
        <v>32606</v>
      </c>
      <c r="G4059" t="s">
        <v>32614</v>
      </c>
      <c r="H4059" t="s">
        <v>14201</v>
      </c>
      <c r="I4059" t="s">
        <v>6007</v>
      </c>
      <c r="J4059" t="s">
        <v>35496</v>
      </c>
      <c r="K4059" t="s">
        <v>42624</v>
      </c>
      <c r="M4059" t="s">
        <v>44565</v>
      </c>
      <c r="N4059" t="s">
        <v>47304</v>
      </c>
      <c r="O4059" t="s">
        <v>47305</v>
      </c>
      <c r="P4059">
        <v>0</v>
      </c>
      <c r="Q4059">
        <v>0</v>
      </c>
      <c r="R4059" t="s">
        <v>47306</v>
      </c>
      <c r="S4059" t="s">
        <v>47414</v>
      </c>
      <c r="T4059" t="s">
        <v>49004</v>
      </c>
      <c r="U4059" t="s">
        <v>53023</v>
      </c>
      <c r="W4059" t="s">
        <v>44565</v>
      </c>
      <c r="X4059" t="s">
        <v>47308</v>
      </c>
    </row>
    <row r="4060" spans="1:24">
      <c r="A4060">
        <f>HYPERLINK("https://www.philgeps.gov.ph/GEPSNONPILOT/Tender/SplashBidNoticeAbstractUI.aspx?menuIndex=3&amp;refID=7196486&amp;Result=3","7196486")</f>
        <v>0</v>
      </c>
      <c r="B4060" t="s">
        <v>1561</v>
      </c>
      <c r="C4060" t="s">
        <v>7694</v>
      </c>
      <c r="D4060" t="s">
        <v>19002</v>
      </c>
      <c r="E4060" t="s">
        <v>22724</v>
      </c>
      <c r="F4060" t="s">
        <v>32606</v>
      </c>
      <c r="G4060" t="s">
        <v>32613</v>
      </c>
      <c r="H4060" t="s">
        <v>14201</v>
      </c>
      <c r="I4060" t="s">
        <v>6993</v>
      </c>
      <c r="J4060" t="s">
        <v>35497</v>
      </c>
      <c r="K4060" t="s">
        <v>42631</v>
      </c>
      <c r="L4060" t="s">
        <v>1561</v>
      </c>
      <c r="M4060" t="s">
        <v>44568</v>
      </c>
      <c r="N4060" t="s">
        <v>47304</v>
      </c>
      <c r="O4060" t="s">
        <v>47305</v>
      </c>
      <c r="P4060">
        <v>0</v>
      </c>
      <c r="Q4060">
        <v>1</v>
      </c>
      <c r="R4060" t="s">
        <v>47306</v>
      </c>
      <c r="S4060" t="s">
        <v>47414</v>
      </c>
      <c r="T4060" t="s">
        <v>49008</v>
      </c>
      <c r="U4060" t="s">
        <v>53024</v>
      </c>
      <c r="W4060" t="s">
        <v>44568</v>
      </c>
      <c r="X4060" t="s">
        <v>47308</v>
      </c>
    </row>
    <row r="4061" spans="1:24">
      <c r="A4061">
        <f>HYPERLINK("https://www.philgeps.gov.ph/GEPSNONPILOT/Tender/SplashBidNoticeAbstractUI.aspx?menuIndex=3&amp;refID=7196442&amp;Result=3","7196442")</f>
        <v>0</v>
      </c>
      <c r="B4061" t="s">
        <v>535</v>
      </c>
      <c r="C4061" t="s">
        <v>7695</v>
      </c>
      <c r="D4061" t="s">
        <v>19031</v>
      </c>
      <c r="E4061" t="s">
        <v>22725</v>
      </c>
      <c r="F4061" t="s">
        <v>32606</v>
      </c>
      <c r="G4061" t="s">
        <v>32613</v>
      </c>
      <c r="H4061" t="s">
        <v>14201</v>
      </c>
      <c r="I4061" t="s">
        <v>5233</v>
      </c>
      <c r="J4061" t="s">
        <v>35498</v>
      </c>
      <c r="K4061" t="s">
        <v>42639</v>
      </c>
      <c r="M4061" t="s">
        <v>43448</v>
      </c>
      <c r="N4061" t="s">
        <v>47304</v>
      </c>
      <c r="O4061" t="s">
        <v>47305</v>
      </c>
      <c r="P4061">
        <v>0</v>
      </c>
      <c r="Q4061">
        <v>0</v>
      </c>
      <c r="R4061" t="s">
        <v>47306</v>
      </c>
      <c r="S4061" t="s">
        <v>47414</v>
      </c>
      <c r="T4061" t="s">
        <v>48986</v>
      </c>
      <c r="U4061" t="s">
        <v>53025</v>
      </c>
      <c r="W4061" t="s">
        <v>43448</v>
      </c>
      <c r="X4061" t="s">
        <v>47308</v>
      </c>
    </row>
    <row r="4062" spans="1:24">
      <c r="A4062">
        <f>HYPERLINK("https://www.philgeps.gov.ph/GEPSNONPILOT/Tender/SplashBidNoticeAbstractUI.aspx?menuIndex=3&amp;refID=7196484&amp;Result=3","7196484")</f>
        <v>0</v>
      </c>
      <c r="B4062" t="s">
        <v>1353</v>
      </c>
      <c r="C4062" t="s">
        <v>7696</v>
      </c>
      <c r="D4062" t="s">
        <v>19041</v>
      </c>
      <c r="E4062" t="s">
        <v>22008</v>
      </c>
      <c r="F4062" t="s">
        <v>32606</v>
      </c>
      <c r="G4062" t="s">
        <v>32619</v>
      </c>
      <c r="H4062" t="s">
        <v>14201</v>
      </c>
      <c r="I4062" t="s">
        <v>6298</v>
      </c>
      <c r="J4062" t="s">
        <v>35499</v>
      </c>
      <c r="K4062" t="s">
        <v>42624</v>
      </c>
      <c r="M4062" t="s">
        <v>44327</v>
      </c>
      <c r="N4062" t="s">
        <v>47304</v>
      </c>
      <c r="O4062" t="s">
        <v>47305</v>
      </c>
      <c r="P4062">
        <v>0</v>
      </c>
      <c r="Q4062">
        <v>1</v>
      </c>
      <c r="R4062" t="s">
        <v>47306</v>
      </c>
      <c r="S4062" t="s">
        <v>47414</v>
      </c>
      <c r="T4062" t="s">
        <v>49014</v>
      </c>
      <c r="U4062" t="s">
        <v>53026</v>
      </c>
      <c r="V4062" t="s">
        <v>62993</v>
      </c>
      <c r="W4062" t="s">
        <v>44327</v>
      </c>
      <c r="X4062" t="s">
        <v>47308</v>
      </c>
    </row>
    <row r="4063" spans="1:24">
      <c r="A4063">
        <f>HYPERLINK("https://www.philgeps.gov.ph/GEPSNONPILOT/Tender/SplashBidNoticeAbstractUI.aspx?menuIndex=3&amp;refID=7196481&amp;Result=3","7196481")</f>
        <v>0</v>
      </c>
      <c r="B4063" t="s">
        <v>1569</v>
      </c>
      <c r="C4063" t="s">
        <v>7697</v>
      </c>
      <c r="D4063" t="s">
        <v>18993</v>
      </c>
      <c r="E4063" t="s">
        <v>20274</v>
      </c>
      <c r="F4063" t="s">
        <v>32606</v>
      </c>
      <c r="G4063" t="s">
        <v>32619</v>
      </c>
      <c r="H4063" t="s">
        <v>14201</v>
      </c>
      <c r="I4063" t="s">
        <v>32640</v>
      </c>
      <c r="J4063" t="s">
        <v>33274</v>
      </c>
      <c r="K4063" t="s">
        <v>42624</v>
      </c>
      <c r="M4063" t="s">
        <v>44579</v>
      </c>
      <c r="N4063" t="s">
        <v>47304</v>
      </c>
      <c r="O4063" t="s">
        <v>47305</v>
      </c>
      <c r="P4063">
        <v>0</v>
      </c>
      <c r="Q4063">
        <v>5</v>
      </c>
      <c r="R4063" t="s">
        <v>47306</v>
      </c>
      <c r="S4063" t="s">
        <v>47414</v>
      </c>
      <c r="T4063" t="s">
        <v>49072</v>
      </c>
      <c r="U4063" t="s">
        <v>53027</v>
      </c>
      <c r="W4063" t="s">
        <v>44579</v>
      </c>
      <c r="X4063" t="s">
        <v>47308</v>
      </c>
    </row>
    <row r="4064" spans="1:24">
      <c r="A4064">
        <f>HYPERLINK("https://www.philgeps.gov.ph/GEPSNONPILOT/Tender/SplashBidNoticeAbstractUI.aspx?menuIndex=3&amp;refID=7196480&amp;Result=3","7196480")</f>
        <v>0</v>
      </c>
      <c r="B4064" t="s">
        <v>974</v>
      </c>
      <c r="C4064" t="s">
        <v>7698</v>
      </c>
      <c r="D4064" t="s">
        <v>19037</v>
      </c>
      <c r="E4064" t="s">
        <v>22726</v>
      </c>
      <c r="F4064" t="s">
        <v>32606</v>
      </c>
      <c r="G4064" t="s">
        <v>32619</v>
      </c>
      <c r="H4064" t="s">
        <v>14201</v>
      </c>
      <c r="I4064" t="s">
        <v>4678</v>
      </c>
      <c r="J4064" t="s">
        <v>35500</v>
      </c>
      <c r="K4064" t="s">
        <v>42630</v>
      </c>
      <c r="M4064" t="s">
        <v>43920</v>
      </c>
      <c r="N4064" t="s">
        <v>47304</v>
      </c>
      <c r="O4064" t="s">
        <v>47305</v>
      </c>
      <c r="P4064">
        <v>0</v>
      </c>
      <c r="Q4064">
        <v>0</v>
      </c>
      <c r="R4064" t="s">
        <v>47306</v>
      </c>
      <c r="S4064" t="s">
        <v>47414</v>
      </c>
      <c r="T4064" t="s">
        <v>48986</v>
      </c>
      <c r="U4064" t="s">
        <v>53028</v>
      </c>
      <c r="W4064" t="s">
        <v>43920</v>
      </c>
      <c r="X4064" t="s">
        <v>47308</v>
      </c>
    </row>
    <row r="4065" spans="1:24">
      <c r="A4065">
        <f>HYPERLINK("https://www.philgeps.gov.ph/GEPSNONPILOT/Tender/SplashBidNoticeAbstractUI.aspx?menuIndex=3&amp;refID=7196479&amp;Result=3","7196479")</f>
        <v>0</v>
      </c>
      <c r="B4065" t="s">
        <v>1570</v>
      </c>
      <c r="C4065" t="s">
        <v>7699</v>
      </c>
      <c r="D4065" t="s">
        <v>19007</v>
      </c>
      <c r="E4065" t="s">
        <v>22727</v>
      </c>
      <c r="F4065" t="s">
        <v>32606</v>
      </c>
      <c r="G4065" t="s">
        <v>32619</v>
      </c>
      <c r="H4065" t="s">
        <v>14201</v>
      </c>
      <c r="I4065" t="s">
        <v>32626</v>
      </c>
      <c r="J4065" t="s">
        <v>32963</v>
      </c>
      <c r="K4065" t="s">
        <v>42623</v>
      </c>
      <c r="M4065" t="s">
        <v>44580</v>
      </c>
      <c r="N4065" t="s">
        <v>47304</v>
      </c>
      <c r="O4065" t="s">
        <v>47305</v>
      </c>
      <c r="P4065">
        <v>0</v>
      </c>
      <c r="Q4065">
        <v>1</v>
      </c>
      <c r="R4065" t="s">
        <v>47306</v>
      </c>
      <c r="S4065" t="s">
        <v>47414</v>
      </c>
      <c r="T4065" t="s">
        <v>48971</v>
      </c>
      <c r="U4065" t="s">
        <v>53029</v>
      </c>
      <c r="W4065" t="s">
        <v>44580</v>
      </c>
      <c r="X4065" t="s">
        <v>47308</v>
      </c>
    </row>
    <row r="4066" spans="1:24">
      <c r="A4066">
        <f>HYPERLINK("https://www.philgeps.gov.ph/GEPSNONPILOT/Tender/SplashBidNoticeAbstractUI.aspx?menuIndex=3&amp;refID=7196476&amp;Result=3","7196476")</f>
        <v>0</v>
      </c>
      <c r="B4066" t="s">
        <v>984</v>
      </c>
      <c r="C4066" t="s">
        <v>7613</v>
      </c>
      <c r="D4066" t="s">
        <v>19039</v>
      </c>
      <c r="E4066" t="s">
        <v>22728</v>
      </c>
      <c r="F4066" t="s">
        <v>32606</v>
      </c>
      <c r="G4066" t="s">
        <v>32614</v>
      </c>
      <c r="H4066" t="s">
        <v>14201</v>
      </c>
      <c r="I4066" t="s">
        <v>6993</v>
      </c>
      <c r="J4066" t="s">
        <v>32951</v>
      </c>
      <c r="K4066" t="s">
        <v>42625</v>
      </c>
      <c r="L4066" t="s">
        <v>984</v>
      </c>
      <c r="M4066" t="s">
        <v>43930</v>
      </c>
      <c r="N4066" t="s">
        <v>47304</v>
      </c>
      <c r="O4066" t="s">
        <v>47305</v>
      </c>
      <c r="P4066">
        <v>0</v>
      </c>
      <c r="Q4066">
        <v>0</v>
      </c>
      <c r="R4066" t="s">
        <v>47306</v>
      </c>
      <c r="S4066" t="s">
        <v>47414</v>
      </c>
      <c r="T4066" t="s">
        <v>48971</v>
      </c>
      <c r="U4066" t="s">
        <v>53030</v>
      </c>
      <c r="W4066" t="s">
        <v>43930</v>
      </c>
      <c r="X4066" t="s">
        <v>47308</v>
      </c>
    </row>
    <row r="4067" spans="1:24">
      <c r="A4067">
        <f>HYPERLINK("https://www.philgeps.gov.ph/GEPSNONPILOT/Tender/SplashBidNoticeAbstractUI.aspx?menuIndex=3&amp;refID=7196474&amp;Result=3","7196474")</f>
        <v>0</v>
      </c>
      <c r="B4067" t="s">
        <v>294</v>
      </c>
      <c r="C4067" t="s">
        <v>7700</v>
      </c>
      <c r="D4067" t="s">
        <v>19019</v>
      </c>
      <c r="E4067" t="s">
        <v>22729</v>
      </c>
      <c r="F4067" t="s">
        <v>32606</v>
      </c>
      <c r="G4067" t="s">
        <v>32614</v>
      </c>
      <c r="H4067" t="s">
        <v>14201</v>
      </c>
      <c r="I4067" t="s">
        <v>32638</v>
      </c>
      <c r="J4067" t="s">
        <v>33994</v>
      </c>
      <c r="K4067" t="s">
        <v>42631</v>
      </c>
      <c r="M4067" t="s">
        <v>43196</v>
      </c>
      <c r="N4067" t="s">
        <v>47304</v>
      </c>
      <c r="O4067" t="s">
        <v>47305</v>
      </c>
      <c r="P4067">
        <v>0</v>
      </c>
      <c r="Q4067">
        <v>18</v>
      </c>
      <c r="R4067" t="s">
        <v>47306</v>
      </c>
      <c r="S4067" t="s">
        <v>47414</v>
      </c>
      <c r="T4067" t="s">
        <v>49014</v>
      </c>
      <c r="U4067" t="s">
        <v>50052</v>
      </c>
      <c r="W4067" t="s">
        <v>43196</v>
      </c>
      <c r="X4067" t="s">
        <v>47308</v>
      </c>
    </row>
    <row r="4068" spans="1:24">
      <c r="A4068">
        <f>HYPERLINK("https://www.philgeps.gov.ph/GEPSNONPILOT/Tender/SplashBidNoticeAbstractUI.aspx?menuIndex=3&amp;refID=7196473&amp;Result=3","7196473")</f>
        <v>0</v>
      </c>
      <c r="B4068" t="s">
        <v>39</v>
      </c>
      <c r="C4068" t="s">
        <v>7701</v>
      </c>
      <c r="D4068" t="s">
        <v>18990</v>
      </c>
      <c r="E4068" t="s">
        <v>22730</v>
      </c>
      <c r="F4068" t="s">
        <v>32606</v>
      </c>
      <c r="G4068" t="s">
        <v>32613</v>
      </c>
      <c r="H4068" t="s">
        <v>14201</v>
      </c>
      <c r="I4068" t="s">
        <v>6298</v>
      </c>
      <c r="J4068" t="s">
        <v>35501</v>
      </c>
      <c r="K4068" t="s">
        <v>42623</v>
      </c>
      <c r="M4068" t="s">
        <v>44581</v>
      </c>
      <c r="N4068" t="s">
        <v>47304</v>
      </c>
      <c r="O4068" t="s">
        <v>47305</v>
      </c>
      <c r="P4068">
        <v>0</v>
      </c>
      <c r="Q4068">
        <v>0</v>
      </c>
      <c r="R4068" t="s">
        <v>47306</v>
      </c>
      <c r="S4068" t="s">
        <v>47414</v>
      </c>
      <c r="T4068" t="s">
        <v>49018</v>
      </c>
      <c r="U4068" t="s">
        <v>53031</v>
      </c>
      <c r="W4068" t="s">
        <v>44581</v>
      </c>
      <c r="X4068" t="s">
        <v>47308</v>
      </c>
    </row>
    <row r="4069" spans="1:24">
      <c r="A4069">
        <f>HYPERLINK("https://www.philgeps.gov.ph/GEPSNONPILOT/Tender/SplashBidNoticeAbstractUI.aspx?menuIndex=3&amp;refID=7196464&amp;Result=3","7196464")</f>
        <v>0</v>
      </c>
      <c r="B4069" t="s">
        <v>1571</v>
      </c>
      <c r="C4069" t="s">
        <v>7702</v>
      </c>
      <c r="D4069" t="s">
        <v>19040</v>
      </c>
      <c r="E4069" t="s">
        <v>22731</v>
      </c>
      <c r="F4069" t="s">
        <v>32606</v>
      </c>
      <c r="G4069" t="s">
        <v>32614</v>
      </c>
      <c r="H4069" t="s">
        <v>14201</v>
      </c>
      <c r="I4069" t="s">
        <v>4369</v>
      </c>
      <c r="J4069" t="s">
        <v>35502</v>
      </c>
      <c r="K4069" t="s">
        <v>42629</v>
      </c>
      <c r="M4069" t="s">
        <v>44582</v>
      </c>
      <c r="N4069" t="s">
        <v>47304</v>
      </c>
      <c r="O4069" t="s">
        <v>47305</v>
      </c>
      <c r="P4069">
        <v>0</v>
      </c>
      <c r="Q4069">
        <v>3</v>
      </c>
      <c r="R4069" t="s">
        <v>47306</v>
      </c>
      <c r="S4069" t="s">
        <v>47414</v>
      </c>
      <c r="T4069" t="s">
        <v>49014</v>
      </c>
      <c r="U4069" t="s">
        <v>53032</v>
      </c>
      <c r="W4069" t="s">
        <v>44582</v>
      </c>
      <c r="X4069" t="s">
        <v>47308</v>
      </c>
    </row>
    <row r="4070" spans="1:24">
      <c r="A4070">
        <f>HYPERLINK("https://www.philgeps.gov.ph/GEPSNONPILOT/Tender/SplashBidNoticeAbstractUI.aspx?menuIndex=3&amp;refID=7196472&amp;Result=3","7196472")</f>
        <v>0</v>
      </c>
      <c r="B4070" t="s">
        <v>1022</v>
      </c>
      <c r="C4070" t="s">
        <v>7703</v>
      </c>
      <c r="D4070" t="s">
        <v>19033</v>
      </c>
      <c r="E4070" t="s">
        <v>7703</v>
      </c>
      <c r="F4070" t="s">
        <v>32606</v>
      </c>
      <c r="G4070" t="s">
        <v>32614</v>
      </c>
      <c r="H4070" t="s">
        <v>14201</v>
      </c>
      <c r="I4070" t="s">
        <v>6931</v>
      </c>
      <c r="J4070" t="s">
        <v>35503</v>
      </c>
      <c r="K4070" t="s">
        <v>42631</v>
      </c>
      <c r="M4070" t="s">
        <v>43974</v>
      </c>
      <c r="N4070" t="s">
        <v>47304</v>
      </c>
      <c r="O4070" t="s">
        <v>47305</v>
      </c>
      <c r="P4070">
        <v>0</v>
      </c>
      <c r="Q4070">
        <v>0</v>
      </c>
      <c r="R4070" t="s">
        <v>47306</v>
      </c>
      <c r="S4070" t="s">
        <v>47414</v>
      </c>
      <c r="T4070" t="s">
        <v>48980</v>
      </c>
      <c r="U4070" t="s">
        <v>53033</v>
      </c>
      <c r="W4070" t="s">
        <v>43974</v>
      </c>
      <c r="X4070" t="s">
        <v>47308</v>
      </c>
    </row>
    <row r="4071" spans="1:24">
      <c r="A4071">
        <f>HYPERLINK("https://www.philgeps.gov.ph/GEPSNONPILOT/Tender/SplashBidNoticeAbstractUI.aspx?menuIndex=3&amp;refID=7196482&amp;Result=3","7196482")</f>
        <v>0</v>
      </c>
      <c r="B4071" t="s">
        <v>1572</v>
      </c>
      <c r="C4071" t="s">
        <v>7704</v>
      </c>
      <c r="D4071" t="s">
        <v>18993</v>
      </c>
      <c r="E4071" t="s">
        <v>22732</v>
      </c>
      <c r="F4071" t="s">
        <v>32606</v>
      </c>
      <c r="G4071" t="s">
        <v>32617</v>
      </c>
      <c r="H4071" t="s">
        <v>14201</v>
      </c>
      <c r="I4071" t="s">
        <v>4678</v>
      </c>
      <c r="J4071" t="s">
        <v>33576</v>
      </c>
      <c r="K4071" t="s">
        <v>42630</v>
      </c>
      <c r="M4071" t="s">
        <v>44583</v>
      </c>
      <c r="N4071" t="s">
        <v>47304</v>
      </c>
      <c r="O4071" t="s">
        <v>47305</v>
      </c>
      <c r="P4071">
        <v>0</v>
      </c>
      <c r="Q4071">
        <v>3</v>
      </c>
      <c r="R4071" t="s">
        <v>47306</v>
      </c>
      <c r="S4071" t="s">
        <v>47414</v>
      </c>
      <c r="T4071" t="s">
        <v>49150</v>
      </c>
      <c r="U4071" t="s">
        <v>53034</v>
      </c>
      <c r="V4071" t="s">
        <v>63053</v>
      </c>
      <c r="W4071" t="s">
        <v>44583</v>
      </c>
      <c r="X4071" t="s">
        <v>47308</v>
      </c>
    </row>
    <row r="4072" spans="1:24">
      <c r="A4072">
        <f>HYPERLINK("https://www.philgeps.gov.ph/GEPSNONPILOT/Tender/SplashBidNoticeAbstractUI.aspx?menuIndex=3&amp;refID=7196504&amp;Result=3","7196504")</f>
        <v>0</v>
      </c>
      <c r="B4072" t="s">
        <v>233</v>
      </c>
      <c r="C4072" t="s">
        <v>7705</v>
      </c>
      <c r="D4072" t="s">
        <v>18997</v>
      </c>
      <c r="E4072" t="s">
        <v>22733</v>
      </c>
      <c r="F4072" t="s">
        <v>32606</v>
      </c>
      <c r="G4072" t="s">
        <v>32613</v>
      </c>
      <c r="H4072" t="s">
        <v>14201</v>
      </c>
      <c r="I4072" t="s">
        <v>32633</v>
      </c>
      <c r="J4072" t="s">
        <v>35504</v>
      </c>
      <c r="K4072" t="s">
        <v>42631</v>
      </c>
      <c r="M4072" t="s">
        <v>44359</v>
      </c>
      <c r="N4072" t="s">
        <v>47304</v>
      </c>
      <c r="O4072" t="s">
        <v>47305</v>
      </c>
      <c r="P4072">
        <v>0</v>
      </c>
      <c r="Q4072">
        <v>1</v>
      </c>
      <c r="R4072" t="s">
        <v>47306</v>
      </c>
      <c r="S4072" t="s">
        <v>47414</v>
      </c>
      <c r="T4072" t="s">
        <v>49023</v>
      </c>
      <c r="U4072" t="s">
        <v>52443</v>
      </c>
      <c r="V4072" t="s">
        <v>63002</v>
      </c>
      <c r="W4072" t="s">
        <v>44359</v>
      </c>
      <c r="X4072" t="s">
        <v>47308</v>
      </c>
    </row>
    <row r="4073" spans="1:24">
      <c r="A4073">
        <f>HYPERLINK("https://www.philgeps.gov.ph/GEPSNONPILOT/Tender/SplashBidNoticeAbstractUI.aspx?menuIndex=3&amp;refID=7196447&amp;Result=3","7196447")</f>
        <v>0</v>
      </c>
      <c r="B4073" t="s">
        <v>233</v>
      </c>
      <c r="C4073" t="s">
        <v>7706</v>
      </c>
      <c r="D4073" t="s">
        <v>18997</v>
      </c>
      <c r="E4073" t="s">
        <v>22734</v>
      </c>
      <c r="F4073" t="s">
        <v>32606</v>
      </c>
      <c r="G4073" t="s">
        <v>32613</v>
      </c>
      <c r="H4073" t="s">
        <v>14201</v>
      </c>
      <c r="I4073" t="s">
        <v>32654</v>
      </c>
      <c r="J4073" t="s">
        <v>34687</v>
      </c>
      <c r="K4073" t="s">
        <v>42631</v>
      </c>
      <c r="M4073" t="s">
        <v>44359</v>
      </c>
      <c r="N4073" t="s">
        <v>47304</v>
      </c>
      <c r="O4073" t="s">
        <v>47305</v>
      </c>
      <c r="P4073">
        <v>0</v>
      </c>
      <c r="Q4073">
        <v>0</v>
      </c>
      <c r="R4073" t="s">
        <v>47306</v>
      </c>
      <c r="S4073" t="s">
        <v>47414</v>
      </c>
      <c r="T4073" t="s">
        <v>49023</v>
      </c>
      <c r="U4073" t="s">
        <v>52443</v>
      </c>
      <c r="V4073" t="s">
        <v>63002</v>
      </c>
      <c r="W4073" t="s">
        <v>44359</v>
      </c>
      <c r="X4073" t="s">
        <v>47308</v>
      </c>
    </row>
    <row r="4074" spans="1:24">
      <c r="A4074">
        <f>HYPERLINK("https://www.philgeps.gov.ph/GEPSNONPILOT/Tender/SplashBidNoticeAbstractUI.aspx?menuIndex=3&amp;refID=7196510&amp;Result=3","7196510")</f>
        <v>0</v>
      </c>
      <c r="B4074" t="s">
        <v>639</v>
      </c>
      <c r="C4074" t="s">
        <v>7707</v>
      </c>
      <c r="E4074" t="s">
        <v>22735</v>
      </c>
      <c r="F4074" t="s">
        <v>32606</v>
      </c>
      <c r="G4074" t="s">
        <v>32614</v>
      </c>
      <c r="H4074" t="s">
        <v>14201</v>
      </c>
      <c r="I4074" t="s">
        <v>6478</v>
      </c>
      <c r="J4074" t="s">
        <v>35505</v>
      </c>
      <c r="K4074" t="s">
        <v>42624</v>
      </c>
      <c r="M4074" t="s">
        <v>44433</v>
      </c>
      <c r="N4074" t="s">
        <v>47304</v>
      </c>
      <c r="O4074" t="s">
        <v>47305</v>
      </c>
      <c r="P4074">
        <v>0</v>
      </c>
      <c r="Q4074">
        <v>0</v>
      </c>
      <c r="R4074" t="s">
        <v>47306</v>
      </c>
      <c r="S4074" t="s">
        <v>47414</v>
      </c>
      <c r="T4074" t="s">
        <v>48979</v>
      </c>
      <c r="U4074" t="s">
        <v>52675</v>
      </c>
      <c r="W4074" t="s">
        <v>44433</v>
      </c>
      <c r="X4074" t="s">
        <v>47308</v>
      </c>
    </row>
    <row r="4075" spans="1:24">
      <c r="A4075">
        <f>HYPERLINK("https://www.philgeps.gov.ph/GEPSNONPILOT/Tender/SplashBidNoticeAbstractUI.aspx?menuIndex=3&amp;refID=7196509&amp;Result=3","7196509")</f>
        <v>0</v>
      </c>
      <c r="B4075" t="s">
        <v>1573</v>
      </c>
      <c r="C4075" t="s">
        <v>7708</v>
      </c>
      <c r="D4075" t="s">
        <v>19005</v>
      </c>
      <c r="E4075" t="s">
        <v>22736</v>
      </c>
      <c r="F4075" t="s">
        <v>32606</v>
      </c>
      <c r="G4075" t="s">
        <v>32613</v>
      </c>
      <c r="H4075" t="s">
        <v>14201</v>
      </c>
      <c r="I4075" t="s">
        <v>7064</v>
      </c>
      <c r="J4075" t="s">
        <v>34717</v>
      </c>
      <c r="K4075" t="s">
        <v>42636</v>
      </c>
      <c r="M4075" t="s">
        <v>44584</v>
      </c>
      <c r="N4075" t="s">
        <v>47304</v>
      </c>
      <c r="O4075" t="s">
        <v>47305</v>
      </c>
      <c r="P4075">
        <v>0</v>
      </c>
      <c r="Q4075">
        <v>7</v>
      </c>
      <c r="R4075" t="s">
        <v>47306</v>
      </c>
      <c r="S4075" t="s">
        <v>47414</v>
      </c>
      <c r="T4075" t="s">
        <v>49024</v>
      </c>
      <c r="U4075" t="s">
        <v>53035</v>
      </c>
      <c r="V4075" t="s">
        <v>63054</v>
      </c>
      <c r="W4075" t="s">
        <v>44584</v>
      </c>
      <c r="X4075" t="s">
        <v>47308</v>
      </c>
    </row>
    <row r="4076" spans="1:24">
      <c r="A4076">
        <f>HYPERLINK("https://www.philgeps.gov.ph/GEPSNONPILOT/Tender/SplashBidNoticeAbstractUI.aspx?menuIndex=3&amp;refID=7196507&amp;Result=3","7196507")</f>
        <v>0</v>
      </c>
      <c r="B4076" t="s">
        <v>1551</v>
      </c>
      <c r="C4076" t="s">
        <v>7709</v>
      </c>
      <c r="D4076" t="s">
        <v>19046</v>
      </c>
      <c r="E4076" t="s">
        <v>22737</v>
      </c>
      <c r="F4076" t="s">
        <v>32606</v>
      </c>
      <c r="G4076" t="s">
        <v>32619</v>
      </c>
      <c r="H4076" t="s">
        <v>14201</v>
      </c>
      <c r="I4076" t="s">
        <v>4120</v>
      </c>
      <c r="J4076" t="s">
        <v>35506</v>
      </c>
      <c r="K4076" t="s">
        <v>42623</v>
      </c>
      <c r="M4076" t="s">
        <v>44555</v>
      </c>
      <c r="N4076" t="s">
        <v>47304</v>
      </c>
      <c r="O4076" t="s">
        <v>47305</v>
      </c>
      <c r="P4076">
        <v>0</v>
      </c>
      <c r="Q4076">
        <v>0</v>
      </c>
      <c r="R4076" t="s">
        <v>47306</v>
      </c>
      <c r="S4076" t="s">
        <v>47414</v>
      </c>
      <c r="T4076" t="s">
        <v>48980</v>
      </c>
      <c r="U4076" t="s">
        <v>53036</v>
      </c>
      <c r="W4076" t="s">
        <v>44555</v>
      </c>
      <c r="X4076" t="s">
        <v>47308</v>
      </c>
    </row>
    <row r="4077" spans="1:24">
      <c r="A4077">
        <f>HYPERLINK("https://www.philgeps.gov.ph/GEPSNONPILOT/Tender/SplashBidNoticeAbstractUI.aspx?menuIndex=3&amp;refID=7196506&amp;Result=3","7196506")</f>
        <v>0</v>
      </c>
      <c r="B4077" t="s">
        <v>405</v>
      </c>
      <c r="C4077" t="s">
        <v>7710</v>
      </c>
      <c r="D4077" t="s">
        <v>19014</v>
      </c>
      <c r="E4077" t="s">
        <v>22738</v>
      </c>
      <c r="F4077" t="s">
        <v>32606</v>
      </c>
      <c r="G4077" t="s">
        <v>32614</v>
      </c>
      <c r="H4077" t="s">
        <v>14201</v>
      </c>
      <c r="I4077" t="s">
        <v>32650</v>
      </c>
      <c r="J4077" t="s">
        <v>35507</v>
      </c>
      <c r="K4077" t="s">
        <v>42624</v>
      </c>
      <c r="L4077" t="s">
        <v>405</v>
      </c>
      <c r="M4077" t="s">
        <v>44585</v>
      </c>
      <c r="N4077" t="s">
        <v>47304</v>
      </c>
      <c r="O4077" t="s">
        <v>47305</v>
      </c>
      <c r="P4077">
        <v>0</v>
      </c>
      <c r="Q4077">
        <v>2</v>
      </c>
      <c r="R4077" t="s">
        <v>47306</v>
      </c>
      <c r="S4077" t="s">
        <v>47414</v>
      </c>
      <c r="T4077" t="s">
        <v>49014</v>
      </c>
      <c r="U4077" t="s">
        <v>50256</v>
      </c>
      <c r="W4077" t="s">
        <v>44585</v>
      </c>
      <c r="X4077" t="s">
        <v>47308</v>
      </c>
    </row>
    <row r="4078" spans="1:24">
      <c r="A4078">
        <f>HYPERLINK("https://www.philgeps.gov.ph/GEPSNONPILOT/Tender/SplashBidNoticeAbstractUI.aspx?menuIndex=3&amp;refID=7196471&amp;Result=3","7196471")</f>
        <v>0</v>
      </c>
      <c r="B4078" t="s">
        <v>1574</v>
      </c>
      <c r="C4078" t="s">
        <v>7711</v>
      </c>
      <c r="D4078" t="s">
        <v>19006</v>
      </c>
      <c r="E4078" t="s">
        <v>22739</v>
      </c>
      <c r="F4078" t="s">
        <v>32606</v>
      </c>
      <c r="G4078" t="s">
        <v>32614</v>
      </c>
      <c r="H4078" t="s">
        <v>14201</v>
      </c>
      <c r="I4078" t="s">
        <v>4120</v>
      </c>
      <c r="J4078" t="s">
        <v>35508</v>
      </c>
      <c r="K4078" t="s">
        <v>42629</v>
      </c>
      <c r="M4078" t="s">
        <v>44586</v>
      </c>
      <c r="N4078" t="s">
        <v>47304</v>
      </c>
      <c r="O4078" t="s">
        <v>47305</v>
      </c>
      <c r="P4078">
        <v>0</v>
      </c>
      <c r="Q4078">
        <v>0</v>
      </c>
      <c r="R4078" t="s">
        <v>47306</v>
      </c>
      <c r="S4078" t="s">
        <v>47414</v>
      </c>
      <c r="T4078" t="s">
        <v>48972</v>
      </c>
      <c r="U4078" t="s">
        <v>53037</v>
      </c>
      <c r="W4078" t="s">
        <v>44586</v>
      </c>
      <c r="X4078" t="s">
        <v>47308</v>
      </c>
    </row>
    <row r="4079" spans="1:24">
      <c r="A4079">
        <f>HYPERLINK("https://www.philgeps.gov.ph/GEPSNONPILOT/Tender/SplashBidNoticeAbstractUI.aspx?menuIndex=3&amp;refID=7196503&amp;Result=3","7196503")</f>
        <v>0</v>
      </c>
      <c r="B4079" t="s">
        <v>268</v>
      </c>
      <c r="C4079" t="s">
        <v>7712</v>
      </c>
      <c r="D4079" t="s">
        <v>18993</v>
      </c>
      <c r="E4079" t="s">
        <v>22740</v>
      </c>
      <c r="F4079" t="s">
        <v>32606</v>
      </c>
      <c r="G4079" t="s">
        <v>32614</v>
      </c>
      <c r="H4079" t="s">
        <v>14201</v>
      </c>
      <c r="I4079" t="s">
        <v>32729</v>
      </c>
      <c r="J4079" t="s">
        <v>35509</v>
      </c>
      <c r="K4079" t="s">
        <v>42631</v>
      </c>
      <c r="M4079" t="s">
        <v>43169</v>
      </c>
      <c r="N4079" t="s">
        <v>47304</v>
      </c>
      <c r="O4079" t="s">
        <v>47305</v>
      </c>
      <c r="P4079">
        <v>0</v>
      </c>
      <c r="Q4079">
        <v>4</v>
      </c>
      <c r="R4079" t="s">
        <v>47306</v>
      </c>
      <c r="S4079" t="s">
        <v>47414</v>
      </c>
      <c r="T4079" t="s">
        <v>48979</v>
      </c>
      <c r="U4079" t="s">
        <v>53038</v>
      </c>
      <c r="W4079" t="s">
        <v>43169</v>
      </c>
      <c r="X4079" t="s">
        <v>47308</v>
      </c>
    </row>
    <row r="4080" spans="1:24">
      <c r="A4080">
        <f>HYPERLINK("https://www.philgeps.gov.ph/GEPSNONPILOT/Tender/SplashBidNoticeAbstractUI.aspx?menuIndex=3&amp;refID=7196501&amp;Result=3","7196501")</f>
        <v>0</v>
      </c>
      <c r="B4080" t="s">
        <v>1575</v>
      </c>
      <c r="C4080" t="s">
        <v>7713</v>
      </c>
      <c r="D4080" t="s">
        <v>19070</v>
      </c>
      <c r="E4080" t="s">
        <v>22741</v>
      </c>
      <c r="F4080" t="s">
        <v>32606</v>
      </c>
      <c r="G4080" t="s">
        <v>32613</v>
      </c>
      <c r="H4080" t="s">
        <v>14201</v>
      </c>
      <c r="I4080" t="s">
        <v>32635</v>
      </c>
      <c r="J4080" t="s">
        <v>35510</v>
      </c>
      <c r="K4080" t="s">
        <v>42631</v>
      </c>
      <c r="M4080" t="s">
        <v>44587</v>
      </c>
      <c r="N4080" t="s">
        <v>47304</v>
      </c>
      <c r="O4080" t="s">
        <v>47305</v>
      </c>
      <c r="P4080">
        <v>0</v>
      </c>
      <c r="Q4080">
        <v>1</v>
      </c>
      <c r="R4080" t="s">
        <v>47306</v>
      </c>
      <c r="S4080" t="s">
        <v>47414</v>
      </c>
      <c r="T4080" t="s">
        <v>49118</v>
      </c>
      <c r="U4080" t="s">
        <v>53039</v>
      </c>
      <c r="W4080" t="s">
        <v>44587</v>
      </c>
      <c r="X4080" t="s">
        <v>47308</v>
      </c>
    </row>
    <row r="4081" spans="1:24">
      <c r="A4081">
        <f>HYPERLINK("https://www.philgeps.gov.ph/GEPSNONPILOT/Tender/SplashBidNoticeAbstractUI.aspx?menuIndex=3&amp;refID=7196500&amp;Result=3","7196500")</f>
        <v>0</v>
      </c>
      <c r="B4081" t="s">
        <v>1206</v>
      </c>
      <c r="C4081" t="s">
        <v>7714</v>
      </c>
      <c r="D4081" t="s">
        <v>19010</v>
      </c>
      <c r="E4081" t="s">
        <v>22742</v>
      </c>
      <c r="F4081" t="s">
        <v>32606</v>
      </c>
      <c r="G4081" t="s">
        <v>32614</v>
      </c>
      <c r="H4081" t="s">
        <v>14201</v>
      </c>
      <c r="I4081" t="s">
        <v>32631</v>
      </c>
      <c r="J4081" t="s">
        <v>35511</v>
      </c>
      <c r="K4081" t="s">
        <v>42631</v>
      </c>
      <c r="M4081" t="s">
        <v>44170</v>
      </c>
      <c r="N4081" t="s">
        <v>47304</v>
      </c>
      <c r="O4081" t="s">
        <v>47305</v>
      </c>
      <c r="P4081">
        <v>0</v>
      </c>
      <c r="Q4081">
        <v>1</v>
      </c>
      <c r="R4081" t="s">
        <v>47306</v>
      </c>
      <c r="S4081" t="s">
        <v>47414</v>
      </c>
      <c r="T4081" t="s">
        <v>49014</v>
      </c>
      <c r="U4081" t="s">
        <v>53040</v>
      </c>
      <c r="W4081" t="s">
        <v>44170</v>
      </c>
      <c r="X4081" t="s">
        <v>47308</v>
      </c>
    </row>
    <row r="4082" spans="1:24">
      <c r="A4082">
        <f>HYPERLINK("https://www.philgeps.gov.ph/GEPSNONPILOT/Tender/SplashBidNoticeAbstractUI.aspx?menuIndex=3&amp;refID=7196508&amp;Result=3","7196508")</f>
        <v>0</v>
      </c>
      <c r="B4082" t="s">
        <v>497</v>
      </c>
      <c r="C4082" t="s">
        <v>7715</v>
      </c>
      <c r="D4082" t="s">
        <v>18991</v>
      </c>
      <c r="E4082" t="s">
        <v>22743</v>
      </c>
      <c r="F4082" t="s">
        <v>32606</v>
      </c>
      <c r="G4082" t="s">
        <v>32614</v>
      </c>
      <c r="H4082" t="s">
        <v>14201</v>
      </c>
      <c r="I4082" t="s">
        <v>6931</v>
      </c>
      <c r="J4082" t="s">
        <v>35512</v>
      </c>
      <c r="K4082" t="s">
        <v>42624</v>
      </c>
      <c r="M4082" t="s">
        <v>43410</v>
      </c>
      <c r="N4082" t="s">
        <v>47304</v>
      </c>
      <c r="O4082" t="s">
        <v>47305</v>
      </c>
      <c r="P4082">
        <v>0</v>
      </c>
      <c r="Q4082">
        <v>0</v>
      </c>
      <c r="R4082" t="s">
        <v>47306</v>
      </c>
      <c r="S4082" t="s">
        <v>47414</v>
      </c>
      <c r="T4082" t="s">
        <v>49004</v>
      </c>
      <c r="U4082" t="s">
        <v>53041</v>
      </c>
      <c r="W4082" t="s">
        <v>43410</v>
      </c>
      <c r="X4082" t="s">
        <v>47308</v>
      </c>
    </row>
    <row r="4083" spans="1:24">
      <c r="A4083">
        <f>HYPERLINK("https://www.philgeps.gov.ph/GEPSNONPILOT/Tender/SplashBidNoticeAbstractUI.aspx?menuIndex=3&amp;refID=7196499&amp;Result=3","7196499")</f>
        <v>0</v>
      </c>
      <c r="B4083" t="s">
        <v>840</v>
      </c>
      <c r="C4083" t="s">
        <v>7716</v>
      </c>
      <c r="D4083" t="s">
        <v>18988</v>
      </c>
      <c r="E4083" t="s">
        <v>22744</v>
      </c>
      <c r="F4083" t="s">
        <v>32606</v>
      </c>
      <c r="G4083" t="s">
        <v>32614</v>
      </c>
      <c r="H4083" t="s">
        <v>32624</v>
      </c>
      <c r="I4083" t="s">
        <v>32709</v>
      </c>
      <c r="J4083" t="s">
        <v>35513</v>
      </c>
      <c r="K4083" t="s">
        <v>42623</v>
      </c>
      <c r="M4083" t="s">
        <v>43772</v>
      </c>
      <c r="N4083" t="s">
        <v>47304</v>
      </c>
      <c r="O4083" t="s">
        <v>47305</v>
      </c>
      <c r="P4083">
        <v>0</v>
      </c>
      <c r="Q4083">
        <v>0</v>
      </c>
      <c r="R4083" t="s">
        <v>47306</v>
      </c>
      <c r="S4083" t="s">
        <v>47414</v>
      </c>
      <c r="T4083" t="s">
        <v>48980</v>
      </c>
      <c r="U4083" t="s">
        <v>53042</v>
      </c>
      <c r="W4083" t="s">
        <v>43772</v>
      </c>
      <c r="X4083" t="s">
        <v>47308</v>
      </c>
    </row>
    <row r="4084" spans="1:24">
      <c r="A4084">
        <f>HYPERLINK("https://www.philgeps.gov.ph/GEPSNONPILOT/Tender/SplashBidNoticeAbstractUI.aspx?menuIndex=3&amp;refID=7196497&amp;Result=3","7196497")</f>
        <v>0</v>
      </c>
      <c r="B4084" t="s">
        <v>234</v>
      </c>
      <c r="C4084" t="s">
        <v>7539</v>
      </c>
      <c r="D4084" t="s">
        <v>19052</v>
      </c>
      <c r="E4084" t="s">
        <v>22745</v>
      </c>
      <c r="F4084" t="s">
        <v>32606</v>
      </c>
      <c r="G4084" t="s">
        <v>32614</v>
      </c>
      <c r="H4084" t="s">
        <v>14201</v>
      </c>
      <c r="I4084" t="s">
        <v>32680</v>
      </c>
      <c r="J4084" t="s">
        <v>35514</v>
      </c>
      <c r="K4084" t="s">
        <v>42631</v>
      </c>
      <c r="M4084" t="s">
        <v>43135</v>
      </c>
      <c r="N4084" t="s">
        <v>47304</v>
      </c>
      <c r="O4084" t="s">
        <v>47305</v>
      </c>
      <c r="P4084">
        <v>0</v>
      </c>
      <c r="Q4084">
        <v>2</v>
      </c>
      <c r="R4084" t="s">
        <v>47306</v>
      </c>
      <c r="S4084" t="s">
        <v>47414</v>
      </c>
      <c r="T4084" t="s">
        <v>49050</v>
      </c>
      <c r="U4084" t="s">
        <v>52884</v>
      </c>
      <c r="V4084" t="s">
        <v>62641</v>
      </c>
      <c r="W4084" t="s">
        <v>43135</v>
      </c>
      <c r="X4084" t="s">
        <v>47308</v>
      </c>
    </row>
    <row r="4085" spans="1:24">
      <c r="A4085">
        <f>HYPERLINK("https://www.philgeps.gov.ph/GEPSNONPILOT/Tender/SplashBidNoticeAbstractUI.aspx?menuIndex=3&amp;refID=7196495&amp;Result=3","7196495")</f>
        <v>0</v>
      </c>
      <c r="B4085" t="s">
        <v>1327</v>
      </c>
      <c r="C4085" t="s">
        <v>7717</v>
      </c>
      <c r="D4085" t="s">
        <v>19018</v>
      </c>
      <c r="E4085" t="s">
        <v>19317</v>
      </c>
      <c r="F4085" t="s">
        <v>32606</v>
      </c>
      <c r="G4085" t="s">
        <v>32614</v>
      </c>
      <c r="H4085" t="s">
        <v>14201</v>
      </c>
      <c r="I4085" t="s">
        <v>7233</v>
      </c>
      <c r="J4085" t="s">
        <v>35515</v>
      </c>
      <c r="K4085" t="s">
        <v>42630</v>
      </c>
      <c r="M4085" t="s">
        <v>44301</v>
      </c>
      <c r="N4085" t="s">
        <v>47304</v>
      </c>
      <c r="O4085" t="s">
        <v>47305</v>
      </c>
      <c r="P4085">
        <v>0</v>
      </c>
      <c r="Q4085">
        <v>0</v>
      </c>
      <c r="R4085" t="s">
        <v>47306</v>
      </c>
      <c r="S4085" t="s">
        <v>47414</v>
      </c>
      <c r="T4085" t="s">
        <v>49050</v>
      </c>
      <c r="U4085" t="s">
        <v>52315</v>
      </c>
      <c r="W4085" t="s">
        <v>44301</v>
      </c>
      <c r="X4085" t="s">
        <v>47308</v>
      </c>
    </row>
    <row r="4086" spans="1:24">
      <c r="A4086">
        <f>HYPERLINK("https://www.philgeps.gov.ph/GEPSNONPILOT/Tender/SplashBidNoticeAbstractUI.aspx?menuIndex=3&amp;refID=7196505&amp;Result=3","7196505")</f>
        <v>0</v>
      </c>
      <c r="B4086" t="s">
        <v>1468</v>
      </c>
      <c r="C4086" t="s">
        <v>7718</v>
      </c>
      <c r="D4086" t="s">
        <v>19046</v>
      </c>
      <c r="E4086" t="s">
        <v>22746</v>
      </c>
      <c r="F4086" t="s">
        <v>32606</v>
      </c>
      <c r="G4086" t="s">
        <v>32614</v>
      </c>
      <c r="H4086" t="s">
        <v>14201</v>
      </c>
      <c r="I4086" t="s">
        <v>7233</v>
      </c>
      <c r="J4086" t="s">
        <v>35516</v>
      </c>
      <c r="K4086" t="s">
        <v>42622</v>
      </c>
      <c r="M4086" t="s">
        <v>44462</v>
      </c>
      <c r="N4086" t="s">
        <v>47304</v>
      </c>
      <c r="O4086" t="s">
        <v>47305</v>
      </c>
      <c r="P4086">
        <v>0</v>
      </c>
      <c r="Q4086">
        <v>0</v>
      </c>
      <c r="R4086" t="s">
        <v>47306</v>
      </c>
      <c r="S4086" t="s">
        <v>47414</v>
      </c>
      <c r="T4086" t="s">
        <v>49010</v>
      </c>
      <c r="U4086" t="s">
        <v>53043</v>
      </c>
      <c r="W4086" t="s">
        <v>44462</v>
      </c>
      <c r="X4086" t="s">
        <v>47308</v>
      </c>
    </row>
    <row r="4087" spans="1:24">
      <c r="A4087">
        <f>HYPERLINK("https://www.philgeps.gov.ph/GEPSNONPILOT/Tender/SplashBidNoticeAbstractUI.aspx?menuIndex=3&amp;refID=7196494&amp;Result=3","7196494")</f>
        <v>0</v>
      </c>
      <c r="B4087" t="s">
        <v>1130</v>
      </c>
      <c r="C4087" t="s">
        <v>7719</v>
      </c>
      <c r="D4087" t="s">
        <v>19053</v>
      </c>
      <c r="E4087" t="s">
        <v>22747</v>
      </c>
      <c r="F4087" t="s">
        <v>32606</v>
      </c>
      <c r="G4087" t="s">
        <v>32614</v>
      </c>
      <c r="H4087" t="s">
        <v>14201</v>
      </c>
      <c r="I4087" t="s">
        <v>32639</v>
      </c>
      <c r="J4087" t="s">
        <v>32868</v>
      </c>
      <c r="K4087" t="s">
        <v>42624</v>
      </c>
      <c r="M4087" t="s">
        <v>44454</v>
      </c>
      <c r="N4087" t="s">
        <v>47304</v>
      </c>
      <c r="O4087" t="s">
        <v>47305</v>
      </c>
      <c r="P4087">
        <v>0</v>
      </c>
      <c r="Q4087">
        <v>4</v>
      </c>
      <c r="R4087" t="s">
        <v>47306</v>
      </c>
      <c r="S4087" t="s">
        <v>47414</v>
      </c>
      <c r="T4087" t="s">
        <v>49010</v>
      </c>
      <c r="U4087" t="s">
        <v>53044</v>
      </c>
      <c r="W4087" t="s">
        <v>44454</v>
      </c>
      <c r="X4087" t="s">
        <v>47308</v>
      </c>
    </row>
    <row r="4088" spans="1:24">
      <c r="A4088">
        <f>HYPERLINK("https://www.philgeps.gov.ph/GEPSNONPILOT/Tender/SplashBidNoticeAbstractUI.aspx?menuIndex=3&amp;refID=7196524&amp;Result=3","7196524")</f>
        <v>0</v>
      </c>
      <c r="B4088" t="s">
        <v>1544</v>
      </c>
      <c r="C4088" t="s">
        <v>7720</v>
      </c>
      <c r="D4088" t="s">
        <v>19058</v>
      </c>
      <c r="E4088" t="s">
        <v>22748</v>
      </c>
      <c r="F4088" t="s">
        <v>32606</v>
      </c>
      <c r="G4088" t="s">
        <v>32619</v>
      </c>
      <c r="H4088" t="s">
        <v>14201</v>
      </c>
      <c r="I4088" t="s">
        <v>9013</v>
      </c>
      <c r="J4088" t="s">
        <v>35517</v>
      </c>
      <c r="K4088" t="s">
        <v>42636</v>
      </c>
      <c r="M4088" t="s">
        <v>44548</v>
      </c>
      <c r="N4088" t="s">
        <v>47304</v>
      </c>
      <c r="O4088" t="s">
        <v>47305</v>
      </c>
      <c r="P4088">
        <v>0</v>
      </c>
      <c r="Q4088">
        <v>2</v>
      </c>
      <c r="R4088" t="s">
        <v>47306</v>
      </c>
      <c r="S4088" t="s">
        <v>47414</v>
      </c>
      <c r="T4088" t="s">
        <v>48998</v>
      </c>
      <c r="U4088" t="s">
        <v>52947</v>
      </c>
      <c r="W4088" t="s">
        <v>44548</v>
      </c>
      <c r="X4088" t="s">
        <v>47308</v>
      </c>
    </row>
    <row r="4089" spans="1:24">
      <c r="A4089">
        <f>HYPERLINK("https://www.philgeps.gov.ph/GEPSNONPILOT/Tender/SplashBidNoticeAbstractUI.aspx?menuIndex=3&amp;refID=7196534&amp;Result=3","7196534")</f>
        <v>0</v>
      </c>
      <c r="B4089" t="s">
        <v>1462</v>
      </c>
      <c r="C4089" t="s">
        <v>7721</v>
      </c>
      <c r="D4089" t="s">
        <v>19019</v>
      </c>
      <c r="E4089" t="s">
        <v>22749</v>
      </c>
      <c r="F4089" t="s">
        <v>32606</v>
      </c>
      <c r="G4089" t="s">
        <v>32619</v>
      </c>
      <c r="H4089" t="s">
        <v>14201</v>
      </c>
      <c r="I4089" t="s">
        <v>32626</v>
      </c>
      <c r="J4089" t="s">
        <v>32995</v>
      </c>
      <c r="K4089" t="s">
        <v>42630</v>
      </c>
      <c r="M4089" t="s">
        <v>44456</v>
      </c>
      <c r="N4089" t="s">
        <v>47304</v>
      </c>
      <c r="O4089" t="s">
        <v>47305</v>
      </c>
      <c r="P4089">
        <v>0</v>
      </c>
      <c r="Q4089">
        <v>1</v>
      </c>
      <c r="R4089" t="s">
        <v>47306</v>
      </c>
      <c r="S4089" t="s">
        <v>47414</v>
      </c>
      <c r="T4089" t="s">
        <v>48998</v>
      </c>
      <c r="U4089" t="s">
        <v>53045</v>
      </c>
      <c r="W4089" t="s">
        <v>44456</v>
      </c>
      <c r="X4089" t="s">
        <v>47308</v>
      </c>
    </row>
    <row r="4090" spans="1:24">
      <c r="A4090">
        <f>HYPERLINK("https://www.philgeps.gov.ph/GEPSNONPILOT/Tender/SplashBidNoticeAbstractUI.aspx?menuIndex=3&amp;refID=7196532&amp;Result=3","7196532")</f>
        <v>0</v>
      </c>
      <c r="B4090" t="s">
        <v>305</v>
      </c>
      <c r="C4090" t="s">
        <v>7722</v>
      </c>
      <c r="D4090" t="s">
        <v>19006</v>
      </c>
      <c r="E4090" t="s">
        <v>19632</v>
      </c>
      <c r="F4090" t="s">
        <v>32606</v>
      </c>
      <c r="G4090" t="s">
        <v>32614</v>
      </c>
      <c r="H4090" t="s">
        <v>14201</v>
      </c>
      <c r="I4090" t="s">
        <v>32655</v>
      </c>
      <c r="J4090" t="s">
        <v>34892</v>
      </c>
      <c r="K4090" t="s">
        <v>42631</v>
      </c>
      <c r="M4090" t="s">
        <v>43207</v>
      </c>
      <c r="N4090" t="s">
        <v>47304</v>
      </c>
      <c r="O4090" t="s">
        <v>47305</v>
      </c>
      <c r="P4090">
        <v>0</v>
      </c>
      <c r="Q4090">
        <v>2</v>
      </c>
      <c r="R4090" t="s">
        <v>47306</v>
      </c>
      <c r="S4090" t="s">
        <v>47414</v>
      </c>
      <c r="T4090" t="s">
        <v>48980</v>
      </c>
      <c r="U4090" t="s">
        <v>53046</v>
      </c>
      <c r="W4090" t="s">
        <v>43207</v>
      </c>
      <c r="X4090" t="s">
        <v>47308</v>
      </c>
    </row>
    <row r="4091" spans="1:24">
      <c r="A4091">
        <f>HYPERLINK("https://www.philgeps.gov.ph/GEPSNONPILOT/Tender/SplashBidNoticeAbstractUI.aspx?menuIndex=3&amp;refID=7196531&amp;Result=3","7196531")</f>
        <v>0</v>
      </c>
      <c r="B4091" t="s">
        <v>1576</v>
      </c>
      <c r="C4091" t="s">
        <v>7723</v>
      </c>
      <c r="D4091" t="s">
        <v>19003</v>
      </c>
      <c r="E4091" t="s">
        <v>20377</v>
      </c>
      <c r="F4091" t="s">
        <v>32606</v>
      </c>
      <c r="G4091" t="s">
        <v>32619</v>
      </c>
      <c r="H4091" t="s">
        <v>14201</v>
      </c>
      <c r="I4091" t="s">
        <v>6478</v>
      </c>
      <c r="J4091" t="s">
        <v>35518</v>
      </c>
      <c r="K4091" t="s">
        <v>42629</v>
      </c>
      <c r="M4091" t="s">
        <v>44588</v>
      </c>
      <c r="N4091" t="s">
        <v>47304</v>
      </c>
      <c r="O4091" t="s">
        <v>47305</v>
      </c>
      <c r="P4091">
        <v>0</v>
      </c>
      <c r="Q4091">
        <v>0</v>
      </c>
      <c r="R4091" t="s">
        <v>47306</v>
      </c>
      <c r="S4091" t="s">
        <v>47414</v>
      </c>
      <c r="T4091" t="s">
        <v>49072</v>
      </c>
      <c r="U4091" t="s">
        <v>53047</v>
      </c>
      <c r="V4091" t="s">
        <v>63055</v>
      </c>
      <c r="W4091" t="s">
        <v>44588</v>
      </c>
      <c r="X4091" t="s">
        <v>47308</v>
      </c>
    </row>
    <row r="4092" spans="1:24">
      <c r="A4092">
        <f>HYPERLINK("https://www.philgeps.gov.ph/GEPSNONPILOT/Tender/SplashBidNoticeAbstractUI.aspx?menuIndex=3&amp;refID=7196528&amp;Result=3","7196528")</f>
        <v>0</v>
      </c>
      <c r="B4092" t="s">
        <v>506</v>
      </c>
      <c r="C4092" t="s">
        <v>7724</v>
      </c>
      <c r="D4092" t="s">
        <v>19006</v>
      </c>
      <c r="E4092" t="s">
        <v>22750</v>
      </c>
      <c r="F4092" t="s">
        <v>32606</v>
      </c>
      <c r="G4092" t="s">
        <v>32613</v>
      </c>
      <c r="H4092" t="s">
        <v>32623</v>
      </c>
      <c r="I4092" t="s">
        <v>17648</v>
      </c>
      <c r="J4092" t="s">
        <v>35519</v>
      </c>
      <c r="K4092" t="s">
        <v>42750</v>
      </c>
      <c r="M4092" t="s">
        <v>43419</v>
      </c>
      <c r="N4092" t="s">
        <v>47304</v>
      </c>
      <c r="O4092" t="s">
        <v>47305</v>
      </c>
      <c r="P4092">
        <v>0</v>
      </c>
      <c r="Q4092">
        <v>0</v>
      </c>
      <c r="R4092" t="s">
        <v>47306</v>
      </c>
      <c r="S4092" t="s">
        <v>47414</v>
      </c>
      <c r="T4092" t="s">
        <v>48990</v>
      </c>
      <c r="U4092" t="s">
        <v>53048</v>
      </c>
      <c r="W4092" t="s">
        <v>43419</v>
      </c>
      <c r="X4092" t="s">
        <v>47308</v>
      </c>
    </row>
    <row r="4093" spans="1:24">
      <c r="A4093">
        <f>HYPERLINK("https://www.philgeps.gov.ph/GEPSNONPILOT/Tender/SplashBidNoticeAbstractUI.aspx?menuIndex=3&amp;refID=7196526&amp;Result=3","7196526")</f>
        <v>0</v>
      </c>
      <c r="B4093" t="s">
        <v>1577</v>
      </c>
      <c r="C4093" t="s">
        <v>7725</v>
      </c>
      <c r="D4093" t="s">
        <v>19005</v>
      </c>
      <c r="E4093" t="s">
        <v>22751</v>
      </c>
      <c r="F4093" t="s">
        <v>32606</v>
      </c>
      <c r="G4093" t="s">
        <v>32614</v>
      </c>
      <c r="H4093" t="s">
        <v>14201</v>
      </c>
      <c r="I4093" t="s">
        <v>32629</v>
      </c>
      <c r="J4093" t="s">
        <v>33105</v>
      </c>
      <c r="K4093" t="s">
        <v>42623</v>
      </c>
      <c r="M4093" t="s">
        <v>44589</v>
      </c>
      <c r="N4093" t="s">
        <v>47304</v>
      </c>
      <c r="O4093" t="s">
        <v>47305</v>
      </c>
      <c r="P4093">
        <v>0</v>
      </c>
      <c r="Q4093">
        <v>0</v>
      </c>
      <c r="R4093" t="s">
        <v>47306</v>
      </c>
      <c r="S4093" t="s">
        <v>47414</v>
      </c>
      <c r="T4093" t="s">
        <v>49004</v>
      </c>
      <c r="U4093" t="s">
        <v>53049</v>
      </c>
      <c r="V4093" t="s">
        <v>63056</v>
      </c>
      <c r="W4093" t="s">
        <v>44589</v>
      </c>
      <c r="X4093" t="s">
        <v>47308</v>
      </c>
    </row>
    <row r="4094" spans="1:24">
      <c r="A4094">
        <f>HYPERLINK("https://www.philgeps.gov.ph/GEPSNONPILOT/Tender/SplashBidNoticeAbstractUI.aspx?menuIndex=3&amp;refID=7196525&amp;Result=3","7196525")</f>
        <v>0</v>
      </c>
      <c r="B4094" t="s">
        <v>1016</v>
      </c>
      <c r="C4094" t="s">
        <v>7726</v>
      </c>
      <c r="D4094" t="s">
        <v>18995</v>
      </c>
      <c r="E4094" t="s">
        <v>22752</v>
      </c>
      <c r="F4094" t="s">
        <v>32606</v>
      </c>
      <c r="G4094" t="s">
        <v>32614</v>
      </c>
      <c r="H4094" t="s">
        <v>14201</v>
      </c>
      <c r="I4094" t="s">
        <v>32634</v>
      </c>
      <c r="J4094" t="s">
        <v>33325</v>
      </c>
      <c r="K4094" t="s">
        <v>42622</v>
      </c>
      <c r="M4094" t="s">
        <v>43965</v>
      </c>
      <c r="N4094" t="s">
        <v>47304</v>
      </c>
      <c r="O4094" t="s">
        <v>47305</v>
      </c>
      <c r="P4094">
        <v>0</v>
      </c>
      <c r="Q4094">
        <v>1</v>
      </c>
      <c r="R4094" t="s">
        <v>47306</v>
      </c>
      <c r="S4094" t="s">
        <v>47414</v>
      </c>
      <c r="T4094" t="s">
        <v>49087</v>
      </c>
      <c r="U4094" t="s">
        <v>53050</v>
      </c>
      <c r="W4094" t="s">
        <v>43965</v>
      </c>
      <c r="X4094" t="s">
        <v>47308</v>
      </c>
    </row>
    <row r="4095" spans="1:24">
      <c r="A4095">
        <f>HYPERLINK("https://www.philgeps.gov.ph/GEPSNONPILOT/Tender/SplashBidNoticeAbstractUI.aspx?menuIndex=3&amp;refID=7196522&amp;Result=3","7196522")</f>
        <v>0</v>
      </c>
      <c r="B4095" t="s">
        <v>233</v>
      </c>
      <c r="C4095" t="s">
        <v>7727</v>
      </c>
      <c r="D4095" t="s">
        <v>18997</v>
      </c>
      <c r="E4095" t="s">
        <v>22753</v>
      </c>
      <c r="F4095" t="s">
        <v>32606</v>
      </c>
      <c r="G4095" t="s">
        <v>32613</v>
      </c>
      <c r="H4095" t="s">
        <v>14201</v>
      </c>
      <c r="I4095" t="s">
        <v>4369</v>
      </c>
      <c r="J4095" t="s">
        <v>35520</v>
      </c>
      <c r="K4095" t="s">
        <v>42631</v>
      </c>
      <c r="M4095" t="s">
        <v>44359</v>
      </c>
      <c r="N4095" t="s">
        <v>47304</v>
      </c>
      <c r="O4095" t="s">
        <v>47305</v>
      </c>
      <c r="P4095">
        <v>0</v>
      </c>
      <c r="Q4095">
        <v>0</v>
      </c>
      <c r="R4095" t="s">
        <v>47306</v>
      </c>
      <c r="S4095" t="s">
        <v>47414</v>
      </c>
      <c r="T4095" t="s">
        <v>49023</v>
      </c>
      <c r="U4095" t="s">
        <v>52443</v>
      </c>
      <c r="V4095" t="s">
        <v>63002</v>
      </c>
      <c r="W4095" t="s">
        <v>44359</v>
      </c>
      <c r="X4095" t="s">
        <v>47308</v>
      </c>
    </row>
    <row r="4096" spans="1:24">
      <c r="A4096">
        <f>HYPERLINK("https://www.philgeps.gov.ph/GEPSNONPILOT/Tender/SplashBidNoticeAbstractUI.aspx?menuIndex=3&amp;refID=7196485&amp;Result=3","7196485")</f>
        <v>0</v>
      </c>
      <c r="B4096" t="s">
        <v>1578</v>
      </c>
      <c r="C4096" t="s">
        <v>7728</v>
      </c>
      <c r="D4096" t="s">
        <v>19036</v>
      </c>
      <c r="E4096" t="s">
        <v>22754</v>
      </c>
      <c r="F4096" t="s">
        <v>32606</v>
      </c>
      <c r="G4096" t="s">
        <v>32613</v>
      </c>
      <c r="H4096" t="s">
        <v>14201</v>
      </c>
      <c r="I4096" t="s">
        <v>8606</v>
      </c>
      <c r="J4096" t="s">
        <v>33849</v>
      </c>
      <c r="K4096" t="s">
        <v>42624</v>
      </c>
      <c r="M4096" t="s">
        <v>44590</v>
      </c>
      <c r="N4096" t="s">
        <v>47304</v>
      </c>
      <c r="O4096" t="s">
        <v>47305</v>
      </c>
      <c r="P4096">
        <v>0</v>
      </c>
      <c r="Q4096">
        <v>1</v>
      </c>
      <c r="R4096" t="s">
        <v>47306</v>
      </c>
      <c r="S4096" t="s">
        <v>47414</v>
      </c>
      <c r="T4096" t="s">
        <v>48989</v>
      </c>
      <c r="U4096" t="s">
        <v>53051</v>
      </c>
      <c r="V4096" t="s">
        <v>63057</v>
      </c>
      <c r="W4096" t="s">
        <v>44590</v>
      </c>
      <c r="X4096" t="s">
        <v>47308</v>
      </c>
    </row>
    <row r="4097" spans="1:24">
      <c r="A4097">
        <f>HYPERLINK("https://www.philgeps.gov.ph/GEPSNONPILOT/Tender/SplashBidNoticeAbstractUI.aspx?menuIndex=3&amp;refID=7196521&amp;Result=3","7196521")</f>
        <v>0</v>
      </c>
      <c r="B4097" t="s">
        <v>1022</v>
      </c>
      <c r="C4097" t="s">
        <v>7729</v>
      </c>
      <c r="D4097" t="s">
        <v>19033</v>
      </c>
      <c r="E4097" t="s">
        <v>7729</v>
      </c>
      <c r="F4097" t="s">
        <v>32606</v>
      </c>
      <c r="G4097" t="s">
        <v>32614</v>
      </c>
      <c r="H4097" t="s">
        <v>14201</v>
      </c>
      <c r="I4097" t="s">
        <v>6931</v>
      </c>
      <c r="J4097" t="s">
        <v>35503</v>
      </c>
      <c r="K4097" t="s">
        <v>42631</v>
      </c>
      <c r="M4097" t="s">
        <v>43974</v>
      </c>
      <c r="N4097" t="s">
        <v>47304</v>
      </c>
      <c r="O4097" t="s">
        <v>47305</v>
      </c>
      <c r="P4097">
        <v>0</v>
      </c>
      <c r="Q4097">
        <v>0</v>
      </c>
      <c r="R4097" t="s">
        <v>47306</v>
      </c>
      <c r="S4097" t="s">
        <v>47414</v>
      </c>
      <c r="T4097" t="s">
        <v>48980</v>
      </c>
      <c r="U4097" t="s">
        <v>53052</v>
      </c>
      <c r="W4097" t="s">
        <v>43974</v>
      </c>
      <c r="X4097" t="s">
        <v>47308</v>
      </c>
    </row>
    <row r="4098" spans="1:24">
      <c r="A4098">
        <f>HYPERLINK("https://www.philgeps.gov.ph/GEPSNONPILOT/Tender/SplashBidNoticeAbstractUI.aspx?menuIndex=3&amp;refID=7196527&amp;Result=3","7196527")</f>
        <v>0</v>
      </c>
      <c r="B4098" t="s">
        <v>984</v>
      </c>
      <c r="C4098" t="s">
        <v>7613</v>
      </c>
      <c r="D4098" t="s">
        <v>19039</v>
      </c>
      <c r="E4098" t="s">
        <v>22755</v>
      </c>
      <c r="F4098" t="s">
        <v>32606</v>
      </c>
      <c r="G4098" t="s">
        <v>32614</v>
      </c>
      <c r="H4098" t="s">
        <v>14201</v>
      </c>
      <c r="I4098" t="s">
        <v>6993</v>
      </c>
      <c r="J4098" t="s">
        <v>32963</v>
      </c>
      <c r="K4098" t="s">
        <v>42625</v>
      </c>
      <c r="L4098" t="s">
        <v>984</v>
      </c>
      <c r="M4098" t="s">
        <v>43930</v>
      </c>
      <c r="N4098" t="s">
        <v>47304</v>
      </c>
      <c r="O4098" t="s">
        <v>47305</v>
      </c>
      <c r="P4098">
        <v>0</v>
      </c>
      <c r="Q4098">
        <v>0</v>
      </c>
      <c r="R4098" t="s">
        <v>47306</v>
      </c>
      <c r="S4098" t="s">
        <v>47414</v>
      </c>
      <c r="T4098" t="s">
        <v>48971</v>
      </c>
      <c r="U4098" t="s">
        <v>53053</v>
      </c>
      <c r="W4098" t="s">
        <v>43930</v>
      </c>
      <c r="X4098" t="s">
        <v>47308</v>
      </c>
    </row>
    <row r="4099" spans="1:24">
      <c r="A4099">
        <f>HYPERLINK("https://www.philgeps.gov.ph/GEPSNONPILOT/Tender/SplashBidNoticeAbstractUI.aspx?menuIndex=3&amp;refID=7196519&amp;Result=3","7196519")</f>
        <v>0</v>
      </c>
      <c r="B4099" t="s">
        <v>1160</v>
      </c>
      <c r="C4099" t="s">
        <v>7730</v>
      </c>
      <c r="D4099" t="s">
        <v>19058</v>
      </c>
      <c r="E4099" t="s">
        <v>22625</v>
      </c>
      <c r="F4099" t="s">
        <v>32606</v>
      </c>
      <c r="G4099" t="s">
        <v>32614</v>
      </c>
      <c r="H4099" t="s">
        <v>32624</v>
      </c>
      <c r="I4099" t="s">
        <v>6931</v>
      </c>
      <c r="J4099" t="s">
        <v>32828</v>
      </c>
      <c r="K4099" t="s">
        <v>42666</v>
      </c>
      <c r="M4099" t="s">
        <v>44123</v>
      </c>
      <c r="N4099" t="s">
        <v>47304</v>
      </c>
      <c r="O4099" t="s">
        <v>47305</v>
      </c>
      <c r="P4099">
        <v>0</v>
      </c>
      <c r="Q4099">
        <v>6</v>
      </c>
      <c r="R4099" t="s">
        <v>47306</v>
      </c>
      <c r="S4099" t="s">
        <v>47414</v>
      </c>
      <c r="T4099" t="s">
        <v>49004</v>
      </c>
      <c r="U4099" t="s">
        <v>53054</v>
      </c>
      <c r="V4099" t="s">
        <v>62942</v>
      </c>
      <c r="W4099" t="s">
        <v>44123</v>
      </c>
      <c r="X4099" t="s">
        <v>47308</v>
      </c>
    </row>
    <row r="4100" spans="1:24">
      <c r="A4100">
        <f>HYPERLINK("https://www.philgeps.gov.ph/GEPSNONPILOT/Tender/SplashBidNoticeAbstractUI.aspx?menuIndex=3&amp;refID=7196517&amp;Result=3","7196517")</f>
        <v>0</v>
      </c>
      <c r="B4100" t="s">
        <v>1520</v>
      </c>
      <c r="C4100" t="s">
        <v>7731</v>
      </c>
      <c r="D4100" t="s">
        <v>18988</v>
      </c>
      <c r="E4100" t="s">
        <v>22756</v>
      </c>
      <c r="F4100" t="s">
        <v>32606</v>
      </c>
      <c r="G4100" t="s">
        <v>32614</v>
      </c>
      <c r="H4100" t="s">
        <v>14201</v>
      </c>
      <c r="I4100" t="s">
        <v>6298</v>
      </c>
      <c r="J4100" t="s">
        <v>35521</v>
      </c>
      <c r="K4100" t="s">
        <v>42631</v>
      </c>
      <c r="M4100" t="s">
        <v>44521</v>
      </c>
      <c r="N4100" t="s">
        <v>47304</v>
      </c>
      <c r="O4100" t="s">
        <v>47305</v>
      </c>
      <c r="P4100">
        <v>0</v>
      </c>
      <c r="Q4100">
        <v>3</v>
      </c>
      <c r="R4100" t="s">
        <v>47306</v>
      </c>
      <c r="S4100" t="s">
        <v>47414</v>
      </c>
      <c r="T4100" t="s">
        <v>48980</v>
      </c>
      <c r="U4100" t="s">
        <v>52886</v>
      </c>
      <c r="V4100" t="s">
        <v>63039</v>
      </c>
      <c r="W4100" t="s">
        <v>44521</v>
      </c>
      <c r="X4100" t="s">
        <v>47308</v>
      </c>
    </row>
    <row r="4101" spans="1:24">
      <c r="A4101">
        <f>HYPERLINK("https://www.philgeps.gov.ph/GEPSNONPILOT/Tender/SplashBidNoticeAbstractUI.aspx?menuIndex=3&amp;refID=7196529&amp;Result=3","7196529")</f>
        <v>0</v>
      </c>
      <c r="B4101" t="s">
        <v>1579</v>
      </c>
      <c r="C4101" t="s">
        <v>7732</v>
      </c>
      <c r="D4101" t="s">
        <v>19000</v>
      </c>
      <c r="E4101" t="s">
        <v>22757</v>
      </c>
      <c r="F4101" t="s">
        <v>32606</v>
      </c>
      <c r="G4101" t="s">
        <v>32613</v>
      </c>
      <c r="H4101" t="s">
        <v>14201</v>
      </c>
      <c r="I4101" t="s">
        <v>32629</v>
      </c>
      <c r="J4101" t="s">
        <v>35522</v>
      </c>
      <c r="K4101" t="s">
        <v>42751</v>
      </c>
      <c r="M4101" t="s">
        <v>44591</v>
      </c>
      <c r="N4101" t="s">
        <v>47304</v>
      </c>
      <c r="O4101" t="s">
        <v>47305</v>
      </c>
      <c r="P4101">
        <v>0</v>
      </c>
      <c r="Q4101">
        <v>0</v>
      </c>
      <c r="R4101" t="s">
        <v>47306</v>
      </c>
      <c r="S4101" t="s">
        <v>47414</v>
      </c>
      <c r="T4101" t="s">
        <v>49024</v>
      </c>
      <c r="U4101" t="s">
        <v>53055</v>
      </c>
      <c r="W4101" t="s">
        <v>44591</v>
      </c>
      <c r="X4101" t="s">
        <v>47308</v>
      </c>
    </row>
    <row r="4102" spans="1:24">
      <c r="A4102">
        <f>HYPERLINK("https://www.philgeps.gov.ph/GEPSNONPILOT/Tender/SplashBidNoticeAbstractUI.aspx?menuIndex=3&amp;refID=7196470&amp;Result=3","7196470")</f>
        <v>0</v>
      </c>
      <c r="B4102" t="s">
        <v>1580</v>
      </c>
      <c r="C4102" t="s">
        <v>7733</v>
      </c>
      <c r="D4102" t="s">
        <v>19054</v>
      </c>
      <c r="E4102" t="s">
        <v>22758</v>
      </c>
      <c r="F4102" t="s">
        <v>32606</v>
      </c>
      <c r="G4102" t="s">
        <v>32613</v>
      </c>
      <c r="H4102" t="s">
        <v>32623</v>
      </c>
      <c r="I4102" t="s">
        <v>17648</v>
      </c>
      <c r="J4102" t="s">
        <v>35523</v>
      </c>
      <c r="K4102" t="s">
        <v>42651</v>
      </c>
      <c r="M4102" t="s">
        <v>44592</v>
      </c>
      <c r="N4102" t="s">
        <v>47304</v>
      </c>
      <c r="O4102" t="s">
        <v>47305</v>
      </c>
      <c r="P4102">
        <v>0</v>
      </c>
      <c r="Q4102">
        <v>2</v>
      </c>
      <c r="R4102" t="s">
        <v>47306</v>
      </c>
      <c r="S4102" t="s">
        <v>47414</v>
      </c>
      <c r="T4102" t="s">
        <v>49205</v>
      </c>
      <c r="U4102" t="s">
        <v>53056</v>
      </c>
      <c r="W4102" t="s">
        <v>44592</v>
      </c>
      <c r="X4102" t="s">
        <v>47308</v>
      </c>
    </row>
    <row r="4103" spans="1:24">
      <c r="A4103">
        <f>HYPERLINK("https://www.philgeps.gov.ph/GEPSNONPILOT/Tender/SplashBidNoticeAbstractUI.aspx?menuIndex=3&amp;refID=7196520&amp;Result=3","7196520")</f>
        <v>0</v>
      </c>
      <c r="B4103" t="s">
        <v>389</v>
      </c>
      <c r="C4103" t="s">
        <v>7734</v>
      </c>
      <c r="D4103" t="s">
        <v>18999</v>
      </c>
      <c r="E4103" t="s">
        <v>22759</v>
      </c>
      <c r="F4103" t="s">
        <v>32606</v>
      </c>
      <c r="G4103" t="s">
        <v>32613</v>
      </c>
      <c r="H4103" t="s">
        <v>14201</v>
      </c>
      <c r="I4103" t="s">
        <v>9008</v>
      </c>
      <c r="J4103" t="s">
        <v>35524</v>
      </c>
      <c r="K4103" t="s">
        <v>42631</v>
      </c>
      <c r="M4103" t="s">
        <v>43292</v>
      </c>
      <c r="N4103" t="s">
        <v>47304</v>
      </c>
      <c r="O4103" t="s">
        <v>47305</v>
      </c>
      <c r="P4103">
        <v>0</v>
      </c>
      <c r="Q4103">
        <v>2</v>
      </c>
      <c r="R4103" t="s">
        <v>47306</v>
      </c>
      <c r="S4103" t="s">
        <v>47414</v>
      </c>
      <c r="T4103" t="s">
        <v>49118</v>
      </c>
      <c r="U4103" t="s">
        <v>53057</v>
      </c>
      <c r="W4103" t="s">
        <v>43292</v>
      </c>
      <c r="X4103" t="s">
        <v>47308</v>
      </c>
    </row>
    <row r="4104" spans="1:24">
      <c r="A4104">
        <f>HYPERLINK("https://www.philgeps.gov.ph/GEPSNONPILOT/Tender/SplashBidNoticeAbstractUI.aspx?menuIndex=3&amp;refID=7196518&amp;Result=3","7196518")</f>
        <v>0</v>
      </c>
      <c r="B4104" t="s">
        <v>692</v>
      </c>
      <c r="C4104" t="s">
        <v>7735</v>
      </c>
      <c r="D4104" t="s">
        <v>18992</v>
      </c>
      <c r="E4104" t="s">
        <v>20332</v>
      </c>
      <c r="F4104" t="s">
        <v>32606</v>
      </c>
      <c r="G4104" t="s">
        <v>32614</v>
      </c>
      <c r="H4104" t="s">
        <v>14201</v>
      </c>
      <c r="I4104" t="s">
        <v>6931</v>
      </c>
      <c r="J4104" t="s">
        <v>35525</v>
      </c>
      <c r="K4104" t="s">
        <v>42629</v>
      </c>
      <c r="M4104" t="s">
        <v>43613</v>
      </c>
      <c r="N4104" t="s">
        <v>47304</v>
      </c>
      <c r="O4104" t="s">
        <v>47305</v>
      </c>
      <c r="P4104">
        <v>0</v>
      </c>
      <c r="Q4104">
        <v>0</v>
      </c>
      <c r="R4104" t="s">
        <v>47306</v>
      </c>
      <c r="S4104" t="s">
        <v>47414</v>
      </c>
      <c r="T4104" t="s">
        <v>48980</v>
      </c>
      <c r="U4104" t="s">
        <v>53058</v>
      </c>
      <c r="W4104" t="s">
        <v>43613</v>
      </c>
      <c r="X4104" t="s">
        <v>47308</v>
      </c>
    </row>
    <row r="4105" spans="1:24">
      <c r="A4105">
        <f>HYPERLINK("https://www.philgeps.gov.ph/GEPSNONPILOT/Tender/SplashBidNoticeAbstractUI.aspx?menuIndex=3&amp;refID=7196552&amp;Result=3","7196552")</f>
        <v>0</v>
      </c>
      <c r="B4105" t="s">
        <v>187</v>
      </c>
      <c r="C4105" t="s">
        <v>7736</v>
      </c>
      <c r="D4105" t="s">
        <v>19038</v>
      </c>
      <c r="E4105" t="s">
        <v>22760</v>
      </c>
      <c r="F4105" t="s">
        <v>32606</v>
      </c>
      <c r="G4105" t="s">
        <v>32613</v>
      </c>
      <c r="H4105" t="s">
        <v>14201</v>
      </c>
      <c r="I4105" t="s">
        <v>6931</v>
      </c>
      <c r="J4105" t="s">
        <v>35526</v>
      </c>
      <c r="K4105" t="s">
        <v>42622</v>
      </c>
      <c r="M4105" t="s">
        <v>43088</v>
      </c>
      <c r="N4105" t="s">
        <v>47304</v>
      </c>
      <c r="O4105" t="s">
        <v>47305</v>
      </c>
      <c r="P4105">
        <v>0</v>
      </c>
      <c r="Q4105">
        <v>0</v>
      </c>
      <c r="R4105" t="s">
        <v>47306</v>
      </c>
      <c r="S4105" t="s">
        <v>47414</v>
      </c>
      <c r="T4105" t="s">
        <v>48986</v>
      </c>
      <c r="U4105" t="s">
        <v>53059</v>
      </c>
      <c r="W4105" t="s">
        <v>43088</v>
      </c>
      <c r="X4105" t="s">
        <v>47308</v>
      </c>
    </row>
    <row r="4106" spans="1:24">
      <c r="A4106">
        <f>HYPERLINK("https://www.philgeps.gov.ph/GEPSNONPILOT/Tender/SplashBidNoticeAbstractUI.aspx?menuIndex=3&amp;refID=7196551&amp;Result=3","7196551")</f>
        <v>0</v>
      </c>
      <c r="B4106" t="s">
        <v>1581</v>
      </c>
      <c r="C4106" t="s">
        <v>7737</v>
      </c>
      <c r="D4106" t="s">
        <v>19006</v>
      </c>
      <c r="E4106" t="s">
        <v>22761</v>
      </c>
      <c r="F4106" t="s">
        <v>32607</v>
      </c>
      <c r="G4106" t="s">
        <v>32613</v>
      </c>
      <c r="H4106" t="s">
        <v>14201</v>
      </c>
      <c r="I4106" t="s">
        <v>6931</v>
      </c>
      <c r="J4106" t="s">
        <v>35527</v>
      </c>
      <c r="K4106" t="s">
        <v>42630</v>
      </c>
      <c r="M4106" t="s">
        <v>44593</v>
      </c>
      <c r="N4106" t="s">
        <v>47304</v>
      </c>
      <c r="O4106" t="s">
        <v>47305</v>
      </c>
      <c r="P4106">
        <v>0</v>
      </c>
      <c r="Q4106">
        <v>0</v>
      </c>
      <c r="R4106" t="s">
        <v>47306</v>
      </c>
      <c r="S4106" t="s">
        <v>47414</v>
      </c>
      <c r="T4106" t="s">
        <v>49154</v>
      </c>
      <c r="U4106" t="s">
        <v>53060</v>
      </c>
      <c r="V4106" t="s">
        <v>63058</v>
      </c>
      <c r="W4106" t="s">
        <v>44593</v>
      </c>
      <c r="X4106" t="s">
        <v>47308</v>
      </c>
    </row>
    <row r="4107" spans="1:24">
      <c r="A4107">
        <f>HYPERLINK("https://www.philgeps.gov.ph/GEPSNONPILOT/Tender/SplashBidNoticeAbstractUI.aspx?menuIndex=3&amp;refID=7196498&amp;Result=3","7196498")</f>
        <v>0</v>
      </c>
      <c r="B4107" t="s">
        <v>38</v>
      </c>
      <c r="C4107" t="s">
        <v>7738</v>
      </c>
      <c r="D4107" t="s">
        <v>18998</v>
      </c>
      <c r="E4107" t="s">
        <v>22762</v>
      </c>
      <c r="F4107" t="s">
        <v>32606</v>
      </c>
      <c r="G4107" t="s">
        <v>32614</v>
      </c>
      <c r="H4107" t="s">
        <v>14201</v>
      </c>
      <c r="I4107" t="s">
        <v>6014</v>
      </c>
      <c r="J4107" t="s">
        <v>35528</v>
      </c>
      <c r="K4107" t="s">
        <v>42627</v>
      </c>
      <c r="M4107" t="s">
        <v>42935</v>
      </c>
      <c r="N4107" t="s">
        <v>47304</v>
      </c>
      <c r="O4107" t="s">
        <v>47305</v>
      </c>
      <c r="P4107">
        <v>0</v>
      </c>
      <c r="Q4107">
        <v>0</v>
      </c>
      <c r="R4107" t="s">
        <v>47306</v>
      </c>
      <c r="S4107" t="s">
        <v>47414</v>
      </c>
      <c r="T4107" t="s">
        <v>49243</v>
      </c>
      <c r="U4107" t="s">
        <v>53061</v>
      </c>
      <c r="W4107" t="s">
        <v>64419</v>
      </c>
      <c r="X4107" t="s">
        <v>47308</v>
      </c>
    </row>
    <row r="4108" spans="1:24">
      <c r="A4108">
        <f>HYPERLINK("https://www.philgeps.gov.ph/GEPSNONPILOT/Tender/SplashBidNoticeAbstractUI.aspx?menuIndex=3&amp;refID=7196549&amp;Result=3","7196549")</f>
        <v>0</v>
      </c>
      <c r="B4108" t="s">
        <v>497</v>
      </c>
      <c r="C4108" t="s">
        <v>4789</v>
      </c>
      <c r="D4108" t="s">
        <v>18991</v>
      </c>
      <c r="E4108" t="s">
        <v>22763</v>
      </c>
      <c r="F4108" t="s">
        <v>32606</v>
      </c>
      <c r="G4108" t="s">
        <v>32614</v>
      </c>
      <c r="H4108" t="s">
        <v>14201</v>
      </c>
      <c r="I4108" t="s">
        <v>32689</v>
      </c>
      <c r="J4108" t="s">
        <v>35529</v>
      </c>
      <c r="K4108" t="s">
        <v>42624</v>
      </c>
      <c r="M4108" t="s">
        <v>43410</v>
      </c>
      <c r="N4108" t="s">
        <v>47304</v>
      </c>
      <c r="O4108" t="s">
        <v>47305</v>
      </c>
      <c r="P4108">
        <v>0</v>
      </c>
      <c r="Q4108">
        <v>0</v>
      </c>
      <c r="R4108" t="s">
        <v>47306</v>
      </c>
      <c r="S4108" t="s">
        <v>47414</v>
      </c>
      <c r="T4108" t="s">
        <v>49004</v>
      </c>
      <c r="U4108" t="s">
        <v>53062</v>
      </c>
      <c r="W4108" t="s">
        <v>43410</v>
      </c>
      <c r="X4108" t="s">
        <v>47308</v>
      </c>
    </row>
    <row r="4109" spans="1:24">
      <c r="A4109">
        <f>HYPERLINK("https://www.philgeps.gov.ph/GEPSNONPILOT/Tender/SplashBidNoticeAbstractUI.aspx?menuIndex=3&amp;refID=7196548&amp;Result=3","7196548")</f>
        <v>0</v>
      </c>
      <c r="B4109" t="s">
        <v>233</v>
      </c>
      <c r="C4109" t="s">
        <v>7739</v>
      </c>
      <c r="D4109" t="s">
        <v>18997</v>
      </c>
      <c r="E4109" t="s">
        <v>22764</v>
      </c>
      <c r="F4109" t="s">
        <v>32606</v>
      </c>
      <c r="G4109" t="s">
        <v>32613</v>
      </c>
      <c r="H4109" t="s">
        <v>14201</v>
      </c>
      <c r="I4109" t="s">
        <v>4369</v>
      </c>
      <c r="J4109" t="s">
        <v>35520</v>
      </c>
      <c r="K4109" t="s">
        <v>42631</v>
      </c>
      <c r="M4109" t="s">
        <v>44359</v>
      </c>
      <c r="N4109" t="s">
        <v>47304</v>
      </c>
      <c r="O4109" t="s">
        <v>47305</v>
      </c>
      <c r="P4109">
        <v>0</v>
      </c>
      <c r="Q4109">
        <v>0</v>
      </c>
      <c r="R4109" t="s">
        <v>47306</v>
      </c>
      <c r="S4109" t="s">
        <v>47414</v>
      </c>
      <c r="T4109" t="s">
        <v>49023</v>
      </c>
      <c r="U4109" t="s">
        <v>52443</v>
      </c>
      <c r="V4109" t="s">
        <v>63002</v>
      </c>
      <c r="W4109" t="s">
        <v>44359</v>
      </c>
      <c r="X4109" t="s">
        <v>47308</v>
      </c>
    </row>
    <row r="4110" spans="1:24">
      <c r="A4110">
        <f>HYPERLINK("https://www.philgeps.gov.ph/GEPSNONPILOT/Tender/SplashBidNoticeAbstractUI.aspx?menuIndex=3&amp;refID=7196547&amp;Result=3","7196547")</f>
        <v>0</v>
      </c>
      <c r="B4110" t="s">
        <v>1086</v>
      </c>
      <c r="C4110" t="s">
        <v>7740</v>
      </c>
      <c r="E4110" t="s">
        <v>22765</v>
      </c>
      <c r="F4110" t="s">
        <v>32606</v>
      </c>
      <c r="G4110" t="s">
        <v>32620</v>
      </c>
      <c r="H4110" t="s">
        <v>14201</v>
      </c>
      <c r="I4110" t="s">
        <v>32625</v>
      </c>
      <c r="J4110" t="s">
        <v>35530</v>
      </c>
      <c r="K4110" t="s">
        <v>42624</v>
      </c>
      <c r="M4110" t="s">
        <v>44041</v>
      </c>
      <c r="N4110" t="s">
        <v>47304</v>
      </c>
      <c r="O4110" t="s">
        <v>47305</v>
      </c>
      <c r="P4110">
        <v>0</v>
      </c>
      <c r="Q4110">
        <v>0</v>
      </c>
      <c r="R4110" t="s">
        <v>47306</v>
      </c>
      <c r="S4110" t="s">
        <v>47414</v>
      </c>
      <c r="T4110" t="s">
        <v>49023</v>
      </c>
      <c r="U4110" t="s">
        <v>53063</v>
      </c>
      <c r="W4110" t="s">
        <v>44041</v>
      </c>
      <c r="X4110" t="s">
        <v>47308</v>
      </c>
    </row>
    <row r="4111" spans="1:24">
      <c r="A4111">
        <f>HYPERLINK("https://www.philgeps.gov.ph/GEPSNONPILOT/Tender/SplashBidNoticeAbstractUI.aspx?menuIndex=3&amp;refID=7196546&amp;Result=3","7196546")</f>
        <v>0</v>
      </c>
      <c r="B4111" t="s">
        <v>1582</v>
      </c>
      <c r="C4111" t="s">
        <v>7741</v>
      </c>
      <c r="D4111" t="s">
        <v>19002</v>
      </c>
      <c r="E4111" t="s">
        <v>22766</v>
      </c>
      <c r="F4111" t="s">
        <v>32606</v>
      </c>
      <c r="G4111" t="s">
        <v>32613</v>
      </c>
      <c r="H4111" t="s">
        <v>14201</v>
      </c>
      <c r="I4111" t="s">
        <v>7064</v>
      </c>
      <c r="J4111" t="s">
        <v>33231</v>
      </c>
      <c r="K4111" t="s">
        <v>42631</v>
      </c>
      <c r="M4111" t="s">
        <v>44594</v>
      </c>
      <c r="N4111" t="s">
        <v>47304</v>
      </c>
      <c r="O4111" t="s">
        <v>47305</v>
      </c>
      <c r="P4111">
        <v>0</v>
      </c>
      <c r="Q4111">
        <v>1</v>
      </c>
      <c r="R4111" t="s">
        <v>47306</v>
      </c>
      <c r="S4111" t="s">
        <v>47414</v>
      </c>
      <c r="T4111" t="s">
        <v>48995</v>
      </c>
      <c r="U4111" t="s">
        <v>53064</v>
      </c>
      <c r="W4111" t="s">
        <v>44594</v>
      </c>
      <c r="X4111" t="s">
        <v>47308</v>
      </c>
    </row>
    <row r="4112" spans="1:24">
      <c r="A4112">
        <f>HYPERLINK("https://www.philgeps.gov.ph/GEPSNONPILOT/Tender/SplashBidNoticeAbstractUI.aspx?menuIndex=3&amp;refID=7196545&amp;Result=3","7196545")</f>
        <v>0</v>
      </c>
      <c r="B4112" t="s">
        <v>320</v>
      </c>
      <c r="C4112" t="s">
        <v>7742</v>
      </c>
      <c r="D4112" t="s">
        <v>19037</v>
      </c>
      <c r="E4112" t="s">
        <v>22767</v>
      </c>
      <c r="F4112" t="s">
        <v>32606</v>
      </c>
      <c r="G4112" t="s">
        <v>32614</v>
      </c>
      <c r="H4112" t="s">
        <v>14201</v>
      </c>
      <c r="I4112" t="s">
        <v>32640</v>
      </c>
      <c r="J4112" t="s">
        <v>33897</v>
      </c>
      <c r="K4112" t="s">
        <v>42631</v>
      </c>
      <c r="M4112" t="s">
        <v>44595</v>
      </c>
      <c r="N4112" t="s">
        <v>47304</v>
      </c>
      <c r="O4112" t="s">
        <v>47305</v>
      </c>
      <c r="P4112">
        <v>0</v>
      </c>
      <c r="Q4112">
        <v>2</v>
      </c>
      <c r="R4112" t="s">
        <v>47306</v>
      </c>
      <c r="S4112" t="s">
        <v>47414</v>
      </c>
      <c r="T4112" t="s">
        <v>49010</v>
      </c>
      <c r="U4112" t="s">
        <v>53065</v>
      </c>
      <c r="W4112" t="s">
        <v>44595</v>
      </c>
      <c r="X4112" t="s">
        <v>47308</v>
      </c>
    </row>
    <row r="4113" spans="1:24">
      <c r="A4113">
        <f>HYPERLINK("https://www.philgeps.gov.ph/GEPSNONPILOT/Tender/SplashBidNoticeAbstractUI.aspx?menuIndex=3&amp;refID=7196515&amp;Result=3","7196515")</f>
        <v>0</v>
      </c>
      <c r="B4113" t="s">
        <v>1583</v>
      </c>
      <c r="C4113" t="s">
        <v>7743</v>
      </c>
      <c r="D4113" t="s">
        <v>19049</v>
      </c>
      <c r="E4113" t="s">
        <v>22768</v>
      </c>
      <c r="F4113" t="s">
        <v>32606</v>
      </c>
      <c r="G4113" t="s">
        <v>32617</v>
      </c>
      <c r="H4113" t="s">
        <v>14201</v>
      </c>
      <c r="I4113" t="s">
        <v>32724</v>
      </c>
      <c r="J4113" t="s">
        <v>35531</v>
      </c>
      <c r="K4113" t="s">
        <v>42632</v>
      </c>
      <c r="M4113" t="s">
        <v>44596</v>
      </c>
      <c r="N4113" t="s">
        <v>47304</v>
      </c>
      <c r="O4113" t="s">
        <v>47305</v>
      </c>
      <c r="P4113">
        <v>0</v>
      </c>
      <c r="Q4113">
        <v>0</v>
      </c>
      <c r="R4113" t="s">
        <v>47306</v>
      </c>
      <c r="S4113" t="s">
        <v>47414</v>
      </c>
      <c r="T4113" t="s">
        <v>48980</v>
      </c>
      <c r="U4113" t="s">
        <v>53066</v>
      </c>
      <c r="W4113" t="s">
        <v>44596</v>
      </c>
      <c r="X4113" t="s">
        <v>47308</v>
      </c>
    </row>
    <row r="4114" spans="1:24">
      <c r="A4114">
        <f>HYPERLINK("https://www.philgeps.gov.ph/GEPSNONPILOT/Tender/SplashBidNoticeAbstractUI.aspx?menuIndex=3&amp;refID=7196550&amp;Result=3","7196550")</f>
        <v>0</v>
      </c>
      <c r="B4114" t="s">
        <v>1547</v>
      </c>
      <c r="C4114" t="s">
        <v>7744</v>
      </c>
      <c r="D4114" t="s">
        <v>18992</v>
      </c>
      <c r="E4114" t="s">
        <v>20445</v>
      </c>
      <c r="F4114" t="s">
        <v>32606</v>
      </c>
      <c r="G4114" t="s">
        <v>32613</v>
      </c>
      <c r="H4114" t="s">
        <v>32623</v>
      </c>
      <c r="I4114" t="s">
        <v>17648</v>
      </c>
      <c r="J4114" t="s">
        <v>32821</v>
      </c>
      <c r="K4114" t="s">
        <v>42712</v>
      </c>
      <c r="M4114" t="s">
        <v>44551</v>
      </c>
      <c r="N4114" t="s">
        <v>47304</v>
      </c>
      <c r="O4114" t="s">
        <v>47305</v>
      </c>
      <c r="P4114">
        <v>0</v>
      </c>
      <c r="Q4114">
        <v>0</v>
      </c>
      <c r="R4114" t="s">
        <v>47306</v>
      </c>
      <c r="S4114" t="s">
        <v>47414</v>
      </c>
      <c r="T4114" t="s">
        <v>49009</v>
      </c>
      <c r="U4114" t="s">
        <v>52950</v>
      </c>
      <c r="W4114" t="s">
        <v>44551</v>
      </c>
      <c r="X4114" t="s">
        <v>47308</v>
      </c>
    </row>
    <row r="4115" spans="1:24">
      <c r="A4115">
        <f>HYPERLINK("https://www.philgeps.gov.ph/GEPSNONPILOT/Tender/SplashBidNoticeAbstractUI.aspx?menuIndex=3&amp;refID=7196542&amp;Result=3","7196542")</f>
        <v>0</v>
      </c>
      <c r="B4115" t="s">
        <v>1584</v>
      </c>
      <c r="C4115" t="s">
        <v>7745</v>
      </c>
      <c r="D4115" t="s">
        <v>18988</v>
      </c>
      <c r="E4115" t="s">
        <v>22769</v>
      </c>
      <c r="F4115" t="s">
        <v>32606</v>
      </c>
      <c r="G4115" t="s">
        <v>32614</v>
      </c>
      <c r="H4115" t="s">
        <v>14201</v>
      </c>
      <c r="I4115" t="s">
        <v>6931</v>
      </c>
      <c r="J4115" t="s">
        <v>35532</v>
      </c>
      <c r="K4115" t="s">
        <v>42638</v>
      </c>
      <c r="M4115" t="s">
        <v>44597</v>
      </c>
      <c r="N4115" t="s">
        <v>47304</v>
      </c>
      <c r="O4115" t="s">
        <v>47305</v>
      </c>
      <c r="P4115">
        <v>0</v>
      </c>
      <c r="Q4115">
        <v>0</v>
      </c>
      <c r="R4115" t="s">
        <v>47306</v>
      </c>
      <c r="S4115" t="s">
        <v>47414</v>
      </c>
      <c r="T4115" t="s">
        <v>49004</v>
      </c>
      <c r="U4115" t="s">
        <v>51877</v>
      </c>
      <c r="W4115" t="s">
        <v>44597</v>
      </c>
      <c r="X4115" t="s">
        <v>47308</v>
      </c>
    </row>
    <row r="4116" spans="1:24">
      <c r="A4116">
        <f>HYPERLINK("https://www.philgeps.gov.ph/GEPSNONPILOT/Tender/SplashBidNoticeAbstractUI.aspx?menuIndex=3&amp;refID=7196541&amp;Result=3","7196541")</f>
        <v>0</v>
      </c>
      <c r="B4116" t="s">
        <v>1561</v>
      </c>
      <c r="C4116" t="s">
        <v>7746</v>
      </c>
      <c r="D4116" t="s">
        <v>19002</v>
      </c>
      <c r="E4116" t="s">
        <v>22770</v>
      </c>
      <c r="F4116" t="s">
        <v>32606</v>
      </c>
      <c r="G4116" t="s">
        <v>32613</v>
      </c>
      <c r="H4116" t="s">
        <v>14201</v>
      </c>
      <c r="I4116" t="s">
        <v>6931</v>
      </c>
      <c r="J4116" t="s">
        <v>35533</v>
      </c>
      <c r="K4116" t="s">
        <v>42752</v>
      </c>
      <c r="L4116" t="s">
        <v>1561</v>
      </c>
      <c r="M4116" t="s">
        <v>44568</v>
      </c>
      <c r="N4116" t="s">
        <v>47304</v>
      </c>
      <c r="O4116" t="s">
        <v>47305</v>
      </c>
      <c r="P4116">
        <v>0</v>
      </c>
      <c r="Q4116">
        <v>0</v>
      </c>
      <c r="R4116" t="s">
        <v>47306</v>
      </c>
      <c r="S4116" t="s">
        <v>47414</v>
      </c>
      <c r="T4116" t="s">
        <v>49107</v>
      </c>
      <c r="U4116" t="s">
        <v>53067</v>
      </c>
      <c r="W4116" t="s">
        <v>44568</v>
      </c>
      <c r="X4116" t="s">
        <v>47308</v>
      </c>
    </row>
    <row r="4117" spans="1:24">
      <c r="A4117">
        <f>HYPERLINK("https://www.philgeps.gov.ph/GEPSNONPILOT/Tender/SplashBidNoticeAbstractUI.aspx?menuIndex=3&amp;refID=7196554&amp;Result=3","7196554")</f>
        <v>0</v>
      </c>
      <c r="B4117" t="s">
        <v>778</v>
      </c>
      <c r="C4117" t="s">
        <v>7747</v>
      </c>
      <c r="D4117" t="s">
        <v>19012</v>
      </c>
      <c r="E4117" t="s">
        <v>19422</v>
      </c>
      <c r="F4117" t="s">
        <v>32606</v>
      </c>
      <c r="G4117" t="s">
        <v>32615</v>
      </c>
      <c r="H4117" t="s">
        <v>14201</v>
      </c>
      <c r="I4117" t="s">
        <v>7064</v>
      </c>
      <c r="J4117" t="s">
        <v>33102</v>
      </c>
      <c r="K4117" t="s">
        <v>42623</v>
      </c>
      <c r="M4117" t="s">
        <v>43708</v>
      </c>
      <c r="N4117" t="s">
        <v>47304</v>
      </c>
      <c r="O4117" t="s">
        <v>47305</v>
      </c>
      <c r="P4117">
        <v>0</v>
      </c>
      <c r="Q4117">
        <v>0</v>
      </c>
      <c r="R4117" t="s">
        <v>47306</v>
      </c>
      <c r="S4117" t="s">
        <v>47414</v>
      </c>
      <c r="T4117" t="s">
        <v>49017</v>
      </c>
      <c r="U4117" t="s">
        <v>53068</v>
      </c>
      <c r="W4117" t="s">
        <v>43708</v>
      </c>
      <c r="X4117" t="s">
        <v>47308</v>
      </c>
    </row>
    <row r="4118" spans="1:24">
      <c r="A4118">
        <f>HYPERLINK("https://www.philgeps.gov.ph/GEPSNONPILOT/Tender/SplashBidNoticeAbstractUI.aspx?menuIndex=3&amp;refID=7196579&amp;Result=3","7196579")</f>
        <v>0</v>
      </c>
      <c r="B4118" t="s">
        <v>276</v>
      </c>
      <c r="C4118" t="s">
        <v>7748</v>
      </c>
      <c r="D4118" t="s">
        <v>19001</v>
      </c>
      <c r="E4118" t="s">
        <v>22771</v>
      </c>
      <c r="F4118" t="s">
        <v>32606</v>
      </c>
      <c r="G4118" t="s">
        <v>32614</v>
      </c>
      <c r="H4118" t="s">
        <v>14201</v>
      </c>
      <c r="I4118" t="s">
        <v>6007</v>
      </c>
      <c r="J4118" t="s">
        <v>35534</v>
      </c>
      <c r="K4118" t="s">
        <v>42622</v>
      </c>
      <c r="M4118" t="s">
        <v>43177</v>
      </c>
      <c r="N4118" t="s">
        <v>47304</v>
      </c>
      <c r="O4118" t="s">
        <v>47305</v>
      </c>
      <c r="P4118">
        <v>0</v>
      </c>
      <c r="Q4118">
        <v>0</v>
      </c>
      <c r="R4118" t="s">
        <v>47306</v>
      </c>
      <c r="S4118" t="s">
        <v>47414</v>
      </c>
      <c r="T4118" t="s">
        <v>48986</v>
      </c>
      <c r="U4118" t="s">
        <v>53069</v>
      </c>
      <c r="W4118" t="s">
        <v>43177</v>
      </c>
      <c r="X4118" t="s">
        <v>47308</v>
      </c>
    </row>
    <row r="4119" spans="1:24">
      <c r="A4119">
        <f>HYPERLINK("https://www.philgeps.gov.ph/GEPSNONPILOT/Tender/SplashBidNoticeAbstractUI.aspx?menuIndex=3&amp;refID=7196544&amp;Result=3","7196544")</f>
        <v>0</v>
      </c>
      <c r="B4119" t="s">
        <v>1551</v>
      </c>
      <c r="C4119" t="s">
        <v>7749</v>
      </c>
      <c r="D4119" t="s">
        <v>19046</v>
      </c>
      <c r="E4119" t="s">
        <v>22772</v>
      </c>
      <c r="F4119" t="s">
        <v>32606</v>
      </c>
      <c r="G4119" t="s">
        <v>32614</v>
      </c>
      <c r="H4119" t="s">
        <v>14201</v>
      </c>
      <c r="I4119" t="s">
        <v>7529</v>
      </c>
      <c r="J4119" t="s">
        <v>33097</v>
      </c>
      <c r="K4119" t="s">
        <v>42623</v>
      </c>
      <c r="M4119" t="s">
        <v>44555</v>
      </c>
      <c r="N4119" t="s">
        <v>47304</v>
      </c>
      <c r="O4119" t="s">
        <v>47305</v>
      </c>
      <c r="P4119">
        <v>0</v>
      </c>
      <c r="Q4119">
        <v>0</v>
      </c>
      <c r="R4119" t="s">
        <v>47306</v>
      </c>
      <c r="S4119" t="s">
        <v>47414</v>
      </c>
      <c r="T4119" t="s">
        <v>48980</v>
      </c>
      <c r="U4119" t="s">
        <v>53070</v>
      </c>
      <c r="W4119" t="s">
        <v>44555</v>
      </c>
      <c r="X4119" t="s">
        <v>47308</v>
      </c>
    </row>
    <row r="4120" spans="1:24">
      <c r="A4120">
        <f>HYPERLINK("https://www.philgeps.gov.ph/GEPSNONPILOT/Tender/SplashBidNoticeAbstractUI.aspx?menuIndex=3&amp;refID=7196543&amp;Result=3","7196543")</f>
        <v>0</v>
      </c>
      <c r="B4120" t="s">
        <v>1568</v>
      </c>
      <c r="C4120" t="s">
        <v>7750</v>
      </c>
      <c r="D4120" t="s">
        <v>18994</v>
      </c>
      <c r="E4120" t="s">
        <v>22773</v>
      </c>
      <c r="F4120" t="s">
        <v>32606</v>
      </c>
      <c r="G4120" t="s">
        <v>32613</v>
      </c>
      <c r="H4120" t="s">
        <v>14201</v>
      </c>
      <c r="I4120" t="s">
        <v>32633</v>
      </c>
      <c r="J4120" t="s">
        <v>35535</v>
      </c>
      <c r="K4120" t="s">
        <v>42627</v>
      </c>
      <c r="M4120" t="s">
        <v>44577</v>
      </c>
      <c r="N4120" t="s">
        <v>47304</v>
      </c>
      <c r="O4120" t="s">
        <v>47305</v>
      </c>
      <c r="P4120">
        <v>0</v>
      </c>
      <c r="Q4120">
        <v>15</v>
      </c>
      <c r="R4120" t="s">
        <v>47306</v>
      </c>
      <c r="S4120" t="s">
        <v>47414</v>
      </c>
      <c r="T4120" t="s">
        <v>48995</v>
      </c>
      <c r="U4120" t="s">
        <v>53071</v>
      </c>
      <c r="V4120" t="s">
        <v>62763</v>
      </c>
      <c r="W4120" t="s">
        <v>44577</v>
      </c>
      <c r="X4120" t="s">
        <v>47308</v>
      </c>
    </row>
    <row r="4121" spans="1:24">
      <c r="A4121">
        <f>HYPERLINK("https://www.philgeps.gov.ph/GEPSNONPILOT/Tender/SplashBidNoticeAbstractUI.aspx?menuIndex=3&amp;refID=7196577&amp;Result=3","7196577")</f>
        <v>0</v>
      </c>
      <c r="B4121" t="s">
        <v>1551</v>
      </c>
      <c r="C4121" t="s">
        <v>7751</v>
      </c>
      <c r="D4121" t="s">
        <v>19046</v>
      </c>
      <c r="E4121" t="s">
        <v>22774</v>
      </c>
      <c r="F4121" t="s">
        <v>32606</v>
      </c>
      <c r="G4121" t="s">
        <v>32614</v>
      </c>
      <c r="H4121" t="s">
        <v>14201</v>
      </c>
      <c r="I4121" t="s">
        <v>6931</v>
      </c>
      <c r="J4121" t="s">
        <v>35536</v>
      </c>
      <c r="K4121" t="s">
        <v>42623</v>
      </c>
      <c r="M4121" t="s">
        <v>44555</v>
      </c>
      <c r="N4121" t="s">
        <v>47304</v>
      </c>
      <c r="O4121" t="s">
        <v>47305</v>
      </c>
      <c r="P4121">
        <v>0</v>
      </c>
      <c r="Q4121">
        <v>0</v>
      </c>
      <c r="R4121" t="s">
        <v>47306</v>
      </c>
      <c r="S4121" t="s">
        <v>47414</v>
      </c>
      <c r="T4121" t="s">
        <v>48980</v>
      </c>
      <c r="U4121" t="s">
        <v>53072</v>
      </c>
      <c r="W4121" t="s">
        <v>44555</v>
      </c>
      <c r="X4121" t="s">
        <v>47308</v>
      </c>
    </row>
    <row r="4122" spans="1:24">
      <c r="A4122">
        <f>HYPERLINK("https://www.philgeps.gov.ph/GEPSNONPILOT/Tender/SplashBidNoticeAbstractUI.aspx?menuIndex=3&amp;refID=7196576&amp;Result=3","7196576")</f>
        <v>0</v>
      </c>
      <c r="B4122" t="s">
        <v>1585</v>
      </c>
      <c r="C4122" t="s">
        <v>7752</v>
      </c>
      <c r="D4122" t="s">
        <v>18992</v>
      </c>
      <c r="E4122" t="s">
        <v>22775</v>
      </c>
      <c r="F4122" t="s">
        <v>32606</v>
      </c>
      <c r="G4122" t="s">
        <v>32619</v>
      </c>
      <c r="H4122" t="s">
        <v>14201</v>
      </c>
      <c r="I4122" t="s">
        <v>4120</v>
      </c>
      <c r="J4122" t="s">
        <v>33034</v>
      </c>
      <c r="K4122" t="s">
        <v>42630</v>
      </c>
      <c r="M4122" t="s">
        <v>44598</v>
      </c>
      <c r="N4122" t="s">
        <v>47304</v>
      </c>
      <c r="O4122" t="s">
        <v>47305</v>
      </c>
      <c r="P4122">
        <v>0</v>
      </c>
      <c r="Q4122">
        <v>1</v>
      </c>
      <c r="R4122" t="s">
        <v>47306</v>
      </c>
      <c r="S4122" t="s">
        <v>47414</v>
      </c>
      <c r="T4122" t="s">
        <v>49068</v>
      </c>
      <c r="U4122" t="s">
        <v>53073</v>
      </c>
      <c r="W4122" t="s">
        <v>44598</v>
      </c>
      <c r="X4122" t="s">
        <v>47308</v>
      </c>
    </row>
    <row r="4123" spans="1:24">
      <c r="A4123">
        <f>HYPERLINK("https://www.philgeps.gov.ph/GEPSNONPILOT/Tender/SplashBidNoticeAbstractUI.aspx?menuIndex=3&amp;refID=7196573&amp;Result=3","7196573")</f>
        <v>0</v>
      </c>
      <c r="B4123" t="s">
        <v>1559</v>
      </c>
      <c r="C4123" t="s">
        <v>7753</v>
      </c>
      <c r="D4123" t="s">
        <v>19040</v>
      </c>
      <c r="E4123" t="s">
        <v>22776</v>
      </c>
      <c r="F4123" t="s">
        <v>32606</v>
      </c>
      <c r="G4123" t="s">
        <v>32614</v>
      </c>
      <c r="H4123" t="s">
        <v>14201</v>
      </c>
      <c r="I4123" t="s">
        <v>32669</v>
      </c>
      <c r="J4123" t="s">
        <v>32999</v>
      </c>
      <c r="K4123" t="s">
        <v>42624</v>
      </c>
      <c r="M4123" t="s">
        <v>44565</v>
      </c>
      <c r="N4123" t="s">
        <v>47304</v>
      </c>
      <c r="O4123" t="s">
        <v>47305</v>
      </c>
      <c r="P4123">
        <v>0</v>
      </c>
      <c r="Q4123">
        <v>1</v>
      </c>
      <c r="R4123" t="s">
        <v>47306</v>
      </c>
      <c r="S4123" t="s">
        <v>47414</v>
      </c>
      <c r="T4123" t="s">
        <v>49004</v>
      </c>
      <c r="U4123" t="s">
        <v>53074</v>
      </c>
      <c r="W4123" t="s">
        <v>44565</v>
      </c>
      <c r="X4123" t="s">
        <v>47308</v>
      </c>
    </row>
    <row r="4124" spans="1:24">
      <c r="A4124">
        <f>HYPERLINK("https://www.philgeps.gov.ph/GEPSNONPILOT/Tender/SplashBidNoticeAbstractUI.aspx?menuIndex=3&amp;refID=7196571&amp;Result=3","7196571")</f>
        <v>0</v>
      </c>
      <c r="B4124" t="s">
        <v>796</v>
      </c>
      <c r="C4124" t="s">
        <v>7754</v>
      </c>
      <c r="D4124" t="s">
        <v>19022</v>
      </c>
      <c r="E4124" t="s">
        <v>19327</v>
      </c>
      <c r="F4124" t="s">
        <v>32606</v>
      </c>
      <c r="G4124" t="s">
        <v>32614</v>
      </c>
      <c r="H4124" t="s">
        <v>14201</v>
      </c>
      <c r="I4124" t="s">
        <v>4678</v>
      </c>
      <c r="J4124" t="s">
        <v>32765</v>
      </c>
      <c r="K4124" t="s">
        <v>42624</v>
      </c>
      <c r="M4124" t="s">
        <v>43727</v>
      </c>
      <c r="N4124" t="s">
        <v>47304</v>
      </c>
      <c r="O4124" t="s">
        <v>47305</v>
      </c>
      <c r="P4124">
        <v>0</v>
      </c>
      <c r="Q4124">
        <v>3</v>
      </c>
      <c r="R4124" t="s">
        <v>47306</v>
      </c>
      <c r="S4124" t="s">
        <v>47414</v>
      </c>
      <c r="T4124" t="s">
        <v>49014</v>
      </c>
      <c r="U4124" t="s">
        <v>53075</v>
      </c>
      <c r="W4124" t="s">
        <v>43727</v>
      </c>
      <c r="X4124" t="s">
        <v>47308</v>
      </c>
    </row>
    <row r="4125" spans="1:24">
      <c r="A4125">
        <f>HYPERLINK("https://www.philgeps.gov.ph/GEPSNONPILOT/Tender/SplashBidNoticeAbstractUI.aspx?menuIndex=3&amp;refID=7196570&amp;Result=3","7196570")</f>
        <v>0</v>
      </c>
      <c r="B4125" t="s">
        <v>1586</v>
      </c>
      <c r="C4125" t="s">
        <v>4830</v>
      </c>
      <c r="D4125" t="s">
        <v>19038</v>
      </c>
      <c r="E4125" t="s">
        <v>22777</v>
      </c>
      <c r="F4125" t="s">
        <v>32606</v>
      </c>
      <c r="G4125" t="s">
        <v>32614</v>
      </c>
      <c r="H4125" t="s">
        <v>14201</v>
      </c>
      <c r="I4125" t="s">
        <v>4114</v>
      </c>
      <c r="J4125" t="s">
        <v>35537</v>
      </c>
      <c r="K4125" t="s">
        <v>42630</v>
      </c>
      <c r="M4125" t="s">
        <v>44599</v>
      </c>
      <c r="N4125" t="s">
        <v>47304</v>
      </c>
      <c r="O4125" t="s">
        <v>47305</v>
      </c>
      <c r="P4125">
        <v>0</v>
      </c>
      <c r="Q4125">
        <v>1</v>
      </c>
      <c r="R4125" t="s">
        <v>47306</v>
      </c>
      <c r="S4125" t="s">
        <v>47414</v>
      </c>
      <c r="T4125" t="s">
        <v>49067</v>
      </c>
      <c r="U4125" t="s">
        <v>53076</v>
      </c>
      <c r="W4125" t="s">
        <v>44599</v>
      </c>
      <c r="X4125" t="s">
        <v>47308</v>
      </c>
    </row>
    <row r="4126" spans="1:24">
      <c r="A4126">
        <f>HYPERLINK("https://www.philgeps.gov.ph/GEPSNONPILOT/Tender/SplashBidNoticeAbstractUI.aspx?menuIndex=3&amp;refID=7196568&amp;Result=3","7196568")</f>
        <v>0</v>
      </c>
      <c r="B4126" t="s">
        <v>1587</v>
      </c>
      <c r="C4126" t="s">
        <v>7755</v>
      </c>
      <c r="D4126" t="s">
        <v>19044</v>
      </c>
      <c r="E4126" t="s">
        <v>22778</v>
      </c>
      <c r="F4126" t="s">
        <v>32606</v>
      </c>
      <c r="G4126" t="s">
        <v>32619</v>
      </c>
      <c r="H4126" t="s">
        <v>14201</v>
      </c>
      <c r="I4126" t="s">
        <v>6993</v>
      </c>
      <c r="J4126" t="s">
        <v>35538</v>
      </c>
      <c r="K4126" t="s">
        <v>42629</v>
      </c>
      <c r="M4126" t="s">
        <v>44600</v>
      </c>
      <c r="N4126" t="s">
        <v>47304</v>
      </c>
      <c r="O4126" t="s">
        <v>47305</v>
      </c>
      <c r="P4126">
        <v>0</v>
      </c>
      <c r="Q4126">
        <v>0</v>
      </c>
      <c r="R4126" t="s">
        <v>47306</v>
      </c>
      <c r="S4126" t="s">
        <v>47414</v>
      </c>
      <c r="T4126" t="s">
        <v>48997</v>
      </c>
      <c r="U4126" t="s">
        <v>52362</v>
      </c>
      <c r="W4126" t="s">
        <v>44600</v>
      </c>
      <c r="X4126" t="s">
        <v>47308</v>
      </c>
    </row>
    <row r="4127" spans="1:24">
      <c r="A4127">
        <f>HYPERLINK("https://www.philgeps.gov.ph/GEPSNONPILOT/Tender/SplashBidNoticeAbstractUI.aspx?menuIndex=3&amp;refID=7196578&amp;Result=3","7196578")</f>
        <v>0</v>
      </c>
      <c r="B4127" t="s">
        <v>1468</v>
      </c>
      <c r="C4127" t="s">
        <v>7756</v>
      </c>
      <c r="D4127" t="s">
        <v>19046</v>
      </c>
      <c r="E4127" t="s">
        <v>22779</v>
      </c>
      <c r="F4127" t="s">
        <v>32606</v>
      </c>
      <c r="G4127" t="s">
        <v>32614</v>
      </c>
      <c r="H4127" t="s">
        <v>14201</v>
      </c>
      <c r="I4127" t="s">
        <v>4678</v>
      </c>
      <c r="J4127" t="s">
        <v>32949</v>
      </c>
      <c r="K4127" t="s">
        <v>42622</v>
      </c>
      <c r="M4127" t="s">
        <v>44462</v>
      </c>
      <c r="N4127" t="s">
        <v>47304</v>
      </c>
      <c r="O4127" t="s">
        <v>47305</v>
      </c>
      <c r="P4127">
        <v>0</v>
      </c>
      <c r="Q4127">
        <v>0</v>
      </c>
      <c r="R4127" t="s">
        <v>47306</v>
      </c>
      <c r="S4127" t="s">
        <v>47414</v>
      </c>
      <c r="T4127" t="s">
        <v>49010</v>
      </c>
      <c r="U4127" t="s">
        <v>53077</v>
      </c>
      <c r="W4127" t="s">
        <v>44462</v>
      </c>
      <c r="X4127" t="s">
        <v>47308</v>
      </c>
    </row>
    <row r="4128" spans="1:24">
      <c r="A4128">
        <f>HYPERLINK("https://www.philgeps.gov.ph/GEPSNONPILOT/Tender/SplashBidNoticeAbstractUI.aspx?menuIndex=3&amp;refID=7196580&amp;Result=3","7196580")</f>
        <v>0</v>
      </c>
      <c r="B4128" t="s">
        <v>1588</v>
      </c>
      <c r="C4128" t="s">
        <v>7757</v>
      </c>
      <c r="D4128" t="s">
        <v>19011</v>
      </c>
      <c r="E4128" t="s">
        <v>22780</v>
      </c>
      <c r="F4128" t="s">
        <v>32606</v>
      </c>
      <c r="G4128" t="s">
        <v>32614</v>
      </c>
      <c r="H4128" t="s">
        <v>14201</v>
      </c>
      <c r="I4128" t="s">
        <v>32661</v>
      </c>
      <c r="J4128" t="s">
        <v>32885</v>
      </c>
      <c r="K4128" t="s">
        <v>42622</v>
      </c>
      <c r="M4128" t="s">
        <v>44601</v>
      </c>
      <c r="N4128" t="s">
        <v>47304</v>
      </c>
      <c r="O4128" t="s">
        <v>47305</v>
      </c>
      <c r="P4128">
        <v>0</v>
      </c>
      <c r="Q4128">
        <v>1</v>
      </c>
      <c r="R4128" t="s">
        <v>47306</v>
      </c>
      <c r="S4128" t="s">
        <v>47414</v>
      </c>
      <c r="T4128" t="s">
        <v>49067</v>
      </c>
      <c r="U4128" t="s">
        <v>53078</v>
      </c>
      <c r="W4128" t="s">
        <v>44601</v>
      </c>
      <c r="X4128" t="s">
        <v>47308</v>
      </c>
    </row>
    <row r="4129" spans="1:24">
      <c r="A4129">
        <f>HYPERLINK("https://www.philgeps.gov.ph/GEPSNONPILOT/Tender/SplashBidNoticeAbstractUI.aspx?menuIndex=3&amp;refID=7196569&amp;Result=3","7196569")</f>
        <v>0</v>
      </c>
      <c r="B4129" t="s">
        <v>305</v>
      </c>
      <c r="C4129" t="s">
        <v>7758</v>
      </c>
      <c r="D4129" t="s">
        <v>19006</v>
      </c>
      <c r="E4129" t="s">
        <v>22781</v>
      </c>
      <c r="F4129" t="s">
        <v>32606</v>
      </c>
      <c r="G4129" t="s">
        <v>32614</v>
      </c>
      <c r="H4129" t="s">
        <v>14201</v>
      </c>
      <c r="I4129" t="s">
        <v>32655</v>
      </c>
      <c r="J4129" t="s">
        <v>32914</v>
      </c>
      <c r="K4129" t="s">
        <v>42623</v>
      </c>
      <c r="M4129" t="s">
        <v>43207</v>
      </c>
      <c r="N4129" t="s">
        <v>47304</v>
      </c>
      <c r="O4129" t="s">
        <v>47305</v>
      </c>
      <c r="P4129">
        <v>0</v>
      </c>
      <c r="Q4129">
        <v>1</v>
      </c>
      <c r="R4129" t="s">
        <v>47306</v>
      </c>
      <c r="S4129" t="s">
        <v>47414</v>
      </c>
      <c r="T4129" t="s">
        <v>48980</v>
      </c>
      <c r="U4129" t="s">
        <v>53079</v>
      </c>
      <c r="W4129" t="s">
        <v>43207</v>
      </c>
      <c r="X4129" t="s">
        <v>47308</v>
      </c>
    </row>
    <row r="4130" spans="1:24">
      <c r="A4130">
        <f>HYPERLINK("https://www.philgeps.gov.ph/GEPSNONPILOT/Tender/SplashBidNoticeAbstractUI.aspx?menuIndex=3&amp;refID=7196564&amp;Result=3","7196564")</f>
        <v>0</v>
      </c>
      <c r="B4130" t="s">
        <v>101</v>
      </c>
      <c r="C4130" t="s">
        <v>7759</v>
      </c>
      <c r="D4130" t="s">
        <v>18993</v>
      </c>
      <c r="E4130" t="s">
        <v>22782</v>
      </c>
      <c r="F4130" t="s">
        <v>32606</v>
      </c>
      <c r="G4130" t="s">
        <v>32614</v>
      </c>
      <c r="H4130" t="s">
        <v>14201</v>
      </c>
      <c r="I4130" t="s">
        <v>4678</v>
      </c>
      <c r="J4130" t="s">
        <v>35539</v>
      </c>
      <c r="K4130" t="s">
        <v>42631</v>
      </c>
      <c r="M4130" t="s">
        <v>44602</v>
      </c>
      <c r="N4130" t="s">
        <v>47304</v>
      </c>
      <c r="O4130" t="s">
        <v>47305</v>
      </c>
      <c r="P4130">
        <v>0</v>
      </c>
      <c r="Q4130">
        <v>8</v>
      </c>
      <c r="R4130" t="s">
        <v>47306</v>
      </c>
      <c r="S4130" t="s">
        <v>47414</v>
      </c>
      <c r="T4130" t="s">
        <v>48980</v>
      </c>
      <c r="U4130" t="s">
        <v>53080</v>
      </c>
      <c r="W4130" t="s">
        <v>44602</v>
      </c>
      <c r="X4130" t="s">
        <v>47308</v>
      </c>
    </row>
    <row r="4131" spans="1:24">
      <c r="A4131">
        <f>HYPERLINK("https://www.philgeps.gov.ph/GEPSNONPILOT/Tender/SplashBidNoticeAbstractUI.aspx?menuIndex=3&amp;refID=7196563&amp;Result=3","7196563")</f>
        <v>0</v>
      </c>
      <c r="B4131" t="s">
        <v>81</v>
      </c>
      <c r="C4131" t="s">
        <v>7760</v>
      </c>
      <c r="D4131" t="s">
        <v>18995</v>
      </c>
      <c r="E4131" t="s">
        <v>22783</v>
      </c>
      <c r="F4131" t="s">
        <v>32606</v>
      </c>
      <c r="G4131" t="s">
        <v>32614</v>
      </c>
      <c r="H4131" t="s">
        <v>14201</v>
      </c>
      <c r="I4131" t="s">
        <v>6993</v>
      </c>
      <c r="J4131" t="s">
        <v>35540</v>
      </c>
      <c r="K4131" t="s">
        <v>42624</v>
      </c>
      <c r="M4131" t="s">
        <v>42978</v>
      </c>
      <c r="N4131" t="s">
        <v>47304</v>
      </c>
      <c r="O4131" t="s">
        <v>47305</v>
      </c>
      <c r="P4131">
        <v>0</v>
      </c>
      <c r="Q4131">
        <v>0</v>
      </c>
      <c r="R4131" t="s">
        <v>47306</v>
      </c>
      <c r="S4131" t="s">
        <v>47414</v>
      </c>
      <c r="T4131" t="s">
        <v>49014</v>
      </c>
      <c r="U4131" t="s">
        <v>53081</v>
      </c>
      <c r="W4131" t="s">
        <v>42978</v>
      </c>
      <c r="X4131" t="s">
        <v>47308</v>
      </c>
    </row>
    <row r="4132" spans="1:24">
      <c r="A4132">
        <f>HYPERLINK("https://www.philgeps.gov.ph/GEPSNONPILOT/Tender/SplashBidNoticeAbstractUI.aspx?menuIndex=3&amp;refID=7196581&amp;Result=3","7196581")</f>
        <v>0</v>
      </c>
      <c r="B4132" t="s">
        <v>1022</v>
      </c>
      <c r="C4132" t="s">
        <v>7761</v>
      </c>
      <c r="D4132" t="s">
        <v>19033</v>
      </c>
      <c r="E4132" t="s">
        <v>7761</v>
      </c>
      <c r="F4132" t="s">
        <v>32606</v>
      </c>
      <c r="G4132" t="s">
        <v>32614</v>
      </c>
      <c r="H4132" t="s">
        <v>14201</v>
      </c>
      <c r="I4132" t="s">
        <v>6931</v>
      </c>
      <c r="J4132" t="s">
        <v>35541</v>
      </c>
      <c r="K4132" t="s">
        <v>42631</v>
      </c>
      <c r="M4132" t="s">
        <v>43974</v>
      </c>
      <c r="N4132" t="s">
        <v>47304</v>
      </c>
      <c r="O4132" t="s">
        <v>47305</v>
      </c>
      <c r="P4132">
        <v>0</v>
      </c>
      <c r="Q4132">
        <v>0</v>
      </c>
      <c r="R4132" t="s">
        <v>47306</v>
      </c>
      <c r="S4132" t="s">
        <v>47414</v>
      </c>
      <c r="T4132" t="s">
        <v>48980</v>
      </c>
      <c r="U4132" t="s">
        <v>53082</v>
      </c>
      <c r="W4132" t="s">
        <v>43974</v>
      </c>
      <c r="X4132" t="s">
        <v>47308</v>
      </c>
    </row>
    <row r="4133" spans="1:24">
      <c r="A4133">
        <f>HYPERLINK("https://www.philgeps.gov.ph/GEPSNONPILOT/Tender/SplashBidNoticeAbstractUI.aspx?menuIndex=3&amp;refID=7196574&amp;Result=3","7196574")</f>
        <v>0</v>
      </c>
      <c r="B4133" t="s">
        <v>1004</v>
      </c>
      <c r="C4133" t="s">
        <v>7762</v>
      </c>
      <c r="E4133" t="s">
        <v>22784</v>
      </c>
      <c r="F4133" t="s">
        <v>32606</v>
      </c>
      <c r="G4133" t="s">
        <v>32614</v>
      </c>
      <c r="H4133" t="s">
        <v>14201</v>
      </c>
      <c r="I4133" t="s">
        <v>32712</v>
      </c>
      <c r="J4133" t="s">
        <v>35542</v>
      </c>
      <c r="K4133" t="s">
        <v>42624</v>
      </c>
      <c r="M4133" t="s">
        <v>43952</v>
      </c>
      <c r="N4133" t="s">
        <v>47304</v>
      </c>
      <c r="O4133" t="s">
        <v>47305</v>
      </c>
      <c r="P4133">
        <v>0</v>
      </c>
      <c r="Q4133">
        <v>2</v>
      </c>
      <c r="R4133" t="s">
        <v>47306</v>
      </c>
      <c r="S4133" t="s">
        <v>47414</v>
      </c>
      <c r="T4133" t="s">
        <v>48997</v>
      </c>
      <c r="U4133" t="s">
        <v>53083</v>
      </c>
      <c r="W4133" t="s">
        <v>43952</v>
      </c>
      <c r="X4133" t="s">
        <v>47308</v>
      </c>
    </row>
    <row r="4134" spans="1:24">
      <c r="A4134">
        <f>HYPERLINK("https://www.philgeps.gov.ph/GEPSNONPILOT/Tender/SplashBidNoticeAbstractUI.aspx?menuIndex=3&amp;refID=7196602&amp;Result=3","7196602")</f>
        <v>0</v>
      </c>
      <c r="B4134" t="s">
        <v>1589</v>
      </c>
      <c r="C4134" t="s">
        <v>7763</v>
      </c>
      <c r="D4134" t="s">
        <v>19019</v>
      </c>
      <c r="E4134" t="s">
        <v>19530</v>
      </c>
      <c r="F4134" t="s">
        <v>32606</v>
      </c>
      <c r="G4134" t="s">
        <v>32619</v>
      </c>
      <c r="H4134" t="s">
        <v>14201</v>
      </c>
      <c r="I4134" t="s">
        <v>6298</v>
      </c>
      <c r="J4134" t="s">
        <v>35543</v>
      </c>
      <c r="K4134" t="s">
        <v>42625</v>
      </c>
      <c r="M4134" t="s">
        <v>44603</v>
      </c>
      <c r="N4134" t="s">
        <v>47304</v>
      </c>
      <c r="O4134" t="s">
        <v>47305</v>
      </c>
      <c r="P4134">
        <v>0</v>
      </c>
      <c r="Q4134">
        <v>0</v>
      </c>
      <c r="R4134" t="s">
        <v>47306</v>
      </c>
      <c r="S4134" t="s">
        <v>47414</v>
      </c>
      <c r="T4134" t="s">
        <v>49004</v>
      </c>
      <c r="U4134" t="s">
        <v>53084</v>
      </c>
      <c r="V4134" t="s">
        <v>62704</v>
      </c>
      <c r="W4134" t="s">
        <v>44603</v>
      </c>
      <c r="X4134" t="s">
        <v>47308</v>
      </c>
    </row>
    <row r="4135" spans="1:24">
      <c r="A4135">
        <f>HYPERLINK("https://www.philgeps.gov.ph/GEPSNONPILOT/Tender/SplashBidNoticeAbstractUI.aspx?menuIndex=3&amp;refID=7196600&amp;Result=3","7196600")</f>
        <v>0</v>
      </c>
      <c r="B4135" t="s">
        <v>778</v>
      </c>
      <c r="C4135" t="s">
        <v>7764</v>
      </c>
      <c r="D4135" t="s">
        <v>19012</v>
      </c>
      <c r="E4135" t="s">
        <v>22785</v>
      </c>
      <c r="F4135" t="s">
        <v>32606</v>
      </c>
      <c r="G4135" t="s">
        <v>32615</v>
      </c>
      <c r="H4135" t="s">
        <v>14201</v>
      </c>
      <c r="I4135" t="s">
        <v>7677</v>
      </c>
      <c r="J4135" t="s">
        <v>35544</v>
      </c>
      <c r="K4135" t="s">
        <v>42623</v>
      </c>
      <c r="M4135" t="s">
        <v>43708</v>
      </c>
      <c r="N4135" t="s">
        <v>47304</v>
      </c>
      <c r="O4135" t="s">
        <v>47305</v>
      </c>
      <c r="P4135">
        <v>0</v>
      </c>
      <c r="Q4135">
        <v>1</v>
      </c>
      <c r="R4135" t="s">
        <v>47306</v>
      </c>
      <c r="S4135" t="s">
        <v>47414</v>
      </c>
      <c r="T4135" t="s">
        <v>49017</v>
      </c>
      <c r="U4135" t="s">
        <v>53068</v>
      </c>
      <c r="W4135" t="s">
        <v>43708</v>
      </c>
      <c r="X4135" t="s">
        <v>47308</v>
      </c>
    </row>
    <row r="4136" spans="1:24">
      <c r="A4136">
        <f>HYPERLINK("https://www.philgeps.gov.ph/GEPSNONPILOT/Tender/SplashBidNoticeAbstractUI.aspx?menuIndex=3&amp;refID=7196599&amp;Result=3","7196599")</f>
        <v>0</v>
      </c>
      <c r="B4136" t="s">
        <v>1590</v>
      </c>
      <c r="C4136" t="s">
        <v>7765</v>
      </c>
      <c r="D4136" t="s">
        <v>19064</v>
      </c>
      <c r="E4136" t="s">
        <v>7765</v>
      </c>
      <c r="F4136" t="s">
        <v>32606</v>
      </c>
      <c r="G4136" t="s">
        <v>32613</v>
      </c>
      <c r="H4136" t="s">
        <v>14201</v>
      </c>
      <c r="I4136" t="s">
        <v>4120</v>
      </c>
      <c r="J4136" t="s">
        <v>35545</v>
      </c>
      <c r="K4136" t="s">
        <v>42631</v>
      </c>
      <c r="M4136" t="s">
        <v>44604</v>
      </c>
      <c r="N4136" t="s">
        <v>47304</v>
      </c>
      <c r="O4136" t="s">
        <v>47305</v>
      </c>
      <c r="P4136">
        <v>0</v>
      </c>
      <c r="Q4136">
        <v>1</v>
      </c>
      <c r="R4136" t="s">
        <v>47306</v>
      </c>
      <c r="S4136" t="s">
        <v>47414</v>
      </c>
      <c r="T4136" t="s">
        <v>49032</v>
      </c>
      <c r="U4136" t="s">
        <v>53085</v>
      </c>
      <c r="W4136" t="s">
        <v>44604</v>
      </c>
      <c r="X4136" t="s">
        <v>47308</v>
      </c>
    </row>
    <row r="4137" spans="1:24">
      <c r="A4137">
        <f>HYPERLINK("https://www.philgeps.gov.ph/GEPSNONPILOT/Tender/SplashBidNoticeAbstractUI.aspx?menuIndex=3&amp;refID=7196598&amp;Result=3","7196598")</f>
        <v>0</v>
      </c>
      <c r="B4137" t="s">
        <v>793</v>
      </c>
      <c r="C4137" t="s">
        <v>7766</v>
      </c>
      <c r="D4137" t="s">
        <v>19016</v>
      </c>
      <c r="E4137" t="s">
        <v>20596</v>
      </c>
      <c r="F4137" t="s">
        <v>32606</v>
      </c>
      <c r="G4137" t="s">
        <v>32617</v>
      </c>
      <c r="H4137" t="s">
        <v>14201</v>
      </c>
      <c r="I4137" t="s">
        <v>4120</v>
      </c>
      <c r="J4137" t="s">
        <v>34669</v>
      </c>
      <c r="K4137" t="s">
        <v>42632</v>
      </c>
      <c r="M4137" t="s">
        <v>43724</v>
      </c>
      <c r="N4137" t="s">
        <v>47304</v>
      </c>
      <c r="O4137" t="s">
        <v>47305</v>
      </c>
      <c r="P4137">
        <v>0</v>
      </c>
      <c r="Q4137">
        <v>2</v>
      </c>
      <c r="R4137" t="s">
        <v>47306</v>
      </c>
      <c r="S4137" t="s">
        <v>47414</v>
      </c>
      <c r="T4137" t="s">
        <v>48980</v>
      </c>
      <c r="U4137" t="s">
        <v>50290</v>
      </c>
      <c r="W4137" t="s">
        <v>43724</v>
      </c>
      <c r="X4137" t="s">
        <v>47308</v>
      </c>
    </row>
    <row r="4138" spans="1:24">
      <c r="A4138">
        <f>HYPERLINK("https://www.philgeps.gov.ph/GEPSNONPILOT/Tender/SplashBidNoticeAbstractUI.aspx?menuIndex=3&amp;refID=7196596&amp;Result=3","7196596")</f>
        <v>0</v>
      </c>
      <c r="B4138" t="s">
        <v>1160</v>
      </c>
      <c r="C4138" t="s">
        <v>7767</v>
      </c>
      <c r="D4138" t="s">
        <v>19058</v>
      </c>
      <c r="E4138" t="s">
        <v>22786</v>
      </c>
      <c r="F4138" t="s">
        <v>32606</v>
      </c>
      <c r="G4138" t="s">
        <v>32614</v>
      </c>
      <c r="H4138" t="s">
        <v>32624</v>
      </c>
      <c r="I4138" t="s">
        <v>6931</v>
      </c>
      <c r="J4138" t="s">
        <v>35546</v>
      </c>
      <c r="K4138" t="s">
        <v>42623</v>
      </c>
      <c r="M4138" t="s">
        <v>44123</v>
      </c>
      <c r="N4138" t="s">
        <v>47304</v>
      </c>
      <c r="O4138" t="s">
        <v>47305</v>
      </c>
      <c r="P4138">
        <v>0</v>
      </c>
      <c r="Q4138">
        <v>6</v>
      </c>
      <c r="R4138" t="s">
        <v>47306</v>
      </c>
      <c r="S4138" t="s">
        <v>47414</v>
      </c>
      <c r="T4138" t="s">
        <v>49004</v>
      </c>
      <c r="U4138" t="s">
        <v>53086</v>
      </c>
      <c r="V4138" t="s">
        <v>62942</v>
      </c>
      <c r="W4138" t="s">
        <v>44123</v>
      </c>
      <c r="X4138" t="s">
        <v>47308</v>
      </c>
    </row>
    <row r="4139" spans="1:24">
      <c r="A4139">
        <f>HYPERLINK("https://www.philgeps.gov.ph/GEPSNONPILOT/Tender/SplashBidNoticeAbstractUI.aspx?menuIndex=3&amp;refID=7196567&amp;Result=3","7196567")</f>
        <v>0</v>
      </c>
      <c r="B4139" t="s">
        <v>238</v>
      </c>
      <c r="C4139" t="s">
        <v>7768</v>
      </c>
      <c r="D4139" t="s">
        <v>18993</v>
      </c>
      <c r="E4139" t="s">
        <v>22787</v>
      </c>
      <c r="F4139" t="s">
        <v>32606</v>
      </c>
      <c r="G4139" t="s">
        <v>32619</v>
      </c>
      <c r="H4139" t="s">
        <v>14201</v>
      </c>
      <c r="I4139" t="s">
        <v>32633</v>
      </c>
      <c r="J4139" t="s">
        <v>35547</v>
      </c>
      <c r="K4139" t="s">
        <v>42622</v>
      </c>
      <c r="M4139" t="s">
        <v>43794</v>
      </c>
      <c r="N4139" t="s">
        <v>47304</v>
      </c>
      <c r="O4139" t="s">
        <v>47305</v>
      </c>
      <c r="P4139">
        <v>0</v>
      </c>
      <c r="Q4139">
        <v>4</v>
      </c>
      <c r="R4139" t="s">
        <v>47306</v>
      </c>
      <c r="S4139" t="s">
        <v>47414</v>
      </c>
      <c r="T4139" t="s">
        <v>49165</v>
      </c>
      <c r="U4139" t="s">
        <v>53087</v>
      </c>
      <c r="W4139" t="s">
        <v>43794</v>
      </c>
      <c r="X4139" t="s">
        <v>47308</v>
      </c>
    </row>
    <row r="4140" spans="1:24">
      <c r="A4140">
        <f>HYPERLINK("https://www.philgeps.gov.ph/GEPSNONPILOT/Tender/SplashBidNoticeAbstractUI.aspx?menuIndex=3&amp;refID=7196595&amp;Result=3","7196595")</f>
        <v>0</v>
      </c>
      <c r="B4140" t="s">
        <v>1360</v>
      </c>
      <c r="C4140" t="s">
        <v>7769</v>
      </c>
      <c r="D4140" t="s">
        <v>19042</v>
      </c>
      <c r="E4140" t="s">
        <v>22788</v>
      </c>
      <c r="F4140" t="s">
        <v>32606</v>
      </c>
      <c r="G4140" t="s">
        <v>32614</v>
      </c>
      <c r="H4140" t="s">
        <v>14201</v>
      </c>
      <c r="I4140" t="s">
        <v>6931</v>
      </c>
      <c r="J4140" t="s">
        <v>35548</v>
      </c>
      <c r="K4140" t="s">
        <v>42623</v>
      </c>
      <c r="M4140" t="s">
        <v>44336</v>
      </c>
      <c r="N4140" t="s">
        <v>47304</v>
      </c>
      <c r="O4140" t="s">
        <v>47305</v>
      </c>
      <c r="P4140">
        <v>0</v>
      </c>
      <c r="Q4140">
        <v>0</v>
      </c>
      <c r="R4140" t="s">
        <v>47306</v>
      </c>
      <c r="S4140" t="s">
        <v>47414</v>
      </c>
      <c r="T4140" t="s">
        <v>49011</v>
      </c>
      <c r="U4140" t="s">
        <v>53088</v>
      </c>
      <c r="W4140" t="s">
        <v>44336</v>
      </c>
      <c r="X4140" t="s">
        <v>47308</v>
      </c>
    </row>
    <row r="4141" spans="1:24">
      <c r="A4141">
        <f>HYPERLINK("https://www.philgeps.gov.ph/GEPSNONPILOT/Tender/SplashBidNoticeAbstractUI.aspx?menuIndex=3&amp;refID=7196601&amp;Result=3","7196601")</f>
        <v>0</v>
      </c>
      <c r="B4141" t="s">
        <v>1398</v>
      </c>
      <c r="C4141" t="s">
        <v>7770</v>
      </c>
      <c r="D4141" t="s">
        <v>19016</v>
      </c>
      <c r="E4141" t="s">
        <v>20349</v>
      </c>
      <c r="F4141" t="s">
        <v>32606</v>
      </c>
      <c r="G4141" t="s">
        <v>32613</v>
      </c>
      <c r="H4141" t="s">
        <v>14201</v>
      </c>
      <c r="I4141" t="s">
        <v>7529</v>
      </c>
      <c r="J4141" t="s">
        <v>35549</v>
      </c>
      <c r="K4141" t="s">
        <v>42639</v>
      </c>
      <c r="M4141" t="s">
        <v>44382</v>
      </c>
      <c r="N4141" t="s">
        <v>47304</v>
      </c>
      <c r="O4141" t="s">
        <v>47305</v>
      </c>
      <c r="P4141">
        <v>0</v>
      </c>
      <c r="Q4141">
        <v>0</v>
      </c>
      <c r="R4141" t="s">
        <v>47306</v>
      </c>
      <c r="S4141" t="s">
        <v>47414</v>
      </c>
      <c r="T4141" t="s">
        <v>48977</v>
      </c>
      <c r="U4141" t="s">
        <v>53089</v>
      </c>
      <c r="W4141" t="s">
        <v>44382</v>
      </c>
      <c r="X4141" t="s">
        <v>47308</v>
      </c>
    </row>
    <row r="4142" spans="1:24">
      <c r="A4142">
        <f>HYPERLINK("https://www.philgeps.gov.ph/GEPSNONPILOT/Tender/SplashBidNoticeAbstractUI.aspx?menuIndex=3&amp;refID=7196593&amp;Result=3","7196593")</f>
        <v>0</v>
      </c>
      <c r="B4142" t="s">
        <v>1591</v>
      </c>
      <c r="C4142" t="s">
        <v>3958</v>
      </c>
      <c r="D4142" t="s">
        <v>19008</v>
      </c>
      <c r="E4142" t="s">
        <v>19603</v>
      </c>
      <c r="F4142" t="s">
        <v>32607</v>
      </c>
      <c r="G4142" t="s">
        <v>32619</v>
      </c>
      <c r="H4142" t="s">
        <v>14201</v>
      </c>
      <c r="I4142" t="s">
        <v>4114</v>
      </c>
      <c r="J4142" t="s">
        <v>32794</v>
      </c>
      <c r="K4142" t="s">
        <v>42632</v>
      </c>
      <c r="M4142" t="s">
        <v>44605</v>
      </c>
      <c r="N4142" t="s">
        <v>47304</v>
      </c>
      <c r="O4142" t="s">
        <v>47305</v>
      </c>
      <c r="P4142">
        <v>0</v>
      </c>
      <c r="Q4142">
        <v>1</v>
      </c>
      <c r="R4142" t="s">
        <v>47306</v>
      </c>
      <c r="S4142" t="s">
        <v>47414</v>
      </c>
      <c r="T4142" t="s">
        <v>49028</v>
      </c>
      <c r="U4142" t="s">
        <v>53090</v>
      </c>
      <c r="W4142" t="s">
        <v>44605</v>
      </c>
      <c r="X4142" t="s">
        <v>47308</v>
      </c>
    </row>
    <row r="4143" spans="1:24">
      <c r="A4143">
        <f>HYPERLINK("https://www.philgeps.gov.ph/GEPSNONPILOT/Tender/SplashBidNoticeAbstractUI.aspx?menuIndex=3&amp;refID=7196590&amp;Result=3","7196590")</f>
        <v>0</v>
      </c>
      <c r="B4143" t="s">
        <v>1592</v>
      </c>
      <c r="C4143" t="s">
        <v>7771</v>
      </c>
      <c r="D4143" t="s">
        <v>19001</v>
      </c>
      <c r="E4143" t="s">
        <v>22789</v>
      </c>
      <c r="F4143" t="s">
        <v>32606</v>
      </c>
      <c r="G4143" t="s">
        <v>32614</v>
      </c>
      <c r="H4143" t="s">
        <v>14201</v>
      </c>
      <c r="I4143" t="s">
        <v>6931</v>
      </c>
      <c r="J4143" t="s">
        <v>34669</v>
      </c>
      <c r="K4143" t="s">
        <v>42623</v>
      </c>
      <c r="M4143" t="s">
        <v>44606</v>
      </c>
      <c r="N4143" t="s">
        <v>47304</v>
      </c>
      <c r="O4143" t="s">
        <v>47305</v>
      </c>
      <c r="P4143">
        <v>0</v>
      </c>
      <c r="Q4143">
        <v>1</v>
      </c>
      <c r="R4143" t="s">
        <v>47306</v>
      </c>
      <c r="S4143" t="s">
        <v>47414</v>
      </c>
      <c r="T4143" t="s">
        <v>49004</v>
      </c>
      <c r="U4143" t="s">
        <v>53091</v>
      </c>
      <c r="W4143" t="s">
        <v>44606</v>
      </c>
      <c r="X4143" t="s">
        <v>47308</v>
      </c>
    </row>
    <row r="4144" spans="1:24">
      <c r="A4144">
        <f>HYPERLINK("https://www.philgeps.gov.ph/GEPSNONPILOT/Tender/SplashBidNoticeAbstractUI.aspx?menuIndex=3&amp;refID=7196597&amp;Result=3","7196597")</f>
        <v>0</v>
      </c>
      <c r="B4144" t="s">
        <v>1188</v>
      </c>
      <c r="C4144" t="s">
        <v>7772</v>
      </c>
      <c r="D4144" t="s">
        <v>19070</v>
      </c>
      <c r="E4144" t="s">
        <v>22790</v>
      </c>
      <c r="F4144" t="s">
        <v>32606</v>
      </c>
      <c r="G4144" t="s">
        <v>32613</v>
      </c>
      <c r="H4144" t="s">
        <v>32623</v>
      </c>
      <c r="I4144" t="s">
        <v>17648</v>
      </c>
      <c r="J4144" t="s">
        <v>34682</v>
      </c>
      <c r="K4144" t="s">
        <v>42636</v>
      </c>
      <c r="M4144" t="s">
        <v>44152</v>
      </c>
      <c r="N4144" t="s">
        <v>47304</v>
      </c>
      <c r="O4144" t="s">
        <v>47305</v>
      </c>
      <c r="P4144">
        <v>0</v>
      </c>
      <c r="Q4144">
        <v>0</v>
      </c>
      <c r="R4144" t="s">
        <v>47306</v>
      </c>
      <c r="S4144" t="s">
        <v>47414</v>
      </c>
      <c r="T4144" t="s">
        <v>48976</v>
      </c>
      <c r="U4144" t="s">
        <v>53092</v>
      </c>
      <c r="V4144" t="s">
        <v>63059</v>
      </c>
      <c r="W4144" t="s">
        <v>44152</v>
      </c>
      <c r="X4144" t="s">
        <v>47308</v>
      </c>
    </row>
    <row r="4145" spans="1:24">
      <c r="A4145">
        <f>HYPERLINK("https://www.philgeps.gov.ph/GEPSNONPILOT/Tender/SplashBidNoticeAbstractUI.aspx?menuIndex=3&amp;refID=7196589&amp;Result=3","7196589")</f>
        <v>0</v>
      </c>
      <c r="B4145" t="s">
        <v>1593</v>
      </c>
      <c r="C4145" t="s">
        <v>7773</v>
      </c>
      <c r="D4145" t="s">
        <v>18992</v>
      </c>
      <c r="E4145" t="s">
        <v>22791</v>
      </c>
      <c r="F4145" t="s">
        <v>32606</v>
      </c>
      <c r="G4145" t="s">
        <v>32614</v>
      </c>
      <c r="H4145" t="s">
        <v>14201</v>
      </c>
      <c r="I4145" t="s">
        <v>6931</v>
      </c>
      <c r="J4145" t="s">
        <v>35550</v>
      </c>
      <c r="K4145" t="s">
        <v>42631</v>
      </c>
      <c r="M4145" t="s">
        <v>44607</v>
      </c>
      <c r="N4145" t="s">
        <v>47304</v>
      </c>
      <c r="O4145" t="s">
        <v>47305</v>
      </c>
      <c r="P4145">
        <v>0</v>
      </c>
      <c r="Q4145">
        <v>0</v>
      </c>
      <c r="R4145" t="s">
        <v>47306</v>
      </c>
      <c r="S4145" t="s">
        <v>47414</v>
      </c>
      <c r="T4145" t="s">
        <v>49277</v>
      </c>
      <c r="U4145" t="s">
        <v>53093</v>
      </c>
      <c r="V4145" t="s">
        <v>63060</v>
      </c>
      <c r="W4145" t="s">
        <v>44607</v>
      </c>
      <c r="X4145" t="s">
        <v>47308</v>
      </c>
    </row>
    <row r="4146" spans="1:24">
      <c r="A4146">
        <f>HYPERLINK("https://www.philgeps.gov.ph/GEPSNONPILOT/Tender/SplashBidNoticeAbstractUI.aspx?menuIndex=3&amp;refID=7196604&amp;Result=3","7196604")</f>
        <v>0</v>
      </c>
      <c r="B4146" t="s">
        <v>1572</v>
      </c>
      <c r="C4146" t="s">
        <v>7774</v>
      </c>
      <c r="D4146" t="s">
        <v>18993</v>
      </c>
      <c r="E4146" t="s">
        <v>22792</v>
      </c>
      <c r="F4146" t="s">
        <v>32606</v>
      </c>
      <c r="G4146" t="s">
        <v>32617</v>
      </c>
      <c r="H4146" t="s">
        <v>14201</v>
      </c>
      <c r="I4146" t="s">
        <v>4678</v>
      </c>
      <c r="J4146" t="s">
        <v>33062</v>
      </c>
      <c r="K4146" t="s">
        <v>42630</v>
      </c>
      <c r="M4146" t="s">
        <v>44583</v>
      </c>
      <c r="N4146" t="s">
        <v>47304</v>
      </c>
      <c r="O4146" t="s">
        <v>47305</v>
      </c>
      <c r="P4146">
        <v>0</v>
      </c>
      <c r="Q4146">
        <v>2</v>
      </c>
      <c r="R4146" t="s">
        <v>47306</v>
      </c>
      <c r="S4146" t="s">
        <v>47414</v>
      </c>
      <c r="T4146" t="s">
        <v>49150</v>
      </c>
      <c r="U4146" t="s">
        <v>53094</v>
      </c>
      <c r="V4146" t="s">
        <v>63053</v>
      </c>
      <c r="W4146" t="s">
        <v>44583</v>
      </c>
      <c r="X4146" t="s">
        <v>47308</v>
      </c>
    </row>
    <row r="4147" spans="1:24">
      <c r="A4147">
        <f>HYPERLINK("https://www.philgeps.gov.ph/GEPSNONPILOT/Tender/SplashBidNoticeAbstractUI.aspx?menuIndex=3&amp;refID=7196592&amp;Result=3","7196592")</f>
        <v>0</v>
      </c>
      <c r="B4147" t="s">
        <v>1594</v>
      </c>
      <c r="C4147" t="s">
        <v>7775</v>
      </c>
      <c r="D4147" t="s">
        <v>19007</v>
      </c>
      <c r="E4147" t="s">
        <v>22793</v>
      </c>
      <c r="F4147" t="s">
        <v>32606</v>
      </c>
      <c r="G4147" t="s">
        <v>32619</v>
      </c>
      <c r="H4147" t="s">
        <v>14201</v>
      </c>
      <c r="I4147" t="s">
        <v>8606</v>
      </c>
      <c r="J4147" t="s">
        <v>33387</v>
      </c>
      <c r="K4147" t="s">
        <v>42623</v>
      </c>
      <c r="M4147" t="s">
        <v>44608</v>
      </c>
      <c r="N4147" t="s">
        <v>47304</v>
      </c>
      <c r="O4147" t="s">
        <v>47305</v>
      </c>
      <c r="P4147">
        <v>0</v>
      </c>
      <c r="Q4147">
        <v>0</v>
      </c>
      <c r="R4147" t="s">
        <v>47306</v>
      </c>
      <c r="S4147" t="s">
        <v>47414</v>
      </c>
      <c r="T4147" t="s">
        <v>48971</v>
      </c>
      <c r="U4147" t="s">
        <v>53095</v>
      </c>
      <c r="W4147" t="s">
        <v>44608</v>
      </c>
      <c r="X4147" t="s">
        <v>47308</v>
      </c>
    </row>
    <row r="4148" spans="1:24">
      <c r="A4148">
        <f>HYPERLINK("https://www.philgeps.gov.ph/GEPSNONPILOT/Tender/SplashBidNoticeAbstractUI.aspx?menuIndex=3&amp;refID=7196624&amp;Result=3","7196624")</f>
        <v>0</v>
      </c>
      <c r="B4148" t="s">
        <v>1580</v>
      </c>
      <c r="C4148" t="s">
        <v>7776</v>
      </c>
      <c r="D4148" t="s">
        <v>19007</v>
      </c>
      <c r="E4148" t="s">
        <v>22794</v>
      </c>
      <c r="F4148" t="s">
        <v>32606</v>
      </c>
      <c r="G4148" t="s">
        <v>32613</v>
      </c>
      <c r="H4148" t="s">
        <v>32623</v>
      </c>
      <c r="I4148" t="s">
        <v>17648</v>
      </c>
      <c r="J4148" t="s">
        <v>33039</v>
      </c>
      <c r="K4148" t="s">
        <v>42646</v>
      </c>
      <c r="M4148" t="s">
        <v>44592</v>
      </c>
      <c r="N4148" t="s">
        <v>47304</v>
      </c>
      <c r="O4148" t="s">
        <v>47305</v>
      </c>
      <c r="P4148">
        <v>0</v>
      </c>
      <c r="Q4148">
        <v>3</v>
      </c>
      <c r="R4148" t="s">
        <v>47306</v>
      </c>
      <c r="S4148" t="s">
        <v>47414</v>
      </c>
      <c r="T4148" t="s">
        <v>48985</v>
      </c>
      <c r="U4148" t="s">
        <v>53096</v>
      </c>
      <c r="W4148" t="s">
        <v>44592</v>
      </c>
      <c r="X4148" t="s">
        <v>47308</v>
      </c>
    </row>
    <row r="4149" spans="1:24">
      <c r="A4149">
        <f>HYPERLINK("https://www.philgeps.gov.ph/GEPSNONPILOT/Tender/SplashBidNoticeAbstractUI.aspx?menuIndex=3&amp;refID=7196566&amp;Result=3","7196566")</f>
        <v>0</v>
      </c>
      <c r="B4149" t="s">
        <v>276</v>
      </c>
      <c r="C4149" t="s">
        <v>7777</v>
      </c>
      <c r="D4149" t="s">
        <v>19001</v>
      </c>
      <c r="E4149" t="s">
        <v>22795</v>
      </c>
      <c r="F4149" t="s">
        <v>32606</v>
      </c>
      <c r="G4149" t="s">
        <v>32613</v>
      </c>
      <c r="H4149" t="s">
        <v>14201</v>
      </c>
      <c r="I4149" t="s">
        <v>32629</v>
      </c>
      <c r="J4149" t="s">
        <v>35551</v>
      </c>
      <c r="K4149" t="s">
        <v>42648</v>
      </c>
      <c r="M4149" t="s">
        <v>43964</v>
      </c>
      <c r="N4149" t="s">
        <v>47304</v>
      </c>
      <c r="O4149" t="s">
        <v>47305</v>
      </c>
      <c r="P4149">
        <v>0</v>
      </c>
      <c r="Q4149">
        <v>0</v>
      </c>
      <c r="R4149" t="s">
        <v>47306</v>
      </c>
      <c r="S4149" t="s">
        <v>47414</v>
      </c>
      <c r="T4149" t="s">
        <v>48983</v>
      </c>
      <c r="U4149" t="s">
        <v>53097</v>
      </c>
      <c r="W4149" t="s">
        <v>43964</v>
      </c>
      <c r="X4149" t="s">
        <v>47308</v>
      </c>
    </row>
    <row r="4150" spans="1:24">
      <c r="A4150">
        <f>HYPERLINK("https://www.philgeps.gov.ph/GEPSNONPILOT/Tender/SplashBidNoticeAbstractUI.aspx?menuIndex=3&amp;refID=7196619&amp;Result=3","7196619")</f>
        <v>0</v>
      </c>
      <c r="B4150" t="s">
        <v>1022</v>
      </c>
      <c r="C4150" t="s">
        <v>7778</v>
      </c>
      <c r="D4150" t="s">
        <v>19033</v>
      </c>
      <c r="E4150" t="s">
        <v>7778</v>
      </c>
      <c r="F4150" t="s">
        <v>32606</v>
      </c>
      <c r="G4150" t="s">
        <v>32614</v>
      </c>
      <c r="H4150" t="s">
        <v>14201</v>
      </c>
      <c r="I4150" t="s">
        <v>6931</v>
      </c>
      <c r="J4150" t="s">
        <v>35552</v>
      </c>
      <c r="K4150" t="s">
        <v>42631</v>
      </c>
      <c r="M4150" t="s">
        <v>43974</v>
      </c>
      <c r="N4150" t="s">
        <v>47304</v>
      </c>
      <c r="O4150" t="s">
        <v>47305</v>
      </c>
      <c r="P4150">
        <v>0</v>
      </c>
      <c r="Q4150">
        <v>0</v>
      </c>
      <c r="R4150" t="s">
        <v>47306</v>
      </c>
      <c r="S4150" t="s">
        <v>47414</v>
      </c>
      <c r="T4150" t="s">
        <v>48980</v>
      </c>
      <c r="U4150" t="s">
        <v>53098</v>
      </c>
      <c r="W4150" t="s">
        <v>43974</v>
      </c>
      <c r="X4150" t="s">
        <v>47308</v>
      </c>
    </row>
    <row r="4151" spans="1:24">
      <c r="A4151">
        <f>HYPERLINK("https://www.philgeps.gov.ph/GEPSNONPILOT/Tender/SplashBidNoticeAbstractUI.aspx?menuIndex=3&amp;refID=7196622&amp;Result=3","7196622")</f>
        <v>0</v>
      </c>
      <c r="B4151" t="s">
        <v>1544</v>
      </c>
      <c r="C4151" t="s">
        <v>7779</v>
      </c>
      <c r="D4151" t="s">
        <v>19058</v>
      </c>
      <c r="E4151" t="s">
        <v>22796</v>
      </c>
      <c r="F4151" t="s">
        <v>32606</v>
      </c>
      <c r="G4151" t="s">
        <v>32619</v>
      </c>
      <c r="H4151" t="s">
        <v>14201</v>
      </c>
      <c r="I4151" t="s">
        <v>32626</v>
      </c>
      <c r="J4151" t="s">
        <v>35553</v>
      </c>
      <c r="K4151" t="s">
        <v>42630</v>
      </c>
      <c r="M4151" t="s">
        <v>44548</v>
      </c>
      <c r="N4151" t="s">
        <v>47304</v>
      </c>
      <c r="O4151" t="s">
        <v>47305</v>
      </c>
      <c r="P4151">
        <v>0</v>
      </c>
      <c r="Q4151">
        <v>10</v>
      </c>
      <c r="R4151" t="s">
        <v>47306</v>
      </c>
      <c r="S4151" t="s">
        <v>47414</v>
      </c>
      <c r="T4151" t="s">
        <v>48998</v>
      </c>
      <c r="U4151" t="s">
        <v>52947</v>
      </c>
      <c r="W4151" t="s">
        <v>44548</v>
      </c>
      <c r="X4151" t="s">
        <v>47308</v>
      </c>
    </row>
    <row r="4152" spans="1:24">
      <c r="A4152">
        <f>HYPERLINK("https://www.philgeps.gov.ph/GEPSNONPILOT/Tender/SplashBidNoticeAbstractUI.aspx?menuIndex=3&amp;refID=7196620&amp;Result=3","7196620")</f>
        <v>0</v>
      </c>
      <c r="B4152" t="s">
        <v>497</v>
      </c>
      <c r="C4152" t="s">
        <v>4789</v>
      </c>
      <c r="D4152" t="s">
        <v>18991</v>
      </c>
      <c r="E4152" t="s">
        <v>22797</v>
      </c>
      <c r="F4152" t="s">
        <v>32606</v>
      </c>
      <c r="G4152" t="s">
        <v>32614</v>
      </c>
      <c r="H4152" t="s">
        <v>14201</v>
      </c>
      <c r="I4152" t="s">
        <v>32689</v>
      </c>
      <c r="J4152" t="s">
        <v>35554</v>
      </c>
      <c r="K4152" t="s">
        <v>42624</v>
      </c>
      <c r="M4152" t="s">
        <v>43410</v>
      </c>
      <c r="N4152" t="s">
        <v>47304</v>
      </c>
      <c r="O4152" t="s">
        <v>47305</v>
      </c>
      <c r="P4152">
        <v>0</v>
      </c>
      <c r="Q4152">
        <v>0</v>
      </c>
      <c r="R4152" t="s">
        <v>47306</v>
      </c>
      <c r="S4152" t="s">
        <v>47414</v>
      </c>
      <c r="T4152" t="s">
        <v>49004</v>
      </c>
      <c r="U4152" t="s">
        <v>53099</v>
      </c>
      <c r="W4152" t="s">
        <v>43410</v>
      </c>
      <c r="X4152" t="s">
        <v>47308</v>
      </c>
    </row>
    <row r="4153" spans="1:24">
      <c r="A4153">
        <f>HYPERLINK("https://www.philgeps.gov.ph/GEPSNONPILOT/Tender/SplashBidNoticeAbstractUI.aspx?menuIndex=3&amp;refID=7196623&amp;Result=3","7196623")</f>
        <v>0</v>
      </c>
      <c r="B4153" t="s">
        <v>405</v>
      </c>
      <c r="C4153" t="s">
        <v>7780</v>
      </c>
      <c r="D4153" t="s">
        <v>19014</v>
      </c>
      <c r="E4153" t="s">
        <v>22798</v>
      </c>
      <c r="F4153" t="s">
        <v>32606</v>
      </c>
      <c r="G4153" t="s">
        <v>32614</v>
      </c>
      <c r="H4153" t="s">
        <v>32623</v>
      </c>
      <c r="I4153" t="s">
        <v>17648</v>
      </c>
      <c r="J4153" t="s">
        <v>35555</v>
      </c>
      <c r="K4153" t="s">
        <v>42624</v>
      </c>
      <c r="L4153" t="s">
        <v>405</v>
      </c>
      <c r="M4153" t="s">
        <v>44585</v>
      </c>
      <c r="N4153" t="s">
        <v>47304</v>
      </c>
      <c r="O4153" t="s">
        <v>47305</v>
      </c>
      <c r="P4153">
        <v>0</v>
      </c>
      <c r="Q4153">
        <v>4</v>
      </c>
      <c r="R4153" t="s">
        <v>47306</v>
      </c>
      <c r="S4153" t="s">
        <v>47414</v>
      </c>
      <c r="T4153" t="s">
        <v>49014</v>
      </c>
      <c r="U4153" t="s">
        <v>50256</v>
      </c>
      <c r="W4153" t="s">
        <v>44585</v>
      </c>
      <c r="X4153" t="s">
        <v>47308</v>
      </c>
    </row>
    <row r="4154" spans="1:24">
      <c r="A4154">
        <f>HYPERLINK("https://www.philgeps.gov.ph/GEPSNONPILOT/Tender/SplashBidNoticeAbstractUI.aspx?menuIndex=3&amp;refID=7196617&amp;Result=3","7196617")</f>
        <v>0</v>
      </c>
      <c r="B4154" t="s">
        <v>1004</v>
      </c>
      <c r="C4154" t="s">
        <v>7781</v>
      </c>
      <c r="E4154" t="s">
        <v>22799</v>
      </c>
      <c r="F4154" t="s">
        <v>32606</v>
      </c>
      <c r="G4154" t="s">
        <v>32614</v>
      </c>
      <c r="H4154" t="s">
        <v>14201</v>
      </c>
      <c r="I4154" t="s">
        <v>7577</v>
      </c>
      <c r="J4154" t="s">
        <v>34069</v>
      </c>
      <c r="K4154" t="s">
        <v>42624</v>
      </c>
      <c r="M4154" t="s">
        <v>43952</v>
      </c>
      <c r="N4154" t="s">
        <v>47304</v>
      </c>
      <c r="O4154" t="s">
        <v>47305</v>
      </c>
      <c r="P4154">
        <v>0</v>
      </c>
      <c r="Q4154">
        <v>2</v>
      </c>
      <c r="R4154" t="s">
        <v>47306</v>
      </c>
      <c r="S4154" t="s">
        <v>47414</v>
      </c>
      <c r="T4154" t="s">
        <v>48997</v>
      </c>
      <c r="U4154" t="s">
        <v>53100</v>
      </c>
      <c r="W4154" t="s">
        <v>43952</v>
      </c>
      <c r="X4154" t="s">
        <v>47308</v>
      </c>
    </row>
    <row r="4155" spans="1:24">
      <c r="A4155">
        <f>HYPERLINK("https://www.philgeps.gov.ph/GEPSNONPILOT/Tender/SplashBidNoticeAbstractUI.aspx?menuIndex=3&amp;refID=7196616&amp;Result=3","7196616")</f>
        <v>0</v>
      </c>
      <c r="B4155" t="s">
        <v>145</v>
      </c>
      <c r="C4155" t="s">
        <v>7782</v>
      </c>
      <c r="D4155" t="s">
        <v>19033</v>
      </c>
      <c r="E4155" t="s">
        <v>22800</v>
      </c>
      <c r="F4155" t="s">
        <v>32606</v>
      </c>
      <c r="G4155" t="s">
        <v>32614</v>
      </c>
      <c r="H4155" t="s">
        <v>32623</v>
      </c>
      <c r="I4155" t="s">
        <v>32659</v>
      </c>
      <c r="J4155" t="s">
        <v>33385</v>
      </c>
      <c r="K4155" t="s">
        <v>42627</v>
      </c>
      <c r="M4155" t="s">
        <v>43046</v>
      </c>
      <c r="N4155" t="s">
        <v>47304</v>
      </c>
      <c r="O4155" t="s">
        <v>47305</v>
      </c>
      <c r="P4155">
        <v>0</v>
      </c>
      <c r="Q4155">
        <v>0</v>
      </c>
      <c r="R4155" t="s">
        <v>47306</v>
      </c>
      <c r="S4155" t="s">
        <v>47414</v>
      </c>
      <c r="T4155" t="s">
        <v>49004</v>
      </c>
      <c r="U4155" t="s">
        <v>53101</v>
      </c>
      <c r="W4155" t="s">
        <v>43046</v>
      </c>
      <c r="X4155" t="s">
        <v>47308</v>
      </c>
    </row>
    <row r="4156" spans="1:24">
      <c r="A4156">
        <f>HYPERLINK("https://www.philgeps.gov.ph/GEPSNONPILOT/Tender/SplashBidNoticeAbstractUI.aspx?menuIndex=3&amp;refID=7196615&amp;Result=3","7196615")</f>
        <v>0</v>
      </c>
      <c r="B4156" t="s">
        <v>279</v>
      </c>
      <c r="C4156" t="s">
        <v>7783</v>
      </c>
      <c r="D4156" t="s">
        <v>19047</v>
      </c>
      <c r="E4156" t="s">
        <v>22801</v>
      </c>
      <c r="F4156" t="s">
        <v>32606</v>
      </c>
      <c r="G4156" t="s">
        <v>32614</v>
      </c>
      <c r="H4156" t="s">
        <v>14201</v>
      </c>
      <c r="I4156" t="s">
        <v>32646</v>
      </c>
      <c r="J4156" t="s">
        <v>35307</v>
      </c>
      <c r="K4156" t="s">
        <v>42622</v>
      </c>
      <c r="M4156" t="s">
        <v>43515</v>
      </c>
      <c r="N4156" t="s">
        <v>47304</v>
      </c>
      <c r="O4156" t="s">
        <v>47305</v>
      </c>
      <c r="P4156">
        <v>0</v>
      </c>
      <c r="Q4156">
        <v>1</v>
      </c>
      <c r="R4156" t="s">
        <v>47306</v>
      </c>
      <c r="S4156" t="s">
        <v>47414</v>
      </c>
      <c r="T4156" t="s">
        <v>49004</v>
      </c>
      <c r="U4156" t="s">
        <v>53102</v>
      </c>
      <c r="V4156" t="s">
        <v>63061</v>
      </c>
      <c r="W4156" t="s">
        <v>43515</v>
      </c>
      <c r="X4156" t="s">
        <v>47308</v>
      </c>
    </row>
    <row r="4157" spans="1:24">
      <c r="A4157">
        <f>HYPERLINK("https://www.philgeps.gov.ph/GEPSNONPILOT/Tender/SplashBidNoticeAbstractUI.aspx?menuIndex=3&amp;refID=7196614&amp;Result=3","7196614")</f>
        <v>0</v>
      </c>
      <c r="B4157" t="s">
        <v>871</v>
      </c>
      <c r="C4157" t="s">
        <v>7784</v>
      </c>
      <c r="D4157" t="s">
        <v>19061</v>
      </c>
      <c r="E4157" t="s">
        <v>22802</v>
      </c>
      <c r="F4157" t="s">
        <v>32606</v>
      </c>
      <c r="G4157" t="s">
        <v>32614</v>
      </c>
      <c r="H4157" t="s">
        <v>14201</v>
      </c>
      <c r="I4157" t="s">
        <v>6931</v>
      </c>
      <c r="J4157" t="s">
        <v>35556</v>
      </c>
      <c r="K4157" t="s">
        <v>42631</v>
      </c>
      <c r="M4157" t="s">
        <v>43807</v>
      </c>
      <c r="N4157" t="s">
        <v>47304</v>
      </c>
      <c r="O4157" t="s">
        <v>47305</v>
      </c>
      <c r="P4157">
        <v>0</v>
      </c>
      <c r="Q4157">
        <v>0</v>
      </c>
      <c r="R4157" t="s">
        <v>47306</v>
      </c>
      <c r="S4157" t="s">
        <v>47414</v>
      </c>
      <c r="T4157" t="s">
        <v>49014</v>
      </c>
      <c r="U4157" t="s">
        <v>53103</v>
      </c>
      <c r="W4157" t="s">
        <v>43807</v>
      </c>
      <c r="X4157" t="s">
        <v>47308</v>
      </c>
    </row>
    <row r="4158" spans="1:24">
      <c r="A4158">
        <f>HYPERLINK("https://www.philgeps.gov.ph/GEPSNONPILOT/Tender/SplashBidNoticeAbstractUI.aspx?menuIndex=3&amp;refID=7196621&amp;Result=3","7196621")</f>
        <v>0</v>
      </c>
      <c r="B4158" t="s">
        <v>1595</v>
      </c>
      <c r="C4158" t="s">
        <v>7785</v>
      </c>
      <c r="D4158" t="s">
        <v>19014</v>
      </c>
      <c r="E4158" t="s">
        <v>22803</v>
      </c>
      <c r="F4158" t="s">
        <v>32606</v>
      </c>
      <c r="G4158" t="s">
        <v>32614</v>
      </c>
      <c r="H4158" t="s">
        <v>14201</v>
      </c>
      <c r="I4158" t="s">
        <v>4678</v>
      </c>
      <c r="J4158" t="s">
        <v>35557</v>
      </c>
      <c r="K4158" t="s">
        <v>42631</v>
      </c>
      <c r="M4158" t="s">
        <v>44609</v>
      </c>
      <c r="N4158" t="s">
        <v>47304</v>
      </c>
      <c r="O4158" t="s">
        <v>47305</v>
      </c>
      <c r="P4158">
        <v>0</v>
      </c>
      <c r="Q4158">
        <v>0</v>
      </c>
      <c r="R4158" t="s">
        <v>47306</v>
      </c>
      <c r="S4158" t="s">
        <v>47414</v>
      </c>
      <c r="T4158" t="s">
        <v>49108</v>
      </c>
      <c r="U4158" t="s">
        <v>53104</v>
      </c>
      <c r="W4158" t="s">
        <v>44609</v>
      </c>
      <c r="X4158" t="s">
        <v>47308</v>
      </c>
    </row>
    <row r="4159" spans="1:24">
      <c r="A4159">
        <f>HYPERLINK("https://www.philgeps.gov.ph/GEPSNONPILOT/Tender/SplashBidNoticeAbstractUI.aspx?menuIndex=3&amp;refID=7196613&amp;Result=3","7196613")</f>
        <v>0</v>
      </c>
      <c r="B4159" t="s">
        <v>1579</v>
      </c>
      <c r="C4159" t="s">
        <v>7786</v>
      </c>
      <c r="D4159" t="s">
        <v>19000</v>
      </c>
      <c r="E4159" t="s">
        <v>22804</v>
      </c>
      <c r="F4159" t="s">
        <v>32606</v>
      </c>
      <c r="G4159" t="s">
        <v>32613</v>
      </c>
      <c r="H4159" t="s">
        <v>14201</v>
      </c>
      <c r="I4159" t="s">
        <v>7677</v>
      </c>
      <c r="J4159" t="s">
        <v>32770</v>
      </c>
      <c r="K4159" t="s">
        <v>42623</v>
      </c>
      <c r="M4159" t="s">
        <v>44591</v>
      </c>
      <c r="N4159" t="s">
        <v>47304</v>
      </c>
      <c r="O4159" t="s">
        <v>47305</v>
      </c>
      <c r="P4159">
        <v>0</v>
      </c>
      <c r="Q4159">
        <v>1</v>
      </c>
      <c r="R4159" t="s">
        <v>47306</v>
      </c>
      <c r="S4159" t="s">
        <v>47414</v>
      </c>
      <c r="T4159" t="s">
        <v>49190</v>
      </c>
      <c r="U4159" t="s">
        <v>53105</v>
      </c>
      <c r="W4159" t="s">
        <v>44591</v>
      </c>
      <c r="X4159" t="s">
        <v>47308</v>
      </c>
    </row>
    <row r="4160" spans="1:24">
      <c r="A4160">
        <f>HYPERLINK("https://www.philgeps.gov.ph/GEPSNONPILOT/Tender/SplashBidNoticeAbstractUI.aspx?menuIndex=3&amp;refID=7196612&amp;Result=3","7196612")</f>
        <v>0</v>
      </c>
      <c r="B4160" t="s">
        <v>1561</v>
      </c>
      <c r="C4160" t="s">
        <v>7787</v>
      </c>
      <c r="D4160" t="s">
        <v>19002</v>
      </c>
      <c r="E4160" t="s">
        <v>22805</v>
      </c>
      <c r="F4160" t="s">
        <v>32606</v>
      </c>
      <c r="G4160" t="s">
        <v>32613</v>
      </c>
      <c r="H4160" t="s">
        <v>14201</v>
      </c>
      <c r="I4160" t="s">
        <v>6931</v>
      </c>
      <c r="J4160" t="s">
        <v>35533</v>
      </c>
      <c r="K4160" t="s">
        <v>42752</v>
      </c>
      <c r="L4160" t="s">
        <v>1561</v>
      </c>
      <c r="M4160" t="s">
        <v>44568</v>
      </c>
      <c r="N4160" t="s">
        <v>47304</v>
      </c>
      <c r="O4160" t="s">
        <v>47305</v>
      </c>
      <c r="P4160">
        <v>0</v>
      </c>
      <c r="Q4160">
        <v>0</v>
      </c>
      <c r="R4160" t="s">
        <v>47306</v>
      </c>
      <c r="S4160" t="s">
        <v>47414</v>
      </c>
      <c r="T4160" t="s">
        <v>49107</v>
      </c>
      <c r="U4160" t="s">
        <v>53106</v>
      </c>
      <c r="W4160" t="s">
        <v>44568</v>
      </c>
      <c r="X4160" t="s">
        <v>47308</v>
      </c>
    </row>
    <row r="4161" spans="1:24">
      <c r="A4161">
        <f>HYPERLINK("https://www.philgeps.gov.ph/GEPSNONPILOT/Tender/SplashBidNoticeAbstractUI.aspx?menuIndex=3&amp;refID=7196607&amp;Result=3","7196607")</f>
        <v>0</v>
      </c>
      <c r="B4161" t="s">
        <v>1551</v>
      </c>
      <c r="C4161" t="s">
        <v>7788</v>
      </c>
      <c r="D4161" t="s">
        <v>19046</v>
      </c>
      <c r="E4161" t="s">
        <v>22806</v>
      </c>
      <c r="F4161" t="s">
        <v>32606</v>
      </c>
      <c r="G4161" t="s">
        <v>32614</v>
      </c>
      <c r="H4161" t="s">
        <v>14201</v>
      </c>
      <c r="I4161" t="s">
        <v>6931</v>
      </c>
      <c r="J4161" t="s">
        <v>33551</v>
      </c>
      <c r="K4161" t="s">
        <v>42623</v>
      </c>
      <c r="M4161" t="s">
        <v>44555</v>
      </c>
      <c r="N4161" t="s">
        <v>47304</v>
      </c>
      <c r="O4161" t="s">
        <v>47305</v>
      </c>
      <c r="P4161">
        <v>0</v>
      </c>
      <c r="Q4161">
        <v>0</v>
      </c>
      <c r="R4161" t="s">
        <v>47306</v>
      </c>
      <c r="S4161" t="s">
        <v>47414</v>
      </c>
      <c r="T4161" t="s">
        <v>48980</v>
      </c>
      <c r="U4161" t="s">
        <v>53107</v>
      </c>
      <c r="W4161" t="s">
        <v>44555</v>
      </c>
      <c r="X4161" t="s">
        <v>47308</v>
      </c>
    </row>
    <row r="4162" spans="1:24">
      <c r="A4162">
        <f>HYPERLINK("https://www.philgeps.gov.ph/GEPSNONPILOT/Tender/SplashBidNoticeAbstractUI.aspx?menuIndex=3&amp;refID=7196594&amp;Result=3","7196594")</f>
        <v>0</v>
      </c>
      <c r="B4162" t="s">
        <v>1465</v>
      </c>
      <c r="C4162" t="s">
        <v>7789</v>
      </c>
      <c r="D4162" t="s">
        <v>18991</v>
      </c>
      <c r="E4162" t="s">
        <v>22807</v>
      </c>
      <c r="F4162" t="s">
        <v>32606</v>
      </c>
      <c r="G4162" t="s">
        <v>32614</v>
      </c>
      <c r="H4162" t="s">
        <v>14201</v>
      </c>
      <c r="I4162" t="s">
        <v>6931</v>
      </c>
      <c r="J4162" t="s">
        <v>35558</v>
      </c>
      <c r="K4162" t="s">
        <v>42631</v>
      </c>
      <c r="M4162" t="s">
        <v>44459</v>
      </c>
      <c r="N4162" t="s">
        <v>47304</v>
      </c>
      <c r="O4162" t="s">
        <v>47305</v>
      </c>
      <c r="P4162">
        <v>0</v>
      </c>
      <c r="Q4162">
        <v>2</v>
      </c>
      <c r="R4162" t="s">
        <v>47306</v>
      </c>
      <c r="S4162" t="s">
        <v>47414</v>
      </c>
      <c r="T4162" t="s">
        <v>48980</v>
      </c>
      <c r="U4162" t="s">
        <v>52738</v>
      </c>
      <c r="W4162" t="s">
        <v>44459</v>
      </c>
      <c r="X4162" t="s">
        <v>47308</v>
      </c>
    </row>
    <row r="4163" spans="1:24">
      <c r="A4163">
        <f>HYPERLINK("https://www.philgeps.gov.ph/GEPSNONPILOT/Tender/SplashBidNoticeAbstractUI.aspx?menuIndex=3&amp;refID=7196606&amp;Result=3","7196606")</f>
        <v>0</v>
      </c>
      <c r="B4163" t="s">
        <v>210</v>
      </c>
      <c r="C4163" t="s">
        <v>7790</v>
      </c>
      <c r="D4163" t="s">
        <v>18986</v>
      </c>
      <c r="E4163" t="s">
        <v>22808</v>
      </c>
      <c r="F4163" t="s">
        <v>32606</v>
      </c>
      <c r="G4163" t="s">
        <v>32613</v>
      </c>
      <c r="H4163" t="s">
        <v>32623</v>
      </c>
      <c r="I4163" t="s">
        <v>17648</v>
      </c>
      <c r="J4163" t="s">
        <v>35559</v>
      </c>
      <c r="K4163" t="s">
        <v>42753</v>
      </c>
      <c r="M4163" t="s">
        <v>43111</v>
      </c>
      <c r="N4163" t="s">
        <v>47304</v>
      </c>
      <c r="O4163" t="s">
        <v>47305</v>
      </c>
      <c r="P4163">
        <v>0</v>
      </c>
      <c r="Q4163">
        <v>0</v>
      </c>
      <c r="R4163" t="s">
        <v>47306</v>
      </c>
      <c r="S4163" t="s">
        <v>47414</v>
      </c>
      <c r="T4163" t="s">
        <v>48971</v>
      </c>
      <c r="U4163" t="s">
        <v>53108</v>
      </c>
      <c r="W4163" t="s">
        <v>43111</v>
      </c>
      <c r="X4163" t="s">
        <v>47308</v>
      </c>
    </row>
    <row r="4164" spans="1:24">
      <c r="A4164">
        <f>HYPERLINK("https://www.philgeps.gov.ph/GEPSNONPILOT/Tender/SplashBidNoticeAbstractUI.aspx?menuIndex=3&amp;refID=7196647&amp;Result=3","7196647")</f>
        <v>0</v>
      </c>
      <c r="B4164" t="s">
        <v>1468</v>
      </c>
      <c r="C4164" t="s">
        <v>7791</v>
      </c>
      <c r="D4164" t="s">
        <v>19046</v>
      </c>
      <c r="E4164" t="s">
        <v>22809</v>
      </c>
      <c r="F4164" t="s">
        <v>32606</v>
      </c>
      <c r="G4164" t="s">
        <v>32614</v>
      </c>
      <c r="H4164" t="s">
        <v>14201</v>
      </c>
      <c r="I4164" t="s">
        <v>6993</v>
      </c>
      <c r="J4164" t="s">
        <v>35560</v>
      </c>
      <c r="K4164" t="s">
        <v>42622</v>
      </c>
      <c r="M4164" t="s">
        <v>44462</v>
      </c>
      <c r="N4164" t="s">
        <v>47304</v>
      </c>
      <c r="O4164" t="s">
        <v>47305</v>
      </c>
      <c r="P4164">
        <v>0</v>
      </c>
      <c r="Q4164">
        <v>0</v>
      </c>
      <c r="R4164" t="s">
        <v>47306</v>
      </c>
      <c r="S4164" t="s">
        <v>47414</v>
      </c>
      <c r="T4164" t="s">
        <v>49010</v>
      </c>
      <c r="U4164" t="s">
        <v>53109</v>
      </c>
      <c r="W4164" t="s">
        <v>44462</v>
      </c>
      <c r="X4164" t="s">
        <v>47308</v>
      </c>
    </row>
    <row r="4165" spans="1:24">
      <c r="A4165">
        <f>HYPERLINK("https://www.philgeps.gov.ph/GEPSNONPILOT/Tender/SplashBidNoticeAbstractUI.aspx?menuIndex=3&amp;refID=7196646&amp;Result=3","7196646")</f>
        <v>0</v>
      </c>
      <c r="B4165" t="s">
        <v>1022</v>
      </c>
      <c r="C4165" t="s">
        <v>7792</v>
      </c>
      <c r="D4165" t="s">
        <v>19033</v>
      </c>
      <c r="E4165" t="s">
        <v>7792</v>
      </c>
      <c r="F4165" t="s">
        <v>32606</v>
      </c>
      <c r="G4165" t="s">
        <v>32614</v>
      </c>
      <c r="H4165" t="s">
        <v>14201</v>
      </c>
      <c r="I4165" t="s">
        <v>6931</v>
      </c>
      <c r="J4165" t="s">
        <v>35561</v>
      </c>
      <c r="K4165" t="s">
        <v>42631</v>
      </c>
      <c r="M4165" t="s">
        <v>43974</v>
      </c>
      <c r="N4165" t="s">
        <v>47304</v>
      </c>
      <c r="O4165" t="s">
        <v>47305</v>
      </c>
      <c r="P4165">
        <v>0</v>
      </c>
      <c r="Q4165">
        <v>0</v>
      </c>
      <c r="R4165" t="s">
        <v>47306</v>
      </c>
      <c r="S4165" t="s">
        <v>47414</v>
      </c>
      <c r="T4165" t="s">
        <v>48980</v>
      </c>
      <c r="U4165" t="s">
        <v>53110</v>
      </c>
      <c r="W4165" t="s">
        <v>43974</v>
      </c>
      <c r="X4165" t="s">
        <v>47308</v>
      </c>
    </row>
    <row r="4166" spans="1:24">
      <c r="A4166">
        <f>HYPERLINK("https://www.philgeps.gov.ph/GEPSNONPILOT/Tender/SplashBidNoticeAbstractUI.aspx?menuIndex=3&amp;refID=7196645&amp;Result=3","7196645")</f>
        <v>0</v>
      </c>
      <c r="B4166" t="s">
        <v>974</v>
      </c>
      <c r="C4166" t="s">
        <v>7793</v>
      </c>
      <c r="E4166" t="s">
        <v>22810</v>
      </c>
      <c r="F4166" t="s">
        <v>32606</v>
      </c>
      <c r="G4166" t="s">
        <v>32619</v>
      </c>
      <c r="H4166" t="s">
        <v>14201</v>
      </c>
      <c r="I4166" t="s">
        <v>4120</v>
      </c>
      <c r="J4166" t="s">
        <v>35562</v>
      </c>
      <c r="K4166" t="s">
        <v>42630</v>
      </c>
      <c r="M4166" t="s">
        <v>43920</v>
      </c>
      <c r="N4166" t="s">
        <v>47304</v>
      </c>
      <c r="O4166" t="s">
        <v>47305</v>
      </c>
      <c r="P4166">
        <v>0</v>
      </c>
      <c r="Q4166">
        <v>1</v>
      </c>
      <c r="R4166" t="s">
        <v>47306</v>
      </c>
      <c r="S4166" t="s">
        <v>47414</v>
      </c>
      <c r="T4166" t="s">
        <v>48986</v>
      </c>
      <c r="U4166" t="s">
        <v>53111</v>
      </c>
      <c r="W4166" t="s">
        <v>43920</v>
      </c>
      <c r="X4166" t="s">
        <v>47308</v>
      </c>
    </row>
    <row r="4167" spans="1:24">
      <c r="A4167">
        <f>HYPERLINK("https://www.philgeps.gov.ph/GEPSNONPILOT/Tender/SplashBidNoticeAbstractUI.aspx?menuIndex=3&amp;refID=7196644&amp;Result=3","7196644")</f>
        <v>0</v>
      </c>
      <c r="B4167" t="s">
        <v>1572</v>
      </c>
      <c r="C4167" t="s">
        <v>7794</v>
      </c>
      <c r="D4167" t="s">
        <v>18993</v>
      </c>
      <c r="E4167" t="s">
        <v>22811</v>
      </c>
      <c r="F4167" t="s">
        <v>32606</v>
      </c>
      <c r="G4167" t="s">
        <v>32617</v>
      </c>
      <c r="H4167" t="s">
        <v>14201</v>
      </c>
      <c r="I4167" t="s">
        <v>4678</v>
      </c>
      <c r="J4167" t="s">
        <v>35563</v>
      </c>
      <c r="K4167" t="s">
        <v>42630</v>
      </c>
      <c r="M4167" t="s">
        <v>44583</v>
      </c>
      <c r="N4167" t="s">
        <v>47304</v>
      </c>
      <c r="O4167" t="s">
        <v>47305</v>
      </c>
      <c r="P4167">
        <v>0</v>
      </c>
      <c r="Q4167">
        <v>2</v>
      </c>
      <c r="R4167" t="s">
        <v>47306</v>
      </c>
      <c r="S4167" t="s">
        <v>47414</v>
      </c>
      <c r="T4167" t="s">
        <v>49150</v>
      </c>
      <c r="U4167" t="s">
        <v>53112</v>
      </c>
      <c r="V4167" t="s">
        <v>63053</v>
      </c>
      <c r="W4167" t="s">
        <v>44583</v>
      </c>
      <c r="X4167" t="s">
        <v>47308</v>
      </c>
    </row>
    <row r="4168" spans="1:24">
      <c r="A4168">
        <f>HYPERLINK("https://www.philgeps.gov.ph/GEPSNONPILOT/Tender/SplashBidNoticeAbstractUI.aspx?menuIndex=3&amp;refID=7196626&amp;Result=3","7196626")</f>
        <v>0</v>
      </c>
      <c r="B4168" t="s">
        <v>775</v>
      </c>
      <c r="C4168" t="s">
        <v>7795</v>
      </c>
      <c r="D4168" t="s">
        <v>19024</v>
      </c>
      <c r="E4168" t="s">
        <v>22812</v>
      </c>
      <c r="F4168" t="s">
        <v>32606</v>
      </c>
      <c r="G4168" t="s">
        <v>32614</v>
      </c>
      <c r="H4168" t="s">
        <v>32624</v>
      </c>
      <c r="I4168" t="s">
        <v>6007</v>
      </c>
      <c r="J4168" t="s">
        <v>35400</v>
      </c>
      <c r="K4168" t="s">
        <v>42630</v>
      </c>
      <c r="M4168" t="s">
        <v>44450</v>
      </c>
      <c r="N4168" t="s">
        <v>47304</v>
      </c>
      <c r="O4168" t="s">
        <v>47305</v>
      </c>
      <c r="P4168">
        <v>0</v>
      </c>
      <c r="Q4168">
        <v>0</v>
      </c>
      <c r="R4168" t="s">
        <v>47306</v>
      </c>
      <c r="S4168" t="s">
        <v>47414</v>
      </c>
      <c r="T4168" t="s">
        <v>49278</v>
      </c>
      <c r="U4168" t="s">
        <v>53113</v>
      </c>
      <c r="V4168" t="s">
        <v>63020</v>
      </c>
      <c r="W4168" t="s">
        <v>44450</v>
      </c>
      <c r="X4168" t="s">
        <v>47308</v>
      </c>
    </row>
    <row r="4169" spans="1:24">
      <c r="A4169">
        <f>HYPERLINK("https://www.philgeps.gov.ph/GEPSNONPILOT/Tender/SplashBidNoticeAbstractUI.aspx?menuIndex=3&amp;refID=7196643&amp;Result=3","7196643")</f>
        <v>0</v>
      </c>
      <c r="B4169" t="s">
        <v>81</v>
      </c>
      <c r="C4169" t="s">
        <v>7796</v>
      </c>
      <c r="D4169" t="s">
        <v>18995</v>
      </c>
      <c r="E4169" t="s">
        <v>22813</v>
      </c>
      <c r="F4169" t="s">
        <v>32606</v>
      </c>
      <c r="G4169" t="s">
        <v>32614</v>
      </c>
      <c r="H4169" t="s">
        <v>14201</v>
      </c>
      <c r="I4169" t="s">
        <v>32658</v>
      </c>
      <c r="J4169" t="s">
        <v>32967</v>
      </c>
      <c r="K4169" t="s">
        <v>42624</v>
      </c>
      <c r="M4169" t="s">
        <v>42978</v>
      </c>
      <c r="N4169" t="s">
        <v>47304</v>
      </c>
      <c r="O4169" t="s">
        <v>47305</v>
      </c>
      <c r="P4169">
        <v>0</v>
      </c>
      <c r="Q4169">
        <v>2</v>
      </c>
      <c r="R4169" t="s">
        <v>47306</v>
      </c>
      <c r="S4169" t="s">
        <v>47414</v>
      </c>
      <c r="T4169" t="s">
        <v>49014</v>
      </c>
      <c r="U4169" t="s">
        <v>53114</v>
      </c>
      <c r="W4169" t="s">
        <v>42978</v>
      </c>
      <c r="X4169" t="s">
        <v>47308</v>
      </c>
    </row>
    <row r="4170" spans="1:24">
      <c r="A4170">
        <f>HYPERLINK("https://www.philgeps.gov.ph/GEPSNONPILOT/Tender/SplashBidNoticeAbstractUI.aspx?menuIndex=3&amp;refID=7196641&amp;Result=3","7196641")</f>
        <v>0</v>
      </c>
      <c r="B4170" t="s">
        <v>466</v>
      </c>
      <c r="C4170" t="s">
        <v>7797</v>
      </c>
      <c r="D4170" t="s">
        <v>19022</v>
      </c>
      <c r="E4170" t="s">
        <v>22814</v>
      </c>
      <c r="F4170" t="s">
        <v>32606</v>
      </c>
      <c r="G4170" t="s">
        <v>32613</v>
      </c>
      <c r="H4170" t="s">
        <v>14201</v>
      </c>
      <c r="I4170" t="s">
        <v>32633</v>
      </c>
      <c r="J4170" t="s">
        <v>35564</v>
      </c>
      <c r="K4170" t="s">
        <v>42623</v>
      </c>
      <c r="M4170" t="s">
        <v>43377</v>
      </c>
      <c r="N4170" t="s">
        <v>47304</v>
      </c>
      <c r="O4170" t="s">
        <v>47305</v>
      </c>
      <c r="P4170">
        <v>0</v>
      </c>
      <c r="Q4170">
        <v>2</v>
      </c>
      <c r="R4170" t="s">
        <v>47306</v>
      </c>
      <c r="S4170" t="s">
        <v>47414</v>
      </c>
      <c r="T4170" t="s">
        <v>49011</v>
      </c>
      <c r="U4170" t="s">
        <v>53115</v>
      </c>
      <c r="W4170" t="s">
        <v>43377</v>
      </c>
      <c r="X4170" t="s">
        <v>47308</v>
      </c>
    </row>
    <row r="4171" spans="1:24">
      <c r="A4171">
        <f>HYPERLINK("https://www.philgeps.gov.ph/GEPSNONPILOT/Tender/SplashBidNoticeAbstractUI.aspx?menuIndex=3&amp;refID=7196640&amp;Result=3","7196640")</f>
        <v>0</v>
      </c>
      <c r="B4171" t="s">
        <v>1188</v>
      </c>
      <c r="C4171" t="s">
        <v>7798</v>
      </c>
      <c r="D4171" t="s">
        <v>19070</v>
      </c>
      <c r="E4171" t="s">
        <v>22815</v>
      </c>
      <c r="F4171" t="s">
        <v>32606</v>
      </c>
      <c r="G4171" t="s">
        <v>32613</v>
      </c>
      <c r="H4171" t="s">
        <v>32623</v>
      </c>
      <c r="I4171" t="s">
        <v>17648</v>
      </c>
      <c r="J4171" t="s">
        <v>32967</v>
      </c>
      <c r="K4171" t="s">
        <v>42631</v>
      </c>
      <c r="M4171" t="s">
        <v>44152</v>
      </c>
      <c r="N4171" t="s">
        <v>47304</v>
      </c>
      <c r="O4171" t="s">
        <v>47305</v>
      </c>
      <c r="P4171">
        <v>0</v>
      </c>
      <c r="Q4171">
        <v>0</v>
      </c>
      <c r="R4171" t="s">
        <v>47306</v>
      </c>
      <c r="S4171" t="s">
        <v>47414</v>
      </c>
      <c r="T4171" t="s">
        <v>48986</v>
      </c>
      <c r="U4171" t="s">
        <v>53116</v>
      </c>
      <c r="V4171" t="s">
        <v>63044</v>
      </c>
      <c r="W4171" t="s">
        <v>44152</v>
      </c>
      <c r="X4171" t="s">
        <v>47308</v>
      </c>
    </row>
    <row r="4172" spans="1:24">
      <c r="A4172">
        <f>HYPERLINK("https://www.philgeps.gov.ph/GEPSNONPILOT/Tender/SplashBidNoticeAbstractUI.aspx?menuIndex=3&amp;refID=7196637&amp;Result=3","7196637")</f>
        <v>0</v>
      </c>
      <c r="B4172" t="s">
        <v>693</v>
      </c>
      <c r="C4172" t="s">
        <v>7799</v>
      </c>
      <c r="D4172" t="s">
        <v>18989</v>
      </c>
      <c r="E4172" t="s">
        <v>22816</v>
      </c>
      <c r="F4172" t="s">
        <v>32606</v>
      </c>
      <c r="G4172" t="s">
        <v>32614</v>
      </c>
      <c r="H4172" t="s">
        <v>32623</v>
      </c>
      <c r="I4172" t="s">
        <v>17648</v>
      </c>
      <c r="J4172" t="s">
        <v>35565</v>
      </c>
      <c r="K4172" t="s">
        <v>42627</v>
      </c>
      <c r="M4172" t="s">
        <v>43614</v>
      </c>
      <c r="N4172" t="s">
        <v>47304</v>
      </c>
      <c r="O4172" t="s">
        <v>47305</v>
      </c>
      <c r="P4172">
        <v>0</v>
      </c>
      <c r="Q4172">
        <v>0</v>
      </c>
      <c r="R4172" t="s">
        <v>47306</v>
      </c>
      <c r="S4172" t="s">
        <v>47414</v>
      </c>
      <c r="T4172" t="s">
        <v>48979</v>
      </c>
      <c r="U4172" t="s">
        <v>53117</v>
      </c>
      <c r="W4172" t="s">
        <v>43614</v>
      </c>
      <c r="X4172" t="s">
        <v>47308</v>
      </c>
    </row>
    <row r="4173" spans="1:24">
      <c r="A4173">
        <f>HYPERLINK("https://www.philgeps.gov.ph/GEPSNONPILOT/Tender/SplashBidNoticeAbstractUI.aspx?menuIndex=3&amp;refID=7196611&amp;Result=3","7196611")</f>
        <v>0</v>
      </c>
      <c r="B4173" t="s">
        <v>1596</v>
      </c>
      <c r="C4173" t="s">
        <v>7800</v>
      </c>
      <c r="D4173" t="s">
        <v>18997</v>
      </c>
      <c r="E4173" t="s">
        <v>22817</v>
      </c>
      <c r="F4173" t="s">
        <v>32606</v>
      </c>
      <c r="G4173" t="s">
        <v>32614</v>
      </c>
      <c r="H4173" t="s">
        <v>14201</v>
      </c>
      <c r="I4173" t="s">
        <v>4369</v>
      </c>
      <c r="J4173" t="s">
        <v>35566</v>
      </c>
      <c r="K4173" t="s">
        <v>42623</v>
      </c>
      <c r="M4173" t="s">
        <v>44610</v>
      </c>
      <c r="N4173" t="s">
        <v>47304</v>
      </c>
      <c r="O4173" t="s">
        <v>47305</v>
      </c>
      <c r="P4173">
        <v>0</v>
      </c>
      <c r="Q4173">
        <v>0</v>
      </c>
      <c r="R4173" t="s">
        <v>47306</v>
      </c>
      <c r="S4173" t="s">
        <v>47414</v>
      </c>
      <c r="T4173" t="s">
        <v>49004</v>
      </c>
      <c r="U4173" t="s">
        <v>53118</v>
      </c>
      <c r="W4173" t="s">
        <v>44610</v>
      </c>
      <c r="X4173" t="s">
        <v>47308</v>
      </c>
    </row>
    <row r="4174" spans="1:24">
      <c r="A4174">
        <f>HYPERLINK("https://www.philgeps.gov.ph/GEPSNONPILOT/Tender/SplashBidNoticeAbstractUI.aspx?menuIndex=3&amp;refID=7196663&amp;Result=3","7196663")</f>
        <v>0</v>
      </c>
      <c r="B4174" t="s">
        <v>1520</v>
      </c>
      <c r="C4174" t="s">
        <v>7801</v>
      </c>
      <c r="D4174" t="s">
        <v>18988</v>
      </c>
      <c r="E4174" t="s">
        <v>22818</v>
      </c>
      <c r="F4174" t="s">
        <v>32606</v>
      </c>
      <c r="G4174" t="s">
        <v>32614</v>
      </c>
      <c r="H4174" t="s">
        <v>14201</v>
      </c>
      <c r="I4174" t="s">
        <v>4114</v>
      </c>
      <c r="J4174" t="s">
        <v>33610</v>
      </c>
      <c r="K4174" t="s">
        <v>42631</v>
      </c>
      <c r="M4174" t="s">
        <v>44521</v>
      </c>
      <c r="N4174" t="s">
        <v>47304</v>
      </c>
      <c r="O4174" t="s">
        <v>47305</v>
      </c>
      <c r="P4174">
        <v>0</v>
      </c>
      <c r="Q4174">
        <v>2</v>
      </c>
      <c r="R4174" t="s">
        <v>47306</v>
      </c>
      <c r="S4174" t="s">
        <v>47414</v>
      </c>
      <c r="T4174" t="s">
        <v>48980</v>
      </c>
      <c r="U4174" t="s">
        <v>52886</v>
      </c>
      <c r="V4174" t="s">
        <v>63039</v>
      </c>
      <c r="W4174" t="s">
        <v>44521</v>
      </c>
      <c r="X4174" t="s">
        <v>47308</v>
      </c>
    </row>
    <row r="4175" spans="1:24">
      <c r="A4175">
        <f>HYPERLINK("https://www.philgeps.gov.ph/GEPSNONPILOT/Tender/SplashBidNoticeAbstractUI.aspx?menuIndex=3&amp;refID=7196671&amp;Result=3","7196671")</f>
        <v>0</v>
      </c>
      <c r="B4175" t="s">
        <v>1022</v>
      </c>
      <c r="C4175" t="s">
        <v>7802</v>
      </c>
      <c r="D4175" t="s">
        <v>19033</v>
      </c>
      <c r="E4175" t="s">
        <v>7802</v>
      </c>
      <c r="F4175" t="s">
        <v>32606</v>
      </c>
      <c r="G4175" t="s">
        <v>32614</v>
      </c>
      <c r="H4175" t="s">
        <v>14201</v>
      </c>
      <c r="I4175" t="s">
        <v>6931</v>
      </c>
      <c r="J4175" t="s">
        <v>35561</v>
      </c>
      <c r="K4175" t="s">
        <v>42631</v>
      </c>
      <c r="M4175" t="s">
        <v>43974</v>
      </c>
      <c r="N4175" t="s">
        <v>47304</v>
      </c>
      <c r="O4175" t="s">
        <v>47305</v>
      </c>
      <c r="P4175">
        <v>0</v>
      </c>
      <c r="Q4175">
        <v>0</v>
      </c>
      <c r="R4175" t="s">
        <v>47306</v>
      </c>
      <c r="S4175" t="s">
        <v>47414</v>
      </c>
      <c r="T4175" t="s">
        <v>48980</v>
      </c>
      <c r="U4175" t="s">
        <v>53119</v>
      </c>
      <c r="W4175" t="s">
        <v>43974</v>
      </c>
      <c r="X4175" t="s">
        <v>47308</v>
      </c>
    </row>
    <row r="4176" spans="1:24">
      <c r="A4176">
        <f>HYPERLINK("https://www.philgeps.gov.ph/GEPSNONPILOT/Tender/SplashBidNoticeAbstractUI.aspx?menuIndex=3&amp;refID=7196670&amp;Result=3","7196670")</f>
        <v>0</v>
      </c>
      <c r="B4176" t="s">
        <v>212</v>
      </c>
      <c r="C4176" t="s">
        <v>7803</v>
      </c>
      <c r="D4176" t="s">
        <v>19007</v>
      </c>
      <c r="E4176" t="s">
        <v>22819</v>
      </c>
      <c r="F4176" t="s">
        <v>32606</v>
      </c>
      <c r="G4176" t="s">
        <v>32614</v>
      </c>
      <c r="H4176" t="s">
        <v>14201</v>
      </c>
      <c r="I4176" t="s">
        <v>7577</v>
      </c>
      <c r="J4176" t="s">
        <v>35567</v>
      </c>
      <c r="K4176" t="s">
        <v>42631</v>
      </c>
      <c r="M4176" t="s">
        <v>43113</v>
      </c>
      <c r="N4176" t="s">
        <v>47304</v>
      </c>
      <c r="O4176" t="s">
        <v>47305</v>
      </c>
      <c r="P4176">
        <v>0</v>
      </c>
      <c r="Q4176">
        <v>1</v>
      </c>
      <c r="R4176" t="s">
        <v>47306</v>
      </c>
      <c r="S4176" t="s">
        <v>47414</v>
      </c>
      <c r="T4176" t="s">
        <v>49186</v>
      </c>
      <c r="U4176" t="s">
        <v>53120</v>
      </c>
      <c r="W4176" t="s">
        <v>43113</v>
      </c>
      <c r="X4176" t="s">
        <v>47308</v>
      </c>
    </row>
    <row r="4177" spans="1:24">
      <c r="A4177">
        <f>HYPERLINK("https://www.philgeps.gov.ph/GEPSNONPILOT/Tender/SplashBidNoticeAbstractUI.aspx?menuIndex=3&amp;refID=7196669&amp;Result=3","7196669")</f>
        <v>0</v>
      </c>
      <c r="B4177" t="s">
        <v>1572</v>
      </c>
      <c r="C4177" t="s">
        <v>7804</v>
      </c>
      <c r="D4177" t="s">
        <v>18993</v>
      </c>
      <c r="E4177" t="s">
        <v>22820</v>
      </c>
      <c r="F4177" t="s">
        <v>32606</v>
      </c>
      <c r="G4177" t="s">
        <v>32617</v>
      </c>
      <c r="H4177" t="s">
        <v>14201</v>
      </c>
      <c r="I4177" t="s">
        <v>32640</v>
      </c>
      <c r="J4177" t="s">
        <v>35568</v>
      </c>
      <c r="K4177" t="s">
        <v>42630</v>
      </c>
      <c r="M4177" t="s">
        <v>44583</v>
      </c>
      <c r="N4177" t="s">
        <v>47304</v>
      </c>
      <c r="O4177" t="s">
        <v>47305</v>
      </c>
      <c r="P4177">
        <v>0</v>
      </c>
      <c r="Q4177">
        <v>2</v>
      </c>
      <c r="R4177" t="s">
        <v>47306</v>
      </c>
      <c r="S4177" t="s">
        <v>47414</v>
      </c>
      <c r="T4177" t="s">
        <v>49150</v>
      </c>
      <c r="U4177" t="s">
        <v>53121</v>
      </c>
      <c r="V4177" t="s">
        <v>63053</v>
      </c>
      <c r="W4177" t="s">
        <v>44583</v>
      </c>
      <c r="X4177" t="s">
        <v>47308</v>
      </c>
    </row>
    <row r="4178" spans="1:24">
      <c r="A4178">
        <f>HYPERLINK("https://www.philgeps.gov.ph/GEPSNONPILOT/Tender/SplashBidNoticeAbstractUI.aspx?menuIndex=3&amp;refID=7196638&amp;Result=3","7196638")</f>
        <v>0</v>
      </c>
      <c r="B4178" t="s">
        <v>258</v>
      </c>
      <c r="C4178" t="s">
        <v>7805</v>
      </c>
      <c r="D4178" t="s">
        <v>19038</v>
      </c>
      <c r="E4178" t="s">
        <v>22821</v>
      </c>
      <c r="F4178" t="s">
        <v>32606</v>
      </c>
      <c r="G4178" t="s">
        <v>32614</v>
      </c>
      <c r="H4178" t="s">
        <v>14201</v>
      </c>
      <c r="I4178" t="s">
        <v>32634</v>
      </c>
      <c r="J4178" t="s">
        <v>35569</v>
      </c>
      <c r="K4178" t="s">
        <v>42623</v>
      </c>
      <c r="M4178" t="s">
        <v>44611</v>
      </c>
      <c r="N4178" t="s">
        <v>47304</v>
      </c>
      <c r="O4178" t="s">
        <v>47305</v>
      </c>
      <c r="P4178">
        <v>0</v>
      </c>
      <c r="Q4178">
        <v>1</v>
      </c>
      <c r="R4178" t="s">
        <v>47306</v>
      </c>
      <c r="S4178" t="s">
        <v>47414</v>
      </c>
      <c r="T4178" t="s">
        <v>49041</v>
      </c>
      <c r="U4178" t="s">
        <v>53122</v>
      </c>
      <c r="W4178" t="s">
        <v>44611</v>
      </c>
      <c r="X4178" t="s">
        <v>47308</v>
      </c>
    </row>
    <row r="4179" spans="1:24">
      <c r="A4179">
        <f>HYPERLINK("https://www.philgeps.gov.ph/GEPSNONPILOT/Tender/SplashBidNoticeAbstractUI.aspx?menuIndex=3&amp;refID=7196667&amp;Result=3","7196667")</f>
        <v>0</v>
      </c>
      <c r="B4179" t="s">
        <v>258</v>
      </c>
      <c r="C4179" t="s">
        <v>7806</v>
      </c>
      <c r="D4179" t="s">
        <v>19038</v>
      </c>
      <c r="E4179" t="s">
        <v>22822</v>
      </c>
      <c r="F4179" t="s">
        <v>32606</v>
      </c>
      <c r="G4179" t="s">
        <v>32614</v>
      </c>
      <c r="H4179" t="s">
        <v>14201</v>
      </c>
      <c r="I4179" t="s">
        <v>6931</v>
      </c>
      <c r="J4179" t="s">
        <v>35570</v>
      </c>
      <c r="K4179" t="s">
        <v>42623</v>
      </c>
      <c r="M4179" t="s">
        <v>43159</v>
      </c>
      <c r="N4179" t="s">
        <v>47304</v>
      </c>
      <c r="O4179" t="s">
        <v>47305</v>
      </c>
      <c r="P4179">
        <v>0</v>
      </c>
      <c r="Q4179">
        <v>0</v>
      </c>
      <c r="R4179" t="s">
        <v>47306</v>
      </c>
      <c r="S4179" t="s">
        <v>47414</v>
      </c>
      <c r="T4179" t="s">
        <v>48988</v>
      </c>
      <c r="U4179" t="s">
        <v>53123</v>
      </c>
      <c r="W4179" t="s">
        <v>43159</v>
      </c>
      <c r="X4179" t="s">
        <v>47308</v>
      </c>
    </row>
    <row r="4180" spans="1:24">
      <c r="A4180">
        <f>HYPERLINK("https://www.philgeps.gov.ph/GEPSNONPILOT/Tender/SplashBidNoticeAbstractUI.aspx?menuIndex=3&amp;refID=7196608&amp;Result=3","7196608")</f>
        <v>0</v>
      </c>
      <c r="B4180" t="s">
        <v>833</v>
      </c>
      <c r="C4180" t="s">
        <v>7807</v>
      </c>
      <c r="D4180" t="s">
        <v>19039</v>
      </c>
      <c r="E4180" t="s">
        <v>22823</v>
      </c>
      <c r="F4180" t="s">
        <v>32606</v>
      </c>
      <c r="G4180" t="s">
        <v>32614</v>
      </c>
      <c r="H4180" t="s">
        <v>14201</v>
      </c>
      <c r="I4180" t="s">
        <v>32652</v>
      </c>
      <c r="J4180" t="s">
        <v>35571</v>
      </c>
      <c r="K4180" t="s">
        <v>42629</v>
      </c>
      <c r="M4180" t="s">
        <v>43764</v>
      </c>
      <c r="N4180" t="s">
        <v>47304</v>
      </c>
      <c r="O4180" t="s">
        <v>47305</v>
      </c>
      <c r="P4180">
        <v>0</v>
      </c>
      <c r="Q4180">
        <v>0</v>
      </c>
      <c r="R4180" t="s">
        <v>47306</v>
      </c>
      <c r="S4180" t="s">
        <v>47414</v>
      </c>
      <c r="T4180" t="s">
        <v>48980</v>
      </c>
      <c r="U4180" t="s">
        <v>51466</v>
      </c>
      <c r="W4180" t="s">
        <v>43764</v>
      </c>
      <c r="X4180" t="s">
        <v>47308</v>
      </c>
    </row>
    <row r="4181" spans="1:24">
      <c r="A4181">
        <f>HYPERLINK("https://www.philgeps.gov.ph/GEPSNONPILOT/Tender/SplashBidNoticeAbstractUI.aspx?menuIndex=3&amp;refID=7196664&amp;Result=3","7196664")</f>
        <v>0</v>
      </c>
      <c r="B4181" t="s">
        <v>1597</v>
      </c>
      <c r="C4181" t="s">
        <v>7808</v>
      </c>
      <c r="D4181" t="s">
        <v>19061</v>
      </c>
      <c r="E4181" t="s">
        <v>22824</v>
      </c>
      <c r="F4181" t="s">
        <v>32606</v>
      </c>
      <c r="G4181" t="s">
        <v>32613</v>
      </c>
      <c r="H4181" t="s">
        <v>14201</v>
      </c>
      <c r="I4181" t="s">
        <v>32663</v>
      </c>
      <c r="J4181" t="s">
        <v>32772</v>
      </c>
      <c r="K4181" t="s">
        <v>42631</v>
      </c>
      <c r="L4181" t="s">
        <v>1597</v>
      </c>
      <c r="M4181" t="s">
        <v>44612</v>
      </c>
      <c r="N4181" t="s">
        <v>47304</v>
      </c>
      <c r="O4181" t="s">
        <v>47305</v>
      </c>
      <c r="P4181">
        <v>0</v>
      </c>
      <c r="Q4181">
        <v>2</v>
      </c>
      <c r="R4181" t="s">
        <v>47306</v>
      </c>
      <c r="S4181" t="s">
        <v>47414</v>
      </c>
      <c r="T4181" t="s">
        <v>48973</v>
      </c>
      <c r="U4181" t="s">
        <v>53124</v>
      </c>
      <c r="V4181" t="s">
        <v>63062</v>
      </c>
      <c r="W4181" t="s">
        <v>44612</v>
      </c>
      <c r="X4181" t="s">
        <v>47308</v>
      </c>
    </row>
    <row r="4182" spans="1:24">
      <c r="A4182">
        <f>HYPERLINK("https://www.philgeps.gov.ph/GEPSNONPILOT/Tender/SplashBidNoticeAbstractUI.aspx?menuIndex=3&amp;refID=7196662&amp;Result=3","7196662")</f>
        <v>0</v>
      </c>
      <c r="B4182" t="s">
        <v>1598</v>
      </c>
      <c r="C4182" t="s">
        <v>7809</v>
      </c>
      <c r="D4182" t="s">
        <v>18993</v>
      </c>
      <c r="E4182" t="s">
        <v>22825</v>
      </c>
      <c r="F4182" t="s">
        <v>32606</v>
      </c>
      <c r="G4182" t="s">
        <v>32614</v>
      </c>
      <c r="H4182" t="s">
        <v>14201</v>
      </c>
      <c r="I4182" t="s">
        <v>32640</v>
      </c>
      <c r="J4182" t="s">
        <v>35572</v>
      </c>
      <c r="K4182" t="s">
        <v>42624</v>
      </c>
      <c r="M4182" t="s">
        <v>44613</v>
      </c>
      <c r="N4182" t="s">
        <v>47304</v>
      </c>
      <c r="O4182" t="s">
        <v>47305</v>
      </c>
      <c r="P4182">
        <v>0</v>
      </c>
      <c r="Q4182">
        <v>7</v>
      </c>
      <c r="R4182" t="s">
        <v>47306</v>
      </c>
      <c r="S4182" t="s">
        <v>47414</v>
      </c>
      <c r="T4182" t="s">
        <v>49050</v>
      </c>
      <c r="U4182" t="s">
        <v>53125</v>
      </c>
      <c r="V4182" t="s">
        <v>63063</v>
      </c>
      <c r="W4182" t="s">
        <v>44613</v>
      </c>
      <c r="X4182" t="s">
        <v>47308</v>
      </c>
    </row>
    <row r="4183" spans="1:24">
      <c r="A4183">
        <f>HYPERLINK("https://www.philgeps.gov.ph/GEPSNONPILOT/Tender/SplashBidNoticeAbstractUI.aspx?menuIndex=3&amp;refID=7196661&amp;Result=3","7196661")</f>
        <v>0</v>
      </c>
      <c r="B4183" t="s">
        <v>311</v>
      </c>
      <c r="C4183" t="s">
        <v>4441</v>
      </c>
      <c r="D4183" t="s">
        <v>18993</v>
      </c>
      <c r="E4183" t="s">
        <v>22826</v>
      </c>
      <c r="F4183" t="s">
        <v>32606</v>
      </c>
      <c r="G4183" t="s">
        <v>32619</v>
      </c>
      <c r="H4183" t="s">
        <v>14201</v>
      </c>
      <c r="I4183" t="s">
        <v>32629</v>
      </c>
      <c r="J4183" t="s">
        <v>32833</v>
      </c>
      <c r="K4183" t="s">
        <v>42625</v>
      </c>
      <c r="M4183" t="s">
        <v>43213</v>
      </c>
      <c r="N4183" t="s">
        <v>47304</v>
      </c>
      <c r="O4183" t="s">
        <v>47305</v>
      </c>
      <c r="P4183">
        <v>0</v>
      </c>
      <c r="Q4183">
        <v>0</v>
      </c>
      <c r="R4183" t="s">
        <v>47306</v>
      </c>
      <c r="S4183" t="s">
        <v>47414</v>
      </c>
      <c r="T4183" t="s">
        <v>49083</v>
      </c>
      <c r="U4183" t="s">
        <v>53126</v>
      </c>
      <c r="W4183" t="s">
        <v>43213</v>
      </c>
      <c r="X4183" t="s">
        <v>47308</v>
      </c>
    </row>
    <row r="4184" spans="1:24">
      <c r="A4184">
        <f>HYPERLINK("https://www.philgeps.gov.ph/GEPSNONPILOT/Tender/SplashBidNoticeAbstractUI.aspx?menuIndex=3&amp;refID=7196659&amp;Result=3","7196659")</f>
        <v>0</v>
      </c>
      <c r="B4184" t="s">
        <v>1596</v>
      </c>
      <c r="C4184" t="s">
        <v>7810</v>
      </c>
      <c r="D4184" t="s">
        <v>18997</v>
      </c>
      <c r="E4184" t="s">
        <v>22827</v>
      </c>
      <c r="F4184" t="s">
        <v>32606</v>
      </c>
      <c r="G4184" t="s">
        <v>32614</v>
      </c>
      <c r="H4184" t="s">
        <v>14201</v>
      </c>
      <c r="I4184" t="s">
        <v>6309</v>
      </c>
      <c r="J4184" t="s">
        <v>35573</v>
      </c>
      <c r="K4184" t="s">
        <v>42623</v>
      </c>
      <c r="M4184" t="s">
        <v>44610</v>
      </c>
      <c r="N4184" t="s">
        <v>47304</v>
      </c>
      <c r="O4184" t="s">
        <v>47305</v>
      </c>
      <c r="P4184">
        <v>0</v>
      </c>
      <c r="Q4184">
        <v>0</v>
      </c>
      <c r="R4184" t="s">
        <v>47306</v>
      </c>
      <c r="S4184" t="s">
        <v>47414</v>
      </c>
      <c r="T4184" t="s">
        <v>49004</v>
      </c>
      <c r="U4184" t="s">
        <v>53127</v>
      </c>
      <c r="W4184" t="s">
        <v>44610</v>
      </c>
      <c r="X4184" t="s">
        <v>47308</v>
      </c>
    </row>
    <row r="4185" spans="1:24">
      <c r="A4185">
        <f>HYPERLINK("https://www.philgeps.gov.ph/GEPSNONPILOT/Tender/SplashBidNoticeAbstractUI.aspx?menuIndex=3&amp;refID=7196665&amp;Result=3","7196665")</f>
        <v>0</v>
      </c>
      <c r="B4185" t="s">
        <v>1599</v>
      </c>
      <c r="C4185" t="s">
        <v>7811</v>
      </c>
      <c r="D4185" t="s">
        <v>19014</v>
      </c>
      <c r="E4185" t="s">
        <v>22828</v>
      </c>
      <c r="F4185" t="s">
        <v>32606</v>
      </c>
      <c r="G4185" t="s">
        <v>32614</v>
      </c>
      <c r="H4185" t="s">
        <v>14201</v>
      </c>
      <c r="I4185" t="s">
        <v>32658</v>
      </c>
      <c r="J4185" t="s">
        <v>34650</v>
      </c>
      <c r="K4185" t="s">
        <v>42623</v>
      </c>
      <c r="M4185" t="s">
        <v>44614</v>
      </c>
      <c r="N4185" t="s">
        <v>47304</v>
      </c>
      <c r="O4185" t="s">
        <v>47305</v>
      </c>
      <c r="P4185">
        <v>0</v>
      </c>
      <c r="Q4185">
        <v>1</v>
      </c>
      <c r="R4185" t="s">
        <v>47306</v>
      </c>
      <c r="S4185" t="s">
        <v>47414</v>
      </c>
      <c r="T4185" t="s">
        <v>49014</v>
      </c>
      <c r="U4185" t="s">
        <v>53128</v>
      </c>
      <c r="W4185" t="s">
        <v>44614</v>
      </c>
      <c r="X4185" t="s">
        <v>47308</v>
      </c>
    </row>
    <row r="4186" spans="1:24">
      <c r="A4186">
        <f>HYPERLINK("https://www.philgeps.gov.ph/GEPSNONPILOT/Tender/SplashBidNoticeAbstractUI.aspx?menuIndex=3&amp;refID=7196657&amp;Result=3","7196657")</f>
        <v>0</v>
      </c>
      <c r="B4186" t="s">
        <v>1036</v>
      </c>
      <c r="C4186" t="s">
        <v>7812</v>
      </c>
      <c r="D4186" t="s">
        <v>19039</v>
      </c>
      <c r="E4186" t="s">
        <v>22829</v>
      </c>
      <c r="F4186" t="s">
        <v>32606</v>
      </c>
      <c r="G4186" t="s">
        <v>32614</v>
      </c>
      <c r="H4186" t="s">
        <v>14201</v>
      </c>
      <c r="I4186" t="s">
        <v>32635</v>
      </c>
      <c r="J4186" t="s">
        <v>33103</v>
      </c>
      <c r="K4186" t="s">
        <v>42631</v>
      </c>
      <c r="M4186" t="s">
        <v>44615</v>
      </c>
      <c r="N4186" t="s">
        <v>47304</v>
      </c>
      <c r="O4186" t="s">
        <v>47305</v>
      </c>
      <c r="P4186">
        <v>0</v>
      </c>
      <c r="Q4186">
        <v>1</v>
      </c>
      <c r="R4186" t="s">
        <v>47306</v>
      </c>
      <c r="S4186" t="s">
        <v>47414</v>
      </c>
      <c r="T4186" t="s">
        <v>49011</v>
      </c>
      <c r="U4186" t="s">
        <v>53129</v>
      </c>
      <c r="W4186" t="s">
        <v>44615</v>
      </c>
      <c r="X4186" t="s">
        <v>47308</v>
      </c>
    </row>
    <row r="4187" spans="1:24">
      <c r="A4187">
        <f>HYPERLINK("https://www.philgeps.gov.ph/GEPSNONPILOT/Tender/SplashBidNoticeAbstractUI.aspx?menuIndex=3&amp;refID=7196618&amp;Result=3","7196618")</f>
        <v>0</v>
      </c>
      <c r="B4187" t="s">
        <v>1600</v>
      </c>
      <c r="C4187" t="s">
        <v>7813</v>
      </c>
      <c r="D4187" t="s">
        <v>19059</v>
      </c>
      <c r="E4187" t="s">
        <v>22830</v>
      </c>
      <c r="F4187" t="s">
        <v>32606</v>
      </c>
      <c r="G4187" t="s">
        <v>32614</v>
      </c>
      <c r="H4187" t="s">
        <v>14201</v>
      </c>
      <c r="I4187" t="s">
        <v>6298</v>
      </c>
      <c r="J4187" t="s">
        <v>35574</v>
      </c>
      <c r="K4187" t="s">
        <v>42636</v>
      </c>
      <c r="M4187" t="s">
        <v>44616</v>
      </c>
      <c r="N4187" t="s">
        <v>47304</v>
      </c>
      <c r="O4187" t="s">
        <v>47305</v>
      </c>
      <c r="P4187">
        <v>0</v>
      </c>
      <c r="Q4187">
        <v>0</v>
      </c>
      <c r="R4187" t="s">
        <v>47306</v>
      </c>
      <c r="S4187" t="s">
        <v>47414</v>
      </c>
      <c r="T4187" t="s">
        <v>49123</v>
      </c>
      <c r="U4187" t="s">
        <v>53130</v>
      </c>
      <c r="W4187" t="s">
        <v>44616</v>
      </c>
      <c r="X4187" t="s">
        <v>47308</v>
      </c>
    </row>
    <row r="4188" spans="1:24">
      <c r="A4188">
        <f>HYPERLINK("https://www.philgeps.gov.ph/GEPSNONPILOT/Tender/SplashBidNoticeAbstractUI.aspx?menuIndex=3&amp;refID=7196655&amp;Result=3","7196655")</f>
        <v>0</v>
      </c>
      <c r="B4188" t="s">
        <v>1601</v>
      </c>
      <c r="C4188" t="s">
        <v>7814</v>
      </c>
      <c r="D4188" t="s">
        <v>19039</v>
      </c>
      <c r="E4188" t="s">
        <v>22831</v>
      </c>
      <c r="F4188" t="s">
        <v>32606</v>
      </c>
      <c r="G4188" t="s">
        <v>32619</v>
      </c>
      <c r="H4188" t="s">
        <v>14201</v>
      </c>
      <c r="I4188" t="s">
        <v>32663</v>
      </c>
      <c r="J4188" t="s">
        <v>35575</v>
      </c>
      <c r="K4188" t="s">
        <v>42636</v>
      </c>
      <c r="M4188" t="s">
        <v>44617</v>
      </c>
      <c r="N4188" t="s">
        <v>47304</v>
      </c>
      <c r="O4188" t="s">
        <v>47305</v>
      </c>
      <c r="P4188">
        <v>0</v>
      </c>
      <c r="Q4188">
        <v>0</v>
      </c>
      <c r="R4188" t="s">
        <v>47306</v>
      </c>
      <c r="S4188" t="s">
        <v>47414</v>
      </c>
      <c r="T4188" t="s">
        <v>48998</v>
      </c>
      <c r="U4188" t="s">
        <v>53131</v>
      </c>
      <c r="W4188" t="s">
        <v>44617</v>
      </c>
      <c r="X4188" t="s">
        <v>47308</v>
      </c>
    </row>
    <row r="4189" spans="1:24">
      <c r="A4189">
        <f>HYPERLINK("https://www.philgeps.gov.ph/GEPSNONPILOT/Tender/SplashBidNoticeAbstractUI.aspx?menuIndex=3&amp;refID=7196666&amp;Result=3","7196666")</f>
        <v>0</v>
      </c>
      <c r="B4189" t="s">
        <v>258</v>
      </c>
      <c r="C4189" t="s">
        <v>7815</v>
      </c>
      <c r="D4189" t="s">
        <v>19038</v>
      </c>
      <c r="E4189" t="s">
        <v>22832</v>
      </c>
      <c r="F4189" t="s">
        <v>32606</v>
      </c>
      <c r="G4189" t="s">
        <v>32614</v>
      </c>
      <c r="H4189" t="s">
        <v>14201</v>
      </c>
      <c r="I4189" t="s">
        <v>32680</v>
      </c>
      <c r="J4189" t="s">
        <v>35576</v>
      </c>
      <c r="K4189" t="s">
        <v>42623</v>
      </c>
      <c r="M4189" t="s">
        <v>44611</v>
      </c>
      <c r="N4189" t="s">
        <v>47304</v>
      </c>
      <c r="O4189" t="s">
        <v>47305</v>
      </c>
      <c r="P4189">
        <v>0</v>
      </c>
      <c r="Q4189">
        <v>1</v>
      </c>
      <c r="R4189" t="s">
        <v>47306</v>
      </c>
      <c r="S4189" t="s">
        <v>47414</v>
      </c>
      <c r="T4189" t="s">
        <v>49041</v>
      </c>
      <c r="U4189" t="s">
        <v>53132</v>
      </c>
      <c r="W4189" t="s">
        <v>44611</v>
      </c>
      <c r="X4189" t="s">
        <v>47308</v>
      </c>
    </row>
    <row r="4190" spans="1:24">
      <c r="A4190">
        <f>HYPERLINK("https://www.philgeps.gov.ph/GEPSNONPILOT/Tender/SplashBidNoticeAbstractUI.aspx?menuIndex=3&amp;refID=7196651&amp;Result=3","7196651")</f>
        <v>0</v>
      </c>
      <c r="B4190" t="s">
        <v>1579</v>
      </c>
      <c r="C4190" t="s">
        <v>7816</v>
      </c>
      <c r="D4190" t="s">
        <v>19000</v>
      </c>
      <c r="E4190" t="s">
        <v>22833</v>
      </c>
      <c r="F4190" t="s">
        <v>32606</v>
      </c>
      <c r="G4190" t="s">
        <v>32613</v>
      </c>
      <c r="H4190" t="s">
        <v>14201</v>
      </c>
      <c r="I4190" t="s">
        <v>32632</v>
      </c>
      <c r="J4190" t="s">
        <v>32778</v>
      </c>
      <c r="K4190" t="s">
        <v>42623</v>
      </c>
      <c r="M4190" t="s">
        <v>44591</v>
      </c>
      <c r="N4190" t="s">
        <v>47304</v>
      </c>
      <c r="O4190" t="s">
        <v>47305</v>
      </c>
      <c r="P4190">
        <v>0</v>
      </c>
      <c r="Q4190">
        <v>0</v>
      </c>
      <c r="R4190" t="s">
        <v>47306</v>
      </c>
      <c r="S4190" t="s">
        <v>47414</v>
      </c>
      <c r="T4190" t="s">
        <v>48990</v>
      </c>
      <c r="U4190" t="s">
        <v>53133</v>
      </c>
      <c r="W4190" t="s">
        <v>44591</v>
      </c>
      <c r="X4190" t="s">
        <v>47308</v>
      </c>
    </row>
    <row r="4191" spans="1:24">
      <c r="A4191">
        <f>HYPERLINK("https://www.philgeps.gov.ph/GEPSNONPILOT/Tender/SplashBidNoticeAbstractUI.aspx?menuIndex=3&amp;refID=7196660&amp;Result=3","7196660")</f>
        <v>0</v>
      </c>
      <c r="B4191" t="s">
        <v>1602</v>
      </c>
      <c r="C4191" t="s">
        <v>7817</v>
      </c>
      <c r="D4191" t="s">
        <v>19011</v>
      </c>
      <c r="E4191" t="s">
        <v>22834</v>
      </c>
      <c r="F4191" t="s">
        <v>32606</v>
      </c>
      <c r="G4191" t="s">
        <v>32614</v>
      </c>
      <c r="H4191" t="s">
        <v>14201</v>
      </c>
      <c r="I4191" t="s">
        <v>7064</v>
      </c>
      <c r="J4191" t="s">
        <v>32789</v>
      </c>
      <c r="K4191" t="s">
        <v>42631</v>
      </c>
      <c r="M4191" t="s">
        <v>44618</v>
      </c>
      <c r="N4191" t="s">
        <v>47304</v>
      </c>
      <c r="O4191" t="s">
        <v>47305</v>
      </c>
      <c r="P4191">
        <v>0</v>
      </c>
      <c r="Q4191">
        <v>0</v>
      </c>
      <c r="R4191" t="s">
        <v>47306</v>
      </c>
      <c r="S4191" t="s">
        <v>47414</v>
      </c>
      <c r="T4191" t="s">
        <v>49279</v>
      </c>
      <c r="U4191" t="s">
        <v>53134</v>
      </c>
      <c r="V4191" t="s">
        <v>63064</v>
      </c>
      <c r="W4191" t="s">
        <v>44618</v>
      </c>
      <c r="X4191" t="s">
        <v>47308</v>
      </c>
    </row>
    <row r="4192" spans="1:24">
      <c r="A4192">
        <f>HYPERLINK("https://www.philgeps.gov.ph/GEPSNONPILOT/Tender/SplashBidNoticeAbstractUI.aspx?menuIndex=3&amp;refID=7196672&amp;Result=3","7196672")</f>
        <v>0</v>
      </c>
      <c r="B4192" t="s">
        <v>288</v>
      </c>
      <c r="C4192" t="s">
        <v>7818</v>
      </c>
      <c r="D4192" t="s">
        <v>19034</v>
      </c>
      <c r="E4192" t="s">
        <v>22835</v>
      </c>
      <c r="F4192" t="s">
        <v>32606</v>
      </c>
      <c r="G4192" t="s">
        <v>32613</v>
      </c>
      <c r="H4192" t="s">
        <v>14201</v>
      </c>
      <c r="I4192" t="s">
        <v>6931</v>
      </c>
      <c r="J4192" t="s">
        <v>35577</v>
      </c>
      <c r="K4192" t="s">
        <v>42623</v>
      </c>
      <c r="M4192" t="s">
        <v>43189</v>
      </c>
      <c r="N4192" t="s">
        <v>47304</v>
      </c>
      <c r="O4192" t="s">
        <v>47305</v>
      </c>
      <c r="P4192">
        <v>0</v>
      </c>
      <c r="Q4192">
        <v>1</v>
      </c>
      <c r="R4192" t="s">
        <v>47306</v>
      </c>
      <c r="S4192" t="s">
        <v>47414</v>
      </c>
      <c r="T4192" t="s">
        <v>48973</v>
      </c>
      <c r="U4192" t="s">
        <v>53135</v>
      </c>
      <c r="W4192" t="s">
        <v>64427</v>
      </c>
      <c r="X4192" t="s">
        <v>47308</v>
      </c>
    </row>
    <row r="4193" spans="1:24">
      <c r="A4193">
        <f>HYPERLINK("https://www.philgeps.gov.ph/GEPSNONPILOT/Tender/SplashBidNoticeAbstractUI.aspx?menuIndex=3&amp;refID=7196553&amp;Result=3","7196553")</f>
        <v>0</v>
      </c>
      <c r="B4193" t="s">
        <v>305</v>
      </c>
      <c r="C4193" t="s">
        <v>7819</v>
      </c>
      <c r="E4193" t="s">
        <v>22836</v>
      </c>
      <c r="F4193" t="s">
        <v>32606</v>
      </c>
      <c r="G4193" t="s">
        <v>32614</v>
      </c>
      <c r="H4193" t="s">
        <v>14201</v>
      </c>
      <c r="I4193" t="s">
        <v>32633</v>
      </c>
      <c r="J4193" t="s">
        <v>33227</v>
      </c>
      <c r="K4193" t="s">
        <v>42624</v>
      </c>
      <c r="M4193" t="s">
        <v>43207</v>
      </c>
      <c r="N4193" t="s">
        <v>47304</v>
      </c>
      <c r="O4193" t="s">
        <v>47305</v>
      </c>
      <c r="P4193">
        <v>0</v>
      </c>
      <c r="Q4193">
        <v>2</v>
      </c>
      <c r="R4193" t="s">
        <v>47306</v>
      </c>
      <c r="S4193" t="s">
        <v>47414</v>
      </c>
      <c r="T4193" t="s">
        <v>48980</v>
      </c>
      <c r="U4193" t="s">
        <v>53136</v>
      </c>
      <c r="W4193" t="s">
        <v>43207</v>
      </c>
      <c r="X4193" t="s">
        <v>47308</v>
      </c>
    </row>
    <row r="4194" spans="1:24">
      <c r="A4194">
        <f>HYPERLINK("https://www.philgeps.gov.ph/GEPSNONPILOT/Tender/SplashBidNoticeAbstractUI.aspx?menuIndex=3&amp;refID=7196694&amp;Result=3","7196694")</f>
        <v>0</v>
      </c>
      <c r="B4194" t="s">
        <v>1603</v>
      </c>
      <c r="C4194" t="s">
        <v>7820</v>
      </c>
      <c r="D4194" t="s">
        <v>18999</v>
      </c>
      <c r="E4194" t="s">
        <v>22837</v>
      </c>
      <c r="F4194" t="s">
        <v>32606</v>
      </c>
      <c r="G4194" t="s">
        <v>32614</v>
      </c>
      <c r="H4194" t="s">
        <v>32624</v>
      </c>
      <c r="I4194" t="s">
        <v>4369</v>
      </c>
      <c r="J4194" t="s">
        <v>35578</v>
      </c>
      <c r="K4194" t="s">
        <v>42623</v>
      </c>
      <c r="M4194" t="s">
        <v>44619</v>
      </c>
      <c r="N4194" t="s">
        <v>47304</v>
      </c>
      <c r="O4194" t="s">
        <v>47305</v>
      </c>
      <c r="P4194">
        <v>0</v>
      </c>
      <c r="Q4194">
        <v>0</v>
      </c>
      <c r="R4194" t="s">
        <v>47306</v>
      </c>
      <c r="S4194" t="s">
        <v>47414</v>
      </c>
      <c r="T4194" t="s">
        <v>48979</v>
      </c>
      <c r="U4194" t="s">
        <v>53137</v>
      </c>
      <c r="W4194" t="s">
        <v>44619</v>
      </c>
      <c r="X4194" t="s">
        <v>47308</v>
      </c>
    </row>
    <row r="4195" spans="1:24">
      <c r="A4195">
        <f>HYPERLINK("https://www.philgeps.gov.ph/GEPSNONPILOT/Tender/SplashBidNoticeAbstractUI.aspx?menuIndex=3&amp;refID=7196658&amp;Result=3","7196658")</f>
        <v>0</v>
      </c>
      <c r="B4195" t="s">
        <v>1604</v>
      </c>
      <c r="C4195" t="s">
        <v>7821</v>
      </c>
      <c r="D4195" t="s">
        <v>19024</v>
      </c>
      <c r="E4195" t="s">
        <v>22838</v>
      </c>
      <c r="F4195" t="s">
        <v>32606</v>
      </c>
      <c r="G4195" t="s">
        <v>32615</v>
      </c>
      <c r="H4195" t="s">
        <v>14201</v>
      </c>
      <c r="I4195" t="s">
        <v>7064</v>
      </c>
      <c r="J4195" t="s">
        <v>32770</v>
      </c>
      <c r="K4195" t="s">
        <v>42624</v>
      </c>
      <c r="M4195" t="s">
        <v>44620</v>
      </c>
      <c r="N4195" t="s">
        <v>47304</v>
      </c>
      <c r="O4195" t="s">
        <v>47305</v>
      </c>
      <c r="P4195">
        <v>0</v>
      </c>
      <c r="Q4195">
        <v>0</v>
      </c>
      <c r="R4195" t="s">
        <v>47306</v>
      </c>
      <c r="S4195" t="s">
        <v>47414</v>
      </c>
      <c r="T4195" t="s">
        <v>49023</v>
      </c>
      <c r="U4195" t="s">
        <v>53138</v>
      </c>
      <c r="W4195" t="s">
        <v>44620</v>
      </c>
      <c r="X4195" t="s">
        <v>47308</v>
      </c>
    </row>
    <row r="4196" spans="1:24">
      <c r="A4196">
        <f>HYPERLINK("https://www.philgeps.gov.ph/GEPSNONPILOT/Tender/SplashBidNoticeAbstractUI.aspx?menuIndex=3&amp;refID=7196693&amp;Result=3","7196693")</f>
        <v>0</v>
      </c>
      <c r="B4196" t="s">
        <v>1360</v>
      </c>
      <c r="C4196" t="s">
        <v>7822</v>
      </c>
      <c r="D4196" t="s">
        <v>19042</v>
      </c>
      <c r="E4196" t="s">
        <v>22839</v>
      </c>
      <c r="F4196" t="s">
        <v>32606</v>
      </c>
      <c r="G4196" t="s">
        <v>32614</v>
      </c>
      <c r="H4196" t="s">
        <v>14201</v>
      </c>
      <c r="I4196" t="s">
        <v>32638</v>
      </c>
      <c r="J4196" t="s">
        <v>35579</v>
      </c>
      <c r="K4196" t="s">
        <v>42623</v>
      </c>
      <c r="M4196" t="s">
        <v>44336</v>
      </c>
      <c r="N4196" t="s">
        <v>47304</v>
      </c>
      <c r="O4196" t="s">
        <v>47305</v>
      </c>
      <c r="P4196">
        <v>0</v>
      </c>
      <c r="Q4196">
        <v>4</v>
      </c>
      <c r="R4196" t="s">
        <v>47306</v>
      </c>
      <c r="S4196" t="s">
        <v>47414</v>
      </c>
      <c r="T4196" t="s">
        <v>49011</v>
      </c>
      <c r="U4196" t="s">
        <v>53088</v>
      </c>
      <c r="W4196" t="s">
        <v>44336</v>
      </c>
      <c r="X4196" t="s">
        <v>47308</v>
      </c>
    </row>
    <row r="4197" spans="1:24">
      <c r="A4197">
        <f>HYPERLINK("https://www.philgeps.gov.ph/GEPSNONPILOT/Tender/SplashBidNoticeAbstractUI.aspx?menuIndex=3&amp;refID=7196652&amp;Result=3","7196652")</f>
        <v>0</v>
      </c>
      <c r="B4197" t="s">
        <v>692</v>
      </c>
      <c r="C4197" t="s">
        <v>7823</v>
      </c>
      <c r="D4197" t="s">
        <v>18992</v>
      </c>
      <c r="E4197" t="s">
        <v>20332</v>
      </c>
      <c r="F4197" t="s">
        <v>32606</v>
      </c>
      <c r="G4197" t="s">
        <v>32614</v>
      </c>
      <c r="H4197" t="s">
        <v>14201</v>
      </c>
      <c r="I4197" t="s">
        <v>6014</v>
      </c>
      <c r="J4197" t="s">
        <v>35580</v>
      </c>
      <c r="K4197" t="s">
        <v>42629</v>
      </c>
      <c r="M4197" t="s">
        <v>43613</v>
      </c>
      <c r="N4197" t="s">
        <v>47304</v>
      </c>
      <c r="O4197" t="s">
        <v>47305</v>
      </c>
      <c r="P4197">
        <v>0</v>
      </c>
      <c r="Q4197">
        <v>0</v>
      </c>
      <c r="R4197" t="s">
        <v>47306</v>
      </c>
      <c r="S4197" t="s">
        <v>47414</v>
      </c>
      <c r="T4197" t="s">
        <v>48980</v>
      </c>
      <c r="U4197" t="s">
        <v>53139</v>
      </c>
      <c r="W4197" t="s">
        <v>43613</v>
      </c>
      <c r="X4197" t="s">
        <v>47308</v>
      </c>
    </row>
    <row r="4198" spans="1:24">
      <c r="A4198">
        <f>HYPERLINK("https://www.philgeps.gov.ph/GEPSNONPILOT/Tender/SplashBidNoticeAbstractUI.aspx?menuIndex=3&amp;refID=7196690&amp;Result=3","7196690")</f>
        <v>0</v>
      </c>
      <c r="B4198" t="s">
        <v>81</v>
      </c>
      <c r="C4198" t="s">
        <v>7824</v>
      </c>
      <c r="D4198" t="s">
        <v>18995</v>
      </c>
      <c r="E4198" t="s">
        <v>22840</v>
      </c>
      <c r="F4198" t="s">
        <v>32606</v>
      </c>
      <c r="G4198" t="s">
        <v>32614</v>
      </c>
      <c r="H4198" t="s">
        <v>14201</v>
      </c>
      <c r="I4198" t="s">
        <v>32652</v>
      </c>
      <c r="J4198" t="s">
        <v>35581</v>
      </c>
      <c r="K4198" t="s">
        <v>42624</v>
      </c>
      <c r="M4198" t="s">
        <v>42978</v>
      </c>
      <c r="N4198" t="s">
        <v>47304</v>
      </c>
      <c r="O4198" t="s">
        <v>47305</v>
      </c>
      <c r="P4198">
        <v>0</v>
      </c>
      <c r="Q4198">
        <v>0</v>
      </c>
      <c r="R4198" t="s">
        <v>47306</v>
      </c>
      <c r="S4198" t="s">
        <v>47414</v>
      </c>
      <c r="T4198" t="s">
        <v>49014</v>
      </c>
      <c r="U4198" t="s">
        <v>53140</v>
      </c>
      <c r="W4198" t="s">
        <v>42978</v>
      </c>
      <c r="X4198" t="s">
        <v>47308</v>
      </c>
    </row>
    <row r="4199" spans="1:24">
      <c r="A4199">
        <f>HYPERLINK("https://www.philgeps.gov.ph/GEPSNONPILOT/Tender/SplashBidNoticeAbstractUI.aspx?menuIndex=3&amp;refID=7196687&amp;Result=3","7196687")</f>
        <v>0</v>
      </c>
      <c r="B4199" t="s">
        <v>1605</v>
      </c>
      <c r="C4199" t="s">
        <v>7825</v>
      </c>
      <c r="D4199" t="s">
        <v>19034</v>
      </c>
      <c r="E4199" t="s">
        <v>22841</v>
      </c>
      <c r="F4199" t="s">
        <v>32606</v>
      </c>
      <c r="G4199" t="s">
        <v>32619</v>
      </c>
      <c r="H4199" t="s">
        <v>14201</v>
      </c>
      <c r="I4199" t="s">
        <v>6993</v>
      </c>
      <c r="J4199" t="s">
        <v>35582</v>
      </c>
      <c r="K4199" t="s">
        <v>42631</v>
      </c>
      <c r="M4199" t="s">
        <v>44621</v>
      </c>
      <c r="N4199" t="s">
        <v>47304</v>
      </c>
      <c r="O4199" t="s">
        <v>47305</v>
      </c>
      <c r="P4199">
        <v>0</v>
      </c>
      <c r="Q4199">
        <v>0</v>
      </c>
      <c r="R4199" t="s">
        <v>47306</v>
      </c>
      <c r="S4199" t="s">
        <v>47414</v>
      </c>
      <c r="T4199" t="s">
        <v>48986</v>
      </c>
      <c r="U4199" t="s">
        <v>53141</v>
      </c>
      <c r="W4199" t="s">
        <v>44621</v>
      </c>
      <c r="X4199" t="s">
        <v>47308</v>
      </c>
    </row>
    <row r="4200" spans="1:24">
      <c r="A4200">
        <f>HYPERLINK("https://www.philgeps.gov.ph/GEPSNONPILOT/Tender/SplashBidNoticeAbstractUI.aspx?menuIndex=3&amp;refID=7196686&amp;Result=3","7196686")</f>
        <v>0</v>
      </c>
      <c r="B4200" t="s">
        <v>1606</v>
      </c>
      <c r="C4200" t="s">
        <v>7826</v>
      </c>
      <c r="D4200" t="s">
        <v>19044</v>
      </c>
      <c r="E4200" t="s">
        <v>22842</v>
      </c>
      <c r="F4200" t="s">
        <v>32606</v>
      </c>
      <c r="G4200" t="s">
        <v>32613</v>
      </c>
      <c r="H4200" t="s">
        <v>14201</v>
      </c>
      <c r="I4200" t="s">
        <v>6931</v>
      </c>
      <c r="J4200" t="s">
        <v>33380</v>
      </c>
      <c r="K4200" t="s">
        <v>42623</v>
      </c>
      <c r="M4200" t="s">
        <v>44622</v>
      </c>
      <c r="N4200" t="s">
        <v>47304</v>
      </c>
      <c r="O4200" t="s">
        <v>47305</v>
      </c>
      <c r="P4200">
        <v>0</v>
      </c>
      <c r="Q4200">
        <v>0</v>
      </c>
      <c r="R4200" t="s">
        <v>47306</v>
      </c>
      <c r="S4200" t="s">
        <v>47414</v>
      </c>
      <c r="T4200" t="s">
        <v>49008</v>
      </c>
      <c r="U4200" t="s">
        <v>53142</v>
      </c>
      <c r="V4200" t="s">
        <v>63065</v>
      </c>
      <c r="W4200" t="s">
        <v>64476</v>
      </c>
      <c r="X4200" t="s">
        <v>47308</v>
      </c>
    </row>
    <row r="4201" spans="1:24">
      <c r="A4201">
        <f>HYPERLINK("https://www.philgeps.gov.ph/GEPSNONPILOT/Tender/SplashBidNoticeAbstractUI.aspx?menuIndex=3&amp;refID=7196688&amp;Result=3","7196688")</f>
        <v>0</v>
      </c>
      <c r="B4201" t="s">
        <v>865</v>
      </c>
      <c r="C4201" t="s">
        <v>7827</v>
      </c>
      <c r="E4201" t="s">
        <v>22843</v>
      </c>
      <c r="F4201" t="s">
        <v>32606</v>
      </c>
      <c r="G4201" t="s">
        <v>32614</v>
      </c>
      <c r="H4201" t="s">
        <v>14201</v>
      </c>
      <c r="I4201" t="s">
        <v>32638</v>
      </c>
      <c r="J4201" t="s">
        <v>35583</v>
      </c>
      <c r="K4201" t="s">
        <v>42624</v>
      </c>
      <c r="M4201" t="s">
        <v>43799</v>
      </c>
      <c r="N4201" t="s">
        <v>47304</v>
      </c>
      <c r="O4201" t="s">
        <v>47305</v>
      </c>
      <c r="P4201">
        <v>0</v>
      </c>
      <c r="Q4201">
        <v>3</v>
      </c>
      <c r="R4201" t="s">
        <v>47306</v>
      </c>
      <c r="S4201" t="s">
        <v>47414</v>
      </c>
      <c r="T4201" t="s">
        <v>48980</v>
      </c>
      <c r="U4201" t="s">
        <v>53143</v>
      </c>
      <c r="W4201" t="s">
        <v>43799</v>
      </c>
      <c r="X4201" t="s">
        <v>47308</v>
      </c>
    </row>
    <row r="4202" spans="1:24">
      <c r="A4202">
        <f>HYPERLINK("https://www.philgeps.gov.ph/GEPSNONPILOT/Tender/SplashBidNoticeAbstractUI.aspx?menuIndex=3&amp;refID=7196684&amp;Result=3","7196684")</f>
        <v>0</v>
      </c>
      <c r="B4202" t="s">
        <v>775</v>
      </c>
      <c r="C4202" t="s">
        <v>7828</v>
      </c>
      <c r="D4202" t="s">
        <v>19024</v>
      </c>
      <c r="E4202" t="s">
        <v>22844</v>
      </c>
      <c r="F4202" t="s">
        <v>32606</v>
      </c>
      <c r="G4202" t="s">
        <v>32614</v>
      </c>
      <c r="H4202" t="s">
        <v>32624</v>
      </c>
      <c r="I4202" t="s">
        <v>6007</v>
      </c>
      <c r="J4202" t="s">
        <v>33897</v>
      </c>
      <c r="K4202" t="s">
        <v>42630</v>
      </c>
      <c r="M4202" t="s">
        <v>44450</v>
      </c>
      <c r="N4202" t="s">
        <v>47304</v>
      </c>
      <c r="O4202" t="s">
        <v>47305</v>
      </c>
      <c r="P4202">
        <v>0</v>
      </c>
      <c r="Q4202">
        <v>0</v>
      </c>
      <c r="R4202" t="s">
        <v>47306</v>
      </c>
      <c r="S4202" t="s">
        <v>47414</v>
      </c>
      <c r="T4202" t="s">
        <v>49278</v>
      </c>
      <c r="U4202" t="s">
        <v>53144</v>
      </c>
      <c r="V4202" t="s">
        <v>63020</v>
      </c>
      <c r="W4202" t="s">
        <v>44450</v>
      </c>
      <c r="X4202" t="s">
        <v>47308</v>
      </c>
    </row>
    <row r="4203" spans="1:24">
      <c r="A4203">
        <f>HYPERLINK("https://www.philgeps.gov.ph/GEPSNONPILOT/Tender/SplashBidNoticeAbstractUI.aspx?menuIndex=3&amp;refID=7196683&amp;Result=3","7196683")</f>
        <v>0</v>
      </c>
      <c r="B4203" t="s">
        <v>1577</v>
      </c>
      <c r="C4203" t="s">
        <v>7829</v>
      </c>
      <c r="D4203" t="s">
        <v>19005</v>
      </c>
      <c r="E4203" t="s">
        <v>22845</v>
      </c>
      <c r="F4203" t="s">
        <v>32606</v>
      </c>
      <c r="G4203" t="s">
        <v>32614</v>
      </c>
      <c r="H4203" t="s">
        <v>14201</v>
      </c>
      <c r="I4203" t="s">
        <v>8606</v>
      </c>
      <c r="J4203" t="s">
        <v>35584</v>
      </c>
      <c r="K4203" t="s">
        <v>42630</v>
      </c>
      <c r="M4203" t="s">
        <v>44589</v>
      </c>
      <c r="N4203" t="s">
        <v>47304</v>
      </c>
      <c r="O4203" t="s">
        <v>47305</v>
      </c>
      <c r="P4203">
        <v>0</v>
      </c>
      <c r="Q4203">
        <v>0</v>
      </c>
      <c r="R4203" t="s">
        <v>47306</v>
      </c>
      <c r="S4203" t="s">
        <v>47414</v>
      </c>
      <c r="T4203" t="s">
        <v>49004</v>
      </c>
      <c r="U4203" t="s">
        <v>53145</v>
      </c>
      <c r="V4203" t="s">
        <v>63056</v>
      </c>
      <c r="W4203" t="s">
        <v>44589</v>
      </c>
      <c r="X4203" t="s">
        <v>47308</v>
      </c>
    </row>
    <row r="4204" spans="1:24">
      <c r="A4204">
        <f>HYPERLINK("https://www.philgeps.gov.ph/GEPSNONPILOT/Tender/SplashBidNoticeAbstractUI.aspx?menuIndex=3&amp;refID=7196682&amp;Result=3","7196682")</f>
        <v>0</v>
      </c>
      <c r="B4204" t="s">
        <v>1607</v>
      </c>
      <c r="C4204" t="s">
        <v>7830</v>
      </c>
      <c r="D4204" t="s">
        <v>19024</v>
      </c>
      <c r="E4204" t="s">
        <v>19622</v>
      </c>
      <c r="F4204" t="s">
        <v>32606</v>
      </c>
      <c r="G4204" t="s">
        <v>32613</v>
      </c>
      <c r="H4204" t="s">
        <v>32623</v>
      </c>
      <c r="I4204" t="s">
        <v>17648</v>
      </c>
      <c r="J4204" t="s">
        <v>32789</v>
      </c>
      <c r="K4204" t="s">
        <v>42636</v>
      </c>
      <c r="M4204" t="s">
        <v>44623</v>
      </c>
      <c r="N4204" t="s">
        <v>47304</v>
      </c>
      <c r="O4204" t="s">
        <v>47305</v>
      </c>
      <c r="P4204">
        <v>0</v>
      </c>
      <c r="Q4204">
        <v>0</v>
      </c>
      <c r="R4204" t="s">
        <v>47306</v>
      </c>
      <c r="S4204" t="s">
        <v>47414</v>
      </c>
      <c r="T4204" t="s">
        <v>49235</v>
      </c>
      <c r="U4204" t="s">
        <v>53146</v>
      </c>
      <c r="W4204" t="s">
        <v>44623</v>
      </c>
      <c r="X4204" t="s">
        <v>47308</v>
      </c>
    </row>
    <row r="4205" spans="1:24">
      <c r="A4205">
        <f>HYPERLINK("https://www.philgeps.gov.ph/GEPSNONPILOT/Tender/SplashBidNoticeAbstractUI.aspx?menuIndex=3&amp;refID=7196679&amp;Result=3","7196679")</f>
        <v>0</v>
      </c>
      <c r="B4205" t="s">
        <v>1568</v>
      </c>
      <c r="C4205" t="s">
        <v>7831</v>
      </c>
      <c r="D4205" t="s">
        <v>18994</v>
      </c>
      <c r="E4205" t="s">
        <v>22846</v>
      </c>
      <c r="F4205" t="s">
        <v>32606</v>
      </c>
      <c r="G4205" t="s">
        <v>32613</v>
      </c>
      <c r="H4205" t="s">
        <v>14201</v>
      </c>
      <c r="I4205" t="s">
        <v>32633</v>
      </c>
      <c r="J4205" t="s">
        <v>35585</v>
      </c>
      <c r="K4205" t="s">
        <v>42627</v>
      </c>
      <c r="M4205" t="s">
        <v>44577</v>
      </c>
      <c r="N4205" t="s">
        <v>47304</v>
      </c>
      <c r="O4205" t="s">
        <v>47305</v>
      </c>
      <c r="P4205">
        <v>0</v>
      </c>
      <c r="Q4205">
        <v>11</v>
      </c>
      <c r="R4205" t="s">
        <v>47306</v>
      </c>
      <c r="S4205" t="s">
        <v>47414</v>
      </c>
      <c r="T4205" t="s">
        <v>48995</v>
      </c>
      <c r="U4205" t="s">
        <v>53147</v>
      </c>
      <c r="V4205" t="s">
        <v>62763</v>
      </c>
      <c r="W4205" t="s">
        <v>44577</v>
      </c>
      <c r="X4205" t="s">
        <v>47308</v>
      </c>
    </row>
    <row r="4206" spans="1:24">
      <c r="A4206">
        <f>HYPERLINK("https://www.philgeps.gov.ph/GEPSNONPILOT/Tender/SplashBidNoticeAbstractUI.aspx?menuIndex=3&amp;refID=7196677&amp;Result=3","7196677")</f>
        <v>0</v>
      </c>
      <c r="B4206" t="s">
        <v>868</v>
      </c>
      <c r="C4206" t="s">
        <v>7832</v>
      </c>
      <c r="D4206" t="s">
        <v>18989</v>
      </c>
      <c r="E4206" t="s">
        <v>22847</v>
      </c>
      <c r="F4206" t="s">
        <v>32606</v>
      </c>
      <c r="G4206" t="s">
        <v>32619</v>
      </c>
      <c r="H4206" t="s">
        <v>14201</v>
      </c>
      <c r="I4206" t="s">
        <v>4114</v>
      </c>
      <c r="J4206" t="s">
        <v>35586</v>
      </c>
      <c r="K4206" t="s">
        <v>42631</v>
      </c>
      <c r="M4206" t="s">
        <v>43802</v>
      </c>
      <c r="N4206" t="s">
        <v>47304</v>
      </c>
      <c r="O4206" t="s">
        <v>47305</v>
      </c>
      <c r="P4206">
        <v>0</v>
      </c>
      <c r="Q4206">
        <v>2</v>
      </c>
      <c r="R4206" t="s">
        <v>47306</v>
      </c>
      <c r="S4206" t="s">
        <v>47414</v>
      </c>
      <c r="T4206" t="s">
        <v>48997</v>
      </c>
      <c r="U4206" t="s">
        <v>53148</v>
      </c>
      <c r="W4206" t="s">
        <v>43802</v>
      </c>
      <c r="X4206" t="s">
        <v>47308</v>
      </c>
    </row>
    <row r="4207" spans="1:24">
      <c r="A4207">
        <f>HYPERLINK("https://www.philgeps.gov.ph/GEPSNONPILOT/Tender/SplashBidNoticeAbstractUI.aspx?menuIndex=3&amp;refID=7196692&amp;Result=3","7196692")</f>
        <v>0</v>
      </c>
      <c r="B4207" t="s">
        <v>384</v>
      </c>
      <c r="C4207" t="s">
        <v>7833</v>
      </c>
      <c r="D4207" t="s">
        <v>18995</v>
      </c>
      <c r="E4207" t="s">
        <v>22091</v>
      </c>
      <c r="F4207" t="s">
        <v>32606</v>
      </c>
      <c r="G4207" t="s">
        <v>32613</v>
      </c>
      <c r="H4207" t="s">
        <v>14201</v>
      </c>
      <c r="I4207" t="s">
        <v>7677</v>
      </c>
      <c r="J4207" t="s">
        <v>35587</v>
      </c>
      <c r="K4207" t="s">
        <v>42631</v>
      </c>
      <c r="M4207" t="s">
        <v>43287</v>
      </c>
      <c r="N4207" t="s">
        <v>47304</v>
      </c>
      <c r="O4207" t="s">
        <v>47305</v>
      </c>
      <c r="P4207">
        <v>0</v>
      </c>
      <c r="Q4207">
        <v>1</v>
      </c>
      <c r="R4207" t="s">
        <v>47306</v>
      </c>
      <c r="S4207" t="s">
        <v>47414</v>
      </c>
      <c r="T4207" t="s">
        <v>49048</v>
      </c>
      <c r="U4207" t="s">
        <v>53149</v>
      </c>
      <c r="W4207" t="s">
        <v>43287</v>
      </c>
      <c r="X4207" t="s">
        <v>47308</v>
      </c>
    </row>
    <row r="4208" spans="1:24">
      <c r="A4208">
        <f>HYPERLINK("https://www.philgeps.gov.ph/GEPSNONPILOT/Tender/SplashBidNoticeAbstractUI.aspx?menuIndex=3&amp;refID=7196676&amp;Result=3","7196676")</f>
        <v>0</v>
      </c>
      <c r="B4208" t="s">
        <v>639</v>
      </c>
      <c r="C4208" t="s">
        <v>7834</v>
      </c>
      <c r="D4208" t="s">
        <v>19043</v>
      </c>
      <c r="E4208" t="s">
        <v>22848</v>
      </c>
      <c r="F4208" t="s">
        <v>32606</v>
      </c>
      <c r="G4208" t="s">
        <v>32614</v>
      </c>
      <c r="H4208" t="s">
        <v>14201</v>
      </c>
      <c r="I4208" t="s">
        <v>32640</v>
      </c>
      <c r="J4208" t="s">
        <v>35588</v>
      </c>
      <c r="K4208" t="s">
        <v>42624</v>
      </c>
      <c r="M4208" t="s">
        <v>44624</v>
      </c>
      <c r="N4208" t="s">
        <v>47304</v>
      </c>
      <c r="O4208" t="s">
        <v>47305</v>
      </c>
      <c r="P4208">
        <v>0</v>
      </c>
      <c r="Q4208">
        <v>3</v>
      </c>
      <c r="R4208" t="s">
        <v>47306</v>
      </c>
      <c r="S4208" t="s">
        <v>47414</v>
      </c>
      <c r="T4208" t="s">
        <v>49002</v>
      </c>
      <c r="U4208" t="s">
        <v>53150</v>
      </c>
      <c r="W4208" t="s">
        <v>44624</v>
      </c>
      <c r="X4208" t="s">
        <v>47308</v>
      </c>
    </row>
    <row r="4209" spans="1:24">
      <c r="A4209">
        <f>HYPERLINK("https://www.philgeps.gov.ph/GEPSNONPILOT/Tender/SplashBidNoticeAbstractUI.aspx?menuIndex=3&amp;refID=7196675&amp;Result=3","7196675")</f>
        <v>0</v>
      </c>
      <c r="B4209" t="s">
        <v>1588</v>
      </c>
      <c r="C4209" t="s">
        <v>7835</v>
      </c>
      <c r="D4209" t="s">
        <v>19011</v>
      </c>
      <c r="E4209" t="s">
        <v>22849</v>
      </c>
      <c r="F4209" t="s">
        <v>32606</v>
      </c>
      <c r="G4209" t="s">
        <v>32614</v>
      </c>
      <c r="H4209" t="s">
        <v>14201</v>
      </c>
      <c r="I4209" t="s">
        <v>9008</v>
      </c>
      <c r="J4209" t="s">
        <v>35589</v>
      </c>
      <c r="K4209" t="s">
        <v>42622</v>
      </c>
      <c r="M4209" t="s">
        <v>44601</v>
      </c>
      <c r="N4209" t="s">
        <v>47304</v>
      </c>
      <c r="O4209" t="s">
        <v>47305</v>
      </c>
      <c r="P4209">
        <v>0</v>
      </c>
      <c r="Q4209">
        <v>0</v>
      </c>
      <c r="R4209" t="s">
        <v>47306</v>
      </c>
      <c r="S4209" t="s">
        <v>47414</v>
      </c>
      <c r="T4209" t="s">
        <v>49280</v>
      </c>
      <c r="U4209" t="s">
        <v>53151</v>
      </c>
      <c r="W4209" t="s">
        <v>44601</v>
      </c>
      <c r="X4209" t="s">
        <v>47308</v>
      </c>
    </row>
    <row r="4210" spans="1:24">
      <c r="A4210">
        <f>HYPERLINK("https://www.philgeps.gov.ph/GEPSNONPILOT/Tender/SplashBidNoticeAbstractUI.aspx?menuIndex=3&amp;refID=7196722&amp;Result=3","7196722")</f>
        <v>0</v>
      </c>
      <c r="B4210" t="s">
        <v>1608</v>
      </c>
      <c r="C4210" t="s">
        <v>7836</v>
      </c>
      <c r="D4210" t="s">
        <v>19019</v>
      </c>
      <c r="E4210" t="s">
        <v>19521</v>
      </c>
      <c r="F4210" t="s">
        <v>32606</v>
      </c>
      <c r="G4210" t="s">
        <v>32619</v>
      </c>
      <c r="H4210" t="s">
        <v>14201</v>
      </c>
      <c r="I4210" t="s">
        <v>4369</v>
      </c>
      <c r="J4210" t="s">
        <v>35590</v>
      </c>
      <c r="K4210" t="s">
        <v>42631</v>
      </c>
      <c r="M4210" t="s">
        <v>44625</v>
      </c>
      <c r="N4210" t="s">
        <v>47304</v>
      </c>
      <c r="O4210" t="s">
        <v>47305</v>
      </c>
      <c r="P4210">
        <v>0</v>
      </c>
      <c r="Q4210">
        <v>5</v>
      </c>
      <c r="R4210" t="s">
        <v>47306</v>
      </c>
      <c r="S4210" t="s">
        <v>47414</v>
      </c>
      <c r="T4210" t="s">
        <v>49014</v>
      </c>
      <c r="U4210" t="s">
        <v>53152</v>
      </c>
      <c r="W4210" t="s">
        <v>44625</v>
      </c>
      <c r="X4210" t="s">
        <v>47308</v>
      </c>
    </row>
    <row r="4211" spans="1:24">
      <c r="A4211">
        <f>HYPERLINK("https://www.philgeps.gov.ph/GEPSNONPILOT/Tender/SplashBidNoticeAbstractUI.aspx?menuIndex=3&amp;refID=7196450&amp;Result=3","7196450")</f>
        <v>0</v>
      </c>
      <c r="B4211" t="s">
        <v>1551</v>
      </c>
      <c r="C4211" t="s">
        <v>7837</v>
      </c>
      <c r="D4211" t="s">
        <v>19046</v>
      </c>
      <c r="E4211" t="s">
        <v>22850</v>
      </c>
      <c r="F4211" t="s">
        <v>32606</v>
      </c>
      <c r="G4211" t="s">
        <v>32614</v>
      </c>
      <c r="H4211" t="s">
        <v>14201</v>
      </c>
      <c r="I4211" t="s">
        <v>4112</v>
      </c>
      <c r="J4211" t="s">
        <v>35591</v>
      </c>
      <c r="K4211" t="s">
        <v>42623</v>
      </c>
      <c r="M4211" t="s">
        <v>44555</v>
      </c>
      <c r="N4211" t="s">
        <v>47304</v>
      </c>
      <c r="O4211" t="s">
        <v>47305</v>
      </c>
      <c r="P4211">
        <v>0</v>
      </c>
      <c r="Q4211">
        <v>0</v>
      </c>
      <c r="R4211" t="s">
        <v>47306</v>
      </c>
      <c r="S4211" t="s">
        <v>47414</v>
      </c>
      <c r="T4211" t="s">
        <v>48980</v>
      </c>
      <c r="U4211" t="s">
        <v>53153</v>
      </c>
      <c r="W4211" t="s">
        <v>44555</v>
      </c>
      <c r="X4211" t="s">
        <v>47308</v>
      </c>
    </row>
    <row r="4212" spans="1:24">
      <c r="A4212">
        <f>HYPERLINK("https://www.philgeps.gov.ph/GEPSNONPILOT/Tender/SplashBidNoticeAbstractUI.aspx?menuIndex=3&amp;refID=7196681&amp;Result=3","7196681")</f>
        <v>0</v>
      </c>
      <c r="B4212" t="s">
        <v>910</v>
      </c>
      <c r="C4212" t="s">
        <v>7838</v>
      </c>
      <c r="D4212" t="s">
        <v>18992</v>
      </c>
      <c r="E4212" t="s">
        <v>22851</v>
      </c>
      <c r="F4212" t="s">
        <v>32606</v>
      </c>
      <c r="G4212" t="s">
        <v>32619</v>
      </c>
      <c r="H4212" t="s">
        <v>14201</v>
      </c>
      <c r="I4212" t="s">
        <v>5233</v>
      </c>
      <c r="J4212" t="s">
        <v>32999</v>
      </c>
      <c r="K4212" t="s">
        <v>42622</v>
      </c>
      <c r="M4212" t="s">
        <v>43848</v>
      </c>
      <c r="N4212" t="s">
        <v>47304</v>
      </c>
      <c r="O4212" t="s">
        <v>47305</v>
      </c>
      <c r="P4212">
        <v>0</v>
      </c>
      <c r="Q4212">
        <v>0</v>
      </c>
      <c r="R4212" t="s">
        <v>47306</v>
      </c>
      <c r="S4212" t="s">
        <v>47414</v>
      </c>
      <c r="T4212" t="s">
        <v>48979</v>
      </c>
      <c r="U4212" t="s">
        <v>51308</v>
      </c>
      <c r="W4212" t="s">
        <v>43848</v>
      </c>
      <c r="X4212" t="s">
        <v>47308</v>
      </c>
    </row>
    <row r="4213" spans="1:24">
      <c r="A4213">
        <f>HYPERLINK("https://www.philgeps.gov.ph/GEPSNONPILOT/Tender/SplashBidNoticeAbstractUI.aspx?menuIndex=3&amp;refID=7196720&amp;Result=3","7196720")</f>
        <v>0</v>
      </c>
      <c r="B4213" t="s">
        <v>1609</v>
      </c>
      <c r="C4213" t="s">
        <v>7839</v>
      </c>
      <c r="D4213" t="s">
        <v>18993</v>
      </c>
      <c r="E4213" t="s">
        <v>22852</v>
      </c>
      <c r="F4213" t="s">
        <v>32606</v>
      </c>
      <c r="G4213" t="s">
        <v>32614</v>
      </c>
      <c r="H4213" t="s">
        <v>14201</v>
      </c>
      <c r="I4213" t="s">
        <v>13131</v>
      </c>
      <c r="J4213" t="s">
        <v>35592</v>
      </c>
      <c r="K4213" t="s">
        <v>42631</v>
      </c>
      <c r="M4213" t="s">
        <v>44626</v>
      </c>
      <c r="N4213" t="s">
        <v>47304</v>
      </c>
      <c r="O4213" t="s">
        <v>47305</v>
      </c>
      <c r="P4213">
        <v>0</v>
      </c>
      <c r="Q4213">
        <v>11</v>
      </c>
      <c r="R4213" t="s">
        <v>47306</v>
      </c>
      <c r="S4213" t="s">
        <v>47414</v>
      </c>
      <c r="T4213" t="s">
        <v>48980</v>
      </c>
      <c r="U4213" t="s">
        <v>53154</v>
      </c>
      <c r="W4213" t="s">
        <v>44626</v>
      </c>
      <c r="X4213" t="s">
        <v>47308</v>
      </c>
    </row>
    <row r="4214" spans="1:24">
      <c r="A4214">
        <f>HYPERLINK("https://www.philgeps.gov.ph/GEPSNONPILOT/Tender/SplashBidNoticeAbstractUI.aspx?menuIndex=3&amp;refID=7196718&amp;Result=3","7196718")</f>
        <v>0</v>
      </c>
      <c r="B4214" t="s">
        <v>1599</v>
      </c>
      <c r="C4214" t="s">
        <v>7840</v>
      </c>
      <c r="D4214" t="s">
        <v>19014</v>
      </c>
      <c r="E4214" t="s">
        <v>22853</v>
      </c>
      <c r="F4214" t="s">
        <v>32606</v>
      </c>
      <c r="G4214" t="s">
        <v>32614</v>
      </c>
      <c r="H4214" t="s">
        <v>14201</v>
      </c>
      <c r="I4214" t="s">
        <v>6993</v>
      </c>
      <c r="J4214" t="s">
        <v>33092</v>
      </c>
      <c r="K4214" t="s">
        <v>42623</v>
      </c>
      <c r="M4214" t="s">
        <v>44614</v>
      </c>
      <c r="N4214" t="s">
        <v>47304</v>
      </c>
      <c r="O4214" t="s">
        <v>47305</v>
      </c>
      <c r="P4214">
        <v>0</v>
      </c>
      <c r="Q4214">
        <v>1</v>
      </c>
      <c r="R4214" t="s">
        <v>47306</v>
      </c>
      <c r="S4214" t="s">
        <v>47414</v>
      </c>
      <c r="T4214" t="s">
        <v>49014</v>
      </c>
      <c r="U4214" t="s">
        <v>53155</v>
      </c>
      <c r="W4214" t="s">
        <v>44614</v>
      </c>
      <c r="X4214" t="s">
        <v>47308</v>
      </c>
    </row>
    <row r="4215" spans="1:24">
      <c r="A4215">
        <f>HYPERLINK("https://www.philgeps.gov.ph/GEPSNONPILOT/Tender/SplashBidNoticeAbstractUI.aspx?menuIndex=3&amp;refID=7196717&amp;Result=3","7196717")</f>
        <v>0</v>
      </c>
      <c r="B4215" t="s">
        <v>1568</v>
      </c>
      <c r="C4215" t="s">
        <v>7841</v>
      </c>
      <c r="D4215" t="s">
        <v>18994</v>
      </c>
      <c r="E4215" t="s">
        <v>22854</v>
      </c>
      <c r="F4215" t="s">
        <v>32606</v>
      </c>
      <c r="G4215" t="s">
        <v>32613</v>
      </c>
      <c r="H4215" t="s">
        <v>14201</v>
      </c>
      <c r="I4215" t="s">
        <v>32633</v>
      </c>
      <c r="J4215" t="s">
        <v>35593</v>
      </c>
      <c r="K4215" t="s">
        <v>42627</v>
      </c>
      <c r="M4215" t="s">
        <v>44577</v>
      </c>
      <c r="N4215" t="s">
        <v>47304</v>
      </c>
      <c r="O4215" t="s">
        <v>47305</v>
      </c>
      <c r="P4215">
        <v>0</v>
      </c>
      <c r="Q4215">
        <v>10</v>
      </c>
      <c r="R4215" t="s">
        <v>47306</v>
      </c>
      <c r="S4215" t="s">
        <v>47414</v>
      </c>
      <c r="T4215" t="s">
        <v>48995</v>
      </c>
      <c r="U4215" t="s">
        <v>53156</v>
      </c>
      <c r="V4215" t="s">
        <v>62763</v>
      </c>
      <c r="W4215" t="s">
        <v>44577</v>
      </c>
      <c r="X4215" t="s">
        <v>47308</v>
      </c>
    </row>
    <row r="4216" spans="1:24">
      <c r="A4216">
        <f>HYPERLINK("https://www.philgeps.gov.ph/GEPSNONPILOT/Tender/SplashBidNoticeAbstractUI.aspx?menuIndex=3&amp;refID=7196715&amp;Result=3","7196715")</f>
        <v>0</v>
      </c>
      <c r="B4216" t="s">
        <v>1605</v>
      </c>
      <c r="C4216" t="s">
        <v>7842</v>
      </c>
      <c r="D4216" t="s">
        <v>19034</v>
      </c>
      <c r="E4216" t="s">
        <v>22855</v>
      </c>
      <c r="F4216" t="s">
        <v>32606</v>
      </c>
      <c r="G4216" t="s">
        <v>32619</v>
      </c>
      <c r="H4216" t="s">
        <v>14201</v>
      </c>
      <c r="I4216" t="s">
        <v>32665</v>
      </c>
      <c r="J4216" t="s">
        <v>35594</v>
      </c>
      <c r="K4216" t="s">
        <v>42631</v>
      </c>
      <c r="M4216" t="s">
        <v>44621</v>
      </c>
      <c r="N4216" t="s">
        <v>47304</v>
      </c>
      <c r="O4216" t="s">
        <v>47305</v>
      </c>
      <c r="P4216">
        <v>0</v>
      </c>
      <c r="Q4216">
        <v>0</v>
      </c>
      <c r="R4216" t="s">
        <v>47306</v>
      </c>
      <c r="S4216" t="s">
        <v>47414</v>
      </c>
      <c r="T4216" t="s">
        <v>48986</v>
      </c>
      <c r="U4216" t="s">
        <v>53141</v>
      </c>
      <c r="W4216" t="s">
        <v>44621</v>
      </c>
      <c r="X4216" t="s">
        <v>47308</v>
      </c>
    </row>
    <row r="4217" spans="1:24">
      <c r="A4217">
        <f>HYPERLINK("https://www.philgeps.gov.ph/GEPSNONPILOT/Tender/SplashBidNoticeAbstractUI.aspx?menuIndex=3&amp;refID=7196714&amp;Result=3","7196714")</f>
        <v>0</v>
      </c>
      <c r="B4217" t="s">
        <v>48</v>
      </c>
      <c r="C4217" t="s">
        <v>7843</v>
      </c>
      <c r="E4217" t="s">
        <v>22856</v>
      </c>
      <c r="F4217" t="s">
        <v>32606</v>
      </c>
      <c r="G4217" t="s">
        <v>32614</v>
      </c>
      <c r="H4217" t="s">
        <v>14201</v>
      </c>
      <c r="I4217" t="s">
        <v>6007</v>
      </c>
      <c r="J4217" t="s">
        <v>35595</v>
      </c>
      <c r="K4217" t="s">
        <v>42624</v>
      </c>
      <c r="L4217" t="s">
        <v>48</v>
      </c>
      <c r="M4217" t="s">
        <v>44627</v>
      </c>
      <c r="N4217" t="s">
        <v>47304</v>
      </c>
      <c r="O4217" t="s">
        <v>47305</v>
      </c>
      <c r="P4217">
        <v>0</v>
      </c>
      <c r="Q4217">
        <v>1</v>
      </c>
      <c r="R4217" t="s">
        <v>47306</v>
      </c>
      <c r="S4217" t="s">
        <v>47414</v>
      </c>
      <c r="T4217" t="s">
        <v>48986</v>
      </c>
      <c r="U4217" t="s">
        <v>53157</v>
      </c>
      <c r="W4217" t="s">
        <v>44627</v>
      </c>
      <c r="X4217" t="s">
        <v>47308</v>
      </c>
    </row>
    <row r="4218" spans="1:24">
      <c r="A4218">
        <f>HYPERLINK("https://www.philgeps.gov.ph/GEPSNONPILOT/Tender/SplashBidNoticeAbstractUI.aspx?menuIndex=3&amp;refID=7196713&amp;Result=3","7196713")</f>
        <v>0</v>
      </c>
      <c r="B4218" t="s">
        <v>1596</v>
      </c>
      <c r="C4218" t="s">
        <v>7844</v>
      </c>
      <c r="D4218" t="s">
        <v>18997</v>
      </c>
      <c r="E4218" t="s">
        <v>22857</v>
      </c>
      <c r="F4218" t="s">
        <v>32606</v>
      </c>
      <c r="G4218" t="s">
        <v>32614</v>
      </c>
      <c r="H4218" t="s">
        <v>14201</v>
      </c>
      <c r="I4218" t="s">
        <v>32629</v>
      </c>
      <c r="J4218" t="s">
        <v>35596</v>
      </c>
      <c r="K4218" t="s">
        <v>42623</v>
      </c>
      <c r="M4218" t="s">
        <v>44610</v>
      </c>
      <c r="N4218" t="s">
        <v>47304</v>
      </c>
      <c r="O4218" t="s">
        <v>47305</v>
      </c>
      <c r="P4218">
        <v>0</v>
      </c>
      <c r="Q4218">
        <v>0</v>
      </c>
      <c r="R4218" t="s">
        <v>47306</v>
      </c>
      <c r="S4218" t="s">
        <v>47414</v>
      </c>
      <c r="T4218" t="s">
        <v>49004</v>
      </c>
      <c r="U4218" t="s">
        <v>53158</v>
      </c>
      <c r="W4218" t="s">
        <v>44610</v>
      </c>
      <c r="X4218" t="s">
        <v>47308</v>
      </c>
    </row>
    <row r="4219" spans="1:24">
      <c r="A4219">
        <f>HYPERLINK("https://www.philgeps.gov.ph/GEPSNONPILOT/Tender/SplashBidNoticeAbstractUI.aspx?menuIndex=3&amp;refID=7196712&amp;Result=3","7196712")</f>
        <v>0</v>
      </c>
      <c r="B4219" t="s">
        <v>1435</v>
      </c>
      <c r="C4219" t="s">
        <v>7845</v>
      </c>
      <c r="D4219" t="s">
        <v>19025</v>
      </c>
      <c r="E4219" t="s">
        <v>22858</v>
      </c>
      <c r="F4219" t="s">
        <v>32608</v>
      </c>
      <c r="G4219" t="s">
        <v>32614</v>
      </c>
      <c r="H4219" t="s">
        <v>14201</v>
      </c>
      <c r="I4219" t="s">
        <v>6931</v>
      </c>
      <c r="J4219" t="s">
        <v>35597</v>
      </c>
      <c r="K4219" t="s">
        <v>42630</v>
      </c>
      <c r="M4219" t="s">
        <v>44628</v>
      </c>
      <c r="N4219" t="s">
        <v>47304</v>
      </c>
      <c r="O4219" t="s">
        <v>47305</v>
      </c>
      <c r="P4219">
        <v>0</v>
      </c>
      <c r="Q4219">
        <v>0</v>
      </c>
      <c r="R4219" t="s">
        <v>47306</v>
      </c>
      <c r="S4219" t="s">
        <v>47414</v>
      </c>
      <c r="T4219" t="s">
        <v>49169</v>
      </c>
      <c r="U4219" t="s">
        <v>53159</v>
      </c>
      <c r="W4219" t="s">
        <v>44628</v>
      </c>
      <c r="X4219" t="s">
        <v>47308</v>
      </c>
    </row>
    <row r="4220" spans="1:24">
      <c r="A4220">
        <f>HYPERLINK("https://www.philgeps.gov.ph/GEPSNONPILOT/Tender/SplashBidNoticeAbstractUI.aspx?menuIndex=3&amp;refID=7196707&amp;Result=3","7196707")</f>
        <v>0</v>
      </c>
      <c r="B4220" t="s">
        <v>1610</v>
      </c>
      <c r="C4220" t="s">
        <v>7846</v>
      </c>
      <c r="D4220" t="s">
        <v>19005</v>
      </c>
      <c r="E4220" t="s">
        <v>19279</v>
      </c>
      <c r="F4220" t="s">
        <v>32606</v>
      </c>
      <c r="G4220" t="s">
        <v>32613</v>
      </c>
      <c r="H4220" t="s">
        <v>14201</v>
      </c>
      <c r="I4220" t="s">
        <v>32635</v>
      </c>
      <c r="J4220" t="s">
        <v>32825</v>
      </c>
      <c r="K4220" t="s">
        <v>42638</v>
      </c>
      <c r="M4220" t="s">
        <v>44629</v>
      </c>
      <c r="N4220" t="s">
        <v>47304</v>
      </c>
      <c r="O4220" t="s">
        <v>47305</v>
      </c>
      <c r="P4220">
        <v>0</v>
      </c>
      <c r="Q4220">
        <v>0</v>
      </c>
      <c r="R4220" t="s">
        <v>47306</v>
      </c>
      <c r="S4220" t="s">
        <v>47414</v>
      </c>
      <c r="T4220" t="s">
        <v>49148</v>
      </c>
      <c r="U4220" t="s">
        <v>53160</v>
      </c>
      <c r="W4220" t="s">
        <v>44629</v>
      </c>
      <c r="X4220" t="s">
        <v>47308</v>
      </c>
    </row>
    <row r="4221" spans="1:24">
      <c r="A4221">
        <f>HYPERLINK("https://www.philgeps.gov.ph/GEPSNONPILOT/Tender/SplashBidNoticeAbstractUI.aspx?menuIndex=3&amp;refID=7196721&amp;Result=3","7196721")</f>
        <v>0</v>
      </c>
      <c r="B4221" t="s">
        <v>593</v>
      </c>
      <c r="C4221" t="s">
        <v>4547</v>
      </c>
      <c r="D4221" t="s">
        <v>19044</v>
      </c>
      <c r="E4221" t="s">
        <v>20284</v>
      </c>
      <c r="F4221" t="s">
        <v>32606</v>
      </c>
      <c r="G4221" t="s">
        <v>32619</v>
      </c>
      <c r="H4221" t="s">
        <v>14201</v>
      </c>
      <c r="I4221" t="s">
        <v>4120</v>
      </c>
      <c r="J4221" t="s">
        <v>35598</v>
      </c>
      <c r="K4221" t="s">
        <v>42630</v>
      </c>
      <c r="M4221" t="s">
        <v>43508</v>
      </c>
      <c r="N4221" t="s">
        <v>47304</v>
      </c>
      <c r="O4221" t="s">
        <v>47305</v>
      </c>
      <c r="P4221">
        <v>0</v>
      </c>
      <c r="Q4221">
        <v>1</v>
      </c>
      <c r="R4221" t="s">
        <v>47306</v>
      </c>
      <c r="S4221" t="s">
        <v>47414</v>
      </c>
      <c r="T4221" t="s">
        <v>48998</v>
      </c>
      <c r="U4221" t="s">
        <v>53161</v>
      </c>
      <c r="W4221" t="s">
        <v>43508</v>
      </c>
      <c r="X4221" t="s">
        <v>47308</v>
      </c>
    </row>
    <row r="4222" spans="1:24">
      <c r="A4222">
        <f>HYPERLINK("https://www.philgeps.gov.ph/GEPSNONPILOT/Tender/SplashBidNoticeAbstractUI.aspx?menuIndex=3&amp;refID=7196716&amp;Result=3","7196716")</f>
        <v>0</v>
      </c>
      <c r="B4222" t="s">
        <v>1022</v>
      </c>
      <c r="C4222" t="s">
        <v>7847</v>
      </c>
      <c r="D4222" t="s">
        <v>19033</v>
      </c>
      <c r="E4222" t="s">
        <v>7847</v>
      </c>
      <c r="F4222" t="s">
        <v>32606</v>
      </c>
      <c r="G4222" t="s">
        <v>32614</v>
      </c>
      <c r="H4222" t="s">
        <v>14201</v>
      </c>
      <c r="I4222" t="s">
        <v>6931</v>
      </c>
      <c r="J4222" t="s">
        <v>35561</v>
      </c>
      <c r="K4222" t="s">
        <v>42631</v>
      </c>
      <c r="M4222" t="s">
        <v>43974</v>
      </c>
      <c r="N4222" t="s">
        <v>47304</v>
      </c>
      <c r="O4222" t="s">
        <v>47305</v>
      </c>
      <c r="P4222">
        <v>0</v>
      </c>
      <c r="Q4222">
        <v>0</v>
      </c>
      <c r="R4222" t="s">
        <v>47306</v>
      </c>
      <c r="S4222" t="s">
        <v>47414</v>
      </c>
      <c r="T4222" t="s">
        <v>48980</v>
      </c>
      <c r="U4222" t="s">
        <v>53162</v>
      </c>
      <c r="W4222" t="s">
        <v>43974</v>
      </c>
      <c r="X4222" t="s">
        <v>47308</v>
      </c>
    </row>
    <row r="4223" spans="1:24">
      <c r="A4223">
        <f>HYPERLINK("https://www.philgeps.gov.ph/GEPSNONPILOT/Tender/SplashBidNoticeAbstractUI.aspx?menuIndex=3&amp;refID=7196394&amp;Result=3","7196394")</f>
        <v>0</v>
      </c>
      <c r="B4223" t="s">
        <v>678</v>
      </c>
      <c r="C4223" t="s">
        <v>7848</v>
      </c>
      <c r="D4223" t="s">
        <v>18999</v>
      </c>
      <c r="E4223" t="s">
        <v>22859</v>
      </c>
      <c r="F4223" t="s">
        <v>32606</v>
      </c>
      <c r="G4223" t="s">
        <v>32619</v>
      </c>
      <c r="H4223" t="s">
        <v>14201</v>
      </c>
      <c r="I4223" t="s">
        <v>4678</v>
      </c>
      <c r="J4223" t="s">
        <v>35599</v>
      </c>
      <c r="K4223" t="s">
        <v>42622</v>
      </c>
      <c r="M4223" t="s">
        <v>43598</v>
      </c>
      <c r="N4223" t="s">
        <v>47304</v>
      </c>
      <c r="O4223" t="s">
        <v>47305</v>
      </c>
      <c r="P4223">
        <v>0</v>
      </c>
      <c r="Q4223">
        <v>1</v>
      </c>
      <c r="R4223" t="s">
        <v>47306</v>
      </c>
      <c r="S4223" t="s">
        <v>47414</v>
      </c>
      <c r="T4223" t="s">
        <v>49053</v>
      </c>
      <c r="U4223" t="s">
        <v>53163</v>
      </c>
      <c r="W4223" t="s">
        <v>43598</v>
      </c>
      <c r="X4223" t="s">
        <v>47308</v>
      </c>
    </row>
    <row r="4224" spans="1:24">
      <c r="A4224">
        <f>HYPERLINK("https://www.philgeps.gov.ph/GEPSNONPILOT/Tender/SplashBidNoticeAbstractUI.aspx?menuIndex=3&amp;refID=7196704&amp;Result=3","7196704")</f>
        <v>0</v>
      </c>
      <c r="B4224" t="s">
        <v>1036</v>
      </c>
      <c r="C4224" t="s">
        <v>7849</v>
      </c>
      <c r="D4224" t="s">
        <v>19039</v>
      </c>
      <c r="E4224" t="s">
        <v>22860</v>
      </c>
      <c r="F4224" t="s">
        <v>32606</v>
      </c>
      <c r="G4224" t="s">
        <v>32614</v>
      </c>
      <c r="H4224" t="s">
        <v>14201</v>
      </c>
      <c r="I4224" t="s">
        <v>32635</v>
      </c>
      <c r="J4224" t="s">
        <v>32789</v>
      </c>
      <c r="K4224" t="s">
        <v>42631</v>
      </c>
      <c r="M4224" t="s">
        <v>44615</v>
      </c>
      <c r="N4224" t="s">
        <v>47304</v>
      </c>
      <c r="O4224" t="s">
        <v>47305</v>
      </c>
      <c r="P4224">
        <v>0</v>
      </c>
      <c r="Q4224">
        <v>2</v>
      </c>
      <c r="R4224" t="s">
        <v>47306</v>
      </c>
      <c r="S4224" t="s">
        <v>47414</v>
      </c>
      <c r="T4224" t="s">
        <v>49011</v>
      </c>
      <c r="U4224" t="s">
        <v>53164</v>
      </c>
      <c r="W4224" t="s">
        <v>44615</v>
      </c>
      <c r="X4224" t="s">
        <v>47308</v>
      </c>
    </row>
    <row r="4225" spans="1:24">
      <c r="A4225">
        <f>HYPERLINK("https://www.philgeps.gov.ph/GEPSNONPILOT/Tender/SplashBidNoticeAbstractUI.aspx?menuIndex=3&amp;refID=7196703&amp;Result=3","7196703")</f>
        <v>0</v>
      </c>
      <c r="B4225" t="s">
        <v>415</v>
      </c>
      <c r="C4225" t="s">
        <v>7850</v>
      </c>
      <c r="E4225" t="s">
        <v>22861</v>
      </c>
      <c r="F4225" t="s">
        <v>32606</v>
      </c>
      <c r="G4225" t="s">
        <v>32614</v>
      </c>
      <c r="H4225" t="s">
        <v>14201</v>
      </c>
      <c r="I4225" t="s">
        <v>4678</v>
      </c>
      <c r="J4225" t="s">
        <v>33291</v>
      </c>
      <c r="K4225" t="s">
        <v>42624</v>
      </c>
      <c r="M4225" t="s">
        <v>44630</v>
      </c>
      <c r="N4225" t="s">
        <v>47304</v>
      </c>
      <c r="O4225" t="s">
        <v>47305</v>
      </c>
      <c r="P4225">
        <v>0</v>
      </c>
      <c r="Q4225">
        <v>2</v>
      </c>
      <c r="R4225" t="s">
        <v>47306</v>
      </c>
      <c r="S4225" t="s">
        <v>47414</v>
      </c>
      <c r="T4225" t="s">
        <v>49014</v>
      </c>
      <c r="U4225" t="s">
        <v>53165</v>
      </c>
      <c r="V4225" t="s">
        <v>62740</v>
      </c>
      <c r="W4225" t="s">
        <v>44630</v>
      </c>
      <c r="X4225" t="s">
        <v>47308</v>
      </c>
    </row>
    <row r="4226" spans="1:24">
      <c r="A4226">
        <f>HYPERLINK("https://www.philgeps.gov.ph/GEPSNONPILOT/Tender/SplashBidNoticeAbstractUI.aspx?menuIndex=3&amp;refID=7196708&amp;Result=3","7196708")</f>
        <v>0</v>
      </c>
      <c r="B4226" t="s">
        <v>897</v>
      </c>
      <c r="C4226" t="s">
        <v>7851</v>
      </c>
      <c r="D4226" t="s">
        <v>19067</v>
      </c>
      <c r="E4226" t="s">
        <v>22862</v>
      </c>
      <c r="F4226" t="s">
        <v>32606</v>
      </c>
      <c r="G4226" t="s">
        <v>32614</v>
      </c>
      <c r="H4226" t="s">
        <v>14201</v>
      </c>
      <c r="I4226" t="s">
        <v>6931</v>
      </c>
      <c r="J4226" t="s">
        <v>35600</v>
      </c>
      <c r="K4226" t="s">
        <v>42631</v>
      </c>
      <c r="M4226" t="s">
        <v>43834</v>
      </c>
      <c r="N4226" t="s">
        <v>47304</v>
      </c>
      <c r="O4226" t="s">
        <v>47305</v>
      </c>
      <c r="P4226">
        <v>0</v>
      </c>
      <c r="Q4226">
        <v>0</v>
      </c>
      <c r="R4226" t="s">
        <v>47306</v>
      </c>
      <c r="S4226" t="s">
        <v>47414</v>
      </c>
      <c r="T4226" t="s">
        <v>49101</v>
      </c>
      <c r="U4226" t="s">
        <v>52387</v>
      </c>
      <c r="W4226" t="s">
        <v>43834</v>
      </c>
      <c r="X4226" t="s">
        <v>47308</v>
      </c>
    </row>
    <row r="4227" spans="1:24">
      <c r="A4227">
        <f>HYPERLINK("https://www.philgeps.gov.ph/GEPSNONPILOT/Tender/SplashBidNoticeAbstractUI.aspx?menuIndex=3&amp;refID=7196750&amp;Result=3","7196750")</f>
        <v>0</v>
      </c>
      <c r="B4227" t="s">
        <v>1568</v>
      </c>
      <c r="C4227" t="s">
        <v>7852</v>
      </c>
      <c r="D4227" t="s">
        <v>18994</v>
      </c>
      <c r="E4227" t="s">
        <v>22863</v>
      </c>
      <c r="F4227" t="s">
        <v>32606</v>
      </c>
      <c r="G4227" t="s">
        <v>32613</v>
      </c>
      <c r="H4227" t="s">
        <v>14201</v>
      </c>
      <c r="I4227" t="s">
        <v>7577</v>
      </c>
      <c r="J4227" t="s">
        <v>35601</v>
      </c>
      <c r="K4227" t="s">
        <v>42627</v>
      </c>
      <c r="M4227" t="s">
        <v>44577</v>
      </c>
      <c r="N4227" t="s">
        <v>47304</v>
      </c>
      <c r="O4227" t="s">
        <v>47305</v>
      </c>
      <c r="P4227">
        <v>0</v>
      </c>
      <c r="Q4227">
        <v>3</v>
      </c>
      <c r="R4227" t="s">
        <v>47306</v>
      </c>
      <c r="S4227" t="s">
        <v>47414</v>
      </c>
      <c r="T4227" t="s">
        <v>48995</v>
      </c>
      <c r="U4227" t="s">
        <v>53166</v>
      </c>
      <c r="V4227" t="s">
        <v>62763</v>
      </c>
      <c r="W4227" t="s">
        <v>44577</v>
      </c>
      <c r="X4227" t="s">
        <v>47308</v>
      </c>
    </row>
    <row r="4228" spans="1:24">
      <c r="A4228">
        <f>HYPERLINK("https://www.philgeps.gov.ph/GEPSNONPILOT/Tender/SplashBidNoticeAbstractUI.aspx?menuIndex=3&amp;refID=7196748&amp;Result=3","7196748")</f>
        <v>0</v>
      </c>
      <c r="B4228" t="s">
        <v>1602</v>
      </c>
      <c r="C4228" t="s">
        <v>7853</v>
      </c>
      <c r="D4228" t="s">
        <v>19011</v>
      </c>
      <c r="E4228" t="s">
        <v>22864</v>
      </c>
      <c r="F4228" t="s">
        <v>32606</v>
      </c>
      <c r="G4228" t="s">
        <v>32614</v>
      </c>
      <c r="H4228" t="s">
        <v>14201</v>
      </c>
      <c r="I4228" t="s">
        <v>32626</v>
      </c>
      <c r="J4228" t="s">
        <v>35602</v>
      </c>
      <c r="K4228" t="s">
        <v>42638</v>
      </c>
      <c r="M4228" t="s">
        <v>44618</v>
      </c>
      <c r="N4228" t="s">
        <v>47304</v>
      </c>
      <c r="O4228" t="s">
        <v>47305</v>
      </c>
      <c r="P4228">
        <v>0</v>
      </c>
      <c r="Q4228">
        <v>0</v>
      </c>
      <c r="R4228" t="s">
        <v>47306</v>
      </c>
      <c r="S4228" t="s">
        <v>47414</v>
      </c>
      <c r="T4228" t="s">
        <v>49279</v>
      </c>
      <c r="U4228" t="s">
        <v>53167</v>
      </c>
      <c r="V4228" t="s">
        <v>63064</v>
      </c>
      <c r="W4228" t="s">
        <v>44618</v>
      </c>
      <c r="X4228" t="s">
        <v>47308</v>
      </c>
    </row>
    <row r="4229" spans="1:24">
      <c r="A4229">
        <f>HYPERLINK("https://www.philgeps.gov.ph/GEPSNONPILOT/Tender/SplashBidNoticeAbstractUI.aspx?menuIndex=3&amp;refID=7196705&amp;Result=3","7196705")</f>
        <v>0</v>
      </c>
      <c r="B4229" t="s">
        <v>1592</v>
      </c>
      <c r="C4229" t="s">
        <v>7854</v>
      </c>
      <c r="D4229" t="s">
        <v>19001</v>
      </c>
      <c r="E4229" t="s">
        <v>22865</v>
      </c>
      <c r="F4229" t="s">
        <v>32606</v>
      </c>
      <c r="G4229" t="s">
        <v>32614</v>
      </c>
      <c r="H4229" t="s">
        <v>14201</v>
      </c>
      <c r="I4229" t="s">
        <v>6007</v>
      </c>
      <c r="J4229" t="s">
        <v>32789</v>
      </c>
      <c r="K4229" t="s">
        <v>42636</v>
      </c>
      <c r="M4229" t="s">
        <v>44606</v>
      </c>
      <c r="N4229" t="s">
        <v>47304</v>
      </c>
      <c r="O4229" t="s">
        <v>47305</v>
      </c>
      <c r="P4229">
        <v>0</v>
      </c>
      <c r="Q4229">
        <v>0</v>
      </c>
      <c r="R4229" t="s">
        <v>47306</v>
      </c>
      <c r="S4229" t="s">
        <v>47414</v>
      </c>
      <c r="T4229" t="s">
        <v>49004</v>
      </c>
      <c r="U4229" t="s">
        <v>53168</v>
      </c>
      <c r="W4229" t="s">
        <v>44606</v>
      </c>
      <c r="X4229" t="s">
        <v>47308</v>
      </c>
    </row>
    <row r="4230" spans="1:24">
      <c r="A4230">
        <f>HYPERLINK("https://www.philgeps.gov.ph/GEPSNONPILOT/Tender/SplashBidNoticeAbstractUI.aspx?menuIndex=3&amp;refID=7196747&amp;Result=3","7196747")</f>
        <v>0</v>
      </c>
      <c r="B4230" t="s">
        <v>1611</v>
      </c>
      <c r="C4230" t="s">
        <v>7855</v>
      </c>
      <c r="D4230" t="s">
        <v>19010</v>
      </c>
      <c r="E4230" t="s">
        <v>22866</v>
      </c>
      <c r="F4230" t="s">
        <v>32606</v>
      </c>
      <c r="G4230" t="s">
        <v>32614</v>
      </c>
      <c r="H4230" t="s">
        <v>14201</v>
      </c>
      <c r="I4230" t="s">
        <v>32673</v>
      </c>
      <c r="J4230" t="s">
        <v>35603</v>
      </c>
      <c r="K4230" t="s">
        <v>42623</v>
      </c>
      <c r="M4230" t="s">
        <v>44631</v>
      </c>
      <c r="N4230" t="s">
        <v>47304</v>
      </c>
      <c r="O4230" t="s">
        <v>47305</v>
      </c>
      <c r="P4230">
        <v>0</v>
      </c>
      <c r="Q4230">
        <v>1</v>
      </c>
      <c r="R4230" t="s">
        <v>47306</v>
      </c>
      <c r="S4230" t="s">
        <v>47414</v>
      </c>
      <c r="T4230" t="s">
        <v>48980</v>
      </c>
      <c r="U4230" t="s">
        <v>53169</v>
      </c>
      <c r="W4230" t="s">
        <v>44631</v>
      </c>
      <c r="X4230" t="s">
        <v>47308</v>
      </c>
    </row>
    <row r="4231" spans="1:24">
      <c r="A4231">
        <f>HYPERLINK("https://www.philgeps.gov.ph/GEPSNONPILOT/Tender/SplashBidNoticeAbstractUI.aspx?menuIndex=3&amp;refID=7196746&amp;Result=3","7196746")</f>
        <v>0</v>
      </c>
      <c r="B4231" t="s">
        <v>1612</v>
      </c>
      <c r="C4231" t="s">
        <v>7856</v>
      </c>
      <c r="D4231" t="s">
        <v>19047</v>
      </c>
      <c r="E4231" t="s">
        <v>22867</v>
      </c>
      <c r="F4231" t="s">
        <v>32606</v>
      </c>
      <c r="G4231" t="s">
        <v>32614</v>
      </c>
      <c r="H4231" t="s">
        <v>14201</v>
      </c>
      <c r="I4231" t="s">
        <v>6993</v>
      </c>
      <c r="J4231" t="s">
        <v>35604</v>
      </c>
      <c r="K4231" t="s">
        <v>42631</v>
      </c>
      <c r="M4231" t="s">
        <v>44632</v>
      </c>
      <c r="N4231" t="s">
        <v>47304</v>
      </c>
      <c r="O4231" t="s">
        <v>47305</v>
      </c>
      <c r="P4231">
        <v>0</v>
      </c>
      <c r="Q4231">
        <v>0</v>
      </c>
      <c r="R4231" t="s">
        <v>47306</v>
      </c>
      <c r="S4231" t="s">
        <v>47414</v>
      </c>
      <c r="T4231" t="s">
        <v>48980</v>
      </c>
      <c r="U4231" t="s">
        <v>53170</v>
      </c>
      <c r="W4231" t="s">
        <v>44632</v>
      </c>
      <c r="X4231" t="s">
        <v>47308</v>
      </c>
    </row>
    <row r="4232" spans="1:24">
      <c r="A4232">
        <f>HYPERLINK("https://www.philgeps.gov.ph/GEPSNONPILOT/Tender/SplashBidNoticeAbstractUI.aspx?menuIndex=3&amp;refID=7196745&amp;Result=3","7196745")</f>
        <v>0</v>
      </c>
      <c r="B4232" t="s">
        <v>1579</v>
      </c>
      <c r="C4232" t="s">
        <v>7857</v>
      </c>
      <c r="D4232" t="s">
        <v>19000</v>
      </c>
      <c r="E4232" t="s">
        <v>22868</v>
      </c>
      <c r="F4232" t="s">
        <v>32606</v>
      </c>
      <c r="G4232" t="s">
        <v>32613</v>
      </c>
      <c r="H4232" t="s">
        <v>14201</v>
      </c>
      <c r="I4232" t="s">
        <v>7064</v>
      </c>
      <c r="J4232" t="s">
        <v>32759</v>
      </c>
      <c r="K4232" t="s">
        <v>42623</v>
      </c>
      <c r="M4232" t="s">
        <v>44591</v>
      </c>
      <c r="N4232" t="s">
        <v>47304</v>
      </c>
      <c r="O4232" t="s">
        <v>47305</v>
      </c>
      <c r="P4232">
        <v>0</v>
      </c>
      <c r="Q4232">
        <v>2</v>
      </c>
      <c r="R4232" t="s">
        <v>47306</v>
      </c>
      <c r="S4232" t="s">
        <v>47414</v>
      </c>
      <c r="T4232" t="s">
        <v>49281</v>
      </c>
      <c r="U4232" t="s">
        <v>53171</v>
      </c>
      <c r="W4232" t="s">
        <v>44591</v>
      </c>
      <c r="X4232" t="s">
        <v>47308</v>
      </c>
    </row>
    <row r="4233" spans="1:24">
      <c r="A4233">
        <f>HYPERLINK("https://www.philgeps.gov.ph/GEPSNONPILOT/Tender/SplashBidNoticeAbstractUI.aspx?menuIndex=3&amp;refID=7196744&amp;Result=3","7196744")</f>
        <v>0</v>
      </c>
      <c r="B4233" t="s">
        <v>1188</v>
      </c>
      <c r="C4233" t="s">
        <v>7858</v>
      </c>
      <c r="D4233" t="s">
        <v>19070</v>
      </c>
      <c r="E4233" t="s">
        <v>22869</v>
      </c>
      <c r="F4233" t="s">
        <v>32606</v>
      </c>
      <c r="G4233" t="s">
        <v>32613</v>
      </c>
      <c r="H4233" t="s">
        <v>32623</v>
      </c>
      <c r="I4233" t="s">
        <v>17648</v>
      </c>
      <c r="J4233" t="s">
        <v>35605</v>
      </c>
      <c r="K4233" t="s">
        <v>42631</v>
      </c>
      <c r="M4233" t="s">
        <v>44152</v>
      </c>
      <c r="N4233" t="s">
        <v>47304</v>
      </c>
      <c r="O4233" t="s">
        <v>47305</v>
      </c>
      <c r="P4233">
        <v>0</v>
      </c>
      <c r="Q4233">
        <v>0</v>
      </c>
      <c r="R4233" t="s">
        <v>47306</v>
      </c>
      <c r="S4233" t="s">
        <v>47414</v>
      </c>
      <c r="T4233" t="s">
        <v>48986</v>
      </c>
      <c r="U4233" t="s">
        <v>53172</v>
      </c>
      <c r="V4233" t="s">
        <v>63066</v>
      </c>
      <c r="W4233" t="s">
        <v>44152</v>
      </c>
      <c r="X4233" t="s">
        <v>47308</v>
      </c>
    </row>
    <row r="4234" spans="1:24">
      <c r="A4234">
        <f>HYPERLINK("https://www.philgeps.gov.ph/GEPSNONPILOT/Tender/SplashBidNoticeAbstractUI.aspx?menuIndex=3&amp;refID=7196742&amp;Result=3","7196742")</f>
        <v>0</v>
      </c>
      <c r="B4234" t="s">
        <v>778</v>
      </c>
      <c r="C4234" t="s">
        <v>7859</v>
      </c>
      <c r="D4234" t="s">
        <v>19012</v>
      </c>
      <c r="E4234" t="s">
        <v>19416</v>
      </c>
      <c r="F4234" t="s">
        <v>32606</v>
      </c>
      <c r="G4234" t="s">
        <v>32613</v>
      </c>
      <c r="H4234" t="s">
        <v>14201</v>
      </c>
      <c r="I4234" t="s">
        <v>32635</v>
      </c>
      <c r="J4234" t="s">
        <v>35368</v>
      </c>
      <c r="K4234" t="s">
        <v>42623</v>
      </c>
      <c r="M4234" t="s">
        <v>43708</v>
      </c>
      <c r="N4234" t="s">
        <v>47304</v>
      </c>
      <c r="O4234" t="s">
        <v>47305</v>
      </c>
      <c r="P4234">
        <v>0</v>
      </c>
      <c r="Q4234">
        <v>4</v>
      </c>
      <c r="R4234" t="s">
        <v>47306</v>
      </c>
      <c r="S4234" t="s">
        <v>47414</v>
      </c>
      <c r="T4234" t="s">
        <v>49055</v>
      </c>
      <c r="U4234" t="s">
        <v>53173</v>
      </c>
      <c r="W4234" t="s">
        <v>43708</v>
      </c>
      <c r="X4234" t="s">
        <v>47308</v>
      </c>
    </row>
    <row r="4235" spans="1:24">
      <c r="A4235">
        <f>HYPERLINK("https://www.philgeps.gov.ph/GEPSNONPILOT/Tender/SplashBidNoticeAbstractUI.aspx?menuIndex=3&amp;refID=7196741&amp;Result=3","7196741")</f>
        <v>0</v>
      </c>
      <c r="B4235" t="s">
        <v>238</v>
      </c>
      <c r="C4235" t="s">
        <v>7860</v>
      </c>
      <c r="D4235" t="s">
        <v>18993</v>
      </c>
      <c r="E4235" t="s">
        <v>22870</v>
      </c>
      <c r="F4235" t="s">
        <v>32606</v>
      </c>
      <c r="G4235" t="s">
        <v>32619</v>
      </c>
      <c r="H4235" t="s">
        <v>14201</v>
      </c>
      <c r="I4235" t="s">
        <v>32633</v>
      </c>
      <c r="J4235" t="s">
        <v>35606</v>
      </c>
      <c r="K4235" t="s">
        <v>42622</v>
      </c>
      <c r="M4235" t="s">
        <v>43794</v>
      </c>
      <c r="N4235" t="s">
        <v>47304</v>
      </c>
      <c r="O4235" t="s">
        <v>47305</v>
      </c>
      <c r="P4235">
        <v>0</v>
      </c>
      <c r="Q4235">
        <v>2</v>
      </c>
      <c r="R4235" t="s">
        <v>47306</v>
      </c>
      <c r="S4235" t="s">
        <v>47414</v>
      </c>
      <c r="T4235" t="s">
        <v>49165</v>
      </c>
      <c r="U4235" t="s">
        <v>53174</v>
      </c>
      <c r="W4235" t="s">
        <v>43794</v>
      </c>
      <c r="X4235" t="s">
        <v>47308</v>
      </c>
    </row>
    <row r="4236" spans="1:24">
      <c r="A4236">
        <f>HYPERLINK("https://www.philgeps.gov.ph/GEPSNONPILOT/Tender/SplashBidNoticeAbstractUI.aspx?menuIndex=3&amp;refID=7196698&amp;Result=3","7196698")</f>
        <v>0</v>
      </c>
      <c r="B4236" t="s">
        <v>232</v>
      </c>
      <c r="C4236" t="s">
        <v>7861</v>
      </c>
      <c r="D4236" t="s">
        <v>19017</v>
      </c>
      <c r="E4236" t="s">
        <v>22871</v>
      </c>
      <c r="F4236" t="s">
        <v>32609</v>
      </c>
      <c r="G4236" t="s">
        <v>32619</v>
      </c>
      <c r="H4236" t="s">
        <v>32623</v>
      </c>
      <c r="I4236" t="s">
        <v>17648</v>
      </c>
      <c r="J4236" t="s">
        <v>35368</v>
      </c>
      <c r="K4236" t="s">
        <v>42754</v>
      </c>
      <c r="M4236" t="s">
        <v>43133</v>
      </c>
      <c r="N4236" t="s">
        <v>47304</v>
      </c>
      <c r="O4236" t="s">
        <v>47305</v>
      </c>
      <c r="P4236">
        <v>0</v>
      </c>
      <c r="Q4236">
        <v>0</v>
      </c>
      <c r="R4236" t="s">
        <v>47306</v>
      </c>
      <c r="S4236" t="s">
        <v>47414</v>
      </c>
      <c r="T4236" t="s">
        <v>49234</v>
      </c>
      <c r="U4236" t="s">
        <v>53175</v>
      </c>
      <c r="W4236" t="s">
        <v>43133</v>
      </c>
      <c r="X4236" t="s">
        <v>47308</v>
      </c>
    </row>
    <row r="4237" spans="1:24">
      <c r="A4237">
        <f>HYPERLINK("https://www.philgeps.gov.ph/GEPSNONPILOT/Tender/SplashBidNoticeAbstractUI.aspx?menuIndex=3&amp;refID=7196737&amp;Result=3","7196737")</f>
        <v>0</v>
      </c>
      <c r="B4237" t="s">
        <v>867</v>
      </c>
      <c r="C4237" t="s">
        <v>7862</v>
      </c>
      <c r="D4237" t="s">
        <v>19040</v>
      </c>
      <c r="E4237" t="s">
        <v>22872</v>
      </c>
      <c r="F4237" t="s">
        <v>32606</v>
      </c>
      <c r="G4237" t="s">
        <v>32614</v>
      </c>
      <c r="H4237" t="s">
        <v>14201</v>
      </c>
      <c r="I4237" t="s">
        <v>7577</v>
      </c>
      <c r="J4237" t="s">
        <v>35607</v>
      </c>
      <c r="K4237" t="s">
        <v>42631</v>
      </c>
      <c r="M4237" t="s">
        <v>43801</v>
      </c>
      <c r="N4237" t="s">
        <v>47304</v>
      </c>
      <c r="O4237" t="s">
        <v>47305</v>
      </c>
      <c r="P4237">
        <v>0</v>
      </c>
      <c r="Q4237">
        <v>2</v>
      </c>
      <c r="R4237" t="s">
        <v>47306</v>
      </c>
      <c r="S4237" t="s">
        <v>47414</v>
      </c>
      <c r="T4237" t="s">
        <v>49061</v>
      </c>
      <c r="U4237" t="s">
        <v>51203</v>
      </c>
      <c r="W4237" t="s">
        <v>43801</v>
      </c>
      <c r="X4237" t="s">
        <v>47308</v>
      </c>
    </row>
    <row r="4238" spans="1:24">
      <c r="A4238">
        <f>HYPERLINK("https://www.philgeps.gov.ph/GEPSNONPILOT/Tender/SplashBidNoticeAbstractUI.aspx?menuIndex=3&amp;refID=7196749&amp;Result=3","7196749")</f>
        <v>0</v>
      </c>
      <c r="B4238" t="s">
        <v>1527</v>
      </c>
      <c r="C4238" t="s">
        <v>7863</v>
      </c>
      <c r="D4238" t="s">
        <v>19056</v>
      </c>
      <c r="E4238" t="s">
        <v>22873</v>
      </c>
      <c r="F4238" t="s">
        <v>32606</v>
      </c>
      <c r="G4238" t="s">
        <v>32613</v>
      </c>
      <c r="H4238" t="s">
        <v>32623</v>
      </c>
      <c r="I4238" t="s">
        <v>17648</v>
      </c>
      <c r="J4238" t="s">
        <v>32920</v>
      </c>
      <c r="K4238" t="s">
        <v>42631</v>
      </c>
      <c r="M4238" t="s">
        <v>44528</v>
      </c>
      <c r="N4238" t="s">
        <v>47304</v>
      </c>
      <c r="O4238" t="s">
        <v>47305</v>
      </c>
      <c r="P4238">
        <v>0</v>
      </c>
      <c r="Q4238">
        <v>0</v>
      </c>
      <c r="R4238" t="s">
        <v>47306</v>
      </c>
      <c r="S4238" t="s">
        <v>47414</v>
      </c>
      <c r="T4238" t="s">
        <v>48973</v>
      </c>
      <c r="U4238" t="s">
        <v>53176</v>
      </c>
      <c r="V4238" t="s">
        <v>63067</v>
      </c>
      <c r="W4238" t="s">
        <v>44528</v>
      </c>
      <c r="X4238" t="s">
        <v>47308</v>
      </c>
    </row>
    <row r="4239" spans="1:24">
      <c r="A4239">
        <f>HYPERLINK("https://www.philgeps.gov.ph/GEPSNONPILOT/Tender/SplashBidNoticeAbstractUI.aspx?menuIndex=3&amp;refID=7196736&amp;Result=3","7196736")</f>
        <v>0</v>
      </c>
      <c r="B4239" t="s">
        <v>1613</v>
      </c>
      <c r="C4239" t="s">
        <v>7864</v>
      </c>
      <c r="D4239" t="s">
        <v>19039</v>
      </c>
      <c r="E4239" t="s">
        <v>22874</v>
      </c>
      <c r="F4239" t="s">
        <v>32606</v>
      </c>
      <c r="G4239" t="s">
        <v>32613</v>
      </c>
      <c r="H4239" t="s">
        <v>14201</v>
      </c>
      <c r="I4239" t="s">
        <v>6931</v>
      </c>
      <c r="J4239" t="s">
        <v>35608</v>
      </c>
      <c r="K4239" t="s">
        <v>42624</v>
      </c>
      <c r="M4239" t="s">
        <v>44633</v>
      </c>
      <c r="N4239" t="s">
        <v>47304</v>
      </c>
      <c r="O4239" t="s">
        <v>47305</v>
      </c>
      <c r="P4239">
        <v>0</v>
      </c>
      <c r="Q4239">
        <v>0</v>
      </c>
      <c r="R4239" t="s">
        <v>47306</v>
      </c>
      <c r="S4239" t="s">
        <v>47414</v>
      </c>
      <c r="T4239" t="s">
        <v>48986</v>
      </c>
      <c r="U4239" t="s">
        <v>53177</v>
      </c>
      <c r="W4239" t="s">
        <v>44633</v>
      </c>
      <c r="X4239" t="s">
        <v>47308</v>
      </c>
    </row>
    <row r="4240" spans="1:24">
      <c r="A4240">
        <f>HYPERLINK("https://www.philgeps.gov.ph/GEPSNONPILOT/Tender/SplashBidNoticeAbstractUI.aspx?menuIndex=3&amp;refID=7196771&amp;Result=3","7196771")</f>
        <v>0</v>
      </c>
      <c r="B4240" t="s">
        <v>1614</v>
      </c>
      <c r="C4240" t="s">
        <v>7865</v>
      </c>
      <c r="D4240" t="s">
        <v>18991</v>
      </c>
      <c r="E4240" t="s">
        <v>22875</v>
      </c>
      <c r="F4240" t="s">
        <v>32606</v>
      </c>
      <c r="G4240" t="s">
        <v>32613</v>
      </c>
      <c r="H4240" t="s">
        <v>14201</v>
      </c>
      <c r="I4240" t="s">
        <v>6993</v>
      </c>
      <c r="J4240" t="s">
        <v>35609</v>
      </c>
      <c r="K4240" t="s">
        <v>42639</v>
      </c>
      <c r="M4240" t="s">
        <v>44634</v>
      </c>
      <c r="N4240" t="s">
        <v>47304</v>
      </c>
      <c r="O4240" t="s">
        <v>47305</v>
      </c>
      <c r="P4240">
        <v>0</v>
      </c>
      <c r="Q4240">
        <v>1</v>
      </c>
      <c r="R4240" t="s">
        <v>47306</v>
      </c>
      <c r="S4240" t="s">
        <v>47414</v>
      </c>
      <c r="T4240" t="s">
        <v>49008</v>
      </c>
      <c r="U4240" t="s">
        <v>53178</v>
      </c>
      <c r="W4240" t="s">
        <v>44634</v>
      </c>
      <c r="X4240" t="s">
        <v>47308</v>
      </c>
    </row>
    <row r="4241" spans="1:24">
      <c r="A4241">
        <f>HYPERLINK("https://www.philgeps.gov.ph/GEPSNONPILOT/Tender/SplashBidNoticeAbstractUI.aspx?menuIndex=3&amp;refID=7196743&amp;Result=3","7196743")</f>
        <v>0</v>
      </c>
      <c r="B4241" t="s">
        <v>1227</v>
      </c>
      <c r="C4241" t="s">
        <v>7866</v>
      </c>
      <c r="D4241" t="s">
        <v>19012</v>
      </c>
      <c r="E4241" t="s">
        <v>19918</v>
      </c>
      <c r="F4241" t="s">
        <v>32606</v>
      </c>
      <c r="G4241" t="s">
        <v>32614</v>
      </c>
      <c r="H4241" t="s">
        <v>32623</v>
      </c>
      <c r="I4241" t="s">
        <v>17648</v>
      </c>
      <c r="J4241" t="s">
        <v>35610</v>
      </c>
      <c r="K4241" t="s">
        <v>42624</v>
      </c>
      <c r="M4241" t="s">
        <v>44192</v>
      </c>
      <c r="N4241" t="s">
        <v>47304</v>
      </c>
      <c r="O4241" t="s">
        <v>47305</v>
      </c>
      <c r="P4241">
        <v>0</v>
      </c>
      <c r="Q4241">
        <v>1</v>
      </c>
      <c r="R4241" t="s">
        <v>47306</v>
      </c>
      <c r="S4241" t="s">
        <v>47414</v>
      </c>
      <c r="T4241" t="s">
        <v>49014</v>
      </c>
      <c r="U4241" t="s">
        <v>53179</v>
      </c>
      <c r="W4241" t="s">
        <v>44192</v>
      </c>
      <c r="X4241" t="s">
        <v>47308</v>
      </c>
    </row>
    <row r="4242" spans="1:24">
      <c r="A4242">
        <f>HYPERLINK("https://www.philgeps.gov.ph/GEPSNONPILOT/Tender/SplashBidNoticeAbstractUI.aspx?menuIndex=3&amp;refID=7196778&amp;Result=3","7196778")</f>
        <v>0</v>
      </c>
      <c r="B4242" t="s">
        <v>422</v>
      </c>
      <c r="C4242" t="s">
        <v>7867</v>
      </c>
      <c r="D4242" t="s">
        <v>19030</v>
      </c>
      <c r="E4242" t="s">
        <v>22876</v>
      </c>
      <c r="F4242" t="s">
        <v>32606</v>
      </c>
      <c r="G4242" t="s">
        <v>32613</v>
      </c>
      <c r="H4242" t="s">
        <v>32623</v>
      </c>
      <c r="I4242" t="s">
        <v>17648</v>
      </c>
      <c r="J4242" t="s">
        <v>35611</v>
      </c>
      <c r="K4242" t="s">
        <v>42755</v>
      </c>
      <c r="M4242" t="s">
        <v>43326</v>
      </c>
      <c r="N4242" t="s">
        <v>47304</v>
      </c>
      <c r="O4242" t="s">
        <v>47305</v>
      </c>
      <c r="P4242">
        <v>0</v>
      </c>
      <c r="Q4242">
        <v>0</v>
      </c>
      <c r="R4242" t="s">
        <v>47306</v>
      </c>
      <c r="S4242" t="s">
        <v>47414</v>
      </c>
      <c r="T4242" t="s">
        <v>48973</v>
      </c>
      <c r="U4242" t="s">
        <v>53180</v>
      </c>
      <c r="W4242" t="s">
        <v>43326</v>
      </c>
      <c r="X4242" t="s">
        <v>47308</v>
      </c>
    </row>
    <row r="4243" spans="1:24">
      <c r="A4243">
        <f>HYPERLINK("https://www.philgeps.gov.ph/GEPSNONPILOT/Tender/SplashBidNoticeAbstractUI.aspx?menuIndex=3&amp;refID=7196740&amp;Result=3","7196740")</f>
        <v>0</v>
      </c>
      <c r="B4243" t="s">
        <v>692</v>
      </c>
      <c r="C4243" t="s">
        <v>7868</v>
      </c>
      <c r="D4243" t="s">
        <v>18992</v>
      </c>
      <c r="E4243" t="s">
        <v>20332</v>
      </c>
      <c r="F4243" t="s">
        <v>32606</v>
      </c>
      <c r="G4243" t="s">
        <v>32614</v>
      </c>
      <c r="H4243" t="s">
        <v>14201</v>
      </c>
      <c r="I4243" t="s">
        <v>6931</v>
      </c>
      <c r="J4243" t="s">
        <v>35612</v>
      </c>
      <c r="K4243" t="s">
        <v>42629</v>
      </c>
      <c r="M4243" t="s">
        <v>43613</v>
      </c>
      <c r="N4243" t="s">
        <v>47304</v>
      </c>
      <c r="O4243" t="s">
        <v>47305</v>
      </c>
      <c r="P4243">
        <v>0</v>
      </c>
      <c r="Q4243">
        <v>0</v>
      </c>
      <c r="R4243" t="s">
        <v>47306</v>
      </c>
      <c r="S4243" t="s">
        <v>47414</v>
      </c>
      <c r="T4243" t="s">
        <v>48980</v>
      </c>
      <c r="U4243" t="s">
        <v>53181</v>
      </c>
      <c r="W4243" t="s">
        <v>43613</v>
      </c>
      <c r="X4243" t="s">
        <v>47308</v>
      </c>
    </row>
    <row r="4244" spans="1:24">
      <c r="A4244">
        <f>HYPERLINK("https://www.philgeps.gov.ph/GEPSNONPILOT/Tender/SplashBidNoticeAbstractUI.aspx?menuIndex=3&amp;refID=7196777&amp;Result=3","7196777")</f>
        <v>0</v>
      </c>
      <c r="B4244" t="s">
        <v>692</v>
      </c>
      <c r="C4244" t="s">
        <v>7869</v>
      </c>
      <c r="D4244" t="s">
        <v>18992</v>
      </c>
      <c r="E4244" t="s">
        <v>20332</v>
      </c>
      <c r="F4244" t="s">
        <v>32606</v>
      </c>
      <c r="G4244" t="s">
        <v>32613</v>
      </c>
      <c r="H4244" t="s">
        <v>14201</v>
      </c>
      <c r="I4244" t="s">
        <v>32660</v>
      </c>
      <c r="J4244" t="s">
        <v>35613</v>
      </c>
      <c r="K4244" t="s">
        <v>42622</v>
      </c>
      <c r="L4244" t="s">
        <v>692</v>
      </c>
      <c r="M4244" t="s">
        <v>43613</v>
      </c>
      <c r="N4244" t="s">
        <v>47304</v>
      </c>
      <c r="O4244" t="s">
        <v>47305</v>
      </c>
      <c r="P4244">
        <v>0</v>
      </c>
      <c r="Q4244">
        <v>0</v>
      </c>
      <c r="R4244" t="s">
        <v>47306</v>
      </c>
      <c r="S4244" t="s">
        <v>47414</v>
      </c>
      <c r="T4244" t="s">
        <v>49140</v>
      </c>
      <c r="U4244" t="s">
        <v>53182</v>
      </c>
      <c r="W4244" t="s">
        <v>43613</v>
      </c>
      <c r="X4244" t="s">
        <v>47308</v>
      </c>
    </row>
    <row r="4245" spans="1:24">
      <c r="A4245">
        <f>HYPERLINK("https://www.philgeps.gov.ph/GEPSNONPILOT/Tender/SplashBidNoticeAbstractUI.aspx?menuIndex=3&amp;refID=7196691&amp;Result=3","7196691")</f>
        <v>0</v>
      </c>
      <c r="B4245" t="s">
        <v>61</v>
      </c>
      <c r="C4245" t="s">
        <v>7870</v>
      </c>
      <c r="D4245" t="s">
        <v>19012</v>
      </c>
      <c r="E4245" t="s">
        <v>19916</v>
      </c>
      <c r="F4245" t="s">
        <v>32606</v>
      </c>
      <c r="G4245" t="s">
        <v>32619</v>
      </c>
      <c r="H4245" t="s">
        <v>14201</v>
      </c>
      <c r="I4245" t="s">
        <v>32655</v>
      </c>
      <c r="J4245" t="s">
        <v>32752</v>
      </c>
      <c r="K4245" t="s">
        <v>42622</v>
      </c>
      <c r="M4245" t="s">
        <v>42958</v>
      </c>
      <c r="N4245" t="s">
        <v>47304</v>
      </c>
      <c r="O4245" t="s">
        <v>47305</v>
      </c>
      <c r="P4245">
        <v>0</v>
      </c>
      <c r="Q4245">
        <v>3</v>
      </c>
      <c r="R4245" t="s">
        <v>47306</v>
      </c>
      <c r="S4245" t="s">
        <v>47414</v>
      </c>
      <c r="T4245" t="s">
        <v>48980</v>
      </c>
      <c r="U4245" t="s">
        <v>53183</v>
      </c>
      <c r="V4245" t="s">
        <v>50845</v>
      </c>
      <c r="W4245" t="s">
        <v>42958</v>
      </c>
      <c r="X4245" t="s">
        <v>47308</v>
      </c>
    </row>
    <row r="4246" spans="1:24">
      <c r="A4246">
        <f>HYPERLINK("https://www.philgeps.gov.ph/GEPSNONPILOT/Tender/SplashBidNoticeAbstractUI.aspx?menuIndex=3&amp;refID=7196774&amp;Result=3","7196774")</f>
        <v>0</v>
      </c>
      <c r="B4246" t="s">
        <v>1615</v>
      </c>
      <c r="C4246" t="s">
        <v>7871</v>
      </c>
      <c r="D4246" t="s">
        <v>19030</v>
      </c>
      <c r="E4246" t="s">
        <v>22877</v>
      </c>
      <c r="F4246" t="s">
        <v>32606</v>
      </c>
      <c r="G4246" t="s">
        <v>32614</v>
      </c>
      <c r="H4246" t="s">
        <v>14201</v>
      </c>
      <c r="I4246" t="s">
        <v>6931</v>
      </c>
      <c r="J4246" t="s">
        <v>35614</v>
      </c>
      <c r="K4246" t="s">
        <v>42630</v>
      </c>
      <c r="M4246" t="s">
        <v>44635</v>
      </c>
      <c r="N4246" t="s">
        <v>47304</v>
      </c>
      <c r="O4246" t="s">
        <v>47305</v>
      </c>
      <c r="P4246">
        <v>0</v>
      </c>
      <c r="Q4246">
        <v>0</v>
      </c>
      <c r="R4246" t="s">
        <v>47306</v>
      </c>
      <c r="S4246" t="s">
        <v>47414</v>
      </c>
      <c r="T4246" t="s">
        <v>48980</v>
      </c>
      <c r="U4246" t="s">
        <v>53184</v>
      </c>
      <c r="W4246" t="s">
        <v>44635</v>
      </c>
      <c r="X4246" t="s">
        <v>47308</v>
      </c>
    </row>
    <row r="4247" spans="1:24">
      <c r="A4247">
        <f>HYPERLINK("https://www.philgeps.gov.ph/GEPSNONPILOT/Tender/SplashBidNoticeAbstractUI.aspx?menuIndex=3&amp;refID=7196739&amp;Result=3","7196739")</f>
        <v>0</v>
      </c>
      <c r="B4247" t="s">
        <v>1616</v>
      </c>
      <c r="C4247" t="s">
        <v>7872</v>
      </c>
      <c r="D4247" t="s">
        <v>19019</v>
      </c>
      <c r="E4247" t="s">
        <v>22878</v>
      </c>
      <c r="F4247" t="s">
        <v>32606</v>
      </c>
      <c r="G4247" t="s">
        <v>32614</v>
      </c>
      <c r="H4247" t="s">
        <v>14201</v>
      </c>
      <c r="I4247" t="s">
        <v>32631</v>
      </c>
      <c r="J4247" t="s">
        <v>32752</v>
      </c>
      <c r="K4247" t="s">
        <v>42631</v>
      </c>
      <c r="M4247" t="s">
        <v>44636</v>
      </c>
      <c r="N4247" t="s">
        <v>47304</v>
      </c>
      <c r="O4247" t="s">
        <v>47305</v>
      </c>
      <c r="P4247">
        <v>0</v>
      </c>
      <c r="Q4247">
        <v>0</v>
      </c>
      <c r="R4247" t="s">
        <v>47306</v>
      </c>
      <c r="S4247" t="s">
        <v>47414</v>
      </c>
      <c r="T4247" t="s">
        <v>48997</v>
      </c>
      <c r="U4247" t="s">
        <v>53185</v>
      </c>
      <c r="W4247" t="s">
        <v>44636</v>
      </c>
      <c r="X4247" t="s">
        <v>47308</v>
      </c>
    </row>
    <row r="4248" spans="1:24">
      <c r="A4248">
        <f>HYPERLINK("https://www.philgeps.gov.ph/GEPSNONPILOT/Tender/SplashBidNoticeAbstractUI.aspx?menuIndex=3&amp;refID=7196767&amp;Result=3","7196767")</f>
        <v>0</v>
      </c>
      <c r="B4248" t="s">
        <v>775</v>
      </c>
      <c r="C4248" t="s">
        <v>7491</v>
      </c>
      <c r="D4248" t="s">
        <v>19019</v>
      </c>
      <c r="E4248" t="s">
        <v>22879</v>
      </c>
      <c r="F4248" t="s">
        <v>32606</v>
      </c>
      <c r="G4248" t="s">
        <v>32614</v>
      </c>
      <c r="H4248" t="s">
        <v>14201</v>
      </c>
      <c r="I4248" t="s">
        <v>4678</v>
      </c>
      <c r="J4248" t="s">
        <v>33291</v>
      </c>
      <c r="K4248" t="s">
        <v>42630</v>
      </c>
      <c r="M4248" t="s">
        <v>43704</v>
      </c>
      <c r="N4248" t="s">
        <v>47304</v>
      </c>
      <c r="O4248" t="s">
        <v>47305</v>
      </c>
      <c r="P4248">
        <v>0</v>
      </c>
      <c r="Q4248">
        <v>0</v>
      </c>
      <c r="R4248" t="s">
        <v>47306</v>
      </c>
      <c r="S4248" t="s">
        <v>47414</v>
      </c>
      <c r="T4248" t="s">
        <v>49117</v>
      </c>
      <c r="U4248" t="s">
        <v>53186</v>
      </c>
      <c r="W4248" t="s">
        <v>43704</v>
      </c>
      <c r="X4248" t="s">
        <v>47308</v>
      </c>
    </row>
    <row r="4249" spans="1:24">
      <c r="A4249">
        <f>HYPERLINK("https://www.philgeps.gov.ph/GEPSNONPILOT/Tender/SplashBidNoticeAbstractUI.aspx?menuIndex=3&amp;refID=7196776&amp;Result=3","7196776")</f>
        <v>0</v>
      </c>
      <c r="B4249" t="s">
        <v>238</v>
      </c>
      <c r="C4249" t="s">
        <v>7873</v>
      </c>
      <c r="D4249" t="s">
        <v>18993</v>
      </c>
      <c r="E4249" t="s">
        <v>22880</v>
      </c>
      <c r="F4249" t="s">
        <v>32606</v>
      </c>
      <c r="G4249" t="s">
        <v>32619</v>
      </c>
      <c r="H4249" t="s">
        <v>14201</v>
      </c>
      <c r="I4249" t="s">
        <v>32633</v>
      </c>
      <c r="J4249" t="s">
        <v>35615</v>
      </c>
      <c r="K4249" t="s">
        <v>42622</v>
      </c>
      <c r="M4249" t="s">
        <v>43794</v>
      </c>
      <c r="N4249" t="s">
        <v>47304</v>
      </c>
      <c r="O4249" t="s">
        <v>47305</v>
      </c>
      <c r="P4249">
        <v>0</v>
      </c>
      <c r="Q4249">
        <v>5</v>
      </c>
      <c r="R4249" t="s">
        <v>47306</v>
      </c>
      <c r="S4249" t="s">
        <v>47414</v>
      </c>
      <c r="T4249" t="s">
        <v>49165</v>
      </c>
      <c r="U4249" t="s">
        <v>53187</v>
      </c>
      <c r="W4249" t="s">
        <v>43794</v>
      </c>
      <c r="X4249" t="s">
        <v>47308</v>
      </c>
    </row>
    <row r="4250" spans="1:24">
      <c r="A4250">
        <f>HYPERLINK("https://www.philgeps.gov.ph/GEPSNONPILOT/Tender/SplashBidNoticeAbstractUI.aspx?menuIndex=3&amp;refID=7196766&amp;Result=3","7196766")</f>
        <v>0</v>
      </c>
      <c r="B4250" t="s">
        <v>1508</v>
      </c>
      <c r="C4250" t="s">
        <v>7874</v>
      </c>
      <c r="D4250" t="s">
        <v>19016</v>
      </c>
      <c r="E4250" t="s">
        <v>22881</v>
      </c>
      <c r="F4250" t="s">
        <v>32606</v>
      </c>
      <c r="G4250" t="s">
        <v>32613</v>
      </c>
      <c r="H4250" t="s">
        <v>14201</v>
      </c>
      <c r="I4250" t="s">
        <v>4120</v>
      </c>
      <c r="J4250" t="s">
        <v>35616</v>
      </c>
      <c r="K4250" t="s">
        <v>42631</v>
      </c>
      <c r="L4250" t="s">
        <v>1508</v>
      </c>
      <c r="M4250" t="s">
        <v>44506</v>
      </c>
      <c r="N4250" t="s">
        <v>47304</v>
      </c>
      <c r="O4250" t="s">
        <v>47305</v>
      </c>
      <c r="P4250">
        <v>0</v>
      </c>
      <c r="Q4250">
        <v>0</v>
      </c>
      <c r="R4250" t="s">
        <v>47306</v>
      </c>
      <c r="S4250" t="s">
        <v>47414</v>
      </c>
      <c r="T4250" t="s">
        <v>49009</v>
      </c>
      <c r="U4250" t="s">
        <v>53188</v>
      </c>
      <c r="W4250" t="s">
        <v>44506</v>
      </c>
      <c r="X4250" t="s">
        <v>47308</v>
      </c>
    </row>
    <row r="4251" spans="1:24">
      <c r="A4251">
        <f>HYPERLINK("https://www.philgeps.gov.ph/GEPSNONPILOT/Tender/SplashBidNoticeAbstractUI.aspx?menuIndex=3&amp;refID=7196775&amp;Result=3","7196775")</f>
        <v>0</v>
      </c>
      <c r="B4251" t="s">
        <v>1577</v>
      </c>
      <c r="C4251" t="s">
        <v>7875</v>
      </c>
      <c r="D4251" t="s">
        <v>19005</v>
      </c>
      <c r="E4251" t="s">
        <v>22882</v>
      </c>
      <c r="F4251" t="s">
        <v>32606</v>
      </c>
      <c r="G4251" t="s">
        <v>32614</v>
      </c>
      <c r="H4251" t="s">
        <v>14201</v>
      </c>
      <c r="I4251" t="s">
        <v>32629</v>
      </c>
      <c r="J4251" t="s">
        <v>35617</v>
      </c>
      <c r="K4251" t="s">
        <v>42631</v>
      </c>
      <c r="M4251" t="s">
        <v>44589</v>
      </c>
      <c r="N4251" t="s">
        <v>47304</v>
      </c>
      <c r="O4251" t="s">
        <v>47305</v>
      </c>
      <c r="P4251">
        <v>0</v>
      </c>
      <c r="Q4251">
        <v>0</v>
      </c>
      <c r="R4251" t="s">
        <v>47306</v>
      </c>
      <c r="S4251" t="s">
        <v>47414</v>
      </c>
      <c r="T4251" t="s">
        <v>49004</v>
      </c>
      <c r="U4251" t="s">
        <v>53189</v>
      </c>
      <c r="V4251" t="s">
        <v>63056</v>
      </c>
      <c r="W4251" t="s">
        <v>44589</v>
      </c>
      <c r="X4251" t="s">
        <v>47308</v>
      </c>
    </row>
    <row r="4252" spans="1:24">
      <c r="A4252">
        <f>HYPERLINK("https://www.philgeps.gov.ph/GEPSNONPILOT/Tender/SplashBidNoticeAbstractUI.aspx?menuIndex=3&amp;refID=7196706&amp;Result=3","7196706")</f>
        <v>0</v>
      </c>
      <c r="B4252" t="s">
        <v>1617</v>
      </c>
      <c r="C4252" t="s">
        <v>7876</v>
      </c>
      <c r="D4252" t="s">
        <v>19019</v>
      </c>
      <c r="E4252" t="s">
        <v>20660</v>
      </c>
      <c r="F4252" t="s">
        <v>32606</v>
      </c>
      <c r="G4252" t="s">
        <v>32613</v>
      </c>
      <c r="H4252" t="s">
        <v>14201</v>
      </c>
      <c r="I4252" t="s">
        <v>4120</v>
      </c>
      <c r="J4252" t="s">
        <v>32767</v>
      </c>
      <c r="K4252" t="s">
        <v>42631</v>
      </c>
      <c r="M4252" t="s">
        <v>44637</v>
      </c>
      <c r="N4252" t="s">
        <v>47304</v>
      </c>
      <c r="O4252" t="s">
        <v>47305</v>
      </c>
      <c r="P4252">
        <v>0</v>
      </c>
      <c r="Q4252">
        <v>0</v>
      </c>
      <c r="R4252" t="s">
        <v>47306</v>
      </c>
      <c r="S4252" t="s">
        <v>47414</v>
      </c>
      <c r="T4252" t="s">
        <v>49027</v>
      </c>
      <c r="U4252" t="s">
        <v>53190</v>
      </c>
      <c r="W4252" t="s">
        <v>44637</v>
      </c>
      <c r="X4252" t="s">
        <v>47308</v>
      </c>
    </row>
    <row r="4253" spans="1:24">
      <c r="A4253">
        <f>HYPERLINK("https://www.philgeps.gov.ph/GEPSNONPILOT/Tender/SplashBidNoticeAbstractUI.aspx?menuIndex=3&amp;refID=7196768&amp;Result=3","7196768")</f>
        <v>0</v>
      </c>
      <c r="B4253" t="s">
        <v>867</v>
      </c>
      <c r="C4253" t="s">
        <v>7279</v>
      </c>
      <c r="D4253" t="s">
        <v>19040</v>
      </c>
      <c r="E4253" t="s">
        <v>22883</v>
      </c>
      <c r="F4253" t="s">
        <v>32606</v>
      </c>
      <c r="G4253" t="s">
        <v>32614</v>
      </c>
      <c r="H4253" t="s">
        <v>14201</v>
      </c>
      <c r="I4253" t="s">
        <v>6298</v>
      </c>
      <c r="J4253" t="s">
        <v>35618</v>
      </c>
      <c r="K4253" t="s">
        <v>42631</v>
      </c>
      <c r="M4253" t="s">
        <v>43801</v>
      </c>
      <c r="N4253" t="s">
        <v>47304</v>
      </c>
      <c r="O4253" t="s">
        <v>47305</v>
      </c>
      <c r="P4253">
        <v>0</v>
      </c>
      <c r="Q4253">
        <v>5</v>
      </c>
      <c r="R4253" t="s">
        <v>47306</v>
      </c>
      <c r="S4253" t="s">
        <v>47414</v>
      </c>
      <c r="T4253" t="s">
        <v>49061</v>
      </c>
      <c r="U4253" t="s">
        <v>53191</v>
      </c>
      <c r="W4253" t="s">
        <v>43801</v>
      </c>
      <c r="X4253" t="s">
        <v>47308</v>
      </c>
    </row>
    <row r="4254" spans="1:24">
      <c r="A4254">
        <f>HYPERLINK("https://www.philgeps.gov.ph/GEPSNONPILOT/Tender/SplashBidNoticeAbstractUI.aspx?menuIndex=3&amp;refID=7196761&amp;Result=3","7196761")</f>
        <v>0</v>
      </c>
      <c r="B4254" t="s">
        <v>1596</v>
      </c>
      <c r="C4254" t="s">
        <v>7877</v>
      </c>
      <c r="D4254" t="s">
        <v>18997</v>
      </c>
      <c r="E4254" t="s">
        <v>22884</v>
      </c>
      <c r="F4254" t="s">
        <v>32606</v>
      </c>
      <c r="G4254" t="s">
        <v>32614</v>
      </c>
      <c r="H4254" t="s">
        <v>14201</v>
      </c>
      <c r="I4254" t="s">
        <v>32629</v>
      </c>
      <c r="J4254" t="s">
        <v>35619</v>
      </c>
      <c r="K4254" t="s">
        <v>42623</v>
      </c>
      <c r="M4254" t="s">
        <v>44610</v>
      </c>
      <c r="N4254" t="s">
        <v>47304</v>
      </c>
      <c r="O4254" t="s">
        <v>47305</v>
      </c>
      <c r="P4254">
        <v>0</v>
      </c>
      <c r="Q4254">
        <v>0</v>
      </c>
      <c r="R4254" t="s">
        <v>47306</v>
      </c>
      <c r="S4254" t="s">
        <v>47414</v>
      </c>
      <c r="T4254" t="s">
        <v>49004</v>
      </c>
      <c r="U4254" t="s">
        <v>53192</v>
      </c>
      <c r="W4254" t="s">
        <v>44610</v>
      </c>
      <c r="X4254" t="s">
        <v>47308</v>
      </c>
    </row>
    <row r="4255" spans="1:24">
      <c r="A4255">
        <f>HYPERLINK("https://www.philgeps.gov.ph/GEPSNONPILOT/Tender/SplashBidNoticeAbstractUI.aspx?menuIndex=3&amp;refID=7196760&amp;Result=3","7196760")</f>
        <v>0</v>
      </c>
      <c r="B4255" t="s">
        <v>1618</v>
      </c>
      <c r="C4255" t="s">
        <v>7878</v>
      </c>
      <c r="D4255" t="s">
        <v>19016</v>
      </c>
      <c r="E4255" t="s">
        <v>22885</v>
      </c>
      <c r="F4255" t="s">
        <v>32606</v>
      </c>
      <c r="G4255" t="s">
        <v>32614</v>
      </c>
      <c r="H4255" t="s">
        <v>14201</v>
      </c>
      <c r="I4255" t="s">
        <v>6007</v>
      </c>
      <c r="J4255" t="s">
        <v>35620</v>
      </c>
      <c r="K4255" t="s">
        <v>42630</v>
      </c>
      <c r="M4255" t="s">
        <v>44638</v>
      </c>
      <c r="N4255" t="s">
        <v>47304</v>
      </c>
      <c r="O4255" t="s">
        <v>47305</v>
      </c>
      <c r="P4255">
        <v>0</v>
      </c>
      <c r="Q4255">
        <v>0</v>
      </c>
      <c r="R4255" t="s">
        <v>47306</v>
      </c>
      <c r="S4255" t="s">
        <v>47414</v>
      </c>
      <c r="T4255" t="s">
        <v>48979</v>
      </c>
      <c r="U4255" t="s">
        <v>53193</v>
      </c>
      <c r="W4255" t="s">
        <v>44638</v>
      </c>
      <c r="X4255" t="s">
        <v>47308</v>
      </c>
    </row>
    <row r="4256" spans="1:24">
      <c r="A4256">
        <f>HYPERLINK("https://www.philgeps.gov.ph/GEPSNONPILOT/Tender/SplashBidNoticeAbstractUI.aspx?menuIndex=3&amp;refID=7196757&amp;Result=3","7196757")</f>
        <v>0</v>
      </c>
      <c r="B4256" t="s">
        <v>1619</v>
      </c>
      <c r="C4256" t="s">
        <v>4602</v>
      </c>
      <c r="D4256" t="s">
        <v>19024</v>
      </c>
      <c r="E4256" t="s">
        <v>22886</v>
      </c>
      <c r="F4256" t="s">
        <v>32607</v>
      </c>
      <c r="G4256" t="s">
        <v>32619</v>
      </c>
      <c r="H4256" t="s">
        <v>14201</v>
      </c>
      <c r="I4256" t="s">
        <v>6298</v>
      </c>
      <c r="J4256" t="s">
        <v>35183</v>
      </c>
      <c r="K4256" t="s">
        <v>42624</v>
      </c>
      <c r="M4256" t="s">
        <v>44639</v>
      </c>
      <c r="N4256" t="s">
        <v>47304</v>
      </c>
      <c r="O4256" t="s">
        <v>47305</v>
      </c>
      <c r="P4256">
        <v>0</v>
      </c>
      <c r="Q4256">
        <v>0</v>
      </c>
      <c r="R4256" t="s">
        <v>47306</v>
      </c>
      <c r="S4256" t="s">
        <v>47414</v>
      </c>
      <c r="T4256" t="s">
        <v>49053</v>
      </c>
      <c r="U4256" t="s">
        <v>53194</v>
      </c>
      <c r="W4256" t="s">
        <v>44639</v>
      </c>
      <c r="X4256" t="s">
        <v>47308</v>
      </c>
    </row>
    <row r="4257" spans="1:24">
      <c r="A4257">
        <f>HYPERLINK("https://www.philgeps.gov.ph/GEPSNONPILOT/Tender/SplashBidNoticeAbstractUI.aspx?menuIndex=3&amp;refID=7196765&amp;Result=3","7196765")</f>
        <v>0</v>
      </c>
      <c r="B4257" t="s">
        <v>1620</v>
      </c>
      <c r="C4257" t="s">
        <v>3971</v>
      </c>
      <c r="D4257" t="s">
        <v>19018</v>
      </c>
      <c r="E4257" t="s">
        <v>19847</v>
      </c>
      <c r="F4257" t="s">
        <v>32606</v>
      </c>
      <c r="G4257" t="s">
        <v>32617</v>
      </c>
      <c r="H4257" t="s">
        <v>14201</v>
      </c>
      <c r="I4257" t="s">
        <v>4114</v>
      </c>
      <c r="J4257" t="s">
        <v>34282</v>
      </c>
      <c r="K4257" t="s">
        <v>42624</v>
      </c>
      <c r="M4257" t="s">
        <v>44640</v>
      </c>
      <c r="N4257" t="s">
        <v>47304</v>
      </c>
      <c r="O4257" t="s">
        <v>47305</v>
      </c>
      <c r="P4257">
        <v>0</v>
      </c>
      <c r="Q4257">
        <v>0</v>
      </c>
      <c r="R4257" t="s">
        <v>47306</v>
      </c>
      <c r="S4257" t="s">
        <v>47414</v>
      </c>
      <c r="T4257" t="s">
        <v>49014</v>
      </c>
      <c r="U4257" t="s">
        <v>52592</v>
      </c>
      <c r="W4257" t="s">
        <v>44640</v>
      </c>
      <c r="X4257" t="s">
        <v>47308</v>
      </c>
    </row>
    <row r="4258" spans="1:24">
      <c r="A4258">
        <f>HYPERLINK("https://www.philgeps.gov.ph/GEPSNONPILOT/Tender/SplashBidNoticeAbstractUI.aspx?menuIndex=3&amp;refID=7196755&amp;Result=3","7196755")</f>
        <v>0</v>
      </c>
      <c r="B4258" t="s">
        <v>1022</v>
      </c>
      <c r="C4258" t="s">
        <v>7879</v>
      </c>
      <c r="D4258" t="s">
        <v>19033</v>
      </c>
      <c r="E4258" t="s">
        <v>7879</v>
      </c>
      <c r="F4258" t="s">
        <v>32606</v>
      </c>
      <c r="G4258" t="s">
        <v>32614</v>
      </c>
      <c r="H4258" t="s">
        <v>14201</v>
      </c>
      <c r="I4258" t="s">
        <v>6931</v>
      </c>
      <c r="J4258" t="s">
        <v>35561</v>
      </c>
      <c r="K4258" t="s">
        <v>42631</v>
      </c>
      <c r="M4258" t="s">
        <v>43974</v>
      </c>
      <c r="N4258" t="s">
        <v>47304</v>
      </c>
      <c r="O4258" t="s">
        <v>47305</v>
      </c>
      <c r="P4258">
        <v>0</v>
      </c>
      <c r="Q4258">
        <v>0</v>
      </c>
      <c r="R4258" t="s">
        <v>47306</v>
      </c>
      <c r="S4258" t="s">
        <v>47414</v>
      </c>
      <c r="T4258" t="s">
        <v>48980</v>
      </c>
      <c r="U4258" t="s">
        <v>53195</v>
      </c>
      <c r="W4258" t="s">
        <v>43974</v>
      </c>
      <c r="X4258" t="s">
        <v>47308</v>
      </c>
    </row>
    <row r="4259" spans="1:24">
      <c r="A4259">
        <f>HYPERLINK("https://www.philgeps.gov.ph/GEPSNONPILOT/Tender/SplashBidNoticeAbstractUI.aspx?menuIndex=3&amp;refID=7196754&amp;Result=3","7196754")</f>
        <v>0</v>
      </c>
      <c r="B4259" t="s">
        <v>1036</v>
      </c>
      <c r="C4259" t="s">
        <v>7880</v>
      </c>
      <c r="D4259" t="s">
        <v>19039</v>
      </c>
      <c r="E4259" t="s">
        <v>22887</v>
      </c>
      <c r="F4259" t="s">
        <v>32606</v>
      </c>
      <c r="G4259" t="s">
        <v>32614</v>
      </c>
      <c r="H4259" t="s">
        <v>32623</v>
      </c>
      <c r="I4259" t="s">
        <v>17648</v>
      </c>
      <c r="J4259" t="s">
        <v>32789</v>
      </c>
      <c r="K4259" t="s">
        <v>42631</v>
      </c>
      <c r="M4259" t="s">
        <v>44615</v>
      </c>
      <c r="N4259" t="s">
        <v>47304</v>
      </c>
      <c r="O4259" t="s">
        <v>47305</v>
      </c>
      <c r="P4259">
        <v>0</v>
      </c>
      <c r="Q4259">
        <v>0</v>
      </c>
      <c r="R4259" t="s">
        <v>47306</v>
      </c>
      <c r="S4259" t="s">
        <v>47414</v>
      </c>
      <c r="T4259" t="s">
        <v>49011</v>
      </c>
      <c r="U4259" t="s">
        <v>53196</v>
      </c>
      <c r="W4259" t="s">
        <v>44615</v>
      </c>
      <c r="X4259" t="s">
        <v>47308</v>
      </c>
    </row>
    <row r="4260" spans="1:24">
      <c r="A4260">
        <f>HYPERLINK("https://www.philgeps.gov.ph/GEPSNONPILOT/Tender/SplashBidNoticeAbstractUI.aspx?menuIndex=3&amp;refID=7196764&amp;Result=3","7196764")</f>
        <v>0</v>
      </c>
      <c r="B4260" t="s">
        <v>1360</v>
      </c>
      <c r="C4260" t="s">
        <v>7881</v>
      </c>
      <c r="D4260" t="s">
        <v>19042</v>
      </c>
      <c r="E4260" t="s">
        <v>22888</v>
      </c>
      <c r="F4260" t="s">
        <v>32606</v>
      </c>
      <c r="G4260" t="s">
        <v>32614</v>
      </c>
      <c r="H4260" t="s">
        <v>14201</v>
      </c>
      <c r="I4260" t="s">
        <v>7677</v>
      </c>
      <c r="J4260" t="s">
        <v>35621</v>
      </c>
      <c r="K4260" t="s">
        <v>42630</v>
      </c>
      <c r="M4260" t="s">
        <v>44336</v>
      </c>
      <c r="N4260" t="s">
        <v>47304</v>
      </c>
      <c r="O4260" t="s">
        <v>47305</v>
      </c>
      <c r="P4260">
        <v>0</v>
      </c>
      <c r="Q4260">
        <v>0</v>
      </c>
      <c r="R4260" t="s">
        <v>47306</v>
      </c>
      <c r="S4260" t="s">
        <v>47414</v>
      </c>
      <c r="T4260" t="s">
        <v>49012</v>
      </c>
      <c r="U4260" t="s">
        <v>53088</v>
      </c>
      <c r="W4260" t="s">
        <v>44336</v>
      </c>
      <c r="X4260" t="s">
        <v>47308</v>
      </c>
    </row>
    <row r="4261" spans="1:24">
      <c r="A4261">
        <f>HYPERLINK("https://www.philgeps.gov.ph/GEPSNONPILOT/Tender/SplashBidNoticeAbstractUI.aspx?menuIndex=3&amp;refID=7196751&amp;Result=3","7196751")</f>
        <v>0</v>
      </c>
      <c r="B4261" t="s">
        <v>48</v>
      </c>
      <c r="C4261" t="s">
        <v>7882</v>
      </c>
      <c r="E4261" t="s">
        <v>22889</v>
      </c>
      <c r="F4261" t="s">
        <v>32606</v>
      </c>
      <c r="G4261" t="s">
        <v>32614</v>
      </c>
      <c r="H4261" t="s">
        <v>14201</v>
      </c>
      <c r="I4261" t="s">
        <v>6007</v>
      </c>
      <c r="J4261" t="s">
        <v>33274</v>
      </c>
      <c r="K4261" t="s">
        <v>42624</v>
      </c>
      <c r="L4261" t="s">
        <v>48</v>
      </c>
      <c r="M4261" t="s">
        <v>44627</v>
      </c>
      <c r="N4261" t="s">
        <v>47304</v>
      </c>
      <c r="O4261" t="s">
        <v>47305</v>
      </c>
      <c r="P4261">
        <v>0</v>
      </c>
      <c r="Q4261">
        <v>0</v>
      </c>
      <c r="R4261" t="s">
        <v>47306</v>
      </c>
      <c r="S4261" t="s">
        <v>47414</v>
      </c>
      <c r="T4261" t="s">
        <v>48986</v>
      </c>
      <c r="U4261" t="s">
        <v>53157</v>
      </c>
      <c r="W4261" t="s">
        <v>44627</v>
      </c>
      <c r="X4261" t="s">
        <v>47308</v>
      </c>
    </row>
    <row r="4262" spans="1:24">
      <c r="A4262">
        <f>HYPERLINK("https://www.philgeps.gov.ph/GEPSNONPILOT/Tender/SplashBidNoticeAbstractUI.aspx?menuIndex=3&amp;refID=7196731&amp;Result=3","7196731")</f>
        <v>0</v>
      </c>
      <c r="B4262" t="s">
        <v>225</v>
      </c>
      <c r="C4262" t="s">
        <v>7883</v>
      </c>
      <c r="D4262" t="s">
        <v>19000</v>
      </c>
      <c r="E4262" t="s">
        <v>22890</v>
      </c>
      <c r="F4262" t="s">
        <v>32606</v>
      </c>
      <c r="G4262" t="s">
        <v>32614</v>
      </c>
      <c r="H4262" t="s">
        <v>14201</v>
      </c>
      <c r="I4262" t="s">
        <v>32648</v>
      </c>
      <c r="J4262" t="s">
        <v>32765</v>
      </c>
      <c r="K4262" t="s">
        <v>42631</v>
      </c>
      <c r="M4262" t="s">
        <v>43126</v>
      </c>
      <c r="N4262" t="s">
        <v>47304</v>
      </c>
      <c r="O4262" t="s">
        <v>47305</v>
      </c>
      <c r="P4262">
        <v>0</v>
      </c>
      <c r="Q4262">
        <v>2</v>
      </c>
      <c r="R4262" t="s">
        <v>47306</v>
      </c>
      <c r="S4262" t="s">
        <v>47414</v>
      </c>
      <c r="T4262" t="s">
        <v>48997</v>
      </c>
      <c r="U4262" t="s">
        <v>53197</v>
      </c>
      <c r="W4262" t="s">
        <v>43126</v>
      </c>
      <c r="X4262" t="s">
        <v>47308</v>
      </c>
    </row>
    <row r="4263" spans="1:24">
      <c r="A4263">
        <f>HYPERLINK("https://www.philgeps.gov.ph/GEPSNONPILOT/Tender/SplashBidNoticeAbstractUI.aspx?menuIndex=3&amp;refID=7196752&amp;Result=3","7196752")</f>
        <v>0</v>
      </c>
      <c r="B4263" t="s">
        <v>987</v>
      </c>
      <c r="C4263" t="s">
        <v>7884</v>
      </c>
      <c r="D4263" t="s">
        <v>18986</v>
      </c>
      <c r="E4263" t="s">
        <v>22891</v>
      </c>
      <c r="F4263" t="s">
        <v>32606</v>
      </c>
      <c r="G4263" t="s">
        <v>32619</v>
      </c>
      <c r="H4263" t="s">
        <v>14201</v>
      </c>
      <c r="I4263" t="s">
        <v>7529</v>
      </c>
      <c r="J4263" t="s">
        <v>35622</v>
      </c>
      <c r="K4263" t="s">
        <v>42631</v>
      </c>
      <c r="M4263" t="s">
        <v>43933</v>
      </c>
      <c r="N4263" t="s">
        <v>47304</v>
      </c>
      <c r="O4263" t="s">
        <v>47305</v>
      </c>
      <c r="P4263">
        <v>0</v>
      </c>
      <c r="Q4263">
        <v>2</v>
      </c>
      <c r="R4263" t="s">
        <v>47306</v>
      </c>
      <c r="S4263" t="s">
        <v>47414</v>
      </c>
      <c r="T4263" t="s">
        <v>48980</v>
      </c>
      <c r="U4263" t="s">
        <v>53198</v>
      </c>
      <c r="W4263" t="s">
        <v>43933</v>
      </c>
      <c r="X4263" t="s">
        <v>47308</v>
      </c>
    </row>
    <row r="4264" spans="1:24">
      <c r="A4264">
        <f>HYPERLINK("https://www.philgeps.gov.ph/GEPSNONPILOT/Tender/SplashBidNoticeAbstractUI.aspx?menuIndex=3&amp;refID=7196727&amp;Result=3","7196727")</f>
        <v>0</v>
      </c>
      <c r="B4264" t="s">
        <v>1621</v>
      </c>
      <c r="C4264" t="s">
        <v>7885</v>
      </c>
      <c r="D4264" t="s">
        <v>19008</v>
      </c>
      <c r="E4264" t="s">
        <v>22892</v>
      </c>
      <c r="F4264" t="s">
        <v>32606</v>
      </c>
      <c r="G4264" t="s">
        <v>32614</v>
      </c>
      <c r="H4264" t="s">
        <v>14201</v>
      </c>
      <c r="I4264" t="s">
        <v>32635</v>
      </c>
      <c r="J4264" t="s">
        <v>35623</v>
      </c>
      <c r="K4264" t="s">
        <v>42630</v>
      </c>
      <c r="M4264" t="s">
        <v>44641</v>
      </c>
      <c r="N4264" t="s">
        <v>47304</v>
      </c>
      <c r="O4264" t="s">
        <v>47305</v>
      </c>
      <c r="P4264">
        <v>0</v>
      </c>
      <c r="Q4264">
        <v>1</v>
      </c>
      <c r="R4264" t="s">
        <v>47306</v>
      </c>
      <c r="S4264" t="s">
        <v>47414</v>
      </c>
      <c r="T4264" t="s">
        <v>49014</v>
      </c>
      <c r="U4264" t="s">
        <v>53199</v>
      </c>
      <c r="W4264" t="s">
        <v>44641</v>
      </c>
      <c r="X4264" t="s">
        <v>47308</v>
      </c>
    </row>
    <row r="4265" spans="1:24">
      <c r="A4265">
        <f>HYPERLINK("https://www.philgeps.gov.ph/GEPSNONPILOT/Tender/SplashBidNoticeAbstractUI.aspx?menuIndex=3&amp;refID=7196724&amp;Result=3","7196724")</f>
        <v>0</v>
      </c>
      <c r="B4265" t="s">
        <v>81</v>
      </c>
      <c r="C4265" t="s">
        <v>7886</v>
      </c>
      <c r="D4265" t="s">
        <v>18995</v>
      </c>
      <c r="E4265" t="s">
        <v>22893</v>
      </c>
      <c r="F4265" t="s">
        <v>32606</v>
      </c>
      <c r="G4265" t="s">
        <v>32614</v>
      </c>
      <c r="H4265" t="s">
        <v>14201</v>
      </c>
      <c r="I4265" t="s">
        <v>7529</v>
      </c>
      <c r="J4265" t="s">
        <v>35624</v>
      </c>
      <c r="K4265" t="s">
        <v>42624</v>
      </c>
      <c r="M4265" t="s">
        <v>42978</v>
      </c>
      <c r="N4265" t="s">
        <v>47304</v>
      </c>
      <c r="O4265" t="s">
        <v>47305</v>
      </c>
      <c r="P4265">
        <v>0</v>
      </c>
      <c r="Q4265">
        <v>1</v>
      </c>
      <c r="R4265" t="s">
        <v>47306</v>
      </c>
      <c r="S4265" t="s">
        <v>47414</v>
      </c>
      <c r="T4265" t="s">
        <v>49014</v>
      </c>
      <c r="U4265" t="s">
        <v>53200</v>
      </c>
      <c r="W4265" t="s">
        <v>42978</v>
      </c>
      <c r="X4265" t="s">
        <v>47308</v>
      </c>
    </row>
    <row r="4266" spans="1:24">
      <c r="A4266">
        <f>HYPERLINK("https://www.philgeps.gov.ph/GEPSNONPILOT/Tender/SplashBidNoticeAbstractUI.aspx?menuIndex=3&amp;refID=7196729&amp;Result=3","7196729")</f>
        <v>0</v>
      </c>
      <c r="B4266" t="s">
        <v>1622</v>
      </c>
      <c r="C4266" t="s">
        <v>7887</v>
      </c>
      <c r="D4266" t="s">
        <v>19037</v>
      </c>
      <c r="E4266" t="s">
        <v>22894</v>
      </c>
      <c r="F4266" t="s">
        <v>32606</v>
      </c>
      <c r="G4266" t="s">
        <v>32614</v>
      </c>
      <c r="H4266" t="s">
        <v>32623</v>
      </c>
      <c r="I4266" t="s">
        <v>17648</v>
      </c>
      <c r="J4266" t="s">
        <v>35625</v>
      </c>
      <c r="K4266" t="s">
        <v>42623</v>
      </c>
      <c r="M4266" t="s">
        <v>44642</v>
      </c>
      <c r="N4266" t="s">
        <v>47304</v>
      </c>
      <c r="O4266" t="s">
        <v>47305</v>
      </c>
      <c r="P4266">
        <v>0</v>
      </c>
      <c r="Q4266">
        <v>0</v>
      </c>
      <c r="R4266" t="s">
        <v>47306</v>
      </c>
      <c r="S4266" t="s">
        <v>47414</v>
      </c>
      <c r="T4266" t="s">
        <v>48980</v>
      </c>
      <c r="U4266" t="s">
        <v>53201</v>
      </c>
      <c r="W4266" t="s">
        <v>44642</v>
      </c>
      <c r="X4266" t="s">
        <v>47308</v>
      </c>
    </row>
    <row r="4267" spans="1:24">
      <c r="A4267">
        <f>HYPERLINK("https://www.philgeps.gov.ph/GEPSNONPILOT/Tender/SplashBidNoticeAbstractUI.aspx?menuIndex=3&amp;refID=7196733&amp;Result=3","7196733")</f>
        <v>0</v>
      </c>
      <c r="B4267" t="s">
        <v>1454</v>
      </c>
      <c r="C4267" t="s">
        <v>7888</v>
      </c>
      <c r="E4267" t="s">
        <v>22895</v>
      </c>
      <c r="F4267" t="s">
        <v>32606</v>
      </c>
      <c r="G4267" t="s">
        <v>32617</v>
      </c>
      <c r="H4267" t="s">
        <v>14201</v>
      </c>
      <c r="I4267" t="s">
        <v>6298</v>
      </c>
      <c r="J4267" t="s">
        <v>35626</v>
      </c>
      <c r="K4267" t="s">
        <v>42630</v>
      </c>
      <c r="M4267" t="s">
        <v>44445</v>
      </c>
      <c r="N4267" t="s">
        <v>47304</v>
      </c>
      <c r="O4267" t="s">
        <v>47305</v>
      </c>
      <c r="P4267">
        <v>0</v>
      </c>
      <c r="Q4267">
        <v>0</v>
      </c>
      <c r="R4267" t="s">
        <v>47306</v>
      </c>
      <c r="S4267" t="s">
        <v>47414</v>
      </c>
      <c r="T4267" t="s">
        <v>49004</v>
      </c>
      <c r="U4267" t="s">
        <v>53202</v>
      </c>
      <c r="V4267" t="s">
        <v>63019</v>
      </c>
      <c r="W4267" t="s">
        <v>44445</v>
      </c>
      <c r="X4267" t="s">
        <v>47308</v>
      </c>
    </row>
    <row r="4268" spans="1:24">
      <c r="A4268">
        <f>HYPERLINK("https://www.philgeps.gov.ph/GEPSNONPILOT/Tender/SplashBidNoticeAbstractUI.aspx?menuIndex=3&amp;refID=7196730&amp;Result=3","7196730")</f>
        <v>0</v>
      </c>
      <c r="B4268" t="s">
        <v>101</v>
      </c>
      <c r="C4268" t="s">
        <v>7889</v>
      </c>
      <c r="D4268" t="s">
        <v>18993</v>
      </c>
      <c r="E4268" t="s">
        <v>22896</v>
      </c>
      <c r="F4268" t="s">
        <v>32606</v>
      </c>
      <c r="G4268" t="s">
        <v>32614</v>
      </c>
      <c r="H4268" t="s">
        <v>14201</v>
      </c>
      <c r="I4268" t="s">
        <v>32700</v>
      </c>
      <c r="J4268" t="s">
        <v>35627</v>
      </c>
      <c r="K4268" t="s">
        <v>42714</v>
      </c>
      <c r="M4268" t="s">
        <v>44602</v>
      </c>
      <c r="N4268" t="s">
        <v>47304</v>
      </c>
      <c r="O4268" t="s">
        <v>47305</v>
      </c>
      <c r="P4268">
        <v>0</v>
      </c>
      <c r="Q4268">
        <v>10</v>
      </c>
      <c r="R4268" t="s">
        <v>47306</v>
      </c>
      <c r="S4268" t="s">
        <v>47414</v>
      </c>
      <c r="T4268" t="s">
        <v>48980</v>
      </c>
      <c r="U4268" t="s">
        <v>53203</v>
      </c>
      <c r="W4268" t="s">
        <v>44602</v>
      </c>
      <c r="X4268" t="s">
        <v>47308</v>
      </c>
    </row>
    <row r="4269" spans="1:24">
      <c r="A4269">
        <f>HYPERLINK("https://www.philgeps.gov.ph/GEPSNONPILOT/Tender/SplashBidNoticeAbstractUI.aspx?menuIndex=3&amp;refID=7196805&amp;Result=3","7196805")</f>
        <v>0</v>
      </c>
      <c r="B4269" t="s">
        <v>1623</v>
      </c>
      <c r="C4269" t="s">
        <v>7890</v>
      </c>
      <c r="D4269" t="s">
        <v>19014</v>
      </c>
      <c r="E4269" t="s">
        <v>22897</v>
      </c>
      <c r="F4269" t="s">
        <v>32606</v>
      </c>
      <c r="G4269" t="s">
        <v>32614</v>
      </c>
      <c r="H4269" t="s">
        <v>32625</v>
      </c>
      <c r="I4269" t="s">
        <v>32625</v>
      </c>
      <c r="J4269" t="s">
        <v>32825</v>
      </c>
      <c r="K4269" t="s">
        <v>42624</v>
      </c>
      <c r="M4269" t="s">
        <v>44643</v>
      </c>
      <c r="N4269" t="s">
        <v>47304</v>
      </c>
      <c r="O4269" t="s">
        <v>47305</v>
      </c>
      <c r="P4269">
        <v>0</v>
      </c>
      <c r="Q4269">
        <v>5</v>
      </c>
      <c r="R4269" t="s">
        <v>47306</v>
      </c>
      <c r="S4269" t="s">
        <v>47414</v>
      </c>
      <c r="T4269" t="s">
        <v>49282</v>
      </c>
      <c r="U4269" t="s">
        <v>53204</v>
      </c>
      <c r="W4269" t="s">
        <v>44643</v>
      </c>
      <c r="X4269" t="s">
        <v>47308</v>
      </c>
    </row>
    <row r="4270" spans="1:24">
      <c r="A4270">
        <f>HYPERLINK("https://www.philgeps.gov.ph/GEPSNONPILOT/Tender/SplashBidNoticeAbstractUI.aspx?menuIndex=3&amp;refID=7196804&amp;Result=3","7196804")</f>
        <v>0</v>
      </c>
      <c r="B4270" t="s">
        <v>234</v>
      </c>
      <c r="C4270" t="s">
        <v>7086</v>
      </c>
      <c r="D4270" t="s">
        <v>19052</v>
      </c>
      <c r="E4270" t="s">
        <v>22898</v>
      </c>
      <c r="F4270" t="s">
        <v>32606</v>
      </c>
      <c r="G4270" t="s">
        <v>32614</v>
      </c>
      <c r="H4270" t="s">
        <v>14201</v>
      </c>
      <c r="I4270" t="s">
        <v>6993</v>
      </c>
      <c r="J4270" t="s">
        <v>35100</v>
      </c>
      <c r="K4270" t="s">
        <v>42631</v>
      </c>
      <c r="M4270" t="s">
        <v>43135</v>
      </c>
      <c r="N4270" t="s">
        <v>47304</v>
      </c>
      <c r="O4270" t="s">
        <v>47305</v>
      </c>
      <c r="P4270">
        <v>0</v>
      </c>
      <c r="Q4270">
        <v>0</v>
      </c>
      <c r="R4270" t="s">
        <v>47306</v>
      </c>
      <c r="S4270" t="s">
        <v>47414</v>
      </c>
      <c r="T4270" t="s">
        <v>49050</v>
      </c>
      <c r="U4270" t="s">
        <v>52485</v>
      </c>
      <c r="V4270" t="s">
        <v>62641</v>
      </c>
      <c r="W4270" t="s">
        <v>43135</v>
      </c>
      <c r="X4270" t="s">
        <v>47308</v>
      </c>
    </row>
    <row r="4271" spans="1:24">
      <c r="A4271">
        <f>HYPERLINK("https://www.philgeps.gov.ph/GEPSNONPILOT/Tender/SplashBidNoticeAbstractUI.aspx?menuIndex=3&amp;refID=7196801&amp;Result=3","7196801")</f>
        <v>0</v>
      </c>
      <c r="B4271" t="s">
        <v>1624</v>
      </c>
      <c r="C4271" t="s">
        <v>7891</v>
      </c>
      <c r="D4271" t="s">
        <v>19024</v>
      </c>
      <c r="E4271" t="s">
        <v>22899</v>
      </c>
      <c r="F4271" t="s">
        <v>32606</v>
      </c>
      <c r="G4271" t="s">
        <v>32614</v>
      </c>
      <c r="H4271" t="s">
        <v>14201</v>
      </c>
      <c r="I4271" t="s">
        <v>32639</v>
      </c>
      <c r="J4271" t="s">
        <v>32999</v>
      </c>
      <c r="K4271" t="s">
        <v>42707</v>
      </c>
      <c r="M4271" t="s">
        <v>44644</v>
      </c>
      <c r="N4271" t="s">
        <v>47304</v>
      </c>
      <c r="O4271" t="s">
        <v>47305</v>
      </c>
      <c r="P4271">
        <v>0</v>
      </c>
      <c r="Q4271">
        <v>0</v>
      </c>
      <c r="R4271" t="s">
        <v>47306</v>
      </c>
      <c r="S4271" t="s">
        <v>47414</v>
      </c>
      <c r="T4271" t="s">
        <v>49014</v>
      </c>
      <c r="U4271" t="s">
        <v>53205</v>
      </c>
      <c r="W4271" t="s">
        <v>44644</v>
      </c>
      <c r="X4271" t="s">
        <v>47308</v>
      </c>
    </row>
    <row r="4272" spans="1:24">
      <c r="A4272">
        <f>HYPERLINK("https://www.philgeps.gov.ph/GEPSNONPILOT/Tender/SplashBidNoticeAbstractUI.aspx?menuIndex=3&amp;refID=7196800&amp;Result=3","7196800")</f>
        <v>0</v>
      </c>
      <c r="B4272" t="s">
        <v>899</v>
      </c>
      <c r="C4272" t="s">
        <v>7892</v>
      </c>
      <c r="E4272" t="s">
        <v>22900</v>
      </c>
      <c r="F4272" t="s">
        <v>32606</v>
      </c>
      <c r="G4272" t="s">
        <v>32614</v>
      </c>
      <c r="H4272" t="s">
        <v>14201</v>
      </c>
      <c r="I4272" t="s">
        <v>6007</v>
      </c>
      <c r="J4272" t="s">
        <v>35140</v>
      </c>
      <c r="K4272" t="s">
        <v>42624</v>
      </c>
      <c r="M4272" t="s">
        <v>43836</v>
      </c>
      <c r="N4272" t="s">
        <v>47304</v>
      </c>
      <c r="O4272" t="s">
        <v>47305</v>
      </c>
      <c r="P4272">
        <v>0</v>
      </c>
      <c r="Q4272">
        <v>0</v>
      </c>
      <c r="R4272" t="s">
        <v>47306</v>
      </c>
      <c r="S4272" t="s">
        <v>47414</v>
      </c>
      <c r="T4272" t="s">
        <v>48971</v>
      </c>
      <c r="U4272" t="s">
        <v>53206</v>
      </c>
      <c r="W4272" t="s">
        <v>43836</v>
      </c>
      <c r="X4272" t="s">
        <v>47308</v>
      </c>
    </row>
    <row r="4273" spans="1:24">
      <c r="A4273">
        <f>HYPERLINK("https://www.philgeps.gov.ph/GEPSNONPILOT/Tender/SplashBidNoticeAbstractUI.aspx?menuIndex=3&amp;refID=7196798&amp;Result=3","7196798")</f>
        <v>0</v>
      </c>
      <c r="B4273" t="s">
        <v>1625</v>
      </c>
      <c r="C4273" t="s">
        <v>7893</v>
      </c>
      <c r="D4273" t="s">
        <v>19034</v>
      </c>
      <c r="E4273" t="s">
        <v>22901</v>
      </c>
      <c r="F4273" t="s">
        <v>32606</v>
      </c>
      <c r="G4273" t="s">
        <v>32613</v>
      </c>
      <c r="H4273" t="s">
        <v>14201</v>
      </c>
      <c r="I4273" t="s">
        <v>32629</v>
      </c>
      <c r="J4273" t="s">
        <v>35628</v>
      </c>
      <c r="K4273" t="s">
        <v>42623</v>
      </c>
      <c r="M4273" t="s">
        <v>44645</v>
      </c>
      <c r="N4273" t="s">
        <v>47304</v>
      </c>
      <c r="O4273" t="s">
        <v>47305</v>
      </c>
      <c r="P4273">
        <v>0</v>
      </c>
      <c r="Q4273">
        <v>0</v>
      </c>
      <c r="R4273" t="s">
        <v>47306</v>
      </c>
      <c r="S4273" t="s">
        <v>47414</v>
      </c>
      <c r="T4273" t="s">
        <v>48986</v>
      </c>
      <c r="U4273" t="s">
        <v>53207</v>
      </c>
      <c r="W4273" t="s">
        <v>44645</v>
      </c>
      <c r="X4273" t="s">
        <v>47308</v>
      </c>
    </row>
    <row r="4274" spans="1:24">
      <c r="A4274">
        <f>HYPERLINK("https://www.philgeps.gov.ph/GEPSNONPILOT/Tender/SplashBidNoticeAbstractUI.aspx?menuIndex=3&amp;refID=7196763&amp;Result=3","7196763")</f>
        <v>0</v>
      </c>
      <c r="B4274" t="s">
        <v>1613</v>
      </c>
      <c r="C4274" t="s">
        <v>7894</v>
      </c>
      <c r="D4274" t="s">
        <v>19039</v>
      </c>
      <c r="E4274" t="s">
        <v>22902</v>
      </c>
      <c r="F4274" t="s">
        <v>32606</v>
      </c>
      <c r="G4274" t="s">
        <v>32613</v>
      </c>
      <c r="H4274" t="s">
        <v>14201</v>
      </c>
      <c r="I4274" t="s">
        <v>6931</v>
      </c>
      <c r="J4274" t="s">
        <v>35608</v>
      </c>
      <c r="K4274" t="s">
        <v>42624</v>
      </c>
      <c r="M4274" t="s">
        <v>44633</v>
      </c>
      <c r="N4274" t="s">
        <v>47304</v>
      </c>
      <c r="O4274" t="s">
        <v>47305</v>
      </c>
      <c r="P4274">
        <v>0</v>
      </c>
      <c r="Q4274">
        <v>0</v>
      </c>
      <c r="R4274" t="s">
        <v>47306</v>
      </c>
      <c r="S4274" t="s">
        <v>47414</v>
      </c>
      <c r="T4274" t="s">
        <v>48986</v>
      </c>
      <c r="U4274" t="s">
        <v>53177</v>
      </c>
      <c r="W4274" t="s">
        <v>44633</v>
      </c>
      <c r="X4274" t="s">
        <v>47308</v>
      </c>
    </row>
    <row r="4275" spans="1:24">
      <c r="A4275">
        <f>HYPERLINK("https://www.philgeps.gov.ph/GEPSNONPILOT/Tender/SplashBidNoticeAbstractUI.aspx?menuIndex=3&amp;refID=7196806&amp;Result=3","7196806")</f>
        <v>0</v>
      </c>
      <c r="B4275" t="s">
        <v>510</v>
      </c>
      <c r="C4275" t="s">
        <v>7895</v>
      </c>
      <c r="D4275" t="s">
        <v>19024</v>
      </c>
      <c r="E4275" t="s">
        <v>22903</v>
      </c>
      <c r="F4275" t="s">
        <v>32606</v>
      </c>
      <c r="G4275" t="s">
        <v>32613</v>
      </c>
      <c r="H4275" t="s">
        <v>14201</v>
      </c>
      <c r="I4275" t="s">
        <v>32648</v>
      </c>
      <c r="J4275" t="s">
        <v>35629</v>
      </c>
      <c r="K4275" t="s">
        <v>42623</v>
      </c>
      <c r="M4275" t="s">
        <v>43423</v>
      </c>
      <c r="N4275" t="s">
        <v>47304</v>
      </c>
      <c r="O4275" t="s">
        <v>47305</v>
      </c>
      <c r="P4275">
        <v>0</v>
      </c>
      <c r="Q4275">
        <v>0</v>
      </c>
      <c r="R4275" t="s">
        <v>47306</v>
      </c>
      <c r="S4275" t="s">
        <v>47414</v>
      </c>
      <c r="T4275" t="s">
        <v>49023</v>
      </c>
      <c r="U4275" t="s">
        <v>53208</v>
      </c>
      <c r="W4275" t="s">
        <v>43423</v>
      </c>
      <c r="X4275" t="s">
        <v>47308</v>
      </c>
    </row>
    <row r="4276" spans="1:24">
      <c r="A4276">
        <f>HYPERLINK("https://www.philgeps.gov.ph/GEPSNONPILOT/Tender/SplashBidNoticeAbstractUI.aspx?menuIndex=3&amp;refID=7196796&amp;Result=3","7196796")</f>
        <v>0</v>
      </c>
      <c r="B4276" t="s">
        <v>1022</v>
      </c>
      <c r="C4276" t="s">
        <v>7896</v>
      </c>
      <c r="D4276" t="s">
        <v>19033</v>
      </c>
      <c r="E4276" t="s">
        <v>7896</v>
      </c>
      <c r="F4276" t="s">
        <v>32606</v>
      </c>
      <c r="G4276" t="s">
        <v>32614</v>
      </c>
      <c r="H4276" t="s">
        <v>14201</v>
      </c>
      <c r="I4276" t="s">
        <v>6931</v>
      </c>
      <c r="J4276" t="s">
        <v>35561</v>
      </c>
      <c r="K4276" t="s">
        <v>42631</v>
      </c>
      <c r="M4276" t="s">
        <v>43974</v>
      </c>
      <c r="N4276" t="s">
        <v>47304</v>
      </c>
      <c r="O4276" t="s">
        <v>47305</v>
      </c>
      <c r="P4276">
        <v>0</v>
      </c>
      <c r="Q4276">
        <v>0</v>
      </c>
      <c r="R4276" t="s">
        <v>47306</v>
      </c>
      <c r="S4276" t="s">
        <v>47414</v>
      </c>
      <c r="T4276" t="s">
        <v>48980</v>
      </c>
      <c r="U4276" t="s">
        <v>53209</v>
      </c>
      <c r="W4276" t="s">
        <v>43974</v>
      </c>
      <c r="X4276" t="s">
        <v>47308</v>
      </c>
    </row>
    <row r="4277" spans="1:24">
      <c r="A4277">
        <f>HYPERLINK("https://www.philgeps.gov.ph/GEPSNONPILOT/Tender/SplashBidNoticeAbstractUI.aspx?menuIndex=3&amp;refID=7196795&amp;Result=3","7196795")</f>
        <v>0</v>
      </c>
      <c r="B4277" t="s">
        <v>1613</v>
      </c>
      <c r="C4277" t="s">
        <v>7897</v>
      </c>
      <c r="D4277" t="s">
        <v>19039</v>
      </c>
      <c r="E4277" t="s">
        <v>22904</v>
      </c>
      <c r="F4277" t="s">
        <v>32606</v>
      </c>
      <c r="G4277" t="s">
        <v>32613</v>
      </c>
      <c r="H4277" t="s">
        <v>14201</v>
      </c>
      <c r="I4277" t="s">
        <v>6931</v>
      </c>
      <c r="J4277" t="s">
        <v>35608</v>
      </c>
      <c r="K4277" t="s">
        <v>42624</v>
      </c>
      <c r="M4277" t="s">
        <v>44633</v>
      </c>
      <c r="N4277" t="s">
        <v>47304</v>
      </c>
      <c r="O4277" t="s">
        <v>47305</v>
      </c>
      <c r="P4277">
        <v>0</v>
      </c>
      <c r="Q4277">
        <v>0</v>
      </c>
      <c r="R4277" t="s">
        <v>47306</v>
      </c>
      <c r="S4277" t="s">
        <v>47414</v>
      </c>
      <c r="T4277" t="s">
        <v>48986</v>
      </c>
      <c r="U4277" t="s">
        <v>53177</v>
      </c>
      <c r="W4277" t="s">
        <v>44633</v>
      </c>
      <c r="X4277" t="s">
        <v>47308</v>
      </c>
    </row>
    <row r="4278" spans="1:24">
      <c r="A4278">
        <f>HYPERLINK("https://www.philgeps.gov.ph/GEPSNONPILOT/Tender/SplashBidNoticeAbstractUI.aspx?menuIndex=3&amp;refID=7196793&amp;Result=3","7196793")</f>
        <v>0</v>
      </c>
      <c r="B4278" t="s">
        <v>1618</v>
      </c>
      <c r="C4278" t="s">
        <v>7898</v>
      </c>
      <c r="D4278" t="s">
        <v>19016</v>
      </c>
      <c r="E4278" t="s">
        <v>22905</v>
      </c>
      <c r="F4278" t="s">
        <v>32606</v>
      </c>
      <c r="G4278" t="s">
        <v>32614</v>
      </c>
      <c r="H4278" t="s">
        <v>14201</v>
      </c>
      <c r="I4278" t="s">
        <v>6007</v>
      </c>
      <c r="J4278" t="s">
        <v>34425</v>
      </c>
      <c r="K4278" t="s">
        <v>42630</v>
      </c>
      <c r="M4278" t="s">
        <v>44638</v>
      </c>
      <c r="N4278" t="s">
        <v>47304</v>
      </c>
      <c r="O4278" t="s">
        <v>47305</v>
      </c>
      <c r="P4278">
        <v>0</v>
      </c>
      <c r="Q4278">
        <v>0</v>
      </c>
      <c r="R4278" t="s">
        <v>47306</v>
      </c>
      <c r="S4278" t="s">
        <v>47414</v>
      </c>
      <c r="T4278" t="s">
        <v>48979</v>
      </c>
      <c r="U4278" t="s">
        <v>53210</v>
      </c>
      <c r="W4278" t="s">
        <v>44638</v>
      </c>
      <c r="X4278" t="s">
        <v>47308</v>
      </c>
    </row>
    <row r="4279" spans="1:24">
      <c r="A4279">
        <f>HYPERLINK("https://www.philgeps.gov.ph/GEPSNONPILOT/Tender/SplashBidNoticeAbstractUI.aspx?menuIndex=3&amp;refID=7196780&amp;Result=3","7196780")</f>
        <v>0</v>
      </c>
      <c r="B4279" t="s">
        <v>1568</v>
      </c>
      <c r="C4279" t="s">
        <v>7899</v>
      </c>
      <c r="D4279" t="s">
        <v>18994</v>
      </c>
      <c r="E4279" t="s">
        <v>22906</v>
      </c>
      <c r="F4279" t="s">
        <v>32606</v>
      </c>
      <c r="G4279" t="s">
        <v>32613</v>
      </c>
      <c r="H4279" t="s">
        <v>14201</v>
      </c>
      <c r="I4279" t="s">
        <v>4369</v>
      </c>
      <c r="J4279" t="s">
        <v>32772</v>
      </c>
      <c r="K4279" t="s">
        <v>42688</v>
      </c>
      <c r="M4279" t="s">
        <v>44577</v>
      </c>
      <c r="N4279" t="s">
        <v>47304</v>
      </c>
      <c r="O4279" t="s">
        <v>47305</v>
      </c>
      <c r="P4279">
        <v>0</v>
      </c>
      <c r="Q4279">
        <v>4</v>
      </c>
      <c r="R4279" t="s">
        <v>47306</v>
      </c>
      <c r="S4279" t="s">
        <v>47414</v>
      </c>
      <c r="T4279" t="s">
        <v>48995</v>
      </c>
      <c r="U4279" t="s">
        <v>53211</v>
      </c>
      <c r="V4279" t="s">
        <v>62763</v>
      </c>
      <c r="W4279" t="s">
        <v>44577</v>
      </c>
      <c r="X4279" t="s">
        <v>47308</v>
      </c>
    </row>
    <row r="4280" spans="1:24">
      <c r="A4280">
        <f>HYPERLINK("https://www.philgeps.gov.ph/GEPSNONPILOT/Tender/SplashBidNoticeAbstractUI.aspx?menuIndex=3&amp;refID=7196789&amp;Result=3","7196789")</f>
        <v>0</v>
      </c>
      <c r="B4280" t="s">
        <v>867</v>
      </c>
      <c r="C4280" t="s">
        <v>7862</v>
      </c>
      <c r="D4280" t="s">
        <v>19040</v>
      </c>
      <c r="E4280" t="s">
        <v>22907</v>
      </c>
      <c r="F4280" t="s">
        <v>32606</v>
      </c>
      <c r="G4280" t="s">
        <v>32614</v>
      </c>
      <c r="H4280" t="s">
        <v>14201</v>
      </c>
      <c r="I4280" t="s">
        <v>7577</v>
      </c>
      <c r="J4280" t="s">
        <v>33167</v>
      </c>
      <c r="K4280" t="s">
        <v>42631</v>
      </c>
      <c r="M4280" t="s">
        <v>43801</v>
      </c>
      <c r="N4280" t="s">
        <v>47304</v>
      </c>
      <c r="O4280" t="s">
        <v>47305</v>
      </c>
      <c r="P4280">
        <v>0</v>
      </c>
      <c r="Q4280">
        <v>0</v>
      </c>
      <c r="R4280" t="s">
        <v>47306</v>
      </c>
      <c r="S4280" t="s">
        <v>47414</v>
      </c>
      <c r="T4280" t="s">
        <v>49061</v>
      </c>
      <c r="U4280" t="s">
        <v>53212</v>
      </c>
      <c r="W4280" t="s">
        <v>43801</v>
      </c>
      <c r="X4280" t="s">
        <v>47308</v>
      </c>
    </row>
    <row r="4281" spans="1:24">
      <c r="A4281">
        <f>HYPERLINK("https://www.philgeps.gov.ph/GEPSNONPILOT/Tender/SplashBidNoticeAbstractUI.aspx?menuIndex=3&amp;refID=7196799&amp;Result=3","7196799")</f>
        <v>0</v>
      </c>
      <c r="B4281" t="s">
        <v>1619</v>
      </c>
      <c r="C4281" t="s">
        <v>7900</v>
      </c>
      <c r="D4281" t="s">
        <v>19024</v>
      </c>
      <c r="E4281" t="s">
        <v>22908</v>
      </c>
      <c r="F4281" t="s">
        <v>32607</v>
      </c>
      <c r="G4281" t="s">
        <v>32619</v>
      </c>
      <c r="H4281" t="s">
        <v>14201</v>
      </c>
      <c r="I4281" t="s">
        <v>4120</v>
      </c>
      <c r="J4281" t="s">
        <v>35630</v>
      </c>
      <c r="K4281" t="s">
        <v>42624</v>
      </c>
      <c r="M4281" t="s">
        <v>44639</v>
      </c>
      <c r="N4281" t="s">
        <v>47304</v>
      </c>
      <c r="O4281" t="s">
        <v>47305</v>
      </c>
      <c r="P4281">
        <v>0</v>
      </c>
      <c r="Q4281">
        <v>0</v>
      </c>
      <c r="R4281" t="s">
        <v>47306</v>
      </c>
      <c r="S4281" t="s">
        <v>47414</v>
      </c>
      <c r="T4281" t="s">
        <v>49053</v>
      </c>
      <c r="U4281" t="s">
        <v>53213</v>
      </c>
      <c r="W4281" t="s">
        <v>44639</v>
      </c>
      <c r="X4281" t="s">
        <v>47308</v>
      </c>
    </row>
    <row r="4282" spans="1:24">
      <c r="A4282">
        <f>HYPERLINK("https://www.philgeps.gov.ph/GEPSNONPILOT/Tender/SplashBidNoticeAbstractUI.aspx?menuIndex=3&amp;refID=7196829&amp;Result=3","7196829")</f>
        <v>0</v>
      </c>
      <c r="B4282" t="s">
        <v>1614</v>
      </c>
      <c r="C4282" t="s">
        <v>7901</v>
      </c>
      <c r="D4282" t="s">
        <v>18991</v>
      </c>
      <c r="E4282" t="s">
        <v>22909</v>
      </c>
      <c r="F4282" t="s">
        <v>32606</v>
      </c>
      <c r="G4282" t="s">
        <v>32613</v>
      </c>
      <c r="H4282" t="s">
        <v>32623</v>
      </c>
      <c r="I4282" t="s">
        <v>7233</v>
      </c>
      <c r="J4282" t="s">
        <v>32770</v>
      </c>
      <c r="K4282" t="s">
        <v>42648</v>
      </c>
      <c r="M4282" t="s">
        <v>44634</v>
      </c>
      <c r="N4282" t="s">
        <v>47304</v>
      </c>
      <c r="O4282" t="s">
        <v>47305</v>
      </c>
      <c r="P4282">
        <v>0</v>
      </c>
      <c r="Q4282">
        <v>0</v>
      </c>
      <c r="R4282" t="s">
        <v>47306</v>
      </c>
      <c r="S4282" t="s">
        <v>47414</v>
      </c>
      <c r="T4282" t="s">
        <v>49008</v>
      </c>
      <c r="U4282" t="s">
        <v>53214</v>
      </c>
      <c r="W4282" t="s">
        <v>44634</v>
      </c>
      <c r="X4282" t="s">
        <v>47308</v>
      </c>
    </row>
    <row r="4283" spans="1:24">
      <c r="A4283">
        <f>HYPERLINK("https://www.philgeps.gov.ph/GEPSNONPILOT/Tender/SplashBidNoticeAbstractUI.aspx?menuIndex=3&amp;refID=7196828&amp;Result=3","7196828")</f>
        <v>0</v>
      </c>
      <c r="B4283" t="s">
        <v>1626</v>
      </c>
      <c r="C4283" t="s">
        <v>7902</v>
      </c>
      <c r="D4283" t="s">
        <v>19016</v>
      </c>
      <c r="E4283" t="s">
        <v>19315</v>
      </c>
      <c r="F4283" t="s">
        <v>32606</v>
      </c>
      <c r="G4283" t="s">
        <v>32614</v>
      </c>
      <c r="H4283" t="s">
        <v>32624</v>
      </c>
      <c r="I4283" t="s">
        <v>32652</v>
      </c>
      <c r="J4283" t="s">
        <v>35631</v>
      </c>
      <c r="K4283" t="s">
        <v>42636</v>
      </c>
      <c r="M4283" t="s">
        <v>44646</v>
      </c>
      <c r="N4283" t="s">
        <v>47304</v>
      </c>
      <c r="O4283" t="s">
        <v>47305</v>
      </c>
      <c r="P4283">
        <v>0</v>
      </c>
      <c r="Q4283">
        <v>0</v>
      </c>
      <c r="R4283" t="s">
        <v>47306</v>
      </c>
      <c r="S4283" t="s">
        <v>47414</v>
      </c>
      <c r="T4283" t="s">
        <v>49265</v>
      </c>
      <c r="U4283" t="s">
        <v>53215</v>
      </c>
      <c r="W4283" t="s">
        <v>44646</v>
      </c>
      <c r="X4283" t="s">
        <v>47308</v>
      </c>
    </row>
    <row r="4284" spans="1:24">
      <c r="A4284">
        <f>HYPERLINK("https://www.philgeps.gov.ph/GEPSNONPILOT/Tender/SplashBidNoticeAbstractUI.aspx?menuIndex=3&amp;refID=7196689&amp;Result=3","7196689")</f>
        <v>0</v>
      </c>
      <c r="B4284" t="s">
        <v>1612</v>
      </c>
      <c r="C4284" t="s">
        <v>7903</v>
      </c>
      <c r="D4284" t="s">
        <v>19047</v>
      </c>
      <c r="E4284" t="s">
        <v>22910</v>
      </c>
      <c r="F4284" t="s">
        <v>32606</v>
      </c>
      <c r="G4284" t="s">
        <v>32614</v>
      </c>
      <c r="H4284" t="s">
        <v>14201</v>
      </c>
      <c r="I4284" t="s">
        <v>6931</v>
      </c>
      <c r="J4284" t="s">
        <v>35632</v>
      </c>
      <c r="K4284" t="s">
        <v>42631</v>
      </c>
      <c r="M4284" t="s">
        <v>44632</v>
      </c>
      <c r="N4284" t="s">
        <v>47304</v>
      </c>
      <c r="O4284" t="s">
        <v>47305</v>
      </c>
      <c r="P4284">
        <v>0</v>
      </c>
      <c r="Q4284">
        <v>0</v>
      </c>
      <c r="R4284" t="s">
        <v>47306</v>
      </c>
      <c r="S4284" t="s">
        <v>47414</v>
      </c>
      <c r="T4284" t="s">
        <v>48980</v>
      </c>
      <c r="U4284" t="s">
        <v>53216</v>
      </c>
      <c r="W4284" t="s">
        <v>44632</v>
      </c>
      <c r="X4284" t="s">
        <v>47308</v>
      </c>
    </row>
    <row r="4285" spans="1:24">
      <c r="A4285">
        <f>HYPERLINK("https://www.philgeps.gov.ph/GEPSNONPILOT/Tender/SplashBidNoticeAbstractUI.aspx?menuIndex=3&amp;refID=7196827&amp;Result=3","7196827")</f>
        <v>0</v>
      </c>
      <c r="B4285" t="s">
        <v>1627</v>
      </c>
      <c r="C4285" t="s">
        <v>7904</v>
      </c>
      <c r="D4285" t="s">
        <v>19028</v>
      </c>
      <c r="E4285" t="s">
        <v>22911</v>
      </c>
      <c r="F4285" t="s">
        <v>32606</v>
      </c>
      <c r="G4285" t="s">
        <v>32613</v>
      </c>
      <c r="H4285" t="s">
        <v>14201</v>
      </c>
      <c r="I4285" t="s">
        <v>32682</v>
      </c>
      <c r="J4285" t="s">
        <v>35633</v>
      </c>
      <c r="K4285" t="s">
        <v>42624</v>
      </c>
      <c r="M4285" t="s">
        <v>44647</v>
      </c>
      <c r="N4285" t="s">
        <v>47304</v>
      </c>
      <c r="O4285" t="s">
        <v>47305</v>
      </c>
      <c r="P4285">
        <v>0</v>
      </c>
      <c r="Q4285">
        <v>0</v>
      </c>
      <c r="R4285" t="s">
        <v>47306</v>
      </c>
      <c r="S4285" t="s">
        <v>47414</v>
      </c>
      <c r="T4285" t="s">
        <v>48976</v>
      </c>
      <c r="U4285" t="s">
        <v>53217</v>
      </c>
      <c r="W4285" t="s">
        <v>44647</v>
      </c>
      <c r="X4285" t="s">
        <v>47308</v>
      </c>
    </row>
    <row r="4286" spans="1:24">
      <c r="A4286">
        <f>HYPERLINK("https://www.philgeps.gov.ph/GEPSNONPILOT/Tender/SplashBidNoticeAbstractUI.aspx?menuIndex=3&amp;refID=7196792&amp;Result=3","7196792")</f>
        <v>0</v>
      </c>
      <c r="B4286" t="s">
        <v>444</v>
      </c>
      <c r="C4286" t="s">
        <v>7905</v>
      </c>
      <c r="D4286" t="s">
        <v>19006</v>
      </c>
      <c r="E4286" t="s">
        <v>22912</v>
      </c>
      <c r="F4286" t="s">
        <v>32606</v>
      </c>
      <c r="G4286" t="s">
        <v>32613</v>
      </c>
      <c r="H4286" t="s">
        <v>14201</v>
      </c>
      <c r="I4286" t="s">
        <v>7677</v>
      </c>
      <c r="J4286" t="s">
        <v>35634</v>
      </c>
      <c r="K4286" t="s">
        <v>42631</v>
      </c>
      <c r="M4286" t="s">
        <v>43352</v>
      </c>
      <c r="N4286" t="s">
        <v>47304</v>
      </c>
      <c r="O4286" t="s">
        <v>47305</v>
      </c>
      <c r="P4286">
        <v>0</v>
      </c>
      <c r="Q4286">
        <v>3</v>
      </c>
      <c r="R4286" t="s">
        <v>47306</v>
      </c>
      <c r="S4286" t="s">
        <v>47414</v>
      </c>
      <c r="T4286" t="s">
        <v>49218</v>
      </c>
      <c r="U4286" t="s">
        <v>53218</v>
      </c>
      <c r="W4286" t="s">
        <v>43352</v>
      </c>
      <c r="X4286" t="s">
        <v>47308</v>
      </c>
    </row>
    <row r="4287" spans="1:24">
      <c r="A4287">
        <f>HYPERLINK("https://www.philgeps.gov.ph/GEPSNONPILOT/Tender/SplashBidNoticeAbstractUI.aspx?menuIndex=3&amp;refID=7196823&amp;Result=3","7196823")</f>
        <v>0</v>
      </c>
      <c r="B4287" t="s">
        <v>692</v>
      </c>
      <c r="C4287" t="s">
        <v>7906</v>
      </c>
      <c r="D4287" t="s">
        <v>18992</v>
      </c>
      <c r="E4287" t="s">
        <v>20332</v>
      </c>
      <c r="F4287" t="s">
        <v>32606</v>
      </c>
      <c r="G4287" t="s">
        <v>32613</v>
      </c>
      <c r="H4287" t="s">
        <v>14201</v>
      </c>
      <c r="I4287" t="s">
        <v>6931</v>
      </c>
      <c r="J4287" t="s">
        <v>35635</v>
      </c>
      <c r="K4287" t="s">
        <v>42622</v>
      </c>
      <c r="L4287" t="s">
        <v>692</v>
      </c>
      <c r="M4287" t="s">
        <v>43613</v>
      </c>
      <c r="N4287" t="s">
        <v>47304</v>
      </c>
      <c r="O4287" t="s">
        <v>47305</v>
      </c>
      <c r="P4287">
        <v>0</v>
      </c>
      <c r="Q4287">
        <v>0</v>
      </c>
      <c r="R4287" t="s">
        <v>47306</v>
      </c>
      <c r="S4287" t="s">
        <v>47414</v>
      </c>
      <c r="T4287" t="s">
        <v>49140</v>
      </c>
      <c r="U4287" t="s">
        <v>53219</v>
      </c>
      <c r="W4287" t="s">
        <v>43613</v>
      </c>
      <c r="X4287" t="s">
        <v>47308</v>
      </c>
    </row>
    <row r="4288" spans="1:24">
      <c r="A4288">
        <f>HYPERLINK("https://www.philgeps.gov.ph/GEPSNONPILOT/Tender/SplashBidNoticeAbstractUI.aspx?menuIndex=3&amp;refID=7196756&amp;Result=3","7196756")</f>
        <v>0</v>
      </c>
      <c r="B4288" t="s">
        <v>81</v>
      </c>
      <c r="C4288" t="s">
        <v>7907</v>
      </c>
      <c r="D4288" t="s">
        <v>18995</v>
      </c>
      <c r="E4288" t="s">
        <v>22913</v>
      </c>
      <c r="F4288" t="s">
        <v>32606</v>
      </c>
      <c r="G4288" t="s">
        <v>32614</v>
      </c>
      <c r="H4288" t="s">
        <v>14201</v>
      </c>
      <c r="I4288" t="s">
        <v>32640</v>
      </c>
      <c r="J4288" t="s">
        <v>35636</v>
      </c>
      <c r="K4288" t="s">
        <v>42624</v>
      </c>
      <c r="M4288" t="s">
        <v>42978</v>
      </c>
      <c r="N4288" t="s">
        <v>47304</v>
      </c>
      <c r="O4288" t="s">
        <v>47305</v>
      </c>
      <c r="P4288">
        <v>0</v>
      </c>
      <c r="Q4288">
        <v>1</v>
      </c>
      <c r="R4288" t="s">
        <v>47306</v>
      </c>
      <c r="S4288" t="s">
        <v>47414</v>
      </c>
      <c r="T4288" t="s">
        <v>49014</v>
      </c>
      <c r="U4288" t="s">
        <v>53220</v>
      </c>
      <c r="W4288" t="s">
        <v>42978</v>
      </c>
      <c r="X4288" t="s">
        <v>47308</v>
      </c>
    </row>
    <row r="4289" spans="1:24">
      <c r="A4289">
        <f>HYPERLINK("https://www.philgeps.gov.ph/GEPSNONPILOT/Tender/SplashBidNoticeAbstractUI.aspx?menuIndex=3&amp;refID=7196790&amp;Result=3","7196790")</f>
        <v>0</v>
      </c>
      <c r="B4289" t="s">
        <v>81</v>
      </c>
      <c r="C4289" t="s">
        <v>7908</v>
      </c>
      <c r="D4289" t="s">
        <v>18995</v>
      </c>
      <c r="E4289" t="s">
        <v>22914</v>
      </c>
      <c r="F4289" t="s">
        <v>32606</v>
      </c>
      <c r="G4289" t="s">
        <v>32614</v>
      </c>
      <c r="H4289" t="s">
        <v>14201</v>
      </c>
      <c r="I4289" t="s">
        <v>32712</v>
      </c>
      <c r="J4289" t="s">
        <v>35637</v>
      </c>
      <c r="K4289" t="s">
        <v>42624</v>
      </c>
      <c r="M4289" t="s">
        <v>42978</v>
      </c>
      <c r="N4289" t="s">
        <v>47304</v>
      </c>
      <c r="O4289" t="s">
        <v>47305</v>
      </c>
      <c r="P4289">
        <v>0</v>
      </c>
      <c r="Q4289">
        <v>1</v>
      </c>
      <c r="R4289" t="s">
        <v>47306</v>
      </c>
      <c r="S4289" t="s">
        <v>47414</v>
      </c>
      <c r="T4289" t="s">
        <v>49014</v>
      </c>
      <c r="U4289" t="s">
        <v>53221</v>
      </c>
      <c r="W4289" t="s">
        <v>42978</v>
      </c>
      <c r="X4289" t="s">
        <v>47308</v>
      </c>
    </row>
    <row r="4290" spans="1:24">
      <c r="A4290">
        <f>HYPERLINK("https://www.philgeps.gov.ph/GEPSNONPILOT/Tender/SplashBidNoticeAbstractUI.aspx?menuIndex=3&amp;refID=7196821&amp;Result=3","7196821")</f>
        <v>0</v>
      </c>
      <c r="B4290" t="s">
        <v>1628</v>
      </c>
      <c r="C4290" t="s">
        <v>7909</v>
      </c>
      <c r="E4290" t="s">
        <v>22915</v>
      </c>
      <c r="F4290" t="s">
        <v>32606</v>
      </c>
      <c r="G4290" t="s">
        <v>32614</v>
      </c>
      <c r="H4290" t="s">
        <v>14201</v>
      </c>
      <c r="I4290" t="s">
        <v>8606</v>
      </c>
      <c r="J4290" t="s">
        <v>32868</v>
      </c>
      <c r="K4290" t="s">
        <v>42624</v>
      </c>
      <c r="M4290" t="s">
        <v>44648</v>
      </c>
      <c r="N4290" t="s">
        <v>47304</v>
      </c>
      <c r="O4290" t="s">
        <v>47305</v>
      </c>
      <c r="P4290">
        <v>0</v>
      </c>
      <c r="Q4290">
        <v>1</v>
      </c>
      <c r="R4290" t="s">
        <v>47306</v>
      </c>
      <c r="S4290" t="s">
        <v>47414</v>
      </c>
      <c r="T4290" t="s">
        <v>49004</v>
      </c>
      <c r="U4290" t="s">
        <v>53222</v>
      </c>
      <c r="W4290" t="s">
        <v>44648</v>
      </c>
      <c r="X4290" t="s">
        <v>47308</v>
      </c>
    </row>
    <row r="4291" spans="1:24">
      <c r="A4291">
        <f>HYPERLINK("https://www.philgeps.gov.ph/GEPSNONPILOT/Tender/SplashBidNoticeAbstractUI.aspx?menuIndex=3&amp;refID=7196820&amp;Result=3","7196820")</f>
        <v>0</v>
      </c>
      <c r="B4291" t="s">
        <v>81</v>
      </c>
      <c r="C4291" t="s">
        <v>7910</v>
      </c>
      <c r="D4291" t="s">
        <v>18995</v>
      </c>
      <c r="E4291" t="s">
        <v>22916</v>
      </c>
      <c r="F4291" t="s">
        <v>32606</v>
      </c>
      <c r="G4291" t="s">
        <v>32614</v>
      </c>
      <c r="H4291" t="s">
        <v>14201</v>
      </c>
      <c r="I4291" t="s">
        <v>32712</v>
      </c>
      <c r="J4291" t="s">
        <v>33980</v>
      </c>
      <c r="K4291" t="s">
        <v>42624</v>
      </c>
      <c r="M4291" t="s">
        <v>42978</v>
      </c>
      <c r="N4291" t="s">
        <v>47304</v>
      </c>
      <c r="O4291" t="s">
        <v>47305</v>
      </c>
      <c r="P4291">
        <v>0</v>
      </c>
      <c r="Q4291">
        <v>1</v>
      </c>
      <c r="R4291" t="s">
        <v>47306</v>
      </c>
      <c r="S4291" t="s">
        <v>47414</v>
      </c>
      <c r="T4291" t="s">
        <v>49014</v>
      </c>
      <c r="U4291" t="s">
        <v>53223</v>
      </c>
      <c r="W4291" t="s">
        <v>42978</v>
      </c>
      <c r="X4291" t="s">
        <v>47308</v>
      </c>
    </row>
    <row r="4292" spans="1:24">
      <c r="A4292">
        <f>HYPERLINK("https://www.philgeps.gov.ph/GEPSNONPILOT/Tender/SplashBidNoticeAbstractUI.aspx?menuIndex=3&amp;refID=7196817&amp;Result=3","7196817")</f>
        <v>0</v>
      </c>
      <c r="B4292" t="s">
        <v>651</v>
      </c>
      <c r="C4292" t="s">
        <v>7911</v>
      </c>
      <c r="D4292" t="s">
        <v>19060</v>
      </c>
      <c r="E4292" t="s">
        <v>22917</v>
      </c>
      <c r="F4292" t="s">
        <v>32606</v>
      </c>
      <c r="G4292" t="s">
        <v>32614</v>
      </c>
      <c r="H4292" t="s">
        <v>14201</v>
      </c>
      <c r="I4292" t="s">
        <v>32626</v>
      </c>
      <c r="J4292" t="s">
        <v>33771</v>
      </c>
      <c r="K4292" t="s">
        <v>42629</v>
      </c>
      <c r="M4292" t="s">
        <v>43570</v>
      </c>
      <c r="N4292" t="s">
        <v>47304</v>
      </c>
      <c r="O4292" t="s">
        <v>47305</v>
      </c>
      <c r="P4292">
        <v>0</v>
      </c>
      <c r="Q4292">
        <v>1</v>
      </c>
      <c r="R4292" t="s">
        <v>47306</v>
      </c>
      <c r="S4292" t="s">
        <v>47414</v>
      </c>
      <c r="T4292" t="s">
        <v>48997</v>
      </c>
      <c r="U4292" t="s">
        <v>53224</v>
      </c>
      <c r="W4292" t="s">
        <v>43570</v>
      </c>
      <c r="X4292" t="s">
        <v>47308</v>
      </c>
    </row>
    <row r="4293" spans="1:24">
      <c r="A4293">
        <f>HYPERLINK("https://www.philgeps.gov.ph/GEPSNONPILOT/Tender/SplashBidNoticeAbstractUI.aspx?menuIndex=3&amp;refID=7196815&amp;Result=3","7196815")</f>
        <v>0</v>
      </c>
      <c r="B4293" t="s">
        <v>238</v>
      </c>
      <c r="C4293" t="s">
        <v>7912</v>
      </c>
      <c r="D4293" t="s">
        <v>18993</v>
      </c>
      <c r="E4293" t="s">
        <v>22918</v>
      </c>
      <c r="F4293" t="s">
        <v>32606</v>
      </c>
      <c r="G4293" t="s">
        <v>32619</v>
      </c>
      <c r="H4293" t="s">
        <v>14201</v>
      </c>
      <c r="I4293" t="s">
        <v>32633</v>
      </c>
      <c r="J4293" t="s">
        <v>35638</v>
      </c>
      <c r="K4293" t="s">
        <v>42622</v>
      </c>
      <c r="M4293" t="s">
        <v>43794</v>
      </c>
      <c r="N4293" t="s">
        <v>47304</v>
      </c>
      <c r="O4293" t="s">
        <v>47305</v>
      </c>
      <c r="P4293">
        <v>0</v>
      </c>
      <c r="Q4293">
        <v>4</v>
      </c>
      <c r="R4293" t="s">
        <v>47306</v>
      </c>
      <c r="S4293" t="s">
        <v>47414</v>
      </c>
      <c r="T4293" t="s">
        <v>49165</v>
      </c>
      <c r="U4293" t="s">
        <v>53225</v>
      </c>
      <c r="W4293" t="s">
        <v>43794</v>
      </c>
      <c r="X4293" t="s">
        <v>47308</v>
      </c>
    </row>
    <row r="4294" spans="1:24">
      <c r="A4294">
        <f>HYPERLINK("https://www.philgeps.gov.ph/GEPSNONPILOT/Tender/SplashBidNoticeAbstractUI.aspx?menuIndex=3&amp;refID=7196814&amp;Result=3","7196814")</f>
        <v>0</v>
      </c>
      <c r="B4294" t="s">
        <v>1629</v>
      </c>
      <c r="C4294" t="s">
        <v>7913</v>
      </c>
      <c r="D4294" t="s">
        <v>18992</v>
      </c>
      <c r="E4294" t="s">
        <v>22919</v>
      </c>
      <c r="F4294" t="s">
        <v>32606</v>
      </c>
      <c r="G4294" t="s">
        <v>32613</v>
      </c>
      <c r="H4294" t="s">
        <v>32623</v>
      </c>
      <c r="I4294" t="s">
        <v>17648</v>
      </c>
      <c r="J4294" t="s">
        <v>35639</v>
      </c>
      <c r="K4294" t="s">
        <v>42646</v>
      </c>
      <c r="M4294" t="s">
        <v>44649</v>
      </c>
      <c r="N4294" t="s">
        <v>47304</v>
      </c>
      <c r="O4294" t="s">
        <v>47305</v>
      </c>
      <c r="P4294">
        <v>0</v>
      </c>
      <c r="Q4294">
        <v>0</v>
      </c>
      <c r="R4294" t="s">
        <v>47306</v>
      </c>
      <c r="S4294" t="s">
        <v>47414</v>
      </c>
      <c r="T4294" t="s">
        <v>48995</v>
      </c>
      <c r="U4294" t="s">
        <v>52172</v>
      </c>
      <c r="W4294" t="s">
        <v>44649</v>
      </c>
      <c r="X4294" t="s">
        <v>47308</v>
      </c>
    </row>
    <row r="4295" spans="1:24">
      <c r="A4295">
        <f>HYPERLINK("https://www.philgeps.gov.ph/GEPSNONPILOT/Tender/SplashBidNoticeAbstractUI.aspx?menuIndex=3&amp;refID=7196813&amp;Result=3","7196813")</f>
        <v>0</v>
      </c>
      <c r="B4295" t="s">
        <v>1630</v>
      </c>
      <c r="C4295" t="s">
        <v>7914</v>
      </c>
      <c r="D4295" t="s">
        <v>18993</v>
      </c>
      <c r="E4295" t="s">
        <v>22920</v>
      </c>
      <c r="F4295" t="s">
        <v>32606</v>
      </c>
      <c r="G4295" t="s">
        <v>32614</v>
      </c>
      <c r="H4295" t="s">
        <v>14201</v>
      </c>
      <c r="I4295" t="s">
        <v>32700</v>
      </c>
      <c r="J4295" t="s">
        <v>34038</v>
      </c>
      <c r="K4295" t="s">
        <v>42631</v>
      </c>
      <c r="M4295" t="s">
        <v>44650</v>
      </c>
      <c r="N4295" t="s">
        <v>47304</v>
      </c>
      <c r="O4295" t="s">
        <v>47305</v>
      </c>
      <c r="P4295">
        <v>0</v>
      </c>
      <c r="Q4295">
        <v>6</v>
      </c>
      <c r="R4295" t="s">
        <v>47306</v>
      </c>
      <c r="S4295" t="s">
        <v>47414</v>
      </c>
      <c r="T4295" t="s">
        <v>48980</v>
      </c>
      <c r="U4295" t="s">
        <v>53226</v>
      </c>
      <c r="W4295" t="s">
        <v>44650</v>
      </c>
      <c r="X4295" t="s">
        <v>47308</v>
      </c>
    </row>
    <row r="4296" spans="1:24">
      <c r="A4296">
        <f>HYPERLINK("https://www.philgeps.gov.ph/GEPSNONPILOT/Tender/SplashBidNoticeAbstractUI.aspx?menuIndex=3&amp;refID=7196824&amp;Result=3","7196824")</f>
        <v>0</v>
      </c>
      <c r="B4296" t="s">
        <v>1625</v>
      </c>
      <c r="C4296" t="s">
        <v>7915</v>
      </c>
      <c r="D4296" t="s">
        <v>19034</v>
      </c>
      <c r="E4296" t="s">
        <v>22921</v>
      </c>
      <c r="F4296" t="s">
        <v>32606</v>
      </c>
      <c r="G4296" t="s">
        <v>32613</v>
      </c>
      <c r="H4296" t="s">
        <v>14201</v>
      </c>
      <c r="I4296" t="s">
        <v>6931</v>
      </c>
      <c r="J4296" t="s">
        <v>35640</v>
      </c>
      <c r="K4296" t="s">
        <v>42623</v>
      </c>
      <c r="M4296" t="s">
        <v>44645</v>
      </c>
      <c r="N4296" t="s">
        <v>47304</v>
      </c>
      <c r="O4296" t="s">
        <v>47305</v>
      </c>
      <c r="P4296">
        <v>0</v>
      </c>
      <c r="Q4296">
        <v>0</v>
      </c>
      <c r="R4296" t="s">
        <v>47306</v>
      </c>
      <c r="S4296" t="s">
        <v>47414</v>
      </c>
      <c r="T4296" t="s">
        <v>48986</v>
      </c>
      <c r="U4296" t="s">
        <v>53207</v>
      </c>
      <c r="W4296" t="s">
        <v>44645</v>
      </c>
      <c r="X4296" t="s">
        <v>47308</v>
      </c>
    </row>
    <row r="4297" spans="1:24">
      <c r="A4297">
        <f>HYPERLINK("https://www.philgeps.gov.ph/GEPSNONPILOT/Tender/SplashBidNoticeAbstractUI.aspx?menuIndex=3&amp;refID=7196846&amp;Result=3","7196846")</f>
        <v>0</v>
      </c>
      <c r="B4297" t="s">
        <v>1625</v>
      </c>
      <c r="C4297" t="s">
        <v>7916</v>
      </c>
      <c r="D4297" t="s">
        <v>19034</v>
      </c>
      <c r="E4297" t="s">
        <v>22922</v>
      </c>
      <c r="F4297" t="s">
        <v>32606</v>
      </c>
      <c r="G4297" t="s">
        <v>32613</v>
      </c>
      <c r="H4297" t="s">
        <v>32623</v>
      </c>
      <c r="I4297" t="s">
        <v>32709</v>
      </c>
      <c r="J4297" t="s">
        <v>35641</v>
      </c>
      <c r="K4297" t="s">
        <v>42646</v>
      </c>
      <c r="M4297" t="s">
        <v>44645</v>
      </c>
      <c r="N4297" t="s">
        <v>47304</v>
      </c>
      <c r="O4297" t="s">
        <v>47305</v>
      </c>
      <c r="P4297">
        <v>0</v>
      </c>
      <c r="Q4297">
        <v>0</v>
      </c>
      <c r="R4297" t="s">
        <v>47306</v>
      </c>
      <c r="S4297" t="s">
        <v>47414</v>
      </c>
      <c r="T4297" t="s">
        <v>48986</v>
      </c>
      <c r="U4297" t="s">
        <v>53207</v>
      </c>
      <c r="W4297" t="s">
        <v>44645</v>
      </c>
      <c r="X4297" t="s">
        <v>47308</v>
      </c>
    </row>
    <row r="4298" spans="1:24">
      <c r="A4298">
        <f>HYPERLINK("https://www.philgeps.gov.ph/GEPSNONPILOT/Tender/SplashBidNoticeAbstractUI.aspx?menuIndex=3&amp;refID=7196851&amp;Result=3","7196851")</f>
        <v>0</v>
      </c>
      <c r="B4298" t="s">
        <v>234</v>
      </c>
      <c r="C4298" t="s">
        <v>7917</v>
      </c>
      <c r="D4298" t="s">
        <v>19052</v>
      </c>
      <c r="E4298" t="s">
        <v>22923</v>
      </c>
      <c r="F4298" t="s">
        <v>32606</v>
      </c>
      <c r="G4298" t="s">
        <v>32614</v>
      </c>
      <c r="H4298" t="s">
        <v>14201</v>
      </c>
      <c r="I4298" t="s">
        <v>13131</v>
      </c>
      <c r="J4298" t="s">
        <v>35642</v>
      </c>
      <c r="K4298" t="s">
        <v>42631</v>
      </c>
      <c r="M4298" t="s">
        <v>43135</v>
      </c>
      <c r="N4298" t="s">
        <v>47304</v>
      </c>
      <c r="O4298" t="s">
        <v>47305</v>
      </c>
      <c r="P4298">
        <v>0</v>
      </c>
      <c r="Q4298">
        <v>2</v>
      </c>
      <c r="R4298" t="s">
        <v>47306</v>
      </c>
      <c r="S4298" t="s">
        <v>47414</v>
      </c>
      <c r="T4298" t="s">
        <v>49050</v>
      </c>
      <c r="U4298" t="s">
        <v>53227</v>
      </c>
      <c r="V4298" t="s">
        <v>62641</v>
      </c>
      <c r="W4298" t="s">
        <v>43135</v>
      </c>
      <c r="X4298" t="s">
        <v>47308</v>
      </c>
    </row>
    <row r="4299" spans="1:24">
      <c r="A4299">
        <f>HYPERLINK("https://www.philgeps.gov.ph/GEPSNONPILOT/Tender/SplashBidNoticeAbstractUI.aspx?menuIndex=3&amp;refID=7196797&amp;Result=3","7196797")</f>
        <v>0</v>
      </c>
      <c r="B4299" t="s">
        <v>171</v>
      </c>
      <c r="C4299" t="s">
        <v>7918</v>
      </c>
      <c r="E4299" t="s">
        <v>22924</v>
      </c>
      <c r="F4299" t="s">
        <v>32606</v>
      </c>
      <c r="G4299" t="s">
        <v>32614</v>
      </c>
      <c r="H4299" t="s">
        <v>14201</v>
      </c>
      <c r="I4299" t="s">
        <v>7577</v>
      </c>
      <c r="J4299" t="s">
        <v>35643</v>
      </c>
      <c r="K4299" t="s">
        <v>42631</v>
      </c>
      <c r="M4299" t="s">
        <v>43072</v>
      </c>
      <c r="N4299" t="s">
        <v>47304</v>
      </c>
      <c r="O4299" t="s">
        <v>47305</v>
      </c>
      <c r="P4299">
        <v>0</v>
      </c>
      <c r="Q4299">
        <v>2</v>
      </c>
      <c r="R4299" t="s">
        <v>47306</v>
      </c>
      <c r="S4299" t="s">
        <v>47414</v>
      </c>
      <c r="T4299" t="s">
        <v>48979</v>
      </c>
      <c r="U4299" t="s">
        <v>53228</v>
      </c>
      <c r="W4299" t="s">
        <v>43072</v>
      </c>
      <c r="X4299" t="s">
        <v>47308</v>
      </c>
    </row>
    <row r="4300" spans="1:24">
      <c r="A4300">
        <f>HYPERLINK("https://www.philgeps.gov.ph/GEPSNONPILOT/Tender/SplashBidNoticeAbstractUI.aspx?menuIndex=3&amp;refID=7196849&amp;Result=3","7196849")</f>
        <v>0</v>
      </c>
      <c r="B4300" t="s">
        <v>199</v>
      </c>
      <c r="C4300" t="s">
        <v>7919</v>
      </c>
      <c r="D4300" t="s">
        <v>18991</v>
      </c>
      <c r="E4300" t="s">
        <v>22925</v>
      </c>
      <c r="F4300" t="s">
        <v>32606</v>
      </c>
      <c r="G4300" t="s">
        <v>32613</v>
      </c>
      <c r="H4300" t="s">
        <v>14201</v>
      </c>
      <c r="I4300" t="s">
        <v>6931</v>
      </c>
      <c r="J4300" t="s">
        <v>32789</v>
      </c>
      <c r="K4300" t="s">
        <v>42631</v>
      </c>
      <c r="M4300" t="s">
        <v>43100</v>
      </c>
      <c r="N4300" t="s">
        <v>47304</v>
      </c>
      <c r="O4300" t="s">
        <v>47305</v>
      </c>
      <c r="P4300">
        <v>0</v>
      </c>
      <c r="Q4300">
        <v>0</v>
      </c>
      <c r="R4300" t="s">
        <v>47306</v>
      </c>
      <c r="S4300" t="s">
        <v>47414</v>
      </c>
      <c r="T4300" t="s">
        <v>48973</v>
      </c>
      <c r="U4300" t="s">
        <v>53229</v>
      </c>
      <c r="W4300" t="s">
        <v>43100</v>
      </c>
      <c r="X4300" t="s">
        <v>47308</v>
      </c>
    </row>
    <row r="4301" spans="1:24">
      <c r="A4301">
        <f>HYPERLINK("https://www.philgeps.gov.ph/GEPSNONPILOT/Tender/SplashBidNoticeAbstractUI.aspx?menuIndex=3&amp;refID=7196825&amp;Result=3","7196825")</f>
        <v>0</v>
      </c>
      <c r="B4301" t="s">
        <v>899</v>
      </c>
      <c r="C4301" t="s">
        <v>7920</v>
      </c>
      <c r="E4301" t="s">
        <v>22926</v>
      </c>
      <c r="F4301" t="s">
        <v>32606</v>
      </c>
      <c r="G4301" t="s">
        <v>32614</v>
      </c>
      <c r="H4301" t="s">
        <v>14201</v>
      </c>
      <c r="I4301" t="s">
        <v>6007</v>
      </c>
      <c r="J4301" t="s">
        <v>32963</v>
      </c>
      <c r="K4301" t="s">
        <v>42624</v>
      </c>
      <c r="M4301" t="s">
        <v>43836</v>
      </c>
      <c r="N4301" t="s">
        <v>47304</v>
      </c>
      <c r="O4301" t="s">
        <v>47305</v>
      </c>
      <c r="P4301">
        <v>0</v>
      </c>
      <c r="Q4301">
        <v>0</v>
      </c>
      <c r="R4301" t="s">
        <v>47306</v>
      </c>
      <c r="S4301" t="s">
        <v>47414</v>
      </c>
      <c r="T4301" t="s">
        <v>48971</v>
      </c>
      <c r="U4301" t="s">
        <v>53230</v>
      </c>
      <c r="W4301" t="s">
        <v>43836</v>
      </c>
      <c r="X4301" t="s">
        <v>47308</v>
      </c>
    </row>
    <row r="4302" spans="1:24">
      <c r="A4302">
        <f>HYPERLINK("https://www.philgeps.gov.ph/GEPSNONPILOT/Tender/SplashBidNoticeAbstractUI.aspx?menuIndex=3&amp;refID=7196848&amp;Result=3","7196848")</f>
        <v>0</v>
      </c>
      <c r="B4302" t="s">
        <v>899</v>
      </c>
      <c r="C4302" t="s">
        <v>7921</v>
      </c>
      <c r="E4302" t="s">
        <v>22927</v>
      </c>
      <c r="F4302" t="s">
        <v>32606</v>
      </c>
      <c r="G4302" t="s">
        <v>32614</v>
      </c>
      <c r="H4302" t="s">
        <v>14201</v>
      </c>
      <c r="I4302" t="s">
        <v>32676</v>
      </c>
      <c r="J4302" t="s">
        <v>35644</v>
      </c>
      <c r="K4302" t="s">
        <v>42624</v>
      </c>
      <c r="M4302" t="s">
        <v>43836</v>
      </c>
      <c r="N4302" t="s">
        <v>47304</v>
      </c>
      <c r="O4302" t="s">
        <v>47305</v>
      </c>
      <c r="P4302">
        <v>0</v>
      </c>
      <c r="Q4302">
        <v>0</v>
      </c>
      <c r="R4302" t="s">
        <v>47306</v>
      </c>
      <c r="S4302" t="s">
        <v>47414</v>
      </c>
      <c r="T4302" t="s">
        <v>48971</v>
      </c>
      <c r="U4302" t="s">
        <v>53231</v>
      </c>
      <c r="W4302" t="s">
        <v>43836</v>
      </c>
      <c r="X4302" t="s">
        <v>47308</v>
      </c>
    </row>
    <row r="4303" spans="1:24">
      <c r="A4303">
        <f>HYPERLINK("https://www.philgeps.gov.ph/GEPSNONPILOT/Tender/SplashBidNoticeAbstractUI.aspx?menuIndex=3&amp;refID=7196845&amp;Result=3","7196845")</f>
        <v>0</v>
      </c>
      <c r="B4303" t="s">
        <v>81</v>
      </c>
      <c r="C4303" t="s">
        <v>7922</v>
      </c>
      <c r="D4303" t="s">
        <v>18995</v>
      </c>
      <c r="E4303" t="s">
        <v>22928</v>
      </c>
      <c r="F4303" t="s">
        <v>32606</v>
      </c>
      <c r="G4303" t="s">
        <v>32614</v>
      </c>
      <c r="H4303" t="s">
        <v>14201</v>
      </c>
      <c r="I4303" t="s">
        <v>32661</v>
      </c>
      <c r="J4303" t="s">
        <v>33848</v>
      </c>
      <c r="K4303" t="s">
        <v>42624</v>
      </c>
      <c r="M4303" t="s">
        <v>42978</v>
      </c>
      <c r="N4303" t="s">
        <v>47304</v>
      </c>
      <c r="O4303" t="s">
        <v>47305</v>
      </c>
      <c r="P4303">
        <v>0</v>
      </c>
      <c r="Q4303">
        <v>4</v>
      </c>
      <c r="R4303" t="s">
        <v>47306</v>
      </c>
      <c r="S4303" t="s">
        <v>47414</v>
      </c>
      <c r="T4303" t="s">
        <v>49014</v>
      </c>
      <c r="U4303" t="s">
        <v>53232</v>
      </c>
      <c r="W4303" t="s">
        <v>42978</v>
      </c>
      <c r="X4303" t="s">
        <v>47308</v>
      </c>
    </row>
    <row r="4304" spans="1:24">
      <c r="A4304">
        <f>HYPERLINK("https://www.philgeps.gov.ph/GEPSNONPILOT/Tender/SplashBidNoticeAbstractUI.aspx?menuIndex=3&amp;refID=7196850&amp;Result=3","7196850")</f>
        <v>0</v>
      </c>
      <c r="B4304" t="s">
        <v>1631</v>
      </c>
      <c r="C4304" t="s">
        <v>7923</v>
      </c>
      <c r="D4304" t="s">
        <v>18993</v>
      </c>
      <c r="E4304" t="s">
        <v>22929</v>
      </c>
      <c r="F4304" t="s">
        <v>32606</v>
      </c>
      <c r="G4304" t="s">
        <v>32619</v>
      </c>
      <c r="H4304" t="s">
        <v>14201</v>
      </c>
      <c r="I4304" t="s">
        <v>4369</v>
      </c>
      <c r="J4304" t="s">
        <v>35645</v>
      </c>
      <c r="K4304" t="s">
        <v>42624</v>
      </c>
      <c r="M4304" t="s">
        <v>44651</v>
      </c>
      <c r="N4304" t="s">
        <v>47304</v>
      </c>
      <c r="O4304" t="s">
        <v>47305</v>
      </c>
      <c r="P4304">
        <v>0</v>
      </c>
      <c r="Q4304">
        <v>3</v>
      </c>
      <c r="R4304" t="s">
        <v>47306</v>
      </c>
      <c r="S4304" t="s">
        <v>47414</v>
      </c>
      <c r="T4304" t="s">
        <v>49072</v>
      </c>
      <c r="U4304" t="s">
        <v>53233</v>
      </c>
      <c r="W4304" t="s">
        <v>44651</v>
      </c>
      <c r="X4304" t="s">
        <v>47308</v>
      </c>
    </row>
    <row r="4305" spans="1:24">
      <c r="A4305">
        <f>HYPERLINK("https://www.philgeps.gov.ph/GEPSNONPILOT/Tender/SplashBidNoticeAbstractUI.aspx?menuIndex=3&amp;refID=7196843&amp;Result=3","7196843")</f>
        <v>0</v>
      </c>
      <c r="B4305" t="s">
        <v>729</v>
      </c>
      <c r="C4305" t="s">
        <v>7924</v>
      </c>
      <c r="D4305" t="s">
        <v>19007</v>
      </c>
      <c r="E4305" t="s">
        <v>22930</v>
      </c>
      <c r="F4305" t="s">
        <v>32606</v>
      </c>
      <c r="G4305" t="s">
        <v>32614</v>
      </c>
      <c r="H4305" t="s">
        <v>14201</v>
      </c>
      <c r="I4305" t="s">
        <v>6298</v>
      </c>
      <c r="J4305" t="s">
        <v>32811</v>
      </c>
      <c r="K4305" t="s">
        <v>42624</v>
      </c>
      <c r="M4305" t="s">
        <v>43660</v>
      </c>
      <c r="N4305" t="s">
        <v>47304</v>
      </c>
      <c r="O4305" t="s">
        <v>47305</v>
      </c>
      <c r="P4305">
        <v>0</v>
      </c>
      <c r="Q4305">
        <v>0</v>
      </c>
      <c r="R4305" t="s">
        <v>47306</v>
      </c>
      <c r="S4305" t="s">
        <v>47414</v>
      </c>
      <c r="T4305" t="s">
        <v>48979</v>
      </c>
      <c r="U4305" t="s">
        <v>53234</v>
      </c>
      <c r="W4305" t="s">
        <v>43660</v>
      </c>
      <c r="X4305" t="s">
        <v>47308</v>
      </c>
    </row>
    <row r="4306" spans="1:24">
      <c r="A4306">
        <f>HYPERLINK("https://www.philgeps.gov.ph/GEPSNONPILOT/Tender/SplashBidNoticeAbstractUI.aspx?menuIndex=3&amp;refID=7196841&amp;Result=3","7196841")</f>
        <v>0</v>
      </c>
      <c r="B4306" t="s">
        <v>1632</v>
      </c>
      <c r="C4306" t="s">
        <v>7925</v>
      </c>
      <c r="D4306" t="s">
        <v>18999</v>
      </c>
      <c r="E4306" t="s">
        <v>22931</v>
      </c>
      <c r="F4306" t="s">
        <v>32606</v>
      </c>
      <c r="G4306" t="s">
        <v>32619</v>
      </c>
      <c r="H4306" t="s">
        <v>14201</v>
      </c>
      <c r="I4306" t="s">
        <v>32633</v>
      </c>
      <c r="J4306" t="s">
        <v>32824</v>
      </c>
      <c r="K4306" t="s">
        <v>42624</v>
      </c>
      <c r="M4306" t="s">
        <v>44652</v>
      </c>
      <c r="N4306" t="s">
        <v>47304</v>
      </c>
      <c r="O4306" t="s">
        <v>47305</v>
      </c>
      <c r="P4306">
        <v>0</v>
      </c>
      <c r="Q4306">
        <v>12</v>
      </c>
      <c r="R4306" t="s">
        <v>47306</v>
      </c>
      <c r="S4306" t="s">
        <v>47414</v>
      </c>
      <c r="T4306" t="s">
        <v>48977</v>
      </c>
      <c r="U4306" t="s">
        <v>53235</v>
      </c>
      <c r="V4306" t="s">
        <v>63068</v>
      </c>
      <c r="W4306" t="s">
        <v>44652</v>
      </c>
      <c r="X4306" t="s">
        <v>47308</v>
      </c>
    </row>
    <row r="4307" spans="1:24">
      <c r="A4307">
        <f>HYPERLINK("https://www.philgeps.gov.ph/GEPSNONPILOT/Tender/SplashBidNoticeAbstractUI.aspx?menuIndex=3&amp;refID=7196840&amp;Result=3","7196840")</f>
        <v>0</v>
      </c>
      <c r="B4307" t="s">
        <v>1618</v>
      </c>
      <c r="C4307" t="s">
        <v>7926</v>
      </c>
      <c r="D4307" t="s">
        <v>19016</v>
      </c>
      <c r="E4307" t="s">
        <v>22932</v>
      </c>
      <c r="F4307" t="s">
        <v>32606</v>
      </c>
      <c r="G4307" t="s">
        <v>32617</v>
      </c>
      <c r="H4307" t="s">
        <v>14201</v>
      </c>
      <c r="I4307" t="s">
        <v>4114</v>
      </c>
      <c r="J4307" t="s">
        <v>35646</v>
      </c>
      <c r="K4307" t="s">
        <v>42630</v>
      </c>
      <c r="M4307" t="s">
        <v>44638</v>
      </c>
      <c r="N4307" t="s">
        <v>47304</v>
      </c>
      <c r="O4307" t="s">
        <v>47305</v>
      </c>
      <c r="P4307">
        <v>0</v>
      </c>
      <c r="Q4307">
        <v>0</v>
      </c>
      <c r="R4307" t="s">
        <v>47306</v>
      </c>
      <c r="S4307" t="s">
        <v>47414</v>
      </c>
      <c r="T4307" t="s">
        <v>48979</v>
      </c>
      <c r="U4307" t="s">
        <v>53236</v>
      </c>
      <c r="W4307" t="s">
        <v>44638</v>
      </c>
      <c r="X4307" t="s">
        <v>47308</v>
      </c>
    </row>
    <row r="4308" spans="1:24">
      <c r="A4308">
        <f>HYPERLINK("https://www.philgeps.gov.ph/GEPSNONPILOT/Tender/SplashBidNoticeAbstractUI.aspx?menuIndex=3&amp;refID=7196839&amp;Result=3","7196839")</f>
        <v>0</v>
      </c>
      <c r="B4308" t="s">
        <v>234</v>
      </c>
      <c r="C4308" t="s">
        <v>6708</v>
      </c>
      <c r="D4308" t="s">
        <v>19052</v>
      </c>
      <c r="E4308" t="s">
        <v>22933</v>
      </c>
      <c r="F4308" t="s">
        <v>32606</v>
      </c>
      <c r="G4308" t="s">
        <v>32614</v>
      </c>
      <c r="H4308" t="s">
        <v>14201</v>
      </c>
      <c r="I4308" t="s">
        <v>6993</v>
      </c>
      <c r="J4308" t="s">
        <v>35647</v>
      </c>
      <c r="K4308" t="s">
        <v>42631</v>
      </c>
      <c r="M4308" t="s">
        <v>43135</v>
      </c>
      <c r="N4308" t="s">
        <v>47304</v>
      </c>
      <c r="O4308" t="s">
        <v>47305</v>
      </c>
      <c r="P4308">
        <v>0</v>
      </c>
      <c r="Q4308">
        <v>1</v>
      </c>
      <c r="R4308" t="s">
        <v>47306</v>
      </c>
      <c r="S4308" t="s">
        <v>47414</v>
      </c>
      <c r="T4308" t="s">
        <v>49050</v>
      </c>
      <c r="U4308" t="s">
        <v>53237</v>
      </c>
      <c r="V4308" t="s">
        <v>62641</v>
      </c>
      <c r="W4308" t="s">
        <v>43135</v>
      </c>
      <c r="X4308" t="s">
        <v>47308</v>
      </c>
    </row>
    <row r="4309" spans="1:24">
      <c r="A4309">
        <f>HYPERLINK("https://www.philgeps.gov.ph/GEPSNONPILOT/Tender/SplashBidNoticeAbstractUI.aspx?menuIndex=3&amp;refID=7196837&amp;Result=3","7196837")</f>
        <v>0</v>
      </c>
      <c r="B4309" t="s">
        <v>1380</v>
      </c>
      <c r="C4309" t="s">
        <v>6007</v>
      </c>
      <c r="D4309" t="s">
        <v>19014</v>
      </c>
      <c r="E4309" t="s">
        <v>22934</v>
      </c>
      <c r="F4309" t="s">
        <v>32606</v>
      </c>
      <c r="G4309" t="s">
        <v>32614</v>
      </c>
      <c r="H4309" t="s">
        <v>14201</v>
      </c>
      <c r="I4309" t="s">
        <v>6007</v>
      </c>
      <c r="J4309" t="s">
        <v>33075</v>
      </c>
      <c r="K4309" t="s">
        <v>42622</v>
      </c>
      <c r="M4309" t="s">
        <v>44362</v>
      </c>
      <c r="N4309" t="s">
        <v>47304</v>
      </c>
      <c r="O4309" t="s">
        <v>47305</v>
      </c>
      <c r="P4309">
        <v>0</v>
      </c>
      <c r="Q4309">
        <v>0</v>
      </c>
      <c r="R4309" t="s">
        <v>47306</v>
      </c>
      <c r="S4309" t="s">
        <v>47414</v>
      </c>
      <c r="T4309" t="s">
        <v>48980</v>
      </c>
      <c r="U4309" t="s">
        <v>53238</v>
      </c>
      <c r="W4309" t="s">
        <v>44362</v>
      </c>
      <c r="X4309" t="s">
        <v>47308</v>
      </c>
    </row>
    <row r="4310" spans="1:24">
      <c r="A4310">
        <f>HYPERLINK("https://www.philgeps.gov.ph/GEPSNONPILOT/Tender/SplashBidNoticeAbstractUI.aspx?menuIndex=3&amp;refID=7196847&amp;Result=3","7196847")</f>
        <v>0</v>
      </c>
      <c r="B4310" t="s">
        <v>829</v>
      </c>
      <c r="C4310" t="s">
        <v>7927</v>
      </c>
      <c r="D4310" t="s">
        <v>18995</v>
      </c>
      <c r="E4310" t="s">
        <v>21872</v>
      </c>
      <c r="F4310" t="s">
        <v>32606</v>
      </c>
      <c r="G4310" t="s">
        <v>32614</v>
      </c>
      <c r="H4310" t="s">
        <v>14201</v>
      </c>
      <c r="I4310" t="s">
        <v>32634</v>
      </c>
      <c r="J4310" t="s">
        <v>32868</v>
      </c>
      <c r="K4310" t="s">
        <v>42624</v>
      </c>
      <c r="M4310" t="s">
        <v>43760</v>
      </c>
      <c r="N4310" t="s">
        <v>47304</v>
      </c>
      <c r="O4310" t="s">
        <v>47305</v>
      </c>
      <c r="P4310">
        <v>0</v>
      </c>
      <c r="Q4310">
        <v>0</v>
      </c>
      <c r="R4310" t="s">
        <v>47306</v>
      </c>
      <c r="S4310" t="s">
        <v>47414</v>
      </c>
      <c r="T4310" t="s">
        <v>48980</v>
      </c>
      <c r="U4310" t="s">
        <v>53239</v>
      </c>
      <c r="W4310" t="s">
        <v>43760</v>
      </c>
      <c r="X4310" t="s">
        <v>47308</v>
      </c>
    </row>
    <row r="4311" spans="1:24">
      <c r="A4311">
        <f>HYPERLINK("https://www.philgeps.gov.ph/GEPSNONPILOT/Tender/SplashBidNoticeAbstractUI.aspx?menuIndex=3&amp;refID=7196836&amp;Result=3","7196836")</f>
        <v>0</v>
      </c>
      <c r="B4311" t="s">
        <v>829</v>
      </c>
      <c r="C4311" t="s">
        <v>7928</v>
      </c>
      <c r="D4311" t="s">
        <v>18995</v>
      </c>
      <c r="E4311" t="s">
        <v>20748</v>
      </c>
      <c r="F4311" t="s">
        <v>32606</v>
      </c>
      <c r="G4311" t="s">
        <v>32614</v>
      </c>
      <c r="H4311" t="s">
        <v>14201</v>
      </c>
      <c r="I4311" t="s">
        <v>4678</v>
      </c>
      <c r="J4311" t="s">
        <v>32781</v>
      </c>
      <c r="K4311" t="s">
        <v>42624</v>
      </c>
      <c r="M4311" t="s">
        <v>43760</v>
      </c>
      <c r="N4311" t="s">
        <v>47304</v>
      </c>
      <c r="O4311" t="s">
        <v>47305</v>
      </c>
      <c r="P4311">
        <v>0</v>
      </c>
      <c r="Q4311">
        <v>1</v>
      </c>
      <c r="R4311" t="s">
        <v>47306</v>
      </c>
      <c r="S4311" t="s">
        <v>47414</v>
      </c>
      <c r="T4311" t="s">
        <v>48980</v>
      </c>
      <c r="U4311" t="s">
        <v>53240</v>
      </c>
      <c r="W4311" t="s">
        <v>43760</v>
      </c>
      <c r="X4311" t="s">
        <v>47308</v>
      </c>
    </row>
    <row r="4312" spans="1:24">
      <c r="A4312">
        <f>HYPERLINK("https://www.philgeps.gov.ph/GEPSNONPILOT/Tender/SplashBidNoticeAbstractUI.aspx?menuIndex=3&amp;refID=7196826&amp;Result=3","7196826")</f>
        <v>0</v>
      </c>
      <c r="B4312" t="s">
        <v>1618</v>
      </c>
      <c r="C4312" t="s">
        <v>7929</v>
      </c>
      <c r="D4312" t="s">
        <v>19016</v>
      </c>
      <c r="E4312" t="s">
        <v>22935</v>
      </c>
      <c r="F4312" t="s">
        <v>32606</v>
      </c>
      <c r="G4312" t="s">
        <v>32617</v>
      </c>
      <c r="H4312" t="s">
        <v>14201</v>
      </c>
      <c r="I4312" t="s">
        <v>4114</v>
      </c>
      <c r="J4312" t="s">
        <v>35648</v>
      </c>
      <c r="K4312" t="s">
        <v>42630</v>
      </c>
      <c r="M4312" t="s">
        <v>44638</v>
      </c>
      <c r="N4312" t="s">
        <v>47304</v>
      </c>
      <c r="O4312" t="s">
        <v>47305</v>
      </c>
      <c r="P4312">
        <v>0</v>
      </c>
      <c r="Q4312">
        <v>2</v>
      </c>
      <c r="R4312" t="s">
        <v>47306</v>
      </c>
      <c r="S4312" t="s">
        <v>47414</v>
      </c>
      <c r="T4312" t="s">
        <v>48979</v>
      </c>
      <c r="U4312" t="s">
        <v>53241</v>
      </c>
      <c r="W4312" t="s">
        <v>44638</v>
      </c>
      <c r="X4312" t="s">
        <v>47308</v>
      </c>
    </row>
    <row r="4313" spans="1:24">
      <c r="A4313">
        <f>HYPERLINK("https://www.philgeps.gov.ph/GEPSNONPILOT/Tender/SplashBidNoticeAbstractUI.aspx?menuIndex=3&amp;refID=7196834&amp;Result=3","7196834")</f>
        <v>0</v>
      </c>
      <c r="B4313" t="s">
        <v>1633</v>
      </c>
      <c r="C4313" t="s">
        <v>7930</v>
      </c>
      <c r="D4313" t="s">
        <v>19012</v>
      </c>
      <c r="E4313" t="s">
        <v>22936</v>
      </c>
      <c r="F4313" t="s">
        <v>32606</v>
      </c>
      <c r="G4313" t="s">
        <v>32614</v>
      </c>
      <c r="H4313" t="s">
        <v>14201</v>
      </c>
      <c r="I4313" t="s">
        <v>32652</v>
      </c>
      <c r="J4313" t="s">
        <v>35649</v>
      </c>
      <c r="K4313" t="s">
        <v>42624</v>
      </c>
      <c r="M4313" t="s">
        <v>44653</v>
      </c>
      <c r="N4313" t="s">
        <v>47304</v>
      </c>
      <c r="O4313" t="s">
        <v>47305</v>
      </c>
      <c r="P4313">
        <v>0</v>
      </c>
      <c r="Q4313">
        <v>0</v>
      </c>
      <c r="R4313" t="s">
        <v>47306</v>
      </c>
      <c r="S4313" t="s">
        <v>47414</v>
      </c>
      <c r="T4313" t="s">
        <v>49019</v>
      </c>
      <c r="U4313" t="s">
        <v>53242</v>
      </c>
      <c r="W4313" t="s">
        <v>64477</v>
      </c>
      <c r="X4313" t="s">
        <v>47308</v>
      </c>
    </row>
    <row r="4314" spans="1:24">
      <c r="A4314">
        <f>HYPERLINK("https://www.philgeps.gov.ph/GEPSNONPILOT/Tender/SplashBidNoticeAbstractUI.aspx?menuIndex=3&amp;refID=7196833&amp;Result=3","7196833")</f>
        <v>0</v>
      </c>
      <c r="B4314" t="s">
        <v>899</v>
      </c>
      <c r="C4314" t="s">
        <v>7931</v>
      </c>
      <c r="E4314" t="s">
        <v>22937</v>
      </c>
      <c r="F4314" t="s">
        <v>32606</v>
      </c>
      <c r="G4314" t="s">
        <v>32614</v>
      </c>
      <c r="H4314" t="s">
        <v>14201</v>
      </c>
      <c r="I4314" t="s">
        <v>6007</v>
      </c>
      <c r="J4314" t="s">
        <v>35650</v>
      </c>
      <c r="K4314" t="s">
        <v>42624</v>
      </c>
      <c r="M4314" t="s">
        <v>43836</v>
      </c>
      <c r="N4314" t="s">
        <v>47304</v>
      </c>
      <c r="O4314" t="s">
        <v>47305</v>
      </c>
      <c r="P4314">
        <v>0</v>
      </c>
      <c r="Q4314">
        <v>0</v>
      </c>
      <c r="R4314" t="s">
        <v>47306</v>
      </c>
      <c r="S4314" t="s">
        <v>47414</v>
      </c>
      <c r="T4314" t="s">
        <v>48971</v>
      </c>
      <c r="U4314" t="s">
        <v>53243</v>
      </c>
      <c r="W4314" t="s">
        <v>43836</v>
      </c>
      <c r="X4314" t="s">
        <v>47308</v>
      </c>
    </row>
    <row r="4315" spans="1:24">
      <c r="A4315">
        <f>HYPERLINK("https://www.philgeps.gov.ph/GEPSNONPILOT/Tender/SplashBidNoticeAbstractUI.aspx?menuIndex=3&amp;refID=7196832&amp;Result=3","7196832")</f>
        <v>0</v>
      </c>
      <c r="B4315" t="s">
        <v>1611</v>
      </c>
      <c r="C4315" t="s">
        <v>7932</v>
      </c>
      <c r="D4315" t="s">
        <v>19010</v>
      </c>
      <c r="E4315" t="s">
        <v>22938</v>
      </c>
      <c r="F4315" t="s">
        <v>32606</v>
      </c>
      <c r="G4315" t="s">
        <v>32614</v>
      </c>
      <c r="H4315" t="s">
        <v>14201</v>
      </c>
      <c r="I4315" t="s">
        <v>6931</v>
      </c>
      <c r="J4315" t="s">
        <v>32949</v>
      </c>
      <c r="K4315" t="s">
        <v>42623</v>
      </c>
      <c r="M4315" t="s">
        <v>44631</v>
      </c>
      <c r="N4315" t="s">
        <v>47304</v>
      </c>
      <c r="O4315" t="s">
        <v>47305</v>
      </c>
      <c r="P4315">
        <v>0</v>
      </c>
      <c r="Q4315">
        <v>0</v>
      </c>
      <c r="R4315" t="s">
        <v>47306</v>
      </c>
      <c r="S4315" t="s">
        <v>47414</v>
      </c>
      <c r="T4315" t="s">
        <v>48980</v>
      </c>
      <c r="U4315" t="s">
        <v>53244</v>
      </c>
      <c r="W4315" t="s">
        <v>44631</v>
      </c>
      <c r="X4315" t="s">
        <v>47308</v>
      </c>
    </row>
    <row r="4316" spans="1:24">
      <c r="A4316">
        <f>HYPERLINK("https://www.philgeps.gov.ph/GEPSNONPILOT/Tender/SplashBidNoticeAbstractUI.aspx?menuIndex=3&amp;refID=7196831&amp;Result=3","7196831")</f>
        <v>0</v>
      </c>
      <c r="B4316" t="s">
        <v>101</v>
      </c>
      <c r="C4316" t="s">
        <v>7933</v>
      </c>
      <c r="D4316" t="s">
        <v>18993</v>
      </c>
      <c r="E4316" t="s">
        <v>22939</v>
      </c>
      <c r="F4316" t="s">
        <v>32606</v>
      </c>
      <c r="G4316" t="s">
        <v>32617</v>
      </c>
      <c r="H4316" t="s">
        <v>14201</v>
      </c>
      <c r="I4316" t="s">
        <v>4114</v>
      </c>
      <c r="J4316" t="s">
        <v>35651</v>
      </c>
      <c r="K4316" t="s">
        <v>42631</v>
      </c>
      <c r="M4316" t="s">
        <v>44372</v>
      </c>
      <c r="N4316" t="s">
        <v>47304</v>
      </c>
      <c r="O4316" t="s">
        <v>47305</v>
      </c>
      <c r="P4316">
        <v>0</v>
      </c>
      <c r="Q4316">
        <v>10</v>
      </c>
      <c r="R4316" t="s">
        <v>47306</v>
      </c>
      <c r="S4316" t="s">
        <v>47414</v>
      </c>
      <c r="T4316" t="s">
        <v>48980</v>
      </c>
      <c r="U4316" t="s">
        <v>49695</v>
      </c>
      <c r="W4316" t="s">
        <v>44372</v>
      </c>
      <c r="X4316" t="s">
        <v>47308</v>
      </c>
    </row>
    <row r="4317" spans="1:24">
      <c r="A4317">
        <f>HYPERLINK("https://www.philgeps.gov.ph/GEPSNONPILOT/Tender/SplashBidNoticeAbstractUI.aspx?menuIndex=3&amp;refID=7196830&amp;Result=3","7196830")</f>
        <v>0</v>
      </c>
      <c r="B4317" t="s">
        <v>581</v>
      </c>
      <c r="C4317" t="s">
        <v>7934</v>
      </c>
      <c r="D4317" t="s">
        <v>19036</v>
      </c>
      <c r="E4317" t="s">
        <v>22940</v>
      </c>
      <c r="F4317" t="s">
        <v>32606</v>
      </c>
      <c r="G4317" t="s">
        <v>32614</v>
      </c>
      <c r="H4317" t="s">
        <v>14201</v>
      </c>
      <c r="I4317" t="s">
        <v>32638</v>
      </c>
      <c r="J4317" t="s">
        <v>35652</v>
      </c>
      <c r="K4317" t="s">
        <v>42631</v>
      </c>
      <c r="M4317" t="s">
        <v>43496</v>
      </c>
      <c r="N4317" t="s">
        <v>47304</v>
      </c>
      <c r="O4317" t="s">
        <v>47305</v>
      </c>
      <c r="P4317">
        <v>0</v>
      </c>
      <c r="Q4317">
        <v>3</v>
      </c>
      <c r="R4317" t="s">
        <v>47306</v>
      </c>
      <c r="S4317" t="s">
        <v>47414</v>
      </c>
      <c r="T4317" t="s">
        <v>49050</v>
      </c>
      <c r="U4317" t="s">
        <v>53245</v>
      </c>
      <c r="W4317" t="s">
        <v>43496</v>
      </c>
      <c r="X4317" t="s">
        <v>47308</v>
      </c>
    </row>
    <row r="4318" spans="1:24">
      <c r="A4318">
        <f>HYPERLINK("https://www.philgeps.gov.ph/GEPSNONPILOT/Tender/SplashBidNoticeAbstractUI.aspx?menuIndex=3&amp;refID=7196838&amp;Result=3","7196838")</f>
        <v>0</v>
      </c>
      <c r="B4318" t="s">
        <v>899</v>
      </c>
      <c r="C4318" t="s">
        <v>7935</v>
      </c>
      <c r="E4318" t="s">
        <v>22941</v>
      </c>
      <c r="F4318" t="s">
        <v>32606</v>
      </c>
      <c r="G4318" t="s">
        <v>32614</v>
      </c>
      <c r="H4318" t="s">
        <v>14201</v>
      </c>
      <c r="I4318" t="s">
        <v>6007</v>
      </c>
      <c r="J4318" t="s">
        <v>33111</v>
      </c>
      <c r="K4318" t="s">
        <v>42624</v>
      </c>
      <c r="M4318" t="s">
        <v>43836</v>
      </c>
      <c r="N4318" t="s">
        <v>47304</v>
      </c>
      <c r="O4318" t="s">
        <v>47305</v>
      </c>
      <c r="P4318">
        <v>0</v>
      </c>
      <c r="Q4318">
        <v>0</v>
      </c>
      <c r="R4318" t="s">
        <v>47306</v>
      </c>
      <c r="S4318" t="s">
        <v>47414</v>
      </c>
      <c r="T4318" t="s">
        <v>48971</v>
      </c>
      <c r="U4318" t="s">
        <v>53246</v>
      </c>
      <c r="W4318" t="s">
        <v>43836</v>
      </c>
      <c r="X4318" t="s">
        <v>47308</v>
      </c>
    </row>
    <row r="4319" spans="1:24">
      <c r="A4319">
        <f>HYPERLINK("https://www.philgeps.gov.ph/GEPSNONPILOT/Tender/SplashBidNoticeAbstractUI.aspx?menuIndex=3&amp;refID=7196810&amp;Result=3","7196810")</f>
        <v>0</v>
      </c>
      <c r="B4319" t="s">
        <v>1618</v>
      </c>
      <c r="C4319" t="s">
        <v>7936</v>
      </c>
      <c r="D4319" t="s">
        <v>19016</v>
      </c>
      <c r="E4319" t="s">
        <v>22942</v>
      </c>
      <c r="F4319" t="s">
        <v>32606</v>
      </c>
      <c r="G4319" t="s">
        <v>32617</v>
      </c>
      <c r="H4319" t="s">
        <v>14201</v>
      </c>
      <c r="I4319" t="s">
        <v>4120</v>
      </c>
      <c r="J4319" t="s">
        <v>35653</v>
      </c>
      <c r="K4319" t="s">
        <v>42630</v>
      </c>
      <c r="M4319" t="s">
        <v>44638</v>
      </c>
      <c r="N4319" t="s">
        <v>47304</v>
      </c>
      <c r="O4319" t="s">
        <v>47305</v>
      </c>
      <c r="P4319">
        <v>0</v>
      </c>
      <c r="Q4319">
        <v>0</v>
      </c>
      <c r="R4319" t="s">
        <v>47306</v>
      </c>
      <c r="S4319" t="s">
        <v>47414</v>
      </c>
      <c r="T4319" t="s">
        <v>48979</v>
      </c>
      <c r="U4319" t="s">
        <v>53247</v>
      </c>
      <c r="W4319" t="s">
        <v>44638</v>
      </c>
      <c r="X4319" t="s">
        <v>47308</v>
      </c>
    </row>
    <row r="4320" spans="1:24">
      <c r="A4320">
        <f>HYPERLINK("https://www.philgeps.gov.ph/GEPSNONPILOT/Tender/SplashBidNoticeAbstractUI.aspx?menuIndex=3&amp;refID=7196809&amp;Result=3","7196809")</f>
        <v>0</v>
      </c>
      <c r="B4320" t="s">
        <v>581</v>
      </c>
      <c r="C4320" t="s">
        <v>7937</v>
      </c>
      <c r="D4320" t="s">
        <v>19036</v>
      </c>
      <c r="E4320" t="s">
        <v>22943</v>
      </c>
      <c r="F4320" t="s">
        <v>32606</v>
      </c>
      <c r="G4320" t="s">
        <v>32614</v>
      </c>
      <c r="H4320" t="s">
        <v>14201</v>
      </c>
      <c r="I4320" t="s">
        <v>32638</v>
      </c>
      <c r="J4320" t="s">
        <v>32885</v>
      </c>
      <c r="K4320" t="s">
        <v>42639</v>
      </c>
      <c r="M4320" t="s">
        <v>43496</v>
      </c>
      <c r="N4320" t="s">
        <v>47304</v>
      </c>
      <c r="O4320" t="s">
        <v>47305</v>
      </c>
      <c r="P4320">
        <v>0</v>
      </c>
      <c r="Q4320">
        <v>6</v>
      </c>
      <c r="R4320" t="s">
        <v>47306</v>
      </c>
      <c r="S4320" t="s">
        <v>47414</v>
      </c>
      <c r="T4320" t="s">
        <v>49050</v>
      </c>
      <c r="U4320" t="s">
        <v>53248</v>
      </c>
      <c r="W4320" t="s">
        <v>43496</v>
      </c>
      <c r="X4320" t="s">
        <v>47308</v>
      </c>
    </row>
    <row r="4321" spans="1:24">
      <c r="A4321">
        <f>HYPERLINK("https://www.philgeps.gov.ph/GEPSNONPILOT/Tender/SplashBidNoticeAbstractUI.aspx?menuIndex=3&amp;refID=7196788&amp;Result=3","7196788")</f>
        <v>0</v>
      </c>
      <c r="B4321" t="s">
        <v>1634</v>
      </c>
      <c r="C4321" t="s">
        <v>7938</v>
      </c>
      <c r="D4321" t="s">
        <v>19019</v>
      </c>
      <c r="E4321" t="s">
        <v>22944</v>
      </c>
      <c r="F4321" t="s">
        <v>32606</v>
      </c>
      <c r="G4321" t="s">
        <v>32615</v>
      </c>
      <c r="H4321" t="s">
        <v>32623</v>
      </c>
      <c r="I4321" t="s">
        <v>17648</v>
      </c>
      <c r="J4321" t="s">
        <v>32767</v>
      </c>
      <c r="K4321" t="s">
        <v>42684</v>
      </c>
      <c r="M4321" t="s">
        <v>44654</v>
      </c>
      <c r="N4321" t="s">
        <v>47304</v>
      </c>
      <c r="O4321" t="s">
        <v>47305</v>
      </c>
      <c r="P4321">
        <v>0</v>
      </c>
      <c r="Q4321">
        <v>0</v>
      </c>
      <c r="R4321" t="s">
        <v>47306</v>
      </c>
      <c r="S4321" t="s">
        <v>47414</v>
      </c>
      <c r="T4321" t="s">
        <v>49087</v>
      </c>
      <c r="U4321" t="s">
        <v>53249</v>
      </c>
      <c r="W4321" t="s">
        <v>44654</v>
      </c>
      <c r="X4321" t="s">
        <v>47308</v>
      </c>
    </row>
    <row r="4322" spans="1:24">
      <c r="A4322">
        <f>HYPERLINK("https://www.philgeps.gov.ph/GEPSNONPILOT/Tender/SplashBidNoticeAbstractUI.aspx?menuIndex=3&amp;refID=7196812&amp;Result=3","7196812")</f>
        <v>0</v>
      </c>
      <c r="B4322" t="s">
        <v>867</v>
      </c>
      <c r="C4322" t="s">
        <v>7939</v>
      </c>
      <c r="D4322" t="s">
        <v>19040</v>
      </c>
      <c r="E4322" t="s">
        <v>22945</v>
      </c>
      <c r="F4322" t="s">
        <v>32606</v>
      </c>
      <c r="G4322" t="s">
        <v>32614</v>
      </c>
      <c r="H4322" t="s">
        <v>14201</v>
      </c>
      <c r="I4322" t="s">
        <v>32676</v>
      </c>
      <c r="J4322" t="s">
        <v>35654</v>
      </c>
      <c r="K4322" t="s">
        <v>42624</v>
      </c>
      <c r="M4322" t="s">
        <v>43801</v>
      </c>
      <c r="N4322" t="s">
        <v>47304</v>
      </c>
      <c r="O4322" t="s">
        <v>47305</v>
      </c>
      <c r="P4322">
        <v>0</v>
      </c>
      <c r="Q4322">
        <v>1</v>
      </c>
      <c r="R4322" t="s">
        <v>47306</v>
      </c>
      <c r="S4322" t="s">
        <v>47414</v>
      </c>
      <c r="T4322" t="s">
        <v>49014</v>
      </c>
      <c r="U4322" t="s">
        <v>53250</v>
      </c>
      <c r="W4322" t="s">
        <v>43801</v>
      </c>
      <c r="X4322" t="s">
        <v>47308</v>
      </c>
    </row>
    <row r="4323" spans="1:24">
      <c r="A4323">
        <f>HYPERLINK("https://www.philgeps.gov.ph/GEPSNONPILOT/Tender/SplashBidNoticeAbstractUI.aspx?menuIndex=3&amp;refID=7196787&amp;Result=3","7196787")</f>
        <v>0</v>
      </c>
      <c r="B4323" t="s">
        <v>1454</v>
      </c>
      <c r="C4323" t="s">
        <v>7940</v>
      </c>
      <c r="E4323" t="s">
        <v>22946</v>
      </c>
      <c r="F4323" t="s">
        <v>32606</v>
      </c>
      <c r="G4323" t="s">
        <v>32617</v>
      </c>
      <c r="H4323" t="s">
        <v>14201</v>
      </c>
      <c r="I4323" t="s">
        <v>32651</v>
      </c>
      <c r="J4323" t="s">
        <v>35655</v>
      </c>
      <c r="K4323" t="s">
        <v>42630</v>
      </c>
      <c r="M4323" t="s">
        <v>44445</v>
      </c>
      <c r="N4323" t="s">
        <v>47304</v>
      </c>
      <c r="O4323" t="s">
        <v>47305</v>
      </c>
      <c r="P4323">
        <v>0</v>
      </c>
      <c r="Q4323">
        <v>0</v>
      </c>
      <c r="R4323" t="s">
        <v>47306</v>
      </c>
      <c r="S4323" t="s">
        <v>47414</v>
      </c>
      <c r="T4323" t="s">
        <v>49004</v>
      </c>
      <c r="U4323" t="s">
        <v>53251</v>
      </c>
      <c r="V4323" t="s">
        <v>63019</v>
      </c>
      <c r="W4323" t="s">
        <v>44445</v>
      </c>
      <c r="X4323" t="s">
        <v>47308</v>
      </c>
    </row>
    <row r="4324" spans="1:24">
      <c r="A4324">
        <f>HYPERLINK("https://www.philgeps.gov.ph/GEPSNONPILOT/Tender/SplashBidNoticeAbstractUI.aspx?menuIndex=3&amp;refID=7196835&amp;Result=3","7196835")</f>
        <v>0</v>
      </c>
      <c r="B4324" t="s">
        <v>651</v>
      </c>
      <c r="C4324" t="s">
        <v>7911</v>
      </c>
      <c r="D4324" t="s">
        <v>19060</v>
      </c>
      <c r="E4324" t="s">
        <v>22947</v>
      </c>
      <c r="F4324" t="s">
        <v>32606</v>
      </c>
      <c r="G4324" t="s">
        <v>32614</v>
      </c>
      <c r="H4324" t="s">
        <v>14201</v>
      </c>
      <c r="I4324" t="s">
        <v>32626</v>
      </c>
      <c r="J4324" t="s">
        <v>35656</v>
      </c>
      <c r="K4324" t="s">
        <v>42629</v>
      </c>
      <c r="M4324" t="s">
        <v>43570</v>
      </c>
      <c r="N4324" t="s">
        <v>47304</v>
      </c>
      <c r="O4324" t="s">
        <v>47305</v>
      </c>
      <c r="P4324">
        <v>0</v>
      </c>
      <c r="Q4324">
        <v>1</v>
      </c>
      <c r="R4324" t="s">
        <v>47306</v>
      </c>
      <c r="S4324" t="s">
        <v>47414</v>
      </c>
      <c r="T4324" t="s">
        <v>48997</v>
      </c>
      <c r="U4324" t="s">
        <v>53224</v>
      </c>
      <c r="W4324" t="s">
        <v>43570</v>
      </c>
      <c r="X4324" t="s">
        <v>47308</v>
      </c>
    </row>
    <row r="4325" spans="1:24">
      <c r="A4325">
        <f>HYPERLINK("https://www.philgeps.gov.ph/GEPSNONPILOT/Tender/SplashBidNoticeAbstractUI.aspx?menuIndex=3&amp;refID=7196786&amp;Result=3","7196786")</f>
        <v>0</v>
      </c>
      <c r="B4325" t="s">
        <v>48</v>
      </c>
      <c r="C4325" t="s">
        <v>7941</v>
      </c>
      <c r="E4325" t="s">
        <v>22948</v>
      </c>
      <c r="F4325" t="s">
        <v>32606</v>
      </c>
      <c r="G4325" t="s">
        <v>32614</v>
      </c>
      <c r="H4325" t="s">
        <v>14201</v>
      </c>
      <c r="I4325" t="s">
        <v>6007</v>
      </c>
      <c r="J4325" t="s">
        <v>32999</v>
      </c>
      <c r="K4325" t="s">
        <v>42624</v>
      </c>
      <c r="L4325" t="s">
        <v>48</v>
      </c>
      <c r="M4325" t="s">
        <v>44627</v>
      </c>
      <c r="N4325" t="s">
        <v>47304</v>
      </c>
      <c r="O4325" t="s">
        <v>47305</v>
      </c>
      <c r="P4325">
        <v>0</v>
      </c>
      <c r="Q4325">
        <v>0</v>
      </c>
      <c r="R4325" t="s">
        <v>47306</v>
      </c>
      <c r="S4325" t="s">
        <v>47414</v>
      </c>
      <c r="T4325" t="s">
        <v>48986</v>
      </c>
      <c r="U4325" t="s">
        <v>53157</v>
      </c>
      <c r="W4325" t="s">
        <v>44627</v>
      </c>
      <c r="X4325" t="s">
        <v>47308</v>
      </c>
    </row>
    <row r="4326" spans="1:24">
      <c r="A4326">
        <f>HYPERLINK("https://www.philgeps.gov.ph/GEPSNONPILOT/Tender/SplashBidNoticeAbstractUI.aspx?menuIndex=3&amp;refID=7196779&amp;Result=3","7196779")</f>
        <v>0</v>
      </c>
      <c r="B4326" t="s">
        <v>1635</v>
      </c>
      <c r="C4326" t="s">
        <v>7942</v>
      </c>
      <c r="D4326" t="s">
        <v>19007</v>
      </c>
      <c r="E4326" t="s">
        <v>22949</v>
      </c>
      <c r="F4326" t="s">
        <v>32606</v>
      </c>
      <c r="G4326" t="s">
        <v>32614</v>
      </c>
      <c r="H4326" t="s">
        <v>14201</v>
      </c>
      <c r="I4326" t="s">
        <v>32626</v>
      </c>
      <c r="J4326" t="s">
        <v>32967</v>
      </c>
      <c r="K4326" t="s">
        <v>42629</v>
      </c>
      <c r="M4326" t="s">
        <v>44655</v>
      </c>
      <c r="N4326" t="s">
        <v>47304</v>
      </c>
      <c r="O4326" t="s">
        <v>47305</v>
      </c>
      <c r="P4326">
        <v>0</v>
      </c>
      <c r="Q4326">
        <v>4</v>
      </c>
      <c r="R4326" t="s">
        <v>47306</v>
      </c>
      <c r="S4326" t="s">
        <v>47414</v>
      </c>
      <c r="T4326" t="s">
        <v>48980</v>
      </c>
      <c r="U4326" t="s">
        <v>53252</v>
      </c>
      <c r="W4326" t="s">
        <v>44655</v>
      </c>
      <c r="X4326" t="s">
        <v>47308</v>
      </c>
    </row>
    <row r="4327" spans="1:24">
      <c r="A4327">
        <f>HYPERLINK("https://www.philgeps.gov.ph/GEPSNONPILOT/Tender/SplashBidNoticeAbstractUI.aspx?menuIndex=3&amp;refID=7196811&amp;Result=3","7196811")</f>
        <v>0</v>
      </c>
      <c r="B4327" t="s">
        <v>1635</v>
      </c>
      <c r="C4327" t="s">
        <v>7943</v>
      </c>
      <c r="D4327" t="s">
        <v>19007</v>
      </c>
      <c r="E4327" t="s">
        <v>22950</v>
      </c>
      <c r="F4327" t="s">
        <v>32606</v>
      </c>
      <c r="G4327" t="s">
        <v>32614</v>
      </c>
      <c r="H4327" t="s">
        <v>14201</v>
      </c>
      <c r="I4327" t="s">
        <v>7064</v>
      </c>
      <c r="J4327" t="s">
        <v>32752</v>
      </c>
      <c r="K4327" t="s">
        <v>42632</v>
      </c>
      <c r="M4327" t="s">
        <v>44655</v>
      </c>
      <c r="N4327" t="s">
        <v>47304</v>
      </c>
      <c r="O4327" t="s">
        <v>47305</v>
      </c>
      <c r="P4327">
        <v>0</v>
      </c>
      <c r="Q4327">
        <v>1</v>
      </c>
      <c r="R4327" t="s">
        <v>47306</v>
      </c>
      <c r="S4327" t="s">
        <v>47414</v>
      </c>
      <c r="T4327" t="s">
        <v>48980</v>
      </c>
      <c r="U4327" t="s">
        <v>53253</v>
      </c>
      <c r="W4327" t="s">
        <v>44655</v>
      </c>
      <c r="X4327" t="s">
        <v>47308</v>
      </c>
    </row>
    <row r="4328" spans="1:24">
      <c r="A4328">
        <f>HYPERLINK("https://www.philgeps.gov.ph/GEPSNONPILOT/Tender/SplashBidNoticeAbstractUI.aspx?menuIndex=3&amp;refID=7196871&amp;Result=3","7196871")</f>
        <v>0</v>
      </c>
      <c r="B4328" t="s">
        <v>1029</v>
      </c>
      <c r="C4328" t="s">
        <v>7944</v>
      </c>
      <c r="D4328" t="s">
        <v>19028</v>
      </c>
      <c r="E4328" t="s">
        <v>22951</v>
      </c>
      <c r="F4328" t="s">
        <v>32606</v>
      </c>
      <c r="G4328" t="s">
        <v>32613</v>
      </c>
      <c r="H4328" t="s">
        <v>14201</v>
      </c>
      <c r="I4328" t="s">
        <v>6298</v>
      </c>
      <c r="J4328" t="s">
        <v>35657</v>
      </c>
      <c r="K4328" t="s">
        <v>42622</v>
      </c>
      <c r="M4328" t="s">
        <v>43982</v>
      </c>
      <c r="N4328" t="s">
        <v>47304</v>
      </c>
      <c r="O4328" t="s">
        <v>47305</v>
      </c>
      <c r="P4328">
        <v>0</v>
      </c>
      <c r="Q4328">
        <v>1</v>
      </c>
      <c r="R4328" t="s">
        <v>47306</v>
      </c>
      <c r="S4328" t="s">
        <v>47414</v>
      </c>
      <c r="T4328" t="s">
        <v>49032</v>
      </c>
      <c r="U4328" t="s">
        <v>53254</v>
      </c>
      <c r="W4328" t="s">
        <v>43982</v>
      </c>
      <c r="X4328" t="s">
        <v>47308</v>
      </c>
    </row>
    <row r="4329" spans="1:24">
      <c r="A4329">
        <f>HYPERLINK("https://www.philgeps.gov.ph/GEPSNONPILOT/Tender/SplashBidNoticeAbstractUI.aspx?menuIndex=3&amp;refID=7196870&amp;Result=3","7196870")</f>
        <v>0</v>
      </c>
      <c r="B4329" t="s">
        <v>1188</v>
      </c>
      <c r="C4329" t="s">
        <v>7945</v>
      </c>
      <c r="D4329" t="s">
        <v>19070</v>
      </c>
      <c r="E4329" t="s">
        <v>22952</v>
      </c>
      <c r="F4329" t="s">
        <v>32606</v>
      </c>
      <c r="G4329" t="s">
        <v>32613</v>
      </c>
      <c r="H4329" t="s">
        <v>32623</v>
      </c>
      <c r="I4329" t="s">
        <v>17648</v>
      </c>
      <c r="J4329" t="s">
        <v>32765</v>
      </c>
      <c r="K4329" t="s">
        <v>42636</v>
      </c>
      <c r="M4329" t="s">
        <v>44152</v>
      </c>
      <c r="N4329" t="s">
        <v>47304</v>
      </c>
      <c r="O4329" t="s">
        <v>47305</v>
      </c>
      <c r="P4329">
        <v>0</v>
      </c>
      <c r="Q4329">
        <v>0</v>
      </c>
      <c r="R4329" t="s">
        <v>47306</v>
      </c>
      <c r="S4329" t="s">
        <v>47414</v>
      </c>
      <c r="T4329" t="s">
        <v>48986</v>
      </c>
      <c r="U4329" t="s">
        <v>53255</v>
      </c>
      <c r="V4329" t="s">
        <v>63044</v>
      </c>
      <c r="W4329" t="s">
        <v>44152</v>
      </c>
      <c r="X4329" t="s">
        <v>47308</v>
      </c>
    </row>
    <row r="4330" spans="1:24">
      <c r="A4330">
        <f>HYPERLINK("https://www.philgeps.gov.ph/GEPSNONPILOT/Tender/SplashBidNoticeAbstractUI.aspx?menuIndex=3&amp;refID=7196807&amp;Result=3","7196807")</f>
        <v>0</v>
      </c>
      <c r="B4330" t="s">
        <v>843</v>
      </c>
      <c r="C4330" t="s">
        <v>7946</v>
      </c>
      <c r="D4330" t="s">
        <v>19012</v>
      </c>
      <c r="E4330" t="s">
        <v>22953</v>
      </c>
      <c r="F4330" t="s">
        <v>32606</v>
      </c>
      <c r="G4330" t="s">
        <v>32613</v>
      </c>
      <c r="H4330" t="s">
        <v>14201</v>
      </c>
      <c r="I4330" t="s">
        <v>32626</v>
      </c>
      <c r="J4330" t="s">
        <v>35658</v>
      </c>
      <c r="K4330" t="s">
        <v>42623</v>
      </c>
      <c r="M4330" t="s">
        <v>43775</v>
      </c>
      <c r="N4330" t="s">
        <v>47304</v>
      </c>
      <c r="O4330" t="s">
        <v>47305</v>
      </c>
      <c r="P4330">
        <v>0</v>
      </c>
      <c r="Q4330">
        <v>0</v>
      </c>
      <c r="R4330" t="s">
        <v>47306</v>
      </c>
      <c r="S4330" t="s">
        <v>47414</v>
      </c>
      <c r="T4330" t="s">
        <v>49066</v>
      </c>
      <c r="U4330" t="s">
        <v>53256</v>
      </c>
      <c r="W4330" t="s">
        <v>43775</v>
      </c>
      <c r="X4330" t="s">
        <v>47308</v>
      </c>
    </row>
    <row r="4331" spans="1:24">
      <c r="A4331">
        <f>HYPERLINK("https://www.philgeps.gov.ph/GEPSNONPILOT/Tender/SplashBidNoticeAbstractUI.aspx?menuIndex=3&amp;refID=7196869&amp;Result=3","7196869")</f>
        <v>0</v>
      </c>
      <c r="B4331" t="s">
        <v>1636</v>
      </c>
      <c r="C4331" t="s">
        <v>7947</v>
      </c>
      <c r="D4331" t="s">
        <v>18997</v>
      </c>
      <c r="E4331" t="s">
        <v>22954</v>
      </c>
      <c r="F4331" t="s">
        <v>32606</v>
      </c>
      <c r="G4331" t="s">
        <v>32613</v>
      </c>
      <c r="H4331" t="s">
        <v>14201</v>
      </c>
      <c r="I4331" t="s">
        <v>32638</v>
      </c>
      <c r="J4331" t="s">
        <v>35659</v>
      </c>
      <c r="K4331" t="s">
        <v>42636</v>
      </c>
      <c r="L4331" t="s">
        <v>1636</v>
      </c>
      <c r="M4331" t="s">
        <v>44656</v>
      </c>
      <c r="N4331" t="s">
        <v>47304</v>
      </c>
      <c r="O4331" t="s">
        <v>47305</v>
      </c>
      <c r="P4331">
        <v>0</v>
      </c>
      <c r="Q4331">
        <v>10</v>
      </c>
      <c r="R4331" t="s">
        <v>47306</v>
      </c>
      <c r="S4331" t="s">
        <v>47414</v>
      </c>
      <c r="T4331" t="s">
        <v>49008</v>
      </c>
      <c r="U4331" t="s">
        <v>53257</v>
      </c>
      <c r="V4331" t="s">
        <v>63069</v>
      </c>
      <c r="W4331" t="s">
        <v>44656</v>
      </c>
      <c r="X4331" t="s">
        <v>47308</v>
      </c>
    </row>
    <row r="4332" spans="1:24">
      <c r="A4332">
        <f>HYPERLINK("https://www.philgeps.gov.ph/GEPSNONPILOT/Tender/SplashBidNoticeAbstractUI.aspx?menuIndex=3&amp;refID=7196867&amp;Result=3","7196867")</f>
        <v>0</v>
      </c>
      <c r="B4332" t="s">
        <v>88</v>
      </c>
      <c r="C4332" t="s">
        <v>7948</v>
      </c>
      <c r="D4332" t="s">
        <v>19013</v>
      </c>
      <c r="E4332" t="s">
        <v>22955</v>
      </c>
      <c r="F4332" t="s">
        <v>32606</v>
      </c>
      <c r="G4332" t="s">
        <v>32613</v>
      </c>
      <c r="H4332" t="s">
        <v>32623</v>
      </c>
      <c r="I4332" t="s">
        <v>17648</v>
      </c>
      <c r="J4332" t="s">
        <v>32833</v>
      </c>
      <c r="K4332" t="s">
        <v>42636</v>
      </c>
      <c r="M4332" t="s">
        <v>42986</v>
      </c>
      <c r="N4332" t="s">
        <v>47304</v>
      </c>
      <c r="O4332" t="s">
        <v>47305</v>
      </c>
      <c r="P4332">
        <v>0</v>
      </c>
      <c r="Q4332">
        <v>0</v>
      </c>
      <c r="R4332" t="s">
        <v>47306</v>
      </c>
      <c r="S4332" t="s">
        <v>47414</v>
      </c>
      <c r="T4332" t="s">
        <v>49017</v>
      </c>
      <c r="U4332" t="s">
        <v>53258</v>
      </c>
      <c r="W4332" t="s">
        <v>42986</v>
      </c>
      <c r="X4332" t="s">
        <v>47308</v>
      </c>
    </row>
    <row r="4333" spans="1:24">
      <c r="A4333">
        <f>HYPERLINK("https://www.philgeps.gov.ph/GEPSNONPILOT/Tender/SplashBidNoticeAbstractUI.aspx?menuIndex=3&amp;refID=7196853&amp;Result=3","7196853")</f>
        <v>0</v>
      </c>
      <c r="B4333" t="s">
        <v>1216</v>
      </c>
      <c r="C4333" t="s">
        <v>7949</v>
      </c>
      <c r="D4333" t="s">
        <v>19011</v>
      </c>
      <c r="E4333" t="s">
        <v>22956</v>
      </c>
      <c r="F4333" t="s">
        <v>32606</v>
      </c>
      <c r="G4333" t="s">
        <v>32613</v>
      </c>
      <c r="H4333" t="s">
        <v>32623</v>
      </c>
      <c r="I4333" t="s">
        <v>17648</v>
      </c>
      <c r="J4333" t="s">
        <v>35660</v>
      </c>
      <c r="K4333" t="s">
        <v>42756</v>
      </c>
      <c r="M4333" t="s">
        <v>44181</v>
      </c>
      <c r="N4333" t="s">
        <v>47304</v>
      </c>
      <c r="O4333" t="s">
        <v>47305</v>
      </c>
      <c r="P4333">
        <v>0</v>
      </c>
      <c r="Q4333">
        <v>0</v>
      </c>
      <c r="R4333" t="s">
        <v>47306</v>
      </c>
      <c r="S4333" t="s">
        <v>47414</v>
      </c>
      <c r="T4333" t="s">
        <v>49283</v>
      </c>
      <c r="U4333" t="s">
        <v>52052</v>
      </c>
      <c r="V4333" t="s">
        <v>62956</v>
      </c>
      <c r="W4333" t="s">
        <v>44181</v>
      </c>
      <c r="X4333" t="s">
        <v>47308</v>
      </c>
    </row>
    <row r="4334" spans="1:24">
      <c r="A4334">
        <f>HYPERLINK("https://www.philgeps.gov.ph/GEPSNONPILOT/Tender/SplashBidNoticeAbstractUI.aspx?menuIndex=3&amp;refID=7196864&amp;Result=3","7196864")</f>
        <v>0</v>
      </c>
      <c r="B4334" t="s">
        <v>899</v>
      </c>
      <c r="C4334" t="s">
        <v>7950</v>
      </c>
      <c r="E4334" t="s">
        <v>22957</v>
      </c>
      <c r="F4334" t="s">
        <v>32606</v>
      </c>
      <c r="G4334" t="s">
        <v>32614</v>
      </c>
      <c r="H4334" t="s">
        <v>14201</v>
      </c>
      <c r="I4334" t="s">
        <v>6007</v>
      </c>
      <c r="J4334" t="s">
        <v>33646</v>
      </c>
      <c r="K4334" t="s">
        <v>42624</v>
      </c>
      <c r="M4334" t="s">
        <v>43836</v>
      </c>
      <c r="N4334" t="s">
        <v>47304</v>
      </c>
      <c r="O4334" t="s">
        <v>47305</v>
      </c>
      <c r="P4334">
        <v>0</v>
      </c>
      <c r="Q4334">
        <v>0</v>
      </c>
      <c r="R4334" t="s">
        <v>47306</v>
      </c>
      <c r="S4334" t="s">
        <v>47414</v>
      </c>
      <c r="T4334" t="s">
        <v>48971</v>
      </c>
      <c r="U4334" t="s">
        <v>53259</v>
      </c>
      <c r="W4334" t="s">
        <v>43836</v>
      </c>
      <c r="X4334" t="s">
        <v>47308</v>
      </c>
    </row>
    <row r="4335" spans="1:24">
      <c r="A4335">
        <f>HYPERLINK("https://www.philgeps.gov.ph/GEPSNONPILOT/Tender/SplashBidNoticeAbstractUI.aspx?menuIndex=3&amp;refID=7196872&amp;Result=3","7196872")</f>
        <v>0</v>
      </c>
      <c r="B4335" t="s">
        <v>996</v>
      </c>
      <c r="C4335" t="s">
        <v>7951</v>
      </c>
      <c r="D4335" t="s">
        <v>19020</v>
      </c>
      <c r="E4335" t="s">
        <v>22958</v>
      </c>
      <c r="F4335" t="s">
        <v>32606</v>
      </c>
      <c r="G4335" t="s">
        <v>32613</v>
      </c>
      <c r="H4335" t="s">
        <v>32623</v>
      </c>
      <c r="I4335" t="s">
        <v>32626</v>
      </c>
      <c r="J4335" t="s">
        <v>35661</v>
      </c>
      <c r="K4335" t="s">
        <v>42646</v>
      </c>
      <c r="M4335" t="s">
        <v>44657</v>
      </c>
      <c r="N4335" t="s">
        <v>47304</v>
      </c>
      <c r="O4335" t="s">
        <v>47305</v>
      </c>
      <c r="Q4335">
        <v>1</v>
      </c>
      <c r="R4335" t="s">
        <v>47306</v>
      </c>
      <c r="S4335" t="s">
        <v>47424</v>
      </c>
      <c r="T4335" t="s">
        <v>49009</v>
      </c>
      <c r="U4335" t="s">
        <v>53260</v>
      </c>
      <c r="W4335" t="s">
        <v>44657</v>
      </c>
      <c r="X4335" t="s">
        <v>47308</v>
      </c>
    </row>
    <row r="4336" spans="1:24">
      <c r="A4336">
        <f>HYPERLINK("https://www.philgeps.gov.ph/GEPSNONPILOT/Tender/SplashBidNoticeAbstractUI.aspx?menuIndex=3&amp;refID=7196863&amp;Result=3","7196863")</f>
        <v>0</v>
      </c>
      <c r="B4336" t="s">
        <v>464</v>
      </c>
      <c r="C4336" t="s">
        <v>7952</v>
      </c>
      <c r="D4336" t="s">
        <v>19044</v>
      </c>
      <c r="E4336" t="s">
        <v>22959</v>
      </c>
      <c r="F4336" t="s">
        <v>32606</v>
      </c>
      <c r="G4336" t="s">
        <v>32615</v>
      </c>
      <c r="H4336" t="s">
        <v>14201</v>
      </c>
      <c r="I4336" t="s">
        <v>7064</v>
      </c>
      <c r="J4336" t="s">
        <v>34117</v>
      </c>
      <c r="K4336" t="s">
        <v>42636</v>
      </c>
      <c r="M4336" t="s">
        <v>43374</v>
      </c>
      <c r="N4336" t="s">
        <v>47304</v>
      </c>
      <c r="O4336" t="s">
        <v>47305</v>
      </c>
      <c r="P4336">
        <v>0</v>
      </c>
      <c r="Q4336">
        <v>0</v>
      </c>
      <c r="R4336" t="s">
        <v>47306</v>
      </c>
      <c r="S4336" t="s">
        <v>47414</v>
      </c>
      <c r="T4336" t="s">
        <v>48997</v>
      </c>
      <c r="U4336" t="s">
        <v>53261</v>
      </c>
      <c r="V4336" t="s">
        <v>63070</v>
      </c>
      <c r="W4336" t="s">
        <v>43374</v>
      </c>
      <c r="X4336" t="s">
        <v>47308</v>
      </c>
    </row>
    <row r="4337" spans="1:24">
      <c r="A4337">
        <f>HYPERLINK("https://www.philgeps.gov.ph/GEPSNONPILOT/Tender/SplashBidNoticeAbstractUI.aspx?menuIndex=3&amp;refID=7196862&amp;Result=3","7196862")</f>
        <v>0</v>
      </c>
      <c r="B4337" t="s">
        <v>1626</v>
      </c>
      <c r="C4337" t="s">
        <v>7953</v>
      </c>
      <c r="D4337" t="s">
        <v>19016</v>
      </c>
      <c r="E4337" t="s">
        <v>19809</v>
      </c>
      <c r="F4337" t="s">
        <v>32606</v>
      </c>
      <c r="G4337" t="s">
        <v>32614</v>
      </c>
      <c r="H4337" t="s">
        <v>14201</v>
      </c>
      <c r="I4337" t="s">
        <v>4114</v>
      </c>
      <c r="J4337" t="s">
        <v>35662</v>
      </c>
      <c r="K4337" t="s">
        <v>42636</v>
      </c>
      <c r="M4337" t="s">
        <v>44646</v>
      </c>
      <c r="N4337" t="s">
        <v>47304</v>
      </c>
      <c r="O4337" t="s">
        <v>47305</v>
      </c>
      <c r="P4337">
        <v>0</v>
      </c>
      <c r="Q4337">
        <v>1</v>
      </c>
      <c r="R4337" t="s">
        <v>47306</v>
      </c>
      <c r="S4337" t="s">
        <v>47414</v>
      </c>
      <c r="T4337" t="s">
        <v>49265</v>
      </c>
      <c r="U4337" t="s">
        <v>53262</v>
      </c>
      <c r="W4337" t="s">
        <v>44646</v>
      </c>
      <c r="X4337" t="s">
        <v>47308</v>
      </c>
    </row>
    <row r="4338" spans="1:24">
      <c r="A4338">
        <f>HYPERLINK("https://www.philgeps.gov.ph/GEPSNONPILOT/Tender/SplashBidNoticeAbstractUI.aspx?menuIndex=3&amp;refID=7196818&amp;Result=3","7196818")</f>
        <v>0</v>
      </c>
      <c r="B4338" t="s">
        <v>1637</v>
      </c>
      <c r="C4338" t="s">
        <v>7954</v>
      </c>
      <c r="D4338" t="s">
        <v>19005</v>
      </c>
      <c r="E4338" t="s">
        <v>22960</v>
      </c>
      <c r="F4338" t="s">
        <v>32606</v>
      </c>
      <c r="G4338" t="s">
        <v>32614</v>
      </c>
      <c r="H4338" t="s">
        <v>14201</v>
      </c>
      <c r="I4338" t="s">
        <v>32632</v>
      </c>
      <c r="J4338" t="s">
        <v>35663</v>
      </c>
      <c r="K4338" t="s">
        <v>42631</v>
      </c>
      <c r="M4338" t="s">
        <v>44658</v>
      </c>
      <c r="N4338" t="s">
        <v>47304</v>
      </c>
      <c r="O4338" t="s">
        <v>47305</v>
      </c>
      <c r="P4338">
        <v>0</v>
      </c>
      <c r="Q4338">
        <v>0</v>
      </c>
      <c r="R4338" t="s">
        <v>47306</v>
      </c>
      <c r="S4338" t="s">
        <v>47414</v>
      </c>
      <c r="T4338" t="s">
        <v>49050</v>
      </c>
      <c r="U4338" t="s">
        <v>53263</v>
      </c>
      <c r="W4338" t="s">
        <v>44658</v>
      </c>
      <c r="X4338" t="s">
        <v>47308</v>
      </c>
    </row>
    <row r="4339" spans="1:24">
      <c r="A4339">
        <f>HYPERLINK("https://www.philgeps.gov.ph/GEPSNONPILOT/Tender/SplashBidNoticeAbstractUI.aspx?menuIndex=3&amp;refID=7196860&amp;Result=3","7196860")</f>
        <v>0</v>
      </c>
      <c r="B4339" t="s">
        <v>1638</v>
      </c>
      <c r="C4339" t="s">
        <v>7955</v>
      </c>
      <c r="D4339" t="s">
        <v>19018</v>
      </c>
      <c r="E4339" t="s">
        <v>22961</v>
      </c>
      <c r="F4339" t="s">
        <v>32606</v>
      </c>
      <c r="G4339" t="s">
        <v>32614</v>
      </c>
      <c r="H4339" t="s">
        <v>14201</v>
      </c>
      <c r="I4339" t="s">
        <v>6007</v>
      </c>
      <c r="J4339" t="s">
        <v>33881</v>
      </c>
      <c r="K4339" t="s">
        <v>42629</v>
      </c>
      <c r="M4339" t="s">
        <v>44659</v>
      </c>
      <c r="N4339" t="s">
        <v>47304</v>
      </c>
      <c r="O4339" t="s">
        <v>47305</v>
      </c>
      <c r="P4339">
        <v>0</v>
      </c>
      <c r="Q4339">
        <v>0</v>
      </c>
      <c r="R4339" t="s">
        <v>47306</v>
      </c>
      <c r="S4339" t="s">
        <v>47414</v>
      </c>
      <c r="T4339" t="s">
        <v>49014</v>
      </c>
      <c r="U4339" t="s">
        <v>53264</v>
      </c>
      <c r="W4339" t="s">
        <v>44659</v>
      </c>
      <c r="X4339" t="s">
        <v>47308</v>
      </c>
    </row>
    <row r="4340" spans="1:24">
      <c r="A4340">
        <f>HYPERLINK("https://www.philgeps.gov.ph/GEPSNONPILOT/Tender/SplashBidNoticeAbstractUI.aspx?menuIndex=3&amp;refID=7196875&amp;Result=3","7196875")</f>
        <v>0</v>
      </c>
      <c r="B4340" t="s">
        <v>1013</v>
      </c>
      <c r="C4340" t="s">
        <v>6082</v>
      </c>
      <c r="D4340" t="s">
        <v>18993</v>
      </c>
      <c r="E4340" t="s">
        <v>22962</v>
      </c>
      <c r="F4340" t="s">
        <v>32606</v>
      </c>
      <c r="G4340" t="s">
        <v>32619</v>
      </c>
      <c r="H4340" t="s">
        <v>14201</v>
      </c>
      <c r="I4340" t="s">
        <v>4120</v>
      </c>
      <c r="J4340" t="s">
        <v>33883</v>
      </c>
      <c r="K4340" t="s">
        <v>42632</v>
      </c>
      <c r="M4340" t="s">
        <v>43961</v>
      </c>
      <c r="N4340" t="s">
        <v>47304</v>
      </c>
      <c r="O4340" t="s">
        <v>47305</v>
      </c>
      <c r="P4340">
        <v>0</v>
      </c>
      <c r="Q4340">
        <v>0</v>
      </c>
      <c r="R4340" t="s">
        <v>47306</v>
      </c>
      <c r="S4340" t="s">
        <v>47414</v>
      </c>
      <c r="T4340" t="s">
        <v>49041</v>
      </c>
      <c r="U4340" t="s">
        <v>51579</v>
      </c>
      <c r="W4340" t="s">
        <v>43961</v>
      </c>
      <c r="X4340" t="s">
        <v>47308</v>
      </c>
    </row>
    <row r="4341" spans="1:24">
      <c r="A4341">
        <f>HYPERLINK("https://www.philgeps.gov.ph/GEPSNONPILOT/Tender/SplashBidNoticeAbstractUI.aspx?menuIndex=3&amp;refID=7196782&amp;Result=3","7196782")</f>
        <v>0</v>
      </c>
      <c r="B4341" t="s">
        <v>1639</v>
      </c>
      <c r="C4341" t="s">
        <v>7956</v>
      </c>
      <c r="D4341" t="s">
        <v>19006</v>
      </c>
      <c r="E4341" t="s">
        <v>22963</v>
      </c>
      <c r="F4341" t="s">
        <v>32606</v>
      </c>
      <c r="G4341" t="s">
        <v>32614</v>
      </c>
      <c r="H4341" t="s">
        <v>14201</v>
      </c>
      <c r="I4341" t="s">
        <v>6007</v>
      </c>
      <c r="J4341" t="s">
        <v>32854</v>
      </c>
      <c r="K4341" t="s">
        <v>42674</v>
      </c>
      <c r="M4341" t="s">
        <v>44660</v>
      </c>
      <c r="N4341" t="s">
        <v>47304</v>
      </c>
      <c r="O4341" t="s">
        <v>47305</v>
      </c>
      <c r="P4341">
        <v>0</v>
      </c>
      <c r="Q4341">
        <v>1</v>
      </c>
      <c r="R4341" t="s">
        <v>47306</v>
      </c>
      <c r="S4341" t="s">
        <v>47414</v>
      </c>
      <c r="T4341" t="s">
        <v>48980</v>
      </c>
      <c r="U4341" t="s">
        <v>53265</v>
      </c>
      <c r="W4341" t="s">
        <v>44660</v>
      </c>
      <c r="X4341" t="s">
        <v>47308</v>
      </c>
    </row>
    <row r="4342" spans="1:24">
      <c r="A4342">
        <f>HYPERLINK("https://www.philgeps.gov.ph/GEPSNONPILOT/Tender/SplashBidNoticeAbstractUI.aspx?menuIndex=3&amp;refID=7196895&amp;Result=3","7196895")</f>
        <v>0</v>
      </c>
      <c r="B4342" t="s">
        <v>1640</v>
      </c>
      <c r="C4342" t="s">
        <v>7957</v>
      </c>
      <c r="D4342" t="s">
        <v>19041</v>
      </c>
      <c r="E4342" t="s">
        <v>22964</v>
      </c>
      <c r="F4342" t="s">
        <v>32606</v>
      </c>
      <c r="G4342" t="s">
        <v>32619</v>
      </c>
      <c r="H4342" t="s">
        <v>14201</v>
      </c>
      <c r="I4342" t="s">
        <v>4115</v>
      </c>
      <c r="J4342" t="s">
        <v>33597</v>
      </c>
      <c r="K4342" t="s">
        <v>42630</v>
      </c>
      <c r="M4342" t="s">
        <v>44661</v>
      </c>
      <c r="N4342" t="s">
        <v>47304</v>
      </c>
      <c r="O4342" t="s">
        <v>47305</v>
      </c>
      <c r="P4342">
        <v>0</v>
      </c>
      <c r="Q4342">
        <v>5</v>
      </c>
      <c r="R4342" t="s">
        <v>47306</v>
      </c>
      <c r="S4342" t="s">
        <v>47414</v>
      </c>
      <c r="T4342" t="s">
        <v>49175</v>
      </c>
      <c r="U4342" t="s">
        <v>53266</v>
      </c>
      <c r="W4342" t="s">
        <v>44661</v>
      </c>
      <c r="X4342" t="s">
        <v>47308</v>
      </c>
    </row>
    <row r="4343" spans="1:24">
      <c r="A4343">
        <f>HYPERLINK("https://www.philgeps.gov.ph/GEPSNONPILOT/Tender/SplashBidNoticeAbstractUI.aspx?menuIndex=3&amp;refID=7196868&amp;Result=3","7196868")</f>
        <v>0</v>
      </c>
      <c r="B4343" t="s">
        <v>1454</v>
      </c>
      <c r="C4343" t="s">
        <v>7958</v>
      </c>
      <c r="E4343" t="s">
        <v>22965</v>
      </c>
      <c r="F4343" t="s">
        <v>32606</v>
      </c>
      <c r="G4343" t="s">
        <v>32614</v>
      </c>
      <c r="H4343" t="s">
        <v>14201</v>
      </c>
      <c r="I4343" t="s">
        <v>4120</v>
      </c>
      <c r="J4343" t="s">
        <v>35664</v>
      </c>
      <c r="K4343" t="s">
        <v>42630</v>
      </c>
      <c r="M4343" t="s">
        <v>44445</v>
      </c>
      <c r="N4343" t="s">
        <v>47304</v>
      </c>
      <c r="O4343" t="s">
        <v>47305</v>
      </c>
      <c r="P4343">
        <v>0</v>
      </c>
      <c r="Q4343">
        <v>1</v>
      </c>
      <c r="R4343" t="s">
        <v>47306</v>
      </c>
      <c r="S4343" t="s">
        <v>47414</v>
      </c>
      <c r="T4343" t="s">
        <v>49004</v>
      </c>
      <c r="U4343" t="s">
        <v>53267</v>
      </c>
      <c r="V4343" t="s">
        <v>63019</v>
      </c>
      <c r="W4343" t="s">
        <v>44445</v>
      </c>
      <c r="X4343" t="s">
        <v>47308</v>
      </c>
    </row>
    <row r="4344" spans="1:24">
      <c r="A4344">
        <f>HYPERLINK("https://www.philgeps.gov.ph/GEPSNONPILOT/Tender/SplashBidNoticeAbstractUI.aspx?menuIndex=3&amp;refID=7196894&amp;Result=3","7196894")</f>
        <v>0</v>
      </c>
      <c r="B4344" t="s">
        <v>1641</v>
      </c>
      <c r="C4344" t="s">
        <v>7959</v>
      </c>
      <c r="D4344" t="s">
        <v>19038</v>
      </c>
      <c r="E4344" t="s">
        <v>22966</v>
      </c>
      <c r="F4344" t="s">
        <v>32606</v>
      </c>
      <c r="G4344" t="s">
        <v>32614</v>
      </c>
      <c r="H4344" t="s">
        <v>32624</v>
      </c>
      <c r="I4344" t="s">
        <v>32652</v>
      </c>
      <c r="J4344" t="s">
        <v>33034</v>
      </c>
      <c r="K4344" t="s">
        <v>42757</v>
      </c>
      <c r="L4344" t="s">
        <v>1641</v>
      </c>
      <c r="M4344" t="s">
        <v>44662</v>
      </c>
      <c r="N4344" t="s">
        <v>47304</v>
      </c>
      <c r="O4344" t="s">
        <v>47305</v>
      </c>
      <c r="P4344">
        <v>0</v>
      </c>
      <c r="Q4344">
        <v>0</v>
      </c>
      <c r="R4344" t="s">
        <v>47306</v>
      </c>
      <c r="S4344" t="s">
        <v>47414</v>
      </c>
      <c r="T4344" t="s">
        <v>49163</v>
      </c>
      <c r="U4344" t="s">
        <v>53268</v>
      </c>
      <c r="V4344" t="s">
        <v>63071</v>
      </c>
      <c r="W4344" t="s">
        <v>44662</v>
      </c>
      <c r="X4344" t="s">
        <v>47308</v>
      </c>
    </row>
    <row r="4345" spans="1:24">
      <c r="A4345">
        <f>HYPERLINK("https://www.philgeps.gov.ph/GEPSNONPILOT/Tender/SplashBidNoticeAbstractUI.aspx?menuIndex=3&amp;refID=7196893&amp;Result=3","7196893")</f>
        <v>0</v>
      </c>
      <c r="B4345" t="s">
        <v>1303</v>
      </c>
      <c r="C4345" t="s">
        <v>7960</v>
      </c>
      <c r="D4345" t="s">
        <v>19044</v>
      </c>
      <c r="E4345" t="s">
        <v>22967</v>
      </c>
      <c r="F4345" t="s">
        <v>32606</v>
      </c>
      <c r="G4345" t="s">
        <v>32619</v>
      </c>
      <c r="H4345" t="s">
        <v>14201</v>
      </c>
      <c r="I4345" t="s">
        <v>7233</v>
      </c>
      <c r="J4345" t="s">
        <v>35665</v>
      </c>
      <c r="K4345" t="s">
        <v>42630</v>
      </c>
      <c r="M4345" t="s">
        <v>44275</v>
      </c>
      <c r="N4345" t="s">
        <v>47304</v>
      </c>
      <c r="O4345" t="s">
        <v>47305</v>
      </c>
      <c r="P4345">
        <v>0</v>
      </c>
      <c r="Q4345">
        <v>1</v>
      </c>
      <c r="R4345" t="s">
        <v>47306</v>
      </c>
      <c r="S4345" t="s">
        <v>47414</v>
      </c>
      <c r="T4345" t="s">
        <v>49256</v>
      </c>
      <c r="U4345" t="s">
        <v>53269</v>
      </c>
      <c r="W4345" t="s">
        <v>44275</v>
      </c>
      <c r="X4345" t="s">
        <v>47308</v>
      </c>
    </row>
    <row r="4346" spans="1:24">
      <c r="A4346">
        <f>HYPERLINK("https://www.philgeps.gov.ph/GEPSNONPILOT/Tender/SplashBidNoticeAbstractUI.aspx?menuIndex=3&amp;refID=7196891&amp;Result=3","7196891")</f>
        <v>0</v>
      </c>
      <c r="B4346" t="s">
        <v>81</v>
      </c>
      <c r="C4346" t="s">
        <v>7961</v>
      </c>
      <c r="D4346" t="s">
        <v>18995</v>
      </c>
      <c r="E4346" t="s">
        <v>22968</v>
      </c>
      <c r="F4346" t="s">
        <v>32606</v>
      </c>
      <c r="G4346" t="s">
        <v>32614</v>
      </c>
      <c r="H4346" t="s">
        <v>14201</v>
      </c>
      <c r="I4346" t="s">
        <v>13131</v>
      </c>
      <c r="J4346" t="s">
        <v>32868</v>
      </c>
      <c r="K4346" t="s">
        <v>42624</v>
      </c>
      <c r="M4346" t="s">
        <v>42978</v>
      </c>
      <c r="N4346" t="s">
        <v>47304</v>
      </c>
      <c r="O4346" t="s">
        <v>47305</v>
      </c>
      <c r="P4346">
        <v>0</v>
      </c>
      <c r="Q4346">
        <v>0</v>
      </c>
      <c r="R4346" t="s">
        <v>47306</v>
      </c>
      <c r="S4346" t="s">
        <v>47414</v>
      </c>
      <c r="T4346" t="s">
        <v>49014</v>
      </c>
      <c r="U4346" t="s">
        <v>53270</v>
      </c>
      <c r="W4346" t="s">
        <v>42978</v>
      </c>
      <c r="X4346" t="s">
        <v>47308</v>
      </c>
    </row>
    <row r="4347" spans="1:24">
      <c r="A4347">
        <f>HYPERLINK("https://www.philgeps.gov.ph/GEPSNONPILOT/Tender/SplashBidNoticeAbstractUI.aspx?menuIndex=3&amp;refID=7196890&amp;Result=3","7196890")</f>
        <v>0</v>
      </c>
      <c r="B4347" t="s">
        <v>899</v>
      </c>
      <c r="C4347" t="s">
        <v>7962</v>
      </c>
      <c r="E4347" t="s">
        <v>22969</v>
      </c>
      <c r="F4347" t="s">
        <v>32606</v>
      </c>
      <c r="G4347" t="s">
        <v>32614</v>
      </c>
      <c r="H4347" t="s">
        <v>14201</v>
      </c>
      <c r="I4347" t="s">
        <v>6007</v>
      </c>
      <c r="J4347" t="s">
        <v>32963</v>
      </c>
      <c r="K4347" t="s">
        <v>42624</v>
      </c>
      <c r="M4347" t="s">
        <v>43836</v>
      </c>
      <c r="N4347" t="s">
        <v>47304</v>
      </c>
      <c r="O4347" t="s">
        <v>47305</v>
      </c>
      <c r="P4347">
        <v>0</v>
      </c>
      <c r="Q4347">
        <v>0</v>
      </c>
      <c r="R4347" t="s">
        <v>47306</v>
      </c>
      <c r="S4347" t="s">
        <v>47414</v>
      </c>
      <c r="T4347" t="s">
        <v>48971</v>
      </c>
      <c r="U4347" t="s">
        <v>53271</v>
      </c>
      <c r="W4347" t="s">
        <v>43836</v>
      </c>
      <c r="X4347" t="s">
        <v>47308</v>
      </c>
    </row>
    <row r="4348" spans="1:24">
      <c r="A4348">
        <f>HYPERLINK("https://www.philgeps.gov.ph/GEPSNONPILOT/Tender/SplashBidNoticeAbstractUI.aspx?menuIndex=3&amp;refID=7196888&amp;Result=3","7196888")</f>
        <v>0</v>
      </c>
      <c r="B4348" t="s">
        <v>1516</v>
      </c>
      <c r="C4348" t="s">
        <v>7963</v>
      </c>
      <c r="D4348" t="s">
        <v>18995</v>
      </c>
      <c r="E4348" t="s">
        <v>22970</v>
      </c>
      <c r="F4348" t="s">
        <v>32606</v>
      </c>
      <c r="G4348" t="s">
        <v>32613</v>
      </c>
      <c r="H4348" t="s">
        <v>14201</v>
      </c>
      <c r="I4348" t="s">
        <v>4120</v>
      </c>
      <c r="J4348" t="s">
        <v>35666</v>
      </c>
      <c r="K4348" t="s">
        <v>42623</v>
      </c>
      <c r="M4348" t="s">
        <v>44517</v>
      </c>
      <c r="N4348" t="s">
        <v>47304</v>
      </c>
      <c r="O4348" t="s">
        <v>47305</v>
      </c>
      <c r="P4348">
        <v>0</v>
      </c>
      <c r="Q4348">
        <v>1</v>
      </c>
      <c r="R4348" t="s">
        <v>47306</v>
      </c>
      <c r="S4348" t="s">
        <v>47414</v>
      </c>
      <c r="T4348" t="s">
        <v>48973</v>
      </c>
      <c r="U4348" t="s">
        <v>53272</v>
      </c>
      <c r="W4348" t="s">
        <v>44517</v>
      </c>
      <c r="X4348" t="s">
        <v>47308</v>
      </c>
    </row>
    <row r="4349" spans="1:24">
      <c r="A4349">
        <f>HYPERLINK("https://www.philgeps.gov.ph/GEPSNONPILOT/Tender/SplashBidNoticeAbstractUI.aspx?menuIndex=3&amp;refID=7196861&amp;Result=3","7196861")</f>
        <v>0</v>
      </c>
      <c r="B4349" t="s">
        <v>1303</v>
      </c>
      <c r="C4349" t="s">
        <v>7964</v>
      </c>
      <c r="D4349" t="s">
        <v>19044</v>
      </c>
      <c r="E4349" t="s">
        <v>22971</v>
      </c>
      <c r="F4349" t="s">
        <v>32606</v>
      </c>
      <c r="G4349" t="s">
        <v>32619</v>
      </c>
      <c r="H4349" t="s">
        <v>14201</v>
      </c>
      <c r="I4349" t="s">
        <v>7233</v>
      </c>
      <c r="J4349" t="s">
        <v>35667</v>
      </c>
      <c r="K4349" t="s">
        <v>42630</v>
      </c>
      <c r="M4349" t="s">
        <v>44275</v>
      </c>
      <c r="N4349" t="s">
        <v>47304</v>
      </c>
      <c r="O4349" t="s">
        <v>47305</v>
      </c>
      <c r="P4349">
        <v>0</v>
      </c>
      <c r="Q4349">
        <v>1</v>
      </c>
      <c r="R4349" t="s">
        <v>47306</v>
      </c>
      <c r="S4349" t="s">
        <v>47414</v>
      </c>
      <c r="T4349" t="s">
        <v>49256</v>
      </c>
      <c r="U4349" t="s">
        <v>53269</v>
      </c>
      <c r="W4349" t="s">
        <v>44275</v>
      </c>
      <c r="X4349" t="s">
        <v>47308</v>
      </c>
    </row>
    <row r="4350" spans="1:24">
      <c r="A4350">
        <f>HYPERLINK("https://www.philgeps.gov.ph/GEPSNONPILOT/Tender/SplashBidNoticeAbstractUI.aspx?menuIndex=3&amp;refID=7196889&amp;Result=3","7196889")</f>
        <v>0</v>
      </c>
      <c r="B4350" t="s">
        <v>1632</v>
      </c>
      <c r="C4350" t="s">
        <v>7965</v>
      </c>
      <c r="D4350" t="s">
        <v>18999</v>
      </c>
      <c r="E4350" t="s">
        <v>22972</v>
      </c>
      <c r="F4350" t="s">
        <v>32606</v>
      </c>
      <c r="G4350" t="s">
        <v>32619</v>
      </c>
      <c r="H4350" t="s">
        <v>14201</v>
      </c>
      <c r="I4350" t="s">
        <v>32638</v>
      </c>
      <c r="J4350" t="s">
        <v>34211</v>
      </c>
      <c r="K4350" t="s">
        <v>42624</v>
      </c>
      <c r="M4350" t="s">
        <v>44652</v>
      </c>
      <c r="N4350" t="s">
        <v>47304</v>
      </c>
      <c r="O4350" t="s">
        <v>47305</v>
      </c>
      <c r="P4350">
        <v>0</v>
      </c>
      <c r="Q4350">
        <v>12</v>
      </c>
      <c r="R4350" t="s">
        <v>47306</v>
      </c>
      <c r="S4350" t="s">
        <v>47414</v>
      </c>
      <c r="T4350" t="s">
        <v>48977</v>
      </c>
      <c r="U4350" t="s">
        <v>53273</v>
      </c>
      <c r="V4350" t="s">
        <v>63068</v>
      </c>
      <c r="W4350" t="s">
        <v>44652</v>
      </c>
      <c r="X4350" t="s">
        <v>47308</v>
      </c>
    </row>
    <row r="4351" spans="1:24">
      <c r="A4351">
        <f>HYPERLINK("https://www.philgeps.gov.ph/GEPSNONPILOT/Tender/SplashBidNoticeAbstractUI.aspx?menuIndex=3&amp;refID=7196884&amp;Result=3","7196884")</f>
        <v>0</v>
      </c>
      <c r="B4351" t="s">
        <v>1022</v>
      </c>
      <c r="C4351" t="s">
        <v>7966</v>
      </c>
      <c r="E4351" t="s">
        <v>7966</v>
      </c>
      <c r="F4351" t="s">
        <v>32606</v>
      </c>
      <c r="G4351" t="s">
        <v>32614</v>
      </c>
      <c r="H4351" t="s">
        <v>14201</v>
      </c>
      <c r="I4351" t="s">
        <v>6931</v>
      </c>
      <c r="J4351" t="s">
        <v>35561</v>
      </c>
      <c r="K4351" t="s">
        <v>42631</v>
      </c>
      <c r="M4351" t="s">
        <v>43974</v>
      </c>
      <c r="N4351" t="s">
        <v>47304</v>
      </c>
      <c r="O4351" t="s">
        <v>47305</v>
      </c>
      <c r="P4351">
        <v>0</v>
      </c>
      <c r="Q4351">
        <v>0</v>
      </c>
      <c r="R4351" t="s">
        <v>47306</v>
      </c>
      <c r="S4351" t="s">
        <v>47414</v>
      </c>
      <c r="T4351" t="s">
        <v>48980</v>
      </c>
      <c r="U4351" t="s">
        <v>53274</v>
      </c>
      <c r="W4351" t="s">
        <v>43974</v>
      </c>
      <c r="X4351" t="s">
        <v>47308</v>
      </c>
    </row>
    <row r="4352" spans="1:24">
      <c r="A4352">
        <f>HYPERLINK("https://www.philgeps.gov.ph/GEPSNONPILOT/Tender/SplashBidNoticeAbstractUI.aspx?menuIndex=3&amp;refID=7196865&amp;Result=3","7196865")</f>
        <v>0</v>
      </c>
      <c r="B4352" t="s">
        <v>581</v>
      </c>
      <c r="C4352" t="s">
        <v>7967</v>
      </c>
      <c r="D4352" t="s">
        <v>19036</v>
      </c>
      <c r="E4352" t="s">
        <v>22973</v>
      </c>
      <c r="F4352" t="s">
        <v>32606</v>
      </c>
      <c r="G4352" t="s">
        <v>32614</v>
      </c>
      <c r="H4352" t="s">
        <v>14201</v>
      </c>
      <c r="I4352" t="s">
        <v>32638</v>
      </c>
      <c r="J4352" t="s">
        <v>35668</v>
      </c>
      <c r="K4352" t="s">
        <v>42631</v>
      </c>
      <c r="M4352" t="s">
        <v>43496</v>
      </c>
      <c r="N4352" t="s">
        <v>47304</v>
      </c>
      <c r="O4352" t="s">
        <v>47305</v>
      </c>
      <c r="P4352">
        <v>0</v>
      </c>
      <c r="Q4352">
        <v>6</v>
      </c>
      <c r="R4352" t="s">
        <v>47306</v>
      </c>
      <c r="S4352" t="s">
        <v>47414</v>
      </c>
      <c r="T4352" t="s">
        <v>49050</v>
      </c>
      <c r="U4352" t="s">
        <v>53275</v>
      </c>
      <c r="W4352" t="s">
        <v>43496</v>
      </c>
      <c r="X4352" t="s">
        <v>47308</v>
      </c>
    </row>
    <row r="4353" spans="1:24">
      <c r="A4353">
        <f>HYPERLINK("https://www.philgeps.gov.ph/GEPSNONPILOT/Tender/SplashBidNoticeAbstractUI.aspx?menuIndex=3&amp;refID=7196881&amp;Result=3","7196881")</f>
        <v>0</v>
      </c>
      <c r="B4353" t="s">
        <v>234</v>
      </c>
      <c r="C4353" t="s">
        <v>4615</v>
      </c>
      <c r="D4353" t="s">
        <v>19052</v>
      </c>
      <c r="E4353" t="s">
        <v>22974</v>
      </c>
      <c r="F4353" t="s">
        <v>32606</v>
      </c>
      <c r="G4353" t="s">
        <v>32614</v>
      </c>
      <c r="H4353" t="s">
        <v>14201</v>
      </c>
      <c r="I4353" t="s">
        <v>17648</v>
      </c>
      <c r="J4353" t="s">
        <v>35669</v>
      </c>
      <c r="K4353" t="s">
        <v>42631</v>
      </c>
      <c r="M4353" t="s">
        <v>43135</v>
      </c>
      <c r="N4353" t="s">
        <v>47304</v>
      </c>
      <c r="O4353" t="s">
        <v>47305</v>
      </c>
      <c r="P4353">
        <v>0</v>
      </c>
      <c r="Q4353">
        <v>0</v>
      </c>
      <c r="R4353" t="s">
        <v>47306</v>
      </c>
      <c r="S4353" t="s">
        <v>47414</v>
      </c>
      <c r="T4353" t="s">
        <v>49050</v>
      </c>
      <c r="U4353" t="s">
        <v>50216</v>
      </c>
      <c r="V4353" t="s">
        <v>62641</v>
      </c>
      <c r="W4353" t="s">
        <v>43135</v>
      </c>
      <c r="X4353" t="s">
        <v>47308</v>
      </c>
    </row>
    <row r="4354" spans="1:24">
      <c r="A4354">
        <f>HYPERLINK("https://www.philgeps.gov.ph/GEPSNONPILOT/Tender/SplashBidNoticeAbstractUI.aspx?menuIndex=3&amp;refID=7196892&amp;Result=3","7196892")</f>
        <v>0</v>
      </c>
      <c r="B4354" t="s">
        <v>1614</v>
      </c>
      <c r="C4354" t="s">
        <v>7968</v>
      </c>
      <c r="D4354" t="s">
        <v>18991</v>
      </c>
      <c r="E4354" t="s">
        <v>22975</v>
      </c>
      <c r="F4354" t="s">
        <v>32606</v>
      </c>
      <c r="G4354" t="s">
        <v>32613</v>
      </c>
      <c r="H4354" t="s">
        <v>32623</v>
      </c>
      <c r="I4354" t="s">
        <v>32657</v>
      </c>
      <c r="J4354" t="s">
        <v>35670</v>
      </c>
      <c r="K4354" t="s">
        <v>42624</v>
      </c>
      <c r="M4354" t="s">
        <v>44634</v>
      </c>
      <c r="N4354" t="s">
        <v>47304</v>
      </c>
      <c r="O4354" t="s">
        <v>47305</v>
      </c>
      <c r="P4354">
        <v>0</v>
      </c>
      <c r="Q4354">
        <v>2</v>
      </c>
      <c r="R4354" t="s">
        <v>47306</v>
      </c>
      <c r="S4354" t="s">
        <v>47414</v>
      </c>
      <c r="T4354" t="s">
        <v>49008</v>
      </c>
      <c r="U4354" t="s">
        <v>53276</v>
      </c>
      <c r="W4354" t="s">
        <v>44634</v>
      </c>
      <c r="X4354" t="s">
        <v>47308</v>
      </c>
    </row>
    <row r="4355" spans="1:24">
      <c r="A4355">
        <f>HYPERLINK("https://www.philgeps.gov.ph/GEPSNONPILOT/Tender/SplashBidNoticeAbstractUI.aspx?menuIndex=3&amp;refID=7196880&amp;Result=3","7196880")</f>
        <v>0</v>
      </c>
      <c r="B4355" t="s">
        <v>624</v>
      </c>
      <c r="C4355" t="s">
        <v>7969</v>
      </c>
      <c r="D4355" t="s">
        <v>19041</v>
      </c>
      <c r="E4355" t="s">
        <v>22976</v>
      </c>
      <c r="F4355" t="s">
        <v>32606</v>
      </c>
      <c r="G4355" t="s">
        <v>32613</v>
      </c>
      <c r="H4355" t="s">
        <v>32624</v>
      </c>
      <c r="I4355" t="s">
        <v>7233</v>
      </c>
      <c r="J4355" t="s">
        <v>32798</v>
      </c>
      <c r="K4355" t="s">
        <v>42623</v>
      </c>
      <c r="M4355" t="s">
        <v>43542</v>
      </c>
      <c r="N4355" t="s">
        <v>47304</v>
      </c>
      <c r="O4355" t="s">
        <v>47305</v>
      </c>
      <c r="P4355">
        <v>0</v>
      </c>
      <c r="Q4355">
        <v>1</v>
      </c>
      <c r="R4355" t="s">
        <v>47306</v>
      </c>
      <c r="S4355" t="s">
        <v>47414</v>
      </c>
      <c r="T4355" t="s">
        <v>48986</v>
      </c>
      <c r="U4355" t="s">
        <v>50627</v>
      </c>
      <c r="W4355" t="s">
        <v>43542</v>
      </c>
      <c r="X4355" t="s">
        <v>47308</v>
      </c>
    </row>
    <row r="4356" spans="1:24">
      <c r="A4356">
        <f>HYPERLINK("https://www.philgeps.gov.ph/GEPSNONPILOT/Tender/SplashBidNoticeAbstractUI.aspx?menuIndex=3&amp;refID=7196877&amp;Result=3","7196877")</f>
        <v>0</v>
      </c>
      <c r="B4356" t="s">
        <v>1074</v>
      </c>
      <c r="C4356" t="s">
        <v>7970</v>
      </c>
      <c r="D4356" t="s">
        <v>19007</v>
      </c>
      <c r="E4356" t="s">
        <v>22977</v>
      </c>
      <c r="F4356" t="s">
        <v>32606</v>
      </c>
      <c r="G4356" t="s">
        <v>32614</v>
      </c>
      <c r="H4356" t="s">
        <v>14201</v>
      </c>
      <c r="I4356" t="s">
        <v>6298</v>
      </c>
      <c r="J4356" t="s">
        <v>35671</v>
      </c>
      <c r="K4356" t="s">
        <v>42630</v>
      </c>
      <c r="M4356" t="s">
        <v>44027</v>
      </c>
      <c r="N4356" t="s">
        <v>47304</v>
      </c>
      <c r="O4356" t="s">
        <v>47305</v>
      </c>
      <c r="P4356">
        <v>0</v>
      </c>
      <c r="Q4356">
        <v>0</v>
      </c>
      <c r="R4356" t="s">
        <v>47306</v>
      </c>
      <c r="S4356" t="s">
        <v>47414</v>
      </c>
      <c r="T4356" t="s">
        <v>48988</v>
      </c>
      <c r="U4356" t="s">
        <v>53277</v>
      </c>
      <c r="W4356" t="s">
        <v>44027</v>
      </c>
      <c r="X4356" t="s">
        <v>47308</v>
      </c>
    </row>
    <row r="4357" spans="1:24">
      <c r="A4357">
        <f>HYPERLINK("https://www.philgeps.gov.ph/GEPSNONPILOT/Tender/SplashBidNoticeAbstractUI.aspx?menuIndex=3&amp;refID=7196874&amp;Result=3","7196874")</f>
        <v>0</v>
      </c>
      <c r="B4357" t="s">
        <v>1601</v>
      </c>
      <c r="C4357" t="s">
        <v>7971</v>
      </c>
      <c r="D4357" t="s">
        <v>19039</v>
      </c>
      <c r="E4357" t="s">
        <v>22978</v>
      </c>
      <c r="F4357" t="s">
        <v>32606</v>
      </c>
      <c r="G4357" t="s">
        <v>32619</v>
      </c>
      <c r="H4357" t="s">
        <v>14201</v>
      </c>
      <c r="I4357" t="s">
        <v>32663</v>
      </c>
      <c r="J4357" t="s">
        <v>35672</v>
      </c>
      <c r="K4357" t="s">
        <v>42636</v>
      </c>
      <c r="M4357" t="s">
        <v>44617</v>
      </c>
      <c r="N4357" t="s">
        <v>47304</v>
      </c>
      <c r="O4357" t="s">
        <v>47305</v>
      </c>
      <c r="P4357">
        <v>0</v>
      </c>
      <c r="Q4357">
        <v>0</v>
      </c>
      <c r="R4357" t="s">
        <v>47306</v>
      </c>
      <c r="S4357" t="s">
        <v>47414</v>
      </c>
      <c r="T4357" t="s">
        <v>49257</v>
      </c>
      <c r="U4357" t="s">
        <v>53278</v>
      </c>
      <c r="W4357" t="s">
        <v>44617</v>
      </c>
      <c r="X4357" t="s">
        <v>47308</v>
      </c>
    </row>
    <row r="4358" spans="1:24">
      <c r="A4358">
        <f>HYPERLINK("https://www.philgeps.gov.ph/GEPSNONPILOT/Tender/SplashBidNoticeAbstractUI.aspx?menuIndex=3&amp;refID=7196886&amp;Result=3","7196886")</f>
        <v>0</v>
      </c>
      <c r="B4358" t="s">
        <v>1611</v>
      </c>
      <c r="C4358" t="s">
        <v>7972</v>
      </c>
      <c r="D4358" t="s">
        <v>19010</v>
      </c>
      <c r="E4358" t="s">
        <v>22979</v>
      </c>
      <c r="F4358" t="s">
        <v>32606</v>
      </c>
      <c r="G4358" t="s">
        <v>32614</v>
      </c>
      <c r="H4358" t="s">
        <v>14201</v>
      </c>
      <c r="I4358" t="s">
        <v>6931</v>
      </c>
      <c r="J4358" t="s">
        <v>34000</v>
      </c>
      <c r="K4358" t="s">
        <v>42623</v>
      </c>
      <c r="M4358" t="s">
        <v>44631</v>
      </c>
      <c r="N4358" t="s">
        <v>47304</v>
      </c>
      <c r="O4358" t="s">
        <v>47305</v>
      </c>
      <c r="P4358">
        <v>0</v>
      </c>
      <c r="Q4358">
        <v>0</v>
      </c>
      <c r="R4358" t="s">
        <v>47306</v>
      </c>
      <c r="S4358" t="s">
        <v>47414</v>
      </c>
      <c r="T4358" t="s">
        <v>48980</v>
      </c>
      <c r="U4358" t="s">
        <v>53279</v>
      </c>
      <c r="W4358" t="s">
        <v>44631</v>
      </c>
      <c r="X4358" t="s">
        <v>47308</v>
      </c>
    </row>
    <row r="4359" spans="1:24">
      <c r="A4359">
        <f>HYPERLINK("https://www.philgeps.gov.ph/GEPSNONPILOT/Tender/SplashBidNoticeAbstractUI.aspx?menuIndex=3&amp;refID=7196882&amp;Result=3","7196882")</f>
        <v>0</v>
      </c>
      <c r="B4359" t="s">
        <v>967</v>
      </c>
      <c r="C4359" t="s">
        <v>7973</v>
      </c>
      <c r="E4359" t="s">
        <v>21063</v>
      </c>
      <c r="F4359" t="s">
        <v>32606</v>
      </c>
      <c r="G4359" t="s">
        <v>32613</v>
      </c>
      <c r="H4359" t="s">
        <v>14201</v>
      </c>
      <c r="I4359" t="s">
        <v>32633</v>
      </c>
      <c r="J4359" t="s">
        <v>35540</v>
      </c>
      <c r="K4359" t="s">
        <v>42624</v>
      </c>
      <c r="M4359" t="s">
        <v>43912</v>
      </c>
      <c r="N4359" t="s">
        <v>47304</v>
      </c>
      <c r="O4359" t="s">
        <v>47305</v>
      </c>
      <c r="P4359">
        <v>0</v>
      </c>
      <c r="Q4359">
        <v>3</v>
      </c>
      <c r="R4359" t="s">
        <v>47306</v>
      </c>
      <c r="S4359" t="s">
        <v>47414</v>
      </c>
      <c r="T4359" t="s">
        <v>48987</v>
      </c>
      <c r="U4359" t="s">
        <v>53280</v>
      </c>
      <c r="W4359" t="s">
        <v>43912</v>
      </c>
      <c r="X4359" t="s">
        <v>47308</v>
      </c>
    </row>
    <row r="4360" spans="1:24">
      <c r="A4360">
        <f>HYPERLINK("https://www.philgeps.gov.ph/GEPSNONPILOT/Tender/SplashBidNoticeAbstractUI.aspx?menuIndex=3&amp;refID=7196816&amp;Result=3","7196816")</f>
        <v>0</v>
      </c>
      <c r="B4360" t="s">
        <v>899</v>
      </c>
      <c r="C4360" t="s">
        <v>7974</v>
      </c>
      <c r="E4360" t="s">
        <v>22980</v>
      </c>
      <c r="F4360" t="s">
        <v>32606</v>
      </c>
      <c r="G4360" t="s">
        <v>32614</v>
      </c>
      <c r="H4360" t="s">
        <v>14201</v>
      </c>
      <c r="I4360" t="s">
        <v>6007</v>
      </c>
      <c r="J4360" t="s">
        <v>35673</v>
      </c>
      <c r="K4360" t="s">
        <v>42624</v>
      </c>
      <c r="M4360" t="s">
        <v>43836</v>
      </c>
      <c r="N4360" t="s">
        <v>47304</v>
      </c>
      <c r="O4360" t="s">
        <v>47305</v>
      </c>
      <c r="P4360">
        <v>0</v>
      </c>
      <c r="Q4360">
        <v>0</v>
      </c>
      <c r="R4360" t="s">
        <v>47306</v>
      </c>
      <c r="S4360" t="s">
        <v>47414</v>
      </c>
      <c r="T4360" t="s">
        <v>48971</v>
      </c>
      <c r="U4360" t="s">
        <v>53281</v>
      </c>
      <c r="W4360" t="s">
        <v>43836</v>
      </c>
      <c r="X4360" t="s">
        <v>47308</v>
      </c>
    </row>
    <row r="4361" spans="1:24">
      <c r="A4361">
        <f>HYPERLINK("https://www.philgeps.gov.ph/GEPSNONPILOT/Tender/SplashBidNoticeAbstractUI.aspx?menuIndex=3&amp;refID=7196879&amp;Result=3","7196879")</f>
        <v>0</v>
      </c>
      <c r="B4361" t="s">
        <v>899</v>
      </c>
      <c r="C4361" t="s">
        <v>7975</v>
      </c>
      <c r="E4361" t="s">
        <v>22981</v>
      </c>
      <c r="F4361" t="s">
        <v>32606</v>
      </c>
      <c r="G4361" t="s">
        <v>32614</v>
      </c>
      <c r="H4361" t="s">
        <v>14201</v>
      </c>
      <c r="I4361" t="s">
        <v>6007</v>
      </c>
      <c r="J4361" t="s">
        <v>33897</v>
      </c>
      <c r="K4361" t="s">
        <v>42624</v>
      </c>
      <c r="M4361" t="s">
        <v>43836</v>
      </c>
      <c r="N4361" t="s">
        <v>47304</v>
      </c>
      <c r="O4361" t="s">
        <v>47305</v>
      </c>
      <c r="P4361">
        <v>0</v>
      </c>
      <c r="Q4361">
        <v>0</v>
      </c>
      <c r="R4361" t="s">
        <v>47306</v>
      </c>
      <c r="S4361" t="s">
        <v>47414</v>
      </c>
      <c r="T4361" t="s">
        <v>48971</v>
      </c>
      <c r="U4361" t="s">
        <v>53282</v>
      </c>
      <c r="W4361" t="s">
        <v>43836</v>
      </c>
      <c r="X4361" t="s">
        <v>47308</v>
      </c>
    </row>
    <row r="4362" spans="1:24">
      <c r="A4362">
        <f>HYPERLINK("https://www.philgeps.gov.ph/GEPSNONPILOT/Tender/SplashBidNoticeAbstractUI.aspx?menuIndex=3&amp;refID=7196857&amp;Result=3","7196857")</f>
        <v>0</v>
      </c>
      <c r="B4362" t="s">
        <v>1614</v>
      </c>
      <c r="C4362" t="s">
        <v>7976</v>
      </c>
      <c r="D4362" t="s">
        <v>18991</v>
      </c>
      <c r="E4362" t="s">
        <v>22982</v>
      </c>
      <c r="F4362" t="s">
        <v>32606</v>
      </c>
      <c r="G4362" t="s">
        <v>32613</v>
      </c>
      <c r="H4362" t="s">
        <v>32623</v>
      </c>
      <c r="I4362" t="s">
        <v>17648</v>
      </c>
      <c r="J4362" t="s">
        <v>35674</v>
      </c>
      <c r="K4362" t="s">
        <v>42624</v>
      </c>
      <c r="M4362" t="s">
        <v>44634</v>
      </c>
      <c r="N4362" t="s">
        <v>47304</v>
      </c>
      <c r="O4362" t="s">
        <v>47305</v>
      </c>
      <c r="P4362">
        <v>0</v>
      </c>
      <c r="Q4362">
        <v>0</v>
      </c>
      <c r="R4362" t="s">
        <v>47306</v>
      </c>
      <c r="S4362" t="s">
        <v>47414</v>
      </c>
      <c r="T4362" t="s">
        <v>49008</v>
      </c>
      <c r="U4362" t="s">
        <v>53283</v>
      </c>
      <c r="W4362" t="s">
        <v>44634</v>
      </c>
      <c r="X4362" t="s">
        <v>47308</v>
      </c>
    </row>
    <row r="4363" spans="1:24">
      <c r="A4363">
        <f>HYPERLINK("https://www.philgeps.gov.ph/GEPSNONPILOT/Tender/SplashBidNoticeAbstractUI.aspx?menuIndex=3&amp;refID=7196876&amp;Result=3","7196876")</f>
        <v>0</v>
      </c>
      <c r="B4363" t="s">
        <v>1642</v>
      </c>
      <c r="C4363" t="s">
        <v>7977</v>
      </c>
      <c r="D4363" t="s">
        <v>18993</v>
      </c>
      <c r="E4363" t="s">
        <v>22983</v>
      </c>
      <c r="F4363" t="s">
        <v>32606</v>
      </c>
      <c r="G4363" t="s">
        <v>32614</v>
      </c>
      <c r="H4363" t="s">
        <v>14201</v>
      </c>
      <c r="I4363" t="s">
        <v>32663</v>
      </c>
      <c r="J4363" t="s">
        <v>32874</v>
      </c>
      <c r="K4363" t="s">
        <v>42623</v>
      </c>
      <c r="M4363" t="s">
        <v>44663</v>
      </c>
      <c r="N4363" t="s">
        <v>47304</v>
      </c>
      <c r="O4363" t="s">
        <v>47305</v>
      </c>
      <c r="P4363">
        <v>0</v>
      </c>
      <c r="Q4363">
        <v>8</v>
      </c>
      <c r="R4363" t="s">
        <v>47306</v>
      </c>
      <c r="S4363" t="s">
        <v>47414</v>
      </c>
      <c r="T4363" t="s">
        <v>49061</v>
      </c>
      <c r="U4363" t="s">
        <v>53284</v>
      </c>
      <c r="V4363" t="s">
        <v>63072</v>
      </c>
      <c r="W4363" t="s">
        <v>44663</v>
      </c>
      <c r="X4363" t="s">
        <v>47308</v>
      </c>
    </row>
    <row r="4364" spans="1:24">
      <c r="A4364">
        <f>HYPERLINK("https://www.philgeps.gov.ph/GEPSNONPILOT/Tender/SplashBidNoticeAbstractUI.aspx?menuIndex=3&amp;refID=7196887&amp;Result=3","7196887")</f>
        <v>0</v>
      </c>
      <c r="B4364" t="s">
        <v>1643</v>
      </c>
      <c r="C4364" t="s">
        <v>3971</v>
      </c>
      <c r="D4364" t="s">
        <v>19018</v>
      </c>
      <c r="E4364" t="s">
        <v>19833</v>
      </c>
      <c r="F4364" t="s">
        <v>32606</v>
      </c>
      <c r="G4364" t="s">
        <v>32617</v>
      </c>
      <c r="H4364" t="s">
        <v>14201</v>
      </c>
      <c r="I4364" t="s">
        <v>4114</v>
      </c>
      <c r="J4364" t="s">
        <v>33830</v>
      </c>
      <c r="K4364" t="s">
        <v>42624</v>
      </c>
      <c r="M4364" t="s">
        <v>44664</v>
      </c>
      <c r="N4364" t="s">
        <v>47304</v>
      </c>
      <c r="O4364" t="s">
        <v>47305</v>
      </c>
      <c r="P4364">
        <v>0</v>
      </c>
      <c r="Q4364">
        <v>0</v>
      </c>
      <c r="R4364" t="s">
        <v>47306</v>
      </c>
      <c r="S4364" t="s">
        <v>47414</v>
      </c>
      <c r="T4364" t="s">
        <v>49014</v>
      </c>
      <c r="U4364" t="s">
        <v>52592</v>
      </c>
      <c r="W4364" t="s">
        <v>44664</v>
      </c>
      <c r="X4364" t="s">
        <v>47308</v>
      </c>
    </row>
    <row r="4365" spans="1:24">
      <c r="A4365">
        <f>HYPERLINK("https://www.philgeps.gov.ph/GEPSNONPILOT/Tender/SplashBidNoticeAbstractUI.aspx?menuIndex=3&amp;refID=7196854&amp;Result=3","7196854")</f>
        <v>0</v>
      </c>
      <c r="B4365" t="s">
        <v>1637</v>
      </c>
      <c r="C4365" t="s">
        <v>7978</v>
      </c>
      <c r="D4365" t="s">
        <v>19005</v>
      </c>
      <c r="E4365" t="s">
        <v>22984</v>
      </c>
      <c r="F4365" t="s">
        <v>32606</v>
      </c>
      <c r="G4365" t="s">
        <v>32614</v>
      </c>
      <c r="H4365" t="s">
        <v>14201</v>
      </c>
      <c r="I4365" t="s">
        <v>7529</v>
      </c>
      <c r="J4365" t="s">
        <v>32794</v>
      </c>
      <c r="K4365" t="s">
        <v>42631</v>
      </c>
      <c r="M4365" t="s">
        <v>44658</v>
      </c>
      <c r="N4365" t="s">
        <v>47304</v>
      </c>
      <c r="O4365" t="s">
        <v>47305</v>
      </c>
      <c r="P4365">
        <v>0</v>
      </c>
      <c r="Q4365">
        <v>0</v>
      </c>
      <c r="R4365" t="s">
        <v>47306</v>
      </c>
      <c r="S4365" t="s">
        <v>47414</v>
      </c>
      <c r="T4365" t="s">
        <v>49050</v>
      </c>
      <c r="U4365" t="s">
        <v>53285</v>
      </c>
      <c r="W4365" t="s">
        <v>44658</v>
      </c>
      <c r="X4365" t="s">
        <v>47308</v>
      </c>
    </row>
    <row r="4366" spans="1:24">
      <c r="A4366">
        <f>HYPERLINK("https://www.philgeps.gov.ph/GEPSNONPILOT/Tender/SplashBidNoticeAbstractUI.aspx?menuIndex=3&amp;refID=7196852&amp;Result=3","7196852")</f>
        <v>0</v>
      </c>
      <c r="B4366" t="s">
        <v>899</v>
      </c>
      <c r="C4366" t="s">
        <v>7979</v>
      </c>
      <c r="E4366" t="s">
        <v>22985</v>
      </c>
      <c r="F4366" t="s">
        <v>32606</v>
      </c>
      <c r="G4366" t="s">
        <v>32614</v>
      </c>
      <c r="H4366" t="s">
        <v>14201</v>
      </c>
      <c r="I4366" t="s">
        <v>6007</v>
      </c>
      <c r="J4366" t="s">
        <v>33650</v>
      </c>
      <c r="K4366" t="s">
        <v>42624</v>
      </c>
      <c r="M4366" t="s">
        <v>43836</v>
      </c>
      <c r="N4366" t="s">
        <v>47304</v>
      </c>
      <c r="O4366" t="s">
        <v>47305</v>
      </c>
      <c r="P4366">
        <v>0</v>
      </c>
      <c r="Q4366">
        <v>0</v>
      </c>
      <c r="R4366" t="s">
        <v>47306</v>
      </c>
      <c r="S4366" t="s">
        <v>47414</v>
      </c>
      <c r="T4366" t="s">
        <v>48971</v>
      </c>
      <c r="U4366" t="s">
        <v>53286</v>
      </c>
      <c r="W4366" t="s">
        <v>43836</v>
      </c>
      <c r="X4366" t="s">
        <v>47308</v>
      </c>
    </row>
    <row r="4367" spans="1:24">
      <c r="A4367">
        <f>HYPERLINK("https://www.philgeps.gov.ph/GEPSNONPILOT/Tender/SplashBidNoticeAbstractUI.aspx?menuIndex=3&amp;refID=7196916&amp;Result=3","7196916")</f>
        <v>0</v>
      </c>
      <c r="B4367" t="s">
        <v>651</v>
      </c>
      <c r="C4367" t="s">
        <v>7980</v>
      </c>
      <c r="D4367" t="s">
        <v>19060</v>
      </c>
      <c r="E4367" t="s">
        <v>22986</v>
      </c>
      <c r="F4367" t="s">
        <v>32606</v>
      </c>
      <c r="G4367" t="s">
        <v>32614</v>
      </c>
      <c r="H4367" t="s">
        <v>14201</v>
      </c>
      <c r="I4367" t="s">
        <v>4112</v>
      </c>
      <c r="J4367" t="s">
        <v>35675</v>
      </c>
      <c r="K4367" t="s">
        <v>42629</v>
      </c>
      <c r="M4367" t="s">
        <v>43570</v>
      </c>
      <c r="N4367" t="s">
        <v>47304</v>
      </c>
      <c r="O4367" t="s">
        <v>47305</v>
      </c>
      <c r="P4367">
        <v>0</v>
      </c>
      <c r="Q4367">
        <v>0</v>
      </c>
      <c r="R4367" t="s">
        <v>47306</v>
      </c>
      <c r="S4367" t="s">
        <v>47414</v>
      </c>
      <c r="T4367" t="s">
        <v>48997</v>
      </c>
      <c r="U4367" t="s">
        <v>50681</v>
      </c>
      <c r="W4367" t="s">
        <v>43570</v>
      </c>
      <c r="X4367" t="s">
        <v>47308</v>
      </c>
    </row>
    <row r="4368" spans="1:24">
      <c r="A4368">
        <f>HYPERLINK("https://www.philgeps.gov.ph/GEPSNONPILOT/Tender/SplashBidNoticeAbstractUI.aspx?menuIndex=3&amp;refID=7196859&amp;Result=3","7196859")</f>
        <v>0</v>
      </c>
      <c r="B4368" t="s">
        <v>81</v>
      </c>
      <c r="C4368" t="s">
        <v>7314</v>
      </c>
      <c r="D4368" t="s">
        <v>18995</v>
      </c>
      <c r="E4368" t="s">
        <v>22987</v>
      </c>
      <c r="F4368" t="s">
        <v>32606</v>
      </c>
      <c r="G4368" t="s">
        <v>32614</v>
      </c>
      <c r="H4368" t="s">
        <v>14201</v>
      </c>
      <c r="I4368" t="s">
        <v>6298</v>
      </c>
      <c r="J4368" t="s">
        <v>35676</v>
      </c>
      <c r="K4368" t="s">
        <v>42624</v>
      </c>
      <c r="M4368" t="s">
        <v>42978</v>
      </c>
      <c r="N4368" t="s">
        <v>47304</v>
      </c>
      <c r="O4368" t="s">
        <v>47305</v>
      </c>
      <c r="P4368">
        <v>0</v>
      </c>
      <c r="Q4368">
        <v>2</v>
      </c>
      <c r="R4368" t="s">
        <v>47306</v>
      </c>
      <c r="S4368" t="s">
        <v>47414</v>
      </c>
      <c r="T4368" t="s">
        <v>49014</v>
      </c>
      <c r="U4368" t="s">
        <v>53287</v>
      </c>
      <c r="W4368" t="s">
        <v>42978</v>
      </c>
      <c r="X4368" t="s">
        <v>47308</v>
      </c>
    </row>
    <row r="4369" spans="1:24">
      <c r="A4369">
        <f>HYPERLINK("https://www.philgeps.gov.ph/GEPSNONPILOT/Tender/SplashBidNoticeAbstractUI.aspx?menuIndex=3&amp;refID=7196921&amp;Result=3","7196921")</f>
        <v>0</v>
      </c>
      <c r="B4369" t="s">
        <v>897</v>
      </c>
      <c r="C4369" t="s">
        <v>7981</v>
      </c>
      <c r="D4369" t="s">
        <v>19067</v>
      </c>
      <c r="E4369" t="s">
        <v>22988</v>
      </c>
      <c r="F4369" t="s">
        <v>32606</v>
      </c>
      <c r="G4369" t="s">
        <v>32613</v>
      </c>
      <c r="H4369" t="s">
        <v>14201</v>
      </c>
      <c r="I4369" t="s">
        <v>32640</v>
      </c>
      <c r="J4369" t="s">
        <v>35677</v>
      </c>
      <c r="K4369" t="s">
        <v>42627</v>
      </c>
      <c r="M4369" t="s">
        <v>43834</v>
      </c>
      <c r="N4369" t="s">
        <v>47304</v>
      </c>
      <c r="O4369" t="s">
        <v>47305</v>
      </c>
      <c r="P4369">
        <v>0</v>
      </c>
      <c r="Q4369">
        <v>2</v>
      </c>
      <c r="R4369" t="s">
        <v>47306</v>
      </c>
      <c r="S4369" t="s">
        <v>47414</v>
      </c>
      <c r="T4369" t="s">
        <v>49155</v>
      </c>
      <c r="U4369" t="s">
        <v>53288</v>
      </c>
      <c r="W4369" t="s">
        <v>43834</v>
      </c>
      <c r="X4369" t="s">
        <v>47308</v>
      </c>
    </row>
    <row r="4370" spans="1:24">
      <c r="A4370">
        <f>HYPERLINK("https://www.philgeps.gov.ph/GEPSNONPILOT/Tender/SplashBidNoticeAbstractUI.aspx?menuIndex=3&amp;refID=7196878&amp;Result=3","7196878")</f>
        <v>0</v>
      </c>
      <c r="B4370" t="s">
        <v>1628</v>
      </c>
      <c r="C4370" t="s">
        <v>7982</v>
      </c>
      <c r="E4370" t="s">
        <v>22989</v>
      </c>
      <c r="F4370" t="s">
        <v>32606</v>
      </c>
      <c r="G4370" t="s">
        <v>32614</v>
      </c>
      <c r="H4370" t="s">
        <v>14201</v>
      </c>
      <c r="I4370" t="s">
        <v>6931</v>
      </c>
      <c r="J4370" t="s">
        <v>32778</v>
      </c>
      <c r="K4370" t="s">
        <v>42624</v>
      </c>
      <c r="M4370" t="s">
        <v>44648</v>
      </c>
      <c r="N4370" t="s">
        <v>47304</v>
      </c>
      <c r="O4370" t="s">
        <v>47305</v>
      </c>
      <c r="P4370">
        <v>0</v>
      </c>
      <c r="Q4370">
        <v>0</v>
      </c>
      <c r="R4370" t="s">
        <v>47306</v>
      </c>
      <c r="S4370" t="s">
        <v>47414</v>
      </c>
      <c r="T4370" t="s">
        <v>49004</v>
      </c>
      <c r="U4370" t="s">
        <v>53289</v>
      </c>
      <c r="W4370" t="s">
        <v>44648</v>
      </c>
      <c r="X4370" t="s">
        <v>47308</v>
      </c>
    </row>
    <row r="4371" spans="1:24">
      <c r="A4371">
        <f>HYPERLINK("https://www.philgeps.gov.ph/GEPSNONPILOT/Tender/SplashBidNoticeAbstractUI.aspx?menuIndex=3&amp;refID=7196918&amp;Result=3","7196918")</f>
        <v>0</v>
      </c>
      <c r="B4371" t="s">
        <v>212</v>
      </c>
      <c r="C4371" t="s">
        <v>7983</v>
      </c>
      <c r="D4371" t="s">
        <v>19007</v>
      </c>
      <c r="E4371" t="s">
        <v>22990</v>
      </c>
      <c r="F4371" t="s">
        <v>32606</v>
      </c>
      <c r="G4371" t="s">
        <v>32614</v>
      </c>
      <c r="H4371" t="s">
        <v>14201</v>
      </c>
      <c r="I4371" t="s">
        <v>4114</v>
      </c>
      <c r="J4371" t="s">
        <v>35678</v>
      </c>
      <c r="K4371" t="s">
        <v>42631</v>
      </c>
      <c r="M4371" t="s">
        <v>43113</v>
      </c>
      <c r="N4371" t="s">
        <v>47304</v>
      </c>
      <c r="O4371" t="s">
        <v>47305</v>
      </c>
      <c r="P4371">
        <v>0</v>
      </c>
      <c r="Q4371">
        <v>5</v>
      </c>
      <c r="R4371" t="s">
        <v>47306</v>
      </c>
      <c r="S4371" t="s">
        <v>47414</v>
      </c>
      <c r="T4371" t="s">
        <v>48988</v>
      </c>
      <c r="U4371" t="s">
        <v>53290</v>
      </c>
      <c r="W4371" t="s">
        <v>43113</v>
      </c>
      <c r="X4371" t="s">
        <v>47308</v>
      </c>
    </row>
    <row r="4372" spans="1:24">
      <c r="A4372">
        <f>HYPERLINK("https://www.philgeps.gov.ph/GEPSNONPILOT/Tender/SplashBidNoticeAbstractUI.aspx?menuIndex=3&amp;refID=7196855&amp;Result=3","7196855")</f>
        <v>0</v>
      </c>
      <c r="B4372" t="s">
        <v>1632</v>
      </c>
      <c r="C4372" t="s">
        <v>7984</v>
      </c>
      <c r="D4372" t="s">
        <v>18999</v>
      </c>
      <c r="E4372" t="s">
        <v>22991</v>
      </c>
      <c r="F4372" t="s">
        <v>32606</v>
      </c>
      <c r="G4372" t="s">
        <v>32619</v>
      </c>
      <c r="H4372" t="s">
        <v>14201</v>
      </c>
      <c r="I4372" t="s">
        <v>6014</v>
      </c>
      <c r="J4372" t="s">
        <v>34106</v>
      </c>
      <c r="K4372" t="s">
        <v>42624</v>
      </c>
      <c r="M4372" t="s">
        <v>44652</v>
      </c>
      <c r="N4372" t="s">
        <v>47304</v>
      </c>
      <c r="O4372" t="s">
        <v>47305</v>
      </c>
      <c r="P4372">
        <v>0</v>
      </c>
      <c r="Q4372">
        <v>5</v>
      </c>
      <c r="R4372" t="s">
        <v>47306</v>
      </c>
      <c r="S4372" t="s">
        <v>47414</v>
      </c>
      <c r="T4372" t="s">
        <v>48977</v>
      </c>
      <c r="U4372" t="s">
        <v>53291</v>
      </c>
      <c r="V4372" t="s">
        <v>63068</v>
      </c>
      <c r="W4372" t="s">
        <v>44652</v>
      </c>
      <c r="X4372" t="s">
        <v>47308</v>
      </c>
    </row>
    <row r="4373" spans="1:24">
      <c r="A4373">
        <f>HYPERLINK("https://www.philgeps.gov.ph/GEPSNONPILOT/Tender/SplashBidNoticeAbstractUI.aspx?menuIndex=3&amp;refID=7196917&amp;Result=3","7196917")</f>
        <v>0</v>
      </c>
      <c r="B4373" t="s">
        <v>1644</v>
      </c>
      <c r="C4373" t="s">
        <v>7985</v>
      </c>
      <c r="D4373" t="s">
        <v>19022</v>
      </c>
      <c r="E4373" t="s">
        <v>22992</v>
      </c>
      <c r="F4373" t="s">
        <v>32606</v>
      </c>
      <c r="G4373" t="s">
        <v>32617</v>
      </c>
      <c r="H4373" t="s">
        <v>14201</v>
      </c>
      <c r="I4373" t="s">
        <v>4678</v>
      </c>
      <c r="J4373" t="s">
        <v>32752</v>
      </c>
      <c r="K4373" t="s">
        <v>42623</v>
      </c>
      <c r="M4373" t="s">
        <v>44665</v>
      </c>
      <c r="N4373" t="s">
        <v>47304</v>
      </c>
      <c r="O4373" t="s">
        <v>47305</v>
      </c>
      <c r="P4373">
        <v>0</v>
      </c>
      <c r="Q4373">
        <v>1</v>
      </c>
      <c r="R4373" t="s">
        <v>47306</v>
      </c>
      <c r="S4373" t="s">
        <v>47414</v>
      </c>
      <c r="T4373" t="s">
        <v>49004</v>
      </c>
      <c r="U4373" t="s">
        <v>53292</v>
      </c>
      <c r="W4373" t="s">
        <v>64478</v>
      </c>
      <c r="X4373" t="s">
        <v>47308</v>
      </c>
    </row>
    <row r="4374" spans="1:24">
      <c r="A4374">
        <f>HYPERLINK("https://www.philgeps.gov.ph/GEPSNONPILOT/Tender/SplashBidNoticeAbstractUI.aspx?menuIndex=3&amp;refID=7196914&amp;Result=3","7196914")</f>
        <v>0</v>
      </c>
      <c r="B4374" t="s">
        <v>1120</v>
      </c>
      <c r="C4374" t="s">
        <v>7986</v>
      </c>
      <c r="E4374" t="s">
        <v>22993</v>
      </c>
      <c r="F4374" t="s">
        <v>32606</v>
      </c>
      <c r="G4374" t="s">
        <v>32614</v>
      </c>
      <c r="H4374" t="s">
        <v>14201</v>
      </c>
      <c r="I4374" t="s">
        <v>4114</v>
      </c>
      <c r="J4374" t="s">
        <v>32999</v>
      </c>
      <c r="K4374" t="s">
        <v>42624</v>
      </c>
      <c r="M4374" t="s">
        <v>44666</v>
      </c>
      <c r="N4374" t="s">
        <v>47304</v>
      </c>
      <c r="O4374" t="s">
        <v>47305</v>
      </c>
      <c r="P4374">
        <v>0</v>
      </c>
      <c r="Q4374">
        <v>12</v>
      </c>
      <c r="R4374" t="s">
        <v>47306</v>
      </c>
      <c r="S4374" t="s">
        <v>47414</v>
      </c>
      <c r="T4374" t="s">
        <v>49061</v>
      </c>
      <c r="U4374" t="s">
        <v>53293</v>
      </c>
      <c r="W4374" t="s">
        <v>44666</v>
      </c>
      <c r="X4374" t="s">
        <v>47308</v>
      </c>
    </row>
    <row r="4375" spans="1:24">
      <c r="A4375">
        <f>HYPERLINK("https://www.philgeps.gov.ph/GEPSNONPILOT/Tender/SplashBidNoticeAbstractUI.aspx?menuIndex=3&amp;refID=7196911&amp;Result=3","7196911")</f>
        <v>0</v>
      </c>
      <c r="B4375" t="s">
        <v>899</v>
      </c>
      <c r="C4375" t="s">
        <v>7987</v>
      </c>
      <c r="E4375" t="s">
        <v>22994</v>
      </c>
      <c r="F4375" t="s">
        <v>32606</v>
      </c>
      <c r="G4375" t="s">
        <v>32613</v>
      </c>
      <c r="H4375" t="s">
        <v>14201</v>
      </c>
      <c r="I4375" t="s">
        <v>32633</v>
      </c>
      <c r="J4375" t="s">
        <v>35679</v>
      </c>
      <c r="K4375" t="s">
        <v>42624</v>
      </c>
      <c r="M4375" t="s">
        <v>44667</v>
      </c>
      <c r="N4375" t="s">
        <v>47304</v>
      </c>
      <c r="O4375" t="s">
        <v>47305</v>
      </c>
      <c r="P4375">
        <v>0</v>
      </c>
      <c r="Q4375">
        <v>3</v>
      </c>
      <c r="R4375" t="s">
        <v>47306</v>
      </c>
      <c r="S4375" t="s">
        <v>47414</v>
      </c>
      <c r="T4375" t="s">
        <v>49017</v>
      </c>
      <c r="U4375" t="s">
        <v>53294</v>
      </c>
      <c r="W4375" t="s">
        <v>44667</v>
      </c>
      <c r="X4375" t="s">
        <v>47308</v>
      </c>
    </row>
    <row r="4376" spans="1:24">
      <c r="A4376">
        <f>HYPERLINK("https://www.philgeps.gov.ph/GEPSNONPILOT/Tender/SplashBidNoticeAbstractUI.aspx?menuIndex=3&amp;refID=7196858&amp;Result=3","7196858")</f>
        <v>0</v>
      </c>
      <c r="B4376" t="s">
        <v>1268</v>
      </c>
      <c r="C4376" t="s">
        <v>7988</v>
      </c>
      <c r="D4376" t="s">
        <v>18991</v>
      </c>
      <c r="E4376" t="s">
        <v>20660</v>
      </c>
      <c r="F4376" t="s">
        <v>32606</v>
      </c>
      <c r="G4376" t="s">
        <v>32619</v>
      </c>
      <c r="H4376" t="s">
        <v>14201</v>
      </c>
      <c r="I4376" t="s">
        <v>4114</v>
      </c>
      <c r="J4376" t="s">
        <v>35680</v>
      </c>
      <c r="K4376" t="s">
        <v>42629</v>
      </c>
      <c r="M4376" t="s">
        <v>44236</v>
      </c>
      <c r="N4376" t="s">
        <v>47304</v>
      </c>
      <c r="O4376" t="s">
        <v>47305</v>
      </c>
      <c r="P4376">
        <v>0</v>
      </c>
      <c r="Q4376">
        <v>2</v>
      </c>
      <c r="R4376" t="s">
        <v>47306</v>
      </c>
      <c r="S4376" t="s">
        <v>47414</v>
      </c>
      <c r="T4376" t="s">
        <v>48979</v>
      </c>
      <c r="U4376" t="s">
        <v>53295</v>
      </c>
      <c r="W4376" t="s">
        <v>44236</v>
      </c>
      <c r="X4376" t="s">
        <v>47308</v>
      </c>
    </row>
    <row r="4377" spans="1:24">
      <c r="A4377">
        <f>HYPERLINK("https://www.philgeps.gov.ph/GEPSNONPILOT/Tender/SplashBidNoticeAbstractUI.aspx?menuIndex=3&amp;refID=7196908&amp;Result=3","7196908")</f>
        <v>0</v>
      </c>
      <c r="B4377" t="s">
        <v>101</v>
      </c>
      <c r="C4377" t="s">
        <v>7989</v>
      </c>
      <c r="D4377" t="s">
        <v>18993</v>
      </c>
      <c r="E4377" t="s">
        <v>22995</v>
      </c>
      <c r="F4377" t="s">
        <v>32606</v>
      </c>
      <c r="G4377" t="s">
        <v>32617</v>
      </c>
      <c r="H4377" t="s">
        <v>14201</v>
      </c>
      <c r="I4377" t="s">
        <v>4114</v>
      </c>
      <c r="J4377" t="s">
        <v>35681</v>
      </c>
      <c r="K4377" t="s">
        <v>42630</v>
      </c>
      <c r="M4377" t="s">
        <v>44372</v>
      </c>
      <c r="N4377" t="s">
        <v>47304</v>
      </c>
      <c r="O4377" t="s">
        <v>47305</v>
      </c>
      <c r="P4377">
        <v>0</v>
      </c>
      <c r="Q4377">
        <v>10</v>
      </c>
      <c r="R4377" t="s">
        <v>47306</v>
      </c>
      <c r="S4377" t="s">
        <v>47414</v>
      </c>
      <c r="T4377" t="s">
        <v>48980</v>
      </c>
      <c r="U4377" t="s">
        <v>49695</v>
      </c>
      <c r="W4377" t="s">
        <v>44372</v>
      </c>
      <c r="X4377" t="s">
        <v>47308</v>
      </c>
    </row>
    <row r="4378" spans="1:24">
      <c r="A4378">
        <f>HYPERLINK("https://www.philgeps.gov.ph/GEPSNONPILOT/Tender/SplashBidNoticeAbstractUI.aspx?menuIndex=3&amp;refID=7196922&amp;Result=3","7196922")</f>
        <v>0</v>
      </c>
      <c r="B4378" t="s">
        <v>899</v>
      </c>
      <c r="C4378" t="s">
        <v>7990</v>
      </c>
      <c r="E4378" t="s">
        <v>22996</v>
      </c>
      <c r="F4378" t="s">
        <v>32606</v>
      </c>
      <c r="G4378" t="s">
        <v>32614</v>
      </c>
      <c r="H4378" t="s">
        <v>14201</v>
      </c>
      <c r="I4378" t="s">
        <v>4369</v>
      </c>
      <c r="J4378" t="s">
        <v>35682</v>
      </c>
      <c r="K4378" t="s">
        <v>42624</v>
      </c>
      <c r="M4378" t="s">
        <v>43836</v>
      </c>
      <c r="N4378" t="s">
        <v>47304</v>
      </c>
      <c r="O4378" t="s">
        <v>47305</v>
      </c>
      <c r="P4378">
        <v>0</v>
      </c>
      <c r="Q4378">
        <v>1</v>
      </c>
      <c r="R4378" t="s">
        <v>47306</v>
      </c>
      <c r="S4378" t="s">
        <v>47414</v>
      </c>
      <c r="T4378" t="s">
        <v>48971</v>
      </c>
      <c r="U4378" t="s">
        <v>53296</v>
      </c>
      <c r="W4378" t="s">
        <v>43836</v>
      </c>
      <c r="X4378" t="s">
        <v>47308</v>
      </c>
    </row>
    <row r="4379" spans="1:24">
      <c r="A4379">
        <f>HYPERLINK("https://www.philgeps.gov.ph/GEPSNONPILOT/Tender/SplashBidNoticeAbstractUI.aspx?menuIndex=3&amp;refID=7196920&amp;Result=3","7196920")</f>
        <v>0</v>
      </c>
      <c r="B4379" t="s">
        <v>1503</v>
      </c>
      <c r="C4379" t="s">
        <v>7991</v>
      </c>
      <c r="D4379" t="s">
        <v>19049</v>
      </c>
      <c r="E4379" t="s">
        <v>22997</v>
      </c>
      <c r="F4379" t="s">
        <v>32606</v>
      </c>
      <c r="G4379" t="s">
        <v>32613</v>
      </c>
      <c r="H4379" t="s">
        <v>14201</v>
      </c>
      <c r="I4379" t="s">
        <v>32674</v>
      </c>
      <c r="J4379" t="s">
        <v>35683</v>
      </c>
      <c r="K4379" t="s">
        <v>42631</v>
      </c>
      <c r="L4379" t="s">
        <v>1503</v>
      </c>
      <c r="M4379" t="s">
        <v>44500</v>
      </c>
      <c r="N4379" t="s">
        <v>47304</v>
      </c>
      <c r="O4379" t="s">
        <v>47305</v>
      </c>
      <c r="P4379">
        <v>0</v>
      </c>
      <c r="Q4379">
        <v>0</v>
      </c>
      <c r="R4379" t="s">
        <v>47306</v>
      </c>
      <c r="S4379" t="s">
        <v>47414</v>
      </c>
      <c r="T4379" t="s">
        <v>48978</v>
      </c>
      <c r="U4379" t="s">
        <v>53297</v>
      </c>
      <c r="W4379" t="s">
        <v>44500</v>
      </c>
      <c r="X4379" t="s">
        <v>47308</v>
      </c>
    </row>
    <row r="4380" spans="1:24">
      <c r="A4380">
        <f>HYPERLINK("https://www.philgeps.gov.ph/GEPSNONPILOT/Tender/SplashBidNoticeAbstractUI.aspx?menuIndex=3&amp;refID=7196856&amp;Result=3","7196856")</f>
        <v>0</v>
      </c>
      <c r="B4380" t="s">
        <v>899</v>
      </c>
      <c r="C4380" t="s">
        <v>7992</v>
      </c>
      <c r="E4380" t="s">
        <v>22998</v>
      </c>
      <c r="F4380" t="s">
        <v>32606</v>
      </c>
      <c r="G4380" t="s">
        <v>32614</v>
      </c>
      <c r="H4380" t="s">
        <v>14201</v>
      </c>
      <c r="I4380" t="s">
        <v>6007</v>
      </c>
      <c r="J4380" t="s">
        <v>33537</v>
      </c>
      <c r="K4380" t="s">
        <v>42624</v>
      </c>
      <c r="M4380" t="s">
        <v>43836</v>
      </c>
      <c r="N4380" t="s">
        <v>47304</v>
      </c>
      <c r="O4380" t="s">
        <v>47305</v>
      </c>
      <c r="P4380">
        <v>0</v>
      </c>
      <c r="Q4380">
        <v>0</v>
      </c>
      <c r="R4380" t="s">
        <v>47306</v>
      </c>
      <c r="S4380" t="s">
        <v>47414</v>
      </c>
      <c r="T4380" t="s">
        <v>48971</v>
      </c>
      <c r="U4380" t="s">
        <v>53298</v>
      </c>
      <c r="W4380" t="s">
        <v>43836</v>
      </c>
      <c r="X4380" t="s">
        <v>47308</v>
      </c>
    </row>
    <row r="4381" spans="1:24">
      <c r="A4381">
        <f>HYPERLINK("https://www.philgeps.gov.ph/GEPSNONPILOT/Tender/SplashBidNoticeAbstractUI.aspx?menuIndex=3&amp;refID=7196903&amp;Result=3","7196903")</f>
        <v>0</v>
      </c>
      <c r="B4381" t="s">
        <v>1632</v>
      </c>
      <c r="C4381" t="s">
        <v>7993</v>
      </c>
      <c r="D4381" t="s">
        <v>18999</v>
      </c>
      <c r="E4381" t="s">
        <v>22999</v>
      </c>
      <c r="F4381" t="s">
        <v>32606</v>
      </c>
      <c r="G4381" t="s">
        <v>32619</v>
      </c>
      <c r="H4381" t="s">
        <v>14201</v>
      </c>
      <c r="I4381" t="s">
        <v>7677</v>
      </c>
      <c r="J4381" t="s">
        <v>33513</v>
      </c>
      <c r="K4381" t="s">
        <v>42624</v>
      </c>
      <c r="M4381" t="s">
        <v>44652</v>
      </c>
      <c r="N4381" t="s">
        <v>47304</v>
      </c>
      <c r="O4381" t="s">
        <v>47305</v>
      </c>
      <c r="P4381">
        <v>0</v>
      </c>
      <c r="Q4381">
        <v>6</v>
      </c>
      <c r="R4381" t="s">
        <v>47306</v>
      </c>
      <c r="S4381" t="s">
        <v>47414</v>
      </c>
      <c r="T4381" t="s">
        <v>48977</v>
      </c>
      <c r="U4381" t="s">
        <v>53299</v>
      </c>
      <c r="V4381" t="s">
        <v>63068</v>
      </c>
      <c r="W4381" t="s">
        <v>44652</v>
      </c>
      <c r="X4381" t="s">
        <v>47308</v>
      </c>
    </row>
    <row r="4382" spans="1:24">
      <c r="A4382">
        <f>HYPERLINK("https://www.philgeps.gov.ph/GEPSNONPILOT/Tender/SplashBidNoticeAbstractUI.aspx?menuIndex=3&amp;refID=7196901&amp;Result=3","7196901")</f>
        <v>0</v>
      </c>
      <c r="B4382" t="s">
        <v>1022</v>
      </c>
      <c r="C4382" t="s">
        <v>7994</v>
      </c>
      <c r="E4382" t="s">
        <v>7994</v>
      </c>
      <c r="F4382" t="s">
        <v>32606</v>
      </c>
      <c r="G4382" t="s">
        <v>32614</v>
      </c>
      <c r="H4382" t="s">
        <v>14201</v>
      </c>
      <c r="I4382" t="s">
        <v>4114</v>
      </c>
      <c r="J4382" t="s">
        <v>35684</v>
      </c>
      <c r="K4382" t="s">
        <v>42631</v>
      </c>
      <c r="M4382" t="s">
        <v>43974</v>
      </c>
      <c r="N4382" t="s">
        <v>47304</v>
      </c>
      <c r="O4382" t="s">
        <v>47305</v>
      </c>
      <c r="P4382">
        <v>0</v>
      </c>
      <c r="Q4382">
        <v>0</v>
      </c>
      <c r="R4382" t="s">
        <v>47306</v>
      </c>
      <c r="S4382" t="s">
        <v>47414</v>
      </c>
      <c r="T4382" t="s">
        <v>48980</v>
      </c>
      <c r="U4382" t="s">
        <v>53300</v>
      </c>
      <c r="W4382" t="s">
        <v>43974</v>
      </c>
      <c r="X4382" t="s">
        <v>47308</v>
      </c>
    </row>
    <row r="4383" spans="1:24">
      <c r="A4383">
        <f>HYPERLINK("https://www.philgeps.gov.ph/GEPSNONPILOT/Tender/SplashBidNoticeAbstractUI.aspx?menuIndex=3&amp;refID=7196940&amp;Result=3","7196940")</f>
        <v>0</v>
      </c>
      <c r="B4383" t="s">
        <v>1645</v>
      </c>
      <c r="C4383" t="s">
        <v>7995</v>
      </c>
      <c r="D4383" t="s">
        <v>18999</v>
      </c>
      <c r="E4383" t="s">
        <v>23000</v>
      </c>
      <c r="F4383" t="s">
        <v>32606</v>
      </c>
      <c r="G4383" t="s">
        <v>32619</v>
      </c>
      <c r="H4383" t="s">
        <v>14201</v>
      </c>
      <c r="I4383" t="s">
        <v>32634</v>
      </c>
      <c r="J4383" t="s">
        <v>35685</v>
      </c>
      <c r="K4383" t="s">
        <v>42630</v>
      </c>
      <c r="M4383" t="s">
        <v>44668</v>
      </c>
      <c r="N4383" t="s">
        <v>47304</v>
      </c>
      <c r="O4383" t="s">
        <v>47305</v>
      </c>
      <c r="P4383">
        <v>0</v>
      </c>
      <c r="Q4383">
        <v>2</v>
      </c>
      <c r="R4383" t="s">
        <v>47306</v>
      </c>
      <c r="S4383" t="s">
        <v>47414</v>
      </c>
      <c r="T4383" t="s">
        <v>49081</v>
      </c>
      <c r="U4383" t="s">
        <v>53301</v>
      </c>
      <c r="W4383" t="s">
        <v>44668</v>
      </c>
      <c r="X4383" t="s">
        <v>47308</v>
      </c>
    </row>
    <row r="4384" spans="1:24">
      <c r="A4384">
        <f>HYPERLINK("https://www.philgeps.gov.ph/GEPSNONPILOT/Tender/SplashBidNoticeAbstractUI.aspx?menuIndex=3&amp;refID=7196947&amp;Result=3","7196947")</f>
        <v>0</v>
      </c>
      <c r="B4384" t="s">
        <v>958</v>
      </c>
      <c r="C4384" t="s">
        <v>7996</v>
      </c>
      <c r="D4384" t="s">
        <v>19001</v>
      </c>
      <c r="E4384" t="s">
        <v>23001</v>
      </c>
      <c r="F4384" t="s">
        <v>32607</v>
      </c>
      <c r="G4384" t="s">
        <v>32614</v>
      </c>
      <c r="H4384" t="s">
        <v>14201</v>
      </c>
      <c r="I4384" t="s">
        <v>6298</v>
      </c>
      <c r="J4384" t="s">
        <v>35686</v>
      </c>
      <c r="K4384" t="s">
        <v>42622</v>
      </c>
      <c r="M4384" t="s">
        <v>43902</v>
      </c>
      <c r="N4384" t="s">
        <v>47304</v>
      </c>
      <c r="O4384" t="s">
        <v>47305</v>
      </c>
      <c r="P4384">
        <v>0</v>
      </c>
      <c r="Q4384">
        <v>1</v>
      </c>
      <c r="R4384" t="s">
        <v>47306</v>
      </c>
      <c r="S4384" t="s">
        <v>47414</v>
      </c>
      <c r="T4384" t="s">
        <v>49284</v>
      </c>
      <c r="U4384" t="s">
        <v>53302</v>
      </c>
      <c r="W4384" t="s">
        <v>43902</v>
      </c>
      <c r="X4384" t="s">
        <v>47308</v>
      </c>
    </row>
    <row r="4385" spans="1:24">
      <c r="A4385">
        <f>HYPERLINK("https://www.philgeps.gov.ph/GEPSNONPILOT/Tender/SplashBidNoticeAbstractUI.aspx?menuIndex=3&amp;refID=7196946&amp;Result=3","7196946")</f>
        <v>0</v>
      </c>
      <c r="B4385" t="s">
        <v>1596</v>
      </c>
      <c r="C4385" t="s">
        <v>7997</v>
      </c>
      <c r="D4385" t="s">
        <v>18997</v>
      </c>
      <c r="E4385" t="s">
        <v>23002</v>
      </c>
      <c r="F4385" t="s">
        <v>32606</v>
      </c>
      <c r="G4385" t="s">
        <v>32614</v>
      </c>
      <c r="H4385" t="s">
        <v>14201</v>
      </c>
      <c r="I4385" t="s">
        <v>6993</v>
      </c>
      <c r="J4385" t="s">
        <v>33570</v>
      </c>
      <c r="K4385" t="s">
        <v>42623</v>
      </c>
      <c r="M4385" t="s">
        <v>44610</v>
      </c>
      <c r="N4385" t="s">
        <v>47304</v>
      </c>
      <c r="O4385" t="s">
        <v>47305</v>
      </c>
      <c r="P4385">
        <v>0</v>
      </c>
      <c r="Q4385">
        <v>0</v>
      </c>
      <c r="R4385" t="s">
        <v>47306</v>
      </c>
      <c r="S4385" t="s">
        <v>47414</v>
      </c>
      <c r="T4385" t="s">
        <v>49004</v>
      </c>
      <c r="U4385" t="s">
        <v>53303</v>
      </c>
      <c r="W4385" t="s">
        <v>44610</v>
      </c>
      <c r="X4385" t="s">
        <v>47308</v>
      </c>
    </row>
    <row r="4386" spans="1:24">
      <c r="A4386">
        <f>HYPERLINK("https://www.philgeps.gov.ph/GEPSNONPILOT/Tender/SplashBidNoticeAbstractUI.aspx?menuIndex=3&amp;refID=7196945&amp;Result=3","7196945")</f>
        <v>0</v>
      </c>
      <c r="B4386" t="s">
        <v>729</v>
      </c>
      <c r="C4386" t="s">
        <v>7998</v>
      </c>
      <c r="D4386" t="s">
        <v>19007</v>
      </c>
      <c r="E4386" t="s">
        <v>23003</v>
      </c>
      <c r="F4386" t="s">
        <v>32606</v>
      </c>
      <c r="G4386" t="s">
        <v>32614</v>
      </c>
      <c r="H4386" t="s">
        <v>14201</v>
      </c>
      <c r="I4386" t="s">
        <v>32626</v>
      </c>
      <c r="J4386" t="s">
        <v>35687</v>
      </c>
      <c r="K4386" t="s">
        <v>42624</v>
      </c>
      <c r="M4386" t="s">
        <v>43660</v>
      </c>
      <c r="N4386" t="s">
        <v>47304</v>
      </c>
      <c r="O4386" t="s">
        <v>47305</v>
      </c>
      <c r="P4386">
        <v>0</v>
      </c>
      <c r="Q4386">
        <v>1</v>
      </c>
      <c r="R4386" t="s">
        <v>47306</v>
      </c>
      <c r="S4386" t="s">
        <v>47414</v>
      </c>
      <c r="T4386" t="s">
        <v>48979</v>
      </c>
      <c r="U4386" t="s">
        <v>53304</v>
      </c>
      <c r="W4386" t="s">
        <v>43660</v>
      </c>
      <c r="X4386" t="s">
        <v>47308</v>
      </c>
    </row>
    <row r="4387" spans="1:24">
      <c r="A4387">
        <f>HYPERLINK("https://www.philgeps.gov.ph/GEPSNONPILOT/Tender/SplashBidNoticeAbstractUI.aspx?menuIndex=3&amp;refID=7196943&amp;Result=3","7196943")</f>
        <v>0</v>
      </c>
      <c r="B4387" t="s">
        <v>1327</v>
      </c>
      <c r="C4387" t="s">
        <v>7999</v>
      </c>
      <c r="D4387" t="s">
        <v>19018</v>
      </c>
      <c r="E4387" t="s">
        <v>19316</v>
      </c>
      <c r="F4387" t="s">
        <v>32606</v>
      </c>
      <c r="G4387" t="s">
        <v>32614</v>
      </c>
      <c r="H4387" t="s">
        <v>14201</v>
      </c>
      <c r="I4387" t="s">
        <v>6931</v>
      </c>
      <c r="J4387" t="s">
        <v>32885</v>
      </c>
      <c r="K4387" t="s">
        <v>42630</v>
      </c>
      <c r="M4387" t="s">
        <v>44301</v>
      </c>
      <c r="N4387" t="s">
        <v>47304</v>
      </c>
      <c r="O4387" t="s">
        <v>47305</v>
      </c>
      <c r="P4387">
        <v>0</v>
      </c>
      <c r="Q4387">
        <v>0</v>
      </c>
      <c r="R4387" t="s">
        <v>47306</v>
      </c>
      <c r="S4387" t="s">
        <v>47414</v>
      </c>
      <c r="T4387" t="s">
        <v>49050</v>
      </c>
      <c r="U4387" t="s">
        <v>52315</v>
      </c>
      <c r="W4387" t="s">
        <v>44301</v>
      </c>
      <c r="X4387" t="s">
        <v>47308</v>
      </c>
    </row>
    <row r="4388" spans="1:24">
      <c r="A4388">
        <f>HYPERLINK("https://www.philgeps.gov.ph/GEPSNONPILOT/Tender/SplashBidNoticeAbstractUI.aspx?menuIndex=3&amp;refID=7196941&amp;Result=3","7196941")</f>
        <v>0</v>
      </c>
      <c r="B4388" t="s">
        <v>1637</v>
      </c>
      <c r="C4388" t="s">
        <v>8000</v>
      </c>
      <c r="D4388" t="s">
        <v>19005</v>
      </c>
      <c r="E4388" t="s">
        <v>23004</v>
      </c>
      <c r="F4388" t="s">
        <v>32606</v>
      </c>
      <c r="G4388" t="s">
        <v>32614</v>
      </c>
      <c r="H4388" t="s">
        <v>14201</v>
      </c>
      <c r="I4388" t="s">
        <v>32652</v>
      </c>
      <c r="J4388" t="s">
        <v>33257</v>
      </c>
      <c r="K4388" t="s">
        <v>42631</v>
      </c>
      <c r="M4388" t="s">
        <v>44658</v>
      </c>
      <c r="N4388" t="s">
        <v>47304</v>
      </c>
      <c r="O4388" t="s">
        <v>47305</v>
      </c>
      <c r="P4388">
        <v>0</v>
      </c>
      <c r="Q4388">
        <v>0</v>
      </c>
      <c r="R4388" t="s">
        <v>47306</v>
      </c>
      <c r="S4388" t="s">
        <v>47414</v>
      </c>
      <c r="T4388" t="s">
        <v>49050</v>
      </c>
      <c r="U4388" t="s">
        <v>53305</v>
      </c>
      <c r="W4388" t="s">
        <v>44658</v>
      </c>
      <c r="X4388" t="s">
        <v>47308</v>
      </c>
    </row>
    <row r="4389" spans="1:24">
      <c r="A4389">
        <f>HYPERLINK("https://www.philgeps.gov.ph/GEPSNONPILOT/Tender/SplashBidNoticeAbstractUI.aspx?menuIndex=3&amp;refID=7196915&amp;Result=3","7196915")</f>
        <v>0</v>
      </c>
      <c r="B4389" t="s">
        <v>899</v>
      </c>
      <c r="C4389" t="s">
        <v>8001</v>
      </c>
      <c r="E4389" t="s">
        <v>23005</v>
      </c>
      <c r="F4389" t="s">
        <v>32606</v>
      </c>
      <c r="G4389" t="s">
        <v>32614</v>
      </c>
      <c r="H4389" t="s">
        <v>14201</v>
      </c>
      <c r="I4389" t="s">
        <v>6298</v>
      </c>
      <c r="J4389" t="s">
        <v>32799</v>
      </c>
      <c r="K4389" t="s">
        <v>42624</v>
      </c>
      <c r="M4389" t="s">
        <v>43836</v>
      </c>
      <c r="N4389" t="s">
        <v>47304</v>
      </c>
      <c r="O4389" t="s">
        <v>47305</v>
      </c>
      <c r="P4389">
        <v>0</v>
      </c>
      <c r="Q4389">
        <v>0</v>
      </c>
      <c r="R4389" t="s">
        <v>47306</v>
      </c>
      <c r="S4389" t="s">
        <v>47414</v>
      </c>
      <c r="T4389" t="s">
        <v>48971</v>
      </c>
      <c r="U4389" t="s">
        <v>53306</v>
      </c>
      <c r="W4389" t="s">
        <v>43836</v>
      </c>
      <c r="X4389" t="s">
        <v>47308</v>
      </c>
    </row>
    <row r="4390" spans="1:24">
      <c r="A4390">
        <f>HYPERLINK("https://www.philgeps.gov.ph/GEPSNONPILOT/Tender/SplashBidNoticeAbstractUI.aspx?menuIndex=3&amp;refID=7196904&amp;Result=3","7196904")</f>
        <v>0</v>
      </c>
      <c r="B4390" t="s">
        <v>1646</v>
      </c>
      <c r="C4390" t="s">
        <v>8002</v>
      </c>
      <c r="D4390" t="s">
        <v>18993</v>
      </c>
      <c r="E4390" t="s">
        <v>20539</v>
      </c>
      <c r="F4390" t="s">
        <v>32606</v>
      </c>
      <c r="G4390" t="s">
        <v>32613</v>
      </c>
      <c r="H4390" t="s">
        <v>14201</v>
      </c>
      <c r="I4390" t="s">
        <v>6298</v>
      </c>
      <c r="J4390" t="s">
        <v>35688</v>
      </c>
      <c r="K4390" t="s">
        <v>42632</v>
      </c>
      <c r="M4390" t="s">
        <v>44669</v>
      </c>
      <c r="N4390" t="s">
        <v>47304</v>
      </c>
      <c r="O4390" t="s">
        <v>47305</v>
      </c>
      <c r="P4390">
        <v>0</v>
      </c>
      <c r="Q4390">
        <v>0</v>
      </c>
      <c r="R4390" t="s">
        <v>47306</v>
      </c>
      <c r="S4390" t="s">
        <v>47414</v>
      </c>
      <c r="T4390" t="s">
        <v>49160</v>
      </c>
      <c r="U4390" t="s">
        <v>53307</v>
      </c>
      <c r="W4390" t="s">
        <v>44669</v>
      </c>
      <c r="X4390" t="s">
        <v>47308</v>
      </c>
    </row>
    <row r="4391" spans="1:24">
      <c r="A4391">
        <f>HYPERLINK("https://www.philgeps.gov.ph/GEPSNONPILOT/Tender/SplashBidNoticeAbstractUI.aspx?menuIndex=3&amp;refID=7196935&amp;Result=3","7196935")</f>
        <v>0</v>
      </c>
      <c r="B4391" t="s">
        <v>1433</v>
      </c>
      <c r="C4391" t="s">
        <v>8003</v>
      </c>
      <c r="D4391" t="s">
        <v>19061</v>
      </c>
      <c r="E4391" t="s">
        <v>23006</v>
      </c>
      <c r="F4391" t="s">
        <v>32606</v>
      </c>
      <c r="G4391" t="s">
        <v>32614</v>
      </c>
      <c r="H4391" t="s">
        <v>14201</v>
      </c>
      <c r="I4391" t="s">
        <v>32660</v>
      </c>
      <c r="J4391" t="s">
        <v>35689</v>
      </c>
      <c r="K4391" t="s">
        <v>42631</v>
      </c>
      <c r="M4391" t="s">
        <v>44422</v>
      </c>
      <c r="N4391" t="s">
        <v>47304</v>
      </c>
      <c r="O4391" t="s">
        <v>47305</v>
      </c>
      <c r="P4391">
        <v>0</v>
      </c>
      <c r="Q4391">
        <v>0</v>
      </c>
      <c r="R4391" t="s">
        <v>47306</v>
      </c>
      <c r="S4391" t="s">
        <v>47414</v>
      </c>
      <c r="T4391" t="s">
        <v>49002</v>
      </c>
      <c r="U4391" t="s">
        <v>52637</v>
      </c>
      <c r="W4391" t="s">
        <v>64473</v>
      </c>
      <c r="X4391" t="s">
        <v>47308</v>
      </c>
    </row>
    <row r="4392" spans="1:24">
      <c r="A4392">
        <f>HYPERLINK("https://www.philgeps.gov.ph/GEPSNONPILOT/Tender/SplashBidNoticeAbstractUI.aspx?menuIndex=3&amp;refID=7196933&amp;Result=3","7196933")</f>
        <v>0</v>
      </c>
      <c r="B4392" t="s">
        <v>76</v>
      </c>
      <c r="C4392" t="s">
        <v>8004</v>
      </c>
      <c r="D4392" t="s">
        <v>19010</v>
      </c>
      <c r="E4392" t="s">
        <v>23007</v>
      </c>
      <c r="F4392" t="s">
        <v>32606</v>
      </c>
      <c r="G4392" t="s">
        <v>32615</v>
      </c>
      <c r="H4392" t="s">
        <v>14201</v>
      </c>
      <c r="I4392" t="s">
        <v>32640</v>
      </c>
      <c r="J4392" t="s">
        <v>35690</v>
      </c>
      <c r="K4392" t="s">
        <v>42624</v>
      </c>
      <c r="M4392" t="s">
        <v>42973</v>
      </c>
      <c r="N4392" t="s">
        <v>47304</v>
      </c>
      <c r="O4392" t="s">
        <v>47305</v>
      </c>
      <c r="P4392">
        <v>0</v>
      </c>
      <c r="Q4392">
        <v>0</v>
      </c>
      <c r="R4392" t="s">
        <v>47306</v>
      </c>
      <c r="S4392" t="s">
        <v>47414</v>
      </c>
      <c r="T4392" t="s">
        <v>49011</v>
      </c>
      <c r="U4392" t="s">
        <v>53308</v>
      </c>
      <c r="W4392" t="s">
        <v>64421</v>
      </c>
      <c r="X4392" t="s">
        <v>47308</v>
      </c>
    </row>
    <row r="4393" spans="1:24">
      <c r="A4393">
        <f>HYPERLINK("https://www.philgeps.gov.ph/GEPSNONPILOT/Tender/SplashBidNoticeAbstractUI.aspx?menuIndex=3&amp;refID=7196938&amp;Result=3","7196938")</f>
        <v>0</v>
      </c>
      <c r="B4393" t="s">
        <v>861</v>
      </c>
      <c r="C4393" t="s">
        <v>8005</v>
      </c>
      <c r="D4393" t="s">
        <v>19015</v>
      </c>
      <c r="E4393" t="s">
        <v>23008</v>
      </c>
      <c r="F4393" t="s">
        <v>32606</v>
      </c>
      <c r="G4393" t="s">
        <v>32614</v>
      </c>
      <c r="H4393" t="s">
        <v>14201</v>
      </c>
      <c r="I4393" t="s">
        <v>4120</v>
      </c>
      <c r="J4393" t="s">
        <v>35691</v>
      </c>
      <c r="K4393" t="s">
        <v>42622</v>
      </c>
      <c r="M4393" t="s">
        <v>43795</v>
      </c>
      <c r="N4393" t="s">
        <v>47304</v>
      </c>
      <c r="O4393" t="s">
        <v>47305</v>
      </c>
      <c r="P4393">
        <v>0</v>
      </c>
      <c r="Q4393">
        <v>1</v>
      </c>
      <c r="R4393" t="s">
        <v>47306</v>
      </c>
      <c r="S4393" t="s">
        <v>47414</v>
      </c>
      <c r="T4393" t="s">
        <v>49004</v>
      </c>
      <c r="U4393" t="s">
        <v>51183</v>
      </c>
      <c r="W4393" t="s">
        <v>43795</v>
      </c>
      <c r="X4393" t="s">
        <v>47308</v>
      </c>
    </row>
    <row r="4394" spans="1:24">
      <c r="A4394">
        <f>HYPERLINK("https://www.philgeps.gov.ph/GEPSNONPILOT/Tender/SplashBidNoticeAbstractUI.aspx?menuIndex=3&amp;refID=7196944&amp;Result=3","7196944")</f>
        <v>0</v>
      </c>
      <c r="B4394" t="s">
        <v>1647</v>
      </c>
      <c r="C4394" t="s">
        <v>8006</v>
      </c>
      <c r="D4394" t="s">
        <v>19011</v>
      </c>
      <c r="E4394" t="s">
        <v>23009</v>
      </c>
      <c r="F4394" t="s">
        <v>32606</v>
      </c>
      <c r="G4394" t="s">
        <v>32613</v>
      </c>
      <c r="H4394" t="s">
        <v>32623</v>
      </c>
      <c r="I4394" t="s">
        <v>17648</v>
      </c>
      <c r="J4394" t="s">
        <v>32981</v>
      </c>
      <c r="K4394" t="s">
        <v>42623</v>
      </c>
      <c r="M4394" t="s">
        <v>44670</v>
      </c>
      <c r="N4394" t="s">
        <v>47304</v>
      </c>
      <c r="O4394" t="s">
        <v>47305</v>
      </c>
      <c r="P4394">
        <v>0</v>
      </c>
      <c r="Q4394">
        <v>0</v>
      </c>
      <c r="R4394" t="s">
        <v>47306</v>
      </c>
      <c r="S4394" t="s">
        <v>47414</v>
      </c>
      <c r="T4394" t="s">
        <v>49195</v>
      </c>
      <c r="U4394" t="s">
        <v>53309</v>
      </c>
      <c r="W4394" t="s">
        <v>44670</v>
      </c>
      <c r="X4394" t="s">
        <v>47308</v>
      </c>
    </row>
    <row r="4395" spans="1:24">
      <c r="A4395">
        <f>HYPERLINK("https://www.philgeps.gov.ph/GEPSNONPILOT/Tender/SplashBidNoticeAbstractUI.aspx?menuIndex=3&amp;refID=7196930&amp;Result=3","7196930")</f>
        <v>0</v>
      </c>
      <c r="B4395" t="s">
        <v>181</v>
      </c>
      <c r="C4395" t="s">
        <v>8007</v>
      </c>
      <c r="D4395" t="s">
        <v>19029</v>
      </c>
      <c r="E4395" t="s">
        <v>23010</v>
      </c>
      <c r="F4395" t="s">
        <v>32606</v>
      </c>
      <c r="G4395" t="s">
        <v>32613</v>
      </c>
      <c r="H4395" t="s">
        <v>14201</v>
      </c>
      <c r="I4395" t="s">
        <v>4678</v>
      </c>
      <c r="J4395" t="s">
        <v>33263</v>
      </c>
      <c r="K4395" t="s">
        <v>42622</v>
      </c>
      <c r="M4395" t="s">
        <v>44671</v>
      </c>
      <c r="N4395" t="s">
        <v>47304</v>
      </c>
      <c r="O4395" t="s">
        <v>47305</v>
      </c>
      <c r="P4395">
        <v>0</v>
      </c>
      <c r="Q4395">
        <v>1</v>
      </c>
      <c r="R4395" t="s">
        <v>47306</v>
      </c>
      <c r="S4395" t="s">
        <v>47414</v>
      </c>
      <c r="T4395" t="s">
        <v>48987</v>
      </c>
      <c r="U4395" t="s">
        <v>53310</v>
      </c>
      <c r="W4395" t="s">
        <v>44671</v>
      </c>
      <c r="X4395" t="s">
        <v>47308</v>
      </c>
    </row>
    <row r="4396" spans="1:24">
      <c r="A4396">
        <f>HYPERLINK("https://www.philgeps.gov.ph/GEPSNONPILOT/Tender/SplashBidNoticeAbstractUI.aspx?menuIndex=3&amp;refID=7196927&amp;Result=3","7196927")</f>
        <v>0</v>
      </c>
      <c r="B4396" t="s">
        <v>1648</v>
      </c>
      <c r="C4396" t="s">
        <v>8008</v>
      </c>
      <c r="D4396" t="s">
        <v>19058</v>
      </c>
      <c r="E4396" t="s">
        <v>23011</v>
      </c>
      <c r="F4396" t="s">
        <v>32606</v>
      </c>
      <c r="G4396" t="s">
        <v>32614</v>
      </c>
      <c r="H4396" t="s">
        <v>14201</v>
      </c>
      <c r="I4396" t="s">
        <v>6309</v>
      </c>
      <c r="J4396" t="s">
        <v>35692</v>
      </c>
      <c r="K4396" t="s">
        <v>42632</v>
      </c>
      <c r="M4396" t="s">
        <v>44672</v>
      </c>
      <c r="N4396" t="s">
        <v>47304</v>
      </c>
      <c r="O4396" t="s">
        <v>47305</v>
      </c>
      <c r="P4396">
        <v>0</v>
      </c>
      <c r="Q4396">
        <v>3</v>
      </c>
      <c r="R4396" t="s">
        <v>47306</v>
      </c>
      <c r="S4396" t="s">
        <v>47414</v>
      </c>
      <c r="T4396" t="s">
        <v>49196</v>
      </c>
      <c r="U4396" t="s">
        <v>53311</v>
      </c>
      <c r="W4396" t="s">
        <v>44672</v>
      </c>
      <c r="X4396" t="s">
        <v>47308</v>
      </c>
    </row>
    <row r="4397" spans="1:24">
      <c r="A4397">
        <f>HYPERLINK("https://www.philgeps.gov.ph/GEPSNONPILOT/Tender/SplashBidNoticeAbstractUI.aspx?menuIndex=3&amp;refID=7196932&amp;Result=3","7196932")</f>
        <v>0</v>
      </c>
      <c r="B4397" t="s">
        <v>775</v>
      </c>
      <c r="C4397" t="s">
        <v>8009</v>
      </c>
      <c r="D4397" t="s">
        <v>19019</v>
      </c>
      <c r="E4397" t="s">
        <v>23012</v>
      </c>
      <c r="F4397" t="s">
        <v>32606</v>
      </c>
      <c r="G4397" t="s">
        <v>32614</v>
      </c>
      <c r="H4397" t="s">
        <v>14201</v>
      </c>
      <c r="I4397" t="s">
        <v>32660</v>
      </c>
      <c r="J4397" t="s">
        <v>33302</v>
      </c>
      <c r="K4397" t="s">
        <v>42630</v>
      </c>
      <c r="M4397" t="s">
        <v>43704</v>
      </c>
      <c r="N4397" t="s">
        <v>47304</v>
      </c>
      <c r="O4397" t="s">
        <v>47305</v>
      </c>
      <c r="P4397">
        <v>0</v>
      </c>
      <c r="Q4397">
        <v>0</v>
      </c>
      <c r="R4397" t="s">
        <v>47306</v>
      </c>
      <c r="S4397" t="s">
        <v>47414</v>
      </c>
      <c r="T4397" t="s">
        <v>49117</v>
      </c>
      <c r="U4397" t="s">
        <v>53312</v>
      </c>
      <c r="W4397" t="s">
        <v>43704</v>
      </c>
      <c r="X4397" t="s">
        <v>47308</v>
      </c>
    </row>
    <row r="4398" spans="1:24">
      <c r="A4398">
        <f>HYPERLINK("https://www.philgeps.gov.ph/GEPSNONPILOT/Tender/SplashBidNoticeAbstractUI.aspx?menuIndex=3&amp;refID=7196937&amp;Result=3","7196937")</f>
        <v>0</v>
      </c>
      <c r="B4398" t="s">
        <v>899</v>
      </c>
      <c r="C4398" t="s">
        <v>8010</v>
      </c>
      <c r="E4398" t="s">
        <v>23013</v>
      </c>
      <c r="F4398" t="s">
        <v>32606</v>
      </c>
      <c r="G4398" t="s">
        <v>32614</v>
      </c>
      <c r="H4398" t="s">
        <v>14201</v>
      </c>
      <c r="I4398" t="s">
        <v>32652</v>
      </c>
      <c r="J4398" t="s">
        <v>35693</v>
      </c>
      <c r="K4398" t="s">
        <v>42624</v>
      </c>
      <c r="M4398" t="s">
        <v>43836</v>
      </c>
      <c r="N4398" t="s">
        <v>47304</v>
      </c>
      <c r="O4398" t="s">
        <v>47305</v>
      </c>
      <c r="P4398">
        <v>0</v>
      </c>
      <c r="Q4398">
        <v>1</v>
      </c>
      <c r="R4398" t="s">
        <v>47306</v>
      </c>
      <c r="S4398" t="s">
        <v>47414</v>
      </c>
      <c r="T4398" t="s">
        <v>48971</v>
      </c>
      <c r="U4398" t="s">
        <v>53313</v>
      </c>
      <c r="W4398" t="s">
        <v>43836</v>
      </c>
      <c r="X4398" t="s">
        <v>47308</v>
      </c>
    </row>
    <row r="4399" spans="1:24">
      <c r="A4399">
        <f>HYPERLINK("https://www.philgeps.gov.ph/GEPSNONPILOT/Tender/SplashBidNoticeAbstractUI.aspx?menuIndex=3&amp;refID=7196925&amp;Result=3","7196925")</f>
        <v>0</v>
      </c>
      <c r="B4399" t="s">
        <v>1028</v>
      </c>
      <c r="C4399" t="s">
        <v>8011</v>
      </c>
      <c r="D4399" t="s">
        <v>19008</v>
      </c>
      <c r="E4399" t="s">
        <v>23014</v>
      </c>
      <c r="F4399" t="s">
        <v>32606</v>
      </c>
      <c r="G4399" t="s">
        <v>32613</v>
      </c>
      <c r="H4399" t="s">
        <v>14201</v>
      </c>
      <c r="I4399" t="s">
        <v>32626</v>
      </c>
      <c r="J4399" t="s">
        <v>35694</v>
      </c>
      <c r="K4399" t="s">
        <v>42631</v>
      </c>
      <c r="M4399" t="s">
        <v>43981</v>
      </c>
      <c r="N4399" t="s">
        <v>47304</v>
      </c>
      <c r="O4399" t="s">
        <v>47305</v>
      </c>
      <c r="P4399">
        <v>0</v>
      </c>
      <c r="Q4399">
        <v>1</v>
      </c>
      <c r="R4399" t="s">
        <v>47306</v>
      </c>
      <c r="S4399" t="s">
        <v>47414</v>
      </c>
      <c r="T4399" t="s">
        <v>49066</v>
      </c>
      <c r="U4399" t="s">
        <v>53314</v>
      </c>
      <c r="W4399" t="s">
        <v>43981</v>
      </c>
      <c r="X4399" t="s">
        <v>47308</v>
      </c>
    </row>
    <row r="4400" spans="1:24">
      <c r="A4400">
        <f>HYPERLINK("https://www.philgeps.gov.ph/GEPSNONPILOT/Tender/SplashBidNoticeAbstractUI.aspx?menuIndex=3&amp;refID=7196926&amp;Result=3","7196926")</f>
        <v>0</v>
      </c>
      <c r="B4400" t="s">
        <v>1015</v>
      </c>
      <c r="C4400" t="s">
        <v>8012</v>
      </c>
      <c r="D4400" t="s">
        <v>18988</v>
      </c>
      <c r="E4400" t="s">
        <v>23015</v>
      </c>
      <c r="F4400" t="s">
        <v>32606</v>
      </c>
      <c r="G4400" t="s">
        <v>32614</v>
      </c>
      <c r="H4400" t="s">
        <v>14201</v>
      </c>
      <c r="I4400" t="s">
        <v>32631</v>
      </c>
      <c r="J4400" t="s">
        <v>35695</v>
      </c>
      <c r="K4400" t="s">
        <v>42624</v>
      </c>
      <c r="M4400" t="s">
        <v>43963</v>
      </c>
      <c r="N4400" t="s">
        <v>47304</v>
      </c>
      <c r="O4400" t="s">
        <v>47305</v>
      </c>
      <c r="P4400">
        <v>0</v>
      </c>
      <c r="Q4400">
        <v>0</v>
      </c>
      <c r="R4400" t="s">
        <v>47306</v>
      </c>
      <c r="S4400" t="s">
        <v>47414</v>
      </c>
      <c r="T4400" t="s">
        <v>48979</v>
      </c>
      <c r="U4400" t="s">
        <v>53315</v>
      </c>
      <c r="W4400" t="s">
        <v>43963</v>
      </c>
      <c r="X4400" t="s">
        <v>47308</v>
      </c>
    </row>
    <row r="4401" spans="1:24">
      <c r="A4401">
        <f>HYPERLINK("https://www.philgeps.gov.ph/GEPSNONPILOT/Tender/SplashBidNoticeAbstractUI.aspx?menuIndex=3&amp;refID=7196972&amp;Result=3","7196972")</f>
        <v>0</v>
      </c>
      <c r="B4401" t="s">
        <v>89</v>
      </c>
      <c r="C4401" t="s">
        <v>8013</v>
      </c>
      <c r="D4401" t="s">
        <v>19018</v>
      </c>
      <c r="E4401" t="s">
        <v>23016</v>
      </c>
      <c r="F4401" t="s">
        <v>32606</v>
      </c>
      <c r="G4401" t="s">
        <v>32613</v>
      </c>
      <c r="H4401" t="s">
        <v>14201</v>
      </c>
      <c r="I4401" t="s">
        <v>6993</v>
      </c>
      <c r="J4401" t="s">
        <v>33148</v>
      </c>
      <c r="K4401" t="s">
        <v>42631</v>
      </c>
      <c r="M4401" t="s">
        <v>42987</v>
      </c>
      <c r="N4401" t="s">
        <v>47304</v>
      </c>
      <c r="O4401" t="s">
        <v>47305</v>
      </c>
      <c r="P4401">
        <v>0</v>
      </c>
      <c r="Q4401">
        <v>0</v>
      </c>
      <c r="R4401" t="s">
        <v>47306</v>
      </c>
      <c r="S4401" t="s">
        <v>47414</v>
      </c>
      <c r="T4401" t="s">
        <v>49008</v>
      </c>
      <c r="U4401" t="s">
        <v>53316</v>
      </c>
      <c r="W4401" t="s">
        <v>42987</v>
      </c>
      <c r="X4401" t="s">
        <v>47308</v>
      </c>
    </row>
    <row r="4402" spans="1:24">
      <c r="A4402">
        <f>HYPERLINK("https://www.philgeps.gov.ph/GEPSNONPILOT/Tender/SplashBidNoticeAbstractUI.aspx?menuIndex=3&amp;refID=7196969&amp;Result=3","7196969")</f>
        <v>0</v>
      </c>
      <c r="B4402" t="s">
        <v>899</v>
      </c>
      <c r="C4402" t="s">
        <v>8014</v>
      </c>
      <c r="E4402" t="s">
        <v>23017</v>
      </c>
      <c r="F4402" t="s">
        <v>32606</v>
      </c>
      <c r="G4402" t="s">
        <v>32614</v>
      </c>
      <c r="H4402" t="s">
        <v>14201</v>
      </c>
      <c r="I4402" t="s">
        <v>32652</v>
      </c>
      <c r="J4402" t="s">
        <v>35140</v>
      </c>
      <c r="K4402" t="s">
        <v>42624</v>
      </c>
      <c r="M4402" t="s">
        <v>43836</v>
      </c>
      <c r="N4402" t="s">
        <v>47304</v>
      </c>
      <c r="O4402" t="s">
        <v>47305</v>
      </c>
      <c r="P4402">
        <v>0</v>
      </c>
      <c r="Q4402">
        <v>1</v>
      </c>
      <c r="R4402" t="s">
        <v>47306</v>
      </c>
      <c r="S4402" t="s">
        <v>47414</v>
      </c>
      <c r="T4402" t="s">
        <v>48971</v>
      </c>
      <c r="U4402" t="s">
        <v>53317</v>
      </c>
      <c r="W4402" t="s">
        <v>43836</v>
      </c>
      <c r="X4402" t="s">
        <v>47308</v>
      </c>
    </row>
    <row r="4403" spans="1:24">
      <c r="A4403">
        <f>HYPERLINK("https://www.philgeps.gov.ph/GEPSNONPILOT/Tender/SplashBidNoticeAbstractUI.aspx?menuIndex=3&amp;refID=7196929&amp;Result=3","7196929")</f>
        <v>0</v>
      </c>
      <c r="B4403" t="s">
        <v>1649</v>
      </c>
      <c r="C4403" t="s">
        <v>8015</v>
      </c>
      <c r="D4403" t="s">
        <v>19068</v>
      </c>
      <c r="E4403" t="s">
        <v>23018</v>
      </c>
      <c r="F4403" t="s">
        <v>32606</v>
      </c>
      <c r="G4403" t="s">
        <v>32613</v>
      </c>
      <c r="H4403" t="s">
        <v>14201</v>
      </c>
      <c r="I4403" t="s">
        <v>6931</v>
      </c>
      <c r="J4403" t="s">
        <v>35696</v>
      </c>
      <c r="K4403" t="s">
        <v>42631</v>
      </c>
      <c r="M4403" t="s">
        <v>44673</v>
      </c>
      <c r="N4403" t="s">
        <v>47304</v>
      </c>
      <c r="O4403" t="s">
        <v>47305</v>
      </c>
      <c r="P4403">
        <v>0</v>
      </c>
      <c r="Q4403">
        <v>0</v>
      </c>
      <c r="R4403" t="s">
        <v>47306</v>
      </c>
      <c r="S4403" t="s">
        <v>47414</v>
      </c>
      <c r="T4403" t="s">
        <v>49285</v>
      </c>
      <c r="U4403" t="s">
        <v>53318</v>
      </c>
      <c r="W4403" t="s">
        <v>44673</v>
      </c>
      <c r="X4403" t="s">
        <v>47308</v>
      </c>
    </row>
    <row r="4404" spans="1:24">
      <c r="A4404">
        <f>HYPERLINK("https://www.philgeps.gov.ph/GEPSNONPILOT/Tender/SplashBidNoticeAbstractUI.aspx?menuIndex=3&amp;refID=7196968&amp;Result=3","7196968")</f>
        <v>0</v>
      </c>
      <c r="B4404" t="s">
        <v>1527</v>
      </c>
      <c r="C4404" t="s">
        <v>8016</v>
      </c>
      <c r="D4404" t="s">
        <v>19056</v>
      </c>
      <c r="E4404" t="s">
        <v>23019</v>
      </c>
      <c r="F4404" t="s">
        <v>32606</v>
      </c>
      <c r="G4404" t="s">
        <v>32613</v>
      </c>
      <c r="H4404" t="s">
        <v>32623</v>
      </c>
      <c r="I4404" t="s">
        <v>17648</v>
      </c>
      <c r="J4404" t="s">
        <v>35368</v>
      </c>
      <c r="K4404" t="s">
        <v>42646</v>
      </c>
      <c r="M4404" t="s">
        <v>44528</v>
      </c>
      <c r="N4404" t="s">
        <v>47304</v>
      </c>
      <c r="O4404" t="s">
        <v>47305</v>
      </c>
      <c r="P4404">
        <v>0</v>
      </c>
      <c r="Q4404">
        <v>0</v>
      </c>
      <c r="R4404" t="s">
        <v>47306</v>
      </c>
      <c r="S4404" t="s">
        <v>47414</v>
      </c>
      <c r="T4404" t="s">
        <v>48973</v>
      </c>
      <c r="U4404" t="s">
        <v>53319</v>
      </c>
      <c r="V4404" t="s">
        <v>63073</v>
      </c>
      <c r="W4404" t="s">
        <v>44528</v>
      </c>
      <c r="X4404" t="s">
        <v>47308</v>
      </c>
    </row>
    <row r="4405" spans="1:24">
      <c r="A4405">
        <f>HYPERLINK("https://www.philgeps.gov.ph/GEPSNONPILOT/Tender/SplashBidNoticeAbstractUI.aspx?menuIndex=3&amp;refID=7196967&amp;Result=3","7196967")</f>
        <v>0</v>
      </c>
      <c r="B4405" t="s">
        <v>1650</v>
      </c>
      <c r="C4405" t="s">
        <v>8017</v>
      </c>
      <c r="D4405" t="s">
        <v>19004</v>
      </c>
      <c r="E4405" t="s">
        <v>23020</v>
      </c>
      <c r="F4405" t="s">
        <v>32606</v>
      </c>
      <c r="G4405" t="s">
        <v>32613</v>
      </c>
      <c r="H4405" t="s">
        <v>32625</v>
      </c>
      <c r="I4405" t="s">
        <v>32705</v>
      </c>
      <c r="J4405" t="s">
        <v>35697</v>
      </c>
      <c r="K4405" t="s">
        <v>42714</v>
      </c>
      <c r="M4405" t="s">
        <v>44674</v>
      </c>
      <c r="N4405" t="s">
        <v>47304</v>
      </c>
      <c r="O4405" t="s">
        <v>47305</v>
      </c>
      <c r="P4405">
        <v>0</v>
      </c>
      <c r="Q4405">
        <v>2</v>
      </c>
      <c r="R4405" t="s">
        <v>47306</v>
      </c>
      <c r="S4405" t="s">
        <v>47414</v>
      </c>
      <c r="T4405" t="s">
        <v>49154</v>
      </c>
      <c r="U4405" t="s">
        <v>53320</v>
      </c>
      <c r="W4405" t="s">
        <v>44674</v>
      </c>
      <c r="X4405" t="s">
        <v>47308</v>
      </c>
    </row>
    <row r="4406" spans="1:24">
      <c r="A4406">
        <f>HYPERLINK("https://www.philgeps.gov.ph/GEPSNONPILOT/Tender/SplashBidNoticeAbstractUI.aspx?menuIndex=3&amp;refID=7196906&amp;Result=3","7196906")</f>
        <v>0</v>
      </c>
      <c r="B4406" t="s">
        <v>1637</v>
      </c>
      <c r="C4406" t="s">
        <v>8018</v>
      </c>
      <c r="D4406" t="s">
        <v>19005</v>
      </c>
      <c r="E4406" t="s">
        <v>23021</v>
      </c>
      <c r="F4406" t="s">
        <v>32606</v>
      </c>
      <c r="G4406" t="s">
        <v>32614</v>
      </c>
      <c r="H4406" t="s">
        <v>14201</v>
      </c>
      <c r="I4406" t="s">
        <v>4114</v>
      </c>
      <c r="J4406" t="s">
        <v>35183</v>
      </c>
      <c r="K4406" t="s">
        <v>42631</v>
      </c>
      <c r="M4406" t="s">
        <v>44658</v>
      </c>
      <c r="N4406" t="s">
        <v>47304</v>
      </c>
      <c r="O4406" t="s">
        <v>47305</v>
      </c>
      <c r="P4406">
        <v>0</v>
      </c>
      <c r="Q4406">
        <v>0</v>
      </c>
      <c r="R4406" t="s">
        <v>47306</v>
      </c>
      <c r="S4406" t="s">
        <v>47414</v>
      </c>
      <c r="T4406" t="s">
        <v>49050</v>
      </c>
      <c r="U4406" t="s">
        <v>53321</v>
      </c>
      <c r="W4406" t="s">
        <v>44658</v>
      </c>
      <c r="X4406" t="s">
        <v>47308</v>
      </c>
    </row>
    <row r="4407" spans="1:24">
      <c r="A4407">
        <f>HYPERLINK("https://www.philgeps.gov.ph/GEPSNONPILOT/Tender/SplashBidNoticeAbstractUI.aspx?menuIndex=3&amp;refID=7196964&amp;Result=3","7196964")</f>
        <v>0</v>
      </c>
      <c r="B4407" t="s">
        <v>444</v>
      </c>
      <c r="C4407" t="s">
        <v>8019</v>
      </c>
      <c r="D4407" t="s">
        <v>19006</v>
      </c>
      <c r="E4407" t="s">
        <v>23022</v>
      </c>
      <c r="F4407" t="s">
        <v>32606</v>
      </c>
      <c r="G4407" t="s">
        <v>32613</v>
      </c>
      <c r="H4407" t="s">
        <v>14201</v>
      </c>
      <c r="I4407" t="s">
        <v>7677</v>
      </c>
      <c r="J4407" t="s">
        <v>35698</v>
      </c>
      <c r="K4407" t="s">
        <v>42631</v>
      </c>
      <c r="M4407" t="s">
        <v>43352</v>
      </c>
      <c r="N4407" t="s">
        <v>47304</v>
      </c>
      <c r="O4407" t="s">
        <v>47305</v>
      </c>
      <c r="P4407">
        <v>0</v>
      </c>
      <c r="Q4407">
        <v>4</v>
      </c>
      <c r="R4407" t="s">
        <v>47306</v>
      </c>
      <c r="S4407" t="s">
        <v>47414</v>
      </c>
      <c r="T4407" t="s">
        <v>49218</v>
      </c>
      <c r="U4407" t="s">
        <v>53322</v>
      </c>
      <c r="W4407" t="s">
        <v>43352</v>
      </c>
      <c r="X4407" t="s">
        <v>47308</v>
      </c>
    </row>
    <row r="4408" spans="1:24">
      <c r="A4408">
        <f>HYPERLINK("https://www.philgeps.gov.ph/GEPSNONPILOT/Tender/SplashBidNoticeAbstractUI.aspx?menuIndex=3&amp;refID=7196970&amp;Result=3","7196970")</f>
        <v>0</v>
      </c>
      <c r="B4408" t="s">
        <v>1634</v>
      </c>
      <c r="C4408" t="s">
        <v>8020</v>
      </c>
      <c r="D4408" t="s">
        <v>19019</v>
      </c>
      <c r="E4408" t="s">
        <v>23023</v>
      </c>
      <c r="F4408" t="s">
        <v>32606</v>
      </c>
      <c r="G4408" t="s">
        <v>32613</v>
      </c>
      <c r="H4408" t="s">
        <v>14201</v>
      </c>
      <c r="I4408" t="s">
        <v>32647</v>
      </c>
      <c r="J4408" t="s">
        <v>35699</v>
      </c>
      <c r="K4408" t="s">
        <v>42636</v>
      </c>
      <c r="M4408" t="s">
        <v>44654</v>
      </c>
      <c r="N4408" t="s">
        <v>47304</v>
      </c>
      <c r="O4408" t="s">
        <v>47305</v>
      </c>
      <c r="P4408">
        <v>0</v>
      </c>
      <c r="Q4408">
        <v>0</v>
      </c>
      <c r="R4408" t="s">
        <v>47306</v>
      </c>
      <c r="S4408" t="s">
        <v>47414</v>
      </c>
      <c r="T4408" t="s">
        <v>49139</v>
      </c>
      <c r="U4408" t="s">
        <v>53323</v>
      </c>
      <c r="W4408" t="s">
        <v>44654</v>
      </c>
      <c r="X4408" t="s">
        <v>47308</v>
      </c>
    </row>
    <row r="4409" spans="1:24">
      <c r="A4409">
        <f>HYPERLINK("https://www.philgeps.gov.ph/GEPSNONPILOT/Tender/SplashBidNoticeAbstractUI.aspx?menuIndex=3&amp;refID=7196963&amp;Result=3","7196963")</f>
        <v>0</v>
      </c>
      <c r="B4409" t="s">
        <v>928</v>
      </c>
      <c r="C4409" t="s">
        <v>8021</v>
      </c>
      <c r="D4409" t="s">
        <v>19027</v>
      </c>
      <c r="E4409" t="s">
        <v>23024</v>
      </c>
      <c r="F4409" t="s">
        <v>32606</v>
      </c>
      <c r="G4409" t="s">
        <v>32614</v>
      </c>
      <c r="H4409" t="s">
        <v>14201</v>
      </c>
      <c r="I4409" t="s">
        <v>4114</v>
      </c>
      <c r="J4409" t="s">
        <v>35700</v>
      </c>
      <c r="K4409" t="s">
        <v>42623</v>
      </c>
      <c r="M4409" t="s">
        <v>43868</v>
      </c>
      <c r="N4409" t="s">
        <v>47304</v>
      </c>
      <c r="O4409" t="s">
        <v>47305</v>
      </c>
      <c r="P4409">
        <v>0</v>
      </c>
      <c r="Q4409">
        <v>6</v>
      </c>
      <c r="R4409" t="s">
        <v>47306</v>
      </c>
      <c r="S4409" t="s">
        <v>47414</v>
      </c>
      <c r="T4409" t="s">
        <v>48980</v>
      </c>
      <c r="U4409" t="s">
        <v>53324</v>
      </c>
      <c r="W4409" t="s">
        <v>43868</v>
      </c>
      <c r="X4409" t="s">
        <v>47308</v>
      </c>
    </row>
    <row r="4410" spans="1:24">
      <c r="A4410">
        <f>HYPERLINK("https://www.philgeps.gov.ph/GEPSNONPILOT/Tender/SplashBidNoticeAbstractUI.aspx?menuIndex=3&amp;refID=7196961&amp;Result=3","7196961")</f>
        <v>0</v>
      </c>
      <c r="B4410" t="s">
        <v>899</v>
      </c>
      <c r="C4410" t="s">
        <v>8022</v>
      </c>
      <c r="E4410" t="s">
        <v>23025</v>
      </c>
      <c r="F4410" t="s">
        <v>32606</v>
      </c>
      <c r="G4410" t="s">
        <v>32614</v>
      </c>
      <c r="H4410" t="s">
        <v>14201</v>
      </c>
      <c r="I4410" t="s">
        <v>32652</v>
      </c>
      <c r="J4410" t="s">
        <v>35226</v>
      </c>
      <c r="K4410" t="s">
        <v>42624</v>
      </c>
      <c r="M4410" t="s">
        <v>43836</v>
      </c>
      <c r="N4410" t="s">
        <v>47304</v>
      </c>
      <c r="O4410" t="s">
        <v>47305</v>
      </c>
      <c r="P4410">
        <v>0</v>
      </c>
      <c r="Q4410">
        <v>1</v>
      </c>
      <c r="R4410" t="s">
        <v>47306</v>
      </c>
      <c r="S4410" t="s">
        <v>47414</v>
      </c>
      <c r="T4410" t="s">
        <v>48971</v>
      </c>
      <c r="U4410" t="s">
        <v>53325</v>
      </c>
      <c r="W4410" t="s">
        <v>43836</v>
      </c>
      <c r="X4410" t="s">
        <v>47308</v>
      </c>
    </row>
    <row r="4411" spans="1:24">
      <c r="A4411">
        <f>HYPERLINK("https://www.philgeps.gov.ph/GEPSNONPILOT/Tender/SplashBidNoticeAbstractUI.aspx?menuIndex=3&amp;refID=7196905&amp;Result=3","7196905")</f>
        <v>0</v>
      </c>
      <c r="B4411" t="s">
        <v>1268</v>
      </c>
      <c r="C4411" t="s">
        <v>8023</v>
      </c>
      <c r="D4411" t="s">
        <v>18991</v>
      </c>
      <c r="E4411" t="s">
        <v>20716</v>
      </c>
      <c r="F4411" t="s">
        <v>32606</v>
      </c>
      <c r="G4411" t="s">
        <v>32619</v>
      </c>
      <c r="H4411" t="s">
        <v>14201</v>
      </c>
      <c r="I4411" t="s">
        <v>4114</v>
      </c>
      <c r="J4411" t="s">
        <v>35701</v>
      </c>
      <c r="K4411" t="s">
        <v>42629</v>
      </c>
      <c r="M4411" t="s">
        <v>44236</v>
      </c>
      <c r="N4411" t="s">
        <v>47304</v>
      </c>
      <c r="O4411" t="s">
        <v>47305</v>
      </c>
      <c r="P4411">
        <v>0</v>
      </c>
      <c r="Q4411">
        <v>3</v>
      </c>
      <c r="R4411" t="s">
        <v>47306</v>
      </c>
      <c r="S4411" t="s">
        <v>47414</v>
      </c>
      <c r="T4411" t="s">
        <v>48979</v>
      </c>
      <c r="U4411" t="s">
        <v>53326</v>
      </c>
      <c r="W4411" t="s">
        <v>44236</v>
      </c>
      <c r="X4411" t="s">
        <v>47308</v>
      </c>
    </row>
    <row r="4412" spans="1:24">
      <c r="A4412">
        <f>HYPERLINK("https://www.philgeps.gov.ph/GEPSNONPILOT/Tender/SplashBidNoticeAbstractUI.aspx?menuIndex=3&amp;refID=7196966&amp;Result=3","7196966")</f>
        <v>0</v>
      </c>
      <c r="B4412" t="s">
        <v>258</v>
      </c>
      <c r="C4412" t="s">
        <v>8024</v>
      </c>
      <c r="D4412" t="s">
        <v>19038</v>
      </c>
      <c r="E4412" t="s">
        <v>23026</v>
      </c>
      <c r="F4412" t="s">
        <v>32606</v>
      </c>
      <c r="G4412" t="s">
        <v>32614</v>
      </c>
      <c r="H4412" t="s">
        <v>14201</v>
      </c>
      <c r="I4412" t="s">
        <v>6298</v>
      </c>
      <c r="J4412" t="s">
        <v>33075</v>
      </c>
      <c r="K4412" t="s">
        <v>42623</v>
      </c>
      <c r="M4412" t="s">
        <v>43159</v>
      </c>
      <c r="N4412" t="s">
        <v>47304</v>
      </c>
      <c r="O4412" t="s">
        <v>47305</v>
      </c>
      <c r="P4412">
        <v>0</v>
      </c>
      <c r="Q4412">
        <v>1</v>
      </c>
      <c r="R4412" t="s">
        <v>47306</v>
      </c>
      <c r="S4412" t="s">
        <v>47414</v>
      </c>
      <c r="T4412" t="s">
        <v>48988</v>
      </c>
      <c r="U4412" t="s">
        <v>53327</v>
      </c>
      <c r="W4412" t="s">
        <v>43159</v>
      </c>
      <c r="X4412" t="s">
        <v>47308</v>
      </c>
    </row>
    <row r="4413" spans="1:24">
      <c r="A4413">
        <f>HYPERLINK("https://www.philgeps.gov.ph/GEPSNONPILOT/Tender/SplashBidNoticeAbstractUI.aspx?menuIndex=3&amp;refID=7196993&amp;Result=3","7196993")</f>
        <v>0</v>
      </c>
      <c r="B4413" t="s">
        <v>928</v>
      </c>
      <c r="C4413" t="s">
        <v>8025</v>
      </c>
      <c r="D4413" t="s">
        <v>19027</v>
      </c>
      <c r="E4413" t="s">
        <v>23027</v>
      </c>
      <c r="F4413" t="s">
        <v>32606</v>
      </c>
      <c r="G4413" t="s">
        <v>32614</v>
      </c>
      <c r="H4413" t="s">
        <v>14201</v>
      </c>
      <c r="I4413" t="s">
        <v>32638</v>
      </c>
      <c r="J4413" t="s">
        <v>35702</v>
      </c>
      <c r="K4413" t="s">
        <v>42623</v>
      </c>
      <c r="M4413" t="s">
        <v>43868</v>
      </c>
      <c r="N4413" t="s">
        <v>47304</v>
      </c>
      <c r="O4413" t="s">
        <v>47305</v>
      </c>
      <c r="P4413">
        <v>0</v>
      </c>
      <c r="Q4413">
        <v>10</v>
      </c>
      <c r="R4413" t="s">
        <v>47306</v>
      </c>
      <c r="S4413" t="s">
        <v>47414</v>
      </c>
      <c r="T4413" t="s">
        <v>48980</v>
      </c>
      <c r="U4413" t="s">
        <v>53328</v>
      </c>
      <c r="W4413" t="s">
        <v>43868</v>
      </c>
      <c r="X4413" t="s">
        <v>47308</v>
      </c>
    </row>
    <row r="4414" spans="1:24">
      <c r="A4414">
        <f>HYPERLINK("https://www.philgeps.gov.ph/GEPSNONPILOT/Tender/SplashBidNoticeAbstractUI.aspx?menuIndex=3&amp;refID=7196965&amp;Result=3","7196965")</f>
        <v>0</v>
      </c>
      <c r="B4414" t="s">
        <v>1601</v>
      </c>
      <c r="C4414" t="s">
        <v>8026</v>
      </c>
      <c r="D4414" t="s">
        <v>19039</v>
      </c>
      <c r="E4414" t="s">
        <v>23028</v>
      </c>
      <c r="F4414" t="s">
        <v>32606</v>
      </c>
      <c r="G4414" t="s">
        <v>32619</v>
      </c>
      <c r="H4414" t="s">
        <v>14201</v>
      </c>
      <c r="I4414" t="s">
        <v>32663</v>
      </c>
      <c r="J4414" t="s">
        <v>35703</v>
      </c>
      <c r="K4414" t="s">
        <v>42636</v>
      </c>
      <c r="M4414" t="s">
        <v>44617</v>
      </c>
      <c r="N4414" t="s">
        <v>47304</v>
      </c>
      <c r="O4414" t="s">
        <v>47305</v>
      </c>
      <c r="P4414">
        <v>0</v>
      </c>
      <c r="Q4414">
        <v>0</v>
      </c>
      <c r="R4414" t="s">
        <v>47306</v>
      </c>
      <c r="S4414" t="s">
        <v>47414</v>
      </c>
      <c r="T4414" t="s">
        <v>49257</v>
      </c>
      <c r="U4414" t="s">
        <v>53329</v>
      </c>
      <c r="W4414" t="s">
        <v>44617</v>
      </c>
      <c r="X4414" t="s">
        <v>47308</v>
      </c>
    </row>
    <row r="4415" spans="1:24">
      <c r="A4415">
        <f>HYPERLINK("https://www.philgeps.gov.ph/GEPSNONPILOT/Tender/SplashBidNoticeAbstractUI.aspx?menuIndex=3&amp;refID=7196962&amp;Result=3","7196962")</f>
        <v>0</v>
      </c>
      <c r="B4415" t="s">
        <v>828</v>
      </c>
      <c r="C4415" t="s">
        <v>8027</v>
      </c>
      <c r="D4415" t="s">
        <v>19030</v>
      </c>
      <c r="E4415" t="s">
        <v>23029</v>
      </c>
      <c r="F4415" t="s">
        <v>32606</v>
      </c>
      <c r="G4415" t="s">
        <v>32613</v>
      </c>
      <c r="H4415" t="s">
        <v>14201</v>
      </c>
      <c r="I4415" t="s">
        <v>4112</v>
      </c>
      <c r="J4415" t="s">
        <v>34667</v>
      </c>
      <c r="K4415" t="s">
        <v>42630</v>
      </c>
      <c r="M4415" t="s">
        <v>43759</v>
      </c>
      <c r="N4415" t="s">
        <v>47304</v>
      </c>
      <c r="O4415" t="s">
        <v>47305</v>
      </c>
      <c r="P4415">
        <v>0</v>
      </c>
      <c r="Q4415">
        <v>0</v>
      </c>
      <c r="R4415" t="s">
        <v>47306</v>
      </c>
      <c r="S4415" t="s">
        <v>47414</v>
      </c>
      <c r="T4415" t="s">
        <v>48990</v>
      </c>
      <c r="U4415" t="s">
        <v>53330</v>
      </c>
      <c r="V4415" t="s">
        <v>63074</v>
      </c>
      <c r="W4415" t="s">
        <v>43759</v>
      </c>
      <c r="X4415" t="s">
        <v>47308</v>
      </c>
    </row>
    <row r="4416" spans="1:24">
      <c r="A4416">
        <f>HYPERLINK("https://www.philgeps.gov.ph/GEPSNONPILOT/Tender/SplashBidNoticeAbstractUI.aspx?menuIndex=3&amp;refID=7196990&amp;Result=3","7196990")</f>
        <v>0</v>
      </c>
      <c r="B4416" t="s">
        <v>899</v>
      </c>
      <c r="C4416" t="s">
        <v>8028</v>
      </c>
      <c r="E4416" t="s">
        <v>23030</v>
      </c>
      <c r="F4416" t="s">
        <v>32606</v>
      </c>
      <c r="G4416" t="s">
        <v>32614</v>
      </c>
      <c r="H4416" t="s">
        <v>14201</v>
      </c>
      <c r="I4416" t="s">
        <v>32652</v>
      </c>
      <c r="J4416" t="s">
        <v>35226</v>
      </c>
      <c r="K4416" t="s">
        <v>42624</v>
      </c>
      <c r="M4416" t="s">
        <v>43836</v>
      </c>
      <c r="N4416" t="s">
        <v>47304</v>
      </c>
      <c r="O4416" t="s">
        <v>47305</v>
      </c>
      <c r="P4416">
        <v>0</v>
      </c>
      <c r="Q4416">
        <v>1</v>
      </c>
      <c r="R4416" t="s">
        <v>47306</v>
      </c>
      <c r="S4416" t="s">
        <v>47414</v>
      </c>
      <c r="T4416" t="s">
        <v>48971</v>
      </c>
      <c r="U4416" t="s">
        <v>53331</v>
      </c>
      <c r="W4416" t="s">
        <v>43836</v>
      </c>
      <c r="X4416" t="s">
        <v>47308</v>
      </c>
    </row>
    <row r="4417" spans="1:24">
      <c r="A4417">
        <f>HYPERLINK("https://www.philgeps.gov.ph/GEPSNONPILOT/Tender/SplashBidNoticeAbstractUI.aspx?menuIndex=3&amp;refID=7196989&amp;Result=3","7196989")</f>
        <v>0</v>
      </c>
      <c r="B4417" t="s">
        <v>1045</v>
      </c>
      <c r="C4417" t="s">
        <v>8029</v>
      </c>
      <c r="D4417" t="s">
        <v>18995</v>
      </c>
      <c r="E4417" t="s">
        <v>23031</v>
      </c>
      <c r="F4417" t="s">
        <v>32606</v>
      </c>
      <c r="G4417" t="s">
        <v>32614</v>
      </c>
      <c r="H4417" t="s">
        <v>14201</v>
      </c>
      <c r="I4417" t="s">
        <v>32650</v>
      </c>
      <c r="J4417" t="s">
        <v>35704</v>
      </c>
      <c r="K4417" t="s">
        <v>42631</v>
      </c>
      <c r="M4417" t="s">
        <v>43998</v>
      </c>
      <c r="N4417" t="s">
        <v>47304</v>
      </c>
      <c r="O4417" t="s">
        <v>47305</v>
      </c>
      <c r="P4417">
        <v>0</v>
      </c>
      <c r="Q4417">
        <v>0</v>
      </c>
      <c r="R4417" t="s">
        <v>47306</v>
      </c>
      <c r="S4417" t="s">
        <v>47414</v>
      </c>
      <c r="T4417" t="s">
        <v>48979</v>
      </c>
      <c r="U4417" t="s">
        <v>53332</v>
      </c>
      <c r="W4417" t="s">
        <v>43998</v>
      </c>
      <c r="X4417" t="s">
        <v>47308</v>
      </c>
    </row>
    <row r="4418" spans="1:24">
      <c r="A4418">
        <f>HYPERLINK("https://www.philgeps.gov.ph/GEPSNONPILOT/Tender/SplashBidNoticeAbstractUI.aspx?menuIndex=3&amp;refID=7196987&amp;Result=3","7196987")</f>
        <v>0</v>
      </c>
      <c r="B4418" t="s">
        <v>1651</v>
      </c>
      <c r="C4418" t="s">
        <v>8030</v>
      </c>
      <c r="D4418" t="s">
        <v>19028</v>
      </c>
      <c r="E4418" t="s">
        <v>23032</v>
      </c>
      <c r="F4418" t="s">
        <v>32606</v>
      </c>
      <c r="G4418" t="s">
        <v>32613</v>
      </c>
      <c r="H4418" t="s">
        <v>14201</v>
      </c>
      <c r="I4418" t="s">
        <v>4369</v>
      </c>
      <c r="J4418" t="s">
        <v>35705</v>
      </c>
      <c r="K4418" t="s">
        <v>42623</v>
      </c>
      <c r="M4418" t="s">
        <v>44675</v>
      </c>
      <c r="N4418" t="s">
        <v>47304</v>
      </c>
      <c r="O4418" t="s">
        <v>47305</v>
      </c>
      <c r="P4418">
        <v>0</v>
      </c>
      <c r="Q4418">
        <v>4</v>
      </c>
      <c r="R4418" t="s">
        <v>47306</v>
      </c>
      <c r="S4418" t="s">
        <v>47414</v>
      </c>
      <c r="T4418" t="s">
        <v>48995</v>
      </c>
      <c r="U4418" t="s">
        <v>53333</v>
      </c>
      <c r="W4418" t="s">
        <v>44675</v>
      </c>
      <c r="X4418" t="s">
        <v>47308</v>
      </c>
    </row>
    <row r="4419" spans="1:24">
      <c r="A4419">
        <f>HYPERLINK("https://www.philgeps.gov.ph/GEPSNONPILOT/Tender/SplashBidNoticeAbstractUI.aspx?menuIndex=3&amp;refID=7196992&amp;Result=3","7196992")</f>
        <v>0</v>
      </c>
      <c r="B4419" t="s">
        <v>1652</v>
      </c>
      <c r="C4419" t="s">
        <v>8031</v>
      </c>
      <c r="D4419" t="s">
        <v>19011</v>
      </c>
      <c r="E4419" t="s">
        <v>23033</v>
      </c>
      <c r="F4419" t="s">
        <v>32606</v>
      </c>
      <c r="G4419" t="s">
        <v>32614</v>
      </c>
      <c r="H4419" t="s">
        <v>14201</v>
      </c>
      <c r="I4419" t="s">
        <v>32669</v>
      </c>
      <c r="J4419" t="s">
        <v>33291</v>
      </c>
      <c r="K4419" t="s">
        <v>42663</v>
      </c>
      <c r="M4419" t="s">
        <v>44676</v>
      </c>
      <c r="N4419" t="s">
        <v>47304</v>
      </c>
      <c r="O4419" t="s">
        <v>47305</v>
      </c>
      <c r="P4419">
        <v>0</v>
      </c>
      <c r="Q4419">
        <v>1</v>
      </c>
      <c r="R4419" t="s">
        <v>47306</v>
      </c>
      <c r="S4419" t="s">
        <v>47414</v>
      </c>
      <c r="T4419" t="s">
        <v>49061</v>
      </c>
      <c r="U4419" t="s">
        <v>53334</v>
      </c>
      <c r="W4419" t="s">
        <v>44676</v>
      </c>
      <c r="X4419" t="s">
        <v>47308</v>
      </c>
    </row>
    <row r="4420" spans="1:24">
      <c r="A4420">
        <f>HYPERLINK("https://www.philgeps.gov.ph/GEPSNONPILOT/Tender/SplashBidNoticeAbstractUI.aspx?menuIndex=3&amp;refID=7196986&amp;Result=3","7196986")</f>
        <v>0</v>
      </c>
      <c r="B4420" t="s">
        <v>1380</v>
      </c>
      <c r="C4420" t="s">
        <v>6007</v>
      </c>
      <c r="D4420" t="s">
        <v>19014</v>
      </c>
      <c r="E4420" t="s">
        <v>23034</v>
      </c>
      <c r="F4420" t="s">
        <v>32606</v>
      </c>
      <c r="G4420" t="s">
        <v>32614</v>
      </c>
      <c r="H4420" t="s">
        <v>14201</v>
      </c>
      <c r="I4420" t="s">
        <v>6007</v>
      </c>
      <c r="J4420" t="s">
        <v>35706</v>
      </c>
      <c r="K4420" t="s">
        <v>42674</v>
      </c>
      <c r="M4420" t="s">
        <v>44362</v>
      </c>
      <c r="N4420" t="s">
        <v>47304</v>
      </c>
      <c r="O4420" t="s">
        <v>47305</v>
      </c>
      <c r="P4420">
        <v>0</v>
      </c>
      <c r="Q4420">
        <v>0</v>
      </c>
      <c r="R4420" t="s">
        <v>47306</v>
      </c>
      <c r="S4420" t="s">
        <v>47414</v>
      </c>
      <c r="T4420" t="s">
        <v>48980</v>
      </c>
      <c r="U4420" t="s">
        <v>53335</v>
      </c>
      <c r="W4420" t="s">
        <v>44362</v>
      </c>
      <c r="X4420" t="s">
        <v>47308</v>
      </c>
    </row>
    <row r="4421" spans="1:24">
      <c r="A4421">
        <f>HYPERLINK("https://www.philgeps.gov.ph/GEPSNONPILOT/Tender/SplashBidNoticeAbstractUI.aspx?menuIndex=3&amp;refID=7196991&amp;Result=3","7196991")</f>
        <v>0</v>
      </c>
      <c r="B4421" t="s">
        <v>1653</v>
      </c>
      <c r="C4421" t="s">
        <v>8032</v>
      </c>
      <c r="D4421" t="s">
        <v>19056</v>
      </c>
      <c r="E4421" t="s">
        <v>20240</v>
      </c>
      <c r="F4421" t="s">
        <v>32606</v>
      </c>
      <c r="G4421" t="s">
        <v>32613</v>
      </c>
      <c r="H4421" t="s">
        <v>32623</v>
      </c>
      <c r="I4421" t="s">
        <v>17648</v>
      </c>
      <c r="J4421" t="s">
        <v>35707</v>
      </c>
      <c r="K4421" t="s">
        <v>42655</v>
      </c>
      <c r="M4421" t="s">
        <v>44677</v>
      </c>
      <c r="N4421" t="s">
        <v>47304</v>
      </c>
      <c r="O4421" t="s">
        <v>47305</v>
      </c>
      <c r="P4421">
        <v>0</v>
      </c>
      <c r="Q4421">
        <v>1</v>
      </c>
      <c r="R4421" t="s">
        <v>47306</v>
      </c>
      <c r="S4421" t="s">
        <v>47414</v>
      </c>
      <c r="T4421" t="s">
        <v>48983</v>
      </c>
      <c r="U4421" t="s">
        <v>53336</v>
      </c>
      <c r="W4421" t="s">
        <v>44677</v>
      </c>
      <c r="X4421" t="s">
        <v>47308</v>
      </c>
    </row>
    <row r="4422" spans="1:24">
      <c r="A4422">
        <f>HYPERLINK("https://www.philgeps.gov.ph/GEPSNONPILOT/Tender/SplashBidNoticeAbstractUI.aspx?menuIndex=3&amp;refID=7196983&amp;Result=3","7196983")</f>
        <v>0</v>
      </c>
      <c r="B4422" t="s">
        <v>1268</v>
      </c>
      <c r="C4422" t="s">
        <v>8033</v>
      </c>
      <c r="D4422" t="s">
        <v>18991</v>
      </c>
      <c r="E4422" t="s">
        <v>20733</v>
      </c>
      <c r="F4422" t="s">
        <v>32606</v>
      </c>
      <c r="G4422" t="s">
        <v>32619</v>
      </c>
      <c r="H4422" t="s">
        <v>14201</v>
      </c>
      <c r="I4422" t="s">
        <v>4114</v>
      </c>
      <c r="J4422" t="s">
        <v>35708</v>
      </c>
      <c r="K4422" t="s">
        <v>42629</v>
      </c>
      <c r="M4422" t="s">
        <v>44236</v>
      </c>
      <c r="N4422" t="s">
        <v>47304</v>
      </c>
      <c r="O4422" t="s">
        <v>47305</v>
      </c>
      <c r="P4422">
        <v>0</v>
      </c>
      <c r="Q4422">
        <v>2</v>
      </c>
      <c r="R4422" t="s">
        <v>47306</v>
      </c>
      <c r="S4422" t="s">
        <v>47414</v>
      </c>
      <c r="T4422" t="s">
        <v>48979</v>
      </c>
      <c r="U4422" t="s">
        <v>53337</v>
      </c>
      <c r="W4422" t="s">
        <v>44236</v>
      </c>
      <c r="X4422" t="s">
        <v>47308</v>
      </c>
    </row>
    <row r="4423" spans="1:24">
      <c r="A4423">
        <f>HYPERLINK("https://www.philgeps.gov.ph/GEPSNONPILOT/Tender/SplashBidNoticeAbstractUI.aspx?menuIndex=3&amp;refID=7196988&amp;Result=3","7196988")</f>
        <v>0</v>
      </c>
      <c r="B4423" t="s">
        <v>444</v>
      </c>
      <c r="C4423" t="s">
        <v>8034</v>
      </c>
      <c r="D4423" t="s">
        <v>19006</v>
      </c>
      <c r="E4423" t="s">
        <v>23035</v>
      </c>
      <c r="F4423" t="s">
        <v>32606</v>
      </c>
      <c r="G4423" t="s">
        <v>32613</v>
      </c>
      <c r="H4423" t="s">
        <v>14201</v>
      </c>
      <c r="I4423" t="s">
        <v>7677</v>
      </c>
      <c r="J4423" t="s">
        <v>35709</v>
      </c>
      <c r="K4423" t="s">
        <v>42631</v>
      </c>
      <c r="M4423" t="s">
        <v>43352</v>
      </c>
      <c r="N4423" t="s">
        <v>47304</v>
      </c>
      <c r="O4423" t="s">
        <v>47305</v>
      </c>
      <c r="P4423">
        <v>0</v>
      </c>
      <c r="Q4423">
        <v>3</v>
      </c>
      <c r="R4423" t="s">
        <v>47306</v>
      </c>
      <c r="S4423" t="s">
        <v>47414</v>
      </c>
      <c r="T4423" t="s">
        <v>49218</v>
      </c>
      <c r="U4423" t="s">
        <v>53338</v>
      </c>
      <c r="W4423" t="s">
        <v>43352</v>
      </c>
      <c r="X4423" t="s">
        <v>47308</v>
      </c>
    </row>
    <row r="4424" spans="1:24">
      <c r="A4424">
        <f>HYPERLINK("https://www.philgeps.gov.ph/GEPSNONPILOT/Tender/SplashBidNoticeAbstractUI.aspx?menuIndex=3&amp;refID=7196924&amp;Result=3","7196924")</f>
        <v>0</v>
      </c>
      <c r="B4424" t="s">
        <v>581</v>
      </c>
      <c r="C4424" t="s">
        <v>8035</v>
      </c>
      <c r="D4424" t="s">
        <v>19036</v>
      </c>
      <c r="E4424" t="s">
        <v>23036</v>
      </c>
      <c r="F4424" t="s">
        <v>32606</v>
      </c>
      <c r="G4424" t="s">
        <v>32614</v>
      </c>
      <c r="H4424" t="s">
        <v>14201</v>
      </c>
      <c r="I4424" t="s">
        <v>32640</v>
      </c>
      <c r="J4424" t="s">
        <v>33034</v>
      </c>
      <c r="K4424" t="s">
        <v>42631</v>
      </c>
      <c r="M4424" t="s">
        <v>43496</v>
      </c>
      <c r="N4424" t="s">
        <v>47304</v>
      </c>
      <c r="O4424" t="s">
        <v>47305</v>
      </c>
      <c r="P4424">
        <v>0</v>
      </c>
      <c r="Q4424">
        <v>0</v>
      </c>
      <c r="R4424" t="s">
        <v>47306</v>
      </c>
      <c r="S4424" t="s">
        <v>47414</v>
      </c>
      <c r="T4424" t="s">
        <v>49050</v>
      </c>
      <c r="U4424" t="s">
        <v>53339</v>
      </c>
      <c r="W4424" t="s">
        <v>43496</v>
      </c>
      <c r="X4424" t="s">
        <v>47308</v>
      </c>
    </row>
    <row r="4425" spans="1:24">
      <c r="A4425">
        <f>HYPERLINK("https://www.philgeps.gov.ph/GEPSNONPILOT/Tender/SplashBidNoticeAbstractUI.aspx?menuIndex=3&amp;refID=7196980&amp;Result=3","7196980")</f>
        <v>0</v>
      </c>
      <c r="B4425" t="s">
        <v>1654</v>
      </c>
      <c r="C4425" t="s">
        <v>8036</v>
      </c>
      <c r="D4425" t="s">
        <v>19011</v>
      </c>
      <c r="E4425" t="s">
        <v>23037</v>
      </c>
      <c r="F4425" t="s">
        <v>32606</v>
      </c>
      <c r="G4425" t="s">
        <v>32613</v>
      </c>
      <c r="H4425" t="s">
        <v>14201</v>
      </c>
      <c r="I4425" t="s">
        <v>32658</v>
      </c>
      <c r="J4425" t="s">
        <v>35710</v>
      </c>
      <c r="K4425" t="s">
        <v>42624</v>
      </c>
      <c r="M4425" t="s">
        <v>44678</v>
      </c>
      <c r="N4425" t="s">
        <v>47304</v>
      </c>
      <c r="O4425" t="s">
        <v>47305</v>
      </c>
      <c r="P4425">
        <v>0</v>
      </c>
      <c r="Q4425">
        <v>4</v>
      </c>
      <c r="R4425" t="s">
        <v>47306</v>
      </c>
      <c r="S4425" t="s">
        <v>47414</v>
      </c>
      <c r="T4425" t="s">
        <v>49009</v>
      </c>
      <c r="U4425" t="s">
        <v>53340</v>
      </c>
      <c r="W4425" t="s">
        <v>44678</v>
      </c>
      <c r="X4425" t="s">
        <v>47308</v>
      </c>
    </row>
    <row r="4426" spans="1:24">
      <c r="A4426">
        <f>HYPERLINK("https://www.philgeps.gov.ph/GEPSNONPILOT/Tender/SplashBidNoticeAbstractUI.aspx?menuIndex=3&amp;refID=7196919&amp;Result=3","7196919")</f>
        <v>0</v>
      </c>
      <c r="B4426" t="s">
        <v>1653</v>
      </c>
      <c r="C4426" t="s">
        <v>8037</v>
      </c>
      <c r="D4426" t="s">
        <v>19056</v>
      </c>
      <c r="E4426" t="s">
        <v>20176</v>
      </c>
      <c r="F4426" t="s">
        <v>32606</v>
      </c>
      <c r="G4426" t="s">
        <v>32613</v>
      </c>
      <c r="H4426" t="s">
        <v>32623</v>
      </c>
      <c r="I4426" t="s">
        <v>17648</v>
      </c>
      <c r="J4426" t="s">
        <v>35711</v>
      </c>
      <c r="K4426" t="s">
        <v>42722</v>
      </c>
      <c r="M4426" t="s">
        <v>44677</v>
      </c>
      <c r="N4426" t="s">
        <v>47304</v>
      </c>
      <c r="O4426" t="s">
        <v>47305</v>
      </c>
      <c r="P4426">
        <v>0</v>
      </c>
      <c r="Q4426">
        <v>1</v>
      </c>
      <c r="R4426" t="s">
        <v>47306</v>
      </c>
      <c r="S4426" t="s">
        <v>47414</v>
      </c>
      <c r="T4426" t="s">
        <v>48983</v>
      </c>
      <c r="U4426" t="s">
        <v>53341</v>
      </c>
      <c r="W4426" t="s">
        <v>44677</v>
      </c>
      <c r="X4426" t="s">
        <v>47308</v>
      </c>
    </row>
    <row r="4427" spans="1:24">
      <c r="A4427">
        <f>HYPERLINK("https://www.philgeps.gov.ph/GEPSNONPILOT/Tender/SplashBidNoticeAbstractUI.aspx?menuIndex=3&amp;refID=7196934&amp;Result=3","7196934")</f>
        <v>0</v>
      </c>
      <c r="B4427" t="s">
        <v>1193</v>
      </c>
      <c r="C4427" t="s">
        <v>8038</v>
      </c>
      <c r="D4427" t="s">
        <v>19007</v>
      </c>
      <c r="E4427" t="s">
        <v>23038</v>
      </c>
      <c r="F4427" t="s">
        <v>32606</v>
      </c>
      <c r="G4427" t="s">
        <v>32613</v>
      </c>
      <c r="H4427" t="s">
        <v>14201</v>
      </c>
      <c r="I4427" t="s">
        <v>32652</v>
      </c>
      <c r="J4427" t="s">
        <v>32861</v>
      </c>
      <c r="K4427" t="s">
        <v>42624</v>
      </c>
      <c r="M4427" t="s">
        <v>44560</v>
      </c>
      <c r="N4427" t="s">
        <v>47304</v>
      </c>
      <c r="O4427" t="s">
        <v>47305</v>
      </c>
      <c r="P4427">
        <v>0</v>
      </c>
      <c r="Q4427">
        <v>6</v>
      </c>
      <c r="R4427" t="s">
        <v>47306</v>
      </c>
      <c r="S4427" t="s">
        <v>47414</v>
      </c>
      <c r="T4427" t="s">
        <v>49029</v>
      </c>
      <c r="U4427" t="s">
        <v>53342</v>
      </c>
      <c r="W4427" t="s">
        <v>44560</v>
      </c>
      <c r="X4427" t="s">
        <v>47308</v>
      </c>
    </row>
    <row r="4428" spans="1:24">
      <c r="A4428">
        <f>HYPERLINK("https://www.philgeps.gov.ph/GEPSNONPILOT/Tender/SplashBidNoticeAbstractUI.aspx?menuIndex=3&amp;refID=7196976&amp;Result=3","7196976")</f>
        <v>0</v>
      </c>
      <c r="B4428" t="s">
        <v>101</v>
      </c>
      <c r="C4428" t="s">
        <v>8039</v>
      </c>
      <c r="D4428" t="s">
        <v>18993</v>
      </c>
      <c r="E4428" t="s">
        <v>23039</v>
      </c>
      <c r="F4428" t="s">
        <v>32606</v>
      </c>
      <c r="G4428" t="s">
        <v>32617</v>
      </c>
      <c r="H4428" t="s">
        <v>14201</v>
      </c>
      <c r="I4428" t="s">
        <v>4678</v>
      </c>
      <c r="J4428" t="s">
        <v>35712</v>
      </c>
      <c r="K4428" t="s">
        <v>42631</v>
      </c>
      <c r="M4428" t="s">
        <v>44679</v>
      </c>
      <c r="N4428" t="s">
        <v>47304</v>
      </c>
      <c r="O4428" t="s">
        <v>47305</v>
      </c>
      <c r="P4428">
        <v>0</v>
      </c>
      <c r="Q4428">
        <v>4</v>
      </c>
      <c r="R4428" t="s">
        <v>47306</v>
      </c>
      <c r="S4428" t="s">
        <v>47414</v>
      </c>
      <c r="T4428" t="s">
        <v>48980</v>
      </c>
      <c r="U4428" t="s">
        <v>49695</v>
      </c>
      <c r="W4428" t="s">
        <v>44679</v>
      </c>
      <c r="X4428" t="s">
        <v>47308</v>
      </c>
    </row>
    <row r="4429" spans="1:24">
      <c r="A4429">
        <f>HYPERLINK("https://www.philgeps.gov.ph/GEPSNONPILOT/Tender/SplashBidNoticeAbstractUI.aspx?menuIndex=3&amp;refID=7196982&amp;Result=3","7196982")</f>
        <v>0</v>
      </c>
      <c r="B4429" t="s">
        <v>1655</v>
      </c>
      <c r="C4429" t="s">
        <v>8040</v>
      </c>
      <c r="D4429" t="s">
        <v>19030</v>
      </c>
      <c r="E4429" t="s">
        <v>23040</v>
      </c>
      <c r="F4429" t="s">
        <v>32606</v>
      </c>
      <c r="G4429" t="s">
        <v>32614</v>
      </c>
      <c r="H4429" t="s">
        <v>14201</v>
      </c>
      <c r="I4429" t="s">
        <v>32632</v>
      </c>
      <c r="J4429" t="s">
        <v>34914</v>
      </c>
      <c r="K4429" t="s">
        <v>42623</v>
      </c>
      <c r="M4429" t="s">
        <v>44680</v>
      </c>
      <c r="N4429" t="s">
        <v>47304</v>
      </c>
      <c r="O4429" t="s">
        <v>47305</v>
      </c>
      <c r="P4429">
        <v>0</v>
      </c>
      <c r="Q4429">
        <v>1</v>
      </c>
      <c r="R4429" t="s">
        <v>47306</v>
      </c>
      <c r="S4429" t="s">
        <v>47414</v>
      </c>
      <c r="T4429" t="s">
        <v>48979</v>
      </c>
      <c r="U4429" t="s">
        <v>53343</v>
      </c>
      <c r="W4429" t="s">
        <v>44680</v>
      </c>
      <c r="X4429" t="s">
        <v>47308</v>
      </c>
    </row>
    <row r="4430" spans="1:24">
      <c r="A4430">
        <f>HYPERLINK("https://www.philgeps.gov.ph/GEPSNONPILOT/Tender/SplashBidNoticeAbstractUI.aspx?menuIndex=3&amp;refID=7196975&amp;Result=3","7196975")</f>
        <v>0</v>
      </c>
      <c r="B4430" t="s">
        <v>1656</v>
      </c>
      <c r="C4430" t="s">
        <v>8041</v>
      </c>
      <c r="D4430" t="s">
        <v>19052</v>
      </c>
      <c r="E4430" t="s">
        <v>23041</v>
      </c>
      <c r="F4430" t="s">
        <v>32606</v>
      </c>
      <c r="G4430" t="s">
        <v>32613</v>
      </c>
      <c r="H4430" t="s">
        <v>32623</v>
      </c>
      <c r="I4430" t="s">
        <v>32683</v>
      </c>
      <c r="J4430" t="s">
        <v>35713</v>
      </c>
      <c r="K4430" t="s">
        <v>42648</v>
      </c>
      <c r="M4430" t="s">
        <v>44681</v>
      </c>
      <c r="N4430" t="s">
        <v>47304</v>
      </c>
      <c r="O4430" t="s">
        <v>47305</v>
      </c>
      <c r="P4430">
        <v>0</v>
      </c>
      <c r="Q4430">
        <v>0</v>
      </c>
      <c r="R4430" t="s">
        <v>47306</v>
      </c>
      <c r="S4430" t="s">
        <v>47414</v>
      </c>
      <c r="T4430" t="s">
        <v>49136</v>
      </c>
      <c r="U4430" t="s">
        <v>53344</v>
      </c>
      <c r="W4430" t="s">
        <v>44681</v>
      </c>
      <c r="X4430" t="s">
        <v>47308</v>
      </c>
    </row>
    <row r="4431" spans="1:24">
      <c r="A4431">
        <f>HYPERLINK("https://www.philgeps.gov.ph/GEPSNONPILOT/Tender/SplashBidNoticeAbstractUI.aspx?menuIndex=3&amp;refID=7196984&amp;Result=3","7196984")</f>
        <v>0</v>
      </c>
      <c r="B4431" t="s">
        <v>1360</v>
      </c>
      <c r="C4431" t="s">
        <v>8042</v>
      </c>
      <c r="D4431" t="s">
        <v>19042</v>
      </c>
      <c r="E4431" t="s">
        <v>23042</v>
      </c>
      <c r="F4431" t="s">
        <v>32606</v>
      </c>
      <c r="G4431" t="s">
        <v>32614</v>
      </c>
      <c r="H4431" t="s">
        <v>14201</v>
      </c>
      <c r="I4431" t="s">
        <v>6298</v>
      </c>
      <c r="J4431" t="s">
        <v>35714</v>
      </c>
      <c r="K4431" t="s">
        <v>42623</v>
      </c>
      <c r="M4431" t="s">
        <v>44336</v>
      </c>
      <c r="N4431" t="s">
        <v>47304</v>
      </c>
      <c r="O4431" t="s">
        <v>47305</v>
      </c>
      <c r="P4431">
        <v>0</v>
      </c>
      <c r="Q4431">
        <v>0</v>
      </c>
      <c r="R4431" t="s">
        <v>47306</v>
      </c>
      <c r="S4431" t="s">
        <v>47414</v>
      </c>
      <c r="T4431" t="s">
        <v>49011</v>
      </c>
      <c r="U4431" t="s">
        <v>53088</v>
      </c>
      <c r="W4431" t="s">
        <v>44336</v>
      </c>
      <c r="X4431" t="s">
        <v>47308</v>
      </c>
    </row>
    <row r="4432" spans="1:24">
      <c r="A4432">
        <f>HYPERLINK("https://www.philgeps.gov.ph/GEPSNONPILOT/Tender/SplashBidNoticeAbstractUI.aspx?menuIndex=3&amp;refID=7196979&amp;Result=3","7196979")</f>
        <v>0</v>
      </c>
      <c r="B4432" t="s">
        <v>1637</v>
      </c>
      <c r="C4432" t="s">
        <v>8043</v>
      </c>
      <c r="D4432" t="s">
        <v>19005</v>
      </c>
      <c r="E4432" t="s">
        <v>23043</v>
      </c>
      <c r="F4432" t="s">
        <v>32606</v>
      </c>
      <c r="G4432" t="s">
        <v>32614</v>
      </c>
      <c r="H4432" t="s">
        <v>14201</v>
      </c>
      <c r="I4432" t="s">
        <v>6993</v>
      </c>
      <c r="J4432" t="s">
        <v>34527</v>
      </c>
      <c r="K4432" t="s">
        <v>42631</v>
      </c>
      <c r="M4432" t="s">
        <v>44658</v>
      </c>
      <c r="N4432" t="s">
        <v>47304</v>
      </c>
      <c r="O4432" t="s">
        <v>47305</v>
      </c>
      <c r="P4432">
        <v>0</v>
      </c>
      <c r="Q4432">
        <v>0</v>
      </c>
      <c r="R4432" t="s">
        <v>47306</v>
      </c>
      <c r="S4432" t="s">
        <v>47414</v>
      </c>
      <c r="T4432" t="s">
        <v>49050</v>
      </c>
      <c r="U4432" t="s">
        <v>53345</v>
      </c>
      <c r="W4432" t="s">
        <v>44658</v>
      </c>
      <c r="X4432" t="s">
        <v>47308</v>
      </c>
    </row>
    <row r="4433" spans="1:24">
      <c r="A4433">
        <f>HYPERLINK("https://www.philgeps.gov.ph/GEPSNONPILOT/Tender/SplashBidNoticeAbstractUI.aspx?menuIndex=3&amp;refID=7196959&amp;Result=3","7196959")</f>
        <v>0</v>
      </c>
      <c r="B4433" t="s">
        <v>899</v>
      </c>
      <c r="C4433" t="s">
        <v>8044</v>
      </c>
      <c r="E4433" t="s">
        <v>23044</v>
      </c>
      <c r="F4433" t="s">
        <v>32606</v>
      </c>
      <c r="G4433" t="s">
        <v>32613</v>
      </c>
      <c r="H4433" t="s">
        <v>14201</v>
      </c>
      <c r="I4433" t="s">
        <v>32633</v>
      </c>
      <c r="J4433" t="s">
        <v>32789</v>
      </c>
      <c r="K4433" t="s">
        <v>42624</v>
      </c>
      <c r="M4433" t="s">
        <v>44667</v>
      </c>
      <c r="N4433" t="s">
        <v>47304</v>
      </c>
      <c r="O4433" t="s">
        <v>47305</v>
      </c>
      <c r="P4433">
        <v>0</v>
      </c>
      <c r="Q4433">
        <v>6</v>
      </c>
      <c r="R4433" t="s">
        <v>47306</v>
      </c>
      <c r="S4433" t="s">
        <v>47414</v>
      </c>
      <c r="T4433" t="s">
        <v>49017</v>
      </c>
      <c r="U4433" t="s">
        <v>53294</v>
      </c>
      <c r="W4433" t="s">
        <v>44667</v>
      </c>
      <c r="X4433" t="s">
        <v>47308</v>
      </c>
    </row>
    <row r="4434" spans="1:24">
      <c r="A4434">
        <f>HYPERLINK("https://www.philgeps.gov.ph/GEPSNONPILOT/Tender/SplashBidNoticeAbstractUI.aspx?menuIndex=3&amp;refID=7196958&amp;Result=3","7196958")</f>
        <v>0</v>
      </c>
      <c r="B4434" t="s">
        <v>1238</v>
      </c>
      <c r="C4434" t="s">
        <v>8045</v>
      </c>
      <c r="D4434" t="s">
        <v>19022</v>
      </c>
      <c r="E4434" t="s">
        <v>23045</v>
      </c>
      <c r="F4434" t="s">
        <v>32606</v>
      </c>
      <c r="G4434" t="s">
        <v>32613</v>
      </c>
      <c r="H4434" t="s">
        <v>14201</v>
      </c>
      <c r="I4434" t="s">
        <v>6931</v>
      </c>
      <c r="J4434" t="s">
        <v>35715</v>
      </c>
      <c r="K4434" t="s">
        <v>42627</v>
      </c>
      <c r="M4434" t="s">
        <v>44203</v>
      </c>
      <c r="N4434" t="s">
        <v>47304</v>
      </c>
      <c r="O4434" t="s">
        <v>47305</v>
      </c>
      <c r="P4434">
        <v>0</v>
      </c>
      <c r="Q4434">
        <v>0</v>
      </c>
      <c r="R4434" t="s">
        <v>47306</v>
      </c>
      <c r="S4434" t="s">
        <v>47414</v>
      </c>
      <c r="T4434" t="s">
        <v>49023</v>
      </c>
      <c r="U4434" t="s">
        <v>53346</v>
      </c>
      <c r="W4434" t="s">
        <v>44203</v>
      </c>
      <c r="X4434" t="s">
        <v>47308</v>
      </c>
    </row>
    <row r="4435" spans="1:24">
      <c r="A4435">
        <f>HYPERLINK("https://www.philgeps.gov.ph/GEPSNONPILOT/Tender/SplashBidNoticeAbstractUI.aspx?menuIndex=3&amp;refID=7196957&amp;Result=3","7196957")</f>
        <v>0</v>
      </c>
      <c r="B4435" t="s">
        <v>1380</v>
      </c>
      <c r="C4435" t="s">
        <v>7410</v>
      </c>
      <c r="D4435" t="s">
        <v>19014</v>
      </c>
      <c r="E4435" t="s">
        <v>23046</v>
      </c>
      <c r="F4435" t="s">
        <v>32606</v>
      </c>
      <c r="G4435" t="s">
        <v>32614</v>
      </c>
      <c r="H4435" t="s">
        <v>14201</v>
      </c>
      <c r="I4435" t="s">
        <v>32655</v>
      </c>
      <c r="J4435" t="s">
        <v>33594</v>
      </c>
      <c r="K4435" t="s">
        <v>42622</v>
      </c>
      <c r="M4435" t="s">
        <v>44362</v>
      </c>
      <c r="N4435" t="s">
        <v>47304</v>
      </c>
      <c r="O4435" t="s">
        <v>47305</v>
      </c>
      <c r="P4435">
        <v>0</v>
      </c>
      <c r="Q4435">
        <v>8</v>
      </c>
      <c r="R4435" t="s">
        <v>47306</v>
      </c>
      <c r="S4435" t="s">
        <v>47414</v>
      </c>
      <c r="T4435" t="s">
        <v>48980</v>
      </c>
      <c r="U4435" t="s">
        <v>53347</v>
      </c>
      <c r="W4435" t="s">
        <v>44362</v>
      </c>
      <c r="X4435" t="s">
        <v>47308</v>
      </c>
    </row>
    <row r="4436" spans="1:24">
      <c r="A4436">
        <f>HYPERLINK("https://www.philgeps.gov.ph/GEPSNONPILOT/Tender/SplashBidNoticeAbstractUI.aspx?menuIndex=3&amp;refID=7197014&amp;Result=3","7197014")</f>
        <v>0</v>
      </c>
      <c r="B4436" t="s">
        <v>1238</v>
      </c>
      <c r="C4436" t="s">
        <v>8046</v>
      </c>
      <c r="D4436" t="s">
        <v>19022</v>
      </c>
      <c r="E4436" t="s">
        <v>23047</v>
      </c>
      <c r="F4436" t="s">
        <v>32606</v>
      </c>
      <c r="G4436" t="s">
        <v>32613</v>
      </c>
      <c r="H4436" t="s">
        <v>14201</v>
      </c>
      <c r="I4436" t="s">
        <v>6931</v>
      </c>
      <c r="J4436" t="s">
        <v>35241</v>
      </c>
      <c r="K4436" t="s">
        <v>42627</v>
      </c>
      <c r="M4436" t="s">
        <v>44203</v>
      </c>
      <c r="N4436" t="s">
        <v>47304</v>
      </c>
      <c r="O4436" t="s">
        <v>47305</v>
      </c>
      <c r="P4436">
        <v>0</v>
      </c>
      <c r="Q4436">
        <v>0</v>
      </c>
      <c r="R4436" t="s">
        <v>47306</v>
      </c>
      <c r="S4436" t="s">
        <v>47414</v>
      </c>
      <c r="T4436" t="s">
        <v>49023</v>
      </c>
      <c r="U4436" t="s">
        <v>53346</v>
      </c>
      <c r="W4436" t="s">
        <v>44203</v>
      </c>
      <c r="X4436" t="s">
        <v>47308</v>
      </c>
    </row>
    <row r="4437" spans="1:24">
      <c r="A4437">
        <f>HYPERLINK("https://www.philgeps.gov.ph/GEPSNONPILOT/Tender/SplashBidNoticeAbstractUI.aspx?menuIndex=3&amp;refID=7196974&amp;Result=3","7196974")</f>
        <v>0</v>
      </c>
      <c r="B4437" t="s">
        <v>1327</v>
      </c>
      <c r="C4437" t="s">
        <v>8047</v>
      </c>
      <c r="D4437" t="s">
        <v>19018</v>
      </c>
      <c r="E4437" t="s">
        <v>19120</v>
      </c>
      <c r="F4437" t="s">
        <v>32606</v>
      </c>
      <c r="G4437" t="s">
        <v>32614</v>
      </c>
      <c r="H4437" t="s">
        <v>14201</v>
      </c>
      <c r="I4437" t="s">
        <v>6931</v>
      </c>
      <c r="J4437" t="s">
        <v>35716</v>
      </c>
      <c r="K4437" t="s">
        <v>42630</v>
      </c>
      <c r="M4437" t="s">
        <v>44301</v>
      </c>
      <c r="N4437" t="s">
        <v>47304</v>
      </c>
      <c r="O4437" t="s">
        <v>47305</v>
      </c>
      <c r="P4437">
        <v>0</v>
      </c>
      <c r="Q4437">
        <v>0</v>
      </c>
      <c r="R4437" t="s">
        <v>47306</v>
      </c>
      <c r="S4437" t="s">
        <v>47414</v>
      </c>
      <c r="T4437" t="s">
        <v>49050</v>
      </c>
      <c r="U4437" t="s">
        <v>52315</v>
      </c>
      <c r="W4437" t="s">
        <v>44301</v>
      </c>
      <c r="X4437" t="s">
        <v>47308</v>
      </c>
    </row>
    <row r="4438" spans="1:24">
      <c r="A4438">
        <f>HYPERLINK("https://www.philgeps.gov.ph/GEPSNONPILOT/Tender/SplashBidNoticeAbstractUI.aspx?menuIndex=3&amp;refID=7197012&amp;Result=3","7197012")</f>
        <v>0</v>
      </c>
      <c r="B4438" t="s">
        <v>1657</v>
      </c>
      <c r="C4438" t="s">
        <v>6089</v>
      </c>
      <c r="D4438" t="s">
        <v>19019</v>
      </c>
      <c r="E4438" t="s">
        <v>23048</v>
      </c>
      <c r="F4438" t="s">
        <v>32606</v>
      </c>
      <c r="G4438" t="s">
        <v>32615</v>
      </c>
      <c r="H4438" t="s">
        <v>14201</v>
      </c>
      <c r="I4438" t="s">
        <v>32632</v>
      </c>
      <c r="J4438" t="s">
        <v>35717</v>
      </c>
      <c r="K4438" t="s">
        <v>42632</v>
      </c>
      <c r="M4438" t="s">
        <v>44682</v>
      </c>
      <c r="N4438" t="s">
        <v>47304</v>
      </c>
      <c r="O4438" t="s">
        <v>47305</v>
      </c>
      <c r="P4438">
        <v>0</v>
      </c>
      <c r="Q4438">
        <v>3</v>
      </c>
      <c r="R4438" t="s">
        <v>47306</v>
      </c>
      <c r="S4438" t="s">
        <v>47414</v>
      </c>
      <c r="T4438" t="s">
        <v>49004</v>
      </c>
      <c r="U4438" t="s">
        <v>53348</v>
      </c>
      <c r="W4438" t="s">
        <v>44682</v>
      </c>
      <c r="X4438" t="s">
        <v>47308</v>
      </c>
    </row>
    <row r="4439" spans="1:24">
      <c r="A4439">
        <f>HYPERLINK("https://www.philgeps.gov.ph/GEPSNONPILOT/Tender/SplashBidNoticeAbstractUI.aspx?menuIndex=3&amp;refID=7197011&amp;Result=3","7197011")</f>
        <v>0</v>
      </c>
      <c r="B4439" t="s">
        <v>1063</v>
      </c>
      <c r="C4439" t="s">
        <v>8048</v>
      </c>
      <c r="D4439" t="s">
        <v>18997</v>
      </c>
      <c r="E4439" t="s">
        <v>23049</v>
      </c>
      <c r="F4439" t="s">
        <v>32606</v>
      </c>
      <c r="G4439" t="s">
        <v>32614</v>
      </c>
      <c r="H4439" t="s">
        <v>14201</v>
      </c>
      <c r="I4439" t="s">
        <v>5233</v>
      </c>
      <c r="J4439" t="s">
        <v>35718</v>
      </c>
      <c r="K4439" t="s">
        <v>42629</v>
      </c>
      <c r="M4439" t="s">
        <v>44016</v>
      </c>
      <c r="N4439" t="s">
        <v>47304</v>
      </c>
      <c r="O4439" t="s">
        <v>47305</v>
      </c>
      <c r="P4439">
        <v>0</v>
      </c>
      <c r="Q4439">
        <v>0</v>
      </c>
      <c r="R4439" t="s">
        <v>47306</v>
      </c>
      <c r="S4439" t="s">
        <v>47414</v>
      </c>
      <c r="T4439" t="s">
        <v>48979</v>
      </c>
      <c r="U4439" t="s">
        <v>53349</v>
      </c>
      <c r="W4439" t="s">
        <v>44016</v>
      </c>
      <c r="X4439" t="s">
        <v>47308</v>
      </c>
    </row>
    <row r="4440" spans="1:24">
      <c r="A4440">
        <f>HYPERLINK("https://www.philgeps.gov.ph/GEPSNONPILOT/Tender/SplashBidNoticeAbstractUI.aspx?menuIndex=3&amp;refID=7197010&amp;Result=3","7197010")</f>
        <v>0</v>
      </c>
      <c r="B4440" t="s">
        <v>1568</v>
      </c>
      <c r="C4440" t="s">
        <v>8049</v>
      </c>
      <c r="D4440" t="s">
        <v>18994</v>
      </c>
      <c r="E4440" t="s">
        <v>23050</v>
      </c>
      <c r="F4440" t="s">
        <v>32606</v>
      </c>
      <c r="G4440" t="s">
        <v>32613</v>
      </c>
      <c r="H4440" t="s">
        <v>14201</v>
      </c>
      <c r="I4440" t="s">
        <v>32655</v>
      </c>
      <c r="J4440" t="s">
        <v>35719</v>
      </c>
      <c r="K4440" t="s">
        <v>42636</v>
      </c>
      <c r="M4440" t="s">
        <v>44577</v>
      </c>
      <c r="N4440" t="s">
        <v>47304</v>
      </c>
      <c r="O4440" t="s">
        <v>47305</v>
      </c>
      <c r="P4440">
        <v>0</v>
      </c>
      <c r="Q4440">
        <v>14</v>
      </c>
      <c r="R4440" t="s">
        <v>47306</v>
      </c>
      <c r="S4440" t="s">
        <v>47414</v>
      </c>
      <c r="T4440" t="s">
        <v>48995</v>
      </c>
      <c r="U4440" t="s">
        <v>53350</v>
      </c>
      <c r="V4440" t="s">
        <v>62763</v>
      </c>
      <c r="W4440" t="s">
        <v>44577</v>
      </c>
      <c r="X4440" t="s">
        <v>47308</v>
      </c>
    </row>
    <row r="4441" spans="1:24">
      <c r="A4441">
        <f>HYPERLINK("https://www.philgeps.gov.ph/GEPSNONPILOT/Tender/SplashBidNoticeAbstractUI.aspx?menuIndex=3&amp;refID=7197009&amp;Result=3","7197009")</f>
        <v>0</v>
      </c>
      <c r="B4441" t="s">
        <v>444</v>
      </c>
      <c r="C4441" t="s">
        <v>8050</v>
      </c>
      <c r="D4441" t="s">
        <v>19006</v>
      </c>
      <c r="E4441" t="s">
        <v>23051</v>
      </c>
      <c r="F4441" t="s">
        <v>32606</v>
      </c>
      <c r="G4441" t="s">
        <v>32613</v>
      </c>
      <c r="H4441" t="s">
        <v>14201</v>
      </c>
      <c r="I4441" t="s">
        <v>7677</v>
      </c>
      <c r="J4441" t="s">
        <v>35720</v>
      </c>
      <c r="K4441" t="s">
        <v>42631</v>
      </c>
      <c r="M4441" t="s">
        <v>43352</v>
      </c>
      <c r="N4441" t="s">
        <v>47304</v>
      </c>
      <c r="O4441" t="s">
        <v>47305</v>
      </c>
      <c r="P4441">
        <v>0</v>
      </c>
      <c r="Q4441">
        <v>2</v>
      </c>
      <c r="R4441" t="s">
        <v>47306</v>
      </c>
      <c r="S4441" t="s">
        <v>47414</v>
      </c>
      <c r="T4441" t="s">
        <v>49218</v>
      </c>
      <c r="U4441" t="s">
        <v>53351</v>
      </c>
      <c r="W4441" t="s">
        <v>43352</v>
      </c>
      <c r="X4441" t="s">
        <v>47308</v>
      </c>
    </row>
    <row r="4442" spans="1:24">
      <c r="A4442">
        <f>HYPERLINK("https://www.philgeps.gov.ph/GEPSNONPILOT/Tender/SplashBidNoticeAbstractUI.aspx?menuIndex=3&amp;refID=7197008&amp;Result=3","7197008")</f>
        <v>0</v>
      </c>
      <c r="B4442" t="s">
        <v>101</v>
      </c>
      <c r="C4442" t="s">
        <v>8051</v>
      </c>
      <c r="D4442" t="s">
        <v>18993</v>
      </c>
      <c r="E4442" t="s">
        <v>23052</v>
      </c>
      <c r="F4442" t="s">
        <v>32606</v>
      </c>
      <c r="G4442" t="s">
        <v>32614</v>
      </c>
      <c r="H4442" t="s">
        <v>14201</v>
      </c>
      <c r="I4442" t="s">
        <v>32634</v>
      </c>
      <c r="J4442" t="s">
        <v>35721</v>
      </c>
      <c r="K4442" t="s">
        <v>42631</v>
      </c>
      <c r="M4442" t="s">
        <v>44372</v>
      </c>
      <c r="N4442" t="s">
        <v>47304</v>
      </c>
      <c r="O4442" t="s">
        <v>47305</v>
      </c>
      <c r="P4442">
        <v>0</v>
      </c>
      <c r="Q4442">
        <v>2</v>
      </c>
      <c r="R4442" t="s">
        <v>47306</v>
      </c>
      <c r="S4442" t="s">
        <v>47414</v>
      </c>
      <c r="T4442" t="s">
        <v>48980</v>
      </c>
      <c r="U4442" t="s">
        <v>49738</v>
      </c>
      <c r="W4442" t="s">
        <v>44372</v>
      </c>
      <c r="X4442" t="s">
        <v>47308</v>
      </c>
    </row>
    <row r="4443" spans="1:24">
      <c r="A4443">
        <f>HYPERLINK("https://www.philgeps.gov.ph/GEPSNONPILOT/Tender/SplashBidNoticeAbstractUI.aspx?menuIndex=3&amp;refID=7196973&amp;Result=3","7196973")</f>
        <v>0</v>
      </c>
      <c r="B4443" t="s">
        <v>508</v>
      </c>
      <c r="C4443" t="s">
        <v>8052</v>
      </c>
      <c r="D4443" t="s">
        <v>19018</v>
      </c>
      <c r="E4443" t="s">
        <v>19847</v>
      </c>
      <c r="F4443" t="s">
        <v>32606</v>
      </c>
      <c r="G4443" t="s">
        <v>32614</v>
      </c>
      <c r="H4443" t="s">
        <v>14201</v>
      </c>
      <c r="I4443" t="s">
        <v>32644</v>
      </c>
      <c r="J4443" t="s">
        <v>35722</v>
      </c>
      <c r="K4443" t="s">
        <v>42624</v>
      </c>
      <c r="M4443" t="s">
        <v>43421</v>
      </c>
      <c r="N4443" t="s">
        <v>47304</v>
      </c>
      <c r="O4443" t="s">
        <v>47305</v>
      </c>
      <c r="P4443">
        <v>0</v>
      </c>
      <c r="Q4443">
        <v>1</v>
      </c>
      <c r="R4443" t="s">
        <v>47306</v>
      </c>
      <c r="S4443" t="s">
        <v>47414</v>
      </c>
      <c r="T4443" t="s">
        <v>49014</v>
      </c>
      <c r="U4443" t="s">
        <v>52592</v>
      </c>
      <c r="W4443" t="s">
        <v>43421</v>
      </c>
      <c r="X4443" t="s">
        <v>47308</v>
      </c>
    </row>
    <row r="4444" spans="1:24">
      <c r="A4444">
        <f>HYPERLINK("https://www.philgeps.gov.ph/GEPSNONPILOT/Tender/SplashBidNoticeAbstractUI.aspx?menuIndex=3&amp;refID=7196960&amp;Result=3","7196960")</f>
        <v>0</v>
      </c>
      <c r="B4444" t="s">
        <v>1658</v>
      </c>
      <c r="C4444" t="s">
        <v>8053</v>
      </c>
      <c r="D4444" t="s">
        <v>19023</v>
      </c>
      <c r="E4444" t="s">
        <v>23053</v>
      </c>
      <c r="F4444" t="s">
        <v>32607</v>
      </c>
      <c r="G4444" t="s">
        <v>32614</v>
      </c>
      <c r="H4444" t="s">
        <v>32624</v>
      </c>
      <c r="I4444" t="s">
        <v>32730</v>
      </c>
      <c r="J4444" t="s">
        <v>32828</v>
      </c>
      <c r="K4444" t="s">
        <v>42637</v>
      </c>
      <c r="M4444" t="s">
        <v>44683</v>
      </c>
      <c r="N4444" t="s">
        <v>47304</v>
      </c>
      <c r="O4444" t="s">
        <v>47305</v>
      </c>
      <c r="P4444">
        <v>0</v>
      </c>
      <c r="Q4444">
        <v>0</v>
      </c>
      <c r="R4444" t="s">
        <v>47306</v>
      </c>
      <c r="S4444" t="s">
        <v>47414</v>
      </c>
      <c r="T4444" t="s">
        <v>49219</v>
      </c>
      <c r="U4444" t="s">
        <v>53352</v>
      </c>
      <c r="W4444" t="s">
        <v>44683</v>
      </c>
      <c r="X4444" t="s">
        <v>47308</v>
      </c>
    </row>
    <row r="4445" spans="1:24">
      <c r="A4445">
        <f>HYPERLINK("https://www.philgeps.gov.ph/GEPSNONPILOT/Tender/SplashBidNoticeAbstractUI.aspx?menuIndex=3&amp;refID=7197006&amp;Result=3","7197006")</f>
        <v>0</v>
      </c>
      <c r="B4445" t="s">
        <v>1659</v>
      </c>
      <c r="C4445" t="s">
        <v>8054</v>
      </c>
      <c r="D4445" t="s">
        <v>19008</v>
      </c>
      <c r="E4445" t="s">
        <v>20079</v>
      </c>
      <c r="F4445" t="s">
        <v>32606</v>
      </c>
      <c r="G4445" t="s">
        <v>32613</v>
      </c>
      <c r="H4445" t="s">
        <v>32623</v>
      </c>
      <c r="I4445" t="s">
        <v>17648</v>
      </c>
      <c r="J4445" t="s">
        <v>32778</v>
      </c>
      <c r="K4445" t="s">
        <v>42624</v>
      </c>
      <c r="M4445" t="s">
        <v>44684</v>
      </c>
      <c r="N4445" t="s">
        <v>47304</v>
      </c>
      <c r="O4445" t="s">
        <v>47305</v>
      </c>
      <c r="P4445">
        <v>0</v>
      </c>
      <c r="Q4445">
        <v>0</v>
      </c>
      <c r="R4445" t="s">
        <v>47306</v>
      </c>
      <c r="S4445" t="s">
        <v>47414</v>
      </c>
      <c r="T4445" t="s">
        <v>48987</v>
      </c>
      <c r="U4445" t="s">
        <v>53353</v>
      </c>
      <c r="W4445" t="s">
        <v>44684</v>
      </c>
      <c r="X4445" t="s">
        <v>47308</v>
      </c>
    </row>
    <row r="4446" spans="1:24">
      <c r="A4446">
        <f>HYPERLINK("https://www.philgeps.gov.ph/GEPSNONPILOT/Tender/SplashBidNoticeAbstractUI.aspx?menuIndex=3&amp;refID=7197003&amp;Result=3","7197003")</f>
        <v>0</v>
      </c>
      <c r="B4446" t="s">
        <v>1660</v>
      </c>
      <c r="C4446" t="s">
        <v>8055</v>
      </c>
      <c r="D4446" t="s">
        <v>19011</v>
      </c>
      <c r="E4446" t="s">
        <v>23054</v>
      </c>
      <c r="F4446" t="s">
        <v>32606</v>
      </c>
      <c r="G4446" t="s">
        <v>32613</v>
      </c>
      <c r="H4446" t="s">
        <v>14201</v>
      </c>
      <c r="I4446" t="s">
        <v>32731</v>
      </c>
      <c r="J4446" t="s">
        <v>33800</v>
      </c>
      <c r="K4446" t="s">
        <v>42623</v>
      </c>
      <c r="M4446" t="s">
        <v>44685</v>
      </c>
      <c r="N4446" t="s">
        <v>47304</v>
      </c>
      <c r="O4446" t="s">
        <v>47305</v>
      </c>
      <c r="P4446">
        <v>0</v>
      </c>
      <c r="Q4446">
        <v>0</v>
      </c>
      <c r="R4446" t="s">
        <v>47306</v>
      </c>
      <c r="S4446" t="s">
        <v>47414</v>
      </c>
      <c r="T4446" t="s">
        <v>49153</v>
      </c>
      <c r="U4446" t="s">
        <v>53354</v>
      </c>
      <c r="V4446" t="s">
        <v>63054</v>
      </c>
      <c r="W4446" t="s">
        <v>44685</v>
      </c>
      <c r="X4446" t="s">
        <v>47308</v>
      </c>
    </row>
    <row r="4447" spans="1:24">
      <c r="A4447">
        <f>HYPERLINK("https://www.philgeps.gov.ph/GEPSNONPILOT/Tender/SplashBidNoticeAbstractUI.aspx?menuIndex=3&amp;refID=7196977&amp;Result=3","7196977")</f>
        <v>0</v>
      </c>
      <c r="B4447" t="s">
        <v>899</v>
      </c>
      <c r="C4447" t="s">
        <v>8056</v>
      </c>
      <c r="E4447" t="s">
        <v>23055</v>
      </c>
      <c r="F4447" t="s">
        <v>32606</v>
      </c>
      <c r="G4447" t="s">
        <v>32614</v>
      </c>
      <c r="H4447" t="s">
        <v>14201</v>
      </c>
      <c r="I4447" t="s">
        <v>32652</v>
      </c>
      <c r="J4447" t="s">
        <v>35226</v>
      </c>
      <c r="K4447" t="s">
        <v>42624</v>
      </c>
      <c r="M4447" t="s">
        <v>43836</v>
      </c>
      <c r="N4447" t="s">
        <v>47304</v>
      </c>
      <c r="O4447" t="s">
        <v>47305</v>
      </c>
      <c r="P4447">
        <v>0</v>
      </c>
      <c r="Q4447">
        <v>1</v>
      </c>
      <c r="R4447" t="s">
        <v>47306</v>
      </c>
      <c r="S4447" t="s">
        <v>47414</v>
      </c>
      <c r="T4447" t="s">
        <v>48971</v>
      </c>
      <c r="U4447" t="s">
        <v>53355</v>
      </c>
      <c r="W4447" t="s">
        <v>43836</v>
      </c>
      <c r="X4447" t="s">
        <v>47308</v>
      </c>
    </row>
    <row r="4448" spans="1:24">
      <c r="A4448">
        <f>HYPERLINK("https://www.philgeps.gov.ph/GEPSNONPILOT/Tender/SplashBidNoticeAbstractUI.aspx?menuIndex=3&amp;refID=7197002&amp;Result=3","7197002")</f>
        <v>0</v>
      </c>
      <c r="B4448" t="s">
        <v>1661</v>
      </c>
      <c r="C4448" t="s">
        <v>8057</v>
      </c>
      <c r="D4448" t="s">
        <v>19007</v>
      </c>
      <c r="E4448" t="s">
        <v>19622</v>
      </c>
      <c r="F4448" t="s">
        <v>32606</v>
      </c>
      <c r="G4448" t="s">
        <v>32619</v>
      </c>
      <c r="H4448" t="s">
        <v>14201</v>
      </c>
      <c r="I4448" t="s">
        <v>32631</v>
      </c>
      <c r="J4448" t="s">
        <v>33587</v>
      </c>
      <c r="K4448" t="s">
        <v>42623</v>
      </c>
      <c r="M4448" t="s">
        <v>44686</v>
      </c>
      <c r="N4448" t="s">
        <v>47304</v>
      </c>
      <c r="O4448" t="s">
        <v>47305</v>
      </c>
      <c r="P4448">
        <v>0</v>
      </c>
      <c r="Q4448">
        <v>0</v>
      </c>
      <c r="R4448" t="s">
        <v>47306</v>
      </c>
      <c r="S4448" t="s">
        <v>47414</v>
      </c>
      <c r="T4448" t="s">
        <v>48975</v>
      </c>
      <c r="U4448" t="s">
        <v>53356</v>
      </c>
      <c r="W4448" t="s">
        <v>44686</v>
      </c>
      <c r="X4448" t="s">
        <v>47308</v>
      </c>
    </row>
    <row r="4449" spans="1:24">
      <c r="A4449">
        <f>HYPERLINK("https://www.philgeps.gov.ph/GEPSNONPILOT/Tender/SplashBidNoticeAbstractUI.aspx?menuIndex=3&amp;refID=7197001&amp;Result=3","7197001")</f>
        <v>0</v>
      </c>
      <c r="B4449" t="s">
        <v>1028</v>
      </c>
      <c r="C4449" t="s">
        <v>8058</v>
      </c>
      <c r="D4449" t="s">
        <v>19008</v>
      </c>
      <c r="E4449" t="s">
        <v>23056</v>
      </c>
      <c r="F4449" t="s">
        <v>32606</v>
      </c>
      <c r="G4449" t="s">
        <v>32613</v>
      </c>
      <c r="H4449" t="s">
        <v>14201</v>
      </c>
      <c r="I4449" t="s">
        <v>6931</v>
      </c>
      <c r="J4449" t="s">
        <v>35723</v>
      </c>
      <c r="K4449" t="s">
        <v>42631</v>
      </c>
      <c r="M4449" t="s">
        <v>44687</v>
      </c>
      <c r="N4449" t="s">
        <v>47304</v>
      </c>
      <c r="O4449" t="s">
        <v>47305</v>
      </c>
      <c r="P4449">
        <v>0</v>
      </c>
      <c r="Q4449">
        <v>1</v>
      </c>
      <c r="R4449" t="s">
        <v>47306</v>
      </c>
      <c r="S4449" t="s">
        <v>47414</v>
      </c>
      <c r="T4449" t="s">
        <v>49066</v>
      </c>
      <c r="U4449" t="s">
        <v>53357</v>
      </c>
      <c r="W4449" t="s">
        <v>43981</v>
      </c>
      <c r="X4449" t="s">
        <v>47308</v>
      </c>
    </row>
    <row r="4450" spans="1:24">
      <c r="A4450">
        <f>HYPERLINK("https://www.philgeps.gov.ph/GEPSNONPILOT/Tender/SplashBidNoticeAbstractUI.aspx?menuIndex=3&amp;refID=7197007&amp;Result=3","7197007")</f>
        <v>0</v>
      </c>
      <c r="B4450" t="s">
        <v>1662</v>
      </c>
      <c r="C4450" t="s">
        <v>8059</v>
      </c>
      <c r="D4450" t="s">
        <v>19063</v>
      </c>
      <c r="E4450" t="s">
        <v>23057</v>
      </c>
      <c r="F4450" t="s">
        <v>32606</v>
      </c>
      <c r="G4450" t="s">
        <v>32613</v>
      </c>
      <c r="H4450" t="s">
        <v>14201</v>
      </c>
      <c r="I4450" t="s">
        <v>6298</v>
      </c>
      <c r="J4450" t="s">
        <v>32770</v>
      </c>
      <c r="K4450" t="s">
        <v>42631</v>
      </c>
      <c r="M4450" t="s">
        <v>44688</v>
      </c>
      <c r="N4450" t="s">
        <v>47304</v>
      </c>
      <c r="O4450" t="s">
        <v>47305</v>
      </c>
      <c r="P4450">
        <v>0</v>
      </c>
      <c r="Q4450">
        <v>0</v>
      </c>
      <c r="R4450" t="s">
        <v>47306</v>
      </c>
      <c r="S4450" t="s">
        <v>47414</v>
      </c>
      <c r="T4450" t="s">
        <v>49065</v>
      </c>
      <c r="U4450" t="s">
        <v>53358</v>
      </c>
      <c r="W4450" t="s">
        <v>44688</v>
      </c>
      <c r="X4450" t="s">
        <v>47308</v>
      </c>
    </row>
    <row r="4451" spans="1:24">
      <c r="A4451">
        <f>HYPERLINK("https://www.philgeps.gov.ph/GEPSNONPILOT/Tender/SplashBidNoticeAbstractUI.aspx?menuIndex=3&amp;refID=7196985&amp;Result=3","7196985")</f>
        <v>0</v>
      </c>
      <c r="B4451" t="s">
        <v>1663</v>
      </c>
      <c r="C4451" t="s">
        <v>8060</v>
      </c>
      <c r="D4451" t="s">
        <v>19023</v>
      </c>
      <c r="E4451" t="s">
        <v>23058</v>
      </c>
      <c r="F4451" t="s">
        <v>32606</v>
      </c>
      <c r="G4451" t="s">
        <v>32613</v>
      </c>
      <c r="H4451" t="s">
        <v>14201</v>
      </c>
      <c r="I4451" t="s">
        <v>6931</v>
      </c>
      <c r="J4451" t="s">
        <v>35724</v>
      </c>
      <c r="K4451" t="s">
        <v>42631</v>
      </c>
      <c r="M4451" t="s">
        <v>44689</v>
      </c>
      <c r="N4451" t="s">
        <v>47304</v>
      </c>
      <c r="O4451" t="s">
        <v>47305</v>
      </c>
      <c r="P4451">
        <v>0</v>
      </c>
      <c r="Q4451">
        <v>0</v>
      </c>
      <c r="R4451" t="s">
        <v>47306</v>
      </c>
      <c r="S4451" t="s">
        <v>47414</v>
      </c>
      <c r="T4451" t="s">
        <v>49031</v>
      </c>
      <c r="U4451" t="s">
        <v>53359</v>
      </c>
      <c r="W4451" t="s">
        <v>46318</v>
      </c>
      <c r="X4451" t="s">
        <v>47308</v>
      </c>
    </row>
    <row r="4452" spans="1:24">
      <c r="A4452">
        <f>HYPERLINK("https://www.philgeps.gov.ph/GEPSNONPILOT/Tender/SplashBidNoticeAbstractUI.aspx?menuIndex=3&amp;refID=7197034&amp;Result=3","7197034")</f>
        <v>0</v>
      </c>
      <c r="B4452" t="s">
        <v>1664</v>
      </c>
      <c r="C4452" t="s">
        <v>8061</v>
      </c>
      <c r="D4452" t="s">
        <v>19067</v>
      </c>
      <c r="E4452" t="s">
        <v>23059</v>
      </c>
      <c r="F4452" t="s">
        <v>32606</v>
      </c>
      <c r="G4452" t="s">
        <v>32614</v>
      </c>
      <c r="H4452" t="s">
        <v>14201</v>
      </c>
      <c r="I4452" t="s">
        <v>4120</v>
      </c>
      <c r="J4452" t="s">
        <v>35725</v>
      </c>
      <c r="K4452" t="s">
        <v>42624</v>
      </c>
      <c r="M4452" t="s">
        <v>44690</v>
      </c>
      <c r="N4452" t="s">
        <v>47304</v>
      </c>
      <c r="O4452" t="s">
        <v>47305</v>
      </c>
      <c r="P4452">
        <v>0</v>
      </c>
      <c r="Q4452">
        <v>1</v>
      </c>
      <c r="R4452" t="s">
        <v>47306</v>
      </c>
      <c r="S4452" t="s">
        <v>47414</v>
      </c>
      <c r="T4452" t="s">
        <v>49023</v>
      </c>
      <c r="U4452" t="s">
        <v>53360</v>
      </c>
      <c r="W4452" t="s">
        <v>44690</v>
      </c>
      <c r="X4452" t="s">
        <v>47308</v>
      </c>
    </row>
    <row r="4453" spans="1:24">
      <c r="A4453">
        <f>HYPERLINK("https://www.philgeps.gov.ph/GEPSNONPILOT/Tender/SplashBidNoticeAbstractUI.aspx?menuIndex=3&amp;refID=7197004&amp;Result=3","7197004")</f>
        <v>0</v>
      </c>
      <c r="B4453" t="s">
        <v>1601</v>
      </c>
      <c r="C4453" t="s">
        <v>8062</v>
      </c>
      <c r="D4453" t="s">
        <v>19039</v>
      </c>
      <c r="E4453" t="s">
        <v>23060</v>
      </c>
      <c r="F4453" t="s">
        <v>32606</v>
      </c>
      <c r="G4453" t="s">
        <v>32619</v>
      </c>
      <c r="H4453" t="s">
        <v>14201</v>
      </c>
      <c r="I4453" t="s">
        <v>32663</v>
      </c>
      <c r="J4453" t="s">
        <v>33326</v>
      </c>
      <c r="K4453" t="s">
        <v>42636</v>
      </c>
      <c r="M4453" t="s">
        <v>44617</v>
      </c>
      <c r="N4453" t="s">
        <v>47304</v>
      </c>
      <c r="O4453" t="s">
        <v>47305</v>
      </c>
      <c r="P4453">
        <v>0</v>
      </c>
      <c r="Q4453">
        <v>0</v>
      </c>
      <c r="R4453" t="s">
        <v>47306</v>
      </c>
      <c r="S4453" t="s">
        <v>47414</v>
      </c>
      <c r="T4453" t="s">
        <v>49257</v>
      </c>
      <c r="U4453" t="s">
        <v>53361</v>
      </c>
      <c r="W4453" t="s">
        <v>44617</v>
      </c>
      <c r="X4453" t="s">
        <v>47308</v>
      </c>
    </row>
    <row r="4454" spans="1:24">
      <c r="A4454">
        <f>HYPERLINK("https://www.philgeps.gov.ph/GEPSNONPILOT/Tender/SplashBidNoticeAbstractUI.aspx?menuIndex=3&amp;refID=7197031&amp;Result=3","7197031")</f>
        <v>0</v>
      </c>
      <c r="B4454" t="s">
        <v>1665</v>
      </c>
      <c r="C4454" t="s">
        <v>8063</v>
      </c>
      <c r="D4454" t="s">
        <v>19049</v>
      </c>
      <c r="E4454" t="s">
        <v>23061</v>
      </c>
      <c r="F4454" t="s">
        <v>32606</v>
      </c>
      <c r="G4454" t="s">
        <v>32613</v>
      </c>
      <c r="H4454" t="s">
        <v>14201</v>
      </c>
      <c r="I4454" t="s">
        <v>9013</v>
      </c>
      <c r="J4454" t="s">
        <v>33019</v>
      </c>
      <c r="K4454" t="s">
        <v>42630</v>
      </c>
      <c r="M4454" t="s">
        <v>44691</v>
      </c>
      <c r="N4454" t="s">
        <v>47304</v>
      </c>
      <c r="O4454" t="s">
        <v>47305</v>
      </c>
      <c r="P4454">
        <v>0</v>
      </c>
      <c r="Q4454">
        <v>1</v>
      </c>
      <c r="R4454" t="s">
        <v>47306</v>
      </c>
      <c r="S4454" t="s">
        <v>47414</v>
      </c>
      <c r="T4454" t="s">
        <v>49219</v>
      </c>
      <c r="U4454" t="s">
        <v>53362</v>
      </c>
      <c r="W4454" t="s">
        <v>44691</v>
      </c>
      <c r="X4454" t="s">
        <v>47308</v>
      </c>
    </row>
    <row r="4455" spans="1:24">
      <c r="A4455">
        <f>HYPERLINK("https://www.philgeps.gov.ph/GEPSNONPILOT/Tender/SplashBidNoticeAbstractUI.aspx?menuIndex=3&amp;refID=7196981&amp;Result=3","7196981")</f>
        <v>0</v>
      </c>
      <c r="B4455" t="s">
        <v>1445</v>
      </c>
      <c r="C4455" t="s">
        <v>8064</v>
      </c>
      <c r="D4455" t="s">
        <v>19011</v>
      </c>
      <c r="E4455" t="s">
        <v>23062</v>
      </c>
      <c r="F4455" t="s">
        <v>32606</v>
      </c>
      <c r="G4455" t="s">
        <v>32614</v>
      </c>
      <c r="H4455" t="s">
        <v>14201</v>
      </c>
      <c r="I4455" t="s">
        <v>4112</v>
      </c>
      <c r="J4455" t="s">
        <v>35726</v>
      </c>
      <c r="K4455" t="s">
        <v>42623</v>
      </c>
      <c r="M4455" t="s">
        <v>44435</v>
      </c>
      <c r="N4455" t="s">
        <v>47304</v>
      </c>
      <c r="O4455" t="s">
        <v>47305</v>
      </c>
      <c r="P4455">
        <v>0</v>
      </c>
      <c r="Q4455">
        <v>0</v>
      </c>
      <c r="R4455" t="s">
        <v>47306</v>
      </c>
      <c r="S4455" t="s">
        <v>47414</v>
      </c>
      <c r="T4455" t="s">
        <v>49004</v>
      </c>
      <c r="U4455" t="s">
        <v>53363</v>
      </c>
      <c r="V4455" t="s">
        <v>63015</v>
      </c>
      <c r="W4455" t="s">
        <v>44435</v>
      </c>
      <c r="X4455" t="s">
        <v>47308</v>
      </c>
    </row>
    <row r="4456" spans="1:24">
      <c r="A4456">
        <f>HYPERLINK("https://www.philgeps.gov.ph/GEPSNONPILOT/Tender/SplashBidNoticeAbstractUI.aspx?menuIndex=3&amp;refID=7197029&amp;Result=3","7197029")</f>
        <v>0</v>
      </c>
      <c r="B4456" t="s">
        <v>89</v>
      </c>
      <c r="C4456" t="s">
        <v>8065</v>
      </c>
      <c r="D4456" t="s">
        <v>19018</v>
      </c>
      <c r="E4456" t="s">
        <v>23063</v>
      </c>
      <c r="F4456" t="s">
        <v>32606</v>
      </c>
      <c r="G4456" t="s">
        <v>32613</v>
      </c>
      <c r="H4456" t="s">
        <v>14201</v>
      </c>
      <c r="I4456" t="s">
        <v>7233</v>
      </c>
      <c r="J4456" t="s">
        <v>35727</v>
      </c>
      <c r="K4456" t="s">
        <v>42631</v>
      </c>
      <c r="M4456" t="s">
        <v>42987</v>
      </c>
      <c r="N4456" t="s">
        <v>47304</v>
      </c>
      <c r="O4456" t="s">
        <v>47305</v>
      </c>
      <c r="P4456">
        <v>0</v>
      </c>
      <c r="Q4456">
        <v>0</v>
      </c>
      <c r="R4456" t="s">
        <v>47306</v>
      </c>
      <c r="S4456" t="s">
        <v>47414</v>
      </c>
      <c r="T4456" t="s">
        <v>49008</v>
      </c>
      <c r="U4456" t="s">
        <v>53364</v>
      </c>
      <c r="W4456" t="s">
        <v>42987</v>
      </c>
      <c r="X4456" t="s">
        <v>47308</v>
      </c>
    </row>
    <row r="4457" spans="1:24">
      <c r="A4457">
        <f>HYPERLINK("https://www.philgeps.gov.ph/GEPSNONPILOT/Tender/SplashBidNoticeAbstractUI.aspx?menuIndex=3&amp;refID=7197036&amp;Result=3","7197036")</f>
        <v>0</v>
      </c>
      <c r="B4457" t="s">
        <v>1497</v>
      </c>
      <c r="C4457" t="s">
        <v>8066</v>
      </c>
      <c r="D4457" t="s">
        <v>19015</v>
      </c>
      <c r="E4457" t="s">
        <v>23064</v>
      </c>
      <c r="F4457" t="s">
        <v>32606</v>
      </c>
      <c r="G4457" t="s">
        <v>32613</v>
      </c>
      <c r="H4457" t="s">
        <v>14201</v>
      </c>
      <c r="I4457" t="s">
        <v>7064</v>
      </c>
      <c r="J4457" t="s">
        <v>34667</v>
      </c>
      <c r="K4457" t="s">
        <v>42631</v>
      </c>
      <c r="M4457" t="s">
        <v>44493</v>
      </c>
      <c r="N4457" t="s">
        <v>47304</v>
      </c>
      <c r="O4457" t="s">
        <v>47305</v>
      </c>
      <c r="P4457">
        <v>0</v>
      </c>
      <c r="Q4457">
        <v>1</v>
      </c>
      <c r="R4457" t="s">
        <v>47306</v>
      </c>
      <c r="S4457" t="s">
        <v>47414</v>
      </c>
      <c r="T4457" t="s">
        <v>49136</v>
      </c>
      <c r="U4457" t="s">
        <v>53365</v>
      </c>
      <c r="V4457" t="s">
        <v>63075</v>
      </c>
      <c r="W4457" t="s">
        <v>44493</v>
      </c>
      <c r="X4457" t="s">
        <v>47308</v>
      </c>
    </row>
    <row r="4458" spans="1:24">
      <c r="A4458">
        <f>HYPERLINK("https://www.philgeps.gov.ph/GEPSNONPILOT/Tender/SplashBidNoticeAbstractUI.aspx?menuIndex=3&amp;refID=7197025&amp;Result=3","7197025")</f>
        <v>0</v>
      </c>
      <c r="B4458" t="s">
        <v>1663</v>
      </c>
      <c r="C4458" t="s">
        <v>8067</v>
      </c>
      <c r="D4458" t="s">
        <v>19023</v>
      </c>
      <c r="E4458" t="s">
        <v>23065</v>
      </c>
      <c r="F4458" t="s">
        <v>32606</v>
      </c>
      <c r="G4458" t="s">
        <v>32613</v>
      </c>
      <c r="H4458" t="s">
        <v>14201</v>
      </c>
      <c r="I4458" t="s">
        <v>6931</v>
      </c>
      <c r="J4458" t="s">
        <v>35728</v>
      </c>
      <c r="K4458" t="s">
        <v>42646</v>
      </c>
      <c r="M4458" t="s">
        <v>44689</v>
      </c>
      <c r="N4458" t="s">
        <v>47304</v>
      </c>
      <c r="O4458" t="s">
        <v>47305</v>
      </c>
      <c r="P4458">
        <v>0</v>
      </c>
      <c r="Q4458">
        <v>0</v>
      </c>
      <c r="R4458" t="s">
        <v>47306</v>
      </c>
      <c r="S4458" t="s">
        <v>47414</v>
      </c>
      <c r="T4458" t="s">
        <v>49031</v>
      </c>
      <c r="U4458" t="s">
        <v>53366</v>
      </c>
      <c r="W4458" t="s">
        <v>46318</v>
      </c>
      <c r="X4458" t="s">
        <v>47308</v>
      </c>
    </row>
    <row r="4459" spans="1:24">
      <c r="A4459">
        <f>HYPERLINK("https://www.philgeps.gov.ph/GEPSNONPILOT/Tender/SplashBidNoticeAbstractUI.aspx?menuIndex=3&amp;refID=7197024&amp;Result=3","7197024")</f>
        <v>0</v>
      </c>
      <c r="B4459" t="s">
        <v>819</v>
      </c>
      <c r="C4459" t="s">
        <v>8068</v>
      </c>
      <c r="D4459" t="s">
        <v>19028</v>
      </c>
      <c r="E4459" t="s">
        <v>23066</v>
      </c>
      <c r="F4459" t="s">
        <v>32606</v>
      </c>
      <c r="G4459" t="s">
        <v>32619</v>
      </c>
      <c r="H4459" t="s">
        <v>14201</v>
      </c>
      <c r="I4459" t="s">
        <v>6931</v>
      </c>
      <c r="J4459" t="s">
        <v>35729</v>
      </c>
      <c r="K4459" t="s">
        <v>42630</v>
      </c>
      <c r="M4459" t="s">
        <v>44692</v>
      </c>
      <c r="N4459" t="s">
        <v>47304</v>
      </c>
      <c r="O4459" t="s">
        <v>47305</v>
      </c>
      <c r="P4459">
        <v>0</v>
      </c>
      <c r="Q4459">
        <v>1</v>
      </c>
      <c r="R4459" t="s">
        <v>47306</v>
      </c>
      <c r="S4459" t="s">
        <v>47414</v>
      </c>
      <c r="T4459" t="s">
        <v>49072</v>
      </c>
      <c r="U4459" t="s">
        <v>53367</v>
      </c>
      <c r="W4459" t="s">
        <v>44692</v>
      </c>
      <c r="X4459" t="s">
        <v>47308</v>
      </c>
    </row>
    <row r="4460" spans="1:24">
      <c r="A4460">
        <f>HYPERLINK("https://www.philgeps.gov.ph/GEPSNONPILOT/Tender/SplashBidNoticeAbstractUI.aspx?menuIndex=3&amp;refID=7197030&amp;Result=3","7197030")</f>
        <v>0</v>
      </c>
      <c r="B4460" t="s">
        <v>1454</v>
      </c>
      <c r="C4460" t="s">
        <v>8069</v>
      </c>
      <c r="E4460" t="s">
        <v>23067</v>
      </c>
      <c r="F4460" t="s">
        <v>32606</v>
      </c>
      <c r="G4460" t="s">
        <v>32617</v>
      </c>
      <c r="H4460" t="s">
        <v>14201</v>
      </c>
      <c r="I4460" t="s">
        <v>9008</v>
      </c>
      <c r="J4460" t="s">
        <v>35730</v>
      </c>
      <c r="K4460" t="s">
        <v>42630</v>
      </c>
      <c r="M4460" t="s">
        <v>44445</v>
      </c>
      <c r="N4460" t="s">
        <v>47304</v>
      </c>
      <c r="O4460" t="s">
        <v>47305</v>
      </c>
      <c r="P4460">
        <v>0</v>
      </c>
      <c r="Q4460">
        <v>0</v>
      </c>
      <c r="R4460" t="s">
        <v>47306</v>
      </c>
      <c r="S4460" t="s">
        <v>47414</v>
      </c>
      <c r="T4460" t="s">
        <v>49004</v>
      </c>
      <c r="U4460" t="s">
        <v>53368</v>
      </c>
      <c r="V4460" t="s">
        <v>63019</v>
      </c>
      <c r="W4460" t="s">
        <v>44445</v>
      </c>
      <c r="X4460" t="s">
        <v>47308</v>
      </c>
    </row>
    <row r="4461" spans="1:24">
      <c r="A4461">
        <f>HYPERLINK("https://www.philgeps.gov.ph/GEPSNONPILOT/Tender/SplashBidNoticeAbstractUI.aspx?menuIndex=3&amp;refID=7197028&amp;Result=3","7197028")</f>
        <v>0</v>
      </c>
      <c r="B4461" t="s">
        <v>928</v>
      </c>
      <c r="C4461" t="s">
        <v>8070</v>
      </c>
      <c r="D4461" t="s">
        <v>19027</v>
      </c>
      <c r="E4461" t="s">
        <v>23068</v>
      </c>
      <c r="F4461" t="s">
        <v>32606</v>
      </c>
      <c r="G4461" t="s">
        <v>32614</v>
      </c>
      <c r="H4461" t="s">
        <v>14201</v>
      </c>
      <c r="I4461" t="s">
        <v>32638</v>
      </c>
      <c r="J4461" t="s">
        <v>35731</v>
      </c>
      <c r="K4461" t="s">
        <v>42623</v>
      </c>
      <c r="M4461" t="s">
        <v>43868</v>
      </c>
      <c r="N4461" t="s">
        <v>47304</v>
      </c>
      <c r="O4461" t="s">
        <v>47305</v>
      </c>
      <c r="P4461">
        <v>0</v>
      </c>
      <c r="Q4461">
        <v>9</v>
      </c>
      <c r="R4461" t="s">
        <v>47306</v>
      </c>
      <c r="S4461" t="s">
        <v>47414</v>
      </c>
      <c r="T4461" t="s">
        <v>48980</v>
      </c>
      <c r="U4461" t="s">
        <v>53369</v>
      </c>
      <c r="W4461" t="s">
        <v>43868</v>
      </c>
      <c r="X4461" t="s">
        <v>47308</v>
      </c>
    </row>
    <row r="4462" spans="1:24">
      <c r="A4462">
        <f>HYPERLINK("https://www.philgeps.gov.ph/GEPSNONPILOT/Tender/SplashBidNoticeAbstractUI.aspx?menuIndex=3&amp;refID=7197037&amp;Result=3","7197037")</f>
        <v>0</v>
      </c>
      <c r="B4462" t="s">
        <v>1640</v>
      </c>
      <c r="C4462" t="s">
        <v>8071</v>
      </c>
      <c r="D4462" t="s">
        <v>19041</v>
      </c>
      <c r="E4462" t="s">
        <v>23069</v>
      </c>
      <c r="F4462" t="s">
        <v>32606</v>
      </c>
      <c r="G4462" t="s">
        <v>32613</v>
      </c>
      <c r="H4462" t="s">
        <v>14201</v>
      </c>
      <c r="I4462" t="s">
        <v>7064</v>
      </c>
      <c r="J4462" t="s">
        <v>32769</v>
      </c>
      <c r="K4462" t="s">
        <v>42631</v>
      </c>
      <c r="M4462" t="s">
        <v>44661</v>
      </c>
      <c r="N4462" t="s">
        <v>47304</v>
      </c>
      <c r="O4462" t="s">
        <v>47305</v>
      </c>
      <c r="P4462">
        <v>0</v>
      </c>
      <c r="Q4462">
        <v>2</v>
      </c>
      <c r="R4462" t="s">
        <v>47306</v>
      </c>
      <c r="S4462" t="s">
        <v>47414</v>
      </c>
      <c r="T4462" t="s">
        <v>49286</v>
      </c>
      <c r="U4462" t="s">
        <v>53370</v>
      </c>
      <c r="W4462" t="s">
        <v>44661</v>
      </c>
      <c r="X4462" t="s">
        <v>47308</v>
      </c>
    </row>
    <row r="4463" spans="1:24">
      <c r="A4463">
        <f>HYPERLINK("https://www.philgeps.gov.ph/GEPSNONPILOT/Tender/SplashBidNoticeAbstractUI.aspx?menuIndex=3&amp;refID=7197035&amp;Result=3","7197035")</f>
        <v>0</v>
      </c>
      <c r="B4463" t="s">
        <v>101</v>
      </c>
      <c r="C4463" t="s">
        <v>8072</v>
      </c>
      <c r="D4463" t="s">
        <v>18993</v>
      </c>
      <c r="E4463" t="s">
        <v>23070</v>
      </c>
      <c r="F4463" t="s">
        <v>32606</v>
      </c>
      <c r="G4463" t="s">
        <v>32614</v>
      </c>
      <c r="H4463" t="s">
        <v>14201</v>
      </c>
      <c r="I4463" t="s">
        <v>4369</v>
      </c>
      <c r="J4463" t="s">
        <v>33102</v>
      </c>
      <c r="K4463" t="s">
        <v>42631</v>
      </c>
      <c r="M4463" t="s">
        <v>44372</v>
      </c>
      <c r="N4463" t="s">
        <v>47304</v>
      </c>
      <c r="O4463" t="s">
        <v>47305</v>
      </c>
      <c r="P4463">
        <v>0</v>
      </c>
      <c r="Q4463">
        <v>8</v>
      </c>
      <c r="R4463" t="s">
        <v>47306</v>
      </c>
      <c r="S4463" t="s">
        <v>47414</v>
      </c>
      <c r="T4463" t="s">
        <v>48980</v>
      </c>
      <c r="U4463" t="s">
        <v>49738</v>
      </c>
      <c r="W4463" t="s">
        <v>44372</v>
      </c>
      <c r="X4463" t="s">
        <v>47308</v>
      </c>
    </row>
    <row r="4464" spans="1:24">
      <c r="A4464">
        <f>HYPERLINK("https://www.philgeps.gov.ph/GEPSNONPILOT/Tender/SplashBidNoticeAbstractUI.aspx?menuIndex=3&amp;refID=7197023&amp;Result=3","7197023")</f>
        <v>0</v>
      </c>
      <c r="B4464" t="s">
        <v>1666</v>
      </c>
      <c r="C4464" t="s">
        <v>8073</v>
      </c>
      <c r="D4464" t="s">
        <v>19037</v>
      </c>
      <c r="E4464" t="s">
        <v>23071</v>
      </c>
      <c r="F4464" t="s">
        <v>32606</v>
      </c>
      <c r="G4464" t="s">
        <v>32617</v>
      </c>
      <c r="H4464" t="s">
        <v>14201</v>
      </c>
      <c r="I4464" t="s">
        <v>4114</v>
      </c>
      <c r="J4464" t="s">
        <v>35732</v>
      </c>
      <c r="K4464" t="s">
        <v>42622</v>
      </c>
      <c r="M4464" t="s">
        <v>44693</v>
      </c>
      <c r="N4464" t="s">
        <v>47304</v>
      </c>
      <c r="O4464" t="s">
        <v>47305</v>
      </c>
      <c r="P4464">
        <v>0</v>
      </c>
      <c r="Q4464">
        <v>0</v>
      </c>
      <c r="R4464" t="s">
        <v>47306</v>
      </c>
      <c r="S4464" t="s">
        <v>47414</v>
      </c>
      <c r="T4464" t="s">
        <v>49004</v>
      </c>
      <c r="U4464" t="s">
        <v>53371</v>
      </c>
      <c r="W4464" t="s">
        <v>44693</v>
      </c>
      <c r="X4464" t="s">
        <v>47308</v>
      </c>
    </row>
    <row r="4465" spans="1:24">
      <c r="A4465">
        <f>HYPERLINK("https://www.philgeps.gov.ph/GEPSNONPILOT/Tender/SplashBidNoticeAbstractUI.aspx?menuIndex=3&amp;refID=7197064&amp;Result=3","7197064")</f>
        <v>0</v>
      </c>
      <c r="B4465" t="s">
        <v>1667</v>
      </c>
      <c r="C4465" t="s">
        <v>8074</v>
      </c>
      <c r="E4465" t="s">
        <v>20378</v>
      </c>
      <c r="F4465" t="s">
        <v>32606</v>
      </c>
      <c r="G4465" t="s">
        <v>32619</v>
      </c>
      <c r="H4465" t="s">
        <v>14201</v>
      </c>
      <c r="I4465" t="s">
        <v>4114</v>
      </c>
      <c r="J4465" t="s">
        <v>35733</v>
      </c>
      <c r="K4465" t="s">
        <v>42632</v>
      </c>
      <c r="M4465" t="s">
        <v>44694</v>
      </c>
      <c r="N4465" t="s">
        <v>47304</v>
      </c>
      <c r="O4465" t="s">
        <v>47305</v>
      </c>
      <c r="P4465">
        <v>0</v>
      </c>
      <c r="Q4465">
        <v>1</v>
      </c>
      <c r="R4465" t="s">
        <v>47306</v>
      </c>
      <c r="S4465" t="s">
        <v>47414</v>
      </c>
      <c r="T4465" t="s">
        <v>49072</v>
      </c>
      <c r="U4465" t="s">
        <v>53372</v>
      </c>
      <c r="W4465" t="s">
        <v>44694</v>
      </c>
      <c r="X4465" t="s">
        <v>47308</v>
      </c>
    </row>
    <row r="4466" spans="1:24">
      <c r="A4466">
        <f>HYPERLINK("https://www.philgeps.gov.ph/GEPSNONPILOT/Tender/SplashBidNoticeAbstractUI.aspx?menuIndex=3&amp;refID=7197027&amp;Result=3","7197027")</f>
        <v>0</v>
      </c>
      <c r="B4466" t="s">
        <v>1668</v>
      </c>
      <c r="C4466" t="s">
        <v>8075</v>
      </c>
      <c r="D4466" t="s">
        <v>19004</v>
      </c>
      <c r="E4466" t="s">
        <v>23072</v>
      </c>
      <c r="F4466" t="s">
        <v>32606</v>
      </c>
      <c r="G4466" t="s">
        <v>32619</v>
      </c>
      <c r="H4466" t="s">
        <v>14201</v>
      </c>
      <c r="I4466" t="s">
        <v>4120</v>
      </c>
      <c r="J4466" t="s">
        <v>35734</v>
      </c>
      <c r="K4466" t="s">
        <v>42648</v>
      </c>
      <c r="M4466" t="s">
        <v>44695</v>
      </c>
      <c r="N4466" t="s">
        <v>47304</v>
      </c>
      <c r="O4466" t="s">
        <v>47305</v>
      </c>
      <c r="P4466">
        <v>0</v>
      </c>
      <c r="Q4466">
        <v>3</v>
      </c>
      <c r="R4466" t="s">
        <v>47306</v>
      </c>
      <c r="S4466" t="s">
        <v>47414</v>
      </c>
      <c r="T4466" t="s">
        <v>49014</v>
      </c>
      <c r="U4466" t="s">
        <v>53373</v>
      </c>
      <c r="W4466" t="s">
        <v>64479</v>
      </c>
      <c r="X4466" t="s">
        <v>47308</v>
      </c>
    </row>
    <row r="4467" spans="1:24">
      <c r="A4467">
        <f>HYPERLINK("https://www.philgeps.gov.ph/GEPSNONPILOT/Tender/SplashBidNoticeAbstractUI.aspx?menuIndex=3&amp;refID=7197063&amp;Result=3","7197063")</f>
        <v>0</v>
      </c>
      <c r="B4467" t="s">
        <v>352</v>
      </c>
      <c r="C4467" t="s">
        <v>8076</v>
      </c>
      <c r="E4467" t="s">
        <v>23073</v>
      </c>
      <c r="F4467" t="s">
        <v>32606</v>
      </c>
      <c r="G4467" t="s">
        <v>32614</v>
      </c>
      <c r="H4467" t="s">
        <v>14201</v>
      </c>
      <c r="I4467" t="s">
        <v>32640</v>
      </c>
      <c r="J4467" t="s">
        <v>32799</v>
      </c>
      <c r="K4467" t="s">
        <v>42624</v>
      </c>
      <c r="M4467" t="s">
        <v>43254</v>
      </c>
      <c r="N4467" t="s">
        <v>47304</v>
      </c>
      <c r="O4467" t="s">
        <v>47305</v>
      </c>
      <c r="P4467">
        <v>0</v>
      </c>
      <c r="Q4467">
        <v>2</v>
      </c>
      <c r="R4467" t="s">
        <v>47306</v>
      </c>
      <c r="S4467" t="s">
        <v>47414</v>
      </c>
      <c r="T4467" t="s">
        <v>49004</v>
      </c>
      <c r="U4467" t="s">
        <v>53374</v>
      </c>
      <c r="W4467" t="s">
        <v>43254</v>
      </c>
      <c r="X4467" t="s">
        <v>47308</v>
      </c>
    </row>
    <row r="4468" spans="1:24">
      <c r="A4468">
        <f>HYPERLINK("https://www.philgeps.gov.ph/GEPSNONPILOT/Tender/SplashBidNoticeAbstractUI.aspx?menuIndex=3&amp;refID=7197021&amp;Result=3","7197021")</f>
        <v>0</v>
      </c>
      <c r="B4468" t="s">
        <v>1669</v>
      </c>
      <c r="C4468" t="s">
        <v>8077</v>
      </c>
      <c r="D4468" t="s">
        <v>19039</v>
      </c>
      <c r="E4468" t="s">
        <v>23074</v>
      </c>
      <c r="F4468" t="s">
        <v>32606</v>
      </c>
      <c r="G4468" t="s">
        <v>32614</v>
      </c>
      <c r="H4468" t="s">
        <v>32623</v>
      </c>
      <c r="I4468" t="s">
        <v>17648</v>
      </c>
      <c r="J4468" t="s">
        <v>33529</v>
      </c>
      <c r="K4468" t="s">
        <v>42636</v>
      </c>
      <c r="M4468" t="s">
        <v>44696</v>
      </c>
      <c r="N4468" t="s">
        <v>47304</v>
      </c>
      <c r="O4468" t="s">
        <v>47305</v>
      </c>
      <c r="P4468">
        <v>0</v>
      </c>
      <c r="Q4468">
        <v>1</v>
      </c>
      <c r="R4468" t="s">
        <v>47306</v>
      </c>
      <c r="S4468" t="s">
        <v>47414</v>
      </c>
      <c r="T4468" t="s">
        <v>48971</v>
      </c>
      <c r="U4468" t="s">
        <v>53375</v>
      </c>
      <c r="W4468" t="s">
        <v>44696</v>
      </c>
      <c r="X4468" t="s">
        <v>47308</v>
      </c>
    </row>
    <row r="4469" spans="1:24">
      <c r="A4469">
        <f>HYPERLINK("https://www.philgeps.gov.ph/GEPSNONPILOT/Tender/SplashBidNoticeAbstractUI.aspx?menuIndex=3&amp;refID=7197062&amp;Result=3","7197062")</f>
        <v>0</v>
      </c>
      <c r="B4469" t="s">
        <v>1660</v>
      </c>
      <c r="C4469" t="s">
        <v>8078</v>
      </c>
      <c r="D4469" t="s">
        <v>19011</v>
      </c>
      <c r="E4469" t="s">
        <v>23075</v>
      </c>
      <c r="F4469" t="s">
        <v>32606</v>
      </c>
      <c r="G4469" t="s">
        <v>32613</v>
      </c>
      <c r="H4469" t="s">
        <v>14201</v>
      </c>
      <c r="I4469" t="s">
        <v>32731</v>
      </c>
      <c r="J4469" t="s">
        <v>32841</v>
      </c>
      <c r="K4469" t="s">
        <v>42623</v>
      </c>
      <c r="M4469" t="s">
        <v>44685</v>
      </c>
      <c r="N4469" t="s">
        <v>47304</v>
      </c>
      <c r="O4469" t="s">
        <v>47305</v>
      </c>
      <c r="P4469">
        <v>0</v>
      </c>
      <c r="Q4469">
        <v>2</v>
      </c>
      <c r="R4469" t="s">
        <v>47306</v>
      </c>
      <c r="S4469" t="s">
        <v>47414</v>
      </c>
      <c r="T4469" t="s">
        <v>49153</v>
      </c>
      <c r="U4469" t="s">
        <v>53354</v>
      </c>
      <c r="V4469" t="s">
        <v>63054</v>
      </c>
      <c r="W4469" t="s">
        <v>44685</v>
      </c>
      <c r="X4469" t="s">
        <v>47308</v>
      </c>
    </row>
    <row r="4470" spans="1:24">
      <c r="A4470">
        <f>HYPERLINK("https://www.philgeps.gov.ph/GEPSNONPILOT/Tender/SplashBidNoticeAbstractUI.aspx?menuIndex=3&amp;refID=7197013&amp;Result=3","7197013")</f>
        <v>0</v>
      </c>
      <c r="B4470" t="s">
        <v>1670</v>
      </c>
      <c r="C4470" t="s">
        <v>8079</v>
      </c>
      <c r="D4470" t="s">
        <v>18993</v>
      </c>
      <c r="E4470" t="s">
        <v>23076</v>
      </c>
      <c r="F4470" t="s">
        <v>32606</v>
      </c>
      <c r="G4470" t="s">
        <v>32619</v>
      </c>
      <c r="H4470" t="s">
        <v>14201</v>
      </c>
      <c r="I4470" t="s">
        <v>32650</v>
      </c>
      <c r="J4470" t="s">
        <v>35735</v>
      </c>
      <c r="K4470" t="s">
        <v>42630</v>
      </c>
      <c r="M4470" t="s">
        <v>44697</v>
      </c>
      <c r="N4470" t="s">
        <v>47304</v>
      </c>
      <c r="O4470" t="s">
        <v>47305</v>
      </c>
      <c r="P4470">
        <v>0</v>
      </c>
      <c r="Q4470">
        <v>1</v>
      </c>
      <c r="R4470" t="s">
        <v>47306</v>
      </c>
      <c r="S4470" t="s">
        <v>47414</v>
      </c>
      <c r="T4470" t="s">
        <v>49072</v>
      </c>
      <c r="U4470" t="s">
        <v>53376</v>
      </c>
      <c r="W4470" t="s">
        <v>44697</v>
      </c>
      <c r="X4470" t="s">
        <v>47308</v>
      </c>
    </row>
    <row r="4471" spans="1:24">
      <c r="A4471">
        <f>HYPERLINK("https://www.philgeps.gov.ph/GEPSNONPILOT/Tender/SplashBidNoticeAbstractUI.aspx?menuIndex=3&amp;refID=7197061&amp;Result=3","7197061")</f>
        <v>0</v>
      </c>
      <c r="B4471" t="s">
        <v>280</v>
      </c>
      <c r="C4471" t="s">
        <v>6298</v>
      </c>
      <c r="D4471" t="s">
        <v>19028</v>
      </c>
      <c r="E4471" t="s">
        <v>23077</v>
      </c>
      <c r="F4471" t="s">
        <v>32606</v>
      </c>
      <c r="G4471" t="s">
        <v>32614</v>
      </c>
      <c r="H4471" t="s">
        <v>14201</v>
      </c>
      <c r="I4471" t="s">
        <v>6298</v>
      </c>
      <c r="J4471" t="s">
        <v>35736</v>
      </c>
      <c r="K4471" t="s">
        <v>42631</v>
      </c>
      <c r="M4471" t="s">
        <v>43712</v>
      </c>
      <c r="N4471" t="s">
        <v>47304</v>
      </c>
      <c r="O4471" t="s">
        <v>47305</v>
      </c>
      <c r="P4471">
        <v>0</v>
      </c>
      <c r="Q4471">
        <v>0</v>
      </c>
      <c r="R4471" t="s">
        <v>47306</v>
      </c>
      <c r="S4471" t="s">
        <v>47414</v>
      </c>
      <c r="T4471" t="s">
        <v>48997</v>
      </c>
      <c r="U4471" t="s">
        <v>53377</v>
      </c>
      <c r="W4471" t="s">
        <v>43712</v>
      </c>
      <c r="X4471" t="s">
        <v>47308</v>
      </c>
    </row>
    <row r="4472" spans="1:24">
      <c r="A4472">
        <f>HYPERLINK("https://www.philgeps.gov.ph/GEPSNONPILOT/Tender/SplashBidNoticeAbstractUI.aspx?menuIndex=3&amp;refID=7197057&amp;Result=3","7197057")</f>
        <v>0</v>
      </c>
      <c r="B4472" t="s">
        <v>1671</v>
      </c>
      <c r="C4472" t="s">
        <v>8080</v>
      </c>
      <c r="D4472" t="s">
        <v>18993</v>
      </c>
      <c r="E4472" t="s">
        <v>8080</v>
      </c>
      <c r="F4472" t="s">
        <v>32606</v>
      </c>
      <c r="G4472" t="s">
        <v>32613</v>
      </c>
      <c r="H4472" t="s">
        <v>14201</v>
      </c>
      <c r="I4472" t="s">
        <v>4114</v>
      </c>
      <c r="J4472" t="s">
        <v>35737</v>
      </c>
      <c r="K4472" t="s">
        <v>42631</v>
      </c>
      <c r="M4472" t="s">
        <v>44698</v>
      </c>
      <c r="N4472" t="s">
        <v>47304</v>
      </c>
      <c r="O4472" t="s">
        <v>47305</v>
      </c>
      <c r="P4472">
        <v>0</v>
      </c>
      <c r="Q4472">
        <v>1</v>
      </c>
      <c r="R4472" t="s">
        <v>47306</v>
      </c>
      <c r="S4472" t="s">
        <v>47414</v>
      </c>
      <c r="T4472" t="s">
        <v>48990</v>
      </c>
      <c r="U4472" t="s">
        <v>53378</v>
      </c>
      <c r="W4472" t="s">
        <v>44698</v>
      </c>
      <c r="X4472" t="s">
        <v>47308</v>
      </c>
    </row>
    <row r="4473" spans="1:24">
      <c r="A4473">
        <f>HYPERLINK("https://www.philgeps.gov.ph/GEPSNONPILOT/Tender/SplashBidNoticeAbstractUI.aspx?menuIndex=3&amp;refID=7197050&amp;Result=3","7197050")</f>
        <v>0</v>
      </c>
      <c r="B4473" t="s">
        <v>1672</v>
      </c>
      <c r="C4473" t="s">
        <v>8081</v>
      </c>
      <c r="D4473" t="s">
        <v>19019</v>
      </c>
      <c r="E4473" t="s">
        <v>23078</v>
      </c>
      <c r="F4473" t="s">
        <v>32606</v>
      </c>
      <c r="G4473" t="s">
        <v>32613</v>
      </c>
      <c r="H4473" t="s">
        <v>32623</v>
      </c>
      <c r="I4473" t="s">
        <v>17648</v>
      </c>
      <c r="J4473" t="s">
        <v>33529</v>
      </c>
      <c r="K4473" t="s">
        <v>42648</v>
      </c>
      <c r="M4473" t="s">
        <v>44699</v>
      </c>
      <c r="N4473" t="s">
        <v>47304</v>
      </c>
      <c r="O4473" t="s">
        <v>47305</v>
      </c>
      <c r="P4473">
        <v>0</v>
      </c>
      <c r="Q4473">
        <v>0</v>
      </c>
      <c r="R4473" t="s">
        <v>47306</v>
      </c>
      <c r="S4473" t="s">
        <v>47414</v>
      </c>
      <c r="T4473" t="s">
        <v>48973</v>
      </c>
      <c r="U4473" t="s">
        <v>53379</v>
      </c>
      <c r="W4473" t="s">
        <v>44699</v>
      </c>
      <c r="X4473" t="s">
        <v>47308</v>
      </c>
    </row>
    <row r="4474" spans="1:24">
      <c r="A4474">
        <f>HYPERLINK("https://www.philgeps.gov.ph/GEPSNONPILOT/Tender/SplashBidNoticeAbstractUI.aspx?menuIndex=3&amp;refID=7197049&amp;Result=3","7197049")</f>
        <v>0</v>
      </c>
      <c r="B4474" t="s">
        <v>1673</v>
      </c>
      <c r="C4474" t="s">
        <v>8082</v>
      </c>
      <c r="D4474" t="s">
        <v>19001</v>
      </c>
      <c r="E4474" t="s">
        <v>23079</v>
      </c>
      <c r="F4474" t="s">
        <v>32606</v>
      </c>
      <c r="G4474" t="s">
        <v>32613</v>
      </c>
      <c r="H4474" t="s">
        <v>32624</v>
      </c>
      <c r="I4474" t="s">
        <v>32628</v>
      </c>
      <c r="J4474" t="s">
        <v>35738</v>
      </c>
      <c r="K4474" t="s">
        <v>42707</v>
      </c>
      <c r="L4474" t="s">
        <v>1673</v>
      </c>
      <c r="M4474" t="s">
        <v>44700</v>
      </c>
      <c r="N4474" t="s">
        <v>47304</v>
      </c>
      <c r="O4474" t="s">
        <v>47305</v>
      </c>
      <c r="P4474">
        <v>0</v>
      </c>
      <c r="Q4474">
        <v>4</v>
      </c>
      <c r="R4474" t="s">
        <v>47306</v>
      </c>
      <c r="S4474" t="s">
        <v>47414</v>
      </c>
      <c r="T4474" t="s">
        <v>49175</v>
      </c>
      <c r="U4474" t="s">
        <v>53380</v>
      </c>
      <c r="W4474" t="s">
        <v>44700</v>
      </c>
      <c r="X4474" t="s">
        <v>47308</v>
      </c>
    </row>
    <row r="4475" spans="1:24">
      <c r="A4475">
        <f>HYPERLINK("https://www.philgeps.gov.ph/GEPSNONPILOT/Tender/SplashBidNoticeAbstractUI.aspx?menuIndex=3&amp;refID=7197046&amp;Result=3","7197046")</f>
        <v>0</v>
      </c>
      <c r="B4475" t="s">
        <v>928</v>
      </c>
      <c r="C4475" t="s">
        <v>8083</v>
      </c>
      <c r="D4475" t="s">
        <v>19027</v>
      </c>
      <c r="E4475" t="s">
        <v>23080</v>
      </c>
      <c r="F4475" t="s">
        <v>32606</v>
      </c>
      <c r="G4475" t="s">
        <v>32614</v>
      </c>
      <c r="H4475" t="s">
        <v>14201</v>
      </c>
      <c r="I4475" t="s">
        <v>32638</v>
      </c>
      <c r="J4475" t="s">
        <v>35739</v>
      </c>
      <c r="K4475" t="s">
        <v>42623</v>
      </c>
      <c r="M4475" t="s">
        <v>43868</v>
      </c>
      <c r="N4475" t="s">
        <v>47304</v>
      </c>
      <c r="O4475" t="s">
        <v>47305</v>
      </c>
      <c r="P4475">
        <v>0</v>
      </c>
      <c r="Q4475">
        <v>7</v>
      </c>
      <c r="R4475" t="s">
        <v>47306</v>
      </c>
      <c r="S4475" t="s">
        <v>47414</v>
      </c>
      <c r="T4475" t="s">
        <v>48980</v>
      </c>
      <c r="U4475" t="s">
        <v>53381</v>
      </c>
      <c r="W4475" t="s">
        <v>43868</v>
      </c>
      <c r="X4475" t="s">
        <v>47308</v>
      </c>
    </row>
    <row r="4476" spans="1:24">
      <c r="A4476">
        <f>HYPERLINK("https://www.philgeps.gov.ph/GEPSNONPILOT/Tender/SplashBidNoticeAbstractUI.aspx?menuIndex=3&amp;refID=7197045&amp;Result=3","7197045")</f>
        <v>0</v>
      </c>
      <c r="B4476" t="s">
        <v>1674</v>
      </c>
      <c r="C4476" t="s">
        <v>8084</v>
      </c>
      <c r="D4476" t="s">
        <v>19008</v>
      </c>
      <c r="E4476" t="s">
        <v>19096</v>
      </c>
      <c r="F4476" t="s">
        <v>32606</v>
      </c>
      <c r="G4476" t="s">
        <v>32613</v>
      </c>
      <c r="H4476" t="s">
        <v>32623</v>
      </c>
      <c r="I4476" t="s">
        <v>17648</v>
      </c>
      <c r="J4476" t="s">
        <v>35740</v>
      </c>
      <c r="K4476" t="s">
        <v>42624</v>
      </c>
      <c r="M4476" t="s">
        <v>44701</v>
      </c>
      <c r="N4476" t="s">
        <v>47304</v>
      </c>
      <c r="O4476" t="s">
        <v>47305</v>
      </c>
      <c r="P4476">
        <v>0</v>
      </c>
      <c r="Q4476">
        <v>0</v>
      </c>
      <c r="R4476" t="s">
        <v>47306</v>
      </c>
      <c r="S4476" t="s">
        <v>47414</v>
      </c>
      <c r="T4476" t="s">
        <v>48982</v>
      </c>
      <c r="U4476" t="s">
        <v>53382</v>
      </c>
      <c r="W4476" t="s">
        <v>44701</v>
      </c>
      <c r="X4476" t="s">
        <v>47308</v>
      </c>
    </row>
    <row r="4477" spans="1:24">
      <c r="A4477">
        <f>HYPERLINK("https://www.philgeps.gov.ph/GEPSNONPILOT/Tender/SplashBidNoticeAbstractUI.aspx?menuIndex=3&amp;refID=7197032&amp;Result=3","7197032")</f>
        <v>0</v>
      </c>
      <c r="B4477" t="s">
        <v>1675</v>
      </c>
      <c r="C4477" t="s">
        <v>8085</v>
      </c>
      <c r="D4477" t="s">
        <v>19006</v>
      </c>
      <c r="E4477" t="s">
        <v>23081</v>
      </c>
      <c r="F4477" t="s">
        <v>32606</v>
      </c>
      <c r="G4477" t="s">
        <v>32614</v>
      </c>
      <c r="H4477" t="s">
        <v>14201</v>
      </c>
      <c r="I4477" t="s">
        <v>8606</v>
      </c>
      <c r="J4477" t="s">
        <v>34811</v>
      </c>
      <c r="K4477" t="s">
        <v>42623</v>
      </c>
      <c r="M4477" t="s">
        <v>44702</v>
      </c>
      <c r="N4477" t="s">
        <v>47304</v>
      </c>
      <c r="O4477" t="s">
        <v>47305</v>
      </c>
      <c r="P4477">
        <v>0</v>
      </c>
      <c r="Q4477">
        <v>2</v>
      </c>
      <c r="R4477" t="s">
        <v>47306</v>
      </c>
      <c r="S4477" t="s">
        <v>47414</v>
      </c>
      <c r="T4477" t="s">
        <v>48980</v>
      </c>
      <c r="U4477" t="s">
        <v>53383</v>
      </c>
      <c r="W4477" t="s">
        <v>44702</v>
      </c>
      <c r="X4477" t="s">
        <v>47308</v>
      </c>
    </row>
    <row r="4478" spans="1:24">
      <c r="A4478">
        <f>HYPERLINK("https://www.philgeps.gov.ph/GEPSNONPILOT/Tender/SplashBidNoticeAbstractUI.aspx?menuIndex=3&amp;refID=7197044&amp;Result=3","7197044")</f>
        <v>0</v>
      </c>
      <c r="B4478" t="s">
        <v>280</v>
      </c>
      <c r="C4478" t="s">
        <v>6298</v>
      </c>
      <c r="D4478" t="s">
        <v>19028</v>
      </c>
      <c r="E4478" t="s">
        <v>23082</v>
      </c>
      <c r="F4478" t="s">
        <v>32606</v>
      </c>
      <c r="G4478" t="s">
        <v>32614</v>
      </c>
      <c r="H4478" t="s">
        <v>14201</v>
      </c>
      <c r="I4478" t="s">
        <v>6298</v>
      </c>
      <c r="J4478" t="s">
        <v>34207</v>
      </c>
      <c r="K4478" t="s">
        <v>42631</v>
      </c>
      <c r="M4478" t="s">
        <v>43712</v>
      </c>
      <c r="N4478" t="s">
        <v>47304</v>
      </c>
      <c r="O4478" t="s">
        <v>47305</v>
      </c>
      <c r="P4478">
        <v>0</v>
      </c>
      <c r="Q4478">
        <v>0</v>
      </c>
      <c r="R4478" t="s">
        <v>47306</v>
      </c>
      <c r="S4478" t="s">
        <v>47414</v>
      </c>
      <c r="T4478" t="s">
        <v>48997</v>
      </c>
      <c r="U4478" t="s">
        <v>53384</v>
      </c>
      <c r="W4478" t="s">
        <v>43712</v>
      </c>
      <c r="X4478" t="s">
        <v>47308</v>
      </c>
    </row>
    <row r="4479" spans="1:24">
      <c r="A4479">
        <f>HYPERLINK("https://www.philgeps.gov.ph/GEPSNONPILOT/Tender/SplashBidNoticeAbstractUI.aspx?menuIndex=3&amp;refID=7197042&amp;Result=3","7197042")</f>
        <v>0</v>
      </c>
      <c r="B4479" t="s">
        <v>1396</v>
      </c>
      <c r="C4479" t="s">
        <v>8086</v>
      </c>
      <c r="D4479" t="s">
        <v>18992</v>
      </c>
      <c r="E4479" t="s">
        <v>23083</v>
      </c>
      <c r="F4479" t="s">
        <v>32606</v>
      </c>
      <c r="G4479" t="s">
        <v>32614</v>
      </c>
      <c r="H4479" t="s">
        <v>14201</v>
      </c>
      <c r="I4479" t="s">
        <v>32662</v>
      </c>
      <c r="J4479" t="s">
        <v>34128</v>
      </c>
      <c r="K4479" t="s">
        <v>42631</v>
      </c>
      <c r="M4479" t="s">
        <v>44380</v>
      </c>
      <c r="N4479" t="s">
        <v>47304</v>
      </c>
      <c r="O4479" t="s">
        <v>47305</v>
      </c>
      <c r="P4479">
        <v>0</v>
      </c>
      <c r="Q4479">
        <v>4</v>
      </c>
      <c r="R4479" t="s">
        <v>47306</v>
      </c>
      <c r="S4479" t="s">
        <v>47414</v>
      </c>
      <c r="T4479" t="s">
        <v>49050</v>
      </c>
      <c r="U4479" t="s">
        <v>53385</v>
      </c>
      <c r="W4479" t="s">
        <v>44380</v>
      </c>
      <c r="X4479" t="s">
        <v>47308</v>
      </c>
    </row>
    <row r="4480" spans="1:24">
      <c r="A4480">
        <f>HYPERLINK("https://www.philgeps.gov.ph/GEPSNONPILOT/Tender/SplashBidNoticeAbstractUI.aspx?menuIndex=3&amp;refID=7197052&amp;Result=3","7197052")</f>
        <v>0</v>
      </c>
      <c r="B4480" t="s">
        <v>89</v>
      </c>
      <c r="C4480" t="s">
        <v>8087</v>
      </c>
      <c r="D4480" t="s">
        <v>19018</v>
      </c>
      <c r="E4480" t="s">
        <v>23084</v>
      </c>
      <c r="F4480" t="s">
        <v>32606</v>
      </c>
      <c r="G4480" t="s">
        <v>32613</v>
      </c>
      <c r="H4480" t="s">
        <v>14201</v>
      </c>
      <c r="I4480" t="s">
        <v>6993</v>
      </c>
      <c r="J4480" t="s">
        <v>35741</v>
      </c>
      <c r="K4480" t="s">
        <v>42631</v>
      </c>
      <c r="M4480" t="s">
        <v>42987</v>
      </c>
      <c r="N4480" t="s">
        <v>47304</v>
      </c>
      <c r="O4480" t="s">
        <v>47305</v>
      </c>
      <c r="P4480">
        <v>0</v>
      </c>
      <c r="Q4480">
        <v>0</v>
      </c>
      <c r="R4480" t="s">
        <v>47306</v>
      </c>
      <c r="S4480" t="s">
        <v>47414</v>
      </c>
      <c r="T4480" t="s">
        <v>49008</v>
      </c>
      <c r="U4480" t="s">
        <v>53386</v>
      </c>
      <c r="W4480" t="s">
        <v>42987</v>
      </c>
      <c r="X4480" t="s">
        <v>47308</v>
      </c>
    </row>
    <row r="4481" spans="1:24">
      <c r="A4481">
        <f>HYPERLINK("https://www.philgeps.gov.ph/GEPSNONPILOT/Tender/SplashBidNoticeAbstractUI.aspx?menuIndex=3&amp;refID=7197065&amp;Result=3","7197065")</f>
        <v>0</v>
      </c>
      <c r="B4481" t="s">
        <v>1653</v>
      </c>
      <c r="C4481" t="s">
        <v>8088</v>
      </c>
      <c r="D4481" t="s">
        <v>19056</v>
      </c>
      <c r="E4481" t="s">
        <v>20667</v>
      </c>
      <c r="F4481" t="s">
        <v>32606</v>
      </c>
      <c r="G4481" t="s">
        <v>32613</v>
      </c>
      <c r="H4481" t="s">
        <v>32623</v>
      </c>
      <c r="I4481" t="s">
        <v>17648</v>
      </c>
      <c r="J4481" t="s">
        <v>35742</v>
      </c>
      <c r="K4481" t="s">
        <v>42749</v>
      </c>
      <c r="M4481" t="s">
        <v>44677</v>
      </c>
      <c r="N4481" t="s">
        <v>47304</v>
      </c>
      <c r="O4481" t="s">
        <v>47305</v>
      </c>
      <c r="P4481">
        <v>0</v>
      </c>
      <c r="Q4481">
        <v>1</v>
      </c>
      <c r="R4481" t="s">
        <v>47306</v>
      </c>
      <c r="S4481" t="s">
        <v>47414</v>
      </c>
      <c r="T4481" t="s">
        <v>48983</v>
      </c>
      <c r="U4481" t="s">
        <v>53387</v>
      </c>
      <c r="W4481" t="s">
        <v>44677</v>
      </c>
      <c r="X4481" t="s">
        <v>47308</v>
      </c>
    </row>
    <row r="4482" spans="1:24">
      <c r="A4482">
        <f>HYPERLINK("https://www.philgeps.gov.ph/GEPSNONPILOT/Tender/SplashBidNoticeAbstractUI.aspx?menuIndex=3&amp;refID=7197048&amp;Result=3","7197048")</f>
        <v>0</v>
      </c>
      <c r="B4482" t="s">
        <v>1454</v>
      </c>
      <c r="C4482" t="s">
        <v>8089</v>
      </c>
      <c r="E4482" t="s">
        <v>23085</v>
      </c>
      <c r="F4482" t="s">
        <v>32606</v>
      </c>
      <c r="G4482" t="s">
        <v>32617</v>
      </c>
      <c r="H4482" t="s">
        <v>14201</v>
      </c>
      <c r="I4482" t="s">
        <v>6298</v>
      </c>
      <c r="J4482" t="s">
        <v>35743</v>
      </c>
      <c r="K4482" t="s">
        <v>42630</v>
      </c>
      <c r="M4482" t="s">
        <v>44445</v>
      </c>
      <c r="N4482" t="s">
        <v>47304</v>
      </c>
      <c r="O4482" t="s">
        <v>47305</v>
      </c>
      <c r="P4482">
        <v>0</v>
      </c>
      <c r="Q4482">
        <v>0</v>
      </c>
      <c r="R4482" t="s">
        <v>47306</v>
      </c>
      <c r="S4482" t="s">
        <v>47414</v>
      </c>
      <c r="T4482" t="s">
        <v>49004</v>
      </c>
      <c r="U4482" t="s">
        <v>53388</v>
      </c>
      <c r="V4482" t="s">
        <v>63019</v>
      </c>
      <c r="W4482" t="s">
        <v>44445</v>
      </c>
      <c r="X4482" t="s">
        <v>47308</v>
      </c>
    </row>
    <row r="4483" spans="1:24">
      <c r="A4483">
        <f>HYPERLINK("https://www.philgeps.gov.ph/GEPSNONPILOT/Tender/SplashBidNoticeAbstractUI.aspx?menuIndex=3&amp;refID=7197066&amp;Result=3","7197066")</f>
        <v>0</v>
      </c>
      <c r="B4483" t="s">
        <v>91</v>
      </c>
      <c r="C4483" t="s">
        <v>8090</v>
      </c>
      <c r="D4483" t="s">
        <v>19023</v>
      </c>
      <c r="E4483" t="s">
        <v>23086</v>
      </c>
      <c r="F4483" t="s">
        <v>32606</v>
      </c>
      <c r="G4483" t="s">
        <v>32614</v>
      </c>
      <c r="H4483" t="s">
        <v>14201</v>
      </c>
      <c r="I4483" t="s">
        <v>32640</v>
      </c>
      <c r="J4483" t="s">
        <v>32981</v>
      </c>
      <c r="K4483" t="s">
        <v>42631</v>
      </c>
      <c r="M4483" t="s">
        <v>44703</v>
      </c>
      <c r="N4483" t="s">
        <v>47304</v>
      </c>
      <c r="O4483" t="s">
        <v>47305</v>
      </c>
      <c r="P4483">
        <v>0</v>
      </c>
      <c r="Q4483">
        <v>2</v>
      </c>
      <c r="R4483" t="s">
        <v>47306</v>
      </c>
      <c r="S4483" t="s">
        <v>47414</v>
      </c>
      <c r="T4483" t="s">
        <v>49004</v>
      </c>
      <c r="U4483" t="s">
        <v>53389</v>
      </c>
      <c r="W4483" t="s">
        <v>44703</v>
      </c>
      <c r="X4483" t="s">
        <v>47308</v>
      </c>
    </row>
    <row r="4484" spans="1:24">
      <c r="A4484">
        <f>HYPERLINK("https://www.philgeps.gov.ph/GEPSNONPILOT/Tender/SplashBidNoticeAbstractUI.aspx?menuIndex=3&amp;refID=7197088&amp;Result=3","7197088")</f>
        <v>0</v>
      </c>
      <c r="B4484" t="s">
        <v>1454</v>
      </c>
      <c r="C4484" t="s">
        <v>8091</v>
      </c>
      <c r="E4484" t="s">
        <v>23087</v>
      </c>
      <c r="F4484" t="s">
        <v>32606</v>
      </c>
      <c r="G4484" t="s">
        <v>32614</v>
      </c>
      <c r="H4484" t="s">
        <v>14201</v>
      </c>
      <c r="I4484" t="s">
        <v>4120</v>
      </c>
      <c r="J4484" t="s">
        <v>35744</v>
      </c>
      <c r="K4484" t="s">
        <v>42630</v>
      </c>
      <c r="M4484" t="s">
        <v>44445</v>
      </c>
      <c r="N4484" t="s">
        <v>47304</v>
      </c>
      <c r="O4484" t="s">
        <v>47305</v>
      </c>
      <c r="P4484">
        <v>0</v>
      </c>
      <c r="Q4484">
        <v>1</v>
      </c>
      <c r="R4484" t="s">
        <v>47306</v>
      </c>
      <c r="S4484" t="s">
        <v>47414</v>
      </c>
      <c r="T4484" t="s">
        <v>49004</v>
      </c>
      <c r="U4484" t="s">
        <v>53390</v>
      </c>
      <c r="V4484" t="s">
        <v>63019</v>
      </c>
      <c r="W4484" t="s">
        <v>44445</v>
      </c>
      <c r="X4484" t="s">
        <v>47308</v>
      </c>
    </row>
    <row r="4485" spans="1:24">
      <c r="A4485">
        <f>HYPERLINK("https://www.philgeps.gov.ph/GEPSNONPILOT/Tender/SplashBidNoticeAbstractUI.aspx?menuIndex=3&amp;refID=7197087&amp;Result=3","7197087")</f>
        <v>0</v>
      </c>
      <c r="B4485" t="s">
        <v>1660</v>
      </c>
      <c r="C4485" t="s">
        <v>8092</v>
      </c>
      <c r="D4485" t="s">
        <v>19011</v>
      </c>
      <c r="E4485" t="s">
        <v>23088</v>
      </c>
      <c r="F4485" t="s">
        <v>32606</v>
      </c>
      <c r="G4485" t="s">
        <v>32613</v>
      </c>
      <c r="H4485" t="s">
        <v>14201</v>
      </c>
      <c r="I4485" t="s">
        <v>32655</v>
      </c>
      <c r="J4485" t="s">
        <v>35745</v>
      </c>
      <c r="K4485" t="s">
        <v>42665</v>
      </c>
      <c r="M4485" t="s">
        <v>44685</v>
      </c>
      <c r="N4485" t="s">
        <v>47304</v>
      </c>
      <c r="O4485" t="s">
        <v>47305</v>
      </c>
      <c r="P4485">
        <v>0</v>
      </c>
      <c r="Q4485">
        <v>8</v>
      </c>
      <c r="R4485" t="s">
        <v>47306</v>
      </c>
      <c r="S4485" t="s">
        <v>47414</v>
      </c>
      <c r="T4485" t="s">
        <v>49153</v>
      </c>
      <c r="U4485" t="s">
        <v>53354</v>
      </c>
      <c r="V4485" t="s">
        <v>63054</v>
      </c>
      <c r="W4485" t="s">
        <v>44685</v>
      </c>
      <c r="X4485" t="s">
        <v>47308</v>
      </c>
    </row>
    <row r="4486" spans="1:24">
      <c r="A4486">
        <f>HYPERLINK("https://www.philgeps.gov.ph/GEPSNONPILOT/Tender/SplashBidNoticeAbstractUI.aspx?menuIndex=3&amp;refID=7197086&amp;Result=3","7197086")</f>
        <v>0</v>
      </c>
      <c r="B4486" t="s">
        <v>1663</v>
      </c>
      <c r="C4486" t="s">
        <v>8093</v>
      </c>
      <c r="D4486" t="s">
        <v>19023</v>
      </c>
      <c r="E4486" t="s">
        <v>23089</v>
      </c>
      <c r="F4486" t="s">
        <v>32606</v>
      </c>
      <c r="G4486" t="s">
        <v>32613</v>
      </c>
      <c r="H4486" t="s">
        <v>14201</v>
      </c>
      <c r="I4486" t="s">
        <v>6931</v>
      </c>
      <c r="J4486" t="s">
        <v>35746</v>
      </c>
      <c r="K4486" t="s">
        <v>42631</v>
      </c>
      <c r="M4486" t="s">
        <v>44689</v>
      </c>
      <c r="N4486" t="s">
        <v>47304</v>
      </c>
      <c r="O4486" t="s">
        <v>47305</v>
      </c>
      <c r="P4486">
        <v>0</v>
      </c>
      <c r="Q4486">
        <v>0</v>
      </c>
      <c r="R4486" t="s">
        <v>47306</v>
      </c>
      <c r="S4486" t="s">
        <v>47414</v>
      </c>
      <c r="T4486" t="s">
        <v>49031</v>
      </c>
      <c r="U4486" t="s">
        <v>53391</v>
      </c>
      <c r="W4486" t="s">
        <v>46318</v>
      </c>
      <c r="X4486" t="s">
        <v>47308</v>
      </c>
    </row>
    <row r="4487" spans="1:24">
      <c r="A4487">
        <f>HYPERLINK("https://www.philgeps.gov.ph/GEPSNONPILOT/Tender/SplashBidNoticeAbstractUI.aspx?menuIndex=3&amp;refID=7197085&amp;Result=3","7197085")</f>
        <v>0</v>
      </c>
      <c r="B4487" t="s">
        <v>280</v>
      </c>
      <c r="C4487" t="s">
        <v>6298</v>
      </c>
      <c r="D4487" t="s">
        <v>19028</v>
      </c>
      <c r="E4487" t="s">
        <v>23090</v>
      </c>
      <c r="F4487" t="s">
        <v>32606</v>
      </c>
      <c r="G4487" t="s">
        <v>32614</v>
      </c>
      <c r="H4487" t="s">
        <v>14201</v>
      </c>
      <c r="I4487" t="s">
        <v>6298</v>
      </c>
      <c r="J4487" t="s">
        <v>35747</v>
      </c>
      <c r="K4487" t="s">
        <v>42631</v>
      </c>
      <c r="M4487" t="s">
        <v>43712</v>
      </c>
      <c r="N4487" t="s">
        <v>47304</v>
      </c>
      <c r="O4487" t="s">
        <v>47305</v>
      </c>
      <c r="P4487">
        <v>0</v>
      </c>
      <c r="Q4487">
        <v>0</v>
      </c>
      <c r="R4487" t="s">
        <v>47306</v>
      </c>
      <c r="S4487" t="s">
        <v>47414</v>
      </c>
      <c r="T4487" t="s">
        <v>49050</v>
      </c>
      <c r="U4487" t="s">
        <v>53392</v>
      </c>
      <c r="W4487" t="s">
        <v>43712</v>
      </c>
      <c r="X4487" t="s">
        <v>47308</v>
      </c>
    </row>
    <row r="4488" spans="1:24">
      <c r="A4488">
        <f>HYPERLINK("https://www.philgeps.gov.ph/GEPSNONPILOT/Tender/SplashBidNoticeAbstractUI.aspx?menuIndex=3&amp;refID=7197084&amp;Result=3","7197084")</f>
        <v>0</v>
      </c>
      <c r="B4488" t="s">
        <v>1268</v>
      </c>
      <c r="C4488" t="s">
        <v>8094</v>
      </c>
      <c r="D4488" t="s">
        <v>18991</v>
      </c>
      <c r="E4488" t="s">
        <v>23091</v>
      </c>
      <c r="F4488" t="s">
        <v>32606</v>
      </c>
      <c r="G4488" t="s">
        <v>32619</v>
      </c>
      <c r="H4488" t="s">
        <v>14201</v>
      </c>
      <c r="I4488" t="s">
        <v>6931</v>
      </c>
      <c r="J4488" t="s">
        <v>35748</v>
      </c>
      <c r="K4488" t="s">
        <v>42629</v>
      </c>
      <c r="M4488" t="s">
        <v>44236</v>
      </c>
      <c r="N4488" t="s">
        <v>47304</v>
      </c>
      <c r="O4488" t="s">
        <v>47305</v>
      </c>
      <c r="P4488">
        <v>0</v>
      </c>
      <c r="Q4488">
        <v>1</v>
      </c>
      <c r="R4488" t="s">
        <v>47306</v>
      </c>
      <c r="S4488" t="s">
        <v>47414</v>
      </c>
      <c r="T4488" t="s">
        <v>48979</v>
      </c>
      <c r="U4488" t="s">
        <v>53393</v>
      </c>
      <c r="W4488" t="s">
        <v>44236</v>
      </c>
      <c r="X4488" t="s">
        <v>47308</v>
      </c>
    </row>
    <row r="4489" spans="1:24">
      <c r="A4489">
        <f>HYPERLINK("https://www.philgeps.gov.ph/GEPSNONPILOT/Tender/SplashBidNoticeAbstractUI.aspx?menuIndex=3&amp;refID=7197083&amp;Result=3","7197083")</f>
        <v>0</v>
      </c>
      <c r="B4489" t="s">
        <v>1676</v>
      </c>
      <c r="C4489" t="s">
        <v>8095</v>
      </c>
      <c r="D4489" t="s">
        <v>18993</v>
      </c>
      <c r="E4489" t="s">
        <v>21066</v>
      </c>
      <c r="F4489" t="s">
        <v>32606</v>
      </c>
      <c r="G4489" t="s">
        <v>32613</v>
      </c>
      <c r="H4489" t="s">
        <v>14201</v>
      </c>
      <c r="I4489" t="s">
        <v>32673</v>
      </c>
      <c r="J4489" t="s">
        <v>34198</v>
      </c>
      <c r="K4489" t="s">
        <v>42636</v>
      </c>
      <c r="M4489" t="s">
        <v>44704</v>
      </c>
      <c r="N4489" t="s">
        <v>47304</v>
      </c>
      <c r="O4489" t="s">
        <v>47305</v>
      </c>
      <c r="P4489">
        <v>0</v>
      </c>
      <c r="Q4489">
        <v>0</v>
      </c>
      <c r="R4489" t="s">
        <v>47306</v>
      </c>
      <c r="S4489" t="s">
        <v>47414</v>
      </c>
      <c r="T4489" t="s">
        <v>49287</v>
      </c>
      <c r="U4489" t="s">
        <v>53394</v>
      </c>
      <c r="W4489" t="s">
        <v>44704</v>
      </c>
      <c r="X4489" t="s">
        <v>47308</v>
      </c>
    </row>
    <row r="4490" spans="1:24">
      <c r="A4490">
        <f>HYPERLINK("https://www.philgeps.gov.ph/GEPSNONPILOT/Tender/SplashBidNoticeAbstractUI.aspx?menuIndex=3&amp;refID=7197081&amp;Result=3","7197081")</f>
        <v>0</v>
      </c>
      <c r="B4490" t="s">
        <v>1677</v>
      </c>
      <c r="C4490" t="s">
        <v>7008</v>
      </c>
      <c r="D4490" t="s">
        <v>19027</v>
      </c>
      <c r="E4490" t="s">
        <v>23092</v>
      </c>
      <c r="F4490" t="s">
        <v>32606</v>
      </c>
      <c r="G4490" t="s">
        <v>32619</v>
      </c>
      <c r="H4490" t="s">
        <v>14201</v>
      </c>
      <c r="I4490" t="s">
        <v>4678</v>
      </c>
      <c r="J4490" t="s">
        <v>33105</v>
      </c>
      <c r="K4490" t="s">
        <v>42631</v>
      </c>
      <c r="M4490" t="s">
        <v>44705</v>
      </c>
      <c r="N4490" t="s">
        <v>47304</v>
      </c>
      <c r="O4490" t="s">
        <v>47305</v>
      </c>
      <c r="P4490">
        <v>0</v>
      </c>
      <c r="Q4490">
        <v>0</v>
      </c>
      <c r="R4490" t="s">
        <v>47306</v>
      </c>
      <c r="S4490" t="s">
        <v>47414</v>
      </c>
      <c r="T4490" t="s">
        <v>49064</v>
      </c>
      <c r="U4490" t="s">
        <v>53395</v>
      </c>
      <c r="W4490" t="s">
        <v>44705</v>
      </c>
      <c r="X4490" t="s">
        <v>47308</v>
      </c>
    </row>
    <row r="4491" spans="1:24">
      <c r="A4491">
        <f>HYPERLINK("https://www.philgeps.gov.ph/GEPSNONPILOT/Tender/SplashBidNoticeAbstractUI.aspx?menuIndex=3&amp;refID=7197022&amp;Result=3","7197022")</f>
        <v>0</v>
      </c>
      <c r="B4491" t="s">
        <v>1396</v>
      </c>
      <c r="C4491" t="s">
        <v>8096</v>
      </c>
      <c r="D4491" t="s">
        <v>18992</v>
      </c>
      <c r="E4491" t="s">
        <v>23093</v>
      </c>
      <c r="F4491" t="s">
        <v>32606</v>
      </c>
      <c r="G4491" t="s">
        <v>32614</v>
      </c>
      <c r="H4491" t="s">
        <v>14201</v>
      </c>
      <c r="I4491" t="s">
        <v>32662</v>
      </c>
      <c r="J4491" t="s">
        <v>35749</v>
      </c>
      <c r="K4491" t="s">
        <v>42639</v>
      </c>
      <c r="M4491" t="s">
        <v>44380</v>
      </c>
      <c r="N4491" t="s">
        <v>47304</v>
      </c>
      <c r="O4491" t="s">
        <v>47305</v>
      </c>
      <c r="P4491">
        <v>0</v>
      </c>
      <c r="Q4491">
        <v>2</v>
      </c>
      <c r="R4491" t="s">
        <v>47306</v>
      </c>
      <c r="S4491" t="s">
        <v>47414</v>
      </c>
      <c r="T4491" t="s">
        <v>49050</v>
      </c>
      <c r="U4491" t="s">
        <v>53396</v>
      </c>
      <c r="W4491" t="s">
        <v>44380</v>
      </c>
      <c r="X4491" t="s">
        <v>47308</v>
      </c>
    </row>
    <row r="4492" spans="1:24">
      <c r="A4492">
        <f>HYPERLINK("https://www.philgeps.gov.ph/GEPSNONPILOT/Tender/SplashBidNoticeAbstractUI.aspx?menuIndex=3&amp;refID=7197079&amp;Result=3","7197079")</f>
        <v>0</v>
      </c>
      <c r="B4492" t="s">
        <v>1454</v>
      </c>
      <c r="C4492" t="s">
        <v>8097</v>
      </c>
      <c r="E4492" t="s">
        <v>23094</v>
      </c>
      <c r="F4492" t="s">
        <v>32606</v>
      </c>
      <c r="G4492" t="s">
        <v>32614</v>
      </c>
      <c r="H4492" t="s">
        <v>14201</v>
      </c>
      <c r="I4492" t="s">
        <v>9008</v>
      </c>
      <c r="J4492" t="s">
        <v>35750</v>
      </c>
      <c r="K4492" t="s">
        <v>42630</v>
      </c>
      <c r="M4492" t="s">
        <v>44445</v>
      </c>
      <c r="N4492" t="s">
        <v>47304</v>
      </c>
      <c r="O4492" t="s">
        <v>47305</v>
      </c>
      <c r="P4492">
        <v>0</v>
      </c>
      <c r="Q4492">
        <v>0</v>
      </c>
      <c r="R4492" t="s">
        <v>47306</v>
      </c>
      <c r="S4492" t="s">
        <v>47414</v>
      </c>
      <c r="T4492" t="s">
        <v>49004</v>
      </c>
      <c r="U4492" t="s">
        <v>53397</v>
      </c>
      <c r="V4492" t="s">
        <v>63019</v>
      </c>
      <c r="W4492" t="s">
        <v>44445</v>
      </c>
      <c r="X4492" t="s">
        <v>47308</v>
      </c>
    </row>
    <row r="4493" spans="1:24">
      <c r="A4493">
        <f>HYPERLINK("https://www.philgeps.gov.ph/GEPSNONPILOT/Tender/SplashBidNoticeAbstractUI.aspx?menuIndex=3&amp;refID=7197078&amp;Result=3","7197078")</f>
        <v>0</v>
      </c>
      <c r="B4493" t="s">
        <v>928</v>
      </c>
      <c r="C4493" t="s">
        <v>8098</v>
      </c>
      <c r="D4493" t="s">
        <v>19027</v>
      </c>
      <c r="E4493" t="s">
        <v>23095</v>
      </c>
      <c r="F4493" t="s">
        <v>32606</v>
      </c>
      <c r="G4493" t="s">
        <v>32614</v>
      </c>
      <c r="H4493" t="s">
        <v>14201</v>
      </c>
      <c r="I4493" t="s">
        <v>32638</v>
      </c>
      <c r="J4493" t="s">
        <v>35751</v>
      </c>
      <c r="K4493" t="s">
        <v>42623</v>
      </c>
      <c r="M4493" t="s">
        <v>43868</v>
      </c>
      <c r="N4493" t="s">
        <v>47304</v>
      </c>
      <c r="O4493" t="s">
        <v>47305</v>
      </c>
      <c r="P4493">
        <v>0</v>
      </c>
      <c r="Q4493">
        <v>4</v>
      </c>
      <c r="R4493" t="s">
        <v>47306</v>
      </c>
      <c r="S4493" t="s">
        <v>47414</v>
      </c>
      <c r="T4493" t="s">
        <v>48980</v>
      </c>
      <c r="U4493" t="s">
        <v>53398</v>
      </c>
      <c r="W4493" t="s">
        <v>43868</v>
      </c>
      <c r="X4493" t="s">
        <v>47308</v>
      </c>
    </row>
    <row r="4494" spans="1:24">
      <c r="A4494">
        <f>HYPERLINK("https://www.philgeps.gov.ph/GEPSNONPILOT/Tender/SplashBidNoticeAbstractUI.aspx?menuIndex=3&amp;refID=7197076&amp;Result=3","7197076")</f>
        <v>0</v>
      </c>
      <c r="B4494" t="s">
        <v>89</v>
      </c>
      <c r="C4494" t="s">
        <v>8099</v>
      </c>
      <c r="D4494" t="s">
        <v>19018</v>
      </c>
      <c r="E4494" t="s">
        <v>23096</v>
      </c>
      <c r="F4494" t="s">
        <v>32606</v>
      </c>
      <c r="G4494" t="s">
        <v>32613</v>
      </c>
      <c r="H4494" t="s">
        <v>14201</v>
      </c>
      <c r="I4494" t="s">
        <v>6993</v>
      </c>
      <c r="J4494" t="s">
        <v>35752</v>
      </c>
      <c r="K4494" t="s">
        <v>42631</v>
      </c>
      <c r="M4494" t="s">
        <v>42987</v>
      </c>
      <c r="N4494" t="s">
        <v>47304</v>
      </c>
      <c r="O4494" t="s">
        <v>47305</v>
      </c>
      <c r="P4494">
        <v>0</v>
      </c>
      <c r="Q4494">
        <v>1</v>
      </c>
      <c r="R4494" t="s">
        <v>47306</v>
      </c>
      <c r="S4494" t="s">
        <v>47414</v>
      </c>
      <c r="T4494" t="s">
        <v>49008</v>
      </c>
      <c r="U4494" t="s">
        <v>53399</v>
      </c>
      <c r="W4494" t="s">
        <v>42987</v>
      </c>
      <c r="X4494" t="s">
        <v>47308</v>
      </c>
    </row>
    <row r="4495" spans="1:24">
      <c r="A4495">
        <f>HYPERLINK("https://www.philgeps.gov.ph/GEPSNONPILOT/Tender/SplashBidNoticeAbstractUI.aspx?menuIndex=3&amp;refID=7197075&amp;Result=3","7197075")</f>
        <v>0</v>
      </c>
      <c r="B4495" t="s">
        <v>1653</v>
      </c>
      <c r="C4495" t="s">
        <v>8100</v>
      </c>
      <c r="D4495" t="s">
        <v>19056</v>
      </c>
      <c r="E4495" t="s">
        <v>20898</v>
      </c>
      <c r="F4495" t="s">
        <v>32606</v>
      </c>
      <c r="G4495" t="s">
        <v>32613</v>
      </c>
      <c r="H4495" t="s">
        <v>32623</v>
      </c>
      <c r="I4495" t="s">
        <v>17648</v>
      </c>
      <c r="J4495" t="s">
        <v>35753</v>
      </c>
      <c r="K4495" t="s">
        <v>42622</v>
      </c>
      <c r="M4495" t="s">
        <v>44677</v>
      </c>
      <c r="N4495" t="s">
        <v>47304</v>
      </c>
      <c r="O4495" t="s">
        <v>47305</v>
      </c>
      <c r="P4495">
        <v>0</v>
      </c>
      <c r="Q4495">
        <v>1</v>
      </c>
      <c r="R4495" t="s">
        <v>47306</v>
      </c>
      <c r="S4495" t="s">
        <v>47414</v>
      </c>
      <c r="T4495" t="s">
        <v>48983</v>
      </c>
      <c r="U4495" t="s">
        <v>53400</v>
      </c>
      <c r="W4495" t="s">
        <v>44677</v>
      </c>
      <c r="X4495" t="s">
        <v>47308</v>
      </c>
    </row>
    <row r="4496" spans="1:24">
      <c r="A4496">
        <f>HYPERLINK("https://www.philgeps.gov.ph/GEPSNONPILOT/Tender/SplashBidNoticeAbstractUI.aspx?menuIndex=3&amp;refID=7197073&amp;Result=3","7197073")</f>
        <v>0</v>
      </c>
      <c r="B4496" t="s">
        <v>1663</v>
      </c>
      <c r="C4496" t="s">
        <v>8101</v>
      </c>
      <c r="D4496" t="s">
        <v>19023</v>
      </c>
      <c r="E4496" t="s">
        <v>23097</v>
      </c>
      <c r="F4496" t="s">
        <v>32606</v>
      </c>
      <c r="G4496" t="s">
        <v>32613</v>
      </c>
      <c r="H4496" t="s">
        <v>14201</v>
      </c>
      <c r="I4496" t="s">
        <v>6931</v>
      </c>
      <c r="J4496" t="s">
        <v>35754</v>
      </c>
      <c r="K4496" t="s">
        <v>42646</v>
      </c>
      <c r="M4496" t="s">
        <v>44689</v>
      </c>
      <c r="N4496" t="s">
        <v>47304</v>
      </c>
      <c r="O4496" t="s">
        <v>47305</v>
      </c>
      <c r="P4496">
        <v>0</v>
      </c>
      <c r="Q4496">
        <v>0</v>
      </c>
      <c r="R4496" t="s">
        <v>47306</v>
      </c>
      <c r="S4496" t="s">
        <v>47414</v>
      </c>
      <c r="T4496" t="s">
        <v>49031</v>
      </c>
      <c r="U4496" t="s">
        <v>53401</v>
      </c>
      <c r="W4496" t="s">
        <v>46318</v>
      </c>
      <c r="X4496" t="s">
        <v>47308</v>
      </c>
    </row>
    <row r="4497" spans="1:24">
      <c r="A4497">
        <f>HYPERLINK("https://www.philgeps.gov.ph/GEPSNONPILOT/Tender/SplashBidNoticeAbstractUI.aspx?menuIndex=3&amp;refID=7197058&amp;Result=3","7197058")</f>
        <v>0</v>
      </c>
      <c r="B4497" t="s">
        <v>1678</v>
      </c>
      <c r="C4497" t="s">
        <v>8102</v>
      </c>
      <c r="D4497" t="s">
        <v>18993</v>
      </c>
      <c r="E4497" t="s">
        <v>23098</v>
      </c>
      <c r="F4497" t="s">
        <v>32606</v>
      </c>
      <c r="G4497" t="s">
        <v>32613</v>
      </c>
      <c r="H4497" t="s">
        <v>14201</v>
      </c>
      <c r="I4497" t="s">
        <v>32656</v>
      </c>
      <c r="J4497" t="s">
        <v>35755</v>
      </c>
      <c r="K4497" t="s">
        <v>42636</v>
      </c>
      <c r="M4497" t="s">
        <v>44706</v>
      </c>
      <c r="N4497" t="s">
        <v>47304</v>
      </c>
      <c r="O4497" t="s">
        <v>47305</v>
      </c>
      <c r="P4497">
        <v>0</v>
      </c>
      <c r="Q4497">
        <v>2</v>
      </c>
      <c r="R4497" t="s">
        <v>47306</v>
      </c>
      <c r="S4497" t="s">
        <v>47414</v>
      </c>
      <c r="T4497" t="s">
        <v>49288</v>
      </c>
      <c r="U4497" t="s">
        <v>53402</v>
      </c>
      <c r="V4497" t="s">
        <v>63076</v>
      </c>
      <c r="W4497" t="s">
        <v>44706</v>
      </c>
      <c r="X4497" t="s">
        <v>47308</v>
      </c>
    </row>
    <row r="4498" spans="1:24">
      <c r="A4498">
        <f>HYPERLINK("https://www.philgeps.gov.ph/GEPSNONPILOT/Tender/SplashBidNoticeAbstractUI.aspx?menuIndex=3&amp;refID=7197072&amp;Result=3","7197072")</f>
        <v>0</v>
      </c>
      <c r="B4498" t="s">
        <v>1679</v>
      </c>
      <c r="C4498" t="s">
        <v>8103</v>
      </c>
      <c r="D4498" t="s">
        <v>18994</v>
      </c>
      <c r="E4498" t="s">
        <v>23099</v>
      </c>
      <c r="F4498" t="s">
        <v>32606</v>
      </c>
      <c r="G4498" t="s">
        <v>32614</v>
      </c>
      <c r="H4498" t="s">
        <v>14201</v>
      </c>
      <c r="I4498" t="s">
        <v>6007</v>
      </c>
      <c r="J4498" t="s">
        <v>32752</v>
      </c>
      <c r="K4498" t="s">
        <v>42625</v>
      </c>
      <c r="M4498" t="s">
        <v>44707</v>
      </c>
      <c r="N4498" t="s">
        <v>47304</v>
      </c>
      <c r="O4498" t="s">
        <v>47305</v>
      </c>
      <c r="P4498">
        <v>0</v>
      </c>
      <c r="Q4498">
        <v>1</v>
      </c>
      <c r="R4498" t="s">
        <v>47306</v>
      </c>
      <c r="S4498" t="s">
        <v>47414</v>
      </c>
      <c r="T4498" t="s">
        <v>49004</v>
      </c>
      <c r="U4498" t="s">
        <v>53403</v>
      </c>
      <c r="W4498" t="s">
        <v>44707</v>
      </c>
      <c r="X4498" t="s">
        <v>47308</v>
      </c>
    </row>
    <row r="4499" spans="1:24">
      <c r="A4499">
        <f>HYPERLINK("https://www.philgeps.gov.ph/GEPSNONPILOT/Tender/SplashBidNoticeAbstractUI.aspx?menuIndex=3&amp;refID=7197082&amp;Result=3","7197082")</f>
        <v>0</v>
      </c>
      <c r="B4499" t="s">
        <v>1680</v>
      </c>
      <c r="C4499" t="s">
        <v>8104</v>
      </c>
      <c r="D4499" t="s">
        <v>18992</v>
      </c>
      <c r="E4499" t="s">
        <v>23100</v>
      </c>
      <c r="F4499" t="s">
        <v>32606</v>
      </c>
      <c r="G4499" t="s">
        <v>32614</v>
      </c>
      <c r="H4499" t="s">
        <v>14201</v>
      </c>
      <c r="I4499" t="s">
        <v>6007</v>
      </c>
      <c r="J4499" t="s">
        <v>32885</v>
      </c>
      <c r="K4499" t="s">
        <v>42632</v>
      </c>
      <c r="M4499" t="s">
        <v>44708</v>
      </c>
      <c r="N4499" t="s">
        <v>47304</v>
      </c>
      <c r="O4499" t="s">
        <v>47305</v>
      </c>
      <c r="P4499">
        <v>0</v>
      </c>
      <c r="Q4499">
        <v>0</v>
      </c>
      <c r="R4499" t="s">
        <v>47306</v>
      </c>
      <c r="S4499" t="s">
        <v>47414</v>
      </c>
      <c r="T4499" t="s">
        <v>49014</v>
      </c>
      <c r="U4499" t="s">
        <v>53404</v>
      </c>
      <c r="W4499" t="s">
        <v>44708</v>
      </c>
      <c r="X4499" t="s">
        <v>47308</v>
      </c>
    </row>
    <row r="4500" spans="1:24">
      <c r="A4500">
        <f>HYPERLINK("https://www.philgeps.gov.ph/GEPSNONPILOT/Tender/SplashBidNoticeAbstractUI.aspx?menuIndex=3&amp;refID=7197067&amp;Result=3","7197067")</f>
        <v>0</v>
      </c>
      <c r="B4500" t="s">
        <v>639</v>
      </c>
      <c r="C4500" t="s">
        <v>8105</v>
      </c>
      <c r="E4500" t="s">
        <v>21061</v>
      </c>
      <c r="F4500" t="s">
        <v>32606</v>
      </c>
      <c r="G4500" t="s">
        <v>32614</v>
      </c>
      <c r="H4500" t="s">
        <v>14201</v>
      </c>
      <c r="I4500" t="s">
        <v>6478</v>
      </c>
      <c r="J4500" t="s">
        <v>35756</v>
      </c>
      <c r="K4500" t="s">
        <v>42624</v>
      </c>
      <c r="M4500" t="s">
        <v>44433</v>
      </c>
      <c r="N4500" t="s">
        <v>47304</v>
      </c>
      <c r="O4500" t="s">
        <v>47305</v>
      </c>
      <c r="P4500">
        <v>0</v>
      </c>
      <c r="Q4500">
        <v>1</v>
      </c>
      <c r="R4500" t="s">
        <v>47306</v>
      </c>
      <c r="S4500" t="s">
        <v>47414</v>
      </c>
      <c r="T4500" t="s">
        <v>48976</v>
      </c>
      <c r="U4500" t="s">
        <v>52675</v>
      </c>
      <c r="W4500" t="s">
        <v>44433</v>
      </c>
      <c r="X4500" t="s">
        <v>47308</v>
      </c>
    </row>
    <row r="4501" spans="1:24">
      <c r="A4501">
        <f>HYPERLINK("https://www.philgeps.gov.ph/GEPSNONPILOT/Tender/SplashBidNoticeAbstractUI.aspx?menuIndex=3&amp;refID=7197077&amp;Result=3","7197077")</f>
        <v>0</v>
      </c>
      <c r="B4501" t="s">
        <v>1660</v>
      </c>
      <c r="C4501" t="s">
        <v>8106</v>
      </c>
      <c r="D4501" t="s">
        <v>19011</v>
      </c>
      <c r="E4501" t="s">
        <v>23101</v>
      </c>
      <c r="F4501" t="s">
        <v>32606</v>
      </c>
      <c r="G4501" t="s">
        <v>32613</v>
      </c>
      <c r="H4501" t="s">
        <v>14201</v>
      </c>
      <c r="I4501" t="s">
        <v>32633</v>
      </c>
      <c r="J4501" t="s">
        <v>35757</v>
      </c>
      <c r="K4501" t="s">
        <v>42623</v>
      </c>
      <c r="M4501" t="s">
        <v>44685</v>
      </c>
      <c r="N4501" t="s">
        <v>47304</v>
      </c>
      <c r="O4501" t="s">
        <v>47305</v>
      </c>
      <c r="P4501">
        <v>0</v>
      </c>
      <c r="Q4501">
        <v>9</v>
      </c>
      <c r="R4501" t="s">
        <v>47306</v>
      </c>
      <c r="S4501" t="s">
        <v>47414</v>
      </c>
      <c r="T4501" t="s">
        <v>49153</v>
      </c>
      <c r="U4501" t="s">
        <v>53354</v>
      </c>
      <c r="V4501" t="s">
        <v>63054</v>
      </c>
      <c r="W4501" t="s">
        <v>44685</v>
      </c>
      <c r="X4501" t="s">
        <v>47308</v>
      </c>
    </row>
    <row r="4502" spans="1:24">
      <c r="A4502">
        <f>HYPERLINK("https://www.philgeps.gov.ph/GEPSNONPILOT/Tender/SplashBidNoticeAbstractUI.aspx?menuIndex=3&amp;refID=7197038&amp;Result=3","7197038")</f>
        <v>0</v>
      </c>
      <c r="B4502" t="s">
        <v>1481</v>
      </c>
      <c r="C4502" t="s">
        <v>8107</v>
      </c>
      <c r="D4502" t="s">
        <v>19012</v>
      </c>
      <c r="E4502" t="s">
        <v>23102</v>
      </c>
      <c r="F4502" t="s">
        <v>32606</v>
      </c>
      <c r="G4502" t="s">
        <v>32614</v>
      </c>
      <c r="H4502" t="s">
        <v>14201</v>
      </c>
      <c r="I4502" t="s">
        <v>4120</v>
      </c>
      <c r="J4502" t="s">
        <v>35758</v>
      </c>
      <c r="K4502" t="s">
        <v>42632</v>
      </c>
      <c r="M4502" t="s">
        <v>44709</v>
      </c>
      <c r="N4502" t="s">
        <v>47304</v>
      </c>
      <c r="O4502" t="s">
        <v>47305</v>
      </c>
      <c r="P4502">
        <v>0</v>
      </c>
      <c r="Q4502">
        <v>0</v>
      </c>
      <c r="R4502" t="s">
        <v>47306</v>
      </c>
      <c r="S4502" t="s">
        <v>47414</v>
      </c>
      <c r="T4502" t="s">
        <v>49050</v>
      </c>
      <c r="U4502" t="s">
        <v>53405</v>
      </c>
      <c r="W4502" t="s">
        <v>44709</v>
      </c>
      <c r="X4502" t="s">
        <v>47308</v>
      </c>
    </row>
    <row r="4503" spans="1:24">
      <c r="A4503">
        <f>HYPERLINK("https://www.philgeps.gov.ph/GEPSNONPILOT/Tender/SplashBidNoticeAbstractUI.aspx?menuIndex=3&amp;refID=7197019&amp;Result=3","7197019")</f>
        <v>0</v>
      </c>
      <c r="B4503" t="s">
        <v>1653</v>
      </c>
      <c r="C4503" t="s">
        <v>8108</v>
      </c>
      <c r="D4503" t="s">
        <v>19056</v>
      </c>
      <c r="E4503" t="s">
        <v>19786</v>
      </c>
      <c r="F4503" t="s">
        <v>32606</v>
      </c>
      <c r="G4503" t="s">
        <v>32613</v>
      </c>
      <c r="H4503" t="s">
        <v>32623</v>
      </c>
      <c r="I4503" t="s">
        <v>17648</v>
      </c>
      <c r="J4503" t="s">
        <v>35759</v>
      </c>
      <c r="K4503" t="s">
        <v>42629</v>
      </c>
      <c r="M4503" t="s">
        <v>44677</v>
      </c>
      <c r="N4503" t="s">
        <v>47304</v>
      </c>
      <c r="O4503" t="s">
        <v>47305</v>
      </c>
      <c r="P4503">
        <v>0</v>
      </c>
      <c r="Q4503">
        <v>1</v>
      </c>
      <c r="R4503" t="s">
        <v>47306</v>
      </c>
      <c r="S4503" t="s">
        <v>47414</v>
      </c>
      <c r="T4503" t="s">
        <v>48983</v>
      </c>
      <c r="U4503" t="s">
        <v>53406</v>
      </c>
      <c r="W4503" t="s">
        <v>44677</v>
      </c>
      <c r="X4503" t="s">
        <v>47308</v>
      </c>
    </row>
    <row r="4504" spans="1:24">
      <c r="A4504">
        <f>HYPERLINK("https://www.philgeps.gov.ph/GEPSNONPILOT/Tender/SplashBidNoticeAbstractUI.aspx?menuIndex=3&amp;refID=7197041&amp;Result=3","7197041")</f>
        <v>0</v>
      </c>
      <c r="B4504" t="s">
        <v>1663</v>
      </c>
      <c r="C4504" t="s">
        <v>8109</v>
      </c>
      <c r="D4504" t="s">
        <v>19023</v>
      </c>
      <c r="E4504" t="s">
        <v>23103</v>
      </c>
      <c r="F4504" t="s">
        <v>32606</v>
      </c>
      <c r="G4504" t="s">
        <v>32613</v>
      </c>
      <c r="H4504" t="s">
        <v>14201</v>
      </c>
      <c r="I4504" t="s">
        <v>6931</v>
      </c>
      <c r="J4504" t="s">
        <v>35760</v>
      </c>
      <c r="K4504" t="s">
        <v>42631</v>
      </c>
      <c r="M4504" t="s">
        <v>44689</v>
      </c>
      <c r="N4504" t="s">
        <v>47304</v>
      </c>
      <c r="O4504" t="s">
        <v>47305</v>
      </c>
      <c r="P4504">
        <v>0</v>
      </c>
      <c r="Q4504">
        <v>0</v>
      </c>
      <c r="R4504" t="s">
        <v>47306</v>
      </c>
      <c r="S4504" t="s">
        <v>47414</v>
      </c>
      <c r="T4504" t="s">
        <v>49031</v>
      </c>
      <c r="U4504" t="s">
        <v>53407</v>
      </c>
      <c r="W4504" t="s">
        <v>46318</v>
      </c>
      <c r="X4504" t="s">
        <v>47308</v>
      </c>
    </row>
    <row r="4505" spans="1:24">
      <c r="A4505">
        <f>HYPERLINK("https://www.philgeps.gov.ph/GEPSNONPILOT/Tender/SplashBidNoticeAbstractUI.aspx?menuIndex=3&amp;refID=7197018&amp;Result=3","7197018")</f>
        <v>0</v>
      </c>
      <c r="B4505" t="s">
        <v>365</v>
      </c>
      <c r="C4505" t="s">
        <v>8110</v>
      </c>
      <c r="D4505" t="s">
        <v>19039</v>
      </c>
      <c r="E4505" t="s">
        <v>23104</v>
      </c>
      <c r="F4505" t="s">
        <v>32606</v>
      </c>
      <c r="G4505" t="s">
        <v>32613</v>
      </c>
      <c r="H4505" t="s">
        <v>14201</v>
      </c>
      <c r="I4505" t="s">
        <v>32663</v>
      </c>
      <c r="J4505" t="s">
        <v>32795</v>
      </c>
      <c r="K4505" t="s">
        <v>42627</v>
      </c>
      <c r="M4505" t="s">
        <v>43267</v>
      </c>
      <c r="N4505" t="s">
        <v>47304</v>
      </c>
      <c r="O4505" t="s">
        <v>47305</v>
      </c>
      <c r="P4505">
        <v>0</v>
      </c>
      <c r="Q4505">
        <v>7</v>
      </c>
      <c r="R4505" t="s">
        <v>47306</v>
      </c>
      <c r="S4505" t="s">
        <v>47414</v>
      </c>
      <c r="T4505" t="s">
        <v>48988</v>
      </c>
      <c r="U4505" t="s">
        <v>53408</v>
      </c>
      <c r="W4505" t="s">
        <v>43267</v>
      </c>
      <c r="X4505" t="s">
        <v>47308</v>
      </c>
    </row>
    <row r="4506" spans="1:24">
      <c r="A4506">
        <f>HYPERLINK("https://www.philgeps.gov.ph/GEPSNONPILOT/Tender/SplashBidNoticeAbstractUI.aspx?menuIndex=3&amp;refID=7197040&amp;Result=3","7197040")</f>
        <v>0</v>
      </c>
      <c r="B4506" t="s">
        <v>1653</v>
      </c>
      <c r="C4506" t="s">
        <v>8111</v>
      </c>
      <c r="D4506" t="s">
        <v>19056</v>
      </c>
      <c r="E4506" t="s">
        <v>20544</v>
      </c>
      <c r="F4506" t="s">
        <v>32606</v>
      </c>
      <c r="G4506" t="s">
        <v>32613</v>
      </c>
      <c r="H4506" t="s">
        <v>32623</v>
      </c>
      <c r="I4506" t="s">
        <v>17648</v>
      </c>
      <c r="J4506" t="s">
        <v>35761</v>
      </c>
      <c r="K4506" t="s">
        <v>42622</v>
      </c>
      <c r="M4506" t="s">
        <v>44677</v>
      </c>
      <c r="N4506" t="s">
        <v>47304</v>
      </c>
      <c r="O4506" t="s">
        <v>47305</v>
      </c>
      <c r="P4506">
        <v>0</v>
      </c>
      <c r="Q4506">
        <v>1</v>
      </c>
      <c r="R4506" t="s">
        <v>47306</v>
      </c>
      <c r="S4506" t="s">
        <v>47414</v>
      </c>
      <c r="T4506" t="s">
        <v>48983</v>
      </c>
      <c r="U4506" t="s">
        <v>53409</v>
      </c>
      <c r="W4506" t="s">
        <v>44677</v>
      </c>
      <c r="X4506" t="s">
        <v>47308</v>
      </c>
    </row>
    <row r="4507" spans="1:24">
      <c r="A4507">
        <f>HYPERLINK("https://www.philgeps.gov.ph/GEPSNONPILOT/Tender/SplashBidNoticeAbstractUI.aspx?menuIndex=3&amp;refID=7197016&amp;Result=3","7197016")</f>
        <v>0</v>
      </c>
      <c r="B4507" t="s">
        <v>1268</v>
      </c>
      <c r="C4507" t="s">
        <v>8112</v>
      </c>
      <c r="D4507" t="s">
        <v>18991</v>
      </c>
      <c r="E4507" t="s">
        <v>23105</v>
      </c>
      <c r="F4507" t="s">
        <v>32606</v>
      </c>
      <c r="G4507" t="s">
        <v>32619</v>
      </c>
      <c r="H4507" t="s">
        <v>14201</v>
      </c>
      <c r="I4507" t="s">
        <v>4114</v>
      </c>
      <c r="J4507" t="s">
        <v>35701</v>
      </c>
      <c r="K4507" t="s">
        <v>42629</v>
      </c>
      <c r="M4507" t="s">
        <v>44236</v>
      </c>
      <c r="N4507" t="s">
        <v>47304</v>
      </c>
      <c r="O4507" t="s">
        <v>47305</v>
      </c>
      <c r="P4507">
        <v>0</v>
      </c>
      <c r="Q4507">
        <v>3</v>
      </c>
      <c r="R4507" t="s">
        <v>47306</v>
      </c>
      <c r="S4507" t="s">
        <v>47414</v>
      </c>
      <c r="T4507" t="s">
        <v>48979</v>
      </c>
      <c r="U4507" t="s">
        <v>53326</v>
      </c>
      <c r="W4507" t="s">
        <v>44236</v>
      </c>
      <c r="X4507" t="s">
        <v>47308</v>
      </c>
    </row>
    <row r="4508" spans="1:24">
      <c r="A4508">
        <f>HYPERLINK("https://www.philgeps.gov.ph/GEPSNONPILOT/Tender/SplashBidNoticeAbstractUI.aspx?menuIndex=3&amp;refID=7197015&amp;Result=3","7197015")</f>
        <v>0</v>
      </c>
      <c r="B4508" t="s">
        <v>1290</v>
      </c>
      <c r="C4508" t="s">
        <v>8113</v>
      </c>
      <c r="D4508" t="s">
        <v>18994</v>
      </c>
      <c r="E4508" t="s">
        <v>23106</v>
      </c>
      <c r="F4508" t="s">
        <v>32606</v>
      </c>
      <c r="G4508" t="s">
        <v>32613</v>
      </c>
      <c r="H4508" t="s">
        <v>32623</v>
      </c>
      <c r="I4508" t="s">
        <v>17648</v>
      </c>
      <c r="J4508" t="s">
        <v>35762</v>
      </c>
      <c r="K4508" t="s">
        <v>42648</v>
      </c>
      <c r="M4508" t="s">
        <v>44262</v>
      </c>
      <c r="N4508" t="s">
        <v>47304</v>
      </c>
      <c r="O4508" t="s">
        <v>47305</v>
      </c>
      <c r="P4508">
        <v>0</v>
      </c>
      <c r="Q4508">
        <v>1</v>
      </c>
      <c r="R4508" t="s">
        <v>47306</v>
      </c>
      <c r="S4508" t="s">
        <v>47414</v>
      </c>
      <c r="T4508" t="s">
        <v>49040</v>
      </c>
      <c r="U4508" t="s">
        <v>53410</v>
      </c>
      <c r="W4508" t="s">
        <v>44262</v>
      </c>
      <c r="X4508" t="s">
        <v>47308</v>
      </c>
    </row>
    <row r="4509" spans="1:24">
      <c r="A4509">
        <f>HYPERLINK("https://www.philgeps.gov.ph/GEPSNONPILOT/Tender/SplashBidNoticeAbstractUI.aspx?menuIndex=3&amp;refID=7197020&amp;Result=3","7197020")</f>
        <v>0</v>
      </c>
      <c r="B4509" t="s">
        <v>91</v>
      </c>
      <c r="C4509" t="s">
        <v>8114</v>
      </c>
      <c r="D4509" t="s">
        <v>19023</v>
      </c>
      <c r="E4509" t="s">
        <v>23107</v>
      </c>
      <c r="F4509" t="s">
        <v>32606</v>
      </c>
      <c r="G4509" t="s">
        <v>32614</v>
      </c>
      <c r="H4509" t="s">
        <v>14201</v>
      </c>
      <c r="I4509" t="s">
        <v>32632</v>
      </c>
      <c r="J4509" t="s">
        <v>35763</v>
      </c>
      <c r="K4509" t="s">
        <v>42631</v>
      </c>
      <c r="M4509" t="s">
        <v>44703</v>
      </c>
      <c r="N4509" t="s">
        <v>47304</v>
      </c>
      <c r="O4509" t="s">
        <v>47305</v>
      </c>
      <c r="P4509">
        <v>0</v>
      </c>
      <c r="Q4509">
        <v>2</v>
      </c>
      <c r="R4509" t="s">
        <v>47306</v>
      </c>
      <c r="S4509" t="s">
        <v>47414</v>
      </c>
      <c r="T4509" t="s">
        <v>49004</v>
      </c>
      <c r="U4509" t="s">
        <v>53411</v>
      </c>
      <c r="W4509" t="s">
        <v>44703</v>
      </c>
      <c r="X4509" t="s">
        <v>47308</v>
      </c>
    </row>
    <row r="4510" spans="1:24">
      <c r="A4510">
        <f>HYPERLINK("https://www.philgeps.gov.ph/GEPSNONPILOT/Tender/SplashBidNoticeAbstractUI.aspx?menuIndex=3&amp;refID=7196999&amp;Result=3","7196999")</f>
        <v>0</v>
      </c>
      <c r="B4510" t="s">
        <v>522</v>
      </c>
      <c r="C4510" t="s">
        <v>8115</v>
      </c>
      <c r="D4510" t="s">
        <v>19040</v>
      </c>
      <c r="E4510" t="s">
        <v>23108</v>
      </c>
      <c r="F4510" t="s">
        <v>32606</v>
      </c>
      <c r="G4510" t="s">
        <v>32613</v>
      </c>
      <c r="H4510" t="s">
        <v>14201</v>
      </c>
      <c r="I4510" t="s">
        <v>4678</v>
      </c>
      <c r="J4510" t="s">
        <v>35547</v>
      </c>
      <c r="K4510" t="s">
        <v>42623</v>
      </c>
      <c r="M4510" t="s">
        <v>43435</v>
      </c>
      <c r="N4510" t="s">
        <v>47304</v>
      </c>
      <c r="O4510" t="s">
        <v>47305</v>
      </c>
      <c r="P4510">
        <v>0</v>
      </c>
      <c r="Q4510">
        <v>2</v>
      </c>
      <c r="R4510" t="s">
        <v>47306</v>
      </c>
      <c r="S4510" t="s">
        <v>47414</v>
      </c>
      <c r="T4510" t="s">
        <v>49289</v>
      </c>
      <c r="U4510" t="s">
        <v>53412</v>
      </c>
      <c r="W4510" t="s">
        <v>43435</v>
      </c>
      <c r="X4510" t="s">
        <v>47308</v>
      </c>
    </row>
    <row r="4511" spans="1:24">
      <c r="A4511">
        <f>HYPERLINK("https://www.philgeps.gov.ph/GEPSNONPILOT/Tender/SplashBidNoticeAbstractUI.aspx?menuIndex=3&amp;refID=7196998&amp;Result=3","7196998")</f>
        <v>0</v>
      </c>
      <c r="B4511" t="s">
        <v>1681</v>
      </c>
      <c r="C4511" t="s">
        <v>8116</v>
      </c>
      <c r="D4511" t="s">
        <v>18993</v>
      </c>
      <c r="E4511" t="s">
        <v>23109</v>
      </c>
      <c r="F4511" t="s">
        <v>32606</v>
      </c>
      <c r="G4511" t="s">
        <v>32614</v>
      </c>
      <c r="H4511" t="s">
        <v>14201</v>
      </c>
      <c r="I4511" t="s">
        <v>6993</v>
      </c>
      <c r="J4511" t="s">
        <v>35764</v>
      </c>
      <c r="K4511" t="s">
        <v>42630</v>
      </c>
      <c r="M4511" t="s">
        <v>44710</v>
      </c>
      <c r="N4511" t="s">
        <v>47304</v>
      </c>
      <c r="O4511" t="s">
        <v>47305</v>
      </c>
      <c r="P4511">
        <v>0</v>
      </c>
      <c r="Q4511">
        <v>0</v>
      </c>
      <c r="R4511" t="s">
        <v>47306</v>
      </c>
      <c r="S4511" t="s">
        <v>47414</v>
      </c>
      <c r="T4511" t="s">
        <v>49290</v>
      </c>
      <c r="U4511" t="s">
        <v>53413</v>
      </c>
      <c r="W4511" t="s">
        <v>44710</v>
      </c>
      <c r="X4511" t="s">
        <v>47308</v>
      </c>
    </row>
    <row r="4512" spans="1:24">
      <c r="A4512">
        <f>HYPERLINK("https://www.philgeps.gov.ph/GEPSNONPILOT/Tender/SplashBidNoticeAbstractUI.aspx?menuIndex=3&amp;refID=7196997&amp;Result=3","7196997")</f>
        <v>0</v>
      </c>
      <c r="B4512" t="s">
        <v>1675</v>
      </c>
      <c r="C4512" t="s">
        <v>8117</v>
      </c>
      <c r="D4512" t="s">
        <v>19006</v>
      </c>
      <c r="E4512" t="s">
        <v>23110</v>
      </c>
      <c r="F4512" t="s">
        <v>32606</v>
      </c>
      <c r="G4512" t="s">
        <v>32614</v>
      </c>
      <c r="H4512" t="s">
        <v>14201</v>
      </c>
      <c r="I4512" t="s">
        <v>32673</v>
      </c>
      <c r="J4512" t="s">
        <v>32927</v>
      </c>
      <c r="K4512" t="s">
        <v>42623</v>
      </c>
      <c r="M4512" t="s">
        <v>44702</v>
      </c>
      <c r="N4512" t="s">
        <v>47304</v>
      </c>
      <c r="O4512" t="s">
        <v>47305</v>
      </c>
      <c r="P4512">
        <v>0</v>
      </c>
      <c r="Q4512">
        <v>1</v>
      </c>
      <c r="R4512" t="s">
        <v>47306</v>
      </c>
      <c r="S4512" t="s">
        <v>47414</v>
      </c>
      <c r="T4512" t="s">
        <v>48980</v>
      </c>
      <c r="U4512" t="s">
        <v>53414</v>
      </c>
      <c r="W4512" t="s">
        <v>44702</v>
      </c>
      <c r="X4512" t="s">
        <v>47308</v>
      </c>
    </row>
    <row r="4513" spans="1:24">
      <c r="A4513">
        <f>HYPERLINK("https://www.philgeps.gov.ph/GEPSNONPILOT/Tender/SplashBidNoticeAbstractUI.aspx?menuIndex=3&amp;refID=7197112&amp;Result=3","7197112")</f>
        <v>0</v>
      </c>
      <c r="B4513" t="s">
        <v>1433</v>
      </c>
      <c r="C4513" t="s">
        <v>8118</v>
      </c>
      <c r="D4513" t="s">
        <v>19029</v>
      </c>
      <c r="E4513" t="s">
        <v>23111</v>
      </c>
      <c r="F4513" t="s">
        <v>32606</v>
      </c>
      <c r="G4513" t="s">
        <v>32614</v>
      </c>
      <c r="H4513" t="s">
        <v>14201</v>
      </c>
      <c r="I4513" t="s">
        <v>4369</v>
      </c>
      <c r="J4513" t="s">
        <v>32813</v>
      </c>
      <c r="K4513" t="s">
        <v>42622</v>
      </c>
      <c r="M4513" t="s">
        <v>44422</v>
      </c>
      <c r="N4513" t="s">
        <v>47304</v>
      </c>
      <c r="O4513" t="s">
        <v>47305</v>
      </c>
      <c r="P4513">
        <v>0</v>
      </c>
      <c r="Q4513">
        <v>8</v>
      </c>
      <c r="R4513" t="s">
        <v>47306</v>
      </c>
      <c r="S4513" t="s">
        <v>47414</v>
      </c>
      <c r="T4513" t="s">
        <v>48976</v>
      </c>
      <c r="U4513" t="s">
        <v>52637</v>
      </c>
      <c r="W4513" t="s">
        <v>64473</v>
      </c>
      <c r="X4513" t="s">
        <v>47308</v>
      </c>
    </row>
    <row r="4514" spans="1:24">
      <c r="A4514">
        <f>HYPERLINK("https://www.philgeps.gov.ph/GEPSNONPILOT/Tender/SplashBidNoticeAbstractUI.aspx?menuIndex=3&amp;refID=7197000&amp;Result=3","7197000")</f>
        <v>0</v>
      </c>
      <c r="B4514" t="s">
        <v>1268</v>
      </c>
      <c r="C4514" t="s">
        <v>8119</v>
      </c>
      <c r="D4514" t="s">
        <v>18991</v>
      </c>
      <c r="E4514" t="s">
        <v>20784</v>
      </c>
      <c r="F4514" t="s">
        <v>32606</v>
      </c>
      <c r="G4514" t="s">
        <v>32619</v>
      </c>
      <c r="H4514" t="s">
        <v>14201</v>
      </c>
      <c r="I4514" t="s">
        <v>4114</v>
      </c>
      <c r="J4514" t="s">
        <v>35765</v>
      </c>
      <c r="K4514" t="s">
        <v>42629</v>
      </c>
      <c r="M4514" t="s">
        <v>44236</v>
      </c>
      <c r="N4514" t="s">
        <v>47304</v>
      </c>
      <c r="O4514" t="s">
        <v>47305</v>
      </c>
      <c r="P4514">
        <v>0</v>
      </c>
      <c r="Q4514">
        <v>2</v>
      </c>
      <c r="R4514" t="s">
        <v>47306</v>
      </c>
      <c r="S4514" t="s">
        <v>47414</v>
      </c>
      <c r="T4514" t="s">
        <v>48979</v>
      </c>
      <c r="U4514" t="s">
        <v>53415</v>
      </c>
      <c r="W4514" t="s">
        <v>44236</v>
      </c>
      <c r="X4514" t="s">
        <v>47308</v>
      </c>
    </row>
    <row r="4515" spans="1:24">
      <c r="A4515">
        <f>HYPERLINK("https://www.philgeps.gov.ph/GEPSNONPILOT/Tender/SplashBidNoticeAbstractUI.aspx?menuIndex=3&amp;refID=7197110&amp;Result=3","7197110")</f>
        <v>0</v>
      </c>
      <c r="B4515" t="s">
        <v>1676</v>
      </c>
      <c r="C4515" t="s">
        <v>8120</v>
      </c>
      <c r="D4515" t="s">
        <v>18993</v>
      </c>
      <c r="E4515" t="s">
        <v>20519</v>
      </c>
      <c r="F4515" t="s">
        <v>32606</v>
      </c>
      <c r="G4515" t="s">
        <v>32613</v>
      </c>
      <c r="H4515" t="s">
        <v>14201</v>
      </c>
      <c r="I4515" t="s">
        <v>32673</v>
      </c>
      <c r="J4515" t="s">
        <v>33263</v>
      </c>
      <c r="K4515" t="s">
        <v>42631</v>
      </c>
      <c r="M4515" t="s">
        <v>44704</v>
      </c>
      <c r="N4515" t="s">
        <v>47304</v>
      </c>
      <c r="O4515" t="s">
        <v>47305</v>
      </c>
      <c r="P4515">
        <v>0</v>
      </c>
      <c r="Q4515">
        <v>1</v>
      </c>
      <c r="R4515" t="s">
        <v>47306</v>
      </c>
      <c r="S4515" t="s">
        <v>47414</v>
      </c>
      <c r="T4515" t="s">
        <v>49287</v>
      </c>
      <c r="U4515" t="s">
        <v>53416</v>
      </c>
      <c r="W4515" t="s">
        <v>44704</v>
      </c>
      <c r="X4515" t="s">
        <v>47308</v>
      </c>
    </row>
    <row r="4516" spans="1:24">
      <c r="A4516">
        <f>HYPERLINK("https://www.philgeps.gov.ph/GEPSNONPILOT/Tender/SplashBidNoticeAbstractUI.aspx?menuIndex=3&amp;refID=7197068&amp;Result=3","7197068")</f>
        <v>0</v>
      </c>
      <c r="B4516" t="s">
        <v>1682</v>
      </c>
      <c r="C4516" t="s">
        <v>8121</v>
      </c>
      <c r="D4516" t="s">
        <v>19054</v>
      </c>
      <c r="E4516" t="s">
        <v>23112</v>
      </c>
      <c r="F4516" t="s">
        <v>32606</v>
      </c>
      <c r="G4516" t="s">
        <v>32618</v>
      </c>
      <c r="H4516" t="s">
        <v>14201</v>
      </c>
      <c r="I4516" t="s">
        <v>4369</v>
      </c>
      <c r="J4516" t="s">
        <v>35766</v>
      </c>
      <c r="K4516" t="s">
        <v>42627</v>
      </c>
      <c r="M4516" t="s">
        <v>44711</v>
      </c>
      <c r="N4516" t="s">
        <v>47304</v>
      </c>
      <c r="O4516" t="s">
        <v>47305</v>
      </c>
      <c r="P4516">
        <v>0</v>
      </c>
      <c r="Q4516">
        <v>0</v>
      </c>
      <c r="R4516" t="s">
        <v>47306</v>
      </c>
      <c r="S4516" t="s">
        <v>47414</v>
      </c>
      <c r="T4516" t="s">
        <v>49003</v>
      </c>
      <c r="U4516" t="s">
        <v>53417</v>
      </c>
      <c r="V4516" t="s">
        <v>63077</v>
      </c>
      <c r="W4516" t="s">
        <v>44711</v>
      </c>
      <c r="X4516" t="s">
        <v>47308</v>
      </c>
    </row>
    <row r="4517" spans="1:24">
      <c r="A4517">
        <f>HYPERLINK("https://www.philgeps.gov.ph/GEPSNONPILOT/Tender/SplashBidNoticeAbstractUI.aspx?menuIndex=3&amp;refID=7197017&amp;Result=3","7197017")</f>
        <v>0</v>
      </c>
      <c r="B4517" t="s">
        <v>836</v>
      </c>
      <c r="C4517" t="s">
        <v>8122</v>
      </c>
      <c r="E4517" t="s">
        <v>23113</v>
      </c>
      <c r="F4517" t="s">
        <v>32606</v>
      </c>
      <c r="G4517" t="s">
        <v>32614</v>
      </c>
      <c r="H4517" t="s">
        <v>14201</v>
      </c>
      <c r="I4517" t="s">
        <v>32640</v>
      </c>
      <c r="J4517" t="s">
        <v>35767</v>
      </c>
      <c r="K4517" t="s">
        <v>42624</v>
      </c>
      <c r="M4517" t="s">
        <v>43768</v>
      </c>
      <c r="N4517" t="s">
        <v>47304</v>
      </c>
      <c r="O4517" t="s">
        <v>47305</v>
      </c>
      <c r="P4517">
        <v>0</v>
      </c>
      <c r="Q4517">
        <v>0</v>
      </c>
      <c r="R4517" t="s">
        <v>47306</v>
      </c>
      <c r="S4517" t="s">
        <v>47414</v>
      </c>
      <c r="T4517" t="s">
        <v>48997</v>
      </c>
      <c r="U4517" t="s">
        <v>53418</v>
      </c>
      <c r="W4517" t="s">
        <v>43768</v>
      </c>
      <c r="X4517" t="s">
        <v>47308</v>
      </c>
    </row>
    <row r="4518" spans="1:24">
      <c r="A4518">
        <f>HYPERLINK("https://www.philgeps.gov.ph/GEPSNONPILOT/Tender/SplashBidNoticeAbstractUI.aspx?menuIndex=3&amp;refID=7197107&amp;Result=3","7197107")</f>
        <v>0</v>
      </c>
      <c r="B4518" t="s">
        <v>1683</v>
      </c>
      <c r="C4518" t="s">
        <v>8123</v>
      </c>
      <c r="D4518" t="s">
        <v>18995</v>
      </c>
      <c r="E4518" t="s">
        <v>23114</v>
      </c>
      <c r="F4518" t="s">
        <v>32606</v>
      </c>
      <c r="G4518" t="s">
        <v>32615</v>
      </c>
      <c r="H4518" t="s">
        <v>32623</v>
      </c>
      <c r="I4518" t="s">
        <v>32649</v>
      </c>
      <c r="J4518" t="s">
        <v>35768</v>
      </c>
      <c r="K4518" t="s">
        <v>42712</v>
      </c>
      <c r="M4518" t="s">
        <v>44712</v>
      </c>
      <c r="N4518" t="s">
        <v>47304</v>
      </c>
      <c r="O4518" t="s">
        <v>47305</v>
      </c>
      <c r="Q4518">
        <v>2</v>
      </c>
      <c r="R4518" t="s">
        <v>47306</v>
      </c>
      <c r="S4518" t="s">
        <v>47425</v>
      </c>
      <c r="T4518" t="s">
        <v>49004</v>
      </c>
      <c r="U4518" t="s">
        <v>53419</v>
      </c>
      <c r="W4518" t="s">
        <v>44712</v>
      </c>
      <c r="X4518" t="s">
        <v>47308</v>
      </c>
    </row>
    <row r="4519" spans="1:24">
      <c r="A4519">
        <f>HYPERLINK("https://www.philgeps.gov.ph/GEPSNONPILOT/Tender/SplashBidNoticeAbstractUI.aspx?menuIndex=3&amp;refID=7197105&amp;Result=3","7197105")</f>
        <v>0</v>
      </c>
      <c r="B4519" t="s">
        <v>368</v>
      </c>
      <c r="C4519" t="s">
        <v>8124</v>
      </c>
      <c r="D4519" t="s">
        <v>19012</v>
      </c>
      <c r="E4519" t="s">
        <v>23115</v>
      </c>
      <c r="F4519" t="s">
        <v>32606</v>
      </c>
      <c r="G4519" t="s">
        <v>32614</v>
      </c>
      <c r="H4519" t="s">
        <v>14201</v>
      </c>
      <c r="I4519" t="s">
        <v>4112</v>
      </c>
      <c r="J4519" t="s">
        <v>35769</v>
      </c>
      <c r="K4519" t="s">
        <v>42622</v>
      </c>
      <c r="M4519" t="s">
        <v>43270</v>
      </c>
      <c r="N4519" t="s">
        <v>47304</v>
      </c>
      <c r="O4519" t="s">
        <v>47305</v>
      </c>
      <c r="P4519">
        <v>0</v>
      </c>
      <c r="Q4519">
        <v>0</v>
      </c>
      <c r="R4519" t="s">
        <v>47306</v>
      </c>
      <c r="S4519" t="s">
        <v>47414</v>
      </c>
      <c r="T4519" t="s">
        <v>49004</v>
      </c>
      <c r="U4519" t="s">
        <v>53420</v>
      </c>
      <c r="W4519" t="s">
        <v>43270</v>
      </c>
      <c r="X4519" t="s">
        <v>47308</v>
      </c>
    </row>
    <row r="4520" spans="1:24">
      <c r="A4520">
        <f>HYPERLINK("https://www.philgeps.gov.ph/GEPSNONPILOT/Tender/SplashBidNoticeAbstractUI.aspx?menuIndex=3&amp;refID=7197104&amp;Result=3","7197104")</f>
        <v>0</v>
      </c>
      <c r="B4520" t="s">
        <v>1433</v>
      </c>
      <c r="C4520" t="s">
        <v>8125</v>
      </c>
      <c r="D4520" t="s">
        <v>19029</v>
      </c>
      <c r="E4520" t="s">
        <v>23116</v>
      </c>
      <c r="F4520" t="s">
        <v>32606</v>
      </c>
      <c r="G4520" t="s">
        <v>32614</v>
      </c>
      <c r="H4520" t="s">
        <v>14201</v>
      </c>
      <c r="I4520" t="s">
        <v>4678</v>
      </c>
      <c r="J4520" t="s">
        <v>32963</v>
      </c>
      <c r="K4520" t="s">
        <v>42622</v>
      </c>
      <c r="M4520" t="s">
        <v>44422</v>
      </c>
      <c r="N4520" t="s">
        <v>47304</v>
      </c>
      <c r="O4520" t="s">
        <v>47305</v>
      </c>
      <c r="P4520">
        <v>0</v>
      </c>
      <c r="Q4520">
        <v>3</v>
      </c>
      <c r="R4520" t="s">
        <v>47306</v>
      </c>
      <c r="S4520" t="s">
        <v>47414</v>
      </c>
      <c r="T4520" t="s">
        <v>49002</v>
      </c>
      <c r="U4520" t="s">
        <v>52637</v>
      </c>
      <c r="W4520" t="s">
        <v>64473</v>
      </c>
      <c r="X4520" t="s">
        <v>47308</v>
      </c>
    </row>
    <row r="4521" spans="1:24">
      <c r="A4521">
        <f>HYPERLINK("https://www.philgeps.gov.ph/GEPSNONPILOT/Tender/SplashBidNoticeAbstractUI.aspx?menuIndex=3&amp;refID=7197102&amp;Result=3","7197102")</f>
        <v>0</v>
      </c>
      <c r="B4521" t="s">
        <v>1660</v>
      </c>
      <c r="C4521" t="s">
        <v>8126</v>
      </c>
      <c r="D4521" t="s">
        <v>19011</v>
      </c>
      <c r="E4521" t="s">
        <v>23117</v>
      </c>
      <c r="F4521" t="s">
        <v>32606</v>
      </c>
      <c r="G4521" t="s">
        <v>32613</v>
      </c>
      <c r="H4521" t="s">
        <v>14201</v>
      </c>
      <c r="I4521" t="s">
        <v>32633</v>
      </c>
      <c r="J4521" t="s">
        <v>32913</v>
      </c>
      <c r="K4521" t="s">
        <v>42623</v>
      </c>
      <c r="M4521" t="s">
        <v>44685</v>
      </c>
      <c r="N4521" t="s">
        <v>47304</v>
      </c>
      <c r="O4521" t="s">
        <v>47305</v>
      </c>
      <c r="P4521">
        <v>0</v>
      </c>
      <c r="Q4521">
        <v>1</v>
      </c>
      <c r="R4521" t="s">
        <v>47306</v>
      </c>
      <c r="S4521" t="s">
        <v>47414</v>
      </c>
      <c r="T4521" t="s">
        <v>49291</v>
      </c>
      <c r="U4521" t="s">
        <v>53354</v>
      </c>
      <c r="V4521" t="s">
        <v>63054</v>
      </c>
      <c r="W4521" t="s">
        <v>44685</v>
      </c>
      <c r="X4521" t="s">
        <v>47308</v>
      </c>
    </row>
    <row r="4522" spans="1:24">
      <c r="A4522">
        <f>HYPERLINK("https://www.philgeps.gov.ph/GEPSNONPILOT/Tender/SplashBidNoticeAbstractUI.aspx?menuIndex=3&amp;refID=7197101&amp;Result=3","7197101")</f>
        <v>0</v>
      </c>
      <c r="B4522" t="s">
        <v>1684</v>
      </c>
      <c r="C4522" t="s">
        <v>8127</v>
      </c>
      <c r="D4522" t="s">
        <v>19032</v>
      </c>
      <c r="E4522" t="s">
        <v>23118</v>
      </c>
      <c r="F4522" t="s">
        <v>32606</v>
      </c>
      <c r="G4522" t="s">
        <v>32614</v>
      </c>
      <c r="H4522" t="s">
        <v>32623</v>
      </c>
      <c r="I4522" t="s">
        <v>17648</v>
      </c>
      <c r="J4522" t="s">
        <v>35770</v>
      </c>
      <c r="K4522" t="s">
        <v>42758</v>
      </c>
      <c r="M4522" t="s">
        <v>44713</v>
      </c>
      <c r="N4522" t="s">
        <v>47304</v>
      </c>
      <c r="O4522" t="s">
        <v>47305</v>
      </c>
      <c r="P4522">
        <v>0</v>
      </c>
      <c r="Q4522">
        <v>0</v>
      </c>
      <c r="R4522" t="s">
        <v>47306</v>
      </c>
      <c r="S4522" t="s">
        <v>47414</v>
      </c>
      <c r="T4522" t="s">
        <v>49002</v>
      </c>
      <c r="U4522" t="s">
        <v>53421</v>
      </c>
      <c r="W4522" t="s">
        <v>44713</v>
      </c>
      <c r="X4522" t="s">
        <v>47308</v>
      </c>
    </row>
    <row r="4523" spans="1:24">
      <c r="A4523">
        <f>HYPERLINK("https://www.philgeps.gov.ph/GEPSNONPILOT/Tender/SplashBidNoticeAbstractUI.aspx?menuIndex=3&amp;refID=7197108&amp;Result=3","7197108")</f>
        <v>0</v>
      </c>
      <c r="B4523" t="s">
        <v>280</v>
      </c>
      <c r="C4523" t="s">
        <v>6298</v>
      </c>
      <c r="D4523" t="s">
        <v>19028</v>
      </c>
      <c r="E4523" t="s">
        <v>23119</v>
      </c>
      <c r="F4523" t="s">
        <v>32606</v>
      </c>
      <c r="G4523" t="s">
        <v>32614</v>
      </c>
      <c r="H4523" t="s">
        <v>14201</v>
      </c>
      <c r="I4523" t="s">
        <v>6298</v>
      </c>
      <c r="J4523" t="s">
        <v>35771</v>
      </c>
      <c r="K4523" t="s">
        <v>42631</v>
      </c>
      <c r="M4523" t="s">
        <v>43712</v>
      </c>
      <c r="N4523" t="s">
        <v>47304</v>
      </c>
      <c r="O4523" t="s">
        <v>47305</v>
      </c>
      <c r="P4523">
        <v>0</v>
      </c>
      <c r="Q4523">
        <v>0</v>
      </c>
      <c r="R4523" t="s">
        <v>47306</v>
      </c>
      <c r="S4523" t="s">
        <v>47414</v>
      </c>
      <c r="T4523" t="s">
        <v>49050</v>
      </c>
      <c r="U4523" t="s">
        <v>53422</v>
      </c>
      <c r="W4523" t="s">
        <v>43712</v>
      </c>
      <c r="X4523" t="s">
        <v>47308</v>
      </c>
    </row>
    <row r="4524" spans="1:24">
      <c r="A4524">
        <f>HYPERLINK("https://www.philgeps.gov.ph/GEPSNONPILOT/Tender/SplashBidNoticeAbstractUI.aspx?menuIndex=3&amp;refID=7197100&amp;Result=3","7197100")</f>
        <v>0</v>
      </c>
      <c r="B4524" t="s">
        <v>1120</v>
      </c>
      <c r="C4524" t="s">
        <v>8128</v>
      </c>
      <c r="E4524" t="s">
        <v>23120</v>
      </c>
      <c r="F4524" t="s">
        <v>32606</v>
      </c>
      <c r="G4524" t="s">
        <v>32614</v>
      </c>
      <c r="H4524" t="s">
        <v>14201</v>
      </c>
      <c r="I4524" t="s">
        <v>32652</v>
      </c>
      <c r="J4524" t="s">
        <v>32765</v>
      </c>
      <c r="K4524" t="s">
        <v>42624</v>
      </c>
      <c r="M4524" t="s">
        <v>44666</v>
      </c>
      <c r="N4524" t="s">
        <v>47304</v>
      </c>
      <c r="O4524" t="s">
        <v>47305</v>
      </c>
      <c r="P4524">
        <v>0</v>
      </c>
      <c r="Q4524">
        <v>1</v>
      </c>
      <c r="R4524" t="s">
        <v>47306</v>
      </c>
      <c r="S4524" t="s">
        <v>47414</v>
      </c>
      <c r="T4524" t="s">
        <v>49061</v>
      </c>
      <c r="U4524" t="s">
        <v>53423</v>
      </c>
      <c r="W4524" t="s">
        <v>44666</v>
      </c>
      <c r="X4524" t="s">
        <v>47308</v>
      </c>
    </row>
    <row r="4525" spans="1:24">
      <c r="A4525">
        <f>HYPERLINK("https://www.philgeps.gov.ph/GEPSNONPILOT/Tender/SplashBidNoticeAbstractUI.aspx?menuIndex=3&amp;refID=7197099&amp;Result=3","7197099")</f>
        <v>0</v>
      </c>
      <c r="B4525" t="s">
        <v>838</v>
      </c>
      <c r="C4525" t="s">
        <v>8129</v>
      </c>
      <c r="D4525" t="s">
        <v>19039</v>
      </c>
      <c r="E4525" t="s">
        <v>23121</v>
      </c>
      <c r="F4525" t="s">
        <v>32606</v>
      </c>
      <c r="G4525" t="s">
        <v>32614</v>
      </c>
      <c r="H4525" t="s">
        <v>14201</v>
      </c>
      <c r="I4525" t="s">
        <v>32632</v>
      </c>
      <c r="J4525" t="s">
        <v>34130</v>
      </c>
      <c r="K4525" t="s">
        <v>42631</v>
      </c>
      <c r="M4525" t="s">
        <v>43770</v>
      </c>
      <c r="N4525" t="s">
        <v>47304</v>
      </c>
      <c r="O4525" t="s">
        <v>47305</v>
      </c>
      <c r="P4525">
        <v>0</v>
      </c>
      <c r="Q4525">
        <v>3</v>
      </c>
      <c r="R4525" t="s">
        <v>47306</v>
      </c>
      <c r="S4525" t="s">
        <v>47414</v>
      </c>
      <c r="T4525" t="s">
        <v>49140</v>
      </c>
      <c r="U4525" t="s">
        <v>53424</v>
      </c>
      <c r="W4525" t="s">
        <v>43770</v>
      </c>
      <c r="X4525" t="s">
        <v>47308</v>
      </c>
    </row>
    <row r="4526" spans="1:24">
      <c r="A4526">
        <f>HYPERLINK("https://www.philgeps.gov.ph/GEPSNONPILOT/Tender/SplashBidNoticeAbstractUI.aspx?menuIndex=3&amp;refID=7197122&amp;Result=3","7197122")</f>
        <v>0</v>
      </c>
      <c r="B4526" t="s">
        <v>819</v>
      </c>
      <c r="C4526" t="s">
        <v>8130</v>
      </c>
      <c r="D4526" t="s">
        <v>19028</v>
      </c>
      <c r="E4526" t="s">
        <v>23122</v>
      </c>
      <c r="F4526" t="s">
        <v>32606</v>
      </c>
      <c r="G4526" t="s">
        <v>32619</v>
      </c>
      <c r="H4526" t="s">
        <v>14201</v>
      </c>
      <c r="I4526" t="s">
        <v>6014</v>
      </c>
      <c r="J4526" t="s">
        <v>32973</v>
      </c>
      <c r="K4526" t="s">
        <v>42630</v>
      </c>
      <c r="M4526" t="s">
        <v>44692</v>
      </c>
      <c r="N4526" t="s">
        <v>47304</v>
      </c>
      <c r="O4526" t="s">
        <v>47305</v>
      </c>
      <c r="P4526">
        <v>0</v>
      </c>
      <c r="Q4526">
        <v>1</v>
      </c>
      <c r="R4526" t="s">
        <v>47306</v>
      </c>
      <c r="S4526" t="s">
        <v>47414</v>
      </c>
      <c r="T4526" t="s">
        <v>49072</v>
      </c>
      <c r="U4526" t="s">
        <v>53425</v>
      </c>
      <c r="W4526" t="s">
        <v>44692</v>
      </c>
      <c r="X4526" t="s">
        <v>47308</v>
      </c>
    </row>
    <row r="4527" spans="1:24">
      <c r="A4527">
        <f>HYPERLINK("https://www.philgeps.gov.ph/GEPSNONPILOT/Tender/SplashBidNoticeAbstractUI.aspx?menuIndex=3&amp;refID=7197135&amp;Result=3","7197135")</f>
        <v>0</v>
      </c>
      <c r="B4527" t="s">
        <v>1685</v>
      </c>
      <c r="C4527" t="s">
        <v>8131</v>
      </c>
      <c r="D4527" t="s">
        <v>19016</v>
      </c>
      <c r="E4527" t="s">
        <v>23123</v>
      </c>
      <c r="F4527" t="s">
        <v>32606</v>
      </c>
      <c r="G4527" t="s">
        <v>32613</v>
      </c>
      <c r="H4527" t="s">
        <v>32623</v>
      </c>
      <c r="I4527" t="s">
        <v>17648</v>
      </c>
      <c r="J4527" t="s">
        <v>32752</v>
      </c>
      <c r="K4527" t="s">
        <v>42631</v>
      </c>
      <c r="M4527" t="s">
        <v>44714</v>
      </c>
      <c r="N4527" t="s">
        <v>47304</v>
      </c>
      <c r="O4527" t="s">
        <v>47305</v>
      </c>
      <c r="P4527">
        <v>0</v>
      </c>
      <c r="Q4527">
        <v>0</v>
      </c>
      <c r="R4527" t="s">
        <v>47306</v>
      </c>
      <c r="S4527" t="s">
        <v>47414</v>
      </c>
      <c r="T4527" t="s">
        <v>49101</v>
      </c>
      <c r="U4527" t="s">
        <v>53426</v>
      </c>
      <c r="W4527" t="s">
        <v>44714</v>
      </c>
      <c r="X4527" t="s">
        <v>47308</v>
      </c>
    </row>
    <row r="4528" spans="1:24">
      <c r="A4528">
        <f>HYPERLINK("https://www.philgeps.gov.ph/GEPSNONPILOT/Tender/SplashBidNoticeAbstractUI.aspx?menuIndex=3&amp;refID=7197074&amp;Result=3","7197074")</f>
        <v>0</v>
      </c>
      <c r="B4528" t="s">
        <v>1611</v>
      </c>
      <c r="C4528" t="s">
        <v>7855</v>
      </c>
      <c r="D4528" t="s">
        <v>19010</v>
      </c>
      <c r="E4528" t="s">
        <v>23124</v>
      </c>
      <c r="F4528" t="s">
        <v>32606</v>
      </c>
      <c r="G4528" t="s">
        <v>32614</v>
      </c>
      <c r="H4528" t="s">
        <v>14201</v>
      </c>
      <c r="I4528" t="s">
        <v>32673</v>
      </c>
      <c r="J4528" t="s">
        <v>35772</v>
      </c>
      <c r="K4528" t="s">
        <v>42623</v>
      </c>
      <c r="M4528" t="s">
        <v>44631</v>
      </c>
      <c r="N4528" t="s">
        <v>47304</v>
      </c>
      <c r="O4528" t="s">
        <v>47305</v>
      </c>
      <c r="P4528">
        <v>0</v>
      </c>
      <c r="Q4528">
        <v>0</v>
      </c>
      <c r="R4528" t="s">
        <v>47306</v>
      </c>
      <c r="S4528" t="s">
        <v>47414</v>
      </c>
      <c r="T4528" t="s">
        <v>48980</v>
      </c>
      <c r="U4528" t="s">
        <v>53427</v>
      </c>
      <c r="W4528" t="s">
        <v>44631</v>
      </c>
      <c r="X4528" t="s">
        <v>47308</v>
      </c>
    </row>
    <row r="4529" spans="1:24">
      <c r="A4529">
        <f>HYPERLINK("https://www.philgeps.gov.ph/GEPSNONPILOT/Tender/SplashBidNoticeAbstractUI.aspx?menuIndex=3&amp;refID=7197132&amp;Result=3","7197132")</f>
        <v>0</v>
      </c>
      <c r="B4529" t="s">
        <v>280</v>
      </c>
      <c r="C4529" t="s">
        <v>6298</v>
      </c>
      <c r="D4529" t="s">
        <v>19028</v>
      </c>
      <c r="E4529" t="s">
        <v>23125</v>
      </c>
      <c r="F4529" t="s">
        <v>32606</v>
      </c>
      <c r="G4529" t="s">
        <v>32614</v>
      </c>
      <c r="H4529" t="s">
        <v>14201</v>
      </c>
      <c r="I4529" t="s">
        <v>6298</v>
      </c>
      <c r="J4529" t="s">
        <v>35773</v>
      </c>
      <c r="K4529" t="s">
        <v>42639</v>
      </c>
      <c r="M4529" t="s">
        <v>43712</v>
      </c>
      <c r="N4529" t="s">
        <v>47304</v>
      </c>
      <c r="O4529" t="s">
        <v>47305</v>
      </c>
      <c r="P4529">
        <v>0</v>
      </c>
      <c r="Q4529">
        <v>0</v>
      </c>
      <c r="R4529" t="s">
        <v>47306</v>
      </c>
      <c r="S4529" t="s">
        <v>47414</v>
      </c>
      <c r="T4529" t="s">
        <v>49010</v>
      </c>
      <c r="U4529" t="s">
        <v>53428</v>
      </c>
      <c r="W4529" t="s">
        <v>43712</v>
      </c>
      <c r="X4529" t="s">
        <v>47308</v>
      </c>
    </row>
    <row r="4530" spans="1:24">
      <c r="A4530">
        <f>HYPERLINK("https://www.philgeps.gov.ph/GEPSNONPILOT/Tender/SplashBidNoticeAbstractUI.aspx?menuIndex=3&amp;refID=7197106&amp;Result=3","7197106")</f>
        <v>0</v>
      </c>
      <c r="B4530" t="s">
        <v>1686</v>
      </c>
      <c r="C4530" t="s">
        <v>8132</v>
      </c>
      <c r="D4530" t="s">
        <v>19006</v>
      </c>
      <c r="E4530" t="s">
        <v>23126</v>
      </c>
      <c r="F4530" t="s">
        <v>32606</v>
      </c>
      <c r="G4530" t="s">
        <v>32614</v>
      </c>
      <c r="H4530" t="s">
        <v>14201</v>
      </c>
      <c r="I4530" t="s">
        <v>6014</v>
      </c>
      <c r="J4530" t="s">
        <v>35774</v>
      </c>
      <c r="K4530" t="s">
        <v>42622</v>
      </c>
      <c r="M4530" t="s">
        <v>44715</v>
      </c>
      <c r="N4530" t="s">
        <v>47304</v>
      </c>
      <c r="O4530" t="s">
        <v>47305</v>
      </c>
      <c r="P4530">
        <v>0</v>
      </c>
      <c r="Q4530">
        <v>0</v>
      </c>
      <c r="R4530" t="s">
        <v>47306</v>
      </c>
      <c r="S4530" t="s">
        <v>47414</v>
      </c>
      <c r="T4530" t="s">
        <v>49050</v>
      </c>
      <c r="U4530" t="s">
        <v>53429</v>
      </c>
      <c r="W4530" t="s">
        <v>44715</v>
      </c>
      <c r="X4530" t="s">
        <v>47308</v>
      </c>
    </row>
    <row r="4531" spans="1:24">
      <c r="A4531">
        <f>HYPERLINK("https://www.philgeps.gov.ph/GEPSNONPILOT/Tender/SplashBidNoticeAbstractUI.aspx?menuIndex=3&amp;refID=7197134&amp;Result=3","7197134")</f>
        <v>0</v>
      </c>
      <c r="B4531" t="s">
        <v>1380</v>
      </c>
      <c r="C4531" t="s">
        <v>8133</v>
      </c>
      <c r="D4531" t="s">
        <v>19014</v>
      </c>
      <c r="E4531" t="s">
        <v>23127</v>
      </c>
      <c r="F4531" t="s">
        <v>32606</v>
      </c>
      <c r="G4531" t="s">
        <v>32614</v>
      </c>
      <c r="H4531" t="s">
        <v>14201</v>
      </c>
      <c r="I4531" t="s">
        <v>6298</v>
      </c>
      <c r="J4531" t="s">
        <v>34177</v>
      </c>
      <c r="K4531" t="s">
        <v>42622</v>
      </c>
      <c r="M4531" t="s">
        <v>44362</v>
      </c>
      <c r="N4531" t="s">
        <v>47304</v>
      </c>
      <c r="O4531" t="s">
        <v>47305</v>
      </c>
      <c r="P4531">
        <v>0</v>
      </c>
      <c r="Q4531">
        <v>0</v>
      </c>
      <c r="R4531" t="s">
        <v>47306</v>
      </c>
      <c r="S4531" t="s">
        <v>47414</v>
      </c>
      <c r="T4531" t="s">
        <v>48980</v>
      </c>
      <c r="U4531" t="s">
        <v>53430</v>
      </c>
      <c r="W4531" t="s">
        <v>44362</v>
      </c>
      <c r="X4531" t="s">
        <v>47308</v>
      </c>
    </row>
    <row r="4532" spans="1:24">
      <c r="A4532">
        <f>HYPERLINK("https://www.philgeps.gov.ph/GEPSNONPILOT/Tender/SplashBidNoticeAbstractUI.aspx?menuIndex=3&amp;refID=7197129&amp;Result=3","7197129")</f>
        <v>0</v>
      </c>
      <c r="B4532" t="s">
        <v>1653</v>
      </c>
      <c r="C4532" t="s">
        <v>8134</v>
      </c>
      <c r="D4532" t="s">
        <v>19056</v>
      </c>
      <c r="E4532" t="s">
        <v>20536</v>
      </c>
      <c r="F4532" t="s">
        <v>32606</v>
      </c>
      <c r="G4532" t="s">
        <v>32613</v>
      </c>
      <c r="H4532" t="s">
        <v>32623</v>
      </c>
      <c r="I4532" t="s">
        <v>17648</v>
      </c>
      <c r="J4532" t="s">
        <v>35775</v>
      </c>
      <c r="K4532" t="s">
        <v>42682</v>
      </c>
      <c r="M4532" t="s">
        <v>44677</v>
      </c>
      <c r="N4532" t="s">
        <v>47304</v>
      </c>
      <c r="O4532" t="s">
        <v>47305</v>
      </c>
      <c r="P4532">
        <v>0</v>
      </c>
      <c r="Q4532">
        <v>0</v>
      </c>
      <c r="R4532" t="s">
        <v>47306</v>
      </c>
      <c r="S4532" t="s">
        <v>47414</v>
      </c>
      <c r="T4532" t="s">
        <v>48983</v>
      </c>
      <c r="U4532" t="s">
        <v>53431</v>
      </c>
      <c r="W4532" t="s">
        <v>44677</v>
      </c>
      <c r="X4532" t="s">
        <v>47308</v>
      </c>
    </row>
    <row r="4533" spans="1:24">
      <c r="A4533">
        <f>HYPERLINK("https://www.philgeps.gov.ph/GEPSNONPILOT/Tender/SplashBidNoticeAbstractUI.aspx?menuIndex=3&amp;refID=7197060&amp;Result=3","7197060")</f>
        <v>0</v>
      </c>
      <c r="B4533" t="s">
        <v>1327</v>
      </c>
      <c r="C4533" t="s">
        <v>8135</v>
      </c>
      <c r="D4533" t="s">
        <v>19018</v>
      </c>
      <c r="E4533" t="s">
        <v>19326</v>
      </c>
      <c r="F4533" t="s">
        <v>32606</v>
      </c>
      <c r="G4533" t="s">
        <v>32614</v>
      </c>
      <c r="H4533" t="s">
        <v>14201</v>
      </c>
      <c r="I4533" t="s">
        <v>6931</v>
      </c>
      <c r="J4533" t="s">
        <v>35776</v>
      </c>
      <c r="K4533" t="s">
        <v>42630</v>
      </c>
      <c r="M4533" t="s">
        <v>44301</v>
      </c>
      <c r="N4533" t="s">
        <v>47304</v>
      </c>
      <c r="O4533" t="s">
        <v>47305</v>
      </c>
      <c r="P4533">
        <v>0</v>
      </c>
      <c r="Q4533">
        <v>0</v>
      </c>
      <c r="R4533" t="s">
        <v>47306</v>
      </c>
      <c r="S4533" t="s">
        <v>47414</v>
      </c>
      <c r="T4533" t="s">
        <v>49050</v>
      </c>
      <c r="U4533" t="s">
        <v>52315</v>
      </c>
      <c r="W4533" t="s">
        <v>44301</v>
      </c>
      <c r="X4533" t="s">
        <v>47308</v>
      </c>
    </row>
    <row r="4534" spans="1:24">
      <c r="A4534">
        <f>HYPERLINK("https://www.philgeps.gov.ph/GEPSNONPILOT/Tender/SplashBidNoticeAbstractUI.aspx?menuIndex=3&amp;refID=7197127&amp;Result=3","7197127")</f>
        <v>0</v>
      </c>
      <c r="B4534" t="s">
        <v>1687</v>
      </c>
      <c r="C4534" t="s">
        <v>8136</v>
      </c>
      <c r="D4534" t="s">
        <v>19008</v>
      </c>
      <c r="E4534" t="s">
        <v>23128</v>
      </c>
      <c r="F4534" t="s">
        <v>32606</v>
      </c>
      <c r="G4534" t="s">
        <v>32615</v>
      </c>
      <c r="H4534" t="s">
        <v>32623</v>
      </c>
      <c r="I4534" t="s">
        <v>17648</v>
      </c>
      <c r="J4534" t="s">
        <v>35777</v>
      </c>
      <c r="K4534" t="s">
        <v>42657</v>
      </c>
      <c r="M4534" t="s">
        <v>44716</v>
      </c>
      <c r="N4534" t="s">
        <v>47304</v>
      </c>
      <c r="O4534" t="s">
        <v>47305</v>
      </c>
      <c r="P4534">
        <v>0</v>
      </c>
      <c r="Q4534">
        <v>1</v>
      </c>
      <c r="R4534" t="s">
        <v>47306</v>
      </c>
      <c r="S4534" t="s">
        <v>47414</v>
      </c>
      <c r="T4534" t="s">
        <v>49014</v>
      </c>
      <c r="U4534" t="s">
        <v>53432</v>
      </c>
      <c r="W4534" t="s">
        <v>44716</v>
      </c>
      <c r="X4534" t="s">
        <v>47308</v>
      </c>
    </row>
    <row r="4535" spans="1:24">
      <c r="A4535">
        <f>HYPERLINK("https://www.philgeps.gov.ph/GEPSNONPILOT/Tender/SplashBidNoticeAbstractUI.aspx?menuIndex=3&amp;refID=7197125&amp;Result=3","7197125")</f>
        <v>0</v>
      </c>
      <c r="B4535" t="s">
        <v>1688</v>
      </c>
      <c r="C4535" t="s">
        <v>8137</v>
      </c>
      <c r="D4535" t="s">
        <v>19015</v>
      </c>
      <c r="E4535" t="s">
        <v>23129</v>
      </c>
      <c r="F4535" t="s">
        <v>32606</v>
      </c>
      <c r="G4535" t="s">
        <v>32613</v>
      </c>
      <c r="H4535" t="s">
        <v>14201</v>
      </c>
      <c r="I4535" t="s">
        <v>32640</v>
      </c>
      <c r="J4535" t="s">
        <v>33263</v>
      </c>
      <c r="K4535" t="s">
        <v>42623</v>
      </c>
      <c r="M4535" t="s">
        <v>44717</v>
      </c>
      <c r="N4535" t="s">
        <v>47304</v>
      </c>
      <c r="O4535" t="s">
        <v>47305</v>
      </c>
      <c r="P4535">
        <v>0</v>
      </c>
      <c r="Q4535">
        <v>0</v>
      </c>
      <c r="R4535" t="s">
        <v>47306</v>
      </c>
      <c r="S4535" t="s">
        <v>47414</v>
      </c>
      <c r="T4535" t="s">
        <v>49013</v>
      </c>
      <c r="U4535" t="s">
        <v>53433</v>
      </c>
      <c r="V4535" t="s">
        <v>62763</v>
      </c>
      <c r="W4535" t="s">
        <v>44717</v>
      </c>
      <c r="X4535" t="s">
        <v>47308</v>
      </c>
    </row>
    <row r="4536" spans="1:24">
      <c r="A4536">
        <f>HYPERLINK("https://www.philgeps.gov.ph/GEPSNONPILOT/Tender/SplashBidNoticeAbstractUI.aspx?menuIndex=3&amp;refID=7197123&amp;Result=3","7197123")</f>
        <v>0</v>
      </c>
      <c r="B4536" t="s">
        <v>1689</v>
      </c>
      <c r="C4536" t="s">
        <v>8138</v>
      </c>
      <c r="D4536" t="s">
        <v>19049</v>
      </c>
      <c r="E4536" t="s">
        <v>23130</v>
      </c>
      <c r="F4536" t="s">
        <v>32606</v>
      </c>
      <c r="G4536" t="s">
        <v>32614</v>
      </c>
      <c r="H4536" t="s">
        <v>14201</v>
      </c>
      <c r="I4536" t="s">
        <v>32640</v>
      </c>
      <c r="J4536" t="s">
        <v>33274</v>
      </c>
      <c r="K4536" t="s">
        <v>42639</v>
      </c>
      <c r="M4536" t="s">
        <v>44718</v>
      </c>
      <c r="N4536" t="s">
        <v>47304</v>
      </c>
      <c r="O4536" t="s">
        <v>47305</v>
      </c>
      <c r="P4536">
        <v>0</v>
      </c>
      <c r="Q4536">
        <v>1</v>
      </c>
      <c r="R4536" t="s">
        <v>47306</v>
      </c>
      <c r="S4536" t="s">
        <v>47414</v>
      </c>
      <c r="T4536" t="s">
        <v>48980</v>
      </c>
      <c r="U4536" t="s">
        <v>53434</v>
      </c>
      <c r="W4536" t="s">
        <v>44718</v>
      </c>
      <c r="X4536" t="s">
        <v>47308</v>
      </c>
    </row>
    <row r="4537" spans="1:24">
      <c r="A4537">
        <f>HYPERLINK("https://www.philgeps.gov.ph/GEPSNONPILOT/Tender/SplashBidNoticeAbstractUI.aspx?menuIndex=3&amp;refID=7197121&amp;Result=3","7197121")</f>
        <v>0</v>
      </c>
      <c r="B4537" t="s">
        <v>1663</v>
      </c>
      <c r="C4537" t="s">
        <v>8139</v>
      </c>
      <c r="D4537" t="s">
        <v>19023</v>
      </c>
      <c r="E4537" t="s">
        <v>23131</v>
      </c>
      <c r="F4537" t="s">
        <v>32606</v>
      </c>
      <c r="G4537" t="s">
        <v>32613</v>
      </c>
      <c r="H4537" t="s">
        <v>14201</v>
      </c>
      <c r="I4537" t="s">
        <v>7064</v>
      </c>
      <c r="J4537" t="s">
        <v>35778</v>
      </c>
      <c r="K4537" t="s">
        <v>42648</v>
      </c>
      <c r="M4537" t="s">
        <v>44689</v>
      </c>
      <c r="N4537" t="s">
        <v>47304</v>
      </c>
      <c r="O4537" t="s">
        <v>47305</v>
      </c>
      <c r="P4537">
        <v>0</v>
      </c>
      <c r="Q4537">
        <v>3</v>
      </c>
      <c r="R4537" t="s">
        <v>47306</v>
      </c>
      <c r="S4537" t="s">
        <v>47414</v>
      </c>
      <c r="T4537" t="s">
        <v>49031</v>
      </c>
      <c r="U4537" t="s">
        <v>53435</v>
      </c>
      <c r="W4537" t="s">
        <v>46318</v>
      </c>
      <c r="X4537" t="s">
        <v>47308</v>
      </c>
    </row>
    <row r="4538" spans="1:24">
      <c r="A4538">
        <f>HYPERLINK("https://www.philgeps.gov.ph/GEPSNONPILOT/Tender/SplashBidNoticeAbstractUI.aspx?menuIndex=3&amp;refID=7197157&amp;Result=3","7197157")</f>
        <v>0</v>
      </c>
      <c r="B4538" t="s">
        <v>546</v>
      </c>
      <c r="C4538" t="s">
        <v>4678</v>
      </c>
      <c r="D4538" t="s">
        <v>18993</v>
      </c>
      <c r="E4538" t="s">
        <v>19561</v>
      </c>
      <c r="F4538" t="s">
        <v>32606</v>
      </c>
      <c r="G4538" t="s">
        <v>32613</v>
      </c>
      <c r="H4538" t="s">
        <v>14201</v>
      </c>
      <c r="I4538" t="s">
        <v>4678</v>
      </c>
      <c r="J4538" t="s">
        <v>32765</v>
      </c>
      <c r="K4538" t="s">
        <v>42631</v>
      </c>
      <c r="M4538" t="s">
        <v>43461</v>
      </c>
      <c r="N4538" t="s">
        <v>47304</v>
      </c>
      <c r="O4538" t="s">
        <v>47305</v>
      </c>
      <c r="P4538">
        <v>0</v>
      </c>
      <c r="Q4538">
        <v>3</v>
      </c>
      <c r="R4538" t="s">
        <v>47306</v>
      </c>
      <c r="S4538" t="s">
        <v>47414</v>
      </c>
      <c r="T4538" t="s">
        <v>48996</v>
      </c>
      <c r="U4538" t="s">
        <v>53436</v>
      </c>
      <c r="W4538" t="s">
        <v>43461</v>
      </c>
      <c r="X4538" t="s">
        <v>47308</v>
      </c>
    </row>
    <row r="4539" spans="1:24">
      <c r="A4539">
        <f>HYPERLINK("https://www.philgeps.gov.ph/GEPSNONPILOT/Tender/SplashBidNoticeAbstractUI.aspx?menuIndex=3&amp;refID=7197133&amp;Result=3","7197133")</f>
        <v>0</v>
      </c>
      <c r="B4539" t="s">
        <v>1036</v>
      </c>
      <c r="C4539" t="s">
        <v>8140</v>
      </c>
      <c r="D4539" t="s">
        <v>19039</v>
      </c>
      <c r="E4539" t="s">
        <v>23132</v>
      </c>
      <c r="F4539" t="s">
        <v>32606</v>
      </c>
      <c r="G4539" t="s">
        <v>32620</v>
      </c>
      <c r="H4539" t="s">
        <v>32625</v>
      </c>
      <c r="I4539" t="s">
        <v>32625</v>
      </c>
      <c r="J4539" t="s">
        <v>32923</v>
      </c>
      <c r="K4539" t="s">
        <v>42631</v>
      </c>
      <c r="M4539" t="s">
        <v>43989</v>
      </c>
      <c r="N4539" t="s">
        <v>47304</v>
      </c>
      <c r="O4539" t="s">
        <v>47305</v>
      </c>
      <c r="P4539">
        <v>0</v>
      </c>
      <c r="Q4539">
        <v>1</v>
      </c>
      <c r="R4539" t="s">
        <v>47306</v>
      </c>
      <c r="S4539" t="s">
        <v>47414</v>
      </c>
      <c r="T4539" t="s">
        <v>49002</v>
      </c>
      <c r="U4539" t="s">
        <v>53437</v>
      </c>
      <c r="W4539" t="s">
        <v>43989</v>
      </c>
      <c r="X4539" t="s">
        <v>47308</v>
      </c>
    </row>
    <row r="4540" spans="1:24">
      <c r="A4540">
        <f>HYPERLINK("https://www.philgeps.gov.ph/GEPSNONPILOT/Tender/SplashBidNoticeAbstractUI.aspx?menuIndex=3&amp;refID=7197155&amp;Result=3","7197155")</f>
        <v>0</v>
      </c>
      <c r="B4540" t="s">
        <v>1663</v>
      </c>
      <c r="C4540" t="s">
        <v>8141</v>
      </c>
      <c r="D4540" t="s">
        <v>19023</v>
      </c>
      <c r="E4540" t="s">
        <v>23133</v>
      </c>
      <c r="F4540" t="s">
        <v>32606</v>
      </c>
      <c r="G4540" t="s">
        <v>32613</v>
      </c>
      <c r="H4540" t="s">
        <v>14201</v>
      </c>
      <c r="I4540" t="s">
        <v>6298</v>
      </c>
      <c r="J4540" t="s">
        <v>34235</v>
      </c>
      <c r="K4540" t="s">
        <v>42631</v>
      </c>
      <c r="M4540" t="s">
        <v>44689</v>
      </c>
      <c r="N4540" t="s">
        <v>47304</v>
      </c>
      <c r="O4540" t="s">
        <v>47305</v>
      </c>
      <c r="P4540">
        <v>0</v>
      </c>
      <c r="Q4540">
        <v>1</v>
      </c>
      <c r="R4540" t="s">
        <v>47306</v>
      </c>
      <c r="S4540" t="s">
        <v>47414</v>
      </c>
      <c r="T4540" t="s">
        <v>49031</v>
      </c>
      <c r="U4540" t="s">
        <v>53438</v>
      </c>
      <c r="W4540" t="s">
        <v>46318</v>
      </c>
      <c r="X4540" t="s">
        <v>47308</v>
      </c>
    </row>
    <row r="4541" spans="1:24">
      <c r="A4541">
        <f>HYPERLINK("https://www.philgeps.gov.ph/GEPSNONPILOT/Tender/SplashBidNoticeAbstractUI.aspx?menuIndex=3&amp;refID=7197153&amp;Result=3","7197153")</f>
        <v>0</v>
      </c>
      <c r="B4541" t="s">
        <v>280</v>
      </c>
      <c r="C4541" t="s">
        <v>6298</v>
      </c>
      <c r="D4541" t="s">
        <v>19028</v>
      </c>
      <c r="E4541" t="s">
        <v>23134</v>
      </c>
      <c r="F4541" t="s">
        <v>32606</v>
      </c>
      <c r="G4541" t="s">
        <v>32614</v>
      </c>
      <c r="H4541" t="s">
        <v>14201</v>
      </c>
      <c r="I4541" t="s">
        <v>6298</v>
      </c>
      <c r="J4541" t="s">
        <v>35779</v>
      </c>
      <c r="K4541" t="s">
        <v>42631</v>
      </c>
      <c r="M4541" t="s">
        <v>43712</v>
      </c>
      <c r="N4541" t="s">
        <v>47304</v>
      </c>
      <c r="O4541" t="s">
        <v>47305</v>
      </c>
      <c r="P4541">
        <v>0</v>
      </c>
      <c r="Q4541">
        <v>0</v>
      </c>
      <c r="R4541" t="s">
        <v>47306</v>
      </c>
      <c r="S4541" t="s">
        <v>47414</v>
      </c>
      <c r="T4541" t="s">
        <v>49010</v>
      </c>
      <c r="U4541" t="s">
        <v>53439</v>
      </c>
      <c r="W4541" t="s">
        <v>43712</v>
      </c>
      <c r="X4541" t="s">
        <v>47308</v>
      </c>
    </row>
    <row r="4542" spans="1:24">
      <c r="A4542">
        <f>HYPERLINK("https://www.philgeps.gov.ph/GEPSNONPILOT/Tender/SplashBidNoticeAbstractUI.aspx?menuIndex=3&amp;refID=7197152&amp;Result=3","7197152")</f>
        <v>0</v>
      </c>
      <c r="B4542" t="s">
        <v>639</v>
      </c>
      <c r="C4542" t="s">
        <v>8142</v>
      </c>
      <c r="E4542" t="s">
        <v>23135</v>
      </c>
      <c r="F4542" t="s">
        <v>32606</v>
      </c>
      <c r="G4542" t="s">
        <v>32614</v>
      </c>
      <c r="H4542" t="s">
        <v>14201</v>
      </c>
      <c r="I4542" t="s">
        <v>6478</v>
      </c>
      <c r="J4542" t="s">
        <v>35780</v>
      </c>
      <c r="K4542" t="s">
        <v>42624</v>
      </c>
      <c r="M4542" t="s">
        <v>44433</v>
      </c>
      <c r="N4542" t="s">
        <v>47304</v>
      </c>
      <c r="O4542" t="s">
        <v>47305</v>
      </c>
      <c r="P4542">
        <v>0</v>
      </c>
      <c r="Q4542">
        <v>0</v>
      </c>
      <c r="R4542" t="s">
        <v>47306</v>
      </c>
      <c r="S4542" t="s">
        <v>47414</v>
      </c>
      <c r="T4542" t="s">
        <v>48976</v>
      </c>
      <c r="U4542" t="s">
        <v>53440</v>
      </c>
      <c r="W4542" t="s">
        <v>44433</v>
      </c>
      <c r="X4542" t="s">
        <v>47308</v>
      </c>
    </row>
    <row r="4543" spans="1:24">
      <c r="A4543">
        <f>HYPERLINK("https://www.philgeps.gov.ph/GEPSNONPILOT/Tender/SplashBidNoticeAbstractUI.aspx?menuIndex=3&amp;refID=7197111&amp;Result=3","7197111")</f>
        <v>0</v>
      </c>
      <c r="B4543" t="s">
        <v>1653</v>
      </c>
      <c r="C4543" t="s">
        <v>8143</v>
      </c>
      <c r="D4543" t="s">
        <v>19056</v>
      </c>
      <c r="E4543" t="s">
        <v>21514</v>
      </c>
      <c r="F4543" t="s">
        <v>32606</v>
      </c>
      <c r="G4543" t="s">
        <v>32613</v>
      </c>
      <c r="H4543" t="s">
        <v>32623</v>
      </c>
      <c r="I4543" t="s">
        <v>17648</v>
      </c>
      <c r="J4543" t="s">
        <v>35781</v>
      </c>
      <c r="K4543" t="s">
        <v>42759</v>
      </c>
      <c r="M4543" t="s">
        <v>44677</v>
      </c>
      <c r="N4543" t="s">
        <v>47304</v>
      </c>
      <c r="O4543" t="s">
        <v>47305</v>
      </c>
      <c r="P4543">
        <v>0</v>
      </c>
      <c r="Q4543">
        <v>1</v>
      </c>
      <c r="R4543" t="s">
        <v>47306</v>
      </c>
      <c r="S4543" t="s">
        <v>47414</v>
      </c>
      <c r="T4543" t="s">
        <v>48983</v>
      </c>
      <c r="U4543" t="s">
        <v>53441</v>
      </c>
      <c r="W4543" t="s">
        <v>44677</v>
      </c>
      <c r="X4543" t="s">
        <v>47308</v>
      </c>
    </row>
    <row r="4544" spans="1:24">
      <c r="A4544">
        <f>HYPERLINK("https://www.philgeps.gov.ph/GEPSNONPILOT/Tender/SplashBidNoticeAbstractUI.aspx?menuIndex=3&amp;refID=7197150&amp;Result=3","7197150")</f>
        <v>0</v>
      </c>
      <c r="B4544" t="s">
        <v>1685</v>
      </c>
      <c r="C4544" t="s">
        <v>8144</v>
      </c>
      <c r="D4544" t="s">
        <v>19016</v>
      </c>
      <c r="E4544" t="s">
        <v>23136</v>
      </c>
      <c r="F4544" t="s">
        <v>32606</v>
      </c>
      <c r="G4544" t="s">
        <v>32613</v>
      </c>
      <c r="H4544" t="s">
        <v>32623</v>
      </c>
      <c r="I4544" t="s">
        <v>17648</v>
      </c>
      <c r="J4544" t="s">
        <v>32813</v>
      </c>
      <c r="K4544" t="s">
        <v>42631</v>
      </c>
      <c r="M4544" t="s">
        <v>44714</v>
      </c>
      <c r="N4544" t="s">
        <v>47304</v>
      </c>
      <c r="O4544" t="s">
        <v>47305</v>
      </c>
      <c r="P4544">
        <v>0</v>
      </c>
      <c r="Q4544">
        <v>0</v>
      </c>
      <c r="R4544" t="s">
        <v>47306</v>
      </c>
      <c r="S4544" t="s">
        <v>47414</v>
      </c>
      <c r="T4544" t="s">
        <v>49101</v>
      </c>
      <c r="U4544" t="s">
        <v>53442</v>
      </c>
      <c r="W4544" t="s">
        <v>44714</v>
      </c>
      <c r="X4544" t="s">
        <v>47308</v>
      </c>
    </row>
    <row r="4545" spans="1:24">
      <c r="A4545">
        <f>HYPERLINK("https://www.philgeps.gov.ph/GEPSNONPILOT/Tender/SplashBidNoticeAbstractUI.aspx?menuIndex=3&amp;refID=7197131&amp;Result=3","7197131")</f>
        <v>0</v>
      </c>
      <c r="B4545" t="s">
        <v>1454</v>
      </c>
      <c r="C4545" t="s">
        <v>8145</v>
      </c>
      <c r="E4545" t="s">
        <v>23137</v>
      </c>
      <c r="F4545" t="s">
        <v>32606</v>
      </c>
      <c r="G4545" t="s">
        <v>32614</v>
      </c>
      <c r="H4545" t="s">
        <v>14201</v>
      </c>
      <c r="I4545" t="s">
        <v>6993</v>
      </c>
      <c r="J4545" t="s">
        <v>35782</v>
      </c>
      <c r="K4545" t="s">
        <v>42630</v>
      </c>
      <c r="M4545" t="s">
        <v>44445</v>
      </c>
      <c r="N4545" t="s">
        <v>47304</v>
      </c>
      <c r="O4545" t="s">
        <v>47305</v>
      </c>
      <c r="P4545">
        <v>0</v>
      </c>
      <c r="Q4545">
        <v>0</v>
      </c>
      <c r="R4545" t="s">
        <v>47306</v>
      </c>
      <c r="S4545" t="s">
        <v>47414</v>
      </c>
      <c r="T4545" t="s">
        <v>49004</v>
      </c>
      <c r="U4545" t="s">
        <v>53443</v>
      </c>
      <c r="V4545" t="s">
        <v>63019</v>
      </c>
      <c r="W4545" t="s">
        <v>44445</v>
      </c>
      <c r="X4545" t="s">
        <v>47308</v>
      </c>
    </row>
    <row r="4546" spans="1:24">
      <c r="A4546">
        <f>HYPERLINK("https://www.philgeps.gov.ph/GEPSNONPILOT/Tender/SplashBidNoticeAbstractUI.aspx?menuIndex=3&amp;refID=7197130&amp;Result=3","7197130")</f>
        <v>0</v>
      </c>
      <c r="B4546" t="s">
        <v>1690</v>
      </c>
      <c r="C4546" t="s">
        <v>8146</v>
      </c>
      <c r="D4546" t="s">
        <v>19037</v>
      </c>
      <c r="E4546" t="s">
        <v>23138</v>
      </c>
      <c r="F4546" t="s">
        <v>32606</v>
      </c>
      <c r="G4546" t="s">
        <v>32619</v>
      </c>
      <c r="H4546" t="s">
        <v>14201</v>
      </c>
      <c r="I4546" t="s">
        <v>32689</v>
      </c>
      <c r="J4546" t="s">
        <v>33504</v>
      </c>
      <c r="K4546" t="s">
        <v>42681</v>
      </c>
      <c r="M4546" t="s">
        <v>44719</v>
      </c>
      <c r="N4546" t="s">
        <v>47304</v>
      </c>
      <c r="O4546" t="s">
        <v>47305</v>
      </c>
      <c r="P4546">
        <v>0</v>
      </c>
      <c r="Q4546">
        <v>0</v>
      </c>
      <c r="R4546" t="s">
        <v>47306</v>
      </c>
      <c r="S4546" t="s">
        <v>47414</v>
      </c>
      <c r="T4546" t="s">
        <v>49023</v>
      </c>
      <c r="U4546" t="s">
        <v>53444</v>
      </c>
      <c r="V4546" t="s">
        <v>63078</v>
      </c>
      <c r="W4546" t="s">
        <v>44719</v>
      </c>
      <c r="X4546" t="s">
        <v>47308</v>
      </c>
    </row>
    <row r="4547" spans="1:24">
      <c r="A4547">
        <f>HYPERLINK("https://www.philgeps.gov.ph/GEPSNONPILOT/Tender/SplashBidNoticeAbstractUI.aspx?menuIndex=3&amp;refID=7197149&amp;Result=3","7197149")</f>
        <v>0</v>
      </c>
      <c r="B4547" t="s">
        <v>1634</v>
      </c>
      <c r="C4547" t="s">
        <v>8147</v>
      </c>
      <c r="D4547" t="s">
        <v>19019</v>
      </c>
      <c r="E4547" t="s">
        <v>23139</v>
      </c>
      <c r="F4547" t="s">
        <v>32606</v>
      </c>
      <c r="G4547" t="s">
        <v>32613</v>
      </c>
      <c r="H4547" t="s">
        <v>14201</v>
      </c>
      <c r="I4547" t="s">
        <v>4120</v>
      </c>
      <c r="J4547" t="s">
        <v>35783</v>
      </c>
      <c r="K4547" t="s">
        <v>42631</v>
      </c>
      <c r="M4547" t="s">
        <v>44654</v>
      </c>
      <c r="N4547" t="s">
        <v>47304</v>
      </c>
      <c r="O4547" t="s">
        <v>47305</v>
      </c>
      <c r="P4547">
        <v>0</v>
      </c>
      <c r="Q4547">
        <v>1</v>
      </c>
      <c r="R4547" t="s">
        <v>47306</v>
      </c>
      <c r="S4547" t="s">
        <v>47414</v>
      </c>
      <c r="T4547" t="s">
        <v>49136</v>
      </c>
      <c r="U4547" t="s">
        <v>53445</v>
      </c>
      <c r="W4547" t="s">
        <v>44654</v>
      </c>
      <c r="X4547" t="s">
        <v>47308</v>
      </c>
    </row>
    <row r="4548" spans="1:24">
      <c r="A4548">
        <f>HYPERLINK("https://www.philgeps.gov.ph/GEPSNONPILOT/Tender/SplashBidNoticeAbstractUI.aspx?menuIndex=3&amp;refID=7197148&amp;Result=3","7197148")</f>
        <v>0</v>
      </c>
      <c r="B4548" t="s">
        <v>422</v>
      </c>
      <c r="C4548" t="s">
        <v>8148</v>
      </c>
      <c r="D4548" t="s">
        <v>19030</v>
      </c>
      <c r="E4548" t="s">
        <v>23140</v>
      </c>
      <c r="F4548" t="s">
        <v>32606</v>
      </c>
      <c r="G4548" t="s">
        <v>32613</v>
      </c>
      <c r="H4548" t="s">
        <v>32623</v>
      </c>
      <c r="I4548" t="s">
        <v>17648</v>
      </c>
      <c r="J4548" t="s">
        <v>35784</v>
      </c>
      <c r="K4548" t="s">
        <v>42725</v>
      </c>
      <c r="M4548" t="s">
        <v>43326</v>
      </c>
      <c r="N4548" t="s">
        <v>47304</v>
      </c>
      <c r="O4548" t="s">
        <v>47305</v>
      </c>
      <c r="P4548">
        <v>0</v>
      </c>
      <c r="Q4548">
        <v>0</v>
      </c>
      <c r="R4548" t="s">
        <v>47306</v>
      </c>
      <c r="S4548" t="s">
        <v>47414</v>
      </c>
      <c r="T4548" t="s">
        <v>48973</v>
      </c>
      <c r="U4548" t="s">
        <v>53446</v>
      </c>
      <c r="W4548" t="s">
        <v>43326</v>
      </c>
      <c r="X4548" t="s">
        <v>47308</v>
      </c>
    </row>
    <row r="4549" spans="1:24">
      <c r="A4549">
        <f>HYPERLINK("https://www.philgeps.gov.ph/GEPSNONPILOT/Tender/SplashBidNoticeAbstractUI.aspx?menuIndex=3&amp;refID=7197154&amp;Result=3","7197154")</f>
        <v>0</v>
      </c>
      <c r="B4549" t="s">
        <v>1691</v>
      </c>
      <c r="C4549" t="s">
        <v>8149</v>
      </c>
      <c r="D4549" t="s">
        <v>18993</v>
      </c>
      <c r="E4549" t="s">
        <v>23141</v>
      </c>
      <c r="F4549" t="s">
        <v>32606</v>
      </c>
      <c r="G4549" t="s">
        <v>32614</v>
      </c>
      <c r="H4549" t="s">
        <v>14201</v>
      </c>
      <c r="I4549" t="s">
        <v>32671</v>
      </c>
      <c r="J4549" t="s">
        <v>33083</v>
      </c>
      <c r="K4549" t="s">
        <v>42630</v>
      </c>
      <c r="M4549" t="s">
        <v>44720</v>
      </c>
      <c r="N4549" t="s">
        <v>47304</v>
      </c>
      <c r="O4549" t="s">
        <v>47305</v>
      </c>
      <c r="P4549">
        <v>0</v>
      </c>
      <c r="Q4549">
        <v>0</v>
      </c>
      <c r="R4549" t="s">
        <v>47306</v>
      </c>
      <c r="S4549" t="s">
        <v>47414</v>
      </c>
      <c r="T4549" t="s">
        <v>49061</v>
      </c>
      <c r="U4549" t="s">
        <v>53447</v>
      </c>
      <c r="W4549" t="s">
        <v>44720</v>
      </c>
      <c r="X4549" t="s">
        <v>47308</v>
      </c>
    </row>
    <row r="4550" spans="1:24">
      <c r="A4550">
        <f>HYPERLINK("https://www.philgeps.gov.ph/GEPSNONPILOT/Tender/SplashBidNoticeAbstractUI.aspx?menuIndex=3&amp;refID=7197143&amp;Result=3","7197143")</f>
        <v>0</v>
      </c>
      <c r="B4550" t="s">
        <v>1692</v>
      </c>
      <c r="C4550" t="s">
        <v>5906</v>
      </c>
      <c r="D4550" t="s">
        <v>19017</v>
      </c>
      <c r="E4550" t="s">
        <v>19279</v>
      </c>
      <c r="F4550" t="s">
        <v>32606</v>
      </c>
      <c r="G4550" t="s">
        <v>32613</v>
      </c>
      <c r="H4550" t="s">
        <v>32623</v>
      </c>
      <c r="I4550" t="s">
        <v>17648</v>
      </c>
      <c r="J4550" t="s">
        <v>32981</v>
      </c>
      <c r="K4550" t="s">
        <v>42622</v>
      </c>
      <c r="M4550" t="s">
        <v>44721</v>
      </c>
      <c r="N4550" t="s">
        <v>47304</v>
      </c>
      <c r="O4550" t="s">
        <v>47305</v>
      </c>
      <c r="P4550">
        <v>0</v>
      </c>
      <c r="Q4550">
        <v>0</v>
      </c>
      <c r="R4550" t="s">
        <v>47306</v>
      </c>
      <c r="S4550" t="s">
        <v>47414</v>
      </c>
      <c r="T4550" t="s">
        <v>49101</v>
      </c>
      <c r="U4550" t="s">
        <v>53448</v>
      </c>
      <c r="W4550" t="s">
        <v>44721</v>
      </c>
      <c r="X4550" t="s">
        <v>47308</v>
      </c>
    </row>
    <row r="4551" spans="1:24">
      <c r="A4551">
        <f>HYPERLINK("https://www.philgeps.gov.ph/GEPSNONPILOT/Tender/SplashBidNoticeAbstractUI.aspx?menuIndex=3&amp;refID=7197151&amp;Result=3","7197151")</f>
        <v>0</v>
      </c>
      <c r="B4551" t="s">
        <v>1121</v>
      </c>
      <c r="C4551" t="s">
        <v>8150</v>
      </c>
      <c r="D4551" t="s">
        <v>19037</v>
      </c>
      <c r="E4551" t="s">
        <v>23142</v>
      </c>
      <c r="F4551" t="s">
        <v>32606</v>
      </c>
      <c r="G4551" t="s">
        <v>32614</v>
      </c>
      <c r="H4551" t="s">
        <v>14201</v>
      </c>
      <c r="I4551" t="s">
        <v>6014</v>
      </c>
      <c r="J4551" t="s">
        <v>35785</v>
      </c>
      <c r="K4551" t="s">
        <v>42639</v>
      </c>
      <c r="M4551" t="s">
        <v>44393</v>
      </c>
      <c r="N4551" t="s">
        <v>47304</v>
      </c>
      <c r="O4551" t="s">
        <v>47305</v>
      </c>
      <c r="P4551">
        <v>0</v>
      </c>
      <c r="Q4551">
        <v>5</v>
      </c>
      <c r="R4551" t="s">
        <v>47306</v>
      </c>
      <c r="S4551" t="s">
        <v>47414</v>
      </c>
      <c r="T4551" t="s">
        <v>49062</v>
      </c>
      <c r="U4551" t="s">
        <v>52535</v>
      </c>
      <c r="W4551" t="s">
        <v>44393</v>
      </c>
      <c r="X4551" t="s">
        <v>47308</v>
      </c>
    </row>
    <row r="4552" spans="1:24">
      <c r="A4552">
        <f>HYPERLINK("https://www.philgeps.gov.ph/GEPSNONPILOT/Tender/SplashBidNoticeAbstractUI.aspx?menuIndex=3&amp;refID=7197147&amp;Result=3","7197147")</f>
        <v>0</v>
      </c>
      <c r="B4552" t="s">
        <v>1693</v>
      </c>
      <c r="C4552" t="s">
        <v>8151</v>
      </c>
      <c r="D4552" t="s">
        <v>19034</v>
      </c>
      <c r="E4552" t="s">
        <v>23143</v>
      </c>
      <c r="F4552" t="s">
        <v>32606</v>
      </c>
      <c r="G4552" t="s">
        <v>32617</v>
      </c>
      <c r="H4552" t="s">
        <v>14201</v>
      </c>
      <c r="I4552" t="s">
        <v>13131</v>
      </c>
      <c r="J4552" t="s">
        <v>33974</v>
      </c>
      <c r="K4552" t="s">
        <v>42623</v>
      </c>
      <c r="M4552" t="s">
        <v>44722</v>
      </c>
      <c r="N4552" t="s">
        <v>47304</v>
      </c>
      <c r="O4552" t="s">
        <v>47305</v>
      </c>
      <c r="P4552">
        <v>0</v>
      </c>
      <c r="Q4552">
        <v>0</v>
      </c>
      <c r="R4552" t="s">
        <v>47306</v>
      </c>
      <c r="S4552" t="s">
        <v>47414</v>
      </c>
      <c r="T4552" t="s">
        <v>49162</v>
      </c>
      <c r="U4552" t="s">
        <v>53449</v>
      </c>
      <c r="W4552" t="s">
        <v>44722</v>
      </c>
      <c r="X4552" t="s">
        <v>47308</v>
      </c>
    </row>
    <row r="4553" spans="1:24">
      <c r="A4553">
        <f>HYPERLINK("https://www.philgeps.gov.ph/GEPSNONPILOT/Tender/SplashBidNoticeAbstractUI.aspx?menuIndex=3&amp;refID=7197071&amp;Result=3","7197071")</f>
        <v>0</v>
      </c>
      <c r="B4553" t="s">
        <v>1268</v>
      </c>
      <c r="C4553" t="s">
        <v>8152</v>
      </c>
      <c r="D4553" t="s">
        <v>18991</v>
      </c>
      <c r="E4553" t="s">
        <v>23144</v>
      </c>
      <c r="F4553" t="s">
        <v>32606</v>
      </c>
      <c r="G4553" t="s">
        <v>32619</v>
      </c>
      <c r="H4553" t="s">
        <v>14201</v>
      </c>
      <c r="I4553" t="s">
        <v>4114</v>
      </c>
      <c r="J4553" t="s">
        <v>35786</v>
      </c>
      <c r="K4553" t="s">
        <v>42629</v>
      </c>
      <c r="M4553" t="s">
        <v>44236</v>
      </c>
      <c r="N4553" t="s">
        <v>47304</v>
      </c>
      <c r="O4553" t="s">
        <v>47305</v>
      </c>
      <c r="P4553">
        <v>0</v>
      </c>
      <c r="Q4553">
        <v>2</v>
      </c>
      <c r="R4553" t="s">
        <v>47306</v>
      </c>
      <c r="S4553" t="s">
        <v>47414</v>
      </c>
      <c r="T4553" t="s">
        <v>48979</v>
      </c>
      <c r="U4553" t="s">
        <v>53450</v>
      </c>
      <c r="W4553" t="s">
        <v>44236</v>
      </c>
      <c r="X4553" t="s">
        <v>47308</v>
      </c>
    </row>
    <row r="4554" spans="1:24">
      <c r="A4554">
        <f>HYPERLINK("https://www.philgeps.gov.ph/GEPSNONPILOT/Tender/SplashBidNoticeAbstractUI.aspx?menuIndex=3&amp;refID=7197146&amp;Result=3","7197146")</f>
        <v>0</v>
      </c>
      <c r="B4554" t="s">
        <v>1694</v>
      </c>
      <c r="C4554" t="s">
        <v>8153</v>
      </c>
      <c r="D4554" t="s">
        <v>19061</v>
      </c>
      <c r="E4554" t="s">
        <v>23145</v>
      </c>
      <c r="F4554" t="s">
        <v>32606</v>
      </c>
      <c r="G4554" t="s">
        <v>32614</v>
      </c>
      <c r="H4554" t="s">
        <v>14201</v>
      </c>
      <c r="I4554" t="s">
        <v>4678</v>
      </c>
      <c r="J4554" t="s">
        <v>35787</v>
      </c>
      <c r="K4554" t="s">
        <v>42622</v>
      </c>
      <c r="M4554" t="s">
        <v>44723</v>
      </c>
      <c r="N4554" t="s">
        <v>47304</v>
      </c>
      <c r="O4554" t="s">
        <v>47305</v>
      </c>
      <c r="P4554">
        <v>0</v>
      </c>
      <c r="Q4554">
        <v>2</v>
      </c>
      <c r="R4554" t="s">
        <v>47306</v>
      </c>
      <c r="S4554" t="s">
        <v>47414</v>
      </c>
      <c r="T4554" t="s">
        <v>48988</v>
      </c>
      <c r="U4554" t="s">
        <v>53451</v>
      </c>
      <c r="W4554" t="s">
        <v>44723</v>
      </c>
      <c r="X4554" t="s">
        <v>47308</v>
      </c>
    </row>
    <row r="4555" spans="1:24">
      <c r="A4555">
        <f>HYPERLINK("https://www.philgeps.gov.ph/GEPSNONPILOT/Tender/SplashBidNoticeAbstractUI.aspx?menuIndex=3&amp;refID=7197182&amp;Result=3","7197182")</f>
        <v>0</v>
      </c>
      <c r="B4555" t="s">
        <v>1692</v>
      </c>
      <c r="C4555" t="s">
        <v>8154</v>
      </c>
      <c r="D4555" t="s">
        <v>19017</v>
      </c>
      <c r="E4555" t="s">
        <v>19370</v>
      </c>
      <c r="F4555" t="s">
        <v>32606</v>
      </c>
      <c r="G4555" t="s">
        <v>32613</v>
      </c>
      <c r="H4555" t="s">
        <v>14201</v>
      </c>
      <c r="I4555" t="s">
        <v>32629</v>
      </c>
      <c r="J4555" t="s">
        <v>32765</v>
      </c>
      <c r="K4555" t="s">
        <v>42684</v>
      </c>
      <c r="M4555" t="s">
        <v>44721</v>
      </c>
      <c r="N4555" t="s">
        <v>47304</v>
      </c>
      <c r="O4555" t="s">
        <v>47305</v>
      </c>
      <c r="P4555">
        <v>0</v>
      </c>
      <c r="Q4555">
        <v>0</v>
      </c>
      <c r="R4555" t="s">
        <v>47306</v>
      </c>
      <c r="S4555" t="s">
        <v>47414</v>
      </c>
      <c r="T4555" t="s">
        <v>48971</v>
      </c>
      <c r="U4555" t="s">
        <v>53452</v>
      </c>
      <c r="W4555" t="s">
        <v>44721</v>
      </c>
      <c r="X4555" t="s">
        <v>47308</v>
      </c>
    </row>
    <row r="4556" spans="1:24">
      <c r="A4556">
        <f>HYPERLINK("https://www.philgeps.gov.ph/GEPSNONPILOT/Tender/SplashBidNoticeAbstractUI.aspx?menuIndex=3&amp;refID=7197113&amp;Result=3","7197113")</f>
        <v>0</v>
      </c>
      <c r="B4556" t="s">
        <v>1695</v>
      </c>
      <c r="C4556" t="s">
        <v>4402</v>
      </c>
      <c r="D4556" t="s">
        <v>19050</v>
      </c>
      <c r="E4556" t="s">
        <v>23146</v>
      </c>
      <c r="F4556" t="s">
        <v>32606</v>
      </c>
      <c r="G4556" t="s">
        <v>32613</v>
      </c>
      <c r="H4556" t="s">
        <v>32623</v>
      </c>
      <c r="I4556" t="s">
        <v>17648</v>
      </c>
      <c r="J4556" t="s">
        <v>35788</v>
      </c>
      <c r="K4556" t="s">
        <v>42711</v>
      </c>
      <c r="M4556" t="s">
        <v>44724</v>
      </c>
      <c r="N4556" t="s">
        <v>47304</v>
      </c>
      <c r="O4556" t="s">
        <v>47305</v>
      </c>
      <c r="P4556">
        <v>0</v>
      </c>
      <c r="Q4556">
        <v>0</v>
      </c>
      <c r="R4556" t="s">
        <v>47306</v>
      </c>
      <c r="S4556" t="s">
        <v>47414</v>
      </c>
      <c r="T4556" t="s">
        <v>48995</v>
      </c>
      <c r="U4556" t="s">
        <v>53453</v>
      </c>
      <c r="W4556" t="s">
        <v>44724</v>
      </c>
      <c r="X4556" t="s">
        <v>47308</v>
      </c>
    </row>
    <row r="4557" spans="1:24">
      <c r="A4557">
        <f>HYPERLINK("https://www.philgeps.gov.ph/GEPSNONPILOT/Tender/SplashBidNoticeAbstractUI.aspx?menuIndex=3&amp;refID=7197179&amp;Result=3","7197179")</f>
        <v>0</v>
      </c>
      <c r="B4557" t="s">
        <v>1100</v>
      </c>
      <c r="C4557" t="s">
        <v>8155</v>
      </c>
      <c r="D4557" t="s">
        <v>18993</v>
      </c>
      <c r="E4557" t="s">
        <v>23147</v>
      </c>
      <c r="F4557" t="s">
        <v>32606</v>
      </c>
      <c r="G4557" t="s">
        <v>32613</v>
      </c>
      <c r="H4557" t="s">
        <v>14201</v>
      </c>
      <c r="I4557" t="s">
        <v>6298</v>
      </c>
      <c r="J4557" t="s">
        <v>33441</v>
      </c>
      <c r="K4557" t="s">
        <v>42632</v>
      </c>
      <c r="M4557" t="s">
        <v>44056</v>
      </c>
      <c r="N4557" t="s">
        <v>47304</v>
      </c>
      <c r="O4557" t="s">
        <v>47305</v>
      </c>
      <c r="P4557">
        <v>0</v>
      </c>
      <c r="Q4557">
        <v>1</v>
      </c>
      <c r="R4557" t="s">
        <v>47306</v>
      </c>
      <c r="S4557" t="s">
        <v>47414</v>
      </c>
      <c r="T4557" t="s">
        <v>48976</v>
      </c>
      <c r="U4557" t="s">
        <v>53454</v>
      </c>
      <c r="W4557" t="s">
        <v>44056</v>
      </c>
      <c r="X4557" t="s">
        <v>47308</v>
      </c>
    </row>
    <row r="4558" spans="1:24">
      <c r="A4558">
        <f>HYPERLINK("https://www.philgeps.gov.ph/GEPSNONPILOT/Tender/SplashBidNoticeAbstractUI.aspx?menuIndex=3&amp;refID=7197178&amp;Result=3","7197178")</f>
        <v>0</v>
      </c>
      <c r="B4558" t="s">
        <v>1696</v>
      </c>
      <c r="C4558" t="s">
        <v>8156</v>
      </c>
      <c r="D4558" t="s">
        <v>18993</v>
      </c>
      <c r="E4558" t="s">
        <v>23148</v>
      </c>
      <c r="F4558" t="s">
        <v>32606</v>
      </c>
      <c r="G4558" t="s">
        <v>32613</v>
      </c>
      <c r="H4558" t="s">
        <v>14201</v>
      </c>
      <c r="I4558" t="s">
        <v>4120</v>
      </c>
      <c r="J4558" t="s">
        <v>35789</v>
      </c>
      <c r="K4558" t="s">
        <v>42623</v>
      </c>
      <c r="M4558" t="s">
        <v>44725</v>
      </c>
      <c r="N4558" t="s">
        <v>47304</v>
      </c>
      <c r="O4558" t="s">
        <v>47305</v>
      </c>
      <c r="P4558">
        <v>0</v>
      </c>
      <c r="Q4558">
        <v>0</v>
      </c>
      <c r="R4558" t="s">
        <v>47306</v>
      </c>
      <c r="S4558" t="s">
        <v>47414</v>
      </c>
      <c r="T4558" t="s">
        <v>49023</v>
      </c>
      <c r="U4558" t="s">
        <v>51117</v>
      </c>
      <c r="W4558" t="s">
        <v>44725</v>
      </c>
      <c r="X4558" t="s">
        <v>47308</v>
      </c>
    </row>
    <row r="4559" spans="1:24">
      <c r="A4559">
        <f>HYPERLINK("https://www.philgeps.gov.ph/GEPSNONPILOT/Tender/SplashBidNoticeAbstractUI.aspx?menuIndex=3&amp;refID=7197141&amp;Result=3","7197141")</f>
        <v>0</v>
      </c>
      <c r="B4559" t="s">
        <v>1653</v>
      </c>
      <c r="C4559" t="s">
        <v>8157</v>
      </c>
      <c r="D4559" t="s">
        <v>19056</v>
      </c>
      <c r="E4559" t="s">
        <v>21785</v>
      </c>
      <c r="F4559" t="s">
        <v>32606</v>
      </c>
      <c r="G4559" t="s">
        <v>32613</v>
      </c>
      <c r="H4559" t="s">
        <v>32623</v>
      </c>
      <c r="I4559" t="s">
        <v>17648</v>
      </c>
      <c r="J4559" t="s">
        <v>35790</v>
      </c>
      <c r="K4559" t="s">
        <v>42738</v>
      </c>
      <c r="M4559" t="s">
        <v>44677</v>
      </c>
      <c r="N4559" t="s">
        <v>47304</v>
      </c>
      <c r="O4559" t="s">
        <v>47305</v>
      </c>
      <c r="P4559">
        <v>0</v>
      </c>
      <c r="Q4559">
        <v>1</v>
      </c>
      <c r="R4559" t="s">
        <v>47306</v>
      </c>
      <c r="S4559" t="s">
        <v>47414</v>
      </c>
      <c r="T4559" t="s">
        <v>48983</v>
      </c>
      <c r="U4559" t="s">
        <v>53455</v>
      </c>
      <c r="W4559" t="s">
        <v>44677</v>
      </c>
      <c r="X4559" t="s">
        <v>47308</v>
      </c>
    </row>
    <row r="4560" spans="1:24">
      <c r="A4560">
        <f>HYPERLINK("https://www.philgeps.gov.ph/GEPSNONPILOT/Tender/SplashBidNoticeAbstractUI.aspx?menuIndex=3&amp;refID=7197177&amp;Result=3","7197177")</f>
        <v>0</v>
      </c>
      <c r="B4560" t="s">
        <v>1697</v>
      </c>
      <c r="C4560" t="s">
        <v>8158</v>
      </c>
      <c r="D4560" t="s">
        <v>19016</v>
      </c>
      <c r="E4560" t="s">
        <v>23149</v>
      </c>
      <c r="F4560" t="s">
        <v>32606</v>
      </c>
      <c r="G4560" t="s">
        <v>32619</v>
      </c>
      <c r="H4560" t="s">
        <v>14201</v>
      </c>
      <c r="I4560" t="s">
        <v>32626</v>
      </c>
      <c r="J4560" t="s">
        <v>35791</v>
      </c>
      <c r="K4560" t="s">
        <v>42630</v>
      </c>
      <c r="M4560" t="s">
        <v>44726</v>
      </c>
      <c r="N4560" t="s">
        <v>47304</v>
      </c>
      <c r="O4560" t="s">
        <v>47305</v>
      </c>
      <c r="P4560">
        <v>0</v>
      </c>
      <c r="Q4560">
        <v>6</v>
      </c>
      <c r="R4560" t="s">
        <v>47306</v>
      </c>
      <c r="S4560" t="s">
        <v>47414</v>
      </c>
      <c r="T4560" t="s">
        <v>49004</v>
      </c>
      <c r="U4560" t="s">
        <v>53456</v>
      </c>
      <c r="V4560" t="s">
        <v>63079</v>
      </c>
      <c r="W4560" t="s">
        <v>44726</v>
      </c>
      <c r="X4560" t="s">
        <v>47308</v>
      </c>
    </row>
    <row r="4561" spans="1:24">
      <c r="A4561">
        <f>HYPERLINK("https://www.philgeps.gov.ph/GEPSNONPILOT/Tender/SplashBidNoticeAbstractUI.aspx?menuIndex=3&amp;refID=7197176&amp;Result=3","7197176")</f>
        <v>0</v>
      </c>
      <c r="B4561" t="s">
        <v>1685</v>
      </c>
      <c r="C4561" t="s">
        <v>8159</v>
      </c>
      <c r="D4561" t="s">
        <v>19016</v>
      </c>
      <c r="E4561" t="s">
        <v>23150</v>
      </c>
      <c r="F4561" t="s">
        <v>32606</v>
      </c>
      <c r="G4561" t="s">
        <v>32613</v>
      </c>
      <c r="H4561" t="s">
        <v>32623</v>
      </c>
      <c r="I4561" t="s">
        <v>17648</v>
      </c>
      <c r="J4561" t="s">
        <v>33274</v>
      </c>
      <c r="K4561" t="s">
        <v>42631</v>
      </c>
      <c r="M4561" t="s">
        <v>44714</v>
      </c>
      <c r="N4561" t="s">
        <v>47304</v>
      </c>
      <c r="O4561" t="s">
        <v>47305</v>
      </c>
      <c r="P4561">
        <v>0</v>
      </c>
      <c r="Q4561">
        <v>0</v>
      </c>
      <c r="R4561" t="s">
        <v>47306</v>
      </c>
      <c r="S4561" t="s">
        <v>47414</v>
      </c>
      <c r="T4561" t="s">
        <v>49101</v>
      </c>
      <c r="U4561" t="s">
        <v>53457</v>
      </c>
      <c r="W4561" t="s">
        <v>44714</v>
      </c>
      <c r="X4561" t="s">
        <v>47308</v>
      </c>
    </row>
    <row r="4562" spans="1:24">
      <c r="A4562">
        <f>HYPERLINK("https://www.philgeps.gov.ph/GEPSNONPILOT/Tender/SplashBidNoticeAbstractUI.aspx?menuIndex=3&amp;refID=7197175&amp;Result=3","7197175")</f>
        <v>0</v>
      </c>
      <c r="B4562" t="s">
        <v>1696</v>
      </c>
      <c r="C4562" t="s">
        <v>8160</v>
      </c>
      <c r="D4562" t="s">
        <v>18993</v>
      </c>
      <c r="E4562" t="s">
        <v>23151</v>
      </c>
      <c r="F4562" t="s">
        <v>32606</v>
      </c>
      <c r="G4562" t="s">
        <v>32613</v>
      </c>
      <c r="H4562" t="s">
        <v>14201</v>
      </c>
      <c r="I4562" t="s">
        <v>4120</v>
      </c>
      <c r="J4562" t="s">
        <v>35792</v>
      </c>
      <c r="K4562" t="s">
        <v>42623</v>
      </c>
      <c r="M4562" t="s">
        <v>44725</v>
      </c>
      <c r="N4562" t="s">
        <v>47304</v>
      </c>
      <c r="O4562" t="s">
        <v>47305</v>
      </c>
      <c r="P4562">
        <v>0</v>
      </c>
      <c r="Q4562">
        <v>0</v>
      </c>
      <c r="R4562" t="s">
        <v>47306</v>
      </c>
      <c r="S4562" t="s">
        <v>47414</v>
      </c>
      <c r="T4562" t="s">
        <v>49023</v>
      </c>
      <c r="U4562" t="s">
        <v>51117</v>
      </c>
      <c r="W4562" t="s">
        <v>44725</v>
      </c>
      <c r="X4562" t="s">
        <v>47308</v>
      </c>
    </row>
    <row r="4563" spans="1:24">
      <c r="A4563">
        <f>HYPERLINK("https://www.philgeps.gov.ph/GEPSNONPILOT/Tender/SplashBidNoticeAbstractUI.aspx?menuIndex=3&amp;refID=7197174&amp;Result=3","7197174")</f>
        <v>0</v>
      </c>
      <c r="B4563" t="s">
        <v>1698</v>
      </c>
      <c r="C4563" t="s">
        <v>8161</v>
      </c>
      <c r="E4563" t="s">
        <v>23152</v>
      </c>
      <c r="F4563" t="s">
        <v>32606</v>
      </c>
      <c r="G4563" t="s">
        <v>32613</v>
      </c>
      <c r="H4563" t="s">
        <v>14201</v>
      </c>
      <c r="I4563" t="s">
        <v>4678</v>
      </c>
      <c r="J4563" t="s">
        <v>35793</v>
      </c>
      <c r="K4563" t="s">
        <v>42624</v>
      </c>
      <c r="M4563" t="s">
        <v>44727</v>
      </c>
      <c r="N4563" t="s">
        <v>47304</v>
      </c>
      <c r="O4563" t="s">
        <v>47305</v>
      </c>
      <c r="P4563">
        <v>0</v>
      </c>
      <c r="Q4563">
        <v>1</v>
      </c>
      <c r="R4563" t="s">
        <v>47306</v>
      </c>
      <c r="S4563" t="s">
        <v>47414</v>
      </c>
      <c r="T4563" t="s">
        <v>49291</v>
      </c>
      <c r="U4563" t="s">
        <v>53458</v>
      </c>
      <c r="W4563" t="s">
        <v>44727</v>
      </c>
      <c r="X4563" t="s">
        <v>47308</v>
      </c>
    </row>
    <row r="4564" spans="1:24">
      <c r="A4564">
        <f>HYPERLINK("https://www.philgeps.gov.ph/GEPSNONPILOT/Tender/SplashBidNoticeAbstractUI.aspx?menuIndex=3&amp;refID=7197169&amp;Result=3","7197169")</f>
        <v>0</v>
      </c>
      <c r="B4564" t="s">
        <v>1699</v>
      </c>
      <c r="C4564" t="s">
        <v>8162</v>
      </c>
      <c r="D4564" t="s">
        <v>19017</v>
      </c>
      <c r="E4564" t="s">
        <v>23153</v>
      </c>
      <c r="F4564" t="s">
        <v>32606</v>
      </c>
      <c r="G4564" t="s">
        <v>32613</v>
      </c>
      <c r="H4564" t="s">
        <v>32623</v>
      </c>
      <c r="I4564" t="s">
        <v>32659</v>
      </c>
      <c r="J4564" t="s">
        <v>32770</v>
      </c>
      <c r="K4564" t="s">
        <v>42760</v>
      </c>
      <c r="M4564" t="s">
        <v>44728</v>
      </c>
      <c r="N4564" t="s">
        <v>47304</v>
      </c>
      <c r="O4564" t="s">
        <v>47305</v>
      </c>
      <c r="P4564">
        <v>0</v>
      </c>
      <c r="Q4564">
        <v>0</v>
      </c>
      <c r="R4564" t="s">
        <v>47306</v>
      </c>
      <c r="S4564" t="s">
        <v>47414</v>
      </c>
      <c r="T4564" t="s">
        <v>48994</v>
      </c>
      <c r="U4564" t="s">
        <v>53459</v>
      </c>
      <c r="W4564" t="s">
        <v>44728</v>
      </c>
      <c r="X4564" t="s">
        <v>47308</v>
      </c>
    </row>
    <row r="4565" spans="1:24">
      <c r="A4565">
        <f>HYPERLINK("https://www.philgeps.gov.ph/GEPSNONPILOT/Tender/SplashBidNoticeAbstractUI.aspx?menuIndex=3&amp;refID=7197181&amp;Result=3","7197181")</f>
        <v>0</v>
      </c>
      <c r="B4565" t="s">
        <v>1696</v>
      </c>
      <c r="C4565" t="s">
        <v>8163</v>
      </c>
      <c r="D4565" t="s">
        <v>18993</v>
      </c>
      <c r="E4565" t="s">
        <v>23154</v>
      </c>
      <c r="F4565" t="s">
        <v>32606</v>
      </c>
      <c r="G4565" t="s">
        <v>32613</v>
      </c>
      <c r="H4565" t="s">
        <v>14201</v>
      </c>
      <c r="I4565" t="s">
        <v>4120</v>
      </c>
      <c r="J4565" t="s">
        <v>35794</v>
      </c>
      <c r="K4565" t="s">
        <v>42623</v>
      </c>
      <c r="M4565" t="s">
        <v>44725</v>
      </c>
      <c r="N4565" t="s">
        <v>47304</v>
      </c>
      <c r="O4565" t="s">
        <v>47305</v>
      </c>
      <c r="P4565">
        <v>0</v>
      </c>
      <c r="Q4565">
        <v>0</v>
      </c>
      <c r="R4565" t="s">
        <v>47306</v>
      </c>
      <c r="S4565" t="s">
        <v>47414</v>
      </c>
      <c r="T4565" t="s">
        <v>49023</v>
      </c>
      <c r="U4565" t="s">
        <v>51117</v>
      </c>
      <c r="W4565" t="s">
        <v>44725</v>
      </c>
      <c r="X4565" t="s">
        <v>47308</v>
      </c>
    </row>
    <row r="4566" spans="1:24">
      <c r="A4566">
        <f>HYPERLINK("https://www.philgeps.gov.ph/GEPSNONPILOT/Tender/SplashBidNoticeAbstractUI.aspx?menuIndex=3&amp;refID=7197167&amp;Result=3","7197167")</f>
        <v>0</v>
      </c>
      <c r="B4566" t="s">
        <v>280</v>
      </c>
      <c r="C4566" t="s">
        <v>6298</v>
      </c>
      <c r="D4566" t="s">
        <v>19028</v>
      </c>
      <c r="E4566" t="s">
        <v>23155</v>
      </c>
      <c r="F4566" t="s">
        <v>32606</v>
      </c>
      <c r="G4566" t="s">
        <v>32614</v>
      </c>
      <c r="H4566" t="s">
        <v>14201</v>
      </c>
      <c r="I4566" t="s">
        <v>6298</v>
      </c>
      <c r="J4566" t="s">
        <v>33034</v>
      </c>
      <c r="K4566" t="s">
        <v>42631</v>
      </c>
      <c r="M4566" t="s">
        <v>43712</v>
      </c>
      <c r="N4566" t="s">
        <v>47304</v>
      </c>
      <c r="O4566" t="s">
        <v>47305</v>
      </c>
      <c r="P4566">
        <v>0</v>
      </c>
      <c r="Q4566">
        <v>0</v>
      </c>
      <c r="R4566" t="s">
        <v>47306</v>
      </c>
      <c r="S4566" t="s">
        <v>47414</v>
      </c>
      <c r="T4566" t="s">
        <v>49010</v>
      </c>
      <c r="U4566" t="s">
        <v>53460</v>
      </c>
      <c r="W4566" t="s">
        <v>43712</v>
      </c>
      <c r="X4566" t="s">
        <v>47308</v>
      </c>
    </row>
    <row r="4567" spans="1:24">
      <c r="A4567">
        <f>HYPERLINK("https://www.philgeps.gov.ph/GEPSNONPILOT/Tender/SplashBidNoticeAbstractUI.aspx?menuIndex=3&amp;refID=7197145&amp;Result=3","7197145")</f>
        <v>0</v>
      </c>
      <c r="B4567" t="s">
        <v>280</v>
      </c>
      <c r="C4567" t="s">
        <v>6298</v>
      </c>
      <c r="D4567" t="s">
        <v>19028</v>
      </c>
      <c r="E4567" t="s">
        <v>23156</v>
      </c>
      <c r="F4567" t="s">
        <v>32606</v>
      </c>
      <c r="G4567" t="s">
        <v>32614</v>
      </c>
      <c r="H4567" t="s">
        <v>14201</v>
      </c>
      <c r="I4567" t="s">
        <v>6298</v>
      </c>
      <c r="J4567" t="s">
        <v>35795</v>
      </c>
      <c r="K4567" t="s">
        <v>42631</v>
      </c>
      <c r="M4567" t="s">
        <v>43712</v>
      </c>
      <c r="N4567" t="s">
        <v>47304</v>
      </c>
      <c r="O4567" t="s">
        <v>47305</v>
      </c>
      <c r="P4567">
        <v>0</v>
      </c>
      <c r="Q4567">
        <v>0</v>
      </c>
      <c r="R4567" t="s">
        <v>47306</v>
      </c>
      <c r="S4567" t="s">
        <v>47414</v>
      </c>
      <c r="T4567" t="s">
        <v>49010</v>
      </c>
      <c r="U4567" t="s">
        <v>53461</v>
      </c>
      <c r="W4567" t="s">
        <v>43712</v>
      </c>
      <c r="X4567" t="s">
        <v>47308</v>
      </c>
    </row>
    <row r="4568" spans="1:24">
      <c r="A4568">
        <f>HYPERLINK("https://www.philgeps.gov.ph/GEPSNONPILOT/Tender/SplashBidNoticeAbstractUI.aspx?menuIndex=3&amp;refID=7197164&amp;Result=3","7197164")</f>
        <v>0</v>
      </c>
      <c r="B4568" t="s">
        <v>1693</v>
      </c>
      <c r="C4568" t="s">
        <v>8164</v>
      </c>
      <c r="D4568" t="s">
        <v>19034</v>
      </c>
      <c r="E4568" t="s">
        <v>20604</v>
      </c>
      <c r="F4568" t="s">
        <v>32606</v>
      </c>
      <c r="G4568" t="s">
        <v>32614</v>
      </c>
      <c r="H4568" t="s">
        <v>14201</v>
      </c>
      <c r="I4568" t="s">
        <v>32635</v>
      </c>
      <c r="J4568" t="s">
        <v>35796</v>
      </c>
      <c r="K4568" t="s">
        <v>42627</v>
      </c>
      <c r="M4568" t="s">
        <v>44722</v>
      </c>
      <c r="N4568" t="s">
        <v>47304</v>
      </c>
      <c r="O4568" t="s">
        <v>47305</v>
      </c>
      <c r="P4568">
        <v>0</v>
      </c>
      <c r="Q4568">
        <v>3</v>
      </c>
      <c r="R4568" t="s">
        <v>47306</v>
      </c>
      <c r="S4568" t="s">
        <v>47414</v>
      </c>
      <c r="T4568" t="s">
        <v>49162</v>
      </c>
      <c r="U4568" t="s">
        <v>53462</v>
      </c>
      <c r="W4568" t="s">
        <v>44722</v>
      </c>
      <c r="X4568" t="s">
        <v>47308</v>
      </c>
    </row>
    <row r="4569" spans="1:24">
      <c r="A4569">
        <f>HYPERLINK("https://www.philgeps.gov.ph/GEPSNONPILOT/Tender/SplashBidNoticeAbstractUI.aspx?menuIndex=3&amp;refID=7197173&amp;Result=3","7197173")</f>
        <v>0</v>
      </c>
      <c r="B4569" t="s">
        <v>280</v>
      </c>
      <c r="C4569" t="s">
        <v>6298</v>
      </c>
      <c r="D4569" t="s">
        <v>19028</v>
      </c>
      <c r="E4569" t="s">
        <v>23157</v>
      </c>
      <c r="F4569" t="s">
        <v>32606</v>
      </c>
      <c r="G4569" t="s">
        <v>32614</v>
      </c>
      <c r="H4569" t="s">
        <v>14201</v>
      </c>
      <c r="I4569" t="s">
        <v>6298</v>
      </c>
      <c r="J4569" t="s">
        <v>32885</v>
      </c>
      <c r="K4569" t="s">
        <v>42631</v>
      </c>
      <c r="M4569" t="s">
        <v>43712</v>
      </c>
      <c r="N4569" t="s">
        <v>47304</v>
      </c>
      <c r="O4569" t="s">
        <v>47305</v>
      </c>
      <c r="P4569">
        <v>0</v>
      </c>
      <c r="Q4569">
        <v>0</v>
      </c>
      <c r="R4569" t="s">
        <v>47306</v>
      </c>
      <c r="S4569" t="s">
        <v>47414</v>
      </c>
      <c r="T4569" t="s">
        <v>49010</v>
      </c>
      <c r="U4569" t="s">
        <v>53463</v>
      </c>
      <c r="W4569" t="s">
        <v>43712</v>
      </c>
      <c r="X4569" t="s">
        <v>47308</v>
      </c>
    </row>
    <row r="4570" spans="1:24">
      <c r="A4570">
        <f>HYPERLINK("https://www.philgeps.gov.ph/GEPSNONPILOT/Tender/SplashBidNoticeAbstractUI.aspx?menuIndex=3&amp;refID=7197160&amp;Result=3","7197160")</f>
        <v>0</v>
      </c>
      <c r="B4570" t="s">
        <v>280</v>
      </c>
      <c r="C4570" t="s">
        <v>6298</v>
      </c>
      <c r="D4570" t="s">
        <v>19028</v>
      </c>
      <c r="E4570" t="s">
        <v>23158</v>
      </c>
      <c r="F4570" t="s">
        <v>32606</v>
      </c>
      <c r="G4570" t="s">
        <v>32614</v>
      </c>
      <c r="H4570" t="s">
        <v>14201</v>
      </c>
      <c r="I4570" t="s">
        <v>6298</v>
      </c>
      <c r="J4570" t="s">
        <v>35797</v>
      </c>
      <c r="K4570" t="s">
        <v>42631</v>
      </c>
      <c r="M4570" t="s">
        <v>43712</v>
      </c>
      <c r="N4570" t="s">
        <v>47304</v>
      </c>
      <c r="O4570" t="s">
        <v>47305</v>
      </c>
      <c r="P4570">
        <v>0</v>
      </c>
      <c r="Q4570">
        <v>0</v>
      </c>
      <c r="R4570" t="s">
        <v>47306</v>
      </c>
      <c r="S4570" t="s">
        <v>47414</v>
      </c>
      <c r="T4570" t="s">
        <v>49010</v>
      </c>
      <c r="U4570" t="s">
        <v>53464</v>
      </c>
      <c r="W4570" t="s">
        <v>43712</v>
      </c>
      <c r="X4570" t="s">
        <v>47308</v>
      </c>
    </row>
    <row r="4571" spans="1:24">
      <c r="A4571">
        <f>HYPERLINK("https://www.philgeps.gov.ph/GEPSNONPILOT/Tender/SplashBidNoticeAbstractUI.aspx?menuIndex=3&amp;refID=7197171&amp;Result=3","7197171")</f>
        <v>0</v>
      </c>
      <c r="B4571" t="s">
        <v>1634</v>
      </c>
      <c r="C4571" t="s">
        <v>8165</v>
      </c>
      <c r="D4571" t="s">
        <v>19019</v>
      </c>
      <c r="E4571" t="s">
        <v>23159</v>
      </c>
      <c r="F4571" t="s">
        <v>32606</v>
      </c>
      <c r="G4571" t="s">
        <v>32613</v>
      </c>
      <c r="H4571" t="s">
        <v>14201</v>
      </c>
      <c r="I4571" t="s">
        <v>7064</v>
      </c>
      <c r="J4571" t="s">
        <v>35798</v>
      </c>
      <c r="K4571" t="s">
        <v>42636</v>
      </c>
      <c r="M4571" t="s">
        <v>44654</v>
      </c>
      <c r="N4571" t="s">
        <v>47304</v>
      </c>
      <c r="O4571" t="s">
        <v>47305</v>
      </c>
      <c r="P4571">
        <v>0</v>
      </c>
      <c r="Q4571">
        <v>2</v>
      </c>
      <c r="R4571" t="s">
        <v>47306</v>
      </c>
      <c r="S4571" t="s">
        <v>47414</v>
      </c>
      <c r="T4571" t="s">
        <v>49136</v>
      </c>
      <c r="U4571" t="s">
        <v>53465</v>
      </c>
      <c r="W4571" t="s">
        <v>44654</v>
      </c>
      <c r="X4571" t="s">
        <v>47308</v>
      </c>
    </row>
    <row r="4572" spans="1:24">
      <c r="A4572">
        <f>HYPERLINK("https://www.philgeps.gov.ph/GEPSNONPILOT/Tender/SplashBidNoticeAbstractUI.aspx?menuIndex=3&amp;refID=7197159&amp;Result=3","7197159")</f>
        <v>0</v>
      </c>
      <c r="B4572" t="s">
        <v>1700</v>
      </c>
      <c r="C4572" t="s">
        <v>8166</v>
      </c>
      <c r="D4572" t="s">
        <v>19044</v>
      </c>
      <c r="E4572" t="s">
        <v>23160</v>
      </c>
      <c r="F4572" t="s">
        <v>32606</v>
      </c>
      <c r="G4572" t="s">
        <v>32617</v>
      </c>
      <c r="H4572" t="s">
        <v>14201</v>
      </c>
      <c r="I4572" t="s">
        <v>4114</v>
      </c>
      <c r="J4572" t="s">
        <v>35799</v>
      </c>
      <c r="K4572" t="s">
        <v>42630</v>
      </c>
      <c r="M4572" t="s">
        <v>44729</v>
      </c>
      <c r="N4572" t="s">
        <v>47304</v>
      </c>
      <c r="O4572" t="s">
        <v>47305</v>
      </c>
      <c r="P4572">
        <v>0</v>
      </c>
      <c r="Q4572">
        <v>2</v>
      </c>
      <c r="R4572" t="s">
        <v>47306</v>
      </c>
      <c r="S4572" t="s">
        <v>47414</v>
      </c>
      <c r="T4572" t="s">
        <v>48975</v>
      </c>
      <c r="U4572" t="s">
        <v>53466</v>
      </c>
      <c r="W4572" t="s">
        <v>44729</v>
      </c>
      <c r="X4572" t="s">
        <v>47308</v>
      </c>
    </row>
    <row r="4573" spans="1:24">
      <c r="A4573">
        <f>HYPERLINK("https://www.philgeps.gov.ph/GEPSNONPILOT/Tender/SplashBidNoticeAbstractUI.aspx?menuIndex=3&amp;refID=7197166&amp;Result=3","7197166")</f>
        <v>0</v>
      </c>
      <c r="B4573" t="s">
        <v>1634</v>
      </c>
      <c r="C4573" t="s">
        <v>8167</v>
      </c>
      <c r="D4573" t="s">
        <v>19019</v>
      </c>
      <c r="E4573" t="s">
        <v>23161</v>
      </c>
      <c r="F4573" t="s">
        <v>32606</v>
      </c>
      <c r="G4573" t="s">
        <v>32613</v>
      </c>
      <c r="H4573" t="s">
        <v>14201</v>
      </c>
      <c r="I4573" t="s">
        <v>6014</v>
      </c>
      <c r="J4573" t="s">
        <v>35800</v>
      </c>
      <c r="K4573" t="s">
        <v>42631</v>
      </c>
      <c r="M4573" t="s">
        <v>44654</v>
      </c>
      <c r="N4573" t="s">
        <v>47304</v>
      </c>
      <c r="O4573" t="s">
        <v>47305</v>
      </c>
      <c r="P4573">
        <v>0</v>
      </c>
      <c r="Q4573">
        <v>2</v>
      </c>
      <c r="R4573" t="s">
        <v>47306</v>
      </c>
      <c r="S4573" t="s">
        <v>47414</v>
      </c>
      <c r="T4573" t="s">
        <v>49136</v>
      </c>
      <c r="U4573" t="s">
        <v>53467</v>
      </c>
      <c r="W4573" t="s">
        <v>44654</v>
      </c>
      <c r="X4573" t="s">
        <v>47308</v>
      </c>
    </row>
    <row r="4574" spans="1:24">
      <c r="A4574">
        <f>HYPERLINK("https://www.philgeps.gov.ph/GEPSNONPILOT/Tender/SplashBidNoticeAbstractUI.aspx?menuIndex=3&amp;refID=7197139&amp;Result=3","7197139")</f>
        <v>0</v>
      </c>
      <c r="B4574" t="s">
        <v>711</v>
      </c>
      <c r="C4574" t="s">
        <v>8168</v>
      </c>
      <c r="D4574" t="s">
        <v>19058</v>
      </c>
      <c r="E4574" t="s">
        <v>23162</v>
      </c>
      <c r="F4574" t="s">
        <v>32606</v>
      </c>
      <c r="G4574" t="s">
        <v>32617</v>
      </c>
      <c r="H4574" t="s">
        <v>14201</v>
      </c>
      <c r="I4574" t="s">
        <v>32712</v>
      </c>
      <c r="J4574" t="s">
        <v>35801</v>
      </c>
      <c r="K4574" t="s">
        <v>42630</v>
      </c>
      <c r="M4574" t="s">
        <v>43632</v>
      </c>
      <c r="N4574" t="s">
        <v>47304</v>
      </c>
      <c r="O4574" t="s">
        <v>47305</v>
      </c>
      <c r="P4574">
        <v>0</v>
      </c>
      <c r="Q4574">
        <v>2</v>
      </c>
      <c r="R4574" t="s">
        <v>47306</v>
      </c>
      <c r="S4574" t="s">
        <v>47414</v>
      </c>
      <c r="T4574" t="s">
        <v>49062</v>
      </c>
      <c r="U4574" t="s">
        <v>53468</v>
      </c>
      <c r="W4574" t="s">
        <v>43632</v>
      </c>
      <c r="X4574" t="s">
        <v>47308</v>
      </c>
    </row>
    <row r="4575" spans="1:24">
      <c r="A4575">
        <f>HYPERLINK("https://www.philgeps.gov.ph/GEPSNONPILOT/Tender/SplashBidNoticeAbstractUI.aspx?menuIndex=3&amp;refID=7197138&amp;Result=3","7197138")</f>
        <v>0</v>
      </c>
      <c r="B4575" t="s">
        <v>1663</v>
      </c>
      <c r="C4575" t="s">
        <v>8169</v>
      </c>
      <c r="D4575" t="s">
        <v>19023</v>
      </c>
      <c r="E4575" t="s">
        <v>23163</v>
      </c>
      <c r="F4575" t="s">
        <v>32606</v>
      </c>
      <c r="G4575" t="s">
        <v>32613</v>
      </c>
      <c r="H4575" t="s">
        <v>14201</v>
      </c>
      <c r="I4575" t="s">
        <v>6298</v>
      </c>
      <c r="J4575" t="s">
        <v>34409</v>
      </c>
      <c r="K4575" t="s">
        <v>42631</v>
      </c>
      <c r="M4575" t="s">
        <v>44689</v>
      </c>
      <c r="N4575" t="s">
        <v>47304</v>
      </c>
      <c r="O4575" t="s">
        <v>47305</v>
      </c>
      <c r="P4575">
        <v>0</v>
      </c>
      <c r="Q4575">
        <v>1</v>
      </c>
      <c r="R4575" t="s">
        <v>47306</v>
      </c>
      <c r="S4575" t="s">
        <v>47414</v>
      </c>
      <c r="T4575" t="s">
        <v>49031</v>
      </c>
      <c r="U4575" t="s">
        <v>53438</v>
      </c>
      <c r="W4575" t="s">
        <v>46318</v>
      </c>
      <c r="X4575" t="s">
        <v>47308</v>
      </c>
    </row>
    <row r="4576" spans="1:24">
      <c r="A4576">
        <f>HYPERLINK("https://www.philgeps.gov.ph/GEPSNONPILOT/Tender/SplashBidNoticeAbstractUI.aspx?menuIndex=3&amp;refID=7197161&amp;Result=3","7197161")</f>
        <v>0</v>
      </c>
      <c r="B4576" t="s">
        <v>1380</v>
      </c>
      <c r="C4576" t="s">
        <v>8170</v>
      </c>
      <c r="D4576" t="s">
        <v>19014</v>
      </c>
      <c r="E4576" t="s">
        <v>23164</v>
      </c>
      <c r="F4576" t="s">
        <v>32606</v>
      </c>
      <c r="G4576" t="s">
        <v>32614</v>
      </c>
      <c r="H4576" t="s">
        <v>14201</v>
      </c>
      <c r="I4576" t="s">
        <v>13131</v>
      </c>
      <c r="J4576" t="s">
        <v>33828</v>
      </c>
      <c r="K4576" t="s">
        <v>42622</v>
      </c>
      <c r="M4576" t="s">
        <v>44362</v>
      </c>
      <c r="N4576" t="s">
        <v>47304</v>
      </c>
      <c r="O4576" t="s">
        <v>47305</v>
      </c>
      <c r="P4576">
        <v>0</v>
      </c>
      <c r="Q4576">
        <v>1</v>
      </c>
      <c r="R4576" t="s">
        <v>47306</v>
      </c>
      <c r="S4576" t="s">
        <v>47414</v>
      </c>
      <c r="T4576" t="s">
        <v>48980</v>
      </c>
      <c r="U4576" t="s">
        <v>53469</v>
      </c>
      <c r="W4576" t="s">
        <v>44362</v>
      </c>
      <c r="X4576" t="s">
        <v>47308</v>
      </c>
    </row>
    <row r="4577" spans="1:24">
      <c r="A4577">
        <f>HYPERLINK("https://www.philgeps.gov.ph/GEPSNONPILOT/Tender/SplashBidNoticeAbstractUI.aspx?menuIndex=3&amp;refID=7197168&amp;Result=3","7197168")</f>
        <v>0</v>
      </c>
      <c r="B4577" t="s">
        <v>1685</v>
      </c>
      <c r="C4577" t="s">
        <v>8171</v>
      </c>
      <c r="D4577" t="s">
        <v>19016</v>
      </c>
      <c r="E4577" t="s">
        <v>23165</v>
      </c>
      <c r="F4577" t="s">
        <v>32606</v>
      </c>
      <c r="G4577" t="s">
        <v>32613</v>
      </c>
      <c r="H4577" t="s">
        <v>32623</v>
      </c>
      <c r="I4577" t="s">
        <v>17648</v>
      </c>
      <c r="J4577" t="s">
        <v>32813</v>
      </c>
      <c r="K4577" t="s">
        <v>42631</v>
      </c>
      <c r="M4577" t="s">
        <v>44714</v>
      </c>
      <c r="N4577" t="s">
        <v>47304</v>
      </c>
      <c r="O4577" t="s">
        <v>47305</v>
      </c>
      <c r="P4577">
        <v>0</v>
      </c>
      <c r="Q4577">
        <v>0</v>
      </c>
      <c r="R4577" t="s">
        <v>47306</v>
      </c>
      <c r="S4577" t="s">
        <v>47414</v>
      </c>
      <c r="T4577" t="s">
        <v>49101</v>
      </c>
      <c r="U4577" t="s">
        <v>53470</v>
      </c>
      <c r="W4577" t="s">
        <v>44714</v>
      </c>
      <c r="X4577" t="s">
        <v>47308</v>
      </c>
    </row>
    <row r="4578" spans="1:24">
      <c r="A4578">
        <f>HYPERLINK("https://www.philgeps.gov.ph/GEPSNONPILOT/Tender/SplashBidNoticeAbstractUI.aspx?menuIndex=3&amp;refID=7197205&amp;Result=3","7197205")</f>
        <v>0</v>
      </c>
      <c r="B4578" t="s">
        <v>1696</v>
      </c>
      <c r="C4578" t="s">
        <v>8172</v>
      </c>
      <c r="D4578" t="s">
        <v>18993</v>
      </c>
      <c r="E4578" t="s">
        <v>23166</v>
      </c>
      <c r="F4578" t="s">
        <v>32606</v>
      </c>
      <c r="G4578" t="s">
        <v>32613</v>
      </c>
      <c r="H4578" t="s">
        <v>14201</v>
      </c>
      <c r="I4578" t="s">
        <v>6298</v>
      </c>
      <c r="J4578" t="s">
        <v>35802</v>
      </c>
      <c r="K4578" t="s">
        <v>42623</v>
      </c>
      <c r="M4578" t="s">
        <v>44725</v>
      </c>
      <c r="N4578" t="s">
        <v>47304</v>
      </c>
      <c r="O4578" t="s">
        <v>47305</v>
      </c>
      <c r="P4578">
        <v>0</v>
      </c>
      <c r="Q4578">
        <v>0</v>
      </c>
      <c r="R4578" t="s">
        <v>47306</v>
      </c>
      <c r="S4578" t="s">
        <v>47414</v>
      </c>
      <c r="T4578" t="s">
        <v>49023</v>
      </c>
      <c r="U4578" t="s">
        <v>53471</v>
      </c>
      <c r="W4578" t="s">
        <v>44725</v>
      </c>
      <c r="X4578" t="s">
        <v>47308</v>
      </c>
    </row>
    <row r="4579" spans="1:24">
      <c r="A4579">
        <f>HYPERLINK("https://www.philgeps.gov.ph/GEPSNONPILOT/Tender/SplashBidNoticeAbstractUI.aspx?menuIndex=3&amp;refID=7197158&amp;Result=3","7197158")</f>
        <v>0</v>
      </c>
      <c r="B4579" t="s">
        <v>1689</v>
      </c>
      <c r="C4579" t="s">
        <v>8173</v>
      </c>
      <c r="D4579" t="s">
        <v>19049</v>
      </c>
      <c r="E4579" t="s">
        <v>23167</v>
      </c>
      <c r="F4579" t="s">
        <v>32606</v>
      </c>
      <c r="G4579" t="s">
        <v>32614</v>
      </c>
      <c r="H4579" t="s">
        <v>14201</v>
      </c>
      <c r="I4579" t="s">
        <v>4678</v>
      </c>
      <c r="J4579" t="s">
        <v>35803</v>
      </c>
      <c r="K4579" t="s">
        <v>42623</v>
      </c>
      <c r="M4579" t="s">
        <v>44718</v>
      </c>
      <c r="N4579" t="s">
        <v>47304</v>
      </c>
      <c r="O4579" t="s">
        <v>47305</v>
      </c>
      <c r="P4579">
        <v>0</v>
      </c>
      <c r="Q4579">
        <v>0</v>
      </c>
      <c r="R4579" t="s">
        <v>47306</v>
      </c>
      <c r="S4579" t="s">
        <v>47414</v>
      </c>
      <c r="T4579" t="s">
        <v>48980</v>
      </c>
      <c r="U4579" t="s">
        <v>53434</v>
      </c>
      <c r="W4579" t="s">
        <v>44718</v>
      </c>
      <c r="X4579" t="s">
        <v>47308</v>
      </c>
    </row>
    <row r="4580" spans="1:24">
      <c r="A4580">
        <f>HYPERLINK("https://www.philgeps.gov.ph/GEPSNONPILOT/Tender/SplashBidNoticeAbstractUI.aspx?menuIndex=3&amp;refID=7197144&amp;Result=3","7197144")</f>
        <v>0</v>
      </c>
      <c r="B4580" t="s">
        <v>546</v>
      </c>
      <c r="C4580" t="s">
        <v>8174</v>
      </c>
      <c r="E4580" t="s">
        <v>19522</v>
      </c>
      <c r="F4580" t="s">
        <v>32606</v>
      </c>
      <c r="G4580" t="s">
        <v>32613</v>
      </c>
      <c r="H4580" t="s">
        <v>14201</v>
      </c>
      <c r="I4580" t="s">
        <v>7577</v>
      </c>
      <c r="J4580" t="s">
        <v>32820</v>
      </c>
      <c r="K4580" t="s">
        <v>42631</v>
      </c>
      <c r="M4580" t="s">
        <v>43461</v>
      </c>
      <c r="N4580" t="s">
        <v>47304</v>
      </c>
      <c r="O4580" t="s">
        <v>47305</v>
      </c>
      <c r="P4580">
        <v>0</v>
      </c>
      <c r="Q4580">
        <v>2</v>
      </c>
      <c r="R4580" t="s">
        <v>47306</v>
      </c>
      <c r="S4580" t="s">
        <v>47414</v>
      </c>
      <c r="T4580" t="s">
        <v>48996</v>
      </c>
      <c r="U4580" t="s">
        <v>53472</v>
      </c>
      <c r="W4580" t="s">
        <v>43461</v>
      </c>
      <c r="X4580" t="s">
        <v>47308</v>
      </c>
    </row>
    <row r="4581" spans="1:24">
      <c r="A4581">
        <f>HYPERLINK("https://www.philgeps.gov.ph/GEPSNONPILOT/Tender/SplashBidNoticeAbstractUI.aspx?menuIndex=3&amp;refID=7197202&amp;Result=3","7197202")</f>
        <v>0</v>
      </c>
      <c r="B4581" t="s">
        <v>1689</v>
      </c>
      <c r="C4581" t="s">
        <v>8175</v>
      </c>
      <c r="D4581" t="s">
        <v>19049</v>
      </c>
      <c r="E4581" t="s">
        <v>23168</v>
      </c>
      <c r="F4581" t="s">
        <v>32606</v>
      </c>
      <c r="G4581" t="s">
        <v>32614</v>
      </c>
      <c r="H4581" t="s">
        <v>14201</v>
      </c>
      <c r="I4581" t="s">
        <v>7677</v>
      </c>
      <c r="J4581" t="s">
        <v>35804</v>
      </c>
      <c r="K4581" t="s">
        <v>42632</v>
      </c>
      <c r="M4581" t="s">
        <v>44718</v>
      </c>
      <c r="N4581" t="s">
        <v>47304</v>
      </c>
      <c r="O4581" t="s">
        <v>47305</v>
      </c>
      <c r="P4581">
        <v>0</v>
      </c>
      <c r="Q4581">
        <v>2</v>
      </c>
      <c r="R4581" t="s">
        <v>47306</v>
      </c>
      <c r="S4581" t="s">
        <v>47414</v>
      </c>
      <c r="T4581" t="s">
        <v>48980</v>
      </c>
      <c r="U4581" t="s">
        <v>53434</v>
      </c>
      <c r="W4581" t="s">
        <v>44718</v>
      </c>
      <c r="X4581" t="s">
        <v>47308</v>
      </c>
    </row>
    <row r="4582" spans="1:24">
      <c r="A4582">
        <f>HYPERLINK("https://www.philgeps.gov.ph/GEPSNONPILOT/Tender/SplashBidNoticeAbstractUI.aspx?menuIndex=3&amp;refID=7197209&amp;Result=3","7197209")</f>
        <v>0</v>
      </c>
      <c r="B4582" t="s">
        <v>1701</v>
      </c>
      <c r="C4582" t="s">
        <v>8176</v>
      </c>
      <c r="D4582" t="s">
        <v>19012</v>
      </c>
      <c r="E4582" t="s">
        <v>23169</v>
      </c>
      <c r="F4582" t="s">
        <v>32606</v>
      </c>
      <c r="G4582" t="s">
        <v>32614</v>
      </c>
      <c r="H4582" t="s">
        <v>14201</v>
      </c>
      <c r="I4582" t="s">
        <v>6007</v>
      </c>
      <c r="J4582" t="s">
        <v>35805</v>
      </c>
      <c r="K4582" t="s">
        <v>42674</v>
      </c>
      <c r="M4582" t="s">
        <v>44730</v>
      </c>
      <c r="N4582" t="s">
        <v>47304</v>
      </c>
      <c r="O4582" t="s">
        <v>47305</v>
      </c>
      <c r="P4582">
        <v>0</v>
      </c>
      <c r="Q4582">
        <v>0</v>
      </c>
      <c r="R4582" t="s">
        <v>47306</v>
      </c>
      <c r="S4582" t="s">
        <v>47414</v>
      </c>
      <c r="T4582" t="s">
        <v>49061</v>
      </c>
      <c r="U4582" t="s">
        <v>53473</v>
      </c>
      <c r="W4582" t="s">
        <v>44730</v>
      </c>
      <c r="X4582" t="s">
        <v>47308</v>
      </c>
    </row>
    <row r="4583" spans="1:24">
      <c r="A4583">
        <f>HYPERLINK("https://www.philgeps.gov.ph/GEPSNONPILOT/Tender/SplashBidNoticeAbstractUI.aspx?menuIndex=3&amp;refID=7197201&amp;Result=3","7197201")</f>
        <v>0</v>
      </c>
      <c r="B4583" t="s">
        <v>1696</v>
      </c>
      <c r="C4583" t="s">
        <v>8177</v>
      </c>
      <c r="D4583" t="s">
        <v>18993</v>
      </c>
      <c r="E4583" t="s">
        <v>23170</v>
      </c>
      <c r="F4583" t="s">
        <v>32606</v>
      </c>
      <c r="G4583" t="s">
        <v>32613</v>
      </c>
      <c r="H4583" t="s">
        <v>14201</v>
      </c>
      <c r="I4583" t="s">
        <v>6298</v>
      </c>
      <c r="J4583" t="s">
        <v>33555</v>
      </c>
      <c r="K4583" t="s">
        <v>42623</v>
      </c>
      <c r="M4583" t="s">
        <v>44725</v>
      </c>
      <c r="N4583" t="s">
        <v>47304</v>
      </c>
      <c r="O4583" t="s">
        <v>47305</v>
      </c>
      <c r="P4583">
        <v>0</v>
      </c>
      <c r="Q4583">
        <v>0</v>
      </c>
      <c r="R4583" t="s">
        <v>47306</v>
      </c>
      <c r="S4583" t="s">
        <v>47414</v>
      </c>
      <c r="T4583" t="s">
        <v>49023</v>
      </c>
      <c r="U4583" t="s">
        <v>53471</v>
      </c>
      <c r="W4583" t="s">
        <v>44725</v>
      </c>
      <c r="X4583" t="s">
        <v>47308</v>
      </c>
    </row>
    <row r="4584" spans="1:24">
      <c r="A4584">
        <f>HYPERLINK("https://www.philgeps.gov.ph/GEPSNONPILOT/Tender/SplashBidNoticeAbstractUI.aspx?menuIndex=3&amp;refID=7197165&amp;Result=3","7197165")</f>
        <v>0</v>
      </c>
      <c r="B4584" t="s">
        <v>1380</v>
      </c>
      <c r="C4584" t="s">
        <v>8178</v>
      </c>
      <c r="D4584" t="s">
        <v>19014</v>
      </c>
      <c r="E4584" t="s">
        <v>23171</v>
      </c>
      <c r="F4584" t="s">
        <v>32606</v>
      </c>
      <c r="G4584" t="s">
        <v>32614</v>
      </c>
      <c r="H4584" t="s">
        <v>14201</v>
      </c>
      <c r="I4584" t="s">
        <v>4120</v>
      </c>
      <c r="J4584" t="s">
        <v>32951</v>
      </c>
      <c r="K4584" t="s">
        <v>42622</v>
      </c>
      <c r="M4584" t="s">
        <v>44362</v>
      </c>
      <c r="N4584" t="s">
        <v>47304</v>
      </c>
      <c r="O4584" t="s">
        <v>47305</v>
      </c>
      <c r="P4584">
        <v>0</v>
      </c>
      <c r="Q4584">
        <v>0</v>
      </c>
      <c r="R4584" t="s">
        <v>47306</v>
      </c>
      <c r="S4584" t="s">
        <v>47414</v>
      </c>
      <c r="T4584" t="s">
        <v>48980</v>
      </c>
      <c r="U4584" t="s">
        <v>53474</v>
      </c>
      <c r="W4584" t="s">
        <v>44362</v>
      </c>
      <c r="X4584" t="s">
        <v>47308</v>
      </c>
    </row>
    <row r="4585" spans="1:24">
      <c r="A4585">
        <f>HYPERLINK("https://www.philgeps.gov.ph/GEPSNONPILOT/Tender/SplashBidNoticeAbstractUI.aspx?menuIndex=3&amp;refID=7197199&amp;Result=3","7197199")</f>
        <v>0</v>
      </c>
      <c r="B4585" t="s">
        <v>339</v>
      </c>
      <c r="C4585" t="s">
        <v>8179</v>
      </c>
      <c r="D4585" t="s">
        <v>19024</v>
      </c>
      <c r="E4585" t="s">
        <v>23172</v>
      </c>
      <c r="F4585" t="s">
        <v>32606</v>
      </c>
      <c r="G4585" t="s">
        <v>32613</v>
      </c>
      <c r="H4585" t="s">
        <v>32623</v>
      </c>
      <c r="I4585" t="s">
        <v>32649</v>
      </c>
      <c r="J4585" t="s">
        <v>35806</v>
      </c>
      <c r="K4585" t="s">
        <v>42648</v>
      </c>
      <c r="M4585" t="s">
        <v>43241</v>
      </c>
      <c r="N4585" t="s">
        <v>47304</v>
      </c>
      <c r="O4585" t="s">
        <v>47305</v>
      </c>
      <c r="P4585">
        <v>0</v>
      </c>
      <c r="Q4585">
        <v>0</v>
      </c>
      <c r="R4585" t="s">
        <v>47306</v>
      </c>
      <c r="S4585" t="s">
        <v>47414</v>
      </c>
      <c r="T4585" t="s">
        <v>49088</v>
      </c>
      <c r="U4585" t="s">
        <v>53475</v>
      </c>
      <c r="W4585" t="s">
        <v>43241</v>
      </c>
      <c r="X4585" t="s">
        <v>47308</v>
      </c>
    </row>
    <row r="4586" spans="1:24">
      <c r="A4586">
        <f>HYPERLINK("https://www.philgeps.gov.ph/GEPSNONPILOT/Tender/SplashBidNoticeAbstractUI.aspx?menuIndex=3&amp;refID=7197195&amp;Result=3","7197195")</f>
        <v>0</v>
      </c>
      <c r="B4586" t="s">
        <v>1696</v>
      </c>
      <c r="C4586" t="s">
        <v>8180</v>
      </c>
      <c r="D4586" t="s">
        <v>18993</v>
      </c>
      <c r="E4586" t="s">
        <v>23173</v>
      </c>
      <c r="F4586" t="s">
        <v>32606</v>
      </c>
      <c r="G4586" t="s">
        <v>32613</v>
      </c>
      <c r="H4586" t="s">
        <v>14201</v>
      </c>
      <c r="I4586" t="s">
        <v>6298</v>
      </c>
      <c r="J4586" t="s">
        <v>32778</v>
      </c>
      <c r="K4586" t="s">
        <v>42623</v>
      </c>
      <c r="M4586" t="s">
        <v>44725</v>
      </c>
      <c r="N4586" t="s">
        <v>47304</v>
      </c>
      <c r="O4586" t="s">
        <v>47305</v>
      </c>
      <c r="P4586">
        <v>0</v>
      </c>
      <c r="Q4586">
        <v>0</v>
      </c>
      <c r="R4586" t="s">
        <v>47306</v>
      </c>
      <c r="S4586" t="s">
        <v>47414</v>
      </c>
      <c r="T4586" t="s">
        <v>49023</v>
      </c>
      <c r="U4586" t="s">
        <v>53471</v>
      </c>
      <c r="W4586" t="s">
        <v>44725</v>
      </c>
      <c r="X4586" t="s">
        <v>47308</v>
      </c>
    </row>
    <row r="4587" spans="1:24">
      <c r="A4587">
        <f>HYPERLINK("https://www.philgeps.gov.ph/GEPSNONPILOT/Tender/SplashBidNoticeAbstractUI.aspx?menuIndex=3&amp;refID=7197194&amp;Result=3","7197194")</f>
        <v>0</v>
      </c>
      <c r="B4587" t="s">
        <v>1699</v>
      </c>
      <c r="C4587" t="s">
        <v>8181</v>
      </c>
      <c r="D4587" t="s">
        <v>19017</v>
      </c>
      <c r="E4587" t="s">
        <v>23174</v>
      </c>
      <c r="F4587" t="s">
        <v>32606</v>
      </c>
      <c r="G4587" t="s">
        <v>32613</v>
      </c>
      <c r="H4587" t="s">
        <v>32623</v>
      </c>
      <c r="I4587" t="s">
        <v>32659</v>
      </c>
      <c r="J4587" t="s">
        <v>32920</v>
      </c>
      <c r="K4587" t="s">
        <v>42643</v>
      </c>
      <c r="M4587" t="s">
        <v>44728</v>
      </c>
      <c r="N4587" t="s">
        <v>47304</v>
      </c>
      <c r="O4587" t="s">
        <v>47305</v>
      </c>
      <c r="P4587">
        <v>0</v>
      </c>
      <c r="Q4587">
        <v>0</v>
      </c>
      <c r="R4587" t="s">
        <v>47306</v>
      </c>
      <c r="S4587" t="s">
        <v>47414</v>
      </c>
      <c r="T4587" t="s">
        <v>49077</v>
      </c>
      <c r="U4587" t="s">
        <v>53476</v>
      </c>
      <c r="W4587" t="s">
        <v>44728</v>
      </c>
      <c r="X4587" t="s">
        <v>47308</v>
      </c>
    </row>
    <row r="4588" spans="1:24">
      <c r="A4588">
        <f>HYPERLINK("https://www.philgeps.gov.ph/GEPSNONPILOT/Tender/SplashBidNoticeAbstractUI.aspx?menuIndex=3&amp;refID=7197191&amp;Result=3","7197191")</f>
        <v>0</v>
      </c>
      <c r="B4588" t="s">
        <v>1696</v>
      </c>
      <c r="C4588" t="s">
        <v>8182</v>
      </c>
      <c r="D4588" t="s">
        <v>18993</v>
      </c>
      <c r="E4588" t="s">
        <v>23175</v>
      </c>
      <c r="F4588" t="s">
        <v>32606</v>
      </c>
      <c r="G4588" t="s">
        <v>32613</v>
      </c>
      <c r="H4588" t="s">
        <v>14201</v>
      </c>
      <c r="I4588" t="s">
        <v>6298</v>
      </c>
      <c r="J4588" t="s">
        <v>35807</v>
      </c>
      <c r="K4588" t="s">
        <v>42623</v>
      </c>
      <c r="M4588" t="s">
        <v>44725</v>
      </c>
      <c r="N4588" t="s">
        <v>47304</v>
      </c>
      <c r="O4588" t="s">
        <v>47305</v>
      </c>
      <c r="P4588">
        <v>0</v>
      </c>
      <c r="Q4588">
        <v>0</v>
      </c>
      <c r="R4588" t="s">
        <v>47306</v>
      </c>
      <c r="S4588" t="s">
        <v>47414</v>
      </c>
      <c r="T4588" t="s">
        <v>49023</v>
      </c>
      <c r="U4588" t="s">
        <v>53471</v>
      </c>
      <c r="W4588" t="s">
        <v>44725</v>
      </c>
      <c r="X4588" t="s">
        <v>47308</v>
      </c>
    </row>
    <row r="4589" spans="1:24">
      <c r="A4589">
        <f>HYPERLINK("https://www.philgeps.gov.ph/GEPSNONPILOT/Tender/SplashBidNoticeAbstractUI.aspx?menuIndex=3&amp;refID=7197190&amp;Result=3","7197190")</f>
        <v>0</v>
      </c>
      <c r="B4589" t="s">
        <v>1696</v>
      </c>
      <c r="C4589" t="s">
        <v>8183</v>
      </c>
      <c r="D4589" t="s">
        <v>18993</v>
      </c>
      <c r="E4589" t="s">
        <v>23176</v>
      </c>
      <c r="F4589" t="s">
        <v>32606</v>
      </c>
      <c r="G4589" t="s">
        <v>32613</v>
      </c>
      <c r="H4589" t="s">
        <v>14201</v>
      </c>
      <c r="I4589" t="s">
        <v>4120</v>
      </c>
      <c r="J4589" t="s">
        <v>32833</v>
      </c>
      <c r="K4589" t="s">
        <v>42623</v>
      </c>
      <c r="M4589" t="s">
        <v>44725</v>
      </c>
      <c r="N4589" t="s">
        <v>47304</v>
      </c>
      <c r="O4589" t="s">
        <v>47305</v>
      </c>
      <c r="P4589">
        <v>0</v>
      </c>
      <c r="Q4589">
        <v>0</v>
      </c>
      <c r="R4589" t="s">
        <v>47306</v>
      </c>
      <c r="S4589" t="s">
        <v>47414</v>
      </c>
      <c r="T4589" t="s">
        <v>49023</v>
      </c>
      <c r="U4589" t="s">
        <v>51117</v>
      </c>
      <c r="W4589" t="s">
        <v>44725</v>
      </c>
      <c r="X4589" t="s">
        <v>47308</v>
      </c>
    </row>
    <row r="4590" spans="1:24">
      <c r="A4590">
        <f>HYPERLINK("https://www.philgeps.gov.ph/GEPSNONPILOT/Tender/SplashBidNoticeAbstractUI.aspx?menuIndex=3&amp;refID=7197188&amp;Result=3","7197188")</f>
        <v>0</v>
      </c>
      <c r="B4590" t="s">
        <v>639</v>
      </c>
      <c r="C4590" t="s">
        <v>8184</v>
      </c>
      <c r="E4590" t="s">
        <v>23177</v>
      </c>
      <c r="F4590" t="s">
        <v>32606</v>
      </c>
      <c r="G4590" t="s">
        <v>32614</v>
      </c>
      <c r="H4590" t="s">
        <v>14201</v>
      </c>
      <c r="I4590" t="s">
        <v>6478</v>
      </c>
      <c r="J4590" t="s">
        <v>23177</v>
      </c>
      <c r="K4590" t="s">
        <v>42624</v>
      </c>
      <c r="M4590" t="s">
        <v>44433</v>
      </c>
      <c r="N4590" t="s">
        <v>47304</v>
      </c>
      <c r="O4590" t="s">
        <v>47305</v>
      </c>
      <c r="P4590">
        <v>0</v>
      </c>
      <c r="Q4590">
        <v>0</v>
      </c>
      <c r="R4590" t="s">
        <v>47306</v>
      </c>
      <c r="S4590" t="s">
        <v>47414</v>
      </c>
      <c r="T4590" t="s">
        <v>48976</v>
      </c>
      <c r="U4590" t="s">
        <v>53477</v>
      </c>
      <c r="W4590" t="s">
        <v>44433</v>
      </c>
      <c r="X4590" t="s">
        <v>47308</v>
      </c>
    </row>
    <row r="4591" spans="1:24">
      <c r="A4591">
        <f>HYPERLINK("https://www.philgeps.gov.ph/GEPSNONPILOT/Tender/SplashBidNoticeAbstractUI.aspx?menuIndex=3&amp;refID=7197193&amp;Result=3","7197193")</f>
        <v>0</v>
      </c>
      <c r="B4591" t="s">
        <v>929</v>
      </c>
      <c r="C4591" t="s">
        <v>8185</v>
      </c>
      <c r="D4591" t="s">
        <v>19004</v>
      </c>
      <c r="E4591" t="s">
        <v>23178</v>
      </c>
      <c r="F4591" t="s">
        <v>32606</v>
      </c>
      <c r="G4591" t="s">
        <v>32614</v>
      </c>
      <c r="H4591" t="s">
        <v>14201</v>
      </c>
      <c r="I4591" t="s">
        <v>6298</v>
      </c>
      <c r="J4591" t="s">
        <v>35808</v>
      </c>
      <c r="K4591" t="s">
        <v>42664</v>
      </c>
      <c r="M4591" t="s">
        <v>43869</v>
      </c>
      <c r="N4591" t="s">
        <v>47304</v>
      </c>
      <c r="O4591" t="s">
        <v>47305</v>
      </c>
      <c r="P4591">
        <v>0</v>
      </c>
      <c r="Q4591">
        <v>13</v>
      </c>
      <c r="R4591" t="s">
        <v>47306</v>
      </c>
      <c r="S4591" t="s">
        <v>47414</v>
      </c>
      <c r="T4591" t="s">
        <v>48980</v>
      </c>
      <c r="U4591" t="s">
        <v>53478</v>
      </c>
      <c r="V4591" t="s">
        <v>63080</v>
      </c>
      <c r="W4591" t="s">
        <v>43869</v>
      </c>
      <c r="X4591" t="s">
        <v>47308</v>
      </c>
    </row>
    <row r="4592" spans="1:24">
      <c r="A4592">
        <f>HYPERLINK("https://www.philgeps.gov.ph/GEPSNONPILOT/Tender/SplashBidNoticeAbstractUI.aspx?menuIndex=3&amp;refID=7197187&amp;Result=3","7197187")</f>
        <v>0</v>
      </c>
      <c r="B4592" t="s">
        <v>1702</v>
      </c>
      <c r="C4592" t="s">
        <v>8186</v>
      </c>
      <c r="D4592" t="s">
        <v>19037</v>
      </c>
      <c r="E4592" t="s">
        <v>23179</v>
      </c>
      <c r="F4592" t="s">
        <v>32606</v>
      </c>
      <c r="G4592" t="s">
        <v>32619</v>
      </c>
      <c r="H4592" t="s">
        <v>14201</v>
      </c>
      <c r="I4592" t="s">
        <v>32643</v>
      </c>
      <c r="J4592" t="s">
        <v>35809</v>
      </c>
      <c r="K4592" t="s">
        <v>42630</v>
      </c>
      <c r="M4592" t="s">
        <v>44731</v>
      </c>
      <c r="N4592" t="s">
        <v>47304</v>
      </c>
      <c r="O4592" t="s">
        <v>47305</v>
      </c>
      <c r="P4592">
        <v>0</v>
      </c>
      <c r="Q4592">
        <v>0</v>
      </c>
      <c r="R4592" t="s">
        <v>47306</v>
      </c>
      <c r="S4592" t="s">
        <v>47414</v>
      </c>
      <c r="T4592" t="s">
        <v>49062</v>
      </c>
      <c r="U4592" t="s">
        <v>53479</v>
      </c>
      <c r="W4592" t="s">
        <v>44731</v>
      </c>
      <c r="X4592" t="s">
        <v>47308</v>
      </c>
    </row>
    <row r="4593" spans="1:24">
      <c r="A4593">
        <f>HYPERLINK("https://www.philgeps.gov.ph/GEPSNONPILOT/Tender/SplashBidNoticeAbstractUI.aspx?menuIndex=3&amp;refID=7197185&amp;Result=3","7197185")</f>
        <v>0</v>
      </c>
      <c r="B4593" t="s">
        <v>1696</v>
      </c>
      <c r="C4593" t="s">
        <v>8187</v>
      </c>
      <c r="D4593" t="s">
        <v>18993</v>
      </c>
      <c r="E4593" t="s">
        <v>23180</v>
      </c>
      <c r="F4593" t="s">
        <v>32606</v>
      </c>
      <c r="G4593" t="s">
        <v>32613</v>
      </c>
      <c r="H4593" t="s">
        <v>14201</v>
      </c>
      <c r="I4593" t="s">
        <v>4112</v>
      </c>
      <c r="J4593" t="s">
        <v>35810</v>
      </c>
      <c r="K4593" t="s">
        <v>42623</v>
      </c>
      <c r="M4593" t="s">
        <v>44725</v>
      </c>
      <c r="N4593" t="s">
        <v>47304</v>
      </c>
      <c r="O4593" t="s">
        <v>47305</v>
      </c>
      <c r="P4593">
        <v>0</v>
      </c>
      <c r="Q4593">
        <v>0</v>
      </c>
      <c r="R4593" t="s">
        <v>47306</v>
      </c>
      <c r="S4593" t="s">
        <v>47414</v>
      </c>
      <c r="T4593" t="s">
        <v>49023</v>
      </c>
      <c r="U4593" t="s">
        <v>53480</v>
      </c>
      <c r="W4593" t="s">
        <v>44725</v>
      </c>
      <c r="X4593" t="s">
        <v>47308</v>
      </c>
    </row>
    <row r="4594" spans="1:24">
      <c r="A4594">
        <f>HYPERLINK("https://www.philgeps.gov.ph/GEPSNONPILOT/Tender/SplashBidNoticeAbstractUI.aspx?menuIndex=3&amp;refID=7197200&amp;Result=3","7197200")</f>
        <v>0</v>
      </c>
      <c r="B4594" t="s">
        <v>1700</v>
      </c>
      <c r="C4594" t="s">
        <v>8188</v>
      </c>
      <c r="D4594" t="s">
        <v>19044</v>
      </c>
      <c r="E4594" t="s">
        <v>23181</v>
      </c>
      <c r="F4594" t="s">
        <v>32606</v>
      </c>
      <c r="G4594" t="s">
        <v>32619</v>
      </c>
      <c r="H4594" t="s">
        <v>14201</v>
      </c>
      <c r="I4594" t="s">
        <v>6298</v>
      </c>
      <c r="J4594" t="s">
        <v>35811</v>
      </c>
      <c r="K4594" t="s">
        <v>42630</v>
      </c>
      <c r="M4594" t="s">
        <v>44729</v>
      </c>
      <c r="N4594" t="s">
        <v>47304</v>
      </c>
      <c r="O4594" t="s">
        <v>47305</v>
      </c>
      <c r="P4594">
        <v>0</v>
      </c>
      <c r="Q4594">
        <v>3</v>
      </c>
      <c r="R4594" t="s">
        <v>47306</v>
      </c>
      <c r="S4594" t="s">
        <v>47414</v>
      </c>
      <c r="T4594" t="s">
        <v>48975</v>
      </c>
      <c r="U4594" t="s">
        <v>53481</v>
      </c>
      <c r="W4594" t="s">
        <v>44729</v>
      </c>
      <c r="X4594" t="s">
        <v>47308</v>
      </c>
    </row>
    <row r="4595" spans="1:24">
      <c r="A4595">
        <f>HYPERLINK("https://www.philgeps.gov.ph/GEPSNONPILOT/Tender/SplashBidNoticeAbstractUI.aspx?menuIndex=3&amp;refID=7197198&amp;Result=3","7197198")</f>
        <v>0</v>
      </c>
      <c r="B4595" t="s">
        <v>1696</v>
      </c>
      <c r="C4595" t="s">
        <v>8189</v>
      </c>
      <c r="D4595" t="s">
        <v>18993</v>
      </c>
      <c r="E4595" t="s">
        <v>23182</v>
      </c>
      <c r="F4595" t="s">
        <v>32606</v>
      </c>
      <c r="G4595" t="s">
        <v>32613</v>
      </c>
      <c r="H4595" t="s">
        <v>14201</v>
      </c>
      <c r="I4595" t="s">
        <v>6298</v>
      </c>
      <c r="J4595" t="s">
        <v>35812</v>
      </c>
      <c r="K4595" t="s">
        <v>42623</v>
      </c>
      <c r="M4595" t="s">
        <v>44725</v>
      </c>
      <c r="N4595" t="s">
        <v>47304</v>
      </c>
      <c r="O4595" t="s">
        <v>47305</v>
      </c>
      <c r="P4595">
        <v>0</v>
      </c>
      <c r="Q4595">
        <v>0</v>
      </c>
      <c r="R4595" t="s">
        <v>47306</v>
      </c>
      <c r="S4595" t="s">
        <v>47414</v>
      </c>
      <c r="T4595" t="s">
        <v>49023</v>
      </c>
      <c r="U4595" t="s">
        <v>53471</v>
      </c>
      <c r="W4595" t="s">
        <v>44725</v>
      </c>
      <c r="X4595" t="s">
        <v>47308</v>
      </c>
    </row>
    <row r="4596" spans="1:24">
      <c r="A4596">
        <f>HYPERLINK("https://www.philgeps.gov.ph/GEPSNONPILOT/Tender/SplashBidNoticeAbstractUI.aspx?menuIndex=3&amp;refID=7197233&amp;Result=3","7197233")</f>
        <v>0</v>
      </c>
      <c r="B4596" t="s">
        <v>1703</v>
      </c>
      <c r="C4596" t="s">
        <v>8190</v>
      </c>
      <c r="D4596" t="s">
        <v>18993</v>
      </c>
      <c r="E4596" t="s">
        <v>23183</v>
      </c>
      <c r="F4596" t="s">
        <v>32606</v>
      </c>
      <c r="G4596" t="s">
        <v>32614</v>
      </c>
      <c r="H4596" t="s">
        <v>14201</v>
      </c>
      <c r="I4596" t="s">
        <v>4369</v>
      </c>
      <c r="J4596" t="s">
        <v>33103</v>
      </c>
      <c r="K4596" t="s">
        <v>42663</v>
      </c>
      <c r="M4596" t="s">
        <v>44732</v>
      </c>
      <c r="N4596" t="s">
        <v>47304</v>
      </c>
      <c r="O4596" t="s">
        <v>47305</v>
      </c>
      <c r="P4596">
        <v>0</v>
      </c>
      <c r="Q4596">
        <v>2</v>
      </c>
      <c r="R4596" t="s">
        <v>47306</v>
      </c>
      <c r="S4596" t="s">
        <v>47414</v>
      </c>
      <c r="T4596" t="s">
        <v>48979</v>
      </c>
      <c r="U4596" t="s">
        <v>53482</v>
      </c>
      <c r="W4596" t="s">
        <v>44732</v>
      </c>
      <c r="X4596" t="s">
        <v>47308</v>
      </c>
    </row>
    <row r="4597" spans="1:24">
      <c r="A4597">
        <f>HYPERLINK("https://www.philgeps.gov.ph/GEPSNONPILOT/Tender/SplashBidNoticeAbstractUI.aspx?menuIndex=3&amp;refID=7197186&amp;Result=3","7197186")</f>
        <v>0</v>
      </c>
      <c r="B4597" t="s">
        <v>1032</v>
      </c>
      <c r="C4597" t="s">
        <v>8191</v>
      </c>
      <c r="D4597" t="s">
        <v>18993</v>
      </c>
      <c r="E4597" t="s">
        <v>23184</v>
      </c>
      <c r="F4597" t="s">
        <v>32606</v>
      </c>
      <c r="G4597" t="s">
        <v>32613</v>
      </c>
      <c r="H4597" t="s">
        <v>14201</v>
      </c>
      <c r="I4597" t="s">
        <v>32726</v>
      </c>
      <c r="J4597" t="s">
        <v>35813</v>
      </c>
      <c r="K4597" t="s">
        <v>42714</v>
      </c>
      <c r="M4597" t="s">
        <v>43985</v>
      </c>
      <c r="N4597" t="s">
        <v>47304</v>
      </c>
      <c r="O4597" t="s">
        <v>47305</v>
      </c>
      <c r="P4597">
        <v>0</v>
      </c>
      <c r="Q4597">
        <v>0</v>
      </c>
      <c r="R4597" t="s">
        <v>47306</v>
      </c>
      <c r="S4597" t="s">
        <v>47414</v>
      </c>
      <c r="T4597" t="s">
        <v>49024</v>
      </c>
      <c r="U4597" t="s">
        <v>53483</v>
      </c>
      <c r="W4597" t="s">
        <v>43985</v>
      </c>
      <c r="X4597" t="s">
        <v>47308</v>
      </c>
    </row>
    <row r="4598" spans="1:24">
      <c r="A4598">
        <f>HYPERLINK("https://www.philgeps.gov.ph/GEPSNONPILOT/Tender/SplashBidNoticeAbstractUI.aspx?menuIndex=3&amp;refID=7197227&amp;Result=3","7197227")</f>
        <v>0</v>
      </c>
      <c r="B4598" t="s">
        <v>1112</v>
      </c>
      <c r="C4598" t="s">
        <v>8192</v>
      </c>
      <c r="D4598" t="s">
        <v>19031</v>
      </c>
      <c r="E4598" t="s">
        <v>23185</v>
      </c>
      <c r="F4598" t="s">
        <v>32606</v>
      </c>
      <c r="G4598" t="s">
        <v>32613</v>
      </c>
      <c r="H4598" t="s">
        <v>32623</v>
      </c>
      <c r="I4598" t="s">
        <v>32675</v>
      </c>
      <c r="J4598" t="s">
        <v>35814</v>
      </c>
      <c r="K4598" t="s">
        <v>42712</v>
      </c>
      <c r="M4598" t="s">
        <v>44073</v>
      </c>
      <c r="N4598" t="s">
        <v>47304</v>
      </c>
      <c r="O4598" t="s">
        <v>47305</v>
      </c>
      <c r="P4598">
        <v>0</v>
      </c>
      <c r="Q4598">
        <v>1</v>
      </c>
      <c r="R4598" t="s">
        <v>47306</v>
      </c>
      <c r="S4598" t="s">
        <v>47414</v>
      </c>
      <c r="T4598" t="s">
        <v>49009</v>
      </c>
      <c r="U4598" t="s">
        <v>53484</v>
      </c>
      <c r="V4598" t="s">
        <v>63081</v>
      </c>
      <c r="W4598" t="s">
        <v>44073</v>
      </c>
      <c r="X4598" t="s">
        <v>47308</v>
      </c>
    </row>
    <row r="4599" spans="1:24">
      <c r="A4599">
        <f>HYPERLINK("https://www.philgeps.gov.ph/GEPSNONPILOT/Tender/SplashBidNoticeAbstractUI.aspx?menuIndex=3&amp;refID=7197230&amp;Result=3","7197230")</f>
        <v>0</v>
      </c>
      <c r="B4599" t="s">
        <v>1704</v>
      </c>
      <c r="C4599" t="s">
        <v>8193</v>
      </c>
      <c r="D4599" t="s">
        <v>19010</v>
      </c>
      <c r="E4599" t="s">
        <v>23186</v>
      </c>
      <c r="F4599" t="s">
        <v>32606</v>
      </c>
      <c r="G4599" t="s">
        <v>32613</v>
      </c>
      <c r="H4599" t="s">
        <v>14201</v>
      </c>
      <c r="I4599" t="s">
        <v>7064</v>
      </c>
      <c r="J4599" t="s">
        <v>35815</v>
      </c>
      <c r="K4599" t="s">
        <v>42636</v>
      </c>
      <c r="L4599" t="s">
        <v>1704</v>
      </c>
      <c r="M4599" t="s">
        <v>44733</v>
      </c>
      <c r="N4599" t="s">
        <v>47304</v>
      </c>
      <c r="O4599" t="s">
        <v>47305</v>
      </c>
      <c r="P4599">
        <v>0</v>
      </c>
      <c r="Q4599">
        <v>6</v>
      </c>
      <c r="R4599" t="s">
        <v>47306</v>
      </c>
      <c r="S4599" t="s">
        <v>47414</v>
      </c>
      <c r="T4599" t="s">
        <v>48973</v>
      </c>
      <c r="U4599" t="s">
        <v>53485</v>
      </c>
      <c r="W4599" t="s">
        <v>44733</v>
      </c>
      <c r="X4599" t="s">
        <v>47308</v>
      </c>
    </row>
    <row r="4600" spans="1:24">
      <c r="A4600">
        <f>HYPERLINK("https://www.philgeps.gov.ph/GEPSNONPILOT/Tender/SplashBidNoticeAbstractUI.aspx?menuIndex=3&amp;refID=7197229&amp;Result=3","7197229")</f>
        <v>0</v>
      </c>
      <c r="B4600" t="s">
        <v>1696</v>
      </c>
      <c r="C4600" t="s">
        <v>8194</v>
      </c>
      <c r="D4600" t="s">
        <v>18993</v>
      </c>
      <c r="E4600" t="s">
        <v>23187</v>
      </c>
      <c r="F4600" t="s">
        <v>32606</v>
      </c>
      <c r="G4600" t="s">
        <v>32613</v>
      </c>
      <c r="H4600" t="s">
        <v>14201</v>
      </c>
      <c r="I4600" t="s">
        <v>4120</v>
      </c>
      <c r="J4600" t="s">
        <v>35816</v>
      </c>
      <c r="K4600" t="s">
        <v>42623</v>
      </c>
      <c r="M4600" t="s">
        <v>44734</v>
      </c>
      <c r="N4600" t="s">
        <v>47304</v>
      </c>
      <c r="O4600" t="s">
        <v>47305</v>
      </c>
      <c r="P4600">
        <v>0</v>
      </c>
      <c r="Q4600">
        <v>1</v>
      </c>
      <c r="R4600" t="s">
        <v>47306</v>
      </c>
      <c r="S4600" t="s">
        <v>47414</v>
      </c>
      <c r="T4600" t="s">
        <v>48995</v>
      </c>
      <c r="U4600" t="s">
        <v>51117</v>
      </c>
      <c r="W4600" t="s">
        <v>44734</v>
      </c>
      <c r="X4600" t="s">
        <v>47308</v>
      </c>
    </row>
    <row r="4601" spans="1:24">
      <c r="A4601">
        <f>HYPERLINK("https://www.philgeps.gov.ph/GEPSNONPILOT/Tender/SplashBidNoticeAbstractUI.aspx?menuIndex=3&amp;refID=7197228&amp;Result=3","7197228")</f>
        <v>0</v>
      </c>
      <c r="B4601" t="s">
        <v>1705</v>
      </c>
      <c r="C4601" t="s">
        <v>8195</v>
      </c>
      <c r="D4601" t="s">
        <v>19026</v>
      </c>
      <c r="E4601" t="s">
        <v>19249</v>
      </c>
      <c r="F4601" t="s">
        <v>32606</v>
      </c>
      <c r="G4601" t="s">
        <v>32614</v>
      </c>
      <c r="H4601" t="s">
        <v>14201</v>
      </c>
      <c r="I4601" t="s">
        <v>6007</v>
      </c>
      <c r="J4601" t="s">
        <v>32765</v>
      </c>
      <c r="K4601" t="s">
        <v>42623</v>
      </c>
      <c r="M4601" t="s">
        <v>44735</v>
      </c>
      <c r="N4601" t="s">
        <v>47304</v>
      </c>
      <c r="O4601" t="s">
        <v>47305</v>
      </c>
      <c r="P4601">
        <v>0</v>
      </c>
      <c r="Q4601">
        <v>0</v>
      </c>
      <c r="R4601" t="s">
        <v>47306</v>
      </c>
      <c r="S4601" t="s">
        <v>47414</v>
      </c>
      <c r="T4601" t="s">
        <v>49100</v>
      </c>
      <c r="U4601" t="s">
        <v>53486</v>
      </c>
      <c r="V4601" t="s">
        <v>50831</v>
      </c>
      <c r="W4601" t="s">
        <v>44735</v>
      </c>
      <c r="X4601" t="s">
        <v>47308</v>
      </c>
    </row>
    <row r="4602" spans="1:24">
      <c r="A4602">
        <f>HYPERLINK("https://www.philgeps.gov.ph/GEPSNONPILOT/Tender/SplashBidNoticeAbstractUI.aspx?menuIndex=3&amp;refID=7197225&amp;Result=3","7197225")</f>
        <v>0</v>
      </c>
      <c r="B4602" t="s">
        <v>1696</v>
      </c>
      <c r="C4602" t="s">
        <v>8196</v>
      </c>
      <c r="D4602" t="s">
        <v>18993</v>
      </c>
      <c r="E4602" t="s">
        <v>23188</v>
      </c>
      <c r="F4602" t="s">
        <v>32606</v>
      </c>
      <c r="G4602" t="s">
        <v>32613</v>
      </c>
      <c r="H4602" t="s">
        <v>14201</v>
      </c>
      <c r="I4602" t="s">
        <v>4120</v>
      </c>
      <c r="J4602" t="s">
        <v>35817</v>
      </c>
      <c r="K4602" t="s">
        <v>42623</v>
      </c>
      <c r="M4602" t="s">
        <v>44734</v>
      </c>
      <c r="N4602" t="s">
        <v>47304</v>
      </c>
      <c r="O4602" t="s">
        <v>47305</v>
      </c>
      <c r="P4602">
        <v>0</v>
      </c>
      <c r="Q4602">
        <v>1</v>
      </c>
      <c r="R4602" t="s">
        <v>47306</v>
      </c>
      <c r="S4602" t="s">
        <v>47414</v>
      </c>
      <c r="T4602" t="s">
        <v>48995</v>
      </c>
      <c r="U4602" t="s">
        <v>51117</v>
      </c>
      <c r="W4602" t="s">
        <v>44734</v>
      </c>
      <c r="X4602" t="s">
        <v>47308</v>
      </c>
    </row>
    <row r="4603" spans="1:24">
      <c r="A4603">
        <f>HYPERLINK("https://www.philgeps.gov.ph/GEPSNONPILOT/Tender/SplashBidNoticeAbstractUI.aspx?menuIndex=3&amp;refID=7197221&amp;Result=3","7197221")</f>
        <v>0</v>
      </c>
      <c r="B4603" t="s">
        <v>1706</v>
      </c>
      <c r="C4603" t="s">
        <v>8197</v>
      </c>
      <c r="E4603" t="s">
        <v>19120</v>
      </c>
      <c r="F4603" t="s">
        <v>32606</v>
      </c>
      <c r="G4603" t="s">
        <v>32619</v>
      </c>
      <c r="H4603" t="s">
        <v>32623</v>
      </c>
      <c r="I4603" t="s">
        <v>6931</v>
      </c>
      <c r="J4603" t="s">
        <v>34406</v>
      </c>
      <c r="K4603" t="s">
        <v>42623</v>
      </c>
      <c r="M4603" t="s">
        <v>44736</v>
      </c>
      <c r="N4603" t="s">
        <v>47304</v>
      </c>
      <c r="O4603" t="s">
        <v>47305</v>
      </c>
      <c r="P4603">
        <v>0</v>
      </c>
      <c r="Q4603">
        <v>2</v>
      </c>
      <c r="R4603" t="s">
        <v>47306</v>
      </c>
      <c r="S4603" t="s">
        <v>47414</v>
      </c>
      <c r="T4603" t="s">
        <v>48977</v>
      </c>
      <c r="U4603" t="s">
        <v>53487</v>
      </c>
      <c r="W4603" t="s">
        <v>44736</v>
      </c>
      <c r="X4603" t="s">
        <v>47308</v>
      </c>
    </row>
    <row r="4604" spans="1:24">
      <c r="A4604">
        <f>HYPERLINK("https://www.philgeps.gov.ph/GEPSNONPILOT/Tender/SplashBidNoticeAbstractUI.aspx?menuIndex=3&amp;refID=7197203&amp;Result=3","7197203")</f>
        <v>0</v>
      </c>
      <c r="B4604" t="s">
        <v>819</v>
      </c>
      <c r="C4604" t="s">
        <v>8198</v>
      </c>
      <c r="D4604" t="s">
        <v>19028</v>
      </c>
      <c r="E4604" t="s">
        <v>23189</v>
      </c>
      <c r="F4604" t="s">
        <v>32606</v>
      </c>
      <c r="G4604" t="s">
        <v>32619</v>
      </c>
      <c r="H4604" t="s">
        <v>14201</v>
      </c>
      <c r="I4604" t="s">
        <v>4114</v>
      </c>
      <c r="J4604" t="s">
        <v>32949</v>
      </c>
      <c r="K4604" t="s">
        <v>42630</v>
      </c>
      <c r="M4604" t="s">
        <v>44692</v>
      </c>
      <c r="N4604" t="s">
        <v>47304</v>
      </c>
      <c r="O4604" t="s">
        <v>47305</v>
      </c>
      <c r="P4604">
        <v>0</v>
      </c>
      <c r="Q4604">
        <v>3</v>
      </c>
      <c r="R4604" t="s">
        <v>47306</v>
      </c>
      <c r="S4604" t="s">
        <v>47414</v>
      </c>
      <c r="T4604" t="s">
        <v>49072</v>
      </c>
      <c r="U4604" t="s">
        <v>53488</v>
      </c>
      <c r="W4604" t="s">
        <v>44692</v>
      </c>
      <c r="X4604" t="s">
        <v>47308</v>
      </c>
    </row>
    <row r="4605" spans="1:24">
      <c r="A4605">
        <f>HYPERLINK("https://www.philgeps.gov.ph/GEPSNONPILOT/Tender/SplashBidNoticeAbstractUI.aspx?menuIndex=3&amp;refID=7197220&amp;Result=3","7197220")</f>
        <v>0</v>
      </c>
      <c r="B4605" t="s">
        <v>101</v>
      </c>
      <c r="C4605" t="s">
        <v>8199</v>
      </c>
      <c r="D4605" t="s">
        <v>18993</v>
      </c>
      <c r="E4605" t="s">
        <v>23190</v>
      </c>
      <c r="F4605" t="s">
        <v>32606</v>
      </c>
      <c r="G4605" t="s">
        <v>32617</v>
      </c>
      <c r="H4605" t="s">
        <v>14201</v>
      </c>
      <c r="I4605" t="s">
        <v>4678</v>
      </c>
      <c r="J4605" t="s">
        <v>35818</v>
      </c>
      <c r="K4605" t="s">
        <v>42623</v>
      </c>
      <c r="M4605" t="s">
        <v>44737</v>
      </c>
      <c r="N4605" t="s">
        <v>47304</v>
      </c>
      <c r="O4605" t="s">
        <v>47305</v>
      </c>
      <c r="P4605">
        <v>0</v>
      </c>
      <c r="Q4605">
        <v>4</v>
      </c>
      <c r="R4605" t="s">
        <v>47306</v>
      </c>
      <c r="S4605" t="s">
        <v>47414</v>
      </c>
      <c r="T4605" t="s">
        <v>48980</v>
      </c>
      <c r="U4605" t="s">
        <v>53489</v>
      </c>
      <c r="W4605" t="s">
        <v>44737</v>
      </c>
      <c r="X4605" t="s">
        <v>47308</v>
      </c>
    </row>
    <row r="4606" spans="1:24">
      <c r="A4606">
        <f>HYPERLINK("https://www.philgeps.gov.ph/GEPSNONPILOT/Tender/SplashBidNoticeAbstractUI.aspx?menuIndex=3&amp;refID=7197219&amp;Result=3","7197219")</f>
        <v>0</v>
      </c>
      <c r="B4606" t="s">
        <v>1707</v>
      </c>
      <c r="C4606" t="s">
        <v>8200</v>
      </c>
      <c r="E4606" t="s">
        <v>23191</v>
      </c>
      <c r="F4606" t="s">
        <v>32606</v>
      </c>
      <c r="G4606" t="s">
        <v>32613</v>
      </c>
      <c r="H4606" t="s">
        <v>14201</v>
      </c>
      <c r="I4606" t="s">
        <v>32721</v>
      </c>
      <c r="J4606" t="s">
        <v>32765</v>
      </c>
      <c r="K4606" t="s">
        <v>42630</v>
      </c>
      <c r="M4606" t="s">
        <v>44738</v>
      </c>
      <c r="N4606" t="s">
        <v>47304</v>
      </c>
      <c r="O4606" t="s">
        <v>47305</v>
      </c>
      <c r="P4606">
        <v>0</v>
      </c>
      <c r="Q4606">
        <v>0</v>
      </c>
      <c r="R4606" t="s">
        <v>47306</v>
      </c>
      <c r="S4606" t="s">
        <v>47414</v>
      </c>
      <c r="T4606" t="s">
        <v>48996</v>
      </c>
      <c r="U4606" t="s">
        <v>53490</v>
      </c>
      <c r="W4606" t="s">
        <v>44738</v>
      </c>
      <c r="X4606" t="s">
        <v>47308</v>
      </c>
    </row>
    <row r="4607" spans="1:24">
      <c r="A4607">
        <f>HYPERLINK("https://www.philgeps.gov.ph/GEPSNONPILOT/Tender/SplashBidNoticeAbstractUI.aspx?menuIndex=3&amp;refID=7197256&amp;Result=3","7197256")</f>
        <v>0</v>
      </c>
      <c r="B4607" t="s">
        <v>1708</v>
      </c>
      <c r="C4607" t="s">
        <v>8201</v>
      </c>
      <c r="D4607" t="s">
        <v>19024</v>
      </c>
      <c r="E4607" t="s">
        <v>23192</v>
      </c>
      <c r="F4607" t="s">
        <v>32606</v>
      </c>
      <c r="G4607" t="s">
        <v>32613</v>
      </c>
      <c r="H4607" t="s">
        <v>32623</v>
      </c>
      <c r="I4607" t="s">
        <v>17648</v>
      </c>
      <c r="J4607" t="s">
        <v>35204</v>
      </c>
      <c r="K4607" t="s">
        <v>42631</v>
      </c>
      <c r="M4607" t="s">
        <v>44739</v>
      </c>
      <c r="N4607" t="s">
        <v>47304</v>
      </c>
      <c r="O4607" t="s">
        <v>47305</v>
      </c>
      <c r="P4607">
        <v>0</v>
      </c>
      <c r="Q4607">
        <v>0</v>
      </c>
      <c r="R4607" t="s">
        <v>47306</v>
      </c>
      <c r="S4607" t="s">
        <v>47414</v>
      </c>
      <c r="T4607" t="s">
        <v>48996</v>
      </c>
      <c r="U4607" t="s">
        <v>53491</v>
      </c>
      <c r="W4607" t="s">
        <v>44739</v>
      </c>
      <c r="X4607" t="s">
        <v>47308</v>
      </c>
    </row>
    <row r="4608" spans="1:24">
      <c r="A4608">
        <f>HYPERLINK("https://www.philgeps.gov.ph/GEPSNONPILOT/Tender/SplashBidNoticeAbstractUI.aspx?menuIndex=3&amp;refID=7197255&amp;Result=3","7197255")</f>
        <v>0</v>
      </c>
      <c r="B4608" t="s">
        <v>1709</v>
      </c>
      <c r="C4608" t="s">
        <v>8202</v>
      </c>
      <c r="D4608" t="s">
        <v>19032</v>
      </c>
      <c r="E4608" t="s">
        <v>23193</v>
      </c>
      <c r="F4608" t="s">
        <v>32606</v>
      </c>
      <c r="G4608" t="s">
        <v>32614</v>
      </c>
      <c r="H4608" t="s">
        <v>14201</v>
      </c>
      <c r="I4608" t="s">
        <v>32657</v>
      </c>
      <c r="J4608" t="s">
        <v>32999</v>
      </c>
      <c r="K4608" t="s">
        <v>42630</v>
      </c>
      <c r="M4608" t="s">
        <v>44740</v>
      </c>
      <c r="N4608" t="s">
        <v>47304</v>
      </c>
      <c r="O4608" t="s">
        <v>47305</v>
      </c>
      <c r="P4608">
        <v>0</v>
      </c>
      <c r="Q4608">
        <v>0</v>
      </c>
      <c r="R4608" t="s">
        <v>47306</v>
      </c>
      <c r="S4608" t="s">
        <v>47414</v>
      </c>
      <c r="T4608" t="s">
        <v>49107</v>
      </c>
      <c r="U4608" t="s">
        <v>53492</v>
      </c>
      <c r="V4608" t="s">
        <v>63082</v>
      </c>
      <c r="W4608" t="s">
        <v>44740</v>
      </c>
      <c r="X4608" t="s">
        <v>47308</v>
      </c>
    </row>
    <row r="4609" spans="1:24">
      <c r="A4609">
        <f>HYPERLINK("https://www.philgeps.gov.ph/GEPSNONPILOT/Tender/SplashBidNoticeAbstractUI.aspx?menuIndex=3&amp;refID=7197254&amp;Result=3","7197254")</f>
        <v>0</v>
      </c>
      <c r="B4609" t="s">
        <v>1112</v>
      </c>
      <c r="C4609" t="s">
        <v>8203</v>
      </c>
      <c r="D4609" t="s">
        <v>19031</v>
      </c>
      <c r="E4609" t="s">
        <v>23194</v>
      </c>
      <c r="F4609" t="s">
        <v>32606</v>
      </c>
      <c r="G4609" t="s">
        <v>32613</v>
      </c>
      <c r="H4609" t="s">
        <v>32623</v>
      </c>
      <c r="I4609" t="s">
        <v>32675</v>
      </c>
      <c r="J4609" t="s">
        <v>35819</v>
      </c>
      <c r="K4609" t="s">
        <v>42646</v>
      </c>
      <c r="M4609" t="s">
        <v>44073</v>
      </c>
      <c r="N4609" t="s">
        <v>47304</v>
      </c>
      <c r="O4609" t="s">
        <v>47305</v>
      </c>
      <c r="P4609">
        <v>0</v>
      </c>
      <c r="Q4609">
        <v>1</v>
      </c>
      <c r="R4609" t="s">
        <v>47306</v>
      </c>
      <c r="S4609" t="s">
        <v>47414</v>
      </c>
      <c r="T4609" t="s">
        <v>49009</v>
      </c>
      <c r="U4609" t="s">
        <v>53493</v>
      </c>
      <c r="V4609" t="s">
        <v>63081</v>
      </c>
      <c r="W4609" t="s">
        <v>44073</v>
      </c>
      <c r="X4609" t="s">
        <v>47308</v>
      </c>
    </row>
    <row r="4610" spans="1:24">
      <c r="A4610">
        <f>HYPERLINK("https://www.philgeps.gov.ph/GEPSNONPILOT/Tender/SplashBidNoticeAbstractUI.aspx?menuIndex=3&amp;refID=7197204&amp;Result=3","7197204")</f>
        <v>0</v>
      </c>
      <c r="B4610" t="s">
        <v>1710</v>
      </c>
      <c r="C4610" t="s">
        <v>8204</v>
      </c>
      <c r="D4610" t="s">
        <v>18993</v>
      </c>
      <c r="E4610" t="s">
        <v>23195</v>
      </c>
      <c r="F4610" t="s">
        <v>32606</v>
      </c>
      <c r="G4610" t="s">
        <v>32613</v>
      </c>
      <c r="H4610" t="s">
        <v>32623</v>
      </c>
      <c r="I4610" t="s">
        <v>17648</v>
      </c>
      <c r="J4610" t="s">
        <v>35820</v>
      </c>
      <c r="K4610" t="s">
        <v>42648</v>
      </c>
      <c r="M4610" t="s">
        <v>44741</v>
      </c>
      <c r="N4610" t="s">
        <v>47304</v>
      </c>
      <c r="O4610" t="s">
        <v>47305</v>
      </c>
      <c r="P4610">
        <v>0</v>
      </c>
      <c r="Q4610">
        <v>12</v>
      </c>
      <c r="R4610" t="s">
        <v>47306</v>
      </c>
      <c r="S4610" t="s">
        <v>47414</v>
      </c>
      <c r="T4610" t="s">
        <v>48996</v>
      </c>
      <c r="U4610" t="s">
        <v>53494</v>
      </c>
      <c r="W4610" t="s">
        <v>44741</v>
      </c>
      <c r="X4610" t="s">
        <v>47308</v>
      </c>
    </row>
    <row r="4611" spans="1:24">
      <c r="A4611">
        <f>HYPERLINK("https://www.philgeps.gov.ph/GEPSNONPILOT/Tender/SplashBidNoticeAbstractUI.aspx?menuIndex=3&amp;refID=7197252&amp;Result=3","7197252")</f>
        <v>0</v>
      </c>
      <c r="B4611" t="s">
        <v>1696</v>
      </c>
      <c r="C4611" t="s">
        <v>8205</v>
      </c>
      <c r="D4611" t="s">
        <v>18993</v>
      </c>
      <c r="E4611" t="s">
        <v>23196</v>
      </c>
      <c r="F4611" t="s">
        <v>32606</v>
      </c>
      <c r="G4611" t="s">
        <v>32613</v>
      </c>
      <c r="H4611" t="s">
        <v>14201</v>
      </c>
      <c r="I4611" t="s">
        <v>4120</v>
      </c>
      <c r="J4611" t="s">
        <v>35821</v>
      </c>
      <c r="K4611" t="s">
        <v>42623</v>
      </c>
      <c r="M4611" t="s">
        <v>44734</v>
      </c>
      <c r="N4611" t="s">
        <v>47304</v>
      </c>
      <c r="O4611" t="s">
        <v>47305</v>
      </c>
      <c r="P4611">
        <v>0</v>
      </c>
      <c r="Q4611">
        <v>0</v>
      </c>
      <c r="R4611" t="s">
        <v>47306</v>
      </c>
      <c r="S4611" t="s">
        <v>47414</v>
      </c>
      <c r="T4611" t="s">
        <v>48995</v>
      </c>
      <c r="U4611" t="s">
        <v>51117</v>
      </c>
      <c r="W4611" t="s">
        <v>44734</v>
      </c>
      <c r="X4611" t="s">
        <v>47308</v>
      </c>
    </row>
    <row r="4612" spans="1:24">
      <c r="A4612">
        <f>HYPERLINK("https://www.philgeps.gov.ph/GEPSNONPILOT/Tender/SplashBidNoticeAbstractUI.aspx?menuIndex=3&amp;refID=7197251&amp;Result=3","7197251")</f>
        <v>0</v>
      </c>
      <c r="B4612" t="s">
        <v>1217</v>
      </c>
      <c r="C4612" t="s">
        <v>8206</v>
      </c>
      <c r="D4612" t="s">
        <v>19035</v>
      </c>
      <c r="E4612" t="s">
        <v>23197</v>
      </c>
      <c r="F4612" t="s">
        <v>32606</v>
      </c>
      <c r="G4612" t="s">
        <v>32614</v>
      </c>
      <c r="H4612" t="s">
        <v>14201</v>
      </c>
      <c r="I4612" t="s">
        <v>32631</v>
      </c>
      <c r="J4612" t="s">
        <v>35822</v>
      </c>
      <c r="K4612" t="s">
        <v>42622</v>
      </c>
      <c r="M4612" t="s">
        <v>44182</v>
      </c>
      <c r="N4612" t="s">
        <v>47304</v>
      </c>
      <c r="O4612" t="s">
        <v>47305</v>
      </c>
      <c r="P4612">
        <v>0</v>
      </c>
      <c r="Q4612">
        <v>2</v>
      </c>
      <c r="R4612" t="s">
        <v>47306</v>
      </c>
      <c r="S4612" t="s">
        <v>47414</v>
      </c>
      <c r="T4612" t="s">
        <v>48980</v>
      </c>
      <c r="U4612" t="s">
        <v>52133</v>
      </c>
      <c r="W4612" t="s">
        <v>44182</v>
      </c>
      <c r="X4612" t="s">
        <v>47308</v>
      </c>
    </row>
    <row r="4613" spans="1:24">
      <c r="A4613">
        <f>HYPERLINK("https://www.philgeps.gov.ph/GEPSNONPILOT/Tender/SplashBidNoticeAbstractUI.aspx?menuIndex=3&amp;refID=7197250&amp;Result=3","7197250")</f>
        <v>0</v>
      </c>
      <c r="B4613" t="s">
        <v>1696</v>
      </c>
      <c r="C4613" t="s">
        <v>8207</v>
      </c>
      <c r="D4613" t="s">
        <v>18993</v>
      </c>
      <c r="E4613" t="s">
        <v>23198</v>
      </c>
      <c r="F4613" t="s">
        <v>32606</v>
      </c>
      <c r="G4613" t="s">
        <v>32613</v>
      </c>
      <c r="H4613" t="s">
        <v>14201</v>
      </c>
      <c r="I4613" t="s">
        <v>4120</v>
      </c>
      <c r="J4613" t="s">
        <v>35823</v>
      </c>
      <c r="K4613" t="s">
        <v>42623</v>
      </c>
      <c r="M4613" t="s">
        <v>44742</v>
      </c>
      <c r="N4613" t="s">
        <v>47304</v>
      </c>
      <c r="O4613" t="s">
        <v>47305</v>
      </c>
      <c r="P4613">
        <v>0</v>
      </c>
      <c r="Q4613">
        <v>0</v>
      </c>
      <c r="R4613" t="s">
        <v>47306</v>
      </c>
      <c r="S4613" t="s">
        <v>47414</v>
      </c>
      <c r="T4613" t="s">
        <v>49033</v>
      </c>
      <c r="U4613" t="s">
        <v>51117</v>
      </c>
      <c r="W4613" t="s">
        <v>44742</v>
      </c>
      <c r="X4613" t="s">
        <v>47308</v>
      </c>
    </row>
    <row r="4614" spans="1:24">
      <c r="A4614">
        <f>HYPERLINK("https://www.philgeps.gov.ph/GEPSNONPILOT/Tender/SplashBidNoticeAbstractUI.aspx?menuIndex=3&amp;refID=7197249&amp;Result=3","7197249")</f>
        <v>0</v>
      </c>
      <c r="B4614" t="s">
        <v>1112</v>
      </c>
      <c r="C4614" t="s">
        <v>8208</v>
      </c>
      <c r="D4614" t="s">
        <v>19031</v>
      </c>
      <c r="E4614" t="s">
        <v>23199</v>
      </c>
      <c r="F4614" t="s">
        <v>32606</v>
      </c>
      <c r="G4614" t="s">
        <v>32613</v>
      </c>
      <c r="H4614" t="s">
        <v>32623</v>
      </c>
      <c r="I4614" t="s">
        <v>32675</v>
      </c>
      <c r="J4614" t="s">
        <v>35824</v>
      </c>
      <c r="K4614" t="s">
        <v>42646</v>
      </c>
      <c r="M4614" t="s">
        <v>44073</v>
      </c>
      <c r="N4614" t="s">
        <v>47304</v>
      </c>
      <c r="O4614" t="s">
        <v>47305</v>
      </c>
      <c r="P4614">
        <v>0</v>
      </c>
      <c r="Q4614">
        <v>1</v>
      </c>
      <c r="R4614" t="s">
        <v>47306</v>
      </c>
      <c r="S4614" t="s">
        <v>47414</v>
      </c>
      <c r="T4614" t="s">
        <v>49009</v>
      </c>
      <c r="U4614" t="s">
        <v>53495</v>
      </c>
      <c r="V4614" t="s">
        <v>63081</v>
      </c>
      <c r="W4614" t="s">
        <v>44073</v>
      </c>
      <c r="X4614" t="s">
        <v>47308</v>
      </c>
    </row>
    <row r="4615" spans="1:24">
      <c r="A4615">
        <f>HYPERLINK("https://www.philgeps.gov.ph/GEPSNONPILOT/Tender/SplashBidNoticeAbstractUI.aspx?menuIndex=3&amp;refID=7197224&amp;Result=3","7197224")</f>
        <v>0</v>
      </c>
      <c r="B4615" t="s">
        <v>1121</v>
      </c>
      <c r="C4615" t="s">
        <v>8209</v>
      </c>
      <c r="D4615" t="s">
        <v>19037</v>
      </c>
      <c r="E4615" t="s">
        <v>23200</v>
      </c>
      <c r="F4615" t="s">
        <v>32606</v>
      </c>
      <c r="G4615" t="s">
        <v>32614</v>
      </c>
      <c r="H4615" t="s">
        <v>14201</v>
      </c>
      <c r="I4615" t="s">
        <v>7577</v>
      </c>
      <c r="J4615" t="s">
        <v>35825</v>
      </c>
      <c r="K4615" t="s">
        <v>42639</v>
      </c>
      <c r="M4615" t="s">
        <v>44393</v>
      </c>
      <c r="N4615" t="s">
        <v>47304</v>
      </c>
      <c r="O4615" t="s">
        <v>47305</v>
      </c>
      <c r="P4615">
        <v>0</v>
      </c>
      <c r="Q4615">
        <v>4</v>
      </c>
      <c r="R4615" t="s">
        <v>47306</v>
      </c>
      <c r="S4615" t="s">
        <v>47414</v>
      </c>
      <c r="T4615" t="s">
        <v>49062</v>
      </c>
      <c r="U4615" t="s">
        <v>52535</v>
      </c>
      <c r="W4615" t="s">
        <v>44393</v>
      </c>
      <c r="X4615" t="s">
        <v>47308</v>
      </c>
    </row>
    <row r="4616" spans="1:24">
      <c r="A4616">
        <f>HYPERLINK("https://www.philgeps.gov.ph/GEPSNONPILOT/Tender/SplashBidNoticeAbstractUI.aspx?menuIndex=3&amp;refID=7197245&amp;Result=3","7197245")</f>
        <v>0</v>
      </c>
      <c r="B4616" t="s">
        <v>1112</v>
      </c>
      <c r="C4616" t="s">
        <v>8210</v>
      </c>
      <c r="D4616" t="s">
        <v>19031</v>
      </c>
      <c r="E4616" t="s">
        <v>23201</v>
      </c>
      <c r="F4616" t="s">
        <v>32606</v>
      </c>
      <c r="G4616" t="s">
        <v>32613</v>
      </c>
      <c r="H4616" t="s">
        <v>32623</v>
      </c>
      <c r="I4616" t="s">
        <v>32675</v>
      </c>
      <c r="J4616" t="s">
        <v>35826</v>
      </c>
      <c r="K4616" t="s">
        <v>42646</v>
      </c>
      <c r="M4616" t="s">
        <v>44073</v>
      </c>
      <c r="N4616" t="s">
        <v>47304</v>
      </c>
      <c r="O4616" t="s">
        <v>47305</v>
      </c>
      <c r="P4616">
        <v>0</v>
      </c>
      <c r="Q4616">
        <v>1</v>
      </c>
      <c r="R4616" t="s">
        <v>47306</v>
      </c>
      <c r="S4616" t="s">
        <v>47414</v>
      </c>
      <c r="T4616" t="s">
        <v>49009</v>
      </c>
      <c r="U4616" t="s">
        <v>53496</v>
      </c>
      <c r="V4616" t="s">
        <v>63081</v>
      </c>
      <c r="W4616" t="s">
        <v>44073</v>
      </c>
      <c r="X4616" t="s">
        <v>47308</v>
      </c>
    </row>
    <row r="4617" spans="1:24">
      <c r="A4617">
        <f>HYPERLINK("https://www.philgeps.gov.ph/GEPSNONPILOT/Tender/SplashBidNoticeAbstractUI.aspx?menuIndex=3&amp;refID=7197253&amp;Result=3","7197253")</f>
        <v>0</v>
      </c>
      <c r="B4617" t="s">
        <v>503</v>
      </c>
      <c r="C4617" t="s">
        <v>8211</v>
      </c>
      <c r="D4617" t="s">
        <v>19033</v>
      </c>
      <c r="E4617" t="s">
        <v>23202</v>
      </c>
      <c r="F4617" t="s">
        <v>32606</v>
      </c>
      <c r="G4617" t="s">
        <v>32613</v>
      </c>
      <c r="H4617" t="s">
        <v>14201</v>
      </c>
      <c r="I4617" t="s">
        <v>32629</v>
      </c>
      <c r="J4617" t="s">
        <v>35827</v>
      </c>
      <c r="K4617" t="s">
        <v>42648</v>
      </c>
      <c r="M4617" t="s">
        <v>43416</v>
      </c>
      <c r="N4617" t="s">
        <v>47304</v>
      </c>
      <c r="O4617" t="s">
        <v>47305</v>
      </c>
      <c r="P4617">
        <v>0</v>
      </c>
      <c r="Q4617">
        <v>0</v>
      </c>
      <c r="R4617" t="s">
        <v>47306</v>
      </c>
      <c r="S4617" t="s">
        <v>47414</v>
      </c>
      <c r="T4617" t="s">
        <v>49111</v>
      </c>
      <c r="U4617" t="s">
        <v>53497</v>
      </c>
      <c r="W4617" t="s">
        <v>43416</v>
      </c>
      <c r="X4617" t="s">
        <v>47308</v>
      </c>
    </row>
    <row r="4618" spans="1:24">
      <c r="A4618">
        <f>HYPERLINK("https://www.philgeps.gov.ph/GEPSNONPILOT/Tender/SplashBidNoticeAbstractUI.aspx?menuIndex=3&amp;refID=7197244&amp;Result=3","7197244")</f>
        <v>0</v>
      </c>
      <c r="B4618" t="s">
        <v>1704</v>
      </c>
      <c r="C4618" t="s">
        <v>8212</v>
      </c>
      <c r="D4618" t="s">
        <v>19010</v>
      </c>
      <c r="E4618" t="s">
        <v>23203</v>
      </c>
      <c r="F4618" t="s">
        <v>32606</v>
      </c>
      <c r="G4618" t="s">
        <v>32613</v>
      </c>
      <c r="H4618" t="s">
        <v>14201</v>
      </c>
      <c r="I4618" t="s">
        <v>7064</v>
      </c>
      <c r="J4618" t="s">
        <v>35828</v>
      </c>
      <c r="K4618" t="s">
        <v>42636</v>
      </c>
      <c r="L4618" t="s">
        <v>1704</v>
      </c>
      <c r="M4618" t="s">
        <v>44733</v>
      </c>
      <c r="N4618" t="s">
        <v>47304</v>
      </c>
      <c r="O4618" t="s">
        <v>47305</v>
      </c>
      <c r="P4618">
        <v>0</v>
      </c>
      <c r="Q4618">
        <v>4</v>
      </c>
      <c r="R4618" t="s">
        <v>47306</v>
      </c>
      <c r="S4618" t="s">
        <v>47414</v>
      </c>
      <c r="T4618" t="s">
        <v>48973</v>
      </c>
      <c r="U4618" t="s">
        <v>53498</v>
      </c>
      <c r="W4618" t="s">
        <v>44733</v>
      </c>
      <c r="X4618" t="s">
        <v>47308</v>
      </c>
    </row>
    <row r="4619" spans="1:24">
      <c r="A4619">
        <f>HYPERLINK("https://www.philgeps.gov.ph/GEPSNONPILOT/Tender/SplashBidNoticeAbstractUI.aspx?menuIndex=3&amp;refID=7197231&amp;Result=3","7197231")</f>
        <v>0</v>
      </c>
      <c r="B4619" t="s">
        <v>1644</v>
      </c>
      <c r="C4619" t="s">
        <v>8213</v>
      </c>
      <c r="D4619" t="s">
        <v>19022</v>
      </c>
      <c r="E4619" t="s">
        <v>23204</v>
      </c>
      <c r="F4619" t="s">
        <v>32606</v>
      </c>
      <c r="G4619" t="s">
        <v>32614</v>
      </c>
      <c r="H4619" t="s">
        <v>14201</v>
      </c>
      <c r="I4619" t="s">
        <v>32633</v>
      </c>
      <c r="J4619" t="s">
        <v>33215</v>
      </c>
      <c r="K4619" t="s">
        <v>42630</v>
      </c>
      <c r="M4619" t="s">
        <v>44665</v>
      </c>
      <c r="N4619" t="s">
        <v>47304</v>
      </c>
      <c r="O4619" t="s">
        <v>47305</v>
      </c>
      <c r="P4619">
        <v>0</v>
      </c>
      <c r="Q4619">
        <v>2</v>
      </c>
      <c r="R4619" t="s">
        <v>47306</v>
      </c>
      <c r="S4619" t="s">
        <v>47414</v>
      </c>
      <c r="T4619" t="s">
        <v>49004</v>
      </c>
      <c r="U4619" t="s">
        <v>53499</v>
      </c>
      <c r="W4619" t="s">
        <v>64478</v>
      </c>
      <c r="X4619" t="s">
        <v>47308</v>
      </c>
    </row>
    <row r="4620" spans="1:24">
      <c r="A4620">
        <f>HYPERLINK("https://www.philgeps.gov.ph/GEPSNONPILOT/Tender/SplashBidNoticeAbstractUI.aspx?menuIndex=3&amp;refID=7197248&amp;Result=3","7197248")</f>
        <v>0</v>
      </c>
      <c r="B4620" t="s">
        <v>503</v>
      </c>
      <c r="C4620" t="s">
        <v>8214</v>
      </c>
      <c r="D4620" t="s">
        <v>19033</v>
      </c>
      <c r="E4620" t="s">
        <v>23205</v>
      </c>
      <c r="F4620" t="s">
        <v>32606</v>
      </c>
      <c r="G4620" t="s">
        <v>32613</v>
      </c>
      <c r="H4620" t="s">
        <v>14201</v>
      </c>
      <c r="I4620" t="s">
        <v>7529</v>
      </c>
      <c r="J4620" t="s">
        <v>35829</v>
      </c>
      <c r="K4620" t="s">
        <v>42631</v>
      </c>
      <c r="M4620" t="s">
        <v>43416</v>
      </c>
      <c r="N4620" t="s">
        <v>47304</v>
      </c>
      <c r="O4620" t="s">
        <v>47305</v>
      </c>
      <c r="P4620">
        <v>0</v>
      </c>
      <c r="Q4620">
        <v>0</v>
      </c>
      <c r="R4620" t="s">
        <v>47306</v>
      </c>
      <c r="S4620" t="s">
        <v>47414</v>
      </c>
      <c r="T4620" t="s">
        <v>49111</v>
      </c>
      <c r="U4620" t="s">
        <v>53497</v>
      </c>
      <c r="W4620" t="s">
        <v>43416</v>
      </c>
      <c r="X4620" t="s">
        <v>47308</v>
      </c>
    </row>
    <row r="4621" spans="1:24">
      <c r="A4621">
        <f>HYPERLINK("https://www.philgeps.gov.ph/GEPSNONPILOT/Tender/SplashBidNoticeAbstractUI.aspx?menuIndex=3&amp;refID=7197276&amp;Result=3","7197276")</f>
        <v>0</v>
      </c>
      <c r="B4621" t="s">
        <v>1711</v>
      </c>
      <c r="C4621" t="s">
        <v>8215</v>
      </c>
      <c r="D4621" t="s">
        <v>18993</v>
      </c>
      <c r="E4621" t="s">
        <v>23206</v>
      </c>
      <c r="F4621" t="s">
        <v>32606</v>
      </c>
      <c r="G4621" t="s">
        <v>32613</v>
      </c>
      <c r="H4621" t="s">
        <v>14201</v>
      </c>
      <c r="I4621" t="s">
        <v>32655</v>
      </c>
      <c r="J4621" t="s">
        <v>34128</v>
      </c>
      <c r="K4621" t="s">
        <v>42624</v>
      </c>
      <c r="M4621" t="s">
        <v>44743</v>
      </c>
      <c r="N4621" t="s">
        <v>47304</v>
      </c>
      <c r="O4621" t="s">
        <v>47305</v>
      </c>
      <c r="P4621">
        <v>0</v>
      </c>
      <c r="Q4621">
        <v>14</v>
      </c>
      <c r="R4621" t="s">
        <v>47306</v>
      </c>
      <c r="S4621" t="s">
        <v>47414</v>
      </c>
      <c r="T4621" t="s">
        <v>49048</v>
      </c>
      <c r="U4621" t="s">
        <v>53500</v>
      </c>
      <c r="W4621" t="s">
        <v>44743</v>
      </c>
      <c r="X4621" t="s">
        <v>47308</v>
      </c>
    </row>
    <row r="4622" spans="1:24">
      <c r="A4622">
        <f>HYPERLINK("https://www.philgeps.gov.ph/GEPSNONPILOT/Tender/SplashBidNoticeAbstractUI.aspx?menuIndex=3&amp;refID=7197270&amp;Result=3","7197270")</f>
        <v>0</v>
      </c>
      <c r="B4622" t="s">
        <v>1696</v>
      </c>
      <c r="C4622" t="s">
        <v>8216</v>
      </c>
      <c r="D4622" t="s">
        <v>18993</v>
      </c>
      <c r="E4622" t="s">
        <v>23207</v>
      </c>
      <c r="F4622" t="s">
        <v>32606</v>
      </c>
      <c r="G4622" t="s">
        <v>32613</v>
      </c>
      <c r="H4622" t="s">
        <v>14201</v>
      </c>
      <c r="I4622" t="s">
        <v>4120</v>
      </c>
      <c r="J4622" t="s">
        <v>35830</v>
      </c>
      <c r="K4622" t="s">
        <v>42623</v>
      </c>
      <c r="M4622" t="s">
        <v>44742</v>
      </c>
      <c r="N4622" t="s">
        <v>47304</v>
      </c>
      <c r="O4622" t="s">
        <v>47305</v>
      </c>
      <c r="P4622">
        <v>0</v>
      </c>
      <c r="Q4622">
        <v>0</v>
      </c>
      <c r="R4622" t="s">
        <v>47306</v>
      </c>
      <c r="S4622" t="s">
        <v>47414</v>
      </c>
      <c r="T4622" t="s">
        <v>49033</v>
      </c>
      <c r="U4622" t="s">
        <v>51117</v>
      </c>
      <c r="W4622" t="s">
        <v>44742</v>
      </c>
      <c r="X4622" t="s">
        <v>47308</v>
      </c>
    </row>
    <row r="4623" spans="1:24">
      <c r="A4623">
        <f>HYPERLINK("https://www.philgeps.gov.ph/GEPSNONPILOT/Tender/SplashBidNoticeAbstractUI.aspx?menuIndex=3&amp;refID=7197232&amp;Result=3","7197232")</f>
        <v>0</v>
      </c>
      <c r="B4623" t="s">
        <v>1712</v>
      </c>
      <c r="C4623" t="s">
        <v>8217</v>
      </c>
      <c r="D4623" t="s">
        <v>19022</v>
      </c>
      <c r="E4623" t="s">
        <v>23208</v>
      </c>
      <c r="F4623" t="s">
        <v>32606</v>
      </c>
      <c r="G4623" t="s">
        <v>32613</v>
      </c>
      <c r="H4623" t="s">
        <v>32623</v>
      </c>
      <c r="I4623" t="s">
        <v>17648</v>
      </c>
      <c r="J4623" t="s">
        <v>35831</v>
      </c>
      <c r="K4623" t="s">
        <v>42651</v>
      </c>
      <c r="L4623" t="s">
        <v>1712</v>
      </c>
      <c r="M4623" t="s">
        <v>44744</v>
      </c>
      <c r="N4623" t="s">
        <v>47304</v>
      </c>
      <c r="O4623" t="s">
        <v>47305</v>
      </c>
      <c r="P4623">
        <v>0</v>
      </c>
      <c r="Q4623">
        <v>0</v>
      </c>
      <c r="R4623" t="s">
        <v>47306</v>
      </c>
      <c r="S4623" t="s">
        <v>47414</v>
      </c>
      <c r="T4623" t="s">
        <v>49008</v>
      </c>
      <c r="U4623" t="s">
        <v>53501</v>
      </c>
      <c r="W4623" t="s">
        <v>44744</v>
      </c>
      <c r="X4623" t="s">
        <v>47308</v>
      </c>
    </row>
    <row r="4624" spans="1:24">
      <c r="A4624">
        <f>HYPERLINK("https://www.philgeps.gov.ph/GEPSNONPILOT/Tender/SplashBidNoticeAbstractUI.aspx?menuIndex=3&amp;refID=7197272&amp;Result=3","7197272")</f>
        <v>0</v>
      </c>
      <c r="B4624" t="s">
        <v>1713</v>
      </c>
      <c r="C4624" t="s">
        <v>8218</v>
      </c>
      <c r="D4624" t="s">
        <v>19039</v>
      </c>
      <c r="E4624" t="s">
        <v>23209</v>
      </c>
      <c r="F4624" t="s">
        <v>32606</v>
      </c>
      <c r="G4624" t="s">
        <v>32614</v>
      </c>
      <c r="H4624" t="s">
        <v>14201</v>
      </c>
      <c r="I4624" t="s">
        <v>32687</v>
      </c>
      <c r="J4624" t="s">
        <v>35832</v>
      </c>
      <c r="K4624" t="s">
        <v>42624</v>
      </c>
      <c r="M4624" t="s">
        <v>44745</v>
      </c>
      <c r="N4624" t="s">
        <v>47304</v>
      </c>
      <c r="O4624" t="s">
        <v>47305</v>
      </c>
      <c r="P4624">
        <v>0</v>
      </c>
      <c r="Q4624">
        <v>1</v>
      </c>
      <c r="R4624" t="s">
        <v>47306</v>
      </c>
      <c r="S4624" t="s">
        <v>47414</v>
      </c>
      <c r="T4624" t="s">
        <v>49292</v>
      </c>
      <c r="U4624" t="s">
        <v>53502</v>
      </c>
      <c r="W4624" t="s">
        <v>44745</v>
      </c>
      <c r="X4624" t="s">
        <v>47308</v>
      </c>
    </row>
    <row r="4625" spans="1:24">
      <c r="A4625">
        <f>HYPERLINK("https://www.philgeps.gov.ph/GEPSNONPILOT/Tender/SplashBidNoticeAbstractUI.aspx?menuIndex=3&amp;refID=7197271&amp;Result=3","7197271")</f>
        <v>0</v>
      </c>
      <c r="B4625" t="s">
        <v>424</v>
      </c>
      <c r="C4625" t="s">
        <v>8219</v>
      </c>
      <c r="D4625" t="s">
        <v>18992</v>
      </c>
      <c r="E4625" t="s">
        <v>23210</v>
      </c>
      <c r="F4625" t="s">
        <v>32606</v>
      </c>
      <c r="G4625" t="s">
        <v>32613</v>
      </c>
      <c r="H4625" t="s">
        <v>32623</v>
      </c>
      <c r="I4625" t="s">
        <v>17648</v>
      </c>
      <c r="J4625" t="s">
        <v>35833</v>
      </c>
      <c r="K4625" t="s">
        <v>42636</v>
      </c>
      <c r="M4625" t="s">
        <v>43328</v>
      </c>
      <c r="N4625" t="s">
        <v>47304</v>
      </c>
      <c r="O4625" t="s">
        <v>47305</v>
      </c>
      <c r="P4625">
        <v>0</v>
      </c>
      <c r="Q4625">
        <v>0</v>
      </c>
      <c r="R4625" t="s">
        <v>47306</v>
      </c>
      <c r="S4625" t="s">
        <v>47414</v>
      </c>
      <c r="T4625" t="s">
        <v>48986</v>
      </c>
      <c r="U4625" t="s">
        <v>53503</v>
      </c>
      <c r="W4625" t="s">
        <v>43328</v>
      </c>
      <c r="X4625" t="s">
        <v>47308</v>
      </c>
    </row>
    <row r="4626" spans="1:24">
      <c r="A4626">
        <f>HYPERLINK("https://www.philgeps.gov.ph/GEPSNONPILOT/Tender/SplashBidNoticeAbstractUI.aspx?menuIndex=3&amp;refID=7197269&amp;Result=3","7197269")</f>
        <v>0</v>
      </c>
      <c r="B4626" t="s">
        <v>1696</v>
      </c>
      <c r="C4626" t="s">
        <v>8220</v>
      </c>
      <c r="D4626" t="s">
        <v>18993</v>
      </c>
      <c r="E4626" t="s">
        <v>23211</v>
      </c>
      <c r="F4626" t="s">
        <v>32606</v>
      </c>
      <c r="G4626" t="s">
        <v>32613</v>
      </c>
      <c r="H4626" t="s">
        <v>14201</v>
      </c>
      <c r="I4626" t="s">
        <v>6298</v>
      </c>
      <c r="J4626" t="s">
        <v>35834</v>
      </c>
      <c r="K4626" t="s">
        <v>42623</v>
      </c>
      <c r="M4626" t="s">
        <v>44734</v>
      </c>
      <c r="N4626" t="s">
        <v>47304</v>
      </c>
      <c r="O4626" t="s">
        <v>47305</v>
      </c>
      <c r="P4626">
        <v>0</v>
      </c>
      <c r="Q4626">
        <v>0</v>
      </c>
      <c r="R4626" t="s">
        <v>47306</v>
      </c>
      <c r="S4626" t="s">
        <v>47414</v>
      </c>
      <c r="T4626" t="s">
        <v>48995</v>
      </c>
      <c r="U4626" t="s">
        <v>53471</v>
      </c>
      <c r="W4626" t="s">
        <v>44734</v>
      </c>
      <c r="X4626" t="s">
        <v>47308</v>
      </c>
    </row>
    <row r="4627" spans="1:24">
      <c r="A4627">
        <f>HYPERLINK("https://www.philgeps.gov.ph/GEPSNONPILOT/Tender/SplashBidNoticeAbstractUI.aspx?menuIndex=3&amp;refID=7197268&amp;Result=3","7197268")</f>
        <v>0</v>
      </c>
      <c r="B4627" t="s">
        <v>1696</v>
      </c>
      <c r="C4627" t="s">
        <v>8221</v>
      </c>
      <c r="D4627" t="s">
        <v>18993</v>
      </c>
      <c r="E4627" t="s">
        <v>23212</v>
      </c>
      <c r="F4627" t="s">
        <v>32606</v>
      </c>
      <c r="G4627" t="s">
        <v>32613</v>
      </c>
      <c r="H4627" t="s">
        <v>14201</v>
      </c>
      <c r="I4627" t="s">
        <v>6298</v>
      </c>
      <c r="J4627" t="s">
        <v>35835</v>
      </c>
      <c r="K4627" t="s">
        <v>42623</v>
      </c>
      <c r="M4627" t="s">
        <v>44734</v>
      </c>
      <c r="N4627" t="s">
        <v>47304</v>
      </c>
      <c r="O4627" t="s">
        <v>47305</v>
      </c>
      <c r="P4627">
        <v>0</v>
      </c>
      <c r="Q4627">
        <v>0</v>
      </c>
      <c r="R4627" t="s">
        <v>47306</v>
      </c>
      <c r="S4627" t="s">
        <v>47414</v>
      </c>
      <c r="T4627" t="s">
        <v>48995</v>
      </c>
      <c r="U4627" t="s">
        <v>53471</v>
      </c>
      <c r="W4627" t="s">
        <v>44734</v>
      </c>
      <c r="X4627" t="s">
        <v>47308</v>
      </c>
    </row>
    <row r="4628" spans="1:24">
      <c r="A4628">
        <f>HYPERLINK("https://www.philgeps.gov.ph/GEPSNONPILOT/Tender/SplashBidNoticeAbstractUI.aspx?menuIndex=3&amp;refID=7197275&amp;Result=3","7197275")</f>
        <v>0</v>
      </c>
      <c r="B4628" t="s">
        <v>101</v>
      </c>
      <c r="C4628" t="s">
        <v>8222</v>
      </c>
      <c r="D4628" t="s">
        <v>18993</v>
      </c>
      <c r="E4628" t="s">
        <v>23213</v>
      </c>
      <c r="F4628" t="s">
        <v>32606</v>
      </c>
      <c r="G4628" t="s">
        <v>32617</v>
      </c>
      <c r="H4628" t="s">
        <v>14201</v>
      </c>
      <c r="I4628" t="s">
        <v>32648</v>
      </c>
      <c r="J4628" t="s">
        <v>35836</v>
      </c>
      <c r="K4628" t="s">
        <v>42631</v>
      </c>
      <c r="M4628" t="s">
        <v>44737</v>
      </c>
      <c r="N4628" t="s">
        <v>47304</v>
      </c>
      <c r="O4628" t="s">
        <v>47305</v>
      </c>
      <c r="P4628">
        <v>0</v>
      </c>
      <c r="Q4628">
        <v>5</v>
      </c>
      <c r="R4628" t="s">
        <v>47306</v>
      </c>
      <c r="S4628" t="s">
        <v>47414</v>
      </c>
      <c r="T4628" t="s">
        <v>48980</v>
      </c>
      <c r="U4628" t="s">
        <v>53504</v>
      </c>
      <c r="W4628" t="s">
        <v>44737</v>
      </c>
      <c r="X4628" t="s">
        <v>47308</v>
      </c>
    </row>
    <row r="4629" spans="1:24">
      <c r="A4629">
        <f>HYPERLINK("https://www.philgeps.gov.ph/GEPSNONPILOT/Tender/SplashBidNoticeAbstractUI.aspx?menuIndex=3&amp;refID=7197267&amp;Result=3","7197267")</f>
        <v>0</v>
      </c>
      <c r="B4629" t="s">
        <v>1217</v>
      </c>
      <c r="C4629" t="s">
        <v>8223</v>
      </c>
      <c r="D4629" t="s">
        <v>19035</v>
      </c>
      <c r="E4629" t="s">
        <v>23214</v>
      </c>
      <c r="F4629" t="s">
        <v>32606</v>
      </c>
      <c r="G4629" t="s">
        <v>32617</v>
      </c>
      <c r="H4629" t="s">
        <v>14201</v>
      </c>
      <c r="I4629" t="s">
        <v>4114</v>
      </c>
      <c r="J4629" t="s">
        <v>35837</v>
      </c>
      <c r="K4629" t="s">
        <v>42622</v>
      </c>
      <c r="M4629" t="s">
        <v>44182</v>
      </c>
      <c r="N4629" t="s">
        <v>47304</v>
      </c>
      <c r="O4629" t="s">
        <v>47305</v>
      </c>
      <c r="P4629">
        <v>0</v>
      </c>
      <c r="Q4629">
        <v>3</v>
      </c>
      <c r="R4629" t="s">
        <v>47306</v>
      </c>
      <c r="S4629" t="s">
        <v>47414</v>
      </c>
      <c r="T4629" t="s">
        <v>48980</v>
      </c>
      <c r="U4629" t="s">
        <v>52133</v>
      </c>
      <c r="W4629" t="s">
        <v>44182</v>
      </c>
      <c r="X4629" t="s">
        <v>47308</v>
      </c>
    </row>
    <row r="4630" spans="1:24">
      <c r="A4630">
        <f>HYPERLINK("https://www.philgeps.gov.ph/GEPSNONPILOT/Tender/SplashBidNoticeAbstractUI.aspx?menuIndex=3&amp;refID=7197266&amp;Result=3","7197266")</f>
        <v>0</v>
      </c>
      <c r="B4630" t="s">
        <v>1112</v>
      </c>
      <c r="C4630" t="s">
        <v>8224</v>
      </c>
      <c r="D4630" t="s">
        <v>19031</v>
      </c>
      <c r="E4630" t="s">
        <v>23215</v>
      </c>
      <c r="F4630" t="s">
        <v>32606</v>
      </c>
      <c r="G4630" t="s">
        <v>32613</v>
      </c>
      <c r="H4630" t="s">
        <v>32623</v>
      </c>
      <c r="I4630" t="s">
        <v>32675</v>
      </c>
      <c r="J4630" t="s">
        <v>35838</v>
      </c>
      <c r="K4630" t="s">
        <v>42646</v>
      </c>
      <c r="M4630" t="s">
        <v>44073</v>
      </c>
      <c r="N4630" t="s">
        <v>47304</v>
      </c>
      <c r="O4630" t="s">
        <v>47305</v>
      </c>
      <c r="P4630">
        <v>0</v>
      </c>
      <c r="Q4630">
        <v>1</v>
      </c>
      <c r="R4630" t="s">
        <v>47306</v>
      </c>
      <c r="S4630" t="s">
        <v>47414</v>
      </c>
      <c r="T4630" t="s">
        <v>49009</v>
      </c>
      <c r="U4630" t="s">
        <v>53505</v>
      </c>
      <c r="V4630" t="s">
        <v>63081</v>
      </c>
      <c r="W4630" t="s">
        <v>44073</v>
      </c>
      <c r="X4630" t="s">
        <v>47308</v>
      </c>
    </row>
    <row r="4631" spans="1:24">
      <c r="A4631">
        <f>HYPERLINK("https://www.philgeps.gov.ph/GEPSNONPILOT/Tender/SplashBidNoticeAbstractUI.aspx?menuIndex=3&amp;refID=7197273&amp;Result=3","7197273")</f>
        <v>0</v>
      </c>
      <c r="B4631" t="s">
        <v>1112</v>
      </c>
      <c r="C4631" t="s">
        <v>8225</v>
      </c>
      <c r="D4631" t="s">
        <v>19031</v>
      </c>
      <c r="E4631" t="s">
        <v>23216</v>
      </c>
      <c r="F4631" t="s">
        <v>32606</v>
      </c>
      <c r="G4631" t="s">
        <v>32613</v>
      </c>
      <c r="H4631" t="s">
        <v>32623</v>
      </c>
      <c r="I4631" t="s">
        <v>32675</v>
      </c>
      <c r="J4631" t="s">
        <v>35839</v>
      </c>
      <c r="K4631" t="s">
        <v>42646</v>
      </c>
      <c r="M4631" t="s">
        <v>44073</v>
      </c>
      <c r="N4631" t="s">
        <v>47304</v>
      </c>
      <c r="O4631" t="s">
        <v>47305</v>
      </c>
      <c r="P4631">
        <v>0</v>
      </c>
      <c r="Q4631">
        <v>1</v>
      </c>
      <c r="R4631" t="s">
        <v>47306</v>
      </c>
      <c r="S4631" t="s">
        <v>47414</v>
      </c>
      <c r="T4631" t="s">
        <v>49009</v>
      </c>
      <c r="U4631" t="s">
        <v>53506</v>
      </c>
      <c r="V4631" t="s">
        <v>63081</v>
      </c>
      <c r="W4631" t="s">
        <v>44073</v>
      </c>
      <c r="X4631" t="s">
        <v>47308</v>
      </c>
    </row>
    <row r="4632" spans="1:24">
      <c r="A4632">
        <f>HYPERLINK("https://www.philgeps.gov.ph/GEPSNONPILOT/Tender/SplashBidNoticeAbstractUI.aspx?menuIndex=3&amp;refID=7197206&amp;Result=3","7197206")</f>
        <v>0</v>
      </c>
      <c r="B4632" t="s">
        <v>1644</v>
      </c>
      <c r="C4632" t="s">
        <v>8226</v>
      </c>
      <c r="D4632" t="s">
        <v>19022</v>
      </c>
      <c r="E4632" t="s">
        <v>23217</v>
      </c>
      <c r="F4632" t="s">
        <v>32606</v>
      </c>
      <c r="G4632" t="s">
        <v>32617</v>
      </c>
      <c r="H4632" t="s">
        <v>14201</v>
      </c>
      <c r="I4632" t="s">
        <v>4678</v>
      </c>
      <c r="J4632" t="s">
        <v>33291</v>
      </c>
      <c r="K4632" t="s">
        <v>42623</v>
      </c>
      <c r="M4632" t="s">
        <v>44665</v>
      </c>
      <c r="N4632" t="s">
        <v>47304</v>
      </c>
      <c r="O4632" t="s">
        <v>47305</v>
      </c>
      <c r="P4632">
        <v>0</v>
      </c>
      <c r="Q4632">
        <v>0</v>
      </c>
      <c r="R4632" t="s">
        <v>47306</v>
      </c>
      <c r="S4632" t="s">
        <v>47414</v>
      </c>
      <c r="T4632" t="s">
        <v>49004</v>
      </c>
      <c r="U4632" t="s">
        <v>53292</v>
      </c>
      <c r="W4632" t="s">
        <v>64478</v>
      </c>
      <c r="X4632" t="s">
        <v>47308</v>
      </c>
    </row>
    <row r="4633" spans="1:24">
      <c r="A4633">
        <f>HYPERLINK("https://www.philgeps.gov.ph/GEPSNONPILOT/Tender/SplashBidNoticeAbstractUI.aspx?menuIndex=3&amp;refID=7197297&amp;Result=3","7197297")</f>
        <v>0</v>
      </c>
      <c r="B4633" t="s">
        <v>1714</v>
      </c>
      <c r="C4633" t="s">
        <v>8227</v>
      </c>
      <c r="D4633" t="s">
        <v>18995</v>
      </c>
      <c r="E4633" t="s">
        <v>23218</v>
      </c>
      <c r="F4633" t="s">
        <v>32606</v>
      </c>
      <c r="G4633" t="s">
        <v>32617</v>
      </c>
      <c r="H4633" t="s">
        <v>14201</v>
      </c>
      <c r="I4633" t="s">
        <v>7677</v>
      </c>
      <c r="J4633" t="s">
        <v>32977</v>
      </c>
      <c r="K4633" t="s">
        <v>42625</v>
      </c>
      <c r="M4633" t="s">
        <v>44746</v>
      </c>
      <c r="N4633" t="s">
        <v>47304</v>
      </c>
      <c r="O4633" t="s">
        <v>47305</v>
      </c>
      <c r="P4633">
        <v>0</v>
      </c>
      <c r="Q4633">
        <v>0</v>
      </c>
      <c r="R4633" t="s">
        <v>47306</v>
      </c>
      <c r="S4633" t="s">
        <v>47414</v>
      </c>
      <c r="T4633" t="s">
        <v>48997</v>
      </c>
      <c r="U4633" t="s">
        <v>53507</v>
      </c>
      <c r="W4633" t="s">
        <v>44746</v>
      </c>
      <c r="X4633" t="s">
        <v>47308</v>
      </c>
    </row>
    <row r="4634" spans="1:24">
      <c r="A4634">
        <f>HYPERLINK("https://www.philgeps.gov.ph/GEPSNONPILOT/Tender/SplashBidNoticeAbstractUI.aspx?menuIndex=3&amp;refID=7197296&amp;Result=3","7197296")</f>
        <v>0</v>
      </c>
      <c r="B4634" t="s">
        <v>1671</v>
      </c>
      <c r="C4634" t="s">
        <v>8228</v>
      </c>
      <c r="D4634" t="s">
        <v>18993</v>
      </c>
      <c r="E4634" t="s">
        <v>8228</v>
      </c>
      <c r="F4634" t="s">
        <v>32606</v>
      </c>
      <c r="G4634" t="s">
        <v>32613</v>
      </c>
      <c r="H4634" t="s">
        <v>14201</v>
      </c>
      <c r="I4634" t="s">
        <v>4114</v>
      </c>
      <c r="J4634" t="s">
        <v>35840</v>
      </c>
      <c r="K4634" t="s">
        <v>42631</v>
      </c>
      <c r="M4634" t="s">
        <v>44698</v>
      </c>
      <c r="N4634" t="s">
        <v>47304</v>
      </c>
      <c r="O4634" t="s">
        <v>47305</v>
      </c>
      <c r="P4634">
        <v>0</v>
      </c>
      <c r="Q4634">
        <v>0</v>
      </c>
      <c r="R4634" t="s">
        <v>47306</v>
      </c>
      <c r="S4634" t="s">
        <v>47414</v>
      </c>
      <c r="T4634" t="s">
        <v>48990</v>
      </c>
      <c r="U4634" t="s">
        <v>53508</v>
      </c>
      <c r="W4634" t="s">
        <v>44698</v>
      </c>
      <c r="X4634" t="s">
        <v>47308</v>
      </c>
    </row>
    <row r="4635" spans="1:24">
      <c r="A4635">
        <f>HYPERLINK("https://www.philgeps.gov.ph/GEPSNONPILOT/Tender/SplashBidNoticeAbstractUI.aspx?menuIndex=3&amp;refID=7197247&amp;Result=3","7197247")</f>
        <v>0</v>
      </c>
      <c r="B4635" t="s">
        <v>1696</v>
      </c>
      <c r="C4635" t="s">
        <v>8229</v>
      </c>
      <c r="D4635" t="s">
        <v>18993</v>
      </c>
      <c r="E4635" t="s">
        <v>23219</v>
      </c>
      <c r="F4635" t="s">
        <v>32606</v>
      </c>
      <c r="G4635" t="s">
        <v>32613</v>
      </c>
      <c r="H4635" t="s">
        <v>14201</v>
      </c>
      <c r="I4635" t="s">
        <v>4120</v>
      </c>
      <c r="J4635" t="s">
        <v>35841</v>
      </c>
      <c r="K4635" t="s">
        <v>42623</v>
      </c>
      <c r="M4635" t="s">
        <v>44734</v>
      </c>
      <c r="N4635" t="s">
        <v>47304</v>
      </c>
      <c r="O4635" t="s">
        <v>47305</v>
      </c>
      <c r="P4635">
        <v>0</v>
      </c>
      <c r="Q4635">
        <v>0</v>
      </c>
      <c r="R4635" t="s">
        <v>47306</v>
      </c>
      <c r="S4635" t="s">
        <v>47414</v>
      </c>
      <c r="T4635" t="s">
        <v>48995</v>
      </c>
      <c r="U4635" t="s">
        <v>51117</v>
      </c>
      <c r="W4635" t="s">
        <v>44734</v>
      </c>
      <c r="X4635" t="s">
        <v>47308</v>
      </c>
    </row>
    <row r="4636" spans="1:24">
      <c r="A4636">
        <f>HYPERLINK("https://www.philgeps.gov.ph/GEPSNONPILOT/Tender/SplashBidNoticeAbstractUI.aspx?menuIndex=3&amp;refID=7197294&amp;Result=3","7197294")</f>
        <v>0</v>
      </c>
      <c r="B4636" t="s">
        <v>1671</v>
      </c>
      <c r="C4636" t="s">
        <v>8230</v>
      </c>
      <c r="D4636" t="s">
        <v>18993</v>
      </c>
      <c r="E4636" t="s">
        <v>8230</v>
      </c>
      <c r="F4636" t="s">
        <v>32606</v>
      </c>
      <c r="G4636" t="s">
        <v>32613</v>
      </c>
      <c r="H4636" t="s">
        <v>14201</v>
      </c>
      <c r="I4636" t="s">
        <v>4114</v>
      </c>
      <c r="J4636" t="s">
        <v>33051</v>
      </c>
      <c r="K4636" t="s">
        <v>42631</v>
      </c>
      <c r="M4636" t="s">
        <v>44698</v>
      </c>
      <c r="N4636" t="s">
        <v>47304</v>
      </c>
      <c r="O4636" t="s">
        <v>47305</v>
      </c>
      <c r="P4636">
        <v>0</v>
      </c>
      <c r="Q4636">
        <v>0</v>
      </c>
      <c r="R4636" t="s">
        <v>47306</v>
      </c>
      <c r="S4636" t="s">
        <v>47414</v>
      </c>
      <c r="T4636" t="s">
        <v>48990</v>
      </c>
      <c r="U4636" t="s">
        <v>53508</v>
      </c>
      <c r="W4636" t="s">
        <v>44698</v>
      </c>
      <c r="X4636" t="s">
        <v>47308</v>
      </c>
    </row>
    <row r="4637" spans="1:24">
      <c r="A4637">
        <f>HYPERLINK("https://www.philgeps.gov.ph/GEPSNONPILOT/Tender/SplashBidNoticeAbstractUI.aspx?menuIndex=3&amp;refID=7197274&amp;Result=3","7197274")</f>
        <v>0</v>
      </c>
      <c r="B4637" t="s">
        <v>1715</v>
      </c>
      <c r="C4637" t="s">
        <v>8231</v>
      </c>
      <c r="E4637" t="s">
        <v>23220</v>
      </c>
      <c r="F4637" t="s">
        <v>32606</v>
      </c>
      <c r="G4637" t="s">
        <v>32613</v>
      </c>
      <c r="H4637" t="s">
        <v>32623</v>
      </c>
      <c r="I4637" t="s">
        <v>17648</v>
      </c>
      <c r="J4637" t="s">
        <v>35842</v>
      </c>
      <c r="K4637" t="s">
        <v>42669</v>
      </c>
      <c r="M4637" t="s">
        <v>44747</v>
      </c>
      <c r="N4637" t="s">
        <v>47304</v>
      </c>
      <c r="O4637" t="s">
        <v>47305</v>
      </c>
      <c r="P4637">
        <v>0</v>
      </c>
      <c r="Q4637">
        <v>2</v>
      </c>
      <c r="R4637" t="s">
        <v>47306</v>
      </c>
      <c r="S4637" t="s">
        <v>47414</v>
      </c>
      <c r="T4637" t="s">
        <v>49009</v>
      </c>
      <c r="U4637" t="s">
        <v>53509</v>
      </c>
      <c r="W4637" t="s">
        <v>44747</v>
      </c>
      <c r="X4637" t="s">
        <v>47308</v>
      </c>
    </row>
    <row r="4638" spans="1:24">
      <c r="A4638">
        <f>HYPERLINK("https://www.philgeps.gov.ph/GEPSNONPILOT/Tender/SplashBidNoticeAbstractUI.aspx?menuIndex=3&amp;refID=7197291&amp;Result=3","7197291")</f>
        <v>0</v>
      </c>
      <c r="B4638" t="s">
        <v>1716</v>
      </c>
      <c r="C4638" t="s">
        <v>8232</v>
      </c>
      <c r="E4638" t="s">
        <v>8232</v>
      </c>
      <c r="F4638" t="s">
        <v>32606</v>
      </c>
      <c r="G4638" t="s">
        <v>32614</v>
      </c>
      <c r="H4638" t="s">
        <v>14201</v>
      </c>
      <c r="I4638" t="s">
        <v>8606</v>
      </c>
      <c r="J4638" t="s">
        <v>33529</v>
      </c>
      <c r="K4638" t="s">
        <v>42630</v>
      </c>
      <c r="M4638" t="s">
        <v>44748</v>
      </c>
      <c r="N4638" t="s">
        <v>47304</v>
      </c>
      <c r="O4638" t="s">
        <v>47305</v>
      </c>
      <c r="P4638">
        <v>0</v>
      </c>
      <c r="Q4638">
        <v>1</v>
      </c>
      <c r="R4638" t="s">
        <v>47306</v>
      </c>
      <c r="S4638" t="s">
        <v>47414</v>
      </c>
      <c r="T4638" t="s">
        <v>49004</v>
      </c>
      <c r="U4638" t="s">
        <v>52332</v>
      </c>
      <c r="W4638" t="s">
        <v>44748</v>
      </c>
      <c r="X4638" t="s">
        <v>47308</v>
      </c>
    </row>
    <row r="4639" spans="1:24">
      <c r="A4639">
        <f>HYPERLINK("https://www.philgeps.gov.ph/GEPSNONPILOT/Tender/SplashBidNoticeAbstractUI.aspx?menuIndex=3&amp;refID=7197264&amp;Result=3","7197264")</f>
        <v>0</v>
      </c>
      <c r="B4639" t="s">
        <v>1112</v>
      </c>
      <c r="C4639" t="s">
        <v>8233</v>
      </c>
      <c r="D4639" t="s">
        <v>19031</v>
      </c>
      <c r="E4639" t="s">
        <v>23221</v>
      </c>
      <c r="F4639" t="s">
        <v>32606</v>
      </c>
      <c r="G4639" t="s">
        <v>32613</v>
      </c>
      <c r="H4639" t="s">
        <v>32623</v>
      </c>
      <c r="I4639" t="s">
        <v>32675</v>
      </c>
      <c r="J4639" t="s">
        <v>35843</v>
      </c>
      <c r="K4639" t="s">
        <v>42646</v>
      </c>
      <c r="M4639" t="s">
        <v>44073</v>
      </c>
      <c r="N4639" t="s">
        <v>47304</v>
      </c>
      <c r="O4639" t="s">
        <v>47305</v>
      </c>
      <c r="P4639">
        <v>0</v>
      </c>
      <c r="Q4639">
        <v>1</v>
      </c>
      <c r="R4639" t="s">
        <v>47306</v>
      </c>
      <c r="S4639" t="s">
        <v>47414</v>
      </c>
      <c r="T4639" t="s">
        <v>49009</v>
      </c>
      <c r="U4639" t="s">
        <v>53510</v>
      </c>
      <c r="V4639" t="s">
        <v>63081</v>
      </c>
      <c r="W4639" t="s">
        <v>44073</v>
      </c>
      <c r="X4639" t="s">
        <v>47308</v>
      </c>
    </row>
    <row r="4640" spans="1:24">
      <c r="A4640">
        <f>HYPERLINK("https://www.philgeps.gov.ph/GEPSNONPILOT/Tender/SplashBidNoticeAbstractUI.aspx?menuIndex=3&amp;refID=7197288&amp;Result=3","7197288")</f>
        <v>0</v>
      </c>
      <c r="B4640" t="s">
        <v>1696</v>
      </c>
      <c r="C4640" t="s">
        <v>8234</v>
      </c>
      <c r="D4640" t="s">
        <v>18993</v>
      </c>
      <c r="E4640" t="s">
        <v>23222</v>
      </c>
      <c r="F4640" t="s">
        <v>32606</v>
      </c>
      <c r="G4640" t="s">
        <v>32613</v>
      </c>
      <c r="H4640" t="s">
        <v>14201</v>
      </c>
      <c r="I4640" t="s">
        <v>4112</v>
      </c>
      <c r="J4640" t="s">
        <v>35844</v>
      </c>
      <c r="K4640" t="s">
        <v>42623</v>
      </c>
      <c r="M4640" t="s">
        <v>44742</v>
      </c>
      <c r="N4640" t="s">
        <v>47304</v>
      </c>
      <c r="O4640" t="s">
        <v>47305</v>
      </c>
      <c r="P4640">
        <v>0</v>
      </c>
      <c r="Q4640">
        <v>0</v>
      </c>
      <c r="R4640" t="s">
        <v>47306</v>
      </c>
      <c r="S4640" t="s">
        <v>47414</v>
      </c>
      <c r="T4640" t="s">
        <v>49033</v>
      </c>
      <c r="U4640" t="s">
        <v>53480</v>
      </c>
      <c r="W4640" t="s">
        <v>44742</v>
      </c>
      <c r="X4640" t="s">
        <v>47308</v>
      </c>
    </row>
    <row r="4641" spans="1:24">
      <c r="A4641">
        <f>HYPERLINK("https://www.philgeps.gov.ph/GEPSNONPILOT/Tender/SplashBidNoticeAbstractUI.aspx?menuIndex=3&amp;refID=7197289&amp;Result=3","7197289")</f>
        <v>0</v>
      </c>
      <c r="B4641" t="s">
        <v>1696</v>
      </c>
      <c r="C4641" t="s">
        <v>8235</v>
      </c>
      <c r="D4641" t="s">
        <v>18993</v>
      </c>
      <c r="E4641" t="s">
        <v>23223</v>
      </c>
      <c r="F4641" t="s">
        <v>32606</v>
      </c>
      <c r="G4641" t="s">
        <v>32613</v>
      </c>
      <c r="H4641" t="s">
        <v>14201</v>
      </c>
      <c r="I4641" t="s">
        <v>6298</v>
      </c>
      <c r="J4641" t="s">
        <v>32795</v>
      </c>
      <c r="K4641" t="s">
        <v>42623</v>
      </c>
      <c r="M4641" t="s">
        <v>44734</v>
      </c>
      <c r="N4641" t="s">
        <v>47304</v>
      </c>
      <c r="O4641" t="s">
        <v>47305</v>
      </c>
      <c r="P4641">
        <v>0</v>
      </c>
      <c r="Q4641">
        <v>0</v>
      </c>
      <c r="R4641" t="s">
        <v>47306</v>
      </c>
      <c r="S4641" t="s">
        <v>47414</v>
      </c>
      <c r="T4641" t="s">
        <v>48995</v>
      </c>
      <c r="U4641" t="s">
        <v>53471</v>
      </c>
      <c r="W4641" t="s">
        <v>44734</v>
      </c>
      <c r="X4641" t="s">
        <v>47308</v>
      </c>
    </row>
    <row r="4642" spans="1:24">
      <c r="A4642">
        <f>HYPERLINK("https://www.philgeps.gov.ph/GEPSNONPILOT/Tender/SplashBidNoticeAbstractUI.aspx?menuIndex=3&amp;refID=7197287&amp;Result=3","7197287")</f>
        <v>0</v>
      </c>
      <c r="B4642" t="s">
        <v>1717</v>
      </c>
      <c r="C4642" t="s">
        <v>8236</v>
      </c>
      <c r="D4642" t="s">
        <v>19068</v>
      </c>
      <c r="E4642" t="s">
        <v>23224</v>
      </c>
      <c r="F4642" t="s">
        <v>32606</v>
      </c>
      <c r="G4642" t="s">
        <v>32614</v>
      </c>
      <c r="H4642" t="s">
        <v>32623</v>
      </c>
      <c r="I4642" t="s">
        <v>17648</v>
      </c>
      <c r="J4642" t="s">
        <v>32767</v>
      </c>
      <c r="K4642" t="s">
        <v>42648</v>
      </c>
      <c r="M4642" t="s">
        <v>44749</v>
      </c>
      <c r="N4642" t="s">
        <v>47304</v>
      </c>
      <c r="O4642" t="s">
        <v>47305</v>
      </c>
      <c r="Q4642">
        <v>0</v>
      </c>
      <c r="R4642" t="s">
        <v>47306</v>
      </c>
      <c r="S4642" t="s">
        <v>47426</v>
      </c>
      <c r="T4642" t="s">
        <v>48980</v>
      </c>
      <c r="U4642" t="s">
        <v>53511</v>
      </c>
      <c r="W4642" t="s">
        <v>44749</v>
      </c>
      <c r="X4642" t="s">
        <v>47308</v>
      </c>
    </row>
    <row r="4643" spans="1:24">
      <c r="A4643">
        <f>HYPERLINK("https://www.philgeps.gov.ph/GEPSNONPILOT/Tender/SplashBidNoticeAbstractUI.aspx?menuIndex=3&amp;refID=7197286&amp;Result=3","7197286")</f>
        <v>0</v>
      </c>
      <c r="B4643" t="s">
        <v>1671</v>
      </c>
      <c r="C4643" t="s">
        <v>8237</v>
      </c>
      <c r="D4643" t="s">
        <v>18993</v>
      </c>
      <c r="E4643" t="s">
        <v>8237</v>
      </c>
      <c r="F4643" t="s">
        <v>32606</v>
      </c>
      <c r="G4643" t="s">
        <v>32613</v>
      </c>
      <c r="H4643" t="s">
        <v>14201</v>
      </c>
      <c r="I4643" t="s">
        <v>4114</v>
      </c>
      <c r="J4643" t="s">
        <v>32770</v>
      </c>
      <c r="K4643" t="s">
        <v>42631</v>
      </c>
      <c r="M4643" t="s">
        <v>44698</v>
      </c>
      <c r="N4643" t="s">
        <v>47304</v>
      </c>
      <c r="O4643" t="s">
        <v>47305</v>
      </c>
      <c r="P4643">
        <v>0</v>
      </c>
      <c r="Q4643">
        <v>0</v>
      </c>
      <c r="R4643" t="s">
        <v>47306</v>
      </c>
      <c r="S4643" t="s">
        <v>47414</v>
      </c>
      <c r="T4643" t="s">
        <v>48990</v>
      </c>
      <c r="U4643" t="s">
        <v>53508</v>
      </c>
      <c r="W4643" t="s">
        <v>44698</v>
      </c>
      <c r="X4643" t="s">
        <v>47308</v>
      </c>
    </row>
    <row r="4644" spans="1:24">
      <c r="A4644">
        <f>HYPERLINK("https://www.philgeps.gov.ph/GEPSNONPILOT/Tender/SplashBidNoticeAbstractUI.aspx?menuIndex=3&amp;refID=7197284&amp;Result=3","7197284")</f>
        <v>0</v>
      </c>
      <c r="B4644" t="s">
        <v>1718</v>
      </c>
      <c r="C4644" t="s">
        <v>8238</v>
      </c>
      <c r="D4644" t="s">
        <v>18994</v>
      </c>
      <c r="E4644" t="s">
        <v>23225</v>
      </c>
      <c r="F4644" t="s">
        <v>32606</v>
      </c>
      <c r="G4644" t="s">
        <v>32613</v>
      </c>
      <c r="H4644" t="s">
        <v>14201</v>
      </c>
      <c r="I4644" t="s">
        <v>4678</v>
      </c>
      <c r="J4644" t="s">
        <v>32772</v>
      </c>
      <c r="K4644" t="s">
        <v>42694</v>
      </c>
      <c r="M4644" t="s">
        <v>44750</v>
      </c>
      <c r="N4644" t="s">
        <v>47304</v>
      </c>
      <c r="O4644" t="s">
        <v>47305</v>
      </c>
      <c r="P4644">
        <v>0</v>
      </c>
      <c r="Q4644">
        <v>3</v>
      </c>
      <c r="R4644" t="s">
        <v>47306</v>
      </c>
      <c r="S4644" t="s">
        <v>47414</v>
      </c>
      <c r="T4644" t="s">
        <v>48991</v>
      </c>
      <c r="U4644" t="s">
        <v>53512</v>
      </c>
      <c r="W4644" t="s">
        <v>44750</v>
      </c>
      <c r="X4644" t="s">
        <v>47308</v>
      </c>
    </row>
    <row r="4645" spans="1:24">
      <c r="A4645">
        <f>HYPERLINK("https://www.philgeps.gov.ph/GEPSNONPILOT/Tender/SplashBidNoticeAbstractUI.aspx?menuIndex=3&amp;refID=7197282&amp;Result=3","7197282")</f>
        <v>0</v>
      </c>
      <c r="B4645" t="s">
        <v>1644</v>
      </c>
      <c r="C4645" t="s">
        <v>8239</v>
      </c>
      <c r="D4645" t="s">
        <v>19022</v>
      </c>
      <c r="E4645" t="s">
        <v>23226</v>
      </c>
      <c r="F4645" t="s">
        <v>32606</v>
      </c>
      <c r="G4645" t="s">
        <v>32614</v>
      </c>
      <c r="H4645" t="s">
        <v>14201</v>
      </c>
      <c r="I4645" t="s">
        <v>4678</v>
      </c>
      <c r="J4645" t="s">
        <v>32913</v>
      </c>
      <c r="K4645" t="s">
        <v>42630</v>
      </c>
      <c r="M4645" t="s">
        <v>44665</v>
      </c>
      <c r="N4645" t="s">
        <v>47304</v>
      </c>
      <c r="O4645" t="s">
        <v>47305</v>
      </c>
      <c r="P4645">
        <v>0</v>
      </c>
      <c r="Q4645">
        <v>1</v>
      </c>
      <c r="R4645" t="s">
        <v>47306</v>
      </c>
      <c r="S4645" t="s">
        <v>47414</v>
      </c>
      <c r="T4645" t="s">
        <v>49004</v>
      </c>
      <c r="U4645" t="s">
        <v>53499</v>
      </c>
      <c r="W4645" t="s">
        <v>64478</v>
      </c>
      <c r="X4645" t="s">
        <v>47308</v>
      </c>
    </row>
    <row r="4646" spans="1:24">
      <c r="A4646">
        <f>HYPERLINK("https://www.philgeps.gov.ph/GEPSNONPILOT/Tender/SplashBidNoticeAbstractUI.aspx?menuIndex=3&amp;refID=7197292&amp;Result=3","7197292")</f>
        <v>0</v>
      </c>
      <c r="B4646" t="s">
        <v>397</v>
      </c>
      <c r="C4646" t="s">
        <v>8240</v>
      </c>
      <c r="D4646" t="s">
        <v>18992</v>
      </c>
      <c r="E4646" t="s">
        <v>23227</v>
      </c>
      <c r="F4646" t="s">
        <v>32606</v>
      </c>
      <c r="G4646" t="s">
        <v>32613</v>
      </c>
      <c r="H4646" t="s">
        <v>14201</v>
      </c>
      <c r="I4646" t="s">
        <v>6931</v>
      </c>
      <c r="J4646" t="s">
        <v>35845</v>
      </c>
      <c r="K4646" t="s">
        <v>42631</v>
      </c>
      <c r="M4646" t="s">
        <v>43300</v>
      </c>
      <c r="N4646" t="s">
        <v>47304</v>
      </c>
      <c r="O4646" t="s">
        <v>47305</v>
      </c>
      <c r="P4646">
        <v>0</v>
      </c>
      <c r="Q4646">
        <v>0</v>
      </c>
      <c r="R4646" t="s">
        <v>47306</v>
      </c>
      <c r="S4646" t="s">
        <v>47414</v>
      </c>
      <c r="T4646" t="s">
        <v>48986</v>
      </c>
      <c r="U4646" t="s">
        <v>53513</v>
      </c>
      <c r="W4646" t="s">
        <v>43300</v>
      </c>
      <c r="X4646" t="s">
        <v>47308</v>
      </c>
    </row>
    <row r="4647" spans="1:24">
      <c r="A4647">
        <f>HYPERLINK("https://www.philgeps.gov.ph/GEPSNONPILOT/Tender/SplashBidNoticeAbstractUI.aspx?menuIndex=3&amp;refID=7197281&amp;Result=3","7197281")</f>
        <v>0</v>
      </c>
      <c r="B4647" t="s">
        <v>1710</v>
      </c>
      <c r="C4647" t="s">
        <v>8241</v>
      </c>
      <c r="D4647" t="s">
        <v>18993</v>
      </c>
      <c r="E4647" t="s">
        <v>23228</v>
      </c>
      <c r="F4647" t="s">
        <v>32606</v>
      </c>
      <c r="G4647" t="s">
        <v>32613</v>
      </c>
      <c r="H4647" t="s">
        <v>32623</v>
      </c>
      <c r="I4647" t="s">
        <v>17648</v>
      </c>
      <c r="J4647" t="s">
        <v>35846</v>
      </c>
      <c r="K4647" t="s">
        <v>42648</v>
      </c>
      <c r="M4647" t="s">
        <v>44741</v>
      </c>
      <c r="N4647" t="s">
        <v>47304</v>
      </c>
      <c r="O4647" t="s">
        <v>47305</v>
      </c>
      <c r="P4647">
        <v>0</v>
      </c>
      <c r="Q4647">
        <v>12</v>
      </c>
      <c r="R4647" t="s">
        <v>47306</v>
      </c>
      <c r="S4647" t="s">
        <v>47414</v>
      </c>
      <c r="T4647" t="s">
        <v>49016</v>
      </c>
      <c r="U4647" t="s">
        <v>53514</v>
      </c>
      <c r="W4647" t="s">
        <v>44741</v>
      </c>
      <c r="X4647" t="s">
        <v>47308</v>
      </c>
    </row>
    <row r="4648" spans="1:24">
      <c r="A4648">
        <f>HYPERLINK("https://www.philgeps.gov.ph/GEPSNONPILOT/Tender/SplashBidNoticeAbstractUI.aspx?menuIndex=3&amp;refID=7197140&amp;Result=3","7197140")</f>
        <v>0</v>
      </c>
      <c r="B4648" t="s">
        <v>280</v>
      </c>
      <c r="C4648" t="s">
        <v>6298</v>
      </c>
      <c r="D4648" t="s">
        <v>19028</v>
      </c>
      <c r="E4648" t="s">
        <v>23229</v>
      </c>
      <c r="F4648" t="s">
        <v>32606</v>
      </c>
      <c r="G4648" t="s">
        <v>32614</v>
      </c>
      <c r="H4648" t="s">
        <v>14201</v>
      </c>
      <c r="I4648" t="s">
        <v>6298</v>
      </c>
      <c r="J4648" t="s">
        <v>35847</v>
      </c>
      <c r="K4648" t="s">
        <v>42639</v>
      </c>
      <c r="M4648" t="s">
        <v>43712</v>
      </c>
      <c r="N4648" t="s">
        <v>47304</v>
      </c>
      <c r="O4648" t="s">
        <v>47305</v>
      </c>
      <c r="P4648">
        <v>0</v>
      </c>
      <c r="Q4648">
        <v>0</v>
      </c>
      <c r="R4648" t="s">
        <v>47306</v>
      </c>
      <c r="S4648" t="s">
        <v>47414</v>
      </c>
      <c r="T4648" t="s">
        <v>49010</v>
      </c>
      <c r="U4648" t="s">
        <v>53515</v>
      </c>
      <c r="W4648" t="s">
        <v>43712</v>
      </c>
      <c r="X4648" t="s">
        <v>47308</v>
      </c>
    </row>
    <row r="4649" spans="1:24">
      <c r="A4649">
        <f>HYPERLINK("https://www.philgeps.gov.ph/GEPSNONPILOT/Tender/SplashBidNoticeAbstractUI.aspx?menuIndex=3&amp;refID=7197290&amp;Result=3","7197290")</f>
        <v>0</v>
      </c>
      <c r="B4649" t="s">
        <v>1713</v>
      </c>
      <c r="C4649" t="s">
        <v>8242</v>
      </c>
      <c r="D4649" t="s">
        <v>19039</v>
      </c>
      <c r="E4649" t="s">
        <v>23230</v>
      </c>
      <c r="F4649" t="s">
        <v>32606</v>
      </c>
      <c r="G4649" t="s">
        <v>32614</v>
      </c>
      <c r="H4649" t="s">
        <v>14201</v>
      </c>
      <c r="I4649" t="s">
        <v>4678</v>
      </c>
      <c r="J4649" t="s">
        <v>35848</v>
      </c>
      <c r="K4649" t="s">
        <v>42624</v>
      </c>
      <c r="M4649" t="s">
        <v>44745</v>
      </c>
      <c r="N4649" t="s">
        <v>47304</v>
      </c>
      <c r="O4649" t="s">
        <v>47305</v>
      </c>
      <c r="P4649">
        <v>0</v>
      </c>
      <c r="Q4649">
        <v>2</v>
      </c>
      <c r="R4649" t="s">
        <v>47306</v>
      </c>
      <c r="S4649" t="s">
        <v>47414</v>
      </c>
      <c r="T4649" t="s">
        <v>49292</v>
      </c>
      <c r="U4649" t="s">
        <v>53516</v>
      </c>
      <c r="W4649" t="s">
        <v>44745</v>
      </c>
      <c r="X4649" t="s">
        <v>47308</v>
      </c>
    </row>
    <row r="4650" spans="1:24">
      <c r="A4650">
        <f>HYPERLINK("https://www.philgeps.gov.ph/GEPSNONPILOT/Tender/SplashBidNoticeAbstractUI.aspx?menuIndex=3&amp;refID=7197299&amp;Result=3","7197299")</f>
        <v>0</v>
      </c>
      <c r="B4650" t="s">
        <v>1671</v>
      </c>
      <c r="C4650" t="s">
        <v>8243</v>
      </c>
      <c r="D4650" t="s">
        <v>18993</v>
      </c>
      <c r="E4650" t="s">
        <v>8243</v>
      </c>
      <c r="F4650" t="s">
        <v>32606</v>
      </c>
      <c r="G4650" t="s">
        <v>32613</v>
      </c>
      <c r="H4650" t="s">
        <v>14201</v>
      </c>
      <c r="I4650" t="s">
        <v>4112</v>
      </c>
      <c r="J4650" t="s">
        <v>35849</v>
      </c>
      <c r="K4650" t="s">
        <v>42631</v>
      </c>
      <c r="M4650" t="s">
        <v>44698</v>
      </c>
      <c r="N4650" t="s">
        <v>47304</v>
      </c>
      <c r="O4650" t="s">
        <v>47305</v>
      </c>
      <c r="P4650">
        <v>0</v>
      </c>
      <c r="Q4650">
        <v>0</v>
      </c>
      <c r="R4650" t="s">
        <v>47306</v>
      </c>
      <c r="S4650" t="s">
        <v>47414</v>
      </c>
      <c r="T4650" t="s">
        <v>48990</v>
      </c>
      <c r="U4650" t="s">
        <v>53517</v>
      </c>
      <c r="W4650" t="s">
        <v>44698</v>
      </c>
      <c r="X4650" t="s">
        <v>47308</v>
      </c>
    </row>
    <row r="4651" spans="1:24">
      <c r="A4651">
        <f>HYPERLINK("https://www.philgeps.gov.ph/GEPSNONPILOT/Tender/SplashBidNoticeAbstractUI.aspx?menuIndex=3&amp;refID=7197313&amp;Result=3","7197313")</f>
        <v>0</v>
      </c>
      <c r="B4651" t="s">
        <v>1709</v>
      </c>
      <c r="C4651" t="s">
        <v>8244</v>
      </c>
      <c r="D4651" t="s">
        <v>19032</v>
      </c>
      <c r="E4651" t="s">
        <v>23231</v>
      </c>
      <c r="F4651" t="s">
        <v>32606</v>
      </c>
      <c r="G4651" t="s">
        <v>32614</v>
      </c>
      <c r="H4651" t="s">
        <v>14201</v>
      </c>
      <c r="I4651" t="s">
        <v>4678</v>
      </c>
      <c r="J4651" t="s">
        <v>32813</v>
      </c>
      <c r="K4651" t="s">
        <v>42630</v>
      </c>
      <c r="M4651" t="s">
        <v>44740</v>
      </c>
      <c r="N4651" t="s">
        <v>47304</v>
      </c>
      <c r="O4651" t="s">
        <v>47305</v>
      </c>
      <c r="P4651">
        <v>0</v>
      </c>
      <c r="Q4651">
        <v>0</v>
      </c>
      <c r="R4651" t="s">
        <v>47306</v>
      </c>
      <c r="S4651" t="s">
        <v>47414</v>
      </c>
      <c r="T4651" t="s">
        <v>49107</v>
      </c>
      <c r="U4651" t="s">
        <v>53518</v>
      </c>
      <c r="V4651" t="s">
        <v>63082</v>
      </c>
      <c r="W4651" t="s">
        <v>44740</v>
      </c>
      <c r="X4651" t="s">
        <v>47308</v>
      </c>
    </row>
    <row r="4652" spans="1:24">
      <c r="A4652">
        <f>HYPERLINK("https://www.philgeps.gov.ph/GEPSNONPILOT/Tender/SplashBidNoticeAbstractUI.aspx?menuIndex=3&amp;refID=7197318&amp;Result=3","7197318")</f>
        <v>0</v>
      </c>
      <c r="B4652" t="s">
        <v>1671</v>
      </c>
      <c r="C4652" t="s">
        <v>8245</v>
      </c>
      <c r="D4652" t="s">
        <v>18993</v>
      </c>
      <c r="E4652" t="s">
        <v>23232</v>
      </c>
      <c r="F4652" t="s">
        <v>32606</v>
      </c>
      <c r="G4652" t="s">
        <v>32613</v>
      </c>
      <c r="H4652" t="s">
        <v>14201</v>
      </c>
      <c r="I4652" t="s">
        <v>32638</v>
      </c>
      <c r="J4652" t="s">
        <v>35850</v>
      </c>
      <c r="K4652" t="s">
        <v>42631</v>
      </c>
      <c r="M4652" t="s">
        <v>44698</v>
      </c>
      <c r="N4652" t="s">
        <v>47304</v>
      </c>
      <c r="O4652" t="s">
        <v>47305</v>
      </c>
      <c r="P4652">
        <v>0</v>
      </c>
      <c r="Q4652">
        <v>3</v>
      </c>
      <c r="R4652" t="s">
        <v>47306</v>
      </c>
      <c r="S4652" t="s">
        <v>47414</v>
      </c>
      <c r="T4652" t="s">
        <v>48990</v>
      </c>
      <c r="U4652" t="s">
        <v>53519</v>
      </c>
      <c r="W4652" t="s">
        <v>44698</v>
      </c>
      <c r="X4652" t="s">
        <v>47308</v>
      </c>
    </row>
    <row r="4653" spans="1:24">
      <c r="A4653">
        <f>HYPERLINK("https://www.philgeps.gov.ph/GEPSNONPILOT/Tender/SplashBidNoticeAbstractUI.aspx?menuIndex=3&amp;refID=7197317&amp;Result=3","7197317")</f>
        <v>0</v>
      </c>
      <c r="B4653" t="s">
        <v>1711</v>
      </c>
      <c r="C4653" t="s">
        <v>8246</v>
      </c>
      <c r="D4653" t="s">
        <v>18993</v>
      </c>
      <c r="E4653" t="s">
        <v>23233</v>
      </c>
      <c r="F4653" t="s">
        <v>32606</v>
      </c>
      <c r="G4653" t="s">
        <v>32613</v>
      </c>
      <c r="H4653" t="s">
        <v>14201</v>
      </c>
      <c r="I4653" t="s">
        <v>32655</v>
      </c>
      <c r="J4653" t="s">
        <v>32832</v>
      </c>
      <c r="K4653" t="s">
        <v>42624</v>
      </c>
      <c r="M4653" t="s">
        <v>44743</v>
      </c>
      <c r="N4653" t="s">
        <v>47304</v>
      </c>
      <c r="O4653" t="s">
        <v>47305</v>
      </c>
      <c r="P4653">
        <v>0</v>
      </c>
      <c r="Q4653">
        <v>10</v>
      </c>
      <c r="R4653" t="s">
        <v>47306</v>
      </c>
      <c r="S4653" t="s">
        <v>47414</v>
      </c>
      <c r="T4653" t="s">
        <v>49025</v>
      </c>
      <c r="U4653" t="s">
        <v>53520</v>
      </c>
      <c r="W4653" t="s">
        <v>44743</v>
      </c>
      <c r="X4653" t="s">
        <v>47308</v>
      </c>
    </row>
    <row r="4654" spans="1:24">
      <c r="A4654">
        <f>HYPERLINK("https://www.philgeps.gov.ph/GEPSNONPILOT/Tender/SplashBidNoticeAbstractUI.aspx?menuIndex=3&amp;refID=7197285&amp;Result=3","7197285")</f>
        <v>0</v>
      </c>
      <c r="B4654" t="s">
        <v>101</v>
      </c>
      <c r="C4654" t="s">
        <v>8247</v>
      </c>
      <c r="D4654" t="s">
        <v>18993</v>
      </c>
      <c r="E4654" t="s">
        <v>23234</v>
      </c>
      <c r="F4654" t="s">
        <v>32606</v>
      </c>
      <c r="G4654" t="s">
        <v>32614</v>
      </c>
      <c r="H4654" t="s">
        <v>14201</v>
      </c>
      <c r="I4654" t="s">
        <v>32711</v>
      </c>
      <c r="J4654" t="s">
        <v>35851</v>
      </c>
      <c r="K4654" t="s">
        <v>42631</v>
      </c>
      <c r="M4654" t="s">
        <v>44737</v>
      </c>
      <c r="N4654" t="s">
        <v>47304</v>
      </c>
      <c r="O4654" t="s">
        <v>47305</v>
      </c>
      <c r="P4654">
        <v>0</v>
      </c>
      <c r="Q4654">
        <v>4</v>
      </c>
      <c r="R4654" t="s">
        <v>47306</v>
      </c>
      <c r="S4654" t="s">
        <v>47414</v>
      </c>
      <c r="T4654" t="s">
        <v>48980</v>
      </c>
      <c r="U4654" t="s">
        <v>53521</v>
      </c>
      <c r="W4654" t="s">
        <v>44737</v>
      </c>
      <c r="X4654" t="s">
        <v>47308</v>
      </c>
    </row>
    <row r="4655" spans="1:24">
      <c r="A4655">
        <f>HYPERLINK("https://www.philgeps.gov.ph/GEPSNONPILOT/Tender/SplashBidNoticeAbstractUI.aspx?menuIndex=3&amp;refID=7197283&amp;Result=3","7197283")</f>
        <v>0</v>
      </c>
      <c r="B4655" t="s">
        <v>1696</v>
      </c>
      <c r="C4655" t="s">
        <v>8248</v>
      </c>
      <c r="D4655" t="s">
        <v>18993</v>
      </c>
      <c r="E4655" t="s">
        <v>23235</v>
      </c>
      <c r="F4655" t="s">
        <v>32606</v>
      </c>
      <c r="G4655" t="s">
        <v>32613</v>
      </c>
      <c r="H4655" t="s">
        <v>14201</v>
      </c>
      <c r="I4655" t="s">
        <v>6298</v>
      </c>
      <c r="J4655" t="s">
        <v>35852</v>
      </c>
      <c r="K4655" t="s">
        <v>42623</v>
      </c>
      <c r="M4655" t="s">
        <v>44734</v>
      </c>
      <c r="N4655" t="s">
        <v>47304</v>
      </c>
      <c r="O4655" t="s">
        <v>47305</v>
      </c>
      <c r="P4655">
        <v>0</v>
      </c>
      <c r="Q4655">
        <v>0</v>
      </c>
      <c r="R4655" t="s">
        <v>47306</v>
      </c>
      <c r="S4655" t="s">
        <v>47414</v>
      </c>
      <c r="T4655" t="s">
        <v>48995</v>
      </c>
      <c r="U4655" t="s">
        <v>53471</v>
      </c>
      <c r="W4655" t="s">
        <v>44734</v>
      </c>
      <c r="X4655" t="s">
        <v>47308</v>
      </c>
    </row>
    <row r="4656" spans="1:24">
      <c r="A4656">
        <f>HYPERLINK("https://www.philgeps.gov.ph/GEPSNONPILOT/Tender/SplashBidNoticeAbstractUI.aspx?menuIndex=3&amp;refID=7197314&amp;Result=3","7197314")</f>
        <v>0</v>
      </c>
      <c r="B4656" t="s">
        <v>1718</v>
      </c>
      <c r="C4656" t="s">
        <v>8249</v>
      </c>
      <c r="D4656" t="s">
        <v>18994</v>
      </c>
      <c r="E4656" t="s">
        <v>23236</v>
      </c>
      <c r="F4656" t="s">
        <v>32606</v>
      </c>
      <c r="G4656" t="s">
        <v>32613</v>
      </c>
      <c r="H4656" t="s">
        <v>14201</v>
      </c>
      <c r="I4656" t="s">
        <v>32635</v>
      </c>
      <c r="J4656" t="s">
        <v>35853</v>
      </c>
      <c r="K4656" t="s">
        <v>42694</v>
      </c>
      <c r="M4656" t="s">
        <v>44750</v>
      </c>
      <c r="N4656" t="s">
        <v>47304</v>
      </c>
      <c r="O4656" t="s">
        <v>47305</v>
      </c>
      <c r="P4656">
        <v>0</v>
      </c>
      <c r="Q4656">
        <v>4</v>
      </c>
      <c r="R4656" t="s">
        <v>47306</v>
      </c>
      <c r="S4656" t="s">
        <v>47414</v>
      </c>
      <c r="T4656" t="s">
        <v>48991</v>
      </c>
      <c r="U4656" t="s">
        <v>53522</v>
      </c>
      <c r="W4656" t="s">
        <v>44750</v>
      </c>
      <c r="X4656" t="s">
        <v>47308</v>
      </c>
    </row>
    <row r="4657" spans="1:24">
      <c r="A4657">
        <f>HYPERLINK("https://www.philgeps.gov.ph/GEPSNONPILOT/Tender/SplashBidNoticeAbstractUI.aspx?menuIndex=3&amp;refID=7197265&amp;Result=3","7197265")</f>
        <v>0</v>
      </c>
      <c r="B4657" t="s">
        <v>1718</v>
      </c>
      <c r="C4657" t="s">
        <v>8250</v>
      </c>
      <c r="D4657" t="s">
        <v>18994</v>
      </c>
      <c r="E4657" t="s">
        <v>23237</v>
      </c>
      <c r="F4657" t="s">
        <v>32606</v>
      </c>
      <c r="G4657" t="s">
        <v>32613</v>
      </c>
      <c r="H4657" t="s">
        <v>14201</v>
      </c>
      <c r="I4657" t="s">
        <v>32632</v>
      </c>
      <c r="J4657" t="s">
        <v>35854</v>
      </c>
      <c r="K4657" t="s">
        <v>42694</v>
      </c>
      <c r="M4657" t="s">
        <v>44750</v>
      </c>
      <c r="N4657" t="s">
        <v>47304</v>
      </c>
      <c r="O4657" t="s">
        <v>47305</v>
      </c>
      <c r="P4657">
        <v>0</v>
      </c>
      <c r="Q4657">
        <v>3</v>
      </c>
      <c r="R4657" t="s">
        <v>47306</v>
      </c>
      <c r="S4657" t="s">
        <v>47414</v>
      </c>
      <c r="T4657" t="s">
        <v>48991</v>
      </c>
      <c r="U4657" t="s">
        <v>53523</v>
      </c>
      <c r="W4657" t="s">
        <v>44750</v>
      </c>
      <c r="X4657" t="s">
        <v>47308</v>
      </c>
    </row>
    <row r="4658" spans="1:24">
      <c r="A4658">
        <f>HYPERLINK("https://www.philgeps.gov.ph/GEPSNONPILOT/Tender/SplashBidNoticeAbstractUI.aspx?menuIndex=3&amp;refID=7197311&amp;Result=3","7197311")</f>
        <v>0</v>
      </c>
      <c r="B4658" t="s">
        <v>1714</v>
      </c>
      <c r="C4658" t="s">
        <v>8251</v>
      </c>
      <c r="D4658" t="s">
        <v>18995</v>
      </c>
      <c r="E4658" t="s">
        <v>23238</v>
      </c>
      <c r="F4658" t="s">
        <v>32606</v>
      </c>
      <c r="G4658" t="s">
        <v>32614</v>
      </c>
      <c r="H4658" t="s">
        <v>14201</v>
      </c>
      <c r="I4658" t="s">
        <v>32662</v>
      </c>
      <c r="J4658" t="s">
        <v>32951</v>
      </c>
      <c r="K4658" t="s">
        <v>42625</v>
      </c>
      <c r="M4658" t="s">
        <v>44746</v>
      </c>
      <c r="N4658" t="s">
        <v>47304</v>
      </c>
      <c r="O4658" t="s">
        <v>47305</v>
      </c>
      <c r="P4658">
        <v>0</v>
      </c>
      <c r="Q4658">
        <v>1</v>
      </c>
      <c r="R4658" t="s">
        <v>47306</v>
      </c>
      <c r="S4658" t="s">
        <v>47414</v>
      </c>
      <c r="T4658" t="s">
        <v>48997</v>
      </c>
      <c r="U4658" t="s">
        <v>53507</v>
      </c>
      <c r="W4658" t="s">
        <v>44746</v>
      </c>
      <c r="X4658" t="s">
        <v>47308</v>
      </c>
    </row>
    <row r="4659" spans="1:24">
      <c r="A4659">
        <f>HYPERLINK("https://www.philgeps.gov.ph/GEPSNONPILOT/Tender/SplashBidNoticeAbstractUI.aspx?menuIndex=3&amp;refID=7197310&amp;Result=3","7197310")</f>
        <v>0</v>
      </c>
      <c r="B4659" t="s">
        <v>1719</v>
      </c>
      <c r="C4659" t="s">
        <v>8252</v>
      </c>
      <c r="D4659" t="s">
        <v>18993</v>
      </c>
      <c r="E4659" t="s">
        <v>23239</v>
      </c>
      <c r="F4659" t="s">
        <v>32606</v>
      </c>
      <c r="G4659" t="s">
        <v>32613</v>
      </c>
      <c r="H4659" t="s">
        <v>14201</v>
      </c>
      <c r="I4659" t="s">
        <v>7677</v>
      </c>
      <c r="J4659" t="s">
        <v>32981</v>
      </c>
      <c r="K4659" t="s">
        <v>42630</v>
      </c>
      <c r="M4659" t="s">
        <v>44751</v>
      </c>
      <c r="N4659" t="s">
        <v>47304</v>
      </c>
      <c r="O4659" t="s">
        <v>47305</v>
      </c>
      <c r="P4659">
        <v>0</v>
      </c>
      <c r="Q4659">
        <v>1</v>
      </c>
      <c r="R4659" t="s">
        <v>47306</v>
      </c>
      <c r="S4659" t="s">
        <v>47414</v>
      </c>
      <c r="T4659" t="s">
        <v>49002</v>
      </c>
      <c r="U4659" t="s">
        <v>53524</v>
      </c>
      <c r="W4659" t="s">
        <v>44751</v>
      </c>
      <c r="X4659" t="s">
        <v>47308</v>
      </c>
    </row>
    <row r="4660" spans="1:24">
      <c r="A4660">
        <f>HYPERLINK("https://www.philgeps.gov.ph/GEPSNONPILOT/Tender/SplashBidNoticeAbstractUI.aspx?menuIndex=3&amp;refID=7197309&amp;Result=3","7197309")</f>
        <v>0</v>
      </c>
      <c r="B4660" t="s">
        <v>1671</v>
      </c>
      <c r="C4660" t="s">
        <v>8253</v>
      </c>
      <c r="D4660" t="s">
        <v>18993</v>
      </c>
      <c r="E4660" t="s">
        <v>23240</v>
      </c>
      <c r="F4660" t="s">
        <v>32606</v>
      </c>
      <c r="G4660" t="s">
        <v>32613</v>
      </c>
      <c r="H4660" t="s">
        <v>14201</v>
      </c>
      <c r="I4660" t="s">
        <v>32638</v>
      </c>
      <c r="J4660" t="s">
        <v>32920</v>
      </c>
      <c r="K4660" t="s">
        <v>42631</v>
      </c>
      <c r="M4660" t="s">
        <v>44698</v>
      </c>
      <c r="N4660" t="s">
        <v>47304</v>
      </c>
      <c r="O4660" t="s">
        <v>47305</v>
      </c>
      <c r="P4660">
        <v>0</v>
      </c>
      <c r="Q4660">
        <v>6</v>
      </c>
      <c r="R4660" t="s">
        <v>47306</v>
      </c>
      <c r="S4660" t="s">
        <v>47414</v>
      </c>
      <c r="T4660" t="s">
        <v>48990</v>
      </c>
      <c r="U4660" t="s">
        <v>53519</v>
      </c>
      <c r="W4660" t="s">
        <v>44698</v>
      </c>
      <c r="X4660" t="s">
        <v>47308</v>
      </c>
    </row>
    <row r="4661" spans="1:24">
      <c r="A4661">
        <f>HYPERLINK("https://www.philgeps.gov.ph/GEPSNONPILOT/Tender/SplashBidNoticeAbstractUI.aspx?menuIndex=3&amp;refID=7197295&amp;Result=3","7197295")</f>
        <v>0</v>
      </c>
      <c r="B4661" t="s">
        <v>1696</v>
      </c>
      <c r="C4661" t="s">
        <v>8254</v>
      </c>
      <c r="D4661" t="s">
        <v>18993</v>
      </c>
      <c r="E4661" t="s">
        <v>23241</v>
      </c>
      <c r="F4661" t="s">
        <v>32606</v>
      </c>
      <c r="G4661" t="s">
        <v>32613</v>
      </c>
      <c r="H4661" t="s">
        <v>14201</v>
      </c>
      <c r="I4661" t="s">
        <v>4369</v>
      </c>
      <c r="J4661" t="s">
        <v>35855</v>
      </c>
      <c r="K4661" t="s">
        <v>42623</v>
      </c>
      <c r="M4661" t="s">
        <v>44734</v>
      </c>
      <c r="N4661" t="s">
        <v>47304</v>
      </c>
      <c r="O4661" t="s">
        <v>47305</v>
      </c>
      <c r="P4661">
        <v>0</v>
      </c>
      <c r="Q4661">
        <v>4</v>
      </c>
      <c r="R4661" t="s">
        <v>47306</v>
      </c>
      <c r="S4661" t="s">
        <v>47414</v>
      </c>
      <c r="T4661" t="s">
        <v>48995</v>
      </c>
      <c r="U4661" t="s">
        <v>53525</v>
      </c>
      <c r="W4661" t="s">
        <v>44734</v>
      </c>
      <c r="X4661" t="s">
        <v>47308</v>
      </c>
    </row>
    <row r="4662" spans="1:24">
      <c r="A4662">
        <f>HYPERLINK("https://www.philgeps.gov.ph/GEPSNONPILOT/Tender/SplashBidNoticeAbstractUI.aspx?menuIndex=3&amp;refID=7197315&amp;Result=3","7197315")</f>
        <v>0</v>
      </c>
      <c r="B4662" t="s">
        <v>1696</v>
      </c>
      <c r="C4662" t="s">
        <v>8255</v>
      </c>
      <c r="D4662" t="s">
        <v>18993</v>
      </c>
      <c r="E4662" t="s">
        <v>23242</v>
      </c>
      <c r="F4662" t="s">
        <v>32606</v>
      </c>
      <c r="G4662" t="s">
        <v>32613</v>
      </c>
      <c r="H4662" t="s">
        <v>14201</v>
      </c>
      <c r="I4662" t="s">
        <v>6298</v>
      </c>
      <c r="J4662" t="s">
        <v>32772</v>
      </c>
      <c r="K4662" t="s">
        <v>42623</v>
      </c>
      <c r="M4662" t="s">
        <v>44742</v>
      </c>
      <c r="N4662" t="s">
        <v>47304</v>
      </c>
      <c r="O4662" t="s">
        <v>47305</v>
      </c>
      <c r="P4662">
        <v>0</v>
      </c>
      <c r="Q4662">
        <v>0</v>
      </c>
      <c r="R4662" t="s">
        <v>47306</v>
      </c>
      <c r="S4662" t="s">
        <v>47414</v>
      </c>
      <c r="T4662" t="s">
        <v>49033</v>
      </c>
      <c r="U4662" t="s">
        <v>53471</v>
      </c>
      <c r="W4662" t="s">
        <v>44742</v>
      </c>
      <c r="X4662" t="s">
        <v>47308</v>
      </c>
    </row>
    <row r="4663" spans="1:24">
      <c r="A4663">
        <f>HYPERLINK("https://www.philgeps.gov.ph/GEPSNONPILOT/Tender/SplashBidNoticeAbstractUI.aspx?menuIndex=3&amp;refID=7197312&amp;Result=3","7197312")</f>
        <v>0</v>
      </c>
      <c r="B4663" t="s">
        <v>1241</v>
      </c>
      <c r="C4663" t="s">
        <v>8256</v>
      </c>
      <c r="D4663" t="s">
        <v>18993</v>
      </c>
      <c r="E4663" t="s">
        <v>23243</v>
      </c>
      <c r="F4663" t="s">
        <v>32606</v>
      </c>
      <c r="G4663" t="s">
        <v>32614</v>
      </c>
      <c r="H4663" t="s">
        <v>14201</v>
      </c>
      <c r="I4663" t="s">
        <v>32658</v>
      </c>
      <c r="J4663" t="s">
        <v>33302</v>
      </c>
      <c r="K4663" t="s">
        <v>42624</v>
      </c>
      <c r="M4663" t="s">
        <v>44207</v>
      </c>
      <c r="N4663" t="s">
        <v>47304</v>
      </c>
      <c r="O4663" t="s">
        <v>47305</v>
      </c>
      <c r="P4663">
        <v>0</v>
      </c>
      <c r="Q4663">
        <v>2</v>
      </c>
      <c r="R4663" t="s">
        <v>47306</v>
      </c>
      <c r="S4663" t="s">
        <v>47414</v>
      </c>
      <c r="T4663" t="s">
        <v>49135</v>
      </c>
      <c r="U4663" t="s">
        <v>53526</v>
      </c>
      <c r="W4663" t="s">
        <v>44207</v>
      </c>
      <c r="X4663" t="s">
        <v>47308</v>
      </c>
    </row>
    <row r="4664" spans="1:24">
      <c r="A4664">
        <f>HYPERLINK("https://www.philgeps.gov.ph/GEPSNONPILOT/Tender/SplashBidNoticeAbstractUI.aspx?menuIndex=3&amp;refID=7197305&amp;Result=3","7197305")</f>
        <v>0</v>
      </c>
      <c r="B4664" t="s">
        <v>1696</v>
      </c>
      <c r="C4664" t="s">
        <v>8257</v>
      </c>
      <c r="D4664" t="s">
        <v>18993</v>
      </c>
      <c r="E4664" t="s">
        <v>23244</v>
      </c>
      <c r="F4664" t="s">
        <v>32606</v>
      </c>
      <c r="G4664" t="s">
        <v>32613</v>
      </c>
      <c r="H4664" t="s">
        <v>14201</v>
      </c>
      <c r="I4664" t="s">
        <v>6298</v>
      </c>
      <c r="J4664" t="s">
        <v>35856</v>
      </c>
      <c r="K4664" t="s">
        <v>42623</v>
      </c>
      <c r="M4664" t="s">
        <v>44742</v>
      </c>
      <c r="N4664" t="s">
        <v>47304</v>
      </c>
      <c r="O4664" t="s">
        <v>47305</v>
      </c>
      <c r="P4664">
        <v>0</v>
      </c>
      <c r="Q4664">
        <v>0</v>
      </c>
      <c r="R4664" t="s">
        <v>47306</v>
      </c>
      <c r="S4664" t="s">
        <v>47414</v>
      </c>
      <c r="T4664" t="s">
        <v>49033</v>
      </c>
      <c r="U4664" t="s">
        <v>53527</v>
      </c>
      <c r="W4664" t="s">
        <v>44742</v>
      </c>
      <c r="X4664" t="s">
        <v>47308</v>
      </c>
    </row>
    <row r="4665" spans="1:24">
      <c r="A4665">
        <f>HYPERLINK("https://www.philgeps.gov.ph/GEPSNONPILOT/Tender/SplashBidNoticeAbstractUI.aspx?menuIndex=3&amp;refID=7197302&amp;Result=3","7197302")</f>
        <v>0</v>
      </c>
      <c r="B4665" t="s">
        <v>1695</v>
      </c>
      <c r="C4665" t="s">
        <v>8258</v>
      </c>
      <c r="D4665" t="s">
        <v>19050</v>
      </c>
      <c r="E4665" t="s">
        <v>23245</v>
      </c>
      <c r="F4665" t="s">
        <v>32606</v>
      </c>
      <c r="G4665" t="s">
        <v>32613</v>
      </c>
      <c r="H4665" t="s">
        <v>32623</v>
      </c>
      <c r="I4665" t="s">
        <v>17648</v>
      </c>
      <c r="J4665" t="s">
        <v>35857</v>
      </c>
      <c r="K4665" t="s">
        <v>42743</v>
      </c>
      <c r="M4665" t="s">
        <v>44724</v>
      </c>
      <c r="N4665" t="s">
        <v>47304</v>
      </c>
      <c r="O4665" t="s">
        <v>47305</v>
      </c>
      <c r="P4665">
        <v>0</v>
      </c>
      <c r="Q4665">
        <v>0</v>
      </c>
      <c r="R4665" t="s">
        <v>47306</v>
      </c>
      <c r="S4665" t="s">
        <v>47414</v>
      </c>
      <c r="T4665" t="s">
        <v>48995</v>
      </c>
      <c r="U4665" t="s">
        <v>53528</v>
      </c>
      <c r="W4665" t="s">
        <v>44724</v>
      </c>
      <c r="X4665" t="s">
        <v>47308</v>
      </c>
    </row>
    <row r="4666" spans="1:24">
      <c r="A4666">
        <f>HYPERLINK("https://www.philgeps.gov.ph/GEPSNONPILOT/Tender/SplashBidNoticeAbstractUI.aspx?menuIndex=3&amp;refID=7197300&amp;Result=3","7197300")</f>
        <v>0</v>
      </c>
      <c r="B4666" t="s">
        <v>424</v>
      </c>
      <c r="C4666" t="s">
        <v>8259</v>
      </c>
      <c r="D4666" t="s">
        <v>18992</v>
      </c>
      <c r="E4666" t="s">
        <v>20836</v>
      </c>
      <c r="F4666" t="s">
        <v>32606</v>
      </c>
      <c r="G4666" t="s">
        <v>32613</v>
      </c>
      <c r="H4666" t="s">
        <v>32623</v>
      </c>
      <c r="I4666" t="s">
        <v>17648</v>
      </c>
      <c r="J4666" t="s">
        <v>35833</v>
      </c>
      <c r="K4666" t="s">
        <v>42682</v>
      </c>
      <c r="M4666" t="s">
        <v>43328</v>
      </c>
      <c r="N4666" t="s">
        <v>47304</v>
      </c>
      <c r="O4666" t="s">
        <v>47305</v>
      </c>
      <c r="P4666">
        <v>0</v>
      </c>
      <c r="Q4666">
        <v>0</v>
      </c>
      <c r="R4666" t="s">
        <v>47306</v>
      </c>
      <c r="S4666" t="s">
        <v>47414</v>
      </c>
      <c r="T4666" t="s">
        <v>48986</v>
      </c>
      <c r="U4666" t="s">
        <v>53529</v>
      </c>
      <c r="W4666" t="s">
        <v>43328</v>
      </c>
      <c r="X4666" t="s">
        <v>47308</v>
      </c>
    </row>
    <row r="4667" spans="1:24">
      <c r="A4667">
        <f>HYPERLINK("https://www.philgeps.gov.ph/GEPSNONPILOT/Tender/SplashBidNoticeAbstractUI.aspx?menuIndex=3&amp;refID=7197307&amp;Result=3","7197307")</f>
        <v>0</v>
      </c>
      <c r="B4667" t="s">
        <v>1720</v>
      </c>
      <c r="C4667" t="s">
        <v>8260</v>
      </c>
      <c r="D4667" t="s">
        <v>19024</v>
      </c>
      <c r="E4667" t="s">
        <v>23246</v>
      </c>
      <c r="F4667" t="s">
        <v>32606</v>
      </c>
      <c r="G4667" t="s">
        <v>32615</v>
      </c>
      <c r="H4667" t="s">
        <v>32623</v>
      </c>
      <c r="I4667" t="s">
        <v>17648</v>
      </c>
      <c r="J4667" t="s">
        <v>33771</v>
      </c>
      <c r="K4667" t="s">
        <v>42636</v>
      </c>
      <c r="M4667" t="s">
        <v>44752</v>
      </c>
      <c r="N4667" t="s">
        <v>47304</v>
      </c>
      <c r="O4667" t="s">
        <v>47305</v>
      </c>
      <c r="P4667">
        <v>0</v>
      </c>
      <c r="Q4667">
        <v>0</v>
      </c>
      <c r="R4667" t="s">
        <v>47306</v>
      </c>
      <c r="S4667" t="s">
        <v>47414</v>
      </c>
      <c r="T4667" t="s">
        <v>49004</v>
      </c>
      <c r="U4667" t="s">
        <v>53530</v>
      </c>
      <c r="W4667" t="s">
        <v>44752</v>
      </c>
      <c r="X4667" t="s">
        <v>47308</v>
      </c>
    </row>
    <row r="4668" spans="1:24">
      <c r="A4668">
        <f>HYPERLINK("https://www.philgeps.gov.ph/GEPSNONPILOT/Tender/SplashBidNoticeAbstractUI.aspx?menuIndex=3&amp;refID=7197316&amp;Result=3","7197316")</f>
        <v>0</v>
      </c>
      <c r="B4668" t="s">
        <v>424</v>
      </c>
      <c r="C4668" t="s">
        <v>8261</v>
      </c>
      <c r="D4668" t="s">
        <v>18992</v>
      </c>
      <c r="E4668" t="s">
        <v>19337</v>
      </c>
      <c r="F4668" t="s">
        <v>32606</v>
      </c>
      <c r="G4668" t="s">
        <v>32613</v>
      </c>
      <c r="H4668" t="s">
        <v>32623</v>
      </c>
      <c r="I4668" t="s">
        <v>17648</v>
      </c>
      <c r="J4668" t="s">
        <v>35858</v>
      </c>
      <c r="K4668" t="s">
        <v>42682</v>
      </c>
      <c r="M4668" t="s">
        <v>43328</v>
      </c>
      <c r="N4668" t="s">
        <v>47304</v>
      </c>
      <c r="O4668" t="s">
        <v>47305</v>
      </c>
      <c r="P4668">
        <v>0</v>
      </c>
      <c r="Q4668">
        <v>0</v>
      </c>
      <c r="R4668" t="s">
        <v>47306</v>
      </c>
      <c r="S4668" t="s">
        <v>47414</v>
      </c>
      <c r="T4668" t="s">
        <v>48986</v>
      </c>
      <c r="U4668" t="s">
        <v>53531</v>
      </c>
      <c r="W4668" t="s">
        <v>43328</v>
      </c>
      <c r="X4668" t="s">
        <v>47308</v>
      </c>
    </row>
    <row r="4669" spans="1:24">
      <c r="A4669">
        <f>HYPERLINK("https://www.philgeps.gov.ph/GEPSNONPILOT/Tender/SplashBidNoticeAbstractUI.aspx?menuIndex=3&amp;refID=7197306&amp;Result=3","7197306")</f>
        <v>0</v>
      </c>
      <c r="B4669" t="s">
        <v>1721</v>
      </c>
      <c r="C4669" t="s">
        <v>8262</v>
      </c>
      <c r="D4669" t="s">
        <v>18993</v>
      </c>
      <c r="E4669" t="s">
        <v>23247</v>
      </c>
      <c r="F4669" t="s">
        <v>32606</v>
      </c>
      <c r="G4669" t="s">
        <v>32614</v>
      </c>
      <c r="H4669" t="s">
        <v>14201</v>
      </c>
      <c r="I4669" t="s">
        <v>7577</v>
      </c>
      <c r="J4669" t="s">
        <v>35859</v>
      </c>
      <c r="K4669" t="s">
        <v>42623</v>
      </c>
      <c r="M4669" t="s">
        <v>44753</v>
      </c>
      <c r="N4669" t="s">
        <v>47304</v>
      </c>
      <c r="O4669" t="s">
        <v>47305</v>
      </c>
      <c r="P4669">
        <v>0</v>
      </c>
      <c r="Q4669">
        <v>0</v>
      </c>
      <c r="R4669" t="s">
        <v>47306</v>
      </c>
      <c r="S4669" t="s">
        <v>47414</v>
      </c>
      <c r="T4669" t="s">
        <v>49004</v>
      </c>
      <c r="U4669" t="s">
        <v>53532</v>
      </c>
      <c r="V4669" t="s">
        <v>63083</v>
      </c>
      <c r="W4669" t="s">
        <v>44753</v>
      </c>
      <c r="X4669" t="s">
        <v>47308</v>
      </c>
    </row>
    <row r="4670" spans="1:24">
      <c r="A4670">
        <f>HYPERLINK("https://www.philgeps.gov.ph/GEPSNONPILOT/Tender/SplashBidNoticeAbstractUI.aspx?menuIndex=3&amp;refID=7197277&amp;Result=3","7197277")</f>
        <v>0</v>
      </c>
      <c r="B4670" t="s">
        <v>1112</v>
      </c>
      <c r="C4670" t="s">
        <v>8263</v>
      </c>
      <c r="D4670" t="s">
        <v>19031</v>
      </c>
      <c r="E4670" t="s">
        <v>23248</v>
      </c>
      <c r="F4670" t="s">
        <v>32606</v>
      </c>
      <c r="G4670" t="s">
        <v>32613</v>
      </c>
      <c r="H4670" t="s">
        <v>32623</v>
      </c>
      <c r="I4670" t="s">
        <v>32675</v>
      </c>
      <c r="J4670" t="s">
        <v>35860</v>
      </c>
      <c r="K4670" t="s">
        <v>42646</v>
      </c>
      <c r="M4670" t="s">
        <v>44073</v>
      </c>
      <c r="N4670" t="s">
        <v>47304</v>
      </c>
      <c r="O4670" t="s">
        <v>47305</v>
      </c>
      <c r="P4670">
        <v>0</v>
      </c>
      <c r="Q4670">
        <v>1</v>
      </c>
      <c r="R4670" t="s">
        <v>47306</v>
      </c>
      <c r="S4670" t="s">
        <v>47414</v>
      </c>
      <c r="T4670" t="s">
        <v>49009</v>
      </c>
      <c r="U4670" t="s">
        <v>53533</v>
      </c>
      <c r="V4670" t="s">
        <v>63081</v>
      </c>
      <c r="W4670" t="s">
        <v>44073</v>
      </c>
      <c r="X4670" t="s">
        <v>47308</v>
      </c>
    </row>
    <row r="4671" spans="1:24">
      <c r="A4671">
        <f>HYPERLINK("https://www.philgeps.gov.ph/GEPSNONPILOT/Tender/SplashBidNoticeAbstractUI.aspx?menuIndex=3&amp;refID=7197280&amp;Result=3","7197280")</f>
        <v>0</v>
      </c>
      <c r="B4671" t="s">
        <v>1112</v>
      </c>
      <c r="C4671" t="s">
        <v>8264</v>
      </c>
      <c r="D4671" t="s">
        <v>19031</v>
      </c>
      <c r="E4671" t="s">
        <v>23249</v>
      </c>
      <c r="F4671" t="s">
        <v>32606</v>
      </c>
      <c r="G4671" t="s">
        <v>32613</v>
      </c>
      <c r="H4671" t="s">
        <v>32623</v>
      </c>
      <c r="I4671" t="s">
        <v>32675</v>
      </c>
      <c r="J4671" t="s">
        <v>35861</v>
      </c>
      <c r="K4671" t="s">
        <v>42646</v>
      </c>
      <c r="M4671" t="s">
        <v>44073</v>
      </c>
      <c r="N4671" t="s">
        <v>47304</v>
      </c>
      <c r="O4671" t="s">
        <v>47305</v>
      </c>
      <c r="P4671">
        <v>0</v>
      </c>
      <c r="Q4671">
        <v>1</v>
      </c>
      <c r="R4671" t="s">
        <v>47306</v>
      </c>
      <c r="S4671" t="s">
        <v>47414</v>
      </c>
      <c r="T4671" t="s">
        <v>49009</v>
      </c>
      <c r="U4671" t="s">
        <v>53534</v>
      </c>
      <c r="V4671" t="s">
        <v>63081</v>
      </c>
      <c r="W4671" t="s">
        <v>44073</v>
      </c>
      <c r="X4671" t="s">
        <v>47308</v>
      </c>
    </row>
    <row r="4672" spans="1:24">
      <c r="A4672">
        <f>HYPERLINK("https://www.philgeps.gov.ph/GEPSNONPILOT/Tender/SplashBidNoticeAbstractUI.aspx?menuIndex=3&amp;refID=7197308&amp;Result=3","7197308")</f>
        <v>0</v>
      </c>
      <c r="B4672" t="s">
        <v>1715</v>
      </c>
      <c r="C4672" t="s">
        <v>8265</v>
      </c>
      <c r="E4672" t="s">
        <v>23250</v>
      </c>
      <c r="F4672" t="s">
        <v>32606</v>
      </c>
      <c r="G4672" t="s">
        <v>32613</v>
      </c>
      <c r="H4672" t="s">
        <v>32623</v>
      </c>
      <c r="I4672" t="s">
        <v>17648</v>
      </c>
      <c r="J4672" t="s">
        <v>35862</v>
      </c>
      <c r="K4672" t="s">
        <v>42669</v>
      </c>
      <c r="M4672" t="s">
        <v>44747</v>
      </c>
      <c r="N4672" t="s">
        <v>47304</v>
      </c>
      <c r="O4672" t="s">
        <v>47305</v>
      </c>
      <c r="P4672">
        <v>0</v>
      </c>
      <c r="Q4672">
        <v>2</v>
      </c>
      <c r="R4672" t="s">
        <v>47306</v>
      </c>
      <c r="S4672" t="s">
        <v>47414</v>
      </c>
      <c r="T4672" t="s">
        <v>49009</v>
      </c>
      <c r="U4672" t="s">
        <v>53535</v>
      </c>
      <c r="W4672" t="s">
        <v>44747</v>
      </c>
      <c r="X4672" t="s">
        <v>47308</v>
      </c>
    </row>
    <row r="4673" spans="1:24">
      <c r="A4673">
        <f>HYPERLINK("https://www.philgeps.gov.ph/GEPSNONPILOT/Tender/SplashBidNoticeAbstractUI.aspx?menuIndex=3&amp;refID=7197298&amp;Result=3","7197298")</f>
        <v>0</v>
      </c>
      <c r="B4673" t="s">
        <v>1718</v>
      </c>
      <c r="C4673" t="s">
        <v>8266</v>
      </c>
      <c r="D4673" t="s">
        <v>18994</v>
      </c>
      <c r="E4673" t="s">
        <v>23251</v>
      </c>
      <c r="F4673" t="s">
        <v>32606</v>
      </c>
      <c r="G4673" t="s">
        <v>32613</v>
      </c>
      <c r="H4673" t="s">
        <v>14201</v>
      </c>
      <c r="I4673" t="s">
        <v>7064</v>
      </c>
      <c r="J4673" t="s">
        <v>32767</v>
      </c>
      <c r="K4673" t="s">
        <v>42694</v>
      </c>
      <c r="M4673" t="s">
        <v>44750</v>
      </c>
      <c r="N4673" t="s">
        <v>47304</v>
      </c>
      <c r="O4673" t="s">
        <v>47305</v>
      </c>
      <c r="P4673">
        <v>0</v>
      </c>
      <c r="Q4673">
        <v>1</v>
      </c>
      <c r="R4673" t="s">
        <v>47306</v>
      </c>
      <c r="S4673" t="s">
        <v>47414</v>
      </c>
      <c r="T4673" t="s">
        <v>48991</v>
      </c>
      <c r="U4673" t="s">
        <v>53536</v>
      </c>
      <c r="W4673" t="s">
        <v>44750</v>
      </c>
      <c r="X4673" t="s">
        <v>47308</v>
      </c>
    </row>
    <row r="4674" spans="1:24">
      <c r="A4674">
        <f>HYPERLINK("https://www.philgeps.gov.ph/GEPSNONPILOT/Tender/SplashBidNoticeAbstractUI.aspx?menuIndex=3&amp;refID=7197263&amp;Result=3","7197263")</f>
        <v>0</v>
      </c>
      <c r="B4674" t="s">
        <v>1696</v>
      </c>
      <c r="C4674" t="s">
        <v>8267</v>
      </c>
      <c r="D4674" t="s">
        <v>18993</v>
      </c>
      <c r="E4674" t="s">
        <v>23252</v>
      </c>
      <c r="F4674" t="s">
        <v>32606</v>
      </c>
      <c r="G4674" t="s">
        <v>32613</v>
      </c>
      <c r="H4674" t="s">
        <v>14201</v>
      </c>
      <c r="I4674" t="s">
        <v>6298</v>
      </c>
      <c r="J4674" t="s">
        <v>35863</v>
      </c>
      <c r="K4674" t="s">
        <v>42623</v>
      </c>
      <c r="M4674" t="s">
        <v>44734</v>
      </c>
      <c r="N4674" t="s">
        <v>47304</v>
      </c>
      <c r="O4674" t="s">
        <v>47305</v>
      </c>
      <c r="P4674">
        <v>0</v>
      </c>
      <c r="Q4674">
        <v>0</v>
      </c>
      <c r="R4674" t="s">
        <v>47306</v>
      </c>
      <c r="S4674" t="s">
        <v>47414</v>
      </c>
      <c r="T4674" t="s">
        <v>48995</v>
      </c>
      <c r="U4674" t="s">
        <v>53537</v>
      </c>
      <c r="W4674" t="s">
        <v>44734</v>
      </c>
      <c r="X4674" t="s">
        <v>47308</v>
      </c>
    </row>
    <row r="4675" spans="1:24">
      <c r="A4675">
        <f>HYPERLINK("https://www.philgeps.gov.ph/GEPSNONPILOT/Tender/SplashBidNoticeAbstractUI.aspx?menuIndex=3&amp;refID=7197261&amp;Result=3","7197261")</f>
        <v>0</v>
      </c>
      <c r="B4675" t="s">
        <v>1722</v>
      </c>
      <c r="C4675" t="s">
        <v>8268</v>
      </c>
      <c r="D4675" t="s">
        <v>19010</v>
      </c>
      <c r="E4675" t="s">
        <v>23253</v>
      </c>
      <c r="F4675" t="s">
        <v>32606</v>
      </c>
      <c r="G4675" t="s">
        <v>32613</v>
      </c>
      <c r="H4675" t="s">
        <v>32623</v>
      </c>
      <c r="I4675" t="s">
        <v>17648</v>
      </c>
      <c r="J4675" t="s">
        <v>35864</v>
      </c>
      <c r="K4675" t="s">
        <v>42636</v>
      </c>
      <c r="M4675" t="s">
        <v>44754</v>
      </c>
      <c r="N4675" t="s">
        <v>47304</v>
      </c>
      <c r="O4675" t="s">
        <v>47305</v>
      </c>
      <c r="P4675">
        <v>0</v>
      </c>
      <c r="Q4675">
        <v>0</v>
      </c>
      <c r="R4675" t="s">
        <v>47306</v>
      </c>
      <c r="S4675" t="s">
        <v>47414</v>
      </c>
      <c r="T4675" t="s">
        <v>48986</v>
      </c>
      <c r="U4675" t="s">
        <v>53538</v>
      </c>
      <c r="W4675" t="s">
        <v>44754</v>
      </c>
      <c r="X4675" t="s">
        <v>47308</v>
      </c>
    </row>
    <row r="4676" spans="1:24">
      <c r="A4676">
        <f>HYPERLINK("https://www.philgeps.gov.ph/GEPSNONPILOT/Tender/SplashBidNoticeAbstractUI.aspx?menuIndex=3&amp;refID=7197303&amp;Result=3","7197303")</f>
        <v>0</v>
      </c>
      <c r="B4676" t="s">
        <v>1723</v>
      </c>
      <c r="C4676" t="s">
        <v>4329</v>
      </c>
      <c r="D4676" t="s">
        <v>19019</v>
      </c>
      <c r="E4676" t="s">
        <v>19521</v>
      </c>
      <c r="F4676" t="s">
        <v>32606</v>
      </c>
      <c r="G4676" t="s">
        <v>32619</v>
      </c>
      <c r="H4676" t="s">
        <v>14201</v>
      </c>
      <c r="I4676" t="s">
        <v>6298</v>
      </c>
      <c r="J4676" t="s">
        <v>35865</v>
      </c>
      <c r="K4676" t="s">
        <v>42625</v>
      </c>
      <c r="M4676" t="s">
        <v>44755</v>
      </c>
      <c r="N4676" t="s">
        <v>47304</v>
      </c>
      <c r="O4676" t="s">
        <v>47305</v>
      </c>
      <c r="P4676">
        <v>0</v>
      </c>
      <c r="Q4676">
        <v>0</v>
      </c>
      <c r="R4676" t="s">
        <v>47306</v>
      </c>
      <c r="S4676" t="s">
        <v>47414</v>
      </c>
      <c r="T4676" t="s">
        <v>49047</v>
      </c>
      <c r="U4676" t="s">
        <v>53539</v>
      </c>
      <c r="V4676" t="s">
        <v>63084</v>
      </c>
      <c r="W4676" t="s">
        <v>44755</v>
      </c>
      <c r="X4676" t="s">
        <v>47308</v>
      </c>
    </row>
    <row r="4677" spans="1:24">
      <c r="A4677">
        <f>HYPERLINK("https://www.philgeps.gov.ph/GEPSNONPILOT/Tender/SplashBidNoticeAbstractUI.aspx?menuIndex=3&amp;refID=7197341&amp;Result=3","7197341")</f>
        <v>0</v>
      </c>
      <c r="B4677" t="s">
        <v>1724</v>
      </c>
      <c r="C4677" t="s">
        <v>8269</v>
      </c>
      <c r="D4677" t="s">
        <v>19008</v>
      </c>
      <c r="E4677" t="s">
        <v>19561</v>
      </c>
      <c r="F4677" t="s">
        <v>32606</v>
      </c>
      <c r="G4677" t="s">
        <v>32613</v>
      </c>
      <c r="H4677" t="s">
        <v>14201</v>
      </c>
      <c r="I4677" t="s">
        <v>6931</v>
      </c>
      <c r="J4677" t="s">
        <v>35866</v>
      </c>
      <c r="K4677" t="s">
        <v>42622</v>
      </c>
      <c r="M4677" t="s">
        <v>44756</v>
      </c>
      <c r="N4677" t="s">
        <v>47304</v>
      </c>
      <c r="O4677" t="s">
        <v>47305</v>
      </c>
      <c r="P4677">
        <v>0</v>
      </c>
      <c r="Q4677">
        <v>0</v>
      </c>
      <c r="R4677" t="s">
        <v>47306</v>
      </c>
      <c r="S4677" t="s">
        <v>47414</v>
      </c>
      <c r="T4677" t="s">
        <v>49013</v>
      </c>
      <c r="U4677" t="s">
        <v>53540</v>
      </c>
      <c r="V4677" t="s">
        <v>63085</v>
      </c>
      <c r="W4677" t="s">
        <v>44756</v>
      </c>
      <c r="X4677" t="s">
        <v>47308</v>
      </c>
    </row>
    <row r="4678" spans="1:24">
      <c r="A4678">
        <f>HYPERLINK("https://www.philgeps.gov.ph/GEPSNONPILOT/Tender/SplashBidNoticeAbstractUI.aspx?menuIndex=3&amp;refID=7197331&amp;Result=3","7197331")</f>
        <v>0</v>
      </c>
      <c r="B4678" t="s">
        <v>1644</v>
      </c>
      <c r="C4678" t="s">
        <v>8270</v>
      </c>
      <c r="D4678" t="s">
        <v>19022</v>
      </c>
      <c r="E4678" t="s">
        <v>23254</v>
      </c>
      <c r="F4678" t="s">
        <v>32606</v>
      </c>
      <c r="G4678" t="s">
        <v>32614</v>
      </c>
      <c r="H4678" t="s">
        <v>14201</v>
      </c>
      <c r="I4678" t="s">
        <v>6007</v>
      </c>
      <c r="J4678" t="s">
        <v>35867</v>
      </c>
      <c r="K4678" t="s">
        <v>42630</v>
      </c>
      <c r="M4678" t="s">
        <v>44665</v>
      </c>
      <c r="N4678" t="s">
        <v>47304</v>
      </c>
      <c r="O4678" t="s">
        <v>47305</v>
      </c>
      <c r="P4678">
        <v>0</v>
      </c>
      <c r="Q4678">
        <v>1</v>
      </c>
      <c r="R4678" t="s">
        <v>47306</v>
      </c>
      <c r="S4678" t="s">
        <v>47414</v>
      </c>
      <c r="T4678" t="s">
        <v>49004</v>
      </c>
      <c r="U4678" t="s">
        <v>53499</v>
      </c>
      <c r="W4678" t="s">
        <v>64478</v>
      </c>
      <c r="X4678" t="s">
        <v>47308</v>
      </c>
    </row>
    <row r="4679" spans="1:24">
      <c r="A4679">
        <f>HYPERLINK("https://www.philgeps.gov.ph/GEPSNONPILOT/Tender/SplashBidNoticeAbstractUI.aspx?menuIndex=3&amp;refID=7197342&amp;Result=3","7197342")</f>
        <v>0</v>
      </c>
      <c r="B4679" t="s">
        <v>1725</v>
      </c>
      <c r="C4679" t="s">
        <v>8271</v>
      </c>
      <c r="D4679" t="s">
        <v>19042</v>
      </c>
      <c r="E4679" t="s">
        <v>19809</v>
      </c>
      <c r="F4679" t="s">
        <v>32606</v>
      </c>
      <c r="G4679" t="s">
        <v>32613</v>
      </c>
      <c r="H4679" t="s">
        <v>14201</v>
      </c>
      <c r="I4679" t="s">
        <v>9008</v>
      </c>
      <c r="J4679" t="s">
        <v>32981</v>
      </c>
      <c r="K4679" t="s">
        <v>42622</v>
      </c>
      <c r="M4679" t="s">
        <v>44757</v>
      </c>
      <c r="N4679" t="s">
        <v>47304</v>
      </c>
      <c r="O4679" t="s">
        <v>47305</v>
      </c>
      <c r="P4679">
        <v>0</v>
      </c>
      <c r="Q4679">
        <v>0</v>
      </c>
      <c r="R4679" t="s">
        <v>47306</v>
      </c>
      <c r="S4679" t="s">
        <v>47414</v>
      </c>
      <c r="T4679" t="s">
        <v>48996</v>
      </c>
      <c r="U4679" t="s">
        <v>53541</v>
      </c>
      <c r="W4679" t="s">
        <v>44757</v>
      </c>
      <c r="X4679" t="s">
        <v>47308</v>
      </c>
    </row>
    <row r="4680" spans="1:24">
      <c r="A4680">
        <f>HYPERLINK("https://www.philgeps.gov.ph/GEPSNONPILOT/Tender/SplashBidNoticeAbstractUI.aspx?menuIndex=3&amp;refID=7197337&amp;Result=3","7197337")</f>
        <v>0</v>
      </c>
      <c r="B4680" t="s">
        <v>1217</v>
      </c>
      <c r="C4680" t="s">
        <v>8272</v>
      </c>
      <c r="D4680" t="s">
        <v>19035</v>
      </c>
      <c r="E4680" t="s">
        <v>23255</v>
      </c>
      <c r="F4680" t="s">
        <v>32606</v>
      </c>
      <c r="G4680" t="s">
        <v>32617</v>
      </c>
      <c r="H4680" t="s">
        <v>14201</v>
      </c>
      <c r="I4680" t="s">
        <v>4114</v>
      </c>
      <c r="J4680" t="s">
        <v>35868</v>
      </c>
      <c r="K4680" t="s">
        <v>42622</v>
      </c>
      <c r="M4680" t="s">
        <v>44182</v>
      </c>
      <c r="N4680" t="s">
        <v>47304</v>
      </c>
      <c r="O4680" t="s">
        <v>47305</v>
      </c>
      <c r="P4680">
        <v>0</v>
      </c>
      <c r="Q4680">
        <v>4</v>
      </c>
      <c r="R4680" t="s">
        <v>47306</v>
      </c>
      <c r="S4680" t="s">
        <v>47414</v>
      </c>
      <c r="T4680" t="s">
        <v>48980</v>
      </c>
      <c r="U4680" t="s">
        <v>52133</v>
      </c>
      <c r="W4680" t="s">
        <v>44182</v>
      </c>
      <c r="X4680" t="s">
        <v>47308</v>
      </c>
    </row>
    <row r="4681" spans="1:24">
      <c r="A4681">
        <f>HYPERLINK("https://www.philgeps.gov.ph/GEPSNONPILOT/Tender/SplashBidNoticeAbstractUI.aspx?menuIndex=3&amp;refID=7197336&amp;Result=3","7197336")</f>
        <v>0</v>
      </c>
      <c r="B4681" t="s">
        <v>1726</v>
      </c>
      <c r="C4681" t="s">
        <v>8273</v>
      </c>
      <c r="E4681" t="s">
        <v>23256</v>
      </c>
      <c r="F4681" t="s">
        <v>32606</v>
      </c>
      <c r="G4681" t="s">
        <v>32614</v>
      </c>
      <c r="H4681" t="s">
        <v>14201</v>
      </c>
      <c r="I4681" t="s">
        <v>32640</v>
      </c>
      <c r="J4681" t="s">
        <v>33302</v>
      </c>
      <c r="K4681" t="s">
        <v>42632</v>
      </c>
      <c r="M4681" t="s">
        <v>44758</v>
      </c>
      <c r="N4681" t="s">
        <v>47304</v>
      </c>
      <c r="O4681" t="s">
        <v>47305</v>
      </c>
      <c r="P4681">
        <v>0</v>
      </c>
      <c r="Q4681">
        <v>5</v>
      </c>
      <c r="R4681" t="s">
        <v>47306</v>
      </c>
      <c r="S4681" t="s">
        <v>47414</v>
      </c>
      <c r="T4681" t="s">
        <v>48980</v>
      </c>
      <c r="U4681" t="s">
        <v>53542</v>
      </c>
      <c r="W4681" t="s">
        <v>44758</v>
      </c>
      <c r="X4681" t="s">
        <v>47308</v>
      </c>
    </row>
    <row r="4682" spans="1:24">
      <c r="A4682">
        <f>HYPERLINK("https://www.philgeps.gov.ph/GEPSNONPILOT/Tender/SplashBidNoticeAbstractUI.aspx?menuIndex=3&amp;refID=7197335&amp;Result=3","7197335")</f>
        <v>0</v>
      </c>
      <c r="B4682" t="s">
        <v>424</v>
      </c>
      <c r="C4682" t="s">
        <v>8274</v>
      </c>
      <c r="D4682" t="s">
        <v>18992</v>
      </c>
      <c r="E4682" t="s">
        <v>21655</v>
      </c>
      <c r="F4682" t="s">
        <v>32606</v>
      </c>
      <c r="G4682" t="s">
        <v>32613</v>
      </c>
      <c r="H4682" t="s">
        <v>32623</v>
      </c>
      <c r="I4682" t="s">
        <v>17648</v>
      </c>
      <c r="J4682" t="s">
        <v>35858</v>
      </c>
      <c r="K4682" t="s">
        <v>42682</v>
      </c>
      <c r="M4682" t="s">
        <v>43328</v>
      </c>
      <c r="N4682" t="s">
        <v>47304</v>
      </c>
      <c r="O4682" t="s">
        <v>47305</v>
      </c>
      <c r="P4682">
        <v>0</v>
      </c>
      <c r="Q4682">
        <v>0</v>
      </c>
      <c r="R4682" t="s">
        <v>47306</v>
      </c>
      <c r="S4682" t="s">
        <v>47414</v>
      </c>
      <c r="T4682" t="s">
        <v>48986</v>
      </c>
      <c r="U4682" t="s">
        <v>53543</v>
      </c>
      <c r="W4682" t="s">
        <v>43328</v>
      </c>
      <c r="X4682" t="s">
        <v>47308</v>
      </c>
    </row>
    <row r="4683" spans="1:24">
      <c r="A4683">
        <f>HYPERLINK("https://www.philgeps.gov.ph/GEPSNONPILOT/Tender/SplashBidNoticeAbstractUI.aspx?menuIndex=3&amp;refID=7197262&amp;Result=3","7197262")</f>
        <v>0</v>
      </c>
      <c r="B4683" t="s">
        <v>1696</v>
      </c>
      <c r="C4683" t="s">
        <v>8275</v>
      </c>
      <c r="D4683" t="s">
        <v>18993</v>
      </c>
      <c r="E4683" t="s">
        <v>23257</v>
      </c>
      <c r="F4683" t="s">
        <v>32606</v>
      </c>
      <c r="G4683" t="s">
        <v>32613</v>
      </c>
      <c r="H4683" t="s">
        <v>14201</v>
      </c>
      <c r="I4683" t="s">
        <v>4120</v>
      </c>
      <c r="J4683" t="s">
        <v>35869</v>
      </c>
      <c r="K4683" t="s">
        <v>42623</v>
      </c>
      <c r="M4683" t="s">
        <v>44742</v>
      </c>
      <c r="N4683" t="s">
        <v>47304</v>
      </c>
      <c r="O4683" t="s">
        <v>47305</v>
      </c>
      <c r="P4683">
        <v>0</v>
      </c>
      <c r="Q4683">
        <v>0</v>
      </c>
      <c r="R4683" t="s">
        <v>47306</v>
      </c>
      <c r="S4683" t="s">
        <v>47414</v>
      </c>
      <c r="T4683" t="s">
        <v>49033</v>
      </c>
      <c r="U4683" t="s">
        <v>51117</v>
      </c>
      <c r="W4683" t="s">
        <v>44742</v>
      </c>
      <c r="X4683" t="s">
        <v>47308</v>
      </c>
    </row>
    <row r="4684" spans="1:24">
      <c r="A4684">
        <f>HYPERLINK("https://www.philgeps.gov.ph/GEPSNONPILOT/Tender/SplashBidNoticeAbstractUI.aspx?menuIndex=3&amp;refID=7197334&amp;Result=3","7197334")</f>
        <v>0</v>
      </c>
      <c r="B4684" t="s">
        <v>1671</v>
      </c>
      <c r="C4684" t="s">
        <v>8276</v>
      </c>
      <c r="D4684" t="s">
        <v>18993</v>
      </c>
      <c r="E4684" t="s">
        <v>8276</v>
      </c>
      <c r="F4684" t="s">
        <v>32606</v>
      </c>
      <c r="G4684" t="s">
        <v>32613</v>
      </c>
      <c r="H4684" t="s">
        <v>14201</v>
      </c>
      <c r="I4684" t="s">
        <v>32638</v>
      </c>
      <c r="J4684" t="s">
        <v>32920</v>
      </c>
      <c r="K4684" t="s">
        <v>42631</v>
      </c>
      <c r="M4684" t="s">
        <v>44698</v>
      </c>
      <c r="N4684" t="s">
        <v>47304</v>
      </c>
      <c r="O4684" t="s">
        <v>47305</v>
      </c>
      <c r="P4684">
        <v>0</v>
      </c>
      <c r="Q4684">
        <v>5</v>
      </c>
      <c r="R4684" t="s">
        <v>47306</v>
      </c>
      <c r="S4684" t="s">
        <v>47414</v>
      </c>
      <c r="T4684" t="s">
        <v>48990</v>
      </c>
      <c r="U4684" t="s">
        <v>53544</v>
      </c>
      <c r="W4684" t="s">
        <v>44698</v>
      </c>
      <c r="X4684" t="s">
        <v>47308</v>
      </c>
    </row>
    <row r="4685" spans="1:24">
      <c r="A4685">
        <f>HYPERLINK("https://www.philgeps.gov.ph/GEPSNONPILOT/Tender/SplashBidNoticeAbstractUI.aspx?menuIndex=3&amp;refID=7197339&amp;Result=3","7197339")</f>
        <v>0</v>
      </c>
      <c r="B4685" t="s">
        <v>1715</v>
      </c>
      <c r="C4685" t="s">
        <v>8277</v>
      </c>
      <c r="E4685" t="s">
        <v>23258</v>
      </c>
      <c r="F4685" t="s">
        <v>32606</v>
      </c>
      <c r="G4685" t="s">
        <v>32613</v>
      </c>
      <c r="H4685" t="s">
        <v>32623</v>
      </c>
      <c r="I4685" t="s">
        <v>17648</v>
      </c>
      <c r="J4685" t="s">
        <v>35870</v>
      </c>
      <c r="K4685" t="s">
        <v>42761</v>
      </c>
      <c r="M4685" t="s">
        <v>44747</v>
      </c>
      <c r="N4685" t="s">
        <v>47304</v>
      </c>
      <c r="O4685" t="s">
        <v>47305</v>
      </c>
      <c r="P4685">
        <v>0</v>
      </c>
      <c r="Q4685">
        <v>2</v>
      </c>
      <c r="R4685" t="s">
        <v>47306</v>
      </c>
      <c r="S4685" t="s">
        <v>47414</v>
      </c>
      <c r="T4685" t="s">
        <v>49009</v>
      </c>
      <c r="U4685" t="s">
        <v>53545</v>
      </c>
      <c r="W4685" t="s">
        <v>44747</v>
      </c>
      <c r="X4685" t="s">
        <v>47308</v>
      </c>
    </row>
    <row r="4686" spans="1:24">
      <c r="A4686">
        <f>HYPERLINK("https://www.philgeps.gov.ph/GEPSNONPILOT/Tender/SplashBidNoticeAbstractUI.aspx?menuIndex=3&amp;refID=7197333&amp;Result=3","7197333")</f>
        <v>0</v>
      </c>
      <c r="B4686" t="s">
        <v>131</v>
      </c>
      <c r="C4686" t="s">
        <v>8278</v>
      </c>
      <c r="D4686" t="s">
        <v>18993</v>
      </c>
      <c r="E4686" t="s">
        <v>23259</v>
      </c>
      <c r="F4686" t="s">
        <v>32606</v>
      </c>
      <c r="G4686" t="s">
        <v>32613</v>
      </c>
      <c r="H4686" t="s">
        <v>14201</v>
      </c>
      <c r="I4686" t="s">
        <v>4369</v>
      </c>
      <c r="J4686" t="s">
        <v>35871</v>
      </c>
      <c r="K4686" t="s">
        <v>42631</v>
      </c>
      <c r="M4686" t="s">
        <v>43032</v>
      </c>
      <c r="N4686" t="s">
        <v>47304</v>
      </c>
      <c r="O4686" t="s">
        <v>47305</v>
      </c>
      <c r="P4686">
        <v>0</v>
      </c>
      <c r="Q4686">
        <v>11</v>
      </c>
      <c r="R4686" t="s">
        <v>47306</v>
      </c>
      <c r="S4686" t="s">
        <v>47414</v>
      </c>
      <c r="T4686" t="s">
        <v>49032</v>
      </c>
      <c r="U4686" t="s">
        <v>53546</v>
      </c>
      <c r="W4686" t="s">
        <v>43032</v>
      </c>
      <c r="X4686" t="s">
        <v>47308</v>
      </c>
    </row>
    <row r="4687" spans="1:24">
      <c r="A4687">
        <f>HYPERLINK("https://www.philgeps.gov.ph/GEPSNONPILOT/Tender/SplashBidNoticeAbstractUI.aspx?menuIndex=3&amp;refID=7197330&amp;Result=3","7197330")</f>
        <v>0</v>
      </c>
      <c r="B4687" t="s">
        <v>1696</v>
      </c>
      <c r="C4687" t="s">
        <v>8279</v>
      </c>
      <c r="D4687" t="s">
        <v>18993</v>
      </c>
      <c r="E4687" t="s">
        <v>23260</v>
      </c>
      <c r="F4687" t="s">
        <v>32606</v>
      </c>
      <c r="G4687" t="s">
        <v>32613</v>
      </c>
      <c r="H4687" t="s">
        <v>14201</v>
      </c>
      <c r="I4687" t="s">
        <v>6298</v>
      </c>
      <c r="J4687" t="s">
        <v>35872</v>
      </c>
      <c r="K4687" t="s">
        <v>42623</v>
      </c>
      <c r="M4687" t="s">
        <v>44742</v>
      </c>
      <c r="N4687" t="s">
        <v>47304</v>
      </c>
      <c r="O4687" t="s">
        <v>47305</v>
      </c>
      <c r="P4687">
        <v>0</v>
      </c>
      <c r="Q4687">
        <v>0</v>
      </c>
      <c r="R4687" t="s">
        <v>47306</v>
      </c>
      <c r="S4687" t="s">
        <v>47414</v>
      </c>
      <c r="T4687" t="s">
        <v>49033</v>
      </c>
      <c r="U4687" t="s">
        <v>53471</v>
      </c>
      <c r="W4687" t="s">
        <v>44742</v>
      </c>
      <c r="X4687" t="s">
        <v>47308</v>
      </c>
    </row>
    <row r="4688" spans="1:24">
      <c r="A4688">
        <f>HYPERLINK("https://www.philgeps.gov.ph/GEPSNONPILOT/Tender/SplashBidNoticeAbstractUI.aspx?menuIndex=3&amp;refID=7197320&amp;Result=3","7197320")</f>
        <v>0</v>
      </c>
      <c r="B4688" t="s">
        <v>101</v>
      </c>
      <c r="C4688" t="s">
        <v>8280</v>
      </c>
      <c r="D4688" t="s">
        <v>18993</v>
      </c>
      <c r="E4688" t="s">
        <v>23261</v>
      </c>
      <c r="F4688" t="s">
        <v>32606</v>
      </c>
      <c r="G4688" t="s">
        <v>32614</v>
      </c>
      <c r="H4688" t="s">
        <v>14201</v>
      </c>
      <c r="I4688" t="s">
        <v>32652</v>
      </c>
      <c r="J4688" t="s">
        <v>35873</v>
      </c>
      <c r="K4688" t="s">
        <v>42630</v>
      </c>
      <c r="M4688" t="s">
        <v>44737</v>
      </c>
      <c r="N4688" t="s">
        <v>47304</v>
      </c>
      <c r="O4688" t="s">
        <v>47305</v>
      </c>
      <c r="P4688">
        <v>0</v>
      </c>
      <c r="Q4688">
        <v>0</v>
      </c>
      <c r="R4688" t="s">
        <v>47306</v>
      </c>
      <c r="S4688" t="s">
        <v>47414</v>
      </c>
      <c r="T4688" t="s">
        <v>48980</v>
      </c>
      <c r="U4688" t="s">
        <v>53521</v>
      </c>
      <c r="W4688" t="s">
        <v>44737</v>
      </c>
      <c r="X4688" t="s">
        <v>47308</v>
      </c>
    </row>
    <row r="4689" spans="1:24">
      <c r="A4689">
        <f>HYPERLINK("https://www.philgeps.gov.ph/GEPSNONPILOT/Tender/SplashBidNoticeAbstractUI.aspx?menuIndex=3&amp;refID=7197326&amp;Result=3","7197326")</f>
        <v>0</v>
      </c>
      <c r="B4689" t="s">
        <v>1671</v>
      </c>
      <c r="C4689" t="s">
        <v>8281</v>
      </c>
      <c r="D4689" t="s">
        <v>18993</v>
      </c>
      <c r="E4689" t="s">
        <v>8281</v>
      </c>
      <c r="F4689" t="s">
        <v>32606</v>
      </c>
      <c r="G4689" t="s">
        <v>32613</v>
      </c>
      <c r="H4689" t="s">
        <v>14201</v>
      </c>
      <c r="I4689" t="s">
        <v>32638</v>
      </c>
      <c r="J4689" t="s">
        <v>35874</v>
      </c>
      <c r="K4689" t="s">
        <v>42631</v>
      </c>
      <c r="M4689" t="s">
        <v>44698</v>
      </c>
      <c r="N4689" t="s">
        <v>47304</v>
      </c>
      <c r="O4689" t="s">
        <v>47305</v>
      </c>
      <c r="P4689">
        <v>0</v>
      </c>
      <c r="Q4689">
        <v>5</v>
      </c>
      <c r="R4689" t="s">
        <v>47306</v>
      </c>
      <c r="S4689" t="s">
        <v>47414</v>
      </c>
      <c r="T4689" t="s">
        <v>48990</v>
      </c>
      <c r="U4689" t="s">
        <v>53544</v>
      </c>
      <c r="W4689" t="s">
        <v>44698</v>
      </c>
      <c r="X4689" t="s">
        <v>47308</v>
      </c>
    </row>
    <row r="4690" spans="1:24">
      <c r="A4690">
        <f>HYPERLINK("https://www.philgeps.gov.ph/GEPSNONPILOT/Tender/SplashBidNoticeAbstractUI.aspx?menuIndex=3&amp;refID=7197344&amp;Result=3","7197344")</f>
        <v>0</v>
      </c>
      <c r="B4690" t="s">
        <v>1718</v>
      </c>
      <c r="C4690" t="s">
        <v>8282</v>
      </c>
      <c r="D4690" t="s">
        <v>18994</v>
      </c>
      <c r="E4690" t="s">
        <v>23262</v>
      </c>
      <c r="F4690" t="s">
        <v>32606</v>
      </c>
      <c r="G4690" t="s">
        <v>32613</v>
      </c>
      <c r="H4690" t="s">
        <v>32623</v>
      </c>
      <c r="I4690" t="s">
        <v>17648</v>
      </c>
      <c r="J4690" t="s">
        <v>35875</v>
      </c>
      <c r="K4690" t="s">
        <v>42750</v>
      </c>
      <c r="M4690" t="s">
        <v>44750</v>
      </c>
      <c r="N4690" t="s">
        <v>47304</v>
      </c>
      <c r="O4690" t="s">
        <v>47305</v>
      </c>
      <c r="P4690">
        <v>0</v>
      </c>
      <c r="Q4690">
        <v>0</v>
      </c>
      <c r="R4690" t="s">
        <v>47306</v>
      </c>
      <c r="S4690" t="s">
        <v>47414</v>
      </c>
      <c r="T4690" t="s">
        <v>48991</v>
      </c>
      <c r="U4690" t="s">
        <v>53547</v>
      </c>
      <c r="W4690" t="s">
        <v>44750</v>
      </c>
      <c r="X4690" t="s">
        <v>47308</v>
      </c>
    </row>
    <row r="4691" spans="1:24">
      <c r="A4691">
        <f>HYPERLINK("https://www.philgeps.gov.ph/GEPSNONPILOT/Tender/SplashBidNoticeAbstractUI.aspx?menuIndex=3&amp;refID=7197279&amp;Result=3","7197279")</f>
        <v>0</v>
      </c>
      <c r="B4691" t="s">
        <v>1696</v>
      </c>
      <c r="C4691" t="s">
        <v>8283</v>
      </c>
      <c r="D4691" t="s">
        <v>18993</v>
      </c>
      <c r="E4691" t="s">
        <v>23263</v>
      </c>
      <c r="F4691" t="s">
        <v>32606</v>
      </c>
      <c r="G4691" t="s">
        <v>32613</v>
      </c>
      <c r="H4691" t="s">
        <v>14201</v>
      </c>
      <c r="I4691" t="s">
        <v>4112</v>
      </c>
      <c r="J4691" t="s">
        <v>35876</v>
      </c>
      <c r="K4691" t="s">
        <v>42623</v>
      </c>
      <c r="M4691" t="s">
        <v>44742</v>
      </c>
      <c r="N4691" t="s">
        <v>47304</v>
      </c>
      <c r="O4691" t="s">
        <v>47305</v>
      </c>
      <c r="P4691">
        <v>0</v>
      </c>
      <c r="Q4691">
        <v>0</v>
      </c>
      <c r="R4691" t="s">
        <v>47306</v>
      </c>
      <c r="S4691" t="s">
        <v>47414</v>
      </c>
      <c r="T4691" t="s">
        <v>49033</v>
      </c>
      <c r="U4691" t="s">
        <v>53480</v>
      </c>
      <c r="W4691" t="s">
        <v>44742</v>
      </c>
      <c r="X4691" t="s">
        <v>47308</v>
      </c>
    </row>
    <row r="4692" spans="1:24">
      <c r="A4692">
        <f>HYPERLINK("https://www.philgeps.gov.ph/GEPSNONPILOT/Tender/SplashBidNoticeAbstractUI.aspx?menuIndex=3&amp;refID=7197332&amp;Result=3","7197332")</f>
        <v>0</v>
      </c>
      <c r="B4692" t="s">
        <v>1671</v>
      </c>
      <c r="C4692" t="s">
        <v>8284</v>
      </c>
      <c r="D4692" t="s">
        <v>18993</v>
      </c>
      <c r="E4692" t="s">
        <v>8284</v>
      </c>
      <c r="F4692" t="s">
        <v>32606</v>
      </c>
      <c r="G4692" t="s">
        <v>32613</v>
      </c>
      <c r="H4692" t="s">
        <v>14201</v>
      </c>
      <c r="I4692" t="s">
        <v>32638</v>
      </c>
      <c r="J4692" t="s">
        <v>35877</v>
      </c>
      <c r="K4692" t="s">
        <v>42631</v>
      </c>
      <c r="M4692" t="s">
        <v>44698</v>
      </c>
      <c r="N4692" t="s">
        <v>47304</v>
      </c>
      <c r="O4692" t="s">
        <v>47305</v>
      </c>
      <c r="P4692">
        <v>0</v>
      </c>
      <c r="Q4692">
        <v>5</v>
      </c>
      <c r="R4692" t="s">
        <v>47306</v>
      </c>
      <c r="S4692" t="s">
        <v>47414</v>
      </c>
      <c r="T4692" t="s">
        <v>48990</v>
      </c>
      <c r="U4692" t="s">
        <v>53544</v>
      </c>
      <c r="W4692" t="s">
        <v>44698</v>
      </c>
      <c r="X4692" t="s">
        <v>47308</v>
      </c>
    </row>
    <row r="4693" spans="1:24">
      <c r="A4693">
        <f>HYPERLINK("https://www.philgeps.gov.ph/GEPSNONPILOT/Tender/SplashBidNoticeAbstractUI.aspx?menuIndex=3&amp;refID=7197329&amp;Result=3","7197329")</f>
        <v>0</v>
      </c>
      <c r="B4693" t="s">
        <v>1671</v>
      </c>
      <c r="C4693" t="s">
        <v>8285</v>
      </c>
      <c r="D4693" t="s">
        <v>18993</v>
      </c>
      <c r="E4693" t="s">
        <v>8285</v>
      </c>
      <c r="F4693" t="s">
        <v>32606</v>
      </c>
      <c r="G4693" t="s">
        <v>32613</v>
      </c>
      <c r="H4693" t="s">
        <v>14201</v>
      </c>
      <c r="I4693" t="s">
        <v>32638</v>
      </c>
      <c r="J4693" t="s">
        <v>32772</v>
      </c>
      <c r="K4693" t="s">
        <v>42631</v>
      </c>
      <c r="M4693" t="s">
        <v>44698</v>
      </c>
      <c r="N4693" t="s">
        <v>47304</v>
      </c>
      <c r="O4693" t="s">
        <v>47305</v>
      </c>
      <c r="P4693">
        <v>0</v>
      </c>
      <c r="Q4693">
        <v>4</v>
      </c>
      <c r="R4693" t="s">
        <v>47306</v>
      </c>
      <c r="S4693" t="s">
        <v>47414</v>
      </c>
      <c r="T4693" t="s">
        <v>48990</v>
      </c>
      <c r="U4693" t="s">
        <v>53544</v>
      </c>
      <c r="W4693" t="s">
        <v>44698</v>
      </c>
      <c r="X4693" t="s">
        <v>47308</v>
      </c>
    </row>
    <row r="4694" spans="1:24">
      <c r="A4694">
        <f>HYPERLINK("https://www.philgeps.gov.ph/GEPSNONPILOT/Tender/SplashBidNoticeAbstractUI.aspx?menuIndex=3&amp;refID=7197327&amp;Result=3","7197327")</f>
        <v>0</v>
      </c>
      <c r="B4694" t="s">
        <v>1727</v>
      </c>
      <c r="C4694" t="s">
        <v>8286</v>
      </c>
      <c r="D4694" t="s">
        <v>19016</v>
      </c>
      <c r="E4694" t="s">
        <v>21066</v>
      </c>
      <c r="F4694" t="s">
        <v>32606</v>
      </c>
      <c r="G4694" t="s">
        <v>32613</v>
      </c>
      <c r="H4694" t="s">
        <v>32623</v>
      </c>
      <c r="I4694" t="s">
        <v>17648</v>
      </c>
      <c r="J4694" t="s">
        <v>35878</v>
      </c>
      <c r="K4694" t="s">
        <v>42631</v>
      </c>
      <c r="L4694" t="s">
        <v>1727</v>
      </c>
      <c r="M4694" t="s">
        <v>44759</v>
      </c>
      <c r="N4694" t="s">
        <v>47304</v>
      </c>
      <c r="O4694" t="s">
        <v>47305</v>
      </c>
      <c r="P4694">
        <v>0</v>
      </c>
      <c r="Q4694">
        <v>3</v>
      </c>
      <c r="R4694" t="s">
        <v>47306</v>
      </c>
      <c r="S4694" t="s">
        <v>47414</v>
      </c>
      <c r="T4694" t="s">
        <v>49016</v>
      </c>
      <c r="U4694" t="s">
        <v>53548</v>
      </c>
      <c r="V4694" t="s">
        <v>63086</v>
      </c>
      <c r="W4694" t="s">
        <v>44759</v>
      </c>
      <c r="X4694" t="s">
        <v>47308</v>
      </c>
    </row>
    <row r="4695" spans="1:24">
      <c r="A4695">
        <f>HYPERLINK("https://www.philgeps.gov.ph/GEPSNONPILOT/Tender/SplashBidNoticeAbstractUI.aspx?menuIndex=3&amp;refID=7197362&amp;Result=3","7197362")</f>
        <v>0</v>
      </c>
      <c r="B4695" t="s">
        <v>1092</v>
      </c>
      <c r="C4695" t="s">
        <v>8287</v>
      </c>
      <c r="D4695" t="s">
        <v>18993</v>
      </c>
      <c r="E4695" t="s">
        <v>23264</v>
      </c>
      <c r="F4695" t="s">
        <v>32606</v>
      </c>
      <c r="G4695" t="s">
        <v>32617</v>
      </c>
      <c r="H4695" t="s">
        <v>14201</v>
      </c>
      <c r="I4695" t="s">
        <v>4120</v>
      </c>
      <c r="J4695" t="s">
        <v>35879</v>
      </c>
      <c r="K4695" t="s">
        <v>42624</v>
      </c>
      <c r="M4695" t="s">
        <v>44048</v>
      </c>
      <c r="N4695" t="s">
        <v>47304</v>
      </c>
      <c r="O4695" t="s">
        <v>47305</v>
      </c>
      <c r="P4695">
        <v>0</v>
      </c>
      <c r="Q4695">
        <v>2</v>
      </c>
      <c r="R4695" t="s">
        <v>47306</v>
      </c>
      <c r="S4695" t="s">
        <v>47414</v>
      </c>
      <c r="T4695" t="s">
        <v>49061</v>
      </c>
      <c r="U4695" t="s">
        <v>53549</v>
      </c>
      <c r="W4695" t="s">
        <v>44048</v>
      </c>
      <c r="X4695" t="s">
        <v>47308</v>
      </c>
    </row>
    <row r="4696" spans="1:24">
      <c r="A4696">
        <f>HYPERLINK("https://www.philgeps.gov.ph/GEPSNONPILOT/Tender/SplashBidNoticeAbstractUI.aspx?menuIndex=3&amp;refID=7197325&amp;Result=3","7197325")</f>
        <v>0</v>
      </c>
      <c r="B4696" t="s">
        <v>1728</v>
      </c>
      <c r="C4696" t="s">
        <v>8288</v>
      </c>
      <c r="E4696" t="s">
        <v>23265</v>
      </c>
      <c r="F4696" t="s">
        <v>32606</v>
      </c>
      <c r="G4696" t="s">
        <v>32613</v>
      </c>
      <c r="H4696" t="s">
        <v>14201</v>
      </c>
      <c r="I4696" t="s">
        <v>6298</v>
      </c>
      <c r="J4696" t="s">
        <v>35880</v>
      </c>
      <c r="K4696" t="s">
        <v>42624</v>
      </c>
      <c r="M4696" t="s">
        <v>44760</v>
      </c>
      <c r="N4696" t="s">
        <v>47304</v>
      </c>
      <c r="O4696" t="s">
        <v>47305</v>
      </c>
      <c r="P4696">
        <v>0</v>
      </c>
      <c r="Q4696">
        <v>1</v>
      </c>
      <c r="R4696" t="s">
        <v>47306</v>
      </c>
      <c r="S4696" t="s">
        <v>47414</v>
      </c>
      <c r="T4696" t="s">
        <v>48976</v>
      </c>
      <c r="U4696" t="s">
        <v>53550</v>
      </c>
      <c r="W4696" t="s">
        <v>44760</v>
      </c>
      <c r="X4696" t="s">
        <v>47308</v>
      </c>
    </row>
    <row r="4697" spans="1:24">
      <c r="A4697">
        <f>HYPERLINK("https://www.philgeps.gov.ph/GEPSNONPILOT/Tender/SplashBidNoticeAbstractUI.aspx?menuIndex=3&amp;refID=7197361&amp;Result=3","7197361")</f>
        <v>0</v>
      </c>
      <c r="B4697" t="s">
        <v>81</v>
      </c>
      <c r="C4697" t="s">
        <v>8289</v>
      </c>
      <c r="D4697" t="s">
        <v>18995</v>
      </c>
      <c r="E4697" t="s">
        <v>23266</v>
      </c>
      <c r="F4697" t="s">
        <v>32606</v>
      </c>
      <c r="G4697" t="s">
        <v>32614</v>
      </c>
      <c r="H4697" t="s">
        <v>14201</v>
      </c>
      <c r="I4697" t="s">
        <v>6931</v>
      </c>
      <c r="J4697" t="s">
        <v>34545</v>
      </c>
      <c r="K4697" t="s">
        <v>42624</v>
      </c>
      <c r="M4697" t="s">
        <v>42978</v>
      </c>
      <c r="N4697" t="s">
        <v>47304</v>
      </c>
      <c r="O4697" t="s">
        <v>47305</v>
      </c>
      <c r="P4697">
        <v>0</v>
      </c>
      <c r="Q4697">
        <v>0</v>
      </c>
      <c r="R4697" t="s">
        <v>47306</v>
      </c>
      <c r="S4697" t="s">
        <v>47414</v>
      </c>
      <c r="T4697" t="s">
        <v>49014</v>
      </c>
      <c r="U4697" t="s">
        <v>53551</v>
      </c>
      <c r="W4697" t="s">
        <v>42978</v>
      </c>
      <c r="X4697" t="s">
        <v>47308</v>
      </c>
    </row>
    <row r="4698" spans="1:24">
      <c r="A4698">
        <f>HYPERLINK("https://www.philgeps.gov.ph/GEPSNONPILOT/Tender/SplashBidNoticeAbstractUI.aspx?menuIndex=3&amp;refID=7197278&amp;Result=3","7197278")</f>
        <v>0</v>
      </c>
      <c r="B4698" t="s">
        <v>1696</v>
      </c>
      <c r="C4698" t="s">
        <v>8290</v>
      </c>
      <c r="D4698" t="s">
        <v>18993</v>
      </c>
      <c r="E4698" t="s">
        <v>23267</v>
      </c>
      <c r="F4698" t="s">
        <v>32606</v>
      </c>
      <c r="G4698" t="s">
        <v>32613</v>
      </c>
      <c r="H4698" t="s">
        <v>14201</v>
      </c>
      <c r="I4698" t="s">
        <v>6298</v>
      </c>
      <c r="J4698" t="s">
        <v>35881</v>
      </c>
      <c r="K4698" t="s">
        <v>42623</v>
      </c>
      <c r="M4698" t="s">
        <v>44734</v>
      </c>
      <c r="N4698" t="s">
        <v>47304</v>
      </c>
      <c r="O4698" t="s">
        <v>47305</v>
      </c>
      <c r="P4698">
        <v>0</v>
      </c>
      <c r="Q4698">
        <v>0</v>
      </c>
      <c r="R4698" t="s">
        <v>47306</v>
      </c>
      <c r="S4698" t="s">
        <v>47414</v>
      </c>
      <c r="T4698" t="s">
        <v>48995</v>
      </c>
      <c r="U4698" t="s">
        <v>53471</v>
      </c>
      <c r="W4698" t="s">
        <v>44734</v>
      </c>
      <c r="X4698" t="s">
        <v>47308</v>
      </c>
    </row>
    <row r="4699" spans="1:24">
      <c r="A4699">
        <f>HYPERLINK("https://www.philgeps.gov.ph/GEPSNONPILOT/Tender/SplashBidNoticeAbstractUI.aspx?menuIndex=3&amp;refID=7197359&amp;Result=3","7197359")</f>
        <v>0</v>
      </c>
      <c r="B4699" t="s">
        <v>131</v>
      </c>
      <c r="C4699" t="s">
        <v>8291</v>
      </c>
      <c r="D4699" t="s">
        <v>18993</v>
      </c>
      <c r="E4699" t="s">
        <v>23268</v>
      </c>
      <c r="F4699" t="s">
        <v>32606</v>
      </c>
      <c r="G4699" t="s">
        <v>32613</v>
      </c>
      <c r="H4699" t="s">
        <v>14201</v>
      </c>
      <c r="I4699" t="s">
        <v>4678</v>
      </c>
      <c r="J4699" t="s">
        <v>35882</v>
      </c>
      <c r="K4699" t="s">
        <v>42631</v>
      </c>
      <c r="M4699" t="s">
        <v>43032</v>
      </c>
      <c r="N4699" t="s">
        <v>47304</v>
      </c>
      <c r="O4699" t="s">
        <v>47305</v>
      </c>
      <c r="P4699">
        <v>0</v>
      </c>
      <c r="Q4699">
        <v>5</v>
      </c>
      <c r="R4699" t="s">
        <v>47306</v>
      </c>
      <c r="S4699" t="s">
        <v>47414</v>
      </c>
      <c r="T4699" t="s">
        <v>49032</v>
      </c>
      <c r="U4699" t="s">
        <v>53552</v>
      </c>
      <c r="W4699" t="s">
        <v>43032</v>
      </c>
      <c r="X4699" t="s">
        <v>47308</v>
      </c>
    </row>
    <row r="4700" spans="1:24">
      <c r="A4700">
        <f>HYPERLINK("https://www.philgeps.gov.ph/GEPSNONPILOT/Tender/SplashBidNoticeAbstractUI.aspx?menuIndex=3&amp;refID=7197358&amp;Result=3","7197358")</f>
        <v>0</v>
      </c>
      <c r="B4700" t="s">
        <v>1721</v>
      </c>
      <c r="C4700" t="s">
        <v>8292</v>
      </c>
      <c r="D4700" t="s">
        <v>18993</v>
      </c>
      <c r="E4700" t="s">
        <v>23269</v>
      </c>
      <c r="F4700" t="s">
        <v>32606</v>
      </c>
      <c r="G4700" t="s">
        <v>32617</v>
      </c>
      <c r="H4700" t="s">
        <v>14201</v>
      </c>
      <c r="I4700" t="s">
        <v>6014</v>
      </c>
      <c r="J4700" t="s">
        <v>35546</v>
      </c>
      <c r="K4700" t="s">
        <v>42623</v>
      </c>
      <c r="M4700" t="s">
        <v>44753</v>
      </c>
      <c r="N4700" t="s">
        <v>47304</v>
      </c>
      <c r="O4700" t="s">
        <v>47305</v>
      </c>
      <c r="P4700">
        <v>0</v>
      </c>
      <c r="Q4700">
        <v>1</v>
      </c>
      <c r="R4700" t="s">
        <v>47306</v>
      </c>
      <c r="S4700" t="s">
        <v>47414</v>
      </c>
      <c r="T4700" t="s">
        <v>49004</v>
      </c>
      <c r="U4700" t="s">
        <v>53553</v>
      </c>
      <c r="V4700" t="s">
        <v>63087</v>
      </c>
      <c r="W4700" t="s">
        <v>44753</v>
      </c>
      <c r="X4700" t="s">
        <v>47308</v>
      </c>
    </row>
    <row r="4701" spans="1:24">
      <c r="A4701">
        <f>HYPERLINK("https://www.philgeps.gov.ph/GEPSNONPILOT/Tender/SplashBidNoticeAbstractUI.aspx?menuIndex=3&amp;refID=7197356&amp;Result=3","7197356")</f>
        <v>0</v>
      </c>
      <c r="B4701" t="s">
        <v>519</v>
      </c>
      <c r="C4701" t="s">
        <v>8293</v>
      </c>
      <c r="E4701" t="s">
        <v>23270</v>
      </c>
      <c r="F4701" t="s">
        <v>32606</v>
      </c>
      <c r="G4701" t="s">
        <v>32614</v>
      </c>
      <c r="H4701" t="s">
        <v>14201</v>
      </c>
      <c r="I4701" t="s">
        <v>32648</v>
      </c>
      <c r="J4701" t="s">
        <v>32949</v>
      </c>
      <c r="K4701" t="s">
        <v>42624</v>
      </c>
      <c r="M4701" t="s">
        <v>43432</v>
      </c>
      <c r="N4701" t="s">
        <v>47304</v>
      </c>
      <c r="O4701" t="s">
        <v>47305</v>
      </c>
      <c r="P4701">
        <v>0</v>
      </c>
      <c r="Q4701">
        <v>5</v>
      </c>
      <c r="R4701" t="s">
        <v>47306</v>
      </c>
      <c r="S4701" t="s">
        <v>47414</v>
      </c>
      <c r="T4701" t="s">
        <v>48980</v>
      </c>
      <c r="U4701" t="s">
        <v>53554</v>
      </c>
      <c r="W4701" t="s">
        <v>43432</v>
      </c>
      <c r="X4701" t="s">
        <v>47308</v>
      </c>
    </row>
    <row r="4702" spans="1:24">
      <c r="A4702">
        <f>HYPERLINK("https://www.philgeps.gov.ph/GEPSNONPILOT/Tender/SplashBidNoticeAbstractUI.aspx?menuIndex=3&amp;refID=7197338&amp;Result=3","7197338")</f>
        <v>0</v>
      </c>
      <c r="B4702" t="s">
        <v>1696</v>
      </c>
      <c r="C4702" t="s">
        <v>8294</v>
      </c>
      <c r="D4702" t="s">
        <v>18993</v>
      </c>
      <c r="E4702" t="s">
        <v>23271</v>
      </c>
      <c r="F4702" t="s">
        <v>32606</v>
      </c>
      <c r="G4702" t="s">
        <v>32613</v>
      </c>
      <c r="H4702" t="s">
        <v>14201</v>
      </c>
      <c r="I4702" t="s">
        <v>6298</v>
      </c>
      <c r="J4702" t="s">
        <v>35883</v>
      </c>
      <c r="K4702" t="s">
        <v>42623</v>
      </c>
      <c r="M4702" t="s">
        <v>44742</v>
      </c>
      <c r="N4702" t="s">
        <v>47304</v>
      </c>
      <c r="O4702" t="s">
        <v>47305</v>
      </c>
      <c r="P4702">
        <v>0</v>
      </c>
      <c r="Q4702">
        <v>0</v>
      </c>
      <c r="R4702" t="s">
        <v>47306</v>
      </c>
      <c r="S4702" t="s">
        <v>47414</v>
      </c>
      <c r="T4702" t="s">
        <v>49033</v>
      </c>
      <c r="U4702" t="s">
        <v>53471</v>
      </c>
      <c r="W4702" t="s">
        <v>44742</v>
      </c>
      <c r="X4702" t="s">
        <v>47308</v>
      </c>
    </row>
    <row r="4703" spans="1:24">
      <c r="A4703">
        <f>HYPERLINK("https://www.philgeps.gov.ph/GEPSNONPILOT/Tender/SplashBidNoticeAbstractUI.aspx?menuIndex=3&amp;refID=7197355&amp;Result=3","7197355")</f>
        <v>0</v>
      </c>
      <c r="B4703" t="s">
        <v>1718</v>
      </c>
      <c r="C4703" t="s">
        <v>8295</v>
      </c>
      <c r="D4703" t="s">
        <v>18994</v>
      </c>
      <c r="E4703" t="s">
        <v>23272</v>
      </c>
      <c r="F4703" t="s">
        <v>32606</v>
      </c>
      <c r="G4703" t="s">
        <v>32613</v>
      </c>
      <c r="H4703" t="s">
        <v>32623</v>
      </c>
      <c r="I4703" t="s">
        <v>17648</v>
      </c>
      <c r="J4703" t="s">
        <v>35884</v>
      </c>
      <c r="K4703" t="s">
        <v>42647</v>
      </c>
      <c r="M4703" t="s">
        <v>44750</v>
      </c>
      <c r="N4703" t="s">
        <v>47304</v>
      </c>
      <c r="O4703" t="s">
        <v>47305</v>
      </c>
      <c r="P4703">
        <v>0</v>
      </c>
      <c r="Q4703">
        <v>0</v>
      </c>
      <c r="R4703" t="s">
        <v>47306</v>
      </c>
      <c r="S4703" t="s">
        <v>47414</v>
      </c>
      <c r="T4703" t="s">
        <v>48991</v>
      </c>
      <c r="U4703" t="s">
        <v>53547</v>
      </c>
      <c r="W4703" t="s">
        <v>44750</v>
      </c>
      <c r="X4703" t="s">
        <v>47308</v>
      </c>
    </row>
    <row r="4704" spans="1:24">
      <c r="A4704">
        <f>HYPERLINK("https://www.philgeps.gov.ph/GEPSNONPILOT/Tender/SplashBidNoticeAbstractUI.aspx?menuIndex=3&amp;refID=7197351&amp;Result=3","7197351")</f>
        <v>0</v>
      </c>
      <c r="B4704" t="s">
        <v>1709</v>
      </c>
      <c r="C4704" t="s">
        <v>8296</v>
      </c>
      <c r="D4704" t="s">
        <v>19032</v>
      </c>
      <c r="E4704" t="s">
        <v>23273</v>
      </c>
      <c r="F4704" t="s">
        <v>32606</v>
      </c>
      <c r="G4704" t="s">
        <v>32614</v>
      </c>
      <c r="H4704" t="s">
        <v>14201</v>
      </c>
      <c r="I4704" t="s">
        <v>32648</v>
      </c>
      <c r="J4704" t="s">
        <v>33291</v>
      </c>
      <c r="K4704" t="s">
        <v>42630</v>
      </c>
      <c r="M4704" t="s">
        <v>44740</v>
      </c>
      <c r="N4704" t="s">
        <v>47304</v>
      </c>
      <c r="O4704" t="s">
        <v>47305</v>
      </c>
      <c r="P4704">
        <v>0</v>
      </c>
      <c r="Q4704">
        <v>0</v>
      </c>
      <c r="R4704" t="s">
        <v>47306</v>
      </c>
      <c r="S4704" t="s">
        <v>47414</v>
      </c>
      <c r="T4704" t="s">
        <v>49107</v>
      </c>
      <c r="U4704" t="s">
        <v>53555</v>
      </c>
      <c r="V4704" t="s">
        <v>63082</v>
      </c>
      <c r="W4704" t="s">
        <v>44740</v>
      </c>
      <c r="X4704" t="s">
        <v>47308</v>
      </c>
    </row>
    <row r="4705" spans="1:24">
      <c r="A4705">
        <f>HYPERLINK("https://www.philgeps.gov.ph/GEPSNONPILOT/Tender/SplashBidNoticeAbstractUI.aspx?menuIndex=3&amp;refID=7197364&amp;Result=3","7197364")</f>
        <v>0</v>
      </c>
      <c r="B4705" t="s">
        <v>1715</v>
      </c>
      <c r="C4705" t="s">
        <v>8297</v>
      </c>
      <c r="E4705" t="s">
        <v>23274</v>
      </c>
      <c r="F4705" t="s">
        <v>32606</v>
      </c>
      <c r="G4705" t="s">
        <v>32613</v>
      </c>
      <c r="H4705" t="s">
        <v>32623</v>
      </c>
      <c r="I4705" t="s">
        <v>17648</v>
      </c>
      <c r="J4705" t="s">
        <v>35885</v>
      </c>
      <c r="K4705" t="s">
        <v>42762</v>
      </c>
      <c r="M4705" t="s">
        <v>44747</v>
      </c>
      <c r="N4705" t="s">
        <v>47304</v>
      </c>
      <c r="O4705" t="s">
        <v>47305</v>
      </c>
      <c r="P4705">
        <v>0</v>
      </c>
      <c r="Q4705">
        <v>3</v>
      </c>
      <c r="R4705" t="s">
        <v>47306</v>
      </c>
      <c r="S4705" t="s">
        <v>47414</v>
      </c>
      <c r="T4705" t="s">
        <v>49009</v>
      </c>
      <c r="U4705" t="s">
        <v>53556</v>
      </c>
      <c r="W4705" t="s">
        <v>44747</v>
      </c>
      <c r="X4705" t="s">
        <v>47308</v>
      </c>
    </row>
    <row r="4706" spans="1:24">
      <c r="A4706">
        <f>HYPERLINK("https://www.philgeps.gov.ph/GEPSNONPILOT/Tender/SplashBidNoticeAbstractUI.aspx?menuIndex=3&amp;refID=7197350&amp;Result=3","7197350")</f>
        <v>0</v>
      </c>
      <c r="B4706" t="s">
        <v>1644</v>
      </c>
      <c r="C4706" t="s">
        <v>8298</v>
      </c>
      <c r="D4706" t="s">
        <v>19022</v>
      </c>
      <c r="E4706" t="s">
        <v>23275</v>
      </c>
      <c r="F4706" t="s">
        <v>32606</v>
      </c>
      <c r="G4706" t="s">
        <v>32614</v>
      </c>
      <c r="H4706" t="s">
        <v>14201</v>
      </c>
      <c r="I4706" t="s">
        <v>32629</v>
      </c>
      <c r="J4706" t="s">
        <v>33526</v>
      </c>
      <c r="K4706" t="s">
        <v>42630</v>
      </c>
      <c r="M4706" t="s">
        <v>44665</v>
      </c>
      <c r="N4706" t="s">
        <v>47304</v>
      </c>
      <c r="O4706" t="s">
        <v>47305</v>
      </c>
      <c r="P4706">
        <v>0</v>
      </c>
      <c r="Q4706">
        <v>0</v>
      </c>
      <c r="R4706" t="s">
        <v>47306</v>
      </c>
      <c r="S4706" t="s">
        <v>47414</v>
      </c>
      <c r="T4706" t="s">
        <v>49004</v>
      </c>
      <c r="U4706" t="s">
        <v>53499</v>
      </c>
      <c r="W4706" t="s">
        <v>64478</v>
      </c>
      <c r="X4706" t="s">
        <v>47308</v>
      </c>
    </row>
    <row r="4707" spans="1:24">
      <c r="A4707">
        <f>HYPERLINK("https://www.philgeps.gov.ph/GEPSNONPILOT/Tender/SplashBidNoticeAbstractUI.aspx?menuIndex=3&amp;refID=7197357&amp;Result=3","7197357")</f>
        <v>0</v>
      </c>
      <c r="B4707" t="s">
        <v>1729</v>
      </c>
      <c r="C4707" t="s">
        <v>8299</v>
      </c>
      <c r="D4707" t="s">
        <v>18995</v>
      </c>
      <c r="E4707" t="s">
        <v>23276</v>
      </c>
      <c r="F4707" t="s">
        <v>32606</v>
      </c>
      <c r="G4707" t="s">
        <v>32614</v>
      </c>
      <c r="H4707" t="s">
        <v>32624</v>
      </c>
      <c r="I4707" t="s">
        <v>7064</v>
      </c>
      <c r="J4707" t="s">
        <v>33195</v>
      </c>
      <c r="K4707" t="s">
        <v>42622</v>
      </c>
      <c r="M4707" t="s">
        <v>44761</v>
      </c>
      <c r="N4707" t="s">
        <v>47304</v>
      </c>
      <c r="O4707" t="s">
        <v>47305</v>
      </c>
      <c r="P4707">
        <v>0</v>
      </c>
      <c r="Q4707">
        <v>0</v>
      </c>
      <c r="R4707" t="s">
        <v>47306</v>
      </c>
      <c r="S4707" t="s">
        <v>47414</v>
      </c>
      <c r="T4707" t="s">
        <v>48997</v>
      </c>
      <c r="U4707" t="s">
        <v>53557</v>
      </c>
      <c r="W4707" t="s">
        <v>44761</v>
      </c>
      <c r="X4707" t="s">
        <v>47308</v>
      </c>
    </row>
    <row r="4708" spans="1:24">
      <c r="A4708">
        <f>HYPERLINK("https://www.philgeps.gov.ph/GEPSNONPILOT/Tender/SplashBidNoticeAbstractUI.aspx?menuIndex=3&amp;refID=7197353&amp;Result=3","7197353")</f>
        <v>0</v>
      </c>
      <c r="B4708" t="s">
        <v>424</v>
      </c>
      <c r="C4708" t="s">
        <v>8300</v>
      </c>
      <c r="D4708" t="s">
        <v>18992</v>
      </c>
      <c r="E4708" t="s">
        <v>19451</v>
      </c>
      <c r="F4708" t="s">
        <v>32606</v>
      </c>
      <c r="G4708" t="s">
        <v>32613</v>
      </c>
      <c r="H4708" t="s">
        <v>32623</v>
      </c>
      <c r="I4708" t="s">
        <v>17648</v>
      </c>
      <c r="J4708" t="s">
        <v>35858</v>
      </c>
      <c r="K4708" t="s">
        <v>42682</v>
      </c>
      <c r="M4708" t="s">
        <v>43328</v>
      </c>
      <c r="N4708" t="s">
        <v>47304</v>
      </c>
      <c r="O4708" t="s">
        <v>47305</v>
      </c>
      <c r="P4708">
        <v>0</v>
      </c>
      <c r="Q4708">
        <v>0</v>
      </c>
      <c r="R4708" t="s">
        <v>47306</v>
      </c>
      <c r="S4708" t="s">
        <v>47414</v>
      </c>
      <c r="T4708" t="s">
        <v>48986</v>
      </c>
      <c r="U4708" t="s">
        <v>53558</v>
      </c>
      <c r="W4708" t="s">
        <v>43328</v>
      </c>
      <c r="X4708" t="s">
        <v>47308</v>
      </c>
    </row>
    <row r="4709" spans="1:24">
      <c r="A4709">
        <f>HYPERLINK("https://www.philgeps.gov.ph/GEPSNONPILOT/Tender/SplashBidNoticeAbstractUI.aspx?menuIndex=3&amp;refID=7197386&amp;Result=3","7197386")</f>
        <v>0</v>
      </c>
      <c r="B4709" t="s">
        <v>1721</v>
      </c>
      <c r="C4709" t="s">
        <v>8262</v>
      </c>
      <c r="D4709" t="s">
        <v>18993</v>
      </c>
      <c r="E4709" t="s">
        <v>23277</v>
      </c>
      <c r="F4709" t="s">
        <v>32606</v>
      </c>
      <c r="G4709" t="s">
        <v>32614</v>
      </c>
      <c r="H4709" t="s">
        <v>14201</v>
      </c>
      <c r="I4709" t="s">
        <v>7577</v>
      </c>
      <c r="J4709" t="s">
        <v>35886</v>
      </c>
      <c r="K4709" t="s">
        <v>42623</v>
      </c>
      <c r="M4709" t="s">
        <v>44753</v>
      </c>
      <c r="N4709" t="s">
        <v>47304</v>
      </c>
      <c r="O4709" t="s">
        <v>47305</v>
      </c>
      <c r="P4709">
        <v>0</v>
      </c>
      <c r="Q4709">
        <v>2</v>
      </c>
      <c r="R4709" t="s">
        <v>47306</v>
      </c>
      <c r="S4709" t="s">
        <v>47414</v>
      </c>
      <c r="T4709" t="s">
        <v>49004</v>
      </c>
      <c r="U4709" t="s">
        <v>53559</v>
      </c>
      <c r="V4709" t="s">
        <v>63088</v>
      </c>
      <c r="W4709" t="s">
        <v>44753</v>
      </c>
      <c r="X4709" t="s">
        <v>47308</v>
      </c>
    </row>
    <row r="4710" spans="1:24">
      <c r="A4710">
        <f>HYPERLINK("https://www.philgeps.gov.ph/GEPSNONPILOT/Tender/SplashBidNoticeAbstractUI.aspx?menuIndex=3&amp;refID=7197385&amp;Result=3","7197385")</f>
        <v>0</v>
      </c>
      <c r="B4710" t="s">
        <v>1730</v>
      </c>
      <c r="C4710" t="s">
        <v>8301</v>
      </c>
      <c r="D4710" t="s">
        <v>18988</v>
      </c>
      <c r="E4710" t="s">
        <v>23278</v>
      </c>
      <c r="F4710" t="s">
        <v>32606</v>
      </c>
      <c r="G4710" t="s">
        <v>32613</v>
      </c>
      <c r="H4710" t="s">
        <v>14201</v>
      </c>
      <c r="I4710" t="s">
        <v>32641</v>
      </c>
      <c r="J4710" t="s">
        <v>33257</v>
      </c>
      <c r="K4710" t="s">
        <v>42637</v>
      </c>
      <c r="M4710" t="s">
        <v>44762</v>
      </c>
      <c r="N4710" t="s">
        <v>47304</v>
      </c>
      <c r="O4710" t="s">
        <v>47305</v>
      </c>
      <c r="P4710">
        <v>0</v>
      </c>
      <c r="Q4710">
        <v>0</v>
      </c>
      <c r="R4710" t="s">
        <v>47306</v>
      </c>
      <c r="S4710" t="s">
        <v>47414</v>
      </c>
      <c r="T4710" t="s">
        <v>49024</v>
      </c>
      <c r="U4710" t="s">
        <v>53560</v>
      </c>
      <c r="W4710" t="s">
        <v>44762</v>
      </c>
      <c r="X4710" t="s">
        <v>47308</v>
      </c>
    </row>
    <row r="4711" spans="1:24">
      <c r="A4711">
        <f>HYPERLINK("https://www.philgeps.gov.ph/GEPSNONPILOT/Tender/SplashBidNoticeAbstractUI.aspx?menuIndex=3&amp;refID=7197384&amp;Result=3","7197384")</f>
        <v>0</v>
      </c>
      <c r="B4711" t="s">
        <v>1715</v>
      </c>
      <c r="C4711" t="s">
        <v>8302</v>
      </c>
      <c r="E4711" t="s">
        <v>23279</v>
      </c>
      <c r="F4711" t="s">
        <v>32606</v>
      </c>
      <c r="G4711" t="s">
        <v>32613</v>
      </c>
      <c r="H4711" t="s">
        <v>32623</v>
      </c>
      <c r="I4711" t="s">
        <v>17648</v>
      </c>
      <c r="J4711" t="s">
        <v>35887</v>
      </c>
      <c r="K4711" t="s">
        <v>42762</v>
      </c>
      <c r="M4711" t="s">
        <v>44747</v>
      </c>
      <c r="N4711" t="s">
        <v>47304</v>
      </c>
      <c r="O4711" t="s">
        <v>47305</v>
      </c>
      <c r="P4711">
        <v>0</v>
      </c>
      <c r="Q4711">
        <v>4</v>
      </c>
      <c r="R4711" t="s">
        <v>47306</v>
      </c>
      <c r="S4711" t="s">
        <v>47414</v>
      </c>
      <c r="T4711" t="s">
        <v>49009</v>
      </c>
      <c r="U4711" t="s">
        <v>53561</v>
      </c>
      <c r="W4711" t="s">
        <v>44747</v>
      </c>
      <c r="X4711" t="s">
        <v>47308</v>
      </c>
    </row>
    <row r="4712" spans="1:24">
      <c r="A4712">
        <f>HYPERLINK("https://www.philgeps.gov.ph/GEPSNONPILOT/Tender/SplashBidNoticeAbstractUI.aspx?menuIndex=3&amp;refID=7197381&amp;Result=3","7197381")</f>
        <v>0</v>
      </c>
      <c r="B4712" t="s">
        <v>1731</v>
      </c>
      <c r="C4712" t="s">
        <v>8303</v>
      </c>
      <c r="D4712" t="s">
        <v>18991</v>
      </c>
      <c r="E4712" t="s">
        <v>23280</v>
      </c>
      <c r="F4712" t="s">
        <v>32607</v>
      </c>
      <c r="G4712" t="s">
        <v>32613</v>
      </c>
      <c r="H4712" t="s">
        <v>32623</v>
      </c>
      <c r="I4712" t="s">
        <v>32659</v>
      </c>
      <c r="J4712" t="s">
        <v>35888</v>
      </c>
      <c r="K4712" t="s">
        <v>42651</v>
      </c>
      <c r="L4712" t="s">
        <v>1731</v>
      </c>
      <c r="M4712" t="s">
        <v>44763</v>
      </c>
      <c r="N4712" t="s">
        <v>47304</v>
      </c>
      <c r="O4712" t="s">
        <v>47305</v>
      </c>
      <c r="P4712">
        <v>0</v>
      </c>
      <c r="Q4712">
        <v>0</v>
      </c>
      <c r="R4712" t="s">
        <v>47306</v>
      </c>
      <c r="S4712" t="s">
        <v>47414</v>
      </c>
      <c r="T4712" t="s">
        <v>49040</v>
      </c>
      <c r="U4712" t="s">
        <v>53562</v>
      </c>
      <c r="W4712" t="s">
        <v>44763</v>
      </c>
      <c r="X4712" t="s">
        <v>47308</v>
      </c>
    </row>
    <row r="4713" spans="1:24">
      <c r="A4713">
        <f>HYPERLINK("https://www.philgeps.gov.ph/GEPSNONPILOT/Tender/SplashBidNoticeAbstractUI.aspx?menuIndex=3&amp;refID=7197380&amp;Result=3","7197380")</f>
        <v>0</v>
      </c>
      <c r="B4713" t="s">
        <v>424</v>
      </c>
      <c r="C4713" t="s">
        <v>8304</v>
      </c>
      <c r="D4713" t="s">
        <v>18992</v>
      </c>
      <c r="E4713" t="s">
        <v>20881</v>
      </c>
      <c r="F4713" t="s">
        <v>32606</v>
      </c>
      <c r="G4713" t="s">
        <v>32613</v>
      </c>
      <c r="H4713" t="s">
        <v>32623</v>
      </c>
      <c r="I4713" t="s">
        <v>17648</v>
      </c>
      <c r="J4713" t="s">
        <v>35833</v>
      </c>
      <c r="K4713" t="s">
        <v>42682</v>
      </c>
      <c r="M4713" t="s">
        <v>43328</v>
      </c>
      <c r="N4713" t="s">
        <v>47304</v>
      </c>
      <c r="O4713" t="s">
        <v>47305</v>
      </c>
      <c r="P4713">
        <v>0</v>
      </c>
      <c r="Q4713">
        <v>0</v>
      </c>
      <c r="R4713" t="s">
        <v>47306</v>
      </c>
      <c r="S4713" t="s">
        <v>47414</v>
      </c>
      <c r="T4713" t="s">
        <v>48986</v>
      </c>
      <c r="U4713" t="s">
        <v>53563</v>
      </c>
      <c r="W4713" t="s">
        <v>43328</v>
      </c>
      <c r="X4713" t="s">
        <v>47308</v>
      </c>
    </row>
    <row r="4714" spans="1:24">
      <c r="A4714">
        <f>HYPERLINK("https://www.philgeps.gov.ph/GEPSNONPILOT/Tender/SplashBidNoticeAbstractUI.aspx?menuIndex=3&amp;refID=7197387&amp;Result=3","7197387")</f>
        <v>0</v>
      </c>
      <c r="B4714" t="s">
        <v>1727</v>
      </c>
      <c r="C4714" t="s">
        <v>8305</v>
      </c>
      <c r="D4714" t="s">
        <v>19016</v>
      </c>
      <c r="E4714" t="s">
        <v>20519</v>
      </c>
      <c r="F4714" t="s">
        <v>32606</v>
      </c>
      <c r="G4714" t="s">
        <v>32613</v>
      </c>
      <c r="H4714" t="s">
        <v>32623</v>
      </c>
      <c r="I4714" t="s">
        <v>17648</v>
      </c>
      <c r="J4714" t="s">
        <v>32981</v>
      </c>
      <c r="K4714" t="s">
        <v>42631</v>
      </c>
      <c r="L4714" t="s">
        <v>1727</v>
      </c>
      <c r="M4714" t="s">
        <v>44759</v>
      </c>
      <c r="N4714" t="s">
        <v>47304</v>
      </c>
      <c r="O4714" t="s">
        <v>47305</v>
      </c>
      <c r="P4714">
        <v>0</v>
      </c>
      <c r="Q4714">
        <v>3</v>
      </c>
      <c r="R4714" t="s">
        <v>47306</v>
      </c>
      <c r="S4714" t="s">
        <v>47414</v>
      </c>
      <c r="T4714" t="s">
        <v>49098</v>
      </c>
      <c r="U4714" t="s">
        <v>53564</v>
      </c>
      <c r="V4714" t="s">
        <v>63089</v>
      </c>
      <c r="W4714" t="s">
        <v>44759</v>
      </c>
      <c r="X4714" t="s">
        <v>47308</v>
      </c>
    </row>
    <row r="4715" spans="1:24">
      <c r="A4715">
        <f>HYPERLINK("https://www.philgeps.gov.ph/GEPSNONPILOT/Tender/SplashBidNoticeAbstractUI.aspx?menuIndex=3&amp;refID=7197377&amp;Result=3","7197377")</f>
        <v>0</v>
      </c>
      <c r="B4715" t="s">
        <v>1730</v>
      </c>
      <c r="C4715" t="s">
        <v>8306</v>
      </c>
      <c r="D4715" t="s">
        <v>18988</v>
      </c>
      <c r="E4715" t="s">
        <v>23210</v>
      </c>
      <c r="F4715" t="s">
        <v>32606</v>
      </c>
      <c r="G4715" t="s">
        <v>32613</v>
      </c>
      <c r="H4715" t="s">
        <v>14201</v>
      </c>
      <c r="I4715" t="s">
        <v>6478</v>
      </c>
      <c r="J4715" t="s">
        <v>35889</v>
      </c>
      <c r="K4715" t="s">
        <v>42625</v>
      </c>
      <c r="M4715" t="s">
        <v>44762</v>
      </c>
      <c r="N4715" t="s">
        <v>47304</v>
      </c>
      <c r="O4715" t="s">
        <v>47305</v>
      </c>
      <c r="P4715">
        <v>0</v>
      </c>
      <c r="Q4715">
        <v>1</v>
      </c>
      <c r="R4715" t="s">
        <v>47306</v>
      </c>
      <c r="S4715" t="s">
        <v>47414</v>
      </c>
      <c r="T4715" t="s">
        <v>49024</v>
      </c>
      <c r="U4715" t="s">
        <v>53565</v>
      </c>
      <c r="W4715" t="s">
        <v>44762</v>
      </c>
      <c r="X4715" t="s">
        <v>47308</v>
      </c>
    </row>
    <row r="4716" spans="1:24">
      <c r="A4716">
        <f>HYPERLINK("https://www.philgeps.gov.ph/GEPSNONPILOT/Tender/SplashBidNoticeAbstractUI.aspx?menuIndex=3&amp;refID=7197352&amp;Result=3","7197352")</f>
        <v>0</v>
      </c>
      <c r="B4716" t="s">
        <v>1732</v>
      </c>
      <c r="C4716" t="s">
        <v>8307</v>
      </c>
      <c r="D4716" t="s">
        <v>18993</v>
      </c>
      <c r="E4716" t="s">
        <v>20539</v>
      </c>
      <c r="F4716" t="s">
        <v>32606</v>
      </c>
      <c r="G4716" t="s">
        <v>32613</v>
      </c>
      <c r="H4716" t="s">
        <v>14201</v>
      </c>
      <c r="I4716" t="s">
        <v>6298</v>
      </c>
      <c r="J4716" t="s">
        <v>32981</v>
      </c>
      <c r="K4716" t="s">
        <v>42632</v>
      </c>
      <c r="M4716" t="s">
        <v>44764</v>
      </c>
      <c r="N4716" t="s">
        <v>47304</v>
      </c>
      <c r="O4716" t="s">
        <v>47305</v>
      </c>
      <c r="P4716">
        <v>0</v>
      </c>
      <c r="Q4716">
        <v>0</v>
      </c>
      <c r="R4716" t="s">
        <v>47306</v>
      </c>
      <c r="S4716" t="s">
        <v>47414</v>
      </c>
      <c r="T4716" t="s">
        <v>48986</v>
      </c>
      <c r="U4716" t="s">
        <v>53566</v>
      </c>
      <c r="W4716" t="s">
        <v>44764</v>
      </c>
      <c r="X4716" t="s">
        <v>47308</v>
      </c>
    </row>
    <row r="4717" spans="1:24">
      <c r="A4717">
        <f>HYPERLINK("https://www.philgeps.gov.ph/GEPSNONPILOT/Tender/SplashBidNoticeAbstractUI.aspx?menuIndex=3&amp;refID=7197376&amp;Result=3","7197376")</f>
        <v>0</v>
      </c>
      <c r="B4717" t="s">
        <v>1733</v>
      </c>
      <c r="C4717" t="s">
        <v>8308</v>
      </c>
      <c r="D4717" t="s">
        <v>19067</v>
      </c>
      <c r="E4717" t="s">
        <v>23281</v>
      </c>
      <c r="F4717" t="s">
        <v>32606</v>
      </c>
      <c r="G4717" t="s">
        <v>32614</v>
      </c>
      <c r="H4717" t="s">
        <v>14201</v>
      </c>
      <c r="I4717" t="s">
        <v>6931</v>
      </c>
      <c r="J4717" t="s">
        <v>35890</v>
      </c>
      <c r="K4717" t="s">
        <v>42639</v>
      </c>
      <c r="M4717" t="s">
        <v>44765</v>
      </c>
      <c r="N4717" t="s">
        <v>47304</v>
      </c>
      <c r="O4717" t="s">
        <v>47305</v>
      </c>
      <c r="P4717">
        <v>0</v>
      </c>
      <c r="Q4717">
        <v>0</v>
      </c>
      <c r="R4717" t="s">
        <v>47306</v>
      </c>
      <c r="S4717" t="s">
        <v>47414</v>
      </c>
      <c r="T4717" t="s">
        <v>48986</v>
      </c>
      <c r="U4717" t="s">
        <v>53567</v>
      </c>
      <c r="W4717" t="s">
        <v>44765</v>
      </c>
      <c r="X4717" t="s">
        <v>47308</v>
      </c>
    </row>
    <row r="4718" spans="1:24">
      <c r="A4718">
        <f>HYPERLINK("https://www.philgeps.gov.ph/GEPSNONPILOT/Tender/SplashBidNoticeAbstractUI.aspx?menuIndex=3&amp;refID=7197379&amp;Result=3","7197379")</f>
        <v>0</v>
      </c>
      <c r="B4718" t="s">
        <v>1721</v>
      </c>
      <c r="C4718" t="s">
        <v>8292</v>
      </c>
      <c r="D4718" t="s">
        <v>18993</v>
      </c>
      <c r="E4718" t="s">
        <v>23282</v>
      </c>
      <c r="F4718" t="s">
        <v>32606</v>
      </c>
      <c r="G4718" t="s">
        <v>32614</v>
      </c>
      <c r="H4718" t="s">
        <v>14201</v>
      </c>
      <c r="I4718" t="s">
        <v>6014</v>
      </c>
      <c r="J4718" t="s">
        <v>33539</v>
      </c>
      <c r="K4718" t="s">
        <v>42623</v>
      </c>
      <c r="M4718" t="s">
        <v>44753</v>
      </c>
      <c r="N4718" t="s">
        <v>47304</v>
      </c>
      <c r="O4718" t="s">
        <v>47305</v>
      </c>
      <c r="P4718">
        <v>0</v>
      </c>
      <c r="Q4718">
        <v>1</v>
      </c>
      <c r="R4718" t="s">
        <v>47306</v>
      </c>
      <c r="S4718" t="s">
        <v>47414</v>
      </c>
      <c r="T4718" t="s">
        <v>49004</v>
      </c>
      <c r="U4718" t="s">
        <v>53568</v>
      </c>
      <c r="V4718" t="s">
        <v>63088</v>
      </c>
      <c r="W4718" t="s">
        <v>44753</v>
      </c>
      <c r="X4718" t="s">
        <v>47308</v>
      </c>
    </row>
    <row r="4719" spans="1:24">
      <c r="A4719">
        <f>HYPERLINK("https://www.philgeps.gov.ph/GEPSNONPILOT/Tender/SplashBidNoticeAbstractUI.aspx?menuIndex=3&amp;refID=7197375&amp;Result=3","7197375")</f>
        <v>0</v>
      </c>
      <c r="B4719" t="s">
        <v>1715</v>
      </c>
      <c r="C4719" t="s">
        <v>8309</v>
      </c>
      <c r="E4719" t="s">
        <v>23283</v>
      </c>
      <c r="F4719" t="s">
        <v>32606</v>
      </c>
      <c r="G4719" t="s">
        <v>32613</v>
      </c>
      <c r="H4719" t="s">
        <v>32623</v>
      </c>
      <c r="I4719" t="s">
        <v>17648</v>
      </c>
      <c r="J4719" t="s">
        <v>35891</v>
      </c>
      <c r="K4719" t="s">
        <v>42763</v>
      </c>
      <c r="M4719" t="s">
        <v>44747</v>
      </c>
      <c r="N4719" t="s">
        <v>47304</v>
      </c>
      <c r="O4719" t="s">
        <v>47305</v>
      </c>
      <c r="P4719">
        <v>0</v>
      </c>
      <c r="Q4719">
        <v>5</v>
      </c>
      <c r="R4719" t="s">
        <v>47306</v>
      </c>
      <c r="S4719" t="s">
        <v>47414</v>
      </c>
      <c r="T4719" t="s">
        <v>49009</v>
      </c>
      <c r="U4719" t="s">
        <v>53569</v>
      </c>
      <c r="W4719" t="s">
        <v>44747</v>
      </c>
      <c r="X4719" t="s">
        <v>47308</v>
      </c>
    </row>
    <row r="4720" spans="1:24">
      <c r="A4720">
        <f>HYPERLINK("https://www.philgeps.gov.ph/GEPSNONPILOT/Tender/SplashBidNoticeAbstractUI.aspx?menuIndex=3&amp;refID=7197407&amp;Result=3","7197407")</f>
        <v>0</v>
      </c>
      <c r="B4720" t="s">
        <v>1092</v>
      </c>
      <c r="C4720" t="s">
        <v>8310</v>
      </c>
      <c r="D4720" t="s">
        <v>18993</v>
      </c>
      <c r="E4720" t="s">
        <v>23284</v>
      </c>
      <c r="F4720" t="s">
        <v>32606</v>
      </c>
      <c r="G4720" t="s">
        <v>32617</v>
      </c>
      <c r="H4720" t="s">
        <v>14201</v>
      </c>
      <c r="I4720" t="s">
        <v>8606</v>
      </c>
      <c r="J4720" t="s">
        <v>33087</v>
      </c>
      <c r="K4720" t="s">
        <v>42624</v>
      </c>
      <c r="M4720" t="s">
        <v>44048</v>
      </c>
      <c r="N4720" t="s">
        <v>47304</v>
      </c>
      <c r="O4720" t="s">
        <v>47305</v>
      </c>
      <c r="P4720">
        <v>0</v>
      </c>
      <c r="Q4720">
        <v>0</v>
      </c>
      <c r="R4720" t="s">
        <v>47306</v>
      </c>
      <c r="S4720" t="s">
        <v>47414</v>
      </c>
      <c r="T4720" t="s">
        <v>49175</v>
      </c>
      <c r="U4720" t="s">
        <v>53570</v>
      </c>
      <c r="W4720" t="s">
        <v>44048</v>
      </c>
      <c r="X4720" t="s">
        <v>47308</v>
      </c>
    </row>
    <row r="4721" spans="1:24">
      <c r="A4721">
        <f>HYPERLINK("https://www.philgeps.gov.ph/GEPSNONPILOT/Tender/SplashBidNoticeAbstractUI.aspx?menuIndex=3&amp;refID=7197406&amp;Result=3","7197406")</f>
        <v>0</v>
      </c>
      <c r="B4721" t="s">
        <v>1734</v>
      </c>
      <c r="C4721" t="s">
        <v>8311</v>
      </c>
      <c r="D4721" t="s">
        <v>18993</v>
      </c>
      <c r="E4721" t="s">
        <v>23285</v>
      </c>
      <c r="F4721" t="s">
        <v>32606</v>
      </c>
      <c r="G4721" t="s">
        <v>32613</v>
      </c>
      <c r="H4721" t="s">
        <v>32624</v>
      </c>
      <c r="I4721" t="s">
        <v>32652</v>
      </c>
      <c r="J4721" t="s">
        <v>35892</v>
      </c>
      <c r="K4721" t="s">
        <v>42688</v>
      </c>
      <c r="M4721" t="s">
        <v>44766</v>
      </c>
      <c r="N4721" t="s">
        <v>47304</v>
      </c>
      <c r="O4721" t="s">
        <v>47305</v>
      </c>
      <c r="P4721">
        <v>0</v>
      </c>
      <c r="Q4721">
        <v>1</v>
      </c>
      <c r="R4721" t="s">
        <v>47306</v>
      </c>
      <c r="S4721" t="s">
        <v>47414</v>
      </c>
      <c r="T4721" t="s">
        <v>48978</v>
      </c>
      <c r="U4721" t="s">
        <v>50223</v>
      </c>
      <c r="W4721" t="s">
        <v>44766</v>
      </c>
      <c r="X4721" t="s">
        <v>47308</v>
      </c>
    </row>
    <row r="4722" spans="1:24">
      <c r="A4722">
        <f>HYPERLINK("https://www.philgeps.gov.ph/GEPSNONPILOT/Tender/SplashBidNoticeAbstractUI.aspx?menuIndex=3&amp;refID=7197378&amp;Result=3","7197378")</f>
        <v>0</v>
      </c>
      <c r="B4722" t="s">
        <v>81</v>
      </c>
      <c r="C4722" t="s">
        <v>8312</v>
      </c>
      <c r="D4722" t="s">
        <v>18995</v>
      </c>
      <c r="E4722" t="s">
        <v>23286</v>
      </c>
      <c r="F4722" t="s">
        <v>32606</v>
      </c>
      <c r="G4722" t="s">
        <v>32614</v>
      </c>
      <c r="H4722" t="s">
        <v>14201</v>
      </c>
      <c r="I4722" t="s">
        <v>32646</v>
      </c>
      <c r="J4722" t="s">
        <v>33513</v>
      </c>
      <c r="K4722" t="s">
        <v>42624</v>
      </c>
      <c r="M4722" t="s">
        <v>42978</v>
      </c>
      <c r="N4722" t="s">
        <v>47304</v>
      </c>
      <c r="O4722" t="s">
        <v>47305</v>
      </c>
      <c r="P4722">
        <v>0</v>
      </c>
      <c r="Q4722">
        <v>0</v>
      </c>
      <c r="R4722" t="s">
        <v>47306</v>
      </c>
      <c r="S4722" t="s">
        <v>47414</v>
      </c>
      <c r="T4722" t="s">
        <v>49014</v>
      </c>
      <c r="U4722" t="s">
        <v>53571</v>
      </c>
      <c r="W4722" t="s">
        <v>42978</v>
      </c>
      <c r="X4722" t="s">
        <v>47308</v>
      </c>
    </row>
    <row r="4723" spans="1:24">
      <c r="A4723">
        <f>HYPERLINK("https://www.philgeps.gov.ph/GEPSNONPILOT/Tender/SplashBidNoticeAbstractUI.aspx?menuIndex=3&amp;refID=7197405&amp;Result=3","7197405")</f>
        <v>0</v>
      </c>
      <c r="B4723" t="s">
        <v>1711</v>
      </c>
      <c r="C4723" t="s">
        <v>8313</v>
      </c>
      <c r="D4723" t="s">
        <v>18993</v>
      </c>
      <c r="E4723" t="s">
        <v>23287</v>
      </c>
      <c r="F4723" t="s">
        <v>32606</v>
      </c>
      <c r="G4723" t="s">
        <v>32613</v>
      </c>
      <c r="H4723" t="s">
        <v>14201</v>
      </c>
      <c r="I4723" t="s">
        <v>32655</v>
      </c>
      <c r="J4723" t="s">
        <v>33449</v>
      </c>
      <c r="K4723" t="s">
        <v>42624</v>
      </c>
      <c r="M4723" t="s">
        <v>44743</v>
      </c>
      <c r="N4723" t="s">
        <v>47304</v>
      </c>
      <c r="O4723" t="s">
        <v>47305</v>
      </c>
      <c r="P4723">
        <v>0</v>
      </c>
      <c r="Q4723">
        <v>7</v>
      </c>
      <c r="R4723" t="s">
        <v>47306</v>
      </c>
      <c r="S4723" t="s">
        <v>47414</v>
      </c>
      <c r="T4723" t="s">
        <v>49005</v>
      </c>
      <c r="U4723" t="s">
        <v>53572</v>
      </c>
      <c r="W4723" t="s">
        <v>44743</v>
      </c>
      <c r="X4723" t="s">
        <v>47308</v>
      </c>
    </row>
    <row r="4724" spans="1:24">
      <c r="A4724">
        <f>HYPERLINK("https://www.philgeps.gov.ph/GEPSNONPILOT/Tender/SplashBidNoticeAbstractUI.aspx?menuIndex=3&amp;refID=7197402&amp;Result=3","7197402")</f>
        <v>0</v>
      </c>
      <c r="B4724" t="s">
        <v>1735</v>
      </c>
      <c r="C4724" t="s">
        <v>8299</v>
      </c>
      <c r="D4724" t="s">
        <v>18995</v>
      </c>
      <c r="E4724" t="s">
        <v>23288</v>
      </c>
      <c r="F4724" t="s">
        <v>32606</v>
      </c>
      <c r="G4724" t="s">
        <v>32614</v>
      </c>
      <c r="H4724" t="s">
        <v>32624</v>
      </c>
      <c r="I4724" t="s">
        <v>7064</v>
      </c>
      <c r="J4724" t="s">
        <v>33195</v>
      </c>
      <c r="K4724" t="s">
        <v>42622</v>
      </c>
      <c r="M4724" t="s">
        <v>44767</v>
      </c>
      <c r="N4724" t="s">
        <v>47304</v>
      </c>
      <c r="O4724" t="s">
        <v>47305</v>
      </c>
      <c r="P4724">
        <v>0</v>
      </c>
      <c r="Q4724">
        <v>0</v>
      </c>
      <c r="R4724" t="s">
        <v>47306</v>
      </c>
      <c r="S4724" t="s">
        <v>47414</v>
      </c>
      <c r="T4724" t="s">
        <v>48979</v>
      </c>
      <c r="U4724" t="s">
        <v>51756</v>
      </c>
      <c r="W4724" t="s">
        <v>44767</v>
      </c>
      <c r="X4724" t="s">
        <v>47308</v>
      </c>
    </row>
    <row r="4725" spans="1:24">
      <c r="A4725">
        <f>HYPERLINK("https://www.philgeps.gov.ph/GEPSNONPILOT/Tender/SplashBidNoticeAbstractUI.aspx?menuIndex=3&amp;refID=7197374&amp;Result=3","7197374")</f>
        <v>0</v>
      </c>
      <c r="B4725" t="s">
        <v>1736</v>
      </c>
      <c r="C4725" t="s">
        <v>8299</v>
      </c>
      <c r="D4725" t="s">
        <v>18995</v>
      </c>
      <c r="E4725" t="s">
        <v>23289</v>
      </c>
      <c r="F4725" t="s">
        <v>32606</v>
      </c>
      <c r="G4725" t="s">
        <v>32614</v>
      </c>
      <c r="H4725" t="s">
        <v>32624</v>
      </c>
      <c r="I4725" t="s">
        <v>7064</v>
      </c>
      <c r="J4725" t="s">
        <v>33195</v>
      </c>
      <c r="K4725" t="s">
        <v>42622</v>
      </c>
      <c r="M4725" t="s">
        <v>44768</v>
      </c>
      <c r="N4725" t="s">
        <v>47304</v>
      </c>
      <c r="O4725" t="s">
        <v>47305</v>
      </c>
      <c r="P4725">
        <v>0</v>
      </c>
      <c r="Q4725">
        <v>0</v>
      </c>
      <c r="R4725" t="s">
        <v>47306</v>
      </c>
      <c r="S4725" t="s">
        <v>47414</v>
      </c>
      <c r="T4725" t="s">
        <v>48997</v>
      </c>
      <c r="U4725" t="s">
        <v>51756</v>
      </c>
      <c r="W4725" t="s">
        <v>44768</v>
      </c>
      <c r="X4725" t="s">
        <v>47308</v>
      </c>
    </row>
    <row r="4726" spans="1:24">
      <c r="A4726">
        <f>HYPERLINK("https://www.philgeps.gov.ph/GEPSNONPILOT/Tender/SplashBidNoticeAbstractUI.aspx?menuIndex=3&amp;refID=7197400&amp;Result=3","7197400")</f>
        <v>0</v>
      </c>
      <c r="B4726" t="s">
        <v>415</v>
      </c>
      <c r="C4726" t="s">
        <v>8314</v>
      </c>
      <c r="E4726" t="s">
        <v>23290</v>
      </c>
      <c r="F4726" t="s">
        <v>32606</v>
      </c>
      <c r="G4726" t="s">
        <v>32614</v>
      </c>
      <c r="H4726" t="s">
        <v>14201</v>
      </c>
      <c r="I4726" t="s">
        <v>32691</v>
      </c>
      <c r="J4726" t="s">
        <v>33441</v>
      </c>
      <c r="K4726" t="s">
        <v>42630</v>
      </c>
      <c r="M4726" t="s">
        <v>44769</v>
      </c>
      <c r="N4726" t="s">
        <v>47304</v>
      </c>
      <c r="O4726" t="s">
        <v>47305</v>
      </c>
      <c r="P4726">
        <v>0</v>
      </c>
      <c r="Q4726">
        <v>1</v>
      </c>
      <c r="R4726" t="s">
        <v>47306</v>
      </c>
      <c r="S4726" t="s">
        <v>47414</v>
      </c>
      <c r="T4726" t="s">
        <v>49014</v>
      </c>
      <c r="U4726" t="s">
        <v>53573</v>
      </c>
      <c r="V4726" t="s">
        <v>63090</v>
      </c>
      <c r="W4726" t="s">
        <v>44769</v>
      </c>
      <c r="X4726" t="s">
        <v>47308</v>
      </c>
    </row>
    <row r="4727" spans="1:24">
      <c r="A4727">
        <f>HYPERLINK("https://www.philgeps.gov.ph/GEPSNONPILOT/Tender/SplashBidNoticeAbstractUI.aspx?menuIndex=3&amp;refID=7197408&amp;Result=3","7197408")</f>
        <v>0</v>
      </c>
      <c r="B4727" t="s">
        <v>810</v>
      </c>
      <c r="C4727" t="s">
        <v>8315</v>
      </c>
      <c r="D4727" t="s">
        <v>19013</v>
      </c>
      <c r="E4727" t="s">
        <v>23291</v>
      </c>
      <c r="F4727" t="s">
        <v>32606</v>
      </c>
      <c r="G4727" t="s">
        <v>32613</v>
      </c>
      <c r="H4727" t="s">
        <v>14201</v>
      </c>
      <c r="I4727" t="s">
        <v>5233</v>
      </c>
      <c r="J4727" t="s">
        <v>35893</v>
      </c>
      <c r="K4727" t="s">
        <v>42624</v>
      </c>
      <c r="M4727" t="s">
        <v>43741</v>
      </c>
      <c r="N4727" t="s">
        <v>47304</v>
      </c>
      <c r="O4727" t="s">
        <v>47305</v>
      </c>
      <c r="P4727">
        <v>0</v>
      </c>
      <c r="Q4727">
        <v>0</v>
      </c>
      <c r="R4727" t="s">
        <v>47306</v>
      </c>
      <c r="S4727" t="s">
        <v>47414</v>
      </c>
      <c r="T4727" t="s">
        <v>48987</v>
      </c>
      <c r="U4727" t="s">
        <v>51044</v>
      </c>
      <c r="W4727" t="s">
        <v>43741</v>
      </c>
      <c r="X4727" t="s">
        <v>47308</v>
      </c>
    </row>
    <row r="4728" spans="1:24">
      <c r="A4728">
        <f>HYPERLINK("https://www.philgeps.gov.ph/GEPSNONPILOT/Tender/SplashBidNoticeAbstractUI.aspx?menuIndex=3&amp;refID=7197354&amp;Result=3","7197354")</f>
        <v>0</v>
      </c>
      <c r="B4728" t="s">
        <v>81</v>
      </c>
      <c r="C4728" t="s">
        <v>8316</v>
      </c>
      <c r="D4728" t="s">
        <v>18995</v>
      </c>
      <c r="E4728" t="s">
        <v>23292</v>
      </c>
      <c r="F4728" t="s">
        <v>32606</v>
      </c>
      <c r="G4728" t="s">
        <v>32614</v>
      </c>
      <c r="H4728" t="s">
        <v>14201</v>
      </c>
      <c r="I4728" t="s">
        <v>32677</v>
      </c>
      <c r="J4728" t="s">
        <v>35894</v>
      </c>
      <c r="K4728" t="s">
        <v>42624</v>
      </c>
      <c r="M4728" t="s">
        <v>42978</v>
      </c>
      <c r="N4728" t="s">
        <v>47304</v>
      </c>
      <c r="O4728" t="s">
        <v>47305</v>
      </c>
      <c r="P4728">
        <v>0</v>
      </c>
      <c r="Q4728">
        <v>0</v>
      </c>
      <c r="R4728" t="s">
        <v>47306</v>
      </c>
      <c r="S4728" t="s">
        <v>47414</v>
      </c>
      <c r="T4728" t="s">
        <v>49014</v>
      </c>
      <c r="U4728" t="s">
        <v>53574</v>
      </c>
      <c r="W4728" t="s">
        <v>42978</v>
      </c>
      <c r="X4728" t="s">
        <v>47308</v>
      </c>
    </row>
    <row r="4729" spans="1:24">
      <c r="A4729">
        <f>HYPERLINK("https://www.philgeps.gov.ph/GEPSNONPILOT/Tender/SplashBidNoticeAbstractUI.aspx?menuIndex=3&amp;refID=7197360&amp;Result=3","7197360")</f>
        <v>0</v>
      </c>
      <c r="B4729" t="s">
        <v>1730</v>
      </c>
      <c r="C4729" t="s">
        <v>8317</v>
      </c>
      <c r="D4729" t="s">
        <v>18988</v>
      </c>
      <c r="E4729" t="s">
        <v>23293</v>
      </c>
      <c r="F4729" t="s">
        <v>32606</v>
      </c>
      <c r="G4729" t="s">
        <v>32613</v>
      </c>
      <c r="H4729" t="s">
        <v>14201</v>
      </c>
      <c r="I4729" t="s">
        <v>6478</v>
      </c>
      <c r="J4729" t="s">
        <v>32794</v>
      </c>
      <c r="K4729" t="s">
        <v>42625</v>
      </c>
      <c r="M4729" t="s">
        <v>44762</v>
      </c>
      <c r="N4729" t="s">
        <v>47304</v>
      </c>
      <c r="O4729" t="s">
        <v>47305</v>
      </c>
      <c r="P4729">
        <v>0</v>
      </c>
      <c r="Q4729">
        <v>1</v>
      </c>
      <c r="R4729" t="s">
        <v>47306</v>
      </c>
      <c r="S4729" t="s">
        <v>47414</v>
      </c>
      <c r="T4729" t="s">
        <v>49024</v>
      </c>
      <c r="U4729" t="s">
        <v>53575</v>
      </c>
      <c r="W4729" t="s">
        <v>44762</v>
      </c>
      <c r="X4729" t="s">
        <v>47308</v>
      </c>
    </row>
    <row r="4730" spans="1:24">
      <c r="A4730">
        <f>HYPERLINK("https://www.philgeps.gov.ph/GEPSNONPILOT/Tender/SplashBidNoticeAbstractUI.aspx?menuIndex=3&amp;refID=7197404&amp;Result=3","7197404")</f>
        <v>0</v>
      </c>
      <c r="B4730" t="s">
        <v>99</v>
      </c>
      <c r="C4730" t="s">
        <v>8318</v>
      </c>
      <c r="D4730" t="s">
        <v>19027</v>
      </c>
      <c r="E4730" t="s">
        <v>19696</v>
      </c>
      <c r="F4730" t="s">
        <v>32606</v>
      </c>
      <c r="G4730" t="s">
        <v>32613</v>
      </c>
      <c r="H4730" t="s">
        <v>14201</v>
      </c>
      <c r="I4730" t="s">
        <v>7064</v>
      </c>
      <c r="J4730" t="s">
        <v>35895</v>
      </c>
      <c r="K4730" t="s">
        <v>42636</v>
      </c>
      <c r="L4730" t="s">
        <v>99</v>
      </c>
      <c r="M4730" t="s">
        <v>42997</v>
      </c>
      <c r="N4730" t="s">
        <v>47304</v>
      </c>
      <c r="O4730" t="s">
        <v>47305</v>
      </c>
      <c r="P4730">
        <v>0</v>
      </c>
      <c r="Q4730">
        <v>7</v>
      </c>
      <c r="R4730" t="s">
        <v>47306</v>
      </c>
      <c r="S4730" t="s">
        <v>47414</v>
      </c>
      <c r="T4730" t="s">
        <v>48985</v>
      </c>
      <c r="U4730" t="s">
        <v>53576</v>
      </c>
      <c r="V4730" t="s">
        <v>62669</v>
      </c>
      <c r="W4730" t="s">
        <v>42997</v>
      </c>
      <c r="X4730" t="s">
        <v>47308</v>
      </c>
    </row>
    <row r="4731" spans="1:24">
      <c r="A4731">
        <f>HYPERLINK("https://www.philgeps.gov.ph/GEPSNONPILOT/Tender/SplashBidNoticeAbstractUI.aspx?menuIndex=3&amp;refID=7197395&amp;Result=3","7197395")</f>
        <v>0</v>
      </c>
      <c r="B4731" t="s">
        <v>1737</v>
      </c>
      <c r="C4731" t="s">
        <v>8319</v>
      </c>
      <c r="D4731" t="s">
        <v>19014</v>
      </c>
      <c r="E4731" t="s">
        <v>23294</v>
      </c>
      <c r="F4731" t="s">
        <v>32606</v>
      </c>
      <c r="G4731" t="s">
        <v>32613</v>
      </c>
      <c r="H4731" t="s">
        <v>32623</v>
      </c>
      <c r="I4731" t="s">
        <v>17648</v>
      </c>
      <c r="J4731" t="s">
        <v>35896</v>
      </c>
      <c r="K4731" t="s">
        <v>42650</v>
      </c>
      <c r="M4731" t="s">
        <v>44770</v>
      </c>
      <c r="N4731" t="s">
        <v>47304</v>
      </c>
      <c r="O4731" t="s">
        <v>47305</v>
      </c>
      <c r="P4731">
        <v>0</v>
      </c>
      <c r="Q4731">
        <v>30</v>
      </c>
      <c r="R4731" t="s">
        <v>47306</v>
      </c>
      <c r="S4731" t="s">
        <v>47414</v>
      </c>
      <c r="T4731" t="s">
        <v>49024</v>
      </c>
      <c r="U4731" t="s">
        <v>53577</v>
      </c>
      <c r="W4731" t="s">
        <v>44770</v>
      </c>
      <c r="X4731" t="s">
        <v>47308</v>
      </c>
    </row>
    <row r="4732" spans="1:24">
      <c r="A4732">
        <f>HYPERLINK("https://www.philgeps.gov.ph/GEPSNONPILOT/Tender/SplashBidNoticeAbstractUI.aspx?menuIndex=3&amp;refID=7197403&amp;Result=3","7197403")</f>
        <v>0</v>
      </c>
      <c r="B4732" t="s">
        <v>1715</v>
      </c>
      <c r="C4732" t="s">
        <v>8320</v>
      </c>
      <c r="E4732" t="s">
        <v>23295</v>
      </c>
      <c r="F4732" t="s">
        <v>32606</v>
      </c>
      <c r="G4732" t="s">
        <v>32613</v>
      </c>
      <c r="H4732" t="s">
        <v>32623</v>
      </c>
      <c r="I4732" t="s">
        <v>17648</v>
      </c>
      <c r="J4732" t="s">
        <v>35897</v>
      </c>
      <c r="K4732" t="s">
        <v>42650</v>
      </c>
      <c r="M4732" t="s">
        <v>44747</v>
      </c>
      <c r="N4732" t="s">
        <v>47304</v>
      </c>
      <c r="O4732" t="s">
        <v>47305</v>
      </c>
      <c r="P4732">
        <v>0</v>
      </c>
      <c r="Q4732">
        <v>3</v>
      </c>
      <c r="R4732" t="s">
        <v>47306</v>
      </c>
      <c r="S4732" t="s">
        <v>47414</v>
      </c>
      <c r="T4732" t="s">
        <v>49009</v>
      </c>
      <c r="U4732" t="s">
        <v>53578</v>
      </c>
      <c r="W4732" t="s">
        <v>44747</v>
      </c>
      <c r="X4732" t="s">
        <v>47308</v>
      </c>
    </row>
    <row r="4733" spans="1:24">
      <c r="A4733">
        <f>HYPERLINK("https://www.philgeps.gov.ph/GEPSNONPILOT/Tender/SplashBidNoticeAbstractUI.aspx?menuIndex=3&amp;refID=7197394&amp;Result=3","7197394")</f>
        <v>0</v>
      </c>
      <c r="B4733" t="s">
        <v>1711</v>
      </c>
      <c r="C4733" t="s">
        <v>8321</v>
      </c>
      <c r="D4733" t="s">
        <v>18993</v>
      </c>
      <c r="E4733" t="s">
        <v>23296</v>
      </c>
      <c r="F4733" t="s">
        <v>32606</v>
      </c>
      <c r="G4733" t="s">
        <v>32613</v>
      </c>
      <c r="H4733" t="s">
        <v>14201</v>
      </c>
      <c r="I4733" t="s">
        <v>32640</v>
      </c>
      <c r="J4733" t="s">
        <v>32756</v>
      </c>
      <c r="K4733" t="s">
        <v>42624</v>
      </c>
      <c r="M4733" t="s">
        <v>44743</v>
      </c>
      <c r="N4733" t="s">
        <v>47304</v>
      </c>
      <c r="O4733" t="s">
        <v>47305</v>
      </c>
      <c r="P4733">
        <v>0</v>
      </c>
      <c r="Q4733">
        <v>9</v>
      </c>
      <c r="R4733" t="s">
        <v>47306</v>
      </c>
      <c r="S4733" t="s">
        <v>47414</v>
      </c>
      <c r="T4733" t="s">
        <v>49293</v>
      </c>
      <c r="U4733" t="s">
        <v>53579</v>
      </c>
      <c r="W4733" t="s">
        <v>44743</v>
      </c>
      <c r="X4733" t="s">
        <v>47308</v>
      </c>
    </row>
    <row r="4734" spans="1:24">
      <c r="A4734">
        <f>HYPERLINK("https://www.philgeps.gov.ph/GEPSNONPILOT/Tender/SplashBidNoticeAbstractUI.aspx?menuIndex=3&amp;refID=7197401&amp;Result=3","7197401")</f>
        <v>0</v>
      </c>
      <c r="B4734" t="s">
        <v>131</v>
      </c>
      <c r="C4734" t="s">
        <v>8322</v>
      </c>
      <c r="D4734" t="s">
        <v>18993</v>
      </c>
      <c r="E4734" t="s">
        <v>23297</v>
      </c>
      <c r="F4734" t="s">
        <v>32606</v>
      </c>
      <c r="G4734" t="s">
        <v>32613</v>
      </c>
      <c r="H4734" t="s">
        <v>14201</v>
      </c>
      <c r="I4734" t="s">
        <v>4115</v>
      </c>
      <c r="J4734" t="s">
        <v>35898</v>
      </c>
      <c r="K4734" t="s">
        <v>42631</v>
      </c>
      <c r="M4734" t="s">
        <v>43032</v>
      </c>
      <c r="N4734" t="s">
        <v>47304</v>
      </c>
      <c r="O4734" t="s">
        <v>47305</v>
      </c>
      <c r="P4734">
        <v>0</v>
      </c>
      <c r="Q4734">
        <v>5</v>
      </c>
      <c r="R4734" t="s">
        <v>47306</v>
      </c>
      <c r="S4734" t="s">
        <v>47414</v>
      </c>
      <c r="T4734" t="s">
        <v>49032</v>
      </c>
      <c r="U4734" t="s">
        <v>53580</v>
      </c>
      <c r="W4734" t="s">
        <v>43032</v>
      </c>
      <c r="X4734" t="s">
        <v>47308</v>
      </c>
    </row>
    <row r="4735" spans="1:24">
      <c r="A4735">
        <f>HYPERLINK("https://www.philgeps.gov.ph/GEPSNONPILOT/Tender/SplashBidNoticeAbstractUI.aspx?menuIndex=3&amp;refID=7197393&amp;Result=3","7197393")</f>
        <v>0</v>
      </c>
      <c r="B4735" t="s">
        <v>1715</v>
      </c>
      <c r="C4735" t="s">
        <v>8323</v>
      </c>
      <c r="E4735" t="s">
        <v>23298</v>
      </c>
      <c r="F4735" t="s">
        <v>32606</v>
      </c>
      <c r="G4735" t="s">
        <v>32613</v>
      </c>
      <c r="H4735" t="s">
        <v>32623</v>
      </c>
      <c r="I4735" t="s">
        <v>17648</v>
      </c>
      <c r="J4735" t="s">
        <v>35899</v>
      </c>
      <c r="K4735" t="s">
        <v>42650</v>
      </c>
      <c r="M4735" t="s">
        <v>44747</v>
      </c>
      <c r="N4735" t="s">
        <v>47304</v>
      </c>
      <c r="O4735" t="s">
        <v>47305</v>
      </c>
      <c r="P4735">
        <v>0</v>
      </c>
      <c r="Q4735">
        <v>3</v>
      </c>
      <c r="R4735" t="s">
        <v>47306</v>
      </c>
      <c r="S4735" t="s">
        <v>47414</v>
      </c>
      <c r="T4735" t="s">
        <v>49009</v>
      </c>
      <c r="U4735" t="s">
        <v>53581</v>
      </c>
      <c r="W4735" t="s">
        <v>44747</v>
      </c>
      <c r="X4735" t="s">
        <v>47308</v>
      </c>
    </row>
    <row r="4736" spans="1:24">
      <c r="A4736">
        <f>HYPERLINK("https://www.philgeps.gov.ph/GEPSNONPILOT/Tender/SplashBidNoticeAbstractUI.aspx?menuIndex=3&amp;refID=7197431&amp;Result=3","7197431")</f>
        <v>0</v>
      </c>
      <c r="B4736" t="s">
        <v>392</v>
      </c>
      <c r="C4736" t="s">
        <v>8324</v>
      </c>
      <c r="D4736" t="s">
        <v>18993</v>
      </c>
      <c r="E4736" t="s">
        <v>23299</v>
      </c>
      <c r="F4736" t="s">
        <v>32606</v>
      </c>
      <c r="G4736" t="s">
        <v>32613</v>
      </c>
      <c r="H4736" t="s">
        <v>32625</v>
      </c>
      <c r="I4736" t="s">
        <v>32633</v>
      </c>
      <c r="J4736" t="s">
        <v>35900</v>
      </c>
      <c r="K4736" t="s">
        <v>42630</v>
      </c>
      <c r="M4736" t="s">
        <v>43849</v>
      </c>
      <c r="N4736" t="s">
        <v>47304</v>
      </c>
      <c r="O4736" t="s">
        <v>47305</v>
      </c>
      <c r="P4736">
        <v>0</v>
      </c>
      <c r="Q4736">
        <v>21</v>
      </c>
      <c r="R4736" t="s">
        <v>47306</v>
      </c>
      <c r="S4736" t="s">
        <v>47414</v>
      </c>
      <c r="T4736" t="s">
        <v>49110</v>
      </c>
      <c r="U4736" t="s">
        <v>51716</v>
      </c>
      <c r="W4736" t="s">
        <v>43849</v>
      </c>
      <c r="X4736" t="s">
        <v>47308</v>
      </c>
    </row>
    <row r="4737" spans="1:24">
      <c r="A4737">
        <f>HYPERLINK("https://www.philgeps.gov.ph/GEPSNONPILOT/Tender/SplashBidNoticeAbstractUI.aspx?menuIndex=3&amp;refID=7197399&amp;Result=3","7197399")</f>
        <v>0</v>
      </c>
      <c r="B4737" t="s">
        <v>1738</v>
      </c>
      <c r="C4737" t="s">
        <v>8325</v>
      </c>
      <c r="E4737" t="s">
        <v>23300</v>
      </c>
      <c r="F4737" t="s">
        <v>32606</v>
      </c>
      <c r="G4737" t="s">
        <v>32614</v>
      </c>
      <c r="H4737" t="s">
        <v>14201</v>
      </c>
      <c r="I4737" t="s">
        <v>32678</v>
      </c>
      <c r="J4737" t="s">
        <v>32789</v>
      </c>
      <c r="K4737" t="s">
        <v>42624</v>
      </c>
      <c r="M4737" t="s">
        <v>44771</v>
      </c>
      <c r="N4737" t="s">
        <v>47304</v>
      </c>
      <c r="O4737" t="s">
        <v>47305</v>
      </c>
      <c r="P4737">
        <v>0</v>
      </c>
      <c r="Q4737">
        <v>1</v>
      </c>
      <c r="R4737" t="s">
        <v>47306</v>
      </c>
      <c r="S4737" t="s">
        <v>47414</v>
      </c>
      <c r="T4737" t="s">
        <v>48980</v>
      </c>
      <c r="U4737" t="s">
        <v>53582</v>
      </c>
      <c r="W4737" t="s">
        <v>44771</v>
      </c>
      <c r="X4737" t="s">
        <v>47308</v>
      </c>
    </row>
    <row r="4738" spans="1:24">
      <c r="A4738">
        <f>HYPERLINK("https://www.philgeps.gov.ph/GEPSNONPILOT/Tender/SplashBidNoticeAbstractUI.aspx?menuIndex=3&amp;refID=7197427&amp;Result=3","7197427")</f>
        <v>0</v>
      </c>
      <c r="B4738" t="s">
        <v>1739</v>
      </c>
      <c r="C4738" t="s">
        <v>4547</v>
      </c>
      <c r="D4738" t="s">
        <v>19007</v>
      </c>
      <c r="E4738" t="s">
        <v>20027</v>
      </c>
      <c r="F4738" t="s">
        <v>32606</v>
      </c>
      <c r="G4738" t="s">
        <v>32619</v>
      </c>
      <c r="H4738" t="s">
        <v>14201</v>
      </c>
      <c r="I4738" t="s">
        <v>4120</v>
      </c>
      <c r="J4738" t="s">
        <v>33561</v>
      </c>
      <c r="K4738" t="s">
        <v>42630</v>
      </c>
      <c r="M4738" t="s">
        <v>44772</v>
      </c>
      <c r="N4738" t="s">
        <v>47304</v>
      </c>
      <c r="O4738" t="s">
        <v>47305</v>
      </c>
      <c r="P4738">
        <v>0</v>
      </c>
      <c r="Q4738">
        <v>3</v>
      </c>
      <c r="R4738" t="s">
        <v>47306</v>
      </c>
      <c r="S4738" t="s">
        <v>47414</v>
      </c>
      <c r="T4738" t="s">
        <v>49083</v>
      </c>
      <c r="U4738" t="s">
        <v>53583</v>
      </c>
      <c r="W4738" t="s">
        <v>44772</v>
      </c>
      <c r="X4738" t="s">
        <v>47308</v>
      </c>
    </row>
    <row r="4739" spans="1:24">
      <c r="A4739">
        <f>HYPERLINK("https://www.philgeps.gov.ph/GEPSNONPILOT/Tender/SplashBidNoticeAbstractUI.aspx?menuIndex=3&amp;refID=7197396&amp;Result=3","7197396")</f>
        <v>0</v>
      </c>
      <c r="B4739" t="s">
        <v>81</v>
      </c>
      <c r="C4739" t="s">
        <v>8326</v>
      </c>
      <c r="D4739" t="s">
        <v>18995</v>
      </c>
      <c r="E4739" t="s">
        <v>23301</v>
      </c>
      <c r="F4739" t="s">
        <v>32606</v>
      </c>
      <c r="G4739" t="s">
        <v>32614</v>
      </c>
      <c r="H4739" t="s">
        <v>14201</v>
      </c>
      <c r="I4739" t="s">
        <v>6931</v>
      </c>
      <c r="J4739" t="s">
        <v>35901</v>
      </c>
      <c r="K4739" t="s">
        <v>42624</v>
      </c>
      <c r="M4739" t="s">
        <v>42978</v>
      </c>
      <c r="N4739" t="s">
        <v>47304</v>
      </c>
      <c r="O4739" t="s">
        <v>47305</v>
      </c>
      <c r="P4739">
        <v>0</v>
      </c>
      <c r="Q4739">
        <v>0</v>
      </c>
      <c r="R4739" t="s">
        <v>47306</v>
      </c>
      <c r="S4739" t="s">
        <v>47414</v>
      </c>
      <c r="T4739" t="s">
        <v>49014</v>
      </c>
      <c r="U4739" t="s">
        <v>53584</v>
      </c>
      <c r="W4739" t="s">
        <v>42978</v>
      </c>
      <c r="X4739" t="s">
        <v>47308</v>
      </c>
    </row>
    <row r="4740" spans="1:24">
      <c r="A4740">
        <f>HYPERLINK("https://www.philgeps.gov.ph/GEPSNONPILOT/Tender/SplashBidNoticeAbstractUI.aspx?menuIndex=3&amp;refID=7197426&amp;Result=3","7197426")</f>
        <v>0</v>
      </c>
      <c r="B4740" t="s">
        <v>1740</v>
      </c>
      <c r="C4740" t="s">
        <v>8299</v>
      </c>
      <c r="D4740" t="s">
        <v>18995</v>
      </c>
      <c r="E4740" t="s">
        <v>23302</v>
      </c>
      <c r="F4740" t="s">
        <v>32606</v>
      </c>
      <c r="G4740" t="s">
        <v>32614</v>
      </c>
      <c r="H4740" t="s">
        <v>32624</v>
      </c>
      <c r="I4740" t="s">
        <v>7064</v>
      </c>
      <c r="J4740" t="s">
        <v>33195</v>
      </c>
      <c r="K4740" t="s">
        <v>42622</v>
      </c>
      <c r="M4740" t="s">
        <v>44773</v>
      </c>
      <c r="N4740" t="s">
        <v>47304</v>
      </c>
      <c r="O4740" t="s">
        <v>47305</v>
      </c>
      <c r="P4740">
        <v>0</v>
      </c>
      <c r="Q4740">
        <v>0</v>
      </c>
      <c r="R4740" t="s">
        <v>47306</v>
      </c>
      <c r="S4740" t="s">
        <v>47414</v>
      </c>
      <c r="T4740" t="s">
        <v>48997</v>
      </c>
      <c r="U4740" t="s">
        <v>51756</v>
      </c>
      <c r="W4740" t="s">
        <v>44773</v>
      </c>
      <c r="X4740" t="s">
        <v>47308</v>
      </c>
    </row>
    <row r="4741" spans="1:24">
      <c r="A4741">
        <f>HYPERLINK("https://www.philgeps.gov.ph/GEPSNONPILOT/Tender/SplashBidNoticeAbstractUI.aspx?menuIndex=3&amp;refID=7197424&amp;Result=3","7197424")</f>
        <v>0</v>
      </c>
      <c r="B4741" t="s">
        <v>810</v>
      </c>
      <c r="C4741" t="s">
        <v>8327</v>
      </c>
      <c r="D4741" t="s">
        <v>19013</v>
      </c>
      <c r="E4741" t="s">
        <v>23303</v>
      </c>
      <c r="F4741" t="s">
        <v>32606</v>
      </c>
      <c r="G4741" t="s">
        <v>32614</v>
      </c>
      <c r="H4741" t="s">
        <v>14201</v>
      </c>
      <c r="I4741" t="s">
        <v>6007</v>
      </c>
      <c r="J4741" t="s">
        <v>35902</v>
      </c>
      <c r="K4741" t="s">
        <v>42624</v>
      </c>
      <c r="M4741" t="s">
        <v>43741</v>
      </c>
      <c r="N4741" t="s">
        <v>47304</v>
      </c>
      <c r="O4741" t="s">
        <v>47305</v>
      </c>
      <c r="P4741">
        <v>0</v>
      </c>
      <c r="Q4741">
        <v>2</v>
      </c>
      <c r="R4741" t="s">
        <v>47306</v>
      </c>
      <c r="S4741" t="s">
        <v>47414</v>
      </c>
      <c r="T4741" t="s">
        <v>48987</v>
      </c>
      <c r="U4741" t="s">
        <v>51044</v>
      </c>
      <c r="W4741" t="s">
        <v>43741</v>
      </c>
      <c r="X4741" t="s">
        <v>47308</v>
      </c>
    </row>
    <row r="4742" spans="1:24">
      <c r="A4742">
        <f>HYPERLINK("https://www.philgeps.gov.ph/GEPSNONPILOT/Tender/SplashBidNoticeAbstractUI.aspx?menuIndex=3&amp;refID=7197423&amp;Result=3","7197423")</f>
        <v>0</v>
      </c>
      <c r="B4742" t="s">
        <v>280</v>
      </c>
      <c r="C4742" t="s">
        <v>6298</v>
      </c>
      <c r="D4742" t="s">
        <v>19028</v>
      </c>
      <c r="E4742" t="s">
        <v>23304</v>
      </c>
      <c r="F4742" t="s">
        <v>32606</v>
      </c>
      <c r="G4742" t="s">
        <v>32614</v>
      </c>
      <c r="H4742" t="s">
        <v>14201</v>
      </c>
      <c r="I4742" t="s">
        <v>6298</v>
      </c>
      <c r="J4742" t="s">
        <v>35903</v>
      </c>
      <c r="K4742" t="s">
        <v>42631</v>
      </c>
      <c r="M4742" t="s">
        <v>43712</v>
      </c>
      <c r="N4742" t="s">
        <v>47304</v>
      </c>
      <c r="O4742" t="s">
        <v>47305</v>
      </c>
      <c r="P4742">
        <v>0</v>
      </c>
      <c r="Q4742">
        <v>0</v>
      </c>
      <c r="R4742" t="s">
        <v>47306</v>
      </c>
      <c r="S4742" t="s">
        <v>47414</v>
      </c>
      <c r="T4742" t="s">
        <v>49019</v>
      </c>
      <c r="U4742" t="s">
        <v>53585</v>
      </c>
      <c r="W4742" t="s">
        <v>43712</v>
      </c>
      <c r="X4742" t="s">
        <v>47308</v>
      </c>
    </row>
    <row r="4743" spans="1:24">
      <c r="A4743">
        <f>HYPERLINK("https://www.philgeps.gov.ph/GEPSNONPILOT/Tender/SplashBidNoticeAbstractUI.aspx?menuIndex=3&amp;refID=7197429&amp;Result=3","7197429")</f>
        <v>0</v>
      </c>
      <c r="B4743" t="s">
        <v>1711</v>
      </c>
      <c r="C4743" t="s">
        <v>8328</v>
      </c>
      <c r="D4743" t="s">
        <v>18993</v>
      </c>
      <c r="E4743" t="s">
        <v>23305</v>
      </c>
      <c r="F4743" t="s">
        <v>32606</v>
      </c>
      <c r="G4743" t="s">
        <v>32613</v>
      </c>
      <c r="H4743" t="s">
        <v>14201</v>
      </c>
      <c r="I4743" t="s">
        <v>32655</v>
      </c>
      <c r="J4743" t="s">
        <v>35904</v>
      </c>
      <c r="K4743" t="s">
        <v>42624</v>
      </c>
      <c r="M4743" t="s">
        <v>44743</v>
      </c>
      <c r="N4743" t="s">
        <v>47304</v>
      </c>
      <c r="O4743" t="s">
        <v>47305</v>
      </c>
      <c r="P4743">
        <v>0</v>
      </c>
      <c r="Q4743">
        <v>9</v>
      </c>
      <c r="R4743" t="s">
        <v>47306</v>
      </c>
      <c r="S4743" t="s">
        <v>47414</v>
      </c>
      <c r="T4743" t="s">
        <v>49027</v>
      </c>
      <c r="U4743" t="s">
        <v>53586</v>
      </c>
      <c r="W4743" t="s">
        <v>44743</v>
      </c>
      <c r="X4743" t="s">
        <v>47308</v>
      </c>
    </row>
    <row r="4744" spans="1:24">
      <c r="A4744">
        <f>HYPERLINK("https://www.philgeps.gov.ph/GEPSNONPILOT/Tender/SplashBidNoticeAbstractUI.aspx?menuIndex=3&amp;refID=7197398&amp;Result=3","7197398")</f>
        <v>0</v>
      </c>
      <c r="B4744" t="s">
        <v>1741</v>
      </c>
      <c r="C4744" t="s">
        <v>8299</v>
      </c>
      <c r="D4744" t="s">
        <v>18995</v>
      </c>
      <c r="E4744" t="s">
        <v>23306</v>
      </c>
      <c r="F4744" t="s">
        <v>32606</v>
      </c>
      <c r="G4744" t="s">
        <v>32614</v>
      </c>
      <c r="H4744" t="s">
        <v>32624</v>
      </c>
      <c r="I4744" t="s">
        <v>7064</v>
      </c>
      <c r="J4744" t="s">
        <v>33195</v>
      </c>
      <c r="K4744" t="s">
        <v>42622</v>
      </c>
      <c r="M4744" t="s">
        <v>44774</v>
      </c>
      <c r="N4744" t="s">
        <v>47304</v>
      </c>
      <c r="O4744" t="s">
        <v>47305</v>
      </c>
      <c r="P4744">
        <v>0</v>
      </c>
      <c r="Q4744">
        <v>0</v>
      </c>
      <c r="R4744" t="s">
        <v>47306</v>
      </c>
      <c r="S4744" t="s">
        <v>47414</v>
      </c>
      <c r="T4744" t="s">
        <v>48997</v>
      </c>
      <c r="U4744" t="s">
        <v>51756</v>
      </c>
      <c r="W4744" t="s">
        <v>44774</v>
      </c>
      <c r="X4744" t="s">
        <v>47308</v>
      </c>
    </row>
    <row r="4745" spans="1:24">
      <c r="A4745">
        <f>HYPERLINK("https://www.philgeps.gov.ph/GEPSNONPILOT/Tender/SplashBidNoticeAbstractUI.aspx?menuIndex=3&amp;refID=7197428&amp;Result=3","7197428")</f>
        <v>0</v>
      </c>
      <c r="B4745" t="s">
        <v>1721</v>
      </c>
      <c r="C4745" t="s">
        <v>8329</v>
      </c>
      <c r="D4745" t="s">
        <v>18993</v>
      </c>
      <c r="E4745" t="s">
        <v>23307</v>
      </c>
      <c r="F4745" t="s">
        <v>32606</v>
      </c>
      <c r="G4745" t="s">
        <v>32614</v>
      </c>
      <c r="H4745" t="s">
        <v>14201</v>
      </c>
      <c r="I4745" t="s">
        <v>4678</v>
      </c>
      <c r="J4745" t="s">
        <v>34123</v>
      </c>
      <c r="K4745" t="s">
        <v>42623</v>
      </c>
      <c r="M4745" t="s">
        <v>44753</v>
      </c>
      <c r="N4745" t="s">
        <v>47304</v>
      </c>
      <c r="O4745" t="s">
        <v>47305</v>
      </c>
      <c r="P4745">
        <v>0</v>
      </c>
      <c r="Q4745">
        <v>0</v>
      </c>
      <c r="R4745" t="s">
        <v>47306</v>
      </c>
      <c r="S4745" t="s">
        <v>47414</v>
      </c>
      <c r="T4745" t="s">
        <v>49004</v>
      </c>
      <c r="U4745" t="s">
        <v>53587</v>
      </c>
      <c r="V4745" t="s">
        <v>63091</v>
      </c>
      <c r="W4745" t="s">
        <v>44753</v>
      </c>
      <c r="X4745" t="s">
        <v>47308</v>
      </c>
    </row>
    <row r="4746" spans="1:24">
      <c r="A4746">
        <f>HYPERLINK("https://www.philgeps.gov.ph/GEPSNONPILOT/Tender/SplashBidNoticeAbstractUI.aspx?menuIndex=3&amp;refID=7197418&amp;Result=3","7197418")</f>
        <v>0</v>
      </c>
      <c r="B4746" t="s">
        <v>1735</v>
      </c>
      <c r="C4746" t="s">
        <v>8330</v>
      </c>
      <c r="D4746" t="s">
        <v>18995</v>
      </c>
      <c r="E4746" t="s">
        <v>23308</v>
      </c>
      <c r="F4746" t="s">
        <v>32606</v>
      </c>
      <c r="G4746" t="s">
        <v>32614</v>
      </c>
      <c r="H4746" t="s">
        <v>32623</v>
      </c>
      <c r="I4746" t="s">
        <v>17648</v>
      </c>
      <c r="J4746" t="s">
        <v>35905</v>
      </c>
      <c r="K4746" t="s">
        <v>42631</v>
      </c>
      <c r="M4746" t="s">
        <v>44767</v>
      </c>
      <c r="N4746" t="s">
        <v>47304</v>
      </c>
      <c r="O4746" t="s">
        <v>47305</v>
      </c>
      <c r="P4746">
        <v>0</v>
      </c>
      <c r="Q4746">
        <v>0</v>
      </c>
      <c r="R4746" t="s">
        <v>47306</v>
      </c>
      <c r="S4746" t="s">
        <v>47414</v>
      </c>
      <c r="T4746" t="s">
        <v>48979</v>
      </c>
      <c r="U4746" t="s">
        <v>51756</v>
      </c>
      <c r="W4746" t="s">
        <v>44767</v>
      </c>
      <c r="X4746" t="s">
        <v>47308</v>
      </c>
    </row>
    <row r="4747" spans="1:24">
      <c r="A4747">
        <f>HYPERLINK("https://www.philgeps.gov.ph/GEPSNONPILOT/Tender/SplashBidNoticeAbstractUI.aspx?menuIndex=3&amp;refID=7197417&amp;Result=3","7197417")</f>
        <v>0</v>
      </c>
      <c r="B4747" t="s">
        <v>280</v>
      </c>
      <c r="C4747" t="s">
        <v>6298</v>
      </c>
      <c r="D4747" t="s">
        <v>19028</v>
      </c>
      <c r="E4747" t="s">
        <v>23309</v>
      </c>
      <c r="F4747" t="s">
        <v>32606</v>
      </c>
      <c r="G4747" t="s">
        <v>32614</v>
      </c>
      <c r="H4747" t="s">
        <v>14201</v>
      </c>
      <c r="I4747" t="s">
        <v>6298</v>
      </c>
      <c r="J4747" t="s">
        <v>34143</v>
      </c>
      <c r="K4747" t="s">
        <v>42631</v>
      </c>
      <c r="M4747" t="s">
        <v>43712</v>
      </c>
      <c r="N4747" t="s">
        <v>47304</v>
      </c>
      <c r="O4747" t="s">
        <v>47305</v>
      </c>
      <c r="P4747">
        <v>0</v>
      </c>
      <c r="Q4747">
        <v>0</v>
      </c>
      <c r="R4747" t="s">
        <v>47306</v>
      </c>
      <c r="S4747" t="s">
        <v>47414</v>
      </c>
      <c r="T4747" t="s">
        <v>49019</v>
      </c>
      <c r="U4747" t="s">
        <v>53588</v>
      </c>
      <c r="W4747" t="s">
        <v>43712</v>
      </c>
      <c r="X4747" t="s">
        <v>47308</v>
      </c>
    </row>
    <row r="4748" spans="1:24">
      <c r="A4748">
        <f>HYPERLINK("https://www.philgeps.gov.ph/GEPSNONPILOT/Tender/SplashBidNoticeAbstractUI.aspx?menuIndex=3&amp;refID=7197416&amp;Result=3","7197416")</f>
        <v>0</v>
      </c>
      <c r="B4748" t="s">
        <v>810</v>
      </c>
      <c r="C4748" t="s">
        <v>8331</v>
      </c>
      <c r="D4748" t="s">
        <v>19013</v>
      </c>
      <c r="E4748" t="s">
        <v>23310</v>
      </c>
      <c r="F4748" t="s">
        <v>32606</v>
      </c>
      <c r="G4748" t="s">
        <v>32613</v>
      </c>
      <c r="H4748" t="s">
        <v>14201</v>
      </c>
      <c r="I4748" t="s">
        <v>6931</v>
      </c>
      <c r="J4748" t="s">
        <v>34207</v>
      </c>
      <c r="K4748" t="s">
        <v>42624</v>
      </c>
      <c r="M4748" t="s">
        <v>43741</v>
      </c>
      <c r="N4748" t="s">
        <v>47304</v>
      </c>
      <c r="O4748" t="s">
        <v>47305</v>
      </c>
      <c r="P4748">
        <v>0</v>
      </c>
      <c r="Q4748">
        <v>0</v>
      </c>
      <c r="R4748" t="s">
        <v>47306</v>
      </c>
      <c r="S4748" t="s">
        <v>47414</v>
      </c>
      <c r="T4748" t="s">
        <v>48987</v>
      </c>
      <c r="U4748" t="s">
        <v>51044</v>
      </c>
      <c r="W4748" t="s">
        <v>43741</v>
      </c>
      <c r="X4748" t="s">
        <v>47308</v>
      </c>
    </row>
    <row r="4749" spans="1:24">
      <c r="A4749">
        <f>HYPERLINK("https://www.philgeps.gov.ph/GEPSNONPILOT/Tender/SplashBidNoticeAbstractUI.aspx?menuIndex=3&amp;refID=7197415&amp;Result=3","7197415")</f>
        <v>0</v>
      </c>
      <c r="B4749" t="s">
        <v>1742</v>
      </c>
      <c r="C4749" t="s">
        <v>8332</v>
      </c>
      <c r="D4749" t="s">
        <v>19070</v>
      </c>
      <c r="E4749" t="s">
        <v>23311</v>
      </c>
      <c r="F4749" t="s">
        <v>32606</v>
      </c>
      <c r="G4749" t="s">
        <v>32614</v>
      </c>
      <c r="H4749" t="s">
        <v>14201</v>
      </c>
      <c r="I4749" t="s">
        <v>4114</v>
      </c>
      <c r="J4749" t="s">
        <v>35906</v>
      </c>
      <c r="K4749" t="s">
        <v>42623</v>
      </c>
      <c r="M4749" t="s">
        <v>44775</v>
      </c>
      <c r="N4749" t="s">
        <v>47304</v>
      </c>
      <c r="O4749" t="s">
        <v>47305</v>
      </c>
      <c r="P4749">
        <v>0</v>
      </c>
      <c r="Q4749">
        <v>0</v>
      </c>
      <c r="R4749" t="s">
        <v>47306</v>
      </c>
      <c r="S4749" t="s">
        <v>47414</v>
      </c>
      <c r="T4749" t="s">
        <v>48997</v>
      </c>
      <c r="U4749" t="s">
        <v>53589</v>
      </c>
      <c r="W4749" t="s">
        <v>44775</v>
      </c>
      <c r="X4749" t="s">
        <v>47308</v>
      </c>
    </row>
    <row r="4750" spans="1:24">
      <c r="A4750">
        <f>HYPERLINK("https://www.philgeps.gov.ph/GEPSNONPILOT/Tender/SplashBidNoticeAbstractUI.aspx?menuIndex=3&amp;refID=7197414&amp;Result=3","7197414")</f>
        <v>0</v>
      </c>
      <c r="B4750" t="s">
        <v>1721</v>
      </c>
      <c r="C4750" t="s">
        <v>8333</v>
      </c>
      <c r="D4750" t="s">
        <v>18993</v>
      </c>
      <c r="E4750" t="s">
        <v>23312</v>
      </c>
      <c r="F4750" t="s">
        <v>32606</v>
      </c>
      <c r="G4750" t="s">
        <v>32614</v>
      </c>
      <c r="H4750" t="s">
        <v>14201</v>
      </c>
      <c r="I4750" t="s">
        <v>32655</v>
      </c>
      <c r="J4750" t="s">
        <v>35907</v>
      </c>
      <c r="K4750" t="s">
        <v>42631</v>
      </c>
      <c r="M4750" t="s">
        <v>44753</v>
      </c>
      <c r="N4750" t="s">
        <v>47304</v>
      </c>
      <c r="O4750" t="s">
        <v>47305</v>
      </c>
      <c r="P4750">
        <v>0</v>
      </c>
      <c r="Q4750">
        <v>5</v>
      </c>
      <c r="R4750" t="s">
        <v>47306</v>
      </c>
      <c r="S4750" t="s">
        <v>47414</v>
      </c>
      <c r="T4750" t="s">
        <v>49004</v>
      </c>
      <c r="U4750" t="s">
        <v>53590</v>
      </c>
      <c r="V4750" t="s">
        <v>63091</v>
      </c>
      <c r="W4750" t="s">
        <v>44753</v>
      </c>
      <c r="X4750" t="s">
        <v>47308</v>
      </c>
    </row>
    <row r="4751" spans="1:24">
      <c r="A4751">
        <f>HYPERLINK("https://www.philgeps.gov.ph/GEPSNONPILOT/Tender/SplashBidNoticeAbstractUI.aspx?menuIndex=3&amp;refID=7197412&amp;Result=3","7197412")</f>
        <v>0</v>
      </c>
      <c r="B4751" t="s">
        <v>1738</v>
      </c>
      <c r="C4751" t="s">
        <v>8334</v>
      </c>
      <c r="E4751" t="s">
        <v>23313</v>
      </c>
      <c r="F4751" t="s">
        <v>32606</v>
      </c>
      <c r="G4751" t="s">
        <v>32614</v>
      </c>
      <c r="H4751" t="s">
        <v>14201</v>
      </c>
      <c r="I4751" t="s">
        <v>32633</v>
      </c>
      <c r="J4751" t="s">
        <v>35908</v>
      </c>
      <c r="K4751" t="s">
        <v>42624</v>
      </c>
      <c r="M4751" t="s">
        <v>44771</v>
      </c>
      <c r="N4751" t="s">
        <v>47304</v>
      </c>
      <c r="O4751" t="s">
        <v>47305</v>
      </c>
      <c r="P4751">
        <v>0</v>
      </c>
      <c r="Q4751">
        <v>2</v>
      </c>
      <c r="R4751" t="s">
        <v>47306</v>
      </c>
      <c r="S4751" t="s">
        <v>47414</v>
      </c>
      <c r="T4751" t="s">
        <v>48980</v>
      </c>
      <c r="U4751" t="s">
        <v>53591</v>
      </c>
      <c r="W4751" t="s">
        <v>44771</v>
      </c>
      <c r="X4751" t="s">
        <v>47308</v>
      </c>
    </row>
    <row r="4752" spans="1:24">
      <c r="A4752">
        <f>HYPERLINK("https://www.philgeps.gov.ph/GEPSNONPILOT/Tender/SplashBidNoticeAbstractUI.aspx?menuIndex=3&amp;refID=7197422&amp;Result=3","7197422")</f>
        <v>0</v>
      </c>
      <c r="B4752" t="s">
        <v>209</v>
      </c>
      <c r="C4752" t="s">
        <v>8335</v>
      </c>
      <c r="D4752" t="s">
        <v>19001</v>
      </c>
      <c r="E4752" t="s">
        <v>23314</v>
      </c>
      <c r="F4752" t="s">
        <v>32606</v>
      </c>
      <c r="G4752" t="s">
        <v>32613</v>
      </c>
      <c r="H4752" t="s">
        <v>14201</v>
      </c>
      <c r="I4752" t="s">
        <v>32691</v>
      </c>
      <c r="J4752" t="s">
        <v>35909</v>
      </c>
      <c r="K4752" t="s">
        <v>42636</v>
      </c>
      <c r="M4752" t="s">
        <v>43110</v>
      </c>
      <c r="N4752" t="s">
        <v>47304</v>
      </c>
      <c r="O4752" t="s">
        <v>47305</v>
      </c>
      <c r="P4752">
        <v>0</v>
      </c>
      <c r="Q4752">
        <v>0</v>
      </c>
      <c r="R4752" t="s">
        <v>47306</v>
      </c>
      <c r="S4752" t="s">
        <v>47414</v>
      </c>
      <c r="T4752" t="s">
        <v>48990</v>
      </c>
      <c r="U4752" t="s">
        <v>53592</v>
      </c>
      <c r="V4752" t="s">
        <v>63092</v>
      </c>
      <c r="W4752" t="s">
        <v>43110</v>
      </c>
      <c r="X4752" t="s">
        <v>47308</v>
      </c>
    </row>
    <row r="4753" spans="1:24">
      <c r="A4753">
        <f>HYPERLINK("https://www.philgeps.gov.ph/GEPSNONPILOT/Tender/SplashBidNoticeAbstractUI.aspx?menuIndex=3&amp;refID=7197454&amp;Result=3","7197454")</f>
        <v>0</v>
      </c>
      <c r="B4753" t="s">
        <v>652</v>
      </c>
      <c r="C4753" t="s">
        <v>8336</v>
      </c>
      <c r="D4753" t="s">
        <v>18993</v>
      </c>
      <c r="E4753" t="s">
        <v>23315</v>
      </c>
      <c r="F4753" t="s">
        <v>32606</v>
      </c>
      <c r="G4753" t="s">
        <v>32613</v>
      </c>
      <c r="H4753" t="s">
        <v>14201</v>
      </c>
      <c r="I4753" t="s">
        <v>32652</v>
      </c>
      <c r="J4753" t="s">
        <v>35910</v>
      </c>
      <c r="K4753" t="s">
        <v>42624</v>
      </c>
      <c r="M4753" t="s">
        <v>44776</v>
      </c>
      <c r="N4753" t="s">
        <v>47304</v>
      </c>
      <c r="O4753" t="s">
        <v>47305</v>
      </c>
      <c r="P4753">
        <v>0</v>
      </c>
      <c r="Q4753">
        <v>1</v>
      </c>
      <c r="R4753" t="s">
        <v>47306</v>
      </c>
      <c r="S4753" t="s">
        <v>47414</v>
      </c>
      <c r="T4753" t="s">
        <v>49024</v>
      </c>
      <c r="U4753" t="s">
        <v>53593</v>
      </c>
      <c r="V4753" t="s">
        <v>63093</v>
      </c>
      <c r="W4753" t="s">
        <v>44776</v>
      </c>
      <c r="X4753" t="s">
        <v>47308</v>
      </c>
    </row>
    <row r="4754" spans="1:24">
      <c r="A4754">
        <f>HYPERLINK("https://www.philgeps.gov.ph/GEPSNONPILOT/Tender/SplashBidNoticeAbstractUI.aspx?menuIndex=3&amp;refID=7197421&amp;Result=3","7197421")</f>
        <v>0</v>
      </c>
      <c r="B4754" t="s">
        <v>1721</v>
      </c>
      <c r="C4754" t="s">
        <v>8262</v>
      </c>
      <c r="D4754" t="s">
        <v>18993</v>
      </c>
      <c r="E4754" t="s">
        <v>23316</v>
      </c>
      <c r="F4754" t="s">
        <v>32606</v>
      </c>
      <c r="G4754" t="s">
        <v>32614</v>
      </c>
      <c r="H4754" t="s">
        <v>14201</v>
      </c>
      <c r="I4754" t="s">
        <v>7577</v>
      </c>
      <c r="J4754" t="s">
        <v>35911</v>
      </c>
      <c r="K4754" t="s">
        <v>42623</v>
      </c>
      <c r="M4754" t="s">
        <v>44753</v>
      </c>
      <c r="N4754" t="s">
        <v>47304</v>
      </c>
      <c r="O4754" t="s">
        <v>47305</v>
      </c>
      <c r="P4754">
        <v>0</v>
      </c>
      <c r="Q4754">
        <v>1</v>
      </c>
      <c r="R4754" t="s">
        <v>47306</v>
      </c>
      <c r="S4754" t="s">
        <v>47414</v>
      </c>
      <c r="T4754" t="s">
        <v>49004</v>
      </c>
      <c r="U4754" t="s">
        <v>53594</v>
      </c>
      <c r="V4754" t="s">
        <v>63091</v>
      </c>
      <c r="W4754" t="s">
        <v>44753</v>
      </c>
      <c r="X4754" t="s">
        <v>47308</v>
      </c>
    </row>
    <row r="4755" spans="1:24">
      <c r="A4755">
        <f>HYPERLINK("https://www.philgeps.gov.ph/GEPSNONPILOT/Tender/SplashBidNoticeAbstractUI.aspx?menuIndex=3&amp;refID=7197452&amp;Result=3","7197452")</f>
        <v>0</v>
      </c>
      <c r="B4755" t="s">
        <v>1743</v>
      </c>
      <c r="C4755" t="s">
        <v>8305</v>
      </c>
      <c r="D4755" t="s">
        <v>19016</v>
      </c>
      <c r="E4755" t="s">
        <v>23317</v>
      </c>
      <c r="F4755" t="s">
        <v>32606</v>
      </c>
      <c r="G4755" t="s">
        <v>32613</v>
      </c>
      <c r="H4755" t="s">
        <v>32623</v>
      </c>
      <c r="I4755" t="s">
        <v>17648</v>
      </c>
      <c r="J4755" t="s">
        <v>32981</v>
      </c>
      <c r="K4755" t="s">
        <v>42631</v>
      </c>
      <c r="L4755" t="s">
        <v>1743</v>
      </c>
      <c r="M4755" t="s">
        <v>44777</v>
      </c>
      <c r="N4755" t="s">
        <v>47304</v>
      </c>
      <c r="O4755" t="s">
        <v>47305</v>
      </c>
      <c r="P4755">
        <v>0</v>
      </c>
      <c r="Q4755">
        <v>1</v>
      </c>
      <c r="R4755" t="s">
        <v>47306</v>
      </c>
      <c r="S4755" t="s">
        <v>47414</v>
      </c>
      <c r="T4755" t="s">
        <v>49028</v>
      </c>
      <c r="U4755" t="s">
        <v>53595</v>
      </c>
      <c r="V4755" t="s">
        <v>63094</v>
      </c>
      <c r="W4755" t="s">
        <v>44777</v>
      </c>
      <c r="X4755" t="s">
        <v>47308</v>
      </c>
    </row>
    <row r="4756" spans="1:24">
      <c r="A4756">
        <f>HYPERLINK("https://www.philgeps.gov.ph/GEPSNONPILOT/Tender/SplashBidNoticeAbstractUI.aspx?menuIndex=3&amp;refID=7197449&amp;Result=3","7197449")</f>
        <v>0</v>
      </c>
      <c r="B4756" t="s">
        <v>83</v>
      </c>
      <c r="C4756" t="s">
        <v>8337</v>
      </c>
      <c r="D4756" t="s">
        <v>19021</v>
      </c>
      <c r="E4756" t="s">
        <v>23318</v>
      </c>
      <c r="F4756" t="s">
        <v>32606</v>
      </c>
      <c r="G4756" t="s">
        <v>32614</v>
      </c>
      <c r="H4756" t="s">
        <v>14201</v>
      </c>
      <c r="I4756" t="s">
        <v>4120</v>
      </c>
      <c r="J4756" t="s">
        <v>35912</v>
      </c>
      <c r="K4756" t="s">
        <v>42623</v>
      </c>
      <c r="M4756" t="s">
        <v>42980</v>
      </c>
      <c r="N4756" t="s">
        <v>47304</v>
      </c>
      <c r="O4756" t="s">
        <v>47305</v>
      </c>
      <c r="P4756">
        <v>0</v>
      </c>
      <c r="Q4756">
        <v>1</v>
      </c>
      <c r="R4756" t="s">
        <v>47306</v>
      </c>
      <c r="S4756" t="s">
        <v>47414</v>
      </c>
      <c r="T4756" t="s">
        <v>49015</v>
      </c>
      <c r="U4756" t="s">
        <v>53596</v>
      </c>
      <c r="W4756" t="s">
        <v>42980</v>
      </c>
      <c r="X4756" t="s">
        <v>47308</v>
      </c>
    </row>
    <row r="4757" spans="1:24">
      <c r="A4757">
        <f>HYPERLINK("https://www.philgeps.gov.ph/GEPSNONPILOT/Tender/SplashBidNoticeAbstractUI.aspx?menuIndex=3&amp;refID=7197448&amp;Result=3","7197448")</f>
        <v>0</v>
      </c>
      <c r="B4757" t="s">
        <v>1744</v>
      </c>
      <c r="C4757" t="s">
        <v>8338</v>
      </c>
      <c r="D4757" t="s">
        <v>19005</v>
      </c>
      <c r="E4757" t="s">
        <v>23319</v>
      </c>
      <c r="F4757" t="s">
        <v>32606</v>
      </c>
      <c r="G4757" t="s">
        <v>32614</v>
      </c>
      <c r="H4757" t="s">
        <v>14201</v>
      </c>
      <c r="I4757" t="s">
        <v>6931</v>
      </c>
      <c r="J4757" t="s">
        <v>35913</v>
      </c>
      <c r="K4757" t="s">
        <v>42622</v>
      </c>
      <c r="M4757" t="s">
        <v>44778</v>
      </c>
      <c r="N4757" t="s">
        <v>47304</v>
      </c>
      <c r="O4757" t="s">
        <v>47305</v>
      </c>
      <c r="P4757">
        <v>0</v>
      </c>
      <c r="Q4757">
        <v>3</v>
      </c>
      <c r="R4757" t="s">
        <v>47306</v>
      </c>
      <c r="S4757" t="s">
        <v>47414</v>
      </c>
      <c r="T4757" t="s">
        <v>48997</v>
      </c>
      <c r="U4757" t="s">
        <v>53597</v>
      </c>
      <c r="W4757" t="s">
        <v>44778</v>
      </c>
      <c r="X4757" t="s">
        <v>47308</v>
      </c>
    </row>
    <row r="4758" spans="1:24">
      <c r="A4758">
        <f>HYPERLINK("https://www.philgeps.gov.ph/GEPSNONPILOT/Tender/SplashBidNoticeAbstractUI.aspx?menuIndex=3&amp;refID=7197453&amp;Result=3","7197453")</f>
        <v>0</v>
      </c>
      <c r="B4758" t="s">
        <v>1745</v>
      </c>
      <c r="C4758" t="s">
        <v>8339</v>
      </c>
      <c r="D4758" t="s">
        <v>18988</v>
      </c>
      <c r="E4758" t="s">
        <v>20282</v>
      </c>
      <c r="F4758" t="s">
        <v>32611</v>
      </c>
      <c r="G4758" t="s">
        <v>32621</v>
      </c>
      <c r="H4758" t="s">
        <v>14201</v>
      </c>
      <c r="I4758" t="s">
        <v>4120</v>
      </c>
      <c r="J4758" t="s">
        <v>34675</v>
      </c>
      <c r="K4758" t="s">
        <v>42622</v>
      </c>
      <c r="M4758" t="s">
        <v>44779</v>
      </c>
      <c r="N4758" t="s">
        <v>47304</v>
      </c>
      <c r="O4758" t="s">
        <v>47305</v>
      </c>
      <c r="P4758">
        <v>0</v>
      </c>
      <c r="Q4758">
        <v>0</v>
      </c>
      <c r="R4758" t="s">
        <v>47306</v>
      </c>
      <c r="S4758" t="s">
        <v>47414</v>
      </c>
      <c r="T4758" t="s">
        <v>49294</v>
      </c>
      <c r="U4758" t="s">
        <v>53598</v>
      </c>
      <c r="W4758" t="s">
        <v>44779</v>
      </c>
      <c r="X4758" t="s">
        <v>47308</v>
      </c>
    </row>
    <row r="4759" spans="1:24">
      <c r="A4759">
        <f>HYPERLINK("https://www.philgeps.gov.ph/GEPSNONPILOT/Tender/SplashBidNoticeAbstractUI.aspx?menuIndex=3&amp;refID=7197363&amp;Result=3","7197363")</f>
        <v>0</v>
      </c>
      <c r="B4759" t="s">
        <v>424</v>
      </c>
      <c r="C4759" t="s">
        <v>8340</v>
      </c>
      <c r="D4759" t="s">
        <v>18992</v>
      </c>
      <c r="E4759" t="s">
        <v>23320</v>
      </c>
      <c r="F4759" t="s">
        <v>32606</v>
      </c>
      <c r="G4759" t="s">
        <v>32613</v>
      </c>
      <c r="H4759" t="s">
        <v>32623</v>
      </c>
      <c r="I4759" t="s">
        <v>32649</v>
      </c>
      <c r="J4759" t="s">
        <v>35858</v>
      </c>
      <c r="K4759" t="s">
        <v>42682</v>
      </c>
      <c r="M4759" t="s">
        <v>43328</v>
      </c>
      <c r="N4759" t="s">
        <v>47304</v>
      </c>
      <c r="O4759" t="s">
        <v>47305</v>
      </c>
      <c r="P4759">
        <v>0</v>
      </c>
      <c r="Q4759">
        <v>0</v>
      </c>
      <c r="R4759" t="s">
        <v>47306</v>
      </c>
      <c r="S4759" t="s">
        <v>47414</v>
      </c>
      <c r="T4759" t="s">
        <v>48986</v>
      </c>
      <c r="U4759" t="s">
        <v>53599</v>
      </c>
      <c r="W4759" t="s">
        <v>43328</v>
      </c>
      <c r="X4759" t="s">
        <v>47308</v>
      </c>
    </row>
    <row r="4760" spans="1:24">
      <c r="A4760">
        <f>HYPERLINK("https://www.philgeps.gov.ph/GEPSNONPILOT/Tender/SplashBidNoticeAbstractUI.aspx?menuIndex=3&amp;refID=7197451&amp;Result=3","7197451")</f>
        <v>0</v>
      </c>
      <c r="B4760" t="s">
        <v>810</v>
      </c>
      <c r="C4760" t="s">
        <v>8341</v>
      </c>
      <c r="D4760" t="s">
        <v>19013</v>
      </c>
      <c r="E4760" t="s">
        <v>23321</v>
      </c>
      <c r="F4760" t="s">
        <v>32606</v>
      </c>
      <c r="G4760" t="s">
        <v>32613</v>
      </c>
      <c r="H4760" t="s">
        <v>32623</v>
      </c>
      <c r="I4760" t="s">
        <v>17648</v>
      </c>
      <c r="J4760" t="s">
        <v>35914</v>
      </c>
      <c r="K4760" t="s">
        <v>42624</v>
      </c>
      <c r="M4760" t="s">
        <v>44780</v>
      </c>
      <c r="N4760" t="s">
        <v>47304</v>
      </c>
      <c r="O4760" t="s">
        <v>47305</v>
      </c>
      <c r="P4760">
        <v>0</v>
      </c>
      <c r="Q4760">
        <v>1</v>
      </c>
      <c r="R4760" t="s">
        <v>47306</v>
      </c>
      <c r="S4760" t="s">
        <v>47414</v>
      </c>
      <c r="T4760" t="s">
        <v>48987</v>
      </c>
      <c r="U4760" t="s">
        <v>51044</v>
      </c>
      <c r="W4760" t="s">
        <v>44780</v>
      </c>
      <c r="X4760" t="s">
        <v>47308</v>
      </c>
    </row>
    <row r="4761" spans="1:24">
      <c r="A4761">
        <f>HYPERLINK("https://www.philgeps.gov.ph/GEPSNONPILOT/Tender/SplashBidNoticeAbstractUI.aspx?menuIndex=3&amp;refID=7197444&amp;Result=3","7197444")</f>
        <v>0</v>
      </c>
      <c r="B4761" t="s">
        <v>810</v>
      </c>
      <c r="C4761" t="s">
        <v>8342</v>
      </c>
      <c r="D4761" t="s">
        <v>19013</v>
      </c>
      <c r="E4761" t="s">
        <v>23322</v>
      </c>
      <c r="F4761" t="s">
        <v>32606</v>
      </c>
      <c r="G4761" t="s">
        <v>32613</v>
      </c>
      <c r="H4761" t="s">
        <v>32623</v>
      </c>
      <c r="I4761" t="s">
        <v>17648</v>
      </c>
      <c r="J4761" t="s">
        <v>35915</v>
      </c>
      <c r="K4761" t="s">
        <v>42624</v>
      </c>
      <c r="M4761" t="s">
        <v>44780</v>
      </c>
      <c r="N4761" t="s">
        <v>47304</v>
      </c>
      <c r="O4761" t="s">
        <v>47305</v>
      </c>
      <c r="P4761">
        <v>0</v>
      </c>
      <c r="Q4761">
        <v>0</v>
      </c>
      <c r="R4761" t="s">
        <v>47306</v>
      </c>
      <c r="S4761" t="s">
        <v>47414</v>
      </c>
      <c r="T4761" t="s">
        <v>48987</v>
      </c>
      <c r="U4761" t="s">
        <v>51044</v>
      </c>
      <c r="W4761" t="s">
        <v>44780</v>
      </c>
      <c r="X4761" t="s">
        <v>47308</v>
      </c>
    </row>
    <row r="4762" spans="1:24">
      <c r="A4762">
        <f>HYPERLINK("https://www.philgeps.gov.ph/GEPSNONPILOT/Tender/SplashBidNoticeAbstractUI.aspx?menuIndex=3&amp;refID=7197445&amp;Result=3","7197445")</f>
        <v>0</v>
      </c>
      <c r="B4762" t="s">
        <v>1711</v>
      </c>
      <c r="C4762" t="s">
        <v>8343</v>
      </c>
      <c r="D4762" t="s">
        <v>18993</v>
      </c>
      <c r="E4762" t="s">
        <v>23323</v>
      </c>
      <c r="F4762" t="s">
        <v>32606</v>
      </c>
      <c r="G4762" t="s">
        <v>32613</v>
      </c>
      <c r="H4762" t="s">
        <v>14201</v>
      </c>
      <c r="I4762" t="s">
        <v>32655</v>
      </c>
      <c r="J4762" t="s">
        <v>32795</v>
      </c>
      <c r="K4762" t="s">
        <v>42624</v>
      </c>
      <c r="M4762" t="s">
        <v>44743</v>
      </c>
      <c r="N4762" t="s">
        <v>47304</v>
      </c>
      <c r="O4762" t="s">
        <v>47305</v>
      </c>
      <c r="P4762">
        <v>0</v>
      </c>
      <c r="Q4762">
        <v>11</v>
      </c>
      <c r="R4762" t="s">
        <v>47306</v>
      </c>
      <c r="S4762" t="s">
        <v>47414</v>
      </c>
      <c r="T4762" t="s">
        <v>49295</v>
      </c>
      <c r="U4762" t="s">
        <v>53600</v>
      </c>
      <c r="W4762" t="s">
        <v>44743</v>
      </c>
      <c r="X4762" t="s">
        <v>47308</v>
      </c>
    </row>
    <row r="4763" spans="1:24">
      <c r="A4763">
        <f>HYPERLINK("https://www.philgeps.gov.ph/GEPSNONPILOT/Tender/SplashBidNoticeAbstractUI.aspx?menuIndex=3&amp;refID=7197443&amp;Result=3","7197443")</f>
        <v>0</v>
      </c>
      <c r="B4763" t="s">
        <v>1098</v>
      </c>
      <c r="C4763" t="s">
        <v>8344</v>
      </c>
      <c r="D4763" t="s">
        <v>19001</v>
      </c>
      <c r="E4763" t="s">
        <v>23324</v>
      </c>
      <c r="F4763" t="s">
        <v>32606</v>
      </c>
      <c r="G4763" t="s">
        <v>32614</v>
      </c>
      <c r="H4763" t="s">
        <v>14201</v>
      </c>
      <c r="I4763" t="s">
        <v>7064</v>
      </c>
      <c r="J4763" t="s">
        <v>32981</v>
      </c>
      <c r="K4763" t="s">
        <v>42631</v>
      </c>
      <c r="M4763" t="s">
        <v>44054</v>
      </c>
      <c r="N4763" t="s">
        <v>47304</v>
      </c>
      <c r="O4763" t="s">
        <v>47305</v>
      </c>
      <c r="P4763">
        <v>0</v>
      </c>
      <c r="Q4763">
        <v>0</v>
      </c>
      <c r="R4763" t="s">
        <v>47306</v>
      </c>
      <c r="S4763" t="s">
        <v>47414</v>
      </c>
      <c r="T4763" t="s">
        <v>49014</v>
      </c>
      <c r="U4763" t="s">
        <v>53601</v>
      </c>
      <c r="W4763" t="s">
        <v>44054</v>
      </c>
      <c r="X4763" t="s">
        <v>47308</v>
      </c>
    </row>
    <row r="4764" spans="1:24">
      <c r="A4764">
        <f>HYPERLINK("https://www.philgeps.gov.ph/GEPSNONPILOT/Tender/SplashBidNoticeAbstractUI.aspx?menuIndex=3&amp;refID=7197450&amp;Result=3","7197450")</f>
        <v>0</v>
      </c>
      <c r="B4764" t="s">
        <v>1746</v>
      </c>
      <c r="C4764" t="s">
        <v>8345</v>
      </c>
      <c r="D4764" t="s">
        <v>19024</v>
      </c>
      <c r="E4764" t="s">
        <v>23325</v>
      </c>
      <c r="F4764" t="s">
        <v>32606</v>
      </c>
      <c r="G4764" t="s">
        <v>32614</v>
      </c>
      <c r="H4764" t="s">
        <v>14201</v>
      </c>
      <c r="I4764" t="s">
        <v>4120</v>
      </c>
      <c r="J4764" t="s">
        <v>35916</v>
      </c>
      <c r="K4764" t="s">
        <v>42632</v>
      </c>
      <c r="M4764" t="s">
        <v>44781</v>
      </c>
      <c r="N4764" t="s">
        <v>47304</v>
      </c>
      <c r="O4764" t="s">
        <v>47305</v>
      </c>
      <c r="P4764">
        <v>0</v>
      </c>
      <c r="Q4764">
        <v>0</v>
      </c>
      <c r="R4764" t="s">
        <v>47306</v>
      </c>
      <c r="S4764" t="s">
        <v>47414</v>
      </c>
      <c r="T4764" t="s">
        <v>48980</v>
      </c>
      <c r="U4764" t="s">
        <v>53602</v>
      </c>
      <c r="W4764" t="s">
        <v>44781</v>
      </c>
      <c r="X4764" t="s">
        <v>47308</v>
      </c>
    </row>
    <row r="4765" spans="1:24">
      <c r="A4765">
        <f>HYPERLINK("https://www.philgeps.gov.ph/GEPSNONPILOT/Tender/SplashBidNoticeAbstractUI.aspx?menuIndex=3&amp;refID=7197442&amp;Result=3","7197442")</f>
        <v>0</v>
      </c>
      <c r="B4765" t="s">
        <v>1747</v>
      </c>
      <c r="C4765" t="s">
        <v>8346</v>
      </c>
      <c r="D4765" t="s">
        <v>18987</v>
      </c>
      <c r="E4765" t="s">
        <v>23326</v>
      </c>
      <c r="F4765" t="s">
        <v>32606</v>
      </c>
      <c r="G4765" t="s">
        <v>32613</v>
      </c>
      <c r="H4765" t="s">
        <v>14201</v>
      </c>
      <c r="I4765" t="s">
        <v>32661</v>
      </c>
      <c r="J4765" t="s">
        <v>35917</v>
      </c>
      <c r="K4765" t="s">
        <v>42623</v>
      </c>
      <c r="M4765" t="s">
        <v>44782</v>
      </c>
      <c r="N4765" t="s">
        <v>47304</v>
      </c>
      <c r="O4765" t="s">
        <v>47305</v>
      </c>
      <c r="P4765">
        <v>0</v>
      </c>
      <c r="Q4765">
        <v>0</v>
      </c>
      <c r="R4765" t="s">
        <v>47306</v>
      </c>
      <c r="S4765" t="s">
        <v>47414</v>
      </c>
      <c r="T4765" t="s">
        <v>49023</v>
      </c>
      <c r="U4765" t="s">
        <v>53603</v>
      </c>
      <c r="W4765" t="s">
        <v>44782</v>
      </c>
      <c r="X4765" t="s">
        <v>47308</v>
      </c>
    </row>
    <row r="4766" spans="1:24">
      <c r="A4766">
        <f>HYPERLINK("https://www.philgeps.gov.ph/GEPSNONPILOT/Tender/SplashBidNoticeAbstractUI.aspx?menuIndex=3&amp;refID=7197439&amp;Result=3","7197439")</f>
        <v>0</v>
      </c>
      <c r="B4766" t="s">
        <v>810</v>
      </c>
      <c r="C4766" t="s">
        <v>8347</v>
      </c>
      <c r="D4766" t="s">
        <v>19013</v>
      </c>
      <c r="E4766" t="s">
        <v>23327</v>
      </c>
      <c r="F4766" t="s">
        <v>32606</v>
      </c>
      <c r="G4766" t="s">
        <v>32613</v>
      </c>
      <c r="H4766" t="s">
        <v>32623</v>
      </c>
      <c r="I4766" t="s">
        <v>17648</v>
      </c>
      <c r="J4766" t="s">
        <v>35918</v>
      </c>
      <c r="K4766" t="s">
        <v>42624</v>
      </c>
      <c r="M4766" t="s">
        <v>44780</v>
      </c>
      <c r="N4766" t="s">
        <v>47304</v>
      </c>
      <c r="O4766" t="s">
        <v>47305</v>
      </c>
      <c r="P4766">
        <v>0</v>
      </c>
      <c r="Q4766">
        <v>0</v>
      </c>
      <c r="R4766" t="s">
        <v>47306</v>
      </c>
      <c r="S4766" t="s">
        <v>47414</v>
      </c>
      <c r="T4766" t="s">
        <v>48983</v>
      </c>
      <c r="U4766" t="s">
        <v>51044</v>
      </c>
      <c r="W4766" t="s">
        <v>44780</v>
      </c>
      <c r="X4766" t="s">
        <v>47308</v>
      </c>
    </row>
    <row r="4767" spans="1:24">
      <c r="A4767">
        <f>HYPERLINK("https://www.philgeps.gov.ph/GEPSNONPILOT/Tender/SplashBidNoticeAbstractUI.aspx?menuIndex=3&amp;refID=7197438&amp;Result=3","7197438")</f>
        <v>0</v>
      </c>
      <c r="B4767" t="s">
        <v>1745</v>
      </c>
      <c r="C4767" t="s">
        <v>8348</v>
      </c>
      <c r="D4767" t="s">
        <v>18988</v>
      </c>
      <c r="E4767" t="s">
        <v>20556</v>
      </c>
      <c r="F4767" t="s">
        <v>32608</v>
      </c>
      <c r="G4767" t="s">
        <v>32613</v>
      </c>
      <c r="H4767" t="s">
        <v>14201</v>
      </c>
      <c r="I4767" t="s">
        <v>32692</v>
      </c>
      <c r="J4767" t="s">
        <v>32973</v>
      </c>
      <c r="K4767" t="s">
        <v>42622</v>
      </c>
      <c r="M4767" t="s">
        <v>44779</v>
      </c>
      <c r="N4767" t="s">
        <v>47304</v>
      </c>
      <c r="O4767" t="s">
        <v>47305</v>
      </c>
      <c r="P4767">
        <v>0</v>
      </c>
      <c r="Q4767">
        <v>0</v>
      </c>
      <c r="R4767" t="s">
        <v>47306</v>
      </c>
      <c r="S4767" t="s">
        <v>47414</v>
      </c>
      <c r="T4767" t="s">
        <v>49294</v>
      </c>
      <c r="U4767" t="s">
        <v>53604</v>
      </c>
      <c r="W4767" t="s">
        <v>44779</v>
      </c>
      <c r="X4767" t="s">
        <v>47308</v>
      </c>
    </row>
    <row r="4768" spans="1:24">
      <c r="A4768">
        <f>HYPERLINK("https://www.philgeps.gov.ph/GEPSNONPILOT/Tender/SplashBidNoticeAbstractUI.aspx?menuIndex=3&amp;refID=7197446&amp;Result=3","7197446")</f>
        <v>0</v>
      </c>
      <c r="B4768" t="s">
        <v>1748</v>
      </c>
      <c r="C4768" t="s">
        <v>8349</v>
      </c>
      <c r="D4768" t="s">
        <v>18993</v>
      </c>
      <c r="E4768" t="s">
        <v>23328</v>
      </c>
      <c r="F4768" t="s">
        <v>32606</v>
      </c>
      <c r="G4768" t="s">
        <v>32614</v>
      </c>
      <c r="H4768" t="s">
        <v>32624</v>
      </c>
      <c r="I4768" t="s">
        <v>32675</v>
      </c>
      <c r="J4768" t="s">
        <v>35919</v>
      </c>
      <c r="K4768" t="s">
        <v>42630</v>
      </c>
      <c r="M4768" t="s">
        <v>44783</v>
      </c>
      <c r="N4768" t="s">
        <v>47304</v>
      </c>
      <c r="O4768" t="s">
        <v>47305</v>
      </c>
      <c r="P4768">
        <v>0</v>
      </c>
      <c r="Q4768">
        <v>1</v>
      </c>
      <c r="R4768" t="s">
        <v>47306</v>
      </c>
      <c r="S4768" t="s">
        <v>47414</v>
      </c>
      <c r="T4768" t="s">
        <v>48980</v>
      </c>
      <c r="U4768" t="s">
        <v>53605</v>
      </c>
      <c r="W4768" t="s">
        <v>44783</v>
      </c>
      <c r="X4768" t="s">
        <v>47308</v>
      </c>
    </row>
    <row r="4769" spans="1:24">
      <c r="A4769">
        <f>HYPERLINK("https://www.philgeps.gov.ph/GEPSNONPILOT/Tender/SplashBidNoticeAbstractUI.aspx?menuIndex=3&amp;refID=7197420&amp;Result=3","7197420")</f>
        <v>0</v>
      </c>
      <c r="B4769" t="s">
        <v>810</v>
      </c>
      <c r="C4769" t="s">
        <v>8350</v>
      </c>
      <c r="D4769" t="s">
        <v>19013</v>
      </c>
      <c r="E4769" t="s">
        <v>23329</v>
      </c>
      <c r="F4769" t="s">
        <v>32606</v>
      </c>
      <c r="G4769" t="s">
        <v>32613</v>
      </c>
      <c r="H4769" t="s">
        <v>14201</v>
      </c>
      <c r="I4769" t="s">
        <v>6931</v>
      </c>
      <c r="J4769" t="s">
        <v>35920</v>
      </c>
      <c r="K4769" t="s">
        <v>42624</v>
      </c>
      <c r="M4769" t="s">
        <v>43741</v>
      </c>
      <c r="N4769" t="s">
        <v>47304</v>
      </c>
      <c r="O4769" t="s">
        <v>47305</v>
      </c>
      <c r="P4769">
        <v>0</v>
      </c>
      <c r="Q4769">
        <v>0</v>
      </c>
      <c r="R4769" t="s">
        <v>47306</v>
      </c>
      <c r="S4769" t="s">
        <v>47414</v>
      </c>
      <c r="T4769" t="s">
        <v>48987</v>
      </c>
      <c r="U4769" t="s">
        <v>51044</v>
      </c>
      <c r="W4769" t="s">
        <v>43741</v>
      </c>
      <c r="X4769" t="s">
        <v>47308</v>
      </c>
    </row>
    <row r="4770" spans="1:24">
      <c r="A4770">
        <f>HYPERLINK("https://www.philgeps.gov.ph/GEPSNONPILOT/Tender/SplashBidNoticeAbstractUI.aspx?menuIndex=3&amp;refID=7197432&amp;Result=3","7197432")</f>
        <v>0</v>
      </c>
      <c r="B4770" t="s">
        <v>1738</v>
      </c>
      <c r="C4770" t="s">
        <v>8351</v>
      </c>
      <c r="E4770" t="s">
        <v>23330</v>
      </c>
      <c r="F4770" t="s">
        <v>32606</v>
      </c>
      <c r="G4770" t="s">
        <v>32614</v>
      </c>
      <c r="H4770" t="s">
        <v>14201</v>
      </c>
      <c r="I4770" t="s">
        <v>32638</v>
      </c>
      <c r="J4770" t="s">
        <v>35921</v>
      </c>
      <c r="K4770" t="s">
        <v>42636</v>
      </c>
      <c r="M4770" t="s">
        <v>44771</v>
      </c>
      <c r="N4770" t="s">
        <v>47304</v>
      </c>
      <c r="O4770" t="s">
        <v>47305</v>
      </c>
      <c r="P4770">
        <v>0</v>
      </c>
      <c r="Q4770">
        <v>9</v>
      </c>
      <c r="R4770" t="s">
        <v>47306</v>
      </c>
      <c r="S4770" t="s">
        <v>47414</v>
      </c>
      <c r="T4770" t="s">
        <v>48980</v>
      </c>
      <c r="U4770" t="s">
        <v>53606</v>
      </c>
      <c r="W4770" t="s">
        <v>44771</v>
      </c>
      <c r="X4770" t="s">
        <v>47308</v>
      </c>
    </row>
    <row r="4771" spans="1:24">
      <c r="A4771">
        <f>HYPERLINK("https://www.philgeps.gov.ph/GEPSNONPILOT/Tender/SplashBidNoticeAbstractUI.aspx?menuIndex=3&amp;refID=7197410&amp;Result=3","7197410")</f>
        <v>0</v>
      </c>
      <c r="B4771" t="s">
        <v>1749</v>
      </c>
      <c r="C4771" t="s">
        <v>8352</v>
      </c>
      <c r="D4771" t="s">
        <v>18993</v>
      </c>
      <c r="E4771" t="s">
        <v>23331</v>
      </c>
      <c r="F4771" t="s">
        <v>32606</v>
      </c>
      <c r="G4771" t="s">
        <v>32613</v>
      </c>
      <c r="H4771" t="s">
        <v>14201</v>
      </c>
      <c r="I4771" t="s">
        <v>32716</v>
      </c>
      <c r="J4771" t="s">
        <v>35922</v>
      </c>
      <c r="K4771" t="s">
        <v>42680</v>
      </c>
      <c r="M4771" t="s">
        <v>44784</v>
      </c>
      <c r="N4771" t="s">
        <v>47304</v>
      </c>
      <c r="O4771" t="s">
        <v>47305</v>
      </c>
      <c r="P4771">
        <v>0</v>
      </c>
      <c r="Q4771">
        <v>4</v>
      </c>
      <c r="R4771" t="s">
        <v>47306</v>
      </c>
      <c r="S4771" t="s">
        <v>47414</v>
      </c>
      <c r="T4771" t="s">
        <v>49296</v>
      </c>
      <c r="U4771" t="s">
        <v>53607</v>
      </c>
      <c r="W4771" t="s">
        <v>44784</v>
      </c>
      <c r="X4771" t="s">
        <v>47308</v>
      </c>
    </row>
    <row r="4772" spans="1:24">
      <c r="A4772">
        <f>HYPERLINK("https://www.philgeps.gov.ph/GEPSNONPILOT/Tender/SplashBidNoticeAbstractUI.aspx?menuIndex=3&amp;refID=7197441&amp;Result=3","7197441")</f>
        <v>0</v>
      </c>
      <c r="B4772" t="s">
        <v>1744</v>
      </c>
      <c r="C4772" t="s">
        <v>8353</v>
      </c>
      <c r="D4772" t="s">
        <v>19005</v>
      </c>
      <c r="E4772" t="s">
        <v>23332</v>
      </c>
      <c r="F4772" t="s">
        <v>32606</v>
      </c>
      <c r="G4772" t="s">
        <v>32614</v>
      </c>
      <c r="H4772" t="s">
        <v>14201</v>
      </c>
      <c r="I4772" t="s">
        <v>6931</v>
      </c>
      <c r="J4772" t="s">
        <v>35923</v>
      </c>
      <c r="K4772" t="s">
        <v>42622</v>
      </c>
      <c r="M4772" t="s">
        <v>44778</v>
      </c>
      <c r="N4772" t="s">
        <v>47304</v>
      </c>
      <c r="O4772" t="s">
        <v>47305</v>
      </c>
      <c r="P4772">
        <v>0</v>
      </c>
      <c r="Q4772">
        <v>2</v>
      </c>
      <c r="R4772" t="s">
        <v>47306</v>
      </c>
      <c r="S4772" t="s">
        <v>47414</v>
      </c>
      <c r="T4772" t="s">
        <v>48997</v>
      </c>
      <c r="U4772" t="s">
        <v>53608</v>
      </c>
      <c r="W4772" t="s">
        <v>44778</v>
      </c>
      <c r="X4772" t="s">
        <v>47308</v>
      </c>
    </row>
    <row r="4773" spans="1:24">
      <c r="A4773">
        <f>HYPERLINK("https://www.philgeps.gov.ph/GEPSNONPILOT/Tender/SplashBidNoticeAbstractUI.aspx?menuIndex=3&amp;refID=7197409&amp;Result=3","7197409")</f>
        <v>0</v>
      </c>
      <c r="B4773" t="s">
        <v>209</v>
      </c>
      <c r="C4773" t="s">
        <v>8354</v>
      </c>
      <c r="D4773" t="s">
        <v>19001</v>
      </c>
      <c r="E4773" t="s">
        <v>23333</v>
      </c>
      <c r="F4773" t="s">
        <v>32606</v>
      </c>
      <c r="G4773" t="s">
        <v>32613</v>
      </c>
      <c r="H4773" t="s">
        <v>14201</v>
      </c>
      <c r="I4773" t="s">
        <v>4114</v>
      </c>
      <c r="J4773" t="s">
        <v>35924</v>
      </c>
      <c r="K4773" t="s">
        <v>42636</v>
      </c>
      <c r="M4773" t="s">
        <v>43110</v>
      </c>
      <c r="N4773" t="s">
        <v>47304</v>
      </c>
      <c r="O4773" t="s">
        <v>47305</v>
      </c>
      <c r="P4773">
        <v>0</v>
      </c>
      <c r="Q4773">
        <v>2</v>
      </c>
      <c r="R4773" t="s">
        <v>47306</v>
      </c>
      <c r="S4773" t="s">
        <v>47414</v>
      </c>
      <c r="T4773" t="s">
        <v>48990</v>
      </c>
      <c r="U4773" t="s">
        <v>53609</v>
      </c>
      <c r="W4773" t="s">
        <v>43110</v>
      </c>
      <c r="X4773" t="s">
        <v>47308</v>
      </c>
    </row>
    <row r="4774" spans="1:24">
      <c r="A4774">
        <f>HYPERLINK("https://www.philgeps.gov.ph/GEPSNONPILOT/Tender/SplashBidNoticeAbstractUI.aspx?menuIndex=3&amp;refID=7197437&amp;Result=3","7197437")</f>
        <v>0</v>
      </c>
      <c r="B4774" t="s">
        <v>1721</v>
      </c>
      <c r="C4774" t="s">
        <v>8329</v>
      </c>
      <c r="D4774" t="s">
        <v>18993</v>
      </c>
      <c r="E4774" t="s">
        <v>23334</v>
      </c>
      <c r="F4774" t="s">
        <v>32606</v>
      </c>
      <c r="G4774" t="s">
        <v>32614</v>
      </c>
      <c r="H4774" t="s">
        <v>14201</v>
      </c>
      <c r="I4774" t="s">
        <v>4678</v>
      </c>
      <c r="J4774" t="s">
        <v>35925</v>
      </c>
      <c r="K4774" t="s">
        <v>42623</v>
      </c>
      <c r="M4774" t="s">
        <v>44753</v>
      </c>
      <c r="N4774" t="s">
        <v>47304</v>
      </c>
      <c r="O4774" t="s">
        <v>47305</v>
      </c>
      <c r="P4774">
        <v>0</v>
      </c>
      <c r="Q4774">
        <v>0</v>
      </c>
      <c r="R4774" t="s">
        <v>47306</v>
      </c>
      <c r="S4774" t="s">
        <v>47414</v>
      </c>
      <c r="T4774" t="s">
        <v>49004</v>
      </c>
      <c r="U4774" t="s">
        <v>53610</v>
      </c>
      <c r="V4774" t="s">
        <v>63091</v>
      </c>
      <c r="W4774" t="s">
        <v>44753</v>
      </c>
      <c r="X4774" t="s">
        <v>47308</v>
      </c>
    </row>
    <row r="4775" spans="1:24">
      <c r="A4775">
        <f>HYPERLINK("https://www.philgeps.gov.ph/GEPSNONPILOT/Tender/SplashBidNoticeAbstractUI.aspx?menuIndex=3&amp;refID=7197435&amp;Result=3","7197435")</f>
        <v>0</v>
      </c>
      <c r="B4775" t="s">
        <v>1187</v>
      </c>
      <c r="C4775" t="s">
        <v>8355</v>
      </c>
      <c r="D4775" t="s">
        <v>19011</v>
      </c>
      <c r="E4775" t="s">
        <v>23335</v>
      </c>
      <c r="F4775" t="s">
        <v>32606</v>
      </c>
      <c r="G4775" t="s">
        <v>32614</v>
      </c>
      <c r="H4775" t="s">
        <v>14201</v>
      </c>
      <c r="I4775" t="s">
        <v>4115</v>
      </c>
      <c r="J4775" t="s">
        <v>32833</v>
      </c>
      <c r="K4775" t="s">
        <v>42622</v>
      </c>
      <c r="M4775" t="s">
        <v>44151</v>
      </c>
      <c r="N4775" t="s">
        <v>47304</v>
      </c>
      <c r="O4775" t="s">
        <v>47305</v>
      </c>
      <c r="P4775">
        <v>0</v>
      </c>
      <c r="Q4775">
        <v>1</v>
      </c>
      <c r="R4775" t="s">
        <v>47306</v>
      </c>
      <c r="S4775" t="s">
        <v>47414</v>
      </c>
      <c r="T4775" t="s">
        <v>48980</v>
      </c>
      <c r="U4775" t="s">
        <v>53611</v>
      </c>
      <c r="W4775" t="s">
        <v>44151</v>
      </c>
      <c r="X4775" t="s">
        <v>47308</v>
      </c>
    </row>
    <row r="4776" spans="1:24">
      <c r="A4776">
        <f>HYPERLINK("https://www.philgeps.gov.ph/GEPSNONPILOT/Tender/SplashBidNoticeAbstractUI.aspx?menuIndex=3&amp;refID=7197476&amp;Result=3","7197476")</f>
        <v>0</v>
      </c>
      <c r="B4776" t="s">
        <v>1032</v>
      </c>
      <c r="C4776" t="s">
        <v>8356</v>
      </c>
      <c r="D4776" t="s">
        <v>18993</v>
      </c>
      <c r="E4776" t="s">
        <v>23336</v>
      </c>
      <c r="F4776" t="s">
        <v>32606</v>
      </c>
      <c r="G4776" t="s">
        <v>32614</v>
      </c>
      <c r="H4776" t="s">
        <v>14201</v>
      </c>
      <c r="I4776" t="s">
        <v>32678</v>
      </c>
      <c r="J4776" t="s">
        <v>35926</v>
      </c>
      <c r="K4776" t="s">
        <v>42636</v>
      </c>
      <c r="M4776" t="s">
        <v>44785</v>
      </c>
      <c r="N4776" t="s">
        <v>47304</v>
      </c>
      <c r="O4776" t="s">
        <v>47305</v>
      </c>
      <c r="P4776">
        <v>0</v>
      </c>
      <c r="Q4776">
        <v>1</v>
      </c>
      <c r="R4776" t="s">
        <v>47306</v>
      </c>
      <c r="S4776" t="s">
        <v>47414</v>
      </c>
      <c r="T4776" t="s">
        <v>49175</v>
      </c>
      <c r="U4776" t="s">
        <v>53612</v>
      </c>
      <c r="W4776" t="s">
        <v>44785</v>
      </c>
      <c r="X4776" t="s">
        <v>47308</v>
      </c>
    </row>
    <row r="4777" spans="1:24">
      <c r="A4777">
        <f>HYPERLINK("https://www.philgeps.gov.ph/GEPSNONPILOT/Tender/SplashBidNoticeAbstractUI.aspx?menuIndex=3&amp;refID=7197411&amp;Result=3","7197411")</f>
        <v>0</v>
      </c>
      <c r="B4777" t="s">
        <v>280</v>
      </c>
      <c r="C4777" t="s">
        <v>6298</v>
      </c>
      <c r="D4777" t="s">
        <v>19028</v>
      </c>
      <c r="E4777" t="s">
        <v>23337</v>
      </c>
      <c r="F4777" t="s">
        <v>32606</v>
      </c>
      <c r="G4777" t="s">
        <v>32614</v>
      </c>
      <c r="H4777" t="s">
        <v>14201</v>
      </c>
      <c r="I4777" t="s">
        <v>6298</v>
      </c>
      <c r="J4777" t="s">
        <v>35927</v>
      </c>
      <c r="K4777" t="s">
        <v>42631</v>
      </c>
      <c r="M4777" t="s">
        <v>43712</v>
      </c>
      <c r="N4777" t="s">
        <v>47304</v>
      </c>
      <c r="O4777" t="s">
        <v>47305</v>
      </c>
      <c r="P4777">
        <v>0</v>
      </c>
      <c r="Q4777">
        <v>0</v>
      </c>
      <c r="R4777" t="s">
        <v>47306</v>
      </c>
      <c r="S4777" t="s">
        <v>47414</v>
      </c>
      <c r="T4777" t="s">
        <v>49019</v>
      </c>
      <c r="U4777" t="s">
        <v>53613</v>
      </c>
      <c r="W4777" t="s">
        <v>43712</v>
      </c>
      <c r="X4777" t="s">
        <v>47308</v>
      </c>
    </row>
    <row r="4778" spans="1:24">
      <c r="A4778">
        <f>HYPERLINK("https://www.philgeps.gov.ph/GEPSNONPILOT/Tender/SplashBidNoticeAbstractUI.aspx?menuIndex=3&amp;refID=7197440&amp;Result=3","7197440")</f>
        <v>0</v>
      </c>
      <c r="B4778" t="s">
        <v>1746</v>
      </c>
      <c r="C4778" t="s">
        <v>8357</v>
      </c>
      <c r="D4778" t="s">
        <v>19024</v>
      </c>
      <c r="E4778" t="s">
        <v>23338</v>
      </c>
      <c r="F4778" t="s">
        <v>32606</v>
      </c>
      <c r="G4778" t="s">
        <v>32614</v>
      </c>
      <c r="H4778" t="s">
        <v>14201</v>
      </c>
      <c r="I4778" t="s">
        <v>4120</v>
      </c>
      <c r="J4778" t="s">
        <v>35928</v>
      </c>
      <c r="K4778" t="s">
        <v>42632</v>
      </c>
      <c r="M4778" t="s">
        <v>44781</v>
      </c>
      <c r="N4778" t="s">
        <v>47304</v>
      </c>
      <c r="O4778" t="s">
        <v>47305</v>
      </c>
      <c r="P4778">
        <v>0</v>
      </c>
      <c r="Q4778">
        <v>1</v>
      </c>
      <c r="R4778" t="s">
        <v>47306</v>
      </c>
      <c r="S4778" t="s">
        <v>47414</v>
      </c>
      <c r="T4778" t="s">
        <v>48980</v>
      </c>
      <c r="U4778" t="s">
        <v>53602</v>
      </c>
      <c r="W4778" t="s">
        <v>44781</v>
      </c>
      <c r="X4778" t="s">
        <v>47308</v>
      </c>
    </row>
    <row r="4779" spans="1:24">
      <c r="A4779">
        <f>HYPERLINK("https://www.philgeps.gov.ph/GEPSNONPILOT/Tender/SplashBidNoticeAbstractUI.aspx?menuIndex=3&amp;refID=7197471&amp;Result=3","7197471")</f>
        <v>0</v>
      </c>
      <c r="B4779" t="s">
        <v>1746</v>
      </c>
      <c r="C4779" t="s">
        <v>8358</v>
      </c>
      <c r="D4779" t="s">
        <v>19024</v>
      </c>
      <c r="E4779" t="s">
        <v>23339</v>
      </c>
      <c r="F4779" t="s">
        <v>32606</v>
      </c>
      <c r="G4779" t="s">
        <v>32614</v>
      </c>
      <c r="H4779" t="s">
        <v>14201</v>
      </c>
      <c r="I4779" t="s">
        <v>4120</v>
      </c>
      <c r="J4779" t="s">
        <v>35929</v>
      </c>
      <c r="K4779" t="s">
        <v>42632</v>
      </c>
      <c r="M4779" t="s">
        <v>44781</v>
      </c>
      <c r="N4779" t="s">
        <v>47304</v>
      </c>
      <c r="O4779" t="s">
        <v>47305</v>
      </c>
      <c r="P4779">
        <v>0</v>
      </c>
      <c r="Q4779">
        <v>1</v>
      </c>
      <c r="R4779" t="s">
        <v>47306</v>
      </c>
      <c r="S4779" t="s">
        <v>47414</v>
      </c>
      <c r="T4779" t="s">
        <v>48980</v>
      </c>
      <c r="U4779" t="s">
        <v>53602</v>
      </c>
      <c r="W4779" t="s">
        <v>44781</v>
      </c>
      <c r="X4779" t="s">
        <v>47308</v>
      </c>
    </row>
    <row r="4780" spans="1:24">
      <c r="A4780">
        <f>HYPERLINK("https://www.philgeps.gov.ph/GEPSNONPILOT/Tender/SplashBidNoticeAbstractUI.aspx?menuIndex=3&amp;refID=7197472&amp;Result=3","7197472")</f>
        <v>0</v>
      </c>
      <c r="B4780" t="s">
        <v>1738</v>
      </c>
      <c r="C4780" t="s">
        <v>8359</v>
      </c>
      <c r="E4780" t="s">
        <v>23340</v>
      </c>
      <c r="F4780" t="s">
        <v>32606</v>
      </c>
      <c r="G4780" t="s">
        <v>32614</v>
      </c>
      <c r="H4780" t="s">
        <v>14201</v>
      </c>
      <c r="I4780" t="s">
        <v>32640</v>
      </c>
      <c r="J4780" t="s">
        <v>32999</v>
      </c>
      <c r="K4780" t="s">
        <v>42624</v>
      </c>
      <c r="M4780" t="s">
        <v>44771</v>
      </c>
      <c r="N4780" t="s">
        <v>47304</v>
      </c>
      <c r="O4780" t="s">
        <v>47305</v>
      </c>
      <c r="P4780">
        <v>0</v>
      </c>
      <c r="Q4780">
        <v>6</v>
      </c>
      <c r="R4780" t="s">
        <v>47306</v>
      </c>
      <c r="S4780" t="s">
        <v>47414</v>
      </c>
      <c r="T4780" t="s">
        <v>48980</v>
      </c>
      <c r="U4780" t="s">
        <v>53614</v>
      </c>
      <c r="W4780" t="s">
        <v>44771</v>
      </c>
      <c r="X4780" t="s">
        <v>47308</v>
      </c>
    </row>
    <row r="4781" spans="1:24">
      <c r="A4781">
        <f>HYPERLINK("https://www.philgeps.gov.ph/GEPSNONPILOT/Tender/SplashBidNoticeAbstractUI.aspx?menuIndex=3&amp;refID=7197470&amp;Result=3","7197470")</f>
        <v>0</v>
      </c>
      <c r="B4781" t="s">
        <v>1745</v>
      </c>
      <c r="C4781" t="s">
        <v>8360</v>
      </c>
      <c r="D4781" t="s">
        <v>18988</v>
      </c>
      <c r="E4781" t="s">
        <v>20131</v>
      </c>
      <c r="F4781" t="s">
        <v>32606</v>
      </c>
      <c r="G4781" t="s">
        <v>32614</v>
      </c>
      <c r="H4781" t="s">
        <v>14201</v>
      </c>
      <c r="I4781" t="s">
        <v>6478</v>
      </c>
      <c r="J4781" t="s">
        <v>33299</v>
      </c>
      <c r="K4781" t="s">
        <v>42622</v>
      </c>
      <c r="M4781" t="s">
        <v>44779</v>
      </c>
      <c r="N4781" t="s">
        <v>47304</v>
      </c>
      <c r="O4781" t="s">
        <v>47305</v>
      </c>
      <c r="P4781">
        <v>0</v>
      </c>
      <c r="Q4781">
        <v>0</v>
      </c>
      <c r="R4781" t="s">
        <v>47306</v>
      </c>
      <c r="S4781" t="s">
        <v>47414</v>
      </c>
      <c r="T4781" t="s">
        <v>49294</v>
      </c>
      <c r="U4781" t="s">
        <v>53615</v>
      </c>
      <c r="W4781" t="s">
        <v>44779</v>
      </c>
      <c r="X4781" t="s">
        <v>47308</v>
      </c>
    </row>
    <row r="4782" spans="1:24">
      <c r="A4782">
        <f>HYPERLINK("https://www.philgeps.gov.ph/GEPSNONPILOT/Tender/SplashBidNoticeAbstractUI.aspx?menuIndex=3&amp;refID=7197392&amp;Result=3","7197392")</f>
        <v>0</v>
      </c>
      <c r="B4782" t="s">
        <v>1721</v>
      </c>
      <c r="C4782" t="s">
        <v>8361</v>
      </c>
      <c r="D4782" t="s">
        <v>18993</v>
      </c>
      <c r="E4782" t="s">
        <v>23341</v>
      </c>
      <c r="F4782" t="s">
        <v>32606</v>
      </c>
      <c r="G4782" t="s">
        <v>32614</v>
      </c>
      <c r="H4782" t="s">
        <v>14201</v>
      </c>
      <c r="I4782" t="s">
        <v>32655</v>
      </c>
      <c r="J4782" t="s">
        <v>35930</v>
      </c>
      <c r="K4782" t="s">
        <v>42631</v>
      </c>
      <c r="M4782" t="s">
        <v>44753</v>
      </c>
      <c r="N4782" t="s">
        <v>47304</v>
      </c>
      <c r="O4782" t="s">
        <v>47305</v>
      </c>
      <c r="P4782">
        <v>0</v>
      </c>
      <c r="Q4782">
        <v>2</v>
      </c>
      <c r="R4782" t="s">
        <v>47306</v>
      </c>
      <c r="S4782" t="s">
        <v>47414</v>
      </c>
      <c r="T4782" t="s">
        <v>49004</v>
      </c>
      <c r="U4782" t="s">
        <v>53616</v>
      </c>
      <c r="V4782" t="s">
        <v>63091</v>
      </c>
      <c r="W4782" t="s">
        <v>44753</v>
      </c>
      <c r="X4782" t="s">
        <v>47308</v>
      </c>
    </row>
    <row r="4783" spans="1:24">
      <c r="A4783">
        <f>HYPERLINK("https://www.philgeps.gov.ph/GEPSNONPILOT/Tender/SplashBidNoticeAbstractUI.aspx?menuIndex=3&amp;refID=7197469&amp;Result=3","7197469")</f>
        <v>0</v>
      </c>
      <c r="B4783" t="s">
        <v>1750</v>
      </c>
      <c r="C4783" t="s">
        <v>8362</v>
      </c>
      <c r="D4783" t="s">
        <v>19038</v>
      </c>
      <c r="E4783" t="s">
        <v>23342</v>
      </c>
      <c r="F4783" t="s">
        <v>32606</v>
      </c>
      <c r="G4783" t="s">
        <v>32614</v>
      </c>
      <c r="H4783" t="s">
        <v>14201</v>
      </c>
      <c r="I4783" t="s">
        <v>32650</v>
      </c>
      <c r="J4783" t="s">
        <v>32981</v>
      </c>
      <c r="K4783" t="s">
        <v>42624</v>
      </c>
      <c r="M4783" t="s">
        <v>44786</v>
      </c>
      <c r="N4783" t="s">
        <v>47304</v>
      </c>
      <c r="O4783" t="s">
        <v>47305</v>
      </c>
      <c r="P4783">
        <v>0</v>
      </c>
      <c r="Q4783">
        <v>0</v>
      </c>
      <c r="R4783" t="s">
        <v>47306</v>
      </c>
      <c r="S4783" t="s">
        <v>47414</v>
      </c>
      <c r="T4783" t="s">
        <v>49004</v>
      </c>
      <c r="U4783" t="s">
        <v>53617</v>
      </c>
      <c r="W4783" t="s">
        <v>44786</v>
      </c>
      <c r="X4783" t="s">
        <v>47308</v>
      </c>
    </row>
    <row r="4784" spans="1:24">
      <c r="A4784">
        <f>HYPERLINK("https://www.philgeps.gov.ph/GEPSNONPILOT/Tender/SplashBidNoticeAbstractUI.aspx?menuIndex=3&amp;refID=7197466&amp;Result=3","7197466")</f>
        <v>0</v>
      </c>
      <c r="B4784" t="s">
        <v>1751</v>
      </c>
      <c r="C4784" t="s">
        <v>8363</v>
      </c>
      <c r="D4784" t="s">
        <v>19006</v>
      </c>
      <c r="E4784" t="s">
        <v>23343</v>
      </c>
      <c r="F4784" t="s">
        <v>32606</v>
      </c>
      <c r="G4784" t="s">
        <v>32613</v>
      </c>
      <c r="H4784" t="s">
        <v>32623</v>
      </c>
      <c r="I4784" t="s">
        <v>17648</v>
      </c>
      <c r="J4784" t="s">
        <v>35931</v>
      </c>
      <c r="K4784" t="s">
        <v>42627</v>
      </c>
      <c r="M4784" t="s">
        <v>44787</v>
      </c>
      <c r="N4784" t="s">
        <v>47304</v>
      </c>
      <c r="O4784" t="s">
        <v>47305</v>
      </c>
      <c r="P4784">
        <v>0</v>
      </c>
      <c r="Q4784">
        <v>0</v>
      </c>
      <c r="R4784" t="s">
        <v>47306</v>
      </c>
      <c r="S4784" t="s">
        <v>47414</v>
      </c>
      <c r="T4784" t="s">
        <v>48996</v>
      </c>
      <c r="U4784" t="s">
        <v>53618</v>
      </c>
      <c r="W4784" t="s">
        <v>44787</v>
      </c>
      <c r="X4784" t="s">
        <v>47308</v>
      </c>
    </row>
    <row r="4785" spans="1:24">
      <c r="A4785">
        <f>HYPERLINK("https://www.philgeps.gov.ph/GEPSNONPILOT/Tender/SplashBidNoticeAbstractUI.aspx?menuIndex=3&amp;refID=7197465&amp;Result=3","7197465")</f>
        <v>0</v>
      </c>
      <c r="B4785" t="s">
        <v>1721</v>
      </c>
      <c r="C4785" t="s">
        <v>8364</v>
      </c>
      <c r="D4785" t="s">
        <v>18993</v>
      </c>
      <c r="E4785" t="s">
        <v>23344</v>
      </c>
      <c r="F4785" t="s">
        <v>32606</v>
      </c>
      <c r="G4785" t="s">
        <v>32617</v>
      </c>
      <c r="H4785" t="s">
        <v>14201</v>
      </c>
      <c r="I4785" t="s">
        <v>4114</v>
      </c>
      <c r="J4785" t="s">
        <v>33206</v>
      </c>
      <c r="K4785" t="s">
        <v>42623</v>
      </c>
      <c r="M4785" t="s">
        <v>44753</v>
      </c>
      <c r="N4785" t="s">
        <v>47304</v>
      </c>
      <c r="O4785" t="s">
        <v>47305</v>
      </c>
      <c r="P4785">
        <v>0</v>
      </c>
      <c r="Q4785">
        <v>0</v>
      </c>
      <c r="R4785" t="s">
        <v>47306</v>
      </c>
      <c r="S4785" t="s">
        <v>47414</v>
      </c>
      <c r="T4785" t="s">
        <v>49004</v>
      </c>
      <c r="U4785" t="s">
        <v>53619</v>
      </c>
      <c r="V4785" t="s">
        <v>63095</v>
      </c>
      <c r="W4785" t="s">
        <v>44753</v>
      </c>
      <c r="X4785" t="s">
        <v>47308</v>
      </c>
    </row>
    <row r="4786" spans="1:24">
      <c r="A4786">
        <f>HYPERLINK("https://www.philgeps.gov.ph/GEPSNONPILOT/Tender/SplashBidNoticeAbstractUI.aspx?menuIndex=3&amp;refID=7197464&amp;Result=3","7197464")</f>
        <v>0</v>
      </c>
      <c r="B4786" t="s">
        <v>1745</v>
      </c>
      <c r="C4786" t="s">
        <v>8365</v>
      </c>
      <c r="D4786" t="s">
        <v>18988</v>
      </c>
      <c r="E4786" t="s">
        <v>20397</v>
      </c>
      <c r="F4786" t="s">
        <v>32606</v>
      </c>
      <c r="G4786" t="s">
        <v>32613</v>
      </c>
      <c r="H4786" t="s">
        <v>14201</v>
      </c>
      <c r="I4786" t="s">
        <v>32631</v>
      </c>
      <c r="J4786" t="s">
        <v>33695</v>
      </c>
      <c r="K4786" t="s">
        <v>42622</v>
      </c>
      <c r="M4786" t="s">
        <v>44779</v>
      </c>
      <c r="N4786" t="s">
        <v>47304</v>
      </c>
      <c r="O4786" t="s">
        <v>47305</v>
      </c>
      <c r="P4786">
        <v>0</v>
      </c>
      <c r="Q4786">
        <v>0</v>
      </c>
      <c r="R4786" t="s">
        <v>47306</v>
      </c>
      <c r="S4786" t="s">
        <v>47414</v>
      </c>
      <c r="T4786" t="s">
        <v>49294</v>
      </c>
      <c r="U4786" t="s">
        <v>53620</v>
      </c>
      <c r="W4786" t="s">
        <v>44779</v>
      </c>
      <c r="X4786" t="s">
        <v>47308</v>
      </c>
    </row>
    <row r="4787" spans="1:24">
      <c r="A4787">
        <f>HYPERLINK("https://www.philgeps.gov.ph/GEPSNONPILOT/Tender/SplashBidNoticeAbstractUI.aspx?menuIndex=3&amp;refID=7197434&amp;Result=3","7197434")</f>
        <v>0</v>
      </c>
      <c r="B4787" t="s">
        <v>1752</v>
      </c>
      <c r="C4787" t="s">
        <v>8366</v>
      </c>
      <c r="D4787" t="s">
        <v>19011</v>
      </c>
      <c r="E4787" t="s">
        <v>23345</v>
      </c>
      <c r="F4787" t="s">
        <v>32606</v>
      </c>
      <c r="G4787" t="s">
        <v>32613</v>
      </c>
      <c r="H4787" t="s">
        <v>32623</v>
      </c>
      <c r="I4787" t="s">
        <v>17648</v>
      </c>
      <c r="J4787" t="s">
        <v>35932</v>
      </c>
      <c r="K4787" t="s">
        <v>42627</v>
      </c>
      <c r="M4787" t="s">
        <v>44788</v>
      </c>
      <c r="N4787" t="s">
        <v>47304</v>
      </c>
      <c r="O4787" t="s">
        <v>47305</v>
      </c>
      <c r="P4787">
        <v>0</v>
      </c>
      <c r="Q4787">
        <v>0</v>
      </c>
      <c r="R4787" t="s">
        <v>47306</v>
      </c>
      <c r="S4787" t="s">
        <v>47414</v>
      </c>
      <c r="T4787" t="s">
        <v>48990</v>
      </c>
      <c r="U4787" t="s">
        <v>53621</v>
      </c>
      <c r="W4787" t="s">
        <v>44788</v>
      </c>
      <c r="X4787" t="s">
        <v>47308</v>
      </c>
    </row>
    <row r="4788" spans="1:24">
      <c r="A4788">
        <f>HYPERLINK("https://www.philgeps.gov.ph/GEPSNONPILOT/Tender/SplashBidNoticeAbstractUI.aspx?menuIndex=3&amp;refID=7197468&amp;Result=3","7197468")</f>
        <v>0</v>
      </c>
      <c r="B4788" t="s">
        <v>1748</v>
      </c>
      <c r="C4788" t="s">
        <v>8367</v>
      </c>
      <c r="D4788" t="s">
        <v>18993</v>
      </c>
      <c r="E4788" t="s">
        <v>23346</v>
      </c>
      <c r="F4788" t="s">
        <v>32606</v>
      </c>
      <c r="G4788" t="s">
        <v>32614</v>
      </c>
      <c r="H4788" t="s">
        <v>32624</v>
      </c>
      <c r="I4788" t="s">
        <v>32675</v>
      </c>
      <c r="J4788" t="s">
        <v>35933</v>
      </c>
      <c r="K4788" t="s">
        <v>42630</v>
      </c>
      <c r="M4788" t="s">
        <v>44783</v>
      </c>
      <c r="N4788" t="s">
        <v>47304</v>
      </c>
      <c r="O4788" t="s">
        <v>47305</v>
      </c>
      <c r="P4788">
        <v>0</v>
      </c>
      <c r="Q4788">
        <v>0</v>
      </c>
      <c r="R4788" t="s">
        <v>47306</v>
      </c>
      <c r="S4788" t="s">
        <v>47414</v>
      </c>
      <c r="T4788" t="s">
        <v>48980</v>
      </c>
      <c r="U4788" t="s">
        <v>53605</v>
      </c>
      <c r="W4788" t="s">
        <v>44783</v>
      </c>
      <c r="X4788" t="s">
        <v>47308</v>
      </c>
    </row>
    <row r="4789" spans="1:24">
      <c r="A4789">
        <f>HYPERLINK("https://www.philgeps.gov.ph/GEPSNONPILOT/Tender/SplashBidNoticeAbstractUI.aspx?menuIndex=3&amp;refID=7197462&amp;Result=3","7197462")</f>
        <v>0</v>
      </c>
      <c r="B4789" t="s">
        <v>1748</v>
      </c>
      <c r="C4789" t="s">
        <v>8368</v>
      </c>
      <c r="D4789" t="s">
        <v>18993</v>
      </c>
      <c r="E4789" t="s">
        <v>23347</v>
      </c>
      <c r="F4789" t="s">
        <v>32606</v>
      </c>
      <c r="G4789" t="s">
        <v>32614</v>
      </c>
      <c r="H4789" t="s">
        <v>32624</v>
      </c>
      <c r="I4789" t="s">
        <v>32652</v>
      </c>
      <c r="J4789" t="s">
        <v>35934</v>
      </c>
      <c r="K4789" t="s">
        <v>42630</v>
      </c>
      <c r="M4789" t="s">
        <v>44783</v>
      </c>
      <c r="N4789" t="s">
        <v>47304</v>
      </c>
      <c r="O4789" t="s">
        <v>47305</v>
      </c>
      <c r="P4789">
        <v>0</v>
      </c>
      <c r="Q4789">
        <v>1</v>
      </c>
      <c r="R4789" t="s">
        <v>47306</v>
      </c>
      <c r="S4789" t="s">
        <v>47414</v>
      </c>
      <c r="T4789" t="s">
        <v>48980</v>
      </c>
      <c r="U4789" t="s">
        <v>53605</v>
      </c>
      <c r="W4789" t="s">
        <v>44783</v>
      </c>
      <c r="X4789" t="s">
        <v>47308</v>
      </c>
    </row>
    <row r="4790" spans="1:24">
      <c r="A4790">
        <f>HYPERLINK("https://www.philgeps.gov.ph/GEPSNONPILOT/Tender/SplashBidNoticeAbstractUI.aspx?menuIndex=3&amp;refID=7197461&amp;Result=3","7197461")</f>
        <v>0</v>
      </c>
      <c r="B4790" t="s">
        <v>1738</v>
      </c>
      <c r="C4790" t="s">
        <v>8369</v>
      </c>
      <c r="E4790" t="s">
        <v>23348</v>
      </c>
      <c r="F4790" t="s">
        <v>32606</v>
      </c>
      <c r="G4790" t="s">
        <v>32614</v>
      </c>
      <c r="H4790" t="s">
        <v>14201</v>
      </c>
      <c r="I4790" t="s">
        <v>32638</v>
      </c>
      <c r="J4790" t="s">
        <v>35793</v>
      </c>
      <c r="K4790" t="s">
        <v>42624</v>
      </c>
      <c r="M4790" t="s">
        <v>44771</v>
      </c>
      <c r="N4790" t="s">
        <v>47304</v>
      </c>
      <c r="O4790" t="s">
        <v>47305</v>
      </c>
      <c r="P4790">
        <v>0</v>
      </c>
      <c r="Q4790">
        <v>14</v>
      </c>
      <c r="R4790" t="s">
        <v>47306</v>
      </c>
      <c r="S4790" t="s">
        <v>47414</v>
      </c>
      <c r="T4790" t="s">
        <v>48980</v>
      </c>
      <c r="U4790" t="s">
        <v>53622</v>
      </c>
      <c r="W4790" t="s">
        <v>44771</v>
      </c>
      <c r="X4790" t="s">
        <v>47308</v>
      </c>
    </row>
    <row r="4791" spans="1:24">
      <c r="A4791">
        <f>HYPERLINK("https://www.philgeps.gov.ph/GEPSNONPILOT/Tender/SplashBidNoticeAbstractUI.aspx?menuIndex=3&amp;refID=7197473&amp;Result=3","7197473")</f>
        <v>0</v>
      </c>
      <c r="B4791" t="s">
        <v>1746</v>
      </c>
      <c r="C4791" t="s">
        <v>8370</v>
      </c>
      <c r="D4791" t="s">
        <v>19024</v>
      </c>
      <c r="E4791" t="s">
        <v>23349</v>
      </c>
      <c r="F4791" t="s">
        <v>32606</v>
      </c>
      <c r="G4791" t="s">
        <v>32614</v>
      </c>
      <c r="H4791" t="s">
        <v>14201</v>
      </c>
      <c r="I4791" t="s">
        <v>4120</v>
      </c>
      <c r="J4791" t="s">
        <v>35935</v>
      </c>
      <c r="K4791" t="s">
        <v>42632</v>
      </c>
      <c r="M4791" t="s">
        <v>44781</v>
      </c>
      <c r="N4791" t="s">
        <v>47304</v>
      </c>
      <c r="O4791" t="s">
        <v>47305</v>
      </c>
      <c r="P4791">
        <v>0</v>
      </c>
      <c r="Q4791">
        <v>1</v>
      </c>
      <c r="R4791" t="s">
        <v>47306</v>
      </c>
      <c r="S4791" t="s">
        <v>47414</v>
      </c>
      <c r="T4791" t="s">
        <v>48980</v>
      </c>
      <c r="U4791" t="s">
        <v>53602</v>
      </c>
      <c r="W4791" t="s">
        <v>44781</v>
      </c>
      <c r="X4791" t="s">
        <v>47308</v>
      </c>
    </row>
    <row r="4792" spans="1:24">
      <c r="A4792">
        <f>HYPERLINK("https://www.philgeps.gov.ph/GEPSNONPILOT/Tender/SplashBidNoticeAbstractUI.aspx?menuIndex=3&amp;refID=7197459&amp;Result=3","7197459")</f>
        <v>0</v>
      </c>
      <c r="B4792" t="s">
        <v>1711</v>
      </c>
      <c r="C4792" t="s">
        <v>8371</v>
      </c>
      <c r="D4792" t="s">
        <v>18993</v>
      </c>
      <c r="E4792" t="s">
        <v>23350</v>
      </c>
      <c r="F4792" t="s">
        <v>32606</v>
      </c>
      <c r="G4792" t="s">
        <v>32613</v>
      </c>
      <c r="H4792" t="s">
        <v>14201</v>
      </c>
      <c r="I4792" t="s">
        <v>32655</v>
      </c>
      <c r="J4792" t="s">
        <v>32767</v>
      </c>
      <c r="K4792" t="s">
        <v>42624</v>
      </c>
      <c r="M4792" t="s">
        <v>44743</v>
      </c>
      <c r="N4792" t="s">
        <v>47304</v>
      </c>
      <c r="O4792" t="s">
        <v>47305</v>
      </c>
      <c r="P4792">
        <v>0</v>
      </c>
      <c r="Q4792">
        <v>4</v>
      </c>
      <c r="R4792" t="s">
        <v>47306</v>
      </c>
      <c r="S4792" t="s">
        <v>47414</v>
      </c>
      <c r="T4792" t="s">
        <v>49297</v>
      </c>
      <c r="U4792" t="s">
        <v>53623</v>
      </c>
      <c r="W4792" t="s">
        <v>44743</v>
      </c>
      <c r="X4792" t="s">
        <v>47308</v>
      </c>
    </row>
    <row r="4793" spans="1:24">
      <c r="A4793">
        <f>HYPERLINK("https://www.philgeps.gov.ph/GEPSNONPILOT/Tender/SplashBidNoticeAbstractUI.aspx?menuIndex=3&amp;refID=7197457&amp;Result=3","7197457")</f>
        <v>0</v>
      </c>
      <c r="B4793" t="s">
        <v>1721</v>
      </c>
      <c r="C4793" t="s">
        <v>8372</v>
      </c>
      <c r="D4793" t="s">
        <v>18993</v>
      </c>
      <c r="E4793" t="s">
        <v>23334</v>
      </c>
      <c r="F4793" t="s">
        <v>32606</v>
      </c>
      <c r="G4793" t="s">
        <v>32614</v>
      </c>
      <c r="H4793" t="s">
        <v>14201</v>
      </c>
      <c r="I4793" t="s">
        <v>32647</v>
      </c>
      <c r="J4793" t="s">
        <v>32789</v>
      </c>
      <c r="K4793" t="s">
        <v>42623</v>
      </c>
      <c r="M4793" t="s">
        <v>44753</v>
      </c>
      <c r="N4793" t="s">
        <v>47304</v>
      </c>
      <c r="O4793" t="s">
        <v>47305</v>
      </c>
      <c r="P4793">
        <v>0</v>
      </c>
      <c r="Q4793">
        <v>0</v>
      </c>
      <c r="R4793" t="s">
        <v>47306</v>
      </c>
      <c r="S4793" t="s">
        <v>47414</v>
      </c>
      <c r="T4793" t="s">
        <v>49004</v>
      </c>
      <c r="U4793" t="s">
        <v>53624</v>
      </c>
      <c r="V4793" t="s">
        <v>63091</v>
      </c>
      <c r="W4793" t="s">
        <v>44753</v>
      </c>
      <c r="X4793" t="s">
        <v>47308</v>
      </c>
    </row>
    <row r="4794" spans="1:24">
      <c r="A4794">
        <f>HYPERLINK("https://www.philgeps.gov.ph/GEPSNONPILOT/Tender/SplashBidNoticeAbstractUI.aspx?menuIndex=3&amp;refID=7197456&amp;Result=3","7197456")</f>
        <v>0</v>
      </c>
      <c r="B4794" t="s">
        <v>1752</v>
      </c>
      <c r="C4794" t="s">
        <v>8373</v>
      </c>
      <c r="D4794" t="s">
        <v>19011</v>
      </c>
      <c r="E4794" t="s">
        <v>23351</v>
      </c>
      <c r="F4794" t="s">
        <v>32606</v>
      </c>
      <c r="G4794" t="s">
        <v>32613</v>
      </c>
      <c r="H4794" t="s">
        <v>32624</v>
      </c>
      <c r="I4794" t="s">
        <v>32627</v>
      </c>
      <c r="J4794" t="s">
        <v>35936</v>
      </c>
      <c r="K4794" t="s">
        <v>42648</v>
      </c>
      <c r="M4794" t="s">
        <v>44788</v>
      </c>
      <c r="N4794" t="s">
        <v>47304</v>
      </c>
      <c r="O4794" t="s">
        <v>47305</v>
      </c>
      <c r="P4794">
        <v>0</v>
      </c>
      <c r="Q4794">
        <v>0</v>
      </c>
      <c r="R4794" t="s">
        <v>47306</v>
      </c>
      <c r="S4794" t="s">
        <v>47414</v>
      </c>
      <c r="T4794" t="s">
        <v>48990</v>
      </c>
      <c r="U4794" t="s">
        <v>53621</v>
      </c>
      <c r="W4794" t="s">
        <v>44788</v>
      </c>
      <c r="X4794" t="s">
        <v>47308</v>
      </c>
    </row>
    <row r="4795" spans="1:24">
      <c r="A4795">
        <f>HYPERLINK("https://www.philgeps.gov.ph/GEPSNONPILOT/Tender/SplashBidNoticeAbstractUI.aspx?menuIndex=3&amp;refID=7197463&amp;Result=3","7197463")</f>
        <v>0</v>
      </c>
      <c r="B4795" t="s">
        <v>1721</v>
      </c>
      <c r="C4795" t="s">
        <v>8262</v>
      </c>
      <c r="D4795" t="s">
        <v>18993</v>
      </c>
      <c r="E4795" t="s">
        <v>23352</v>
      </c>
      <c r="F4795" t="s">
        <v>32606</v>
      </c>
      <c r="G4795" t="s">
        <v>32614</v>
      </c>
      <c r="H4795" t="s">
        <v>14201</v>
      </c>
      <c r="I4795" t="s">
        <v>7577</v>
      </c>
      <c r="J4795" t="s">
        <v>35937</v>
      </c>
      <c r="K4795" t="s">
        <v>42623</v>
      </c>
      <c r="M4795" t="s">
        <v>44753</v>
      </c>
      <c r="N4795" t="s">
        <v>47304</v>
      </c>
      <c r="O4795" t="s">
        <v>47305</v>
      </c>
      <c r="P4795">
        <v>0</v>
      </c>
      <c r="Q4795">
        <v>1</v>
      </c>
      <c r="R4795" t="s">
        <v>47306</v>
      </c>
      <c r="S4795" t="s">
        <v>47414</v>
      </c>
      <c r="T4795" t="s">
        <v>49004</v>
      </c>
      <c r="U4795" t="s">
        <v>53625</v>
      </c>
      <c r="V4795" t="s">
        <v>63095</v>
      </c>
      <c r="W4795" t="s">
        <v>44753</v>
      </c>
      <c r="X4795" t="s">
        <v>47308</v>
      </c>
    </row>
    <row r="4796" spans="1:24">
      <c r="A4796">
        <f>HYPERLINK("https://www.philgeps.gov.ph/GEPSNONPILOT/Tender/SplashBidNoticeAbstractUI.aspx?menuIndex=3&amp;refID=7197391&amp;Result=3","7197391")</f>
        <v>0</v>
      </c>
      <c r="B4796" t="s">
        <v>81</v>
      </c>
      <c r="C4796" t="s">
        <v>8374</v>
      </c>
      <c r="D4796" t="s">
        <v>18995</v>
      </c>
      <c r="E4796" t="s">
        <v>23353</v>
      </c>
      <c r="F4796" t="s">
        <v>32606</v>
      </c>
      <c r="G4796" t="s">
        <v>32614</v>
      </c>
      <c r="H4796" t="s">
        <v>14201</v>
      </c>
      <c r="I4796" t="s">
        <v>32638</v>
      </c>
      <c r="J4796" t="s">
        <v>35938</v>
      </c>
      <c r="K4796" t="s">
        <v>42624</v>
      </c>
      <c r="M4796" t="s">
        <v>42978</v>
      </c>
      <c r="N4796" t="s">
        <v>47304</v>
      </c>
      <c r="O4796" t="s">
        <v>47305</v>
      </c>
      <c r="P4796">
        <v>0</v>
      </c>
      <c r="Q4796">
        <v>2</v>
      </c>
      <c r="R4796" t="s">
        <v>47306</v>
      </c>
      <c r="S4796" t="s">
        <v>47414</v>
      </c>
      <c r="T4796" t="s">
        <v>49014</v>
      </c>
      <c r="U4796" t="s">
        <v>53626</v>
      </c>
      <c r="W4796" t="s">
        <v>42978</v>
      </c>
      <c r="X4796" t="s">
        <v>47308</v>
      </c>
    </row>
    <row r="4797" spans="1:24">
      <c r="A4797">
        <f>HYPERLINK("https://www.philgeps.gov.ph/GEPSNONPILOT/Tender/SplashBidNoticeAbstractUI.aspx?menuIndex=3&amp;refID=7197390&amp;Result=3","7197390")</f>
        <v>0</v>
      </c>
      <c r="B4797" t="s">
        <v>1753</v>
      </c>
      <c r="C4797" t="s">
        <v>8375</v>
      </c>
      <c r="D4797" t="s">
        <v>18993</v>
      </c>
      <c r="E4797" t="s">
        <v>20539</v>
      </c>
      <c r="F4797" t="s">
        <v>32606</v>
      </c>
      <c r="G4797" t="s">
        <v>32613</v>
      </c>
      <c r="H4797" t="s">
        <v>14201</v>
      </c>
      <c r="I4797" t="s">
        <v>6298</v>
      </c>
      <c r="J4797" t="s">
        <v>32820</v>
      </c>
      <c r="K4797" t="s">
        <v>42632</v>
      </c>
      <c r="M4797" t="s">
        <v>44789</v>
      </c>
      <c r="N4797" t="s">
        <v>47304</v>
      </c>
      <c r="O4797" t="s">
        <v>47305</v>
      </c>
      <c r="P4797">
        <v>0</v>
      </c>
      <c r="Q4797">
        <v>0</v>
      </c>
      <c r="R4797" t="s">
        <v>47306</v>
      </c>
      <c r="S4797" t="s">
        <v>47414</v>
      </c>
      <c r="T4797" t="s">
        <v>49023</v>
      </c>
      <c r="U4797" t="s">
        <v>53627</v>
      </c>
      <c r="W4797" t="s">
        <v>44789</v>
      </c>
      <c r="X4797" t="s">
        <v>47308</v>
      </c>
    </row>
    <row r="4798" spans="1:24">
      <c r="A4798">
        <f>HYPERLINK("https://www.philgeps.gov.ph/GEPSNONPILOT/Tender/SplashBidNoticeAbstractUI.aspx?menuIndex=3&amp;refID=7197474&amp;Result=3","7197474")</f>
        <v>0</v>
      </c>
      <c r="B4798" t="s">
        <v>1748</v>
      </c>
      <c r="C4798" t="s">
        <v>8376</v>
      </c>
      <c r="D4798" t="s">
        <v>18993</v>
      </c>
      <c r="E4798" t="s">
        <v>23354</v>
      </c>
      <c r="F4798" t="s">
        <v>32606</v>
      </c>
      <c r="G4798" t="s">
        <v>32614</v>
      </c>
      <c r="H4798" t="s">
        <v>14201</v>
      </c>
      <c r="I4798" t="s">
        <v>32638</v>
      </c>
      <c r="J4798" t="s">
        <v>33859</v>
      </c>
      <c r="K4798" t="s">
        <v>42624</v>
      </c>
      <c r="M4798" t="s">
        <v>44783</v>
      </c>
      <c r="N4798" t="s">
        <v>47304</v>
      </c>
      <c r="O4798" t="s">
        <v>47305</v>
      </c>
      <c r="P4798">
        <v>0</v>
      </c>
      <c r="Q4798">
        <v>11</v>
      </c>
      <c r="R4798" t="s">
        <v>47306</v>
      </c>
      <c r="S4798" t="s">
        <v>47414</v>
      </c>
      <c r="T4798" t="s">
        <v>48980</v>
      </c>
      <c r="U4798" t="s">
        <v>53605</v>
      </c>
      <c r="W4798" t="s">
        <v>44783</v>
      </c>
      <c r="X4798" t="s">
        <v>47308</v>
      </c>
    </row>
    <row r="4799" spans="1:24">
      <c r="A4799">
        <f>HYPERLINK("https://www.philgeps.gov.ph/GEPSNONPILOT/Tender/SplashBidNoticeAbstractUI.aspx?menuIndex=3&amp;refID=7197388&amp;Result=3","7197388")</f>
        <v>0</v>
      </c>
      <c r="B4799" t="s">
        <v>1718</v>
      </c>
      <c r="C4799" t="s">
        <v>8377</v>
      </c>
      <c r="D4799" t="s">
        <v>18994</v>
      </c>
      <c r="E4799" t="s">
        <v>23355</v>
      </c>
      <c r="F4799" t="s">
        <v>32606</v>
      </c>
      <c r="G4799" t="s">
        <v>32613</v>
      </c>
      <c r="H4799" t="s">
        <v>32623</v>
      </c>
      <c r="I4799" t="s">
        <v>32661</v>
      </c>
      <c r="J4799" t="s">
        <v>35939</v>
      </c>
      <c r="K4799" t="s">
        <v>42671</v>
      </c>
      <c r="M4799" t="s">
        <v>44750</v>
      </c>
      <c r="N4799" t="s">
        <v>47304</v>
      </c>
      <c r="O4799" t="s">
        <v>47305</v>
      </c>
      <c r="P4799">
        <v>0</v>
      </c>
      <c r="Q4799">
        <v>1</v>
      </c>
      <c r="R4799" t="s">
        <v>47306</v>
      </c>
      <c r="S4799" t="s">
        <v>47414</v>
      </c>
      <c r="T4799" t="s">
        <v>48991</v>
      </c>
      <c r="U4799" t="s">
        <v>53547</v>
      </c>
      <c r="W4799" t="s">
        <v>44750</v>
      </c>
      <c r="X4799" t="s">
        <v>47308</v>
      </c>
    </row>
    <row r="4800" spans="1:24">
      <c r="A4800">
        <f>HYPERLINK("https://www.philgeps.gov.ph/GEPSNONPILOT/Tender/SplashBidNoticeAbstractUI.aspx?menuIndex=3&amp;refID=7197372&amp;Result=3","7197372")</f>
        <v>0</v>
      </c>
      <c r="B4800" t="s">
        <v>1644</v>
      </c>
      <c r="C4800" t="s">
        <v>8378</v>
      </c>
      <c r="D4800" t="s">
        <v>19022</v>
      </c>
      <c r="E4800" t="s">
        <v>23356</v>
      </c>
      <c r="F4800" t="s">
        <v>32606</v>
      </c>
      <c r="G4800" t="s">
        <v>32614</v>
      </c>
      <c r="H4800" t="s">
        <v>14201</v>
      </c>
      <c r="I4800" t="s">
        <v>32711</v>
      </c>
      <c r="J4800" t="s">
        <v>32813</v>
      </c>
      <c r="K4800" t="s">
        <v>42630</v>
      </c>
      <c r="M4800" t="s">
        <v>44665</v>
      </c>
      <c r="N4800" t="s">
        <v>47304</v>
      </c>
      <c r="O4800" t="s">
        <v>47305</v>
      </c>
      <c r="P4800">
        <v>0</v>
      </c>
      <c r="Q4800">
        <v>1</v>
      </c>
      <c r="R4800" t="s">
        <v>47306</v>
      </c>
      <c r="S4800" t="s">
        <v>47414</v>
      </c>
      <c r="T4800" t="s">
        <v>49004</v>
      </c>
      <c r="U4800" t="s">
        <v>53499</v>
      </c>
      <c r="W4800" t="s">
        <v>64478</v>
      </c>
      <c r="X4800" t="s">
        <v>47308</v>
      </c>
    </row>
    <row r="4801" spans="1:24">
      <c r="A4801">
        <f>HYPERLINK("https://www.philgeps.gov.ph/GEPSNONPILOT/Tender/SplashBidNoticeAbstractUI.aspx?menuIndex=3&amp;refID=7197371&amp;Result=3","7197371")</f>
        <v>0</v>
      </c>
      <c r="B4801" t="s">
        <v>424</v>
      </c>
      <c r="C4801" t="s">
        <v>8379</v>
      </c>
      <c r="D4801" t="s">
        <v>18992</v>
      </c>
      <c r="E4801" t="s">
        <v>23320</v>
      </c>
      <c r="F4801" t="s">
        <v>32606</v>
      </c>
      <c r="G4801" t="s">
        <v>32613</v>
      </c>
      <c r="H4801" t="s">
        <v>32623</v>
      </c>
      <c r="I4801" t="s">
        <v>17648</v>
      </c>
      <c r="J4801" t="s">
        <v>35858</v>
      </c>
      <c r="K4801" t="s">
        <v>42682</v>
      </c>
      <c r="M4801" t="s">
        <v>43328</v>
      </c>
      <c r="N4801" t="s">
        <v>47304</v>
      </c>
      <c r="O4801" t="s">
        <v>47305</v>
      </c>
      <c r="P4801">
        <v>0</v>
      </c>
      <c r="Q4801">
        <v>0</v>
      </c>
      <c r="R4801" t="s">
        <v>47306</v>
      </c>
      <c r="S4801" t="s">
        <v>47414</v>
      </c>
      <c r="T4801" t="s">
        <v>48986</v>
      </c>
      <c r="U4801" t="s">
        <v>53628</v>
      </c>
      <c r="W4801" t="s">
        <v>43328</v>
      </c>
      <c r="X4801" t="s">
        <v>47308</v>
      </c>
    </row>
    <row r="4802" spans="1:24">
      <c r="A4802">
        <f>HYPERLINK("https://www.philgeps.gov.ph/GEPSNONPILOT/Tender/SplashBidNoticeAbstractUI.aspx?menuIndex=3&amp;refID=7197467&amp;Result=3","7197467")</f>
        <v>0</v>
      </c>
      <c r="B4802" t="s">
        <v>1746</v>
      </c>
      <c r="C4802" t="s">
        <v>8380</v>
      </c>
      <c r="D4802" t="s">
        <v>19024</v>
      </c>
      <c r="E4802" t="s">
        <v>23357</v>
      </c>
      <c r="F4802" t="s">
        <v>32606</v>
      </c>
      <c r="G4802" t="s">
        <v>32614</v>
      </c>
      <c r="H4802" t="s">
        <v>14201</v>
      </c>
      <c r="I4802" t="s">
        <v>4120</v>
      </c>
      <c r="J4802" t="s">
        <v>35940</v>
      </c>
      <c r="K4802" t="s">
        <v>42632</v>
      </c>
      <c r="M4802" t="s">
        <v>44781</v>
      </c>
      <c r="N4802" t="s">
        <v>47304</v>
      </c>
      <c r="O4802" t="s">
        <v>47305</v>
      </c>
      <c r="P4802">
        <v>0</v>
      </c>
      <c r="Q4802">
        <v>2</v>
      </c>
      <c r="R4802" t="s">
        <v>47306</v>
      </c>
      <c r="S4802" t="s">
        <v>47414</v>
      </c>
      <c r="T4802" t="s">
        <v>48980</v>
      </c>
      <c r="U4802" t="s">
        <v>53602</v>
      </c>
      <c r="W4802" t="s">
        <v>44781</v>
      </c>
      <c r="X4802" t="s">
        <v>47308</v>
      </c>
    </row>
    <row r="4803" spans="1:24">
      <c r="A4803">
        <f>HYPERLINK("https://www.philgeps.gov.ph/GEPSNONPILOT/Tender/SplashBidNoticeAbstractUI.aspx?menuIndex=3&amp;refID=7197389&amp;Result=3","7197389")</f>
        <v>0</v>
      </c>
      <c r="B4803" t="s">
        <v>1754</v>
      </c>
      <c r="C4803" t="s">
        <v>5591</v>
      </c>
      <c r="D4803" t="s">
        <v>18993</v>
      </c>
      <c r="E4803" t="s">
        <v>19316</v>
      </c>
      <c r="F4803" t="s">
        <v>32606</v>
      </c>
      <c r="G4803" t="s">
        <v>32617</v>
      </c>
      <c r="H4803" t="s">
        <v>14201</v>
      </c>
      <c r="I4803" t="s">
        <v>4114</v>
      </c>
      <c r="J4803" t="s">
        <v>35941</v>
      </c>
      <c r="K4803" t="s">
        <v>42629</v>
      </c>
      <c r="M4803" t="s">
        <v>44790</v>
      </c>
      <c r="N4803" t="s">
        <v>47304</v>
      </c>
      <c r="O4803" t="s">
        <v>47305</v>
      </c>
      <c r="P4803">
        <v>0</v>
      </c>
      <c r="Q4803">
        <v>4</v>
      </c>
      <c r="R4803" t="s">
        <v>47306</v>
      </c>
      <c r="S4803" t="s">
        <v>47414</v>
      </c>
      <c r="T4803" t="s">
        <v>49028</v>
      </c>
      <c r="U4803" t="s">
        <v>53629</v>
      </c>
      <c r="W4803" t="s">
        <v>44790</v>
      </c>
      <c r="X4803" t="s">
        <v>47308</v>
      </c>
    </row>
    <row r="4804" spans="1:24">
      <c r="A4804">
        <f>HYPERLINK("https://www.philgeps.gov.ph/GEPSNONPILOT/Tender/SplashBidNoticeAbstractUI.aspx?menuIndex=3&amp;refID=7197368&amp;Result=3","7197368")</f>
        <v>0</v>
      </c>
      <c r="B4804" t="s">
        <v>81</v>
      </c>
      <c r="C4804" t="s">
        <v>8381</v>
      </c>
      <c r="D4804" t="s">
        <v>18995</v>
      </c>
      <c r="E4804" t="s">
        <v>23358</v>
      </c>
      <c r="F4804" t="s">
        <v>32606</v>
      </c>
      <c r="G4804" t="s">
        <v>32614</v>
      </c>
      <c r="H4804" t="s">
        <v>14201</v>
      </c>
      <c r="I4804" t="s">
        <v>32633</v>
      </c>
      <c r="J4804" t="s">
        <v>32825</v>
      </c>
      <c r="K4804" t="s">
        <v>42624</v>
      </c>
      <c r="M4804" t="s">
        <v>42978</v>
      </c>
      <c r="N4804" t="s">
        <v>47304</v>
      </c>
      <c r="O4804" t="s">
        <v>47305</v>
      </c>
      <c r="P4804">
        <v>0</v>
      </c>
      <c r="Q4804">
        <v>3</v>
      </c>
      <c r="R4804" t="s">
        <v>47306</v>
      </c>
      <c r="S4804" t="s">
        <v>47414</v>
      </c>
      <c r="T4804" t="s">
        <v>49014</v>
      </c>
      <c r="U4804" t="s">
        <v>53630</v>
      </c>
      <c r="W4804" t="s">
        <v>42978</v>
      </c>
      <c r="X4804" t="s">
        <v>47308</v>
      </c>
    </row>
    <row r="4805" spans="1:24">
      <c r="A4805">
        <f>HYPERLINK("https://www.philgeps.gov.ph/GEPSNONPILOT/Tender/SplashBidNoticeAbstractUI.aspx?menuIndex=3&amp;refID=7197373&amp;Result=3","7197373")</f>
        <v>0</v>
      </c>
      <c r="B4805" t="s">
        <v>866</v>
      </c>
      <c r="C4805" t="s">
        <v>8382</v>
      </c>
      <c r="E4805" t="s">
        <v>23359</v>
      </c>
      <c r="F4805" t="s">
        <v>32606</v>
      </c>
      <c r="G4805" t="s">
        <v>32614</v>
      </c>
      <c r="H4805" t="s">
        <v>14201</v>
      </c>
      <c r="I4805" t="s">
        <v>32723</v>
      </c>
      <c r="J4805" t="s">
        <v>35942</v>
      </c>
      <c r="K4805" t="s">
        <v>42624</v>
      </c>
      <c r="M4805" t="s">
        <v>43800</v>
      </c>
      <c r="N4805" t="s">
        <v>47304</v>
      </c>
      <c r="O4805" t="s">
        <v>47305</v>
      </c>
      <c r="P4805">
        <v>0</v>
      </c>
      <c r="Q4805">
        <v>3</v>
      </c>
      <c r="R4805" t="s">
        <v>47306</v>
      </c>
      <c r="S4805" t="s">
        <v>47414</v>
      </c>
      <c r="T4805" t="s">
        <v>48980</v>
      </c>
      <c r="U4805" t="s">
        <v>53631</v>
      </c>
      <c r="W4805" t="s">
        <v>43800</v>
      </c>
      <c r="X4805" t="s">
        <v>47308</v>
      </c>
    </row>
    <row r="4806" spans="1:24">
      <c r="A4806">
        <f>HYPERLINK("https://www.philgeps.gov.ph/GEPSNONPILOT/Tender/SplashBidNoticeAbstractUI.aspx?menuIndex=3&amp;refID=7197455&amp;Result=3","7197455")</f>
        <v>0</v>
      </c>
      <c r="B4806" t="s">
        <v>131</v>
      </c>
      <c r="C4806" t="s">
        <v>8383</v>
      </c>
      <c r="D4806" t="s">
        <v>18993</v>
      </c>
      <c r="E4806" t="s">
        <v>23360</v>
      </c>
      <c r="F4806" t="s">
        <v>32606</v>
      </c>
      <c r="G4806" t="s">
        <v>32613</v>
      </c>
      <c r="H4806" t="s">
        <v>14201</v>
      </c>
      <c r="I4806" t="s">
        <v>13131</v>
      </c>
      <c r="J4806" t="s">
        <v>35943</v>
      </c>
      <c r="K4806" t="s">
        <v>42631</v>
      </c>
      <c r="M4806" t="s">
        <v>43032</v>
      </c>
      <c r="N4806" t="s">
        <v>47304</v>
      </c>
      <c r="O4806" t="s">
        <v>47305</v>
      </c>
      <c r="P4806">
        <v>0</v>
      </c>
      <c r="Q4806">
        <v>13</v>
      </c>
      <c r="R4806" t="s">
        <v>47306</v>
      </c>
      <c r="S4806" t="s">
        <v>47414</v>
      </c>
      <c r="T4806" t="s">
        <v>49032</v>
      </c>
      <c r="U4806" t="s">
        <v>53632</v>
      </c>
      <c r="W4806" t="s">
        <v>43032</v>
      </c>
      <c r="X4806" t="s">
        <v>47308</v>
      </c>
    </row>
    <row r="4807" spans="1:24">
      <c r="A4807">
        <f>HYPERLINK("https://www.philgeps.gov.ph/GEPSNONPILOT/Tender/SplashBidNoticeAbstractUI.aspx?menuIndex=3&amp;refID=7197425&amp;Result=3","7197425")</f>
        <v>0</v>
      </c>
      <c r="B4807" t="s">
        <v>1187</v>
      </c>
      <c r="C4807" t="s">
        <v>8384</v>
      </c>
      <c r="D4807" t="s">
        <v>19011</v>
      </c>
      <c r="E4807" t="s">
        <v>23361</v>
      </c>
      <c r="F4807" t="s">
        <v>32606</v>
      </c>
      <c r="G4807" t="s">
        <v>32614</v>
      </c>
      <c r="H4807" t="s">
        <v>14201</v>
      </c>
      <c r="I4807" t="s">
        <v>32640</v>
      </c>
      <c r="J4807" t="s">
        <v>33060</v>
      </c>
      <c r="K4807" t="s">
        <v>42622</v>
      </c>
      <c r="M4807" t="s">
        <v>44151</v>
      </c>
      <c r="N4807" t="s">
        <v>47304</v>
      </c>
      <c r="O4807" t="s">
        <v>47305</v>
      </c>
      <c r="P4807">
        <v>0</v>
      </c>
      <c r="Q4807">
        <v>3</v>
      </c>
      <c r="R4807" t="s">
        <v>47306</v>
      </c>
      <c r="S4807" t="s">
        <v>47414</v>
      </c>
      <c r="T4807" t="s">
        <v>48980</v>
      </c>
      <c r="U4807" t="s">
        <v>53633</v>
      </c>
      <c r="W4807" t="s">
        <v>44151</v>
      </c>
      <c r="X4807" t="s">
        <v>47308</v>
      </c>
    </row>
    <row r="4808" spans="1:24">
      <c r="A4808">
        <f>HYPERLINK("https://www.philgeps.gov.ph/GEPSNONPILOT/Tender/SplashBidNoticeAbstractUI.aspx?menuIndex=3&amp;refID=7197348&amp;Result=3","7197348")</f>
        <v>0</v>
      </c>
      <c r="B4808" t="s">
        <v>1721</v>
      </c>
      <c r="C4808" t="s">
        <v>8364</v>
      </c>
      <c r="D4808" t="s">
        <v>18993</v>
      </c>
      <c r="E4808" t="s">
        <v>23362</v>
      </c>
      <c r="F4808" t="s">
        <v>32606</v>
      </c>
      <c r="G4808" t="s">
        <v>32617</v>
      </c>
      <c r="H4808" t="s">
        <v>14201</v>
      </c>
      <c r="I4808" t="s">
        <v>4120</v>
      </c>
      <c r="J4808" t="s">
        <v>35944</v>
      </c>
      <c r="K4808" t="s">
        <v>42623</v>
      </c>
      <c r="M4808" t="s">
        <v>44753</v>
      </c>
      <c r="N4808" t="s">
        <v>47304</v>
      </c>
      <c r="O4808" t="s">
        <v>47305</v>
      </c>
      <c r="P4808">
        <v>0</v>
      </c>
      <c r="Q4808">
        <v>2</v>
      </c>
      <c r="R4808" t="s">
        <v>47306</v>
      </c>
      <c r="S4808" t="s">
        <v>47414</v>
      </c>
      <c r="T4808" t="s">
        <v>49004</v>
      </c>
      <c r="U4808" t="s">
        <v>53634</v>
      </c>
      <c r="V4808" t="s">
        <v>63096</v>
      </c>
      <c r="W4808" t="s">
        <v>44753</v>
      </c>
      <c r="X4808" t="s">
        <v>47308</v>
      </c>
    </row>
    <row r="4809" spans="1:24">
      <c r="A4809">
        <f>HYPERLINK("https://www.philgeps.gov.ph/GEPSNONPILOT/Tender/SplashBidNoticeAbstractUI.aspx?menuIndex=3&amp;refID=7197347&amp;Result=3","7197347")</f>
        <v>0</v>
      </c>
      <c r="B4809" t="s">
        <v>424</v>
      </c>
      <c r="C4809" t="s">
        <v>8385</v>
      </c>
      <c r="D4809" t="s">
        <v>18992</v>
      </c>
      <c r="E4809" t="s">
        <v>21655</v>
      </c>
      <c r="F4809" t="s">
        <v>32606</v>
      </c>
      <c r="G4809" t="s">
        <v>32613</v>
      </c>
      <c r="H4809" t="s">
        <v>32623</v>
      </c>
      <c r="I4809" t="s">
        <v>17648</v>
      </c>
      <c r="J4809" t="s">
        <v>35858</v>
      </c>
      <c r="K4809" t="s">
        <v>42682</v>
      </c>
      <c r="M4809" t="s">
        <v>43328</v>
      </c>
      <c r="N4809" t="s">
        <v>47304</v>
      </c>
      <c r="O4809" t="s">
        <v>47305</v>
      </c>
      <c r="P4809">
        <v>0</v>
      </c>
      <c r="Q4809">
        <v>0</v>
      </c>
      <c r="R4809" t="s">
        <v>47306</v>
      </c>
      <c r="S4809" t="s">
        <v>47414</v>
      </c>
      <c r="T4809" t="s">
        <v>48986</v>
      </c>
      <c r="U4809" t="s">
        <v>53635</v>
      </c>
      <c r="W4809" t="s">
        <v>43328</v>
      </c>
      <c r="X4809" t="s">
        <v>47308</v>
      </c>
    </row>
    <row r="4810" spans="1:24">
      <c r="A4810">
        <f>HYPERLINK("https://www.philgeps.gov.ph/GEPSNONPILOT/Tender/SplashBidNoticeAbstractUI.aspx?menuIndex=3&amp;refID=7197345&amp;Result=3","7197345")</f>
        <v>0</v>
      </c>
      <c r="B4810" t="s">
        <v>1696</v>
      </c>
      <c r="C4810" t="s">
        <v>8386</v>
      </c>
      <c r="D4810" t="s">
        <v>18993</v>
      </c>
      <c r="E4810" t="s">
        <v>23363</v>
      </c>
      <c r="F4810" t="s">
        <v>32606</v>
      </c>
      <c r="G4810" t="s">
        <v>32613</v>
      </c>
      <c r="H4810" t="s">
        <v>14201</v>
      </c>
      <c r="I4810" t="s">
        <v>32730</v>
      </c>
      <c r="J4810" t="s">
        <v>35945</v>
      </c>
      <c r="K4810" t="s">
        <v>42623</v>
      </c>
      <c r="M4810" t="s">
        <v>44742</v>
      </c>
      <c r="N4810" t="s">
        <v>47304</v>
      </c>
      <c r="O4810" t="s">
        <v>47305</v>
      </c>
      <c r="P4810">
        <v>0</v>
      </c>
      <c r="Q4810">
        <v>2</v>
      </c>
      <c r="R4810" t="s">
        <v>47306</v>
      </c>
      <c r="S4810" t="s">
        <v>47414</v>
      </c>
      <c r="T4810" t="s">
        <v>49033</v>
      </c>
      <c r="U4810" t="s">
        <v>53636</v>
      </c>
      <c r="W4810" t="s">
        <v>44742</v>
      </c>
      <c r="X4810" t="s">
        <v>47308</v>
      </c>
    </row>
    <row r="4811" spans="1:24">
      <c r="A4811">
        <f>HYPERLINK("https://www.philgeps.gov.ph/GEPSNONPILOT/Tender/SplashBidNoticeAbstractUI.aspx?menuIndex=3&amp;refID=7197370&amp;Result=3","7197370")</f>
        <v>0</v>
      </c>
      <c r="B4811" t="s">
        <v>1733</v>
      </c>
      <c r="C4811" t="s">
        <v>8387</v>
      </c>
      <c r="D4811" t="s">
        <v>19067</v>
      </c>
      <c r="E4811" t="s">
        <v>23364</v>
      </c>
      <c r="F4811" t="s">
        <v>32606</v>
      </c>
      <c r="G4811" t="s">
        <v>32614</v>
      </c>
      <c r="H4811" t="s">
        <v>14201</v>
      </c>
      <c r="I4811" t="s">
        <v>6931</v>
      </c>
      <c r="J4811" t="s">
        <v>35946</v>
      </c>
      <c r="K4811" t="s">
        <v>42639</v>
      </c>
      <c r="M4811" t="s">
        <v>44765</v>
      </c>
      <c r="N4811" t="s">
        <v>47304</v>
      </c>
      <c r="O4811" t="s">
        <v>47305</v>
      </c>
      <c r="P4811">
        <v>0</v>
      </c>
      <c r="Q4811">
        <v>0</v>
      </c>
      <c r="R4811" t="s">
        <v>47306</v>
      </c>
      <c r="S4811" t="s">
        <v>47414</v>
      </c>
      <c r="T4811" t="s">
        <v>48986</v>
      </c>
      <c r="U4811" t="s">
        <v>53637</v>
      </c>
      <c r="W4811" t="s">
        <v>44765</v>
      </c>
      <c r="X4811" t="s">
        <v>47308</v>
      </c>
    </row>
    <row r="4812" spans="1:24">
      <c r="A4812">
        <f>HYPERLINK("https://www.philgeps.gov.ph/GEPSNONPILOT/Tender/SplashBidNoticeAbstractUI.aspx?menuIndex=3&amp;refID=7197324&amp;Result=3","7197324")</f>
        <v>0</v>
      </c>
      <c r="B4812" t="s">
        <v>424</v>
      </c>
      <c r="C4812" t="s">
        <v>8388</v>
      </c>
      <c r="D4812" t="s">
        <v>18992</v>
      </c>
      <c r="E4812" t="s">
        <v>19337</v>
      </c>
      <c r="F4812" t="s">
        <v>32606</v>
      </c>
      <c r="G4812" t="s">
        <v>32613</v>
      </c>
      <c r="H4812" t="s">
        <v>32623</v>
      </c>
      <c r="I4812" t="s">
        <v>17648</v>
      </c>
      <c r="J4812" t="s">
        <v>35833</v>
      </c>
      <c r="K4812" t="s">
        <v>42682</v>
      </c>
      <c r="M4812" t="s">
        <v>43328</v>
      </c>
      <c r="N4812" t="s">
        <v>47304</v>
      </c>
      <c r="O4812" t="s">
        <v>47305</v>
      </c>
      <c r="P4812">
        <v>0</v>
      </c>
      <c r="Q4812">
        <v>0</v>
      </c>
      <c r="R4812" t="s">
        <v>47306</v>
      </c>
      <c r="S4812" t="s">
        <v>47414</v>
      </c>
      <c r="T4812" t="s">
        <v>48986</v>
      </c>
      <c r="U4812" t="s">
        <v>53638</v>
      </c>
      <c r="W4812" t="s">
        <v>43328</v>
      </c>
      <c r="X4812" t="s">
        <v>47308</v>
      </c>
    </row>
    <row r="4813" spans="1:24">
      <c r="A4813">
        <f>HYPERLINK("https://www.philgeps.gov.ph/GEPSNONPILOT/Tender/SplashBidNoticeAbstractUI.aspx?menuIndex=3&amp;refID=7197322&amp;Result=3","7197322")</f>
        <v>0</v>
      </c>
      <c r="B4813" t="s">
        <v>1696</v>
      </c>
      <c r="C4813" t="s">
        <v>8389</v>
      </c>
      <c r="D4813" t="s">
        <v>18993</v>
      </c>
      <c r="E4813" t="s">
        <v>23365</v>
      </c>
      <c r="F4813" t="s">
        <v>32606</v>
      </c>
      <c r="G4813" t="s">
        <v>32613</v>
      </c>
      <c r="H4813" t="s">
        <v>14201</v>
      </c>
      <c r="I4813" t="s">
        <v>6298</v>
      </c>
      <c r="J4813" t="s">
        <v>35947</v>
      </c>
      <c r="K4813" t="s">
        <v>42623</v>
      </c>
      <c r="M4813" t="s">
        <v>44742</v>
      </c>
      <c r="N4813" t="s">
        <v>47304</v>
      </c>
      <c r="O4813" t="s">
        <v>47305</v>
      </c>
      <c r="P4813">
        <v>0</v>
      </c>
      <c r="Q4813">
        <v>0</v>
      </c>
      <c r="R4813" t="s">
        <v>47306</v>
      </c>
      <c r="S4813" t="s">
        <v>47414</v>
      </c>
      <c r="T4813" t="s">
        <v>49033</v>
      </c>
      <c r="U4813" t="s">
        <v>53471</v>
      </c>
      <c r="W4813" t="s">
        <v>44742</v>
      </c>
      <c r="X4813" t="s">
        <v>47308</v>
      </c>
    </row>
    <row r="4814" spans="1:24">
      <c r="A4814">
        <f>HYPERLINK("https://www.philgeps.gov.ph/GEPSNONPILOT/Tender/SplashBidNoticeAbstractUI.aspx?menuIndex=3&amp;refID=7197366&amp;Result=3","7197366")</f>
        <v>0</v>
      </c>
      <c r="B4814" t="s">
        <v>1733</v>
      </c>
      <c r="C4814" t="s">
        <v>8390</v>
      </c>
      <c r="D4814" t="s">
        <v>19067</v>
      </c>
      <c r="E4814" t="s">
        <v>23366</v>
      </c>
      <c r="F4814" t="s">
        <v>32606</v>
      </c>
      <c r="G4814" t="s">
        <v>32614</v>
      </c>
      <c r="H4814" t="s">
        <v>14201</v>
      </c>
      <c r="I4814" t="s">
        <v>6931</v>
      </c>
      <c r="J4814" t="s">
        <v>35948</v>
      </c>
      <c r="K4814" t="s">
        <v>42639</v>
      </c>
      <c r="M4814" t="s">
        <v>44765</v>
      </c>
      <c r="N4814" t="s">
        <v>47304</v>
      </c>
      <c r="O4814" t="s">
        <v>47305</v>
      </c>
      <c r="P4814">
        <v>0</v>
      </c>
      <c r="Q4814">
        <v>0</v>
      </c>
      <c r="R4814" t="s">
        <v>47306</v>
      </c>
      <c r="S4814" t="s">
        <v>47414</v>
      </c>
      <c r="T4814" t="s">
        <v>48986</v>
      </c>
      <c r="U4814" t="s">
        <v>53639</v>
      </c>
      <c r="W4814" t="s">
        <v>44765</v>
      </c>
      <c r="X4814" t="s">
        <v>47308</v>
      </c>
    </row>
    <row r="4815" spans="1:24">
      <c r="A4815">
        <f>HYPERLINK("https://www.philgeps.gov.ph/GEPSNONPILOT/Tender/SplashBidNoticeAbstractUI.aspx?menuIndex=3&amp;refID=7197349&amp;Result=3","7197349")</f>
        <v>0</v>
      </c>
      <c r="B4815" t="s">
        <v>81</v>
      </c>
      <c r="C4815" t="s">
        <v>8391</v>
      </c>
      <c r="D4815" t="s">
        <v>18995</v>
      </c>
      <c r="E4815" t="s">
        <v>23367</v>
      </c>
      <c r="F4815" t="s">
        <v>32606</v>
      </c>
      <c r="G4815" t="s">
        <v>32614</v>
      </c>
      <c r="H4815" t="s">
        <v>14201</v>
      </c>
      <c r="I4815" t="s">
        <v>32671</v>
      </c>
      <c r="J4815" t="s">
        <v>35949</v>
      </c>
      <c r="K4815" t="s">
        <v>42624</v>
      </c>
      <c r="M4815" t="s">
        <v>42978</v>
      </c>
      <c r="N4815" t="s">
        <v>47304</v>
      </c>
      <c r="O4815" t="s">
        <v>47305</v>
      </c>
      <c r="P4815">
        <v>0</v>
      </c>
      <c r="Q4815">
        <v>1</v>
      </c>
      <c r="R4815" t="s">
        <v>47306</v>
      </c>
      <c r="S4815" t="s">
        <v>47414</v>
      </c>
      <c r="T4815" t="s">
        <v>49014</v>
      </c>
      <c r="U4815" t="s">
        <v>53640</v>
      </c>
      <c r="W4815" t="s">
        <v>42978</v>
      </c>
      <c r="X4815" t="s">
        <v>47308</v>
      </c>
    </row>
    <row r="4816" spans="1:24">
      <c r="A4816">
        <f>HYPERLINK("https://www.philgeps.gov.ph/GEPSNONPILOT/Tender/SplashBidNoticeAbstractUI.aspx?menuIndex=3&amp;refID=7197260&amp;Result=3","7197260")</f>
        <v>0</v>
      </c>
      <c r="B4816" t="s">
        <v>424</v>
      </c>
      <c r="C4816" t="s">
        <v>8392</v>
      </c>
      <c r="D4816" t="s">
        <v>18992</v>
      </c>
      <c r="E4816" t="s">
        <v>23293</v>
      </c>
      <c r="F4816" t="s">
        <v>32606</v>
      </c>
      <c r="G4816" t="s">
        <v>32614</v>
      </c>
      <c r="H4816" t="s">
        <v>32623</v>
      </c>
      <c r="I4816" t="s">
        <v>17648</v>
      </c>
      <c r="J4816" t="s">
        <v>32949</v>
      </c>
      <c r="K4816" t="s">
        <v>42639</v>
      </c>
      <c r="M4816" t="s">
        <v>43328</v>
      </c>
      <c r="N4816" t="s">
        <v>47304</v>
      </c>
      <c r="O4816" t="s">
        <v>47305</v>
      </c>
      <c r="P4816">
        <v>0</v>
      </c>
      <c r="Q4816">
        <v>0</v>
      </c>
      <c r="R4816" t="s">
        <v>47306</v>
      </c>
      <c r="S4816" t="s">
        <v>47414</v>
      </c>
      <c r="T4816" t="s">
        <v>48986</v>
      </c>
      <c r="U4816" t="s">
        <v>53641</v>
      </c>
      <c r="W4816" t="s">
        <v>43328</v>
      </c>
      <c r="X4816" t="s">
        <v>47308</v>
      </c>
    </row>
    <row r="4817" spans="1:24">
      <c r="A4817">
        <f>HYPERLINK("https://www.philgeps.gov.ph/GEPSNONPILOT/Tender/SplashBidNoticeAbstractUI.aspx?menuIndex=3&amp;refID=7197498&amp;Result=3","7197498")</f>
        <v>0</v>
      </c>
      <c r="B4817" t="s">
        <v>1738</v>
      </c>
      <c r="C4817" t="s">
        <v>8393</v>
      </c>
      <c r="E4817" t="s">
        <v>23368</v>
      </c>
      <c r="F4817" t="s">
        <v>32606</v>
      </c>
      <c r="G4817" t="s">
        <v>32614</v>
      </c>
      <c r="H4817" t="s">
        <v>14201</v>
      </c>
      <c r="I4817" t="s">
        <v>32638</v>
      </c>
      <c r="J4817" t="s">
        <v>35950</v>
      </c>
      <c r="K4817" t="s">
        <v>42639</v>
      </c>
      <c r="M4817" t="s">
        <v>44771</v>
      </c>
      <c r="N4817" t="s">
        <v>47304</v>
      </c>
      <c r="O4817" t="s">
        <v>47305</v>
      </c>
      <c r="P4817">
        <v>0</v>
      </c>
      <c r="Q4817">
        <v>4</v>
      </c>
      <c r="R4817" t="s">
        <v>47306</v>
      </c>
      <c r="S4817" t="s">
        <v>47414</v>
      </c>
      <c r="T4817" t="s">
        <v>48980</v>
      </c>
      <c r="U4817" t="s">
        <v>53642</v>
      </c>
      <c r="W4817" t="s">
        <v>44771</v>
      </c>
      <c r="X4817" t="s">
        <v>47308</v>
      </c>
    </row>
    <row r="4818" spans="1:24">
      <c r="A4818">
        <f>HYPERLINK("https://www.philgeps.gov.ph/GEPSNONPILOT/Tender/SplashBidNoticeAbstractUI.aspx?menuIndex=3&amp;refID=7197497&amp;Result=3","7197497")</f>
        <v>0</v>
      </c>
      <c r="B4818" t="s">
        <v>1746</v>
      </c>
      <c r="C4818" t="s">
        <v>8394</v>
      </c>
      <c r="D4818" t="s">
        <v>19024</v>
      </c>
      <c r="E4818" t="s">
        <v>23369</v>
      </c>
      <c r="F4818" t="s">
        <v>32606</v>
      </c>
      <c r="G4818" t="s">
        <v>32614</v>
      </c>
      <c r="H4818" t="s">
        <v>14201</v>
      </c>
      <c r="I4818" t="s">
        <v>4120</v>
      </c>
      <c r="J4818" t="s">
        <v>35951</v>
      </c>
      <c r="K4818" t="s">
        <v>42632</v>
      </c>
      <c r="M4818" t="s">
        <v>44781</v>
      </c>
      <c r="N4818" t="s">
        <v>47304</v>
      </c>
      <c r="O4818" t="s">
        <v>47305</v>
      </c>
      <c r="P4818">
        <v>0</v>
      </c>
      <c r="Q4818">
        <v>1</v>
      </c>
      <c r="R4818" t="s">
        <v>47306</v>
      </c>
      <c r="S4818" t="s">
        <v>47414</v>
      </c>
      <c r="T4818" t="s">
        <v>48980</v>
      </c>
      <c r="U4818" t="s">
        <v>53602</v>
      </c>
      <c r="W4818" t="s">
        <v>44781</v>
      </c>
      <c r="X4818" t="s">
        <v>47308</v>
      </c>
    </row>
    <row r="4819" spans="1:24">
      <c r="A4819">
        <f>HYPERLINK("https://www.philgeps.gov.ph/GEPSNONPILOT/Tender/SplashBidNoticeAbstractUI.aspx?menuIndex=3&amp;refID=7197496&amp;Result=3","7197496")</f>
        <v>0</v>
      </c>
      <c r="B4819" t="s">
        <v>76</v>
      </c>
      <c r="C4819" t="s">
        <v>8395</v>
      </c>
      <c r="D4819" t="s">
        <v>19010</v>
      </c>
      <c r="E4819" t="s">
        <v>23370</v>
      </c>
      <c r="F4819" t="s">
        <v>32606</v>
      </c>
      <c r="G4819" t="s">
        <v>32613</v>
      </c>
      <c r="H4819" t="s">
        <v>32623</v>
      </c>
      <c r="I4819" t="s">
        <v>17648</v>
      </c>
      <c r="J4819" t="s">
        <v>35952</v>
      </c>
      <c r="K4819" t="s">
        <v>42657</v>
      </c>
      <c r="M4819" t="s">
        <v>44791</v>
      </c>
      <c r="N4819" t="s">
        <v>47304</v>
      </c>
      <c r="O4819" t="s">
        <v>47305</v>
      </c>
      <c r="P4819">
        <v>0</v>
      </c>
      <c r="Q4819">
        <v>1</v>
      </c>
      <c r="R4819" t="s">
        <v>47306</v>
      </c>
      <c r="S4819" t="s">
        <v>47414</v>
      </c>
      <c r="T4819" t="s">
        <v>48987</v>
      </c>
      <c r="U4819" t="s">
        <v>53643</v>
      </c>
      <c r="W4819" t="s">
        <v>44791</v>
      </c>
      <c r="X4819" t="s">
        <v>47308</v>
      </c>
    </row>
    <row r="4820" spans="1:24">
      <c r="A4820">
        <f>HYPERLINK("https://www.philgeps.gov.ph/GEPSNONPILOT/Tender/SplashBidNoticeAbstractUI.aspx?menuIndex=3&amp;refID=7197495&amp;Result=3","7197495")</f>
        <v>0</v>
      </c>
      <c r="B4820" t="s">
        <v>143</v>
      </c>
      <c r="C4820" t="s">
        <v>8396</v>
      </c>
      <c r="D4820" t="s">
        <v>19032</v>
      </c>
      <c r="E4820" t="s">
        <v>23371</v>
      </c>
      <c r="F4820" t="s">
        <v>32606</v>
      </c>
      <c r="G4820" t="s">
        <v>32615</v>
      </c>
      <c r="H4820" t="s">
        <v>32623</v>
      </c>
      <c r="I4820" t="s">
        <v>17648</v>
      </c>
      <c r="J4820" t="s">
        <v>35953</v>
      </c>
      <c r="K4820" t="s">
        <v>42631</v>
      </c>
      <c r="M4820" t="s">
        <v>43044</v>
      </c>
      <c r="N4820" t="s">
        <v>47304</v>
      </c>
      <c r="O4820" t="s">
        <v>47305</v>
      </c>
      <c r="P4820">
        <v>0</v>
      </c>
      <c r="Q4820">
        <v>0</v>
      </c>
      <c r="R4820" t="s">
        <v>47306</v>
      </c>
      <c r="S4820" t="s">
        <v>47414</v>
      </c>
      <c r="T4820" t="s">
        <v>48987</v>
      </c>
      <c r="U4820" t="s">
        <v>53644</v>
      </c>
      <c r="W4820" t="s">
        <v>43044</v>
      </c>
      <c r="X4820" t="s">
        <v>47308</v>
      </c>
    </row>
    <row r="4821" spans="1:24">
      <c r="A4821">
        <f>HYPERLINK("https://www.philgeps.gov.ph/GEPSNONPILOT/Tender/SplashBidNoticeAbstractUI.aspx?menuIndex=3&amp;refID=7197494&amp;Result=3","7197494")</f>
        <v>0</v>
      </c>
      <c r="B4821" t="s">
        <v>1755</v>
      </c>
      <c r="C4821" t="s">
        <v>8397</v>
      </c>
      <c r="D4821" t="s">
        <v>19036</v>
      </c>
      <c r="E4821" t="s">
        <v>23372</v>
      </c>
      <c r="F4821" t="s">
        <v>32606</v>
      </c>
      <c r="G4821" t="s">
        <v>32613</v>
      </c>
      <c r="H4821" t="s">
        <v>14201</v>
      </c>
      <c r="I4821" t="s">
        <v>32628</v>
      </c>
      <c r="J4821" t="s">
        <v>35954</v>
      </c>
      <c r="K4821" t="s">
        <v>42665</v>
      </c>
      <c r="M4821" t="s">
        <v>44792</v>
      </c>
      <c r="N4821" t="s">
        <v>47304</v>
      </c>
      <c r="O4821" t="s">
        <v>47305</v>
      </c>
      <c r="P4821">
        <v>0</v>
      </c>
      <c r="Q4821">
        <v>2</v>
      </c>
      <c r="R4821" t="s">
        <v>47306</v>
      </c>
      <c r="S4821" t="s">
        <v>47414</v>
      </c>
      <c r="T4821" t="s">
        <v>49133</v>
      </c>
      <c r="U4821" t="s">
        <v>53645</v>
      </c>
      <c r="W4821" t="s">
        <v>44792</v>
      </c>
      <c r="X4821" t="s">
        <v>47308</v>
      </c>
    </row>
    <row r="4822" spans="1:24">
      <c r="A4822">
        <f>HYPERLINK("https://www.philgeps.gov.ph/GEPSNONPILOT/Tender/SplashBidNoticeAbstractUI.aspx?menuIndex=3&amp;refID=7197323&amp;Result=3","7197323")</f>
        <v>0</v>
      </c>
      <c r="B4822" t="s">
        <v>1756</v>
      </c>
      <c r="C4822" t="s">
        <v>8398</v>
      </c>
      <c r="D4822" t="s">
        <v>19035</v>
      </c>
      <c r="E4822" t="s">
        <v>19833</v>
      </c>
      <c r="F4822" t="s">
        <v>32606</v>
      </c>
      <c r="G4822" t="s">
        <v>32613</v>
      </c>
      <c r="H4822" t="s">
        <v>14201</v>
      </c>
      <c r="I4822" t="s">
        <v>32640</v>
      </c>
      <c r="J4822" t="s">
        <v>33113</v>
      </c>
      <c r="K4822" t="s">
        <v>42627</v>
      </c>
      <c r="M4822" t="s">
        <v>44793</v>
      </c>
      <c r="N4822" t="s">
        <v>47304</v>
      </c>
      <c r="O4822" t="s">
        <v>47305</v>
      </c>
      <c r="P4822">
        <v>0</v>
      </c>
      <c r="Q4822">
        <v>4</v>
      </c>
      <c r="R4822" t="s">
        <v>47306</v>
      </c>
      <c r="S4822" t="s">
        <v>47414</v>
      </c>
      <c r="T4822" t="s">
        <v>49065</v>
      </c>
      <c r="U4822" t="s">
        <v>53646</v>
      </c>
      <c r="W4822" t="s">
        <v>44793</v>
      </c>
      <c r="X4822" t="s">
        <v>47308</v>
      </c>
    </row>
    <row r="4823" spans="1:24">
      <c r="A4823">
        <f>HYPERLINK("https://www.philgeps.gov.ph/GEPSNONPILOT/Tender/SplashBidNoticeAbstractUI.aspx?menuIndex=3&amp;refID=7197365&amp;Result=3","7197365")</f>
        <v>0</v>
      </c>
      <c r="B4823" t="s">
        <v>1097</v>
      </c>
      <c r="C4823" t="s">
        <v>8299</v>
      </c>
      <c r="D4823" t="s">
        <v>18995</v>
      </c>
      <c r="E4823" t="s">
        <v>23373</v>
      </c>
      <c r="F4823" t="s">
        <v>32606</v>
      </c>
      <c r="G4823" t="s">
        <v>32614</v>
      </c>
      <c r="H4823" t="s">
        <v>32624</v>
      </c>
      <c r="I4823" t="s">
        <v>7064</v>
      </c>
      <c r="J4823" t="s">
        <v>33195</v>
      </c>
      <c r="K4823" t="s">
        <v>42622</v>
      </c>
      <c r="M4823" t="s">
        <v>44053</v>
      </c>
      <c r="N4823" t="s">
        <v>47304</v>
      </c>
      <c r="O4823" t="s">
        <v>47305</v>
      </c>
      <c r="P4823">
        <v>0</v>
      </c>
      <c r="Q4823">
        <v>0</v>
      </c>
      <c r="R4823" t="s">
        <v>47306</v>
      </c>
      <c r="S4823" t="s">
        <v>47414</v>
      </c>
      <c r="T4823" t="s">
        <v>48997</v>
      </c>
      <c r="U4823" t="s">
        <v>51756</v>
      </c>
      <c r="W4823" t="s">
        <v>44053</v>
      </c>
      <c r="X4823" t="s">
        <v>47308</v>
      </c>
    </row>
    <row r="4824" spans="1:24">
      <c r="A4824">
        <f>HYPERLINK("https://www.philgeps.gov.ph/GEPSNONPILOT/Tender/SplashBidNoticeAbstractUI.aspx?menuIndex=3&amp;refID=7197490&amp;Result=3","7197490")</f>
        <v>0</v>
      </c>
      <c r="B4824" t="s">
        <v>1746</v>
      </c>
      <c r="C4824" t="s">
        <v>8399</v>
      </c>
      <c r="D4824" t="s">
        <v>19024</v>
      </c>
      <c r="E4824" t="s">
        <v>23374</v>
      </c>
      <c r="F4824" t="s">
        <v>32606</v>
      </c>
      <c r="G4824" t="s">
        <v>32614</v>
      </c>
      <c r="H4824" t="s">
        <v>14201</v>
      </c>
      <c r="I4824" t="s">
        <v>4120</v>
      </c>
      <c r="J4824" t="s">
        <v>35955</v>
      </c>
      <c r="K4824" t="s">
        <v>42632</v>
      </c>
      <c r="M4824" t="s">
        <v>44781</v>
      </c>
      <c r="N4824" t="s">
        <v>47304</v>
      </c>
      <c r="O4824" t="s">
        <v>47305</v>
      </c>
      <c r="P4824">
        <v>0</v>
      </c>
      <c r="Q4824">
        <v>1</v>
      </c>
      <c r="R4824" t="s">
        <v>47306</v>
      </c>
      <c r="S4824" t="s">
        <v>47414</v>
      </c>
      <c r="T4824" t="s">
        <v>48980</v>
      </c>
      <c r="U4824" t="s">
        <v>53602</v>
      </c>
      <c r="W4824" t="s">
        <v>44781</v>
      </c>
      <c r="X4824" t="s">
        <v>47308</v>
      </c>
    </row>
    <row r="4825" spans="1:24">
      <c r="A4825">
        <f>HYPERLINK("https://www.philgeps.gov.ph/GEPSNONPILOT/Tender/SplashBidNoticeAbstractUI.aspx?menuIndex=3&amp;refID=7197489&amp;Result=3","7197489")</f>
        <v>0</v>
      </c>
      <c r="B4825" t="s">
        <v>143</v>
      </c>
      <c r="C4825" t="s">
        <v>8400</v>
      </c>
      <c r="D4825" t="s">
        <v>19032</v>
      </c>
      <c r="E4825" t="s">
        <v>23375</v>
      </c>
      <c r="F4825" t="s">
        <v>32606</v>
      </c>
      <c r="G4825" t="s">
        <v>32613</v>
      </c>
      <c r="H4825" t="s">
        <v>32623</v>
      </c>
      <c r="I4825" t="s">
        <v>17648</v>
      </c>
      <c r="J4825" t="s">
        <v>35956</v>
      </c>
      <c r="K4825" t="s">
        <v>42677</v>
      </c>
      <c r="M4825" t="s">
        <v>43044</v>
      </c>
      <c r="N4825" t="s">
        <v>47304</v>
      </c>
      <c r="O4825" t="s">
        <v>47305</v>
      </c>
      <c r="P4825">
        <v>0</v>
      </c>
      <c r="Q4825">
        <v>0</v>
      </c>
      <c r="R4825" t="s">
        <v>47306</v>
      </c>
      <c r="S4825" t="s">
        <v>47414</v>
      </c>
      <c r="T4825" t="s">
        <v>48987</v>
      </c>
      <c r="U4825" t="s">
        <v>53647</v>
      </c>
      <c r="W4825" t="s">
        <v>43044</v>
      </c>
      <c r="X4825" t="s">
        <v>47308</v>
      </c>
    </row>
    <row r="4826" spans="1:24">
      <c r="A4826">
        <f>HYPERLINK("https://www.philgeps.gov.ph/GEPSNONPILOT/Tender/SplashBidNoticeAbstractUI.aspx?menuIndex=3&amp;refID=7197488&amp;Result=3","7197488")</f>
        <v>0</v>
      </c>
      <c r="B4826" t="s">
        <v>1721</v>
      </c>
      <c r="C4826" t="s">
        <v>8372</v>
      </c>
      <c r="D4826" t="s">
        <v>18993</v>
      </c>
      <c r="E4826" t="s">
        <v>23376</v>
      </c>
      <c r="F4826" t="s">
        <v>32606</v>
      </c>
      <c r="G4826" t="s">
        <v>32614</v>
      </c>
      <c r="H4826" t="s">
        <v>14201</v>
      </c>
      <c r="I4826" t="s">
        <v>6931</v>
      </c>
      <c r="J4826" t="s">
        <v>35957</v>
      </c>
      <c r="K4826" t="s">
        <v>42623</v>
      </c>
      <c r="M4826" t="s">
        <v>44753</v>
      </c>
      <c r="N4826" t="s">
        <v>47304</v>
      </c>
      <c r="O4826" t="s">
        <v>47305</v>
      </c>
      <c r="P4826">
        <v>0</v>
      </c>
      <c r="Q4826">
        <v>2</v>
      </c>
      <c r="R4826" t="s">
        <v>47306</v>
      </c>
      <c r="S4826" t="s">
        <v>47414</v>
      </c>
      <c r="T4826" t="s">
        <v>49004</v>
      </c>
      <c r="U4826" t="s">
        <v>53648</v>
      </c>
      <c r="V4826" t="s">
        <v>63091</v>
      </c>
      <c r="W4826" t="s">
        <v>44753</v>
      </c>
      <c r="X4826" t="s">
        <v>47308</v>
      </c>
    </row>
    <row r="4827" spans="1:24">
      <c r="A4827">
        <f>HYPERLINK("https://www.philgeps.gov.ph/GEPSNONPILOT/Tender/SplashBidNoticeAbstractUI.aspx?menuIndex=3&amp;refID=7197369&amp;Result=3","7197369")</f>
        <v>0</v>
      </c>
      <c r="B4827" t="s">
        <v>1721</v>
      </c>
      <c r="C4827" t="s">
        <v>8401</v>
      </c>
      <c r="D4827" t="s">
        <v>18993</v>
      </c>
      <c r="E4827" t="s">
        <v>23377</v>
      </c>
      <c r="F4827" t="s">
        <v>32606</v>
      </c>
      <c r="G4827" t="s">
        <v>32614</v>
      </c>
      <c r="H4827" t="s">
        <v>14201</v>
      </c>
      <c r="I4827" t="s">
        <v>32673</v>
      </c>
      <c r="J4827" t="s">
        <v>35958</v>
      </c>
      <c r="K4827" t="s">
        <v>42623</v>
      </c>
      <c r="M4827" t="s">
        <v>44753</v>
      </c>
      <c r="N4827" t="s">
        <v>47304</v>
      </c>
      <c r="O4827" t="s">
        <v>47305</v>
      </c>
      <c r="P4827">
        <v>0</v>
      </c>
      <c r="Q4827">
        <v>1</v>
      </c>
      <c r="R4827" t="s">
        <v>47306</v>
      </c>
      <c r="S4827" t="s">
        <v>47414</v>
      </c>
      <c r="T4827" t="s">
        <v>49004</v>
      </c>
      <c r="U4827" t="s">
        <v>53649</v>
      </c>
      <c r="V4827" t="s">
        <v>63088</v>
      </c>
      <c r="W4827" t="s">
        <v>44753</v>
      </c>
      <c r="X4827" t="s">
        <v>47308</v>
      </c>
    </row>
    <row r="4828" spans="1:24">
      <c r="A4828">
        <f>HYPERLINK("https://www.philgeps.gov.ph/GEPSNONPILOT/Tender/SplashBidNoticeAbstractUI.aspx?menuIndex=3&amp;refID=7197486&amp;Result=3","7197486")</f>
        <v>0</v>
      </c>
      <c r="B4828" t="s">
        <v>686</v>
      </c>
      <c r="C4828" t="s">
        <v>8402</v>
      </c>
      <c r="D4828" t="s">
        <v>18993</v>
      </c>
      <c r="E4828" t="s">
        <v>23378</v>
      </c>
      <c r="F4828" t="s">
        <v>32606</v>
      </c>
      <c r="G4828" t="s">
        <v>32614</v>
      </c>
      <c r="H4828" t="s">
        <v>14201</v>
      </c>
      <c r="I4828" t="s">
        <v>32694</v>
      </c>
      <c r="J4828" t="s">
        <v>33302</v>
      </c>
      <c r="K4828" t="s">
        <v>42624</v>
      </c>
      <c r="M4828" t="s">
        <v>43607</v>
      </c>
      <c r="N4828" t="s">
        <v>47304</v>
      </c>
      <c r="O4828" t="s">
        <v>47305</v>
      </c>
      <c r="Q4828">
        <v>5</v>
      </c>
      <c r="R4828" t="s">
        <v>47306</v>
      </c>
      <c r="S4828" t="s">
        <v>47427</v>
      </c>
      <c r="T4828" t="s">
        <v>49014</v>
      </c>
      <c r="U4828" t="s">
        <v>50752</v>
      </c>
      <c r="W4828" t="s">
        <v>43607</v>
      </c>
      <c r="X4828" t="s">
        <v>47308</v>
      </c>
    </row>
    <row r="4829" spans="1:24">
      <c r="A4829">
        <f>HYPERLINK("https://www.philgeps.gov.ph/GEPSNONPILOT/Tender/SplashBidNoticeAbstractUI.aspx?menuIndex=3&amp;refID=7197485&amp;Result=3","7197485")</f>
        <v>0</v>
      </c>
      <c r="B4829" t="s">
        <v>1750</v>
      </c>
      <c r="C4829" t="s">
        <v>8403</v>
      </c>
      <c r="D4829" t="s">
        <v>19038</v>
      </c>
      <c r="E4829" t="s">
        <v>23379</v>
      </c>
      <c r="F4829" t="s">
        <v>32606</v>
      </c>
      <c r="G4829" t="s">
        <v>32614</v>
      </c>
      <c r="H4829" t="s">
        <v>14201</v>
      </c>
      <c r="I4829" t="s">
        <v>32650</v>
      </c>
      <c r="J4829" t="s">
        <v>33167</v>
      </c>
      <c r="K4829" t="s">
        <v>42624</v>
      </c>
      <c r="M4829" t="s">
        <v>44786</v>
      </c>
      <c r="N4829" t="s">
        <v>47304</v>
      </c>
      <c r="O4829" t="s">
        <v>47305</v>
      </c>
      <c r="P4829">
        <v>0</v>
      </c>
      <c r="Q4829">
        <v>0</v>
      </c>
      <c r="R4829" t="s">
        <v>47306</v>
      </c>
      <c r="S4829" t="s">
        <v>47414</v>
      </c>
      <c r="T4829" t="s">
        <v>49004</v>
      </c>
      <c r="U4829" t="s">
        <v>53650</v>
      </c>
      <c r="W4829" t="s">
        <v>44786</v>
      </c>
      <c r="X4829" t="s">
        <v>47308</v>
      </c>
    </row>
    <row r="4830" spans="1:24">
      <c r="A4830">
        <f>HYPERLINK("https://www.philgeps.gov.ph/GEPSNONPILOT/Tender/SplashBidNoticeAbstractUI.aspx?menuIndex=3&amp;refID=7197484&amp;Result=3","7197484")</f>
        <v>0</v>
      </c>
      <c r="B4830" t="s">
        <v>1579</v>
      </c>
      <c r="C4830" t="s">
        <v>8404</v>
      </c>
      <c r="D4830" t="s">
        <v>19000</v>
      </c>
      <c r="E4830" t="s">
        <v>23380</v>
      </c>
      <c r="F4830" t="s">
        <v>32606</v>
      </c>
      <c r="G4830" t="s">
        <v>32613</v>
      </c>
      <c r="H4830" t="s">
        <v>32623</v>
      </c>
      <c r="I4830" t="s">
        <v>17648</v>
      </c>
      <c r="J4830" t="s">
        <v>35959</v>
      </c>
      <c r="K4830" t="s">
        <v>42648</v>
      </c>
      <c r="M4830" t="s">
        <v>44591</v>
      </c>
      <c r="N4830" t="s">
        <v>47304</v>
      </c>
      <c r="O4830" t="s">
        <v>47305</v>
      </c>
      <c r="P4830">
        <v>0</v>
      </c>
      <c r="Q4830">
        <v>0</v>
      </c>
      <c r="R4830" t="s">
        <v>47306</v>
      </c>
      <c r="S4830" t="s">
        <v>47414</v>
      </c>
      <c r="T4830" t="s">
        <v>49009</v>
      </c>
      <c r="U4830" t="s">
        <v>53651</v>
      </c>
      <c r="W4830" t="s">
        <v>44591</v>
      </c>
      <c r="X4830" t="s">
        <v>47308</v>
      </c>
    </row>
    <row r="4831" spans="1:24">
      <c r="A4831">
        <f>HYPERLINK("https://www.philgeps.gov.ph/GEPSNONPILOT/Tender/SplashBidNoticeAbstractUI.aspx?menuIndex=3&amp;refID=7197482&amp;Result=3","7197482")</f>
        <v>0</v>
      </c>
      <c r="B4831" t="s">
        <v>1746</v>
      </c>
      <c r="C4831" t="s">
        <v>8405</v>
      </c>
      <c r="D4831" t="s">
        <v>19024</v>
      </c>
      <c r="E4831" t="s">
        <v>23381</v>
      </c>
      <c r="F4831" t="s">
        <v>32606</v>
      </c>
      <c r="G4831" t="s">
        <v>32614</v>
      </c>
      <c r="H4831" t="s">
        <v>14201</v>
      </c>
      <c r="I4831" t="s">
        <v>4120</v>
      </c>
      <c r="J4831" t="s">
        <v>35960</v>
      </c>
      <c r="K4831" t="s">
        <v>42632</v>
      </c>
      <c r="M4831" t="s">
        <v>44781</v>
      </c>
      <c r="N4831" t="s">
        <v>47304</v>
      </c>
      <c r="O4831" t="s">
        <v>47305</v>
      </c>
      <c r="P4831">
        <v>0</v>
      </c>
      <c r="Q4831">
        <v>1</v>
      </c>
      <c r="R4831" t="s">
        <v>47306</v>
      </c>
      <c r="S4831" t="s">
        <v>47414</v>
      </c>
      <c r="T4831" t="s">
        <v>48980</v>
      </c>
      <c r="U4831" t="s">
        <v>53602</v>
      </c>
      <c r="W4831" t="s">
        <v>44781</v>
      </c>
      <c r="X4831" t="s">
        <v>47308</v>
      </c>
    </row>
    <row r="4832" spans="1:24">
      <c r="A4832">
        <f>HYPERLINK("https://www.philgeps.gov.ph/GEPSNONPILOT/Tender/SplashBidNoticeAbstractUI.aspx?menuIndex=3&amp;refID=7197493&amp;Result=3","7197493")</f>
        <v>0</v>
      </c>
      <c r="B4832" t="s">
        <v>1338</v>
      </c>
      <c r="C4832" t="s">
        <v>8406</v>
      </c>
      <c r="D4832" t="s">
        <v>19006</v>
      </c>
      <c r="E4832" t="s">
        <v>23382</v>
      </c>
      <c r="F4832" t="s">
        <v>32606</v>
      </c>
      <c r="G4832" t="s">
        <v>32613</v>
      </c>
      <c r="H4832" t="s">
        <v>14201</v>
      </c>
      <c r="I4832" t="s">
        <v>32640</v>
      </c>
      <c r="J4832" t="s">
        <v>32765</v>
      </c>
      <c r="K4832" t="s">
        <v>42631</v>
      </c>
      <c r="M4832" t="s">
        <v>44312</v>
      </c>
      <c r="N4832" t="s">
        <v>47304</v>
      </c>
      <c r="O4832" t="s">
        <v>47305</v>
      </c>
      <c r="P4832">
        <v>0</v>
      </c>
      <c r="Q4832">
        <v>2</v>
      </c>
      <c r="R4832" t="s">
        <v>47306</v>
      </c>
      <c r="S4832" t="s">
        <v>47414</v>
      </c>
      <c r="T4832" t="s">
        <v>48995</v>
      </c>
      <c r="U4832" t="s">
        <v>53652</v>
      </c>
      <c r="W4832" t="s">
        <v>44312</v>
      </c>
      <c r="X4832" t="s">
        <v>47308</v>
      </c>
    </row>
    <row r="4833" spans="1:24">
      <c r="A4833">
        <f>HYPERLINK("https://www.philgeps.gov.ph/GEPSNONPILOT/Tender/SplashBidNoticeAbstractUI.aspx?menuIndex=3&amp;refID=7197522&amp;Result=3","7197522")</f>
        <v>0</v>
      </c>
      <c r="B4833" t="s">
        <v>656</v>
      </c>
      <c r="C4833" t="s">
        <v>8407</v>
      </c>
      <c r="D4833" t="s">
        <v>18993</v>
      </c>
      <c r="E4833" t="s">
        <v>23383</v>
      </c>
      <c r="F4833" t="s">
        <v>32606</v>
      </c>
      <c r="G4833" t="s">
        <v>32614</v>
      </c>
      <c r="H4833" t="s">
        <v>14201</v>
      </c>
      <c r="I4833" t="s">
        <v>32633</v>
      </c>
      <c r="J4833" t="s">
        <v>32981</v>
      </c>
      <c r="K4833" t="s">
        <v>42630</v>
      </c>
      <c r="M4833" t="s">
        <v>43576</v>
      </c>
      <c r="N4833" t="s">
        <v>47304</v>
      </c>
      <c r="O4833" t="s">
        <v>47305</v>
      </c>
      <c r="P4833">
        <v>0</v>
      </c>
      <c r="Q4833">
        <v>4</v>
      </c>
      <c r="R4833" t="s">
        <v>47306</v>
      </c>
      <c r="S4833" t="s">
        <v>47414</v>
      </c>
      <c r="T4833" t="s">
        <v>49158</v>
      </c>
      <c r="U4833" t="s">
        <v>53653</v>
      </c>
      <c r="W4833" t="s">
        <v>43576</v>
      </c>
      <c r="X4833" t="s">
        <v>47308</v>
      </c>
    </row>
    <row r="4834" spans="1:24">
      <c r="A4834">
        <f>HYPERLINK("https://www.philgeps.gov.ph/GEPSNONPILOT/Tender/SplashBidNoticeAbstractUI.aspx?menuIndex=3&amp;refID=7197520&amp;Result=3","7197520")</f>
        <v>0</v>
      </c>
      <c r="B4834" t="s">
        <v>1250</v>
      </c>
      <c r="C4834" t="s">
        <v>8408</v>
      </c>
      <c r="D4834" t="s">
        <v>19044</v>
      </c>
      <c r="E4834" t="s">
        <v>23384</v>
      </c>
      <c r="F4834" t="s">
        <v>32606</v>
      </c>
      <c r="G4834" t="s">
        <v>32615</v>
      </c>
      <c r="H4834" t="s">
        <v>14201</v>
      </c>
      <c r="I4834" t="s">
        <v>6298</v>
      </c>
      <c r="J4834" t="s">
        <v>35961</v>
      </c>
      <c r="K4834" t="s">
        <v>42630</v>
      </c>
      <c r="M4834" t="s">
        <v>44216</v>
      </c>
      <c r="N4834" t="s">
        <v>47304</v>
      </c>
      <c r="O4834" t="s">
        <v>47305</v>
      </c>
      <c r="P4834">
        <v>0</v>
      </c>
      <c r="Q4834">
        <v>0</v>
      </c>
      <c r="R4834" t="s">
        <v>47306</v>
      </c>
      <c r="S4834" t="s">
        <v>47414</v>
      </c>
      <c r="T4834" t="s">
        <v>48980</v>
      </c>
      <c r="U4834" t="s">
        <v>52142</v>
      </c>
      <c r="W4834" t="s">
        <v>44216</v>
      </c>
      <c r="X4834" t="s">
        <v>47308</v>
      </c>
    </row>
    <row r="4835" spans="1:24">
      <c r="A4835">
        <f>HYPERLINK("https://www.philgeps.gov.ph/GEPSNONPILOT/Tender/SplashBidNoticeAbstractUI.aspx?menuIndex=3&amp;refID=7197519&amp;Result=3","7197519")</f>
        <v>0</v>
      </c>
      <c r="B4835" t="s">
        <v>1748</v>
      </c>
      <c r="C4835" t="s">
        <v>8409</v>
      </c>
      <c r="D4835" t="s">
        <v>18993</v>
      </c>
      <c r="E4835" t="s">
        <v>23385</v>
      </c>
      <c r="F4835" t="s">
        <v>32606</v>
      </c>
      <c r="G4835" t="s">
        <v>32614</v>
      </c>
      <c r="H4835" t="s">
        <v>14201</v>
      </c>
      <c r="I4835" t="s">
        <v>32638</v>
      </c>
      <c r="J4835" t="s">
        <v>32949</v>
      </c>
      <c r="K4835" t="s">
        <v>42624</v>
      </c>
      <c r="M4835" t="s">
        <v>44783</v>
      </c>
      <c r="N4835" t="s">
        <v>47304</v>
      </c>
      <c r="O4835" t="s">
        <v>47305</v>
      </c>
      <c r="P4835">
        <v>0</v>
      </c>
      <c r="Q4835">
        <v>12</v>
      </c>
      <c r="R4835" t="s">
        <v>47306</v>
      </c>
      <c r="S4835" t="s">
        <v>47414</v>
      </c>
      <c r="T4835" t="s">
        <v>48980</v>
      </c>
      <c r="U4835" t="s">
        <v>53605</v>
      </c>
      <c r="W4835" t="s">
        <v>44783</v>
      </c>
      <c r="X4835" t="s">
        <v>47308</v>
      </c>
    </row>
    <row r="4836" spans="1:24">
      <c r="A4836">
        <f>HYPERLINK("https://www.philgeps.gov.ph/GEPSNONPILOT/Tender/SplashBidNoticeAbstractUI.aspx?menuIndex=3&amp;refID=7197483&amp;Result=3","7197483")</f>
        <v>0</v>
      </c>
      <c r="B4836" t="s">
        <v>342</v>
      </c>
      <c r="C4836" t="s">
        <v>8410</v>
      </c>
      <c r="D4836" t="s">
        <v>19039</v>
      </c>
      <c r="E4836" t="s">
        <v>23386</v>
      </c>
      <c r="F4836" t="s">
        <v>32606</v>
      </c>
      <c r="G4836" t="s">
        <v>32613</v>
      </c>
      <c r="H4836" t="s">
        <v>14201</v>
      </c>
      <c r="I4836" t="s">
        <v>7529</v>
      </c>
      <c r="J4836" t="s">
        <v>35962</v>
      </c>
      <c r="K4836" t="s">
        <v>42624</v>
      </c>
      <c r="M4836" t="s">
        <v>43244</v>
      </c>
      <c r="N4836" t="s">
        <v>47304</v>
      </c>
      <c r="O4836" t="s">
        <v>47305</v>
      </c>
      <c r="P4836">
        <v>0</v>
      </c>
      <c r="Q4836">
        <v>1</v>
      </c>
      <c r="R4836" t="s">
        <v>47306</v>
      </c>
      <c r="S4836" t="s">
        <v>47414</v>
      </c>
      <c r="T4836" t="s">
        <v>49002</v>
      </c>
      <c r="U4836" t="s">
        <v>53654</v>
      </c>
      <c r="W4836" t="s">
        <v>43244</v>
      </c>
      <c r="X4836" t="s">
        <v>47308</v>
      </c>
    </row>
    <row r="4837" spans="1:24">
      <c r="A4837">
        <f>HYPERLINK("https://www.philgeps.gov.ph/GEPSNONPILOT/Tender/SplashBidNoticeAbstractUI.aspx?menuIndex=3&amp;refID=7197517&amp;Result=3","7197517")</f>
        <v>0</v>
      </c>
      <c r="B4837" t="s">
        <v>1579</v>
      </c>
      <c r="C4837" t="s">
        <v>8411</v>
      </c>
      <c r="D4837" t="s">
        <v>19000</v>
      </c>
      <c r="E4837" t="s">
        <v>23387</v>
      </c>
      <c r="F4837" t="s">
        <v>32606</v>
      </c>
      <c r="G4837" t="s">
        <v>32613</v>
      </c>
      <c r="H4837" t="s">
        <v>32623</v>
      </c>
      <c r="I4837" t="s">
        <v>17648</v>
      </c>
      <c r="J4837" t="s">
        <v>35963</v>
      </c>
      <c r="K4837" t="s">
        <v>42645</v>
      </c>
      <c r="M4837" t="s">
        <v>44591</v>
      </c>
      <c r="N4837" t="s">
        <v>47304</v>
      </c>
      <c r="O4837" t="s">
        <v>47305</v>
      </c>
      <c r="P4837">
        <v>0</v>
      </c>
      <c r="Q4837">
        <v>0</v>
      </c>
      <c r="R4837" t="s">
        <v>47306</v>
      </c>
      <c r="S4837" t="s">
        <v>47414</v>
      </c>
      <c r="T4837" t="s">
        <v>49056</v>
      </c>
      <c r="U4837" t="s">
        <v>53655</v>
      </c>
      <c r="W4837" t="s">
        <v>44591</v>
      </c>
      <c r="X4837" t="s">
        <v>47308</v>
      </c>
    </row>
    <row r="4838" spans="1:24">
      <c r="A4838">
        <f>HYPERLINK("https://www.philgeps.gov.ph/GEPSNONPILOT/Tender/SplashBidNoticeAbstractUI.aspx?menuIndex=3&amp;refID=7197491&amp;Result=3","7197491")</f>
        <v>0</v>
      </c>
      <c r="B4838" t="s">
        <v>1757</v>
      </c>
      <c r="C4838" t="s">
        <v>8412</v>
      </c>
      <c r="D4838" t="s">
        <v>18987</v>
      </c>
      <c r="E4838" t="s">
        <v>23388</v>
      </c>
      <c r="F4838" t="s">
        <v>32606</v>
      </c>
      <c r="G4838" t="s">
        <v>32613</v>
      </c>
      <c r="H4838" t="s">
        <v>14201</v>
      </c>
      <c r="I4838" t="s">
        <v>6931</v>
      </c>
      <c r="J4838" t="s">
        <v>35964</v>
      </c>
      <c r="K4838" t="s">
        <v>42631</v>
      </c>
      <c r="M4838" t="s">
        <v>44794</v>
      </c>
      <c r="N4838" t="s">
        <v>47304</v>
      </c>
      <c r="O4838" t="s">
        <v>47305</v>
      </c>
      <c r="P4838">
        <v>0</v>
      </c>
      <c r="Q4838">
        <v>0</v>
      </c>
      <c r="R4838" t="s">
        <v>47306</v>
      </c>
      <c r="S4838" t="s">
        <v>47414</v>
      </c>
      <c r="T4838" t="s">
        <v>49160</v>
      </c>
      <c r="U4838" t="s">
        <v>53656</v>
      </c>
      <c r="W4838" t="s">
        <v>44794</v>
      </c>
      <c r="X4838" t="s">
        <v>47308</v>
      </c>
    </row>
    <row r="4839" spans="1:24">
      <c r="A4839">
        <f>HYPERLINK("https://www.philgeps.gov.ph/GEPSNONPILOT/Tender/SplashBidNoticeAbstractUI.aspx?menuIndex=3&amp;refID=7197516&amp;Result=3","7197516")</f>
        <v>0</v>
      </c>
      <c r="B4839" t="s">
        <v>1746</v>
      </c>
      <c r="C4839" t="s">
        <v>8413</v>
      </c>
      <c r="D4839" t="s">
        <v>19024</v>
      </c>
      <c r="E4839" t="s">
        <v>23389</v>
      </c>
      <c r="F4839" t="s">
        <v>32606</v>
      </c>
      <c r="G4839" t="s">
        <v>32614</v>
      </c>
      <c r="H4839" t="s">
        <v>14201</v>
      </c>
      <c r="I4839" t="s">
        <v>4120</v>
      </c>
      <c r="J4839" t="s">
        <v>35965</v>
      </c>
      <c r="K4839" t="s">
        <v>42632</v>
      </c>
      <c r="M4839" t="s">
        <v>44781</v>
      </c>
      <c r="N4839" t="s">
        <v>47304</v>
      </c>
      <c r="O4839" t="s">
        <v>47305</v>
      </c>
      <c r="P4839">
        <v>0</v>
      </c>
      <c r="Q4839">
        <v>1</v>
      </c>
      <c r="R4839" t="s">
        <v>47306</v>
      </c>
      <c r="S4839" t="s">
        <v>47414</v>
      </c>
      <c r="T4839" t="s">
        <v>48980</v>
      </c>
      <c r="U4839" t="s">
        <v>53602</v>
      </c>
      <c r="W4839" t="s">
        <v>44781</v>
      </c>
      <c r="X4839" t="s">
        <v>47308</v>
      </c>
    </row>
    <row r="4840" spans="1:24">
      <c r="A4840">
        <f>HYPERLINK("https://www.philgeps.gov.ph/GEPSNONPILOT/Tender/SplashBidNoticeAbstractUI.aspx?menuIndex=3&amp;refID=7197521&amp;Result=3","7197521")</f>
        <v>0</v>
      </c>
      <c r="B4840" t="s">
        <v>686</v>
      </c>
      <c r="C4840" t="s">
        <v>8414</v>
      </c>
      <c r="D4840" t="s">
        <v>18993</v>
      </c>
      <c r="E4840" t="s">
        <v>23390</v>
      </c>
      <c r="F4840" t="s">
        <v>32606</v>
      </c>
      <c r="G4840" t="s">
        <v>32614</v>
      </c>
      <c r="H4840" t="s">
        <v>14201</v>
      </c>
      <c r="I4840" t="s">
        <v>32694</v>
      </c>
      <c r="J4840" t="s">
        <v>35966</v>
      </c>
      <c r="K4840" t="s">
        <v>42624</v>
      </c>
      <c r="M4840" t="s">
        <v>43607</v>
      </c>
      <c r="N4840" t="s">
        <v>47304</v>
      </c>
      <c r="O4840" t="s">
        <v>47305</v>
      </c>
      <c r="P4840">
        <v>0</v>
      </c>
      <c r="Q4840">
        <v>3</v>
      </c>
      <c r="R4840" t="s">
        <v>47306</v>
      </c>
      <c r="S4840" t="s">
        <v>47414</v>
      </c>
      <c r="T4840" t="s">
        <v>49014</v>
      </c>
      <c r="U4840" t="s">
        <v>50752</v>
      </c>
      <c r="W4840" t="s">
        <v>43607</v>
      </c>
      <c r="X4840" t="s">
        <v>47308</v>
      </c>
    </row>
    <row r="4841" spans="1:24">
      <c r="A4841">
        <f>HYPERLINK("https://www.philgeps.gov.ph/GEPSNONPILOT/Tender/SplashBidNoticeAbstractUI.aspx?menuIndex=3&amp;refID=7197487&amp;Result=3","7197487")</f>
        <v>0</v>
      </c>
      <c r="B4841" t="s">
        <v>1748</v>
      </c>
      <c r="C4841" t="s">
        <v>8376</v>
      </c>
      <c r="D4841" t="s">
        <v>18993</v>
      </c>
      <c r="E4841" t="s">
        <v>23391</v>
      </c>
      <c r="F4841" t="s">
        <v>32606</v>
      </c>
      <c r="G4841" t="s">
        <v>32614</v>
      </c>
      <c r="H4841" t="s">
        <v>14201</v>
      </c>
      <c r="I4841" t="s">
        <v>32638</v>
      </c>
      <c r="J4841" t="s">
        <v>35967</v>
      </c>
      <c r="K4841" t="s">
        <v>42624</v>
      </c>
      <c r="M4841" t="s">
        <v>44783</v>
      </c>
      <c r="N4841" t="s">
        <v>47304</v>
      </c>
      <c r="O4841" t="s">
        <v>47305</v>
      </c>
      <c r="P4841">
        <v>0</v>
      </c>
      <c r="Q4841">
        <v>15</v>
      </c>
      <c r="R4841" t="s">
        <v>47306</v>
      </c>
      <c r="S4841" t="s">
        <v>47414</v>
      </c>
      <c r="T4841" t="s">
        <v>48980</v>
      </c>
      <c r="U4841" t="s">
        <v>53605</v>
      </c>
      <c r="W4841" t="s">
        <v>44783</v>
      </c>
      <c r="X4841" t="s">
        <v>47308</v>
      </c>
    </row>
    <row r="4842" spans="1:24">
      <c r="A4842">
        <f>HYPERLINK("https://www.philgeps.gov.ph/GEPSNONPILOT/Tender/SplashBidNoticeAbstractUI.aspx?menuIndex=3&amp;refID=7197511&amp;Result=3","7197511")</f>
        <v>0</v>
      </c>
      <c r="B4842" t="s">
        <v>1721</v>
      </c>
      <c r="C4842" t="s">
        <v>8415</v>
      </c>
      <c r="D4842" t="s">
        <v>18993</v>
      </c>
      <c r="E4842" t="s">
        <v>23392</v>
      </c>
      <c r="F4842" t="s">
        <v>32606</v>
      </c>
      <c r="G4842" t="s">
        <v>32614</v>
      </c>
      <c r="H4842" t="s">
        <v>14201</v>
      </c>
      <c r="I4842" t="s">
        <v>6298</v>
      </c>
      <c r="J4842" t="s">
        <v>35968</v>
      </c>
      <c r="K4842" t="s">
        <v>42623</v>
      </c>
      <c r="M4842" t="s">
        <v>44753</v>
      </c>
      <c r="N4842" t="s">
        <v>47304</v>
      </c>
      <c r="O4842" t="s">
        <v>47305</v>
      </c>
      <c r="P4842">
        <v>0</v>
      </c>
      <c r="Q4842">
        <v>0</v>
      </c>
      <c r="R4842" t="s">
        <v>47306</v>
      </c>
      <c r="S4842" t="s">
        <v>47414</v>
      </c>
      <c r="T4842" t="s">
        <v>49004</v>
      </c>
      <c r="U4842" t="s">
        <v>53657</v>
      </c>
      <c r="V4842" t="s">
        <v>63091</v>
      </c>
      <c r="W4842" t="s">
        <v>44753</v>
      </c>
      <c r="X4842" t="s">
        <v>47308</v>
      </c>
    </row>
    <row r="4843" spans="1:24">
      <c r="A4843">
        <f>HYPERLINK("https://www.philgeps.gov.ph/GEPSNONPILOT/Tender/SplashBidNoticeAbstractUI.aspx?menuIndex=3&amp;refID=7197510&amp;Result=3","7197510")</f>
        <v>0</v>
      </c>
      <c r="B4843" t="s">
        <v>1746</v>
      </c>
      <c r="C4843" t="s">
        <v>8416</v>
      </c>
      <c r="D4843" t="s">
        <v>19024</v>
      </c>
      <c r="E4843" t="s">
        <v>23393</v>
      </c>
      <c r="F4843" t="s">
        <v>32606</v>
      </c>
      <c r="G4843" t="s">
        <v>32614</v>
      </c>
      <c r="H4843" t="s">
        <v>14201</v>
      </c>
      <c r="I4843" t="s">
        <v>4120</v>
      </c>
      <c r="J4843" t="s">
        <v>35969</v>
      </c>
      <c r="K4843" t="s">
        <v>42632</v>
      </c>
      <c r="M4843" t="s">
        <v>44781</v>
      </c>
      <c r="N4843" t="s">
        <v>47304</v>
      </c>
      <c r="O4843" t="s">
        <v>47305</v>
      </c>
      <c r="P4843">
        <v>0</v>
      </c>
      <c r="Q4843">
        <v>2</v>
      </c>
      <c r="R4843" t="s">
        <v>47306</v>
      </c>
      <c r="S4843" t="s">
        <v>47414</v>
      </c>
      <c r="T4843" t="s">
        <v>48980</v>
      </c>
      <c r="U4843" t="s">
        <v>53602</v>
      </c>
      <c r="W4843" t="s">
        <v>44781</v>
      </c>
      <c r="X4843" t="s">
        <v>47308</v>
      </c>
    </row>
    <row r="4844" spans="1:24">
      <c r="A4844">
        <f>HYPERLINK("https://www.philgeps.gov.ph/GEPSNONPILOT/Tender/SplashBidNoticeAbstractUI.aspx?menuIndex=3&amp;refID=7197518&amp;Result=3","7197518")</f>
        <v>0</v>
      </c>
      <c r="B4844" t="s">
        <v>143</v>
      </c>
      <c r="C4844" t="s">
        <v>8417</v>
      </c>
      <c r="D4844" t="s">
        <v>19032</v>
      </c>
      <c r="E4844" t="s">
        <v>23394</v>
      </c>
      <c r="F4844" t="s">
        <v>32606</v>
      </c>
      <c r="G4844" t="s">
        <v>32615</v>
      </c>
      <c r="H4844" t="s">
        <v>32623</v>
      </c>
      <c r="I4844" t="s">
        <v>17648</v>
      </c>
      <c r="J4844" t="s">
        <v>35970</v>
      </c>
      <c r="K4844" t="s">
        <v>42636</v>
      </c>
      <c r="M4844" t="s">
        <v>43044</v>
      </c>
      <c r="N4844" t="s">
        <v>47304</v>
      </c>
      <c r="O4844" t="s">
        <v>47305</v>
      </c>
      <c r="P4844">
        <v>0</v>
      </c>
      <c r="Q4844">
        <v>0</v>
      </c>
      <c r="R4844" t="s">
        <v>47306</v>
      </c>
      <c r="S4844" t="s">
        <v>47414</v>
      </c>
      <c r="T4844" t="s">
        <v>48987</v>
      </c>
      <c r="U4844" t="s">
        <v>53658</v>
      </c>
      <c r="W4844" t="s">
        <v>43044</v>
      </c>
      <c r="X4844" t="s">
        <v>47308</v>
      </c>
    </row>
    <row r="4845" spans="1:24">
      <c r="A4845">
        <f>HYPERLINK("https://www.philgeps.gov.ph/GEPSNONPILOT/Tender/SplashBidNoticeAbstractUI.aspx?menuIndex=3&amp;refID=7197508&amp;Result=3","7197508")</f>
        <v>0</v>
      </c>
      <c r="B4845" t="s">
        <v>1758</v>
      </c>
      <c r="C4845" t="s">
        <v>8418</v>
      </c>
      <c r="D4845" t="s">
        <v>18993</v>
      </c>
      <c r="E4845" t="s">
        <v>23395</v>
      </c>
      <c r="F4845" t="s">
        <v>32606</v>
      </c>
      <c r="G4845" t="s">
        <v>32614</v>
      </c>
      <c r="H4845" t="s">
        <v>32623</v>
      </c>
      <c r="I4845" t="s">
        <v>32659</v>
      </c>
      <c r="J4845" t="s">
        <v>35971</v>
      </c>
      <c r="K4845" t="s">
        <v>42631</v>
      </c>
      <c r="M4845" t="s">
        <v>44795</v>
      </c>
      <c r="N4845" t="s">
        <v>47304</v>
      </c>
      <c r="O4845" t="s">
        <v>47305</v>
      </c>
      <c r="P4845">
        <v>0</v>
      </c>
      <c r="Q4845">
        <v>4</v>
      </c>
      <c r="R4845" t="s">
        <v>47306</v>
      </c>
      <c r="S4845" t="s">
        <v>47414</v>
      </c>
      <c r="T4845" t="s">
        <v>48980</v>
      </c>
      <c r="U4845" t="s">
        <v>53659</v>
      </c>
      <c r="W4845" t="s">
        <v>44795</v>
      </c>
      <c r="X4845" t="s">
        <v>47308</v>
      </c>
    </row>
    <row r="4846" spans="1:24">
      <c r="A4846">
        <f>HYPERLINK("https://www.philgeps.gov.ph/GEPSNONPILOT/Tender/SplashBidNoticeAbstractUI.aspx?menuIndex=3&amp;refID=7197321&amp;Result=3","7197321")</f>
        <v>0</v>
      </c>
      <c r="B4846" t="s">
        <v>1671</v>
      </c>
      <c r="C4846" t="s">
        <v>8419</v>
      </c>
      <c r="D4846" t="s">
        <v>18993</v>
      </c>
      <c r="E4846" t="s">
        <v>8419</v>
      </c>
      <c r="F4846" t="s">
        <v>32606</v>
      </c>
      <c r="G4846" t="s">
        <v>32613</v>
      </c>
      <c r="H4846" t="s">
        <v>14201</v>
      </c>
      <c r="I4846" t="s">
        <v>32638</v>
      </c>
      <c r="J4846" t="s">
        <v>35972</v>
      </c>
      <c r="K4846" t="s">
        <v>42631</v>
      </c>
      <c r="M4846" t="s">
        <v>44698</v>
      </c>
      <c r="N4846" t="s">
        <v>47304</v>
      </c>
      <c r="O4846" t="s">
        <v>47305</v>
      </c>
      <c r="P4846">
        <v>0</v>
      </c>
      <c r="Q4846">
        <v>3</v>
      </c>
      <c r="R4846" t="s">
        <v>47306</v>
      </c>
      <c r="S4846" t="s">
        <v>47414</v>
      </c>
      <c r="T4846" t="s">
        <v>49298</v>
      </c>
      <c r="U4846" t="s">
        <v>53544</v>
      </c>
      <c r="W4846" t="s">
        <v>44698</v>
      </c>
      <c r="X4846" t="s">
        <v>47308</v>
      </c>
    </row>
    <row r="4847" spans="1:24">
      <c r="A4847">
        <f>HYPERLINK("https://www.philgeps.gov.ph/GEPSNONPILOT/Tender/SplashBidNoticeAbstractUI.aspx?menuIndex=3&amp;refID=7197514&amp;Result=3","7197514")</f>
        <v>0</v>
      </c>
      <c r="B4847" t="s">
        <v>76</v>
      </c>
      <c r="C4847" t="s">
        <v>8420</v>
      </c>
      <c r="D4847" t="s">
        <v>19010</v>
      </c>
      <c r="E4847" t="s">
        <v>23396</v>
      </c>
      <c r="F4847" t="s">
        <v>32606</v>
      </c>
      <c r="G4847" t="s">
        <v>32613</v>
      </c>
      <c r="H4847" t="s">
        <v>32623</v>
      </c>
      <c r="I4847" t="s">
        <v>17648</v>
      </c>
      <c r="J4847" t="s">
        <v>35973</v>
      </c>
      <c r="K4847" t="s">
        <v>42764</v>
      </c>
      <c r="M4847" t="s">
        <v>44791</v>
      </c>
      <c r="N4847" t="s">
        <v>47304</v>
      </c>
      <c r="O4847" t="s">
        <v>47305</v>
      </c>
      <c r="P4847">
        <v>0</v>
      </c>
      <c r="Q4847">
        <v>1</v>
      </c>
      <c r="R4847" t="s">
        <v>47306</v>
      </c>
      <c r="S4847" t="s">
        <v>47414</v>
      </c>
      <c r="T4847" t="s">
        <v>48987</v>
      </c>
      <c r="U4847" t="s">
        <v>53660</v>
      </c>
      <c r="W4847" t="s">
        <v>44791</v>
      </c>
      <c r="X4847" t="s">
        <v>47308</v>
      </c>
    </row>
    <row r="4848" spans="1:24">
      <c r="A4848">
        <f>HYPERLINK("https://www.philgeps.gov.ph/GEPSNONPILOT/Tender/SplashBidNoticeAbstractUI.aspx?menuIndex=3&amp;refID=7197542&amp;Result=3","7197542")</f>
        <v>0</v>
      </c>
      <c r="B4848" t="s">
        <v>1746</v>
      </c>
      <c r="C4848" t="s">
        <v>8421</v>
      </c>
      <c r="D4848" t="s">
        <v>19024</v>
      </c>
      <c r="E4848" t="s">
        <v>23397</v>
      </c>
      <c r="F4848" t="s">
        <v>32606</v>
      </c>
      <c r="G4848" t="s">
        <v>32614</v>
      </c>
      <c r="H4848" t="s">
        <v>14201</v>
      </c>
      <c r="I4848" t="s">
        <v>4120</v>
      </c>
      <c r="J4848" t="s">
        <v>35974</v>
      </c>
      <c r="K4848" t="s">
        <v>42632</v>
      </c>
      <c r="M4848" t="s">
        <v>44781</v>
      </c>
      <c r="N4848" t="s">
        <v>47304</v>
      </c>
      <c r="O4848" t="s">
        <v>47305</v>
      </c>
      <c r="P4848">
        <v>0</v>
      </c>
      <c r="Q4848">
        <v>0</v>
      </c>
      <c r="R4848" t="s">
        <v>47306</v>
      </c>
      <c r="S4848" t="s">
        <v>47414</v>
      </c>
      <c r="T4848" t="s">
        <v>48980</v>
      </c>
      <c r="U4848" t="s">
        <v>53602</v>
      </c>
      <c r="W4848" t="s">
        <v>44781</v>
      </c>
      <c r="X4848" t="s">
        <v>47308</v>
      </c>
    </row>
    <row r="4849" spans="1:24">
      <c r="A4849">
        <f>HYPERLINK("https://www.philgeps.gov.ph/GEPSNONPILOT/Tender/SplashBidNoticeAbstractUI.aspx?menuIndex=3&amp;refID=7197513&amp;Result=3","7197513")</f>
        <v>0</v>
      </c>
      <c r="B4849" t="s">
        <v>1250</v>
      </c>
      <c r="C4849" t="s">
        <v>8422</v>
      </c>
      <c r="D4849" t="s">
        <v>19044</v>
      </c>
      <c r="E4849" t="s">
        <v>23398</v>
      </c>
      <c r="F4849" t="s">
        <v>32606</v>
      </c>
      <c r="G4849" t="s">
        <v>32615</v>
      </c>
      <c r="H4849" t="s">
        <v>14201</v>
      </c>
      <c r="I4849" t="s">
        <v>32650</v>
      </c>
      <c r="J4849" t="s">
        <v>35975</v>
      </c>
      <c r="K4849" t="s">
        <v>42630</v>
      </c>
      <c r="M4849" t="s">
        <v>44216</v>
      </c>
      <c r="N4849" t="s">
        <v>47304</v>
      </c>
      <c r="O4849" t="s">
        <v>47305</v>
      </c>
      <c r="P4849">
        <v>0</v>
      </c>
      <c r="Q4849">
        <v>1</v>
      </c>
      <c r="R4849" t="s">
        <v>47306</v>
      </c>
      <c r="S4849" t="s">
        <v>47414</v>
      </c>
      <c r="T4849" t="s">
        <v>48980</v>
      </c>
      <c r="U4849" t="s">
        <v>52142</v>
      </c>
      <c r="W4849" t="s">
        <v>44216</v>
      </c>
      <c r="X4849" t="s">
        <v>47308</v>
      </c>
    </row>
    <row r="4850" spans="1:24">
      <c r="A4850">
        <f>HYPERLINK("https://www.philgeps.gov.ph/GEPSNONPILOT/Tender/SplashBidNoticeAbstractUI.aspx?menuIndex=3&amp;refID=7197541&amp;Result=3","7197541")</f>
        <v>0</v>
      </c>
      <c r="B4850" t="s">
        <v>1759</v>
      </c>
      <c r="C4850" t="s">
        <v>8423</v>
      </c>
      <c r="D4850" t="s">
        <v>19035</v>
      </c>
      <c r="E4850" t="s">
        <v>23399</v>
      </c>
      <c r="F4850" t="s">
        <v>32606</v>
      </c>
      <c r="G4850" t="s">
        <v>32614</v>
      </c>
      <c r="H4850" t="s">
        <v>14201</v>
      </c>
      <c r="I4850" t="s">
        <v>6931</v>
      </c>
      <c r="J4850" t="s">
        <v>35976</v>
      </c>
      <c r="K4850" t="s">
        <v>42622</v>
      </c>
      <c r="M4850" t="s">
        <v>44796</v>
      </c>
      <c r="N4850" t="s">
        <v>47304</v>
      </c>
      <c r="O4850" t="s">
        <v>47305</v>
      </c>
      <c r="P4850">
        <v>0</v>
      </c>
      <c r="Q4850">
        <v>1</v>
      </c>
      <c r="R4850" t="s">
        <v>47306</v>
      </c>
      <c r="S4850" t="s">
        <v>47414</v>
      </c>
      <c r="T4850" t="s">
        <v>49014</v>
      </c>
      <c r="U4850" t="s">
        <v>53661</v>
      </c>
      <c r="W4850" t="s">
        <v>44796</v>
      </c>
      <c r="X4850" t="s">
        <v>47308</v>
      </c>
    </row>
    <row r="4851" spans="1:24">
      <c r="A4851">
        <f>HYPERLINK("https://www.philgeps.gov.ph/GEPSNONPILOT/Tender/SplashBidNoticeAbstractUI.aspx?menuIndex=3&amp;refID=7197538&amp;Result=3","7197538")</f>
        <v>0</v>
      </c>
      <c r="B4851" t="s">
        <v>1721</v>
      </c>
      <c r="C4851" t="s">
        <v>8415</v>
      </c>
      <c r="D4851" t="s">
        <v>18993</v>
      </c>
      <c r="E4851" t="s">
        <v>23400</v>
      </c>
      <c r="F4851" t="s">
        <v>32606</v>
      </c>
      <c r="G4851" t="s">
        <v>32614</v>
      </c>
      <c r="H4851" t="s">
        <v>14201</v>
      </c>
      <c r="I4851" t="s">
        <v>6298</v>
      </c>
      <c r="J4851" t="s">
        <v>32776</v>
      </c>
      <c r="K4851" t="s">
        <v>42623</v>
      </c>
      <c r="M4851" t="s">
        <v>44753</v>
      </c>
      <c r="N4851" t="s">
        <v>47304</v>
      </c>
      <c r="O4851" t="s">
        <v>47305</v>
      </c>
      <c r="P4851">
        <v>0</v>
      </c>
      <c r="Q4851">
        <v>0</v>
      </c>
      <c r="R4851" t="s">
        <v>47306</v>
      </c>
      <c r="S4851" t="s">
        <v>47414</v>
      </c>
      <c r="T4851" t="s">
        <v>49004</v>
      </c>
      <c r="U4851" t="s">
        <v>53662</v>
      </c>
      <c r="V4851" t="s">
        <v>63091</v>
      </c>
      <c r="W4851" t="s">
        <v>44753</v>
      </c>
      <c r="X4851" t="s">
        <v>47308</v>
      </c>
    </row>
    <row r="4852" spans="1:24">
      <c r="A4852">
        <f>HYPERLINK("https://www.philgeps.gov.ph/GEPSNONPILOT/Tender/SplashBidNoticeAbstractUI.aspx?menuIndex=3&amp;refID=7197537&amp;Result=3","7197537")</f>
        <v>0</v>
      </c>
      <c r="B4852" t="s">
        <v>1760</v>
      </c>
      <c r="C4852" t="s">
        <v>8424</v>
      </c>
      <c r="D4852" t="s">
        <v>19024</v>
      </c>
      <c r="E4852" t="s">
        <v>23401</v>
      </c>
      <c r="F4852" t="s">
        <v>32606</v>
      </c>
      <c r="G4852" t="s">
        <v>32614</v>
      </c>
      <c r="H4852" t="s">
        <v>32623</v>
      </c>
      <c r="I4852" t="s">
        <v>17648</v>
      </c>
      <c r="J4852" t="s">
        <v>35977</v>
      </c>
      <c r="K4852" t="s">
        <v>42623</v>
      </c>
      <c r="M4852" t="s">
        <v>44797</v>
      </c>
      <c r="N4852" t="s">
        <v>47304</v>
      </c>
      <c r="O4852" t="s">
        <v>47305</v>
      </c>
      <c r="Q4852">
        <v>1</v>
      </c>
      <c r="R4852" t="s">
        <v>47306</v>
      </c>
      <c r="S4852" t="s">
        <v>47428</v>
      </c>
      <c r="T4852" t="s">
        <v>49004</v>
      </c>
      <c r="U4852" t="s">
        <v>53663</v>
      </c>
      <c r="W4852" t="s">
        <v>44797</v>
      </c>
      <c r="X4852" t="s">
        <v>47308</v>
      </c>
    </row>
    <row r="4853" spans="1:24">
      <c r="A4853">
        <f>HYPERLINK("https://www.philgeps.gov.ph/GEPSNONPILOT/Tender/SplashBidNoticeAbstractUI.aspx?menuIndex=3&amp;refID=7197536&amp;Result=3","7197536")</f>
        <v>0</v>
      </c>
      <c r="B4853" t="s">
        <v>1746</v>
      </c>
      <c r="C4853" t="s">
        <v>8425</v>
      </c>
      <c r="D4853" t="s">
        <v>19024</v>
      </c>
      <c r="E4853" t="s">
        <v>23402</v>
      </c>
      <c r="F4853" t="s">
        <v>32606</v>
      </c>
      <c r="G4853" t="s">
        <v>32614</v>
      </c>
      <c r="H4853" t="s">
        <v>14201</v>
      </c>
      <c r="I4853" t="s">
        <v>4120</v>
      </c>
      <c r="J4853" t="s">
        <v>35978</v>
      </c>
      <c r="K4853" t="s">
        <v>42632</v>
      </c>
      <c r="M4853" t="s">
        <v>44781</v>
      </c>
      <c r="N4853" t="s">
        <v>47304</v>
      </c>
      <c r="O4853" t="s">
        <v>47305</v>
      </c>
      <c r="P4853">
        <v>0</v>
      </c>
      <c r="Q4853">
        <v>1</v>
      </c>
      <c r="R4853" t="s">
        <v>47306</v>
      </c>
      <c r="S4853" t="s">
        <v>47414</v>
      </c>
      <c r="T4853" t="s">
        <v>48980</v>
      </c>
      <c r="U4853" t="s">
        <v>53602</v>
      </c>
      <c r="W4853" t="s">
        <v>44781</v>
      </c>
      <c r="X4853" t="s">
        <v>47308</v>
      </c>
    </row>
    <row r="4854" spans="1:24">
      <c r="A4854">
        <f>HYPERLINK("https://www.philgeps.gov.ph/GEPSNONPILOT/Tender/SplashBidNoticeAbstractUI.aspx?menuIndex=3&amp;refID=7197535&amp;Result=3","7197535")</f>
        <v>0</v>
      </c>
      <c r="B4854" t="s">
        <v>467</v>
      </c>
      <c r="C4854" t="s">
        <v>8426</v>
      </c>
      <c r="E4854" t="s">
        <v>23403</v>
      </c>
      <c r="F4854" t="s">
        <v>32606</v>
      </c>
      <c r="G4854" t="s">
        <v>32613</v>
      </c>
      <c r="H4854" t="s">
        <v>14201</v>
      </c>
      <c r="I4854" t="s">
        <v>32711</v>
      </c>
      <c r="J4854" t="s">
        <v>35979</v>
      </c>
      <c r="K4854" t="s">
        <v>42624</v>
      </c>
      <c r="M4854" t="s">
        <v>44145</v>
      </c>
      <c r="N4854" t="s">
        <v>47304</v>
      </c>
      <c r="O4854" t="s">
        <v>47305</v>
      </c>
      <c r="P4854">
        <v>0</v>
      </c>
      <c r="Q4854">
        <v>2</v>
      </c>
      <c r="R4854" t="s">
        <v>47306</v>
      </c>
      <c r="S4854" t="s">
        <v>47414</v>
      </c>
      <c r="T4854" t="s">
        <v>49299</v>
      </c>
      <c r="U4854" t="s">
        <v>53664</v>
      </c>
      <c r="W4854" t="s">
        <v>44145</v>
      </c>
      <c r="X4854" t="s">
        <v>47308</v>
      </c>
    </row>
    <row r="4855" spans="1:24">
      <c r="A4855">
        <f>HYPERLINK("https://www.philgeps.gov.ph/GEPSNONPILOT/Tender/SplashBidNoticeAbstractUI.aspx?menuIndex=3&amp;refID=7197534&amp;Result=3","7197534")</f>
        <v>0</v>
      </c>
      <c r="B4855" t="s">
        <v>1761</v>
      </c>
      <c r="C4855" t="s">
        <v>8427</v>
      </c>
      <c r="E4855" t="s">
        <v>23404</v>
      </c>
      <c r="F4855" t="s">
        <v>32606</v>
      </c>
      <c r="G4855" t="s">
        <v>32614</v>
      </c>
      <c r="H4855" t="s">
        <v>14201</v>
      </c>
      <c r="I4855" t="s">
        <v>32631</v>
      </c>
      <c r="J4855" t="s">
        <v>32949</v>
      </c>
      <c r="K4855" t="s">
        <v>42624</v>
      </c>
      <c r="M4855" t="s">
        <v>44798</v>
      </c>
      <c r="N4855" t="s">
        <v>47304</v>
      </c>
      <c r="O4855" t="s">
        <v>47305</v>
      </c>
      <c r="P4855">
        <v>0</v>
      </c>
      <c r="Q4855">
        <v>4</v>
      </c>
      <c r="R4855" t="s">
        <v>47306</v>
      </c>
      <c r="S4855" t="s">
        <v>47414</v>
      </c>
      <c r="T4855" t="s">
        <v>48979</v>
      </c>
      <c r="U4855" t="s">
        <v>53665</v>
      </c>
      <c r="W4855" t="s">
        <v>44798</v>
      </c>
      <c r="X4855" t="s">
        <v>47308</v>
      </c>
    </row>
    <row r="4856" spans="1:24">
      <c r="A4856">
        <f>HYPERLINK("https://www.philgeps.gov.ph/GEPSNONPILOT/Tender/SplashBidNoticeAbstractUI.aspx?menuIndex=3&amp;refID=7197460&amp;Result=3","7197460")</f>
        <v>0</v>
      </c>
      <c r="B4856" t="s">
        <v>1751</v>
      </c>
      <c r="C4856" t="s">
        <v>8428</v>
      </c>
      <c r="D4856" t="s">
        <v>19006</v>
      </c>
      <c r="E4856" t="s">
        <v>23405</v>
      </c>
      <c r="F4856" t="s">
        <v>32606</v>
      </c>
      <c r="G4856" t="s">
        <v>32613</v>
      </c>
      <c r="H4856" t="s">
        <v>32623</v>
      </c>
      <c r="I4856" t="s">
        <v>17648</v>
      </c>
      <c r="J4856" t="s">
        <v>33103</v>
      </c>
      <c r="K4856" t="s">
        <v>42631</v>
      </c>
      <c r="M4856" t="s">
        <v>44787</v>
      </c>
      <c r="N4856" t="s">
        <v>47304</v>
      </c>
      <c r="O4856" t="s">
        <v>47305</v>
      </c>
      <c r="P4856">
        <v>0</v>
      </c>
      <c r="Q4856">
        <v>1</v>
      </c>
      <c r="R4856" t="s">
        <v>47306</v>
      </c>
      <c r="S4856" t="s">
        <v>47414</v>
      </c>
      <c r="T4856" t="s">
        <v>48996</v>
      </c>
      <c r="U4856" t="s">
        <v>53666</v>
      </c>
      <c r="W4856" t="s">
        <v>44787</v>
      </c>
      <c r="X4856" t="s">
        <v>47308</v>
      </c>
    </row>
    <row r="4857" spans="1:24">
      <c r="A4857">
        <f>HYPERLINK("https://www.philgeps.gov.ph/GEPSNONPILOT/Tender/SplashBidNoticeAbstractUI.aspx?menuIndex=3&amp;refID=7197533&amp;Result=3","7197533")</f>
        <v>0</v>
      </c>
      <c r="B4857" t="s">
        <v>76</v>
      </c>
      <c r="C4857" t="s">
        <v>8429</v>
      </c>
      <c r="D4857" t="s">
        <v>19010</v>
      </c>
      <c r="E4857" t="s">
        <v>23406</v>
      </c>
      <c r="F4857" t="s">
        <v>32606</v>
      </c>
      <c r="G4857" t="s">
        <v>32613</v>
      </c>
      <c r="H4857" t="s">
        <v>32623</v>
      </c>
      <c r="I4857" t="s">
        <v>17648</v>
      </c>
      <c r="J4857" t="s">
        <v>35980</v>
      </c>
      <c r="K4857" t="s">
        <v>42661</v>
      </c>
      <c r="M4857" t="s">
        <v>44791</v>
      </c>
      <c r="N4857" t="s">
        <v>47304</v>
      </c>
      <c r="O4857" t="s">
        <v>47305</v>
      </c>
      <c r="P4857">
        <v>0</v>
      </c>
      <c r="Q4857">
        <v>1</v>
      </c>
      <c r="R4857" t="s">
        <v>47306</v>
      </c>
      <c r="S4857" t="s">
        <v>47414</v>
      </c>
      <c r="T4857" t="s">
        <v>48987</v>
      </c>
      <c r="U4857" t="s">
        <v>53667</v>
      </c>
      <c r="W4857" t="s">
        <v>44791</v>
      </c>
      <c r="X4857" t="s">
        <v>47308</v>
      </c>
    </row>
    <row r="4858" spans="1:24">
      <c r="A4858">
        <f>HYPERLINK("https://www.philgeps.gov.ph/GEPSNONPILOT/Tender/SplashBidNoticeAbstractUI.aspx?menuIndex=3&amp;refID=7197539&amp;Result=3","7197539")</f>
        <v>0</v>
      </c>
      <c r="B4858" t="s">
        <v>76</v>
      </c>
      <c r="C4858" t="s">
        <v>8430</v>
      </c>
      <c r="D4858" t="s">
        <v>19010</v>
      </c>
      <c r="E4858" t="s">
        <v>23407</v>
      </c>
      <c r="F4858" t="s">
        <v>32606</v>
      </c>
      <c r="G4858" t="s">
        <v>32613</v>
      </c>
      <c r="H4858" t="s">
        <v>32623</v>
      </c>
      <c r="I4858" t="s">
        <v>17648</v>
      </c>
      <c r="J4858" t="s">
        <v>35981</v>
      </c>
      <c r="K4858" t="s">
        <v>42750</v>
      </c>
      <c r="M4858" t="s">
        <v>44791</v>
      </c>
      <c r="N4858" t="s">
        <v>47304</v>
      </c>
      <c r="O4858" t="s">
        <v>47305</v>
      </c>
      <c r="P4858">
        <v>0</v>
      </c>
      <c r="Q4858">
        <v>1</v>
      </c>
      <c r="R4858" t="s">
        <v>47306</v>
      </c>
      <c r="S4858" t="s">
        <v>47414</v>
      </c>
      <c r="T4858" t="s">
        <v>48987</v>
      </c>
      <c r="U4858" t="s">
        <v>53668</v>
      </c>
      <c r="W4858" t="s">
        <v>44791</v>
      </c>
      <c r="X4858" t="s">
        <v>47308</v>
      </c>
    </row>
    <row r="4859" spans="1:24">
      <c r="A4859">
        <f>HYPERLINK("https://www.philgeps.gov.ph/GEPSNONPILOT/Tender/SplashBidNoticeAbstractUI.aspx?menuIndex=3&amp;refID=7197509&amp;Result=3","7197509")</f>
        <v>0</v>
      </c>
      <c r="B4859" t="s">
        <v>1250</v>
      </c>
      <c r="C4859" t="s">
        <v>8431</v>
      </c>
      <c r="D4859" t="s">
        <v>19044</v>
      </c>
      <c r="E4859" t="s">
        <v>23408</v>
      </c>
      <c r="F4859" t="s">
        <v>32606</v>
      </c>
      <c r="G4859" t="s">
        <v>32617</v>
      </c>
      <c r="H4859" t="s">
        <v>14201</v>
      </c>
      <c r="I4859" t="s">
        <v>4678</v>
      </c>
      <c r="J4859" t="s">
        <v>32752</v>
      </c>
      <c r="K4859" t="s">
        <v>42630</v>
      </c>
      <c r="M4859" t="s">
        <v>44216</v>
      </c>
      <c r="N4859" t="s">
        <v>47304</v>
      </c>
      <c r="O4859" t="s">
        <v>47305</v>
      </c>
      <c r="P4859">
        <v>0</v>
      </c>
      <c r="Q4859">
        <v>1</v>
      </c>
      <c r="R4859" t="s">
        <v>47306</v>
      </c>
      <c r="S4859" t="s">
        <v>47414</v>
      </c>
      <c r="T4859" t="s">
        <v>48980</v>
      </c>
      <c r="U4859" t="s">
        <v>53669</v>
      </c>
      <c r="W4859" t="s">
        <v>44216</v>
      </c>
      <c r="X4859" t="s">
        <v>47308</v>
      </c>
    </row>
    <row r="4860" spans="1:24">
      <c r="A4860">
        <f>HYPERLINK("https://www.philgeps.gov.ph/GEPSNONPILOT/Tender/SplashBidNoticeAbstractUI.aspx?menuIndex=3&amp;refID=7197529&amp;Result=3","7197529")</f>
        <v>0</v>
      </c>
      <c r="B4860" t="s">
        <v>1762</v>
      </c>
      <c r="C4860" t="s">
        <v>8432</v>
      </c>
      <c r="D4860" t="s">
        <v>19046</v>
      </c>
      <c r="E4860" t="s">
        <v>20432</v>
      </c>
      <c r="F4860" t="s">
        <v>32606</v>
      </c>
      <c r="G4860" t="s">
        <v>32613</v>
      </c>
      <c r="H4860" t="s">
        <v>14201</v>
      </c>
      <c r="I4860" t="s">
        <v>6931</v>
      </c>
      <c r="J4860" t="s">
        <v>35982</v>
      </c>
      <c r="K4860" t="s">
        <v>42622</v>
      </c>
      <c r="M4860" t="s">
        <v>44799</v>
      </c>
      <c r="N4860" t="s">
        <v>47304</v>
      </c>
      <c r="O4860" t="s">
        <v>47305</v>
      </c>
      <c r="P4860">
        <v>0</v>
      </c>
      <c r="Q4860">
        <v>0</v>
      </c>
      <c r="R4860" t="s">
        <v>47306</v>
      </c>
      <c r="S4860" t="s">
        <v>47414</v>
      </c>
      <c r="T4860" t="s">
        <v>49057</v>
      </c>
      <c r="U4860" t="s">
        <v>53670</v>
      </c>
      <c r="W4860" t="s">
        <v>44799</v>
      </c>
      <c r="X4860" t="s">
        <v>47308</v>
      </c>
    </row>
    <row r="4861" spans="1:24">
      <c r="A4861">
        <f>HYPERLINK("https://www.philgeps.gov.ph/GEPSNONPILOT/Tender/SplashBidNoticeAbstractUI.aspx?menuIndex=3&amp;refID=7197544&amp;Result=3","7197544")</f>
        <v>0</v>
      </c>
      <c r="B4861" t="s">
        <v>467</v>
      </c>
      <c r="C4861" t="s">
        <v>8433</v>
      </c>
      <c r="E4861" t="s">
        <v>23409</v>
      </c>
      <c r="F4861" t="s">
        <v>32606</v>
      </c>
      <c r="G4861" t="s">
        <v>32613</v>
      </c>
      <c r="H4861" t="s">
        <v>14201</v>
      </c>
      <c r="I4861" t="s">
        <v>32658</v>
      </c>
      <c r="J4861" t="s">
        <v>35983</v>
      </c>
      <c r="K4861" t="s">
        <v>42624</v>
      </c>
      <c r="M4861" t="s">
        <v>44145</v>
      </c>
      <c r="N4861" t="s">
        <v>47304</v>
      </c>
      <c r="O4861" t="s">
        <v>47305</v>
      </c>
      <c r="P4861">
        <v>0</v>
      </c>
      <c r="Q4861">
        <v>1</v>
      </c>
      <c r="R4861" t="s">
        <v>47306</v>
      </c>
      <c r="S4861" t="s">
        <v>47414</v>
      </c>
      <c r="T4861" t="s">
        <v>49017</v>
      </c>
      <c r="U4861" t="s">
        <v>53671</v>
      </c>
      <c r="W4861" t="s">
        <v>44145</v>
      </c>
      <c r="X4861" t="s">
        <v>47308</v>
      </c>
    </row>
    <row r="4862" spans="1:24">
      <c r="A4862">
        <f>HYPERLINK("https://www.philgeps.gov.ph/GEPSNONPILOT/Tender/SplashBidNoticeAbstractUI.aspx?menuIndex=3&amp;refID=7197568&amp;Result=3","7197568")</f>
        <v>0</v>
      </c>
      <c r="B4862" t="s">
        <v>1738</v>
      </c>
      <c r="C4862" t="s">
        <v>8434</v>
      </c>
      <c r="E4862" t="s">
        <v>23410</v>
      </c>
      <c r="F4862" t="s">
        <v>32606</v>
      </c>
      <c r="G4862" t="s">
        <v>32614</v>
      </c>
      <c r="H4862" t="s">
        <v>14201</v>
      </c>
      <c r="I4862" t="s">
        <v>32661</v>
      </c>
      <c r="J4862" t="s">
        <v>35984</v>
      </c>
      <c r="K4862" t="s">
        <v>42636</v>
      </c>
      <c r="M4862" t="s">
        <v>44771</v>
      </c>
      <c r="N4862" t="s">
        <v>47304</v>
      </c>
      <c r="O4862" t="s">
        <v>47305</v>
      </c>
      <c r="P4862">
        <v>0</v>
      </c>
      <c r="Q4862">
        <v>6</v>
      </c>
      <c r="R4862" t="s">
        <v>47306</v>
      </c>
      <c r="S4862" t="s">
        <v>47414</v>
      </c>
      <c r="T4862" t="s">
        <v>48980</v>
      </c>
      <c r="U4862" t="s">
        <v>53672</v>
      </c>
      <c r="W4862" t="s">
        <v>44771</v>
      </c>
      <c r="X4862" t="s">
        <v>47308</v>
      </c>
    </row>
    <row r="4863" spans="1:24">
      <c r="A4863">
        <f>HYPERLINK("https://www.philgeps.gov.ph/GEPSNONPILOT/Tender/SplashBidNoticeAbstractUI.aspx?menuIndex=3&amp;refID=7197567&amp;Result=3","7197567")</f>
        <v>0</v>
      </c>
      <c r="B4863" t="s">
        <v>1763</v>
      </c>
      <c r="C4863" t="s">
        <v>8435</v>
      </c>
      <c r="D4863" t="s">
        <v>19003</v>
      </c>
      <c r="E4863" t="s">
        <v>23411</v>
      </c>
      <c r="F4863" t="s">
        <v>32606</v>
      </c>
      <c r="G4863" t="s">
        <v>32614</v>
      </c>
      <c r="H4863" t="s">
        <v>14201</v>
      </c>
      <c r="I4863" t="s">
        <v>6298</v>
      </c>
      <c r="J4863" t="s">
        <v>33650</v>
      </c>
      <c r="K4863" t="s">
        <v>42632</v>
      </c>
      <c r="M4863" t="s">
        <v>44800</v>
      </c>
      <c r="N4863" t="s">
        <v>47304</v>
      </c>
      <c r="O4863" t="s">
        <v>47305</v>
      </c>
      <c r="P4863">
        <v>0</v>
      </c>
      <c r="Q4863">
        <v>1</v>
      </c>
      <c r="R4863" t="s">
        <v>47306</v>
      </c>
      <c r="S4863" t="s">
        <v>47414</v>
      </c>
      <c r="T4863" t="s">
        <v>49061</v>
      </c>
      <c r="U4863" t="s">
        <v>53673</v>
      </c>
      <c r="V4863" t="s">
        <v>63097</v>
      </c>
      <c r="W4863" t="s">
        <v>44800</v>
      </c>
      <c r="X4863" t="s">
        <v>47308</v>
      </c>
    </row>
    <row r="4864" spans="1:24">
      <c r="A4864">
        <f>HYPERLINK("https://www.philgeps.gov.ph/GEPSNONPILOT/Tender/SplashBidNoticeAbstractUI.aspx?menuIndex=3&amp;refID=7197566&amp;Result=3","7197566")</f>
        <v>0</v>
      </c>
      <c r="B4864" t="s">
        <v>1746</v>
      </c>
      <c r="C4864" t="s">
        <v>8436</v>
      </c>
      <c r="D4864" t="s">
        <v>19024</v>
      </c>
      <c r="E4864" t="s">
        <v>23412</v>
      </c>
      <c r="F4864" t="s">
        <v>32606</v>
      </c>
      <c r="G4864" t="s">
        <v>32614</v>
      </c>
      <c r="H4864" t="s">
        <v>14201</v>
      </c>
      <c r="I4864" t="s">
        <v>4120</v>
      </c>
      <c r="J4864" t="s">
        <v>35985</v>
      </c>
      <c r="K4864" t="s">
        <v>42632</v>
      </c>
      <c r="M4864" t="s">
        <v>44781</v>
      </c>
      <c r="N4864" t="s">
        <v>47304</v>
      </c>
      <c r="O4864" t="s">
        <v>47305</v>
      </c>
      <c r="P4864">
        <v>0</v>
      </c>
      <c r="Q4864">
        <v>1</v>
      </c>
      <c r="R4864" t="s">
        <v>47306</v>
      </c>
      <c r="S4864" t="s">
        <v>47414</v>
      </c>
      <c r="T4864" t="s">
        <v>48980</v>
      </c>
      <c r="U4864" t="s">
        <v>53602</v>
      </c>
      <c r="W4864" t="s">
        <v>44781</v>
      </c>
      <c r="X4864" t="s">
        <v>47308</v>
      </c>
    </row>
    <row r="4865" spans="1:24">
      <c r="A4865">
        <f>HYPERLINK("https://www.philgeps.gov.ph/GEPSNONPILOT/Tender/SplashBidNoticeAbstractUI.aspx?menuIndex=3&amp;refID=7197565&amp;Result=3","7197565")</f>
        <v>0</v>
      </c>
      <c r="B4865" t="s">
        <v>131</v>
      </c>
      <c r="C4865" t="s">
        <v>8437</v>
      </c>
      <c r="D4865" t="s">
        <v>18993</v>
      </c>
      <c r="E4865" t="s">
        <v>23413</v>
      </c>
      <c r="F4865" t="s">
        <v>32606</v>
      </c>
      <c r="G4865" t="s">
        <v>32614</v>
      </c>
      <c r="H4865" t="s">
        <v>14201</v>
      </c>
      <c r="I4865" t="s">
        <v>32669</v>
      </c>
      <c r="J4865" t="s">
        <v>32765</v>
      </c>
      <c r="K4865" t="s">
        <v>42632</v>
      </c>
      <c r="M4865" t="s">
        <v>43032</v>
      </c>
      <c r="N4865" t="s">
        <v>47304</v>
      </c>
      <c r="O4865" t="s">
        <v>47305</v>
      </c>
      <c r="P4865">
        <v>0</v>
      </c>
      <c r="Q4865">
        <v>4</v>
      </c>
      <c r="R4865" t="s">
        <v>47306</v>
      </c>
      <c r="S4865" t="s">
        <v>47414</v>
      </c>
      <c r="T4865" t="s">
        <v>49061</v>
      </c>
      <c r="U4865" t="s">
        <v>53674</v>
      </c>
      <c r="W4865" t="s">
        <v>43032</v>
      </c>
      <c r="X4865" t="s">
        <v>47308</v>
      </c>
    </row>
    <row r="4866" spans="1:24">
      <c r="A4866">
        <f>HYPERLINK("https://www.philgeps.gov.ph/GEPSNONPILOT/Tender/SplashBidNoticeAbstractUI.aspx?menuIndex=3&amp;refID=7197564&amp;Result=3","7197564")</f>
        <v>0</v>
      </c>
      <c r="B4866" t="s">
        <v>948</v>
      </c>
      <c r="C4866" t="s">
        <v>8438</v>
      </c>
      <c r="D4866" t="s">
        <v>19058</v>
      </c>
      <c r="E4866" t="s">
        <v>23414</v>
      </c>
      <c r="F4866" t="s">
        <v>32606</v>
      </c>
      <c r="G4866" t="s">
        <v>32614</v>
      </c>
      <c r="H4866" t="s">
        <v>14201</v>
      </c>
      <c r="I4866" t="s">
        <v>4678</v>
      </c>
      <c r="J4866" t="s">
        <v>32949</v>
      </c>
      <c r="K4866" t="s">
        <v>42631</v>
      </c>
      <c r="M4866" t="s">
        <v>43890</v>
      </c>
      <c r="N4866" t="s">
        <v>47304</v>
      </c>
      <c r="O4866" t="s">
        <v>47305</v>
      </c>
      <c r="P4866">
        <v>0</v>
      </c>
      <c r="Q4866">
        <v>1</v>
      </c>
      <c r="R4866" t="s">
        <v>47306</v>
      </c>
      <c r="S4866" t="s">
        <v>47414</v>
      </c>
      <c r="T4866" t="s">
        <v>48980</v>
      </c>
      <c r="U4866" t="s">
        <v>53675</v>
      </c>
      <c r="W4866" t="s">
        <v>43890</v>
      </c>
      <c r="X4866" t="s">
        <v>47308</v>
      </c>
    </row>
    <row r="4867" spans="1:24">
      <c r="A4867">
        <f>HYPERLINK("https://www.philgeps.gov.ph/GEPSNONPILOT/Tender/SplashBidNoticeAbstractUI.aspx?menuIndex=3&amp;refID=7197562&amp;Result=3","7197562")</f>
        <v>0</v>
      </c>
      <c r="B4867" t="s">
        <v>1761</v>
      </c>
      <c r="C4867" t="s">
        <v>8439</v>
      </c>
      <c r="E4867" t="s">
        <v>23415</v>
      </c>
      <c r="F4867" t="s">
        <v>32606</v>
      </c>
      <c r="G4867" t="s">
        <v>32614</v>
      </c>
      <c r="H4867" t="s">
        <v>14201</v>
      </c>
      <c r="I4867" t="s">
        <v>7233</v>
      </c>
      <c r="J4867" t="s">
        <v>35986</v>
      </c>
      <c r="K4867" t="s">
        <v>42624</v>
      </c>
      <c r="M4867" t="s">
        <v>44798</v>
      </c>
      <c r="N4867" t="s">
        <v>47304</v>
      </c>
      <c r="O4867" t="s">
        <v>47305</v>
      </c>
      <c r="P4867">
        <v>0</v>
      </c>
      <c r="Q4867">
        <v>1</v>
      </c>
      <c r="R4867" t="s">
        <v>47306</v>
      </c>
      <c r="S4867" t="s">
        <v>47414</v>
      </c>
      <c r="T4867" t="s">
        <v>49010</v>
      </c>
      <c r="U4867" t="s">
        <v>53665</v>
      </c>
      <c r="W4867" t="s">
        <v>44798</v>
      </c>
      <c r="X4867" t="s">
        <v>47308</v>
      </c>
    </row>
    <row r="4868" spans="1:24">
      <c r="A4868">
        <f>HYPERLINK("https://www.philgeps.gov.ph/GEPSNONPILOT/Tender/SplashBidNoticeAbstractUI.aspx?menuIndex=3&amp;refID=7197530&amp;Result=3","7197530")</f>
        <v>0</v>
      </c>
      <c r="B4868" t="s">
        <v>1755</v>
      </c>
      <c r="C4868" t="s">
        <v>8440</v>
      </c>
      <c r="D4868" t="s">
        <v>19036</v>
      </c>
      <c r="E4868" t="s">
        <v>23416</v>
      </c>
      <c r="F4868" t="s">
        <v>32606</v>
      </c>
      <c r="G4868" t="s">
        <v>32613</v>
      </c>
      <c r="H4868" t="s">
        <v>14201</v>
      </c>
      <c r="I4868" t="s">
        <v>32628</v>
      </c>
      <c r="J4868" t="s">
        <v>35987</v>
      </c>
      <c r="K4868" t="s">
        <v>42665</v>
      </c>
      <c r="M4868" t="s">
        <v>44792</v>
      </c>
      <c r="N4868" t="s">
        <v>47304</v>
      </c>
      <c r="O4868" t="s">
        <v>47305</v>
      </c>
      <c r="P4868">
        <v>0</v>
      </c>
      <c r="Q4868">
        <v>2</v>
      </c>
      <c r="R4868" t="s">
        <v>47306</v>
      </c>
      <c r="S4868" t="s">
        <v>47414</v>
      </c>
      <c r="T4868" t="s">
        <v>49008</v>
      </c>
      <c r="U4868" t="s">
        <v>53645</v>
      </c>
      <c r="W4868" t="s">
        <v>44792</v>
      </c>
      <c r="X4868" t="s">
        <v>47308</v>
      </c>
    </row>
    <row r="4869" spans="1:24">
      <c r="A4869">
        <f>HYPERLINK("https://www.philgeps.gov.ph/GEPSNONPILOT/Tender/SplashBidNoticeAbstractUI.aspx?menuIndex=3&amp;refID=7197561&amp;Result=3","7197561")</f>
        <v>0</v>
      </c>
      <c r="B4869" t="s">
        <v>1746</v>
      </c>
      <c r="C4869" t="s">
        <v>8436</v>
      </c>
      <c r="D4869" t="s">
        <v>19024</v>
      </c>
      <c r="E4869" t="s">
        <v>23417</v>
      </c>
      <c r="F4869" t="s">
        <v>32606</v>
      </c>
      <c r="G4869" t="s">
        <v>32614</v>
      </c>
      <c r="H4869" t="s">
        <v>14201</v>
      </c>
      <c r="I4869" t="s">
        <v>4120</v>
      </c>
      <c r="J4869" t="s">
        <v>35361</v>
      </c>
      <c r="K4869" t="s">
        <v>42632</v>
      </c>
      <c r="M4869" t="s">
        <v>44781</v>
      </c>
      <c r="N4869" t="s">
        <v>47304</v>
      </c>
      <c r="O4869" t="s">
        <v>47305</v>
      </c>
      <c r="P4869">
        <v>0</v>
      </c>
      <c r="Q4869">
        <v>1</v>
      </c>
      <c r="R4869" t="s">
        <v>47306</v>
      </c>
      <c r="S4869" t="s">
        <v>47414</v>
      </c>
      <c r="T4869" t="s">
        <v>48980</v>
      </c>
      <c r="U4869" t="s">
        <v>53602</v>
      </c>
      <c r="W4869" t="s">
        <v>44781</v>
      </c>
      <c r="X4869" t="s">
        <v>47308</v>
      </c>
    </row>
    <row r="4870" spans="1:24">
      <c r="A4870">
        <f>HYPERLINK("https://www.philgeps.gov.ph/GEPSNONPILOT/Tender/SplashBidNoticeAbstractUI.aspx?menuIndex=3&amp;refID=7197559&amp;Result=3","7197559")</f>
        <v>0</v>
      </c>
      <c r="B4870" t="s">
        <v>1764</v>
      </c>
      <c r="C4870" t="s">
        <v>8441</v>
      </c>
      <c r="D4870" t="s">
        <v>19018</v>
      </c>
      <c r="E4870" t="s">
        <v>20525</v>
      </c>
      <c r="F4870" t="s">
        <v>32606</v>
      </c>
      <c r="G4870" t="s">
        <v>32613</v>
      </c>
      <c r="H4870" t="s">
        <v>32623</v>
      </c>
      <c r="I4870" t="s">
        <v>17648</v>
      </c>
      <c r="J4870" t="s">
        <v>35988</v>
      </c>
      <c r="K4870" t="s">
        <v>42632</v>
      </c>
      <c r="M4870" t="s">
        <v>44801</v>
      </c>
      <c r="N4870" t="s">
        <v>47304</v>
      </c>
      <c r="O4870" t="s">
        <v>47305</v>
      </c>
      <c r="P4870">
        <v>0</v>
      </c>
      <c r="Q4870">
        <v>0</v>
      </c>
      <c r="R4870" t="s">
        <v>47306</v>
      </c>
      <c r="S4870" t="s">
        <v>47414</v>
      </c>
      <c r="T4870" t="s">
        <v>49101</v>
      </c>
      <c r="U4870" t="s">
        <v>53676</v>
      </c>
      <c r="W4870" t="s">
        <v>44801</v>
      </c>
      <c r="X4870" t="s">
        <v>47308</v>
      </c>
    </row>
    <row r="4871" spans="1:24">
      <c r="A4871">
        <f>HYPERLINK("https://www.philgeps.gov.ph/GEPSNONPILOT/Tender/SplashBidNoticeAbstractUI.aspx?menuIndex=3&amp;refID=7197558&amp;Result=3","7197558")</f>
        <v>0</v>
      </c>
      <c r="B4871" t="s">
        <v>1662</v>
      </c>
      <c r="C4871" t="s">
        <v>8442</v>
      </c>
      <c r="D4871" t="s">
        <v>19063</v>
      </c>
      <c r="E4871" t="s">
        <v>23418</v>
      </c>
      <c r="F4871" t="s">
        <v>32606</v>
      </c>
      <c r="G4871" t="s">
        <v>32613</v>
      </c>
      <c r="H4871" t="s">
        <v>14201</v>
      </c>
      <c r="I4871" t="s">
        <v>32685</v>
      </c>
      <c r="J4871" t="s">
        <v>32778</v>
      </c>
      <c r="K4871" t="s">
        <v>42631</v>
      </c>
      <c r="M4871" t="s">
        <v>44688</v>
      </c>
      <c r="N4871" t="s">
        <v>47304</v>
      </c>
      <c r="O4871" t="s">
        <v>47305</v>
      </c>
      <c r="P4871">
        <v>0</v>
      </c>
      <c r="Q4871">
        <v>2</v>
      </c>
      <c r="R4871" t="s">
        <v>47306</v>
      </c>
      <c r="S4871" t="s">
        <v>47414</v>
      </c>
      <c r="T4871" t="s">
        <v>49065</v>
      </c>
      <c r="U4871" t="s">
        <v>53677</v>
      </c>
      <c r="W4871" t="s">
        <v>44688</v>
      </c>
      <c r="X4871" t="s">
        <v>47308</v>
      </c>
    </row>
    <row r="4872" spans="1:24">
      <c r="A4872">
        <f>HYPERLINK("https://www.philgeps.gov.ph/GEPSNONPILOT/Tender/SplashBidNoticeAbstractUI.aspx?menuIndex=3&amp;refID=7197531&amp;Result=3","7197531")</f>
        <v>0</v>
      </c>
      <c r="B4872" t="s">
        <v>1721</v>
      </c>
      <c r="C4872" t="s">
        <v>8372</v>
      </c>
      <c r="D4872" t="s">
        <v>18993</v>
      </c>
      <c r="E4872" t="s">
        <v>23419</v>
      </c>
      <c r="F4872" t="s">
        <v>32606</v>
      </c>
      <c r="G4872" t="s">
        <v>32614</v>
      </c>
      <c r="H4872" t="s">
        <v>14201</v>
      </c>
      <c r="I4872" t="s">
        <v>6298</v>
      </c>
      <c r="J4872" t="s">
        <v>35989</v>
      </c>
      <c r="K4872" t="s">
        <v>42623</v>
      </c>
      <c r="M4872" t="s">
        <v>44753</v>
      </c>
      <c r="N4872" t="s">
        <v>47304</v>
      </c>
      <c r="O4872" t="s">
        <v>47305</v>
      </c>
      <c r="P4872">
        <v>0</v>
      </c>
      <c r="Q4872">
        <v>0</v>
      </c>
      <c r="R4872" t="s">
        <v>47306</v>
      </c>
      <c r="S4872" t="s">
        <v>47414</v>
      </c>
      <c r="T4872" t="s">
        <v>49004</v>
      </c>
      <c r="U4872" t="s">
        <v>53678</v>
      </c>
      <c r="V4872" t="s">
        <v>63091</v>
      </c>
      <c r="W4872" t="s">
        <v>44753</v>
      </c>
      <c r="X4872" t="s">
        <v>47308</v>
      </c>
    </row>
    <row r="4873" spans="1:24">
      <c r="A4873">
        <f>HYPERLINK("https://www.philgeps.gov.ph/GEPSNONPILOT/Tender/SplashBidNoticeAbstractUI.aspx?menuIndex=3&amp;refID=7197557&amp;Result=3","7197557")</f>
        <v>0</v>
      </c>
      <c r="B4873" t="s">
        <v>1765</v>
      </c>
      <c r="C4873" t="s">
        <v>8443</v>
      </c>
      <c r="D4873" t="s">
        <v>19051</v>
      </c>
      <c r="E4873" t="s">
        <v>23420</v>
      </c>
      <c r="F4873" t="s">
        <v>32606</v>
      </c>
      <c r="G4873" t="s">
        <v>32613</v>
      </c>
      <c r="H4873" t="s">
        <v>14201</v>
      </c>
      <c r="I4873" t="s">
        <v>6931</v>
      </c>
      <c r="J4873" t="s">
        <v>33870</v>
      </c>
      <c r="K4873" t="s">
        <v>42631</v>
      </c>
      <c r="M4873" t="s">
        <v>44802</v>
      </c>
      <c r="N4873" t="s">
        <v>47304</v>
      </c>
      <c r="O4873" t="s">
        <v>47305</v>
      </c>
      <c r="P4873">
        <v>0</v>
      </c>
      <c r="Q4873">
        <v>0</v>
      </c>
      <c r="R4873" t="s">
        <v>47306</v>
      </c>
      <c r="S4873" t="s">
        <v>47414</v>
      </c>
      <c r="T4873" t="s">
        <v>49002</v>
      </c>
      <c r="U4873" t="s">
        <v>53679</v>
      </c>
      <c r="V4873" t="s">
        <v>63098</v>
      </c>
      <c r="W4873" t="s">
        <v>44802</v>
      </c>
      <c r="X4873" t="s">
        <v>47308</v>
      </c>
    </row>
    <row r="4874" spans="1:24">
      <c r="A4874">
        <f>HYPERLINK("https://www.philgeps.gov.ph/GEPSNONPILOT/Tender/SplashBidNoticeAbstractUI.aspx?menuIndex=3&amp;refID=7197563&amp;Result=3","7197563")</f>
        <v>0</v>
      </c>
      <c r="B4874" t="s">
        <v>1113</v>
      </c>
      <c r="C4874" t="s">
        <v>8444</v>
      </c>
      <c r="D4874" t="s">
        <v>18994</v>
      </c>
      <c r="E4874" t="s">
        <v>23421</v>
      </c>
      <c r="F4874" t="s">
        <v>32606</v>
      </c>
      <c r="G4874" t="s">
        <v>32614</v>
      </c>
      <c r="H4874" t="s">
        <v>14201</v>
      </c>
      <c r="I4874" t="s">
        <v>32693</v>
      </c>
      <c r="J4874" t="s">
        <v>35990</v>
      </c>
      <c r="K4874" t="s">
        <v>42625</v>
      </c>
      <c r="M4874" t="s">
        <v>44074</v>
      </c>
      <c r="N4874" t="s">
        <v>47304</v>
      </c>
      <c r="O4874" t="s">
        <v>47305</v>
      </c>
      <c r="P4874">
        <v>0</v>
      </c>
      <c r="Q4874">
        <v>3</v>
      </c>
      <c r="R4874" t="s">
        <v>47306</v>
      </c>
      <c r="S4874" t="s">
        <v>47414</v>
      </c>
      <c r="T4874" t="s">
        <v>49004</v>
      </c>
      <c r="U4874" t="s">
        <v>53680</v>
      </c>
      <c r="W4874" t="s">
        <v>44074</v>
      </c>
      <c r="X4874" t="s">
        <v>47308</v>
      </c>
    </row>
    <row r="4875" spans="1:24">
      <c r="A4875">
        <f>HYPERLINK("https://www.philgeps.gov.ph/GEPSNONPILOT/Tender/SplashBidNoticeAbstractUI.aspx?menuIndex=3&amp;refID=7197554&amp;Result=3","7197554")</f>
        <v>0</v>
      </c>
      <c r="B4875" t="s">
        <v>1746</v>
      </c>
      <c r="C4875" t="s">
        <v>8445</v>
      </c>
      <c r="D4875" t="s">
        <v>19024</v>
      </c>
      <c r="E4875" t="s">
        <v>23422</v>
      </c>
      <c r="F4875" t="s">
        <v>32606</v>
      </c>
      <c r="G4875" t="s">
        <v>32614</v>
      </c>
      <c r="H4875" t="s">
        <v>14201</v>
      </c>
      <c r="I4875" t="s">
        <v>4120</v>
      </c>
      <c r="J4875" t="s">
        <v>35991</v>
      </c>
      <c r="K4875" t="s">
        <v>42630</v>
      </c>
      <c r="M4875" t="s">
        <v>44781</v>
      </c>
      <c r="N4875" t="s">
        <v>47304</v>
      </c>
      <c r="O4875" t="s">
        <v>47305</v>
      </c>
      <c r="P4875">
        <v>0</v>
      </c>
      <c r="Q4875">
        <v>3</v>
      </c>
      <c r="R4875" t="s">
        <v>47306</v>
      </c>
      <c r="S4875" t="s">
        <v>47414</v>
      </c>
      <c r="T4875" t="s">
        <v>48980</v>
      </c>
      <c r="U4875" t="s">
        <v>53602</v>
      </c>
      <c r="W4875" t="s">
        <v>44781</v>
      </c>
      <c r="X4875" t="s">
        <v>47308</v>
      </c>
    </row>
    <row r="4876" spans="1:24">
      <c r="A4876">
        <f>HYPERLINK("https://www.philgeps.gov.ph/GEPSNONPILOT/Tender/SplashBidNoticeAbstractUI.aspx?menuIndex=3&amp;refID=7197552&amp;Result=3","7197552")</f>
        <v>0</v>
      </c>
      <c r="B4876" t="s">
        <v>362</v>
      </c>
      <c r="C4876" t="s">
        <v>8446</v>
      </c>
      <c r="D4876" t="s">
        <v>19023</v>
      </c>
      <c r="E4876" t="s">
        <v>23423</v>
      </c>
      <c r="F4876" t="s">
        <v>32606</v>
      </c>
      <c r="G4876" t="s">
        <v>32613</v>
      </c>
      <c r="H4876" t="s">
        <v>14201</v>
      </c>
      <c r="I4876" t="s">
        <v>32629</v>
      </c>
      <c r="J4876" t="s">
        <v>32772</v>
      </c>
      <c r="K4876" t="s">
        <v>42630</v>
      </c>
      <c r="M4876" t="s">
        <v>43264</v>
      </c>
      <c r="N4876" t="s">
        <v>47304</v>
      </c>
      <c r="O4876" t="s">
        <v>47305</v>
      </c>
      <c r="P4876">
        <v>0</v>
      </c>
      <c r="Q4876">
        <v>0</v>
      </c>
      <c r="R4876" t="s">
        <v>47306</v>
      </c>
      <c r="S4876" t="s">
        <v>47414</v>
      </c>
      <c r="T4876" t="s">
        <v>49153</v>
      </c>
      <c r="U4876" t="s">
        <v>53681</v>
      </c>
      <c r="V4876" t="s">
        <v>63099</v>
      </c>
      <c r="W4876" t="s">
        <v>43264</v>
      </c>
      <c r="X4876" t="s">
        <v>47308</v>
      </c>
    </row>
    <row r="4877" spans="1:24">
      <c r="A4877">
        <f>HYPERLINK("https://www.philgeps.gov.ph/GEPSNONPILOT/Tender/SplashBidNoticeAbstractUI.aspx?menuIndex=3&amp;refID=7197560&amp;Result=3","7197560")</f>
        <v>0</v>
      </c>
      <c r="B4877" t="s">
        <v>1766</v>
      </c>
      <c r="C4877" t="s">
        <v>8447</v>
      </c>
      <c r="D4877" t="s">
        <v>19052</v>
      </c>
      <c r="E4877" t="s">
        <v>19809</v>
      </c>
      <c r="F4877" t="s">
        <v>32606</v>
      </c>
      <c r="G4877" t="s">
        <v>32613</v>
      </c>
      <c r="H4877" t="s">
        <v>14201</v>
      </c>
      <c r="I4877" t="s">
        <v>32725</v>
      </c>
      <c r="J4877" t="s">
        <v>32765</v>
      </c>
      <c r="K4877" t="s">
        <v>42622</v>
      </c>
      <c r="M4877" t="s">
        <v>44803</v>
      </c>
      <c r="N4877" t="s">
        <v>47304</v>
      </c>
      <c r="O4877" t="s">
        <v>47305</v>
      </c>
      <c r="P4877">
        <v>0</v>
      </c>
      <c r="Q4877">
        <v>0</v>
      </c>
      <c r="R4877" t="s">
        <v>47306</v>
      </c>
      <c r="S4877" t="s">
        <v>47414</v>
      </c>
      <c r="T4877" t="s">
        <v>49023</v>
      </c>
      <c r="U4877" t="s">
        <v>53682</v>
      </c>
      <c r="W4877" t="s">
        <v>44803</v>
      </c>
      <c r="X4877" t="s">
        <v>47308</v>
      </c>
    </row>
    <row r="4878" spans="1:24">
      <c r="A4878">
        <f>HYPERLINK("https://www.philgeps.gov.ph/GEPSNONPILOT/Tender/SplashBidNoticeAbstractUI.aspx?menuIndex=3&amp;refID=7197548&amp;Result=3","7197548")</f>
        <v>0</v>
      </c>
      <c r="B4878" t="s">
        <v>362</v>
      </c>
      <c r="C4878" t="s">
        <v>8448</v>
      </c>
      <c r="D4878" t="s">
        <v>19023</v>
      </c>
      <c r="E4878" t="s">
        <v>23424</v>
      </c>
      <c r="F4878" t="s">
        <v>32606</v>
      </c>
      <c r="G4878" t="s">
        <v>32613</v>
      </c>
      <c r="H4878" t="s">
        <v>14201</v>
      </c>
      <c r="I4878" t="s">
        <v>32655</v>
      </c>
      <c r="J4878" t="s">
        <v>35992</v>
      </c>
      <c r="K4878" t="s">
        <v>42631</v>
      </c>
      <c r="M4878" t="s">
        <v>43264</v>
      </c>
      <c r="N4878" t="s">
        <v>47304</v>
      </c>
      <c r="O4878" t="s">
        <v>47305</v>
      </c>
      <c r="P4878">
        <v>0</v>
      </c>
      <c r="Q4878">
        <v>1</v>
      </c>
      <c r="R4878" t="s">
        <v>47306</v>
      </c>
      <c r="S4878" t="s">
        <v>47414</v>
      </c>
      <c r="T4878" t="s">
        <v>49153</v>
      </c>
      <c r="U4878" t="s">
        <v>53681</v>
      </c>
      <c r="V4878" t="s">
        <v>63100</v>
      </c>
      <c r="W4878" t="s">
        <v>43264</v>
      </c>
      <c r="X4878" t="s">
        <v>47308</v>
      </c>
    </row>
    <row r="4879" spans="1:24">
      <c r="A4879">
        <f>HYPERLINK("https://www.philgeps.gov.ph/GEPSNONPILOT/Tender/SplashBidNoticeAbstractUI.aspx?menuIndex=3&amp;refID=7197547&amp;Result=3","7197547")</f>
        <v>0</v>
      </c>
      <c r="B4879" t="s">
        <v>1746</v>
      </c>
      <c r="C4879" t="s">
        <v>8449</v>
      </c>
      <c r="D4879" t="s">
        <v>19024</v>
      </c>
      <c r="E4879" t="s">
        <v>23425</v>
      </c>
      <c r="F4879" t="s">
        <v>32606</v>
      </c>
      <c r="G4879" t="s">
        <v>32614</v>
      </c>
      <c r="H4879" t="s">
        <v>14201</v>
      </c>
      <c r="I4879" t="s">
        <v>4120</v>
      </c>
      <c r="J4879" t="s">
        <v>35993</v>
      </c>
      <c r="K4879" t="s">
        <v>42630</v>
      </c>
      <c r="M4879" t="s">
        <v>44781</v>
      </c>
      <c r="N4879" t="s">
        <v>47304</v>
      </c>
      <c r="O4879" t="s">
        <v>47305</v>
      </c>
      <c r="P4879">
        <v>0</v>
      </c>
      <c r="Q4879">
        <v>1</v>
      </c>
      <c r="R4879" t="s">
        <v>47306</v>
      </c>
      <c r="S4879" t="s">
        <v>47414</v>
      </c>
      <c r="T4879" t="s">
        <v>48980</v>
      </c>
      <c r="U4879" t="s">
        <v>53602</v>
      </c>
      <c r="W4879" t="s">
        <v>44781</v>
      </c>
      <c r="X4879" t="s">
        <v>47308</v>
      </c>
    </row>
    <row r="4880" spans="1:24">
      <c r="A4880">
        <f>HYPERLINK("https://www.philgeps.gov.ph/GEPSNONPILOT/Tender/SplashBidNoticeAbstractUI.aspx?menuIndex=3&amp;refID=7197546&amp;Result=3","7197546")</f>
        <v>0</v>
      </c>
      <c r="B4880" t="s">
        <v>1175</v>
      </c>
      <c r="C4880" t="s">
        <v>8450</v>
      </c>
      <c r="D4880" t="s">
        <v>19015</v>
      </c>
      <c r="E4880" t="s">
        <v>23426</v>
      </c>
      <c r="F4880" t="s">
        <v>32606</v>
      </c>
      <c r="G4880" t="s">
        <v>32614</v>
      </c>
      <c r="H4880" t="s">
        <v>14201</v>
      </c>
      <c r="I4880" t="s">
        <v>6007</v>
      </c>
      <c r="J4880" t="s">
        <v>35994</v>
      </c>
      <c r="K4880" t="s">
        <v>42637</v>
      </c>
      <c r="M4880" t="s">
        <v>44138</v>
      </c>
      <c r="N4880" t="s">
        <v>47304</v>
      </c>
      <c r="O4880" t="s">
        <v>47305</v>
      </c>
      <c r="P4880">
        <v>0</v>
      </c>
      <c r="Q4880">
        <v>0</v>
      </c>
      <c r="R4880" t="s">
        <v>47306</v>
      </c>
      <c r="S4880" t="s">
        <v>47414</v>
      </c>
      <c r="T4880" t="s">
        <v>48997</v>
      </c>
      <c r="U4880" t="s">
        <v>53683</v>
      </c>
      <c r="W4880" t="s">
        <v>44138</v>
      </c>
      <c r="X4880" t="s">
        <v>47308</v>
      </c>
    </row>
    <row r="4881" spans="1:24">
      <c r="A4881">
        <f>HYPERLINK("https://www.philgeps.gov.ph/GEPSNONPILOT/Tender/SplashBidNoticeAbstractUI.aspx?menuIndex=3&amp;refID=7197532&amp;Result=3","7197532")</f>
        <v>0</v>
      </c>
      <c r="B4881" t="s">
        <v>1175</v>
      </c>
      <c r="C4881" t="s">
        <v>8451</v>
      </c>
      <c r="D4881" t="s">
        <v>19015</v>
      </c>
      <c r="E4881" t="s">
        <v>23427</v>
      </c>
      <c r="F4881" t="s">
        <v>32606</v>
      </c>
      <c r="G4881" t="s">
        <v>32614</v>
      </c>
      <c r="H4881" t="s">
        <v>14201</v>
      </c>
      <c r="I4881" t="s">
        <v>4369</v>
      </c>
      <c r="J4881" t="s">
        <v>32765</v>
      </c>
      <c r="K4881" t="s">
        <v>42623</v>
      </c>
      <c r="M4881" t="s">
        <v>44138</v>
      </c>
      <c r="N4881" t="s">
        <v>47304</v>
      </c>
      <c r="O4881" t="s">
        <v>47305</v>
      </c>
      <c r="P4881">
        <v>0</v>
      </c>
      <c r="Q4881">
        <v>4</v>
      </c>
      <c r="R4881" t="s">
        <v>47306</v>
      </c>
      <c r="S4881" t="s">
        <v>47414</v>
      </c>
      <c r="T4881" t="s">
        <v>48997</v>
      </c>
      <c r="U4881" t="s">
        <v>53684</v>
      </c>
      <c r="W4881" t="s">
        <v>44138</v>
      </c>
      <c r="X4881" t="s">
        <v>47308</v>
      </c>
    </row>
    <row r="4882" spans="1:24">
      <c r="A4882">
        <f>HYPERLINK("https://www.philgeps.gov.ph/GEPSNONPILOT/Tender/SplashBidNoticeAbstractUI.aspx?menuIndex=3&amp;refID=7197527&amp;Result=3","7197527")</f>
        <v>0</v>
      </c>
      <c r="B4882" t="s">
        <v>1738</v>
      </c>
      <c r="C4882" t="s">
        <v>8452</v>
      </c>
      <c r="E4882" t="s">
        <v>23428</v>
      </c>
      <c r="F4882" t="s">
        <v>32606</v>
      </c>
      <c r="G4882" t="s">
        <v>32614</v>
      </c>
      <c r="H4882" t="s">
        <v>14201</v>
      </c>
      <c r="I4882" t="s">
        <v>32638</v>
      </c>
      <c r="J4882" t="s">
        <v>34545</v>
      </c>
      <c r="K4882" t="s">
        <v>42624</v>
      </c>
      <c r="M4882" t="s">
        <v>44771</v>
      </c>
      <c r="N4882" t="s">
        <v>47304</v>
      </c>
      <c r="O4882" t="s">
        <v>47305</v>
      </c>
      <c r="P4882">
        <v>0</v>
      </c>
      <c r="Q4882">
        <v>22</v>
      </c>
      <c r="R4882" t="s">
        <v>47306</v>
      </c>
      <c r="S4882" t="s">
        <v>47414</v>
      </c>
      <c r="T4882" t="s">
        <v>48980</v>
      </c>
      <c r="U4882" t="s">
        <v>53685</v>
      </c>
      <c r="W4882" t="s">
        <v>44771</v>
      </c>
      <c r="X4882" t="s">
        <v>47308</v>
      </c>
    </row>
    <row r="4883" spans="1:24">
      <c r="A4883">
        <f>HYPERLINK("https://www.philgeps.gov.ph/GEPSNONPILOT/Tender/SplashBidNoticeAbstractUI.aspx?menuIndex=3&amp;refID=7197543&amp;Result=3","7197543")</f>
        <v>0</v>
      </c>
      <c r="B4883" t="s">
        <v>1726</v>
      </c>
      <c r="C4883" t="s">
        <v>8453</v>
      </c>
      <c r="E4883" t="s">
        <v>23429</v>
      </c>
      <c r="F4883" t="s">
        <v>32606</v>
      </c>
      <c r="G4883" t="s">
        <v>32614</v>
      </c>
      <c r="H4883" t="s">
        <v>14201</v>
      </c>
      <c r="I4883" t="s">
        <v>13131</v>
      </c>
      <c r="J4883" t="s">
        <v>35995</v>
      </c>
      <c r="K4883" t="s">
        <v>42631</v>
      </c>
      <c r="M4883" t="s">
        <v>44758</v>
      </c>
      <c r="N4883" t="s">
        <v>47304</v>
      </c>
      <c r="O4883" t="s">
        <v>47305</v>
      </c>
      <c r="P4883">
        <v>0</v>
      </c>
      <c r="Q4883">
        <v>9</v>
      </c>
      <c r="R4883" t="s">
        <v>47306</v>
      </c>
      <c r="S4883" t="s">
        <v>47414</v>
      </c>
      <c r="T4883" t="s">
        <v>48980</v>
      </c>
      <c r="U4883" t="s">
        <v>53686</v>
      </c>
      <c r="W4883" t="s">
        <v>44758</v>
      </c>
      <c r="X4883" t="s">
        <v>47308</v>
      </c>
    </row>
    <row r="4884" spans="1:24">
      <c r="A4884">
        <f>HYPERLINK("https://www.philgeps.gov.ph/GEPSNONPILOT/Tender/SplashBidNoticeAbstractUI.aspx?menuIndex=3&amp;refID=7197526&amp;Result=3","7197526")</f>
        <v>0</v>
      </c>
      <c r="B4884" t="s">
        <v>76</v>
      </c>
      <c r="C4884" t="s">
        <v>8454</v>
      </c>
      <c r="D4884" t="s">
        <v>19010</v>
      </c>
      <c r="E4884" t="s">
        <v>23430</v>
      </c>
      <c r="F4884" t="s">
        <v>32606</v>
      </c>
      <c r="G4884" t="s">
        <v>32613</v>
      </c>
      <c r="H4884" t="s">
        <v>32623</v>
      </c>
      <c r="I4884" t="s">
        <v>17648</v>
      </c>
      <c r="J4884" t="s">
        <v>35996</v>
      </c>
      <c r="K4884" t="s">
        <v>42638</v>
      </c>
      <c r="M4884" t="s">
        <v>44791</v>
      </c>
      <c r="N4884" t="s">
        <v>47304</v>
      </c>
      <c r="O4884" t="s">
        <v>47305</v>
      </c>
      <c r="P4884">
        <v>0</v>
      </c>
      <c r="Q4884">
        <v>1</v>
      </c>
      <c r="R4884" t="s">
        <v>47306</v>
      </c>
      <c r="S4884" t="s">
        <v>47414</v>
      </c>
      <c r="T4884" t="s">
        <v>48987</v>
      </c>
      <c r="U4884" t="s">
        <v>53687</v>
      </c>
      <c r="W4884" t="s">
        <v>44791</v>
      </c>
      <c r="X4884" t="s">
        <v>47308</v>
      </c>
    </row>
    <row r="4885" spans="1:24">
      <c r="A4885">
        <f>HYPERLINK("https://www.philgeps.gov.ph/GEPSNONPILOT/Tender/SplashBidNoticeAbstractUI.aspx?menuIndex=3&amp;refID=7197556&amp;Result=3","7197556")</f>
        <v>0</v>
      </c>
      <c r="B4885" t="s">
        <v>1175</v>
      </c>
      <c r="C4885" t="s">
        <v>8455</v>
      </c>
      <c r="D4885" t="s">
        <v>19015</v>
      </c>
      <c r="E4885" t="s">
        <v>22511</v>
      </c>
      <c r="F4885" t="s">
        <v>32606</v>
      </c>
      <c r="G4885" t="s">
        <v>32614</v>
      </c>
      <c r="H4885" t="s">
        <v>14201</v>
      </c>
      <c r="I4885" t="s">
        <v>6007</v>
      </c>
      <c r="J4885" t="s">
        <v>33243</v>
      </c>
      <c r="K4885" t="s">
        <v>42663</v>
      </c>
      <c r="M4885" t="s">
        <v>44138</v>
      </c>
      <c r="N4885" t="s">
        <v>47304</v>
      </c>
      <c r="O4885" t="s">
        <v>47305</v>
      </c>
      <c r="P4885">
        <v>0</v>
      </c>
      <c r="Q4885">
        <v>0</v>
      </c>
      <c r="R4885" t="s">
        <v>47306</v>
      </c>
      <c r="S4885" t="s">
        <v>47414</v>
      </c>
      <c r="T4885" t="s">
        <v>48997</v>
      </c>
      <c r="U4885" t="s">
        <v>53688</v>
      </c>
      <c r="W4885" t="s">
        <v>44138</v>
      </c>
      <c r="X4885" t="s">
        <v>47308</v>
      </c>
    </row>
    <row r="4886" spans="1:24">
      <c r="A4886">
        <f>HYPERLINK("https://www.philgeps.gov.ph/GEPSNONPILOT/Tender/SplashBidNoticeAbstractUI.aspx?menuIndex=3&amp;refID=7197525&amp;Result=3","7197525")</f>
        <v>0</v>
      </c>
      <c r="B4886" t="s">
        <v>1250</v>
      </c>
      <c r="C4886" t="s">
        <v>8456</v>
      </c>
      <c r="D4886" t="s">
        <v>19044</v>
      </c>
      <c r="E4886" t="s">
        <v>23431</v>
      </c>
      <c r="F4886" t="s">
        <v>32606</v>
      </c>
      <c r="G4886" t="s">
        <v>32615</v>
      </c>
      <c r="H4886" t="s">
        <v>14201</v>
      </c>
      <c r="I4886" t="s">
        <v>32654</v>
      </c>
      <c r="J4886" t="s">
        <v>33385</v>
      </c>
      <c r="K4886" t="s">
        <v>42630</v>
      </c>
      <c r="M4886" t="s">
        <v>44216</v>
      </c>
      <c r="N4886" t="s">
        <v>47304</v>
      </c>
      <c r="O4886" t="s">
        <v>47305</v>
      </c>
      <c r="P4886">
        <v>0</v>
      </c>
      <c r="Q4886">
        <v>0</v>
      </c>
      <c r="R4886" t="s">
        <v>47306</v>
      </c>
      <c r="S4886" t="s">
        <v>47414</v>
      </c>
      <c r="T4886" t="s">
        <v>48980</v>
      </c>
      <c r="U4886" t="s">
        <v>52142</v>
      </c>
      <c r="W4886" t="s">
        <v>44216</v>
      </c>
      <c r="X4886" t="s">
        <v>47308</v>
      </c>
    </row>
    <row r="4887" spans="1:24">
      <c r="A4887">
        <f>HYPERLINK("https://www.philgeps.gov.ph/GEPSNONPILOT/Tender/SplashBidNoticeAbstractUI.aspx?menuIndex=3&amp;refID=7197524&amp;Result=3","7197524")</f>
        <v>0</v>
      </c>
      <c r="B4887" t="s">
        <v>1721</v>
      </c>
      <c r="C4887" t="s">
        <v>8372</v>
      </c>
      <c r="D4887" t="s">
        <v>18993</v>
      </c>
      <c r="E4887" t="s">
        <v>23432</v>
      </c>
      <c r="F4887" t="s">
        <v>32606</v>
      </c>
      <c r="G4887" t="s">
        <v>32614</v>
      </c>
      <c r="H4887" t="s">
        <v>14201</v>
      </c>
      <c r="I4887" t="s">
        <v>6931</v>
      </c>
      <c r="J4887" t="s">
        <v>32981</v>
      </c>
      <c r="K4887" t="s">
        <v>42623</v>
      </c>
      <c r="M4887" t="s">
        <v>44753</v>
      </c>
      <c r="N4887" t="s">
        <v>47304</v>
      </c>
      <c r="O4887" t="s">
        <v>47305</v>
      </c>
      <c r="P4887">
        <v>0</v>
      </c>
      <c r="Q4887">
        <v>1</v>
      </c>
      <c r="R4887" t="s">
        <v>47306</v>
      </c>
      <c r="S4887" t="s">
        <v>47414</v>
      </c>
      <c r="T4887" t="s">
        <v>49004</v>
      </c>
      <c r="U4887" t="s">
        <v>53689</v>
      </c>
      <c r="V4887" t="s">
        <v>63091</v>
      </c>
      <c r="W4887" t="s">
        <v>44753</v>
      </c>
      <c r="X4887" t="s">
        <v>47308</v>
      </c>
    </row>
    <row r="4888" spans="1:24">
      <c r="A4888">
        <f>HYPERLINK("https://www.philgeps.gov.ph/GEPSNONPILOT/Tender/SplashBidNoticeAbstractUI.aspx?menuIndex=3&amp;refID=7197591&amp;Result=3","7197591")</f>
        <v>0</v>
      </c>
      <c r="B4888" t="s">
        <v>1172</v>
      </c>
      <c r="C4888" t="s">
        <v>8457</v>
      </c>
      <c r="D4888" t="s">
        <v>19002</v>
      </c>
      <c r="E4888" t="s">
        <v>23433</v>
      </c>
      <c r="F4888" t="s">
        <v>32606</v>
      </c>
      <c r="G4888" t="s">
        <v>32614</v>
      </c>
      <c r="H4888" t="s">
        <v>14201</v>
      </c>
      <c r="I4888" t="s">
        <v>32654</v>
      </c>
      <c r="J4888" t="s">
        <v>34000</v>
      </c>
      <c r="K4888" t="s">
        <v>42630</v>
      </c>
      <c r="M4888" t="s">
        <v>44135</v>
      </c>
      <c r="N4888" t="s">
        <v>47304</v>
      </c>
      <c r="O4888" t="s">
        <v>47305</v>
      </c>
      <c r="P4888">
        <v>0</v>
      </c>
      <c r="Q4888">
        <v>0</v>
      </c>
      <c r="R4888" t="s">
        <v>47306</v>
      </c>
      <c r="S4888" t="s">
        <v>47414</v>
      </c>
      <c r="T4888" t="s">
        <v>49023</v>
      </c>
      <c r="U4888" t="s">
        <v>51932</v>
      </c>
      <c r="W4888" t="s">
        <v>44135</v>
      </c>
      <c r="X4888" t="s">
        <v>47308</v>
      </c>
    </row>
    <row r="4889" spans="1:24">
      <c r="A4889">
        <f>HYPERLINK("https://www.philgeps.gov.ph/GEPSNONPILOT/Tender/SplashBidNoticeAbstractUI.aspx?menuIndex=3&amp;refID=7197590&amp;Result=3","7197590")</f>
        <v>0</v>
      </c>
      <c r="B4889" t="s">
        <v>1767</v>
      </c>
      <c r="C4889" t="s">
        <v>8458</v>
      </c>
      <c r="D4889" t="s">
        <v>18993</v>
      </c>
      <c r="E4889" t="s">
        <v>23434</v>
      </c>
      <c r="F4889" t="s">
        <v>32606</v>
      </c>
      <c r="G4889" t="s">
        <v>32613</v>
      </c>
      <c r="H4889" t="s">
        <v>14201</v>
      </c>
      <c r="I4889" t="s">
        <v>32629</v>
      </c>
      <c r="J4889" t="s">
        <v>35997</v>
      </c>
      <c r="K4889" t="s">
        <v>42624</v>
      </c>
      <c r="M4889" t="s">
        <v>44804</v>
      </c>
      <c r="N4889" t="s">
        <v>47304</v>
      </c>
      <c r="O4889" t="s">
        <v>47305</v>
      </c>
      <c r="P4889">
        <v>0</v>
      </c>
      <c r="Q4889">
        <v>0</v>
      </c>
      <c r="R4889" t="s">
        <v>47306</v>
      </c>
      <c r="S4889" t="s">
        <v>47414</v>
      </c>
      <c r="T4889" t="s">
        <v>48983</v>
      </c>
      <c r="U4889" t="s">
        <v>53690</v>
      </c>
      <c r="W4889" t="s">
        <v>44804</v>
      </c>
      <c r="X4889" t="s">
        <v>47308</v>
      </c>
    </row>
    <row r="4890" spans="1:24">
      <c r="A4890">
        <f>HYPERLINK("https://www.philgeps.gov.ph/GEPSNONPILOT/Tender/SplashBidNoticeAbstractUI.aspx?menuIndex=3&amp;refID=7197589&amp;Result=3","7197589")</f>
        <v>0</v>
      </c>
      <c r="B4890" t="s">
        <v>130</v>
      </c>
      <c r="C4890" t="s">
        <v>8459</v>
      </c>
      <c r="D4890" t="s">
        <v>19015</v>
      </c>
      <c r="E4890" t="s">
        <v>23435</v>
      </c>
      <c r="F4890" t="s">
        <v>32606</v>
      </c>
      <c r="G4890" t="s">
        <v>32613</v>
      </c>
      <c r="H4890" t="s">
        <v>14201</v>
      </c>
      <c r="I4890" t="s">
        <v>32650</v>
      </c>
      <c r="J4890" t="s">
        <v>35998</v>
      </c>
      <c r="K4890" t="s">
        <v>42631</v>
      </c>
      <c r="M4890" t="s">
        <v>43031</v>
      </c>
      <c r="N4890" t="s">
        <v>47304</v>
      </c>
      <c r="O4890" t="s">
        <v>47305</v>
      </c>
      <c r="P4890">
        <v>0</v>
      </c>
      <c r="Q4890">
        <v>2</v>
      </c>
      <c r="R4890" t="s">
        <v>47306</v>
      </c>
      <c r="S4890" t="s">
        <v>47414</v>
      </c>
      <c r="T4890" t="s">
        <v>49155</v>
      </c>
      <c r="U4890" t="s">
        <v>53691</v>
      </c>
      <c r="V4890" t="s">
        <v>63101</v>
      </c>
      <c r="W4890" t="s">
        <v>43031</v>
      </c>
      <c r="X4890" t="s">
        <v>47308</v>
      </c>
    </row>
    <row r="4891" spans="1:24">
      <c r="A4891">
        <f>HYPERLINK("https://www.philgeps.gov.ph/GEPSNONPILOT/Tender/SplashBidNoticeAbstractUI.aspx?menuIndex=3&amp;refID=7197586&amp;Result=3","7197586")</f>
        <v>0</v>
      </c>
      <c r="B4891" t="s">
        <v>1172</v>
      </c>
      <c r="C4891" t="s">
        <v>8460</v>
      </c>
      <c r="D4891" t="s">
        <v>19002</v>
      </c>
      <c r="E4891" t="s">
        <v>23436</v>
      </c>
      <c r="F4891" t="s">
        <v>32606</v>
      </c>
      <c r="G4891" t="s">
        <v>32614</v>
      </c>
      <c r="H4891" t="s">
        <v>14201</v>
      </c>
      <c r="I4891" t="s">
        <v>32696</v>
      </c>
      <c r="J4891" t="s">
        <v>33093</v>
      </c>
      <c r="K4891" t="s">
        <v>42630</v>
      </c>
      <c r="M4891" t="s">
        <v>44135</v>
      </c>
      <c r="N4891" t="s">
        <v>47304</v>
      </c>
      <c r="O4891" t="s">
        <v>47305</v>
      </c>
      <c r="P4891">
        <v>0</v>
      </c>
      <c r="Q4891">
        <v>0</v>
      </c>
      <c r="R4891" t="s">
        <v>47306</v>
      </c>
      <c r="S4891" t="s">
        <v>47414</v>
      </c>
      <c r="T4891" t="s">
        <v>49023</v>
      </c>
      <c r="U4891" t="s">
        <v>51932</v>
      </c>
      <c r="W4891" t="s">
        <v>44135</v>
      </c>
      <c r="X4891" t="s">
        <v>47308</v>
      </c>
    </row>
    <row r="4892" spans="1:24">
      <c r="A4892">
        <f>HYPERLINK("https://www.philgeps.gov.ph/GEPSNONPILOT/Tender/SplashBidNoticeAbstractUI.aspx?menuIndex=3&amp;refID=7197528&amp;Result=3","7197528")</f>
        <v>0</v>
      </c>
      <c r="B4892" t="s">
        <v>1695</v>
      </c>
      <c r="C4892" t="s">
        <v>8461</v>
      </c>
      <c r="D4892" t="s">
        <v>19050</v>
      </c>
      <c r="E4892" t="s">
        <v>23437</v>
      </c>
      <c r="F4892" t="s">
        <v>32606</v>
      </c>
      <c r="G4892" t="s">
        <v>32613</v>
      </c>
      <c r="H4892" t="s">
        <v>32623</v>
      </c>
      <c r="I4892" t="s">
        <v>17648</v>
      </c>
      <c r="J4892" t="s">
        <v>35999</v>
      </c>
      <c r="K4892" t="s">
        <v>42623</v>
      </c>
      <c r="M4892" t="s">
        <v>44724</v>
      </c>
      <c r="N4892" t="s">
        <v>47304</v>
      </c>
      <c r="O4892" t="s">
        <v>47305</v>
      </c>
      <c r="P4892">
        <v>0</v>
      </c>
      <c r="Q4892">
        <v>0</v>
      </c>
      <c r="R4892" t="s">
        <v>47306</v>
      </c>
      <c r="S4892" t="s">
        <v>47414</v>
      </c>
      <c r="T4892" t="s">
        <v>48995</v>
      </c>
      <c r="U4892" t="s">
        <v>53692</v>
      </c>
      <c r="W4892" t="s">
        <v>44724</v>
      </c>
      <c r="X4892" t="s">
        <v>47308</v>
      </c>
    </row>
    <row r="4893" spans="1:24">
      <c r="A4893">
        <f>HYPERLINK("https://www.philgeps.gov.ph/GEPSNONPILOT/Tender/SplashBidNoticeAbstractUI.aspx?menuIndex=3&amp;refID=7197584&amp;Result=3","7197584")</f>
        <v>0</v>
      </c>
      <c r="B4893" t="s">
        <v>28</v>
      </c>
      <c r="C4893" t="s">
        <v>8462</v>
      </c>
      <c r="D4893" t="s">
        <v>18993</v>
      </c>
      <c r="E4893" t="s">
        <v>23438</v>
      </c>
      <c r="F4893" t="s">
        <v>32606</v>
      </c>
      <c r="G4893" t="s">
        <v>32615</v>
      </c>
      <c r="H4893" t="s">
        <v>14201</v>
      </c>
      <c r="I4893" t="s">
        <v>32631</v>
      </c>
      <c r="J4893" t="s">
        <v>36000</v>
      </c>
      <c r="K4893" t="s">
        <v>42631</v>
      </c>
      <c r="M4893" t="s">
        <v>44805</v>
      </c>
      <c r="N4893" t="s">
        <v>47304</v>
      </c>
      <c r="O4893" t="s">
        <v>47305</v>
      </c>
      <c r="P4893">
        <v>0</v>
      </c>
      <c r="Q4893">
        <v>8</v>
      </c>
      <c r="R4893" t="s">
        <v>47306</v>
      </c>
      <c r="S4893" t="s">
        <v>47414</v>
      </c>
      <c r="T4893" t="s">
        <v>49056</v>
      </c>
      <c r="U4893" t="s">
        <v>53693</v>
      </c>
      <c r="W4893" t="s">
        <v>44805</v>
      </c>
      <c r="X4893" t="s">
        <v>47308</v>
      </c>
    </row>
    <row r="4894" spans="1:24">
      <c r="A4894">
        <f>HYPERLINK("https://www.philgeps.gov.ph/GEPSNONPILOT/Tender/SplashBidNoticeAbstractUI.aspx?menuIndex=3&amp;refID=7197512&amp;Result=3","7197512")</f>
        <v>0</v>
      </c>
      <c r="B4894" t="s">
        <v>686</v>
      </c>
      <c r="C4894" t="s">
        <v>8414</v>
      </c>
      <c r="D4894" t="s">
        <v>18993</v>
      </c>
      <c r="E4894" t="s">
        <v>23439</v>
      </c>
      <c r="F4894" t="s">
        <v>32606</v>
      </c>
      <c r="G4894" t="s">
        <v>32614</v>
      </c>
      <c r="H4894" t="s">
        <v>14201</v>
      </c>
      <c r="I4894" t="s">
        <v>32694</v>
      </c>
      <c r="J4894" t="s">
        <v>36001</v>
      </c>
      <c r="K4894" t="s">
        <v>42624</v>
      </c>
      <c r="M4894" t="s">
        <v>43607</v>
      </c>
      <c r="N4894" t="s">
        <v>47304</v>
      </c>
      <c r="O4894" t="s">
        <v>47305</v>
      </c>
      <c r="P4894">
        <v>0</v>
      </c>
      <c r="Q4894">
        <v>7</v>
      </c>
      <c r="R4894" t="s">
        <v>47306</v>
      </c>
      <c r="S4894" t="s">
        <v>47414</v>
      </c>
      <c r="T4894" t="s">
        <v>49014</v>
      </c>
      <c r="U4894" t="s">
        <v>50752</v>
      </c>
      <c r="W4894" t="s">
        <v>43607</v>
      </c>
      <c r="X4894" t="s">
        <v>47308</v>
      </c>
    </row>
    <row r="4895" spans="1:24">
      <c r="A4895">
        <f>HYPERLINK("https://www.philgeps.gov.ph/GEPSNONPILOT/Tender/SplashBidNoticeAbstractUI.aspx?menuIndex=3&amp;refID=7197582&amp;Result=3","7197582")</f>
        <v>0</v>
      </c>
      <c r="B4895" t="s">
        <v>1172</v>
      </c>
      <c r="C4895" t="s">
        <v>8463</v>
      </c>
      <c r="D4895" t="s">
        <v>19002</v>
      </c>
      <c r="E4895" t="s">
        <v>23440</v>
      </c>
      <c r="F4895" t="s">
        <v>32606</v>
      </c>
      <c r="G4895" t="s">
        <v>32614</v>
      </c>
      <c r="H4895" t="s">
        <v>14201</v>
      </c>
      <c r="I4895" t="s">
        <v>32654</v>
      </c>
      <c r="J4895" t="s">
        <v>36002</v>
      </c>
      <c r="K4895" t="s">
        <v>42630</v>
      </c>
      <c r="M4895" t="s">
        <v>44135</v>
      </c>
      <c r="N4895" t="s">
        <v>47304</v>
      </c>
      <c r="O4895" t="s">
        <v>47305</v>
      </c>
      <c r="P4895">
        <v>0</v>
      </c>
      <c r="Q4895">
        <v>0</v>
      </c>
      <c r="R4895" t="s">
        <v>47306</v>
      </c>
      <c r="S4895" t="s">
        <v>47414</v>
      </c>
      <c r="T4895" t="s">
        <v>49023</v>
      </c>
      <c r="U4895" t="s">
        <v>51932</v>
      </c>
      <c r="W4895" t="s">
        <v>44135</v>
      </c>
      <c r="X4895" t="s">
        <v>47308</v>
      </c>
    </row>
    <row r="4896" spans="1:24">
      <c r="A4896">
        <f>HYPERLINK("https://www.philgeps.gov.ph/GEPSNONPILOT/Tender/SplashBidNoticeAbstractUI.aspx?menuIndex=3&amp;refID=7197579&amp;Result=3","7197579")</f>
        <v>0</v>
      </c>
      <c r="B4896" t="s">
        <v>131</v>
      </c>
      <c r="C4896" t="s">
        <v>8464</v>
      </c>
      <c r="D4896" t="s">
        <v>18993</v>
      </c>
      <c r="E4896" t="s">
        <v>23441</v>
      </c>
      <c r="F4896" t="s">
        <v>32606</v>
      </c>
      <c r="G4896" t="s">
        <v>32614</v>
      </c>
      <c r="H4896" t="s">
        <v>14201</v>
      </c>
      <c r="I4896" t="s">
        <v>8606</v>
      </c>
      <c r="J4896" t="s">
        <v>35019</v>
      </c>
      <c r="K4896" t="s">
        <v>42631</v>
      </c>
      <c r="M4896" t="s">
        <v>43032</v>
      </c>
      <c r="N4896" t="s">
        <v>47304</v>
      </c>
      <c r="O4896" t="s">
        <v>47305</v>
      </c>
      <c r="P4896">
        <v>0</v>
      </c>
      <c r="Q4896">
        <v>3</v>
      </c>
      <c r="R4896" t="s">
        <v>47306</v>
      </c>
      <c r="S4896" t="s">
        <v>47414</v>
      </c>
      <c r="T4896" t="s">
        <v>49061</v>
      </c>
      <c r="U4896" t="s">
        <v>53694</v>
      </c>
      <c r="W4896" t="s">
        <v>43032</v>
      </c>
      <c r="X4896" t="s">
        <v>47308</v>
      </c>
    </row>
    <row r="4897" spans="1:24">
      <c r="A4897">
        <f>HYPERLINK("https://www.philgeps.gov.ph/GEPSNONPILOT/Tender/SplashBidNoticeAbstractUI.aspx?menuIndex=3&amp;refID=7197551&amp;Result=3","7197551")</f>
        <v>0</v>
      </c>
      <c r="B4897" t="s">
        <v>1738</v>
      </c>
      <c r="C4897" t="s">
        <v>8465</v>
      </c>
      <c r="E4897" t="s">
        <v>23442</v>
      </c>
      <c r="F4897" t="s">
        <v>32606</v>
      </c>
      <c r="G4897" t="s">
        <v>32614</v>
      </c>
      <c r="H4897" t="s">
        <v>14201</v>
      </c>
      <c r="I4897" t="s">
        <v>32652</v>
      </c>
      <c r="J4897" t="s">
        <v>36003</v>
      </c>
      <c r="K4897" t="s">
        <v>42624</v>
      </c>
      <c r="M4897" t="s">
        <v>44771</v>
      </c>
      <c r="N4897" t="s">
        <v>47304</v>
      </c>
      <c r="O4897" t="s">
        <v>47305</v>
      </c>
      <c r="P4897">
        <v>0</v>
      </c>
      <c r="Q4897">
        <v>3</v>
      </c>
      <c r="R4897" t="s">
        <v>47306</v>
      </c>
      <c r="S4897" t="s">
        <v>47414</v>
      </c>
      <c r="T4897" t="s">
        <v>48980</v>
      </c>
      <c r="U4897" t="s">
        <v>53695</v>
      </c>
      <c r="W4897" t="s">
        <v>44771</v>
      </c>
      <c r="X4897" t="s">
        <v>47308</v>
      </c>
    </row>
    <row r="4898" spans="1:24">
      <c r="A4898">
        <f>HYPERLINK("https://www.philgeps.gov.ph/GEPSNONPILOT/Tender/SplashBidNoticeAbstractUI.aspx?menuIndex=3&amp;refID=7197577&amp;Result=3","7197577")</f>
        <v>0</v>
      </c>
      <c r="B4898" t="s">
        <v>1172</v>
      </c>
      <c r="C4898" t="s">
        <v>8466</v>
      </c>
      <c r="D4898" t="s">
        <v>19002</v>
      </c>
      <c r="E4898" t="s">
        <v>23443</v>
      </c>
      <c r="F4898" t="s">
        <v>32606</v>
      </c>
      <c r="G4898" t="s">
        <v>32614</v>
      </c>
      <c r="H4898" t="s">
        <v>14201</v>
      </c>
      <c r="I4898" t="s">
        <v>32696</v>
      </c>
      <c r="J4898" t="s">
        <v>33062</v>
      </c>
      <c r="K4898" t="s">
        <v>42630</v>
      </c>
      <c r="M4898" t="s">
        <v>44135</v>
      </c>
      <c r="N4898" t="s">
        <v>47304</v>
      </c>
      <c r="O4898" t="s">
        <v>47305</v>
      </c>
      <c r="P4898">
        <v>0</v>
      </c>
      <c r="Q4898">
        <v>0</v>
      </c>
      <c r="R4898" t="s">
        <v>47306</v>
      </c>
      <c r="S4898" t="s">
        <v>47414</v>
      </c>
      <c r="T4898" t="s">
        <v>49023</v>
      </c>
      <c r="U4898" t="s">
        <v>51932</v>
      </c>
      <c r="W4898" t="s">
        <v>44135</v>
      </c>
      <c r="X4898" t="s">
        <v>47308</v>
      </c>
    </row>
    <row r="4899" spans="1:24">
      <c r="A4899">
        <f>HYPERLINK("https://www.philgeps.gov.ph/GEPSNONPILOT/Tender/SplashBidNoticeAbstractUI.aspx?menuIndex=3&amp;refID=7197587&amp;Result=3","7197587")</f>
        <v>0</v>
      </c>
      <c r="B4899" t="s">
        <v>131</v>
      </c>
      <c r="C4899" t="s">
        <v>8467</v>
      </c>
      <c r="D4899" t="s">
        <v>18993</v>
      </c>
      <c r="E4899" t="s">
        <v>23444</v>
      </c>
      <c r="F4899" t="s">
        <v>32606</v>
      </c>
      <c r="G4899" t="s">
        <v>32614</v>
      </c>
      <c r="H4899" t="s">
        <v>14201</v>
      </c>
      <c r="I4899" t="s">
        <v>32640</v>
      </c>
      <c r="J4899" t="s">
        <v>33529</v>
      </c>
      <c r="K4899" t="s">
        <v>42631</v>
      </c>
      <c r="M4899" t="s">
        <v>43032</v>
      </c>
      <c r="N4899" t="s">
        <v>47304</v>
      </c>
      <c r="O4899" t="s">
        <v>47305</v>
      </c>
      <c r="P4899">
        <v>0</v>
      </c>
      <c r="Q4899">
        <v>3</v>
      </c>
      <c r="R4899" t="s">
        <v>47306</v>
      </c>
      <c r="S4899" t="s">
        <v>47414</v>
      </c>
      <c r="T4899" t="s">
        <v>48979</v>
      </c>
      <c r="U4899" t="s">
        <v>53696</v>
      </c>
      <c r="W4899" t="s">
        <v>43032</v>
      </c>
      <c r="X4899" t="s">
        <v>47308</v>
      </c>
    </row>
    <row r="4900" spans="1:24">
      <c r="A4900">
        <f>HYPERLINK("https://www.philgeps.gov.ph/GEPSNONPILOT/Tender/SplashBidNoticeAbstractUI.aspx?menuIndex=3&amp;refID=7197583&amp;Result=3","7197583")</f>
        <v>0</v>
      </c>
      <c r="B4900" t="s">
        <v>1768</v>
      </c>
      <c r="C4900" t="s">
        <v>8468</v>
      </c>
      <c r="D4900" t="s">
        <v>18995</v>
      </c>
      <c r="E4900" t="s">
        <v>19315</v>
      </c>
      <c r="F4900" t="s">
        <v>32606</v>
      </c>
      <c r="G4900" t="s">
        <v>32613</v>
      </c>
      <c r="H4900" t="s">
        <v>32623</v>
      </c>
      <c r="I4900" t="s">
        <v>17648</v>
      </c>
      <c r="J4900" t="s">
        <v>36004</v>
      </c>
      <c r="K4900" t="s">
        <v>42631</v>
      </c>
      <c r="M4900" t="s">
        <v>44806</v>
      </c>
      <c r="N4900" t="s">
        <v>47304</v>
      </c>
      <c r="O4900" t="s">
        <v>47305</v>
      </c>
      <c r="P4900">
        <v>0</v>
      </c>
      <c r="Q4900">
        <v>0</v>
      </c>
      <c r="R4900" t="s">
        <v>47306</v>
      </c>
      <c r="S4900" t="s">
        <v>47414</v>
      </c>
      <c r="T4900" t="s">
        <v>49296</v>
      </c>
      <c r="U4900" t="s">
        <v>53697</v>
      </c>
      <c r="V4900" t="s">
        <v>63102</v>
      </c>
      <c r="W4900" t="s">
        <v>44806</v>
      </c>
      <c r="X4900" t="s">
        <v>47308</v>
      </c>
    </row>
    <row r="4901" spans="1:24">
      <c r="A4901">
        <f>HYPERLINK("https://www.philgeps.gov.ph/GEPSNONPILOT/Tender/SplashBidNoticeAbstractUI.aspx?menuIndex=3&amp;refID=7197580&amp;Result=3","7197580")</f>
        <v>0</v>
      </c>
      <c r="B4901" t="s">
        <v>1763</v>
      </c>
      <c r="C4901" t="s">
        <v>8469</v>
      </c>
      <c r="D4901" t="s">
        <v>19003</v>
      </c>
      <c r="E4901" t="s">
        <v>23445</v>
      </c>
      <c r="F4901" t="s">
        <v>32606</v>
      </c>
      <c r="G4901" t="s">
        <v>32614</v>
      </c>
      <c r="H4901" t="s">
        <v>14201</v>
      </c>
      <c r="I4901" t="s">
        <v>32671</v>
      </c>
      <c r="J4901" t="s">
        <v>36005</v>
      </c>
      <c r="K4901" t="s">
        <v>42632</v>
      </c>
      <c r="M4901" t="s">
        <v>44800</v>
      </c>
      <c r="N4901" t="s">
        <v>47304</v>
      </c>
      <c r="O4901" t="s">
        <v>47305</v>
      </c>
      <c r="P4901">
        <v>0</v>
      </c>
      <c r="Q4901">
        <v>0</v>
      </c>
      <c r="R4901" t="s">
        <v>47306</v>
      </c>
      <c r="S4901" t="s">
        <v>47414</v>
      </c>
      <c r="T4901" t="s">
        <v>49061</v>
      </c>
      <c r="U4901" t="s">
        <v>53673</v>
      </c>
      <c r="V4901" t="s">
        <v>63097</v>
      </c>
      <c r="W4901" t="s">
        <v>44800</v>
      </c>
      <c r="X4901" t="s">
        <v>47308</v>
      </c>
    </row>
    <row r="4902" spans="1:24">
      <c r="A4902">
        <f>HYPERLINK("https://www.philgeps.gov.ph/GEPSNONPILOT/Tender/SplashBidNoticeAbstractUI.aspx?menuIndex=3&amp;refID=7197574&amp;Result=3","7197574")</f>
        <v>0</v>
      </c>
      <c r="B4902" t="s">
        <v>1769</v>
      </c>
      <c r="C4902" t="s">
        <v>8470</v>
      </c>
      <c r="D4902" t="s">
        <v>19037</v>
      </c>
      <c r="E4902" t="s">
        <v>23446</v>
      </c>
      <c r="F4902" t="s">
        <v>32606</v>
      </c>
      <c r="G4902" t="s">
        <v>32613</v>
      </c>
      <c r="H4902" t="s">
        <v>32623</v>
      </c>
      <c r="I4902" t="s">
        <v>17648</v>
      </c>
      <c r="J4902" t="s">
        <v>36006</v>
      </c>
      <c r="K4902" t="s">
        <v>42646</v>
      </c>
      <c r="M4902" t="s">
        <v>44807</v>
      </c>
      <c r="N4902" t="s">
        <v>47304</v>
      </c>
      <c r="O4902" t="s">
        <v>47305</v>
      </c>
      <c r="P4902">
        <v>0</v>
      </c>
      <c r="Q4902">
        <v>0</v>
      </c>
      <c r="R4902" t="s">
        <v>47306</v>
      </c>
      <c r="S4902" t="s">
        <v>47414</v>
      </c>
      <c r="T4902" t="s">
        <v>49131</v>
      </c>
      <c r="U4902" t="s">
        <v>53698</v>
      </c>
      <c r="W4902" t="s">
        <v>44807</v>
      </c>
      <c r="X4902" t="s">
        <v>47308</v>
      </c>
    </row>
    <row r="4903" spans="1:24">
      <c r="A4903">
        <f>HYPERLINK("https://www.philgeps.gov.ph/GEPSNONPILOT/Tender/SplashBidNoticeAbstractUI.aspx?menuIndex=3&amp;refID=7197573&amp;Result=3","7197573")</f>
        <v>0</v>
      </c>
      <c r="B4903" t="s">
        <v>1172</v>
      </c>
      <c r="C4903" t="s">
        <v>8471</v>
      </c>
      <c r="D4903" t="s">
        <v>19002</v>
      </c>
      <c r="E4903" t="s">
        <v>23447</v>
      </c>
      <c r="F4903" t="s">
        <v>32606</v>
      </c>
      <c r="G4903" t="s">
        <v>32614</v>
      </c>
      <c r="H4903" t="s">
        <v>14201</v>
      </c>
      <c r="I4903" t="s">
        <v>32654</v>
      </c>
      <c r="J4903" t="s">
        <v>33263</v>
      </c>
      <c r="K4903" t="s">
        <v>42630</v>
      </c>
      <c r="M4903" t="s">
        <v>44135</v>
      </c>
      <c r="N4903" t="s">
        <v>47304</v>
      </c>
      <c r="O4903" t="s">
        <v>47305</v>
      </c>
      <c r="P4903">
        <v>0</v>
      </c>
      <c r="Q4903">
        <v>0</v>
      </c>
      <c r="R4903" t="s">
        <v>47306</v>
      </c>
      <c r="S4903" t="s">
        <v>47414</v>
      </c>
      <c r="T4903" t="s">
        <v>49023</v>
      </c>
      <c r="U4903" t="s">
        <v>51932</v>
      </c>
      <c r="W4903" t="s">
        <v>44135</v>
      </c>
      <c r="X4903" t="s">
        <v>47308</v>
      </c>
    </row>
    <row r="4904" spans="1:24">
      <c r="A4904">
        <f>HYPERLINK("https://www.philgeps.gov.ph/GEPSNONPILOT/Tender/SplashBidNoticeAbstractUI.aspx?menuIndex=3&amp;refID=7197594&amp;Result=3","7197594")</f>
        <v>0</v>
      </c>
      <c r="B4904" t="s">
        <v>1172</v>
      </c>
      <c r="C4904" t="s">
        <v>8472</v>
      </c>
      <c r="D4904" t="s">
        <v>19002</v>
      </c>
      <c r="E4904" t="s">
        <v>23448</v>
      </c>
      <c r="F4904" t="s">
        <v>32606</v>
      </c>
      <c r="G4904" t="s">
        <v>32614</v>
      </c>
      <c r="H4904" t="s">
        <v>14201</v>
      </c>
      <c r="I4904" t="s">
        <v>32654</v>
      </c>
      <c r="J4904" t="s">
        <v>33022</v>
      </c>
      <c r="K4904" t="s">
        <v>42630</v>
      </c>
      <c r="M4904" t="s">
        <v>44135</v>
      </c>
      <c r="N4904" t="s">
        <v>47304</v>
      </c>
      <c r="O4904" t="s">
        <v>47305</v>
      </c>
      <c r="P4904">
        <v>0</v>
      </c>
      <c r="Q4904">
        <v>0</v>
      </c>
      <c r="R4904" t="s">
        <v>47306</v>
      </c>
      <c r="S4904" t="s">
        <v>47414</v>
      </c>
      <c r="T4904" t="s">
        <v>49023</v>
      </c>
      <c r="U4904" t="s">
        <v>51932</v>
      </c>
      <c r="W4904" t="s">
        <v>44135</v>
      </c>
      <c r="X4904" t="s">
        <v>47308</v>
      </c>
    </row>
    <row r="4905" spans="1:24">
      <c r="A4905">
        <f>HYPERLINK("https://www.philgeps.gov.ph/GEPSNONPILOT/Tender/SplashBidNoticeAbstractUI.aspx?menuIndex=3&amp;refID=7197576&amp;Result=3","7197576")</f>
        <v>0</v>
      </c>
      <c r="B4905" t="s">
        <v>1172</v>
      </c>
      <c r="C4905" t="s">
        <v>8473</v>
      </c>
      <c r="D4905" t="s">
        <v>19002</v>
      </c>
      <c r="E4905" t="s">
        <v>23449</v>
      </c>
      <c r="F4905" t="s">
        <v>32606</v>
      </c>
      <c r="G4905" t="s">
        <v>32614</v>
      </c>
      <c r="H4905" t="s">
        <v>14201</v>
      </c>
      <c r="I4905" t="s">
        <v>32654</v>
      </c>
      <c r="J4905" t="s">
        <v>34709</v>
      </c>
      <c r="K4905" t="s">
        <v>42630</v>
      </c>
      <c r="M4905" t="s">
        <v>44135</v>
      </c>
      <c r="N4905" t="s">
        <v>47304</v>
      </c>
      <c r="O4905" t="s">
        <v>47305</v>
      </c>
      <c r="P4905">
        <v>0</v>
      </c>
      <c r="Q4905">
        <v>0</v>
      </c>
      <c r="R4905" t="s">
        <v>47306</v>
      </c>
      <c r="S4905" t="s">
        <v>47414</v>
      </c>
      <c r="T4905" t="s">
        <v>49023</v>
      </c>
      <c r="U4905" t="s">
        <v>51932</v>
      </c>
      <c r="W4905" t="s">
        <v>44135</v>
      </c>
      <c r="X4905" t="s">
        <v>47308</v>
      </c>
    </row>
    <row r="4906" spans="1:24">
      <c r="A4906">
        <f>HYPERLINK("https://www.philgeps.gov.ph/GEPSNONPILOT/Tender/SplashBidNoticeAbstractUI.aspx?menuIndex=3&amp;refID=7197612&amp;Result=3","7197612")</f>
        <v>0</v>
      </c>
      <c r="B4906" t="s">
        <v>1770</v>
      </c>
      <c r="C4906" t="s">
        <v>8474</v>
      </c>
      <c r="D4906" t="s">
        <v>19054</v>
      </c>
      <c r="E4906" t="s">
        <v>23450</v>
      </c>
      <c r="F4906" t="s">
        <v>32606</v>
      </c>
      <c r="G4906" t="s">
        <v>32613</v>
      </c>
      <c r="H4906" t="s">
        <v>14201</v>
      </c>
      <c r="I4906" t="s">
        <v>6931</v>
      </c>
      <c r="J4906" t="s">
        <v>36007</v>
      </c>
      <c r="K4906" t="s">
        <v>42623</v>
      </c>
      <c r="M4906" t="s">
        <v>44808</v>
      </c>
      <c r="N4906" t="s">
        <v>47304</v>
      </c>
      <c r="O4906" t="s">
        <v>47305</v>
      </c>
      <c r="P4906">
        <v>0</v>
      </c>
      <c r="Q4906">
        <v>0</v>
      </c>
      <c r="R4906" t="s">
        <v>47306</v>
      </c>
      <c r="S4906" t="s">
        <v>47414</v>
      </c>
      <c r="T4906" t="s">
        <v>49031</v>
      </c>
      <c r="U4906" t="s">
        <v>53699</v>
      </c>
      <c r="W4906" t="s">
        <v>44808</v>
      </c>
      <c r="X4906" t="s">
        <v>47308</v>
      </c>
    </row>
    <row r="4907" spans="1:24">
      <c r="A4907">
        <f>HYPERLINK("https://www.philgeps.gov.ph/GEPSNONPILOT/Tender/SplashBidNoticeAbstractUI.aspx?menuIndex=3&amp;refID=7197581&amp;Result=3","7197581")</f>
        <v>0</v>
      </c>
      <c r="B4907" t="s">
        <v>1771</v>
      </c>
      <c r="C4907" t="s">
        <v>8475</v>
      </c>
      <c r="D4907" t="s">
        <v>18993</v>
      </c>
      <c r="E4907" t="s">
        <v>23451</v>
      </c>
      <c r="F4907" t="s">
        <v>32606</v>
      </c>
      <c r="G4907" t="s">
        <v>32614</v>
      </c>
      <c r="H4907" t="s">
        <v>14201</v>
      </c>
      <c r="I4907" t="s">
        <v>7233</v>
      </c>
      <c r="J4907" t="s">
        <v>36008</v>
      </c>
      <c r="K4907" t="s">
        <v>42630</v>
      </c>
      <c r="L4907" t="s">
        <v>1771</v>
      </c>
      <c r="M4907" t="s">
        <v>44809</v>
      </c>
      <c r="N4907" t="s">
        <v>47304</v>
      </c>
      <c r="O4907" t="s">
        <v>47305</v>
      </c>
      <c r="P4907">
        <v>0</v>
      </c>
      <c r="Q4907">
        <v>3</v>
      </c>
      <c r="R4907" t="s">
        <v>47306</v>
      </c>
      <c r="S4907" t="s">
        <v>47414</v>
      </c>
      <c r="T4907" t="s">
        <v>48988</v>
      </c>
      <c r="U4907" t="s">
        <v>53700</v>
      </c>
      <c r="W4907" t="s">
        <v>44809</v>
      </c>
      <c r="X4907" t="s">
        <v>47308</v>
      </c>
    </row>
    <row r="4908" spans="1:24">
      <c r="A4908">
        <f>HYPERLINK("https://www.philgeps.gov.ph/GEPSNONPILOT/Tender/SplashBidNoticeAbstractUI.aspx?menuIndex=3&amp;refID=7197578&amp;Result=3","7197578")</f>
        <v>0</v>
      </c>
      <c r="B4908" t="s">
        <v>1172</v>
      </c>
      <c r="C4908" t="s">
        <v>8476</v>
      </c>
      <c r="D4908" t="s">
        <v>19002</v>
      </c>
      <c r="E4908" t="s">
        <v>23452</v>
      </c>
      <c r="F4908" t="s">
        <v>32606</v>
      </c>
      <c r="G4908" t="s">
        <v>32614</v>
      </c>
      <c r="H4908" t="s">
        <v>14201</v>
      </c>
      <c r="I4908" t="s">
        <v>32654</v>
      </c>
      <c r="J4908" t="s">
        <v>32820</v>
      </c>
      <c r="K4908" t="s">
        <v>42630</v>
      </c>
      <c r="M4908" t="s">
        <v>44135</v>
      </c>
      <c r="N4908" t="s">
        <v>47304</v>
      </c>
      <c r="O4908" t="s">
        <v>47305</v>
      </c>
      <c r="P4908">
        <v>0</v>
      </c>
      <c r="Q4908">
        <v>0</v>
      </c>
      <c r="R4908" t="s">
        <v>47306</v>
      </c>
      <c r="S4908" t="s">
        <v>47414</v>
      </c>
      <c r="T4908" t="s">
        <v>49023</v>
      </c>
      <c r="U4908" t="s">
        <v>51932</v>
      </c>
      <c r="W4908" t="s">
        <v>44135</v>
      </c>
      <c r="X4908" t="s">
        <v>47308</v>
      </c>
    </row>
    <row r="4909" spans="1:24">
      <c r="A4909">
        <f>HYPERLINK("https://www.philgeps.gov.ph/GEPSNONPILOT/Tender/SplashBidNoticeAbstractUI.aspx?menuIndex=3&amp;refID=7197613&amp;Result=3","7197613")</f>
        <v>0</v>
      </c>
      <c r="B4909" t="s">
        <v>28</v>
      </c>
      <c r="C4909" t="s">
        <v>8477</v>
      </c>
      <c r="D4909" t="s">
        <v>18993</v>
      </c>
      <c r="E4909" t="s">
        <v>23438</v>
      </c>
      <c r="F4909" t="s">
        <v>32606</v>
      </c>
      <c r="G4909" t="s">
        <v>32615</v>
      </c>
      <c r="H4909" t="s">
        <v>14201</v>
      </c>
      <c r="I4909" t="s">
        <v>32631</v>
      </c>
      <c r="J4909" t="s">
        <v>36009</v>
      </c>
      <c r="K4909" t="s">
        <v>42631</v>
      </c>
      <c r="M4909" t="s">
        <v>44805</v>
      </c>
      <c r="N4909" t="s">
        <v>47304</v>
      </c>
      <c r="O4909" t="s">
        <v>47305</v>
      </c>
      <c r="P4909">
        <v>0</v>
      </c>
      <c r="Q4909">
        <v>0</v>
      </c>
      <c r="R4909" t="s">
        <v>47306</v>
      </c>
      <c r="S4909" t="s">
        <v>47414</v>
      </c>
      <c r="T4909" t="s">
        <v>49056</v>
      </c>
      <c r="U4909" t="s">
        <v>53693</v>
      </c>
      <c r="W4909" t="s">
        <v>44805</v>
      </c>
      <c r="X4909" t="s">
        <v>47308</v>
      </c>
    </row>
    <row r="4910" spans="1:24">
      <c r="A4910">
        <f>HYPERLINK("https://www.philgeps.gov.ph/GEPSNONPILOT/Tender/SplashBidNoticeAbstractUI.aspx?menuIndex=3&amp;refID=7197575&amp;Result=3","7197575")</f>
        <v>0</v>
      </c>
      <c r="B4910" t="s">
        <v>1575</v>
      </c>
      <c r="C4910" t="s">
        <v>8478</v>
      </c>
      <c r="D4910" t="s">
        <v>19070</v>
      </c>
      <c r="E4910" t="s">
        <v>23453</v>
      </c>
      <c r="F4910" t="s">
        <v>32606</v>
      </c>
      <c r="G4910" t="s">
        <v>32613</v>
      </c>
      <c r="H4910" t="s">
        <v>14201</v>
      </c>
      <c r="I4910" t="s">
        <v>32650</v>
      </c>
      <c r="J4910" t="s">
        <v>32860</v>
      </c>
      <c r="K4910" t="s">
        <v>42638</v>
      </c>
      <c r="M4910" t="s">
        <v>44587</v>
      </c>
      <c r="N4910" t="s">
        <v>47304</v>
      </c>
      <c r="O4910" t="s">
        <v>47305</v>
      </c>
      <c r="P4910">
        <v>0</v>
      </c>
      <c r="Q4910">
        <v>1</v>
      </c>
      <c r="R4910" t="s">
        <v>47306</v>
      </c>
      <c r="S4910" t="s">
        <v>47414</v>
      </c>
      <c r="T4910" t="s">
        <v>49118</v>
      </c>
      <c r="U4910" t="s">
        <v>53701</v>
      </c>
      <c r="W4910" t="s">
        <v>44587</v>
      </c>
      <c r="X4910" t="s">
        <v>47308</v>
      </c>
    </row>
    <row r="4911" spans="1:24">
      <c r="A4911">
        <f>HYPERLINK("https://www.philgeps.gov.ph/GEPSNONPILOT/Tender/SplashBidNoticeAbstractUI.aspx?menuIndex=3&amp;refID=7197606&amp;Result=3","7197606")</f>
        <v>0</v>
      </c>
      <c r="B4911" t="s">
        <v>28</v>
      </c>
      <c r="C4911" t="s">
        <v>8479</v>
      </c>
      <c r="D4911" t="s">
        <v>18993</v>
      </c>
      <c r="E4911" t="s">
        <v>23438</v>
      </c>
      <c r="F4911" t="s">
        <v>32606</v>
      </c>
      <c r="G4911" t="s">
        <v>32615</v>
      </c>
      <c r="H4911" t="s">
        <v>14201</v>
      </c>
      <c r="I4911" t="s">
        <v>32631</v>
      </c>
      <c r="J4911" t="s">
        <v>36010</v>
      </c>
      <c r="K4911" t="s">
        <v>42631</v>
      </c>
      <c r="M4911" t="s">
        <v>44805</v>
      </c>
      <c r="N4911" t="s">
        <v>47304</v>
      </c>
      <c r="O4911" t="s">
        <v>47305</v>
      </c>
      <c r="P4911">
        <v>0</v>
      </c>
      <c r="Q4911">
        <v>1</v>
      </c>
      <c r="R4911" t="s">
        <v>47306</v>
      </c>
      <c r="S4911" t="s">
        <v>47414</v>
      </c>
      <c r="T4911" t="s">
        <v>49056</v>
      </c>
      <c r="U4911" t="s">
        <v>53693</v>
      </c>
      <c r="W4911" t="s">
        <v>44805</v>
      </c>
      <c r="X4911" t="s">
        <v>47308</v>
      </c>
    </row>
    <row r="4912" spans="1:24">
      <c r="A4912">
        <f>HYPERLINK("https://www.philgeps.gov.ph/GEPSNONPILOT/Tender/SplashBidNoticeAbstractUI.aspx?menuIndex=3&amp;refID=7197585&amp;Result=3","7197585")</f>
        <v>0</v>
      </c>
      <c r="B4912" t="s">
        <v>1032</v>
      </c>
      <c r="C4912" t="s">
        <v>8480</v>
      </c>
      <c r="D4912" t="s">
        <v>18993</v>
      </c>
      <c r="E4912" t="s">
        <v>23454</v>
      </c>
      <c r="F4912" t="s">
        <v>32606</v>
      </c>
      <c r="G4912" t="s">
        <v>32613</v>
      </c>
      <c r="H4912" t="s">
        <v>14201</v>
      </c>
      <c r="I4912" t="s">
        <v>4369</v>
      </c>
      <c r="J4912" t="s">
        <v>36011</v>
      </c>
      <c r="K4912" t="s">
        <v>42765</v>
      </c>
      <c r="M4912" t="s">
        <v>44810</v>
      </c>
      <c r="N4912" t="s">
        <v>47304</v>
      </c>
      <c r="O4912" t="s">
        <v>47305</v>
      </c>
      <c r="P4912">
        <v>0</v>
      </c>
      <c r="Q4912">
        <v>8</v>
      </c>
      <c r="R4912" t="s">
        <v>47306</v>
      </c>
      <c r="S4912" t="s">
        <v>47414</v>
      </c>
      <c r="T4912" t="s">
        <v>48990</v>
      </c>
      <c r="U4912" t="s">
        <v>53702</v>
      </c>
      <c r="W4912" t="s">
        <v>44810</v>
      </c>
      <c r="X4912" t="s">
        <v>47308</v>
      </c>
    </row>
    <row r="4913" spans="1:24">
      <c r="A4913">
        <f>HYPERLINK("https://www.philgeps.gov.ph/GEPSNONPILOT/Tender/SplashBidNoticeAbstractUI.aspx?menuIndex=3&amp;refID=7197604&amp;Result=3","7197604")</f>
        <v>0</v>
      </c>
      <c r="B4913" t="s">
        <v>1172</v>
      </c>
      <c r="C4913" t="s">
        <v>8481</v>
      </c>
      <c r="D4913" t="s">
        <v>19002</v>
      </c>
      <c r="E4913" t="s">
        <v>23455</v>
      </c>
      <c r="F4913" t="s">
        <v>32606</v>
      </c>
      <c r="G4913" t="s">
        <v>32614</v>
      </c>
      <c r="H4913" t="s">
        <v>14201</v>
      </c>
      <c r="I4913" t="s">
        <v>32696</v>
      </c>
      <c r="J4913" t="s">
        <v>32752</v>
      </c>
      <c r="K4913" t="s">
        <v>42630</v>
      </c>
      <c r="M4913" t="s">
        <v>44135</v>
      </c>
      <c r="N4913" t="s">
        <v>47304</v>
      </c>
      <c r="O4913" t="s">
        <v>47305</v>
      </c>
      <c r="P4913">
        <v>0</v>
      </c>
      <c r="Q4913">
        <v>0</v>
      </c>
      <c r="R4913" t="s">
        <v>47306</v>
      </c>
      <c r="S4913" t="s">
        <v>47414</v>
      </c>
      <c r="T4913" t="s">
        <v>49023</v>
      </c>
      <c r="U4913" t="s">
        <v>51932</v>
      </c>
      <c r="W4913" t="s">
        <v>44135</v>
      </c>
      <c r="X4913" t="s">
        <v>47308</v>
      </c>
    </row>
    <row r="4914" spans="1:24">
      <c r="A4914">
        <f>HYPERLINK("https://www.philgeps.gov.ph/GEPSNONPILOT/Tender/SplashBidNoticeAbstractUI.aspx?menuIndex=3&amp;refID=7197603&amp;Result=3","7197603")</f>
        <v>0</v>
      </c>
      <c r="B4914" t="s">
        <v>1772</v>
      </c>
      <c r="C4914" t="s">
        <v>8482</v>
      </c>
      <c r="D4914" t="s">
        <v>19002</v>
      </c>
      <c r="E4914" t="s">
        <v>23456</v>
      </c>
      <c r="F4914" t="s">
        <v>32606</v>
      </c>
      <c r="G4914" t="s">
        <v>32614</v>
      </c>
      <c r="H4914" t="s">
        <v>14201</v>
      </c>
      <c r="I4914" t="s">
        <v>6993</v>
      </c>
      <c r="J4914" t="s">
        <v>33848</v>
      </c>
      <c r="K4914" t="s">
        <v>42632</v>
      </c>
      <c r="M4914" t="s">
        <v>44811</v>
      </c>
      <c r="N4914" t="s">
        <v>47304</v>
      </c>
      <c r="O4914" t="s">
        <v>47305</v>
      </c>
      <c r="P4914">
        <v>0</v>
      </c>
      <c r="Q4914">
        <v>0</v>
      </c>
      <c r="R4914" t="s">
        <v>47306</v>
      </c>
      <c r="S4914" t="s">
        <v>47414</v>
      </c>
      <c r="T4914" t="s">
        <v>48980</v>
      </c>
      <c r="U4914" t="s">
        <v>53703</v>
      </c>
      <c r="W4914" t="s">
        <v>44811</v>
      </c>
      <c r="X4914" t="s">
        <v>47308</v>
      </c>
    </row>
    <row r="4915" spans="1:24">
      <c r="A4915">
        <f>HYPERLINK("https://www.philgeps.gov.ph/GEPSNONPILOT/Tender/SplashBidNoticeAbstractUI.aspx?menuIndex=3&amp;refID=7197601&amp;Result=3","7197601")</f>
        <v>0</v>
      </c>
      <c r="B4915" t="s">
        <v>1770</v>
      </c>
      <c r="C4915" t="s">
        <v>8483</v>
      </c>
      <c r="D4915" t="s">
        <v>19054</v>
      </c>
      <c r="E4915" t="s">
        <v>23457</v>
      </c>
      <c r="F4915" t="s">
        <v>32606</v>
      </c>
      <c r="G4915" t="s">
        <v>32613</v>
      </c>
      <c r="H4915" t="s">
        <v>14201</v>
      </c>
      <c r="I4915" t="s">
        <v>32633</v>
      </c>
      <c r="J4915" t="s">
        <v>33449</v>
      </c>
      <c r="K4915" t="s">
        <v>42631</v>
      </c>
      <c r="M4915" t="s">
        <v>44808</v>
      </c>
      <c r="N4915" t="s">
        <v>47304</v>
      </c>
      <c r="O4915" t="s">
        <v>47305</v>
      </c>
      <c r="P4915">
        <v>0</v>
      </c>
      <c r="Q4915">
        <v>3</v>
      </c>
      <c r="R4915" t="s">
        <v>47306</v>
      </c>
      <c r="S4915" t="s">
        <v>47414</v>
      </c>
      <c r="T4915" t="s">
        <v>49031</v>
      </c>
      <c r="U4915" t="s">
        <v>53704</v>
      </c>
      <c r="W4915" t="s">
        <v>44808</v>
      </c>
      <c r="X4915" t="s">
        <v>47308</v>
      </c>
    </row>
    <row r="4916" spans="1:24">
      <c r="A4916">
        <f>HYPERLINK("https://www.philgeps.gov.ph/GEPSNONPILOT/Tender/SplashBidNoticeAbstractUI.aspx?menuIndex=3&amp;refID=7197607&amp;Result=3","7197607")</f>
        <v>0</v>
      </c>
      <c r="B4916" t="s">
        <v>1770</v>
      </c>
      <c r="C4916" t="s">
        <v>8484</v>
      </c>
      <c r="D4916" t="s">
        <v>19054</v>
      </c>
      <c r="E4916" t="s">
        <v>23458</v>
      </c>
      <c r="F4916" t="s">
        <v>32606</v>
      </c>
      <c r="G4916" t="s">
        <v>32613</v>
      </c>
      <c r="H4916" t="s">
        <v>14201</v>
      </c>
      <c r="I4916" t="s">
        <v>4120</v>
      </c>
      <c r="J4916" t="s">
        <v>36012</v>
      </c>
      <c r="K4916" t="s">
        <v>42631</v>
      </c>
      <c r="M4916" t="s">
        <v>44808</v>
      </c>
      <c r="N4916" t="s">
        <v>47304</v>
      </c>
      <c r="O4916" t="s">
        <v>47305</v>
      </c>
      <c r="P4916">
        <v>0</v>
      </c>
      <c r="Q4916">
        <v>1</v>
      </c>
      <c r="R4916" t="s">
        <v>47306</v>
      </c>
      <c r="S4916" t="s">
        <v>47414</v>
      </c>
      <c r="T4916" t="s">
        <v>49031</v>
      </c>
      <c r="U4916" t="s">
        <v>53705</v>
      </c>
      <c r="W4916" t="s">
        <v>44808</v>
      </c>
      <c r="X4916" t="s">
        <v>47308</v>
      </c>
    </row>
    <row r="4917" spans="1:24">
      <c r="A4917">
        <f>HYPERLINK("https://www.philgeps.gov.ph/GEPSNONPILOT/Tender/SplashBidNoticeAbstractUI.aspx?menuIndex=3&amp;refID=7197599&amp;Result=3","7197599")</f>
        <v>0</v>
      </c>
      <c r="B4917" t="s">
        <v>1172</v>
      </c>
      <c r="C4917" t="s">
        <v>8485</v>
      </c>
      <c r="D4917" t="s">
        <v>19002</v>
      </c>
      <c r="E4917" t="s">
        <v>23459</v>
      </c>
      <c r="F4917" t="s">
        <v>32606</v>
      </c>
      <c r="G4917" t="s">
        <v>32614</v>
      </c>
      <c r="H4917" t="s">
        <v>14201</v>
      </c>
      <c r="I4917" t="s">
        <v>32696</v>
      </c>
      <c r="J4917" t="s">
        <v>36013</v>
      </c>
      <c r="K4917" t="s">
        <v>42630</v>
      </c>
      <c r="M4917" t="s">
        <v>44135</v>
      </c>
      <c r="N4917" t="s">
        <v>47304</v>
      </c>
      <c r="O4917" t="s">
        <v>47305</v>
      </c>
      <c r="P4917">
        <v>0</v>
      </c>
      <c r="Q4917">
        <v>0</v>
      </c>
      <c r="R4917" t="s">
        <v>47306</v>
      </c>
      <c r="S4917" t="s">
        <v>47414</v>
      </c>
      <c r="T4917" t="s">
        <v>49023</v>
      </c>
      <c r="U4917" t="s">
        <v>51932</v>
      </c>
      <c r="W4917" t="s">
        <v>44135</v>
      </c>
      <c r="X4917" t="s">
        <v>47308</v>
      </c>
    </row>
    <row r="4918" spans="1:24">
      <c r="A4918">
        <f>HYPERLINK("https://www.philgeps.gov.ph/GEPSNONPILOT/Tender/SplashBidNoticeAbstractUI.aspx?menuIndex=3&amp;refID=7197605&amp;Result=3","7197605")</f>
        <v>0</v>
      </c>
      <c r="B4918" t="s">
        <v>1773</v>
      </c>
      <c r="C4918" t="s">
        <v>8486</v>
      </c>
      <c r="D4918" t="s">
        <v>19063</v>
      </c>
      <c r="E4918" t="s">
        <v>23460</v>
      </c>
      <c r="F4918" t="s">
        <v>32606</v>
      </c>
      <c r="G4918" t="s">
        <v>32613</v>
      </c>
      <c r="H4918" t="s">
        <v>32623</v>
      </c>
      <c r="I4918" t="s">
        <v>17648</v>
      </c>
      <c r="J4918" t="s">
        <v>36014</v>
      </c>
      <c r="K4918" t="s">
        <v>42668</v>
      </c>
      <c r="M4918" t="s">
        <v>44812</v>
      </c>
      <c r="N4918" t="s">
        <v>47304</v>
      </c>
      <c r="O4918" t="s">
        <v>47305</v>
      </c>
      <c r="P4918">
        <v>0</v>
      </c>
      <c r="Q4918">
        <v>0</v>
      </c>
      <c r="R4918" t="s">
        <v>47306</v>
      </c>
      <c r="S4918" t="s">
        <v>47414</v>
      </c>
      <c r="T4918" t="s">
        <v>49074</v>
      </c>
      <c r="U4918" t="s">
        <v>53706</v>
      </c>
      <c r="W4918" t="s">
        <v>44812</v>
      </c>
      <c r="X4918" t="s">
        <v>47308</v>
      </c>
    </row>
    <row r="4919" spans="1:24">
      <c r="A4919">
        <f>HYPERLINK("https://www.philgeps.gov.ph/GEPSNONPILOT/Tender/SplashBidNoticeAbstractUI.aspx?menuIndex=3&amp;refID=7197609&amp;Result=3","7197609")</f>
        <v>0</v>
      </c>
      <c r="B4919" t="s">
        <v>1774</v>
      </c>
      <c r="C4919" t="s">
        <v>8487</v>
      </c>
      <c r="D4919" t="s">
        <v>18993</v>
      </c>
      <c r="E4919" t="s">
        <v>23461</v>
      </c>
      <c r="F4919" t="s">
        <v>32606</v>
      </c>
      <c r="G4919" t="s">
        <v>32613</v>
      </c>
      <c r="H4919" t="s">
        <v>14201</v>
      </c>
      <c r="I4919" t="s">
        <v>6298</v>
      </c>
      <c r="J4919" t="s">
        <v>33103</v>
      </c>
      <c r="K4919" t="s">
        <v>42632</v>
      </c>
      <c r="M4919" t="s">
        <v>44813</v>
      </c>
      <c r="N4919" t="s">
        <v>47304</v>
      </c>
      <c r="O4919" t="s">
        <v>47305</v>
      </c>
      <c r="P4919">
        <v>0</v>
      </c>
      <c r="Q4919">
        <v>0</v>
      </c>
      <c r="R4919" t="s">
        <v>47306</v>
      </c>
      <c r="S4919" t="s">
        <v>47414</v>
      </c>
      <c r="T4919" t="s">
        <v>48977</v>
      </c>
      <c r="U4919" t="s">
        <v>53707</v>
      </c>
      <c r="W4919" t="s">
        <v>44813</v>
      </c>
      <c r="X4919" t="s">
        <v>47308</v>
      </c>
    </row>
    <row r="4920" spans="1:24">
      <c r="A4920">
        <f>HYPERLINK("https://www.philgeps.gov.ph/GEPSNONPILOT/Tender/SplashBidNoticeAbstractUI.aspx?menuIndex=3&amp;refID=7197597&amp;Result=3","7197597")</f>
        <v>0</v>
      </c>
      <c r="B4920" t="s">
        <v>1775</v>
      </c>
      <c r="C4920" t="s">
        <v>8488</v>
      </c>
      <c r="D4920" t="s">
        <v>19010</v>
      </c>
      <c r="E4920" t="s">
        <v>23413</v>
      </c>
      <c r="F4920" t="s">
        <v>32606</v>
      </c>
      <c r="G4920" t="s">
        <v>32613</v>
      </c>
      <c r="H4920" t="s">
        <v>14201</v>
      </c>
      <c r="I4920" t="s">
        <v>32629</v>
      </c>
      <c r="J4920" t="s">
        <v>32778</v>
      </c>
      <c r="K4920" t="s">
        <v>42622</v>
      </c>
      <c r="M4920" t="s">
        <v>44814</v>
      </c>
      <c r="N4920" t="s">
        <v>47304</v>
      </c>
      <c r="O4920" t="s">
        <v>47305</v>
      </c>
      <c r="P4920">
        <v>0</v>
      </c>
      <c r="Q4920">
        <v>0</v>
      </c>
      <c r="R4920" t="s">
        <v>47306</v>
      </c>
      <c r="S4920" t="s">
        <v>47414</v>
      </c>
      <c r="T4920" t="s">
        <v>48976</v>
      </c>
      <c r="U4920" t="s">
        <v>53708</v>
      </c>
      <c r="W4920" t="s">
        <v>44814</v>
      </c>
      <c r="X4920" t="s">
        <v>47308</v>
      </c>
    </row>
    <row r="4921" spans="1:24">
      <c r="A4921">
        <f>HYPERLINK("https://www.philgeps.gov.ph/GEPSNONPILOT/Tender/SplashBidNoticeAbstractUI.aspx?menuIndex=3&amp;refID=7197595&amp;Result=3","7197595")</f>
        <v>0</v>
      </c>
      <c r="B4921" t="s">
        <v>1695</v>
      </c>
      <c r="C4921" t="s">
        <v>8489</v>
      </c>
      <c r="D4921" t="s">
        <v>19050</v>
      </c>
      <c r="E4921" t="s">
        <v>23462</v>
      </c>
      <c r="F4921" t="s">
        <v>32606</v>
      </c>
      <c r="G4921" t="s">
        <v>32613</v>
      </c>
      <c r="H4921" t="s">
        <v>32623</v>
      </c>
      <c r="I4921" t="s">
        <v>17648</v>
      </c>
      <c r="J4921" t="s">
        <v>36015</v>
      </c>
      <c r="K4921" t="s">
        <v>42694</v>
      </c>
      <c r="M4921" t="s">
        <v>44724</v>
      </c>
      <c r="N4921" t="s">
        <v>47304</v>
      </c>
      <c r="O4921" t="s">
        <v>47305</v>
      </c>
      <c r="P4921">
        <v>0</v>
      </c>
      <c r="Q4921">
        <v>0</v>
      </c>
      <c r="R4921" t="s">
        <v>47306</v>
      </c>
      <c r="S4921" t="s">
        <v>47414</v>
      </c>
      <c r="T4921" t="s">
        <v>48995</v>
      </c>
      <c r="U4921" t="s">
        <v>53709</v>
      </c>
      <c r="W4921" t="s">
        <v>44724</v>
      </c>
      <c r="X4921" t="s">
        <v>47308</v>
      </c>
    </row>
    <row r="4922" spans="1:24">
      <c r="A4922">
        <f>HYPERLINK("https://www.philgeps.gov.ph/GEPSNONPILOT/Tender/SplashBidNoticeAbstractUI.aspx?menuIndex=3&amp;refID=7197593&amp;Result=3","7197593")</f>
        <v>0</v>
      </c>
      <c r="B4922" t="s">
        <v>1776</v>
      </c>
      <c r="C4922" t="s">
        <v>8490</v>
      </c>
      <c r="D4922" t="s">
        <v>19013</v>
      </c>
      <c r="E4922" t="s">
        <v>23463</v>
      </c>
      <c r="F4922" t="s">
        <v>32606</v>
      </c>
      <c r="G4922" t="s">
        <v>32613</v>
      </c>
      <c r="H4922" t="s">
        <v>14201</v>
      </c>
      <c r="I4922" t="s">
        <v>6931</v>
      </c>
      <c r="J4922" t="s">
        <v>36016</v>
      </c>
      <c r="K4922" t="s">
        <v>42629</v>
      </c>
      <c r="M4922" t="s">
        <v>44815</v>
      </c>
      <c r="N4922" t="s">
        <v>47304</v>
      </c>
      <c r="O4922" t="s">
        <v>47305</v>
      </c>
      <c r="P4922">
        <v>0</v>
      </c>
      <c r="Q4922">
        <v>0</v>
      </c>
      <c r="R4922" t="s">
        <v>47306</v>
      </c>
      <c r="S4922" t="s">
        <v>47414</v>
      </c>
      <c r="T4922" t="s">
        <v>48986</v>
      </c>
      <c r="U4922" t="s">
        <v>53710</v>
      </c>
      <c r="W4922" t="s">
        <v>44815</v>
      </c>
      <c r="X4922" t="s">
        <v>47308</v>
      </c>
    </row>
    <row r="4923" spans="1:24">
      <c r="A4923">
        <f>HYPERLINK("https://www.philgeps.gov.ph/GEPSNONPILOT/Tender/SplashBidNoticeAbstractUI.aspx?menuIndex=3&amp;refID=7197592&amp;Result=3","7197592")</f>
        <v>0</v>
      </c>
      <c r="B4923" t="s">
        <v>1760</v>
      </c>
      <c r="C4923" t="s">
        <v>8491</v>
      </c>
      <c r="D4923" t="s">
        <v>19024</v>
      </c>
      <c r="E4923" t="s">
        <v>23464</v>
      </c>
      <c r="F4923" t="s">
        <v>32606</v>
      </c>
      <c r="G4923" t="s">
        <v>32617</v>
      </c>
      <c r="H4923" t="s">
        <v>14201</v>
      </c>
      <c r="I4923" t="s">
        <v>4114</v>
      </c>
      <c r="J4923" t="s">
        <v>36017</v>
      </c>
      <c r="K4923" t="s">
        <v>42625</v>
      </c>
      <c r="M4923" t="s">
        <v>44797</v>
      </c>
      <c r="N4923" t="s">
        <v>47304</v>
      </c>
      <c r="O4923" t="s">
        <v>47305</v>
      </c>
      <c r="P4923">
        <v>0</v>
      </c>
      <c r="Q4923">
        <v>2</v>
      </c>
      <c r="R4923" t="s">
        <v>47306</v>
      </c>
      <c r="S4923" t="s">
        <v>47414</v>
      </c>
      <c r="T4923" t="s">
        <v>48980</v>
      </c>
      <c r="U4923" t="s">
        <v>53711</v>
      </c>
      <c r="W4923" t="s">
        <v>44797</v>
      </c>
      <c r="X4923" t="s">
        <v>47308</v>
      </c>
    </row>
    <row r="4924" spans="1:24">
      <c r="A4924">
        <f>HYPERLINK("https://www.philgeps.gov.ph/GEPSNONPILOT/Tender/SplashBidNoticeAbstractUI.aspx?menuIndex=3&amp;refID=7197569&amp;Result=3","7197569")</f>
        <v>0</v>
      </c>
      <c r="B4924" t="s">
        <v>1172</v>
      </c>
      <c r="C4924" t="s">
        <v>8492</v>
      </c>
      <c r="D4924" t="s">
        <v>19002</v>
      </c>
      <c r="E4924" t="s">
        <v>23465</v>
      </c>
      <c r="F4924" t="s">
        <v>32606</v>
      </c>
      <c r="G4924" t="s">
        <v>32614</v>
      </c>
      <c r="H4924" t="s">
        <v>14201</v>
      </c>
      <c r="I4924" t="s">
        <v>32696</v>
      </c>
      <c r="J4924" t="s">
        <v>35789</v>
      </c>
      <c r="K4924" t="s">
        <v>42630</v>
      </c>
      <c r="M4924" t="s">
        <v>44135</v>
      </c>
      <c r="N4924" t="s">
        <v>47304</v>
      </c>
      <c r="O4924" t="s">
        <v>47305</v>
      </c>
      <c r="P4924">
        <v>0</v>
      </c>
      <c r="Q4924">
        <v>0</v>
      </c>
      <c r="R4924" t="s">
        <v>47306</v>
      </c>
      <c r="S4924" t="s">
        <v>47414</v>
      </c>
      <c r="T4924" t="s">
        <v>49023</v>
      </c>
      <c r="U4924" t="s">
        <v>51932</v>
      </c>
      <c r="W4924" t="s">
        <v>44135</v>
      </c>
      <c r="X4924" t="s">
        <v>47308</v>
      </c>
    </row>
    <row r="4925" spans="1:24">
      <c r="A4925">
        <f>HYPERLINK("https://www.philgeps.gov.ph/GEPSNONPILOT/Tender/SplashBidNoticeAbstractUI.aspx?menuIndex=3&amp;refID=7197553&amp;Result=3","7197553")</f>
        <v>0</v>
      </c>
      <c r="B4925" t="s">
        <v>1777</v>
      </c>
      <c r="C4925" t="s">
        <v>8493</v>
      </c>
      <c r="E4925" t="s">
        <v>23466</v>
      </c>
      <c r="F4925" t="s">
        <v>32606</v>
      </c>
      <c r="G4925" t="s">
        <v>32613</v>
      </c>
      <c r="H4925" t="s">
        <v>32623</v>
      </c>
      <c r="I4925" t="s">
        <v>32683</v>
      </c>
      <c r="J4925" t="s">
        <v>32981</v>
      </c>
      <c r="K4925" t="s">
        <v>42623</v>
      </c>
      <c r="M4925" t="s">
        <v>44816</v>
      </c>
      <c r="N4925" t="s">
        <v>47304</v>
      </c>
      <c r="O4925" t="s">
        <v>47305</v>
      </c>
      <c r="P4925">
        <v>0</v>
      </c>
      <c r="Q4925">
        <v>0</v>
      </c>
      <c r="R4925" t="s">
        <v>47306</v>
      </c>
      <c r="S4925" t="s">
        <v>47414</v>
      </c>
      <c r="T4925" t="s">
        <v>48996</v>
      </c>
      <c r="U4925" t="s">
        <v>53712</v>
      </c>
      <c r="W4925" t="s">
        <v>44816</v>
      </c>
      <c r="X4925" t="s">
        <v>47308</v>
      </c>
    </row>
    <row r="4926" spans="1:24">
      <c r="A4926">
        <f>HYPERLINK("https://www.philgeps.gov.ph/GEPSNONPILOT/Tender/SplashBidNoticeAbstractUI.aspx?menuIndex=3&amp;refID=7197602&amp;Result=3","7197602")</f>
        <v>0</v>
      </c>
      <c r="B4926" t="s">
        <v>1769</v>
      </c>
      <c r="C4926" t="s">
        <v>8494</v>
      </c>
      <c r="D4926" t="s">
        <v>19037</v>
      </c>
      <c r="E4926" t="s">
        <v>23467</v>
      </c>
      <c r="F4926" t="s">
        <v>32606</v>
      </c>
      <c r="G4926" t="s">
        <v>32613</v>
      </c>
      <c r="H4926" t="s">
        <v>32623</v>
      </c>
      <c r="I4926" t="s">
        <v>17648</v>
      </c>
      <c r="J4926" t="s">
        <v>36018</v>
      </c>
      <c r="K4926" t="s">
        <v>42648</v>
      </c>
      <c r="M4926" t="s">
        <v>44807</v>
      </c>
      <c r="N4926" t="s">
        <v>47304</v>
      </c>
      <c r="O4926" t="s">
        <v>47305</v>
      </c>
      <c r="P4926">
        <v>0</v>
      </c>
      <c r="Q4926">
        <v>0</v>
      </c>
      <c r="R4926" t="s">
        <v>47306</v>
      </c>
      <c r="S4926" t="s">
        <v>47414</v>
      </c>
      <c r="T4926" t="s">
        <v>49131</v>
      </c>
      <c r="U4926" t="s">
        <v>53713</v>
      </c>
      <c r="W4926" t="s">
        <v>44807</v>
      </c>
      <c r="X4926" t="s">
        <v>47308</v>
      </c>
    </row>
    <row r="4927" spans="1:24">
      <c r="A4927">
        <f>HYPERLINK("https://www.philgeps.gov.ph/GEPSNONPILOT/Tender/SplashBidNoticeAbstractUI.aspx?menuIndex=3&amp;refID=7197505&amp;Result=3","7197505")</f>
        <v>0</v>
      </c>
      <c r="B4927" t="s">
        <v>143</v>
      </c>
      <c r="C4927" t="s">
        <v>8495</v>
      </c>
      <c r="D4927" t="s">
        <v>19032</v>
      </c>
      <c r="E4927" t="s">
        <v>23468</v>
      </c>
      <c r="F4927" t="s">
        <v>32606</v>
      </c>
      <c r="G4927" t="s">
        <v>32615</v>
      </c>
      <c r="H4927" t="s">
        <v>32623</v>
      </c>
      <c r="I4927" t="s">
        <v>17648</v>
      </c>
      <c r="J4927" t="s">
        <v>36019</v>
      </c>
      <c r="K4927" t="s">
        <v>42675</v>
      </c>
      <c r="M4927" t="s">
        <v>43044</v>
      </c>
      <c r="N4927" t="s">
        <v>47304</v>
      </c>
      <c r="O4927" t="s">
        <v>47305</v>
      </c>
      <c r="P4927">
        <v>0</v>
      </c>
      <c r="Q4927">
        <v>0</v>
      </c>
      <c r="R4927" t="s">
        <v>47306</v>
      </c>
      <c r="S4927" t="s">
        <v>47414</v>
      </c>
      <c r="T4927" t="s">
        <v>48987</v>
      </c>
      <c r="U4927" t="s">
        <v>53714</v>
      </c>
      <c r="W4927" t="s">
        <v>43044</v>
      </c>
      <c r="X4927" t="s">
        <v>47308</v>
      </c>
    </row>
    <row r="4928" spans="1:24">
      <c r="A4928">
        <f>HYPERLINK("https://www.philgeps.gov.ph/GEPSNONPILOT/Tender/SplashBidNoticeAbstractUI.aspx?menuIndex=3&amp;refID=7197502&amp;Result=3","7197502")</f>
        <v>0</v>
      </c>
      <c r="B4928" t="s">
        <v>1748</v>
      </c>
      <c r="C4928" t="s">
        <v>8368</v>
      </c>
      <c r="D4928" t="s">
        <v>18993</v>
      </c>
      <c r="E4928" t="s">
        <v>19727</v>
      </c>
      <c r="F4928" t="s">
        <v>32606</v>
      </c>
      <c r="G4928" t="s">
        <v>32614</v>
      </c>
      <c r="H4928" t="s">
        <v>32624</v>
      </c>
      <c r="I4928" t="s">
        <v>32652</v>
      </c>
      <c r="J4928" t="s">
        <v>36020</v>
      </c>
      <c r="K4928" t="s">
        <v>42630</v>
      </c>
      <c r="M4928" t="s">
        <v>44783</v>
      </c>
      <c r="N4928" t="s">
        <v>47304</v>
      </c>
      <c r="O4928" t="s">
        <v>47305</v>
      </c>
      <c r="P4928">
        <v>0</v>
      </c>
      <c r="Q4928">
        <v>1</v>
      </c>
      <c r="R4928" t="s">
        <v>47306</v>
      </c>
      <c r="S4928" t="s">
        <v>47414</v>
      </c>
      <c r="T4928" t="s">
        <v>48980</v>
      </c>
      <c r="U4928" t="s">
        <v>53605</v>
      </c>
      <c r="W4928" t="s">
        <v>44783</v>
      </c>
      <c r="X4928" t="s">
        <v>47308</v>
      </c>
    </row>
    <row r="4929" spans="1:24">
      <c r="A4929">
        <f>HYPERLINK("https://www.philgeps.gov.ph/GEPSNONPILOT/Tender/SplashBidNoticeAbstractUI.aspx?menuIndex=3&amp;refID=7197596&amp;Result=3","7197596")</f>
        <v>0</v>
      </c>
      <c r="B4929" t="s">
        <v>1778</v>
      </c>
      <c r="C4929" t="s">
        <v>8496</v>
      </c>
      <c r="D4929" t="s">
        <v>18993</v>
      </c>
      <c r="E4929" t="s">
        <v>23469</v>
      </c>
      <c r="F4929" t="s">
        <v>32606</v>
      </c>
      <c r="G4929" t="s">
        <v>32619</v>
      </c>
      <c r="H4929" t="s">
        <v>14201</v>
      </c>
      <c r="I4929" t="s">
        <v>6298</v>
      </c>
      <c r="J4929" t="s">
        <v>32813</v>
      </c>
      <c r="K4929" t="s">
        <v>42630</v>
      </c>
      <c r="M4929" t="s">
        <v>44817</v>
      </c>
      <c r="N4929" t="s">
        <v>47304</v>
      </c>
      <c r="O4929" t="s">
        <v>47305</v>
      </c>
      <c r="P4929">
        <v>0</v>
      </c>
      <c r="Q4929">
        <v>1</v>
      </c>
      <c r="R4929" t="s">
        <v>47306</v>
      </c>
      <c r="S4929" t="s">
        <v>47414</v>
      </c>
      <c r="T4929" t="s">
        <v>49004</v>
      </c>
      <c r="U4929" t="s">
        <v>53715</v>
      </c>
      <c r="W4929" t="s">
        <v>44817</v>
      </c>
      <c r="X4929" t="s">
        <v>47308</v>
      </c>
    </row>
    <row r="4930" spans="1:24">
      <c r="A4930">
        <f>HYPERLINK("https://www.philgeps.gov.ph/GEPSNONPILOT/Tender/SplashBidNoticeAbstractUI.aspx?menuIndex=3&amp;refID=7197501&amp;Result=3","7197501")</f>
        <v>0</v>
      </c>
      <c r="B4930" t="s">
        <v>686</v>
      </c>
      <c r="C4930" t="s">
        <v>8497</v>
      </c>
      <c r="D4930" t="s">
        <v>18993</v>
      </c>
      <c r="E4930" t="s">
        <v>23470</v>
      </c>
      <c r="F4930" t="s">
        <v>32606</v>
      </c>
      <c r="G4930" t="s">
        <v>32614</v>
      </c>
      <c r="H4930" t="s">
        <v>14201</v>
      </c>
      <c r="I4930" t="s">
        <v>32715</v>
      </c>
      <c r="J4930" t="s">
        <v>35319</v>
      </c>
      <c r="K4930" t="s">
        <v>42624</v>
      </c>
      <c r="M4930" t="s">
        <v>43607</v>
      </c>
      <c r="N4930" t="s">
        <v>47304</v>
      </c>
      <c r="O4930" t="s">
        <v>47305</v>
      </c>
      <c r="P4930">
        <v>0</v>
      </c>
      <c r="Q4930">
        <v>9</v>
      </c>
      <c r="R4930" t="s">
        <v>47306</v>
      </c>
      <c r="S4930" t="s">
        <v>47414</v>
      </c>
      <c r="T4930" t="s">
        <v>49014</v>
      </c>
      <c r="U4930" t="s">
        <v>50752</v>
      </c>
      <c r="W4930" t="s">
        <v>43607</v>
      </c>
      <c r="X4930" t="s">
        <v>47308</v>
      </c>
    </row>
    <row r="4931" spans="1:24">
      <c r="A4931">
        <f>HYPERLINK("https://www.philgeps.gov.ph/GEPSNONPILOT/Tender/SplashBidNoticeAbstractUI.aspx?menuIndex=3&amp;refID=7197500&amp;Result=3","7197500")</f>
        <v>0</v>
      </c>
      <c r="B4931" t="s">
        <v>1721</v>
      </c>
      <c r="C4931" t="s">
        <v>8498</v>
      </c>
      <c r="D4931" t="s">
        <v>18993</v>
      </c>
      <c r="E4931" t="s">
        <v>23471</v>
      </c>
      <c r="F4931" t="s">
        <v>32606</v>
      </c>
      <c r="G4931" t="s">
        <v>32614</v>
      </c>
      <c r="H4931" t="s">
        <v>14201</v>
      </c>
      <c r="I4931" t="s">
        <v>32631</v>
      </c>
      <c r="J4931" t="s">
        <v>33263</v>
      </c>
      <c r="K4931" t="s">
        <v>42623</v>
      </c>
      <c r="M4931" t="s">
        <v>44753</v>
      </c>
      <c r="N4931" t="s">
        <v>47304</v>
      </c>
      <c r="O4931" t="s">
        <v>47305</v>
      </c>
      <c r="P4931">
        <v>0</v>
      </c>
      <c r="Q4931">
        <v>2</v>
      </c>
      <c r="R4931" t="s">
        <v>47306</v>
      </c>
      <c r="S4931" t="s">
        <v>47414</v>
      </c>
      <c r="T4931" t="s">
        <v>49004</v>
      </c>
      <c r="U4931" t="s">
        <v>53716</v>
      </c>
      <c r="V4931" t="s">
        <v>63091</v>
      </c>
      <c r="W4931" t="s">
        <v>44753</v>
      </c>
      <c r="X4931" t="s">
        <v>47308</v>
      </c>
    </row>
    <row r="4932" spans="1:24">
      <c r="A4932">
        <f>HYPERLINK("https://www.philgeps.gov.ph/GEPSNONPILOT/Tender/SplashBidNoticeAbstractUI.aspx?menuIndex=3&amp;refID=7197481&amp;Result=3","7197481")</f>
        <v>0</v>
      </c>
      <c r="B4932" t="s">
        <v>1779</v>
      </c>
      <c r="C4932" t="s">
        <v>8499</v>
      </c>
      <c r="D4932" t="s">
        <v>18987</v>
      </c>
      <c r="E4932" t="s">
        <v>23472</v>
      </c>
      <c r="F4932" t="s">
        <v>32606</v>
      </c>
      <c r="G4932" t="s">
        <v>32613</v>
      </c>
      <c r="H4932" t="s">
        <v>14201</v>
      </c>
      <c r="I4932" t="s">
        <v>6931</v>
      </c>
      <c r="J4932" t="s">
        <v>36021</v>
      </c>
      <c r="K4932" t="s">
        <v>42631</v>
      </c>
      <c r="M4932" t="s">
        <v>44818</v>
      </c>
      <c r="N4932" t="s">
        <v>47304</v>
      </c>
      <c r="O4932" t="s">
        <v>47305</v>
      </c>
      <c r="P4932">
        <v>0</v>
      </c>
      <c r="Q4932">
        <v>0</v>
      </c>
      <c r="R4932" t="s">
        <v>47306</v>
      </c>
      <c r="S4932" t="s">
        <v>47414</v>
      </c>
      <c r="T4932" t="s">
        <v>49160</v>
      </c>
      <c r="U4932" t="s">
        <v>53717</v>
      </c>
      <c r="W4932" t="s">
        <v>44818</v>
      </c>
      <c r="X4932" t="s">
        <v>47308</v>
      </c>
    </row>
    <row r="4933" spans="1:24">
      <c r="A4933">
        <f>HYPERLINK("https://www.philgeps.gov.ph/GEPSNONPILOT/Tender/SplashBidNoticeAbstractUI.aspx?menuIndex=3&amp;refID=7197507&amp;Result=3","7197507")</f>
        <v>0</v>
      </c>
      <c r="B4933" t="s">
        <v>76</v>
      </c>
      <c r="C4933" t="s">
        <v>8500</v>
      </c>
      <c r="D4933" t="s">
        <v>19010</v>
      </c>
      <c r="E4933" t="s">
        <v>23473</v>
      </c>
      <c r="F4933" t="s">
        <v>32606</v>
      </c>
      <c r="G4933" t="s">
        <v>32613</v>
      </c>
      <c r="H4933" t="s">
        <v>32623</v>
      </c>
      <c r="I4933" t="s">
        <v>17648</v>
      </c>
      <c r="J4933" t="s">
        <v>36022</v>
      </c>
      <c r="K4933" t="s">
        <v>42668</v>
      </c>
      <c r="M4933" t="s">
        <v>44791</v>
      </c>
      <c r="N4933" t="s">
        <v>47304</v>
      </c>
      <c r="O4933" t="s">
        <v>47305</v>
      </c>
      <c r="P4933">
        <v>0</v>
      </c>
      <c r="Q4933">
        <v>1</v>
      </c>
      <c r="R4933" t="s">
        <v>47306</v>
      </c>
      <c r="S4933" t="s">
        <v>47414</v>
      </c>
      <c r="T4933" t="s">
        <v>48987</v>
      </c>
      <c r="U4933" t="s">
        <v>53718</v>
      </c>
      <c r="W4933" t="s">
        <v>44791</v>
      </c>
      <c r="X4933" t="s">
        <v>47308</v>
      </c>
    </row>
    <row r="4934" spans="1:24">
      <c r="A4934">
        <f>HYPERLINK("https://www.philgeps.gov.ph/GEPSNONPILOT/Tender/SplashBidNoticeAbstractUI.aspx?menuIndex=3&amp;refID=7197600&amp;Result=3","7197600")</f>
        <v>0</v>
      </c>
      <c r="B4934" t="s">
        <v>28</v>
      </c>
      <c r="C4934" t="s">
        <v>8501</v>
      </c>
      <c r="D4934" t="s">
        <v>18993</v>
      </c>
      <c r="E4934" t="s">
        <v>23438</v>
      </c>
      <c r="F4934" t="s">
        <v>32606</v>
      </c>
      <c r="G4934" t="s">
        <v>32615</v>
      </c>
      <c r="H4934" t="s">
        <v>14201</v>
      </c>
      <c r="I4934" t="s">
        <v>32631</v>
      </c>
      <c r="J4934" t="s">
        <v>36023</v>
      </c>
      <c r="K4934" t="s">
        <v>42631</v>
      </c>
      <c r="M4934" t="s">
        <v>44805</v>
      </c>
      <c r="N4934" t="s">
        <v>47304</v>
      </c>
      <c r="O4934" t="s">
        <v>47305</v>
      </c>
      <c r="P4934">
        <v>0</v>
      </c>
      <c r="Q4934">
        <v>2</v>
      </c>
      <c r="R4934" t="s">
        <v>47306</v>
      </c>
      <c r="S4934" t="s">
        <v>47414</v>
      </c>
      <c r="T4934" t="s">
        <v>49056</v>
      </c>
      <c r="U4934" t="s">
        <v>53693</v>
      </c>
      <c r="W4934" t="s">
        <v>44805</v>
      </c>
      <c r="X4934" t="s">
        <v>47308</v>
      </c>
    </row>
    <row r="4935" spans="1:24">
      <c r="A4935">
        <f>HYPERLINK("https://www.philgeps.gov.ph/GEPSNONPILOT/Tender/SplashBidNoticeAbstractUI.aspx?menuIndex=3&amp;refID=7197631&amp;Result=3","7197631")</f>
        <v>0</v>
      </c>
      <c r="B4935" t="s">
        <v>1769</v>
      </c>
      <c r="C4935" t="s">
        <v>8502</v>
      </c>
      <c r="D4935" t="s">
        <v>19037</v>
      </c>
      <c r="E4935" t="s">
        <v>23474</v>
      </c>
      <c r="F4935" t="s">
        <v>32606</v>
      </c>
      <c r="G4935" t="s">
        <v>32614</v>
      </c>
      <c r="H4935" t="s">
        <v>14201</v>
      </c>
      <c r="I4935" t="s">
        <v>4121</v>
      </c>
      <c r="J4935" t="s">
        <v>33529</v>
      </c>
      <c r="K4935" t="s">
        <v>42623</v>
      </c>
      <c r="M4935" t="s">
        <v>44819</v>
      </c>
      <c r="N4935" t="s">
        <v>47304</v>
      </c>
      <c r="O4935" t="s">
        <v>47305</v>
      </c>
      <c r="P4935">
        <v>0</v>
      </c>
      <c r="Q4935">
        <v>3</v>
      </c>
      <c r="R4935" t="s">
        <v>47306</v>
      </c>
      <c r="S4935" t="s">
        <v>47414</v>
      </c>
      <c r="T4935" t="s">
        <v>48980</v>
      </c>
      <c r="U4935" t="s">
        <v>53719</v>
      </c>
      <c r="W4935" t="s">
        <v>44819</v>
      </c>
      <c r="X4935" t="s">
        <v>47308</v>
      </c>
    </row>
    <row r="4936" spans="1:24">
      <c r="A4936">
        <f>HYPERLINK("https://www.philgeps.gov.ph/GEPSNONPILOT/Tender/SplashBidNoticeAbstractUI.aspx?menuIndex=3&amp;refID=7197572&amp;Result=3","7197572")</f>
        <v>0</v>
      </c>
      <c r="B4936" t="s">
        <v>1772</v>
      </c>
      <c r="C4936" t="s">
        <v>8503</v>
      </c>
      <c r="D4936" t="s">
        <v>19002</v>
      </c>
      <c r="E4936" t="s">
        <v>23475</v>
      </c>
      <c r="F4936" t="s">
        <v>32606</v>
      </c>
      <c r="G4936" t="s">
        <v>32614</v>
      </c>
      <c r="H4936" t="s">
        <v>14201</v>
      </c>
      <c r="I4936" t="s">
        <v>8606</v>
      </c>
      <c r="J4936" t="s">
        <v>35547</v>
      </c>
      <c r="K4936" t="s">
        <v>42632</v>
      </c>
      <c r="M4936" t="s">
        <v>44811</v>
      </c>
      <c r="N4936" t="s">
        <v>47304</v>
      </c>
      <c r="O4936" t="s">
        <v>47305</v>
      </c>
      <c r="P4936">
        <v>0</v>
      </c>
      <c r="Q4936">
        <v>0</v>
      </c>
      <c r="R4936" t="s">
        <v>47306</v>
      </c>
      <c r="S4936" t="s">
        <v>47414</v>
      </c>
      <c r="T4936" t="s">
        <v>48997</v>
      </c>
      <c r="U4936" t="s">
        <v>53720</v>
      </c>
      <c r="W4936" t="s">
        <v>44811</v>
      </c>
      <c r="X4936" t="s">
        <v>47308</v>
      </c>
    </row>
    <row r="4937" spans="1:24">
      <c r="A4937">
        <f>HYPERLINK("https://www.philgeps.gov.ph/GEPSNONPILOT/Tender/SplashBidNoticeAbstractUI.aspx?menuIndex=3&amp;refID=7197630&amp;Result=3","7197630")</f>
        <v>0</v>
      </c>
      <c r="B4937" t="s">
        <v>1780</v>
      </c>
      <c r="C4937" t="s">
        <v>8504</v>
      </c>
      <c r="D4937" t="s">
        <v>19040</v>
      </c>
      <c r="E4937" t="s">
        <v>23476</v>
      </c>
      <c r="F4937" t="s">
        <v>32606</v>
      </c>
      <c r="G4937" t="s">
        <v>32613</v>
      </c>
      <c r="H4937" t="s">
        <v>32623</v>
      </c>
      <c r="I4937" t="s">
        <v>17648</v>
      </c>
      <c r="J4937" t="s">
        <v>35368</v>
      </c>
      <c r="K4937" t="s">
        <v>42766</v>
      </c>
      <c r="M4937" t="s">
        <v>44820</v>
      </c>
      <c r="N4937" t="s">
        <v>47304</v>
      </c>
      <c r="O4937" t="s">
        <v>47305</v>
      </c>
      <c r="P4937">
        <v>0</v>
      </c>
      <c r="Q4937">
        <v>0</v>
      </c>
      <c r="R4937" t="s">
        <v>47306</v>
      </c>
      <c r="S4937" t="s">
        <v>47414</v>
      </c>
      <c r="T4937" t="s">
        <v>49031</v>
      </c>
      <c r="U4937" t="s">
        <v>53721</v>
      </c>
      <c r="V4937" t="s">
        <v>63103</v>
      </c>
      <c r="W4937" t="s">
        <v>44820</v>
      </c>
      <c r="X4937" t="s">
        <v>47308</v>
      </c>
    </row>
    <row r="4938" spans="1:24">
      <c r="A4938">
        <f>HYPERLINK("https://www.philgeps.gov.ph/GEPSNONPILOT/Tender/SplashBidNoticeAbstractUI.aspx?menuIndex=3&amp;refID=7197628&amp;Result=3","7197628")</f>
        <v>0</v>
      </c>
      <c r="B4938" t="s">
        <v>1781</v>
      </c>
      <c r="C4938" t="s">
        <v>8505</v>
      </c>
      <c r="D4938" t="s">
        <v>19063</v>
      </c>
      <c r="E4938" t="s">
        <v>23477</v>
      </c>
      <c r="F4938" t="s">
        <v>32606</v>
      </c>
      <c r="G4938" t="s">
        <v>32614</v>
      </c>
      <c r="H4938" t="s">
        <v>14201</v>
      </c>
      <c r="I4938" t="s">
        <v>32644</v>
      </c>
      <c r="J4938" t="s">
        <v>34080</v>
      </c>
      <c r="K4938" t="s">
        <v>42630</v>
      </c>
      <c r="L4938" t="s">
        <v>1781</v>
      </c>
      <c r="M4938" t="s">
        <v>44821</v>
      </c>
      <c r="N4938" t="s">
        <v>47304</v>
      </c>
      <c r="O4938" t="s">
        <v>47305</v>
      </c>
      <c r="P4938">
        <v>0</v>
      </c>
      <c r="Q4938">
        <v>1</v>
      </c>
      <c r="R4938" t="s">
        <v>47306</v>
      </c>
      <c r="S4938" t="s">
        <v>47414</v>
      </c>
      <c r="T4938" t="s">
        <v>49098</v>
      </c>
      <c r="U4938" t="s">
        <v>53722</v>
      </c>
      <c r="V4938" t="s">
        <v>63104</v>
      </c>
      <c r="W4938" t="s">
        <v>64480</v>
      </c>
      <c r="X4938" t="s">
        <v>47308</v>
      </c>
    </row>
    <row r="4939" spans="1:24">
      <c r="A4939">
        <f>HYPERLINK("https://www.philgeps.gov.ph/GEPSNONPILOT/Tender/SplashBidNoticeAbstractUI.aspx?menuIndex=3&amp;refID=7197633&amp;Result=3","7197633")</f>
        <v>0</v>
      </c>
      <c r="B4939" t="s">
        <v>1781</v>
      </c>
      <c r="C4939" t="s">
        <v>8506</v>
      </c>
      <c r="D4939" t="s">
        <v>19063</v>
      </c>
      <c r="E4939" t="s">
        <v>23478</v>
      </c>
      <c r="F4939" t="s">
        <v>32606</v>
      </c>
      <c r="G4939" t="s">
        <v>32614</v>
      </c>
      <c r="H4939" t="s">
        <v>14201</v>
      </c>
      <c r="I4939" t="s">
        <v>32644</v>
      </c>
      <c r="J4939" t="s">
        <v>32813</v>
      </c>
      <c r="K4939" t="s">
        <v>42629</v>
      </c>
      <c r="L4939" t="s">
        <v>1781</v>
      </c>
      <c r="M4939" t="s">
        <v>44821</v>
      </c>
      <c r="N4939" t="s">
        <v>47304</v>
      </c>
      <c r="O4939" t="s">
        <v>47305</v>
      </c>
      <c r="P4939">
        <v>0</v>
      </c>
      <c r="Q4939">
        <v>2</v>
      </c>
      <c r="R4939" t="s">
        <v>47306</v>
      </c>
      <c r="S4939" t="s">
        <v>47414</v>
      </c>
      <c r="T4939" t="s">
        <v>49098</v>
      </c>
      <c r="U4939" t="s">
        <v>53723</v>
      </c>
      <c r="V4939" t="s">
        <v>63104</v>
      </c>
      <c r="W4939" t="s">
        <v>64480</v>
      </c>
      <c r="X4939" t="s">
        <v>47308</v>
      </c>
    </row>
    <row r="4940" spans="1:24">
      <c r="A4940">
        <f>HYPERLINK("https://www.philgeps.gov.ph/GEPSNONPILOT/Tender/SplashBidNoticeAbstractUI.aspx?menuIndex=3&amp;refID=7197504&amp;Result=3","7197504")</f>
        <v>0</v>
      </c>
      <c r="B4940" t="s">
        <v>1579</v>
      </c>
      <c r="C4940" t="s">
        <v>8507</v>
      </c>
      <c r="D4940" t="s">
        <v>19000</v>
      </c>
      <c r="E4940" t="s">
        <v>23479</v>
      </c>
      <c r="F4940" t="s">
        <v>32606</v>
      </c>
      <c r="G4940" t="s">
        <v>32613</v>
      </c>
      <c r="H4940" t="s">
        <v>32623</v>
      </c>
      <c r="I4940" t="s">
        <v>17648</v>
      </c>
      <c r="J4940" t="s">
        <v>36024</v>
      </c>
      <c r="K4940" t="s">
        <v>42636</v>
      </c>
      <c r="M4940" t="s">
        <v>44591</v>
      </c>
      <c r="N4940" t="s">
        <v>47304</v>
      </c>
      <c r="O4940" t="s">
        <v>47305</v>
      </c>
      <c r="P4940">
        <v>0</v>
      </c>
      <c r="Q4940">
        <v>0</v>
      </c>
      <c r="R4940" t="s">
        <v>47306</v>
      </c>
      <c r="S4940" t="s">
        <v>47414</v>
      </c>
      <c r="T4940" t="s">
        <v>48973</v>
      </c>
      <c r="U4940" t="s">
        <v>53724</v>
      </c>
      <c r="W4940" t="s">
        <v>44591</v>
      </c>
      <c r="X4940" t="s">
        <v>47308</v>
      </c>
    </row>
    <row r="4941" spans="1:24">
      <c r="A4941">
        <f>HYPERLINK("https://www.philgeps.gov.ph/GEPSNONPILOT/Tender/SplashBidNoticeAbstractUI.aspx?menuIndex=3&amp;refID=7197627&amp;Result=3","7197627")</f>
        <v>0</v>
      </c>
      <c r="B4941" t="s">
        <v>1782</v>
      </c>
      <c r="C4941" t="s">
        <v>8508</v>
      </c>
      <c r="D4941" t="s">
        <v>18993</v>
      </c>
      <c r="E4941" t="s">
        <v>23480</v>
      </c>
      <c r="F4941" t="s">
        <v>32606</v>
      </c>
      <c r="G4941" t="s">
        <v>32619</v>
      </c>
      <c r="H4941" t="s">
        <v>14201</v>
      </c>
      <c r="I4941" t="s">
        <v>4114</v>
      </c>
      <c r="J4941" t="s">
        <v>33068</v>
      </c>
      <c r="K4941" t="s">
        <v>42638</v>
      </c>
      <c r="M4941" t="s">
        <v>44822</v>
      </c>
      <c r="N4941" t="s">
        <v>47304</v>
      </c>
      <c r="O4941" t="s">
        <v>47305</v>
      </c>
      <c r="P4941">
        <v>0</v>
      </c>
      <c r="Q4941">
        <v>9</v>
      </c>
      <c r="R4941" t="s">
        <v>47306</v>
      </c>
      <c r="S4941" t="s">
        <v>47414</v>
      </c>
      <c r="T4941" t="s">
        <v>49068</v>
      </c>
      <c r="U4941" t="s">
        <v>53725</v>
      </c>
      <c r="W4941" t="s">
        <v>44822</v>
      </c>
      <c r="X4941" t="s">
        <v>47308</v>
      </c>
    </row>
    <row r="4942" spans="1:24">
      <c r="A4942">
        <f>HYPERLINK("https://www.philgeps.gov.ph/GEPSNONPILOT/Tender/SplashBidNoticeAbstractUI.aspx?menuIndex=3&amp;refID=7197625&amp;Result=3","7197625")</f>
        <v>0</v>
      </c>
      <c r="B4942" t="s">
        <v>1783</v>
      </c>
      <c r="C4942" t="s">
        <v>8509</v>
      </c>
      <c r="D4942" t="s">
        <v>19014</v>
      </c>
      <c r="E4942" t="s">
        <v>23481</v>
      </c>
      <c r="F4942" t="s">
        <v>32606</v>
      </c>
      <c r="G4942" t="s">
        <v>32613</v>
      </c>
      <c r="H4942" t="s">
        <v>32623</v>
      </c>
      <c r="I4942" t="s">
        <v>17648</v>
      </c>
      <c r="J4942" t="s">
        <v>33554</v>
      </c>
      <c r="K4942" t="s">
        <v>42646</v>
      </c>
      <c r="L4942" t="s">
        <v>1783</v>
      </c>
      <c r="M4942" t="s">
        <v>44823</v>
      </c>
      <c r="N4942" t="s">
        <v>47304</v>
      </c>
      <c r="O4942" t="s">
        <v>47305</v>
      </c>
      <c r="P4942">
        <v>0</v>
      </c>
      <c r="Q4942">
        <v>17</v>
      </c>
      <c r="R4942" t="s">
        <v>47306</v>
      </c>
      <c r="S4942" t="s">
        <v>47414</v>
      </c>
      <c r="T4942" t="s">
        <v>49300</v>
      </c>
      <c r="U4942" t="s">
        <v>53726</v>
      </c>
      <c r="W4942" t="s">
        <v>44823</v>
      </c>
      <c r="X4942" t="s">
        <v>47308</v>
      </c>
    </row>
    <row r="4943" spans="1:24">
      <c r="A4943">
        <f>HYPERLINK("https://www.philgeps.gov.ph/GEPSNONPILOT/Tender/SplashBidNoticeAbstractUI.aspx?menuIndex=3&amp;refID=7197598&amp;Result=3","7197598")</f>
        <v>0</v>
      </c>
      <c r="B4943" t="s">
        <v>1784</v>
      </c>
      <c r="C4943" t="s">
        <v>8510</v>
      </c>
      <c r="D4943" t="s">
        <v>18988</v>
      </c>
      <c r="E4943" t="s">
        <v>23482</v>
      </c>
      <c r="F4943" t="s">
        <v>32606</v>
      </c>
      <c r="G4943" t="s">
        <v>32614</v>
      </c>
      <c r="H4943" t="s">
        <v>14201</v>
      </c>
      <c r="I4943" t="s">
        <v>6478</v>
      </c>
      <c r="J4943" t="s">
        <v>36025</v>
      </c>
      <c r="K4943" t="s">
        <v>42624</v>
      </c>
      <c r="M4943" t="s">
        <v>44824</v>
      </c>
      <c r="N4943" t="s">
        <v>47304</v>
      </c>
      <c r="O4943" t="s">
        <v>47305</v>
      </c>
      <c r="P4943">
        <v>0</v>
      </c>
      <c r="Q4943">
        <v>2</v>
      </c>
      <c r="R4943" t="s">
        <v>47306</v>
      </c>
      <c r="S4943" t="s">
        <v>47414</v>
      </c>
      <c r="T4943" t="s">
        <v>49015</v>
      </c>
      <c r="U4943" t="s">
        <v>53727</v>
      </c>
      <c r="W4943" t="s">
        <v>44824</v>
      </c>
      <c r="X4943" t="s">
        <v>47308</v>
      </c>
    </row>
    <row r="4944" spans="1:24">
      <c r="A4944">
        <f>HYPERLINK("https://www.philgeps.gov.ph/GEPSNONPILOT/Tender/SplashBidNoticeAbstractUI.aspx?menuIndex=3&amp;refID=7197624&amp;Result=3","7197624")</f>
        <v>0</v>
      </c>
      <c r="B4944" t="s">
        <v>1785</v>
      </c>
      <c r="C4944" t="s">
        <v>8511</v>
      </c>
      <c r="D4944" t="s">
        <v>19003</v>
      </c>
      <c r="E4944" t="s">
        <v>23483</v>
      </c>
      <c r="F4944" t="s">
        <v>32606</v>
      </c>
      <c r="G4944" t="s">
        <v>32617</v>
      </c>
      <c r="H4944" t="s">
        <v>14201</v>
      </c>
      <c r="I4944" t="s">
        <v>6993</v>
      </c>
      <c r="J4944" t="s">
        <v>34997</v>
      </c>
      <c r="K4944" t="s">
        <v>42623</v>
      </c>
      <c r="M4944" t="s">
        <v>44825</v>
      </c>
      <c r="N4944" t="s">
        <v>47304</v>
      </c>
      <c r="O4944" t="s">
        <v>47305</v>
      </c>
      <c r="P4944">
        <v>0</v>
      </c>
      <c r="Q4944">
        <v>1</v>
      </c>
      <c r="R4944" t="s">
        <v>47306</v>
      </c>
      <c r="S4944" t="s">
        <v>47414</v>
      </c>
      <c r="T4944" t="s">
        <v>49087</v>
      </c>
      <c r="U4944" t="s">
        <v>53728</v>
      </c>
      <c r="W4944" t="s">
        <v>44825</v>
      </c>
      <c r="X4944" t="s">
        <v>47308</v>
      </c>
    </row>
    <row r="4945" spans="1:24">
      <c r="A4945">
        <f>HYPERLINK("https://www.philgeps.gov.ph/GEPSNONPILOT/Tender/SplashBidNoticeAbstractUI.aspx?menuIndex=3&amp;refID=7197623&amp;Result=3","7197623")</f>
        <v>0</v>
      </c>
      <c r="B4945" t="s">
        <v>1780</v>
      </c>
      <c r="C4945" t="s">
        <v>8512</v>
      </c>
      <c r="D4945" t="s">
        <v>19040</v>
      </c>
      <c r="E4945" t="s">
        <v>23484</v>
      </c>
      <c r="F4945" t="s">
        <v>32606</v>
      </c>
      <c r="G4945" t="s">
        <v>32613</v>
      </c>
      <c r="H4945" t="s">
        <v>32623</v>
      </c>
      <c r="I4945" t="s">
        <v>17648</v>
      </c>
      <c r="J4945" t="s">
        <v>36026</v>
      </c>
      <c r="K4945" t="s">
        <v>42720</v>
      </c>
      <c r="M4945" t="s">
        <v>44820</v>
      </c>
      <c r="N4945" t="s">
        <v>47304</v>
      </c>
      <c r="O4945" t="s">
        <v>47305</v>
      </c>
      <c r="P4945">
        <v>0</v>
      </c>
      <c r="Q4945">
        <v>0</v>
      </c>
      <c r="R4945" t="s">
        <v>47306</v>
      </c>
      <c r="S4945" t="s">
        <v>47414</v>
      </c>
      <c r="T4945" t="s">
        <v>49031</v>
      </c>
      <c r="U4945" t="s">
        <v>53729</v>
      </c>
      <c r="V4945" t="s">
        <v>63103</v>
      </c>
      <c r="W4945" t="s">
        <v>44820</v>
      </c>
      <c r="X4945" t="s">
        <v>47308</v>
      </c>
    </row>
    <row r="4946" spans="1:24">
      <c r="A4946">
        <f>HYPERLINK("https://www.philgeps.gov.ph/GEPSNONPILOT/Tender/SplashBidNoticeAbstractUI.aspx?menuIndex=3&amp;refID=7197622&amp;Result=3","7197622")</f>
        <v>0</v>
      </c>
      <c r="B4946" t="s">
        <v>1695</v>
      </c>
      <c r="C4946" t="s">
        <v>8513</v>
      </c>
      <c r="D4946" t="s">
        <v>19050</v>
      </c>
      <c r="E4946" t="s">
        <v>23485</v>
      </c>
      <c r="F4946" t="s">
        <v>32606</v>
      </c>
      <c r="G4946" t="s">
        <v>32613</v>
      </c>
      <c r="H4946" t="s">
        <v>32623</v>
      </c>
      <c r="I4946" t="s">
        <v>17648</v>
      </c>
      <c r="J4946" t="s">
        <v>36027</v>
      </c>
      <c r="K4946" t="s">
        <v>42675</v>
      </c>
      <c r="M4946" t="s">
        <v>44724</v>
      </c>
      <c r="N4946" t="s">
        <v>47304</v>
      </c>
      <c r="O4946" t="s">
        <v>47305</v>
      </c>
      <c r="P4946">
        <v>0</v>
      </c>
      <c r="Q4946">
        <v>0</v>
      </c>
      <c r="R4946" t="s">
        <v>47306</v>
      </c>
      <c r="S4946" t="s">
        <v>47414</v>
      </c>
      <c r="T4946" t="s">
        <v>48995</v>
      </c>
      <c r="U4946" t="s">
        <v>53730</v>
      </c>
      <c r="W4946" t="s">
        <v>44724</v>
      </c>
      <c r="X4946" t="s">
        <v>47308</v>
      </c>
    </row>
    <row r="4947" spans="1:24">
      <c r="A4947">
        <f>HYPERLINK("https://www.philgeps.gov.ph/GEPSNONPILOT/Tender/SplashBidNoticeAbstractUI.aspx?menuIndex=3&amp;refID=7197629&amp;Result=3","7197629")</f>
        <v>0</v>
      </c>
      <c r="B4947" t="s">
        <v>1785</v>
      </c>
      <c r="C4947" t="s">
        <v>8514</v>
      </c>
      <c r="D4947" t="s">
        <v>19003</v>
      </c>
      <c r="E4947" t="s">
        <v>23486</v>
      </c>
      <c r="F4947" t="s">
        <v>32606</v>
      </c>
      <c r="G4947" t="s">
        <v>32617</v>
      </c>
      <c r="H4947" t="s">
        <v>14201</v>
      </c>
      <c r="I4947" t="s">
        <v>6993</v>
      </c>
      <c r="J4947" t="s">
        <v>36028</v>
      </c>
      <c r="K4947" t="s">
        <v>42623</v>
      </c>
      <c r="M4947" t="s">
        <v>44825</v>
      </c>
      <c r="N4947" t="s">
        <v>47304</v>
      </c>
      <c r="O4947" t="s">
        <v>47305</v>
      </c>
      <c r="P4947">
        <v>0</v>
      </c>
      <c r="Q4947">
        <v>1</v>
      </c>
      <c r="R4947" t="s">
        <v>47306</v>
      </c>
      <c r="S4947" t="s">
        <v>47414</v>
      </c>
      <c r="T4947" t="s">
        <v>49087</v>
      </c>
      <c r="U4947" t="s">
        <v>53728</v>
      </c>
      <c r="W4947" t="s">
        <v>44825</v>
      </c>
      <c r="X4947" t="s">
        <v>47308</v>
      </c>
    </row>
    <row r="4948" spans="1:24">
      <c r="A4948">
        <f>HYPERLINK("https://www.philgeps.gov.ph/GEPSNONPILOT/Tender/SplashBidNoticeAbstractUI.aspx?menuIndex=3&amp;refID=7197620&amp;Result=3","7197620")</f>
        <v>0</v>
      </c>
      <c r="B4948" t="s">
        <v>28</v>
      </c>
      <c r="C4948" t="s">
        <v>8515</v>
      </c>
      <c r="D4948" t="s">
        <v>18993</v>
      </c>
      <c r="E4948" t="s">
        <v>23438</v>
      </c>
      <c r="F4948" t="s">
        <v>32606</v>
      </c>
      <c r="G4948" t="s">
        <v>32615</v>
      </c>
      <c r="H4948" t="s">
        <v>14201</v>
      </c>
      <c r="I4948" t="s">
        <v>32631</v>
      </c>
      <c r="J4948" t="s">
        <v>33831</v>
      </c>
      <c r="K4948" t="s">
        <v>42631</v>
      </c>
      <c r="M4948" t="s">
        <v>44805</v>
      </c>
      <c r="N4948" t="s">
        <v>47304</v>
      </c>
      <c r="O4948" t="s">
        <v>47305</v>
      </c>
      <c r="P4948">
        <v>0</v>
      </c>
      <c r="Q4948">
        <v>0</v>
      </c>
      <c r="R4948" t="s">
        <v>47306</v>
      </c>
      <c r="S4948" t="s">
        <v>47414</v>
      </c>
      <c r="T4948" t="s">
        <v>49056</v>
      </c>
      <c r="U4948" t="s">
        <v>53693</v>
      </c>
      <c r="W4948" t="s">
        <v>44805</v>
      </c>
      <c r="X4948" t="s">
        <v>47308</v>
      </c>
    </row>
    <row r="4949" spans="1:24">
      <c r="A4949">
        <f>HYPERLINK("https://www.philgeps.gov.ph/GEPSNONPILOT/Tender/SplashBidNoticeAbstractUI.aspx?menuIndex=3&amp;refID=7197618&amp;Result=3","7197618")</f>
        <v>0</v>
      </c>
      <c r="B4949" t="s">
        <v>1172</v>
      </c>
      <c r="C4949" t="s">
        <v>8516</v>
      </c>
      <c r="D4949" t="s">
        <v>19002</v>
      </c>
      <c r="E4949" t="s">
        <v>23487</v>
      </c>
      <c r="F4949" t="s">
        <v>32606</v>
      </c>
      <c r="G4949" t="s">
        <v>32614</v>
      </c>
      <c r="H4949" t="s">
        <v>14201</v>
      </c>
      <c r="I4949" t="s">
        <v>32696</v>
      </c>
      <c r="J4949" t="s">
        <v>32920</v>
      </c>
      <c r="K4949" t="s">
        <v>42630</v>
      </c>
      <c r="M4949" t="s">
        <v>44135</v>
      </c>
      <c r="N4949" t="s">
        <v>47304</v>
      </c>
      <c r="O4949" t="s">
        <v>47305</v>
      </c>
      <c r="P4949">
        <v>0</v>
      </c>
      <c r="Q4949">
        <v>0</v>
      </c>
      <c r="R4949" t="s">
        <v>47306</v>
      </c>
      <c r="S4949" t="s">
        <v>47414</v>
      </c>
      <c r="T4949" t="s">
        <v>49023</v>
      </c>
      <c r="U4949" t="s">
        <v>51932</v>
      </c>
      <c r="W4949" t="s">
        <v>44135</v>
      </c>
      <c r="X4949" t="s">
        <v>47308</v>
      </c>
    </row>
    <row r="4950" spans="1:24">
      <c r="A4950">
        <f>HYPERLINK("https://www.philgeps.gov.ph/GEPSNONPILOT/Tender/SplashBidNoticeAbstractUI.aspx?menuIndex=3&amp;refID=7197616&amp;Result=3","7197616")</f>
        <v>0</v>
      </c>
      <c r="B4950" t="s">
        <v>1786</v>
      </c>
      <c r="C4950" t="s">
        <v>6931</v>
      </c>
      <c r="D4950" t="s">
        <v>18995</v>
      </c>
      <c r="E4950" t="s">
        <v>23488</v>
      </c>
      <c r="F4950" t="s">
        <v>32606</v>
      </c>
      <c r="G4950" t="s">
        <v>32613</v>
      </c>
      <c r="H4950" t="s">
        <v>14201</v>
      </c>
      <c r="I4950" t="s">
        <v>6931</v>
      </c>
      <c r="J4950" t="s">
        <v>32789</v>
      </c>
      <c r="K4950" t="s">
        <v>42630</v>
      </c>
      <c r="M4950" t="s">
        <v>44826</v>
      </c>
      <c r="N4950" t="s">
        <v>47304</v>
      </c>
      <c r="O4950" t="s">
        <v>47305</v>
      </c>
      <c r="P4950">
        <v>0</v>
      </c>
      <c r="Q4950">
        <v>1</v>
      </c>
      <c r="R4950" t="s">
        <v>47306</v>
      </c>
      <c r="S4950" t="s">
        <v>47414</v>
      </c>
      <c r="T4950" t="s">
        <v>48976</v>
      </c>
      <c r="U4950" t="s">
        <v>53731</v>
      </c>
      <c r="W4950" t="s">
        <v>44826</v>
      </c>
      <c r="X4950" t="s">
        <v>47308</v>
      </c>
    </row>
    <row r="4951" spans="1:24">
      <c r="A4951">
        <f>HYPERLINK("https://www.philgeps.gov.ph/GEPSNONPILOT/Tender/SplashBidNoticeAbstractUI.aspx?menuIndex=3&amp;refID=7197626&amp;Result=3","7197626")</f>
        <v>0</v>
      </c>
      <c r="B4951" t="s">
        <v>1787</v>
      </c>
      <c r="C4951" t="s">
        <v>8487</v>
      </c>
      <c r="D4951" t="s">
        <v>18993</v>
      </c>
      <c r="E4951" t="s">
        <v>23489</v>
      </c>
      <c r="F4951" t="s">
        <v>32606</v>
      </c>
      <c r="G4951" t="s">
        <v>32613</v>
      </c>
      <c r="H4951" t="s">
        <v>14201</v>
      </c>
      <c r="I4951" t="s">
        <v>6298</v>
      </c>
      <c r="J4951" t="s">
        <v>33274</v>
      </c>
      <c r="K4951" t="s">
        <v>42632</v>
      </c>
      <c r="M4951" t="s">
        <v>44827</v>
      </c>
      <c r="N4951" t="s">
        <v>47304</v>
      </c>
      <c r="O4951" t="s">
        <v>47305</v>
      </c>
      <c r="P4951">
        <v>0</v>
      </c>
      <c r="Q4951">
        <v>0</v>
      </c>
      <c r="R4951" t="s">
        <v>47306</v>
      </c>
      <c r="S4951" t="s">
        <v>47414</v>
      </c>
      <c r="T4951" t="s">
        <v>49023</v>
      </c>
      <c r="U4951" t="s">
        <v>53732</v>
      </c>
      <c r="W4951" t="s">
        <v>44827</v>
      </c>
      <c r="X4951" t="s">
        <v>47308</v>
      </c>
    </row>
    <row r="4952" spans="1:24">
      <c r="A4952">
        <f>HYPERLINK("https://www.philgeps.gov.ph/GEPSNONPILOT/Tender/SplashBidNoticeAbstractUI.aspx?menuIndex=3&amp;refID=7197632&amp;Result=3","7197632")</f>
        <v>0</v>
      </c>
      <c r="B4952" t="s">
        <v>1780</v>
      </c>
      <c r="C4952" t="s">
        <v>8517</v>
      </c>
      <c r="D4952" t="s">
        <v>19040</v>
      </c>
      <c r="E4952" t="s">
        <v>23490</v>
      </c>
      <c r="F4952" t="s">
        <v>32606</v>
      </c>
      <c r="G4952" t="s">
        <v>32613</v>
      </c>
      <c r="H4952" t="s">
        <v>14201</v>
      </c>
      <c r="I4952" t="s">
        <v>7064</v>
      </c>
      <c r="J4952" t="s">
        <v>36029</v>
      </c>
      <c r="K4952" t="s">
        <v>42624</v>
      </c>
      <c r="M4952" t="s">
        <v>44820</v>
      </c>
      <c r="N4952" t="s">
        <v>47304</v>
      </c>
      <c r="O4952" t="s">
        <v>47305</v>
      </c>
      <c r="P4952">
        <v>0</v>
      </c>
      <c r="Q4952">
        <v>0</v>
      </c>
      <c r="R4952" t="s">
        <v>47306</v>
      </c>
      <c r="S4952" t="s">
        <v>47414</v>
      </c>
      <c r="T4952" t="s">
        <v>49240</v>
      </c>
      <c r="U4952" t="s">
        <v>53733</v>
      </c>
      <c r="V4952" t="s">
        <v>63103</v>
      </c>
      <c r="W4952" t="s">
        <v>44820</v>
      </c>
      <c r="X4952" t="s">
        <v>47308</v>
      </c>
    </row>
    <row r="4953" spans="1:24">
      <c r="A4953">
        <f>HYPERLINK("https://www.philgeps.gov.ph/GEPSNONPILOT/Tender/SplashBidNoticeAbstractUI.aspx?menuIndex=3&amp;refID=7197615&amp;Result=3","7197615")</f>
        <v>0</v>
      </c>
      <c r="B4953" t="s">
        <v>1788</v>
      </c>
      <c r="C4953" t="s">
        <v>8487</v>
      </c>
      <c r="D4953" t="s">
        <v>18993</v>
      </c>
      <c r="E4953" t="s">
        <v>23491</v>
      </c>
      <c r="F4953" t="s">
        <v>32606</v>
      </c>
      <c r="G4953" t="s">
        <v>32613</v>
      </c>
      <c r="H4953" t="s">
        <v>14201</v>
      </c>
      <c r="I4953" t="s">
        <v>6298</v>
      </c>
      <c r="J4953" t="s">
        <v>33818</v>
      </c>
      <c r="K4953" t="s">
        <v>42632</v>
      </c>
      <c r="M4953" t="s">
        <v>44828</v>
      </c>
      <c r="N4953" t="s">
        <v>47304</v>
      </c>
      <c r="O4953" t="s">
        <v>47305</v>
      </c>
      <c r="P4953">
        <v>0</v>
      </c>
      <c r="Q4953">
        <v>0</v>
      </c>
      <c r="R4953" t="s">
        <v>47306</v>
      </c>
      <c r="S4953" t="s">
        <v>47414</v>
      </c>
      <c r="T4953" t="s">
        <v>49023</v>
      </c>
      <c r="U4953" t="s">
        <v>53734</v>
      </c>
      <c r="W4953" t="s">
        <v>44828</v>
      </c>
      <c r="X4953" t="s">
        <v>47308</v>
      </c>
    </row>
    <row r="4954" spans="1:24">
      <c r="A4954">
        <f>HYPERLINK("https://www.philgeps.gov.ph/GEPSNONPILOT/Tender/SplashBidNoticeAbstractUI.aspx?menuIndex=3&amp;refID=7197621&amp;Result=3","7197621")</f>
        <v>0</v>
      </c>
      <c r="B4954" t="s">
        <v>1172</v>
      </c>
      <c r="C4954" t="s">
        <v>8518</v>
      </c>
      <c r="D4954" t="s">
        <v>19002</v>
      </c>
      <c r="E4954" t="s">
        <v>23492</v>
      </c>
      <c r="F4954" t="s">
        <v>32606</v>
      </c>
      <c r="G4954" t="s">
        <v>32614</v>
      </c>
      <c r="H4954" t="s">
        <v>14201</v>
      </c>
      <c r="I4954" t="s">
        <v>32696</v>
      </c>
      <c r="J4954" t="s">
        <v>32778</v>
      </c>
      <c r="K4954" t="s">
        <v>42630</v>
      </c>
      <c r="M4954" t="s">
        <v>44135</v>
      </c>
      <c r="N4954" t="s">
        <v>47304</v>
      </c>
      <c r="O4954" t="s">
        <v>47305</v>
      </c>
      <c r="P4954">
        <v>0</v>
      </c>
      <c r="Q4954">
        <v>0</v>
      </c>
      <c r="R4954" t="s">
        <v>47306</v>
      </c>
      <c r="S4954" t="s">
        <v>47414</v>
      </c>
      <c r="T4954" t="s">
        <v>49023</v>
      </c>
      <c r="U4954" t="s">
        <v>51932</v>
      </c>
      <c r="W4954" t="s">
        <v>44135</v>
      </c>
      <c r="X4954" t="s">
        <v>47308</v>
      </c>
    </row>
    <row r="4955" spans="1:24">
      <c r="A4955">
        <f>HYPERLINK("https://www.philgeps.gov.ph/GEPSNONPILOT/Tender/SplashBidNoticeAbstractUI.aspx?menuIndex=3&amp;refID=7197479&amp;Result=3","7197479")</f>
        <v>0</v>
      </c>
      <c r="B4955" t="s">
        <v>342</v>
      </c>
      <c r="C4955" t="s">
        <v>8519</v>
      </c>
      <c r="D4955" t="s">
        <v>19039</v>
      </c>
      <c r="E4955" t="s">
        <v>23493</v>
      </c>
      <c r="F4955" t="s">
        <v>32606</v>
      </c>
      <c r="G4955" t="s">
        <v>32613</v>
      </c>
      <c r="H4955" t="s">
        <v>14201</v>
      </c>
      <c r="I4955" t="s">
        <v>7233</v>
      </c>
      <c r="J4955" t="s">
        <v>36030</v>
      </c>
      <c r="K4955" t="s">
        <v>42624</v>
      </c>
      <c r="M4955" t="s">
        <v>43244</v>
      </c>
      <c r="N4955" t="s">
        <v>47304</v>
      </c>
      <c r="O4955" t="s">
        <v>47305</v>
      </c>
      <c r="P4955">
        <v>0</v>
      </c>
      <c r="Q4955">
        <v>0</v>
      </c>
      <c r="R4955" t="s">
        <v>47306</v>
      </c>
      <c r="S4955" t="s">
        <v>47414</v>
      </c>
      <c r="T4955" t="s">
        <v>49002</v>
      </c>
      <c r="U4955" t="s">
        <v>53735</v>
      </c>
      <c r="W4955" t="s">
        <v>43244</v>
      </c>
      <c r="X4955" t="s">
        <v>47308</v>
      </c>
    </row>
    <row r="4956" spans="1:24">
      <c r="A4956">
        <f>HYPERLINK("https://www.philgeps.gov.ph/GEPSNONPILOT/Tender/SplashBidNoticeAbstractUI.aspx?menuIndex=3&amp;refID=7197478&amp;Result=3","7197478")</f>
        <v>0</v>
      </c>
      <c r="B4956" t="s">
        <v>76</v>
      </c>
      <c r="C4956" t="s">
        <v>8520</v>
      </c>
      <c r="D4956" t="s">
        <v>19010</v>
      </c>
      <c r="E4956" t="s">
        <v>23494</v>
      </c>
      <c r="F4956" t="s">
        <v>32606</v>
      </c>
      <c r="G4956" t="s">
        <v>32613</v>
      </c>
      <c r="H4956" t="s">
        <v>32623</v>
      </c>
      <c r="I4956" t="s">
        <v>17648</v>
      </c>
      <c r="J4956" t="s">
        <v>36031</v>
      </c>
      <c r="K4956" t="s">
        <v>42623</v>
      </c>
      <c r="M4956" t="s">
        <v>44791</v>
      </c>
      <c r="N4956" t="s">
        <v>47304</v>
      </c>
      <c r="O4956" t="s">
        <v>47305</v>
      </c>
      <c r="P4956">
        <v>0</v>
      </c>
      <c r="Q4956">
        <v>1</v>
      </c>
      <c r="R4956" t="s">
        <v>47306</v>
      </c>
      <c r="S4956" t="s">
        <v>47414</v>
      </c>
      <c r="T4956" t="s">
        <v>48987</v>
      </c>
      <c r="U4956" t="s">
        <v>53736</v>
      </c>
      <c r="W4956" t="s">
        <v>44791</v>
      </c>
      <c r="X4956" t="s">
        <v>47308</v>
      </c>
    </row>
    <row r="4957" spans="1:24">
      <c r="A4957">
        <f>HYPERLINK("https://www.philgeps.gov.ph/GEPSNONPILOT/Tender/SplashBidNoticeAbstractUI.aspx?menuIndex=3&amp;refID=7197608&amp;Result=3","7197608")</f>
        <v>0</v>
      </c>
      <c r="B4957" t="s">
        <v>1172</v>
      </c>
      <c r="C4957" t="s">
        <v>8521</v>
      </c>
      <c r="D4957" t="s">
        <v>19002</v>
      </c>
      <c r="E4957" t="s">
        <v>23495</v>
      </c>
      <c r="F4957" t="s">
        <v>32606</v>
      </c>
      <c r="G4957" t="s">
        <v>32614</v>
      </c>
      <c r="H4957" t="s">
        <v>14201</v>
      </c>
      <c r="I4957" t="s">
        <v>32696</v>
      </c>
      <c r="J4957" t="s">
        <v>33362</v>
      </c>
      <c r="K4957" t="s">
        <v>42630</v>
      </c>
      <c r="M4957" t="s">
        <v>44135</v>
      </c>
      <c r="N4957" t="s">
        <v>47304</v>
      </c>
      <c r="O4957" t="s">
        <v>47305</v>
      </c>
      <c r="P4957">
        <v>0</v>
      </c>
      <c r="Q4957">
        <v>0</v>
      </c>
      <c r="R4957" t="s">
        <v>47306</v>
      </c>
      <c r="S4957" t="s">
        <v>47414</v>
      </c>
      <c r="T4957" t="s">
        <v>49023</v>
      </c>
      <c r="U4957" t="s">
        <v>51932</v>
      </c>
      <c r="W4957" t="s">
        <v>44135</v>
      </c>
      <c r="X4957" t="s">
        <v>47308</v>
      </c>
    </row>
    <row r="4958" spans="1:24">
      <c r="A4958">
        <f>HYPERLINK("https://www.philgeps.gov.ph/GEPSNONPILOT/Tender/SplashBidNoticeAbstractUI.aspx?menuIndex=3&amp;refID=7197617&amp;Result=3","7197617")</f>
        <v>0</v>
      </c>
      <c r="B4958" t="s">
        <v>1769</v>
      </c>
      <c r="C4958" t="s">
        <v>8522</v>
      </c>
      <c r="D4958" t="s">
        <v>19037</v>
      </c>
      <c r="E4958" t="s">
        <v>23496</v>
      </c>
      <c r="F4958" t="s">
        <v>32606</v>
      </c>
      <c r="G4958" t="s">
        <v>32613</v>
      </c>
      <c r="H4958" t="s">
        <v>32623</v>
      </c>
      <c r="I4958" t="s">
        <v>17648</v>
      </c>
      <c r="J4958" t="s">
        <v>36032</v>
      </c>
      <c r="K4958" t="s">
        <v>42646</v>
      </c>
      <c r="M4958" t="s">
        <v>44807</v>
      </c>
      <c r="N4958" t="s">
        <v>47304</v>
      </c>
      <c r="O4958" t="s">
        <v>47305</v>
      </c>
      <c r="P4958">
        <v>0</v>
      </c>
      <c r="Q4958">
        <v>0</v>
      </c>
      <c r="R4958" t="s">
        <v>47306</v>
      </c>
      <c r="S4958" t="s">
        <v>47414</v>
      </c>
      <c r="T4958" t="s">
        <v>49131</v>
      </c>
      <c r="U4958" t="s">
        <v>53737</v>
      </c>
      <c r="W4958" t="s">
        <v>44807</v>
      </c>
      <c r="X4958" t="s">
        <v>47308</v>
      </c>
    </row>
    <row r="4959" spans="1:24">
      <c r="A4959">
        <f>HYPERLINK("https://www.philgeps.gov.ph/GEPSNONPILOT/Tender/SplashBidNoticeAbstractUI.aspx?menuIndex=3&amp;refID=7197258&amp;Result=3","7197258")</f>
        <v>0</v>
      </c>
      <c r="B4959" t="s">
        <v>1644</v>
      </c>
      <c r="C4959" t="s">
        <v>8523</v>
      </c>
      <c r="D4959" t="s">
        <v>19022</v>
      </c>
      <c r="E4959" t="s">
        <v>23497</v>
      </c>
      <c r="F4959" t="s">
        <v>32606</v>
      </c>
      <c r="G4959" t="s">
        <v>32614</v>
      </c>
      <c r="H4959" t="s">
        <v>14201</v>
      </c>
      <c r="I4959" t="s">
        <v>7677</v>
      </c>
      <c r="J4959" t="s">
        <v>36033</v>
      </c>
      <c r="K4959" t="s">
        <v>42630</v>
      </c>
      <c r="M4959" t="s">
        <v>44665</v>
      </c>
      <c r="N4959" t="s">
        <v>47304</v>
      </c>
      <c r="O4959" t="s">
        <v>47305</v>
      </c>
      <c r="P4959">
        <v>0</v>
      </c>
      <c r="Q4959">
        <v>1</v>
      </c>
      <c r="R4959" t="s">
        <v>47306</v>
      </c>
      <c r="S4959" t="s">
        <v>47414</v>
      </c>
      <c r="T4959" t="s">
        <v>49004</v>
      </c>
      <c r="U4959" t="s">
        <v>53499</v>
      </c>
      <c r="W4959" t="s">
        <v>64478</v>
      </c>
      <c r="X4959" t="s">
        <v>47308</v>
      </c>
    </row>
    <row r="4960" spans="1:24">
      <c r="A4960">
        <f>HYPERLINK("https://www.philgeps.gov.ph/GEPSNONPILOT/Tender/SplashBidNoticeAbstractUI.aspx?menuIndex=3&amp;refID=7197257&amp;Result=3","7197257")</f>
        <v>0</v>
      </c>
      <c r="B4960" t="s">
        <v>1696</v>
      </c>
      <c r="C4960" t="s">
        <v>8524</v>
      </c>
      <c r="D4960" t="s">
        <v>18993</v>
      </c>
      <c r="E4960" t="s">
        <v>23498</v>
      </c>
      <c r="F4960" t="s">
        <v>32606</v>
      </c>
      <c r="G4960" t="s">
        <v>32613</v>
      </c>
      <c r="H4960" t="s">
        <v>14201</v>
      </c>
      <c r="I4960" t="s">
        <v>4112</v>
      </c>
      <c r="J4960" t="s">
        <v>36034</v>
      </c>
      <c r="K4960" t="s">
        <v>42623</v>
      </c>
      <c r="M4960" t="s">
        <v>44734</v>
      </c>
      <c r="N4960" t="s">
        <v>47304</v>
      </c>
      <c r="O4960" t="s">
        <v>47305</v>
      </c>
      <c r="P4960">
        <v>0</v>
      </c>
      <c r="Q4960">
        <v>0</v>
      </c>
      <c r="R4960" t="s">
        <v>47306</v>
      </c>
      <c r="S4960" t="s">
        <v>47414</v>
      </c>
      <c r="T4960" t="s">
        <v>48995</v>
      </c>
      <c r="U4960" t="s">
        <v>53480</v>
      </c>
      <c r="W4960" t="s">
        <v>44734</v>
      </c>
      <c r="X4960" t="s">
        <v>47308</v>
      </c>
    </row>
    <row r="4961" spans="1:24">
      <c r="A4961">
        <f>HYPERLINK("https://www.philgeps.gov.ph/GEPSNONPILOT/Tender/SplashBidNoticeAbstractUI.aspx?menuIndex=3&amp;refID=7197243&amp;Result=3","7197243")</f>
        <v>0</v>
      </c>
      <c r="B4961" t="s">
        <v>101</v>
      </c>
      <c r="C4961" t="s">
        <v>8525</v>
      </c>
      <c r="D4961" t="s">
        <v>18993</v>
      </c>
      <c r="E4961" t="s">
        <v>23499</v>
      </c>
      <c r="F4961" t="s">
        <v>32606</v>
      </c>
      <c r="G4961" t="s">
        <v>32617</v>
      </c>
      <c r="H4961" t="s">
        <v>14201</v>
      </c>
      <c r="I4961" t="s">
        <v>6298</v>
      </c>
      <c r="J4961" t="s">
        <v>33092</v>
      </c>
      <c r="K4961" t="s">
        <v>42631</v>
      </c>
      <c r="M4961" t="s">
        <v>44737</v>
      </c>
      <c r="N4961" t="s">
        <v>47304</v>
      </c>
      <c r="O4961" t="s">
        <v>47305</v>
      </c>
      <c r="P4961">
        <v>0</v>
      </c>
      <c r="Q4961">
        <v>4</v>
      </c>
      <c r="R4961" t="s">
        <v>47306</v>
      </c>
      <c r="S4961" t="s">
        <v>47414</v>
      </c>
      <c r="T4961" t="s">
        <v>48980</v>
      </c>
      <c r="U4961" t="s">
        <v>49695</v>
      </c>
      <c r="W4961" t="s">
        <v>44737</v>
      </c>
      <c r="X4961" t="s">
        <v>47308</v>
      </c>
    </row>
    <row r="4962" spans="1:24">
      <c r="A4962">
        <f>HYPERLINK("https://www.philgeps.gov.ph/GEPSNONPILOT/Tender/SplashBidNoticeAbstractUI.aspx?menuIndex=3&amp;refID=7197242&amp;Result=3","7197242")</f>
        <v>0</v>
      </c>
      <c r="B4962" t="s">
        <v>1112</v>
      </c>
      <c r="C4962" t="s">
        <v>8526</v>
      </c>
      <c r="D4962" t="s">
        <v>19012</v>
      </c>
      <c r="E4962" t="s">
        <v>23500</v>
      </c>
      <c r="F4962" t="s">
        <v>32606</v>
      </c>
      <c r="G4962" t="s">
        <v>32613</v>
      </c>
      <c r="H4962" t="s">
        <v>32623</v>
      </c>
      <c r="I4962" t="s">
        <v>32675</v>
      </c>
      <c r="J4962" t="s">
        <v>36035</v>
      </c>
      <c r="K4962" t="s">
        <v>42646</v>
      </c>
      <c r="M4962" t="s">
        <v>44073</v>
      </c>
      <c r="N4962" t="s">
        <v>47304</v>
      </c>
      <c r="O4962" t="s">
        <v>47305</v>
      </c>
      <c r="P4962">
        <v>0</v>
      </c>
      <c r="Q4962">
        <v>1</v>
      </c>
      <c r="R4962" t="s">
        <v>47306</v>
      </c>
      <c r="S4962" t="s">
        <v>47414</v>
      </c>
      <c r="T4962" t="s">
        <v>49009</v>
      </c>
      <c r="U4962" t="s">
        <v>53738</v>
      </c>
      <c r="V4962" t="s">
        <v>63081</v>
      </c>
      <c r="W4962" t="s">
        <v>44073</v>
      </c>
      <c r="X4962" t="s">
        <v>47308</v>
      </c>
    </row>
    <row r="4963" spans="1:24">
      <c r="A4963">
        <f>HYPERLINK("https://www.philgeps.gov.ph/GEPSNONPILOT/Tender/SplashBidNoticeAbstractUI.aspx?menuIndex=3&amp;refID=7197241&amp;Result=3","7197241")</f>
        <v>0</v>
      </c>
      <c r="B4963" t="s">
        <v>1715</v>
      </c>
      <c r="C4963" t="s">
        <v>8527</v>
      </c>
      <c r="E4963" t="s">
        <v>23501</v>
      </c>
      <c r="F4963" t="s">
        <v>32606</v>
      </c>
      <c r="G4963" t="s">
        <v>32613</v>
      </c>
      <c r="H4963" t="s">
        <v>32623</v>
      </c>
      <c r="I4963" t="s">
        <v>17648</v>
      </c>
      <c r="J4963" t="s">
        <v>36036</v>
      </c>
      <c r="K4963" t="s">
        <v>42761</v>
      </c>
      <c r="M4963" t="s">
        <v>44747</v>
      </c>
      <c r="N4963" t="s">
        <v>47304</v>
      </c>
      <c r="O4963" t="s">
        <v>47305</v>
      </c>
      <c r="P4963">
        <v>0</v>
      </c>
      <c r="Q4963">
        <v>3</v>
      </c>
      <c r="R4963" t="s">
        <v>47306</v>
      </c>
      <c r="S4963" t="s">
        <v>47414</v>
      </c>
      <c r="T4963" t="s">
        <v>49009</v>
      </c>
      <c r="U4963" t="s">
        <v>53739</v>
      </c>
      <c r="W4963" t="s">
        <v>44747</v>
      </c>
      <c r="X4963" t="s">
        <v>47308</v>
      </c>
    </row>
    <row r="4964" spans="1:24">
      <c r="A4964">
        <f>HYPERLINK("https://www.philgeps.gov.ph/GEPSNONPILOT/Tender/SplashBidNoticeAbstractUI.aspx?menuIndex=3&amp;refID=7197240&amp;Result=3","7197240")</f>
        <v>0</v>
      </c>
      <c r="B4964" t="s">
        <v>1789</v>
      </c>
      <c r="C4964" t="s">
        <v>8528</v>
      </c>
      <c r="D4964" t="s">
        <v>19024</v>
      </c>
      <c r="E4964" t="s">
        <v>23192</v>
      </c>
      <c r="F4964" t="s">
        <v>32606</v>
      </c>
      <c r="G4964" t="s">
        <v>32613</v>
      </c>
      <c r="H4964" t="s">
        <v>32623</v>
      </c>
      <c r="I4964" t="s">
        <v>17648</v>
      </c>
      <c r="J4964" t="s">
        <v>36037</v>
      </c>
      <c r="K4964" t="s">
        <v>42631</v>
      </c>
      <c r="M4964" t="s">
        <v>44829</v>
      </c>
      <c r="N4964" t="s">
        <v>47304</v>
      </c>
      <c r="O4964" t="s">
        <v>47305</v>
      </c>
      <c r="P4964">
        <v>0</v>
      </c>
      <c r="Q4964">
        <v>0</v>
      </c>
      <c r="R4964" t="s">
        <v>47306</v>
      </c>
      <c r="S4964" t="s">
        <v>47414</v>
      </c>
      <c r="T4964" t="s">
        <v>48996</v>
      </c>
      <c r="U4964" t="s">
        <v>53740</v>
      </c>
      <c r="W4964" t="s">
        <v>44829</v>
      </c>
      <c r="X4964" t="s">
        <v>47308</v>
      </c>
    </row>
    <row r="4965" spans="1:24">
      <c r="A4965">
        <f>HYPERLINK("https://www.philgeps.gov.ph/GEPSNONPILOT/Tender/SplashBidNoticeAbstractUI.aspx?menuIndex=3&amp;refID=7197239&amp;Result=3","7197239")</f>
        <v>0</v>
      </c>
      <c r="B4965" t="s">
        <v>503</v>
      </c>
      <c r="C4965" t="s">
        <v>8529</v>
      </c>
      <c r="D4965" t="s">
        <v>19033</v>
      </c>
      <c r="E4965" t="s">
        <v>23502</v>
      </c>
      <c r="F4965" t="s">
        <v>32606</v>
      </c>
      <c r="G4965" t="s">
        <v>32613</v>
      </c>
      <c r="H4965" t="s">
        <v>14201</v>
      </c>
      <c r="I4965" t="s">
        <v>6931</v>
      </c>
      <c r="J4965" t="s">
        <v>36038</v>
      </c>
      <c r="K4965" t="s">
        <v>42631</v>
      </c>
      <c r="M4965" t="s">
        <v>43416</v>
      </c>
      <c r="N4965" t="s">
        <v>47304</v>
      </c>
      <c r="O4965" t="s">
        <v>47305</v>
      </c>
      <c r="P4965">
        <v>0</v>
      </c>
      <c r="Q4965">
        <v>1</v>
      </c>
      <c r="R4965" t="s">
        <v>47306</v>
      </c>
      <c r="S4965" t="s">
        <v>47414</v>
      </c>
      <c r="T4965" t="s">
        <v>49111</v>
      </c>
      <c r="U4965" t="s">
        <v>53497</v>
      </c>
      <c r="W4965" t="s">
        <v>43416</v>
      </c>
      <c r="X4965" t="s">
        <v>47308</v>
      </c>
    </row>
    <row r="4966" spans="1:24">
      <c r="A4966">
        <f>HYPERLINK("https://www.philgeps.gov.ph/GEPSNONPILOT/Tender/SplashBidNoticeAbstractUI.aspx?menuIndex=3&amp;refID=7197238&amp;Result=3","7197238")</f>
        <v>0</v>
      </c>
      <c r="B4966" t="s">
        <v>1711</v>
      </c>
      <c r="C4966" t="s">
        <v>8530</v>
      </c>
      <c r="D4966" t="s">
        <v>18993</v>
      </c>
      <c r="E4966" t="s">
        <v>23503</v>
      </c>
      <c r="F4966" t="s">
        <v>32606</v>
      </c>
      <c r="G4966" t="s">
        <v>32613</v>
      </c>
      <c r="H4966" t="s">
        <v>14201</v>
      </c>
      <c r="I4966" t="s">
        <v>32655</v>
      </c>
      <c r="J4966" t="s">
        <v>32772</v>
      </c>
      <c r="K4966" t="s">
        <v>42624</v>
      </c>
      <c r="M4966" t="s">
        <v>44743</v>
      </c>
      <c r="N4966" t="s">
        <v>47304</v>
      </c>
      <c r="O4966" t="s">
        <v>47305</v>
      </c>
      <c r="P4966">
        <v>0</v>
      </c>
      <c r="Q4966">
        <v>14</v>
      </c>
      <c r="R4966" t="s">
        <v>47306</v>
      </c>
      <c r="S4966" t="s">
        <v>47414</v>
      </c>
      <c r="T4966" t="s">
        <v>49029</v>
      </c>
      <c r="U4966" t="s">
        <v>53741</v>
      </c>
      <c r="W4966" t="s">
        <v>44743</v>
      </c>
      <c r="X4966" t="s">
        <v>47308</v>
      </c>
    </row>
    <row r="4967" spans="1:24">
      <c r="A4967">
        <f>HYPERLINK("https://www.philgeps.gov.ph/GEPSNONPILOT/Tender/SplashBidNoticeAbstractUI.aspx?menuIndex=3&amp;refID=7197480&amp;Result=3","7197480")</f>
        <v>0</v>
      </c>
      <c r="B4967" t="s">
        <v>1575</v>
      </c>
      <c r="C4967" t="s">
        <v>8531</v>
      </c>
      <c r="D4967" t="s">
        <v>19070</v>
      </c>
      <c r="E4967" t="s">
        <v>23504</v>
      </c>
      <c r="F4967" t="s">
        <v>32606</v>
      </c>
      <c r="G4967" t="s">
        <v>32613</v>
      </c>
      <c r="H4967" t="s">
        <v>14201</v>
      </c>
      <c r="I4967" t="s">
        <v>32654</v>
      </c>
      <c r="J4967" t="s">
        <v>36039</v>
      </c>
      <c r="K4967" t="s">
        <v>42638</v>
      </c>
      <c r="M4967" t="s">
        <v>44587</v>
      </c>
      <c r="N4967" t="s">
        <v>47304</v>
      </c>
      <c r="O4967" t="s">
        <v>47305</v>
      </c>
      <c r="P4967">
        <v>0</v>
      </c>
      <c r="Q4967">
        <v>0</v>
      </c>
      <c r="R4967" t="s">
        <v>47306</v>
      </c>
      <c r="S4967" t="s">
        <v>47414</v>
      </c>
      <c r="T4967" t="s">
        <v>49118</v>
      </c>
      <c r="U4967" t="s">
        <v>53742</v>
      </c>
      <c r="W4967" t="s">
        <v>44587</v>
      </c>
      <c r="X4967" t="s">
        <v>47308</v>
      </c>
    </row>
    <row r="4968" spans="1:24">
      <c r="A4968">
        <f>HYPERLINK("https://www.philgeps.gov.ph/GEPSNONPILOT/Tender/SplashBidNoticeAbstractUI.aspx?menuIndex=3&amp;refID=7197235&amp;Result=3","7197235")</f>
        <v>0</v>
      </c>
      <c r="B4968" t="s">
        <v>1696</v>
      </c>
      <c r="C4968" t="s">
        <v>8532</v>
      </c>
      <c r="D4968" t="s">
        <v>18993</v>
      </c>
      <c r="E4968" t="s">
        <v>23505</v>
      </c>
      <c r="F4968" t="s">
        <v>32606</v>
      </c>
      <c r="G4968" t="s">
        <v>32613</v>
      </c>
      <c r="H4968" t="s">
        <v>14201</v>
      </c>
      <c r="I4968" t="s">
        <v>4120</v>
      </c>
      <c r="J4968" t="s">
        <v>36040</v>
      </c>
      <c r="K4968" t="s">
        <v>42623</v>
      </c>
      <c r="M4968" t="s">
        <v>44734</v>
      </c>
      <c r="N4968" t="s">
        <v>47304</v>
      </c>
      <c r="O4968" t="s">
        <v>47305</v>
      </c>
      <c r="P4968">
        <v>0</v>
      </c>
      <c r="Q4968">
        <v>1</v>
      </c>
      <c r="R4968" t="s">
        <v>47306</v>
      </c>
      <c r="S4968" t="s">
        <v>47414</v>
      </c>
      <c r="T4968" t="s">
        <v>48995</v>
      </c>
      <c r="U4968" t="s">
        <v>51117</v>
      </c>
      <c r="W4968" t="s">
        <v>44734</v>
      </c>
      <c r="X4968" t="s">
        <v>47308</v>
      </c>
    </row>
    <row r="4969" spans="1:24">
      <c r="A4969">
        <f>HYPERLINK("https://www.philgeps.gov.ph/GEPSNONPILOT/Tender/SplashBidNoticeAbstractUI.aspx?menuIndex=3&amp;refID=7197218&amp;Result=3","7197218")</f>
        <v>0</v>
      </c>
      <c r="B4969" t="s">
        <v>1790</v>
      </c>
      <c r="C4969" t="s">
        <v>8533</v>
      </c>
      <c r="D4969" t="s">
        <v>19024</v>
      </c>
      <c r="E4969" t="s">
        <v>23192</v>
      </c>
      <c r="F4969" t="s">
        <v>32606</v>
      </c>
      <c r="G4969" t="s">
        <v>32613</v>
      </c>
      <c r="H4969" t="s">
        <v>32623</v>
      </c>
      <c r="I4969" t="s">
        <v>17648</v>
      </c>
      <c r="J4969" t="s">
        <v>32999</v>
      </c>
      <c r="K4969" t="s">
        <v>42631</v>
      </c>
      <c r="M4969" t="s">
        <v>44830</v>
      </c>
      <c r="N4969" t="s">
        <v>47304</v>
      </c>
      <c r="O4969" t="s">
        <v>47305</v>
      </c>
      <c r="P4969">
        <v>0</v>
      </c>
      <c r="Q4969">
        <v>0</v>
      </c>
      <c r="R4969" t="s">
        <v>47306</v>
      </c>
      <c r="S4969" t="s">
        <v>47414</v>
      </c>
      <c r="T4969" t="s">
        <v>48996</v>
      </c>
      <c r="U4969" t="s">
        <v>53743</v>
      </c>
      <c r="W4969" t="s">
        <v>44830</v>
      </c>
      <c r="X4969" t="s">
        <v>47308</v>
      </c>
    </row>
    <row r="4970" spans="1:24">
      <c r="A4970">
        <f>HYPERLINK("https://www.philgeps.gov.ph/GEPSNONPILOT/Tender/SplashBidNoticeAbstractUI.aspx?menuIndex=3&amp;refID=7197216&amp;Result=3","7197216")</f>
        <v>0</v>
      </c>
      <c r="B4970" t="s">
        <v>1644</v>
      </c>
      <c r="C4970" t="s">
        <v>8534</v>
      </c>
      <c r="D4970" t="s">
        <v>19022</v>
      </c>
      <c r="E4970" t="s">
        <v>23506</v>
      </c>
      <c r="F4970" t="s">
        <v>32606</v>
      </c>
      <c r="G4970" t="s">
        <v>32617</v>
      </c>
      <c r="H4970" t="s">
        <v>14201</v>
      </c>
      <c r="I4970" t="s">
        <v>7577</v>
      </c>
      <c r="J4970" t="s">
        <v>36041</v>
      </c>
      <c r="K4970" t="s">
        <v>42630</v>
      </c>
      <c r="M4970" t="s">
        <v>44665</v>
      </c>
      <c r="N4970" t="s">
        <v>47304</v>
      </c>
      <c r="O4970" t="s">
        <v>47305</v>
      </c>
      <c r="P4970">
        <v>0</v>
      </c>
      <c r="Q4970">
        <v>0</v>
      </c>
      <c r="R4970" t="s">
        <v>47306</v>
      </c>
      <c r="S4970" t="s">
        <v>47414</v>
      </c>
      <c r="T4970" t="s">
        <v>49004</v>
      </c>
      <c r="U4970" t="s">
        <v>53292</v>
      </c>
      <c r="W4970" t="s">
        <v>64478</v>
      </c>
      <c r="X4970" t="s">
        <v>47308</v>
      </c>
    </row>
    <row r="4971" spans="1:24">
      <c r="A4971">
        <f>HYPERLINK("https://www.philgeps.gov.ph/GEPSNONPILOT/Tender/SplashBidNoticeAbstractUI.aspx?menuIndex=3&amp;refID=7197215&amp;Result=3","7197215")</f>
        <v>0</v>
      </c>
      <c r="B4971" t="s">
        <v>1702</v>
      </c>
      <c r="C4971" t="s">
        <v>8535</v>
      </c>
      <c r="D4971" t="s">
        <v>19037</v>
      </c>
      <c r="E4971" t="s">
        <v>20176</v>
      </c>
      <c r="F4971" t="s">
        <v>32606</v>
      </c>
      <c r="G4971" t="s">
        <v>32619</v>
      </c>
      <c r="H4971" t="s">
        <v>14201</v>
      </c>
      <c r="I4971" t="s">
        <v>17648</v>
      </c>
      <c r="J4971" t="s">
        <v>33099</v>
      </c>
      <c r="K4971" t="s">
        <v>42639</v>
      </c>
      <c r="M4971" t="s">
        <v>44731</v>
      </c>
      <c r="N4971" t="s">
        <v>47304</v>
      </c>
      <c r="O4971" t="s">
        <v>47305</v>
      </c>
      <c r="P4971">
        <v>0</v>
      </c>
      <c r="Q4971">
        <v>1</v>
      </c>
      <c r="R4971" t="s">
        <v>47306</v>
      </c>
      <c r="S4971" t="s">
        <v>47414</v>
      </c>
      <c r="T4971" t="s">
        <v>49062</v>
      </c>
      <c r="U4971" t="s">
        <v>53744</v>
      </c>
      <c r="W4971" t="s">
        <v>44731</v>
      </c>
      <c r="X4971" t="s">
        <v>47308</v>
      </c>
    </row>
    <row r="4972" spans="1:24">
      <c r="A4972">
        <f>HYPERLINK("https://www.philgeps.gov.ph/GEPSNONPILOT/Tender/SplashBidNoticeAbstractUI.aspx?menuIndex=3&amp;refID=7197213&amp;Result=3","7197213")</f>
        <v>0</v>
      </c>
      <c r="B4972" t="s">
        <v>1696</v>
      </c>
      <c r="C4972" t="s">
        <v>8536</v>
      </c>
      <c r="D4972" t="s">
        <v>18993</v>
      </c>
      <c r="E4972" t="s">
        <v>23507</v>
      </c>
      <c r="F4972" t="s">
        <v>32606</v>
      </c>
      <c r="G4972" t="s">
        <v>32613</v>
      </c>
      <c r="H4972" t="s">
        <v>14201</v>
      </c>
      <c r="I4972" t="s">
        <v>6478</v>
      </c>
      <c r="J4972" t="s">
        <v>36042</v>
      </c>
      <c r="K4972" t="s">
        <v>42623</v>
      </c>
      <c r="M4972" t="s">
        <v>44725</v>
      </c>
      <c r="N4972" t="s">
        <v>47304</v>
      </c>
      <c r="O4972" t="s">
        <v>47305</v>
      </c>
      <c r="P4972">
        <v>0</v>
      </c>
      <c r="Q4972">
        <v>0</v>
      </c>
      <c r="R4972" t="s">
        <v>47306</v>
      </c>
      <c r="S4972" t="s">
        <v>47414</v>
      </c>
      <c r="T4972" t="s">
        <v>49023</v>
      </c>
      <c r="U4972" t="s">
        <v>53745</v>
      </c>
      <c r="W4972" t="s">
        <v>44725</v>
      </c>
      <c r="X4972" t="s">
        <v>47308</v>
      </c>
    </row>
    <row r="4973" spans="1:24">
      <c r="A4973">
        <f>HYPERLINK("https://www.philgeps.gov.ph/GEPSNONPILOT/Tender/SplashBidNoticeAbstractUI.aspx?menuIndex=3&amp;refID=7197212&amp;Result=3","7197212")</f>
        <v>0</v>
      </c>
      <c r="B4973" t="s">
        <v>1696</v>
      </c>
      <c r="C4973" t="s">
        <v>8537</v>
      </c>
      <c r="D4973" t="s">
        <v>18993</v>
      </c>
      <c r="E4973" t="s">
        <v>23508</v>
      </c>
      <c r="F4973" t="s">
        <v>32606</v>
      </c>
      <c r="G4973" t="s">
        <v>32613</v>
      </c>
      <c r="H4973" t="s">
        <v>14201</v>
      </c>
      <c r="I4973" t="s">
        <v>6478</v>
      </c>
      <c r="J4973" t="s">
        <v>35850</v>
      </c>
      <c r="K4973" t="s">
        <v>42623</v>
      </c>
      <c r="M4973" t="s">
        <v>44725</v>
      </c>
      <c r="N4973" t="s">
        <v>47304</v>
      </c>
      <c r="O4973" t="s">
        <v>47305</v>
      </c>
      <c r="P4973">
        <v>0</v>
      </c>
      <c r="Q4973">
        <v>0</v>
      </c>
      <c r="R4973" t="s">
        <v>47306</v>
      </c>
      <c r="S4973" t="s">
        <v>47414</v>
      </c>
      <c r="T4973" t="s">
        <v>49023</v>
      </c>
      <c r="U4973" t="s">
        <v>53745</v>
      </c>
      <c r="W4973" t="s">
        <v>44725</v>
      </c>
      <c r="X4973" t="s">
        <v>47308</v>
      </c>
    </row>
    <row r="4974" spans="1:24">
      <c r="A4974">
        <f>HYPERLINK("https://www.philgeps.gov.ph/GEPSNONPILOT/Tender/SplashBidNoticeAbstractUI.aspx?menuIndex=3&amp;refID=7197184&amp;Result=3","7197184")</f>
        <v>0</v>
      </c>
      <c r="B4974" t="s">
        <v>1454</v>
      </c>
      <c r="C4974" t="s">
        <v>8538</v>
      </c>
      <c r="E4974" t="s">
        <v>23509</v>
      </c>
      <c r="F4974" t="s">
        <v>32606</v>
      </c>
      <c r="G4974" t="s">
        <v>32614</v>
      </c>
      <c r="H4974" t="s">
        <v>14201</v>
      </c>
      <c r="I4974" t="s">
        <v>32633</v>
      </c>
      <c r="J4974" t="s">
        <v>36043</v>
      </c>
      <c r="K4974" t="s">
        <v>42630</v>
      </c>
      <c r="M4974" t="s">
        <v>44445</v>
      </c>
      <c r="N4974" t="s">
        <v>47304</v>
      </c>
      <c r="O4974" t="s">
        <v>47305</v>
      </c>
      <c r="P4974">
        <v>0</v>
      </c>
      <c r="Q4974">
        <v>3</v>
      </c>
      <c r="R4974" t="s">
        <v>47306</v>
      </c>
      <c r="S4974" t="s">
        <v>47414</v>
      </c>
      <c r="T4974" t="s">
        <v>49012</v>
      </c>
      <c r="U4974" t="s">
        <v>53746</v>
      </c>
      <c r="V4974" t="s">
        <v>63019</v>
      </c>
      <c r="W4974" t="s">
        <v>44445</v>
      </c>
      <c r="X4974" t="s">
        <v>47308</v>
      </c>
    </row>
    <row r="4975" spans="1:24">
      <c r="A4975">
        <f>HYPERLINK("https://www.philgeps.gov.ph/GEPSNONPILOT/Tender/SplashBidNoticeAbstractUI.aspx?menuIndex=3&amp;refID=7197614&amp;Result=3","7197614")</f>
        <v>0</v>
      </c>
      <c r="B4975" t="s">
        <v>1172</v>
      </c>
      <c r="C4975" t="s">
        <v>8539</v>
      </c>
      <c r="D4975" t="s">
        <v>19002</v>
      </c>
      <c r="E4975" t="s">
        <v>23510</v>
      </c>
      <c r="F4975" t="s">
        <v>32606</v>
      </c>
      <c r="G4975" t="s">
        <v>32614</v>
      </c>
      <c r="H4975" t="s">
        <v>14201</v>
      </c>
      <c r="I4975" t="s">
        <v>32654</v>
      </c>
      <c r="J4975" t="s">
        <v>32945</v>
      </c>
      <c r="K4975" t="s">
        <v>42630</v>
      </c>
      <c r="M4975" t="s">
        <v>44135</v>
      </c>
      <c r="N4975" t="s">
        <v>47304</v>
      </c>
      <c r="O4975" t="s">
        <v>47305</v>
      </c>
      <c r="P4975">
        <v>0</v>
      </c>
      <c r="Q4975">
        <v>0</v>
      </c>
      <c r="R4975" t="s">
        <v>47306</v>
      </c>
      <c r="S4975" t="s">
        <v>47414</v>
      </c>
      <c r="T4975" t="s">
        <v>49023</v>
      </c>
      <c r="U4975" t="s">
        <v>51932</v>
      </c>
      <c r="W4975" t="s">
        <v>44135</v>
      </c>
      <c r="X4975" t="s">
        <v>47308</v>
      </c>
    </row>
    <row r="4976" spans="1:24">
      <c r="A4976">
        <f>HYPERLINK("https://www.philgeps.gov.ph/GEPSNONPILOT/Tender/SplashBidNoticeAbstractUI.aspx?menuIndex=3&amp;refID=7141943&amp;Result=3","7141943")</f>
        <v>0</v>
      </c>
      <c r="B4976" t="s">
        <v>1791</v>
      </c>
      <c r="C4976" t="s">
        <v>8540</v>
      </c>
      <c r="D4976" t="s">
        <v>18993</v>
      </c>
      <c r="E4976" t="s">
        <v>23511</v>
      </c>
      <c r="F4976" t="s">
        <v>32606</v>
      </c>
      <c r="G4976" t="s">
        <v>32614</v>
      </c>
      <c r="H4976" t="s">
        <v>32623</v>
      </c>
      <c r="I4976" t="s">
        <v>6931</v>
      </c>
      <c r="J4976" t="s">
        <v>36044</v>
      </c>
      <c r="K4976" t="s">
        <v>42631</v>
      </c>
      <c r="M4976" t="s">
        <v>44831</v>
      </c>
      <c r="N4976" t="s">
        <v>47304</v>
      </c>
      <c r="O4976" t="s">
        <v>47305</v>
      </c>
      <c r="P4976">
        <v>0</v>
      </c>
      <c r="Q4976">
        <v>3</v>
      </c>
      <c r="R4976" t="s">
        <v>47308</v>
      </c>
      <c r="S4976" t="s">
        <v>47429</v>
      </c>
      <c r="T4976" t="s">
        <v>49301</v>
      </c>
      <c r="U4976" t="s">
        <v>53747</v>
      </c>
      <c r="W4976" t="s">
        <v>44831</v>
      </c>
      <c r="X4976" t="s">
        <v>47334</v>
      </c>
    </row>
    <row r="4977" spans="1:24">
      <c r="A4977">
        <f>HYPERLINK("https://www.philgeps.gov.ph/GEPSNONPILOT/Tender/SplashBidNoticeAbstractUI.aspx?menuIndex=3&amp;refID=7197237&amp;Result=3","7197237")</f>
        <v>0</v>
      </c>
      <c r="B4977" t="s">
        <v>1112</v>
      </c>
      <c r="C4977" t="s">
        <v>8541</v>
      </c>
      <c r="D4977" t="s">
        <v>19031</v>
      </c>
      <c r="E4977" t="s">
        <v>23512</v>
      </c>
      <c r="F4977" t="s">
        <v>32606</v>
      </c>
      <c r="G4977" t="s">
        <v>32613</v>
      </c>
      <c r="H4977" t="s">
        <v>32623</v>
      </c>
      <c r="I4977" t="s">
        <v>32675</v>
      </c>
      <c r="J4977" t="s">
        <v>36045</v>
      </c>
      <c r="K4977" t="s">
        <v>42646</v>
      </c>
      <c r="M4977" t="s">
        <v>44073</v>
      </c>
      <c r="N4977" t="s">
        <v>47304</v>
      </c>
      <c r="O4977" t="s">
        <v>47305</v>
      </c>
      <c r="P4977">
        <v>0</v>
      </c>
      <c r="Q4977">
        <v>1</v>
      </c>
      <c r="R4977" t="s">
        <v>47306</v>
      </c>
      <c r="S4977" t="s">
        <v>47414</v>
      </c>
      <c r="T4977" t="s">
        <v>49009</v>
      </c>
      <c r="U4977" t="s">
        <v>53748</v>
      </c>
      <c r="V4977" t="s">
        <v>63081</v>
      </c>
      <c r="W4977" t="s">
        <v>44073</v>
      </c>
      <c r="X4977" t="s">
        <v>47308</v>
      </c>
    </row>
    <row r="4978" spans="1:24">
      <c r="A4978">
        <f>HYPERLINK("https://www.philgeps.gov.ph/GEPSNONPILOT/Tender/SplashBidNoticeAbstractUI.aspx?menuIndex=3&amp;refID=6855687&amp;Result=3","6855687")</f>
        <v>0</v>
      </c>
      <c r="B4978" t="s">
        <v>130</v>
      </c>
      <c r="C4978" t="s">
        <v>8542</v>
      </c>
      <c r="D4978" t="s">
        <v>19015</v>
      </c>
      <c r="E4978" t="s">
        <v>23513</v>
      </c>
      <c r="F4978" t="s">
        <v>32606</v>
      </c>
      <c r="G4978" t="s">
        <v>32613</v>
      </c>
      <c r="H4978" t="s">
        <v>32623</v>
      </c>
      <c r="I4978" t="s">
        <v>17648</v>
      </c>
      <c r="J4978" t="s">
        <v>36046</v>
      </c>
      <c r="K4978" t="s">
        <v>42648</v>
      </c>
      <c r="M4978" t="s">
        <v>43031</v>
      </c>
      <c r="N4978" t="s">
        <v>47304</v>
      </c>
      <c r="O4978" t="s">
        <v>47305</v>
      </c>
      <c r="Q4978">
        <v>51</v>
      </c>
      <c r="R4978" t="s">
        <v>47308</v>
      </c>
      <c r="S4978" t="s">
        <v>47430</v>
      </c>
      <c r="T4978" t="s">
        <v>49302</v>
      </c>
      <c r="U4978" t="s">
        <v>53749</v>
      </c>
      <c r="V4978" t="s">
        <v>62676</v>
      </c>
      <c r="W4978" t="s">
        <v>43031</v>
      </c>
      <c r="X4978" t="s">
        <v>64566</v>
      </c>
    </row>
    <row r="4979" spans="1:24">
      <c r="A4979">
        <f>HYPERLINK("https://www.philgeps.gov.ph/GEPSNONPILOT/Tender/SplashBidNoticeAbstractUI.aspx?menuIndex=3&amp;refID=7173668&amp;Result=3","7173668")</f>
        <v>0</v>
      </c>
      <c r="B4979" t="s">
        <v>1460</v>
      </c>
      <c r="C4979" t="s">
        <v>8543</v>
      </c>
      <c r="D4979" t="s">
        <v>18993</v>
      </c>
      <c r="E4979" t="s">
        <v>23514</v>
      </c>
      <c r="F4979" t="s">
        <v>32606</v>
      </c>
      <c r="G4979" t="s">
        <v>32613</v>
      </c>
      <c r="H4979" t="s">
        <v>14201</v>
      </c>
      <c r="I4979" t="s">
        <v>32640</v>
      </c>
      <c r="J4979" t="s">
        <v>36047</v>
      </c>
      <c r="K4979" t="s">
        <v>42639</v>
      </c>
      <c r="M4979" t="s">
        <v>44453</v>
      </c>
      <c r="N4979" t="s">
        <v>47304</v>
      </c>
      <c r="O4979" t="s">
        <v>47305</v>
      </c>
      <c r="P4979">
        <v>0</v>
      </c>
      <c r="Q4979">
        <v>23</v>
      </c>
      <c r="R4979" t="s">
        <v>47308</v>
      </c>
      <c r="S4979" t="s">
        <v>47429</v>
      </c>
      <c r="T4979" t="s">
        <v>49048</v>
      </c>
      <c r="U4979" t="s">
        <v>53750</v>
      </c>
      <c r="W4979" t="s">
        <v>44453</v>
      </c>
      <c r="X4979" t="s">
        <v>47320</v>
      </c>
    </row>
    <row r="4980" spans="1:24">
      <c r="A4980">
        <f>HYPERLINK("https://www.philgeps.gov.ph/GEPSNONPILOT/Tender/SplashBidNoticeAbstractUI.aspx?menuIndex=3&amp;refID=7197217&amp;Result=3","7197217")</f>
        <v>0</v>
      </c>
      <c r="B4980" t="s">
        <v>1575</v>
      </c>
      <c r="C4980" t="s">
        <v>8544</v>
      </c>
      <c r="D4980" t="s">
        <v>19070</v>
      </c>
      <c r="E4980" t="s">
        <v>23515</v>
      </c>
      <c r="F4980" t="s">
        <v>32606</v>
      </c>
      <c r="G4980" t="s">
        <v>32613</v>
      </c>
      <c r="H4980" t="s">
        <v>14201</v>
      </c>
      <c r="I4980" t="s">
        <v>32706</v>
      </c>
      <c r="J4980" t="s">
        <v>36048</v>
      </c>
      <c r="K4980" t="s">
        <v>42630</v>
      </c>
      <c r="M4980" t="s">
        <v>44587</v>
      </c>
      <c r="N4980" t="s">
        <v>47304</v>
      </c>
      <c r="O4980" t="s">
        <v>47305</v>
      </c>
      <c r="P4980">
        <v>0</v>
      </c>
      <c r="Q4980">
        <v>1</v>
      </c>
      <c r="R4980" t="s">
        <v>47306</v>
      </c>
      <c r="S4980" t="s">
        <v>47414</v>
      </c>
      <c r="T4980" t="s">
        <v>49118</v>
      </c>
      <c r="U4980" t="s">
        <v>53751</v>
      </c>
      <c r="W4980" t="s">
        <v>44587</v>
      </c>
      <c r="X4980" t="s">
        <v>47308</v>
      </c>
    </row>
    <row r="4981" spans="1:24">
      <c r="A4981">
        <f>HYPERLINK("https://www.philgeps.gov.ph/GEPSNONPILOT/Tender/SplashBidNoticeAbstractUI.aspx?menuIndex=3&amp;refID=7159262&amp;Result=3","7159262")</f>
        <v>0</v>
      </c>
      <c r="B4981" t="s">
        <v>1792</v>
      </c>
      <c r="C4981" t="s">
        <v>8545</v>
      </c>
      <c r="D4981" t="s">
        <v>18993</v>
      </c>
      <c r="E4981" t="s">
        <v>23516</v>
      </c>
      <c r="F4981" t="s">
        <v>32606</v>
      </c>
      <c r="G4981" t="s">
        <v>32614</v>
      </c>
      <c r="H4981" t="s">
        <v>14201</v>
      </c>
      <c r="I4981" t="s">
        <v>6298</v>
      </c>
      <c r="J4981" t="s">
        <v>32820</v>
      </c>
      <c r="K4981" t="s">
        <v>42632</v>
      </c>
      <c r="M4981" t="s">
        <v>44832</v>
      </c>
      <c r="N4981" t="s">
        <v>47304</v>
      </c>
      <c r="O4981" t="s">
        <v>47305</v>
      </c>
      <c r="P4981">
        <v>0</v>
      </c>
      <c r="Q4981">
        <v>10</v>
      </c>
      <c r="R4981" t="s">
        <v>47308</v>
      </c>
      <c r="S4981" t="s">
        <v>47429</v>
      </c>
      <c r="T4981" t="s">
        <v>49303</v>
      </c>
      <c r="U4981" t="s">
        <v>53752</v>
      </c>
      <c r="W4981" t="s">
        <v>44832</v>
      </c>
      <c r="X4981" t="s">
        <v>47326</v>
      </c>
    </row>
    <row r="4982" spans="1:24">
      <c r="A4982">
        <f>HYPERLINK("https://www.philgeps.gov.ph/GEPSNONPILOT/Tender/SplashBidNoticeAbstractUI.aspx?menuIndex=3&amp;refID=7153238&amp;Result=3","7153238")</f>
        <v>0</v>
      </c>
      <c r="B4982" t="s">
        <v>1793</v>
      </c>
      <c r="C4982" t="s">
        <v>8546</v>
      </c>
      <c r="D4982" t="s">
        <v>19063</v>
      </c>
      <c r="E4982" t="s">
        <v>23517</v>
      </c>
      <c r="F4982" t="s">
        <v>32607</v>
      </c>
      <c r="G4982" t="s">
        <v>32614</v>
      </c>
      <c r="H4982" t="s">
        <v>14201</v>
      </c>
      <c r="I4982" t="s">
        <v>6993</v>
      </c>
      <c r="J4982" t="s">
        <v>36049</v>
      </c>
      <c r="K4982" t="s">
        <v>42631</v>
      </c>
      <c r="M4982" t="s">
        <v>44833</v>
      </c>
      <c r="N4982" t="s">
        <v>47304</v>
      </c>
      <c r="O4982" t="s">
        <v>47305</v>
      </c>
      <c r="P4982">
        <v>0</v>
      </c>
      <c r="Q4982">
        <v>0</v>
      </c>
      <c r="R4982" t="s">
        <v>47308</v>
      </c>
      <c r="S4982" t="s">
        <v>47429</v>
      </c>
      <c r="T4982" t="s">
        <v>49018</v>
      </c>
      <c r="U4982" t="s">
        <v>53753</v>
      </c>
      <c r="W4982" t="s">
        <v>44833</v>
      </c>
      <c r="X4982" t="s">
        <v>47328</v>
      </c>
    </row>
    <row r="4983" spans="1:24">
      <c r="A4983">
        <f>HYPERLINK("https://www.philgeps.gov.ph/GEPSNONPILOT/Tender/SplashBidNoticeAbstractUI.aspx?menuIndex=3&amp;refID=7197259&amp;Result=3","7197259")</f>
        <v>0</v>
      </c>
      <c r="B4983" t="s">
        <v>101</v>
      </c>
      <c r="C4983" t="s">
        <v>8547</v>
      </c>
      <c r="D4983" t="s">
        <v>18993</v>
      </c>
      <c r="E4983" t="s">
        <v>23518</v>
      </c>
      <c r="F4983" t="s">
        <v>32606</v>
      </c>
      <c r="G4983" t="s">
        <v>32617</v>
      </c>
      <c r="H4983" t="s">
        <v>14201</v>
      </c>
      <c r="I4983" t="s">
        <v>4114</v>
      </c>
      <c r="J4983" t="s">
        <v>36050</v>
      </c>
      <c r="K4983" t="s">
        <v>42631</v>
      </c>
      <c r="M4983" t="s">
        <v>44737</v>
      </c>
      <c r="N4983" t="s">
        <v>47304</v>
      </c>
      <c r="O4983" t="s">
        <v>47305</v>
      </c>
      <c r="P4983">
        <v>0</v>
      </c>
      <c r="Q4983">
        <v>0</v>
      </c>
      <c r="R4983" t="s">
        <v>47306</v>
      </c>
      <c r="S4983" t="s">
        <v>47414</v>
      </c>
      <c r="T4983" t="s">
        <v>48980</v>
      </c>
      <c r="U4983" t="s">
        <v>53504</v>
      </c>
      <c r="W4983" t="s">
        <v>44737</v>
      </c>
      <c r="X4983" t="s">
        <v>47308</v>
      </c>
    </row>
    <row r="4984" spans="1:24">
      <c r="A4984">
        <f>HYPERLINK("https://www.philgeps.gov.ph/GEPSNONPILOT/Tender/SplashBidNoticeAbstractUI.aspx?menuIndex=3&amp;refID=7147067&amp;Result=3","7147067")</f>
        <v>0</v>
      </c>
      <c r="B4984" t="s">
        <v>1794</v>
      </c>
      <c r="C4984" t="s">
        <v>8548</v>
      </c>
      <c r="D4984" t="s">
        <v>19052</v>
      </c>
      <c r="E4984" t="s">
        <v>23519</v>
      </c>
      <c r="F4984" t="s">
        <v>32606</v>
      </c>
      <c r="G4984" t="s">
        <v>32613</v>
      </c>
      <c r="H4984" t="s">
        <v>14201</v>
      </c>
      <c r="I4984" t="s">
        <v>6931</v>
      </c>
      <c r="J4984" t="s">
        <v>36051</v>
      </c>
      <c r="K4984" t="s">
        <v>42624</v>
      </c>
      <c r="M4984" t="s">
        <v>44834</v>
      </c>
      <c r="N4984" t="s">
        <v>47304</v>
      </c>
      <c r="O4984" t="s">
        <v>47305</v>
      </c>
      <c r="P4984">
        <v>0</v>
      </c>
      <c r="Q4984">
        <v>0</v>
      </c>
      <c r="R4984" t="s">
        <v>47308</v>
      </c>
      <c r="S4984" t="s">
        <v>47429</v>
      </c>
      <c r="T4984" t="s">
        <v>49140</v>
      </c>
      <c r="U4984" t="s">
        <v>53754</v>
      </c>
      <c r="W4984" t="s">
        <v>44834</v>
      </c>
      <c r="X4984" t="s">
        <v>47332</v>
      </c>
    </row>
    <row r="4985" spans="1:24">
      <c r="A4985">
        <f>HYPERLINK("https://www.philgeps.gov.ph/GEPSNONPILOT/Tender/SplashBidNoticeAbstractUI.aspx?menuIndex=3&amp;refID=7197648&amp;Result=3","7197648")</f>
        <v>0</v>
      </c>
      <c r="B4985" t="s">
        <v>1738</v>
      </c>
      <c r="C4985" t="s">
        <v>8549</v>
      </c>
      <c r="E4985" t="s">
        <v>23520</v>
      </c>
      <c r="F4985" t="s">
        <v>32606</v>
      </c>
      <c r="G4985" t="s">
        <v>32614</v>
      </c>
      <c r="H4985" t="s">
        <v>14201</v>
      </c>
      <c r="I4985" t="s">
        <v>32638</v>
      </c>
      <c r="J4985" t="s">
        <v>36048</v>
      </c>
      <c r="K4985" t="s">
        <v>42624</v>
      </c>
      <c r="M4985" t="s">
        <v>44835</v>
      </c>
      <c r="N4985" t="s">
        <v>47304</v>
      </c>
      <c r="O4985" t="s">
        <v>47305</v>
      </c>
      <c r="P4985">
        <v>0</v>
      </c>
      <c r="Q4985">
        <v>15</v>
      </c>
      <c r="R4985" t="s">
        <v>47306</v>
      </c>
      <c r="S4985" t="s">
        <v>47414</v>
      </c>
      <c r="T4985" t="s">
        <v>48980</v>
      </c>
      <c r="U4985" t="s">
        <v>53755</v>
      </c>
      <c r="W4985" t="s">
        <v>44835</v>
      </c>
      <c r="X4985" t="s">
        <v>47308</v>
      </c>
    </row>
    <row r="4986" spans="1:24">
      <c r="A4986">
        <f>HYPERLINK("https://www.philgeps.gov.ph/GEPSNONPILOT/Tender/SplashBidNoticeAbstractUI.aspx?menuIndex=3&amp;refID=7197646&amp;Result=3","7197646")</f>
        <v>0</v>
      </c>
      <c r="B4986" t="s">
        <v>1738</v>
      </c>
      <c r="C4986" t="s">
        <v>8550</v>
      </c>
      <c r="E4986" t="s">
        <v>8550</v>
      </c>
      <c r="F4986" t="s">
        <v>32606</v>
      </c>
      <c r="G4986" t="s">
        <v>32614</v>
      </c>
      <c r="H4986" t="s">
        <v>14201</v>
      </c>
      <c r="I4986" t="s">
        <v>32638</v>
      </c>
      <c r="J4986" t="s">
        <v>36052</v>
      </c>
      <c r="K4986" t="s">
        <v>42624</v>
      </c>
      <c r="M4986" t="s">
        <v>44835</v>
      </c>
      <c r="N4986" t="s">
        <v>47304</v>
      </c>
      <c r="O4986" t="s">
        <v>47305</v>
      </c>
      <c r="P4986">
        <v>0</v>
      </c>
      <c r="Q4986">
        <v>10</v>
      </c>
      <c r="R4986" t="s">
        <v>47306</v>
      </c>
      <c r="S4986" t="s">
        <v>47414</v>
      </c>
      <c r="T4986" t="s">
        <v>48980</v>
      </c>
      <c r="U4986" t="s">
        <v>53756</v>
      </c>
      <c r="W4986" t="s">
        <v>44835</v>
      </c>
      <c r="X4986" t="s">
        <v>47308</v>
      </c>
    </row>
    <row r="4987" spans="1:24">
      <c r="A4987">
        <f>HYPERLINK("https://www.philgeps.gov.ph/GEPSNONPILOT/Tender/SplashBidNoticeAbstractUI.aspx?menuIndex=3&amp;refID=7197645&amp;Result=3","7197645")</f>
        <v>0</v>
      </c>
      <c r="B4987" t="s">
        <v>1172</v>
      </c>
      <c r="C4987" t="s">
        <v>8551</v>
      </c>
      <c r="D4987" t="s">
        <v>19002</v>
      </c>
      <c r="E4987" t="s">
        <v>23521</v>
      </c>
      <c r="F4987" t="s">
        <v>32606</v>
      </c>
      <c r="G4987" t="s">
        <v>32614</v>
      </c>
      <c r="H4987" t="s">
        <v>14201</v>
      </c>
      <c r="I4987" t="s">
        <v>4114</v>
      </c>
      <c r="J4987" t="s">
        <v>36053</v>
      </c>
      <c r="K4987" t="s">
        <v>42630</v>
      </c>
      <c r="M4987" t="s">
        <v>44135</v>
      </c>
      <c r="N4987" t="s">
        <v>47304</v>
      </c>
      <c r="O4987" t="s">
        <v>47305</v>
      </c>
      <c r="P4987">
        <v>0</v>
      </c>
      <c r="Q4987">
        <v>0</v>
      </c>
      <c r="R4987" t="s">
        <v>47306</v>
      </c>
      <c r="S4987" t="s">
        <v>47414</v>
      </c>
      <c r="T4987" t="s">
        <v>49023</v>
      </c>
      <c r="U4987" t="s">
        <v>51932</v>
      </c>
      <c r="W4987" t="s">
        <v>44135</v>
      </c>
      <c r="X4987" t="s">
        <v>47308</v>
      </c>
    </row>
    <row r="4988" spans="1:24">
      <c r="A4988">
        <f>HYPERLINK("https://www.philgeps.gov.ph/GEPSNONPILOT/Tender/SplashBidNoticeAbstractUI.aspx?menuIndex=3&amp;refID=7197644&amp;Result=3","7197644")</f>
        <v>0</v>
      </c>
      <c r="B4988" t="s">
        <v>1780</v>
      </c>
      <c r="C4988" t="s">
        <v>8552</v>
      </c>
      <c r="D4988" t="s">
        <v>19040</v>
      </c>
      <c r="E4988" t="s">
        <v>23522</v>
      </c>
      <c r="F4988" t="s">
        <v>32606</v>
      </c>
      <c r="G4988" t="s">
        <v>32613</v>
      </c>
      <c r="H4988" t="s">
        <v>14201</v>
      </c>
      <c r="I4988" t="s">
        <v>4112</v>
      </c>
      <c r="J4988" t="s">
        <v>34591</v>
      </c>
      <c r="K4988" t="s">
        <v>42624</v>
      </c>
      <c r="M4988" t="s">
        <v>44820</v>
      </c>
      <c r="N4988" t="s">
        <v>47304</v>
      </c>
      <c r="O4988" t="s">
        <v>47305</v>
      </c>
      <c r="P4988">
        <v>0</v>
      </c>
      <c r="Q4988">
        <v>0</v>
      </c>
      <c r="R4988" t="s">
        <v>47306</v>
      </c>
      <c r="S4988" t="s">
        <v>47414</v>
      </c>
      <c r="T4988" t="s">
        <v>49240</v>
      </c>
      <c r="U4988" t="s">
        <v>53757</v>
      </c>
      <c r="V4988" t="s">
        <v>63103</v>
      </c>
      <c r="W4988" t="s">
        <v>44820</v>
      </c>
      <c r="X4988" t="s">
        <v>47308</v>
      </c>
    </row>
    <row r="4989" spans="1:24">
      <c r="A4989">
        <f>HYPERLINK("https://www.philgeps.gov.ph/GEPSNONPILOT/Tender/SplashBidNoticeAbstractUI.aspx?menuIndex=3&amp;refID=7197641&amp;Result=3","7197641")</f>
        <v>0</v>
      </c>
      <c r="B4989" t="s">
        <v>1172</v>
      </c>
      <c r="C4989" t="s">
        <v>8553</v>
      </c>
      <c r="D4989" t="s">
        <v>19002</v>
      </c>
      <c r="E4989" t="s">
        <v>23523</v>
      </c>
      <c r="F4989" t="s">
        <v>32606</v>
      </c>
      <c r="G4989" t="s">
        <v>32614</v>
      </c>
      <c r="H4989" t="s">
        <v>14201</v>
      </c>
      <c r="I4989" t="s">
        <v>32696</v>
      </c>
      <c r="J4989" t="s">
        <v>33341</v>
      </c>
      <c r="K4989" t="s">
        <v>42630</v>
      </c>
      <c r="M4989" t="s">
        <v>44135</v>
      </c>
      <c r="N4989" t="s">
        <v>47304</v>
      </c>
      <c r="O4989" t="s">
        <v>47305</v>
      </c>
      <c r="P4989">
        <v>0</v>
      </c>
      <c r="Q4989">
        <v>0</v>
      </c>
      <c r="R4989" t="s">
        <v>47306</v>
      </c>
      <c r="S4989" t="s">
        <v>47414</v>
      </c>
      <c r="T4989" t="s">
        <v>49023</v>
      </c>
      <c r="U4989" t="s">
        <v>51932</v>
      </c>
      <c r="W4989" t="s">
        <v>44135</v>
      </c>
      <c r="X4989" t="s">
        <v>47308</v>
      </c>
    </row>
    <row r="4990" spans="1:24">
      <c r="A4990">
        <f>HYPERLINK("https://www.philgeps.gov.ph/GEPSNONPILOT/Tender/SplashBidNoticeAbstractUI.aspx?menuIndex=3&amp;refID=7176767&amp;Result=3","7176767")</f>
        <v>0</v>
      </c>
      <c r="B4990" t="s">
        <v>908</v>
      </c>
      <c r="C4990" t="s">
        <v>8554</v>
      </c>
      <c r="D4990" t="s">
        <v>19002</v>
      </c>
      <c r="E4990" t="s">
        <v>23524</v>
      </c>
      <c r="F4990" t="s">
        <v>32606</v>
      </c>
      <c r="G4990" t="s">
        <v>32614</v>
      </c>
      <c r="H4990" t="s">
        <v>32624</v>
      </c>
      <c r="I4990" t="s">
        <v>32628</v>
      </c>
      <c r="J4990" t="s">
        <v>32765</v>
      </c>
      <c r="K4990" t="s">
        <v>42714</v>
      </c>
      <c r="L4990" t="s">
        <v>908</v>
      </c>
      <c r="M4990" t="s">
        <v>43846</v>
      </c>
      <c r="N4990" t="s">
        <v>47304</v>
      </c>
      <c r="O4990" t="s">
        <v>47305</v>
      </c>
      <c r="P4990">
        <v>0</v>
      </c>
      <c r="Q4990">
        <v>1</v>
      </c>
      <c r="R4990" t="s">
        <v>47308</v>
      </c>
      <c r="S4990" t="s">
        <v>47429</v>
      </c>
      <c r="T4990" t="s">
        <v>49137</v>
      </c>
      <c r="U4990" t="s">
        <v>53758</v>
      </c>
      <c r="W4990" t="s">
        <v>43846</v>
      </c>
      <c r="X4990" t="s">
        <v>47319</v>
      </c>
    </row>
    <row r="4991" spans="1:24">
      <c r="A4991">
        <f>HYPERLINK("https://www.philgeps.gov.ph/GEPSNONPILOT/Tender/SplashBidNoticeAbstractUI.aspx?menuIndex=3&amp;refID=7197640&amp;Result=3","7197640")</f>
        <v>0</v>
      </c>
      <c r="B4991" t="s">
        <v>1695</v>
      </c>
      <c r="C4991" t="s">
        <v>8555</v>
      </c>
      <c r="D4991" t="s">
        <v>19050</v>
      </c>
      <c r="E4991" t="s">
        <v>23525</v>
      </c>
      <c r="F4991" t="s">
        <v>32606</v>
      </c>
      <c r="G4991" t="s">
        <v>32613</v>
      </c>
      <c r="H4991" t="s">
        <v>32623</v>
      </c>
      <c r="I4991" t="s">
        <v>17648</v>
      </c>
      <c r="J4991" t="s">
        <v>36054</v>
      </c>
      <c r="K4991" t="s">
        <v>42684</v>
      </c>
      <c r="M4991" t="s">
        <v>44724</v>
      </c>
      <c r="N4991" t="s">
        <v>47304</v>
      </c>
      <c r="O4991" t="s">
        <v>47305</v>
      </c>
      <c r="P4991">
        <v>0</v>
      </c>
      <c r="Q4991">
        <v>0</v>
      </c>
      <c r="R4991" t="s">
        <v>47306</v>
      </c>
      <c r="S4991" t="s">
        <v>47414</v>
      </c>
      <c r="T4991" t="s">
        <v>48995</v>
      </c>
      <c r="U4991" t="s">
        <v>53759</v>
      </c>
      <c r="W4991" t="s">
        <v>44724</v>
      </c>
      <c r="X4991" t="s">
        <v>47308</v>
      </c>
    </row>
    <row r="4992" spans="1:24">
      <c r="A4992">
        <f>HYPERLINK("https://www.philgeps.gov.ph/GEPSNONPILOT/Tender/SplashBidNoticeAbstractUI.aspx?menuIndex=3&amp;refID=7197638&amp;Result=3","7197638")</f>
        <v>0</v>
      </c>
      <c r="B4992" t="s">
        <v>1795</v>
      </c>
      <c r="C4992" t="s">
        <v>4862</v>
      </c>
      <c r="D4992" t="s">
        <v>19034</v>
      </c>
      <c r="E4992" t="s">
        <v>23526</v>
      </c>
      <c r="F4992" t="s">
        <v>32606</v>
      </c>
      <c r="G4992" t="s">
        <v>32614</v>
      </c>
      <c r="H4992" t="s">
        <v>14201</v>
      </c>
      <c r="I4992" t="s">
        <v>4120</v>
      </c>
      <c r="J4992" t="s">
        <v>32977</v>
      </c>
      <c r="K4992" t="s">
        <v>42623</v>
      </c>
      <c r="M4992" t="s">
        <v>44836</v>
      </c>
      <c r="N4992" t="s">
        <v>47304</v>
      </c>
      <c r="O4992" t="s">
        <v>47305</v>
      </c>
      <c r="P4992">
        <v>0</v>
      </c>
      <c r="Q4992">
        <v>0</v>
      </c>
      <c r="R4992" t="s">
        <v>47306</v>
      </c>
      <c r="S4992" t="s">
        <v>47414</v>
      </c>
      <c r="T4992" t="s">
        <v>48975</v>
      </c>
      <c r="U4992" t="s">
        <v>53760</v>
      </c>
      <c r="W4992" t="s">
        <v>44836</v>
      </c>
      <c r="X4992" t="s">
        <v>47308</v>
      </c>
    </row>
    <row r="4993" spans="1:24">
      <c r="A4993">
        <f>HYPERLINK("https://www.philgeps.gov.ph/GEPSNONPILOT/Tender/SplashBidNoticeAbstractUI.aspx?menuIndex=3&amp;refID=7197210&amp;Result=3","7197210")</f>
        <v>0</v>
      </c>
      <c r="B4993" t="s">
        <v>1696</v>
      </c>
      <c r="C4993" t="s">
        <v>8556</v>
      </c>
      <c r="D4993" t="s">
        <v>18993</v>
      </c>
      <c r="E4993" t="s">
        <v>23527</v>
      </c>
      <c r="F4993" t="s">
        <v>32606</v>
      </c>
      <c r="G4993" t="s">
        <v>32613</v>
      </c>
      <c r="H4993" t="s">
        <v>14201</v>
      </c>
      <c r="I4993" t="s">
        <v>32730</v>
      </c>
      <c r="J4993" t="s">
        <v>33529</v>
      </c>
      <c r="K4993" t="s">
        <v>42623</v>
      </c>
      <c r="M4993" t="s">
        <v>44725</v>
      </c>
      <c r="N4993" t="s">
        <v>47304</v>
      </c>
      <c r="O4993" t="s">
        <v>47305</v>
      </c>
      <c r="P4993">
        <v>0</v>
      </c>
      <c r="Q4993">
        <v>0</v>
      </c>
      <c r="R4993" t="s">
        <v>47306</v>
      </c>
      <c r="S4993" t="s">
        <v>47414</v>
      </c>
      <c r="T4993" t="s">
        <v>49023</v>
      </c>
      <c r="U4993" t="s">
        <v>53745</v>
      </c>
      <c r="W4993" t="s">
        <v>44725</v>
      </c>
      <c r="X4993" t="s">
        <v>47308</v>
      </c>
    </row>
    <row r="4994" spans="1:24">
      <c r="A4994">
        <f>HYPERLINK("https://www.philgeps.gov.ph/GEPSNONPILOT/Tender/SplashBidNoticeAbstractUI.aspx?menuIndex=3&amp;refID=7197636&amp;Result=3","7197636")</f>
        <v>0</v>
      </c>
      <c r="B4994" t="s">
        <v>1784</v>
      </c>
      <c r="C4994" t="s">
        <v>8557</v>
      </c>
      <c r="D4994" t="s">
        <v>18988</v>
      </c>
      <c r="E4994" t="s">
        <v>23528</v>
      </c>
      <c r="F4994" t="s">
        <v>32606</v>
      </c>
      <c r="G4994" t="s">
        <v>32614</v>
      </c>
      <c r="H4994" t="s">
        <v>14201</v>
      </c>
      <c r="I4994" t="s">
        <v>32692</v>
      </c>
      <c r="J4994" t="s">
        <v>36055</v>
      </c>
      <c r="K4994" t="s">
        <v>42624</v>
      </c>
      <c r="M4994" t="s">
        <v>44824</v>
      </c>
      <c r="N4994" t="s">
        <v>47304</v>
      </c>
      <c r="O4994" t="s">
        <v>47305</v>
      </c>
      <c r="P4994">
        <v>0</v>
      </c>
      <c r="Q4994">
        <v>0</v>
      </c>
      <c r="R4994" t="s">
        <v>47306</v>
      </c>
      <c r="S4994" t="s">
        <v>47414</v>
      </c>
      <c r="T4994" t="s">
        <v>49015</v>
      </c>
      <c r="U4994" t="s">
        <v>53761</v>
      </c>
      <c r="W4994" t="s">
        <v>44824</v>
      </c>
      <c r="X4994" t="s">
        <v>47308</v>
      </c>
    </row>
    <row r="4995" spans="1:24">
      <c r="A4995">
        <f>HYPERLINK("https://www.philgeps.gov.ph/GEPSNONPILOT/Tender/SplashBidNoticeAbstractUI.aspx?menuIndex=3&amp;refID=7197634&amp;Result=3","7197634")</f>
        <v>0</v>
      </c>
      <c r="B4995" t="s">
        <v>1796</v>
      </c>
      <c r="C4995" t="s">
        <v>8558</v>
      </c>
      <c r="D4995" t="s">
        <v>19034</v>
      </c>
      <c r="E4995" t="s">
        <v>23529</v>
      </c>
      <c r="F4995" t="s">
        <v>32606</v>
      </c>
      <c r="G4995" t="s">
        <v>32614</v>
      </c>
      <c r="H4995" t="s">
        <v>14201</v>
      </c>
      <c r="I4995" t="s">
        <v>32633</v>
      </c>
      <c r="J4995" t="s">
        <v>32813</v>
      </c>
      <c r="K4995" t="s">
        <v>42623</v>
      </c>
      <c r="M4995" t="s">
        <v>44837</v>
      </c>
      <c r="N4995" t="s">
        <v>47304</v>
      </c>
      <c r="O4995" t="s">
        <v>47305</v>
      </c>
      <c r="P4995">
        <v>0</v>
      </c>
      <c r="Q4995">
        <v>2</v>
      </c>
      <c r="R4995" t="s">
        <v>47306</v>
      </c>
      <c r="S4995" t="s">
        <v>47414</v>
      </c>
      <c r="T4995" t="s">
        <v>48975</v>
      </c>
      <c r="U4995" t="s">
        <v>53762</v>
      </c>
      <c r="W4995" t="s">
        <v>64481</v>
      </c>
      <c r="X4995" t="s">
        <v>47308</v>
      </c>
    </row>
    <row r="4996" spans="1:24">
      <c r="A4996">
        <f>HYPERLINK("https://www.philgeps.gov.ph/GEPSNONPILOT/Tender/SplashBidNoticeAbstractUI.aspx?menuIndex=3&amp;refID=7197619&amp;Result=3","7197619")</f>
        <v>0</v>
      </c>
      <c r="B4996" t="s">
        <v>1797</v>
      </c>
      <c r="C4996" t="s">
        <v>8559</v>
      </c>
      <c r="D4996" t="s">
        <v>18988</v>
      </c>
      <c r="E4996" t="s">
        <v>23530</v>
      </c>
      <c r="F4996" t="s">
        <v>32606</v>
      </c>
      <c r="G4996" t="s">
        <v>32613</v>
      </c>
      <c r="H4996" t="s">
        <v>14201</v>
      </c>
      <c r="I4996" t="s">
        <v>4114</v>
      </c>
      <c r="J4996" t="s">
        <v>36056</v>
      </c>
      <c r="K4996" t="s">
        <v>42625</v>
      </c>
      <c r="M4996" t="s">
        <v>44838</v>
      </c>
      <c r="N4996" t="s">
        <v>47304</v>
      </c>
      <c r="O4996" t="s">
        <v>47305</v>
      </c>
      <c r="P4996">
        <v>0</v>
      </c>
      <c r="Q4996">
        <v>0</v>
      </c>
      <c r="R4996" t="s">
        <v>47306</v>
      </c>
      <c r="S4996" t="s">
        <v>47414</v>
      </c>
      <c r="T4996" t="s">
        <v>49193</v>
      </c>
      <c r="U4996" t="s">
        <v>53763</v>
      </c>
      <c r="W4996" t="s">
        <v>44838</v>
      </c>
      <c r="X4996" t="s">
        <v>47308</v>
      </c>
    </row>
    <row r="4997" spans="1:24">
      <c r="A4997">
        <f>HYPERLINK("https://www.philgeps.gov.ph/GEPSNONPILOT/Tender/SplashBidNoticeAbstractUI.aspx?menuIndex=3&amp;refID=7197137&amp;Result=3","7197137")</f>
        <v>0</v>
      </c>
      <c r="B4997" t="s">
        <v>1798</v>
      </c>
      <c r="C4997" t="s">
        <v>8560</v>
      </c>
      <c r="D4997" t="s">
        <v>19023</v>
      </c>
      <c r="E4997" t="s">
        <v>23531</v>
      </c>
      <c r="F4997" t="s">
        <v>32606</v>
      </c>
      <c r="G4997" t="s">
        <v>32614</v>
      </c>
      <c r="H4997" t="s">
        <v>14201</v>
      </c>
      <c r="I4997" t="s">
        <v>7233</v>
      </c>
      <c r="J4997" t="s">
        <v>36057</v>
      </c>
      <c r="K4997" t="s">
        <v>42625</v>
      </c>
      <c r="M4997" t="s">
        <v>44839</v>
      </c>
      <c r="N4997" t="s">
        <v>47304</v>
      </c>
      <c r="O4997" t="s">
        <v>47305</v>
      </c>
      <c r="P4997">
        <v>0</v>
      </c>
      <c r="Q4997">
        <v>0</v>
      </c>
      <c r="R4997" t="s">
        <v>47306</v>
      </c>
      <c r="S4997" t="s">
        <v>47414</v>
      </c>
      <c r="T4997" t="s">
        <v>49010</v>
      </c>
      <c r="U4997" t="s">
        <v>53764</v>
      </c>
      <c r="W4997" t="s">
        <v>44839</v>
      </c>
      <c r="X4997" t="s">
        <v>47308</v>
      </c>
    </row>
    <row r="4998" spans="1:24">
      <c r="A4998">
        <f>HYPERLINK("https://www.philgeps.gov.ph/GEPSNONPILOT/Tender/SplashBidNoticeAbstractUI.aspx?menuIndex=3&amp;refID=7197136&amp;Result=3","7197136")</f>
        <v>0</v>
      </c>
      <c r="B4998" t="s">
        <v>1669</v>
      </c>
      <c r="C4998" t="s">
        <v>8561</v>
      </c>
      <c r="D4998" t="s">
        <v>18997</v>
      </c>
      <c r="E4998" t="s">
        <v>23532</v>
      </c>
      <c r="F4998" t="s">
        <v>32606</v>
      </c>
      <c r="G4998" t="s">
        <v>32614</v>
      </c>
      <c r="H4998" t="s">
        <v>14201</v>
      </c>
      <c r="I4998" t="s">
        <v>32688</v>
      </c>
      <c r="J4998" t="s">
        <v>36058</v>
      </c>
      <c r="K4998" t="s">
        <v>42648</v>
      </c>
      <c r="M4998" t="s">
        <v>44696</v>
      </c>
      <c r="N4998" t="s">
        <v>47304</v>
      </c>
      <c r="O4998" t="s">
        <v>47305</v>
      </c>
      <c r="P4998">
        <v>0</v>
      </c>
      <c r="Q4998">
        <v>0</v>
      </c>
      <c r="R4998" t="s">
        <v>47306</v>
      </c>
      <c r="S4998" t="s">
        <v>47414</v>
      </c>
      <c r="T4998" t="s">
        <v>48971</v>
      </c>
      <c r="U4998" t="s">
        <v>53765</v>
      </c>
      <c r="W4998" t="s">
        <v>44696</v>
      </c>
      <c r="X4998" t="s">
        <v>47308</v>
      </c>
    </row>
    <row r="4999" spans="1:24">
      <c r="A4999">
        <f>HYPERLINK("https://www.philgeps.gov.ph/GEPSNONPILOT/Tender/SplashBidNoticeAbstractUI.aspx?menuIndex=3&amp;refID=7197120&amp;Result=3","7197120")</f>
        <v>0</v>
      </c>
      <c r="B4999" t="s">
        <v>280</v>
      </c>
      <c r="C4999" t="s">
        <v>6298</v>
      </c>
      <c r="D4999" t="s">
        <v>19028</v>
      </c>
      <c r="E4999" t="s">
        <v>23533</v>
      </c>
      <c r="F4999" t="s">
        <v>32606</v>
      </c>
      <c r="G4999" t="s">
        <v>32619</v>
      </c>
      <c r="H4999" t="s">
        <v>14201</v>
      </c>
      <c r="I4999" t="s">
        <v>6298</v>
      </c>
      <c r="J4999" t="s">
        <v>36059</v>
      </c>
      <c r="K4999" t="s">
        <v>42623</v>
      </c>
      <c r="M4999" t="s">
        <v>43712</v>
      </c>
      <c r="N4999" t="s">
        <v>47304</v>
      </c>
      <c r="O4999" t="s">
        <v>47305</v>
      </c>
      <c r="P4999">
        <v>0</v>
      </c>
      <c r="Q4999">
        <v>0</v>
      </c>
      <c r="R4999" t="s">
        <v>47306</v>
      </c>
      <c r="S4999" t="s">
        <v>47414</v>
      </c>
      <c r="T4999" t="s">
        <v>49050</v>
      </c>
      <c r="U4999" t="s">
        <v>53766</v>
      </c>
      <c r="W4999" t="s">
        <v>43712</v>
      </c>
      <c r="X4999" t="s">
        <v>47308</v>
      </c>
    </row>
    <row r="5000" spans="1:24">
      <c r="A5000">
        <f>HYPERLINK("https://www.philgeps.gov.ph/GEPSNONPILOT/Tender/SplashBidNoticeAbstractUI.aspx?menuIndex=3&amp;refID=7197119&amp;Result=3","7197119")</f>
        <v>0</v>
      </c>
      <c r="B5000" t="s">
        <v>1133</v>
      </c>
      <c r="C5000" t="s">
        <v>8562</v>
      </c>
      <c r="D5000" t="s">
        <v>19006</v>
      </c>
      <c r="E5000" t="s">
        <v>23534</v>
      </c>
      <c r="F5000" t="s">
        <v>32607</v>
      </c>
      <c r="G5000" t="s">
        <v>32614</v>
      </c>
      <c r="H5000" t="s">
        <v>14201</v>
      </c>
      <c r="I5000" t="s">
        <v>32648</v>
      </c>
      <c r="J5000" t="s">
        <v>36060</v>
      </c>
      <c r="K5000" t="s">
        <v>42630</v>
      </c>
      <c r="M5000" t="s">
        <v>44095</v>
      </c>
      <c r="N5000" t="s">
        <v>47304</v>
      </c>
      <c r="O5000" t="s">
        <v>47305</v>
      </c>
      <c r="P5000">
        <v>0</v>
      </c>
      <c r="Q5000">
        <v>0</v>
      </c>
      <c r="R5000" t="s">
        <v>47306</v>
      </c>
      <c r="S5000" t="s">
        <v>47414</v>
      </c>
      <c r="T5000" t="s">
        <v>49023</v>
      </c>
      <c r="U5000" t="s">
        <v>53767</v>
      </c>
      <c r="V5000" t="s">
        <v>49653</v>
      </c>
      <c r="W5000" t="s">
        <v>44095</v>
      </c>
      <c r="X5000" t="s">
        <v>47308</v>
      </c>
    </row>
    <row r="5001" spans="1:24">
      <c r="A5001">
        <f>HYPERLINK("https://www.philgeps.gov.ph/GEPSNONPILOT/Tender/SplashBidNoticeAbstractUI.aspx?menuIndex=3&amp;refID=7197211&amp;Result=3","7197211")</f>
        <v>0</v>
      </c>
      <c r="B5001" t="s">
        <v>1707</v>
      </c>
      <c r="C5001" t="s">
        <v>4626</v>
      </c>
      <c r="E5001" t="s">
        <v>23535</v>
      </c>
      <c r="F5001" t="s">
        <v>32606</v>
      </c>
      <c r="G5001" t="s">
        <v>32613</v>
      </c>
      <c r="H5001" t="s">
        <v>14201</v>
      </c>
      <c r="I5001" t="s">
        <v>6007</v>
      </c>
      <c r="J5001" t="s">
        <v>32765</v>
      </c>
      <c r="K5001" t="s">
        <v>42630</v>
      </c>
      <c r="M5001" t="s">
        <v>44738</v>
      </c>
      <c r="N5001" t="s">
        <v>47304</v>
      </c>
      <c r="O5001" t="s">
        <v>47305</v>
      </c>
      <c r="P5001">
        <v>0</v>
      </c>
      <c r="Q5001">
        <v>0</v>
      </c>
      <c r="R5001" t="s">
        <v>47306</v>
      </c>
      <c r="S5001" t="s">
        <v>47414</v>
      </c>
      <c r="T5001" t="s">
        <v>48996</v>
      </c>
      <c r="U5001" t="s">
        <v>53490</v>
      </c>
      <c r="W5001" t="s">
        <v>44738</v>
      </c>
      <c r="X5001" t="s">
        <v>47308</v>
      </c>
    </row>
    <row r="5002" spans="1:24">
      <c r="A5002">
        <f>HYPERLINK("https://www.philgeps.gov.ph/GEPSNONPILOT/Tender/SplashBidNoticeAbstractUI.aspx?menuIndex=3&amp;refID=7197117&amp;Result=3","7197117")</f>
        <v>0</v>
      </c>
      <c r="B5002" t="s">
        <v>1799</v>
      </c>
      <c r="C5002" t="s">
        <v>8563</v>
      </c>
      <c r="D5002" t="s">
        <v>18989</v>
      </c>
      <c r="E5002" t="s">
        <v>23536</v>
      </c>
      <c r="F5002" t="s">
        <v>32606</v>
      </c>
      <c r="G5002" t="s">
        <v>32613</v>
      </c>
      <c r="H5002" t="s">
        <v>14201</v>
      </c>
      <c r="I5002" t="s">
        <v>7064</v>
      </c>
      <c r="J5002" t="s">
        <v>33385</v>
      </c>
      <c r="K5002" t="s">
        <v>42624</v>
      </c>
      <c r="M5002" t="s">
        <v>44840</v>
      </c>
      <c r="N5002" t="s">
        <v>47304</v>
      </c>
      <c r="O5002" t="s">
        <v>47305</v>
      </c>
      <c r="P5002">
        <v>0</v>
      </c>
      <c r="Q5002">
        <v>0</v>
      </c>
      <c r="R5002" t="s">
        <v>47306</v>
      </c>
      <c r="S5002" t="s">
        <v>47414</v>
      </c>
      <c r="T5002" t="s">
        <v>49103</v>
      </c>
      <c r="U5002" t="s">
        <v>53768</v>
      </c>
      <c r="W5002" t="s">
        <v>44840</v>
      </c>
      <c r="X5002" t="s">
        <v>47308</v>
      </c>
    </row>
    <row r="5003" spans="1:24">
      <c r="A5003">
        <f>HYPERLINK("https://www.philgeps.gov.ph/GEPSNONPILOT/Tender/SplashBidNoticeAbstractUI.aspx?menuIndex=3&amp;refID=7197637&amp;Result=3","7197637")</f>
        <v>0</v>
      </c>
      <c r="B5003" t="s">
        <v>1800</v>
      </c>
      <c r="C5003" t="s">
        <v>8564</v>
      </c>
      <c r="D5003" t="s">
        <v>18988</v>
      </c>
      <c r="E5003" t="s">
        <v>23537</v>
      </c>
      <c r="F5003" t="s">
        <v>32606</v>
      </c>
      <c r="G5003" t="s">
        <v>32617</v>
      </c>
      <c r="H5003" t="s">
        <v>14201</v>
      </c>
      <c r="I5003" t="s">
        <v>4120</v>
      </c>
      <c r="J5003" t="s">
        <v>36061</v>
      </c>
      <c r="K5003" t="s">
        <v>42631</v>
      </c>
      <c r="M5003" t="s">
        <v>44841</v>
      </c>
      <c r="N5003" t="s">
        <v>47304</v>
      </c>
      <c r="O5003" t="s">
        <v>47305</v>
      </c>
      <c r="P5003">
        <v>0</v>
      </c>
      <c r="Q5003">
        <v>1</v>
      </c>
      <c r="R5003" t="s">
        <v>47306</v>
      </c>
      <c r="S5003" t="s">
        <v>47414</v>
      </c>
      <c r="T5003" t="s">
        <v>49014</v>
      </c>
      <c r="U5003" t="s">
        <v>53769</v>
      </c>
      <c r="W5003" t="s">
        <v>44841</v>
      </c>
      <c r="X5003" t="s">
        <v>47308</v>
      </c>
    </row>
    <row r="5004" spans="1:24">
      <c r="A5004">
        <f>HYPERLINK("https://www.philgeps.gov.ph/GEPSNONPILOT/Tender/SplashBidNoticeAbstractUI.aspx?menuIndex=3&amp;refID=7197115&amp;Result=3","7197115")</f>
        <v>0</v>
      </c>
      <c r="B5004" t="s">
        <v>1433</v>
      </c>
      <c r="C5004" t="s">
        <v>8565</v>
      </c>
      <c r="D5004" t="s">
        <v>19029</v>
      </c>
      <c r="E5004" t="s">
        <v>23538</v>
      </c>
      <c r="F5004" t="s">
        <v>32606</v>
      </c>
      <c r="G5004" t="s">
        <v>32614</v>
      </c>
      <c r="H5004" t="s">
        <v>14201</v>
      </c>
      <c r="I5004" t="s">
        <v>4369</v>
      </c>
      <c r="J5004" t="s">
        <v>32778</v>
      </c>
      <c r="K5004" t="s">
        <v>42627</v>
      </c>
      <c r="M5004" t="s">
        <v>44422</v>
      </c>
      <c r="N5004" t="s">
        <v>47304</v>
      </c>
      <c r="O5004" t="s">
        <v>47305</v>
      </c>
      <c r="P5004">
        <v>0</v>
      </c>
      <c r="Q5004">
        <v>9</v>
      </c>
      <c r="R5004" t="s">
        <v>47306</v>
      </c>
      <c r="S5004" t="s">
        <v>47414</v>
      </c>
      <c r="T5004" t="s">
        <v>49002</v>
      </c>
      <c r="U5004" t="s">
        <v>52637</v>
      </c>
      <c r="W5004" t="s">
        <v>64473</v>
      </c>
      <c r="X5004" t="s">
        <v>47308</v>
      </c>
    </row>
    <row r="5005" spans="1:24">
      <c r="A5005">
        <f>HYPERLINK("https://www.philgeps.gov.ph/GEPSNONPILOT/Tender/SplashBidNoticeAbstractUI.aspx?menuIndex=3&amp;refID=7197114&amp;Result=3","7197114")</f>
        <v>0</v>
      </c>
      <c r="B5005" t="s">
        <v>1685</v>
      </c>
      <c r="C5005" t="s">
        <v>8566</v>
      </c>
      <c r="D5005" t="s">
        <v>19016</v>
      </c>
      <c r="E5005" t="s">
        <v>23539</v>
      </c>
      <c r="F5005" t="s">
        <v>32606</v>
      </c>
      <c r="G5005" t="s">
        <v>32613</v>
      </c>
      <c r="H5005" t="s">
        <v>32623</v>
      </c>
      <c r="I5005" t="s">
        <v>17648</v>
      </c>
      <c r="J5005" t="s">
        <v>32981</v>
      </c>
      <c r="K5005" t="s">
        <v>42631</v>
      </c>
      <c r="M5005" t="s">
        <v>44714</v>
      </c>
      <c r="N5005" t="s">
        <v>47304</v>
      </c>
      <c r="O5005" t="s">
        <v>47305</v>
      </c>
      <c r="P5005">
        <v>0</v>
      </c>
      <c r="Q5005">
        <v>0</v>
      </c>
      <c r="R5005" t="s">
        <v>47306</v>
      </c>
      <c r="S5005" t="s">
        <v>47414</v>
      </c>
      <c r="T5005" t="s">
        <v>49101</v>
      </c>
      <c r="U5005" t="s">
        <v>53770</v>
      </c>
      <c r="W5005" t="s">
        <v>44714</v>
      </c>
      <c r="X5005" t="s">
        <v>47308</v>
      </c>
    </row>
    <row r="5006" spans="1:24">
      <c r="A5006">
        <f>HYPERLINK("https://www.philgeps.gov.ph/GEPSNONPILOT/Tender/SplashBidNoticeAbstractUI.aspx?menuIndex=3&amp;refID=7197098&amp;Result=3","7197098")</f>
        <v>0</v>
      </c>
      <c r="B5006" t="s">
        <v>1688</v>
      </c>
      <c r="C5006" t="s">
        <v>8567</v>
      </c>
      <c r="D5006" t="s">
        <v>19015</v>
      </c>
      <c r="E5006" t="s">
        <v>23540</v>
      </c>
      <c r="F5006" t="s">
        <v>32606</v>
      </c>
      <c r="G5006" t="s">
        <v>32613</v>
      </c>
      <c r="H5006" t="s">
        <v>14201</v>
      </c>
      <c r="I5006" t="s">
        <v>4114</v>
      </c>
      <c r="J5006" t="s">
        <v>36062</v>
      </c>
      <c r="K5006" t="s">
        <v>42623</v>
      </c>
      <c r="M5006" t="s">
        <v>44717</v>
      </c>
      <c r="N5006" t="s">
        <v>47304</v>
      </c>
      <c r="O5006" t="s">
        <v>47305</v>
      </c>
      <c r="P5006">
        <v>0</v>
      </c>
      <c r="Q5006">
        <v>1</v>
      </c>
      <c r="R5006" t="s">
        <v>47306</v>
      </c>
      <c r="S5006" t="s">
        <v>47414</v>
      </c>
      <c r="T5006" t="s">
        <v>49013</v>
      </c>
      <c r="U5006" t="s">
        <v>53771</v>
      </c>
      <c r="V5006" t="s">
        <v>63105</v>
      </c>
      <c r="W5006" t="s">
        <v>44717</v>
      </c>
      <c r="X5006" t="s">
        <v>47308</v>
      </c>
    </row>
    <row r="5007" spans="1:24">
      <c r="A5007">
        <f>HYPERLINK("https://www.philgeps.gov.ph/GEPSNONPILOT/Tender/SplashBidNoticeAbstractUI.aspx?menuIndex=3&amp;refID=7186188&amp;Result=3","7186188")</f>
        <v>0</v>
      </c>
      <c r="B5007" t="s">
        <v>811</v>
      </c>
      <c r="C5007" t="s">
        <v>8568</v>
      </c>
      <c r="D5007" t="s">
        <v>19009</v>
      </c>
      <c r="E5007" t="s">
        <v>23541</v>
      </c>
      <c r="F5007" t="s">
        <v>32606</v>
      </c>
      <c r="G5007" t="s">
        <v>32613</v>
      </c>
      <c r="H5007" t="s">
        <v>32623</v>
      </c>
      <c r="I5007" t="s">
        <v>17648</v>
      </c>
      <c r="J5007" t="s">
        <v>36063</v>
      </c>
      <c r="K5007" t="s">
        <v>42743</v>
      </c>
      <c r="M5007" t="s">
        <v>43742</v>
      </c>
      <c r="N5007" t="s">
        <v>47304</v>
      </c>
      <c r="O5007" t="s">
        <v>47305</v>
      </c>
      <c r="P5007">
        <v>0</v>
      </c>
      <c r="Q5007">
        <v>0</v>
      </c>
      <c r="R5007" t="s">
        <v>47308</v>
      </c>
      <c r="S5007" t="s">
        <v>47429</v>
      </c>
      <c r="T5007" t="s">
        <v>49008</v>
      </c>
      <c r="U5007" t="s">
        <v>53772</v>
      </c>
      <c r="W5007" t="s">
        <v>43742</v>
      </c>
      <c r="X5007" t="s">
        <v>47314</v>
      </c>
    </row>
    <row r="5008" spans="1:24">
      <c r="A5008">
        <f>HYPERLINK("https://www.philgeps.gov.ph/GEPSNONPILOT/Tender/SplashBidNoticeAbstractUI.aspx?menuIndex=3&amp;refID=7197639&amp;Result=3","7197639")</f>
        <v>0</v>
      </c>
      <c r="B5008" t="s">
        <v>1759</v>
      </c>
      <c r="C5008" t="s">
        <v>8569</v>
      </c>
      <c r="D5008" t="s">
        <v>19035</v>
      </c>
      <c r="E5008" t="s">
        <v>23542</v>
      </c>
      <c r="F5008" t="s">
        <v>32606</v>
      </c>
      <c r="G5008" t="s">
        <v>32614</v>
      </c>
      <c r="H5008" t="s">
        <v>14201</v>
      </c>
      <c r="I5008" t="s">
        <v>6931</v>
      </c>
      <c r="J5008" t="s">
        <v>36064</v>
      </c>
      <c r="K5008" t="s">
        <v>42622</v>
      </c>
      <c r="M5008" t="s">
        <v>44796</v>
      </c>
      <c r="N5008" t="s">
        <v>47304</v>
      </c>
      <c r="O5008" t="s">
        <v>47305</v>
      </c>
      <c r="P5008">
        <v>0</v>
      </c>
      <c r="Q5008">
        <v>2</v>
      </c>
      <c r="R5008" t="s">
        <v>47306</v>
      </c>
      <c r="S5008" t="s">
        <v>47414</v>
      </c>
      <c r="T5008" t="s">
        <v>49014</v>
      </c>
      <c r="U5008" t="s">
        <v>53773</v>
      </c>
      <c r="W5008" t="s">
        <v>44796</v>
      </c>
      <c r="X5008" t="s">
        <v>47308</v>
      </c>
    </row>
    <row r="5009" spans="1:24">
      <c r="A5009">
        <f>HYPERLINK("https://www.philgeps.gov.ph/GEPSNONPILOT/Tender/SplashBidNoticeAbstractUI.aspx?menuIndex=3&amp;refID=7197643&amp;Result=3","7197643")</f>
        <v>0</v>
      </c>
      <c r="B5009" t="s">
        <v>1780</v>
      </c>
      <c r="C5009" t="s">
        <v>8570</v>
      </c>
      <c r="D5009" t="s">
        <v>19040</v>
      </c>
      <c r="E5009" t="s">
        <v>23543</v>
      </c>
      <c r="F5009" t="s">
        <v>32606</v>
      </c>
      <c r="G5009" t="s">
        <v>32613</v>
      </c>
      <c r="H5009" t="s">
        <v>14201</v>
      </c>
      <c r="I5009" t="s">
        <v>13131</v>
      </c>
      <c r="J5009" t="s">
        <v>36065</v>
      </c>
      <c r="K5009" t="s">
        <v>42624</v>
      </c>
      <c r="M5009" t="s">
        <v>44820</v>
      </c>
      <c r="N5009" t="s">
        <v>47304</v>
      </c>
      <c r="O5009" t="s">
        <v>47305</v>
      </c>
      <c r="P5009">
        <v>0</v>
      </c>
      <c r="Q5009">
        <v>1</v>
      </c>
      <c r="R5009" t="s">
        <v>47306</v>
      </c>
      <c r="S5009" t="s">
        <v>47414</v>
      </c>
      <c r="T5009" t="s">
        <v>49240</v>
      </c>
      <c r="U5009" t="s">
        <v>53733</v>
      </c>
      <c r="V5009" t="s">
        <v>63103</v>
      </c>
      <c r="W5009" t="s">
        <v>44820</v>
      </c>
      <c r="X5009" t="s">
        <v>47308</v>
      </c>
    </row>
    <row r="5010" spans="1:24">
      <c r="A5010">
        <f>HYPERLINK("https://www.philgeps.gov.ph/GEPSNONPILOT/Tender/SplashBidNoticeAbstractUI.aspx?menuIndex=3&amp;refID=7197118&amp;Result=3","7197118")</f>
        <v>0</v>
      </c>
      <c r="B5010" t="s">
        <v>1694</v>
      </c>
      <c r="C5010" t="s">
        <v>8571</v>
      </c>
      <c r="D5010" t="s">
        <v>19061</v>
      </c>
      <c r="E5010" t="s">
        <v>23544</v>
      </c>
      <c r="F5010" t="s">
        <v>32606</v>
      </c>
      <c r="G5010" t="s">
        <v>32614</v>
      </c>
      <c r="H5010" t="s">
        <v>14201</v>
      </c>
      <c r="I5010" t="s">
        <v>7064</v>
      </c>
      <c r="J5010" t="s">
        <v>36066</v>
      </c>
      <c r="K5010" t="s">
        <v>42622</v>
      </c>
      <c r="M5010" t="s">
        <v>44723</v>
      </c>
      <c r="N5010" t="s">
        <v>47304</v>
      </c>
      <c r="O5010" t="s">
        <v>47305</v>
      </c>
      <c r="P5010">
        <v>0</v>
      </c>
      <c r="Q5010">
        <v>2</v>
      </c>
      <c r="R5010" t="s">
        <v>47306</v>
      </c>
      <c r="S5010" t="s">
        <v>47414</v>
      </c>
      <c r="T5010" t="s">
        <v>48988</v>
      </c>
      <c r="U5010" t="s">
        <v>53774</v>
      </c>
      <c r="W5010" t="s">
        <v>44723</v>
      </c>
      <c r="X5010" t="s">
        <v>47308</v>
      </c>
    </row>
    <row r="5011" spans="1:24">
      <c r="A5011">
        <f>HYPERLINK("https://www.philgeps.gov.ph/GEPSNONPILOT/Tender/SplashBidNoticeAbstractUI.aspx?menuIndex=3&amp;refID=7186157&amp;Result=3","7186157")</f>
        <v>0</v>
      </c>
      <c r="B5011" t="s">
        <v>1801</v>
      </c>
      <c r="C5011" t="s">
        <v>8572</v>
      </c>
      <c r="E5011" t="s">
        <v>23545</v>
      </c>
      <c r="F5011" t="s">
        <v>32606</v>
      </c>
      <c r="G5011" t="s">
        <v>32613</v>
      </c>
      <c r="H5011" t="s">
        <v>32623</v>
      </c>
      <c r="I5011" t="s">
        <v>17648</v>
      </c>
      <c r="J5011" t="s">
        <v>32772</v>
      </c>
      <c r="K5011" t="s">
        <v>42767</v>
      </c>
      <c r="M5011" t="s">
        <v>44842</v>
      </c>
      <c r="N5011" t="s">
        <v>47304</v>
      </c>
      <c r="O5011" t="s">
        <v>47305</v>
      </c>
      <c r="P5011">
        <v>0</v>
      </c>
      <c r="Q5011">
        <v>0</v>
      </c>
      <c r="R5011" t="s">
        <v>47308</v>
      </c>
      <c r="S5011" t="s">
        <v>47429</v>
      </c>
      <c r="T5011" t="s">
        <v>49304</v>
      </c>
      <c r="U5011" t="s">
        <v>53775</v>
      </c>
      <c r="W5011" t="s">
        <v>44842</v>
      </c>
      <c r="X5011" t="s">
        <v>47314</v>
      </c>
    </row>
    <row r="5012" spans="1:24">
      <c r="A5012">
        <f>HYPERLINK("https://www.philgeps.gov.ph/GEPSNONPILOT/Tender/SplashBidNoticeAbstractUI.aspx?menuIndex=3&amp;refID=7186139&amp;Result=3","7186139")</f>
        <v>0</v>
      </c>
      <c r="B5012" t="s">
        <v>811</v>
      </c>
      <c r="C5012" t="s">
        <v>8573</v>
      </c>
      <c r="D5012" t="s">
        <v>19009</v>
      </c>
      <c r="E5012" t="s">
        <v>23546</v>
      </c>
      <c r="F5012" t="s">
        <v>32606</v>
      </c>
      <c r="G5012" t="s">
        <v>32613</v>
      </c>
      <c r="H5012" t="s">
        <v>32623</v>
      </c>
      <c r="I5012" t="s">
        <v>17648</v>
      </c>
      <c r="J5012" t="s">
        <v>36067</v>
      </c>
      <c r="K5012" t="s">
        <v>42694</v>
      </c>
      <c r="M5012" t="s">
        <v>43742</v>
      </c>
      <c r="N5012" t="s">
        <v>47304</v>
      </c>
      <c r="O5012" t="s">
        <v>47305</v>
      </c>
      <c r="P5012">
        <v>0</v>
      </c>
      <c r="Q5012">
        <v>0</v>
      </c>
      <c r="R5012" t="s">
        <v>47308</v>
      </c>
      <c r="S5012" t="s">
        <v>47429</v>
      </c>
      <c r="T5012" t="s">
        <v>48986</v>
      </c>
      <c r="U5012" t="s">
        <v>53776</v>
      </c>
      <c r="W5012" t="s">
        <v>43742</v>
      </c>
      <c r="X5012" t="s">
        <v>47314</v>
      </c>
    </row>
    <row r="5013" spans="1:24">
      <c r="A5013">
        <f>HYPERLINK("https://www.philgeps.gov.ph/GEPSNONPILOT/Tender/SplashBidNoticeAbstractUI.aspx?menuIndex=3&amp;refID=7186122&amp;Result=3","7186122")</f>
        <v>0</v>
      </c>
      <c r="B5013" t="s">
        <v>1801</v>
      </c>
      <c r="C5013" t="s">
        <v>8574</v>
      </c>
      <c r="E5013" t="s">
        <v>20501</v>
      </c>
      <c r="F5013" t="s">
        <v>32606</v>
      </c>
      <c r="G5013" t="s">
        <v>32613</v>
      </c>
      <c r="H5013" t="s">
        <v>32623</v>
      </c>
      <c r="I5013" t="s">
        <v>17648</v>
      </c>
      <c r="J5013" t="s">
        <v>32772</v>
      </c>
      <c r="K5013" t="s">
        <v>42657</v>
      </c>
      <c r="M5013" t="s">
        <v>44842</v>
      </c>
      <c r="N5013" t="s">
        <v>47304</v>
      </c>
      <c r="O5013" t="s">
        <v>47305</v>
      </c>
      <c r="P5013">
        <v>0</v>
      </c>
      <c r="Q5013">
        <v>0</v>
      </c>
      <c r="R5013" t="s">
        <v>47308</v>
      </c>
      <c r="S5013" t="s">
        <v>47429</v>
      </c>
      <c r="T5013" t="s">
        <v>49304</v>
      </c>
      <c r="U5013" t="s">
        <v>53777</v>
      </c>
      <c r="W5013" t="s">
        <v>44842</v>
      </c>
      <c r="X5013" t="s">
        <v>47314</v>
      </c>
    </row>
    <row r="5014" spans="1:24">
      <c r="A5014">
        <f>HYPERLINK("https://www.philgeps.gov.ph/GEPSNONPILOT/Tender/SplashBidNoticeAbstractUI.aspx?menuIndex=3&amp;refID=7185997&amp;Result=3","7185997")</f>
        <v>0</v>
      </c>
      <c r="B5014" t="s">
        <v>811</v>
      </c>
      <c r="C5014" t="s">
        <v>8575</v>
      </c>
      <c r="D5014" t="s">
        <v>19009</v>
      </c>
      <c r="E5014" t="s">
        <v>23547</v>
      </c>
      <c r="F5014" t="s">
        <v>32606</v>
      </c>
      <c r="G5014" t="s">
        <v>32613</v>
      </c>
      <c r="H5014" t="s">
        <v>32623</v>
      </c>
      <c r="I5014" t="s">
        <v>17648</v>
      </c>
      <c r="J5014" t="s">
        <v>36068</v>
      </c>
      <c r="K5014" t="s">
        <v>42737</v>
      </c>
      <c r="M5014" t="s">
        <v>43742</v>
      </c>
      <c r="N5014" t="s">
        <v>47304</v>
      </c>
      <c r="O5014" t="s">
        <v>47305</v>
      </c>
      <c r="P5014">
        <v>0</v>
      </c>
      <c r="Q5014">
        <v>0</v>
      </c>
      <c r="R5014" t="s">
        <v>47308</v>
      </c>
      <c r="S5014" t="s">
        <v>47429</v>
      </c>
      <c r="T5014" t="s">
        <v>48986</v>
      </c>
      <c r="U5014" t="s">
        <v>53778</v>
      </c>
      <c r="W5014" t="s">
        <v>43742</v>
      </c>
      <c r="X5014" t="s">
        <v>47314</v>
      </c>
    </row>
    <row r="5015" spans="1:24">
      <c r="A5015">
        <f>HYPERLINK("https://www.philgeps.gov.ph/GEPSNONPILOT/Tender/SplashBidNoticeAbstractUI.aspx?menuIndex=3&amp;refID=7185961&amp;Result=3","7185961")</f>
        <v>0</v>
      </c>
      <c r="B5015" t="s">
        <v>811</v>
      </c>
      <c r="C5015" t="s">
        <v>8576</v>
      </c>
      <c r="D5015" t="s">
        <v>19009</v>
      </c>
      <c r="E5015" t="s">
        <v>23548</v>
      </c>
      <c r="F5015" t="s">
        <v>32606</v>
      </c>
      <c r="G5015" t="s">
        <v>32613</v>
      </c>
      <c r="H5015" t="s">
        <v>32623</v>
      </c>
      <c r="I5015" t="s">
        <v>17648</v>
      </c>
      <c r="J5015" t="s">
        <v>36069</v>
      </c>
      <c r="K5015" t="s">
        <v>42738</v>
      </c>
      <c r="M5015" t="s">
        <v>43742</v>
      </c>
      <c r="N5015" t="s">
        <v>47304</v>
      </c>
      <c r="O5015" t="s">
        <v>47305</v>
      </c>
      <c r="P5015">
        <v>0</v>
      </c>
      <c r="Q5015">
        <v>0</v>
      </c>
      <c r="R5015" t="s">
        <v>47308</v>
      </c>
      <c r="S5015" t="s">
        <v>47429</v>
      </c>
      <c r="T5015" t="s">
        <v>48986</v>
      </c>
      <c r="U5015" t="s">
        <v>53779</v>
      </c>
      <c r="W5015" t="s">
        <v>43742</v>
      </c>
      <c r="X5015" t="s">
        <v>47314</v>
      </c>
    </row>
    <row r="5016" spans="1:24">
      <c r="A5016">
        <f>HYPERLINK("https://www.philgeps.gov.ph/GEPSNONPILOT/Tender/SplashBidNoticeAbstractUI.aspx?menuIndex=3&amp;refID=7185923&amp;Result=3","7185923")</f>
        <v>0</v>
      </c>
      <c r="B5016" t="s">
        <v>811</v>
      </c>
      <c r="C5016" t="s">
        <v>8577</v>
      </c>
      <c r="D5016" t="s">
        <v>19009</v>
      </c>
      <c r="E5016" t="s">
        <v>23549</v>
      </c>
      <c r="F5016" t="s">
        <v>32606</v>
      </c>
      <c r="G5016" t="s">
        <v>32613</v>
      </c>
      <c r="H5016" t="s">
        <v>32623</v>
      </c>
      <c r="I5016" t="s">
        <v>17648</v>
      </c>
      <c r="J5016" t="s">
        <v>36070</v>
      </c>
      <c r="K5016" t="s">
        <v>42760</v>
      </c>
      <c r="M5016" t="s">
        <v>43742</v>
      </c>
      <c r="N5016" t="s">
        <v>47304</v>
      </c>
      <c r="O5016" t="s">
        <v>47305</v>
      </c>
      <c r="P5016">
        <v>0</v>
      </c>
      <c r="Q5016">
        <v>0</v>
      </c>
      <c r="R5016" t="s">
        <v>47308</v>
      </c>
      <c r="S5016" t="s">
        <v>47429</v>
      </c>
      <c r="T5016" t="s">
        <v>48986</v>
      </c>
      <c r="U5016" t="s">
        <v>53780</v>
      </c>
      <c r="W5016" t="s">
        <v>43742</v>
      </c>
      <c r="X5016" t="s">
        <v>47314</v>
      </c>
    </row>
    <row r="5017" spans="1:24">
      <c r="A5017">
        <f>HYPERLINK("https://www.philgeps.gov.ph/GEPSNONPILOT/Tender/SplashBidNoticeAbstractUI.aspx?menuIndex=3&amp;refID=7185863&amp;Result=3","7185863")</f>
        <v>0</v>
      </c>
      <c r="B5017" t="s">
        <v>811</v>
      </c>
      <c r="C5017" t="s">
        <v>8578</v>
      </c>
      <c r="D5017" t="s">
        <v>19009</v>
      </c>
      <c r="E5017" t="s">
        <v>23550</v>
      </c>
      <c r="F5017" t="s">
        <v>32606</v>
      </c>
      <c r="G5017" t="s">
        <v>32613</v>
      </c>
      <c r="H5017" t="s">
        <v>32623</v>
      </c>
      <c r="I5017" t="s">
        <v>17648</v>
      </c>
      <c r="J5017" t="s">
        <v>36071</v>
      </c>
      <c r="K5017" t="s">
        <v>42744</v>
      </c>
      <c r="M5017" t="s">
        <v>43742</v>
      </c>
      <c r="N5017" t="s">
        <v>47304</v>
      </c>
      <c r="O5017" t="s">
        <v>47305</v>
      </c>
      <c r="P5017">
        <v>0</v>
      </c>
      <c r="Q5017">
        <v>0</v>
      </c>
      <c r="R5017" t="s">
        <v>47308</v>
      </c>
      <c r="S5017" t="s">
        <v>47429</v>
      </c>
      <c r="T5017" t="s">
        <v>49008</v>
      </c>
      <c r="U5017" t="s">
        <v>53781</v>
      </c>
      <c r="W5017" t="s">
        <v>43742</v>
      </c>
      <c r="X5017" t="s">
        <v>47314</v>
      </c>
    </row>
    <row r="5018" spans="1:24">
      <c r="A5018">
        <f>HYPERLINK("https://www.philgeps.gov.ph/GEPSNONPILOT/Tender/SplashBidNoticeAbstractUI.aspx?menuIndex=3&amp;refID=7185824&amp;Result=3","7185824")</f>
        <v>0</v>
      </c>
      <c r="B5018" t="s">
        <v>811</v>
      </c>
      <c r="C5018" t="s">
        <v>8579</v>
      </c>
      <c r="D5018" t="s">
        <v>19009</v>
      </c>
      <c r="E5018" t="s">
        <v>23551</v>
      </c>
      <c r="F5018" t="s">
        <v>32606</v>
      </c>
      <c r="G5018" t="s">
        <v>32613</v>
      </c>
      <c r="H5018" t="s">
        <v>32623</v>
      </c>
      <c r="I5018" t="s">
        <v>17648</v>
      </c>
      <c r="J5018" t="s">
        <v>36072</v>
      </c>
      <c r="K5018" t="s">
        <v>42756</v>
      </c>
      <c r="M5018" t="s">
        <v>43742</v>
      </c>
      <c r="N5018" t="s">
        <v>47304</v>
      </c>
      <c r="O5018" t="s">
        <v>47305</v>
      </c>
      <c r="P5018">
        <v>0</v>
      </c>
      <c r="Q5018">
        <v>0</v>
      </c>
      <c r="R5018" t="s">
        <v>47308</v>
      </c>
      <c r="S5018" t="s">
        <v>47429</v>
      </c>
      <c r="T5018" t="s">
        <v>49008</v>
      </c>
      <c r="U5018" t="s">
        <v>53782</v>
      </c>
      <c r="W5018" t="s">
        <v>43742</v>
      </c>
      <c r="X5018" t="s">
        <v>47314</v>
      </c>
    </row>
    <row r="5019" spans="1:24">
      <c r="A5019">
        <f>HYPERLINK("https://www.philgeps.gov.ph/GEPSNONPILOT/Tender/SplashBidNoticeAbstractUI.aspx?menuIndex=3&amp;refID=7185711&amp;Result=3","7185711")</f>
        <v>0</v>
      </c>
      <c r="B5019" t="s">
        <v>811</v>
      </c>
      <c r="C5019" t="s">
        <v>8580</v>
      </c>
      <c r="D5019" t="s">
        <v>19009</v>
      </c>
      <c r="E5019" t="s">
        <v>23552</v>
      </c>
      <c r="F5019" t="s">
        <v>32610</v>
      </c>
      <c r="G5019" t="s">
        <v>32613</v>
      </c>
      <c r="H5019" t="s">
        <v>32623</v>
      </c>
      <c r="I5019" t="s">
        <v>17648</v>
      </c>
      <c r="J5019" t="s">
        <v>36073</v>
      </c>
      <c r="K5019" t="s">
        <v>42756</v>
      </c>
      <c r="M5019" t="s">
        <v>43742</v>
      </c>
      <c r="N5019" t="s">
        <v>47304</v>
      </c>
      <c r="O5019" t="s">
        <v>47305</v>
      </c>
      <c r="P5019">
        <v>0</v>
      </c>
      <c r="Q5019">
        <v>0</v>
      </c>
      <c r="R5019" t="s">
        <v>47308</v>
      </c>
      <c r="S5019" t="s">
        <v>47429</v>
      </c>
      <c r="T5019" t="s">
        <v>49008</v>
      </c>
      <c r="U5019" t="s">
        <v>53783</v>
      </c>
      <c r="W5019" t="s">
        <v>43742</v>
      </c>
      <c r="X5019" t="s">
        <v>47314</v>
      </c>
    </row>
    <row r="5020" spans="1:24">
      <c r="A5020">
        <f>HYPERLINK("https://www.philgeps.gov.ph/GEPSNONPILOT/Tender/SplashBidNoticeAbstractUI.aspx?menuIndex=3&amp;refID=7184454&amp;Result=3","7184454")</f>
        <v>0</v>
      </c>
      <c r="B5020" t="s">
        <v>1802</v>
      </c>
      <c r="C5020" t="s">
        <v>8581</v>
      </c>
      <c r="D5020" t="s">
        <v>18999</v>
      </c>
      <c r="E5020" t="s">
        <v>23553</v>
      </c>
      <c r="F5020" t="s">
        <v>32606</v>
      </c>
      <c r="G5020" t="s">
        <v>32613</v>
      </c>
      <c r="H5020" t="s">
        <v>14201</v>
      </c>
      <c r="I5020" t="s">
        <v>8682</v>
      </c>
      <c r="J5020" t="s">
        <v>33529</v>
      </c>
      <c r="K5020" t="s">
        <v>42631</v>
      </c>
      <c r="M5020" t="s">
        <v>44843</v>
      </c>
      <c r="N5020" t="s">
        <v>47304</v>
      </c>
      <c r="O5020" t="s">
        <v>47305</v>
      </c>
      <c r="P5020">
        <v>0</v>
      </c>
      <c r="Q5020">
        <v>5</v>
      </c>
      <c r="R5020" t="s">
        <v>47308</v>
      </c>
      <c r="S5020" t="s">
        <v>47429</v>
      </c>
      <c r="T5020" t="s">
        <v>48975</v>
      </c>
      <c r="U5020" t="s">
        <v>53784</v>
      </c>
      <c r="W5020" t="s">
        <v>44843</v>
      </c>
      <c r="X5020" t="s">
        <v>47314</v>
      </c>
    </row>
    <row r="5021" spans="1:24">
      <c r="A5021">
        <f>HYPERLINK("https://www.philgeps.gov.ph/GEPSNONPILOT/Tender/SplashBidNoticeAbstractUI.aspx?menuIndex=3&amp;refID=7182478&amp;Result=3","7182478")</f>
        <v>0</v>
      </c>
      <c r="B5021" t="s">
        <v>1803</v>
      </c>
      <c r="C5021" t="s">
        <v>8582</v>
      </c>
      <c r="D5021" t="s">
        <v>18994</v>
      </c>
      <c r="E5021" t="s">
        <v>23554</v>
      </c>
      <c r="F5021" t="s">
        <v>32606</v>
      </c>
      <c r="G5021" t="s">
        <v>32613</v>
      </c>
      <c r="H5021" t="s">
        <v>14201</v>
      </c>
      <c r="I5021" t="s">
        <v>32629</v>
      </c>
      <c r="J5021" t="s">
        <v>36074</v>
      </c>
      <c r="K5021" t="s">
        <v>42623</v>
      </c>
      <c r="M5021" t="s">
        <v>44844</v>
      </c>
      <c r="N5021" t="s">
        <v>47304</v>
      </c>
      <c r="O5021" t="s">
        <v>47305</v>
      </c>
      <c r="P5021">
        <v>0</v>
      </c>
      <c r="Q5021">
        <v>3</v>
      </c>
      <c r="R5021" t="s">
        <v>47308</v>
      </c>
      <c r="S5021" t="s">
        <v>47429</v>
      </c>
      <c r="T5021" t="s">
        <v>49005</v>
      </c>
      <c r="U5021" t="s">
        <v>53785</v>
      </c>
      <c r="W5021" t="s">
        <v>44844</v>
      </c>
      <c r="X5021" t="s">
        <v>47315</v>
      </c>
    </row>
    <row r="5022" spans="1:24">
      <c r="A5022">
        <f>HYPERLINK("https://www.philgeps.gov.ph/GEPSNONPILOT/Tender/SplashBidNoticeAbstractUI.aspx?menuIndex=3&amp;refID=7186242&amp;Result=3","7186242")</f>
        <v>0</v>
      </c>
      <c r="B5022" t="s">
        <v>811</v>
      </c>
      <c r="C5022" t="s">
        <v>8583</v>
      </c>
      <c r="D5022" t="s">
        <v>19009</v>
      </c>
      <c r="E5022" t="s">
        <v>23555</v>
      </c>
      <c r="F5022" t="s">
        <v>32606</v>
      </c>
      <c r="G5022" t="s">
        <v>32613</v>
      </c>
      <c r="H5022" t="s">
        <v>32623</v>
      </c>
      <c r="I5022" t="s">
        <v>17648</v>
      </c>
      <c r="J5022" t="s">
        <v>36075</v>
      </c>
      <c r="K5022" t="s">
        <v>42767</v>
      </c>
      <c r="M5022" t="s">
        <v>43742</v>
      </c>
      <c r="N5022" t="s">
        <v>47304</v>
      </c>
      <c r="O5022" t="s">
        <v>47305</v>
      </c>
      <c r="P5022">
        <v>0</v>
      </c>
      <c r="Q5022">
        <v>0</v>
      </c>
      <c r="R5022" t="s">
        <v>47308</v>
      </c>
      <c r="S5022" t="s">
        <v>47429</v>
      </c>
      <c r="T5022" t="s">
        <v>48986</v>
      </c>
      <c r="U5022" t="s">
        <v>53786</v>
      </c>
      <c r="W5022" t="s">
        <v>43742</v>
      </c>
      <c r="X5022" t="s">
        <v>47314</v>
      </c>
    </row>
    <row r="5023" spans="1:24">
      <c r="A5023">
        <f>HYPERLINK("https://www.philgeps.gov.ph/GEPSNONPILOT/Tender/SplashBidNoticeAbstractUI.aspx?menuIndex=3&amp;refID=7187305&amp;Result=3","7187305")</f>
        <v>0</v>
      </c>
      <c r="B5023" t="s">
        <v>1803</v>
      </c>
      <c r="C5023" t="s">
        <v>8584</v>
      </c>
      <c r="D5023" t="s">
        <v>18994</v>
      </c>
      <c r="E5023" t="s">
        <v>23556</v>
      </c>
      <c r="F5023" t="s">
        <v>32606</v>
      </c>
      <c r="G5023" t="s">
        <v>32613</v>
      </c>
      <c r="H5023" t="s">
        <v>32623</v>
      </c>
      <c r="I5023" t="s">
        <v>17648</v>
      </c>
      <c r="J5023" t="s">
        <v>36076</v>
      </c>
      <c r="K5023" t="s">
        <v>42768</v>
      </c>
      <c r="M5023" t="s">
        <v>44844</v>
      </c>
      <c r="N5023" t="s">
        <v>47304</v>
      </c>
      <c r="O5023" t="s">
        <v>47305</v>
      </c>
      <c r="P5023">
        <v>0</v>
      </c>
      <c r="Q5023">
        <v>1</v>
      </c>
      <c r="R5023" t="s">
        <v>47308</v>
      </c>
      <c r="S5023" t="s">
        <v>47429</v>
      </c>
      <c r="T5023" t="s">
        <v>49005</v>
      </c>
      <c r="U5023" t="s">
        <v>53787</v>
      </c>
      <c r="W5023" t="s">
        <v>44844</v>
      </c>
      <c r="X5023" t="s">
        <v>47313</v>
      </c>
    </row>
    <row r="5024" spans="1:24">
      <c r="A5024">
        <f>HYPERLINK("https://www.philgeps.gov.ph/GEPSNONPILOT/Tender/SplashBidNoticeAbstractUI.aspx?menuIndex=3&amp;refID=7187753&amp;Result=3","7187753")</f>
        <v>0</v>
      </c>
      <c r="B5024" t="s">
        <v>1239</v>
      </c>
      <c r="C5024" t="s">
        <v>8585</v>
      </c>
      <c r="D5024" t="s">
        <v>19056</v>
      </c>
      <c r="E5024" t="s">
        <v>23557</v>
      </c>
      <c r="F5024" t="s">
        <v>32606</v>
      </c>
      <c r="G5024" t="s">
        <v>32613</v>
      </c>
      <c r="H5024" t="s">
        <v>32623</v>
      </c>
      <c r="I5024" t="s">
        <v>17648</v>
      </c>
      <c r="J5024" t="s">
        <v>36077</v>
      </c>
      <c r="K5024" t="s">
        <v>42678</v>
      </c>
      <c r="M5024" t="s">
        <v>44204</v>
      </c>
      <c r="N5024" t="s">
        <v>47304</v>
      </c>
      <c r="O5024" t="s">
        <v>47305</v>
      </c>
      <c r="P5024">
        <v>0</v>
      </c>
      <c r="Q5024">
        <v>0</v>
      </c>
      <c r="R5024" t="s">
        <v>47308</v>
      </c>
      <c r="S5024" t="s">
        <v>47429</v>
      </c>
      <c r="T5024" t="s">
        <v>48973</v>
      </c>
      <c r="U5024" t="s">
        <v>53788</v>
      </c>
      <c r="W5024" t="s">
        <v>44204</v>
      </c>
      <c r="X5024" t="s">
        <v>47313</v>
      </c>
    </row>
    <row r="5025" spans="1:24">
      <c r="A5025">
        <f>HYPERLINK("https://www.philgeps.gov.ph/GEPSNONPILOT/Tender/SplashBidNoticeAbstractUI.aspx?menuIndex=3&amp;refID=7187736&amp;Result=3","7187736")</f>
        <v>0</v>
      </c>
      <c r="B5025" t="s">
        <v>1524</v>
      </c>
      <c r="C5025" t="s">
        <v>8586</v>
      </c>
      <c r="E5025" t="s">
        <v>23558</v>
      </c>
      <c r="F5025" t="s">
        <v>32606</v>
      </c>
      <c r="G5025" t="s">
        <v>32614</v>
      </c>
      <c r="H5025" t="s">
        <v>14201</v>
      </c>
      <c r="I5025" t="s">
        <v>6993</v>
      </c>
      <c r="J5025" t="s">
        <v>36078</v>
      </c>
      <c r="K5025" t="s">
        <v>42623</v>
      </c>
      <c r="M5025" t="s">
        <v>44525</v>
      </c>
      <c r="N5025" t="s">
        <v>47304</v>
      </c>
      <c r="O5025" t="s">
        <v>47305</v>
      </c>
      <c r="P5025">
        <v>0</v>
      </c>
      <c r="Q5025">
        <v>0</v>
      </c>
      <c r="R5025" t="s">
        <v>47308</v>
      </c>
      <c r="S5025" t="s">
        <v>47429</v>
      </c>
      <c r="T5025" t="s">
        <v>49047</v>
      </c>
      <c r="U5025" t="s">
        <v>53789</v>
      </c>
      <c r="V5025" t="s">
        <v>63106</v>
      </c>
      <c r="W5025" t="s">
        <v>44525</v>
      </c>
      <c r="X5025" t="s">
        <v>47313</v>
      </c>
    </row>
    <row r="5026" spans="1:24">
      <c r="A5026">
        <f>HYPERLINK("https://www.philgeps.gov.ph/GEPSNONPILOT/Tender/SplashBidNoticeAbstractUI.aspx?menuIndex=3&amp;refID=7186004&amp;Result=3","7186004")</f>
        <v>0</v>
      </c>
      <c r="B5026" t="s">
        <v>1804</v>
      </c>
      <c r="C5026" t="s">
        <v>8587</v>
      </c>
      <c r="D5026" t="s">
        <v>18987</v>
      </c>
      <c r="E5026" t="s">
        <v>23559</v>
      </c>
      <c r="F5026" t="s">
        <v>32606</v>
      </c>
      <c r="G5026" t="s">
        <v>32613</v>
      </c>
      <c r="H5026" t="s">
        <v>14201</v>
      </c>
      <c r="I5026" t="s">
        <v>32650</v>
      </c>
      <c r="J5026" t="s">
        <v>36079</v>
      </c>
      <c r="K5026" t="s">
        <v>42631</v>
      </c>
      <c r="M5026" t="s">
        <v>44845</v>
      </c>
      <c r="N5026" t="s">
        <v>47304</v>
      </c>
      <c r="O5026" t="s">
        <v>47305</v>
      </c>
      <c r="P5026">
        <v>0</v>
      </c>
      <c r="Q5026">
        <v>1</v>
      </c>
      <c r="R5026" t="s">
        <v>47308</v>
      </c>
      <c r="S5026" t="s">
        <v>47429</v>
      </c>
      <c r="T5026" t="s">
        <v>49160</v>
      </c>
      <c r="U5026" t="s">
        <v>53790</v>
      </c>
      <c r="V5026" t="s">
        <v>63107</v>
      </c>
      <c r="W5026" t="s">
        <v>44845</v>
      </c>
      <c r="X5026" t="s">
        <v>47314</v>
      </c>
    </row>
    <row r="5027" spans="1:24">
      <c r="A5027">
        <f>HYPERLINK("https://www.philgeps.gov.ph/GEPSNONPILOT/Tender/SplashBidNoticeAbstractUI.aspx?menuIndex=3&amp;refID=7187697&amp;Result=3","7187697")</f>
        <v>0</v>
      </c>
      <c r="B5027" t="s">
        <v>1805</v>
      </c>
      <c r="C5027" t="s">
        <v>8588</v>
      </c>
      <c r="D5027" t="s">
        <v>19018</v>
      </c>
      <c r="E5027" t="s">
        <v>23560</v>
      </c>
      <c r="F5027" t="s">
        <v>32606</v>
      </c>
      <c r="G5027" t="s">
        <v>32613</v>
      </c>
      <c r="H5027" t="s">
        <v>32623</v>
      </c>
      <c r="I5027" t="s">
        <v>17648</v>
      </c>
      <c r="J5027" t="s">
        <v>36080</v>
      </c>
      <c r="K5027" t="s">
        <v>42624</v>
      </c>
      <c r="M5027" t="s">
        <v>44846</v>
      </c>
      <c r="N5027" t="s">
        <v>47304</v>
      </c>
      <c r="O5027" t="s">
        <v>47305</v>
      </c>
      <c r="P5027">
        <v>0</v>
      </c>
      <c r="Q5027">
        <v>0</v>
      </c>
      <c r="R5027" t="s">
        <v>47308</v>
      </c>
      <c r="S5027" t="s">
        <v>47429</v>
      </c>
      <c r="T5027" t="s">
        <v>48973</v>
      </c>
      <c r="U5027" t="s">
        <v>53791</v>
      </c>
      <c r="W5027" t="s">
        <v>44846</v>
      </c>
      <c r="X5027" t="s">
        <v>47313</v>
      </c>
    </row>
    <row r="5028" spans="1:24">
      <c r="A5028">
        <f>HYPERLINK("https://www.philgeps.gov.ph/GEPSNONPILOT/Tender/SplashBidNoticeAbstractUI.aspx?menuIndex=3&amp;refID=7186234&amp;Result=3","7186234")</f>
        <v>0</v>
      </c>
      <c r="B5028" t="s">
        <v>1804</v>
      </c>
      <c r="C5028" t="s">
        <v>8589</v>
      </c>
      <c r="D5028" t="s">
        <v>18987</v>
      </c>
      <c r="E5028" t="s">
        <v>23561</v>
      </c>
      <c r="F5028" t="s">
        <v>32606</v>
      </c>
      <c r="G5028" t="s">
        <v>32613</v>
      </c>
      <c r="H5028" t="s">
        <v>14201</v>
      </c>
      <c r="I5028" t="s">
        <v>32631</v>
      </c>
      <c r="J5028" t="s">
        <v>36081</v>
      </c>
      <c r="K5028" t="s">
        <v>42631</v>
      </c>
      <c r="M5028" t="s">
        <v>44845</v>
      </c>
      <c r="N5028" t="s">
        <v>47304</v>
      </c>
      <c r="O5028" t="s">
        <v>47305</v>
      </c>
      <c r="P5028">
        <v>0</v>
      </c>
      <c r="Q5028">
        <v>0</v>
      </c>
      <c r="R5028" t="s">
        <v>47308</v>
      </c>
      <c r="S5028" t="s">
        <v>47429</v>
      </c>
      <c r="T5028" t="s">
        <v>49160</v>
      </c>
      <c r="U5028" t="s">
        <v>53792</v>
      </c>
      <c r="V5028" t="s">
        <v>63107</v>
      </c>
      <c r="W5028" t="s">
        <v>44845</v>
      </c>
      <c r="X5028" t="s">
        <v>47314</v>
      </c>
    </row>
    <row r="5029" spans="1:24">
      <c r="A5029">
        <f>HYPERLINK("https://www.philgeps.gov.ph/GEPSNONPILOT/Tender/SplashBidNoticeAbstractUI.aspx?menuIndex=3&amp;refID=7187583&amp;Result=3","7187583")</f>
        <v>0</v>
      </c>
      <c r="B5029" t="s">
        <v>1806</v>
      </c>
      <c r="C5029" t="s">
        <v>8590</v>
      </c>
      <c r="D5029" t="s">
        <v>19023</v>
      </c>
      <c r="E5029" t="s">
        <v>23562</v>
      </c>
      <c r="F5029" t="s">
        <v>32606</v>
      </c>
      <c r="G5029" t="s">
        <v>32613</v>
      </c>
      <c r="H5029" t="s">
        <v>32623</v>
      </c>
      <c r="I5029" t="s">
        <v>17648</v>
      </c>
      <c r="J5029" t="s">
        <v>36082</v>
      </c>
      <c r="K5029" t="s">
        <v>42649</v>
      </c>
      <c r="M5029" t="s">
        <v>44847</v>
      </c>
      <c r="N5029" t="s">
        <v>47304</v>
      </c>
      <c r="O5029" t="s">
        <v>47305</v>
      </c>
      <c r="P5029">
        <v>0</v>
      </c>
      <c r="Q5029">
        <v>0</v>
      </c>
      <c r="R5029" t="s">
        <v>47308</v>
      </c>
      <c r="S5029" t="s">
        <v>47429</v>
      </c>
      <c r="T5029" t="s">
        <v>48973</v>
      </c>
      <c r="U5029" t="s">
        <v>53793</v>
      </c>
      <c r="V5029" t="s">
        <v>63108</v>
      </c>
      <c r="W5029" t="s">
        <v>44847</v>
      </c>
      <c r="X5029" t="s">
        <v>47313</v>
      </c>
    </row>
    <row r="5030" spans="1:24">
      <c r="A5030">
        <f>HYPERLINK("https://www.philgeps.gov.ph/GEPSNONPILOT/Tender/SplashBidNoticeAbstractUI.aspx?menuIndex=3&amp;refID=7187419&amp;Result=3","7187419")</f>
        <v>0</v>
      </c>
      <c r="B5030" t="s">
        <v>1806</v>
      </c>
      <c r="C5030" t="s">
        <v>8591</v>
      </c>
      <c r="D5030" t="s">
        <v>19023</v>
      </c>
      <c r="E5030" t="s">
        <v>23563</v>
      </c>
      <c r="F5030" t="s">
        <v>32606</v>
      </c>
      <c r="G5030" t="s">
        <v>32613</v>
      </c>
      <c r="H5030" t="s">
        <v>32623</v>
      </c>
      <c r="I5030" t="s">
        <v>17648</v>
      </c>
      <c r="J5030" t="s">
        <v>36083</v>
      </c>
      <c r="K5030" t="s">
        <v>42700</v>
      </c>
      <c r="M5030" t="s">
        <v>44847</v>
      </c>
      <c r="N5030" t="s">
        <v>47304</v>
      </c>
      <c r="O5030" t="s">
        <v>47305</v>
      </c>
      <c r="P5030">
        <v>0</v>
      </c>
      <c r="Q5030">
        <v>2</v>
      </c>
      <c r="R5030" t="s">
        <v>47308</v>
      </c>
      <c r="S5030" t="s">
        <v>47429</v>
      </c>
      <c r="T5030" t="s">
        <v>48973</v>
      </c>
      <c r="U5030" t="s">
        <v>53794</v>
      </c>
      <c r="V5030" t="s">
        <v>63109</v>
      </c>
      <c r="W5030" t="s">
        <v>44847</v>
      </c>
      <c r="X5030" t="s">
        <v>47313</v>
      </c>
    </row>
    <row r="5031" spans="1:24">
      <c r="A5031">
        <f>HYPERLINK("https://www.philgeps.gov.ph/GEPSNONPILOT/Tender/SplashBidNoticeAbstractUI.aspx?menuIndex=3&amp;refID=7186996&amp;Result=3","7186996")</f>
        <v>0</v>
      </c>
      <c r="B5031" t="s">
        <v>1807</v>
      </c>
      <c r="C5031" t="s">
        <v>8592</v>
      </c>
      <c r="D5031" t="s">
        <v>19026</v>
      </c>
      <c r="E5031" t="s">
        <v>23564</v>
      </c>
      <c r="F5031" t="s">
        <v>32606</v>
      </c>
      <c r="G5031" t="s">
        <v>32614</v>
      </c>
      <c r="H5031" t="s">
        <v>14201</v>
      </c>
      <c r="I5031" t="s">
        <v>6007</v>
      </c>
      <c r="J5031" t="s">
        <v>36084</v>
      </c>
      <c r="K5031" t="s">
        <v>42630</v>
      </c>
      <c r="M5031" t="s">
        <v>44848</v>
      </c>
      <c r="N5031" t="s">
        <v>47304</v>
      </c>
      <c r="O5031" t="s">
        <v>47305</v>
      </c>
      <c r="P5031">
        <v>0</v>
      </c>
      <c r="Q5031">
        <v>0</v>
      </c>
      <c r="R5031" t="s">
        <v>47308</v>
      </c>
      <c r="S5031" t="s">
        <v>47429</v>
      </c>
      <c r="T5031" t="s">
        <v>48976</v>
      </c>
      <c r="U5031" t="s">
        <v>53795</v>
      </c>
      <c r="W5031" t="s">
        <v>44848</v>
      </c>
      <c r="X5031" t="s">
        <v>47313</v>
      </c>
    </row>
    <row r="5032" spans="1:24">
      <c r="A5032">
        <f>HYPERLINK("https://www.philgeps.gov.ph/GEPSNONPILOT/Tender/SplashBidNoticeAbstractUI.aspx?menuIndex=3&amp;refID=7186180&amp;Result=3","7186180")</f>
        <v>0</v>
      </c>
      <c r="B5032" t="s">
        <v>1801</v>
      </c>
      <c r="C5032" t="s">
        <v>8593</v>
      </c>
      <c r="E5032" t="s">
        <v>23530</v>
      </c>
      <c r="F5032" t="s">
        <v>32606</v>
      </c>
      <c r="G5032" t="s">
        <v>32613</v>
      </c>
      <c r="H5032" t="s">
        <v>32623</v>
      </c>
      <c r="I5032" t="s">
        <v>17648</v>
      </c>
      <c r="J5032" t="s">
        <v>32772</v>
      </c>
      <c r="K5032" t="s">
        <v>42748</v>
      </c>
      <c r="M5032" t="s">
        <v>44842</v>
      </c>
      <c r="N5032" t="s">
        <v>47304</v>
      </c>
      <c r="O5032" t="s">
        <v>47305</v>
      </c>
      <c r="P5032">
        <v>0</v>
      </c>
      <c r="Q5032">
        <v>0</v>
      </c>
      <c r="R5032" t="s">
        <v>47308</v>
      </c>
      <c r="S5032" t="s">
        <v>47429</v>
      </c>
      <c r="T5032" t="s">
        <v>49304</v>
      </c>
      <c r="U5032" t="s">
        <v>53796</v>
      </c>
      <c r="W5032" t="s">
        <v>44842</v>
      </c>
      <c r="X5032" t="s">
        <v>47314</v>
      </c>
    </row>
    <row r="5033" spans="1:24">
      <c r="A5033">
        <f>HYPERLINK("https://www.philgeps.gov.ph/GEPSNONPILOT/Tender/SplashBidNoticeAbstractUI.aspx?menuIndex=3&amp;refID=7186992&amp;Result=3","7186992")</f>
        <v>0</v>
      </c>
      <c r="B5033" t="s">
        <v>1807</v>
      </c>
      <c r="C5033" t="s">
        <v>8594</v>
      </c>
      <c r="D5033" t="s">
        <v>19026</v>
      </c>
      <c r="E5033" t="s">
        <v>23565</v>
      </c>
      <c r="F5033" t="s">
        <v>32606</v>
      </c>
      <c r="G5033" t="s">
        <v>32617</v>
      </c>
      <c r="H5033" t="s">
        <v>14201</v>
      </c>
      <c r="I5033" t="s">
        <v>4678</v>
      </c>
      <c r="J5033" t="s">
        <v>32999</v>
      </c>
      <c r="K5033" t="s">
        <v>42630</v>
      </c>
      <c r="M5033" t="s">
        <v>44848</v>
      </c>
      <c r="N5033" t="s">
        <v>47304</v>
      </c>
      <c r="O5033" t="s">
        <v>47305</v>
      </c>
      <c r="P5033">
        <v>0</v>
      </c>
      <c r="Q5033">
        <v>6</v>
      </c>
      <c r="R5033" t="s">
        <v>47308</v>
      </c>
      <c r="S5033" t="s">
        <v>47429</v>
      </c>
      <c r="T5033" t="s">
        <v>49023</v>
      </c>
      <c r="U5033" t="s">
        <v>53797</v>
      </c>
      <c r="W5033" t="s">
        <v>44848</v>
      </c>
      <c r="X5033" t="s">
        <v>47313</v>
      </c>
    </row>
    <row r="5034" spans="1:24">
      <c r="A5034">
        <f>HYPERLINK("https://www.philgeps.gov.ph/GEPSNONPILOT/Tender/SplashBidNoticeAbstractUI.aspx?menuIndex=3&amp;refID=7197116&amp;Result=3","7197116")</f>
        <v>0</v>
      </c>
      <c r="B5034" t="s">
        <v>1653</v>
      </c>
      <c r="C5034" t="s">
        <v>8595</v>
      </c>
      <c r="D5034" t="s">
        <v>19056</v>
      </c>
      <c r="E5034" t="s">
        <v>20335</v>
      </c>
      <c r="F5034" t="s">
        <v>32606</v>
      </c>
      <c r="G5034" t="s">
        <v>32613</v>
      </c>
      <c r="H5034" t="s">
        <v>32623</v>
      </c>
      <c r="I5034" t="s">
        <v>17648</v>
      </c>
      <c r="J5034" t="s">
        <v>36085</v>
      </c>
      <c r="K5034" t="s">
        <v>42654</v>
      </c>
      <c r="M5034" t="s">
        <v>44677</v>
      </c>
      <c r="N5034" t="s">
        <v>47304</v>
      </c>
      <c r="O5034" t="s">
        <v>47305</v>
      </c>
      <c r="P5034">
        <v>0</v>
      </c>
      <c r="Q5034">
        <v>1</v>
      </c>
      <c r="R5034" t="s">
        <v>47306</v>
      </c>
      <c r="S5034" t="s">
        <v>47414</v>
      </c>
      <c r="T5034" t="s">
        <v>48983</v>
      </c>
      <c r="U5034" t="s">
        <v>53798</v>
      </c>
      <c r="W5034" t="s">
        <v>44677</v>
      </c>
      <c r="X5034" t="s">
        <v>47308</v>
      </c>
    </row>
    <row r="5035" spans="1:24">
      <c r="A5035">
        <f>HYPERLINK("https://www.philgeps.gov.ph/GEPSNONPILOT/Tender/SplashBidNoticeAbstractUI.aspx?menuIndex=3&amp;refID=7186980&amp;Result=3","7186980")</f>
        <v>0</v>
      </c>
      <c r="B5035" t="s">
        <v>1807</v>
      </c>
      <c r="C5035" t="s">
        <v>8596</v>
      </c>
      <c r="D5035" t="s">
        <v>19026</v>
      </c>
      <c r="E5035" t="s">
        <v>23566</v>
      </c>
      <c r="F5035" t="s">
        <v>32606</v>
      </c>
      <c r="G5035" t="s">
        <v>32614</v>
      </c>
      <c r="H5035" t="s">
        <v>14201</v>
      </c>
      <c r="I5035" t="s">
        <v>32663</v>
      </c>
      <c r="J5035" t="s">
        <v>32981</v>
      </c>
      <c r="K5035" t="s">
        <v>42630</v>
      </c>
      <c r="M5035" t="s">
        <v>44848</v>
      </c>
      <c r="N5035" t="s">
        <v>47304</v>
      </c>
      <c r="O5035" t="s">
        <v>47305</v>
      </c>
      <c r="P5035">
        <v>0</v>
      </c>
      <c r="Q5035">
        <v>2</v>
      </c>
      <c r="R5035" t="s">
        <v>47308</v>
      </c>
      <c r="S5035" t="s">
        <v>47429</v>
      </c>
      <c r="T5035" t="s">
        <v>48976</v>
      </c>
      <c r="U5035" t="s">
        <v>53799</v>
      </c>
      <c r="W5035" t="s">
        <v>44848</v>
      </c>
      <c r="X5035" t="s">
        <v>47313</v>
      </c>
    </row>
    <row r="5036" spans="1:24">
      <c r="A5036">
        <f>HYPERLINK("https://www.philgeps.gov.ph/GEPSNONPILOT/Tender/SplashBidNoticeAbstractUI.aspx?menuIndex=3&amp;refID=7186978&amp;Result=3","7186978")</f>
        <v>0</v>
      </c>
      <c r="B5036" t="s">
        <v>1807</v>
      </c>
      <c r="C5036" t="s">
        <v>8597</v>
      </c>
      <c r="D5036" t="s">
        <v>19026</v>
      </c>
      <c r="E5036" t="s">
        <v>23567</v>
      </c>
      <c r="F5036" t="s">
        <v>32606</v>
      </c>
      <c r="G5036" t="s">
        <v>32614</v>
      </c>
      <c r="H5036" t="s">
        <v>14201</v>
      </c>
      <c r="I5036" t="s">
        <v>32652</v>
      </c>
      <c r="J5036" t="s">
        <v>33529</v>
      </c>
      <c r="K5036" t="s">
        <v>42630</v>
      </c>
      <c r="M5036" t="s">
        <v>44848</v>
      </c>
      <c r="N5036" t="s">
        <v>47304</v>
      </c>
      <c r="O5036" t="s">
        <v>47305</v>
      </c>
      <c r="P5036">
        <v>0</v>
      </c>
      <c r="Q5036">
        <v>2</v>
      </c>
      <c r="R5036" t="s">
        <v>47308</v>
      </c>
      <c r="S5036" t="s">
        <v>47429</v>
      </c>
      <c r="T5036" t="s">
        <v>49197</v>
      </c>
      <c r="U5036" t="s">
        <v>53800</v>
      </c>
      <c r="W5036" t="s">
        <v>44848</v>
      </c>
      <c r="X5036" t="s">
        <v>47313</v>
      </c>
    </row>
    <row r="5037" spans="1:24">
      <c r="A5037">
        <f>HYPERLINK("https://www.philgeps.gov.ph/GEPSNONPILOT/Tender/SplashBidNoticeAbstractUI.aspx?menuIndex=3&amp;refID=7186962&amp;Result=3","7186962")</f>
        <v>0</v>
      </c>
      <c r="B5037" t="s">
        <v>1807</v>
      </c>
      <c r="C5037" t="s">
        <v>8598</v>
      </c>
      <c r="D5037" t="s">
        <v>19026</v>
      </c>
      <c r="E5037" t="s">
        <v>23568</v>
      </c>
      <c r="F5037" t="s">
        <v>32606</v>
      </c>
      <c r="G5037" t="s">
        <v>32614</v>
      </c>
      <c r="H5037" t="s">
        <v>14201</v>
      </c>
      <c r="I5037" t="s">
        <v>32629</v>
      </c>
      <c r="J5037" t="s">
        <v>36086</v>
      </c>
      <c r="K5037" t="s">
        <v>42630</v>
      </c>
      <c r="M5037" t="s">
        <v>44848</v>
      </c>
      <c r="N5037" t="s">
        <v>47304</v>
      </c>
      <c r="O5037" t="s">
        <v>47305</v>
      </c>
      <c r="P5037">
        <v>0</v>
      </c>
      <c r="Q5037">
        <v>0</v>
      </c>
      <c r="R5037" t="s">
        <v>47308</v>
      </c>
      <c r="S5037" t="s">
        <v>47429</v>
      </c>
      <c r="T5037" t="s">
        <v>48976</v>
      </c>
      <c r="U5037" t="s">
        <v>53801</v>
      </c>
      <c r="W5037" t="s">
        <v>44848</v>
      </c>
      <c r="X5037" t="s">
        <v>47313</v>
      </c>
    </row>
    <row r="5038" spans="1:24">
      <c r="A5038">
        <f>HYPERLINK("https://www.philgeps.gov.ph/GEPSNONPILOT/Tender/SplashBidNoticeAbstractUI.aspx?menuIndex=3&amp;refID=7186906&amp;Result=3","7186906")</f>
        <v>0</v>
      </c>
      <c r="B5038" t="s">
        <v>1808</v>
      </c>
      <c r="C5038" t="s">
        <v>8599</v>
      </c>
      <c r="D5038" t="s">
        <v>19023</v>
      </c>
      <c r="E5038" t="s">
        <v>23569</v>
      </c>
      <c r="F5038" t="s">
        <v>32606</v>
      </c>
      <c r="G5038" t="s">
        <v>32613</v>
      </c>
      <c r="H5038" t="s">
        <v>14201</v>
      </c>
      <c r="I5038" t="s">
        <v>7677</v>
      </c>
      <c r="J5038" t="s">
        <v>36087</v>
      </c>
      <c r="K5038" t="s">
        <v>42631</v>
      </c>
      <c r="M5038" t="s">
        <v>44849</v>
      </c>
      <c r="N5038" t="s">
        <v>47304</v>
      </c>
      <c r="O5038" t="s">
        <v>47305</v>
      </c>
      <c r="P5038">
        <v>0</v>
      </c>
      <c r="Q5038">
        <v>0</v>
      </c>
      <c r="R5038" t="s">
        <v>47308</v>
      </c>
      <c r="S5038" t="s">
        <v>47429</v>
      </c>
      <c r="T5038" t="s">
        <v>49011</v>
      </c>
      <c r="U5038" t="s">
        <v>53802</v>
      </c>
      <c r="V5038" t="s">
        <v>63110</v>
      </c>
      <c r="W5038" t="s">
        <v>44849</v>
      </c>
      <c r="X5038" t="s">
        <v>47314</v>
      </c>
    </row>
    <row r="5039" spans="1:24">
      <c r="A5039">
        <f>HYPERLINK("https://www.philgeps.gov.ph/GEPSNONPILOT/Tender/SplashBidNoticeAbstractUI.aspx?menuIndex=3&amp;refID=7186381&amp;Result=3","7186381")</f>
        <v>0</v>
      </c>
      <c r="B5039" t="s">
        <v>811</v>
      </c>
      <c r="C5039" t="s">
        <v>8600</v>
      </c>
      <c r="D5039" t="s">
        <v>19009</v>
      </c>
      <c r="E5039" t="s">
        <v>23570</v>
      </c>
      <c r="F5039" t="s">
        <v>32606</v>
      </c>
      <c r="G5039" t="s">
        <v>32613</v>
      </c>
      <c r="H5039" t="s">
        <v>32623</v>
      </c>
      <c r="I5039" t="s">
        <v>17648</v>
      </c>
      <c r="J5039" t="s">
        <v>36088</v>
      </c>
      <c r="K5039" t="s">
        <v>42694</v>
      </c>
      <c r="M5039" t="s">
        <v>43742</v>
      </c>
      <c r="N5039" t="s">
        <v>47304</v>
      </c>
      <c r="O5039" t="s">
        <v>47305</v>
      </c>
      <c r="P5039">
        <v>0</v>
      </c>
      <c r="Q5039">
        <v>0</v>
      </c>
      <c r="R5039" t="s">
        <v>47308</v>
      </c>
      <c r="S5039" t="s">
        <v>47429</v>
      </c>
      <c r="T5039" t="s">
        <v>48976</v>
      </c>
      <c r="U5039" t="s">
        <v>53803</v>
      </c>
      <c r="W5039" t="s">
        <v>43742</v>
      </c>
      <c r="X5039" t="s">
        <v>47314</v>
      </c>
    </row>
    <row r="5040" spans="1:24">
      <c r="A5040">
        <f>HYPERLINK("https://www.philgeps.gov.ph/GEPSNONPILOT/Tender/SplashBidNoticeAbstractUI.aspx?menuIndex=3&amp;refID=7186325&amp;Result=3","7186325")</f>
        <v>0</v>
      </c>
      <c r="B5040" t="s">
        <v>811</v>
      </c>
      <c r="C5040" t="s">
        <v>8601</v>
      </c>
      <c r="D5040" t="s">
        <v>19009</v>
      </c>
      <c r="E5040" t="s">
        <v>23571</v>
      </c>
      <c r="F5040" t="s">
        <v>32606</v>
      </c>
      <c r="G5040" t="s">
        <v>32613</v>
      </c>
      <c r="H5040" t="s">
        <v>32623</v>
      </c>
      <c r="I5040" t="s">
        <v>17648</v>
      </c>
      <c r="J5040" t="s">
        <v>36089</v>
      </c>
      <c r="K5040" t="s">
        <v>42631</v>
      </c>
      <c r="M5040" t="s">
        <v>43742</v>
      </c>
      <c r="N5040" t="s">
        <v>47304</v>
      </c>
      <c r="O5040" t="s">
        <v>47305</v>
      </c>
      <c r="P5040">
        <v>0</v>
      </c>
      <c r="Q5040">
        <v>0</v>
      </c>
      <c r="R5040" t="s">
        <v>47308</v>
      </c>
      <c r="S5040" t="s">
        <v>47429</v>
      </c>
      <c r="T5040" t="s">
        <v>48986</v>
      </c>
      <c r="U5040" t="s">
        <v>53804</v>
      </c>
      <c r="W5040" t="s">
        <v>43742</v>
      </c>
      <c r="X5040" t="s">
        <v>47314</v>
      </c>
    </row>
    <row r="5041" spans="1:24">
      <c r="A5041">
        <f>HYPERLINK("https://www.philgeps.gov.ph/GEPSNONPILOT/Tender/SplashBidNoticeAbstractUI.aspx?menuIndex=3&amp;refID=7186301&amp;Result=3","7186301")</f>
        <v>0</v>
      </c>
      <c r="B5041" t="s">
        <v>1801</v>
      </c>
      <c r="C5041" t="s">
        <v>8602</v>
      </c>
      <c r="E5041" t="s">
        <v>20124</v>
      </c>
      <c r="F5041" t="s">
        <v>32606</v>
      </c>
      <c r="G5041" t="s">
        <v>32613</v>
      </c>
      <c r="H5041" t="s">
        <v>14201</v>
      </c>
      <c r="I5041" t="s">
        <v>7064</v>
      </c>
      <c r="J5041" t="s">
        <v>33934</v>
      </c>
      <c r="K5041" t="s">
        <v>42639</v>
      </c>
      <c r="M5041" t="s">
        <v>44842</v>
      </c>
      <c r="N5041" t="s">
        <v>47304</v>
      </c>
      <c r="O5041" t="s">
        <v>47305</v>
      </c>
      <c r="P5041">
        <v>0</v>
      </c>
      <c r="Q5041">
        <v>3</v>
      </c>
      <c r="R5041" t="s">
        <v>47308</v>
      </c>
      <c r="S5041" t="s">
        <v>47429</v>
      </c>
      <c r="T5041" t="s">
        <v>49304</v>
      </c>
      <c r="U5041" t="s">
        <v>53805</v>
      </c>
      <c r="W5041" t="s">
        <v>44842</v>
      </c>
      <c r="X5041" t="s">
        <v>47314</v>
      </c>
    </row>
    <row r="5042" spans="1:24">
      <c r="A5042">
        <f>HYPERLINK("https://www.philgeps.gov.ph/GEPSNONPILOT/Tender/SplashBidNoticeAbstractUI.aspx?menuIndex=3&amp;refID=7186283&amp;Result=3","7186283")</f>
        <v>0</v>
      </c>
      <c r="B5042" t="s">
        <v>1801</v>
      </c>
      <c r="C5042" t="s">
        <v>8602</v>
      </c>
      <c r="E5042" t="s">
        <v>20349</v>
      </c>
      <c r="F5042" t="s">
        <v>32606</v>
      </c>
      <c r="G5042" t="s">
        <v>32613</v>
      </c>
      <c r="H5042" t="s">
        <v>14201</v>
      </c>
      <c r="I5042" t="s">
        <v>7064</v>
      </c>
      <c r="J5042" t="s">
        <v>33273</v>
      </c>
      <c r="K5042" t="s">
        <v>42639</v>
      </c>
      <c r="M5042" t="s">
        <v>44842</v>
      </c>
      <c r="N5042" t="s">
        <v>47304</v>
      </c>
      <c r="O5042" t="s">
        <v>47305</v>
      </c>
      <c r="P5042">
        <v>0</v>
      </c>
      <c r="Q5042">
        <v>3</v>
      </c>
      <c r="R5042" t="s">
        <v>47308</v>
      </c>
      <c r="S5042" t="s">
        <v>47429</v>
      </c>
      <c r="T5042" t="s">
        <v>49304</v>
      </c>
      <c r="U5042" t="s">
        <v>53806</v>
      </c>
      <c r="W5042" t="s">
        <v>44842</v>
      </c>
      <c r="X5042" t="s">
        <v>47314</v>
      </c>
    </row>
    <row r="5043" spans="1:24">
      <c r="A5043">
        <f>HYPERLINK("https://www.philgeps.gov.ph/GEPSNONPILOT/Tender/SplashBidNoticeAbstractUI.aspx?menuIndex=3&amp;refID=7180767&amp;Result=3","7180767")</f>
        <v>0</v>
      </c>
      <c r="B5043" t="s">
        <v>1809</v>
      </c>
      <c r="C5043" t="s">
        <v>8603</v>
      </c>
      <c r="D5043" t="s">
        <v>19002</v>
      </c>
      <c r="E5043" t="s">
        <v>23572</v>
      </c>
      <c r="F5043" t="s">
        <v>32606</v>
      </c>
      <c r="G5043" t="s">
        <v>32614</v>
      </c>
      <c r="H5043" t="s">
        <v>14201</v>
      </c>
      <c r="I5043" t="s">
        <v>7677</v>
      </c>
      <c r="J5043" t="s">
        <v>36090</v>
      </c>
      <c r="K5043" t="s">
        <v>42623</v>
      </c>
      <c r="M5043" t="s">
        <v>44850</v>
      </c>
      <c r="N5043" t="s">
        <v>47304</v>
      </c>
      <c r="O5043" t="s">
        <v>47305</v>
      </c>
      <c r="P5043">
        <v>0</v>
      </c>
      <c r="Q5043">
        <v>2</v>
      </c>
      <c r="R5043" t="s">
        <v>47308</v>
      </c>
      <c r="S5043" t="s">
        <v>47429</v>
      </c>
      <c r="T5043" t="s">
        <v>49011</v>
      </c>
      <c r="U5043" t="s">
        <v>53807</v>
      </c>
      <c r="W5043" t="s">
        <v>44850</v>
      </c>
      <c r="X5043" t="s">
        <v>47316</v>
      </c>
    </row>
    <row r="5044" spans="1:24">
      <c r="A5044">
        <f>HYPERLINK("https://www.philgeps.gov.ph/GEPSNONPILOT/Tender/SplashBidNoticeAbstractUI.aspx?menuIndex=3&amp;refID=7180439&amp;Result=3","7180439")</f>
        <v>0</v>
      </c>
      <c r="B5044" t="s">
        <v>39</v>
      </c>
      <c r="C5044" t="s">
        <v>8604</v>
      </c>
      <c r="D5044" t="s">
        <v>18990</v>
      </c>
      <c r="E5044" t="s">
        <v>23573</v>
      </c>
      <c r="F5044" t="s">
        <v>32606</v>
      </c>
      <c r="G5044" t="s">
        <v>32613</v>
      </c>
      <c r="H5044" t="s">
        <v>32623</v>
      </c>
      <c r="I5044" t="s">
        <v>17648</v>
      </c>
      <c r="J5044" t="s">
        <v>36091</v>
      </c>
      <c r="K5044" t="s">
        <v>42634</v>
      </c>
      <c r="M5044" t="s">
        <v>42936</v>
      </c>
      <c r="N5044" t="s">
        <v>47304</v>
      </c>
      <c r="O5044" t="s">
        <v>47305</v>
      </c>
      <c r="P5044">
        <v>0</v>
      </c>
      <c r="Q5044">
        <v>1</v>
      </c>
      <c r="R5044" t="s">
        <v>47308</v>
      </c>
      <c r="S5044" t="s">
        <v>47429</v>
      </c>
      <c r="T5044" t="s">
        <v>48985</v>
      </c>
      <c r="U5044" t="s">
        <v>53808</v>
      </c>
      <c r="W5044" t="s">
        <v>42936</v>
      </c>
      <c r="X5044" t="s">
        <v>47316</v>
      </c>
    </row>
    <row r="5045" spans="1:24">
      <c r="A5045">
        <f>HYPERLINK("https://www.philgeps.gov.ph/GEPSNONPILOT/Tender/SplashBidNoticeAbstractUI.aspx?menuIndex=3&amp;refID=7180438&amp;Result=3","7180438")</f>
        <v>0</v>
      </c>
      <c r="B5045" t="s">
        <v>39</v>
      </c>
      <c r="C5045" t="s">
        <v>8605</v>
      </c>
      <c r="D5045" t="s">
        <v>18990</v>
      </c>
      <c r="E5045" t="s">
        <v>23574</v>
      </c>
      <c r="F5045" t="s">
        <v>32606</v>
      </c>
      <c r="G5045" t="s">
        <v>32613</v>
      </c>
      <c r="H5045" t="s">
        <v>32623</v>
      </c>
      <c r="I5045" t="s">
        <v>17648</v>
      </c>
      <c r="J5045" t="s">
        <v>36092</v>
      </c>
      <c r="K5045" t="s">
        <v>42636</v>
      </c>
      <c r="M5045" t="s">
        <v>42936</v>
      </c>
      <c r="N5045" t="s">
        <v>47304</v>
      </c>
      <c r="O5045" t="s">
        <v>47305</v>
      </c>
      <c r="P5045">
        <v>0</v>
      </c>
      <c r="Q5045">
        <v>1</v>
      </c>
      <c r="R5045" t="s">
        <v>47308</v>
      </c>
      <c r="S5045" t="s">
        <v>47429</v>
      </c>
      <c r="T5045" t="s">
        <v>48985</v>
      </c>
      <c r="U5045" t="s">
        <v>53809</v>
      </c>
      <c r="W5045" t="s">
        <v>42936</v>
      </c>
      <c r="X5045" t="s">
        <v>47316</v>
      </c>
    </row>
    <row r="5046" spans="1:24">
      <c r="A5046">
        <f>HYPERLINK("https://www.philgeps.gov.ph/GEPSNONPILOT/Tender/SplashBidNoticeAbstractUI.aspx?menuIndex=3&amp;refID=7197097&amp;Result=3","7197097")</f>
        <v>0</v>
      </c>
      <c r="B5046" t="s">
        <v>1669</v>
      </c>
      <c r="C5046" t="s">
        <v>8561</v>
      </c>
      <c r="D5046" t="s">
        <v>18997</v>
      </c>
      <c r="E5046" t="s">
        <v>23575</v>
      </c>
      <c r="F5046" t="s">
        <v>32606</v>
      </c>
      <c r="G5046" t="s">
        <v>32614</v>
      </c>
      <c r="H5046" t="s">
        <v>14201</v>
      </c>
      <c r="I5046" t="s">
        <v>32688</v>
      </c>
      <c r="J5046" t="s">
        <v>36093</v>
      </c>
      <c r="K5046" t="s">
        <v>42648</v>
      </c>
      <c r="M5046" t="s">
        <v>44696</v>
      </c>
      <c r="N5046" t="s">
        <v>47304</v>
      </c>
      <c r="O5046" t="s">
        <v>47305</v>
      </c>
      <c r="P5046">
        <v>0</v>
      </c>
      <c r="Q5046">
        <v>0</v>
      </c>
      <c r="R5046" t="s">
        <v>47306</v>
      </c>
      <c r="S5046" t="s">
        <v>47414</v>
      </c>
      <c r="T5046" t="s">
        <v>48971</v>
      </c>
      <c r="U5046" t="s">
        <v>53810</v>
      </c>
      <c r="W5046" t="s">
        <v>44696</v>
      </c>
      <c r="X5046" t="s">
        <v>47308</v>
      </c>
    </row>
    <row r="5047" spans="1:24">
      <c r="A5047">
        <f>HYPERLINK("https://www.philgeps.gov.ph/GEPSNONPILOT/Tender/SplashBidNoticeAbstractUI.aspx?menuIndex=3&amp;refID=7197635&amp;Result=3","7197635")</f>
        <v>0</v>
      </c>
      <c r="B5047" t="s">
        <v>131</v>
      </c>
      <c r="C5047" t="s">
        <v>8606</v>
      </c>
      <c r="D5047" t="s">
        <v>18993</v>
      </c>
      <c r="E5047" t="s">
        <v>23576</v>
      </c>
      <c r="F5047" t="s">
        <v>32606</v>
      </c>
      <c r="G5047" t="s">
        <v>32614</v>
      </c>
      <c r="H5047" t="s">
        <v>14201</v>
      </c>
      <c r="I5047" t="s">
        <v>8606</v>
      </c>
      <c r="J5047" t="s">
        <v>36094</v>
      </c>
      <c r="K5047" t="s">
        <v>42631</v>
      </c>
      <c r="M5047" t="s">
        <v>43032</v>
      </c>
      <c r="N5047" t="s">
        <v>47304</v>
      </c>
      <c r="O5047" t="s">
        <v>47305</v>
      </c>
      <c r="P5047">
        <v>0</v>
      </c>
      <c r="Q5047">
        <v>2</v>
      </c>
      <c r="R5047" t="s">
        <v>47306</v>
      </c>
      <c r="S5047" t="s">
        <v>47414</v>
      </c>
      <c r="T5047" t="s">
        <v>49061</v>
      </c>
      <c r="U5047" t="s">
        <v>53811</v>
      </c>
      <c r="W5047" t="s">
        <v>43032</v>
      </c>
      <c r="X5047" t="s">
        <v>47308</v>
      </c>
    </row>
    <row r="5048" spans="1:24">
      <c r="A5048">
        <f>HYPERLINK("https://www.philgeps.gov.ph/GEPSNONPILOT/Tender/SplashBidNoticeAbstractUI.aspx?menuIndex=3&amp;refID=7197094&amp;Result=3","7197094")</f>
        <v>0</v>
      </c>
      <c r="B5048" t="s">
        <v>280</v>
      </c>
      <c r="C5048" t="s">
        <v>6298</v>
      </c>
      <c r="D5048" t="s">
        <v>19028</v>
      </c>
      <c r="E5048" t="s">
        <v>23577</v>
      </c>
      <c r="F5048" t="s">
        <v>32606</v>
      </c>
      <c r="G5048" t="s">
        <v>32614</v>
      </c>
      <c r="H5048" t="s">
        <v>14201</v>
      </c>
      <c r="I5048" t="s">
        <v>6298</v>
      </c>
      <c r="J5048" t="s">
        <v>36095</v>
      </c>
      <c r="K5048" t="s">
        <v>42631</v>
      </c>
      <c r="M5048" t="s">
        <v>43712</v>
      </c>
      <c r="N5048" t="s">
        <v>47304</v>
      </c>
      <c r="O5048" t="s">
        <v>47305</v>
      </c>
      <c r="P5048">
        <v>0</v>
      </c>
      <c r="Q5048">
        <v>0</v>
      </c>
      <c r="R5048" t="s">
        <v>47306</v>
      </c>
      <c r="S5048" t="s">
        <v>47414</v>
      </c>
      <c r="T5048" t="s">
        <v>49050</v>
      </c>
      <c r="U5048" t="s">
        <v>53812</v>
      </c>
      <c r="W5048" t="s">
        <v>43712</v>
      </c>
      <c r="X5048" t="s">
        <v>47308</v>
      </c>
    </row>
    <row r="5049" spans="1:24">
      <c r="A5049">
        <f>HYPERLINK("https://www.philgeps.gov.ph/GEPSNONPILOT/Tender/SplashBidNoticeAbstractUI.aspx?menuIndex=3&amp;refID=7186343&amp;Result=3","7186343")</f>
        <v>0</v>
      </c>
      <c r="B5049" t="s">
        <v>1801</v>
      </c>
      <c r="C5049" t="s">
        <v>8607</v>
      </c>
      <c r="E5049" t="s">
        <v>20556</v>
      </c>
      <c r="F5049" t="s">
        <v>32606</v>
      </c>
      <c r="G5049" t="s">
        <v>32613</v>
      </c>
      <c r="H5049" t="s">
        <v>14201</v>
      </c>
      <c r="I5049" t="s">
        <v>32631</v>
      </c>
      <c r="J5049" t="s">
        <v>36096</v>
      </c>
      <c r="K5049" t="s">
        <v>42639</v>
      </c>
      <c r="M5049" t="s">
        <v>44842</v>
      </c>
      <c r="N5049" t="s">
        <v>47304</v>
      </c>
      <c r="O5049" t="s">
        <v>47305</v>
      </c>
      <c r="P5049">
        <v>0</v>
      </c>
      <c r="Q5049">
        <v>0</v>
      </c>
      <c r="R5049" t="s">
        <v>47308</v>
      </c>
      <c r="S5049" t="s">
        <v>47429</v>
      </c>
      <c r="T5049" t="s">
        <v>49304</v>
      </c>
      <c r="U5049" t="s">
        <v>53813</v>
      </c>
      <c r="W5049" t="s">
        <v>44842</v>
      </c>
      <c r="X5049" t="s">
        <v>47314</v>
      </c>
    </row>
    <row r="5050" spans="1:24">
      <c r="A5050">
        <f>HYPERLINK("https://www.philgeps.gov.ph/GEPSNONPILOT/Tender/SplashBidNoticeAbstractUI.aspx?menuIndex=3&amp;refID=7197092&amp;Result=3","7197092")</f>
        <v>0</v>
      </c>
      <c r="B5050" t="s">
        <v>1433</v>
      </c>
      <c r="C5050" t="s">
        <v>8608</v>
      </c>
      <c r="D5050" t="s">
        <v>19029</v>
      </c>
      <c r="E5050" t="s">
        <v>23578</v>
      </c>
      <c r="F5050" t="s">
        <v>32606</v>
      </c>
      <c r="G5050" t="s">
        <v>32614</v>
      </c>
      <c r="H5050" t="s">
        <v>14201</v>
      </c>
      <c r="I5050" t="s">
        <v>4678</v>
      </c>
      <c r="J5050" t="s">
        <v>32868</v>
      </c>
      <c r="K5050" t="s">
        <v>42622</v>
      </c>
      <c r="M5050" t="s">
        <v>44422</v>
      </c>
      <c r="N5050" t="s">
        <v>47304</v>
      </c>
      <c r="O5050" t="s">
        <v>47305</v>
      </c>
      <c r="P5050">
        <v>0</v>
      </c>
      <c r="Q5050">
        <v>2</v>
      </c>
      <c r="R5050" t="s">
        <v>47306</v>
      </c>
      <c r="S5050" t="s">
        <v>47414</v>
      </c>
      <c r="T5050" t="s">
        <v>49002</v>
      </c>
      <c r="U5050" t="s">
        <v>52637</v>
      </c>
      <c r="W5050" t="s">
        <v>64473</v>
      </c>
      <c r="X5050" t="s">
        <v>47308</v>
      </c>
    </row>
    <row r="5051" spans="1:24">
      <c r="A5051">
        <f>HYPERLINK("https://www.philgeps.gov.ph/GEPSNONPILOT/Tender/SplashBidNoticeAbstractUI.aspx?menuIndex=3&amp;refID=7187654&amp;Result=3","7187654")</f>
        <v>0</v>
      </c>
      <c r="B5051" t="s">
        <v>1503</v>
      </c>
      <c r="C5051" t="s">
        <v>8609</v>
      </c>
      <c r="D5051" t="s">
        <v>19049</v>
      </c>
      <c r="E5051" t="s">
        <v>23579</v>
      </c>
      <c r="F5051" t="s">
        <v>32606</v>
      </c>
      <c r="G5051" t="s">
        <v>32613</v>
      </c>
      <c r="H5051" t="s">
        <v>14201</v>
      </c>
      <c r="I5051" t="s">
        <v>7064</v>
      </c>
      <c r="J5051" t="s">
        <v>33382</v>
      </c>
      <c r="K5051" t="s">
        <v>42636</v>
      </c>
      <c r="L5051" t="s">
        <v>1503</v>
      </c>
      <c r="M5051" t="s">
        <v>44500</v>
      </c>
      <c r="N5051" t="s">
        <v>47304</v>
      </c>
      <c r="O5051" t="s">
        <v>47305</v>
      </c>
      <c r="P5051">
        <v>0</v>
      </c>
      <c r="Q5051">
        <v>10</v>
      </c>
      <c r="R5051" t="s">
        <v>47308</v>
      </c>
      <c r="S5051" t="s">
        <v>47429</v>
      </c>
      <c r="T5051" t="s">
        <v>48978</v>
      </c>
      <c r="U5051" t="s">
        <v>53814</v>
      </c>
      <c r="W5051" t="s">
        <v>44500</v>
      </c>
      <c r="X5051" t="s">
        <v>47313</v>
      </c>
    </row>
    <row r="5052" spans="1:24">
      <c r="A5052">
        <f>HYPERLINK("https://www.philgeps.gov.ph/GEPSNONPILOT/Tender/SplashBidNoticeAbstractUI.aspx?menuIndex=3&amp;refID=7178979&amp;Result=3","7178979")</f>
        <v>0</v>
      </c>
      <c r="B5052" t="s">
        <v>1810</v>
      </c>
      <c r="C5052" t="s">
        <v>3942</v>
      </c>
      <c r="E5052" t="s">
        <v>23580</v>
      </c>
      <c r="F5052" t="s">
        <v>32606</v>
      </c>
      <c r="G5052" t="s">
        <v>32613</v>
      </c>
      <c r="H5052" t="s">
        <v>32623</v>
      </c>
      <c r="I5052" t="s">
        <v>17648</v>
      </c>
      <c r="J5052" t="s">
        <v>32781</v>
      </c>
      <c r="K5052" t="s">
        <v>42630</v>
      </c>
      <c r="M5052" t="s">
        <v>44851</v>
      </c>
      <c r="N5052" t="s">
        <v>47304</v>
      </c>
      <c r="O5052" t="s">
        <v>47305</v>
      </c>
      <c r="P5052">
        <v>0</v>
      </c>
      <c r="Q5052">
        <v>0</v>
      </c>
      <c r="R5052" t="s">
        <v>47308</v>
      </c>
      <c r="S5052" t="s">
        <v>47429</v>
      </c>
      <c r="T5052" t="s">
        <v>48972</v>
      </c>
      <c r="U5052" t="s">
        <v>53815</v>
      </c>
      <c r="W5052" t="s">
        <v>44851</v>
      </c>
      <c r="X5052" t="s">
        <v>47318</v>
      </c>
    </row>
    <row r="5053" spans="1:24">
      <c r="A5053">
        <f>HYPERLINK("https://www.philgeps.gov.ph/GEPSNONPILOT/Tender/SplashBidNoticeAbstractUI.aspx?menuIndex=3&amp;refID=7197089&amp;Result=3","7197089")</f>
        <v>0</v>
      </c>
      <c r="B5053" t="s">
        <v>1686</v>
      </c>
      <c r="C5053" t="s">
        <v>8610</v>
      </c>
      <c r="D5053" t="s">
        <v>19006</v>
      </c>
      <c r="E5053" t="s">
        <v>23581</v>
      </c>
      <c r="F5053" t="s">
        <v>32606</v>
      </c>
      <c r="G5053" t="s">
        <v>32614</v>
      </c>
      <c r="H5053" t="s">
        <v>14201</v>
      </c>
      <c r="I5053" t="s">
        <v>9013</v>
      </c>
      <c r="J5053" t="s">
        <v>33167</v>
      </c>
      <c r="K5053" t="s">
        <v>42622</v>
      </c>
      <c r="M5053" t="s">
        <v>44715</v>
      </c>
      <c r="N5053" t="s">
        <v>47304</v>
      </c>
      <c r="O5053" t="s">
        <v>47305</v>
      </c>
      <c r="P5053">
        <v>0</v>
      </c>
      <c r="Q5053">
        <v>1</v>
      </c>
      <c r="R5053" t="s">
        <v>47306</v>
      </c>
      <c r="S5053" t="s">
        <v>47414</v>
      </c>
      <c r="T5053" t="s">
        <v>49050</v>
      </c>
      <c r="U5053" t="s">
        <v>53816</v>
      </c>
      <c r="W5053" t="s">
        <v>44715</v>
      </c>
      <c r="X5053" t="s">
        <v>47308</v>
      </c>
    </row>
    <row r="5054" spans="1:24">
      <c r="A5054">
        <f>HYPERLINK("https://www.philgeps.gov.ph/GEPSNONPILOT/Tender/SplashBidNoticeAbstractUI.aspx?menuIndex=3&amp;refID=7196996&amp;Result=3","7196996")</f>
        <v>0</v>
      </c>
      <c r="B5054" t="s">
        <v>88</v>
      </c>
      <c r="C5054" t="s">
        <v>8611</v>
      </c>
      <c r="D5054" t="s">
        <v>19013</v>
      </c>
      <c r="E5054" t="s">
        <v>23582</v>
      </c>
      <c r="F5054" t="s">
        <v>32606</v>
      </c>
      <c r="G5054" t="s">
        <v>32613</v>
      </c>
      <c r="H5054" t="s">
        <v>14201</v>
      </c>
      <c r="I5054" t="s">
        <v>17648</v>
      </c>
      <c r="J5054" t="s">
        <v>32830</v>
      </c>
      <c r="K5054" t="s">
        <v>42634</v>
      </c>
      <c r="M5054" t="s">
        <v>42986</v>
      </c>
      <c r="N5054" t="s">
        <v>47304</v>
      </c>
      <c r="O5054" t="s">
        <v>47305</v>
      </c>
      <c r="P5054">
        <v>0</v>
      </c>
      <c r="Q5054">
        <v>0</v>
      </c>
      <c r="R5054" t="s">
        <v>47306</v>
      </c>
      <c r="S5054" t="s">
        <v>47414</v>
      </c>
      <c r="T5054" t="s">
        <v>48990</v>
      </c>
      <c r="U5054" t="s">
        <v>53817</v>
      </c>
      <c r="W5054" t="s">
        <v>42986</v>
      </c>
      <c r="X5054" t="s">
        <v>47308</v>
      </c>
    </row>
    <row r="5055" spans="1:24">
      <c r="A5055">
        <f>HYPERLINK("https://www.philgeps.gov.ph/GEPSNONPILOT/Tender/SplashBidNoticeAbstractUI.aspx?menuIndex=3&amp;refID=7187180&amp;Result=3","7187180")</f>
        <v>0</v>
      </c>
      <c r="B5055" t="s">
        <v>1806</v>
      </c>
      <c r="C5055" t="s">
        <v>8612</v>
      </c>
      <c r="D5055" t="s">
        <v>19023</v>
      </c>
      <c r="E5055" t="s">
        <v>23583</v>
      </c>
      <c r="F5055" t="s">
        <v>32606</v>
      </c>
      <c r="G5055" t="s">
        <v>32613</v>
      </c>
      <c r="H5055" t="s">
        <v>32623</v>
      </c>
      <c r="I5055" t="s">
        <v>17648</v>
      </c>
      <c r="J5055" t="s">
        <v>36097</v>
      </c>
      <c r="K5055" t="s">
        <v>42700</v>
      </c>
      <c r="M5055" t="s">
        <v>44847</v>
      </c>
      <c r="N5055" t="s">
        <v>47304</v>
      </c>
      <c r="O5055" t="s">
        <v>47305</v>
      </c>
      <c r="P5055">
        <v>0</v>
      </c>
      <c r="Q5055">
        <v>2</v>
      </c>
      <c r="R5055" t="s">
        <v>47308</v>
      </c>
      <c r="S5055" t="s">
        <v>47429</v>
      </c>
      <c r="T5055" t="s">
        <v>48973</v>
      </c>
      <c r="U5055" t="s">
        <v>53794</v>
      </c>
      <c r="V5055" t="s">
        <v>63109</v>
      </c>
      <c r="W5055" t="s">
        <v>44847</v>
      </c>
      <c r="X5055" t="s">
        <v>47313</v>
      </c>
    </row>
    <row r="5056" spans="1:24">
      <c r="A5056">
        <f>HYPERLINK("https://www.philgeps.gov.ph/GEPSNONPILOT/Tender/SplashBidNoticeAbstractUI.aspx?menuIndex=3&amp;refID=7196995&amp;Result=3","7196995")</f>
        <v>0</v>
      </c>
      <c r="B5056" t="s">
        <v>1611</v>
      </c>
      <c r="C5056" t="s">
        <v>8613</v>
      </c>
      <c r="D5056" t="s">
        <v>19010</v>
      </c>
      <c r="E5056" t="s">
        <v>23584</v>
      </c>
      <c r="F5056" t="s">
        <v>32606</v>
      </c>
      <c r="G5056" t="s">
        <v>32614</v>
      </c>
      <c r="H5056" t="s">
        <v>14201</v>
      </c>
      <c r="I5056" t="s">
        <v>4678</v>
      </c>
      <c r="J5056" t="s">
        <v>36098</v>
      </c>
      <c r="K5056" t="s">
        <v>42623</v>
      </c>
      <c r="M5056" t="s">
        <v>44631</v>
      </c>
      <c r="N5056" t="s">
        <v>47304</v>
      </c>
      <c r="O5056" t="s">
        <v>47305</v>
      </c>
      <c r="P5056">
        <v>0</v>
      </c>
      <c r="Q5056">
        <v>0</v>
      </c>
      <c r="R5056" t="s">
        <v>47306</v>
      </c>
      <c r="S5056" t="s">
        <v>47414</v>
      </c>
      <c r="T5056" t="s">
        <v>48980</v>
      </c>
      <c r="U5056" t="s">
        <v>53818</v>
      </c>
      <c r="W5056" t="s">
        <v>44631</v>
      </c>
      <c r="X5056" t="s">
        <v>47308</v>
      </c>
    </row>
    <row r="5057" spans="1:24">
      <c r="A5057">
        <f>HYPERLINK("https://www.philgeps.gov.ph/GEPSNONPILOT/Tender/SplashBidNoticeAbstractUI.aspx?menuIndex=3&amp;refID=7177236&amp;Result=3","7177236")</f>
        <v>0</v>
      </c>
      <c r="B5057" t="s">
        <v>280</v>
      </c>
      <c r="C5057" t="s">
        <v>8614</v>
      </c>
      <c r="D5057" t="s">
        <v>19028</v>
      </c>
      <c r="E5057" t="s">
        <v>8614</v>
      </c>
      <c r="F5057" t="s">
        <v>32606</v>
      </c>
      <c r="G5057" t="s">
        <v>32614</v>
      </c>
      <c r="H5057" t="s">
        <v>14201</v>
      </c>
      <c r="I5057" t="s">
        <v>6298</v>
      </c>
      <c r="J5057" t="s">
        <v>33578</v>
      </c>
      <c r="K5057" t="s">
        <v>42631</v>
      </c>
      <c r="M5057" t="s">
        <v>43712</v>
      </c>
      <c r="N5057" t="s">
        <v>47304</v>
      </c>
      <c r="O5057" t="s">
        <v>47305</v>
      </c>
      <c r="P5057">
        <v>0</v>
      </c>
      <c r="Q5057">
        <v>0</v>
      </c>
      <c r="R5057" t="s">
        <v>47308</v>
      </c>
      <c r="S5057" t="s">
        <v>47429</v>
      </c>
      <c r="T5057" t="s">
        <v>49000</v>
      </c>
      <c r="U5057" t="s">
        <v>53819</v>
      </c>
      <c r="W5057" t="s">
        <v>43712</v>
      </c>
      <c r="X5057" t="s">
        <v>47319</v>
      </c>
    </row>
    <row r="5058" spans="1:24">
      <c r="A5058">
        <f>HYPERLINK("https://www.philgeps.gov.ph/GEPSNONPILOT/Tender/SplashBidNoticeAbstractUI.aspx?menuIndex=3&amp;refID=7196994&amp;Result=3","7196994")</f>
        <v>0</v>
      </c>
      <c r="B5058" t="s">
        <v>1293</v>
      </c>
      <c r="C5058" t="s">
        <v>8615</v>
      </c>
      <c r="D5058" t="s">
        <v>19037</v>
      </c>
      <c r="E5058" t="s">
        <v>23585</v>
      </c>
      <c r="F5058" t="s">
        <v>32606</v>
      </c>
      <c r="G5058" t="s">
        <v>32614</v>
      </c>
      <c r="H5058" t="s">
        <v>14201</v>
      </c>
      <c r="I5058" t="s">
        <v>6298</v>
      </c>
      <c r="J5058" t="s">
        <v>36099</v>
      </c>
      <c r="K5058" t="s">
        <v>42624</v>
      </c>
      <c r="M5058" t="s">
        <v>44265</v>
      </c>
      <c r="N5058" t="s">
        <v>47304</v>
      </c>
      <c r="O5058" t="s">
        <v>47305</v>
      </c>
      <c r="P5058">
        <v>0</v>
      </c>
      <c r="Q5058">
        <v>0</v>
      </c>
      <c r="R5058" t="s">
        <v>47306</v>
      </c>
      <c r="S5058" t="s">
        <v>47414</v>
      </c>
      <c r="T5058" t="s">
        <v>48979</v>
      </c>
      <c r="U5058" t="s">
        <v>52234</v>
      </c>
      <c r="W5058" t="s">
        <v>44265</v>
      </c>
      <c r="X5058" t="s">
        <v>47308</v>
      </c>
    </row>
    <row r="5059" spans="1:24">
      <c r="A5059">
        <f>HYPERLINK("https://www.philgeps.gov.ph/GEPSNONPILOT/Tender/SplashBidNoticeAbstractUI.aspx?menuIndex=3&amp;refID=7196956&amp;Result=3","7196956")</f>
        <v>0</v>
      </c>
      <c r="B5059" t="s">
        <v>1497</v>
      </c>
      <c r="C5059" t="s">
        <v>8616</v>
      </c>
      <c r="D5059" t="s">
        <v>19015</v>
      </c>
      <c r="E5059" t="s">
        <v>23586</v>
      </c>
      <c r="F5059" t="s">
        <v>32606</v>
      </c>
      <c r="G5059" t="s">
        <v>32613</v>
      </c>
      <c r="H5059" t="s">
        <v>14201</v>
      </c>
      <c r="I5059" t="s">
        <v>7064</v>
      </c>
      <c r="J5059" t="s">
        <v>32861</v>
      </c>
      <c r="K5059" t="s">
        <v>42631</v>
      </c>
      <c r="M5059" t="s">
        <v>44493</v>
      </c>
      <c r="N5059" t="s">
        <v>47304</v>
      </c>
      <c r="O5059" t="s">
        <v>47305</v>
      </c>
      <c r="P5059">
        <v>0</v>
      </c>
      <c r="Q5059">
        <v>2</v>
      </c>
      <c r="R5059" t="s">
        <v>47306</v>
      </c>
      <c r="S5059" t="s">
        <v>47414</v>
      </c>
      <c r="T5059" t="s">
        <v>49136</v>
      </c>
      <c r="U5059" t="s">
        <v>53820</v>
      </c>
      <c r="V5059" t="s">
        <v>63111</v>
      </c>
      <c r="W5059" t="s">
        <v>44493</v>
      </c>
      <c r="X5059" t="s">
        <v>47308</v>
      </c>
    </row>
    <row r="5060" spans="1:24">
      <c r="A5060">
        <f>HYPERLINK("https://www.philgeps.gov.ph/GEPSNONPILOT/Tender/SplashBidNoticeAbstractUI.aspx?menuIndex=3&amp;refID=7196952&amp;Result=3","7196952")</f>
        <v>0</v>
      </c>
      <c r="B5060" t="s">
        <v>1811</v>
      </c>
      <c r="C5060" t="s">
        <v>8617</v>
      </c>
      <c r="D5060" t="s">
        <v>19007</v>
      </c>
      <c r="E5060" t="s">
        <v>23587</v>
      </c>
      <c r="F5060" t="s">
        <v>32606</v>
      </c>
      <c r="G5060" t="s">
        <v>32613</v>
      </c>
      <c r="H5060" t="s">
        <v>14201</v>
      </c>
      <c r="I5060" t="s">
        <v>32626</v>
      </c>
      <c r="J5060" t="s">
        <v>34669</v>
      </c>
      <c r="K5060" t="s">
        <v>42623</v>
      </c>
      <c r="M5060" t="s">
        <v>44852</v>
      </c>
      <c r="N5060" t="s">
        <v>47304</v>
      </c>
      <c r="O5060" t="s">
        <v>47305</v>
      </c>
      <c r="P5060">
        <v>0</v>
      </c>
      <c r="Q5060">
        <v>0</v>
      </c>
      <c r="R5060" t="s">
        <v>47306</v>
      </c>
      <c r="S5060" t="s">
        <v>47414</v>
      </c>
      <c r="T5060" t="s">
        <v>49305</v>
      </c>
      <c r="U5060" t="s">
        <v>53821</v>
      </c>
      <c r="W5060" t="s">
        <v>44852</v>
      </c>
      <c r="X5060" t="s">
        <v>47308</v>
      </c>
    </row>
    <row r="5061" spans="1:24">
      <c r="A5061">
        <f>HYPERLINK("https://www.philgeps.gov.ph/GEPSNONPILOT/Tender/SplashBidNoticeAbstractUI.aspx?menuIndex=3&amp;refID=7188970&amp;Result=3","7188970")</f>
        <v>0</v>
      </c>
      <c r="B5061" t="s">
        <v>1812</v>
      </c>
      <c r="C5061" t="s">
        <v>8618</v>
      </c>
      <c r="D5061" t="s">
        <v>19067</v>
      </c>
      <c r="E5061" t="s">
        <v>23588</v>
      </c>
      <c r="F5061" t="s">
        <v>32606</v>
      </c>
      <c r="G5061" t="s">
        <v>32614</v>
      </c>
      <c r="H5061" t="s">
        <v>14201</v>
      </c>
      <c r="I5061" t="s">
        <v>4114</v>
      </c>
      <c r="J5061" t="s">
        <v>36100</v>
      </c>
      <c r="K5061" t="s">
        <v>42630</v>
      </c>
      <c r="M5061" t="s">
        <v>44853</v>
      </c>
      <c r="N5061" t="s">
        <v>47304</v>
      </c>
      <c r="O5061" t="s">
        <v>47305</v>
      </c>
      <c r="P5061">
        <v>0</v>
      </c>
      <c r="Q5061">
        <v>5</v>
      </c>
      <c r="R5061" t="s">
        <v>47308</v>
      </c>
      <c r="S5061" t="s">
        <v>47429</v>
      </c>
      <c r="T5061" t="s">
        <v>48998</v>
      </c>
      <c r="U5061" t="s">
        <v>53822</v>
      </c>
      <c r="W5061" t="s">
        <v>44853</v>
      </c>
      <c r="X5061" t="s">
        <v>47313</v>
      </c>
    </row>
    <row r="5062" spans="1:24">
      <c r="A5062">
        <f>HYPERLINK("https://www.philgeps.gov.ph/GEPSNONPILOT/Tender/SplashBidNoticeAbstractUI.aspx?menuIndex=3&amp;refID=7188929&amp;Result=3","7188929")</f>
        <v>0</v>
      </c>
      <c r="B5062" t="s">
        <v>1813</v>
      </c>
      <c r="C5062" t="s">
        <v>8619</v>
      </c>
      <c r="D5062" t="s">
        <v>19039</v>
      </c>
      <c r="E5062" t="s">
        <v>23589</v>
      </c>
      <c r="F5062" t="s">
        <v>32606</v>
      </c>
      <c r="G5062" t="s">
        <v>32613</v>
      </c>
      <c r="H5062" t="s">
        <v>14201</v>
      </c>
      <c r="I5062" t="s">
        <v>32655</v>
      </c>
      <c r="J5062" t="s">
        <v>32770</v>
      </c>
      <c r="K5062" t="s">
        <v>42631</v>
      </c>
      <c r="M5062" t="s">
        <v>44854</v>
      </c>
      <c r="N5062" t="s">
        <v>47304</v>
      </c>
      <c r="O5062" t="s">
        <v>47305</v>
      </c>
      <c r="P5062">
        <v>0</v>
      </c>
      <c r="Q5062">
        <v>4</v>
      </c>
      <c r="R5062" t="s">
        <v>47308</v>
      </c>
      <c r="S5062" t="s">
        <v>47429</v>
      </c>
      <c r="T5062" t="s">
        <v>49306</v>
      </c>
      <c r="U5062" t="s">
        <v>53823</v>
      </c>
      <c r="V5062" t="s">
        <v>63112</v>
      </c>
      <c r="W5062" t="s">
        <v>44854</v>
      </c>
      <c r="X5062" t="s">
        <v>47313</v>
      </c>
    </row>
    <row r="5063" spans="1:24">
      <c r="A5063">
        <f>HYPERLINK("https://www.philgeps.gov.ph/GEPSNONPILOT/Tender/SplashBidNoticeAbstractUI.aspx?menuIndex=3&amp;refID=7188917&amp;Result=3","7188917")</f>
        <v>0</v>
      </c>
      <c r="B5063" t="s">
        <v>1814</v>
      </c>
      <c r="C5063" t="s">
        <v>8620</v>
      </c>
      <c r="D5063" t="s">
        <v>18995</v>
      </c>
      <c r="E5063" t="s">
        <v>23590</v>
      </c>
      <c r="F5063" t="s">
        <v>32606</v>
      </c>
      <c r="G5063" t="s">
        <v>32613</v>
      </c>
      <c r="H5063" t="s">
        <v>14201</v>
      </c>
      <c r="I5063" t="s">
        <v>32626</v>
      </c>
      <c r="J5063" t="s">
        <v>36101</v>
      </c>
      <c r="K5063" t="s">
        <v>42623</v>
      </c>
      <c r="M5063" t="s">
        <v>44855</v>
      </c>
      <c r="N5063" t="s">
        <v>47304</v>
      </c>
      <c r="O5063" t="s">
        <v>47305</v>
      </c>
      <c r="P5063">
        <v>0</v>
      </c>
      <c r="Q5063">
        <v>12</v>
      </c>
      <c r="R5063" t="s">
        <v>47308</v>
      </c>
      <c r="S5063" t="s">
        <v>47429</v>
      </c>
      <c r="T5063" t="s">
        <v>48973</v>
      </c>
      <c r="U5063" t="s">
        <v>53824</v>
      </c>
      <c r="W5063" t="s">
        <v>44855</v>
      </c>
      <c r="X5063" t="s">
        <v>47313</v>
      </c>
    </row>
    <row r="5064" spans="1:24">
      <c r="A5064">
        <f>HYPERLINK("https://www.philgeps.gov.ph/GEPSNONPILOT/Tender/SplashBidNoticeAbstractUI.aspx?menuIndex=3&amp;refID=7188835&amp;Result=3","7188835")</f>
        <v>0</v>
      </c>
      <c r="B5064" t="s">
        <v>1812</v>
      </c>
      <c r="C5064" t="s">
        <v>8621</v>
      </c>
      <c r="D5064" t="s">
        <v>19067</v>
      </c>
      <c r="E5064" t="s">
        <v>23591</v>
      </c>
      <c r="F5064" t="s">
        <v>32606</v>
      </c>
      <c r="G5064" t="s">
        <v>32614</v>
      </c>
      <c r="H5064" t="s">
        <v>14201</v>
      </c>
      <c r="I5064" t="s">
        <v>6931</v>
      </c>
      <c r="J5064" t="s">
        <v>36102</v>
      </c>
      <c r="K5064" t="s">
        <v>42622</v>
      </c>
      <c r="M5064" t="s">
        <v>44853</v>
      </c>
      <c r="N5064" t="s">
        <v>47304</v>
      </c>
      <c r="O5064" t="s">
        <v>47305</v>
      </c>
      <c r="P5064">
        <v>0</v>
      </c>
      <c r="Q5064">
        <v>0</v>
      </c>
      <c r="R5064" t="s">
        <v>47308</v>
      </c>
      <c r="S5064" t="s">
        <v>47429</v>
      </c>
      <c r="T5064" t="s">
        <v>48998</v>
      </c>
      <c r="U5064" t="s">
        <v>53825</v>
      </c>
      <c r="W5064" t="s">
        <v>44853</v>
      </c>
      <c r="X5064" t="s">
        <v>47313</v>
      </c>
    </row>
    <row r="5065" spans="1:24">
      <c r="A5065">
        <f>HYPERLINK("https://www.philgeps.gov.ph/GEPSNONPILOT/Tender/SplashBidNoticeAbstractUI.aspx?menuIndex=3&amp;refID=7197090&amp;Result=3","7197090")</f>
        <v>0</v>
      </c>
      <c r="B5065" t="s">
        <v>1121</v>
      </c>
      <c r="C5065" t="s">
        <v>8622</v>
      </c>
      <c r="D5065" t="s">
        <v>19037</v>
      </c>
      <c r="E5065" t="s">
        <v>23592</v>
      </c>
      <c r="F5065" t="s">
        <v>32606</v>
      </c>
      <c r="G5065" t="s">
        <v>32614</v>
      </c>
      <c r="H5065" t="s">
        <v>14201</v>
      </c>
      <c r="I5065" t="s">
        <v>32631</v>
      </c>
      <c r="J5065" t="s">
        <v>36103</v>
      </c>
      <c r="K5065" t="s">
        <v>42639</v>
      </c>
      <c r="M5065" t="s">
        <v>44393</v>
      </c>
      <c r="N5065" t="s">
        <v>47304</v>
      </c>
      <c r="O5065" t="s">
        <v>47305</v>
      </c>
      <c r="P5065">
        <v>0</v>
      </c>
      <c r="Q5065">
        <v>2</v>
      </c>
      <c r="R5065" t="s">
        <v>47306</v>
      </c>
      <c r="S5065" t="s">
        <v>47414</v>
      </c>
      <c r="T5065" t="s">
        <v>49062</v>
      </c>
      <c r="U5065" t="s">
        <v>52535</v>
      </c>
      <c r="W5065" t="s">
        <v>44393</v>
      </c>
      <c r="X5065" t="s">
        <v>47308</v>
      </c>
    </row>
    <row r="5066" spans="1:24">
      <c r="A5066">
        <f>HYPERLINK("https://www.philgeps.gov.ph/GEPSNONPILOT/Tender/SplashBidNoticeAbstractUI.aspx?menuIndex=3&amp;refID=7188809&amp;Result=3","7188809")</f>
        <v>0</v>
      </c>
      <c r="B5066" t="s">
        <v>1812</v>
      </c>
      <c r="C5066" t="s">
        <v>8623</v>
      </c>
      <c r="D5066" t="s">
        <v>19067</v>
      </c>
      <c r="E5066" t="s">
        <v>23593</v>
      </c>
      <c r="F5066" t="s">
        <v>32606</v>
      </c>
      <c r="G5066" t="s">
        <v>32614</v>
      </c>
      <c r="H5066" t="s">
        <v>14201</v>
      </c>
      <c r="I5066" t="s">
        <v>6931</v>
      </c>
      <c r="J5066" t="s">
        <v>36104</v>
      </c>
      <c r="K5066" t="s">
        <v>42622</v>
      </c>
      <c r="M5066" t="s">
        <v>44853</v>
      </c>
      <c r="N5066" t="s">
        <v>47304</v>
      </c>
      <c r="O5066" t="s">
        <v>47305</v>
      </c>
      <c r="P5066">
        <v>0</v>
      </c>
      <c r="Q5066">
        <v>0</v>
      </c>
      <c r="R5066" t="s">
        <v>47308</v>
      </c>
      <c r="S5066" t="s">
        <v>47429</v>
      </c>
      <c r="T5066" t="s">
        <v>48998</v>
      </c>
      <c r="U5066" t="s">
        <v>53825</v>
      </c>
      <c r="W5066" t="s">
        <v>44853</v>
      </c>
      <c r="X5066" t="s">
        <v>47313</v>
      </c>
    </row>
    <row r="5067" spans="1:24">
      <c r="A5067">
        <f>HYPERLINK("https://www.philgeps.gov.ph/GEPSNONPILOT/Tender/SplashBidNoticeAbstractUI.aspx?menuIndex=3&amp;refID=7188752&amp;Result=3","7188752")</f>
        <v>0</v>
      </c>
      <c r="B5067" t="s">
        <v>1815</v>
      </c>
      <c r="C5067" t="s">
        <v>8624</v>
      </c>
      <c r="D5067" t="s">
        <v>19070</v>
      </c>
      <c r="E5067" t="s">
        <v>23594</v>
      </c>
      <c r="F5067" t="s">
        <v>32606</v>
      </c>
      <c r="G5067" t="s">
        <v>32613</v>
      </c>
      <c r="H5067" t="s">
        <v>32623</v>
      </c>
      <c r="I5067" t="s">
        <v>17648</v>
      </c>
      <c r="J5067" t="s">
        <v>36105</v>
      </c>
      <c r="K5067" t="s">
        <v>42661</v>
      </c>
      <c r="M5067" t="s">
        <v>44856</v>
      </c>
      <c r="N5067" t="s">
        <v>47304</v>
      </c>
      <c r="O5067" t="s">
        <v>47305</v>
      </c>
      <c r="P5067">
        <v>0</v>
      </c>
      <c r="Q5067">
        <v>0</v>
      </c>
      <c r="R5067" t="s">
        <v>47308</v>
      </c>
      <c r="S5067" t="s">
        <v>47429</v>
      </c>
      <c r="T5067" t="s">
        <v>49002</v>
      </c>
      <c r="U5067" t="s">
        <v>53826</v>
      </c>
      <c r="V5067" t="s">
        <v>63113</v>
      </c>
      <c r="W5067" t="s">
        <v>44856</v>
      </c>
      <c r="X5067" t="s">
        <v>47313</v>
      </c>
    </row>
    <row r="5068" spans="1:24">
      <c r="A5068">
        <f>HYPERLINK("https://www.philgeps.gov.ph/GEPSNONPILOT/Tender/SplashBidNoticeAbstractUI.aspx?menuIndex=3&amp;refID=7188607&amp;Result=3","7188607")</f>
        <v>0</v>
      </c>
      <c r="B5068" t="s">
        <v>1815</v>
      </c>
      <c r="C5068" t="s">
        <v>8625</v>
      </c>
      <c r="D5068" t="s">
        <v>19070</v>
      </c>
      <c r="E5068" t="s">
        <v>23595</v>
      </c>
      <c r="F5068" t="s">
        <v>32606</v>
      </c>
      <c r="G5068" t="s">
        <v>32613</v>
      </c>
      <c r="H5068" t="s">
        <v>32623</v>
      </c>
      <c r="I5068" t="s">
        <v>17648</v>
      </c>
      <c r="J5068" t="s">
        <v>36106</v>
      </c>
      <c r="K5068" t="s">
        <v>42698</v>
      </c>
      <c r="M5068" t="s">
        <v>44856</v>
      </c>
      <c r="N5068" t="s">
        <v>47304</v>
      </c>
      <c r="O5068" t="s">
        <v>47305</v>
      </c>
      <c r="P5068">
        <v>0</v>
      </c>
      <c r="Q5068">
        <v>0</v>
      </c>
      <c r="R5068" t="s">
        <v>47308</v>
      </c>
      <c r="S5068" t="s">
        <v>47429</v>
      </c>
      <c r="T5068" t="s">
        <v>49002</v>
      </c>
      <c r="U5068" t="s">
        <v>53827</v>
      </c>
      <c r="V5068" t="s">
        <v>63113</v>
      </c>
      <c r="W5068" t="s">
        <v>44856</v>
      </c>
      <c r="X5068" t="s">
        <v>47313</v>
      </c>
    </row>
    <row r="5069" spans="1:24">
      <c r="A5069">
        <f>HYPERLINK("https://www.philgeps.gov.ph/GEPSNONPILOT/Tender/SplashBidNoticeAbstractUI.aspx?menuIndex=3&amp;refID=7196951&amp;Result=3","7196951")</f>
        <v>0</v>
      </c>
      <c r="B5069" t="s">
        <v>899</v>
      </c>
      <c r="C5069" t="s">
        <v>8626</v>
      </c>
      <c r="E5069" t="s">
        <v>23596</v>
      </c>
      <c r="F5069" t="s">
        <v>32606</v>
      </c>
      <c r="G5069" t="s">
        <v>32614</v>
      </c>
      <c r="H5069" t="s">
        <v>14201</v>
      </c>
      <c r="I5069" t="s">
        <v>32652</v>
      </c>
      <c r="J5069" t="s">
        <v>32913</v>
      </c>
      <c r="K5069" t="s">
        <v>42624</v>
      </c>
      <c r="M5069" t="s">
        <v>43836</v>
      </c>
      <c r="N5069" t="s">
        <v>47304</v>
      </c>
      <c r="O5069" t="s">
        <v>47305</v>
      </c>
      <c r="P5069">
        <v>0</v>
      </c>
      <c r="Q5069">
        <v>1</v>
      </c>
      <c r="R5069" t="s">
        <v>47306</v>
      </c>
      <c r="S5069" t="s">
        <v>47414</v>
      </c>
      <c r="T5069" t="s">
        <v>48971</v>
      </c>
      <c r="U5069" t="s">
        <v>53828</v>
      </c>
      <c r="W5069" t="s">
        <v>43836</v>
      </c>
      <c r="X5069" t="s">
        <v>47308</v>
      </c>
    </row>
    <row r="5070" spans="1:24">
      <c r="A5070">
        <f>HYPERLINK("https://www.philgeps.gov.ph/GEPSNONPILOT/Tender/SplashBidNoticeAbstractUI.aspx?menuIndex=3&amp;refID=7188569&amp;Result=3","7188569")</f>
        <v>0</v>
      </c>
      <c r="B5070" t="s">
        <v>402</v>
      </c>
      <c r="C5070" t="s">
        <v>8627</v>
      </c>
      <c r="D5070" t="s">
        <v>19017</v>
      </c>
      <c r="E5070" t="s">
        <v>20183</v>
      </c>
      <c r="F5070" t="s">
        <v>32606</v>
      </c>
      <c r="G5070" t="s">
        <v>32614</v>
      </c>
      <c r="H5070" t="s">
        <v>14201</v>
      </c>
      <c r="I5070" t="s">
        <v>6007</v>
      </c>
      <c r="J5070" t="s">
        <v>33198</v>
      </c>
      <c r="K5070" t="s">
        <v>42623</v>
      </c>
      <c r="M5070" t="s">
        <v>43305</v>
      </c>
      <c r="N5070" t="s">
        <v>47304</v>
      </c>
      <c r="O5070" t="s">
        <v>47305</v>
      </c>
      <c r="P5070">
        <v>0</v>
      </c>
      <c r="Q5070">
        <v>0</v>
      </c>
      <c r="R5070" t="s">
        <v>47308</v>
      </c>
      <c r="S5070" t="s">
        <v>47429</v>
      </c>
      <c r="T5070" t="s">
        <v>48998</v>
      </c>
      <c r="U5070" t="s">
        <v>53829</v>
      </c>
      <c r="W5070" t="s">
        <v>43305</v>
      </c>
      <c r="X5070" t="s">
        <v>47313</v>
      </c>
    </row>
    <row r="5071" spans="1:24">
      <c r="A5071">
        <f>HYPERLINK("https://www.philgeps.gov.ph/GEPSNONPILOT/Tender/SplashBidNoticeAbstractUI.aspx?menuIndex=3&amp;refID=7188916&amp;Result=3","7188916")</f>
        <v>0</v>
      </c>
      <c r="B5071" t="s">
        <v>1812</v>
      </c>
      <c r="C5071" t="s">
        <v>8628</v>
      </c>
      <c r="D5071" t="s">
        <v>19067</v>
      </c>
      <c r="E5071" t="s">
        <v>23597</v>
      </c>
      <c r="F5071" t="s">
        <v>32606</v>
      </c>
      <c r="G5071" t="s">
        <v>32614</v>
      </c>
      <c r="H5071" t="s">
        <v>14201</v>
      </c>
      <c r="I5071" t="s">
        <v>4120</v>
      </c>
      <c r="J5071" t="s">
        <v>36107</v>
      </c>
      <c r="K5071" t="s">
        <v>42630</v>
      </c>
      <c r="M5071" t="s">
        <v>44853</v>
      </c>
      <c r="N5071" t="s">
        <v>47304</v>
      </c>
      <c r="O5071" t="s">
        <v>47305</v>
      </c>
      <c r="P5071">
        <v>0</v>
      </c>
      <c r="Q5071">
        <v>1</v>
      </c>
      <c r="R5071" t="s">
        <v>47308</v>
      </c>
      <c r="S5071" t="s">
        <v>47429</v>
      </c>
      <c r="T5071" t="s">
        <v>48998</v>
      </c>
      <c r="U5071" t="s">
        <v>53830</v>
      </c>
      <c r="W5071" t="s">
        <v>44853</v>
      </c>
      <c r="X5071" t="s">
        <v>47313</v>
      </c>
    </row>
    <row r="5072" spans="1:24">
      <c r="A5072">
        <f>HYPERLINK("https://www.philgeps.gov.ph/GEPSNONPILOT/Tender/SplashBidNoticeAbstractUI.aspx?menuIndex=3&amp;refID=7188502&amp;Result=3","7188502")</f>
        <v>0</v>
      </c>
      <c r="B5072" t="s">
        <v>402</v>
      </c>
      <c r="C5072" t="s">
        <v>8629</v>
      </c>
      <c r="D5072" t="s">
        <v>19017</v>
      </c>
      <c r="E5072" t="s">
        <v>23598</v>
      </c>
      <c r="F5072" t="s">
        <v>32606</v>
      </c>
      <c r="G5072" t="s">
        <v>32614</v>
      </c>
      <c r="H5072" t="s">
        <v>14201</v>
      </c>
      <c r="I5072" t="s">
        <v>6007</v>
      </c>
      <c r="J5072" t="s">
        <v>33075</v>
      </c>
      <c r="K5072" t="s">
        <v>42623</v>
      </c>
      <c r="M5072" t="s">
        <v>43305</v>
      </c>
      <c r="N5072" t="s">
        <v>47304</v>
      </c>
      <c r="O5072" t="s">
        <v>47305</v>
      </c>
      <c r="P5072">
        <v>0</v>
      </c>
      <c r="Q5072">
        <v>1</v>
      </c>
      <c r="R5072" t="s">
        <v>47308</v>
      </c>
      <c r="S5072" t="s">
        <v>47429</v>
      </c>
      <c r="T5072" t="s">
        <v>48998</v>
      </c>
      <c r="U5072" t="s">
        <v>53831</v>
      </c>
      <c r="W5072" t="s">
        <v>43305</v>
      </c>
      <c r="X5072" t="s">
        <v>47313</v>
      </c>
    </row>
    <row r="5073" spans="1:24">
      <c r="A5073">
        <f>HYPERLINK("https://www.philgeps.gov.ph/GEPSNONPILOT/Tender/SplashBidNoticeAbstractUI.aspx?menuIndex=3&amp;refID=7188866&amp;Result=3","7188866")</f>
        <v>0</v>
      </c>
      <c r="B5073" t="s">
        <v>1812</v>
      </c>
      <c r="C5073" t="s">
        <v>8630</v>
      </c>
      <c r="D5073" t="s">
        <v>19067</v>
      </c>
      <c r="E5073" t="s">
        <v>23599</v>
      </c>
      <c r="F5073" t="s">
        <v>32606</v>
      </c>
      <c r="G5073" t="s">
        <v>32614</v>
      </c>
      <c r="H5073" t="s">
        <v>14201</v>
      </c>
      <c r="I5073" t="s">
        <v>6931</v>
      </c>
      <c r="J5073" t="s">
        <v>36108</v>
      </c>
      <c r="K5073" t="s">
        <v>42622</v>
      </c>
      <c r="M5073" t="s">
        <v>44853</v>
      </c>
      <c r="N5073" t="s">
        <v>47304</v>
      </c>
      <c r="O5073" t="s">
        <v>47305</v>
      </c>
      <c r="P5073">
        <v>0</v>
      </c>
      <c r="Q5073">
        <v>0</v>
      </c>
      <c r="R5073" t="s">
        <v>47308</v>
      </c>
      <c r="S5073" t="s">
        <v>47429</v>
      </c>
      <c r="T5073" t="s">
        <v>48998</v>
      </c>
      <c r="U5073" t="s">
        <v>53832</v>
      </c>
      <c r="W5073" t="s">
        <v>44853</v>
      </c>
      <c r="X5073" t="s">
        <v>47313</v>
      </c>
    </row>
    <row r="5074" spans="1:24">
      <c r="A5074">
        <f>HYPERLINK("https://www.philgeps.gov.ph/GEPSNONPILOT/Tender/SplashBidNoticeAbstractUI.aspx?menuIndex=3&amp;refID=7188429&amp;Result=3","7188429")</f>
        <v>0</v>
      </c>
      <c r="B5074" t="s">
        <v>1813</v>
      </c>
      <c r="C5074" t="s">
        <v>8631</v>
      </c>
      <c r="D5074" t="s">
        <v>19039</v>
      </c>
      <c r="E5074" t="s">
        <v>23600</v>
      </c>
      <c r="F5074" t="s">
        <v>32606</v>
      </c>
      <c r="G5074" t="s">
        <v>32613</v>
      </c>
      <c r="H5074" t="s">
        <v>14201</v>
      </c>
      <c r="I5074" t="s">
        <v>7577</v>
      </c>
      <c r="J5074" t="s">
        <v>36109</v>
      </c>
      <c r="K5074" t="s">
        <v>42623</v>
      </c>
      <c r="M5074" t="s">
        <v>44854</v>
      </c>
      <c r="N5074" t="s">
        <v>47304</v>
      </c>
      <c r="O5074" t="s">
        <v>47305</v>
      </c>
      <c r="P5074">
        <v>0</v>
      </c>
      <c r="Q5074">
        <v>3</v>
      </c>
      <c r="R5074" t="s">
        <v>47308</v>
      </c>
      <c r="S5074" t="s">
        <v>47429</v>
      </c>
      <c r="T5074" t="s">
        <v>49306</v>
      </c>
      <c r="U5074" t="s">
        <v>53833</v>
      </c>
      <c r="V5074" t="s">
        <v>63114</v>
      </c>
      <c r="W5074" t="s">
        <v>44854</v>
      </c>
      <c r="X5074" t="s">
        <v>47313</v>
      </c>
    </row>
    <row r="5075" spans="1:24">
      <c r="A5075">
        <f>HYPERLINK("https://www.philgeps.gov.ph/GEPSNONPILOT/Tender/SplashBidNoticeAbstractUI.aspx?menuIndex=3&amp;refID=7188777&amp;Result=3","7188777")</f>
        <v>0</v>
      </c>
      <c r="B5075" t="s">
        <v>1816</v>
      </c>
      <c r="C5075" t="s">
        <v>8632</v>
      </c>
      <c r="D5075" t="s">
        <v>19015</v>
      </c>
      <c r="E5075" t="s">
        <v>23601</v>
      </c>
      <c r="F5075" t="s">
        <v>32606</v>
      </c>
      <c r="G5075" t="s">
        <v>32613</v>
      </c>
      <c r="H5075" t="s">
        <v>14201</v>
      </c>
      <c r="I5075" t="s">
        <v>7064</v>
      </c>
      <c r="J5075" t="s">
        <v>32765</v>
      </c>
      <c r="K5075" t="s">
        <v>42632</v>
      </c>
      <c r="M5075" t="s">
        <v>44857</v>
      </c>
      <c r="N5075" t="s">
        <v>47304</v>
      </c>
      <c r="O5075" t="s">
        <v>47305</v>
      </c>
      <c r="P5075">
        <v>0</v>
      </c>
      <c r="Q5075">
        <v>0</v>
      </c>
      <c r="R5075" t="s">
        <v>47308</v>
      </c>
      <c r="S5075" t="s">
        <v>47429</v>
      </c>
      <c r="T5075" t="s">
        <v>49259</v>
      </c>
      <c r="U5075" t="s">
        <v>53834</v>
      </c>
      <c r="V5075" t="s">
        <v>63115</v>
      </c>
      <c r="W5075" t="s">
        <v>44857</v>
      </c>
      <c r="X5075" t="s">
        <v>47313</v>
      </c>
    </row>
    <row r="5076" spans="1:24">
      <c r="A5076">
        <f>HYPERLINK("https://www.philgeps.gov.ph/GEPSNONPILOT/Tender/SplashBidNoticeAbstractUI.aspx?menuIndex=3&amp;refID=7187870&amp;Result=3","7187870")</f>
        <v>0</v>
      </c>
      <c r="B5076" t="s">
        <v>1817</v>
      </c>
      <c r="C5076" t="s">
        <v>8633</v>
      </c>
      <c r="D5076" t="s">
        <v>19049</v>
      </c>
      <c r="E5076" t="s">
        <v>19404</v>
      </c>
      <c r="F5076" t="s">
        <v>32606</v>
      </c>
      <c r="G5076" t="s">
        <v>32613</v>
      </c>
      <c r="H5076" t="s">
        <v>14201</v>
      </c>
      <c r="I5076" t="s">
        <v>32626</v>
      </c>
      <c r="J5076" t="s">
        <v>36110</v>
      </c>
      <c r="K5076" t="s">
        <v>42636</v>
      </c>
      <c r="M5076" t="s">
        <v>44858</v>
      </c>
      <c r="N5076" t="s">
        <v>47304</v>
      </c>
      <c r="O5076" t="s">
        <v>47305</v>
      </c>
      <c r="P5076">
        <v>0</v>
      </c>
      <c r="Q5076">
        <v>1</v>
      </c>
      <c r="R5076" t="s">
        <v>47308</v>
      </c>
      <c r="S5076" t="s">
        <v>47429</v>
      </c>
      <c r="T5076" t="s">
        <v>49307</v>
      </c>
      <c r="U5076" t="s">
        <v>53835</v>
      </c>
      <c r="V5076" t="s">
        <v>63116</v>
      </c>
      <c r="W5076" t="s">
        <v>44858</v>
      </c>
      <c r="X5076" t="s">
        <v>47313</v>
      </c>
    </row>
    <row r="5077" spans="1:24">
      <c r="A5077">
        <f>HYPERLINK("https://www.philgeps.gov.ph/GEPSNONPILOT/Tender/SplashBidNoticeAbstractUI.aspx?menuIndex=3&amp;refID=7187764&amp;Result=3","7187764")</f>
        <v>0</v>
      </c>
      <c r="B5077" t="s">
        <v>1524</v>
      </c>
      <c r="C5077" t="s">
        <v>8634</v>
      </c>
      <c r="D5077" t="s">
        <v>19002</v>
      </c>
      <c r="E5077" t="s">
        <v>23602</v>
      </c>
      <c r="F5077" t="s">
        <v>32606</v>
      </c>
      <c r="G5077" t="s">
        <v>32614</v>
      </c>
      <c r="H5077" t="s">
        <v>14201</v>
      </c>
      <c r="I5077" t="s">
        <v>6993</v>
      </c>
      <c r="J5077" t="s">
        <v>36111</v>
      </c>
      <c r="K5077" t="s">
        <v>42623</v>
      </c>
      <c r="M5077" t="s">
        <v>44525</v>
      </c>
      <c r="N5077" t="s">
        <v>47304</v>
      </c>
      <c r="O5077" t="s">
        <v>47305</v>
      </c>
      <c r="P5077">
        <v>0</v>
      </c>
      <c r="Q5077">
        <v>0</v>
      </c>
      <c r="R5077" t="s">
        <v>47308</v>
      </c>
      <c r="S5077" t="s">
        <v>47429</v>
      </c>
      <c r="T5077" t="s">
        <v>49308</v>
      </c>
      <c r="U5077" t="s">
        <v>53836</v>
      </c>
      <c r="V5077" t="s">
        <v>63117</v>
      </c>
      <c r="W5077" t="s">
        <v>44525</v>
      </c>
      <c r="X5077" t="s">
        <v>47313</v>
      </c>
    </row>
    <row r="5078" spans="1:24">
      <c r="A5078">
        <f>HYPERLINK("https://www.philgeps.gov.ph/GEPSNONPILOT/Tender/SplashBidNoticeAbstractUI.aspx?menuIndex=3&amp;refID=7188513&amp;Result=3","7188513")</f>
        <v>0</v>
      </c>
      <c r="B5078" t="s">
        <v>1813</v>
      </c>
      <c r="C5078" t="s">
        <v>8635</v>
      </c>
      <c r="D5078" t="s">
        <v>19039</v>
      </c>
      <c r="E5078" t="s">
        <v>23603</v>
      </c>
      <c r="F5078" t="s">
        <v>32606</v>
      </c>
      <c r="G5078" t="s">
        <v>32613</v>
      </c>
      <c r="H5078" t="s">
        <v>14201</v>
      </c>
      <c r="I5078" t="s">
        <v>7677</v>
      </c>
      <c r="J5078" t="s">
        <v>36112</v>
      </c>
      <c r="K5078" t="s">
        <v>42623</v>
      </c>
      <c r="M5078" t="s">
        <v>44854</v>
      </c>
      <c r="N5078" t="s">
        <v>47304</v>
      </c>
      <c r="O5078" t="s">
        <v>47305</v>
      </c>
      <c r="P5078">
        <v>0</v>
      </c>
      <c r="Q5078">
        <v>2</v>
      </c>
      <c r="R5078" t="s">
        <v>47308</v>
      </c>
      <c r="S5078" t="s">
        <v>47429</v>
      </c>
      <c r="T5078" t="s">
        <v>49306</v>
      </c>
      <c r="U5078" t="s">
        <v>53837</v>
      </c>
      <c r="V5078" t="s">
        <v>63114</v>
      </c>
      <c r="W5078" t="s">
        <v>44854</v>
      </c>
      <c r="X5078" t="s">
        <v>47313</v>
      </c>
    </row>
    <row r="5079" spans="1:24">
      <c r="A5079">
        <f>HYPERLINK("https://www.philgeps.gov.ph/GEPSNONPILOT/Tender/SplashBidNoticeAbstractUI.aspx?menuIndex=3&amp;refID=7190119&amp;Result=3","7190119")</f>
        <v>0</v>
      </c>
      <c r="B5079" t="s">
        <v>738</v>
      </c>
      <c r="C5079" t="s">
        <v>8636</v>
      </c>
      <c r="D5079" t="s">
        <v>19004</v>
      </c>
      <c r="E5079" t="s">
        <v>23604</v>
      </c>
      <c r="F5079" t="s">
        <v>32606</v>
      </c>
      <c r="G5079" t="s">
        <v>32614</v>
      </c>
      <c r="H5079" t="s">
        <v>32623</v>
      </c>
      <c r="I5079" t="s">
        <v>7233</v>
      </c>
      <c r="J5079" t="s">
        <v>36113</v>
      </c>
      <c r="K5079" t="s">
        <v>42631</v>
      </c>
      <c r="M5079" t="s">
        <v>43661</v>
      </c>
      <c r="N5079" t="s">
        <v>47304</v>
      </c>
      <c r="O5079" t="s">
        <v>47305</v>
      </c>
      <c r="P5079">
        <v>0</v>
      </c>
      <c r="Q5079">
        <v>0</v>
      </c>
      <c r="R5079" t="s">
        <v>47308</v>
      </c>
      <c r="S5079" t="s">
        <v>47429</v>
      </c>
      <c r="T5079" t="s">
        <v>49053</v>
      </c>
      <c r="U5079" t="s">
        <v>52125</v>
      </c>
      <c r="W5079" t="s">
        <v>43661</v>
      </c>
      <c r="X5079" t="s">
        <v>47312</v>
      </c>
    </row>
    <row r="5080" spans="1:24">
      <c r="A5080">
        <f>HYPERLINK("https://www.philgeps.gov.ph/GEPSNONPILOT/Tender/SplashBidNoticeAbstractUI.aspx?menuIndex=3&amp;refID=7187976&amp;Result=3","7187976")</f>
        <v>0</v>
      </c>
      <c r="B5080" t="s">
        <v>1818</v>
      </c>
      <c r="C5080" t="s">
        <v>8637</v>
      </c>
      <c r="D5080" t="s">
        <v>19041</v>
      </c>
      <c r="E5080" t="s">
        <v>21778</v>
      </c>
      <c r="F5080" t="s">
        <v>32606</v>
      </c>
      <c r="G5080" t="s">
        <v>32615</v>
      </c>
      <c r="H5080" t="s">
        <v>14201</v>
      </c>
      <c r="I5080" t="s">
        <v>4120</v>
      </c>
      <c r="J5080" t="s">
        <v>33738</v>
      </c>
      <c r="K5080" t="s">
        <v>42703</v>
      </c>
      <c r="M5080" t="s">
        <v>44859</v>
      </c>
      <c r="N5080" t="s">
        <v>47304</v>
      </c>
      <c r="O5080" t="s">
        <v>47305</v>
      </c>
      <c r="P5080">
        <v>0</v>
      </c>
      <c r="Q5080">
        <v>9</v>
      </c>
      <c r="R5080" t="s">
        <v>47308</v>
      </c>
      <c r="S5080" t="s">
        <v>47429</v>
      </c>
      <c r="T5080" t="s">
        <v>49075</v>
      </c>
      <c r="U5080" t="s">
        <v>53838</v>
      </c>
      <c r="W5080" t="s">
        <v>44859</v>
      </c>
      <c r="X5080" t="s">
        <v>47313</v>
      </c>
    </row>
    <row r="5081" spans="1:24">
      <c r="A5081">
        <f>HYPERLINK("https://www.philgeps.gov.ph/GEPSNONPILOT/Tender/SplashBidNoticeAbstractUI.aspx?menuIndex=3&amp;refID=7190112&amp;Result=3","7190112")</f>
        <v>0</v>
      </c>
      <c r="B5081" t="s">
        <v>1819</v>
      </c>
      <c r="C5081" t="s">
        <v>8638</v>
      </c>
      <c r="D5081" t="s">
        <v>19019</v>
      </c>
      <c r="E5081" t="s">
        <v>23605</v>
      </c>
      <c r="F5081" t="s">
        <v>32606</v>
      </c>
      <c r="G5081" t="s">
        <v>32619</v>
      </c>
      <c r="H5081" t="s">
        <v>14201</v>
      </c>
      <c r="I5081" t="s">
        <v>4120</v>
      </c>
      <c r="J5081" t="s">
        <v>36114</v>
      </c>
      <c r="K5081" t="s">
        <v>42639</v>
      </c>
      <c r="M5081" t="s">
        <v>44860</v>
      </c>
      <c r="N5081" t="s">
        <v>47304</v>
      </c>
      <c r="O5081" t="s">
        <v>47305</v>
      </c>
      <c r="P5081">
        <v>0</v>
      </c>
      <c r="Q5081">
        <v>3</v>
      </c>
      <c r="R5081" t="s">
        <v>47308</v>
      </c>
      <c r="S5081" t="s">
        <v>47429</v>
      </c>
      <c r="T5081" t="s">
        <v>48998</v>
      </c>
      <c r="U5081" t="s">
        <v>53839</v>
      </c>
      <c r="W5081" t="s">
        <v>44860</v>
      </c>
      <c r="X5081" t="s">
        <v>47312</v>
      </c>
    </row>
    <row r="5082" spans="1:24">
      <c r="A5082">
        <f>HYPERLINK("https://www.philgeps.gov.ph/GEPSNONPILOT/Tender/SplashBidNoticeAbstractUI.aspx?menuIndex=3&amp;refID=7188610&amp;Result=3","7188610")</f>
        <v>0</v>
      </c>
      <c r="B5082" t="s">
        <v>402</v>
      </c>
      <c r="C5082" t="s">
        <v>8639</v>
      </c>
      <c r="D5082" t="s">
        <v>19017</v>
      </c>
      <c r="E5082" t="s">
        <v>23606</v>
      </c>
      <c r="F5082" t="s">
        <v>32606</v>
      </c>
      <c r="G5082" t="s">
        <v>32614</v>
      </c>
      <c r="H5082" t="s">
        <v>14201</v>
      </c>
      <c r="I5082" t="s">
        <v>7677</v>
      </c>
      <c r="J5082" t="s">
        <v>36115</v>
      </c>
      <c r="K5082" t="s">
        <v>42623</v>
      </c>
      <c r="M5082" t="s">
        <v>43305</v>
      </c>
      <c r="N5082" t="s">
        <v>47304</v>
      </c>
      <c r="O5082" t="s">
        <v>47305</v>
      </c>
      <c r="P5082">
        <v>0</v>
      </c>
      <c r="Q5082">
        <v>1</v>
      </c>
      <c r="R5082" t="s">
        <v>47308</v>
      </c>
      <c r="S5082" t="s">
        <v>47429</v>
      </c>
      <c r="T5082" t="s">
        <v>48998</v>
      </c>
      <c r="U5082" t="s">
        <v>53840</v>
      </c>
      <c r="W5082" t="s">
        <v>43305</v>
      </c>
      <c r="X5082" t="s">
        <v>47313</v>
      </c>
    </row>
    <row r="5083" spans="1:24">
      <c r="A5083">
        <f>HYPERLINK("https://www.philgeps.gov.ph/GEPSNONPILOT/Tender/SplashBidNoticeAbstractUI.aspx?menuIndex=3&amp;refID=7190091&amp;Result=3","7190091")</f>
        <v>0</v>
      </c>
      <c r="B5083" t="s">
        <v>280</v>
      </c>
      <c r="C5083" t="s">
        <v>8640</v>
      </c>
      <c r="D5083" t="s">
        <v>19028</v>
      </c>
      <c r="E5083" t="s">
        <v>8640</v>
      </c>
      <c r="F5083" t="s">
        <v>32606</v>
      </c>
      <c r="G5083" t="s">
        <v>32614</v>
      </c>
      <c r="H5083" t="s">
        <v>14201</v>
      </c>
      <c r="I5083" t="s">
        <v>6298</v>
      </c>
      <c r="J5083" t="s">
        <v>33362</v>
      </c>
      <c r="K5083" t="s">
        <v>42623</v>
      </c>
      <c r="M5083" t="s">
        <v>43712</v>
      </c>
      <c r="N5083" t="s">
        <v>47304</v>
      </c>
      <c r="O5083" t="s">
        <v>47305</v>
      </c>
      <c r="P5083">
        <v>0</v>
      </c>
      <c r="Q5083">
        <v>0</v>
      </c>
      <c r="R5083" t="s">
        <v>47308</v>
      </c>
      <c r="S5083" t="s">
        <v>47429</v>
      </c>
      <c r="T5083" t="s">
        <v>49257</v>
      </c>
      <c r="U5083" t="s">
        <v>53841</v>
      </c>
      <c r="W5083" t="s">
        <v>43712</v>
      </c>
      <c r="X5083" t="s">
        <v>47312</v>
      </c>
    </row>
    <row r="5084" spans="1:24">
      <c r="A5084">
        <f>HYPERLINK("https://www.philgeps.gov.ph/GEPSNONPILOT/Tender/SplashBidNoticeAbstractUI.aspx?menuIndex=3&amp;refID=7190090&amp;Result=3","7190090")</f>
        <v>0</v>
      </c>
      <c r="B5084" t="s">
        <v>1819</v>
      </c>
      <c r="C5084" t="s">
        <v>8641</v>
      </c>
      <c r="D5084" t="s">
        <v>19019</v>
      </c>
      <c r="E5084" t="s">
        <v>23607</v>
      </c>
      <c r="F5084" t="s">
        <v>32606</v>
      </c>
      <c r="G5084" t="s">
        <v>32619</v>
      </c>
      <c r="H5084" t="s">
        <v>14201</v>
      </c>
      <c r="I5084" t="s">
        <v>7529</v>
      </c>
      <c r="J5084" t="s">
        <v>36116</v>
      </c>
      <c r="K5084" t="s">
        <v>42636</v>
      </c>
      <c r="M5084" t="s">
        <v>44860</v>
      </c>
      <c r="N5084" t="s">
        <v>47304</v>
      </c>
      <c r="O5084" t="s">
        <v>47305</v>
      </c>
      <c r="P5084">
        <v>0</v>
      </c>
      <c r="Q5084">
        <v>2</v>
      </c>
      <c r="R5084" t="s">
        <v>47308</v>
      </c>
      <c r="S5084" t="s">
        <v>47429</v>
      </c>
      <c r="T5084" t="s">
        <v>48998</v>
      </c>
      <c r="U5084" t="s">
        <v>53839</v>
      </c>
      <c r="W5084" t="s">
        <v>44860</v>
      </c>
      <c r="X5084" t="s">
        <v>47312</v>
      </c>
    </row>
    <row r="5085" spans="1:24">
      <c r="A5085">
        <f>HYPERLINK("https://www.philgeps.gov.ph/GEPSNONPILOT/Tender/SplashBidNoticeAbstractUI.aspx?menuIndex=3&amp;refID=7190078&amp;Result=3","7190078")</f>
        <v>0</v>
      </c>
      <c r="B5085" t="s">
        <v>280</v>
      </c>
      <c r="C5085" t="s">
        <v>8642</v>
      </c>
      <c r="D5085" t="s">
        <v>19028</v>
      </c>
      <c r="E5085" t="s">
        <v>8642</v>
      </c>
      <c r="F5085" t="s">
        <v>32606</v>
      </c>
      <c r="G5085" t="s">
        <v>32614</v>
      </c>
      <c r="H5085" t="s">
        <v>14201</v>
      </c>
      <c r="I5085" t="s">
        <v>6298</v>
      </c>
      <c r="J5085" t="s">
        <v>36117</v>
      </c>
      <c r="K5085" t="s">
        <v>42623</v>
      </c>
      <c r="M5085" t="s">
        <v>43712</v>
      </c>
      <c r="N5085" t="s">
        <v>47304</v>
      </c>
      <c r="O5085" t="s">
        <v>47305</v>
      </c>
      <c r="P5085">
        <v>0</v>
      </c>
      <c r="Q5085">
        <v>0</v>
      </c>
      <c r="R5085" t="s">
        <v>47308</v>
      </c>
      <c r="S5085" t="s">
        <v>47429</v>
      </c>
      <c r="T5085" t="s">
        <v>49072</v>
      </c>
      <c r="U5085" t="s">
        <v>53842</v>
      </c>
      <c r="W5085" t="s">
        <v>43712</v>
      </c>
      <c r="X5085" t="s">
        <v>47312</v>
      </c>
    </row>
    <row r="5086" spans="1:24">
      <c r="A5086">
        <f>HYPERLINK("https://www.philgeps.gov.ph/GEPSNONPILOT/Tender/SplashBidNoticeAbstractUI.aspx?menuIndex=3&amp;refID=7190017&amp;Result=3","7190017")</f>
        <v>0</v>
      </c>
      <c r="B5086" t="s">
        <v>1820</v>
      </c>
      <c r="C5086" t="s">
        <v>8643</v>
      </c>
      <c r="D5086" t="s">
        <v>18993</v>
      </c>
      <c r="E5086" t="s">
        <v>23608</v>
      </c>
      <c r="F5086" t="s">
        <v>32606</v>
      </c>
      <c r="G5086" t="s">
        <v>32614</v>
      </c>
      <c r="H5086" t="s">
        <v>14201</v>
      </c>
      <c r="I5086" t="s">
        <v>32633</v>
      </c>
      <c r="J5086" t="s">
        <v>36118</v>
      </c>
      <c r="K5086" t="s">
        <v>42624</v>
      </c>
      <c r="M5086" t="s">
        <v>44861</v>
      </c>
      <c r="N5086" t="s">
        <v>47304</v>
      </c>
      <c r="O5086" t="s">
        <v>47305</v>
      </c>
      <c r="P5086">
        <v>0</v>
      </c>
      <c r="Q5086">
        <v>8</v>
      </c>
      <c r="R5086" t="s">
        <v>47308</v>
      </c>
      <c r="S5086" t="s">
        <v>47429</v>
      </c>
      <c r="T5086" t="s">
        <v>49072</v>
      </c>
      <c r="U5086" t="s">
        <v>53117</v>
      </c>
      <c r="V5086" t="s">
        <v>62763</v>
      </c>
      <c r="W5086" t="s">
        <v>64482</v>
      </c>
      <c r="X5086" t="s">
        <v>47313</v>
      </c>
    </row>
    <row r="5087" spans="1:24">
      <c r="A5087">
        <f>HYPERLINK("https://www.philgeps.gov.ph/GEPSNONPILOT/Tender/SplashBidNoticeAbstractUI.aspx?menuIndex=3&amp;refID=7190146&amp;Result=3","7190146")</f>
        <v>0</v>
      </c>
      <c r="B5087" t="s">
        <v>280</v>
      </c>
      <c r="C5087" t="s">
        <v>8644</v>
      </c>
      <c r="D5087" t="s">
        <v>19028</v>
      </c>
      <c r="E5087" t="s">
        <v>8644</v>
      </c>
      <c r="F5087" t="s">
        <v>32606</v>
      </c>
      <c r="G5087" t="s">
        <v>32614</v>
      </c>
      <c r="H5087" t="s">
        <v>14201</v>
      </c>
      <c r="I5087" t="s">
        <v>6298</v>
      </c>
      <c r="J5087" t="s">
        <v>33102</v>
      </c>
      <c r="K5087" t="s">
        <v>42623</v>
      </c>
      <c r="M5087" t="s">
        <v>43712</v>
      </c>
      <c r="N5087" t="s">
        <v>47304</v>
      </c>
      <c r="O5087" t="s">
        <v>47305</v>
      </c>
      <c r="P5087">
        <v>0</v>
      </c>
      <c r="Q5087">
        <v>0</v>
      </c>
      <c r="R5087" t="s">
        <v>47308</v>
      </c>
      <c r="S5087" t="s">
        <v>47429</v>
      </c>
      <c r="T5087" t="s">
        <v>49257</v>
      </c>
      <c r="U5087" t="s">
        <v>53843</v>
      </c>
      <c r="W5087" t="s">
        <v>43712</v>
      </c>
      <c r="X5087" t="s">
        <v>47312</v>
      </c>
    </row>
    <row r="5088" spans="1:24">
      <c r="A5088">
        <f>HYPERLINK("https://www.philgeps.gov.ph/GEPSNONPILOT/Tender/SplashBidNoticeAbstractUI.aspx?menuIndex=3&amp;refID=7189729&amp;Result=3","7189729")</f>
        <v>0</v>
      </c>
      <c r="B5088" t="s">
        <v>91</v>
      </c>
      <c r="C5088" t="s">
        <v>8645</v>
      </c>
      <c r="D5088" t="s">
        <v>19023</v>
      </c>
      <c r="E5088" t="s">
        <v>23609</v>
      </c>
      <c r="F5088" t="s">
        <v>32606</v>
      </c>
      <c r="G5088" t="s">
        <v>32613</v>
      </c>
      <c r="H5088" t="s">
        <v>14201</v>
      </c>
      <c r="I5088" t="s">
        <v>32644</v>
      </c>
      <c r="J5088" t="s">
        <v>32795</v>
      </c>
      <c r="K5088" t="s">
        <v>42636</v>
      </c>
      <c r="M5088" t="s">
        <v>42989</v>
      </c>
      <c r="N5088" t="s">
        <v>47304</v>
      </c>
      <c r="O5088" t="s">
        <v>47305</v>
      </c>
      <c r="P5088">
        <v>0</v>
      </c>
      <c r="Q5088">
        <v>5</v>
      </c>
      <c r="R5088" t="s">
        <v>47308</v>
      </c>
      <c r="S5088" t="s">
        <v>47429</v>
      </c>
      <c r="T5088" t="s">
        <v>49009</v>
      </c>
      <c r="U5088" t="s">
        <v>53844</v>
      </c>
      <c r="W5088" t="s">
        <v>42989</v>
      </c>
      <c r="X5088" t="s">
        <v>47313</v>
      </c>
    </row>
    <row r="5089" spans="1:24">
      <c r="A5089">
        <f>HYPERLINK("https://www.philgeps.gov.ph/GEPSNONPILOT/Tender/SplashBidNoticeAbstractUI.aspx?menuIndex=3&amp;refID=7187912&amp;Result=3","7187912")</f>
        <v>0</v>
      </c>
      <c r="B5089" t="s">
        <v>1524</v>
      </c>
      <c r="C5089" t="s">
        <v>8646</v>
      </c>
      <c r="D5089" t="s">
        <v>19002</v>
      </c>
      <c r="E5089" t="s">
        <v>23610</v>
      </c>
      <c r="F5089" t="s">
        <v>32606</v>
      </c>
      <c r="G5089" t="s">
        <v>32614</v>
      </c>
      <c r="H5089" t="s">
        <v>14201</v>
      </c>
      <c r="I5089" t="s">
        <v>32629</v>
      </c>
      <c r="J5089" t="s">
        <v>36119</v>
      </c>
      <c r="K5089" t="s">
        <v>42623</v>
      </c>
      <c r="M5089" t="s">
        <v>44525</v>
      </c>
      <c r="N5089" t="s">
        <v>47304</v>
      </c>
      <c r="O5089" t="s">
        <v>47305</v>
      </c>
      <c r="P5089">
        <v>0</v>
      </c>
      <c r="Q5089">
        <v>0</v>
      </c>
      <c r="R5089" t="s">
        <v>47308</v>
      </c>
      <c r="S5089" t="s">
        <v>47429</v>
      </c>
      <c r="T5089" t="s">
        <v>49309</v>
      </c>
      <c r="U5089" t="s">
        <v>53845</v>
      </c>
      <c r="V5089" t="s">
        <v>63118</v>
      </c>
      <c r="W5089" t="s">
        <v>44525</v>
      </c>
      <c r="X5089" t="s">
        <v>47313</v>
      </c>
    </row>
    <row r="5090" spans="1:24">
      <c r="A5090">
        <f>HYPERLINK("https://www.philgeps.gov.ph/GEPSNONPILOT/Tender/SplashBidNoticeAbstractUI.aspx?menuIndex=3&amp;refID=7190301&amp;Result=3","7190301")</f>
        <v>0</v>
      </c>
      <c r="B5090" t="s">
        <v>1261</v>
      </c>
      <c r="C5090" t="s">
        <v>8647</v>
      </c>
      <c r="D5090" t="s">
        <v>19038</v>
      </c>
      <c r="E5090" t="s">
        <v>23611</v>
      </c>
      <c r="F5090" t="s">
        <v>32606</v>
      </c>
      <c r="G5090" t="s">
        <v>32613</v>
      </c>
      <c r="H5090" t="s">
        <v>14201</v>
      </c>
      <c r="I5090" t="s">
        <v>7064</v>
      </c>
      <c r="J5090" t="s">
        <v>33934</v>
      </c>
      <c r="K5090" t="s">
        <v>42624</v>
      </c>
      <c r="M5090" t="s">
        <v>44229</v>
      </c>
      <c r="N5090" t="s">
        <v>47304</v>
      </c>
      <c r="O5090" t="s">
        <v>47305</v>
      </c>
      <c r="P5090">
        <v>0</v>
      </c>
      <c r="Q5090">
        <v>4</v>
      </c>
      <c r="R5090" t="s">
        <v>47308</v>
      </c>
      <c r="S5090" t="s">
        <v>47429</v>
      </c>
      <c r="T5090" t="s">
        <v>48985</v>
      </c>
      <c r="U5090" t="s">
        <v>53846</v>
      </c>
      <c r="W5090" t="s">
        <v>44229</v>
      </c>
      <c r="X5090" t="s">
        <v>47312</v>
      </c>
    </row>
    <row r="5091" spans="1:24">
      <c r="A5091">
        <f>HYPERLINK("https://www.philgeps.gov.ph/GEPSNONPILOT/Tender/SplashBidNoticeAbstractUI.aspx?menuIndex=3&amp;refID=7197096&amp;Result=3","7197096")</f>
        <v>0</v>
      </c>
      <c r="B5091" t="s">
        <v>89</v>
      </c>
      <c r="C5091" t="s">
        <v>8648</v>
      </c>
      <c r="D5091" t="s">
        <v>19018</v>
      </c>
      <c r="E5091" t="s">
        <v>23612</v>
      </c>
      <c r="F5091" t="s">
        <v>32606</v>
      </c>
      <c r="G5091" t="s">
        <v>32613</v>
      </c>
      <c r="H5091" t="s">
        <v>14201</v>
      </c>
      <c r="I5091" t="s">
        <v>32633</v>
      </c>
      <c r="J5091" t="s">
        <v>36120</v>
      </c>
      <c r="K5091" t="s">
        <v>42631</v>
      </c>
      <c r="M5091" t="s">
        <v>42987</v>
      </c>
      <c r="N5091" t="s">
        <v>47304</v>
      </c>
      <c r="O5091" t="s">
        <v>47305</v>
      </c>
      <c r="P5091">
        <v>0</v>
      </c>
      <c r="Q5091">
        <v>2</v>
      </c>
      <c r="R5091" t="s">
        <v>47306</v>
      </c>
      <c r="S5091" t="s">
        <v>47414</v>
      </c>
      <c r="T5091" t="s">
        <v>49008</v>
      </c>
      <c r="U5091" t="s">
        <v>53847</v>
      </c>
      <c r="W5091" t="s">
        <v>42987</v>
      </c>
      <c r="X5091" t="s">
        <v>47308</v>
      </c>
    </row>
    <row r="5092" spans="1:24">
      <c r="A5092">
        <f>HYPERLINK("https://www.philgeps.gov.ph/GEPSNONPILOT/Tender/SplashBidNoticeAbstractUI.aspx?menuIndex=3&amp;refID=7190087&amp;Result=3","7190087")</f>
        <v>0</v>
      </c>
      <c r="B5092" t="s">
        <v>1821</v>
      </c>
      <c r="C5092" t="s">
        <v>8649</v>
      </c>
      <c r="D5092" t="s">
        <v>19010</v>
      </c>
      <c r="E5092" t="s">
        <v>23613</v>
      </c>
      <c r="F5092" t="s">
        <v>32606</v>
      </c>
      <c r="G5092" t="s">
        <v>32613</v>
      </c>
      <c r="H5092" t="s">
        <v>32623</v>
      </c>
      <c r="I5092" t="s">
        <v>17648</v>
      </c>
      <c r="J5092" t="s">
        <v>36121</v>
      </c>
      <c r="K5092" t="s">
        <v>42678</v>
      </c>
      <c r="M5092" t="s">
        <v>44862</v>
      </c>
      <c r="N5092" t="s">
        <v>47304</v>
      </c>
      <c r="O5092" t="s">
        <v>47305</v>
      </c>
      <c r="P5092">
        <v>0</v>
      </c>
      <c r="Q5092">
        <v>0</v>
      </c>
      <c r="R5092" t="s">
        <v>47308</v>
      </c>
      <c r="S5092" t="s">
        <v>47429</v>
      </c>
      <c r="T5092" t="s">
        <v>49140</v>
      </c>
      <c r="U5092" t="s">
        <v>53848</v>
      </c>
      <c r="W5092" t="s">
        <v>44862</v>
      </c>
      <c r="X5092" t="s">
        <v>47312</v>
      </c>
    </row>
    <row r="5093" spans="1:24">
      <c r="A5093">
        <f>HYPERLINK("https://www.philgeps.gov.ph/GEPSNONPILOT/Tender/SplashBidNoticeAbstractUI.aspx?menuIndex=3&amp;refID=7190406&amp;Result=3","7190406")</f>
        <v>0</v>
      </c>
      <c r="B5093" t="s">
        <v>1261</v>
      </c>
      <c r="C5093" t="s">
        <v>8650</v>
      </c>
      <c r="D5093" t="s">
        <v>19038</v>
      </c>
      <c r="E5093" t="s">
        <v>23614</v>
      </c>
      <c r="F5093" t="s">
        <v>32606</v>
      </c>
      <c r="G5093" t="s">
        <v>32613</v>
      </c>
      <c r="H5093" t="s">
        <v>14201</v>
      </c>
      <c r="I5093" t="s">
        <v>7064</v>
      </c>
      <c r="J5093" t="s">
        <v>35368</v>
      </c>
      <c r="K5093" t="s">
        <v>42624</v>
      </c>
      <c r="M5093" t="s">
        <v>44229</v>
      </c>
      <c r="N5093" t="s">
        <v>47304</v>
      </c>
      <c r="O5093" t="s">
        <v>47305</v>
      </c>
      <c r="P5093">
        <v>0</v>
      </c>
      <c r="Q5093">
        <v>4</v>
      </c>
      <c r="R5093" t="s">
        <v>47308</v>
      </c>
      <c r="S5093" t="s">
        <v>47429</v>
      </c>
      <c r="T5093" t="s">
        <v>48985</v>
      </c>
      <c r="U5093" t="s">
        <v>53846</v>
      </c>
      <c r="W5093" t="s">
        <v>44229</v>
      </c>
      <c r="X5093" t="s">
        <v>47312</v>
      </c>
    </row>
    <row r="5094" spans="1:24">
      <c r="A5094">
        <f>HYPERLINK("https://www.philgeps.gov.ph/GEPSNONPILOT/Tender/SplashBidNoticeAbstractUI.aspx?menuIndex=3&amp;refID=7190376&amp;Result=3","7190376")</f>
        <v>0</v>
      </c>
      <c r="B5094" t="s">
        <v>755</v>
      </c>
      <c r="C5094" t="s">
        <v>8651</v>
      </c>
      <c r="D5094" t="s">
        <v>18988</v>
      </c>
      <c r="E5094" t="s">
        <v>23615</v>
      </c>
      <c r="F5094" t="s">
        <v>32606</v>
      </c>
      <c r="G5094" t="s">
        <v>32614</v>
      </c>
      <c r="H5094" t="s">
        <v>14201</v>
      </c>
      <c r="I5094" t="s">
        <v>32655</v>
      </c>
      <c r="J5094" t="s">
        <v>36122</v>
      </c>
      <c r="K5094" t="s">
        <v>42624</v>
      </c>
      <c r="M5094" t="s">
        <v>44863</v>
      </c>
      <c r="N5094" t="s">
        <v>47304</v>
      </c>
      <c r="O5094" t="s">
        <v>47305</v>
      </c>
      <c r="P5094">
        <v>0</v>
      </c>
      <c r="Q5094">
        <v>5</v>
      </c>
      <c r="R5094" t="s">
        <v>47308</v>
      </c>
      <c r="S5094" t="s">
        <v>47429</v>
      </c>
      <c r="T5094" t="s">
        <v>49165</v>
      </c>
      <c r="U5094" t="s">
        <v>53849</v>
      </c>
      <c r="W5094" t="s">
        <v>44863</v>
      </c>
      <c r="X5094" t="s">
        <v>47312</v>
      </c>
    </row>
    <row r="5095" spans="1:24">
      <c r="A5095">
        <f>HYPERLINK("https://www.philgeps.gov.ph/GEPSNONPILOT/Tender/SplashBidNoticeAbstractUI.aspx?menuIndex=3&amp;refID=7189744&amp;Result=3","7189744")</f>
        <v>0</v>
      </c>
      <c r="B5095" t="s">
        <v>91</v>
      </c>
      <c r="C5095" t="s">
        <v>8652</v>
      </c>
      <c r="D5095" t="s">
        <v>19023</v>
      </c>
      <c r="E5095" t="s">
        <v>23616</v>
      </c>
      <c r="F5095" t="s">
        <v>32606</v>
      </c>
      <c r="G5095" t="s">
        <v>32613</v>
      </c>
      <c r="H5095" t="s">
        <v>14201</v>
      </c>
      <c r="I5095" t="s">
        <v>6298</v>
      </c>
      <c r="J5095" t="s">
        <v>36123</v>
      </c>
      <c r="K5095" t="s">
        <v>42636</v>
      </c>
      <c r="M5095" t="s">
        <v>42989</v>
      </c>
      <c r="N5095" t="s">
        <v>47304</v>
      </c>
      <c r="O5095" t="s">
        <v>47305</v>
      </c>
      <c r="P5095">
        <v>0</v>
      </c>
      <c r="Q5095">
        <v>3</v>
      </c>
      <c r="R5095" t="s">
        <v>47308</v>
      </c>
      <c r="S5095" t="s">
        <v>47429</v>
      </c>
      <c r="T5095" t="s">
        <v>49009</v>
      </c>
      <c r="U5095" t="s">
        <v>53850</v>
      </c>
      <c r="W5095" t="s">
        <v>42989</v>
      </c>
      <c r="X5095" t="s">
        <v>47313</v>
      </c>
    </row>
    <row r="5096" spans="1:24">
      <c r="A5096">
        <f>HYPERLINK("https://www.philgeps.gov.ph/GEPSNONPILOT/Tender/SplashBidNoticeAbstractUI.aspx?menuIndex=3&amp;refID=7197095&amp;Result=3","7197095")</f>
        <v>0</v>
      </c>
      <c r="B5096" t="s">
        <v>1268</v>
      </c>
      <c r="C5096" t="s">
        <v>8653</v>
      </c>
      <c r="D5096" t="s">
        <v>18991</v>
      </c>
      <c r="E5096" t="s">
        <v>23617</v>
      </c>
      <c r="F5096" t="s">
        <v>32606</v>
      </c>
      <c r="G5096" t="s">
        <v>32619</v>
      </c>
      <c r="H5096" t="s">
        <v>14201</v>
      </c>
      <c r="I5096" t="s">
        <v>4114</v>
      </c>
      <c r="J5096" t="s">
        <v>36124</v>
      </c>
      <c r="K5096" t="s">
        <v>42629</v>
      </c>
      <c r="M5096" t="s">
        <v>44236</v>
      </c>
      <c r="N5096" t="s">
        <v>47304</v>
      </c>
      <c r="O5096" t="s">
        <v>47305</v>
      </c>
      <c r="P5096">
        <v>0</v>
      </c>
      <c r="Q5096">
        <v>2</v>
      </c>
      <c r="R5096" t="s">
        <v>47306</v>
      </c>
      <c r="S5096" t="s">
        <v>47414</v>
      </c>
      <c r="T5096" t="s">
        <v>48979</v>
      </c>
      <c r="U5096" t="s">
        <v>53851</v>
      </c>
      <c r="W5096" t="s">
        <v>44236</v>
      </c>
      <c r="X5096" t="s">
        <v>47308</v>
      </c>
    </row>
    <row r="5097" spans="1:24">
      <c r="A5097">
        <f>HYPERLINK("https://www.philgeps.gov.ph/GEPSNONPILOT/Tender/SplashBidNoticeAbstractUI.aspx?menuIndex=3&amp;refID=7190118&amp;Result=3","7190118")</f>
        <v>0</v>
      </c>
      <c r="B5097" t="s">
        <v>1807</v>
      </c>
      <c r="C5097" t="s">
        <v>8654</v>
      </c>
      <c r="D5097" t="s">
        <v>19026</v>
      </c>
      <c r="E5097" t="s">
        <v>23618</v>
      </c>
      <c r="F5097" t="s">
        <v>32606</v>
      </c>
      <c r="G5097" t="s">
        <v>32615</v>
      </c>
      <c r="H5097" t="s">
        <v>14201</v>
      </c>
      <c r="I5097" t="s">
        <v>7577</v>
      </c>
      <c r="J5097" t="s">
        <v>36125</v>
      </c>
      <c r="K5097" t="s">
        <v>42630</v>
      </c>
      <c r="M5097" t="s">
        <v>44864</v>
      </c>
      <c r="N5097" t="s">
        <v>47304</v>
      </c>
      <c r="O5097" t="s">
        <v>47305</v>
      </c>
      <c r="P5097">
        <v>0</v>
      </c>
      <c r="Q5097">
        <v>5</v>
      </c>
      <c r="R5097" t="s">
        <v>47308</v>
      </c>
      <c r="S5097" t="s">
        <v>47429</v>
      </c>
      <c r="T5097" t="s">
        <v>49023</v>
      </c>
      <c r="U5097" t="s">
        <v>53852</v>
      </c>
      <c r="W5097" t="s">
        <v>44864</v>
      </c>
      <c r="X5097" t="s">
        <v>47312</v>
      </c>
    </row>
    <row r="5098" spans="1:24">
      <c r="A5098">
        <f>HYPERLINK("https://www.philgeps.gov.ph/GEPSNONPILOT/Tender/SplashBidNoticeAbstractUI.aspx?menuIndex=3&amp;refID=7190297&amp;Result=3","7190297")</f>
        <v>0</v>
      </c>
      <c r="B5098" t="s">
        <v>313</v>
      </c>
      <c r="C5098" t="s">
        <v>8655</v>
      </c>
      <c r="D5098" t="s">
        <v>18993</v>
      </c>
      <c r="E5098" t="s">
        <v>23619</v>
      </c>
      <c r="F5098" t="s">
        <v>32606</v>
      </c>
      <c r="G5098" t="s">
        <v>32614</v>
      </c>
      <c r="H5098" t="s">
        <v>14201</v>
      </c>
      <c r="I5098" t="s">
        <v>4678</v>
      </c>
      <c r="J5098" t="s">
        <v>32949</v>
      </c>
      <c r="K5098" t="s">
        <v>42631</v>
      </c>
      <c r="M5098" t="s">
        <v>43215</v>
      </c>
      <c r="N5098" t="s">
        <v>47304</v>
      </c>
      <c r="O5098" t="s">
        <v>47305</v>
      </c>
      <c r="P5098">
        <v>0</v>
      </c>
      <c r="Q5098">
        <v>0</v>
      </c>
      <c r="R5098" t="s">
        <v>47308</v>
      </c>
      <c r="S5098" t="s">
        <v>47429</v>
      </c>
      <c r="T5098" t="s">
        <v>49165</v>
      </c>
      <c r="U5098" t="s">
        <v>53853</v>
      </c>
      <c r="W5098" t="s">
        <v>43215</v>
      </c>
      <c r="X5098" t="s">
        <v>47312</v>
      </c>
    </row>
    <row r="5099" spans="1:24">
      <c r="A5099">
        <f>HYPERLINK("https://www.philgeps.gov.ph/GEPSNONPILOT/Tender/SplashBidNoticeAbstractUI.aspx?menuIndex=3&amp;refID=7190268&amp;Result=3","7190268")</f>
        <v>0</v>
      </c>
      <c r="B5099" t="s">
        <v>1822</v>
      </c>
      <c r="C5099" t="s">
        <v>8656</v>
      </c>
      <c r="D5099" t="s">
        <v>18989</v>
      </c>
      <c r="E5099" t="s">
        <v>23620</v>
      </c>
      <c r="F5099" t="s">
        <v>32606</v>
      </c>
      <c r="G5099" t="s">
        <v>32614</v>
      </c>
      <c r="H5099" t="s">
        <v>14201</v>
      </c>
      <c r="I5099" t="s">
        <v>7677</v>
      </c>
      <c r="J5099" t="s">
        <v>36126</v>
      </c>
      <c r="K5099" t="s">
        <v>42624</v>
      </c>
      <c r="M5099" t="s">
        <v>44865</v>
      </c>
      <c r="N5099" t="s">
        <v>47304</v>
      </c>
      <c r="O5099" t="s">
        <v>47305</v>
      </c>
      <c r="P5099">
        <v>0</v>
      </c>
      <c r="Q5099">
        <v>3</v>
      </c>
      <c r="R5099" t="s">
        <v>47308</v>
      </c>
      <c r="S5099" t="s">
        <v>47429</v>
      </c>
      <c r="T5099" t="s">
        <v>49165</v>
      </c>
      <c r="U5099" t="s">
        <v>53854</v>
      </c>
      <c r="V5099" t="s">
        <v>63119</v>
      </c>
      <c r="W5099" t="s">
        <v>44865</v>
      </c>
      <c r="X5099" t="s">
        <v>47312</v>
      </c>
    </row>
    <row r="5100" spans="1:24">
      <c r="A5100">
        <f>HYPERLINK("https://www.philgeps.gov.ph/GEPSNONPILOT/Tender/SplashBidNoticeAbstractUI.aspx?menuIndex=3&amp;refID=7190237&amp;Result=3","7190237")</f>
        <v>0</v>
      </c>
      <c r="B5100" t="s">
        <v>48</v>
      </c>
      <c r="C5100" t="s">
        <v>8657</v>
      </c>
      <c r="D5100" t="s">
        <v>18994</v>
      </c>
      <c r="E5100" t="s">
        <v>23621</v>
      </c>
      <c r="F5100" t="s">
        <v>32606</v>
      </c>
      <c r="G5100" t="s">
        <v>32614</v>
      </c>
      <c r="H5100" t="s">
        <v>14201</v>
      </c>
      <c r="I5100" t="s">
        <v>4678</v>
      </c>
      <c r="J5100" t="s">
        <v>32999</v>
      </c>
      <c r="K5100" t="s">
        <v>42624</v>
      </c>
      <c r="L5100" t="s">
        <v>48</v>
      </c>
      <c r="M5100" t="s">
        <v>44627</v>
      </c>
      <c r="N5100" t="s">
        <v>47304</v>
      </c>
      <c r="O5100" t="s">
        <v>47305</v>
      </c>
      <c r="P5100">
        <v>0</v>
      </c>
      <c r="Q5100">
        <v>4</v>
      </c>
      <c r="R5100" t="s">
        <v>47308</v>
      </c>
      <c r="S5100" t="s">
        <v>47429</v>
      </c>
      <c r="T5100" t="s">
        <v>48998</v>
      </c>
      <c r="U5100" t="s">
        <v>53855</v>
      </c>
      <c r="W5100" t="s">
        <v>44627</v>
      </c>
      <c r="X5100" t="s">
        <v>47312</v>
      </c>
    </row>
    <row r="5101" spans="1:24">
      <c r="A5101">
        <f>HYPERLINK("https://www.philgeps.gov.ph/GEPSNONPILOT/Tender/SplashBidNoticeAbstractUI.aspx?menuIndex=3&amp;refID=7190392&amp;Result=3","7190392")</f>
        <v>0</v>
      </c>
      <c r="B5101" t="s">
        <v>1823</v>
      </c>
      <c r="C5101" t="s">
        <v>8658</v>
      </c>
      <c r="D5101" t="s">
        <v>19008</v>
      </c>
      <c r="E5101" t="s">
        <v>23622</v>
      </c>
      <c r="F5101" t="s">
        <v>32606</v>
      </c>
      <c r="G5101" t="s">
        <v>32613</v>
      </c>
      <c r="H5101" t="s">
        <v>14201</v>
      </c>
      <c r="I5101" t="s">
        <v>6931</v>
      </c>
      <c r="J5101" t="s">
        <v>36127</v>
      </c>
      <c r="K5101" t="s">
        <v>42627</v>
      </c>
      <c r="M5101" t="s">
        <v>44866</v>
      </c>
      <c r="N5101" t="s">
        <v>47304</v>
      </c>
      <c r="O5101" t="s">
        <v>47305</v>
      </c>
      <c r="P5101">
        <v>0</v>
      </c>
      <c r="Q5101">
        <v>0</v>
      </c>
      <c r="R5101" t="s">
        <v>47308</v>
      </c>
      <c r="S5101" t="s">
        <v>47429</v>
      </c>
      <c r="T5101" t="s">
        <v>49148</v>
      </c>
      <c r="U5101" t="s">
        <v>53856</v>
      </c>
      <c r="V5101" t="s">
        <v>63120</v>
      </c>
      <c r="W5101" t="s">
        <v>44866</v>
      </c>
      <c r="X5101" t="s">
        <v>47312</v>
      </c>
    </row>
    <row r="5102" spans="1:24">
      <c r="A5102">
        <f>HYPERLINK("https://www.philgeps.gov.ph/GEPSNONPILOT/Tender/SplashBidNoticeAbstractUI.aspx?menuIndex=3&amp;refID=7190223&amp;Result=3","7190223")</f>
        <v>0</v>
      </c>
      <c r="B5102" t="s">
        <v>48</v>
      </c>
      <c r="C5102" t="s">
        <v>8659</v>
      </c>
      <c r="D5102" t="s">
        <v>18994</v>
      </c>
      <c r="E5102" t="s">
        <v>23623</v>
      </c>
      <c r="F5102" t="s">
        <v>32606</v>
      </c>
      <c r="G5102" t="s">
        <v>32614</v>
      </c>
      <c r="H5102" t="s">
        <v>14201</v>
      </c>
      <c r="I5102" t="s">
        <v>6993</v>
      </c>
      <c r="J5102" t="s">
        <v>36128</v>
      </c>
      <c r="K5102" t="s">
        <v>42624</v>
      </c>
      <c r="L5102" t="s">
        <v>48</v>
      </c>
      <c r="M5102" t="s">
        <v>44627</v>
      </c>
      <c r="N5102" t="s">
        <v>47304</v>
      </c>
      <c r="O5102" t="s">
        <v>47305</v>
      </c>
      <c r="P5102">
        <v>0</v>
      </c>
      <c r="Q5102">
        <v>0</v>
      </c>
      <c r="R5102" t="s">
        <v>47308</v>
      </c>
      <c r="S5102" t="s">
        <v>47429</v>
      </c>
      <c r="T5102" t="s">
        <v>48998</v>
      </c>
      <c r="U5102" t="s">
        <v>53857</v>
      </c>
      <c r="W5102" t="s">
        <v>44627</v>
      </c>
      <c r="X5102" t="s">
        <v>47312</v>
      </c>
    </row>
    <row r="5103" spans="1:24">
      <c r="A5103">
        <f>HYPERLINK("https://www.philgeps.gov.ph/GEPSNONPILOT/Tender/SplashBidNoticeAbstractUI.aspx?menuIndex=3&amp;refID=7190222&amp;Result=3","7190222")</f>
        <v>0</v>
      </c>
      <c r="B5103" t="s">
        <v>1421</v>
      </c>
      <c r="C5103" t="s">
        <v>8660</v>
      </c>
      <c r="D5103" t="s">
        <v>18995</v>
      </c>
      <c r="E5103" t="s">
        <v>23624</v>
      </c>
      <c r="F5103" t="s">
        <v>32606</v>
      </c>
      <c r="G5103" t="s">
        <v>32614</v>
      </c>
      <c r="H5103" t="s">
        <v>14201</v>
      </c>
      <c r="I5103" t="s">
        <v>8682</v>
      </c>
      <c r="J5103" t="s">
        <v>36129</v>
      </c>
      <c r="K5103" t="s">
        <v>42624</v>
      </c>
      <c r="M5103" t="s">
        <v>44409</v>
      </c>
      <c r="N5103" t="s">
        <v>47304</v>
      </c>
      <c r="O5103" t="s">
        <v>47305</v>
      </c>
      <c r="P5103">
        <v>0</v>
      </c>
      <c r="Q5103">
        <v>13</v>
      </c>
      <c r="R5103" t="s">
        <v>47308</v>
      </c>
      <c r="S5103" t="s">
        <v>47429</v>
      </c>
      <c r="T5103" t="s">
        <v>49072</v>
      </c>
      <c r="U5103" t="s">
        <v>53858</v>
      </c>
      <c r="W5103" t="s">
        <v>44409</v>
      </c>
      <c r="X5103" t="s">
        <v>47312</v>
      </c>
    </row>
    <row r="5104" spans="1:24">
      <c r="A5104">
        <f>HYPERLINK("https://www.philgeps.gov.ph/GEPSNONPILOT/Tender/SplashBidNoticeAbstractUI.aspx?menuIndex=3&amp;refID=7190353&amp;Result=3","7190353")</f>
        <v>0</v>
      </c>
      <c r="B5104" t="s">
        <v>1261</v>
      </c>
      <c r="C5104" t="s">
        <v>8661</v>
      </c>
      <c r="D5104" t="s">
        <v>19038</v>
      </c>
      <c r="E5104" t="s">
        <v>23625</v>
      </c>
      <c r="F5104" t="s">
        <v>32606</v>
      </c>
      <c r="G5104" t="s">
        <v>32613</v>
      </c>
      <c r="H5104" t="s">
        <v>14201</v>
      </c>
      <c r="I5104" t="s">
        <v>7064</v>
      </c>
      <c r="J5104" t="s">
        <v>35368</v>
      </c>
      <c r="K5104" t="s">
        <v>42624</v>
      </c>
      <c r="M5104" t="s">
        <v>44229</v>
      </c>
      <c r="N5104" t="s">
        <v>47304</v>
      </c>
      <c r="O5104" t="s">
        <v>47305</v>
      </c>
      <c r="P5104">
        <v>0</v>
      </c>
      <c r="Q5104">
        <v>3</v>
      </c>
      <c r="R5104" t="s">
        <v>47308</v>
      </c>
      <c r="S5104" t="s">
        <v>47429</v>
      </c>
      <c r="T5104" t="s">
        <v>48985</v>
      </c>
      <c r="U5104" t="s">
        <v>53846</v>
      </c>
      <c r="W5104" t="s">
        <v>44229</v>
      </c>
      <c r="X5104" t="s">
        <v>47312</v>
      </c>
    </row>
    <row r="5105" spans="1:24">
      <c r="A5105">
        <f>HYPERLINK("https://www.philgeps.gov.ph/GEPSNONPILOT/Tender/SplashBidNoticeAbstractUI.aspx?menuIndex=3&amp;refID=7190205&amp;Result=3","7190205")</f>
        <v>0</v>
      </c>
      <c r="B5105" t="s">
        <v>464</v>
      </c>
      <c r="C5105" t="s">
        <v>8662</v>
      </c>
      <c r="D5105" t="s">
        <v>19044</v>
      </c>
      <c r="E5105" t="s">
        <v>23626</v>
      </c>
      <c r="F5105" t="s">
        <v>32606</v>
      </c>
      <c r="G5105" t="s">
        <v>32613</v>
      </c>
      <c r="H5105" t="s">
        <v>14201</v>
      </c>
      <c r="I5105" t="s">
        <v>17648</v>
      </c>
      <c r="J5105" t="s">
        <v>36130</v>
      </c>
      <c r="K5105" t="s">
        <v>42697</v>
      </c>
      <c r="M5105" t="s">
        <v>43374</v>
      </c>
      <c r="N5105" t="s">
        <v>47304</v>
      </c>
      <c r="O5105" t="s">
        <v>47305</v>
      </c>
      <c r="P5105">
        <v>0</v>
      </c>
      <c r="Q5105">
        <v>2</v>
      </c>
      <c r="R5105" t="s">
        <v>47308</v>
      </c>
      <c r="S5105" t="s">
        <v>47429</v>
      </c>
      <c r="T5105" t="s">
        <v>49258</v>
      </c>
      <c r="U5105" t="s">
        <v>53859</v>
      </c>
      <c r="V5105" t="s">
        <v>63121</v>
      </c>
      <c r="W5105" t="s">
        <v>43374</v>
      </c>
      <c r="X5105" t="s">
        <v>47312</v>
      </c>
    </row>
    <row r="5106" spans="1:24">
      <c r="A5106">
        <f>HYPERLINK("https://www.philgeps.gov.ph/GEPSNONPILOT/Tender/SplashBidNoticeAbstractUI.aspx?menuIndex=3&amp;refID=7189713&amp;Result=3","7189713")</f>
        <v>0</v>
      </c>
      <c r="B5106" t="s">
        <v>91</v>
      </c>
      <c r="C5106" t="s">
        <v>8663</v>
      </c>
      <c r="D5106" t="s">
        <v>19023</v>
      </c>
      <c r="E5106" t="s">
        <v>23627</v>
      </c>
      <c r="F5106" t="s">
        <v>32606</v>
      </c>
      <c r="G5106" t="s">
        <v>32613</v>
      </c>
      <c r="H5106" t="s">
        <v>14201</v>
      </c>
      <c r="I5106" t="s">
        <v>8682</v>
      </c>
      <c r="J5106" t="s">
        <v>36131</v>
      </c>
      <c r="K5106" t="s">
        <v>42636</v>
      </c>
      <c r="M5106" t="s">
        <v>42989</v>
      </c>
      <c r="N5106" t="s">
        <v>47304</v>
      </c>
      <c r="O5106" t="s">
        <v>47305</v>
      </c>
      <c r="P5106">
        <v>0</v>
      </c>
      <c r="Q5106">
        <v>7</v>
      </c>
      <c r="R5106" t="s">
        <v>47308</v>
      </c>
      <c r="S5106" t="s">
        <v>47429</v>
      </c>
      <c r="T5106" t="s">
        <v>49009</v>
      </c>
      <c r="U5106" t="s">
        <v>53860</v>
      </c>
      <c r="W5106" t="s">
        <v>42989</v>
      </c>
      <c r="X5106" t="s">
        <v>47313</v>
      </c>
    </row>
    <row r="5107" spans="1:24">
      <c r="A5107">
        <f>HYPERLINK("https://www.philgeps.gov.ph/GEPSNONPILOT/Tender/SplashBidNoticeAbstractUI.aspx?menuIndex=3&amp;refID=7190345&amp;Result=3","7190345")</f>
        <v>0</v>
      </c>
      <c r="B5107" t="s">
        <v>1824</v>
      </c>
      <c r="C5107" t="s">
        <v>8664</v>
      </c>
      <c r="D5107" t="s">
        <v>19011</v>
      </c>
      <c r="E5107" t="s">
        <v>19145</v>
      </c>
      <c r="F5107" t="s">
        <v>32606</v>
      </c>
      <c r="G5107" t="s">
        <v>32613</v>
      </c>
      <c r="H5107" t="s">
        <v>14201</v>
      </c>
      <c r="I5107" t="s">
        <v>6931</v>
      </c>
      <c r="J5107" t="s">
        <v>36132</v>
      </c>
      <c r="K5107" t="s">
        <v>42648</v>
      </c>
      <c r="M5107" t="s">
        <v>44867</v>
      </c>
      <c r="N5107" t="s">
        <v>47304</v>
      </c>
      <c r="O5107" t="s">
        <v>47305</v>
      </c>
      <c r="P5107">
        <v>0</v>
      </c>
      <c r="Q5107">
        <v>1</v>
      </c>
      <c r="R5107" t="s">
        <v>47308</v>
      </c>
      <c r="S5107" t="s">
        <v>47429</v>
      </c>
      <c r="T5107" t="s">
        <v>49310</v>
      </c>
      <c r="U5107" t="s">
        <v>53861</v>
      </c>
      <c r="W5107" t="s">
        <v>44867</v>
      </c>
      <c r="X5107" t="s">
        <v>47312</v>
      </c>
    </row>
    <row r="5108" spans="1:24">
      <c r="A5108">
        <f>HYPERLINK("https://www.philgeps.gov.ph/GEPSNONPILOT/Tender/SplashBidNoticeAbstractUI.aspx?menuIndex=3&amp;refID=7190193&amp;Result=3","7190193")</f>
        <v>0</v>
      </c>
      <c r="B5108" t="s">
        <v>1013</v>
      </c>
      <c r="C5108" t="s">
        <v>6082</v>
      </c>
      <c r="D5108" t="s">
        <v>18993</v>
      </c>
      <c r="E5108" t="s">
        <v>23628</v>
      </c>
      <c r="F5108" t="s">
        <v>32606</v>
      </c>
      <c r="G5108" t="s">
        <v>32619</v>
      </c>
      <c r="H5108" t="s">
        <v>14201</v>
      </c>
      <c r="I5108" t="s">
        <v>4120</v>
      </c>
      <c r="J5108" t="s">
        <v>35183</v>
      </c>
      <c r="K5108" t="s">
        <v>42632</v>
      </c>
      <c r="M5108" t="s">
        <v>43961</v>
      </c>
      <c r="N5108" t="s">
        <v>47304</v>
      </c>
      <c r="O5108" t="s">
        <v>47305</v>
      </c>
      <c r="P5108">
        <v>0</v>
      </c>
      <c r="Q5108">
        <v>1</v>
      </c>
      <c r="R5108" t="s">
        <v>47308</v>
      </c>
      <c r="S5108" t="s">
        <v>47429</v>
      </c>
      <c r="T5108" t="s">
        <v>49162</v>
      </c>
      <c r="U5108" t="s">
        <v>52341</v>
      </c>
      <c r="W5108" t="s">
        <v>43961</v>
      </c>
      <c r="X5108" t="s">
        <v>47312</v>
      </c>
    </row>
    <row r="5109" spans="1:24">
      <c r="A5109">
        <f>HYPERLINK("https://www.philgeps.gov.ph/GEPSNONPILOT/Tender/SplashBidNoticeAbstractUI.aspx?menuIndex=3&amp;refID=7190233&amp;Result=3","7190233")</f>
        <v>0</v>
      </c>
      <c r="B5109" t="s">
        <v>357</v>
      </c>
      <c r="C5109" t="s">
        <v>8665</v>
      </c>
      <c r="D5109" t="s">
        <v>19010</v>
      </c>
      <c r="E5109" t="s">
        <v>23629</v>
      </c>
      <c r="F5109" t="s">
        <v>32606</v>
      </c>
      <c r="G5109" t="s">
        <v>32614</v>
      </c>
      <c r="H5109" t="s">
        <v>14201</v>
      </c>
      <c r="I5109" t="s">
        <v>9013</v>
      </c>
      <c r="J5109" t="s">
        <v>36133</v>
      </c>
      <c r="K5109" t="s">
        <v>42630</v>
      </c>
      <c r="M5109" t="s">
        <v>43259</v>
      </c>
      <c r="N5109" t="s">
        <v>47304</v>
      </c>
      <c r="O5109" t="s">
        <v>47305</v>
      </c>
      <c r="P5109">
        <v>0</v>
      </c>
      <c r="Q5109">
        <v>2</v>
      </c>
      <c r="R5109" t="s">
        <v>47308</v>
      </c>
      <c r="S5109" t="s">
        <v>47429</v>
      </c>
      <c r="T5109" t="s">
        <v>48998</v>
      </c>
      <c r="U5109" t="s">
        <v>53862</v>
      </c>
      <c r="W5109" t="s">
        <v>43259</v>
      </c>
      <c r="X5109" t="s">
        <v>47312</v>
      </c>
    </row>
    <row r="5110" spans="1:24">
      <c r="A5110">
        <f>HYPERLINK("https://www.philgeps.gov.ph/GEPSNONPILOT/Tender/SplashBidNoticeAbstractUI.aspx?menuIndex=3&amp;refID=7189699&amp;Result=3","7189699")</f>
        <v>0</v>
      </c>
      <c r="B5110" t="s">
        <v>1014</v>
      </c>
      <c r="C5110" t="s">
        <v>8666</v>
      </c>
      <c r="D5110" t="s">
        <v>18995</v>
      </c>
      <c r="E5110" t="s">
        <v>23630</v>
      </c>
      <c r="F5110" t="s">
        <v>32606</v>
      </c>
      <c r="G5110" t="s">
        <v>32614</v>
      </c>
      <c r="H5110" t="s">
        <v>14201</v>
      </c>
      <c r="I5110" t="s">
        <v>4112</v>
      </c>
      <c r="J5110" t="s">
        <v>36134</v>
      </c>
      <c r="K5110" t="s">
        <v>42663</v>
      </c>
      <c r="L5110" t="s">
        <v>1014</v>
      </c>
      <c r="M5110" t="s">
        <v>44868</v>
      </c>
      <c r="N5110" t="s">
        <v>47304</v>
      </c>
      <c r="O5110" t="s">
        <v>47305</v>
      </c>
      <c r="P5110">
        <v>0</v>
      </c>
      <c r="Q5110">
        <v>3</v>
      </c>
      <c r="R5110" t="s">
        <v>47308</v>
      </c>
      <c r="S5110" t="s">
        <v>47429</v>
      </c>
      <c r="T5110" t="s">
        <v>48982</v>
      </c>
      <c r="U5110" t="s">
        <v>53863</v>
      </c>
      <c r="W5110" t="s">
        <v>44868</v>
      </c>
      <c r="X5110" t="s">
        <v>47313</v>
      </c>
    </row>
    <row r="5111" spans="1:24">
      <c r="A5111">
        <f>HYPERLINK("https://www.philgeps.gov.ph/GEPSNONPILOT/Tender/SplashBidNoticeAbstractUI.aspx?menuIndex=3&amp;refID=7190213&amp;Result=3","7190213")</f>
        <v>0</v>
      </c>
      <c r="B5111" t="s">
        <v>48</v>
      </c>
      <c r="C5111" t="s">
        <v>8667</v>
      </c>
      <c r="D5111" t="s">
        <v>18994</v>
      </c>
      <c r="E5111" t="s">
        <v>23631</v>
      </c>
      <c r="F5111" t="s">
        <v>32606</v>
      </c>
      <c r="G5111" t="s">
        <v>32614</v>
      </c>
      <c r="H5111" t="s">
        <v>14201</v>
      </c>
      <c r="I5111" t="s">
        <v>6993</v>
      </c>
      <c r="J5111" t="s">
        <v>33092</v>
      </c>
      <c r="K5111" t="s">
        <v>42624</v>
      </c>
      <c r="L5111" t="s">
        <v>48</v>
      </c>
      <c r="M5111" t="s">
        <v>44627</v>
      </c>
      <c r="N5111" t="s">
        <v>47304</v>
      </c>
      <c r="O5111" t="s">
        <v>47305</v>
      </c>
      <c r="P5111">
        <v>0</v>
      </c>
      <c r="Q5111">
        <v>0</v>
      </c>
      <c r="R5111" t="s">
        <v>47308</v>
      </c>
      <c r="S5111" t="s">
        <v>47429</v>
      </c>
      <c r="T5111" t="s">
        <v>48998</v>
      </c>
      <c r="U5111" t="s">
        <v>53864</v>
      </c>
      <c r="W5111" t="s">
        <v>44627</v>
      </c>
      <c r="X5111" t="s">
        <v>47312</v>
      </c>
    </row>
    <row r="5112" spans="1:24">
      <c r="A5112">
        <f>HYPERLINK("https://www.philgeps.gov.ph/GEPSNONPILOT/Tender/SplashBidNoticeAbstractUI.aspx?menuIndex=3&amp;refID=7189565&amp;Result=3","7189565")</f>
        <v>0</v>
      </c>
      <c r="B5112" t="s">
        <v>1225</v>
      </c>
      <c r="C5112" t="s">
        <v>8668</v>
      </c>
      <c r="D5112" t="s">
        <v>19038</v>
      </c>
      <c r="E5112" t="s">
        <v>23632</v>
      </c>
      <c r="F5112" t="s">
        <v>32606</v>
      </c>
      <c r="G5112" t="s">
        <v>32613</v>
      </c>
      <c r="H5112" t="s">
        <v>32623</v>
      </c>
      <c r="I5112" t="s">
        <v>17648</v>
      </c>
      <c r="J5112" t="s">
        <v>36135</v>
      </c>
      <c r="K5112" t="s">
        <v>42735</v>
      </c>
      <c r="M5112" t="s">
        <v>44869</v>
      </c>
      <c r="N5112" t="s">
        <v>47304</v>
      </c>
      <c r="O5112" t="s">
        <v>47305</v>
      </c>
      <c r="P5112">
        <v>0</v>
      </c>
      <c r="Q5112">
        <v>1</v>
      </c>
      <c r="R5112" t="s">
        <v>47308</v>
      </c>
      <c r="S5112" t="s">
        <v>47429</v>
      </c>
      <c r="T5112" t="s">
        <v>48990</v>
      </c>
      <c r="U5112" t="s">
        <v>53865</v>
      </c>
      <c r="W5112" t="s">
        <v>64467</v>
      </c>
      <c r="X5112" t="s">
        <v>47313</v>
      </c>
    </row>
    <row r="5113" spans="1:24">
      <c r="A5113">
        <f>HYPERLINK("https://www.philgeps.gov.ph/GEPSNONPILOT/Tender/SplashBidNoticeAbstractUI.aspx?menuIndex=3&amp;refID=7189114&amp;Result=3","7189114")</f>
        <v>0</v>
      </c>
      <c r="B5113" t="s">
        <v>1812</v>
      </c>
      <c r="C5113" t="s">
        <v>8669</v>
      </c>
      <c r="D5113" t="s">
        <v>19067</v>
      </c>
      <c r="E5113" t="s">
        <v>23633</v>
      </c>
      <c r="F5113" t="s">
        <v>32606</v>
      </c>
      <c r="G5113" t="s">
        <v>32614</v>
      </c>
      <c r="H5113" t="s">
        <v>14201</v>
      </c>
      <c r="I5113" t="s">
        <v>32696</v>
      </c>
      <c r="J5113" t="s">
        <v>32778</v>
      </c>
      <c r="K5113" t="s">
        <v>42631</v>
      </c>
      <c r="M5113" t="s">
        <v>44853</v>
      </c>
      <c r="N5113" t="s">
        <v>47304</v>
      </c>
      <c r="O5113" t="s">
        <v>47305</v>
      </c>
      <c r="P5113">
        <v>0</v>
      </c>
      <c r="Q5113">
        <v>0</v>
      </c>
      <c r="R5113" t="s">
        <v>47308</v>
      </c>
      <c r="S5113" t="s">
        <v>47429</v>
      </c>
      <c r="T5113" t="s">
        <v>48998</v>
      </c>
      <c r="U5113" t="s">
        <v>53866</v>
      </c>
      <c r="W5113" t="s">
        <v>44853</v>
      </c>
      <c r="X5113" t="s">
        <v>47313</v>
      </c>
    </row>
    <row r="5114" spans="1:24">
      <c r="A5114">
        <f>HYPERLINK("https://www.philgeps.gov.ph/GEPSNONPILOT/Tender/SplashBidNoticeAbstractUI.aspx?menuIndex=3&amp;refID=7189108&amp;Result=3","7189108")</f>
        <v>0</v>
      </c>
      <c r="B5114" t="s">
        <v>1825</v>
      </c>
      <c r="C5114" t="s">
        <v>8670</v>
      </c>
      <c r="D5114" t="s">
        <v>18999</v>
      </c>
      <c r="E5114" t="s">
        <v>23634</v>
      </c>
      <c r="F5114" t="s">
        <v>32606</v>
      </c>
      <c r="G5114" t="s">
        <v>32614</v>
      </c>
      <c r="H5114" t="s">
        <v>14201</v>
      </c>
      <c r="I5114" t="s">
        <v>6931</v>
      </c>
      <c r="J5114" t="s">
        <v>36136</v>
      </c>
      <c r="K5114" t="s">
        <v>42623</v>
      </c>
      <c r="M5114" t="s">
        <v>44870</v>
      </c>
      <c r="N5114" t="s">
        <v>47304</v>
      </c>
      <c r="O5114" t="s">
        <v>47305</v>
      </c>
      <c r="P5114">
        <v>0</v>
      </c>
      <c r="Q5114">
        <v>0</v>
      </c>
      <c r="R5114" t="s">
        <v>47308</v>
      </c>
      <c r="S5114" t="s">
        <v>47429</v>
      </c>
      <c r="T5114" t="s">
        <v>49165</v>
      </c>
      <c r="U5114" t="s">
        <v>53867</v>
      </c>
      <c r="W5114" t="s">
        <v>44870</v>
      </c>
      <c r="X5114" t="s">
        <v>47313</v>
      </c>
    </row>
    <row r="5115" spans="1:24">
      <c r="A5115">
        <f>HYPERLINK("https://www.philgeps.gov.ph/GEPSNONPILOT/Tender/SplashBidNoticeAbstractUI.aspx?menuIndex=3&amp;refID=7189093&amp;Result=3","7189093")</f>
        <v>0</v>
      </c>
      <c r="B5115" t="s">
        <v>1812</v>
      </c>
      <c r="C5115" t="s">
        <v>8671</v>
      </c>
      <c r="D5115" t="s">
        <v>19067</v>
      </c>
      <c r="E5115" t="s">
        <v>23635</v>
      </c>
      <c r="F5115" t="s">
        <v>32606</v>
      </c>
      <c r="G5115" t="s">
        <v>32614</v>
      </c>
      <c r="H5115" t="s">
        <v>14201</v>
      </c>
      <c r="I5115" t="s">
        <v>7677</v>
      </c>
      <c r="J5115" t="s">
        <v>36137</v>
      </c>
      <c r="K5115" t="s">
        <v>42630</v>
      </c>
      <c r="M5115" t="s">
        <v>44853</v>
      </c>
      <c r="N5115" t="s">
        <v>47304</v>
      </c>
      <c r="O5115" t="s">
        <v>47305</v>
      </c>
      <c r="P5115">
        <v>0</v>
      </c>
      <c r="Q5115">
        <v>1</v>
      </c>
      <c r="R5115" t="s">
        <v>47308</v>
      </c>
      <c r="S5115" t="s">
        <v>47429</v>
      </c>
      <c r="T5115" t="s">
        <v>48998</v>
      </c>
      <c r="U5115" t="s">
        <v>53868</v>
      </c>
      <c r="W5115" t="s">
        <v>44853</v>
      </c>
      <c r="X5115" t="s">
        <v>47313</v>
      </c>
    </row>
    <row r="5116" spans="1:24">
      <c r="A5116">
        <f>HYPERLINK("https://www.philgeps.gov.ph/GEPSNONPILOT/Tender/SplashBidNoticeAbstractUI.aspx?menuIndex=3&amp;refID=7189062&amp;Result=3","7189062")</f>
        <v>0</v>
      </c>
      <c r="B5116" t="s">
        <v>1812</v>
      </c>
      <c r="C5116" t="s">
        <v>8672</v>
      </c>
      <c r="D5116" t="s">
        <v>19067</v>
      </c>
      <c r="E5116" t="s">
        <v>23636</v>
      </c>
      <c r="F5116" t="s">
        <v>32606</v>
      </c>
      <c r="G5116" t="s">
        <v>32614</v>
      </c>
      <c r="H5116" t="s">
        <v>14201</v>
      </c>
      <c r="I5116" t="s">
        <v>9008</v>
      </c>
      <c r="J5116" t="s">
        <v>36138</v>
      </c>
      <c r="K5116" t="s">
        <v>42630</v>
      </c>
      <c r="M5116" t="s">
        <v>44853</v>
      </c>
      <c r="N5116" t="s">
        <v>47304</v>
      </c>
      <c r="O5116" t="s">
        <v>47305</v>
      </c>
      <c r="P5116">
        <v>0</v>
      </c>
      <c r="Q5116">
        <v>0</v>
      </c>
      <c r="R5116" t="s">
        <v>47308</v>
      </c>
      <c r="S5116" t="s">
        <v>47429</v>
      </c>
      <c r="T5116" t="s">
        <v>48998</v>
      </c>
      <c r="U5116" t="s">
        <v>53869</v>
      </c>
      <c r="W5116" t="s">
        <v>44853</v>
      </c>
      <c r="X5116" t="s">
        <v>47313</v>
      </c>
    </row>
    <row r="5117" spans="1:24">
      <c r="A5117">
        <f>HYPERLINK("https://www.philgeps.gov.ph/GEPSNONPILOT/Tender/SplashBidNoticeAbstractUI.aspx?menuIndex=3&amp;refID=7189044&amp;Result=3","7189044")</f>
        <v>0</v>
      </c>
      <c r="B5117" t="s">
        <v>1814</v>
      </c>
      <c r="C5117" t="s">
        <v>8673</v>
      </c>
      <c r="D5117" t="s">
        <v>18995</v>
      </c>
      <c r="E5117" t="s">
        <v>23637</v>
      </c>
      <c r="F5117" t="s">
        <v>32606</v>
      </c>
      <c r="G5117" t="s">
        <v>32613</v>
      </c>
      <c r="H5117" t="s">
        <v>32623</v>
      </c>
      <c r="I5117" t="s">
        <v>32709</v>
      </c>
      <c r="J5117" t="s">
        <v>36139</v>
      </c>
      <c r="K5117" t="s">
        <v>42623</v>
      </c>
      <c r="M5117" t="s">
        <v>44855</v>
      </c>
      <c r="N5117" t="s">
        <v>47304</v>
      </c>
      <c r="O5117" t="s">
        <v>47305</v>
      </c>
      <c r="P5117">
        <v>0</v>
      </c>
      <c r="Q5117">
        <v>3</v>
      </c>
      <c r="R5117" t="s">
        <v>47308</v>
      </c>
      <c r="S5117" t="s">
        <v>47429</v>
      </c>
      <c r="T5117" t="s">
        <v>49056</v>
      </c>
      <c r="U5117" t="s">
        <v>53870</v>
      </c>
      <c r="W5117" t="s">
        <v>44855</v>
      </c>
      <c r="X5117" t="s">
        <v>47313</v>
      </c>
    </row>
    <row r="5118" spans="1:24">
      <c r="A5118">
        <f>HYPERLINK("https://www.philgeps.gov.ph/GEPSNONPILOT/Tender/SplashBidNoticeAbstractUI.aspx?menuIndex=3&amp;refID=7189003&amp;Result=3","7189003")</f>
        <v>0</v>
      </c>
      <c r="B5118" t="s">
        <v>1814</v>
      </c>
      <c r="C5118" t="s">
        <v>8674</v>
      </c>
      <c r="D5118" t="s">
        <v>18995</v>
      </c>
      <c r="E5118" t="s">
        <v>23638</v>
      </c>
      <c r="F5118" t="s">
        <v>32606</v>
      </c>
      <c r="G5118" t="s">
        <v>32613</v>
      </c>
      <c r="H5118" t="s">
        <v>14201</v>
      </c>
      <c r="I5118" t="s">
        <v>32626</v>
      </c>
      <c r="J5118" t="s">
        <v>33529</v>
      </c>
      <c r="K5118" t="s">
        <v>42623</v>
      </c>
      <c r="M5118" t="s">
        <v>44855</v>
      </c>
      <c r="N5118" t="s">
        <v>47304</v>
      </c>
      <c r="O5118" t="s">
        <v>47305</v>
      </c>
      <c r="P5118">
        <v>0</v>
      </c>
      <c r="Q5118">
        <v>8</v>
      </c>
      <c r="R5118" t="s">
        <v>47308</v>
      </c>
      <c r="S5118" t="s">
        <v>47429</v>
      </c>
      <c r="T5118" t="s">
        <v>48973</v>
      </c>
      <c r="U5118" t="s">
        <v>53871</v>
      </c>
      <c r="W5118" t="s">
        <v>44855</v>
      </c>
      <c r="X5118" t="s">
        <v>47313</v>
      </c>
    </row>
    <row r="5119" spans="1:24">
      <c r="A5119">
        <f>HYPERLINK("https://www.philgeps.gov.ph/GEPSNONPILOT/Tender/SplashBidNoticeAbstractUI.aspx?menuIndex=3&amp;refID=7190158&amp;Result=3","7190158")</f>
        <v>0</v>
      </c>
      <c r="B5119" t="s">
        <v>1807</v>
      </c>
      <c r="C5119" t="s">
        <v>8654</v>
      </c>
      <c r="D5119" t="s">
        <v>19026</v>
      </c>
      <c r="E5119" t="s">
        <v>23639</v>
      </c>
      <c r="F5119" t="s">
        <v>32606</v>
      </c>
      <c r="G5119" t="s">
        <v>32615</v>
      </c>
      <c r="H5119" t="s">
        <v>14201</v>
      </c>
      <c r="I5119" t="s">
        <v>7577</v>
      </c>
      <c r="J5119" t="s">
        <v>36140</v>
      </c>
      <c r="K5119" t="s">
        <v>42630</v>
      </c>
      <c r="M5119" t="s">
        <v>44864</v>
      </c>
      <c r="N5119" t="s">
        <v>47304</v>
      </c>
      <c r="O5119" t="s">
        <v>47305</v>
      </c>
      <c r="P5119">
        <v>0</v>
      </c>
      <c r="Q5119">
        <v>3</v>
      </c>
      <c r="R5119" t="s">
        <v>47308</v>
      </c>
      <c r="S5119" t="s">
        <v>47429</v>
      </c>
      <c r="T5119" t="s">
        <v>49023</v>
      </c>
      <c r="U5119" t="s">
        <v>53852</v>
      </c>
      <c r="W5119" t="s">
        <v>44864</v>
      </c>
      <c r="X5119" t="s">
        <v>47312</v>
      </c>
    </row>
    <row r="5120" spans="1:24">
      <c r="A5120">
        <f>HYPERLINK("https://www.philgeps.gov.ph/GEPSNONPILOT/Tender/SplashBidNoticeAbstractUI.aspx?menuIndex=3&amp;refID=7187756&amp;Result=3","7187756")</f>
        <v>0</v>
      </c>
      <c r="B5120" t="s">
        <v>1816</v>
      </c>
      <c r="C5120" t="s">
        <v>8675</v>
      </c>
      <c r="D5120" t="s">
        <v>19015</v>
      </c>
      <c r="E5120" t="s">
        <v>23640</v>
      </c>
      <c r="F5120" t="s">
        <v>32606</v>
      </c>
      <c r="G5120" t="s">
        <v>32613</v>
      </c>
      <c r="H5120" t="s">
        <v>14201</v>
      </c>
      <c r="I5120" t="s">
        <v>7064</v>
      </c>
      <c r="J5120" t="s">
        <v>32772</v>
      </c>
      <c r="K5120" t="s">
        <v>42632</v>
      </c>
      <c r="M5120" t="s">
        <v>44857</v>
      </c>
      <c r="N5120" t="s">
        <v>47304</v>
      </c>
      <c r="O5120" t="s">
        <v>47305</v>
      </c>
      <c r="P5120">
        <v>0</v>
      </c>
      <c r="Q5120">
        <v>2</v>
      </c>
      <c r="R5120" t="s">
        <v>47308</v>
      </c>
      <c r="S5120" t="s">
        <v>47429</v>
      </c>
      <c r="T5120" t="s">
        <v>49146</v>
      </c>
      <c r="U5120" t="s">
        <v>53834</v>
      </c>
      <c r="V5120" t="s">
        <v>63122</v>
      </c>
      <c r="W5120" t="s">
        <v>44857</v>
      </c>
      <c r="X5120" t="s">
        <v>47313</v>
      </c>
    </row>
    <row r="5121" spans="1:24">
      <c r="A5121">
        <f>HYPERLINK("https://www.philgeps.gov.ph/GEPSNONPILOT/Tender/SplashBidNoticeAbstractUI.aspx?menuIndex=3&amp;refID=7196950&amp;Result=3","7196950")</f>
        <v>0</v>
      </c>
      <c r="B5121" t="s">
        <v>624</v>
      </c>
      <c r="C5121" t="s">
        <v>8676</v>
      </c>
      <c r="D5121" t="s">
        <v>19041</v>
      </c>
      <c r="E5121" t="s">
        <v>23641</v>
      </c>
      <c r="F5121" t="s">
        <v>32606</v>
      </c>
      <c r="G5121" t="s">
        <v>32613</v>
      </c>
      <c r="H5121" t="s">
        <v>14201</v>
      </c>
      <c r="I5121" t="s">
        <v>7677</v>
      </c>
      <c r="J5121" t="s">
        <v>36141</v>
      </c>
      <c r="K5121" t="s">
        <v>42623</v>
      </c>
      <c r="M5121" t="s">
        <v>43542</v>
      </c>
      <c r="N5121" t="s">
        <v>47304</v>
      </c>
      <c r="O5121" t="s">
        <v>47305</v>
      </c>
      <c r="P5121">
        <v>0</v>
      </c>
      <c r="Q5121">
        <v>8</v>
      </c>
      <c r="R5121" t="s">
        <v>47306</v>
      </c>
      <c r="S5121" t="s">
        <v>47414</v>
      </c>
      <c r="T5121" t="s">
        <v>48990</v>
      </c>
      <c r="U5121" t="s">
        <v>50627</v>
      </c>
      <c r="W5121" t="s">
        <v>43542</v>
      </c>
      <c r="X5121" t="s">
        <v>47308</v>
      </c>
    </row>
    <row r="5122" spans="1:24">
      <c r="A5122">
        <f>HYPERLINK("https://www.philgeps.gov.ph/GEPSNONPILOT/Tender/SplashBidNoticeAbstractUI.aspx?menuIndex=3&amp;refID=7196949&amp;Result=3","7196949")</f>
        <v>0</v>
      </c>
      <c r="B5122" t="s">
        <v>733</v>
      </c>
      <c r="C5122" t="s">
        <v>8677</v>
      </c>
      <c r="D5122" t="s">
        <v>19010</v>
      </c>
      <c r="E5122" t="s">
        <v>23642</v>
      </c>
      <c r="F5122" t="s">
        <v>32606</v>
      </c>
      <c r="G5122" t="s">
        <v>32614</v>
      </c>
      <c r="H5122" t="s">
        <v>14201</v>
      </c>
      <c r="I5122" t="s">
        <v>32629</v>
      </c>
      <c r="J5122" t="s">
        <v>36142</v>
      </c>
      <c r="K5122" t="s">
        <v>42624</v>
      </c>
      <c r="M5122" t="s">
        <v>43655</v>
      </c>
      <c r="N5122" t="s">
        <v>47304</v>
      </c>
      <c r="O5122" t="s">
        <v>47305</v>
      </c>
      <c r="P5122">
        <v>0</v>
      </c>
      <c r="Q5122">
        <v>0</v>
      </c>
      <c r="R5122" t="s">
        <v>47306</v>
      </c>
      <c r="S5122" t="s">
        <v>47414</v>
      </c>
      <c r="T5122" t="s">
        <v>49004</v>
      </c>
      <c r="U5122" t="s">
        <v>50865</v>
      </c>
      <c r="W5122" t="s">
        <v>43655</v>
      </c>
      <c r="X5122" t="s">
        <v>47308</v>
      </c>
    </row>
    <row r="5123" spans="1:24">
      <c r="A5123">
        <f>HYPERLINK("https://www.philgeps.gov.ph/GEPSNONPILOT/Tender/SplashBidNoticeAbstractUI.aspx?menuIndex=3&amp;refID=7196900&amp;Result=3","7196900")</f>
        <v>0</v>
      </c>
      <c r="B5123" t="s">
        <v>899</v>
      </c>
      <c r="C5123" t="s">
        <v>8678</v>
      </c>
      <c r="E5123" t="s">
        <v>23643</v>
      </c>
      <c r="F5123" t="s">
        <v>32606</v>
      </c>
      <c r="G5123" t="s">
        <v>32614</v>
      </c>
      <c r="H5123" t="s">
        <v>14201</v>
      </c>
      <c r="I5123" t="s">
        <v>6007</v>
      </c>
      <c r="J5123" t="s">
        <v>32963</v>
      </c>
      <c r="K5123" t="s">
        <v>42624</v>
      </c>
      <c r="M5123" t="s">
        <v>43836</v>
      </c>
      <c r="N5123" t="s">
        <v>47304</v>
      </c>
      <c r="O5123" t="s">
        <v>47305</v>
      </c>
      <c r="P5123">
        <v>0</v>
      </c>
      <c r="Q5123">
        <v>0</v>
      </c>
      <c r="R5123" t="s">
        <v>47306</v>
      </c>
      <c r="S5123" t="s">
        <v>47414</v>
      </c>
      <c r="T5123" t="s">
        <v>48971</v>
      </c>
      <c r="U5123" t="s">
        <v>53872</v>
      </c>
      <c r="W5123" t="s">
        <v>43836</v>
      </c>
      <c r="X5123" t="s">
        <v>47308</v>
      </c>
    </row>
    <row r="5124" spans="1:24">
      <c r="A5124">
        <f>HYPERLINK("https://www.philgeps.gov.ph/GEPSNONPILOT/Tender/SplashBidNoticeAbstractUI.aspx?menuIndex=3&amp;refID=7190428&amp;Result=3","7190428")</f>
        <v>0</v>
      </c>
      <c r="B5124" t="s">
        <v>1826</v>
      </c>
      <c r="C5124" t="s">
        <v>8679</v>
      </c>
      <c r="D5124" t="s">
        <v>19007</v>
      </c>
      <c r="E5124" t="s">
        <v>23644</v>
      </c>
      <c r="F5124" t="s">
        <v>32606</v>
      </c>
      <c r="G5124" t="s">
        <v>32613</v>
      </c>
      <c r="H5124" t="s">
        <v>32623</v>
      </c>
      <c r="I5124" t="s">
        <v>17648</v>
      </c>
      <c r="J5124" t="s">
        <v>36143</v>
      </c>
      <c r="K5124" t="s">
        <v>42627</v>
      </c>
      <c r="M5124" t="s">
        <v>44871</v>
      </c>
      <c r="N5124" t="s">
        <v>47304</v>
      </c>
      <c r="O5124" t="s">
        <v>47305</v>
      </c>
      <c r="P5124">
        <v>0</v>
      </c>
      <c r="Q5124">
        <v>0</v>
      </c>
      <c r="R5124" t="s">
        <v>47308</v>
      </c>
      <c r="S5124" t="s">
        <v>47429</v>
      </c>
      <c r="T5124" t="s">
        <v>49017</v>
      </c>
      <c r="U5124" t="s">
        <v>53873</v>
      </c>
      <c r="W5124" t="s">
        <v>44871</v>
      </c>
      <c r="X5124" t="s">
        <v>47312</v>
      </c>
    </row>
    <row r="5125" spans="1:24">
      <c r="A5125">
        <f>HYPERLINK("https://www.philgeps.gov.ph/GEPSNONPILOT/Tender/SplashBidNoticeAbstractUI.aspx?menuIndex=3&amp;refID=7190657&amp;Result=3","7190657")</f>
        <v>0</v>
      </c>
      <c r="B5125" t="s">
        <v>1687</v>
      </c>
      <c r="C5125" t="s">
        <v>8680</v>
      </c>
      <c r="D5125" t="s">
        <v>19008</v>
      </c>
      <c r="E5125" t="s">
        <v>23645</v>
      </c>
      <c r="F5125" t="s">
        <v>32606</v>
      </c>
      <c r="G5125" t="s">
        <v>32614</v>
      </c>
      <c r="H5125" t="s">
        <v>14201</v>
      </c>
      <c r="I5125" t="s">
        <v>4678</v>
      </c>
      <c r="J5125" t="s">
        <v>36144</v>
      </c>
      <c r="K5125" t="s">
        <v>42623</v>
      </c>
      <c r="M5125" t="s">
        <v>44872</v>
      </c>
      <c r="N5125" t="s">
        <v>47304</v>
      </c>
      <c r="O5125" t="s">
        <v>47305</v>
      </c>
      <c r="P5125">
        <v>0</v>
      </c>
      <c r="Q5125">
        <v>2</v>
      </c>
      <c r="R5125" t="s">
        <v>47308</v>
      </c>
      <c r="S5125" t="s">
        <v>47429</v>
      </c>
      <c r="T5125" t="s">
        <v>49257</v>
      </c>
      <c r="U5125" t="s">
        <v>53874</v>
      </c>
      <c r="W5125" t="s">
        <v>44872</v>
      </c>
      <c r="X5125" t="s">
        <v>47312</v>
      </c>
    </row>
    <row r="5126" spans="1:24">
      <c r="A5126">
        <f>HYPERLINK("https://www.philgeps.gov.ph/GEPSNONPILOT/Tender/SplashBidNoticeAbstractUI.aspx?menuIndex=3&amp;refID=7190696&amp;Result=3","7190696")</f>
        <v>0</v>
      </c>
      <c r="B5126" t="s">
        <v>1261</v>
      </c>
      <c r="C5126" t="s">
        <v>8681</v>
      </c>
      <c r="D5126" t="s">
        <v>19038</v>
      </c>
      <c r="E5126" t="s">
        <v>23646</v>
      </c>
      <c r="F5126" t="s">
        <v>32606</v>
      </c>
      <c r="G5126" t="s">
        <v>32615</v>
      </c>
      <c r="H5126" t="s">
        <v>14201</v>
      </c>
      <c r="I5126" t="s">
        <v>6931</v>
      </c>
      <c r="J5126" t="s">
        <v>36145</v>
      </c>
      <c r="K5126" t="s">
        <v>42624</v>
      </c>
      <c r="M5126" t="s">
        <v>44229</v>
      </c>
      <c r="N5126" t="s">
        <v>47304</v>
      </c>
      <c r="O5126" t="s">
        <v>47305</v>
      </c>
      <c r="P5126">
        <v>0</v>
      </c>
      <c r="Q5126">
        <v>0</v>
      </c>
      <c r="R5126" t="s">
        <v>47308</v>
      </c>
      <c r="S5126" t="s">
        <v>47429</v>
      </c>
      <c r="T5126" t="s">
        <v>49018</v>
      </c>
      <c r="U5126" t="s">
        <v>53875</v>
      </c>
      <c r="W5126" t="s">
        <v>44229</v>
      </c>
      <c r="X5126" t="s">
        <v>47312</v>
      </c>
    </row>
    <row r="5127" spans="1:24">
      <c r="A5127">
        <f>HYPERLINK("https://www.philgeps.gov.ph/GEPSNONPILOT/Tender/SplashBidNoticeAbstractUI.aspx?menuIndex=3&amp;refID=7190186&amp;Result=3","7190186")</f>
        <v>0</v>
      </c>
      <c r="B5127" t="s">
        <v>1827</v>
      </c>
      <c r="C5127" t="s">
        <v>8682</v>
      </c>
      <c r="D5127" t="s">
        <v>19012</v>
      </c>
      <c r="E5127" t="s">
        <v>23647</v>
      </c>
      <c r="F5127" t="s">
        <v>32606</v>
      </c>
      <c r="G5127" t="s">
        <v>32619</v>
      </c>
      <c r="H5127" t="s">
        <v>14201</v>
      </c>
      <c r="I5127" t="s">
        <v>8682</v>
      </c>
      <c r="J5127" t="s">
        <v>34478</v>
      </c>
      <c r="K5127" t="s">
        <v>42631</v>
      </c>
      <c r="M5127" t="s">
        <v>44873</v>
      </c>
      <c r="N5127" t="s">
        <v>47304</v>
      </c>
      <c r="O5127" t="s">
        <v>47305</v>
      </c>
      <c r="P5127">
        <v>0</v>
      </c>
      <c r="Q5127">
        <v>7</v>
      </c>
      <c r="R5127" t="s">
        <v>47308</v>
      </c>
      <c r="S5127" t="s">
        <v>47429</v>
      </c>
      <c r="T5127" t="s">
        <v>49311</v>
      </c>
      <c r="U5127" t="s">
        <v>53876</v>
      </c>
      <c r="W5127" t="s">
        <v>44873</v>
      </c>
      <c r="X5127" t="s">
        <v>47312</v>
      </c>
    </row>
    <row r="5128" spans="1:24">
      <c r="A5128">
        <f>HYPERLINK("https://www.philgeps.gov.ph/GEPSNONPILOT/Tender/SplashBidNoticeAbstractUI.aspx?menuIndex=3&amp;refID=7190687&amp;Result=3","7190687")</f>
        <v>0</v>
      </c>
      <c r="B5128" t="s">
        <v>1261</v>
      </c>
      <c r="C5128" t="s">
        <v>8683</v>
      </c>
      <c r="D5128" t="s">
        <v>19038</v>
      </c>
      <c r="E5128" t="s">
        <v>23648</v>
      </c>
      <c r="F5128" t="s">
        <v>32606</v>
      </c>
      <c r="G5128" t="s">
        <v>32615</v>
      </c>
      <c r="H5128" t="s">
        <v>14201</v>
      </c>
      <c r="I5128" t="s">
        <v>6931</v>
      </c>
      <c r="J5128" t="s">
        <v>36146</v>
      </c>
      <c r="K5128" t="s">
        <v>42624</v>
      </c>
      <c r="M5128" t="s">
        <v>44229</v>
      </c>
      <c r="N5128" t="s">
        <v>47304</v>
      </c>
      <c r="O5128" t="s">
        <v>47305</v>
      </c>
      <c r="P5128">
        <v>0</v>
      </c>
      <c r="Q5128">
        <v>0</v>
      </c>
      <c r="R5128" t="s">
        <v>47308</v>
      </c>
      <c r="S5128" t="s">
        <v>47429</v>
      </c>
      <c r="T5128" t="s">
        <v>49018</v>
      </c>
      <c r="U5128" t="s">
        <v>53875</v>
      </c>
      <c r="W5128" t="s">
        <v>44229</v>
      </c>
      <c r="X5128" t="s">
        <v>47312</v>
      </c>
    </row>
    <row r="5129" spans="1:24">
      <c r="A5129">
        <f>HYPERLINK("https://www.philgeps.gov.ph/GEPSNONPILOT/Tender/SplashBidNoticeAbstractUI.aspx?menuIndex=3&amp;refID=7190663&amp;Result=3","7190663")</f>
        <v>0</v>
      </c>
      <c r="B5129" t="s">
        <v>1261</v>
      </c>
      <c r="C5129" t="s">
        <v>8684</v>
      </c>
      <c r="D5129" t="s">
        <v>19038</v>
      </c>
      <c r="E5129" t="s">
        <v>23649</v>
      </c>
      <c r="F5129" t="s">
        <v>32606</v>
      </c>
      <c r="G5129" t="s">
        <v>32615</v>
      </c>
      <c r="H5129" t="s">
        <v>14201</v>
      </c>
      <c r="I5129" t="s">
        <v>6931</v>
      </c>
      <c r="J5129" t="s">
        <v>36147</v>
      </c>
      <c r="K5129" t="s">
        <v>42624</v>
      </c>
      <c r="M5129" t="s">
        <v>44229</v>
      </c>
      <c r="N5129" t="s">
        <v>47304</v>
      </c>
      <c r="O5129" t="s">
        <v>47305</v>
      </c>
      <c r="P5129">
        <v>0</v>
      </c>
      <c r="Q5129">
        <v>0</v>
      </c>
      <c r="R5129" t="s">
        <v>47308</v>
      </c>
      <c r="S5129" t="s">
        <v>47429</v>
      </c>
      <c r="T5129" t="s">
        <v>49018</v>
      </c>
      <c r="U5129" t="s">
        <v>53875</v>
      </c>
      <c r="W5129" t="s">
        <v>44229</v>
      </c>
      <c r="X5129" t="s">
        <v>47312</v>
      </c>
    </row>
    <row r="5130" spans="1:24">
      <c r="A5130">
        <f>HYPERLINK("https://www.philgeps.gov.ph/GEPSNONPILOT/Tender/SplashBidNoticeAbstractUI.aspx?menuIndex=3&amp;refID=7196923&amp;Result=3","7196923")</f>
        <v>0</v>
      </c>
      <c r="B5130" t="s">
        <v>81</v>
      </c>
      <c r="C5130" t="s">
        <v>4772</v>
      </c>
      <c r="D5130" t="s">
        <v>18995</v>
      </c>
      <c r="E5130" t="s">
        <v>23650</v>
      </c>
      <c r="F5130" t="s">
        <v>32606</v>
      </c>
      <c r="G5130" t="s">
        <v>32614</v>
      </c>
      <c r="H5130" t="s">
        <v>14201</v>
      </c>
      <c r="I5130" t="s">
        <v>4120</v>
      </c>
      <c r="J5130" t="s">
        <v>36148</v>
      </c>
      <c r="K5130" t="s">
        <v>42624</v>
      </c>
      <c r="M5130" t="s">
        <v>42978</v>
      </c>
      <c r="N5130" t="s">
        <v>47304</v>
      </c>
      <c r="O5130" t="s">
        <v>47305</v>
      </c>
      <c r="P5130">
        <v>0</v>
      </c>
      <c r="Q5130">
        <v>0</v>
      </c>
      <c r="R5130" t="s">
        <v>47306</v>
      </c>
      <c r="S5130" t="s">
        <v>47414</v>
      </c>
      <c r="T5130" t="s">
        <v>49014</v>
      </c>
      <c r="U5130" t="s">
        <v>53877</v>
      </c>
      <c r="W5130" t="s">
        <v>42978</v>
      </c>
      <c r="X5130" t="s">
        <v>47308</v>
      </c>
    </row>
    <row r="5131" spans="1:24">
      <c r="A5131">
        <f>HYPERLINK("https://www.philgeps.gov.ph/GEPSNONPILOT/Tender/SplashBidNoticeAbstractUI.aspx?menuIndex=3&amp;refID=7190606&amp;Result=3","7190606")</f>
        <v>0</v>
      </c>
      <c r="B5131" t="s">
        <v>659</v>
      </c>
      <c r="C5131" t="s">
        <v>8685</v>
      </c>
      <c r="D5131" t="s">
        <v>19018</v>
      </c>
      <c r="E5131" t="s">
        <v>23651</v>
      </c>
      <c r="F5131" t="s">
        <v>32606</v>
      </c>
      <c r="G5131" t="s">
        <v>32617</v>
      </c>
      <c r="H5131" t="s">
        <v>14201</v>
      </c>
      <c r="I5131" t="s">
        <v>4120</v>
      </c>
      <c r="J5131" t="s">
        <v>36149</v>
      </c>
      <c r="K5131" t="s">
        <v>42632</v>
      </c>
      <c r="M5131" t="s">
        <v>43579</v>
      </c>
      <c r="N5131" t="s">
        <v>47304</v>
      </c>
      <c r="O5131" t="s">
        <v>47305</v>
      </c>
      <c r="P5131">
        <v>0</v>
      </c>
      <c r="Q5131">
        <v>0</v>
      </c>
      <c r="R5131" t="s">
        <v>47308</v>
      </c>
      <c r="S5131" t="s">
        <v>47429</v>
      </c>
      <c r="T5131" t="s">
        <v>49072</v>
      </c>
      <c r="U5131" t="s">
        <v>53878</v>
      </c>
      <c r="W5131" t="s">
        <v>43579</v>
      </c>
      <c r="X5131" t="s">
        <v>47312</v>
      </c>
    </row>
    <row r="5132" spans="1:24">
      <c r="A5132">
        <f>HYPERLINK("https://www.philgeps.gov.ph/GEPSNONPILOT/Tender/SplashBidNoticeAbstractUI.aspx?menuIndex=3&amp;refID=7190195&amp;Result=3","7190195")</f>
        <v>0</v>
      </c>
      <c r="B5132" t="s">
        <v>1807</v>
      </c>
      <c r="C5132" t="s">
        <v>8654</v>
      </c>
      <c r="D5132" t="s">
        <v>19026</v>
      </c>
      <c r="E5132" t="s">
        <v>23652</v>
      </c>
      <c r="F5132" t="s">
        <v>32606</v>
      </c>
      <c r="G5132" t="s">
        <v>32615</v>
      </c>
      <c r="H5132" t="s">
        <v>14201</v>
      </c>
      <c r="I5132" t="s">
        <v>7577</v>
      </c>
      <c r="J5132" t="s">
        <v>36150</v>
      </c>
      <c r="K5132" t="s">
        <v>42630</v>
      </c>
      <c r="M5132" t="s">
        <v>44864</v>
      </c>
      <c r="N5132" t="s">
        <v>47304</v>
      </c>
      <c r="O5132" t="s">
        <v>47305</v>
      </c>
      <c r="P5132">
        <v>0</v>
      </c>
      <c r="Q5132">
        <v>2</v>
      </c>
      <c r="R5132" t="s">
        <v>47308</v>
      </c>
      <c r="S5132" t="s">
        <v>47429</v>
      </c>
      <c r="T5132" t="s">
        <v>49023</v>
      </c>
      <c r="U5132" t="s">
        <v>53852</v>
      </c>
      <c r="W5132" t="s">
        <v>44864</v>
      </c>
      <c r="X5132" t="s">
        <v>47312</v>
      </c>
    </row>
    <row r="5133" spans="1:24">
      <c r="A5133">
        <f>HYPERLINK("https://www.philgeps.gov.ph/GEPSNONPILOT/Tender/SplashBidNoticeAbstractUI.aspx?menuIndex=3&amp;refID=7190699&amp;Result=3","7190699")</f>
        <v>0</v>
      </c>
      <c r="B5133" t="s">
        <v>1687</v>
      </c>
      <c r="C5133" t="s">
        <v>8686</v>
      </c>
      <c r="D5133" t="s">
        <v>19008</v>
      </c>
      <c r="E5133" t="s">
        <v>23653</v>
      </c>
      <c r="F5133" t="s">
        <v>32606</v>
      </c>
      <c r="G5133" t="s">
        <v>32614</v>
      </c>
      <c r="H5133" t="s">
        <v>14201</v>
      </c>
      <c r="I5133" t="s">
        <v>6993</v>
      </c>
      <c r="J5133" t="s">
        <v>36151</v>
      </c>
      <c r="K5133" t="s">
        <v>42623</v>
      </c>
      <c r="M5133" t="s">
        <v>44872</v>
      </c>
      <c r="N5133" t="s">
        <v>47304</v>
      </c>
      <c r="O5133" t="s">
        <v>47305</v>
      </c>
      <c r="P5133">
        <v>0</v>
      </c>
      <c r="Q5133">
        <v>0</v>
      </c>
      <c r="R5133" t="s">
        <v>47308</v>
      </c>
      <c r="S5133" t="s">
        <v>47429</v>
      </c>
      <c r="T5133" t="s">
        <v>49257</v>
      </c>
      <c r="U5133" t="s">
        <v>53879</v>
      </c>
      <c r="W5133" t="s">
        <v>44872</v>
      </c>
      <c r="X5133" t="s">
        <v>47312</v>
      </c>
    </row>
    <row r="5134" spans="1:24">
      <c r="A5134">
        <f>HYPERLINK("https://www.philgeps.gov.ph/GEPSNONPILOT/Tender/SplashBidNoticeAbstractUI.aspx?menuIndex=3&amp;refID=7190181&amp;Result=3","7190181")</f>
        <v>0</v>
      </c>
      <c r="B5134" t="s">
        <v>280</v>
      </c>
      <c r="C5134" t="s">
        <v>8687</v>
      </c>
      <c r="D5134" t="s">
        <v>19028</v>
      </c>
      <c r="E5134" t="s">
        <v>8687</v>
      </c>
      <c r="F5134" t="s">
        <v>32606</v>
      </c>
      <c r="G5134" t="s">
        <v>32614</v>
      </c>
      <c r="H5134" t="s">
        <v>14201</v>
      </c>
      <c r="I5134" t="s">
        <v>6298</v>
      </c>
      <c r="J5134" t="s">
        <v>36152</v>
      </c>
      <c r="K5134" t="s">
        <v>42631</v>
      </c>
      <c r="M5134" t="s">
        <v>43712</v>
      </c>
      <c r="N5134" t="s">
        <v>47304</v>
      </c>
      <c r="O5134" t="s">
        <v>47305</v>
      </c>
      <c r="P5134">
        <v>0</v>
      </c>
      <c r="Q5134">
        <v>0</v>
      </c>
      <c r="R5134" t="s">
        <v>47308</v>
      </c>
      <c r="S5134" t="s">
        <v>47429</v>
      </c>
      <c r="T5134" t="s">
        <v>49257</v>
      </c>
      <c r="U5134" t="s">
        <v>53880</v>
      </c>
      <c r="W5134" t="s">
        <v>43712</v>
      </c>
      <c r="X5134" t="s">
        <v>47312</v>
      </c>
    </row>
    <row r="5135" spans="1:24">
      <c r="A5135">
        <f>HYPERLINK("https://www.philgeps.gov.ph/GEPSNONPILOT/Tender/SplashBidNoticeAbstractUI.aspx?menuIndex=3&amp;refID=7190538&amp;Result=3","7190538")</f>
        <v>0</v>
      </c>
      <c r="B5135" t="s">
        <v>1823</v>
      </c>
      <c r="C5135" t="s">
        <v>8688</v>
      </c>
      <c r="D5135" t="s">
        <v>19008</v>
      </c>
      <c r="E5135" t="s">
        <v>23622</v>
      </c>
      <c r="F5135" t="s">
        <v>32606</v>
      </c>
      <c r="G5135" t="s">
        <v>32613</v>
      </c>
      <c r="H5135" t="s">
        <v>14201</v>
      </c>
      <c r="I5135" t="s">
        <v>6931</v>
      </c>
      <c r="J5135" t="s">
        <v>36153</v>
      </c>
      <c r="K5135" t="s">
        <v>42627</v>
      </c>
      <c r="M5135" t="s">
        <v>44866</v>
      </c>
      <c r="N5135" t="s">
        <v>47304</v>
      </c>
      <c r="O5135" t="s">
        <v>47305</v>
      </c>
      <c r="P5135">
        <v>0</v>
      </c>
      <c r="Q5135">
        <v>0</v>
      </c>
      <c r="R5135" t="s">
        <v>47308</v>
      </c>
      <c r="S5135" t="s">
        <v>47429</v>
      </c>
      <c r="T5135" t="s">
        <v>49148</v>
      </c>
      <c r="U5135" t="s">
        <v>53093</v>
      </c>
      <c r="V5135" t="s">
        <v>63120</v>
      </c>
      <c r="W5135" t="s">
        <v>44866</v>
      </c>
      <c r="X5135" t="s">
        <v>47312</v>
      </c>
    </row>
    <row r="5136" spans="1:24">
      <c r="A5136">
        <f>HYPERLINK("https://www.philgeps.gov.ph/GEPSNONPILOT/Tender/SplashBidNoticeAbstractUI.aspx?menuIndex=3&amp;refID=7190632&amp;Result=3","7190632")</f>
        <v>0</v>
      </c>
      <c r="B5136" t="s">
        <v>1828</v>
      </c>
      <c r="C5136" t="s">
        <v>8689</v>
      </c>
      <c r="D5136" t="s">
        <v>19014</v>
      </c>
      <c r="E5136" t="s">
        <v>23654</v>
      </c>
      <c r="F5136" t="s">
        <v>32606</v>
      </c>
      <c r="G5136" t="s">
        <v>32613</v>
      </c>
      <c r="H5136" t="s">
        <v>14201</v>
      </c>
      <c r="I5136" t="s">
        <v>8606</v>
      </c>
      <c r="J5136" t="s">
        <v>36154</v>
      </c>
      <c r="K5136" t="s">
        <v>42623</v>
      </c>
      <c r="M5136" t="s">
        <v>44874</v>
      </c>
      <c r="N5136" t="s">
        <v>47304</v>
      </c>
      <c r="O5136" t="s">
        <v>47305</v>
      </c>
      <c r="P5136">
        <v>0</v>
      </c>
      <c r="Q5136">
        <v>1</v>
      </c>
      <c r="R5136" t="s">
        <v>47308</v>
      </c>
      <c r="S5136" t="s">
        <v>47429</v>
      </c>
      <c r="T5136" t="s">
        <v>49057</v>
      </c>
      <c r="U5136" t="s">
        <v>53881</v>
      </c>
      <c r="W5136" t="s">
        <v>44874</v>
      </c>
      <c r="X5136" t="s">
        <v>47312</v>
      </c>
    </row>
    <row r="5137" spans="1:24">
      <c r="A5137">
        <f>HYPERLINK("https://www.philgeps.gov.ph/GEPSNONPILOT/Tender/SplashBidNoticeAbstractUI.aspx?menuIndex=3&amp;refID=7190507&amp;Result=3","7190507")</f>
        <v>0</v>
      </c>
      <c r="B5137" t="s">
        <v>376</v>
      </c>
      <c r="C5137" t="s">
        <v>4699</v>
      </c>
      <c r="D5137" t="s">
        <v>19039</v>
      </c>
      <c r="E5137" t="s">
        <v>23655</v>
      </c>
      <c r="F5137" t="s">
        <v>32606</v>
      </c>
      <c r="G5137" t="s">
        <v>32614</v>
      </c>
      <c r="H5137" t="s">
        <v>14201</v>
      </c>
      <c r="I5137" t="s">
        <v>4120</v>
      </c>
      <c r="J5137" t="s">
        <v>32752</v>
      </c>
      <c r="K5137" t="s">
        <v>42630</v>
      </c>
      <c r="M5137" t="s">
        <v>43278</v>
      </c>
      <c r="N5137" t="s">
        <v>47304</v>
      </c>
      <c r="O5137" t="s">
        <v>47305</v>
      </c>
      <c r="P5137">
        <v>0</v>
      </c>
      <c r="Q5137">
        <v>0</v>
      </c>
      <c r="R5137" t="s">
        <v>47308</v>
      </c>
      <c r="S5137" t="s">
        <v>47429</v>
      </c>
      <c r="T5137" t="s">
        <v>49257</v>
      </c>
      <c r="U5137" t="s">
        <v>53882</v>
      </c>
      <c r="W5137" t="s">
        <v>43278</v>
      </c>
      <c r="X5137" t="s">
        <v>47312</v>
      </c>
    </row>
    <row r="5138" spans="1:24">
      <c r="A5138">
        <f>HYPERLINK("https://www.philgeps.gov.ph/GEPSNONPILOT/Tender/SplashBidNoticeAbstractUI.aspx?menuIndex=3&amp;refID=7190490&amp;Result=3","7190490")</f>
        <v>0</v>
      </c>
      <c r="B5138" t="s">
        <v>70</v>
      </c>
      <c r="C5138" t="s">
        <v>8690</v>
      </c>
      <c r="D5138" t="s">
        <v>18993</v>
      </c>
      <c r="E5138" t="s">
        <v>23656</v>
      </c>
      <c r="F5138" t="s">
        <v>32606</v>
      </c>
      <c r="G5138" t="s">
        <v>32614</v>
      </c>
      <c r="H5138" t="s">
        <v>14201</v>
      </c>
      <c r="I5138" t="s">
        <v>6931</v>
      </c>
      <c r="J5138" t="s">
        <v>36155</v>
      </c>
      <c r="K5138" t="s">
        <v>42632</v>
      </c>
      <c r="M5138" t="s">
        <v>44875</v>
      </c>
      <c r="N5138" t="s">
        <v>47304</v>
      </c>
      <c r="O5138" t="s">
        <v>47305</v>
      </c>
      <c r="P5138">
        <v>0</v>
      </c>
      <c r="Q5138">
        <v>0</v>
      </c>
      <c r="R5138" t="s">
        <v>47308</v>
      </c>
      <c r="S5138" t="s">
        <v>47429</v>
      </c>
      <c r="T5138" t="s">
        <v>48998</v>
      </c>
      <c r="U5138" t="s">
        <v>53883</v>
      </c>
      <c r="W5138" t="s">
        <v>44875</v>
      </c>
      <c r="X5138" t="s">
        <v>47312</v>
      </c>
    </row>
    <row r="5139" spans="1:24">
      <c r="A5139">
        <f>HYPERLINK("https://www.philgeps.gov.ph/GEPSNONPILOT/Tender/SplashBidNoticeAbstractUI.aspx?menuIndex=3&amp;refID=7190575&amp;Result=3","7190575")</f>
        <v>0</v>
      </c>
      <c r="B5139" t="s">
        <v>659</v>
      </c>
      <c r="C5139" t="s">
        <v>8691</v>
      </c>
      <c r="D5139" t="s">
        <v>19018</v>
      </c>
      <c r="E5139" t="s">
        <v>23657</v>
      </c>
      <c r="F5139" t="s">
        <v>32606</v>
      </c>
      <c r="G5139" t="s">
        <v>32614</v>
      </c>
      <c r="H5139" t="s">
        <v>14201</v>
      </c>
      <c r="I5139" t="s">
        <v>32632</v>
      </c>
      <c r="J5139" t="s">
        <v>36156</v>
      </c>
      <c r="K5139" t="s">
        <v>42623</v>
      </c>
      <c r="M5139" t="s">
        <v>43579</v>
      </c>
      <c r="N5139" t="s">
        <v>47304</v>
      </c>
      <c r="O5139" t="s">
        <v>47305</v>
      </c>
      <c r="P5139">
        <v>0</v>
      </c>
      <c r="Q5139">
        <v>0</v>
      </c>
      <c r="R5139" t="s">
        <v>47308</v>
      </c>
      <c r="S5139" t="s">
        <v>47429</v>
      </c>
      <c r="T5139" t="s">
        <v>49072</v>
      </c>
      <c r="U5139" t="s">
        <v>53884</v>
      </c>
      <c r="W5139" t="s">
        <v>43579</v>
      </c>
      <c r="X5139" t="s">
        <v>47312</v>
      </c>
    </row>
    <row r="5140" spans="1:24">
      <c r="A5140">
        <f>HYPERLINK("https://www.philgeps.gov.ph/GEPSNONPILOT/Tender/SplashBidNoticeAbstractUI.aspx?menuIndex=3&amp;refID=7190869&amp;Result=3","7190869")</f>
        <v>0</v>
      </c>
      <c r="B5140" t="s">
        <v>357</v>
      </c>
      <c r="C5140" t="s">
        <v>6993</v>
      </c>
      <c r="D5140" t="s">
        <v>19010</v>
      </c>
      <c r="E5140" t="s">
        <v>23658</v>
      </c>
      <c r="F5140" t="s">
        <v>32606</v>
      </c>
      <c r="G5140" t="s">
        <v>32614</v>
      </c>
      <c r="H5140" t="s">
        <v>14201</v>
      </c>
      <c r="I5140" t="s">
        <v>6993</v>
      </c>
      <c r="J5140" t="s">
        <v>32897</v>
      </c>
      <c r="K5140" t="s">
        <v>42630</v>
      </c>
      <c r="M5140" t="s">
        <v>43259</v>
      </c>
      <c r="N5140" t="s">
        <v>47304</v>
      </c>
      <c r="O5140" t="s">
        <v>47305</v>
      </c>
      <c r="P5140">
        <v>0</v>
      </c>
      <c r="Q5140">
        <v>2</v>
      </c>
      <c r="R5140" t="s">
        <v>47308</v>
      </c>
      <c r="S5140" t="s">
        <v>47429</v>
      </c>
      <c r="T5140" t="s">
        <v>48998</v>
      </c>
      <c r="U5140" t="s">
        <v>53885</v>
      </c>
      <c r="W5140" t="s">
        <v>43259</v>
      </c>
      <c r="X5140" t="s">
        <v>47312</v>
      </c>
    </row>
    <row r="5141" spans="1:24">
      <c r="A5141">
        <f>HYPERLINK("https://www.philgeps.gov.ph/GEPSNONPILOT/Tender/SplashBidNoticeAbstractUI.aspx?menuIndex=3&amp;refID=7190667&amp;Result=3","7190667")</f>
        <v>0</v>
      </c>
      <c r="B5141" t="s">
        <v>1640</v>
      </c>
      <c r="C5141" t="s">
        <v>8692</v>
      </c>
      <c r="D5141" t="s">
        <v>19041</v>
      </c>
      <c r="E5141" t="s">
        <v>23659</v>
      </c>
      <c r="F5141" t="s">
        <v>32606</v>
      </c>
      <c r="G5141" t="s">
        <v>32613</v>
      </c>
      <c r="H5141" t="s">
        <v>14201</v>
      </c>
      <c r="I5141" t="s">
        <v>4120</v>
      </c>
      <c r="J5141" t="s">
        <v>36157</v>
      </c>
      <c r="K5141" t="s">
        <v>42623</v>
      </c>
      <c r="M5141" t="s">
        <v>44661</v>
      </c>
      <c r="N5141" t="s">
        <v>47304</v>
      </c>
      <c r="O5141" t="s">
        <v>47305</v>
      </c>
      <c r="P5141">
        <v>0</v>
      </c>
      <c r="Q5141">
        <v>2</v>
      </c>
      <c r="R5141" t="s">
        <v>47308</v>
      </c>
      <c r="S5141" t="s">
        <v>47429</v>
      </c>
      <c r="T5141" t="s">
        <v>49163</v>
      </c>
      <c r="U5141" t="s">
        <v>53886</v>
      </c>
      <c r="W5141" t="s">
        <v>44661</v>
      </c>
      <c r="X5141" t="s">
        <v>47312</v>
      </c>
    </row>
    <row r="5142" spans="1:24">
      <c r="A5142">
        <f>HYPERLINK("https://www.philgeps.gov.ph/GEPSNONPILOT/Tender/SplashBidNoticeAbstractUI.aspx?menuIndex=3&amp;refID=7190508&amp;Result=3","7190508")</f>
        <v>0</v>
      </c>
      <c r="B5142" t="s">
        <v>1687</v>
      </c>
      <c r="C5142" t="s">
        <v>8693</v>
      </c>
      <c r="D5142" t="s">
        <v>19008</v>
      </c>
      <c r="E5142" t="s">
        <v>23660</v>
      </c>
      <c r="F5142" t="s">
        <v>32606</v>
      </c>
      <c r="G5142" t="s">
        <v>32614</v>
      </c>
      <c r="H5142" t="s">
        <v>14201</v>
      </c>
      <c r="I5142" t="s">
        <v>4114</v>
      </c>
      <c r="J5142" t="s">
        <v>36158</v>
      </c>
      <c r="K5142" t="s">
        <v>42623</v>
      </c>
      <c r="M5142" t="s">
        <v>44872</v>
      </c>
      <c r="N5142" t="s">
        <v>47304</v>
      </c>
      <c r="O5142" t="s">
        <v>47305</v>
      </c>
      <c r="P5142">
        <v>0</v>
      </c>
      <c r="Q5142">
        <v>1</v>
      </c>
      <c r="R5142" t="s">
        <v>47308</v>
      </c>
      <c r="S5142" t="s">
        <v>47429</v>
      </c>
      <c r="T5142" t="s">
        <v>49072</v>
      </c>
      <c r="U5142" t="s">
        <v>53887</v>
      </c>
      <c r="W5142" t="s">
        <v>44872</v>
      </c>
      <c r="X5142" t="s">
        <v>47312</v>
      </c>
    </row>
    <row r="5143" spans="1:24">
      <c r="A5143">
        <f>HYPERLINK("https://www.philgeps.gov.ph/GEPSNONPILOT/Tender/SplashBidNoticeAbstractUI.aspx?menuIndex=3&amp;refID=7190858&amp;Result=3","7190858")</f>
        <v>0</v>
      </c>
      <c r="B5143" t="s">
        <v>1829</v>
      </c>
      <c r="C5143" t="s">
        <v>8694</v>
      </c>
      <c r="D5143" t="s">
        <v>19007</v>
      </c>
      <c r="E5143" t="s">
        <v>23661</v>
      </c>
      <c r="F5143" t="s">
        <v>32606</v>
      </c>
      <c r="G5143" t="s">
        <v>32613</v>
      </c>
      <c r="H5143" t="s">
        <v>32623</v>
      </c>
      <c r="I5143" t="s">
        <v>17648</v>
      </c>
      <c r="J5143" t="s">
        <v>33370</v>
      </c>
      <c r="K5143" t="s">
        <v>42627</v>
      </c>
      <c r="L5143" t="s">
        <v>1829</v>
      </c>
      <c r="M5143" t="s">
        <v>44876</v>
      </c>
      <c r="N5143" t="s">
        <v>47304</v>
      </c>
      <c r="O5143" t="s">
        <v>47305</v>
      </c>
      <c r="P5143">
        <v>0</v>
      </c>
      <c r="Q5143">
        <v>0</v>
      </c>
      <c r="R5143" t="s">
        <v>47308</v>
      </c>
      <c r="S5143" t="s">
        <v>47429</v>
      </c>
      <c r="T5143" t="s">
        <v>49133</v>
      </c>
      <c r="U5143" t="s">
        <v>53888</v>
      </c>
      <c r="W5143" t="s">
        <v>44876</v>
      </c>
      <c r="X5143" t="s">
        <v>47312</v>
      </c>
    </row>
    <row r="5144" spans="1:24">
      <c r="A5144">
        <f>HYPERLINK("https://www.philgeps.gov.ph/GEPSNONPILOT/Tender/SplashBidNoticeAbstractUI.aspx?menuIndex=3&amp;refID=7190825&amp;Result=3","7190825")</f>
        <v>0</v>
      </c>
      <c r="B5144" t="s">
        <v>1261</v>
      </c>
      <c r="C5144" t="s">
        <v>8695</v>
      </c>
      <c r="D5144" t="s">
        <v>19038</v>
      </c>
      <c r="E5144" t="s">
        <v>23662</v>
      </c>
      <c r="F5144" t="s">
        <v>32606</v>
      </c>
      <c r="G5144" t="s">
        <v>32615</v>
      </c>
      <c r="H5144" t="s">
        <v>14201</v>
      </c>
      <c r="I5144" t="s">
        <v>6931</v>
      </c>
      <c r="J5144" t="s">
        <v>32754</v>
      </c>
      <c r="K5144" t="s">
        <v>42624</v>
      </c>
      <c r="M5144" t="s">
        <v>44229</v>
      </c>
      <c r="N5144" t="s">
        <v>47304</v>
      </c>
      <c r="O5144" t="s">
        <v>47305</v>
      </c>
      <c r="P5144">
        <v>0</v>
      </c>
      <c r="Q5144">
        <v>0</v>
      </c>
      <c r="R5144" t="s">
        <v>47308</v>
      </c>
      <c r="S5144" t="s">
        <v>47429</v>
      </c>
      <c r="T5144" t="s">
        <v>49018</v>
      </c>
      <c r="U5144" t="s">
        <v>53875</v>
      </c>
      <c r="W5144" t="s">
        <v>44229</v>
      </c>
      <c r="X5144" t="s">
        <v>47312</v>
      </c>
    </row>
    <row r="5145" spans="1:24">
      <c r="A5145">
        <f>HYPERLINK("https://www.philgeps.gov.ph/GEPSNONPILOT/Tender/SplashBidNoticeAbstractUI.aspx?menuIndex=3&amp;refID=7190600&amp;Result=3","7190600")</f>
        <v>0</v>
      </c>
      <c r="B5145" t="s">
        <v>1829</v>
      </c>
      <c r="C5145" t="s">
        <v>8696</v>
      </c>
      <c r="D5145" t="s">
        <v>19007</v>
      </c>
      <c r="E5145" t="s">
        <v>23663</v>
      </c>
      <c r="F5145" t="s">
        <v>32606</v>
      </c>
      <c r="G5145" t="s">
        <v>32613</v>
      </c>
      <c r="H5145" t="s">
        <v>32623</v>
      </c>
      <c r="I5145" t="s">
        <v>17648</v>
      </c>
      <c r="J5145" t="s">
        <v>36159</v>
      </c>
      <c r="K5145" t="s">
        <v>42769</v>
      </c>
      <c r="L5145" t="s">
        <v>1829</v>
      </c>
      <c r="M5145" t="s">
        <v>44876</v>
      </c>
      <c r="N5145" t="s">
        <v>47304</v>
      </c>
      <c r="O5145" t="s">
        <v>47305</v>
      </c>
      <c r="P5145">
        <v>0</v>
      </c>
      <c r="Q5145">
        <v>8</v>
      </c>
      <c r="R5145" t="s">
        <v>47308</v>
      </c>
      <c r="S5145" t="s">
        <v>47429</v>
      </c>
      <c r="T5145" t="s">
        <v>49133</v>
      </c>
      <c r="U5145" t="s">
        <v>53888</v>
      </c>
      <c r="W5145" t="s">
        <v>44876</v>
      </c>
      <c r="X5145" t="s">
        <v>47312</v>
      </c>
    </row>
    <row r="5146" spans="1:24">
      <c r="A5146">
        <f>HYPERLINK("https://www.philgeps.gov.ph/GEPSNONPILOT/Tender/SplashBidNoticeAbstractUI.aspx?menuIndex=3&amp;refID=7190548&amp;Result=3","7190548")</f>
        <v>0</v>
      </c>
      <c r="B5146" t="s">
        <v>1261</v>
      </c>
      <c r="C5146" t="s">
        <v>8697</v>
      </c>
      <c r="D5146" t="s">
        <v>19038</v>
      </c>
      <c r="E5146" t="s">
        <v>23664</v>
      </c>
      <c r="F5146" t="s">
        <v>32606</v>
      </c>
      <c r="G5146" t="s">
        <v>32615</v>
      </c>
      <c r="H5146" t="s">
        <v>14201</v>
      </c>
      <c r="I5146" t="s">
        <v>6931</v>
      </c>
      <c r="J5146" t="s">
        <v>36160</v>
      </c>
      <c r="K5146" t="s">
        <v>42624</v>
      </c>
      <c r="M5146" t="s">
        <v>44229</v>
      </c>
      <c r="N5146" t="s">
        <v>47304</v>
      </c>
      <c r="O5146" t="s">
        <v>47305</v>
      </c>
      <c r="P5146">
        <v>0</v>
      </c>
      <c r="Q5146">
        <v>0</v>
      </c>
      <c r="R5146" t="s">
        <v>47308</v>
      </c>
      <c r="S5146" t="s">
        <v>47429</v>
      </c>
      <c r="T5146" t="s">
        <v>49018</v>
      </c>
      <c r="U5146" t="s">
        <v>53875</v>
      </c>
      <c r="W5146" t="s">
        <v>44229</v>
      </c>
      <c r="X5146" t="s">
        <v>47312</v>
      </c>
    </row>
    <row r="5147" spans="1:24">
      <c r="A5147">
        <f>HYPERLINK("https://www.philgeps.gov.ph/GEPSNONPILOT/Tender/SplashBidNoticeAbstractUI.aspx?menuIndex=3&amp;refID=7190810&amp;Result=3","7190810")</f>
        <v>0</v>
      </c>
      <c r="B5147" t="s">
        <v>1829</v>
      </c>
      <c r="C5147" t="s">
        <v>8698</v>
      </c>
      <c r="D5147" t="s">
        <v>19007</v>
      </c>
      <c r="E5147" t="s">
        <v>23665</v>
      </c>
      <c r="F5147" t="s">
        <v>32606</v>
      </c>
      <c r="G5147" t="s">
        <v>32613</v>
      </c>
      <c r="H5147" t="s">
        <v>32623</v>
      </c>
      <c r="I5147" t="s">
        <v>17648</v>
      </c>
      <c r="J5147" t="s">
        <v>34625</v>
      </c>
      <c r="K5147" t="s">
        <v>42668</v>
      </c>
      <c r="L5147" t="s">
        <v>1829</v>
      </c>
      <c r="M5147" t="s">
        <v>44876</v>
      </c>
      <c r="N5147" t="s">
        <v>47304</v>
      </c>
      <c r="O5147" t="s">
        <v>47305</v>
      </c>
      <c r="P5147">
        <v>0</v>
      </c>
      <c r="Q5147">
        <v>0</v>
      </c>
      <c r="R5147" t="s">
        <v>47308</v>
      </c>
      <c r="S5147" t="s">
        <v>47429</v>
      </c>
      <c r="T5147" t="s">
        <v>49133</v>
      </c>
      <c r="U5147" t="s">
        <v>53888</v>
      </c>
      <c r="W5147" t="s">
        <v>44876</v>
      </c>
      <c r="X5147" t="s">
        <v>47312</v>
      </c>
    </row>
    <row r="5148" spans="1:24">
      <c r="A5148">
        <f>HYPERLINK("https://www.philgeps.gov.ph/GEPSNONPILOT/Tender/SplashBidNoticeAbstractUI.aspx?menuIndex=3&amp;refID=7190799&amp;Result=3","7190799")</f>
        <v>0</v>
      </c>
      <c r="B5148" t="s">
        <v>1829</v>
      </c>
      <c r="C5148" t="s">
        <v>8699</v>
      </c>
      <c r="D5148" t="s">
        <v>19007</v>
      </c>
      <c r="E5148" t="s">
        <v>23666</v>
      </c>
      <c r="F5148" t="s">
        <v>32606</v>
      </c>
      <c r="G5148" t="s">
        <v>32613</v>
      </c>
      <c r="H5148" t="s">
        <v>32623</v>
      </c>
      <c r="I5148" t="s">
        <v>17648</v>
      </c>
      <c r="J5148" t="s">
        <v>36161</v>
      </c>
      <c r="K5148" t="s">
        <v>42693</v>
      </c>
      <c r="L5148" t="s">
        <v>1829</v>
      </c>
      <c r="M5148" t="s">
        <v>44876</v>
      </c>
      <c r="N5148" t="s">
        <v>47304</v>
      </c>
      <c r="O5148" t="s">
        <v>47305</v>
      </c>
      <c r="P5148">
        <v>0</v>
      </c>
      <c r="Q5148">
        <v>0</v>
      </c>
      <c r="R5148" t="s">
        <v>47308</v>
      </c>
      <c r="S5148" t="s">
        <v>47429</v>
      </c>
      <c r="T5148" t="s">
        <v>49133</v>
      </c>
      <c r="U5148" t="s">
        <v>53888</v>
      </c>
      <c r="W5148" t="s">
        <v>44876</v>
      </c>
      <c r="X5148" t="s">
        <v>47312</v>
      </c>
    </row>
    <row r="5149" spans="1:24">
      <c r="A5149">
        <f>HYPERLINK("https://www.philgeps.gov.ph/GEPSNONPILOT/Tender/SplashBidNoticeAbstractUI.aspx?menuIndex=3&amp;refID=7190178&amp;Result=3","7190178")</f>
        <v>0</v>
      </c>
      <c r="B5149" t="s">
        <v>1807</v>
      </c>
      <c r="C5149" t="s">
        <v>8654</v>
      </c>
      <c r="D5149" t="s">
        <v>19026</v>
      </c>
      <c r="E5149" t="s">
        <v>23667</v>
      </c>
      <c r="F5149" t="s">
        <v>32606</v>
      </c>
      <c r="G5149" t="s">
        <v>32615</v>
      </c>
      <c r="H5149" t="s">
        <v>14201</v>
      </c>
      <c r="I5149" t="s">
        <v>7577</v>
      </c>
      <c r="J5149" t="s">
        <v>33739</v>
      </c>
      <c r="K5149" t="s">
        <v>42630</v>
      </c>
      <c r="M5149" t="s">
        <v>44864</v>
      </c>
      <c r="N5149" t="s">
        <v>47304</v>
      </c>
      <c r="O5149" t="s">
        <v>47305</v>
      </c>
      <c r="P5149">
        <v>0</v>
      </c>
      <c r="Q5149">
        <v>1</v>
      </c>
      <c r="R5149" t="s">
        <v>47308</v>
      </c>
      <c r="S5149" t="s">
        <v>47429</v>
      </c>
      <c r="T5149" t="s">
        <v>49023</v>
      </c>
      <c r="U5149" t="s">
        <v>53852</v>
      </c>
      <c r="W5149" t="s">
        <v>44864</v>
      </c>
      <c r="X5149" t="s">
        <v>47312</v>
      </c>
    </row>
    <row r="5150" spans="1:24">
      <c r="A5150">
        <f>HYPERLINK("https://www.philgeps.gov.ph/GEPSNONPILOT/Tender/SplashBidNoticeAbstractUI.aspx?menuIndex=3&amp;refID=7190513&amp;Result=3","7190513")</f>
        <v>0</v>
      </c>
      <c r="B5150" t="s">
        <v>1261</v>
      </c>
      <c r="C5150" t="s">
        <v>8700</v>
      </c>
      <c r="D5150" t="s">
        <v>19038</v>
      </c>
      <c r="E5150" t="s">
        <v>23668</v>
      </c>
      <c r="F5150" t="s">
        <v>32606</v>
      </c>
      <c r="G5150" t="s">
        <v>32615</v>
      </c>
      <c r="H5150" t="s">
        <v>14201</v>
      </c>
      <c r="I5150" t="s">
        <v>6931</v>
      </c>
      <c r="J5150" t="s">
        <v>36162</v>
      </c>
      <c r="K5150" t="s">
        <v>42624</v>
      </c>
      <c r="M5150" t="s">
        <v>44229</v>
      </c>
      <c r="N5150" t="s">
        <v>47304</v>
      </c>
      <c r="O5150" t="s">
        <v>47305</v>
      </c>
      <c r="P5150">
        <v>0</v>
      </c>
      <c r="Q5150">
        <v>0</v>
      </c>
      <c r="R5150" t="s">
        <v>47308</v>
      </c>
      <c r="S5150" t="s">
        <v>47429</v>
      </c>
      <c r="T5150" t="s">
        <v>49018</v>
      </c>
      <c r="U5150" t="s">
        <v>53875</v>
      </c>
      <c r="W5150" t="s">
        <v>44229</v>
      </c>
      <c r="X5150" t="s">
        <v>47312</v>
      </c>
    </row>
    <row r="5151" spans="1:24">
      <c r="A5151">
        <f>HYPERLINK("https://www.philgeps.gov.ph/GEPSNONPILOT/Tender/SplashBidNoticeAbstractUI.aspx?menuIndex=3&amp;refID=7190805&amp;Result=3","7190805")</f>
        <v>0</v>
      </c>
      <c r="B5151" t="s">
        <v>1261</v>
      </c>
      <c r="C5151" t="s">
        <v>8701</v>
      </c>
      <c r="D5151" t="s">
        <v>19038</v>
      </c>
      <c r="E5151" t="s">
        <v>23669</v>
      </c>
      <c r="F5151" t="s">
        <v>32606</v>
      </c>
      <c r="G5151" t="s">
        <v>32615</v>
      </c>
      <c r="H5151" t="s">
        <v>14201</v>
      </c>
      <c r="I5151" t="s">
        <v>6931</v>
      </c>
      <c r="J5151" t="s">
        <v>32754</v>
      </c>
      <c r="K5151" t="s">
        <v>42624</v>
      </c>
      <c r="M5151" t="s">
        <v>44229</v>
      </c>
      <c r="N5151" t="s">
        <v>47304</v>
      </c>
      <c r="O5151" t="s">
        <v>47305</v>
      </c>
      <c r="P5151">
        <v>0</v>
      </c>
      <c r="Q5151">
        <v>0</v>
      </c>
      <c r="R5151" t="s">
        <v>47308</v>
      </c>
      <c r="S5151" t="s">
        <v>47429</v>
      </c>
      <c r="T5151" t="s">
        <v>49018</v>
      </c>
      <c r="U5151" t="s">
        <v>53875</v>
      </c>
      <c r="W5151" t="s">
        <v>44229</v>
      </c>
      <c r="X5151" t="s">
        <v>47312</v>
      </c>
    </row>
    <row r="5152" spans="1:24">
      <c r="A5152">
        <f>HYPERLINK("https://www.philgeps.gov.ph/GEPSNONPILOT/Tender/SplashBidNoticeAbstractUI.aspx?menuIndex=3&amp;refID=7190846&amp;Result=3","7190846")</f>
        <v>0</v>
      </c>
      <c r="B5152" t="s">
        <v>1829</v>
      </c>
      <c r="C5152" t="s">
        <v>8702</v>
      </c>
      <c r="D5152" t="s">
        <v>19007</v>
      </c>
      <c r="E5152" t="s">
        <v>23670</v>
      </c>
      <c r="F5152" t="s">
        <v>32606</v>
      </c>
      <c r="G5152" t="s">
        <v>32613</v>
      </c>
      <c r="H5152" t="s">
        <v>32623</v>
      </c>
      <c r="I5152" t="s">
        <v>17648</v>
      </c>
      <c r="J5152" t="s">
        <v>33370</v>
      </c>
      <c r="K5152" t="s">
        <v>42627</v>
      </c>
      <c r="L5152" t="s">
        <v>1829</v>
      </c>
      <c r="M5152" t="s">
        <v>44876</v>
      </c>
      <c r="N5152" t="s">
        <v>47304</v>
      </c>
      <c r="O5152" t="s">
        <v>47305</v>
      </c>
      <c r="P5152">
        <v>0</v>
      </c>
      <c r="Q5152">
        <v>0</v>
      </c>
      <c r="R5152" t="s">
        <v>47308</v>
      </c>
      <c r="S5152" t="s">
        <v>47429</v>
      </c>
      <c r="T5152" t="s">
        <v>49133</v>
      </c>
      <c r="U5152" t="s">
        <v>53888</v>
      </c>
      <c r="W5152" t="s">
        <v>44876</v>
      </c>
      <c r="X5152" t="s">
        <v>47312</v>
      </c>
    </row>
    <row r="5153" spans="1:24">
      <c r="A5153">
        <f>HYPERLINK("https://www.philgeps.gov.ph/GEPSNONPILOT/Tender/SplashBidNoticeAbstractUI.aspx?menuIndex=3&amp;refID=7190792&amp;Result=3","7190792")</f>
        <v>0</v>
      </c>
      <c r="B5153" t="s">
        <v>1261</v>
      </c>
      <c r="C5153" t="s">
        <v>8703</v>
      </c>
      <c r="D5153" t="s">
        <v>19038</v>
      </c>
      <c r="E5153" t="s">
        <v>23671</v>
      </c>
      <c r="F5153" t="s">
        <v>32606</v>
      </c>
      <c r="G5153" t="s">
        <v>32615</v>
      </c>
      <c r="H5153" t="s">
        <v>14201</v>
      </c>
      <c r="I5153" t="s">
        <v>6931</v>
      </c>
      <c r="J5153" t="s">
        <v>32754</v>
      </c>
      <c r="K5153" t="s">
        <v>42624</v>
      </c>
      <c r="M5153" t="s">
        <v>44229</v>
      </c>
      <c r="N5153" t="s">
        <v>47304</v>
      </c>
      <c r="O5153" t="s">
        <v>47305</v>
      </c>
      <c r="P5153">
        <v>0</v>
      </c>
      <c r="Q5153">
        <v>0</v>
      </c>
      <c r="R5153" t="s">
        <v>47308</v>
      </c>
      <c r="S5153" t="s">
        <v>47429</v>
      </c>
      <c r="T5153" t="s">
        <v>49018</v>
      </c>
      <c r="U5153" t="s">
        <v>53875</v>
      </c>
      <c r="W5153" t="s">
        <v>44229</v>
      </c>
      <c r="X5153" t="s">
        <v>47312</v>
      </c>
    </row>
    <row r="5154" spans="1:24">
      <c r="A5154">
        <f>HYPERLINK("https://www.philgeps.gov.ph/GEPSNONPILOT/Tender/SplashBidNoticeAbstractUI.aspx?menuIndex=3&amp;refID=7190764&amp;Result=3","7190764")</f>
        <v>0</v>
      </c>
      <c r="B5154" t="s">
        <v>1829</v>
      </c>
      <c r="C5154" t="s">
        <v>8704</v>
      </c>
      <c r="D5154" t="s">
        <v>19007</v>
      </c>
      <c r="E5154" t="s">
        <v>23672</v>
      </c>
      <c r="F5154" t="s">
        <v>32606</v>
      </c>
      <c r="G5154" t="s">
        <v>32613</v>
      </c>
      <c r="H5154" t="s">
        <v>32623</v>
      </c>
      <c r="I5154" t="s">
        <v>17648</v>
      </c>
      <c r="J5154" t="s">
        <v>36163</v>
      </c>
      <c r="K5154" t="s">
        <v>42719</v>
      </c>
      <c r="L5154" t="s">
        <v>1829</v>
      </c>
      <c r="M5154" t="s">
        <v>44876</v>
      </c>
      <c r="N5154" t="s">
        <v>47304</v>
      </c>
      <c r="O5154" t="s">
        <v>47305</v>
      </c>
      <c r="P5154">
        <v>0</v>
      </c>
      <c r="Q5154">
        <v>5</v>
      </c>
      <c r="R5154" t="s">
        <v>47308</v>
      </c>
      <c r="S5154" t="s">
        <v>47429</v>
      </c>
      <c r="T5154" t="s">
        <v>49133</v>
      </c>
      <c r="U5154" t="s">
        <v>53888</v>
      </c>
      <c r="W5154" t="s">
        <v>44876</v>
      </c>
      <c r="X5154" t="s">
        <v>47312</v>
      </c>
    </row>
    <row r="5155" spans="1:24">
      <c r="A5155">
        <f>HYPERLINK("https://www.philgeps.gov.ph/GEPSNONPILOT/Tender/SplashBidNoticeAbstractUI.aspx?menuIndex=3&amp;refID=7190755&amp;Result=3","7190755")</f>
        <v>0</v>
      </c>
      <c r="B5155" t="s">
        <v>1261</v>
      </c>
      <c r="C5155" t="s">
        <v>8705</v>
      </c>
      <c r="D5155" t="s">
        <v>19038</v>
      </c>
      <c r="E5155" t="s">
        <v>23673</v>
      </c>
      <c r="F5155" t="s">
        <v>32606</v>
      </c>
      <c r="G5155" t="s">
        <v>32615</v>
      </c>
      <c r="H5155" t="s">
        <v>14201</v>
      </c>
      <c r="I5155" t="s">
        <v>6931</v>
      </c>
      <c r="J5155" t="s">
        <v>36164</v>
      </c>
      <c r="K5155" t="s">
        <v>42624</v>
      </c>
      <c r="M5155" t="s">
        <v>44229</v>
      </c>
      <c r="N5155" t="s">
        <v>47304</v>
      </c>
      <c r="O5155" t="s">
        <v>47305</v>
      </c>
      <c r="P5155">
        <v>0</v>
      </c>
      <c r="Q5155">
        <v>0</v>
      </c>
      <c r="R5155" t="s">
        <v>47308</v>
      </c>
      <c r="S5155" t="s">
        <v>47429</v>
      </c>
      <c r="T5155" t="s">
        <v>49018</v>
      </c>
      <c r="U5155" t="s">
        <v>53875</v>
      </c>
      <c r="W5155" t="s">
        <v>44229</v>
      </c>
      <c r="X5155" t="s">
        <v>47312</v>
      </c>
    </row>
    <row r="5156" spans="1:24">
      <c r="A5156">
        <f>HYPERLINK("https://www.philgeps.gov.ph/GEPSNONPILOT/Tender/SplashBidNoticeAbstractUI.aspx?menuIndex=3&amp;refID=7190738&amp;Result=3","7190738")</f>
        <v>0</v>
      </c>
      <c r="B5156" t="s">
        <v>1829</v>
      </c>
      <c r="C5156" t="s">
        <v>8706</v>
      </c>
      <c r="D5156" t="s">
        <v>19007</v>
      </c>
      <c r="E5156" t="s">
        <v>23674</v>
      </c>
      <c r="F5156" t="s">
        <v>32606</v>
      </c>
      <c r="G5156" t="s">
        <v>32613</v>
      </c>
      <c r="H5156" t="s">
        <v>32623</v>
      </c>
      <c r="I5156" t="s">
        <v>17648</v>
      </c>
      <c r="J5156" t="s">
        <v>36165</v>
      </c>
      <c r="K5156" t="s">
        <v>42731</v>
      </c>
      <c r="L5156" t="s">
        <v>1829</v>
      </c>
      <c r="M5156" t="s">
        <v>44876</v>
      </c>
      <c r="N5156" t="s">
        <v>47304</v>
      </c>
      <c r="O5156" t="s">
        <v>47305</v>
      </c>
      <c r="P5156">
        <v>0</v>
      </c>
      <c r="Q5156">
        <v>6</v>
      </c>
      <c r="R5156" t="s">
        <v>47308</v>
      </c>
      <c r="S5156" t="s">
        <v>47429</v>
      </c>
      <c r="T5156" t="s">
        <v>49133</v>
      </c>
      <c r="U5156" t="s">
        <v>53888</v>
      </c>
      <c r="W5156" t="s">
        <v>44876</v>
      </c>
      <c r="X5156" t="s">
        <v>47312</v>
      </c>
    </row>
    <row r="5157" spans="1:24">
      <c r="A5157">
        <f>HYPERLINK("https://www.philgeps.gov.ph/GEPSNONPILOT/Tender/SplashBidNoticeAbstractUI.aspx?menuIndex=3&amp;refID=7190721&amp;Result=3","7190721")</f>
        <v>0</v>
      </c>
      <c r="B5157" t="s">
        <v>811</v>
      </c>
      <c r="C5157" t="s">
        <v>8707</v>
      </c>
      <c r="D5157" t="s">
        <v>19009</v>
      </c>
      <c r="E5157" t="s">
        <v>23675</v>
      </c>
      <c r="F5157" t="s">
        <v>32606</v>
      </c>
      <c r="G5157" t="s">
        <v>32613</v>
      </c>
      <c r="H5157" t="s">
        <v>14201</v>
      </c>
      <c r="I5157" t="s">
        <v>17648</v>
      </c>
      <c r="J5157" t="s">
        <v>36166</v>
      </c>
      <c r="K5157" t="s">
        <v>42623</v>
      </c>
      <c r="M5157" t="s">
        <v>43742</v>
      </c>
      <c r="N5157" t="s">
        <v>47304</v>
      </c>
      <c r="O5157" t="s">
        <v>47305</v>
      </c>
      <c r="P5157">
        <v>0</v>
      </c>
      <c r="Q5157">
        <v>0</v>
      </c>
      <c r="R5157" t="s">
        <v>47308</v>
      </c>
      <c r="S5157" t="s">
        <v>47429</v>
      </c>
      <c r="T5157" t="s">
        <v>49008</v>
      </c>
      <c r="U5157" t="s">
        <v>53889</v>
      </c>
      <c r="W5157" t="s">
        <v>43742</v>
      </c>
      <c r="X5157" t="s">
        <v>47312</v>
      </c>
    </row>
    <row r="5158" spans="1:24">
      <c r="A5158">
        <f>HYPERLINK("https://www.philgeps.gov.ph/GEPSNONPILOT/Tender/SplashBidNoticeAbstractUI.aspx?menuIndex=3&amp;refID=7190774&amp;Result=3","7190774")</f>
        <v>0</v>
      </c>
      <c r="B5158" t="s">
        <v>1261</v>
      </c>
      <c r="C5158" t="s">
        <v>8708</v>
      </c>
      <c r="D5158" t="s">
        <v>19038</v>
      </c>
      <c r="E5158" t="s">
        <v>23676</v>
      </c>
      <c r="F5158" t="s">
        <v>32606</v>
      </c>
      <c r="G5158" t="s">
        <v>32615</v>
      </c>
      <c r="H5158" t="s">
        <v>14201</v>
      </c>
      <c r="I5158" t="s">
        <v>6931</v>
      </c>
      <c r="J5158" t="s">
        <v>36167</v>
      </c>
      <c r="K5158" t="s">
        <v>42624</v>
      </c>
      <c r="M5158" t="s">
        <v>44229</v>
      </c>
      <c r="N5158" t="s">
        <v>47304</v>
      </c>
      <c r="O5158" t="s">
        <v>47305</v>
      </c>
      <c r="P5158">
        <v>0</v>
      </c>
      <c r="Q5158">
        <v>0</v>
      </c>
      <c r="R5158" t="s">
        <v>47308</v>
      </c>
      <c r="S5158" t="s">
        <v>47429</v>
      </c>
      <c r="T5158" t="s">
        <v>49018</v>
      </c>
      <c r="U5158" t="s">
        <v>53875</v>
      </c>
      <c r="W5158" t="s">
        <v>44229</v>
      </c>
      <c r="X5158" t="s">
        <v>47312</v>
      </c>
    </row>
    <row r="5159" spans="1:24">
      <c r="A5159">
        <f>HYPERLINK("https://www.philgeps.gov.ph/GEPSNONPILOT/Tender/SplashBidNoticeAbstractUI.aspx?menuIndex=3&amp;refID=7191170&amp;Result=3","7191170")</f>
        <v>0</v>
      </c>
      <c r="B5159" t="s">
        <v>1830</v>
      </c>
      <c r="C5159" t="s">
        <v>8709</v>
      </c>
      <c r="D5159" t="s">
        <v>19052</v>
      </c>
      <c r="E5159" t="s">
        <v>23677</v>
      </c>
      <c r="F5159" t="s">
        <v>32606</v>
      </c>
      <c r="G5159" t="s">
        <v>32614</v>
      </c>
      <c r="H5159" t="s">
        <v>14201</v>
      </c>
      <c r="I5159" t="s">
        <v>6007</v>
      </c>
      <c r="J5159" t="s">
        <v>36168</v>
      </c>
      <c r="K5159" t="s">
        <v>42631</v>
      </c>
      <c r="M5159" t="s">
        <v>44877</v>
      </c>
      <c r="N5159" t="s">
        <v>47304</v>
      </c>
      <c r="O5159" t="s">
        <v>47305</v>
      </c>
      <c r="P5159">
        <v>0</v>
      </c>
      <c r="Q5159">
        <v>0</v>
      </c>
      <c r="R5159" t="s">
        <v>47308</v>
      </c>
      <c r="S5159" t="s">
        <v>47429</v>
      </c>
      <c r="T5159" t="s">
        <v>49053</v>
      </c>
      <c r="U5159" t="s">
        <v>53890</v>
      </c>
      <c r="V5159" t="s">
        <v>63123</v>
      </c>
      <c r="W5159" t="s">
        <v>44877</v>
      </c>
      <c r="X5159" t="s">
        <v>47312</v>
      </c>
    </row>
    <row r="5160" spans="1:24">
      <c r="A5160">
        <f>HYPERLINK("https://www.philgeps.gov.ph/GEPSNONPILOT/Tender/SplashBidNoticeAbstractUI.aspx?menuIndex=3&amp;refID=7190770&amp;Result=3","7190770")</f>
        <v>0</v>
      </c>
      <c r="B5160" t="s">
        <v>1829</v>
      </c>
      <c r="C5160" t="s">
        <v>8710</v>
      </c>
      <c r="D5160" t="s">
        <v>19007</v>
      </c>
      <c r="E5160" t="s">
        <v>23678</v>
      </c>
      <c r="F5160" t="s">
        <v>32606</v>
      </c>
      <c r="G5160" t="s">
        <v>32613</v>
      </c>
      <c r="H5160" t="s">
        <v>32623</v>
      </c>
      <c r="I5160" t="s">
        <v>17648</v>
      </c>
      <c r="J5160" t="s">
        <v>36161</v>
      </c>
      <c r="K5160" t="s">
        <v>42764</v>
      </c>
      <c r="L5160" t="s">
        <v>1829</v>
      </c>
      <c r="M5160" t="s">
        <v>44876</v>
      </c>
      <c r="N5160" t="s">
        <v>47304</v>
      </c>
      <c r="O5160" t="s">
        <v>47305</v>
      </c>
      <c r="P5160">
        <v>0</v>
      </c>
      <c r="Q5160">
        <v>1</v>
      </c>
      <c r="R5160" t="s">
        <v>47308</v>
      </c>
      <c r="S5160" t="s">
        <v>47429</v>
      </c>
      <c r="T5160" t="s">
        <v>49133</v>
      </c>
      <c r="U5160" t="s">
        <v>53888</v>
      </c>
      <c r="W5160" t="s">
        <v>44876</v>
      </c>
      <c r="X5160" t="s">
        <v>47312</v>
      </c>
    </row>
    <row r="5161" spans="1:24">
      <c r="A5161">
        <f>HYPERLINK("https://www.philgeps.gov.ph/GEPSNONPILOT/Tender/SplashBidNoticeAbstractUI.aspx?menuIndex=3&amp;refID=7190816&amp;Result=3","7190816")</f>
        <v>0</v>
      </c>
      <c r="B5161" t="s">
        <v>885</v>
      </c>
      <c r="C5161" t="s">
        <v>8711</v>
      </c>
      <c r="D5161" t="s">
        <v>19054</v>
      </c>
      <c r="E5161" t="s">
        <v>23679</v>
      </c>
      <c r="F5161" t="s">
        <v>32606</v>
      </c>
      <c r="G5161" t="s">
        <v>32613</v>
      </c>
      <c r="H5161" t="s">
        <v>32625</v>
      </c>
      <c r="I5161" t="s">
        <v>32625</v>
      </c>
      <c r="J5161" t="s">
        <v>36169</v>
      </c>
      <c r="K5161" t="s">
        <v>42648</v>
      </c>
      <c r="M5161" t="s">
        <v>43821</v>
      </c>
      <c r="N5161" t="s">
        <v>47304</v>
      </c>
      <c r="O5161" t="s">
        <v>47305</v>
      </c>
      <c r="P5161">
        <v>0</v>
      </c>
      <c r="Q5161">
        <v>2</v>
      </c>
      <c r="R5161" t="s">
        <v>47308</v>
      </c>
      <c r="S5161" t="s">
        <v>47429</v>
      </c>
      <c r="T5161" t="s">
        <v>49076</v>
      </c>
      <c r="U5161" t="s">
        <v>53891</v>
      </c>
      <c r="V5161" t="s">
        <v>62850</v>
      </c>
      <c r="W5161" t="s">
        <v>43821</v>
      </c>
      <c r="X5161" t="s">
        <v>47312</v>
      </c>
    </row>
    <row r="5162" spans="1:24">
      <c r="A5162">
        <f>HYPERLINK("https://www.philgeps.gov.ph/GEPSNONPILOT/Tender/SplashBidNoticeAbstractUI.aspx?menuIndex=3&amp;refID=7191143&amp;Result=3","7191143")</f>
        <v>0</v>
      </c>
      <c r="B5162" t="s">
        <v>1684</v>
      </c>
      <c r="C5162" t="s">
        <v>8712</v>
      </c>
      <c r="D5162" t="s">
        <v>19032</v>
      </c>
      <c r="E5162" t="s">
        <v>23680</v>
      </c>
      <c r="F5162" t="s">
        <v>32606</v>
      </c>
      <c r="G5162" t="s">
        <v>32614</v>
      </c>
      <c r="H5162" t="s">
        <v>14201</v>
      </c>
      <c r="I5162" t="s">
        <v>4369</v>
      </c>
      <c r="J5162" t="s">
        <v>32981</v>
      </c>
      <c r="K5162" t="s">
        <v>42622</v>
      </c>
      <c r="M5162" t="s">
        <v>44878</v>
      </c>
      <c r="N5162" t="s">
        <v>47304</v>
      </c>
      <c r="O5162" t="s">
        <v>47305</v>
      </c>
      <c r="P5162">
        <v>0</v>
      </c>
      <c r="Q5162">
        <v>3</v>
      </c>
      <c r="R5162" t="s">
        <v>47308</v>
      </c>
      <c r="S5162" t="s">
        <v>47429</v>
      </c>
      <c r="T5162" t="s">
        <v>49068</v>
      </c>
      <c r="U5162" t="s">
        <v>53892</v>
      </c>
      <c r="W5162" t="s">
        <v>44878</v>
      </c>
      <c r="X5162" t="s">
        <v>47312</v>
      </c>
    </row>
    <row r="5163" spans="1:24">
      <c r="A5163">
        <f>HYPERLINK("https://www.philgeps.gov.ph/GEPSNONPILOT/Tender/SplashBidNoticeAbstractUI.aspx?menuIndex=3&amp;refID=7191117&amp;Result=3","7191117")</f>
        <v>0</v>
      </c>
      <c r="B5163" t="s">
        <v>1684</v>
      </c>
      <c r="C5163" t="s">
        <v>8713</v>
      </c>
      <c r="D5163" t="s">
        <v>19032</v>
      </c>
      <c r="E5163" t="s">
        <v>23681</v>
      </c>
      <c r="F5163" t="s">
        <v>32606</v>
      </c>
      <c r="G5163" t="s">
        <v>32614</v>
      </c>
      <c r="H5163" t="s">
        <v>14201</v>
      </c>
      <c r="I5163" t="s">
        <v>6298</v>
      </c>
      <c r="J5163" t="s">
        <v>36170</v>
      </c>
      <c r="K5163" t="s">
        <v>42622</v>
      </c>
      <c r="M5163" t="s">
        <v>44878</v>
      </c>
      <c r="N5163" t="s">
        <v>47304</v>
      </c>
      <c r="O5163" t="s">
        <v>47305</v>
      </c>
      <c r="P5163">
        <v>0</v>
      </c>
      <c r="Q5163">
        <v>0</v>
      </c>
      <c r="R5163" t="s">
        <v>47308</v>
      </c>
      <c r="S5163" t="s">
        <v>47429</v>
      </c>
      <c r="T5163" t="s">
        <v>49257</v>
      </c>
      <c r="U5163" t="s">
        <v>53892</v>
      </c>
      <c r="W5163" t="s">
        <v>44878</v>
      </c>
      <c r="X5163" t="s">
        <v>47312</v>
      </c>
    </row>
    <row r="5164" spans="1:24">
      <c r="A5164">
        <f>HYPERLINK("https://www.philgeps.gov.ph/GEPSNONPILOT/Tender/SplashBidNoticeAbstractUI.aspx?menuIndex=3&amp;refID=7190719&amp;Result=3","7190719")</f>
        <v>0</v>
      </c>
      <c r="B5164" t="s">
        <v>1829</v>
      </c>
      <c r="C5164" t="s">
        <v>8714</v>
      </c>
      <c r="D5164" t="s">
        <v>19007</v>
      </c>
      <c r="E5164" t="s">
        <v>23682</v>
      </c>
      <c r="F5164" t="s">
        <v>32606</v>
      </c>
      <c r="G5164" t="s">
        <v>32613</v>
      </c>
      <c r="H5164" t="s">
        <v>32623</v>
      </c>
      <c r="I5164" t="s">
        <v>17648</v>
      </c>
      <c r="J5164" t="s">
        <v>36165</v>
      </c>
      <c r="K5164" t="s">
        <v>42683</v>
      </c>
      <c r="L5164" t="s">
        <v>1829</v>
      </c>
      <c r="M5164" t="s">
        <v>44876</v>
      </c>
      <c r="N5164" t="s">
        <v>47304</v>
      </c>
      <c r="O5164" t="s">
        <v>47305</v>
      </c>
      <c r="P5164">
        <v>0</v>
      </c>
      <c r="Q5164">
        <v>6</v>
      </c>
      <c r="R5164" t="s">
        <v>47308</v>
      </c>
      <c r="S5164" t="s">
        <v>47429</v>
      </c>
      <c r="T5164" t="s">
        <v>49133</v>
      </c>
      <c r="U5164" t="s">
        <v>53888</v>
      </c>
      <c r="W5164" t="s">
        <v>44876</v>
      </c>
      <c r="X5164" t="s">
        <v>47312</v>
      </c>
    </row>
    <row r="5165" spans="1:24">
      <c r="A5165">
        <f>HYPERLINK("https://www.philgeps.gov.ph/GEPSNONPILOT/Tender/SplashBidNoticeAbstractUI.aspx?menuIndex=3&amp;refID=7191103&amp;Result=3","7191103")</f>
        <v>0</v>
      </c>
      <c r="B5165" t="s">
        <v>1684</v>
      </c>
      <c r="C5165" t="s">
        <v>8715</v>
      </c>
      <c r="D5165" t="s">
        <v>19032</v>
      </c>
      <c r="E5165" t="s">
        <v>23683</v>
      </c>
      <c r="F5165" t="s">
        <v>32606</v>
      </c>
      <c r="G5165" t="s">
        <v>32614</v>
      </c>
      <c r="H5165" t="s">
        <v>14201</v>
      </c>
      <c r="I5165" t="s">
        <v>7677</v>
      </c>
      <c r="J5165" t="s">
        <v>36171</v>
      </c>
      <c r="K5165" t="s">
        <v>42622</v>
      </c>
      <c r="M5165" t="s">
        <v>44878</v>
      </c>
      <c r="N5165" t="s">
        <v>47304</v>
      </c>
      <c r="O5165" t="s">
        <v>47305</v>
      </c>
      <c r="P5165">
        <v>0</v>
      </c>
      <c r="Q5165">
        <v>1</v>
      </c>
      <c r="R5165" t="s">
        <v>47308</v>
      </c>
      <c r="S5165" t="s">
        <v>47429</v>
      </c>
      <c r="T5165" t="s">
        <v>49068</v>
      </c>
      <c r="U5165" t="s">
        <v>53892</v>
      </c>
      <c r="W5165" t="s">
        <v>44878</v>
      </c>
      <c r="X5165" t="s">
        <v>47312</v>
      </c>
    </row>
    <row r="5166" spans="1:24">
      <c r="A5166">
        <f>HYPERLINK("https://www.philgeps.gov.ph/GEPSNONPILOT/Tender/SplashBidNoticeAbstractUI.aspx?menuIndex=3&amp;refID=7190783&amp;Result=3","7190783")</f>
        <v>0</v>
      </c>
      <c r="B5166" t="s">
        <v>1687</v>
      </c>
      <c r="C5166" t="s">
        <v>8716</v>
      </c>
      <c r="D5166" t="s">
        <v>19008</v>
      </c>
      <c r="E5166" t="s">
        <v>23684</v>
      </c>
      <c r="F5166" t="s">
        <v>32606</v>
      </c>
      <c r="G5166" t="s">
        <v>32614</v>
      </c>
      <c r="H5166" t="s">
        <v>14201</v>
      </c>
      <c r="I5166" t="s">
        <v>7233</v>
      </c>
      <c r="J5166" t="s">
        <v>36172</v>
      </c>
      <c r="K5166" t="s">
        <v>42623</v>
      </c>
      <c r="M5166" t="s">
        <v>44872</v>
      </c>
      <c r="N5166" t="s">
        <v>47304</v>
      </c>
      <c r="O5166" t="s">
        <v>47305</v>
      </c>
      <c r="P5166">
        <v>0</v>
      </c>
      <c r="Q5166">
        <v>0</v>
      </c>
      <c r="R5166" t="s">
        <v>47308</v>
      </c>
      <c r="S5166" t="s">
        <v>47429</v>
      </c>
      <c r="T5166" t="s">
        <v>49257</v>
      </c>
      <c r="U5166" t="s">
        <v>53893</v>
      </c>
      <c r="W5166" t="s">
        <v>44872</v>
      </c>
      <c r="X5166" t="s">
        <v>47312</v>
      </c>
    </row>
    <row r="5167" spans="1:24">
      <c r="A5167">
        <f>HYPERLINK("https://www.philgeps.gov.ph/GEPSNONPILOT/Tender/SplashBidNoticeAbstractUI.aspx?menuIndex=3&amp;refID=7191098&amp;Result=3","7191098")</f>
        <v>0</v>
      </c>
      <c r="B5167" t="s">
        <v>357</v>
      </c>
      <c r="C5167" t="s">
        <v>8717</v>
      </c>
      <c r="D5167" t="s">
        <v>19010</v>
      </c>
      <c r="E5167" t="s">
        <v>23685</v>
      </c>
      <c r="F5167" t="s">
        <v>32606</v>
      </c>
      <c r="G5167" t="s">
        <v>32613</v>
      </c>
      <c r="H5167" t="s">
        <v>32623</v>
      </c>
      <c r="I5167" t="s">
        <v>32649</v>
      </c>
      <c r="J5167" t="s">
        <v>33303</v>
      </c>
      <c r="K5167" t="s">
        <v>42646</v>
      </c>
      <c r="M5167" t="s">
        <v>43259</v>
      </c>
      <c r="N5167" t="s">
        <v>47304</v>
      </c>
      <c r="O5167" t="s">
        <v>47305</v>
      </c>
      <c r="P5167">
        <v>0</v>
      </c>
      <c r="Q5167">
        <v>0</v>
      </c>
      <c r="R5167" t="s">
        <v>47308</v>
      </c>
      <c r="S5167" t="s">
        <v>47429</v>
      </c>
      <c r="T5167" t="s">
        <v>49008</v>
      </c>
      <c r="U5167" t="s">
        <v>50180</v>
      </c>
      <c r="V5167" t="s">
        <v>62729</v>
      </c>
      <c r="W5167" t="s">
        <v>43259</v>
      </c>
      <c r="X5167" t="s">
        <v>47312</v>
      </c>
    </row>
    <row r="5168" spans="1:24">
      <c r="A5168">
        <f>HYPERLINK("https://www.philgeps.gov.ph/GEPSNONPILOT/Tender/SplashBidNoticeAbstractUI.aspx?menuIndex=3&amp;refID=7191156&amp;Result=3","7191156")</f>
        <v>0</v>
      </c>
      <c r="B5168" t="s">
        <v>368</v>
      </c>
      <c r="C5168" t="s">
        <v>8718</v>
      </c>
      <c r="D5168" t="s">
        <v>19012</v>
      </c>
      <c r="E5168" t="s">
        <v>23686</v>
      </c>
      <c r="F5168" t="s">
        <v>32606</v>
      </c>
      <c r="G5168" t="s">
        <v>32614</v>
      </c>
      <c r="H5168" t="s">
        <v>14201</v>
      </c>
      <c r="I5168" t="s">
        <v>4369</v>
      </c>
      <c r="J5168" t="s">
        <v>33564</v>
      </c>
      <c r="K5168" t="s">
        <v>42622</v>
      </c>
      <c r="M5168" t="s">
        <v>43270</v>
      </c>
      <c r="N5168" t="s">
        <v>47304</v>
      </c>
      <c r="O5168" t="s">
        <v>47305</v>
      </c>
      <c r="P5168">
        <v>0</v>
      </c>
      <c r="Q5168">
        <v>3</v>
      </c>
      <c r="R5168" t="s">
        <v>47308</v>
      </c>
      <c r="S5168" t="s">
        <v>47429</v>
      </c>
      <c r="T5168" t="s">
        <v>49053</v>
      </c>
      <c r="U5168" t="s">
        <v>53894</v>
      </c>
      <c r="W5168" t="s">
        <v>43270</v>
      </c>
      <c r="X5168" t="s">
        <v>47312</v>
      </c>
    </row>
    <row r="5169" spans="1:24">
      <c r="A5169">
        <f>HYPERLINK("https://www.philgeps.gov.ph/GEPSNONPILOT/Tender/SplashBidNoticeAbstractUI.aspx?menuIndex=3&amp;refID=7191148&amp;Result=3","7191148")</f>
        <v>0</v>
      </c>
      <c r="B5169" t="s">
        <v>202</v>
      </c>
      <c r="C5169" t="s">
        <v>8719</v>
      </c>
      <c r="D5169" t="s">
        <v>19043</v>
      </c>
      <c r="E5169" t="s">
        <v>23687</v>
      </c>
      <c r="F5169" t="s">
        <v>32606</v>
      </c>
      <c r="G5169" t="s">
        <v>32613</v>
      </c>
      <c r="H5169" t="s">
        <v>32623</v>
      </c>
      <c r="I5169" t="s">
        <v>17648</v>
      </c>
      <c r="J5169" t="s">
        <v>36173</v>
      </c>
      <c r="K5169" t="s">
        <v>42648</v>
      </c>
      <c r="M5169" t="s">
        <v>43103</v>
      </c>
      <c r="N5169" t="s">
        <v>47304</v>
      </c>
      <c r="O5169" t="s">
        <v>47305</v>
      </c>
      <c r="P5169">
        <v>0</v>
      </c>
      <c r="Q5169">
        <v>1</v>
      </c>
      <c r="R5169" t="s">
        <v>47308</v>
      </c>
      <c r="S5169" t="s">
        <v>47429</v>
      </c>
      <c r="T5169" t="s">
        <v>49009</v>
      </c>
      <c r="U5169" t="s">
        <v>53895</v>
      </c>
      <c r="V5169" t="s">
        <v>62694</v>
      </c>
      <c r="W5169" t="s">
        <v>43103</v>
      </c>
      <c r="X5169" t="s">
        <v>47312</v>
      </c>
    </row>
    <row r="5170" spans="1:24">
      <c r="A5170">
        <f>HYPERLINK("https://www.philgeps.gov.ph/GEPSNONPILOT/Tender/SplashBidNoticeAbstractUI.aspx?menuIndex=3&amp;refID=7191084&amp;Result=3","7191084")</f>
        <v>0</v>
      </c>
      <c r="B5170" t="s">
        <v>357</v>
      </c>
      <c r="C5170" t="s">
        <v>8720</v>
      </c>
      <c r="D5170" t="s">
        <v>19010</v>
      </c>
      <c r="E5170" t="s">
        <v>23688</v>
      </c>
      <c r="F5170" t="s">
        <v>32606</v>
      </c>
      <c r="G5170" t="s">
        <v>32613</v>
      </c>
      <c r="H5170" t="s">
        <v>32623</v>
      </c>
      <c r="I5170" t="s">
        <v>32649</v>
      </c>
      <c r="J5170" t="s">
        <v>36174</v>
      </c>
      <c r="K5170" t="s">
        <v>42651</v>
      </c>
      <c r="M5170" t="s">
        <v>43259</v>
      </c>
      <c r="N5170" t="s">
        <v>47304</v>
      </c>
      <c r="O5170" t="s">
        <v>47305</v>
      </c>
      <c r="P5170">
        <v>0</v>
      </c>
      <c r="Q5170">
        <v>0</v>
      </c>
      <c r="R5170" t="s">
        <v>47308</v>
      </c>
      <c r="S5170" t="s">
        <v>47429</v>
      </c>
      <c r="T5170" t="s">
        <v>49008</v>
      </c>
      <c r="U5170" t="s">
        <v>53896</v>
      </c>
      <c r="V5170" t="s">
        <v>62729</v>
      </c>
      <c r="W5170" t="s">
        <v>43259</v>
      </c>
      <c r="X5170" t="s">
        <v>47312</v>
      </c>
    </row>
    <row r="5171" spans="1:24">
      <c r="A5171">
        <f>HYPERLINK("https://www.philgeps.gov.ph/GEPSNONPILOT/Tender/SplashBidNoticeAbstractUI.aspx?menuIndex=3&amp;refID=7191064&amp;Result=3","7191064")</f>
        <v>0</v>
      </c>
      <c r="B5171" t="s">
        <v>1640</v>
      </c>
      <c r="C5171" t="s">
        <v>8721</v>
      </c>
      <c r="D5171" t="s">
        <v>19041</v>
      </c>
      <c r="E5171" t="s">
        <v>23689</v>
      </c>
      <c r="F5171" t="s">
        <v>32606</v>
      </c>
      <c r="G5171" t="s">
        <v>32619</v>
      </c>
      <c r="H5171" t="s">
        <v>14201</v>
      </c>
      <c r="I5171" t="s">
        <v>4120</v>
      </c>
      <c r="J5171" t="s">
        <v>36175</v>
      </c>
      <c r="K5171" t="s">
        <v>42630</v>
      </c>
      <c r="M5171" t="s">
        <v>44661</v>
      </c>
      <c r="N5171" t="s">
        <v>47304</v>
      </c>
      <c r="O5171" t="s">
        <v>47305</v>
      </c>
      <c r="P5171">
        <v>0</v>
      </c>
      <c r="Q5171">
        <v>3</v>
      </c>
      <c r="R5171" t="s">
        <v>47308</v>
      </c>
      <c r="S5171" t="s">
        <v>47429</v>
      </c>
      <c r="T5171" t="s">
        <v>49175</v>
      </c>
      <c r="U5171" t="s">
        <v>53897</v>
      </c>
      <c r="W5171" t="s">
        <v>44661</v>
      </c>
      <c r="X5171" t="s">
        <v>47312</v>
      </c>
    </row>
    <row r="5172" spans="1:24">
      <c r="A5172">
        <f>HYPERLINK("https://www.philgeps.gov.ph/GEPSNONPILOT/Tender/SplashBidNoticeAbstractUI.aspx?menuIndex=3&amp;refID=7190730&amp;Result=3","7190730")</f>
        <v>0</v>
      </c>
      <c r="B5172" t="s">
        <v>1261</v>
      </c>
      <c r="C5172" t="s">
        <v>8722</v>
      </c>
      <c r="D5172" t="s">
        <v>19038</v>
      </c>
      <c r="E5172" t="s">
        <v>23690</v>
      </c>
      <c r="F5172" t="s">
        <v>32606</v>
      </c>
      <c r="G5172" t="s">
        <v>32615</v>
      </c>
      <c r="H5172" t="s">
        <v>14201</v>
      </c>
      <c r="I5172" t="s">
        <v>6931</v>
      </c>
      <c r="J5172" t="s">
        <v>36164</v>
      </c>
      <c r="K5172" t="s">
        <v>42624</v>
      </c>
      <c r="M5172" t="s">
        <v>44229</v>
      </c>
      <c r="N5172" t="s">
        <v>47304</v>
      </c>
      <c r="O5172" t="s">
        <v>47305</v>
      </c>
      <c r="P5172">
        <v>0</v>
      </c>
      <c r="Q5172">
        <v>0</v>
      </c>
      <c r="R5172" t="s">
        <v>47308</v>
      </c>
      <c r="S5172" t="s">
        <v>47429</v>
      </c>
      <c r="T5172" t="s">
        <v>49018</v>
      </c>
      <c r="U5172" t="s">
        <v>53875</v>
      </c>
      <c r="W5172" t="s">
        <v>44229</v>
      </c>
      <c r="X5172" t="s">
        <v>47312</v>
      </c>
    </row>
    <row r="5173" spans="1:24">
      <c r="A5173">
        <f>HYPERLINK("https://www.philgeps.gov.ph/GEPSNONPILOT/Tender/SplashBidNoticeAbstractUI.aspx?menuIndex=3&amp;refID=7191133&amp;Result=3","7191133")</f>
        <v>0</v>
      </c>
      <c r="B5173" t="s">
        <v>357</v>
      </c>
      <c r="C5173" t="s">
        <v>8723</v>
      </c>
      <c r="D5173" t="s">
        <v>19010</v>
      </c>
      <c r="E5173" t="s">
        <v>23691</v>
      </c>
      <c r="F5173" t="s">
        <v>32606</v>
      </c>
      <c r="G5173" t="s">
        <v>32613</v>
      </c>
      <c r="H5173" t="s">
        <v>32623</v>
      </c>
      <c r="I5173" t="s">
        <v>32649</v>
      </c>
      <c r="J5173" t="s">
        <v>36176</v>
      </c>
      <c r="K5173" t="s">
        <v>42646</v>
      </c>
      <c r="M5173" t="s">
        <v>43259</v>
      </c>
      <c r="N5173" t="s">
        <v>47304</v>
      </c>
      <c r="O5173" t="s">
        <v>47305</v>
      </c>
      <c r="P5173">
        <v>0</v>
      </c>
      <c r="Q5173">
        <v>0</v>
      </c>
      <c r="R5173" t="s">
        <v>47308</v>
      </c>
      <c r="S5173" t="s">
        <v>47429</v>
      </c>
      <c r="T5173" t="s">
        <v>49008</v>
      </c>
      <c r="U5173" t="s">
        <v>50180</v>
      </c>
      <c r="V5173" t="s">
        <v>62729</v>
      </c>
      <c r="W5173" t="s">
        <v>43259</v>
      </c>
      <c r="X5173" t="s">
        <v>47312</v>
      </c>
    </row>
    <row r="5174" spans="1:24">
      <c r="A5174">
        <f>HYPERLINK("https://www.philgeps.gov.ph/GEPSNONPILOT/Tender/SplashBidNoticeAbstractUI.aspx?menuIndex=3&amp;refID=7191051&amp;Result=3","7191051")</f>
        <v>0</v>
      </c>
      <c r="B5174" t="s">
        <v>1029</v>
      </c>
      <c r="C5174" t="s">
        <v>8724</v>
      </c>
      <c r="D5174" t="s">
        <v>19028</v>
      </c>
      <c r="E5174" t="s">
        <v>23692</v>
      </c>
      <c r="F5174" t="s">
        <v>32606</v>
      </c>
      <c r="G5174" t="s">
        <v>32613</v>
      </c>
      <c r="H5174" t="s">
        <v>32623</v>
      </c>
      <c r="I5174" t="s">
        <v>7577</v>
      </c>
      <c r="J5174" t="s">
        <v>36177</v>
      </c>
      <c r="K5174" t="s">
        <v>42622</v>
      </c>
      <c r="M5174" t="s">
        <v>43982</v>
      </c>
      <c r="N5174" t="s">
        <v>47304</v>
      </c>
      <c r="O5174" t="s">
        <v>47305</v>
      </c>
      <c r="P5174">
        <v>0</v>
      </c>
      <c r="Q5174">
        <v>5</v>
      </c>
      <c r="R5174" t="s">
        <v>47308</v>
      </c>
      <c r="S5174" t="s">
        <v>47429</v>
      </c>
      <c r="T5174" t="s">
        <v>49175</v>
      </c>
      <c r="U5174" t="s">
        <v>53898</v>
      </c>
      <c r="W5174" t="s">
        <v>43982</v>
      </c>
      <c r="X5174" t="s">
        <v>47312</v>
      </c>
    </row>
    <row r="5175" spans="1:24">
      <c r="A5175">
        <f>HYPERLINK("https://www.philgeps.gov.ph/GEPSNONPILOT/Tender/SplashBidNoticeAbstractUI.aspx?menuIndex=3&amp;refID=7191295&amp;Result=3","7191295")</f>
        <v>0</v>
      </c>
      <c r="B5175" t="s">
        <v>1454</v>
      </c>
      <c r="C5175" t="s">
        <v>8725</v>
      </c>
      <c r="D5175" t="s">
        <v>18993</v>
      </c>
      <c r="E5175" t="s">
        <v>23693</v>
      </c>
      <c r="F5175" t="s">
        <v>32606</v>
      </c>
      <c r="G5175" t="s">
        <v>32614</v>
      </c>
      <c r="H5175" t="s">
        <v>14201</v>
      </c>
      <c r="I5175" t="s">
        <v>9008</v>
      </c>
      <c r="J5175" t="s">
        <v>36178</v>
      </c>
      <c r="K5175" t="s">
        <v>42630</v>
      </c>
      <c r="M5175" t="s">
        <v>44879</v>
      </c>
      <c r="N5175" t="s">
        <v>47304</v>
      </c>
      <c r="O5175" t="s">
        <v>47305</v>
      </c>
      <c r="P5175">
        <v>0</v>
      </c>
      <c r="Q5175">
        <v>1</v>
      </c>
      <c r="R5175" t="s">
        <v>47308</v>
      </c>
      <c r="S5175" t="s">
        <v>47429</v>
      </c>
      <c r="T5175" t="s">
        <v>49006</v>
      </c>
      <c r="U5175" t="s">
        <v>53899</v>
      </c>
      <c r="V5175" t="s">
        <v>63124</v>
      </c>
      <c r="W5175" t="s">
        <v>44879</v>
      </c>
      <c r="X5175" t="s">
        <v>47312</v>
      </c>
    </row>
    <row r="5176" spans="1:24">
      <c r="A5176">
        <f>HYPERLINK("https://www.philgeps.gov.ph/GEPSNONPILOT/Tender/SplashBidNoticeAbstractUI.aspx?menuIndex=3&amp;refID=7191110&amp;Result=3","7191110")</f>
        <v>0</v>
      </c>
      <c r="B5176" t="s">
        <v>1711</v>
      </c>
      <c r="C5176" t="s">
        <v>8726</v>
      </c>
      <c r="D5176" t="s">
        <v>18993</v>
      </c>
      <c r="E5176" t="s">
        <v>23694</v>
      </c>
      <c r="F5176" t="s">
        <v>32606</v>
      </c>
      <c r="G5176" t="s">
        <v>32614</v>
      </c>
      <c r="H5176" t="s">
        <v>14201</v>
      </c>
      <c r="I5176" t="s">
        <v>32633</v>
      </c>
      <c r="J5176" t="s">
        <v>33195</v>
      </c>
      <c r="K5176" t="s">
        <v>42624</v>
      </c>
      <c r="M5176" t="s">
        <v>44880</v>
      </c>
      <c r="N5176" t="s">
        <v>47304</v>
      </c>
      <c r="O5176" t="s">
        <v>47305</v>
      </c>
      <c r="P5176">
        <v>0</v>
      </c>
      <c r="Q5176">
        <v>12</v>
      </c>
      <c r="R5176" t="s">
        <v>47308</v>
      </c>
      <c r="S5176" t="s">
        <v>47429</v>
      </c>
      <c r="T5176" t="s">
        <v>49165</v>
      </c>
      <c r="U5176" t="s">
        <v>53900</v>
      </c>
      <c r="W5176" t="s">
        <v>44880</v>
      </c>
      <c r="X5176" t="s">
        <v>47312</v>
      </c>
    </row>
    <row r="5177" spans="1:24">
      <c r="A5177">
        <f>HYPERLINK("https://www.philgeps.gov.ph/GEPSNONPILOT/Tender/SplashBidNoticeAbstractUI.aspx?menuIndex=3&amp;refID=7191284&amp;Result=3","7191284")</f>
        <v>0</v>
      </c>
      <c r="B5177" t="s">
        <v>202</v>
      </c>
      <c r="C5177" t="s">
        <v>8727</v>
      </c>
      <c r="D5177" t="s">
        <v>19043</v>
      </c>
      <c r="E5177" t="s">
        <v>23695</v>
      </c>
      <c r="F5177" t="s">
        <v>32606</v>
      </c>
      <c r="G5177" t="s">
        <v>32613</v>
      </c>
      <c r="H5177" t="s">
        <v>32623</v>
      </c>
      <c r="I5177" t="s">
        <v>17648</v>
      </c>
      <c r="J5177" t="s">
        <v>36179</v>
      </c>
      <c r="K5177" t="s">
        <v>42719</v>
      </c>
      <c r="M5177" t="s">
        <v>43103</v>
      </c>
      <c r="N5177" t="s">
        <v>47304</v>
      </c>
      <c r="O5177" t="s">
        <v>47305</v>
      </c>
      <c r="P5177">
        <v>0</v>
      </c>
      <c r="Q5177">
        <v>1</v>
      </c>
      <c r="R5177" t="s">
        <v>47308</v>
      </c>
      <c r="S5177" t="s">
        <v>47429</v>
      </c>
      <c r="T5177" t="s">
        <v>49009</v>
      </c>
      <c r="U5177" t="s">
        <v>53901</v>
      </c>
      <c r="V5177" t="s">
        <v>62694</v>
      </c>
      <c r="W5177" t="s">
        <v>43103</v>
      </c>
      <c r="X5177" t="s">
        <v>47312</v>
      </c>
    </row>
    <row r="5178" spans="1:24">
      <c r="A5178">
        <f>HYPERLINK("https://www.philgeps.gov.ph/GEPSNONPILOT/Tender/SplashBidNoticeAbstractUI.aspx?menuIndex=3&amp;refID=7191097&amp;Result=3","7191097")</f>
        <v>0</v>
      </c>
      <c r="B5178" t="s">
        <v>1141</v>
      </c>
      <c r="C5178" t="s">
        <v>8728</v>
      </c>
      <c r="D5178" t="s">
        <v>18988</v>
      </c>
      <c r="E5178" t="s">
        <v>20488</v>
      </c>
      <c r="F5178" t="s">
        <v>32606</v>
      </c>
      <c r="G5178" t="s">
        <v>32619</v>
      </c>
      <c r="H5178" t="s">
        <v>14201</v>
      </c>
      <c r="I5178" t="s">
        <v>4114</v>
      </c>
      <c r="J5178" t="s">
        <v>36180</v>
      </c>
      <c r="K5178" t="s">
        <v>42630</v>
      </c>
      <c r="M5178" t="s">
        <v>44103</v>
      </c>
      <c r="N5178" t="s">
        <v>47304</v>
      </c>
      <c r="O5178" t="s">
        <v>47305</v>
      </c>
      <c r="P5178">
        <v>0</v>
      </c>
      <c r="Q5178">
        <v>0</v>
      </c>
      <c r="R5178" t="s">
        <v>47308</v>
      </c>
      <c r="S5178" t="s">
        <v>47429</v>
      </c>
      <c r="T5178" t="s">
        <v>49268</v>
      </c>
      <c r="U5178" t="s">
        <v>53902</v>
      </c>
      <c r="W5178" t="s">
        <v>44103</v>
      </c>
      <c r="X5178" t="s">
        <v>47312</v>
      </c>
    </row>
    <row r="5179" spans="1:24">
      <c r="A5179">
        <f>HYPERLINK("https://www.philgeps.gov.ph/GEPSNONPILOT/Tender/SplashBidNoticeAbstractUI.aspx?menuIndex=3&amp;refID=7191274&amp;Result=3","7191274")</f>
        <v>0</v>
      </c>
      <c r="B5179" t="s">
        <v>357</v>
      </c>
      <c r="C5179" t="s">
        <v>8729</v>
      </c>
      <c r="D5179" t="s">
        <v>19010</v>
      </c>
      <c r="E5179" t="s">
        <v>23696</v>
      </c>
      <c r="F5179" t="s">
        <v>32606</v>
      </c>
      <c r="G5179" t="s">
        <v>32613</v>
      </c>
      <c r="H5179" t="s">
        <v>32623</v>
      </c>
      <c r="I5179" t="s">
        <v>17648</v>
      </c>
      <c r="J5179" t="s">
        <v>36181</v>
      </c>
      <c r="K5179" t="s">
        <v>42636</v>
      </c>
      <c r="M5179" t="s">
        <v>43259</v>
      </c>
      <c r="N5179" t="s">
        <v>47304</v>
      </c>
      <c r="O5179" t="s">
        <v>47305</v>
      </c>
      <c r="P5179">
        <v>0</v>
      </c>
      <c r="Q5179">
        <v>0</v>
      </c>
      <c r="R5179" t="s">
        <v>47308</v>
      </c>
      <c r="S5179" t="s">
        <v>47429</v>
      </c>
      <c r="T5179" t="s">
        <v>48986</v>
      </c>
      <c r="U5179" t="s">
        <v>53903</v>
      </c>
      <c r="V5179" t="s">
        <v>62729</v>
      </c>
      <c r="W5179" t="s">
        <v>43259</v>
      </c>
      <c r="X5179" t="s">
        <v>47312</v>
      </c>
    </row>
    <row r="5180" spans="1:24">
      <c r="A5180">
        <f>HYPERLINK("https://www.philgeps.gov.ph/GEPSNONPILOT/Tender/SplashBidNoticeAbstractUI.aspx?menuIndex=3&amp;refID=7191262&amp;Result=3","7191262")</f>
        <v>0</v>
      </c>
      <c r="B5180" t="s">
        <v>1454</v>
      </c>
      <c r="C5180" t="s">
        <v>8730</v>
      </c>
      <c r="D5180" t="s">
        <v>18993</v>
      </c>
      <c r="E5180" t="s">
        <v>23697</v>
      </c>
      <c r="F5180" t="s">
        <v>32606</v>
      </c>
      <c r="G5180" t="s">
        <v>32614</v>
      </c>
      <c r="H5180" t="s">
        <v>14201</v>
      </c>
      <c r="I5180" t="s">
        <v>8606</v>
      </c>
      <c r="J5180" t="s">
        <v>36182</v>
      </c>
      <c r="K5180" t="s">
        <v>42630</v>
      </c>
      <c r="M5180" t="s">
        <v>44879</v>
      </c>
      <c r="N5180" t="s">
        <v>47304</v>
      </c>
      <c r="O5180" t="s">
        <v>47305</v>
      </c>
      <c r="P5180">
        <v>0</v>
      </c>
      <c r="Q5180">
        <v>1</v>
      </c>
      <c r="R5180" t="s">
        <v>47308</v>
      </c>
      <c r="S5180" t="s">
        <v>47429</v>
      </c>
      <c r="T5180" t="s">
        <v>49006</v>
      </c>
      <c r="U5180" t="s">
        <v>53904</v>
      </c>
      <c r="V5180" t="s">
        <v>63124</v>
      </c>
      <c r="W5180" t="s">
        <v>44879</v>
      </c>
      <c r="X5180" t="s">
        <v>47312</v>
      </c>
    </row>
    <row r="5181" spans="1:24">
      <c r="A5181">
        <f>HYPERLINK("https://www.philgeps.gov.ph/GEPSNONPILOT/Tender/SplashBidNoticeAbstractUI.aspx?menuIndex=3&amp;refID=7191255&amp;Result=3","7191255")</f>
        <v>0</v>
      </c>
      <c r="B5181" t="s">
        <v>357</v>
      </c>
      <c r="C5181" t="s">
        <v>8731</v>
      </c>
      <c r="D5181" t="s">
        <v>19010</v>
      </c>
      <c r="E5181" t="s">
        <v>23698</v>
      </c>
      <c r="F5181" t="s">
        <v>32606</v>
      </c>
      <c r="G5181" t="s">
        <v>32613</v>
      </c>
      <c r="H5181" t="s">
        <v>32623</v>
      </c>
      <c r="I5181" t="s">
        <v>17648</v>
      </c>
      <c r="J5181" t="s">
        <v>36183</v>
      </c>
      <c r="K5181" t="s">
        <v>42631</v>
      </c>
      <c r="M5181" t="s">
        <v>43259</v>
      </c>
      <c r="N5181" t="s">
        <v>47304</v>
      </c>
      <c r="O5181" t="s">
        <v>47305</v>
      </c>
      <c r="P5181">
        <v>0</v>
      </c>
      <c r="Q5181">
        <v>0</v>
      </c>
      <c r="R5181" t="s">
        <v>47308</v>
      </c>
      <c r="S5181" t="s">
        <v>47429</v>
      </c>
      <c r="T5181" t="s">
        <v>48986</v>
      </c>
      <c r="U5181" t="s">
        <v>53905</v>
      </c>
      <c r="V5181" t="s">
        <v>62729</v>
      </c>
      <c r="W5181" t="s">
        <v>43259</v>
      </c>
      <c r="X5181" t="s">
        <v>47312</v>
      </c>
    </row>
    <row r="5182" spans="1:24">
      <c r="A5182">
        <f>HYPERLINK("https://www.philgeps.gov.ph/GEPSNONPILOT/Tender/SplashBidNoticeAbstractUI.aspx?menuIndex=3&amp;refID=7191253&amp;Result=3","7191253")</f>
        <v>0</v>
      </c>
      <c r="B5182" t="s">
        <v>30</v>
      </c>
      <c r="C5182" t="s">
        <v>8732</v>
      </c>
      <c r="D5182" t="s">
        <v>18989</v>
      </c>
      <c r="E5182" t="s">
        <v>23699</v>
      </c>
      <c r="F5182" t="s">
        <v>32606</v>
      </c>
      <c r="G5182" t="s">
        <v>32613</v>
      </c>
      <c r="H5182" t="s">
        <v>32623</v>
      </c>
      <c r="I5182" t="s">
        <v>17648</v>
      </c>
      <c r="J5182" t="s">
        <v>32767</v>
      </c>
      <c r="K5182" t="s">
        <v>42635</v>
      </c>
      <c r="M5182" t="s">
        <v>42927</v>
      </c>
      <c r="N5182" t="s">
        <v>47304</v>
      </c>
      <c r="O5182" t="s">
        <v>47305</v>
      </c>
      <c r="P5182">
        <v>0</v>
      </c>
      <c r="Q5182">
        <v>1</v>
      </c>
      <c r="R5182" t="s">
        <v>47308</v>
      </c>
      <c r="S5182" t="s">
        <v>47429</v>
      </c>
      <c r="T5182" t="s">
        <v>49101</v>
      </c>
      <c r="U5182" t="s">
        <v>53906</v>
      </c>
      <c r="W5182" t="s">
        <v>42927</v>
      </c>
      <c r="X5182" t="s">
        <v>47312</v>
      </c>
    </row>
    <row r="5183" spans="1:24">
      <c r="A5183">
        <f>HYPERLINK("https://www.philgeps.gov.ph/GEPSNONPILOT/Tender/SplashBidNoticeAbstractUI.aspx?menuIndex=3&amp;refID=7191028&amp;Result=3","7191028")</f>
        <v>0</v>
      </c>
      <c r="B5183" t="s">
        <v>1831</v>
      </c>
      <c r="C5183" t="s">
        <v>8733</v>
      </c>
      <c r="D5183" t="s">
        <v>18988</v>
      </c>
      <c r="E5183" t="s">
        <v>23700</v>
      </c>
      <c r="F5183" t="s">
        <v>32606</v>
      </c>
      <c r="G5183" t="s">
        <v>32614</v>
      </c>
      <c r="H5183" t="s">
        <v>14201</v>
      </c>
      <c r="I5183" t="s">
        <v>4114</v>
      </c>
      <c r="J5183" t="s">
        <v>36184</v>
      </c>
      <c r="K5183" t="s">
        <v>42630</v>
      </c>
      <c r="M5183" t="s">
        <v>44881</v>
      </c>
      <c r="N5183" t="s">
        <v>47304</v>
      </c>
      <c r="O5183" t="s">
        <v>47305</v>
      </c>
      <c r="P5183">
        <v>0</v>
      </c>
      <c r="Q5183">
        <v>7</v>
      </c>
      <c r="R5183" t="s">
        <v>47308</v>
      </c>
      <c r="S5183" t="s">
        <v>47429</v>
      </c>
      <c r="T5183" t="s">
        <v>48998</v>
      </c>
      <c r="U5183" t="s">
        <v>53907</v>
      </c>
      <c r="W5183" t="s">
        <v>44881</v>
      </c>
      <c r="X5183" t="s">
        <v>47312</v>
      </c>
    </row>
    <row r="5184" spans="1:24">
      <c r="A5184">
        <f>HYPERLINK("https://www.philgeps.gov.ph/GEPSNONPILOT/Tender/SplashBidNoticeAbstractUI.aspx?menuIndex=3&amp;refID=7191239&amp;Result=3","7191239")</f>
        <v>0</v>
      </c>
      <c r="B5184" t="s">
        <v>1379</v>
      </c>
      <c r="C5184" t="s">
        <v>8734</v>
      </c>
      <c r="D5184" t="s">
        <v>19011</v>
      </c>
      <c r="E5184" t="s">
        <v>23701</v>
      </c>
      <c r="F5184" t="s">
        <v>32606</v>
      </c>
      <c r="G5184" t="s">
        <v>32619</v>
      </c>
      <c r="H5184" t="s">
        <v>14201</v>
      </c>
      <c r="I5184" t="s">
        <v>8682</v>
      </c>
      <c r="J5184" t="s">
        <v>32949</v>
      </c>
      <c r="K5184" t="s">
        <v>42627</v>
      </c>
      <c r="M5184" t="s">
        <v>44361</v>
      </c>
      <c r="N5184" t="s">
        <v>47304</v>
      </c>
      <c r="O5184" t="s">
        <v>47305</v>
      </c>
      <c r="P5184">
        <v>0</v>
      </c>
      <c r="Q5184">
        <v>1</v>
      </c>
      <c r="R5184" t="s">
        <v>47308</v>
      </c>
      <c r="S5184" t="s">
        <v>47429</v>
      </c>
      <c r="T5184" t="s">
        <v>48998</v>
      </c>
      <c r="U5184" t="s">
        <v>53908</v>
      </c>
      <c r="W5184" t="s">
        <v>44361</v>
      </c>
      <c r="X5184" t="s">
        <v>47312</v>
      </c>
    </row>
    <row r="5185" spans="1:24">
      <c r="A5185">
        <f>HYPERLINK("https://www.philgeps.gov.ph/GEPSNONPILOT/Tender/SplashBidNoticeAbstractUI.aspx?menuIndex=3&amp;refID=7191232&amp;Result=3","7191232")</f>
        <v>0</v>
      </c>
      <c r="B5185" t="s">
        <v>357</v>
      </c>
      <c r="C5185" t="s">
        <v>8735</v>
      </c>
      <c r="D5185" t="s">
        <v>19010</v>
      </c>
      <c r="E5185" t="s">
        <v>23702</v>
      </c>
      <c r="F5185" t="s">
        <v>32606</v>
      </c>
      <c r="G5185" t="s">
        <v>32613</v>
      </c>
      <c r="H5185" t="s">
        <v>32623</v>
      </c>
      <c r="I5185" t="s">
        <v>17648</v>
      </c>
      <c r="J5185" t="s">
        <v>36183</v>
      </c>
      <c r="K5185" t="s">
        <v>42631</v>
      </c>
      <c r="M5185" t="s">
        <v>43259</v>
      </c>
      <c r="N5185" t="s">
        <v>47304</v>
      </c>
      <c r="O5185" t="s">
        <v>47305</v>
      </c>
      <c r="P5185">
        <v>0</v>
      </c>
      <c r="Q5185">
        <v>0</v>
      </c>
      <c r="R5185" t="s">
        <v>47308</v>
      </c>
      <c r="S5185" t="s">
        <v>47429</v>
      </c>
      <c r="T5185" t="s">
        <v>48986</v>
      </c>
      <c r="U5185" t="s">
        <v>53905</v>
      </c>
      <c r="V5185" t="s">
        <v>62729</v>
      </c>
      <c r="W5185" t="s">
        <v>43259</v>
      </c>
      <c r="X5185" t="s">
        <v>47312</v>
      </c>
    </row>
    <row r="5186" spans="1:24">
      <c r="A5186">
        <f>HYPERLINK("https://www.philgeps.gov.ph/GEPSNONPILOT/Tender/SplashBidNoticeAbstractUI.aspx?menuIndex=3&amp;refID=7191225&amp;Result=3","7191225")</f>
        <v>0</v>
      </c>
      <c r="B5186" t="s">
        <v>1645</v>
      </c>
      <c r="C5186" t="s">
        <v>8736</v>
      </c>
      <c r="D5186" t="s">
        <v>18999</v>
      </c>
      <c r="E5186" t="s">
        <v>23703</v>
      </c>
      <c r="F5186" t="s">
        <v>32606</v>
      </c>
      <c r="G5186" t="s">
        <v>32619</v>
      </c>
      <c r="H5186" t="s">
        <v>14201</v>
      </c>
      <c r="I5186" t="s">
        <v>9008</v>
      </c>
      <c r="J5186" t="s">
        <v>36185</v>
      </c>
      <c r="K5186" t="s">
        <v>42630</v>
      </c>
      <c r="M5186" t="s">
        <v>44668</v>
      </c>
      <c r="N5186" t="s">
        <v>47304</v>
      </c>
      <c r="O5186" t="s">
        <v>47305</v>
      </c>
      <c r="P5186">
        <v>0</v>
      </c>
      <c r="Q5186">
        <v>1</v>
      </c>
      <c r="R5186" t="s">
        <v>47308</v>
      </c>
      <c r="S5186" t="s">
        <v>47429</v>
      </c>
      <c r="T5186" t="s">
        <v>49017</v>
      </c>
      <c r="U5186" t="s">
        <v>53909</v>
      </c>
      <c r="W5186" t="s">
        <v>44668</v>
      </c>
      <c r="X5186" t="s">
        <v>47312</v>
      </c>
    </row>
    <row r="5187" spans="1:24">
      <c r="A5187">
        <f>HYPERLINK("https://www.philgeps.gov.ph/GEPSNONPILOT/Tender/SplashBidNoticeAbstractUI.aspx?menuIndex=3&amp;refID=7190853&amp;Result=3","7190853")</f>
        <v>0</v>
      </c>
      <c r="B5187" t="s">
        <v>1829</v>
      </c>
      <c r="C5187" t="s">
        <v>8737</v>
      </c>
      <c r="D5187" t="s">
        <v>19007</v>
      </c>
      <c r="E5187" t="s">
        <v>23704</v>
      </c>
      <c r="F5187" t="s">
        <v>32606</v>
      </c>
      <c r="G5187" t="s">
        <v>32613</v>
      </c>
      <c r="H5187" t="s">
        <v>32623</v>
      </c>
      <c r="I5187" t="s">
        <v>17648</v>
      </c>
      <c r="J5187" t="s">
        <v>33370</v>
      </c>
      <c r="K5187" t="s">
        <v>42738</v>
      </c>
      <c r="L5187" t="s">
        <v>1829</v>
      </c>
      <c r="M5187" t="s">
        <v>44876</v>
      </c>
      <c r="N5187" t="s">
        <v>47304</v>
      </c>
      <c r="O5187" t="s">
        <v>47305</v>
      </c>
      <c r="P5187">
        <v>0</v>
      </c>
      <c r="Q5187">
        <v>0</v>
      </c>
      <c r="R5187" t="s">
        <v>47308</v>
      </c>
      <c r="S5187" t="s">
        <v>47429</v>
      </c>
      <c r="T5187" t="s">
        <v>49133</v>
      </c>
      <c r="U5187" t="s">
        <v>53888</v>
      </c>
      <c r="W5187" t="s">
        <v>44876</v>
      </c>
      <c r="X5187" t="s">
        <v>47312</v>
      </c>
    </row>
    <row r="5188" spans="1:24">
      <c r="A5188">
        <f>HYPERLINK("https://www.philgeps.gov.ph/GEPSNONPILOT/Tender/SplashBidNoticeAbstractUI.aspx?menuIndex=3&amp;refID=7191218&amp;Result=3","7191218")</f>
        <v>0</v>
      </c>
      <c r="B5188" t="s">
        <v>357</v>
      </c>
      <c r="C5188" t="s">
        <v>8738</v>
      </c>
      <c r="D5188" t="s">
        <v>19010</v>
      </c>
      <c r="E5188" t="s">
        <v>23705</v>
      </c>
      <c r="F5188" t="s">
        <v>32606</v>
      </c>
      <c r="G5188" t="s">
        <v>32613</v>
      </c>
      <c r="H5188" t="s">
        <v>32623</v>
      </c>
      <c r="I5188" t="s">
        <v>17648</v>
      </c>
      <c r="J5188" t="s">
        <v>36183</v>
      </c>
      <c r="K5188" t="s">
        <v>42631</v>
      </c>
      <c r="M5188" t="s">
        <v>43259</v>
      </c>
      <c r="N5188" t="s">
        <v>47304</v>
      </c>
      <c r="O5188" t="s">
        <v>47305</v>
      </c>
      <c r="P5188">
        <v>0</v>
      </c>
      <c r="Q5188">
        <v>0</v>
      </c>
      <c r="R5188" t="s">
        <v>47308</v>
      </c>
      <c r="S5188" t="s">
        <v>47429</v>
      </c>
      <c r="T5188" t="s">
        <v>48986</v>
      </c>
      <c r="U5188" t="s">
        <v>53905</v>
      </c>
      <c r="V5188" t="s">
        <v>62729</v>
      </c>
      <c r="W5188" t="s">
        <v>43259</v>
      </c>
      <c r="X5188" t="s">
        <v>47312</v>
      </c>
    </row>
    <row r="5189" spans="1:24">
      <c r="A5189">
        <f>HYPERLINK("https://www.philgeps.gov.ph/GEPSNONPILOT/Tender/SplashBidNoticeAbstractUI.aspx?menuIndex=3&amp;refID=7191215&amp;Result=3","7191215")</f>
        <v>0</v>
      </c>
      <c r="B5189" t="s">
        <v>1832</v>
      </c>
      <c r="C5189" t="s">
        <v>8739</v>
      </c>
      <c r="D5189" t="s">
        <v>18992</v>
      </c>
      <c r="E5189" t="s">
        <v>23706</v>
      </c>
      <c r="F5189" t="s">
        <v>32606</v>
      </c>
      <c r="G5189" t="s">
        <v>32613</v>
      </c>
      <c r="H5189" t="s">
        <v>14201</v>
      </c>
      <c r="I5189" t="s">
        <v>6931</v>
      </c>
      <c r="J5189" t="s">
        <v>36186</v>
      </c>
      <c r="K5189" t="s">
        <v>42623</v>
      </c>
      <c r="M5189" t="s">
        <v>44882</v>
      </c>
      <c r="N5189" t="s">
        <v>47304</v>
      </c>
      <c r="O5189" t="s">
        <v>47305</v>
      </c>
      <c r="P5189">
        <v>0</v>
      </c>
      <c r="Q5189">
        <v>0</v>
      </c>
      <c r="R5189" t="s">
        <v>47308</v>
      </c>
      <c r="S5189" t="s">
        <v>47429</v>
      </c>
      <c r="T5189" t="s">
        <v>48994</v>
      </c>
      <c r="U5189" t="s">
        <v>53910</v>
      </c>
      <c r="V5189" t="s">
        <v>63125</v>
      </c>
      <c r="W5189" t="s">
        <v>44882</v>
      </c>
      <c r="X5189" t="s">
        <v>47312</v>
      </c>
    </row>
    <row r="5190" spans="1:24">
      <c r="A5190">
        <f>HYPERLINK("https://www.philgeps.gov.ph/GEPSNONPILOT/Tender/SplashBidNoticeAbstractUI.aspx?menuIndex=3&amp;refID=7191209&amp;Result=3","7191209")</f>
        <v>0</v>
      </c>
      <c r="B5190" t="s">
        <v>1645</v>
      </c>
      <c r="C5190" t="s">
        <v>8740</v>
      </c>
      <c r="D5190" t="s">
        <v>18999</v>
      </c>
      <c r="E5190" t="s">
        <v>23707</v>
      </c>
      <c r="F5190" t="s">
        <v>32606</v>
      </c>
      <c r="G5190" t="s">
        <v>32619</v>
      </c>
      <c r="H5190" t="s">
        <v>32623</v>
      </c>
      <c r="I5190" t="s">
        <v>17648</v>
      </c>
      <c r="J5190" t="s">
        <v>36187</v>
      </c>
      <c r="K5190" t="s">
        <v>42630</v>
      </c>
      <c r="M5190" t="s">
        <v>44668</v>
      </c>
      <c r="N5190" t="s">
        <v>47304</v>
      </c>
      <c r="O5190" t="s">
        <v>47305</v>
      </c>
      <c r="P5190">
        <v>0</v>
      </c>
      <c r="Q5190">
        <v>0</v>
      </c>
      <c r="R5190" t="s">
        <v>47308</v>
      </c>
      <c r="S5190" t="s">
        <v>47429</v>
      </c>
      <c r="T5190" t="s">
        <v>49017</v>
      </c>
      <c r="U5190" t="s">
        <v>53911</v>
      </c>
      <c r="W5190" t="s">
        <v>44668</v>
      </c>
      <c r="X5190" t="s">
        <v>47312</v>
      </c>
    </row>
    <row r="5191" spans="1:24">
      <c r="A5191">
        <f>HYPERLINK("https://www.philgeps.gov.ph/GEPSNONPILOT/Tender/SplashBidNoticeAbstractUI.aspx?menuIndex=3&amp;refID=7191199&amp;Result=3","7191199")</f>
        <v>0</v>
      </c>
      <c r="B5191" t="s">
        <v>42</v>
      </c>
      <c r="C5191" t="s">
        <v>8741</v>
      </c>
      <c r="E5191" t="s">
        <v>23708</v>
      </c>
      <c r="F5191" t="s">
        <v>32606</v>
      </c>
      <c r="G5191" t="s">
        <v>32619</v>
      </c>
      <c r="H5191" t="s">
        <v>14201</v>
      </c>
      <c r="I5191" t="s">
        <v>32633</v>
      </c>
      <c r="J5191" t="s">
        <v>33227</v>
      </c>
      <c r="K5191" t="s">
        <v>42630</v>
      </c>
      <c r="M5191" t="s">
        <v>42982</v>
      </c>
      <c r="N5191" t="s">
        <v>47304</v>
      </c>
      <c r="O5191" t="s">
        <v>47305</v>
      </c>
      <c r="P5191">
        <v>0</v>
      </c>
      <c r="Q5191">
        <v>6</v>
      </c>
      <c r="R5191" t="s">
        <v>47308</v>
      </c>
      <c r="S5191" t="s">
        <v>47429</v>
      </c>
      <c r="T5191" t="s">
        <v>49068</v>
      </c>
      <c r="U5191" t="s">
        <v>49653</v>
      </c>
      <c r="W5191" t="s">
        <v>42982</v>
      </c>
      <c r="X5191" t="s">
        <v>47312</v>
      </c>
    </row>
    <row r="5192" spans="1:24">
      <c r="A5192">
        <f>HYPERLINK("https://www.philgeps.gov.ph/GEPSNONPILOT/Tender/SplashBidNoticeAbstractUI.aspx?menuIndex=3&amp;refID=7191190&amp;Result=3","7191190")</f>
        <v>0</v>
      </c>
      <c r="B5192" t="s">
        <v>357</v>
      </c>
      <c r="C5192" t="s">
        <v>8742</v>
      </c>
      <c r="D5192" t="s">
        <v>19010</v>
      </c>
      <c r="E5192" t="s">
        <v>23709</v>
      </c>
      <c r="F5192" t="s">
        <v>32606</v>
      </c>
      <c r="G5192" t="s">
        <v>32613</v>
      </c>
      <c r="H5192" t="s">
        <v>32623</v>
      </c>
      <c r="I5192" t="s">
        <v>17648</v>
      </c>
      <c r="J5192" t="s">
        <v>36188</v>
      </c>
      <c r="K5192" t="s">
        <v>42623</v>
      </c>
      <c r="M5192" t="s">
        <v>43259</v>
      </c>
      <c r="N5192" t="s">
        <v>47304</v>
      </c>
      <c r="O5192" t="s">
        <v>47305</v>
      </c>
      <c r="P5192">
        <v>0</v>
      </c>
      <c r="Q5192">
        <v>0</v>
      </c>
      <c r="R5192" t="s">
        <v>47308</v>
      </c>
      <c r="S5192" t="s">
        <v>47429</v>
      </c>
      <c r="T5192" t="s">
        <v>48986</v>
      </c>
      <c r="U5192" t="s">
        <v>53905</v>
      </c>
      <c r="V5192" t="s">
        <v>62729</v>
      </c>
      <c r="W5192" t="s">
        <v>43259</v>
      </c>
      <c r="X5192" t="s">
        <v>47312</v>
      </c>
    </row>
    <row r="5193" spans="1:24">
      <c r="A5193">
        <f>HYPERLINK("https://www.philgeps.gov.ph/GEPSNONPILOT/Tender/SplashBidNoticeAbstractUI.aspx?menuIndex=3&amp;refID=7191298&amp;Result=3","7191298")</f>
        <v>0</v>
      </c>
      <c r="B5193" t="s">
        <v>352</v>
      </c>
      <c r="C5193" t="s">
        <v>8743</v>
      </c>
      <c r="E5193" t="s">
        <v>23710</v>
      </c>
      <c r="F5193" t="s">
        <v>32606</v>
      </c>
      <c r="G5193" t="s">
        <v>32618</v>
      </c>
      <c r="H5193" t="s">
        <v>14201</v>
      </c>
      <c r="I5193" t="s">
        <v>4112</v>
      </c>
      <c r="J5193" t="s">
        <v>36189</v>
      </c>
      <c r="K5193" t="s">
        <v>42624</v>
      </c>
      <c r="M5193" t="s">
        <v>43254</v>
      </c>
      <c r="N5193" t="s">
        <v>47304</v>
      </c>
      <c r="O5193" t="s">
        <v>47305</v>
      </c>
      <c r="P5193">
        <v>0</v>
      </c>
      <c r="Q5193">
        <v>3</v>
      </c>
      <c r="R5193" t="s">
        <v>47308</v>
      </c>
      <c r="S5193" t="s">
        <v>47429</v>
      </c>
      <c r="T5193" t="s">
        <v>49032</v>
      </c>
      <c r="U5193" t="s">
        <v>53912</v>
      </c>
      <c r="W5193" t="s">
        <v>43254</v>
      </c>
      <c r="X5193" t="s">
        <v>47312</v>
      </c>
    </row>
    <row r="5194" spans="1:24">
      <c r="A5194">
        <f>HYPERLINK("https://www.philgeps.gov.ph/GEPSNONPILOT/Tender/SplashBidNoticeAbstractUI.aspx?menuIndex=3&amp;refID=7190983&amp;Result=3","7190983")</f>
        <v>0</v>
      </c>
      <c r="B5194" t="s">
        <v>779</v>
      </c>
      <c r="C5194" t="s">
        <v>8744</v>
      </c>
      <c r="D5194" t="s">
        <v>19041</v>
      </c>
      <c r="E5194" t="s">
        <v>23711</v>
      </c>
      <c r="F5194" t="s">
        <v>32607</v>
      </c>
      <c r="G5194" t="s">
        <v>32614</v>
      </c>
      <c r="H5194" t="s">
        <v>32623</v>
      </c>
      <c r="I5194" t="s">
        <v>17648</v>
      </c>
      <c r="J5194" t="s">
        <v>36190</v>
      </c>
      <c r="K5194" t="s">
        <v>42631</v>
      </c>
      <c r="M5194" t="s">
        <v>44883</v>
      </c>
      <c r="N5194" t="s">
        <v>47304</v>
      </c>
      <c r="O5194" t="s">
        <v>47305</v>
      </c>
      <c r="P5194">
        <v>0</v>
      </c>
      <c r="Q5194">
        <v>0</v>
      </c>
      <c r="R5194" t="s">
        <v>47308</v>
      </c>
      <c r="S5194" t="s">
        <v>47429</v>
      </c>
      <c r="T5194" t="s">
        <v>49175</v>
      </c>
      <c r="U5194" t="s">
        <v>53913</v>
      </c>
      <c r="V5194" t="s">
        <v>63126</v>
      </c>
      <c r="W5194" t="s">
        <v>44883</v>
      </c>
      <c r="X5194" t="s">
        <v>47312</v>
      </c>
    </row>
    <row r="5195" spans="1:24">
      <c r="A5195">
        <f>HYPERLINK("https://www.philgeps.gov.ph/GEPSNONPILOT/Tender/SplashBidNoticeAbstractUI.aspx?menuIndex=3&amp;refID=7190941&amp;Result=3","7190941")</f>
        <v>0</v>
      </c>
      <c r="B5195" t="s">
        <v>42</v>
      </c>
      <c r="C5195" t="s">
        <v>8745</v>
      </c>
      <c r="E5195" t="s">
        <v>23712</v>
      </c>
      <c r="F5195" t="s">
        <v>32606</v>
      </c>
      <c r="G5195" t="s">
        <v>32619</v>
      </c>
      <c r="H5195" t="s">
        <v>14201</v>
      </c>
      <c r="I5195" t="s">
        <v>4678</v>
      </c>
      <c r="J5195" t="s">
        <v>33302</v>
      </c>
      <c r="K5195" t="s">
        <v>42631</v>
      </c>
      <c r="M5195" t="s">
        <v>42982</v>
      </c>
      <c r="N5195" t="s">
        <v>47304</v>
      </c>
      <c r="O5195" t="s">
        <v>47305</v>
      </c>
      <c r="P5195">
        <v>0</v>
      </c>
      <c r="Q5195">
        <v>2</v>
      </c>
      <c r="R5195" t="s">
        <v>47308</v>
      </c>
      <c r="S5195" t="s">
        <v>47429</v>
      </c>
      <c r="T5195" t="s">
        <v>49068</v>
      </c>
      <c r="U5195" t="s">
        <v>49653</v>
      </c>
      <c r="W5195" t="s">
        <v>42982</v>
      </c>
      <c r="X5195" t="s">
        <v>47312</v>
      </c>
    </row>
    <row r="5196" spans="1:24">
      <c r="A5196">
        <f>HYPERLINK("https://www.philgeps.gov.ph/GEPSNONPILOT/Tender/SplashBidNoticeAbstractUI.aspx?menuIndex=3&amp;refID=7191307&amp;Result=3","7191307")</f>
        <v>0</v>
      </c>
      <c r="B5196" t="s">
        <v>1833</v>
      </c>
      <c r="C5196" t="s">
        <v>8746</v>
      </c>
      <c r="D5196" t="s">
        <v>19014</v>
      </c>
      <c r="E5196" t="s">
        <v>23713</v>
      </c>
      <c r="F5196" t="s">
        <v>32606</v>
      </c>
      <c r="G5196" t="s">
        <v>32613</v>
      </c>
      <c r="H5196" t="s">
        <v>14201</v>
      </c>
      <c r="I5196" t="s">
        <v>6931</v>
      </c>
      <c r="J5196" t="s">
        <v>32981</v>
      </c>
      <c r="K5196" t="s">
        <v>42630</v>
      </c>
      <c r="M5196" t="s">
        <v>44884</v>
      </c>
      <c r="N5196" t="s">
        <v>47304</v>
      </c>
      <c r="O5196" t="s">
        <v>47305</v>
      </c>
      <c r="P5196">
        <v>0</v>
      </c>
      <c r="Q5196">
        <v>1</v>
      </c>
      <c r="R5196" t="s">
        <v>47308</v>
      </c>
      <c r="S5196" t="s">
        <v>47429</v>
      </c>
      <c r="T5196" t="s">
        <v>49312</v>
      </c>
      <c r="U5196" t="s">
        <v>53914</v>
      </c>
      <c r="W5196" t="s">
        <v>44884</v>
      </c>
      <c r="X5196" t="s">
        <v>47312</v>
      </c>
    </row>
    <row r="5197" spans="1:24">
      <c r="A5197">
        <f>HYPERLINK("https://www.philgeps.gov.ph/GEPSNONPILOT/Tender/SplashBidNoticeAbstractUI.aspx?menuIndex=3&amp;refID=7191443&amp;Result=3","7191443")</f>
        <v>0</v>
      </c>
      <c r="B5197" t="s">
        <v>1353</v>
      </c>
      <c r="C5197" t="s">
        <v>6968</v>
      </c>
      <c r="D5197" t="s">
        <v>19041</v>
      </c>
      <c r="E5197" t="s">
        <v>21987</v>
      </c>
      <c r="F5197" t="s">
        <v>32606</v>
      </c>
      <c r="G5197" t="s">
        <v>32614</v>
      </c>
      <c r="H5197" t="s">
        <v>14201</v>
      </c>
      <c r="I5197" t="s">
        <v>7233</v>
      </c>
      <c r="J5197" t="s">
        <v>36191</v>
      </c>
      <c r="K5197" t="s">
        <v>42624</v>
      </c>
      <c r="M5197" t="s">
        <v>44327</v>
      </c>
      <c r="N5197" t="s">
        <v>47304</v>
      </c>
      <c r="O5197" t="s">
        <v>47305</v>
      </c>
      <c r="P5197">
        <v>0</v>
      </c>
      <c r="Q5197">
        <v>0</v>
      </c>
      <c r="R5197" t="s">
        <v>47308</v>
      </c>
      <c r="S5197" t="s">
        <v>47429</v>
      </c>
      <c r="T5197" t="s">
        <v>49165</v>
      </c>
      <c r="U5197" t="s">
        <v>53915</v>
      </c>
      <c r="V5197" t="s">
        <v>62993</v>
      </c>
      <c r="W5197" t="s">
        <v>44327</v>
      </c>
      <c r="X5197" t="s">
        <v>47312</v>
      </c>
    </row>
    <row r="5198" spans="1:24">
      <c r="A5198">
        <f>HYPERLINK("https://www.philgeps.gov.ph/GEPSNONPILOT/Tender/SplashBidNoticeAbstractUI.aspx?menuIndex=3&amp;refID=7191207&amp;Result=3","7191207")</f>
        <v>0</v>
      </c>
      <c r="B5198" t="s">
        <v>357</v>
      </c>
      <c r="C5198" t="s">
        <v>8747</v>
      </c>
      <c r="D5198" t="s">
        <v>19010</v>
      </c>
      <c r="E5198" t="s">
        <v>23714</v>
      </c>
      <c r="F5198" t="s">
        <v>32606</v>
      </c>
      <c r="G5198" t="s">
        <v>32613</v>
      </c>
      <c r="H5198" t="s">
        <v>32623</v>
      </c>
      <c r="I5198" t="s">
        <v>17648</v>
      </c>
      <c r="J5198" t="s">
        <v>36183</v>
      </c>
      <c r="K5198" t="s">
        <v>42631</v>
      </c>
      <c r="M5198" t="s">
        <v>43259</v>
      </c>
      <c r="N5198" t="s">
        <v>47304</v>
      </c>
      <c r="O5198" t="s">
        <v>47305</v>
      </c>
      <c r="P5198">
        <v>0</v>
      </c>
      <c r="Q5198">
        <v>0</v>
      </c>
      <c r="R5198" t="s">
        <v>47308</v>
      </c>
      <c r="S5198" t="s">
        <v>47429</v>
      </c>
      <c r="T5198" t="s">
        <v>48986</v>
      </c>
      <c r="U5198" t="s">
        <v>53905</v>
      </c>
      <c r="V5198" t="s">
        <v>62729</v>
      </c>
      <c r="W5198" t="s">
        <v>43259</v>
      </c>
      <c r="X5198" t="s">
        <v>47312</v>
      </c>
    </row>
    <row r="5199" spans="1:24">
      <c r="A5199">
        <f>HYPERLINK("https://www.philgeps.gov.ph/GEPSNONPILOT/Tender/SplashBidNoticeAbstractUI.aspx?menuIndex=3&amp;refID=7191441&amp;Result=3","7191441")</f>
        <v>0</v>
      </c>
      <c r="B5199" t="s">
        <v>906</v>
      </c>
      <c r="C5199" t="s">
        <v>8748</v>
      </c>
      <c r="D5199" t="s">
        <v>19013</v>
      </c>
      <c r="E5199" t="s">
        <v>23715</v>
      </c>
      <c r="F5199" t="s">
        <v>32606</v>
      </c>
      <c r="G5199" t="s">
        <v>32614</v>
      </c>
      <c r="H5199" t="s">
        <v>14201</v>
      </c>
      <c r="I5199" t="s">
        <v>32644</v>
      </c>
      <c r="J5199" t="s">
        <v>32813</v>
      </c>
      <c r="K5199" t="s">
        <v>42631</v>
      </c>
      <c r="M5199" t="s">
        <v>43844</v>
      </c>
      <c r="N5199" t="s">
        <v>47304</v>
      </c>
      <c r="O5199" t="s">
        <v>47305</v>
      </c>
      <c r="P5199">
        <v>0</v>
      </c>
      <c r="Q5199">
        <v>0</v>
      </c>
      <c r="R5199" t="s">
        <v>47308</v>
      </c>
      <c r="S5199" t="s">
        <v>47429</v>
      </c>
      <c r="T5199" t="s">
        <v>49053</v>
      </c>
      <c r="U5199" t="s">
        <v>51291</v>
      </c>
      <c r="W5199" t="s">
        <v>43844</v>
      </c>
      <c r="X5199" t="s">
        <v>47312</v>
      </c>
    </row>
    <row r="5200" spans="1:24">
      <c r="A5200">
        <f>HYPERLINK("https://www.philgeps.gov.ph/GEPSNONPILOT/Tender/SplashBidNoticeAbstractUI.aspx?menuIndex=3&amp;refID=7191429&amp;Result=3","7191429")</f>
        <v>0</v>
      </c>
      <c r="B5200" t="s">
        <v>962</v>
      </c>
      <c r="C5200" t="s">
        <v>8749</v>
      </c>
      <c r="D5200" t="s">
        <v>18991</v>
      </c>
      <c r="E5200" t="s">
        <v>23716</v>
      </c>
      <c r="F5200" t="s">
        <v>32606</v>
      </c>
      <c r="G5200" t="s">
        <v>32613</v>
      </c>
      <c r="H5200" t="s">
        <v>32623</v>
      </c>
      <c r="I5200" t="s">
        <v>17648</v>
      </c>
      <c r="J5200" t="s">
        <v>36192</v>
      </c>
      <c r="K5200" t="s">
        <v>42691</v>
      </c>
      <c r="M5200" t="s">
        <v>43907</v>
      </c>
      <c r="N5200" t="s">
        <v>47304</v>
      </c>
      <c r="O5200" t="s">
        <v>47305</v>
      </c>
      <c r="P5200">
        <v>0</v>
      </c>
      <c r="Q5200">
        <v>0</v>
      </c>
      <c r="R5200" t="s">
        <v>47308</v>
      </c>
      <c r="S5200" t="s">
        <v>47429</v>
      </c>
      <c r="T5200" t="s">
        <v>49031</v>
      </c>
      <c r="U5200" t="s">
        <v>53916</v>
      </c>
      <c r="V5200" t="s">
        <v>63127</v>
      </c>
      <c r="W5200" t="s">
        <v>43907</v>
      </c>
      <c r="X5200" t="s">
        <v>47312</v>
      </c>
    </row>
    <row r="5201" spans="1:24">
      <c r="A5201">
        <f>HYPERLINK("https://www.philgeps.gov.ph/GEPSNONPILOT/Tender/SplashBidNoticeAbstractUI.aspx?menuIndex=3&amp;refID=7191414&amp;Result=3","7191414")</f>
        <v>0</v>
      </c>
      <c r="B5201" t="s">
        <v>1834</v>
      </c>
      <c r="C5201" t="s">
        <v>8750</v>
      </c>
      <c r="D5201" t="s">
        <v>19014</v>
      </c>
      <c r="E5201" t="s">
        <v>19786</v>
      </c>
      <c r="F5201" t="s">
        <v>32606</v>
      </c>
      <c r="G5201" t="s">
        <v>32619</v>
      </c>
      <c r="H5201" t="s">
        <v>14201</v>
      </c>
      <c r="I5201" t="s">
        <v>6478</v>
      </c>
      <c r="J5201" t="s">
        <v>36193</v>
      </c>
      <c r="K5201" t="s">
        <v>42624</v>
      </c>
      <c r="M5201" t="s">
        <v>44885</v>
      </c>
      <c r="N5201" t="s">
        <v>47304</v>
      </c>
      <c r="O5201" t="s">
        <v>47305</v>
      </c>
      <c r="P5201">
        <v>0</v>
      </c>
      <c r="Q5201">
        <v>0</v>
      </c>
      <c r="R5201" t="s">
        <v>47308</v>
      </c>
      <c r="S5201" t="s">
        <v>47429</v>
      </c>
      <c r="T5201" t="s">
        <v>49053</v>
      </c>
      <c r="U5201" t="s">
        <v>53917</v>
      </c>
      <c r="W5201" t="s">
        <v>44885</v>
      </c>
      <c r="X5201" t="s">
        <v>47312</v>
      </c>
    </row>
    <row r="5202" spans="1:24">
      <c r="A5202">
        <f>HYPERLINK("https://www.philgeps.gov.ph/GEPSNONPILOT/Tender/SplashBidNoticeAbstractUI.aspx?menuIndex=3&amp;refID=7191238&amp;Result=3","7191238")</f>
        <v>0</v>
      </c>
      <c r="B5202" t="s">
        <v>357</v>
      </c>
      <c r="C5202" t="s">
        <v>8751</v>
      </c>
      <c r="D5202" t="s">
        <v>19010</v>
      </c>
      <c r="E5202" t="s">
        <v>23717</v>
      </c>
      <c r="F5202" t="s">
        <v>32606</v>
      </c>
      <c r="G5202" t="s">
        <v>32613</v>
      </c>
      <c r="H5202" t="s">
        <v>32623</v>
      </c>
      <c r="I5202" t="s">
        <v>17648</v>
      </c>
      <c r="J5202" t="s">
        <v>36183</v>
      </c>
      <c r="K5202" t="s">
        <v>42631</v>
      </c>
      <c r="M5202" t="s">
        <v>43259</v>
      </c>
      <c r="N5202" t="s">
        <v>47304</v>
      </c>
      <c r="O5202" t="s">
        <v>47305</v>
      </c>
      <c r="P5202">
        <v>0</v>
      </c>
      <c r="Q5202">
        <v>0</v>
      </c>
      <c r="R5202" t="s">
        <v>47308</v>
      </c>
      <c r="S5202" t="s">
        <v>47429</v>
      </c>
      <c r="T5202" t="s">
        <v>48986</v>
      </c>
      <c r="U5202" t="s">
        <v>53905</v>
      </c>
      <c r="V5202" t="s">
        <v>62729</v>
      </c>
      <c r="W5202" t="s">
        <v>43259</v>
      </c>
      <c r="X5202" t="s">
        <v>47312</v>
      </c>
    </row>
    <row r="5203" spans="1:24">
      <c r="A5203">
        <f>HYPERLINK("https://www.philgeps.gov.ph/GEPSNONPILOT/Tender/SplashBidNoticeAbstractUI.aspx?menuIndex=3&amp;refID=7191400&amp;Result=3","7191400")</f>
        <v>0</v>
      </c>
      <c r="B5203" t="s">
        <v>1353</v>
      </c>
      <c r="C5203" t="s">
        <v>8752</v>
      </c>
      <c r="D5203" t="s">
        <v>19041</v>
      </c>
      <c r="E5203" t="s">
        <v>21988</v>
      </c>
      <c r="F5203" t="s">
        <v>32606</v>
      </c>
      <c r="G5203" t="s">
        <v>32617</v>
      </c>
      <c r="H5203" t="s">
        <v>14201</v>
      </c>
      <c r="I5203" t="s">
        <v>32640</v>
      </c>
      <c r="J5203" t="s">
        <v>34089</v>
      </c>
      <c r="K5203" t="s">
        <v>42624</v>
      </c>
      <c r="M5203" t="s">
        <v>44327</v>
      </c>
      <c r="N5203" t="s">
        <v>47304</v>
      </c>
      <c r="O5203" t="s">
        <v>47305</v>
      </c>
      <c r="P5203">
        <v>0</v>
      </c>
      <c r="Q5203">
        <v>2</v>
      </c>
      <c r="R5203" t="s">
        <v>47308</v>
      </c>
      <c r="S5203" t="s">
        <v>47429</v>
      </c>
      <c r="T5203" t="s">
        <v>49165</v>
      </c>
      <c r="U5203" t="s">
        <v>53918</v>
      </c>
      <c r="V5203" t="s">
        <v>62993</v>
      </c>
      <c r="W5203" t="s">
        <v>44327</v>
      </c>
      <c r="X5203" t="s">
        <v>47312</v>
      </c>
    </row>
    <row r="5204" spans="1:24">
      <c r="A5204">
        <f>HYPERLINK("https://www.philgeps.gov.ph/GEPSNONPILOT/Tender/SplashBidNoticeAbstractUI.aspx?menuIndex=3&amp;refID=7191394&amp;Result=3","7191394")</f>
        <v>0</v>
      </c>
      <c r="B5204" t="s">
        <v>1835</v>
      </c>
      <c r="C5204" t="s">
        <v>5701</v>
      </c>
      <c r="D5204" t="s">
        <v>19054</v>
      </c>
      <c r="E5204" t="s">
        <v>23718</v>
      </c>
      <c r="F5204" t="s">
        <v>32606</v>
      </c>
      <c r="G5204" t="s">
        <v>32614</v>
      </c>
      <c r="H5204" t="s">
        <v>14201</v>
      </c>
      <c r="I5204" t="s">
        <v>6298</v>
      </c>
      <c r="J5204" t="s">
        <v>32752</v>
      </c>
      <c r="K5204" t="s">
        <v>42623</v>
      </c>
      <c r="M5204" t="s">
        <v>44886</v>
      </c>
      <c r="N5204" t="s">
        <v>47304</v>
      </c>
      <c r="O5204" t="s">
        <v>47305</v>
      </c>
      <c r="P5204">
        <v>0</v>
      </c>
      <c r="Q5204">
        <v>0</v>
      </c>
      <c r="R5204" t="s">
        <v>47308</v>
      </c>
      <c r="S5204" t="s">
        <v>47429</v>
      </c>
      <c r="T5204" t="s">
        <v>48998</v>
      </c>
      <c r="U5204" t="s">
        <v>53919</v>
      </c>
      <c r="V5204" t="s">
        <v>63128</v>
      </c>
      <c r="W5204" t="s">
        <v>44886</v>
      </c>
      <c r="X5204" t="s">
        <v>47312</v>
      </c>
    </row>
    <row r="5205" spans="1:24">
      <c r="A5205">
        <f>HYPERLINK("https://www.philgeps.gov.ph/GEPSNONPILOT/Tender/SplashBidNoticeAbstractUI.aspx?menuIndex=3&amp;refID=7191383&amp;Result=3","7191383")</f>
        <v>0</v>
      </c>
      <c r="B5205" t="s">
        <v>1836</v>
      </c>
      <c r="C5205" t="s">
        <v>8753</v>
      </c>
      <c r="D5205" t="s">
        <v>19013</v>
      </c>
      <c r="E5205" t="s">
        <v>23719</v>
      </c>
      <c r="F5205" t="s">
        <v>32606</v>
      </c>
      <c r="G5205" t="s">
        <v>32614</v>
      </c>
      <c r="H5205" t="s">
        <v>14201</v>
      </c>
      <c r="I5205" t="s">
        <v>32633</v>
      </c>
      <c r="J5205" t="s">
        <v>32951</v>
      </c>
      <c r="K5205" t="s">
        <v>42629</v>
      </c>
      <c r="M5205" t="s">
        <v>44887</v>
      </c>
      <c r="N5205" t="s">
        <v>47304</v>
      </c>
      <c r="O5205" t="s">
        <v>47305</v>
      </c>
      <c r="P5205">
        <v>0</v>
      </c>
      <c r="Q5205">
        <v>1</v>
      </c>
      <c r="R5205" t="s">
        <v>47308</v>
      </c>
      <c r="S5205" t="s">
        <v>47429</v>
      </c>
      <c r="T5205" t="s">
        <v>48998</v>
      </c>
      <c r="U5205" t="s">
        <v>53920</v>
      </c>
      <c r="W5205" t="s">
        <v>44887</v>
      </c>
      <c r="X5205" t="s">
        <v>47312</v>
      </c>
    </row>
    <row r="5206" spans="1:24">
      <c r="A5206">
        <f>HYPERLINK("https://www.philgeps.gov.ph/GEPSNONPILOT/Tender/SplashBidNoticeAbstractUI.aspx?menuIndex=3&amp;refID=7191380&amp;Result=3","7191380")</f>
        <v>0</v>
      </c>
      <c r="B5206" t="s">
        <v>1837</v>
      </c>
      <c r="C5206" t="s">
        <v>8754</v>
      </c>
      <c r="D5206" t="s">
        <v>19035</v>
      </c>
      <c r="E5206" t="s">
        <v>19370</v>
      </c>
      <c r="F5206" t="s">
        <v>32606</v>
      </c>
      <c r="G5206" t="s">
        <v>32613</v>
      </c>
      <c r="H5206" t="s">
        <v>14201</v>
      </c>
      <c r="I5206" t="s">
        <v>6298</v>
      </c>
      <c r="J5206" t="s">
        <v>36194</v>
      </c>
      <c r="K5206" t="s">
        <v>42631</v>
      </c>
      <c r="M5206" t="s">
        <v>44888</v>
      </c>
      <c r="N5206" t="s">
        <v>47304</v>
      </c>
      <c r="O5206" t="s">
        <v>47305</v>
      </c>
      <c r="P5206">
        <v>0</v>
      </c>
      <c r="Q5206">
        <v>2</v>
      </c>
      <c r="R5206" t="s">
        <v>47308</v>
      </c>
      <c r="S5206" t="s">
        <v>47429</v>
      </c>
      <c r="T5206" t="s">
        <v>49023</v>
      </c>
      <c r="U5206" t="s">
        <v>53921</v>
      </c>
      <c r="W5206" t="s">
        <v>44888</v>
      </c>
      <c r="X5206" t="s">
        <v>47312</v>
      </c>
    </row>
    <row r="5207" spans="1:24">
      <c r="A5207">
        <f>HYPERLINK("https://www.philgeps.gov.ph/GEPSNONPILOT/Tender/SplashBidNoticeAbstractUI.aspx?menuIndex=3&amp;refID=7191377&amp;Result=3","7191377")</f>
        <v>0</v>
      </c>
      <c r="B5207" t="s">
        <v>404</v>
      </c>
      <c r="C5207" t="s">
        <v>7677</v>
      </c>
      <c r="D5207" t="s">
        <v>19023</v>
      </c>
      <c r="E5207" t="s">
        <v>23720</v>
      </c>
      <c r="F5207" t="s">
        <v>32606</v>
      </c>
      <c r="G5207" t="s">
        <v>32614</v>
      </c>
      <c r="H5207" t="s">
        <v>14201</v>
      </c>
      <c r="I5207" t="s">
        <v>7677</v>
      </c>
      <c r="J5207" t="s">
        <v>36195</v>
      </c>
      <c r="K5207" t="s">
        <v>42623</v>
      </c>
      <c r="M5207" t="s">
        <v>44889</v>
      </c>
      <c r="N5207" t="s">
        <v>47304</v>
      </c>
      <c r="O5207" t="s">
        <v>47305</v>
      </c>
      <c r="P5207">
        <v>0</v>
      </c>
      <c r="Q5207">
        <v>1</v>
      </c>
      <c r="R5207" t="s">
        <v>47308</v>
      </c>
      <c r="S5207" t="s">
        <v>47429</v>
      </c>
      <c r="T5207" t="s">
        <v>49053</v>
      </c>
      <c r="U5207" t="s">
        <v>53922</v>
      </c>
      <c r="V5207" t="s">
        <v>62737</v>
      </c>
      <c r="W5207" t="s">
        <v>44889</v>
      </c>
      <c r="X5207" t="s">
        <v>47312</v>
      </c>
    </row>
    <row r="5208" spans="1:24">
      <c r="A5208">
        <f>HYPERLINK("https://www.philgeps.gov.ph/GEPSNONPILOT/Tender/SplashBidNoticeAbstractUI.aspx?menuIndex=3&amp;refID=7191365&amp;Result=3","7191365")</f>
        <v>0</v>
      </c>
      <c r="B5208" t="s">
        <v>1836</v>
      </c>
      <c r="C5208" t="s">
        <v>8755</v>
      </c>
      <c r="D5208" t="s">
        <v>19013</v>
      </c>
      <c r="E5208" t="s">
        <v>23721</v>
      </c>
      <c r="F5208" t="s">
        <v>32606</v>
      </c>
      <c r="G5208" t="s">
        <v>32614</v>
      </c>
      <c r="H5208" t="s">
        <v>14201</v>
      </c>
      <c r="I5208" t="s">
        <v>9013</v>
      </c>
      <c r="J5208" t="s">
        <v>32977</v>
      </c>
      <c r="K5208" t="s">
        <v>42629</v>
      </c>
      <c r="M5208" t="s">
        <v>44887</v>
      </c>
      <c r="N5208" t="s">
        <v>47304</v>
      </c>
      <c r="O5208" t="s">
        <v>47305</v>
      </c>
      <c r="P5208">
        <v>0</v>
      </c>
      <c r="Q5208">
        <v>0</v>
      </c>
      <c r="R5208" t="s">
        <v>47308</v>
      </c>
      <c r="S5208" t="s">
        <v>47429</v>
      </c>
      <c r="T5208" t="s">
        <v>48998</v>
      </c>
      <c r="U5208" t="s">
        <v>53923</v>
      </c>
      <c r="W5208" t="s">
        <v>44887</v>
      </c>
      <c r="X5208" t="s">
        <v>47312</v>
      </c>
    </row>
    <row r="5209" spans="1:24">
      <c r="A5209">
        <f>HYPERLINK("https://www.philgeps.gov.ph/GEPSNONPILOT/Tender/SplashBidNoticeAbstractUI.aspx?menuIndex=3&amp;refID=7191363&amp;Result=3","7191363")</f>
        <v>0</v>
      </c>
      <c r="B5209" t="s">
        <v>1838</v>
      </c>
      <c r="C5209" t="s">
        <v>8756</v>
      </c>
      <c r="D5209" t="s">
        <v>19038</v>
      </c>
      <c r="E5209" t="s">
        <v>19279</v>
      </c>
      <c r="F5209" t="s">
        <v>32606</v>
      </c>
      <c r="G5209" t="s">
        <v>32614</v>
      </c>
      <c r="H5209" t="s">
        <v>14201</v>
      </c>
      <c r="I5209" t="s">
        <v>4114</v>
      </c>
      <c r="J5209" t="s">
        <v>36196</v>
      </c>
      <c r="K5209" t="s">
        <v>42674</v>
      </c>
      <c r="M5209" t="s">
        <v>44890</v>
      </c>
      <c r="N5209" t="s">
        <v>47304</v>
      </c>
      <c r="O5209" t="s">
        <v>47305</v>
      </c>
      <c r="P5209">
        <v>0</v>
      </c>
      <c r="Q5209">
        <v>3</v>
      </c>
      <c r="R5209" t="s">
        <v>47308</v>
      </c>
      <c r="S5209" t="s">
        <v>47429</v>
      </c>
      <c r="T5209" t="s">
        <v>49257</v>
      </c>
      <c r="U5209" t="s">
        <v>53924</v>
      </c>
      <c r="W5209" t="s">
        <v>44890</v>
      </c>
      <c r="X5209" t="s">
        <v>47312</v>
      </c>
    </row>
    <row r="5210" spans="1:24">
      <c r="A5210">
        <f>HYPERLINK("https://www.philgeps.gov.ph/GEPSNONPILOT/Tender/SplashBidNoticeAbstractUI.aspx?menuIndex=3&amp;refID=7191346&amp;Result=3","7191346")</f>
        <v>0</v>
      </c>
      <c r="B5210" t="s">
        <v>70</v>
      </c>
      <c r="C5210" t="s">
        <v>8757</v>
      </c>
      <c r="D5210" t="s">
        <v>18993</v>
      </c>
      <c r="E5210" t="s">
        <v>23722</v>
      </c>
      <c r="F5210" t="s">
        <v>32606</v>
      </c>
      <c r="G5210" t="s">
        <v>32614</v>
      </c>
      <c r="H5210" t="s">
        <v>14201</v>
      </c>
      <c r="I5210" t="s">
        <v>6931</v>
      </c>
      <c r="J5210" t="s">
        <v>36197</v>
      </c>
      <c r="K5210" t="s">
        <v>42632</v>
      </c>
      <c r="M5210" t="s">
        <v>44875</v>
      </c>
      <c r="N5210" t="s">
        <v>47304</v>
      </c>
      <c r="O5210" t="s">
        <v>47305</v>
      </c>
      <c r="P5210">
        <v>0</v>
      </c>
      <c r="Q5210">
        <v>0</v>
      </c>
      <c r="R5210" t="s">
        <v>47308</v>
      </c>
      <c r="S5210" t="s">
        <v>47429</v>
      </c>
      <c r="T5210" t="s">
        <v>48998</v>
      </c>
      <c r="U5210" t="s">
        <v>53925</v>
      </c>
      <c r="W5210" t="s">
        <v>44875</v>
      </c>
      <c r="X5210" t="s">
        <v>47312</v>
      </c>
    </row>
    <row r="5211" spans="1:24">
      <c r="A5211">
        <f>HYPERLINK("https://www.philgeps.gov.ph/GEPSNONPILOT/Tender/SplashBidNoticeAbstractUI.aspx?menuIndex=3&amp;refID=7191417&amp;Result=3","7191417")</f>
        <v>0</v>
      </c>
      <c r="B5211" t="s">
        <v>811</v>
      </c>
      <c r="C5211" t="s">
        <v>8758</v>
      </c>
      <c r="D5211" t="s">
        <v>19009</v>
      </c>
      <c r="E5211" t="s">
        <v>23723</v>
      </c>
      <c r="F5211" t="s">
        <v>32606</v>
      </c>
      <c r="G5211" t="s">
        <v>32613</v>
      </c>
      <c r="H5211" t="s">
        <v>14201</v>
      </c>
      <c r="I5211" t="s">
        <v>4120</v>
      </c>
      <c r="J5211" t="s">
        <v>36198</v>
      </c>
      <c r="K5211" t="s">
        <v>42623</v>
      </c>
      <c r="M5211" t="s">
        <v>43742</v>
      </c>
      <c r="N5211" t="s">
        <v>47304</v>
      </c>
      <c r="O5211" t="s">
        <v>47305</v>
      </c>
      <c r="P5211">
        <v>0</v>
      </c>
      <c r="Q5211">
        <v>0</v>
      </c>
      <c r="R5211" t="s">
        <v>47308</v>
      </c>
      <c r="S5211" t="s">
        <v>47429</v>
      </c>
      <c r="T5211" t="s">
        <v>48986</v>
      </c>
      <c r="U5211" t="s">
        <v>53926</v>
      </c>
      <c r="W5211" t="s">
        <v>43742</v>
      </c>
      <c r="X5211" t="s">
        <v>47312</v>
      </c>
    </row>
    <row r="5212" spans="1:24">
      <c r="A5212">
        <f>HYPERLINK("https://www.philgeps.gov.ph/GEPSNONPILOT/Tender/SplashBidNoticeAbstractUI.aspx?menuIndex=3&amp;refID=7191462&amp;Result=3","7191462")</f>
        <v>0</v>
      </c>
      <c r="B5212" t="s">
        <v>906</v>
      </c>
      <c r="C5212" t="s">
        <v>8759</v>
      </c>
      <c r="D5212" t="s">
        <v>19013</v>
      </c>
      <c r="E5212" t="s">
        <v>23724</v>
      </c>
      <c r="F5212" t="s">
        <v>32606</v>
      </c>
      <c r="G5212" t="s">
        <v>32614</v>
      </c>
      <c r="H5212" t="s">
        <v>14201</v>
      </c>
      <c r="I5212" t="s">
        <v>4120</v>
      </c>
      <c r="J5212" t="s">
        <v>35022</v>
      </c>
      <c r="K5212" t="s">
        <v>42631</v>
      </c>
      <c r="M5212" t="s">
        <v>43844</v>
      </c>
      <c r="N5212" t="s">
        <v>47304</v>
      </c>
      <c r="O5212" t="s">
        <v>47305</v>
      </c>
      <c r="P5212">
        <v>0</v>
      </c>
      <c r="Q5212">
        <v>0</v>
      </c>
      <c r="R5212" t="s">
        <v>47308</v>
      </c>
      <c r="S5212" t="s">
        <v>47429</v>
      </c>
      <c r="T5212" t="s">
        <v>49053</v>
      </c>
      <c r="U5212" t="s">
        <v>51291</v>
      </c>
      <c r="W5212" t="s">
        <v>43844</v>
      </c>
      <c r="X5212" t="s">
        <v>47312</v>
      </c>
    </row>
    <row r="5213" spans="1:24">
      <c r="A5213">
        <f>HYPERLINK("https://www.philgeps.gov.ph/GEPSNONPILOT/Tender/SplashBidNoticeAbstractUI.aspx?menuIndex=3&amp;refID=7191337&amp;Result=3","7191337")</f>
        <v>0</v>
      </c>
      <c r="B5213" t="s">
        <v>1839</v>
      </c>
      <c r="C5213" t="s">
        <v>8760</v>
      </c>
      <c r="D5213" t="s">
        <v>19006</v>
      </c>
      <c r="E5213" t="s">
        <v>19311</v>
      </c>
      <c r="F5213" t="s">
        <v>32606</v>
      </c>
      <c r="G5213" t="s">
        <v>32613</v>
      </c>
      <c r="H5213" t="s">
        <v>32623</v>
      </c>
      <c r="I5213" t="s">
        <v>17648</v>
      </c>
      <c r="J5213" t="s">
        <v>36199</v>
      </c>
      <c r="K5213" t="s">
        <v>42682</v>
      </c>
      <c r="M5213" t="s">
        <v>44891</v>
      </c>
      <c r="N5213" t="s">
        <v>47304</v>
      </c>
      <c r="O5213" t="s">
        <v>47305</v>
      </c>
      <c r="P5213">
        <v>0</v>
      </c>
      <c r="Q5213">
        <v>2</v>
      </c>
      <c r="R5213" t="s">
        <v>47308</v>
      </c>
      <c r="S5213" t="s">
        <v>47429</v>
      </c>
      <c r="T5213" t="s">
        <v>48983</v>
      </c>
      <c r="U5213" t="s">
        <v>53927</v>
      </c>
      <c r="W5213" t="s">
        <v>44891</v>
      </c>
      <c r="X5213" t="s">
        <v>47312</v>
      </c>
    </row>
    <row r="5214" spans="1:24">
      <c r="A5214">
        <f>HYPERLINK("https://www.philgeps.gov.ph/GEPSNONPILOT/Tender/SplashBidNoticeAbstractUI.aspx?menuIndex=3&amp;refID=7191578&amp;Result=3","7191578")</f>
        <v>0</v>
      </c>
      <c r="B5214" t="s">
        <v>1389</v>
      </c>
      <c r="C5214" t="s">
        <v>8761</v>
      </c>
      <c r="D5214" t="s">
        <v>18992</v>
      </c>
      <c r="E5214" t="s">
        <v>19462</v>
      </c>
      <c r="F5214" t="s">
        <v>32606</v>
      </c>
      <c r="G5214" t="s">
        <v>32613</v>
      </c>
      <c r="H5214" t="s">
        <v>14201</v>
      </c>
      <c r="I5214" t="s">
        <v>32632</v>
      </c>
      <c r="J5214" t="s">
        <v>36200</v>
      </c>
      <c r="K5214" t="s">
        <v>42631</v>
      </c>
      <c r="M5214" t="s">
        <v>44371</v>
      </c>
      <c r="N5214" t="s">
        <v>47304</v>
      </c>
      <c r="O5214" t="s">
        <v>47305</v>
      </c>
      <c r="P5214">
        <v>0</v>
      </c>
      <c r="Q5214">
        <v>4</v>
      </c>
      <c r="R5214" t="s">
        <v>47308</v>
      </c>
      <c r="S5214" t="s">
        <v>47429</v>
      </c>
      <c r="T5214" t="s">
        <v>49170</v>
      </c>
      <c r="U5214" t="s">
        <v>53928</v>
      </c>
      <c r="W5214" t="s">
        <v>44371</v>
      </c>
      <c r="X5214" t="s">
        <v>47312</v>
      </c>
    </row>
    <row r="5215" spans="1:24">
      <c r="A5215">
        <f>HYPERLINK("https://www.philgeps.gov.ph/GEPSNONPILOT/Tender/SplashBidNoticeAbstractUI.aspx?menuIndex=3&amp;refID=7191396&amp;Result=3","7191396")</f>
        <v>0</v>
      </c>
      <c r="B5215" t="s">
        <v>1840</v>
      </c>
      <c r="C5215" t="s">
        <v>8762</v>
      </c>
      <c r="D5215" t="s">
        <v>19011</v>
      </c>
      <c r="E5215" t="s">
        <v>23725</v>
      </c>
      <c r="F5215" t="s">
        <v>32606</v>
      </c>
      <c r="G5215" t="s">
        <v>32613</v>
      </c>
      <c r="H5215" t="s">
        <v>14201</v>
      </c>
      <c r="I5215" t="s">
        <v>32656</v>
      </c>
      <c r="J5215" t="s">
        <v>36201</v>
      </c>
      <c r="K5215" t="s">
        <v>42624</v>
      </c>
      <c r="M5215" t="s">
        <v>44892</v>
      </c>
      <c r="N5215" t="s">
        <v>47304</v>
      </c>
      <c r="O5215" t="s">
        <v>47305</v>
      </c>
      <c r="P5215">
        <v>0</v>
      </c>
      <c r="Q5215">
        <v>8</v>
      </c>
      <c r="R5215" t="s">
        <v>47308</v>
      </c>
      <c r="S5215" t="s">
        <v>47429</v>
      </c>
      <c r="T5215" t="s">
        <v>49136</v>
      </c>
      <c r="U5215" t="s">
        <v>53929</v>
      </c>
      <c r="W5215" t="s">
        <v>44892</v>
      </c>
      <c r="X5215" t="s">
        <v>47312</v>
      </c>
    </row>
    <row r="5216" spans="1:24">
      <c r="A5216">
        <f>HYPERLINK("https://www.philgeps.gov.ph/GEPSNONPILOT/Tender/SplashBidNoticeAbstractUI.aspx?menuIndex=3&amp;refID=7191577&amp;Result=3","7191577")</f>
        <v>0</v>
      </c>
      <c r="B5216" t="s">
        <v>755</v>
      </c>
      <c r="C5216" t="s">
        <v>8763</v>
      </c>
      <c r="D5216" t="s">
        <v>18988</v>
      </c>
      <c r="E5216" t="s">
        <v>23726</v>
      </c>
      <c r="F5216" t="s">
        <v>32606</v>
      </c>
      <c r="G5216" t="s">
        <v>32614</v>
      </c>
      <c r="H5216" t="s">
        <v>14201</v>
      </c>
      <c r="I5216" t="s">
        <v>4112</v>
      </c>
      <c r="J5216" t="s">
        <v>36202</v>
      </c>
      <c r="K5216" t="s">
        <v>42624</v>
      </c>
      <c r="M5216" t="s">
        <v>44863</v>
      </c>
      <c r="N5216" t="s">
        <v>47304</v>
      </c>
      <c r="O5216" t="s">
        <v>47305</v>
      </c>
      <c r="P5216">
        <v>0</v>
      </c>
      <c r="Q5216">
        <v>2</v>
      </c>
      <c r="R5216" t="s">
        <v>47308</v>
      </c>
      <c r="S5216" t="s">
        <v>47429</v>
      </c>
      <c r="T5216" t="s">
        <v>49165</v>
      </c>
      <c r="U5216" t="s">
        <v>53849</v>
      </c>
      <c r="W5216" t="s">
        <v>44863</v>
      </c>
      <c r="X5216" t="s">
        <v>47312</v>
      </c>
    </row>
    <row r="5217" spans="1:24">
      <c r="A5217">
        <f>HYPERLINK("https://www.philgeps.gov.ph/GEPSNONPILOT/Tender/SplashBidNoticeAbstractUI.aspx?menuIndex=3&amp;refID=7191564&amp;Result=3","7191564")</f>
        <v>0</v>
      </c>
      <c r="B5217" t="s">
        <v>426</v>
      </c>
      <c r="C5217" t="s">
        <v>8764</v>
      </c>
      <c r="D5217" t="s">
        <v>19029</v>
      </c>
      <c r="E5217" t="s">
        <v>22367</v>
      </c>
      <c r="F5217" t="s">
        <v>32606</v>
      </c>
      <c r="G5217" t="s">
        <v>32614</v>
      </c>
      <c r="H5217" t="s">
        <v>14201</v>
      </c>
      <c r="I5217" t="s">
        <v>6298</v>
      </c>
      <c r="J5217" t="s">
        <v>33704</v>
      </c>
      <c r="K5217" t="s">
        <v>42622</v>
      </c>
      <c r="M5217" t="s">
        <v>43330</v>
      </c>
      <c r="N5217" t="s">
        <v>47304</v>
      </c>
      <c r="O5217" t="s">
        <v>47305</v>
      </c>
      <c r="P5217">
        <v>0</v>
      </c>
      <c r="Q5217">
        <v>0</v>
      </c>
      <c r="R5217" t="s">
        <v>47308</v>
      </c>
      <c r="S5217" t="s">
        <v>47429</v>
      </c>
      <c r="T5217" t="s">
        <v>49072</v>
      </c>
      <c r="U5217" t="s">
        <v>53930</v>
      </c>
      <c r="W5217" t="s">
        <v>43330</v>
      </c>
      <c r="X5217" t="s">
        <v>47312</v>
      </c>
    </row>
    <row r="5218" spans="1:24">
      <c r="A5218">
        <f>HYPERLINK("https://www.philgeps.gov.ph/GEPSNONPILOT/Tender/SplashBidNoticeAbstractUI.aspx?menuIndex=3&amp;refID=7191562&amp;Result=3","7191562")</f>
        <v>0</v>
      </c>
      <c r="B5218" t="s">
        <v>684</v>
      </c>
      <c r="C5218" t="s">
        <v>8765</v>
      </c>
      <c r="D5218" t="s">
        <v>19012</v>
      </c>
      <c r="E5218" t="s">
        <v>23727</v>
      </c>
      <c r="F5218" t="s">
        <v>32606</v>
      </c>
      <c r="G5218" t="s">
        <v>32613</v>
      </c>
      <c r="H5218" t="s">
        <v>14201</v>
      </c>
      <c r="I5218" t="s">
        <v>7677</v>
      </c>
      <c r="J5218" t="s">
        <v>36203</v>
      </c>
      <c r="K5218" t="s">
        <v>42622</v>
      </c>
      <c r="L5218" t="s">
        <v>684</v>
      </c>
      <c r="M5218" t="s">
        <v>43605</v>
      </c>
      <c r="N5218" t="s">
        <v>47304</v>
      </c>
      <c r="O5218" t="s">
        <v>47305</v>
      </c>
      <c r="P5218">
        <v>0</v>
      </c>
      <c r="Q5218">
        <v>2</v>
      </c>
      <c r="R5218" t="s">
        <v>47308</v>
      </c>
      <c r="S5218" t="s">
        <v>47429</v>
      </c>
      <c r="T5218" t="s">
        <v>49023</v>
      </c>
      <c r="U5218" t="s">
        <v>51114</v>
      </c>
      <c r="V5218" t="s">
        <v>63129</v>
      </c>
      <c r="W5218" t="s">
        <v>43605</v>
      </c>
      <c r="X5218" t="s">
        <v>47312</v>
      </c>
    </row>
    <row r="5219" spans="1:24">
      <c r="A5219">
        <f>HYPERLINK("https://www.philgeps.gov.ph/GEPSNONPILOT/Tender/SplashBidNoticeAbstractUI.aspx?menuIndex=3&amp;refID=7190951&amp;Result=3","7190951")</f>
        <v>0</v>
      </c>
      <c r="B5219" t="s">
        <v>733</v>
      </c>
      <c r="C5219" t="s">
        <v>8766</v>
      </c>
      <c r="D5219" t="s">
        <v>19010</v>
      </c>
      <c r="E5219" t="s">
        <v>23728</v>
      </c>
      <c r="F5219" t="s">
        <v>32606</v>
      </c>
      <c r="G5219" t="s">
        <v>32614</v>
      </c>
      <c r="H5219" t="s">
        <v>14201</v>
      </c>
      <c r="I5219" t="s">
        <v>32629</v>
      </c>
      <c r="J5219" t="s">
        <v>36204</v>
      </c>
      <c r="K5219" t="s">
        <v>42631</v>
      </c>
      <c r="M5219" t="s">
        <v>43655</v>
      </c>
      <c r="N5219" t="s">
        <v>47304</v>
      </c>
      <c r="O5219" t="s">
        <v>47305</v>
      </c>
      <c r="P5219">
        <v>0</v>
      </c>
      <c r="Q5219">
        <v>0</v>
      </c>
      <c r="R5219" t="s">
        <v>47308</v>
      </c>
      <c r="S5219" t="s">
        <v>47429</v>
      </c>
      <c r="T5219" t="s">
        <v>49053</v>
      </c>
      <c r="U5219" t="s">
        <v>53931</v>
      </c>
      <c r="W5219" t="s">
        <v>43655</v>
      </c>
      <c r="X5219" t="s">
        <v>47312</v>
      </c>
    </row>
    <row r="5220" spans="1:24">
      <c r="A5220">
        <f>HYPERLINK("https://www.philgeps.gov.ph/GEPSNONPILOT/Tender/SplashBidNoticeAbstractUI.aspx?menuIndex=3&amp;refID=7191538&amp;Result=3","7191538")</f>
        <v>0</v>
      </c>
      <c r="B5220" t="s">
        <v>1454</v>
      </c>
      <c r="C5220" t="s">
        <v>8767</v>
      </c>
      <c r="D5220" t="s">
        <v>18993</v>
      </c>
      <c r="E5220" t="s">
        <v>23729</v>
      </c>
      <c r="F5220" t="s">
        <v>32606</v>
      </c>
      <c r="G5220" t="s">
        <v>32614</v>
      </c>
      <c r="H5220" t="s">
        <v>14201</v>
      </c>
      <c r="I5220" t="s">
        <v>32673</v>
      </c>
      <c r="J5220" t="s">
        <v>36205</v>
      </c>
      <c r="K5220" t="s">
        <v>42630</v>
      </c>
      <c r="M5220" t="s">
        <v>44893</v>
      </c>
      <c r="N5220" t="s">
        <v>47304</v>
      </c>
      <c r="O5220" t="s">
        <v>47305</v>
      </c>
      <c r="P5220">
        <v>0</v>
      </c>
      <c r="Q5220">
        <v>1</v>
      </c>
      <c r="R5220" t="s">
        <v>47308</v>
      </c>
      <c r="S5220" t="s">
        <v>47429</v>
      </c>
      <c r="T5220" t="s">
        <v>48998</v>
      </c>
      <c r="U5220" t="s">
        <v>53932</v>
      </c>
      <c r="V5220" t="s">
        <v>63130</v>
      </c>
      <c r="W5220" t="s">
        <v>44893</v>
      </c>
      <c r="X5220" t="s">
        <v>47312</v>
      </c>
    </row>
    <row r="5221" spans="1:24">
      <c r="A5221">
        <f>HYPERLINK("https://www.philgeps.gov.ph/GEPSNONPILOT/Tender/SplashBidNoticeAbstractUI.aspx?menuIndex=3&amp;refID=7191529&amp;Result=3","7191529")</f>
        <v>0</v>
      </c>
      <c r="B5221" t="s">
        <v>684</v>
      </c>
      <c r="C5221" t="s">
        <v>8768</v>
      </c>
      <c r="D5221" t="s">
        <v>19012</v>
      </c>
      <c r="E5221" t="s">
        <v>23730</v>
      </c>
      <c r="F5221" t="s">
        <v>32606</v>
      </c>
      <c r="G5221" t="s">
        <v>32613</v>
      </c>
      <c r="H5221" t="s">
        <v>14201</v>
      </c>
      <c r="I5221" t="s">
        <v>32653</v>
      </c>
      <c r="J5221" t="s">
        <v>32759</v>
      </c>
      <c r="K5221" t="s">
        <v>42622</v>
      </c>
      <c r="L5221" t="s">
        <v>684</v>
      </c>
      <c r="M5221" t="s">
        <v>43605</v>
      </c>
      <c r="N5221" t="s">
        <v>47304</v>
      </c>
      <c r="O5221" t="s">
        <v>47305</v>
      </c>
      <c r="P5221">
        <v>0</v>
      </c>
      <c r="Q5221">
        <v>1</v>
      </c>
      <c r="R5221" t="s">
        <v>47308</v>
      </c>
      <c r="S5221" t="s">
        <v>47429</v>
      </c>
      <c r="T5221" t="s">
        <v>49023</v>
      </c>
      <c r="U5221" t="s">
        <v>52306</v>
      </c>
      <c r="V5221" t="s">
        <v>63129</v>
      </c>
      <c r="W5221" t="s">
        <v>43605</v>
      </c>
      <c r="X5221" t="s">
        <v>47312</v>
      </c>
    </row>
    <row r="5222" spans="1:24">
      <c r="A5222">
        <f>HYPERLINK("https://www.philgeps.gov.ph/GEPSNONPILOT/Tender/SplashBidNoticeAbstractUI.aspx?menuIndex=3&amp;refID=7191509&amp;Result=3","7191509")</f>
        <v>0</v>
      </c>
      <c r="B5222" t="s">
        <v>1835</v>
      </c>
      <c r="C5222" t="s">
        <v>5701</v>
      </c>
      <c r="D5222" t="s">
        <v>19066</v>
      </c>
      <c r="E5222" t="s">
        <v>23731</v>
      </c>
      <c r="F5222" t="s">
        <v>32606</v>
      </c>
      <c r="G5222" t="s">
        <v>32614</v>
      </c>
      <c r="H5222" t="s">
        <v>14201</v>
      </c>
      <c r="I5222" t="s">
        <v>6298</v>
      </c>
      <c r="J5222" t="s">
        <v>32981</v>
      </c>
      <c r="K5222" t="s">
        <v>42623</v>
      </c>
      <c r="M5222" t="s">
        <v>44886</v>
      </c>
      <c r="N5222" t="s">
        <v>47304</v>
      </c>
      <c r="O5222" t="s">
        <v>47305</v>
      </c>
      <c r="P5222">
        <v>0</v>
      </c>
      <c r="Q5222">
        <v>0</v>
      </c>
      <c r="R5222" t="s">
        <v>47308</v>
      </c>
      <c r="S5222" t="s">
        <v>47429</v>
      </c>
      <c r="T5222" t="s">
        <v>48998</v>
      </c>
      <c r="U5222" t="s">
        <v>53933</v>
      </c>
      <c r="V5222" t="s">
        <v>63131</v>
      </c>
      <c r="W5222" t="s">
        <v>44886</v>
      </c>
      <c r="X5222" t="s">
        <v>47312</v>
      </c>
    </row>
    <row r="5223" spans="1:24">
      <c r="A5223">
        <f>HYPERLINK("https://www.philgeps.gov.ph/GEPSNONPILOT/Tender/SplashBidNoticeAbstractUI.aspx?menuIndex=3&amp;refID=7191248&amp;Result=3","7191248")</f>
        <v>0</v>
      </c>
      <c r="B5223" t="s">
        <v>357</v>
      </c>
      <c r="C5223" t="s">
        <v>8769</v>
      </c>
      <c r="D5223" t="s">
        <v>19010</v>
      </c>
      <c r="E5223" t="s">
        <v>23732</v>
      </c>
      <c r="F5223" t="s">
        <v>32606</v>
      </c>
      <c r="G5223" t="s">
        <v>32613</v>
      </c>
      <c r="H5223" t="s">
        <v>32623</v>
      </c>
      <c r="I5223" t="s">
        <v>17648</v>
      </c>
      <c r="J5223" t="s">
        <v>36183</v>
      </c>
      <c r="K5223" t="s">
        <v>42631</v>
      </c>
      <c r="M5223" t="s">
        <v>43259</v>
      </c>
      <c r="N5223" t="s">
        <v>47304</v>
      </c>
      <c r="O5223" t="s">
        <v>47305</v>
      </c>
      <c r="P5223">
        <v>0</v>
      </c>
      <c r="Q5223">
        <v>0</v>
      </c>
      <c r="R5223" t="s">
        <v>47308</v>
      </c>
      <c r="S5223" t="s">
        <v>47429</v>
      </c>
      <c r="T5223" t="s">
        <v>48986</v>
      </c>
      <c r="U5223" t="s">
        <v>53905</v>
      </c>
      <c r="V5223" t="s">
        <v>62729</v>
      </c>
      <c r="W5223" t="s">
        <v>43259</v>
      </c>
      <c r="X5223" t="s">
        <v>47312</v>
      </c>
    </row>
    <row r="5224" spans="1:24">
      <c r="A5224">
        <f>HYPERLINK("https://www.philgeps.gov.ph/GEPSNONPILOT/Tender/SplashBidNoticeAbstractUI.aspx?menuIndex=3&amp;refID=7191508&amp;Result=3","7191508")</f>
        <v>0</v>
      </c>
      <c r="B5224" t="s">
        <v>1389</v>
      </c>
      <c r="C5224" t="s">
        <v>8770</v>
      </c>
      <c r="D5224" t="s">
        <v>18992</v>
      </c>
      <c r="E5224" t="s">
        <v>19462</v>
      </c>
      <c r="F5224" t="s">
        <v>32606</v>
      </c>
      <c r="G5224" t="s">
        <v>32613</v>
      </c>
      <c r="H5224" t="s">
        <v>14201</v>
      </c>
      <c r="I5224" t="s">
        <v>32640</v>
      </c>
      <c r="J5224" t="s">
        <v>36206</v>
      </c>
      <c r="K5224" t="s">
        <v>42631</v>
      </c>
      <c r="M5224" t="s">
        <v>44371</v>
      </c>
      <c r="N5224" t="s">
        <v>47304</v>
      </c>
      <c r="O5224" t="s">
        <v>47305</v>
      </c>
      <c r="P5224">
        <v>0</v>
      </c>
      <c r="Q5224">
        <v>4</v>
      </c>
      <c r="R5224" t="s">
        <v>47308</v>
      </c>
      <c r="S5224" t="s">
        <v>47429</v>
      </c>
      <c r="T5224" t="s">
        <v>49170</v>
      </c>
      <c r="U5224" t="s">
        <v>53934</v>
      </c>
      <c r="W5224" t="s">
        <v>44371</v>
      </c>
      <c r="X5224" t="s">
        <v>47312</v>
      </c>
    </row>
    <row r="5225" spans="1:24">
      <c r="A5225">
        <f>HYPERLINK("https://www.philgeps.gov.ph/GEPSNONPILOT/Tender/SplashBidNoticeAbstractUI.aspx?menuIndex=3&amp;refID=7191566&amp;Result=3","7191566")</f>
        <v>0</v>
      </c>
      <c r="B5225" t="s">
        <v>1454</v>
      </c>
      <c r="C5225" t="s">
        <v>8771</v>
      </c>
      <c r="D5225" t="s">
        <v>18993</v>
      </c>
      <c r="E5225" t="s">
        <v>23733</v>
      </c>
      <c r="F5225" t="s">
        <v>32606</v>
      </c>
      <c r="G5225" t="s">
        <v>32614</v>
      </c>
      <c r="H5225" t="s">
        <v>14201</v>
      </c>
      <c r="I5225" t="s">
        <v>7577</v>
      </c>
      <c r="J5225" t="s">
        <v>36207</v>
      </c>
      <c r="K5225" t="s">
        <v>42630</v>
      </c>
      <c r="M5225" t="s">
        <v>44893</v>
      </c>
      <c r="N5225" t="s">
        <v>47304</v>
      </c>
      <c r="O5225" t="s">
        <v>47305</v>
      </c>
      <c r="P5225">
        <v>0</v>
      </c>
      <c r="Q5225">
        <v>3</v>
      </c>
      <c r="R5225" t="s">
        <v>47308</v>
      </c>
      <c r="S5225" t="s">
        <v>47429</v>
      </c>
      <c r="T5225" t="s">
        <v>48998</v>
      </c>
      <c r="U5225" t="s">
        <v>53935</v>
      </c>
      <c r="V5225" t="s">
        <v>63130</v>
      </c>
      <c r="W5225" t="s">
        <v>44893</v>
      </c>
      <c r="X5225" t="s">
        <v>47312</v>
      </c>
    </row>
    <row r="5226" spans="1:24">
      <c r="A5226">
        <f>HYPERLINK("https://www.philgeps.gov.ph/GEPSNONPILOT/Tender/SplashBidNoticeAbstractUI.aspx?menuIndex=3&amp;refID=7191503&amp;Result=3","7191503")</f>
        <v>0</v>
      </c>
      <c r="B5226" t="s">
        <v>1841</v>
      </c>
      <c r="C5226" t="s">
        <v>8772</v>
      </c>
      <c r="D5226" t="s">
        <v>19033</v>
      </c>
      <c r="E5226" t="s">
        <v>23734</v>
      </c>
      <c r="F5226" t="s">
        <v>32606</v>
      </c>
      <c r="G5226" t="s">
        <v>32613</v>
      </c>
      <c r="H5226" t="s">
        <v>14201</v>
      </c>
      <c r="I5226" t="s">
        <v>6298</v>
      </c>
      <c r="J5226" t="s">
        <v>36208</v>
      </c>
      <c r="K5226" t="s">
        <v>42623</v>
      </c>
      <c r="M5226" t="s">
        <v>44894</v>
      </c>
      <c r="N5226" t="s">
        <v>47304</v>
      </c>
      <c r="O5226" t="s">
        <v>47305</v>
      </c>
      <c r="P5226">
        <v>0</v>
      </c>
      <c r="Q5226">
        <v>8</v>
      </c>
      <c r="R5226" t="s">
        <v>47308</v>
      </c>
      <c r="S5226" t="s">
        <v>47429</v>
      </c>
      <c r="T5226" t="s">
        <v>49017</v>
      </c>
      <c r="U5226" t="s">
        <v>53936</v>
      </c>
      <c r="W5226" t="s">
        <v>44894</v>
      </c>
      <c r="X5226" t="s">
        <v>47312</v>
      </c>
    </row>
    <row r="5227" spans="1:24">
      <c r="A5227">
        <f>HYPERLINK("https://www.philgeps.gov.ph/GEPSNONPILOT/Tender/SplashBidNoticeAbstractUI.aspx?menuIndex=3&amp;refID=7191265&amp;Result=3","7191265")</f>
        <v>0</v>
      </c>
      <c r="B5227" t="s">
        <v>357</v>
      </c>
      <c r="C5227" t="s">
        <v>8773</v>
      </c>
      <c r="D5227" t="s">
        <v>19010</v>
      </c>
      <c r="E5227" t="s">
        <v>23735</v>
      </c>
      <c r="F5227" t="s">
        <v>32606</v>
      </c>
      <c r="G5227" t="s">
        <v>32613</v>
      </c>
      <c r="H5227" t="s">
        <v>32623</v>
      </c>
      <c r="I5227" t="s">
        <v>17648</v>
      </c>
      <c r="J5227" t="s">
        <v>36183</v>
      </c>
      <c r="K5227" t="s">
        <v>42631</v>
      </c>
      <c r="M5227" t="s">
        <v>43259</v>
      </c>
      <c r="N5227" t="s">
        <v>47304</v>
      </c>
      <c r="O5227" t="s">
        <v>47305</v>
      </c>
      <c r="P5227">
        <v>0</v>
      </c>
      <c r="Q5227">
        <v>0</v>
      </c>
      <c r="R5227" t="s">
        <v>47308</v>
      </c>
      <c r="S5227" t="s">
        <v>47429</v>
      </c>
      <c r="T5227" t="s">
        <v>48986</v>
      </c>
      <c r="U5227" t="s">
        <v>53905</v>
      </c>
      <c r="V5227" t="s">
        <v>62729</v>
      </c>
      <c r="W5227" t="s">
        <v>43259</v>
      </c>
      <c r="X5227" t="s">
        <v>47312</v>
      </c>
    </row>
    <row r="5228" spans="1:24">
      <c r="A5228">
        <f>HYPERLINK("https://www.philgeps.gov.ph/GEPSNONPILOT/Tender/SplashBidNoticeAbstractUI.aspx?menuIndex=3&amp;refID=7191483&amp;Result=3","7191483")</f>
        <v>0</v>
      </c>
      <c r="B5228" t="s">
        <v>906</v>
      </c>
      <c r="C5228" t="s">
        <v>8774</v>
      </c>
      <c r="D5228" t="s">
        <v>19013</v>
      </c>
      <c r="E5228" t="s">
        <v>23736</v>
      </c>
      <c r="F5228" t="s">
        <v>32606</v>
      </c>
      <c r="G5228" t="s">
        <v>32614</v>
      </c>
      <c r="H5228" t="s">
        <v>14201</v>
      </c>
      <c r="I5228" t="s">
        <v>32646</v>
      </c>
      <c r="J5228" t="s">
        <v>32973</v>
      </c>
      <c r="K5228" t="s">
        <v>42631</v>
      </c>
      <c r="M5228" t="s">
        <v>43844</v>
      </c>
      <c r="N5228" t="s">
        <v>47304</v>
      </c>
      <c r="O5228" t="s">
        <v>47305</v>
      </c>
      <c r="P5228">
        <v>0</v>
      </c>
      <c r="Q5228">
        <v>1</v>
      </c>
      <c r="R5228" t="s">
        <v>47308</v>
      </c>
      <c r="S5228" t="s">
        <v>47429</v>
      </c>
      <c r="T5228" t="s">
        <v>49053</v>
      </c>
      <c r="U5228" t="s">
        <v>51291</v>
      </c>
      <c r="W5228" t="s">
        <v>43844</v>
      </c>
      <c r="X5228" t="s">
        <v>47312</v>
      </c>
    </row>
    <row r="5229" spans="1:24">
      <c r="A5229">
        <f>HYPERLINK("https://www.philgeps.gov.ph/GEPSNONPILOT/Tender/SplashBidNoticeAbstractUI.aspx?menuIndex=3&amp;refID=7191523&amp;Result=3","7191523")</f>
        <v>0</v>
      </c>
      <c r="B5229" t="s">
        <v>1711</v>
      </c>
      <c r="C5229" t="s">
        <v>8775</v>
      </c>
      <c r="D5229" t="s">
        <v>18993</v>
      </c>
      <c r="E5229" t="s">
        <v>23737</v>
      </c>
      <c r="F5229" t="s">
        <v>32606</v>
      </c>
      <c r="G5229" t="s">
        <v>32614</v>
      </c>
      <c r="H5229" t="s">
        <v>14201</v>
      </c>
      <c r="I5229" t="s">
        <v>6298</v>
      </c>
      <c r="J5229" t="s">
        <v>36209</v>
      </c>
      <c r="K5229" t="s">
        <v>42624</v>
      </c>
      <c r="M5229" t="s">
        <v>44880</v>
      </c>
      <c r="N5229" t="s">
        <v>47304</v>
      </c>
      <c r="O5229" t="s">
        <v>47305</v>
      </c>
      <c r="P5229">
        <v>0</v>
      </c>
      <c r="Q5229">
        <v>7</v>
      </c>
      <c r="R5229" t="s">
        <v>47308</v>
      </c>
      <c r="S5229" t="s">
        <v>47429</v>
      </c>
      <c r="T5229" t="s">
        <v>49165</v>
      </c>
      <c r="U5229" t="s">
        <v>53900</v>
      </c>
      <c r="W5229" t="s">
        <v>44880</v>
      </c>
      <c r="X5229" t="s">
        <v>47312</v>
      </c>
    </row>
    <row r="5230" spans="1:24">
      <c r="A5230">
        <f>HYPERLINK("https://www.philgeps.gov.ph/GEPSNONPILOT/Tender/SplashBidNoticeAbstractUI.aspx?menuIndex=3&amp;refID=7191471&amp;Result=3","7191471")</f>
        <v>0</v>
      </c>
      <c r="B5230" t="s">
        <v>1454</v>
      </c>
      <c r="C5230" t="s">
        <v>8776</v>
      </c>
      <c r="D5230" t="s">
        <v>18993</v>
      </c>
      <c r="E5230" t="s">
        <v>23738</v>
      </c>
      <c r="F5230" t="s">
        <v>32606</v>
      </c>
      <c r="G5230" t="s">
        <v>32614</v>
      </c>
      <c r="H5230" t="s">
        <v>14201</v>
      </c>
      <c r="I5230" t="s">
        <v>6478</v>
      </c>
      <c r="J5230" t="s">
        <v>36210</v>
      </c>
      <c r="K5230" t="s">
        <v>42630</v>
      </c>
      <c r="M5230" t="s">
        <v>44893</v>
      </c>
      <c r="N5230" t="s">
        <v>47304</v>
      </c>
      <c r="O5230" t="s">
        <v>47305</v>
      </c>
      <c r="P5230">
        <v>0</v>
      </c>
      <c r="Q5230">
        <v>0</v>
      </c>
      <c r="R5230" t="s">
        <v>47308</v>
      </c>
      <c r="S5230" t="s">
        <v>47429</v>
      </c>
      <c r="T5230" t="s">
        <v>48998</v>
      </c>
      <c r="U5230" t="s">
        <v>53937</v>
      </c>
      <c r="V5230" t="s">
        <v>63130</v>
      </c>
      <c r="W5230" t="s">
        <v>44893</v>
      </c>
      <c r="X5230" t="s">
        <v>47312</v>
      </c>
    </row>
    <row r="5231" spans="1:24">
      <c r="A5231">
        <f>HYPERLINK("https://www.philgeps.gov.ph/GEPSNONPILOT/Tender/SplashBidNoticeAbstractUI.aspx?menuIndex=3&amp;refID=7191467&amp;Result=3","7191467")</f>
        <v>0</v>
      </c>
      <c r="B5231" t="s">
        <v>1836</v>
      </c>
      <c r="C5231" t="s">
        <v>8777</v>
      </c>
      <c r="D5231" t="s">
        <v>19013</v>
      </c>
      <c r="E5231" t="s">
        <v>23739</v>
      </c>
      <c r="F5231" t="s">
        <v>32606</v>
      </c>
      <c r="G5231" t="s">
        <v>32614</v>
      </c>
      <c r="H5231" t="s">
        <v>14201</v>
      </c>
      <c r="I5231" t="s">
        <v>6298</v>
      </c>
      <c r="J5231" t="s">
        <v>36211</v>
      </c>
      <c r="K5231" t="s">
        <v>42629</v>
      </c>
      <c r="M5231" t="s">
        <v>44887</v>
      </c>
      <c r="N5231" t="s">
        <v>47304</v>
      </c>
      <c r="O5231" t="s">
        <v>47305</v>
      </c>
      <c r="P5231">
        <v>0</v>
      </c>
      <c r="Q5231">
        <v>0</v>
      </c>
      <c r="R5231" t="s">
        <v>47308</v>
      </c>
      <c r="S5231" t="s">
        <v>47429</v>
      </c>
      <c r="T5231" t="s">
        <v>48998</v>
      </c>
      <c r="U5231" t="s">
        <v>53938</v>
      </c>
      <c r="W5231" t="s">
        <v>44887</v>
      </c>
      <c r="X5231" t="s">
        <v>47312</v>
      </c>
    </row>
    <row r="5232" spans="1:24">
      <c r="A5232">
        <f>HYPERLINK("https://www.philgeps.gov.ph/GEPSNONPILOT/Tender/SplashBidNoticeAbstractUI.aspx?menuIndex=3&amp;refID=7191506&amp;Result=3","7191506")</f>
        <v>0</v>
      </c>
      <c r="B5232" t="s">
        <v>1454</v>
      </c>
      <c r="C5232" t="s">
        <v>8778</v>
      </c>
      <c r="D5232" t="s">
        <v>18993</v>
      </c>
      <c r="E5232" t="s">
        <v>23740</v>
      </c>
      <c r="F5232" t="s">
        <v>32606</v>
      </c>
      <c r="G5232" t="s">
        <v>32614</v>
      </c>
      <c r="H5232" t="s">
        <v>14201</v>
      </c>
      <c r="I5232" t="s">
        <v>6298</v>
      </c>
      <c r="J5232" t="s">
        <v>36212</v>
      </c>
      <c r="K5232" t="s">
        <v>42630</v>
      </c>
      <c r="M5232" t="s">
        <v>44893</v>
      </c>
      <c r="N5232" t="s">
        <v>47304</v>
      </c>
      <c r="O5232" t="s">
        <v>47305</v>
      </c>
      <c r="P5232">
        <v>0</v>
      </c>
      <c r="Q5232">
        <v>0</v>
      </c>
      <c r="R5232" t="s">
        <v>47308</v>
      </c>
      <c r="S5232" t="s">
        <v>47429</v>
      </c>
      <c r="T5232" t="s">
        <v>48998</v>
      </c>
      <c r="U5232" t="s">
        <v>53939</v>
      </c>
      <c r="V5232" t="s">
        <v>63130</v>
      </c>
      <c r="W5232" t="s">
        <v>44893</v>
      </c>
      <c r="X5232" t="s">
        <v>47312</v>
      </c>
    </row>
    <row r="5233" spans="1:24">
      <c r="A5233">
        <f>HYPERLINK("https://www.philgeps.gov.ph/GEPSNONPILOT/Tender/SplashBidNoticeAbstractUI.aspx?menuIndex=3&amp;refID=7191486&amp;Result=3","7191486")</f>
        <v>0</v>
      </c>
      <c r="B5233" t="s">
        <v>1836</v>
      </c>
      <c r="C5233" t="s">
        <v>8779</v>
      </c>
      <c r="D5233" t="s">
        <v>19013</v>
      </c>
      <c r="E5233" t="s">
        <v>23463</v>
      </c>
      <c r="F5233" t="s">
        <v>32606</v>
      </c>
      <c r="G5233" t="s">
        <v>32614</v>
      </c>
      <c r="H5233" t="s">
        <v>14201</v>
      </c>
      <c r="I5233" t="s">
        <v>6298</v>
      </c>
      <c r="J5233" t="s">
        <v>32794</v>
      </c>
      <c r="K5233" t="s">
        <v>42629</v>
      </c>
      <c r="M5233" t="s">
        <v>44887</v>
      </c>
      <c r="N5233" t="s">
        <v>47304</v>
      </c>
      <c r="O5233" t="s">
        <v>47305</v>
      </c>
      <c r="P5233">
        <v>0</v>
      </c>
      <c r="Q5233">
        <v>0</v>
      </c>
      <c r="R5233" t="s">
        <v>47308</v>
      </c>
      <c r="S5233" t="s">
        <v>47429</v>
      </c>
      <c r="T5233" t="s">
        <v>48998</v>
      </c>
      <c r="U5233" t="s">
        <v>53940</v>
      </c>
      <c r="W5233" t="s">
        <v>44887</v>
      </c>
      <c r="X5233" t="s">
        <v>47312</v>
      </c>
    </row>
    <row r="5234" spans="1:24">
      <c r="A5234">
        <f>HYPERLINK("https://www.philgeps.gov.ph/GEPSNONPILOT/Tender/SplashBidNoticeAbstractUI.aspx?menuIndex=3&amp;refID=7191336&amp;Result=3","7191336")</f>
        <v>0</v>
      </c>
      <c r="B5234" t="s">
        <v>1833</v>
      </c>
      <c r="C5234" t="s">
        <v>8780</v>
      </c>
      <c r="D5234" t="s">
        <v>19014</v>
      </c>
      <c r="E5234" t="s">
        <v>23741</v>
      </c>
      <c r="F5234" t="s">
        <v>32606</v>
      </c>
      <c r="G5234" t="s">
        <v>32614</v>
      </c>
      <c r="H5234" t="s">
        <v>14201</v>
      </c>
      <c r="I5234" t="s">
        <v>6931</v>
      </c>
      <c r="J5234" t="s">
        <v>33669</v>
      </c>
      <c r="K5234" t="s">
        <v>42630</v>
      </c>
      <c r="M5234" t="s">
        <v>44884</v>
      </c>
      <c r="N5234" t="s">
        <v>47304</v>
      </c>
      <c r="O5234" t="s">
        <v>47305</v>
      </c>
      <c r="P5234">
        <v>0</v>
      </c>
      <c r="Q5234">
        <v>1</v>
      </c>
      <c r="R5234" t="s">
        <v>47308</v>
      </c>
      <c r="S5234" t="s">
        <v>47429</v>
      </c>
      <c r="T5234" t="s">
        <v>49028</v>
      </c>
      <c r="U5234" t="s">
        <v>53941</v>
      </c>
      <c r="W5234" t="s">
        <v>44884</v>
      </c>
      <c r="X5234" t="s">
        <v>47312</v>
      </c>
    </row>
    <row r="5235" spans="1:24">
      <c r="A5235">
        <f>HYPERLINK("https://www.philgeps.gov.ph/GEPSNONPILOT/Tender/SplashBidNoticeAbstractUI.aspx?menuIndex=3&amp;refID=7191320&amp;Result=3","7191320")</f>
        <v>0</v>
      </c>
      <c r="B5235" t="s">
        <v>1353</v>
      </c>
      <c r="C5235" t="s">
        <v>8781</v>
      </c>
      <c r="D5235" t="s">
        <v>19041</v>
      </c>
      <c r="E5235" t="s">
        <v>21964</v>
      </c>
      <c r="F5235" t="s">
        <v>32606</v>
      </c>
      <c r="G5235" t="s">
        <v>32614</v>
      </c>
      <c r="H5235" t="s">
        <v>14201</v>
      </c>
      <c r="I5235" t="s">
        <v>4369</v>
      </c>
      <c r="J5235" t="s">
        <v>36213</v>
      </c>
      <c r="K5235" t="s">
        <v>42624</v>
      </c>
      <c r="M5235" t="s">
        <v>44327</v>
      </c>
      <c r="N5235" t="s">
        <v>47304</v>
      </c>
      <c r="O5235" t="s">
        <v>47305</v>
      </c>
      <c r="P5235">
        <v>0</v>
      </c>
      <c r="Q5235">
        <v>14</v>
      </c>
      <c r="R5235" t="s">
        <v>47308</v>
      </c>
      <c r="S5235" t="s">
        <v>47429</v>
      </c>
      <c r="T5235" t="s">
        <v>49165</v>
      </c>
      <c r="U5235" t="s">
        <v>53942</v>
      </c>
      <c r="V5235" t="s">
        <v>62993</v>
      </c>
      <c r="W5235" t="s">
        <v>44327</v>
      </c>
      <c r="X5235" t="s">
        <v>47312</v>
      </c>
    </row>
    <row r="5236" spans="1:24">
      <c r="A5236">
        <f>HYPERLINK("https://www.philgeps.gov.ph/GEPSNONPILOT/Tender/SplashBidNoticeAbstractUI.aspx?menuIndex=3&amp;refID=7190936&amp;Result=3","7190936")</f>
        <v>0</v>
      </c>
      <c r="B5236" t="s">
        <v>733</v>
      </c>
      <c r="C5236" t="s">
        <v>8782</v>
      </c>
      <c r="D5236" t="s">
        <v>19010</v>
      </c>
      <c r="E5236" t="s">
        <v>23728</v>
      </c>
      <c r="F5236" t="s">
        <v>32606</v>
      </c>
      <c r="G5236" t="s">
        <v>32614</v>
      </c>
      <c r="H5236" t="s">
        <v>14201</v>
      </c>
      <c r="I5236" t="s">
        <v>32629</v>
      </c>
      <c r="J5236" t="s">
        <v>32967</v>
      </c>
      <c r="K5236" t="s">
        <v>42631</v>
      </c>
      <c r="M5236" t="s">
        <v>43655</v>
      </c>
      <c r="N5236" t="s">
        <v>47304</v>
      </c>
      <c r="O5236" t="s">
        <v>47305</v>
      </c>
      <c r="P5236">
        <v>0</v>
      </c>
      <c r="Q5236">
        <v>0</v>
      </c>
      <c r="R5236" t="s">
        <v>47308</v>
      </c>
      <c r="S5236" t="s">
        <v>47429</v>
      </c>
      <c r="T5236" t="s">
        <v>49053</v>
      </c>
      <c r="U5236" t="s">
        <v>53943</v>
      </c>
      <c r="W5236" t="s">
        <v>43655</v>
      </c>
      <c r="X5236" t="s">
        <v>47312</v>
      </c>
    </row>
    <row r="5237" spans="1:24">
      <c r="A5237">
        <f>HYPERLINK("https://www.philgeps.gov.ph/GEPSNONPILOT/Tender/SplashBidNoticeAbstractUI.aspx?menuIndex=3&amp;refID=7191306&amp;Result=3","7191306")</f>
        <v>0</v>
      </c>
      <c r="B5237" t="s">
        <v>404</v>
      </c>
      <c r="C5237" t="s">
        <v>6298</v>
      </c>
      <c r="D5237" t="s">
        <v>19023</v>
      </c>
      <c r="E5237" t="s">
        <v>23742</v>
      </c>
      <c r="F5237" t="s">
        <v>32606</v>
      </c>
      <c r="G5237" t="s">
        <v>32614</v>
      </c>
      <c r="H5237" t="s">
        <v>14201</v>
      </c>
      <c r="I5237" t="s">
        <v>6298</v>
      </c>
      <c r="J5237" t="s">
        <v>36214</v>
      </c>
      <c r="K5237" t="s">
        <v>42623</v>
      </c>
      <c r="M5237" t="s">
        <v>44889</v>
      </c>
      <c r="N5237" t="s">
        <v>47304</v>
      </c>
      <c r="O5237" t="s">
        <v>47305</v>
      </c>
      <c r="P5237">
        <v>0</v>
      </c>
      <c r="Q5237">
        <v>0</v>
      </c>
      <c r="R5237" t="s">
        <v>47308</v>
      </c>
      <c r="S5237" t="s">
        <v>47429</v>
      </c>
      <c r="T5237" t="s">
        <v>49053</v>
      </c>
      <c r="U5237" t="s">
        <v>53922</v>
      </c>
      <c r="V5237" t="s">
        <v>62737</v>
      </c>
      <c r="W5237" t="s">
        <v>44889</v>
      </c>
      <c r="X5237" t="s">
        <v>47312</v>
      </c>
    </row>
    <row r="5238" spans="1:24">
      <c r="A5238">
        <f>HYPERLINK("https://www.philgeps.gov.ph/GEPSNONPILOT/Tender/SplashBidNoticeAbstractUI.aspx?menuIndex=3&amp;refID=7190898&amp;Result=3","7190898")</f>
        <v>0</v>
      </c>
      <c r="B5238" t="s">
        <v>1842</v>
      </c>
      <c r="C5238" t="s">
        <v>8783</v>
      </c>
      <c r="D5238" t="s">
        <v>18993</v>
      </c>
      <c r="E5238" t="s">
        <v>23743</v>
      </c>
      <c r="F5238" t="s">
        <v>32606</v>
      </c>
      <c r="G5238" t="s">
        <v>32614</v>
      </c>
      <c r="H5238" t="s">
        <v>14201</v>
      </c>
      <c r="I5238" t="s">
        <v>6007</v>
      </c>
      <c r="J5238" t="s">
        <v>35156</v>
      </c>
      <c r="K5238" t="s">
        <v>42631</v>
      </c>
      <c r="M5238" t="s">
        <v>44895</v>
      </c>
      <c r="N5238" t="s">
        <v>47304</v>
      </c>
      <c r="O5238" t="s">
        <v>47305</v>
      </c>
      <c r="P5238">
        <v>0</v>
      </c>
      <c r="Q5238">
        <v>1</v>
      </c>
      <c r="R5238" t="s">
        <v>47308</v>
      </c>
      <c r="S5238" t="s">
        <v>47429</v>
      </c>
      <c r="T5238" t="s">
        <v>49053</v>
      </c>
      <c r="U5238" t="s">
        <v>50901</v>
      </c>
      <c r="W5238" t="s">
        <v>44895</v>
      </c>
      <c r="X5238" t="s">
        <v>47312</v>
      </c>
    </row>
    <row r="5239" spans="1:24">
      <c r="A5239">
        <f>HYPERLINK("https://www.philgeps.gov.ph/GEPSNONPILOT/Tender/SplashBidNoticeAbstractUI.aspx?menuIndex=3&amp;refID=7191479&amp;Result=3","7191479")</f>
        <v>0</v>
      </c>
      <c r="B5239" t="s">
        <v>1711</v>
      </c>
      <c r="C5239" t="s">
        <v>8784</v>
      </c>
      <c r="D5239" t="s">
        <v>18993</v>
      </c>
      <c r="E5239" t="s">
        <v>23744</v>
      </c>
      <c r="F5239" t="s">
        <v>32606</v>
      </c>
      <c r="G5239" t="s">
        <v>32614</v>
      </c>
      <c r="H5239" t="s">
        <v>14201</v>
      </c>
      <c r="I5239" t="s">
        <v>32633</v>
      </c>
      <c r="J5239" t="s">
        <v>32765</v>
      </c>
      <c r="K5239" t="s">
        <v>42624</v>
      </c>
      <c r="M5239" t="s">
        <v>44880</v>
      </c>
      <c r="N5239" t="s">
        <v>47304</v>
      </c>
      <c r="O5239" t="s">
        <v>47305</v>
      </c>
      <c r="P5239">
        <v>0</v>
      </c>
      <c r="Q5239">
        <v>7</v>
      </c>
      <c r="R5239" t="s">
        <v>47308</v>
      </c>
      <c r="S5239" t="s">
        <v>47429</v>
      </c>
      <c r="T5239" t="s">
        <v>49165</v>
      </c>
      <c r="U5239" t="s">
        <v>53900</v>
      </c>
      <c r="W5239" t="s">
        <v>44880</v>
      </c>
      <c r="X5239" t="s">
        <v>47312</v>
      </c>
    </row>
    <row r="5240" spans="1:24">
      <c r="A5240">
        <f>HYPERLINK("https://www.philgeps.gov.ph/GEPSNONPILOT/Tender/SplashBidNoticeAbstractUI.aspx?menuIndex=3&amp;refID=7190710&amp;Result=3","7190710")</f>
        <v>0</v>
      </c>
      <c r="B5240" t="s">
        <v>1261</v>
      </c>
      <c r="C5240" t="s">
        <v>8785</v>
      </c>
      <c r="D5240" t="s">
        <v>19038</v>
      </c>
      <c r="E5240" t="s">
        <v>23745</v>
      </c>
      <c r="F5240" t="s">
        <v>32606</v>
      </c>
      <c r="G5240" t="s">
        <v>32615</v>
      </c>
      <c r="H5240" t="s">
        <v>14201</v>
      </c>
      <c r="I5240" t="s">
        <v>6931</v>
      </c>
      <c r="J5240" t="s">
        <v>36215</v>
      </c>
      <c r="K5240" t="s">
        <v>42624</v>
      </c>
      <c r="M5240" t="s">
        <v>44229</v>
      </c>
      <c r="N5240" t="s">
        <v>47304</v>
      </c>
      <c r="O5240" t="s">
        <v>47305</v>
      </c>
      <c r="P5240">
        <v>0</v>
      </c>
      <c r="Q5240">
        <v>0</v>
      </c>
      <c r="R5240" t="s">
        <v>47308</v>
      </c>
      <c r="S5240" t="s">
        <v>47429</v>
      </c>
      <c r="T5240" t="s">
        <v>49018</v>
      </c>
      <c r="U5240" t="s">
        <v>53875</v>
      </c>
      <c r="W5240" t="s">
        <v>44229</v>
      </c>
      <c r="X5240" t="s">
        <v>47312</v>
      </c>
    </row>
    <row r="5241" spans="1:24">
      <c r="A5241">
        <f>HYPERLINK("https://www.philgeps.gov.ph/GEPSNONPILOT/Tender/SplashBidNoticeAbstractUI.aspx?menuIndex=3&amp;refID=7190450&amp;Result=3","7190450")</f>
        <v>0</v>
      </c>
      <c r="B5241" t="s">
        <v>811</v>
      </c>
      <c r="C5241" t="s">
        <v>8786</v>
      </c>
      <c r="D5241" t="s">
        <v>19009</v>
      </c>
      <c r="E5241" t="s">
        <v>23746</v>
      </c>
      <c r="F5241" t="s">
        <v>32606</v>
      </c>
      <c r="G5241" t="s">
        <v>32613</v>
      </c>
      <c r="H5241" t="s">
        <v>32623</v>
      </c>
      <c r="I5241" t="s">
        <v>17648</v>
      </c>
      <c r="J5241" t="s">
        <v>36216</v>
      </c>
      <c r="K5241" t="s">
        <v>42653</v>
      </c>
      <c r="M5241" t="s">
        <v>43742</v>
      </c>
      <c r="N5241" t="s">
        <v>47304</v>
      </c>
      <c r="O5241" t="s">
        <v>47305</v>
      </c>
      <c r="P5241">
        <v>0</v>
      </c>
      <c r="Q5241">
        <v>0</v>
      </c>
      <c r="R5241" t="s">
        <v>47308</v>
      </c>
      <c r="S5241" t="s">
        <v>47429</v>
      </c>
      <c r="T5241" t="s">
        <v>48986</v>
      </c>
      <c r="U5241" t="s">
        <v>53944</v>
      </c>
      <c r="W5241" t="s">
        <v>43742</v>
      </c>
      <c r="X5241" t="s">
        <v>47312</v>
      </c>
    </row>
    <row r="5242" spans="1:24">
      <c r="A5242">
        <f>HYPERLINK("https://www.philgeps.gov.ph/GEPSNONPILOT/Tender/SplashBidNoticeAbstractUI.aspx?menuIndex=3&amp;refID=7191555&amp;Result=3","7191555")</f>
        <v>0</v>
      </c>
      <c r="B5242" t="s">
        <v>1353</v>
      </c>
      <c r="C5242" t="s">
        <v>8787</v>
      </c>
      <c r="D5242" t="s">
        <v>19041</v>
      </c>
      <c r="E5242" t="s">
        <v>21990</v>
      </c>
      <c r="F5242" t="s">
        <v>32606</v>
      </c>
      <c r="G5242" t="s">
        <v>32619</v>
      </c>
      <c r="H5242" t="s">
        <v>14201</v>
      </c>
      <c r="I5242" t="s">
        <v>32662</v>
      </c>
      <c r="J5242" t="s">
        <v>32927</v>
      </c>
      <c r="K5242" t="s">
        <v>42624</v>
      </c>
      <c r="M5242" t="s">
        <v>44327</v>
      </c>
      <c r="N5242" t="s">
        <v>47304</v>
      </c>
      <c r="O5242" t="s">
        <v>47305</v>
      </c>
      <c r="P5242">
        <v>0</v>
      </c>
      <c r="Q5242">
        <v>2</v>
      </c>
      <c r="R5242" t="s">
        <v>47308</v>
      </c>
      <c r="S5242" t="s">
        <v>47429</v>
      </c>
      <c r="T5242" t="s">
        <v>49165</v>
      </c>
      <c r="U5242" t="s">
        <v>53945</v>
      </c>
      <c r="V5242" t="s">
        <v>62993</v>
      </c>
      <c r="W5242" t="s">
        <v>44327</v>
      </c>
      <c r="X5242" t="s">
        <v>47312</v>
      </c>
    </row>
    <row r="5243" spans="1:24">
      <c r="A5243">
        <f>HYPERLINK("https://www.philgeps.gov.ph/GEPSNONPILOT/Tender/SplashBidNoticeAbstractUI.aspx?menuIndex=3&amp;refID=7190407&amp;Result=3","7190407")</f>
        <v>0</v>
      </c>
      <c r="B5243" t="s">
        <v>404</v>
      </c>
      <c r="C5243" t="s">
        <v>8788</v>
      </c>
      <c r="D5243" t="s">
        <v>19023</v>
      </c>
      <c r="E5243" t="s">
        <v>23747</v>
      </c>
      <c r="F5243" t="s">
        <v>32606</v>
      </c>
      <c r="G5243" t="s">
        <v>32614</v>
      </c>
      <c r="H5243" t="s">
        <v>14201</v>
      </c>
      <c r="I5243" t="s">
        <v>32660</v>
      </c>
      <c r="J5243" t="s">
        <v>36217</v>
      </c>
      <c r="K5243" t="s">
        <v>42664</v>
      </c>
      <c r="M5243" t="s">
        <v>44889</v>
      </c>
      <c r="N5243" t="s">
        <v>47304</v>
      </c>
      <c r="O5243" t="s">
        <v>47305</v>
      </c>
      <c r="P5243">
        <v>0</v>
      </c>
      <c r="Q5243">
        <v>0</v>
      </c>
      <c r="R5243" t="s">
        <v>47308</v>
      </c>
      <c r="S5243" t="s">
        <v>47429</v>
      </c>
      <c r="T5243" t="s">
        <v>49053</v>
      </c>
      <c r="U5243" t="s">
        <v>53922</v>
      </c>
      <c r="V5243" t="s">
        <v>62737</v>
      </c>
      <c r="W5243" t="s">
        <v>44889</v>
      </c>
      <c r="X5243" t="s">
        <v>47312</v>
      </c>
    </row>
    <row r="5244" spans="1:24">
      <c r="A5244">
        <f>HYPERLINK("https://www.philgeps.gov.ph/GEPSNONPILOT/Tender/SplashBidNoticeAbstractUI.aspx?menuIndex=3&amp;refID=7196899&amp;Result=3","7196899")</f>
        <v>0</v>
      </c>
      <c r="B5244" t="s">
        <v>234</v>
      </c>
      <c r="C5244" t="s">
        <v>6689</v>
      </c>
      <c r="D5244" t="s">
        <v>19052</v>
      </c>
      <c r="E5244" t="s">
        <v>23748</v>
      </c>
      <c r="F5244" t="s">
        <v>32606</v>
      </c>
      <c r="G5244" t="s">
        <v>32614</v>
      </c>
      <c r="H5244" t="s">
        <v>14201</v>
      </c>
      <c r="I5244" t="s">
        <v>6298</v>
      </c>
      <c r="J5244" t="s">
        <v>36218</v>
      </c>
      <c r="K5244" t="s">
        <v>42631</v>
      </c>
      <c r="M5244" t="s">
        <v>43135</v>
      </c>
      <c r="N5244" t="s">
        <v>47304</v>
      </c>
      <c r="O5244" t="s">
        <v>47305</v>
      </c>
      <c r="P5244">
        <v>0</v>
      </c>
      <c r="Q5244">
        <v>0</v>
      </c>
      <c r="R5244" t="s">
        <v>47306</v>
      </c>
      <c r="S5244" t="s">
        <v>47414</v>
      </c>
      <c r="T5244" t="s">
        <v>49050</v>
      </c>
      <c r="U5244" t="s">
        <v>52127</v>
      </c>
      <c r="V5244" t="s">
        <v>62641</v>
      </c>
      <c r="W5244" t="s">
        <v>43135</v>
      </c>
      <c r="X5244" t="s">
        <v>47308</v>
      </c>
    </row>
    <row r="5245" spans="1:24">
      <c r="A5245">
        <f>HYPERLINK("https://www.philgeps.gov.ph/GEPSNONPILOT/Tender/SplashBidNoticeAbstractUI.aspx?menuIndex=3&amp;refID=7196896&amp;Result=3","7196896")</f>
        <v>0</v>
      </c>
      <c r="B5245" t="s">
        <v>581</v>
      </c>
      <c r="C5245" t="s">
        <v>8789</v>
      </c>
      <c r="D5245" t="s">
        <v>19036</v>
      </c>
      <c r="E5245" t="s">
        <v>23749</v>
      </c>
      <c r="F5245" t="s">
        <v>32606</v>
      </c>
      <c r="G5245" t="s">
        <v>32614</v>
      </c>
      <c r="H5245" t="s">
        <v>14201</v>
      </c>
      <c r="I5245" t="s">
        <v>32638</v>
      </c>
      <c r="J5245" t="s">
        <v>36219</v>
      </c>
      <c r="K5245" t="s">
        <v>42631</v>
      </c>
      <c r="M5245" t="s">
        <v>43496</v>
      </c>
      <c r="N5245" t="s">
        <v>47304</v>
      </c>
      <c r="O5245" t="s">
        <v>47305</v>
      </c>
      <c r="P5245">
        <v>0</v>
      </c>
      <c r="Q5245">
        <v>2</v>
      </c>
      <c r="R5245" t="s">
        <v>47306</v>
      </c>
      <c r="S5245" t="s">
        <v>47414</v>
      </c>
      <c r="T5245" t="s">
        <v>49050</v>
      </c>
      <c r="U5245" t="s">
        <v>53946</v>
      </c>
      <c r="W5245" t="s">
        <v>43496</v>
      </c>
      <c r="X5245" t="s">
        <v>47308</v>
      </c>
    </row>
    <row r="5246" spans="1:24">
      <c r="A5246">
        <f>HYPERLINK("https://www.philgeps.gov.ph/GEPSNONPILOT/Tender/SplashBidNoticeAbstractUI.aspx?menuIndex=3&amp;refID=7191330&amp;Result=3","7191330")</f>
        <v>0</v>
      </c>
      <c r="B5246" t="s">
        <v>1843</v>
      </c>
      <c r="C5246" t="s">
        <v>8790</v>
      </c>
      <c r="D5246" t="s">
        <v>18993</v>
      </c>
      <c r="E5246" t="s">
        <v>20079</v>
      </c>
      <c r="F5246" t="s">
        <v>32606</v>
      </c>
      <c r="G5246" t="s">
        <v>32614</v>
      </c>
      <c r="H5246" t="s">
        <v>14201</v>
      </c>
      <c r="I5246" t="s">
        <v>7529</v>
      </c>
      <c r="J5246" t="s">
        <v>36220</v>
      </c>
      <c r="K5246" t="s">
        <v>42623</v>
      </c>
      <c r="M5246" t="s">
        <v>44896</v>
      </c>
      <c r="N5246" t="s">
        <v>47304</v>
      </c>
      <c r="O5246" t="s">
        <v>47305</v>
      </c>
      <c r="P5246">
        <v>0</v>
      </c>
      <c r="Q5246">
        <v>8</v>
      </c>
      <c r="R5246" t="s">
        <v>47308</v>
      </c>
      <c r="S5246" t="s">
        <v>47429</v>
      </c>
      <c r="T5246" t="s">
        <v>49144</v>
      </c>
      <c r="U5246" t="s">
        <v>53947</v>
      </c>
      <c r="W5246" t="s">
        <v>44896</v>
      </c>
      <c r="X5246" t="s">
        <v>47312</v>
      </c>
    </row>
    <row r="5247" spans="1:24">
      <c r="A5247">
        <f>HYPERLINK("https://www.philgeps.gov.ph/GEPSNONPILOT/Tender/SplashBidNoticeAbstractUI.aspx?menuIndex=3&amp;refID=7190907&amp;Result=3","7190907")</f>
        <v>0</v>
      </c>
      <c r="B5247" t="s">
        <v>811</v>
      </c>
      <c r="C5247" t="s">
        <v>8791</v>
      </c>
      <c r="D5247" t="s">
        <v>19009</v>
      </c>
      <c r="E5247" t="s">
        <v>23750</v>
      </c>
      <c r="F5247" t="s">
        <v>32606</v>
      </c>
      <c r="G5247" t="s">
        <v>32613</v>
      </c>
      <c r="H5247" t="s">
        <v>14201</v>
      </c>
      <c r="I5247" t="s">
        <v>4115</v>
      </c>
      <c r="J5247" t="s">
        <v>36221</v>
      </c>
      <c r="K5247" t="s">
        <v>42623</v>
      </c>
      <c r="M5247" t="s">
        <v>43742</v>
      </c>
      <c r="N5247" t="s">
        <v>47304</v>
      </c>
      <c r="O5247" t="s">
        <v>47305</v>
      </c>
      <c r="P5247">
        <v>0</v>
      </c>
      <c r="Q5247">
        <v>0</v>
      </c>
      <c r="R5247" t="s">
        <v>47308</v>
      </c>
      <c r="S5247" t="s">
        <v>47429</v>
      </c>
      <c r="T5247" t="s">
        <v>48986</v>
      </c>
      <c r="U5247" t="s">
        <v>53948</v>
      </c>
      <c r="W5247" t="s">
        <v>43742</v>
      </c>
      <c r="X5247" t="s">
        <v>47312</v>
      </c>
    </row>
    <row r="5248" spans="1:24">
      <c r="A5248">
        <f>HYPERLINK("https://www.philgeps.gov.ph/GEPSNONPILOT/Tender/SplashBidNoticeAbstractUI.aspx?menuIndex=3&amp;refID=7191792&amp;Result=3","7191792")</f>
        <v>0</v>
      </c>
      <c r="B5248" t="s">
        <v>1844</v>
      </c>
      <c r="C5248" t="s">
        <v>8792</v>
      </c>
      <c r="D5248" t="s">
        <v>19011</v>
      </c>
      <c r="E5248" t="s">
        <v>23751</v>
      </c>
      <c r="F5248" t="s">
        <v>32606</v>
      </c>
      <c r="G5248" t="s">
        <v>32613</v>
      </c>
      <c r="H5248" t="s">
        <v>14201</v>
      </c>
      <c r="I5248" t="s">
        <v>32661</v>
      </c>
      <c r="J5248" t="s">
        <v>32789</v>
      </c>
      <c r="K5248" t="s">
        <v>42631</v>
      </c>
      <c r="M5248" t="s">
        <v>44897</v>
      </c>
      <c r="N5248" t="s">
        <v>47304</v>
      </c>
      <c r="O5248" t="s">
        <v>47305</v>
      </c>
      <c r="P5248">
        <v>0</v>
      </c>
      <c r="Q5248">
        <v>0</v>
      </c>
      <c r="R5248" t="s">
        <v>47308</v>
      </c>
      <c r="S5248" t="s">
        <v>47429</v>
      </c>
      <c r="T5248" t="s">
        <v>48986</v>
      </c>
      <c r="U5248" t="s">
        <v>53949</v>
      </c>
      <c r="W5248" t="s">
        <v>44897</v>
      </c>
      <c r="X5248" t="s">
        <v>47312</v>
      </c>
    </row>
    <row r="5249" spans="1:24">
      <c r="A5249">
        <f>HYPERLINK("https://www.philgeps.gov.ph/GEPSNONPILOT/Tender/SplashBidNoticeAbstractUI.aspx?menuIndex=3&amp;refID=7190455&amp;Result=3","7190455")</f>
        <v>0</v>
      </c>
      <c r="B5249" t="s">
        <v>1261</v>
      </c>
      <c r="C5249" t="s">
        <v>8793</v>
      </c>
      <c r="D5249" t="s">
        <v>19038</v>
      </c>
      <c r="E5249" t="s">
        <v>23752</v>
      </c>
      <c r="F5249" t="s">
        <v>32606</v>
      </c>
      <c r="G5249" t="s">
        <v>32613</v>
      </c>
      <c r="H5249" t="s">
        <v>14201</v>
      </c>
      <c r="I5249" t="s">
        <v>32629</v>
      </c>
      <c r="J5249" t="s">
        <v>33449</v>
      </c>
      <c r="K5249" t="s">
        <v>42624</v>
      </c>
      <c r="M5249" t="s">
        <v>44229</v>
      </c>
      <c r="N5249" t="s">
        <v>47304</v>
      </c>
      <c r="O5249" t="s">
        <v>47305</v>
      </c>
      <c r="P5249">
        <v>0</v>
      </c>
      <c r="Q5249">
        <v>0</v>
      </c>
      <c r="R5249" t="s">
        <v>47308</v>
      </c>
      <c r="S5249" t="s">
        <v>47429</v>
      </c>
      <c r="T5249" t="s">
        <v>49018</v>
      </c>
      <c r="U5249" t="s">
        <v>53950</v>
      </c>
      <c r="W5249" t="s">
        <v>44229</v>
      </c>
      <c r="X5249" t="s">
        <v>47312</v>
      </c>
    </row>
    <row r="5250" spans="1:24">
      <c r="A5250">
        <f>HYPERLINK("https://www.philgeps.gov.ph/GEPSNONPILOT/Tender/SplashBidNoticeAbstractUI.aspx?menuIndex=3&amp;refID=7191271&amp;Result=3","7191271")</f>
        <v>0</v>
      </c>
      <c r="B5250" t="s">
        <v>357</v>
      </c>
      <c r="C5250" t="s">
        <v>8794</v>
      </c>
      <c r="D5250" t="s">
        <v>19010</v>
      </c>
      <c r="E5250" t="s">
        <v>23753</v>
      </c>
      <c r="F5250" t="s">
        <v>32606</v>
      </c>
      <c r="G5250" t="s">
        <v>32613</v>
      </c>
      <c r="H5250" t="s">
        <v>32623</v>
      </c>
      <c r="I5250" t="s">
        <v>17648</v>
      </c>
      <c r="J5250" t="s">
        <v>36183</v>
      </c>
      <c r="K5250" t="s">
        <v>42631</v>
      </c>
      <c r="M5250" t="s">
        <v>43259</v>
      </c>
      <c r="N5250" t="s">
        <v>47304</v>
      </c>
      <c r="O5250" t="s">
        <v>47305</v>
      </c>
      <c r="P5250">
        <v>0</v>
      </c>
      <c r="Q5250">
        <v>0</v>
      </c>
      <c r="R5250" t="s">
        <v>47308</v>
      </c>
      <c r="S5250" t="s">
        <v>47429</v>
      </c>
      <c r="T5250" t="s">
        <v>48986</v>
      </c>
      <c r="U5250" t="s">
        <v>53905</v>
      </c>
      <c r="V5250" t="s">
        <v>62729</v>
      </c>
      <c r="W5250" t="s">
        <v>43259</v>
      </c>
      <c r="X5250" t="s">
        <v>47312</v>
      </c>
    </row>
    <row r="5251" spans="1:24">
      <c r="A5251">
        <f>HYPERLINK("https://www.philgeps.gov.ph/GEPSNONPILOT/Tender/SplashBidNoticeAbstractUI.aspx?menuIndex=3&amp;refID=7191720&amp;Result=3","7191720")</f>
        <v>0</v>
      </c>
      <c r="B5251" t="s">
        <v>1393</v>
      </c>
      <c r="C5251" t="s">
        <v>8795</v>
      </c>
      <c r="D5251" t="s">
        <v>18993</v>
      </c>
      <c r="E5251" t="s">
        <v>23754</v>
      </c>
      <c r="F5251" t="s">
        <v>32606</v>
      </c>
      <c r="G5251" t="s">
        <v>32613</v>
      </c>
      <c r="H5251" t="s">
        <v>14201</v>
      </c>
      <c r="I5251" t="s">
        <v>6993</v>
      </c>
      <c r="J5251" t="s">
        <v>36222</v>
      </c>
      <c r="K5251" t="s">
        <v>42631</v>
      </c>
      <c r="M5251" t="s">
        <v>44376</v>
      </c>
      <c r="N5251" t="s">
        <v>47304</v>
      </c>
      <c r="O5251" t="s">
        <v>47305</v>
      </c>
      <c r="P5251">
        <v>0</v>
      </c>
      <c r="Q5251">
        <v>2</v>
      </c>
      <c r="R5251" t="s">
        <v>47308</v>
      </c>
      <c r="S5251" t="s">
        <v>47429</v>
      </c>
      <c r="T5251" t="s">
        <v>49024</v>
      </c>
      <c r="U5251" t="s">
        <v>53951</v>
      </c>
      <c r="W5251" t="s">
        <v>44376</v>
      </c>
      <c r="X5251" t="s">
        <v>47312</v>
      </c>
    </row>
    <row r="5252" spans="1:24">
      <c r="A5252">
        <f>HYPERLINK("https://www.philgeps.gov.ph/GEPSNONPILOT/Tender/SplashBidNoticeAbstractUI.aspx?menuIndex=3&amp;refID=7191714&amp;Result=3","7191714")</f>
        <v>0</v>
      </c>
      <c r="B5252" t="s">
        <v>91</v>
      </c>
      <c r="C5252" t="s">
        <v>8796</v>
      </c>
      <c r="D5252" t="s">
        <v>19023</v>
      </c>
      <c r="E5252" t="s">
        <v>23755</v>
      </c>
      <c r="F5252" t="s">
        <v>32606</v>
      </c>
      <c r="G5252" t="s">
        <v>32613</v>
      </c>
      <c r="H5252" t="s">
        <v>14201</v>
      </c>
      <c r="I5252" t="s">
        <v>6298</v>
      </c>
      <c r="J5252" t="s">
        <v>36223</v>
      </c>
      <c r="K5252" t="s">
        <v>42636</v>
      </c>
      <c r="M5252" t="s">
        <v>42989</v>
      </c>
      <c r="N5252" t="s">
        <v>47304</v>
      </c>
      <c r="O5252" t="s">
        <v>47305</v>
      </c>
      <c r="P5252">
        <v>0</v>
      </c>
      <c r="Q5252">
        <v>4</v>
      </c>
      <c r="R5252" t="s">
        <v>47308</v>
      </c>
      <c r="S5252" t="s">
        <v>47429</v>
      </c>
      <c r="T5252" t="s">
        <v>49009</v>
      </c>
      <c r="U5252" t="s">
        <v>53952</v>
      </c>
      <c r="W5252" t="s">
        <v>42989</v>
      </c>
      <c r="X5252" t="s">
        <v>47312</v>
      </c>
    </row>
    <row r="5253" spans="1:24">
      <c r="A5253">
        <f>HYPERLINK("https://www.philgeps.gov.ph/GEPSNONPILOT/Tender/SplashBidNoticeAbstractUI.aspx?menuIndex=3&amp;refID=7191484&amp;Result=3","7191484")</f>
        <v>0</v>
      </c>
      <c r="B5253" t="s">
        <v>684</v>
      </c>
      <c r="C5253" t="s">
        <v>8797</v>
      </c>
      <c r="D5253" t="s">
        <v>19012</v>
      </c>
      <c r="E5253" t="s">
        <v>23756</v>
      </c>
      <c r="F5253" t="s">
        <v>32606</v>
      </c>
      <c r="G5253" t="s">
        <v>32613</v>
      </c>
      <c r="H5253" t="s">
        <v>14201</v>
      </c>
      <c r="I5253" t="s">
        <v>32650</v>
      </c>
      <c r="J5253" t="s">
        <v>34982</v>
      </c>
      <c r="K5253" t="s">
        <v>42622</v>
      </c>
      <c r="L5253" t="s">
        <v>684</v>
      </c>
      <c r="M5253" t="s">
        <v>43605</v>
      </c>
      <c r="N5253" t="s">
        <v>47304</v>
      </c>
      <c r="O5253" t="s">
        <v>47305</v>
      </c>
      <c r="P5253">
        <v>0</v>
      </c>
      <c r="Q5253">
        <v>2</v>
      </c>
      <c r="R5253" t="s">
        <v>47308</v>
      </c>
      <c r="S5253" t="s">
        <v>47429</v>
      </c>
      <c r="T5253" t="s">
        <v>49023</v>
      </c>
      <c r="U5253" t="s">
        <v>53953</v>
      </c>
      <c r="V5253" t="s">
        <v>63129</v>
      </c>
      <c r="W5253" t="s">
        <v>43605</v>
      </c>
      <c r="X5253" t="s">
        <v>47312</v>
      </c>
    </row>
    <row r="5254" spans="1:24">
      <c r="A5254">
        <f>HYPERLINK("https://www.philgeps.gov.ph/GEPSNONPILOT/Tender/SplashBidNoticeAbstractUI.aspx?menuIndex=3&amp;refID=7191693&amp;Result=3","7191693")</f>
        <v>0</v>
      </c>
      <c r="B5254" t="s">
        <v>1845</v>
      </c>
      <c r="C5254" t="s">
        <v>8798</v>
      </c>
      <c r="D5254" t="s">
        <v>19008</v>
      </c>
      <c r="E5254" t="s">
        <v>23757</v>
      </c>
      <c r="F5254" t="s">
        <v>32606</v>
      </c>
      <c r="G5254" t="s">
        <v>32613</v>
      </c>
      <c r="H5254" t="s">
        <v>14201</v>
      </c>
      <c r="I5254" t="s">
        <v>7577</v>
      </c>
      <c r="J5254" t="s">
        <v>36224</v>
      </c>
      <c r="K5254" t="s">
        <v>42636</v>
      </c>
      <c r="M5254" t="s">
        <v>44898</v>
      </c>
      <c r="N5254" t="s">
        <v>47304</v>
      </c>
      <c r="O5254" t="s">
        <v>47305</v>
      </c>
      <c r="P5254">
        <v>0</v>
      </c>
      <c r="Q5254">
        <v>5</v>
      </c>
      <c r="R5254" t="s">
        <v>47308</v>
      </c>
      <c r="S5254" t="s">
        <v>47429</v>
      </c>
      <c r="T5254" t="s">
        <v>48990</v>
      </c>
      <c r="U5254" t="s">
        <v>53954</v>
      </c>
      <c r="W5254" t="s">
        <v>44898</v>
      </c>
      <c r="X5254" t="s">
        <v>47312</v>
      </c>
    </row>
    <row r="5255" spans="1:24">
      <c r="A5255">
        <f>HYPERLINK("https://www.philgeps.gov.ph/GEPSNONPILOT/Tender/SplashBidNoticeAbstractUI.aspx?menuIndex=3&amp;refID=7191773&amp;Result=3","7191773")</f>
        <v>0</v>
      </c>
      <c r="B5255" t="s">
        <v>1842</v>
      </c>
      <c r="C5255" t="s">
        <v>8799</v>
      </c>
      <c r="D5255" t="s">
        <v>18993</v>
      </c>
      <c r="E5255" t="s">
        <v>23758</v>
      </c>
      <c r="F5255" t="s">
        <v>32606</v>
      </c>
      <c r="G5255" t="s">
        <v>32614</v>
      </c>
      <c r="H5255" t="s">
        <v>14201</v>
      </c>
      <c r="I5255" t="s">
        <v>32732</v>
      </c>
      <c r="J5255" t="s">
        <v>36225</v>
      </c>
      <c r="K5255" t="s">
        <v>42631</v>
      </c>
      <c r="M5255" t="s">
        <v>44895</v>
      </c>
      <c r="N5255" t="s">
        <v>47304</v>
      </c>
      <c r="O5255" t="s">
        <v>47305</v>
      </c>
      <c r="P5255">
        <v>0</v>
      </c>
      <c r="Q5255">
        <v>3</v>
      </c>
      <c r="R5255" t="s">
        <v>47308</v>
      </c>
      <c r="S5255" t="s">
        <v>47429</v>
      </c>
      <c r="T5255" t="s">
        <v>49053</v>
      </c>
      <c r="U5255" t="s">
        <v>50901</v>
      </c>
      <c r="W5255" t="s">
        <v>44895</v>
      </c>
      <c r="X5255" t="s">
        <v>47312</v>
      </c>
    </row>
    <row r="5256" spans="1:24">
      <c r="A5256">
        <f>HYPERLINK("https://www.philgeps.gov.ph/GEPSNONPILOT/Tender/SplashBidNoticeAbstractUI.aspx?menuIndex=3&amp;refID=7191684&amp;Result=3","7191684")</f>
        <v>0</v>
      </c>
      <c r="B5256" t="s">
        <v>1846</v>
      </c>
      <c r="C5256" t="s">
        <v>8800</v>
      </c>
      <c r="D5256" t="s">
        <v>19005</v>
      </c>
      <c r="E5256" t="s">
        <v>19487</v>
      </c>
      <c r="F5256" t="s">
        <v>32606</v>
      </c>
      <c r="G5256" t="s">
        <v>32613</v>
      </c>
      <c r="H5256" t="s">
        <v>14201</v>
      </c>
      <c r="I5256" t="s">
        <v>6931</v>
      </c>
      <c r="J5256" t="s">
        <v>36226</v>
      </c>
      <c r="K5256" t="s">
        <v>42623</v>
      </c>
      <c r="M5256" t="s">
        <v>44899</v>
      </c>
      <c r="N5256" t="s">
        <v>47304</v>
      </c>
      <c r="O5256" t="s">
        <v>47305</v>
      </c>
      <c r="P5256">
        <v>0</v>
      </c>
      <c r="Q5256">
        <v>1</v>
      </c>
      <c r="R5256" t="s">
        <v>47308</v>
      </c>
      <c r="S5256" t="s">
        <v>47429</v>
      </c>
      <c r="T5256" t="s">
        <v>49087</v>
      </c>
      <c r="U5256" t="s">
        <v>53955</v>
      </c>
      <c r="W5256" t="s">
        <v>44899</v>
      </c>
      <c r="X5256" t="s">
        <v>47312</v>
      </c>
    </row>
    <row r="5257" spans="1:24">
      <c r="A5257">
        <f>HYPERLINK("https://www.philgeps.gov.ph/GEPSNONPILOT/Tender/SplashBidNoticeAbstractUI.aspx?menuIndex=3&amp;refID=7191765&amp;Result=3","7191765")</f>
        <v>0</v>
      </c>
      <c r="B5257" t="s">
        <v>755</v>
      </c>
      <c r="C5257" t="s">
        <v>8801</v>
      </c>
      <c r="D5257" t="s">
        <v>18988</v>
      </c>
      <c r="E5257" t="s">
        <v>23759</v>
      </c>
      <c r="F5257" t="s">
        <v>32606</v>
      </c>
      <c r="G5257" t="s">
        <v>32614</v>
      </c>
      <c r="H5257" t="s">
        <v>14201</v>
      </c>
      <c r="I5257" t="s">
        <v>32633</v>
      </c>
      <c r="J5257" t="s">
        <v>33941</v>
      </c>
      <c r="K5257" t="s">
        <v>42624</v>
      </c>
      <c r="M5257" t="s">
        <v>44863</v>
      </c>
      <c r="N5257" t="s">
        <v>47304</v>
      </c>
      <c r="O5257" t="s">
        <v>47305</v>
      </c>
      <c r="P5257">
        <v>0</v>
      </c>
      <c r="Q5257">
        <v>10</v>
      </c>
      <c r="R5257" t="s">
        <v>47308</v>
      </c>
      <c r="S5257" t="s">
        <v>47429</v>
      </c>
      <c r="T5257" t="s">
        <v>49165</v>
      </c>
      <c r="U5257" t="s">
        <v>53849</v>
      </c>
      <c r="W5257" t="s">
        <v>44863</v>
      </c>
      <c r="X5257" t="s">
        <v>47312</v>
      </c>
    </row>
    <row r="5258" spans="1:24">
      <c r="A5258">
        <f>HYPERLINK("https://www.philgeps.gov.ph/GEPSNONPILOT/Tender/SplashBidNoticeAbstractUI.aspx?menuIndex=3&amp;refID=7191681&amp;Result=3","7191681")</f>
        <v>0</v>
      </c>
      <c r="B5258" t="s">
        <v>1389</v>
      </c>
      <c r="C5258" t="s">
        <v>8802</v>
      </c>
      <c r="D5258" t="s">
        <v>18992</v>
      </c>
      <c r="E5258" t="s">
        <v>19462</v>
      </c>
      <c r="F5258" t="s">
        <v>32606</v>
      </c>
      <c r="G5258" t="s">
        <v>32613</v>
      </c>
      <c r="H5258" t="s">
        <v>14201</v>
      </c>
      <c r="I5258" t="s">
        <v>7064</v>
      </c>
      <c r="J5258" t="s">
        <v>34545</v>
      </c>
      <c r="K5258" t="s">
        <v>42631</v>
      </c>
      <c r="M5258" t="s">
        <v>44371</v>
      </c>
      <c r="N5258" t="s">
        <v>47304</v>
      </c>
      <c r="O5258" t="s">
        <v>47305</v>
      </c>
      <c r="P5258">
        <v>0</v>
      </c>
      <c r="Q5258">
        <v>0</v>
      </c>
      <c r="R5258" t="s">
        <v>47308</v>
      </c>
      <c r="S5258" t="s">
        <v>47429</v>
      </c>
      <c r="T5258" t="s">
        <v>49170</v>
      </c>
      <c r="U5258" t="s">
        <v>53956</v>
      </c>
      <c r="W5258" t="s">
        <v>44371</v>
      </c>
      <c r="X5258" t="s">
        <v>47312</v>
      </c>
    </row>
    <row r="5259" spans="1:24">
      <c r="A5259">
        <f>HYPERLINK("https://www.philgeps.gov.ph/GEPSNONPILOT/Tender/SplashBidNoticeAbstractUI.aspx?menuIndex=3&amp;refID=7191757&amp;Result=3","7191757")</f>
        <v>0</v>
      </c>
      <c r="B5259" t="s">
        <v>652</v>
      </c>
      <c r="C5259" t="s">
        <v>8803</v>
      </c>
      <c r="D5259" t="s">
        <v>18993</v>
      </c>
      <c r="E5259" t="s">
        <v>23760</v>
      </c>
      <c r="F5259" t="s">
        <v>32606</v>
      </c>
      <c r="G5259" t="s">
        <v>32614</v>
      </c>
      <c r="H5259" t="s">
        <v>14201</v>
      </c>
      <c r="I5259" t="s">
        <v>7233</v>
      </c>
      <c r="J5259" t="s">
        <v>34256</v>
      </c>
      <c r="K5259" t="s">
        <v>42675</v>
      </c>
      <c r="M5259" t="s">
        <v>44900</v>
      </c>
      <c r="N5259" t="s">
        <v>47304</v>
      </c>
      <c r="O5259" t="s">
        <v>47305</v>
      </c>
      <c r="P5259">
        <v>0</v>
      </c>
      <c r="Q5259">
        <v>5</v>
      </c>
      <c r="R5259" t="s">
        <v>47308</v>
      </c>
      <c r="S5259" t="s">
        <v>47429</v>
      </c>
      <c r="T5259" t="s">
        <v>49221</v>
      </c>
      <c r="U5259" t="s">
        <v>53957</v>
      </c>
      <c r="V5259" t="s">
        <v>63132</v>
      </c>
      <c r="W5259" t="s">
        <v>44900</v>
      </c>
      <c r="X5259" t="s">
        <v>47312</v>
      </c>
    </row>
    <row r="5260" spans="1:24">
      <c r="A5260">
        <f>HYPERLINK("https://www.philgeps.gov.ph/GEPSNONPILOT/Tender/SplashBidNoticeAbstractUI.aspx?menuIndex=3&amp;refID=7191646&amp;Result=3","7191646")</f>
        <v>0</v>
      </c>
      <c r="B5260" t="s">
        <v>755</v>
      </c>
      <c r="C5260" t="s">
        <v>8804</v>
      </c>
      <c r="D5260" t="s">
        <v>18988</v>
      </c>
      <c r="E5260" t="s">
        <v>23761</v>
      </c>
      <c r="F5260" t="s">
        <v>32606</v>
      </c>
      <c r="G5260" t="s">
        <v>32614</v>
      </c>
      <c r="H5260" t="s">
        <v>14201</v>
      </c>
      <c r="I5260" t="s">
        <v>7529</v>
      </c>
      <c r="J5260" t="s">
        <v>35349</v>
      </c>
      <c r="K5260" t="s">
        <v>42624</v>
      </c>
      <c r="M5260" t="s">
        <v>44863</v>
      </c>
      <c r="N5260" t="s">
        <v>47304</v>
      </c>
      <c r="O5260" t="s">
        <v>47305</v>
      </c>
      <c r="P5260">
        <v>0</v>
      </c>
      <c r="Q5260">
        <v>1</v>
      </c>
      <c r="R5260" t="s">
        <v>47308</v>
      </c>
      <c r="S5260" t="s">
        <v>47429</v>
      </c>
      <c r="T5260" t="s">
        <v>49165</v>
      </c>
      <c r="U5260" t="s">
        <v>53958</v>
      </c>
      <c r="W5260" t="s">
        <v>44863</v>
      </c>
      <c r="X5260" t="s">
        <v>47312</v>
      </c>
    </row>
    <row r="5261" spans="1:24">
      <c r="A5261">
        <f>HYPERLINK("https://www.philgeps.gov.ph/GEPSNONPILOT/Tender/SplashBidNoticeAbstractUI.aspx?menuIndex=3&amp;refID=7191803&amp;Result=3","7191803")</f>
        <v>0</v>
      </c>
      <c r="B5261" t="s">
        <v>755</v>
      </c>
      <c r="C5261" t="s">
        <v>8801</v>
      </c>
      <c r="D5261" t="s">
        <v>18988</v>
      </c>
      <c r="E5261" t="s">
        <v>23762</v>
      </c>
      <c r="F5261" t="s">
        <v>32606</v>
      </c>
      <c r="G5261" t="s">
        <v>32614</v>
      </c>
      <c r="H5261" t="s">
        <v>14201</v>
      </c>
      <c r="I5261" t="s">
        <v>32633</v>
      </c>
      <c r="J5261" t="s">
        <v>32789</v>
      </c>
      <c r="K5261" t="s">
        <v>42624</v>
      </c>
      <c r="M5261" t="s">
        <v>44863</v>
      </c>
      <c r="N5261" t="s">
        <v>47304</v>
      </c>
      <c r="O5261" t="s">
        <v>47305</v>
      </c>
      <c r="P5261">
        <v>0</v>
      </c>
      <c r="Q5261">
        <v>9</v>
      </c>
      <c r="R5261" t="s">
        <v>47308</v>
      </c>
      <c r="S5261" t="s">
        <v>47429</v>
      </c>
      <c r="T5261" t="s">
        <v>49165</v>
      </c>
      <c r="U5261" t="s">
        <v>53849</v>
      </c>
      <c r="W5261" t="s">
        <v>44863</v>
      </c>
      <c r="X5261" t="s">
        <v>47312</v>
      </c>
    </row>
    <row r="5262" spans="1:24">
      <c r="A5262">
        <f>HYPERLINK("https://www.philgeps.gov.ph/GEPSNONPILOT/Tender/SplashBidNoticeAbstractUI.aspx?menuIndex=3&amp;refID=7191713&amp;Result=3","7191713")</f>
        <v>0</v>
      </c>
      <c r="B5262" t="s">
        <v>1014</v>
      </c>
      <c r="C5262" t="s">
        <v>8805</v>
      </c>
      <c r="D5262" t="s">
        <v>18995</v>
      </c>
      <c r="E5262" t="s">
        <v>23763</v>
      </c>
      <c r="F5262" t="s">
        <v>32606</v>
      </c>
      <c r="G5262" t="s">
        <v>32614</v>
      </c>
      <c r="H5262" t="s">
        <v>14201</v>
      </c>
      <c r="I5262" t="s">
        <v>4112</v>
      </c>
      <c r="J5262" t="s">
        <v>32759</v>
      </c>
      <c r="K5262" t="s">
        <v>42646</v>
      </c>
      <c r="M5262" t="s">
        <v>44868</v>
      </c>
      <c r="N5262" t="s">
        <v>47304</v>
      </c>
      <c r="O5262" t="s">
        <v>47305</v>
      </c>
      <c r="P5262">
        <v>0</v>
      </c>
      <c r="Q5262">
        <v>2</v>
      </c>
      <c r="R5262" t="s">
        <v>47308</v>
      </c>
      <c r="S5262" t="s">
        <v>47429</v>
      </c>
      <c r="T5262" t="s">
        <v>48982</v>
      </c>
      <c r="U5262" t="s">
        <v>53959</v>
      </c>
      <c r="W5262" t="s">
        <v>44868</v>
      </c>
      <c r="X5262" t="s">
        <v>47312</v>
      </c>
    </row>
    <row r="5263" spans="1:24">
      <c r="A5263">
        <f>HYPERLINK("https://www.philgeps.gov.ph/GEPSNONPILOT/Tender/SplashBidNoticeAbstractUI.aspx?menuIndex=3&amp;refID=7191951&amp;Result=3","7191951")</f>
        <v>0</v>
      </c>
      <c r="B5263" t="s">
        <v>1847</v>
      </c>
      <c r="C5263" t="s">
        <v>8806</v>
      </c>
      <c r="D5263" t="s">
        <v>18993</v>
      </c>
      <c r="E5263" t="s">
        <v>23764</v>
      </c>
      <c r="F5263" t="s">
        <v>32606</v>
      </c>
      <c r="G5263" t="s">
        <v>32613</v>
      </c>
      <c r="H5263" t="s">
        <v>14201</v>
      </c>
      <c r="I5263" t="s">
        <v>7577</v>
      </c>
      <c r="J5263" t="s">
        <v>32861</v>
      </c>
      <c r="K5263" t="s">
        <v>42757</v>
      </c>
      <c r="M5263" t="s">
        <v>44901</v>
      </c>
      <c r="N5263" t="s">
        <v>47304</v>
      </c>
      <c r="O5263" t="s">
        <v>47305</v>
      </c>
      <c r="P5263">
        <v>0</v>
      </c>
      <c r="Q5263">
        <v>3</v>
      </c>
      <c r="R5263" t="s">
        <v>47308</v>
      </c>
      <c r="S5263" t="s">
        <v>47429</v>
      </c>
      <c r="T5263" t="s">
        <v>49008</v>
      </c>
      <c r="U5263" t="s">
        <v>53960</v>
      </c>
      <c r="W5263" t="s">
        <v>44901</v>
      </c>
      <c r="X5263" t="s">
        <v>47312</v>
      </c>
    </row>
    <row r="5264" spans="1:24">
      <c r="A5264">
        <f>HYPERLINK("https://www.philgeps.gov.ph/GEPSNONPILOT/Tender/SplashBidNoticeAbstractUI.aspx?menuIndex=3&amp;refID=7191692&amp;Result=3","7191692")</f>
        <v>0</v>
      </c>
      <c r="B5264" t="s">
        <v>684</v>
      </c>
      <c r="C5264" t="s">
        <v>8807</v>
      </c>
      <c r="D5264" t="s">
        <v>19012</v>
      </c>
      <c r="E5264" t="s">
        <v>23765</v>
      </c>
      <c r="F5264" t="s">
        <v>32606</v>
      </c>
      <c r="G5264" t="s">
        <v>32613</v>
      </c>
      <c r="H5264" t="s">
        <v>14201</v>
      </c>
      <c r="I5264" t="s">
        <v>7064</v>
      </c>
      <c r="J5264" t="s">
        <v>36227</v>
      </c>
      <c r="K5264" t="s">
        <v>42636</v>
      </c>
      <c r="L5264" t="s">
        <v>684</v>
      </c>
      <c r="M5264" t="s">
        <v>43605</v>
      </c>
      <c r="N5264" t="s">
        <v>47304</v>
      </c>
      <c r="O5264" t="s">
        <v>47305</v>
      </c>
      <c r="P5264">
        <v>0</v>
      </c>
      <c r="Q5264">
        <v>6</v>
      </c>
      <c r="R5264" t="s">
        <v>47308</v>
      </c>
      <c r="S5264" t="s">
        <v>47429</v>
      </c>
      <c r="T5264" t="s">
        <v>48995</v>
      </c>
      <c r="U5264" t="s">
        <v>53961</v>
      </c>
      <c r="V5264" t="s">
        <v>63129</v>
      </c>
      <c r="W5264" t="s">
        <v>43605</v>
      </c>
      <c r="X5264" t="s">
        <v>47312</v>
      </c>
    </row>
    <row r="5265" spans="1:24">
      <c r="A5265">
        <f>HYPERLINK("https://www.philgeps.gov.ph/GEPSNONPILOT/Tender/SplashBidNoticeAbstractUI.aspx?menuIndex=3&amp;refID=7191939&amp;Result=3","7191939")</f>
        <v>0</v>
      </c>
      <c r="B5265" t="s">
        <v>1838</v>
      </c>
      <c r="C5265" t="s">
        <v>8808</v>
      </c>
      <c r="D5265" t="s">
        <v>19038</v>
      </c>
      <c r="E5265" t="s">
        <v>20525</v>
      </c>
      <c r="F5265" t="s">
        <v>32606</v>
      </c>
      <c r="G5265" t="s">
        <v>32614</v>
      </c>
      <c r="H5265" t="s">
        <v>32624</v>
      </c>
      <c r="I5265" t="s">
        <v>4369</v>
      </c>
      <c r="J5265" t="s">
        <v>36228</v>
      </c>
      <c r="K5265" t="s">
        <v>42674</v>
      </c>
      <c r="M5265" t="s">
        <v>44890</v>
      </c>
      <c r="N5265" t="s">
        <v>47304</v>
      </c>
      <c r="O5265" t="s">
        <v>47305</v>
      </c>
      <c r="P5265">
        <v>0</v>
      </c>
      <c r="Q5265">
        <v>0</v>
      </c>
      <c r="R5265" t="s">
        <v>47308</v>
      </c>
      <c r="S5265" t="s">
        <v>47429</v>
      </c>
      <c r="T5265" t="s">
        <v>49257</v>
      </c>
      <c r="U5265" t="s">
        <v>53962</v>
      </c>
      <c r="W5265" t="s">
        <v>44890</v>
      </c>
      <c r="X5265" t="s">
        <v>47312</v>
      </c>
    </row>
    <row r="5266" spans="1:24">
      <c r="A5266">
        <f>HYPERLINK("https://www.philgeps.gov.ph/GEPSNONPILOT/Tender/SplashBidNoticeAbstractUI.aspx?menuIndex=3&amp;refID=7191947&amp;Result=3","7191947")</f>
        <v>0</v>
      </c>
      <c r="B5266" t="s">
        <v>1393</v>
      </c>
      <c r="C5266" t="s">
        <v>8809</v>
      </c>
      <c r="D5266" t="s">
        <v>18993</v>
      </c>
      <c r="E5266" t="s">
        <v>23766</v>
      </c>
      <c r="F5266" t="s">
        <v>32606</v>
      </c>
      <c r="G5266" t="s">
        <v>32613</v>
      </c>
      <c r="H5266" t="s">
        <v>14201</v>
      </c>
      <c r="I5266" t="s">
        <v>32685</v>
      </c>
      <c r="J5266" t="s">
        <v>33382</v>
      </c>
      <c r="K5266" t="s">
        <v>42623</v>
      </c>
      <c r="M5266" t="s">
        <v>44376</v>
      </c>
      <c r="N5266" t="s">
        <v>47304</v>
      </c>
      <c r="O5266" t="s">
        <v>47305</v>
      </c>
      <c r="P5266">
        <v>0</v>
      </c>
      <c r="Q5266">
        <v>4</v>
      </c>
      <c r="R5266" t="s">
        <v>47308</v>
      </c>
      <c r="S5266" t="s">
        <v>47429</v>
      </c>
      <c r="T5266" t="s">
        <v>49024</v>
      </c>
      <c r="U5266" t="s">
        <v>53963</v>
      </c>
      <c r="W5266" t="s">
        <v>44376</v>
      </c>
      <c r="X5266" t="s">
        <v>47312</v>
      </c>
    </row>
    <row r="5267" spans="1:24">
      <c r="A5267">
        <f>HYPERLINK("https://www.philgeps.gov.ph/GEPSNONPILOT/Tender/SplashBidNoticeAbstractUI.aspx?menuIndex=3&amp;refID=7191927&amp;Result=3","7191927")</f>
        <v>0</v>
      </c>
      <c r="B5267" t="s">
        <v>102</v>
      </c>
      <c r="C5267" t="s">
        <v>8810</v>
      </c>
      <c r="D5267" t="s">
        <v>19006</v>
      </c>
      <c r="E5267" t="s">
        <v>23706</v>
      </c>
      <c r="F5267" t="s">
        <v>32606</v>
      </c>
      <c r="G5267" t="s">
        <v>32615</v>
      </c>
      <c r="H5267" t="s">
        <v>14201</v>
      </c>
      <c r="I5267" t="s">
        <v>4121</v>
      </c>
      <c r="J5267" t="s">
        <v>32833</v>
      </c>
      <c r="K5267" t="s">
        <v>42623</v>
      </c>
      <c r="M5267" t="s">
        <v>43000</v>
      </c>
      <c r="N5267" t="s">
        <v>47304</v>
      </c>
      <c r="O5267" t="s">
        <v>47305</v>
      </c>
      <c r="P5267">
        <v>0</v>
      </c>
      <c r="Q5267">
        <v>6</v>
      </c>
      <c r="R5267" t="s">
        <v>47308</v>
      </c>
      <c r="S5267" t="s">
        <v>47429</v>
      </c>
      <c r="T5267" t="s">
        <v>49313</v>
      </c>
      <c r="U5267" t="s">
        <v>49696</v>
      </c>
      <c r="W5267" t="s">
        <v>43000</v>
      </c>
      <c r="X5267" t="s">
        <v>47312</v>
      </c>
    </row>
    <row r="5268" spans="1:24">
      <c r="A5268">
        <f>HYPERLINK("https://www.philgeps.gov.ph/GEPSNONPILOT/Tender/SplashBidNoticeAbstractUI.aspx?menuIndex=3&amp;refID=7191918&amp;Result=3","7191918")</f>
        <v>0</v>
      </c>
      <c r="B5268" t="s">
        <v>1848</v>
      </c>
      <c r="C5268" t="s">
        <v>8811</v>
      </c>
      <c r="D5268" t="s">
        <v>19006</v>
      </c>
      <c r="E5268" t="s">
        <v>19312</v>
      </c>
      <c r="F5268" t="s">
        <v>32606</v>
      </c>
      <c r="G5268" t="s">
        <v>32619</v>
      </c>
      <c r="H5268" t="s">
        <v>14201</v>
      </c>
      <c r="I5268" t="s">
        <v>4120</v>
      </c>
      <c r="J5268" t="s">
        <v>36229</v>
      </c>
      <c r="K5268" t="s">
        <v>42630</v>
      </c>
      <c r="M5268" t="s">
        <v>44902</v>
      </c>
      <c r="N5268" t="s">
        <v>47304</v>
      </c>
      <c r="O5268" t="s">
        <v>47305</v>
      </c>
      <c r="P5268">
        <v>0</v>
      </c>
      <c r="Q5268">
        <v>3</v>
      </c>
      <c r="R5268" t="s">
        <v>47308</v>
      </c>
      <c r="S5268" t="s">
        <v>47429</v>
      </c>
      <c r="T5268" t="s">
        <v>48975</v>
      </c>
      <c r="U5268" t="s">
        <v>53964</v>
      </c>
      <c r="W5268" t="s">
        <v>44902</v>
      </c>
      <c r="X5268" t="s">
        <v>47312</v>
      </c>
    </row>
    <row r="5269" spans="1:24">
      <c r="A5269">
        <f>HYPERLINK("https://www.philgeps.gov.ph/GEPSNONPILOT/Tender/SplashBidNoticeAbstractUI.aspx?menuIndex=3&amp;refID=7191914&amp;Result=3","7191914")</f>
        <v>0</v>
      </c>
      <c r="B5269" t="s">
        <v>230</v>
      </c>
      <c r="C5269" t="s">
        <v>4123</v>
      </c>
      <c r="D5269" t="s">
        <v>19015</v>
      </c>
      <c r="E5269" t="s">
        <v>23767</v>
      </c>
      <c r="F5269" t="s">
        <v>32606</v>
      </c>
      <c r="G5269" t="s">
        <v>32614</v>
      </c>
      <c r="H5269" t="s">
        <v>14201</v>
      </c>
      <c r="I5269" t="s">
        <v>4678</v>
      </c>
      <c r="J5269" t="s">
        <v>36230</v>
      </c>
      <c r="K5269" t="s">
        <v>42630</v>
      </c>
      <c r="M5269" t="s">
        <v>43131</v>
      </c>
      <c r="N5269" t="s">
        <v>47304</v>
      </c>
      <c r="O5269" t="s">
        <v>47305</v>
      </c>
      <c r="P5269">
        <v>0</v>
      </c>
      <c r="Q5269">
        <v>1</v>
      </c>
      <c r="R5269" t="s">
        <v>47308</v>
      </c>
      <c r="S5269" t="s">
        <v>47429</v>
      </c>
      <c r="T5269" t="s">
        <v>48998</v>
      </c>
      <c r="U5269" t="s">
        <v>53965</v>
      </c>
      <c r="V5269" t="s">
        <v>63133</v>
      </c>
      <c r="W5269" t="s">
        <v>43131</v>
      </c>
      <c r="X5269" t="s">
        <v>47312</v>
      </c>
    </row>
    <row r="5270" spans="1:24">
      <c r="A5270">
        <f>HYPERLINK("https://www.philgeps.gov.ph/GEPSNONPILOT/Tender/SplashBidNoticeAbstractUI.aspx?menuIndex=3&amp;refID=7191903&amp;Result=3","7191903")</f>
        <v>0</v>
      </c>
      <c r="B5270" t="s">
        <v>1849</v>
      </c>
      <c r="C5270" t="s">
        <v>4129</v>
      </c>
      <c r="D5270" t="s">
        <v>19007</v>
      </c>
      <c r="E5270" t="s">
        <v>23768</v>
      </c>
      <c r="F5270" t="s">
        <v>32606</v>
      </c>
      <c r="G5270" t="s">
        <v>32613</v>
      </c>
      <c r="H5270" t="s">
        <v>14201</v>
      </c>
      <c r="I5270" t="s">
        <v>4114</v>
      </c>
      <c r="J5270" t="s">
        <v>33274</v>
      </c>
      <c r="K5270" t="s">
        <v>42637</v>
      </c>
      <c r="M5270" t="s">
        <v>44903</v>
      </c>
      <c r="N5270" t="s">
        <v>47304</v>
      </c>
      <c r="O5270" t="s">
        <v>47305</v>
      </c>
      <c r="P5270">
        <v>0</v>
      </c>
      <c r="Q5270">
        <v>1</v>
      </c>
      <c r="R5270" t="s">
        <v>47308</v>
      </c>
      <c r="S5270" t="s">
        <v>47429</v>
      </c>
      <c r="T5270" t="s">
        <v>49100</v>
      </c>
      <c r="U5270" t="s">
        <v>53966</v>
      </c>
      <c r="W5270" t="s">
        <v>44903</v>
      </c>
      <c r="X5270" t="s">
        <v>47312</v>
      </c>
    </row>
    <row r="5271" spans="1:24">
      <c r="A5271">
        <f>HYPERLINK("https://www.philgeps.gov.ph/GEPSNONPILOT/Tender/SplashBidNoticeAbstractUI.aspx?menuIndex=3&amp;refID=7191641&amp;Result=3","7191641")</f>
        <v>0</v>
      </c>
      <c r="B5271" t="s">
        <v>684</v>
      </c>
      <c r="C5271" t="s">
        <v>8812</v>
      </c>
      <c r="D5271" t="s">
        <v>19012</v>
      </c>
      <c r="E5271" t="s">
        <v>23769</v>
      </c>
      <c r="F5271" t="s">
        <v>32606</v>
      </c>
      <c r="G5271" t="s">
        <v>32613</v>
      </c>
      <c r="H5271" t="s">
        <v>14201</v>
      </c>
      <c r="I5271" t="s">
        <v>32626</v>
      </c>
      <c r="J5271" t="s">
        <v>36231</v>
      </c>
      <c r="K5271" t="s">
        <v>42622</v>
      </c>
      <c r="L5271" t="s">
        <v>684</v>
      </c>
      <c r="M5271" t="s">
        <v>43605</v>
      </c>
      <c r="N5271" t="s">
        <v>47304</v>
      </c>
      <c r="O5271" t="s">
        <v>47305</v>
      </c>
      <c r="P5271">
        <v>0</v>
      </c>
      <c r="Q5271">
        <v>1</v>
      </c>
      <c r="R5271" t="s">
        <v>47308</v>
      </c>
      <c r="S5271" t="s">
        <v>47429</v>
      </c>
      <c r="T5271" t="s">
        <v>49023</v>
      </c>
      <c r="U5271" t="s">
        <v>53967</v>
      </c>
      <c r="V5271" t="s">
        <v>63129</v>
      </c>
      <c r="W5271" t="s">
        <v>43605</v>
      </c>
      <c r="X5271" t="s">
        <v>47312</v>
      </c>
    </row>
    <row r="5272" spans="1:24">
      <c r="A5272">
        <f>HYPERLINK("https://www.philgeps.gov.ph/GEPSNONPILOT/Tender/SplashBidNoticeAbstractUI.aspx?menuIndex=3&amp;refID=7191887&amp;Result=3","7191887")</f>
        <v>0</v>
      </c>
      <c r="B5272" t="s">
        <v>1844</v>
      </c>
      <c r="C5272" t="s">
        <v>8813</v>
      </c>
      <c r="D5272" t="s">
        <v>19011</v>
      </c>
      <c r="E5272" t="s">
        <v>23770</v>
      </c>
      <c r="F5272" t="s">
        <v>32606</v>
      </c>
      <c r="G5272" t="s">
        <v>32613</v>
      </c>
      <c r="H5272" t="s">
        <v>32623</v>
      </c>
      <c r="I5272" t="s">
        <v>17648</v>
      </c>
      <c r="J5272" t="s">
        <v>32770</v>
      </c>
      <c r="K5272" t="s">
        <v>42639</v>
      </c>
      <c r="M5272" t="s">
        <v>44897</v>
      </c>
      <c r="N5272" t="s">
        <v>47304</v>
      </c>
      <c r="O5272" t="s">
        <v>47305</v>
      </c>
      <c r="P5272">
        <v>0</v>
      </c>
      <c r="Q5272">
        <v>1</v>
      </c>
      <c r="R5272" t="s">
        <v>47308</v>
      </c>
      <c r="S5272" t="s">
        <v>47429</v>
      </c>
      <c r="T5272" t="s">
        <v>48986</v>
      </c>
      <c r="U5272" t="s">
        <v>53968</v>
      </c>
      <c r="W5272" t="s">
        <v>44897</v>
      </c>
      <c r="X5272" t="s">
        <v>47312</v>
      </c>
    </row>
    <row r="5273" spans="1:24">
      <c r="A5273">
        <f>HYPERLINK("https://www.philgeps.gov.ph/GEPSNONPILOT/Tender/SplashBidNoticeAbstractUI.aspx?menuIndex=3&amp;refID=7191674&amp;Result=3","7191674")</f>
        <v>0</v>
      </c>
      <c r="B5273" t="s">
        <v>1835</v>
      </c>
      <c r="C5273" t="s">
        <v>5701</v>
      </c>
      <c r="D5273" t="s">
        <v>19010</v>
      </c>
      <c r="E5273" t="s">
        <v>23771</v>
      </c>
      <c r="F5273" t="s">
        <v>32606</v>
      </c>
      <c r="G5273" t="s">
        <v>32614</v>
      </c>
      <c r="H5273" t="s">
        <v>14201</v>
      </c>
      <c r="I5273" t="s">
        <v>6298</v>
      </c>
      <c r="J5273" t="s">
        <v>32981</v>
      </c>
      <c r="K5273" t="s">
        <v>42623</v>
      </c>
      <c r="M5273" t="s">
        <v>44886</v>
      </c>
      <c r="N5273" t="s">
        <v>47304</v>
      </c>
      <c r="O5273" t="s">
        <v>47305</v>
      </c>
      <c r="P5273">
        <v>0</v>
      </c>
      <c r="Q5273">
        <v>1</v>
      </c>
      <c r="R5273" t="s">
        <v>47308</v>
      </c>
      <c r="S5273" t="s">
        <v>47429</v>
      </c>
      <c r="T5273" t="s">
        <v>48998</v>
      </c>
      <c r="U5273" t="s">
        <v>53969</v>
      </c>
      <c r="V5273" t="s">
        <v>63134</v>
      </c>
      <c r="W5273" t="s">
        <v>44886</v>
      </c>
      <c r="X5273" t="s">
        <v>47312</v>
      </c>
    </row>
    <row r="5274" spans="1:24">
      <c r="A5274">
        <f>HYPERLINK("https://www.philgeps.gov.ph/GEPSNONPILOT/Tender/SplashBidNoticeAbstractUI.aspx?menuIndex=3&amp;refID=7191904&amp;Result=3","7191904")</f>
        <v>0</v>
      </c>
      <c r="B5274" t="s">
        <v>760</v>
      </c>
      <c r="C5274" t="s">
        <v>8814</v>
      </c>
      <c r="D5274" t="s">
        <v>19006</v>
      </c>
      <c r="E5274" t="s">
        <v>23772</v>
      </c>
      <c r="F5274" t="s">
        <v>32606</v>
      </c>
      <c r="G5274" t="s">
        <v>32614</v>
      </c>
      <c r="H5274" t="s">
        <v>14201</v>
      </c>
      <c r="I5274" t="s">
        <v>9013</v>
      </c>
      <c r="J5274" t="s">
        <v>32765</v>
      </c>
      <c r="K5274" t="s">
        <v>42630</v>
      </c>
      <c r="M5274" t="s">
        <v>43684</v>
      </c>
      <c r="N5274" t="s">
        <v>47304</v>
      </c>
      <c r="O5274" t="s">
        <v>47305</v>
      </c>
      <c r="P5274">
        <v>0</v>
      </c>
      <c r="Q5274">
        <v>7</v>
      </c>
      <c r="R5274" t="s">
        <v>47308</v>
      </c>
      <c r="S5274" t="s">
        <v>47429</v>
      </c>
      <c r="T5274" t="s">
        <v>49053</v>
      </c>
      <c r="U5274" t="s">
        <v>53970</v>
      </c>
      <c r="W5274" t="s">
        <v>43684</v>
      </c>
      <c r="X5274" t="s">
        <v>47312</v>
      </c>
    </row>
    <row r="5275" spans="1:24">
      <c r="A5275">
        <f>HYPERLINK("https://www.philgeps.gov.ph/GEPSNONPILOT/Tender/SplashBidNoticeAbstractUI.aspx?menuIndex=3&amp;refID=7191890&amp;Result=3","7191890")</f>
        <v>0</v>
      </c>
      <c r="B5275" t="s">
        <v>1389</v>
      </c>
      <c r="C5275" t="s">
        <v>8815</v>
      </c>
      <c r="D5275" t="s">
        <v>18992</v>
      </c>
      <c r="E5275" t="s">
        <v>19462</v>
      </c>
      <c r="F5275" t="s">
        <v>32606</v>
      </c>
      <c r="G5275" t="s">
        <v>32613</v>
      </c>
      <c r="H5275" t="s">
        <v>14201</v>
      </c>
      <c r="I5275" t="s">
        <v>32663</v>
      </c>
      <c r="J5275" t="s">
        <v>36232</v>
      </c>
      <c r="K5275" t="s">
        <v>42631</v>
      </c>
      <c r="M5275" t="s">
        <v>44371</v>
      </c>
      <c r="N5275" t="s">
        <v>47304</v>
      </c>
      <c r="O5275" t="s">
        <v>47305</v>
      </c>
      <c r="P5275">
        <v>0</v>
      </c>
      <c r="Q5275">
        <v>3</v>
      </c>
      <c r="R5275" t="s">
        <v>47308</v>
      </c>
      <c r="S5275" t="s">
        <v>47429</v>
      </c>
      <c r="T5275" t="s">
        <v>49170</v>
      </c>
      <c r="U5275" t="s">
        <v>53971</v>
      </c>
      <c r="W5275" t="s">
        <v>44371</v>
      </c>
      <c r="X5275" t="s">
        <v>47312</v>
      </c>
    </row>
    <row r="5276" spans="1:24">
      <c r="A5276">
        <f>HYPERLINK("https://www.philgeps.gov.ph/GEPSNONPILOT/Tender/SplashBidNoticeAbstractUI.aspx?menuIndex=3&amp;refID=7191888&amp;Result=3","7191888")</f>
        <v>0</v>
      </c>
      <c r="B5276" t="s">
        <v>1838</v>
      </c>
      <c r="C5276" t="s">
        <v>8115</v>
      </c>
      <c r="D5276" t="s">
        <v>19038</v>
      </c>
      <c r="E5276" t="s">
        <v>19370</v>
      </c>
      <c r="F5276" t="s">
        <v>32606</v>
      </c>
      <c r="G5276" t="s">
        <v>32614</v>
      </c>
      <c r="H5276" t="s">
        <v>14201</v>
      </c>
      <c r="I5276" t="s">
        <v>4678</v>
      </c>
      <c r="J5276" t="s">
        <v>34179</v>
      </c>
      <c r="K5276" t="s">
        <v>42674</v>
      </c>
      <c r="M5276" t="s">
        <v>44890</v>
      </c>
      <c r="N5276" t="s">
        <v>47304</v>
      </c>
      <c r="O5276" t="s">
        <v>47305</v>
      </c>
      <c r="P5276">
        <v>0</v>
      </c>
      <c r="Q5276">
        <v>0</v>
      </c>
      <c r="R5276" t="s">
        <v>47308</v>
      </c>
      <c r="S5276" t="s">
        <v>47429</v>
      </c>
      <c r="T5276" t="s">
        <v>49257</v>
      </c>
      <c r="U5276" t="s">
        <v>53972</v>
      </c>
      <c r="W5276" t="s">
        <v>44890</v>
      </c>
      <c r="X5276" t="s">
        <v>47312</v>
      </c>
    </row>
    <row r="5277" spans="1:24">
      <c r="A5277">
        <f>HYPERLINK("https://www.philgeps.gov.ph/GEPSNONPILOT/Tender/SplashBidNoticeAbstractUI.aspx?menuIndex=3&amp;refID=7191880&amp;Result=3","7191880")</f>
        <v>0</v>
      </c>
      <c r="B5277" t="s">
        <v>1841</v>
      </c>
      <c r="C5277" t="s">
        <v>8816</v>
      </c>
      <c r="D5277" t="s">
        <v>19033</v>
      </c>
      <c r="E5277" t="s">
        <v>23773</v>
      </c>
      <c r="F5277" t="s">
        <v>32606</v>
      </c>
      <c r="G5277" t="s">
        <v>32613</v>
      </c>
      <c r="H5277" t="s">
        <v>14201</v>
      </c>
      <c r="I5277" t="s">
        <v>6931</v>
      </c>
      <c r="J5277" t="s">
        <v>36233</v>
      </c>
      <c r="K5277" t="s">
        <v>42624</v>
      </c>
      <c r="M5277" t="s">
        <v>44894</v>
      </c>
      <c r="N5277" t="s">
        <v>47304</v>
      </c>
      <c r="O5277" t="s">
        <v>47305</v>
      </c>
      <c r="P5277">
        <v>0</v>
      </c>
      <c r="Q5277">
        <v>0</v>
      </c>
      <c r="R5277" t="s">
        <v>47308</v>
      </c>
      <c r="S5277" t="s">
        <v>47429</v>
      </c>
      <c r="T5277" t="s">
        <v>49017</v>
      </c>
      <c r="U5277" t="s">
        <v>53973</v>
      </c>
      <c r="W5277" t="s">
        <v>44894</v>
      </c>
      <c r="X5277" t="s">
        <v>47312</v>
      </c>
    </row>
    <row r="5278" spans="1:24">
      <c r="A5278">
        <f>HYPERLINK("https://www.philgeps.gov.ph/GEPSNONPILOT/Tender/SplashBidNoticeAbstractUI.aspx?menuIndex=3&amp;refID=7191815&amp;Result=3","7191815")</f>
        <v>0</v>
      </c>
      <c r="B5278" t="s">
        <v>1850</v>
      </c>
      <c r="C5278" t="s">
        <v>8817</v>
      </c>
      <c r="D5278" t="s">
        <v>18991</v>
      </c>
      <c r="E5278" t="s">
        <v>23774</v>
      </c>
      <c r="F5278" t="s">
        <v>32606</v>
      </c>
      <c r="G5278" t="s">
        <v>32617</v>
      </c>
      <c r="H5278" t="s">
        <v>14201</v>
      </c>
      <c r="I5278" t="s">
        <v>4120</v>
      </c>
      <c r="J5278" t="s">
        <v>36234</v>
      </c>
      <c r="K5278" t="s">
        <v>42622</v>
      </c>
      <c r="M5278" t="s">
        <v>44904</v>
      </c>
      <c r="N5278" t="s">
        <v>47304</v>
      </c>
      <c r="O5278" t="s">
        <v>47305</v>
      </c>
      <c r="P5278">
        <v>0</v>
      </c>
      <c r="Q5278">
        <v>4</v>
      </c>
      <c r="R5278" t="s">
        <v>47308</v>
      </c>
      <c r="S5278" t="s">
        <v>47429</v>
      </c>
      <c r="T5278" t="s">
        <v>48987</v>
      </c>
      <c r="U5278" t="s">
        <v>53974</v>
      </c>
      <c r="W5278" t="s">
        <v>44904</v>
      </c>
      <c r="X5278" t="s">
        <v>47312</v>
      </c>
    </row>
    <row r="5279" spans="1:24">
      <c r="A5279">
        <f>HYPERLINK("https://www.philgeps.gov.ph/GEPSNONPILOT/Tender/SplashBidNoticeAbstractUI.aspx?menuIndex=3&amp;refID=7196898&amp;Result=3","7196898")</f>
        <v>0</v>
      </c>
      <c r="B5279" t="s">
        <v>213</v>
      </c>
      <c r="C5279" t="s">
        <v>8818</v>
      </c>
      <c r="D5279" t="s">
        <v>19027</v>
      </c>
      <c r="E5279" t="s">
        <v>23775</v>
      </c>
      <c r="F5279" t="s">
        <v>32606</v>
      </c>
      <c r="G5279" t="s">
        <v>32614</v>
      </c>
      <c r="H5279" t="s">
        <v>14201</v>
      </c>
      <c r="I5279" t="s">
        <v>32633</v>
      </c>
      <c r="J5279" t="s">
        <v>34780</v>
      </c>
      <c r="K5279" t="s">
        <v>42623</v>
      </c>
      <c r="M5279" t="s">
        <v>43114</v>
      </c>
      <c r="N5279" t="s">
        <v>47304</v>
      </c>
      <c r="O5279" t="s">
        <v>47305</v>
      </c>
      <c r="P5279">
        <v>0</v>
      </c>
      <c r="Q5279">
        <v>2</v>
      </c>
      <c r="R5279" t="s">
        <v>47306</v>
      </c>
      <c r="S5279" t="s">
        <v>47414</v>
      </c>
      <c r="T5279" t="s">
        <v>49062</v>
      </c>
      <c r="U5279" t="s">
        <v>53975</v>
      </c>
      <c r="W5279" t="s">
        <v>43114</v>
      </c>
      <c r="X5279" t="s">
        <v>47308</v>
      </c>
    </row>
    <row r="5280" spans="1:24">
      <c r="A5280">
        <f>HYPERLINK("https://www.philgeps.gov.ph/GEPSNONPILOT/Tender/SplashBidNoticeAbstractUI.aspx?menuIndex=3&amp;refID=7191807&amp;Result=3","7191807")</f>
        <v>0</v>
      </c>
      <c r="B5280" t="s">
        <v>1842</v>
      </c>
      <c r="C5280" t="s">
        <v>8819</v>
      </c>
      <c r="D5280" t="s">
        <v>18993</v>
      </c>
      <c r="E5280" t="s">
        <v>23776</v>
      </c>
      <c r="F5280" t="s">
        <v>32606</v>
      </c>
      <c r="G5280" t="s">
        <v>32614</v>
      </c>
      <c r="H5280" t="s">
        <v>14201</v>
      </c>
      <c r="I5280" t="s">
        <v>32685</v>
      </c>
      <c r="J5280" t="s">
        <v>36235</v>
      </c>
      <c r="K5280" t="s">
        <v>42631</v>
      </c>
      <c r="M5280" t="s">
        <v>44895</v>
      </c>
      <c r="N5280" t="s">
        <v>47304</v>
      </c>
      <c r="O5280" t="s">
        <v>47305</v>
      </c>
      <c r="P5280">
        <v>0</v>
      </c>
      <c r="Q5280">
        <v>3</v>
      </c>
      <c r="R5280" t="s">
        <v>47308</v>
      </c>
      <c r="S5280" t="s">
        <v>47429</v>
      </c>
      <c r="T5280" t="s">
        <v>49047</v>
      </c>
      <c r="U5280" t="s">
        <v>50901</v>
      </c>
      <c r="W5280" t="s">
        <v>44895</v>
      </c>
      <c r="X5280" t="s">
        <v>47312</v>
      </c>
    </row>
    <row r="5281" spans="1:24">
      <c r="A5281">
        <f>HYPERLINK("https://www.philgeps.gov.ph/GEPSNONPILOT/Tender/SplashBidNoticeAbstractUI.aspx?menuIndex=3&amp;refID=7191625&amp;Result=3","7191625")</f>
        <v>0</v>
      </c>
      <c r="B5281" t="s">
        <v>1851</v>
      </c>
      <c r="C5281" t="s">
        <v>8820</v>
      </c>
      <c r="D5281" t="s">
        <v>19006</v>
      </c>
      <c r="E5281" t="s">
        <v>23777</v>
      </c>
      <c r="F5281" t="s">
        <v>32606</v>
      </c>
      <c r="G5281" t="s">
        <v>32614</v>
      </c>
      <c r="H5281" t="s">
        <v>14201</v>
      </c>
      <c r="I5281" t="s">
        <v>32635</v>
      </c>
      <c r="J5281" t="s">
        <v>36236</v>
      </c>
      <c r="K5281" t="s">
        <v>42623</v>
      </c>
      <c r="M5281" t="s">
        <v>44905</v>
      </c>
      <c r="N5281" t="s">
        <v>47304</v>
      </c>
      <c r="O5281" t="s">
        <v>47305</v>
      </c>
      <c r="P5281">
        <v>0</v>
      </c>
      <c r="Q5281">
        <v>0</v>
      </c>
      <c r="R5281" t="s">
        <v>47308</v>
      </c>
      <c r="S5281" t="s">
        <v>47429</v>
      </c>
      <c r="T5281" t="s">
        <v>48998</v>
      </c>
      <c r="U5281" t="s">
        <v>53976</v>
      </c>
      <c r="W5281" t="s">
        <v>44905</v>
      </c>
      <c r="X5281" t="s">
        <v>47312</v>
      </c>
    </row>
    <row r="5282" spans="1:24">
      <c r="A5282">
        <f>HYPERLINK("https://www.philgeps.gov.ph/GEPSNONPILOT/Tender/SplashBidNoticeAbstractUI.aspx?menuIndex=3&amp;refID=7191829&amp;Result=3","7191829")</f>
        <v>0</v>
      </c>
      <c r="B5282" t="s">
        <v>1852</v>
      </c>
      <c r="C5282" t="s">
        <v>8821</v>
      </c>
      <c r="D5282" t="s">
        <v>19013</v>
      </c>
      <c r="E5282" t="s">
        <v>23778</v>
      </c>
      <c r="F5282" t="s">
        <v>32606</v>
      </c>
      <c r="G5282" t="s">
        <v>32614</v>
      </c>
      <c r="H5282" t="s">
        <v>14201</v>
      </c>
      <c r="I5282" t="s">
        <v>6478</v>
      </c>
      <c r="J5282" t="s">
        <v>36237</v>
      </c>
      <c r="K5282" t="s">
        <v>42629</v>
      </c>
      <c r="M5282" t="s">
        <v>44906</v>
      </c>
      <c r="N5282" t="s">
        <v>47304</v>
      </c>
      <c r="O5282" t="s">
        <v>47305</v>
      </c>
      <c r="P5282">
        <v>0</v>
      </c>
      <c r="Q5282">
        <v>0</v>
      </c>
      <c r="R5282" t="s">
        <v>47308</v>
      </c>
      <c r="S5282" t="s">
        <v>47429</v>
      </c>
      <c r="T5282" t="s">
        <v>48998</v>
      </c>
      <c r="U5282" t="s">
        <v>53977</v>
      </c>
      <c r="W5282" t="s">
        <v>44906</v>
      </c>
      <c r="X5282" t="s">
        <v>47312</v>
      </c>
    </row>
    <row r="5283" spans="1:24">
      <c r="A5283">
        <f>HYPERLINK("https://www.philgeps.gov.ph/GEPSNONPILOT/Tender/SplashBidNoticeAbstractUI.aspx?menuIndex=3&amp;refID=7191686&amp;Result=3","7191686")</f>
        <v>0</v>
      </c>
      <c r="B5283" t="s">
        <v>1853</v>
      </c>
      <c r="C5283" t="s">
        <v>8822</v>
      </c>
      <c r="D5283" t="s">
        <v>19010</v>
      </c>
      <c r="E5283" t="s">
        <v>23779</v>
      </c>
      <c r="F5283" t="s">
        <v>32606</v>
      </c>
      <c r="G5283" t="s">
        <v>32613</v>
      </c>
      <c r="H5283" t="s">
        <v>32623</v>
      </c>
      <c r="I5283" t="s">
        <v>17648</v>
      </c>
      <c r="J5283" t="s">
        <v>36238</v>
      </c>
      <c r="K5283" t="s">
        <v>42677</v>
      </c>
      <c r="M5283" t="s">
        <v>44907</v>
      </c>
      <c r="N5283" t="s">
        <v>47304</v>
      </c>
      <c r="O5283" t="s">
        <v>47305</v>
      </c>
      <c r="P5283">
        <v>0</v>
      </c>
      <c r="Q5283">
        <v>0</v>
      </c>
      <c r="R5283" t="s">
        <v>47308</v>
      </c>
      <c r="S5283" t="s">
        <v>47429</v>
      </c>
      <c r="T5283" t="s">
        <v>49018</v>
      </c>
      <c r="U5283" t="s">
        <v>53978</v>
      </c>
      <c r="W5283" t="s">
        <v>44907</v>
      </c>
      <c r="X5283" t="s">
        <v>47312</v>
      </c>
    </row>
    <row r="5284" spans="1:24">
      <c r="A5284">
        <f>HYPERLINK("https://www.philgeps.gov.ph/GEPSNONPILOT/Tender/SplashBidNoticeAbstractUI.aspx?menuIndex=3&amp;refID=7191620&amp;Result=3","7191620")</f>
        <v>0</v>
      </c>
      <c r="B5284" t="s">
        <v>1836</v>
      </c>
      <c r="C5284" t="s">
        <v>8823</v>
      </c>
      <c r="D5284" t="s">
        <v>19013</v>
      </c>
      <c r="E5284" t="s">
        <v>23780</v>
      </c>
      <c r="F5284" t="s">
        <v>32606</v>
      </c>
      <c r="G5284" t="s">
        <v>32613</v>
      </c>
      <c r="H5284" t="s">
        <v>14201</v>
      </c>
      <c r="I5284" t="s">
        <v>6931</v>
      </c>
      <c r="J5284" t="s">
        <v>36239</v>
      </c>
      <c r="K5284" t="s">
        <v>42629</v>
      </c>
      <c r="M5284" t="s">
        <v>44887</v>
      </c>
      <c r="N5284" t="s">
        <v>47304</v>
      </c>
      <c r="O5284" t="s">
        <v>47305</v>
      </c>
      <c r="P5284">
        <v>0</v>
      </c>
      <c r="Q5284">
        <v>0</v>
      </c>
      <c r="R5284" t="s">
        <v>47308</v>
      </c>
      <c r="S5284" t="s">
        <v>47429</v>
      </c>
      <c r="T5284" t="s">
        <v>49087</v>
      </c>
      <c r="U5284" t="s">
        <v>53979</v>
      </c>
      <c r="W5284" t="s">
        <v>44887</v>
      </c>
      <c r="X5284" t="s">
        <v>47312</v>
      </c>
    </row>
    <row r="5285" spans="1:24">
      <c r="A5285">
        <f>HYPERLINK("https://www.philgeps.gov.ph/GEPSNONPILOT/Tender/SplashBidNoticeAbstractUI.aspx?menuIndex=3&amp;refID=7191823&amp;Result=3","7191823")</f>
        <v>0</v>
      </c>
      <c r="B5285" t="s">
        <v>1844</v>
      </c>
      <c r="C5285" t="s">
        <v>8824</v>
      </c>
      <c r="D5285" t="s">
        <v>19011</v>
      </c>
      <c r="E5285" t="s">
        <v>23781</v>
      </c>
      <c r="F5285" t="s">
        <v>32606</v>
      </c>
      <c r="G5285" t="s">
        <v>32613</v>
      </c>
      <c r="H5285" t="s">
        <v>14201</v>
      </c>
      <c r="I5285" t="s">
        <v>32650</v>
      </c>
      <c r="J5285" t="s">
        <v>36240</v>
      </c>
      <c r="K5285" t="s">
        <v>42627</v>
      </c>
      <c r="M5285" t="s">
        <v>44897</v>
      </c>
      <c r="N5285" t="s">
        <v>47304</v>
      </c>
      <c r="O5285" t="s">
        <v>47305</v>
      </c>
      <c r="P5285">
        <v>0</v>
      </c>
      <c r="Q5285">
        <v>1</v>
      </c>
      <c r="R5285" t="s">
        <v>47308</v>
      </c>
      <c r="S5285" t="s">
        <v>47429</v>
      </c>
      <c r="T5285" t="s">
        <v>48973</v>
      </c>
      <c r="U5285" t="s">
        <v>53980</v>
      </c>
      <c r="W5285" t="s">
        <v>44897</v>
      </c>
      <c r="X5285" t="s">
        <v>47312</v>
      </c>
    </row>
    <row r="5286" spans="1:24">
      <c r="A5286">
        <f>HYPERLINK("https://www.philgeps.gov.ph/GEPSNONPILOT/Tender/SplashBidNoticeAbstractUI.aspx?menuIndex=3&amp;refID=7196702&amp;Result=3","7196702")</f>
        <v>0</v>
      </c>
      <c r="B5286" t="s">
        <v>1854</v>
      </c>
      <c r="C5286" t="s">
        <v>8825</v>
      </c>
      <c r="D5286" t="s">
        <v>19034</v>
      </c>
      <c r="E5286" t="s">
        <v>23782</v>
      </c>
      <c r="F5286" t="s">
        <v>32606</v>
      </c>
      <c r="G5286" t="s">
        <v>32614</v>
      </c>
      <c r="H5286" t="s">
        <v>14201</v>
      </c>
      <c r="I5286" t="s">
        <v>6007</v>
      </c>
      <c r="J5286" t="s">
        <v>33034</v>
      </c>
      <c r="K5286" t="s">
        <v>42629</v>
      </c>
      <c r="M5286" t="s">
        <v>44908</v>
      </c>
      <c r="N5286" t="s">
        <v>47304</v>
      </c>
      <c r="O5286" t="s">
        <v>47305</v>
      </c>
      <c r="P5286">
        <v>0</v>
      </c>
      <c r="Q5286">
        <v>1</v>
      </c>
      <c r="R5286" t="s">
        <v>47306</v>
      </c>
      <c r="S5286" t="s">
        <v>47414</v>
      </c>
      <c r="T5286" t="s">
        <v>48986</v>
      </c>
      <c r="U5286" t="s">
        <v>53981</v>
      </c>
      <c r="W5286" t="s">
        <v>44908</v>
      </c>
      <c r="X5286" t="s">
        <v>47308</v>
      </c>
    </row>
    <row r="5287" spans="1:24">
      <c r="A5287">
        <f>HYPERLINK("https://www.philgeps.gov.ph/GEPSNONPILOT/Tender/SplashBidNoticeAbstractUI.aspx?menuIndex=3&amp;refID=7196700&amp;Result=3","7196700")</f>
        <v>0</v>
      </c>
      <c r="B5287" t="s">
        <v>974</v>
      </c>
      <c r="C5287" t="s">
        <v>8826</v>
      </c>
      <c r="D5287" t="s">
        <v>19037</v>
      </c>
      <c r="E5287" t="s">
        <v>23783</v>
      </c>
      <c r="F5287" t="s">
        <v>32606</v>
      </c>
      <c r="G5287" t="s">
        <v>32619</v>
      </c>
      <c r="H5287" t="s">
        <v>14201</v>
      </c>
      <c r="I5287" t="s">
        <v>32638</v>
      </c>
      <c r="J5287" t="s">
        <v>36241</v>
      </c>
      <c r="K5287" t="s">
        <v>42630</v>
      </c>
      <c r="M5287" t="s">
        <v>43920</v>
      </c>
      <c r="N5287" t="s">
        <v>47304</v>
      </c>
      <c r="O5287" t="s">
        <v>47305</v>
      </c>
      <c r="P5287">
        <v>0</v>
      </c>
      <c r="Q5287">
        <v>7</v>
      </c>
      <c r="R5287" t="s">
        <v>47306</v>
      </c>
      <c r="S5287" t="s">
        <v>47414</v>
      </c>
      <c r="T5287" t="s">
        <v>48986</v>
      </c>
      <c r="U5287" t="s">
        <v>53982</v>
      </c>
      <c r="W5287" t="s">
        <v>43920</v>
      </c>
      <c r="X5287" t="s">
        <v>47308</v>
      </c>
    </row>
    <row r="5288" spans="1:24">
      <c r="A5288">
        <f>HYPERLINK("https://www.philgeps.gov.ph/GEPSNONPILOT/Tender/SplashBidNoticeAbstractUI.aspx?menuIndex=3&amp;refID=7191811&amp;Result=3","7191811")</f>
        <v>0</v>
      </c>
      <c r="B5288" t="s">
        <v>1389</v>
      </c>
      <c r="C5288" t="s">
        <v>8827</v>
      </c>
      <c r="D5288" t="s">
        <v>18992</v>
      </c>
      <c r="E5288" t="s">
        <v>19462</v>
      </c>
      <c r="F5288" t="s">
        <v>32606</v>
      </c>
      <c r="G5288" t="s">
        <v>32613</v>
      </c>
      <c r="H5288" t="s">
        <v>32623</v>
      </c>
      <c r="I5288" t="s">
        <v>17648</v>
      </c>
      <c r="J5288" t="s">
        <v>33791</v>
      </c>
      <c r="K5288" t="s">
        <v>42631</v>
      </c>
      <c r="M5288" t="s">
        <v>44371</v>
      </c>
      <c r="N5288" t="s">
        <v>47304</v>
      </c>
      <c r="O5288" t="s">
        <v>47305</v>
      </c>
      <c r="P5288">
        <v>0</v>
      </c>
      <c r="Q5288">
        <v>0</v>
      </c>
      <c r="R5288" t="s">
        <v>47308</v>
      </c>
      <c r="S5288" t="s">
        <v>47429</v>
      </c>
      <c r="T5288" t="s">
        <v>49170</v>
      </c>
      <c r="U5288" t="s">
        <v>53983</v>
      </c>
      <c r="W5288" t="s">
        <v>44371</v>
      </c>
      <c r="X5288" t="s">
        <v>47312</v>
      </c>
    </row>
    <row r="5289" spans="1:24">
      <c r="A5289">
        <f>HYPERLINK("https://www.philgeps.gov.ph/GEPSNONPILOT/Tender/SplashBidNoticeAbstractUI.aspx?menuIndex=3&amp;refID=7196697&amp;Result=3","7196697")</f>
        <v>0</v>
      </c>
      <c r="B5289" t="s">
        <v>1620</v>
      </c>
      <c r="C5289" t="s">
        <v>7664</v>
      </c>
      <c r="D5289" t="s">
        <v>19018</v>
      </c>
      <c r="E5289" t="s">
        <v>19312</v>
      </c>
      <c r="F5289" t="s">
        <v>32606</v>
      </c>
      <c r="G5289" t="s">
        <v>32614</v>
      </c>
      <c r="H5289" t="s">
        <v>14201</v>
      </c>
      <c r="I5289" t="s">
        <v>32640</v>
      </c>
      <c r="J5289" t="s">
        <v>33526</v>
      </c>
      <c r="K5289" t="s">
        <v>42624</v>
      </c>
      <c r="M5289" t="s">
        <v>44640</v>
      </c>
      <c r="N5289" t="s">
        <v>47304</v>
      </c>
      <c r="O5289" t="s">
        <v>47305</v>
      </c>
      <c r="P5289">
        <v>0</v>
      </c>
      <c r="Q5289">
        <v>1</v>
      </c>
      <c r="R5289" t="s">
        <v>47306</v>
      </c>
      <c r="S5289" t="s">
        <v>47414</v>
      </c>
      <c r="T5289" t="s">
        <v>49014</v>
      </c>
      <c r="U5289" t="s">
        <v>52592</v>
      </c>
      <c r="W5289" t="s">
        <v>44640</v>
      </c>
      <c r="X5289" t="s">
        <v>47308</v>
      </c>
    </row>
    <row r="5290" spans="1:24">
      <c r="A5290">
        <f>HYPERLINK("https://www.philgeps.gov.ph/GEPSNONPILOT/Tender/SplashBidNoticeAbstractUI.aspx?menuIndex=3&amp;refID=7192130&amp;Result=3","7192130")</f>
        <v>0</v>
      </c>
      <c r="B5290" t="s">
        <v>1837</v>
      </c>
      <c r="C5290" t="s">
        <v>8828</v>
      </c>
      <c r="D5290" t="s">
        <v>19035</v>
      </c>
      <c r="E5290" t="s">
        <v>20525</v>
      </c>
      <c r="F5290" t="s">
        <v>32606</v>
      </c>
      <c r="G5290" t="s">
        <v>32613</v>
      </c>
      <c r="H5290" t="s">
        <v>14201</v>
      </c>
      <c r="I5290" t="s">
        <v>6298</v>
      </c>
      <c r="J5290" t="s">
        <v>32828</v>
      </c>
      <c r="K5290" t="s">
        <v>42623</v>
      </c>
      <c r="M5290" t="s">
        <v>44888</v>
      </c>
      <c r="N5290" t="s">
        <v>47304</v>
      </c>
      <c r="O5290" t="s">
        <v>47305</v>
      </c>
      <c r="P5290">
        <v>0</v>
      </c>
      <c r="Q5290">
        <v>3</v>
      </c>
      <c r="R5290" t="s">
        <v>47308</v>
      </c>
      <c r="S5290" t="s">
        <v>47429</v>
      </c>
      <c r="T5290" t="s">
        <v>48986</v>
      </c>
      <c r="U5290" t="s">
        <v>53921</v>
      </c>
      <c r="W5290" t="s">
        <v>44888</v>
      </c>
      <c r="X5290" t="s">
        <v>47312</v>
      </c>
    </row>
    <row r="5291" spans="1:24">
      <c r="A5291">
        <f>HYPERLINK("https://www.philgeps.gov.ph/GEPSNONPILOT/Tender/SplashBidNoticeAbstractUI.aspx?menuIndex=3&amp;refID=7191834&amp;Result=3","7191834")</f>
        <v>0</v>
      </c>
      <c r="B5291" t="s">
        <v>1437</v>
      </c>
      <c r="C5291" t="s">
        <v>8829</v>
      </c>
      <c r="D5291" t="s">
        <v>18993</v>
      </c>
      <c r="E5291" t="s">
        <v>23784</v>
      </c>
      <c r="F5291" t="s">
        <v>32606</v>
      </c>
      <c r="G5291" t="s">
        <v>32614</v>
      </c>
      <c r="H5291" t="s">
        <v>14201</v>
      </c>
      <c r="I5291" t="s">
        <v>32690</v>
      </c>
      <c r="J5291" t="s">
        <v>36242</v>
      </c>
      <c r="K5291" t="s">
        <v>42624</v>
      </c>
      <c r="M5291" t="s">
        <v>44909</v>
      </c>
      <c r="N5291" t="s">
        <v>47304</v>
      </c>
      <c r="O5291" t="s">
        <v>47305</v>
      </c>
      <c r="P5291">
        <v>0</v>
      </c>
      <c r="Q5291">
        <v>1</v>
      </c>
      <c r="R5291" t="s">
        <v>47308</v>
      </c>
      <c r="S5291" t="s">
        <v>47429</v>
      </c>
      <c r="T5291" t="s">
        <v>49165</v>
      </c>
      <c r="U5291" t="s">
        <v>53984</v>
      </c>
      <c r="W5291" t="s">
        <v>44909</v>
      </c>
      <c r="X5291" t="s">
        <v>47312</v>
      </c>
    </row>
    <row r="5292" spans="1:24">
      <c r="A5292">
        <f>HYPERLINK("https://www.philgeps.gov.ph/GEPSNONPILOT/Tender/SplashBidNoticeAbstractUI.aspx?menuIndex=3&amp;refID=7192127&amp;Result=3","7192127")</f>
        <v>0</v>
      </c>
      <c r="B5292" t="s">
        <v>567</v>
      </c>
      <c r="C5292" t="s">
        <v>8830</v>
      </c>
      <c r="E5292" t="s">
        <v>23785</v>
      </c>
      <c r="F5292" t="s">
        <v>32606</v>
      </c>
      <c r="G5292" t="s">
        <v>32619</v>
      </c>
      <c r="H5292" t="s">
        <v>14201</v>
      </c>
      <c r="I5292" t="s">
        <v>32633</v>
      </c>
      <c r="J5292" t="s">
        <v>32981</v>
      </c>
      <c r="K5292" t="s">
        <v>42624</v>
      </c>
      <c r="M5292" t="s">
        <v>43482</v>
      </c>
      <c r="N5292" t="s">
        <v>47304</v>
      </c>
      <c r="O5292" t="s">
        <v>47305</v>
      </c>
      <c r="P5292">
        <v>0</v>
      </c>
      <c r="Q5292">
        <v>5</v>
      </c>
      <c r="R5292" t="s">
        <v>47308</v>
      </c>
      <c r="S5292" t="s">
        <v>47429</v>
      </c>
      <c r="T5292" t="s">
        <v>49269</v>
      </c>
      <c r="U5292" t="s">
        <v>53985</v>
      </c>
      <c r="W5292" t="s">
        <v>43482</v>
      </c>
      <c r="X5292" t="s">
        <v>47312</v>
      </c>
    </row>
    <row r="5293" spans="1:24">
      <c r="A5293">
        <f>HYPERLINK("https://www.philgeps.gov.ph/GEPSNONPILOT/Tender/SplashBidNoticeAbstractUI.aspx?menuIndex=3&amp;refID=7191639&amp;Result=3","7191639")</f>
        <v>0</v>
      </c>
      <c r="B5293" t="s">
        <v>1841</v>
      </c>
      <c r="C5293" t="s">
        <v>8831</v>
      </c>
      <c r="D5293" t="s">
        <v>19033</v>
      </c>
      <c r="E5293" t="s">
        <v>23786</v>
      </c>
      <c r="F5293" t="s">
        <v>32606</v>
      </c>
      <c r="G5293" t="s">
        <v>32613</v>
      </c>
      <c r="H5293" t="s">
        <v>14201</v>
      </c>
      <c r="I5293" t="s">
        <v>4678</v>
      </c>
      <c r="J5293" t="s">
        <v>34188</v>
      </c>
      <c r="K5293" t="s">
        <v>42623</v>
      </c>
      <c r="M5293" t="s">
        <v>44894</v>
      </c>
      <c r="N5293" t="s">
        <v>47304</v>
      </c>
      <c r="O5293" t="s">
        <v>47305</v>
      </c>
      <c r="P5293">
        <v>0</v>
      </c>
      <c r="Q5293">
        <v>1</v>
      </c>
      <c r="R5293" t="s">
        <v>47308</v>
      </c>
      <c r="S5293" t="s">
        <v>47429</v>
      </c>
      <c r="T5293" t="s">
        <v>49017</v>
      </c>
      <c r="U5293" t="s">
        <v>53986</v>
      </c>
      <c r="W5293" t="s">
        <v>44894</v>
      </c>
      <c r="X5293" t="s">
        <v>47312</v>
      </c>
    </row>
    <row r="5294" spans="1:24">
      <c r="A5294">
        <f>HYPERLINK("https://www.philgeps.gov.ph/GEPSNONPILOT/Tender/SplashBidNoticeAbstractUI.aspx?menuIndex=3&amp;refID=7192111&amp;Result=3","7192111")</f>
        <v>0</v>
      </c>
      <c r="B5294" t="s">
        <v>276</v>
      </c>
      <c r="C5294" t="s">
        <v>8832</v>
      </c>
      <c r="D5294" t="s">
        <v>19001</v>
      </c>
      <c r="E5294" t="s">
        <v>23787</v>
      </c>
      <c r="F5294" t="s">
        <v>32606</v>
      </c>
      <c r="G5294" t="s">
        <v>32613</v>
      </c>
      <c r="H5294" t="s">
        <v>14201</v>
      </c>
      <c r="I5294" t="s">
        <v>7064</v>
      </c>
      <c r="J5294" t="s">
        <v>35853</v>
      </c>
      <c r="K5294" t="s">
        <v>42623</v>
      </c>
      <c r="M5294" t="s">
        <v>43964</v>
      </c>
      <c r="N5294" t="s">
        <v>47304</v>
      </c>
      <c r="O5294" t="s">
        <v>47305</v>
      </c>
      <c r="P5294">
        <v>0</v>
      </c>
      <c r="Q5294">
        <v>3</v>
      </c>
      <c r="R5294" t="s">
        <v>47308</v>
      </c>
      <c r="S5294" t="s">
        <v>47429</v>
      </c>
      <c r="T5294" t="s">
        <v>48990</v>
      </c>
      <c r="U5294" t="s">
        <v>53987</v>
      </c>
      <c r="W5294" t="s">
        <v>43964</v>
      </c>
      <c r="X5294" t="s">
        <v>47312</v>
      </c>
    </row>
    <row r="5295" spans="1:24">
      <c r="A5295">
        <f>HYPERLINK("https://www.philgeps.gov.ph/GEPSNONPILOT/Tender/SplashBidNoticeAbstractUI.aspx?menuIndex=3&amp;refID=7192103&amp;Result=3","7192103")</f>
        <v>0</v>
      </c>
      <c r="B5295" t="s">
        <v>1855</v>
      </c>
      <c r="C5295" t="s">
        <v>8833</v>
      </c>
      <c r="D5295" t="s">
        <v>19044</v>
      </c>
      <c r="E5295" t="s">
        <v>23788</v>
      </c>
      <c r="F5295" t="s">
        <v>32606</v>
      </c>
      <c r="G5295" t="s">
        <v>32615</v>
      </c>
      <c r="H5295" t="s">
        <v>14201</v>
      </c>
      <c r="I5295" t="s">
        <v>13131</v>
      </c>
      <c r="J5295" t="s">
        <v>36243</v>
      </c>
      <c r="K5295" t="s">
        <v>42631</v>
      </c>
      <c r="M5295" t="s">
        <v>44910</v>
      </c>
      <c r="N5295" t="s">
        <v>47304</v>
      </c>
      <c r="O5295" t="s">
        <v>47305</v>
      </c>
      <c r="P5295">
        <v>0</v>
      </c>
      <c r="Q5295">
        <v>3</v>
      </c>
      <c r="R5295" t="s">
        <v>47308</v>
      </c>
      <c r="S5295" t="s">
        <v>47429</v>
      </c>
      <c r="T5295" t="s">
        <v>49107</v>
      </c>
      <c r="U5295" t="s">
        <v>53988</v>
      </c>
      <c r="W5295" t="s">
        <v>64483</v>
      </c>
      <c r="X5295" t="s">
        <v>47312</v>
      </c>
    </row>
    <row r="5296" spans="1:24">
      <c r="A5296">
        <f>HYPERLINK("https://www.philgeps.gov.ph/GEPSNONPILOT/Tender/SplashBidNoticeAbstractUI.aspx?menuIndex=3&amp;refID=7192065&amp;Result=3","7192065")</f>
        <v>0</v>
      </c>
      <c r="B5296" t="s">
        <v>1662</v>
      </c>
      <c r="C5296" t="s">
        <v>8834</v>
      </c>
      <c r="D5296" t="s">
        <v>19063</v>
      </c>
      <c r="E5296" t="s">
        <v>20036</v>
      </c>
      <c r="F5296" t="s">
        <v>32606</v>
      </c>
      <c r="G5296" t="s">
        <v>32613</v>
      </c>
      <c r="H5296" t="s">
        <v>32623</v>
      </c>
      <c r="I5296" t="s">
        <v>17648</v>
      </c>
      <c r="J5296" t="s">
        <v>32981</v>
      </c>
      <c r="K5296" t="s">
        <v>42622</v>
      </c>
      <c r="M5296" t="s">
        <v>44688</v>
      </c>
      <c r="N5296" t="s">
        <v>47304</v>
      </c>
      <c r="O5296" t="s">
        <v>47305</v>
      </c>
      <c r="P5296">
        <v>0</v>
      </c>
      <c r="Q5296">
        <v>0</v>
      </c>
      <c r="R5296" t="s">
        <v>47308</v>
      </c>
      <c r="S5296" t="s">
        <v>47429</v>
      </c>
      <c r="T5296" t="s">
        <v>48971</v>
      </c>
      <c r="U5296" t="s">
        <v>53989</v>
      </c>
      <c r="W5296" t="s">
        <v>44688</v>
      </c>
      <c r="X5296" t="s">
        <v>47312</v>
      </c>
    </row>
    <row r="5297" spans="1:24">
      <c r="A5297">
        <f>HYPERLINK("https://www.philgeps.gov.ph/GEPSNONPILOT/Tender/SplashBidNoticeAbstractUI.aspx?menuIndex=3&amp;refID=7191858&amp;Result=3","7191858")</f>
        <v>0</v>
      </c>
      <c r="B5297" t="s">
        <v>1856</v>
      </c>
      <c r="C5297" t="s">
        <v>8835</v>
      </c>
      <c r="D5297" t="s">
        <v>19003</v>
      </c>
      <c r="E5297" t="s">
        <v>23789</v>
      </c>
      <c r="F5297" t="s">
        <v>32606</v>
      </c>
      <c r="G5297" t="s">
        <v>32617</v>
      </c>
      <c r="H5297" t="s">
        <v>14201</v>
      </c>
      <c r="I5297" t="s">
        <v>4120</v>
      </c>
      <c r="J5297" t="s">
        <v>36244</v>
      </c>
      <c r="K5297" t="s">
        <v>42629</v>
      </c>
      <c r="M5297" t="s">
        <v>44911</v>
      </c>
      <c r="N5297" t="s">
        <v>47304</v>
      </c>
      <c r="O5297" t="s">
        <v>47305</v>
      </c>
      <c r="P5297">
        <v>0</v>
      </c>
      <c r="Q5297">
        <v>1</v>
      </c>
      <c r="R5297" t="s">
        <v>47308</v>
      </c>
      <c r="S5297" t="s">
        <v>47429</v>
      </c>
      <c r="T5297" t="s">
        <v>48972</v>
      </c>
      <c r="U5297" t="s">
        <v>53990</v>
      </c>
      <c r="W5297" t="s">
        <v>44911</v>
      </c>
      <c r="X5297" t="s">
        <v>47312</v>
      </c>
    </row>
    <row r="5298" spans="1:24">
      <c r="A5298">
        <f>HYPERLINK("https://www.philgeps.gov.ph/GEPSNONPILOT/Tender/SplashBidNoticeAbstractUI.aspx?menuIndex=3&amp;refID=7192043&amp;Result=3","7192043")</f>
        <v>0</v>
      </c>
      <c r="B5298" t="s">
        <v>909</v>
      </c>
      <c r="C5298" t="s">
        <v>8836</v>
      </c>
      <c r="E5298" t="s">
        <v>23790</v>
      </c>
      <c r="F5298" t="s">
        <v>32606</v>
      </c>
      <c r="G5298" t="s">
        <v>32619</v>
      </c>
      <c r="H5298" t="s">
        <v>14201</v>
      </c>
      <c r="I5298" t="s">
        <v>32635</v>
      </c>
      <c r="J5298" t="s">
        <v>33151</v>
      </c>
      <c r="K5298" t="s">
        <v>42624</v>
      </c>
      <c r="M5298" t="s">
        <v>44912</v>
      </c>
      <c r="N5298" t="s">
        <v>47304</v>
      </c>
      <c r="O5298" t="s">
        <v>47305</v>
      </c>
      <c r="P5298">
        <v>0</v>
      </c>
      <c r="Q5298">
        <v>1</v>
      </c>
      <c r="R5298" t="s">
        <v>47308</v>
      </c>
      <c r="S5298" t="s">
        <v>47429</v>
      </c>
      <c r="T5298" t="s">
        <v>49053</v>
      </c>
      <c r="U5298" t="s">
        <v>53991</v>
      </c>
      <c r="V5298" t="s">
        <v>62880</v>
      </c>
      <c r="W5298" t="s">
        <v>44912</v>
      </c>
      <c r="X5298" t="s">
        <v>47312</v>
      </c>
    </row>
    <row r="5299" spans="1:24">
      <c r="A5299">
        <f>HYPERLINK("https://www.philgeps.gov.ph/GEPSNONPILOT/Tender/SplashBidNoticeAbstractUI.aspx?menuIndex=3&amp;refID=7192033&amp;Result=3","7192033")</f>
        <v>0</v>
      </c>
      <c r="B5299" t="s">
        <v>1835</v>
      </c>
      <c r="C5299" t="s">
        <v>5701</v>
      </c>
      <c r="D5299" t="s">
        <v>19028</v>
      </c>
      <c r="E5299" t="s">
        <v>23791</v>
      </c>
      <c r="F5299" t="s">
        <v>32606</v>
      </c>
      <c r="G5299" t="s">
        <v>32614</v>
      </c>
      <c r="H5299" t="s">
        <v>14201</v>
      </c>
      <c r="I5299" t="s">
        <v>6298</v>
      </c>
      <c r="J5299" t="s">
        <v>36245</v>
      </c>
      <c r="K5299" t="s">
        <v>42623</v>
      </c>
      <c r="M5299" t="s">
        <v>44886</v>
      </c>
      <c r="N5299" t="s">
        <v>47304</v>
      </c>
      <c r="O5299" t="s">
        <v>47305</v>
      </c>
      <c r="P5299">
        <v>0</v>
      </c>
      <c r="Q5299">
        <v>0</v>
      </c>
      <c r="R5299" t="s">
        <v>47308</v>
      </c>
      <c r="S5299" t="s">
        <v>47429</v>
      </c>
      <c r="T5299" t="s">
        <v>49314</v>
      </c>
      <c r="U5299" t="s">
        <v>53992</v>
      </c>
      <c r="V5299" t="s">
        <v>63135</v>
      </c>
      <c r="W5299" t="s">
        <v>44886</v>
      </c>
      <c r="X5299" t="s">
        <v>47312</v>
      </c>
    </row>
    <row r="5300" spans="1:24">
      <c r="A5300">
        <f>HYPERLINK("https://www.philgeps.gov.ph/GEPSNONPILOT/Tender/SplashBidNoticeAbstractUI.aspx?menuIndex=3&amp;refID=7192125&amp;Result=3","7192125")</f>
        <v>0</v>
      </c>
      <c r="B5300" t="s">
        <v>1855</v>
      </c>
      <c r="C5300" t="s">
        <v>8837</v>
      </c>
      <c r="D5300" t="s">
        <v>19044</v>
      </c>
      <c r="E5300" t="s">
        <v>23792</v>
      </c>
      <c r="F5300" t="s">
        <v>32606</v>
      </c>
      <c r="G5300" t="s">
        <v>32613</v>
      </c>
      <c r="H5300" t="s">
        <v>14201</v>
      </c>
      <c r="I5300" t="s">
        <v>7064</v>
      </c>
      <c r="J5300" t="s">
        <v>36246</v>
      </c>
      <c r="K5300" t="s">
        <v>42631</v>
      </c>
      <c r="M5300" t="s">
        <v>44910</v>
      </c>
      <c r="N5300" t="s">
        <v>47304</v>
      </c>
      <c r="O5300" t="s">
        <v>47305</v>
      </c>
      <c r="P5300">
        <v>0</v>
      </c>
      <c r="Q5300">
        <v>3</v>
      </c>
      <c r="R5300" t="s">
        <v>47308</v>
      </c>
      <c r="S5300" t="s">
        <v>47429</v>
      </c>
      <c r="T5300" t="s">
        <v>49172</v>
      </c>
      <c r="U5300" t="s">
        <v>53993</v>
      </c>
      <c r="W5300" t="s">
        <v>64483</v>
      </c>
      <c r="X5300" t="s">
        <v>47312</v>
      </c>
    </row>
    <row r="5301" spans="1:24">
      <c r="A5301">
        <f>HYPERLINK("https://www.philgeps.gov.ph/GEPSNONPILOT/Tender/SplashBidNoticeAbstractUI.aspx?menuIndex=3&amp;refID=7192105&amp;Result=3","7192105")</f>
        <v>0</v>
      </c>
      <c r="B5301" t="s">
        <v>1435</v>
      </c>
      <c r="C5301" t="s">
        <v>8838</v>
      </c>
      <c r="D5301" t="s">
        <v>19025</v>
      </c>
      <c r="E5301" t="s">
        <v>23793</v>
      </c>
      <c r="F5301" t="s">
        <v>32606</v>
      </c>
      <c r="G5301" t="s">
        <v>32613</v>
      </c>
      <c r="H5301" t="s">
        <v>14201</v>
      </c>
      <c r="I5301" t="s">
        <v>32670</v>
      </c>
      <c r="J5301" t="s">
        <v>36247</v>
      </c>
      <c r="K5301" t="s">
        <v>42624</v>
      </c>
      <c r="M5301" t="s">
        <v>44913</v>
      </c>
      <c r="N5301" t="s">
        <v>47304</v>
      </c>
      <c r="O5301" t="s">
        <v>47305</v>
      </c>
      <c r="P5301">
        <v>0</v>
      </c>
      <c r="Q5301">
        <v>1</v>
      </c>
      <c r="R5301" t="s">
        <v>47308</v>
      </c>
      <c r="S5301" t="s">
        <v>47429</v>
      </c>
      <c r="T5301" t="s">
        <v>48987</v>
      </c>
      <c r="U5301" t="s">
        <v>53994</v>
      </c>
      <c r="W5301" t="s">
        <v>44913</v>
      </c>
      <c r="X5301" t="s">
        <v>47312</v>
      </c>
    </row>
    <row r="5302" spans="1:24">
      <c r="A5302">
        <f>HYPERLINK("https://www.philgeps.gov.ph/GEPSNONPILOT/Tender/SplashBidNoticeAbstractUI.aspx?menuIndex=3&amp;refID=7192001&amp;Result=3","7192001")</f>
        <v>0</v>
      </c>
      <c r="B5302" t="s">
        <v>1435</v>
      </c>
      <c r="C5302" t="s">
        <v>8839</v>
      </c>
      <c r="D5302" t="s">
        <v>19025</v>
      </c>
      <c r="E5302" t="s">
        <v>23794</v>
      </c>
      <c r="F5302" t="s">
        <v>32606</v>
      </c>
      <c r="G5302" t="s">
        <v>32613</v>
      </c>
      <c r="H5302" t="s">
        <v>14201</v>
      </c>
      <c r="I5302" t="s">
        <v>32693</v>
      </c>
      <c r="J5302" t="s">
        <v>36248</v>
      </c>
      <c r="K5302" t="s">
        <v>42624</v>
      </c>
      <c r="M5302" t="s">
        <v>44913</v>
      </c>
      <c r="N5302" t="s">
        <v>47304</v>
      </c>
      <c r="O5302" t="s">
        <v>47305</v>
      </c>
      <c r="P5302">
        <v>0</v>
      </c>
      <c r="Q5302">
        <v>1</v>
      </c>
      <c r="R5302" t="s">
        <v>47308</v>
      </c>
      <c r="S5302" t="s">
        <v>47429</v>
      </c>
      <c r="T5302" t="s">
        <v>48987</v>
      </c>
      <c r="U5302" t="s">
        <v>53995</v>
      </c>
      <c r="W5302" t="s">
        <v>44913</v>
      </c>
      <c r="X5302" t="s">
        <v>47312</v>
      </c>
    </row>
    <row r="5303" spans="1:24">
      <c r="A5303">
        <f>HYPERLINK("https://www.philgeps.gov.ph/GEPSNONPILOT/Tender/SplashBidNoticeAbstractUI.aspx?menuIndex=3&amp;refID=7192087&amp;Result=3","7192087")</f>
        <v>0</v>
      </c>
      <c r="B5303" t="s">
        <v>1014</v>
      </c>
      <c r="C5303" t="s">
        <v>8840</v>
      </c>
      <c r="D5303" t="s">
        <v>18995</v>
      </c>
      <c r="E5303" t="s">
        <v>23795</v>
      </c>
      <c r="F5303" t="s">
        <v>32606</v>
      </c>
      <c r="G5303" t="s">
        <v>32614</v>
      </c>
      <c r="H5303" t="s">
        <v>14201</v>
      </c>
      <c r="I5303" t="s">
        <v>4112</v>
      </c>
      <c r="J5303" t="s">
        <v>33771</v>
      </c>
      <c r="K5303" t="s">
        <v>42646</v>
      </c>
      <c r="M5303" t="s">
        <v>44868</v>
      </c>
      <c r="N5303" t="s">
        <v>47304</v>
      </c>
      <c r="O5303" t="s">
        <v>47305</v>
      </c>
      <c r="P5303">
        <v>0</v>
      </c>
      <c r="Q5303">
        <v>2</v>
      </c>
      <c r="R5303" t="s">
        <v>47308</v>
      </c>
      <c r="S5303" t="s">
        <v>47429</v>
      </c>
      <c r="T5303" t="s">
        <v>48982</v>
      </c>
      <c r="U5303" t="s">
        <v>53996</v>
      </c>
      <c r="W5303" t="s">
        <v>44868</v>
      </c>
      <c r="X5303" t="s">
        <v>47312</v>
      </c>
    </row>
    <row r="5304" spans="1:24">
      <c r="A5304">
        <f>HYPERLINK("https://www.philgeps.gov.ph/GEPSNONPILOT/Tender/SplashBidNoticeAbstractUI.aspx?menuIndex=3&amp;refID=7192059&amp;Result=3","7192059")</f>
        <v>0</v>
      </c>
      <c r="B5304" t="s">
        <v>1855</v>
      </c>
      <c r="C5304" t="s">
        <v>8841</v>
      </c>
      <c r="D5304" t="s">
        <v>19044</v>
      </c>
      <c r="E5304" t="s">
        <v>23796</v>
      </c>
      <c r="F5304" t="s">
        <v>32606</v>
      </c>
      <c r="G5304" t="s">
        <v>32613</v>
      </c>
      <c r="H5304" t="s">
        <v>14201</v>
      </c>
      <c r="I5304" t="s">
        <v>6931</v>
      </c>
      <c r="J5304" t="s">
        <v>36249</v>
      </c>
      <c r="K5304" t="s">
        <v>42764</v>
      </c>
      <c r="M5304" t="s">
        <v>44910</v>
      </c>
      <c r="N5304" t="s">
        <v>47304</v>
      </c>
      <c r="O5304" t="s">
        <v>47305</v>
      </c>
      <c r="P5304">
        <v>0</v>
      </c>
      <c r="Q5304">
        <v>0</v>
      </c>
      <c r="R5304" t="s">
        <v>47308</v>
      </c>
      <c r="S5304" t="s">
        <v>47429</v>
      </c>
      <c r="T5304" t="s">
        <v>49065</v>
      </c>
      <c r="U5304" t="s">
        <v>53997</v>
      </c>
      <c r="W5304" t="s">
        <v>64483</v>
      </c>
      <c r="X5304" t="s">
        <v>47312</v>
      </c>
    </row>
    <row r="5305" spans="1:24">
      <c r="A5305">
        <f>HYPERLINK("https://www.philgeps.gov.ph/GEPSNONPILOT/Tender/SplashBidNoticeAbstractUI.aspx?menuIndex=3&amp;refID=7191988&amp;Result=3","7191988")</f>
        <v>0</v>
      </c>
      <c r="B5305" t="s">
        <v>1847</v>
      </c>
      <c r="C5305" t="s">
        <v>8842</v>
      </c>
      <c r="D5305" t="s">
        <v>18993</v>
      </c>
      <c r="E5305" t="s">
        <v>23797</v>
      </c>
      <c r="F5305" t="s">
        <v>32606</v>
      </c>
      <c r="G5305" t="s">
        <v>32613</v>
      </c>
      <c r="H5305" t="s">
        <v>14201</v>
      </c>
      <c r="I5305" t="s">
        <v>32672</v>
      </c>
      <c r="J5305" t="s">
        <v>32821</v>
      </c>
      <c r="K5305" t="s">
        <v>42636</v>
      </c>
      <c r="M5305" t="s">
        <v>44901</v>
      </c>
      <c r="N5305" t="s">
        <v>47304</v>
      </c>
      <c r="O5305" t="s">
        <v>47305</v>
      </c>
      <c r="P5305">
        <v>0</v>
      </c>
      <c r="Q5305">
        <v>5</v>
      </c>
      <c r="R5305" t="s">
        <v>47308</v>
      </c>
      <c r="S5305" t="s">
        <v>47429</v>
      </c>
      <c r="T5305" t="s">
        <v>49008</v>
      </c>
      <c r="U5305" t="s">
        <v>53998</v>
      </c>
      <c r="W5305" t="s">
        <v>44901</v>
      </c>
      <c r="X5305" t="s">
        <v>47312</v>
      </c>
    </row>
    <row r="5306" spans="1:24">
      <c r="A5306">
        <f>HYPERLINK("https://www.philgeps.gov.ph/GEPSNONPILOT/Tender/SplashBidNoticeAbstractUI.aspx?menuIndex=3&amp;refID=7191986&amp;Result=3","7191986")</f>
        <v>0</v>
      </c>
      <c r="B5306" t="s">
        <v>909</v>
      </c>
      <c r="C5306" t="s">
        <v>8843</v>
      </c>
      <c r="E5306" t="s">
        <v>23798</v>
      </c>
      <c r="F5306" t="s">
        <v>32606</v>
      </c>
      <c r="G5306" t="s">
        <v>32619</v>
      </c>
      <c r="H5306" t="s">
        <v>14201</v>
      </c>
      <c r="I5306" t="s">
        <v>32715</v>
      </c>
      <c r="J5306" t="s">
        <v>36250</v>
      </c>
      <c r="K5306" t="s">
        <v>42624</v>
      </c>
      <c r="M5306" t="s">
        <v>44912</v>
      </c>
      <c r="N5306" t="s">
        <v>47304</v>
      </c>
      <c r="O5306" t="s">
        <v>47305</v>
      </c>
      <c r="P5306">
        <v>0</v>
      </c>
      <c r="Q5306">
        <v>1</v>
      </c>
      <c r="R5306" t="s">
        <v>47308</v>
      </c>
      <c r="S5306" t="s">
        <v>47429</v>
      </c>
      <c r="T5306" t="s">
        <v>49053</v>
      </c>
      <c r="U5306" t="s">
        <v>53999</v>
      </c>
      <c r="V5306" t="s">
        <v>62880</v>
      </c>
      <c r="W5306" t="s">
        <v>44912</v>
      </c>
      <c r="X5306" t="s">
        <v>47312</v>
      </c>
    </row>
    <row r="5307" spans="1:24">
      <c r="A5307">
        <f>HYPERLINK("https://www.philgeps.gov.ph/GEPSNONPILOT/Tender/SplashBidNoticeAbstractUI.aspx?menuIndex=3&amp;refID=7191968&amp;Result=3","7191968")</f>
        <v>0</v>
      </c>
      <c r="B5307" t="s">
        <v>1389</v>
      </c>
      <c r="C5307" t="s">
        <v>8844</v>
      </c>
      <c r="D5307" t="s">
        <v>18992</v>
      </c>
      <c r="E5307" t="s">
        <v>19462</v>
      </c>
      <c r="F5307" t="s">
        <v>32606</v>
      </c>
      <c r="G5307" t="s">
        <v>32613</v>
      </c>
      <c r="H5307" t="s">
        <v>14201</v>
      </c>
      <c r="I5307" t="s">
        <v>32661</v>
      </c>
      <c r="J5307" t="s">
        <v>36251</v>
      </c>
      <c r="K5307" t="s">
        <v>42636</v>
      </c>
      <c r="M5307" t="s">
        <v>44371</v>
      </c>
      <c r="N5307" t="s">
        <v>47304</v>
      </c>
      <c r="O5307" t="s">
        <v>47305</v>
      </c>
      <c r="P5307">
        <v>0</v>
      </c>
      <c r="Q5307">
        <v>3</v>
      </c>
      <c r="R5307" t="s">
        <v>47308</v>
      </c>
      <c r="S5307" t="s">
        <v>47429</v>
      </c>
      <c r="T5307" t="s">
        <v>49170</v>
      </c>
      <c r="U5307" t="s">
        <v>54000</v>
      </c>
      <c r="W5307" t="s">
        <v>44371</v>
      </c>
      <c r="X5307" t="s">
        <v>47312</v>
      </c>
    </row>
    <row r="5308" spans="1:24">
      <c r="A5308">
        <f>HYPERLINK("https://www.philgeps.gov.ph/GEPSNONPILOT/Tender/SplashBidNoticeAbstractUI.aspx?menuIndex=3&amp;refID=7192248&amp;Result=3","7192248")</f>
        <v>0</v>
      </c>
      <c r="B5308" t="s">
        <v>1857</v>
      </c>
      <c r="C5308" t="s">
        <v>8845</v>
      </c>
      <c r="D5308" t="s">
        <v>19043</v>
      </c>
      <c r="E5308" t="s">
        <v>23799</v>
      </c>
      <c r="F5308" t="s">
        <v>32607</v>
      </c>
      <c r="G5308" t="s">
        <v>32619</v>
      </c>
      <c r="H5308" t="s">
        <v>14201</v>
      </c>
      <c r="I5308" t="s">
        <v>6931</v>
      </c>
      <c r="J5308" t="s">
        <v>36252</v>
      </c>
      <c r="K5308" t="s">
        <v>42631</v>
      </c>
      <c r="M5308" t="s">
        <v>44914</v>
      </c>
      <c r="N5308" t="s">
        <v>47304</v>
      </c>
      <c r="O5308" t="s">
        <v>47305</v>
      </c>
      <c r="P5308">
        <v>0</v>
      </c>
      <c r="Q5308">
        <v>0</v>
      </c>
      <c r="R5308" t="s">
        <v>47308</v>
      </c>
      <c r="S5308" t="s">
        <v>47429</v>
      </c>
      <c r="T5308" t="s">
        <v>48998</v>
      </c>
      <c r="U5308" t="s">
        <v>54001</v>
      </c>
      <c r="W5308" t="s">
        <v>44914</v>
      </c>
      <c r="X5308" t="s">
        <v>47312</v>
      </c>
    </row>
    <row r="5309" spans="1:24">
      <c r="A5309">
        <f>HYPERLINK("https://www.philgeps.gov.ph/GEPSNONPILOT/Tender/SplashBidNoticeAbstractUI.aspx?menuIndex=3&amp;refID=7192027&amp;Result=3","7192027")</f>
        <v>0</v>
      </c>
      <c r="B5309" t="s">
        <v>1845</v>
      </c>
      <c r="C5309" t="s">
        <v>8846</v>
      </c>
      <c r="D5309" t="s">
        <v>19008</v>
      </c>
      <c r="E5309" t="s">
        <v>23800</v>
      </c>
      <c r="F5309" t="s">
        <v>32606</v>
      </c>
      <c r="G5309" t="s">
        <v>32613</v>
      </c>
      <c r="H5309" t="s">
        <v>14201</v>
      </c>
      <c r="I5309" t="s">
        <v>32712</v>
      </c>
      <c r="J5309" t="s">
        <v>36253</v>
      </c>
      <c r="K5309" t="s">
        <v>42636</v>
      </c>
      <c r="M5309" t="s">
        <v>44898</v>
      </c>
      <c r="N5309" t="s">
        <v>47304</v>
      </c>
      <c r="O5309" t="s">
        <v>47305</v>
      </c>
      <c r="P5309">
        <v>0</v>
      </c>
      <c r="Q5309">
        <v>7</v>
      </c>
      <c r="R5309" t="s">
        <v>47308</v>
      </c>
      <c r="S5309" t="s">
        <v>47429</v>
      </c>
      <c r="T5309" t="s">
        <v>48990</v>
      </c>
      <c r="U5309" t="s">
        <v>54002</v>
      </c>
      <c r="W5309" t="s">
        <v>44898</v>
      </c>
      <c r="X5309" t="s">
        <v>47312</v>
      </c>
    </row>
    <row r="5310" spans="1:24">
      <c r="A5310">
        <f>HYPERLINK("https://www.philgeps.gov.ph/GEPSNONPILOT/Tender/SplashBidNoticeAbstractUI.aspx?menuIndex=3&amp;refID=7192258&amp;Result=3","7192258")</f>
        <v>0</v>
      </c>
      <c r="B5310" t="s">
        <v>167</v>
      </c>
      <c r="C5310" t="s">
        <v>8847</v>
      </c>
      <c r="D5310" t="s">
        <v>19033</v>
      </c>
      <c r="E5310" t="s">
        <v>23801</v>
      </c>
      <c r="F5310" t="s">
        <v>32606</v>
      </c>
      <c r="G5310" t="s">
        <v>32614</v>
      </c>
      <c r="H5310" t="s">
        <v>14201</v>
      </c>
      <c r="I5310" t="s">
        <v>32640</v>
      </c>
      <c r="J5310" t="s">
        <v>36254</v>
      </c>
      <c r="K5310" t="s">
        <v>42624</v>
      </c>
      <c r="M5310" t="s">
        <v>43903</v>
      </c>
      <c r="N5310" t="s">
        <v>47304</v>
      </c>
      <c r="O5310" t="s">
        <v>47305</v>
      </c>
      <c r="P5310">
        <v>0</v>
      </c>
      <c r="Q5310">
        <v>1</v>
      </c>
      <c r="R5310" t="s">
        <v>47308</v>
      </c>
      <c r="S5310" t="s">
        <v>47429</v>
      </c>
      <c r="T5310" t="s">
        <v>49095</v>
      </c>
      <c r="U5310" t="s">
        <v>54003</v>
      </c>
      <c r="V5310" t="s">
        <v>63136</v>
      </c>
      <c r="W5310" t="s">
        <v>43903</v>
      </c>
      <c r="X5310" t="s">
        <v>47312</v>
      </c>
    </row>
    <row r="5311" spans="1:24">
      <c r="A5311">
        <f>HYPERLINK("https://www.philgeps.gov.ph/GEPSNONPILOT/Tender/SplashBidNoticeAbstractUI.aspx?menuIndex=3&amp;refID=7192025&amp;Result=3","7192025")</f>
        <v>0</v>
      </c>
      <c r="B5311" t="s">
        <v>1435</v>
      </c>
      <c r="C5311" t="s">
        <v>8848</v>
      </c>
      <c r="D5311" t="s">
        <v>19025</v>
      </c>
      <c r="E5311" t="s">
        <v>23802</v>
      </c>
      <c r="F5311" t="s">
        <v>32606</v>
      </c>
      <c r="G5311" t="s">
        <v>32613</v>
      </c>
      <c r="H5311" t="s">
        <v>14201</v>
      </c>
      <c r="I5311" t="s">
        <v>32634</v>
      </c>
      <c r="J5311" t="s">
        <v>36118</v>
      </c>
      <c r="K5311" t="s">
        <v>42624</v>
      </c>
      <c r="M5311" t="s">
        <v>44913</v>
      </c>
      <c r="N5311" t="s">
        <v>47304</v>
      </c>
      <c r="O5311" t="s">
        <v>47305</v>
      </c>
      <c r="P5311">
        <v>0</v>
      </c>
      <c r="Q5311">
        <v>4</v>
      </c>
      <c r="R5311" t="s">
        <v>47308</v>
      </c>
      <c r="S5311" t="s">
        <v>47429</v>
      </c>
      <c r="T5311" t="s">
        <v>48987</v>
      </c>
      <c r="U5311" t="s">
        <v>54004</v>
      </c>
      <c r="W5311" t="s">
        <v>44913</v>
      </c>
      <c r="X5311" t="s">
        <v>47312</v>
      </c>
    </row>
    <row r="5312" spans="1:24">
      <c r="A5312">
        <f>HYPERLINK("https://www.philgeps.gov.ph/GEPSNONPILOT/Tender/SplashBidNoticeAbstractUI.aspx?menuIndex=3&amp;refID=7192246&amp;Result=3","7192246")</f>
        <v>0</v>
      </c>
      <c r="B5312" t="s">
        <v>1435</v>
      </c>
      <c r="C5312" t="s">
        <v>8849</v>
      </c>
      <c r="D5312" t="s">
        <v>19025</v>
      </c>
      <c r="E5312" t="s">
        <v>23024</v>
      </c>
      <c r="F5312" t="s">
        <v>32606</v>
      </c>
      <c r="G5312" t="s">
        <v>32613</v>
      </c>
      <c r="H5312" t="s">
        <v>14201</v>
      </c>
      <c r="I5312" t="s">
        <v>32640</v>
      </c>
      <c r="J5312" t="s">
        <v>32778</v>
      </c>
      <c r="K5312" t="s">
        <v>42624</v>
      </c>
      <c r="M5312" t="s">
        <v>44913</v>
      </c>
      <c r="N5312" t="s">
        <v>47304</v>
      </c>
      <c r="O5312" t="s">
        <v>47305</v>
      </c>
      <c r="P5312">
        <v>0</v>
      </c>
      <c r="Q5312">
        <v>4</v>
      </c>
      <c r="R5312" t="s">
        <v>47308</v>
      </c>
      <c r="S5312" t="s">
        <v>47429</v>
      </c>
      <c r="T5312" t="s">
        <v>48987</v>
      </c>
      <c r="U5312" t="s">
        <v>54005</v>
      </c>
      <c r="W5312" t="s">
        <v>44913</v>
      </c>
      <c r="X5312" t="s">
        <v>47312</v>
      </c>
    </row>
    <row r="5313" spans="1:24">
      <c r="A5313">
        <f>HYPERLINK("https://www.philgeps.gov.ph/GEPSNONPILOT/Tender/SplashBidNoticeAbstractUI.aspx?menuIndex=3&amp;refID=7192228&amp;Result=3","7192228")</f>
        <v>0</v>
      </c>
      <c r="B5313" t="s">
        <v>167</v>
      </c>
      <c r="C5313" t="s">
        <v>8850</v>
      </c>
      <c r="D5313" t="s">
        <v>19033</v>
      </c>
      <c r="E5313" t="s">
        <v>23803</v>
      </c>
      <c r="F5313" t="s">
        <v>32606</v>
      </c>
      <c r="G5313" t="s">
        <v>32614</v>
      </c>
      <c r="H5313" t="s">
        <v>14201</v>
      </c>
      <c r="I5313" t="s">
        <v>32653</v>
      </c>
      <c r="J5313" t="s">
        <v>34669</v>
      </c>
      <c r="K5313" t="s">
        <v>42624</v>
      </c>
      <c r="M5313" t="s">
        <v>43903</v>
      </c>
      <c r="N5313" t="s">
        <v>47304</v>
      </c>
      <c r="O5313" t="s">
        <v>47305</v>
      </c>
      <c r="P5313">
        <v>0</v>
      </c>
      <c r="Q5313">
        <v>2</v>
      </c>
      <c r="R5313" t="s">
        <v>47308</v>
      </c>
      <c r="S5313" t="s">
        <v>47429</v>
      </c>
      <c r="T5313" t="s">
        <v>49095</v>
      </c>
      <c r="U5313" t="s">
        <v>54006</v>
      </c>
      <c r="V5313" t="s">
        <v>63137</v>
      </c>
      <c r="W5313" t="s">
        <v>43903</v>
      </c>
      <c r="X5313" t="s">
        <v>47312</v>
      </c>
    </row>
    <row r="5314" spans="1:24">
      <c r="A5314">
        <f>HYPERLINK("https://www.philgeps.gov.ph/GEPSNONPILOT/Tender/SplashBidNoticeAbstractUI.aspx?menuIndex=3&amp;refID=7192222&amp;Result=3","7192222")</f>
        <v>0</v>
      </c>
      <c r="B5314" t="s">
        <v>1435</v>
      </c>
      <c r="C5314" t="s">
        <v>8851</v>
      </c>
      <c r="D5314" t="s">
        <v>19025</v>
      </c>
      <c r="E5314" t="s">
        <v>23804</v>
      </c>
      <c r="F5314" t="s">
        <v>32606</v>
      </c>
      <c r="G5314" t="s">
        <v>32613</v>
      </c>
      <c r="H5314" t="s">
        <v>14201</v>
      </c>
      <c r="I5314" t="s">
        <v>6007</v>
      </c>
      <c r="J5314" t="s">
        <v>36255</v>
      </c>
      <c r="K5314" t="s">
        <v>42624</v>
      </c>
      <c r="M5314" t="s">
        <v>44913</v>
      </c>
      <c r="N5314" t="s">
        <v>47304</v>
      </c>
      <c r="O5314" t="s">
        <v>47305</v>
      </c>
      <c r="P5314">
        <v>0</v>
      </c>
      <c r="Q5314">
        <v>0</v>
      </c>
      <c r="R5314" t="s">
        <v>47308</v>
      </c>
      <c r="S5314" t="s">
        <v>47429</v>
      </c>
      <c r="T5314" t="s">
        <v>48987</v>
      </c>
      <c r="U5314" t="s">
        <v>54007</v>
      </c>
      <c r="W5314" t="s">
        <v>44913</v>
      </c>
      <c r="X5314" t="s">
        <v>47312</v>
      </c>
    </row>
    <row r="5315" spans="1:24">
      <c r="A5315">
        <f>HYPERLINK("https://www.philgeps.gov.ph/GEPSNONPILOT/Tender/SplashBidNoticeAbstractUI.aspx?menuIndex=3&amp;refID=7192212&amp;Result=3","7192212")</f>
        <v>0</v>
      </c>
      <c r="B5315" t="s">
        <v>167</v>
      </c>
      <c r="C5315" t="s">
        <v>8852</v>
      </c>
      <c r="D5315" t="s">
        <v>19033</v>
      </c>
      <c r="E5315" t="s">
        <v>23805</v>
      </c>
      <c r="F5315" t="s">
        <v>32606</v>
      </c>
      <c r="G5315" t="s">
        <v>32614</v>
      </c>
      <c r="H5315" t="s">
        <v>14201</v>
      </c>
      <c r="I5315" t="s">
        <v>13131</v>
      </c>
      <c r="J5315" t="s">
        <v>33102</v>
      </c>
      <c r="K5315" t="s">
        <v>42624</v>
      </c>
      <c r="M5315" t="s">
        <v>43903</v>
      </c>
      <c r="N5315" t="s">
        <v>47304</v>
      </c>
      <c r="O5315" t="s">
        <v>47305</v>
      </c>
      <c r="P5315">
        <v>0</v>
      </c>
      <c r="Q5315">
        <v>4</v>
      </c>
      <c r="R5315" t="s">
        <v>47308</v>
      </c>
      <c r="S5315" t="s">
        <v>47429</v>
      </c>
      <c r="T5315" t="s">
        <v>49095</v>
      </c>
      <c r="U5315" t="s">
        <v>54008</v>
      </c>
      <c r="V5315" t="s">
        <v>63138</v>
      </c>
      <c r="W5315" t="s">
        <v>43903</v>
      </c>
      <c r="X5315" t="s">
        <v>47312</v>
      </c>
    </row>
    <row r="5316" spans="1:24">
      <c r="A5316">
        <f>HYPERLINK("https://www.philgeps.gov.ph/GEPSNONPILOT/Tender/SplashBidNoticeAbstractUI.aspx?menuIndex=3&amp;refID=7192261&amp;Result=3","7192261")</f>
        <v>0</v>
      </c>
      <c r="B5316" t="s">
        <v>1835</v>
      </c>
      <c r="C5316" t="s">
        <v>5701</v>
      </c>
      <c r="D5316" t="s">
        <v>19010</v>
      </c>
      <c r="E5316" t="s">
        <v>23806</v>
      </c>
      <c r="F5316" t="s">
        <v>32606</v>
      </c>
      <c r="G5316" t="s">
        <v>32614</v>
      </c>
      <c r="H5316" t="s">
        <v>14201</v>
      </c>
      <c r="I5316" t="s">
        <v>6298</v>
      </c>
      <c r="J5316" t="s">
        <v>36256</v>
      </c>
      <c r="K5316" t="s">
        <v>42623</v>
      </c>
      <c r="M5316" t="s">
        <v>44886</v>
      </c>
      <c r="N5316" t="s">
        <v>47304</v>
      </c>
      <c r="O5316" t="s">
        <v>47305</v>
      </c>
      <c r="P5316">
        <v>0</v>
      </c>
      <c r="Q5316">
        <v>0</v>
      </c>
      <c r="R5316" t="s">
        <v>47308</v>
      </c>
      <c r="S5316" t="s">
        <v>47429</v>
      </c>
      <c r="T5316" t="s">
        <v>48998</v>
      </c>
      <c r="U5316" t="s">
        <v>54009</v>
      </c>
      <c r="V5316" t="s">
        <v>63139</v>
      </c>
      <c r="W5316" t="s">
        <v>44886</v>
      </c>
      <c r="X5316" t="s">
        <v>47312</v>
      </c>
    </row>
    <row r="5317" spans="1:24">
      <c r="A5317">
        <f>HYPERLINK("https://www.philgeps.gov.ph/GEPSNONPILOT/Tender/SplashBidNoticeAbstractUI.aspx?menuIndex=3&amp;refID=7192202&amp;Result=3","7192202")</f>
        <v>0</v>
      </c>
      <c r="B5317" t="s">
        <v>659</v>
      </c>
      <c r="C5317" t="s">
        <v>8853</v>
      </c>
      <c r="D5317" t="s">
        <v>19018</v>
      </c>
      <c r="E5317" t="s">
        <v>23807</v>
      </c>
      <c r="F5317" t="s">
        <v>32606</v>
      </c>
      <c r="G5317" t="s">
        <v>32617</v>
      </c>
      <c r="H5317" t="s">
        <v>14201</v>
      </c>
      <c r="I5317" t="s">
        <v>4120</v>
      </c>
      <c r="J5317" t="s">
        <v>33196</v>
      </c>
      <c r="K5317" t="s">
        <v>42632</v>
      </c>
      <c r="M5317" t="s">
        <v>43579</v>
      </c>
      <c r="N5317" t="s">
        <v>47304</v>
      </c>
      <c r="O5317" t="s">
        <v>47305</v>
      </c>
      <c r="P5317">
        <v>0</v>
      </c>
      <c r="Q5317">
        <v>0</v>
      </c>
      <c r="R5317" t="s">
        <v>47308</v>
      </c>
      <c r="S5317" t="s">
        <v>47429</v>
      </c>
      <c r="T5317" t="s">
        <v>49072</v>
      </c>
      <c r="U5317" t="s">
        <v>54010</v>
      </c>
      <c r="W5317" t="s">
        <v>43579</v>
      </c>
      <c r="X5317" t="s">
        <v>47312</v>
      </c>
    </row>
    <row r="5318" spans="1:24">
      <c r="A5318">
        <f>HYPERLINK("https://www.philgeps.gov.ph/GEPSNONPILOT/Tender/SplashBidNoticeAbstractUI.aspx?menuIndex=3&amp;refID=7192201&amp;Result=3","7192201")</f>
        <v>0</v>
      </c>
      <c r="B5318" t="s">
        <v>167</v>
      </c>
      <c r="C5318" t="s">
        <v>8854</v>
      </c>
      <c r="D5318" t="s">
        <v>19033</v>
      </c>
      <c r="E5318" t="s">
        <v>23808</v>
      </c>
      <c r="F5318" t="s">
        <v>32606</v>
      </c>
      <c r="G5318" t="s">
        <v>32619</v>
      </c>
      <c r="H5318" t="s">
        <v>14201</v>
      </c>
      <c r="I5318" t="s">
        <v>32629</v>
      </c>
      <c r="J5318" t="s">
        <v>36257</v>
      </c>
      <c r="K5318" t="s">
        <v>42624</v>
      </c>
      <c r="M5318" t="s">
        <v>43903</v>
      </c>
      <c r="N5318" t="s">
        <v>47304</v>
      </c>
      <c r="O5318" t="s">
        <v>47305</v>
      </c>
      <c r="P5318">
        <v>0</v>
      </c>
      <c r="Q5318">
        <v>0</v>
      </c>
      <c r="R5318" t="s">
        <v>47308</v>
      </c>
      <c r="S5318" t="s">
        <v>47429</v>
      </c>
      <c r="T5318" t="s">
        <v>49095</v>
      </c>
      <c r="U5318" t="s">
        <v>54011</v>
      </c>
      <c r="V5318" t="s">
        <v>63140</v>
      </c>
      <c r="W5318" t="s">
        <v>43903</v>
      </c>
      <c r="X5318" t="s">
        <v>47312</v>
      </c>
    </row>
    <row r="5319" spans="1:24">
      <c r="A5319">
        <f>HYPERLINK("https://www.philgeps.gov.ph/GEPSNONPILOT/Tender/SplashBidNoticeAbstractUI.aspx?menuIndex=3&amp;refID=7192200&amp;Result=3","7192200")</f>
        <v>0</v>
      </c>
      <c r="B5319" t="s">
        <v>1801</v>
      </c>
      <c r="C5319" t="s">
        <v>8855</v>
      </c>
      <c r="E5319" t="s">
        <v>20397</v>
      </c>
      <c r="F5319" t="s">
        <v>32606</v>
      </c>
      <c r="G5319" t="s">
        <v>32613</v>
      </c>
      <c r="H5319" t="s">
        <v>14201</v>
      </c>
      <c r="I5319" t="s">
        <v>7064</v>
      </c>
      <c r="J5319" t="s">
        <v>32860</v>
      </c>
      <c r="K5319" t="s">
        <v>42624</v>
      </c>
      <c r="M5319" t="s">
        <v>44842</v>
      </c>
      <c r="N5319" t="s">
        <v>47304</v>
      </c>
      <c r="O5319" t="s">
        <v>47305</v>
      </c>
      <c r="P5319">
        <v>0</v>
      </c>
      <c r="Q5319">
        <v>3</v>
      </c>
      <c r="R5319" t="s">
        <v>47308</v>
      </c>
      <c r="S5319" t="s">
        <v>47429</v>
      </c>
      <c r="T5319" t="s">
        <v>49304</v>
      </c>
      <c r="U5319" t="s">
        <v>54012</v>
      </c>
      <c r="W5319" t="s">
        <v>44842</v>
      </c>
      <c r="X5319" t="s">
        <v>47312</v>
      </c>
    </row>
    <row r="5320" spans="1:24">
      <c r="A5320">
        <f>HYPERLINK("https://www.philgeps.gov.ph/GEPSNONPILOT/Tender/SplashBidNoticeAbstractUI.aspx?menuIndex=3&amp;refID=7192197&amp;Result=3","7192197")</f>
        <v>0</v>
      </c>
      <c r="B5320" t="s">
        <v>567</v>
      </c>
      <c r="C5320" t="s">
        <v>8856</v>
      </c>
      <c r="E5320" t="s">
        <v>23809</v>
      </c>
      <c r="F5320" t="s">
        <v>32606</v>
      </c>
      <c r="G5320" t="s">
        <v>32619</v>
      </c>
      <c r="H5320" t="s">
        <v>14201</v>
      </c>
      <c r="I5320" t="s">
        <v>32633</v>
      </c>
      <c r="J5320" t="s">
        <v>32869</v>
      </c>
      <c r="K5320" t="s">
        <v>42624</v>
      </c>
      <c r="M5320" t="s">
        <v>43482</v>
      </c>
      <c r="N5320" t="s">
        <v>47304</v>
      </c>
      <c r="O5320" t="s">
        <v>47305</v>
      </c>
      <c r="P5320">
        <v>0</v>
      </c>
      <c r="Q5320">
        <v>2</v>
      </c>
      <c r="R5320" t="s">
        <v>47308</v>
      </c>
      <c r="S5320" t="s">
        <v>47429</v>
      </c>
      <c r="T5320" t="s">
        <v>49165</v>
      </c>
      <c r="U5320" t="s">
        <v>54013</v>
      </c>
      <c r="W5320" t="s">
        <v>43482</v>
      </c>
      <c r="X5320" t="s">
        <v>47312</v>
      </c>
    </row>
    <row r="5321" spans="1:24">
      <c r="A5321">
        <f>HYPERLINK("https://www.philgeps.gov.ph/GEPSNONPILOT/Tender/SplashBidNoticeAbstractUI.aspx?menuIndex=3&amp;refID=7192187&amp;Result=3","7192187")</f>
        <v>0</v>
      </c>
      <c r="B5321" t="s">
        <v>167</v>
      </c>
      <c r="C5321" t="s">
        <v>8854</v>
      </c>
      <c r="D5321" t="s">
        <v>19033</v>
      </c>
      <c r="E5321" t="s">
        <v>23810</v>
      </c>
      <c r="F5321" t="s">
        <v>32606</v>
      </c>
      <c r="G5321" t="s">
        <v>32619</v>
      </c>
      <c r="H5321" t="s">
        <v>14201</v>
      </c>
      <c r="I5321" t="s">
        <v>32629</v>
      </c>
      <c r="J5321" t="s">
        <v>36258</v>
      </c>
      <c r="K5321" t="s">
        <v>42624</v>
      </c>
      <c r="M5321" t="s">
        <v>43903</v>
      </c>
      <c r="N5321" t="s">
        <v>47304</v>
      </c>
      <c r="O5321" t="s">
        <v>47305</v>
      </c>
      <c r="P5321">
        <v>0</v>
      </c>
      <c r="Q5321">
        <v>0</v>
      </c>
      <c r="R5321" t="s">
        <v>47308</v>
      </c>
      <c r="S5321" t="s">
        <v>47429</v>
      </c>
      <c r="T5321" t="s">
        <v>49095</v>
      </c>
      <c r="U5321" t="s">
        <v>54011</v>
      </c>
      <c r="V5321" t="s">
        <v>63141</v>
      </c>
      <c r="W5321" t="s">
        <v>43903</v>
      </c>
      <c r="X5321" t="s">
        <v>47312</v>
      </c>
    </row>
    <row r="5322" spans="1:24">
      <c r="A5322">
        <f>HYPERLINK("https://www.philgeps.gov.ph/GEPSNONPILOT/Tender/SplashBidNoticeAbstractUI.aspx?menuIndex=3&amp;refID=7192242&amp;Result=3","7192242")</f>
        <v>0</v>
      </c>
      <c r="B5322" t="s">
        <v>167</v>
      </c>
      <c r="C5322" t="s">
        <v>8857</v>
      </c>
      <c r="D5322" t="s">
        <v>19033</v>
      </c>
      <c r="E5322" t="s">
        <v>23811</v>
      </c>
      <c r="F5322" t="s">
        <v>32606</v>
      </c>
      <c r="G5322" t="s">
        <v>32619</v>
      </c>
      <c r="H5322" t="s">
        <v>14201</v>
      </c>
      <c r="I5322" t="s">
        <v>32631</v>
      </c>
      <c r="J5322" t="s">
        <v>34185</v>
      </c>
      <c r="K5322" t="s">
        <v>42624</v>
      </c>
      <c r="M5322" t="s">
        <v>43903</v>
      </c>
      <c r="N5322" t="s">
        <v>47304</v>
      </c>
      <c r="O5322" t="s">
        <v>47305</v>
      </c>
      <c r="P5322">
        <v>0</v>
      </c>
      <c r="Q5322">
        <v>1</v>
      </c>
      <c r="R5322" t="s">
        <v>47308</v>
      </c>
      <c r="S5322" t="s">
        <v>47429</v>
      </c>
      <c r="T5322" t="s">
        <v>49095</v>
      </c>
      <c r="U5322" t="s">
        <v>54014</v>
      </c>
      <c r="V5322" t="s">
        <v>63142</v>
      </c>
      <c r="W5322" t="s">
        <v>43903</v>
      </c>
      <c r="X5322" t="s">
        <v>47312</v>
      </c>
    </row>
    <row r="5323" spans="1:24">
      <c r="A5323">
        <f>HYPERLINK("https://www.philgeps.gov.ph/GEPSNONPILOT/Tender/SplashBidNoticeAbstractUI.aspx?menuIndex=3&amp;refID=7192338&amp;Result=3","7192338")</f>
        <v>0</v>
      </c>
      <c r="B5323" t="s">
        <v>567</v>
      </c>
      <c r="C5323" t="s">
        <v>8858</v>
      </c>
      <c r="E5323" t="s">
        <v>23812</v>
      </c>
      <c r="F5323" t="s">
        <v>32606</v>
      </c>
      <c r="G5323" t="s">
        <v>32619</v>
      </c>
      <c r="H5323" t="s">
        <v>14201</v>
      </c>
      <c r="I5323" t="s">
        <v>32633</v>
      </c>
      <c r="J5323" t="s">
        <v>33608</v>
      </c>
      <c r="K5323" t="s">
        <v>42624</v>
      </c>
      <c r="M5323" t="s">
        <v>43482</v>
      </c>
      <c r="N5323" t="s">
        <v>47304</v>
      </c>
      <c r="O5323" t="s">
        <v>47305</v>
      </c>
      <c r="P5323">
        <v>0</v>
      </c>
      <c r="Q5323">
        <v>3</v>
      </c>
      <c r="R5323" t="s">
        <v>47308</v>
      </c>
      <c r="S5323" t="s">
        <v>47429</v>
      </c>
      <c r="T5323" t="s">
        <v>49165</v>
      </c>
      <c r="U5323" t="s">
        <v>54015</v>
      </c>
      <c r="W5323" t="s">
        <v>43482</v>
      </c>
      <c r="X5323" t="s">
        <v>47312</v>
      </c>
    </row>
    <row r="5324" spans="1:24">
      <c r="A5324">
        <f>HYPERLINK("https://www.philgeps.gov.ph/GEPSNONPILOT/Tender/SplashBidNoticeAbstractUI.aspx?menuIndex=3&amp;refID=7192203&amp;Result=3","7192203")</f>
        <v>0</v>
      </c>
      <c r="B5324" t="s">
        <v>1014</v>
      </c>
      <c r="C5324" t="s">
        <v>8859</v>
      </c>
      <c r="D5324" t="s">
        <v>18995</v>
      </c>
      <c r="E5324" t="s">
        <v>23813</v>
      </c>
      <c r="F5324" t="s">
        <v>32606</v>
      </c>
      <c r="G5324" t="s">
        <v>32614</v>
      </c>
      <c r="H5324" t="s">
        <v>14201</v>
      </c>
      <c r="I5324" t="s">
        <v>4112</v>
      </c>
      <c r="J5324" t="s">
        <v>36259</v>
      </c>
      <c r="K5324" t="s">
        <v>42646</v>
      </c>
      <c r="M5324" t="s">
        <v>44868</v>
      </c>
      <c r="N5324" t="s">
        <v>47304</v>
      </c>
      <c r="O5324" t="s">
        <v>47305</v>
      </c>
      <c r="P5324">
        <v>0</v>
      </c>
      <c r="Q5324">
        <v>2</v>
      </c>
      <c r="R5324" t="s">
        <v>47308</v>
      </c>
      <c r="S5324" t="s">
        <v>47429</v>
      </c>
      <c r="T5324" t="s">
        <v>48982</v>
      </c>
      <c r="U5324" t="s">
        <v>54016</v>
      </c>
      <c r="W5324" t="s">
        <v>44868</v>
      </c>
      <c r="X5324" t="s">
        <v>47312</v>
      </c>
    </row>
    <row r="5325" spans="1:24">
      <c r="A5325">
        <f>HYPERLINK("https://www.philgeps.gov.ph/GEPSNONPILOT/Tender/SplashBidNoticeAbstractUI.aspx?menuIndex=3&amp;refID=7191604&amp;Result=3","7191604")</f>
        <v>0</v>
      </c>
      <c r="B5325" t="s">
        <v>684</v>
      </c>
      <c r="C5325" t="s">
        <v>8860</v>
      </c>
      <c r="D5325" t="s">
        <v>19012</v>
      </c>
      <c r="E5325" t="s">
        <v>23814</v>
      </c>
      <c r="F5325" t="s">
        <v>32606</v>
      </c>
      <c r="G5325" t="s">
        <v>32613</v>
      </c>
      <c r="H5325" t="s">
        <v>14201</v>
      </c>
      <c r="I5325" t="s">
        <v>7577</v>
      </c>
      <c r="J5325" t="s">
        <v>32799</v>
      </c>
      <c r="K5325" t="s">
        <v>42627</v>
      </c>
      <c r="L5325" t="s">
        <v>684</v>
      </c>
      <c r="M5325" t="s">
        <v>43605</v>
      </c>
      <c r="N5325" t="s">
        <v>47304</v>
      </c>
      <c r="O5325" t="s">
        <v>47305</v>
      </c>
      <c r="P5325">
        <v>0</v>
      </c>
      <c r="Q5325">
        <v>3</v>
      </c>
      <c r="R5325" t="s">
        <v>47308</v>
      </c>
      <c r="S5325" t="s">
        <v>47429</v>
      </c>
      <c r="T5325" t="s">
        <v>49023</v>
      </c>
      <c r="U5325" t="s">
        <v>52303</v>
      </c>
      <c r="V5325" t="s">
        <v>63129</v>
      </c>
      <c r="W5325" t="s">
        <v>43605</v>
      </c>
      <c r="X5325" t="s">
        <v>47312</v>
      </c>
    </row>
    <row r="5326" spans="1:24">
      <c r="A5326">
        <f>HYPERLINK("https://www.philgeps.gov.ph/GEPSNONPILOT/Tender/SplashBidNoticeAbstractUI.aspx?menuIndex=3&amp;refID=7192194&amp;Result=3","7192194")</f>
        <v>0</v>
      </c>
      <c r="B5326" t="s">
        <v>1858</v>
      </c>
      <c r="C5326" t="s">
        <v>8861</v>
      </c>
      <c r="D5326" t="s">
        <v>19019</v>
      </c>
      <c r="E5326" t="s">
        <v>23815</v>
      </c>
      <c r="F5326" t="s">
        <v>32606</v>
      </c>
      <c r="G5326" t="s">
        <v>32613</v>
      </c>
      <c r="H5326" t="s">
        <v>14201</v>
      </c>
      <c r="I5326" t="s">
        <v>32626</v>
      </c>
      <c r="J5326" t="s">
        <v>36260</v>
      </c>
      <c r="K5326" t="s">
        <v>42638</v>
      </c>
      <c r="M5326" t="s">
        <v>44915</v>
      </c>
      <c r="N5326" t="s">
        <v>47304</v>
      </c>
      <c r="O5326" t="s">
        <v>47305</v>
      </c>
      <c r="P5326">
        <v>0</v>
      </c>
      <c r="Q5326">
        <v>7</v>
      </c>
      <c r="R5326" t="s">
        <v>47308</v>
      </c>
      <c r="S5326" t="s">
        <v>47429</v>
      </c>
      <c r="T5326" t="s">
        <v>49094</v>
      </c>
      <c r="U5326" t="s">
        <v>54017</v>
      </c>
      <c r="W5326" t="s">
        <v>44915</v>
      </c>
      <c r="X5326" t="s">
        <v>47312</v>
      </c>
    </row>
    <row r="5327" spans="1:24">
      <c r="A5327">
        <f>HYPERLINK("https://www.philgeps.gov.ph/GEPSNONPILOT/Tender/SplashBidNoticeAbstractUI.aspx?menuIndex=3&amp;refID=7192398&amp;Result=3","7192398")</f>
        <v>0</v>
      </c>
      <c r="B5327" t="s">
        <v>1014</v>
      </c>
      <c r="C5327" t="s">
        <v>8862</v>
      </c>
      <c r="D5327" t="s">
        <v>18995</v>
      </c>
      <c r="E5327" t="s">
        <v>23816</v>
      </c>
      <c r="F5327" t="s">
        <v>32606</v>
      </c>
      <c r="G5327" t="s">
        <v>32614</v>
      </c>
      <c r="H5327" t="s">
        <v>14201</v>
      </c>
      <c r="I5327" t="s">
        <v>4112</v>
      </c>
      <c r="J5327" t="s">
        <v>32759</v>
      </c>
      <c r="K5327" t="s">
        <v>42646</v>
      </c>
      <c r="M5327" t="s">
        <v>44868</v>
      </c>
      <c r="N5327" t="s">
        <v>47304</v>
      </c>
      <c r="O5327" t="s">
        <v>47305</v>
      </c>
      <c r="P5327">
        <v>0</v>
      </c>
      <c r="Q5327">
        <v>2</v>
      </c>
      <c r="R5327" t="s">
        <v>47308</v>
      </c>
      <c r="S5327" t="s">
        <v>47429</v>
      </c>
      <c r="T5327" t="s">
        <v>48982</v>
      </c>
      <c r="U5327" t="s">
        <v>54018</v>
      </c>
      <c r="W5327" t="s">
        <v>44868</v>
      </c>
      <c r="X5327" t="s">
        <v>47312</v>
      </c>
    </row>
    <row r="5328" spans="1:24">
      <c r="A5328">
        <f>HYPERLINK("https://www.philgeps.gov.ph/GEPSNONPILOT/Tender/SplashBidNoticeAbstractUI.aspx?menuIndex=3&amp;refID=7192190&amp;Result=3","7192190")</f>
        <v>0</v>
      </c>
      <c r="B5328" t="s">
        <v>1435</v>
      </c>
      <c r="C5328" t="s">
        <v>4758</v>
      </c>
      <c r="D5328" t="s">
        <v>19025</v>
      </c>
      <c r="E5328" t="s">
        <v>23817</v>
      </c>
      <c r="F5328" t="s">
        <v>32606</v>
      </c>
      <c r="G5328" t="s">
        <v>32613</v>
      </c>
      <c r="H5328" t="s">
        <v>14201</v>
      </c>
      <c r="I5328" t="s">
        <v>4120</v>
      </c>
      <c r="J5328" t="s">
        <v>36261</v>
      </c>
      <c r="K5328" t="s">
        <v>42624</v>
      </c>
      <c r="M5328" t="s">
        <v>44913</v>
      </c>
      <c r="N5328" t="s">
        <v>47304</v>
      </c>
      <c r="O5328" t="s">
        <v>47305</v>
      </c>
      <c r="P5328">
        <v>0</v>
      </c>
      <c r="Q5328">
        <v>4</v>
      </c>
      <c r="R5328" t="s">
        <v>47308</v>
      </c>
      <c r="S5328" t="s">
        <v>47429</v>
      </c>
      <c r="T5328" t="s">
        <v>48987</v>
      </c>
      <c r="U5328" t="s">
        <v>54019</v>
      </c>
      <c r="W5328" t="s">
        <v>44913</v>
      </c>
      <c r="X5328" t="s">
        <v>47312</v>
      </c>
    </row>
    <row r="5329" spans="1:24">
      <c r="A5329">
        <f>HYPERLINK("https://www.philgeps.gov.ph/GEPSNONPILOT/Tender/SplashBidNoticeAbstractUI.aspx?menuIndex=3&amp;refID=7191991&amp;Result=3","7191991")</f>
        <v>0</v>
      </c>
      <c r="B5329" t="s">
        <v>1389</v>
      </c>
      <c r="C5329" t="s">
        <v>8863</v>
      </c>
      <c r="D5329" t="s">
        <v>18992</v>
      </c>
      <c r="E5329" t="s">
        <v>19462</v>
      </c>
      <c r="F5329" t="s">
        <v>32606</v>
      </c>
      <c r="G5329" t="s">
        <v>32613</v>
      </c>
      <c r="H5329" t="s">
        <v>32623</v>
      </c>
      <c r="I5329" t="s">
        <v>17648</v>
      </c>
      <c r="J5329" t="s">
        <v>32759</v>
      </c>
      <c r="K5329" t="s">
        <v>42648</v>
      </c>
      <c r="M5329" t="s">
        <v>44371</v>
      </c>
      <c r="N5329" t="s">
        <v>47304</v>
      </c>
      <c r="O5329" t="s">
        <v>47305</v>
      </c>
      <c r="P5329">
        <v>0</v>
      </c>
      <c r="Q5329">
        <v>0</v>
      </c>
      <c r="R5329" t="s">
        <v>47308</v>
      </c>
      <c r="S5329" t="s">
        <v>47429</v>
      </c>
      <c r="T5329" t="s">
        <v>49170</v>
      </c>
      <c r="U5329" t="s">
        <v>54020</v>
      </c>
      <c r="W5329" t="s">
        <v>44371</v>
      </c>
      <c r="X5329" t="s">
        <v>47312</v>
      </c>
    </row>
    <row r="5330" spans="1:24">
      <c r="A5330">
        <f>HYPERLINK("https://www.philgeps.gov.ph/GEPSNONPILOT/Tender/SplashBidNoticeAbstractUI.aspx?menuIndex=3&amp;refID=7192392&amp;Result=3","7192392")</f>
        <v>0</v>
      </c>
      <c r="B5330" t="s">
        <v>343</v>
      </c>
      <c r="C5330" t="s">
        <v>8864</v>
      </c>
      <c r="D5330" t="s">
        <v>18993</v>
      </c>
      <c r="E5330" t="s">
        <v>23818</v>
      </c>
      <c r="F5330" t="s">
        <v>32606</v>
      </c>
      <c r="G5330" t="s">
        <v>32614</v>
      </c>
      <c r="H5330" t="s">
        <v>14201</v>
      </c>
      <c r="I5330" t="s">
        <v>8606</v>
      </c>
      <c r="J5330" t="s">
        <v>32885</v>
      </c>
      <c r="K5330" t="s">
        <v>42624</v>
      </c>
      <c r="M5330" t="s">
        <v>43833</v>
      </c>
      <c r="N5330" t="s">
        <v>47304</v>
      </c>
      <c r="O5330" t="s">
        <v>47305</v>
      </c>
      <c r="P5330">
        <v>0</v>
      </c>
      <c r="Q5330">
        <v>1</v>
      </c>
      <c r="R5330" t="s">
        <v>47308</v>
      </c>
      <c r="S5330" t="s">
        <v>47429</v>
      </c>
      <c r="T5330" t="s">
        <v>49023</v>
      </c>
      <c r="U5330" t="s">
        <v>54021</v>
      </c>
      <c r="V5330" t="s">
        <v>62856</v>
      </c>
      <c r="W5330" t="s">
        <v>43833</v>
      </c>
      <c r="X5330" t="s">
        <v>47312</v>
      </c>
    </row>
    <row r="5331" spans="1:24">
      <c r="A5331">
        <f>HYPERLINK("https://www.philgeps.gov.ph/GEPSNONPILOT/Tender/SplashBidNoticeAbstractUI.aspx?menuIndex=3&amp;refID=7192379&amp;Result=3","7192379")</f>
        <v>0</v>
      </c>
      <c r="B5331" t="s">
        <v>567</v>
      </c>
      <c r="C5331" t="s">
        <v>8865</v>
      </c>
      <c r="E5331" t="s">
        <v>23819</v>
      </c>
      <c r="F5331" t="s">
        <v>32606</v>
      </c>
      <c r="G5331" t="s">
        <v>32619</v>
      </c>
      <c r="H5331" t="s">
        <v>14201</v>
      </c>
      <c r="I5331" t="s">
        <v>32633</v>
      </c>
      <c r="J5331" t="s">
        <v>36262</v>
      </c>
      <c r="K5331" t="s">
        <v>42624</v>
      </c>
      <c r="M5331" t="s">
        <v>43482</v>
      </c>
      <c r="N5331" t="s">
        <v>47304</v>
      </c>
      <c r="O5331" t="s">
        <v>47305</v>
      </c>
      <c r="P5331">
        <v>0</v>
      </c>
      <c r="Q5331">
        <v>3</v>
      </c>
      <c r="R5331" t="s">
        <v>47308</v>
      </c>
      <c r="S5331" t="s">
        <v>47429</v>
      </c>
      <c r="T5331" t="s">
        <v>49165</v>
      </c>
      <c r="U5331" t="s">
        <v>54022</v>
      </c>
      <c r="W5331" t="s">
        <v>43482</v>
      </c>
      <c r="X5331" t="s">
        <v>47312</v>
      </c>
    </row>
    <row r="5332" spans="1:24">
      <c r="A5332">
        <f>HYPERLINK("https://www.philgeps.gov.ph/GEPSNONPILOT/Tender/SplashBidNoticeAbstractUI.aspx?menuIndex=3&amp;refID=7192340&amp;Result=3","7192340")</f>
        <v>0</v>
      </c>
      <c r="B5332" t="s">
        <v>1859</v>
      </c>
      <c r="C5332" t="s">
        <v>8866</v>
      </c>
      <c r="D5332" t="s">
        <v>19044</v>
      </c>
      <c r="E5332" t="s">
        <v>23820</v>
      </c>
      <c r="F5332" t="s">
        <v>32606</v>
      </c>
      <c r="G5332" t="s">
        <v>32619</v>
      </c>
      <c r="H5332" t="s">
        <v>14201</v>
      </c>
      <c r="I5332" t="s">
        <v>6931</v>
      </c>
      <c r="J5332" t="s">
        <v>36263</v>
      </c>
      <c r="K5332" t="s">
        <v>42631</v>
      </c>
      <c r="L5332" t="s">
        <v>1859</v>
      </c>
      <c r="M5332" t="s">
        <v>44916</v>
      </c>
      <c r="N5332" t="s">
        <v>47304</v>
      </c>
      <c r="O5332" t="s">
        <v>47305</v>
      </c>
      <c r="P5332">
        <v>0</v>
      </c>
      <c r="Q5332">
        <v>0</v>
      </c>
      <c r="R5332" t="s">
        <v>47308</v>
      </c>
      <c r="S5332" t="s">
        <v>47429</v>
      </c>
      <c r="T5332" t="s">
        <v>49311</v>
      </c>
      <c r="U5332" t="s">
        <v>54023</v>
      </c>
      <c r="V5332" t="s">
        <v>63143</v>
      </c>
      <c r="W5332" t="s">
        <v>44916</v>
      </c>
      <c r="X5332" t="s">
        <v>47312</v>
      </c>
    </row>
    <row r="5333" spans="1:24">
      <c r="A5333">
        <f>HYPERLINK("https://www.philgeps.gov.ph/GEPSNONPILOT/Tender/SplashBidNoticeAbstractUI.aspx?menuIndex=3&amp;refID=7192334&amp;Result=3","7192334")</f>
        <v>0</v>
      </c>
      <c r="B5333" t="s">
        <v>1014</v>
      </c>
      <c r="C5333" t="s">
        <v>8867</v>
      </c>
      <c r="D5333" t="s">
        <v>18995</v>
      </c>
      <c r="E5333" t="s">
        <v>23821</v>
      </c>
      <c r="F5333" t="s">
        <v>32606</v>
      </c>
      <c r="G5333" t="s">
        <v>32614</v>
      </c>
      <c r="H5333" t="s">
        <v>14201</v>
      </c>
      <c r="I5333" t="s">
        <v>4112</v>
      </c>
      <c r="J5333" t="s">
        <v>32759</v>
      </c>
      <c r="K5333" t="s">
        <v>42646</v>
      </c>
      <c r="M5333" t="s">
        <v>44868</v>
      </c>
      <c r="N5333" t="s">
        <v>47304</v>
      </c>
      <c r="O5333" t="s">
        <v>47305</v>
      </c>
      <c r="P5333">
        <v>0</v>
      </c>
      <c r="Q5333">
        <v>2</v>
      </c>
      <c r="R5333" t="s">
        <v>47308</v>
      </c>
      <c r="S5333" t="s">
        <v>47429</v>
      </c>
      <c r="T5333" t="s">
        <v>48982</v>
      </c>
      <c r="U5333" t="s">
        <v>54024</v>
      </c>
      <c r="W5333" t="s">
        <v>44868</v>
      </c>
      <c r="X5333" t="s">
        <v>47312</v>
      </c>
    </row>
    <row r="5334" spans="1:24">
      <c r="A5334">
        <f>HYPERLINK("https://www.philgeps.gov.ph/GEPSNONPILOT/Tender/SplashBidNoticeAbstractUI.aspx?menuIndex=3&amp;refID=7192329&amp;Result=3","7192329")</f>
        <v>0</v>
      </c>
      <c r="B5334" t="s">
        <v>1860</v>
      </c>
      <c r="C5334" t="s">
        <v>8868</v>
      </c>
      <c r="D5334" t="s">
        <v>19024</v>
      </c>
      <c r="E5334" t="s">
        <v>23822</v>
      </c>
      <c r="F5334" t="s">
        <v>32606</v>
      </c>
      <c r="G5334" t="s">
        <v>32614</v>
      </c>
      <c r="H5334" t="s">
        <v>14201</v>
      </c>
      <c r="I5334" t="s">
        <v>32633</v>
      </c>
      <c r="J5334" t="s">
        <v>36264</v>
      </c>
      <c r="K5334" t="s">
        <v>42630</v>
      </c>
      <c r="M5334" t="s">
        <v>44917</v>
      </c>
      <c r="N5334" t="s">
        <v>47304</v>
      </c>
      <c r="O5334" t="s">
        <v>47305</v>
      </c>
      <c r="P5334">
        <v>0</v>
      </c>
      <c r="Q5334">
        <v>5</v>
      </c>
      <c r="R5334" t="s">
        <v>47308</v>
      </c>
      <c r="S5334" t="s">
        <v>47429</v>
      </c>
      <c r="T5334" t="s">
        <v>48998</v>
      </c>
      <c r="U5334" t="s">
        <v>54025</v>
      </c>
      <c r="W5334" t="s">
        <v>44917</v>
      </c>
      <c r="X5334" t="s">
        <v>47312</v>
      </c>
    </row>
    <row r="5335" spans="1:24">
      <c r="A5335">
        <f>HYPERLINK("https://www.philgeps.gov.ph/GEPSNONPILOT/Tender/SplashBidNoticeAbstractUI.aspx?menuIndex=3&amp;refID=7192412&amp;Result=3","7192412")</f>
        <v>0</v>
      </c>
      <c r="B5335" t="s">
        <v>1835</v>
      </c>
      <c r="C5335" t="s">
        <v>5701</v>
      </c>
      <c r="D5335" t="s">
        <v>19010</v>
      </c>
      <c r="E5335" t="s">
        <v>23823</v>
      </c>
      <c r="F5335" t="s">
        <v>32606</v>
      </c>
      <c r="G5335" t="s">
        <v>32614</v>
      </c>
      <c r="H5335" t="s">
        <v>14201</v>
      </c>
      <c r="I5335" t="s">
        <v>6298</v>
      </c>
      <c r="J5335" t="s">
        <v>32789</v>
      </c>
      <c r="K5335" t="s">
        <v>42623</v>
      </c>
      <c r="M5335" t="s">
        <v>44886</v>
      </c>
      <c r="N5335" t="s">
        <v>47304</v>
      </c>
      <c r="O5335" t="s">
        <v>47305</v>
      </c>
      <c r="P5335">
        <v>0</v>
      </c>
      <c r="Q5335">
        <v>0</v>
      </c>
      <c r="R5335" t="s">
        <v>47308</v>
      </c>
      <c r="S5335" t="s">
        <v>47429</v>
      </c>
      <c r="T5335" t="s">
        <v>48998</v>
      </c>
      <c r="U5335" t="s">
        <v>54026</v>
      </c>
      <c r="V5335" t="s">
        <v>63144</v>
      </c>
      <c r="W5335" t="s">
        <v>44886</v>
      </c>
      <c r="X5335" t="s">
        <v>47312</v>
      </c>
    </row>
    <row r="5336" spans="1:24">
      <c r="A5336">
        <f>HYPERLINK("https://www.philgeps.gov.ph/GEPSNONPILOT/Tender/SplashBidNoticeAbstractUI.aspx?menuIndex=3&amp;refID=7192323&amp;Result=3","7192323")</f>
        <v>0</v>
      </c>
      <c r="B5336" t="s">
        <v>167</v>
      </c>
      <c r="C5336" t="s">
        <v>8376</v>
      </c>
      <c r="D5336" t="s">
        <v>19033</v>
      </c>
      <c r="E5336" t="s">
        <v>23824</v>
      </c>
      <c r="F5336" t="s">
        <v>32606</v>
      </c>
      <c r="G5336" t="s">
        <v>32614</v>
      </c>
      <c r="H5336" t="s">
        <v>14201</v>
      </c>
      <c r="I5336" t="s">
        <v>32638</v>
      </c>
      <c r="J5336" t="s">
        <v>36265</v>
      </c>
      <c r="K5336" t="s">
        <v>42624</v>
      </c>
      <c r="M5336" t="s">
        <v>43903</v>
      </c>
      <c r="N5336" t="s">
        <v>47304</v>
      </c>
      <c r="O5336" t="s">
        <v>47305</v>
      </c>
      <c r="P5336">
        <v>0</v>
      </c>
      <c r="Q5336">
        <v>4</v>
      </c>
      <c r="R5336" t="s">
        <v>47308</v>
      </c>
      <c r="S5336" t="s">
        <v>47429</v>
      </c>
      <c r="T5336" t="s">
        <v>49095</v>
      </c>
      <c r="U5336" t="s">
        <v>54027</v>
      </c>
      <c r="V5336" t="s">
        <v>63145</v>
      </c>
      <c r="W5336" t="s">
        <v>43903</v>
      </c>
      <c r="X5336" t="s">
        <v>47312</v>
      </c>
    </row>
    <row r="5337" spans="1:24">
      <c r="A5337">
        <f>HYPERLINK("https://www.philgeps.gov.ph/GEPSNONPILOT/Tender/SplashBidNoticeAbstractUI.aspx?menuIndex=3&amp;refID=7192297&amp;Result=3","7192297")</f>
        <v>0</v>
      </c>
      <c r="B5337" t="s">
        <v>418</v>
      </c>
      <c r="C5337" t="s">
        <v>8869</v>
      </c>
      <c r="D5337" t="s">
        <v>19006</v>
      </c>
      <c r="E5337" t="s">
        <v>23825</v>
      </c>
      <c r="F5337" t="s">
        <v>32606</v>
      </c>
      <c r="G5337" t="s">
        <v>32614</v>
      </c>
      <c r="H5337" t="s">
        <v>14201</v>
      </c>
      <c r="I5337" t="s">
        <v>7577</v>
      </c>
      <c r="J5337" t="s">
        <v>33325</v>
      </c>
      <c r="K5337" t="s">
        <v>42629</v>
      </c>
      <c r="M5337" t="s">
        <v>43322</v>
      </c>
      <c r="N5337" t="s">
        <v>47304</v>
      </c>
      <c r="O5337" t="s">
        <v>47305</v>
      </c>
      <c r="P5337">
        <v>0</v>
      </c>
      <c r="Q5337">
        <v>4</v>
      </c>
      <c r="R5337" t="s">
        <v>47308</v>
      </c>
      <c r="S5337" t="s">
        <v>47429</v>
      </c>
      <c r="T5337" t="s">
        <v>49165</v>
      </c>
      <c r="U5337" t="s">
        <v>54028</v>
      </c>
      <c r="W5337" t="s">
        <v>43322</v>
      </c>
      <c r="X5337" t="s">
        <v>47312</v>
      </c>
    </row>
    <row r="5338" spans="1:24">
      <c r="A5338">
        <f>HYPERLINK("https://www.philgeps.gov.ph/GEPSNONPILOT/Tender/SplashBidNoticeAbstractUI.aspx?menuIndex=3&amp;refID=7192402&amp;Result=3","7192402")</f>
        <v>0</v>
      </c>
      <c r="B5338" t="s">
        <v>567</v>
      </c>
      <c r="C5338" t="s">
        <v>8870</v>
      </c>
      <c r="E5338" t="s">
        <v>23826</v>
      </c>
      <c r="F5338" t="s">
        <v>32606</v>
      </c>
      <c r="G5338" t="s">
        <v>32619</v>
      </c>
      <c r="H5338" t="s">
        <v>14201</v>
      </c>
      <c r="I5338" t="s">
        <v>32633</v>
      </c>
      <c r="J5338" t="s">
        <v>33587</v>
      </c>
      <c r="K5338" t="s">
        <v>42624</v>
      </c>
      <c r="M5338" t="s">
        <v>43482</v>
      </c>
      <c r="N5338" t="s">
        <v>47304</v>
      </c>
      <c r="O5338" t="s">
        <v>47305</v>
      </c>
      <c r="P5338">
        <v>0</v>
      </c>
      <c r="Q5338">
        <v>5</v>
      </c>
      <c r="R5338" t="s">
        <v>47308</v>
      </c>
      <c r="S5338" t="s">
        <v>47429</v>
      </c>
      <c r="T5338" t="s">
        <v>49165</v>
      </c>
      <c r="U5338" t="s">
        <v>54029</v>
      </c>
      <c r="W5338" t="s">
        <v>43482</v>
      </c>
      <c r="X5338" t="s">
        <v>47312</v>
      </c>
    </row>
    <row r="5339" spans="1:24">
      <c r="A5339">
        <f>HYPERLINK("https://www.philgeps.gov.ph/GEPSNONPILOT/Tender/SplashBidNoticeAbstractUI.aspx?menuIndex=3&amp;refID=7192286&amp;Result=3","7192286")</f>
        <v>0</v>
      </c>
      <c r="B5339" t="s">
        <v>102</v>
      </c>
      <c r="C5339" t="s">
        <v>8871</v>
      </c>
      <c r="D5339" t="s">
        <v>19006</v>
      </c>
      <c r="E5339" t="s">
        <v>23827</v>
      </c>
      <c r="F5339" t="s">
        <v>32606</v>
      </c>
      <c r="G5339" t="s">
        <v>32615</v>
      </c>
      <c r="H5339" t="s">
        <v>14201</v>
      </c>
      <c r="I5339" t="s">
        <v>32696</v>
      </c>
      <c r="J5339" t="s">
        <v>36266</v>
      </c>
      <c r="K5339" t="s">
        <v>42623</v>
      </c>
      <c r="M5339" t="s">
        <v>43000</v>
      </c>
      <c r="N5339" t="s">
        <v>47304</v>
      </c>
      <c r="O5339" t="s">
        <v>47305</v>
      </c>
      <c r="P5339">
        <v>0</v>
      </c>
      <c r="Q5339">
        <v>2</v>
      </c>
      <c r="R5339" t="s">
        <v>47308</v>
      </c>
      <c r="S5339" t="s">
        <v>47429</v>
      </c>
      <c r="T5339" t="s">
        <v>49313</v>
      </c>
      <c r="U5339" t="s">
        <v>49696</v>
      </c>
      <c r="W5339" t="s">
        <v>43000</v>
      </c>
      <c r="X5339" t="s">
        <v>47312</v>
      </c>
    </row>
    <row r="5340" spans="1:24">
      <c r="A5340">
        <f>HYPERLINK("https://www.philgeps.gov.ph/GEPSNONPILOT/Tender/SplashBidNoticeAbstractUI.aspx?menuIndex=3&amp;refID=7192285&amp;Result=3","7192285")</f>
        <v>0</v>
      </c>
      <c r="B5340" t="s">
        <v>167</v>
      </c>
      <c r="C5340" t="s">
        <v>8872</v>
      </c>
      <c r="D5340" t="s">
        <v>19033</v>
      </c>
      <c r="E5340" t="s">
        <v>23828</v>
      </c>
      <c r="F5340" t="s">
        <v>32606</v>
      </c>
      <c r="G5340" t="s">
        <v>32614</v>
      </c>
      <c r="H5340" t="s">
        <v>14201</v>
      </c>
      <c r="I5340" t="s">
        <v>7233</v>
      </c>
      <c r="J5340" t="s">
        <v>36267</v>
      </c>
      <c r="K5340" t="s">
        <v>42624</v>
      </c>
      <c r="M5340" t="s">
        <v>43903</v>
      </c>
      <c r="N5340" t="s">
        <v>47304</v>
      </c>
      <c r="O5340" t="s">
        <v>47305</v>
      </c>
      <c r="P5340">
        <v>0</v>
      </c>
      <c r="Q5340">
        <v>0</v>
      </c>
      <c r="R5340" t="s">
        <v>47308</v>
      </c>
      <c r="S5340" t="s">
        <v>47429</v>
      </c>
      <c r="T5340" t="s">
        <v>49095</v>
      </c>
      <c r="U5340" t="s">
        <v>54030</v>
      </c>
      <c r="V5340" t="s">
        <v>63146</v>
      </c>
      <c r="W5340" t="s">
        <v>43903</v>
      </c>
      <c r="X5340" t="s">
        <v>47312</v>
      </c>
    </row>
    <row r="5341" spans="1:24">
      <c r="A5341">
        <f>HYPERLINK("https://www.philgeps.gov.ph/GEPSNONPILOT/Tender/SplashBidNoticeAbstractUI.aspx?menuIndex=3&amp;refID=7192177&amp;Result=3","7192177")</f>
        <v>0</v>
      </c>
      <c r="B5341" t="s">
        <v>1861</v>
      </c>
      <c r="C5341" t="s">
        <v>8873</v>
      </c>
      <c r="D5341" t="s">
        <v>19063</v>
      </c>
      <c r="E5341" t="s">
        <v>19833</v>
      </c>
      <c r="F5341" t="s">
        <v>32606</v>
      </c>
      <c r="G5341" t="s">
        <v>32614</v>
      </c>
      <c r="H5341" t="s">
        <v>14201</v>
      </c>
      <c r="I5341" t="s">
        <v>32650</v>
      </c>
      <c r="J5341" t="s">
        <v>32981</v>
      </c>
      <c r="K5341" t="s">
        <v>42624</v>
      </c>
      <c r="M5341" t="s">
        <v>44918</v>
      </c>
      <c r="N5341" t="s">
        <v>47304</v>
      </c>
      <c r="O5341" t="s">
        <v>47305</v>
      </c>
      <c r="P5341">
        <v>0</v>
      </c>
      <c r="Q5341">
        <v>0</v>
      </c>
      <c r="R5341" t="s">
        <v>47308</v>
      </c>
      <c r="S5341" t="s">
        <v>47429</v>
      </c>
      <c r="T5341" t="s">
        <v>49072</v>
      </c>
      <c r="U5341" t="s">
        <v>54031</v>
      </c>
      <c r="W5341" t="s">
        <v>44918</v>
      </c>
      <c r="X5341" t="s">
        <v>47312</v>
      </c>
    </row>
    <row r="5342" spans="1:24">
      <c r="A5342">
        <f>HYPERLINK("https://www.philgeps.gov.ph/GEPSNONPILOT/Tender/SplashBidNoticeAbstractUI.aspx?menuIndex=3&amp;refID=7192370&amp;Result=3","7192370")</f>
        <v>0</v>
      </c>
      <c r="B5342" t="s">
        <v>343</v>
      </c>
      <c r="C5342" t="s">
        <v>8874</v>
      </c>
      <c r="D5342" t="s">
        <v>18993</v>
      </c>
      <c r="E5342" t="s">
        <v>23829</v>
      </c>
      <c r="F5342" t="s">
        <v>32606</v>
      </c>
      <c r="G5342" t="s">
        <v>32614</v>
      </c>
      <c r="H5342" t="s">
        <v>14201</v>
      </c>
      <c r="I5342" t="s">
        <v>4678</v>
      </c>
      <c r="J5342" t="s">
        <v>33302</v>
      </c>
      <c r="K5342" t="s">
        <v>42624</v>
      </c>
      <c r="M5342" t="s">
        <v>43833</v>
      </c>
      <c r="N5342" t="s">
        <v>47304</v>
      </c>
      <c r="O5342" t="s">
        <v>47305</v>
      </c>
      <c r="P5342">
        <v>0</v>
      </c>
      <c r="Q5342">
        <v>5</v>
      </c>
      <c r="R5342" t="s">
        <v>47308</v>
      </c>
      <c r="S5342" t="s">
        <v>47429</v>
      </c>
      <c r="T5342" t="s">
        <v>49023</v>
      </c>
      <c r="U5342" t="s">
        <v>54032</v>
      </c>
      <c r="V5342" t="s">
        <v>62856</v>
      </c>
      <c r="W5342" t="s">
        <v>43833</v>
      </c>
      <c r="X5342" t="s">
        <v>47312</v>
      </c>
    </row>
    <row r="5343" spans="1:24">
      <c r="A5343">
        <f>HYPERLINK("https://www.philgeps.gov.ph/GEPSNONPILOT/Tender/SplashBidNoticeAbstractUI.aspx?menuIndex=3&amp;refID=7192771&amp;Result=3","7192771")</f>
        <v>0</v>
      </c>
      <c r="B5343" t="s">
        <v>1175</v>
      </c>
      <c r="C5343" t="s">
        <v>8875</v>
      </c>
      <c r="D5343" t="s">
        <v>19015</v>
      </c>
      <c r="E5343" t="s">
        <v>23830</v>
      </c>
      <c r="F5343" t="s">
        <v>32606</v>
      </c>
      <c r="G5343" t="s">
        <v>32614</v>
      </c>
      <c r="H5343" t="s">
        <v>14201</v>
      </c>
      <c r="I5343" t="s">
        <v>6007</v>
      </c>
      <c r="J5343" t="s">
        <v>34709</v>
      </c>
      <c r="K5343" t="s">
        <v>42625</v>
      </c>
      <c r="M5343" t="s">
        <v>44138</v>
      </c>
      <c r="N5343" t="s">
        <v>47304</v>
      </c>
      <c r="O5343" t="s">
        <v>47305</v>
      </c>
      <c r="P5343">
        <v>0</v>
      </c>
      <c r="Q5343">
        <v>0</v>
      </c>
      <c r="R5343" t="s">
        <v>47308</v>
      </c>
      <c r="S5343" t="s">
        <v>47429</v>
      </c>
      <c r="T5343" t="s">
        <v>48972</v>
      </c>
      <c r="U5343" t="s">
        <v>54033</v>
      </c>
      <c r="W5343" t="s">
        <v>44138</v>
      </c>
      <c r="X5343" t="s">
        <v>47312</v>
      </c>
    </row>
    <row r="5344" spans="1:24">
      <c r="A5344">
        <f>HYPERLINK("https://www.philgeps.gov.ph/GEPSNONPILOT/Tender/SplashBidNoticeAbstractUI.aspx?menuIndex=3&amp;refID=7192770&amp;Result=3","7192770")</f>
        <v>0</v>
      </c>
      <c r="B5344" t="s">
        <v>1862</v>
      </c>
      <c r="C5344" t="s">
        <v>8876</v>
      </c>
      <c r="D5344" t="s">
        <v>19003</v>
      </c>
      <c r="E5344" t="s">
        <v>23831</v>
      </c>
      <c r="F5344" t="s">
        <v>32606</v>
      </c>
      <c r="G5344" t="s">
        <v>32617</v>
      </c>
      <c r="H5344" t="s">
        <v>14201</v>
      </c>
      <c r="I5344" t="s">
        <v>6478</v>
      </c>
      <c r="J5344" t="s">
        <v>36268</v>
      </c>
      <c r="K5344" t="s">
        <v>42625</v>
      </c>
      <c r="M5344" t="s">
        <v>44919</v>
      </c>
      <c r="N5344" t="s">
        <v>47304</v>
      </c>
      <c r="O5344" t="s">
        <v>47305</v>
      </c>
      <c r="P5344">
        <v>0</v>
      </c>
      <c r="Q5344">
        <v>1</v>
      </c>
      <c r="R5344" t="s">
        <v>47308</v>
      </c>
      <c r="S5344" t="s">
        <v>47429</v>
      </c>
      <c r="T5344" t="s">
        <v>49041</v>
      </c>
      <c r="U5344" t="s">
        <v>54034</v>
      </c>
      <c r="W5344" t="s">
        <v>44919</v>
      </c>
      <c r="X5344" t="s">
        <v>47312</v>
      </c>
    </row>
    <row r="5345" spans="1:24">
      <c r="A5345">
        <f>HYPERLINK("https://www.philgeps.gov.ph/GEPSNONPILOT/Tender/SplashBidNoticeAbstractUI.aspx?menuIndex=3&amp;refID=7192751&amp;Result=3","7192751")</f>
        <v>0</v>
      </c>
      <c r="B5345" t="s">
        <v>1863</v>
      </c>
      <c r="C5345" t="s">
        <v>7505</v>
      </c>
      <c r="D5345" t="s">
        <v>18994</v>
      </c>
      <c r="E5345" t="s">
        <v>19809</v>
      </c>
      <c r="F5345" t="s">
        <v>32606</v>
      </c>
      <c r="G5345" t="s">
        <v>32617</v>
      </c>
      <c r="H5345" t="s">
        <v>14201</v>
      </c>
      <c r="I5345" t="s">
        <v>4120</v>
      </c>
      <c r="J5345" t="s">
        <v>36269</v>
      </c>
      <c r="K5345" t="s">
        <v>42623</v>
      </c>
      <c r="M5345" t="s">
        <v>44920</v>
      </c>
      <c r="N5345" t="s">
        <v>47304</v>
      </c>
      <c r="O5345" t="s">
        <v>47305</v>
      </c>
      <c r="P5345">
        <v>0</v>
      </c>
      <c r="Q5345">
        <v>2</v>
      </c>
      <c r="R5345" t="s">
        <v>47308</v>
      </c>
      <c r="S5345" t="s">
        <v>47429</v>
      </c>
      <c r="T5345" t="s">
        <v>49053</v>
      </c>
      <c r="U5345" t="s">
        <v>51877</v>
      </c>
      <c r="W5345" t="s">
        <v>44920</v>
      </c>
      <c r="X5345" t="s">
        <v>47312</v>
      </c>
    </row>
    <row r="5346" spans="1:24">
      <c r="A5346">
        <f>HYPERLINK("https://www.philgeps.gov.ph/GEPSNONPILOT/Tender/SplashBidNoticeAbstractUI.aspx?menuIndex=3&amp;refID=7192709&amp;Result=3","7192709")</f>
        <v>0</v>
      </c>
      <c r="B5346" t="s">
        <v>1864</v>
      </c>
      <c r="C5346" t="s">
        <v>8877</v>
      </c>
      <c r="D5346" t="s">
        <v>19029</v>
      </c>
      <c r="E5346" t="s">
        <v>23832</v>
      </c>
      <c r="F5346" t="s">
        <v>32606</v>
      </c>
      <c r="G5346" t="s">
        <v>32613</v>
      </c>
      <c r="H5346" t="s">
        <v>14201</v>
      </c>
      <c r="I5346" t="s">
        <v>7064</v>
      </c>
      <c r="J5346" t="s">
        <v>36270</v>
      </c>
      <c r="K5346" t="s">
        <v>42630</v>
      </c>
      <c r="M5346" t="s">
        <v>44921</v>
      </c>
      <c r="N5346" t="s">
        <v>47304</v>
      </c>
      <c r="O5346" t="s">
        <v>47305</v>
      </c>
      <c r="P5346">
        <v>0</v>
      </c>
      <c r="Q5346">
        <v>6</v>
      </c>
      <c r="R5346" t="s">
        <v>47308</v>
      </c>
      <c r="S5346" t="s">
        <v>47429</v>
      </c>
      <c r="T5346" t="s">
        <v>49190</v>
      </c>
      <c r="U5346" t="s">
        <v>54035</v>
      </c>
      <c r="W5346" t="s">
        <v>44921</v>
      </c>
      <c r="X5346" t="s">
        <v>47312</v>
      </c>
    </row>
    <row r="5347" spans="1:24">
      <c r="A5347">
        <f>HYPERLINK("https://www.philgeps.gov.ph/GEPSNONPILOT/Tender/SplashBidNoticeAbstractUI.aspx?menuIndex=3&amp;refID=7192699&amp;Result=3","7192699")</f>
        <v>0</v>
      </c>
      <c r="B5347" t="s">
        <v>1864</v>
      </c>
      <c r="C5347" t="s">
        <v>8878</v>
      </c>
      <c r="D5347" t="s">
        <v>19029</v>
      </c>
      <c r="E5347" t="s">
        <v>23833</v>
      </c>
      <c r="F5347" t="s">
        <v>32606</v>
      </c>
      <c r="G5347" t="s">
        <v>32613</v>
      </c>
      <c r="H5347" t="s">
        <v>14201</v>
      </c>
      <c r="I5347" t="s">
        <v>7064</v>
      </c>
      <c r="J5347" t="s">
        <v>35749</v>
      </c>
      <c r="K5347" t="s">
        <v>42630</v>
      </c>
      <c r="M5347" t="s">
        <v>44921</v>
      </c>
      <c r="N5347" t="s">
        <v>47304</v>
      </c>
      <c r="O5347" t="s">
        <v>47305</v>
      </c>
      <c r="P5347">
        <v>0</v>
      </c>
      <c r="Q5347">
        <v>7</v>
      </c>
      <c r="R5347" t="s">
        <v>47308</v>
      </c>
      <c r="S5347" t="s">
        <v>47429</v>
      </c>
      <c r="T5347" t="s">
        <v>49190</v>
      </c>
      <c r="U5347" t="s">
        <v>54035</v>
      </c>
      <c r="W5347" t="s">
        <v>44921</v>
      </c>
      <c r="X5347" t="s">
        <v>47312</v>
      </c>
    </row>
    <row r="5348" spans="1:24">
      <c r="A5348">
        <f>HYPERLINK("https://www.philgeps.gov.ph/GEPSNONPILOT/Tender/SplashBidNoticeAbstractUI.aspx?menuIndex=3&amp;refID=7192300&amp;Result=3","7192300")</f>
        <v>0</v>
      </c>
      <c r="B5348" t="s">
        <v>167</v>
      </c>
      <c r="C5348" t="s">
        <v>8879</v>
      </c>
      <c r="D5348" t="s">
        <v>19033</v>
      </c>
      <c r="E5348" t="s">
        <v>23834</v>
      </c>
      <c r="F5348" t="s">
        <v>32606</v>
      </c>
      <c r="G5348" t="s">
        <v>32614</v>
      </c>
      <c r="H5348" t="s">
        <v>14201</v>
      </c>
      <c r="I5348" t="s">
        <v>32653</v>
      </c>
      <c r="J5348" t="s">
        <v>36271</v>
      </c>
      <c r="K5348" t="s">
        <v>42624</v>
      </c>
      <c r="M5348" t="s">
        <v>43903</v>
      </c>
      <c r="N5348" t="s">
        <v>47304</v>
      </c>
      <c r="O5348" t="s">
        <v>47305</v>
      </c>
      <c r="P5348">
        <v>0</v>
      </c>
      <c r="Q5348">
        <v>2</v>
      </c>
      <c r="R5348" t="s">
        <v>47308</v>
      </c>
      <c r="S5348" t="s">
        <v>47429</v>
      </c>
      <c r="T5348" t="s">
        <v>49095</v>
      </c>
      <c r="U5348" t="s">
        <v>54036</v>
      </c>
      <c r="V5348" t="s">
        <v>63147</v>
      </c>
      <c r="W5348" t="s">
        <v>43903</v>
      </c>
      <c r="X5348" t="s">
        <v>47312</v>
      </c>
    </row>
    <row r="5349" spans="1:24">
      <c r="A5349">
        <f>HYPERLINK("https://www.philgeps.gov.ph/GEPSNONPILOT/Tender/SplashBidNoticeAbstractUI.aspx?menuIndex=3&amp;refID=7192655&amp;Result=3","7192655")</f>
        <v>0</v>
      </c>
      <c r="B5349" t="s">
        <v>1863</v>
      </c>
      <c r="C5349" t="s">
        <v>8880</v>
      </c>
      <c r="D5349" t="s">
        <v>18994</v>
      </c>
      <c r="E5349" t="s">
        <v>19315</v>
      </c>
      <c r="F5349" t="s">
        <v>32606</v>
      </c>
      <c r="G5349" t="s">
        <v>32617</v>
      </c>
      <c r="H5349" t="s">
        <v>14201</v>
      </c>
      <c r="I5349" t="s">
        <v>4678</v>
      </c>
      <c r="J5349" t="s">
        <v>36272</v>
      </c>
      <c r="K5349" t="s">
        <v>42627</v>
      </c>
      <c r="M5349" t="s">
        <v>44920</v>
      </c>
      <c r="N5349" t="s">
        <v>47304</v>
      </c>
      <c r="O5349" t="s">
        <v>47305</v>
      </c>
      <c r="P5349">
        <v>0</v>
      </c>
      <c r="Q5349">
        <v>8</v>
      </c>
      <c r="R5349" t="s">
        <v>47308</v>
      </c>
      <c r="S5349" t="s">
        <v>47429</v>
      </c>
      <c r="T5349" t="s">
        <v>49053</v>
      </c>
      <c r="U5349" t="s">
        <v>51877</v>
      </c>
      <c r="W5349" t="s">
        <v>44920</v>
      </c>
      <c r="X5349" t="s">
        <v>47312</v>
      </c>
    </row>
    <row r="5350" spans="1:24">
      <c r="A5350">
        <f>HYPERLINK("https://www.philgeps.gov.ph/GEPSNONPILOT/Tender/SplashBidNoticeAbstractUI.aspx?menuIndex=3&amp;refID=7192645&amp;Result=3","7192645")</f>
        <v>0</v>
      </c>
      <c r="B5350" t="s">
        <v>1865</v>
      </c>
      <c r="C5350" t="s">
        <v>8881</v>
      </c>
      <c r="D5350" t="s">
        <v>18993</v>
      </c>
      <c r="E5350" t="s">
        <v>19386</v>
      </c>
      <c r="F5350" t="s">
        <v>32606</v>
      </c>
      <c r="G5350" t="s">
        <v>32619</v>
      </c>
      <c r="H5350" t="s">
        <v>14201</v>
      </c>
      <c r="I5350" t="s">
        <v>6298</v>
      </c>
      <c r="J5350" t="s">
        <v>32981</v>
      </c>
      <c r="K5350" t="s">
        <v>42632</v>
      </c>
      <c r="M5350" t="s">
        <v>44922</v>
      </c>
      <c r="N5350" t="s">
        <v>47304</v>
      </c>
      <c r="O5350" t="s">
        <v>47305</v>
      </c>
      <c r="P5350">
        <v>0</v>
      </c>
      <c r="Q5350">
        <v>1</v>
      </c>
      <c r="R5350" t="s">
        <v>47308</v>
      </c>
      <c r="S5350" t="s">
        <v>47429</v>
      </c>
      <c r="T5350" t="s">
        <v>49315</v>
      </c>
      <c r="U5350" t="s">
        <v>54037</v>
      </c>
      <c r="W5350" t="s">
        <v>44922</v>
      </c>
      <c r="X5350" t="s">
        <v>47312</v>
      </c>
    </row>
    <row r="5351" spans="1:24">
      <c r="A5351">
        <f>HYPERLINK("https://www.philgeps.gov.ph/GEPSNONPILOT/Tender/SplashBidNoticeAbstractUI.aspx?menuIndex=3&amp;refID=7192563&amp;Result=3","7192563")</f>
        <v>0</v>
      </c>
      <c r="B5351" t="s">
        <v>102</v>
      </c>
      <c r="C5351" t="s">
        <v>8882</v>
      </c>
      <c r="D5351" t="s">
        <v>19006</v>
      </c>
      <c r="E5351" t="s">
        <v>23835</v>
      </c>
      <c r="F5351" t="s">
        <v>32606</v>
      </c>
      <c r="G5351" t="s">
        <v>32615</v>
      </c>
      <c r="H5351" t="s">
        <v>14201</v>
      </c>
      <c r="I5351" t="s">
        <v>6931</v>
      </c>
      <c r="J5351" t="s">
        <v>36273</v>
      </c>
      <c r="K5351" t="s">
        <v>42623</v>
      </c>
      <c r="M5351" t="s">
        <v>43000</v>
      </c>
      <c r="N5351" t="s">
        <v>47304</v>
      </c>
      <c r="O5351" t="s">
        <v>47305</v>
      </c>
      <c r="P5351">
        <v>0</v>
      </c>
      <c r="Q5351">
        <v>1</v>
      </c>
      <c r="R5351" t="s">
        <v>47308</v>
      </c>
      <c r="S5351" t="s">
        <v>47429</v>
      </c>
      <c r="T5351" t="s">
        <v>49313</v>
      </c>
      <c r="U5351" t="s">
        <v>49696</v>
      </c>
      <c r="W5351" t="s">
        <v>43000</v>
      </c>
      <c r="X5351" t="s">
        <v>47312</v>
      </c>
    </row>
    <row r="5352" spans="1:24">
      <c r="A5352">
        <f>HYPERLINK("https://www.philgeps.gov.ph/GEPSNONPILOT/Tender/SplashBidNoticeAbstractUI.aspx?menuIndex=3&amp;refID=7192443&amp;Result=3","7192443")</f>
        <v>0</v>
      </c>
      <c r="B5352" t="s">
        <v>1857</v>
      </c>
      <c r="C5352" t="s">
        <v>8883</v>
      </c>
      <c r="D5352" t="s">
        <v>19043</v>
      </c>
      <c r="E5352" t="s">
        <v>23836</v>
      </c>
      <c r="F5352" t="s">
        <v>32607</v>
      </c>
      <c r="G5352" t="s">
        <v>32619</v>
      </c>
      <c r="H5352" t="s">
        <v>32623</v>
      </c>
      <c r="I5352" t="s">
        <v>32675</v>
      </c>
      <c r="J5352" t="s">
        <v>36274</v>
      </c>
      <c r="K5352" t="s">
        <v>42639</v>
      </c>
      <c r="M5352" t="s">
        <v>44914</v>
      </c>
      <c r="N5352" t="s">
        <v>47304</v>
      </c>
      <c r="O5352" t="s">
        <v>47305</v>
      </c>
      <c r="P5352">
        <v>0</v>
      </c>
      <c r="Q5352">
        <v>0</v>
      </c>
      <c r="R5352" t="s">
        <v>47308</v>
      </c>
      <c r="S5352" t="s">
        <v>47429</v>
      </c>
      <c r="T5352" t="s">
        <v>48998</v>
      </c>
      <c r="U5352" t="s">
        <v>54038</v>
      </c>
      <c r="W5352" t="s">
        <v>44914</v>
      </c>
      <c r="X5352" t="s">
        <v>47312</v>
      </c>
    </row>
    <row r="5353" spans="1:24">
      <c r="A5353">
        <f>HYPERLINK("https://www.philgeps.gov.ph/GEPSNONPILOT/Tender/SplashBidNoticeAbstractUI.aspx?menuIndex=3&amp;refID=7192516&amp;Result=3","7192516")</f>
        <v>0</v>
      </c>
      <c r="B5353" t="s">
        <v>1014</v>
      </c>
      <c r="C5353" t="s">
        <v>8884</v>
      </c>
      <c r="D5353" t="s">
        <v>18995</v>
      </c>
      <c r="E5353" t="s">
        <v>23837</v>
      </c>
      <c r="F5353" t="s">
        <v>32606</v>
      </c>
      <c r="G5353" t="s">
        <v>32614</v>
      </c>
      <c r="H5353" t="s">
        <v>14201</v>
      </c>
      <c r="I5353" t="s">
        <v>4112</v>
      </c>
      <c r="J5353" t="s">
        <v>33771</v>
      </c>
      <c r="K5353" t="s">
        <v>42646</v>
      </c>
      <c r="M5353" t="s">
        <v>44868</v>
      </c>
      <c r="N5353" t="s">
        <v>47304</v>
      </c>
      <c r="O5353" t="s">
        <v>47305</v>
      </c>
      <c r="P5353">
        <v>0</v>
      </c>
      <c r="Q5353">
        <v>2</v>
      </c>
      <c r="R5353" t="s">
        <v>47308</v>
      </c>
      <c r="S5353" t="s">
        <v>47429</v>
      </c>
      <c r="T5353" t="s">
        <v>48982</v>
      </c>
      <c r="U5353" t="s">
        <v>54039</v>
      </c>
      <c r="W5353" t="s">
        <v>44868</v>
      </c>
      <c r="X5353" t="s">
        <v>47312</v>
      </c>
    </row>
    <row r="5354" spans="1:24">
      <c r="A5354">
        <f>HYPERLINK("https://www.philgeps.gov.ph/GEPSNONPILOT/Tender/SplashBidNoticeAbstractUI.aspx?menuIndex=3&amp;refID=7192508&amp;Result=3","7192508")</f>
        <v>0</v>
      </c>
      <c r="B5354" t="s">
        <v>661</v>
      </c>
      <c r="C5354" t="s">
        <v>8885</v>
      </c>
      <c r="D5354" t="s">
        <v>19011</v>
      </c>
      <c r="E5354" t="s">
        <v>23838</v>
      </c>
      <c r="F5354" t="s">
        <v>32606</v>
      </c>
      <c r="G5354" t="s">
        <v>32613</v>
      </c>
      <c r="H5354" t="s">
        <v>14201</v>
      </c>
      <c r="I5354" t="s">
        <v>32633</v>
      </c>
      <c r="J5354" t="s">
        <v>36275</v>
      </c>
      <c r="K5354" t="s">
        <v>42631</v>
      </c>
      <c r="M5354" t="s">
        <v>43581</v>
      </c>
      <c r="N5354" t="s">
        <v>47304</v>
      </c>
      <c r="O5354" t="s">
        <v>47305</v>
      </c>
      <c r="P5354">
        <v>0</v>
      </c>
      <c r="Q5354">
        <v>8</v>
      </c>
      <c r="R5354" t="s">
        <v>47308</v>
      </c>
      <c r="S5354" t="s">
        <v>47429</v>
      </c>
      <c r="T5354" t="s">
        <v>49048</v>
      </c>
      <c r="U5354" t="s">
        <v>54040</v>
      </c>
      <c r="W5354" t="s">
        <v>43581</v>
      </c>
      <c r="X5354" t="s">
        <v>47312</v>
      </c>
    </row>
    <row r="5355" spans="1:24">
      <c r="A5355">
        <f>HYPERLINK("https://www.philgeps.gov.ph/GEPSNONPILOT/Tender/SplashBidNoticeAbstractUI.aspx?menuIndex=3&amp;refID=7192487&amp;Result=3","7192487")</f>
        <v>0</v>
      </c>
      <c r="B5355" t="s">
        <v>1360</v>
      </c>
      <c r="C5355" t="s">
        <v>8886</v>
      </c>
      <c r="D5355" t="s">
        <v>19042</v>
      </c>
      <c r="E5355" t="s">
        <v>23839</v>
      </c>
      <c r="F5355" t="s">
        <v>32606</v>
      </c>
      <c r="G5355" t="s">
        <v>32614</v>
      </c>
      <c r="H5355" t="s">
        <v>14201</v>
      </c>
      <c r="I5355" t="s">
        <v>6298</v>
      </c>
      <c r="J5355" t="s">
        <v>35100</v>
      </c>
      <c r="K5355" t="s">
        <v>42623</v>
      </c>
      <c r="M5355" t="s">
        <v>44336</v>
      </c>
      <c r="N5355" t="s">
        <v>47304</v>
      </c>
      <c r="O5355" t="s">
        <v>47305</v>
      </c>
      <c r="P5355">
        <v>0</v>
      </c>
      <c r="Q5355">
        <v>0</v>
      </c>
      <c r="R5355" t="s">
        <v>47308</v>
      </c>
      <c r="S5355" t="s">
        <v>47429</v>
      </c>
      <c r="T5355" t="s">
        <v>49012</v>
      </c>
      <c r="U5355" t="s">
        <v>52390</v>
      </c>
      <c r="W5355" t="s">
        <v>44336</v>
      </c>
      <c r="X5355" t="s">
        <v>47312</v>
      </c>
    </row>
    <row r="5356" spans="1:24">
      <c r="A5356">
        <f>HYPERLINK("https://www.philgeps.gov.ph/GEPSNONPILOT/Tender/SplashBidNoticeAbstractUI.aspx?menuIndex=3&amp;refID=7192474&amp;Result=3","7192474")</f>
        <v>0</v>
      </c>
      <c r="B5356" t="s">
        <v>1014</v>
      </c>
      <c r="C5356" t="s">
        <v>8887</v>
      </c>
      <c r="D5356" t="s">
        <v>18995</v>
      </c>
      <c r="E5356" t="s">
        <v>23840</v>
      </c>
      <c r="F5356" t="s">
        <v>32606</v>
      </c>
      <c r="G5356" t="s">
        <v>32614</v>
      </c>
      <c r="H5356" t="s">
        <v>14201</v>
      </c>
      <c r="I5356" t="s">
        <v>4112</v>
      </c>
      <c r="J5356" t="s">
        <v>33123</v>
      </c>
      <c r="K5356" t="s">
        <v>42646</v>
      </c>
      <c r="M5356" t="s">
        <v>44868</v>
      </c>
      <c r="N5356" t="s">
        <v>47304</v>
      </c>
      <c r="O5356" t="s">
        <v>47305</v>
      </c>
      <c r="P5356">
        <v>0</v>
      </c>
      <c r="Q5356">
        <v>2</v>
      </c>
      <c r="R5356" t="s">
        <v>47308</v>
      </c>
      <c r="S5356" t="s">
        <v>47429</v>
      </c>
      <c r="T5356" t="s">
        <v>48982</v>
      </c>
      <c r="U5356" t="s">
        <v>54041</v>
      </c>
      <c r="W5356" t="s">
        <v>44868</v>
      </c>
      <c r="X5356" t="s">
        <v>47312</v>
      </c>
    </row>
    <row r="5357" spans="1:24">
      <c r="A5357">
        <f>HYPERLINK("https://www.philgeps.gov.ph/GEPSNONPILOT/Tender/SplashBidNoticeAbstractUI.aspx?menuIndex=3&amp;refID=7192467&amp;Result=3","7192467")</f>
        <v>0</v>
      </c>
      <c r="B5357" t="s">
        <v>661</v>
      </c>
      <c r="C5357" t="s">
        <v>8888</v>
      </c>
      <c r="D5357" t="s">
        <v>19011</v>
      </c>
      <c r="E5357" t="s">
        <v>23841</v>
      </c>
      <c r="F5357" t="s">
        <v>32606</v>
      </c>
      <c r="G5357" t="s">
        <v>32613</v>
      </c>
      <c r="H5357" t="s">
        <v>14201</v>
      </c>
      <c r="I5357" t="s">
        <v>7677</v>
      </c>
      <c r="J5357" t="s">
        <v>36276</v>
      </c>
      <c r="K5357" t="s">
        <v>42631</v>
      </c>
      <c r="M5357" t="s">
        <v>43581</v>
      </c>
      <c r="N5357" t="s">
        <v>47304</v>
      </c>
      <c r="O5357" t="s">
        <v>47305</v>
      </c>
      <c r="P5357">
        <v>0</v>
      </c>
      <c r="Q5357">
        <v>5</v>
      </c>
      <c r="R5357" t="s">
        <v>47308</v>
      </c>
      <c r="S5357" t="s">
        <v>47429</v>
      </c>
      <c r="T5357" t="s">
        <v>49048</v>
      </c>
      <c r="U5357" t="s">
        <v>54040</v>
      </c>
      <c r="W5357" t="s">
        <v>43581</v>
      </c>
      <c r="X5357" t="s">
        <v>47312</v>
      </c>
    </row>
    <row r="5358" spans="1:24">
      <c r="A5358">
        <f>HYPERLINK("https://www.philgeps.gov.ph/GEPSNONPILOT/Tender/SplashBidNoticeAbstractUI.aspx?menuIndex=3&amp;refID=7192461&amp;Result=3","7192461")</f>
        <v>0</v>
      </c>
      <c r="B5358" t="s">
        <v>1866</v>
      </c>
      <c r="C5358" t="s">
        <v>8889</v>
      </c>
      <c r="D5358" t="s">
        <v>19058</v>
      </c>
      <c r="E5358" t="s">
        <v>20220</v>
      </c>
      <c r="F5358" t="s">
        <v>32606</v>
      </c>
      <c r="G5358" t="s">
        <v>32613</v>
      </c>
      <c r="H5358" t="s">
        <v>32623</v>
      </c>
      <c r="I5358" t="s">
        <v>17648</v>
      </c>
      <c r="J5358" t="s">
        <v>32770</v>
      </c>
      <c r="K5358" t="s">
        <v>42630</v>
      </c>
      <c r="M5358" t="s">
        <v>44923</v>
      </c>
      <c r="N5358" t="s">
        <v>47304</v>
      </c>
      <c r="O5358" t="s">
        <v>47305</v>
      </c>
      <c r="P5358">
        <v>0</v>
      </c>
      <c r="Q5358">
        <v>0</v>
      </c>
      <c r="R5358" t="s">
        <v>47308</v>
      </c>
      <c r="S5358" t="s">
        <v>47429</v>
      </c>
      <c r="T5358" t="s">
        <v>49149</v>
      </c>
      <c r="U5358" t="s">
        <v>54042</v>
      </c>
      <c r="W5358" t="s">
        <v>44923</v>
      </c>
      <c r="X5358" t="s">
        <v>47312</v>
      </c>
    </row>
    <row r="5359" spans="1:24">
      <c r="A5359">
        <f>HYPERLINK("https://www.philgeps.gov.ph/GEPSNONPILOT/Tender/SplashBidNoticeAbstractUI.aspx?menuIndex=3&amp;refID=7192633&amp;Result=3","7192633")</f>
        <v>0</v>
      </c>
      <c r="B5359" t="s">
        <v>1389</v>
      </c>
      <c r="C5359" t="s">
        <v>8890</v>
      </c>
      <c r="D5359" t="s">
        <v>18992</v>
      </c>
      <c r="E5359" t="s">
        <v>19360</v>
      </c>
      <c r="F5359" t="s">
        <v>32606</v>
      </c>
      <c r="G5359" t="s">
        <v>32613</v>
      </c>
      <c r="H5359" t="s">
        <v>32623</v>
      </c>
      <c r="I5359" t="s">
        <v>17648</v>
      </c>
      <c r="J5359" t="s">
        <v>36277</v>
      </c>
      <c r="K5359" t="s">
        <v>42712</v>
      </c>
      <c r="M5359" t="s">
        <v>44371</v>
      </c>
      <c r="N5359" t="s">
        <v>47304</v>
      </c>
      <c r="O5359" t="s">
        <v>47305</v>
      </c>
      <c r="P5359">
        <v>0</v>
      </c>
      <c r="Q5359">
        <v>0</v>
      </c>
      <c r="R5359" t="s">
        <v>47308</v>
      </c>
      <c r="S5359" t="s">
        <v>47429</v>
      </c>
      <c r="T5359" t="s">
        <v>49005</v>
      </c>
      <c r="U5359" t="s">
        <v>54043</v>
      </c>
      <c r="V5359" t="s">
        <v>63148</v>
      </c>
      <c r="W5359" t="s">
        <v>44371</v>
      </c>
      <c r="X5359" t="s">
        <v>47312</v>
      </c>
    </row>
    <row r="5360" spans="1:24">
      <c r="A5360">
        <f>HYPERLINK("https://www.philgeps.gov.ph/GEPSNONPILOT/Tender/SplashBidNoticeAbstractUI.aspx?menuIndex=3&amp;refID=7191610&amp;Result=3","7191610")</f>
        <v>0</v>
      </c>
      <c r="B5360" t="s">
        <v>755</v>
      </c>
      <c r="C5360" t="s">
        <v>8891</v>
      </c>
      <c r="D5360" t="s">
        <v>18988</v>
      </c>
      <c r="E5360" t="s">
        <v>23842</v>
      </c>
      <c r="F5360" t="s">
        <v>32606</v>
      </c>
      <c r="G5360" t="s">
        <v>32614</v>
      </c>
      <c r="H5360" t="s">
        <v>14201</v>
      </c>
      <c r="I5360" t="s">
        <v>17648</v>
      </c>
      <c r="J5360" t="s">
        <v>36278</v>
      </c>
      <c r="K5360" t="s">
        <v>42624</v>
      </c>
      <c r="M5360" t="s">
        <v>44863</v>
      </c>
      <c r="N5360" t="s">
        <v>47304</v>
      </c>
      <c r="O5360" t="s">
        <v>47305</v>
      </c>
      <c r="P5360">
        <v>0</v>
      </c>
      <c r="Q5360">
        <v>0</v>
      </c>
      <c r="R5360" t="s">
        <v>47308</v>
      </c>
      <c r="S5360" t="s">
        <v>47429</v>
      </c>
      <c r="T5360" t="s">
        <v>49165</v>
      </c>
      <c r="U5360" t="s">
        <v>53849</v>
      </c>
      <c r="W5360" t="s">
        <v>44863</v>
      </c>
      <c r="X5360" t="s">
        <v>47312</v>
      </c>
    </row>
    <row r="5361" spans="1:24">
      <c r="A5361">
        <f>HYPERLINK("https://www.philgeps.gov.ph/GEPSNONPILOT/Tender/SplashBidNoticeAbstractUI.aspx?menuIndex=3&amp;refID=7192456&amp;Result=3","7192456")</f>
        <v>0</v>
      </c>
      <c r="B5361" t="s">
        <v>70</v>
      </c>
      <c r="C5361" t="s">
        <v>8892</v>
      </c>
      <c r="D5361" t="s">
        <v>18993</v>
      </c>
      <c r="E5361" t="s">
        <v>23843</v>
      </c>
      <c r="F5361" t="s">
        <v>32606</v>
      </c>
      <c r="G5361" t="s">
        <v>32614</v>
      </c>
      <c r="H5361" t="s">
        <v>14201</v>
      </c>
      <c r="I5361" t="s">
        <v>6931</v>
      </c>
      <c r="J5361" t="s">
        <v>36279</v>
      </c>
      <c r="K5361" t="s">
        <v>42632</v>
      </c>
      <c r="M5361" t="s">
        <v>44875</v>
      </c>
      <c r="N5361" t="s">
        <v>47304</v>
      </c>
      <c r="O5361" t="s">
        <v>47305</v>
      </c>
      <c r="P5361">
        <v>0</v>
      </c>
      <c r="Q5361">
        <v>1</v>
      </c>
      <c r="R5361" t="s">
        <v>47308</v>
      </c>
      <c r="S5361" t="s">
        <v>47429</v>
      </c>
      <c r="T5361" t="s">
        <v>48998</v>
      </c>
      <c r="U5361" t="s">
        <v>54044</v>
      </c>
      <c r="W5361" t="s">
        <v>44875</v>
      </c>
      <c r="X5361" t="s">
        <v>47312</v>
      </c>
    </row>
    <row r="5362" spans="1:24">
      <c r="A5362">
        <f>HYPERLINK("https://www.philgeps.gov.ph/GEPSNONPILOT/Tender/SplashBidNoticeAbstractUI.aspx?menuIndex=3&amp;refID=7192494&amp;Result=3","7192494")</f>
        <v>0</v>
      </c>
      <c r="B5362" t="s">
        <v>1835</v>
      </c>
      <c r="C5362" t="s">
        <v>8893</v>
      </c>
      <c r="D5362" t="s">
        <v>19041</v>
      </c>
      <c r="E5362" t="s">
        <v>23844</v>
      </c>
      <c r="F5362" t="s">
        <v>32606</v>
      </c>
      <c r="G5362" t="s">
        <v>32614</v>
      </c>
      <c r="H5362" t="s">
        <v>14201</v>
      </c>
      <c r="I5362" t="s">
        <v>6931</v>
      </c>
      <c r="J5362" t="s">
        <v>32752</v>
      </c>
      <c r="K5362" t="s">
        <v>42623</v>
      </c>
      <c r="M5362" t="s">
        <v>44886</v>
      </c>
      <c r="N5362" t="s">
        <v>47304</v>
      </c>
      <c r="O5362" t="s">
        <v>47305</v>
      </c>
      <c r="P5362">
        <v>0</v>
      </c>
      <c r="Q5362">
        <v>0</v>
      </c>
      <c r="R5362" t="s">
        <v>47308</v>
      </c>
      <c r="S5362" t="s">
        <v>47429</v>
      </c>
      <c r="T5362" t="s">
        <v>48998</v>
      </c>
      <c r="U5362" t="s">
        <v>54045</v>
      </c>
      <c r="V5362" t="s">
        <v>63149</v>
      </c>
      <c r="W5362" t="s">
        <v>44886</v>
      </c>
      <c r="X5362" t="s">
        <v>47312</v>
      </c>
    </row>
    <row r="5363" spans="1:24">
      <c r="A5363">
        <f>HYPERLINK("https://www.philgeps.gov.ph/GEPSNONPILOT/Tender/SplashBidNoticeAbstractUI.aspx?menuIndex=3&amp;refID=7192269&amp;Result=3","7192269")</f>
        <v>0</v>
      </c>
      <c r="B5363" t="s">
        <v>167</v>
      </c>
      <c r="C5363" t="s">
        <v>8872</v>
      </c>
      <c r="D5363" t="s">
        <v>19033</v>
      </c>
      <c r="E5363" t="s">
        <v>23845</v>
      </c>
      <c r="F5363" t="s">
        <v>32606</v>
      </c>
      <c r="G5363" t="s">
        <v>32614</v>
      </c>
      <c r="H5363" t="s">
        <v>14201</v>
      </c>
      <c r="I5363" t="s">
        <v>7233</v>
      </c>
      <c r="J5363" t="s">
        <v>36280</v>
      </c>
      <c r="K5363" t="s">
        <v>42624</v>
      </c>
      <c r="M5363" t="s">
        <v>43903</v>
      </c>
      <c r="N5363" t="s">
        <v>47304</v>
      </c>
      <c r="O5363" t="s">
        <v>47305</v>
      </c>
      <c r="P5363">
        <v>0</v>
      </c>
      <c r="Q5363">
        <v>0</v>
      </c>
      <c r="R5363" t="s">
        <v>47308</v>
      </c>
      <c r="S5363" t="s">
        <v>47429</v>
      </c>
      <c r="T5363" t="s">
        <v>49095</v>
      </c>
      <c r="U5363" t="s">
        <v>54046</v>
      </c>
      <c r="V5363" t="s">
        <v>63150</v>
      </c>
      <c r="W5363" t="s">
        <v>43903</v>
      </c>
      <c r="X5363" t="s">
        <v>47312</v>
      </c>
    </row>
    <row r="5364" spans="1:24">
      <c r="A5364">
        <f>HYPERLINK("https://www.philgeps.gov.ph/GEPSNONPILOT/Tender/SplashBidNoticeAbstractUI.aspx?menuIndex=3&amp;refID=7192267&amp;Result=3","7192267")</f>
        <v>0</v>
      </c>
      <c r="B5364" t="s">
        <v>418</v>
      </c>
      <c r="C5364" t="s">
        <v>8894</v>
      </c>
      <c r="D5364" t="s">
        <v>19006</v>
      </c>
      <c r="E5364" t="s">
        <v>23846</v>
      </c>
      <c r="F5364" t="s">
        <v>32606</v>
      </c>
      <c r="G5364" t="s">
        <v>32614</v>
      </c>
      <c r="H5364" t="s">
        <v>14201</v>
      </c>
      <c r="I5364" t="s">
        <v>32654</v>
      </c>
      <c r="J5364" t="s">
        <v>33067</v>
      </c>
      <c r="K5364" t="s">
        <v>42629</v>
      </c>
      <c r="M5364" t="s">
        <v>43322</v>
      </c>
      <c r="N5364" t="s">
        <v>47304</v>
      </c>
      <c r="O5364" t="s">
        <v>47305</v>
      </c>
      <c r="P5364">
        <v>0</v>
      </c>
      <c r="Q5364">
        <v>0</v>
      </c>
      <c r="R5364" t="s">
        <v>47308</v>
      </c>
      <c r="S5364" t="s">
        <v>47429</v>
      </c>
      <c r="T5364" t="s">
        <v>49165</v>
      </c>
      <c r="U5364" t="s">
        <v>54028</v>
      </c>
      <c r="W5364" t="s">
        <v>43322</v>
      </c>
      <c r="X5364" t="s">
        <v>47312</v>
      </c>
    </row>
    <row r="5365" spans="1:24">
      <c r="A5365">
        <f>HYPERLINK("https://www.philgeps.gov.ph/GEPSNONPILOT/Tender/SplashBidNoticeAbstractUI.aspx?menuIndex=3&amp;refID=7192469&amp;Result=3","7192469")</f>
        <v>0</v>
      </c>
      <c r="B5365" t="s">
        <v>1867</v>
      </c>
      <c r="C5365" t="s">
        <v>8895</v>
      </c>
      <c r="D5365" t="s">
        <v>18993</v>
      </c>
      <c r="E5365" t="s">
        <v>23847</v>
      </c>
      <c r="F5365" t="s">
        <v>32606</v>
      </c>
      <c r="G5365" t="s">
        <v>32613</v>
      </c>
      <c r="H5365" t="s">
        <v>14201</v>
      </c>
      <c r="I5365" t="s">
        <v>6478</v>
      </c>
      <c r="J5365" t="s">
        <v>36281</v>
      </c>
      <c r="K5365" t="s">
        <v>42632</v>
      </c>
      <c r="M5365" t="s">
        <v>44924</v>
      </c>
      <c r="N5365" t="s">
        <v>47304</v>
      </c>
      <c r="O5365" t="s">
        <v>47305</v>
      </c>
      <c r="P5365">
        <v>0</v>
      </c>
      <c r="Q5365">
        <v>2</v>
      </c>
      <c r="R5365" t="s">
        <v>47308</v>
      </c>
      <c r="S5365" t="s">
        <v>47429</v>
      </c>
      <c r="T5365" t="s">
        <v>49087</v>
      </c>
      <c r="U5365" t="s">
        <v>54047</v>
      </c>
      <c r="V5365" t="s">
        <v>63151</v>
      </c>
      <c r="W5365" t="s">
        <v>44924</v>
      </c>
      <c r="X5365" t="s">
        <v>47312</v>
      </c>
    </row>
    <row r="5366" spans="1:24">
      <c r="A5366">
        <f>HYPERLINK("https://www.philgeps.gov.ph/GEPSNONPILOT/Tender/SplashBidNoticeAbstractUI.aspx?menuIndex=3&amp;refID=7192172&amp;Result=3","7192172")</f>
        <v>0</v>
      </c>
      <c r="B5366" t="s">
        <v>167</v>
      </c>
      <c r="C5366" t="s">
        <v>8896</v>
      </c>
      <c r="D5366" t="s">
        <v>19033</v>
      </c>
      <c r="E5366" t="s">
        <v>23848</v>
      </c>
      <c r="F5366" t="s">
        <v>32606</v>
      </c>
      <c r="G5366" t="s">
        <v>32619</v>
      </c>
      <c r="H5366" t="s">
        <v>14201</v>
      </c>
      <c r="I5366" t="s">
        <v>13131</v>
      </c>
      <c r="J5366" t="s">
        <v>36282</v>
      </c>
      <c r="K5366" t="s">
        <v>42624</v>
      </c>
      <c r="M5366" t="s">
        <v>43903</v>
      </c>
      <c r="N5366" t="s">
        <v>47304</v>
      </c>
      <c r="O5366" t="s">
        <v>47305</v>
      </c>
      <c r="P5366">
        <v>0</v>
      </c>
      <c r="Q5366">
        <v>0</v>
      </c>
      <c r="R5366" t="s">
        <v>47308</v>
      </c>
      <c r="S5366" t="s">
        <v>47429</v>
      </c>
      <c r="T5366" t="s">
        <v>49095</v>
      </c>
      <c r="U5366" t="s">
        <v>54048</v>
      </c>
      <c r="V5366" t="s">
        <v>63152</v>
      </c>
      <c r="W5366" t="s">
        <v>43903</v>
      </c>
      <c r="X5366" t="s">
        <v>47312</v>
      </c>
    </row>
    <row r="5367" spans="1:24">
      <c r="A5367">
        <f>HYPERLINK("https://www.philgeps.gov.ph/GEPSNONPILOT/Tender/SplashBidNoticeAbstractUI.aspx?menuIndex=3&amp;refID=7192155&amp;Result=3","7192155")</f>
        <v>0</v>
      </c>
      <c r="B5367" t="s">
        <v>1801</v>
      </c>
      <c r="C5367" t="s">
        <v>8897</v>
      </c>
      <c r="E5367" t="s">
        <v>20282</v>
      </c>
      <c r="F5367" t="s">
        <v>32606</v>
      </c>
      <c r="G5367" t="s">
        <v>32613</v>
      </c>
      <c r="H5367" t="s">
        <v>14201</v>
      </c>
      <c r="I5367" t="s">
        <v>32686</v>
      </c>
      <c r="J5367" t="s">
        <v>34591</v>
      </c>
      <c r="K5367" t="s">
        <v>42624</v>
      </c>
      <c r="M5367" t="s">
        <v>44842</v>
      </c>
      <c r="N5367" t="s">
        <v>47304</v>
      </c>
      <c r="O5367" t="s">
        <v>47305</v>
      </c>
      <c r="P5367">
        <v>0</v>
      </c>
      <c r="Q5367">
        <v>4</v>
      </c>
      <c r="R5367" t="s">
        <v>47308</v>
      </c>
      <c r="S5367" t="s">
        <v>47429</v>
      </c>
      <c r="T5367" t="s">
        <v>49304</v>
      </c>
      <c r="U5367" t="s">
        <v>54049</v>
      </c>
      <c r="W5367" t="s">
        <v>44842</v>
      </c>
      <c r="X5367" t="s">
        <v>47312</v>
      </c>
    </row>
    <row r="5368" spans="1:24">
      <c r="A5368">
        <f>HYPERLINK("https://www.philgeps.gov.ph/GEPSNONPILOT/Tender/SplashBidNoticeAbstractUI.aspx?menuIndex=3&amp;refID=7191952&amp;Result=3","7191952")</f>
        <v>0</v>
      </c>
      <c r="B5368" t="s">
        <v>1848</v>
      </c>
      <c r="C5368" t="s">
        <v>8898</v>
      </c>
      <c r="D5368" t="s">
        <v>19006</v>
      </c>
      <c r="E5368" t="s">
        <v>19670</v>
      </c>
      <c r="F5368" t="s">
        <v>32606</v>
      </c>
      <c r="G5368" t="s">
        <v>32619</v>
      </c>
      <c r="H5368" t="s">
        <v>14201</v>
      </c>
      <c r="I5368" t="s">
        <v>32658</v>
      </c>
      <c r="J5368" t="s">
        <v>36283</v>
      </c>
      <c r="K5368" t="s">
        <v>42630</v>
      </c>
      <c r="M5368" t="s">
        <v>44902</v>
      </c>
      <c r="N5368" t="s">
        <v>47304</v>
      </c>
      <c r="O5368" t="s">
        <v>47305</v>
      </c>
      <c r="P5368">
        <v>0</v>
      </c>
      <c r="Q5368">
        <v>4</v>
      </c>
      <c r="R5368" t="s">
        <v>47308</v>
      </c>
      <c r="S5368" t="s">
        <v>47429</v>
      </c>
      <c r="T5368" t="s">
        <v>48975</v>
      </c>
      <c r="U5368" t="s">
        <v>54050</v>
      </c>
      <c r="W5368" t="s">
        <v>44902</v>
      </c>
      <c r="X5368" t="s">
        <v>47312</v>
      </c>
    </row>
    <row r="5369" spans="1:24">
      <c r="A5369">
        <f>HYPERLINK("https://www.philgeps.gov.ph/GEPSNONPILOT/Tender/SplashBidNoticeAbstractUI.aspx?menuIndex=3&amp;refID=7196673&amp;Result=3","7196673")</f>
        <v>0</v>
      </c>
      <c r="B5369" t="s">
        <v>1854</v>
      </c>
      <c r="C5369" t="s">
        <v>8899</v>
      </c>
      <c r="D5369" t="s">
        <v>19034</v>
      </c>
      <c r="E5369" t="s">
        <v>23849</v>
      </c>
      <c r="F5369" t="s">
        <v>32606</v>
      </c>
      <c r="G5369" t="s">
        <v>32614</v>
      </c>
      <c r="H5369" t="s">
        <v>14201</v>
      </c>
      <c r="I5369" t="s">
        <v>6993</v>
      </c>
      <c r="J5369" t="s">
        <v>33195</v>
      </c>
      <c r="K5369" t="s">
        <v>42629</v>
      </c>
      <c r="M5369" t="s">
        <v>44908</v>
      </c>
      <c r="N5369" t="s">
        <v>47304</v>
      </c>
      <c r="O5369" t="s">
        <v>47305</v>
      </c>
      <c r="P5369">
        <v>0</v>
      </c>
      <c r="Q5369">
        <v>1</v>
      </c>
      <c r="R5369" t="s">
        <v>47306</v>
      </c>
      <c r="S5369" t="s">
        <v>47414</v>
      </c>
      <c r="T5369" t="s">
        <v>48986</v>
      </c>
      <c r="U5369" t="s">
        <v>53981</v>
      </c>
      <c r="W5369" t="s">
        <v>44908</v>
      </c>
      <c r="X5369" t="s">
        <v>47308</v>
      </c>
    </row>
    <row r="5370" spans="1:24">
      <c r="A5370">
        <f>HYPERLINK("https://www.philgeps.gov.ph/GEPSNONPILOT/Tender/SplashBidNoticeAbstractUI.aspx?menuIndex=3&amp;refID=7192272&amp;Result=3","7192272")</f>
        <v>0</v>
      </c>
      <c r="B5370" t="s">
        <v>1687</v>
      </c>
      <c r="C5370" t="s">
        <v>8900</v>
      </c>
      <c r="D5370" t="s">
        <v>19008</v>
      </c>
      <c r="E5370" t="s">
        <v>23850</v>
      </c>
      <c r="F5370" t="s">
        <v>32606</v>
      </c>
      <c r="G5370" t="s">
        <v>32614</v>
      </c>
      <c r="H5370" t="s">
        <v>14201</v>
      </c>
      <c r="I5370" t="s">
        <v>6993</v>
      </c>
      <c r="J5370" t="s">
        <v>36284</v>
      </c>
      <c r="K5370" t="s">
        <v>42623</v>
      </c>
      <c r="M5370" t="s">
        <v>44872</v>
      </c>
      <c r="N5370" t="s">
        <v>47304</v>
      </c>
      <c r="O5370" t="s">
        <v>47305</v>
      </c>
      <c r="P5370">
        <v>0</v>
      </c>
      <c r="Q5370">
        <v>1</v>
      </c>
      <c r="R5370" t="s">
        <v>47308</v>
      </c>
      <c r="S5370" t="s">
        <v>47429</v>
      </c>
      <c r="T5370" t="s">
        <v>49257</v>
      </c>
      <c r="U5370" t="s">
        <v>54051</v>
      </c>
      <c r="W5370" t="s">
        <v>44872</v>
      </c>
      <c r="X5370" t="s">
        <v>47312</v>
      </c>
    </row>
    <row r="5371" spans="1:24">
      <c r="A5371">
        <f>HYPERLINK("https://www.philgeps.gov.ph/GEPSNONPILOT/Tender/SplashBidNoticeAbstractUI.aspx?menuIndex=3&amp;refID=7196650&amp;Result=3","7196650")</f>
        <v>0</v>
      </c>
      <c r="B5371" t="s">
        <v>497</v>
      </c>
      <c r="C5371" t="s">
        <v>4789</v>
      </c>
      <c r="D5371" t="s">
        <v>18991</v>
      </c>
      <c r="E5371" t="s">
        <v>23851</v>
      </c>
      <c r="F5371" t="s">
        <v>32606</v>
      </c>
      <c r="G5371" t="s">
        <v>32614</v>
      </c>
      <c r="H5371" t="s">
        <v>14201</v>
      </c>
      <c r="I5371" t="s">
        <v>32689</v>
      </c>
      <c r="J5371" t="s">
        <v>36285</v>
      </c>
      <c r="K5371" t="s">
        <v>42624</v>
      </c>
      <c r="M5371" t="s">
        <v>43410</v>
      </c>
      <c r="N5371" t="s">
        <v>47304</v>
      </c>
      <c r="O5371" t="s">
        <v>47305</v>
      </c>
      <c r="P5371">
        <v>0</v>
      </c>
      <c r="Q5371">
        <v>0</v>
      </c>
      <c r="R5371" t="s">
        <v>47306</v>
      </c>
      <c r="S5371" t="s">
        <v>47414</v>
      </c>
      <c r="T5371" t="s">
        <v>49004</v>
      </c>
      <c r="U5371" t="s">
        <v>54052</v>
      </c>
      <c r="W5371" t="s">
        <v>43410</v>
      </c>
      <c r="X5371" t="s">
        <v>47308</v>
      </c>
    </row>
    <row r="5372" spans="1:24">
      <c r="A5372">
        <f>HYPERLINK("https://www.philgeps.gov.ph/GEPSNONPILOT/Tender/SplashBidNoticeAbstractUI.aspx?menuIndex=3&amp;refID=7192263&amp;Result=3","7192263")</f>
        <v>0</v>
      </c>
      <c r="B5372" t="s">
        <v>567</v>
      </c>
      <c r="C5372" t="s">
        <v>8901</v>
      </c>
      <c r="E5372" t="s">
        <v>23852</v>
      </c>
      <c r="F5372" t="s">
        <v>32606</v>
      </c>
      <c r="G5372" t="s">
        <v>32619</v>
      </c>
      <c r="H5372" t="s">
        <v>14201</v>
      </c>
      <c r="I5372" t="s">
        <v>32633</v>
      </c>
      <c r="J5372" t="s">
        <v>33897</v>
      </c>
      <c r="K5372" t="s">
        <v>42624</v>
      </c>
      <c r="M5372" t="s">
        <v>43482</v>
      </c>
      <c r="N5372" t="s">
        <v>47304</v>
      </c>
      <c r="O5372" t="s">
        <v>47305</v>
      </c>
      <c r="P5372">
        <v>0</v>
      </c>
      <c r="Q5372">
        <v>2</v>
      </c>
      <c r="R5372" t="s">
        <v>47308</v>
      </c>
      <c r="S5372" t="s">
        <v>47429</v>
      </c>
      <c r="T5372" t="s">
        <v>49269</v>
      </c>
      <c r="U5372" t="s">
        <v>54053</v>
      </c>
      <c r="W5372" t="s">
        <v>43482</v>
      </c>
      <c r="X5372" t="s">
        <v>47312</v>
      </c>
    </row>
    <row r="5373" spans="1:24">
      <c r="A5373">
        <f>HYPERLINK("https://www.philgeps.gov.ph/GEPSNONPILOT/Tender/SplashBidNoticeAbstractUI.aspx?menuIndex=3&amp;refID=7192828&amp;Result=3","7192828")</f>
        <v>0</v>
      </c>
      <c r="B5373" t="s">
        <v>48</v>
      </c>
      <c r="C5373" t="s">
        <v>8902</v>
      </c>
      <c r="D5373" t="s">
        <v>18994</v>
      </c>
      <c r="E5373" t="s">
        <v>23853</v>
      </c>
      <c r="F5373" t="s">
        <v>32606</v>
      </c>
      <c r="G5373" t="s">
        <v>32614</v>
      </c>
      <c r="H5373" t="s">
        <v>14201</v>
      </c>
      <c r="I5373" t="s">
        <v>4678</v>
      </c>
      <c r="J5373" t="s">
        <v>36286</v>
      </c>
      <c r="K5373" t="s">
        <v>42624</v>
      </c>
      <c r="L5373" t="s">
        <v>48</v>
      </c>
      <c r="M5373" t="s">
        <v>44627</v>
      </c>
      <c r="N5373" t="s">
        <v>47304</v>
      </c>
      <c r="O5373" t="s">
        <v>47305</v>
      </c>
      <c r="P5373">
        <v>0</v>
      </c>
      <c r="Q5373">
        <v>3</v>
      </c>
      <c r="R5373" t="s">
        <v>47308</v>
      </c>
      <c r="S5373" t="s">
        <v>47429</v>
      </c>
      <c r="T5373" t="s">
        <v>48998</v>
      </c>
      <c r="U5373" t="s">
        <v>54054</v>
      </c>
      <c r="W5373" t="s">
        <v>44627</v>
      </c>
      <c r="X5373" t="s">
        <v>47312</v>
      </c>
    </row>
    <row r="5374" spans="1:24">
      <c r="A5374">
        <f>HYPERLINK("https://www.philgeps.gov.ph/GEPSNONPILOT/Tender/SplashBidNoticeAbstractUI.aspx?menuIndex=3&amp;refID=7192757&amp;Result=3","7192757")</f>
        <v>0</v>
      </c>
      <c r="B5374" t="s">
        <v>1175</v>
      </c>
      <c r="C5374" t="s">
        <v>8903</v>
      </c>
      <c r="D5374" t="s">
        <v>19015</v>
      </c>
      <c r="E5374" t="s">
        <v>23854</v>
      </c>
      <c r="F5374" t="s">
        <v>32606</v>
      </c>
      <c r="G5374" t="s">
        <v>32614</v>
      </c>
      <c r="H5374" t="s">
        <v>14201</v>
      </c>
      <c r="I5374" t="s">
        <v>6007</v>
      </c>
      <c r="J5374" t="s">
        <v>33936</v>
      </c>
      <c r="K5374" t="s">
        <v>42625</v>
      </c>
      <c r="M5374" t="s">
        <v>44138</v>
      </c>
      <c r="N5374" t="s">
        <v>47304</v>
      </c>
      <c r="O5374" t="s">
        <v>47305</v>
      </c>
      <c r="P5374">
        <v>0</v>
      </c>
      <c r="Q5374">
        <v>0</v>
      </c>
      <c r="R5374" t="s">
        <v>47308</v>
      </c>
      <c r="S5374" t="s">
        <v>47429</v>
      </c>
      <c r="T5374" t="s">
        <v>48972</v>
      </c>
      <c r="U5374" t="s">
        <v>54055</v>
      </c>
      <c r="W5374" t="s">
        <v>44138</v>
      </c>
      <c r="X5374" t="s">
        <v>47312</v>
      </c>
    </row>
    <row r="5375" spans="1:24">
      <c r="A5375">
        <f>HYPERLINK("https://www.philgeps.gov.ph/GEPSNONPILOT/Tender/SplashBidNoticeAbstractUI.aspx?menuIndex=3&amp;refID=7196649&amp;Result=3","7196649")</f>
        <v>0</v>
      </c>
      <c r="B5375" t="s">
        <v>1561</v>
      </c>
      <c r="C5375" t="s">
        <v>8904</v>
      </c>
      <c r="D5375" t="s">
        <v>19002</v>
      </c>
      <c r="E5375" t="s">
        <v>23855</v>
      </c>
      <c r="F5375" t="s">
        <v>32606</v>
      </c>
      <c r="G5375" t="s">
        <v>32613</v>
      </c>
      <c r="H5375" t="s">
        <v>14201</v>
      </c>
      <c r="I5375" t="s">
        <v>6931</v>
      </c>
      <c r="J5375" t="s">
        <v>36287</v>
      </c>
      <c r="K5375" t="s">
        <v>42752</v>
      </c>
      <c r="L5375" t="s">
        <v>1561</v>
      </c>
      <c r="M5375" t="s">
        <v>44568</v>
      </c>
      <c r="N5375" t="s">
        <v>47304</v>
      </c>
      <c r="O5375" t="s">
        <v>47305</v>
      </c>
      <c r="P5375">
        <v>0</v>
      </c>
      <c r="Q5375">
        <v>0</v>
      </c>
      <c r="R5375" t="s">
        <v>47306</v>
      </c>
      <c r="S5375" t="s">
        <v>47414</v>
      </c>
      <c r="T5375" t="s">
        <v>49107</v>
      </c>
      <c r="U5375" t="s">
        <v>54056</v>
      </c>
      <c r="W5375" t="s">
        <v>44568</v>
      </c>
      <c r="X5375" t="s">
        <v>47308</v>
      </c>
    </row>
    <row r="5376" spans="1:24">
      <c r="A5376">
        <f>HYPERLINK("https://www.philgeps.gov.ph/GEPSNONPILOT/Tender/SplashBidNoticeAbstractUI.aspx?menuIndex=3&amp;refID=7193099&amp;Result=3","7193099")</f>
        <v>0</v>
      </c>
      <c r="B5376" t="s">
        <v>955</v>
      </c>
      <c r="C5376" t="s">
        <v>8905</v>
      </c>
      <c r="D5376" t="s">
        <v>19068</v>
      </c>
      <c r="E5376" t="s">
        <v>21030</v>
      </c>
      <c r="F5376" t="s">
        <v>32606</v>
      </c>
      <c r="G5376" t="s">
        <v>32613</v>
      </c>
      <c r="H5376" t="s">
        <v>32623</v>
      </c>
      <c r="I5376" t="s">
        <v>17648</v>
      </c>
      <c r="J5376" t="s">
        <v>32830</v>
      </c>
      <c r="K5376" t="s">
        <v>42624</v>
      </c>
      <c r="M5376" t="s">
        <v>43898</v>
      </c>
      <c r="N5376" t="s">
        <v>47304</v>
      </c>
      <c r="O5376" t="s">
        <v>47305</v>
      </c>
      <c r="P5376">
        <v>0</v>
      </c>
      <c r="Q5376">
        <v>0</v>
      </c>
      <c r="R5376" t="s">
        <v>47308</v>
      </c>
      <c r="S5376" t="s">
        <v>47429</v>
      </c>
      <c r="T5376" t="s">
        <v>49008</v>
      </c>
      <c r="U5376" t="s">
        <v>54057</v>
      </c>
      <c r="V5376" t="s">
        <v>63153</v>
      </c>
      <c r="W5376" t="s">
        <v>43898</v>
      </c>
      <c r="X5376" t="s">
        <v>47311</v>
      </c>
    </row>
    <row r="5377" spans="1:24">
      <c r="A5377">
        <f>HYPERLINK("https://www.philgeps.gov.ph/GEPSNONPILOT/Tender/SplashBidNoticeAbstractUI.aspx?menuIndex=3&amp;refID=7193093&amp;Result=3","7193093")</f>
        <v>0</v>
      </c>
      <c r="B5377" t="s">
        <v>1868</v>
      </c>
      <c r="C5377" t="s">
        <v>8906</v>
      </c>
      <c r="D5377" t="s">
        <v>19029</v>
      </c>
      <c r="E5377" t="s">
        <v>23856</v>
      </c>
      <c r="F5377" t="s">
        <v>32606</v>
      </c>
      <c r="G5377" t="s">
        <v>32613</v>
      </c>
      <c r="H5377" t="s">
        <v>32623</v>
      </c>
      <c r="I5377" t="s">
        <v>17648</v>
      </c>
      <c r="J5377" t="s">
        <v>36288</v>
      </c>
      <c r="K5377" t="s">
        <v>42630</v>
      </c>
      <c r="L5377" t="s">
        <v>1868</v>
      </c>
      <c r="M5377" t="s">
        <v>44925</v>
      </c>
      <c r="N5377" t="s">
        <v>47304</v>
      </c>
      <c r="O5377" t="s">
        <v>47305</v>
      </c>
      <c r="P5377">
        <v>0</v>
      </c>
      <c r="Q5377">
        <v>0</v>
      </c>
      <c r="R5377" t="s">
        <v>47308</v>
      </c>
      <c r="S5377" t="s">
        <v>47429</v>
      </c>
      <c r="T5377" t="s">
        <v>49087</v>
      </c>
      <c r="U5377" t="s">
        <v>54058</v>
      </c>
      <c r="V5377" t="s">
        <v>63154</v>
      </c>
      <c r="W5377" t="s">
        <v>44925</v>
      </c>
      <c r="X5377" t="s">
        <v>47311</v>
      </c>
    </row>
    <row r="5378" spans="1:24">
      <c r="A5378">
        <f>HYPERLINK("https://www.philgeps.gov.ph/GEPSNONPILOT/Tender/SplashBidNoticeAbstractUI.aspx?menuIndex=3&amp;refID=7196674&amp;Result=3","7196674")</f>
        <v>0</v>
      </c>
      <c r="B5378" t="s">
        <v>1628</v>
      </c>
      <c r="C5378" t="s">
        <v>7982</v>
      </c>
      <c r="E5378" t="s">
        <v>22989</v>
      </c>
      <c r="F5378" t="s">
        <v>32606</v>
      </c>
      <c r="G5378" t="s">
        <v>32614</v>
      </c>
      <c r="H5378" t="s">
        <v>14201</v>
      </c>
      <c r="I5378" t="s">
        <v>6931</v>
      </c>
      <c r="J5378" t="s">
        <v>34433</v>
      </c>
      <c r="K5378" t="s">
        <v>42624</v>
      </c>
      <c r="M5378" t="s">
        <v>44648</v>
      </c>
      <c r="N5378" t="s">
        <v>47304</v>
      </c>
      <c r="O5378" t="s">
        <v>47305</v>
      </c>
      <c r="P5378">
        <v>0</v>
      </c>
      <c r="Q5378">
        <v>0</v>
      </c>
      <c r="R5378" t="s">
        <v>47306</v>
      </c>
      <c r="S5378" t="s">
        <v>47414</v>
      </c>
      <c r="T5378" t="s">
        <v>49004</v>
      </c>
      <c r="U5378" t="s">
        <v>54059</v>
      </c>
      <c r="W5378" t="s">
        <v>44648</v>
      </c>
      <c r="X5378" t="s">
        <v>47308</v>
      </c>
    </row>
    <row r="5379" spans="1:24">
      <c r="A5379">
        <f>HYPERLINK("https://www.philgeps.gov.ph/GEPSNONPILOT/Tender/SplashBidNoticeAbstractUI.aspx?menuIndex=3&amp;refID=7192322&amp;Result=3","7192322")</f>
        <v>0</v>
      </c>
      <c r="B5379" t="s">
        <v>418</v>
      </c>
      <c r="C5379" t="s">
        <v>8907</v>
      </c>
      <c r="D5379" t="s">
        <v>19006</v>
      </c>
      <c r="E5379" t="s">
        <v>23857</v>
      </c>
      <c r="F5379" t="s">
        <v>32606</v>
      </c>
      <c r="G5379" t="s">
        <v>32614</v>
      </c>
      <c r="H5379" t="s">
        <v>14201</v>
      </c>
      <c r="I5379" t="s">
        <v>32631</v>
      </c>
      <c r="J5379" t="s">
        <v>36289</v>
      </c>
      <c r="K5379" t="s">
        <v>42629</v>
      </c>
      <c r="M5379" t="s">
        <v>43322</v>
      </c>
      <c r="N5379" t="s">
        <v>47304</v>
      </c>
      <c r="O5379" t="s">
        <v>47305</v>
      </c>
      <c r="P5379">
        <v>0</v>
      </c>
      <c r="Q5379">
        <v>0</v>
      </c>
      <c r="R5379" t="s">
        <v>47308</v>
      </c>
      <c r="S5379" t="s">
        <v>47429</v>
      </c>
      <c r="T5379" t="s">
        <v>49165</v>
      </c>
      <c r="U5379" t="s">
        <v>51424</v>
      </c>
      <c r="W5379" t="s">
        <v>43322</v>
      </c>
      <c r="X5379" t="s">
        <v>47312</v>
      </c>
    </row>
    <row r="5380" spans="1:24">
      <c r="A5380">
        <f>HYPERLINK("https://www.philgeps.gov.ph/GEPSNONPILOT/Tender/SplashBidNoticeAbstractUI.aspx?menuIndex=3&amp;refID=7193082&amp;Result=3","7193082")</f>
        <v>0</v>
      </c>
      <c r="B5380" t="s">
        <v>1869</v>
      </c>
      <c r="C5380" t="s">
        <v>8908</v>
      </c>
      <c r="D5380" t="s">
        <v>19018</v>
      </c>
      <c r="E5380" t="s">
        <v>23858</v>
      </c>
      <c r="F5380" t="s">
        <v>32606</v>
      </c>
      <c r="G5380" t="s">
        <v>32613</v>
      </c>
      <c r="H5380" t="s">
        <v>32623</v>
      </c>
      <c r="I5380" t="s">
        <v>32631</v>
      </c>
      <c r="J5380" t="s">
        <v>36290</v>
      </c>
      <c r="K5380" t="s">
        <v>42648</v>
      </c>
      <c r="M5380" t="s">
        <v>44926</v>
      </c>
      <c r="N5380" t="s">
        <v>47304</v>
      </c>
      <c r="O5380" t="s">
        <v>47305</v>
      </c>
      <c r="P5380">
        <v>0</v>
      </c>
      <c r="Q5380">
        <v>0</v>
      </c>
      <c r="R5380" t="s">
        <v>47308</v>
      </c>
      <c r="S5380" t="s">
        <v>47429</v>
      </c>
      <c r="T5380" t="s">
        <v>49017</v>
      </c>
      <c r="U5380" t="s">
        <v>54060</v>
      </c>
      <c r="V5380" t="s">
        <v>63155</v>
      </c>
      <c r="W5380" t="s">
        <v>44926</v>
      </c>
      <c r="X5380" t="s">
        <v>47311</v>
      </c>
    </row>
    <row r="5381" spans="1:24">
      <c r="A5381">
        <f>HYPERLINK("https://www.philgeps.gov.ph/GEPSNONPILOT/Tender/SplashBidNoticeAbstractUI.aspx?menuIndex=3&amp;refID=7193080&amp;Result=3","7193080")</f>
        <v>0</v>
      </c>
      <c r="B5381" t="s">
        <v>1870</v>
      </c>
      <c r="C5381" t="s">
        <v>8909</v>
      </c>
      <c r="D5381" t="s">
        <v>19018</v>
      </c>
      <c r="E5381" t="s">
        <v>20139</v>
      </c>
      <c r="F5381" t="s">
        <v>32606</v>
      </c>
      <c r="G5381" t="s">
        <v>32619</v>
      </c>
      <c r="H5381" t="s">
        <v>14201</v>
      </c>
      <c r="I5381" t="s">
        <v>13131</v>
      </c>
      <c r="J5381" t="s">
        <v>32951</v>
      </c>
      <c r="K5381" t="s">
        <v>42624</v>
      </c>
      <c r="L5381" t="s">
        <v>1870</v>
      </c>
      <c r="M5381" t="s">
        <v>44927</v>
      </c>
      <c r="N5381" t="s">
        <v>47304</v>
      </c>
      <c r="O5381" t="s">
        <v>47305</v>
      </c>
      <c r="P5381">
        <v>0</v>
      </c>
      <c r="Q5381">
        <v>0</v>
      </c>
      <c r="R5381" t="s">
        <v>47308</v>
      </c>
      <c r="S5381" t="s">
        <v>47429</v>
      </c>
      <c r="T5381" t="s">
        <v>48986</v>
      </c>
      <c r="U5381" t="s">
        <v>50831</v>
      </c>
      <c r="W5381" t="s">
        <v>44927</v>
      </c>
      <c r="X5381" t="s">
        <v>47311</v>
      </c>
    </row>
    <row r="5382" spans="1:24">
      <c r="A5382">
        <f>HYPERLINK("https://www.philgeps.gov.ph/GEPSNONPILOT/Tender/SplashBidNoticeAbstractUI.aspx?menuIndex=3&amp;refID=7192167&amp;Result=3","7192167")</f>
        <v>0</v>
      </c>
      <c r="B5382" t="s">
        <v>1835</v>
      </c>
      <c r="C5382" t="s">
        <v>5701</v>
      </c>
      <c r="D5382" t="s">
        <v>19028</v>
      </c>
      <c r="E5382" t="s">
        <v>23859</v>
      </c>
      <c r="F5382" t="s">
        <v>32606</v>
      </c>
      <c r="G5382" t="s">
        <v>32614</v>
      </c>
      <c r="H5382" t="s">
        <v>14201</v>
      </c>
      <c r="I5382" t="s">
        <v>6298</v>
      </c>
      <c r="J5382" t="s">
        <v>36291</v>
      </c>
      <c r="K5382" t="s">
        <v>42623</v>
      </c>
      <c r="M5382" t="s">
        <v>44886</v>
      </c>
      <c r="N5382" t="s">
        <v>47304</v>
      </c>
      <c r="O5382" t="s">
        <v>47305</v>
      </c>
      <c r="P5382">
        <v>0</v>
      </c>
      <c r="Q5382">
        <v>0</v>
      </c>
      <c r="R5382" t="s">
        <v>47308</v>
      </c>
      <c r="S5382" t="s">
        <v>47429</v>
      </c>
      <c r="T5382" t="s">
        <v>48998</v>
      </c>
      <c r="U5382" t="s">
        <v>54061</v>
      </c>
      <c r="V5382" t="s">
        <v>63135</v>
      </c>
      <c r="W5382" t="s">
        <v>44886</v>
      </c>
      <c r="X5382" t="s">
        <v>47312</v>
      </c>
    </row>
    <row r="5383" spans="1:24">
      <c r="A5383">
        <f>HYPERLINK("https://www.philgeps.gov.ph/GEPSNONPILOT/Tender/SplashBidNoticeAbstractUI.aspx?menuIndex=3&amp;refID=7193076&amp;Result=3","7193076")</f>
        <v>0</v>
      </c>
      <c r="B5383" t="s">
        <v>1871</v>
      </c>
      <c r="C5383" t="s">
        <v>8910</v>
      </c>
      <c r="D5383" t="s">
        <v>19010</v>
      </c>
      <c r="E5383" t="s">
        <v>23860</v>
      </c>
      <c r="F5383" t="s">
        <v>32606</v>
      </c>
      <c r="G5383" t="s">
        <v>32619</v>
      </c>
      <c r="H5383" t="s">
        <v>14201</v>
      </c>
      <c r="I5383" t="s">
        <v>6298</v>
      </c>
      <c r="J5383" t="s">
        <v>33272</v>
      </c>
      <c r="K5383" t="s">
        <v>42629</v>
      </c>
      <c r="M5383" t="s">
        <v>44928</v>
      </c>
      <c r="N5383" t="s">
        <v>47304</v>
      </c>
      <c r="O5383" t="s">
        <v>47305</v>
      </c>
      <c r="P5383">
        <v>0</v>
      </c>
      <c r="Q5383">
        <v>0</v>
      </c>
      <c r="R5383" t="s">
        <v>47308</v>
      </c>
      <c r="S5383" t="s">
        <v>47429</v>
      </c>
      <c r="T5383" t="s">
        <v>49071</v>
      </c>
      <c r="U5383" t="s">
        <v>54062</v>
      </c>
      <c r="V5383" t="s">
        <v>63156</v>
      </c>
      <c r="W5383" t="s">
        <v>44928</v>
      </c>
      <c r="X5383" t="s">
        <v>47311</v>
      </c>
    </row>
    <row r="5384" spans="1:24">
      <c r="A5384">
        <f>HYPERLINK("https://www.philgeps.gov.ph/GEPSNONPILOT/Tender/SplashBidNoticeAbstractUI.aspx?menuIndex=3&amp;refID=7196648&amp;Result=3","7196648")</f>
        <v>0</v>
      </c>
      <c r="B5384" t="s">
        <v>1872</v>
      </c>
      <c r="C5384" t="s">
        <v>8911</v>
      </c>
      <c r="D5384" t="s">
        <v>18988</v>
      </c>
      <c r="E5384" t="s">
        <v>23861</v>
      </c>
      <c r="F5384" t="s">
        <v>32606</v>
      </c>
      <c r="G5384" t="s">
        <v>32614</v>
      </c>
      <c r="H5384" t="s">
        <v>14201</v>
      </c>
      <c r="I5384" t="s">
        <v>32691</v>
      </c>
      <c r="J5384" t="s">
        <v>33341</v>
      </c>
      <c r="K5384" t="s">
        <v>42623</v>
      </c>
      <c r="M5384" t="s">
        <v>44929</v>
      </c>
      <c r="N5384" t="s">
        <v>47304</v>
      </c>
      <c r="O5384" t="s">
        <v>47305</v>
      </c>
      <c r="P5384">
        <v>0</v>
      </c>
      <c r="Q5384">
        <v>0</v>
      </c>
      <c r="R5384" t="s">
        <v>47306</v>
      </c>
      <c r="S5384" t="s">
        <v>47414</v>
      </c>
      <c r="T5384" t="s">
        <v>48979</v>
      </c>
      <c r="U5384" t="s">
        <v>54063</v>
      </c>
      <c r="W5384" t="s">
        <v>44929</v>
      </c>
      <c r="X5384" t="s">
        <v>47308</v>
      </c>
    </row>
    <row r="5385" spans="1:24">
      <c r="A5385">
        <f>HYPERLINK("https://www.philgeps.gov.ph/GEPSNONPILOT/Tender/SplashBidNoticeAbstractUI.aspx?menuIndex=3&amp;refID=7193069&amp;Result=3","7193069")</f>
        <v>0</v>
      </c>
      <c r="B5385" t="s">
        <v>1873</v>
      </c>
      <c r="C5385" t="s">
        <v>4129</v>
      </c>
      <c r="D5385" t="s">
        <v>19007</v>
      </c>
      <c r="E5385" t="s">
        <v>23862</v>
      </c>
      <c r="F5385" t="s">
        <v>32606</v>
      </c>
      <c r="G5385" t="s">
        <v>32614</v>
      </c>
      <c r="H5385" t="s">
        <v>14201</v>
      </c>
      <c r="I5385" t="s">
        <v>4120</v>
      </c>
      <c r="J5385" t="s">
        <v>32813</v>
      </c>
      <c r="K5385" t="s">
        <v>42623</v>
      </c>
      <c r="M5385" t="s">
        <v>44930</v>
      </c>
      <c r="N5385" t="s">
        <v>47304</v>
      </c>
      <c r="O5385" t="s">
        <v>47305</v>
      </c>
      <c r="P5385">
        <v>0</v>
      </c>
      <c r="Q5385">
        <v>1</v>
      </c>
      <c r="R5385" t="s">
        <v>47308</v>
      </c>
      <c r="S5385" t="s">
        <v>47429</v>
      </c>
      <c r="T5385" t="s">
        <v>49244</v>
      </c>
      <c r="U5385" t="s">
        <v>50436</v>
      </c>
      <c r="W5385" t="s">
        <v>44930</v>
      </c>
      <c r="X5385" t="s">
        <v>47311</v>
      </c>
    </row>
    <row r="5386" spans="1:24">
      <c r="A5386">
        <f>HYPERLINK("https://www.philgeps.gov.ph/GEPSNONPILOT/Tender/SplashBidNoticeAbstractUI.aspx?menuIndex=3&amp;refID=7193092&amp;Result=3","7193092")</f>
        <v>0</v>
      </c>
      <c r="B5386" t="s">
        <v>1874</v>
      </c>
      <c r="C5386" t="s">
        <v>8912</v>
      </c>
      <c r="D5386" t="s">
        <v>19051</v>
      </c>
      <c r="E5386" t="s">
        <v>23863</v>
      </c>
      <c r="F5386" t="s">
        <v>32606</v>
      </c>
      <c r="G5386" t="s">
        <v>32613</v>
      </c>
      <c r="H5386" t="s">
        <v>14201</v>
      </c>
      <c r="I5386" t="s">
        <v>6931</v>
      </c>
      <c r="J5386" t="s">
        <v>36292</v>
      </c>
      <c r="K5386" t="s">
        <v>42630</v>
      </c>
      <c r="M5386" t="s">
        <v>44931</v>
      </c>
      <c r="N5386" t="s">
        <v>47304</v>
      </c>
      <c r="O5386" t="s">
        <v>47305</v>
      </c>
      <c r="P5386">
        <v>0</v>
      </c>
      <c r="Q5386">
        <v>0</v>
      </c>
      <c r="R5386" t="s">
        <v>47308</v>
      </c>
      <c r="S5386" t="s">
        <v>47429</v>
      </c>
      <c r="T5386" t="s">
        <v>49015</v>
      </c>
      <c r="U5386" t="s">
        <v>54064</v>
      </c>
      <c r="W5386" t="s">
        <v>44931</v>
      </c>
      <c r="X5386" t="s">
        <v>47311</v>
      </c>
    </row>
    <row r="5387" spans="1:24">
      <c r="A5387">
        <f>HYPERLINK("https://www.philgeps.gov.ph/GEPSNONPILOT/Tender/SplashBidNoticeAbstractUI.aspx?menuIndex=3&amp;refID=7193046&amp;Result=3","7193046")</f>
        <v>0</v>
      </c>
      <c r="B5387" t="s">
        <v>1875</v>
      </c>
      <c r="C5387" t="s">
        <v>4459</v>
      </c>
      <c r="D5387" t="s">
        <v>19007</v>
      </c>
      <c r="E5387" t="s">
        <v>23862</v>
      </c>
      <c r="F5387" t="s">
        <v>32606</v>
      </c>
      <c r="G5387" t="s">
        <v>32614</v>
      </c>
      <c r="H5387" t="s">
        <v>14201</v>
      </c>
      <c r="I5387" t="s">
        <v>4112</v>
      </c>
      <c r="J5387" t="s">
        <v>34396</v>
      </c>
      <c r="K5387" t="s">
        <v>42623</v>
      </c>
      <c r="M5387" t="s">
        <v>44932</v>
      </c>
      <c r="N5387" t="s">
        <v>47304</v>
      </c>
      <c r="O5387" t="s">
        <v>47305</v>
      </c>
      <c r="P5387">
        <v>0</v>
      </c>
      <c r="Q5387">
        <v>0</v>
      </c>
      <c r="R5387" t="s">
        <v>47308</v>
      </c>
      <c r="S5387" t="s">
        <v>47429</v>
      </c>
      <c r="T5387" t="s">
        <v>49244</v>
      </c>
      <c r="U5387" t="s">
        <v>54065</v>
      </c>
      <c r="W5387" t="s">
        <v>44932</v>
      </c>
      <c r="X5387" t="s">
        <v>47312</v>
      </c>
    </row>
    <row r="5388" spans="1:24">
      <c r="A5388">
        <f>HYPERLINK("https://www.philgeps.gov.ph/GEPSNONPILOT/Tender/SplashBidNoticeAbstractUI.aspx?menuIndex=3&amp;refID=7193038&amp;Result=3","7193038")</f>
        <v>0</v>
      </c>
      <c r="B5388" t="s">
        <v>1873</v>
      </c>
      <c r="C5388" t="s">
        <v>4459</v>
      </c>
      <c r="D5388" t="s">
        <v>19007</v>
      </c>
      <c r="E5388" t="s">
        <v>23864</v>
      </c>
      <c r="F5388" t="s">
        <v>32606</v>
      </c>
      <c r="G5388" t="s">
        <v>32614</v>
      </c>
      <c r="H5388" t="s">
        <v>14201</v>
      </c>
      <c r="I5388" t="s">
        <v>4112</v>
      </c>
      <c r="J5388" t="s">
        <v>34396</v>
      </c>
      <c r="K5388" t="s">
        <v>42623</v>
      </c>
      <c r="M5388" t="s">
        <v>44930</v>
      </c>
      <c r="N5388" t="s">
        <v>47304</v>
      </c>
      <c r="O5388" t="s">
        <v>47305</v>
      </c>
      <c r="P5388">
        <v>0</v>
      </c>
      <c r="Q5388">
        <v>0</v>
      </c>
      <c r="R5388" t="s">
        <v>47308</v>
      </c>
      <c r="S5388" t="s">
        <v>47429</v>
      </c>
      <c r="T5388" t="s">
        <v>49244</v>
      </c>
      <c r="U5388" t="s">
        <v>54065</v>
      </c>
      <c r="W5388" t="s">
        <v>44930</v>
      </c>
      <c r="X5388" t="s">
        <v>47312</v>
      </c>
    </row>
    <row r="5389" spans="1:24">
      <c r="A5389">
        <f>HYPERLINK("https://www.philgeps.gov.ph/GEPSNONPILOT/Tender/SplashBidNoticeAbstractUI.aspx?menuIndex=3&amp;refID=7192990&amp;Result=3","7192990")</f>
        <v>0</v>
      </c>
      <c r="B5389" t="s">
        <v>1820</v>
      </c>
      <c r="C5389" t="s">
        <v>8913</v>
      </c>
      <c r="D5389" t="s">
        <v>18993</v>
      </c>
      <c r="E5389" t="s">
        <v>23865</v>
      </c>
      <c r="F5389" t="s">
        <v>32606</v>
      </c>
      <c r="G5389" t="s">
        <v>32614</v>
      </c>
      <c r="H5389" t="s">
        <v>14201</v>
      </c>
      <c r="I5389" t="s">
        <v>32652</v>
      </c>
      <c r="J5389" t="s">
        <v>34811</v>
      </c>
      <c r="K5389" t="s">
        <v>42624</v>
      </c>
      <c r="M5389" t="s">
        <v>44861</v>
      </c>
      <c r="N5389" t="s">
        <v>47304</v>
      </c>
      <c r="O5389" t="s">
        <v>47305</v>
      </c>
      <c r="P5389">
        <v>0</v>
      </c>
      <c r="Q5389">
        <v>1</v>
      </c>
      <c r="R5389" t="s">
        <v>47308</v>
      </c>
      <c r="S5389" t="s">
        <v>47429</v>
      </c>
      <c r="T5389" t="s">
        <v>49047</v>
      </c>
      <c r="U5389" t="s">
        <v>54066</v>
      </c>
      <c r="V5389" t="s">
        <v>62763</v>
      </c>
      <c r="W5389" t="s">
        <v>64482</v>
      </c>
      <c r="X5389" t="s">
        <v>47312</v>
      </c>
    </row>
    <row r="5390" spans="1:24">
      <c r="A5390">
        <f>HYPERLINK("https://www.philgeps.gov.ph/GEPSNONPILOT/Tender/SplashBidNoticeAbstractUI.aspx?menuIndex=3&amp;refID=7193081&amp;Result=3","7193081")</f>
        <v>0</v>
      </c>
      <c r="B5390" t="s">
        <v>1870</v>
      </c>
      <c r="C5390" t="s">
        <v>4129</v>
      </c>
      <c r="D5390" t="s">
        <v>19018</v>
      </c>
      <c r="E5390" t="s">
        <v>23866</v>
      </c>
      <c r="F5390" t="s">
        <v>32606</v>
      </c>
      <c r="G5390" t="s">
        <v>32619</v>
      </c>
      <c r="H5390" t="s">
        <v>14201</v>
      </c>
      <c r="I5390" t="s">
        <v>4120</v>
      </c>
      <c r="J5390" t="s">
        <v>34527</v>
      </c>
      <c r="K5390" t="s">
        <v>42624</v>
      </c>
      <c r="L5390" t="s">
        <v>1870</v>
      </c>
      <c r="M5390" t="s">
        <v>44927</v>
      </c>
      <c r="N5390" t="s">
        <v>47304</v>
      </c>
      <c r="O5390" t="s">
        <v>47305</v>
      </c>
      <c r="P5390">
        <v>0</v>
      </c>
      <c r="Q5390">
        <v>0</v>
      </c>
      <c r="R5390" t="s">
        <v>47308</v>
      </c>
      <c r="S5390" t="s">
        <v>47429</v>
      </c>
      <c r="T5390" t="s">
        <v>48986</v>
      </c>
      <c r="U5390" t="s">
        <v>54067</v>
      </c>
      <c r="W5390" t="s">
        <v>44927</v>
      </c>
      <c r="X5390" t="s">
        <v>47311</v>
      </c>
    </row>
    <row r="5391" spans="1:24">
      <c r="A5391">
        <f>HYPERLINK("https://www.philgeps.gov.ph/GEPSNONPILOT/Tender/SplashBidNoticeAbstractUI.aspx?menuIndex=3&amp;refID=7192848&amp;Result=3","7192848")</f>
        <v>0</v>
      </c>
      <c r="B5391" t="s">
        <v>58</v>
      </c>
      <c r="C5391" t="s">
        <v>8914</v>
      </c>
      <c r="D5391" t="s">
        <v>19011</v>
      </c>
      <c r="E5391" t="s">
        <v>23867</v>
      </c>
      <c r="F5391" t="s">
        <v>32606</v>
      </c>
      <c r="G5391" t="s">
        <v>32613</v>
      </c>
      <c r="H5391" t="s">
        <v>14201</v>
      </c>
      <c r="I5391" t="s">
        <v>6478</v>
      </c>
      <c r="J5391" t="s">
        <v>36293</v>
      </c>
      <c r="K5391" t="s">
        <v>42636</v>
      </c>
      <c r="M5391" t="s">
        <v>44933</v>
      </c>
      <c r="N5391" t="s">
        <v>47304</v>
      </c>
      <c r="O5391" t="s">
        <v>47305</v>
      </c>
      <c r="P5391">
        <v>0</v>
      </c>
      <c r="Q5391">
        <v>1</v>
      </c>
      <c r="R5391" t="s">
        <v>47308</v>
      </c>
      <c r="S5391" t="s">
        <v>47429</v>
      </c>
      <c r="T5391" t="s">
        <v>49002</v>
      </c>
      <c r="U5391" t="s">
        <v>54068</v>
      </c>
      <c r="W5391" t="s">
        <v>44933</v>
      </c>
      <c r="X5391" t="s">
        <v>47312</v>
      </c>
    </row>
    <row r="5392" spans="1:24">
      <c r="A5392">
        <f>HYPERLINK("https://www.philgeps.gov.ph/GEPSNONPILOT/Tender/SplashBidNoticeAbstractUI.aspx?menuIndex=3&amp;refID=7192841&amp;Result=3","7192841")</f>
        <v>0</v>
      </c>
      <c r="B5392" t="s">
        <v>48</v>
      </c>
      <c r="C5392" t="s">
        <v>8915</v>
      </c>
      <c r="D5392" t="s">
        <v>18994</v>
      </c>
      <c r="E5392" t="s">
        <v>23868</v>
      </c>
      <c r="F5392" t="s">
        <v>32606</v>
      </c>
      <c r="G5392" t="s">
        <v>32614</v>
      </c>
      <c r="H5392" t="s">
        <v>14201</v>
      </c>
      <c r="I5392" t="s">
        <v>6993</v>
      </c>
      <c r="J5392" t="s">
        <v>36294</v>
      </c>
      <c r="K5392" t="s">
        <v>42624</v>
      </c>
      <c r="L5392" t="s">
        <v>48</v>
      </c>
      <c r="M5392" t="s">
        <v>44627</v>
      </c>
      <c r="N5392" t="s">
        <v>47304</v>
      </c>
      <c r="O5392" t="s">
        <v>47305</v>
      </c>
      <c r="P5392">
        <v>0</v>
      </c>
      <c r="Q5392">
        <v>0</v>
      </c>
      <c r="R5392" t="s">
        <v>47308</v>
      </c>
      <c r="S5392" t="s">
        <v>47429</v>
      </c>
      <c r="T5392" t="s">
        <v>48998</v>
      </c>
      <c r="U5392" t="s">
        <v>54069</v>
      </c>
      <c r="W5392" t="s">
        <v>44627</v>
      </c>
      <c r="X5392" t="s">
        <v>47312</v>
      </c>
    </row>
    <row r="5393" spans="1:24">
      <c r="A5393">
        <f>HYPERLINK("https://www.philgeps.gov.ph/GEPSNONPILOT/Tender/SplashBidNoticeAbstractUI.aspx?menuIndex=3&amp;refID=7193062&amp;Result=3","7193062")</f>
        <v>0</v>
      </c>
      <c r="B5393" t="s">
        <v>1876</v>
      </c>
      <c r="C5393" t="s">
        <v>8916</v>
      </c>
      <c r="D5393" t="s">
        <v>19010</v>
      </c>
      <c r="E5393" t="s">
        <v>23869</v>
      </c>
      <c r="F5393" t="s">
        <v>32606</v>
      </c>
      <c r="G5393" t="s">
        <v>32619</v>
      </c>
      <c r="H5393" t="s">
        <v>14201</v>
      </c>
      <c r="I5393" t="s">
        <v>4114</v>
      </c>
      <c r="J5393" t="s">
        <v>36295</v>
      </c>
      <c r="K5393" t="s">
        <v>42629</v>
      </c>
      <c r="M5393" t="s">
        <v>44934</v>
      </c>
      <c r="N5393" t="s">
        <v>47304</v>
      </c>
      <c r="O5393" t="s">
        <v>47305</v>
      </c>
      <c r="P5393">
        <v>0</v>
      </c>
      <c r="Q5393">
        <v>0</v>
      </c>
      <c r="R5393" t="s">
        <v>47308</v>
      </c>
      <c r="S5393" t="s">
        <v>47429</v>
      </c>
      <c r="T5393" t="s">
        <v>49071</v>
      </c>
      <c r="U5393" t="s">
        <v>54070</v>
      </c>
      <c r="W5393" t="s">
        <v>44934</v>
      </c>
      <c r="X5393" t="s">
        <v>47311</v>
      </c>
    </row>
    <row r="5394" spans="1:24">
      <c r="A5394">
        <f>HYPERLINK("https://www.philgeps.gov.ph/GEPSNONPILOT/Tender/SplashBidNoticeAbstractUI.aspx?menuIndex=3&amp;refID=7192845&amp;Result=3","7192845")</f>
        <v>0</v>
      </c>
      <c r="B5394" t="s">
        <v>48</v>
      </c>
      <c r="C5394" t="s">
        <v>8917</v>
      </c>
      <c r="D5394" t="s">
        <v>18994</v>
      </c>
      <c r="E5394" t="s">
        <v>23870</v>
      </c>
      <c r="F5394" t="s">
        <v>32606</v>
      </c>
      <c r="G5394" t="s">
        <v>32614</v>
      </c>
      <c r="H5394" t="s">
        <v>14201</v>
      </c>
      <c r="I5394" t="s">
        <v>6993</v>
      </c>
      <c r="J5394" t="s">
        <v>36296</v>
      </c>
      <c r="K5394" t="s">
        <v>42624</v>
      </c>
      <c r="L5394" t="s">
        <v>48</v>
      </c>
      <c r="M5394" t="s">
        <v>44627</v>
      </c>
      <c r="N5394" t="s">
        <v>47304</v>
      </c>
      <c r="O5394" t="s">
        <v>47305</v>
      </c>
      <c r="P5394">
        <v>0</v>
      </c>
      <c r="Q5394">
        <v>0</v>
      </c>
      <c r="R5394" t="s">
        <v>47308</v>
      </c>
      <c r="S5394" t="s">
        <v>47429</v>
      </c>
      <c r="T5394" t="s">
        <v>48998</v>
      </c>
      <c r="U5394" t="s">
        <v>54071</v>
      </c>
      <c r="W5394" t="s">
        <v>44627</v>
      </c>
      <c r="X5394" t="s">
        <v>47312</v>
      </c>
    </row>
    <row r="5395" spans="1:24">
      <c r="A5395">
        <f>HYPERLINK("https://www.philgeps.gov.ph/GEPSNONPILOT/Tender/SplashBidNoticeAbstractUI.aspx?menuIndex=3&amp;refID=7193244&amp;Result=3","7193244")</f>
        <v>0</v>
      </c>
      <c r="B5395" t="s">
        <v>1877</v>
      </c>
      <c r="C5395" t="s">
        <v>8918</v>
      </c>
      <c r="D5395" t="s">
        <v>19004</v>
      </c>
      <c r="E5395" t="s">
        <v>23871</v>
      </c>
      <c r="F5395" t="s">
        <v>32606</v>
      </c>
      <c r="G5395" t="s">
        <v>32614</v>
      </c>
      <c r="H5395" t="s">
        <v>14201</v>
      </c>
      <c r="I5395" t="s">
        <v>4114</v>
      </c>
      <c r="J5395" t="s">
        <v>36297</v>
      </c>
      <c r="K5395" t="s">
        <v>42623</v>
      </c>
      <c r="M5395" t="s">
        <v>44935</v>
      </c>
      <c r="N5395" t="s">
        <v>47304</v>
      </c>
      <c r="O5395" t="s">
        <v>47305</v>
      </c>
      <c r="P5395">
        <v>0</v>
      </c>
      <c r="Q5395">
        <v>2</v>
      </c>
      <c r="R5395" t="s">
        <v>47308</v>
      </c>
      <c r="S5395" t="s">
        <v>47429</v>
      </c>
      <c r="T5395" t="s">
        <v>48979</v>
      </c>
      <c r="U5395" t="s">
        <v>54072</v>
      </c>
      <c r="W5395" t="s">
        <v>44935</v>
      </c>
      <c r="X5395" t="s">
        <v>47311</v>
      </c>
    </row>
    <row r="5396" spans="1:24">
      <c r="A5396">
        <f>HYPERLINK("https://www.philgeps.gov.ph/GEPSNONPILOT/Tender/SplashBidNoticeAbstractUI.aspx?menuIndex=3&amp;refID=7192849&amp;Result=3","7192849")</f>
        <v>0</v>
      </c>
      <c r="B5396" t="s">
        <v>48</v>
      </c>
      <c r="C5396" t="s">
        <v>8919</v>
      </c>
      <c r="D5396" t="s">
        <v>18994</v>
      </c>
      <c r="E5396" t="s">
        <v>23872</v>
      </c>
      <c r="F5396" t="s">
        <v>32606</v>
      </c>
      <c r="G5396" t="s">
        <v>32614</v>
      </c>
      <c r="H5396" t="s">
        <v>14201</v>
      </c>
      <c r="I5396" t="s">
        <v>32648</v>
      </c>
      <c r="J5396" t="s">
        <v>36298</v>
      </c>
      <c r="K5396" t="s">
        <v>42624</v>
      </c>
      <c r="L5396" t="s">
        <v>48</v>
      </c>
      <c r="M5396" t="s">
        <v>44627</v>
      </c>
      <c r="N5396" t="s">
        <v>47304</v>
      </c>
      <c r="O5396" t="s">
        <v>47305</v>
      </c>
      <c r="P5396">
        <v>0</v>
      </c>
      <c r="Q5396">
        <v>2</v>
      </c>
      <c r="R5396" t="s">
        <v>47308</v>
      </c>
      <c r="S5396" t="s">
        <v>47429</v>
      </c>
      <c r="T5396" t="s">
        <v>48998</v>
      </c>
      <c r="U5396" t="s">
        <v>54073</v>
      </c>
      <c r="W5396" t="s">
        <v>44627</v>
      </c>
      <c r="X5396" t="s">
        <v>47312</v>
      </c>
    </row>
    <row r="5397" spans="1:24">
      <c r="A5397">
        <f>HYPERLINK("https://www.philgeps.gov.ph/GEPSNONPILOT/Tender/SplashBidNoticeAbstractUI.aspx?menuIndex=3&amp;refID=7193191&amp;Result=3","7193191")</f>
        <v>0</v>
      </c>
      <c r="B5397" t="s">
        <v>755</v>
      </c>
      <c r="C5397" t="s">
        <v>8920</v>
      </c>
      <c r="D5397" t="s">
        <v>18988</v>
      </c>
      <c r="E5397" t="s">
        <v>23873</v>
      </c>
      <c r="F5397" t="s">
        <v>32606</v>
      </c>
      <c r="G5397" t="s">
        <v>32614</v>
      </c>
      <c r="H5397" t="s">
        <v>14201</v>
      </c>
      <c r="I5397" t="s">
        <v>6931</v>
      </c>
      <c r="J5397" t="s">
        <v>36299</v>
      </c>
      <c r="K5397" t="s">
        <v>42624</v>
      </c>
      <c r="M5397" t="s">
        <v>44863</v>
      </c>
      <c r="N5397" t="s">
        <v>47304</v>
      </c>
      <c r="O5397" t="s">
        <v>47305</v>
      </c>
      <c r="P5397">
        <v>0</v>
      </c>
      <c r="Q5397">
        <v>0</v>
      </c>
      <c r="R5397" t="s">
        <v>47308</v>
      </c>
      <c r="S5397" t="s">
        <v>47429</v>
      </c>
      <c r="T5397" t="s">
        <v>49165</v>
      </c>
      <c r="U5397" t="s">
        <v>53849</v>
      </c>
      <c r="W5397" t="s">
        <v>44863</v>
      </c>
      <c r="X5397" t="s">
        <v>47311</v>
      </c>
    </row>
    <row r="5398" spans="1:24">
      <c r="A5398">
        <f>HYPERLINK("https://www.philgeps.gov.ph/GEPSNONPILOT/Tender/SplashBidNoticeAbstractUI.aspx?menuIndex=3&amp;refID=7196636&amp;Result=3","7196636")</f>
        <v>0</v>
      </c>
      <c r="B5398" t="s">
        <v>106</v>
      </c>
      <c r="C5398" t="s">
        <v>8921</v>
      </c>
      <c r="D5398" t="s">
        <v>18994</v>
      </c>
      <c r="E5398" t="s">
        <v>23874</v>
      </c>
      <c r="F5398" t="s">
        <v>32606</v>
      </c>
      <c r="G5398" t="s">
        <v>32614</v>
      </c>
      <c r="H5398" t="s">
        <v>32624</v>
      </c>
      <c r="I5398" t="s">
        <v>32676</v>
      </c>
      <c r="J5398" t="s">
        <v>34064</v>
      </c>
      <c r="K5398" t="s">
        <v>42663</v>
      </c>
      <c r="M5398" t="s">
        <v>43528</v>
      </c>
      <c r="N5398" t="s">
        <v>47304</v>
      </c>
      <c r="O5398" t="s">
        <v>47305</v>
      </c>
      <c r="P5398">
        <v>0</v>
      </c>
      <c r="Q5398">
        <v>2</v>
      </c>
      <c r="R5398" t="s">
        <v>47306</v>
      </c>
      <c r="S5398" t="s">
        <v>47414</v>
      </c>
      <c r="T5398" t="s">
        <v>48997</v>
      </c>
      <c r="U5398" t="s">
        <v>52624</v>
      </c>
      <c r="V5398" t="s">
        <v>62671</v>
      </c>
      <c r="W5398" t="s">
        <v>43528</v>
      </c>
      <c r="X5398" t="s">
        <v>47308</v>
      </c>
    </row>
    <row r="5399" spans="1:24">
      <c r="A5399">
        <f>HYPERLINK("https://www.philgeps.gov.ph/GEPSNONPILOT/Tender/SplashBidNoticeAbstractUI.aspx?menuIndex=3&amp;refID=7193173&amp;Result=3","7193173")</f>
        <v>0</v>
      </c>
      <c r="B5399" t="s">
        <v>1225</v>
      </c>
      <c r="C5399" t="s">
        <v>8922</v>
      </c>
      <c r="D5399" t="s">
        <v>19038</v>
      </c>
      <c r="E5399" t="s">
        <v>23875</v>
      </c>
      <c r="F5399" t="s">
        <v>32606</v>
      </c>
      <c r="G5399" t="s">
        <v>32613</v>
      </c>
      <c r="H5399" t="s">
        <v>14201</v>
      </c>
      <c r="I5399" t="s">
        <v>6931</v>
      </c>
      <c r="J5399" t="s">
        <v>36300</v>
      </c>
      <c r="K5399" t="s">
        <v>42624</v>
      </c>
      <c r="M5399" t="s">
        <v>44869</v>
      </c>
      <c r="N5399" t="s">
        <v>47304</v>
      </c>
      <c r="O5399" t="s">
        <v>47305</v>
      </c>
      <c r="P5399">
        <v>0</v>
      </c>
      <c r="Q5399">
        <v>1</v>
      </c>
      <c r="R5399" t="s">
        <v>47308</v>
      </c>
      <c r="S5399" t="s">
        <v>47429</v>
      </c>
      <c r="T5399" t="s">
        <v>48990</v>
      </c>
      <c r="U5399" t="s">
        <v>54074</v>
      </c>
      <c r="W5399" t="s">
        <v>64467</v>
      </c>
      <c r="X5399" t="s">
        <v>47311</v>
      </c>
    </row>
    <row r="5400" spans="1:24">
      <c r="A5400">
        <f>HYPERLINK("https://www.philgeps.gov.ph/GEPSNONPILOT/Tender/SplashBidNoticeAbstractUI.aspx?menuIndex=3&amp;refID=7193157&amp;Result=3","7193157")</f>
        <v>0</v>
      </c>
      <c r="B5400" t="s">
        <v>1878</v>
      </c>
      <c r="C5400" t="s">
        <v>8923</v>
      </c>
      <c r="D5400" t="s">
        <v>19007</v>
      </c>
      <c r="E5400" t="s">
        <v>19279</v>
      </c>
      <c r="F5400" t="s">
        <v>32606</v>
      </c>
      <c r="G5400" t="s">
        <v>32613</v>
      </c>
      <c r="H5400" t="s">
        <v>32623</v>
      </c>
      <c r="I5400" t="s">
        <v>17648</v>
      </c>
      <c r="J5400" t="s">
        <v>32770</v>
      </c>
      <c r="K5400" t="s">
        <v>42624</v>
      </c>
      <c r="M5400" t="s">
        <v>44936</v>
      </c>
      <c r="N5400" t="s">
        <v>47304</v>
      </c>
      <c r="O5400" t="s">
        <v>47305</v>
      </c>
      <c r="P5400">
        <v>0</v>
      </c>
      <c r="Q5400">
        <v>0</v>
      </c>
      <c r="R5400" t="s">
        <v>47308</v>
      </c>
      <c r="S5400" t="s">
        <v>47429</v>
      </c>
      <c r="T5400" t="s">
        <v>48975</v>
      </c>
      <c r="U5400" t="s">
        <v>54075</v>
      </c>
      <c r="W5400" t="s">
        <v>44936</v>
      </c>
      <c r="X5400" t="s">
        <v>47311</v>
      </c>
    </row>
    <row r="5401" spans="1:24">
      <c r="A5401">
        <f>HYPERLINK("https://www.philgeps.gov.ph/GEPSNONPILOT/Tender/SplashBidNoticeAbstractUI.aspx?menuIndex=3&amp;refID=7192835&amp;Result=3","7192835")</f>
        <v>0</v>
      </c>
      <c r="B5401" t="s">
        <v>48</v>
      </c>
      <c r="C5401" t="s">
        <v>8924</v>
      </c>
      <c r="D5401" t="s">
        <v>18994</v>
      </c>
      <c r="E5401" t="s">
        <v>23876</v>
      </c>
      <c r="F5401" t="s">
        <v>32606</v>
      </c>
      <c r="G5401" t="s">
        <v>32614</v>
      </c>
      <c r="H5401" t="s">
        <v>14201</v>
      </c>
      <c r="I5401" t="s">
        <v>6993</v>
      </c>
      <c r="J5401" t="s">
        <v>36301</v>
      </c>
      <c r="K5401" t="s">
        <v>42624</v>
      </c>
      <c r="L5401" t="s">
        <v>48</v>
      </c>
      <c r="M5401" t="s">
        <v>44627</v>
      </c>
      <c r="N5401" t="s">
        <v>47304</v>
      </c>
      <c r="O5401" t="s">
        <v>47305</v>
      </c>
      <c r="P5401">
        <v>0</v>
      </c>
      <c r="Q5401">
        <v>0</v>
      </c>
      <c r="R5401" t="s">
        <v>47308</v>
      </c>
      <c r="S5401" t="s">
        <v>47429</v>
      </c>
      <c r="T5401" t="s">
        <v>48998</v>
      </c>
      <c r="U5401" t="s">
        <v>54076</v>
      </c>
      <c r="W5401" t="s">
        <v>44627</v>
      </c>
      <c r="X5401" t="s">
        <v>47312</v>
      </c>
    </row>
    <row r="5402" spans="1:24">
      <c r="A5402">
        <f>HYPERLINK("https://www.philgeps.gov.ph/GEPSNONPILOT/Tender/SplashBidNoticeAbstractUI.aspx?menuIndex=3&amp;refID=7193138&amp;Result=3","7193138")</f>
        <v>0</v>
      </c>
      <c r="B5402" t="s">
        <v>1857</v>
      </c>
      <c r="C5402" t="s">
        <v>8925</v>
      </c>
      <c r="D5402" t="s">
        <v>19043</v>
      </c>
      <c r="E5402" t="s">
        <v>23877</v>
      </c>
      <c r="F5402" t="s">
        <v>32607</v>
      </c>
      <c r="G5402" t="s">
        <v>32619</v>
      </c>
      <c r="H5402" t="s">
        <v>32623</v>
      </c>
      <c r="I5402" t="s">
        <v>32675</v>
      </c>
      <c r="J5402" t="s">
        <v>36302</v>
      </c>
      <c r="K5402" t="s">
        <v>42631</v>
      </c>
      <c r="M5402" t="s">
        <v>44914</v>
      </c>
      <c r="N5402" t="s">
        <v>47304</v>
      </c>
      <c r="O5402" t="s">
        <v>47305</v>
      </c>
      <c r="P5402">
        <v>0</v>
      </c>
      <c r="Q5402">
        <v>0</v>
      </c>
      <c r="R5402" t="s">
        <v>47308</v>
      </c>
      <c r="S5402" t="s">
        <v>47429</v>
      </c>
      <c r="T5402" t="s">
        <v>48998</v>
      </c>
      <c r="U5402" t="s">
        <v>54077</v>
      </c>
      <c r="W5402" t="s">
        <v>44914</v>
      </c>
      <c r="X5402" t="s">
        <v>47311</v>
      </c>
    </row>
    <row r="5403" spans="1:24">
      <c r="A5403">
        <f>HYPERLINK("https://www.philgeps.gov.ph/GEPSNONPILOT/Tender/SplashBidNoticeAbstractUI.aspx?menuIndex=3&amp;refID=7193137&amp;Result=3","7193137")</f>
        <v>0</v>
      </c>
      <c r="B5403" t="s">
        <v>1857</v>
      </c>
      <c r="C5403" t="s">
        <v>8925</v>
      </c>
      <c r="D5403" t="s">
        <v>19043</v>
      </c>
      <c r="E5403" t="s">
        <v>23878</v>
      </c>
      <c r="F5403" t="s">
        <v>32607</v>
      </c>
      <c r="G5403" t="s">
        <v>32619</v>
      </c>
      <c r="H5403" t="s">
        <v>14201</v>
      </c>
      <c r="I5403" t="s">
        <v>6931</v>
      </c>
      <c r="J5403" t="s">
        <v>33426</v>
      </c>
      <c r="K5403" t="s">
        <v>42622</v>
      </c>
      <c r="M5403" t="s">
        <v>44914</v>
      </c>
      <c r="N5403" t="s">
        <v>47304</v>
      </c>
      <c r="O5403" t="s">
        <v>47305</v>
      </c>
      <c r="P5403">
        <v>0</v>
      </c>
      <c r="Q5403">
        <v>0</v>
      </c>
      <c r="R5403" t="s">
        <v>47308</v>
      </c>
      <c r="S5403" t="s">
        <v>47429</v>
      </c>
      <c r="T5403" t="s">
        <v>48998</v>
      </c>
      <c r="U5403" t="s">
        <v>54078</v>
      </c>
      <c r="W5403" t="s">
        <v>44914</v>
      </c>
      <c r="X5403" t="s">
        <v>47311</v>
      </c>
    </row>
    <row r="5404" spans="1:24">
      <c r="A5404">
        <f>HYPERLINK("https://www.philgeps.gov.ph/GEPSNONPILOT/Tender/SplashBidNoticeAbstractUI.aspx?menuIndex=3&amp;refID=7193236&amp;Result=3","7193236")</f>
        <v>0</v>
      </c>
      <c r="B5404" t="s">
        <v>1879</v>
      </c>
      <c r="C5404" t="s">
        <v>8926</v>
      </c>
      <c r="D5404" t="s">
        <v>19006</v>
      </c>
      <c r="E5404" t="s">
        <v>23879</v>
      </c>
      <c r="F5404" t="s">
        <v>32606</v>
      </c>
      <c r="G5404" t="s">
        <v>32613</v>
      </c>
      <c r="H5404" t="s">
        <v>32623</v>
      </c>
      <c r="I5404" t="s">
        <v>17648</v>
      </c>
      <c r="J5404" t="s">
        <v>32778</v>
      </c>
      <c r="K5404" t="s">
        <v>42749</v>
      </c>
      <c r="L5404" t="s">
        <v>1879</v>
      </c>
      <c r="M5404" t="s">
        <v>44937</v>
      </c>
      <c r="N5404" t="s">
        <v>47304</v>
      </c>
      <c r="O5404" t="s">
        <v>47305</v>
      </c>
      <c r="P5404">
        <v>0</v>
      </c>
      <c r="Q5404">
        <v>0</v>
      </c>
      <c r="R5404" t="s">
        <v>47308</v>
      </c>
      <c r="S5404" t="s">
        <v>47429</v>
      </c>
      <c r="T5404" t="s">
        <v>49087</v>
      </c>
      <c r="U5404" t="s">
        <v>54079</v>
      </c>
      <c r="W5404" t="s">
        <v>44937</v>
      </c>
      <c r="X5404" t="s">
        <v>47311</v>
      </c>
    </row>
    <row r="5405" spans="1:24">
      <c r="A5405">
        <f>HYPERLINK("https://www.philgeps.gov.ph/GEPSNONPILOT/Tender/SplashBidNoticeAbstractUI.aspx?menuIndex=3&amp;refID=7193134&amp;Result=3","7193134")</f>
        <v>0</v>
      </c>
      <c r="B5405" t="s">
        <v>1880</v>
      </c>
      <c r="C5405" t="s">
        <v>8927</v>
      </c>
      <c r="D5405" t="s">
        <v>19056</v>
      </c>
      <c r="E5405" t="s">
        <v>23880</v>
      </c>
      <c r="F5405" t="s">
        <v>32606</v>
      </c>
      <c r="G5405" t="s">
        <v>32613</v>
      </c>
      <c r="H5405" t="s">
        <v>32623</v>
      </c>
      <c r="I5405" t="s">
        <v>32732</v>
      </c>
      <c r="J5405" t="s">
        <v>36303</v>
      </c>
      <c r="K5405" t="s">
        <v>42637</v>
      </c>
      <c r="M5405" t="s">
        <v>44938</v>
      </c>
      <c r="N5405" t="s">
        <v>47304</v>
      </c>
      <c r="O5405" t="s">
        <v>47305</v>
      </c>
      <c r="P5405">
        <v>0</v>
      </c>
      <c r="Q5405">
        <v>0</v>
      </c>
      <c r="R5405" t="s">
        <v>47308</v>
      </c>
      <c r="S5405" t="s">
        <v>47429</v>
      </c>
      <c r="T5405" t="s">
        <v>48975</v>
      </c>
      <c r="U5405" t="s">
        <v>54080</v>
      </c>
      <c r="W5405" t="s">
        <v>44938</v>
      </c>
      <c r="X5405" t="s">
        <v>47311</v>
      </c>
    </row>
    <row r="5406" spans="1:24">
      <c r="A5406">
        <f>HYPERLINK("https://www.philgeps.gov.ph/GEPSNONPILOT/Tender/SplashBidNoticeAbstractUI.aspx?menuIndex=3&amp;refID=7193130&amp;Result=3","7193130")</f>
        <v>0</v>
      </c>
      <c r="B5406" t="s">
        <v>1014</v>
      </c>
      <c r="C5406" t="s">
        <v>8928</v>
      </c>
      <c r="D5406" t="s">
        <v>18989</v>
      </c>
      <c r="E5406" t="s">
        <v>23881</v>
      </c>
      <c r="F5406" t="s">
        <v>32606</v>
      </c>
      <c r="G5406" t="s">
        <v>32614</v>
      </c>
      <c r="H5406" t="s">
        <v>14201</v>
      </c>
      <c r="I5406" t="s">
        <v>7577</v>
      </c>
      <c r="J5406" t="s">
        <v>32923</v>
      </c>
      <c r="K5406" t="s">
        <v>42677</v>
      </c>
      <c r="L5406" t="s">
        <v>1014</v>
      </c>
      <c r="M5406" t="s">
        <v>43962</v>
      </c>
      <c r="N5406" t="s">
        <v>47304</v>
      </c>
      <c r="O5406" t="s">
        <v>47305</v>
      </c>
      <c r="P5406">
        <v>0</v>
      </c>
      <c r="Q5406">
        <v>4</v>
      </c>
      <c r="R5406" t="s">
        <v>47308</v>
      </c>
      <c r="S5406" t="s">
        <v>47429</v>
      </c>
      <c r="T5406" t="s">
        <v>49019</v>
      </c>
      <c r="U5406" t="s">
        <v>51580</v>
      </c>
      <c r="W5406" t="s">
        <v>43962</v>
      </c>
      <c r="X5406" t="s">
        <v>47311</v>
      </c>
    </row>
    <row r="5407" spans="1:24">
      <c r="A5407">
        <f>HYPERLINK("https://www.philgeps.gov.ph/GEPSNONPILOT/Tender/SplashBidNoticeAbstractUI.aspx?menuIndex=3&amp;refID=7193375&amp;Result=3","7193375")</f>
        <v>0</v>
      </c>
      <c r="B5407" t="s">
        <v>1881</v>
      </c>
      <c r="C5407" t="s">
        <v>8929</v>
      </c>
      <c r="D5407" t="s">
        <v>18997</v>
      </c>
      <c r="E5407" t="s">
        <v>23882</v>
      </c>
      <c r="F5407" t="s">
        <v>32606</v>
      </c>
      <c r="G5407" t="s">
        <v>32613</v>
      </c>
      <c r="H5407" t="s">
        <v>14201</v>
      </c>
      <c r="I5407" t="s">
        <v>32633</v>
      </c>
      <c r="J5407" t="s">
        <v>36304</v>
      </c>
      <c r="K5407" t="s">
        <v>42622</v>
      </c>
      <c r="M5407" t="s">
        <v>44939</v>
      </c>
      <c r="N5407" t="s">
        <v>47304</v>
      </c>
      <c r="O5407" t="s">
        <v>47305</v>
      </c>
      <c r="P5407">
        <v>0</v>
      </c>
      <c r="Q5407">
        <v>2</v>
      </c>
      <c r="R5407" t="s">
        <v>47308</v>
      </c>
      <c r="S5407" t="s">
        <v>47429</v>
      </c>
      <c r="T5407" t="s">
        <v>49032</v>
      </c>
      <c r="U5407" t="s">
        <v>54081</v>
      </c>
      <c r="V5407" t="s">
        <v>63157</v>
      </c>
      <c r="W5407" t="s">
        <v>44939</v>
      </c>
      <c r="X5407" t="s">
        <v>47311</v>
      </c>
    </row>
    <row r="5408" spans="1:24">
      <c r="A5408">
        <f>HYPERLINK("https://www.philgeps.gov.ph/GEPSNONPILOT/Tender/SplashBidNoticeAbstractUI.aspx?menuIndex=3&amp;refID=7193071&amp;Result=3","7193071")</f>
        <v>0</v>
      </c>
      <c r="B5408" t="s">
        <v>1875</v>
      </c>
      <c r="C5408" t="s">
        <v>4129</v>
      </c>
      <c r="E5408" t="s">
        <v>23883</v>
      </c>
      <c r="F5408" t="s">
        <v>32606</v>
      </c>
      <c r="G5408" t="s">
        <v>32614</v>
      </c>
      <c r="H5408" t="s">
        <v>14201</v>
      </c>
      <c r="I5408" t="s">
        <v>4120</v>
      </c>
      <c r="J5408" t="s">
        <v>32977</v>
      </c>
      <c r="K5408" t="s">
        <v>42623</v>
      </c>
      <c r="M5408" t="s">
        <v>44932</v>
      </c>
      <c r="N5408" t="s">
        <v>47304</v>
      </c>
      <c r="O5408" t="s">
        <v>47305</v>
      </c>
      <c r="P5408">
        <v>0</v>
      </c>
      <c r="Q5408">
        <v>0</v>
      </c>
      <c r="R5408" t="s">
        <v>47308</v>
      </c>
      <c r="S5408" t="s">
        <v>47429</v>
      </c>
      <c r="T5408" t="s">
        <v>49244</v>
      </c>
      <c r="U5408" t="s">
        <v>50436</v>
      </c>
      <c r="W5408" t="s">
        <v>44932</v>
      </c>
      <c r="X5408" t="s">
        <v>47311</v>
      </c>
    </row>
    <row r="5409" spans="1:24">
      <c r="A5409">
        <f>HYPERLINK("https://www.philgeps.gov.ph/GEPSNONPILOT/Tender/SplashBidNoticeAbstractUI.aspx?menuIndex=3&amp;refID=7193368&amp;Result=3","7193368")</f>
        <v>0</v>
      </c>
      <c r="B5409" t="s">
        <v>1881</v>
      </c>
      <c r="C5409" t="s">
        <v>8930</v>
      </c>
      <c r="D5409" t="s">
        <v>18997</v>
      </c>
      <c r="E5409" t="s">
        <v>23884</v>
      </c>
      <c r="F5409" t="s">
        <v>32606</v>
      </c>
      <c r="G5409" t="s">
        <v>32613</v>
      </c>
      <c r="H5409" t="s">
        <v>14201</v>
      </c>
      <c r="I5409" t="s">
        <v>32654</v>
      </c>
      <c r="J5409" t="s">
        <v>33569</v>
      </c>
      <c r="K5409" t="s">
        <v>42622</v>
      </c>
      <c r="M5409" t="s">
        <v>44939</v>
      </c>
      <c r="N5409" t="s">
        <v>47304</v>
      </c>
      <c r="O5409" t="s">
        <v>47305</v>
      </c>
      <c r="P5409">
        <v>0</v>
      </c>
      <c r="Q5409">
        <v>0</v>
      </c>
      <c r="R5409" t="s">
        <v>47308</v>
      </c>
      <c r="S5409" t="s">
        <v>47429</v>
      </c>
      <c r="T5409" t="s">
        <v>49032</v>
      </c>
      <c r="U5409" t="s">
        <v>54081</v>
      </c>
      <c r="V5409" t="s">
        <v>63157</v>
      </c>
      <c r="W5409" t="s">
        <v>44939</v>
      </c>
      <c r="X5409" t="s">
        <v>47311</v>
      </c>
    </row>
    <row r="5410" spans="1:24">
      <c r="A5410">
        <f>HYPERLINK("https://www.philgeps.gov.ph/GEPSNONPILOT/Tender/SplashBidNoticeAbstractUI.aspx?menuIndex=3&amp;refID=7193087&amp;Result=3","7193087")</f>
        <v>0</v>
      </c>
      <c r="B5410" t="s">
        <v>1868</v>
      </c>
      <c r="C5410" t="s">
        <v>8931</v>
      </c>
      <c r="D5410" t="s">
        <v>19029</v>
      </c>
      <c r="E5410" t="s">
        <v>23885</v>
      </c>
      <c r="F5410" t="s">
        <v>32606</v>
      </c>
      <c r="G5410" t="s">
        <v>32613</v>
      </c>
      <c r="H5410" t="s">
        <v>32623</v>
      </c>
      <c r="I5410" t="s">
        <v>17648</v>
      </c>
      <c r="J5410" t="s">
        <v>36305</v>
      </c>
      <c r="K5410" t="s">
        <v>42681</v>
      </c>
      <c r="L5410" t="s">
        <v>1868</v>
      </c>
      <c r="M5410" t="s">
        <v>44925</v>
      </c>
      <c r="N5410" t="s">
        <v>47304</v>
      </c>
      <c r="O5410" t="s">
        <v>47305</v>
      </c>
      <c r="P5410">
        <v>0</v>
      </c>
      <c r="Q5410">
        <v>0</v>
      </c>
      <c r="R5410" t="s">
        <v>47308</v>
      </c>
      <c r="S5410" t="s">
        <v>47429</v>
      </c>
      <c r="T5410" t="s">
        <v>49015</v>
      </c>
      <c r="U5410" t="s">
        <v>54082</v>
      </c>
      <c r="V5410" t="s">
        <v>63158</v>
      </c>
      <c r="W5410" t="s">
        <v>44925</v>
      </c>
      <c r="X5410" t="s">
        <v>47311</v>
      </c>
    </row>
    <row r="5411" spans="1:24">
      <c r="A5411">
        <f>HYPERLINK("https://www.philgeps.gov.ph/GEPSNONPILOT/Tender/SplashBidNoticeAbstractUI.aspx?menuIndex=3&amp;refID=7193364&amp;Result=3","7193364")</f>
        <v>0</v>
      </c>
      <c r="B5411" t="s">
        <v>1882</v>
      </c>
      <c r="C5411" t="s">
        <v>8932</v>
      </c>
      <c r="D5411" t="s">
        <v>19028</v>
      </c>
      <c r="E5411" t="s">
        <v>23886</v>
      </c>
      <c r="F5411" t="s">
        <v>32606</v>
      </c>
      <c r="G5411" t="s">
        <v>32613</v>
      </c>
      <c r="H5411" t="s">
        <v>32624</v>
      </c>
      <c r="I5411" t="s">
        <v>32713</v>
      </c>
      <c r="J5411" t="s">
        <v>32799</v>
      </c>
      <c r="K5411" t="s">
        <v>42630</v>
      </c>
      <c r="M5411" t="s">
        <v>44940</v>
      </c>
      <c r="N5411" t="s">
        <v>47304</v>
      </c>
      <c r="O5411" t="s">
        <v>47305</v>
      </c>
      <c r="P5411">
        <v>0</v>
      </c>
      <c r="Q5411">
        <v>0</v>
      </c>
      <c r="R5411" t="s">
        <v>47308</v>
      </c>
      <c r="S5411" t="s">
        <v>47429</v>
      </c>
      <c r="T5411" t="s">
        <v>49015</v>
      </c>
      <c r="U5411" t="s">
        <v>54083</v>
      </c>
      <c r="W5411" t="s">
        <v>44940</v>
      </c>
      <c r="X5411" t="s">
        <v>47311</v>
      </c>
    </row>
    <row r="5412" spans="1:24">
      <c r="A5412">
        <f>HYPERLINK("https://www.philgeps.gov.ph/GEPSNONPILOT/Tender/SplashBidNoticeAbstractUI.aspx?menuIndex=3&amp;refID=7193212&amp;Result=3","7193212")</f>
        <v>0</v>
      </c>
      <c r="B5412" t="s">
        <v>1866</v>
      </c>
      <c r="C5412" t="s">
        <v>8933</v>
      </c>
      <c r="D5412" t="s">
        <v>19058</v>
      </c>
      <c r="E5412" t="s">
        <v>20378</v>
      </c>
      <c r="F5412" t="s">
        <v>32606</v>
      </c>
      <c r="G5412" t="s">
        <v>32613</v>
      </c>
      <c r="H5412" t="s">
        <v>32623</v>
      </c>
      <c r="I5412" t="s">
        <v>32675</v>
      </c>
      <c r="J5412" t="s">
        <v>32789</v>
      </c>
      <c r="K5412" t="s">
        <v>42630</v>
      </c>
      <c r="M5412" t="s">
        <v>44923</v>
      </c>
      <c r="N5412" t="s">
        <v>47304</v>
      </c>
      <c r="O5412" t="s">
        <v>47305</v>
      </c>
      <c r="P5412">
        <v>0</v>
      </c>
      <c r="Q5412">
        <v>0</v>
      </c>
      <c r="R5412" t="s">
        <v>47308</v>
      </c>
      <c r="S5412" t="s">
        <v>47429</v>
      </c>
      <c r="T5412" t="s">
        <v>49149</v>
      </c>
      <c r="U5412" t="s">
        <v>54084</v>
      </c>
      <c r="W5412" t="s">
        <v>44923</v>
      </c>
      <c r="X5412" t="s">
        <v>47311</v>
      </c>
    </row>
    <row r="5413" spans="1:24">
      <c r="A5413">
        <f>HYPERLINK("https://www.philgeps.gov.ph/GEPSNONPILOT/Tender/SplashBidNoticeAbstractUI.aspx?menuIndex=3&amp;refID=7193346&amp;Result=3","7193346")</f>
        <v>0</v>
      </c>
      <c r="B5413" t="s">
        <v>1694</v>
      </c>
      <c r="C5413" t="s">
        <v>8934</v>
      </c>
      <c r="D5413" t="s">
        <v>19061</v>
      </c>
      <c r="E5413" t="s">
        <v>23887</v>
      </c>
      <c r="F5413" t="s">
        <v>32606</v>
      </c>
      <c r="G5413" t="s">
        <v>32613</v>
      </c>
      <c r="H5413" t="s">
        <v>32623</v>
      </c>
      <c r="I5413" t="s">
        <v>17648</v>
      </c>
      <c r="J5413" t="s">
        <v>32770</v>
      </c>
      <c r="K5413" t="s">
        <v>42636</v>
      </c>
      <c r="M5413" t="s">
        <v>44723</v>
      </c>
      <c r="N5413" t="s">
        <v>47304</v>
      </c>
      <c r="O5413" t="s">
        <v>47305</v>
      </c>
      <c r="P5413">
        <v>0</v>
      </c>
      <c r="Q5413">
        <v>1</v>
      </c>
      <c r="R5413" t="s">
        <v>47308</v>
      </c>
      <c r="S5413" t="s">
        <v>47429</v>
      </c>
      <c r="T5413" t="s">
        <v>49041</v>
      </c>
      <c r="U5413" t="s">
        <v>54085</v>
      </c>
      <c r="W5413" t="s">
        <v>44723</v>
      </c>
      <c r="X5413" t="s">
        <v>47311</v>
      </c>
    </row>
    <row r="5414" spans="1:24">
      <c r="A5414">
        <f>HYPERLINK("https://www.philgeps.gov.ph/GEPSNONPILOT/Tender/SplashBidNoticeAbstractUI.aspx?menuIndex=3&amp;refID=7193333&amp;Result=3","7193333")</f>
        <v>0</v>
      </c>
      <c r="B5414" t="s">
        <v>1694</v>
      </c>
      <c r="C5414" t="s">
        <v>8935</v>
      </c>
      <c r="D5414" t="s">
        <v>19061</v>
      </c>
      <c r="E5414" t="s">
        <v>23888</v>
      </c>
      <c r="F5414" t="s">
        <v>32606</v>
      </c>
      <c r="G5414" t="s">
        <v>32613</v>
      </c>
      <c r="H5414" t="s">
        <v>32623</v>
      </c>
      <c r="I5414" t="s">
        <v>17648</v>
      </c>
      <c r="J5414" t="s">
        <v>33039</v>
      </c>
      <c r="K5414" t="s">
        <v>42646</v>
      </c>
      <c r="M5414" t="s">
        <v>44723</v>
      </c>
      <c r="N5414" t="s">
        <v>47304</v>
      </c>
      <c r="O5414" t="s">
        <v>47305</v>
      </c>
      <c r="P5414">
        <v>0</v>
      </c>
      <c r="Q5414">
        <v>0</v>
      </c>
      <c r="R5414" t="s">
        <v>47308</v>
      </c>
      <c r="S5414" t="s">
        <v>47429</v>
      </c>
      <c r="T5414" t="s">
        <v>49041</v>
      </c>
      <c r="U5414" t="s">
        <v>54086</v>
      </c>
      <c r="W5414" t="s">
        <v>44723</v>
      </c>
      <c r="X5414" t="s">
        <v>47311</v>
      </c>
    </row>
    <row r="5415" spans="1:24">
      <c r="A5415">
        <f>HYPERLINK("https://www.philgeps.gov.ph/GEPSNONPILOT/Tender/SplashBidNoticeAbstractUI.aspx?menuIndex=3&amp;refID=7193331&amp;Result=3","7193331")</f>
        <v>0</v>
      </c>
      <c r="B5415" t="s">
        <v>1225</v>
      </c>
      <c r="C5415" t="s">
        <v>6618</v>
      </c>
      <c r="D5415" t="s">
        <v>19038</v>
      </c>
      <c r="E5415" t="s">
        <v>23889</v>
      </c>
      <c r="F5415" t="s">
        <v>32610</v>
      </c>
      <c r="G5415" t="s">
        <v>32613</v>
      </c>
      <c r="H5415" t="s">
        <v>14201</v>
      </c>
      <c r="I5415" t="s">
        <v>6931</v>
      </c>
      <c r="J5415" t="s">
        <v>36306</v>
      </c>
      <c r="K5415" t="s">
        <v>42624</v>
      </c>
      <c r="M5415" t="s">
        <v>44869</v>
      </c>
      <c r="N5415" t="s">
        <v>47304</v>
      </c>
      <c r="O5415" t="s">
        <v>47305</v>
      </c>
      <c r="P5415">
        <v>0</v>
      </c>
      <c r="Q5415">
        <v>2</v>
      </c>
      <c r="R5415" t="s">
        <v>47308</v>
      </c>
      <c r="S5415" t="s">
        <v>47429</v>
      </c>
      <c r="T5415" t="s">
        <v>48990</v>
      </c>
      <c r="U5415" t="s">
        <v>54087</v>
      </c>
      <c r="W5415" t="s">
        <v>64467</v>
      </c>
      <c r="X5415" t="s">
        <v>47311</v>
      </c>
    </row>
    <row r="5416" spans="1:24">
      <c r="A5416">
        <f>HYPERLINK("https://www.philgeps.gov.ph/GEPSNONPILOT/Tender/SplashBidNoticeAbstractUI.aspx?menuIndex=3&amp;refID=7193315&amp;Result=3","7193315")</f>
        <v>0</v>
      </c>
      <c r="B5416" t="s">
        <v>1883</v>
      </c>
      <c r="C5416" t="s">
        <v>8936</v>
      </c>
      <c r="D5416" t="s">
        <v>18999</v>
      </c>
      <c r="E5416" t="s">
        <v>19315</v>
      </c>
      <c r="F5416" t="s">
        <v>32606</v>
      </c>
      <c r="G5416" t="s">
        <v>32614</v>
      </c>
      <c r="H5416" t="s">
        <v>32624</v>
      </c>
      <c r="I5416" t="s">
        <v>4369</v>
      </c>
      <c r="J5416" t="s">
        <v>33363</v>
      </c>
      <c r="K5416" t="s">
        <v>42629</v>
      </c>
      <c r="M5416" t="s">
        <v>44941</v>
      </c>
      <c r="N5416" t="s">
        <v>47304</v>
      </c>
      <c r="O5416" t="s">
        <v>47305</v>
      </c>
      <c r="P5416">
        <v>0</v>
      </c>
      <c r="Q5416">
        <v>2</v>
      </c>
      <c r="R5416" t="s">
        <v>47308</v>
      </c>
      <c r="S5416" t="s">
        <v>47429</v>
      </c>
      <c r="T5416" t="s">
        <v>48975</v>
      </c>
      <c r="U5416" t="s">
        <v>54088</v>
      </c>
      <c r="W5416" t="s">
        <v>44941</v>
      </c>
      <c r="X5416" t="s">
        <v>47311</v>
      </c>
    </row>
    <row r="5417" spans="1:24">
      <c r="A5417">
        <f>HYPERLINK("https://www.philgeps.gov.ph/GEPSNONPILOT/Tender/SplashBidNoticeAbstractUI.aspx?menuIndex=3&amp;refID=7191955&amp;Result=3","7191955")</f>
        <v>0</v>
      </c>
      <c r="B5417" t="s">
        <v>760</v>
      </c>
      <c r="C5417" t="s">
        <v>8937</v>
      </c>
      <c r="D5417" t="s">
        <v>19006</v>
      </c>
      <c r="E5417" t="s">
        <v>23890</v>
      </c>
      <c r="F5417" t="s">
        <v>32606</v>
      </c>
      <c r="G5417" t="s">
        <v>32614</v>
      </c>
      <c r="H5417" t="s">
        <v>14201</v>
      </c>
      <c r="I5417" t="s">
        <v>32650</v>
      </c>
      <c r="J5417" t="s">
        <v>32781</v>
      </c>
      <c r="K5417" t="s">
        <v>42630</v>
      </c>
      <c r="M5417" t="s">
        <v>43684</v>
      </c>
      <c r="N5417" t="s">
        <v>47304</v>
      </c>
      <c r="O5417" t="s">
        <v>47305</v>
      </c>
      <c r="P5417">
        <v>0</v>
      </c>
      <c r="Q5417">
        <v>2</v>
      </c>
      <c r="R5417" t="s">
        <v>47308</v>
      </c>
      <c r="S5417" t="s">
        <v>47429</v>
      </c>
      <c r="T5417" t="s">
        <v>49053</v>
      </c>
      <c r="U5417" t="s">
        <v>53970</v>
      </c>
      <c r="W5417" t="s">
        <v>43684</v>
      </c>
      <c r="X5417" t="s">
        <v>47312</v>
      </c>
    </row>
    <row r="5418" spans="1:24">
      <c r="A5418">
        <f>HYPERLINK("https://www.philgeps.gov.ph/GEPSNONPILOT/Tender/SplashBidNoticeAbstractUI.aspx?menuIndex=3&amp;refID=7193308&amp;Result=3","7193308")</f>
        <v>0</v>
      </c>
      <c r="B5418" t="s">
        <v>1883</v>
      </c>
      <c r="C5418" t="s">
        <v>8938</v>
      </c>
      <c r="D5418" t="s">
        <v>18999</v>
      </c>
      <c r="E5418" t="s">
        <v>19315</v>
      </c>
      <c r="F5418" t="s">
        <v>32606</v>
      </c>
      <c r="G5418" t="s">
        <v>32614</v>
      </c>
      <c r="H5418" t="s">
        <v>32624</v>
      </c>
      <c r="I5418" t="s">
        <v>4369</v>
      </c>
      <c r="J5418" t="s">
        <v>33587</v>
      </c>
      <c r="K5418" t="s">
        <v>42629</v>
      </c>
      <c r="M5418" t="s">
        <v>44941</v>
      </c>
      <c r="N5418" t="s">
        <v>47304</v>
      </c>
      <c r="O5418" t="s">
        <v>47305</v>
      </c>
      <c r="P5418">
        <v>0</v>
      </c>
      <c r="Q5418">
        <v>1</v>
      </c>
      <c r="R5418" t="s">
        <v>47308</v>
      </c>
      <c r="S5418" t="s">
        <v>47429</v>
      </c>
      <c r="T5418" t="s">
        <v>48975</v>
      </c>
      <c r="U5418" t="s">
        <v>54089</v>
      </c>
      <c r="W5418" t="s">
        <v>44941</v>
      </c>
      <c r="X5418" t="s">
        <v>47311</v>
      </c>
    </row>
    <row r="5419" spans="1:24">
      <c r="A5419">
        <f>HYPERLINK("https://www.philgeps.gov.ph/GEPSNONPILOT/Tender/SplashBidNoticeAbstractUI.aspx?menuIndex=3&amp;refID=7193306&amp;Result=3","7193306")</f>
        <v>0</v>
      </c>
      <c r="B5419" t="s">
        <v>1883</v>
      </c>
      <c r="C5419" t="s">
        <v>8939</v>
      </c>
      <c r="D5419" t="s">
        <v>18999</v>
      </c>
      <c r="E5419" t="s">
        <v>19315</v>
      </c>
      <c r="F5419" t="s">
        <v>32606</v>
      </c>
      <c r="G5419" t="s">
        <v>32614</v>
      </c>
      <c r="H5419" t="s">
        <v>32624</v>
      </c>
      <c r="I5419" t="s">
        <v>4369</v>
      </c>
      <c r="J5419" t="s">
        <v>33113</v>
      </c>
      <c r="K5419" t="s">
        <v>42629</v>
      </c>
      <c r="M5419" t="s">
        <v>44941</v>
      </c>
      <c r="N5419" t="s">
        <v>47304</v>
      </c>
      <c r="O5419" t="s">
        <v>47305</v>
      </c>
      <c r="P5419">
        <v>0</v>
      </c>
      <c r="Q5419">
        <v>1</v>
      </c>
      <c r="R5419" t="s">
        <v>47308</v>
      </c>
      <c r="S5419" t="s">
        <v>47429</v>
      </c>
      <c r="T5419" t="s">
        <v>48975</v>
      </c>
      <c r="U5419" t="s">
        <v>54090</v>
      </c>
      <c r="W5419" t="s">
        <v>44941</v>
      </c>
      <c r="X5419" t="s">
        <v>47311</v>
      </c>
    </row>
    <row r="5420" spans="1:24">
      <c r="A5420">
        <f>HYPERLINK("https://www.philgeps.gov.ph/GEPSNONPILOT/Tender/SplashBidNoticeAbstractUI.aspx?menuIndex=3&amp;refID=7193303&amp;Result=3","7193303")</f>
        <v>0</v>
      </c>
      <c r="B5420" t="s">
        <v>1883</v>
      </c>
      <c r="C5420" t="s">
        <v>8940</v>
      </c>
      <c r="D5420" t="s">
        <v>18999</v>
      </c>
      <c r="E5420" t="s">
        <v>19315</v>
      </c>
      <c r="F5420" t="s">
        <v>32606</v>
      </c>
      <c r="G5420" t="s">
        <v>32614</v>
      </c>
      <c r="H5420" t="s">
        <v>32624</v>
      </c>
      <c r="I5420" t="s">
        <v>4369</v>
      </c>
      <c r="J5420" t="s">
        <v>32995</v>
      </c>
      <c r="K5420" t="s">
        <v>42629</v>
      </c>
      <c r="M5420" t="s">
        <v>44941</v>
      </c>
      <c r="N5420" t="s">
        <v>47304</v>
      </c>
      <c r="O5420" t="s">
        <v>47305</v>
      </c>
      <c r="P5420">
        <v>0</v>
      </c>
      <c r="Q5420">
        <v>3</v>
      </c>
      <c r="R5420" t="s">
        <v>47308</v>
      </c>
      <c r="S5420" t="s">
        <v>47429</v>
      </c>
      <c r="T5420" t="s">
        <v>48975</v>
      </c>
      <c r="U5420" t="s">
        <v>54091</v>
      </c>
      <c r="W5420" t="s">
        <v>44941</v>
      </c>
      <c r="X5420" t="s">
        <v>47311</v>
      </c>
    </row>
    <row r="5421" spans="1:24">
      <c r="A5421">
        <f>HYPERLINK("https://www.philgeps.gov.ph/GEPSNONPILOT/Tender/SplashBidNoticeAbstractUI.aspx?menuIndex=3&amp;refID=7193131&amp;Result=3","7193131")</f>
        <v>0</v>
      </c>
      <c r="B5421" t="s">
        <v>1857</v>
      </c>
      <c r="C5421" t="s">
        <v>8941</v>
      </c>
      <c r="E5421" t="s">
        <v>23891</v>
      </c>
      <c r="F5421" t="s">
        <v>32607</v>
      </c>
      <c r="G5421" t="s">
        <v>32619</v>
      </c>
      <c r="H5421" t="s">
        <v>32623</v>
      </c>
      <c r="I5421" t="s">
        <v>32675</v>
      </c>
      <c r="J5421" t="s">
        <v>36307</v>
      </c>
      <c r="K5421" t="s">
        <v>42639</v>
      </c>
      <c r="M5421" t="s">
        <v>44914</v>
      </c>
      <c r="N5421" t="s">
        <v>47304</v>
      </c>
      <c r="O5421" t="s">
        <v>47305</v>
      </c>
      <c r="P5421">
        <v>0</v>
      </c>
      <c r="Q5421">
        <v>0</v>
      </c>
      <c r="R5421" t="s">
        <v>47308</v>
      </c>
      <c r="S5421" t="s">
        <v>47429</v>
      </c>
      <c r="T5421" t="s">
        <v>49072</v>
      </c>
      <c r="U5421" t="s">
        <v>54092</v>
      </c>
      <c r="W5421" t="s">
        <v>44914</v>
      </c>
      <c r="X5421" t="s">
        <v>47311</v>
      </c>
    </row>
    <row r="5422" spans="1:24">
      <c r="A5422">
        <f>HYPERLINK("https://www.philgeps.gov.ph/GEPSNONPILOT/Tender/SplashBidNoticeAbstractUI.aspx?menuIndex=3&amp;refID=7193302&amp;Result=3","7193302")</f>
        <v>0</v>
      </c>
      <c r="B5422" t="s">
        <v>1884</v>
      </c>
      <c r="C5422" t="s">
        <v>8942</v>
      </c>
      <c r="E5422" t="s">
        <v>23892</v>
      </c>
      <c r="F5422" t="s">
        <v>32606</v>
      </c>
      <c r="G5422" t="s">
        <v>32614</v>
      </c>
      <c r="H5422" t="s">
        <v>14201</v>
      </c>
      <c r="I5422" t="s">
        <v>32629</v>
      </c>
      <c r="J5422" t="s">
        <v>32950</v>
      </c>
      <c r="K5422" t="s">
        <v>42624</v>
      </c>
      <c r="M5422" t="s">
        <v>44942</v>
      </c>
      <c r="N5422" t="s">
        <v>47304</v>
      </c>
      <c r="O5422" t="s">
        <v>47305</v>
      </c>
      <c r="P5422">
        <v>0</v>
      </c>
      <c r="Q5422">
        <v>0</v>
      </c>
      <c r="R5422" t="s">
        <v>47308</v>
      </c>
      <c r="S5422" t="s">
        <v>47429</v>
      </c>
      <c r="T5422" t="s">
        <v>48998</v>
      </c>
      <c r="U5422" t="s">
        <v>54093</v>
      </c>
      <c r="W5422" t="s">
        <v>64484</v>
      </c>
      <c r="X5422" t="s">
        <v>47311</v>
      </c>
    </row>
    <row r="5423" spans="1:24">
      <c r="A5423">
        <f>HYPERLINK("https://www.philgeps.gov.ph/GEPSNONPILOT/Tender/SplashBidNoticeAbstractUI.aspx?menuIndex=3&amp;refID=7193313&amp;Result=3","7193313")</f>
        <v>0</v>
      </c>
      <c r="B5423" t="s">
        <v>1883</v>
      </c>
      <c r="C5423" t="s">
        <v>8943</v>
      </c>
      <c r="D5423" t="s">
        <v>18999</v>
      </c>
      <c r="E5423" t="s">
        <v>19315</v>
      </c>
      <c r="F5423" t="s">
        <v>32606</v>
      </c>
      <c r="G5423" t="s">
        <v>32614</v>
      </c>
      <c r="H5423" t="s">
        <v>32624</v>
      </c>
      <c r="I5423" t="s">
        <v>4369</v>
      </c>
      <c r="J5423" t="s">
        <v>32789</v>
      </c>
      <c r="K5423" t="s">
        <v>42629</v>
      </c>
      <c r="M5423" t="s">
        <v>44941</v>
      </c>
      <c r="N5423" t="s">
        <v>47304</v>
      </c>
      <c r="O5423" t="s">
        <v>47305</v>
      </c>
      <c r="P5423">
        <v>0</v>
      </c>
      <c r="Q5423">
        <v>3</v>
      </c>
      <c r="R5423" t="s">
        <v>47308</v>
      </c>
      <c r="S5423" t="s">
        <v>47429</v>
      </c>
      <c r="T5423" t="s">
        <v>48975</v>
      </c>
      <c r="U5423" t="s">
        <v>54094</v>
      </c>
      <c r="W5423" t="s">
        <v>44941</v>
      </c>
      <c r="X5423" t="s">
        <v>47311</v>
      </c>
    </row>
    <row r="5424" spans="1:24">
      <c r="A5424">
        <f>HYPERLINK("https://www.philgeps.gov.ph/GEPSNONPILOT/Tender/SplashBidNoticeAbstractUI.aspx?menuIndex=3&amp;refID=7193311&amp;Result=3","7193311")</f>
        <v>0</v>
      </c>
      <c r="B5424" t="s">
        <v>1883</v>
      </c>
      <c r="C5424" t="s">
        <v>8944</v>
      </c>
      <c r="D5424" t="s">
        <v>18999</v>
      </c>
      <c r="E5424" t="s">
        <v>19315</v>
      </c>
      <c r="F5424" t="s">
        <v>32606</v>
      </c>
      <c r="G5424" t="s">
        <v>32614</v>
      </c>
      <c r="H5424" t="s">
        <v>32624</v>
      </c>
      <c r="I5424" t="s">
        <v>4369</v>
      </c>
      <c r="J5424" t="s">
        <v>32999</v>
      </c>
      <c r="K5424" t="s">
        <v>42629</v>
      </c>
      <c r="M5424" t="s">
        <v>44941</v>
      </c>
      <c r="N5424" t="s">
        <v>47304</v>
      </c>
      <c r="O5424" t="s">
        <v>47305</v>
      </c>
      <c r="P5424">
        <v>0</v>
      </c>
      <c r="Q5424">
        <v>1</v>
      </c>
      <c r="R5424" t="s">
        <v>47308</v>
      </c>
      <c r="S5424" t="s">
        <v>47429</v>
      </c>
      <c r="T5424" t="s">
        <v>48975</v>
      </c>
      <c r="U5424" t="s">
        <v>54095</v>
      </c>
      <c r="W5424" t="s">
        <v>44941</v>
      </c>
      <c r="X5424" t="s">
        <v>47311</v>
      </c>
    </row>
    <row r="5425" spans="1:24">
      <c r="A5425">
        <f>HYPERLINK("https://www.philgeps.gov.ph/GEPSNONPILOT/Tender/SplashBidNoticeAbstractUI.aspx?menuIndex=3&amp;refID=7193299&amp;Result=3","7193299")</f>
        <v>0</v>
      </c>
      <c r="B5425" t="s">
        <v>1885</v>
      </c>
      <c r="C5425" t="s">
        <v>8945</v>
      </c>
      <c r="D5425" t="s">
        <v>18999</v>
      </c>
      <c r="E5425" t="s">
        <v>23893</v>
      </c>
      <c r="F5425" t="s">
        <v>32606</v>
      </c>
      <c r="G5425" t="s">
        <v>32619</v>
      </c>
      <c r="H5425" t="s">
        <v>14201</v>
      </c>
      <c r="I5425" t="s">
        <v>32646</v>
      </c>
      <c r="J5425" t="s">
        <v>32949</v>
      </c>
      <c r="K5425" t="s">
        <v>42630</v>
      </c>
      <c r="M5425" t="s">
        <v>44943</v>
      </c>
      <c r="N5425" t="s">
        <v>47304</v>
      </c>
      <c r="O5425" t="s">
        <v>47305</v>
      </c>
      <c r="P5425">
        <v>0</v>
      </c>
      <c r="Q5425">
        <v>5</v>
      </c>
      <c r="R5425" t="s">
        <v>47308</v>
      </c>
      <c r="S5425" t="s">
        <v>47429</v>
      </c>
      <c r="T5425" t="s">
        <v>49083</v>
      </c>
      <c r="U5425" t="s">
        <v>54096</v>
      </c>
      <c r="W5425" t="s">
        <v>44943</v>
      </c>
      <c r="X5425" t="s">
        <v>47311</v>
      </c>
    </row>
    <row r="5426" spans="1:24">
      <c r="A5426">
        <f>HYPERLINK("https://www.philgeps.gov.ph/GEPSNONPILOT/Tender/SplashBidNoticeAbstractUI.aspx?menuIndex=3&amp;refID=7193279&amp;Result=3","7193279")</f>
        <v>0</v>
      </c>
      <c r="B5426" t="s">
        <v>1886</v>
      </c>
      <c r="C5426" t="s">
        <v>8946</v>
      </c>
      <c r="D5426" t="s">
        <v>18989</v>
      </c>
      <c r="E5426" t="s">
        <v>23894</v>
      </c>
      <c r="F5426" t="s">
        <v>32606</v>
      </c>
      <c r="G5426" t="s">
        <v>32614</v>
      </c>
      <c r="H5426" t="s">
        <v>14201</v>
      </c>
      <c r="I5426" t="s">
        <v>7677</v>
      </c>
      <c r="J5426" t="s">
        <v>32951</v>
      </c>
      <c r="K5426" t="s">
        <v>42674</v>
      </c>
      <c r="M5426" t="s">
        <v>44944</v>
      </c>
      <c r="N5426" t="s">
        <v>47304</v>
      </c>
      <c r="O5426" t="s">
        <v>47305</v>
      </c>
      <c r="P5426">
        <v>0</v>
      </c>
      <c r="Q5426">
        <v>0</v>
      </c>
      <c r="R5426" t="s">
        <v>47308</v>
      </c>
      <c r="S5426" t="s">
        <v>47429</v>
      </c>
      <c r="T5426" t="s">
        <v>48975</v>
      </c>
      <c r="U5426" t="s">
        <v>54097</v>
      </c>
      <c r="W5426" t="s">
        <v>44944</v>
      </c>
      <c r="X5426" t="s">
        <v>47311</v>
      </c>
    </row>
    <row r="5427" spans="1:24">
      <c r="A5427">
        <f>HYPERLINK("https://www.philgeps.gov.ph/GEPSNONPILOT/Tender/SplashBidNoticeAbstractUI.aspx?menuIndex=3&amp;refID=7193257&amp;Result=3","7193257")</f>
        <v>0</v>
      </c>
      <c r="B5427" t="s">
        <v>1225</v>
      </c>
      <c r="C5427" t="s">
        <v>8947</v>
      </c>
      <c r="D5427" t="s">
        <v>19038</v>
      </c>
      <c r="E5427" t="s">
        <v>23895</v>
      </c>
      <c r="F5427" t="s">
        <v>32606</v>
      </c>
      <c r="G5427" t="s">
        <v>32613</v>
      </c>
      <c r="H5427" t="s">
        <v>14201</v>
      </c>
      <c r="I5427" t="s">
        <v>6931</v>
      </c>
      <c r="J5427" t="s">
        <v>36308</v>
      </c>
      <c r="K5427" t="s">
        <v>42624</v>
      </c>
      <c r="M5427" t="s">
        <v>44869</v>
      </c>
      <c r="N5427" t="s">
        <v>47304</v>
      </c>
      <c r="O5427" t="s">
        <v>47305</v>
      </c>
      <c r="P5427">
        <v>0</v>
      </c>
      <c r="Q5427">
        <v>1</v>
      </c>
      <c r="R5427" t="s">
        <v>47308</v>
      </c>
      <c r="S5427" t="s">
        <v>47429</v>
      </c>
      <c r="T5427" t="s">
        <v>48990</v>
      </c>
      <c r="U5427" t="s">
        <v>54098</v>
      </c>
      <c r="W5427" t="s">
        <v>64467</v>
      </c>
      <c r="X5427" t="s">
        <v>47311</v>
      </c>
    </row>
    <row r="5428" spans="1:24">
      <c r="A5428">
        <f>HYPERLINK("https://www.philgeps.gov.ph/GEPSNONPILOT/Tender/SplashBidNoticeAbstractUI.aspx?menuIndex=3&amp;refID=7193124&amp;Result=3","7193124")</f>
        <v>0</v>
      </c>
      <c r="B5428" t="s">
        <v>1857</v>
      </c>
      <c r="C5428" t="s">
        <v>8948</v>
      </c>
      <c r="D5428" t="s">
        <v>19043</v>
      </c>
      <c r="E5428" t="s">
        <v>23896</v>
      </c>
      <c r="F5428" t="s">
        <v>32607</v>
      </c>
      <c r="G5428" t="s">
        <v>32619</v>
      </c>
      <c r="H5428" t="s">
        <v>14201</v>
      </c>
      <c r="I5428" t="s">
        <v>6931</v>
      </c>
      <c r="J5428" t="s">
        <v>36309</v>
      </c>
      <c r="K5428" t="s">
        <v>42623</v>
      </c>
      <c r="M5428" t="s">
        <v>44914</v>
      </c>
      <c r="N5428" t="s">
        <v>47304</v>
      </c>
      <c r="O5428" t="s">
        <v>47305</v>
      </c>
      <c r="P5428">
        <v>0</v>
      </c>
      <c r="Q5428">
        <v>0</v>
      </c>
      <c r="R5428" t="s">
        <v>47308</v>
      </c>
      <c r="S5428" t="s">
        <v>47429</v>
      </c>
      <c r="T5428" t="s">
        <v>48998</v>
      </c>
      <c r="U5428" t="s">
        <v>54099</v>
      </c>
      <c r="W5428" t="s">
        <v>44914</v>
      </c>
      <c r="X5428" t="s">
        <v>47311</v>
      </c>
    </row>
    <row r="5429" spans="1:24">
      <c r="A5429">
        <f>HYPERLINK("https://www.philgeps.gov.ph/GEPSNONPILOT/Tender/SplashBidNoticeAbstractUI.aspx?menuIndex=3&amp;refID=7193123&amp;Result=3","7193123")</f>
        <v>0</v>
      </c>
      <c r="B5429" t="s">
        <v>955</v>
      </c>
      <c r="C5429" t="s">
        <v>8949</v>
      </c>
      <c r="D5429" t="s">
        <v>19068</v>
      </c>
      <c r="E5429" t="s">
        <v>21030</v>
      </c>
      <c r="F5429" t="s">
        <v>32606</v>
      </c>
      <c r="G5429" t="s">
        <v>32613</v>
      </c>
      <c r="H5429" t="s">
        <v>32623</v>
      </c>
      <c r="I5429" t="s">
        <v>17648</v>
      </c>
      <c r="J5429" t="s">
        <v>36310</v>
      </c>
      <c r="K5429" t="s">
        <v>42624</v>
      </c>
      <c r="M5429" t="s">
        <v>43898</v>
      </c>
      <c r="N5429" t="s">
        <v>47304</v>
      </c>
      <c r="O5429" t="s">
        <v>47305</v>
      </c>
      <c r="P5429">
        <v>0</v>
      </c>
      <c r="Q5429">
        <v>0</v>
      </c>
      <c r="R5429" t="s">
        <v>47308</v>
      </c>
      <c r="S5429" t="s">
        <v>47429</v>
      </c>
      <c r="T5429" t="s">
        <v>49008</v>
      </c>
      <c r="U5429" t="s">
        <v>54100</v>
      </c>
      <c r="V5429" t="s">
        <v>63153</v>
      </c>
      <c r="W5429" t="s">
        <v>43898</v>
      </c>
      <c r="X5429" t="s">
        <v>47311</v>
      </c>
    </row>
    <row r="5430" spans="1:24">
      <c r="A5430">
        <f>HYPERLINK("https://www.philgeps.gov.ph/GEPSNONPILOT/Tender/SplashBidNoticeAbstractUI.aspx?menuIndex=3&amp;refID=7193117&amp;Result=3","7193117")</f>
        <v>0</v>
      </c>
      <c r="B5430" t="s">
        <v>1887</v>
      </c>
      <c r="C5430" t="s">
        <v>8950</v>
      </c>
      <c r="D5430" t="s">
        <v>19033</v>
      </c>
      <c r="E5430" t="s">
        <v>23897</v>
      </c>
      <c r="F5430" t="s">
        <v>32606</v>
      </c>
      <c r="G5430" t="s">
        <v>32613</v>
      </c>
      <c r="H5430" t="s">
        <v>32623</v>
      </c>
      <c r="I5430" t="s">
        <v>17648</v>
      </c>
      <c r="J5430" t="s">
        <v>36311</v>
      </c>
      <c r="K5430" t="s">
        <v>42631</v>
      </c>
      <c r="M5430" t="s">
        <v>44945</v>
      </c>
      <c r="N5430" t="s">
        <v>47304</v>
      </c>
      <c r="O5430" t="s">
        <v>47305</v>
      </c>
      <c r="P5430">
        <v>0</v>
      </c>
      <c r="Q5430">
        <v>1</v>
      </c>
      <c r="R5430" t="s">
        <v>47308</v>
      </c>
      <c r="S5430" t="s">
        <v>47429</v>
      </c>
      <c r="T5430" t="s">
        <v>49002</v>
      </c>
      <c r="U5430" t="s">
        <v>54101</v>
      </c>
      <c r="W5430" t="s">
        <v>44945</v>
      </c>
      <c r="X5430" t="s">
        <v>47311</v>
      </c>
    </row>
    <row r="5431" spans="1:24">
      <c r="A5431">
        <f>HYPERLINK("https://www.philgeps.gov.ph/GEPSNONPILOT/Tender/SplashBidNoticeAbstractUI.aspx?menuIndex=3&amp;refID=7193109&amp;Result=3","7193109")</f>
        <v>0</v>
      </c>
      <c r="B5431" t="s">
        <v>955</v>
      </c>
      <c r="C5431" t="s">
        <v>8951</v>
      </c>
      <c r="D5431" t="s">
        <v>19068</v>
      </c>
      <c r="E5431" t="s">
        <v>21030</v>
      </c>
      <c r="F5431" t="s">
        <v>32606</v>
      </c>
      <c r="G5431" t="s">
        <v>32613</v>
      </c>
      <c r="H5431" t="s">
        <v>32623</v>
      </c>
      <c r="I5431" t="s">
        <v>17648</v>
      </c>
      <c r="J5431" t="s">
        <v>36312</v>
      </c>
      <c r="K5431" t="s">
        <v>42624</v>
      </c>
      <c r="M5431" t="s">
        <v>43898</v>
      </c>
      <c r="N5431" t="s">
        <v>47304</v>
      </c>
      <c r="O5431" t="s">
        <v>47305</v>
      </c>
      <c r="P5431">
        <v>0</v>
      </c>
      <c r="Q5431">
        <v>0</v>
      </c>
      <c r="R5431" t="s">
        <v>47308</v>
      </c>
      <c r="S5431" t="s">
        <v>47429</v>
      </c>
      <c r="T5431" t="s">
        <v>49008</v>
      </c>
      <c r="U5431" t="s">
        <v>54102</v>
      </c>
      <c r="V5431" t="s">
        <v>63153</v>
      </c>
      <c r="W5431" t="s">
        <v>43898</v>
      </c>
      <c r="X5431" t="s">
        <v>47311</v>
      </c>
    </row>
    <row r="5432" spans="1:24">
      <c r="A5432">
        <f>HYPERLINK("https://www.philgeps.gov.ph/GEPSNONPILOT/Tender/SplashBidNoticeAbstractUI.aspx?menuIndex=3&amp;refID=7193353&amp;Result=3","7193353")</f>
        <v>0</v>
      </c>
      <c r="B5432" t="s">
        <v>1225</v>
      </c>
      <c r="C5432" t="s">
        <v>8952</v>
      </c>
      <c r="E5432" t="s">
        <v>23898</v>
      </c>
      <c r="F5432" t="s">
        <v>32606</v>
      </c>
      <c r="G5432" t="s">
        <v>32613</v>
      </c>
      <c r="H5432" t="s">
        <v>14201</v>
      </c>
      <c r="I5432" t="s">
        <v>6931</v>
      </c>
      <c r="J5432" t="s">
        <v>36313</v>
      </c>
      <c r="K5432" t="s">
        <v>42624</v>
      </c>
      <c r="M5432" t="s">
        <v>44869</v>
      </c>
      <c r="N5432" t="s">
        <v>47304</v>
      </c>
      <c r="O5432" t="s">
        <v>47305</v>
      </c>
      <c r="P5432">
        <v>0</v>
      </c>
      <c r="Q5432">
        <v>1</v>
      </c>
      <c r="R5432" t="s">
        <v>47308</v>
      </c>
      <c r="S5432" t="s">
        <v>47429</v>
      </c>
      <c r="T5432" t="s">
        <v>48990</v>
      </c>
      <c r="U5432" t="s">
        <v>54103</v>
      </c>
      <c r="W5432" t="s">
        <v>64467</v>
      </c>
      <c r="X5432" t="s">
        <v>47311</v>
      </c>
    </row>
    <row r="5433" spans="1:24">
      <c r="A5433">
        <f>HYPERLINK("https://www.philgeps.gov.ph/GEPSNONPILOT/Tender/SplashBidNoticeAbstractUI.aspx?menuIndex=3&amp;refID=7193301&amp;Result=3","7193301")</f>
        <v>0</v>
      </c>
      <c r="B5433" t="s">
        <v>1794</v>
      </c>
      <c r="C5433" t="s">
        <v>8953</v>
      </c>
      <c r="D5433" t="s">
        <v>19052</v>
      </c>
      <c r="E5433" t="s">
        <v>23899</v>
      </c>
      <c r="F5433" t="s">
        <v>32606</v>
      </c>
      <c r="G5433" t="s">
        <v>32613</v>
      </c>
      <c r="H5433" t="s">
        <v>14201</v>
      </c>
      <c r="I5433" t="s">
        <v>6931</v>
      </c>
      <c r="J5433" t="s">
        <v>36314</v>
      </c>
      <c r="K5433" t="s">
        <v>42624</v>
      </c>
      <c r="M5433" t="s">
        <v>44834</v>
      </c>
      <c r="N5433" t="s">
        <v>47304</v>
      </c>
      <c r="O5433" t="s">
        <v>47305</v>
      </c>
      <c r="P5433">
        <v>0</v>
      </c>
      <c r="Q5433">
        <v>0</v>
      </c>
      <c r="R5433" t="s">
        <v>47308</v>
      </c>
      <c r="S5433" t="s">
        <v>47429</v>
      </c>
      <c r="T5433" t="s">
        <v>49140</v>
      </c>
      <c r="U5433" t="s">
        <v>54104</v>
      </c>
      <c r="W5433" t="s">
        <v>44834</v>
      </c>
      <c r="X5433" t="s">
        <v>47311</v>
      </c>
    </row>
    <row r="5434" spans="1:24">
      <c r="A5434">
        <f>HYPERLINK("https://www.philgeps.gov.ph/GEPSNONPILOT/Tender/SplashBidNoticeAbstractUI.aspx?menuIndex=3&amp;refID=7193104&amp;Result=3","7193104")</f>
        <v>0</v>
      </c>
      <c r="B5434" t="s">
        <v>1888</v>
      </c>
      <c r="C5434" t="s">
        <v>8954</v>
      </c>
      <c r="E5434" t="s">
        <v>23900</v>
      </c>
      <c r="F5434" t="s">
        <v>32606</v>
      </c>
      <c r="G5434" t="s">
        <v>32613</v>
      </c>
      <c r="H5434" t="s">
        <v>32623</v>
      </c>
      <c r="I5434" t="s">
        <v>17648</v>
      </c>
      <c r="J5434" t="s">
        <v>34085</v>
      </c>
      <c r="K5434" t="s">
        <v>42631</v>
      </c>
      <c r="M5434" t="s">
        <v>44946</v>
      </c>
      <c r="N5434" t="s">
        <v>47304</v>
      </c>
      <c r="O5434" t="s">
        <v>47305</v>
      </c>
      <c r="P5434">
        <v>0</v>
      </c>
      <c r="Q5434">
        <v>0</v>
      </c>
      <c r="R5434" t="s">
        <v>47308</v>
      </c>
      <c r="S5434" t="s">
        <v>47429</v>
      </c>
      <c r="T5434" t="s">
        <v>49015</v>
      </c>
      <c r="U5434" t="s">
        <v>54105</v>
      </c>
      <c r="W5434" t="s">
        <v>44946</v>
      </c>
      <c r="X5434" t="s">
        <v>47311</v>
      </c>
    </row>
    <row r="5435" spans="1:24">
      <c r="A5435">
        <f>HYPERLINK("https://www.philgeps.gov.ph/GEPSNONPILOT/Tender/SplashBidNoticeAbstractUI.aspx?menuIndex=3&amp;refID=7193305&amp;Result=3","7193305")</f>
        <v>0</v>
      </c>
      <c r="B5435" t="s">
        <v>1883</v>
      </c>
      <c r="C5435" t="s">
        <v>8955</v>
      </c>
      <c r="D5435" t="s">
        <v>18999</v>
      </c>
      <c r="E5435" t="s">
        <v>19315</v>
      </c>
      <c r="F5435" t="s">
        <v>32606</v>
      </c>
      <c r="G5435" t="s">
        <v>32614</v>
      </c>
      <c r="H5435" t="s">
        <v>32624</v>
      </c>
      <c r="I5435" t="s">
        <v>4369</v>
      </c>
      <c r="J5435" t="s">
        <v>33533</v>
      </c>
      <c r="K5435" t="s">
        <v>42629</v>
      </c>
      <c r="M5435" t="s">
        <v>44941</v>
      </c>
      <c r="N5435" t="s">
        <v>47304</v>
      </c>
      <c r="O5435" t="s">
        <v>47305</v>
      </c>
      <c r="P5435">
        <v>0</v>
      </c>
      <c r="Q5435">
        <v>3</v>
      </c>
      <c r="R5435" t="s">
        <v>47308</v>
      </c>
      <c r="S5435" t="s">
        <v>47429</v>
      </c>
      <c r="T5435" t="s">
        <v>48975</v>
      </c>
      <c r="U5435" t="s">
        <v>54106</v>
      </c>
      <c r="W5435" t="s">
        <v>44941</v>
      </c>
      <c r="X5435" t="s">
        <v>47311</v>
      </c>
    </row>
    <row r="5436" spans="1:24">
      <c r="A5436">
        <f>HYPERLINK("https://www.philgeps.gov.ph/GEPSNONPILOT/Tender/SplashBidNoticeAbstractUI.aspx?menuIndex=3&amp;refID=7193101&amp;Result=3","7193101")</f>
        <v>0</v>
      </c>
      <c r="B5436" t="s">
        <v>1225</v>
      </c>
      <c r="C5436" t="s">
        <v>8956</v>
      </c>
      <c r="D5436" t="s">
        <v>19038</v>
      </c>
      <c r="E5436" t="s">
        <v>23901</v>
      </c>
      <c r="F5436" t="s">
        <v>32606</v>
      </c>
      <c r="G5436" t="s">
        <v>32613</v>
      </c>
      <c r="H5436" t="s">
        <v>14201</v>
      </c>
      <c r="I5436" t="s">
        <v>32633</v>
      </c>
      <c r="J5436" t="s">
        <v>36315</v>
      </c>
      <c r="K5436" t="s">
        <v>42624</v>
      </c>
      <c r="M5436" t="s">
        <v>44449</v>
      </c>
      <c r="N5436" t="s">
        <v>47304</v>
      </c>
      <c r="O5436" t="s">
        <v>47305</v>
      </c>
      <c r="P5436">
        <v>0</v>
      </c>
      <c r="Q5436">
        <v>7</v>
      </c>
      <c r="R5436" t="s">
        <v>47308</v>
      </c>
      <c r="S5436" t="s">
        <v>47429</v>
      </c>
      <c r="T5436" t="s">
        <v>48987</v>
      </c>
      <c r="U5436" t="s">
        <v>54107</v>
      </c>
      <c r="W5436" t="s">
        <v>64467</v>
      </c>
      <c r="X5436" t="s">
        <v>47311</v>
      </c>
    </row>
    <row r="5437" spans="1:24">
      <c r="A5437">
        <f>HYPERLINK("https://www.philgeps.gov.ph/GEPSNONPILOT/Tender/SplashBidNoticeAbstractUI.aspx?menuIndex=3&amp;refID=7196635&amp;Result=3","7196635")</f>
        <v>0</v>
      </c>
      <c r="B5437" t="s">
        <v>1612</v>
      </c>
      <c r="C5437" t="s">
        <v>8957</v>
      </c>
      <c r="D5437" t="s">
        <v>19047</v>
      </c>
      <c r="E5437" t="s">
        <v>23902</v>
      </c>
      <c r="F5437" t="s">
        <v>32606</v>
      </c>
      <c r="G5437" t="s">
        <v>32619</v>
      </c>
      <c r="H5437" t="s">
        <v>14201</v>
      </c>
      <c r="I5437" t="s">
        <v>4120</v>
      </c>
      <c r="J5437" t="s">
        <v>36316</v>
      </c>
      <c r="K5437" t="s">
        <v>42631</v>
      </c>
      <c r="M5437" t="s">
        <v>44632</v>
      </c>
      <c r="N5437" t="s">
        <v>47304</v>
      </c>
      <c r="O5437" t="s">
        <v>47305</v>
      </c>
      <c r="P5437">
        <v>0</v>
      </c>
      <c r="Q5437">
        <v>0</v>
      </c>
      <c r="R5437" t="s">
        <v>47306</v>
      </c>
      <c r="S5437" t="s">
        <v>47414</v>
      </c>
      <c r="T5437" t="s">
        <v>48980</v>
      </c>
      <c r="U5437" t="s">
        <v>54108</v>
      </c>
      <c r="W5437" t="s">
        <v>44632</v>
      </c>
      <c r="X5437" t="s">
        <v>47308</v>
      </c>
    </row>
    <row r="5438" spans="1:24">
      <c r="A5438">
        <f>HYPERLINK("https://www.philgeps.gov.ph/GEPSNONPILOT/Tender/SplashBidNoticeAbstractUI.aspx?menuIndex=3&amp;refID=7193186&amp;Result=3","7193186")</f>
        <v>0</v>
      </c>
      <c r="B5438" t="s">
        <v>755</v>
      </c>
      <c r="C5438" t="s">
        <v>8958</v>
      </c>
      <c r="D5438" t="s">
        <v>18988</v>
      </c>
      <c r="E5438" t="s">
        <v>23903</v>
      </c>
      <c r="F5438" t="s">
        <v>32606</v>
      </c>
      <c r="G5438" t="s">
        <v>32614</v>
      </c>
      <c r="H5438" t="s">
        <v>14201</v>
      </c>
      <c r="I5438" t="s">
        <v>4369</v>
      </c>
      <c r="J5438" t="s">
        <v>36317</v>
      </c>
      <c r="K5438" t="s">
        <v>42624</v>
      </c>
      <c r="M5438" t="s">
        <v>44863</v>
      </c>
      <c r="N5438" t="s">
        <v>47304</v>
      </c>
      <c r="O5438" t="s">
        <v>47305</v>
      </c>
      <c r="P5438">
        <v>0</v>
      </c>
      <c r="Q5438">
        <v>6</v>
      </c>
      <c r="R5438" t="s">
        <v>47308</v>
      </c>
      <c r="S5438" t="s">
        <v>47429</v>
      </c>
      <c r="T5438" t="s">
        <v>49165</v>
      </c>
      <c r="U5438" t="s">
        <v>53849</v>
      </c>
      <c r="W5438" t="s">
        <v>44863</v>
      </c>
      <c r="X5438" t="s">
        <v>47311</v>
      </c>
    </row>
    <row r="5439" spans="1:24">
      <c r="A5439">
        <f>HYPERLINK("https://www.philgeps.gov.ph/GEPSNONPILOT/Tender/SplashBidNoticeAbstractUI.aspx?menuIndex=3&amp;refID=7196633&amp;Result=3","7196633")</f>
        <v>0</v>
      </c>
      <c r="B5439" t="s">
        <v>1889</v>
      </c>
      <c r="C5439" t="s">
        <v>8617</v>
      </c>
      <c r="D5439" t="s">
        <v>19007</v>
      </c>
      <c r="E5439" t="s">
        <v>23904</v>
      </c>
      <c r="F5439" t="s">
        <v>32606</v>
      </c>
      <c r="G5439" t="s">
        <v>32613</v>
      </c>
      <c r="H5439" t="s">
        <v>14201</v>
      </c>
      <c r="I5439" t="s">
        <v>32626</v>
      </c>
      <c r="J5439" t="s">
        <v>34669</v>
      </c>
      <c r="K5439" t="s">
        <v>42623</v>
      </c>
      <c r="M5439" t="s">
        <v>44947</v>
      </c>
      <c r="N5439" t="s">
        <v>47304</v>
      </c>
      <c r="O5439" t="s">
        <v>47305</v>
      </c>
      <c r="P5439">
        <v>0</v>
      </c>
      <c r="Q5439">
        <v>0</v>
      </c>
      <c r="R5439" t="s">
        <v>47306</v>
      </c>
      <c r="S5439" t="s">
        <v>47414</v>
      </c>
      <c r="T5439" t="s">
        <v>49305</v>
      </c>
      <c r="U5439" t="s">
        <v>54109</v>
      </c>
      <c r="W5439" t="s">
        <v>44947</v>
      </c>
      <c r="X5439" t="s">
        <v>47308</v>
      </c>
    </row>
    <row r="5440" spans="1:24">
      <c r="A5440">
        <f>HYPERLINK("https://www.philgeps.gov.ph/GEPSNONPILOT/Tender/SplashBidNoticeAbstractUI.aspx?menuIndex=3&amp;refID=7196632&amp;Result=3","7196632")</f>
        <v>0</v>
      </c>
      <c r="B5440" t="s">
        <v>819</v>
      </c>
      <c r="C5440" t="s">
        <v>8068</v>
      </c>
      <c r="D5440" t="s">
        <v>19028</v>
      </c>
      <c r="E5440" t="s">
        <v>23905</v>
      </c>
      <c r="F5440" t="s">
        <v>32606</v>
      </c>
      <c r="G5440" t="s">
        <v>32619</v>
      </c>
      <c r="H5440" t="s">
        <v>14201</v>
      </c>
      <c r="I5440" t="s">
        <v>6931</v>
      </c>
      <c r="J5440" t="s">
        <v>35183</v>
      </c>
      <c r="K5440" t="s">
        <v>42630</v>
      </c>
      <c r="M5440" t="s">
        <v>44692</v>
      </c>
      <c r="N5440" t="s">
        <v>47304</v>
      </c>
      <c r="O5440" t="s">
        <v>47305</v>
      </c>
      <c r="P5440">
        <v>0</v>
      </c>
      <c r="Q5440">
        <v>1</v>
      </c>
      <c r="R5440" t="s">
        <v>47306</v>
      </c>
      <c r="S5440" t="s">
        <v>47414</v>
      </c>
      <c r="T5440" t="s">
        <v>48998</v>
      </c>
      <c r="U5440" t="s">
        <v>54110</v>
      </c>
      <c r="W5440" t="s">
        <v>44692</v>
      </c>
      <c r="X5440" t="s">
        <v>47308</v>
      </c>
    </row>
    <row r="5441" spans="1:24">
      <c r="A5441">
        <f>HYPERLINK("https://www.philgeps.gov.ph/GEPSNONPILOT/Tender/SplashBidNoticeAbstractUI.aspx?menuIndex=3&amp;refID=7196630&amp;Result=3","7196630")</f>
        <v>0</v>
      </c>
      <c r="B5441" t="s">
        <v>101</v>
      </c>
      <c r="C5441" t="s">
        <v>8959</v>
      </c>
      <c r="D5441" t="s">
        <v>18993</v>
      </c>
      <c r="E5441" t="s">
        <v>23906</v>
      </c>
      <c r="F5441" t="s">
        <v>32606</v>
      </c>
      <c r="G5441" t="s">
        <v>32614</v>
      </c>
      <c r="H5441" t="s">
        <v>14201</v>
      </c>
      <c r="I5441" t="s">
        <v>4678</v>
      </c>
      <c r="J5441" t="s">
        <v>36318</v>
      </c>
      <c r="K5441" t="s">
        <v>42623</v>
      </c>
      <c r="M5441" t="s">
        <v>44602</v>
      </c>
      <c r="N5441" t="s">
        <v>47304</v>
      </c>
      <c r="O5441" t="s">
        <v>47305</v>
      </c>
      <c r="P5441">
        <v>0</v>
      </c>
      <c r="Q5441">
        <v>7</v>
      </c>
      <c r="R5441" t="s">
        <v>47306</v>
      </c>
      <c r="S5441" t="s">
        <v>47414</v>
      </c>
      <c r="T5441" t="s">
        <v>48980</v>
      </c>
      <c r="U5441" t="s">
        <v>54111</v>
      </c>
      <c r="W5441" t="s">
        <v>44602</v>
      </c>
      <c r="X5441" t="s">
        <v>47308</v>
      </c>
    </row>
    <row r="5442" spans="1:24">
      <c r="A5442">
        <f>HYPERLINK("https://www.philgeps.gov.ph/GEPSNONPILOT/Tender/SplashBidNoticeAbstractUI.aspx?menuIndex=3&amp;refID=7196629&amp;Result=3","7196629")</f>
        <v>0</v>
      </c>
      <c r="B5442" t="s">
        <v>1594</v>
      </c>
      <c r="C5442" t="s">
        <v>8960</v>
      </c>
      <c r="D5442" t="s">
        <v>19007</v>
      </c>
      <c r="E5442" t="s">
        <v>23907</v>
      </c>
      <c r="F5442" t="s">
        <v>32606</v>
      </c>
      <c r="G5442" t="s">
        <v>32619</v>
      </c>
      <c r="H5442" t="s">
        <v>14201</v>
      </c>
      <c r="I5442" t="s">
        <v>4678</v>
      </c>
      <c r="J5442" t="s">
        <v>33669</v>
      </c>
      <c r="K5442" t="s">
        <v>42623</v>
      </c>
      <c r="M5442" t="s">
        <v>44608</v>
      </c>
      <c r="N5442" t="s">
        <v>47304</v>
      </c>
      <c r="O5442" t="s">
        <v>47305</v>
      </c>
      <c r="P5442">
        <v>0</v>
      </c>
      <c r="Q5442">
        <v>0</v>
      </c>
      <c r="R5442" t="s">
        <v>47306</v>
      </c>
      <c r="S5442" t="s">
        <v>47414</v>
      </c>
      <c r="T5442" t="s">
        <v>48971</v>
      </c>
      <c r="U5442" t="s">
        <v>54112</v>
      </c>
      <c r="W5442" t="s">
        <v>44608</v>
      </c>
      <c r="X5442" t="s">
        <v>47308</v>
      </c>
    </row>
    <row r="5443" spans="1:24">
      <c r="A5443">
        <f>HYPERLINK("https://www.philgeps.gov.ph/GEPSNONPILOT/Tender/SplashBidNoticeAbstractUI.aspx?menuIndex=3&amp;refID=7196628&amp;Result=3","7196628")</f>
        <v>0</v>
      </c>
      <c r="B5443" t="s">
        <v>1890</v>
      </c>
      <c r="C5443" t="s">
        <v>8961</v>
      </c>
      <c r="D5443" t="s">
        <v>19042</v>
      </c>
      <c r="E5443" t="s">
        <v>23908</v>
      </c>
      <c r="F5443" t="s">
        <v>32606</v>
      </c>
      <c r="G5443" t="s">
        <v>32614</v>
      </c>
      <c r="H5443" t="s">
        <v>14201</v>
      </c>
      <c r="I5443" t="s">
        <v>7233</v>
      </c>
      <c r="J5443" t="s">
        <v>33919</v>
      </c>
      <c r="K5443" t="s">
        <v>42630</v>
      </c>
      <c r="M5443" t="s">
        <v>44948</v>
      </c>
      <c r="N5443" t="s">
        <v>47304</v>
      </c>
      <c r="O5443" t="s">
        <v>47305</v>
      </c>
      <c r="P5443">
        <v>0</v>
      </c>
      <c r="Q5443">
        <v>0</v>
      </c>
      <c r="R5443" t="s">
        <v>47306</v>
      </c>
      <c r="S5443" t="s">
        <v>47414</v>
      </c>
      <c r="T5443" t="s">
        <v>48979</v>
      </c>
      <c r="U5443" t="s">
        <v>54113</v>
      </c>
      <c r="W5443" t="s">
        <v>44948</v>
      </c>
      <c r="X5443" t="s">
        <v>47308</v>
      </c>
    </row>
    <row r="5444" spans="1:24">
      <c r="A5444">
        <f>HYPERLINK("https://www.philgeps.gov.ph/GEPSNONPILOT/Tender/SplashBidNoticeAbstractUI.aspx?menuIndex=3&amp;refID=7196627&amp;Result=3","7196627")</f>
        <v>0</v>
      </c>
      <c r="B5444" t="s">
        <v>1036</v>
      </c>
      <c r="C5444" t="s">
        <v>8962</v>
      </c>
      <c r="D5444" t="s">
        <v>19039</v>
      </c>
      <c r="E5444" t="s">
        <v>23909</v>
      </c>
      <c r="F5444" t="s">
        <v>32606</v>
      </c>
      <c r="G5444" t="s">
        <v>32614</v>
      </c>
      <c r="H5444" t="s">
        <v>14201</v>
      </c>
      <c r="I5444" t="s">
        <v>6931</v>
      </c>
      <c r="J5444" t="s">
        <v>36319</v>
      </c>
      <c r="K5444" t="s">
        <v>42693</v>
      </c>
      <c r="M5444" t="s">
        <v>44615</v>
      </c>
      <c r="N5444" t="s">
        <v>47304</v>
      </c>
      <c r="O5444" t="s">
        <v>47305</v>
      </c>
      <c r="P5444">
        <v>0</v>
      </c>
      <c r="Q5444">
        <v>0</v>
      </c>
      <c r="R5444" t="s">
        <v>47306</v>
      </c>
      <c r="S5444" t="s">
        <v>47414</v>
      </c>
      <c r="T5444" t="s">
        <v>49011</v>
      </c>
      <c r="U5444" t="s">
        <v>53196</v>
      </c>
      <c r="W5444" t="s">
        <v>44615</v>
      </c>
      <c r="X5444" t="s">
        <v>47308</v>
      </c>
    </row>
    <row r="5445" spans="1:24">
      <c r="A5445">
        <f>HYPERLINK("https://www.philgeps.gov.ph/GEPSNONPILOT/Tender/SplashBidNoticeAbstractUI.aspx?menuIndex=3&amp;refID=7196625&amp;Result=3","7196625")</f>
        <v>0</v>
      </c>
      <c r="B5445" t="s">
        <v>1583</v>
      </c>
      <c r="C5445" t="s">
        <v>8200</v>
      </c>
      <c r="D5445" t="s">
        <v>19049</v>
      </c>
      <c r="E5445" t="s">
        <v>23910</v>
      </c>
      <c r="F5445" t="s">
        <v>32606</v>
      </c>
      <c r="G5445" t="s">
        <v>32619</v>
      </c>
      <c r="H5445" t="s">
        <v>14201</v>
      </c>
      <c r="I5445" t="s">
        <v>4114</v>
      </c>
      <c r="J5445" t="s">
        <v>36320</v>
      </c>
      <c r="K5445" t="s">
        <v>42632</v>
      </c>
      <c r="M5445" t="s">
        <v>44596</v>
      </c>
      <c r="N5445" t="s">
        <v>47304</v>
      </c>
      <c r="O5445" t="s">
        <v>47305</v>
      </c>
      <c r="P5445">
        <v>0</v>
      </c>
      <c r="Q5445">
        <v>4</v>
      </c>
      <c r="R5445" t="s">
        <v>47306</v>
      </c>
      <c r="S5445" t="s">
        <v>47414</v>
      </c>
      <c r="T5445" t="s">
        <v>48979</v>
      </c>
      <c r="U5445" t="s">
        <v>54114</v>
      </c>
      <c r="W5445" t="s">
        <v>44596</v>
      </c>
      <c r="X5445" t="s">
        <v>47308</v>
      </c>
    </row>
    <row r="5446" spans="1:24">
      <c r="A5446">
        <f>HYPERLINK("https://www.philgeps.gov.ph/GEPSNONPILOT/Tender/SplashBidNoticeAbstractUI.aspx?menuIndex=3&amp;refID=7196605&amp;Result=3","7196605")</f>
        <v>0</v>
      </c>
      <c r="B5446" t="s">
        <v>81</v>
      </c>
      <c r="C5446" t="s">
        <v>8963</v>
      </c>
      <c r="D5446" t="s">
        <v>18995</v>
      </c>
      <c r="E5446" t="s">
        <v>23911</v>
      </c>
      <c r="F5446" t="s">
        <v>32606</v>
      </c>
      <c r="G5446" t="s">
        <v>32614</v>
      </c>
      <c r="H5446" t="s">
        <v>14201</v>
      </c>
      <c r="I5446" t="s">
        <v>6014</v>
      </c>
      <c r="J5446" t="s">
        <v>33155</v>
      </c>
      <c r="K5446" t="s">
        <v>42624</v>
      </c>
      <c r="M5446" t="s">
        <v>42978</v>
      </c>
      <c r="N5446" t="s">
        <v>47304</v>
      </c>
      <c r="O5446" t="s">
        <v>47305</v>
      </c>
      <c r="P5446">
        <v>0</v>
      </c>
      <c r="Q5446">
        <v>0</v>
      </c>
      <c r="R5446" t="s">
        <v>47306</v>
      </c>
      <c r="S5446" t="s">
        <v>47414</v>
      </c>
      <c r="T5446" t="s">
        <v>49014</v>
      </c>
      <c r="U5446" t="s">
        <v>54115</v>
      </c>
      <c r="W5446" t="s">
        <v>42978</v>
      </c>
      <c r="X5446" t="s">
        <v>47308</v>
      </c>
    </row>
    <row r="5447" spans="1:24">
      <c r="A5447">
        <f>HYPERLINK("https://www.philgeps.gov.ph/GEPSNONPILOT/Tender/SplashBidNoticeAbstractUI.aspx?menuIndex=3&amp;refID=7196587&amp;Result=3","7196587")</f>
        <v>0</v>
      </c>
      <c r="B5447" t="s">
        <v>910</v>
      </c>
      <c r="C5447" t="s">
        <v>8964</v>
      </c>
      <c r="D5447" t="s">
        <v>18992</v>
      </c>
      <c r="E5447" t="s">
        <v>23912</v>
      </c>
      <c r="F5447" t="s">
        <v>32606</v>
      </c>
      <c r="G5447" t="s">
        <v>32619</v>
      </c>
      <c r="H5447" t="s">
        <v>14201</v>
      </c>
      <c r="I5447" t="s">
        <v>4120</v>
      </c>
      <c r="J5447" t="s">
        <v>36321</v>
      </c>
      <c r="K5447" t="s">
        <v>42622</v>
      </c>
      <c r="M5447" t="s">
        <v>43848</v>
      </c>
      <c r="N5447" t="s">
        <v>47304</v>
      </c>
      <c r="O5447" t="s">
        <v>47305</v>
      </c>
      <c r="P5447">
        <v>0</v>
      </c>
      <c r="Q5447">
        <v>0</v>
      </c>
      <c r="R5447" t="s">
        <v>47306</v>
      </c>
      <c r="S5447" t="s">
        <v>47414</v>
      </c>
      <c r="T5447" t="s">
        <v>49004</v>
      </c>
      <c r="U5447" t="s">
        <v>51308</v>
      </c>
      <c r="W5447" t="s">
        <v>43848</v>
      </c>
      <c r="X5447" t="s">
        <v>47308</v>
      </c>
    </row>
    <row r="5448" spans="1:24">
      <c r="A5448">
        <f>HYPERLINK("https://www.philgeps.gov.ph/GEPSNONPILOT/Tender/SplashBidNoticeAbstractUI.aspx?menuIndex=3&amp;refID=7196586&amp;Result=3","7196586")</f>
        <v>0</v>
      </c>
      <c r="B5448" t="s">
        <v>1523</v>
      </c>
      <c r="C5448" t="s">
        <v>8052</v>
      </c>
      <c r="D5448" t="s">
        <v>19018</v>
      </c>
      <c r="E5448" t="s">
        <v>19315</v>
      </c>
      <c r="F5448" t="s">
        <v>32606</v>
      </c>
      <c r="G5448" t="s">
        <v>32614</v>
      </c>
      <c r="H5448" t="s">
        <v>14201</v>
      </c>
      <c r="I5448" t="s">
        <v>32640</v>
      </c>
      <c r="J5448" t="s">
        <v>32977</v>
      </c>
      <c r="K5448" t="s">
        <v>42624</v>
      </c>
      <c r="M5448" t="s">
        <v>44524</v>
      </c>
      <c r="N5448" t="s">
        <v>47304</v>
      </c>
      <c r="O5448" t="s">
        <v>47305</v>
      </c>
      <c r="P5448">
        <v>0</v>
      </c>
      <c r="Q5448">
        <v>0</v>
      </c>
      <c r="R5448" t="s">
        <v>47306</v>
      </c>
      <c r="S5448" t="s">
        <v>47414</v>
      </c>
      <c r="T5448" t="s">
        <v>49014</v>
      </c>
      <c r="U5448" t="s">
        <v>52592</v>
      </c>
      <c r="W5448" t="s">
        <v>44524</v>
      </c>
      <c r="X5448" t="s">
        <v>47308</v>
      </c>
    </row>
    <row r="5449" spans="1:24">
      <c r="A5449">
        <f>HYPERLINK("https://www.philgeps.gov.ph/GEPSNONPILOT/Tender/SplashBidNoticeAbstractUI.aspx?menuIndex=3&amp;refID=7196585&amp;Result=3","7196585")</f>
        <v>0</v>
      </c>
      <c r="B5449" t="s">
        <v>145</v>
      </c>
      <c r="C5449" t="s">
        <v>8965</v>
      </c>
      <c r="D5449" t="s">
        <v>19033</v>
      </c>
      <c r="E5449" t="s">
        <v>23913</v>
      </c>
      <c r="F5449" t="s">
        <v>32606</v>
      </c>
      <c r="G5449" t="s">
        <v>32614</v>
      </c>
      <c r="H5449" t="s">
        <v>14201</v>
      </c>
      <c r="I5449" t="s">
        <v>7577</v>
      </c>
      <c r="J5449" t="s">
        <v>32999</v>
      </c>
      <c r="K5449" t="s">
        <v>42629</v>
      </c>
      <c r="M5449" t="s">
        <v>43046</v>
      </c>
      <c r="N5449" t="s">
        <v>47304</v>
      </c>
      <c r="O5449" t="s">
        <v>47305</v>
      </c>
      <c r="P5449">
        <v>0</v>
      </c>
      <c r="Q5449">
        <v>1</v>
      </c>
      <c r="R5449" t="s">
        <v>47306</v>
      </c>
      <c r="S5449" t="s">
        <v>47414</v>
      </c>
      <c r="T5449" t="s">
        <v>49004</v>
      </c>
      <c r="U5449" t="s">
        <v>54116</v>
      </c>
      <c r="W5449" t="s">
        <v>43046</v>
      </c>
      <c r="X5449" t="s">
        <v>47308</v>
      </c>
    </row>
    <row r="5450" spans="1:24">
      <c r="A5450">
        <f>HYPERLINK("https://www.philgeps.gov.ph/GEPSNONPILOT/Tender/SplashBidNoticeAbstractUI.aspx?menuIndex=3&amp;refID=7196584&amp;Result=3","7196584")</f>
        <v>0</v>
      </c>
      <c r="B5450" t="s">
        <v>1596</v>
      </c>
      <c r="C5450" t="s">
        <v>8966</v>
      </c>
      <c r="D5450" t="s">
        <v>18997</v>
      </c>
      <c r="E5450" t="s">
        <v>23914</v>
      </c>
      <c r="F5450" t="s">
        <v>32606</v>
      </c>
      <c r="G5450" t="s">
        <v>32614</v>
      </c>
      <c r="H5450" t="s">
        <v>14201</v>
      </c>
      <c r="I5450" t="s">
        <v>32660</v>
      </c>
      <c r="J5450" t="s">
        <v>33831</v>
      </c>
      <c r="K5450" t="s">
        <v>42663</v>
      </c>
      <c r="M5450" t="s">
        <v>44610</v>
      </c>
      <c r="N5450" t="s">
        <v>47304</v>
      </c>
      <c r="O5450" t="s">
        <v>47305</v>
      </c>
      <c r="P5450">
        <v>0</v>
      </c>
      <c r="Q5450">
        <v>0</v>
      </c>
      <c r="R5450" t="s">
        <v>47306</v>
      </c>
      <c r="S5450" t="s">
        <v>47414</v>
      </c>
      <c r="T5450" t="s">
        <v>49004</v>
      </c>
      <c r="U5450" t="s">
        <v>54117</v>
      </c>
      <c r="W5450" t="s">
        <v>44610</v>
      </c>
      <c r="X5450" t="s">
        <v>47308</v>
      </c>
    </row>
    <row r="5451" spans="1:24">
      <c r="A5451">
        <f>HYPERLINK("https://www.philgeps.gov.ph/GEPSNONPILOT/Tender/SplashBidNoticeAbstractUI.aspx?menuIndex=3&amp;refID=7196583&amp;Result=3","7196583")</f>
        <v>0</v>
      </c>
      <c r="B5451" t="s">
        <v>828</v>
      </c>
      <c r="C5451" t="s">
        <v>8967</v>
      </c>
      <c r="D5451" t="s">
        <v>19030</v>
      </c>
      <c r="E5451" t="s">
        <v>23915</v>
      </c>
      <c r="F5451" t="s">
        <v>32606</v>
      </c>
      <c r="G5451" t="s">
        <v>32613</v>
      </c>
      <c r="H5451" t="s">
        <v>14201</v>
      </c>
      <c r="I5451" t="s">
        <v>7677</v>
      </c>
      <c r="J5451" t="s">
        <v>36322</v>
      </c>
      <c r="K5451" t="s">
        <v>42630</v>
      </c>
      <c r="M5451" t="s">
        <v>43759</v>
      </c>
      <c r="N5451" t="s">
        <v>47304</v>
      </c>
      <c r="O5451" t="s">
        <v>47305</v>
      </c>
      <c r="P5451">
        <v>0</v>
      </c>
      <c r="Q5451">
        <v>2</v>
      </c>
      <c r="R5451" t="s">
        <v>47306</v>
      </c>
      <c r="S5451" t="s">
        <v>47414</v>
      </c>
      <c r="T5451" t="s">
        <v>49017</v>
      </c>
      <c r="U5451" t="s">
        <v>54118</v>
      </c>
      <c r="V5451" t="s">
        <v>63159</v>
      </c>
      <c r="W5451" t="s">
        <v>43759</v>
      </c>
      <c r="X5451" t="s">
        <v>47308</v>
      </c>
    </row>
    <row r="5452" spans="1:24">
      <c r="A5452">
        <f>HYPERLINK("https://www.philgeps.gov.ph/GEPSNONPILOT/Tender/SplashBidNoticeAbstractUI.aspx?menuIndex=3&amp;refID=7196582&amp;Result=3","7196582")</f>
        <v>0</v>
      </c>
      <c r="B5452" t="s">
        <v>1527</v>
      </c>
      <c r="C5452" t="s">
        <v>8968</v>
      </c>
      <c r="D5452" t="s">
        <v>19056</v>
      </c>
      <c r="E5452" t="s">
        <v>23916</v>
      </c>
      <c r="F5452" t="s">
        <v>32606</v>
      </c>
      <c r="G5452" t="s">
        <v>32613</v>
      </c>
      <c r="H5452" t="s">
        <v>32623</v>
      </c>
      <c r="I5452" t="s">
        <v>17648</v>
      </c>
      <c r="J5452" t="s">
        <v>36323</v>
      </c>
      <c r="K5452" t="s">
        <v>42719</v>
      </c>
      <c r="M5452" t="s">
        <v>44528</v>
      </c>
      <c r="N5452" t="s">
        <v>47304</v>
      </c>
      <c r="O5452" t="s">
        <v>47305</v>
      </c>
      <c r="P5452">
        <v>0</v>
      </c>
      <c r="Q5452">
        <v>0</v>
      </c>
      <c r="R5452" t="s">
        <v>47306</v>
      </c>
      <c r="S5452" t="s">
        <v>47414</v>
      </c>
      <c r="T5452" t="s">
        <v>48973</v>
      </c>
      <c r="U5452" t="s">
        <v>54119</v>
      </c>
      <c r="V5452" t="s">
        <v>63160</v>
      </c>
      <c r="W5452" t="s">
        <v>44528</v>
      </c>
      <c r="X5452" t="s">
        <v>47308</v>
      </c>
    </row>
    <row r="5453" spans="1:24">
      <c r="A5453">
        <f>HYPERLINK("https://www.philgeps.gov.ph/GEPSNONPILOT/Tender/SplashBidNoticeAbstractUI.aspx?menuIndex=3&amp;refID=7196562&amp;Result=3","7196562")</f>
        <v>0</v>
      </c>
      <c r="B5453" t="s">
        <v>1891</v>
      </c>
      <c r="C5453" t="s">
        <v>8969</v>
      </c>
      <c r="D5453" t="s">
        <v>19039</v>
      </c>
      <c r="E5453" t="s">
        <v>23917</v>
      </c>
      <c r="F5453" t="s">
        <v>32606</v>
      </c>
      <c r="G5453" t="s">
        <v>32614</v>
      </c>
      <c r="H5453" t="s">
        <v>14201</v>
      </c>
      <c r="I5453" t="s">
        <v>7233</v>
      </c>
      <c r="J5453" t="s">
        <v>32752</v>
      </c>
      <c r="K5453" t="s">
        <v>42623</v>
      </c>
      <c r="M5453" t="s">
        <v>44949</v>
      </c>
      <c r="N5453" t="s">
        <v>47304</v>
      </c>
      <c r="O5453" t="s">
        <v>47305</v>
      </c>
      <c r="P5453">
        <v>0</v>
      </c>
      <c r="Q5453">
        <v>0</v>
      </c>
      <c r="R5453" t="s">
        <v>47306</v>
      </c>
      <c r="S5453" t="s">
        <v>47414</v>
      </c>
      <c r="T5453" t="s">
        <v>48979</v>
      </c>
      <c r="U5453" t="s">
        <v>54120</v>
      </c>
      <c r="W5453" t="s">
        <v>44949</v>
      </c>
      <c r="X5453" t="s">
        <v>47308</v>
      </c>
    </row>
    <row r="5454" spans="1:24">
      <c r="A5454">
        <f>HYPERLINK("https://www.philgeps.gov.ph/GEPSNONPILOT/Tender/SplashBidNoticeAbstractUI.aspx?menuIndex=3&amp;refID=7196561&amp;Result=3","7196561")</f>
        <v>0</v>
      </c>
      <c r="B5454" t="s">
        <v>984</v>
      </c>
      <c r="C5454" t="s">
        <v>7613</v>
      </c>
      <c r="D5454" t="s">
        <v>19039</v>
      </c>
      <c r="E5454" t="s">
        <v>23918</v>
      </c>
      <c r="F5454" t="s">
        <v>32606</v>
      </c>
      <c r="G5454" t="s">
        <v>32614</v>
      </c>
      <c r="H5454" t="s">
        <v>14201</v>
      </c>
      <c r="I5454" t="s">
        <v>6993</v>
      </c>
      <c r="J5454" t="s">
        <v>32913</v>
      </c>
      <c r="K5454" t="s">
        <v>42625</v>
      </c>
      <c r="L5454" t="s">
        <v>984</v>
      </c>
      <c r="M5454" t="s">
        <v>43930</v>
      </c>
      <c r="N5454" t="s">
        <v>47304</v>
      </c>
      <c r="O5454" t="s">
        <v>47305</v>
      </c>
      <c r="P5454">
        <v>0</v>
      </c>
      <c r="Q5454">
        <v>0</v>
      </c>
      <c r="R5454" t="s">
        <v>47306</v>
      </c>
      <c r="S5454" t="s">
        <v>47414</v>
      </c>
      <c r="T5454" t="s">
        <v>48971</v>
      </c>
      <c r="U5454" t="s">
        <v>54121</v>
      </c>
      <c r="W5454" t="s">
        <v>43930</v>
      </c>
      <c r="X5454" t="s">
        <v>47308</v>
      </c>
    </row>
    <row r="5455" spans="1:24">
      <c r="A5455">
        <f>HYPERLINK("https://www.philgeps.gov.ph/GEPSNONPILOT/Tender/SplashBidNoticeAbstractUI.aspx?menuIndex=3&amp;refID=7196560&amp;Result=3","7196560")</f>
        <v>0</v>
      </c>
      <c r="B5455" t="s">
        <v>110</v>
      </c>
      <c r="C5455" t="s">
        <v>8970</v>
      </c>
      <c r="D5455" t="s">
        <v>19022</v>
      </c>
      <c r="E5455" t="s">
        <v>23919</v>
      </c>
      <c r="F5455" t="s">
        <v>32606</v>
      </c>
      <c r="G5455" t="s">
        <v>32613</v>
      </c>
      <c r="H5455" t="s">
        <v>14201</v>
      </c>
      <c r="I5455" t="s">
        <v>7064</v>
      </c>
      <c r="J5455" t="s">
        <v>36324</v>
      </c>
      <c r="K5455" t="s">
        <v>42751</v>
      </c>
      <c r="M5455" t="s">
        <v>44950</v>
      </c>
      <c r="N5455" t="s">
        <v>47304</v>
      </c>
      <c r="O5455" t="s">
        <v>47305</v>
      </c>
      <c r="P5455">
        <v>0</v>
      </c>
      <c r="Q5455">
        <v>0</v>
      </c>
      <c r="R5455" t="s">
        <v>47306</v>
      </c>
      <c r="S5455" t="s">
        <v>47414</v>
      </c>
      <c r="T5455" t="s">
        <v>48983</v>
      </c>
      <c r="U5455" t="s">
        <v>54122</v>
      </c>
      <c r="V5455" t="s">
        <v>63161</v>
      </c>
      <c r="W5455" t="s">
        <v>44950</v>
      </c>
      <c r="X5455" t="s">
        <v>47308</v>
      </c>
    </row>
    <row r="5456" spans="1:24">
      <c r="A5456">
        <f>HYPERLINK("https://www.philgeps.gov.ph/GEPSNONPILOT/Tender/SplashBidNoticeAbstractUI.aspx?menuIndex=3&amp;refID=7196559&amp;Result=3","7196559")</f>
        <v>0</v>
      </c>
      <c r="B5456" t="s">
        <v>232</v>
      </c>
      <c r="C5456" t="s">
        <v>8971</v>
      </c>
      <c r="D5456" t="s">
        <v>19017</v>
      </c>
      <c r="E5456" t="s">
        <v>23920</v>
      </c>
      <c r="F5456" t="s">
        <v>32609</v>
      </c>
      <c r="G5456" t="s">
        <v>32619</v>
      </c>
      <c r="H5456" t="s">
        <v>32623</v>
      </c>
      <c r="I5456" t="s">
        <v>17648</v>
      </c>
      <c r="J5456" t="s">
        <v>35368</v>
      </c>
      <c r="K5456" t="s">
        <v>42712</v>
      </c>
      <c r="M5456" t="s">
        <v>43133</v>
      </c>
      <c r="N5456" t="s">
        <v>47304</v>
      </c>
      <c r="O5456" t="s">
        <v>47305</v>
      </c>
      <c r="Q5456">
        <v>0</v>
      </c>
      <c r="R5456" t="s">
        <v>47306</v>
      </c>
      <c r="S5456" t="s">
        <v>47431</v>
      </c>
      <c r="T5456" t="s">
        <v>49234</v>
      </c>
      <c r="U5456" t="s">
        <v>54123</v>
      </c>
      <c r="W5456" t="s">
        <v>43133</v>
      </c>
      <c r="X5456" t="s">
        <v>47308</v>
      </c>
    </row>
    <row r="5457" spans="1:24">
      <c r="A5457">
        <f>HYPERLINK("https://www.philgeps.gov.ph/GEPSNONPILOT/Tender/SplashBidNoticeAbstractUI.aspx?menuIndex=3&amp;refID=7196556&amp;Result=3","7196556")</f>
        <v>0</v>
      </c>
      <c r="B5457" t="s">
        <v>1520</v>
      </c>
      <c r="C5457" t="s">
        <v>8972</v>
      </c>
      <c r="D5457" t="s">
        <v>18988</v>
      </c>
      <c r="E5457" t="s">
        <v>23921</v>
      </c>
      <c r="F5457" t="s">
        <v>32606</v>
      </c>
      <c r="G5457" t="s">
        <v>32614</v>
      </c>
      <c r="H5457" t="s">
        <v>14201</v>
      </c>
      <c r="I5457" t="s">
        <v>7064</v>
      </c>
      <c r="J5457" t="s">
        <v>34190</v>
      </c>
      <c r="K5457" t="s">
        <v>42631</v>
      </c>
      <c r="M5457" t="s">
        <v>44521</v>
      </c>
      <c r="N5457" t="s">
        <v>47304</v>
      </c>
      <c r="O5457" t="s">
        <v>47305</v>
      </c>
      <c r="P5457">
        <v>0</v>
      </c>
      <c r="Q5457">
        <v>0</v>
      </c>
      <c r="R5457" t="s">
        <v>47306</v>
      </c>
      <c r="S5457" t="s">
        <v>47414</v>
      </c>
      <c r="T5457" t="s">
        <v>48980</v>
      </c>
      <c r="U5457" t="s">
        <v>52886</v>
      </c>
      <c r="V5457" t="s">
        <v>63039</v>
      </c>
      <c r="W5457" t="s">
        <v>44521</v>
      </c>
      <c r="X5457" t="s">
        <v>47308</v>
      </c>
    </row>
    <row r="5458" spans="1:24">
      <c r="A5458">
        <f>HYPERLINK("https://www.philgeps.gov.ph/GEPSNONPILOT/Tender/SplashBidNoticeAbstractUI.aspx?menuIndex=3&amp;refID=7196634&amp;Result=3","7196634")</f>
        <v>0</v>
      </c>
      <c r="B5458" t="s">
        <v>1617</v>
      </c>
      <c r="C5458" t="s">
        <v>8973</v>
      </c>
      <c r="D5458" t="s">
        <v>19019</v>
      </c>
      <c r="E5458" t="s">
        <v>21872</v>
      </c>
      <c r="F5458" t="s">
        <v>32606</v>
      </c>
      <c r="G5458" t="s">
        <v>32613</v>
      </c>
      <c r="H5458" t="s">
        <v>14201</v>
      </c>
      <c r="I5458" t="s">
        <v>4112</v>
      </c>
      <c r="J5458" t="s">
        <v>36325</v>
      </c>
      <c r="K5458" t="s">
        <v>42631</v>
      </c>
      <c r="M5458" t="s">
        <v>44637</v>
      </c>
      <c r="N5458" t="s">
        <v>47304</v>
      </c>
      <c r="O5458" t="s">
        <v>47305</v>
      </c>
      <c r="P5458">
        <v>0</v>
      </c>
      <c r="Q5458">
        <v>0</v>
      </c>
      <c r="R5458" t="s">
        <v>47306</v>
      </c>
      <c r="S5458" t="s">
        <v>47414</v>
      </c>
      <c r="T5458" t="s">
        <v>48990</v>
      </c>
      <c r="U5458" t="s">
        <v>54124</v>
      </c>
      <c r="W5458" t="s">
        <v>44637</v>
      </c>
      <c r="X5458" t="s">
        <v>47308</v>
      </c>
    </row>
    <row r="5459" spans="1:24">
      <c r="A5459">
        <f>HYPERLINK("https://www.philgeps.gov.ph/GEPSNONPILOT/Tender/SplashBidNoticeAbstractUI.aspx?menuIndex=3&amp;refID=7196540&amp;Result=3","7196540")</f>
        <v>0</v>
      </c>
      <c r="B5459" t="s">
        <v>238</v>
      </c>
      <c r="C5459" t="s">
        <v>8974</v>
      </c>
      <c r="D5459" t="s">
        <v>18993</v>
      </c>
      <c r="E5459" t="s">
        <v>23922</v>
      </c>
      <c r="F5459" t="s">
        <v>32606</v>
      </c>
      <c r="G5459" t="s">
        <v>32619</v>
      </c>
      <c r="H5459" t="s">
        <v>14201</v>
      </c>
      <c r="I5459" t="s">
        <v>32683</v>
      </c>
      <c r="J5459" t="s">
        <v>36326</v>
      </c>
      <c r="K5459" t="s">
        <v>42622</v>
      </c>
      <c r="M5459" t="s">
        <v>43357</v>
      </c>
      <c r="N5459" t="s">
        <v>47304</v>
      </c>
      <c r="O5459" t="s">
        <v>47305</v>
      </c>
      <c r="P5459">
        <v>0</v>
      </c>
      <c r="Q5459">
        <v>2</v>
      </c>
      <c r="R5459" t="s">
        <v>47306</v>
      </c>
      <c r="S5459" t="s">
        <v>47414</v>
      </c>
      <c r="T5459" t="s">
        <v>49316</v>
      </c>
      <c r="U5459" t="s">
        <v>54125</v>
      </c>
      <c r="V5459" t="s">
        <v>62749</v>
      </c>
      <c r="W5459" t="s">
        <v>43357</v>
      </c>
      <c r="X5459" t="s">
        <v>47308</v>
      </c>
    </row>
    <row r="5460" spans="1:24">
      <c r="A5460">
        <f>HYPERLINK("https://www.philgeps.gov.ph/GEPSNONPILOT/Tender/SplashBidNoticeAbstractUI.aspx?menuIndex=3&amp;refID=7196539&amp;Result=3","7196539")</f>
        <v>0</v>
      </c>
      <c r="B5460" t="s">
        <v>744</v>
      </c>
      <c r="C5460" t="s">
        <v>8975</v>
      </c>
      <c r="D5460" t="s">
        <v>19056</v>
      </c>
      <c r="E5460" t="s">
        <v>20459</v>
      </c>
      <c r="F5460" t="s">
        <v>32606</v>
      </c>
      <c r="G5460" t="s">
        <v>32614</v>
      </c>
      <c r="H5460" t="s">
        <v>14201</v>
      </c>
      <c r="I5460" t="s">
        <v>7233</v>
      </c>
      <c r="J5460" t="s">
        <v>32789</v>
      </c>
      <c r="K5460" t="s">
        <v>42630</v>
      </c>
      <c r="M5460" t="s">
        <v>43667</v>
      </c>
      <c r="N5460" t="s">
        <v>47304</v>
      </c>
      <c r="O5460" t="s">
        <v>47305</v>
      </c>
      <c r="P5460">
        <v>0</v>
      </c>
      <c r="Q5460">
        <v>0</v>
      </c>
      <c r="R5460" t="s">
        <v>47306</v>
      </c>
      <c r="S5460" t="s">
        <v>47414</v>
      </c>
      <c r="T5460" t="s">
        <v>48980</v>
      </c>
      <c r="U5460" t="s">
        <v>54126</v>
      </c>
      <c r="W5460" t="s">
        <v>43667</v>
      </c>
      <c r="X5460" t="s">
        <v>47308</v>
      </c>
    </row>
    <row r="5461" spans="1:24">
      <c r="A5461">
        <f>HYPERLINK("https://www.philgeps.gov.ph/GEPSNONPILOT/Tender/SplashBidNoticeAbstractUI.aspx?menuIndex=3&amp;refID=7193113&amp;Result=3","7193113")</f>
        <v>0</v>
      </c>
      <c r="B5461" t="s">
        <v>1892</v>
      </c>
      <c r="C5461" t="s">
        <v>8976</v>
      </c>
      <c r="D5461" t="s">
        <v>18988</v>
      </c>
      <c r="E5461" t="s">
        <v>23923</v>
      </c>
      <c r="F5461" t="s">
        <v>32606</v>
      </c>
      <c r="G5461" t="s">
        <v>32614</v>
      </c>
      <c r="H5461" t="s">
        <v>14201</v>
      </c>
      <c r="I5461" t="s">
        <v>4114</v>
      </c>
      <c r="J5461" t="s">
        <v>36327</v>
      </c>
      <c r="K5461" t="s">
        <v>42625</v>
      </c>
      <c r="M5461" t="s">
        <v>44951</v>
      </c>
      <c r="N5461" t="s">
        <v>47304</v>
      </c>
      <c r="O5461" t="s">
        <v>47305</v>
      </c>
      <c r="P5461">
        <v>0</v>
      </c>
      <c r="Q5461">
        <v>0</v>
      </c>
      <c r="R5461" t="s">
        <v>47308</v>
      </c>
      <c r="S5461" t="s">
        <v>47429</v>
      </c>
      <c r="T5461" t="s">
        <v>49165</v>
      </c>
      <c r="U5461" t="s">
        <v>54127</v>
      </c>
      <c r="W5461" t="s">
        <v>44951</v>
      </c>
      <c r="X5461" t="s">
        <v>47311</v>
      </c>
    </row>
    <row r="5462" spans="1:24">
      <c r="A5462">
        <f>HYPERLINK("https://www.philgeps.gov.ph/GEPSNONPILOT/Tender/SplashBidNoticeAbstractUI.aspx?menuIndex=3&amp;refID=7196538&amp;Result=3","7196538")</f>
        <v>0</v>
      </c>
      <c r="B5462" t="s">
        <v>233</v>
      </c>
      <c r="C5462" t="s">
        <v>8977</v>
      </c>
      <c r="D5462" t="s">
        <v>18997</v>
      </c>
      <c r="E5462" t="s">
        <v>23924</v>
      </c>
      <c r="F5462" t="s">
        <v>32606</v>
      </c>
      <c r="G5462" t="s">
        <v>32613</v>
      </c>
      <c r="H5462" t="s">
        <v>14201</v>
      </c>
      <c r="I5462" t="s">
        <v>4369</v>
      </c>
      <c r="J5462" t="s">
        <v>35520</v>
      </c>
      <c r="K5462" t="s">
        <v>42631</v>
      </c>
      <c r="M5462" t="s">
        <v>44359</v>
      </c>
      <c r="N5462" t="s">
        <v>47304</v>
      </c>
      <c r="O5462" t="s">
        <v>47305</v>
      </c>
      <c r="P5462">
        <v>0</v>
      </c>
      <c r="Q5462">
        <v>0</v>
      </c>
      <c r="R5462" t="s">
        <v>47306</v>
      </c>
      <c r="S5462" t="s">
        <v>47414</v>
      </c>
      <c r="T5462" t="s">
        <v>49023</v>
      </c>
      <c r="U5462" t="s">
        <v>52443</v>
      </c>
      <c r="V5462" t="s">
        <v>63002</v>
      </c>
      <c r="W5462" t="s">
        <v>44359</v>
      </c>
      <c r="X5462" t="s">
        <v>47308</v>
      </c>
    </row>
    <row r="5463" spans="1:24">
      <c r="A5463">
        <f>HYPERLINK("https://www.philgeps.gov.ph/GEPSNONPILOT/Tender/SplashBidNoticeAbstractUI.aspx?menuIndex=3&amp;refID=7196537&amp;Result=3","7196537")</f>
        <v>0</v>
      </c>
      <c r="B5463" t="s">
        <v>1571</v>
      </c>
      <c r="C5463" t="s">
        <v>7702</v>
      </c>
      <c r="D5463" t="s">
        <v>19040</v>
      </c>
      <c r="E5463" t="s">
        <v>23925</v>
      </c>
      <c r="F5463" t="s">
        <v>32606</v>
      </c>
      <c r="G5463" t="s">
        <v>32614</v>
      </c>
      <c r="H5463" t="s">
        <v>14201</v>
      </c>
      <c r="I5463" t="s">
        <v>4369</v>
      </c>
      <c r="J5463" t="s">
        <v>36328</v>
      </c>
      <c r="K5463" t="s">
        <v>42629</v>
      </c>
      <c r="M5463" t="s">
        <v>44582</v>
      </c>
      <c r="N5463" t="s">
        <v>47304</v>
      </c>
      <c r="O5463" t="s">
        <v>47305</v>
      </c>
      <c r="P5463">
        <v>0</v>
      </c>
      <c r="Q5463">
        <v>3</v>
      </c>
      <c r="R5463" t="s">
        <v>47306</v>
      </c>
      <c r="S5463" t="s">
        <v>47414</v>
      </c>
      <c r="T5463" t="s">
        <v>49014</v>
      </c>
      <c r="U5463" t="s">
        <v>54128</v>
      </c>
      <c r="W5463" t="s">
        <v>44582</v>
      </c>
      <c r="X5463" t="s">
        <v>47308</v>
      </c>
    </row>
    <row r="5464" spans="1:24">
      <c r="A5464">
        <f>HYPERLINK("https://www.philgeps.gov.ph/GEPSNONPILOT/Tender/SplashBidNoticeAbstractUI.aspx?menuIndex=3&amp;refID=7196536&amp;Result=3","7196536")</f>
        <v>0</v>
      </c>
      <c r="B5464" t="s">
        <v>376</v>
      </c>
      <c r="C5464" t="s">
        <v>4679</v>
      </c>
      <c r="D5464" t="s">
        <v>19039</v>
      </c>
      <c r="E5464" t="s">
        <v>23926</v>
      </c>
      <c r="F5464" t="s">
        <v>32606</v>
      </c>
      <c r="G5464" t="s">
        <v>32614</v>
      </c>
      <c r="H5464" t="s">
        <v>14201</v>
      </c>
      <c r="I5464" t="s">
        <v>32640</v>
      </c>
      <c r="J5464" t="s">
        <v>32981</v>
      </c>
      <c r="K5464" t="s">
        <v>42630</v>
      </c>
      <c r="M5464" t="s">
        <v>43278</v>
      </c>
      <c r="N5464" t="s">
        <v>47304</v>
      </c>
      <c r="O5464" t="s">
        <v>47305</v>
      </c>
      <c r="P5464">
        <v>0</v>
      </c>
      <c r="Q5464">
        <v>0</v>
      </c>
      <c r="R5464" t="s">
        <v>47306</v>
      </c>
      <c r="S5464" t="s">
        <v>47414</v>
      </c>
      <c r="T5464" t="s">
        <v>49317</v>
      </c>
      <c r="U5464" t="s">
        <v>54129</v>
      </c>
      <c r="W5464" t="s">
        <v>43278</v>
      </c>
      <c r="X5464" t="s">
        <v>47308</v>
      </c>
    </row>
    <row r="5465" spans="1:24">
      <c r="A5465">
        <f>HYPERLINK("https://www.philgeps.gov.ph/GEPSNONPILOT/Tender/SplashBidNoticeAbstractUI.aspx?menuIndex=3&amp;refID=7196513&amp;Result=3","7196513")</f>
        <v>0</v>
      </c>
      <c r="B5465" t="s">
        <v>106</v>
      </c>
      <c r="C5465" t="s">
        <v>8978</v>
      </c>
      <c r="D5465" t="s">
        <v>18994</v>
      </c>
      <c r="E5465" t="s">
        <v>23927</v>
      </c>
      <c r="F5465" t="s">
        <v>32606</v>
      </c>
      <c r="G5465" t="s">
        <v>32614</v>
      </c>
      <c r="H5465" t="s">
        <v>32624</v>
      </c>
      <c r="I5465" t="s">
        <v>32676</v>
      </c>
      <c r="J5465" t="s">
        <v>33400</v>
      </c>
      <c r="K5465" t="s">
        <v>42629</v>
      </c>
      <c r="M5465" t="s">
        <v>43528</v>
      </c>
      <c r="N5465" t="s">
        <v>47304</v>
      </c>
      <c r="O5465" t="s">
        <v>47305</v>
      </c>
      <c r="P5465">
        <v>0</v>
      </c>
      <c r="Q5465">
        <v>2</v>
      </c>
      <c r="R5465" t="s">
        <v>47306</v>
      </c>
      <c r="S5465" t="s">
        <v>47414</v>
      </c>
      <c r="T5465" t="s">
        <v>48997</v>
      </c>
      <c r="U5465" t="s">
        <v>52624</v>
      </c>
      <c r="V5465" t="s">
        <v>62671</v>
      </c>
      <c r="W5465" t="s">
        <v>43528</v>
      </c>
      <c r="X5465" t="s">
        <v>47308</v>
      </c>
    </row>
    <row r="5466" spans="1:24">
      <c r="A5466">
        <f>HYPERLINK("https://www.philgeps.gov.ph/GEPSNONPILOT/Tender/SplashBidNoticeAbstractUI.aspx?menuIndex=3&amp;refID=7193105&amp;Result=3","7193105")</f>
        <v>0</v>
      </c>
      <c r="B5466" t="s">
        <v>955</v>
      </c>
      <c r="C5466" t="s">
        <v>8979</v>
      </c>
      <c r="D5466" t="s">
        <v>19068</v>
      </c>
      <c r="E5466" t="s">
        <v>21030</v>
      </c>
      <c r="F5466" t="s">
        <v>32606</v>
      </c>
      <c r="G5466" t="s">
        <v>32613</v>
      </c>
      <c r="H5466" t="s">
        <v>32623</v>
      </c>
      <c r="I5466" t="s">
        <v>17648</v>
      </c>
      <c r="J5466" t="s">
        <v>33598</v>
      </c>
      <c r="K5466" t="s">
        <v>42624</v>
      </c>
      <c r="M5466" t="s">
        <v>43898</v>
      </c>
      <c r="N5466" t="s">
        <v>47304</v>
      </c>
      <c r="O5466" t="s">
        <v>47305</v>
      </c>
      <c r="P5466">
        <v>0</v>
      </c>
      <c r="Q5466">
        <v>0</v>
      </c>
      <c r="R5466" t="s">
        <v>47308</v>
      </c>
      <c r="S5466" t="s">
        <v>47429</v>
      </c>
      <c r="T5466" t="s">
        <v>49008</v>
      </c>
      <c r="U5466" t="s">
        <v>54130</v>
      </c>
      <c r="V5466" t="s">
        <v>63153</v>
      </c>
      <c r="W5466" t="s">
        <v>43898</v>
      </c>
      <c r="X5466" t="s">
        <v>47311</v>
      </c>
    </row>
    <row r="5467" spans="1:24">
      <c r="A5467">
        <f>HYPERLINK("https://www.philgeps.gov.ph/GEPSNONPILOT/Tender/SplashBidNoticeAbstractUI.aspx?menuIndex=3&amp;refID=7196512&amp;Result=3","7196512")</f>
        <v>0</v>
      </c>
      <c r="B5467" t="s">
        <v>913</v>
      </c>
      <c r="C5467" t="s">
        <v>8980</v>
      </c>
      <c r="D5467" t="s">
        <v>19046</v>
      </c>
      <c r="E5467" t="s">
        <v>23928</v>
      </c>
      <c r="F5467" t="s">
        <v>32606</v>
      </c>
      <c r="G5467" t="s">
        <v>32614</v>
      </c>
      <c r="H5467" t="s">
        <v>14201</v>
      </c>
      <c r="I5467" t="s">
        <v>4678</v>
      </c>
      <c r="J5467" t="s">
        <v>33009</v>
      </c>
      <c r="K5467" t="s">
        <v>42625</v>
      </c>
      <c r="M5467" t="s">
        <v>43852</v>
      </c>
      <c r="N5467" t="s">
        <v>47304</v>
      </c>
      <c r="O5467" t="s">
        <v>47305</v>
      </c>
      <c r="P5467">
        <v>0</v>
      </c>
      <c r="Q5467">
        <v>1</v>
      </c>
      <c r="R5467" t="s">
        <v>47306</v>
      </c>
      <c r="S5467" t="s">
        <v>47414</v>
      </c>
      <c r="T5467" t="s">
        <v>48987</v>
      </c>
      <c r="U5467" t="s">
        <v>54131</v>
      </c>
      <c r="W5467" t="s">
        <v>43852</v>
      </c>
      <c r="X5467" t="s">
        <v>47308</v>
      </c>
    </row>
    <row r="5468" spans="1:24">
      <c r="A5468">
        <f>HYPERLINK("https://www.philgeps.gov.ph/GEPSNONPILOT/Tender/SplashBidNoticeAbstractUI.aspx?menuIndex=3&amp;refID=7196511&amp;Result=3","7196511")</f>
        <v>0</v>
      </c>
      <c r="B5468" t="s">
        <v>1893</v>
      </c>
      <c r="C5468" t="s">
        <v>8981</v>
      </c>
      <c r="D5468" t="s">
        <v>19039</v>
      </c>
      <c r="E5468" t="s">
        <v>23929</v>
      </c>
      <c r="F5468" t="s">
        <v>32606</v>
      </c>
      <c r="G5468" t="s">
        <v>32614</v>
      </c>
      <c r="H5468" t="s">
        <v>32623</v>
      </c>
      <c r="I5468" t="s">
        <v>17648</v>
      </c>
      <c r="J5468" t="s">
        <v>36329</v>
      </c>
      <c r="K5468" t="s">
        <v>42624</v>
      </c>
      <c r="M5468" t="s">
        <v>44952</v>
      </c>
      <c r="N5468" t="s">
        <v>47304</v>
      </c>
      <c r="O5468" t="s">
        <v>47305</v>
      </c>
      <c r="P5468">
        <v>0</v>
      </c>
      <c r="Q5468">
        <v>1</v>
      </c>
      <c r="R5468" t="s">
        <v>47306</v>
      </c>
      <c r="S5468" t="s">
        <v>47414</v>
      </c>
      <c r="T5468" t="s">
        <v>49002</v>
      </c>
      <c r="U5468" t="s">
        <v>54132</v>
      </c>
      <c r="W5468" t="s">
        <v>44952</v>
      </c>
      <c r="X5468" t="s">
        <v>47308</v>
      </c>
    </row>
    <row r="5469" spans="1:24">
      <c r="A5469">
        <f>HYPERLINK("https://www.philgeps.gov.ph/GEPSNONPILOT/Tender/SplashBidNoticeAbstractUI.aspx?menuIndex=3&amp;refID=7196493&amp;Result=3","7196493")</f>
        <v>0</v>
      </c>
      <c r="B5469" t="s">
        <v>1462</v>
      </c>
      <c r="C5469" t="s">
        <v>8982</v>
      </c>
      <c r="D5469" t="s">
        <v>19019</v>
      </c>
      <c r="E5469" t="s">
        <v>23930</v>
      </c>
      <c r="F5469" t="s">
        <v>32606</v>
      </c>
      <c r="G5469" t="s">
        <v>32619</v>
      </c>
      <c r="H5469" t="s">
        <v>14201</v>
      </c>
      <c r="I5469" t="s">
        <v>32626</v>
      </c>
      <c r="J5469" t="s">
        <v>32752</v>
      </c>
      <c r="K5469" t="s">
        <v>42630</v>
      </c>
      <c r="M5469" t="s">
        <v>44456</v>
      </c>
      <c r="N5469" t="s">
        <v>47304</v>
      </c>
      <c r="O5469" t="s">
        <v>47305</v>
      </c>
      <c r="P5469">
        <v>0</v>
      </c>
      <c r="Q5469">
        <v>2</v>
      </c>
      <c r="R5469" t="s">
        <v>47306</v>
      </c>
      <c r="S5469" t="s">
        <v>47414</v>
      </c>
      <c r="T5469" t="s">
        <v>48998</v>
      </c>
      <c r="U5469" t="s">
        <v>54133</v>
      </c>
      <c r="W5469" t="s">
        <v>44456</v>
      </c>
      <c r="X5469" t="s">
        <v>47308</v>
      </c>
    </row>
    <row r="5470" spans="1:24">
      <c r="A5470">
        <f>HYPERLINK("https://www.philgeps.gov.ph/GEPSNONPILOT/Tender/SplashBidNoticeAbstractUI.aspx?menuIndex=3&amp;refID=7196491&amp;Result=3","7196491")</f>
        <v>0</v>
      </c>
      <c r="B5470" t="s">
        <v>1894</v>
      </c>
      <c r="C5470" t="s">
        <v>8983</v>
      </c>
      <c r="D5470" t="s">
        <v>19002</v>
      </c>
      <c r="E5470" t="s">
        <v>23931</v>
      </c>
      <c r="F5470" t="s">
        <v>32606</v>
      </c>
      <c r="G5470" t="s">
        <v>32614</v>
      </c>
      <c r="H5470" t="s">
        <v>14201</v>
      </c>
      <c r="I5470" t="s">
        <v>6007</v>
      </c>
      <c r="J5470" t="s">
        <v>33578</v>
      </c>
      <c r="K5470" t="s">
        <v>42625</v>
      </c>
      <c r="M5470" t="s">
        <v>44953</v>
      </c>
      <c r="N5470" t="s">
        <v>47304</v>
      </c>
      <c r="O5470" t="s">
        <v>47305</v>
      </c>
      <c r="P5470">
        <v>0</v>
      </c>
      <c r="Q5470">
        <v>0</v>
      </c>
      <c r="R5470" t="s">
        <v>47306</v>
      </c>
      <c r="S5470" t="s">
        <v>47414</v>
      </c>
      <c r="T5470" t="s">
        <v>48980</v>
      </c>
      <c r="U5470" t="s">
        <v>54134</v>
      </c>
      <c r="W5470" t="s">
        <v>44953</v>
      </c>
      <c r="X5470" t="s">
        <v>47308</v>
      </c>
    </row>
    <row r="5471" spans="1:24">
      <c r="A5471">
        <f>HYPERLINK("https://www.philgeps.gov.ph/GEPSNONPILOT/Tender/SplashBidNoticeAbstractUI.aspx?menuIndex=3&amp;refID=7196490&amp;Result=3","7196490")</f>
        <v>0</v>
      </c>
      <c r="B5471" t="s">
        <v>307</v>
      </c>
      <c r="C5471" t="s">
        <v>8984</v>
      </c>
      <c r="D5471" t="s">
        <v>19016</v>
      </c>
      <c r="E5471" t="s">
        <v>23932</v>
      </c>
      <c r="F5471" t="s">
        <v>32606</v>
      </c>
      <c r="G5471" t="s">
        <v>32613</v>
      </c>
      <c r="H5471" t="s">
        <v>14201</v>
      </c>
      <c r="I5471" t="s">
        <v>32650</v>
      </c>
      <c r="J5471" t="s">
        <v>36330</v>
      </c>
      <c r="K5471" t="s">
        <v>42623</v>
      </c>
      <c r="M5471" t="s">
        <v>43209</v>
      </c>
      <c r="N5471" t="s">
        <v>47304</v>
      </c>
      <c r="O5471" t="s">
        <v>47305</v>
      </c>
      <c r="P5471">
        <v>0</v>
      </c>
      <c r="Q5471">
        <v>1</v>
      </c>
      <c r="R5471" t="s">
        <v>47306</v>
      </c>
      <c r="S5471" t="s">
        <v>47414</v>
      </c>
      <c r="T5471" t="s">
        <v>48977</v>
      </c>
      <c r="U5471" t="s">
        <v>54135</v>
      </c>
      <c r="W5471" t="s">
        <v>43209</v>
      </c>
      <c r="X5471" t="s">
        <v>47308</v>
      </c>
    </row>
    <row r="5472" spans="1:24">
      <c r="A5472">
        <f>HYPERLINK("https://www.philgeps.gov.ph/GEPSNONPILOT/Tender/SplashBidNoticeAbstractUI.aspx?menuIndex=3&amp;refID=7196489&amp;Result=3","7196489")</f>
        <v>0</v>
      </c>
      <c r="B5472" t="s">
        <v>1395</v>
      </c>
      <c r="C5472" t="s">
        <v>8985</v>
      </c>
      <c r="D5472" t="s">
        <v>19037</v>
      </c>
      <c r="E5472" t="s">
        <v>23933</v>
      </c>
      <c r="F5472" t="s">
        <v>32606</v>
      </c>
      <c r="G5472" t="s">
        <v>32614</v>
      </c>
      <c r="H5472" t="s">
        <v>14201</v>
      </c>
      <c r="I5472" t="s">
        <v>6298</v>
      </c>
      <c r="J5472" t="s">
        <v>36331</v>
      </c>
      <c r="K5472" t="s">
        <v>42623</v>
      </c>
      <c r="M5472" t="s">
        <v>44378</v>
      </c>
      <c r="N5472" t="s">
        <v>47304</v>
      </c>
      <c r="O5472" t="s">
        <v>47305</v>
      </c>
      <c r="P5472">
        <v>0</v>
      </c>
      <c r="Q5472">
        <v>0</v>
      </c>
      <c r="R5472" t="s">
        <v>47306</v>
      </c>
      <c r="S5472" t="s">
        <v>47414</v>
      </c>
      <c r="T5472" t="s">
        <v>48979</v>
      </c>
      <c r="U5472" t="s">
        <v>54136</v>
      </c>
      <c r="W5472" t="s">
        <v>44378</v>
      </c>
      <c r="X5472" t="s">
        <v>47308</v>
      </c>
    </row>
    <row r="5473" spans="1:24">
      <c r="A5473">
        <f>HYPERLINK("https://www.philgeps.gov.ph/GEPSNONPILOT/Tender/SplashBidNoticeAbstractUI.aspx?menuIndex=3&amp;refID=7196468&amp;Result=3","7196468")</f>
        <v>0</v>
      </c>
      <c r="B5473" t="s">
        <v>640</v>
      </c>
      <c r="C5473" t="s">
        <v>8986</v>
      </c>
      <c r="D5473" t="s">
        <v>19066</v>
      </c>
      <c r="E5473" t="s">
        <v>23934</v>
      </c>
      <c r="F5473" t="s">
        <v>32606</v>
      </c>
      <c r="G5473" t="s">
        <v>32614</v>
      </c>
      <c r="H5473" t="s">
        <v>14201</v>
      </c>
      <c r="I5473" t="s">
        <v>7677</v>
      </c>
      <c r="J5473" t="s">
        <v>33449</v>
      </c>
      <c r="K5473" t="s">
        <v>42622</v>
      </c>
      <c r="M5473" t="s">
        <v>43558</v>
      </c>
      <c r="N5473" t="s">
        <v>47304</v>
      </c>
      <c r="O5473" t="s">
        <v>47305</v>
      </c>
      <c r="P5473">
        <v>0</v>
      </c>
      <c r="Q5473">
        <v>0</v>
      </c>
      <c r="R5473" t="s">
        <v>47306</v>
      </c>
      <c r="S5473" t="s">
        <v>47414</v>
      </c>
      <c r="T5473" t="s">
        <v>48987</v>
      </c>
      <c r="U5473" t="s">
        <v>54137</v>
      </c>
      <c r="W5473" t="s">
        <v>43558</v>
      </c>
      <c r="X5473" t="s">
        <v>47308</v>
      </c>
    </row>
    <row r="5474" spans="1:24">
      <c r="A5474">
        <f>HYPERLINK("https://www.philgeps.gov.ph/GEPSNONPILOT/Tender/SplashBidNoticeAbstractUI.aspx?menuIndex=3&amp;refID=7196467&amp;Result=3","7196467")</f>
        <v>0</v>
      </c>
      <c r="B5474" t="s">
        <v>1547</v>
      </c>
      <c r="C5474" t="s">
        <v>8987</v>
      </c>
      <c r="D5474" t="s">
        <v>18992</v>
      </c>
      <c r="E5474" t="s">
        <v>20106</v>
      </c>
      <c r="F5474" t="s">
        <v>32606</v>
      </c>
      <c r="G5474" t="s">
        <v>32613</v>
      </c>
      <c r="H5474" t="s">
        <v>32623</v>
      </c>
      <c r="I5474" t="s">
        <v>17648</v>
      </c>
      <c r="J5474" t="s">
        <v>32772</v>
      </c>
      <c r="K5474" t="s">
        <v>42646</v>
      </c>
      <c r="M5474" t="s">
        <v>44551</v>
      </c>
      <c r="N5474" t="s">
        <v>47304</v>
      </c>
      <c r="O5474" t="s">
        <v>47305</v>
      </c>
      <c r="P5474">
        <v>0</v>
      </c>
      <c r="Q5474">
        <v>0</v>
      </c>
      <c r="R5474" t="s">
        <v>47306</v>
      </c>
      <c r="S5474" t="s">
        <v>47414</v>
      </c>
      <c r="T5474" t="s">
        <v>49009</v>
      </c>
      <c r="U5474" t="s">
        <v>52950</v>
      </c>
      <c r="W5474" t="s">
        <v>44551</v>
      </c>
      <c r="X5474" t="s">
        <v>47308</v>
      </c>
    </row>
    <row r="5475" spans="1:24">
      <c r="A5475">
        <f>HYPERLINK("https://www.philgeps.gov.ph/GEPSNONPILOT/Tender/SplashBidNoticeAbstractUI.aspx?menuIndex=3&amp;refID=7196465&amp;Result=3","7196465")</f>
        <v>0</v>
      </c>
      <c r="B5475" t="s">
        <v>238</v>
      </c>
      <c r="C5475" t="s">
        <v>8988</v>
      </c>
      <c r="D5475" t="s">
        <v>18993</v>
      </c>
      <c r="E5475" t="s">
        <v>23935</v>
      </c>
      <c r="F5475" t="s">
        <v>32606</v>
      </c>
      <c r="G5475" t="s">
        <v>32619</v>
      </c>
      <c r="H5475" t="s">
        <v>14201</v>
      </c>
      <c r="I5475" t="s">
        <v>32633</v>
      </c>
      <c r="J5475" t="s">
        <v>36332</v>
      </c>
      <c r="K5475" t="s">
        <v>42622</v>
      </c>
      <c r="M5475" t="s">
        <v>43794</v>
      </c>
      <c r="N5475" t="s">
        <v>47304</v>
      </c>
      <c r="O5475" t="s">
        <v>47305</v>
      </c>
      <c r="P5475">
        <v>0</v>
      </c>
      <c r="Q5475">
        <v>5</v>
      </c>
      <c r="R5475" t="s">
        <v>47306</v>
      </c>
      <c r="S5475" t="s">
        <v>47414</v>
      </c>
      <c r="T5475" t="s">
        <v>49165</v>
      </c>
      <c r="U5475" t="s">
        <v>54138</v>
      </c>
      <c r="W5475" t="s">
        <v>43794</v>
      </c>
      <c r="X5475" t="s">
        <v>47308</v>
      </c>
    </row>
    <row r="5476" spans="1:24">
      <c r="A5476">
        <f>HYPERLINK("https://www.philgeps.gov.ph/GEPSNONPILOT/Tender/SplashBidNoticeAbstractUI.aspx?menuIndex=3&amp;refID=7196603&amp;Result=3","7196603")</f>
        <v>0</v>
      </c>
      <c r="B5476" t="s">
        <v>718</v>
      </c>
      <c r="C5476" t="s">
        <v>8989</v>
      </c>
      <c r="D5476" t="s">
        <v>19037</v>
      </c>
      <c r="E5476" t="s">
        <v>23936</v>
      </c>
      <c r="F5476" t="s">
        <v>32606</v>
      </c>
      <c r="G5476" t="s">
        <v>32614</v>
      </c>
      <c r="H5476" t="s">
        <v>14201</v>
      </c>
      <c r="I5476" t="s">
        <v>32626</v>
      </c>
      <c r="J5476" t="s">
        <v>36223</v>
      </c>
      <c r="K5476" t="s">
        <v>42623</v>
      </c>
      <c r="M5476" t="s">
        <v>43639</v>
      </c>
      <c r="N5476" t="s">
        <v>47304</v>
      </c>
      <c r="O5476" t="s">
        <v>47305</v>
      </c>
      <c r="P5476">
        <v>0</v>
      </c>
      <c r="Q5476">
        <v>0</v>
      </c>
      <c r="R5476" t="s">
        <v>47306</v>
      </c>
      <c r="S5476" t="s">
        <v>47414</v>
      </c>
      <c r="T5476" t="s">
        <v>48980</v>
      </c>
      <c r="U5476" t="s">
        <v>54139</v>
      </c>
      <c r="V5476" t="s">
        <v>63162</v>
      </c>
      <c r="W5476" t="s">
        <v>43639</v>
      </c>
      <c r="X5476" t="s">
        <v>47308</v>
      </c>
    </row>
    <row r="5477" spans="1:24">
      <c r="A5477">
        <f>HYPERLINK("https://www.philgeps.gov.ph/GEPSNONPILOT/Tender/SplashBidNoticeAbstractUI.aspx?menuIndex=3&amp;refID=7193459&amp;Result=3","7193459")</f>
        <v>0</v>
      </c>
      <c r="B5477" t="s">
        <v>1895</v>
      </c>
      <c r="C5477" t="s">
        <v>8990</v>
      </c>
      <c r="D5477" t="s">
        <v>19034</v>
      </c>
      <c r="E5477" t="s">
        <v>23937</v>
      </c>
      <c r="F5477" t="s">
        <v>32606</v>
      </c>
      <c r="G5477" t="s">
        <v>32613</v>
      </c>
      <c r="H5477" t="s">
        <v>14201</v>
      </c>
      <c r="I5477" t="s">
        <v>6931</v>
      </c>
      <c r="J5477" t="s">
        <v>36333</v>
      </c>
      <c r="K5477" t="s">
        <v>42648</v>
      </c>
      <c r="M5477" t="s">
        <v>44954</v>
      </c>
      <c r="N5477" t="s">
        <v>47304</v>
      </c>
      <c r="O5477" t="s">
        <v>47305</v>
      </c>
      <c r="P5477">
        <v>0</v>
      </c>
      <c r="Q5477">
        <v>0</v>
      </c>
      <c r="R5477" t="s">
        <v>47308</v>
      </c>
      <c r="S5477" t="s">
        <v>47429</v>
      </c>
      <c r="T5477" t="s">
        <v>49075</v>
      </c>
      <c r="U5477" t="s">
        <v>54140</v>
      </c>
      <c r="W5477" t="s">
        <v>44954</v>
      </c>
      <c r="X5477" t="s">
        <v>47311</v>
      </c>
    </row>
    <row r="5478" spans="1:24">
      <c r="A5478">
        <f>HYPERLINK("https://www.philgeps.gov.ph/GEPSNONPILOT/Tender/SplashBidNoticeAbstractUI.aspx?menuIndex=3&amp;refID=7196492&amp;Result=3","7196492")</f>
        <v>0</v>
      </c>
      <c r="B5478" t="s">
        <v>258</v>
      </c>
      <c r="C5478" t="s">
        <v>8991</v>
      </c>
      <c r="D5478" t="s">
        <v>19038</v>
      </c>
      <c r="E5478" t="s">
        <v>23938</v>
      </c>
      <c r="F5478" t="s">
        <v>32606</v>
      </c>
      <c r="G5478" t="s">
        <v>32614</v>
      </c>
      <c r="H5478" t="s">
        <v>14201</v>
      </c>
      <c r="I5478" t="s">
        <v>6298</v>
      </c>
      <c r="J5478" t="s">
        <v>33263</v>
      </c>
      <c r="K5478" t="s">
        <v>42623</v>
      </c>
      <c r="M5478" t="s">
        <v>44611</v>
      </c>
      <c r="N5478" t="s">
        <v>47304</v>
      </c>
      <c r="O5478" t="s">
        <v>47305</v>
      </c>
      <c r="P5478">
        <v>0</v>
      </c>
      <c r="Q5478">
        <v>1</v>
      </c>
      <c r="R5478" t="s">
        <v>47306</v>
      </c>
      <c r="S5478" t="s">
        <v>47414</v>
      </c>
      <c r="T5478" t="s">
        <v>49041</v>
      </c>
      <c r="U5478" t="s">
        <v>54141</v>
      </c>
      <c r="W5478" t="s">
        <v>44611</v>
      </c>
      <c r="X5478" t="s">
        <v>47308</v>
      </c>
    </row>
    <row r="5479" spans="1:24">
      <c r="A5479">
        <f>HYPERLINK("https://www.philgeps.gov.ph/GEPSNONPILOT/Tender/SplashBidNoticeAbstractUI.aspx?menuIndex=3&amp;refID=7193455&amp;Result=3","7193455")</f>
        <v>0</v>
      </c>
      <c r="B5479" t="s">
        <v>1896</v>
      </c>
      <c r="C5479" t="s">
        <v>8992</v>
      </c>
      <c r="D5479" t="s">
        <v>19008</v>
      </c>
      <c r="E5479" t="s">
        <v>23939</v>
      </c>
      <c r="F5479" t="s">
        <v>32606</v>
      </c>
      <c r="G5479" t="s">
        <v>32619</v>
      </c>
      <c r="H5479" t="s">
        <v>14201</v>
      </c>
      <c r="I5479" t="s">
        <v>6931</v>
      </c>
      <c r="J5479" t="s">
        <v>36334</v>
      </c>
      <c r="K5479" t="s">
        <v>42638</v>
      </c>
      <c r="M5479" t="s">
        <v>44955</v>
      </c>
      <c r="N5479" t="s">
        <v>47304</v>
      </c>
      <c r="O5479" t="s">
        <v>47305</v>
      </c>
      <c r="P5479">
        <v>0</v>
      </c>
      <c r="Q5479">
        <v>0</v>
      </c>
      <c r="R5479" t="s">
        <v>47308</v>
      </c>
      <c r="S5479" t="s">
        <v>47429</v>
      </c>
      <c r="T5479" t="s">
        <v>49269</v>
      </c>
      <c r="U5479" t="s">
        <v>54142</v>
      </c>
      <c r="W5479" t="s">
        <v>44955</v>
      </c>
      <c r="X5479" t="s">
        <v>47311</v>
      </c>
    </row>
    <row r="5480" spans="1:24">
      <c r="A5480">
        <f>HYPERLINK("https://www.philgeps.gov.ph/GEPSNONPILOT/Tender/SplashBidNoticeAbstractUI.aspx?menuIndex=3&amp;refID=7193453&amp;Result=3","7193453")</f>
        <v>0</v>
      </c>
      <c r="B5480" t="s">
        <v>256</v>
      </c>
      <c r="C5480" t="s">
        <v>8993</v>
      </c>
      <c r="E5480" t="s">
        <v>23940</v>
      </c>
      <c r="F5480" t="s">
        <v>32606</v>
      </c>
      <c r="G5480" t="s">
        <v>32614</v>
      </c>
      <c r="H5480" t="s">
        <v>14201</v>
      </c>
      <c r="I5480" t="s">
        <v>7064</v>
      </c>
      <c r="J5480" t="s">
        <v>32778</v>
      </c>
      <c r="K5480" t="s">
        <v>42627</v>
      </c>
      <c r="M5480" t="s">
        <v>43157</v>
      </c>
      <c r="N5480" t="s">
        <v>47304</v>
      </c>
      <c r="O5480" t="s">
        <v>47305</v>
      </c>
      <c r="P5480">
        <v>0</v>
      </c>
      <c r="Q5480">
        <v>1</v>
      </c>
      <c r="R5480" t="s">
        <v>47308</v>
      </c>
      <c r="S5480" t="s">
        <v>47429</v>
      </c>
      <c r="T5480" t="s">
        <v>49257</v>
      </c>
      <c r="U5480" t="s">
        <v>54143</v>
      </c>
      <c r="W5480" t="s">
        <v>43157</v>
      </c>
      <c r="X5480" t="s">
        <v>47311</v>
      </c>
    </row>
    <row r="5481" spans="1:24">
      <c r="A5481">
        <f>HYPERLINK("https://www.philgeps.gov.ph/GEPSNONPILOT/Tender/SplashBidNoticeAbstractUI.aspx?menuIndex=3&amp;refID=7193437&amp;Result=3","7193437")</f>
        <v>0</v>
      </c>
      <c r="B5481" t="s">
        <v>1895</v>
      </c>
      <c r="C5481" t="s">
        <v>8994</v>
      </c>
      <c r="D5481" t="s">
        <v>19034</v>
      </c>
      <c r="E5481" t="s">
        <v>23941</v>
      </c>
      <c r="F5481" t="s">
        <v>32606</v>
      </c>
      <c r="G5481" t="s">
        <v>32613</v>
      </c>
      <c r="H5481" t="s">
        <v>14201</v>
      </c>
      <c r="I5481" t="s">
        <v>6931</v>
      </c>
      <c r="J5481" t="s">
        <v>36335</v>
      </c>
      <c r="K5481" t="s">
        <v>42648</v>
      </c>
      <c r="M5481" t="s">
        <v>44954</v>
      </c>
      <c r="N5481" t="s">
        <v>47304</v>
      </c>
      <c r="O5481" t="s">
        <v>47305</v>
      </c>
      <c r="P5481">
        <v>0</v>
      </c>
      <c r="Q5481">
        <v>0</v>
      </c>
      <c r="R5481" t="s">
        <v>47308</v>
      </c>
      <c r="S5481" t="s">
        <v>47429</v>
      </c>
      <c r="T5481" t="s">
        <v>49075</v>
      </c>
      <c r="U5481" t="s">
        <v>54140</v>
      </c>
      <c r="W5481" t="s">
        <v>44954</v>
      </c>
      <c r="X5481" t="s">
        <v>47311</v>
      </c>
    </row>
    <row r="5482" spans="1:24">
      <c r="A5482">
        <f>HYPERLINK("https://www.philgeps.gov.ph/GEPSNONPILOT/Tender/SplashBidNoticeAbstractUI.aspx?menuIndex=3&amp;refID=7193434&amp;Result=3","7193434")</f>
        <v>0</v>
      </c>
      <c r="B5482" t="s">
        <v>1225</v>
      </c>
      <c r="C5482" t="s">
        <v>8995</v>
      </c>
      <c r="D5482" t="s">
        <v>19038</v>
      </c>
      <c r="E5482" t="s">
        <v>23942</v>
      </c>
      <c r="F5482" t="s">
        <v>32606</v>
      </c>
      <c r="G5482" t="s">
        <v>32613</v>
      </c>
      <c r="H5482" t="s">
        <v>14201</v>
      </c>
      <c r="I5482" t="s">
        <v>6931</v>
      </c>
      <c r="J5482" t="s">
        <v>36336</v>
      </c>
      <c r="K5482" t="s">
        <v>42624</v>
      </c>
      <c r="M5482" t="s">
        <v>44869</v>
      </c>
      <c r="N5482" t="s">
        <v>47304</v>
      </c>
      <c r="O5482" t="s">
        <v>47305</v>
      </c>
      <c r="P5482">
        <v>0</v>
      </c>
      <c r="Q5482">
        <v>1</v>
      </c>
      <c r="R5482" t="s">
        <v>47308</v>
      </c>
      <c r="S5482" t="s">
        <v>47429</v>
      </c>
      <c r="T5482" t="s">
        <v>48990</v>
      </c>
      <c r="U5482" t="s">
        <v>54144</v>
      </c>
      <c r="W5482" t="s">
        <v>64467</v>
      </c>
      <c r="X5482" t="s">
        <v>47311</v>
      </c>
    </row>
    <row r="5483" spans="1:24">
      <c r="A5483">
        <f>HYPERLINK("https://www.philgeps.gov.ph/GEPSNONPILOT/Tender/SplashBidNoticeAbstractUI.aspx?menuIndex=3&amp;refID=7193421&amp;Result=3","7193421")</f>
        <v>0</v>
      </c>
      <c r="B5483" t="s">
        <v>1225</v>
      </c>
      <c r="C5483" t="s">
        <v>8996</v>
      </c>
      <c r="D5483" t="s">
        <v>19038</v>
      </c>
      <c r="E5483" t="s">
        <v>23943</v>
      </c>
      <c r="F5483" t="s">
        <v>32606</v>
      </c>
      <c r="G5483" t="s">
        <v>32613</v>
      </c>
      <c r="H5483" t="s">
        <v>14201</v>
      </c>
      <c r="I5483" t="s">
        <v>6931</v>
      </c>
      <c r="J5483" t="s">
        <v>36337</v>
      </c>
      <c r="K5483" t="s">
        <v>42624</v>
      </c>
      <c r="M5483" t="s">
        <v>44869</v>
      </c>
      <c r="N5483" t="s">
        <v>47304</v>
      </c>
      <c r="O5483" t="s">
        <v>47305</v>
      </c>
      <c r="P5483">
        <v>0</v>
      </c>
      <c r="Q5483">
        <v>1</v>
      </c>
      <c r="R5483" t="s">
        <v>47308</v>
      </c>
      <c r="S5483" t="s">
        <v>47429</v>
      </c>
      <c r="T5483" t="s">
        <v>48990</v>
      </c>
      <c r="U5483" t="s">
        <v>54145</v>
      </c>
      <c r="W5483" t="s">
        <v>64467</v>
      </c>
      <c r="X5483" t="s">
        <v>47311</v>
      </c>
    </row>
    <row r="5484" spans="1:24">
      <c r="A5484">
        <f>HYPERLINK("https://www.philgeps.gov.ph/GEPSNONPILOT/Tender/SplashBidNoticeAbstractUI.aspx?menuIndex=3&amp;refID=7196535&amp;Result=3","7196535")</f>
        <v>0</v>
      </c>
      <c r="B5484" t="s">
        <v>1572</v>
      </c>
      <c r="C5484" t="s">
        <v>8997</v>
      </c>
      <c r="D5484" t="s">
        <v>18993</v>
      </c>
      <c r="E5484" t="s">
        <v>23944</v>
      </c>
      <c r="F5484" t="s">
        <v>32606</v>
      </c>
      <c r="G5484" t="s">
        <v>32617</v>
      </c>
      <c r="H5484" t="s">
        <v>14201</v>
      </c>
      <c r="I5484" t="s">
        <v>4678</v>
      </c>
      <c r="J5484" t="s">
        <v>35022</v>
      </c>
      <c r="K5484" t="s">
        <v>42630</v>
      </c>
      <c r="M5484" t="s">
        <v>44583</v>
      </c>
      <c r="N5484" t="s">
        <v>47304</v>
      </c>
      <c r="O5484" t="s">
        <v>47305</v>
      </c>
      <c r="P5484">
        <v>0</v>
      </c>
      <c r="Q5484">
        <v>1</v>
      </c>
      <c r="R5484" t="s">
        <v>47306</v>
      </c>
      <c r="S5484" t="s">
        <v>47414</v>
      </c>
      <c r="T5484" t="s">
        <v>49150</v>
      </c>
      <c r="U5484" t="s">
        <v>54146</v>
      </c>
      <c r="V5484" t="s">
        <v>63053</v>
      </c>
      <c r="W5484" t="s">
        <v>44583</v>
      </c>
      <c r="X5484" t="s">
        <v>47308</v>
      </c>
    </row>
    <row r="5485" spans="1:24">
      <c r="A5485">
        <f>HYPERLINK("https://www.philgeps.gov.ph/GEPSNONPILOT/Tender/SplashBidNoticeAbstractUI.aspx?menuIndex=3&amp;refID=7193416&amp;Result=3","7193416")</f>
        <v>0</v>
      </c>
      <c r="B5485" t="s">
        <v>256</v>
      </c>
      <c r="C5485" t="s">
        <v>8998</v>
      </c>
      <c r="E5485" t="s">
        <v>23945</v>
      </c>
      <c r="F5485" t="s">
        <v>32606</v>
      </c>
      <c r="G5485" t="s">
        <v>32614</v>
      </c>
      <c r="H5485" t="s">
        <v>14201</v>
      </c>
      <c r="I5485" t="s">
        <v>32711</v>
      </c>
      <c r="J5485" t="s">
        <v>36338</v>
      </c>
      <c r="K5485" t="s">
        <v>42631</v>
      </c>
      <c r="M5485" t="s">
        <v>43157</v>
      </c>
      <c r="N5485" t="s">
        <v>47304</v>
      </c>
      <c r="O5485" t="s">
        <v>47305</v>
      </c>
      <c r="P5485">
        <v>0</v>
      </c>
      <c r="Q5485">
        <v>1</v>
      </c>
      <c r="R5485" t="s">
        <v>47308</v>
      </c>
      <c r="S5485" t="s">
        <v>47429</v>
      </c>
      <c r="T5485" t="s">
        <v>49257</v>
      </c>
      <c r="U5485" t="s">
        <v>54147</v>
      </c>
      <c r="W5485" t="s">
        <v>43157</v>
      </c>
      <c r="X5485" t="s">
        <v>47311</v>
      </c>
    </row>
    <row r="5486" spans="1:24">
      <c r="A5486">
        <f>HYPERLINK("https://www.philgeps.gov.ph/GEPSNONPILOT/Tender/SplashBidNoticeAbstractUI.aspx?menuIndex=3&amp;refID=7196466&amp;Result=3","7196466")</f>
        <v>0</v>
      </c>
      <c r="B5486" t="s">
        <v>306</v>
      </c>
      <c r="C5486" t="s">
        <v>8999</v>
      </c>
      <c r="D5486" t="s">
        <v>19005</v>
      </c>
      <c r="E5486" t="s">
        <v>23946</v>
      </c>
      <c r="F5486" t="s">
        <v>32606</v>
      </c>
      <c r="G5486" t="s">
        <v>32619</v>
      </c>
      <c r="H5486" t="s">
        <v>14201</v>
      </c>
      <c r="I5486" t="s">
        <v>6014</v>
      </c>
      <c r="J5486" t="s">
        <v>36339</v>
      </c>
      <c r="K5486" t="s">
        <v>42623</v>
      </c>
      <c r="M5486" t="s">
        <v>43208</v>
      </c>
      <c r="N5486" t="s">
        <v>47304</v>
      </c>
      <c r="O5486" t="s">
        <v>47305</v>
      </c>
      <c r="P5486">
        <v>0</v>
      </c>
      <c r="Q5486">
        <v>0</v>
      </c>
      <c r="R5486" t="s">
        <v>47306</v>
      </c>
      <c r="S5486" t="s">
        <v>47414</v>
      </c>
      <c r="T5486" t="s">
        <v>49076</v>
      </c>
      <c r="U5486" t="s">
        <v>54148</v>
      </c>
      <c r="W5486" t="s">
        <v>43208</v>
      </c>
      <c r="X5486" t="s">
        <v>47308</v>
      </c>
    </row>
    <row r="5487" spans="1:24">
      <c r="A5487">
        <f>HYPERLINK("https://www.philgeps.gov.ph/GEPSNONPILOT/Tender/SplashBidNoticeAbstractUI.aspx?menuIndex=3&amp;refID=7193409&amp;Result=3","7193409")</f>
        <v>0</v>
      </c>
      <c r="B5487" t="s">
        <v>1895</v>
      </c>
      <c r="C5487" t="s">
        <v>9000</v>
      </c>
      <c r="D5487" t="s">
        <v>19034</v>
      </c>
      <c r="E5487" t="s">
        <v>23947</v>
      </c>
      <c r="F5487" t="s">
        <v>32606</v>
      </c>
      <c r="G5487" t="s">
        <v>32613</v>
      </c>
      <c r="H5487" t="s">
        <v>14201</v>
      </c>
      <c r="I5487" t="s">
        <v>6931</v>
      </c>
      <c r="J5487" t="s">
        <v>36340</v>
      </c>
      <c r="K5487" t="s">
        <v>42648</v>
      </c>
      <c r="M5487" t="s">
        <v>44954</v>
      </c>
      <c r="N5487" t="s">
        <v>47304</v>
      </c>
      <c r="O5487" t="s">
        <v>47305</v>
      </c>
      <c r="P5487">
        <v>0</v>
      </c>
      <c r="Q5487">
        <v>0</v>
      </c>
      <c r="R5487" t="s">
        <v>47308</v>
      </c>
      <c r="S5487" t="s">
        <v>47429</v>
      </c>
      <c r="T5487" t="s">
        <v>49075</v>
      </c>
      <c r="U5487" t="s">
        <v>54140</v>
      </c>
      <c r="W5487" t="s">
        <v>44954</v>
      </c>
      <c r="X5487" t="s">
        <v>47311</v>
      </c>
    </row>
    <row r="5488" spans="1:24">
      <c r="A5488">
        <f>HYPERLINK("https://www.philgeps.gov.ph/GEPSNONPILOT/Tender/SplashBidNoticeAbstractUI.aspx?menuIndex=3&amp;refID=7193470&amp;Result=3","7193470")</f>
        <v>0</v>
      </c>
      <c r="B5488" t="s">
        <v>256</v>
      </c>
      <c r="C5488" t="s">
        <v>9001</v>
      </c>
      <c r="E5488" t="s">
        <v>23948</v>
      </c>
      <c r="F5488" t="s">
        <v>32606</v>
      </c>
      <c r="G5488" t="s">
        <v>32614</v>
      </c>
      <c r="H5488" t="s">
        <v>14201</v>
      </c>
      <c r="I5488" t="s">
        <v>8682</v>
      </c>
      <c r="J5488" t="s">
        <v>32851</v>
      </c>
      <c r="K5488" t="s">
        <v>42631</v>
      </c>
      <c r="M5488" t="s">
        <v>43157</v>
      </c>
      <c r="N5488" t="s">
        <v>47304</v>
      </c>
      <c r="O5488" t="s">
        <v>47305</v>
      </c>
      <c r="P5488">
        <v>0</v>
      </c>
      <c r="Q5488">
        <v>9</v>
      </c>
      <c r="R5488" t="s">
        <v>47308</v>
      </c>
      <c r="S5488" t="s">
        <v>47429</v>
      </c>
      <c r="T5488" t="s">
        <v>49257</v>
      </c>
      <c r="U5488" t="s">
        <v>54149</v>
      </c>
      <c r="W5488" t="s">
        <v>43157</v>
      </c>
      <c r="X5488" t="s">
        <v>47311</v>
      </c>
    </row>
    <row r="5489" spans="1:24">
      <c r="A5489">
        <f>HYPERLINK("https://www.philgeps.gov.ph/GEPSNONPILOT/Tender/SplashBidNoticeAbstractUI.aspx?menuIndex=3&amp;refID=7193463&amp;Result=3","7193463")</f>
        <v>0</v>
      </c>
      <c r="B5489" t="s">
        <v>256</v>
      </c>
      <c r="C5489" t="s">
        <v>9002</v>
      </c>
      <c r="E5489" t="s">
        <v>23949</v>
      </c>
      <c r="F5489" t="s">
        <v>32606</v>
      </c>
      <c r="G5489" t="s">
        <v>32614</v>
      </c>
      <c r="H5489" t="s">
        <v>14201</v>
      </c>
      <c r="I5489" t="s">
        <v>6993</v>
      </c>
      <c r="J5489" t="s">
        <v>35423</v>
      </c>
      <c r="K5489" t="s">
        <v>42623</v>
      </c>
      <c r="M5489" t="s">
        <v>43157</v>
      </c>
      <c r="N5489" t="s">
        <v>47304</v>
      </c>
      <c r="O5489" t="s">
        <v>47305</v>
      </c>
      <c r="P5489">
        <v>0</v>
      </c>
      <c r="Q5489">
        <v>0</v>
      </c>
      <c r="R5489" t="s">
        <v>47308</v>
      </c>
      <c r="S5489" t="s">
        <v>47429</v>
      </c>
      <c r="T5489" t="s">
        <v>49257</v>
      </c>
      <c r="U5489" t="s">
        <v>54150</v>
      </c>
      <c r="W5489" t="s">
        <v>43157</v>
      </c>
      <c r="X5489" t="s">
        <v>47311</v>
      </c>
    </row>
    <row r="5490" spans="1:24">
      <c r="A5490">
        <f>HYPERLINK("https://www.philgeps.gov.ph/GEPSNONPILOT/Tender/SplashBidNoticeAbstractUI.aspx?menuIndex=3&amp;refID=7193461&amp;Result=3","7193461")</f>
        <v>0</v>
      </c>
      <c r="B5490" t="s">
        <v>1896</v>
      </c>
      <c r="C5490" t="s">
        <v>9003</v>
      </c>
      <c r="D5490" t="s">
        <v>19008</v>
      </c>
      <c r="E5490" t="s">
        <v>23950</v>
      </c>
      <c r="F5490" t="s">
        <v>32606</v>
      </c>
      <c r="G5490" t="s">
        <v>32619</v>
      </c>
      <c r="H5490" t="s">
        <v>14201</v>
      </c>
      <c r="I5490" t="s">
        <v>6931</v>
      </c>
      <c r="J5490" t="s">
        <v>32949</v>
      </c>
      <c r="K5490" t="s">
        <v>42638</v>
      </c>
      <c r="M5490" t="s">
        <v>44955</v>
      </c>
      <c r="N5490" t="s">
        <v>47304</v>
      </c>
      <c r="O5490" t="s">
        <v>47305</v>
      </c>
      <c r="P5490">
        <v>0</v>
      </c>
      <c r="Q5490">
        <v>0</v>
      </c>
      <c r="R5490" t="s">
        <v>47308</v>
      </c>
      <c r="S5490" t="s">
        <v>47429</v>
      </c>
      <c r="T5490" t="s">
        <v>49269</v>
      </c>
      <c r="U5490" t="s">
        <v>54151</v>
      </c>
      <c r="W5490" t="s">
        <v>44955</v>
      </c>
      <c r="X5490" t="s">
        <v>47311</v>
      </c>
    </row>
    <row r="5491" spans="1:24">
      <c r="A5491">
        <f>HYPERLINK("https://www.philgeps.gov.ph/GEPSNONPILOT/Tender/SplashBidNoticeAbstractUI.aspx?menuIndex=3&amp;refID=7196514&amp;Result=3","7196514")</f>
        <v>0</v>
      </c>
      <c r="B5491" t="s">
        <v>1554</v>
      </c>
      <c r="C5491" t="s">
        <v>9004</v>
      </c>
      <c r="D5491" t="s">
        <v>18993</v>
      </c>
      <c r="E5491" t="s">
        <v>23951</v>
      </c>
      <c r="F5491" t="s">
        <v>32606</v>
      </c>
      <c r="G5491" t="s">
        <v>32619</v>
      </c>
      <c r="H5491" t="s">
        <v>14201</v>
      </c>
      <c r="I5491" t="s">
        <v>4114</v>
      </c>
      <c r="J5491" t="s">
        <v>33299</v>
      </c>
      <c r="K5491" t="s">
        <v>42630</v>
      </c>
      <c r="M5491" t="s">
        <v>44558</v>
      </c>
      <c r="N5491" t="s">
        <v>47304</v>
      </c>
      <c r="O5491" t="s">
        <v>47305</v>
      </c>
      <c r="P5491">
        <v>0</v>
      </c>
      <c r="Q5491">
        <v>6</v>
      </c>
      <c r="R5491" t="s">
        <v>47306</v>
      </c>
      <c r="S5491" t="s">
        <v>47414</v>
      </c>
      <c r="T5491" t="s">
        <v>49318</v>
      </c>
      <c r="U5491" t="s">
        <v>54152</v>
      </c>
      <c r="W5491" t="s">
        <v>44558</v>
      </c>
      <c r="X5491" t="s">
        <v>47308</v>
      </c>
    </row>
    <row r="5492" spans="1:24">
      <c r="A5492">
        <f>HYPERLINK("https://www.philgeps.gov.ph/GEPSNONPILOT/Tender/SplashBidNoticeAbstractUI.aspx?menuIndex=3&amp;refID=7193460&amp;Result=3","7193460")</f>
        <v>0</v>
      </c>
      <c r="B5492" t="s">
        <v>256</v>
      </c>
      <c r="C5492" t="s">
        <v>9005</v>
      </c>
      <c r="E5492" t="s">
        <v>23952</v>
      </c>
      <c r="F5492" t="s">
        <v>32606</v>
      </c>
      <c r="G5492" t="s">
        <v>32614</v>
      </c>
      <c r="H5492" t="s">
        <v>14201</v>
      </c>
      <c r="I5492" t="s">
        <v>32638</v>
      </c>
      <c r="J5492" t="s">
        <v>36341</v>
      </c>
      <c r="K5492" t="s">
        <v>42623</v>
      </c>
      <c r="M5492" t="s">
        <v>43157</v>
      </c>
      <c r="N5492" t="s">
        <v>47304</v>
      </c>
      <c r="O5492" t="s">
        <v>47305</v>
      </c>
      <c r="P5492">
        <v>0</v>
      </c>
      <c r="Q5492">
        <v>2</v>
      </c>
      <c r="R5492" t="s">
        <v>47308</v>
      </c>
      <c r="S5492" t="s">
        <v>47429</v>
      </c>
      <c r="T5492" t="s">
        <v>49257</v>
      </c>
      <c r="U5492" t="s">
        <v>54153</v>
      </c>
      <c r="W5492" t="s">
        <v>43157</v>
      </c>
      <c r="X5492" t="s">
        <v>47311</v>
      </c>
    </row>
    <row r="5493" spans="1:24">
      <c r="A5493">
        <f>HYPERLINK("https://www.philgeps.gov.ph/GEPSNONPILOT/Tender/SplashBidNoticeAbstractUI.aspx?menuIndex=3&amp;refID=7193403&amp;Result=3","7193403")</f>
        <v>0</v>
      </c>
      <c r="B5493" t="s">
        <v>1897</v>
      </c>
      <c r="C5493" t="s">
        <v>9006</v>
      </c>
      <c r="D5493" t="s">
        <v>19019</v>
      </c>
      <c r="E5493" t="s">
        <v>23953</v>
      </c>
      <c r="F5493" t="s">
        <v>32607</v>
      </c>
      <c r="G5493" t="s">
        <v>32613</v>
      </c>
      <c r="H5493" t="s">
        <v>32623</v>
      </c>
      <c r="I5493" t="s">
        <v>17648</v>
      </c>
      <c r="J5493" t="s">
        <v>36342</v>
      </c>
      <c r="K5493" t="s">
        <v>42639</v>
      </c>
      <c r="M5493" t="s">
        <v>44956</v>
      </c>
      <c r="N5493" t="s">
        <v>47304</v>
      </c>
      <c r="O5493" t="s">
        <v>47305</v>
      </c>
      <c r="P5493">
        <v>0</v>
      </c>
      <c r="Q5493">
        <v>0</v>
      </c>
      <c r="R5493" t="s">
        <v>47308</v>
      </c>
      <c r="S5493" t="s">
        <v>47429</v>
      </c>
      <c r="T5493" t="s">
        <v>49148</v>
      </c>
      <c r="U5493" t="s">
        <v>54154</v>
      </c>
      <c r="W5493" t="s">
        <v>44956</v>
      </c>
      <c r="X5493" t="s">
        <v>47311</v>
      </c>
    </row>
    <row r="5494" spans="1:24">
      <c r="A5494">
        <f>HYPERLINK("https://www.philgeps.gov.ph/GEPSNONPILOT/Tender/SplashBidNoticeAbstractUI.aspx?menuIndex=3&amp;refID=7193399&amp;Result=3","7193399")</f>
        <v>0</v>
      </c>
      <c r="B5494" t="s">
        <v>256</v>
      </c>
      <c r="C5494" t="s">
        <v>4678</v>
      </c>
      <c r="E5494" t="s">
        <v>23954</v>
      </c>
      <c r="F5494" t="s">
        <v>32606</v>
      </c>
      <c r="G5494" t="s">
        <v>32614</v>
      </c>
      <c r="H5494" t="s">
        <v>14201</v>
      </c>
      <c r="I5494" t="s">
        <v>4678</v>
      </c>
      <c r="J5494" t="s">
        <v>36343</v>
      </c>
      <c r="K5494" t="s">
        <v>42631</v>
      </c>
      <c r="M5494" t="s">
        <v>43157</v>
      </c>
      <c r="N5494" t="s">
        <v>47304</v>
      </c>
      <c r="O5494" t="s">
        <v>47305</v>
      </c>
      <c r="P5494">
        <v>0</v>
      </c>
      <c r="Q5494">
        <v>2</v>
      </c>
      <c r="R5494" t="s">
        <v>47308</v>
      </c>
      <c r="S5494" t="s">
        <v>47429</v>
      </c>
      <c r="T5494" t="s">
        <v>49072</v>
      </c>
      <c r="U5494" t="s">
        <v>54155</v>
      </c>
      <c r="W5494" t="s">
        <v>43157</v>
      </c>
      <c r="X5494" t="s">
        <v>47311</v>
      </c>
    </row>
    <row r="5495" spans="1:24">
      <c r="A5495">
        <f>HYPERLINK("https://www.philgeps.gov.ph/GEPSNONPILOT/Tender/SplashBidNoticeAbstractUI.aspx?menuIndex=3&amp;refID=7193381&amp;Result=3","7193381")</f>
        <v>0</v>
      </c>
      <c r="B5495" t="s">
        <v>1895</v>
      </c>
      <c r="C5495" t="s">
        <v>9007</v>
      </c>
      <c r="D5495" t="s">
        <v>19034</v>
      </c>
      <c r="E5495" t="s">
        <v>23955</v>
      </c>
      <c r="F5495" t="s">
        <v>32606</v>
      </c>
      <c r="G5495" t="s">
        <v>32613</v>
      </c>
      <c r="H5495" t="s">
        <v>14201</v>
      </c>
      <c r="I5495" t="s">
        <v>6931</v>
      </c>
      <c r="J5495" t="s">
        <v>36344</v>
      </c>
      <c r="K5495" t="s">
        <v>42648</v>
      </c>
      <c r="M5495" t="s">
        <v>44954</v>
      </c>
      <c r="N5495" t="s">
        <v>47304</v>
      </c>
      <c r="O5495" t="s">
        <v>47305</v>
      </c>
      <c r="P5495">
        <v>0</v>
      </c>
      <c r="Q5495">
        <v>0</v>
      </c>
      <c r="R5495" t="s">
        <v>47308</v>
      </c>
      <c r="S5495" t="s">
        <v>47429</v>
      </c>
      <c r="T5495" t="s">
        <v>49075</v>
      </c>
      <c r="U5495" t="s">
        <v>54140</v>
      </c>
      <c r="W5495" t="s">
        <v>44954</v>
      </c>
      <c r="X5495" t="s">
        <v>47311</v>
      </c>
    </row>
    <row r="5496" spans="1:24">
      <c r="A5496">
        <f>HYPERLINK("https://www.philgeps.gov.ph/GEPSNONPILOT/Tender/SplashBidNoticeAbstractUI.aspx?menuIndex=3&amp;refID=7193480&amp;Result=3","7193480")</f>
        <v>0</v>
      </c>
      <c r="B5496" t="s">
        <v>256</v>
      </c>
      <c r="C5496" t="s">
        <v>9008</v>
      </c>
      <c r="E5496" t="s">
        <v>23956</v>
      </c>
      <c r="F5496" t="s">
        <v>32606</v>
      </c>
      <c r="G5496" t="s">
        <v>32614</v>
      </c>
      <c r="H5496" t="s">
        <v>14201</v>
      </c>
      <c r="I5496" t="s">
        <v>9008</v>
      </c>
      <c r="J5496" t="s">
        <v>36345</v>
      </c>
      <c r="K5496" t="s">
        <v>42622</v>
      </c>
      <c r="M5496" t="s">
        <v>43157</v>
      </c>
      <c r="N5496" t="s">
        <v>47304</v>
      </c>
      <c r="O5496" t="s">
        <v>47305</v>
      </c>
      <c r="P5496">
        <v>0</v>
      </c>
      <c r="Q5496">
        <v>0</v>
      </c>
      <c r="R5496" t="s">
        <v>47308</v>
      </c>
      <c r="S5496" t="s">
        <v>47429</v>
      </c>
      <c r="T5496" t="s">
        <v>49257</v>
      </c>
      <c r="U5496" t="s">
        <v>54156</v>
      </c>
      <c r="W5496" t="s">
        <v>43157</v>
      </c>
      <c r="X5496" t="s">
        <v>47311</v>
      </c>
    </row>
    <row r="5497" spans="1:24">
      <c r="A5497">
        <f>HYPERLINK("https://www.philgeps.gov.ph/GEPSNONPILOT/Tender/SplashBidNoticeAbstractUI.aspx?menuIndex=3&amp;refID=7193378&amp;Result=3","7193378")</f>
        <v>0</v>
      </c>
      <c r="B5497" t="s">
        <v>1881</v>
      </c>
      <c r="C5497" t="s">
        <v>9009</v>
      </c>
      <c r="D5497" t="s">
        <v>18997</v>
      </c>
      <c r="E5497" t="s">
        <v>23957</v>
      </c>
      <c r="F5497" t="s">
        <v>32606</v>
      </c>
      <c r="G5497" t="s">
        <v>32613</v>
      </c>
      <c r="H5497" t="s">
        <v>14201</v>
      </c>
      <c r="I5497" t="s">
        <v>7677</v>
      </c>
      <c r="J5497" t="s">
        <v>36346</v>
      </c>
      <c r="K5497" t="s">
        <v>42622</v>
      </c>
      <c r="M5497" t="s">
        <v>44939</v>
      </c>
      <c r="N5497" t="s">
        <v>47304</v>
      </c>
      <c r="O5497" t="s">
        <v>47305</v>
      </c>
      <c r="P5497">
        <v>0</v>
      </c>
      <c r="Q5497">
        <v>0</v>
      </c>
      <c r="R5497" t="s">
        <v>47308</v>
      </c>
      <c r="S5497" t="s">
        <v>47429</v>
      </c>
      <c r="T5497" t="s">
        <v>49032</v>
      </c>
      <c r="U5497" t="s">
        <v>54081</v>
      </c>
      <c r="V5497" t="s">
        <v>63157</v>
      </c>
      <c r="W5497" t="s">
        <v>44939</v>
      </c>
      <c r="X5497" t="s">
        <v>47311</v>
      </c>
    </row>
    <row r="5498" spans="1:24">
      <c r="A5498">
        <f>HYPERLINK("https://www.philgeps.gov.ph/GEPSNONPILOT/Tender/SplashBidNoticeAbstractUI.aspx?menuIndex=3&amp;refID=7193467&amp;Result=3","7193467")</f>
        <v>0</v>
      </c>
      <c r="B5498" t="s">
        <v>256</v>
      </c>
      <c r="C5498" t="s">
        <v>9010</v>
      </c>
      <c r="E5498" t="s">
        <v>23958</v>
      </c>
      <c r="F5498" t="s">
        <v>32606</v>
      </c>
      <c r="G5498" t="s">
        <v>32614</v>
      </c>
      <c r="H5498" t="s">
        <v>14201</v>
      </c>
      <c r="I5498" t="s">
        <v>32631</v>
      </c>
      <c r="J5498" t="s">
        <v>36347</v>
      </c>
      <c r="K5498" t="s">
        <v>42622</v>
      </c>
      <c r="M5498" t="s">
        <v>43157</v>
      </c>
      <c r="N5498" t="s">
        <v>47304</v>
      </c>
      <c r="O5498" t="s">
        <v>47305</v>
      </c>
      <c r="P5498">
        <v>0</v>
      </c>
      <c r="Q5498">
        <v>0</v>
      </c>
      <c r="R5498" t="s">
        <v>47308</v>
      </c>
      <c r="S5498" t="s">
        <v>47429</v>
      </c>
      <c r="T5498" t="s">
        <v>49257</v>
      </c>
      <c r="U5498" t="s">
        <v>54157</v>
      </c>
      <c r="W5498" t="s">
        <v>43157</v>
      </c>
      <c r="X5498" t="s">
        <v>47311</v>
      </c>
    </row>
    <row r="5499" spans="1:24">
      <c r="A5499">
        <f>HYPERLINK("https://www.philgeps.gov.ph/GEPSNONPILOT/Tender/SplashBidNoticeAbstractUI.aspx?menuIndex=3&amp;refID=7193581&amp;Result=3","7193581")</f>
        <v>0</v>
      </c>
      <c r="B5499" t="s">
        <v>1898</v>
      </c>
      <c r="C5499" t="s">
        <v>9011</v>
      </c>
      <c r="D5499" t="s">
        <v>18999</v>
      </c>
      <c r="E5499" t="s">
        <v>23959</v>
      </c>
      <c r="F5499" t="s">
        <v>32606</v>
      </c>
      <c r="G5499" t="s">
        <v>32617</v>
      </c>
      <c r="H5499" t="s">
        <v>14201</v>
      </c>
      <c r="I5499" t="s">
        <v>4120</v>
      </c>
      <c r="J5499" t="s">
        <v>36348</v>
      </c>
      <c r="K5499" t="s">
        <v>42622</v>
      </c>
      <c r="M5499" t="s">
        <v>44957</v>
      </c>
      <c r="N5499" t="s">
        <v>47304</v>
      </c>
      <c r="O5499" t="s">
        <v>47305</v>
      </c>
      <c r="P5499">
        <v>0</v>
      </c>
      <c r="Q5499">
        <v>10</v>
      </c>
      <c r="R5499" t="s">
        <v>47308</v>
      </c>
      <c r="S5499" t="s">
        <v>47429</v>
      </c>
      <c r="T5499" t="s">
        <v>48998</v>
      </c>
      <c r="U5499" t="s">
        <v>54158</v>
      </c>
      <c r="W5499" t="s">
        <v>44957</v>
      </c>
      <c r="X5499" t="s">
        <v>47311</v>
      </c>
    </row>
    <row r="5500" spans="1:24">
      <c r="A5500">
        <f>HYPERLINK("https://www.philgeps.gov.ph/GEPSNONPILOT/Tender/SplashBidNoticeAbstractUI.aspx?menuIndex=3&amp;refID=7193535&amp;Result=3","7193535")</f>
        <v>0</v>
      </c>
      <c r="B5500" t="s">
        <v>1190</v>
      </c>
      <c r="C5500" t="s">
        <v>9012</v>
      </c>
      <c r="D5500" t="s">
        <v>19040</v>
      </c>
      <c r="E5500" t="s">
        <v>23960</v>
      </c>
      <c r="F5500" t="s">
        <v>32606</v>
      </c>
      <c r="G5500" t="s">
        <v>32614</v>
      </c>
      <c r="H5500" t="s">
        <v>14201</v>
      </c>
      <c r="I5500" t="s">
        <v>32669</v>
      </c>
      <c r="J5500" t="s">
        <v>36349</v>
      </c>
      <c r="K5500" t="s">
        <v>42624</v>
      </c>
      <c r="M5500" t="s">
        <v>44154</v>
      </c>
      <c r="N5500" t="s">
        <v>47304</v>
      </c>
      <c r="O5500" t="s">
        <v>47305</v>
      </c>
      <c r="P5500">
        <v>0</v>
      </c>
      <c r="Q5500">
        <v>4</v>
      </c>
      <c r="R5500" t="s">
        <v>47308</v>
      </c>
      <c r="S5500" t="s">
        <v>47429</v>
      </c>
      <c r="T5500" t="s">
        <v>49047</v>
      </c>
      <c r="U5500" t="s">
        <v>54159</v>
      </c>
      <c r="W5500" t="s">
        <v>44154</v>
      </c>
      <c r="X5500" t="s">
        <v>47311</v>
      </c>
    </row>
    <row r="5501" spans="1:24">
      <c r="A5501">
        <f>HYPERLINK("https://www.philgeps.gov.ph/GEPSNONPILOT/Tender/SplashBidNoticeAbstractUI.aspx?menuIndex=3&amp;refID=7193508&amp;Result=3","7193508")</f>
        <v>0</v>
      </c>
      <c r="B5501" t="s">
        <v>256</v>
      </c>
      <c r="C5501" t="s">
        <v>9013</v>
      </c>
      <c r="E5501" t="s">
        <v>23961</v>
      </c>
      <c r="F5501" t="s">
        <v>32606</v>
      </c>
      <c r="G5501" t="s">
        <v>32614</v>
      </c>
      <c r="H5501" t="s">
        <v>14201</v>
      </c>
      <c r="I5501" t="s">
        <v>9013</v>
      </c>
      <c r="J5501" t="s">
        <v>36350</v>
      </c>
      <c r="K5501" t="s">
        <v>42622</v>
      </c>
      <c r="M5501" t="s">
        <v>43157</v>
      </c>
      <c r="N5501" t="s">
        <v>47304</v>
      </c>
      <c r="O5501" t="s">
        <v>47305</v>
      </c>
      <c r="P5501">
        <v>0</v>
      </c>
      <c r="Q5501">
        <v>1</v>
      </c>
      <c r="R5501" t="s">
        <v>47308</v>
      </c>
      <c r="S5501" t="s">
        <v>47429</v>
      </c>
      <c r="T5501" t="s">
        <v>49257</v>
      </c>
      <c r="U5501" t="s">
        <v>54160</v>
      </c>
      <c r="W5501" t="s">
        <v>43157</v>
      </c>
      <c r="X5501" t="s">
        <v>47311</v>
      </c>
    </row>
    <row r="5502" spans="1:24">
      <c r="A5502">
        <f>HYPERLINK("https://www.philgeps.gov.ph/GEPSNONPILOT/Tender/SplashBidNoticeAbstractUI.aspx?menuIndex=3&amp;refID=7193506&amp;Result=3","7193506")</f>
        <v>0</v>
      </c>
      <c r="B5502" t="s">
        <v>1895</v>
      </c>
      <c r="C5502" t="s">
        <v>9014</v>
      </c>
      <c r="D5502" t="s">
        <v>19034</v>
      </c>
      <c r="E5502" t="s">
        <v>23962</v>
      </c>
      <c r="F5502" t="s">
        <v>32606</v>
      </c>
      <c r="G5502" t="s">
        <v>32613</v>
      </c>
      <c r="H5502" t="s">
        <v>14201</v>
      </c>
      <c r="I5502" t="s">
        <v>6931</v>
      </c>
      <c r="J5502" t="s">
        <v>36351</v>
      </c>
      <c r="K5502" t="s">
        <v>42648</v>
      </c>
      <c r="M5502" t="s">
        <v>44954</v>
      </c>
      <c r="N5502" t="s">
        <v>47304</v>
      </c>
      <c r="O5502" t="s">
        <v>47305</v>
      </c>
      <c r="P5502">
        <v>0</v>
      </c>
      <c r="Q5502">
        <v>0</v>
      </c>
      <c r="R5502" t="s">
        <v>47308</v>
      </c>
      <c r="S5502" t="s">
        <v>47429</v>
      </c>
      <c r="T5502" t="s">
        <v>49075</v>
      </c>
      <c r="U5502" t="s">
        <v>54140</v>
      </c>
      <c r="W5502" t="s">
        <v>44954</v>
      </c>
      <c r="X5502" t="s">
        <v>47311</v>
      </c>
    </row>
    <row r="5503" spans="1:24">
      <c r="A5503">
        <f>HYPERLINK("https://www.philgeps.gov.ph/GEPSNONPILOT/Tender/SplashBidNoticeAbstractUI.aspx?menuIndex=3&amp;refID=7193599&amp;Result=3","7193599")</f>
        <v>0</v>
      </c>
      <c r="B5503" t="s">
        <v>1899</v>
      </c>
      <c r="C5503" t="s">
        <v>9015</v>
      </c>
      <c r="D5503" t="s">
        <v>19041</v>
      </c>
      <c r="E5503" t="s">
        <v>23963</v>
      </c>
      <c r="F5503" t="s">
        <v>32606</v>
      </c>
      <c r="G5503" t="s">
        <v>32613</v>
      </c>
      <c r="H5503" t="s">
        <v>32623</v>
      </c>
      <c r="I5503" t="s">
        <v>17648</v>
      </c>
      <c r="J5503" t="s">
        <v>36352</v>
      </c>
      <c r="K5503" t="s">
        <v>42636</v>
      </c>
      <c r="M5503" t="s">
        <v>44958</v>
      </c>
      <c r="N5503" t="s">
        <v>47304</v>
      </c>
      <c r="O5503" t="s">
        <v>47305</v>
      </c>
      <c r="P5503">
        <v>0</v>
      </c>
      <c r="Q5503">
        <v>0</v>
      </c>
      <c r="R5503" t="s">
        <v>47308</v>
      </c>
      <c r="S5503" t="s">
        <v>47429</v>
      </c>
      <c r="T5503" t="s">
        <v>49008</v>
      </c>
      <c r="U5503" t="s">
        <v>54161</v>
      </c>
      <c r="W5503" t="s">
        <v>44958</v>
      </c>
      <c r="X5503" t="s">
        <v>47311</v>
      </c>
    </row>
    <row r="5504" spans="1:24">
      <c r="A5504">
        <f>HYPERLINK("https://www.philgeps.gov.ph/GEPSNONPILOT/Tender/SplashBidNoticeAbstractUI.aspx?menuIndex=3&amp;refID=7193396&amp;Result=3","7193396")</f>
        <v>0</v>
      </c>
      <c r="B5504" t="s">
        <v>1900</v>
      </c>
      <c r="C5504" t="s">
        <v>9016</v>
      </c>
      <c r="D5504" t="s">
        <v>19004</v>
      </c>
      <c r="E5504" t="s">
        <v>19316</v>
      </c>
      <c r="F5504" t="s">
        <v>32606</v>
      </c>
      <c r="G5504" t="s">
        <v>32614</v>
      </c>
      <c r="H5504" t="s">
        <v>14201</v>
      </c>
      <c r="I5504" t="s">
        <v>32658</v>
      </c>
      <c r="J5504" t="s">
        <v>35421</v>
      </c>
      <c r="K5504" t="s">
        <v>42632</v>
      </c>
      <c r="L5504" t="s">
        <v>1900</v>
      </c>
      <c r="M5504" t="s">
        <v>44959</v>
      </c>
      <c r="N5504" t="s">
        <v>47304</v>
      </c>
      <c r="O5504" t="s">
        <v>47305</v>
      </c>
      <c r="P5504">
        <v>0</v>
      </c>
      <c r="Q5504">
        <v>4</v>
      </c>
      <c r="R5504" t="s">
        <v>47308</v>
      </c>
      <c r="S5504" t="s">
        <v>47429</v>
      </c>
      <c r="T5504" t="s">
        <v>49072</v>
      </c>
      <c r="U5504" t="s">
        <v>54162</v>
      </c>
      <c r="W5504" t="s">
        <v>44959</v>
      </c>
      <c r="X5504" t="s">
        <v>47311</v>
      </c>
    </row>
    <row r="5505" spans="1:24">
      <c r="A5505">
        <f>HYPERLINK("https://www.philgeps.gov.ph/GEPSNONPILOT/Tender/SplashBidNoticeAbstractUI.aspx?menuIndex=3&amp;refID=7193594&amp;Result=3","7193594")</f>
        <v>0</v>
      </c>
      <c r="B5505" t="s">
        <v>1899</v>
      </c>
      <c r="C5505" t="s">
        <v>9017</v>
      </c>
      <c r="D5505" t="s">
        <v>19041</v>
      </c>
      <c r="E5505" t="s">
        <v>23964</v>
      </c>
      <c r="F5505" t="s">
        <v>32606</v>
      </c>
      <c r="G5505" t="s">
        <v>32613</v>
      </c>
      <c r="H5505" t="s">
        <v>32623</v>
      </c>
      <c r="I5505" t="s">
        <v>17648</v>
      </c>
      <c r="J5505" t="s">
        <v>36353</v>
      </c>
      <c r="K5505" t="s">
        <v>42634</v>
      </c>
      <c r="M5505" t="s">
        <v>44958</v>
      </c>
      <c r="N5505" t="s">
        <v>47304</v>
      </c>
      <c r="O5505" t="s">
        <v>47305</v>
      </c>
      <c r="P5505">
        <v>0</v>
      </c>
      <c r="Q5505">
        <v>0</v>
      </c>
      <c r="R5505" t="s">
        <v>47308</v>
      </c>
      <c r="S5505" t="s">
        <v>47429</v>
      </c>
      <c r="T5505" t="s">
        <v>49008</v>
      </c>
      <c r="U5505" t="s">
        <v>54163</v>
      </c>
      <c r="W5505" t="s">
        <v>44958</v>
      </c>
      <c r="X5505" t="s">
        <v>47311</v>
      </c>
    </row>
    <row r="5506" spans="1:24">
      <c r="A5506">
        <f>HYPERLINK("https://www.philgeps.gov.ph/GEPSNONPILOT/Tender/SplashBidNoticeAbstractUI.aspx?menuIndex=3&amp;refID=7193444&amp;Result=3","7193444")</f>
        <v>0</v>
      </c>
      <c r="B5506" t="s">
        <v>1896</v>
      </c>
      <c r="C5506" t="s">
        <v>9018</v>
      </c>
      <c r="D5506" t="s">
        <v>19008</v>
      </c>
      <c r="E5506" t="s">
        <v>23965</v>
      </c>
      <c r="F5506" t="s">
        <v>32606</v>
      </c>
      <c r="G5506" t="s">
        <v>32619</v>
      </c>
      <c r="H5506" t="s">
        <v>14201</v>
      </c>
      <c r="I5506" t="s">
        <v>6298</v>
      </c>
      <c r="J5506" t="s">
        <v>32981</v>
      </c>
      <c r="K5506" t="s">
        <v>42638</v>
      </c>
      <c r="M5506" t="s">
        <v>44955</v>
      </c>
      <c r="N5506" t="s">
        <v>47304</v>
      </c>
      <c r="O5506" t="s">
        <v>47305</v>
      </c>
      <c r="P5506">
        <v>0</v>
      </c>
      <c r="Q5506">
        <v>1</v>
      </c>
      <c r="R5506" t="s">
        <v>47308</v>
      </c>
      <c r="S5506" t="s">
        <v>47429</v>
      </c>
      <c r="T5506" t="s">
        <v>49269</v>
      </c>
      <c r="U5506" t="s">
        <v>54164</v>
      </c>
      <c r="W5506" t="s">
        <v>44955</v>
      </c>
      <c r="X5506" t="s">
        <v>47311</v>
      </c>
    </row>
    <row r="5507" spans="1:24">
      <c r="A5507">
        <f>HYPERLINK("https://www.philgeps.gov.ph/GEPSNONPILOT/Tender/SplashBidNoticeAbstractUI.aspx?menuIndex=3&amp;refID=7193589&amp;Result=3","7193589")</f>
        <v>0</v>
      </c>
      <c r="B5507" t="s">
        <v>1899</v>
      </c>
      <c r="C5507" t="s">
        <v>9019</v>
      </c>
      <c r="D5507" t="s">
        <v>19041</v>
      </c>
      <c r="E5507" t="s">
        <v>23966</v>
      </c>
      <c r="F5507" t="s">
        <v>32606</v>
      </c>
      <c r="G5507" t="s">
        <v>32613</v>
      </c>
      <c r="H5507" t="s">
        <v>32623</v>
      </c>
      <c r="I5507" t="s">
        <v>17648</v>
      </c>
      <c r="J5507" t="s">
        <v>36354</v>
      </c>
      <c r="K5507" t="s">
        <v>42770</v>
      </c>
      <c r="M5507" t="s">
        <v>44958</v>
      </c>
      <c r="N5507" t="s">
        <v>47304</v>
      </c>
      <c r="O5507" t="s">
        <v>47305</v>
      </c>
      <c r="P5507">
        <v>0</v>
      </c>
      <c r="Q5507">
        <v>0</v>
      </c>
      <c r="R5507" t="s">
        <v>47308</v>
      </c>
      <c r="S5507" t="s">
        <v>47429</v>
      </c>
      <c r="T5507" t="s">
        <v>49008</v>
      </c>
      <c r="U5507" t="s">
        <v>54165</v>
      </c>
      <c r="W5507" t="s">
        <v>44958</v>
      </c>
      <c r="X5507" t="s">
        <v>47311</v>
      </c>
    </row>
    <row r="5508" spans="1:24">
      <c r="A5508">
        <f>HYPERLINK("https://www.philgeps.gov.ph/GEPSNONPILOT/Tender/SplashBidNoticeAbstractUI.aspx?menuIndex=3&amp;refID=7193525&amp;Result=3","7193525")</f>
        <v>0</v>
      </c>
      <c r="B5508" t="s">
        <v>256</v>
      </c>
      <c r="C5508" t="s">
        <v>9020</v>
      </c>
      <c r="E5508" t="s">
        <v>23967</v>
      </c>
      <c r="F5508" t="s">
        <v>32606</v>
      </c>
      <c r="G5508" t="s">
        <v>32614</v>
      </c>
      <c r="H5508" t="s">
        <v>14201</v>
      </c>
      <c r="I5508" t="s">
        <v>32652</v>
      </c>
      <c r="J5508" t="s">
        <v>33569</v>
      </c>
      <c r="K5508" t="s">
        <v>42632</v>
      </c>
      <c r="M5508" t="s">
        <v>43157</v>
      </c>
      <c r="N5508" t="s">
        <v>47304</v>
      </c>
      <c r="O5508" t="s">
        <v>47305</v>
      </c>
      <c r="P5508">
        <v>0</v>
      </c>
      <c r="Q5508">
        <v>0</v>
      </c>
      <c r="R5508" t="s">
        <v>47308</v>
      </c>
      <c r="S5508" t="s">
        <v>47429</v>
      </c>
      <c r="T5508" t="s">
        <v>49257</v>
      </c>
      <c r="U5508" t="s">
        <v>54166</v>
      </c>
      <c r="W5508" t="s">
        <v>43157</v>
      </c>
      <c r="X5508" t="s">
        <v>47311</v>
      </c>
    </row>
    <row r="5509" spans="1:24">
      <c r="A5509">
        <f>HYPERLINK("https://www.philgeps.gov.ph/GEPSNONPILOT/Tender/SplashBidNoticeAbstractUI.aspx?menuIndex=3&amp;refID=7193587&amp;Result=3","7193587")</f>
        <v>0</v>
      </c>
      <c r="B5509" t="s">
        <v>1898</v>
      </c>
      <c r="C5509" t="s">
        <v>9021</v>
      </c>
      <c r="D5509" t="s">
        <v>18999</v>
      </c>
      <c r="E5509" t="s">
        <v>23968</v>
      </c>
      <c r="F5509" t="s">
        <v>32606</v>
      </c>
      <c r="G5509" t="s">
        <v>32617</v>
      </c>
      <c r="H5509" t="s">
        <v>14201</v>
      </c>
      <c r="I5509" t="s">
        <v>6014</v>
      </c>
      <c r="J5509" t="s">
        <v>36355</v>
      </c>
      <c r="K5509" t="s">
        <v>42622</v>
      </c>
      <c r="M5509" t="s">
        <v>44957</v>
      </c>
      <c r="N5509" t="s">
        <v>47304</v>
      </c>
      <c r="O5509" t="s">
        <v>47305</v>
      </c>
      <c r="P5509">
        <v>0</v>
      </c>
      <c r="Q5509">
        <v>10</v>
      </c>
      <c r="R5509" t="s">
        <v>47308</v>
      </c>
      <c r="S5509" t="s">
        <v>47429</v>
      </c>
      <c r="T5509" t="s">
        <v>48998</v>
      </c>
      <c r="U5509" t="s">
        <v>54167</v>
      </c>
      <c r="W5509" t="s">
        <v>44957</v>
      </c>
      <c r="X5509" t="s">
        <v>47311</v>
      </c>
    </row>
    <row r="5510" spans="1:24">
      <c r="A5510">
        <f>HYPERLINK("https://www.philgeps.gov.ph/GEPSNONPILOT/Tender/SplashBidNoticeAbstractUI.aspx?menuIndex=3&amp;refID=7193585&amp;Result=3","7193585")</f>
        <v>0</v>
      </c>
      <c r="B5510" t="s">
        <v>1899</v>
      </c>
      <c r="C5510" t="s">
        <v>9022</v>
      </c>
      <c r="D5510" t="s">
        <v>19041</v>
      </c>
      <c r="E5510" t="s">
        <v>23969</v>
      </c>
      <c r="F5510" t="s">
        <v>32606</v>
      </c>
      <c r="G5510" t="s">
        <v>32613</v>
      </c>
      <c r="H5510" t="s">
        <v>32623</v>
      </c>
      <c r="I5510" t="s">
        <v>17648</v>
      </c>
      <c r="J5510" t="s">
        <v>36356</v>
      </c>
      <c r="K5510" t="s">
        <v>42771</v>
      </c>
      <c r="M5510" t="s">
        <v>44958</v>
      </c>
      <c r="N5510" t="s">
        <v>47304</v>
      </c>
      <c r="O5510" t="s">
        <v>47305</v>
      </c>
      <c r="P5510">
        <v>0</v>
      </c>
      <c r="Q5510">
        <v>0</v>
      </c>
      <c r="R5510" t="s">
        <v>47308</v>
      </c>
      <c r="S5510" t="s">
        <v>47429</v>
      </c>
      <c r="T5510" t="s">
        <v>49008</v>
      </c>
      <c r="U5510" t="s">
        <v>54168</v>
      </c>
      <c r="W5510" t="s">
        <v>44958</v>
      </c>
      <c r="X5510" t="s">
        <v>47311</v>
      </c>
    </row>
    <row r="5511" spans="1:24">
      <c r="A5511">
        <f>HYPERLINK("https://www.philgeps.gov.ph/GEPSNONPILOT/Tender/SplashBidNoticeAbstractUI.aspx?menuIndex=3&amp;refID=7193583&amp;Result=3","7193583")</f>
        <v>0</v>
      </c>
      <c r="B5511" t="s">
        <v>1898</v>
      </c>
      <c r="C5511" t="s">
        <v>9023</v>
      </c>
      <c r="D5511" t="s">
        <v>18999</v>
      </c>
      <c r="E5511" t="s">
        <v>23970</v>
      </c>
      <c r="F5511" t="s">
        <v>32606</v>
      </c>
      <c r="G5511" t="s">
        <v>32617</v>
      </c>
      <c r="H5511" t="s">
        <v>14201</v>
      </c>
      <c r="I5511" t="s">
        <v>4114</v>
      </c>
      <c r="J5511" t="s">
        <v>36357</v>
      </c>
      <c r="K5511" t="s">
        <v>42622</v>
      </c>
      <c r="M5511" t="s">
        <v>44957</v>
      </c>
      <c r="N5511" t="s">
        <v>47304</v>
      </c>
      <c r="O5511" t="s">
        <v>47305</v>
      </c>
      <c r="P5511">
        <v>0</v>
      </c>
      <c r="Q5511">
        <v>12</v>
      </c>
      <c r="R5511" t="s">
        <v>47308</v>
      </c>
      <c r="S5511" t="s">
        <v>47429</v>
      </c>
      <c r="T5511" t="s">
        <v>48998</v>
      </c>
      <c r="U5511" t="s">
        <v>54169</v>
      </c>
      <c r="W5511" t="s">
        <v>44957</v>
      </c>
      <c r="X5511" t="s">
        <v>47311</v>
      </c>
    </row>
    <row r="5512" spans="1:24">
      <c r="A5512">
        <f>HYPERLINK("https://www.philgeps.gov.ph/GEPSNONPILOT/Tender/SplashBidNoticeAbstractUI.aspx?menuIndex=3&amp;refID=7193582&amp;Result=3","7193582")</f>
        <v>0</v>
      </c>
      <c r="B5512" t="s">
        <v>1899</v>
      </c>
      <c r="C5512" t="s">
        <v>9024</v>
      </c>
      <c r="D5512" t="s">
        <v>19041</v>
      </c>
      <c r="E5512" t="s">
        <v>23971</v>
      </c>
      <c r="F5512" t="s">
        <v>32606</v>
      </c>
      <c r="G5512" t="s">
        <v>32613</v>
      </c>
      <c r="H5512" t="s">
        <v>32623</v>
      </c>
      <c r="I5512" t="s">
        <v>17648</v>
      </c>
      <c r="J5512" t="s">
        <v>36358</v>
      </c>
      <c r="K5512" t="s">
        <v>42770</v>
      </c>
      <c r="M5512" t="s">
        <v>44958</v>
      </c>
      <c r="N5512" t="s">
        <v>47304</v>
      </c>
      <c r="O5512" t="s">
        <v>47305</v>
      </c>
      <c r="P5512">
        <v>0</v>
      </c>
      <c r="Q5512">
        <v>0</v>
      </c>
      <c r="R5512" t="s">
        <v>47308</v>
      </c>
      <c r="S5512" t="s">
        <v>47429</v>
      </c>
      <c r="T5512" t="s">
        <v>49008</v>
      </c>
      <c r="U5512" t="s">
        <v>54170</v>
      </c>
      <c r="W5512" t="s">
        <v>44958</v>
      </c>
      <c r="X5512" t="s">
        <v>47311</v>
      </c>
    </row>
    <row r="5513" spans="1:24">
      <c r="A5513">
        <f>HYPERLINK("https://www.philgeps.gov.ph/GEPSNONPILOT/Tender/SplashBidNoticeAbstractUI.aspx?menuIndex=3&amp;refID=7193500&amp;Result=3","7193500")</f>
        <v>0</v>
      </c>
      <c r="B5513" t="s">
        <v>1901</v>
      </c>
      <c r="C5513" t="s">
        <v>9025</v>
      </c>
      <c r="D5513" t="s">
        <v>19035</v>
      </c>
      <c r="E5513" t="s">
        <v>23972</v>
      </c>
      <c r="F5513" t="s">
        <v>32606</v>
      </c>
      <c r="G5513" t="s">
        <v>32617</v>
      </c>
      <c r="H5513" t="s">
        <v>14201</v>
      </c>
      <c r="I5513" t="s">
        <v>4114</v>
      </c>
      <c r="J5513" t="s">
        <v>36359</v>
      </c>
      <c r="K5513" t="s">
        <v>42632</v>
      </c>
      <c r="M5513" t="s">
        <v>44960</v>
      </c>
      <c r="N5513" t="s">
        <v>47304</v>
      </c>
      <c r="O5513" t="s">
        <v>47305</v>
      </c>
      <c r="P5513">
        <v>0</v>
      </c>
      <c r="Q5513">
        <v>3</v>
      </c>
      <c r="R5513" t="s">
        <v>47308</v>
      </c>
      <c r="S5513" t="s">
        <v>47429</v>
      </c>
      <c r="T5513" t="s">
        <v>49053</v>
      </c>
      <c r="U5513" t="s">
        <v>54171</v>
      </c>
      <c r="W5513" t="s">
        <v>44960</v>
      </c>
      <c r="X5513" t="s">
        <v>47311</v>
      </c>
    </row>
    <row r="5514" spans="1:24">
      <c r="A5514">
        <f>HYPERLINK("https://www.philgeps.gov.ph/GEPSNONPILOT/Tender/SplashBidNoticeAbstractUI.aspx?menuIndex=3&amp;refID=7193492&amp;Result=3","7193492")</f>
        <v>0</v>
      </c>
      <c r="B5514" t="s">
        <v>1895</v>
      </c>
      <c r="C5514" t="s">
        <v>9026</v>
      </c>
      <c r="D5514" t="s">
        <v>19034</v>
      </c>
      <c r="E5514" t="s">
        <v>23973</v>
      </c>
      <c r="F5514" t="s">
        <v>32606</v>
      </c>
      <c r="G5514" t="s">
        <v>32613</v>
      </c>
      <c r="H5514" t="s">
        <v>14201</v>
      </c>
      <c r="I5514" t="s">
        <v>32629</v>
      </c>
      <c r="J5514" t="s">
        <v>36360</v>
      </c>
      <c r="K5514" t="s">
        <v>42648</v>
      </c>
      <c r="M5514" t="s">
        <v>44954</v>
      </c>
      <c r="N5514" t="s">
        <v>47304</v>
      </c>
      <c r="O5514" t="s">
        <v>47305</v>
      </c>
      <c r="P5514">
        <v>0</v>
      </c>
      <c r="Q5514">
        <v>0</v>
      </c>
      <c r="R5514" t="s">
        <v>47308</v>
      </c>
      <c r="S5514" t="s">
        <v>47429</v>
      </c>
      <c r="T5514" t="s">
        <v>49075</v>
      </c>
      <c r="U5514" t="s">
        <v>54140</v>
      </c>
      <c r="W5514" t="s">
        <v>44954</v>
      </c>
      <c r="X5514" t="s">
        <v>47311</v>
      </c>
    </row>
    <row r="5515" spans="1:24">
      <c r="A5515">
        <f>HYPERLINK("https://www.philgeps.gov.ph/GEPSNONPILOT/Tender/SplashBidNoticeAbstractUI.aspx?menuIndex=3&amp;refID=7193507&amp;Result=3","7193507")</f>
        <v>0</v>
      </c>
      <c r="B5515" t="s">
        <v>1902</v>
      </c>
      <c r="C5515" t="s">
        <v>9027</v>
      </c>
      <c r="D5515" t="s">
        <v>19049</v>
      </c>
      <c r="E5515" t="s">
        <v>23974</v>
      </c>
      <c r="F5515" t="s">
        <v>32606</v>
      </c>
      <c r="G5515" t="s">
        <v>32613</v>
      </c>
      <c r="H5515" t="s">
        <v>14201</v>
      </c>
      <c r="I5515" t="s">
        <v>4678</v>
      </c>
      <c r="J5515" t="s">
        <v>36361</v>
      </c>
      <c r="K5515" t="s">
        <v>42636</v>
      </c>
      <c r="M5515" t="s">
        <v>44961</v>
      </c>
      <c r="N5515" t="s">
        <v>47304</v>
      </c>
      <c r="O5515" t="s">
        <v>47305</v>
      </c>
      <c r="P5515">
        <v>0</v>
      </c>
      <c r="Q5515">
        <v>0</v>
      </c>
      <c r="R5515" t="s">
        <v>47308</v>
      </c>
      <c r="S5515" t="s">
        <v>47429</v>
      </c>
      <c r="T5515" t="s">
        <v>49169</v>
      </c>
      <c r="U5515" t="s">
        <v>54172</v>
      </c>
      <c r="W5515" t="s">
        <v>44961</v>
      </c>
      <c r="X5515" t="s">
        <v>47311</v>
      </c>
    </row>
    <row r="5516" spans="1:24">
      <c r="A5516">
        <f>HYPERLINK("https://www.philgeps.gov.ph/GEPSNONPILOT/Tender/SplashBidNoticeAbstractUI.aspx?menuIndex=3&amp;refID=7193603&amp;Result=3","7193603")</f>
        <v>0</v>
      </c>
      <c r="B5516" t="s">
        <v>1899</v>
      </c>
      <c r="C5516" t="s">
        <v>9028</v>
      </c>
      <c r="D5516" t="s">
        <v>19041</v>
      </c>
      <c r="E5516" t="s">
        <v>23975</v>
      </c>
      <c r="F5516" t="s">
        <v>32606</v>
      </c>
      <c r="G5516" t="s">
        <v>32613</v>
      </c>
      <c r="H5516" t="s">
        <v>32623</v>
      </c>
      <c r="I5516" t="s">
        <v>17648</v>
      </c>
      <c r="J5516" t="s">
        <v>36362</v>
      </c>
      <c r="K5516" t="s">
        <v>42770</v>
      </c>
      <c r="M5516" t="s">
        <v>44958</v>
      </c>
      <c r="N5516" t="s">
        <v>47304</v>
      </c>
      <c r="O5516" t="s">
        <v>47305</v>
      </c>
      <c r="P5516">
        <v>0</v>
      </c>
      <c r="Q5516">
        <v>0</v>
      </c>
      <c r="R5516" t="s">
        <v>47308</v>
      </c>
      <c r="S5516" t="s">
        <v>47429</v>
      </c>
      <c r="T5516" t="s">
        <v>49008</v>
      </c>
      <c r="U5516" t="s">
        <v>54173</v>
      </c>
      <c r="W5516" t="s">
        <v>44958</v>
      </c>
      <c r="X5516" t="s">
        <v>47311</v>
      </c>
    </row>
    <row r="5517" spans="1:24">
      <c r="A5517">
        <f>HYPERLINK("https://www.philgeps.gov.ph/GEPSNONPILOT/Tender/SplashBidNoticeAbstractUI.aspx?menuIndex=3&amp;refID=7193481&amp;Result=3","7193481")</f>
        <v>0</v>
      </c>
      <c r="B5517" t="s">
        <v>1025</v>
      </c>
      <c r="C5517" t="s">
        <v>9029</v>
      </c>
      <c r="D5517" t="s">
        <v>19035</v>
      </c>
      <c r="E5517" t="s">
        <v>23976</v>
      </c>
      <c r="F5517" t="s">
        <v>32606</v>
      </c>
      <c r="G5517" t="s">
        <v>32613</v>
      </c>
      <c r="H5517" t="s">
        <v>14201</v>
      </c>
      <c r="I5517" t="s">
        <v>32634</v>
      </c>
      <c r="J5517" t="s">
        <v>34240</v>
      </c>
      <c r="K5517" t="s">
        <v>42623</v>
      </c>
      <c r="L5517" t="s">
        <v>1025</v>
      </c>
      <c r="M5517" t="s">
        <v>43977</v>
      </c>
      <c r="N5517" t="s">
        <v>47304</v>
      </c>
      <c r="O5517" t="s">
        <v>47305</v>
      </c>
      <c r="P5517">
        <v>0</v>
      </c>
      <c r="Q5517">
        <v>3</v>
      </c>
      <c r="R5517" t="s">
        <v>47308</v>
      </c>
      <c r="S5517" t="s">
        <v>47429</v>
      </c>
      <c r="T5517" t="s">
        <v>48987</v>
      </c>
      <c r="U5517" t="s">
        <v>54174</v>
      </c>
      <c r="V5517" t="s">
        <v>63163</v>
      </c>
      <c r="W5517" t="s">
        <v>43977</v>
      </c>
      <c r="X5517" t="s">
        <v>47311</v>
      </c>
    </row>
    <row r="5518" spans="1:24">
      <c r="A5518">
        <f>HYPERLINK("https://www.philgeps.gov.ph/GEPSNONPILOT/Tender/SplashBidNoticeAbstractUI.aspx?menuIndex=3&amp;refID=7193464&amp;Result=3","7193464")</f>
        <v>0</v>
      </c>
      <c r="B5518" t="s">
        <v>1896</v>
      </c>
      <c r="C5518" t="s">
        <v>9030</v>
      </c>
      <c r="D5518" t="s">
        <v>19008</v>
      </c>
      <c r="E5518" t="s">
        <v>23977</v>
      </c>
      <c r="F5518" t="s">
        <v>32606</v>
      </c>
      <c r="G5518" t="s">
        <v>32619</v>
      </c>
      <c r="H5518" t="s">
        <v>14201</v>
      </c>
      <c r="I5518" t="s">
        <v>4114</v>
      </c>
      <c r="J5518" t="s">
        <v>36363</v>
      </c>
      <c r="K5518" t="s">
        <v>42638</v>
      </c>
      <c r="M5518" t="s">
        <v>44955</v>
      </c>
      <c r="N5518" t="s">
        <v>47304</v>
      </c>
      <c r="O5518" t="s">
        <v>47305</v>
      </c>
      <c r="P5518">
        <v>0</v>
      </c>
      <c r="Q5518">
        <v>2</v>
      </c>
      <c r="R5518" t="s">
        <v>47308</v>
      </c>
      <c r="S5518" t="s">
        <v>47429</v>
      </c>
      <c r="T5518" t="s">
        <v>49269</v>
      </c>
      <c r="U5518" t="s">
        <v>54175</v>
      </c>
      <c r="W5518" t="s">
        <v>44955</v>
      </c>
      <c r="X5518" t="s">
        <v>47311</v>
      </c>
    </row>
    <row r="5519" spans="1:24">
      <c r="A5519">
        <f>HYPERLINK("https://www.philgeps.gov.ph/GEPSNONPILOT/Tender/SplashBidNoticeAbstractUI.aspx?menuIndex=3&amp;refID=7193497&amp;Result=3","7193497")</f>
        <v>0</v>
      </c>
      <c r="B5519" t="s">
        <v>256</v>
      </c>
      <c r="C5519" t="s">
        <v>9031</v>
      </c>
      <c r="E5519" t="s">
        <v>23978</v>
      </c>
      <c r="F5519" t="s">
        <v>32606</v>
      </c>
      <c r="G5519" t="s">
        <v>32614</v>
      </c>
      <c r="H5519" t="s">
        <v>14201</v>
      </c>
      <c r="I5519" t="s">
        <v>13131</v>
      </c>
      <c r="J5519" t="s">
        <v>36364</v>
      </c>
      <c r="K5519" t="s">
        <v>42675</v>
      </c>
      <c r="M5519" t="s">
        <v>43157</v>
      </c>
      <c r="N5519" t="s">
        <v>47304</v>
      </c>
      <c r="O5519" t="s">
        <v>47305</v>
      </c>
      <c r="P5519">
        <v>0</v>
      </c>
      <c r="Q5519">
        <v>8</v>
      </c>
      <c r="R5519" t="s">
        <v>47308</v>
      </c>
      <c r="S5519" t="s">
        <v>47429</v>
      </c>
      <c r="T5519" t="s">
        <v>49257</v>
      </c>
      <c r="U5519" t="s">
        <v>54176</v>
      </c>
      <c r="W5519" t="s">
        <v>43157</v>
      </c>
      <c r="X5519" t="s">
        <v>47311</v>
      </c>
    </row>
    <row r="5520" spans="1:24">
      <c r="A5520">
        <f>HYPERLINK("https://www.philgeps.gov.ph/GEPSNONPILOT/Tender/SplashBidNoticeAbstractUI.aspx?menuIndex=3&amp;refID=7193592&amp;Result=3","7193592")</f>
        <v>0</v>
      </c>
      <c r="B5520" t="s">
        <v>1899</v>
      </c>
      <c r="C5520" t="s">
        <v>9032</v>
      </c>
      <c r="D5520" t="s">
        <v>19041</v>
      </c>
      <c r="E5520" t="s">
        <v>23979</v>
      </c>
      <c r="F5520" t="s">
        <v>32606</v>
      </c>
      <c r="G5520" t="s">
        <v>32613</v>
      </c>
      <c r="H5520" t="s">
        <v>32623</v>
      </c>
      <c r="I5520" t="s">
        <v>17648</v>
      </c>
      <c r="J5520" t="s">
        <v>36365</v>
      </c>
      <c r="K5520" t="s">
        <v>42772</v>
      </c>
      <c r="M5520" t="s">
        <v>44958</v>
      </c>
      <c r="N5520" t="s">
        <v>47304</v>
      </c>
      <c r="O5520" t="s">
        <v>47305</v>
      </c>
      <c r="P5520">
        <v>0</v>
      </c>
      <c r="Q5520">
        <v>0</v>
      </c>
      <c r="R5520" t="s">
        <v>47308</v>
      </c>
      <c r="S5520" t="s">
        <v>47429</v>
      </c>
      <c r="T5520" t="s">
        <v>49008</v>
      </c>
      <c r="U5520" t="s">
        <v>54177</v>
      </c>
      <c r="W5520" t="s">
        <v>44958</v>
      </c>
      <c r="X5520" t="s">
        <v>47311</v>
      </c>
    </row>
    <row r="5521" spans="1:24">
      <c r="A5521">
        <f>HYPERLINK("https://www.philgeps.gov.ph/GEPSNONPILOT/Tender/SplashBidNoticeAbstractUI.aspx?menuIndex=3&amp;refID=7193655&amp;Result=3","7193655")</f>
        <v>0</v>
      </c>
      <c r="B5521" t="s">
        <v>1899</v>
      </c>
      <c r="C5521" t="s">
        <v>9033</v>
      </c>
      <c r="D5521" t="s">
        <v>19041</v>
      </c>
      <c r="E5521" t="s">
        <v>23980</v>
      </c>
      <c r="F5521" t="s">
        <v>32606</v>
      </c>
      <c r="G5521" t="s">
        <v>32613</v>
      </c>
      <c r="H5521" t="s">
        <v>32623</v>
      </c>
      <c r="I5521" t="s">
        <v>17648</v>
      </c>
      <c r="J5521" t="s">
        <v>36366</v>
      </c>
      <c r="K5521" t="s">
        <v>42636</v>
      </c>
      <c r="M5521" t="s">
        <v>44958</v>
      </c>
      <c r="N5521" t="s">
        <v>47304</v>
      </c>
      <c r="O5521" t="s">
        <v>47305</v>
      </c>
      <c r="P5521">
        <v>0</v>
      </c>
      <c r="Q5521">
        <v>0</v>
      </c>
      <c r="R5521" t="s">
        <v>47308</v>
      </c>
      <c r="S5521" t="s">
        <v>47429</v>
      </c>
      <c r="T5521" t="s">
        <v>49008</v>
      </c>
      <c r="U5521" t="s">
        <v>54178</v>
      </c>
      <c r="W5521" t="s">
        <v>44958</v>
      </c>
      <c r="X5521" t="s">
        <v>47311</v>
      </c>
    </row>
    <row r="5522" spans="1:24">
      <c r="A5522">
        <f>HYPERLINK("https://www.philgeps.gov.ph/GEPSNONPILOT/Tender/SplashBidNoticeAbstractUI.aspx?menuIndex=3&amp;refID=7193648&amp;Result=3","7193648")</f>
        <v>0</v>
      </c>
      <c r="B5522" t="s">
        <v>1899</v>
      </c>
      <c r="C5522" t="s">
        <v>9034</v>
      </c>
      <c r="D5522" t="s">
        <v>19041</v>
      </c>
      <c r="E5522" t="s">
        <v>23981</v>
      </c>
      <c r="F5522" t="s">
        <v>32606</v>
      </c>
      <c r="G5522" t="s">
        <v>32613</v>
      </c>
      <c r="H5522" t="s">
        <v>32623</v>
      </c>
      <c r="I5522" t="s">
        <v>17648</v>
      </c>
      <c r="J5522" t="s">
        <v>36367</v>
      </c>
      <c r="K5522" t="s">
        <v>42636</v>
      </c>
      <c r="M5522" t="s">
        <v>44958</v>
      </c>
      <c r="N5522" t="s">
        <v>47304</v>
      </c>
      <c r="O5522" t="s">
        <v>47305</v>
      </c>
      <c r="P5522">
        <v>0</v>
      </c>
      <c r="Q5522">
        <v>0</v>
      </c>
      <c r="R5522" t="s">
        <v>47308</v>
      </c>
      <c r="S5522" t="s">
        <v>47429</v>
      </c>
      <c r="T5522" t="s">
        <v>49008</v>
      </c>
      <c r="U5522" t="s">
        <v>54179</v>
      </c>
      <c r="W5522" t="s">
        <v>44958</v>
      </c>
      <c r="X5522" t="s">
        <v>47311</v>
      </c>
    </row>
    <row r="5523" spans="1:24">
      <c r="A5523">
        <f>HYPERLINK("https://www.philgeps.gov.ph/GEPSNONPILOT/Tender/SplashBidNoticeAbstractUI.aspx?menuIndex=3&amp;refID=7193644&amp;Result=3","7193644")</f>
        <v>0</v>
      </c>
      <c r="B5523" t="s">
        <v>1899</v>
      </c>
      <c r="C5523" t="s">
        <v>9035</v>
      </c>
      <c r="D5523" t="s">
        <v>19041</v>
      </c>
      <c r="E5523" t="s">
        <v>23982</v>
      </c>
      <c r="F5523" t="s">
        <v>32606</v>
      </c>
      <c r="G5523" t="s">
        <v>32613</v>
      </c>
      <c r="H5523" t="s">
        <v>32623</v>
      </c>
      <c r="I5523" t="s">
        <v>17648</v>
      </c>
      <c r="J5523" t="s">
        <v>36368</v>
      </c>
      <c r="K5523" t="s">
        <v>42636</v>
      </c>
      <c r="M5523" t="s">
        <v>44958</v>
      </c>
      <c r="N5523" t="s">
        <v>47304</v>
      </c>
      <c r="O5523" t="s">
        <v>47305</v>
      </c>
      <c r="P5523">
        <v>0</v>
      </c>
      <c r="Q5523">
        <v>0</v>
      </c>
      <c r="R5523" t="s">
        <v>47308</v>
      </c>
      <c r="S5523" t="s">
        <v>47429</v>
      </c>
      <c r="T5523" t="s">
        <v>49008</v>
      </c>
      <c r="U5523" t="s">
        <v>54180</v>
      </c>
      <c r="W5523" t="s">
        <v>44958</v>
      </c>
      <c r="X5523" t="s">
        <v>47311</v>
      </c>
    </row>
    <row r="5524" spans="1:24">
      <c r="A5524">
        <f>HYPERLINK("https://www.philgeps.gov.ph/GEPSNONPILOT/Tender/SplashBidNoticeAbstractUI.aspx?menuIndex=3&amp;refID=7193638&amp;Result=3","7193638")</f>
        <v>0</v>
      </c>
      <c r="B5524" t="s">
        <v>1903</v>
      </c>
      <c r="C5524" t="s">
        <v>9036</v>
      </c>
      <c r="D5524" t="s">
        <v>18993</v>
      </c>
      <c r="E5524" t="s">
        <v>23983</v>
      </c>
      <c r="F5524" t="s">
        <v>32606</v>
      </c>
      <c r="G5524" t="s">
        <v>32613</v>
      </c>
      <c r="H5524" t="s">
        <v>14201</v>
      </c>
      <c r="I5524" t="s">
        <v>32656</v>
      </c>
      <c r="J5524" t="s">
        <v>36369</v>
      </c>
      <c r="K5524" t="s">
        <v>42631</v>
      </c>
      <c r="M5524" t="s">
        <v>44962</v>
      </c>
      <c r="N5524" t="s">
        <v>47304</v>
      </c>
      <c r="O5524" t="s">
        <v>47305</v>
      </c>
      <c r="P5524">
        <v>0</v>
      </c>
      <c r="Q5524">
        <v>5</v>
      </c>
      <c r="R5524" t="s">
        <v>47308</v>
      </c>
      <c r="S5524" t="s">
        <v>47429</v>
      </c>
      <c r="T5524" t="s">
        <v>48987</v>
      </c>
      <c r="U5524" t="s">
        <v>54181</v>
      </c>
      <c r="V5524" t="s">
        <v>63164</v>
      </c>
      <c r="W5524" t="s">
        <v>44962</v>
      </c>
      <c r="X5524" t="s">
        <v>47311</v>
      </c>
    </row>
    <row r="5525" spans="1:24">
      <c r="A5525">
        <f>HYPERLINK("https://www.philgeps.gov.ph/GEPSNONPILOT/Tender/SplashBidNoticeAbstractUI.aspx?menuIndex=3&amp;refID=7193633&amp;Result=3","7193633")</f>
        <v>0</v>
      </c>
      <c r="B5525" t="s">
        <v>1899</v>
      </c>
      <c r="C5525" t="s">
        <v>9037</v>
      </c>
      <c r="D5525" t="s">
        <v>19041</v>
      </c>
      <c r="E5525" t="s">
        <v>23984</v>
      </c>
      <c r="F5525" t="s">
        <v>32606</v>
      </c>
      <c r="G5525" t="s">
        <v>32613</v>
      </c>
      <c r="H5525" t="s">
        <v>32623</v>
      </c>
      <c r="I5525" t="s">
        <v>17648</v>
      </c>
      <c r="J5525" t="s">
        <v>36370</v>
      </c>
      <c r="K5525" t="s">
        <v>42773</v>
      </c>
      <c r="M5525" t="s">
        <v>44958</v>
      </c>
      <c r="N5525" t="s">
        <v>47304</v>
      </c>
      <c r="O5525" t="s">
        <v>47305</v>
      </c>
      <c r="P5525">
        <v>0</v>
      </c>
      <c r="Q5525">
        <v>0</v>
      </c>
      <c r="R5525" t="s">
        <v>47308</v>
      </c>
      <c r="S5525" t="s">
        <v>47429</v>
      </c>
      <c r="T5525" t="s">
        <v>49008</v>
      </c>
      <c r="U5525" t="s">
        <v>54182</v>
      </c>
      <c r="W5525" t="s">
        <v>44958</v>
      </c>
      <c r="X5525" t="s">
        <v>47311</v>
      </c>
    </row>
    <row r="5526" spans="1:24">
      <c r="A5526">
        <f>HYPERLINK("https://www.philgeps.gov.ph/GEPSNONPILOT/Tender/SplashBidNoticeAbstractUI.aspx?menuIndex=3&amp;refID=7193660&amp;Result=3","7193660")</f>
        <v>0</v>
      </c>
      <c r="B5526" t="s">
        <v>1899</v>
      </c>
      <c r="C5526" t="s">
        <v>9038</v>
      </c>
      <c r="D5526" t="s">
        <v>19041</v>
      </c>
      <c r="E5526" t="s">
        <v>23985</v>
      </c>
      <c r="F5526" t="s">
        <v>32606</v>
      </c>
      <c r="G5526" t="s">
        <v>32613</v>
      </c>
      <c r="H5526" t="s">
        <v>32623</v>
      </c>
      <c r="I5526" t="s">
        <v>17648</v>
      </c>
      <c r="J5526" t="s">
        <v>36371</v>
      </c>
      <c r="K5526" t="s">
        <v>42700</v>
      </c>
      <c r="M5526" t="s">
        <v>44958</v>
      </c>
      <c r="N5526" t="s">
        <v>47304</v>
      </c>
      <c r="O5526" t="s">
        <v>47305</v>
      </c>
      <c r="P5526">
        <v>0</v>
      </c>
      <c r="Q5526">
        <v>0</v>
      </c>
      <c r="R5526" t="s">
        <v>47308</v>
      </c>
      <c r="S5526" t="s">
        <v>47429</v>
      </c>
      <c r="T5526" t="s">
        <v>49008</v>
      </c>
      <c r="U5526" t="s">
        <v>54183</v>
      </c>
      <c r="W5526" t="s">
        <v>44958</v>
      </c>
      <c r="X5526" t="s">
        <v>47311</v>
      </c>
    </row>
    <row r="5527" spans="1:24">
      <c r="A5527">
        <f>HYPERLINK("https://www.philgeps.gov.ph/GEPSNONPILOT/Tender/SplashBidNoticeAbstractUI.aspx?menuIndex=3&amp;refID=7193632&amp;Result=3","7193632")</f>
        <v>0</v>
      </c>
      <c r="B5527" t="s">
        <v>1899</v>
      </c>
      <c r="C5527" t="s">
        <v>9039</v>
      </c>
      <c r="D5527" t="s">
        <v>19041</v>
      </c>
      <c r="E5527" t="s">
        <v>23986</v>
      </c>
      <c r="F5527" t="s">
        <v>32606</v>
      </c>
      <c r="G5527" t="s">
        <v>32613</v>
      </c>
      <c r="H5527" t="s">
        <v>32623</v>
      </c>
      <c r="I5527" t="s">
        <v>17648</v>
      </c>
      <c r="J5527" t="s">
        <v>36372</v>
      </c>
      <c r="K5527" t="s">
        <v>42770</v>
      </c>
      <c r="M5527" t="s">
        <v>44958</v>
      </c>
      <c r="N5527" t="s">
        <v>47304</v>
      </c>
      <c r="O5527" t="s">
        <v>47305</v>
      </c>
      <c r="P5527">
        <v>0</v>
      </c>
      <c r="Q5527">
        <v>0</v>
      </c>
      <c r="R5527" t="s">
        <v>47308</v>
      </c>
      <c r="S5527" t="s">
        <v>47429</v>
      </c>
      <c r="T5527" t="s">
        <v>49008</v>
      </c>
      <c r="U5527" t="s">
        <v>54184</v>
      </c>
      <c r="W5527" t="s">
        <v>44958</v>
      </c>
      <c r="X5527" t="s">
        <v>47311</v>
      </c>
    </row>
    <row r="5528" spans="1:24">
      <c r="A5528">
        <f>HYPERLINK("https://www.philgeps.gov.ph/GEPSNONPILOT/Tender/SplashBidNoticeAbstractUI.aspx?menuIndex=3&amp;refID=7193651&amp;Result=3","7193651")</f>
        <v>0</v>
      </c>
      <c r="B5528" t="s">
        <v>1899</v>
      </c>
      <c r="C5528" t="s">
        <v>9040</v>
      </c>
      <c r="D5528" t="s">
        <v>19041</v>
      </c>
      <c r="E5528" t="s">
        <v>23987</v>
      </c>
      <c r="F5528" t="s">
        <v>32606</v>
      </c>
      <c r="G5528" t="s">
        <v>32613</v>
      </c>
      <c r="H5528" t="s">
        <v>32623</v>
      </c>
      <c r="I5528" t="s">
        <v>17648</v>
      </c>
      <c r="J5528" t="s">
        <v>36373</v>
      </c>
      <c r="K5528" t="s">
        <v>42774</v>
      </c>
      <c r="M5528" t="s">
        <v>44958</v>
      </c>
      <c r="N5528" t="s">
        <v>47304</v>
      </c>
      <c r="O5528" t="s">
        <v>47305</v>
      </c>
      <c r="P5528">
        <v>0</v>
      </c>
      <c r="Q5528">
        <v>0</v>
      </c>
      <c r="R5528" t="s">
        <v>47308</v>
      </c>
      <c r="S5528" t="s">
        <v>47429</v>
      </c>
      <c r="T5528" t="s">
        <v>49008</v>
      </c>
      <c r="U5528" t="s">
        <v>54185</v>
      </c>
      <c r="W5528" t="s">
        <v>44958</v>
      </c>
      <c r="X5528" t="s">
        <v>47311</v>
      </c>
    </row>
    <row r="5529" spans="1:24">
      <c r="A5529">
        <f>HYPERLINK("https://www.philgeps.gov.ph/GEPSNONPILOT/Tender/SplashBidNoticeAbstractUI.aspx?menuIndex=3&amp;refID=7193641&amp;Result=3","7193641")</f>
        <v>0</v>
      </c>
      <c r="B5529" t="s">
        <v>1899</v>
      </c>
      <c r="C5529" t="s">
        <v>9041</v>
      </c>
      <c r="D5529" t="s">
        <v>19041</v>
      </c>
      <c r="E5529" t="s">
        <v>23988</v>
      </c>
      <c r="F5529" t="s">
        <v>32606</v>
      </c>
      <c r="G5529" t="s">
        <v>32613</v>
      </c>
      <c r="H5529" t="s">
        <v>32623</v>
      </c>
      <c r="I5529" t="s">
        <v>17648</v>
      </c>
      <c r="J5529" t="s">
        <v>36374</v>
      </c>
      <c r="K5529" t="s">
        <v>42770</v>
      </c>
      <c r="M5529" t="s">
        <v>44958</v>
      </c>
      <c r="N5529" t="s">
        <v>47304</v>
      </c>
      <c r="O5529" t="s">
        <v>47305</v>
      </c>
      <c r="P5529">
        <v>0</v>
      </c>
      <c r="Q5529">
        <v>0</v>
      </c>
      <c r="R5529" t="s">
        <v>47308</v>
      </c>
      <c r="S5529" t="s">
        <v>47429</v>
      </c>
      <c r="T5529" t="s">
        <v>49008</v>
      </c>
      <c r="U5529" t="s">
        <v>54186</v>
      </c>
      <c r="W5529" t="s">
        <v>44958</v>
      </c>
      <c r="X5529" t="s">
        <v>47311</v>
      </c>
    </row>
    <row r="5530" spans="1:24">
      <c r="A5530">
        <f>HYPERLINK("https://www.philgeps.gov.ph/GEPSNONPILOT/Tender/SplashBidNoticeAbstractUI.aspx?menuIndex=3&amp;refID=7193625&amp;Result=3","7193625")</f>
        <v>0</v>
      </c>
      <c r="B5530" t="s">
        <v>1899</v>
      </c>
      <c r="C5530" t="s">
        <v>9042</v>
      </c>
      <c r="D5530" t="s">
        <v>19041</v>
      </c>
      <c r="E5530" t="s">
        <v>23989</v>
      </c>
      <c r="F5530" t="s">
        <v>32606</v>
      </c>
      <c r="G5530" t="s">
        <v>32613</v>
      </c>
      <c r="H5530" t="s">
        <v>32623</v>
      </c>
      <c r="I5530" t="s">
        <v>17648</v>
      </c>
      <c r="J5530" t="s">
        <v>36375</v>
      </c>
      <c r="K5530" t="s">
        <v>42700</v>
      </c>
      <c r="M5530" t="s">
        <v>44958</v>
      </c>
      <c r="N5530" t="s">
        <v>47304</v>
      </c>
      <c r="O5530" t="s">
        <v>47305</v>
      </c>
      <c r="P5530">
        <v>0</v>
      </c>
      <c r="Q5530">
        <v>0</v>
      </c>
      <c r="R5530" t="s">
        <v>47308</v>
      </c>
      <c r="S5530" t="s">
        <v>47429</v>
      </c>
      <c r="T5530" t="s">
        <v>49008</v>
      </c>
      <c r="U5530" t="s">
        <v>54187</v>
      </c>
      <c r="W5530" t="s">
        <v>44958</v>
      </c>
      <c r="X5530" t="s">
        <v>47311</v>
      </c>
    </row>
    <row r="5531" spans="1:24">
      <c r="A5531">
        <f>HYPERLINK("https://www.philgeps.gov.ph/GEPSNONPILOT/Tender/SplashBidNoticeAbstractUI.aspx?menuIndex=3&amp;refID=7193763&amp;Result=3","7193763")</f>
        <v>0</v>
      </c>
      <c r="B5531" t="s">
        <v>1904</v>
      </c>
      <c r="C5531" t="s">
        <v>9043</v>
      </c>
      <c r="E5531" t="s">
        <v>23990</v>
      </c>
      <c r="F5531" t="s">
        <v>32606</v>
      </c>
      <c r="G5531" t="s">
        <v>32613</v>
      </c>
      <c r="H5531" t="s">
        <v>14201</v>
      </c>
      <c r="I5531" t="s">
        <v>32733</v>
      </c>
      <c r="J5531" t="s">
        <v>36376</v>
      </c>
      <c r="K5531" t="s">
        <v>42624</v>
      </c>
      <c r="M5531" t="s">
        <v>44963</v>
      </c>
      <c r="N5531" t="s">
        <v>47304</v>
      </c>
      <c r="O5531" t="s">
        <v>47305</v>
      </c>
      <c r="P5531">
        <v>0</v>
      </c>
      <c r="Q5531">
        <v>0</v>
      </c>
      <c r="R5531" t="s">
        <v>47308</v>
      </c>
      <c r="S5531" t="s">
        <v>47429</v>
      </c>
      <c r="T5531" t="s">
        <v>48995</v>
      </c>
      <c r="U5531" t="s">
        <v>54188</v>
      </c>
      <c r="V5531" t="s">
        <v>63165</v>
      </c>
      <c r="W5531" t="s">
        <v>44963</v>
      </c>
      <c r="X5531" t="s">
        <v>47311</v>
      </c>
    </row>
    <row r="5532" spans="1:24">
      <c r="A5532">
        <f>HYPERLINK("https://www.philgeps.gov.ph/GEPSNONPILOT/Tender/SplashBidNoticeAbstractUI.aspx?menuIndex=3&amp;refID=7193773&amp;Result=3","7193773")</f>
        <v>0</v>
      </c>
      <c r="B5532" t="s">
        <v>1904</v>
      </c>
      <c r="C5532" t="s">
        <v>9044</v>
      </c>
      <c r="E5532" t="s">
        <v>23991</v>
      </c>
      <c r="F5532" t="s">
        <v>32606</v>
      </c>
      <c r="G5532" t="s">
        <v>32613</v>
      </c>
      <c r="H5532" t="s">
        <v>14201</v>
      </c>
      <c r="I5532" t="s">
        <v>32733</v>
      </c>
      <c r="J5532" t="s">
        <v>36377</v>
      </c>
      <c r="K5532" t="s">
        <v>42624</v>
      </c>
      <c r="M5532" t="s">
        <v>44963</v>
      </c>
      <c r="N5532" t="s">
        <v>47304</v>
      </c>
      <c r="O5532" t="s">
        <v>47305</v>
      </c>
      <c r="P5532">
        <v>0</v>
      </c>
      <c r="Q5532">
        <v>0</v>
      </c>
      <c r="R5532" t="s">
        <v>47308</v>
      </c>
      <c r="S5532" t="s">
        <v>47429</v>
      </c>
      <c r="T5532" t="s">
        <v>48995</v>
      </c>
      <c r="U5532" t="s">
        <v>54189</v>
      </c>
      <c r="V5532" t="s">
        <v>63165</v>
      </c>
      <c r="W5532" t="s">
        <v>44963</v>
      </c>
      <c r="X5532" t="s">
        <v>47310</v>
      </c>
    </row>
    <row r="5533" spans="1:24">
      <c r="A5533">
        <f>HYPERLINK("https://www.philgeps.gov.ph/GEPSNONPILOT/Tender/SplashBidNoticeAbstractUI.aspx?menuIndex=3&amp;refID=7193653&amp;Result=3","7193653")</f>
        <v>0</v>
      </c>
      <c r="B5533" t="s">
        <v>1899</v>
      </c>
      <c r="C5533" t="s">
        <v>9045</v>
      </c>
      <c r="D5533" t="s">
        <v>19041</v>
      </c>
      <c r="E5533" t="s">
        <v>23992</v>
      </c>
      <c r="F5533" t="s">
        <v>32606</v>
      </c>
      <c r="G5533" t="s">
        <v>32613</v>
      </c>
      <c r="H5533" t="s">
        <v>32623</v>
      </c>
      <c r="I5533" t="s">
        <v>17648</v>
      </c>
      <c r="J5533" t="s">
        <v>36378</v>
      </c>
      <c r="K5533" t="s">
        <v>42656</v>
      </c>
      <c r="M5533" t="s">
        <v>44958</v>
      </c>
      <c r="N5533" t="s">
        <v>47304</v>
      </c>
      <c r="O5533" t="s">
        <v>47305</v>
      </c>
      <c r="P5533">
        <v>0</v>
      </c>
      <c r="Q5533">
        <v>0</v>
      </c>
      <c r="R5533" t="s">
        <v>47308</v>
      </c>
      <c r="S5533" t="s">
        <v>47429</v>
      </c>
      <c r="T5533" t="s">
        <v>49008</v>
      </c>
      <c r="U5533" t="s">
        <v>54190</v>
      </c>
      <c r="W5533" t="s">
        <v>44958</v>
      </c>
      <c r="X5533" t="s">
        <v>47311</v>
      </c>
    </row>
    <row r="5534" spans="1:24">
      <c r="A5534">
        <f>HYPERLINK("https://www.philgeps.gov.ph/GEPSNONPILOT/Tender/SplashBidNoticeAbstractUI.aspx?menuIndex=3&amp;refID=7193600&amp;Result=3","7193600")</f>
        <v>0</v>
      </c>
      <c r="B5534" t="s">
        <v>1899</v>
      </c>
      <c r="C5534" t="s">
        <v>9046</v>
      </c>
      <c r="D5534" t="s">
        <v>19041</v>
      </c>
      <c r="E5534" t="s">
        <v>23993</v>
      </c>
      <c r="F5534" t="s">
        <v>32606</v>
      </c>
      <c r="G5534" t="s">
        <v>32613</v>
      </c>
      <c r="H5534" t="s">
        <v>32623</v>
      </c>
      <c r="I5534" t="s">
        <v>17648</v>
      </c>
      <c r="J5534" t="s">
        <v>36379</v>
      </c>
      <c r="K5534" t="s">
        <v>42735</v>
      </c>
      <c r="M5534" t="s">
        <v>44958</v>
      </c>
      <c r="N5534" t="s">
        <v>47304</v>
      </c>
      <c r="O5534" t="s">
        <v>47305</v>
      </c>
      <c r="P5534">
        <v>0</v>
      </c>
      <c r="Q5534">
        <v>0</v>
      </c>
      <c r="R5534" t="s">
        <v>47308</v>
      </c>
      <c r="S5534" t="s">
        <v>47429</v>
      </c>
      <c r="T5534" t="s">
        <v>49008</v>
      </c>
      <c r="U5534" t="s">
        <v>54191</v>
      </c>
      <c r="W5534" t="s">
        <v>44958</v>
      </c>
      <c r="X5534" t="s">
        <v>47311</v>
      </c>
    </row>
    <row r="5535" spans="1:24">
      <c r="A5535">
        <f>HYPERLINK("https://www.philgeps.gov.ph/GEPSNONPILOT/Tender/SplashBidNoticeAbstractUI.aspx?menuIndex=3&amp;refID=7193629&amp;Result=3","7193629")</f>
        <v>0</v>
      </c>
      <c r="B5535" t="s">
        <v>1899</v>
      </c>
      <c r="C5535" t="s">
        <v>9047</v>
      </c>
      <c r="D5535" t="s">
        <v>19041</v>
      </c>
      <c r="E5535" t="s">
        <v>23994</v>
      </c>
      <c r="F5535" t="s">
        <v>32606</v>
      </c>
      <c r="G5535" t="s">
        <v>32613</v>
      </c>
      <c r="H5535" t="s">
        <v>32623</v>
      </c>
      <c r="I5535" t="s">
        <v>17648</v>
      </c>
      <c r="J5535" t="s">
        <v>36380</v>
      </c>
      <c r="K5535" t="s">
        <v>42775</v>
      </c>
      <c r="M5535" t="s">
        <v>44958</v>
      </c>
      <c r="N5535" t="s">
        <v>47304</v>
      </c>
      <c r="O5535" t="s">
        <v>47305</v>
      </c>
      <c r="P5535">
        <v>0</v>
      </c>
      <c r="Q5535">
        <v>0</v>
      </c>
      <c r="R5535" t="s">
        <v>47308</v>
      </c>
      <c r="S5535" t="s">
        <v>47429</v>
      </c>
      <c r="T5535" t="s">
        <v>49008</v>
      </c>
      <c r="U5535" t="s">
        <v>54192</v>
      </c>
      <c r="W5535" t="s">
        <v>44958</v>
      </c>
      <c r="X5535" t="s">
        <v>47311</v>
      </c>
    </row>
    <row r="5536" spans="1:24">
      <c r="A5536">
        <f>HYPERLINK("https://www.philgeps.gov.ph/GEPSNONPILOT/Tender/SplashBidNoticeAbstractUI.aspx?menuIndex=3&amp;refID=7193765&amp;Result=3","7193765")</f>
        <v>0</v>
      </c>
      <c r="B5536" t="s">
        <v>1904</v>
      </c>
      <c r="C5536" t="s">
        <v>9048</v>
      </c>
      <c r="E5536" t="s">
        <v>23995</v>
      </c>
      <c r="F5536" t="s">
        <v>32606</v>
      </c>
      <c r="G5536" t="s">
        <v>32613</v>
      </c>
      <c r="H5536" t="s">
        <v>14201</v>
      </c>
      <c r="I5536" t="s">
        <v>6298</v>
      </c>
      <c r="J5536" t="s">
        <v>32770</v>
      </c>
      <c r="K5536" t="s">
        <v>42624</v>
      </c>
      <c r="M5536" t="s">
        <v>44963</v>
      </c>
      <c r="N5536" t="s">
        <v>47304</v>
      </c>
      <c r="O5536" t="s">
        <v>47305</v>
      </c>
      <c r="P5536">
        <v>0</v>
      </c>
      <c r="Q5536">
        <v>2</v>
      </c>
      <c r="R5536" t="s">
        <v>47308</v>
      </c>
      <c r="S5536" t="s">
        <v>47429</v>
      </c>
      <c r="T5536" t="s">
        <v>48995</v>
      </c>
      <c r="U5536" t="s">
        <v>54193</v>
      </c>
      <c r="V5536" t="s">
        <v>63166</v>
      </c>
      <c r="W5536" t="s">
        <v>44963</v>
      </c>
      <c r="X5536" t="s">
        <v>47310</v>
      </c>
    </row>
    <row r="5537" spans="1:24">
      <c r="A5537">
        <f>HYPERLINK("https://www.philgeps.gov.ph/GEPSNONPILOT/Tender/SplashBidNoticeAbstractUI.aspx?menuIndex=3&amp;refID=7193769&amp;Result=3","7193769")</f>
        <v>0</v>
      </c>
      <c r="B5537" t="s">
        <v>1904</v>
      </c>
      <c r="C5537" t="s">
        <v>9049</v>
      </c>
      <c r="E5537" t="s">
        <v>23996</v>
      </c>
      <c r="F5537" t="s">
        <v>32606</v>
      </c>
      <c r="G5537" t="s">
        <v>32613</v>
      </c>
      <c r="H5537" t="s">
        <v>14201</v>
      </c>
      <c r="I5537" t="s">
        <v>6298</v>
      </c>
      <c r="J5537" t="s">
        <v>36381</v>
      </c>
      <c r="K5537" t="s">
        <v>42624</v>
      </c>
      <c r="M5537" t="s">
        <v>44963</v>
      </c>
      <c r="N5537" t="s">
        <v>47304</v>
      </c>
      <c r="O5537" t="s">
        <v>47305</v>
      </c>
      <c r="P5537">
        <v>0</v>
      </c>
      <c r="Q5537">
        <v>1</v>
      </c>
      <c r="R5537" t="s">
        <v>47308</v>
      </c>
      <c r="S5537" t="s">
        <v>47429</v>
      </c>
      <c r="T5537" t="s">
        <v>48995</v>
      </c>
      <c r="U5537" t="s">
        <v>54194</v>
      </c>
      <c r="V5537" t="s">
        <v>63167</v>
      </c>
      <c r="W5537" t="s">
        <v>44963</v>
      </c>
      <c r="X5537" t="s">
        <v>47310</v>
      </c>
    </row>
    <row r="5538" spans="1:24">
      <c r="A5538">
        <f>HYPERLINK("https://www.philgeps.gov.ph/GEPSNONPILOT/Tender/SplashBidNoticeAbstractUI.aspx?menuIndex=3&amp;refID=7193756&amp;Result=3","7193756")</f>
        <v>0</v>
      </c>
      <c r="B5538" t="s">
        <v>1904</v>
      </c>
      <c r="C5538" t="s">
        <v>9050</v>
      </c>
      <c r="D5538" t="s">
        <v>19008</v>
      </c>
      <c r="E5538" t="s">
        <v>23997</v>
      </c>
      <c r="F5538" t="s">
        <v>32606</v>
      </c>
      <c r="G5538" t="s">
        <v>32613</v>
      </c>
      <c r="H5538" t="s">
        <v>14201</v>
      </c>
      <c r="I5538" t="s">
        <v>32640</v>
      </c>
      <c r="J5538" t="s">
        <v>35789</v>
      </c>
      <c r="K5538" t="s">
        <v>42624</v>
      </c>
      <c r="M5538" t="s">
        <v>44963</v>
      </c>
      <c r="N5538" t="s">
        <v>47304</v>
      </c>
      <c r="O5538" t="s">
        <v>47305</v>
      </c>
      <c r="P5538">
        <v>0</v>
      </c>
      <c r="Q5538">
        <v>6</v>
      </c>
      <c r="R5538" t="s">
        <v>47308</v>
      </c>
      <c r="S5538" t="s">
        <v>47429</v>
      </c>
      <c r="T5538" t="s">
        <v>49023</v>
      </c>
      <c r="U5538" t="s">
        <v>54195</v>
      </c>
      <c r="V5538" t="s">
        <v>63168</v>
      </c>
      <c r="W5538" t="s">
        <v>44963</v>
      </c>
      <c r="X5538" t="s">
        <v>47311</v>
      </c>
    </row>
    <row r="5539" spans="1:24">
      <c r="A5539">
        <f>HYPERLINK("https://www.philgeps.gov.ph/GEPSNONPILOT/Tender/SplashBidNoticeAbstractUI.aspx?menuIndex=3&amp;refID=7193772&amp;Result=3","7193772")</f>
        <v>0</v>
      </c>
      <c r="B5539" t="s">
        <v>1904</v>
      </c>
      <c r="C5539" t="s">
        <v>9051</v>
      </c>
      <c r="E5539" t="s">
        <v>23998</v>
      </c>
      <c r="F5539" t="s">
        <v>32606</v>
      </c>
      <c r="G5539" t="s">
        <v>32613</v>
      </c>
      <c r="H5539" t="s">
        <v>14201</v>
      </c>
      <c r="I5539" t="s">
        <v>6298</v>
      </c>
      <c r="J5539" t="s">
        <v>36382</v>
      </c>
      <c r="K5539" t="s">
        <v>42624</v>
      </c>
      <c r="M5539" t="s">
        <v>44963</v>
      </c>
      <c r="N5539" t="s">
        <v>47304</v>
      </c>
      <c r="O5539" t="s">
        <v>47305</v>
      </c>
      <c r="P5539">
        <v>0</v>
      </c>
      <c r="Q5539">
        <v>2</v>
      </c>
      <c r="R5539" t="s">
        <v>47308</v>
      </c>
      <c r="S5539" t="s">
        <v>47429</v>
      </c>
      <c r="T5539" t="s">
        <v>48995</v>
      </c>
      <c r="U5539" t="s">
        <v>54196</v>
      </c>
      <c r="V5539" t="s">
        <v>63169</v>
      </c>
      <c r="W5539" t="s">
        <v>44963</v>
      </c>
      <c r="X5539" t="s">
        <v>47310</v>
      </c>
    </row>
    <row r="5540" spans="1:24">
      <c r="A5540">
        <f>HYPERLINK("https://www.philgeps.gov.ph/GEPSNONPILOT/Tender/SplashBidNoticeAbstractUI.aspx?menuIndex=3&amp;refID=7193745&amp;Result=3","7193745")</f>
        <v>0</v>
      </c>
      <c r="B5540" t="s">
        <v>1904</v>
      </c>
      <c r="C5540" t="s">
        <v>9052</v>
      </c>
      <c r="E5540" t="s">
        <v>23999</v>
      </c>
      <c r="F5540" t="s">
        <v>32606</v>
      </c>
      <c r="G5540" t="s">
        <v>32613</v>
      </c>
      <c r="H5540" t="s">
        <v>14201</v>
      </c>
      <c r="I5540" t="s">
        <v>32669</v>
      </c>
      <c r="J5540" t="s">
        <v>36383</v>
      </c>
      <c r="K5540" t="s">
        <v>42624</v>
      </c>
      <c r="M5540" t="s">
        <v>44963</v>
      </c>
      <c r="N5540" t="s">
        <v>47304</v>
      </c>
      <c r="O5540" t="s">
        <v>47305</v>
      </c>
      <c r="P5540">
        <v>0</v>
      </c>
      <c r="Q5540">
        <v>1</v>
      </c>
      <c r="R5540" t="s">
        <v>47308</v>
      </c>
      <c r="S5540" t="s">
        <v>47429</v>
      </c>
      <c r="T5540" t="s">
        <v>49023</v>
      </c>
      <c r="U5540" t="s">
        <v>54197</v>
      </c>
      <c r="V5540" t="s">
        <v>63170</v>
      </c>
      <c r="W5540" t="s">
        <v>44963</v>
      </c>
      <c r="X5540" t="s">
        <v>47311</v>
      </c>
    </row>
    <row r="5541" spans="1:24">
      <c r="A5541">
        <f>HYPERLINK("https://www.philgeps.gov.ph/GEPSNONPILOT/Tender/SplashBidNoticeAbstractUI.aspx?menuIndex=3&amp;refID=7193590&amp;Result=3","7193590")</f>
        <v>0</v>
      </c>
      <c r="B5541" t="s">
        <v>1898</v>
      </c>
      <c r="C5541" t="s">
        <v>9053</v>
      </c>
      <c r="D5541" t="s">
        <v>18999</v>
      </c>
      <c r="E5541" t="s">
        <v>24000</v>
      </c>
      <c r="F5541" t="s">
        <v>32606</v>
      </c>
      <c r="G5541" t="s">
        <v>32617</v>
      </c>
      <c r="H5541" t="s">
        <v>14201</v>
      </c>
      <c r="I5541" t="s">
        <v>4114</v>
      </c>
      <c r="J5541" t="s">
        <v>36384</v>
      </c>
      <c r="K5541" t="s">
        <v>42622</v>
      </c>
      <c r="M5541" t="s">
        <v>44957</v>
      </c>
      <c r="N5541" t="s">
        <v>47304</v>
      </c>
      <c r="O5541" t="s">
        <v>47305</v>
      </c>
      <c r="P5541">
        <v>0</v>
      </c>
      <c r="Q5541">
        <v>9</v>
      </c>
      <c r="R5541" t="s">
        <v>47308</v>
      </c>
      <c r="S5541" t="s">
        <v>47429</v>
      </c>
      <c r="T5541" t="s">
        <v>48998</v>
      </c>
      <c r="U5541" t="s">
        <v>54198</v>
      </c>
      <c r="W5541" t="s">
        <v>44957</v>
      </c>
      <c r="X5541" t="s">
        <v>47311</v>
      </c>
    </row>
    <row r="5542" spans="1:24">
      <c r="A5542">
        <f>HYPERLINK("https://www.philgeps.gov.ph/GEPSNONPILOT/Tender/SplashBidNoticeAbstractUI.aspx?menuIndex=3&amp;refID=7193692&amp;Result=3","7193692")</f>
        <v>0</v>
      </c>
      <c r="B5542" t="s">
        <v>1905</v>
      </c>
      <c r="C5542" t="s">
        <v>9054</v>
      </c>
      <c r="D5542" t="s">
        <v>19023</v>
      </c>
      <c r="E5542" t="s">
        <v>24001</v>
      </c>
      <c r="F5542" t="s">
        <v>32606</v>
      </c>
      <c r="G5542" t="s">
        <v>32613</v>
      </c>
      <c r="H5542" t="s">
        <v>14201</v>
      </c>
      <c r="I5542" t="s">
        <v>32734</v>
      </c>
      <c r="J5542" t="s">
        <v>32789</v>
      </c>
      <c r="K5542" t="s">
        <v>42629</v>
      </c>
      <c r="M5542" t="s">
        <v>44964</v>
      </c>
      <c r="N5542" t="s">
        <v>47304</v>
      </c>
      <c r="O5542" t="s">
        <v>47305</v>
      </c>
      <c r="P5542">
        <v>0</v>
      </c>
      <c r="Q5542">
        <v>0</v>
      </c>
      <c r="R5542" t="s">
        <v>47308</v>
      </c>
      <c r="S5542" t="s">
        <v>47429</v>
      </c>
      <c r="T5542" t="s">
        <v>49098</v>
      </c>
      <c r="U5542" t="s">
        <v>54199</v>
      </c>
      <c r="W5542" t="s">
        <v>44964</v>
      </c>
      <c r="X5542" t="s">
        <v>47311</v>
      </c>
    </row>
    <row r="5543" spans="1:24">
      <c r="A5543">
        <f>HYPERLINK("https://www.philgeps.gov.ph/GEPSNONPILOT/Tender/SplashBidNoticeAbstractUI.aspx?menuIndex=3&amp;refID=7193834&amp;Result=3","7193834")</f>
        <v>0</v>
      </c>
      <c r="B5543" t="s">
        <v>130</v>
      </c>
      <c r="C5543" t="s">
        <v>9055</v>
      </c>
      <c r="D5543" t="s">
        <v>19015</v>
      </c>
      <c r="E5543" t="s">
        <v>24002</v>
      </c>
      <c r="F5543" t="s">
        <v>32606</v>
      </c>
      <c r="G5543" t="s">
        <v>32614</v>
      </c>
      <c r="H5543" t="s">
        <v>14201</v>
      </c>
      <c r="I5543" t="s">
        <v>7064</v>
      </c>
      <c r="J5543" t="s">
        <v>36385</v>
      </c>
      <c r="K5543" t="s">
        <v>42631</v>
      </c>
      <c r="M5543" t="s">
        <v>43031</v>
      </c>
      <c r="N5543" t="s">
        <v>47304</v>
      </c>
      <c r="O5543" t="s">
        <v>47305</v>
      </c>
      <c r="P5543">
        <v>0</v>
      </c>
      <c r="Q5543">
        <v>0</v>
      </c>
      <c r="R5543" t="s">
        <v>47308</v>
      </c>
      <c r="S5543" t="s">
        <v>47429</v>
      </c>
      <c r="T5543" t="s">
        <v>49319</v>
      </c>
      <c r="U5543" t="s">
        <v>54200</v>
      </c>
      <c r="W5543" t="s">
        <v>43031</v>
      </c>
      <c r="X5543" t="s">
        <v>47310</v>
      </c>
    </row>
    <row r="5544" spans="1:24">
      <c r="A5544">
        <f>HYPERLINK("https://www.philgeps.gov.ph/GEPSNONPILOT/Tender/SplashBidNoticeAbstractUI.aspx?menuIndex=3&amp;refID=7193751&amp;Result=3","7193751")</f>
        <v>0</v>
      </c>
      <c r="B5544" t="s">
        <v>1904</v>
      </c>
      <c r="C5544" t="s">
        <v>9056</v>
      </c>
      <c r="E5544" t="s">
        <v>24003</v>
      </c>
      <c r="F5544" t="s">
        <v>32606</v>
      </c>
      <c r="G5544" t="s">
        <v>32613</v>
      </c>
      <c r="H5544" t="s">
        <v>14201</v>
      </c>
      <c r="I5544" t="s">
        <v>6298</v>
      </c>
      <c r="J5544" t="s">
        <v>32923</v>
      </c>
      <c r="K5544" t="s">
        <v>42624</v>
      </c>
      <c r="M5544" t="s">
        <v>44963</v>
      </c>
      <c r="N5544" t="s">
        <v>47304</v>
      </c>
      <c r="O5544" t="s">
        <v>47305</v>
      </c>
      <c r="P5544">
        <v>0</v>
      </c>
      <c r="Q5544">
        <v>0</v>
      </c>
      <c r="R5544" t="s">
        <v>47308</v>
      </c>
      <c r="S5544" t="s">
        <v>47429</v>
      </c>
      <c r="T5544" t="s">
        <v>48995</v>
      </c>
      <c r="U5544" t="s">
        <v>54201</v>
      </c>
      <c r="V5544" t="s">
        <v>63167</v>
      </c>
      <c r="W5544" t="s">
        <v>44963</v>
      </c>
      <c r="X5544" t="s">
        <v>47311</v>
      </c>
    </row>
    <row r="5545" spans="1:24">
      <c r="A5545">
        <f>HYPERLINK("https://www.philgeps.gov.ph/GEPSNONPILOT/Tender/SplashBidNoticeAbstractUI.aspx?menuIndex=3&amp;refID=7193827&amp;Result=3","7193827")</f>
        <v>0</v>
      </c>
      <c r="B5545" t="s">
        <v>1906</v>
      </c>
      <c r="C5545" t="s">
        <v>9057</v>
      </c>
      <c r="D5545" t="s">
        <v>18999</v>
      </c>
      <c r="E5545" t="s">
        <v>24004</v>
      </c>
      <c r="F5545" t="s">
        <v>32606</v>
      </c>
      <c r="G5545" t="s">
        <v>32614</v>
      </c>
      <c r="H5545" t="s">
        <v>14201</v>
      </c>
      <c r="I5545" t="s">
        <v>4114</v>
      </c>
      <c r="J5545" t="s">
        <v>36386</v>
      </c>
      <c r="K5545" t="s">
        <v>42630</v>
      </c>
      <c r="M5545" t="s">
        <v>44965</v>
      </c>
      <c r="N5545" t="s">
        <v>47304</v>
      </c>
      <c r="O5545" t="s">
        <v>47305</v>
      </c>
      <c r="P5545">
        <v>0</v>
      </c>
      <c r="Q5545">
        <v>3</v>
      </c>
      <c r="R5545" t="s">
        <v>47308</v>
      </c>
      <c r="S5545" t="s">
        <v>47429</v>
      </c>
      <c r="T5545" t="s">
        <v>48975</v>
      </c>
      <c r="U5545" t="s">
        <v>54202</v>
      </c>
      <c r="W5545" t="s">
        <v>44965</v>
      </c>
      <c r="X5545" t="s">
        <v>47310</v>
      </c>
    </row>
    <row r="5546" spans="1:24">
      <c r="A5546">
        <f>HYPERLINK("https://www.philgeps.gov.ph/GEPSNONPILOT/Tender/SplashBidNoticeAbstractUI.aspx?menuIndex=3&amp;refID=7193826&amp;Result=3","7193826")</f>
        <v>0</v>
      </c>
      <c r="B5546" t="s">
        <v>1907</v>
      </c>
      <c r="C5546" t="s">
        <v>9058</v>
      </c>
      <c r="E5546" t="s">
        <v>24005</v>
      </c>
      <c r="F5546" t="s">
        <v>32606</v>
      </c>
      <c r="G5546" t="s">
        <v>32613</v>
      </c>
      <c r="H5546" t="s">
        <v>14201</v>
      </c>
      <c r="I5546" t="s">
        <v>6298</v>
      </c>
      <c r="J5546" t="s">
        <v>36387</v>
      </c>
      <c r="K5546" t="s">
        <v>42630</v>
      </c>
      <c r="M5546" t="s">
        <v>44966</v>
      </c>
      <c r="N5546" t="s">
        <v>47304</v>
      </c>
      <c r="O5546" t="s">
        <v>47305</v>
      </c>
      <c r="P5546">
        <v>0</v>
      </c>
      <c r="Q5546">
        <v>2</v>
      </c>
      <c r="R5546" t="s">
        <v>47308</v>
      </c>
      <c r="S5546" t="s">
        <v>47429</v>
      </c>
      <c r="T5546" t="s">
        <v>48976</v>
      </c>
      <c r="U5546" t="s">
        <v>54203</v>
      </c>
      <c r="V5546" t="s">
        <v>63171</v>
      </c>
      <c r="W5546" t="s">
        <v>44966</v>
      </c>
      <c r="X5546" t="s">
        <v>47310</v>
      </c>
    </row>
    <row r="5547" spans="1:24">
      <c r="A5547">
        <f>HYPERLINK("https://www.philgeps.gov.ph/GEPSNONPILOT/Tender/SplashBidNoticeAbstractUI.aspx?menuIndex=3&amp;refID=7193265&amp;Result=3","7193265")</f>
        <v>0</v>
      </c>
      <c r="B5547" t="s">
        <v>271</v>
      </c>
      <c r="C5547" t="s">
        <v>9059</v>
      </c>
      <c r="D5547" t="s">
        <v>19040</v>
      </c>
      <c r="E5547" t="s">
        <v>24006</v>
      </c>
      <c r="F5547" t="s">
        <v>32606</v>
      </c>
      <c r="G5547" t="s">
        <v>32613</v>
      </c>
      <c r="H5547" t="s">
        <v>32623</v>
      </c>
      <c r="I5547" t="s">
        <v>17648</v>
      </c>
      <c r="J5547" t="s">
        <v>34667</v>
      </c>
      <c r="K5547" t="s">
        <v>42657</v>
      </c>
      <c r="M5547" t="s">
        <v>43172</v>
      </c>
      <c r="N5547" t="s">
        <v>47304</v>
      </c>
      <c r="O5547" t="s">
        <v>47305</v>
      </c>
      <c r="P5547">
        <v>0</v>
      </c>
      <c r="Q5547">
        <v>0</v>
      </c>
      <c r="R5547" t="s">
        <v>47308</v>
      </c>
      <c r="S5547" t="s">
        <v>47429</v>
      </c>
      <c r="T5547" t="s">
        <v>48990</v>
      </c>
      <c r="U5547" t="s">
        <v>54204</v>
      </c>
      <c r="W5547" t="s">
        <v>43172</v>
      </c>
      <c r="X5547" t="s">
        <v>47311</v>
      </c>
    </row>
    <row r="5548" spans="1:24">
      <c r="A5548">
        <f>HYPERLINK("https://www.philgeps.gov.ph/GEPSNONPILOT/Tender/SplashBidNoticeAbstractUI.aspx?menuIndex=3&amp;refID=7193823&amp;Result=3","7193823")</f>
        <v>0</v>
      </c>
      <c r="B5548" t="s">
        <v>1908</v>
      </c>
      <c r="C5548" t="s">
        <v>4079</v>
      </c>
      <c r="D5548" t="s">
        <v>19013</v>
      </c>
      <c r="E5548" t="s">
        <v>24007</v>
      </c>
      <c r="F5548" t="s">
        <v>32606</v>
      </c>
      <c r="G5548" t="s">
        <v>32613</v>
      </c>
      <c r="H5548" t="s">
        <v>32623</v>
      </c>
      <c r="I5548" t="s">
        <v>17648</v>
      </c>
      <c r="J5548" t="s">
        <v>36388</v>
      </c>
      <c r="K5548" t="s">
        <v>42740</v>
      </c>
      <c r="M5548" t="s">
        <v>44967</v>
      </c>
      <c r="N5548" t="s">
        <v>47304</v>
      </c>
      <c r="O5548" t="s">
        <v>47305</v>
      </c>
      <c r="P5548">
        <v>0</v>
      </c>
      <c r="Q5548">
        <v>0</v>
      </c>
      <c r="R5548" t="s">
        <v>47308</v>
      </c>
      <c r="S5548" t="s">
        <v>47429</v>
      </c>
      <c r="T5548" t="s">
        <v>49009</v>
      </c>
      <c r="U5548" t="s">
        <v>54205</v>
      </c>
      <c r="V5548" t="s">
        <v>63172</v>
      </c>
      <c r="W5548" t="s">
        <v>44967</v>
      </c>
      <c r="X5548" t="s">
        <v>47310</v>
      </c>
    </row>
    <row r="5549" spans="1:24">
      <c r="A5549">
        <f>HYPERLINK("https://www.philgeps.gov.ph/GEPSNONPILOT/Tender/SplashBidNoticeAbstractUI.aspx?menuIndex=3&amp;refID=7193822&amp;Result=3","7193822")</f>
        <v>0</v>
      </c>
      <c r="B5549" t="s">
        <v>1909</v>
      </c>
      <c r="C5549" t="s">
        <v>9060</v>
      </c>
      <c r="D5549" t="s">
        <v>19003</v>
      </c>
      <c r="E5549" t="s">
        <v>24008</v>
      </c>
      <c r="F5549" t="s">
        <v>32606</v>
      </c>
      <c r="G5549" t="s">
        <v>32619</v>
      </c>
      <c r="H5549" t="s">
        <v>14201</v>
      </c>
      <c r="I5549" t="s">
        <v>4114</v>
      </c>
      <c r="J5549" t="s">
        <v>36389</v>
      </c>
      <c r="K5549" t="s">
        <v>42629</v>
      </c>
      <c r="M5549" t="s">
        <v>44968</v>
      </c>
      <c r="N5549" t="s">
        <v>47304</v>
      </c>
      <c r="O5549" t="s">
        <v>47305</v>
      </c>
      <c r="P5549">
        <v>0</v>
      </c>
      <c r="Q5549">
        <v>0</v>
      </c>
      <c r="R5549" t="s">
        <v>47308</v>
      </c>
      <c r="S5549" t="s">
        <v>47429</v>
      </c>
      <c r="T5549" t="s">
        <v>49072</v>
      </c>
      <c r="U5549" t="s">
        <v>54206</v>
      </c>
      <c r="W5549" t="s">
        <v>44968</v>
      </c>
      <c r="X5549" t="s">
        <v>47310</v>
      </c>
    </row>
    <row r="5550" spans="1:24">
      <c r="A5550">
        <f>HYPERLINK("https://www.philgeps.gov.ph/GEPSNONPILOT/Tender/SplashBidNoticeAbstractUI.aspx?menuIndex=3&amp;refID=7193819&amp;Result=3","7193819")</f>
        <v>0</v>
      </c>
      <c r="B5550" t="s">
        <v>1910</v>
      </c>
      <c r="C5550" t="s">
        <v>9061</v>
      </c>
      <c r="D5550" t="s">
        <v>18989</v>
      </c>
      <c r="E5550" t="s">
        <v>24009</v>
      </c>
      <c r="F5550" t="s">
        <v>32606</v>
      </c>
      <c r="G5550" t="s">
        <v>32613</v>
      </c>
      <c r="H5550" t="s">
        <v>32623</v>
      </c>
      <c r="I5550" t="s">
        <v>6931</v>
      </c>
      <c r="J5550" t="s">
        <v>36390</v>
      </c>
      <c r="K5550" t="s">
        <v>42624</v>
      </c>
      <c r="M5550" t="s">
        <v>44969</v>
      </c>
      <c r="N5550" t="s">
        <v>47304</v>
      </c>
      <c r="O5550" t="s">
        <v>47305</v>
      </c>
      <c r="P5550">
        <v>0</v>
      </c>
      <c r="Q5550">
        <v>0</v>
      </c>
      <c r="R5550" t="s">
        <v>47308</v>
      </c>
      <c r="S5550" t="s">
        <v>47429</v>
      </c>
      <c r="T5550" t="s">
        <v>48986</v>
      </c>
      <c r="U5550" t="s">
        <v>54207</v>
      </c>
      <c r="W5550" t="s">
        <v>44969</v>
      </c>
      <c r="X5550" t="s">
        <v>47310</v>
      </c>
    </row>
    <row r="5551" spans="1:24">
      <c r="A5551">
        <f>HYPERLINK("https://www.philgeps.gov.ph/GEPSNONPILOT/Tender/SplashBidNoticeAbstractUI.aspx?menuIndex=3&amp;refID=7193816&amp;Result=3","7193816")</f>
        <v>0</v>
      </c>
      <c r="B5551" t="s">
        <v>1911</v>
      </c>
      <c r="C5551" t="s">
        <v>4547</v>
      </c>
      <c r="D5551" t="s">
        <v>19007</v>
      </c>
      <c r="E5551" t="s">
        <v>24010</v>
      </c>
      <c r="F5551" t="s">
        <v>32606</v>
      </c>
      <c r="G5551" t="s">
        <v>32613</v>
      </c>
      <c r="H5551" t="s">
        <v>14201</v>
      </c>
      <c r="I5551" t="s">
        <v>4120</v>
      </c>
      <c r="J5551" t="s">
        <v>32765</v>
      </c>
      <c r="K5551" t="s">
        <v>42622</v>
      </c>
      <c r="M5551" t="s">
        <v>44970</v>
      </c>
      <c r="N5551" t="s">
        <v>47304</v>
      </c>
      <c r="O5551" t="s">
        <v>47305</v>
      </c>
      <c r="P5551">
        <v>0</v>
      </c>
      <c r="Q5551">
        <v>1</v>
      </c>
      <c r="R5551" t="s">
        <v>47308</v>
      </c>
      <c r="S5551" t="s">
        <v>47429</v>
      </c>
      <c r="T5551" t="s">
        <v>48987</v>
      </c>
      <c r="U5551" t="s">
        <v>54208</v>
      </c>
      <c r="W5551" t="s">
        <v>44970</v>
      </c>
      <c r="X5551" t="s">
        <v>47310</v>
      </c>
    </row>
    <row r="5552" spans="1:24">
      <c r="A5552">
        <f>HYPERLINK("https://www.philgeps.gov.ph/GEPSNONPILOT/Tender/SplashBidNoticeAbstractUI.aspx?menuIndex=3&amp;refID=7193792&amp;Result=3","7193792")</f>
        <v>0</v>
      </c>
      <c r="B5552" t="s">
        <v>875</v>
      </c>
      <c r="C5552" t="s">
        <v>9062</v>
      </c>
      <c r="D5552" t="s">
        <v>19007</v>
      </c>
      <c r="E5552" t="s">
        <v>24011</v>
      </c>
      <c r="F5552" t="s">
        <v>32606</v>
      </c>
      <c r="G5552" t="s">
        <v>32613</v>
      </c>
      <c r="H5552" t="s">
        <v>14201</v>
      </c>
      <c r="I5552" t="s">
        <v>32633</v>
      </c>
      <c r="J5552" t="s">
        <v>36391</v>
      </c>
      <c r="K5552" t="s">
        <v>42622</v>
      </c>
      <c r="M5552" t="s">
        <v>43811</v>
      </c>
      <c r="N5552" t="s">
        <v>47304</v>
      </c>
      <c r="O5552" t="s">
        <v>47305</v>
      </c>
      <c r="P5552">
        <v>0</v>
      </c>
      <c r="Q5552">
        <v>4</v>
      </c>
      <c r="R5552" t="s">
        <v>47308</v>
      </c>
      <c r="S5552" t="s">
        <v>47429</v>
      </c>
      <c r="T5552" t="s">
        <v>48987</v>
      </c>
      <c r="U5552" t="s">
        <v>54209</v>
      </c>
      <c r="W5552" t="s">
        <v>43811</v>
      </c>
      <c r="X5552" t="s">
        <v>47310</v>
      </c>
    </row>
    <row r="5553" spans="1:24">
      <c r="A5553">
        <f>HYPERLINK("https://www.philgeps.gov.ph/GEPSNONPILOT/Tender/SplashBidNoticeAbstractUI.aspx?menuIndex=3&amp;refID=7193790&amp;Result=3","7193790")</f>
        <v>0</v>
      </c>
      <c r="B5553" t="s">
        <v>1912</v>
      </c>
      <c r="C5553" t="s">
        <v>9063</v>
      </c>
      <c r="D5553" t="s">
        <v>19067</v>
      </c>
      <c r="E5553" t="s">
        <v>19315</v>
      </c>
      <c r="F5553" t="s">
        <v>32606</v>
      </c>
      <c r="G5553" t="s">
        <v>32613</v>
      </c>
      <c r="H5553" t="s">
        <v>32623</v>
      </c>
      <c r="I5553" t="s">
        <v>17648</v>
      </c>
      <c r="J5553" t="s">
        <v>32981</v>
      </c>
      <c r="K5553" t="s">
        <v>42627</v>
      </c>
      <c r="M5553" t="s">
        <v>44971</v>
      </c>
      <c r="N5553" t="s">
        <v>47304</v>
      </c>
      <c r="O5553" t="s">
        <v>47305</v>
      </c>
      <c r="P5553">
        <v>0</v>
      </c>
      <c r="Q5553">
        <v>0</v>
      </c>
      <c r="R5553" t="s">
        <v>47308</v>
      </c>
      <c r="S5553" t="s">
        <v>47429</v>
      </c>
      <c r="T5553" t="s">
        <v>49015</v>
      </c>
      <c r="U5553" t="s">
        <v>54210</v>
      </c>
      <c r="W5553" t="s">
        <v>44971</v>
      </c>
      <c r="X5553" t="s">
        <v>47310</v>
      </c>
    </row>
    <row r="5554" spans="1:24">
      <c r="A5554">
        <f>HYPERLINK("https://www.philgeps.gov.ph/GEPSNONPILOT/Tender/SplashBidNoticeAbstractUI.aspx?menuIndex=3&amp;refID=7193767&amp;Result=3","7193767")</f>
        <v>0</v>
      </c>
      <c r="B5554" t="s">
        <v>1904</v>
      </c>
      <c r="C5554" t="s">
        <v>9064</v>
      </c>
      <c r="D5554" t="s">
        <v>19008</v>
      </c>
      <c r="E5554" t="s">
        <v>24012</v>
      </c>
      <c r="F5554" t="s">
        <v>32606</v>
      </c>
      <c r="G5554" t="s">
        <v>32613</v>
      </c>
      <c r="H5554" t="s">
        <v>14201</v>
      </c>
      <c r="I5554" t="s">
        <v>32640</v>
      </c>
      <c r="J5554" t="s">
        <v>36392</v>
      </c>
      <c r="K5554" t="s">
        <v>42624</v>
      </c>
      <c r="M5554" t="s">
        <v>44963</v>
      </c>
      <c r="N5554" t="s">
        <v>47304</v>
      </c>
      <c r="O5554" t="s">
        <v>47305</v>
      </c>
      <c r="P5554">
        <v>0</v>
      </c>
      <c r="Q5554">
        <v>5</v>
      </c>
      <c r="R5554" t="s">
        <v>47308</v>
      </c>
      <c r="S5554" t="s">
        <v>47429</v>
      </c>
      <c r="T5554" t="s">
        <v>48995</v>
      </c>
      <c r="U5554" t="s">
        <v>54211</v>
      </c>
      <c r="V5554" t="s">
        <v>63173</v>
      </c>
      <c r="W5554" t="s">
        <v>44963</v>
      </c>
      <c r="X5554" t="s">
        <v>47310</v>
      </c>
    </row>
    <row r="5555" spans="1:24">
      <c r="A5555">
        <f>HYPERLINK("https://www.philgeps.gov.ph/GEPSNONPILOT/Tender/SplashBidNoticeAbstractUI.aspx?menuIndex=3&amp;refID=7193787&amp;Result=3","7193787")</f>
        <v>0</v>
      </c>
      <c r="B5555" t="s">
        <v>707</v>
      </c>
      <c r="C5555" t="s">
        <v>9065</v>
      </c>
      <c r="D5555" t="s">
        <v>19022</v>
      </c>
      <c r="E5555" t="s">
        <v>24013</v>
      </c>
      <c r="F5555" t="s">
        <v>32606</v>
      </c>
      <c r="G5555" t="s">
        <v>32621</v>
      </c>
      <c r="H5555" t="s">
        <v>14201</v>
      </c>
      <c r="I5555" t="s">
        <v>4114</v>
      </c>
      <c r="J5555" t="s">
        <v>36393</v>
      </c>
      <c r="K5555" t="s">
        <v>42622</v>
      </c>
      <c r="M5555" t="s">
        <v>43628</v>
      </c>
      <c r="N5555" t="s">
        <v>47304</v>
      </c>
      <c r="O5555" t="s">
        <v>47305</v>
      </c>
      <c r="P5555">
        <v>0</v>
      </c>
      <c r="Q5555">
        <v>10</v>
      </c>
      <c r="R5555" t="s">
        <v>47308</v>
      </c>
      <c r="S5555" t="s">
        <v>47429</v>
      </c>
      <c r="T5555" t="s">
        <v>49047</v>
      </c>
      <c r="U5555" t="s">
        <v>54212</v>
      </c>
      <c r="W5555" t="s">
        <v>43628</v>
      </c>
      <c r="X5555" t="s">
        <v>47310</v>
      </c>
    </row>
    <row r="5556" spans="1:24">
      <c r="A5556">
        <f>HYPERLINK("https://www.philgeps.gov.ph/GEPSNONPILOT/Tender/SplashBidNoticeAbstractUI.aspx?menuIndex=3&amp;refID=7193789&amp;Result=3","7193789")</f>
        <v>0</v>
      </c>
      <c r="B5556" t="s">
        <v>1913</v>
      </c>
      <c r="C5556" t="s">
        <v>9066</v>
      </c>
      <c r="D5556" t="s">
        <v>19003</v>
      </c>
      <c r="E5556" t="s">
        <v>24014</v>
      </c>
      <c r="F5556" t="s">
        <v>32606</v>
      </c>
      <c r="G5556" t="s">
        <v>32619</v>
      </c>
      <c r="H5556" t="s">
        <v>14201</v>
      </c>
      <c r="I5556" t="s">
        <v>32675</v>
      </c>
      <c r="J5556" t="s">
        <v>36394</v>
      </c>
      <c r="K5556" t="s">
        <v>42630</v>
      </c>
      <c r="M5556" t="s">
        <v>44972</v>
      </c>
      <c r="N5556" t="s">
        <v>47304</v>
      </c>
      <c r="O5556" t="s">
        <v>47305</v>
      </c>
      <c r="P5556">
        <v>0</v>
      </c>
      <c r="Q5556">
        <v>1</v>
      </c>
      <c r="R5556" t="s">
        <v>47308</v>
      </c>
      <c r="S5556" t="s">
        <v>47429</v>
      </c>
      <c r="T5556" t="s">
        <v>49072</v>
      </c>
      <c r="U5556" t="s">
        <v>54213</v>
      </c>
      <c r="W5556" t="s">
        <v>44972</v>
      </c>
      <c r="X5556" t="s">
        <v>47310</v>
      </c>
    </row>
    <row r="5557" spans="1:24">
      <c r="A5557">
        <f>HYPERLINK("https://www.philgeps.gov.ph/GEPSNONPILOT/Tender/SplashBidNoticeAbstractUI.aspx?menuIndex=3&amp;refID=7193783&amp;Result=3","7193783")</f>
        <v>0</v>
      </c>
      <c r="B5557" t="s">
        <v>1175</v>
      </c>
      <c r="C5557" t="s">
        <v>9067</v>
      </c>
      <c r="D5557" t="s">
        <v>19015</v>
      </c>
      <c r="E5557" t="s">
        <v>24015</v>
      </c>
      <c r="F5557" t="s">
        <v>32606</v>
      </c>
      <c r="G5557" t="s">
        <v>32614</v>
      </c>
      <c r="H5557" t="s">
        <v>14201</v>
      </c>
      <c r="I5557" t="s">
        <v>32648</v>
      </c>
      <c r="J5557" t="s">
        <v>36395</v>
      </c>
      <c r="K5557" t="s">
        <v>42623</v>
      </c>
      <c r="M5557" t="s">
        <v>44138</v>
      </c>
      <c r="N5557" t="s">
        <v>47304</v>
      </c>
      <c r="O5557" t="s">
        <v>47305</v>
      </c>
      <c r="P5557">
        <v>0</v>
      </c>
      <c r="Q5557">
        <v>2</v>
      </c>
      <c r="R5557" t="s">
        <v>47308</v>
      </c>
      <c r="S5557" t="s">
        <v>47429</v>
      </c>
      <c r="T5557" t="s">
        <v>49047</v>
      </c>
      <c r="U5557" t="s">
        <v>54214</v>
      </c>
      <c r="W5557" t="s">
        <v>44138</v>
      </c>
      <c r="X5557" t="s">
        <v>47310</v>
      </c>
    </row>
    <row r="5558" spans="1:24">
      <c r="A5558">
        <f>HYPERLINK("https://www.philgeps.gov.ph/GEPSNONPILOT/Tender/SplashBidNoticeAbstractUI.aspx?menuIndex=3&amp;refID=7193788&amp;Result=3","7193788")</f>
        <v>0</v>
      </c>
      <c r="B5558" t="s">
        <v>64</v>
      </c>
      <c r="C5558" t="s">
        <v>9068</v>
      </c>
      <c r="D5558" t="s">
        <v>19004</v>
      </c>
      <c r="E5558" t="s">
        <v>24016</v>
      </c>
      <c r="F5558" t="s">
        <v>32606</v>
      </c>
      <c r="G5558" t="s">
        <v>32614</v>
      </c>
      <c r="H5558" t="s">
        <v>14201</v>
      </c>
      <c r="I5558" t="s">
        <v>8682</v>
      </c>
      <c r="J5558" t="s">
        <v>36396</v>
      </c>
      <c r="K5558" t="s">
        <v>42623</v>
      </c>
      <c r="M5558" t="s">
        <v>42961</v>
      </c>
      <c r="N5558" t="s">
        <v>47304</v>
      </c>
      <c r="O5558" t="s">
        <v>47305</v>
      </c>
      <c r="P5558">
        <v>0</v>
      </c>
      <c r="Q5558">
        <v>1</v>
      </c>
      <c r="R5558" t="s">
        <v>47308</v>
      </c>
      <c r="S5558" t="s">
        <v>47429</v>
      </c>
      <c r="T5558" t="s">
        <v>48998</v>
      </c>
      <c r="U5558" t="s">
        <v>54215</v>
      </c>
      <c r="W5558" t="s">
        <v>46968</v>
      </c>
      <c r="X5558" t="s">
        <v>47310</v>
      </c>
    </row>
    <row r="5559" spans="1:24">
      <c r="A5559">
        <f>HYPERLINK("https://www.philgeps.gov.ph/GEPSNONPILOT/Tender/SplashBidNoticeAbstractUI.aspx?menuIndex=3&amp;refID=7193782&amp;Result=3","7193782")</f>
        <v>0</v>
      </c>
      <c r="B5559" t="s">
        <v>1905</v>
      </c>
      <c r="C5559" t="s">
        <v>9069</v>
      </c>
      <c r="D5559" t="s">
        <v>19023</v>
      </c>
      <c r="E5559" t="s">
        <v>24017</v>
      </c>
      <c r="F5559" t="s">
        <v>32606</v>
      </c>
      <c r="G5559" t="s">
        <v>32613</v>
      </c>
      <c r="H5559" t="s">
        <v>14201</v>
      </c>
      <c r="I5559" t="s">
        <v>6931</v>
      </c>
      <c r="J5559" t="s">
        <v>36397</v>
      </c>
      <c r="K5559" t="s">
        <v>42629</v>
      </c>
      <c r="M5559" t="s">
        <v>44964</v>
      </c>
      <c r="N5559" t="s">
        <v>47304</v>
      </c>
      <c r="O5559" t="s">
        <v>47305</v>
      </c>
      <c r="P5559">
        <v>0</v>
      </c>
      <c r="Q5559">
        <v>0</v>
      </c>
      <c r="R5559" t="s">
        <v>47308</v>
      </c>
      <c r="S5559" t="s">
        <v>47429</v>
      </c>
      <c r="T5559" t="s">
        <v>49098</v>
      </c>
      <c r="U5559" t="s">
        <v>54216</v>
      </c>
      <c r="W5559" t="s">
        <v>44964</v>
      </c>
      <c r="X5559" t="s">
        <v>47310</v>
      </c>
    </row>
    <row r="5560" spans="1:24">
      <c r="A5560">
        <f>HYPERLINK("https://www.philgeps.gov.ph/GEPSNONPILOT/Tender/SplashBidNoticeAbstractUI.aspx?menuIndex=3&amp;refID=7193779&amp;Result=3","7193779")</f>
        <v>0</v>
      </c>
      <c r="B5560" t="s">
        <v>1904</v>
      </c>
      <c r="C5560" t="s">
        <v>9070</v>
      </c>
      <c r="E5560" t="s">
        <v>24018</v>
      </c>
      <c r="F5560" t="s">
        <v>32606</v>
      </c>
      <c r="G5560" t="s">
        <v>32613</v>
      </c>
      <c r="H5560" t="s">
        <v>14201</v>
      </c>
      <c r="I5560" t="s">
        <v>32733</v>
      </c>
      <c r="J5560" t="s">
        <v>36398</v>
      </c>
      <c r="K5560" t="s">
        <v>42624</v>
      </c>
      <c r="M5560" t="s">
        <v>44963</v>
      </c>
      <c r="N5560" t="s">
        <v>47304</v>
      </c>
      <c r="O5560" t="s">
        <v>47305</v>
      </c>
      <c r="P5560">
        <v>0</v>
      </c>
      <c r="Q5560">
        <v>0</v>
      </c>
      <c r="R5560" t="s">
        <v>47308</v>
      </c>
      <c r="S5560" t="s">
        <v>47429</v>
      </c>
      <c r="T5560" t="s">
        <v>48995</v>
      </c>
      <c r="U5560" t="s">
        <v>54217</v>
      </c>
      <c r="V5560" t="s">
        <v>63165</v>
      </c>
      <c r="W5560" t="s">
        <v>44963</v>
      </c>
      <c r="X5560" t="s">
        <v>47310</v>
      </c>
    </row>
    <row r="5561" spans="1:24">
      <c r="A5561">
        <f>HYPERLINK("https://www.philgeps.gov.ph/GEPSNONPILOT/Tender/SplashBidNoticeAbstractUI.aspx?menuIndex=3&amp;refID=7193786&amp;Result=3","7193786")</f>
        <v>0</v>
      </c>
      <c r="B5561" t="s">
        <v>1913</v>
      </c>
      <c r="C5561" t="s">
        <v>9071</v>
      </c>
      <c r="D5561" t="s">
        <v>19003</v>
      </c>
      <c r="E5561" t="s">
        <v>24019</v>
      </c>
      <c r="F5561" t="s">
        <v>32606</v>
      </c>
      <c r="G5561" t="s">
        <v>32619</v>
      </c>
      <c r="H5561" t="s">
        <v>14201</v>
      </c>
      <c r="I5561" t="s">
        <v>6298</v>
      </c>
      <c r="J5561" t="s">
        <v>36399</v>
      </c>
      <c r="K5561" t="s">
        <v>42630</v>
      </c>
      <c r="M5561" t="s">
        <v>44972</v>
      </c>
      <c r="N5561" t="s">
        <v>47304</v>
      </c>
      <c r="O5561" t="s">
        <v>47305</v>
      </c>
      <c r="P5561">
        <v>0</v>
      </c>
      <c r="Q5561">
        <v>1</v>
      </c>
      <c r="R5561" t="s">
        <v>47308</v>
      </c>
      <c r="S5561" t="s">
        <v>47429</v>
      </c>
      <c r="T5561" t="s">
        <v>49072</v>
      </c>
      <c r="U5561" t="s">
        <v>54218</v>
      </c>
      <c r="W5561" t="s">
        <v>44972</v>
      </c>
      <c r="X5561" t="s">
        <v>47310</v>
      </c>
    </row>
    <row r="5562" spans="1:24">
      <c r="A5562">
        <f>HYPERLINK("https://www.philgeps.gov.ph/GEPSNONPILOT/Tender/SplashBidNoticeAbstractUI.aspx?menuIndex=3&amp;refID=7193778&amp;Result=3","7193778")</f>
        <v>0</v>
      </c>
      <c r="B5562" t="s">
        <v>1904</v>
      </c>
      <c r="C5562" t="s">
        <v>9072</v>
      </c>
      <c r="E5562" t="s">
        <v>24020</v>
      </c>
      <c r="F5562" t="s">
        <v>32606</v>
      </c>
      <c r="G5562" t="s">
        <v>32613</v>
      </c>
      <c r="H5562" t="s">
        <v>14201</v>
      </c>
      <c r="I5562" t="s">
        <v>32693</v>
      </c>
      <c r="J5562" t="s">
        <v>32778</v>
      </c>
      <c r="K5562" t="s">
        <v>42624</v>
      </c>
      <c r="M5562" t="s">
        <v>44963</v>
      </c>
      <c r="N5562" t="s">
        <v>47304</v>
      </c>
      <c r="O5562" t="s">
        <v>47305</v>
      </c>
      <c r="P5562">
        <v>0</v>
      </c>
      <c r="Q5562">
        <v>1</v>
      </c>
      <c r="R5562" t="s">
        <v>47308</v>
      </c>
      <c r="S5562" t="s">
        <v>47429</v>
      </c>
      <c r="T5562" t="s">
        <v>48995</v>
      </c>
      <c r="U5562" t="s">
        <v>54219</v>
      </c>
      <c r="V5562" t="s">
        <v>63165</v>
      </c>
      <c r="W5562" t="s">
        <v>44963</v>
      </c>
      <c r="X5562" t="s">
        <v>47310</v>
      </c>
    </row>
    <row r="5563" spans="1:24">
      <c r="A5563">
        <f>HYPERLINK("https://www.philgeps.gov.ph/GEPSNONPILOT/Tender/SplashBidNoticeAbstractUI.aspx?menuIndex=3&amp;refID=7193664&amp;Result=3","7193664")</f>
        <v>0</v>
      </c>
      <c r="B5563" t="s">
        <v>1899</v>
      </c>
      <c r="C5563" t="s">
        <v>9073</v>
      </c>
      <c r="D5563" t="s">
        <v>19041</v>
      </c>
      <c r="E5563" t="s">
        <v>24021</v>
      </c>
      <c r="F5563" t="s">
        <v>32606</v>
      </c>
      <c r="G5563" t="s">
        <v>32613</v>
      </c>
      <c r="H5563" t="s">
        <v>32623</v>
      </c>
      <c r="I5563" t="s">
        <v>17648</v>
      </c>
      <c r="J5563" t="s">
        <v>36400</v>
      </c>
      <c r="K5563" t="s">
        <v>42700</v>
      </c>
      <c r="M5563" t="s">
        <v>44958</v>
      </c>
      <c r="N5563" t="s">
        <v>47304</v>
      </c>
      <c r="O5563" t="s">
        <v>47305</v>
      </c>
      <c r="P5563">
        <v>0</v>
      </c>
      <c r="Q5563">
        <v>0</v>
      </c>
      <c r="R5563" t="s">
        <v>47308</v>
      </c>
      <c r="S5563" t="s">
        <v>47429</v>
      </c>
      <c r="T5563" t="s">
        <v>49008</v>
      </c>
      <c r="U5563" t="s">
        <v>54220</v>
      </c>
      <c r="W5563" t="s">
        <v>44958</v>
      </c>
      <c r="X5563" t="s">
        <v>47311</v>
      </c>
    </row>
    <row r="5564" spans="1:24">
      <c r="A5564">
        <f>HYPERLINK("https://www.philgeps.gov.ph/GEPSNONPILOT/Tender/SplashBidNoticeAbstractUI.aspx?menuIndex=3&amp;refID=7193775&amp;Result=3","7193775")</f>
        <v>0</v>
      </c>
      <c r="B5564" t="s">
        <v>1904</v>
      </c>
      <c r="C5564" t="s">
        <v>9074</v>
      </c>
      <c r="D5564" t="s">
        <v>18988</v>
      </c>
      <c r="E5564" t="s">
        <v>24022</v>
      </c>
      <c r="F5564" t="s">
        <v>32606</v>
      </c>
      <c r="G5564" t="s">
        <v>32613</v>
      </c>
      <c r="H5564" t="s">
        <v>14201</v>
      </c>
      <c r="I5564" t="s">
        <v>32686</v>
      </c>
      <c r="J5564" t="s">
        <v>33529</v>
      </c>
      <c r="K5564" t="s">
        <v>42624</v>
      </c>
      <c r="M5564" t="s">
        <v>44963</v>
      </c>
      <c r="N5564" t="s">
        <v>47304</v>
      </c>
      <c r="O5564" t="s">
        <v>47305</v>
      </c>
      <c r="P5564">
        <v>0</v>
      </c>
      <c r="Q5564">
        <v>3</v>
      </c>
      <c r="R5564" t="s">
        <v>47308</v>
      </c>
      <c r="S5564" t="s">
        <v>47429</v>
      </c>
      <c r="T5564" t="s">
        <v>48995</v>
      </c>
      <c r="U5564" t="s">
        <v>54221</v>
      </c>
      <c r="V5564" t="s">
        <v>63169</v>
      </c>
      <c r="W5564" t="s">
        <v>44963</v>
      </c>
      <c r="X5564" t="s">
        <v>47310</v>
      </c>
    </row>
    <row r="5565" spans="1:24">
      <c r="A5565">
        <f>HYPERLINK("https://www.philgeps.gov.ph/GEPSNONPILOT/Tender/SplashBidNoticeAbstractUI.aspx?menuIndex=3&amp;refID=7193673&amp;Result=3","7193673")</f>
        <v>0</v>
      </c>
      <c r="B5565" t="s">
        <v>1914</v>
      </c>
      <c r="C5565" t="s">
        <v>9075</v>
      </c>
      <c r="D5565" t="s">
        <v>19047</v>
      </c>
      <c r="E5565" t="s">
        <v>24023</v>
      </c>
      <c r="F5565" t="s">
        <v>32606</v>
      </c>
      <c r="G5565" t="s">
        <v>32614</v>
      </c>
      <c r="H5565" t="s">
        <v>14201</v>
      </c>
      <c r="I5565" t="s">
        <v>32633</v>
      </c>
      <c r="J5565" t="s">
        <v>36401</v>
      </c>
      <c r="K5565" t="s">
        <v>42632</v>
      </c>
      <c r="M5565" t="s">
        <v>44973</v>
      </c>
      <c r="N5565" t="s">
        <v>47304</v>
      </c>
      <c r="O5565" t="s">
        <v>47305</v>
      </c>
      <c r="P5565">
        <v>0</v>
      </c>
      <c r="Q5565">
        <v>5</v>
      </c>
      <c r="R5565" t="s">
        <v>47308</v>
      </c>
      <c r="S5565" t="s">
        <v>47429</v>
      </c>
      <c r="T5565" t="s">
        <v>48998</v>
      </c>
      <c r="U5565" t="s">
        <v>54222</v>
      </c>
      <c r="W5565" t="s">
        <v>44973</v>
      </c>
      <c r="X5565" t="s">
        <v>47311</v>
      </c>
    </row>
    <row r="5566" spans="1:24">
      <c r="A5566">
        <f>HYPERLINK("https://www.philgeps.gov.ph/GEPSNONPILOT/Tender/SplashBidNoticeAbstractUI.aspx?menuIndex=3&amp;refID=7193781&amp;Result=3","7193781")</f>
        <v>0</v>
      </c>
      <c r="B5566" t="s">
        <v>1904</v>
      </c>
      <c r="C5566" t="s">
        <v>9076</v>
      </c>
      <c r="E5566" t="s">
        <v>24024</v>
      </c>
      <c r="F5566" t="s">
        <v>32606</v>
      </c>
      <c r="G5566" t="s">
        <v>32613</v>
      </c>
      <c r="H5566" t="s">
        <v>14201</v>
      </c>
      <c r="I5566" t="s">
        <v>32693</v>
      </c>
      <c r="J5566" t="s">
        <v>36402</v>
      </c>
      <c r="K5566" t="s">
        <v>42624</v>
      </c>
      <c r="M5566" t="s">
        <v>44963</v>
      </c>
      <c r="N5566" t="s">
        <v>47304</v>
      </c>
      <c r="O5566" t="s">
        <v>47305</v>
      </c>
      <c r="P5566">
        <v>0</v>
      </c>
      <c r="Q5566">
        <v>0</v>
      </c>
      <c r="R5566" t="s">
        <v>47308</v>
      </c>
      <c r="S5566" t="s">
        <v>47429</v>
      </c>
      <c r="T5566" t="s">
        <v>48995</v>
      </c>
      <c r="U5566" t="s">
        <v>54223</v>
      </c>
      <c r="V5566" t="s">
        <v>63174</v>
      </c>
      <c r="W5566" t="s">
        <v>44963</v>
      </c>
      <c r="X5566" t="s">
        <v>47310</v>
      </c>
    </row>
    <row r="5567" spans="1:24">
      <c r="A5567">
        <f>HYPERLINK("https://www.philgeps.gov.ph/GEPSNONPILOT/Tender/SplashBidNoticeAbstractUI.aspx?menuIndex=3&amp;refID=7193667&amp;Result=3","7193667")</f>
        <v>0</v>
      </c>
      <c r="B5567" t="s">
        <v>1899</v>
      </c>
      <c r="C5567" t="s">
        <v>9077</v>
      </c>
      <c r="D5567" t="s">
        <v>19041</v>
      </c>
      <c r="E5567" t="s">
        <v>24025</v>
      </c>
      <c r="F5567" t="s">
        <v>32606</v>
      </c>
      <c r="G5567" t="s">
        <v>32613</v>
      </c>
      <c r="H5567" t="s">
        <v>32623</v>
      </c>
      <c r="I5567" t="s">
        <v>17648</v>
      </c>
      <c r="J5567" t="s">
        <v>36403</v>
      </c>
      <c r="K5567" t="s">
        <v>42719</v>
      </c>
      <c r="M5567" t="s">
        <v>44958</v>
      </c>
      <c r="N5567" t="s">
        <v>47304</v>
      </c>
      <c r="O5567" t="s">
        <v>47305</v>
      </c>
      <c r="P5567">
        <v>0</v>
      </c>
      <c r="Q5567">
        <v>0</v>
      </c>
      <c r="R5567" t="s">
        <v>47308</v>
      </c>
      <c r="S5567" t="s">
        <v>47429</v>
      </c>
      <c r="T5567" t="s">
        <v>49008</v>
      </c>
      <c r="U5567" t="s">
        <v>54224</v>
      </c>
      <c r="W5567" t="s">
        <v>44958</v>
      </c>
      <c r="X5567" t="s">
        <v>47311</v>
      </c>
    </row>
    <row r="5568" spans="1:24">
      <c r="A5568">
        <f>HYPERLINK("https://www.philgeps.gov.ph/GEPSNONPILOT/Tender/SplashBidNoticeAbstractUI.aspx?menuIndex=3&amp;refID=7193824&amp;Result=3","7193824")</f>
        <v>0</v>
      </c>
      <c r="B5568" t="s">
        <v>1915</v>
      </c>
      <c r="C5568" t="s">
        <v>9078</v>
      </c>
      <c r="D5568" t="s">
        <v>19053</v>
      </c>
      <c r="E5568" t="s">
        <v>24026</v>
      </c>
      <c r="F5568" t="s">
        <v>32606</v>
      </c>
      <c r="G5568" t="s">
        <v>32613</v>
      </c>
      <c r="H5568" t="s">
        <v>32623</v>
      </c>
      <c r="I5568" t="s">
        <v>17648</v>
      </c>
      <c r="J5568" t="s">
        <v>36404</v>
      </c>
      <c r="K5568" t="s">
        <v>42673</v>
      </c>
      <c r="M5568" t="s">
        <v>44974</v>
      </c>
      <c r="N5568" t="s">
        <v>47304</v>
      </c>
      <c r="O5568" t="s">
        <v>47305</v>
      </c>
      <c r="P5568">
        <v>0</v>
      </c>
      <c r="Q5568">
        <v>0</v>
      </c>
      <c r="R5568" t="s">
        <v>47308</v>
      </c>
      <c r="S5568" t="s">
        <v>47429</v>
      </c>
      <c r="T5568" t="s">
        <v>49084</v>
      </c>
      <c r="U5568" t="s">
        <v>54225</v>
      </c>
      <c r="V5568" t="s">
        <v>63175</v>
      </c>
      <c r="W5568" t="s">
        <v>44974</v>
      </c>
      <c r="X5568" t="s">
        <v>47310</v>
      </c>
    </row>
    <row r="5569" spans="1:24">
      <c r="A5569">
        <f>HYPERLINK("https://www.philgeps.gov.ph/GEPSNONPILOT/Tender/SplashBidNoticeAbstractUI.aspx?menuIndex=3&amp;refID=7193666&amp;Result=3","7193666")</f>
        <v>0</v>
      </c>
      <c r="B5569" t="s">
        <v>1899</v>
      </c>
      <c r="C5569" t="s">
        <v>9079</v>
      </c>
      <c r="D5569" t="s">
        <v>19041</v>
      </c>
      <c r="E5569" t="s">
        <v>24027</v>
      </c>
      <c r="F5569" t="s">
        <v>32606</v>
      </c>
      <c r="G5569" t="s">
        <v>32613</v>
      </c>
      <c r="H5569" t="s">
        <v>32623</v>
      </c>
      <c r="I5569" t="s">
        <v>17648</v>
      </c>
      <c r="J5569" t="s">
        <v>36405</v>
      </c>
      <c r="K5569" t="s">
        <v>42719</v>
      </c>
      <c r="M5569" t="s">
        <v>44958</v>
      </c>
      <c r="N5569" t="s">
        <v>47304</v>
      </c>
      <c r="O5569" t="s">
        <v>47305</v>
      </c>
      <c r="P5569">
        <v>0</v>
      </c>
      <c r="Q5569">
        <v>0</v>
      </c>
      <c r="R5569" t="s">
        <v>47308</v>
      </c>
      <c r="S5569" t="s">
        <v>47429</v>
      </c>
      <c r="T5569" t="s">
        <v>49008</v>
      </c>
      <c r="U5569" t="s">
        <v>54226</v>
      </c>
      <c r="W5569" t="s">
        <v>44958</v>
      </c>
      <c r="X5569" t="s">
        <v>47311</v>
      </c>
    </row>
    <row r="5570" spans="1:24">
      <c r="A5570">
        <f>HYPERLINK("https://www.philgeps.gov.ph/GEPSNONPILOT/Tender/SplashBidNoticeAbstractUI.aspx?menuIndex=3&amp;refID=7193665&amp;Result=3","7193665")</f>
        <v>0</v>
      </c>
      <c r="B5570" t="s">
        <v>1916</v>
      </c>
      <c r="C5570" t="s">
        <v>9080</v>
      </c>
      <c r="E5570" t="s">
        <v>24028</v>
      </c>
      <c r="F5570" t="s">
        <v>32606</v>
      </c>
      <c r="G5570" t="s">
        <v>32613</v>
      </c>
      <c r="H5570" t="s">
        <v>32623</v>
      </c>
      <c r="I5570" t="s">
        <v>17648</v>
      </c>
      <c r="J5570" t="s">
        <v>36406</v>
      </c>
      <c r="K5570" t="s">
        <v>42622</v>
      </c>
      <c r="M5570" t="s">
        <v>44975</v>
      </c>
      <c r="N5570" t="s">
        <v>47304</v>
      </c>
      <c r="O5570" t="s">
        <v>47305</v>
      </c>
      <c r="P5570">
        <v>0</v>
      </c>
      <c r="Q5570">
        <v>0</v>
      </c>
      <c r="R5570" t="s">
        <v>47308</v>
      </c>
      <c r="S5570" t="s">
        <v>47429</v>
      </c>
      <c r="T5570" t="s">
        <v>49215</v>
      </c>
      <c r="U5570" t="s">
        <v>54227</v>
      </c>
      <c r="W5570" t="s">
        <v>44975</v>
      </c>
      <c r="X5570" t="s">
        <v>47311</v>
      </c>
    </row>
    <row r="5571" spans="1:24">
      <c r="A5571">
        <f>HYPERLINK("https://www.philgeps.gov.ph/GEPSNONPILOT/Tender/SplashBidNoticeAbstractUI.aspx?menuIndex=3&amp;refID=7193688&amp;Result=3","7193688")</f>
        <v>0</v>
      </c>
      <c r="B5571" t="s">
        <v>1914</v>
      </c>
      <c r="C5571" t="s">
        <v>9081</v>
      </c>
      <c r="D5571" t="s">
        <v>19047</v>
      </c>
      <c r="E5571" t="s">
        <v>24029</v>
      </c>
      <c r="F5571" t="s">
        <v>32606</v>
      </c>
      <c r="G5571" t="s">
        <v>32614</v>
      </c>
      <c r="H5571" t="s">
        <v>14201</v>
      </c>
      <c r="I5571" t="s">
        <v>32640</v>
      </c>
      <c r="J5571" t="s">
        <v>32885</v>
      </c>
      <c r="K5571" t="s">
        <v>42632</v>
      </c>
      <c r="M5571" t="s">
        <v>44973</v>
      </c>
      <c r="N5571" t="s">
        <v>47304</v>
      </c>
      <c r="O5571" t="s">
        <v>47305</v>
      </c>
      <c r="P5571">
        <v>0</v>
      </c>
      <c r="Q5571">
        <v>2</v>
      </c>
      <c r="R5571" t="s">
        <v>47308</v>
      </c>
      <c r="S5571" t="s">
        <v>47429</v>
      </c>
      <c r="T5571" t="s">
        <v>48998</v>
      </c>
      <c r="U5571" t="s">
        <v>54222</v>
      </c>
      <c r="W5571" t="s">
        <v>44973</v>
      </c>
      <c r="X5571" t="s">
        <v>47311</v>
      </c>
    </row>
    <row r="5572" spans="1:24">
      <c r="A5572">
        <f>HYPERLINK("https://www.philgeps.gov.ph/GEPSNONPILOT/Tender/SplashBidNoticeAbstractUI.aspx?menuIndex=3&amp;refID=7193617&amp;Result=3","7193617")</f>
        <v>0</v>
      </c>
      <c r="B5572" t="s">
        <v>1899</v>
      </c>
      <c r="C5572" t="s">
        <v>9082</v>
      </c>
      <c r="D5572" t="s">
        <v>19041</v>
      </c>
      <c r="E5572" t="s">
        <v>24030</v>
      </c>
      <c r="F5572" t="s">
        <v>32606</v>
      </c>
      <c r="G5572" t="s">
        <v>32613</v>
      </c>
      <c r="H5572" t="s">
        <v>32623</v>
      </c>
      <c r="I5572" t="s">
        <v>17648</v>
      </c>
      <c r="J5572" t="s">
        <v>36407</v>
      </c>
      <c r="K5572" t="s">
        <v>42752</v>
      </c>
      <c r="M5572" t="s">
        <v>44958</v>
      </c>
      <c r="N5572" t="s">
        <v>47304</v>
      </c>
      <c r="O5572" t="s">
        <v>47305</v>
      </c>
      <c r="P5572">
        <v>0</v>
      </c>
      <c r="Q5572">
        <v>0</v>
      </c>
      <c r="R5572" t="s">
        <v>47308</v>
      </c>
      <c r="S5572" t="s">
        <v>47429</v>
      </c>
      <c r="T5572" t="s">
        <v>49008</v>
      </c>
      <c r="U5572" t="s">
        <v>54228</v>
      </c>
      <c r="W5572" t="s">
        <v>44958</v>
      </c>
      <c r="X5572" t="s">
        <v>47311</v>
      </c>
    </row>
    <row r="5573" spans="1:24">
      <c r="A5573">
        <f>HYPERLINK("https://www.philgeps.gov.ph/GEPSNONPILOT/Tender/SplashBidNoticeAbstractUI.aspx?menuIndex=3&amp;refID=7193613&amp;Result=3","7193613")</f>
        <v>0</v>
      </c>
      <c r="B5573" t="s">
        <v>1899</v>
      </c>
      <c r="C5573" t="s">
        <v>9083</v>
      </c>
      <c r="D5573" t="s">
        <v>19041</v>
      </c>
      <c r="E5573" t="s">
        <v>24031</v>
      </c>
      <c r="F5573" t="s">
        <v>32606</v>
      </c>
      <c r="G5573" t="s">
        <v>32613</v>
      </c>
      <c r="H5573" t="s">
        <v>32623</v>
      </c>
      <c r="I5573" t="s">
        <v>17648</v>
      </c>
      <c r="J5573" t="s">
        <v>36408</v>
      </c>
      <c r="K5573" t="s">
        <v>42773</v>
      </c>
      <c r="M5573" t="s">
        <v>44958</v>
      </c>
      <c r="N5573" t="s">
        <v>47304</v>
      </c>
      <c r="O5573" t="s">
        <v>47305</v>
      </c>
      <c r="P5573">
        <v>0</v>
      </c>
      <c r="Q5573">
        <v>0</v>
      </c>
      <c r="R5573" t="s">
        <v>47308</v>
      </c>
      <c r="S5573" t="s">
        <v>47429</v>
      </c>
      <c r="T5573" t="s">
        <v>49008</v>
      </c>
      <c r="U5573" t="s">
        <v>54229</v>
      </c>
      <c r="W5573" t="s">
        <v>44958</v>
      </c>
      <c r="X5573" t="s">
        <v>47311</v>
      </c>
    </row>
    <row r="5574" spans="1:24">
      <c r="A5574">
        <f>HYPERLINK("https://www.philgeps.gov.ph/GEPSNONPILOT/Tender/SplashBidNoticeAbstractUI.aspx?menuIndex=3&amp;refID=7193679&amp;Result=3","7193679")</f>
        <v>0</v>
      </c>
      <c r="B5574" t="s">
        <v>1899</v>
      </c>
      <c r="C5574" t="s">
        <v>9084</v>
      </c>
      <c r="D5574" t="s">
        <v>19041</v>
      </c>
      <c r="E5574" t="s">
        <v>24032</v>
      </c>
      <c r="F5574" t="s">
        <v>32606</v>
      </c>
      <c r="G5574" t="s">
        <v>32613</v>
      </c>
      <c r="H5574" t="s">
        <v>32623</v>
      </c>
      <c r="I5574" t="s">
        <v>17648</v>
      </c>
      <c r="J5574" t="s">
        <v>36409</v>
      </c>
      <c r="K5574" t="s">
        <v>42719</v>
      </c>
      <c r="M5574" t="s">
        <v>44958</v>
      </c>
      <c r="N5574" t="s">
        <v>47304</v>
      </c>
      <c r="O5574" t="s">
        <v>47305</v>
      </c>
      <c r="P5574">
        <v>0</v>
      </c>
      <c r="Q5574">
        <v>0</v>
      </c>
      <c r="R5574" t="s">
        <v>47308</v>
      </c>
      <c r="S5574" t="s">
        <v>47429</v>
      </c>
      <c r="T5574" t="s">
        <v>49008</v>
      </c>
      <c r="U5574" t="s">
        <v>54230</v>
      </c>
      <c r="W5574" t="s">
        <v>44958</v>
      </c>
      <c r="X5574" t="s">
        <v>47311</v>
      </c>
    </row>
    <row r="5575" spans="1:24">
      <c r="A5575">
        <f>HYPERLINK("https://www.philgeps.gov.ph/GEPSNONPILOT/Tender/SplashBidNoticeAbstractUI.aspx?menuIndex=3&amp;refID=7193883&amp;Result=3","7193883")</f>
        <v>0</v>
      </c>
      <c r="B5575" t="s">
        <v>1917</v>
      </c>
      <c r="C5575" t="s">
        <v>9085</v>
      </c>
      <c r="D5575" t="s">
        <v>19070</v>
      </c>
      <c r="E5575" t="s">
        <v>24033</v>
      </c>
      <c r="F5575" t="s">
        <v>32606</v>
      </c>
      <c r="G5575" t="s">
        <v>32613</v>
      </c>
      <c r="H5575" t="s">
        <v>14201</v>
      </c>
      <c r="I5575" t="s">
        <v>32633</v>
      </c>
      <c r="J5575" t="s">
        <v>36410</v>
      </c>
      <c r="K5575" t="s">
        <v>42630</v>
      </c>
      <c r="M5575" t="s">
        <v>44976</v>
      </c>
      <c r="N5575" t="s">
        <v>47304</v>
      </c>
      <c r="O5575" t="s">
        <v>47305</v>
      </c>
      <c r="P5575">
        <v>0</v>
      </c>
      <c r="Q5575">
        <v>14</v>
      </c>
      <c r="R5575" t="s">
        <v>47308</v>
      </c>
      <c r="S5575" t="s">
        <v>47429</v>
      </c>
      <c r="T5575" t="s">
        <v>49183</v>
      </c>
      <c r="U5575" t="s">
        <v>54231</v>
      </c>
      <c r="W5575" t="s">
        <v>44976</v>
      </c>
      <c r="X5575" t="s">
        <v>47310</v>
      </c>
    </row>
    <row r="5576" spans="1:24">
      <c r="A5576">
        <f>HYPERLINK("https://www.philgeps.gov.ph/GEPSNONPILOT/Tender/SplashBidNoticeAbstractUI.aspx?menuIndex=3&amp;refID=7193736&amp;Result=3","7193736")</f>
        <v>0</v>
      </c>
      <c r="B5576" t="s">
        <v>1904</v>
      </c>
      <c r="C5576" t="s">
        <v>9086</v>
      </c>
      <c r="D5576" t="s">
        <v>19008</v>
      </c>
      <c r="E5576" t="s">
        <v>24034</v>
      </c>
      <c r="F5576" t="s">
        <v>32606</v>
      </c>
      <c r="G5576" t="s">
        <v>32613</v>
      </c>
      <c r="H5576" t="s">
        <v>14201</v>
      </c>
      <c r="I5576" t="s">
        <v>7577</v>
      </c>
      <c r="J5576" t="s">
        <v>36411</v>
      </c>
      <c r="K5576" t="s">
        <v>42624</v>
      </c>
      <c r="M5576" t="s">
        <v>44963</v>
      </c>
      <c r="N5576" t="s">
        <v>47304</v>
      </c>
      <c r="O5576" t="s">
        <v>47305</v>
      </c>
      <c r="P5576">
        <v>0</v>
      </c>
      <c r="Q5576">
        <v>4</v>
      </c>
      <c r="R5576" t="s">
        <v>47308</v>
      </c>
      <c r="S5576" t="s">
        <v>47429</v>
      </c>
      <c r="T5576" t="s">
        <v>48995</v>
      </c>
      <c r="U5576" t="s">
        <v>54232</v>
      </c>
      <c r="V5576" t="s">
        <v>63176</v>
      </c>
      <c r="W5576" t="s">
        <v>44963</v>
      </c>
      <c r="X5576" t="s">
        <v>47311</v>
      </c>
    </row>
    <row r="5577" spans="1:24">
      <c r="A5577">
        <f>HYPERLINK("https://www.philgeps.gov.ph/GEPSNONPILOT/Tender/SplashBidNoticeAbstractUI.aspx?menuIndex=3&amp;refID=7193878&amp;Result=3","7193878")</f>
        <v>0</v>
      </c>
      <c r="B5577" t="s">
        <v>1025</v>
      </c>
      <c r="C5577" t="s">
        <v>9087</v>
      </c>
      <c r="D5577" t="s">
        <v>19035</v>
      </c>
      <c r="E5577" t="s">
        <v>24035</v>
      </c>
      <c r="F5577" t="s">
        <v>32606</v>
      </c>
      <c r="G5577" t="s">
        <v>32613</v>
      </c>
      <c r="H5577" t="s">
        <v>14201</v>
      </c>
      <c r="I5577" t="s">
        <v>7064</v>
      </c>
      <c r="J5577" t="s">
        <v>33043</v>
      </c>
      <c r="K5577" t="s">
        <v>42623</v>
      </c>
      <c r="L5577" t="s">
        <v>1025</v>
      </c>
      <c r="M5577" t="s">
        <v>43977</v>
      </c>
      <c r="N5577" t="s">
        <v>47304</v>
      </c>
      <c r="O5577" t="s">
        <v>47305</v>
      </c>
      <c r="P5577">
        <v>0</v>
      </c>
      <c r="Q5577">
        <v>4</v>
      </c>
      <c r="R5577" t="s">
        <v>47308</v>
      </c>
      <c r="S5577" t="s">
        <v>47429</v>
      </c>
      <c r="T5577" t="s">
        <v>48990</v>
      </c>
      <c r="U5577" t="s">
        <v>51609</v>
      </c>
      <c r="V5577" t="s">
        <v>63177</v>
      </c>
      <c r="W5577" t="s">
        <v>43977</v>
      </c>
      <c r="X5577" t="s">
        <v>47310</v>
      </c>
    </row>
    <row r="5578" spans="1:24">
      <c r="A5578">
        <f>HYPERLINK("https://www.philgeps.gov.ph/GEPSNONPILOT/Tender/SplashBidNoticeAbstractUI.aspx?menuIndex=3&amp;refID=7193876&amp;Result=3","7193876")</f>
        <v>0</v>
      </c>
      <c r="B5578" t="s">
        <v>1026</v>
      </c>
      <c r="C5578" t="s">
        <v>9088</v>
      </c>
      <c r="D5578" t="s">
        <v>19019</v>
      </c>
      <c r="E5578" t="s">
        <v>24036</v>
      </c>
      <c r="F5578" t="s">
        <v>32606</v>
      </c>
      <c r="G5578" t="s">
        <v>32614</v>
      </c>
      <c r="H5578" t="s">
        <v>14201</v>
      </c>
      <c r="I5578" t="s">
        <v>6931</v>
      </c>
      <c r="J5578" t="s">
        <v>36412</v>
      </c>
      <c r="K5578" t="s">
        <v>42630</v>
      </c>
      <c r="M5578" t="s">
        <v>43978</v>
      </c>
      <c r="N5578" t="s">
        <v>47304</v>
      </c>
      <c r="O5578" t="s">
        <v>47305</v>
      </c>
      <c r="P5578">
        <v>0</v>
      </c>
      <c r="Q5578">
        <v>0</v>
      </c>
      <c r="R5578" t="s">
        <v>47308</v>
      </c>
      <c r="S5578" t="s">
        <v>47429</v>
      </c>
      <c r="T5578" t="s">
        <v>49053</v>
      </c>
      <c r="U5578" t="s">
        <v>54233</v>
      </c>
      <c r="W5578" t="s">
        <v>43978</v>
      </c>
      <c r="X5578" t="s">
        <v>47310</v>
      </c>
    </row>
    <row r="5579" spans="1:24">
      <c r="A5579">
        <f>HYPERLINK("https://www.philgeps.gov.ph/GEPSNONPILOT/Tender/SplashBidNoticeAbstractUI.aspx?menuIndex=3&amp;refID=7193618&amp;Result=3","7193618")</f>
        <v>0</v>
      </c>
      <c r="B5579" t="s">
        <v>1918</v>
      </c>
      <c r="C5579" t="s">
        <v>9089</v>
      </c>
      <c r="D5579" t="s">
        <v>18993</v>
      </c>
      <c r="E5579" t="s">
        <v>24037</v>
      </c>
      <c r="F5579" t="s">
        <v>32606</v>
      </c>
      <c r="G5579" t="s">
        <v>32614</v>
      </c>
      <c r="H5579" t="s">
        <v>14201</v>
      </c>
      <c r="I5579" t="s">
        <v>32714</v>
      </c>
      <c r="J5579" t="s">
        <v>36413</v>
      </c>
      <c r="K5579" t="s">
        <v>42630</v>
      </c>
      <c r="M5579" t="s">
        <v>44977</v>
      </c>
      <c r="N5579" t="s">
        <v>47304</v>
      </c>
      <c r="O5579" t="s">
        <v>47305</v>
      </c>
      <c r="P5579">
        <v>0</v>
      </c>
      <c r="Q5579">
        <v>5</v>
      </c>
      <c r="R5579" t="s">
        <v>47308</v>
      </c>
      <c r="S5579" t="s">
        <v>47429</v>
      </c>
      <c r="T5579" t="s">
        <v>49100</v>
      </c>
      <c r="U5579" t="s">
        <v>54234</v>
      </c>
      <c r="W5579" t="s">
        <v>44977</v>
      </c>
      <c r="X5579" t="s">
        <v>47311</v>
      </c>
    </row>
    <row r="5580" spans="1:24">
      <c r="A5580">
        <f>HYPERLINK("https://www.philgeps.gov.ph/GEPSNONPILOT/Tender/SplashBidNoticeAbstractUI.aspx?menuIndex=3&amp;refID=7193873&amp;Result=3","7193873")</f>
        <v>0</v>
      </c>
      <c r="B5580" t="s">
        <v>1026</v>
      </c>
      <c r="C5580" t="s">
        <v>9090</v>
      </c>
      <c r="D5580" t="s">
        <v>19019</v>
      </c>
      <c r="E5580" t="s">
        <v>24038</v>
      </c>
      <c r="F5580" t="s">
        <v>32606</v>
      </c>
      <c r="G5580" t="s">
        <v>32614</v>
      </c>
      <c r="H5580" t="s">
        <v>14201</v>
      </c>
      <c r="I5580" t="s">
        <v>6931</v>
      </c>
      <c r="J5580" t="s">
        <v>36414</v>
      </c>
      <c r="K5580" t="s">
        <v>42630</v>
      </c>
      <c r="M5580" t="s">
        <v>43978</v>
      </c>
      <c r="N5580" t="s">
        <v>47304</v>
      </c>
      <c r="O5580" t="s">
        <v>47305</v>
      </c>
      <c r="P5580">
        <v>0</v>
      </c>
      <c r="Q5580">
        <v>0</v>
      </c>
      <c r="R5580" t="s">
        <v>47308</v>
      </c>
      <c r="S5580" t="s">
        <v>47429</v>
      </c>
      <c r="T5580" t="s">
        <v>49053</v>
      </c>
      <c r="U5580" t="s">
        <v>54235</v>
      </c>
      <c r="W5580" t="s">
        <v>43978</v>
      </c>
      <c r="X5580" t="s">
        <v>47310</v>
      </c>
    </row>
    <row r="5581" spans="1:24">
      <c r="A5581">
        <f>HYPERLINK("https://www.philgeps.gov.ph/GEPSNONPILOT/Tender/SplashBidNoticeAbstractUI.aspx?menuIndex=3&amp;refID=7193869&amp;Result=3","7193869")</f>
        <v>0</v>
      </c>
      <c r="B5581" t="s">
        <v>1503</v>
      </c>
      <c r="C5581" t="s">
        <v>9091</v>
      </c>
      <c r="D5581" t="s">
        <v>19049</v>
      </c>
      <c r="E5581" t="s">
        <v>24039</v>
      </c>
      <c r="F5581" t="s">
        <v>32606</v>
      </c>
      <c r="G5581" t="s">
        <v>32614</v>
      </c>
      <c r="H5581" t="s">
        <v>14201</v>
      </c>
      <c r="I5581" t="s">
        <v>6014</v>
      </c>
      <c r="J5581" t="s">
        <v>36415</v>
      </c>
      <c r="K5581" t="s">
        <v>42622</v>
      </c>
      <c r="L5581" t="s">
        <v>1503</v>
      </c>
      <c r="M5581" t="s">
        <v>44500</v>
      </c>
      <c r="N5581" t="s">
        <v>47304</v>
      </c>
      <c r="O5581" t="s">
        <v>47305</v>
      </c>
      <c r="P5581">
        <v>0</v>
      </c>
      <c r="Q5581">
        <v>0</v>
      </c>
      <c r="R5581" t="s">
        <v>47308</v>
      </c>
      <c r="S5581" t="s">
        <v>47429</v>
      </c>
      <c r="T5581" t="s">
        <v>49221</v>
      </c>
      <c r="U5581" t="s">
        <v>54236</v>
      </c>
      <c r="W5581" t="s">
        <v>44500</v>
      </c>
      <c r="X5581" t="s">
        <v>47310</v>
      </c>
    </row>
    <row r="5582" spans="1:24">
      <c r="A5582">
        <f>HYPERLINK("https://www.philgeps.gov.ph/GEPSNONPILOT/Tender/SplashBidNoticeAbstractUI.aspx?menuIndex=3&amp;refID=7193863&amp;Result=3","7193863")</f>
        <v>0</v>
      </c>
      <c r="B5582" t="s">
        <v>1919</v>
      </c>
      <c r="C5582" t="s">
        <v>9092</v>
      </c>
      <c r="D5582" t="s">
        <v>19013</v>
      </c>
      <c r="E5582" t="s">
        <v>19249</v>
      </c>
      <c r="F5582" t="s">
        <v>32606</v>
      </c>
      <c r="G5582" t="s">
        <v>32614</v>
      </c>
      <c r="H5582" t="s">
        <v>14201</v>
      </c>
      <c r="I5582" t="s">
        <v>9013</v>
      </c>
      <c r="J5582" t="s">
        <v>36416</v>
      </c>
      <c r="K5582" t="s">
        <v>42629</v>
      </c>
      <c r="M5582" t="s">
        <v>44978</v>
      </c>
      <c r="N5582" t="s">
        <v>47304</v>
      </c>
      <c r="O5582" t="s">
        <v>47305</v>
      </c>
      <c r="P5582">
        <v>0</v>
      </c>
      <c r="Q5582">
        <v>1</v>
      </c>
      <c r="R5582" t="s">
        <v>47308</v>
      </c>
      <c r="S5582" t="s">
        <v>47429</v>
      </c>
      <c r="T5582" t="s">
        <v>49047</v>
      </c>
      <c r="U5582" t="s">
        <v>54237</v>
      </c>
      <c r="V5582" t="s">
        <v>63178</v>
      </c>
      <c r="W5582" t="s">
        <v>44978</v>
      </c>
      <c r="X5582" t="s">
        <v>47310</v>
      </c>
    </row>
    <row r="5583" spans="1:24">
      <c r="A5583">
        <f>HYPERLINK("https://www.philgeps.gov.ph/GEPSNONPILOT/Tender/SplashBidNoticeAbstractUI.aspx?menuIndex=3&amp;refID=7193862&amp;Result=3","7193862")</f>
        <v>0</v>
      </c>
      <c r="B5583" t="s">
        <v>130</v>
      </c>
      <c r="C5583" t="s">
        <v>9093</v>
      </c>
      <c r="D5583" t="s">
        <v>19015</v>
      </c>
      <c r="E5583" t="s">
        <v>24040</v>
      </c>
      <c r="F5583" t="s">
        <v>32606</v>
      </c>
      <c r="G5583" t="s">
        <v>32614</v>
      </c>
      <c r="H5583" t="s">
        <v>14201</v>
      </c>
      <c r="I5583" t="s">
        <v>32634</v>
      </c>
      <c r="J5583" t="s">
        <v>32949</v>
      </c>
      <c r="K5583" t="s">
        <v>42631</v>
      </c>
      <c r="M5583" t="s">
        <v>43031</v>
      </c>
      <c r="N5583" t="s">
        <v>47304</v>
      </c>
      <c r="O5583" t="s">
        <v>47305</v>
      </c>
      <c r="P5583">
        <v>0</v>
      </c>
      <c r="Q5583">
        <v>1</v>
      </c>
      <c r="R5583" t="s">
        <v>47308</v>
      </c>
      <c r="S5583" t="s">
        <v>47429</v>
      </c>
      <c r="T5583" t="s">
        <v>49047</v>
      </c>
      <c r="U5583" t="s">
        <v>54238</v>
      </c>
      <c r="W5583" t="s">
        <v>43031</v>
      </c>
      <c r="X5583" t="s">
        <v>47310</v>
      </c>
    </row>
    <row r="5584" spans="1:24">
      <c r="A5584">
        <f>HYPERLINK("https://www.philgeps.gov.ph/GEPSNONPILOT/Tender/SplashBidNoticeAbstractUI.aspx?menuIndex=3&amp;refID=7193857&amp;Result=3","7193857")</f>
        <v>0</v>
      </c>
      <c r="B5584" t="s">
        <v>1503</v>
      </c>
      <c r="C5584" t="s">
        <v>9094</v>
      </c>
      <c r="D5584" t="s">
        <v>19049</v>
      </c>
      <c r="E5584" t="s">
        <v>24041</v>
      </c>
      <c r="F5584" t="s">
        <v>32606</v>
      </c>
      <c r="G5584" t="s">
        <v>32614</v>
      </c>
      <c r="H5584" t="s">
        <v>14201</v>
      </c>
      <c r="I5584" t="s">
        <v>4369</v>
      </c>
      <c r="J5584" t="s">
        <v>32868</v>
      </c>
      <c r="K5584" t="s">
        <v>42622</v>
      </c>
      <c r="L5584" t="s">
        <v>1503</v>
      </c>
      <c r="M5584" t="s">
        <v>44500</v>
      </c>
      <c r="N5584" t="s">
        <v>47304</v>
      </c>
      <c r="O5584" t="s">
        <v>47305</v>
      </c>
      <c r="P5584">
        <v>0</v>
      </c>
      <c r="Q5584">
        <v>6</v>
      </c>
      <c r="R5584" t="s">
        <v>47308</v>
      </c>
      <c r="S5584" t="s">
        <v>47429</v>
      </c>
      <c r="T5584" t="s">
        <v>49221</v>
      </c>
      <c r="U5584" t="s">
        <v>54236</v>
      </c>
      <c r="W5584" t="s">
        <v>44500</v>
      </c>
      <c r="X5584" t="s">
        <v>47310</v>
      </c>
    </row>
    <row r="5585" spans="1:24">
      <c r="A5585">
        <f>HYPERLINK("https://www.philgeps.gov.ph/GEPSNONPILOT/Tender/SplashBidNoticeAbstractUI.aspx?menuIndex=3&amp;refID=7193856&amp;Result=3","7193856")</f>
        <v>0</v>
      </c>
      <c r="B5585" t="s">
        <v>1025</v>
      </c>
      <c r="C5585" t="s">
        <v>9095</v>
      </c>
      <c r="D5585" t="s">
        <v>19035</v>
      </c>
      <c r="E5585" t="s">
        <v>24042</v>
      </c>
      <c r="F5585" t="s">
        <v>32606</v>
      </c>
      <c r="G5585" t="s">
        <v>32613</v>
      </c>
      <c r="H5585" t="s">
        <v>14201</v>
      </c>
      <c r="I5585" t="s">
        <v>8606</v>
      </c>
      <c r="J5585" t="s">
        <v>32789</v>
      </c>
      <c r="K5585" t="s">
        <v>42623</v>
      </c>
      <c r="L5585" t="s">
        <v>1025</v>
      </c>
      <c r="M5585" t="s">
        <v>43977</v>
      </c>
      <c r="N5585" t="s">
        <v>47304</v>
      </c>
      <c r="O5585" t="s">
        <v>47305</v>
      </c>
      <c r="P5585">
        <v>0</v>
      </c>
      <c r="Q5585">
        <v>1</v>
      </c>
      <c r="R5585" t="s">
        <v>47308</v>
      </c>
      <c r="S5585" t="s">
        <v>47429</v>
      </c>
      <c r="T5585" t="s">
        <v>48990</v>
      </c>
      <c r="U5585" t="s">
        <v>51609</v>
      </c>
      <c r="V5585" t="s">
        <v>63163</v>
      </c>
      <c r="W5585" t="s">
        <v>43977</v>
      </c>
      <c r="X5585" t="s">
        <v>47310</v>
      </c>
    </row>
    <row r="5586" spans="1:24">
      <c r="A5586">
        <f>HYPERLINK("https://www.philgeps.gov.ph/GEPSNONPILOT/Tender/SplashBidNoticeAbstractUI.aspx?menuIndex=3&amp;refID=7193622&amp;Result=3","7193622")</f>
        <v>0</v>
      </c>
      <c r="B5586" t="s">
        <v>1899</v>
      </c>
      <c r="C5586" t="s">
        <v>9096</v>
      </c>
      <c r="D5586" t="s">
        <v>19041</v>
      </c>
      <c r="E5586" t="s">
        <v>24043</v>
      </c>
      <c r="F5586" t="s">
        <v>32606</v>
      </c>
      <c r="G5586" t="s">
        <v>32613</v>
      </c>
      <c r="H5586" t="s">
        <v>32623</v>
      </c>
      <c r="I5586" t="s">
        <v>17648</v>
      </c>
      <c r="J5586" t="s">
        <v>36417</v>
      </c>
      <c r="K5586" t="s">
        <v>42656</v>
      </c>
      <c r="M5586" t="s">
        <v>44958</v>
      </c>
      <c r="N5586" t="s">
        <v>47304</v>
      </c>
      <c r="O5586" t="s">
        <v>47305</v>
      </c>
      <c r="P5586">
        <v>0</v>
      </c>
      <c r="Q5586">
        <v>0</v>
      </c>
      <c r="R5586" t="s">
        <v>47308</v>
      </c>
      <c r="S5586" t="s">
        <v>47429</v>
      </c>
      <c r="T5586" t="s">
        <v>49008</v>
      </c>
      <c r="U5586" t="s">
        <v>54239</v>
      </c>
      <c r="W5586" t="s">
        <v>44958</v>
      </c>
      <c r="X5586" t="s">
        <v>47311</v>
      </c>
    </row>
    <row r="5587" spans="1:24">
      <c r="A5587">
        <f>HYPERLINK("https://www.philgeps.gov.ph/GEPSNONPILOT/Tender/SplashBidNoticeAbstractUI.aspx?menuIndex=3&amp;refID=7193682&amp;Result=3","7193682")</f>
        <v>0</v>
      </c>
      <c r="B5587" t="s">
        <v>1899</v>
      </c>
      <c r="C5587" t="s">
        <v>9097</v>
      </c>
      <c r="D5587" t="s">
        <v>19041</v>
      </c>
      <c r="E5587" t="s">
        <v>24044</v>
      </c>
      <c r="F5587" t="s">
        <v>32606</v>
      </c>
      <c r="G5587" t="s">
        <v>32613</v>
      </c>
      <c r="H5587" t="s">
        <v>32623</v>
      </c>
      <c r="I5587" t="s">
        <v>17648</v>
      </c>
      <c r="J5587" t="s">
        <v>36418</v>
      </c>
      <c r="K5587" t="s">
        <v>42776</v>
      </c>
      <c r="M5587" t="s">
        <v>44958</v>
      </c>
      <c r="N5587" t="s">
        <v>47304</v>
      </c>
      <c r="O5587" t="s">
        <v>47305</v>
      </c>
      <c r="P5587">
        <v>0</v>
      </c>
      <c r="Q5587">
        <v>0</v>
      </c>
      <c r="R5587" t="s">
        <v>47308</v>
      </c>
      <c r="S5587" t="s">
        <v>47429</v>
      </c>
      <c r="T5587" t="s">
        <v>49008</v>
      </c>
      <c r="U5587" t="s">
        <v>54240</v>
      </c>
      <c r="W5587" t="s">
        <v>44958</v>
      </c>
      <c r="X5587" t="s">
        <v>47311</v>
      </c>
    </row>
    <row r="5588" spans="1:24">
      <c r="A5588">
        <f>HYPERLINK("https://www.philgeps.gov.ph/GEPSNONPILOT/Tender/SplashBidNoticeAbstractUI.aspx?menuIndex=3&amp;refID=7193850&amp;Result=3","7193850")</f>
        <v>0</v>
      </c>
      <c r="B5588" t="s">
        <v>625</v>
      </c>
      <c r="C5588" t="s">
        <v>9098</v>
      </c>
      <c r="D5588" t="s">
        <v>18993</v>
      </c>
      <c r="E5588" t="s">
        <v>24045</v>
      </c>
      <c r="F5588" t="s">
        <v>32606</v>
      </c>
      <c r="G5588" t="s">
        <v>32614</v>
      </c>
      <c r="H5588" t="s">
        <v>14201</v>
      </c>
      <c r="I5588" t="s">
        <v>4678</v>
      </c>
      <c r="J5588" t="s">
        <v>36419</v>
      </c>
      <c r="K5588" t="s">
        <v>42624</v>
      </c>
      <c r="M5588" t="s">
        <v>43543</v>
      </c>
      <c r="N5588" t="s">
        <v>47304</v>
      </c>
      <c r="O5588" t="s">
        <v>47305</v>
      </c>
      <c r="P5588">
        <v>0</v>
      </c>
      <c r="Q5588">
        <v>3</v>
      </c>
      <c r="R5588" t="s">
        <v>47308</v>
      </c>
      <c r="S5588" t="s">
        <v>47429</v>
      </c>
      <c r="T5588" t="s">
        <v>49263</v>
      </c>
      <c r="U5588" t="s">
        <v>50630</v>
      </c>
      <c r="W5588" t="s">
        <v>43543</v>
      </c>
      <c r="X5588" t="s">
        <v>47310</v>
      </c>
    </row>
    <row r="5589" spans="1:24">
      <c r="A5589">
        <f>HYPERLINK("https://www.philgeps.gov.ph/GEPSNONPILOT/Tender/SplashBidNoticeAbstractUI.aspx?menuIndex=3&amp;refID=7193847&amp;Result=3","7193847")</f>
        <v>0</v>
      </c>
      <c r="B5589" t="s">
        <v>1503</v>
      </c>
      <c r="C5589" t="s">
        <v>9099</v>
      </c>
      <c r="D5589" t="s">
        <v>19049</v>
      </c>
      <c r="E5589" t="s">
        <v>24046</v>
      </c>
      <c r="F5589" t="s">
        <v>32606</v>
      </c>
      <c r="G5589" t="s">
        <v>32614</v>
      </c>
      <c r="H5589" t="s">
        <v>14201</v>
      </c>
      <c r="I5589" t="s">
        <v>4678</v>
      </c>
      <c r="J5589" t="s">
        <v>36420</v>
      </c>
      <c r="K5589" t="s">
        <v>42622</v>
      </c>
      <c r="L5589" t="s">
        <v>1503</v>
      </c>
      <c r="M5589" t="s">
        <v>44500</v>
      </c>
      <c r="N5589" t="s">
        <v>47304</v>
      </c>
      <c r="O5589" t="s">
        <v>47305</v>
      </c>
      <c r="P5589">
        <v>0</v>
      </c>
      <c r="Q5589">
        <v>0</v>
      </c>
      <c r="R5589" t="s">
        <v>47308</v>
      </c>
      <c r="S5589" t="s">
        <v>47429</v>
      </c>
      <c r="T5589" t="s">
        <v>49221</v>
      </c>
      <c r="U5589" t="s">
        <v>54236</v>
      </c>
      <c r="W5589" t="s">
        <v>44500</v>
      </c>
      <c r="X5589" t="s">
        <v>47310</v>
      </c>
    </row>
    <row r="5590" spans="1:24">
      <c r="A5590">
        <f>HYPERLINK("https://www.philgeps.gov.ph/GEPSNONPILOT/Tender/SplashBidNoticeAbstractUI.aspx?menuIndex=3&amp;refID=7193864&amp;Result=3","7193864")</f>
        <v>0</v>
      </c>
      <c r="B5590" t="s">
        <v>1503</v>
      </c>
      <c r="C5590" t="s">
        <v>9100</v>
      </c>
      <c r="D5590" t="s">
        <v>19049</v>
      </c>
      <c r="E5590" t="s">
        <v>24047</v>
      </c>
      <c r="F5590" t="s">
        <v>32606</v>
      </c>
      <c r="G5590" t="s">
        <v>32614</v>
      </c>
      <c r="H5590" t="s">
        <v>14201</v>
      </c>
      <c r="I5590" t="s">
        <v>6007</v>
      </c>
      <c r="J5590" t="s">
        <v>33034</v>
      </c>
      <c r="K5590" t="s">
        <v>42622</v>
      </c>
      <c r="L5590" t="s">
        <v>1503</v>
      </c>
      <c r="M5590" t="s">
        <v>44500</v>
      </c>
      <c r="N5590" t="s">
        <v>47304</v>
      </c>
      <c r="O5590" t="s">
        <v>47305</v>
      </c>
      <c r="P5590">
        <v>0</v>
      </c>
      <c r="Q5590">
        <v>0</v>
      </c>
      <c r="R5590" t="s">
        <v>47308</v>
      </c>
      <c r="S5590" t="s">
        <v>47429</v>
      </c>
      <c r="T5590" t="s">
        <v>49221</v>
      </c>
      <c r="U5590" t="s">
        <v>54236</v>
      </c>
      <c r="W5590" t="s">
        <v>44500</v>
      </c>
      <c r="X5590" t="s">
        <v>47310</v>
      </c>
    </row>
    <row r="5591" spans="1:24">
      <c r="A5591">
        <f>HYPERLINK("https://www.philgeps.gov.ph/GEPSNONPILOT/Tender/SplashBidNoticeAbstractUI.aspx?menuIndex=3&amp;refID=7193846&amp;Result=3","7193846")</f>
        <v>0</v>
      </c>
      <c r="B5591" t="s">
        <v>1920</v>
      </c>
      <c r="C5591" t="s">
        <v>9101</v>
      </c>
      <c r="D5591" t="s">
        <v>19004</v>
      </c>
      <c r="E5591" t="s">
        <v>24048</v>
      </c>
      <c r="F5591" t="s">
        <v>32606</v>
      </c>
      <c r="G5591" t="s">
        <v>32614</v>
      </c>
      <c r="H5591" t="s">
        <v>32623</v>
      </c>
      <c r="I5591" t="s">
        <v>32631</v>
      </c>
      <c r="J5591" t="s">
        <v>36421</v>
      </c>
      <c r="K5591" t="s">
        <v>42624</v>
      </c>
      <c r="M5591" t="s">
        <v>44979</v>
      </c>
      <c r="N5591" t="s">
        <v>47304</v>
      </c>
      <c r="O5591" t="s">
        <v>47305</v>
      </c>
      <c r="P5591">
        <v>0</v>
      </c>
      <c r="Q5591">
        <v>2</v>
      </c>
      <c r="R5591" t="s">
        <v>47308</v>
      </c>
      <c r="S5591" t="s">
        <v>47429</v>
      </c>
      <c r="T5591" t="s">
        <v>49257</v>
      </c>
      <c r="U5591" t="s">
        <v>54241</v>
      </c>
      <c r="W5591" t="s">
        <v>44979</v>
      </c>
      <c r="X5591" t="s">
        <v>47310</v>
      </c>
    </row>
    <row r="5592" spans="1:24">
      <c r="A5592">
        <f>HYPERLINK("https://www.philgeps.gov.ph/GEPSNONPILOT/Tender/SplashBidNoticeAbstractUI.aspx?menuIndex=3&amp;refID=7193844&amp;Result=3","7193844")</f>
        <v>0</v>
      </c>
      <c r="B5592" t="s">
        <v>625</v>
      </c>
      <c r="C5592" t="s">
        <v>9102</v>
      </c>
      <c r="D5592" t="s">
        <v>18993</v>
      </c>
      <c r="E5592" t="s">
        <v>24049</v>
      </c>
      <c r="F5592" t="s">
        <v>32606</v>
      </c>
      <c r="G5592" t="s">
        <v>32614</v>
      </c>
      <c r="H5592" t="s">
        <v>14201</v>
      </c>
      <c r="I5592" t="s">
        <v>4678</v>
      </c>
      <c r="J5592" t="s">
        <v>33083</v>
      </c>
      <c r="K5592" t="s">
        <v>42624</v>
      </c>
      <c r="M5592" t="s">
        <v>43543</v>
      </c>
      <c r="N5592" t="s">
        <v>47304</v>
      </c>
      <c r="O5592" t="s">
        <v>47305</v>
      </c>
      <c r="P5592">
        <v>0</v>
      </c>
      <c r="Q5592">
        <v>4</v>
      </c>
      <c r="R5592" t="s">
        <v>47308</v>
      </c>
      <c r="S5592" t="s">
        <v>47429</v>
      </c>
      <c r="T5592" t="s">
        <v>49263</v>
      </c>
      <c r="U5592" t="s">
        <v>50630</v>
      </c>
      <c r="W5592" t="s">
        <v>43543</v>
      </c>
      <c r="X5592" t="s">
        <v>47310</v>
      </c>
    </row>
    <row r="5593" spans="1:24">
      <c r="A5593">
        <f>HYPERLINK("https://www.philgeps.gov.ph/GEPSNONPILOT/Tender/SplashBidNoticeAbstractUI.aspx?menuIndex=3&amp;refID=7193854&amp;Result=3","7193854")</f>
        <v>0</v>
      </c>
      <c r="B5593" t="s">
        <v>1503</v>
      </c>
      <c r="C5593" t="s">
        <v>9103</v>
      </c>
      <c r="D5593" t="s">
        <v>19049</v>
      </c>
      <c r="E5593" t="s">
        <v>24050</v>
      </c>
      <c r="F5593" t="s">
        <v>32606</v>
      </c>
      <c r="G5593" t="s">
        <v>32614</v>
      </c>
      <c r="H5593" t="s">
        <v>14201</v>
      </c>
      <c r="I5593" t="s">
        <v>6007</v>
      </c>
      <c r="J5593" t="s">
        <v>33075</v>
      </c>
      <c r="K5593" t="s">
        <v>42622</v>
      </c>
      <c r="L5593" t="s">
        <v>1503</v>
      </c>
      <c r="M5593" t="s">
        <v>44500</v>
      </c>
      <c r="N5593" t="s">
        <v>47304</v>
      </c>
      <c r="O5593" t="s">
        <v>47305</v>
      </c>
      <c r="P5593">
        <v>0</v>
      </c>
      <c r="Q5593">
        <v>0</v>
      </c>
      <c r="R5593" t="s">
        <v>47308</v>
      </c>
      <c r="S5593" t="s">
        <v>47429</v>
      </c>
      <c r="T5593" t="s">
        <v>49221</v>
      </c>
      <c r="U5593" t="s">
        <v>54236</v>
      </c>
      <c r="W5593" t="s">
        <v>44500</v>
      </c>
      <c r="X5593" t="s">
        <v>47310</v>
      </c>
    </row>
    <row r="5594" spans="1:24">
      <c r="A5594">
        <f>HYPERLINK("https://www.philgeps.gov.ph/GEPSNONPILOT/Tender/SplashBidNoticeAbstractUI.aspx?menuIndex=3&amp;refID=7193841&amp;Result=3","7193841")</f>
        <v>0</v>
      </c>
      <c r="B5594" t="s">
        <v>1025</v>
      </c>
      <c r="C5594" t="s">
        <v>9104</v>
      </c>
      <c r="D5594" t="s">
        <v>19035</v>
      </c>
      <c r="E5594" t="s">
        <v>24051</v>
      </c>
      <c r="F5594" t="s">
        <v>32606</v>
      </c>
      <c r="G5594" t="s">
        <v>32613</v>
      </c>
      <c r="H5594" t="s">
        <v>14201</v>
      </c>
      <c r="I5594" t="s">
        <v>32640</v>
      </c>
      <c r="J5594" t="s">
        <v>32794</v>
      </c>
      <c r="K5594" t="s">
        <v>42623</v>
      </c>
      <c r="L5594" t="s">
        <v>1025</v>
      </c>
      <c r="M5594" t="s">
        <v>43977</v>
      </c>
      <c r="N5594" t="s">
        <v>47304</v>
      </c>
      <c r="O5594" t="s">
        <v>47305</v>
      </c>
      <c r="P5594">
        <v>0</v>
      </c>
      <c r="Q5594">
        <v>0</v>
      </c>
      <c r="R5594" t="s">
        <v>47308</v>
      </c>
      <c r="S5594" t="s">
        <v>47429</v>
      </c>
      <c r="T5594" t="s">
        <v>48987</v>
      </c>
      <c r="U5594" t="s">
        <v>51609</v>
      </c>
      <c r="V5594" t="s">
        <v>63163</v>
      </c>
      <c r="W5594" t="s">
        <v>43977</v>
      </c>
      <c r="X5594" t="s">
        <v>47310</v>
      </c>
    </row>
    <row r="5595" spans="1:24">
      <c r="A5595">
        <f>HYPERLINK("https://www.philgeps.gov.ph/GEPSNONPILOT/Tender/SplashBidNoticeAbstractUI.aspx?menuIndex=3&amp;refID=7193610&amp;Result=3","7193610")</f>
        <v>0</v>
      </c>
      <c r="B5595" t="s">
        <v>1899</v>
      </c>
      <c r="C5595" t="s">
        <v>9105</v>
      </c>
      <c r="D5595" t="s">
        <v>19041</v>
      </c>
      <c r="E5595" t="s">
        <v>24052</v>
      </c>
      <c r="F5595" t="s">
        <v>32606</v>
      </c>
      <c r="G5595" t="s">
        <v>32613</v>
      </c>
      <c r="H5595" t="s">
        <v>32623</v>
      </c>
      <c r="I5595" t="s">
        <v>17648</v>
      </c>
      <c r="J5595" t="s">
        <v>36380</v>
      </c>
      <c r="K5595" t="s">
        <v>42775</v>
      </c>
      <c r="M5595" t="s">
        <v>44958</v>
      </c>
      <c r="N5595" t="s">
        <v>47304</v>
      </c>
      <c r="O5595" t="s">
        <v>47305</v>
      </c>
      <c r="P5595">
        <v>0</v>
      </c>
      <c r="Q5595">
        <v>0</v>
      </c>
      <c r="R5595" t="s">
        <v>47308</v>
      </c>
      <c r="S5595" t="s">
        <v>47429</v>
      </c>
      <c r="T5595" t="s">
        <v>49008</v>
      </c>
      <c r="U5595" t="s">
        <v>54242</v>
      </c>
      <c r="W5595" t="s">
        <v>44958</v>
      </c>
      <c r="X5595" t="s">
        <v>47311</v>
      </c>
    </row>
    <row r="5596" spans="1:24">
      <c r="A5596">
        <f>HYPERLINK("https://www.philgeps.gov.ph/GEPSNONPILOT/Tender/SplashBidNoticeAbstractUI.aspx?menuIndex=3&amp;refID=7193849&amp;Result=3","7193849")</f>
        <v>0</v>
      </c>
      <c r="B5596" t="s">
        <v>1503</v>
      </c>
      <c r="C5596" t="s">
        <v>9106</v>
      </c>
      <c r="D5596" t="s">
        <v>19049</v>
      </c>
      <c r="E5596" t="s">
        <v>24053</v>
      </c>
      <c r="F5596" t="s">
        <v>32606</v>
      </c>
      <c r="G5596" t="s">
        <v>32614</v>
      </c>
      <c r="H5596" t="s">
        <v>14201</v>
      </c>
      <c r="I5596" t="s">
        <v>7064</v>
      </c>
      <c r="J5596" t="s">
        <v>35789</v>
      </c>
      <c r="K5596" t="s">
        <v>42639</v>
      </c>
      <c r="L5596" t="s">
        <v>1503</v>
      </c>
      <c r="M5596" t="s">
        <v>44500</v>
      </c>
      <c r="N5596" t="s">
        <v>47304</v>
      </c>
      <c r="O5596" t="s">
        <v>47305</v>
      </c>
      <c r="P5596">
        <v>0</v>
      </c>
      <c r="Q5596">
        <v>0</v>
      </c>
      <c r="R5596" t="s">
        <v>47308</v>
      </c>
      <c r="S5596" t="s">
        <v>47429</v>
      </c>
      <c r="T5596" t="s">
        <v>49221</v>
      </c>
      <c r="U5596" t="s">
        <v>54236</v>
      </c>
      <c r="W5596" t="s">
        <v>44500</v>
      </c>
      <c r="X5596" t="s">
        <v>47310</v>
      </c>
    </row>
    <row r="5597" spans="1:24">
      <c r="A5597">
        <f>HYPERLINK("https://www.philgeps.gov.ph/GEPSNONPILOT/Tender/SplashBidNoticeAbstractUI.aspx?menuIndex=3&amp;refID=7193886&amp;Result=3","7193886")</f>
        <v>0</v>
      </c>
      <c r="B5597" t="s">
        <v>1921</v>
      </c>
      <c r="C5597" t="s">
        <v>9107</v>
      </c>
      <c r="D5597" t="s">
        <v>19013</v>
      </c>
      <c r="E5597" t="s">
        <v>24054</v>
      </c>
      <c r="F5597" t="s">
        <v>32606</v>
      </c>
      <c r="G5597" t="s">
        <v>32613</v>
      </c>
      <c r="H5597" t="s">
        <v>14201</v>
      </c>
      <c r="I5597" t="s">
        <v>6931</v>
      </c>
      <c r="J5597" t="s">
        <v>36422</v>
      </c>
      <c r="K5597" t="s">
        <v>42630</v>
      </c>
      <c r="M5597" t="s">
        <v>44980</v>
      </c>
      <c r="N5597" t="s">
        <v>47304</v>
      </c>
      <c r="O5597" t="s">
        <v>47305</v>
      </c>
      <c r="P5597">
        <v>0</v>
      </c>
      <c r="Q5597">
        <v>0</v>
      </c>
      <c r="R5597" t="s">
        <v>47308</v>
      </c>
      <c r="S5597" t="s">
        <v>47429</v>
      </c>
      <c r="T5597" t="s">
        <v>49080</v>
      </c>
      <c r="U5597" t="s">
        <v>54243</v>
      </c>
      <c r="V5597" t="s">
        <v>63179</v>
      </c>
      <c r="W5597" t="s">
        <v>64485</v>
      </c>
      <c r="X5597" t="s">
        <v>47310</v>
      </c>
    </row>
    <row r="5598" spans="1:24">
      <c r="A5598">
        <f>HYPERLINK("https://www.philgeps.gov.ph/GEPSNONPILOT/Tender/SplashBidNoticeAbstractUI.aspx?menuIndex=3&amp;refID=7193953&amp;Result=3","7193953")</f>
        <v>0</v>
      </c>
      <c r="B5598" t="s">
        <v>1922</v>
      </c>
      <c r="C5598" t="s">
        <v>9108</v>
      </c>
      <c r="D5598" t="s">
        <v>19028</v>
      </c>
      <c r="E5598" t="s">
        <v>19310</v>
      </c>
      <c r="F5598" t="s">
        <v>32606</v>
      </c>
      <c r="G5598" t="s">
        <v>32614</v>
      </c>
      <c r="H5598" t="s">
        <v>14201</v>
      </c>
      <c r="I5598" t="s">
        <v>4112</v>
      </c>
      <c r="J5598" t="s">
        <v>33147</v>
      </c>
      <c r="K5598" t="s">
        <v>42622</v>
      </c>
      <c r="M5598" t="s">
        <v>44981</v>
      </c>
      <c r="N5598" t="s">
        <v>47304</v>
      </c>
      <c r="O5598" t="s">
        <v>47305</v>
      </c>
      <c r="P5598">
        <v>0</v>
      </c>
      <c r="Q5598">
        <v>0</v>
      </c>
      <c r="R5598" t="s">
        <v>47308</v>
      </c>
      <c r="S5598" t="s">
        <v>47429</v>
      </c>
      <c r="T5598" t="s">
        <v>48998</v>
      </c>
      <c r="U5598" t="s">
        <v>54244</v>
      </c>
      <c r="W5598" t="s">
        <v>44981</v>
      </c>
      <c r="X5598" t="s">
        <v>47310</v>
      </c>
    </row>
    <row r="5599" spans="1:24">
      <c r="A5599">
        <f>HYPERLINK("https://www.philgeps.gov.ph/GEPSNONPILOT/Tender/SplashBidNoticeAbstractUI.aspx?menuIndex=3&amp;refID=7193945&amp;Result=3","7193945")</f>
        <v>0</v>
      </c>
      <c r="B5599" t="s">
        <v>1818</v>
      </c>
      <c r="C5599" t="s">
        <v>9109</v>
      </c>
      <c r="D5599" t="s">
        <v>19041</v>
      </c>
      <c r="E5599" t="s">
        <v>20881</v>
      </c>
      <c r="F5599" t="s">
        <v>32606</v>
      </c>
      <c r="G5599" t="s">
        <v>32613</v>
      </c>
      <c r="H5599" t="s">
        <v>14201</v>
      </c>
      <c r="I5599" t="s">
        <v>32640</v>
      </c>
      <c r="J5599" t="s">
        <v>36423</v>
      </c>
      <c r="K5599" t="s">
        <v>42631</v>
      </c>
      <c r="M5599" t="s">
        <v>44859</v>
      </c>
      <c r="N5599" t="s">
        <v>47304</v>
      </c>
      <c r="O5599" t="s">
        <v>47305</v>
      </c>
      <c r="P5599">
        <v>0</v>
      </c>
      <c r="Q5599">
        <v>5</v>
      </c>
      <c r="R5599" t="s">
        <v>47308</v>
      </c>
      <c r="S5599" t="s">
        <v>47429</v>
      </c>
      <c r="T5599" t="s">
        <v>49023</v>
      </c>
      <c r="U5599" t="s">
        <v>54245</v>
      </c>
      <c r="W5599" t="s">
        <v>44859</v>
      </c>
      <c r="X5599" t="s">
        <v>47310</v>
      </c>
    </row>
    <row r="5600" spans="1:24">
      <c r="A5600">
        <f>HYPERLINK("https://www.philgeps.gov.ph/GEPSNONPILOT/Tender/SplashBidNoticeAbstractUI.aspx?menuIndex=3&amp;refID=7193839&amp;Result=3","7193839")</f>
        <v>0</v>
      </c>
      <c r="B5600" t="s">
        <v>1923</v>
      </c>
      <c r="C5600" t="s">
        <v>4079</v>
      </c>
      <c r="D5600" t="s">
        <v>19013</v>
      </c>
      <c r="E5600" t="s">
        <v>19266</v>
      </c>
      <c r="F5600" t="s">
        <v>32606</v>
      </c>
      <c r="G5600" t="s">
        <v>32613</v>
      </c>
      <c r="H5600" t="s">
        <v>32623</v>
      </c>
      <c r="I5600" t="s">
        <v>17648</v>
      </c>
      <c r="J5600" t="s">
        <v>36424</v>
      </c>
      <c r="K5600" t="s">
        <v>42682</v>
      </c>
      <c r="M5600" t="s">
        <v>44982</v>
      </c>
      <c r="N5600" t="s">
        <v>47304</v>
      </c>
      <c r="O5600" t="s">
        <v>47305</v>
      </c>
      <c r="P5600">
        <v>0</v>
      </c>
      <c r="Q5600">
        <v>1</v>
      </c>
      <c r="R5600" t="s">
        <v>47308</v>
      </c>
      <c r="S5600" t="s">
        <v>47429</v>
      </c>
      <c r="T5600" t="s">
        <v>48973</v>
      </c>
      <c r="U5600" t="s">
        <v>54246</v>
      </c>
      <c r="V5600" t="s">
        <v>63180</v>
      </c>
      <c r="W5600" t="s">
        <v>44982</v>
      </c>
      <c r="X5600" t="s">
        <v>47310</v>
      </c>
    </row>
    <row r="5601" spans="1:24">
      <c r="A5601">
        <f>HYPERLINK("https://www.philgeps.gov.ph/GEPSNONPILOT/Tender/SplashBidNoticeAbstractUI.aspx?menuIndex=3&amp;refID=7193943&amp;Result=3","7193943")</f>
        <v>0</v>
      </c>
      <c r="B5601" t="s">
        <v>1898</v>
      </c>
      <c r="C5601" t="s">
        <v>9110</v>
      </c>
      <c r="D5601" t="s">
        <v>19058</v>
      </c>
      <c r="E5601" t="s">
        <v>24055</v>
      </c>
      <c r="F5601" t="s">
        <v>32606</v>
      </c>
      <c r="G5601" t="s">
        <v>32614</v>
      </c>
      <c r="H5601" t="s">
        <v>14201</v>
      </c>
      <c r="I5601" t="s">
        <v>6298</v>
      </c>
      <c r="J5601" t="s">
        <v>33151</v>
      </c>
      <c r="K5601" t="s">
        <v>42632</v>
      </c>
      <c r="M5601" t="s">
        <v>44983</v>
      </c>
      <c r="N5601" t="s">
        <v>47304</v>
      </c>
      <c r="O5601" t="s">
        <v>47305</v>
      </c>
      <c r="P5601">
        <v>0</v>
      </c>
      <c r="Q5601">
        <v>3</v>
      </c>
      <c r="R5601" t="s">
        <v>47308</v>
      </c>
      <c r="S5601" t="s">
        <v>47429</v>
      </c>
      <c r="T5601" t="s">
        <v>48998</v>
      </c>
      <c r="U5601" t="s">
        <v>54247</v>
      </c>
      <c r="W5601" t="s">
        <v>44957</v>
      </c>
      <c r="X5601" t="s">
        <v>47310</v>
      </c>
    </row>
    <row r="5602" spans="1:24">
      <c r="A5602">
        <f>HYPERLINK("https://www.philgeps.gov.ph/GEPSNONPILOT/Tender/SplashBidNoticeAbstractUI.aspx?menuIndex=3&amp;refID=7193606&amp;Result=3","7193606")</f>
        <v>0</v>
      </c>
      <c r="B5602" t="s">
        <v>1899</v>
      </c>
      <c r="C5602" t="s">
        <v>9111</v>
      </c>
      <c r="D5602" t="s">
        <v>19041</v>
      </c>
      <c r="E5602" t="s">
        <v>24056</v>
      </c>
      <c r="F5602" t="s">
        <v>32606</v>
      </c>
      <c r="G5602" t="s">
        <v>32613</v>
      </c>
      <c r="H5602" t="s">
        <v>32623</v>
      </c>
      <c r="I5602" t="s">
        <v>17648</v>
      </c>
      <c r="J5602" t="s">
        <v>36425</v>
      </c>
      <c r="K5602" t="s">
        <v>42720</v>
      </c>
      <c r="M5602" t="s">
        <v>44958</v>
      </c>
      <c r="N5602" t="s">
        <v>47304</v>
      </c>
      <c r="O5602" t="s">
        <v>47305</v>
      </c>
      <c r="P5602">
        <v>0</v>
      </c>
      <c r="Q5602">
        <v>0</v>
      </c>
      <c r="R5602" t="s">
        <v>47308</v>
      </c>
      <c r="S5602" t="s">
        <v>47429</v>
      </c>
      <c r="T5602" t="s">
        <v>49008</v>
      </c>
      <c r="U5602" t="s">
        <v>54248</v>
      </c>
      <c r="W5602" t="s">
        <v>44958</v>
      </c>
      <c r="X5602" t="s">
        <v>47311</v>
      </c>
    </row>
    <row r="5603" spans="1:24">
      <c r="A5603">
        <f>HYPERLINK("https://www.philgeps.gov.ph/GEPSNONPILOT/Tender/SplashBidNoticeAbstractUI.aspx?menuIndex=3&amp;refID=7193923&amp;Result=3","7193923")</f>
        <v>0</v>
      </c>
      <c r="B5603" t="s">
        <v>1924</v>
      </c>
      <c r="C5603" t="s">
        <v>9112</v>
      </c>
      <c r="D5603" t="s">
        <v>19004</v>
      </c>
      <c r="E5603" t="s">
        <v>19833</v>
      </c>
      <c r="F5603" t="s">
        <v>32607</v>
      </c>
      <c r="G5603" t="s">
        <v>32613</v>
      </c>
      <c r="H5603" t="s">
        <v>32624</v>
      </c>
      <c r="I5603" t="s">
        <v>9013</v>
      </c>
      <c r="J5603" t="s">
        <v>36426</v>
      </c>
      <c r="K5603" t="s">
        <v>42664</v>
      </c>
      <c r="M5603" t="s">
        <v>44984</v>
      </c>
      <c r="N5603" t="s">
        <v>47304</v>
      </c>
      <c r="O5603" t="s">
        <v>47305</v>
      </c>
      <c r="P5603">
        <v>0</v>
      </c>
      <c r="Q5603">
        <v>0</v>
      </c>
      <c r="R5603" t="s">
        <v>47308</v>
      </c>
      <c r="S5603" t="s">
        <v>47429</v>
      </c>
      <c r="T5603" t="s">
        <v>49075</v>
      </c>
      <c r="U5603" t="s">
        <v>54249</v>
      </c>
      <c r="V5603" t="s">
        <v>63181</v>
      </c>
      <c r="W5603" t="s">
        <v>44984</v>
      </c>
      <c r="X5603" t="s">
        <v>47310</v>
      </c>
    </row>
    <row r="5604" spans="1:24">
      <c r="A5604">
        <f>HYPERLINK("https://www.philgeps.gov.ph/GEPSNONPILOT/Tender/SplashBidNoticeAbstractUI.aspx?menuIndex=3&amp;refID=7193888&amp;Result=3","7193888")</f>
        <v>0</v>
      </c>
      <c r="B5604" t="s">
        <v>1925</v>
      </c>
      <c r="C5604" t="s">
        <v>9113</v>
      </c>
      <c r="D5604" t="s">
        <v>19010</v>
      </c>
      <c r="E5604" t="s">
        <v>19319</v>
      </c>
      <c r="F5604" t="s">
        <v>32606</v>
      </c>
      <c r="G5604" t="s">
        <v>32613</v>
      </c>
      <c r="H5604" t="s">
        <v>32623</v>
      </c>
      <c r="I5604" t="s">
        <v>17648</v>
      </c>
      <c r="J5604" t="s">
        <v>36427</v>
      </c>
      <c r="K5604" t="s">
        <v>42666</v>
      </c>
      <c r="M5604" t="s">
        <v>44985</v>
      </c>
      <c r="N5604" t="s">
        <v>47304</v>
      </c>
      <c r="O5604" t="s">
        <v>47305</v>
      </c>
      <c r="P5604">
        <v>0</v>
      </c>
      <c r="Q5604">
        <v>0</v>
      </c>
      <c r="R5604" t="s">
        <v>47308</v>
      </c>
      <c r="S5604" t="s">
        <v>47429</v>
      </c>
      <c r="T5604" t="s">
        <v>49015</v>
      </c>
      <c r="U5604" t="s">
        <v>50524</v>
      </c>
      <c r="W5604" t="s">
        <v>44985</v>
      </c>
      <c r="X5604" t="s">
        <v>47310</v>
      </c>
    </row>
    <row r="5605" spans="1:24">
      <c r="A5605">
        <f>HYPERLINK("https://www.philgeps.gov.ph/GEPSNONPILOT/Tender/SplashBidNoticeAbstractUI.aspx?menuIndex=3&amp;refID=7193770&amp;Result=3","7193770")</f>
        <v>0</v>
      </c>
      <c r="B5605" t="s">
        <v>1926</v>
      </c>
      <c r="C5605" t="s">
        <v>9114</v>
      </c>
      <c r="D5605" t="s">
        <v>18988</v>
      </c>
      <c r="E5605" t="s">
        <v>20122</v>
      </c>
      <c r="F5605" t="s">
        <v>32606</v>
      </c>
      <c r="G5605" t="s">
        <v>32614</v>
      </c>
      <c r="H5605" t="s">
        <v>14201</v>
      </c>
      <c r="I5605" t="s">
        <v>4114</v>
      </c>
      <c r="J5605" t="s">
        <v>36428</v>
      </c>
      <c r="K5605" t="s">
        <v>42623</v>
      </c>
      <c r="M5605" t="s">
        <v>44986</v>
      </c>
      <c r="N5605" t="s">
        <v>47304</v>
      </c>
      <c r="O5605" t="s">
        <v>47305</v>
      </c>
      <c r="P5605">
        <v>0</v>
      </c>
      <c r="Q5605">
        <v>3</v>
      </c>
      <c r="R5605" t="s">
        <v>47308</v>
      </c>
      <c r="S5605" t="s">
        <v>47429</v>
      </c>
      <c r="T5605" t="s">
        <v>48975</v>
      </c>
      <c r="U5605" t="s">
        <v>54250</v>
      </c>
      <c r="V5605" t="s">
        <v>63182</v>
      </c>
      <c r="W5605" t="s">
        <v>44986</v>
      </c>
      <c r="X5605" t="s">
        <v>47310</v>
      </c>
    </row>
    <row r="5606" spans="1:24">
      <c r="A5606">
        <f>HYPERLINK("https://www.philgeps.gov.ph/GEPSNONPILOT/Tender/SplashBidNoticeAbstractUI.aspx?menuIndex=3&amp;refID=7193921&amp;Result=3","7193921")</f>
        <v>0</v>
      </c>
      <c r="B5606" t="s">
        <v>1924</v>
      </c>
      <c r="C5606" t="s">
        <v>9115</v>
      </c>
      <c r="D5606" t="s">
        <v>19004</v>
      </c>
      <c r="E5606" t="s">
        <v>24057</v>
      </c>
      <c r="F5606" t="s">
        <v>32607</v>
      </c>
      <c r="G5606" t="s">
        <v>32613</v>
      </c>
      <c r="H5606" t="s">
        <v>14201</v>
      </c>
      <c r="I5606" t="s">
        <v>32656</v>
      </c>
      <c r="J5606" t="s">
        <v>36429</v>
      </c>
      <c r="K5606" t="s">
        <v>42637</v>
      </c>
      <c r="M5606" t="s">
        <v>44984</v>
      </c>
      <c r="N5606" t="s">
        <v>47304</v>
      </c>
      <c r="O5606" t="s">
        <v>47305</v>
      </c>
      <c r="P5606">
        <v>0</v>
      </c>
      <c r="Q5606">
        <v>0</v>
      </c>
      <c r="R5606" t="s">
        <v>47308</v>
      </c>
      <c r="S5606" t="s">
        <v>47429</v>
      </c>
      <c r="T5606" t="s">
        <v>49140</v>
      </c>
      <c r="U5606" t="s">
        <v>54251</v>
      </c>
      <c r="V5606" t="s">
        <v>63181</v>
      </c>
      <c r="W5606" t="s">
        <v>44984</v>
      </c>
      <c r="X5606" t="s">
        <v>47310</v>
      </c>
    </row>
    <row r="5607" spans="1:24">
      <c r="A5607">
        <f>HYPERLINK("https://www.philgeps.gov.ph/GEPSNONPILOT/Tender/SplashBidNoticeAbstractUI.aspx?menuIndex=3&amp;refID=7193852&amp;Result=3","7193852")</f>
        <v>0</v>
      </c>
      <c r="B5607" t="s">
        <v>1025</v>
      </c>
      <c r="C5607" t="s">
        <v>9116</v>
      </c>
      <c r="D5607" t="s">
        <v>19035</v>
      </c>
      <c r="E5607" t="s">
        <v>24058</v>
      </c>
      <c r="F5607" t="s">
        <v>32606</v>
      </c>
      <c r="G5607" t="s">
        <v>32613</v>
      </c>
      <c r="H5607" t="s">
        <v>14201</v>
      </c>
      <c r="I5607" t="s">
        <v>8606</v>
      </c>
      <c r="J5607" t="s">
        <v>33586</v>
      </c>
      <c r="K5607" t="s">
        <v>42623</v>
      </c>
      <c r="L5607" t="s">
        <v>1025</v>
      </c>
      <c r="M5607" t="s">
        <v>43977</v>
      </c>
      <c r="N5607" t="s">
        <v>47304</v>
      </c>
      <c r="O5607" t="s">
        <v>47305</v>
      </c>
      <c r="P5607">
        <v>0</v>
      </c>
      <c r="Q5607">
        <v>1</v>
      </c>
      <c r="R5607" t="s">
        <v>47308</v>
      </c>
      <c r="S5607" t="s">
        <v>47429</v>
      </c>
      <c r="T5607" t="s">
        <v>48987</v>
      </c>
      <c r="U5607" t="s">
        <v>51609</v>
      </c>
      <c r="V5607" t="s">
        <v>63163</v>
      </c>
      <c r="W5607" t="s">
        <v>43977</v>
      </c>
      <c r="X5607" t="s">
        <v>47310</v>
      </c>
    </row>
    <row r="5608" spans="1:24">
      <c r="A5608">
        <f>HYPERLINK("https://www.philgeps.gov.ph/GEPSNONPILOT/Tender/SplashBidNoticeAbstractUI.aspx?menuIndex=3&amp;refID=7193957&amp;Result=3","7193957")</f>
        <v>0</v>
      </c>
      <c r="B5608" t="s">
        <v>1927</v>
      </c>
      <c r="C5608" t="s">
        <v>5011</v>
      </c>
      <c r="D5608" t="s">
        <v>19050</v>
      </c>
      <c r="E5608" t="s">
        <v>24059</v>
      </c>
      <c r="F5608" t="s">
        <v>32606</v>
      </c>
      <c r="G5608" t="s">
        <v>32613</v>
      </c>
      <c r="H5608" t="s">
        <v>14201</v>
      </c>
      <c r="I5608" t="s">
        <v>7677</v>
      </c>
      <c r="J5608" t="s">
        <v>36430</v>
      </c>
      <c r="K5608" t="s">
        <v>42627</v>
      </c>
      <c r="M5608" t="s">
        <v>44987</v>
      </c>
      <c r="N5608" t="s">
        <v>47304</v>
      </c>
      <c r="O5608" t="s">
        <v>47305</v>
      </c>
      <c r="P5608">
        <v>0</v>
      </c>
      <c r="Q5608">
        <v>5</v>
      </c>
      <c r="R5608" t="s">
        <v>47308</v>
      </c>
      <c r="S5608" t="s">
        <v>47429</v>
      </c>
      <c r="T5608" t="s">
        <v>49032</v>
      </c>
      <c r="U5608" t="s">
        <v>54252</v>
      </c>
      <c r="W5608" t="s">
        <v>44987</v>
      </c>
      <c r="X5608" t="s">
        <v>47310</v>
      </c>
    </row>
    <row r="5609" spans="1:24">
      <c r="A5609">
        <f>HYPERLINK("https://www.philgeps.gov.ph/GEPSNONPILOT/Tender/SplashBidNoticeAbstractUI.aspx?menuIndex=3&amp;refID=7193956&amp;Result=3","7193956")</f>
        <v>0</v>
      </c>
      <c r="B5609" t="s">
        <v>1927</v>
      </c>
      <c r="C5609" t="s">
        <v>9117</v>
      </c>
      <c r="D5609" t="s">
        <v>19050</v>
      </c>
      <c r="E5609" t="s">
        <v>24060</v>
      </c>
      <c r="F5609" t="s">
        <v>32606</v>
      </c>
      <c r="G5609" t="s">
        <v>32615</v>
      </c>
      <c r="H5609" t="s">
        <v>14201</v>
      </c>
      <c r="I5609" t="s">
        <v>7677</v>
      </c>
      <c r="J5609" t="s">
        <v>32789</v>
      </c>
      <c r="K5609" t="s">
        <v>42627</v>
      </c>
      <c r="M5609" t="s">
        <v>44987</v>
      </c>
      <c r="N5609" t="s">
        <v>47304</v>
      </c>
      <c r="O5609" t="s">
        <v>47305</v>
      </c>
      <c r="P5609">
        <v>0</v>
      </c>
      <c r="Q5609">
        <v>3</v>
      </c>
      <c r="R5609" t="s">
        <v>47308</v>
      </c>
      <c r="S5609" t="s">
        <v>47429</v>
      </c>
      <c r="T5609" t="s">
        <v>49032</v>
      </c>
      <c r="U5609" t="s">
        <v>54253</v>
      </c>
      <c r="W5609" t="s">
        <v>44987</v>
      </c>
      <c r="X5609" t="s">
        <v>47310</v>
      </c>
    </row>
    <row r="5610" spans="1:24">
      <c r="A5610">
        <f>HYPERLINK("https://www.philgeps.gov.ph/GEPSNONPILOT/Tender/SplashBidNoticeAbstractUI.aspx?menuIndex=3&amp;refID=7193935&amp;Result=3","7193935")</f>
        <v>0</v>
      </c>
      <c r="B5610" t="s">
        <v>900</v>
      </c>
      <c r="C5610" t="s">
        <v>9118</v>
      </c>
      <c r="D5610" t="s">
        <v>19005</v>
      </c>
      <c r="E5610" t="s">
        <v>23320</v>
      </c>
      <c r="F5610" t="s">
        <v>32606</v>
      </c>
      <c r="G5610" t="s">
        <v>32613</v>
      </c>
      <c r="H5610" t="s">
        <v>14201</v>
      </c>
      <c r="I5610" t="s">
        <v>32661</v>
      </c>
      <c r="J5610" t="s">
        <v>34128</v>
      </c>
      <c r="K5610" t="s">
        <v>42648</v>
      </c>
      <c r="M5610" t="s">
        <v>43837</v>
      </c>
      <c r="N5610" t="s">
        <v>47304</v>
      </c>
      <c r="O5610" t="s">
        <v>47305</v>
      </c>
      <c r="P5610">
        <v>0</v>
      </c>
      <c r="Q5610">
        <v>1</v>
      </c>
      <c r="R5610" t="s">
        <v>47308</v>
      </c>
      <c r="S5610" t="s">
        <v>47429</v>
      </c>
      <c r="T5610" t="s">
        <v>48983</v>
      </c>
      <c r="U5610" t="s">
        <v>54254</v>
      </c>
      <c r="W5610" t="s">
        <v>43837</v>
      </c>
      <c r="X5610" t="s">
        <v>47310</v>
      </c>
    </row>
    <row r="5611" spans="1:24">
      <c r="A5611">
        <f>HYPERLINK("https://www.philgeps.gov.ph/GEPSNONPILOT/Tender/SplashBidNoticeAbstractUI.aspx?menuIndex=3&amp;refID=7193892&amp;Result=3","7193892")</f>
        <v>0</v>
      </c>
      <c r="B5611" t="s">
        <v>130</v>
      </c>
      <c r="C5611" t="s">
        <v>9119</v>
      </c>
      <c r="D5611" t="s">
        <v>19015</v>
      </c>
      <c r="E5611" t="s">
        <v>24061</v>
      </c>
      <c r="F5611" t="s">
        <v>32606</v>
      </c>
      <c r="G5611" t="s">
        <v>32614</v>
      </c>
      <c r="H5611" t="s">
        <v>14201</v>
      </c>
      <c r="I5611" t="s">
        <v>32646</v>
      </c>
      <c r="J5611" t="s">
        <v>34675</v>
      </c>
      <c r="K5611" t="s">
        <v>42631</v>
      </c>
      <c r="M5611" t="s">
        <v>43031</v>
      </c>
      <c r="N5611" t="s">
        <v>47304</v>
      </c>
      <c r="O5611" t="s">
        <v>47305</v>
      </c>
      <c r="P5611">
        <v>0</v>
      </c>
      <c r="Q5611">
        <v>3</v>
      </c>
      <c r="R5611" t="s">
        <v>47308</v>
      </c>
      <c r="S5611" t="s">
        <v>47429</v>
      </c>
      <c r="T5611" t="s">
        <v>49047</v>
      </c>
      <c r="U5611" t="s">
        <v>54255</v>
      </c>
      <c r="W5611" t="s">
        <v>43031</v>
      </c>
      <c r="X5611" t="s">
        <v>47310</v>
      </c>
    </row>
    <row r="5612" spans="1:24">
      <c r="A5612">
        <f>HYPERLINK("https://www.philgeps.gov.ph/GEPSNONPILOT/Tender/SplashBidNoticeAbstractUI.aspx?menuIndex=3&amp;refID=7193926&amp;Result=3","7193926")</f>
        <v>0</v>
      </c>
      <c r="B5612" t="s">
        <v>1924</v>
      </c>
      <c r="C5612" t="s">
        <v>9120</v>
      </c>
      <c r="D5612" t="s">
        <v>19004</v>
      </c>
      <c r="E5612" t="s">
        <v>19314</v>
      </c>
      <c r="F5612" t="s">
        <v>32607</v>
      </c>
      <c r="G5612" t="s">
        <v>32613</v>
      </c>
      <c r="H5612" t="s">
        <v>32624</v>
      </c>
      <c r="I5612" t="s">
        <v>32675</v>
      </c>
      <c r="J5612" t="s">
        <v>32765</v>
      </c>
      <c r="K5612" t="s">
        <v>42664</v>
      </c>
      <c r="M5612" t="s">
        <v>44984</v>
      </c>
      <c r="N5612" t="s">
        <v>47304</v>
      </c>
      <c r="O5612" t="s">
        <v>47305</v>
      </c>
      <c r="P5612">
        <v>0</v>
      </c>
      <c r="Q5612">
        <v>0</v>
      </c>
      <c r="R5612" t="s">
        <v>47308</v>
      </c>
      <c r="S5612" t="s">
        <v>47429</v>
      </c>
      <c r="T5612" t="s">
        <v>49075</v>
      </c>
      <c r="U5612" t="s">
        <v>54256</v>
      </c>
      <c r="V5612" t="s">
        <v>63181</v>
      </c>
      <c r="W5612" t="s">
        <v>44984</v>
      </c>
      <c r="X5612" t="s">
        <v>47310</v>
      </c>
    </row>
    <row r="5613" spans="1:24">
      <c r="A5613">
        <f>HYPERLINK("https://www.philgeps.gov.ph/GEPSNONPILOT/Tender/SplashBidNoticeAbstractUI.aspx?menuIndex=3&amp;refID=7193916&amp;Result=3","7193916")</f>
        <v>0</v>
      </c>
      <c r="B5613" t="s">
        <v>130</v>
      </c>
      <c r="C5613" t="s">
        <v>9121</v>
      </c>
      <c r="D5613" t="s">
        <v>19015</v>
      </c>
      <c r="E5613" t="s">
        <v>24062</v>
      </c>
      <c r="F5613" t="s">
        <v>32606</v>
      </c>
      <c r="G5613" t="s">
        <v>32614</v>
      </c>
      <c r="H5613" t="s">
        <v>14201</v>
      </c>
      <c r="I5613" t="s">
        <v>32673</v>
      </c>
      <c r="J5613" t="s">
        <v>36431</v>
      </c>
      <c r="K5613" t="s">
        <v>42631</v>
      </c>
      <c r="M5613" t="s">
        <v>43031</v>
      </c>
      <c r="N5613" t="s">
        <v>47304</v>
      </c>
      <c r="O5613" t="s">
        <v>47305</v>
      </c>
      <c r="P5613">
        <v>0</v>
      </c>
      <c r="Q5613">
        <v>3</v>
      </c>
      <c r="R5613" t="s">
        <v>47308</v>
      </c>
      <c r="S5613" t="s">
        <v>47429</v>
      </c>
      <c r="T5613" t="s">
        <v>49047</v>
      </c>
      <c r="U5613" t="s">
        <v>54257</v>
      </c>
      <c r="W5613" t="s">
        <v>43031</v>
      </c>
      <c r="X5613" t="s">
        <v>47310</v>
      </c>
    </row>
    <row r="5614" spans="1:24">
      <c r="A5614">
        <f>HYPERLINK("https://www.philgeps.gov.ph/GEPSNONPILOT/Tender/SplashBidNoticeAbstractUI.aspx?menuIndex=3&amp;refID=7193906&amp;Result=3","7193906")</f>
        <v>0</v>
      </c>
      <c r="B5614" t="s">
        <v>130</v>
      </c>
      <c r="C5614" t="s">
        <v>9122</v>
      </c>
      <c r="D5614" t="s">
        <v>19015</v>
      </c>
      <c r="E5614" t="s">
        <v>24063</v>
      </c>
      <c r="F5614" t="s">
        <v>32606</v>
      </c>
      <c r="G5614" t="s">
        <v>32614</v>
      </c>
      <c r="H5614" t="s">
        <v>14201</v>
      </c>
      <c r="I5614" t="s">
        <v>32634</v>
      </c>
      <c r="J5614" t="s">
        <v>32949</v>
      </c>
      <c r="K5614" t="s">
        <v>42631</v>
      </c>
      <c r="M5614" t="s">
        <v>43031</v>
      </c>
      <c r="N5614" t="s">
        <v>47304</v>
      </c>
      <c r="O5614" t="s">
        <v>47305</v>
      </c>
      <c r="P5614">
        <v>0</v>
      </c>
      <c r="Q5614">
        <v>0</v>
      </c>
      <c r="R5614" t="s">
        <v>47308</v>
      </c>
      <c r="S5614" t="s">
        <v>47429</v>
      </c>
      <c r="T5614" t="s">
        <v>49047</v>
      </c>
      <c r="U5614" t="s">
        <v>54258</v>
      </c>
      <c r="W5614" t="s">
        <v>43031</v>
      </c>
      <c r="X5614" t="s">
        <v>47310</v>
      </c>
    </row>
    <row r="5615" spans="1:24">
      <c r="A5615">
        <f>HYPERLINK("https://www.philgeps.gov.ph/GEPSNONPILOT/Tender/SplashBidNoticeAbstractUI.aspx?menuIndex=3&amp;refID=7193959&amp;Result=3","7193959")</f>
        <v>0</v>
      </c>
      <c r="B5615" t="s">
        <v>1927</v>
      </c>
      <c r="C5615" t="s">
        <v>4718</v>
      </c>
      <c r="D5615" t="s">
        <v>19050</v>
      </c>
      <c r="E5615" t="s">
        <v>24064</v>
      </c>
      <c r="F5615" t="s">
        <v>32606</v>
      </c>
      <c r="G5615" t="s">
        <v>32613</v>
      </c>
      <c r="H5615" t="s">
        <v>14201</v>
      </c>
      <c r="I5615" t="s">
        <v>4120</v>
      </c>
      <c r="J5615" t="s">
        <v>36432</v>
      </c>
      <c r="K5615" t="s">
        <v>42627</v>
      </c>
      <c r="M5615" t="s">
        <v>44987</v>
      </c>
      <c r="N5615" t="s">
        <v>47304</v>
      </c>
      <c r="O5615" t="s">
        <v>47305</v>
      </c>
      <c r="P5615">
        <v>0</v>
      </c>
      <c r="Q5615">
        <v>1</v>
      </c>
      <c r="R5615" t="s">
        <v>47308</v>
      </c>
      <c r="S5615" t="s">
        <v>47429</v>
      </c>
      <c r="T5615" t="s">
        <v>49032</v>
      </c>
      <c r="U5615" t="s">
        <v>54252</v>
      </c>
      <c r="W5615" t="s">
        <v>44987</v>
      </c>
      <c r="X5615" t="s">
        <v>47310</v>
      </c>
    </row>
    <row r="5616" spans="1:24">
      <c r="A5616">
        <f>HYPERLINK("https://www.philgeps.gov.ph/GEPSNONPILOT/Tender/SplashBidNoticeAbstractUI.aspx?menuIndex=3&amp;refID=7193946&amp;Result=3","7193946")</f>
        <v>0</v>
      </c>
      <c r="B5616" t="s">
        <v>1898</v>
      </c>
      <c r="C5616" t="s">
        <v>9123</v>
      </c>
      <c r="D5616" t="s">
        <v>19058</v>
      </c>
      <c r="E5616" t="s">
        <v>24065</v>
      </c>
      <c r="F5616" t="s">
        <v>32606</v>
      </c>
      <c r="G5616" t="s">
        <v>32614</v>
      </c>
      <c r="H5616" t="s">
        <v>14201</v>
      </c>
      <c r="I5616" t="s">
        <v>6007</v>
      </c>
      <c r="J5616" t="s">
        <v>33363</v>
      </c>
      <c r="K5616" t="s">
        <v>42632</v>
      </c>
      <c r="M5616" t="s">
        <v>44983</v>
      </c>
      <c r="N5616" t="s">
        <v>47304</v>
      </c>
      <c r="O5616" t="s">
        <v>47305</v>
      </c>
      <c r="P5616">
        <v>0</v>
      </c>
      <c r="Q5616">
        <v>2</v>
      </c>
      <c r="R5616" t="s">
        <v>47308</v>
      </c>
      <c r="S5616" t="s">
        <v>47429</v>
      </c>
      <c r="T5616" t="s">
        <v>48998</v>
      </c>
      <c r="U5616" t="s">
        <v>54259</v>
      </c>
      <c r="W5616" t="s">
        <v>44957</v>
      </c>
      <c r="X5616" t="s">
        <v>47310</v>
      </c>
    </row>
    <row r="5617" spans="1:24">
      <c r="A5617">
        <f>HYPERLINK("https://www.philgeps.gov.ph/GEPSNONPILOT/Tender/SplashBidNoticeAbstractUI.aspx?menuIndex=3&amp;refID=7193902&amp;Result=3","7193902")</f>
        <v>0</v>
      </c>
      <c r="B5617" t="s">
        <v>1928</v>
      </c>
      <c r="C5617" t="s">
        <v>9124</v>
      </c>
      <c r="D5617" t="s">
        <v>18990</v>
      </c>
      <c r="E5617" t="s">
        <v>24066</v>
      </c>
      <c r="F5617" t="s">
        <v>32606</v>
      </c>
      <c r="G5617" t="s">
        <v>32615</v>
      </c>
      <c r="H5617" t="s">
        <v>14201</v>
      </c>
      <c r="I5617" t="s">
        <v>6309</v>
      </c>
      <c r="J5617" t="s">
        <v>32778</v>
      </c>
      <c r="K5617" t="s">
        <v>42631</v>
      </c>
      <c r="M5617" t="s">
        <v>44988</v>
      </c>
      <c r="N5617" t="s">
        <v>47304</v>
      </c>
      <c r="O5617" t="s">
        <v>47305</v>
      </c>
      <c r="P5617">
        <v>0</v>
      </c>
      <c r="Q5617">
        <v>0</v>
      </c>
      <c r="R5617" t="s">
        <v>47308</v>
      </c>
      <c r="S5617" t="s">
        <v>47429</v>
      </c>
      <c r="T5617" t="s">
        <v>49100</v>
      </c>
      <c r="U5617" t="s">
        <v>54260</v>
      </c>
      <c r="W5617" t="s">
        <v>44988</v>
      </c>
      <c r="X5617" t="s">
        <v>47310</v>
      </c>
    </row>
    <row r="5618" spans="1:24">
      <c r="A5618">
        <f>HYPERLINK("https://www.philgeps.gov.ph/GEPSNONPILOT/Tender/SplashBidNoticeAbstractUI.aspx?menuIndex=3&amp;refID=7193955&amp;Result=3","7193955")</f>
        <v>0</v>
      </c>
      <c r="B5618" t="s">
        <v>1818</v>
      </c>
      <c r="C5618" t="s">
        <v>9125</v>
      </c>
      <c r="D5618" t="s">
        <v>19041</v>
      </c>
      <c r="E5618" t="s">
        <v>19839</v>
      </c>
      <c r="F5618" t="s">
        <v>32606</v>
      </c>
      <c r="G5618" t="s">
        <v>32613</v>
      </c>
      <c r="H5618" t="s">
        <v>14201</v>
      </c>
      <c r="I5618" t="s">
        <v>32641</v>
      </c>
      <c r="J5618" t="s">
        <v>34860</v>
      </c>
      <c r="K5618" t="s">
        <v>42631</v>
      </c>
      <c r="M5618" t="s">
        <v>44859</v>
      </c>
      <c r="N5618" t="s">
        <v>47304</v>
      </c>
      <c r="O5618" t="s">
        <v>47305</v>
      </c>
      <c r="P5618">
        <v>0</v>
      </c>
      <c r="Q5618">
        <v>3</v>
      </c>
      <c r="R5618" t="s">
        <v>47308</v>
      </c>
      <c r="S5618" t="s">
        <v>47429</v>
      </c>
      <c r="T5618" t="s">
        <v>48986</v>
      </c>
      <c r="U5618" t="s">
        <v>54261</v>
      </c>
      <c r="W5618" t="s">
        <v>44859</v>
      </c>
      <c r="X5618" t="s">
        <v>47310</v>
      </c>
    </row>
    <row r="5619" spans="1:24">
      <c r="A5619">
        <f>HYPERLINK("https://www.philgeps.gov.ph/GEPSNONPILOT/Tender/SplashBidNoticeAbstractUI.aspx?menuIndex=3&amp;refID=7193918&amp;Result=3","7193918")</f>
        <v>0</v>
      </c>
      <c r="B5619" t="s">
        <v>130</v>
      </c>
      <c r="C5619" t="s">
        <v>9126</v>
      </c>
      <c r="D5619" t="s">
        <v>19015</v>
      </c>
      <c r="E5619" t="s">
        <v>24067</v>
      </c>
      <c r="F5619" t="s">
        <v>32606</v>
      </c>
      <c r="G5619" t="s">
        <v>32614</v>
      </c>
      <c r="H5619" t="s">
        <v>14201</v>
      </c>
      <c r="I5619" t="s">
        <v>6931</v>
      </c>
      <c r="J5619" t="s">
        <v>36433</v>
      </c>
      <c r="K5619" t="s">
        <v>42631</v>
      </c>
      <c r="M5619" t="s">
        <v>43031</v>
      </c>
      <c r="N5619" t="s">
        <v>47304</v>
      </c>
      <c r="O5619" t="s">
        <v>47305</v>
      </c>
      <c r="P5619">
        <v>0</v>
      </c>
      <c r="Q5619">
        <v>1</v>
      </c>
      <c r="R5619" t="s">
        <v>47308</v>
      </c>
      <c r="S5619" t="s">
        <v>47429</v>
      </c>
      <c r="T5619" t="s">
        <v>49047</v>
      </c>
      <c r="U5619" t="s">
        <v>54262</v>
      </c>
      <c r="W5619" t="s">
        <v>43031</v>
      </c>
      <c r="X5619" t="s">
        <v>47310</v>
      </c>
    </row>
    <row r="5620" spans="1:24">
      <c r="A5620">
        <f>HYPERLINK("https://www.philgeps.gov.ph/GEPSNONPILOT/Tender/SplashBidNoticeAbstractUI.aspx?menuIndex=3&amp;refID=7193915&amp;Result=3","7193915")</f>
        <v>0</v>
      </c>
      <c r="B5620" t="s">
        <v>1929</v>
      </c>
      <c r="C5620" t="s">
        <v>9127</v>
      </c>
      <c r="D5620" t="s">
        <v>19032</v>
      </c>
      <c r="E5620" t="s">
        <v>23491</v>
      </c>
      <c r="F5620" t="s">
        <v>32606</v>
      </c>
      <c r="G5620" t="s">
        <v>32614</v>
      </c>
      <c r="H5620" t="s">
        <v>14201</v>
      </c>
      <c r="I5620" t="s">
        <v>6931</v>
      </c>
      <c r="J5620" t="s">
        <v>36434</v>
      </c>
      <c r="K5620" t="s">
        <v>42623</v>
      </c>
      <c r="M5620" t="s">
        <v>44989</v>
      </c>
      <c r="N5620" t="s">
        <v>47304</v>
      </c>
      <c r="O5620" t="s">
        <v>47305</v>
      </c>
      <c r="P5620">
        <v>0</v>
      </c>
      <c r="Q5620">
        <v>0</v>
      </c>
      <c r="R5620" t="s">
        <v>47308</v>
      </c>
      <c r="S5620" t="s">
        <v>47429</v>
      </c>
      <c r="T5620" t="s">
        <v>49165</v>
      </c>
      <c r="U5620" t="s">
        <v>54263</v>
      </c>
      <c r="W5620" t="s">
        <v>44989</v>
      </c>
      <c r="X5620" t="s">
        <v>47310</v>
      </c>
    </row>
    <row r="5621" spans="1:24">
      <c r="A5621">
        <f>HYPERLINK("https://www.philgeps.gov.ph/GEPSNONPILOT/Tender/SplashBidNoticeAbstractUI.aspx?menuIndex=3&amp;refID=7193910&amp;Result=3","7193910")</f>
        <v>0</v>
      </c>
      <c r="B5621" t="s">
        <v>1930</v>
      </c>
      <c r="C5621" t="s">
        <v>9128</v>
      </c>
      <c r="D5621" t="s">
        <v>19019</v>
      </c>
      <c r="E5621" t="s">
        <v>24068</v>
      </c>
      <c r="F5621" t="s">
        <v>32606</v>
      </c>
      <c r="G5621" t="s">
        <v>32619</v>
      </c>
      <c r="H5621" t="s">
        <v>14201</v>
      </c>
      <c r="I5621" t="s">
        <v>6298</v>
      </c>
      <c r="J5621" t="s">
        <v>36435</v>
      </c>
      <c r="K5621" t="s">
        <v>42625</v>
      </c>
      <c r="M5621" t="s">
        <v>44990</v>
      </c>
      <c r="N5621" t="s">
        <v>47304</v>
      </c>
      <c r="O5621" t="s">
        <v>47305</v>
      </c>
      <c r="P5621">
        <v>0</v>
      </c>
      <c r="Q5621">
        <v>0</v>
      </c>
      <c r="R5621" t="s">
        <v>47308</v>
      </c>
      <c r="S5621" t="s">
        <v>47429</v>
      </c>
      <c r="T5621" t="s">
        <v>49083</v>
      </c>
      <c r="U5621" t="s">
        <v>54264</v>
      </c>
      <c r="V5621" t="s">
        <v>63183</v>
      </c>
      <c r="W5621" t="s">
        <v>44990</v>
      </c>
      <c r="X5621" t="s">
        <v>47310</v>
      </c>
    </row>
    <row r="5622" spans="1:24">
      <c r="A5622">
        <f>HYPERLINK("https://www.philgeps.gov.ph/GEPSNONPILOT/Tender/SplashBidNoticeAbstractUI.aspx?menuIndex=3&amp;refID=7193966&amp;Result=3","7193966")</f>
        <v>0</v>
      </c>
      <c r="B5622" t="s">
        <v>1927</v>
      </c>
      <c r="C5622" t="s">
        <v>9129</v>
      </c>
      <c r="D5622" t="s">
        <v>19050</v>
      </c>
      <c r="E5622" t="s">
        <v>24069</v>
      </c>
      <c r="F5622" t="s">
        <v>32606</v>
      </c>
      <c r="G5622" t="s">
        <v>32613</v>
      </c>
      <c r="H5622" t="s">
        <v>32623</v>
      </c>
      <c r="I5622" t="s">
        <v>17648</v>
      </c>
      <c r="J5622" t="s">
        <v>36436</v>
      </c>
      <c r="K5622" t="s">
        <v>42777</v>
      </c>
      <c r="M5622" t="s">
        <v>44987</v>
      </c>
      <c r="N5622" t="s">
        <v>47304</v>
      </c>
      <c r="O5622" t="s">
        <v>47305</v>
      </c>
      <c r="P5622">
        <v>0</v>
      </c>
      <c r="Q5622">
        <v>0</v>
      </c>
      <c r="R5622" t="s">
        <v>47308</v>
      </c>
      <c r="S5622" t="s">
        <v>47429</v>
      </c>
      <c r="T5622" t="s">
        <v>49032</v>
      </c>
      <c r="U5622" t="s">
        <v>54265</v>
      </c>
      <c r="W5622" t="s">
        <v>44987</v>
      </c>
      <c r="X5622" t="s">
        <v>47310</v>
      </c>
    </row>
    <row r="5623" spans="1:24">
      <c r="A5623">
        <f>HYPERLINK("https://www.philgeps.gov.ph/GEPSNONPILOT/Tender/SplashBidNoticeAbstractUI.aspx?menuIndex=3&amp;refID=7194000&amp;Result=3","7194000")</f>
        <v>0</v>
      </c>
      <c r="B5623" t="s">
        <v>1818</v>
      </c>
      <c r="C5623" t="s">
        <v>9130</v>
      </c>
      <c r="D5623" t="s">
        <v>19041</v>
      </c>
      <c r="E5623" t="s">
        <v>20596</v>
      </c>
      <c r="F5623" t="s">
        <v>32606</v>
      </c>
      <c r="G5623" t="s">
        <v>32613</v>
      </c>
      <c r="H5623" t="s">
        <v>32623</v>
      </c>
      <c r="I5623" t="s">
        <v>17648</v>
      </c>
      <c r="J5623" t="s">
        <v>36437</v>
      </c>
      <c r="K5623" t="s">
        <v>42636</v>
      </c>
      <c r="M5623" t="s">
        <v>44859</v>
      </c>
      <c r="N5623" t="s">
        <v>47304</v>
      </c>
      <c r="O5623" t="s">
        <v>47305</v>
      </c>
      <c r="P5623">
        <v>0</v>
      </c>
      <c r="Q5623">
        <v>0</v>
      </c>
      <c r="R5623" t="s">
        <v>47308</v>
      </c>
      <c r="S5623" t="s">
        <v>47429</v>
      </c>
      <c r="T5623" t="s">
        <v>49180</v>
      </c>
      <c r="U5623" t="s">
        <v>54266</v>
      </c>
      <c r="W5623" t="s">
        <v>44859</v>
      </c>
      <c r="X5623" t="s">
        <v>47310</v>
      </c>
    </row>
    <row r="5624" spans="1:24">
      <c r="A5624">
        <f>HYPERLINK("https://www.philgeps.gov.ph/GEPSNONPILOT/Tender/SplashBidNoticeAbstractUI.aspx?menuIndex=3&amp;refID=7193990&amp;Result=3","7193990")</f>
        <v>0</v>
      </c>
      <c r="B5624" t="s">
        <v>1818</v>
      </c>
      <c r="C5624" t="s">
        <v>9131</v>
      </c>
      <c r="D5624" t="s">
        <v>19041</v>
      </c>
      <c r="E5624" t="s">
        <v>24070</v>
      </c>
      <c r="F5624" t="s">
        <v>32606</v>
      </c>
      <c r="G5624" t="s">
        <v>32613</v>
      </c>
      <c r="H5624" t="s">
        <v>32623</v>
      </c>
      <c r="I5624" t="s">
        <v>17648</v>
      </c>
      <c r="J5624" t="s">
        <v>36438</v>
      </c>
      <c r="K5624" t="s">
        <v>42636</v>
      </c>
      <c r="M5624" t="s">
        <v>44859</v>
      </c>
      <c r="N5624" t="s">
        <v>47304</v>
      </c>
      <c r="O5624" t="s">
        <v>47305</v>
      </c>
      <c r="P5624">
        <v>0</v>
      </c>
      <c r="Q5624">
        <v>0</v>
      </c>
      <c r="R5624" t="s">
        <v>47308</v>
      </c>
      <c r="S5624" t="s">
        <v>47429</v>
      </c>
      <c r="T5624" t="s">
        <v>49107</v>
      </c>
      <c r="U5624" t="s">
        <v>54267</v>
      </c>
      <c r="W5624" t="s">
        <v>44859</v>
      </c>
      <c r="X5624" t="s">
        <v>47310</v>
      </c>
    </row>
    <row r="5625" spans="1:24">
      <c r="A5625">
        <f>HYPERLINK("https://www.philgeps.gov.ph/GEPSNONPILOT/Tender/SplashBidNoticeAbstractUI.aspx?menuIndex=3&amp;refID=7193988&amp;Result=3","7193988")</f>
        <v>0</v>
      </c>
      <c r="B5625" t="s">
        <v>343</v>
      </c>
      <c r="C5625" t="s">
        <v>9132</v>
      </c>
      <c r="D5625" t="s">
        <v>18993</v>
      </c>
      <c r="E5625" t="s">
        <v>24071</v>
      </c>
      <c r="F5625" t="s">
        <v>32606</v>
      </c>
      <c r="G5625" t="s">
        <v>32614</v>
      </c>
      <c r="H5625" t="s">
        <v>14201</v>
      </c>
      <c r="I5625" t="s">
        <v>6993</v>
      </c>
      <c r="J5625" t="s">
        <v>36439</v>
      </c>
      <c r="K5625" t="s">
        <v>42624</v>
      </c>
      <c r="M5625" t="s">
        <v>44531</v>
      </c>
      <c r="N5625" t="s">
        <v>47304</v>
      </c>
      <c r="O5625" t="s">
        <v>47305</v>
      </c>
      <c r="P5625">
        <v>0</v>
      </c>
      <c r="Q5625">
        <v>3</v>
      </c>
      <c r="R5625" t="s">
        <v>47308</v>
      </c>
      <c r="S5625" t="s">
        <v>47429</v>
      </c>
      <c r="T5625" t="s">
        <v>49015</v>
      </c>
      <c r="U5625" t="s">
        <v>54268</v>
      </c>
      <c r="W5625" t="s">
        <v>44531</v>
      </c>
      <c r="X5625" t="s">
        <v>47310</v>
      </c>
    </row>
    <row r="5626" spans="1:24">
      <c r="A5626">
        <f>HYPERLINK("https://www.philgeps.gov.ph/GEPSNONPILOT/Tender/SplashBidNoticeAbstractUI.aspx?menuIndex=3&amp;refID=7193983&amp;Result=3","7193983")</f>
        <v>0</v>
      </c>
      <c r="B5626" t="s">
        <v>1818</v>
      </c>
      <c r="C5626" t="s">
        <v>9133</v>
      </c>
      <c r="D5626" t="s">
        <v>19041</v>
      </c>
      <c r="E5626" t="s">
        <v>24072</v>
      </c>
      <c r="F5626" t="s">
        <v>32606</v>
      </c>
      <c r="G5626" t="s">
        <v>32613</v>
      </c>
      <c r="H5626" t="s">
        <v>32623</v>
      </c>
      <c r="I5626" t="s">
        <v>17648</v>
      </c>
      <c r="J5626" t="s">
        <v>36440</v>
      </c>
      <c r="K5626" t="s">
        <v>42648</v>
      </c>
      <c r="M5626" t="s">
        <v>44859</v>
      </c>
      <c r="N5626" t="s">
        <v>47304</v>
      </c>
      <c r="O5626" t="s">
        <v>47305</v>
      </c>
      <c r="P5626">
        <v>0</v>
      </c>
      <c r="Q5626">
        <v>1</v>
      </c>
      <c r="R5626" t="s">
        <v>47308</v>
      </c>
      <c r="S5626" t="s">
        <v>47429</v>
      </c>
      <c r="T5626" t="s">
        <v>48982</v>
      </c>
      <c r="U5626" t="s">
        <v>54269</v>
      </c>
      <c r="W5626" t="s">
        <v>44859</v>
      </c>
      <c r="X5626" t="s">
        <v>47310</v>
      </c>
    </row>
    <row r="5627" spans="1:24">
      <c r="A5627">
        <f>HYPERLINK("https://www.philgeps.gov.ph/GEPSNONPILOT/Tender/SplashBidNoticeAbstractUI.aspx?menuIndex=3&amp;refID=7193980&amp;Result=3","7193980")</f>
        <v>0</v>
      </c>
      <c r="B5627" t="s">
        <v>1818</v>
      </c>
      <c r="C5627" t="s">
        <v>9134</v>
      </c>
      <c r="D5627" t="s">
        <v>19041</v>
      </c>
      <c r="E5627" t="s">
        <v>24073</v>
      </c>
      <c r="F5627" t="s">
        <v>32606</v>
      </c>
      <c r="G5627" t="s">
        <v>32613</v>
      </c>
      <c r="H5627" t="s">
        <v>32623</v>
      </c>
      <c r="I5627" t="s">
        <v>17648</v>
      </c>
      <c r="J5627" t="s">
        <v>36441</v>
      </c>
      <c r="K5627" t="s">
        <v>42639</v>
      </c>
      <c r="M5627" t="s">
        <v>44859</v>
      </c>
      <c r="N5627" t="s">
        <v>47304</v>
      </c>
      <c r="O5627" t="s">
        <v>47305</v>
      </c>
      <c r="P5627">
        <v>0</v>
      </c>
      <c r="Q5627">
        <v>1</v>
      </c>
      <c r="R5627" t="s">
        <v>47308</v>
      </c>
      <c r="S5627" t="s">
        <v>47429</v>
      </c>
      <c r="T5627" t="s">
        <v>48987</v>
      </c>
      <c r="U5627" t="s">
        <v>54270</v>
      </c>
      <c r="W5627" t="s">
        <v>44859</v>
      </c>
      <c r="X5627" t="s">
        <v>47310</v>
      </c>
    </row>
    <row r="5628" spans="1:24">
      <c r="A5628">
        <f>HYPERLINK("https://www.philgeps.gov.ph/GEPSNONPILOT/Tender/SplashBidNoticeAbstractUI.aspx?menuIndex=3&amp;refID=7193972&amp;Result=3","7193972")</f>
        <v>0</v>
      </c>
      <c r="B5628" t="s">
        <v>1931</v>
      </c>
      <c r="C5628" t="s">
        <v>4329</v>
      </c>
      <c r="D5628" t="s">
        <v>19019</v>
      </c>
      <c r="E5628" t="s">
        <v>24074</v>
      </c>
      <c r="F5628" t="s">
        <v>32606</v>
      </c>
      <c r="G5628" t="s">
        <v>32619</v>
      </c>
      <c r="H5628" t="s">
        <v>14201</v>
      </c>
      <c r="I5628" t="s">
        <v>6298</v>
      </c>
      <c r="J5628" t="s">
        <v>36442</v>
      </c>
      <c r="K5628" t="s">
        <v>42624</v>
      </c>
      <c r="M5628" t="s">
        <v>44991</v>
      </c>
      <c r="N5628" t="s">
        <v>47304</v>
      </c>
      <c r="O5628" t="s">
        <v>47305</v>
      </c>
      <c r="P5628">
        <v>0</v>
      </c>
      <c r="Q5628">
        <v>1</v>
      </c>
      <c r="R5628" t="s">
        <v>47308</v>
      </c>
      <c r="S5628" t="s">
        <v>47429</v>
      </c>
      <c r="T5628" t="s">
        <v>49071</v>
      </c>
      <c r="U5628" t="s">
        <v>54271</v>
      </c>
      <c r="V5628" t="s">
        <v>62704</v>
      </c>
      <c r="W5628" t="s">
        <v>44991</v>
      </c>
      <c r="X5628" t="s">
        <v>47310</v>
      </c>
    </row>
    <row r="5629" spans="1:24">
      <c r="A5629">
        <f>HYPERLINK("https://www.philgeps.gov.ph/GEPSNONPILOT/Tender/SplashBidNoticeAbstractUI.aspx?menuIndex=3&amp;refID=7193970&amp;Result=3","7193970")</f>
        <v>0</v>
      </c>
      <c r="B5629" t="s">
        <v>1818</v>
      </c>
      <c r="C5629" t="s">
        <v>9135</v>
      </c>
      <c r="D5629" t="s">
        <v>19041</v>
      </c>
      <c r="E5629" t="s">
        <v>19933</v>
      </c>
      <c r="F5629" t="s">
        <v>32606</v>
      </c>
      <c r="G5629" t="s">
        <v>32613</v>
      </c>
      <c r="H5629" t="s">
        <v>32623</v>
      </c>
      <c r="I5629" t="s">
        <v>17648</v>
      </c>
      <c r="J5629" t="s">
        <v>36443</v>
      </c>
      <c r="K5629" t="s">
        <v>42636</v>
      </c>
      <c r="M5629" t="s">
        <v>44859</v>
      </c>
      <c r="N5629" t="s">
        <v>47304</v>
      </c>
      <c r="O5629" t="s">
        <v>47305</v>
      </c>
      <c r="P5629">
        <v>0</v>
      </c>
      <c r="Q5629">
        <v>1</v>
      </c>
      <c r="R5629" t="s">
        <v>47308</v>
      </c>
      <c r="S5629" t="s">
        <v>47429</v>
      </c>
      <c r="T5629" t="s">
        <v>49160</v>
      </c>
      <c r="U5629" t="s">
        <v>54272</v>
      </c>
      <c r="W5629" t="s">
        <v>44859</v>
      </c>
      <c r="X5629" t="s">
        <v>47310</v>
      </c>
    </row>
    <row r="5630" spans="1:24">
      <c r="A5630">
        <f>HYPERLINK("https://www.philgeps.gov.ph/GEPSNONPILOT/Tender/SplashBidNoticeAbstractUI.aspx?menuIndex=3&amp;refID=7194016&amp;Result=3","7194016")</f>
        <v>0</v>
      </c>
      <c r="B5630" t="s">
        <v>1818</v>
      </c>
      <c r="C5630" t="s">
        <v>9136</v>
      </c>
      <c r="D5630" t="s">
        <v>19041</v>
      </c>
      <c r="E5630" t="s">
        <v>24075</v>
      </c>
      <c r="F5630" t="s">
        <v>32606</v>
      </c>
      <c r="G5630" t="s">
        <v>32613</v>
      </c>
      <c r="H5630" t="s">
        <v>32623</v>
      </c>
      <c r="I5630" t="s">
        <v>17648</v>
      </c>
      <c r="J5630" t="s">
        <v>36444</v>
      </c>
      <c r="K5630" t="s">
        <v>42636</v>
      </c>
      <c r="M5630" t="s">
        <v>44859</v>
      </c>
      <c r="N5630" t="s">
        <v>47304</v>
      </c>
      <c r="O5630" t="s">
        <v>47305</v>
      </c>
      <c r="P5630">
        <v>0</v>
      </c>
      <c r="Q5630">
        <v>0</v>
      </c>
      <c r="R5630" t="s">
        <v>47308</v>
      </c>
      <c r="S5630" t="s">
        <v>47429</v>
      </c>
      <c r="T5630" t="s">
        <v>49240</v>
      </c>
      <c r="U5630" t="s">
        <v>54273</v>
      </c>
      <c r="W5630" t="s">
        <v>44859</v>
      </c>
      <c r="X5630" t="s">
        <v>47310</v>
      </c>
    </row>
    <row r="5631" spans="1:24">
      <c r="A5631">
        <f>HYPERLINK("https://www.philgeps.gov.ph/GEPSNONPILOT/Tender/SplashBidNoticeAbstractUI.aspx?menuIndex=3&amp;refID=7193962&amp;Result=3","7193962")</f>
        <v>0</v>
      </c>
      <c r="B5631" t="s">
        <v>1927</v>
      </c>
      <c r="C5631" t="s">
        <v>9137</v>
      </c>
      <c r="D5631" t="s">
        <v>19050</v>
      </c>
      <c r="E5631" t="s">
        <v>24076</v>
      </c>
      <c r="F5631" t="s">
        <v>32606</v>
      </c>
      <c r="G5631" t="s">
        <v>32613</v>
      </c>
      <c r="H5631" t="s">
        <v>32623</v>
      </c>
      <c r="I5631" t="s">
        <v>17648</v>
      </c>
      <c r="J5631" t="s">
        <v>36445</v>
      </c>
      <c r="K5631" t="s">
        <v>42693</v>
      </c>
      <c r="M5631" t="s">
        <v>44987</v>
      </c>
      <c r="N5631" t="s">
        <v>47304</v>
      </c>
      <c r="O5631" t="s">
        <v>47305</v>
      </c>
      <c r="P5631">
        <v>0</v>
      </c>
      <c r="Q5631">
        <v>0</v>
      </c>
      <c r="R5631" t="s">
        <v>47308</v>
      </c>
      <c r="S5631" t="s">
        <v>47429</v>
      </c>
      <c r="T5631" t="s">
        <v>49032</v>
      </c>
      <c r="U5631" t="s">
        <v>54274</v>
      </c>
      <c r="W5631" t="s">
        <v>44987</v>
      </c>
      <c r="X5631" t="s">
        <v>47310</v>
      </c>
    </row>
    <row r="5632" spans="1:24">
      <c r="A5632">
        <f>HYPERLINK("https://www.philgeps.gov.ph/GEPSNONPILOT/Tender/SplashBidNoticeAbstractUI.aspx?menuIndex=3&amp;refID=7193991&amp;Result=3","7193991")</f>
        <v>0</v>
      </c>
      <c r="B5632" t="s">
        <v>343</v>
      </c>
      <c r="C5632" t="s">
        <v>9138</v>
      </c>
      <c r="D5632" t="s">
        <v>18993</v>
      </c>
      <c r="E5632" t="s">
        <v>24077</v>
      </c>
      <c r="F5632" t="s">
        <v>32606</v>
      </c>
      <c r="G5632" t="s">
        <v>32614</v>
      </c>
      <c r="H5632" t="s">
        <v>14201</v>
      </c>
      <c r="I5632" t="s">
        <v>32640</v>
      </c>
      <c r="J5632" t="s">
        <v>32765</v>
      </c>
      <c r="K5632" t="s">
        <v>42624</v>
      </c>
      <c r="M5632" t="s">
        <v>44531</v>
      </c>
      <c r="N5632" t="s">
        <v>47304</v>
      </c>
      <c r="O5632" t="s">
        <v>47305</v>
      </c>
      <c r="P5632">
        <v>0</v>
      </c>
      <c r="Q5632">
        <v>2</v>
      </c>
      <c r="R5632" t="s">
        <v>47308</v>
      </c>
      <c r="S5632" t="s">
        <v>47429</v>
      </c>
      <c r="T5632" t="s">
        <v>49015</v>
      </c>
      <c r="U5632" t="s">
        <v>54275</v>
      </c>
      <c r="W5632" t="s">
        <v>44531</v>
      </c>
      <c r="X5632" t="s">
        <v>47310</v>
      </c>
    </row>
    <row r="5633" spans="1:24">
      <c r="A5633">
        <f>HYPERLINK("https://www.philgeps.gov.ph/GEPSNONPILOT/Tender/SplashBidNoticeAbstractUI.aspx?menuIndex=3&amp;refID=7194008&amp;Result=3","7194008")</f>
        <v>0</v>
      </c>
      <c r="B5633" t="s">
        <v>1818</v>
      </c>
      <c r="C5633" t="s">
        <v>9139</v>
      </c>
      <c r="D5633" t="s">
        <v>19041</v>
      </c>
      <c r="E5633" t="s">
        <v>21300</v>
      </c>
      <c r="F5633" t="s">
        <v>32606</v>
      </c>
      <c r="G5633" t="s">
        <v>32613</v>
      </c>
      <c r="H5633" t="s">
        <v>32623</v>
      </c>
      <c r="I5633" t="s">
        <v>17648</v>
      </c>
      <c r="J5633" t="s">
        <v>36446</v>
      </c>
      <c r="K5633" t="s">
        <v>42639</v>
      </c>
      <c r="M5633" t="s">
        <v>44859</v>
      </c>
      <c r="N5633" t="s">
        <v>47304</v>
      </c>
      <c r="O5633" t="s">
        <v>47305</v>
      </c>
      <c r="P5633">
        <v>0</v>
      </c>
      <c r="Q5633">
        <v>0</v>
      </c>
      <c r="R5633" t="s">
        <v>47308</v>
      </c>
      <c r="S5633" t="s">
        <v>47429</v>
      </c>
      <c r="T5633" t="s">
        <v>49234</v>
      </c>
      <c r="U5633" t="s">
        <v>54276</v>
      </c>
      <c r="W5633" t="s">
        <v>44859</v>
      </c>
      <c r="X5633" t="s">
        <v>47310</v>
      </c>
    </row>
    <row r="5634" spans="1:24">
      <c r="A5634">
        <f>HYPERLINK("https://www.philgeps.gov.ph/GEPSNONPILOT/Tender/SplashBidNoticeAbstractUI.aspx?menuIndex=3&amp;refID=7194005&amp;Result=3","7194005")</f>
        <v>0</v>
      </c>
      <c r="B5634" t="s">
        <v>1818</v>
      </c>
      <c r="C5634" t="s">
        <v>9140</v>
      </c>
      <c r="D5634" t="s">
        <v>19041</v>
      </c>
      <c r="E5634" t="s">
        <v>24078</v>
      </c>
      <c r="F5634" t="s">
        <v>32606</v>
      </c>
      <c r="G5634" t="s">
        <v>32613</v>
      </c>
      <c r="H5634" t="s">
        <v>32623</v>
      </c>
      <c r="I5634" t="s">
        <v>17648</v>
      </c>
      <c r="J5634" t="s">
        <v>36447</v>
      </c>
      <c r="K5634" t="s">
        <v>42636</v>
      </c>
      <c r="M5634" t="s">
        <v>44859</v>
      </c>
      <c r="N5634" t="s">
        <v>47304</v>
      </c>
      <c r="O5634" t="s">
        <v>47305</v>
      </c>
      <c r="P5634">
        <v>0</v>
      </c>
      <c r="Q5634">
        <v>0</v>
      </c>
      <c r="R5634" t="s">
        <v>47308</v>
      </c>
      <c r="S5634" t="s">
        <v>47429</v>
      </c>
      <c r="T5634" t="s">
        <v>49149</v>
      </c>
      <c r="U5634" t="s">
        <v>54277</v>
      </c>
      <c r="W5634" t="s">
        <v>44859</v>
      </c>
      <c r="X5634" t="s">
        <v>47310</v>
      </c>
    </row>
    <row r="5635" spans="1:24">
      <c r="A5635">
        <f>HYPERLINK("https://www.philgeps.gov.ph/GEPSNONPILOT/Tender/SplashBidNoticeAbstractUI.aspx?menuIndex=3&amp;refID=7194002&amp;Result=3","7194002")</f>
        <v>0</v>
      </c>
      <c r="B5635" t="s">
        <v>1818</v>
      </c>
      <c r="C5635" t="s">
        <v>9141</v>
      </c>
      <c r="D5635" t="s">
        <v>19041</v>
      </c>
      <c r="E5635" t="s">
        <v>20580</v>
      </c>
      <c r="F5635" t="s">
        <v>32606</v>
      </c>
      <c r="G5635" t="s">
        <v>32613</v>
      </c>
      <c r="H5635" t="s">
        <v>32623</v>
      </c>
      <c r="I5635" t="s">
        <v>17648</v>
      </c>
      <c r="J5635" t="s">
        <v>36448</v>
      </c>
      <c r="K5635" t="s">
        <v>42636</v>
      </c>
      <c r="M5635" t="s">
        <v>44859</v>
      </c>
      <c r="N5635" t="s">
        <v>47304</v>
      </c>
      <c r="O5635" t="s">
        <v>47305</v>
      </c>
      <c r="P5635">
        <v>0</v>
      </c>
      <c r="Q5635">
        <v>0</v>
      </c>
      <c r="R5635" t="s">
        <v>47308</v>
      </c>
      <c r="S5635" t="s">
        <v>47429</v>
      </c>
      <c r="T5635" t="s">
        <v>49081</v>
      </c>
      <c r="U5635" t="s">
        <v>54278</v>
      </c>
      <c r="W5635" t="s">
        <v>44859</v>
      </c>
      <c r="X5635" t="s">
        <v>47310</v>
      </c>
    </row>
    <row r="5636" spans="1:24">
      <c r="A5636">
        <f>HYPERLINK("https://www.philgeps.gov.ph/GEPSNONPILOT/Tender/SplashBidNoticeAbstractUI.aspx?menuIndex=3&amp;refID=7194001&amp;Result=3","7194001")</f>
        <v>0</v>
      </c>
      <c r="B5636" t="s">
        <v>1932</v>
      </c>
      <c r="C5636" t="s">
        <v>9142</v>
      </c>
      <c r="D5636" t="s">
        <v>19032</v>
      </c>
      <c r="E5636" t="s">
        <v>24079</v>
      </c>
      <c r="F5636" t="s">
        <v>32606</v>
      </c>
      <c r="G5636" t="s">
        <v>32613</v>
      </c>
      <c r="H5636" t="s">
        <v>14201</v>
      </c>
      <c r="I5636" t="s">
        <v>32631</v>
      </c>
      <c r="J5636" t="s">
        <v>36449</v>
      </c>
      <c r="K5636" t="s">
        <v>42623</v>
      </c>
      <c r="M5636" t="s">
        <v>44992</v>
      </c>
      <c r="N5636" t="s">
        <v>47304</v>
      </c>
      <c r="O5636" t="s">
        <v>47305</v>
      </c>
      <c r="P5636">
        <v>0</v>
      </c>
      <c r="Q5636">
        <v>0</v>
      </c>
      <c r="R5636" t="s">
        <v>47308</v>
      </c>
      <c r="S5636" t="s">
        <v>47429</v>
      </c>
      <c r="T5636" t="s">
        <v>49063</v>
      </c>
      <c r="U5636" t="s">
        <v>54279</v>
      </c>
      <c r="W5636" t="s">
        <v>44992</v>
      </c>
      <c r="X5636" t="s">
        <v>47310</v>
      </c>
    </row>
    <row r="5637" spans="1:24">
      <c r="A5637">
        <f>HYPERLINK("https://www.philgeps.gov.ph/GEPSNONPILOT/Tender/SplashBidNoticeAbstractUI.aspx?menuIndex=3&amp;refID=7193998&amp;Result=3","7193998")</f>
        <v>0</v>
      </c>
      <c r="B5637" t="s">
        <v>343</v>
      </c>
      <c r="C5637" t="s">
        <v>9143</v>
      </c>
      <c r="D5637" t="s">
        <v>18993</v>
      </c>
      <c r="E5637" t="s">
        <v>24080</v>
      </c>
      <c r="F5637" t="s">
        <v>32606</v>
      </c>
      <c r="G5637" t="s">
        <v>32614</v>
      </c>
      <c r="H5637" t="s">
        <v>14201</v>
      </c>
      <c r="I5637" t="s">
        <v>6931</v>
      </c>
      <c r="J5637" t="s">
        <v>36450</v>
      </c>
      <c r="K5637" t="s">
        <v>42624</v>
      </c>
      <c r="M5637" t="s">
        <v>44531</v>
      </c>
      <c r="N5637" t="s">
        <v>47304</v>
      </c>
      <c r="O5637" t="s">
        <v>47305</v>
      </c>
      <c r="P5637">
        <v>0</v>
      </c>
      <c r="Q5637">
        <v>0</v>
      </c>
      <c r="R5637" t="s">
        <v>47308</v>
      </c>
      <c r="S5637" t="s">
        <v>47429</v>
      </c>
      <c r="T5637" t="s">
        <v>49015</v>
      </c>
      <c r="U5637" t="s">
        <v>54280</v>
      </c>
      <c r="W5637" t="s">
        <v>44531</v>
      </c>
      <c r="X5637" t="s">
        <v>47310</v>
      </c>
    </row>
    <row r="5638" spans="1:24">
      <c r="A5638">
        <f>HYPERLINK("https://www.philgeps.gov.ph/GEPSNONPILOT/Tender/SplashBidNoticeAbstractUI.aspx?menuIndex=3&amp;refID=7194014&amp;Result=3","7194014")</f>
        <v>0</v>
      </c>
      <c r="B5638" t="s">
        <v>1818</v>
      </c>
      <c r="C5638" t="s">
        <v>9144</v>
      </c>
      <c r="D5638" t="s">
        <v>19041</v>
      </c>
      <c r="E5638" t="s">
        <v>24081</v>
      </c>
      <c r="F5638" t="s">
        <v>32606</v>
      </c>
      <c r="G5638" t="s">
        <v>32613</v>
      </c>
      <c r="H5638" t="s">
        <v>32623</v>
      </c>
      <c r="I5638" t="s">
        <v>17648</v>
      </c>
      <c r="J5638" t="s">
        <v>36451</v>
      </c>
      <c r="K5638" t="s">
        <v>42636</v>
      </c>
      <c r="M5638" t="s">
        <v>44859</v>
      </c>
      <c r="N5638" t="s">
        <v>47304</v>
      </c>
      <c r="O5638" t="s">
        <v>47305</v>
      </c>
      <c r="P5638">
        <v>0</v>
      </c>
      <c r="Q5638">
        <v>0</v>
      </c>
      <c r="R5638" t="s">
        <v>47308</v>
      </c>
      <c r="S5638" t="s">
        <v>47429</v>
      </c>
      <c r="T5638" t="s">
        <v>49320</v>
      </c>
      <c r="U5638" t="s">
        <v>54281</v>
      </c>
      <c r="W5638" t="s">
        <v>44859</v>
      </c>
      <c r="X5638" t="s">
        <v>47310</v>
      </c>
    </row>
    <row r="5639" spans="1:24">
      <c r="A5639">
        <f>HYPERLINK("https://www.philgeps.gov.ph/GEPSNONPILOT/Tender/SplashBidNoticeAbstractUI.aspx?menuIndex=3&amp;refID=7193986&amp;Result=3","7193986")</f>
        <v>0</v>
      </c>
      <c r="B5639" t="s">
        <v>1818</v>
      </c>
      <c r="C5639" t="s">
        <v>9145</v>
      </c>
      <c r="D5639" t="s">
        <v>19041</v>
      </c>
      <c r="E5639" t="s">
        <v>22274</v>
      </c>
      <c r="F5639" t="s">
        <v>32606</v>
      </c>
      <c r="G5639" t="s">
        <v>32613</v>
      </c>
      <c r="H5639" t="s">
        <v>32623</v>
      </c>
      <c r="I5639" t="s">
        <v>17648</v>
      </c>
      <c r="J5639" t="s">
        <v>36452</v>
      </c>
      <c r="K5639" t="s">
        <v>42636</v>
      </c>
      <c r="M5639" t="s">
        <v>44859</v>
      </c>
      <c r="N5639" t="s">
        <v>47304</v>
      </c>
      <c r="O5639" t="s">
        <v>47305</v>
      </c>
      <c r="P5639">
        <v>0</v>
      </c>
      <c r="Q5639">
        <v>0</v>
      </c>
      <c r="R5639" t="s">
        <v>47308</v>
      </c>
      <c r="S5639" t="s">
        <v>47429</v>
      </c>
      <c r="T5639" t="s">
        <v>49065</v>
      </c>
      <c r="U5639" t="s">
        <v>54282</v>
      </c>
      <c r="W5639" t="s">
        <v>44859</v>
      </c>
      <c r="X5639" t="s">
        <v>47310</v>
      </c>
    </row>
    <row r="5640" spans="1:24">
      <c r="A5640">
        <f>HYPERLINK("https://www.philgeps.gov.ph/GEPSNONPILOT/Tender/SplashBidNoticeAbstractUI.aspx?menuIndex=3&amp;refID=7194031&amp;Result=3","7194031")</f>
        <v>0</v>
      </c>
      <c r="B5640" t="s">
        <v>1933</v>
      </c>
      <c r="C5640" t="s">
        <v>9146</v>
      </c>
      <c r="D5640" t="s">
        <v>18993</v>
      </c>
      <c r="E5640" t="s">
        <v>19314</v>
      </c>
      <c r="F5640" t="s">
        <v>32606</v>
      </c>
      <c r="G5640" t="s">
        <v>32614</v>
      </c>
      <c r="H5640" t="s">
        <v>14201</v>
      </c>
      <c r="I5640" t="s">
        <v>32638</v>
      </c>
      <c r="J5640" t="s">
        <v>32778</v>
      </c>
      <c r="K5640" t="s">
        <v>42636</v>
      </c>
      <c r="M5640" t="s">
        <v>44993</v>
      </c>
      <c r="N5640" t="s">
        <v>47304</v>
      </c>
      <c r="O5640" t="s">
        <v>47305</v>
      </c>
      <c r="P5640">
        <v>0</v>
      </c>
      <c r="Q5640">
        <v>2</v>
      </c>
      <c r="R5640" t="s">
        <v>47308</v>
      </c>
      <c r="S5640" t="s">
        <v>47429</v>
      </c>
      <c r="T5640" t="s">
        <v>48998</v>
      </c>
      <c r="U5640" t="s">
        <v>54283</v>
      </c>
      <c r="W5640" t="s">
        <v>44993</v>
      </c>
      <c r="X5640" t="s">
        <v>47309</v>
      </c>
    </row>
    <row r="5641" spans="1:24">
      <c r="A5641">
        <f>HYPERLINK("https://www.philgeps.gov.ph/GEPSNONPILOT/Tender/SplashBidNoticeAbstractUI.aspx?menuIndex=3&amp;refID=7194028&amp;Result=3","7194028")</f>
        <v>0</v>
      </c>
      <c r="B5641" t="s">
        <v>1933</v>
      </c>
      <c r="C5641" t="s">
        <v>9147</v>
      </c>
      <c r="D5641" t="s">
        <v>18993</v>
      </c>
      <c r="E5641" t="s">
        <v>19370</v>
      </c>
      <c r="F5641" t="s">
        <v>32606</v>
      </c>
      <c r="G5641" t="s">
        <v>32614</v>
      </c>
      <c r="H5641" t="s">
        <v>14201</v>
      </c>
      <c r="I5641" t="s">
        <v>32638</v>
      </c>
      <c r="J5641" t="s">
        <v>33009</v>
      </c>
      <c r="K5641" t="s">
        <v>42636</v>
      </c>
      <c r="M5641" t="s">
        <v>44993</v>
      </c>
      <c r="N5641" t="s">
        <v>47304</v>
      </c>
      <c r="O5641" t="s">
        <v>47305</v>
      </c>
      <c r="P5641">
        <v>0</v>
      </c>
      <c r="Q5641">
        <v>11</v>
      </c>
      <c r="R5641" t="s">
        <v>47308</v>
      </c>
      <c r="S5641" t="s">
        <v>47429</v>
      </c>
      <c r="T5641" t="s">
        <v>48998</v>
      </c>
      <c r="U5641" t="s">
        <v>54284</v>
      </c>
      <c r="W5641" t="s">
        <v>44993</v>
      </c>
      <c r="X5641" t="s">
        <v>47309</v>
      </c>
    </row>
    <row r="5642" spans="1:24">
      <c r="A5642">
        <f>HYPERLINK("https://www.philgeps.gov.ph/GEPSNONPILOT/Tender/SplashBidNoticeAbstractUI.aspx?menuIndex=3&amp;refID=7194026&amp;Result=3","7194026")</f>
        <v>0</v>
      </c>
      <c r="B5642" t="s">
        <v>1933</v>
      </c>
      <c r="C5642" t="s">
        <v>9148</v>
      </c>
      <c r="D5642" t="s">
        <v>18993</v>
      </c>
      <c r="E5642" t="s">
        <v>19279</v>
      </c>
      <c r="F5642" t="s">
        <v>32606</v>
      </c>
      <c r="G5642" t="s">
        <v>32614</v>
      </c>
      <c r="H5642" t="s">
        <v>14201</v>
      </c>
      <c r="I5642" t="s">
        <v>4369</v>
      </c>
      <c r="J5642" t="s">
        <v>32813</v>
      </c>
      <c r="K5642" t="s">
        <v>42636</v>
      </c>
      <c r="M5642" t="s">
        <v>44993</v>
      </c>
      <c r="N5642" t="s">
        <v>47304</v>
      </c>
      <c r="O5642" t="s">
        <v>47305</v>
      </c>
      <c r="P5642">
        <v>0</v>
      </c>
      <c r="Q5642">
        <v>12</v>
      </c>
      <c r="R5642" t="s">
        <v>47308</v>
      </c>
      <c r="S5642" t="s">
        <v>47429</v>
      </c>
      <c r="T5642" t="s">
        <v>48998</v>
      </c>
      <c r="U5642" t="s">
        <v>54285</v>
      </c>
      <c r="W5642" t="s">
        <v>44993</v>
      </c>
      <c r="X5642" t="s">
        <v>47309</v>
      </c>
    </row>
    <row r="5643" spans="1:24">
      <c r="A5643">
        <f>HYPERLINK("https://www.philgeps.gov.ph/GEPSNONPILOT/Tender/SplashBidNoticeAbstractUI.aspx?menuIndex=3&amp;refID=7194025&amp;Result=3","7194025")</f>
        <v>0</v>
      </c>
      <c r="B5643" t="s">
        <v>1934</v>
      </c>
      <c r="C5643" t="s">
        <v>9149</v>
      </c>
      <c r="D5643" t="s">
        <v>18993</v>
      </c>
      <c r="E5643" t="s">
        <v>24082</v>
      </c>
      <c r="F5643" t="s">
        <v>32607</v>
      </c>
      <c r="G5643" t="s">
        <v>32613</v>
      </c>
      <c r="H5643" t="s">
        <v>14201</v>
      </c>
      <c r="I5643" t="s">
        <v>4114</v>
      </c>
      <c r="J5643" t="s">
        <v>36453</v>
      </c>
      <c r="K5643" t="s">
        <v>42630</v>
      </c>
      <c r="M5643" t="s">
        <v>44994</v>
      </c>
      <c r="N5643" t="s">
        <v>47304</v>
      </c>
      <c r="O5643" t="s">
        <v>47305</v>
      </c>
      <c r="P5643">
        <v>0</v>
      </c>
      <c r="Q5643">
        <v>1</v>
      </c>
      <c r="R5643" t="s">
        <v>47308</v>
      </c>
      <c r="S5643" t="s">
        <v>47429</v>
      </c>
      <c r="T5643" t="s">
        <v>49148</v>
      </c>
      <c r="U5643" t="s">
        <v>54286</v>
      </c>
      <c r="W5643" t="s">
        <v>44994</v>
      </c>
      <c r="X5643" t="s">
        <v>47309</v>
      </c>
    </row>
    <row r="5644" spans="1:24">
      <c r="A5644">
        <f>HYPERLINK("https://www.philgeps.gov.ph/GEPSNONPILOT/Tender/SplashBidNoticeAbstractUI.aspx?menuIndex=3&amp;refID=7194024&amp;Result=3","7194024")</f>
        <v>0</v>
      </c>
      <c r="B5644" t="s">
        <v>1934</v>
      </c>
      <c r="C5644" t="s">
        <v>9150</v>
      </c>
      <c r="D5644" t="s">
        <v>18993</v>
      </c>
      <c r="E5644" t="s">
        <v>24083</v>
      </c>
      <c r="F5644" t="s">
        <v>32607</v>
      </c>
      <c r="G5644" t="s">
        <v>32613</v>
      </c>
      <c r="H5644" t="s">
        <v>14201</v>
      </c>
      <c r="I5644" t="s">
        <v>32633</v>
      </c>
      <c r="J5644" t="s">
        <v>32765</v>
      </c>
      <c r="K5644" t="s">
        <v>42630</v>
      </c>
      <c r="M5644" t="s">
        <v>44994</v>
      </c>
      <c r="N5644" t="s">
        <v>47304</v>
      </c>
      <c r="O5644" t="s">
        <v>47305</v>
      </c>
      <c r="P5644">
        <v>0</v>
      </c>
      <c r="Q5644">
        <v>3</v>
      </c>
      <c r="R5644" t="s">
        <v>47308</v>
      </c>
      <c r="S5644" t="s">
        <v>47429</v>
      </c>
      <c r="T5644" t="s">
        <v>49148</v>
      </c>
      <c r="U5644" t="s">
        <v>54287</v>
      </c>
      <c r="W5644" t="s">
        <v>44994</v>
      </c>
      <c r="X5644" t="s">
        <v>47309</v>
      </c>
    </row>
    <row r="5645" spans="1:24">
      <c r="A5645">
        <f>HYPERLINK("https://www.philgeps.gov.ph/GEPSNONPILOT/Tender/SplashBidNoticeAbstractUI.aspx?menuIndex=3&amp;refID=7193994&amp;Result=3","7193994")</f>
        <v>0</v>
      </c>
      <c r="B5645" t="s">
        <v>343</v>
      </c>
      <c r="C5645" t="s">
        <v>9151</v>
      </c>
      <c r="D5645" t="s">
        <v>18993</v>
      </c>
      <c r="E5645" t="s">
        <v>24084</v>
      </c>
      <c r="F5645" t="s">
        <v>32606</v>
      </c>
      <c r="G5645" t="s">
        <v>32614</v>
      </c>
      <c r="H5645" t="s">
        <v>14201</v>
      </c>
      <c r="I5645" t="s">
        <v>4369</v>
      </c>
      <c r="J5645" t="s">
        <v>36454</v>
      </c>
      <c r="K5645" t="s">
        <v>42624</v>
      </c>
      <c r="M5645" t="s">
        <v>44531</v>
      </c>
      <c r="N5645" t="s">
        <v>47304</v>
      </c>
      <c r="O5645" t="s">
        <v>47305</v>
      </c>
      <c r="P5645">
        <v>0</v>
      </c>
      <c r="Q5645">
        <v>5</v>
      </c>
      <c r="R5645" t="s">
        <v>47308</v>
      </c>
      <c r="S5645" t="s">
        <v>47429</v>
      </c>
      <c r="T5645" t="s">
        <v>49015</v>
      </c>
      <c r="U5645" t="s">
        <v>54288</v>
      </c>
      <c r="W5645" t="s">
        <v>44531</v>
      </c>
      <c r="X5645" t="s">
        <v>47310</v>
      </c>
    </row>
    <row r="5646" spans="1:24">
      <c r="A5646">
        <f>HYPERLINK("https://www.philgeps.gov.ph/GEPSNONPILOT/Tender/SplashBidNoticeAbstractUI.aspx?menuIndex=3&amp;refID=7194022&amp;Result=3","7194022")</f>
        <v>0</v>
      </c>
      <c r="B5646" t="s">
        <v>1818</v>
      </c>
      <c r="C5646" t="s">
        <v>9152</v>
      </c>
      <c r="D5646" t="s">
        <v>19041</v>
      </c>
      <c r="E5646" t="s">
        <v>24085</v>
      </c>
      <c r="F5646" t="s">
        <v>32606</v>
      </c>
      <c r="G5646" t="s">
        <v>32613</v>
      </c>
      <c r="H5646" t="s">
        <v>32623</v>
      </c>
      <c r="I5646" t="s">
        <v>17648</v>
      </c>
      <c r="J5646" t="s">
        <v>36455</v>
      </c>
      <c r="K5646" t="s">
        <v>42636</v>
      </c>
      <c r="M5646" t="s">
        <v>44859</v>
      </c>
      <c r="N5646" t="s">
        <v>47304</v>
      </c>
      <c r="O5646" t="s">
        <v>47305</v>
      </c>
      <c r="P5646">
        <v>0</v>
      </c>
      <c r="Q5646">
        <v>0</v>
      </c>
      <c r="R5646" t="s">
        <v>47308</v>
      </c>
      <c r="S5646" t="s">
        <v>47429</v>
      </c>
      <c r="T5646" t="s">
        <v>49321</v>
      </c>
      <c r="U5646" t="s">
        <v>54289</v>
      </c>
      <c r="W5646" t="s">
        <v>44859</v>
      </c>
      <c r="X5646" t="s">
        <v>47309</v>
      </c>
    </row>
    <row r="5647" spans="1:24">
      <c r="A5647">
        <f>HYPERLINK("https://www.philgeps.gov.ph/GEPSNONPILOT/Tender/SplashBidNoticeAbstractUI.aspx?menuIndex=3&amp;refID=7194035&amp;Result=3","7194035")</f>
        <v>0</v>
      </c>
      <c r="B5647" t="s">
        <v>1934</v>
      </c>
      <c r="C5647" t="s">
        <v>9153</v>
      </c>
      <c r="D5647" t="s">
        <v>18993</v>
      </c>
      <c r="E5647" t="s">
        <v>24086</v>
      </c>
      <c r="F5647" t="s">
        <v>32607</v>
      </c>
      <c r="G5647" t="s">
        <v>32613</v>
      </c>
      <c r="H5647" t="s">
        <v>14201</v>
      </c>
      <c r="I5647" t="s">
        <v>32735</v>
      </c>
      <c r="J5647" t="s">
        <v>33750</v>
      </c>
      <c r="K5647" t="s">
        <v>42631</v>
      </c>
      <c r="M5647" t="s">
        <v>44994</v>
      </c>
      <c r="N5647" t="s">
        <v>47304</v>
      </c>
      <c r="O5647" t="s">
        <v>47305</v>
      </c>
      <c r="P5647">
        <v>0</v>
      </c>
      <c r="Q5647">
        <v>1</v>
      </c>
      <c r="R5647" t="s">
        <v>47308</v>
      </c>
      <c r="S5647" t="s">
        <v>47429</v>
      </c>
      <c r="T5647" t="s">
        <v>49148</v>
      </c>
      <c r="U5647" t="s">
        <v>54290</v>
      </c>
      <c r="W5647" t="s">
        <v>44994</v>
      </c>
      <c r="X5647" t="s">
        <v>47309</v>
      </c>
    </row>
    <row r="5648" spans="1:24">
      <c r="A5648">
        <f>HYPERLINK("https://www.philgeps.gov.ph/GEPSNONPILOT/Tender/SplashBidNoticeAbstractUI.aspx?menuIndex=3&amp;refID=7194044&amp;Result=3","7194044")</f>
        <v>0</v>
      </c>
      <c r="B5648" t="s">
        <v>1932</v>
      </c>
      <c r="C5648" t="s">
        <v>9154</v>
      </c>
      <c r="D5648" t="s">
        <v>19032</v>
      </c>
      <c r="E5648" t="s">
        <v>24087</v>
      </c>
      <c r="F5648" t="s">
        <v>32606</v>
      </c>
      <c r="G5648" t="s">
        <v>32613</v>
      </c>
      <c r="H5648" t="s">
        <v>32623</v>
      </c>
      <c r="I5648" t="s">
        <v>17648</v>
      </c>
      <c r="J5648" t="s">
        <v>36456</v>
      </c>
      <c r="K5648" t="s">
        <v>42709</v>
      </c>
      <c r="M5648" t="s">
        <v>44992</v>
      </c>
      <c r="N5648" t="s">
        <v>47304</v>
      </c>
      <c r="O5648" t="s">
        <v>47305</v>
      </c>
      <c r="P5648">
        <v>0</v>
      </c>
      <c r="Q5648">
        <v>0</v>
      </c>
      <c r="R5648" t="s">
        <v>47308</v>
      </c>
      <c r="S5648" t="s">
        <v>47429</v>
      </c>
      <c r="T5648" t="s">
        <v>49063</v>
      </c>
      <c r="U5648" t="s">
        <v>54291</v>
      </c>
      <c r="W5648" t="s">
        <v>44992</v>
      </c>
      <c r="X5648" t="s">
        <v>47309</v>
      </c>
    </row>
    <row r="5649" spans="1:24">
      <c r="A5649">
        <f>HYPERLINK("https://www.philgeps.gov.ph/GEPSNONPILOT/Tender/SplashBidNoticeAbstractUI.aspx?menuIndex=3&amp;refID=7194029&amp;Result=3","7194029")</f>
        <v>0</v>
      </c>
      <c r="B5649" t="s">
        <v>1933</v>
      </c>
      <c r="C5649" t="s">
        <v>9155</v>
      </c>
      <c r="D5649" t="s">
        <v>18993</v>
      </c>
      <c r="E5649" t="s">
        <v>20525</v>
      </c>
      <c r="F5649" t="s">
        <v>32606</v>
      </c>
      <c r="G5649" t="s">
        <v>32614</v>
      </c>
      <c r="H5649" t="s">
        <v>14201</v>
      </c>
      <c r="I5649" t="s">
        <v>32638</v>
      </c>
      <c r="J5649" t="s">
        <v>32981</v>
      </c>
      <c r="K5649" t="s">
        <v>42636</v>
      </c>
      <c r="M5649" t="s">
        <v>44993</v>
      </c>
      <c r="N5649" t="s">
        <v>47304</v>
      </c>
      <c r="O5649" t="s">
        <v>47305</v>
      </c>
      <c r="P5649">
        <v>0</v>
      </c>
      <c r="Q5649">
        <v>9</v>
      </c>
      <c r="R5649" t="s">
        <v>47308</v>
      </c>
      <c r="S5649" t="s">
        <v>47429</v>
      </c>
      <c r="T5649" t="s">
        <v>48998</v>
      </c>
      <c r="U5649" t="s">
        <v>54292</v>
      </c>
      <c r="W5649" t="s">
        <v>44993</v>
      </c>
      <c r="X5649" t="s">
        <v>47309</v>
      </c>
    </row>
    <row r="5650" spans="1:24">
      <c r="A5650">
        <f>HYPERLINK("https://www.philgeps.gov.ph/GEPSNONPILOT/Tender/SplashBidNoticeAbstractUI.aspx?menuIndex=3&amp;refID=7194042&amp;Result=3","7194042")</f>
        <v>0</v>
      </c>
      <c r="B5650" t="s">
        <v>1935</v>
      </c>
      <c r="C5650" t="s">
        <v>8299</v>
      </c>
      <c r="D5650" t="s">
        <v>18995</v>
      </c>
      <c r="E5650" t="s">
        <v>24088</v>
      </c>
      <c r="F5650" t="s">
        <v>32606</v>
      </c>
      <c r="G5650" t="s">
        <v>32613</v>
      </c>
      <c r="H5650" t="s">
        <v>32624</v>
      </c>
      <c r="I5650" t="s">
        <v>7064</v>
      </c>
      <c r="J5650" t="s">
        <v>33195</v>
      </c>
      <c r="K5650" t="s">
        <v>42622</v>
      </c>
      <c r="M5650" t="s">
        <v>44995</v>
      </c>
      <c r="N5650" t="s">
        <v>47304</v>
      </c>
      <c r="O5650" t="s">
        <v>47305</v>
      </c>
      <c r="P5650">
        <v>0</v>
      </c>
      <c r="Q5650">
        <v>0</v>
      </c>
      <c r="R5650" t="s">
        <v>47308</v>
      </c>
      <c r="S5650" t="s">
        <v>47429</v>
      </c>
      <c r="T5650" t="s">
        <v>48972</v>
      </c>
      <c r="U5650" t="s">
        <v>52234</v>
      </c>
      <c r="W5650" t="s">
        <v>44995</v>
      </c>
      <c r="X5650" t="s">
        <v>47309</v>
      </c>
    </row>
    <row r="5651" spans="1:24">
      <c r="A5651">
        <f>HYPERLINK("https://www.philgeps.gov.ph/GEPSNONPILOT/Tender/SplashBidNoticeAbstractUI.aspx?menuIndex=3&amp;refID=7194040&amp;Result=3","7194040")</f>
        <v>0</v>
      </c>
      <c r="B5651" t="s">
        <v>1936</v>
      </c>
      <c r="C5651" t="s">
        <v>8299</v>
      </c>
      <c r="D5651" t="s">
        <v>18995</v>
      </c>
      <c r="E5651" t="s">
        <v>24089</v>
      </c>
      <c r="F5651" t="s">
        <v>32606</v>
      </c>
      <c r="G5651" t="s">
        <v>32613</v>
      </c>
      <c r="H5651" t="s">
        <v>32624</v>
      </c>
      <c r="I5651" t="s">
        <v>7064</v>
      </c>
      <c r="J5651" t="s">
        <v>33195</v>
      </c>
      <c r="K5651" t="s">
        <v>42622</v>
      </c>
      <c r="M5651" t="s">
        <v>44996</v>
      </c>
      <c r="N5651" t="s">
        <v>47304</v>
      </c>
      <c r="O5651" t="s">
        <v>47305</v>
      </c>
      <c r="P5651">
        <v>0</v>
      </c>
      <c r="Q5651">
        <v>0</v>
      </c>
      <c r="R5651" t="s">
        <v>47308</v>
      </c>
      <c r="S5651" t="s">
        <v>47429</v>
      </c>
      <c r="T5651" t="s">
        <v>48972</v>
      </c>
      <c r="U5651" t="s">
        <v>51756</v>
      </c>
      <c r="W5651" t="s">
        <v>44996</v>
      </c>
      <c r="X5651" t="s">
        <v>47309</v>
      </c>
    </row>
    <row r="5652" spans="1:24">
      <c r="A5652">
        <f>HYPERLINK("https://www.philgeps.gov.ph/GEPSNONPILOT/Tender/SplashBidNoticeAbstractUI.aspx?menuIndex=3&amp;refID=7193996&amp;Result=3","7193996")</f>
        <v>0</v>
      </c>
      <c r="B5652" t="s">
        <v>343</v>
      </c>
      <c r="C5652" t="s">
        <v>9156</v>
      </c>
      <c r="D5652" t="s">
        <v>18993</v>
      </c>
      <c r="E5652" t="s">
        <v>24090</v>
      </c>
      <c r="F5652" t="s">
        <v>32606</v>
      </c>
      <c r="G5652" t="s">
        <v>32614</v>
      </c>
      <c r="H5652" t="s">
        <v>14201</v>
      </c>
      <c r="I5652" t="s">
        <v>6298</v>
      </c>
      <c r="J5652" t="s">
        <v>36457</v>
      </c>
      <c r="K5652" t="s">
        <v>42624</v>
      </c>
      <c r="M5652" t="s">
        <v>44531</v>
      </c>
      <c r="N5652" t="s">
        <v>47304</v>
      </c>
      <c r="O5652" t="s">
        <v>47305</v>
      </c>
      <c r="P5652">
        <v>0</v>
      </c>
      <c r="Q5652">
        <v>1</v>
      </c>
      <c r="R5652" t="s">
        <v>47308</v>
      </c>
      <c r="S5652" t="s">
        <v>47429</v>
      </c>
      <c r="T5652" t="s">
        <v>49015</v>
      </c>
      <c r="U5652" t="s">
        <v>54293</v>
      </c>
      <c r="W5652" t="s">
        <v>44531</v>
      </c>
      <c r="X5652" t="s">
        <v>47310</v>
      </c>
    </row>
    <row r="5653" spans="1:24">
      <c r="A5653">
        <f>HYPERLINK("https://www.philgeps.gov.ph/GEPSNONPILOT/Tender/SplashBidNoticeAbstractUI.aspx?menuIndex=3&amp;refID=7194023&amp;Result=3","7194023")</f>
        <v>0</v>
      </c>
      <c r="B5653" t="s">
        <v>1934</v>
      </c>
      <c r="C5653" t="s">
        <v>5048</v>
      </c>
      <c r="D5653" t="s">
        <v>18993</v>
      </c>
      <c r="E5653" t="s">
        <v>24091</v>
      </c>
      <c r="F5653" t="s">
        <v>32607</v>
      </c>
      <c r="G5653" t="s">
        <v>32613</v>
      </c>
      <c r="H5653" t="s">
        <v>14201</v>
      </c>
      <c r="I5653" t="s">
        <v>4678</v>
      </c>
      <c r="J5653" t="s">
        <v>36458</v>
      </c>
      <c r="K5653" t="s">
        <v>42630</v>
      </c>
      <c r="M5653" t="s">
        <v>44994</v>
      </c>
      <c r="N5653" t="s">
        <v>47304</v>
      </c>
      <c r="O5653" t="s">
        <v>47305</v>
      </c>
      <c r="P5653">
        <v>0</v>
      </c>
      <c r="Q5653">
        <v>4</v>
      </c>
      <c r="R5653" t="s">
        <v>47308</v>
      </c>
      <c r="S5653" t="s">
        <v>47429</v>
      </c>
      <c r="T5653" t="s">
        <v>49099</v>
      </c>
      <c r="U5653" t="s">
        <v>54294</v>
      </c>
      <c r="W5653" t="s">
        <v>44994</v>
      </c>
      <c r="X5653" t="s">
        <v>47309</v>
      </c>
    </row>
    <row r="5654" spans="1:24">
      <c r="A5654">
        <f>HYPERLINK("https://www.philgeps.gov.ph/GEPSNONPILOT/Tender/SplashBidNoticeAbstractUI.aspx?menuIndex=3&amp;refID=7194033&amp;Result=3","7194033")</f>
        <v>0</v>
      </c>
      <c r="B5654" t="s">
        <v>1934</v>
      </c>
      <c r="C5654" t="s">
        <v>9157</v>
      </c>
      <c r="D5654" t="s">
        <v>18993</v>
      </c>
      <c r="E5654" t="s">
        <v>24092</v>
      </c>
      <c r="F5654" t="s">
        <v>32607</v>
      </c>
      <c r="G5654" t="s">
        <v>32613</v>
      </c>
      <c r="H5654" t="s">
        <v>14201</v>
      </c>
      <c r="I5654" t="s">
        <v>32701</v>
      </c>
      <c r="J5654" t="s">
        <v>33598</v>
      </c>
      <c r="K5654" t="s">
        <v>42631</v>
      </c>
      <c r="M5654" t="s">
        <v>44994</v>
      </c>
      <c r="N5654" t="s">
        <v>47304</v>
      </c>
      <c r="O5654" t="s">
        <v>47305</v>
      </c>
      <c r="P5654">
        <v>0</v>
      </c>
      <c r="Q5654">
        <v>3</v>
      </c>
      <c r="R5654" t="s">
        <v>47308</v>
      </c>
      <c r="S5654" t="s">
        <v>47429</v>
      </c>
      <c r="T5654" t="s">
        <v>49148</v>
      </c>
      <c r="U5654" t="s">
        <v>54295</v>
      </c>
      <c r="W5654" t="s">
        <v>44994</v>
      </c>
      <c r="X5654" t="s">
        <v>47309</v>
      </c>
    </row>
    <row r="5655" spans="1:24">
      <c r="A5655">
        <f>HYPERLINK("https://www.philgeps.gov.ph/GEPSNONPILOT/Tender/SplashBidNoticeAbstractUI.aspx?menuIndex=3&amp;refID=7194036&amp;Result=3","7194036")</f>
        <v>0</v>
      </c>
      <c r="B5655" t="s">
        <v>467</v>
      </c>
      <c r="C5655" t="s">
        <v>9158</v>
      </c>
      <c r="D5655" t="s">
        <v>19004</v>
      </c>
      <c r="E5655" t="s">
        <v>24093</v>
      </c>
      <c r="F5655" t="s">
        <v>32606</v>
      </c>
      <c r="G5655" t="s">
        <v>32613</v>
      </c>
      <c r="H5655" t="s">
        <v>14201</v>
      </c>
      <c r="I5655" t="s">
        <v>32634</v>
      </c>
      <c r="J5655" t="s">
        <v>36459</v>
      </c>
      <c r="K5655" t="s">
        <v>42631</v>
      </c>
      <c r="M5655" t="s">
        <v>44997</v>
      </c>
      <c r="N5655" t="s">
        <v>47304</v>
      </c>
      <c r="O5655" t="s">
        <v>47305</v>
      </c>
      <c r="P5655">
        <v>0</v>
      </c>
      <c r="Q5655">
        <v>2</v>
      </c>
      <c r="R5655" t="s">
        <v>47308</v>
      </c>
      <c r="S5655" t="s">
        <v>47429</v>
      </c>
      <c r="T5655" t="s">
        <v>49018</v>
      </c>
      <c r="U5655" t="s">
        <v>54296</v>
      </c>
      <c r="W5655" t="s">
        <v>44997</v>
      </c>
      <c r="X5655" t="s">
        <v>47309</v>
      </c>
    </row>
    <row r="5656" spans="1:24">
      <c r="A5656">
        <f>HYPERLINK("https://www.philgeps.gov.ph/GEPSNONPILOT/Tender/SplashBidNoticeAbstractUI.aspx?menuIndex=3&amp;refID=7194045&amp;Result=3","7194045")</f>
        <v>0</v>
      </c>
      <c r="B5656" t="s">
        <v>1932</v>
      </c>
      <c r="C5656" t="s">
        <v>9159</v>
      </c>
      <c r="D5656" t="s">
        <v>19032</v>
      </c>
      <c r="E5656" t="s">
        <v>24094</v>
      </c>
      <c r="F5656" t="s">
        <v>32606</v>
      </c>
      <c r="G5656" t="s">
        <v>32613</v>
      </c>
      <c r="H5656" t="s">
        <v>32623</v>
      </c>
      <c r="I5656" t="s">
        <v>17648</v>
      </c>
      <c r="J5656" t="s">
        <v>36460</v>
      </c>
      <c r="K5656" t="s">
        <v>42675</v>
      </c>
      <c r="M5656" t="s">
        <v>44992</v>
      </c>
      <c r="N5656" t="s">
        <v>47304</v>
      </c>
      <c r="O5656" t="s">
        <v>47305</v>
      </c>
      <c r="P5656">
        <v>0</v>
      </c>
      <c r="Q5656">
        <v>0</v>
      </c>
      <c r="R5656" t="s">
        <v>47308</v>
      </c>
      <c r="S5656" t="s">
        <v>47429</v>
      </c>
      <c r="T5656" t="s">
        <v>49063</v>
      </c>
      <c r="U5656" t="s">
        <v>54297</v>
      </c>
      <c r="W5656" t="s">
        <v>44992</v>
      </c>
      <c r="X5656" t="s">
        <v>47309</v>
      </c>
    </row>
    <row r="5657" spans="1:24">
      <c r="A5657">
        <f>HYPERLINK("https://www.philgeps.gov.ph/GEPSNONPILOT/Tender/SplashBidNoticeAbstractUI.aspx?menuIndex=3&amp;refID=7194058&amp;Result=3","7194058")</f>
        <v>0</v>
      </c>
      <c r="B5657" t="s">
        <v>1937</v>
      </c>
      <c r="C5657" t="s">
        <v>9160</v>
      </c>
      <c r="D5657" t="s">
        <v>19065</v>
      </c>
      <c r="E5657" t="s">
        <v>24095</v>
      </c>
      <c r="F5657" t="s">
        <v>32606</v>
      </c>
      <c r="G5657" t="s">
        <v>32614</v>
      </c>
      <c r="H5657" t="s">
        <v>14201</v>
      </c>
      <c r="I5657" t="s">
        <v>4678</v>
      </c>
      <c r="J5657" t="s">
        <v>32868</v>
      </c>
      <c r="K5657" t="s">
        <v>42623</v>
      </c>
      <c r="M5657" t="s">
        <v>44998</v>
      </c>
      <c r="N5657" t="s">
        <v>47304</v>
      </c>
      <c r="O5657" t="s">
        <v>47305</v>
      </c>
      <c r="P5657">
        <v>0</v>
      </c>
      <c r="Q5657">
        <v>4</v>
      </c>
      <c r="R5657" t="s">
        <v>47308</v>
      </c>
      <c r="S5657" t="s">
        <v>47429</v>
      </c>
      <c r="T5657" t="s">
        <v>49002</v>
      </c>
      <c r="U5657" t="s">
        <v>54298</v>
      </c>
      <c r="W5657" t="s">
        <v>44998</v>
      </c>
      <c r="X5657" t="s">
        <v>47309</v>
      </c>
    </row>
    <row r="5658" spans="1:24">
      <c r="A5658">
        <f>HYPERLINK("https://www.philgeps.gov.ph/GEPSNONPILOT/Tender/SplashBidNoticeAbstractUI.aspx?menuIndex=3&amp;refID=7194043&amp;Result=3","7194043")</f>
        <v>0</v>
      </c>
      <c r="B5658" t="s">
        <v>1932</v>
      </c>
      <c r="C5658" t="s">
        <v>9161</v>
      </c>
      <c r="D5658" t="s">
        <v>19032</v>
      </c>
      <c r="E5658" t="s">
        <v>24096</v>
      </c>
      <c r="F5658" t="s">
        <v>32606</v>
      </c>
      <c r="G5658" t="s">
        <v>32613</v>
      </c>
      <c r="H5658" t="s">
        <v>32623</v>
      </c>
      <c r="I5658" t="s">
        <v>17648</v>
      </c>
      <c r="J5658" t="s">
        <v>36461</v>
      </c>
      <c r="K5658" t="s">
        <v>42740</v>
      </c>
      <c r="M5658" t="s">
        <v>44992</v>
      </c>
      <c r="N5658" t="s">
        <v>47304</v>
      </c>
      <c r="O5658" t="s">
        <v>47305</v>
      </c>
      <c r="P5658">
        <v>0</v>
      </c>
      <c r="Q5658">
        <v>0</v>
      </c>
      <c r="R5658" t="s">
        <v>47308</v>
      </c>
      <c r="S5658" t="s">
        <v>47429</v>
      </c>
      <c r="T5658" t="s">
        <v>49063</v>
      </c>
      <c r="U5658" t="s">
        <v>54299</v>
      </c>
      <c r="W5658" t="s">
        <v>44992</v>
      </c>
      <c r="X5658" t="s">
        <v>47309</v>
      </c>
    </row>
    <row r="5659" spans="1:24">
      <c r="A5659">
        <f>HYPERLINK("https://www.philgeps.gov.ph/GEPSNONPILOT/Tender/SplashBidNoticeAbstractUI.aspx?menuIndex=3&amp;refID=7194041&amp;Result=3","7194041")</f>
        <v>0</v>
      </c>
      <c r="B5659" t="s">
        <v>1938</v>
      </c>
      <c r="C5659" t="s">
        <v>9162</v>
      </c>
      <c r="D5659" t="s">
        <v>19054</v>
      </c>
      <c r="E5659" t="s">
        <v>20501</v>
      </c>
      <c r="F5659" t="s">
        <v>32606</v>
      </c>
      <c r="G5659" t="s">
        <v>32613</v>
      </c>
      <c r="H5659" t="s">
        <v>14201</v>
      </c>
      <c r="I5659" t="s">
        <v>6931</v>
      </c>
      <c r="J5659" t="s">
        <v>36462</v>
      </c>
      <c r="K5659" t="s">
        <v>42622</v>
      </c>
      <c r="M5659" t="s">
        <v>44999</v>
      </c>
      <c r="N5659" t="s">
        <v>47304</v>
      </c>
      <c r="O5659" t="s">
        <v>47305</v>
      </c>
      <c r="P5659">
        <v>0</v>
      </c>
      <c r="Q5659">
        <v>0</v>
      </c>
      <c r="R5659" t="s">
        <v>47308</v>
      </c>
      <c r="S5659" t="s">
        <v>47429</v>
      </c>
      <c r="T5659" t="s">
        <v>49140</v>
      </c>
      <c r="U5659" t="s">
        <v>54300</v>
      </c>
      <c r="W5659" t="s">
        <v>44999</v>
      </c>
      <c r="X5659" t="s">
        <v>47309</v>
      </c>
    </row>
    <row r="5660" spans="1:24">
      <c r="A5660">
        <f>HYPERLINK("https://www.philgeps.gov.ph/GEPSNONPILOT/Tender/SplashBidNoticeAbstractUI.aspx?menuIndex=3&amp;refID=7194056&amp;Result=3","7194056")</f>
        <v>0</v>
      </c>
      <c r="B5660" t="s">
        <v>1937</v>
      </c>
      <c r="C5660" t="s">
        <v>9163</v>
      </c>
      <c r="D5660" t="s">
        <v>19065</v>
      </c>
      <c r="E5660" t="s">
        <v>24097</v>
      </c>
      <c r="F5660" t="s">
        <v>32606</v>
      </c>
      <c r="G5660" t="s">
        <v>32614</v>
      </c>
      <c r="H5660" t="s">
        <v>14201</v>
      </c>
      <c r="I5660" t="s">
        <v>32646</v>
      </c>
      <c r="J5660" t="s">
        <v>32981</v>
      </c>
      <c r="K5660" t="s">
        <v>42623</v>
      </c>
      <c r="M5660" t="s">
        <v>44998</v>
      </c>
      <c r="N5660" t="s">
        <v>47304</v>
      </c>
      <c r="O5660" t="s">
        <v>47305</v>
      </c>
      <c r="P5660">
        <v>0</v>
      </c>
      <c r="Q5660">
        <v>1</v>
      </c>
      <c r="R5660" t="s">
        <v>47308</v>
      </c>
      <c r="S5660" t="s">
        <v>47429</v>
      </c>
      <c r="T5660" t="s">
        <v>49002</v>
      </c>
      <c r="U5660" t="s">
        <v>54301</v>
      </c>
      <c r="W5660" t="s">
        <v>44998</v>
      </c>
      <c r="X5660" t="s">
        <v>47309</v>
      </c>
    </row>
    <row r="5661" spans="1:24">
      <c r="A5661">
        <f>HYPERLINK("https://www.philgeps.gov.ph/GEPSNONPILOT/Tender/SplashBidNoticeAbstractUI.aspx?menuIndex=3&amp;refID=7194017&amp;Result=3","7194017")</f>
        <v>0</v>
      </c>
      <c r="B5661" t="s">
        <v>1939</v>
      </c>
      <c r="C5661" t="s">
        <v>9164</v>
      </c>
      <c r="D5661" t="s">
        <v>19033</v>
      </c>
      <c r="E5661" t="s">
        <v>24098</v>
      </c>
      <c r="F5661" t="s">
        <v>32606</v>
      </c>
      <c r="G5661" t="s">
        <v>32613</v>
      </c>
      <c r="H5661" t="s">
        <v>14201</v>
      </c>
      <c r="I5661" t="s">
        <v>6931</v>
      </c>
      <c r="J5661" t="s">
        <v>36463</v>
      </c>
      <c r="K5661" t="s">
        <v>42636</v>
      </c>
      <c r="M5661" t="s">
        <v>45000</v>
      </c>
      <c r="N5661" t="s">
        <v>47304</v>
      </c>
      <c r="O5661" t="s">
        <v>47305</v>
      </c>
      <c r="P5661">
        <v>0</v>
      </c>
      <c r="Q5661">
        <v>0</v>
      </c>
      <c r="R5661" t="s">
        <v>47308</v>
      </c>
      <c r="S5661" t="s">
        <v>47429</v>
      </c>
      <c r="T5661" t="s">
        <v>49100</v>
      </c>
      <c r="U5661" t="s">
        <v>54302</v>
      </c>
      <c r="W5661" t="s">
        <v>45000</v>
      </c>
      <c r="X5661" t="s">
        <v>47310</v>
      </c>
    </row>
    <row r="5662" spans="1:24">
      <c r="A5662">
        <f>HYPERLINK("https://www.philgeps.gov.ph/GEPSNONPILOT/Tender/SplashBidNoticeAbstractUI.aspx?menuIndex=3&amp;refID=7194055&amp;Result=3","7194055")</f>
        <v>0</v>
      </c>
      <c r="B5662" t="s">
        <v>1940</v>
      </c>
      <c r="C5662" t="s">
        <v>9165</v>
      </c>
      <c r="D5662" t="s">
        <v>19038</v>
      </c>
      <c r="E5662" t="s">
        <v>24099</v>
      </c>
      <c r="F5662" t="s">
        <v>32606</v>
      </c>
      <c r="G5662" t="s">
        <v>32613</v>
      </c>
      <c r="H5662" t="s">
        <v>32623</v>
      </c>
      <c r="I5662" t="s">
        <v>17648</v>
      </c>
      <c r="J5662" t="s">
        <v>36464</v>
      </c>
      <c r="K5662" t="s">
        <v>42675</v>
      </c>
      <c r="M5662" t="s">
        <v>45001</v>
      </c>
      <c r="N5662" t="s">
        <v>47304</v>
      </c>
      <c r="O5662" t="s">
        <v>47305</v>
      </c>
      <c r="P5662">
        <v>0</v>
      </c>
      <c r="Q5662">
        <v>0</v>
      </c>
      <c r="R5662" t="s">
        <v>47308</v>
      </c>
      <c r="S5662" t="s">
        <v>47429</v>
      </c>
      <c r="T5662" t="s">
        <v>48973</v>
      </c>
      <c r="U5662" t="s">
        <v>54303</v>
      </c>
      <c r="W5662" t="s">
        <v>45001</v>
      </c>
      <c r="X5662" t="s">
        <v>47309</v>
      </c>
    </row>
    <row r="5663" spans="1:24">
      <c r="A5663">
        <f>HYPERLINK("https://www.philgeps.gov.ph/GEPSNONPILOT/Tender/SplashBidNoticeAbstractUI.aspx?menuIndex=3&amp;refID=7194018&amp;Result=3","7194018")</f>
        <v>0</v>
      </c>
      <c r="B5663" t="s">
        <v>1818</v>
      </c>
      <c r="C5663" t="s">
        <v>9166</v>
      </c>
      <c r="D5663" t="s">
        <v>19041</v>
      </c>
      <c r="E5663" t="s">
        <v>24100</v>
      </c>
      <c r="F5663" t="s">
        <v>32606</v>
      </c>
      <c r="G5663" t="s">
        <v>32613</v>
      </c>
      <c r="H5663" t="s">
        <v>32623</v>
      </c>
      <c r="I5663" t="s">
        <v>17648</v>
      </c>
      <c r="J5663" t="s">
        <v>36465</v>
      </c>
      <c r="K5663" t="s">
        <v>42636</v>
      </c>
      <c r="M5663" t="s">
        <v>44859</v>
      </c>
      <c r="N5663" t="s">
        <v>47304</v>
      </c>
      <c r="O5663" t="s">
        <v>47305</v>
      </c>
      <c r="P5663">
        <v>0</v>
      </c>
      <c r="Q5663">
        <v>0</v>
      </c>
      <c r="R5663" t="s">
        <v>47308</v>
      </c>
      <c r="S5663" t="s">
        <v>47429</v>
      </c>
      <c r="T5663" t="s">
        <v>49040</v>
      </c>
      <c r="U5663" t="s">
        <v>54289</v>
      </c>
      <c r="W5663" t="s">
        <v>44859</v>
      </c>
      <c r="X5663" t="s">
        <v>47310</v>
      </c>
    </row>
    <row r="5664" spans="1:24">
      <c r="A5664">
        <f>HYPERLINK("https://www.philgeps.gov.ph/GEPSNONPILOT/Tender/SplashBidNoticeAbstractUI.aspx?menuIndex=3&amp;refID=7194067&amp;Result=3","7194067")</f>
        <v>0</v>
      </c>
      <c r="B5664" t="s">
        <v>1928</v>
      </c>
      <c r="C5664" t="s">
        <v>9167</v>
      </c>
      <c r="D5664" t="s">
        <v>18990</v>
      </c>
      <c r="E5664" t="s">
        <v>24101</v>
      </c>
      <c r="F5664" t="s">
        <v>32606</v>
      </c>
      <c r="G5664" t="s">
        <v>32615</v>
      </c>
      <c r="H5664" t="s">
        <v>14201</v>
      </c>
      <c r="I5664" t="s">
        <v>7064</v>
      </c>
      <c r="J5664" t="s">
        <v>33051</v>
      </c>
      <c r="K5664" t="s">
        <v>42631</v>
      </c>
      <c r="M5664" t="s">
        <v>44988</v>
      </c>
      <c r="N5664" t="s">
        <v>47304</v>
      </c>
      <c r="O5664" t="s">
        <v>47305</v>
      </c>
      <c r="P5664">
        <v>0</v>
      </c>
      <c r="Q5664">
        <v>0</v>
      </c>
      <c r="R5664" t="s">
        <v>47308</v>
      </c>
      <c r="S5664" t="s">
        <v>47429</v>
      </c>
      <c r="T5664" t="s">
        <v>49100</v>
      </c>
      <c r="U5664" t="s">
        <v>54304</v>
      </c>
      <c r="W5664" t="s">
        <v>44988</v>
      </c>
      <c r="X5664" t="s">
        <v>47309</v>
      </c>
    </row>
    <row r="5665" spans="1:24">
      <c r="A5665">
        <f>HYPERLINK("https://www.philgeps.gov.ph/GEPSNONPILOT/Tender/SplashBidNoticeAbstractUI.aspx?menuIndex=3&amp;refID=7194059&amp;Result=3","7194059")</f>
        <v>0</v>
      </c>
      <c r="B5665" t="s">
        <v>407</v>
      </c>
      <c r="C5665" t="s">
        <v>9168</v>
      </c>
      <c r="D5665" t="s">
        <v>19019</v>
      </c>
      <c r="E5665" t="s">
        <v>24102</v>
      </c>
      <c r="F5665" t="s">
        <v>32606</v>
      </c>
      <c r="G5665" t="s">
        <v>32619</v>
      </c>
      <c r="H5665" t="s">
        <v>14201</v>
      </c>
      <c r="I5665" t="s">
        <v>4678</v>
      </c>
      <c r="J5665" t="s">
        <v>36466</v>
      </c>
      <c r="K5665" t="s">
        <v>42627</v>
      </c>
      <c r="M5665" t="s">
        <v>43311</v>
      </c>
      <c r="N5665" t="s">
        <v>47304</v>
      </c>
      <c r="O5665" t="s">
        <v>47305</v>
      </c>
      <c r="P5665">
        <v>0</v>
      </c>
      <c r="Q5665">
        <v>6</v>
      </c>
      <c r="R5665" t="s">
        <v>47308</v>
      </c>
      <c r="S5665" t="s">
        <v>47429</v>
      </c>
      <c r="T5665" t="s">
        <v>49076</v>
      </c>
      <c r="U5665" t="s">
        <v>50259</v>
      </c>
      <c r="W5665" t="s">
        <v>43311</v>
      </c>
      <c r="X5665" t="s">
        <v>47309</v>
      </c>
    </row>
    <row r="5666" spans="1:24">
      <c r="A5666">
        <f>HYPERLINK("https://www.philgeps.gov.ph/GEPSNONPILOT/Tender/SplashBidNoticeAbstractUI.aspx?menuIndex=3&amp;refID=7194065&amp;Result=3","7194065")</f>
        <v>0</v>
      </c>
      <c r="B5666" t="s">
        <v>185</v>
      </c>
      <c r="C5666" t="s">
        <v>9169</v>
      </c>
      <c r="D5666" t="s">
        <v>19025</v>
      </c>
      <c r="E5666" t="s">
        <v>24103</v>
      </c>
      <c r="F5666" t="s">
        <v>32606</v>
      </c>
      <c r="G5666" t="s">
        <v>32619</v>
      </c>
      <c r="H5666" t="s">
        <v>14201</v>
      </c>
      <c r="I5666" t="s">
        <v>7577</v>
      </c>
      <c r="J5666" t="s">
        <v>36467</v>
      </c>
      <c r="K5666" t="s">
        <v>42622</v>
      </c>
      <c r="M5666" t="s">
        <v>43086</v>
      </c>
      <c r="N5666" t="s">
        <v>47304</v>
      </c>
      <c r="O5666" t="s">
        <v>47305</v>
      </c>
      <c r="P5666">
        <v>0</v>
      </c>
      <c r="Q5666">
        <v>2</v>
      </c>
      <c r="R5666" t="s">
        <v>47308</v>
      </c>
      <c r="S5666" t="s">
        <v>47429</v>
      </c>
      <c r="T5666" t="s">
        <v>49053</v>
      </c>
      <c r="U5666" t="s">
        <v>54305</v>
      </c>
      <c r="W5666" t="s">
        <v>43086</v>
      </c>
      <c r="X5666" t="s">
        <v>47309</v>
      </c>
    </row>
    <row r="5667" spans="1:24">
      <c r="A5667">
        <f>HYPERLINK("https://www.philgeps.gov.ph/GEPSNONPILOT/Tender/SplashBidNoticeAbstractUI.aspx?menuIndex=3&amp;refID=7194039&amp;Result=3","7194039")</f>
        <v>0</v>
      </c>
      <c r="B5667" t="s">
        <v>1941</v>
      </c>
      <c r="C5667" t="s">
        <v>9170</v>
      </c>
      <c r="D5667" t="s">
        <v>19003</v>
      </c>
      <c r="E5667" t="s">
        <v>19358</v>
      </c>
      <c r="F5667" t="s">
        <v>32606</v>
      </c>
      <c r="G5667" t="s">
        <v>32619</v>
      </c>
      <c r="H5667" t="s">
        <v>14201</v>
      </c>
      <c r="I5667" t="s">
        <v>4114</v>
      </c>
      <c r="J5667" t="s">
        <v>32770</v>
      </c>
      <c r="K5667" t="s">
        <v>42629</v>
      </c>
      <c r="M5667" t="s">
        <v>45002</v>
      </c>
      <c r="N5667" t="s">
        <v>47304</v>
      </c>
      <c r="O5667" t="s">
        <v>47305</v>
      </c>
      <c r="P5667">
        <v>0</v>
      </c>
      <c r="Q5667">
        <v>6</v>
      </c>
      <c r="R5667" t="s">
        <v>47308</v>
      </c>
      <c r="S5667" t="s">
        <v>47429</v>
      </c>
      <c r="T5667" t="s">
        <v>49083</v>
      </c>
      <c r="U5667" t="s">
        <v>54306</v>
      </c>
      <c r="W5667" t="s">
        <v>45002</v>
      </c>
      <c r="X5667" t="s">
        <v>47309</v>
      </c>
    </row>
    <row r="5668" spans="1:24">
      <c r="A5668">
        <f>HYPERLINK("https://www.philgeps.gov.ph/GEPSNONPILOT/Tender/SplashBidNoticeAbstractUI.aspx?menuIndex=3&amp;refID=7194063&amp;Result=3","7194063")</f>
        <v>0</v>
      </c>
      <c r="B5668" t="s">
        <v>407</v>
      </c>
      <c r="C5668" t="s">
        <v>9171</v>
      </c>
      <c r="D5668" t="s">
        <v>19019</v>
      </c>
      <c r="E5668" t="s">
        <v>24104</v>
      </c>
      <c r="F5668" t="s">
        <v>32606</v>
      </c>
      <c r="G5668" t="s">
        <v>32619</v>
      </c>
      <c r="H5668" t="s">
        <v>14201</v>
      </c>
      <c r="I5668" t="s">
        <v>32711</v>
      </c>
      <c r="J5668" t="s">
        <v>36468</v>
      </c>
      <c r="K5668" t="s">
        <v>42639</v>
      </c>
      <c r="M5668" t="s">
        <v>43311</v>
      </c>
      <c r="N5668" t="s">
        <v>47304</v>
      </c>
      <c r="O5668" t="s">
        <v>47305</v>
      </c>
      <c r="P5668">
        <v>0</v>
      </c>
      <c r="Q5668">
        <v>10</v>
      </c>
      <c r="R5668" t="s">
        <v>47308</v>
      </c>
      <c r="S5668" t="s">
        <v>47429</v>
      </c>
      <c r="T5668" t="s">
        <v>49076</v>
      </c>
      <c r="U5668" t="s">
        <v>50259</v>
      </c>
      <c r="W5668" t="s">
        <v>43311</v>
      </c>
      <c r="X5668" t="s">
        <v>47309</v>
      </c>
    </row>
    <row r="5669" spans="1:24">
      <c r="A5669">
        <f>HYPERLINK("https://www.philgeps.gov.ph/GEPSNONPILOT/Tender/SplashBidNoticeAbstractUI.aspx?menuIndex=3&amp;refID=7194061&amp;Result=3","7194061")</f>
        <v>0</v>
      </c>
      <c r="B5669" t="s">
        <v>185</v>
      </c>
      <c r="C5669" t="s">
        <v>9172</v>
      </c>
      <c r="D5669" t="s">
        <v>19025</v>
      </c>
      <c r="E5669" t="s">
        <v>24103</v>
      </c>
      <c r="F5669" t="s">
        <v>32606</v>
      </c>
      <c r="G5669" t="s">
        <v>32614</v>
      </c>
      <c r="H5669" t="s">
        <v>14201</v>
      </c>
      <c r="I5669" t="s">
        <v>6007</v>
      </c>
      <c r="J5669" t="s">
        <v>34123</v>
      </c>
      <c r="K5669" t="s">
        <v>42622</v>
      </c>
      <c r="M5669" t="s">
        <v>43086</v>
      </c>
      <c r="N5669" t="s">
        <v>47304</v>
      </c>
      <c r="O5669" t="s">
        <v>47305</v>
      </c>
      <c r="P5669">
        <v>0</v>
      </c>
      <c r="Q5669">
        <v>0</v>
      </c>
      <c r="R5669" t="s">
        <v>47308</v>
      </c>
      <c r="S5669" t="s">
        <v>47429</v>
      </c>
      <c r="T5669" t="s">
        <v>49053</v>
      </c>
      <c r="U5669" t="s">
        <v>54307</v>
      </c>
      <c r="W5669" t="s">
        <v>43086</v>
      </c>
      <c r="X5669" t="s">
        <v>47309</v>
      </c>
    </row>
    <row r="5670" spans="1:24">
      <c r="A5670">
        <f>HYPERLINK("https://www.philgeps.gov.ph/GEPSNONPILOT/Tender/SplashBidNoticeAbstractUI.aspx?menuIndex=3&amp;refID=7194060&amp;Result=3","7194060")</f>
        <v>0</v>
      </c>
      <c r="B5670" t="s">
        <v>185</v>
      </c>
      <c r="C5670" t="s">
        <v>9173</v>
      </c>
      <c r="D5670" t="s">
        <v>19025</v>
      </c>
      <c r="E5670" t="s">
        <v>24103</v>
      </c>
      <c r="F5670" t="s">
        <v>32606</v>
      </c>
      <c r="G5670" t="s">
        <v>32614</v>
      </c>
      <c r="H5670" t="s">
        <v>14201</v>
      </c>
      <c r="I5670" t="s">
        <v>4369</v>
      </c>
      <c r="J5670" t="s">
        <v>36469</v>
      </c>
      <c r="K5670" t="s">
        <v>42622</v>
      </c>
      <c r="M5670" t="s">
        <v>43086</v>
      </c>
      <c r="N5670" t="s">
        <v>47304</v>
      </c>
      <c r="O5670" t="s">
        <v>47305</v>
      </c>
      <c r="P5670">
        <v>0</v>
      </c>
      <c r="Q5670">
        <v>0</v>
      </c>
      <c r="R5670" t="s">
        <v>47308</v>
      </c>
      <c r="S5670" t="s">
        <v>47429</v>
      </c>
      <c r="T5670" t="s">
        <v>49053</v>
      </c>
      <c r="U5670" t="s">
        <v>54308</v>
      </c>
      <c r="W5670" t="s">
        <v>43086</v>
      </c>
      <c r="X5670" t="s">
        <v>47309</v>
      </c>
    </row>
    <row r="5671" spans="1:24">
      <c r="A5671">
        <f>HYPERLINK("https://www.philgeps.gov.ph/GEPSNONPILOT/Tender/SplashBidNoticeAbstractUI.aspx?menuIndex=3&amp;refID=7194052&amp;Result=3","7194052")</f>
        <v>0</v>
      </c>
      <c r="B5671" t="s">
        <v>1932</v>
      </c>
      <c r="C5671" t="s">
        <v>9174</v>
      </c>
      <c r="D5671" t="s">
        <v>19032</v>
      </c>
      <c r="E5671" t="s">
        <v>24105</v>
      </c>
      <c r="F5671" t="s">
        <v>32606</v>
      </c>
      <c r="G5671" t="s">
        <v>32613</v>
      </c>
      <c r="H5671" t="s">
        <v>32623</v>
      </c>
      <c r="I5671" t="s">
        <v>17648</v>
      </c>
      <c r="J5671" t="s">
        <v>36470</v>
      </c>
      <c r="K5671" t="s">
        <v>42778</v>
      </c>
      <c r="M5671" t="s">
        <v>44992</v>
      </c>
      <c r="N5671" t="s">
        <v>47304</v>
      </c>
      <c r="O5671" t="s">
        <v>47305</v>
      </c>
      <c r="P5671">
        <v>0</v>
      </c>
      <c r="Q5671">
        <v>0</v>
      </c>
      <c r="R5671" t="s">
        <v>47308</v>
      </c>
      <c r="S5671" t="s">
        <v>47429</v>
      </c>
      <c r="T5671" t="s">
        <v>49063</v>
      </c>
      <c r="U5671" t="s">
        <v>54309</v>
      </c>
      <c r="W5671" t="s">
        <v>44992</v>
      </c>
      <c r="X5671" t="s">
        <v>47309</v>
      </c>
    </row>
    <row r="5672" spans="1:24">
      <c r="A5672">
        <f>HYPERLINK("https://www.philgeps.gov.ph/GEPSNONPILOT/Tender/SplashBidNoticeAbstractUI.aspx?menuIndex=3&amp;refID=7194050&amp;Result=3","7194050")</f>
        <v>0</v>
      </c>
      <c r="B5672" t="s">
        <v>1932</v>
      </c>
      <c r="C5672" t="s">
        <v>9175</v>
      </c>
      <c r="D5672" t="s">
        <v>19032</v>
      </c>
      <c r="E5672" t="s">
        <v>24106</v>
      </c>
      <c r="F5672" t="s">
        <v>32606</v>
      </c>
      <c r="G5672" t="s">
        <v>32613</v>
      </c>
      <c r="H5672" t="s">
        <v>32623</v>
      </c>
      <c r="I5672" t="s">
        <v>17648</v>
      </c>
      <c r="J5672" t="s">
        <v>36471</v>
      </c>
      <c r="K5672" t="s">
        <v>42661</v>
      </c>
      <c r="M5672" t="s">
        <v>44992</v>
      </c>
      <c r="N5672" t="s">
        <v>47304</v>
      </c>
      <c r="O5672" t="s">
        <v>47305</v>
      </c>
      <c r="P5672">
        <v>0</v>
      </c>
      <c r="Q5672">
        <v>0</v>
      </c>
      <c r="R5672" t="s">
        <v>47308</v>
      </c>
      <c r="S5672" t="s">
        <v>47429</v>
      </c>
      <c r="T5672" t="s">
        <v>49063</v>
      </c>
      <c r="U5672" t="s">
        <v>54310</v>
      </c>
      <c r="W5672" t="s">
        <v>44992</v>
      </c>
      <c r="X5672" t="s">
        <v>47309</v>
      </c>
    </row>
    <row r="5673" spans="1:24">
      <c r="A5673">
        <f>HYPERLINK("https://www.philgeps.gov.ph/GEPSNONPILOT/Tender/SplashBidNoticeAbstractUI.aspx?menuIndex=3&amp;refID=7194048&amp;Result=3","7194048")</f>
        <v>0</v>
      </c>
      <c r="B5673" t="s">
        <v>1932</v>
      </c>
      <c r="C5673" t="s">
        <v>9176</v>
      </c>
      <c r="D5673" t="s">
        <v>19032</v>
      </c>
      <c r="E5673" t="s">
        <v>24107</v>
      </c>
      <c r="F5673" t="s">
        <v>32606</v>
      </c>
      <c r="G5673" t="s">
        <v>32613</v>
      </c>
      <c r="H5673" t="s">
        <v>32623</v>
      </c>
      <c r="I5673" t="s">
        <v>17648</v>
      </c>
      <c r="J5673" t="s">
        <v>36472</v>
      </c>
      <c r="K5673" t="s">
        <v>42695</v>
      </c>
      <c r="M5673" t="s">
        <v>44992</v>
      </c>
      <c r="N5673" t="s">
        <v>47304</v>
      </c>
      <c r="O5673" t="s">
        <v>47305</v>
      </c>
      <c r="P5673">
        <v>0</v>
      </c>
      <c r="Q5673">
        <v>0</v>
      </c>
      <c r="R5673" t="s">
        <v>47308</v>
      </c>
      <c r="S5673" t="s">
        <v>47429</v>
      </c>
      <c r="T5673" t="s">
        <v>49063</v>
      </c>
      <c r="U5673" t="s">
        <v>54311</v>
      </c>
      <c r="W5673" t="s">
        <v>44992</v>
      </c>
      <c r="X5673" t="s">
        <v>47309</v>
      </c>
    </row>
    <row r="5674" spans="1:24">
      <c r="A5674">
        <f>HYPERLINK("https://www.philgeps.gov.ph/GEPSNONPILOT/Tender/SplashBidNoticeAbstractUI.aspx?menuIndex=3&amp;refID=7194047&amp;Result=3","7194047")</f>
        <v>0</v>
      </c>
      <c r="B5674" t="s">
        <v>1937</v>
      </c>
      <c r="C5674" t="s">
        <v>7953</v>
      </c>
      <c r="D5674" t="s">
        <v>19065</v>
      </c>
      <c r="E5674" t="s">
        <v>24108</v>
      </c>
      <c r="F5674" t="s">
        <v>32606</v>
      </c>
      <c r="G5674" t="s">
        <v>32614</v>
      </c>
      <c r="H5674" t="s">
        <v>14201</v>
      </c>
      <c r="I5674" t="s">
        <v>4114</v>
      </c>
      <c r="J5674" t="s">
        <v>36473</v>
      </c>
      <c r="K5674" t="s">
        <v>42623</v>
      </c>
      <c r="M5674" t="s">
        <v>44998</v>
      </c>
      <c r="N5674" t="s">
        <v>47304</v>
      </c>
      <c r="O5674" t="s">
        <v>47305</v>
      </c>
      <c r="P5674">
        <v>0</v>
      </c>
      <c r="Q5674">
        <v>0</v>
      </c>
      <c r="R5674" t="s">
        <v>47308</v>
      </c>
      <c r="S5674" t="s">
        <v>47429</v>
      </c>
      <c r="T5674" t="s">
        <v>49002</v>
      </c>
      <c r="U5674" t="s">
        <v>54312</v>
      </c>
      <c r="W5674" t="s">
        <v>44998</v>
      </c>
      <c r="X5674" t="s">
        <v>47309</v>
      </c>
    </row>
    <row r="5675" spans="1:24">
      <c r="A5675">
        <f>HYPERLINK("https://www.philgeps.gov.ph/GEPSNONPILOT/Tender/SplashBidNoticeAbstractUI.aspx?menuIndex=3&amp;refID=7194046&amp;Result=3","7194046")</f>
        <v>0</v>
      </c>
      <c r="B5675" t="s">
        <v>1932</v>
      </c>
      <c r="C5675" t="s">
        <v>9177</v>
      </c>
      <c r="D5675" t="s">
        <v>19032</v>
      </c>
      <c r="E5675" t="s">
        <v>24109</v>
      </c>
      <c r="F5675" t="s">
        <v>32606</v>
      </c>
      <c r="G5675" t="s">
        <v>32613</v>
      </c>
      <c r="H5675" t="s">
        <v>32623</v>
      </c>
      <c r="I5675" t="s">
        <v>17648</v>
      </c>
      <c r="J5675" t="s">
        <v>36474</v>
      </c>
      <c r="K5675" t="s">
        <v>42661</v>
      </c>
      <c r="M5675" t="s">
        <v>44992</v>
      </c>
      <c r="N5675" t="s">
        <v>47304</v>
      </c>
      <c r="O5675" t="s">
        <v>47305</v>
      </c>
      <c r="P5675">
        <v>0</v>
      </c>
      <c r="Q5675">
        <v>0</v>
      </c>
      <c r="R5675" t="s">
        <v>47308</v>
      </c>
      <c r="S5675" t="s">
        <v>47429</v>
      </c>
      <c r="T5675" t="s">
        <v>49063</v>
      </c>
      <c r="U5675" t="s">
        <v>54313</v>
      </c>
      <c r="W5675" t="s">
        <v>44992</v>
      </c>
      <c r="X5675" t="s">
        <v>47309</v>
      </c>
    </row>
    <row r="5676" spans="1:24">
      <c r="A5676">
        <f>HYPERLINK("https://www.philgeps.gov.ph/GEPSNONPILOT/Tender/SplashBidNoticeAbstractUI.aspx?menuIndex=3&amp;refID=7194070&amp;Result=3","7194070")</f>
        <v>0</v>
      </c>
      <c r="B5676" t="s">
        <v>1928</v>
      </c>
      <c r="C5676" t="s">
        <v>9178</v>
      </c>
      <c r="E5676" t="s">
        <v>24110</v>
      </c>
      <c r="F5676" t="s">
        <v>32606</v>
      </c>
      <c r="G5676" t="s">
        <v>32615</v>
      </c>
      <c r="H5676" t="s">
        <v>14201</v>
      </c>
      <c r="I5676" t="s">
        <v>7064</v>
      </c>
      <c r="J5676" t="s">
        <v>32821</v>
      </c>
      <c r="K5676" t="s">
        <v>42636</v>
      </c>
      <c r="M5676" t="s">
        <v>44988</v>
      </c>
      <c r="N5676" t="s">
        <v>47304</v>
      </c>
      <c r="O5676" t="s">
        <v>47305</v>
      </c>
      <c r="P5676">
        <v>0</v>
      </c>
      <c r="Q5676">
        <v>2</v>
      </c>
      <c r="R5676" t="s">
        <v>47308</v>
      </c>
      <c r="S5676" t="s">
        <v>47429</v>
      </c>
      <c r="T5676" t="s">
        <v>49100</v>
      </c>
      <c r="U5676" t="s">
        <v>54314</v>
      </c>
      <c r="W5676" t="s">
        <v>44988</v>
      </c>
      <c r="X5676" t="s">
        <v>47309</v>
      </c>
    </row>
    <row r="5677" spans="1:24">
      <c r="A5677">
        <f>HYPERLINK("https://www.philgeps.gov.ph/GEPSNONPILOT/Tender/SplashBidNoticeAbstractUI.aspx?menuIndex=3&amp;refID=7194091&amp;Result=3","7194091")</f>
        <v>0</v>
      </c>
      <c r="B5677" t="s">
        <v>1726</v>
      </c>
      <c r="C5677" t="s">
        <v>9179</v>
      </c>
      <c r="E5677" t="s">
        <v>24111</v>
      </c>
      <c r="F5677" t="s">
        <v>32606</v>
      </c>
      <c r="G5677" t="s">
        <v>32613</v>
      </c>
      <c r="H5677" t="s">
        <v>14201</v>
      </c>
      <c r="I5677" t="s">
        <v>32640</v>
      </c>
      <c r="J5677" t="s">
        <v>34912</v>
      </c>
      <c r="K5677" t="s">
        <v>42624</v>
      </c>
      <c r="M5677" t="s">
        <v>44758</v>
      </c>
      <c r="N5677" t="s">
        <v>47304</v>
      </c>
      <c r="O5677" t="s">
        <v>47305</v>
      </c>
      <c r="P5677">
        <v>0</v>
      </c>
      <c r="Q5677">
        <v>17</v>
      </c>
      <c r="R5677" t="s">
        <v>47308</v>
      </c>
      <c r="S5677" t="s">
        <v>47429</v>
      </c>
      <c r="T5677" t="s">
        <v>49322</v>
      </c>
      <c r="U5677" t="s">
        <v>54315</v>
      </c>
      <c r="W5677" t="s">
        <v>44758</v>
      </c>
      <c r="X5677" t="s">
        <v>47309</v>
      </c>
    </row>
    <row r="5678" spans="1:24">
      <c r="A5678">
        <f>HYPERLINK("https://www.philgeps.gov.ph/GEPSNONPILOT/Tender/SplashBidNoticeAbstractUI.aspx?menuIndex=3&amp;refID=7194062&amp;Result=3","7194062")</f>
        <v>0</v>
      </c>
      <c r="B5678" t="s">
        <v>1942</v>
      </c>
      <c r="C5678" t="s">
        <v>9180</v>
      </c>
      <c r="D5678" t="s">
        <v>18993</v>
      </c>
      <c r="E5678" t="s">
        <v>24112</v>
      </c>
      <c r="F5678" t="s">
        <v>32607</v>
      </c>
      <c r="G5678" t="s">
        <v>32620</v>
      </c>
      <c r="H5678" t="s">
        <v>32625</v>
      </c>
      <c r="I5678" t="s">
        <v>32625</v>
      </c>
      <c r="J5678" t="s">
        <v>35595</v>
      </c>
      <c r="K5678" t="s">
        <v>42714</v>
      </c>
      <c r="M5678" t="s">
        <v>45003</v>
      </c>
      <c r="N5678" t="s">
        <v>47304</v>
      </c>
      <c r="O5678" t="s">
        <v>47305</v>
      </c>
      <c r="P5678">
        <v>0</v>
      </c>
      <c r="Q5678">
        <v>0</v>
      </c>
      <c r="R5678" t="s">
        <v>47308</v>
      </c>
      <c r="S5678" t="s">
        <v>47429</v>
      </c>
      <c r="T5678" t="s">
        <v>48975</v>
      </c>
      <c r="U5678" t="s">
        <v>54316</v>
      </c>
      <c r="W5678" t="s">
        <v>45003</v>
      </c>
      <c r="X5678" t="s">
        <v>47309</v>
      </c>
    </row>
    <row r="5679" spans="1:24">
      <c r="A5679">
        <f>HYPERLINK("https://www.philgeps.gov.ph/GEPSNONPILOT/Tender/SplashBidNoticeAbstractUI.aspx?menuIndex=3&amp;refID=7194090&amp;Result=3","7194090")</f>
        <v>0</v>
      </c>
      <c r="B5679" t="s">
        <v>130</v>
      </c>
      <c r="C5679" t="s">
        <v>9181</v>
      </c>
      <c r="D5679" t="s">
        <v>19015</v>
      </c>
      <c r="E5679" t="s">
        <v>24113</v>
      </c>
      <c r="F5679" t="s">
        <v>32606</v>
      </c>
      <c r="G5679" t="s">
        <v>32617</v>
      </c>
      <c r="H5679" t="s">
        <v>14201</v>
      </c>
      <c r="I5679" t="s">
        <v>4120</v>
      </c>
      <c r="J5679" t="s">
        <v>36475</v>
      </c>
      <c r="K5679" t="s">
        <v>42623</v>
      </c>
      <c r="M5679" t="s">
        <v>43031</v>
      </c>
      <c r="N5679" t="s">
        <v>47304</v>
      </c>
      <c r="O5679" t="s">
        <v>47305</v>
      </c>
      <c r="P5679">
        <v>0</v>
      </c>
      <c r="Q5679">
        <v>1</v>
      </c>
      <c r="R5679" t="s">
        <v>47308</v>
      </c>
      <c r="S5679" t="s">
        <v>47429</v>
      </c>
      <c r="T5679" t="s">
        <v>49047</v>
      </c>
      <c r="U5679" t="s">
        <v>54317</v>
      </c>
      <c r="W5679" t="s">
        <v>43031</v>
      </c>
      <c r="X5679" t="s">
        <v>47309</v>
      </c>
    </row>
    <row r="5680" spans="1:24">
      <c r="A5680">
        <f>HYPERLINK("https://www.philgeps.gov.ph/GEPSNONPILOT/Tender/SplashBidNoticeAbstractUI.aspx?menuIndex=3&amp;refID=7194104&amp;Result=3","7194104")</f>
        <v>0</v>
      </c>
      <c r="B5680" t="s">
        <v>1943</v>
      </c>
      <c r="C5680" t="s">
        <v>9182</v>
      </c>
      <c r="D5680" t="s">
        <v>18993</v>
      </c>
      <c r="E5680" t="s">
        <v>19145</v>
      </c>
      <c r="F5680" t="s">
        <v>32606</v>
      </c>
      <c r="G5680" t="s">
        <v>32613</v>
      </c>
      <c r="H5680" t="s">
        <v>14201</v>
      </c>
      <c r="I5680" t="s">
        <v>32656</v>
      </c>
      <c r="J5680" t="s">
        <v>36476</v>
      </c>
      <c r="K5680" t="s">
        <v>42632</v>
      </c>
      <c r="M5680" t="s">
        <v>45004</v>
      </c>
      <c r="N5680" t="s">
        <v>47304</v>
      </c>
      <c r="O5680" t="s">
        <v>47305</v>
      </c>
      <c r="P5680">
        <v>0</v>
      </c>
      <c r="Q5680">
        <v>6</v>
      </c>
      <c r="R5680" t="s">
        <v>47308</v>
      </c>
      <c r="S5680" t="s">
        <v>47429</v>
      </c>
      <c r="T5680" t="s">
        <v>49087</v>
      </c>
      <c r="U5680" t="s">
        <v>54318</v>
      </c>
      <c r="V5680" t="s">
        <v>62965</v>
      </c>
      <c r="W5680" t="s">
        <v>45004</v>
      </c>
      <c r="X5680" t="s">
        <v>47309</v>
      </c>
    </row>
    <row r="5681" spans="1:24">
      <c r="A5681">
        <f>HYPERLINK("https://www.philgeps.gov.ph/GEPSNONPILOT/Tender/SplashBidNoticeAbstractUI.aspx?menuIndex=3&amp;refID=7194102&amp;Result=3","7194102")</f>
        <v>0</v>
      </c>
      <c r="B5681" t="s">
        <v>130</v>
      </c>
      <c r="C5681" t="s">
        <v>9183</v>
      </c>
      <c r="D5681" t="s">
        <v>19015</v>
      </c>
      <c r="E5681" t="s">
        <v>24114</v>
      </c>
      <c r="F5681" t="s">
        <v>32606</v>
      </c>
      <c r="G5681" t="s">
        <v>32617</v>
      </c>
      <c r="H5681" t="s">
        <v>14201</v>
      </c>
      <c r="I5681" t="s">
        <v>4114</v>
      </c>
      <c r="J5681" t="s">
        <v>36477</v>
      </c>
      <c r="K5681" t="s">
        <v>42623</v>
      </c>
      <c r="M5681" t="s">
        <v>43031</v>
      </c>
      <c r="N5681" t="s">
        <v>47304</v>
      </c>
      <c r="O5681" t="s">
        <v>47305</v>
      </c>
      <c r="P5681">
        <v>0</v>
      </c>
      <c r="Q5681">
        <v>1</v>
      </c>
      <c r="R5681" t="s">
        <v>47308</v>
      </c>
      <c r="S5681" t="s">
        <v>47429</v>
      </c>
      <c r="T5681" t="s">
        <v>49047</v>
      </c>
      <c r="U5681" t="s">
        <v>54319</v>
      </c>
      <c r="W5681" t="s">
        <v>43031</v>
      </c>
      <c r="X5681" t="s">
        <v>47309</v>
      </c>
    </row>
    <row r="5682" spans="1:24">
      <c r="A5682">
        <f>HYPERLINK("https://www.philgeps.gov.ph/GEPSNONPILOT/Tender/SplashBidNoticeAbstractUI.aspx?menuIndex=3&amp;refID=7194097&amp;Result=3","7194097")</f>
        <v>0</v>
      </c>
      <c r="B5682" t="s">
        <v>1792</v>
      </c>
      <c r="C5682" t="s">
        <v>9184</v>
      </c>
      <c r="D5682" t="s">
        <v>18993</v>
      </c>
      <c r="E5682" t="s">
        <v>23516</v>
      </c>
      <c r="F5682" t="s">
        <v>32606</v>
      </c>
      <c r="G5682" t="s">
        <v>32614</v>
      </c>
      <c r="H5682" t="s">
        <v>14201</v>
      </c>
      <c r="I5682" t="s">
        <v>6298</v>
      </c>
      <c r="J5682" t="s">
        <v>33302</v>
      </c>
      <c r="K5682" t="s">
        <v>42632</v>
      </c>
      <c r="M5682" t="s">
        <v>44832</v>
      </c>
      <c r="N5682" t="s">
        <v>47304</v>
      </c>
      <c r="O5682" t="s">
        <v>47305</v>
      </c>
      <c r="P5682">
        <v>0</v>
      </c>
      <c r="Q5682">
        <v>3</v>
      </c>
      <c r="R5682" t="s">
        <v>47308</v>
      </c>
      <c r="S5682" t="s">
        <v>47429</v>
      </c>
      <c r="T5682" t="s">
        <v>49323</v>
      </c>
      <c r="U5682" t="s">
        <v>53752</v>
      </c>
      <c r="W5682" t="s">
        <v>44832</v>
      </c>
      <c r="X5682" t="s">
        <v>47309</v>
      </c>
    </row>
    <row r="5683" spans="1:24">
      <c r="A5683">
        <f>HYPERLINK("https://www.philgeps.gov.ph/GEPSNONPILOT/Tender/SplashBidNoticeAbstractUI.aspx?menuIndex=3&amp;refID=7194095&amp;Result=3","7194095")</f>
        <v>0</v>
      </c>
      <c r="B5683" t="s">
        <v>318</v>
      </c>
      <c r="C5683" t="s">
        <v>9185</v>
      </c>
      <c r="D5683" t="s">
        <v>19025</v>
      </c>
      <c r="E5683" t="s">
        <v>24115</v>
      </c>
      <c r="F5683" t="s">
        <v>32606</v>
      </c>
      <c r="G5683" t="s">
        <v>32614</v>
      </c>
      <c r="H5683" t="s">
        <v>14201</v>
      </c>
      <c r="I5683" t="s">
        <v>4678</v>
      </c>
      <c r="J5683" t="s">
        <v>33667</v>
      </c>
      <c r="K5683" t="s">
        <v>42624</v>
      </c>
      <c r="M5683" t="s">
        <v>43220</v>
      </c>
      <c r="N5683" t="s">
        <v>47304</v>
      </c>
      <c r="O5683" t="s">
        <v>47305</v>
      </c>
      <c r="P5683">
        <v>0</v>
      </c>
      <c r="Q5683">
        <v>4</v>
      </c>
      <c r="R5683" t="s">
        <v>47308</v>
      </c>
      <c r="S5683" t="s">
        <v>47429</v>
      </c>
      <c r="T5683" t="s">
        <v>49084</v>
      </c>
      <c r="U5683" t="s">
        <v>54320</v>
      </c>
      <c r="W5683" t="s">
        <v>43220</v>
      </c>
      <c r="X5683" t="s">
        <v>47309</v>
      </c>
    </row>
    <row r="5684" spans="1:24">
      <c r="A5684">
        <f>HYPERLINK("https://www.philgeps.gov.ph/GEPSNONPILOT/Tender/SplashBidNoticeAbstractUI.aspx?menuIndex=3&amp;refID=7194093&amp;Result=3","7194093")</f>
        <v>0</v>
      </c>
      <c r="B5684" t="s">
        <v>1792</v>
      </c>
      <c r="C5684" t="s">
        <v>9186</v>
      </c>
      <c r="D5684" t="s">
        <v>18993</v>
      </c>
      <c r="E5684" t="s">
        <v>23516</v>
      </c>
      <c r="F5684" t="s">
        <v>32606</v>
      </c>
      <c r="G5684" t="s">
        <v>32614</v>
      </c>
      <c r="H5684" t="s">
        <v>14201</v>
      </c>
      <c r="I5684" t="s">
        <v>6298</v>
      </c>
      <c r="J5684" t="s">
        <v>33034</v>
      </c>
      <c r="K5684" t="s">
        <v>42632</v>
      </c>
      <c r="M5684" t="s">
        <v>44832</v>
      </c>
      <c r="N5684" t="s">
        <v>47304</v>
      </c>
      <c r="O5684" t="s">
        <v>47305</v>
      </c>
      <c r="P5684">
        <v>0</v>
      </c>
      <c r="Q5684">
        <v>2</v>
      </c>
      <c r="R5684" t="s">
        <v>47308</v>
      </c>
      <c r="S5684" t="s">
        <v>47429</v>
      </c>
      <c r="T5684" t="s">
        <v>49323</v>
      </c>
      <c r="U5684" t="s">
        <v>53752</v>
      </c>
      <c r="V5684" t="s">
        <v>53752</v>
      </c>
      <c r="W5684" t="s">
        <v>44832</v>
      </c>
      <c r="X5684" t="s">
        <v>47309</v>
      </c>
    </row>
    <row r="5685" spans="1:24">
      <c r="A5685">
        <f>HYPERLINK("https://www.philgeps.gov.ph/GEPSNONPILOT/Tender/SplashBidNoticeAbstractUI.aspx?menuIndex=3&amp;refID=7194089&amp;Result=3","7194089")</f>
        <v>0</v>
      </c>
      <c r="B5685" t="s">
        <v>495</v>
      </c>
      <c r="C5685" t="s">
        <v>9187</v>
      </c>
      <c r="D5685" t="s">
        <v>19063</v>
      </c>
      <c r="E5685" t="s">
        <v>19327</v>
      </c>
      <c r="F5685" t="s">
        <v>32606</v>
      </c>
      <c r="G5685" t="s">
        <v>32613</v>
      </c>
      <c r="H5685" t="s">
        <v>32623</v>
      </c>
      <c r="I5685" t="s">
        <v>17648</v>
      </c>
      <c r="J5685" t="s">
        <v>32833</v>
      </c>
      <c r="K5685" t="s">
        <v>42693</v>
      </c>
      <c r="M5685" t="s">
        <v>43408</v>
      </c>
      <c r="N5685" t="s">
        <v>47304</v>
      </c>
      <c r="O5685" t="s">
        <v>47305</v>
      </c>
      <c r="P5685">
        <v>0</v>
      </c>
      <c r="Q5685">
        <v>0</v>
      </c>
      <c r="R5685" t="s">
        <v>47308</v>
      </c>
      <c r="S5685" t="s">
        <v>47429</v>
      </c>
      <c r="T5685" t="s">
        <v>49073</v>
      </c>
      <c r="U5685" t="s">
        <v>54321</v>
      </c>
      <c r="V5685" t="s">
        <v>63184</v>
      </c>
      <c r="W5685" t="s">
        <v>43408</v>
      </c>
      <c r="X5685" t="s">
        <v>47309</v>
      </c>
    </row>
    <row r="5686" spans="1:24">
      <c r="A5686">
        <f>HYPERLINK("https://www.philgeps.gov.ph/GEPSNONPILOT/Tender/SplashBidNoticeAbstractUI.aspx?menuIndex=3&amp;refID=7194088&amp;Result=3","7194088")</f>
        <v>0</v>
      </c>
      <c r="B5686" t="s">
        <v>318</v>
      </c>
      <c r="C5686" t="s">
        <v>9188</v>
      </c>
      <c r="D5686" t="s">
        <v>19025</v>
      </c>
      <c r="E5686" t="s">
        <v>24116</v>
      </c>
      <c r="F5686" t="s">
        <v>32606</v>
      </c>
      <c r="G5686" t="s">
        <v>32614</v>
      </c>
      <c r="H5686" t="s">
        <v>14201</v>
      </c>
      <c r="I5686" t="s">
        <v>13131</v>
      </c>
      <c r="J5686" t="s">
        <v>33291</v>
      </c>
      <c r="K5686" t="s">
        <v>42624</v>
      </c>
      <c r="M5686" t="s">
        <v>43220</v>
      </c>
      <c r="N5686" t="s">
        <v>47304</v>
      </c>
      <c r="O5686" t="s">
        <v>47305</v>
      </c>
      <c r="P5686">
        <v>0</v>
      </c>
      <c r="Q5686">
        <v>2</v>
      </c>
      <c r="R5686" t="s">
        <v>47308</v>
      </c>
      <c r="S5686" t="s">
        <v>47429</v>
      </c>
      <c r="T5686" t="s">
        <v>49017</v>
      </c>
      <c r="U5686" t="s">
        <v>54322</v>
      </c>
      <c r="W5686" t="s">
        <v>43220</v>
      </c>
      <c r="X5686" t="s">
        <v>47309</v>
      </c>
    </row>
    <row r="5687" spans="1:24">
      <c r="A5687">
        <f>HYPERLINK("https://www.philgeps.gov.ph/GEPSNONPILOT/Tender/SplashBidNoticeAbstractUI.aspx?menuIndex=3&amp;refID=7194087&amp;Result=3","7194087")</f>
        <v>0</v>
      </c>
      <c r="B5687" t="s">
        <v>1944</v>
      </c>
      <c r="C5687" t="s">
        <v>9189</v>
      </c>
      <c r="D5687" t="s">
        <v>19007</v>
      </c>
      <c r="E5687" t="s">
        <v>24117</v>
      </c>
      <c r="F5687" t="s">
        <v>32606</v>
      </c>
      <c r="G5687" t="s">
        <v>32619</v>
      </c>
      <c r="H5687" t="s">
        <v>32623</v>
      </c>
      <c r="I5687" t="s">
        <v>17648</v>
      </c>
      <c r="J5687" t="s">
        <v>32981</v>
      </c>
      <c r="K5687" t="s">
        <v>42631</v>
      </c>
      <c r="M5687" t="s">
        <v>45005</v>
      </c>
      <c r="N5687" t="s">
        <v>47304</v>
      </c>
      <c r="O5687" t="s">
        <v>47305</v>
      </c>
      <c r="P5687">
        <v>0</v>
      </c>
      <c r="Q5687">
        <v>0</v>
      </c>
      <c r="R5687" t="s">
        <v>47308</v>
      </c>
      <c r="S5687" t="s">
        <v>47429</v>
      </c>
      <c r="T5687" t="s">
        <v>48997</v>
      </c>
      <c r="U5687" t="s">
        <v>54323</v>
      </c>
      <c r="V5687" t="s">
        <v>63185</v>
      </c>
      <c r="W5687" t="s">
        <v>45005</v>
      </c>
      <c r="X5687" t="s">
        <v>47309</v>
      </c>
    </row>
    <row r="5688" spans="1:24">
      <c r="A5688">
        <f>HYPERLINK("https://www.philgeps.gov.ph/GEPSNONPILOT/Tender/SplashBidNoticeAbstractUI.aspx?menuIndex=3&amp;refID=7194085&amp;Result=3","7194085")</f>
        <v>0</v>
      </c>
      <c r="B5688" t="s">
        <v>1944</v>
      </c>
      <c r="C5688" t="s">
        <v>9190</v>
      </c>
      <c r="D5688" t="s">
        <v>19007</v>
      </c>
      <c r="E5688" t="s">
        <v>24118</v>
      </c>
      <c r="F5688" t="s">
        <v>32606</v>
      </c>
      <c r="G5688" t="s">
        <v>32619</v>
      </c>
      <c r="H5688" t="s">
        <v>32623</v>
      </c>
      <c r="I5688" t="s">
        <v>17648</v>
      </c>
      <c r="J5688" t="s">
        <v>36478</v>
      </c>
      <c r="K5688" t="s">
        <v>42631</v>
      </c>
      <c r="M5688" t="s">
        <v>45005</v>
      </c>
      <c r="N5688" t="s">
        <v>47304</v>
      </c>
      <c r="O5688" t="s">
        <v>47305</v>
      </c>
      <c r="P5688">
        <v>0</v>
      </c>
      <c r="Q5688">
        <v>0</v>
      </c>
      <c r="R5688" t="s">
        <v>47308</v>
      </c>
      <c r="S5688" t="s">
        <v>47429</v>
      </c>
      <c r="T5688" t="s">
        <v>48997</v>
      </c>
      <c r="U5688" t="s">
        <v>54324</v>
      </c>
      <c r="V5688" t="s">
        <v>63186</v>
      </c>
      <c r="W5688" t="s">
        <v>45005</v>
      </c>
      <c r="X5688" t="s">
        <v>47309</v>
      </c>
    </row>
    <row r="5689" spans="1:24">
      <c r="A5689">
        <f>HYPERLINK("https://www.philgeps.gov.ph/GEPSNONPILOT/Tender/SplashBidNoticeAbstractUI.aspx?menuIndex=3&amp;refID=7194080&amp;Result=3","7194080")</f>
        <v>0</v>
      </c>
      <c r="B5689" t="s">
        <v>130</v>
      </c>
      <c r="C5689" t="s">
        <v>9191</v>
      </c>
      <c r="D5689" t="s">
        <v>19015</v>
      </c>
      <c r="E5689" t="s">
        <v>24119</v>
      </c>
      <c r="F5689" t="s">
        <v>32606</v>
      </c>
      <c r="G5689" t="s">
        <v>32614</v>
      </c>
      <c r="H5689" t="s">
        <v>14201</v>
      </c>
      <c r="I5689" t="s">
        <v>32680</v>
      </c>
      <c r="J5689" t="s">
        <v>36479</v>
      </c>
      <c r="K5689" t="s">
        <v>42623</v>
      </c>
      <c r="M5689" t="s">
        <v>43031</v>
      </c>
      <c r="N5689" t="s">
        <v>47304</v>
      </c>
      <c r="O5689" t="s">
        <v>47305</v>
      </c>
      <c r="P5689">
        <v>0</v>
      </c>
      <c r="Q5689">
        <v>3</v>
      </c>
      <c r="R5689" t="s">
        <v>47308</v>
      </c>
      <c r="S5689" t="s">
        <v>47429</v>
      </c>
      <c r="T5689" t="s">
        <v>49047</v>
      </c>
      <c r="U5689" t="s">
        <v>54325</v>
      </c>
      <c r="W5689" t="s">
        <v>43031</v>
      </c>
      <c r="X5689" t="s">
        <v>47309</v>
      </c>
    </row>
    <row r="5690" spans="1:24">
      <c r="A5690">
        <f>HYPERLINK("https://www.philgeps.gov.ph/GEPSNONPILOT/Tender/SplashBidNoticeAbstractUI.aspx?menuIndex=3&amp;refID=7194101&amp;Result=3","7194101")</f>
        <v>0</v>
      </c>
      <c r="B5690" t="s">
        <v>318</v>
      </c>
      <c r="C5690" t="s">
        <v>9192</v>
      </c>
      <c r="D5690" t="s">
        <v>19025</v>
      </c>
      <c r="E5690" t="s">
        <v>24120</v>
      </c>
      <c r="F5690" t="s">
        <v>32606</v>
      </c>
      <c r="G5690" t="s">
        <v>32614</v>
      </c>
      <c r="H5690" t="s">
        <v>14201</v>
      </c>
      <c r="I5690" t="s">
        <v>4678</v>
      </c>
      <c r="J5690" t="s">
        <v>36480</v>
      </c>
      <c r="K5690" t="s">
        <v>42624</v>
      </c>
      <c r="M5690" t="s">
        <v>43220</v>
      </c>
      <c r="N5690" t="s">
        <v>47304</v>
      </c>
      <c r="O5690" t="s">
        <v>47305</v>
      </c>
      <c r="P5690">
        <v>0</v>
      </c>
      <c r="Q5690">
        <v>7</v>
      </c>
      <c r="R5690" t="s">
        <v>47308</v>
      </c>
      <c r="S5690" t="s">
        <v>47429</v>
      </c>
      <c r="T5690" t="s">
        <v>49084</v>
      </c>
      <c r="U5690" t="s">
        <v>54326</v>
      </c>
      <c r="W5690" t="s">
        <v>43220</v>
      </c>
      <c r="X5690" t="s">
        <v>47309</v>
      </c>
    </row>
    <row r="5691" spans="1:24">
      <c r="A5691">
        <f>HYPERLINK("https://www.philgeps.gov.ph/GEPSNONPILOT/Tender/SplashBidNoticeAbstractUI.aspx?menuIndex=3&amp;refID=7194079&amp;Result=3","7194079")</f>
        <v>0</v>
      </c>
      <c r="B5691" t="s">
        <v>1945</v>
      </c>
      <c r="C5691" t="s">
        <v>9193</v>
      </c>
      <c r="D5691" t="s">
        <v>18988</v>
      </c>
      <c r="E5691" t="s">
        <v>24121</v>
      </c>
      <c r="F5691" t="s">
        <v>32606</v>
      </c>
      <c r="G5691" t="s">
        <v>32614</v>
      </c>
      <c r="H5691" t="s">
        <v>14201</v>
      </c>
      <c r="I5691" t="s">
        <v>4120</v>
      </c>
      <c r="J5691" t="s">
        <v>36481</v>
      </c>
      <c r="K5691" t="s">
        <v>42622</v>
      </c>
      <c r="M5691" t="s">
        <v>45006</v>
      </c>
      <c r="N5691" t="s">
        <v>47304</v>
      </c>
      <c r="O5691" t="s">
        <v>47305</v>
      </c>
      <c r="P5691">
        <v>0</v>
      </c>
      <c r="Q5691">
        <v>2</v>
      </c>
      <c r="R5691" t="s">
        <v>47308</v>
      </c>
      <c r="S5691" t="s">
        <v>47429</v>
      </c>
      <c r="T5691" t="s">
        <v>49072</v>
      </c>
      <c r="U5691" t="s">
        <v>54327</v>
      </c>
      <c r="W5691" t="s">
        <v>45006</v>
      </c>
      <c r="X5691" t="s">
        <v>47309</v>
      </c>
    </row>
    <row r="5692" spans="1:24">
      <c r="A5692">
        <f>HYPERLINK("https://www.philgeps.gov.ph/GEPSNONPILOT/Tender/SplashBidNoticeAbstractUI.aspx?menuIndex=3&amp;refID=7194078&amp;Result=3","7194078")</f>
        <v>0</v>
      </c>
      <c r="B5692" t="s">
        <v>1946</v>
      </c>
      <c r="C5692" t="s">
        <v>9193</v>
      </c>
      <c r="D5692" t="s">
        <v>18988</v>
      </c>
      <c r="E5692" t="s">
        <v>24121</v>
      </c>
      <c r="F5692" t="s">
        <v>32606</v>
      </c>
      <c r="G5692" t="s">
        <v>32614</v>
      </c>
      <c r="H5692" t="s">
        <v>14201</v>
      </c>
      <c r="I5692" t="s">
        <v>4120</v>
      </c>
      <c r="J5692" t="s">
        <v>36482</v>
      </c>
      <c r="K5692" t="s">
        <v>42622</v>
      </c>
      <c r="M5692" t="s">
        <v>45007</v>
      </c>
      <c r="N5692" t="s">
        <v>47304</v>
      </c>
      <c r="O5692" t="s">
        <v>47305</v>
      </c>
      <c r="P5692">
        <v>0</v>
      </c>
      <c r="Q5692">
        <v>1</v>
      </c>
      <c r="R5692" t="s">
        <v>47308</v>
      </c>
      <c r="S5692" t="s">
        <v>47429</v>
      </c>
      <c r="T5692" t="s">
        <v>49072</v>
      </c>
      <c r="U5692" t="s">
        <v>54328</v>
      </c>
      <c r="W5692" t="s">
        <v>45007</v>
      </c>
      <c r="X5692" t="s">
        <v>47309</v>
      </c>
    </row>
    <row r="5693" spans="1:24">
      <c r="A5693">
        <f>HYPERLINK("https://www.philgeps.gov.ph/GEPSNONPILOT/Tender/SplashBidNoticeAbstractUI.aspx?menuIndex=3&amp;refID=7194073&amp;Result=3","7194073")</f>
        <v>0</v>
      </c>
      <c r="B5693" t="s">
        <v>1937</v>
      </c>
      <c r="C5693" t="s">
        <v>9194</v>
      </c>
      <c r="D5693" t="s">
        <v>19065</v>
      </c>
      <c r="E5693" t="s">
        <v>24122</v>
      </c>
      <c r="F5693" t="s">
        <v>32606</v>
      </c>
      <c r="G5693" t="s">
        <v>32614</v>
      </c>
      <c r="H5693" t="s">
        <v>14201</v>
      </c>
      <c r="I5693" t="s">
        <v>5233</v>
      </c>
      <c r="J5693" t="s">
        <v>36483</v>
      </c>
      <c r="K5693" t="s">
        <v>42623</v>
      </c>
      <c r="M5693" t="s">
        <v>44998</v>
      </c>
      <c r="N5693" t="s">
        <v>47304</v>
      </c>
      <c r="O5693" t="s">
        <v>47305</v>
      </c>
      <c r="P5693">
        <v>0</v>
      </c>
      <c r="Q5693">
        <v>0</v>
      </c>
      <c r="R5693" t="s">
        <v>47308</v>
      </c>
      <c r="S5693" t="s">
        <v>47429</v>
      </c>
      <c r="T5693" t="s">
        <v>49002</v>
      </c>
      <c r="U5693" t="s">
        <v>54329</v>
      </c>
      <c r="W5693" t="s">
        <v>44998</v>
      </c>
      <c r="X5693" t="s">
        <v>47309</v>
      </c>
    </row>
    <row r="5694" spans="1:24">
      <c r="A5694">
        <f>HYPERLINK("https://www.philgeps.gov.ph/GEPSNONPILOT/Tender/SplashBidNoticeAbstractUI.aspx?menuIndex=3&amp;refID=7194105&amp;Result=3","7194105")</f>
        <v>0</v>
      </c>
      <c r="B5694" t="s">
        <v>318</v>
      </c>
      <c r="C5694" t="s">
        <v>9195</v>
      </c>
      <c r="D5694" t="s">
        <v>19025</v>
      </c>
      <c r="E5694" t="s">
        <v>24123</v>
      </c>
      <c r="F5694" t="s">
        <v>32606</v>
      </c>
      <c r="G5694" t="s">
        <v>32614</v>
      </c>
      <c r="H5694" t="s">
        <v>14201</v>
      </c>
      <c r="I5694" t="s">
        <v>32711</v>
      </c>
      <c r="J5694" t="s">
        <v>36484</v>
      </c>
      <c r="K5694" t="s">
        <v>42624</v>
      </c>
      <c r="M5694" t="s">
        <v>43220</v>
      </c>
      <c r="N5694" t="s">
        <v>47304</v>
      </c>
      <c r="O5694" t="s">
        <v>47305</v>
      </c>
      <c r="P5694">
        <v>0</v>
      </c>
      <c r="Q5694">
        <v>2</v>
      </c>
      <c r="R5694" t="s">
        <v>47308</v>
      </c>
      <c r="S5694" t="s">
        <v>47429</v>
      </c>
      <c r="T5694" t="s">
        <v>49084</v>
      </c>
      <c r="U5694" t="s">
        <v>54330</v>
      </c>
      <c r="W5694" t="s">
        <v>43220</v>
      </c>
      <c r="X5694" t="s">
        <v>47309</v>
      </c>
    </row>
    <row r="5695" spans="1:24">
      <c r="A5695">
        <f>HYPERLINK("https://www.philgeps.gov.ph/GEPSNONPILOT/Tender/SplashBidNoticeAbstractUI.aspx?menuIndex=3&amp;refID=7194049&amp;Result=3","7194049")</f>
        <v>0</v>
      </c>
      <c r="B5695" t="s">
        <v>1932</v>
      </c>
      <c r="C5695" t="s">
        <v>9196</v>
      </c>
      <c r="D5695" t="s">
        <v>19032</v>
      </c>
      <c r="E5695" t="s">
        <v>24124</v>
      </c>
      <c r="F5695" t="s">
        <v>32606</v>
      </c>
      <c r="G5695" t="s">
        <v>32613</v>
      </c>
      <c r="H5695" t="s">
        <v>32623</v>
      </c>
      <c r="I5695" t="s">
        <v>17648</v>
      </c>
      <c r="J5695" t="s">
        <v>36485</v>
      </c>
      <c r="K5695" t="s">
        <v>42759</v>
      </c>
      <c r="M5695" t="s">
        <v>44992</v>
      </c>
      <c r="N5695" t="s">
        <v>47304</v>
      </c>
      <c r="O5695" t="s">
        <v>47305</v>
      </c>
      <c r="P5695">
        <v>0</v>
      </c>
      <c r="Q5695">
        <v>0</v>
      </c>
      <c r="R5695" t="s">
        <v>47308</v>
      </c>
      <c r="S5695" t="s">
        <v>47429</v>
      </c>
      <c r="T5695" t="s">
        <v>49063</v>
      </c>
      <c r="U5695" t="s">
        <v>54331</v>
      </c>
      <c r="W5695" t="s">
        <v>44992</v>
      </c>
      <c r="X5695" t="s">
        <v>47309</v>
      </c>
    </row>
    <row r="5696" spans="1:24">
      <c r="A5696">
        <f>HYPERLINK("https://www.philgeps.gov.ph/GEPSNONPILOT/Tender/SplashBidNoticeAbstractUI.aspx?menuIndex=3&amp;refID=7194127&amp;Result=3","7194127")</f>
        <v>0</v>
      </c>
      <c r="B5696" t="s">
        <v>1947</v>
      </c>
      <c r="C5696" t="s">
        <v>9197</v>
      </c>
      <c r="D5696" t="s">
        <v>19011</v>
      </c>
      <c r="E5696" t="s">
        <v>22022</v>
      </c>
      <c r="F5696" t="s">
        <v>32606</v>
      </c>
      <c r="G5696" t="s">
        <v>32613</v>
      </c>
      <c r="H5696" t="s">
        <v>32623</v>
      </c>
      <c r="I5696" t="s">
        <v>17648</v>
      </c>
      <c r="J5696" t="s">
        <v>32981</v>
      </c>
      <c r="K5696" t="s">
        <v>42624</v>
      </c>
      <c r="M5696" t="s">
        <v>45008</v>
      </c>
      <c r="N5696" t="s">
        <v>47304</v>
      </c>
      <c r="O5696" t="s">
        <v>47305</v>
      </c>
      <c r="P5696">
        <v>0</v>
      </c>
      <c r="Q5696">
        <v>0</v>
      </c>
      <c r="R5696" t="s">
        <v>47308</v>
      </c>
      <c r="S5696" t="s">
        <v>47429</v>
      </c>
      <c r="T5696" t="s">
        <v>49324</v>
      </c>
      <c r="U5696" t="s">
        <v>54332</v>
      </c>
      <c r="W5696" t="s">
        <v>45008</v>
      </c>
      <c r="X5696" t="s">
        <v>47309</v>
      </c>
    </row>
    <row r="5697" spans="1:24">
      <c r="A5697">
        <f>HYPERLINK("https://www.philgeps.gov.ph/GEPSNONPILOT/Tender/SplashBidNoticeAbstractUI.aspx?menuIndex=3&amp;refID=7194064&amp;Result=3","7194064")</f>
        <v>0</v>
      </c>
      <c r="B5697" t="s">
        <v>1937</v>
      </c>
      <c r="C5697" t="s">
        <v>9198</v>
      </c>
      <c r="D5697" t="s">
        <v>19065</v>
      </c>
      <c r="E5697" t="s">
        <v>24125</v>
      </c>
      <c r="F5697" t="s">
        <v>32606</v>
      </c>
      <c r="G5697" t="s">
        <v>32614</v>
      </c>
      <c r="H5697" t="s">
        <v>14201</v>
      </c>
      <c r="I5697" t="s">
        <v>6931</v>
      </c>
      <c r="J5697" t="s">
        <v>36486</v>
      </c>
      <c r="K5697" t="s">
        <v>42623</v>
      </c>
      <c r="M5697" t="s">
        <v>44998</v>
      </c>
      <c r="N5697" t="s">
        <v>47304</v>
      </c>
      <c r="O5697" t="s">
        <v>47305</v>
      </c>
      <c r="P5697">
        <v>0</v>
      </c>
      <c r="Q5697">
        <v>0</v>
      </c>
      <c r="R5697" t="s">
        <v>47308</v>
      </c>
      <c r="S5697" t="s">
        <v>47429</v>
      </c>
      <c r="T5697" t="s">
        <v>49002</v>
      </c>
      <c r="U5697" t="s">
        <v>54333</v>
      </c>
      <c r="W5697" t="s">
        <v>44998</v>
      </c>
      <c r="X5697" t="s">
        <v>47309</v>
      </c>
    </row>
    <row r="5698" spans="1:24">
      <c r="A5698">
        <f>HYPERLINK("https://www.philgeps.gov.ph/GEPSNONPILOT/Tender/SplashBidNoticeAbstractUI.aspx?menuIndex=3&amp;refID=7194053&amp;Result=3","7194053")</f>
        <v>0</v>
      </c>
      <c r="B5698" t="s">
        <v>1948</v>
      </c>
      <c r="C5698" t="s">
        <v>9199</v>
      </c>
      <c r="D5698" t="s">
        <v>19058</v>
      </c>
      <c r="E5698" t="s">
        <v>24126</v>
      </c>
      <c r="F5698" t="s">
        <v>32606</v>
      </c>
      <c r="G5698" t="s">
        <v>32619</v>
      </c>
      <c r="H5698" t="s">
        <v>14201</v>
      </c>
      <c r="I5698" t="s">
        <v>7577</v>
      </c>
      <c r="J5698" t="s">
        <v>36487</v>
      </c>
      <c r="K5698" t="s">
        <v>42624</v>
      </c>
      <c r="M5698" t="s">
        <v>45009</v>
      </c>
      <c r="N5698" t="s">
        <v>47304</v>
      </c>
      <c r="O5698" t="s">
        <v>47305</v>
      </c>
      <c r="P5698">
        <v>0</v>
      </c>
      <c r="Q5698">
        <v>7</v>
      </c>
      <c r="R5698" t="s">
        <v>47308</v>
      </c>
      <c r="S5698" t="s">
        <v>47429</v>
      </c>
      <c r="T5698" t="s">
        <v>48997</v>
      </c>
      <c r="U5698" t="s">
        <v>49653</v>
      </c>
      <c r="W5698" t="s">
        <v>45009</v>
      </c>
      <c r="X5698" t="s">
        <v>47309</v>
      </c>
    </row>
    <row r="5699" spans="1:24">
      <c r="A5699">
        <f>HYPERLINK("https://www.philgeps.gov.ph/GEPSNONPILOT/Tender/SplashBidNoticeAbstractUI.aspx?menuIndex=3&amp;refID=7194124&amp;Result=3","7194124")</f>
        <v>0</v>
      </c>
      <c r="B5699" t="s">
        <v>1949</v>
      </c>
      <c r="C5699" t="s">
        <v>9200</v>
      </c>
      <c r="D5699" t="s">
        <v>18995</v>
      </c>
      <c r="E5699" t="s">
        <v>24127</v>
      </c>
      <c r="F5699" t="s">
        <v>32606</v>
      </c>
      <c r="G5699" t="s">
        <v>32613</v>
      </c>
      <c r="H5699" t="s">
        <v>14201</v>
      </c>
      <c r="I5699" t="s">
        <v>32650</v>
      </c>
      <c r="J5699" t="s">
        <v>36488</v>
      </c>
      <c r="K5699" t="s">
        <v>42632</v>
      </c>
      <c r="M5699" t="s">
        <v>45010</v>
      </c>
      <c r="N5699" t="s">
        <v>47304</v>
      </c>
      <c r="O5699" t="s">
        <v>47305</v>
      </c>
      <c r="P5699">
        <v>0</v>
      </c>
      <c r="Q5699">
        <v>3</v>
      </c>
      <c r="R5699" t="s">
        <v>47308</v>
      </c>
      <c r="S5699" t="s">
        <v>47429</v>
      </c>
      <c r="T5699" t="s">
        <v>49108</v>
      </c>
      <c r="U5699" t="s">
        <v>54334</v>
      </c>
      <c r="W5699" t="s">
        <v>45010</v>
      </c>
      <c r="X5699" t="s">
        <v>47309</v>
      </c>
    </row>
    <row r="5700" spans="1:24">
      <c r="A5700">
        <f>HYPERLINK("https://www.philgeps.gov.ph/GEPSNONPILOT/Tender/SplashBidNoticeAbstractUI.aspx?menuIndex=3&amp;refID=7194123&amp;Result=3","7194123")</f>
        <v>0</v>
      </c>
      <c r="B5700" t="s">
        <v>1950</v>
      </c>
      <c r="C5700" t="s">
        <v>9201</v>
      </c>
      <c r="D5700" t="s">
        <v>19016</v>
      </c>
      <c r="E5700" t="s">
        <v>24128</v>
      </c>
      <c r="F5700" t="s">
        <v>32606</v>
      </c>
      <c r="G5700" t="s">
        <v>32613</v>
      </c>
      <c r="H5700" t="s">
        <v>14201</v>
      </c>
      <c r="I5700" t="s">
        <v>32688</v>
      </c>
      <c r="J5700" t="s">
        <v>36489</v>
      </c>
      <c r="K5700" t="s">
        <v>42631</v>
      </c>
      <c r="M5700" t="s">
        <v>45011</v>
      </c>
      <c r="N5700" t="s">
        <v>47304</v>
      </c>
      <c r="O5700" t="s">
        <v>47305</v>
      </c>
      <c r="P5700">
        <v>0</v>
      </c>
      <c r="Q5700">
        <v>1</v>
      </c>
      <c r="R5700" t="s">
        <v>47308</v>
      </c>
      <c r="S5700" t="s">
        <v>47429</v>
      </c>
      <c r="T5700" t="s">
        <v>49117</v>
      </c>
      <c r="U5700" t="s">
        <v>54335</v>
      </c>
      <c r="W5700" t="s">
        <v>45011</v>
      </c>
      <c r="X5700" t="s">
        <v>47309</v>
      </c>
    </row>
    <row r="5701" spans="1:24">
      <c r="A5701">
        <f>HYPERLINK("https://www.philgeps.gov.ph/GEPSNONPILOT/Tender/SplashBidNoticeAbstractUI.aspx?menuIndex=3&amp;refID=7194122&amp;Result=3","7194122")</f>
        <v>0</v>
      </c>
      <c r="B5701" t="s">
        <v>1947</v>
      </c>
      <c r="C5701" t="s">
        <v>9202</v>
      </c>
      <c r="D5701" t="s">
        <v>19011</v>
      </c>
      <c r="E5701" t="s">
        <v>24129</v>
      </c>
      <c r="F5701" t="s">
        <v>32606</v>
      </c>
      <c r="G5701" t="s">
        <v>32613</v>
      </c>
      <c r="H5701" t="s">
        <v>32623</v>
      </c>
      <c r="I5701" t="s">
        <v>17648</v>
      </c>
      <c r="J5701" t="s">
        <v>32789</v>
      </c>
      <c r="K5701" t="s">
        <v>42624</v>
      </c>
      <c r="M5701" t="s">
        <v>45008</v>
      </c>
      <c r="N5701" t="s">
        <v>47304</v>
      </c>
      <c r="O5701" t="s">
        <v>47305</v>
      </c>
      <c r="P5701">
        <v>0</v>
      </c>
      <c r="Q5701">
        <v>0</v>
      </c>
      <c r="R5701" t="s">
        <v>47308</v>
      </c>
      <c r="S5701" t="s">
        <v>47429</v>
      </c>
      <c r="T5701" t="s">
        <v>49261</v>
      </c>
      <c r="U5701" t="s">
        <v>54336</v>
      </c>
      <c r="W5701" t="s">
        <v>45008</v>
      </c>
      <c r="X5701" t="s">
        <v>47309</v>
      </c>
    </row>
    <row r="5702" spans="1:24">
      <c r="A5702">
        <f>HYPERLINK("https://www.philgeps.gov.ph/GEPSNONPILOT/Tender/SplashBidNoticeAbstractUI.aspx?menuIndex=3&amp;refID=7194121&amp;Result=3","7194121")</f>
        <v>0</v>
      </c>
      <c r="B5702" t="s">
        <v>1950</v>
      </c>
      <c r="C5702" t="s">
        <v>9203</v>
      </c>
      <c r="D5702" t="s">
        <v>19016</v>
      </c>
      <c r="E5702" t="s">
        <v>24130</v>
      </c>
      <c r="F5702" t="s">
        <v>32606</v>
      </c>
      <c r="G5702" t="s">
        <v>32613</v>
      </c>
      <c r="H5702" t="s">
        <v>14201</v>
      </c>
      <c r="I5702" t="s">
        <v>4114</v>
      </c>
      <c r="J5702" t="s">
        <v>33608</v>
      </c>
      <c r="K5702" t="s">
        <v>42631</v>
      </c>
      <c r="M5702" t="s">
        <v>45011</v>
      </c>
      <c r="N5702" t="s">
        <v>47304</v>
      </c>
      <c r="O5702" t="s">
        <v>47305</v>
      </c>
      <c r="P5702">
        <v>0</v>
      </c>
      <c r="Q5702">
        <v>0</v>
      </c>
      <c r="R5702" t="s">
        <v>47308</v>
      </c>
      <c r="S5702" t="s">
        <v>47429</v>
      </c>
      <c r="T5702" t="s">
        <v>49237</v>
      </c>
      <c r="U5702" t="s">
        <v>54335</v>
      </c>
      <c r="W5702" t="s">
        <v>45011</v>
      </c>
      <c r="X5702" t="s">
        <v>47309</v>
      </c>
    </row>
    <row r="5703" spans="1:24">
      <c r="A5703">
        <f>HYPERLINK("https://www.philgeps.gov.ph/GEPSNONPILOT/Tender/SplashBidNoticeAbstractUI.aspx?menuIndex=3&amp;refID=7194119&amp;Result=3","7194119")</f>
        <v>0</v>
      </c>
      <c r="B5703" t="s">
        <v>1950</v>
      </c>
      <c r="C5703" t="s">
        <v>9204</v>
      </c>
      <c r="D5703" t="s">
        <v>19016</v>
      </c>
      <c r="E5703" t="s">
        <v>24131</v>
      </c>
      <c r="F5703" t="s">
        <v>32606</v>
      </c>
      <c r="G5703" t="s">
        <v>32613</v>
      </c>
      <c r="H5703" t="s">
        <v>14201</v>
      </c>
      <c r="I5703" t="s">
        <v>4120</v>
      </c>
      <c r="J5703" t="s">
        <v>36490</v>
      </c>
      <c r="K5703" t="s">
        <v>42631</v>
      </c>
      <c r="M5703" t="s">
        <v>45011</v>
      </c>
      <c r="N5703" t="s">
        <v>47304</v>
      </c>
      <c r="O5703" t="s">
        <v>47305</v>
      </c>
      <c r="P5703">
        <v>0</v>
      </c>
      <c r="Q5703">
        <v>2</v>
      </c>
      <c r="R5703" t="s">
        <v>47308</v>
      </c>
      <c r="S5703" t="s">
        <v>47429</v>
      </c>
      <c r="T5703" t="s">
        <v>49087</v>
      </c>
      <c r="U5703" t="s">
        <v>54335</v>
      </c>
      <c r="W5703" t="s">
        <v>45011</v>
      </c>
      <c r="X5703" t="s">
        <v>47309</v>
      </c>
    </row>
    <row r="5704" spans="1:24">
      <c r="A5704">
        <f>HYPERLINK("https://www.philgeps.gov.ph/GEPSNONPILOT/Tender/SplashBidNoticeAbstractUI.aspx?menuIndex=3&amp;refID=7194057&amp;Result=3","7194057")</f>
        <v>0</v>
      </c>
      <c r="B5704" t="s">
        <v>1881</v>
      </c>
      <c r="C5704" t="s">
        <v>9205</v>
      </c>
      <c r="D5704" t="s">
        <v>18997</v>
      </c>
      <c r="E5704" t="s">
        <v>24132</v>
      </c>
      <c r="F5704" t="s">
        <v>32606</v>
      </c>
      <c r="G5704" t="s">
        <v>32613</v>
      </c>
      <c r="H5704" t="s">
        <v>14201</v>
      </c>
      <c r="I5704" t="s">
        <v>32706</v>
      </c>
      <c r="J5704" t="s">
        <v>36491</v>
      </c>
      <c r="K5704" t="s">
        <v>42622</v>
      </c>
      <c r="M5704" t="s">
        <v>44939</v>
      </c>
      <c r="N5704" t="s">
        <v>47304</v>
      </c>
      <c r="O5704" t="s">
        <v>47305</v>
      </c>
      <c r="P5704">
        <v>0</v>
      </c>
      <c r="Q5704">
        <v>1</v>
      </c>
      <c r="R5704" t="s">
        <v>47308</v>
      </c>
      <c r="S5704" t="s">
        <v>47429</v>
      </c>
      <c r="T5704" t="s">
        <v>49032</v>
      </c>
      <c r="U5704" t="s">
        <v>54081</v>
      </c>
      <c r="V5704" t="s">
        <v>63157</v>
      </c>
      <c r="W5704" t="s">
        <v>44939</v>
      </c>
      <c r="X5704" t="s">
        <v>47309</v>
      </c>
    </row>
    <row r="5705" spans="1:24">
      <c r="A5705">
        <f>HYPERLINK("https://www.philgeps.gov.ph/GEPSNONPILOT/Tender/SplashBidNoticeAbstractUI.aspx?menuIndex=3&amp;refID=7194153&amp;Result=3","7194153")</f>
        <v>0</v>
      </c>
      <c r="B5705" t="s">
        <v>1951</v>
      </c>
      <c r="C5705" t="s">
        <v>9206</v>
      </c>
      <c r="D5705" t="s">
        <v>19007</v>
      </c>
      <c r="E5705" t="s">
        <v>24133</v>
      </c>
      <c r="F5705" t="s">
        <v>32606</v>
      </c>
      <c r="G5705" t="s">
        <v>32613</v>
      </c>
      <c r="H5705" t="s">
        <v>32623</v>
      </c>
      <c r="I5705" t="s">
        <v>17648</v>
      </c>
      <c r="J5705" t="s">
        <v>36492</v>
      </c>
      <c r="K5705" t="s">
        <v>42646</v>
      </c>
      <c r="M5705" t="s">
        <v>45012</v>
      </c>
      <c r="N5705" t="s">
        <v>47304</v>
      </c>
      <c r="O5705" t="s">
        <v>47305</v>
      </c>
      <c r="P5705">
        <v>0</v>
      </c>
      <c r="Q5705">
        <v>5</v>
      </c>
      <c r="R5705" t="s">
        <v>47308</v>
      </c>
      <c r="S5705" t="s">
        <v>47429</v>
      </c>
      <c r="T5705" t="s">
        <v>49108</v>
      </c>
      <c r="U5705" t="s">
        <v>54337</v>
      </c>
      <c r="W5705" t="s">
        <v>45012</v>
      </c>
      <c r="X5705" t="s">
        <v>47309</v>
      </c>
    </row>
    <row r="5706" spans="1:24">
      <c r="A5706">
        <f>HYPERLINK("https://www.philgeps.gov.ph/GEPSNONPILOT/Tender/SplashBidNoticeAbstractUI.aspx?menuIndex=3&amp;refID=7194150&amp;Result=3","7194150")</f>
        <v>0</v>
      </c>
      <c r="B5706" t="s">
        <v>1952</v>
      </c>
      <c r="C5706" t="s">
        <v>9207</v>
      </c>
      <c r="D5706" t="s">
        <v>19035</v>
      </c>
      <c r="E5706" t="s">
        <v>24134</v>
      </c>
      <c r="F5706" t="s">
        <v>32606</v>
      </c>
      <c r="G5706" t="s">
        <v>32617</v>
      </c>
      <c r="H5706" t="s">
        <v>14201</v>
      </c>
      <c r="I5706" t="s">
        <v>4114</v>
      </c>
      <c r="J5706" t="s">
        <v>32913</v>
      </c>
      <c r="K5706" t="s">
        <v>42622</v>
      </c>
      <c r="M5706" t="s">
        <v>45013</v>
      </c>
      <c r="N5706" t="s">
        <v>47304</v>
      </c>
      <c r="O5706" t="s">
        <v>47305</v>
      </c>
      <c r="P5706">
        <v>0</v>
      </c>
      <c r="Q5706">
        <v>3</v>
      </c>
      <c r="R5706" t="s">
        <v>47308</v>
      </c>
      <c r="S5706" t="s">
        <v>47429</v>
      </c>
      <c r="T5706" t="s">
        <v>49015</v>
      </c>
      <c r="U5706" t="s">
        <v>54338</v>
      </c>
      <c r="W5706" t="s">
        <v>45013</v>
      </c>
      <c r="X5706" t="s">
        <v>47309</v>
      </c>
    </row>
    <row r="5707" spans="1:24">
      <c r="A5707">
        <f>HYPERLINK("https://www.philgeps.gov.ph/GEPSNONPILOT/Tender/SplashBidNoticeAbstractUI.aspx?menuIndex=3&amp;refID=7194126&amp;Result=3","7194126")</f>
        <v>0</v>
      </c>
      <c r="B5707" t="s">
        <v>1953</v>
      </c>
      <c r="C5707" t="s">
        <v>4758</v>
      </c>
      <c r="D5707" t="s">
        <v>19002</v>
      </c>
      <c r="E5707" t="s">
        <v>24135</v>
      </c>
      <c r="F5707" t="s">
        <v>32606</v>
      </c>
      <c r="G5707" t="s">
        <v>32614</v>
      </c>
      <c r="H5707" t="s">
        <v>14201</v>
      </c>
      <c r="I5707" t="s">
        <v>4120</v>
      </c>
      <c r="J5707" t="s">
        <v>36493</v>
      </c>
      <c r="K5707" t="s">
        <v>42624</v>
      </c>
      <c r="M5707" t="s">
        <v>45014</v>
      </c>
      <c r="N5707" t="s">
        <v>47304</v>
      </c>
      <c r="O5707" t="s">
        <v>47305</v>
      </c>
      <c r="P5707">
        <v>0</v>
      </c>
      <c r="Q5707">
        <v>0</v>
      </c>
      <c r="R5707" t="s">
        <v>47308</v>
      </c>
      <c r="S5707" t="s">
        <v>47429</v>
      </c>
      <c r="T5707" t="s">
        <v>48980</v>
      </c>
      <c r="U5707" t="s">
        <v>54339</v>
      </c>
      <c r="W5707" t="s">
        <v>45014</v>
      </c>
      <c r="X5707" t="s">
        <v>47309</v>
      </c>
    </row>
    <row r="5708" spans="1:24">
      <c r="A5708">
        <f>HYPERLINK("https://www.philgeps.gov.ph/GEPSNONPILOT/Tender/SplashBidNoticeAbstractUI.aspx?menuIndex=3&amp;refID=7194149&amp;Result=3","7194149")</f>
        <v>0</v>
      </c>
      <c r="B5708" t="s">
        <v>1954</v>
      </c>
      <c r="C5708" t="s">
        <v>9208</v>
      </c>
      <c r="E5708" t="s">
        <v>24136</v>
      </c>
      <c r="F5708" t="s">
        <v>32606</v>
      </c>
      <c r="G5708" t="s">
        <v>32614</v>
      </c>
      <c r="H5708" t="s">
        <v>14201</v>
      </c>
      <c r="I5708" t="s">
        <v>32638</v>
      </c>
      <c r="J5708" t="s">
        <v>33103</v>
      </c>
      <c r="K5708" t="s">
        <v>42624</v>
      </c>
      <c r="M5708" t="s">
        <v>45015</v>
      </c>
      <c r="N5708" t="s">
        <v>47304</v>
      </c>
      <c r="O5708" t="s">
        <v>47305</v>
      </c>
      <c r="P5708">
        <v>0</v>
      </c>
      <c r="Q5708">
        <v>5</v>
      </c>
      <c r="R5708" t="s">
        <v>47308</v>
      </c>
      <c r="S5708" t="s">
        <v>47429</v>
      </c>
      <c r="T5708" t="s">
        <v>49000</v>
      </c>
      <c r="U5708" t="s">
        <v>54340</v>
      </c>
      <c r="W5708" t="s">
        <v>45015</v>
      </c>
      <c r="X5708" t="s">
        <v>47309</v>
      </c>
    </row>
    <row r="5709" spans="1:24">
      <c r="A5709">
        <f>HYPERLINK("https://www.philgeps.gov.ph/GEPSNONPILOT/Tender/SplashBidNoticeAbstractUI.aspx?menuIndex=3&amp;refID=7194144&amp;Result=3","7194144")</f>
        <v>0</v>
      </c>
      <c r="B5709" t="s">
        <v>1937</v>
      </c>
      <c r="C5709" t="s">
        <v>9209</v>
      </c>
      <c r="D5709" t="s">
        <v>19065</v>
      </c>
      <c r="E5709" t="s">
        <v>24137</v>
      </c>
      <c r="F5709" t="s">
        <v>32606</v>
      </c>
      <c r="G5709" t="s">
        <v>32614</v>
      </c>
      <c r="H5709" t="s">
        <v>14201</v>
      </c>
      <c r="I5709" t="s">
        <v>6931</v>
      </c>
      <c r="J5709" t="s">
        <v>36494</v>
      </c>
      <c r="K5709" t="s">
        <v>42623</v>
      </c>
      <c r="M5709" t="s">
        <v>44998</v>
      </c>
      <c r="N5709" t="s">
        <v>47304</v>
      </c>
      <c r="O5709" t="s">
        <v>47305</v>
      </c>
      <c r="P5709">
        <v>0</v>
      </c>
      <c r="Q5709">
        <v>0</v>
      </c>
      <c r="R5709" t="s">
        <v>47308</v>
      </c>
      <c r="S5709" t="s">
        <v>47429</v>
      </c>
      <c r="T5709" t="s">
        <v>48976</v>
      </c>
      <c r="U5709" t="s">
        <v>54341</v>
      </c>
      <c r="W5709" t="s">
        <v>44998</v>
      </c>
      <c r="X5709" t="s">
        <v>47309</v>
      </c>
    </row>
    <row r="5710" spans="1:24">
      <c r="A5710">
        <f>HYPERLINK("https://www.philgeps.gov.ph/GEPSNONPILOT/Tender/SplashBidNoticeAbstractUI.aspx?menuIndex=3&amp;refID=7194076&amp;Result=3","7194076")</f>
        <v>0</v>
      </c>
      <c r="B5710" t="s">
        <v>1937</v>
      </c>
      <c r="C5710" t="s">
        <v>9210</v>
      </c>
      <c r="D5710" t="s">
        <v>19065</v>
      </c>
      <c r="E5710" t="s">
        <v>24138</v>
      </c>
      <c r="F5710" t="s">
        <v>32606</v>
      </c>
      <c r="G5710" t="s">
        <v>32614</v>
      </c>
      <c r="H5710" t="s">
        <v>14201</v>
      </c>
      <c r="I5710" t="s">
        <v>32654</v>
      </c>
      <c r="J5710" t="s">
        <v>32999</v>
      </c>
      <c r="K5710" t="s">
        <v>42623</v>
      </c>
      <c r="M5710" t="s">
        <v>44998</v>
      </c>
      <c r="N5710" t="s">
        <v>47304</v>
      </c>
      <c r="O5710" t="s">
        <v>47305</v>
      </c>
      <c r="P5710">
        <v>0</v>
      </c>
      <c r="Q5710">
        <v>0</v>
      </c>
      <c r="R5710" t="s">
        <v>47308</v>
      </c>
      <c r="S5710" t="s">
        <v>47429</v>
      </c>
      <c r="T5710" t="s">
        <v>49002</v>
      </c>
      <c r="U5710" t="s">
        <v>54342</v>
      </c>
      <c r="W5710" t="s">
        <v>44998</v>
      </c>
      <c r="X5710" t="s">
        <v>47309</v>
      </c>
    </row>
    <row r="5711" spans="1:24">
      <c r="A5711">
        <f>HYPERLINK("https://www.philgeps.gov.ph/GEPSNONPILOT/Tender/SplashBidNoticeAbstractUI.aspx?menuIndex=3&amp;refID=7194152&amp;Result=3","7194152")</f>
        <v>0</v>
      </c>
      <c r="B5711" t="s">
        <v>1225</v>
      </c>
      <c r="C5711" t="s">
        <v>9211</v>
      </c>
      <c r="D5711" t="s">
        <v>19038</v>
      </c>
      <c r="E5711" t="s">
        <v>24139</v>
      </c>
      <c r="F5711" t="s">
        <v>32606</v>
      </c>
      <c r="G5711" t="s">
        <v>32614</v>
      </c>
      <c r="H5711" t="s">
        <v>14201</v>
      </c>
      <c r="I5711" t="s">
        <v>6931</v>
      </c>
      <c r="J5711" t="s">
        <v>36495</v>
      </c>
      <c r="K5711" t="s">
        <v>42624</v>
      </c>
      <c r="M5711" t="s">
        <v>44869</v>
      </c>
      <c r="N5711" t="s">
        <v>47304</v>
      </c>
      <c r="O5711" t="s">
        <v>47305</v>
      </c>
      <c r="P5711">
        <v>0</v>
      </c>
      <c r="Q5711">
        <v>1</v>
      </c>
      <c r="R5711" t="s">
        <v>47308</v>
      </c>
      <c r="S5711" t="s">
        <v>47429</v>
      </c>
      <c r="T5711" t="s">
        <v>48987</v>
      </c>
      <c r="U5711" t="s">
        <v>54343</v>
      </c>
      <c r="W5711" t="s">
        <v>64467</v>
      </c>
      <c r="X5711" t="s">
        <v>47309</v>
      </c>
    </row>
    <row r="5712" spans="1:24">
      <c r="A5712">
        <f>HYPERLINK("https://www.philgeps.gov.ph/GEPSNONPILOT/Tender/SplashBidNoticeAbstractUI.aspx?menuIndex=3&amp;refID=7194142&amp;Result=3","7194142")</f>
        <v>0</v>
      </c>
      <c r="B5712" t="s">
        <v>1954</v>
      </c>
      <c r="C5712" t="s">
        <v>9212</v>
      </c>
      <c r="E5712" t="s">
        <v>24140</v>
      </c>
      <c r="F5712" t="s">
        <v>32606</v>
      </c>
      <c r="G5712" t="s">
        <v>32614</v>
      </c>
      <c r="H5712" t="s">
        <v>14201</v>
      </c>
      <c r="I5712" t="s">
        <v>32638</v>
      </c>
      <c r="J5712" t="s">
        <v>32981</v>
      </c>
      <c r="K5712" t="s">
        <v>42624</v>
      </c>
      <c r="M5712" t="s">
        <v>45015</v>
      </c>
      <c r="N5712" t="s">
        <v>47304</v>
      </c>
      <c r="O5712" t="s">
        <v>47305</v>
      </c>
      <c r="P5712">
        <v>0</v>
      </c>
      <c r="Q5712">
        <v>3</v>
      </c>
      <c r="R5712" t="s">
        <v>47308</v>
      </c>
      <c r="S5712" t="s">
        <v>47429</v>
      </c>
      <c r="T5712" t="s">
        <v>49000</v>
      </c>
      <c r="U5712" t="s">
        <v>54340</v>
      </c>
      <c r="W5712" t="s">
        <v>45015</v>
      </c>
      <c r="X5712" t="s">
        <v>47309</v>
      </c>
    </row>
    <row r="5713" spans="1:24">
      <c r="A5713">
        <f>HYPERLINK("https://www.philgeps.gov.ph/GEPSNONPILOT/Tender/SplashBidNoticeAbstractUI.aspx?menuIndex=3&amp;refID=7194148&amp;Result=3","7194148")</f>
        <v>0</v>
      </c>
      <c r="B5713" t="s">
        <v>1951</v>
      </c>
      <c r="C5713" t="s">
        <v>9213</v>
      </c>
      <c r="D5713" t="s">
        <v>19007</v>
      </c>
      <c r="E5713" t="s">
        <v>24141</v>
      </c>
      <c r="F5713" t="s">
        <v>32606</v>
      </c>
      <c r="G5713" t="s">
        <v>32613</v>
      </c>
      <c r="H5713" t="s">
        <v>32623</v>
      </c>
      <c r="I5713" t="s">
        <v>17648</v>
      </c>
      <c r="J5713" t="s">
        <v>36496</v>
      </c>
      <c r="K5713" t="s">
        <v>42648</v>
      </c>
      <c r="M5713" t="s">
        <v>45012</v>
      </c>
      <c r="N5713" t="s">
        <v>47304</v>
      </c>
      <c r="O5713" t="s">
        <v>47305</v>
      </c>
      <c r="P5713">
        <v>0</v>
      </c>
      <c r="Q5713">
        <v>4</v>
      </c>
      <c r="R5713" t="s">
        <v>47308</v>
      </c>
      <c r="S5713" t="s">
        <v>47429</v>
      </c>
      <c r="T5713" t="s">
        <v>49108</v>
      </c>
      <c r="U5713" t="s">
        <v>54344</v>
      </c>
      <c r="W5713" t="s">
        <v>45012</v>
      </c>
      <c r="X5713" t="s">
        <v>47309</v>
      </c>
    </row>
    <row r="5714" spans="1:24">
      <c r="A5714">
        <f>HYPERLINK("https://www.philgeps.gov.ph/GEPSNONPILOT/Tender/SplashBidNoticeAbstractUI.aspx?menuIndex=3&amp;refID=7194140&amp;Result=3","7194140")</f>
        <v>0</v>
      </c>
      <c r="B5714" t="s">
        <v>1225</v>
      </c>
      <c r="C5714" t="s">
        <v>9214</v>
      </c>
      <c r="D5714" t="s">
        <v>19038</v>
      </c>
      <c r="E5714" t="s">
        <v>24142</v>
      </c>
      <c r="F5714" t="s">
        <v>32606</v>
      </c>
      <c r="G5714" t="s">
        <v>32614</v>
      </c>
      <c r="H5714" t="s">
        <v>14201</v>
      </c>
      <c r="I5714" t="s">
        <v>6931</v>
      </c>
      <c r="J5714" t="s">
        <v>36497</v>
      </c>
      <c r="K5714" t="s">
        <v>42624</v>
      </c>
      <c r="M5714" t="s">
        <v>44869</v>
      </c>
      <c r="N5714" t="s">
        <v>47304</v>
      </c>
      <c r="O5714" t="s">
        <v>47305</v>
      </c>
      <c r="P5714">
        <v>0</v>
      </c>
      <c r="Q5714">
        <v>1</v>
      </c>
      <c r="R5714" t="s">
        <v>47308</v>
      </c>
      <c r="S5714" t="s">
        <v>47429</v>
      </c>
      <c r="T5714" t="s">
        <v>48987</v>
      </c>
      <c r="U5714" t="s">
        <v>54345</v>
      </c>
      <c r="V5714" t="s">
        <v>63187</v>
      </c>
      <c r="W5714" t="s">
        <v>64467</v>
      </c>
      <c r="X5714" t="s">
        <v>47309</v>
      </c>
    </row>
    <row r="5715" spans="1:24">
      <c r="A5715">
        <f>HYPERLINK("https://www.philgeps.gov.ph/GEPSNONPILOT/Tender/SplashBidNoticeAbstractUI.aspx?menuIndex=3&amp;refID=7194139&amp;Result=3","7194139")</f>
        <v>0</v>
      </c>
      <c r="B5715" t="s">
        <v>1955</v>
      </c>
      <c r="C5715" t="s">
        <v>9215</v>
      </c>
      <c r="D5715" t="s">
        <v>19039</v>
      </c>
      <c r="E5715" t="s">
        <v>24143</v>
      </c>
      <c r="F5715" t="s">
        <v>32606</v>
      </c>
      <c r="G5715" t="s">
        <v>32613</v>
      </c>
      <c r="H5715" t="s">
        <v>14201</v>
      </c>
      <c r="I5715" t="s">
        <v>4678</v>
      </c>
      <c r="J5715" t="s">
        <v>32949</v>
      </c>
      <c r="K5715" t="s">
        <v>42631</v>
      </c>
      <c r="M5715" t="s">
        <v>45016</v>
      </c>
      <c r="N5715" t="s">
        <v>47304</v>
      </c>
      <c r="O5715" t="s">
        <v>47305</v>
      </c>
      <c r="P5715">
        <v>0</v>
      </c>
      <c r="Q5715">
        <v>1</v>
      </c>
      <c r="R5715" t="s">
        <v>47308</v>
      </c>
      <c r="S5715" t="s">
        <v>47429</v>
      </c>
      <c r="T5715" t="s">
        <v>48972</v>
      </c>
      <c r="U5715" t="s">
        <v>54346</v>
      </c>
      <c r="V5715" t="s">
        <v>63188</v>
      </c>
      <c r="W5715" t="s">
        <v>45016</v>
      </c>
      <c r="X5715" t="s">
        <v>47309</v>
      </c>
    </row>
    <row r="5716" spans="1:24">
      <c r="A5716">
        <f>HYPERLINK("https://www.philgeps.gov.ph/GEPSNONPILOT/Tender/SplashBidNoticeAbstractUI.aspx?menuIndex=3&amp;refID=7194020&amp;Result=3","7194020")</f>
        <v>0</v>
      </c>
      <c r="B5716" t="s">
        <v>1818</v>
      </c>
      <c r="C5716" t="s">
        <v>9216</v>
      </c>
      <c r="D5716" t="s">
        <v>19041</v>
      </c>
      <c r="E5716" t="s">
        <v>24144</v>
      </c>
      <c r="F5716" t="s">
        <v>32606</v>
      </c>
      <c r="G5716" t="s">
        <v>32613</v>
      </c>
      <c r="H5716" t="s">
        <v>32623</v>
      </c>
      <c r="I5716" t="s">
        <v>17648</v>
      </c>
      <c r="J5716" t="s">
        <v>36498</v>
      </c>
      <c r="K5716" t="s">
        <v>42639</v>
      </c>
      <c r="M5716" t="s">
        <v>44859</v>
      </c>
      <c r="N5716" t="s">
        <v>47304</v>
      </c>
      <c r="O5716" t="s">
        <v>47305</v>
      </c>
      <c r="P5716">
        <v>0</v>
      </c>
      <c r="Q5716">
        <v>0</v>
      </c>
      <c r="R5716" t="s">
        <v>47308</v>
      </c>
      <c r="S5716" t="s">
        <v>47429</v>
      </c>
      <c r="T5716" t="s">
        <v>49251</v>
      </c>
      <c r="U5716" t="s">
        <v>54347</v>
      </c>
      <c r="W5716" t="s">
        <v>44859</v>
      </c>
      <c r="X5716" t="s">
        <v>47310</v>
      </c>
    </row>
    <row r="5717" spans="1:24">
      <c r="A5717">
        <f>HYPERLINK("https://www.philgeps.gov.ph/GEPSNONPILOT/Tender/SplashBidNoticeAbstractUI.aspx?menuIndex=3&amp;refID=7194137&amp;Result=3","7194137")</f>
        <v>0</v>
      </c>
      <c r="B5717" t="s">
        <v>1951</v>
      </c>
      <c r="C5717" t="s">
        <v>9217</v>
      </c>
      <c r="D5717" t="s">
        <v>19007</v>
      </c>
      <c r="E5717" t="s">
        <v>24145</v>
      </c>
      <c r="F5717" t="s">
        <v>32606</v>
      </c>
      <c r="G5717" t="s">
        <v>32613</v>
      </c>
      <c r="H5717" t="s">
        <v>32623</v>
      </c>
      <c r="I5717" t="s">
        <v>17648</v>
      </c>
      <c r="J5717" t="s">
        <v>36499</v>
      </c>
      <c r="K5717" t="s">
        <v>42648</v>
      </c>
      <c r="M5717" t="s">
        <v>45012</v>
      </c>
      <c r="N5717" t="s">
        <v>47304</v>
      </c>
      <c r="O5717" t="s">
        <v>47305</v>
      </c>
      <c r="P5717">
        <v>0</v>
      </c>
      <c r="Q5717">
        <v>4</v>
      </c>
      <c r="R5717" t="s">
        <v>47308</v>
      </c>
      <c r="S5717" t="s">
        <v>47429</v>
      </c>
      <c r="T5717" t="s">
        <v>49108</v>
      </c>
      <c r="U5717" t="s">
        <v>54348</v>
      </c>
      <c r="W5717" t="s">
        <v>45012</v>
      </c>
      <c r="X5717" t="s">
        <v>47309</v>
      </c>
    </row>
    <row r="5718" spans="1:24">
      <c r="A5718">
        <f>HYPERLINK("https://www.philgeps.gov.ph/GEPSNONPILOT/Tender/SplashBidNoticeAbstractUI.aspx?menuIndex=3&amp;refID=7194143&amp;Result=3","7194143")</f>
        <v>0</v>
      </c>
      <c r="B5718" t="s">
        <v>1951</v>
      </c>
      <c r="C5718" t="s">
        <v>9218</v>
      </c>
      <c r="D5718" t="s">
        <v>19007</v>
      </c>
      <c r="E5718" t="s">
        <v>24146</v>
      </c>
      <c r="F5718" t="s">
        <v>32606</v>
      </c>
      <c r="G5718" t="s">
        <v>32613</v>
      </c>
      <c r="H5718" t="s">
        <v>32623</v>
      </c>
      <c r="I5718" t="s">
        <v>17648</v>
      </c>
      <c r="J5718" t="s">
        <v>36500</v>
      </c>
      <c r="K5718" t="s">
        <v>42646</v>
      </c>
      <c r="M5718" t="s">
        <v>45012</v>
      </c>
      <c r="N5718" t="s">
        <v>47304</v>
      </c>
      <c r="O5718" t="s">
        <v>47305</v>
      </c>
      <c r="P5718">
        <v>0</v>
      </c>
      <c r="Q5718">
        <v>5</v>
      </c>
      <c r="R5718" t="s">
        <v>47308</v>
      </c>
      <c r="S5718" t="s">
        <v>47429</v>
      </c>
      <c r="T5718" t="s">
        <v>49108</v>
      </c>
      <c r="U5718" t="s">
        <v>54349</v>
      </c>
      <c r="W5718" t="s">
        <v>45012</v>
      </c>
      <c r="X5718" t="s">
        <v>47309</v>
      </c>
    </row>
    <row r="5719" spans="1:24">
      <c r="A5719">
        <f>HYPERLINK("https://www.philgeps.gov.ph/GEPSNONPILOT/Tender/SplashBidNoticeAbstractUI.aspx?menuIndex=3&amp;refID=7194183&amp;Result=3","7194183")</f>
        <v>0</v>
      </c>
      <c r="B5719" t="s">
        <v>1474</v>
      </c>
      <c r="C5719" t="s">
        <v>9219</v>
      </c>
      <c r="D5719" t="s">
        <v>18988</v>
      </c>
      <c r="E5719" t="s">
        <v>24147</v>
      </c>
      <c r="F5719" t="s">
        <v>32606</v>
      </c>
      <c r="G5719" t="s">
        <v>32613</v>
      </c>
      <c r="H5719" t="s">
        <v>14201</v>
      </c>
      <c r="I5719" t="s">
        <v>32663</v>
      </c>
      <c r="J5719" t="s">
        <v>36501</v>
      </c>
      <c r="K5719" t="s">
        <v>42625</v>
      </c>
      <c r="M5719" t="s">
        <v>44468</v>
      </c>
      <c r="N5719" t="s">
        <v>47304</v>
      </c>
      <c r="O5719" t="s">
        <v>47305</v>
      </c>
      <c r="P5719">
        <v>0</v>
      </c>
      <c r="Q5719">
        <v>1</v>
      </c>
      <c r="R5719" t="s">
        <v>47308</v>
      </c>
      <c r="S5719" t="s">
        <v>47429</v>
      </c>
      <c r="T5719" t="s">
        <v>49118</v>
      </c>
      <c r="U5719" t="s">
        <v>54350</v>
      </c>
      <c r="W5719" t="s">
        <v>44468</v>
      </c>
      <c r="X5719" t="s">
        <v>47309</v>
      </c>
    </row>
    <row r="5720" spans="1:24">
      <c r="A5720">
        <f>HYPERLINK("https://www.philgeps.gov.ph/GEPSNONPILOT/Tender/SplashBidNoticeAbstractUI.aspx?menuIndex=3&amp;refID=7194179&amp;Result=3","7194179")</f>
        <v>0</v>
      </c>
      <c r="B5720" t="s">
        <v>575</v>
      </c>
      <c r="C5720" t="s">
        <v>9220</v>
      </c>
      <c r="D5720" t="s">
        <v>19036</v>
      </c>
      <c r="E5720" t="s">
        <v>24148</v>
      </c>
      <c r="F5720" t="s">
        <v>32606</v>
      </c>
      <c r="G5720" t="s">
        <v>32614</v>
      </c>
      <c r="H5720" t="s">
        <v>14201</v>
      </c>
      <c r="I5720" t="s">
        <v>32656</v>
      </c>
      <c r="J5720" t="s">
        <v>33276</v>
      </c>
      <c r="K5720" t="s">
        <v>42622</v>
      </c>
      <c r="M5720" t="s">
        <v>44070</v>
      </c>
      <c r="N5720" t="s">
        <v>47304</v>
      </c>
      <c r="O5720" t="s">
        <v>47305</v>
      </c>
      <c r="P5720">
        <v>0</v>
      </c>
      <c r="Q5720">
        <v>0</v>
      </c>
      <c r="R5720" t="s">
        <v>47308</v>
      </c>
      <c r="S5720" t="s">
        <v>47429</v>
      </c>
      <c r="T5720" t="s">
        <v>49257</v>
      </c>
      <c r="U5720" t="s">
        <v>54351</v>
      </c>
      <c r="W5720" t="s">
        <v>44070</v>
      </c>
      <c r="X5720" t="s">
        <v>47309</v>
      </c>
    </row>
    <row r="5721" spans="1:24">
      <c r="A5721">
        <f>HYPERLINK("https://www.philgeps.gov.ph/GEPSNONPILOT/Tender/SplashBidNoticeAbstractUI.aspx?menuIndex=3&amp;refID=7194141&amp;Result=3","7194141")</f>
        <v>0</v>
      </c>
      <c r="B5721" t="s">
        <v>1951</v>
      </c>
      <c r="C5721" t="s">
        <v>9221</v>
      </c>
      <c r="D5721" t="s">
        <v>19007</v>
      </c>
      <c r="E5721" t="s">
        <v>24149</v>
      </c>
      <c r="F5721" t="s">
        <v>32606</v>
      </c>
      <c r="G5721" t="s">
        <v>32613</v>
      </c>
      <c r="H5721" t="s">
        <v>32623</v>
      </c>
      <c r="I5721" t="s">
        <v>17648</v>
      </c>
      <c r="J5721" t="s">
        <v>36502</v>
      </c>
      <c r="K5721" t="s">
        <v>42648</v>
      </c>
      <c r="M5721" t="s">
        <v>45012</v>
      </c>
      <c r="N5721" t="s">
        <v>47304</v>
      </c>
      <c r="O5721" t="s">
        <v>47305</v>
      </c>
      <c r="P5721">
        <v>0</v>
      </c>
      <c r="Q5721">
        <v>4</v>
      </c>
      <c r="R5721" t="s">
        <v>47308</v>
      </c>
      <c r="S5721" t="s">
        <v>47429</v>
      </c>
      <c r="T5721" t="s">
        <v>49108</v>
      </c>
      <c r="U5721" t="s">
        <v>54352</v>
      </c>
      <c r="W5721" t="s">
        <v>45012</v>
      </c>
      <c r="X5721" t="s">
        <v>47309</v>
      </c>
    </row>
    <row r="5722" spans="1:24">
      <c r="A5722">
        <f>HYPERLINK("https://www.philgeps.gov.ph/GEPSNONPILOT/Tender/SplashBidNoticeAbstractUI.aspx?menuIndex=3&amp;refID=7194178&amp;Result=3","7194178")</f>
        <v>0</v>
      </c>
      <c r="B5722" t="s">
        <v>1956</v>
      </c>
      <c r="C5722" t="s">
        <v>9222</v>
      </c>
      <c r="D5722" t="s">
        <v>18995</v>
      </c>
      <c r="E5722" t="s">
        <v>24150</v>
      </c>
      <c r="F5722" t="s">
        <v>32606</v>
      </c>
      <c r="G5722" t="s">
        <v>32619</v>
      </c>
      <c r="H5722" t="s">
        <v>14201</v>
      </c>
      <c r="I5722" t="s">
        <v>6298</v>
      </c>
      <c r="J5722" t="s">
        <v>33441</v>
      </c>
      <c r="K5722" t="s">
        <v>42629</v>
      </c>
      <c r="M5722" t="s">
        <v>45017</v>
      </c>
      <c r="N5722" t="s">
        <v>47304</v>
      </c>
      <c r="O5722" t="s">
        <v>47305</v>
      </c>
      <c r="P5722">
        <v>0</v>
      </c>
      <c r="Q5722">
        <v>1</v>
      </c>
      <c r="R5722" t="s">
        <v>47308</v>
      </c>
      <c r="S5722" t="s">
        <v>47429</v>
      </c>
      <c r="T5722" t="s">
        <v>49072</v>
      </c>
      <c r="U5722" t="s">
        <v>54353</v>
      </c>
      <c r="W5722" t="s">
        <v>45017</v>
      </c>
      <c r="X5722" t="s">
        <v>47309</v>
      </c>
    </row>
    <row r="5723" spans="1:24">
      <c r="A5723">
        <f>HYPERLINK("https://www.philgeps.gov.ph/GEPSNONPILOT/Tender/SplashBidNoticeAbstractUI.aspx?menuIndex=3&amp;refID=7194138&amp;Result=3","7194138")</f>
        <v>0</v>
      </c>
      <c r="B5723" t="s">
        <v>320</v>
      </c>
      <c r="C5723" t="s">
        <v>9223</v>
      </c>
      <c r="D5723" t="s">
        <v>19037</v>
      </c>
      <c r="E5723" t="s">
        <v>24151</v>
      </c>
      <c r="F5723" t="s">
        <v>32606</v>
      </c>
      <c r="G5723" t="s">
        <v>32614</v>
      </c>
      <c r="H5723" t="s">
        <v>14201</v>
      </c>
      <c r="I5723" t="s">
        <v>32629</v>
      </c>
      <c r="J5723" t="s">
        <v>36503</v>
      </c>
      <c r="K5723" t="s">
        <v>42648</v>
      </c>
      <c r="M5723" t="s">
        <v>45018</v>
      </c>
      <c r="N5723" t="s">
        <v>47304</v>
      </c>
      <c r="O5723" t="s">
        <v>47305</v>
      </c>
      <c r="P5723">
        <v>0</v>
      </c>
      <c r="Q5723">
        <v>0</v>
      </c>
      <c r="R5723" t="s">
        <v>47308</v>
      </c>
      <c r="S5723" t="s">
        <v>47429</v>
      </c>
      <c r="T5723" t="s">
        <v>49072</v>
      </c>
      <c r="U5723" t="s">
        <v>54354</v>
      </c>
      <c r="W5723" t="s">
        <v>45018</v>
      </c>
      <c r="X5723" t="s">
        <v>47309</v>
      </c>
    </row>
    <row r="5724" spans="1:24">
      <c r="A5724">
        <f>HYPERLINK("https://www.philgeps.gov.ph/GEPSNONPILOT/Tender/SplashBidNoticeAbstractUI.aspx?menuIndex=3&amp;refID=7194175&amp;Result=3","7194175")</f>
        <v>0</v>
      </c>
      <c r="B5724" t="s">
        <v>550</v>
      </c>
      <c r="C5724" t="s">
        <v>9224</v>
      </c>
      <c r="D5724" t="s">
        <v>18989</v>
      </c>
      <c r="E5724" t="s">
        <v>24152</v>
      </c>
      <c r="F5724" t="s">
        <v>32606</v>
      </c>
      <c r="G5724" t="s">
        <v>32613</v>
      </c>
      <c r="H5724" t="s">
        <v>14201</v>
      </c>
      <c r="I5724" t="s">
        <v>32655</v>
      </c>
      <c r="J5724" t="s">
        <v>36504</v>
      </c>
      <c r="K5724" t="s">
        <v>42624</v>
      </c>
      <c r="L5724" t="s">
        <v>550</v>
      </c>
      <c r="M5724" t="s">
        <v>43465</v>
      </c>
      <c r="N5724" t="s">
        <v>47304</v>
      </c>
      <c r="O5724" t="s">
        <v>47305</v>
      </c>
      <c r="P5724">
        <v>0</v>
      </c>
      <c r="Q5724">
        <v>12</v>
      </c>
      <c r="R5724" t="s">
        <v>47308</v>
      </c>
      <c r="S5724" t="s">
        <v>47429</v>
      </c>
      <c r="T5724" t="s">
        <v>49169</v>
      </c>
      <c r="U5724" t="s">
        <v>54355</v>
      </c>
      <c r="V5724" t="s">
        <v>53712</v>
      </c>
      <c r="W5724" t="s">
        <v>43465</v>
      </c>
      <c r="X5724" t="s">
        <v>47309</v>
      </c>
    </row>
    <row r="5725" spans="1:24">
      <c r="A5725">
        <f>HYPERLINK("https://www.philgeps.gov.ph/GEPSNONPILOT/Tender/SplashBidNoticeAbstractUI.aspx?menuIndex=3&amp;refID=7194181&amp;Result=3","7194181")</f>
        <v>0</v>
      </c>
      <c r="B5725" t="s">
        <v>158</v>
      </c>
      <c r="C5725" t="s">
        <v>9225</v>
      </c>
      <c r="E5725" t="s">
        <v>19690</v>
      </c>
      <c r="F5725" t="s">
        <v>32606</v>
      </c>
      <c r="G5725" t="s">
        <v>32613</v>
      </c>
      <c r="H5725" t="s">
        <v>32623</v>
      </c>
      <c r="I5725" t="s">
        <v>32661</v>
      </c>
      <c r="J5725" t="s">
        <v>32765</v>
      </c>
      <c r="K5725" t="s">
        <v>42624</v>
      </c>
      <c r="M5725" t="s">
        <v>43059</v>
      </c>
      <c r="N5725" t="s">
        <v>47304</v>
      </c>
      <c r="O5725" t="s">
        <v>47305</v>
      </c>
      <c r="P5725">
        <v>0</v>
      </c>
      <c r="Q5725">
        <v>0</v>
      </c>
      <c r="R5725" t="s">
        <v>47308</v>
      </c>
      <c r="S5725" t="s">
        <v>47429</v>
      </c>
      <c r="T5725" t="s">
        <v>49066</v>
      </c>
      <c r="U5725" t="s">
        <v>54356</v>
      </c>
      <c r="W5725" t="s">
        <v>43059</v>
      </c>
      <c r="X5725" t="s">
        <v>47309</v>
      </c>
    </row>
    <row r="5726" spans="1:24">
      <c r="A5726">
        <f>HYPERLINK("https://www.philgeps.gov.ph/GEPSNONPILOT/Tender/SplashBidNoticeAbstractUI.aspx?menuIndex=3&amp;refID=7194172&amp;Result=3","7194172")</f>
        <v>0</v>
      </c>
      <c r="B5726" t="s">
        <v>1954</v>
      </c>
      <c r="C5726" t="s">
        <v>9226</v>
      </c>
      <c r="E5726" t="s">
        <v>24153</v>
      </c>
      <c r="F5726" t="s">
        <v>32606</v>
      </c>
      <c r="G5726" t="s">
        <v>32614</v>
      </c>
      <c r="H5726" t="s">
        <v>14201</v>
      </c>
      <c r="I5726" t="s">
        <v>32675</v>
      </c>
      <c r="J5726" t="s">
        <v>32977</v>
      </c>
      <c r="K5726" t="s">
        <v>42624</v>
      </c>
      <c r="M5726" t="s">
        <v>45015</v>
      </c>
      <c r="N5726" t="s">
        <v>47304</v>
      </c>
      <c r="O5726" t="s">
        <v>47305</v>
      </c>
      <c r="P5726">
        <v>0</v>
      </c>
      <c r="Q5726">
        <v>1</v>
      </c>
      <c r="R5726" t="s">
        <v>47308</v>
      </c>
      <c r="S5726" t="s">
        <v>47429</v>
      </c>
      <c r="T5726" t="s">
        <v>49000</v>
      </c>
      <c r="U5726" t="s">
        <v>54340</v>
      </c>
      <c r="W5726" t="s">
        <v>45015</v>
      </c>
      <c r="X5726" t="s">
        <v>47309</v>
      </c>
    </row>
    <row r="5727" spans="1:24">
      <c r="A5727">
        <f>HYPERLINK("https://www.philgeps.gov.ph/GEPSNONPILOT/Tender/SplashBidNoticeAbstractUI.aspx?menuIndex=3&amp;refID=7194170&amp;Result=3","7194170")</f>
        <v>0</v>
      </c>
      <c r="B5727" t="s">
        <v>1951</v>
      </c>
      <c r="C5727" t="s">
        <v>9227</v>
      </c>
      <c r="D5727" t="s">
        <v>19007</v>
      </c>
      <c r="E5727" t="s">
        <v>24154</v>
      </c>
      <c r="F5727" t="s">
        <v>32606</v>
      </c>
      <c r="G5727" t="s">
        <v>32613</v>
      </c>
      <c r="H5727" t="s">
        <v>32623</v>
      </c>
      <c r="I5727" t="s">
        <v>17648</v>
      </c>
      <c r="J5727" t="s">
        <v>36505</v>
      </c>
      <c r="K5727" t="s">
        <v>42646</v>
      </c>
      <c r="M5727" t="s">
        <v>45012</v>
      </c>
      <c r="N5727" t="s">
        <v>47304</v>
      </c>
      <c r="O5727" t="s">
        <v>47305</v>
      </c>
      <c r="P5727">
        <v>0</v>
      </c>
      <c r="Q5727">
        <v>5</v>
      </c>
      <c r="R5727" t="s">
        <v>47308</v>
      </c>
      <c r="S5727" t="s">
        <v>47429</v>
      </c>
      <c r="T5727" t="s">
        <v>49108</v>
      </c>
      <c r="U5727" t="s">
        <v>54357</v>
      </c>
      <c r="W5727" t="s">
        <v>45012</v>
      </c>
      <c r="X5727" t="s">
        <v>47309</v>
      </c>
    </row>
    <row r="5728" spans="1:24">
      <c r="A5728">
        <f>HYPERLINK("https://www.philgeps.gov.ph/GEPSNONPILOT/Tender/SplashBidNoticeAbstractUI.aspx?menuIndex=3&amp;refID=7194169&amp;Result=3","7194169")</f>
        <v>0</v>
      </c>
      <c r="B5728" t="s">
        <v>1954</v>
      </c>
      <c r="C5728" t="s">
        <v>9228</v>
      </c>
      <c r="D5728" t="s">
        <v>19053</v>
      </c>
      <c r="E5728" t="s">
        <v>24155</v>
      </c>
      <c r="F5728" t="s">
        <v>32606</v>
      </c>
      <c r="G5728" t="s">
        <v>32617</v>
      </c>
      <c r="H5728" t="s">
        <v>14201</v>
      </c>
      <c r="I5728" t="s">
        <v>4120</v>
      </c>
      <c r="J5728" t="s">
        <v>35722</v>
      </c>
      <c r="K5728" t="s">
        <v>42624</v>
      </c>
      <c r="M5728" t="s">
        <v>45015</v>
      </c>
      <c r="N5728" t="s">
        <v>47304</v>
      </c>
      <c r="O5728" t="s">
        <v>47305</v>
      </c>
      <c r="P5728">
        <v>0</v>
      </c>
      <c r="Q5728">
        <v>4</v>
      </c>
      <c r="R5728" t="s">
        <v>47308</v>
      </c>
      <c r="S5728" t="s">
        <v>47429</v>
      </c>
      <c r="T5728" t="s">
        <v>49000</v>
      </c>
      <c r="U5728" t="s">
        <v>54340</v>
      </c>
      <c r="W5728" t="s">
        <v>45015</v>
      </c>
      <c r="X5728" t="s">
        <v>47309</v>
      </c>
    </row>
    <row r="5729" spans="1:24">
      <c r="A5729">
        <f>HYPERLINK("https://www.philgeps.gov.ph/GEPSNONPILOT/Tender/SplashBidNoticeAbstractUI.aspx?menuIndex=3&amp;refID=7194176&amp;Result=3","7194176")</f>
        <v>0</v>
      </c>
      <c r="B5729" t="s">
        <v>158</v>
      </c>
      <c r="C5729" t="s">
        <v>9229</v>
      </c>
      <c r="E5729" t="s">
        <v>19145</v>
      </c>
      <c r="F5729" t="s">
        <v>32606</v>
      </c>
      <c r="G5729" t="s">
        <v>32613</v>
      </c>
      <c r="H5729" t="s">
        <v>32623</v>
      </c>
      <c r="I5729" t="s">
        <v>17648</v>
      </c>
      <c r="J5729" t="s">
        <v>32778</v>
      </c>
      <c r="K5729" t="s">
        <v>42624</v>
      </c>
      <c r="M5729" t="s">
        <v>43059</v>
      </c>
      <c r="N5729" t="s">
        <v>47304</v>
      </c>
      <c r="O5729" t="s">
        <v>47305</v>
      </c>
      <c r="P5729">
        <v>0</v>
      </c>
      <c r="Q5729">
        <v>0</v>
      </c>
      <c r="R5729" t="s">
        <v>47308</v>
      </c>
      <c r="S5729" t="s">
        <v>47429</v>
      </c>
      <c r="T5729" t="s">
        <v>49066</v>
      </c>
      <c r="U5729" t="s">
        <v>54358</v>
      </c>
      <c r="W5729" t="s">
        <v>43059</v>
      </c>
      <c r="X5729" t="s">
        <v>47309</v>
      </c>
    </row>
    <row r="5730" spans="1:24">
      <c r="A5730">
        <f>HYPERLINK("https://www.philgeps.gov.ph/GEPSNONPILOT/Tender/SplashBidNoticeAbstractUI.aspx?menuIndex=3&amp;refID=7194165&amp;Result=3","7194165")</f>
        <v>0</v>
      </c>
      <c r="B5730" t="s">
        <v>1951</v>
      </c>
      <c r="C5730" t="s">
        <v>9230</v>
      </c>
      <c r="D5730" t="s">
        <v>19007</v>
      </c>
      <c r="E5730" t="s">
        <v>24156</v>
      </c>
      <c r="F5730" t="s">
        <v>32606</v>
      </c>
      <c r="G5730" t="s">
        <v>32613</v>
      </c>
      <c r="H5730" t="s">
        <v>32623</v>
      </c>
      <c r="I5730" t="s">
        <v>17648</v>
      </c>
      <c r="J5730" t="s">
        <v>36506</v>
      </c>
      <c r="K5730" t="s">
        <v>42646</v>
      </c>
      <c r="M5730" t="s">
        <v>45012</v>
      </c>
      <c r="N5730" t="s">
        <v>47304</v>
      </c>
      <c r="O5730" t="s">
        <v>47305</v>
      </c>
      <c r="P5730">
        <v>0</v>
      </c>
      <c r="Q5730">
        <v>5</v>
      </c>
      <c r="R5730" t="s">
        <v>47308</v>
      </c>
      <c r="S5730" t="s">
        <v>47429</v>
      </c>
      <c r="T5730" t="s">
        <v>49108</v>
      </c>
      <c r="U5730" t="s">
        <v>54359</v>
      </c>
      <c r="W5730" t="s">
        <v>45012</v>
      </c>
      <c r="X5730" t="s">
        <v>47309</v>
      </c>
    </row>
    <row r="5731" spans="1:24">
      <c r="A5731">
        <f>HYPERLINK("https://www.philgeps.gov.ph/GEPSNONPILOT/Tender/SplashBidNoticeAbstractUI.aspx?menuIndex=3&amp;refID=7194174&amp;Result=3","7194174")</f>
        <v>0</v>
      </c>
      <c r="B5731" t="s">
        <v>1957</v>
      </c>
      <c r="C5731" t="s">
        <v>9231</v>
      </c>
      <c r="D5731" t="s">
        <v>18986</v>
      </c>
      <c r="E5731" t="s">
        <v>24157</v>
      </c>
      <c r="F5731" t="s">
        <v>32606</v>
      </c>
      <c r="G5731" t="s">
        <v>32613</v>
      </c>
      <c r="H5731" t="s">
        <v>32623</v>
      </c>
      <c r="I5731" t="s">
        <v>17648</v>
      </c>
      <c r="J5731" t="s">
        <v>32783</v>
      </c>
      <c r="K5731" t="s">
        <v>42701</v>
      </c>
      <c r="M5731" t="s">
        <v>45019</v>
      </c>
      <c r="N5731" t="s">
        <v>47304</v>
      </c>
      <c r="O5731" t="s">
        <v>47305</v>
      </c>
      <c r="P5731">
        <v>0</v>
      </c>
      <c r="Q5731">
        <v>0</v>
      </c>
      <c r="R5731" t="s">
        <v>47308</v>
      </c>
      <c r="S5731" t="s">
        <v>47429</v>
      </c>
      <c r="T5731" t="s">
        <v>49001</v>
      </c>
      <c r="U5731" t="s">
        <v>54360</v>
      </c>
      <c r="W5731" t="s">
        <v>45019</v>
      </c>
      <c r="X5731" t="s">
        <v>47309</v>
      </c>
    </row>
    <row r="5732" spans="1:24">
      <c r="A5732">
        <f>HYPERLINK("https://www.philgeps.gov.ph/GEPSNONPILOT/Tender/SplashBidNoticeAbstractUI.aspx?menuIndex=3&amp;refID=7194173&amp;Result=3","7194173")</f>
        <v>0</v>
      </c>
      <c r="B5732" t="s">
        <v>1954</v>
      </c>
      <c r="C5732" t="s">
        <v>9232</v>
      </c>
      <c r="E5732" t="s">
        <v>24158</v>
      </c>
      <c r="F5732" t="s">
        <v>32606</v>
      </c>
      <c r="G5732" t="s">
        <v>32617</v>
      </c>
      <c r="H5732" t="s">
        <v>14201</v>
      </c>
      <c r="I5732" t="s">
        <v>4120</v>
      </c>
      <c r="J5732" t="s">
        <v>35268</v>
      </c>
      <c r="K5732" t="s">
        <v>42624</v>
      </c>
      <c r="M5732" t="s">
        <v>45015</v>
      </c>
      <c r="N5732" t="s">
        <v>47304</v>
      </c>
      <c r="O5732" t="s">
        <v>47305</v>
      </c>
      <c r="P5732">
        <v>0</v>
      </c>
      <c r="Q5732">
        <v>4</v>
      </c>
      <c r="R5732" t="s">
        <v>47308</v>
      </c>
      <c r="S5732" t="s">
        <v>47429</v>
      </c>
      <c r="T5732" t="s">
        <v>49000</v>
      </c>
      <c r="U5732" t="s">
        <v>54340</v>
      </c>
      <c r="W5732" t="s">
        <v>45015</v>
      </c>
      <c r="X5732" t="s">
        <v>47309</v>
      </c>
    </row>
    <row r="5733" spans="1:24">
      <c r="A5733">
        <f>HYPERLINK("https://www.philgeps.gov.ph/GEPSNONPILOT/Tender/SplashBidNoticeAbstractUI.aspx?menuIndex=3&amp;refID=7194161&amp;Result=3","7194161")</f>
        <v>0</v>
      </c>
      <c r="B5733" t="s">
        <v>1957</v>
      </c>
      <c r="C5733" t="s">
        <v>9233</v>
      </c>
      <c r="D5733" t="s">
        <v>18986</v>
      </c>
      <c r="E5733" t="s">
        <v>24159</v>
      </c>
      <c r="F5733" t="s">
        <v>32606</v>
      </c>
      <c r="G5733" t="s">
        <v>32613</v>
      </c>
      <c r="H5733" t="s">
        <v>32623</v>
      </c>
      <c r="I5733" t="s">
        <v>17648</v>
      </c>
      <c r="J5733" t="s">
        <v>36507</v>
      </c>
      <c r="K5733" t="s">
        <v>42779</v>
      </c>
      <c r="M5733" t="s">
        <v>45019</v>
      </c>
      <c r="N5733" t="s">
        <v>47304</v>
      </c>
      <c r="O5733" t="s">
        <v>47305</v>
      </c>
      <c r="P5733">
        <v>0</v>
      </c>
      <c r="Q5733">
        <v>0</v>
      </c>
      <c r="R5733" t="s">
        <v>47308</v>
      </c>
      <c r="S5733" t="s">
        <v>47429</v>
      </c>
      <c r="T5733" t="s">
        <v>49001</v>
      </c>
      <c r="U5733" t="s">
        <v>54360</v>
      </c>
      <c r="W5733" t="s">
        <v>45019</v>
      </c>
      <c r="X5733" t="s">
        <v>47309</v>
      </c>
    </row>
    <row r="5734" spans="1:24">
      <c r="A5734">
        <f>HYPERLINK("https://www.philgeps.gov.ph/GEPSNONPILOT/Tender/SplashBidNoticeAbstractUI.aspx?menuIndex=3&amp;refID=7194160&amp;Result=3","7194160")</f>
        <v>0</v>
      </c>
      <c r="B5734" t="s">
        <v>1954</v>
      </c>
      <c r="C5734" t="s">
        <v>9234</v>
      </c>
      <c r="E5734" t="s">
        <v>24160</v>
      </c>
      <c r="F5734" t="s">
        <v>32606</v>
      </c>
      <c r="G5734" t="s">
        <v>32614</v>
      </c>
      <c r="H5734" t="s">
        <v>14201</v>
      </c>
      <c r="I5734" t="s">
        <v>32713</v>
      </c>
      <c r="J5734" t="s">
        <v>35595</v>
      </c>
      <c r="K5734" t="s">
        <v>42624</v>
      </c>
      <c r="M5734" t="s">
        <v>45015</v>
      </c>
      <c r="N5734" t="s">
        <v>47304</v>
      </c>
      <c r="O5734" t="s">
        <v>47305</v>
      </c>
      <c r="P5734">
        <v>0</v>
      </c>
      <c r="Q5734">
        <v>0</v>
      </c>
      <c r="R5734" t="s">
        <v>47308</v>
      </c>
      <c r="S5734" t="s">
        <v>47429</v>
      </c>
      <c r="T5734" t="s">
        <v>49000</v>
      </c>
      <c r="U5734" t="s">
        <v>54340</v>
      </c>
      <c r="W5734" t="s">
        <v>45015</v>
      </c>
      <c r="X5734" t="s">
        <v>47309</v>
      </c>
    </row>
    <row r="5735" spans="1:24">
      <c r="A5735">
        <f>HYPERLINK("https://www.philgeps.gov.ph/GEPSNONPILOT/Tender/SplashBidNoticeAbstractUI.aspx?menuIndex=3&amp;refID=7194159&amp;Result=3","7194159")</f>
        <v>0</v>
      </c>
      <c r="B5735" t="s">
        <v>1951</v>
      </c>
      <c r="C5735" t="s">
        <v>9235</v>
      </c>
      <c r="D5735" t="s">
        <v>19007</v>
      </c>
      <c r="E5735" t="s">
        <v>24161</v>
      </c>
      <c r="F5735" t="s">
        <v>32606</v>
      </c>
      <c r="G5735" t="s">
        <v>32613</v>
      </c>
      <c r="H5735" t="s">
        <v>32623</v>
      </c>
      <c r="I5735" t="s">
        <v>17648</v>
      </c>
      <c r="J5735" t="s">
        <v>36508</v>
      </c>
      <c r="K5735" t="s">
        <v>42648</v>
      </c>
      <c r="M5735" t="s">
        <v>45012</v>
      </c>
      <c r="N5735" t="s">
        <v>47304</v>
      </c>
      <c r="O5735" t="s">
        <v>47305</v>
      </c>
      <c r="P5735">
        <v>0</v>
      </c>
      <c r="Q5735">
        <v>5</v>
      </c>
      <c r="R5735" t="s">
        <v>47308</v>
      </c>
      <c r="S5735" t="s">
        <v>47429</v>
      </c>
      <c r="T5735" t="s">
        <v>49108</v>
      </c>
      <c r="U5735" t="s">
        <v>54361</v>
      </c>
      <c r="W5735" t="s">
        <v>45012</v>
      </c>
      <c r="X5735" t="s">
        <v>47309</v>
      </c>
    </row>
    <row r="5736" spans="1:24">
      <c r="A5736">
        <f>HYPERLINK("https://www.philgeps.gov.ph/GEPSNONPILOT/Tender/SplashBidNoticeAbstractUI.aspx?menuIndex=3&amp;refID=7194156&amp;Result=3","7194156")</f>
        <v>0</v>
      </c>
      <c r="B5736" t="s">
        <v>1225</v>
      </c>
      <c r="C5736" t="s">
        <v>9236</v>
      </c>
      <c r="D5736" t="s">
        <v>19038</v>
      </c>
      <c r="E5736" t="s">
        <v>24162</v>
      </c>
      <c r="F5736" t="s">
        <v>32606</v>
      </c>
      <c r="G5736" t="s">
        <v>32614</v>
      </c>
      <c r="H5736" t="s">
        <v>14201</v>
      </c>
      <c r="I5736" t="s">
        <v>6931</v>
      </c>
      <c r="J5736" t="s">
        <v>36509</v>
      </c>
      <c r="K5736" t="s">
        <v>42624</v>
      </c>
      <c r="M5736" t="s">
        <v>44869</v>
      </c>
      <c r="N5736" t="s">
        <v>47304</v>
      </c>
      <c r="O5736" t="s">
        <v>47305</v>
      </c>
      <c r="P5736">
        <v>0</v>
      </c>
      <c r="Q5736">
        <v>1</v>
      </c>
      <c r="R5736" t="s">
        <v>47308</v>
      </c>
      <c r="S5736" t="s">
        <v>47429</v>
      </c>
      <c r="T5736" t="s">
        <v>48987</v>
      </c>
      <c r="U5736" t="s">
        <v>54362</v>
      </c>
      <c r="W5736" t="s">
        <v>64467</v>
      </c>
      <c r="X5736" t="s">
        <v>47309</v>
      </c>
    </row>
    <row r="5737" spans="1:24">
      <c r="A5737">
        <f>HYPERLINK("https://www.philgeps.gov.ph/GEPSNONPILOT/Tender/SplashBidNoticeAbstractUI.aspx?menuIndex=3&amp;refID=7194154&amp;Result=3","7194154")</f>
        <v>0</v>
      </c>
      <c r="B5737" t="s">
        <v>1954</v>
      </c>
      <c r="C5737" t="s">
        <v>9237</v>
      </c>
      <c r="E5737" t="s">
        <v>24163</v>
      </c>
      <c r="F5737" t="s">
        <v>32606</v>
      </c>
      <c r="G5737" t="s">
        <v>32614</v>
      </c>
      <c r="H5737" t="s">
        <v>14201</v>
      </c>
      <c r="I5737" t="s">
        <v>32638</v>
      </c>
      <c r="J5737" t="s">
        <v>33195</v>
      </c>
      <c r="K5737" t="s">
        <v>42624</v>
      </c>
      <c r="M5737" t="s">
        <v>45015</v>
      </c>
      <c r="N5737" t="s">
        <v>47304</v>
      </c>
      <c r="O5737" t="s">
        <v>47305</v>
      </c>
      <c r="P5737">
        <v>0</v>
      </c>
      <c r="Q5737">
        <v>3</v>
      </c>
      <c r="R5737" t="s">
        <v>47308</v>
      </c>
      <c r="S5737" t="s">
        <v>47429</v>
      </c>
      <c r="T5737" t="s">
        <v>49000</v>
      </c>
      <c r="U5737" t="s">
        <v>54340</v>
      </c>
      <c r="W5737" t="s">
        <v>45015</v>
      </c>
      <c r="X5737" t="s">
        <v>47309</v>
      </c>
    </row>
    <row r="5738" spans="1:24">
      <c r="A5738">
        <f>HYPERLINK("https://www.philgeps.gov.ph/GEPSNONPILOT/Tender/SplashBidNoticeAbstractUI.aspx?menuIndex=3&amp;refID=7194184&amp;Result=3","7194184")</f>
        <v>0</v>
      </c>
      <c r="B5738" t="s">
        <v>1958</v>
      </c>
      <c r="C5738" t="s">
        <v>9238</v>
      </c>
      <c r="D5738" t="s">
        <v>19036</v>
      </c>
      <c r="E5738" t="s">
        <v>19310</v>
      </c>
      <c r="F5738" t="s">
        <v>32606</v>
      </c>
      <c r="G5738" t="s">
        <v>32613</v>
      </c>
      <c r="H5738" t="s">
        <v>14201</v>
      </c>
      <c r="I5738" t="s">
        <v>32664</v>
      </c>
      <c r="J5738" t="s">
        <v>32923</v>
      </c>
      <c r="K5738" t="s">
        <v>42631</v>
      </c>
      <c r="M5738" t="s">
        <v>45020</v>
      </c>
      <c r="N5738" t="s">
        <v>47304</v>
      </c>
      <c r="O5738" t="s">
        <v>47305</v>
      </c>
      <c r="P5738">
        <v>0</v>
      </c>
      <c r="Q5738">
        <v>1</v>
      </c>
      <c r="R5738" t="s">
        <v>47308</v>
      </c>
      <c r="S5738" t="s">
        <v>47429</v>
      </c>
      <c r="T5738" t="s">
        <v>48986</v>
      </c>
      <c r="U5738" t="s">
        <v>54363</v>
      </c>
      <c r="W5738" t="s">
        <v>45020</v>
      </c>
      <c r="X5738" t="s">
        <v>47309</v>
      </c>
    </row>
    <row r="5739" spans="1:24">
      <c r="A5739">
        <f>HYPERLINK("https://www.philgeps.gov.ph/GEPSNONPILOT/Tender/SplashBidNoticeAbstractUI.aspx?menuIndex=3&amp;refID=7194167&amp;Result=3","7194167")</f>
        <v>0</v>
      </c>
      <c r="B5739" t="s">
        <v>144</v>
      </c>
      <c r="C5739" t="s">
        <v>9239</v>
      </c>
      <c r="D5739" t="s">
        <v>19007</v>
      </c>
      <c r="E5739" t="s">
        <v>21655</v>
      </c>
      <c r="F5739" t="s">
        <v>32606</v>
      </c>
      <c r="G5739" t="s">
        <v>32613</v>
      </c>
      <c r="H5739" t="s">
        <v>32623</v>
      </c>
      <c r="I5739" t="s">
        <v>17648</v>
      </c>
      <c r="J5739" t="s">
        <v>33533</v>
      </c>
      <c r="K5739" t="s">
        <v>42636</v>
      </c>
      <c r="M5739" t="s">
        <v>43045</v>
      </c>
      <c r="N5739" t="s">
        <v>47304</v>
      </c>
      <c r="O5739" t="s">
        <v>47305</v>
      </c>
      <c r="P5739">
        <v>0</v>
      </c>
      <c r="Q5739">
        <v>0</v>
      </c>
      <c r="R5739" t="s">
        <v>47308</v>
      </c>
      <c r="S5739" t="s">
        <v>47429</v>
      </c>
      <c r="T5739" t="s">
        <v>49002</v>
      </c>
      <c r="U5739" t="s">
        <v>49790</v>
      </c>
      <c r="W5739" t="s">
        <v>43045</v>
      </c>
      <c r="X5739" t="s">
        <v>47309</v>
      </c>
    </row>
    <row r="5740" spans="1:24">
      <c r="A5740">
        <f>HYPERLINK("https://www.philgeps.gov.ph/GEPSNONPILOT/Tender/SplashBidNoticeAbstractUI.aspx?menuIndex=3&amp;refID=7194214&amp;Result=3","7194214")</f>
        <v>0</v>
      </c>
      <c r="B5740" t="s">
        <v>1959</v>
      </c>
      <c r="C5740" t="s">
        <v>9240</v>
      </c>
      <c r="D5740" t="s">
        <v>19033</v>
      </c>
      <c r="E5740" t="s">
        <v>20122</v>
      </c>
      <c r="F5740" t="s">
        <v>32606</v>
      </c>
      <c r="G5740" t="s">
        <v>32613</v>
      </c>
      <c r="H5740" t="s">
        <v>32623</v>
      </c>
      <c r="I5740" t="s">
        <v>17648</v>
      </c>
      <c r="J5740" t="s">
        <v>36510</v>
      </c>
      <c r="K5740" t="s">
        <v>42639</v>
      </c>
      <c r="M5740" t="s">
        <v>45021</v>
      </c>
      <c r="N5740" t="s">
        <v>47304</v>
      </c>
      <c r="O5740" t="s">
        <v>47305</v>
      </c>
      <c r="P5740">
        <v>0</v>
      </c>
      <c r="Q5740">
        <v>1</v>
      </c>
      <c r="R5740" t="s">
        <v>47308</v>
      </c>
      <c r="S5740" t="s">
        <v>47429</v>
      </c>
      <c r="T5740" t="s">
        <v>49100</v>
      </c>
      <c r="U5740" t="s">
        <v>54364</v>
      </c>
      <c r="W5740" t="s">
        <v>45021</v>
      </c>
      <c r="X5740" t="s">
        <v>47309</v>
      </c>
    </row>
    <row r="5741" spans="1:24">
      <c r="A5741">
        <f>HYPERLINK("https://www.philgeps.gov.ph/GEPSNONPILOT/Tender/SplashBidNoticeAbstractUI.aspx?menuIndex=3&amp;refID=7194164&amp;Result=3","7194164")</f>
        <v>0</v>
      </c>
      <c r="B5741" t="s">
        <v>1954</v>
      </c>
      <c r="C5741" t="s">
        <v>9241</v>
      </c>
      <c r="E5741" t="s">
        <v>24164</v>
      </c>
      <c r="F5741" t="s">
        <v>32606</v>
      </c>
      <c r="G5741" t="s">
        <v>32617</v>
      </c>
      <c r="H5741" t="s">
        <v>14201</v>
      </c>
      <c r="I5741" t="s">
        <v>4120</v>
      </c>
      <c r="J5741" t="s">
        <v>33830</v>
      </c>
      <c r="K5741" t="s">
        <v>42624</v>
      </c>
      <c r="M5741" t="s">
        <v>45015</v>
      </c>
      <c r="N5741" t="s">
        <v>47304</v>
      </c>
      <c r="O5741" t="s">
        <v>47305</v>
      </c>
      <c r="P5741">
        <v>0</v>
      </c>
      <c r="Q5741">
        <v>5</v>
      </c>
      <c r="R5741" t="s">
        <v>47308</v>
      </c>
      <c r="S5741" t="s">
        <v>47429</v>
      </c>
      <c r="T5741" t="s">
        <v>49000</v>
      </c>
      <c r="U5741" t="s">
        <v>54340</v>
      </c>
      <c r="W5741" t="s">
        <v>45015</v>
      </c>
      <c r="X5741" t="s">
        <v>47309</v>
      </c>
    </row>
    <row r="5742" spans="1:24">
      <c r="A5742">
        <f>HYPERLINK("https://www.philgeps.gov.ph/GEPSNONPILOT/Tender/SplashBidNoticeAbstractUI.aspx?menuIndex=3&amp;refID=7194210&amp;Result=3","7194210")</f>
        <v>0</v>
      </c>
      <c r="B5742" t="s">
        <v>1500</v>
      </c>
      <c r="C5742" t="s">
        <v>9242</v>
      </c>
      <c r="D5742" t="s">
        <v>19064</v>
      </c>
      <c r="E5742" t="s">
        <v>24165</v>
      </c>
      <c r="F5742" t="s">
        <v>32606</v>
      </c>
      <c r="G5742" t="s">
        <v>32614</v>
      </c>
      <c r="H5742" t="s">
        <v>32624</v>
      </c>
      <c r="I5742" t="s">
        <v>32683</v>
      </c>
      <c r="J5742" t="s">
        <v>36511</v>
      </c>
      <c r="K5742" t="s">
        <v>42631</v>
      </c>
      <c r="M5742" t="s">
        <v>45022</v>
      </c>
      <c r="N5742" t="s">
        <v>47304</v>
      </c>
      <c r="O5742" t="s">
        <v>47305</v>
      </c>
      <c r="P5742">
        <v>0</v>
      </c>
      <c r="Q5742">
        <v>2</v>
      </c>
      <c r="R5742" t="s">
        <v>47308</v>
      </c>
      <c r="S5742" t="s">
        <v>47429</v>
      </c>
      <c r="T5742" t="s">
        <v>49325</v>
      </c>
      <c r="U5742" t="s">
        <v>54365</v>
      </c>
      <c r="W5742" t="s">
        <v>64486</v>
      </c>
      <c r="X5742" t="s">
        <v>47309</v>
      </c>
    </row>
    <row r="5743" spans="1:24">
      <c r="A5743">
        <f>HYPERLINK("https://www.philgeps.gov.ph/GEPSNONPILOT/Tender/SplashBidNoticeAbstractUI.aspx?menuIndex=3&amp;refID=7194209&amp;Result=3","7194209")</f>
        <v>0</v>
      </c>
      <c r="B5743" t="s">
        <v>1960</v>
      </c>
      <c r="C5743" t="s">
        <v>9243</v>
      </c>
      <c r="D5743" t="s">
        <v>18994</v>
      </c>
      <c r="E5743" t="s">
        <v>24166</v>
      </c>
      <c r="F5743" t="s">
        <v>32606</v>
      </c>
      <c r="G5743" t="s">
        <v>32614</v>
      </c>
      <c r="H5743" t="s">
        <v>14201</v>
      </c>
      <c r="I5743" t="s">
        <v>32668</v>
      </c>
      <c r="J5743" t="s">
        <v>36512</v>
      </c>
      <c r="K5743" t="s">
        <v>42631</v>
      </c>
      <c r="M5743" t="s">
        <v>45023</v>
      </c>
      <c r="N5743" t="s">
        <v>47304</v>
      </c>
      <c r="O5743" t="s">
        <v>47305</v>
      </c>
      <c r="P5743">
        <v>0</v>
      </c>
      <c r="Q5743">
        <v>4</v>
      </c>
      <c r="R5743" t="s">
        <v>47308</v>
      </c>
      <c r="S5743" t="s">
        <v>47429</v>
      </c>
      <c r="T5743" t="s">
        <v>48975</v>
      </c>
      <c r="U5743" t="s">
        <v>54366</v>
      </c>
      <c r="W5743" t="s">
        <v>45023</v>
      </c>
      <c r="X5743" t="s">
        <v>47309</v>
      </c>
    </row>
    <row r="5744" spans="1:24">
      <c r="A5744">
        <f>HYPERLINK("https://www.philgeps.gov.ph/GEPSNONPILOT/Tender/SplashBidNoticeAbstractUI.aspx?menuIndex=3&amp;refID=7194198&amp;Result=3","7194198")</f>
        <v>0</v>
      </c>
      <c r="B5744" t="s">
        <v>1500</v>
      </c>
      <c r="C5744" t="s">
        <v>9244</v>
      </c>
      <c r="D5744" t="s">
        <v>19064</v>
      </c>
      <c r="E5744" t="s">
        <v>24167</v>
      </c>
      <c r="F5744" t="s">
        <v>32606</v>
      </c>
      <c r="G5744" t="s">
        <v>32619</v>
      </c>
      <c r="H5744" t="s">
        <v>14201</v>
      </c>
      <c r="I5744" t="s">
        <v>9013</v>
      </c>
      <c r="J5744" t="s">
        <v>33994</v>
      </c>
      <c r="K5744" t="s">
        <v>42631</v>
      </c>
      <c r="M5744" t="s">
        <v>45022</v>
      </c>
      <c r="N5744" t="s">
        <v>47304</v>
      </c>
      <c r="O5744" t="s">
        <v>47305</v>
      </c>
      <c r="P5744">
        <v>0</v>
      </c>
      <c r="Q5744">
        <v>6</v>
      </c>
      <c r="R5744" t="s">
        <v>47308</v>
      </c>
      <c r="S5744" t="s">
        <v>47429</v>
      </c>
      <c r="T5744" t="s">
        <v>49325</v>
      </c>
      <c r="U5744" t="s">
        <v>54365</v>
      </c>
      <c r="W5744" t="s">
        <v>64486</v>
      </c>
      <c r="X5744" t="s">
        <v>47309</v>
      </c>
    </row>
    <row r="5745" spans="1:24">
      <c r="A5745">
        <f>HYPERLINK("https://www.philgeps.gov.ph/GEPSNONPILOT/Tender/SplashBidNoticeAbstractUI.aspx?menuIndex=3&amp;refID=7194208&amp;Result=3","7194208")</f>
        <v>0</v>
      </c>
      <c r="B5745" t="s">
        <v>1500</v>
      </c>
      <c r="C5745" t="s">
        <v>9245</v>
      </c>
      <c r="D5745" t="s">
        <v>19064</v>
      </c>
      <c r="E5745" t="s">
        <v>24168</v>
      </c>
      <c r="F5745" t="s">
        <v>32606</v>
      </c>
      <c r="G5745" t="s">
        <v>32614</v>
      </c>
      <c r="H5745" t="s">
        <v>32624</v>
      </c>
      <c r="I5745" t="s">
        <v>32652</v>
      </c>
      <c r="J5745" t="s">
        <v>36513</v>
      </c>
      <c r="K5745" t="s">
        <v>42631</v>
      </c>
      <c r="M5745" t="s">
        <v>45022</v>
      </c>
      <c r="N5745" t="s">
        <v>47304</v>
      </c>
      <c r="O5745" t="s">
        <v>47305</v>
      </c>
      <c r="P5745">
        <v>0</v>
      </c>
      <c r="Q5745">
        <v>0</v>
      </c>
      <c r="R5745" t="s">
        <v>47308</v>
      </c>
      <c r="S5745" t="s">
        <v>47429</v>
      </c>
      <c r="T5745" t="s">
        <v>49325</v>
      </c>
      <c r="U5745" t="s">
        <v>54365</v>
      </c>
      <c r="W5745" t="s">
        <v>64486</v>
      </c>
      <c r="X5745" t="s">
        <v>47309</v>
      </c>
    </row>
    <row r="5746" spans="1:24">
      <c r="A5746">
        <f>HYPERLINK("https://www.philgeps.gov.ph/GEPSNONPILOT/Tender/SplashBidNoticeAbstractUI.aspx?menuIndex=3&amp;refID=7194205&amp;Result=3","7194205")</f>
        <v>0</v>
      </c>
      <c r="B5746" t="s">
        <v>1958</v>
      </c>
      <c r="C5746" t="s">
        <v>9246</v>
      </c>
      <c r="D5746" t="s">
        <v>19036</v>
      </c>
      <c r="E5746" t="s">
        <v>19327</v>
      </c>
      <c r="F5746" t="s">
        <v>32606</v>
      </c>
      <c r="G5746" t="s">
        <v>32613</v>
      </c>
      <c r="H5746" t="s">
        <v>14201</v>
      </c>
      <c r="I5746" t="s">
        <v>7233</v>
      </c>
      <c r="J5746" t="s">
        <v>32789</v>
      </c>
      <c r="K5746" t="s">
        <v>42631</v>
      </c>
      <c r="M5746" t="s">
        <v>45020</v>
      </c>
      <c r="N5746" t="s">
        <v>47304</v>
      </c>
      <c r="O5746" t="s">
        <v>47305</v>
      </c>
      <c r="P5746">
        <v>0</v>
      </c>
      <c r="Q5746">
        <v>0</v>
      </c>
      <c r="R5746" t="s">
        <v>47308</v>
      </c>
      <c r="S5746" t="s">
        <v>47429</v>
      </c>
      <c r="T5746" t="s">
        <v>48986</v>
      </c>
      <c r="U5746" t="s">
        <v>54367</v>
      </c>
      <c r="W5746" t="s">
        <v>45020</v>
      </c>
      <c r="X5746" t="s">
        <v>47309</v>
      </c>
    </row>
    <row r="5747" spans="1:24">
      <c r="A5747">
        <f>HYPERLINK("https://www.philgeps.gov.ph/GEPSNONPILOT/Tender/SplashBidNoticeAbstractUI.aspx?menuIndex=3&amp;refID=7194212&amp;Result=3","7194212")</f>
        <v>0</v>
      </c>
      <c r="B5747" t="s">
        <v>1961</v>
      </c>
      <c r="C5747" t="s">
        <v>9247</v>
      </c>
      <c r="D5747" t="s">
        <v>19011</v>
      </c>
      <c r="E5747" t="s">
        <v>24169</v>
      </c>
      <c r="F5747" t="s">
        <v>32606</v>
      </c>
      <c r="G5747" t="s">
        <v>32614</v>
      </c>
      <c r="H5747" t="s">
        <v>14201</v>
      </c>
      <c r="I5747" t="s">
        <v>4114</v>
      </c>
      <c r="J5747" t="s">
        <v>36514</v>
      </c>
      <c r="K5747" t="s">
        <v>42630</v>
      </c>
      <c r="M5747" t="s">
        <v>45024</v>
      </c>
      <c r="N5747" t="s">
        <v>47304</v>
      </c>
      <c r="O5747" t="s">
        <v>47305</v>
      </c>
      <c r="P5747">
        <v>0</v>
      </c>
      <c r="Q5747">
        <v>6</v>
      </c>
      <c r="R5747" t="s">
        <v>47308</v>
      </c>
      <c r="S5747" t="s">
        <v>47429</v>
      </c>
      <c r="T5747" t="s">
        <v>49165</v>
      </c>
      <c r="U5747" t="s">
        <v>54368</v>
      </c>
      <c r="W5747" t="s">
        <v>45024</v>
      </c>
      <c r="X5747" t="s">
        <v>47309</v>
      </c>
    </row>
    <row r="5748" spans="1:24">
      <c r="A5748">
        <f>HYPERLINK("https://www.philgeps.gov.ph/GEPSNONPILOT/Tender/SplashBidNoticeAbstractUI.aspx?menuIndex=3&amp;refID=7194203&amp;Result=3","7194203")</f>
        <v>0</v>
      </c>
      <c r="B5748" t="s">
        <v>1962</v>
      </c>
      <c r="C5748" t="s">
        <v>9248</v>
      </c>
      <c r="D5748" t="s">
        <v>19060</v>
      </c>
      <c r="E5748" t="s">
        <v>9248</v>
      </c>
      <c r="F5748" t="s">
        <v>32606</v>
      </c>
      <c r="G5748" t="s">
        <v>32614</v>
      </c>
      <c r="H5748" t="s">
        <v>14201</v>
      </c>
      <c r="I5748" t="s">
        <v>6298</v>
      </c>
      <c r="J5748" t="s">
        <v>32981</v>
      </c>
      <c r="K5748" t="s">
        <v>42623</v>
      </c>
      <c r="L5748" t="s">
        <v>1962</v>
      </c>
      <c r="M5748" t="s">
        <v>45025</v>
      </c>
      <c r="N5748" t="s">
        <v>47304</v>
      </c>
      <c r="O5748" t="s">
        <v>47305</v>
      </c>
      <c r="P5748">
        <v>0</v>
      </c>
      <c r="Q5748">
        <v>0</v>
      </c>
      <c r="R5748" t="s">
        <v>47308</v>
      </c>
      <c r="S5748" t="s">
        <v>47429</v>
      </c>
      <c r="T5748" t="s">
        <v>49072</v>
      </c>
      <c r="U5748" t="s">
        <v>52667</v>
      </c>
      <c r="W5748" t="s">
        <v>45025</v>
      </c>
      <c r="X5748" t="s">
        <v>47309</v>
      </c>
    </row>
    <row r="5749" spans="1:24">
      <c r="A5749">
        <f>HYPERLINK("https://www.philgeps.gov.ph/GEPSNONPILOT/Tender/SplashBidNoticeAbstractUI.aspx?menuIndex=3&amp;refID=7194200&amp;Result=3","7194200")</f>
        <v>0</v>
      </c>
      <c r="B5749" t="s">
        <v>575</v>
      </c>
      <c r="C5749" t="s">
        <v>4540</v>
      </c>
      <c r="D5749" t="s">
        <v>19036</v>
      </c>
      <c r="E5749" t="s">
        <v>24170</v>
      </c>
      <c r="F5749" t="s">
        <v>32606</v>
      </c>
      <c r="G5749" t="s">
        <v>32614</v>
      </c>
      <c r="H5749" t="s">
        <v>14201</v>
      </c>
      <c r="I5749" t="s">
        <v>32633</v>
      </c>
      <c r="J5749" t="s">
        <v>36515</v>
      </c>
      <c r="K5749" t="s">
        <v>42622</v>
      </c>
      <c r="M5749" t="s">
        <v>44070</v>
      </c>
      <c r="N5749" t="s">
        <v>47304</v>
      </c>
      <c r="O5749" t="s">
        <v>47305</v>
      </c>
      <c r="P5749">
        <v>0</v>
      </c>
      <c r="Q5749">
        <v>1</v>
      </c>
      <c r="R5749" t="s">
        <v>47308</v>
      </c>
      <c r="S5749" t="s">
        <v>47429</v>
      </c>
      <c r="T5749" t="s">
        <v>49257</v>
      </c>
      <c r="U5749" t="s">
        <v>54369</v>
      </c>
      <c r="W5749" t="s">
        <v>44070</v>
      </c>
      <c r="X5749" t="s">
        <v>47309</v>
      </c>
    </row>
    <row r="5750" spans="1:24">
      <c r="A5750">
        <f>HYPERLINK("https://www.philgeps.gov.ph/GEPSNONPILOT/Tender/SplashBidNoticeAbstractUI.aspx?menuIndex=3&amp;refID=7194145&amp;Result=3","7194145")</f>
        <v>0</v>
      </c>
      <c r="B5750" t="s">
        <v>1955</v>
      </c>
      <c r="C5750" t="s">
        <v>9249</v>
      </c>
      <c r="D5750" t="s">
        <v>19039</v>
      </c>
      <c r="E5750" t="s">
        <v>24171</v>
      </c>
      <c r="F5750" t="s">
        <v>32606</v>
      </c>
      <c r="G5750" t="s">
        <v>32613</v>
      </c>
      <c r="H5750" t="s">
        <v>14201</v>
      </c>
      <c r="I5750" t="s">
        <v>4678</v>
      </c>
      <c r="J5750" t="s">
        <v>36516</v>
      </c>
      <c r="K5750" t="s">
        <v>42631</v>
      </c>
      <c r="M5750" t="s">
        <v>45016</v>
      </c>
      <c r="N5750" t="s">
        <v>47304</v>
      </c>
      <c r="O5750" t="s">
        <v>47305</v>
      </c>
      <c r="P5750">
        <v>0</v>
      </c>
      <c r="Q5750">
        <v>3</v>
      </c>
      <c r="R5750" t="s">
        <v>47308</v>
      </c>
      <c r="S5750" t="s">
        <v>47429</v>
      </c>
      <c r="T5750" t="s">
        <v>48972</v>
      </c>
      <c r="U5750" t="s">
        <v>54346</v>
      </c>
      <c r="V5750" t="s">
        <v>63188</v>
      </c>
      <c r="W5750" t="s">
        <v>45016</v>
      </c>
      <c r="X5750" t="s">
        <v>47309</v>
      </c>
    </row>
    <row r="5751" spans="1:24">
      <c r="A5751">
        <f>HYPERLINK("https://www.philgeps.gov.ph/GEPSNONPILOT/Tender/SplashBidNoticeAbstractUI.aspx?menuIndex=3&amp;refID=7194206&amp;Result=3","7194206")</f>
        <v>0</v>
      </c>
      <c r="B5751" t="s">
        <v>1500</v>
      </c>
      <c r="C5751" t="s">
        <v>9250</v>
      </c>
      <c r="D5751" t="s">
        <v>19064</v>
      </c>
      <c r="E5751" t="s">
        <v>24172</v>
      </c>
      <c r="F5751" t="s">
        <v>32606</v>
      </c>
      <c r="G5751" t="s">
        <v>32619</v>
      </c>
      <c r="H5751" t="s">
        <v>14201</v>
      </c>
      <c r="I5751" t="s">
        <v>6298</v>
      </c>
      <c r="J5751" t="s">
        <v>36517</v>
      </c>
      <c r="K5751" t="s">
        <v>42639</v>
      </c>
      <c r="M5751" t="s">
        <v>45022</v>
      </c>
      <c r="N5751" t="s">
        <v>47304</v>
      </c>
      <c r="O5751" t="s">
        <v>47305</v>
      </c>
      <c r="P5751">
        <v>0</v>
      </c>
      <c r="Q5751">
        <v>0</v>
      </c>
      <c r="R5751" t="s">
        <v>47308</v>
      </c>
      <c r="S5751" t="s">
        <v>47429</v>
      </c>
      <c r="T5751" t="s">
        <v>49325</v>
      </c>
      <c r="U5751" t="s">
        <v>54365</v>
      </c>
      <c r="W5751" t="s">
        <v>64486</v>
      </c>
      <c r="X5751" t="s">
        <v>47309</v>
      </c>
    </row>
    <row r="5752" spans="1:24">
      <c r="A5752">
        <f>HYPERLINK("https://www.philgeps.gov.ph/GEPSNONPILOT/Tender/SplashBidNoticeAbstractUI.aspx?menuIndex=3&amp;refID=7194217&amp;Result=3","7194217")</f>
        <v>0</v>
      </c>
      <c r="B5752" t="s">
        <v>1500</v>
      </c>
      <c r="C5752" t="s">
        <v>9251</v>
      </c>
      <c r="E5752" t="s">
        <v>24173</v>
      </c>
      <c r="F5752" t="s">
        <v>32606</v>
      </c>
      <c r="G5752" t="s">
        <v>32619</v>
      </c>
      <c r="H5752" t="s">
        <v>14201</v>
      </c>
      <c r="I5752" t="s">
        <v>6298</v>
      </c>
      <c r="J5752" t="s">
        <v>36518</v>
      </c>
      <c r="K5752" t="s">
        <v>42631</v>
      </c>
      <c r="M5752" t="s">
        <v>45022</v>
      </c>
      <c r="N5752" t="s">
        <v>47304</v>
      </c>
      <c r="O5752" t="s">
        <v>47305</v>
      </c>
      <c r="P5752">
        <v>0</v>
      </c>
      <c r="Q5752">
        <v>0</v>
      </c>
      <c r="R5752" t="s">
        <v>47308</v>
      </c>
      <c r="S5752" t="s">
        <v>47429</v>
      </c>
      <c r="T5752" t="s">
        <v>49325</v>
      </c>
      <c r="U5752" t="s">
        <v>54365</v>
      </c>
      <c r="W5752" t="s">
        <v>64486</v>
      </c>
      <c r="X5752" t="s">
        <v>47309</v>
      </c>
    </row>
    <row r="5753" spans="1:24">
      <c r="A5753">
        <f>HYPERLINK("https://www.philgeps.gov.ph/GEPSNONPILOT/Tender/SplashBidNoticeAbstractUI.aspx?menuIndex=3&amp;refID=7194235&amp;Result=3","7194235")</f>
        <v>0</v>
      </c>
      <c r="B5753" t="s">
        <v>1951</v>
      </c>
      <c r="C5753" t="s">
        <v>9252</v>
      </c>
      <c r="D5753" t="s">
        <v>19007</v>
      </c>
      <c r="E5753" t="s">
        <v>24174</v>
      </c>
      <c r="F5753" t="s">
        <v>32606</v>
      </c>
      <c r="G5753" t="s">
        <v>32613</v>
      </c>
      <c r="H5753" t="s">
        <v>32623</v>
      </c>
      <c r="I5753" t="s">
        <v>17648</v>
      </c>
      <c r="J5753" t="s">
        <v>36519</v>
      </c>
      <c r="K5753" t="s">
        <v>42648</v>
      </c>
      <c r="M5753" t="s">
        <v>45012</v>
      </c>
      <c r="N5753" t="s">
        <v>47304</v>
      </c>
      <c r="O5753" t="s">
        <v>47305</v>
      </c>
      <c r="P5753">
        <v>0</v>
      </c>
      <c r="Q5753">
        <v>4</v>
      </c>
      <c r="R5753" t="s">
        <v>47308</v>
      </c>
      <c r="S5753" t="s">
        <v>47429</v>
      </c>
      <c r="T5753" t="s">
        <v>49108</v>
      </c>
      <c r="U5753" t="s">
        <v>54370</v>
      </c>
      <c r="W5753" t="s">
        <v>45012</v>
      </c>
      <c r="X5753" t="s">
        <v>47309</v>
      </c>
    </row>
    <row r="5754" spans="1:24">
      <c r="A5754">
        <f>HYPERLINK("https://www.philgeps.gov.ph/GEPSNONPILOT/Tender/SplashBidNoticeAbstractUI.aspx?menuIndex=3&amp;refID=7194202&amp;Result=3","7194202")</f>
        <v>0</v>
      </c>
      <c r="B5754" t="s">
        <v>1500</v>
      </c>
      <c r="C5754" t="s">
        <v>9253</v>
      </c>
      <c r="D5754" t="s">
        <v>19064</v>
      </c>
      <c r="E5754" t="s">
        <v>24175</v>
      </c>
      <c r="F5754" t="s">
        <v>32606</v>
      </c>
      <c r="G5754" t="s">
        <v>32614</v>
      </c>
      <c r="H5754" t="s">
        <v>32624</v>
      </c>
      <c r="I5754" t="s">
        <v>32652</v>
      </c>
      <c r="J5754" t="s">
        <v>36520</v>
      </c>
      <c r="K5754" t="s">
        <v>42631</v>
      </c>
      <c r="M5754" t="s">
        <v>45022</v>
      </c>
      <c r="N5754" t="s">
        <v>47304</v>
      </c>
      <c r="O5754" t="s">
        <v>47305</v>
      </c>
      <c r="P5754">
        <v>0</v>
      </c>
      <c r="Q5754">
        <v>0</v>
      </c>
      <c r="R5754" t="s">
        <v>47308</v>
      </c>
      <c r="S5754" t="s">
        <v>47429</v>
      </c>
      <c r="T5754" t="s">
        <v>49325</v>
      </c>
      <c r="U5754" t="s">
        <v>54365</v>
      </c>
      <c r="W5754" t="s">
        <v>64486</v>
      </c>
      <c r="X5754" t="s">
        <v>47309</v>
      </c>
    </row>
    <row r="5755" spans="1:24">
      <c r="A5755">
        <f>HYPERLINK("https://www.philgeps.gov.ph/GEPSNONPILOT/Tender/SplashBidNoticeAbstractUI.aspx?menuIndex=3&amp;refID=7194234&amp;Result=3","7194234")</f>
        <v>0</v>
      </c>
      <c r="B5755" t="s">
        <v>1960</v>
      </c>
      <c r="C5755" t="s">
        <v>9254</v>
      </c>
      <c r="D5755" t="s">
        <v>18994</v>
      </c>
      <c r="E5755" t="s">
        <v>24176</v>
      </c>
      <c r="F5755" t="s">
        <v>32606</v>
      </c>
      <c r="G5755" t="s">
        <v>32613</v>
      </c>
      <c r="H5755" t="s">
        <v>14201</v>
      </c>
      <c r="I5755" t="s">
        <v>6298</v>
      </c>
      <c r="J5755" t="s">
        <v>34394</v>
      </c>
      <c r="K5755" t="s">
        <v>42631</v>
      </c>
      <c r="M5755" t="s">
        <v>45023</v>
      </c>
      <c r="N5755" t="s">
        <v>47304</v>
      </c>
      <c r="O5755" t="s">
        <v>47305</v>
      </c>
      <c r="P5755">
        <v>0</v>
      </c>
      <c r="Q5755">
        <v>6</v>
      </c>
      <c r="R5755" t="s">
        <v>47308</v>
      </c>
      <c r="S5755" t="s">
        <v>47429</v>
      </c>
      <c r="T5755" t="s">
        <v>49129</v>
      </c>
      <c r="U5755" t="s">
        <v>54371</v>
      </c>
      <c r="W5755" t="s">
        <v>45023</v>
      </c>
      <c r="X5755" t="s">
        <v>47309</v>
      </c>
    </row>
    <row r="5756" spans="1:24">
      <c r="A5756">
        <f>HYPERLINK("https://www.philgeps.gov.ph/GEPSNONPILOT/Tender/SplashBidNoticeAbstractUI.aspx?menuIndex=3&amp;refID=7194233&amp;Result=3","7194233")</f>
        <v>0</v>
      </c>
      <c r="B5756" t="s">
        <v>1963</v>
      </c>
      <c r="C5756" t="s">
        <v>9255</v>
      </c>
      <c r="D5756" t="s">
        <v>19003</v>
      </c>
      <c r="E5756" t="s">
        <v>24177</v>
      </c>
      <c r="F5756" t="s">
        <v>32606</v>
      </c>
      <c r="G5756" t="s">
        <v>32613</v>
      </c>
      <c r="H5756" t="s">
        <v>14201</v>
      </c>
      <c r="I5756" t="s">
        <v>4678</v>
      </c>
      <c r="J5756" t="s">
        <v>34207</v>
      </c>
      <c r="K5756" t="s">
        <v>42631</v>
      </c>
      <c r="M5756" t="s">
        <v>45026</v>
      </c>
      <c r="N5756" t="s">
        <v>47304</v>
      </c>
      <c r="O5756" t="s">
        <v>47305</v>
      </c>
      <c r="P5756">
        <v>0</v>
      </c>
      <c r="Q5756">
        <v>4</v>
      </c>
      <c r="R5756" t="s">
        <v>47308</v>
      </c>
      <c r="S5756" t="s">
        <v>47429</v>
      </c>
      <c r="T5756" t="s">
        <v>49028</v>
      </c>
      <c r="U5756" t="s">
        <v>54372</v>
      </c>
      <c r="W5756" t="s">
        <v>45026</v>
      </c>
      <c r="X5756" t="s">
        <v>47309</v>
      </c>
    </row>
    <row r="5757" spans="1:24">
      <c r="A5757">
        <f>HYPERLINK("https://www.philgeps.gov.ph/GEPSNONPILOT/Tender/SplashBidNoticeAbstractUI.aspx?menuIndex=3&amp;refID=7194199&amp;Result=3","7194199")</f>
        <v>0</v>
      </c>
      <c r="B5757" t="s">
        <v>1500</v>
      </c>
      <c r="C5757" t="s">
        <v>9256</v>
      </c>
      <c r="D5757" t="s">
        <v>19064</v>
      </c>
      <c r="E5757" t="s">
        <v>24178</v>
      </c>
      <c r="F5757" t="s">
        <v>32606</v>
      </c>
      <c r="G5757" t="s">
        <v>32619</v>
      </c>
      <c r="H5757" t="s">
        <v>14201</v>
      </c>
      <c r="I5757" t="s">
        <v>6298</v>
      </c>
      <c r="J5757" t="s">
        <v>34478</v>
      </c>
      <c r="K5757" t="s">
        <v>42631</v>
      </c>
      <c r="M5757" t="s">
        <v>45022</v>
      </c>
      <c r="N5757" t="s">
        <v>47304</v>
      </c>
      <c r="O5757" t="s">
        <v>47305</v>
      </c>
      <c r="P5757">
        <v>0</v>
      </c>
      <c r="Q5757">
        <v>2</v>
      </c>
      <c r="R5757" t="s">
        <v>47308</v>
      </c>
      <c r="S5757" t="s">
        <v>47429</v>
      </c>
      <c r="T5757" t="s">
        <v>49325</v>
      </c>
      <c r="U5757" t="s">
        <v>54365</v>
      </c>
      <c r="W5757" t="s">
        <v>64486</v>
      </c>
      <c r="X5757" t="s">
        <v>47309</v>
      </c>
    </row>
    <row r="5758" spans="1:24">
      <c r="A5758">
        <f>HYPERLINK("https://www.philgeps.gov.ph/GEPSNONPILOT/Tender/SplashBidNoticeAbstractUI.aspx?menuIndex=3&amp;refID=7194231&amp;Result=3","7194231")</f>
        <v>0</v>
      </c>
      <c r="B5758" t="s">
        <v>1962</v>
      </c>
      <c r="C5758" t="s">
        <v>9257</v>
      </c>
      <c r="D5758" t="s">
        <v>19060</v>
      </c>
      <c r="E5758" t="s">
        <v>9257</v>
      </c>
      <c r="F5758" t="s">
        <v>32606</v>
      </c>
      <c r="G5758" t="s">
        <v>32614</v>
      </c>
      <c r="H5758" t="s">
        <v>14201</v>
      </c>
      <c r="I5758" t="s">
        <v>6931</v>
      </c>
      <c r="J5758" t="s">
        <v>32752</v>
      </c>
      <c r="K5758" t="s">
        <v>42623</v>
      </c>
      <c r="L5758" t="s">
        <v>1962</v>
      </c>
      <c r="M5758" t="s">
        <v>45025</v>
      </c>
      <c r="N5758" t="s">
        <v>47304</v>
      </c>
      <c r="O5758" t="s">
        <v>47305</v>
      </c>
      <c r="P5758">
        <v>0</v>
      </c>
      <c r="Q5758">
        <v>0</v>
      </c>
      <c r="R5758" t="s">
        <v>47308</v>
      </c>
      <c r="S5758" t="s">
        <v>47429</v>
      </c>
      <c r="T5758" t="s">
        <v>49072</v>
      </c>
      <c r="U5758" t="s">
        <v>54373</v>
      </c>
      <c r="W5758" t="s">
        <v>45025</v>
      </c>
      <c r="X5758" t="s">
        <v>47309</v>
      </c>
    </row>
    <row r="5759" spans="1:24">
      <c r="A5759">
        <f>HYPERLINK("https://www.philgeps.gov.ph/GEPSNONPILOT/Tender/SplashBidNoticeAbstractUI.aspx?menuIndex=3&amp;refID=7194211&amp;Result=3","7194211")</f>
        <v>0</v>
      </c>
      <c r="B5759" t="s">
        <v>1500</v>
      </c>
      <c r="C5759" t="s">
        <v>9258</v>
      </c>
      <c r="D5759" t="s">
        <v>19064</v>
      </c>
      <c r="E5759" t="s">
        <v>24179</v>
      </c>
      <c r="F5759" t="s">
        <v>32606</v>
      </c>
      <c r="G5759" t="s">
        <v>32619</v>
      </c>
      <c r="H5759" t="s">
        <v>14201</v>
      </c>
      <c r="I5759" t="s">
        <v>32714</v>
      </c>
      <c r="J5759" t="s">
        <v>35016</v>
      </c>
      <c r="K5759" t="s">
        <v>42636</v>
      </c>
      <c r="M5759" t="s">
        <v>45022</v>
      </c>
      <c r="N5759" t="s">
        <v>47304</v>
      </c>
      <c r="O5759" t="s">
        <v>47305</v>
      </c>
      <c r="P5759">
        <v>0</v>
      </c>
      <c r="Q5759">
        <v>7</v>
      </c>
      <c r="R5759" t="s">
        <v>47308</v>
      </c>
      <c r="S5759" t="s">
        <v>47429</v>
      </c>
      <c r="T5759" t="s">
        <v>49325</v>
      </c>
      <c r="U5759" t="s">
        <v>54365</v>
      </c>
      <c r="W5759" t="s">
        <v>64486</v>
      </c>
      <c r="X5759" t="s">
        <v>47309</v>
      </c>
    </row>
    <row r="5760" spans="1:24">
      <c r="A5760">
        <f>HYPERLINK("https://www.philgeps.gov.ph/GEPSNONPILOT/Tender/SplashBidNoticeAbstractUI.aspx?menuIndex=3&amp;refID=7194230&amp;Result=3","7194230")</f>
        <v>0</v>
      </c>
      <c r="B5760" t="s">
        <v>1964</v>
      </c>
      <c r="C5760" t="s">
        <v>9259</v>
      </c>
      <c r="D5760" t="s">
        <v>18995</v>
      </c>
      <c r="E5760" t="s">
        <v>24180</v>
      </c>
      <c r="F5760" t="s">
        <v>32606</v>
      </c>
      <c r="G5760" t="s">
        <v>32613</v>
      </c>
      <c r="H5760" t="s">
        <v>14201</v>
      </c>
      <c r="I5760" t="s">
        <v>17648</v>
      </c>
      <c r="J5760" t="s">
        <v>32980</v>
      </c>
      <c r="K5760" t="s">
        <v>42631</v>
      </c>
      <c r="M5760" t="s">
        <v>45027</v>
      </c>
      <c r="N5760" t="s">
        <v>47304</v>
      </c>
      <c r="O5760" t="s">
        <v>47305</v>
      </c>
      <c r="P5760">
        <v>0</v>
      </c>
      <c r="Q5760">
        <v>1</v>
      </c>
      <c r="R5760" t="s">
        <v>47308</v>
      </c>
      <c r="S5760" t="s">
        <v>47429</v>
      </c>
      <c r="T5760" t="s">
        <v>48975</v>
      </c>
      <c r="U5760" t="s">
        <v>54374</v>
      </c>
      <c r="W5760" t="s">
        <v>45027</v>
      </c>
      <c r="X5760" t="s">
        <v>47309</v>
      </c>
    </row>
    <row r="5761" spans="1:24">
      <c r="A5761">
        <f>HYPERLINK("https://www.philgeps.gov.ph/GEPSNONPILOT/Tender/SplashBidNoticeAbstractUI.aspx?menuIndex=3&amp;refID=7194228&amp;Result=3","7194228")</f>
        <v>0</v>
      </c>
      <c r="B5761" t="s">
        <v>1698</v>
      </c>
      <c r="C5761" t="s">
        <v>9260</v>
      </c>
      <c r="E5761" t="s">
        <v>24181</v>
      </c>
      <c r="F5761" t="s">
        <v>32606</v>
      </c>
      <c r="G5761" t="s">
        <v>32613</v>
      </c>
      <c r="H5761" t="s">
        <v>14201</v>
      </c>
      <c r="I5761" t="s">
        <v>32626</v>
      </c>
      <c r="J5761" t="s">
        <v>36521</v>
      </c>
      <c r="K5761" t="s">
        <v>42624</v>
      </c>
      <c r="M5761" t="s">
        <v>44727</v>
      </c>
      <c r="N5761" t="s">
        <v>47304</v>
      </c>
      <c r="O5761" t="s">
        <v>47305</v>
      </c>
      <c r="P5761">
        <v>0</v>
      </c>
      <c r="Q5761">
        <v>1</v>
      </c>
      <c r="R5761" t="s">
        <v>47308</v>
      </c>
      <c r="S5761" t="s">
        <v>47429</v>
      </c>
      <c r="T5761" t="s">
        <v>49326</v>
      </c>
      <c r="U5761" t="s">
        <v>54375</v>
      </c>
      <c r="W5761" t="s">
        <v>44727</v>
      </c>
      <c r="X5761" t="s">
        <v>47309</v>
      </c>
    </row>
    <row r="5762" spans="1:24">
      <c r="A5762">
        <f>HYPERLINK("https://www.philgeps.gov.ph/GEPSNONPILOT/Tender/SplashBidNoticeAbstractUI.aspx?menuIndex=3&amp;refID=7194120&amp;Result=3","7194120")</f>
        <v>0</v>
      </c>
      <c r="B5762" t="s">
        <v>1947</v>
      </c>
      <c r="C5762" t="s">
        <v>9261</v>
      </c>
      <c r="D5762" t="s">
        <v>19011</v>
      </c>
      <c r="E5762" t="s">
        <v>24182</v>
      </c>
      <c r="F5762" t="s">
        <v>32606</v>
      </c>
      <c r="G5762" t="s">
        <v>32613</v>
      </c>
      <c r="H5762" t="s">
        <v>32623</v>
      </c>
      <c r="I5762" t="s">
        <v>17648</v>
      </c>
      <c r="J5762" t="s">
        <v>33102</v>
      </c>
      <c r="K5762" t="s">
        <v>42624</v>
      </c>
      <c r="M5762" t="s">
        <v>45008</v>
      </c>
      <c r="N5762" t="s">
        <v>47304</v>
      </c>
      <c r="O5762" t="s">
        <v>47305</v>
      </c>
      <c r="P5762">
        <v>0</v>
      </c>
      <c r="Q5762">
        <v>0</v>
      </c>
      <c r="R5762" t="s">
        <v>47308</v>
      </c>
      <c r="S5762" t="s">
        <v>47429</v>
      </c>
      <c r="T5762" t="s">
        <v>49261</v>
      </c>
      <c r="U5762" t="s">
        <v>54376</v>
      </c>
      <c r="W5762" t="s">
        <v>45008</v>
      </c>
      <c r="X5762" t="s">
        <v>47309</v>
      </c>
    </row>
    <row r="5763" spans="1:24">
      <c r="A5763">
        <f>HYPERLINK("https://www.philgeps.gov.ph/GEPSNONPILOT/Tender/SplashBidNoticeAbstractUI.aspx?menuIndex=3&amp;refID=7194227&amp;Result=3","7194227")</f>
        <v>0</v>
      </c>
      <c r="B5763" t="s">
        <v>1962</v>
      </c>
      <c r="C5763" t="s">
        <v>9262</v>
      </c>
      <c r="D5763" t="s">
        <v>19060</v>
      </c>
      <c r="E5763" t="s">
        <v>9262</v>
      </c>
      <c r="F5763" t="s">
        <v>32606</v>
      </c>
      <c r="G5763" t="s">
        <v>32614</v>
      </c>
      <c r="H5763" t="s">
        <v>14201</v>
      </c>
      <c r="I5763" t="s">
        <v>6298</v>
      </c>
      <c r="J5763" t="s">
        <v>36522</v>
      </c>
      <c r="K5763" t="s">
        <v>42623</v>
      </c>
      <c r="L5763" t="s">
        <v>1962</v>
      </c>
      <c r="M5763" t="s">
        <v>45025</v>
      </c>
      <c r="N5763" t="s">
        <v>47304</v>
      </c>
      <c r="O5763" t="s">
        <v>47305</v>
      </c>
      <c r="P5763">
        <v>0</v>
      </c>
      <c r="Q5763">
        <v>0</v>
      </c>
      <c r="R5763" t="s">
        <v>47308</v>
      </c>
      <c r="S5763" t="s">
        <v>47429</v>
      </c>
      <c r="T5763" t="s">
        <v>49072</v>
      </c>
      <c r="U5763" t="s">
        <v>54377</v>
      </c>
      <c r="W5763" t="s">
        <v>45025</v>
      </c>
      <c r="X5763" t="s">
        <v>47309</v>
      </c>
    </row>
    <row r="5764" spans="1:24">
      <c r="A5764">
        <f>HYPERLINK("https://www.philgeps.gov.ph/GEPSNONPILOT/Tender/SplashBidNoticeAbstractUI.aspx?menuIndex=3&amp;refID=7194226&amp;Result=3","7194226")</f>
        <v>0</v>
      </c>
      <c r="B5764" t="s">
        <v>1960</v>
      </c>
      <c r="C5764" t="s">
        <v>9263</v>
      </c>
      <c r="D5764" t="s">
        <v>18994</v>
      </c>
      <c r="E5764" t="s">
        <v>24183</v>
      </c>
      <c r="F5764" t="s">
        <v>32606</v>
      </c>
      <c r="G5764" t="s">
        <v>32613</v>
      </c>
      <c r="H5764" t="s">
        <v>14201</v>
      </c>
      <c r="I5764" t="s">
        <v>32633</v>
      </c>
      <c r="J5764" t="s">
        <v>36523</v>
      </c>
      <c r="K5764" t="s">
        <v>42631</v>
      </c>
      <c r="M5764" t="s">
        <v>45023</v>
      </c>
      <c r="N5764" t="s">
        <v>47304</v>
      </c>
      <c r="O5764" t="s">
        <v>47305</v>
      </c>
      <c r="P5764">
        <v>0</v>
      </c>
      <c r="Q5764">
        <v>9</v>
      </c>
      <c r="R5764" t="s">
        <v>47308</v>
      </c>
      <c r="S5764" t="s">
        <v>47429</v>
      </c>
      <c r="T5764" t="s">
        <v>49129</v>
      </c>
      <c r="U5764" t="s">
        <v>54378</v>
      </c>
      <c r="W5764" t="s">
        <v>45023</v>
      </c>
      <c r="X5764" t="s">
        <v>47309</v>
      </c>
    </row>
    <row r="5765" spans="1:24">
      <c r="A5765">
        <f>HYPERLINK("https://www.philgeps.gov.ph/GEPSNONPILOT/Tender/SplashBidNoticeAbstractUI.aspx?menuIndex=3&amp;refID=7194225&amp;Result=3","7194225")</f>
        <v>0</v>
      </c>
      <c r="B5765" t="s">
        <v>1965</v>
      </c>
      <c r="C5765" t="s">
        <v>9264</v>
      </c>
      <c r="D5765" t="s">
        <v>19007</v>
      </c>
      <c r="E5765" t="s">
        <v>24184</v>
      </c>
      <c r="F5765" t="s">
        <v>32606</v>
      </c>
      <c r="G5765" t="s">
        <v>32619</v>
      </c>
      <c r="H5765" t="s">
        <v>14201</v>
      </c>
      <c r="I5765" t="s">
        <v>32633</v>
      </c>
      <c r="J5765" t="s">
        <v>33630</v>
      </c>
      <c r="K5765" t="s">
        <v>42630</v>
      </c>
      <c r="M5765" t="s">
        <v>45028</v>
      </c>
      <c r="N5765" t="s">
        <v>47304</v>
      </c>
      <c r="O5765" t="s">
        <v>47305</v>
      </c>
      <c r="P5765">
        <v>0</v>
      </c>
      <c r="Q5765">
        <v>4</v>
      </c>
      <c r="R5765" t="s">
        <v>47308</v>
      </c>
      <c r="S5765" t="s">
        <v>47429</v>
      </c>
      <c r="T5765" t="s">
        <v>49020</v>
      </c>
      <c r="U5765" t="s">
        <v>54379</v>
      </c>
      <c r="W5765" t="s">
        <v>45028</v>
      </c>
      <c r="X5765" t="s">
        <v>47309</v>
      </c>
    </row>
    <row r="5766" spans="1:24">
      <c r="A5766">
        <f>HYPERLINK("https://www.philgeps.gov.ph/GEPSNONPILOT/Tender/SplashBidNoticeAbstractUI.aspx?menuIndex=3&amp;refID=7194222&amp;Result=3","7194222")</f>
        <v>0</v>
      </c>
      <c r="B5766" t="s">
        <v>1964</v>
      </c>
      <c r="C5766" t="s">
        <v>9265</v>
      </c>
      <c r="D5766" t="s">
        <v>18995</v>
      </c>
      <c r="E5766" t="s">
        <v>24180</v>
      </c>
      <c r="F5766" t="s">
        <v>32606</v>
      </c>
      <c r="G5766" t="s">
        <v>32613</v>
      </c>
      <c r="H5766" t="s">
        <v>14201</v>
      </c>
      <c r="I5766" t="s">
        <v>4114</v>
      </c>
      <c r="J5766" t="s">
        <v>33291</v>
      </c>
      <c r="K5766" t="s">
        <v>42630</v>
      </c>
      <c r="M5766" t="s">
        <v>45027</v>
      </c>
      <c r="N5766" t="s">
        <v>47304</v>
      </c>
      <c r="O5766" t="s">
        <v>47305</v>
      </c>
      <c r="P5766">
        <v>0</v>
      </c>
      <c r="Q5766">
        <v>2</v>
      </c>
      <c r="R5766" t="s">
        <v>47308</v>
      </c>
      <c r="S5766" t="s">
        <v>47429</v>
      </c>
      <c r="T5766" t="s">
        <v>49015</v>
      </c>
      <c r="U5766" t="s">
        <v>54380</v>
      </c>
      <c r="W5766" t="s">
        <v>45027</v>
      </c>
      <c r="X5766" t="s">
        <v>47309</v>
      </c>
    </row>
    <row r="5767" spans="1:24">
      <c r="A5767">
        <f>HYPERLINK("https://www.philgeps.gov.ph/GEPSNONPILOT/Tender/SplashBidNoticeAbstractUI.aspx?menuIndex=3&amp;refID=7194221&amp;Result=3","7194221")</f>
        <v>0</v>
      </c>
      <c r="B5767" t="s">
        <v>1964</v>
      </c>
      <c r="C5767" t="s">
        <v>9266</v>
      </c>
      <c r="D5767" t="s">
        <v>18995</v>
      </c>
      <c r="E5767" t="s">
        <v>24180</v>
      </c>
      <c r="F5767" t="s">
        <v>32606</v>
      </c>
      <c r="G5767" t="s">
        <v>32613</v>
      </c>
      <c r="H5767" t="s">
        <v>14201</v>
      </c>
      <c r="I5767" t="s">
        <v>32681</v>
      </c>
      <c r="J5767" t="s">
        <v>33291</v>
      </c>
      <c r="K5767" t="s">
        <v>42630</v>
      </c>
      <c r="M5767" t="s">
        <v>45027</v>
      </c>
      <c r="N5767" t="s">
        <v>47304</v>
      </c>
      <c r="O5767" t="s">
        <v>47305</v>
      </c>
      <c r="P5767">
        <v>0</v>
      </c>
      <c r="Q5767">
        <v>1</v>
      </c>
      <c r="R5767" t="s">
        <v>47308</v>
      </c>
      <c r="S5767" t="s">
        <v>47429</v>
      </c>
      <c r="T5767" t="s">
        <v>49015</v>
      </c>
      <c r="U5767" t="s">
        <v>54381</v>
      </c>
      <c r="W5767" t="s">
        <v>45027</v>
      </c>
      <c r="X5767" t="s">
        <v>47309</v>
      </c>
    </row>
    <row r="5768" spans="1:24">
      <c r="A5768">
        <f>HYPERLINK("https://www.philgeps.gov.ph/GEPSNONPILOT/Tender/SplashBidNoticeAbstractUI.aspx?menuIndex=3&amp;refID=7194219&amp;Result=3","7194219")</f>
        <v>0</v>
      </c>
      <c r="B5768" t="s">
        <v>1500</v>
      </c>
      <c r="C5768" t="s">
        <v>9267</v>
      </c>
      <c r="D5768" t="s">
        <v>19064</v>
      </c>
      <c r="E5768" t="s">
        <v>24185</v>
      </c>
      <c r="F5768" t="s">
        <v>32606</v>
      </c>
      <c r="G5768" t="s">
        <v>32619</v>
      </c>
      <c r="H5768" t="s">
        <v>14201</v>
      </c>
      <c r="I5768" t="s">
        <v>13131</v>
      </c>
      <c r="J5768" t="s">
        <v>32868</v>
      </c>
      <c r="K5768" t="s">
        <v>42631</v>
      </c>
      <c r="M5768" t="s">
        <v>45022</v>
      </c>
      <c r="N5768" t="s">
        <v>47304</v>
      </c>
      <c r="O5768" t="s">
        <v>47305</v>
      </c>
      <c r="P5768">
        <v>0</v>
      </c>
      <c r="Q5768">
        <v>2</v>
      </c>
      <c r="R5768" t="s">
        <v>47308</v>
      </c>
      <c r="S5768" t="s">
        <v>47429</v>
      </c>
      <c r="T5768" t="s">
        <v>49325</v>
      </c>
      <c r="U5768" t="s">
        <v>54365</v>
      </c>
      <c r="W5768" t="s">
        <v>64486</v>
      </c>
      <c r="X5768" t="s">
        <v>47309</v>
      </c>
    </row>
    <row r="5769" spans="1:24">
      <c r="A5769">
        <f>HYPERLINK("https://www.philgeps.gov.ph/GEPSNONPILOT/Tender/SplashBidNoticeAbstractUI.aspx?menuIndex=3&amp;refID=7194229&amp;Result=3","7194229")</f>
        <v>0</v>
      </c>
      <c r="B5769" t="s">
        <v>1728</v>
      </c>
      <c r="C5769" t="s">
        <v>9268</v>
      </c>
      <c r="E5769" t="s">
        <v>24186</v>
      </c>
      <c r="F5769" t="s">
        <v>32606</v>
      </c>
      <c r="G5769" t="s">
        <v>32613</v>
      </c>
      <c r="H5769" t="s">
        <v>14201</v>
      </c>
      <c r="I5769" t="s">
        <v>6298</v>
      </c>
      <c r="J5769" t="s">
        <v>34085</v>
      </c>
      <c r="K5769" t="s">
        <v>42624</v>
      </c>
      <c r="M5769" t="s">
        <v>44760</v>
      </c>
      <c r="N5769" t="s">
        <v>47304</v>
      </c>
      <c r="O5769" t="s">
        <v>47305</v>
      </c>
      <c r="P5769">
        <v>0</v>
      </c>
      <c r="Q5769">
        <v>1</v>
      </c>
      <c r="R5769" t="s">
        <v>47308</v>
      </c>
      <c r="S5769" t="s">
        <v>47429</v>
      </c>
      <c r="T5769" t="s">
        <v>48975</v>
      </c>
      <c r="U5769" t="s">
        <v>53550</v>
      </c>
      <c r="W5769" t="s">
        <v>44760</v>
      </c>
      <c r="X5769" t="s">
        <v>47309</v>
      </c>
    </row>
    <row r="5770" spans="1:24">
      <c r="A5770">
        <f>HYPERLINK("https://www.philgeps.gov.ph/GEPSNONPILOT/Tender/SplashBidNoticeAbstractUI.aspx?menuIndex=3&amp;refID=7194216&amp;Result=3","7194216")</f>
        <v>0</v>
      </c>
      <c r="B5770" t="s">
        <v>1500</v>
      </c>
      <c r="C5770" t="s">
        <v>9269</v>
      </c>
      <c r="D5770" t="s">
        <v>19064</v>
      </c>
      <c r="E5770" t="s">
        <v>24187</v>
      </c>
      <c r="F5770" t="s">
        <v>32606</v>
      </c>
      <c r="G5770" t="s">
        <v>32619</v>
      </c>
      <c r="H5770" t="s">
        <v>14201</v>
      </c>
      <c r="I5770" t="s">
        <v>4115</v>
      </c>
      <c r="J5770" t="s">
        <v>36524</v>
      </c>
      <c r="K5770" t="s">
        <v>42631</v>
      </c>
      <c r="M5770" t="s">
        <v>45022</v>
      </c>
      <c r="N5770" t="s">
        <v>47304</v>
      </c>
      <c r="O5770" t="s">
        <v>47305</v>
      </c>
      <c r="P5770">
        <v>0</v>
      </c>
      <c r="Q5770">
        <v>5</v>
      </c>
      <c r="R5770" t="s">
        <v>47308</v>
      </c>
      <c r="S5770" t="s">
        <v>47429</v>
      </c>
      <c r="T5770" t="s">
        <v>49325</v>
      </c>
      <c r="U5770" t="s">
        <v>54365</v>
      </c>
      <c r="W5770" t="s">
        <v>64486</v>
      </c>
      <c r="X5770" t="s">
        <v>47309</v>
      </c>
    </row>
    <row r="5771" spans="1:24">
      <c r="A5771">
        <f>HYPERLINK("https://www.philgeps.gov.ph/GEPSNONPILOT/Tender/SplashBidNoticeAbstractUI.aspx?menuIndex=3&amp;refID=7194128&amp;Result=3","7194128")</f>
        <v>0</v>
      </c>
      <c r="B5771" t="s">
        <v>320</v>
      </c>
      <c r="C5771" t="s">
        <v>9270</v>
      </c>
      <c r="D5771" t="s">
        <v>19037</v>
      </c>
      <c r="E5771" t="s">
        <v>24188</v>
      </c>
      <c r="F5771" t="s">
        <v>32606</v>
      </c>
      <c r="G5771" t="s">
        <v>32614</v>
      </c>
      <c r="H5771" t="s">
        <v>14201</v>
      </c>
      <c r="I5771" t="s">
        <v>8606</v>
      </c>
      <c r="J5771" t="s">
        <v>32975</v>
      </c>
      <c r="K5771" t="s">
        <v>42631</v>
      </c>
      <c r="M5771" t="s">
        <v>45018</v>
      </c>
      <c r="N5771" t="s">
        <v>47304</v>
      </c>
      <c r="O5771" t="s">
        <v>47305</v>
      </c>
      <c r="P5771">
        <v>0</v>
      </c>
      <c r="Q5771">
        <v>1</v>
      </c>
      <c r="R5771" t="s">
        <v>47308</v>
      </c>
      <c r="S5771" t="s">
        <v>47429</v>
      </c>
      <c r="T5771" t="s">
        <v>49327</v>
      </c>
      <c r="U5771" t="s">
        <v>54382</v>
      </c>
      <c r="W5771" t="s">
        <v>45018</v>
      </c>
      <c r="X5771" t="s">
        <v>47309</v>
      </c>
    </row>
    <row r="5772" spans="1:24">
      <c r="A5772">
        <f>HYPERLINK("https://www.philgeps.gov.ph/GEPSNONPILOT/Tender/SplashBidNoticeAbstractUI.aspx?menuIndex=3&amp;refID=7194196&amp;Result=3","7194196")</f>
        <v>0</v>
      </c>
      <c r="B5772" t="s">
        <v>1818</v>
      </c>
      <c r="C5772" t="s">
        <v>9271</v>
      </c>
      <c r="D5772" t="s">
        <v>19041</v>
      </c>
      <c r="E5772" t="s">
        <v>20408</v>
      </c>
      <c r="F5772" t="s">
        <v>32606</v>
      </c>
      <c r="G5772" t="s">
        <v>32613</v>
      </c>
      <c r="H5772" t="s">
        <v>14201</v>
      </c>
      <c r="I5772" t="s">
        <v>4120</v>
      </c>
      <c r="J5772" t="s">
        <v>32830</v>
      </c>
      <c r="K5772" t="s">
        <v>42631</v>
      </c>
      <c r="M5772" t="s">
        <v>44859</v>
      </c>
      <c r="N5772" t="s">
        <v>47304</v>
      </c>
      <c r="O5772" t="s">
        <v>47305</v>
      </c>
      <c r="P5772">
        <v>0</v>
      </c>
      <c r="Q5772">
        <v>6</v>
      </c>
      <c r="R5772" t="s">
        <v>47308</v>
      </c>
      <c r="S5772" t="s">
        <v>47429</v>
      </c>
      <c r="T5772" t="s">
        <v>48995</v>
      </c>
      <c r="U5772" t="s">
        <v>54383</v>
      </c>
      <c r="W5772" t="s">
        <v>44859</v>
      </c>
      <c r="X5772" t="s">
        <v>47309</v>
      </c>
    </row>
    <row r="5773" spans="1:24">
      <c r="A5773">
        <f>HYPERLINK("https://www.philgeps.gov.ph/GEPSNONPILOT/Tender/SplashBidNoticeAbstractUI.aspx?menuIndex=3&amp;refID=7194232&amp;Result=3","7194232")</f>
        <v>0</v>
      </c>
      <c r="B5773" t="s">
        <v>1966</v>
      </c>
      <c r="C5773" t="s">
        <v>9272</v>
      </c>
      <c r="D5773" t="s">
        <v>19004</v>
      </c>
      <c r="E5773" t="s">
        <v>24189</v>
      </c>
      <c r="F5773" t="s">
        <v>32606</v>
      </c>
      <c r="G5773" t="s">
        <v>32613</v>
      </c>
      <c r="H5773" t="s">
        <v>32623</v>
      </c>
      <c r="I5773" t="s">
        <v>17648</v>
      </c>
      <c r="J5773" t="s">
        <v>33060</v>
      </c>
      <c r="K5773" t="s">
        <v>42638</v>
      </c>
      <c r="M5773" t="s">
        <v>45029</v>
      </c>
      <c r="N5773" t="s">
        <v>47304</v>
      </c>
      <c r="O5773" t="s">
        <v>47305</v>
      </c>
      <c r="P5773">
        <v>0</v>
      </c>
      <c r="Q5773">
        <v>0</v>
      </c>
      <c r="R5773" t="s">
        <v>47308</v>
      </c>
      <c r="S5773" t="s">
        <v>47429</v>
      </c>
      <c r="T5773" t="s">
        <v>48975</v>
      </c>
      <c r="U5773" t="s">
        <v>54384</v>
      </c>
      <c r="W5773" t="s">
        <v>45029</v>
      </c>
      <c r="X5773" t="s">
        <v>47309</v>
      </c>
    </row>
    <row r="5774" spans="1:24">
      <c r="A5774">
        <f>HYPERLINK("https://www.philgeps.gov.ph/GEPSNONPILOT/Tender/SplashBidNoticeAbstractUI.aspx?menuIndex=3&amp;refID=7194157&amp;Result=3","7194157")</f>
        <v>0</v>
      </c>
      <c r="B5774" t="s">
        <v>1967</v>
      </c>
      <c r="C5774" t="s">
        <v>9273</v>
      </c>
      <c r="D5774" t="s">
        <v>18993</v>
      </c>
      <c r="E5774" t="s">
        <v>24190</v>
      </c>
      <c r="F5774" t="s">
        <v>32606</v>
      </c>
      <c r="G5774" t="s">
        <v>32613</v>
      </c>
      <c r="H5774" t="s">
        <v>14201</v>
      </c>
      <c r="I5774" t="s">
        <v>32644</v>
      </c>
      <c r="J5774" t="s">
        <v>32981</v>
      </c>
      <c r="K5774" t="s">
        <v>42630</v>
      </c>
      <c r="M5774" t="s">
        <v>45030</v>
      </c>
      <c r="N5774" t="s">
        <v>47304</v>
      </c>
      <c r="O5774" t="s">
        <v>47305</v>
      </c>
      <c r="P5774">
        <v>0</v>
      </c>
      <c r="Q5774">
        <v>2</v>
      </c>
      <c r="R5774" t="s">
        <v>47308</v>
      </c>
      <c r="S5774" t="s">
        <v>47429</v>
      </c>
      <c r="T5774" t="s">
        <v>49100</v>
      </c>
      <c r="U5774" t="s">
        <v>54385</v>
      </c>
      <c r="W5774" t="s">
        <v>45030</v>
      </c>
      <c r="X5774" t="s">
        <v>47309</v>
      </c>
    </row>
    <row r="5775" spans="1:24">
      <c r="A5775">
        <f>HYPERLINK("https://www.philgeps.gov.ph/GEPSNONPILOT/Tender/SplashBidNoticeAbstractUI.aspx?menuIndex=3&amp;refID=7194188&amp;Result=3","7194188")</f>
        <v>0</v>
      </c>
      <c r="B5775" t="s">
        <v>550</v>
      </c>
      <c r="C5775" t="s">
        <v>9274</v>
      </c>
      <c r="D5775" t="s">
        <v>18989</v>
      </c>
      <c r="E5775" t="s">
        <v>24191</v>
      </c>
      <c r="F5775" t="s">
        <v>32606</v>
      </c>
      <c r="G5775" t="s">
        <v>32613</v>
      </c>
      <c r="H5775" t="s">
        <v>14201</v>
      </c>
      <c r="I5775" t="s">
        <v>4369</v>
      </c>
      <c r="J5775" t="s">
        <v>36525</v>
      </c>
      <c r="K5775" t="s">
        <v>42624</v>
      </c>
      <c r="L5775" t="s">
        <v>550</v>
      </c>
      <c r="M5775" t="s">
        <v>43465</v>
      </c>
      <c r="N5775" t="s">
        <v>47304</v>
      </c>
      <c r="O5775" t="s">
        <v>47305</v>
      </c>
      <c r="P5775">
        <v>0</v>
      </c>
      <c r="Q5775">
        <v>9</v>
      </c>
      <c r="R5775" t="s">
        <v>47308</v>
      </c>
      <c r="S5775" t="s">
        <v>47429</v>
      </c>
      <c r="T5775" t="s">
        <v>49169</v>
      </c>
      <c r="U5775" t="s">
        <v>54386</v>
      </c>
      <c r="W5775" t="s">
        <v>43465</v>
      </c>
      <c r="X5775" t="s">
        <v>47309</v>
      </c>
    </row>
    <row r="5776" spans="1:24">
      <c r="A5776">
        <f>HYPERLINK("https://www.philgeps.gov.ph/GEPSNONPILOT/Tender/SplashBidNoticeAbstractUI.aspx?menuIndex=3&amp;refID=7194218&amp;Result=3","7194218")</f>
        <v>0</v>
      </c>
      <c r="B5776" t="s">
        <v>1964</v>
      </c>
      <c r="C5776" t="s">
        <v>9275</v>
      </c>
      <c r="D5776" t="s">
        <v>18995</v>
      </c>
      <c r="E5776" t="s">
        <v>24180</v>
      </c>
      <c r="F5776" t="s">
        <v>32606</v>
      </c>
      <c r="G5776" t="s">
        <v>32613</v>
      </c>
      <c r="H5776" t="s">
        <v>14201</v>
      </c>
      <c r="I5776" t="s">
        <v>8682</v>
      </c>
      <c r="J5776" t="s">
        <v>33317</v>
      </c>
      <c r="K5776" t="s">
        <v>42630</v>
      </c>
      <c r="M5776" t="s">
        <v>45027</v>
      </c>
      <c r="N5776" t="s">
        <v>47304</v>
      </c>
      <c r="O5776" t="s">
        <v>47305</v>
      </c>
      <c r="P5776">
        <v>0</v>
      </c>
      <c r="Q5776">
        <v>4</v>
      </c>
      <c r="R5776" t="s">
        <v>47308</v>
      </c>
      <c r="S5776" t="s">
        <v>47429</v>
      </c>
      <c r="T5776" t="s">
        <v>49015</v>
      </c>
      <c r="U5776" t="s">
        <v>54387</v>
      </c>
      <c r="W5776" t="s">
        <v>45027</v>
      </c>
      <c r="X5776" t="s">
        <v>47309</v>
      </c>
    </row>
    <row r="5777" spans="1:24">
      <c r="A5777">
        <f>HYPERLINK("https://www.philgeps.gov.ph/GEPSNONPILOT/Tender/SplashBidNoticeAbstractUI.aspx?menuIndex=3&amp;refID=7194187&amp;Result=3","7194187")</f>
        <v>0</v>
      </c>
      <c r="B5777" t="s">
        <v>1968</v>
      </c>
      <c r="C5777" t="s">
        <v>9225</v>
      </c>
      <c r="E5777" t="s">
        <v>19145</v>
      </c>
      <c r="F5777" t="s">
        <v>32606</v>
      </c>
      <c r="G5777" t="s">
        <v>32613</v>
      </c>
      <c r="H5777" t="s">
        <v>32623</v>
      </c>
      <c r="I5777" t="s">
        <v>32661</v>
      </c>
      <c r="J5777" t="s">
        <v>32765</v>
      </c>
      <c r="K5777" t="s">
        <v>42624</v>
      </c>
      <c r="M5777" t="s">
        <v>45031</v>
      </c>
      <c r="N5777" t="s">
        <v>47304</v>
      </c>
      <c r="O5777" t="s">
        <v>47305</v>
      </c>
      <c r="P5777">
        <v>0</v>
      </c>
      <c r="Q5777">
        <v>0</v>
      </c>
      <c r="R5777" t="s">
        <v>47308</v>
      </c>
      <c r="S5777" t="s">
        <v>47429</v>
      </c>
      <c r="T5777" t="s">
        <v>49066</v>
      </c>
      <c r="U5777" t="s">
        <v>54388</v>
      </c>
      <c r="W5777" t="s">
        <v>45031</v>
      </c>
      <c r="X5777" t="s">
        <v>47309</v>
      </c>
    </row>
    <row r="5778" spans="1:24">
      <c r="A5778">
        <f>HYPERLINK("https://www.philgeps.gov.ph/GEPSNONPILOT/Tender/SplashBidNoticeAbstractUI.aspx?menuIndex=3&amp;refID=7194215&amp;Result=3","7194215")</f>
        <v>0</v>
      </c>
      <c r="B5778" t="s">
        <v>1964</v>
      </c>
      <c r="C5778" t="s">
        <v>9276</v>
      </c>
      <c r="D5778" t="s">
        <v>18995</v>
      </c>
      <c r="E5778" t="s">
        <v>22533</v>
      </c>
      <c r="F5778" t="s">
        <v>32606</v>
      </c>
      <c r="G5778" t="s">
        <v>32613</v>
      </c>
      <c r="H5778" t="s">
        <v>14201</v>
      </c>
      <c r="I5778" t="s">
        <v>6478</v>
      </c>
      <c r="J5778" t="s">
        <v>33119</v>
      </c>
      <c r="K5778" t="s">
        <v>42630</v>
      </c>
      <c r="M5778" t="s">
        <v>45027</v>
      </c>
      <c r="N5778" t="s">
        <v>47304</v>
      </c>
      <c r="O5778" t="s">
        <v>47305</v>
      </c>
      <c r="P5778">
        <v>0</v>
      </c>
      <c r="Q5778">
        <v>2</v>
      </c>
      <c r="R5778" t="s">
        <v>47308</v>
      </c>
      <c r="S5778" t="s">
        <v>47429</v>
      </c>
      <c r="T5778" t="s">
        <v>49015</v>
      </c>
      <c r="U5778" t="s">
        <v>54389</v>
      </c>
      <c r="W5778" t="s">
        <v>45027</v>
      </c>
      <c r="X5778" t="s">
        <v>47309</v>
      </c>
    </row>
    <row r="5779" spans="1:24">
      <c r="A5779">
        <f>HYPERLINK("https://www.philgeps.gov.ph/GEPSNONPILOT/Tender/SplashBidNoticeAbstractUI.aspx?menuIndex=3&amp;refID=7194224&amp;Result=3","7194224")</f>
        <v>0</v>
      </c>
      <c r="B5779" t="s">
        <v>1964</v>
      </c>
      <c r="C5779" t="s">
        <v>9277</v>
      </c>
      <c r="E5779" t="s">
        <v>24180</v>
      </c>
      <c r="F5779" t="s">
        <v>32606</v>
      </c>
      <c r="G5779" t="s">
        <v>32613</v>
      </c>
      <c r="H5779" t="s">
        <v>14201</v>
      </c>
      <c r="I5779" t="s">
        <v>6931</v>
      </c>
      <c r="J5779" t="s">
        <v>32999</v>
      </c>
      <c r="K5779" t="s">
        <v>42630</v>
      </c>
      <c r="M5779" t="s">
        <v>45027</v>
      </c>
      <c r="N5779" t="s">
        <v>47304</v>
      </c>
      <c r="O5779" t="s">
        <v>47305</v>
      </c>
      <c r="P5779">
        <v>0</v>
      </c>
      <c r="Q5779">
        <v>1</v>
      </c>
      <c r="R5779" t="s">
        <v>47308</v>
      </c>
      <c r="S5779" t="s">
        <v>47429</v>
      </c>
      <c r="T5779" t="s">
        <v>49015</v>
      </c>
      <c r="U5779" t="s">
        <v>54390</v>
      </c>
      <c r="W5779" t="s">
        <v>45027</v>
      </c>
      <c r="X5779" t="s">
        <v>47309</v>
      </c>
    </row>
    <row r="5780" spans="1:24">
      <c r="A5780">
        <f>HYPERLINK("https://www.philgeps.gov.ph/GEPSNONPILOT/Tender/SplashBidNoticeAbstractUI.aspx?menuIndex=3&amp;refID=7194195&amp;Result=3","7194195")</f>
        <v>0</v>
      </c>
      <c r="B5780" t="s">
        <v>1500</v>
      </c>
      <c r="C5780" t="s">
        <v>9278</v>
      </c>
      <c r="D5780" t="s">
        <v>19064</v>
      </c>
      <c r="E5780" t="s">
        <v>24192</v>
      </c>
      <c r="F5780" t="s">
        <v>32606</v>
      </c>
      <c r="G5780" t="s">
        <v>32619</v>
      </c>
      <c r="H5780" t="s">
        <v>14201</v>
      </c>
      <c r="I5780" t="s">
        <v>6298</v>
      </c>
      <c r="J5780" t="s">
        <v>36526</v>
      </c>
      <c r="K5780" t="s">
        <v>42631</v>
      </c>
      <c r="M5780" t="s">
        <v>45022</v>
      </c>
      <c r="N5780" t="s">
        <v>47304</v>
      </c>
      <c r="O5780" t="s">
        <v>47305</v>
      </c>
      <c r="P5780">
        <v>0</v>
      </c>
      <c r="Q5780">
        <v>2</v>
      </c>
      <c r="R5780" t="s">
        <v>47308</v>
      </c>
      <c r="S5780" t="s">
        <v>47429</v>
      </c>
      <c r="T5780" t="s">
        <v>49325</v>
      </c>
      <c r="U5780" t="s">
        <v>54365</v>
      </c>
      <c r="W5780" t="s">
        <v>64486</v>
      </c>
      <c r="X5780" t="s">
        <v>47309</v>
      </c>
    </row>
    <row r="5781" spans="1:24">
      <c r="A5781">
        <f>HYPERLINK("https://www.philgeps.gov.ph/GEPSNONPILOT/Tender/SplashBidNoticeAbstractUI.aspx?menuIndex=3&amp;refID=7194255&amp;Result=3","7194255")</f>
        <v>0</v>
      </c>
      <c r="B5781" t="s">
        <v>1493</v>
      </c>
      <c r="C5781" t="s">
        <v>9279</v>
      </c>
      <c r="D5781" t="s">
        <v>19023</v>
      </c>
      <c r="E5781" t="s">
        <v>24193</v>
      </c>
      <c r="F5781" t="s">
        <v>32606</v>
      </c>
      <c r="G5781" t="s">
        <v>32614</v>
      </c>
      <c r="H5781" t="s">
        <v>14201</v>
      </c>
      <c r="I5781" t="s">
        <v>32626</v>
      </c>
      <c r="J5781" t="s">
        <v>32885</v>
      </c>
      <c r="K5781" t="s">
        <v>42629</v>
      </c>
      <c r="M5781" t="s">
        <v>44488</v>
      </c>
      <c r="N5781" t="s">
        <v>47304</v>
      </c>
      <c r="O5781" t="s">
        <v>47305</v>
      </c>
      <c r="P5781">
        <v>0</v>
      </c>
      <c r="Q5781">
        <v>1</v>
      </c>
      <c r="R5781" t="s">
        <v>47308</v>
      </c>
      <c r="S5781" t="s">
        <v>47429</v>
      </c>
      <c r="T5781" t="s">
        <v>49053</v>
      </c>
      <c r="U5781" t="s">
        <v>54391</v>
      </c>
      <c r="V5781" t="s">
        <v>63032</v>
      </c>
      <c r="W5781" t="s">
        <v>44488</v>
      </c>
      <c r="X5781" t="s">
        <v>47309</v>
      </c>
    </row>
    <row r="5782" spans="1:24">
      <c r="A5782">
        <f>HYPERLINK("https://www.philgeps.gov.ph/GEPSNONPILOT/Tender/SplashBidNoticeAbstractUI.aspx?menuIndex=3&amp;refID=7194192&amp;Result=3","7194192")</f>
        <v>0</v>
      </c>
      <c r="B5782" t="s">
        <v>1500</v>
      </c>
      <c r="C5782" t="s">
        <v>9280</v>
      </c>
      <c r="D5782" t="s">
        <v>19064</v>
      </c>
      <c r="E5782" t="s">
        <v>24194</v>
      </c>
      <c r="F5782" t="s">
        <v>32606</v>
      </c>
      <c r="G5782" t="s">
        <v>32619</v>
      </c>
      <c r="H5782" t="s">
        <v>14201</v>
      </c>
      <c r="I5782" t="s">
        <v>32632</v>
      </c>
      <c r="J5782" t="s">
        <v>33529</v>
      </c>
      <c r="K5782" t="s">
        <v>42639</v>
      </c>
      <c r="M5782" t="s">
        <v>45022</v>
      </c>
      <c r="N5782" t="s">
        <v>47304</v>
      </c>
      <c r="O5782" t="s">
        <v>47305</v>
      </c>
      <c r="P5782">
        <v>0</v>
      </c>
      <c r="Q5782">
        <v>8</v>
      </c>
      <c r="R5782" t="s">
        <v>47308</v>
      </c>
      <c r="S5782" t="s">
        <v>47429</v>
      </c>
      <c r="T5782" t="s">
        <v>49325</v>
      </c>
      <c r="U5782" t="s">
        <v>54365</v>
      </c>
      <c r="W5782" t="s">
        <v>64486</v>
      </c>
      <c r="X5782" t="s">
        <v>47309</v>
      </c>
    </row>
    <row r="5783" spans="1:24">
      <c r="A5783">
        <f>HYPERLINK("https://www.philgeps.gov.ph/GEPSNONPILOT/Tender/SplashBidNoticeAbstractUI.aspx?menuIndex=3&amp;refID=7194254&amp;Result=3","7194254")</f>
        <v>0</v>
      </c>
      <c r="B5783" t="s">
        <v>1791</v>
      </c>
      <c r="C5783" t="s">
        <v>9281</v>
      </c>
      <c r="D5783" t="s">
        <v>18993</v>
      </c>
      <c r="E5783" t="s">
        <v>24195</v>
      </c>
      <c r="F5783" t="s">
        <v>32606</v>
      </c>
      <c r="G5783" t="s">
        <v>32614</v>
      </c>
      <c r="H5783" t="s">
        <v>14201</v>
      </c>
      <c r="I5783" t="s">
        <v>32688</v>
      </c>
      <c r="J5783" t="s">
        <v>36527</v>
      </c>
      <c r="K5783" t="s">
        <v>42631</v>
      </c>
      <c r="M5783" t="s">
        <v>44831</v>
      </c>
      <c r="N5783" t="s">
        <v>47304</v>
      </c>
      <c r="O5783" t="s">
        <v>47305</v>
      </c>
      <c r="P5783">
        <v>0</v>
      </c>
      <c r="Q5783">
        <v>1</v>
      </c>
      <c r="R5783" t="s">
        <v>47308</v>
      </c>
      <c r="S5783" t="s">
        <v>47429</v>
      </c>
      <c r="T5783" t="s">
        <v>49004</v>
      </c>
      <c r="U5783" t="s">
        <v>54392</v>
      </c>
      <c r="W5783" t="s">
        <v>44831</v>
      </c>
      <c r="X5783" t="s">
        <v>47309</v>
      </c>
    </row>
    <row r="5784" spans="1:24">
      <c r="A5784">
        <f>HYPERLINK("https://www.philgeps.gov.ph/GEPSNONPILOT/Tender/SplashBidNoticeAbstractUI.aspx?menuIndex=3&amp;refID=7194253&amp;Result=3","7194253")</f>
        <v>0</v>
      </c>
      <c r="B5784" t="s">
        <v>1493</v>
      </c>
      <c r="C5784" t="s">
        <v>9282</v>
      </c>
      <c r="D5784" t="s">
        <v>19023</v>
      </c>
      <c r="E5784" t="s">
        <v>24196</v>
      </c>
      <c r="F5784" t="s">
        <v>32606</v>
      </c>
      <c r="G5784" t="s">
        <v>32614</v>
      </c>
      <c r="H5784" t="s">
        <v>14201</v>
      </c>
      <c r="I5784" t="s">
        <v>6993</v>
      </c>
      <c r="J5784" t="s">
        <v>36528</v>
      </c>
      <c r="K5784" t="s">
        <v>42629</v>
      </c>
      <c r="M5784" t="s">
        <v>44488</v>
      </c>
      <c r="N5784" t="s">
        <v>47304</v>
      </c>
      <c r="O5784" t="s">
        <v>47305</v>
      </c>
      <c r="P5784">
        <v>0</v>
      </c>
      <c r="Q5784">
        <v>0</v>
      </c>
      <c r="R5784" t="s">
        <v>47308</v>
      </c>
      <c r="S5784" t="s">
        <v>47429</v>
      </c>
      <c r="T5784" t="s">
        <v>49053</v>
      </c>
      <c r="U5784" t="s">
        <v>54393</v>
      </c>
      <c r="V5784" t="s">
        <v>63032</v>
      </c>
      <c r="W5784" t="s">
        <v>44488</v>
      </c>
      <c r="X5784" t="s">
        <v>47309</v>
      </c>
    </row>
    <row r="5785" spans="1:24">
      <c r="A5785">
        <f>HYPERLINK("https://www.philgeps.gov.ph/GEPSNONPILOT/Tender/SplashBidNoticeAbstractUI.aspx?menuIndex=3&amp;refID=7194247&amp;Result=3","7194247")</f>
        <v>0</v>
      </c>
      <c r="B5785" t="s">
        <v>1969</v>
      </c>
      <c r="C5785" t="s">
        <v>9283</v>
      </c>
      <c r="D5785" t="s">
        <v>18995</v>
      </c>
      <c r="E5785" t="s">
        <v>24197</v>
      </c>
      <c r="F5785" t="s">
        <v>32606</v>
      </c>
      <c r="G5785" t="s">
        <v>32619</v>
      </c>
      <c r="H5785" t="s">
        <v>14201</v>
      </c>
      <c r="I5785" t="s">
        <v>32626</v>
      </c>
      <c r="J5785" t="s">
        <v>32770</v>
      </c>
      <c r="K5785" t="s">
        <v>42629</v>
      </c>
      <c r="M5785" t="s">
        <v>45032</v>
      </c>
      <c r="N5785" t="s">
        <v>47304</v>
      </c>
      <c r="O5785" t="s">
        <v>47305</v>
      </c>
      <c r="P5785">
        <v>0</v>
      </c>
      <c r="Q5785">
        <v>8</v>
      </c>
      <c r="R5785" t="s">
        <v>47308</v>
      </c>
      <c r="S5785" t="s">
        <v>47429</v>
      </c>
      <c r="T5785" t="s">
        <v>49311</v>
      </c>
      <c r="U5785" t="s">
        <v>54394</v>
      </c>
      <c r="W5785" t="s">
        <v>45032</v>
      </c>
      <c r="X5785" t="s">
        <v>47309</v>
      </c>
    </row>
    <row r="5786" spans="1:24">
      <c r="A5786">
        <f>HYPERLINK("https://www.philgeps.gov.ph/GEPSNONPILOT/Tender/SplashBidNoticeAbstractUI.aspx?menuIndex=3&amp;refID=7194252&amp;Result=3","7194252")</f>
        <v>0</v>
      </c>
      <c r="B5786" t="s">
        <v>1970</v>
      </c>
      <c r="C5786" t="s">
        <v>9284</v>
      </c>
      <c r="D5786" t="s">
        <v>19039</v>
      </c>
      <c r="E5786" t="s">
        <v>24198</v>
      </c>
      <c r="F5786" t="s">
        <v>32606</v>
      </c>
      <c r="G5786" t="s">
        <v>32613</v>
      </c>
      <c r="H5786" t="s">
        <v>32624</v>
      </c>
      <c r="I5786" t="s">
        <v>6007</v>
      </c>
      <c r="J5786" t="s">
        <v>36529</v>
      </c>
      <c r="K5786" t="s">
        <v>42623</v>
      </c>
      <c r="M5786" t="s">
        <v>45033</v>
      </c>
      <c r="N5786" t="s">
        <v>47304</v>
      </c>
      <c r="O5786" t="s">
        <v>47305</v>
      </c>
      <c r="P5786">
        <v>0</v>
      </c>
      <c r="Q5786">
        <v>0</v>
      </c>
      <c r="R5786" t="s">
        <v>47308</v>
      </c>
      <c r="S5786" t="s">
        <v>47429</v>
      </c>
      <c r="T5786" t="s">
        <v>48990</v>
      </c>
      <c r="U5786" t="s">
        <v>54395</v>
      </c>
      <c r="W5786" t="s">
        <v>45033</v>
      </c>
      <c r="X5786" t="s">
        <v>47309</v>
      </c>
    </row>
    <row r="5787" spans="1:24">
      <c r="A5787">
        <f>HYPERLINK("https://www.philgeps.gov.ph/GEPSNONPILOT/Tender/SplashBidNoticeAbstractUI.aspx?menuIndex=3&amp;refID=7194246&amp;Result=3","7194246")</f>
        <v>0</v>
      </c>
      <c r="B5787" t="s">
        <v>1493</v>
      </c>
      <c r="C5787" t="s">
        <v>9285</v>
      </c>
      <c r="D5787" t="s">
        <v>19023</v>
      </c>
      <c r="E5787" t="s">
        <v>24199</v>
      </c>
      <c r="F5787" t="s">
        <v>32606</v>
      </c>
      <c r="G5787" t="s">
        <v>32614</v>
      </c>
      <c r="H5787" t="s">
        <v>14201</v>
      </c>
      <c r="I5787" t="s">
        <v>6931</v>
      </c>
      <c r="J5787" t="s">
        <v>36530</v>
      </c>
      <c r="K5787" t="s">
        <v>42629</v>
      </c>
      <c r="M5787" t="s">
        <v>44488</v>
      </c>
      <c r="N5787" t="s">
        <v>47304</v>
      </c>
      <c r="O5787" t="s">
        <v>47305</v>
      </c>
      <c r="P5787">
        <v>0</v>
      </c>
      <c r="Q5787">
        <v>0</v>
      </c>
      <c r="R5787" t="s">
        <v>47308</v>
      </c>
      <c r="S5787" t="s">
        <v>47429</v>
      </c>
      <c r="T5787" t="s">
        <v>49053</v>
      </c>
      <c r="U5787" t="s">
        <v>54396</v>
      </c>
      <c r="V5787" t="s">
        <v>63032</v>
      </c>
      <c r="W5787" t="s">
        <v>44488</v>
      </c>
      <c r="X5787" t="s">
        <v>47309</v>
      </c>
    </row>
    <row r="5788" spans="1:24">
      <c r="A5788">
        <f>HYPERLINK("https://www.philgeps.gov.ph/GEPSNONPILOT/Tender/SplashBidNoticeAbstractUI.aspx?menuIndex=3&amp;refID=7194257&amp;Result=3","7194257")</f>
        <v>0</v>
      </c>
      <c r="B5788" t="s">
        <v>1971</v>
      </c>
      <c r="C5788" t="s">
        <v>9286</v>
      </c>
      <c r="D5788" t="s">
        <v>19055</v>
      </c>
      <c r="E5788" t="s">
        <v>24200</v>
      </c>
      <c r="F5788" t="s">
        <v>32606</v>
      </c>
      <c r="G5788" t="s">
        <v>32613</v>
      </c>
      <c r="H5788" t="s">
        <v>14201</v>
      </c>
      <c r="I5788" t="s">
        <v>32664</v>
      </c>
      <c r="J5788" t="s">
        <v>33039</v>
      </c>
      <c r="K5788" t="s">
        <v>42639</v>
      </c>
      <c r="M5788" t="s">
        <v>45034</v>
      </c>
      <c r="N5788" t="s">
        <v>47304</v>
      </c>
      <c r="O5788" t="s">
        <v>47305</v>
      </c>
      <c r="P5788">
        <v>0</v>
      </c>
      <c r="Q5788">
        <v>1</v>
      </c>
      <c r="R5788" t="s">
        <v>47308</v>
      </c>
      <c r="S5788" t="s">
        <v>47429</v>
      </c>
      <c r="T5788" t="s">
        <v>49144</v>
      </c>
      <c r="U5788" t="s">
        <v>54397</v>
      </c>
      <c r="W5788" t="s">
        <v>45034</v>
      </c>
      <c r="X5788" t="s">
        <v>47309</v>
      </c>
    </row>
    <row r="5789" spans="1:24">
      <c r="A5789">
        <f>HYPERLINK("https://www.philgeps.gov.ph/GEPSNONPILOT/Tender/SplashBidNoticeAbstractUI.aspx?menuIndex=3&amp;refID=7194244&amp;Result=3","7194244")</f>
        <v>0</v>
      </c>
      <c r="B5789" t="s">
        <v>1791</v>
      </c>
      <c r="C5789" t="s">
        <v>9287</v>
      </c>
      <c r="D5789" t="s">
        <v>18993</v>
      </c>
      <c r="E5789" t="s">
        <v>24201</v>
      </c>
      <c r="F5789" t="s">
        <v>32606</v>
      </c>
      <c r="G5789" t="s">
        <v>32614</v>
      </c>
      <c r="H5789" t="s">
        <v>14201</v>
      </c>
      <c r="I5789" t="s">
        <v>6478</v>
      </c>
      <c r="J5789" t="s">
        <v>36531</v>
      </c>
      <c r="K5789" t="s">
        <v>42631</v>
      </c>
      <c r="M5789" t="s">
        <v>44831</v>
      </c>
      <c r="N5789" t="s">
        <v>47304</v>
      </c>
      <c r="O5789" t="s">
        <v>47305</v>
      </c>
      <c r="P5789">
        <v>0</v>
      </c>
      <c r="Q5789">
        <v>5</v>
      </c>
      <c r="R5789" t="s">
        <v>47308</v>
      </c>
      <c r="S5789" t="s">
        <v>47429</v>
      </c>
      <c r="T5789" t="s">
        <v>48980</v>
      </c>
      <c r="U5789" t="s">
        <v>54398</v>
      </c>
      <c r="V5789" t="s">
        <v>63189</v>
      </c>
      <c r="W5789" t="s">
        <v>44831</v>
      </c>
      <c r="X5789" t="s">
        <v>47309</v>
      </c>
    </row>
    <row r="5790" spans="1:24">
      <c r="A5790">
        <f>HYPERLINK("https://www.philgeps.gov.ph/GEPSNONPILOT/Tender/SplashBidNoticeAbstractUI.aspx?menuIndex=3&amp;refID=7194245&amp;Result=3","7194245")</f>
        <v>0</v>
      </c>
      <c r="B5790" t="s">
        <v>1971</v>
      </c>
      <c r="C5790" t="s">
        <v>9288</v>
      </c>
      <c r="D5790" t="s">
        <v>19055</v>
      </c>
      <c r="E5790" t="s">
        <v>24202</v>
      </c>
      <c r="F5790" t="s">
        <v>32606</v>
      </c>
      <c r="G5790" t="s">
        <v>32613</v>
      </c>
      <c r="H5790" t="s">
        <v>32623</v>
      </c>
      <c r="I5790" t="s">
        <v>17648</v>
      </c>
      <c r="J5790" t="s">
        <v>36532</v>
      </c>
      <c r="K5790" t="s">
        <v>42651</v>
      </c>
      <c r="M5790" t="s">
        <v>45034</v>
      </c>
      <c r="N5790" t="s">
        <v>47304</v>
      </c>
      <c r="O5790" t="s">
        <v>47305</v>
      </c>
      <c r="P5790">
        <v>0</v>
      </c>
      <c r="Q5790">
        <v>0</v>
      </c>
      <c r="R5790" t="s">
        <v>47308</v>
      </c>
      <c r="S5790" t="s">
        <v>47429</v>
      </c>
      <c r="T5790" t="s">
        <v>49144</v>
      </c>
      <c r="U5790" t="s">
        <v>54399</v>
      </c>
      <c r="W5790" t="s">
        <v>45034</v>
      </c>
      <c r="X5790" t="s">
        <v>47309</v>
      </c>
    </row>
    <row r="5791" spans="1:24">
      <c r="A5791">
        <f>HYPERLINK("https://www.philgeps.gov.ph/GEPSNONPILOT/Tender/SplashBidNoticeAbstractUI.aspx?menuIndex=3&amp;refID=7194185&amp;Result=3","7194185")</f>
        <v>0</v>
      </c>
      <c r="B5791" t="s">
        <v>575</v>
      </c>
      <c r="C5791" t="s">
        <v>5665</v>
      </c>
      <c r="D5791" t="s">
        <v>19036</v>
      </c>
      <c r="E5791" t="s">
        <v>24203</v>
      </c>
      <c r="F5791" t="s">
        <v>32606</v>
      </c>
      <c r="G5791" t="s">
        <v>32614</v>
      </c>
      <c r="H5791" t="s">
        <v>14201</v>
      </c>
      <c r="I5791" t="s">
        <v>7677</v>
      </c>
      <c r="J5791" t="s">
        <v>36533</v>
      </c>
      <c r="K5791" t="s">
        <v>42622</v>
      </c>
      <c r="M5791" t="s">
        <v>44070</v>
      </c>
      <c r="N5791" t="s">
        <v>47304</v>
      </c>
      <c r="O5791" t="s">
        <v>47305</v>
      </c>
      <c r="P5791">
        <v>0</v>
      </c>
      <c r="Q5791">
        <v>1</v>
      </c>
      <c r="R5791" t="s">
        <v>47308</v>
      </c>
      <c r="S5791" t="s">
        <v>47429</v>
      </c>
      <c r="T5791" t="s">
        <v>49257</v>
      </c>
      <c r="U5791" t="s">
        <v>54400</v>
      </c>
      <c r="W5791" t="s">
        <v>44070</v>
      </c>
      <c r="X5791" t="s">
        <v>47309</v>
      </c>
    </row>
    <row r="5792" spans="1:24">
      <c r="A5792">
        <f>HYPERLINK("https://www.philgeps.gov.ph/GEPSNONPILOT/Tender/SplashBidNoticeAbstractUI.aspx?menuIndex=3&amp;refID=7194242&amp;Result=3","7194242")</f>
        <v>0</v>
      </c>
      <c r="B5792" t="s">
        <v>1972</v>
      </c>
      <c r="C5792" t="s">
        <v>9289</v>
      </c>
      <c r="D5792" t="s">
        <v>19056</v>
      </c>
      <c r="E5792" t="s">
        <v>24204</v>
      </c>
      <c r="F5792" t="s">
        <v>32606</v>
      </c>
      <c r="G5792" t="s">
        <v>32613</v>
      </c>
      <c r="H5792" t="s">
        <v>32623</v>
      </c>
      <c r="I5792" t="s">
        <v>17648</v>
      </c>
      <c r="J5792" t="s">
        <v>36534</v>
      </c>
      <c r="K5792" t="s">
        <v>42780</v>
      </c>
      <c r="M5792" t="s">
        <v>45035</v>
      </c>
      <c r="N5792" t="s">
        <v>47304</v>
      </c>
      <c r="O5792" t="s">
        <v>47305</v>
      </c>
      <c r="P5792">
        <v>0</v>
      </c>
      <c r="Q5792">
        <v>0</v>
      </c>
      <c r="R5792" t="s">
        <v>47308</v>
      </c>
      <c r="S5792" t="s">
        <v>47429</v>
      </c>
      <c r="T5792" t="s">
        <v>48990</v>
      </c>
      <c r="U5792" t="s">
        <v>54401</v>
      </c>
      <c r="W5792" t="s">
        <v>45035</v>
      </c>
      <c r="X5792" t="s">
        <v>47309</v>
      </c>
    </row>
    <row r="5793" spans="1:24">
      <c r="A5793">
        <f>HYPERLINK("https://www.philgeps.gov.ph/GEPSNONPILOT/Tender/SplashBidNoticeAbstractUI.aspx?menuIndex=3&amp;refID=7194250&amp;Result=3","7194250")</f>
        <v>0</v>
      </c>
      <c r="B5793" t="s">
        <v>1970</v>
      </c>
      <c r="C5793" t="s">
        <v>9290</v>
      </c>
      <c r="D5793" t="s">
        <v>19039</v>
      </c>
      <c r="E5793" t="s">
        <v>24205</v>
      </c>
      <c r="F5793" t="s">
        <v>32606</v>
      </c>
      <c r="G5793" t="s">
        <v>32613</v>
      </c>
      <c r="H5793" t="s">
        <v>32623</v>
      </c>
      <c r="I5793" t="s">
        <v>17648</v>
      </c>
      <c r="J5793" t="s">
        <v>36535</v>
      </c>
      <c r="K5793" t="s">
        <v>42712</v>
      </c>
      <c r="M5793" t="s">
        <v>45033</v>
      </c>
      <c r="N5793" t="s">
        <v>47304</v>
      </c>
      <c r="O5793" t="s">
        <v>47305</v>
      </c>
      <c r="P5793">
        <v>0</v>
      </c>
      <c r="Q5793">
        <v>6</v>
      </c>
      <c r="R5793" t="s">
        <v>47308</v>
      </c>
      <c r="S5793" t="s">
        <v>47429</v>
      </c>
      <c r="T5793" t="s">
        <v>49009</v>
      </c>
      <c r="U5793" t="s">
        <v>54402</v>
      </c>
      <c r="W5793" t="s">
        <v>45033</v>
      </c>
      <c r="X5793" t="s">
        <v>47309</v>
      </c>
    </row>
    <row r="5794" spans="1:24">
      <c r="A5794">
        <f>HYPERLINK("https://www.philgeps.gov.ph/GEPSNONPILOT/Tender/SplashBidNoticeAbstractUI.aspx?menuIndex=3&amp;refID=7194240&amp;Result=3","7194240")</f>
        <v>0</v>
      </c>
      <c r="B5794" t="s">
        <v>1951</v>
      </c>
      <c r="C5794" t="s">
        <v>9291</v>
      </c>
      <c r="D5794" t="s">
        <v>19007</v>
      </c>
      <c r="E5794" t="s">
        <v>24206</v>
      </c>
      <c r="F5794" t="s">
        <v>32606</v>
      </c>
      <c r="G5794" t="s">
        <v>32613</v>
      </c>
      <c r="H5794" t="s">
        <v>32623</v>
      </c>
      <c r="I5794" t="s">
        <v>32661</v>
      </c>
      <c r="J5794" t="s">
        <v>36536</v>
      </c>
      <c r="K5794" t="s">
        <v>42646</v>
      </c>
      <c r="M5794" t="s">
        <v>45012</v>
      </c>
      <c r="N5794" t="s">
        <v>47304</v>
      </c>
      <c r="O5794" t="s">
        <v>47305</v>
      </c>
      <c r="P5794">
        <v>0</v>
      </c>
      <c r="Q5794">
        <v>3</v>
      </c>
      <c r="R5794" t="s">
        <v>47308</v>
      </c>
      <c r="S5794" t="s">
        <v>47429</v>
      </c>
      <c r="T5794" t="s">
        <v>49108</v>
      </c>
      <c r="U5794" t="s">
        <v>54403</v>
      </c>
      <c r="W5794" t="s">
        <v>45012</v>
      </c>
      <c r="X5794" t="s">
        <v>47309</v>
      </c>
    </row>
    <row r="5795" spans="1:24">
      <c r="A5795">
        <f>HYPERLINK("https://www.philgeps.gov.ph/GEPSNONPILOT/Tender/SplashBidNoticeAbstractUI.aspx?menuIndex=3&amp;refID=7194281&amp;Result=3","7194281")</f>
        <v>0</v>
      </c>
      <c r="B5795" t="s">
        <v>1021</v>
      </c>
      <c r="C5795" t="s">
        <v>9292</v>
      </c>
      <c r="D5795" t="s">
        <v>18993</v>
      </c>
      <c r="E5795" t="s">
        <v>24207</v>
      </c>
      <c r="F5795" t="s">
        <v>32606</v>
      </c>
      <c r="G5795" t="s">
        <v>32613</v>
      </c>
      <c r="H5795" t="s">
        <v>14201</v>
      </c>
      <c r="I5795" t="s">
        <v>4369</v>
      </c>
      <c r="J5795" t="s">
        <v>34118</v>
      </c>
      <c r="K5795" t="s">
        <v>42630</v>
      </c>
      <c r="M5795" t="s">
        <v>45036</v>
      </c>
      <c r="N5795" t="s">
        <v>47304</v>
      </c>
      <c r="O5795" t="s">
        <v>47305</v>
      </c>
      <c r="P5795">
        <v>0</v>
      </c>
      <c r="Q5795">
        <v>4</v>
      </c>
      <c r="R5795" t="s">
        <v>47308</v>
      </c>
      <c r="S5795" t="s">
        <v>47429</v>
      </c>
      <c r="T5795" t="s">
        <v>49002</v>
      </c>
      <c r="U5795" t="s">
        <v>54404</v>
      </c>
      <c r="W5795" t="s">
        <v>45036</v>
      </c>
      <c r="X5795" t="s">
        <v>47309</v>
      </c>
    </row>
    <row r="5796" spans="1:24">
      <c r="A5796">
        <f>HYPERLINK("https://www.philgeps.gov.ph/GEPSNONPILOT/Tender/SplashBidNoticeAbstractUI.aspx?menuIndex=3&amp;refID=7194280&amp;Result=3","7194280")</f>
        <v>0</v>
      </c>
      <c r="B5796" t="s">
        <v>1973</v>
      </c>
      <c r="C5796" t="s">
        <v>9293</v>
      </c>
      <c r="D5796" t="s">
        <v>19039</v>
      </c>
      <c r="E5796" t="s">
        <v>24208</v>
      </c>
      <c r="F5796" t="s">
        <v>32606</v>
      </c>
      <c r="G5796" t="s">
        <v>32613</v>
      </c>
      <c r="H5796" t="s">
        <v>14201</v>
      </c>
      <c r="I5796" t="s">
        <v>7064</v>
      </c>
      <c r="J5796" t="s">
        <v>32759</v>
      </c>
      <c r="K5796" t="s">
        <v>42622</v>
      </c>
      <c r="M5796" t="s">
        <v>45037</v>
      </c>
      <c r="N5796" t="s">
        <v>47304</v>
      </c>
      <c r="O5796" t="s">
        <v>47305</v>
      </c>
      <c r="P5796">
        <v>0</v>
      </c>
      <c r="Q5796">
        <v>0</v>
      </c>
      <c r="R5796" t="s">
        <v>47308</v>
      </c>
      <c r="S5796" t="s">
        <v>47429</v>
      </c>
      <c r="T5796" t="s">
        <v>48982</v>
      </c>
      <c r="U5796" t="s">
        <v>54405</v>
      </c>
      <c r="W5796" t="s">
        <v>45037</v>
      </c>
      <c r="X5796" t="s">
        <v>47309</v>
      </c>
    </row>
    <row r="5797" spans="1:24">
      <c r="A5797">
        <f>HYPERLINK("https://www.philgeps.gov.ph/GEPSNONPILOT/Tender/SplashBidNoticeAbstractUI.aspx?menuIndex=3&amp;refID=7194279&amp;Result=3","7194279")</f>
        <v>0</v>
      </c>
      <c r="B5797" t="s">
        <v>1974</v>
      </c>
      <c r="C5797" t="s">
        <v>9294</v>
      </c>
      <c r="D5797" t="s">
        <v>18995</v>
      </c>
      <c r="E5797" t="s">
        <v>24209</v>
      </c>
      <c r="F5797" t="s">
        <v>32606</v>
      </c>
      <c r="G5797" t="s">
        <v>32615</v>
      </c>
      <c r="H5797" t="s">
        <v>14201</v>
      </c>
      <c r="I5797" t="s">
        <v>6931</v>
      </c>
      <c r="J5797" t="s">
        <v>33009</v>
      </c>
      <c r="K5797" t="s">
        <v>42629</v>
      </c>
      <c r="M5797" t="s">
        <v>45038</v>
      </c>
      <c r="N5797" t="s">
        <v>47304</v>
      </c>
      <c r="O5797" t="s">
        <v>47305</v>
      </c>
      <c r="P5797">
        <v>0</v>
      </c>
      <c r="Q5797">
        <v>0</v>
      </c>
      <c r="R5797" t="s">
        <v>47308</v>
      </c>
      <c r="S5797" t="s">
        <v>47429</v>
      </c>
      <c r="T5797" t="s">
        <v>48975</v>
      </c>
      <c r="U5797" t="s">
        <v>54406</v>
      </c>
      <c r="W5797" t="s">
        <v>64487</v>
      </c>
      <c r="X5797" t="s">
        <v>47309</v>
      </c>
    </row>
    <row r="5798" spans="1:24">
      <c r="A5798">
        <f>HYPERLINK("https://www.philgeps.gov.ph/GEPSNONPILOT/Tender/SplashBidNoticeAbstractUI.aspx?menuIndex=3&amp;refID=7194278&amp;Result=3","7194278")</f>
        <v>0</v>
      </c>
      <c r="B5798" t="s">
        <v>1962</v>
      </c>
      <c r="C5798" t="s">
        <v>9295</v>
      </c>
      <c r="D5798" t="s">
        <v>19060</v>
      </c>
      <c r="E5798" t="s">
        <v>9295</v>
      </c>
      <c r="F5798" t="s">
        <v>32606</v>
      </c>
      <c r="G5798" t="s">
        <v>32614</v>
      </c>
      <c r="H5798" t="s">
        <v>14201</v>
      </c>
      <c r="I5798" t="s">
        <v>6993</v>
      </c>
      <c r="J5798" t="s">
        <v>36537</v>
      </c>
      <c r="K5798" t="s">
        <v>42623</v>
      </c>
      <c r="L5798" t="s">
        <v>1962</v>
      </c>
      <c r="M5798" t="s">
        <v>45025</v>
      </c>
      <c r="N5798" t="s">
        <v>47304</v>
      </c>
      <c r="O5798" t="s">
        <v>47305</v>
      </c>
      <c r="P5798">
        <v>0</v>
      </c>
      <c r="Q5798">
        <v>0</v>
      </c>
      <c r="R5798" t="s">
        <v>47308</v>
      </c>
      <c r="S5798" t="s">
        <v>47429</v>
      </c>
      <c r="T5798" t="s">
        <v>49072</v>
      </c>
      <c r="U5798" t="s">
        <v>54373</v>
      </c>
      <c r="W5798" t="s">
        <v>45025</v>
      </c>
      <c r="X5798" t="s">
        <v>47309</v>
      </c>
    </row>
    <row r="5799" spans="1:24">
      <c r="A5799">
        <f>HYPERLINK("https://www.philgeps.gov.ph/GEPSNONPILOT/Tender/SplashBidNoticeAbstractUI.aspx?menuIndex=3&amp;refID=7194243&amp;Result=3","7194243")</f>
        <v>0</v>
      </c>
      <c r="B5799" t="s">
        <v>165</v>
      </c>
      <c r="C5799" t="s">
        <v>9296</v>
      </c>
      <c r="D5799" t="s">
        <v>18993</v>
      </c>
      <c r="E5799" t="s">
        <v>24210</v>
      </c>
      <c r="F5799" t="s">
        <v>32606</v>
      </c>
      <c r="G5799" t="s">
        <v>32614</v>
      </c>
      <c r="H5799" t="s">
        <v>14201</v>
      </c>
      <c r="I5799" t="s">
        <v>32640</v>
      </c>
      <c r="J5799" t="s">
        <v>32799</v>
      </c>
      <c r="K5799" t="s">
        <v>42639</v>
      </c>
      <c r="M5799" t="s">
        <v>45039</v>
      </c>
      <c r="N5799" t="s">
        <v>47304</v>
      </c>
      <c r="O5799" t="s">
        <v>47305</v>
      </c>
      <c r="P5799">
        <v>0</v>
      </c>
      <c r="Q5799">
        <v>26</v>
      </c>
      <c r="R5799" t="s">
        <v>47308</v>
      </c>
      <c r="S5799" t="s">
        <v>47429</v>
      </c>
      <c r="T5799" t="s">
        <v>49257</v>
      </c>
      <c r="U5799" t="s">
        <v>54407</v>
      </c>
      <c r="W5799" t="s">
        <v>45039</v>
      </c>
      <c r="X5799" t="s">
        <v>47309</v>
      </c>
    </row>
    <row r="5800" spans="1:24">
      <c r="A5800">
        <f>HYPERLINK("https://www.philgeps.gov.ph/GEPSNONPILOT/Tender/SplashBidNoticeAbstractUI.aspx?menuIndex=3&amp;refID=7194241&amp;Result=3","7194241")</f>
        <v>0</v>
      </c>
      <c r="B5800" t="s">
        <v>1493</v>
      </c>
      <c r="C5800" t="s">
        <v>9297</v>
      </c>
      <c r="D5800" t="s">
        <v>19023</v>
      </c>
      <c r="E5800" t="s">
        <v>24211</v>
      </c>
      <c r="F5800" t="s">
        <v>32606</v>
      </c>
      <c r="G5800" t="s">
        <v>32614</v>
      </c>
      <c r="H5800" t="s">
        <v>14201</v>
      </c>
      <c r="I5800" t="s">
        <v>9297</v>
      </c>
      <c r="J5800" t="s">
        <v>33529</v>
      </c>
      <c r="K5800" t="s">
        <v>42629</v>
      </c>
      <c r="M5800" t="s">
        <v>44488</v>
      </c>
      <c r="N5800" t="s">
        <v>47304</v>
      </c>
      <c r="O5800" t="s">
        <v>47305</v>
      </c>
      <c r="P5800">
        <v>0</v>
      </c>
      <c r="Q5800">
        <v>0</v>
      </c>
      <c r="R5800" t="s">
        <v>47308</v>
      </c>
      <c r="S5800" t="s">
        <v>47429</v>
      </c>
      <c r="T5800" t="s">
        <v>49053</v>
      </c>
      <c r="U5800" t="s">
        <v>54408</v>
      </c>
      <c r="V5800" t="s">
        <v>63032</v>
      </c>
      <c r="W5800" t="s">
        <v>44488</v>
      </c>
      <c r="X5800" t="s">
        <v>47309</v>
      </c>
    </row>
    <row r="5801" spans="1:24">
      <c r="A5801">
        <f>HYPERLINK("https://www.philgeps.gov.ph/GEPSNONPILOT/Tender/SplashBidNoticeAbstractUI.aspx?menuIndex=3&amp;refID=7194249&amp;Result=3","7194249")</f>
        <v>0</v>
      </c>
      <c r="B5801" t="s">
        <v>1493</v>
      </c>
      <c r="C5801" t="s">
        <v>9298</v>
      </c>
      <c r="D5801" t="s">
        <v>19023</v>
      </c>
      <c r="E5801" t="s">
        <v>24212</v>
      </c>
      <c r="F5801" t="s">
        <v>32606</v>
      </c>
      <c r="G5801" t="s">
        <v>32614</v>
      </c>
      <c r="H5801" t="s">
        <v>14201</v>
      </c>
      <c r="I5801" t="s">
        <v>32686</v>
      </c>
      <c r="J5801" t="s">
        <v>36538</v>
      </c>
      <c r="K5801" t="s">
        <v>42629</v>
      </c>
      <c r="M5801" t="s">
        <v>44488</v>
      </c>
      <c r="N5801" t="s">
        <v>47304</v>
      </c>
      <c r="O5801" t="s">
        <v>47305</v>
      </c>
      <c r="P5801">
        <v>0</v>
      </c>
      <c r="Q5801">
        <v>2</v>
      </c>
      <c r="R5801" t="s">
        <v>47308</v>
      </c>
      <c r="S5801" t="s">
        <v>47429</v>
      </c>
      <c r="T5801" t="s">
        <v>49053</v>
      </c>
      <c r="U5801" t="s">
        <v>54409</v>
      </c>
      <c r="V5801" t="s">
        <v>63032</v>
      </c>
      <c r="W5801" t="s">
        <v>44488</v>
      </c>
      <c r="X5801" t="s">
        <v>47309</v>
      </c>
    </row>
    <row r="5802" spans="1:24">
      <c r="A5802">
        <f>HYPERLINK("https://www.philgeps.gov.ph/GEPSNONPILOT/Tender/SplashBidNoticeAbstractUI.aspx?menuIndex=3&amp;refID=7194274&amp;Result=3","7194274")</f>
        <v>0</v>
      </c>
      <c r="B5802" t="s">
        <v>1973</v>
      </c>
      <c r="C5802" t="s">
        <v>9299</v>
      </c>
      <c r="D5802" t="s">
        <v>19039</v>
      </c>
      <c r="E5802" t="s">
        <v>24213</v>
      </c>
      <c r="F5802" t="s">
        <v>32606</v>
      </c>
      <c r="G5802" t="s">
        <v>32613</v>
      </c>
      <c r="H5802" t="s">
        <v>32623</v>
      </c>
      <c r="I5802" t="s">
        <v>17648</v>
      </c>
      <c r="J5802" t="s">
        <v>32850</v>
      </c>
      <c r="K5802" t="s">
        <v>42677</v>
      </c>
      <c r="M5802" t="s">
        <v>45037</v>
      </c>
      <c r="N5802" t="s">
        <v>47304</v>
      </c>
      <c r="O5802" t="s">
        <v>47305</v>
      </c>
      <c r="P5802">
        <v>0</v>
      </c>
      <c r="Q5802">
        <v>0</v>
      </c>
      <c r="R5802" t="s">
        <v>47308</v>
      </c>
      <c r="S5802" t="s">
        <v>47429</v>
      </c>
      <c r="T5802" t="s">
        <v>49018</v>
      </c>
      <c r="U5802" t="s">
        <v>54410</v>
      </c>
      <c r="W5802" t="s">
        <v>45037</v>
      </c>
      <c r="X5802" t="s">
        <v>47309</v>
      </c>
    </row>
    <row r="5803" spans="1:24">
      <c r="A5803">
        <f>HYPERLINK("https://www.philgeps.gov.ph/GEPSNONPILOT/Tender/SplashBidNoticeAbstractUI.aspx?menuIndex=3&amp;refID=7194273&amp;Result=3","7194273")</f>
        <v>0</v>
      </c>
      <c r="B5803" t="s">
        <v>1975</v>
      </c>
      <c r="C5803" t="s">
        <v>9300</v>
      </c>
      <c r="D5803" t="s">
        <v>19037</v>
      </c>
      <c r="E5803" t="s">
        <v>24214</v>
      </c>
      <c r="F5803" t="s">
        <v>32606</v>
      </c>
      <c r="G5803" t="s">
        <v>32614</v>
      </c>
      <c r="H5803" t="s">
        <v>32623</v>
      </c>
      <c r="I5803" t="s">
        <v>32675</v>
      </c>
      <c r="J5803" t="s">
        <v>36539</v>
      </c>
      <c r="K5803" t="s">
        <v>42639</v>
      </c>
      <c r="M5803" t="s">
        <v>45040</v>
      </c>
      <c r="N5803" t="s">
        <v>47304</v>
      </c>
      <c r="O5803" t="s">
        <v>47305</v>
      </c>
      <c r="P5803">
        <v>0</v>
      </c>
      <c r="Q5803">
        <v>5</v>
      </c>
      <c r="R5803" t="s">
        <v>47308</v>
      </c>
      <c r="S5803" t="s">
        <v>47429</v>
      </c>
      <c r="T5803" t="s">
        <v>48975</v>
      </c>
      <c r="U5803" t="s">
        <v>54411</v>
      </c>
      <c r="W5803" t="s">
        <v>45040</v>
      </c>
      <c r="X5803" t="s">
        <v>47309</v>
      </c>
    </row>
    <row r="5804" spans="1:24">
      <c r="A5804">
        <f>HYPERLINK("https://www.philgeps.gov.ph/GEPSNONPILOT/Tender/SplashBidNoticeAbstractUI.aspx?menuIndex=3&amp;refID=7194272&amp;Result=3","7194272")</f>
        <v>0</v>
      </c>
      <c r="B5804" t="s">
        <v>651</v>
      </c>
      <c r="C5804" t="s">
        <v>9301</v>
      </c>
      <c r="D5804" t="s">
        <v>19060</v>
      </c>
      <c r="E5804" t="s">
        <v>24215</v>
      </c>
      <c r="F5804" t="s">
        <v>32606</v>
      </c>
      <c r="G5804" t="s">
        <v>32617</v>
      </c>
      <c r="H5804" t="s">
        <v>14201</v>
      </c>
      <c r="I5804" t="s">
        <v>4120</v>
      </c>
      <c r="J5804" t="s">
        <v>36540</v>
      </c>
      <c r="K5804" t="s">
        <v>42629</v>
      </c>
      <c r="M5804" t="s">
        <v>43570</v>
      </c>
      <c r="N5804" t="s">
        <v>47304</v>
      </c>
      <c r="O5804" t="s">
        <v>47305</v>
      </c>
      <c r="P5804">
        <v>0</v>
      </c>
      <c r="Q5804">
        <v>0</v>
      </c>
      <c r="R5804" t="s">
        <v>47308</v>
      </c>
      <c r="S5804" t="s">
        <v>47429</v>
      </c>
      <c r="T5804" t="s">
        <v>49047</v>
      </c>
      <c r="U5804" t="s">
        <v>50681</v>
      </c>
      <c r="W5804" t="s">
        <v>43570</v>
      </c>
      <c r="X5804" t="s">
        <v>47309</v>
      </c>
    </row>
    <row r="5805" spans="1:24">
      <c r="A5805">
        <f>HYPERLINK("https://www.philgeps.gov.ph/GEPSNONPILOT/Tender/SplashBidNoticeAbstractUI.aspx?menuIndex=3&amp;refID=7194271&amp;Result=3","7194271")</f>
        <v>0</v>
      </c>
      <c r="B5805" t="s">
        <v>1976</v>
      </c>
      <c r="C5805" t="s">
        <v>9302</v>
      </c>
      <c r="D5805" t="s">
        <v>18995</v>
      </c>
      <c r="E5805" t="s">
        <v>24209</v>
      </c>
      <c r="F5805" t="s">
        <v>32606</v>
      </c>
      <c r="G5805" t="s">
        <v>32613</v>
      </c>
      <c r="H5805" t="s">
        <v>32624</v>
      </c>
      <c r="I5805" t="s">
        <v>7064</v>
      </c>
      <c r="J5805" t="s">
        <v>32752</v>
      </c>
      <c r="K5805" t="s">
        <v>42629</v>
      </c>
      <c r="M5805" t="s">
        <v>45041</v>
      </c>
      <c r="N5805" t="s">
        <v>47304</v>
      </c>
      <c r="O5805" t="s">
        <v>47305</v>
      </c>
      <c r="P5805">
        <v>0</v>
      </c>
      <c r="Q5805">
        <v>0</v>
      </c>
      <c r="R5805" t="s">
        <v>47308</v>
      </c>
      <c r="S5805" t="s">
        <v>47429</v>
      </c>
      <c r="T5805" t="s">
        <v>48975</v>
      </c>
      <c r="U5805" t="s">
        <v>54412</v>
      </c>
      <c r="W5805" t="s">
        <v>64488</v>
      </c>
      <c r="X5805" t="s">
        <v>47309</v>
      </c>
    </row>
    <row r="5806" spans="1:24">
      <c r="A5806">
        <f>HYPERLINK("https://www.philgeps.gov.ph/GEPSNONPILOT/Tender/SplashBidNoticeAbstractUI.aspx?menuIndex=3&amp;refID=7194270&amp;Result=3","7194270")</f>
        <v>0</v>
      </c>
      <c r="B5806" t="s">
        <v>1975</v>
      </c>
      <c r="C5806" t="s">
        <v>9303</v>
      </c>
      <c r="D5806" t="s">
        <v>19037</v>
      </c>
      <c r="E5806" t="s">
        <v>24216</v>
      </c>
      <c r="F5806" t="s">
        <v>32606</v>
      </c>
      <c r="G5806" t="s">
        <v>32619</v>
      </c>
      <c r="H5806" t="s">
        <v>14201</v>
      </c>
      <c r="I5806" t="s">
        <v>4114</v>
      </c>
      <c r="J5806" t="s">
        <v>36541</v>
      </c>
      <c r="K5806" t="s">
        <v>42627</v>
      </c>
      <c r="M5806" t="s">
        <v>45040</v>
      </c>
      <c r="N5806" t="s">
        <v>47304</v>
      </c>
      <c r="O5806" t="s">
        <v>47305</v>
      </c>
      <c r="P5806">
        <v>0</v>
      </c>
      <c r="Q5806">
        <v>10</v>
      </c>
      <c r="R5806" t="s">
        <v>47308</v>
      </c>
      <c r="S5806" t="s">
        <v>47429</v>
      </c>
      <c r="T5806" t="s">
        <v>49083</v>
      </c>
      <c r="U5806" t="s">
        <v>54413</v>
      </c>
      <c r="W5806" t="s">
        <v>45040</v>
      </c>
      <c r="X5806" t="s">
        <v>47309</v>
      </c>
    </row>
    <row r="5807" spans="1:24">
      <c r="A5807">
        <f>HYPERLINK("https://www.philgeps.gov.ph/GEPSNONPILOT/Tender/SplashBidNoticeAbstractUI.aspx?menuIndex=3&amp;refID=7194269&amp;Result=3","7194269")</f>
        <v>0</v>
      </c>
      <c r="B5807" t="s">
        <v>1962</v>
      </c>
      <c r="C5807" t="s">
        <v>9304</v>
      </c>
      <c r="D5807" t="s">
        <v>19060</v>
      </c>
      <c r="E5807" t="s">
        <v>9304</v>
      </c>
      <c r="F5807" t="s">
        <v>32606</v>
      </c>
      <c r="G5807" t="s">
        <v>32614</v>
      </c>
      <c r="H5807" t="s">
        <v>14201</v>
      </c>
      <c r="I5807" t="s">
        <v>4114</v>
      </c>
      <c r="J5807" t="s">
        <v>34997</v>
      </c>
      <c r="K5807" t="s">
        <v>42623</v>
      </c>
      <c r="L5807" t="s">
        <v>1962</v>
      </c>
      <c r="M5807" t="s">
        <v>45025</v>
      </c>
      <c r="N5807" t="s">
        <v>47304</v>
      </c>
      <c r="O5807" t="s">
        <v>47305</v>
      </c>
      <c r="P5807">
        <v>0</v>
      </c>
      <c r="Q5807">
        <v>0</v>
      </c>
      <c r="R5807" t="s">
        <v>47308</v>
      </c>
      <c r="S5807" t="s">
        <v>47429</v>
      </c>
      <c r="T5807" t="s">
        <v>49072</v>
      </c>
      <c r="U5807" t="s">
        <v>54414</v>
      </c>
      <c r="W5807" t="s">
        <v>45025</v>
      </c>
      <c r="X5807" t="s">
        <v>47309</v>
      </c>
    </row>
    <row r="5808" spans="1:24">
      <c r="A5808">
        <f>HYPERLINK("https://www.philgeps.gov.ph/GEPSNONPILOT/Tender/SplashBidNoticeAbstractUI.aspx?menuIndex=3&amp;refID=7194266&amp;Result=3","7194266")</f>
        <v>0</v>
      </c>
      <c r="B5808" t="s">
        <v>651</v>
      </c>
      <c r="C5808" t="s">
        <v>9305</v>
      </c>
      <c r="D5808" t="s">
        <v>19060</v>
      </c>
      <c r="E5808" t="s">
        <v>24217</v>
      </c>
      <c r="F5808" t="s">
        <v>32606</v>
      </c>
      <c r="G5808" t="s">
        <v>32614</v>
      </c>
      <c r="H5808" t="s">
        <v>14201</v>
      </c>
      <c r="I5808" t="s">
        <v>32629</v>
      </c>
      <c r="J5808" t="s">
        <v>36542</v>
      </c>
      <c r="K5808" t="s">
        <v>42629</v>
      </c>
      <c r="M5808" t="s">
        <v>43570</v>
      </c>
      <c r="N5808" t="s">
        <v>47304</v>
      </c>
      <c r="O5808" t="s">
        <v>47305</v>
      </c>
      <c r="P5808">
        <v>0</v>
      </c>
      <c r="Q5808">
        <v>0</v>
      </c>
      <c r="R5808" t="s">
        <v>47308</v>
      </c>
      <c r="S5808" t="s">
        <v>47429</v>
      </c>
      <c r="T5808" t="s">
        <v>49047</v>
      </c>
      <c r="U5808" t="s">
        <v>50681</v>
      </c>
      <c r="W5808" t="s">
        <v>43570</v>
      </c>
      <c r="X5808" t="s">
        <v>47309</v>
      </c>
    </row>
    <row r="5809" spans="1:24">
      <c r="A5809">
        <f>HYPERLINK("https://www.philgeps.gov.ph/GEPSNONPILOT/Tender/SplashBidNoticeAbstractUI.aspx?menuIndex=3&amp;refID=7194220&amp;Result=3","7194220")</f>
        <v>0</v>
      </c>
      <c r="B5809" t="s">
        <v>1977</v>
      </c>
      <c r="C5809" t="s">
        <v>9306</v>
      </c>
      <c r="D5809" t="s">
        <v>19022</v>
      </c>
      <c r="E5809" t="s">
        <v>24218</v>
      </c>
      <c r="F5809" t="s">
        <v>32606</v>
      </c>
      <c r="G5809" t="s">
        <v>32615</v>
      </c>
      <c r="H5809" t="s">
        <v>14201</v>
      </c>
      <c r="I5809" t="s">
        <v>32626</v>
      </c>
      <c r="J5809" t="s">
        <v>36543</v>
      </c>
      <c r="K5809" t="s">
        <v>42622</v>
      </c>
      <c r="M5809" t="s">
        <v>45042</v>
      </c>
      <c r="N5809" t="s">
        <v>47304</v>
      </c>
      <c r="O5809" t="s">
        <v>47305</v>
      </c>
      <c r="P5809">
        <v>0</v>
      </c>
      <c r="Q5809">
        <v>0</v>
      </c>
      <c r="R5809" t="s">
        <v>47308</v>
      </c>
      <c r="S5809" t="s">
        <v>47429</v>
      </c>
      <c r="T5809" t="s">
        <v>49108</v>
      </c>
      <c r="U5809" t="s">
        <v>54415</v>
      </c>
      <c r="W5809" t="s">
        <v>45042</v>
      </c>
      <c r="X5809" t="s">
        <v>47309</v>
      </c>
    </row>
    <row r="5810" spans="1:24">
      <c r="A5810">
        <f>HYPERLINK("https://www.philgeps.gov.ph/GEPSNONPILOT/Tender/SplashBidNoticeAbstractUI.aspx?menuIndex=3&amp;refID=7194265&amp;Result=3","7194265")</f>
        <v>0</v>
      </c>
      <c r="B5810" t="s">
        <v>1975</v>
      </c>
      <c r="C5810" t="s">
        <v>9307</v>
      </c>
      <c r="D5810" t="s">
        <v>19037</v>
      </c>
      <c r="E5810" t="s">
        <v>24219</v>
      </c>
      <c r="F5810" t="s">
        <v>32606</v>
      </c>
      <c r="G5810" t="s">
        <v>32619</v>
      </c>
      <c r="H5810" t="s">
        <v>14201</v>
      </c>
      <c r="I5810" t="s">
        <v>7529</v>
      </c>
      <c r="J5810" t="s">
        <v>36544</v>
      </c>
      <c r="K5810" t="s">
        <v>42627</v>
      </c>
      <c r="M5810" t="s">
        <v>45040</v>
      </c>
      <c r="N5810" t="s">
        <v>47304</v>
      </c>
      <c r="O5810" t="s">
        <v>47305</v>
      </c>
      <c r="P5810">
        <v>0</v>
      </c>
      <c r="Q5810">
        <v>1</v>
      </c>
      <c r="R5810" t="s">
        <v>47308</v>
      </c>
      <c r="S5810" t="s">
        <v>47429</v>
      </c>
      <c r="T5810" t="s">
        <v>49083</v>
      </c>
      <c r="U5810" t="s">
        <v>54416</v>
      </c>
      <c r="W5810" t="s">
        <v>45040</v>
      </c>
      <c r="X5810" t="s">
        <v>47309</v>
      </c>
    </row>
    <row r="5811" spans="1:24">
      <c r="A5811">
        <f>HYPERLINK("https://www.philgeps.gov.ph/GEPSNONPILOT/Tender/SplashBidNoticeAbstractUI.aspx?menuIndex=3&amp;refID=7194263&amp;Result=3","7194263")</f>
        <v>0</v>
      </c>
      <c r="B5811" t="s">
        <v>651</v>
      </c>
      <c r="C5811" t="s">
        <v>9308</v>
      </c>
      <c r="D5811" t="s">
        <v>19060</v>
      </c>
      <c r="E5811" t="s">
        <v>24220</v>
      </c>
      <c r="F5811" t="s">
        <v>32606</v>
      </c>
      <c r="G5811" t="s">
        <v>32614</v>
      </c>
      <c r="H5811" t="s">
        <v>14201</v>
      </c>
      <c r="I5811" t="s">
        <v>32629</v>
      </c>
      <c r="J5811" t="s">
        <v>36545</v>
      </c>
      <c r="K5811" t="s">
        <v>42629</v>
      </c>
      <c r="M5811" t="s">
        <v>43570</v>
      </c>
      <c r="N5811" t="s">
        <v>47304</v>
      </c>
      <c r="O5811" t="s">
        <v>47305</v>
      </c>
      <c r="P5811">
        <v>0</v>
      </c>
      <c r="Q5811">
        <v>0</v>
      </c>
      <c r="R5811" t="s">
        <v>47308</v>
      </c>
      <c r="S5811" t="s">
        <v>47429</v>
      </c>
      <c r="T5811" t="s">
        <v>49047</v>
      </c>
      <c r="U5811" t="s">
        <v>54417</v>
      </c>
      <c r="W5811" t="s">
        <v>43570</v>
      </c>
      <c r="X5811" t="s">
        <v>47309</v>
      </c>
    </row>
    <row r="5812" spans="1:24">
      <c r="A5812">
        <f>HYPERLINK("https://www.philgeps.gov.ph/GEPSNONPILOT/Tender/SplashBidNoticeAbstractUI.aspx?menuIndex=3&amp;refID=7194277&amp;Result=3","7194277")</f>
        <v>0</v>
      </c>
      <c r="B5812" t="s">
        <v>1978</v>
      </c>
      <c r="C5812" t="s">
        <v>9309</v>
      </c>
      <c r="D5812" t="s">
        <v>18993</v>
      </c>
      <c r="E5812" t="s">
        <v>24221</v>
      </c>
      <c r="F5812" t="s">
        <v>32606</v>
      </c>
      <c r="G5812" t="s">
        <v>32614</v>
      </c>
      <c r="H5812" t="s">
        <v>32624</v>
      </c>
      <c r="I5812" t="s">
        <v>7064</v>
      </c>
      <c r="J5812" t="s">
        <v>36546</v>
      </c>
      <c r="K5812" t="s">
        <v>42623</v>
      </c>
      <c r="M5812" t="s">
        <v>45043</v>
      </c>
      <c r="N5812" t="s">
        <v>47304</v>
      </c>
      <c r="O5812" t="s">
        <v>47305</v>
      </c>
      <c r="P5812">
        <v>0</v>
      </c>
      <c r="Q5812">
        <v>2</v>
      </c>
      <c r="R5812" t="s">
        <v>47308</v>
      </c>
      <c r="S5812" t="s">
        <v>47429</v>
      </c>
      <c r="T5812" t="s">
        <v>49053</v>
      </c>
      <c r="U5812" t="s">
        <v>54418</v>
      </c>
      <c r="V5812" t="s">
        <v>63190</v>
      </c>
      <c r="W5812" t="s">
        <v>45043</v>
      </c>
      <c r="X5812" t="s">
        <v>47309</v>
      </c>
    </row>
    <row r="5813" spans="1:24">
      <c r="A5813">
        <f>HYPERLINK("https://www.philgeps.gov.ph/GEPSNONPILOT/Tender/SplashBidNoticeAbstractUI.aspx?menuIndex=3&amp;refID=7194275&amp;Result=3","7194275")</f>
        <v>0</v>
      </c>
      <c r="B5813" t="s">
        <v>651</v>
      </c>
      <c r="C5813" t="s">
        <v>9310</v>
      </c>
      <c r="D5813" t="s">
        <v>19060</v>
      </c>
      <c r="E5813" t="s">
        <v>24222</v>
      </c>
      <c r="F5813" t="s">
        <v>32606</v>
      </c>
      <c r="G5813" t="s">
        <v>32614</v>
      </c>
      <c r="H5813" t="s">
        <v>14201</v>
      </c>
      <c r="I5813" t="s">
        <v>6478</v>
      </c>
      <c r="J5813" t="s">
        <v>32772</v>
      </c>
      <c r="K5813" t="s">
        <v>42629</v>
      </c>
      <c r="M5813" t="s">
        <v>43570</v>
      </c>
      <c r="N5813" t="s">
        <v>47304</v>
      </c>
      <c r="O5813" t="s">
        <v>47305</v>
      </c>
      <c r="P5813">
        <v>0</v>
      </c>
      <c r="Q5813">
        <v>0</v>
      </c>
      <c r="R5813" t="s">
        <v>47308</v>
      </c>
      <c r="S5813" t="s">
        <v>47429</v>
      </c>
      <c r="T5813" t="s">
        <v>49047</v>
      </c>
      <c r="U5813" t="s">
        <v>50681</v>
      </c>
      <c r="W5813" t="s">
        <v>43570</v>
      </c>
      <c r="X5813" t="s">
        <v>47309</v>
      </c>
    </row>
    <row r="5814" spans="1:24">
      <c r="A5814">
        <f>HYPERLINK("https://www.philgeps.gov.ph/GEPSNONPILOT/Tender/SplashBidNoticeAbstractUI.aspx?menuIndex=3&amp;refID=7194260&amp;Result=3","7194260")</f>
        <v>0</v>
      </c>
      <c r="B5814" t="s">
        <v>651</v>
      </c>
      <c r="C5814" t="s">
        <v>9311</v>
      </c>
      <c r="D5814" t="s">
        <v>19060</v>
      </c>
      <c r="E5814" t="s">
        <v>24223</v>
      </c>
      <c r="F5814" t="s">
        <v>32606</v>
      </c>
      <c r="G5814" t="s">
        <v>32614</v>
      </c>
      <c r="H5814" t="s">
        <v>14201</v>
      </c>
      <c r="I5814" t="s">
        <v>32629</v>
      </c>
      <c r="J5814" t="s">
        <v>36545</v>
      </c>
      <c r="K5814" t="s">
        <v>42629</v>
      </c>
      <c r="M5814" t="s">
        <v>43570</v>
      </c>
      <c r="N5814" t="s">
        <v>47304</v>
      </c>
      <c r="O5814" t="s">
        <v>47305</v>
      </c>
      <c r="P5814">
        <v>0</v>
      </c>
      <c r="Q5814">
        <v>0</v>
      </c>
      <c r="R5814" t="s">
        <v>47308</v>
      </c>
      <c r="S5814" t="s">
        <v>47429</v>
      </c>
      <c r="T5814" t="s">
        <v>49047</v>
      </c>
      <c r="U5814" t="s">
        <v>54417</v>
      </c>
      <c r="W5814" t="s">
        <v>43570</v>
      </c>
      <c r="X5814" t="s">
        <v>47309</v>
      </c>
    </row>
    <row r="5815" spans="1:24">
      <c r="A5815">
        <f>HYPERLINK("https://www.philgeps.gov.ph/GEPSNONPILOT/Tender/SplashBidNoticeAbstractUI.aspx?menuIndex=3&amp;refID=7194259&amp;Result=3","7194259")</f>
        <v>0</v>
      </c>
      <c r="B5815" t="s">
        <v>1493</v>
      </c>
      <c r="C5815" t="s">
        <v>9298</v>
      </c>
      <c r="D5815" t="s">
        <v>19023</v>
      </c>
      <c r="E5815" t="s">
        <v>24224</v>
      </c>
      <c r="F5815" t="s">
        <v>32606</v>
      </c>
      <c r="G5815" t="s">
        <v>32614</v>
      </c>
      <c r="H5815" t="s">
        <v>14201</v>
      </c>
      <c r="I5815" t="s">
        <v>32686</v>
      </c>
      <c r="J5815" t="s">
        <v>36547</v>
      </c>
      <c r="K5815" t="s">
        <v>42629</v>
      </c>
      <c r="M5815" t="s">
        <v>44488</v>
      </c>
      <c r="N5815" t="s">
        <v>47304</v>
      </c>
      <c r="O5815" t="s">
        <v>47305</v>
      </c>
      <c r="P5815">
        <v>0</v>
      </c>
      <c r="Q5815">
        <v>1</v>
      </c>
      <c r="R5815" t="s">
        <v>47308</v>
      </c>
      <c r="S5815" t="s">
        <v>47429</v>
      </c>
      <c r="T5815" t="s">
        <v>49053</v>
      </c>
      <c r="U5815" t="s">
        <v>54419</v>
      </c>
      <c r="V5815" t="s">
        <v>63032</v>
      </c>
      <c r="W5815" t="s">
        <v>44488</v>
      </c>
      <c r="X5815" t="s">
        <v>47309</v>
      </c>
    </row>
    <row r="5816" spans="1:24">
      <c r="A5816">
        <f>HYPERLINK("https://www.philgeps.gov.ph/GEPSNONPILOT/Tender/SplashBidNoticeAbstractUI.aspx?menuIndex=3&amp;refID=7194237&amp;Result=3","7194237")</f>
        <v>0</v>
      </c>
      <c r="B5816" t="s">
        <v>1979</v>
      </c>
      <c r="C5816" t="s">
        <v>9312</v>
      </c>
      <c r="D5816" t="s">
        <v>19056</v>
      </c>
      <c r="E5816" t="s">
        <v>24225</v>
      </c>
      <c r="F5816" t="s">
        <v>32606</v>
      </c>
      <c r="G5816" t="s">
        <v>32613</v>
      </c>
      <c r="H5816" t="s">
        <v>32623</v>
      </c>
      <c r="I5816" t="s">
        <v>32643</v>
      </c>
      <c r="J5816" t="s">
        <v>36548</v>
      </c>
      <c r="K5816" t="s">
        <v>42650</v>
      </c>
      <c r="M5816" t="s">
        <v>45044</v>
      </c>
      <c r="N5816" t="s">
        <v>47304</v>
      </c>
      <c r="O5816" t="s">
        <v>47305</v>
      </c>
      <c r="P5816">
        <v>0</v>
      </c>
      <c r="Q5816">
        <v>2</v>
      </c>
      <c r="R5816" t="s">
        <v>47308</v>
      </c>
      <c r="S5816" t="s">
        <v>47429</v>
      </c>
      <c r="T5816" t="s">
        <v>49328</v>
      </c>
      <c r="U5816" t="s">
        <v>54420</v>
      </c>
      <c r="W5816" t="s">
        <v>45044</v>
      </c>
      <c r="X5816" t="s">
        <v>47309</v>
      </c>
    </row>
    <row r="5817" spans="1:24">
      <c r="A5817">
        <f>HYPERLINK("https://www.philgeps.gov.ph/GEPSNONPILOT/Tender/SplashBidNoticeAbstractUI.aspx?menuIndex=3&amp;refID=7194236&amp;Result=3","7194236")</f>
        <v>0</v>
      </c>
      <c r="B5817" t="s">
        <v>1951</v>
      </c>
      <c r="C5817" t="s">
        <v>9313</v>
      </c>
      <c r="D5817" t="s">
        <v>19007</v>
      </c>
      <c r="E5817" t="s">
        <v>24226</v>
      </c>
      <c r="F5817" t="s">
        <v>32606</v>
      </c>
      <c r="G5817" t="s">
        <v>32613</v>
      </c>
      <c r="H5817" t="s">
        <v>32623</v>
      </c>
      <c r="I5817" t="s">
        <v>17648</v>
      </c>
      <c r="J5817" t="s">
        <v>36549</v>
      </c>
      <c r="K5817" t="s">
        <v>42645</v>
      </c>
      <c r="M5817" t="s">
        <v>45012</v>
      </c>
      <c r="N5817" t="s">
        <v>47304</v>
      </c>
      <c r="O5817" t="s">
        <v>47305</v>
      </c>
      <c r="P5817">
        <v>0</v>
      </c>
      <c r="Q5817">
        <v>5</v>
      </c>
      <c r="R5817" t="s">
        <v>47308</v>
      </c>
      <c r="S5817" t="s">
        <v>47429</v>
      </c>
      <c r="T5817" t="s">
        <v>49108</v>
      </c>
      <c r="U5817" t="s">
        <v>54421</v>
      </c>
      <c r="W5817" t="s">
        <v>45012</v>
      </c>
      <c r="X5817" t="s">
        <v>47309</v>
      </c>
    </row>
    <row r="5818" spans="1:24">
      <c r="A5818">
        <f>HYPERLINK("https://www.philgeps.gov.ph/GEPSNONPILOT/Tender/SplashBidNoticeAbstractUI.aspx?menuIndex=3&amp;refID=7194264&amp;Result=3","7194264")</f>
        <v>0</v>
      </c>
      <c r="B5818" t="s">
        <v>651</v>
      </c>
      <c r="C5818" t="s">
        <v>9314</v>
      </c>
      <c r="D5818" t="s">
        <v>19060</v>
      </c>
      <c r="E5818" t="s">
        <v>24227</v>
      </c>
      <c r="F5818" t="s">
        <v>32606</v>
      </c>
      <c r="G5818" t="s">
        <v>32614</v>
      </c>
      <c r="H5818" t="s">
        <v>14201</v>
      </c>
      <c r="I5818" t="s">
        <v>32633</v>
      </c>
      <c r="J5818" t="s">
        <v>32772</v>
      </c>
      <c r="K5818" t="s">
        <v>42629</v>
      </c>
      <c r="M5818" t="s">
        <v>43570</v>
      </c>
      <c r="N5818" t="s">
        <v>47304</v>
      </c>
      <c r="O5818" t="s">
        <v>47305</v>
      </c>
      <c r="P5818">
        <v>0</v>
      </c>
      <c r="Q5818">
        <v>7</v>
      </c>
      <c r="R5818" t="s">
        <v>47308</v>
      </c>
      <c r="S5818" t="s">
        <v>47429</v>
      </c>
      <c r="T5818" t="s">
        <v>49047</v>
      </c>
      <c r="U5818" t="s">
        <v>50681</v>
      </c>
      <c r="W5818" t="s">
        <v>43570</v>
      </c>
      <c r="X5818" t="s">
        <v>47309</v>
      </c>
    </row>
    <row r="5819" spans="1:24">
      <c r="A5819">
        <f>HYPERLINK("https://www.philgeps.gov.ph/GEPSNONPILOT/Tender/SplashBidNoticeAbstractUI.aspx?menuIndex=3&amp;refID=7194135&amp;Result=3","7194135")</f>
        <v>0</v>
      </c>
      <c r="B5819" t="s">
        <v>1947</v>
      </c>
      <c r="C5819" t="s">
        <v>9315</v>
      </c>
      <c r="D5819" t="s">
        <v>19011</v>
      </c>
      <c r="E5819" t="s">
        <v>20404</v>
      </c>
      <c r="F5819" t="s">
        <v>32606</v>
      </c>
      <c r="G5819" t="s">
        <v>32613</v>
      </c>
      <c r="H5819" t="s">
        <v>14201</v>
      </c>
      <c r="I5819" t="s">
        <v>13131</v>
      </c>
      <c r="J5819" t="s">
        <v>32778</v>
      </c>
      <c r="K5819" t="s">
        <v>42624</v>
      </c>
      <c r="M5819" t="s">
        <v>45008</v>
      </c>
      <c r="N5819" t="s">
        <v>47304</v>
      </c>
      <c r="O5819" t="s">
        <v>47305</v>
      </c>
      <c r="P5819">
        <v>0</v>
      </c>
      <c r="Q5819">
        <v>1</v>
      </c>
      <c r="R5819" t="s">
        <v>47308</v>
      </c>
      <c r="S5819" t="s">
        <v>47429</v>
      </c>
      <c r="T5819" t="s">
        <v>49162</v>
      </c>
      <c r="U5819" t="s">
        <v>54422</v>
      </c>
      <c r="W5819" t="s">
        <v>45008</v>
      </c>
      <c r="X5819" t="s">
        <v>47309</v>
      </c>
    </row>
    <row r="5820" spans="1:24">
      <c r="A5820">
        <f>HYPERLINK("https://www.philgeps.gov.ph/GEPSNONPILOT/Tender/SplashBidNoticeAbstractUI.aspx?menuIndex=3&amp;refID=7194262&amp;Result=3","7194262")</f>
        <v>0</v>
      </c>
      <c r="B5820" t="s">
        <v>651</v>
      </c>
      <c r="C5820" t="s">
        <v>9316</v>
      </c>
      <c r="D5820" t="s">
        <v>19060</v>
      </c>
      <c r="E5820" t="s">
        <v>24228</v>
      </c>
      <c r="F5820" t="s">
        <v>32606</v>
      </c>
      <c r="G5820" t="s">
        <v>32617</v>
      </c>
      <c r="H5820" t="s">
        <v>14201</v>
      </c>
      <c r="I5820" t="s">
        <v>4120</v>
      </c>
      <c r="J5820" t="s">
        <v>36550</v>
      </c>
      <c r="K5820" t="s">
        <v>42629</v>
      </c>
      <c r="M5820" t="s">
        <v>43570</v>
      </c>
      <c r="N5820" t="s">
        <v>47304</v>
      </c>
      <c r="O5820" t="s">
        <v>47305</v>
      </c>
      <c r="P5820">
        <v>0</v>
      </c>
      <c r="Q5820">
        <v>0</v>
      </c>
      <c r="R5820" t="s">
        <v>47308</v>
      </c>
      <c r="S5820" t="s">
        <v>47429</v>
      </c>
      <c r="T5820" t="s">
        <v>49047</v>
      </c>
      <c r="U5820" t="s">
        <v>54417</v>
      </c>
      <c r="W5820" t="s">
        <v>43570</v>
      </c>
      <c r="X5820" t="s">
        <v>47309</v>
      </c>
    </row>
    <row r="5821" spans="1:24">
      <c r="A5821">
        <f>HYPERLINK("https://www.philgeps.gov.ph/GEPSNONPILOT/Tender/SplashBidNoticeAbstractUI.aspx?menuIndex=3&amp;refID=7194256&amp;Result=3","7194256")</f>
        <v>0</v>
      </c>
      <c r="B5821" t="s">
        <v>651</v>
      </c>
      <c r="C5821" t="s">
        <v>9317</v>
      </c>
      <c r="D5821" t="s">
        <v>19060</v>
      </c>
      <c r="E5821" t="s">
        <v>24229</v>
      </c>
      <c r="F5821" t="s">
        <v>32606</v>
      </c>
      <c r="G5821" t="s">
        <v>32617</v>
      </c>
      <c r="H5821" t="s">
        <v>14201</v>
      </c>
      <c r="I5821" t="s">
        <v>4120</v>
      </c>
      <c r="J5821" t="s">
        <v>36550</v>
      </c>
      <c r="K5821" t="s">
        <v>42629</v>
      </c>
      <c r="M5821" t="s">
        <v>43570</v>
      </c>
      <c r="N5821" t="s">
        <v>47304</v>
      </c>
      <c r="O5821" t="s">
        <v>47305</v>
      </c>
      <c r="P5821">
        <v>0</v>
      </c>
      <c r="Q5821">
        <v>1</v>
      </c>
      <c r="R5821" t="s">
        <v>47308</v>
      </c>
      <c r="S5821" t="s">
        <v>47429</v>
      </c>
      <c r="T5821" t="s">
        <v>49047</v>
      </c>
      <c r="U5821" t="s">
        <v>54417</v>
      </c>
      <c r="W5821" t="s">
        <v>43570</v>
      </c>
      <c r="X5821" t="s">
        <v>47309</v>
      </c>
    </row>
    <row r="5822" spans="1:24">
      <c r="A5822">
        <f>HYPERLINK("https://www.philgeps.gov.ph/GEPSNONPILOT/Tender/SplashBidNoticeAbstractUI.aspx?menuIndex=3&amp;refID=7194129&amp;Result=3","7194129")</f>
        <v>0</v>
      </c>
      <c r="B5822" t="s">
        <v>1947</v>
      </c>
      <c r="C5822" t="s">
        <v>9318</v>
      </c>
      <c r="D5822" t="s">
        <v>19011</v>
      </c>
      <c r="E5822" t="s">
        <v>24230</v>
      </c>
      <c r="F5822" t="s">
        <v>32606</v>
      </c>
      <c r="G5822" t="s">
        <v>32613</v>
      </c>
      <c r="H5822" t="s">
        <v>32623</v>
      </c>
      <c r="I5822" t="s">
        <v>17648</v>
      </c>
      <c r="J5822" t="s">
        <v>32981</v>
      </c>
      <c r="K5822" t="s">
        <v>42624</v>
      </c>
      <c r="M5822" t="s">
        <v>45008</v>
      </c>
      <c r="N5822" t="s">
        <v>47304</v>
      </c>
      <c r="O5822" t="s">
        <v>47305</v>
      </c>
      <c r="P5822">
        <v>0</v>
      </c>
      <c r="Q5822">
        <v>0</v>
      </c>
      <c r="R5822" t="s">
        <v>47308</v>
      </c>
      <c r="S5822" t="s">
        <v>47429</v>
      </c>
      <c r="T5822" t="s">
        <v>49324</v>
      </c>
      <c r="U5822" t="s">
        <v>54423</v>
      </c>
      <c r="W5822" t="s">
        <v>45008</v>
      </c>
      <c r="X5822" t="s">
        <v>47309</v>
      </c>
    </row>
    <row r="5823" spans="1:24">
      <c r="A5823">
        <f>HYPERLINK("https://www.philgeps.gov.ph/GEPSNONPILOT/Tender/SplashBidNoticeAbstractUI.aspx?menuIndex=3&amp;refID=7194118&amp;Result=3","7194118")</f>
        <v>0</v>
      </c>
      <c r="B5823" t="s">
        <v>1949</v>
      </c>
      <c r="C5823" t="s">
        <v>9319</v>
      </c>
      <c r="D5823" t="s">
        <v>18995</v>
      </c>
      <c r="E5823" t="s">
        <v>24231</v>
      </c>
      <c r="F5823" t="s">
        <v>32606</v>
      </c>
      <c r="G5823" t="s">
        <v>32613</v>
      </c>
      <c r="H5823" t="s">
        <v>14201</v>
      </c>
      <c r="I5823" t="s">
        <v>7677</v>
      </c>
      <c r="J5823" t="s">
        <v>36551</v>
      </c>
      <c r="K5823" t="s">
        <v>42629</v>
      </c>
      <c r="M5823" t="s">
        <v>45010</v>
      </c>
      <c r="N5823" t="s">
        <v>47304</v>
      </c>
      <c r="O5823" t="s">
        <v>47305</v>
      </c>
      <c r="P5823">
        <v>0</v>
      </c>
      <c r="Q5823">
        <v>5</v>
      </c>
      <c r="R5823" t="s">
        <v>47308</v>
      </c>
      <c r="S5823" t="s">
        <v>47429</v>
      </c>
      <c r="T5823" t="s">
        <v>49108</v>
      </c>
      <c r="U5823" t="s">
        <v>54424</v>
      </c>
      <c r="W5823" t="s">
        <v>45010</v>
      </c>
      <c r="X5823" t="s">
        <v>47309</v>
      </c>
    </row>
    <row r="5824" spans="1:24">
      <c r="A5824">
        <f>HYPERLINK("https://www.philgeps.gov.ph/GEPSNONPILOT/Tender/SplashBidNoticeAbstractUI.aspx?menuIndex=3&amp;refID=7194134&amp;Result=3","7194134")</f>
        <v>0</v>
      </c>
      <c r="B5824" t="s">
        <v>1225</v>
      </c>
      <c r="C5824" t="s">
        <v>9320</v>
      </c>
      <c r="D5824" t="s">
        <v>19038</v>
      </c>
      <c r="E5824" t="s">
        <v>24232</v>
      </c>
      <c r="F5824" t="s">
        <v>32606</v>
      </c>
      <c r="G5824" t="s">
        <v>32614</v>
      </c>
      <c r="H5824" t="s">
        <v>14201</v>
      </c>
      <c r="I5824" t="s">
        <v>6931</v>
      </c>
      <c r="J5824" t="s">
        <v>36552</v>
      </c>
      <c r="K5824" t="s">
        <v>42624</v>
      </c>
      <c r="M5824" t="s">
        <v>44869</v>
      </c>
      <c r="N5824" t="s">
        <v>47304</v>
      </c>
      <c r="O5824" t="s">
        <v>47305</v>
      </c>
      <c r="P5824">
        <v>0</v>
      </c>
      <c r="Q5824">
        <v>1</v>
      </c>
      <c r="R5824" t="s">
        <v>47308</v>
      </c>
      <c r="S5824" t="s">
        <v>47429</v>
      </c>
      <c r="T5824" t="s">
        <v>48987</v>
      </c>
      <c r="U5824" t="s">
        <v>54425</v>
      </c>
      <c r="W5824" t="s">
        <v>64467</v>
      </c>
      <c r="X5824" t="s">
        <v>47309</v>
      </c>
    </row>
    <row r="5825" spans="1:24">
      <c r="A5825">
        <f>HYPERLINK("https://www.philgeps.gov.ph/GEPSNONPILOT/Tender/SplashBidNoticeAbstractUI.aspx?menuIndex=3&amp;refID=7194116&amp;Result=3","7194116")</f>
        <v>0</v>
      </c>
      <c r="B5825" t="s">
        <v>318</v>
      </c>
      <c r="C5825" t="s">
        <v>9321</v>
      </c>
      <c r="D5825" t="s">
        <v>19025</v>
      </c>
      <c r="E5825" t="s">
        <v>24233</v>
      </c>
      <c r="F5825" t="s">
        <v>32606</v>
      </c>
      <c r="G5825" t="s">
        <v>32614</v>
      </c>
      <c r="H5825" t="s">
        <v>14201</v>
      </c>
      <c r="I5825" t="s">
        <v>4114</v>
      </c>
      <c r="J5825" t="s">
        <v>36553</v>
      </c>
      <c r="K5825" t="s">
        <v>42624</v>
      </c>
      <c r="M5825" t="s">
        <v>43220</v>
      </c>
      <c r="N5825" t="s">
        <v>47304</v>
      </c>
      <c r="O5825" t="s">
        <v>47305</v>
      </c>
      <c r="P5825">
        <v>0</v>
      </c>
      <c r="Q5825">
        <v>2</v>
      </c>
      <c r="R5825" t="s">
        <v>47308</v>
      </c>
      <c r="S5825" t="s">
        <v>47429</v>
      </c>
      <c r="T5825" t="s">
        <v>49084</v>
      </c>
      <c r="U5825" t="s">
        <v>54426</v>
      </c>
      <c r="W5825" t="s">
        <v>43220</v>
      </c>
      <c r="X5825" t="s">
        <v>47309</v>
      </c>
    </row>
    <row r="5826" spans="1:24">
      <c r="A5826">
        <f>HYPERLINK("https://www.philgeps.gov.ph/GEPSNONPILOT/Tender/SplashBidNoticeAbstractUI.aspx?menuIndex=3&amp;refID=7194115&amp;Result=3","7194115")</f>
        <v>0</v>
      </c>
      <c r="B5826" t="s">
        <v>1949</v>
      </c>
      <c r="C5826" t="s">
        <v>9322</v>
      </c>
      <c r="D5826" t="s">
        <v>18995</v>
      </c>
      <c r="E5826" t="s">
        <v>24234</v>
      </c>
      <c r="F5826" t="s">
        <v>32606</v>
      </c>
      <c r="G5826" t="s">
        <v>32614</v>
      </c>
      <c r="H5826" t="s">
        <v>14201</v>
      </c>
      <c r="I5826" t="s">
        <v>4120</v>
      </c>
      <c r="J5826" t="s">
        <v>36554</v>
      </c>
      <c r="K5826" t="s">
        <v>42625</v>
      </c>
      <c r="M5826" t="s">
        <v>45010</v>
      </c>
      <c r="N5826" t="s">
        <v>47304</v>
      </c>
      <c r="O5826" t="s">
        <v>47305</v>
      </c>
      <c r="P5826">
        <v>0</v>
      </c>
      <c r="Q5826">
        <v>0</v>
      </c>
      <c r="R5826" t="s">
        <v>47308</v>
      </c>
      <c r="S5826" t="s">
        <v>47429</v>
      </c>
      <c r="T5826" t="s">
        <v>49014</v>
      </c>
      <c r="U5826" t="s">
        <v>54427</v>
      </c>
      <c r="W5826" t="s">
        <v>45010</v>
      </c>
      <c r="X5826" t="s">
        <v>47309</v>
      </c>
    </row>
    <row r="5827" spans="1:24">
      <c r="A5827">
        <f>HYPERLINK("https://www.philgeps.gov.ph/GEPSNONPILOT/Tender/SplashBidNoticeAbstractUI.aspx?menuIndex=3&amp;refID=7194132&amp;Result=3","7194132")</f>
        <v>0</v>
      </c>
      <c r="B5827" t="s">
        <v>1947</v>
      </c>
      <c r="C5827" t="s">
        <v>9323</v>
      </c>
      <c r="D5827" t="s">
        <v>19011</v>
      </c>
      <c r="E5827" t="s">
        <v>20875</v>
      </c>
      <c r="F5827" t="s">
        <v>32606</v>
      </c>
      <c r="G5827" t="s">
        <v>32613</v>
      </c>
      <c r="H5827" t="s">
        <v>32623</v>
      </c>
      <c r="I5827" t="s">
        <v>17648</v>
      </c>
      <c r="J5827" t="s">
        <v>32999</v>
      </c>
      <c r="K5827" t="s">
        <v>42624</v>
      </c>
      <c r="M5827" t="s">
        <v>45008</v>
      </c>
      <c r="N5827" t="s">
        <v>47304</v>
      </c>
      <c r="O5827" t="s">
        <v>47305</v>
      </c>
      <c r="P5827">
        <v>0</v>
      </c>
      <c r="Q5827">
        <v>0</v>
      </c>
      <c r="R5827" t="s">
        <v>47308</v>
      </c>
      <c r="S5827" t="s">
        <v>47429</v>
      </c>
      <c r="T5827" t="s">
        <v>49324</v>
      </c>
      <c r="U5827" t="s">
        <v>54428</v>
      </c>
      <c r="W5827" t="s">
        <v>45008</v>
      </c>
      <c r="X5827" t="s">
        <v>47309</v>
      </c>
    </row>
    <row r="5828" spans="1:24">
      <c r="A5828">
        <f>HYPERLINK("https://www.philgeps.gov.ph/GEPSNONPILOT/Tender/SplashBidNoticeAbstractUI.aspx?menuIndex=3&amp;refID=7194113&amp;Result=3","7194113")</f>
        <v>0</v>
      </c>
      <c r="B5828" t="s">
        <v>819</v>
      </c>
      <c r="C5828" t="s">
        <v>9324</v>
      </c>
      <c r="D5828" t="s">
        <v>19028</v>
      </c>
      <c r="E5828" t="s">
        <v>24235</v>
      </c>
      <c r="F5828" t="s">
        <v>32606</v>
      </c>
      <c r="G5828" t="s">
        <v>32614</v>
      </c>
      <c r="H5828" t="s">
        <v>14201</v>
      </c>
      <c r="I5828" t="s">
        <v>32658</v>
      </c>
      <c r="J5828" t="s">
        <v>32913</v>
      </c>
      <c r="K5828" t="s">
        <v>42674</v>
      </c>
      <c r="M5828" t="s">
        <v>45045</v>
      </c>
      <c r="N5828" t="s">
        <v>47304</v>
      </c>
      <c r="O5828" t="s">
        <v>47305</v>
      </c>
      <c r="P5828">
        <v>0</v>
      </c>
      <c r="Q5828">
        <v>5</v>
      </c>
      <c r="R5828" t="s">
        <v>47308</v>
      </c>
      <c r="S5828" t="s">
        <v>47429</v>
      </c>
      <c r="T5828" t="s">
        <v>49072</v>
      </c>
      <c r="U5828" t="s">
        <v>54429</v>
      </c>
      <c r="W5828" t="s">
        <v>45045</v>
      </c>
      <c r="X5828" t="s">
        <v>47309</v>
      </c>
    </row>
    <row r="5829" spans="1:24">
      <c r="A5829">
        <f>HYPERLINK("https://www.philgeps.gov.ph/GEPSNONPILOT/Tender/SplashBidNoticeAbstractUI.aspx?menuIndex=3&amp;refID=7194112&amp;Result=3","7194112")</f>
        <v>0</v>
      </c>
      <c r="B5829" t="s">
        <v>1950</v>
      </c>
      <c r="C5829" t="s">
        <v>9325</v>
      </c>
      <c r="D5829" t="s">
        <v>19016</v>
      </c>
      <c r="E5829" t="s">
        <v>24236</v>
      </c>
      <c r="F5829" t="s">
        <v>32606</v>
      </c>
      <c r="G5829" t="s">
        <v>32613</v>
      </c>
      <c r="H5829" t="s">
        <v>14201</v>
      </c>
      <c r="I5829" t="s">
        <v>32681</v>
      </c>
      <c r="J5829" t="s">
        <v>36555</v>
      </c>
      <c r="K5829" t="s">
        <v>42631</v>
      </c>
      <c r="M5829" t="s">
        <v>45011</v>
      </c>
      <c r="N5829" t="s">
        <v>47304</v>
      </c>
      <c r="O5829" t="s">
        <v>47305</v>
      </c>
      <c r="P5829">
        <v>0</v>
      </c>
      <c r="Q5829">
        <v>1</v>
      </c>
      <c r="R5829" t="s">
        <v>47308</v>
      </c>
      <c r="S5829" t="s">
        <v>47429</v>
      </c>
      <c r="T5829" t="s">
        <v>49015</v>
      </c>
      <c r="U5829" t="s">
        <v>54335</v>
      </c>
      <c r="W5829" t="s">
        <v>45011</v>
      </c>
      <c r="X5829" t="s">
        <v>47309</v>
      </c>
    </row>
    <row r="5830" spans="1:24">
      <c r="A5830">
        <f>HYPERLINK("https://www.philgeps.gov.ph/GEPSNONPILOT/Tender/SplashBidNoticeAbstractUI.aspx?menuIndex=3&amp;refID=7194282&amp;Result=3","7194282")</f>
        <v>0</v>
      </c>
      <c r="B5830" t="s">
        <v>1980</v>
      </c>
      <c r="C5830" t="s">
        <v>9326</v>
      </c>
      <c r="D5830" t="s">
        <v>19014</v>
      </c>
      <c r="E5830" t="s">
        <v>19372</v>
      </c>
      <c r="F5830" t="s">
        <v>32606</v>
      </c>
      <c r="G5830" t="s">
        <v>32613</v>
      </c>
      <c r="H5830" t="s">
        <v>14201</v>
      </c>
      <c r="I5830" t="s">
        <v>6931</v>
      </c>
      <c r="J5830" t="s">
        <v>36556</v>
      </c>
      <c r="K5830" t="s">
        <v>42630</v>
      </c>
      <c r="M5830" t="s">
        <v>45046</v>
      </c>
      <c r="N5830" t="s">
        <v>47304</v>
      </c>
      <c r="O5830" t="s">
        <v>47305</v>
      </c>
      <c r="P5830">
        <v>0</v>
      </c>
      <c r="Q5830">
        <v>2</v>
      </c>
      <c r="R5830" t="s">
        <v>47308</v>
      </c>
      <c r="S5830" t="s">
        <v>47429</v>
      </c>
      <c r="T5830" t="s">
        <v>49100</v>
      </c>
      <c r="U5830" t="s">
        <v>54430</v>
      </c>
      <c r="V5830" t="s">
        <v>63191</v>
      </c>
      <c r="W5830" t="s">
        <v>45046</v>
      </c>
      <c r="X5830" t="s">
        <v>47309</v>
      </c>
    </row>
    <row r="5831" spans="1:24">
      <c r="A5831">
        <f>HYPERLINK("https://www.philgeps.gov.ph/GEPSNONPILOT/Tender/SplashBidNoticeAbstractUI.aspx?menuIndex=3&amp;refID=7194306&amp;Result=3","7194306")</f>
        <v>0</v>
      </c>
      <c r="B5831" t="s">
        <v>1981</v>
      </c>
      <c r="C5831" t="s">
        <v>9327</v>
      </c>
      <c r="D5831" t="s">
        <v>18988</v>
      </c>
      <c r="E5831" t="s">
        <v>24237</v>
      </c>
      <c r="F5831" t="s">
        <v>32606</v>
      </c>
      <c r="G5831" t="s">
        <v>32613</v>
      </c>
      <c r="H5831" t="s">
        <v>14201</v>
      </c>
      <c r="I5831" t="s">
        <v>4114</v>
      </c>
      <c r="J5831" t="s">
        <v>33025</v>
      </c>
      <c r="K5831" t="s">
        <v>42625</v>
      </c>
      <c r="M5831" t="s">
        <v>45047</v>
      </c>
      <c r="N5831" t="s">
        <v>47304</v>
      </c>
      <c r="O5831" t="s">
        <v>47305</v>
      </c>
      <c r="P5831">
        <v>0</v>
      </c>
      <c r="Q5831">
        <v>1</v>
      </c>
      <c r="R5831" t="s">
        <v>47308</v>
      </c>
      <c r="S5831" t="s">
        <v>47429</v>
      </c>
      <c r="T5831" t="s">
        <v>49329</v>
      </c>
      <c r="U5831" t="s">
        <v>54431</v>
      </c>
      <c r="W5831" t="s">
        <v>45047</v>
      </c>
      <c r="X5831" t="s">
        <v>47309</v>
      </c>
    </row>
    <row r="5832" spans="1:24">
      <c r="A5832">
        <f>HYPERLINK("https://www.philgeps.gov.ph/GEPSNONPILOT/Tender/SplashBidNoticeAbstractUI.aspx?menuIndex=3&amp;refID=7194136&amp;Result=3","7194136")</f>
        <v>0</v>
      </c>
      <c r="B5832" t="s">
        <v>1954</v>
      </c>
      <c r="C5832" t="s">
        <v>9328</v>
      </c>
      <c r="E5832" t="s">
        <v>24238</v>
      </c>
      <c r="F5832" t="s">
        <v>32606</v>
      </c>
      <c r="G5832" t="s">
        <v>32614</v>
      </c>
      <c r="H5832" t="s">
        <v>14201</v>
      </c>
      <c r="I5832" t="s">
        <v>32713</v>
      </c>
      <c r="J5832" t="s">
        <v>36557</v>
      </c>
      <c r="K5832" t="s">
        <v>42624</v>
      </c>
      <c r="M5832" t="s">
        <v>45015</v>
      </c>
      <c r="N5832" t="s">
        <v>47304</v>
      </c>
      <c r="O5832" t="s">
        <v>47305</v>
      </c>
      <c r="P5832">
        <v>0</v>
      </c>
      <c r="Q5832">
        <v>0</v>
      </c>
      <c r="R5832" t="s">
        <v>47308</v>
      </c>
      <c r="S5832" t="s">
        <v>47429</v>
      </c>
      <c r="T5832" t="s">
        <v>49000</v>
      </c>
      <c r="U5832" t="s">
        <v>54340</v>
      </c>
      <c r="W5832" t="s">
        <v>45015</v>
      </c>
      <c r="X5832" t="s">
        <v>47309</v>
      </c>
    </row>
    <row r="5833" spans="1:24">
      <c r="A5833">
        <f>HYPERLINK("https://www.philgeps.gov.ph/GEPSNONPILOT/Tender/SplashBidNoticeAbstractUI.aspx?menuIndex=3&amp;refID=7194130&amp;Result=3","7194130")</f>
        <v>0</v>
      </c>
      <c r="B5833" t="s">
        <v>1225</v>
      </c>
      <c r="C5833" t="s">
        <v>9329</v>
      </c>
      <c r="D5833" t="s">
        <v>19038</v>
      </c>
      <c r="E5833" t="s">
        <v>24239</v>
      </c>
      <c r="F5833" t="s">
        <v>32606</v>
      </c>
      <c r="G5833" t="s">
        <v>32614</v>
      </c>
      <c r="H5833" t="s">
        <v>14201</v>
      </c>
      <c r="I5833" t="s">
        <v>6931</v>
      </c>
      <c r="J5833" t="s">
        <v>36558</v>
      </c>
      <c r="K5833" t="s">
        <v>42624</v>
      </c>
      <c r="M5833" t="s">
        <v>44869</v>
      </c>
      <c r="N5833" t="s">
        <v>47304</v>
      </c>
      <c r="O5833" t="s">
        <v>47305</v>
      </c>
      <c r="P5833">
        <v>0</v>
      </c>
      <c r="Q5833">
        <v>1</v>
      </c>
      <c r="R5833" t="s">
        <v>47308</v>
      </c>
      <c r="S5833" t="s">
        <v>47429</v>
      </c>
      <c r="T5833" t="s">
        <v>48987</v>
      </c>
      <c r="U5833" t="s">
        <v>54432</v>
      </c>
      <c r="W5833" t="s">
        <v>64467</v>
      </c>
      <c r="X5833" t="s">
        <v>47309</v>
      </c>
    </row>
    <row r="5834" spans="1:24">
      <c r="A5834">
        <f>HYPERLINK("https://www.philgeps.gov.ph/GEPSNONPILOT/Tender/SplashBidNoticeAbstractUI.aspx?menuIndex=3&amp;refID=7194303&amp;Result=3","7194303")</f>
        <v>0</v>
      </c>
      <c r="B5834" t="s">
        <v>1485</v>
      </c>
      <c r="C5834" t="s">
        <v>9330</v>
      </c>
      <c r="D5834" t="s">
        <v>18993</v>
      </c>
      <c r="E5834" t="s">
        <v>24240</v>
      </c>
      <c r="F5834" t="s">
        <v>32606</v>
      </c>
      <c r="G5834" t="s">
        <v>32615</v>
      </c>
      <c r="H5834" t="s">
        <v>32623</v>
      </c>
      <c r="I5834" t="s">
        <v>32661</v>
      </c>
      <c r="J5834" t="s">
        <v>36559</v>
      </c>
      <c r="K5834" t="s">
        <v>42624</v>
      </c>
      <c r="M5834" t="s">
        <v>45048</v>
      </c>
      <c r="N5834" t="s">
        <v>47304</v>
      </c>
      <c r="O5834" t="s">
        <v>47305</v>
      </c>
      <c r="P5834">
        <v>0</v>
      </c>
      <c r="Q5834">
        <v>7</v>
      </c>
      <c r="R5834" t="s">
        <v>47308</v>
      </c>
      <c r="S5834" t="s">
        <v>47429</v>
      </c>
      <c r="T5834" t="s">
        <v>49064</v>
      </c>
      <c r="U5834" t="s">
        <v>54433</v>
      </c>
      <c r="W5834" t="s">
        <v>45048</v>
      </c>
      <c r="X5834" t="s">
        <v>47309</v>
      </c>
    </row>
    <row r="5835" spans="1:24">
      <c r="A5835">
        <f>HYPERLINK("https://www.philgeps.gov.ph/GEPSNONPILOT/Tender/SplashBidNoticeAbstractUI.aspx?menuIndex=3&amp;refID=7194301&amp;Result=3","7194301")</f>
        <v>0</v>
      </c>
      <c r="B5835" t="s">
        <v>1981</v>
      </c>
      <c r="C5835" t="s">
        <v>9331</v>
      </c>
      <c r="D5835" t="s">
        <v>18988</v>
      </c>
      <c r="E5835" t="s">
        <v>24241</v>
      </c>
      <c r="F5835" t="s">
        <v>32606</v>
      </c>
      <c r="G5835" t="s">
        <v>32613</v>
      </c>
      <c r="H5835" t="s">
        <v>14201</v>
      </c>
      <c r="I5835" t="s">
        <v>32650</v>
      </c>
      <c r="J5835" t="s">
        <v>35307</v>
      </c>
      <c r="K5835" t="s">
        <v>42625</v>
      </c>
      <c r="M5835" t="s">
        <v>45047</v>
      </c>
      <c r="N5835" t="s">
        <v>47304</v>
      </c>
      <c r="O5835" t="s">
        <v>47305</v>
      </c>
      <c r="P5835">
        <v>0</v>
      </c>
      <c r="Q5835">
        <v>0</v>
      </c>
      <c r="R5835" t="s">
        <v>47308</v>
      </c>
      <c r="S5835" t="s">
        <v>47429</v>
      </c>
      <c r="T5835" t="s">
        <v>49329</v>
      </c>
      <c r="U5835" t="s">
        <v>54434</v>
      </c>
      <c r="W5835" t="s">
        <v>45047</v>
      </c>
      <c r="X5835" t="s">
        <v>47309</v>
      </c>
    </row>
    <row r="5836" spans="1:24">
      <c r="A5836">
        <f>HYPERLINK("https://www.philgeps.gov.ph/GEPSNONPILOT/Tender/SplashBidNoticeAbstractUI.aspx?menuIndex=3&amp;refID=7194300&amp;Result=3","7194300")</f>
        <v>0</v>
      </c>
      <c r="B5836" t="s">
        <v>1808</v>
      </c>
      <c r="C5836" t="s">
        <v>9332</v>
      </c>
      <c r="D5836" t="s">
        <v>19023</v>
      </c>
      <c r="E5836" t="s">
        <v>24242</v>
      </c>
      <c r="F5836" t="s">
        <v>32606</v>
      </c>
      <c r="G5836" t="s">
        <v>32613</v>
      </c>
      <c r="H5836" t="s">
        <v>14201</v>
      </c>
      <c r="I5836" t="s">
        <v>6298</v>
      </c>
      <c r="J5836" t="s">
        <v>36560</v>
      </c>
      <c r="K5836" t="s">
        <v>42631</v>
      </c>
      <c r="M5836" t="s">
        <v>44849</v>
      </c>
      <c r="N5836" t="s">
        <v>47304</v>
      </c>
      <c r="O5836" t="s">
        <v>47305</v>
      </c>
      <c r="P5836">
        <v>0</v>
      </c>
      <c r="Q5836">
        <v>0</v>
      </c>
      <c r="R5836" t="s">
        <v>47308</v>
      </c>
      <c r="S5836" t="s">
        <v>47429</v>
      </c>
      <c r="T5836" t="s">
        <v>49011</v>
      </c>
      <c r="U5836" t="s">
        <v>54435</v>
      </c>
      <c r="V5836" t="s">
        <v>63110</v>
      </c>
      <c r="W5836" t="s">
        <v>44849</v>
      </c>
      <c r="X5836" t="s">
        <v>47309</v>
      </c>
    </row>
    <row r="5837" spans="1:24">
      <c r="A5837">
        <f>HYPERLINK("https://www.philgeps.gov.ph/GEPSNONPILOT/Tender/SplashBidNoticeAbstractUI.aspx?menuIndex=3&amp;refID=7194299&amp;Result=3","7194299")</f>
        <v>0</v>
      </c>
      <c r="B5837" t="s">
        <v>1982</v>
      </c>
      <c r="C5837" t="s">
        <v>9333</v>
      </c>
      <c r="D5837" t="s">
        <v>19007</v>
      </c>
      <c r="E5837" t="s">
        <v>19786</v>
      </c>
      <c r="F5837" t="s">
        <v>32606</v>
      </c>
      <c r="G5837" t="s">
        <v>32617</v>
      </c>
      <c r="H5837" t="s">
        <v>14201</v>
      </c>
      <c r="I5837" t="s">
        <v>32673</v>
      </c>
      <c r="J5837" t="s">
        <v>36561</v>
      </c>
      <c r="K5837" t="s">
        <v>42632</v>
      </c>
      <c r="M5837" t="s">
        <v>45049</v>
      </c>
      <c r="N5837" t="s">
        <v>47304</v>
      </c>
      <c r="O5837" t="s">
        <v>47305</v>
      </c>
      <c r="P5837">
        <v>0</v>
      </c>
      <c r="Q5837">
        <v>1</v>
      </c>
      <c r="R5837" t="s">
        <v>47308</v>
      </c>
      <c r="S5837" t="s">
        <v>47429</v>
      </c>
      <c r="T5837" t="s">
        <v>49053</v>
      </c>
      <c r="U5837" t="s">
        <v>54436</v>
      </c>
      <c r="W5837" t="s">
        <v>45049</v>
      </c>
      <c r="X5837" t="s">
        <v>47309</v>
      </c>
    </row>
    <row r="5838" spans="1:24">
      <c r="A5838">
        <f>HYPERLINK("https://www.philgeps.gov.ph/GEPSNONPILOT/Tender/SplashBidNoticeAbstractUI.aspx?menuIndex=3&amp;refID=7194298&amp;Result=3","7194298")</f>
        <v>0</v>
      </c>
      <c r="B5838" t="s">
        <v>1983</v>
      </c>
      <c r="C5838" t="s">
        <v>9334</v>
      </c>
      <c r="D5838" t="s">
        <v>19031</v>
      </c>
      <c r="E5838" t="s">
        <v>24243</v>
      </c>
      <c r="F5838" t="s">
        <v>32606</v>
      </c>
      <c r="G5838" t="s">
        <v>32613</v>
      </c>
      <c r="H5838" t="s">
        <v>14201</v>
      </c>
      <c r="I5838" t="s">
        <v>6931</v>
      </c>
      <c r="J5838" t="s">
        <v>36562</v>
      </c>
      <c r="K5838" t="s">
        <v>42636</v>
      </c>
      <c r="L5838" t="s">
        <v>1983</v>
      </c>
      <c r="M5838" t="s">
        <v>45050</v>
      </c>
      <c r="N5838" t="s">
        <v>47304</v>
      </c>
      <c r="O5838" t="s">
        <v>47305</v>
      </c>
      <c r="P5838">
        <v>0</v>
      </c>
      <c r="Q5838">
        <v>0</v>
      </c>
      <c r="R5838" t="s">
        <v>47308</v>
      </c>
      <c r="S5838" t="s">
        <v>47429</v>
      </c>
      <c r="T5838" t="s">
        <v>48987</v>
      </c>
      <c r="U5838" t="s">
        <v>54437</v>
      </c>
      <c r="W5838" t="s">
        <v>45050</v>
      </c>
      <c r="X5838" t="s">
        <v>47309</v>
      </c>
    </row>
    <row r="5839" spans="1:24">
      <c r="A5839">
        <f>HYPERLINK("https://www.philgeps.gov.ph/GEPSNONPILOT/Tender/SplashBidNoticeAbstractUI.aspx?menuIndex=3&amp;refID=7194295&amp;Result=3","7194295")</f>
        <v>0</v>
      </c>
      <c r="B5839" t="s">
        <v>1384</v>
      </c>
      <c r="C5839" t="s">
        <v>9335</v>
      </c>
      <c r="E5839" t="s">
        <v>24244</v>
      </c>
      <c r="F5839" t="s">
        <v>32606</v>
      </c>
      <c r="G5839" t="s">
        <v>32614</v>
      </c>
      <c r="H5839" t="s">
        <v>14201</v>
      </c>
      <c r="I5839" t="s">
        <v>4120</v>
      </c>
      <c r="J5839" t="s">
        <v>36563</v>
      </c>
      <c r="K5839" t="s">
        <v>42624</v>
      </c>
      <c r="M5839" t="s">
        <v>45051</v>
      </c>
      <c r="N5839" t="s">
        <v>47304</v>
      </c>
      <c r="O5839" t="s">
        <v>47305</v>
      </c>
      <c r="P5839">
        <v>0</v>
      </c>
      <c r="Q5839">
        <v>5</v>
      </c>
      <c r="R5839" t="s">
        <v>47308</v>
      </c>
      <c r="S5839" t="s">
        <v>47429</v>
      </c>
      <c r="T5839" t="s">
        <v>49053</v>
      </c>
      <c r="U5839" t="s">
        <v>54438</v>
      </c>
      <c r="W5839" t="s">
        <v>45051</v>
      </c>
      <c r="X5839" t="s">
        <v>47309</v>
      </c>
    </row>
    <row r="5840" spans="1:24">
      <c r="A5840">
        <f>HYPERLINK("https://www.philgeps.gov.ph/GEPSNONPILOT/Tender/SplashBidNoticeAbstractUI.aspx?menuIndex=3&amp;refID=7194294&amp;Result=3","7194294")</f>
        <v>0</v>
      </c>
      <c r="B5840" t="s">
        <v>1021</v>
      </c>
      <c r="C5840" t="s">
        <v>9336</v>
      </c>
      <c r="D5840" t="s">
        <v>18993</v>
      </c>
      <c r="E5840" t="s">
        <v>24245</v>
      </c>
      <c r="F5840" t="s">
        <v>32606</v>
      </c>
      <c r="G5840" t="s">
        <v>32614</v>
      </c>
      <c r="H5840" t="s">
        <v>32624</v>
      </c>
      <c r="I5840" t="s">
        <v>32659</v>
      </c>
      <c r="J5840" t="s">
        <v>36564</v>
      </c>
      <c r="K5840" t="s">
        <v>42629</v>
      </c>
      <c r="M5840" t="s">
        <v>45036</v>
      </c>
      <c r="N5840" t="s">
        <v>47304</v>
      </c>
      <c r="O5840" t="s">
        <v>47305</v>
      </c>
      <c r="P5840">
        <v>0</v>
      </c>
      <c r="Q5840">
        <v>2</v>
      </c>
      <c r="R5840" t="s">
        <v>47308</v>
      </c>
      <c r="S5840" t="s">
        <v>47429</v>
      </c>
      <c r="T5840" t="s">
        <v>49257</v>
      </c>
      <c r="U5840" t="s">
        <v>54439</v>
      </c>
      <c r="W5840" t="s">
        <v>45036</v>
      </c>
      <c r="X5840" t="s">
        <v>47309</v>
      </c>
    </row>
    <row r="5841" spans="1:24">
      <c r="A5841">
        <f>HYPERLINK("https://www.philgeps.gov.ph/GEPSNONPILOT/Tender/SplashBidNoticeAbstractUI.aspx?menuIndex=3&amp;refID=7194292&amp;Result=3","7194292")</f>
        <v>0</v>
      </c>
      <c r="B5841" t="s">
        <v>1984</v>
      </c>
      <c r="C5841" t="s">
        <v>9337</v>
      </c>
      <c r="D5841" t="s">
        <v>19003</v>
      </c>
      <c r="E5841" t="s">
        <v>19315</v>
      </c>
      <c r="F5841" t="s">
        <v>32606</v>
      </c>
      <c r="G5841" t="s">
        <v>32619</v>
      </c>
      <c r="H5841" t="s">
        <v>14201</v>
      </c>
      <c r="I5841" t="s">
        <v>6478</v>
      </c>
      <c r="J5841" t="s">
        <v>33551</v>
      </c>
      <c r="K5841" t="s">
        <v>42629</v>
      </c>
      <c r="M5841" t="s">
        <v>45052</v>
      </c>
      <c r="N5841" t="s">
        <v>47304</v>
      </c>
      <c r="O5841" t="s">
        <v>47305</v>
      </c>
      <c r="P5841">
        <v>0</v>
      </c>
      <c r="Q5841">
        <v>0</v>
      </c>
      <c r="R5841" t="s">
        <v>47308</v>
      </c>
      <c r="S5841" t="s">
        <v>47429</v>
      </c>
      <c r="T5841" t="s">
        <v>49330</v>
      </c>
      <c r="U5841" t="s">
        <v>54440</v>
      </c>
      <c r="W5841" t="s">
        <v>45052</v>
      </c>
      <c r="X5841" t="s">
        <v>47309</v>
      </c>
    </row>
    <row r="5842" spans="1:24">
      <c r="A5842">
        <f>HYPERLINK("https://www.philgeps.gov.ph/GEPSNONPILOT/Tender/SplashBidNoticeAbstractUI.aspx?menuIndex=3&amp;refID=7194291&amp;Result=3","7194291")</f>
        <v>0</v>
      </c>
      <c r="B5842" t="s">
        <v>1962</v>
      </c>
      <c r="C5842" t="s">
        <v>9338</v>
      </c>
      <c r="D5842" t="s">
        <v>19060</v>
      </c>
      <c r="E5842" t="s">
        <v>9338</v>
      </c>
      <c r="F5842" t="s">
        <v>32606</v>
      </c>
      <c r="G5842" t="s">
        <v>32614</v>
      </c>
      <c r="H5842" t="s">
        <v>14201</v>
      </c>
      <c r="I5842" t="s">
        <v>6931</v>
      </c>
      <c r="J5842" t="s">
        <v>36565</v>
      </c>
      <c r="K5842" t="s">
        <v>42623</v>
      </c>
      <c r="L5842" t="s">
        <v>1962</v>
      </c>
      <c r="M5842" t="s">
        <v>45025</v>
      </c>
      <c r="N5842" t="s">
        <v>47304</v>
      </c>
      <c r="O5842" t="s">
        <v>47305</v>
      </c>
      <c r="P5842">
        <v>0</v>
      </c>
      <c r="Q5842">
        <v>0</v>
      </c>
      <c r="R5842" t="s">
        <v>47308</v>
      </c>
      <c r="S5842" t="s">
        <v>47429</v>
      </c>
      <c r="T5842" t="s">
        <v>49072</v>
      </c>
      <c r="U5842" t="s">
        <v>54373</v>
      </c>
      <c r="W5842" t="s">
        <v>45025</v>
      </c>
      <c r="X5842" t="s">
        <v>47309</v>
      </c>
    </row>
    <row r="5843" spans="1:24">
      <c r="A5843">
        <f>HYPERLINK("https://www.philgeps.gov.ph/GEPSNONPILOT/Tender/SplashBidNoticeAbstractUI.aspx?menuIndex=3&amp;refID=7194302&amp;Result=3","7194302")</f>
        <v>0</v>
      </c>
      <c r="B5843" t="s">
        <v>1962</v>
      </c>
      <c r="C5843" t="s">
        <v>9339</v>
      </c>
      <c r="D5843" t="s">
        <v>19060</v>
      </c>
      <c r="E5843" t="s">
        <v>9339</v>
      </c>
      <c r="F5843" t="s">
        <v>32606</v>
      </c>
      <c r="G5843" t="s">
        <v>32614</v>
      </c>
      <c r="H5843" t="s">
        <v>14201</v>
      </c>
      <c r="I5843" t="s">
        <v>6298</v>
      </c>
      <c r="J5843" t="s">
        <v>32981</v>
      </c>
      <c r="K5843" t="s">
        <v>42623</v>
      </c>
      <c r="L5843" t="s">
        <v>1962</v>
      </c>
      <c r="M5843" t="s">
        <v>45025</v>
      </c>
      <c r="N5843" t="s">
        <v>47304</v>
      </c>
      <c r="O5843" t="s">
        <v>47305</v>
      </c>
      <c r="P5843">
        <v>0</v>
      </c>
      <c r="Q5843">
        <v>0</v>
      </c>
      <c r="R5843" t="s">
        <v>47308</v>
      </c>
      <c r="S5843" t="s">
        <v>47429</v>
      </c>
      <c r="T5843" t="s">
        <v>49072</v>
      </c>
      <c r="U5843" t="s">
        <v>54377</v>
      </c>
      <c r="W5843" t="s">
        <v>45025</v>
      </c>
      <c r="X5843" t="s">
        <v>47309</v>
      </c>
    </row>
    <row r="5844" spans="1:24">
      <c r="A5844">
        <f>HYPERLINK("https://www.philgeps.gov.ph/GEPSNONPILOT/Tender/SplashBidNoticeAbstractUI.aspx?menuIndex=3&amp;refID=7194290&amp;Result=3","7194290")</f>
        <v>0</v>
      </c>
      <c r="B5844" t="s">
        <v>706</v>
      </c>
      <c r="C5844" t="s">
        <v>9340</v>
      </c>
      <c r="D5844" t="s">
        <v>18986</v>
      </c>
      <c r="E5844" t="s">
        <v>24085</v>
      </c>
      <c r="F5844" t="s">
        <v>32606</v>
      </c>
      <c r="G5844" t="s">
        <v>32613</v>
      </c>
      <c r="H5844" t="s">
        <v>14201</v>
      </c>
      <c r="I5844" t="s">
        <v>5233</v>
      </c>
      <c r="J5844" t="s">
        <v>36566</v>
      </c>
      <c r="K5844" t="s">
        <v>42631</v>
      </c>
      <c r="M5844" t="s">
        <v>43627</v>
      </c>
      <c r="N5844" t="s">
        <v>47304</v>
      </c>
      <c r="O5844" t="s">
        <v>47305</v>
      </c>
      <c r="P5844">
        <v>0</v>
      </c>
      <c r="Q5844">
        <v>0</v>
      </c>
      <c r="R5844" t="s">
        <v>47308</v>
      </c>
      <c r="S5844" t="s">
        <v>47429</v>
      </c>
      <c r="T5844" t="s">
        <v>49087</v>
      </c>
      <c r="U5844" t="s">
        <v>54441</v>
      </c>
      <c r="W5844" t="s">
        <v>43627</v>
      </c>
      <c r="X5844" t="s">
        <v>47309</v>
      </c>
    </row>
    <row r="5845" spans="1:24">
      <c r="A5845">
        <f>HYPERLINK("https://www.philgeps.gov.ph/GEPSNONPILOT/Tender/SplashBidNoticeAbstractUI.aspx?menuIndex=3&amp;refID=7194309&amp;Result=3","7194309")</f>
        <v>0</v>
      </c>
      <c r="B5845" t="s">
        <v>1981</v>
      </c>
      <c r="C5845" t="s">
        <v>9341</v>
      </c>
      <c r="D5845" t="s">
        <v>18988</v>
      </c>
      <c r="E5845" t="s">
        <v>24246</v>
      </c>
      <c r="F5845" t="s">
        <v>32606</v>
      </c>
      <c r="G5845" t="s">
        <v>32613</v>
      </c>
      <c r="H5845" t="s">
        <v>14201</v>
      </c>
      <c r="I5845" t="s">
        <v>4120</v>
      </c>
      <c r="J5845" t="s">
        <v>36567</v>
      </c>
      <c r="K5845" t="s">
        <v>42625</v>
      </c>
      <c r="M5845" t="s">
        <v>45047</v>
      </c>
      <c r="N5845" t="s">
        <v>47304</v>
      </c>
      <c r="O5845" t="s">
        <v>47305</v>
      </c>
      <c r="P5845">
        <v>0</v>
      </c>
      <c r="Q5845">
        <v>1</v>
      </c>
      <c r="R5845" t="s">
        <v>47308</v>
      </c>
      <c r="S5845" t="s">
        <v>47429</v>
      </c>
      <c r="T5845" t="s">
        <v>49329</v>
      </c>
      <c r="U5845" t="s">
        <v>54442</v>
      </c>
      <c r="W5845" t="s">
        <v>45047</v>
      </c>
      <c r="X5845" t="s">
        <v>47309</v>
      </c>
    </row>
    <row r="5846" spans="1:24">
      <c r="A5846">
        <f>HYPERLINK("https://www.philgeps.gov.ph/GEPSNONPILOT/Tender/SplashBidNoticeAbstractUI.aspx?menuIndex=3&amp;refID=7194330&amp;Result=3","7194330")</f>
        <v>0</v>
      </c>
      <c r="B5846" t="s">
        <v>1985</v>
      </c>
      <c r="C5846" t="s">
        <v>9342</v>
      </c>
      <c r="E5846" t="s">
        <v>24247</v>
      </c>
      <c r="F5846" t="s">
        <v>32606</v>
      </c>
      <c r="G5846" t="s">
        <v>32614</v>
      </c>
      <c r="H5846" t="s">
        <v>14201</v>
      </c>
      <c r="I5846" t="s">
        <v>6993</v>
      </c>
      <c r="J5846" t="s">
        <v>36568</v>
      </c>
      <c r="K5846" t="s">
        <v>42624</v>
      </c>
      <c r="M5846" t="s">
        <v>45053</v>
      </c>
      <c r="N5846" t="s">
        <v>47304</v>
      </c>
      <c r="O5846" t="s">
        <v>47305</v>
      </c>
      <c r="P5846">
        <v>0</v>
      </c>
      <c r="Q5846">
        <v>0</v>
      </c>
      <c r="R5846" t="s">
        <v>47308</v>
      </c>
      <c r="S5846" t="s">
        <v>47429</v>
      </c>
      <c r="T5846" t="s">
        <v>49072</v>
      </c>
      <c r="U5846" t="s">
        <v>54443</v>
      </c>
      <c r="V5846" t="s">
        <v>63192</v>
      </c>
      <c r="W5846" t="s">
        <v>45053</v>
      </c>
      <c r="X5846" t="s">
        <v>47309</v>
      </c>
    </row>
    <row r="5847" spans="1:24">
      <c r="A5847">
        <f>HYPERLINK("https://www.philgeps.gov.ph/GEPSNONPILOT/Tender/SplashBidNoticeAbstractUI.aspx?menuIndex=3&amp;refID=7194329&amp;Result=3","7194329")</f>
        <v>0</v>
      </c>
      <c r="B5847" t="s">
        <v>414</v>
      </c>
      <c r="C5847" t="s">
        <v>9343</v>
      </c>
      <c r="D5847" t="s">
        <v>19056</v>
      </c>
      <c r="E5847" t="s">
        <v>24248</v>
      </c>
      <c r="F5847" t="s">
        <v>32606</v>
      </c>
      <c r="G5847" t="s">
        <v>32613</v>
      </c>
      <c r="H5847" t="s">
        <v>32623</v>
      </c>
      <c r="I5847" t="s">
        <v>17648</v>
      </c>
      <c r="J5847" t="s">
        <v>36569</v>
      </c>
      <c r="K5847" t="s">
        <v>42624</v>
      </c>
      <c r="M5847" t="s">
        <v>43318</v>
      </c>
      <c r="N5847" t="s">
        <v>47304</v>
      </c>
      <c r="O5847" t="s">
        <v>47305</v>
      </c>
      <c r="P5847">
        <v>0</v>
      </c>
      <c r="Q5847">
        <v>2</v>
      </c>
      <c r="R5847" t="s">
        <v>47308</v>
      </c>
      <c r="S5847" t="s">
        <v>47429</v>
      </c>
      <c r="T5847" t="s">
        <v>48987</v>
      </c>
      <c r="U5847" t="s">
        <v>54444</v>
      </c>
      <c r="W5847" t="s">
        <v>43318</v>
      </c>
      <c r="X5847" t="s">
        <v>47309</v>
      </c>
    </row>
    <row r="5848" spans="1:24">
      <c r="A5848">
        <f>HYPERLINK("https://www.philgeps.gov.ph/GEPSNONPILOT/Tender/SplashBidNoticeAbstractUI.aspx?menuIndex=3&amp;refID=7194258&amp;Result=3","7194258")</f>
        <v>0</v>
      </c>
      <c r="B5848" t="s">
        <v>1986</v>
      </c>
      <c r="C5848" t="s">
        <v>9344</v>
      </c>
      <c r="D5848" t="s">
        <v>18995</v>
      </c>
      <c r="E5848" t="s">
        <v>24249</v>
      </c>
      <c r="F5848" t="s">
        <v>32606</v>
      </c>
      <c r="G5848" t="s">
        <v>32617</v>
      </c>
      <c r="H5848" t="s">
        <v>14201</v>
      </c>
      <c r="I5848" t="s">
        <v>6298</v>
      </c>
      <c r="J5848" t="s">
        <v>32789</v>
      </c>
      <c r="K5848" t="s">
        <v>42674</v>
      </c>
      <c r="M5848" t="s">
        <v>45054</v>
      </c>
      <c r="N5848" t="s">
        <v>47304</v>
      </c>
      <c r="O5848" t="s">
        <v>47305</v>
      </c>
      <c r="P5848">
        <v>0</v>
      </c>
      <c r="Q5848">
        <v>0</v>
      </c>
      <c r="R5848" t="s">
        <v>47308</v>
      </c>
      <c r="S5848" t="s">
        <v>47429</v>
      </c>
      <c r="T5848" t="s">
        <v>49221</v>
      </c>
      <c r="U5848" t="s">
        <v>54445</v>
      </c>
      <c r="W5848" t="s">
        <v>45054</v>
      </c>
      <c r="X5848" t="s">
        <v>47309</v>
      </c>
    </row>
    <row r="5849" spans="1:24">
      <c r="A5849">
        <f>HYPERLINK("https://www.philgeps.gov.ph/GEPSNONPILOT/Tender/SplashBidNoticeAbstractUI.aspx?menuIndex=3&amp;refID=7194324&amp;Result=3","7194324")</f>
        <v>0</v>
      </c>
      <c r="B5849" t="s">
        <v>1985</v>
      </c>
      <c r="C5849" t="s">
        <v>9345</v>
      </c>
      <c r="E5849" t="s">
        <v>24250</v>
      </c>
      <c r="F5849" t="s">
        <v>32606</v>
      </c>
      <c r="G5849" t="s">
        <v>32613</v>
      </c>
      <c r="H5849" t="s">
        <v>14201</v>
      </c>
      <c r="I5849" t="s">
        <v>32626</v>
      </c>
      <c r="J5849" t="s">
        <v>36570</v>
      </c>
      <c r="K5849" t="s">
        <v>42624</v>
      </c>
      <c r="M5849" t="s">
        <v>45053</v>
      </c>
      <c r="N5849" t="s">
        <v>47304</v>
      </c>
      <c r="O5849" t="s">
        <v>47305</v>
      </c>
      <c r="P5849">
        <v>0</v>
      </c>
      <c r="Q5849">
        <v>3</v>
      </c>
      <c r="R5849" t="s">
        <v>47308</v>
      </c>
      <c r="S5849" t="s">
        <v>47429</v>
      </c>
      <c r="T5849" t="s">
        <v>49117</v>
      </c>
      <c r="U5849" t="s">
        <v>54446</v>
      </c>
      <c r="V5849" t="s">
        <v>63193</v>
      </c>
      <c r="W5849" t="s">
        <v>45053</v>
      </c>
      <c r="X5849" t="s">
        <v>47309</v>
      </c>
    </row>
    <row r="5850" spans="1:24">
      <c r="A5850">
        <f>HYPERLINK("https://www.philgeps.gov.ph/GEPSNONPILOT/Tender/SplashBidNoticeAbstractUI.aspx?menuIndex=3&amp;refID=7194296&amp;Result=3","7194296")</f>
        <v>0</v>
      </c>
      <c r="B5850" t="s">
        <v>1981</v>
      </c>
      <c r="C5850" t="s">
        <v>9346</v>
      </c>
      <c r="D5850" t="s">
        <v>18988</v>
      </c>
      <c r="E5850" t="s">
        <v>24251</v>
      </c>
      <c r="F5850" t="s">
        <v>32606</v>
      </c>
      <c r="G5850" t="s">
        <v>32613</v>
      </c>
      <c r="H5850" t="s">
        <v>14201</v>
      </c>
      <c r="I5850" t="s">
        <v>6931</v>
      </c>
      <c r="J5850" t="s">
        <v>32957</v>
      </c>
      <c r="K5850" t="s">
        <v>42625</v>
      </c>
      <c r="M5850" t="s">
        <v>45047</v>
      </c>
      <c r="N5850" t="s">
        <v>47304</v>
      </c>
      <c r="O5850" t="s">
        <v>47305</v>
      </c>
      <c r="P5850">
        <v>0</v>
      </c>
      <c r="Q5850">
        <v>0</v>
      </c>
      <c r="R5850" t="s">
        <v>47308</v>
      </c>
      <c r="S5850" t="s">
        <v>47429</v>
      </c>
      <c r="T5850" t="s">
        <v>49329</v>
      </c>
      <c r="U5850" t="s">
        <v>54447</v>
      </c>
      <c r="W5850" t="s">
        <v>45047</v>
      </c>
      <c r="X5850" t="s">
        <v>47309</v>
      </c>
    </row>
    <row r="5851" spans="1:24">
      <c r="A5851">
        <f>HYPERLINK("https://www.philgeps.gov.ph/GEPSNONPILOT/Tender/SplashBidNoticeAbstractUI.aspx?menuIndex=3&amp;refID=7194323&amp;Result=3","7194323")</f>
        <v>0</v>
      </c>
      <c r="B5851" t="s">
        <v>1987</v>
      </c>
      <c r="C5851" t="s">
        <v>9347</v>
      </c>
      <c r="D5851" t="s">
        <v>18993</v>
      </c>
      <c r="E5851" t="s">
        <v>24252</v>
      </c>
      <c r="F5851" t="s">
        <v>32606</v>
      </c>
      <c r="G5851" t="s">
        <v>32614</v>
      </c>
      <c r="H5851" t="s">
        <v>14201</v>
      </c>
      <c r="I5851" t="s">
        <v>6298</v>
      </c>
      <c r="J5851" t="s">
        <v>36571</v>
      </c>
      <c r="K5851" t="s">
        <v>42630</v>
      </c>
      <c r="M5851" t="s">
        <v>45055</v>
      </c>
      <c r="N5851" t="s">
        <v>47304</v>
      </c>
      <c r="O5851" t="s">
        <v>47305</v>
      </c>
      <c r="P5851">
        <v>0</v>
      </c>
      <c r="Q5851">
        <v>5</v>
      </c>
      <c r="R5851" t="s">
        <v>47308</v>
      </c>
      <c r="S5851" t="s">
        <v>47429</v>
      </c>
      <c r="T5851" t="s">
        <v>49072</v>
      </c>
      <c r="U5851" t="s">
        <v>51707</v>
      </c>
      <c r="W5851" t="s">
        <v>64489</v>
      </c>
      <c r="X5851" t="s">
        <v>47309</v>
      </c>
    </row>
    <row r="5852" spans="1:24">
      <c r="A5852">
        <f>HYPERLINK("https://www.philgeps.gov.ph/GEPSNONPILOT/Tender/SplashBidNoticeAbstractUI.aspx?menuIndex=3&amp;refID=7194321&amp;Result=3","7194321")</f>
        <v>0</v>
      </c>
      <c r="B5852" t="s">
        <v>1988</v>
      </c>
      <c r="C5852" t="s">
        <v>9348</v>
      </c>
      <c r="D5852" t="s">
        <v>19016</v>
      </c>
      <c r="E5852" t="s">
        <v>19315</v>
      </c>
      <c r="F5852" t="s">
        <v>32606</v>
      </c>
      <c r="G5852" t="s">
        <v>32614</v>
      </c>
      <c r="H5852" t="s">
        <v>14201</v>
      </c>
      <c r="I5852" t="s">
        <v>4369</v>
      </c>
      <c r="J5852" t="s">
        <v>36572</v>
      </c>
      <c r="K5852" t="s">
        <v>42623</v>
      </c>
      <c r="M5852" t="s">
        <v>45056</v>
      </c>
      <c r="N5852" t="s">
        <v>47304</v>
      </c>
      <c r="O5852" t="s">
        <v>47305</v>
      </c>
      <c r="P5852">
        <v>0</v>
      </c>
      <c r="Q5852">
        <v>0</v>
      </c>
      <c r="R5852" t="s">
        <v>47308</v>
      </c>
      <c r="S5852" t="s">
        <v>47429</v>
      </c>
      <c r="T5852" t="s">
        <v>49072</v>
      </c>
      <c r="U5852" t="s">
        <v>54448</v>
      </c>
      <c r="W5852" t="s">
        <v>45056</v>
      </c>
      <c r="X5852" t="s">
        <v>47309</v>
      </c>
    </row>
    <row r="5853" spans="1:24">
      <c r="A5853">
        <f>HYPERLINK("https://www.philgeps.gov.ph/GEPSNONPILOT/Tender/SplashBidNoticeAbstractUI.aspx?menuIndex=3&amp;refID=7194320&amp;Result=3","7194320")</f>
        <v>0</v>
      </c>
      <c r="B5853" t="s">
        <v>1987</v>
      </c>
      <c r="C5853" t="s">
        <v>9347</v>
      </c>
      <c r="D5853" t="s">
        <v>18993</v>
      </c>
      <c r="E5853" t="s">
        <v>24253</v>
      </c>
      <c r="F5853" t="s">
        <v>32606</v>
      </c>
      <c r="G5853" t="s">
        <v>32614</v>
      </c>
      <c r="H5853" t="s">
        <v>32624</v>
      </c>
      <c r="I5853" t="s">
        <v>6298</v>
      </c>
      <c r="J5853" t="s">
        <v>36573</v>
      </c>
      <c r="K5853" t="s">
        <v>42630</v>
      </c>
      <c r="M5853" t="s">
        <v>45055</v>
      </c>
      <c r="N5853" t="s">
        <v>47304</v>
      </c>
      <c r="O5853" t="s">
        <v>47305</v>
      </c>
      <c r="P5853">
        <v>0</v>
      </c>
      <c r="Q5853">
        <v>4</v>
      </c>
      <c r="R5853" t="s">
        <v>47308</v>
      </c>
      <c r="S5853" t="s">
        <v>47429</v>
      </c>
      <c r="T5853" t="s">
        <v>49072</v>
      </c>
      <c r="U5853" t="s">
        <v>51707</v>
      </c>
      <c r="W5853" t="s">
        <v>64489</v>
      </c>
      <c r="X5853" t="s">
        <v>47309</v>
      </c>
    </row>
    <row r="5854" spans="1:24">
      <c r="A5854">
        <f>HYPERLINK("https://www.philgeps.gov.ph/GEPSNONPILOT/Tender/SplashBidNoticeAbstractUI.aspx?menuIndex=3&amp;refID=7194305&amp;Result=3","7194305")</f>
        <v>0</v>
      </c>
      <c r="B5854" t="s">
        <v>1989</v>
      </c>
      <c r="C5854" t="s">
        <v>9349</v>
      </c>
      <c r="D5854" t="s">
        <v>19016</v>
      </c>
      <c r="E5854" t="s">
        <v>19561</v>
      </c>
      <c r="F5854" t="s">
        <v>32606</v>
      </c>
      <c r="G5854" t="s">
        <v>32613</v>
      </c>
      <c r="H5854" t="s">
        <v>14201</v>
      </c>
      <c r="I5854" t="s">
        <v>6931</v>
      </c>
      <c r="J5854" t="s">
        <v>32868</v>
      </c>
      <c r="K5854" t="s">
        <v>42630</v>
      </c>
      <c r="M5854" t="s">
        <v>45057</v>
      </c>
      <c r="N5854" t="s">
        <v>47304</v>
      </c>
      <c r="O5854" t="s">
        <v>47305</v>
      </c>
      <c r="P5854">
        <v>0</v>
      </c>
      <c r="Q5854">
        <v>0</v>
      </c>
      <c r="R5854" t="s">
        <v>47308</v>
      </c>
      <c r="S5854" t="s">
        <v>47429</v>
      </c>
      <c r="T5854" t="s">
        <v>48972</v>
      </c>
      <c r="U5854" t="s">
        <v>54449</v>
      </c>
      <c r="W5854" t="s">
        <v>45057</v>
      </c>
      <c r="X5854" t="s">
        <v>47309</v>
      </c>
    </row>
    <row r="5855" spans="1:24">
      <c r="A5855">
        <f>HYPERLINK("https://www.philgeps.gov.ph/GEPSNONPILOT/Tender/SplashBidNoticeAbstractUI.aspx?menuIndex=3&amp;refID=7194319&amp;Result=3","7194319")</f>
        <v>0</v>
      </c>
      <c r="B5855" t="s">
        <v>1990</v>
      </c>
      <c r="C5855" t="s">
        <v>9350</v>
      </c>
      <c r="D5855" t="s">
        <v>19016</v>
      </c>
      <c r="E5855" t="s">
        <v>20038</v>
      </c>
      <c r="F5855" t="s">
        <v>32606</v>
      </c>
      <c r="G5855" t="s">
        <v>32613</v>
      </c>
      <c r="H5855" t="s">
        <v>14201</v>
      </c>
      <c r="I5855" t="s">
        <v>6931</v>
      </c>
      <c r="J5855" t="s">
        <v>33859</v>
      </c>
      <c r="K5855" t="s">
        <v>42630</v>
      </c>
      <c r="M5855" t="s">
        <v>45058</v>
      </c>
      <c r="N5855" t="s">
        <v>47304</v>
      </c>
      <c r="O5855" t="s">
        <v>47305</v>
      </c>
      <c r="P5855">
        <v>0</v>
      </c>
      <c r="Q5855">
        <v>0</v>
      </c>
      <c r="R5855" t="s">
        <v>47308</v>
      </c>
      <c r="S5855" t="s">
        <v>47429</v>
      </c>
      <c r="T5855" t="s">
        <v>48972</v>
      </c>
      <c r="U5855" t="s">
        <v>54450</v>
      </c>
      <c r="W5855" t="s">
        <v>45058</v>
      </c>
      <c r="X5855" t="s">
        <v>47309</v>
      </c>
    </row>
    <row r="5856" spans="1:24">
      <c r="A5856">
        <f>HYPERLINK("https://www.philgeps.gov.ph/GEPSNONPILOT/Tender/SplashBidNoticeAbstractUI.aspx?menuIndex=3&amp;refID=7194318&amp;Result=3","7194318")</f>
        <v>0</v>
      </c>
      <c r="B5856" t="s">
        <v>1991</v>
      </c>
      <c r="C5856" t="s">
        <v>9351</v>
      </c>
      <c r="D5856" t="s">
        <v>19002</v>
      </c>
      <c r="E5856" t="s">
        <v>24254</v>
      </c>
      <c r="F5856" t="s">
        <v>32606</v>
      </c>
      <c r="G5856" t="s">
        <v>32613</v>
      </c>
      <c r="H5856" t="s">
        <v>32623</v>
      </c>
      <c r="I5856" t="s">
        <v>17648</v>
      </c>
      <c r="J5856" t="s">
        <v>36574</v>
      </c>
      <c r="K5856" t="s">
        <v>42648</v>
      </c>
      <c r="M5856" t="s">
        <v>45059</v>
      </c>
      <c r="N5856" t="s">
        <v>47304</v>
      </c>
      <c r="O5856" t="s">
        <v>47305</v>
      </c>
      <c r="P5856">
        <v>0</v>
      </c>
      <c r="Q5856">
        <v>0</v>
      </c>
      <c r="R5856" t="s">
        <v>47308</v>
      </c>
      <c r="S5856" t="s">
        <v>47429</v>
      </c>
      <c r="T5856" t="s">
        <v>49008</v>
      </c>
      <c r="U5856" t="s">
        <v>54451</v>
      </c>
      <c r="V5856" t="s">
        <v>63194</v>
      </c>
      <c r="W5856" t="s">
        <v>45059</v>
      </c>
      <c r="X5856" t="s">
        <v>47309</v>
      </c>
    </row>
    <row r="5857" spans="1:24">
      <c r="A5857">
        <f>HYPERLINK("https://www.philgeps.gov.ph/GEPSNONPILOT/Tender/SplashBidNoticeAbstractUI.aspx?menuIndex=3&amp;refID=7194317&amp;Result=3","7194317")</f>
        <v>0</v>
      </c>
      <c r="B5857" t="s">
        <v>1992</v>
      </c>
      <c r="C5857" t="s">
        <v>7257</v>
      </c>
      <c r="E5857" t="s">
        <v>24255</v>
      </c>
      <c r="F5857" t="s">
        <v>32606</v>
      </c>
      <c r="G5857" t="s">
        <v>32613</v>
      </c>
      <c r="H5857" t="s">
        <v>32623</v>
      </c>
      <c r="I5857" t="s">
        <v>17648</v>
      </c>
      <c r="J5857" t="s">
        <v>36517</v>
      </c>
      <c r="K5857" t="s">
        <v>42624</v>
      </c>
      <c r="M5857" t="s">
        <v>45060</v>
      </c>
      <c r="N5857" t="s">
        <v>47304</v>
      </c>
      <c r="O5857" t="s">
        <v>47305</v>
      </c>
      <c r="P5857">
        <v>0</v>
      </c>
      <c r="Q5857">
        <v>0</v>
      </c>
      <c r="R5857" t="s">
        <v>47308</v>
      </c>
      <c r="S5857" t="s">
        <v>47429</v>
      </c>
      <c r="T5857" t="s">
        <v>48988</v>
      </c>
      <c r="U5857" t="s">
        <v>54452</v>
      </c>
      <c r="W5857" t="s">
        <v>45060</v>
      </c>
      <c r="X5857" t="s">
        <v>47309</v>
      </c>
    </row>
    <row r="5858" spans="1:24">
      <c r="A5858">
        <f>HYPERLINK("https://www.philgeps.gov.ph/GEPSNONPILOT/Tender/SplashBidNoticeAbstractUI.aspx?menuIndex=3&amp;refID=7194316&amp;Result=3","7194316")</f>
        <v>0</v>
      </c>
      <c r="B5858" t="s">
        <v>1993</v>
      </c>
      <c r="C5858" t="s">
        <v>9352</v>
      </c>
      <c r="D5858" t="s">
        <v>19016</v>
      </c>
      <c r="E5858" t="s">
        <v>19522</v>
      </c>
      <c r="F5858" t="s">
        <v>32606</v>
      </c>
      <c r="G5858" t="s">
        <v>32613</v>
      </c>
      <c r="H5858" t="s">
        <v>14201</v>
      </c>
      <c r="I5858" t="s">
        <v>6931</v>
      </c>
      <c r="J5858" t="s">
        <v>33561</v>
      </c>
      <c r="K5858" t="s">
        <v>42630</v>
      </c>
      <c r="M5858" t="s">
        <v>45061</v>
      </c>
      <c r="N5858" t="s">
        <v>47304</v>
      </c>
      <c r="O5858" t="s">
        <v>47305</v>
      </c>
      <c r="P5858">
        <v>0</v>
      </c>
      <c r="Q5858">
        <v>0</v>
      </c>
      <c r="R5858" t="s">
        <v>47308</v>
      </c>
      <c r="S5858" t="s">
        <v>47429</v>
      </c>
      <c r="T5858" t="s">
        <v>48972</v>
      </c>
      <c r="U5858" t="s">
        <v>54453</v>
      </c>
      <c r="W5858" t="s">
        <v>45061</v>
      </c>
      <c r="X5858" t="s">
        <v>47309</v>
      </c>
    </row>
    <row r="5859" spans="1:24">
      <c r="A5859">
        <f>HYPERLINK("https://www.philgeps.gov.ph/GEPSNONPILOT/Tender/SplashBidNoticeAbstractUI.aspx?menuIndex=3&amp;refID=7194315&amp;Result=3","7194315")</f>
        <v>0</v>
      </c>
      <c r="B5859" t="s">
        <v>981</v>
      </c>
      <c r="C5859" t="s">
        <v>9353</v>
      </c>
      <c r="D5859" t="s">
        <v>19009</v>
      </c>
      <c r="E5859" t="s">
        <v>24256</v>
      </c>
      <c r="F5859" t="s">
        <v>32606</v>
      </c>
      <c r="G5859" t="s">
        <v>32614</v>
      </c>
      <c r="H5859" t="s">
        <v>32623</v>
      </c>
      <c r="I5859" t="s">
        <v>32648</v>
      </c>
      <c r="J5859" t="s">
        <v>36575</v>
      </c>
      <c r="K5859" t="s">
        <v>42674</v>
      </c>
      <c r="L5859" t="s">
        <v>981</v>
      </c>
      <c r="M5859" t="s">
        <v>43927</v>
      </c>
      <c r="N5859" t="s">
        <v>47304</v>
      </c>
      <c r="O5859" t="s">
        <v>47305</v>
      </c>
      <c r="P5859">
        <v>0</v>
      </c>
      <c r="Q5859">
        <v>0</v>
      </c>
      <c r="R5859" t="s">
        <v>47308</v>
      </c>
      <c r="S5859" t="s">
        <v>47429</v>
      </c>
      <c r="T5859" t="s">
        <v>49072</v>
      </c>
      <c r="U5859" t="s">
        <v>51500</v>
      </c>
      <c r="W5859" t="s">
        <v>43927</v>
      </c>
      <c r="X5859" t="s">
        <v>47309</v>
      </c>
    </row>
    <row r="5860" spans="1:24">
      <c r="A5860">
        <f>HYPERLINK("https://www.philgeps.gov.ph/GEPSNONPILOT/Tender/SplashBidNoticeAbstractUI.aspx?menuIndex=3&amp;refID=7194314&amp;Result=3","7194314")</f>
        <v>0</v>
      </c>
      <c r="B5860" t="s">
        <v>1962</v>
      </c>
      <c r="C5860" t="s">
        <v>9354</v>
      </c>
      <c r="D5860" t="s">
        <v>19060</v>
      </c>
      <c r="E5860" t="s">
        <v>24257</v>
      </c>
      <c r="F5860" t="s">
        <v>32606</v>
      </c>
      <c r="G5860" t="s">
        <v>32614</v>
      </c>
      <c r="H5860" t="s">
        <v>14201</v>
      </c>
      <c r="I5860" t="s">
        <v>32673</v>
      </c>
      <c r="J5860" t="s">
        <v>36576</v>
      </c>
      <c r="K5860" t="s">
        <v>42623</v>
      </c>
      <c r="L5860" t="s">
        <v>1962</v>
      </c>
      <c r="M5860" t="s">
        <v>45025</v>
      </c>
      <c r="N5860" t="s">
        <v>47304</v>
      </c>
      <c r="O5860" t="s">
        <v>47305</v>
      </c>
      <c r="P5860">
        <v>0</v>
      </c>
      <c r="Q5860">
        <v>0</v>
      </c>
      <c r="R5860" t="s">
        <v>47308</v>
      </c>
      <c r="S5860" t="s">
        <v>47429</v>
      </c>
      <c r="T5860" t="s">
        <v>49072</v>
      </c>
      <c r="U5860" t="s">
        <v>54454</v>
      </c>
      <c r="W5860" t="s">
        <v>45025</v>
      </c>
      <c r="X5860" t="s">
        <v>47309</v>
      </c>
    </row>
    <row r="5861" spans="1:24">
      <c r="A5861">
        <f>HYPERLINK("https://www.philgeps.gov.ph/GEPSNONPILOT/Tender/SplashBidNoticeAbstractUI.aspx?menuIndex=3&amp;refID=7192907&amp;Result=3","7192907")</f>
        <v>0</v>
      </c>
      <c r="B5861" t="s">
        <v>1994</v>
      </c>
      <c r="C5861" t="s">
        <v>9355</v>
      </c>
      <c r="D5861" t="s">
        <v>19027</v>
      </c>
      <c r="E5861" t="s">
        <v>24258</v>
      </c>
      <c r="F5861" t="s">
        <v>32606</v>
      </c>
      <c r="G5861" t="s">
        <v>32614</v>
      </c>
      <c r="H5861" t="s">
        <v>14201</v>
      </c>
      <c r="I5861" t="s">
        <v>32631</v>
      </c>
      <c r="J5861" t="s">
        <v>36577</v>
      </c>
      <c r="K5861" t="s">
        <v>42631</v>
      </c>
      <c r="M5861" t="s">
        <v>45062</v>
      </c>
      <c r="N5861" t="s">
        <v>47304</v>
      </c>
      <c r="O5861" t="s">
        <v>47305</v>
      </c>
      <c r="P5861">
        <v>0</v>
      </c>
      <c r="Q5861">
        <v>0</v>
      </c>
      <c r="R5861" t="s">
        <v>47309</v>
      </c>
      <c r="S5861" t="s">
        <v>47432</v>
      </c>
      <c r="T5861" t="s">
        <v>49020</v>
      </c>
      <c r="U5861" t="s">
        <v>54455</v>
      </c>
      <c r="V5861" t="s">
        <v>63195</v>
      </c>
      <c r="W5861" t="s">
        <v>45062</v>
      </c>
      <c r="X5861" t="s">
        <v>47312</v>
      </c>
    </row>
    <row r="5862" spans="1:24">
      <c r="A5862">
        <f>HYPERLINK("https://www.philgeps.gov.ph/GEPSNONPILOT/Tender/SplashBidNoticeAbstractUI.aspx?menuIndex=3&amp;refID=7192900&amp;Result=3","7192900")</f>
        <v>0</v>
      </c>
      <c r="B5862" t="s">
        <v>1994</v>
      </c>
      <c r="C5862" t="s">
        <v>9356</v>
      </c>
      <c r="D5862" t="s">
        <v>19027</v>
      </c>
      <c r="E5862" t="s">
        <v>24259</v>
      </c>
      <c r="F5862" t="s">
        <v>32606</v>
      </c>
      <c r="G5862" t="s">
        <v>32614</v>
      </c>
      <c r="H5862" t="s">
        <v>14201</v>
      </c>
      <c r="I5862" t="s">
        <v>32641</v>
      </c>
      <c r="J5862" t="s">
        <v>36578</v>
      </c>
      <c r="K5862" t="s">
        <v>42631</v>
      </c>
      <c r="M5862" t="s">
        <v>45062</v>
      </c>
      <c r="N5862" t="s">
        <v>47304</v>
      </c>
      <c r="O5862" t="s">
        <v>47305</v>
      </c>
      <c r="P5862">
        <v>0</v>
      </c>
      <c r="Q5862">
        <v>1</v>
      </c>
      <c r="R5862" t="s">
        <v>47309</v>
      </c>
      <c r="S5862" t="s">
        <v>47432</v>
      </c>
      <c r="T5862" t="s">
        <v>49020</v>
      </c>
      <c r="U5862" t="s">
        <v>54456</v>
      </c>
      <c r="V5862" t="s">
        <v>63195</v>
      </c>
      <c r="W5862" t="s">
        <v>45062</v>
      </c>
      <c r="X5862" t="s">
        <v>47312</v>
      </c>
    </row>
    <row r="5863" spans="1:24">
      <c r="A5863">
        <f>HYPERLINK("https://www.philgeps.gov.ph/GEPSNONPILOT/Tender/SplashBidNoticeAbstractUI.aspx?menuIndex=3&amp;refID=7192897&amp;Result=3","7192897")</f>
        <v>0</v>
      </c>
      <c r="B5863" t="s">
        <v>1994</v>
      </c>
      <c r="C5863" t="s">
        <v>9357</v>
      </c>
      <c r="D5863" t="s">
        <v>19027</v>
      </c>
      <c r="E5863" t="s">
        <v>24260</v>
      </c>
      <c r="F5863" t="s">
        <v>32606</v>
      </c>
      <c r="G5863" t="s">
        <v>32614</v>
      </c>
      <c r="H5863" t="s">
        <v>14201</v>
      </c>
      <c r="I5863" t="s">
        <v>4678</v>
      </c>
      <c r="J5863" t="s">
        <v>32868</v>
      </c>
      <c r="K5863" t="s">
        <v>42631</v>
      </c>
      <c r="M5863" t="s">
        <v>45062</v>
      </c>
      <c r="N5863" t="s">
        <v>47304</v>
      </c>
      <c r="O5863" t="s">
        <v>47305</v>
      </c>
      <c r="P5863">
        <v>0</v>
      </c>
      <c r="Q5863">
        <v>5</v>
      </c>
      <c r="R5863" t="s">
        <v>47309</v>
      </c>
      <c r="S5863" t="s">
        <v>47432</v>
      </c>
      <c r="T5863" t="s">
        <v>49020</v>
      </c>
      <c r="U5863" t="s">
        <v>54455</v>
      </c>
      <c r="V5863" t="s">
        <v>63195</v>
      </c>
      <c r="W5863" t="s">
        <v>45062</v>
      </c>
      <c r="X5863" t="s">
        <v>47312</v>
      </c>
    </row>
    <row r="5864" spans="1:24">
      <c r="A5864">
        <f>HYPERLINK("https://www.philgeps.gov.ph/GEPSNONPILOT/Tender/SplashBidNoticeAbstractUI.aspx?menuIndex=3&amp;refID=7194327&amp;Result=3","7194327")</f>
        <v>0</v>
      </c>
      <c r="B5864" t="s">
        <v>1985</v>
      </c>
      <c r="C5864" t="s">
        <v>9358</v>
      </c>
      <c r="E5864" t="s">
        <v>24261</v>
      </c>
      <c r="F5864" t="s">
        <v>32606</v>
      </c>
      <c r="G5864" t="s">
        <v>32619</v>
      </c>
      <c r="H5864" t="s">
        <v>14201</v>
      </c>
      <c r="I5864" t="s">
        <v>4114</v>
      </c>
      <c r="J5864" t="s">
        <v>36579</v>
      </c>
      <c r="K5864" t="s">
        <v>42624</v>
      </c>
      <c r="M5864" t="s">
        <v>45053</v>
      </c>
      <c r="N5864" t="s">
        <v>47304</v>
      </c>
      <c r="O5864" t="s">
        <v>47305</v>
      </c>
      <c r="P5864">
        <v>0</v>
      </c>
      <c r="Q5864">
        <v>1</v>
      </c>
      <c r="R5864" t="s">
        <v>47308</v>
      </c>
      <c r="S5864" t="s">
        <v>47429</v>
      </c>
      <c r="T5864" t="s">
        <v>49117</v>
      </c>
      <c r="U5864" t="s">
        <v>54457</v>
      </c>
      <c r="V5864" t="s">
        <v>63192</v>
      </c>
      <c r="W5864" t="s">
        <v>45053</v>
      </c>
      <c r="X5864" t="s">
        <v>47309</v>
      </c>
    </row>
    <row r="5865" spans="1:24">
      <c r="A5865">
        <f>HYPERLINK("https://www.philgeps.gov.ph/GEPSNONPILOT/Tender/SplashBidNoticeAbstractUI.aspx?menuIndex=3&amp;refID=7192885&amp;Result=3","7192885")</f>
        <v>0</v>
      </c>
      <c r="B5865" t="s">
        <v>1994</v>
      </c>
      <c r="C5865" t="s">
        <v>9359</v>
      </c>
      <c r="D5865" t="s">
        <v>19027</v>
      </c>
      <c r="E5865" t="s">
        <v>24262</v>
      </c>
      <c r="F5865" t="s">
        <v>32606</v>
      </c>
      <c r="G5865" t="s">
        <v>32614</v>
      </c>
      <c r="H5865" t="s">
        <v>14201</v>
      </c>
      <c r="I5865" t="s">
        <v>4678</v>
      </c>
      <c r="J5865" t="s">
        <v>32981</v>
      </c>
      <c r="K5865" t="s">
        <v>42631</v>
      </c>
      <c r="M5865" t="s">
        <v>45062</v>
      </c>
      <c r="N5865" t="s">
        <v>47304</v>
      </c>
      <c r="O5865" t="s">
        <v>47305</v>
      </c>
      <c r="Q5865">
        <v>7</v>
      </c>
      <c r="R5865" t="s">
        <v>47309</v>
      </c>
      <c r="S5865" t="s">
        <v>47433</v>
      </c>
      <c r="T5865" t="s">
        <v>49020</v>
      </c>
      <c r="U5865" t="s">
        <v>54455</v>
      </c>
      <c r="V5865" t="s">
        <v>63195</v>
      </c>
      <c r="W5865" t="s">
        <v>45062</v>
      </c>
      <c r="X5865" t="s">
        <v>47312</v>
      </c>
    </row>
    <row r="5866" spans="1:24">
      <c r="A5866">
        <f>HYPERLINK("https://www.philgeps.gov.ph/GEPSNONPILOT/Tender/SplashBidNoticeAbstractUI.aspx?menuIndex=3&amp;refID=7187007&amp;Result=3","7187007")</f>
        <v>0</v>
      </c>
      <c r="B5866" t="s">
        <v>600</v>
      </c>
      <c r="C5866" t="s">
        <v>9360</v>
      </c>
      <c r="E5866" t="s">
        <v>24263</v>
      </c>
      <c r="F5866" t="s">
        <v>32606</v>
      </c>
      <c r="G5866" t="s">
        <v>32613</v>
      </c>
      <c r="H5866" t="s">
        <v>14201</v>
      </c>
      <c r="I5866" t="s">
        <v>32654</v>
      </c>
      <c r="J5866" t="s">
        <v>36580</v>
      </c>
      <c r="K5866" t="s">
        <v>42631</v>
      </c>
      <c r="M5866" t="s">
        <v>45063</v>
      </c>
      <c r="N5866" t="s">
        <v>47304</v>
      </c>
      <c r="O5866" t="s">
        <v>47305</v>
      </c>
      <c r="P5866">
        <v>0</v>
      </c>
      <c r="Q5866">
        <v>0</v>
      </c>
      <c r="R5866" t="s">
        <v>47309</v>
      </c>
      <c r="S5866" t="s">
        <v>47432</v>
      </c>
      <c r="T5866" t="s">
        <v>49009</v>
      </c>
      <c r="U5866" t="s">
        <v>54458</v>
      </c>
      <c r="W5866" t="s">
        <v>45063</v>
      </c>
      <c r="X5866" t="s">
        <v>47313</v>
      </c>
    </row>
    <row r="5867" spans="1:24">
      <c r="A5867">
        <f>HYPERLINK("https://www.philgeps.gov.ph/GEPSNONPILOT/Tender/SplashBidNoticeAbstractUI.aspx?menuIndex=3&amp;refID=7194326&amp;Result=3","7194326")</f>
        <v>0</v>
      </c>
      <c r="B5867" t="s">
        <v>1553</v>
      </c>
      <c r="C5867" t="s">
        <v>9361</v>
      </c>
      <c r="D5867" t="s">
        <v>18993</v>
      </c>
      <c r="E5867" t="s">
        <v>24264</v>
      </c>
      <c r="F5867" t="s">
        <v>32606</v>
      </c>
      <c r="G5867" t="s">
        <v>32613</v>
      </c>
      <c r="H5867" t="s">
        <v>14201</v>
      </c>
      <c r="I5867" t="s">
        <v>6298</v>
      </c>
      <c r="J5867" t="s">
        <v>32789</v>
      </c>
      <c r="K5867" t="s">
        <v>42632</v>
      </c>
      <c r="M5867" t="s">
        <v>44557</v>
      </c>
      <c r="N5867" t="s">
        <v>47304</v>
      </c>
      <c r="O5867" t="s">
        <v>47305</v>
      </c>
      <c r="P5867">
        <v>0</v>
      </c>
      <c r="Q5867">
        <v>3</v>
      </c>
      <c r="R5867" t="s">
        <v>47308</v>
      </c>
      <c r="S5867" t="s">
        <v>47429</v>
      </c>
      <c r="T5867" t="s">
        <v>48986</v>
      </c>
      <c r="U5867" t="s">
        <v>52977</v>
      </c>
      <c r="V5867" t="s">
        <v>63048</v>
      </c>
      <c r="W5867" t="s">
        <v>44557</v>
      </c>
      <c r="X5867" t="s">
        <v>47309</v>
      </c>
    </row>
    <row r="5868" spans="1:24">
      <c r="A5868">
        <f>HYPERLINK("https://www.philgeps.gov.ph/GEPSNONPILOT/Tender/SplashBidNoticeAbstractUI.aspx?menuIndex=3&amp;refID=6972267-2&amp;Result=3","6972267-2")</f>
        <v>0</v>
      </c>
      <c r="B5868" t="s">
        <v>1995</v>
      </c>
      <c r="C5868" t="s">
        <v>9362</v>
      </c>
      <c r="D5868" t="s">
        <v>18993</v>
      </c>
      <c r="E5868" t="s">
        <v>24265</v>
      </c>
      <c r="F5868" t="s">
        <v>32606</v>
      </c>
      <c r="G5868" t="s">
        <v>32613</v>
      </c>
      <c r="H5868" t="s">
        <v>32625</v>
      </c>
      <c r="I5868" t="s">
        <v>32625</v>
      </c>
      <c r="J5868" t="s">
        <v>32767</v>
      </c>
      <c r="K5868" t="s">
        <v>42624</v>
      </c>
      <c r="M5868" t="s">
        <v>45064</v>
      </c>
      <c r="N5868" t="s">
        <v>47304</v>
      </c>
      <c r="O5868" t="s">
        <v>47305</v>
      </c>
      <c r="P5868">
        <v>0</v>
      </c>
      <c r="Q5868">
        <v>0</v>
      </c>
      <c r="R5868" t="s">
        <v>47309</v>
      </c>
      <c r="S5868" t="s">
        <v>47432</v>
      </c>
      <c r="T5868" t="s">
        <v>49023</v>
      </c>
      <c r="U5868" t="s">
        <v>54459</v>
      </c>
      <c r="W5868" t="s">
        <v>45064</v>
      </c>
      <c r="X5868" t="s">
        <v>64567</v>
      </c>
    </row>
    <row r="5869" spans="1:24">
      <c r="A5869">
        <f>HYPERLINK("https://www.philgeps.gov.ph/GEPSNONPILOT/Tender/SplashBidNoticeAbstractUI.aspx?menuIndex=3&amp;refID=6708403&amp;Result=3","6708403")</f>
        <v>0</v>
      </c>
      <c r="B5869" t="s">
        <v>1996</v>
      </c>
      <c r="C5869" t="s">
        <v>9363</v>
      </c>
      <c r="E5869" t="s">
        <v>19358</v>
      </c>
      <c r="F5869" t="s">
        <v>32606</v>
      </c>
      <c r="G5869" t="s">
        <v>32614</v>
      </c>
      <c r="H5869" t="s">
        <v>14201</v>
      </c>
      <c r="I5869" t="s">
        <v>6478</v>
      </c>
      <c r="J5869" t="s">
        <v>36581</v>
      </c>
      <c r="K5869" t="s">
        <v>42624</v>
      </c>
      <c r="M5869" t="s">
        <v>45065</v>
      </c>
      <c r="N5869" t="s">
        <v>47304</v>
      </c>
      <c r="O5869" t="s">
        <v>47305</v>
      </c>
      <c r="P5869">
        <v>0</v>
      </c>
      <c r="Q5869">
        <v>1</v>
      </c>
      <c r="R5869" t="s">
        <v>47309</v>
      </c>
      <c r="S5869" t="s">
        <v>47432</v>
      </c>
      <c r="T5869" t="s">
        <v>49083</v>
      </c>
      <c r="U5869" t="s">
        <v>54460</v>
      </c>
      <c r="W5869" t="s">
        <v>45065</v>
      </c>
      <c r="X5869" t="s">
        <v>64568</v>
      </c>
    </row>
    <row r="5870" spans="1:24">
      <c r="A5870">
        <f>HYPERLINK("https://www.philgeps.gov.ph/GEPSNONPILOT/Tender/SplashBidNoticeAbstractUI.aspx?menuIndex=3&amp;refID=7194347&amp;Result=3","7194347")</f>
        <v>0</v>
      </c>
      <c r="B5870" t="s">
        <v>414</v>
      </c>
      <c r="C5870" t="s">
        <v>9364</v>
      </c>
      <c r="E5870" t="s">
        <v>24266</v>
      </c>
      <c r="F5870" t="s">
        <v>32606</v>
      </c>
      <c r="G5870" t="s">
        <v>32614</v>
      </c>
      <c r="H5870" t="s">
        <v>14201</v>
      </c>
      <c r="I5870" t="s">
        <v>4678</v>
      </c>
      <c r="J5870" t="s">
        <v>33667</v>
      </c>
      <c r="K5870" t="s">
        <v>42624</v>
      </c>
      <c r="M5870" t="s">
        <v>43318</v>
      </c>
      <c r="N5870" t="s">
        <v>47304</v>
      </c>
      <c r="O5870" t="s">
        <v>47305</v>
      </c>
      <c r="P5870">
        <v>0</v>
      </c>
      <c r="Q5870">
        <v>6</v>
      </c>
      <c r="R5870" t="s">
        <v>47308</v>
      </c>
      <c r="S5870" t="s">
        <v>47429</v>
      </c>
      <c r="T5870" t="s">
        <v>49068</v>
      </c>
      <c r="U5870" t="s">
        <v>54461</v>
      </c>
      <c r="W5870" t="s">
        <v>43318</v>
      </c>
      <c r="X5870" t="s">
        <v>47309</v>
      </c>
    </row>
    <row r="5871" spans="1:24">
      <c r="A5871">
        <f>HYPERLINK("https://www.philgeps.gov.ph/GEPSNONPILOT/Tender/SplashBidNoticeAbstractUI.aspx?menuIndex=3&amp;refID=7194346&amp;Result=3","7194346")</f>
        <v>0</v>
      </c>
      <c r="B5871" t="s">
        <v>1101</v>
      </c>
      <c r="C5871" t="s">
        <v>9365</v>
      </c>
      <c r="D5871" t="s">
        <v>18988</v>
      </c>
      <c r="E5871" t="s">
        <v>21397</v>
      </c>
      <c r="F5871" t="s">
        <v>32606</v>
      </c>
      <c r="G5871" t="s">
        <v>32613</v>
      </c>
      <c r="H5871" t="s">
        <v>14201</v>
      </c>
      <c r="I5871" t="s">
        <v>32634</v>
      </c>
      <c r="J5871" t="s">
        <v>36582</v>
      </c>
      <c r="K5871" t="s">
        <v>42631</v>
      </c>
      <c r="M5871" t="s">
        <v>44057</v>
      </c>
      <c r="N5871" t="s">
        <v>47304</v>
      </c>
      <c r="O5871" t="s">
        <v>47305</v>
      </c>
      <c r="P5871">
        <v>0</v>
      </c>
      <c r="Q5871">
        <v>7</v>
      </c>
      <c r="R5871" t="s">
        <v>47308</v>
      </c>
      <c r="S5871" t="s">
        <v>47429</v>
      </c>
      <c r="T5871" t="s">
        <v>49193</v>
      </c>
      <c r="U5871" t="s">
        <v>54462</v>
      </c>
      <c r="W5871" t="s">
        <v>44057</v>
      </c>
      <c r="X5871" t="s">
        <v>47309</v>
      </c>
    </row>
    <row r="5872" spans="1:24">
      <c r="A5872">
        <f>HYPERLINK("https://www.philgeps.gov.ph/GEPSNONPILOT/Tender/SplashBidNoticeAbstractUI.aspx?menuIndex=3&amp;refID=7194344&amp;Result=3","7194344")</f>
        <v>0</v>
      </c>
      <c r="B5872" t="s">
        <v>1141</v>
      </c>
      <c r="C5872" t="s">
        <v>9366</v>
      </c>
      <c r="D5872" t="s">
        <v>18988</v>
      </c>
      <c r="E5872" t="s">
        <v>24267</v>
      </c>
      <c r="F5872" t="s">
        <v>32606</v>
      </c>
      <c r="G5872" t="s">
        <v>32619</v>
      </c>
      <c r="H5872" t="s">
        <v>14201</v>
      </c>
      <c r="I5872" t="s">
        <v>4120</v>
      </c>
      <c r="J5872" t="s">
        <v>36583</v>
      </c>
      <c r="K5872" t="s">
        <v>42630</v>
      </c>
      <c r="M5872" t="s">
        <v>44103</v>
      </c>
      <c r="N5872" t="s">
        <v>47304</v>
      </c>
      <c r="O5872" t="s">
        <v>47305</v>
      </c>
      <c r="P5872">
        <v>0</v>
      </c>
      <c r="Q5872">
        <v>0</v>
      </c>
      <c r="R5872" t="s">
        <v>47308</v>
      </c>
      <c r="S5872" t="s">
        <v>47429</v>
      </c>
      <c r="T5872" t="s">
        <v>49268</v>
      </c>
      <c r="U5872" t="s">
        <v>54463</v>
      </c>
      <c r="W5872" t="s">
        <v>44103</v>
      </c>
      <c r="X5872" t="s">
        <v>47309</v>
      </c>
    </row>
    <row r="5873" spans="1:24">
      <c r="A5873">
        <f>HYPERLINK("https://www.philgeps.gov.ph/GEPSNONPILOT/Tender/SplashBidNoticeAbstractUI.aspx?menuIndex=3&amp;refID=7194239&amp;Result=3","7194239")</f>
        <v>0</v>
      </c>
      <c r="B5873" t="s">
        <v>1960</v>
      </c>
      <c r="C5873" t="s">
        <v>9367</v>
      </c>
      <c r="D5873" t="s">
        <v>18994</v>
      </c>
      <c r="E5873" t="s">
        <v>24268</v>
      </c>
      <c r="F5873" t="s">
        <v>32606</v>
      </c>
      <c r="G5873" t="s">
        <v>32613</v>
      </c>
      <c r="H5873" t="s">
        <v>14201</v>
      </c>
      <c r="I5873" t="s">
        <v>32655</v>
      </c>
      <c r="J5873" t="s">
        <v>36584</v>
      </c>
      <c r="K5873" t="s">
        <v>42631</v>
      </c>
      <c r="M5873" t="s">
        <v>45023</v>
      </c>
      <c r="N5873" t="s">
        <v>47304</v>
      </c>
      <c r="O5873" t="s">
        <v>47305</v>
      </c>
      <c r="P5873">
        <v>0</v>
      </c>
      <c r="Q5873">
        <v>10</v>
      </c>
      <c r="R5873" t="s">
        <v>47308</v>
      </c>
      <c r="S5873" t="s">
        <v>47429</v>
      </c>
      <c r="T5873" t="s">
        <v>49129</v>
      </c>
      <c r="U5873" t="s">
        <v>54464</v>
      </c>
      <c r="W5873" t="s">
        <v>45023</v>
      </c>
      <c r="X5873" t="s">
        <v>47309</v>
      </c>
    </row>
    <row r="5874" spans="1:24">
      <c r="A5874">
        <f>HYPERLINK("https://www.philgeps.gov.ph/GEPSNONPILOT/Tender/SplashBidNoticeAbstractUI.aspx?menuIndex=3&amp;refID=7194343&amp;Result=3","7194343")</f>
        <v>0</v>
      </c>
      <c r="B5874" t="s">
        <v>1997</v>
      </c>
      <c r="C5874" t="s">
        <v>9368</v>
      </c>
      <c r="D5874" t="s">
        <v>18993</v>
      </c>
      <c r="E5874" t="s">
        <v>24269</v>
      </c>
      <c r="F5874" t="s">
        <v>32606</v>
      </c>
      <c r="G5874" t="s">
        <v>32619</v>
      </c>
      <c r="H5874" t="s">
        <v>14201</v>
      </c>
      <c r="I5874" t="s">
        <v>4114</v>
      </c>
      <c r="J5874" t="s">
        <v>33227</v>
      </c>
      <c r="K5874" t="s">
        <v>42629</v>
      </c>
      <c r="M5874" t="s">
        <v>45066</v>
      </c>
      <c r="N5874" t="s">
        <v>47304</v>
      </c>
      <c r="O5874" t="s">
        <v>47305</v>
      </c>
      <c r="P5874">
        <v>0</v>
      </c>
      <c r="Q5874">
        <v>9</v>
      </c>
      <c r="R5874" t="s">
        <v>47308</v>
      </c>
      <c r="S5874" t="s">
        <v>47429</v>
      </c>
      <c r="T5874" t="s">
        <v>49083</v>
      </c>
      <c r="U5874" t="s">
        <v>54465</v>
      </c>
      <c r="W5874" t="s">
        <v>45066</v>
      </c>
      <c r="X5874" t="s">
        <v>47309</v>
      </c>
    </row>
    <row r="5875" spans="1:24">
      <c r="A5875">
        <f>HYPERLINK("https://www.philgeps.gov.ph/GEPSNONPILOT/Tender/SplashBidNoticeAbstractUI.aspx?menuIndex=3&amp;refID=7194341&amp;Result=3","7194341")</f>
        <v>0</v>
      </c>
      <c r="B5875" t="s">
        <v>1141</v>
      </c>
      <c r="C5875" t="s">
        <v>9369</v>
      </c>
      <c r="D5875" t="s">
        <v>18988</v>
      </c>
      <c r="E5875" t="s">
        <v>24270</v>
      </c>
      <c r="F5875" t="s">
        <v>32606</v>
      </c>
      <c r="G5875" t="s">
        <v>32619</v>
      </c>
      <c r="H5875" t="s">
        <v>14201</v>
      </c>
      <c r="I5875" t="s">
        <v>7677</v>
      </c>
      <c r="J5875" t="s">
        <v>36585</v>
      </c>
      <c r="K5875" t="s">
        <v>42630</v>
      </c>
      <c r="M5875" t="s">
        <v>44103</v>
      </c>
      <c r="N5875" t="s">
        <v>47304</v>
      </c>
      <c r="O5875" t="s">
        <v>47305</v>
      </c>
      <c r="P5875">
        <v>0</v>
      </c>
      <c r="Q5875">
        <v>2</v>
      </c>
      <c r="R5875" t="s">
        <v>47308</v>
      </c>
      <c r="S5875" t="s">
        <v>47429</v>
      </c>
      <c r="T5875" t="s">
        <v>49268</v>
      </c>
      <c r="U5875" t="s">
        <v>54466</v>
      </c>
      <c r="W5875" t="s">
        <v>44103</v>
      </c>
      <c r="X5875" t="s">
        <v>47309</v>
      </c>
    </row>
    <row r="5876" spans="1:24">
      <c r="A5876">
        <f>HYPERLINK("https://www.philgeps.gov.ph/GEPSNONPILOT/Tender/SplashBidNoticeAbstractUI.aspx?menuIndex=3&amp;refID=7193899&amp;Result=3","7193899")</f>
        <v>0</v>
      </c>
      <c r="B5876" t="s">
        <v>1652</v>
      </c>
      <c r="C5876" t="s">
        <v>9370</v>
      </c>
      <c r="D5876" t="s">
        <v>18992</v>
      </c>
      <c r="E5876" t="s">
        <v>24271</v>
      </c>
      <c r="F5876" t="s">
        <v>32606</v>
      </c>
      <c r="G5876" t="s">
        <v>32619</v>
      </c>
      <c r="H5876" t="s">
        <v>14201</v>
      </c>
      <c r="I5876" t="s">
        <v>4120</v>
      </c>
      <c r="J5876" t="s">
        <v>36586</v>
      </c>
      <c r="K5876" t="s">
        <v>42622</v>
      </c>
      <c r="M5876" t="s">
        <v>44676</v>
      </c>
      <c r="N5876" t="s">
        <v>47304</v>
      </c>
      <c r="O5876" t="s">
        <v>47305</v>
      </c>
      <c r="P5876">
        <v>0</v>
      </c>
      <c r="Q5876">
        <v>2</v>
      </c>
      <c r="R5876" t="s">
        <v>47309</v>
      </c>
      <c r="S5876" t="s">
        <v>47432</v>
      </c>
      <c r="T5876" t="s">
        <v>49331</v>
      </c>
      <c r="U5876" t="s">
        <v>54467</v>
      </c>
      <c r="W5876" t="s">
        <v>44676</v>
      </c>
      <c r="X5876" t="s">
        <v>47310</v>
      </c>
    </row>
    <row r="5877" spans="1:24">
      <c r="A5877">
        <f>HYPERLINK("https://www.philgeps.gov.ph/GEPSNONPILOT/Tender/SplashBidNoticeAbstractUI.aspx?menuIndex=3&amp;refID=7194328&amp;Result=3","7194328")</f>
        <v>0</v>
      </c>
      <c r="B5877" t="s">
        <v>1098</v>
      </c>
      <c r="C5877" t="s">
        <v>9371</v>
      </c>
      <c r="D5877" t="s">
        <v>18993</v>
      </c>
      <c r="E5877" t="s">
        <v>24272</v>
      </c>
      <c r="F5877" t="s">
        <v>32606</v>
      </c>
      <c r="G5877" t="s">
        <v>32619</v>
      </c>
      <c r="H5877" t="s">
        <v>14201</v>
      </c>
      <c r="I5877" t="s">
        <v>32640</v>
      </c>
      <c r="J5877" t="s">
        <v>36587</v>
      </c>
      <c r="K5877" t="s">
        <v>42631</v>
      </c>
      <c r="M5877" t="s">
        <v>44054</v>
      </c>
      <c r="N5877" t="s">
        <v>47304</v>
      </c>
      <c r="O5877" t="s">
        <v>47305</v>
      </c>
      <c r="P5877">
        <v>0</v>
      </c>
      <c r="Q5877">
        <v>22</v>
      </c>
      <c r="R5877" t="s">
        <v>47308</v>
      </c>
      <c r="S5877" t="s">
        <v>47429</v>
      </c>
      <c r="T5877" t="s">
        <v>49165</v>
      </c>
      <c r="U5877" t="s">
        <v>53601</v>
      </c>
      <c r="W5877" t="s">
        <v>44054</v>
      </c>
      <c r="X5877" t="s">
        <v>47309</v>
      </c>
    </row>
    <row r="5878" spans="1:24">
      <c r="A5878">
        <f>HYPERLINK("https://www.philgeps.gov.ph/GEPSNONPILOT/Tender/SplashBidNoticeAbstractUI.aspx?menuIndex=3&amp;refID=7193897&amp;Result=3","7193897")</f>
        <v>0</v>
      </c>
      <c r="B5878" t="s">
        <v>293</v>
      </c>
      <c r="C5878" t="s">
        <v>9372</v>
      </c>
      <c r="D5878" t="s">
        <v>19014</v>
      </c>
      <c r="E5878" t="s">
        <v>24273</v>
      </c>
      <c r="F5878" t="s">
        <v>32607</v>
      </c>
      <c r="G5878" t="s">
        <v>32619</v>
      </c>
      <c r="H5878" t="s">
        <v>14201</v>
      </c>
      <c r="I5878" t="s">
        <v>6298</v>
      </c>
      <c r="J5878" t="s">
        <v>32995</v>
      </c>
      <c r="K5878" t="s">
        <v>42623</v>
      </c>
      <c r="M5878" t="s">
        <v>43195</v>
      </c>
      <c r="N5878" t="s">
        <v>47304</v>
      </c>
      <c r="O5878" t="s">
        <v>47305</v>
      </c>
      <c r="P5878">
        <v>0</v>
      </c>
      <c r="Q5878">
        <v>1</v>
      </c>
      <c r="R5878" t="s">
        <v>47309</v>
      </c>
      <c r="S5878" t="s">
        <v>47432</v>
      </c>
      <c r="T5878" t="s">
        <v>49071</v>
      </c>
      <c r="U5878" t="s">
        <v>54468</v>
      </c>
      <c r="W5878" t="s">
        <v>43195</v>
      </c>
      <c r="X5878" t="s">
        <v>47310</v>
      </c>
    </row>
    <row r="5879" spans="1:24">
      <c r="A5879">
        <f>HYPERLINK("https://www.philgeps.gov.ph/GEPSNONPILOT/Tender/SplashBidNoticeAbstractUI.aspx?menuIndex=3&amp;refID=7192889&amp;Result=3","7192889")</f>
        <v>0</v>
      </c>
      <c r="B5879" t="s">
        <v>1994</v>
      </c>
      <c r="C5879" t="s">
        <v>9373</v>
      </c>
      <c r="D5879" t="s">
        <v>19027</v>
      </c>
      <c r="E5879" t="s">
        <v>24274</v>
      </c>
      <c r="F5879" t="s">
        <v>32606</v>
      </c>
      <c r="G5879" t="s">
        <v>32614</v>
      </c>
      <c r="H5879" t="s">
        <v>14201</v>
      </c>
      <c r="I5879" t="s">
        <v>4678</v>
      </c>
      <c r="J5879" t="s">
        <v>32752</v>
      </c>
      <c r="K5879" t="s">
        <v>42631</v>
      </c>
      <c r="M5879" t="s">
        <v>45062</v>
      </c>
      <c r="N5879" t="s">
        <v>47304</v>
      </c>
      <c r="O5879" t="s">
        <v>47305</v>
      </c>
      <c r="P5879">
        <v>0</v>
      </c>
      <c r="Q5879">
        <v>8</v>
      </c>
      <c r="R5879" t="s">
        <v>47309</v>
      </c>
      <c r="S5879" t="s">
        <v>47432</v>
      </c>
      <c r="T5879" t="s">
        <v>49020</v>
      </c>
      <c r="U5879" t="s">
        <v>54455</v>
      </c>
      <c r="V5879" t="s">
        <v>63195</v>
      </c>
      <c r="W5879" t="s">
        <v>45062</v>
      </c>
      <c r="X5879" t="s">
        <v>47312</v>
      </c>
    </row>
    <row r="5880" spans="1:24">
      <c r="A5880">
        <f>HYPERLINK("https://www.philgeps.gov.ph/GEPSNONPILOT/Tender/SplashBidNoticeAbstractUI.aspx?menuIndex=3&amp;refID=7193895&amp;Result=3","7193895")</f>
        <v>0</v>
      </c>
      <c r="B5880" t="s">
        <v>293</v>
      </c>
      <c r="C5880" t="s">
        <v>9372</v>
      </c>
      <c r="D5880" t="s">
        <v>19067</v>
      </c>
      <c r="E5880" t="s">
        <v>24275</v>
      </c>
      <c r="F5880" t="s">
        <v>32607</v>
      </c>
      <c r="G5880" t="s">
        <v>32619</v>
      </c>
      <c r="H5880" t="s">
        <v>14201</v>
      </c>
      <c r="I5880" t="s">
        <v>6298</v>
      </c>
      <c r="J5880" t="s">
        <v>32995</v>
      </c>
      <c r="K5880" t="s">
        <v>42623</v>
      </c>
      <c r="M5880" t="s">
        <v>43195</v>
      </c>
      <c r="N5880" t="s">
        <v>47304</v>
      </c>
      <c r="O5880" t="s">
        <v>47305</v>
      </c>
      <c r="P5880">
        <v>0</v>
      </c>
      <c r="Q5880">
        <v>1</v>
      </c>
      <c r="R5880" t="s">
        <v>47309</v>
      </c>
      <c r="S5880" t="s">
        <v>47432</v>
      </c>
      <c r="T5880" t="s">
        <v>49071</v>
      </c>
      <c r="U5880" t="s">
        <v>54469</v>
      </c>
      <c r="W5880" t="s">
        <v>43195</v>
      </c>
      <c r="X5880" t="s">
        <v>47310</v>
      </c>
    </row>
    <row r="5881" spans="1:24">
      <c r="A5881">
        <f>HYPERLINK("https://www.philgeps.gov.ph/GEPSNONPILOT/Tender/SplashBidNoticeAbstractUI.aspx?menuIndex=3&amp;refID=7193885&amp;Result=3","7193885")</f>
        <v>0</v>
      </c>
      <c r="B5881" t="s">
        <v>293</v>
      </c>
      <c r="C5881" t="s">
        <v>9374</v>
      </c>
      <c r="D5881" t="s">
        <v>19016</v>
      </c>
      <c r="E5881" t="s">
        <v>24276</v>
      </c>
      <c r="F5881" t="s">
        <v>32607</v>
      </c>
      <c r="G5881" t="s">
        <v>32619</v>
      </c>
      <c r="H5881" t="s">
        <v>14201</v>
      </c>
      <c r="I5881" t="s">
        <v>32650</v>
      </c>
      <c r="J5881" t="s">
        <v>33274</v>
      </c>
      <c r="K5881" t="s">
        <v>42623</v>
      </c>
      <c r="M5881" t="s">
        <v>43195</v>
      </c>
      <c r="N5881" t="s">
        <v>47304</v>
      </c>
      <c r="O5881" t="s">
        <v>47305</v>
      </c>
      <c r="P5881">
        <v>0</v>
      </c>
      <c r="Q5881">
        <v>1</v>
      </c>
      <c r="R5881" t="s">
        <v>47309</v>
      </c>
      <c r="S5881" t="s">
        <v>47432</v>
      </c>
      <c r="T5881" t="s">
        <v>49071</v>
      </c>
      <c r="U5881" t="s">
        <v>54470</v>
      </c>
      <c r="W5881" t="s">
        <v>43195</v>
      </c>
      <c r="X5881" t="s">
        <v>47310</v>
      </c>
    </row>
    <row r="5882" spans="1:24">
      <c r="A5882">
        <f>HYPERLINK("https://www.philgeps.gov.ph/GEPSNONPILOT/Tender/SplashBidNoticeAbstractUI.aspx?menuIndex=3&amp;refID=7192859&amp;Result=3","7192859")</f>
        <v>0</v>
      </c>
      <c r="B5882" t="s">
        <v>1996</v>
      </c>
      <c r="C5882" t="s">
        <v>9375</v>
      </c>
      <c r="E5882" t="s">
        <v>19372</v>
      </c>
      <c r="F5882" t="s">
        <v>32606</v>
      </c>
      <c r="G5882" t="s">
        <v>32614</v>
      </c>
      <c r="H5882" t="s">
        <v>14201</v>
      </c>
      <c r="I5882" t="s">
        <v>6478</v>
      </c>
      <c r="J5882" t="s">
        <v>36588</v>
      </c>
      <c r="K5882" t="s">
        <v>42624</v>
      </c>
      <c r="M5882" t="s">
        <v>45065</v>
      </c>
      <c r="N5882" t="s">
        <v>47304</v>
      </c>
      <c r="O5882" t="s">
        <v>47305</v>
      </c>
      <c r="P5882">
        <v>0</v>
      </c>
      <c r="Q5882">
        <v>2</v>
      </c>
      <c r="R5882" t="s">
        <v>47309</v>
      </c>
      <c r="S5882" t="s">
        <v>47432</v>
      </c>
      <c r="T5882" t="s">
        <v>49083</v>
      </c>
      <c r="U5882" t="s">
        <v>54471</v>
      </c>
      <c r="W5882" t="s">
        <v>45065</v>
      </c>
      <c r="X5882" t="s">
        <v>47312</v>
      </c>
    </row>
    <row r="5883" spans="1:24">
      <c r="A5883">
        <f>HYPERLINK("https://www.philgeps.gov.ph/GEPSNONPILOT/Tender/SplashBidNoticeAbstractUI.aspx?menuIndex=3&amp;refID=7193865&amp;Result=3","7193865")</f>
        <v>0</v>
      </c>
      <c r="B5883" t="s">
        <v>1998</v>
      </c>
      <c r="C5883" t="s">
        <v>6466</v>
      </c>
      <c r="D5883" t="s">
        <v>18999</v>
      </c>
      <c r="E5883" t="s">
        <v>20242</v>
      </c>
      <c r="F5883" t="s">
        <v>32606</v>
      </c>
      <c r="G5883" t="s">
        <v>32617</v>
      </c>
      <c r="H5883" t="s">
        <v>32624</v>
      </c>
      <c r="I5883" t="s">
        <v>32693</v>
      </c>
      <c r="J5883" t="s">
        <v>32752</v>
      </c>
      <c r="K5883" t="s">
        <v>42638</v>
      </c>
      <c r="M5883" t="s">
        <v>45067</v>
      </c>
      <c r="N5883" t="s">
        <v>47304</v>
      </c>
      <c r="O5883" t="s">
        <v>47305</v>
      </c>
      <c r="P5883">
        <v>0</v>
      </c>
      <c r="Q5883">
        <v>1</v>
      </c>
      <c r="R5883" t="s">
        <v>47309</v>
      </c>
      <c r="S5883" t="s">
        <v>47432</v>
      </c>
      <c r="T5883" t="s">
        <v>49072</v>
      </c>
      <c r="U5883" t="s">
        <v>54472</v>
      </c>
      <c r="W5883" t="s">
        <v>45067</v>
      </c>
      <c r="X5883" t="s">
        <v>47310</v>
      </c>
    </row>
    <row r="5884" spans="1:24">
      <c r="A5884">
        <f>HYPERLINK("https://www.philgeps.gov.ph/GEPSNONPILOT/Tender/SplashBidNoticeAbstractUI.aspx?menuIndex=3&amp;refID=7194342&amp;Result=3","7194342")</f>
        <v>0</v>
      </c>
      <c r="B5884" t="s">
        <v>414</v>
      </c>
      <c r="C5884" t="s">
        <v>9376</v>
      </c>
      <c r="E5884" t="s">
        <v>24277</v>
      </c>
      <c r="F5884" t="s">
        <v>32606</v>
      </c>
      <c r="G5884" t="s">
        <v>32613</v>
      </c>
      <c r="H5884" t="s">
        <v>14201</v>
      </c>
      <c r="I5884" t="s">
        <v>7677</v>
      </c>
      <c r="J5884" t="s">
        <v>36589</v>
      </c>
      <c r="K5884" t="s">
        <v>42624</v>
      </c>
      <c r="M5884" t="s">
        <v>43318</v>
      </c>
      <c r="N5884" t="s">
        <v>47304</v>
      </c>
      <c r="O5884" t="s">
        <v>47305</v>
      </c>
      <c r="P5884">
        <v>0</v>
      </c>
      <c r="Q5884">
        <v>5</v>
      </c>
      <c r="R5884" t="s">
        <v>47308</v>
      </c>
      <c r="S5884" t="s">
        <v>47429</v>
      </c>
      <c r="T5884" t="s">
        <v>48987</v>
      </c>
      <c r="U5884" t="s">
        <v>54473</v>
      </c>
      <c r="W5884" t="s">
        <v>43318</v>
      </c>
      <c r="X5884" t="s">
        <v>47309</v>
      </c>
    </row>
    <row r="5885" spans="1:24">
      <c r="A5885">
        <f>HYPERLINK("https://www.philgeps.gov.ph/GEPSNONPILOT/Tender/SplashBidNoticeAbstractUI.aspx?menuIndex=3&amp;refID=7193860&amp;Result=3","7193860")</f>
        <v>0</v>
      </c>
      <c r="B5885" t="s">
        <v>1999</v>
      </c>
      <c r="C5885" t="s">
        <v>9377</v>
      </c>
      <c r="D5885" t="s">
        <v>19053</v>
      </c>
      <c r="E5885" t="s">
        <v>24278</v>
      </c>
      <c r="F5885" t="s">
        <v>32606</v>
      </c>
      <c r="G5885" t="s">
        <v>32613</v>
      </c>
      <c r="H5885" t="s">
        <v>32623</v>
      </c>
      <c r="I5885" t="s">
        <v>32659</v>
      </c>
      <c r="J5885" t="s">
        <v>36590</v>
      </c>
      <c r="K5885" t="s">
        <v>42636</v>
      </c>
      <c r="M5885" t="s">
        <v>45068</v>
      </c>
      <c r="N5885" t="s">
        <v>47304</v>
      </c>
      <c r="O5885" t="s">
        <v>47305</v>
      </c>
      <c r="P5885">
        <v>0</v>
      </c>
      <c r="Q5885">
        <v>2</v>
      </c>
      <c r="R5885" t="s">
        <v>47309</v>
      </c>
      <c r="S5885" t="s">
        <v>47432</v>
      </c>
      <c r="T5885" t="s">
        <v>49104</v>
      </c>
      <c r="U5885" t="s">
        <v>54474</v>
      </c>
      <c r="W5885" t="s">
        <v>45068</v>
      </c>
      <c r="X5885" t="s">
        <v>47310</v>
      </c>
    </row>
    <row r="5886" spans="1:24">
      <c r="A5886">
        <f>HYPERLINK("https://www.philgeps.gov.ph/GEPSNONPILOT/Tender/SplashBidNoticeAbstractUI.aspx?menuIndex=3&amp;refID=7193832&amp;Result=3","7193832")</f>
        <v>0</v>
      </c>
      <c r="B5886" t="s">
        <v>2000</v>
      </c>
      <c r="C5886" t="s">
        <v>9378</v>
      </c>
      <c r="D5886" t="s">
        <v>19019</v>
      </c>
      <c r="E5886" t="s">
        <v>24068</v>
      </c>
      <c r="F5886" t="s">
        <v>32606</v>
      </c>
      <c r="G5886" t="s">
        <v>32619</v>
      </c>
      <c r="H5886" t="s">
        <v>14201</v>
      </c>
      <c r="I5886" t="s">
        <v>6298</v>
      </c>
      <c r="J5886" t="s">
        <v>36591</v>
      </c>
      <c r="K5886" t="s">
        <v>42625</v>
      </c>
      <c r="M5886" t="s">
        <v>45069</v>
      </c>
      <c r="N5886" t="s">
        <v>47304</v>
      </c>
      <c r="O5886" t="s">
        <v>47305</v>
      </c>
      <c r="Q5886">
        <v>1</v>
      </c>
      <c r="R5886" t="s">
        <v>47309</v>
      </c>
      <c r="S5886" t="s">
        <v>47434</v>
      </c>
      <c r="T5886" t="s">
        <v>49311</v>
      </c>
      <c r="U5886" t="s">
        <v>54475</v>
      </c>
      <c r="V5886" t="s">
        <v>62704</v>
      </c>
      <c r="W5886" t="s">
        <v>45069</v>
      </c>
      <c r="X5886" t="s">
        <v>47310</v>
      </c>
    </row>
    <row r="5887" spans="1:24">
      <c r="A5887">
        <f>HYPERLINK("https://www.philgeps.gov.ph/GEPSNONPILOT/Tender/SplashBidNoticeAbstractUI.aspx?menuIndex=3&amp;refID=7193815&amp;Result=3","7193815")</f>
        <v>0</v>
      </c>
      <c r="B5887" t="s">
        <v>2001</v>
      </c>
      <c r="C5887" t="s">
        <v>9379</v>
      </c>
      <c r="D5887" t="s">
        <v>18993</v>
      </c>
      <c r="E5887" t="s">
        <v>19310</v>
      </c>
      <c r="F5887" t="s">
        <v>32606</v>
      </c>
      <c r="G5887" t="s">
        <v>32613</v>
      </c>
      <c r="H5887" t="s">
        <v>14201</v>
      </c>
      <c r="I5887" t="s">
        <v>32632</v>
      </c>
      <c r="J5887" t="s">
        <v>32789</v>
      </c>
      <c r="K5887" t="s">
        <v>42630</v>
      </c>
      <c r="M5887" t="s">
        <v>45070</v>
      </c>
      <c r="N5887" t="s">
        <v>47304</v>
      </c>
      <c r="O5887" t="s">
        <v>47305</v>
      </c>
      <c r="P5887">
        <v>0</v>
      </c>
      <c r="Q5887">
        <v>4</v>
      </c>
      <c r="R5887" t="s">
        <v>47309</v>
      </c>
      <c r="S5887" t="s">
        <v>47432</v>
      </c>
      <c r="T5887" t="s">
        <v>49002</v>
      </c>
      <c r="U5887" t="s">
        <v>54476</v>
      </c>
      <c r="V5887" t="s">
        <v>63196</v>
      </c>
      <c r="W5887" t="s">
        <v>45070</v>
      </c>
      <c r="X5887" t="s">
        <v>47310</v>
      </c>
    </row>
    <row r="5888" spans="1:24">
      <c r="A5888">
        <f>HYPERLINK("https://www.philgeps.gov.ph/GEPSNONPILOT/Tender/SplashBidNoticeAbstractUI.aspx?menuIndex=3&amp;refID=7194238&amp;Result=3","7194238")</f>
        <v>0</v>
      </c>
      <c r="B5888" t="s">
        <v>1951</v>
      </c>
      <c r="C5888" t="s">
        <v>9380</v>
      </c>
      <c r="D5888" t="s">
        <v>19007</v>
      </c>
      <c r="E5888" t="s">
        <v>24279</v>
      </c>
      <c r="F5888" t="s">
        <v>32606</v>
      </c>
      <c r="G5888" t="s">
        <v>32613</v>
      </c>
      <c r="H5888" t="s">
        <v>32623</v>
      </c>
      <c r="I5888" t="s">
        <v>17648</v>
      </c>
      <c r="J5888" t="s">
        <v>36592</v>
      </c>
      <c r="K5888" t="s">
        <v>42648</v>
      </c>
      <c r="M5888" t="s">
        <v>45012</v>
      </c>
      <c r="N5888" t="s">
        <v>47304</v>
      </c>
      <c r="O5888" t="s">
        <v>47305</v>
      </c>
      <c r="P5888">
        <v>0</v>
      </c>
      <c r="Q5888">
        <v>4</v>
      </c>
      <c r="R5888" t="s">
        <v>47308</v>
      </c>
      <c r="S5888" t="s">
        <v>47429</v>
      </c>
      <c r="T5888" t="s">
        <v>49108</v>
      </c>
      <c r="U5888" t="s">
        <v>54477</v>
      </c>
      <c r="W5888" t="s">
        <v>45012</v>
      </c>
      <c r="X5888" t="s">
        <v>47309</v>
      </c>
    </row>
    <row r="5889" spans="1:24">
      <c r="A5889">
        <f>HYPERLINK("https://www.philgeps.gov.ph/GEPSNONPILOT/Tender/SplashBidNoticeAbstractUI.aspx?menuIndex=3&amp;refID=7193812&amp;Result=3","7193812")</f>
        <v>0</v>
      </c>
      <c r="B5889" t="s">
        <v>2001</v>
      </c>
      <c r="C5889" t="s">
        <v>9381</v>
      </c>
      <c r="D5889" t="s">
        <v>18993</v>
      </c>
      <c r="E5889" t="s">
        <v>19311</v>
      </c>
      <c r="F5889" t="s">
        <v>32606</v>
      </c>
      <c r="G5889" t="s">
        <v>32613</v>
      </c>
      <c r="H5889" t="s">
        <v>14201</v>
      </c>
      <c r="I5889" t="s">
        <v>32636</v>
      </c>
      <c r="J5889" t="s">
        <v>32789</v>
      </c>
      <c r="K5889" t="s">
        <v>42630</v>
      </c>
      <c r="M5889" t="s">
        <v>45070</v>
      </c>
      <c r="N5889" t="s">
        <v>47304</v>
      </c>
      <c r="O5889" t="s">
        <v>47305</v>
      </c>
      <c r="P5889">
        <v>0</v>
      </c>
      <c r="Q5889">
        <v>0</v>
      </c>
      <c r="R5889" t="s">
        <v>47309</v>
      </c>
      <c r="S5889" t="s">
        <v>47432</v>
      </c>
      <c r="T5889" t="s">
        <v>49002</v>
      </c>
      <c r="U5889" t="s">
        <v>54478</v>
      </c>
      <c r="V5889" t="s">
        <v>63196</v>
      </c>
      <c r="W5889" t="s">
        <v>45070</v>
      </c>
      <c r="X5889" t="s">
        <v>47310</v>
      </c>
    </row>
    <row r="5890" spans="1:24">
      <c r="A5890">
        <f>HYPERLINK("https://www.philgeps.gov.ph/GEPSNONPILOT/Tender/SplashBidNoticeAbstractUI.aspx?menuIndex=3&amp;refID=7193896&amp;Result=3","7193896")</f>
        <v>0</v>
      </c>
      <c r="B5890" t="s">
        <v>293</v>
      </c>
      <c r="C5890" t="s">
        <v>9372</v>
      </c>
      <c r="D5890" t="s">
        <v>19015</v>
      </c>
      <c r="E5890" t="s">
        <v>24280</v>
      </c>
      <c r="F5890" t="s">
        <v>32607</v>
      </c>
      <c r="G5890" t="s">
        <v>32619</v>
      </c>
      <c r="H5890" t="s">
        <v>14201</v>
      </c>
      <c r="I5890" t="s">
        <v>6298</v>
      </c>
      <c r="J5890" t="s">
        <v>32995</v>
      </c>
      <c r="K5890" t="s">
        <v>42623</v>
      </c>
      <c r="M5890" t="s">
        <v>43195</v>
      </c>
      <c r="N5890" t="s">
        <v>47304</v>
      </c>
      <c r="O5890" t="s">
        <v>47305</v>
      </c>
      <c r="P5890">
        <v>0</v>
      </c>
      <c r="Q5890">
        <v>1</v>
      </c>
      <c r="R5890" t="s">
        <v>47309</v>
      </c>
      <c r="S5890" t="s">
        <v>47432</v>
      </c>
      <c r="T5890" t="s">
        <v>49071</v>
      </c>
      <c r="U5890" t="s">
        <v>54479</v>
      </c>
      <c r="W5890" t="s">
        <v>43195</v>
      </c>
      <c r="X5890" t="s">
        <v>47310</v>
      </c>
    </row>
    <row r="5891" spans="1:24">
      <c r="A5891">
        <f>HYPERLINK("https://www.philgeps.gov.ph/GEPSNONPILOT/Tender/SplashBidNoticeAbstractUI.aspx?menuIndex=3&amp;refID=7193810&amp;Result=3","7193810")</f>
        <v>0</v>
      </c>
      <c r="B5891" t="s">
        <v>2001</v>
      </c>
      <c r="C5891" t="s">
        <v>9382</v>
      </c>
      <c r="D5891" t="s">
        <v>18993</v>
      </c>
      <c r="E5891" t="s">
        <v>19311</v>
      </c>
      <c r="F5891" t="s">
        <v>32606</v>
      </c>
      <c r="G5891" t="s">
        <v>32613</v>
      </c>
      <c r="H5891" t="s">
        <v>14201</v>
      </c>
      <c r="I5891" t="s">
        <v>6298</v>
      </c>
      <c r="J5891" t="s">
        <v>32981</v>
      </c>
      <c r="K5891" t="s">
        <v>42632</v>
      </c>
      <c r="M5891" t="s">
        <v>45070</v>
      </c>
      <c r="N5891" t="s">
        <v>47304</v>
      </c>
      <c r="O5891" t="s">
        <v>47305</v>
      </c>
      <c r="P5891">
        <v>0</v>
      </c>
      <c r="Q5891">
        <v>0</v>
      </c>
      <c r="R5891" t="s">
        <v>47309</v>
      </c>
      <c r="S5891" t="s">
        <v>47432</v>
      </c>
      <c r="T5891" t="s">
        <v>49002</v>
      </c>
      <c r="U5891" t="s">
        <v>54480</v>
      </c>
      <c r="V5891" t="s">
        <v>63196</v>
      </c>
      <c r="W5891" t="s">
        <v>45070</v>
      </c>
      <c r="X5891" t="s">
        <v>47310</v>
      </c>
    </row>
    <row r="5892" spans="1:24">
      <c r="A5892">
        <f>HYPERLINK("https://www.philgeps.gov.ph/GEPSNONPILOT/Tender/SplashBidNoticeAbstractUI.aspx?menuIndex=3&amp;refID=7193807&amp;Result=3","7193807")</f>
        <v>0</v>
      </c>
      <c r="B5892" t="s">
        <v>2001</v>
      </c>
      <c r="C5892" t="s">
        <v>9383</v>
      </c>
      <c r="D5892" t="s">
        <v>18993</v>
      </c>
      <c r="E5892" t="s">
        <v>20959</v>
      </c>
      <c r="F5892" t="s">
        <v>32606</v>
      </c>
      <c r="G5892" t="s">
        <v>32613</v>
      </c>
      <c r="H5892" t="s">
        <v>14201</v>
      </c>
      <c r="I5892" t="s">
        <v>6298</v>
      </c>
      <c r="J5892" t="s">
        <v>32981</v>
      </c>
      <c r="K5892" t="s">
        <v>42632</v>
      </c>
      <c r="M5892" t="s">
        <v>45070</v>
      </c>
      <c r="N5892" t="s">
        <v>47304</v>
      </c>
      <c r="O5892" t="s">
        <v>47305</v>
      </c>
      <c r="P5892">
        <v>0</v>
      </c>
      <c r="Q5892">
        <v>3</v>
      </c>
      <c r="R5892" t="s">
        <v>47309</v>
      </c>
      <c r="S5892" t="s">
        <v>47432</v>
      </c>
      <c r="T5892" t="s">
        <v>49002</v>
      </c>
      <c r="U5892" t="s">
        <v>54481</v>
      </c>
      <c r="V5892" t="s">
        <v>63197</v>
      </c>
      <c r="W5892" t="s">
        <v>45070</v>
      </c>
      <c r="X5892" t="s">
        <v>47310</v>
      </c>
    </row>
    <row r="5893" spans="1:24">
      <c r="A5893">
        <f>HYPERLINK("https://www.philgeps.gov.ph/GEPSNONPILOT/Tender/SplashBidNoticeAbstractUI.aspx?menuIndex=3&amp;refID=7193806&amp;Result=3","7193806")</f>
        <v>0</v>
      </c>
      <c r="B5893" t="s">
        <v>2001</v>
      </c>
      <c r="C5893" t="s">
        <v>9384</v>
      </c>
      <c r="D5893" t="s">
        <v>18993</v>
      </c>
      <c r="E5893" t="s">
        <v>20606</v>
      </c>
      <c r="F5893" t="s">
        <v>32606</v>
      </c>
      <c r="G5893" t="s">
        <v>32613</v>
      </c>
      <c r="H5893" t="s">
        <v>14201</v>
      </c>
      <c r="I5893" t="s">
        <v>32636</v>
      </c>
      <c r="J5893" t="s">
        <v>32923</v>
      </c>
      <c r="K5893" t="s">
        <v>42630</v>
      </c>
      <c r="M5893" t="s">
        <v>45070</v>
      </c>
      <c r="N5893" t="s">
        <v>47304</v>
      </c>
      <c r="O5893" t="s">
        <v>47305</v>
      </c>
      <c r="P5893">
        <v>0</v>
      </c>
      <c r="Q5893">
        <v>0</v>
      </c>
      <c r="R5893" t="s">
        <v>47309</v>
      </c>
      <c r="S5893" t="s">
        <v>47432</v>
      </c>
      <c r="T5893" t="s">
        <v>49002</v>
      </c>
      <c r="U5893" t="s">
        <v>54482</v>
      </c>
      <c r="V5893" t="s">
        <v>63198</v>
      </c>
      <c r="W5893" t="s">
        <v>45070</v>
      </c>
      <c r="X5893" t="s">
        <v>47310</v>
      </c>
    </row>
    <row r="5894" spans="1:24">
      <c r="A5894">
        <f>HYPERLINK("https://www.philgeps.gov.ph/GEPSNONPILOT/Tender/SplashBidNoticeAbstractUI.aspx?menuIndex=3&amp;refID=7193805&amp;Result=3","7193805")</f>
        <v>0</v>
      </c>
      <c r="B5894" t="s">
        <v>903</v>
      </c>
      <c r="C5894" t="s">
        <v>9385</v>
      </c>
      <c r="D5894" t="s">
        <v>19049</v>
      </c>
      <c r="E5894" t="s">
        <v>24281</v>
      </c>
      <c r="F5894" t="s">
        <v>32606</v>
      </c>
      <c r="G5894" t="s">
        <v>32615</v>
      </c>
      <c r="H5894" t="s">
        <v>14201</v>
      </c>
      <c r="I5894" t="s">
        <v>32629</v>
      </c>
      <c r="J5894" t="s">
        <v>36593</v>
      </c>
      <c r="K5894" t="s">
        <v>42625</v>
      </c>
      <c r="M5894" t="s">
        <v>45071</v>
      </c>
      <c r="N5894" t="s">
        <v>47304</v>
      </c>
      <c r="O5894" t="s">
        <v>47305</v>
      </c>
      <c r="P5894">
        <v>0</v>
      </c>
      <c r="Q5894">
        <v>0</v>
      </c>
      <c r="R5894" t="s">
        <v>47309</v>
      </c>
      <c r="S5894" t="s">
        <v>47432</v>
      </c>
      <c r="T5894" t="s">
        <v>49221</v>
      </c>
      <c r="U5894" t="s">
        <v>54483</v>
      </c>
      <c r="W5894" t="s">
        <v>45071</v>
      </c>
      <c r="X5894" t="s">
        <v>47310</v>
      </c>
    </row>
    <row r="5895" spans="1:24">
      <c r="A5895">
        <f>HYPERLINK("https://www.philgeps.gov.ph/GEPSNONPILOT/Tender/SplashBidNoticeAbstractUI.aspx?menuIndex=3&amp;refID=7193817&amp;Result=3","7193817")</f>
        <v>0</v>
      </c>
      <c r="B5895" t="s">
        <v>2001</v>
      </c>
      <c r="C5895" t="s">
        <v>9386</v>
      </c>
      <c r="D5895" t="s">
        <v>18993</v>
      </c>
      <c r="E5895" t="s">
        <v>19327</v>
      </c>
      <c r="F5895" t="s">
        <v>32606</v>
      </c>
      <c r="G5895" t="s">
        <v>32613</v>
      </c>
      <c r="H5895" t="s">
        <v>14201</v>
      </c>
      <c r="I5895" t="s">
        <v>4678</v>
      </c>
      <c r="J5895" t="s">
        <v>33102</v>
      </c>
      <c r="K5895" t="s">
        <v>42630</v>
      </c>
      <c r="M5895" t="s">
        <v>45070</v>
      </c>
      <c r="N5895" t="s">
        <v>47304</v>
      </c>
      <c r="O5895" t="s">
        <v>47305</v>
      </c>
      <c r="P5895">
        <v>0</v>
      </c>
      <c r="Q5895">
        <v>2</v>
      </c>
      <c r="R5895" t="s">
        <v>47309</v>
      </c>
      <c r="S5895" t="s">
        <v>47432</v>
      </c>
      <c r="T5895" t="s">
        <v>49002</v>
      </c>
      <c r="U5895" t="s">
        <v>54484</v>
      </c>
      <c r="V5895" t="s">
        <v>63196</v>
      </c>
      <c r="W5895" t="s">
        <v>45070</v>
      </c>
      <c r="X5895" t="s">
        <v>47310</v>
      </c>
    </row>
    <row r="5896" spans="1:24">
      <c r="A5896">
        <f>HYPERLINK("https://www.philgeps.gov.ph/GEPSNONPILOT/Tender/SplashBidNoticeAbstractUI.aspx?menuIndex=3&amp;refID=7194339&amp;Result=3","7194339")</f>
        <v>0</v>
      </c>
      <c r="B5896" t="s">
        <v>1985</v>
      </c>
      <c r="C5896" t="s">
        <v>9387</v>
      </c>
      <c r="E5896" t="s">
        <v>24282</v>
      </c>
      <c r="F5896" t="s">
        <v>32606</v>
      </c>
      <c r="G5896" t="s">
        <v>32614</v>
      </c>
      <c r="H5896" t="s">
        <v>32623</v>
      </c>
      <c r="I5896" t="s">
        <v>17648</v>
      </c>
      <c r="J5896" t="s">
        <v>36594</v>
      </c>
      <c r="K5896" t="s">
        <v>42624</v>
      </c>
      <c r="M5896" t="s">
        <v>45053</v>
      </c>
      <c r="N5896" t="s">
        <v>47304</v>
      </c>
      <c r="O5896" t="s">
        <v>47305</v>
      </c>
      <c r="P5896">
        <v>0</v>
      </c>
      <c r="Q5896">
        <v>0</v>
      </c>
      <c r="R5896" t="s">
        <v>47308</v>
      </c>
      <c r="S5896" t="s">
        <v>47429</v>
      </c>
      <c r="T5896" t="s">
        <v>49165</v>
      </c>
      <c r="U5896" t="s">
        <v>54485</v>
      </c>
      <c r="V5896" t="s">
        <v>63199</v>
      </c>
      <c r="W5896" t="s">
        <v>45053</v>
      </c>
      <c r="X5896" t="s">
        <v>47309</v>
      </c>
    </row>
    <row r="5897" spans="1:24">
      <c r="A5897">
        <f>HYPERLINK("https://www.philgeps.gov.ph/GEPSNONPILOT/Tender/SplashBidNoticeAbstractUI.aspx?menuIndex=3&amp;refID=7194337&amp;Result=3","7194337")</f>
        <v>0</v>
      </c>
      <c r="B5897" t="s">
        <v>414</v>
      </c>
      <c r="C5897" t="s">
        <v>9388</v>
      </c>
      <c r="E5897" t="s">
        <v>24283</v>
      </c>
      <c r="F5897" t="s">
        <v>32606</v>
      </c>
      <c r="G5897" t="s">
        <v>32613</v>
      </c>
      <c r="H5897" t="s">
        <v>14201</v>
      </c>
      <c r="I5897" t="s">
        <v>7677</v>
      </c>
      <c r="J5897" t="s">
        <v>36595</v>
      </c>
      <c r="K5897" t="s">
        <v>42624</v>
      </c>
      <c r="M5897" t="s">
        <v>43318</v>
      </c>
      <c r="N5897" t="s">
        <v>47304</v>
      </c>
      <c r="O5897" t="s">
        <v>47305</v>
      </c>
      <c r="P5897">
        <v>0</v>
      </c>
      <c r="Q5897">
        <v>2</v>
      </c>
      <c r="R5897" t="s">
        <v>47308</v>
      </c>
      <c r="S5897" t="s">
        <v>47429</v>
      </c>
      <c r="T5897" t="s">
        <v>48987</v>
      </c>
      <c r="U5897" t="s">
        <v>54486</v>
      </c>
      <c r="W5897" t="s">
        <v>43318</v>
      </c>
      <c r="X5897" t="s">
        <v>47309</v>
      </c>
    </row>
    <row r="5898" spans="1:24">
      <c r="A5898">
        <f>HYPERLINK("https://www.philgeps.gov.ph/GEPSNONPILOT/Tender/SplashBidNoticeAbstractUI.aspx?menuIndex=3&amp;refID=7193811&amp;Result=3","7193811")</f>
        <v>0</v>
      </c>
      <c r="B5898" t="s">
        <v>2002</v>
      </c>
      <c r="C5898" t="s">
        <v>9389</v>
      </c>
      <c r="E5898" t="s">
        <v>21944</v>
      </c>
      <c r="F5898" t="s">
        <v>32606</v>
      </c>
      <c r="G5898" t="s">
        <v>32613</v>
      </c>
      <c r="H5898" t="s">
        <v>14201</v>
      </c>
      <c r="I5898" t="s">
        <v>6931</v>
      </c>
      <c r="J5898" t="s">
        <v>36596</v>
      </c>
      <c r="K5898" t="s">
        <v>42624</v>
      </c>
      <c r="M5898" t="s">
        <v>45072</v>
      </c>
      <c r="N5898" t="s">
        <v>47304</v>
      </c>
      <c r="O5898" t="s">
        <v>47305</v>
      </c>
      <c r="P5898">
        <v>0</v>
      </c>
      <c r="Q5898">
        <v>1</v>
      </c>
      <c r="R5898" t="s">
        <v>47309</v>
      </c>
      <c r="S5898" t="s">
        <v>47432</v>
      </c>
      <c r="T5898" t="s">
        <v>49087</v>
      </c>
      <c r="U5898" t="s">
        <v>54487</v>
      </c>
      <c r="W5898" t="s">
        <v>45072</v>
      </c>
      <c r="X5898" t="s">
        <v>47310</v>
      </c>
    </row>
    <row r="5899" spans="1:24">
      <c r="A5899">
        <f>HYPERLINK("https://www.philgeps.gov.ph/GEPSNONPILOT/Tender/SplashBidNoticeAbstractUI.aspx?menuIndex=3&amp;refID=7194332&amp;Result=3","7194332")</f>
        <v>0</v>
      </c>
      <c r="B5899" t="s">
        <v>2003</v>
      </c>
      <c r="C5899" t="s">
        <v>9390</v>
      </c>
      <c r="D5899" t="s">
        <v>19016</v>
      </c>
      <c r="E5899" t="s">
        <v>23644</v>
      </c>
      <c r="F5899" t="s">
        <v>32606</v>
      </c>
      <c r="G5899" t="s">
        <v>32613</v>
      </c>
      <c r="H5899" t="s">
        <v>14201</v>
      </c>
      <c r="I5899" t="s">
        <v>6298</v>
      </c>
      <c r="J5899" t="s">
        <v>32752</v>
      </c>
      <c r="K5899" t="s">
        <v>42630</v>
      </c>
      <c r="M5899" t="s">
        <v>45073</v>
      </c>
      <c r="N5899" t="s">
        <v>47304</v>
      </c>
      <c r="O5899" t="s">
        <v>47305</v>
      </c>
      <c r="P5899">
        <v>0</v>
      </c>
      <c r="Q5899">
        <v>1</v>
      </c>
      <c r="R5899" t="s">
        <v>47308</v>
      </c>
      <c r="S5899" t="s">
        <v>47429</v>
      </c>
      <c r="T5899" t="s">
        <v>48972</v>
      </c>
      <c r="U5899" t="s">
        <v>54488</v>
      </c>
      <c r="W5899" t="s">
        <v>45073</v>
      </c>
      <c r="X5899" t="s">
        <v>47309</v>
      </c>
    </row>
    <row r="5900" spans="1:24">
      <c r="A5900">
        <f>HYPERLINK("https://www.philgeps.gov.ph/GEPSNONPILOT/Tender/SplashBidNoticeAbstractUI.aspx?menuIndex=3&amp;refID=7194313&amp;Result=3","7194313")</f>
        <v>0</v>
      </c>
      <c r="B5900" t="s">
        <v>2004</v>
      </c>
      <c r="C5900" t="s">
        <v>9114</v>
      </c>
      <c r="D5900" t="s">
        <v>18988</v>
      </c>
      <c r="E5900" t="s">
        <v>19372</v>
      </c>
      <c r="F5900" t="s">
        <v>32606</v>
      </c>
      <c r="G5900" t="s">
        <v>32614</v>
      </c>
      <c r="H5900" t="s">
        <v>14201</v>
      </c>
      <c r="I5900" t="s">
        <v>4114</v>
      </c>
      <c r="J5900" t="s">
        <v>36597</v>
      </c>
      <c r="K5900" t="s">
        <v>42623</v>
      </c>
      <c r="M5900" t="s">
        <v>45074</v>
      </c>
      <c r="N5900" t="s">
        <v>47304</v>
      </c>
      <c r="O5900" t="s">
        <v>47305</v>
      </c>
      <c r="P5900">
        <v>0</v>
      </c>
      <c r="Q5900">
        <v>1</v>
      </c>
      <c r="R5900" t="s">
        <v>47308</v>
      </c>
      <c r="S5900" t="s">
        <v>47429</v>
      </c>
      <c r="T5900" t="s">
        <v>48975</v>
      </c>
      <c r="U5900" t="s">
        <v>54489</v>
      </c>
      <c r="V5900" t="s">
        <v>63200</v>
      </c>
      <c r="W5900" t="s">
        <v>45074</v>
      </c>
      <c r="X5900" t="s">
        <v>47309</v>
      </c>
    </row>
    <row r="5901" spans="1:24">
      <c r="A5901">
        <f>HYPERLINK("https://www.philgeps.gov.ph/GEPSNONPILOT/Tender/SplashBidNoticeAbstractUI.aspx?menuIndex=3&amp;refID=7193804&amp;Result=3","7193804")</f>
        <v>0</v>
      </c>
      <c r="B5901" t="s">
        <v>903</v>
      </c>
      <c r="C5901" t="s">
        <v>9391</v>
      </c>
      <c r="D5901" t="s">
        <v>19049</v>
      </c>
      <c r="E5901" t="s">
        <v>9391</v>
      </c>
      <c r="F5901" t="s">
        <v>32606</v>
      </c>
      <c r="G5901" t="s">
        <v>32615</v>
      </c>
      <c r="H5901" t="s">
        <v>14201</v>
      </c>
      <c r="I5901" t="s">
        <v>8682</v>
      </c>
      <c r="J5901" t="s">
        <v>34077</v>
      </c>
      <c r="K5901" t="s">
        <v>42631</v>
      </c>
      <c r="M5901" t="s">
        <v>45071</v>
      </c>
      <c r="N5901" t="s">
        <v>47304</v>
      </c>
      <c r="O5901" t="s">
        <v>47305</v>
      </c>
      <c r="P5901">
        <v>0</v>
      </c>
      <c r="Q5901">
        <v>2</v>
      </c>
      <c r="R5901" t="s">
        <v>47309</v>
      </c>
      <c r="S5901" t="s">
        <v>47432</v>
      </c>
      <c r="T5901" t="s">
        <v>49221</v>
      </c>
      <c r="U5901" t="s">
        <v>54490</v>
      </c>
      <c r="W5901" t="s">
        <v>45071</v>
      </c>
      <c r="X5901" t="s">
        <v>47310</v>
      </c>
    </row>
    <row r="5902" spans="1:24">
      <c r="A5902">
        <f>HYPERLINK("https://www.philgeps.gov.ph/GEPSNONPILOT/Tender/SplashBidNoticeAbstractUI.aspx?menuIndex=3&amp;refID=7145925&amp;Result=3","7145925")</f>
        <v>0</v>
      </c>
      <c r="B5902" t="s">
        <v>600</v>
      </c>
      <c r="C5902" t="s">
        <v>9392</v>
      </c>
      <c r="E5902" t="s">
        <v>24284</v>
      </c>
      <c r="F5902" t="s">
        <v>32606</v>
      </c>
      <c r="G5902" t="s">
        <v>32613</v>
      </c>
      <c r="H5902" t="s">
        <v>14201</v>
      </c>
      <c r="I5902" t="s">
        <v>32660</v>
      </c>
      <c r="J5902" t="s">
        <v>36598</v>
      </c>
      <c r="K5902" t="s">
        <v>42631</v>
      </c>
      <c r="M5902" t="s">
        <v>45063</v>
      </c>
      <c r="N5902" t="s">
        <v>47304</v>
      </c>
      <c r="O5902" t="s">
        <v>47305</v>
      </c>
      <c r="P5902">
        <v>0</v>
      </c>
      <c r="Q5902">
        <v>1</v>
      </c>
      <c r="R5902" t="s">
        <v>47309</v>
      </c>
      <c r="S5902" t="s">
        <v>47432</v>
      </c>
      <c r="T5902" t="s">
        <v>49009</v>
      </c>
      <c r="U5902" t="s">
        <v>54491</v>
      </c>
      <c r="W5902" t="s">
        <v>45063</v>
      </c>
      <c r="X5902" t="s">
        <v>47332</v>
      </c>
    </row>
    <row r="5903" spans="1:24">
      <c r="A5903">
        <f>HYPERLINK("https://www.philgeps.gov.ph/GEPSNONPILOT/Tender/SplashBidNoticeAbstractUI.aspx?menuIndex=3&amp;refID=7193936&amp;Result=3","7193936")</f>
        <v>0</v>
      </c>
      <c r="B5903" t="s">
        <v>1954</v>
      </c>
      <c r="C5903" t="s">
        <v>9393</v>
      </c>
      <c r="E5903" t="s">
        <v>24285</v>
      </c>
      <c r="F5903" t="s">
        <v>32606</v>
      </c>
      <c r="G5903" t="s">
        <v>32614</v>
      </c>
      <c r="H5903" t="s">
        <v>14201</v>
      </c>
      <c r="I5903" t="s">
        <v>32691</v>
      </c>
      <c r="J5903" t="s">
        <v>32951</v>
      </c>
      <c r="K5903" t="s">
        <v>42624</v>
      </c>
      <c r="M5903" t="s">
        <v>45015</v>
      </c>
      <c r="N5903" t="s">
        <v>47304</v>
      </c>
      <c r="O5903" t="s">
        <v>47305</v>
      </c>
      <c r="P5903">
        <v>0</v>
      </c>
      <c r="Q5903">
        <v>1</v>
      </c>
      <c r="R5903" t="s">
        <v>47309</v>
      </c>
      <c r="S5903" t="s">
        <v>47432</v>
      </c>
      <c r="T5903" t="s">
        <v>49000</v>
      </c>
      <c r="U5903" t="s">
        <v>54492</v>
      </c>
      <c r="W5903" t="s">
        <v>45015</v>
      </c>
      <c r="X5903" t="s">
        <v>47310</v>
      </c>
    </row>
    <row r="5904" spans="1:24">
      <c r="A5904">
        <f>HYPERLINK("https://www.philgeps.gov.ph/GEPSNONPILOT/Tender/SplashBidNoticeAbstractUI.aspx?menuIndex=3&amp;refID=7193809&amp;Result=3","7193809")</f>
        <v>0</v>
      </c>
      <c r="B5904" t="s">
        <v>2005</v>
      </c>
      <c r="C5904" t="s">
        <v>4129</v>
      </c>
      <c r="D5904" t="s">
        <v>19010</v>
      </c>
      <c r="E5904" t="s">
        <v>24286</v>
      </c>
      <c r="F5904" t="s">
        <v>32606</v>
      </c>
      <c r="G5904" t="s">
        <v>32619</v>
      </c>
      <c r="H5904" t="s">
        <v>14201</v>
      </c>
      <c r="I5904" t="s">
        <v>4120</v>
      </c>
      <c r="J5904" t="s">
        <v>33537</v>
      </c>
      <c r="K5904" t="s">
        <v>42624</v>
      </c>
      <c r="M5904" t="s">
        <v>45075</v>
      </c>
      <c r="N5904" t="s">
        <v>47304</v>
      </c>
      <c r="O5904" t="s">
        <v>47305</v>
      </c>
      <c r="P5904">
        <v>0</v>
      </c>
      <c r="Q5904">
        <v>0</v>
      </c>
      <c r="R5904" t="s">
        <v>47309</v>
      </c>
      <c r="S5904" t="s">
        <v>47432</v>
      </c>
      <c r="T5904" t="s">
        <v>49071</v>
      </c>
      <c r="U5904" t="s">
        <v>54493</v>
      </c>
      <c r="V5904" t="s">
        <v>63201</v>
      </c>
      <c r="W5904" t="s">
        <v>45075</v>
      </c>
      <c r="X5904" t="s">
        <v>47310</v>
      </c>
    </row>
    <row r="5905" spans="1:24">
      <c r="A5905">
        <f>HYPERLINK("https://www.philgeps.gov.ph/GEPSNONPILOT/Tender/SplashBidNoticeAbstractUI.aspx?menuIndex=3&amp;refID=7193934&amp;Result=3","7193934")</f>
        <v>0</v>
      </c>
      <c r="B5905" t="s">
        <v>1954</v>
      </c>
      <c r="C5905" t="s">
        <v>9394</v>
      </c>
      <c r="E5905" t="s">
        <v>24287</v>
      </c>
      <c r="F5905" t="s">
        <v>32606</v>
      </c>
      <c r="G5905" t="s">
        <v>32614</v>
      </c>
      <c r="H5905" t="s">
        <v>14201</v>
      </c>
      <c r="I5905" t="s">
        <v>32691</v>
      </c>
      <c r="J5905" t="s">
        <v>32951</v>
      </c>
      <c r="K5905" t="s">
        <v>42624</v>
      </c>
      <c r="M5905" t="s">
        <v>45015</v>
      </c>
      <c r="N5905" t="s">
        <v>47304</v>
      </c>
      <c r="O5905" t="s">
        <v>47305</v>
      </c>
      <c r="P5905">
        <v>0</v>
      </c>
      <c r="Q5905">
        <v>0</v>
      </c>
      <c r="R5905" t="s">
        <v>47309</v>
      </c>
      <c r="S5905" t="s">
        <v>47432</v>
      </c>
      <c r="T5905" t="s">
        <v>49000</v>
      </c>
      <c r="U5905" t="s">
        <v>54492</v>
      </c>
      <c r="W5905" t="s">
        <v>45015</v>
      </c>
      <c r="X5905" t="s">
        <v>47310</v>
      </c>
    </row>
    <row r="5906" spans="1:24">
      <c r="A5906">
        <f>HYPERLINK("https://www.philgeps.gov.ph/GEPSNONPILOT/Tender/SplashBidNoticeAbstractUI.aspx?menuIndex=3&amp;refID=7193932&amp;Result=3","7193932")</f>
        <v>0</v>
      </c>
      <c r="B5906" t="s">
        <v>1954</v>
      </c>
      <c r="C5906" t="s">
        <v>9395</v>
      </c>
      <c r="E5906" t="s">
        <v>24288</v>
      </c>
      <c r="F5906" t="s">
        <v>32606</v>
      </c>
      <c r="G5906" t="s">
        <v>32614</v>
      </c>
      <c r="H5906" t="s">
        <v>14201</v>
      </c>
      <c r="I5906" t="s">
        <v>32638</v>
      </c>
      <c r="J5906" t="s">
        <v>32949</v>
      </c>
      <c r="K5906" t="s">
        <v>42624</v>
      </c>
      <c r="M5906" t="s">
        <v>45015</v>
      </c>
      <c r="N5906" t="s">
        <v>47304</v>
      </c>
      <c r="O5906" t="s">
        <v>47305</v>
      </c>
      <c r="P5906">
        <v>0</v>
      </c>
      <c r="Q5906">
        <v>5</v>
      </c>
      <c r="R5906" t="s">
        <v>47309</v>
      </c>
      <c r="S5906" t="s">
        <v>47432</v>
      </c>
      <c r="T5906" t="s">
        <v>49000</v>
      </c>
      <c r="U5906" t="s">
        <v>54492</v>
      </c>
      <c r="W5906" t="s">
        <v>45015</v>
      </c>
      <c r="X5906" t="s">
        <v>47310</v>
      </c>
    </row>
    <row r="5907" spans="1:24">
      <c r="A5907">
        <f>HYPERLINK("https://www.philgeps.gov.ph/GEPSNONPILOT/Tender/SplashBidNoticeAbstractUI.aspx?menuIndex=3&amp;refID=7193931&amp;Result=3","7193931")</f>
        <v>0</v>
      </c>
      <c r="B5907" t="s">
        <v>1954</v>
      </c>
      <c r="C5907" t="s">
        <v>9396</v>
      </c>
      <c r="E5907" t="s">
        <v>24289</v>
      </c>
      <c r="F5907" t="s">
        <v>32606</v>
      </c>
      <c r="G5907" t="s">
        <v>32617</v>
      </c>
      <c r="H5907" t="s">
        <v>14201</v>
      </c>
      <c r="I5907" t="s">
        <v>4120</v>
      </c>
      <c r="J5907" t="s">
        <v>33695</v>
      </c>
      <c r="K5907" t="s">
        <v>42624</v>
      </c>
      <c r="M5907" t="s">
        <v>45015</v>
      </c>
      <c r="N5907" t="s">
        <v>47304</v>
      </c>
      <c r="O5907" t="s">
        <v>47305</v>
      </c>
      <c r="P5907">
        <v>0</v>
      </c>
      <c r="Q5907">
        <v>6</v>
      </c>
      <c r="R5907" t="s">
        <v>47309</v>
      </c>
      <c r="S5907" t="s">
        <v>47432</v>
      </c>
      <c r="T5907" t="s">
        <v>49000</v>
      </c>
      <c r="U5907" t="s">
        <v>54492</v>
      </c>
      <c r="W5907" t="s">
        <v>45015</v>
      </c>
      <c r="X5907" t="s">
        <v>47310</v>
      </c>
    </row>
    <row r="5908" spans="1:24">
      <c r="A5908">
        <f>HYPERLINK("https://www.philgeps.gov.ph/GEPSNONPILOT/Tender/SplashBidNoticeAbstractUI.aspx?menuIndex=3&amp;refID=7193828&amp;Result=3","7193828")</f>
        <v>0</v>
      </c>
      <c r="B5908" t="s">
        <v>2006</v>
      </c>
      <c r="C5908" t="s">
        <v>9397</v>
      </c>
      <c r="D5908" t="s">
        <v>19060</v>
      </c>
      <c r="E5908" t="s">
        <v>24290</v>
      </c>
      <c r="F5908" t="s">
        <v>32606</v>
      </c>
      <c r="G5908" t="s">
        <v>32613</v>
      </c>
      <c r="H5908" t="s">
        <v>32623</v>
      </c>
      <c r="I5908" t="s">
        <v>17648</v>
      </c>
      <c r="J5908" t="s">
        <v>36599</v>
      </c>
      <c r="K5908" t="s">
        <v>42631</v>
      </c>
      <c r="M5908" t="s">
        <v>45076</v>
      </c>
      <c r="N5908" t="s">
        <v>47304</v>
      </c>
      <c r="O5908" t="s">
        <v>47305</v>
      </c>
      <c r="P5908">
        <v>0</v>
      </c>
      <c r="Q5908">
        <v>0</v>
      </c>
      <c r="R5908" t="s">
        <v>47309</v>
      </c>
      <c r="S5908" t="s">
        <v>47432</v>
      </c>
      <c r="T5908" t="s">
        <v>49080</v>
      </c>
      <c r="U5908" t="s">
        <v>54494</v>
      </c>
      <c r="W5908" t="s">
        <v>45076</v>
      </c>
      <c r="X5908" t="s">
        <v>47310</v>
      </c>
    </row>
    <row r="5909" spans="1:24">
      <c r="A5909">
        <f>HYPERLINK("https://www.philgeps.gov.ph/GEPSNONPILOT/Tender/SplashBidNoticeAbstractUI.aspx?menuIndex=3&amp;refID=7193930&amp;Result=3","7193930")</f>
        <v>0</v>
      </c>
      <c r="B5909" t="s">
        <v>1691</v>
      </c>
      <c r="C5909" t="s">
        <v>9398</v>
      </c>
      <c r="D5909" t="s">
        <v>18993</v>
      </c>
      <c r="E5909" t="s">
        <v>24291</v>
      </c>
      <c r="F5909" t="s">
        <v>32606</v>
      </c>
      <c r="G5909" t="s">
        <v>32614</v>
      </c>
      <c r="H5909" t="s">
        <v>14201</v>
      </c>
      <c r="I5909" t="s">
        <v>32633</v>
      </c>
      <c r="J5909" t="s">
        <v>36600</v>
      </c>
      <c r="K5909" t="s">
        <v>42630</v>
      </c>
      <c r="M5909" t="s">
        <v>45077</v>
      </c>
      <c r="N5909" t="s">
        <v>47304</v>
      </c>
      <c r="O5909" t="s">
        <v>47305</v>
      </c>
      <c r="P5909">
        <v>0</v>
      </c>
      <c r="Q5909">
        <v>6</v>
      </c>
      <c r="R5909" t="s">
        <v>47309</v>
      </c>
      <c r="S5909" t="s">
        <v>47432</v>
      </c>
      <c r="T5909" t="s">
        <v>49269</v>
      </c>
      <c r="U5909" t="s">
        <v>54495</v>
      </c>
      <c r="W5909" t="s">
        <v>45077</v>
      </c>
      <c r="X5909" t="s">
        <v>47310</v>
      </c>
    </row>
    <row r="5910" spans="1:24">
      <c r="A5910">
        <f>HYPERLINK("https://www.philgeps.gov.ph/GEPSNONPILOT/Tender/SplashBidNoticeAbstractUI.aspx?menuIndex=3&amp;refID=7194336&amp;Result=3","7194336")</f>
        <v>0</v>
      </c>
      <c r="B5910" t="s">
        <v>2007</v>
      </c>
      <c r="C5910" t="s">
        <v>9399</v>
      </c>
      <c r="D5910" t="s">
        <v>18993</v>
      </c>
      <c r="E5910" t="s">
        <v>19786</v>
      </c>
      <c r="F5910" t="s">
        <v>32606</v>
      </c>
      <c r="G5910" t="s">
        <v>32619</v>
      </c>
      <c r="H5910" t="s">
        <v>14201</v>
      </c>
      <c r="I5910" t="s">
        <v>4120</v>
      </c>
      <c r="J5910" t="s">
        <v>33195</v>
      </c>
      <c r="K5910" t="s">
        <v>42623</v>
      </c>
      <c r="M5910" t="s">
        <v>45078</v>
      </c>
      <c r="N5910" t="s">
        <v>47304</v>
      </c>
      <c r="O5910" t="s">
        <v>47305</v>
      </c>
      <c r="P5910">
        <v>0</v>
      </c>
      <c r="Q5910">
        <v>5</v>
      </c>
      <c r="R5910" t="s">
        <v>47308</v>
      </c>
      <c r="S5910" t="s">
        <v>47429</v>
      </c>
      <c r="T5910" t="s">
        <v>49269</v>
      </c>
      <c r="U5910" t="s">
        <v>54496</v>
      </c>
      <c r="W5910" t="s">
        <v>45078</v>
      </c>
      <c r="X5910" t="s">
        <v>47309</v>
      </c>
    </row>
    <row r="5911" spans="1:24">
      <c r="A5911">
        <f>HYPERLINK("https://www.philgeps.gov.ph/GEPSNONPILOT/Tender/SplashBidNoticeAbstractUI.aspx?menuIndex=3&amp;refID=7193940&amp;Result=3","7193940")</f>
        <v>0</v>
      </c>
      <c r="B5911" t="s">
        <v>1954</v>
      </c>
      <c r="C5911" t="s">
        <v>9400</v>
      </c>
      <c r="E5911" t="s">
        <v>24292</v>
      </c>
      <c r="F5911" t="s">
        <v>32606</v>
      </c>
      <c r="G5911" t="s">
        <v>32614</v>
      </c>
      <c r="H5911" t="s">
        <v>14201</v>
      </c>
      <c r="I5911" t="s">
        <v>32638</v>
      </c>
      <c r="J5911" t="s">
        <v>32885</v>
      </c>
      <c r="K5911" t="s">
        <v>42624</v>
      </c>
      <c r="M5911" t="s">
        <v>45015</v>
      </c>
      <c r="N5911" t="s">
        <v>47304</v>
      </c>
      <c r="O5911" t="s">
        <v>47305</v>
      </c>
      <c r="P5911">
        <v>0</v>
      </c>
      <c r="Q5911">
        <v>19</v>
      </c>
      <c r="R5911" t="s">
        <v>47309</v>
      </c>
      <c r="S5911" t="s">
        <v>47432</v>
      </c>
      <c r="T5911" t="s">
        <v>49000</v>
      </c>
      <c r="U5911" t="s">
        <v>54492</v>
      </c>
      <c r="W5911" t="s">
        <v>45015</v>
      </c>
      <c r="X5911" t="s">
        <v>47310</v>
      </c>
    </row>
    <row r="5912" spans="1:24">
      <c r="A5912">
        <f>HYPERLINK("https://www.philgeps.gov.ph/GEPSNONPILOT/Tender/SplashBidNoticeAbstractUI.aspx?menuIndex=3&amp;refID=7193920&amp;Result=3","7193920")</f>
        <v>0</v>
      </c>
      <c r="B5912" t="s">
        <v>2008</v>
      </c>
      <c r="C5912" t="s">
        <v>9401</v>
      </c>
      <c r="D5912" t="s">
        <v>19011</v>
      </c>
      <c r="E5912" t="s">
        <v>24293</v>
      </c>
      <c r="F5912" t="s">
        <v>32606</v>
      </c>
      <c r="G5912" t="s">
        <v>32614</v>
      </c>
      <c r="H5912" t="s">
        <v>14201</v>
      </c>
      <c r="I5912" t="s">
        <v>32663</v>
      </c>
      <c r="J5912" t="s">
        <v>34102</v>
      </c>
      <c r="K5912" t="s">
        <v>42630</v>
      </c>
      <c r="M5912" t="s">
        <v>45079</v>
      </c>
      <c r="N5912" t="s">
        <v>47304</v>
      </c>
      <c r="O5912" t="s">
        <v>47305</v>
      </c>
      <c r="P5912">
        <v>0</v>
      </c>
      <c r="Q5912">
        <v>5</v>
      </c>
      <c r="R5912" t="s">
        <v>47309</v>
      </c>
      <c r="S5912" t="s">
        <v>47432</v>
      </c>
      <c r="T5912" t="s">
        <v>49269</v>
      </c>
      <c r="U5912" t="s">
        <v>54497</v>
      </c>
      <c r="W5912" t="s">
        <v>45079</v>
      </c>
      <c r="X5912" t="s">
        <v>47310</v>
      </c>
    </row>
    <row r="5913" spans="1:24">
      <c r="A5913">
        <f>HYPERLINK("https://www.philgeps.gov.ph/GEPSNONPILOT/Tender/SplashBidNoticeAbstractUI.aspx?menuIndex=3&amp;refID=7193942&amp;Result=3","7193942")</f>
        <v>0</v>
      </c>
      <c r="B5913" t="s">
        <v>1954</v>
      </c>
      <c r="C5913" t="s">
        <v>9402</v>
      </c>
      <c r="E5913" t="s">
        <v>24294</v>
      </c>
      <c r="F5913" t="s">
        <v>32606</v>
      </c>
      <c r="G5913" t="s">
        <v>32614</v>
      </c>
      <c r="H5913" t="s">
        <v>14201</v>
      </c>
      <c r="I5913" t="s">
        <v>32638</v>
      </c>
      <c r="J5913" t="s">
        <v>32799</v>
      </c>
      <c r="K5913" t="s">
        <v>42624</v>
      </c>
      <c r="M5913" t="s">
        <v>45015</v>
      </c>
      <c r="N5913" t="s">
        <v>47304</v>
      </c>
      <c r="O5913" t="s">
        <v>47305</v>
      </c>
      <c r="P5913">
        <v>0</v>
      </c>
      <c r="Q5913">
        <v>24</v>
      </c>
      <c r="R5913" t="s">
        <v>47309</v>
      </c>
      <c r="S5913" t="s">
        <v>47432</v>
      </c>
      <c r="T5913" t="s">
        <v>49000</v>
      </c>
      <c r="U5913" t="s">
        <v>54492</v>
      </c>
      <c r="W5913" t="s">
        <v>45015</v>
      </c>
      <c r="X5913" t="s">
        <v>47310</v>
      </c>
    </row>
    <row r="5914" spans="1:24">
      <c r="A5914">
        <f>HYPERLINK("https://www.philgeps.gov.ph/GEPSNONPILOT/Tender/SplashBidNoticeAbstractUI.aspx?menuIndex=3&amp;refID=7193904&amp;Result=3","7193904")</f>
        <v>0</v>
      </c>
      <c r="B5914" t="s">
        <v>2009</v>
      </c>
      <c r="C5914" t="s">
        <v>9403</v>
      </c>
      <c r="E5914" t="s">
        <v>24295</v>
      </c>
      <c r="F5914" t="s">
        <v>32606</v>
      </c>
      <c r="G5914" t="s">
        <v>32619</v>
      </c>
      <c r="H5914" t="s">
        <v>14201</v>
      </c>
      <c r="I5914" t="s">
        <v>7577</v>
      </c>
      <c r="J5914" t="s">
        <v>33748</v>
      </c>
      <c r="K5914" t="s">
        <v>42623</v>
      </c>
      <c r="M5914" t="s">
        <v>45080</v>
      </c>
      <c r="N5914" t="s">
        <v>47304</v>
      </c>
      <c r="O5914" t="s">
        <v>47305</v>
      </c>
      <c r="P5914">
        <v>0</v>
      </c>
      <c r="Q5914">
        <v>0</v>
      </c>
      <c r="R5914" t="s">
        <v>47309</v>
      </c>
      <c r="S5914" t="s">
        <v>47432</v>
      </c>
      <c r="T5914" t="s">
        <v>49268</v>
      </c>
      <c r="U5914" t="s">
        <v>54498</v>
      </c>
      <c r="W5914" t="s">
        <v>45080</v>
      </c>
      <c r="X5914" t="s">
        <v>47310</v>
      </c>
    </row>
    <row r="5915" spans="1:24">
      <c r="A5915">
        <f>HYPERLINK("https://www.philgeps.gov.ph/GEPSNONPILOT/Tender/SplashBidNoticeAbstractUI.aspx?menuIndex=3&amp;refID=7193985&amp;Result=3","7193985")</f>
        <v>0</v>
      </c>
      <c r="B5915" t="s">
        <v>948</v>
      </c>
      <c r="C5915" t="s">
        <v>9404</v>
      </c>
      <c r="D5915" t="s">
        <v>19058</v>
      </c>
      <c r="E5915" t="s">
        <v>24296</v>
      </c>
      <c r="F5915" t="s">
        <v>32606</v>
      </c>
      <c r="G5915" t="s">
        <v>32614</v>
      </c>
      <c r="H5915" t="s">
        <v>14201</v>
      </c>
      <c r="I5915" t="s">
        <v>32656</v>
      </c>
      <c r="J5915" t="s">
        <v>32995</v>
      </c>
      <c r="K5915" t="s">
        <v>42631</v>
      </c>
      <c r="M5915" t="s">
        <v>43890</v>
      </c>
      <c r="N5915" t="s">
        <v>47304</v>
      </c>
      <c r="O5915" t="s">
        <v>47305</v>
      </c>
      <c r="P5915">
        <v>0</v>
      </c>
      <c r="Q5915">
        <v>6</v>
      </c>
      <c r="R5915" t="s">
        <v>47309</v>
      </c>
      <c r="S5915" t="s">
        <v>47432</v>
      </c>
      <c r="T5915" t="s">
        <v>49071</v>
      </c>
      <c r="U5915" t="s">
        <v>54499</v>
      </c>
      <c r="W5915" t="s">
        <v>43890</v>
      </c>
      <c r="X5915" t="s">
        <v>47310</v>
      </c>
    </row>
    <row r="5916" spans="1:24">
      <c r="A5916">
        <f>HYPERLINK("https://www.philgeps.gov.ph/GEPSNONPILOT/Tender/SplashBidNoticeAbstractUI.aspx?menuIndex=3&amp;refID=7193929&amp;Result=3","7193929")</f>
        <v>0</v>
      </c>
      <c r="B5916" t="s">
        <v>1384</v>
      </c>
      <c r="C5916" t="s">
        <v>9405</v>
      </c>
      <c r="D5916" t="s">
        <v>18993</v>
      </c>
      <c r="E5916" t="s">
        <v>24297</v>
      </c>
      <c r="F5916" t="s">
        <v>32606</v>
      </c>
      <c r="G5916" t="s">
        <v>32614</v>
      </c>
      <c r="H5916" t="s">
        <v>32625</v>
      </c>
      <c r="I5916" t="s">
        <v>32652</v>
      </c>
      <c r="J5916" t="s">
        <v>32759</v>
      </c>
      <c r="K5916" t="s">
        <v>42622</v>
      </c>
      <c r="M5916" t="s">
        <v>45081</v>
      </c>
      <c r="N5916" t="s">
        <v>47304</v>
      </c>
      <c r="O5916" t="s">
        <v>47305</v>
      </c>
      <c r="P5916">
        <v>0</v>
      </c>
      <c r="Q5916">
        <v>1</v>
      </c>
      <c r="R5916" t="s">
        <v>47309</v>
      </c>
      <c r="S5916" t="s">
        <v>47432</v>
      </c>
      <c r="T5916" t="s">
        <v>49311</v>
      </c>
      <c r="U5916" t="s">
        <v>54500</v>
      </c>
      <c r="W5916" t="s">
        <v>45081</v>
      </c>
      <c r="X5916" t="s">
        <v>47310</v>
      </c>
    </row>
    <row r="5917" spans="1:24">
      <c r="A5917">
        <f>HYPERLINK("https://www.philgeps.gov.ph/GEPSNONPILOT/Tender/SplashBidNoticeAbstractUI.aspx?menuIndex=3&amp;refID=7193984&amp;Result=3","7193984")</f>
        <v>0</v>
      </c>
      <c r="B5917" t="s">
        <v>185</v>
      </c>
      <c r="C5917" t="s">
        <v>9406</v>
      </c>
      <c r="D5917" t="s">
        <v>19025</v>
      </c>
      <c r="E5917" t="s">
        <v>24103</v>
      </c>
      <c r="F5917" t="s">
        <v>32606</v>
      </c>
      <c r="G5917" t="s">
        <v>32619</v>
      </c>
      <c r="H5917" t="s">
        <v>14201</v>
      </c>
      <c r="I5917" t="s">
        <v>4120</v>
      </c>
      <c r="J5917" t="s">
        <v>36601</v>
      </c>
      <c r="K5917" t="s">
        <v>42622</v>
      </c>
      <c r="M5917" t="s">
        <v>43086</v>
      </c>
      <c r="N5917" t="s">
        <v>47304</v>
      </c>
      <c r="O5917" t="s">
        <v>47305</v>
      </c>
      <c r="P5917">
        <v>0</v>
      </c>
      <c r="Q5917">
        <v>0</v>
      </c>
      <c r="R5917" t="s">
        <v>47309</v>
      </c>
      <c r="S5917" t="s">
        <v>47432</v>
      </c>
      <c r="T5917" t="s">
        <v>49053</v>
      </c>
      <c r="U5917" t="s">
        <v>54501</v>
      </c>
      <c r="W5917" t="s">
        <v>43086</v>
      </c>
      <c r="X5917" t="s">
        <v>47310</v>
      </c>
    </row>
    <row r="5918" spans="1:24">
      <c r="A5918">
        <f>HYPERLINK("https://www.philgeps.gov.ph/GEPSNONPILOT/Tender/SplashBidNoticeAbstractUI.aspx?menuIndex=3&amp;refID=7193978&amp;Result=3","7193978")</f>
        <v>0</v>
      </c>
      <c r="B5918" t="s">
        <v>2010</v>
      </c>
      <c r="C5918" t="s">
        <v>9407</v>
      </c>
      <c r="D5918" t="s">
        <v>19055</v>
      </c>
      <c r="E5918" t="s">
        <v>24298</v>
      </c>
      <c r="F5918" t="s">
        <v>32606</v>
      </c>
      <c r="G5918" t="s">
        <v>32613</v>
      </c>
      <c r="H5918" t="s">
        <v>32623</v>
      </c>
      <c r="I5918" t="s">
        <v>17648</v>
      </c>
      <c r="J5918" t="s">
        <v>36602</v>
      </c>
      <c r="K5918" t="s">
        <v>42697</v>
      </c>
      <c r="M5918" t="s">
        <v>45082</v>
      </c>
      <c r="N5918" t="s">
        <v>47304</v>
      </c>
      <c r="O5918" t="s">
        <v>47305</v>
      </c>
      <c r="P5918">
        <v>0</v>
      </c>
      <c r="Q5918">
        <v>0</v>
      </c>
      <c r="R5918" t="s">
        <v>47309</v>
      </c>
      <c r="S5918" t="s">
        <v>47432</v>
      </c>
      <c r="T5918" t="s">
        <v>49087</v>
      </c>
      <c r="U5918" t="s">
        <v>54502</v>
      </c>
      <c r="W5918" t="s">
        <v>45082</v>
      </c>
      <c r="X5918" t="s">
        <v>47310</v>
      </c>
    </row>
    <row r="5919" spans="1:24">
      <c r="A5919">
        <f>HYPERLINK("https://www.philgeps.gov.ph/GEPSNONPILOT/Tender/SplashBidNoticeAbstractUI.aspx?menuIndex=3&amp;refID=7193976&amp;Result=3","7193976")</f>
        <v>0</v>
      </c>
      <c r="B5919" t="s">
        <v>165</v>
      </c>
      <c r="C5919" t="s">
        <v>9408</v>
      </c>
      <c r="D5919" t="s">
        <v>18993</v>
      </c>
      <c r="E5919" t="s">
        <v>24299</v>
      </c>
      <c r="F5919" t="s">
        <v>32606</v>
      </c>
      <c r="G5919" t="s">
        <v>32614</v>
      </c>
      <c r="H5919" t="s">
        <v>32624</v>
      </c>
      <c r="I5919" t="s">
        <v>4369</v>
      </c>
      <c r="J5919" t="s">
        <v>32778</v>
      </c>
      <c r="K5919" t="s">
        <v>42622</v>
      </c>
      <c r="M5919" t="s">
        <v>45039</v>
      </c>
      <c r="N5919" t="s">
        <v>47304</v>
      </c>
      <c r="O5919" t="s">
        <v>47305</v>
      </c>
      <c r="P5919">
        <v>0</v>
      </c>
      <c r="Q5919">
        <v>29</v>
      </c>
      <c r="R5919" t="s">
        <v>47309</v>
      </c>
      <c r="S5919" t="s">
        <v>47432</v>
      </c>
      <c r="T5919" t="s">
        <v>49269</v>
      </c>
      <c r="U5919" t="s">
        <v>54503</v>
      </c>
      <c r="W5919" t="s">
        <v>45039</v>
      </c>
      <c r="X5919" t="s">
        <v>47310</v>
      </c>
    </row>
    <row r="5920" spans="1:24">
      <c r="A5920">
        <f>HYPERLINK("https://www.philgeps.gov.ph/GEPSNONPILOT/Tender/SplashBidNoticeAbstractUI.aspx?menuIndex=3&amp;refID=7193974&amp;Result=3","7193974")</f>
        <v>0</v>
      </c>
      <c r="B5920" t="s">
        <v>1119</v>
      </c>
      <c r="C5920" t="s">
        <v>9409</v>
      </c>
      <c r="D5920" t="s">
        <v>19002</v>
      </c>
      <c r="E5920" t="s">
        <v>24300</v>
      </c>
      <c r="F5920" t="s">
        <v>32606</v>
      </c>
      <c r="G5920" t="s">
        <v>32614</v>
      </c>
      <c r="H5920" t="s">
        <v>14201</v>
      </c>
      <c r="I5920" t="s">
        <v>4112</v>
      </c>
      <c r="J5920" t="s">
        <v>32781</v>
      </c>
      <c r="K5920" t="s">
        <v>42623</v>
      </c>
      <c r="M5920" t="s">
        <v>44081</v>
      </c>
      <c r="N5920" t="s">
        <v>47304</v>
      </c>
      <c r="O5920" t="s">
        <v>47305</v>
      </c>
      <c r="P5920">
        <v>0</v>
      </c>
      <c r="Q5920">
        <v>1</v>
      </c>
      <c r="R5920" t="s">
        <v>47309</v>
      </c>
      <c r="S5920" t="s">
        <v>47432</v>
      </c>
      <c r="T5920" t="s">
        <v>49071</v>
      </c>
      <c r="U5920" t="s">
        <v>54504</v>
      </c>
      <c r="W5920" t="s">
        <v>64462</v>
      </c>
      <c r="X5920" t="s">
        <v>47310</v>
      </c>
    </row>
    <row r="5921" spans="1:24">
      <c r="A5921">
        <f>HYPERLINK("https://www.philgeps.gov.ph/GEPSNONPILOT/Tender/SplashBidNoticeAbstractUI.aspx?menuIndex=3&amp;refID=7193973&amp;Result=3","7193973")</f>
        <v>0</v>
      </c>
      <c r="B5921" t="s">
        <v>1119</v>
      </c>
      <c r="C5921" t="s">
        <v>9410</v>
      </c>
      <c r="D5921" t="s">
        <v>19002</v>
      </c>
      <c r="E5921" t="s">
        <v>24301</v>
      </c>
      <c r="F5921" t="s">
        <v>32606</v>
      </c>
      <c r="G5921" t="s">
        <v>32614</v>
      </c>
      <c r="H5921" t="s">
        <v>14201</v>
      </c>
      <c r="I5921" t="s">
        <v>32633</v>
      </c>
      <c r="J5921" t="s">
        <v>36603</v>
      </c>
      <c r="K5921" t="s">
        <v>42623</v>
      </c>
      <c r="M5921" t="s">
        <v>44081</v>
      </c>
      <c r="N5921" t="s">
        <v>47304</v>
      </c>
      <c r="O5921" t="s">
        <v>47305</v>
      </c>
      <c r="P5921">
        <v>0</v>
      </c>
      <c r="Q5921">
        <v>4</v>
      </c>
      <c r="R5921" t="s">
        <v>47309</v>
      </c>
      <c r="S5921" t="s">
        <v>47432</v>
      </c>
      <c r="T5921" t="s">
        <v>49071</v>
      </c>
      <c r="U5921" t="s">
        <v>54505</v>
      </c>
      <c r="W5921" t="s">
        <v>64462</v>
      </c>
      <c r="X5921" t="s">
        <v>47310</v>
      </c>
    </row>
    <row r="5922" spans="1:24">
      <c r="A5922">
        <f>HYPERLINK("https://www.philgeps.gov.ph/GEPSNONPILOT/Tender/SplashBidNoticeAbstractUI.aspx?menuIndex=3&amp;refID=7193969&amp;Result=3","7193969")</f>
        <v>0</v>
      </c>
      <c r="B5922" t="s">
        <v>1119</v>
      </c>
      <c r="C5922" t="s">
        <v>9411</v>
      </c>
      <c r="D5922" t="s">
        <v>19002</v>
      </c>
      <c r="E5922" t="s">
        <v>24302</v>
      </c>
      <c r="F5922" t="s">
        <v>32606</v>
      </c>
      <c r="G5922" t="s">
        <v>32614</v>
      </c>
      <c r="H5922" t="s">
        <v>14201</v>
      </c>
      <c r="I5922" t="s">
        <v>6007</v>
      </c>
      <c r="J5922" t="s">
        <v>36604</v>
      </c>
      <c r="K5922" t="s">
        <v>42648</v>
      </c>
      <c r="M5922" t="s">
        <v>44081</v>
      </c>
      <c r="N5922" t="s">
        <v>47304</v>
      </c>
      <c r="O5922" t="s">
        <v>47305</v>
      </c>
      <c r="P5922">
        <v>0</v>
      </c>
      <c r="Q5922">
        <v>0</v>
      </c>
      <c r="R5922" t="s">
        <v>47309</v>
      </c>
      <c r="S5922" t="s">
        <v>47432</v>
      </c>
      <c r="T5922" t="s">
        <v>49071</v>
      </c>
      <c r="U5922" t="s">
        <v>54506</v>
      </c>
      <c r="W5922" t="s">
        <v>64462</v>
      </c>
      <c r="X5922" t="s">
        <v>47310</v>
      </c>
    </row>
    <row r="5923" spans="1:24">
      <c r="A5923">
        <f>HYPERLINK("https://www.philgeps.gov.ph/GEPSNONPILOT/Tender/SplashBidNoticeAbstractUI.aspx?menuIndex=3&amp;refID=7193833&amp;Result=3","7193833")</f>
        <v>0</v>
      </c>
      <c r="B5923" t="s">
        <v>2011</v>
      </c>
      <c r="C5923" t="s">
        <v>9412</v>
      </c>
      <c r="D5923" t="s">
        <v>19022</v>
      </c>
      <c r="E5923" t="s">
        <v>9412</v>
      </c>
      <c r="F5923" t="s">
        <v>32606</v>
      </c>
      <c r="G5923" t="s">
        <v>32614</v>
      </c>
      <c r="H5923" t="s">
        <v>14201</v>
      </c>
      <c r="I5923" t="s">
        <v>6993</v>
      </c>
      <c r="J5923" t="s">
        <v>33569</v>
      </c>
      <c r="K5923" t="s">
        <v>42623</v>
      </c>
      <c r="M5923" t="s">
        <v>45083</v>
      </c>
      <c r="N5923" t="s">
        <v>47304</v>
      </c>
      <c r="O5923" t="s">
        <v>47305</v>
      </c>
      <c r="P5923">
        <v>0</v>
      </c>
      <c r="Q5923">
        <v>1</v>
      </c>
      <c r="R5923" t="s">
        <v>47309</v>
      </c>
      <c r="S5923" t="s">
        <v>47432</v>
      </c>
      <c r="T5923" t="s">
        <v>49071</v>
      </c>
      <c r="U5923" t="s">
        <v>54507</v>
      </c>
      <c r="W5923" t="s">
        <v>45083</v>
      </c>
      <c r="X5923" t="s">
        <v>47310</v>
      </c>
    </row>
    <row r="5924" spans="1:24">
      <c r="A5924">
        <f>HYPERLINK("https://www.philgeps.gov.ph/GEPSNONPILOT/Tender/SplashBidNoticeAbstractUI.aspx?menuIndex=3&amp;refID=7193968&amp;Result=3","7193968")</f>
        <v>0</v>
      </c>
      <c r="B5924" t="s">
        <v>1119</v>
      </c>
      <c r="C5924" t="s">
        <v>9413</v>
      </c>
      <c r="D5924" t="s">
        <v>19002</v>
      </c>
      <c r="E5924" t="s">
        <v>24303</v>
      </c>
      <c r="F5924" t="s">
        <v>32606</v>
      </c>
      <c r="G5924" t="s">
        <v>32614</v>
      </c>
      <c r="H5924" t="s">
        <v>14201</v>
      </c>
      <c r="I5924" t="s">
        <v>6007</v>
      </c>
      <c r="J5924" t="s">
        <v>36604</v>
      </c>
      <c r="K5924" t="s">
        <v>42648</v>
      </c>
      <c r="M5924" t="s">
        <v>44081</v>
      </c>
      <c r="N5924" t="s">
        <v>47304</v>
      </c>
      <c r="O5924" t="s">
        <v>47305</v>
      </c>
      <c r="P5924">
        <v>0</v>
      </c>
      <c r="Q5924">
        <v>0</v>
      </c>
      <c r="R5924" t="s">
        <v>47309</v>
      </c>
      <c r="S5924" t="s">
        <v>47432</v>
      </c>
      <c r="T5924" t="s">
        <v>49071</v>
      </c>
      <c r="U5924" t="s">
        <v>54508</v>
      </c>
      <c r="W5924" t="s">
        <v>64462</v>
      </c>
      <c r="X5924" t="s">
        <v>47310</v>
      </c>
    </row>
    <row r="5925" spans="1:24">
      <c r="A5925">
        <f>HYPERLINK("https://www.philgeps.gov.ph/GEPSNONPILOT/Tender/SplashBidNoticeAbstractUI.aspx?menuIndex=3&amp;refID=7193967&amp;Result=3","7193967")</f>
        <v>0</v>
      </c>
      <c r="B5925" t="s">
        <v>1119</v>
      </c>
      <c r="C5925" t="s">
        <v>9414</v>
      </c>
      <c r="D5925" t="s">
        <v>19002</v>
      </c>
      <c r="E5925" t="s">
        <v>24304</v>
      </c>
      <c r="F5925" t="s">
        <v>32606</v>
      </c>
      <c r="G5925" t="s">
        <v>32614</v>
      </c>
      <c r="H5925" t="s">
        <v>14201</v>
      </c>
      <c r="I5925" t="s">
        <v>6007</v>
      </c>
      <c r="J5925" t="s">
        <v>36604</v>
      </c>
      <c r="K5925" t="s">
        <v>42648</v>
      </c>
      <c r="M5925" t="s">
        <v>44081</v>
      </c>
      <c r="N5925" t="s">
        <v>47304</v>
      </c>
      <c r="O5925" t="s">
        <v>47305</v>
      </c>
      <c r="P5925">
        <v>0</v>
      </c>
      <c r="Q5925">
        <v>0</v>
      </c>
      <c r="R5925" t="s">
        <v>47309</v>
      </c>
      <c r="S5925" t="s">
        <v>47432</v>
      </c>
      <c r="T5925" t="s">
        <v>49071</v>
      </c>
      <c r="U5925" t="s">
        <v>54509</v>
      </c>
      <c r="W5925" t="s">
        <v>64462</v>
      </c>
      <c r="X5925" t="s">
        <v>47310</v>
      </c>
    </row>
    <row r="5926" spans="1:24">
      <c r="A5926">
        <f>HYPERLINK("https://www.philgeps.gov.ph/GEPSNONPILOT/Tender/SplashBidNoticeAbstractUI.aspx?menuIndex=3&amp;refID=7193965&amp;Result=3","7193965")</f>
        <v>0</v>
      </c>
      <c r="B5926" t="s">
        <v>1119</v>
      </c>
      <c r="C5926" t="s">
        <v>9415</v>
      </c>
      <c r="D5926" t="s">
        <v>19002</v>
      </c>
      <c r="E5926" t="s">
        <v>24305</v>
      </c>
      <c r="F5926" t="s">
        <v>32606</v>
      </c>
      <c r="G5926" t="s">
        <v>32614</v>
      </c>
      <c r="H5926" t="s">
        <v>14201</v>
      </c>
      <c r="I5926" t="s">
        <v>32629</v>
      </c>
      <c r="J5926" t="s">
        <v>36605</v>
      </c>
      <c r="K5926" t="s">
        <v>42648</v>
      </c>
      <c r="M5926" t="s">
        <v>44081</v>
      </c>
      <c r="N5926" t="s">
        <v>47304</v>
      </c>
      <c r="O5926" t="s">
        <v>47305</v>
      </c>
      <c r="P5926">
        <v>0</v>
      </c>
      <c r="Q5926">
        <v>0</v>
      </c>
      <c r="R5926" t="s">
        <v>47309</v>
      </c>
      <c r="S5926" t="s">
        <v>47432</v>
      </c>
      <c r="T5926" t="s">
        <v>49071</v>
      </c>
      <c r="U5926" t="s">
        <v>54510</v>
      </c>
      <c r="W5926" t="s">
        <v>64462</v>
      </c>
      <c r="X5926" t="s">
        <v>47310</v>
      </c>
    </row>
    <row r="5927" spans="1:24">
      <c r="A5927">
        <f>HYPERLINK("https://www.philgeps.gov.ph/GEPSNONPILOT/Tender/SplashBidNoticeAbstractUI.aspx?menuIndex=3&amp;refID=7193964&amp;Result=3","7193964")</f>
        <v>0</v>
      </c>
      <c r="B5927" t="s">
        <v>1119</v>
      </c>
      <c r="C5927" t="s">
        <v>9416</v>
      </c>
      <c r="D5927" t="s">
        <v>19002</v>
      </c>
      <c r="E5927" t="s">
        <v>24306</v>
      </c>
      <c r="F5927" t="s">
        <v>32606</v>
      </c>
      <c r="G5927" t="s">
        <v>32614</v>
      </c>
      <c r="H5927" t="s">
        <v>14201</v>
      </c>
      <c r="I5927" t="s">
        <v>6007</v>
      </c>
      <c r="J5927" t="s">
        <v>36606</v>
      </c>
      <c r="K5927" t="s">
        <v>42648</v>
      </c>
      <c r="M5927" t="s">
        <v>44081</v>
      </c>
      <c r="N5927" t="s">
        <v>47304</v>
      </c>
      <c r="O5927" t="s">
        <v>47305</v>
      </c>
      <c r="P5927">
        <v>0</v>
      </c>
      <c r="Q5927">
        <v>0</v>
      </c>
      <c r="R5927" t="s">
        <v>47309</v>
      </c>
      <c r="S5927" t="s">
        <v>47432</v>
      </c>
      <c r="T5927" t="s">
        <v>49071</v>
      </c>
      <c r="U5927" t="s">
        <v>54511</v>
      </c>
      <c r="W5927" t="s">
        <v>64462</v>
      </c>
      <c r="X5927" t="s">
        <v>47310</v>
      </c>
    </row>
    <row r="5928" spans="1:24">
      <c r="A5928">
        <f>HYPERLINK("https://www.philgeps.gov.ph/GEPSNONPILOT/Tender/SplashBidNoticeAbstractUI.aspx?menuIndex=3&amp;refID=7193963&amp;Result=3","7193963")</f>
        <v>0</v>
      </c>
      <c r="B5928" t="s">
        <v>1119</v>
      </c>
      <c r="C5928" t="s">
        <v>9417</v>
      </c>
      <c r="D5928" t="s">
        <v>19002</v>
      </c>
      <c r="E5928" t="s">
        <v>24307</v>
      </c>
      <c r="F5928" t="s">
        <v>32606</v>
      </c>
      <c r="G5928" t="s">
        <v>32614</v>
      </c>
      <c r="H5928" t="s">
        <v>14201</v>
      </c>
      <c r="I5928" t="s">
        <v>6993</v>
      </c>
      <c r="J5928" t="s">
        <v>32949</v>
      </c>
      <c r="K5928" t="s">
        <v>42623</v>
      </c>
      <c r="M5928" t="s">
        <v>44081</v>
      </c>
      <c r="N5928" t="s">
        <v>47304</v>
      </c>
      <c r="O5928" t="s">
        <v>47305</v>
      </c>
      <c r="P5928">
        <v>0</v>
      </c>
      <c r="Q5928">
        <v>1</v>
      </c>
      <c r="R5928" t="s">
        <v>47309</v>
      </c>
      <c r="S5928" t="s">
        <v>47432</v>
      </c>
      <c r="T5928" t="s">
        <v>49071</v>
      </c>
      <c r="U5928" t="s">
        <v>54512</v>
      </c>
      <c r="W5928" t="s">
        <v>64462</v>
      </c>
      <c r="X5928" t="s">
        <v>47310</v>
      </c>
    </row>
    <row r="5929" spans="1:24">
      <c r="A5929">
        <f>HYPERLINK("https://www.philgeps.gov.ph/GEPSNONPILOT/Tender/SplashBidNoticeAbstractUI.aspx?menuIndex=3&amp;refID=7193961&amp;Result=3","7193961")</f>
        <v>0</v>
      </c>
      <c r="B5929" t="s">
        <v>1119</v>
      </c>
      <c r="C5929" t="s">
        <v>9418</v>
      </c>
      <c r="D5929" t="s">
        <v>19002</v>
      </c>
      <c r="E5929" t="s">
        <v>24308</v>
      </c>
      <c r="F5929" t="s">
        <v>32606</v>
      </c>
      <c r="G5929" t="s">
        <v>32617</v>
      </c>
      <c r="H5929" t="s">
        <v>14201</v>
      </c>
      <c r="I5929" t="s">
        <v>4120</v>
      </c>
      <c r="J5929" t="s">
        <v>36607</v>
      </c>
      <c r="K5929" t="s">
        <v>42623</v>
      </c>
      <c r="M5929" t="s">
        <v>44081</v>
      </c>
      <c r="N5929" t="s">
        <v>47304</v>
      </c>
      <c r="O5929" t="s">
        <v>47305</v>
      </c>
      <c r="P5929">
        <v>0</v>
      </c>
      <c r="Q5929">
        <v>0</v>
      </c>
      <c r="R5929" t="s">
        <v>47309</v>
      </c>
      <c r="S5929" t="s">
        <v>47432</v>
      </c>
      <c r="T5929" t="s">
        <v>49071</v>
      </c>
      <c r="U5929" t="s">
        <v>54513</v>
      </c>
      <c r="W5929" t="s">
        <v>64462</v>
      </c>
      <c r="X5929" t="s">
        <v>47310</v>
      </c>
    </row>
    <row r="5930" spans="1:24">
      <c r="A5930">
        <f>HYPERLINK("https://www.philgeps.gov.ph/GEPSNONPILOT/Tender/SplashBidNoticeAbstractUI.aspx?menuIndex=3&amp;refID=7193982&amp;Result=3","7193982")</f>
        <v>0</v>
      </c>
      <c r="B5930" t="s">
        <v>185</v>
      </c>
      <c r="C5930" t="s">
        <v>9419</v>
      </c>
      <c r="D5930" t="s">
        <v>19025</v>
      </c>
      <c r="E5930" t="s">
        <v>24103</v>
      </c>
      <c r="F5930" t="s">
        <v>32606</v>
      </c>
      <c r="G5930" t="s">
        <v>32619</v>
      </c>
      <c r="H5930" t="s">
        <v>14201</v>
      </c>
      <c r="I5930" t="s">
        <v>32633</v>
      </c>
      <c r="J5930" t="s">
        <v>36608</v>
      </c>
      <c r="K5930" t="s">
        <v>42622</v>
      </c>
      <c r="M5930" t="s">
        <v>43086</v>
      </c>
      <c r="N5930" t="s">
        <v>47304</v>
      </c>
      <c r="O5930" t="s">
        <v>47305</v>
      </c>
      <c r="P5930">
        <v>0</v>
      </c>
      <c r="Q5930">
        <v>1</v>
      </c>
      <c r="R5930" t="s">
        <v>47309</v>
      </c>
      <c r="S5930" t="s">
        <v>47432</v>
      </c>
      <c r="T5930" t="s">
        <v>49053</v>
      </c>
      <c r="U5930" t="s">
        <v>54514</v>
      </c>
      <c r="W5930" t="s">
        <v>43086</v>
      </c>
      <c r="X5930" t="s">
        <v>47310</v>
      </c>
    </row>
    <row r="5931" spans="1:24">
      <c r="A5931">
        <f>HYPERLINK("https://www.philgeps.gov.ph/GEPSNONPILOT/Tender/SplashBidNoticeAbstractUI.aspx?menuIndex=3&amp;refID=7193960&amp;Result=3","7193960")</f>
        <v>0</v>
      </c>
      <c r="B5931" t="s">
        <v>1119</v>
      </c>
      <c r="C5931" t="s">
        <v>9420</v>
      </c>
      <c r="D5931" t="s">
        <v>19002</v>
      </c>
      <c r="E5931" t="s">
        <v>24309</v>
      </c>
      <c r="F5931" t="s">
        <v>32606</v>
      </c>
      <c r="G5931" t="s">
        <v>32614</v>
      </c>
      <c r="H5931" t="s">
        <v>14201</v>
      </c>
      <c r="I5931" t="s">
        <v>32736</v>
      </c>
      <c r="J5931" t="s">
        <v>34315</v>
      </c>
      <c r="K5931" t="s">
        <v>42631</v>
      </c>
      <c r="M5931" t="s">
        <v>44081</v>
      </c>
      <c r="N5931" t="s">
        <v>47304</v>
      </c>
      <c r="O5931" t="s">
        <v>47305</v>
      </c>
      <c r="P5931">
        <v>0</v>
      </c>
      <c r="Q5931">
        <v>1</v>
      </c>
      <c r="R5931" t="s">
        <v>47309</v>
      </c>
      <c r="S5931" t="s">
        <v>47432</v>
      </c>
      <c r="T5931" t="s">
        <v>49071</v>
      </c>
      <c r="U5931" t="s">
        <v>54515</v>
      </c>
      <c r="W5931" t="s">
        <v>64462</v>
      </c>
      <c r="X5931" t="s">
        <v>47310</v>
      </c>
    </row>
    <row r="5932" spans="1:24">
      <c r="A5932">
        <f>HYPERLINK("https://www.philgeps.gov.ph/GEPSNONPILOT/Tender/SplashBidNoticeAbstractUI.aspx?menuIndex=3&amp;refID=7193987&amp;Result=3","7193987")</f>
        <v>0</v>
      </c>
      <c r="B5932" t="s">
        <v>185</v>
      </c>
      <c r="C5932" t="s">
        <v>9421</v>
      </c>
      <c r="D5932" t="s">
        <v>19025</v>
      </c>
      <c r="E5932" t="s">
        <v>24103</v>
      </c>
      <c r="F5932" t="s">
        <v>32606</v>
      </c>
      <c r="G5932" t="s">
        <v>32619</v>
      </c>
      <c r="H5932" t="s">
        <v>14201</v>
      </c>
      <c r="I5932" t="s">
        <v>4120</v>
      </c>
      <c r="J5932" t="s">
        <v>32999</v>
      </c>
      <c r="K5932" t="s">
        <v>42622</v>
      </c>
      <c r="M5932" t="s">
        <v>43086</v>
      </c>
      <c r="N5932" t="s">
        <v>47304</v>
      </c>
      <c r="O5932" t="s">
        <v>47305</v>
      </c>
      <c r="P5932">
        <v>0</v>
      </c>
      <c r="Q5932">
        <v>1</v>
      </c>
      <c r="R5932" t="s">
        <v>47309</v>
      </c>
      <c r="S5932" t="s">
        <v>47432</v>
      </c>
      <c r="T5932" t="s">
        <v>49053</v>
      </c>
      <c r="U5932" t="s">
        <v>54516</v>
      </c>
      <c r="W5932" t="s">
        <v>43086</v>
      </c>
      <c r="X5932" t="s">
        <v>47310</v>
      </c>
    </row>
    <row r="5933" spans="1:24">
      <c r="A5933">
        <f>HYPERLINK("https://www.philgeps.gov.ph/GEPSNONPILOT/Tender/SplashBidNoticeAbstractUI.aspx?menuIndex=3&amp;refID=7181735&amp;Result=3","7181735")</f>
        <v>0</v>
      </c>
      <c r="B5933" t="s">
        <v>2012</v>
      </c>
      <c r="C5933" t="s">
        <v>9422</v>
      </c>
      <c r="D5933" t="s">
        <v>19010</v>
      </c>
      <c r="E5933" t="s">
        <v>24310</v>
      </c>
      <c r="F5933" t="s">
        <v>32606</v>
      </c>
      <c r="G5933" t="s">
        <v>32614</v>
      </c>
      <c r="H5933" t="s">
        <v>14201</v>
      </c>
      <c r="I5933" t="s">
        <v>32633</v>
      </c>
      <c r="J5933" t="s">
        <v>32765</v>
      </c>
      <c r="K5933" t="s">
        <v>42631</v>
      </c>
      <c r="M5933" t="s">
        <v>45084</v>
      </c>
      <c r="N5933" t="s">
        <v>47304</v>
      </c>
      <c r="O5933" t="s">
        <v>47305</v>
      </c>
      <c r="P5933">
        <v>0</v>
      </c>
      <c r="Q5933">
        <v>2</v>
      </c>
      <c r="R5933" t="s">
        <v>47310</v>
      </c>
      <c r="S5933" t="s">
        <v>47435</v>
      </c>
      <c r="T5933" t="s">
        <v>49268</v>
      </c>
      <c r="U5933" t="s">
        <v>54517</v>
      </c>
      <c r="V5933" t="s">
        <v>63202</v>
      </c>
      <c r="W5933" t="s">
        <v>45084</v>
      </c>
      <c r="X5933" t="s">
        <v>47315</v>
      </c>
    </row>
    <row r="5934" spans="1:24">
      <c r="A5934">
        <f>HYPERLINK("https://www.philgeps.gov.ph/GEPSNONPILOT/Tender/SplashBidNoticeAbstractUI.aspx?menuIndex=3&amp;refID=7175452&amp;Result=3","7175452")</f>
        <v>0</v>
      </c>
      <c r="B5934" t="s">
        <v>2012</v>
      </c>
      <c r="C5934" t="s">
        <v>9423</v>
      </c>
      <c r="D5934" t="s">
        <v>19010</v>
      </c>
      <c r="E5934" t="s">
        <v>24311</v>
      </c>
      <c r="F5934" t="s">
        <v>32606</v>
      </c>
      <c r="G5934" t="s">
        <v>32614</v>
      </c>
      <c r="H5934" t="s">
        <v>14201</v>
      </c>
      <c r="I5934" t="s">
        <v>32634</v>
      </c>
      <c r="J5934" t="s">
        <v>36609</v>
      </c>
      <c r="K5934" t="s">
        <v>42631</v>
      </c>
      <c r="M5934" t="s">
        <v>45084</v>
      </c>
      <c r="N5934" t="s">
        <v>47304</v>
      </c>
      <c r="O5934" t="s">
        <v>47305</v>
      </c>
      <c r="P5934">
        <v>0</v>
      </c>
      <c r="Q5934">
        <v>0</v>
      </c>
      <c r="R5934" t="s">
        <v>47310</v>
      </c>
      <c r="S5934" t="s">
        <v>47435</v>
      </c>
      <c r="T5934" t="s">
        <v>49268</v>
      </c>
      <c r="U5934" t="s">
        <v>54518</v>
      </c>
      <c r="V5934" t="s">
        <v>63202</v>
      </c>
      <c r="W5934" t="s">
        <v>45084</v>
      </c>
      <c r="X5934" t="s">
        <v>47319</v>
      </c>
    </row>
    <row r="5935" spans="1:24">
      <c r="A5935">
        <f>HYPERLINK("https://www.philgeps.gov.ph/GEPSNONPILOT/Tender/SplashBidNoticeAbstractUI.aspx?menuIndex=3&amp;refID=7175423&amp;Result=3","7175423")</f>
        <v>0</v>
      </c>
      <c r="B5935" t="s">
        <v>2012</v>
      </c>
      <c r="C5935" t="s">
        <v>9424</v>
      </c>
      <c r="D5935" t="s">
        <v>19010</v>
      </c>
      <c r="E5935" t="s">
        <v>24312</v>
      </c>
      <c r="F5935" t="s">
        <v>32606</v>
      </c>
      <c r="G5935" t="s">
        <v>32617</v>
      </c>
      <c r="H5935" t="s">
        <v>14201</v>
      </c>
      <c r="I5935" t="s">
        <v>4678</v>
      </c>
      <c r="J5935" t="s">
        <v>32752</v>
      </c>
      <c r="K5935" t="s">
        <v>42631</v>
      </c>
      <c r="M5935" t="s">
        <v>45084</v>
      </c>
      <c r="N5935" t="s">
        <v>47304</v>
      </c>
      <c r="O5935" t="s">
        <v>47305</v>
      </c>
      <c r="P5935">
        <v>0</v>
      </c>
      <c r="Q5935">
        <v>3</v>
      </c>
      <c r="R5935" t="s">
        <v>47310</v>
      </c>
      <c r="S5935" t="s">
        <v>47435</v>
      </c>
      <c r="T5935" t="s">
        <v>49268</v>
      </c>
      <c r="U5935" t="s">
        <v>54519</v>
      </c>
      <c r="V5935" t="s">
        <v>63203</v>
      </c>
      <c r="W5935" t="s">
        <v>45084</v>
      </c>
      <c r="X5935" t="s">
        <v>47319</v>
      </c>
    </row>
    <row r="5936" spans="1:24">
      <c r="A5936">
        <f>HYPERLINK("https://www.philgeps.gov.ph/GEPSNONPILOT/Tender/SplashBidNoticeAbstractUI.aspx?menuIndex=3&amp;refID=7173052&amp;Result=3","7173052")</f>
        <v>0</v>
      </c>
      <c r="B5936" t="s">
        <v>2012</v>
      </c>
      <c r="C5936" t="s">
        <v>9425</v>
      </c>
      <c r="D5936" t="s">
        <v>19010</v>
      </c>
      <c r="E5936" t="s">
        <v>24313</v>
      </c>
      <c r="F5936" t="s">
        <v>32606</v>
      </c>
      <c r="G5936" t="s">
        <v>32617</v>
      </c>
      <c r="H5936" t="s">
        <v>14201</v>
      </c>
      <c r="I5936" t="s">
        <v>4120</v>
      </c>
      <c r="J5936" t="s">
        <v>36610</v>
      </c>
      <c r="K5936" t="s">
        <v>42631</v>
      </c>
      <c r="M5936" t="s">
        <v>45084</v>
      </c>
      <c r="N5936" t="s">
        <v>47304</v>
      </c>
      <c r="O5936" t="s">
        <v>47305</v>
      </c>
      <c r="P5936">
        <v>0</v>
      </c>
      <c r="Q5936">
        <v>0</v>
      </c>
      <c r="R5936" t="s">
        <v>47310</v>
      </c>
      <c r="S5936" t="s">
        <v>47435</v>
      </c>
      <c r="T5936" t="s">
        <v>49268</v>
      </c>
      <c r="U5936" t="s">
        <v>49968</v>
      </c>
      <c r="V5936" t="s">
        <v>63204</v>
      </c>
      <c r="W5936" t="s">
        <v>45084</v>
      </c>
      <c r="X5936" t="s">
        <v>47320</v>
      </c>
    </row>
    <row r="5937" spans="1:24">
      <c r="A5937">
        <f>HYPERLINK("https://www.philgeps.gov.ph/GEPSNONPILOT/Tender/SplashBidNoticeAbstractUI.aspx?menuIndex=3&amp;refID=7173029&amp;Result=3","7173029")</f>
        <v>0</v>
      </c>
      <c r="B5937" t="s">
        <v>2012</v>
      </c>
      <c r="C5937" t="s">
        <v>9426</v>
      </c>
      <c r="D5937" t="s">
        <v>19010</v>
      </c>
      <c r="E5937" t="s">
        <v>24314</v>
      </c>
      <c r="F5937" t="s">
        <v>32606</v>
      </c>
      <c r="G5937" t="s">
        <v>32614</v>
      </c>
      <c r="H5937" t="s">
        <v>14201</v>
      </c>
      <c r="I5937" t="s">
        <v>32680</v>
      </c>
      <c r="J5937" t="s">
        <v>33157</v>
      </c>
      <c r="K5937" t="s">
        <v>42631</v>
      </c>
      <c r="M5937" t="s">
        <v>45084</v>
      </c>
      <c r="N5937" t="s">
        <v>47304</v>
      </c>
      <c r="O5937" t="s">
        <v>47305</v>
      </c>
      <c r="P5937">
        <v>0</v>
      </c>
      <c r="Q5937">
        <v>3</v>
      </c>
      <c r="R5937" t="s">
        <v>47310</v>
      </c>
      <c r="S5937" t="s">
        <v>47435</v>
      </c>
      <c r="T5937" t="s">
        <v>49268</v>
      </c>
      <c r="U5937" t="s">
        <v>54520</v>
      </c>
      <c r="V5937" t="s">
        <v>63205</v>
      </c>
      <c r="W5937" t="s">
        <v>45084</v>
      </c>
      <c r="X5937" t="s">
        <v>47320</v>
      </c>
    </row>
    <row r="5938" spans="1:24">
      <c r="A5938">
        <f>HYPERLINK("https://www.philgeps.gov.ph/GEPSNONPILOT/Tender/SplashBidNoticeAbstractUI.aspx?menuIndex=3&amp;refID=7172196&amp;Result=3","7172196")</f>
        <v>0</v>
      </c>
      <c r="B5938" t="s">
        <v>2012</v>
      </c>
      <c r="C5938" t="s">
        <v>9427</v>
      </c>
      <c r="D5938" t="s">
        <v>19010</v>
      </c>
      <c r="E5938" t="s">
        <v>24315</v>
      </c>
      <c r="F5938" t="s">
        <v>32606</v>
      </c>
      <c r="G5938" t="s">
        <v>32614</v>
      </c>
      <c r="H5938" t="s">
        <v>14201</v>
      </c>
      <c r="I5938" t="s">
        <v>6007</v>
      </c>
      <c r="J5938" t="s">
        <v>32765</v>
      </c>
      <c r="K5938" t="s">
        <v>42631</v>
      </c>
      <c r="M5938" t="s">
        <v>45084</v>
      </c>
      <c r="N5938" t="s">
        <v>47304</v>
      </c>
      <c r="O5938" t="s">
        <v>47305</v>
      </c>
      <c r="P5938">
        <v>0</v>
      </c>
      <c r="Q5938">
        <v>0</v>
      </c>
      <c r="R5938" t="s">
        <v>47310</v>
      </c>
      <c r="S5938" t="s">
        <v>47435</v>
      </c>
      <c r="T5938" t="s">
        <v>49268</v>
      </c>
      <c r="U5938" t="s">
        <v>54521</v>
      </c>
      <c r="V5938" t="s">
        <v>63206</v>
      </c>
      <c r="W5938" t="s">
        <v>45084</v>
      </c>
      <c r="X5938" t="s">
        <v>47320</v>
      </c>
    </row>
    <row r="5939" spans="1:24">
      <c r="A5939">
        <f>HYPERLINK("https://www.philgeps.gov.ph/GEPSNONPILOT/Tender/SplashBidNoticeAbstractUI.aspx?menuIndex=3&amp;refID=7172159&amp;Result=3","7172159")</f>
        <v>0</v>
      </c>
      <c r="B5939" t="s">
        <v>2012</v>
      </c>
      <c r="C5939" t="s">
        <v>9428</v>
      </c>
      <c r="D5939" t="s">
        <v>19010</v>
      </c>
      <c r="E5939" t="s">
        <v>24316</v>
      </c>
      <c r="F5939" t="s">
        <v>32606</v>
      </c>
      <c r="G5939" t="s">
        <v>32614</v>
      </c>
      <c r="H5939" t="s">
        <v>14201</v>
      </c>
      <c r="I5939" t="s">
        <v>6014</v>
      </c>
      <c r="J5939" t="s">
        <v>36611</v>
      </c>
      <c r="K5939" t="s">
        <v>42631</v>
      </c>
      <c r="M5939" t="s">
        <v>45084</v>
      </c>
      <c r="N5939" t="s">
        <v>47304</v>
      </c>
      <c r="O5939" t="s">
        <v>47305</v>
      </c>
      <c r="P5939">
        <v>0</v>
      </c>
      <c r="Q5939">
        <v>0</v>
      </c>
      <c r="R5939" t="s">
        <v>47310</v>
      </c>
      <c r="S5939" t="s">
        <v>47435</v>
      </c>
      <c r="T5939" t="s">
        <v>49268</v>
      </c>
      <c r="U5939" t="s">
        <v>54522</v>
      </c>
      <c r="V5939" t="s">
        <v>63207</v>
      </c>
      <c r="W5939" t="s">
        <v>45084</v>
      </c>
      <c r="X5939" t="s">
        <v>47320</v>
      </c>
    </row>
    <row r="5940" spans="1:24">
      <c r="A5940">
        <f>HYPERLINK("https://www.philgeps.gov.ph/GEPSNONPILOT/Tender/SplashBidNoticeAbstractUI.aspx?menuIndex=3&amp;refID=7193922&amp;Result=3","7193922")</f>
        <v>0</v>
      </c>
      <c r="B5940" t="s">
        <v>2009</v>
      </c>
      <c r="C5940" t="s">
        <v>9429</v>
      </c>
      <c r="E5940" t="s">
        <v>24317</v>
      </c>
      <c r="F5940" t="s">
        <v>32606</v>
      </c>
      <c r="G5940" t="s">
        <v>32613</v>
      </c>
      <c r="H5940" t="s">
        <v>32625</v>
      </c>
      <c r="I5940" t="s">
        <v>32625</v>
      </c>
      <c r="J5940" t="s">
        <v>36612</v>
      </c>
      <c r="K5940" t="s">
        <v>42648</v>
      </c>
      <c r="M5940" t="s">
        <v>45080</v>
      </c>
      <c r="N5940" t="s">
        <v>47304</v>
      </c>
      <c r="O5940" t="s">
        <v>47305</v>
      </c>
      <c r="P5940">
        <v>0</v>
      </c>
      <c r="Q5940">
        <v>4</v>
      </c>
      <c r="R5940" t="s">
        <v>47309</v>
      </c>
      <c r="S5940" t="s">
        <v>47432</v>
      </c>
      <c r="T5940" t="s">
        <v>48986</v>
      </c>
      <c r="U5940" t="s">
        <v>54523</v>
      </c>
      <c r="W5940" t="s">
        <v>45080</v>
      </c>
      <c r="X5940" t="s">
        <v>47310</v>
      </c>
    </row>
    <row r="5941" spans="1:24">
      <c r="A5941">
        <f>HYPERLINK("https://www.philgeps.gov.ph/GEPSNONPILOT/Tender/SplashBidNoticeAbstractUI.aspx?menuIndex=3&amp;refID=7171999-2&amp;Result=3","7171999-2")</f>
        <v>0</v>
      </c>
      <c r="B5941" t="s">
        <v>2013</v>
      </c>
      <c r="C5941" t="s">
        <v>9430</v>
      </c>
      <c r="D5941" t="s">
        <v>18993</v>
      </c>
      <c r="E5941" t="s">
        <v>24318</v>
      </c>
      <c r="F5941" t="s">
        <v>32606</v>
      </c>
      <c r="G5941" t="s">
        <v>32613</v>
      </c>
      <c r="H5941" t="s">
        <v>32625</v>
      </c>
      <c r="I5941" t="s">
        <v>32625</v>
      </c>
      <c r="J5941" t="s">
        <v>36613</v>
      </c>
      <c r="K5941" t="s">
        <v>42648</v>
      </c>
      <c r="M5941" t="s">
        <v>45085</v>
      </c>
      <c r="N5941" t="s">
        <v>47304</v>
      </c>
      <c r="O5941" t="s">
        <v>47305</v>
      </c>
      <c r="Q5941">
        <v>1</v>
      </c>
      <c r="R5941" t="s">
        <v>47310</v>
      </c>
      <c r="S5941" t="s">
        <v>47436</v>
      </c>
      <c r="T5941" t="s">
        <v>49140</v>
      </c>
      <c r="U5941" t="s">
        <v>54524</v>
      </c>
      <c r="V5941" t="s">
        <v>63208</v>
      </c>
      <c r="W5941" t="s">
        <v>64490</v>
      </c>
      <c r="X5941" t="s">
        <v>47311</v>
      </c>
    </row>
    <row r="5942" spans="1:24">
      <c r="A5942">
        <f>HYPERLINK("https://www.philgeps.gov.ph/GEPSNONPILOT/Tender/SplashBidNoticeAbstractUI.aspx?menuIndex=3&amp;refID=7170716&amp;Result=3","7170716")</f>
        <v>0</v>
      </c>
      <c r="B5942" t="s">
        <v>1179</v>
      </c>
      <c r="C5942" t="s">
        <v>9431</v>
      </c>
      <c r="D5942" t="s">
        <v>18993</v>
      </c>
      <c r="E5942" t="s">
        <v>24319</v>
      </c>
      <c r="F5942" t="s">
        <v>32606</v>
      </c>
      <c r="G5942" t="s">
        <v>32613</v>
      </c>
      <c r="H5942" t="s">
        <v>14201</v>
      </c>
      <c r="I5942" t="s">
        <v>6298</v>
      </c>
      <c r="J5942" t="s">
        <v>36614</v>
      </c>
      <c r="K5942" t="s">
        <v>42631</v>
      </c>
      <c r="M5942" t="s">
        <v>44142</v>
      </c>
      <c r="N5942" t="s">
        <v>47304</v>
      </c>
      <c r="O5942" t="s">
        <v>47305</v>
      </c>
      <c r="P5942">
        <v>0</v>
      </c>
      <c r="Q5942">
        <v>4</v>
      </c>
      <c r="R5942" t="s">
        <v>47310</v>
      </c>
      <c r="S5942" t="s">
        <v>47435</v>
      </c>
      <c r="T5942" t="s">
        <v>49332</v>
      </c>
      <c r="U5942" t="s">
        <v>54525</v>
      </c>
      <c r="W5942" t="s">
        <v>44142</v>
      </c>
      <c r="X5942" t="s">
        <v>47321</v>
      </c>
    </row>
    <row r="5943" spans="1:24">
      <c r="A5943">
        <f>HYPERLINK("https://www.philgeps.gov.ph/GEPSNONPILOT/Tender/SplashBidNoticeAbstractUI.aspx?menuIndex=3&amp;refID=7149696&amp;Result=3","7149696")</f>
        <v>0</v>
      </c>
      <c r="B5943" t="s">
        <v>1999</v>
      </c>
      <c r="C5943" t="s">
        <v>9432</v>
      </c>
      <c r="D5943" t="s">
        <v>19053</v>
      </c>
      <c r="E5943" t="s">
        <v>24320</v>
      </c>
      <c r="F5943" t="s">
        <v>32606</v>
      </c>
      <c r="G5943" t="s">
        <v>32613</v>
      </c>
      <c r="H5943" t="s">
        <v>32623</v>
      </c>
      <c r="I5943" t="s">
        <v>32659</v>
      </c>
      <c r="J5943" t="s">
        <v>32885</v>
      </c>
      <c r="K5943" t="s">
        <v>42631</v>
      </c>
      <c r="M5943" t="s">
        <v>45068</v>
      </c>
      <c r="N5943" t="s">
        <v>47304</v>
      </c>
      <c r="O5943" t="s">
        <v>47305</v>
      </c>
      <c r="P5943">
        <v>0</v>
      </c>
      <c r="Q5943">
        <v>1</v>
      </c>
      <c r="R5943" t="s">
        <v>47310</v>
      </c>
      <c r="S5943" t="s">
        <v>47435</v>
      </c>
      <c r="T5943" t="s">
        <v>49100</v>
      </c>
      <c r="U5943" t="s">
        <v>54526</v>
      </c>
      <c r="W5943" t="s">
        <v>45068</v>
      </c>
      <c r="X5943" t="s">
        <v>47329</v>
      </c>
    </row>
    <row r="5944" spans="1:24">
      <c r="A5944">
        <f>HYPERLINK("https://www.philgeps.gov.ph/GEPSNONPILOT/Tender/SplashBidNoticeAbstractUI.aspx?menuIndex=3&amp;refID=7137987&amp;Result=3","7137987")</f>
        <v>0</v>
      </c>
      <c r="B5944" t="s">
        <v>2014</v>
      </c>
      <c r="C5944" t="s">
        <v>9433</v>
      </c>
      <c r="D5944" t="s">
        <v>19028</v>
      </c>
      <c r="E5944" t="s">
        <v>24321</v>
      </c>
      <c r="F5944" t="s">
        <v>32606</v>
      </c>
      <c r="G5944" t="s">
        <v>32613</v>
      </c>
      <c r="H5944" t="s">
        <v>32623</v>
      </c>
      <c r="I5944" t="s">
        <v>17648</v>
      </c>
      <c r="J5944" t="s">
        <v>32789</v>
      </c>
      <c r="K5944" t="s">
        <v>42646</v>
      </c>
      <c r="M5944" t="s">
        <v>45086</v>
      </c>
      <c r="N5944" t="s">
        <v>47304</v>
      </c>
      <c r="O5944" t="s">
        <v>47305</v>
      </c>
      <c r="P5944">
        <v>0</v>
      </c>
      <c r="Q5944">
        <v>0</v>
      </c>
      <c r="R5944" t="s">
        <v>47310</v>
      </c>
      <c r="S5944" t="s">
        <v>47435</v>
      </c>
      <c r="T5944" t="s">
        <v>49286</v>
      </c>
      <c r="U5944" t="s">
        <v>54527</v>
      </c>
      <c r="W5944" t="s">
        <v>45086</v>
      </c>
      <c r="X5944" t="s">
        <v>47335</v>
      </c>
    </row>
    <row r="5945" spans="1:24">
      <c r="A5945">
        <f>HYPERLINK("https://www.philgeps.gov.ph/GEPSNONPILOT/Tender/SplashBidNoticeAbstractUI.aspx?menuIndex=3&amp;refID=7194004&amp;Result=3","7194004")</f>
        <v>0</v>
      </c>
      <c r="B5945" t="s">
        <v>2015</v>
      </c>
      <c r="C5945" t="s">
        <v>9434</v>
      </c>
      <c r="D5945" t="s">
        <v>19003</v>
      </c>
      <c r="E5945" t="s">
        <v>24209</v>
      </c>
      <c r="F5945" t="s">
        <v>32606</v>
      </c>
      <c r="G5945" t="s">
        <v>32614</v>
      </c>
      <c r="H5945" t="s">
        <v>14201</v>
      </c>
      <c r="I5945" t="s">
        <v>32658</v>
      </c>
      <c r="J5945" t="s">
        <v>36615</v>
      </c>
      <c r="K5945" t="s">
        <v>42630</v>
      </c>
      <c r="M5945" t="s">
        <v>45087</v>
      </c>
      <c r="N5945" t="s">
        <v>47304</v>
      </c>
      <c r="O5945" t="s">
        <v>47305</v>
      </c>
      <c r="P5945">
        <v>0</v>
      </c>
      <c r="Q5945">
        <v>1</v>
      </c>
      <c r="R5945" t="s">
        <v>47309</v>
      </c>
      <c r="S5945" t="s">
        <v>47432</v>
      </c>
      <c r="T5945" t="s">
        <v>49269</v>
      </c>
      <c r="U5945" t="s">
        <v>54528</v>
      </c>
      <c r="V5945" t="s">
        <v>63209</v>
      </c>
      <c r="W5945" t="s">
        <v>45087</v>
      </c>
      <c r="X5945" t="s">
        <v>47310</v>
      </c>
    </row>
    <row r="5946" spans="1:24">
      <c r="A5946">
        <f>HYPERLINK("https://www.philgeps.gov.ph/GEPSNONPILOT/Tender/SplashBidNoticeAbstractUI.aspx?menuIndex=3&amp;refID=7194003&amp;Result=3","7194003")</f>
        <v>0</v>
      </c>
      <c r="B5946" t="s">
        <v>834</v>
      </c>
      <c r="C5946" t="s">
        <v>9435</v>
      </c>
      <c r="E5946" t="s">
        <v>24004</v>
      </c>
      <c r="F5946" t="s">
        <v>32606</v>
      </c>
      <c r="G5946" t="s">
        <v>32614</v>
      </c>
      <c r="H5946" t="s">
        <v>14201</v>
      </c>
      <c r="I5946" t="s">
        <v>32633</v>
      </c>
      <c r="J5946" t="s">
        <v>36616</v>
      </c>
      <c r="K5946" t="s">
        <v>42624</v>
      </c>
      <c r="M5946" t="s">
        <v>43765</v>
      </c>
      <c r="N5946" t="s">
        <v>47304</v>
      </c>
      <c r="O5946" t="s">
        <v>47305</v>
      </c>
      <c r="P5946">
        <v>0</v>
      </c>
      <c r="Q5946">
        <v>15</v>
      </c>
      <c r="R5946" t="s">
        <v>47309</v>
      </c>
      <c r="S5946" t="s">
        <v>47432</v>
      </c>
      <c r="T5946" t="s">
        <v>49071</v>
      </c>
      <c r="U5946" t="s">
        <v>51104</v>
      </c>
      <c r="W5946" t="s">
        <v>64452</v>
      </c>
      <c r="X5946" t="s">
        <v>47310</v>
      </c>
    </row>
    <row r="5947" spans="1:24">
      <c r="A5947">
        <f>HYPERLINK("https://www.philgeps.gov.ph/GEPSNONPILOT/Tender/SplashBidNoticeAbstractUI.aspx?menuIndex=3&amp;refID=7193925&amp;Result=3","7193925")</f>
        <v>0</v>
      </c>
      <c r="B5947" t="s">
        <v>1954</v>
      </c>
      <c r="C5947" t="s">
        <v>9436</v>
      </c>
      <c r="E5947" t="s">
        <v>24322</v>
      </c>
      <c r="F5947" t="s">
        <v>32606</v>
      </c>
      <c r="G5947" t="s">
        <v>32614</v>
      </c>
      <c r="H5947" t="s">
        <v>14201</v>
      </c>
      <c r="I5947" t="s">
        <v>32638</v>
      </c>
      <c r="J5947" t="s">
        <v>35183</v>
      </c>
      <c r="K5947" t="s">
        <v>42624</v>
      </c>
      <c r="M5947" t="s">
        <v>45015</v>
      </c>
      <c r="N5947" t="s">
        <v>47304</v>
      </c>
      <c r="O5947" t="s">
        <v>47305</v>
      </c>
      <c r="P5947">
        <v>0</v>
      </c>
      <c r="Q5947">
        <v>4</v>
      </c>
      <c r="R5947" t="s">
        <v>47309</v>
      </c>
      <c r="S5947" t="s">
        <v>47432</v>
      </c>
      <c r="T5947" t="s">
        <v>49000</v>
      </c>
      <c r="U5947" t="s">
        <v>54492</v>
      </c>
      <c r="W5947" t="s">
        <v>45015</v>
      </c>
      <c r="X5947" t="s">
        <v>47310</v>
      </c>
    </row>
    <row r="5948" spans="1:24">
      <c r="A5948">
        <f>HYPERLINK("https://www.philgeps.gov.ph/GEPSNONPILOT/Tender/SplashBidNoticeAbstractUI.aspx?menuIndex=3&amp;refID=7193999&amp;Result=3","7193999")</f>
        <v>0</v>
      </c>
      <c r="B5948" t="s">
        <v>2015</v>
      </c>
      <c r="C5948" t="s">
        <v>9437</v>
      </c>
      <c r="D5948" t="s">
        <v>19003</v>
      </c>
      <c r="E5948" t="s">
        <v>20122</v>
      </c>
      <c r="F5948" t="s">
        <v>32606</v>
      </c>
      <c r="G5948" t="s">
        <v>32617</v>
      </c>
      <c r="H5948" t="s">
        <v>14201</v>
      </c>
      <c r="I5948" t="s">
        <v>4114</v>
      </c>
      <c r="J5948" t="s">
        <v>36617</v>
      </c>
      <c r="K5948" t="s">
        <v>42630</v>
      </c>
      <c r="M5948" t="s">
        <v>45087</v>
      </c>
      <c r="N5948" t="s">
        <v>47304</v>
      </c>
      <c r="O5948" t="s">
        <v>47305</v>
      </c>
      <c r="P5948">
        <v>0</v>
      </c>
      <c r="Q5948">
        <v>0</v>
      </c>
      <c r="R5948" t="s">
        <v>47309</v>
      </c>
      <c r="S5948" t="s">
        <v>47432</v>
      </c>
      <c r="T5948" t="s">
        <v>49269</v>
      </c>
      <c r="U5948" t="s">
        <v>54528</v>
      </c>
      <c r="V5948" t="s">
        <v>63209</v>
      </c>
      <c r="W5948" t="s">
        <v>45087</v>
      </c>
      <c r="X5948" t="s">
        <v>47310</v>
      </c>
    </row>
    <row r="5949" spans="1:24">
      <c r="A5949">
        <f>HYPERLINK("https://www.philgeps.gov.ph/GEPSNONPILOT/Tender/SplashBidNoticeAbstractUI.aspx?menuIndex=3&amp;refID=7193992&amp;Result=3","7193992")</f>
        <v>0</v>
      </c>
      <c r="B5949" t="s">
        <v>185</v>
      </c>
      <c r="C5949" t="s">
        <v>9438</v>
      </c>
      <c r="D5949" t="s">
        <v>19025</v>
      </c>
      <c r="E5949" t="s">
        <v>24103</v>
      </c>
      <c r="F5949" t="s">
        <v>32606</v>
      </c>
      <c r="G5949" t="s">
        <v>32619</v>
      </c>
      <c r="H5949" t="s">
        <v>14201</v>
      </c>
      <c r="I5949" t="s">
        <v>4120</v>
      </c>
      <c r="J5949" t="s">
        <v>36618</v>
      </c>
      <c r="K5949" t="s">
        <v>42622</v>
      </c>
      <c r="M5949" t="s">
        <v>43086</v>
      </c>
      <c r="N5949" t="s">
        <v>47304</v>
      </c>
      <c r="O5949" t="s">
        <v>47305</v>
      </c>
      <c r="P5949">
        <v>0</v>
      </c>
      <c r="Q5949">
        <v>1</v>
      </c>
      <c r="R5949" t="s">
        <v>47309</v>
      </c>
      <c r="S5949" t="s">
        <v>47432</v>
      </c>
      <c r="T5949" t="s">
        <v>49053</v>
      </c>
      <c r="U5949" t="s">
        <v>54529</v>
      </c>
      <c r="W5949" t="s">
        <v>43086</v>
      </c>
      <c r="X5949" t="s">
        <v>47310</v>
      </c>
    </row>
    <row r="5950" spans="1:24">
      <c r="A5950">
        <f>HYPERLINK("https://www.philgeps.gov.ph/GEPSNONPILOT/Tender/SplashBidNoticeAbstractUI.aspx?menuIndex=3&amp;refID=7193989&amp;Result=3","7193989")</f>
        <v>0</v>
      </c>
      <c r="B5950" t="s">
        <v>1500</v>
      </c>
      <c r="C5950" t="s">
        <v>9439</v>
      </c>
      <c r="D5950" t="s">
        <v>19036</v>
      </c>
      <c r="E5950" t="s">
        <v>24323</v>
      </c>
      <c r="F5950" t="s">
        <v>32606</v>
      </c>
      <c r="G5950" t="s">
        <v>32613</v>
      </c>
      <c r="H5950" t="s">
        <v>32623</v>
      </c>
      <c r="I5950" t="s">
        <v>32675</v>
      </c>
      <c r="J5950" t="s">
        <v>36619</v>
      </c>
      <c r="K5950" t="s">
        <v>42636</v>
      </c>
      <c r="M5950" t="s">
        <v>45088</v>
      </c>
      <c r="N5950" t="s">
        <v>47304</v>
      </c>
      <c r="O5950" t="s">
        <v>47305</v>
      </c>
      <c r="P5950">
        <v>0</v>
      </c>
      <c r="Q5950">
        <v>3</v>
      </c>
      <c r="R5950" t="s">
        <v>47309</v>
      </c>
      <c r="S5950" t="s">
        <v>47432</v>
      </c>
      <c r="T5950" t="s">
        <v>49073</v>
      </c>
      <c r="U5950" t="s">
        <v>54530</v>
      </c>
      <c r="V5950" t="s">
        <v>63210</v>
      </c>
      <c r="W5950" t="s">
        <v>45088</v>
      </c>
      <c r="X5950" t="s">
        <v>47310</v>
      </c>
    </row>
    <row r="5951" spans="1:24">
      <c r="A5951">
        <f>HYPERLINK("https://www.philgeps.gov.ph/GEPSNONPILOT/Tender/SplashBidNoticeAbstractUI.aspx?menuIndex=3&amp;refID=7193958&amp;Result=3","7193958")</f>
        <v>0</v>
      </c>
      <c r="B5951" t="s">
        <v>770</v>
      </c>
      <c r="C5951" t="s">
        <v>9440</v>
      </c>
      <c r="D5951" t="s">
        <v>19009</v>
      </c>
      <c r="E5951" t="s">
        <v>24324</v>
      </c>
      <c r="F5951" t="s">
        <v>32606</v>
      </c>
      <c r="G5951" t="s">
        <v>32614</v>
      </c>
      <c r="H5951" t="s">
        <v>14201</v>
      </c>
      <c r="I5951" t="s">
        <v>32663</v>
      </c>
      <c r="J5951" t="s">
        <v>32923</v>
      </c>
      <c r="K5951" t="s">
        <v>42629</v>
      </c>
      <c r="M5951" t="s">
        <v>43697</v>
      </c>
      <c r="N5951" t="s">
        <v>47304</v>
      </c>
      <c r="O5951" t="s">
        <v>47305</v>
      </c>
      <c r="Q5951">
        <v>6</v>
      </c>
      <c r="R5951" t="s">
        <v>47309</v>
      </c>
      <c r="S5951" t="s">
        <v>47437</v>
      </c>
      <c r="T5951" t="s">
        <v>49268</v>
      </c>
      <c r="U5951" t="s">
        <v>49653</v>
      </c>
      <c r="V5951" t="s">
        <v>49653</v>
      </c>
      <c r="W5951" t="s">
        <v>43697</v>
      </c>
      <c r="X5951" t="s">
        <v>47310</v>
      </c>
    </row>
    <row r="5952" spans="1:24">
      <c r="A5952">
        <f>HYPERLINK("https://www.philgeps.gov.ph/GEPSNONPILOT/Tender/SplashBidNoticeAbstractUI.aspx?menuIndex=3&amp;refID=7193950&amp;Result=3","7193950")</f>
        <v>0</v>
      </c>
      <c r="B5952" t="s">
        <v>1954</v>
      </c>
      <c r="C5952" t="s">
        <v>9441</v>
      </c>
      <c r="E5952" t="s">
        <v>24325</v>
      </c>
      <c r="F5952" t="s">
        <v>32606</v>
      </c>
      <c r="G5952" t="s">
        <v>32614</v>
      </c>
      <c r="H5952" t="s">
        <v>14201</v>
      </c>
      <c r="I5952" t="s">
        <v>32638</v>
      </c>
      <c r="J5952" t="s">
        <v>34077</v>
      </c>
      <c r="K5952" t="s">
        <v>42624</v>
      </c>
      <c r="M5952" t="s">
        <v>45015</v>
      </c>
      <c r="N5952" t="s">
        <v>47304</v>
      </c>
      <c r="O5952" t="s">
        <v>47305</v>
      </c>
      <c r="P5952">
        <v>0</v>
      </c>
      <c r="Q5952">
        <v>4</v>
      </c>
      <c r="R5952" t="s">
        <v>47309</v>
      </c>
      <c r="S5952" t="s">
        <v>47432</v>
      </c>
      <c r="T5952" t="s">
        <v>49000</v>
      </c>
      <c r="U5952" t="s">
        <v>54492</v>
      </c>
      <c r="W5952" t="s">
        <v>45015</v>
      </c>
      <c r="X5952" t="s">
        <v>47310</v>
      </c>
    </row>
    <row r="5953" spans="1:24">
      <c r="A5953">
        <f>HYPERLINK("https://www.philgeps.gov.ph/GEPSNONPILOT/Tender/SplashBidNoticeAbstractUI.aspx?menuIndex=3&amp;refID=7193919&amp;Result=3","7193919")</f>
        <v>0</v>
      </c>
      <c r="B5953" t="s">
        <v>1954</v>
      </c>
      <c r="C5953" t="s">
        <v>9442</v>
      </c>
      <c r="E5953" t="s">
        <v>24326</v>
      </c>
      <c r="F5953" t="s">
        <v>32606</v>
      </c>
      <c r="G5953" t="s">
        <v>32617</v>
      </c>
      <c r="H5953" t="s">
        <v>14201</v>
      </c>
      <c r="I5953" t="s">
        <v>4120</v>
      </c>
      <c r="J5953" t="s">
        <v>35617</v>
      </c>
      <c r="K5953" t="s">
        <v>42624</v>
      </c>
      <c r="M5953" t="s">
        <v>45015</v>
      </c>
      <c r="N5953" t="s">
        <v>47304</v>
      </c>
      <c r="O5953" t="s">
        <v>47305</v>
      </c>
      <c r="P5953">
        <v>0</v>
      </c>
      <c r="Q5953">
        <v>8</v>
      </c>
      <c r="R5953" t="s">
        <v>47309</v>
      </c>
      <c r="S5953" t="s">
        <v>47432</v>
      </c>
      <c r="T5953" t="s">
        <v>49000</v>
      </c>
      <c r="U5953" t="s">
        <v>54492</v>
      </c>
      <c r="W5953" t="s">
        <v>45015</v>
      </c>
      <c r="X5953" t="s">
        <v>47310</v>
      </c>
    </row>
    <row r="5954" spans="1:24">
      <c r="A5954">
        <f>HYPERLINK("https://www.philgeps.gov.ph/GEPSNONPILOT/Tender/SplashBidNoticeAbstractUI.aspx?menuIndex=3&amp;refID=7194006&amp;Result=3","7194006")</f>
        <v>0</v>
      </c>
      <c r="B5954" t="s">
        <v>2016</v>
      </c>
      <c r="C5954" t="s">
        <v>9443</v>
      </c>
      <c r="E5954" t="s">
        <v>24298</v>
      </c>
      <c r="F5954" t="s">
        <v>32606</v>
      </c>
      <c r="G5954" t="s">
        <v>32613</v>
      </c>
      <c r="H5954" t="s">
        <v>32623</v>
      </c>
      <c r="I5954" t="s">
        <v>17648</v>
      </c>
      <c r="J5954" t="s">
        <v>36620</v>
      </c>
      <c r="K5954" t="s">
        <v>42717</v>
      </c>
      <c r="M5954" t="s">
        <v>45089</v>
      </c>
      <c r="N5954" t="s">
        <v>47304</v>
      </c>
      <c r="O5954" t="s">
        <v>47305</v>
      </c>
      <c r="P5954">
        <v>0</v>
      </c>
      <c r="Q5954">
        <v>0</v>
      </c>
      <c r="R5954" t="s">
        <v>47309</v>
      </c>
      <c r="S5954" t="s">
        <v>47432</v>
      </c>
      <c r="T5954" t="s">
        <v>48975</v>
      </c>
      <c r="U5954" t="s">
        <v>54531</v>
      </c>
      <c r="W5954" t="s">
        <v>45089</v>
      </c>
      <c r="X5954" t="s">
        <v>47310</v>
      </c>
    </row>
    <row r="5955" spans="1:24">
      <c r="A5955">
        <f>HYPERLINK("https://www.philgeps.gov.ph/GEPSNONPILOT/Tender/SplashBidNoticeAbstractUI.aspx?menuIndex=3&amp;refID=7193912&amp;Result=3","7193912")</f>
        <v>0</v>
      </c>
      <c r="B5955" t="s">
        <v>1929</v>
      </c>
      <c r="C5955" t="s">
        <v>9444</v>
      </c>
      <c r="D5955" t="s">
        <v>19032</v>
      </c>
      <c r="E5955" t="s">
        <v>24327</v>
      </c>
      <c r="F5955" t="s">
        <v>32606</v>
      </c>
      <c r="G5955" t="s">
        <v>32613</v>
      </c>
      <c r="H5955" t="s">
        <v>14201</v>
      </c>
      <c r="I5955" t="s">
        <v>6931</v>
      </c>
      <c r="J5955" t="s">
        <v>36621</v>
      </c>
      <c r="K5955" t="s">
        <v>42623</v>
      </c>
      <c r="M5955" t="s">
        <v>44989</v>
      </c>
      <c r="N5955" t="s">
        <v>47304</v>
      </c>
      <c r="O5955" t="s">
        <v>47305</v>
      </c>
      <c r="P5955">
        <v>0</v>
      </c>
      <c r="Q5955">
        <v>0</v>
      </c>
      <c r="R5955" t="s">
        <v>47309</v>
      </c>
      <c r="S5955" t="s">
        <v>47432</v>
      </c>
      <c r="T5955" t="s">
        <v>48988</v>
      </c>
      <c r="U5955" t="s">
        <v>54532</v>
      </c>
      <c r="W5955" t="s">
        <v>44989</v>
      </c>
      <c r="X5955" t="s">
        <v>47310</v>
      </c>
    </row>
    <row r="5956" spans="1:24">
      <c r="A5956">
        <f>HYPERLINK("https://www.philgeps.gov.ph/GEPSNONPILOT/Tender/SplashBidNoticeAbstractUI.aspx?menuIndex=3&amp;refID=7193928&amp;Result=3","7193928")</f>
        <v>0</v>
      </c>
      <c r="B5956" t="s">
        <v>2001</v>
      </c>
      <c r="C5956" t="s">
        <v>9445</v>
      </c>
      <c r="D5956" t="s">
        <v>18993</v>
      </c>
      <c r="E5956" t="s">
        <v>19462</v>
      </c>
      <c r="F5956" t="s">
        <v>32606</v>
      </c>
      <c r="G5956" t="s">
        <v>32613</v>
      </c>
      <c r="H5956" t="s">
        <v>14201</v>
      </c>
      <c r="I5956" t="s">
        <v>6298</v>
      </c>
      <c r="J5956" t="s">
        <v>32981</v>
      </c>
      <c r="K5956" t="s">
        <v>42632</v>
      </c>
      <c r="M5956" t="s">
        <v>45070</v>
      </c>
      <c r="N5956" t="s">
        <v>47304</v>
      </c>
      <c r="O5956" t="s">
        <v>47305</v>
      </c>
      <c r="P5956">
        <v>0</v>
      </c>
      <c r="Q5956">
        <v>0</v>
      </c>
      <c r="R5956" t="s">
        <v>47309</v>
      </c>
      <c r="S5956" t="s">
        <v>47432</v>
      </c>
      <c r="T5956" t="s">
        <v>49002</v>
      </c>
      <c r="U5956" t="s">
        <v>54533</v>
      </c>
      <c r="V5956" t="s">
        <v>63211</v>
      </c>
      <c r="W5956" t="s">
        <v>45070</v>
      </c>
      <c r="X5956" t="s">
        <v>47310</v>
      </c>
    </row>
    <row r="5957" spans="1:24">
      <c r="A5957">
        <f>HYPERLINK("https://www.philgeps.gov.ph/GEPSNONPILOT/Tender/SplashBidNoticeAbstractUI.aspx?menuIndex=3&amp;refID=7193911&amp;Result=3","7193911")</f>
        <v>0</v>
      </c>
      <c r="B5957" t="s">
        <v>293</v>
      </c>
      <c r="C5957" t="s">
        <v>9446</v>
      </c>
      <c r="D5957" t="s">
        <v>19016</v>
      </c>
      <c r="E5957" t="s">
        <v>24328</v>
      </c>
      <c r="F5957" t="s">
        <v>32607</v>
      </c>
      <c r="G5957" t="s">
        <v>32619</v>
      </c>
      <c r="H5957" t="s">
        <v>14201</v>
      </c>
      <c r="I5957" t="s">
        <v>6298</v>
      </c>
      <c r="J5957" t="s">
        <v>32868</v>
      </c>
      <c r="K5957" t="s">
        <v>42623</v>
      </c>
      <c r="M5957" t="s">
        <v>43195</v>
      </c>
      <c r="N5957" t="s">
        <v>47304</v>
      </c>
      <c r="O5957" t="s">
        <v>47305</v>
      </c>
      <c r="P5957">
        <v>0</v>
      </c>
      <c r="Q5957">
        <v>1</v>
      </c>
      <c r="R5957" t="s">
        <v>47309</v>
      </c>
      <c r="S5957" t="s">
        <v>47432</v>
      </c>
      <c r="T5957" t="s">
        <v>49071</v>
      </c>
      <c r="U5957" t="s">
        <v>54534</v>
      </c>
      <c r="W5957" t="s">
        <v>43195</v>
      </c>
      <c r="X5957" t="s">
        <v>47310</v>
      </c>
    </row>
    <row r="5958" spans="1:24">
      <c r="A5958">
        <f>HYPERLINK("https://www.philgeps.gov.ph/GEPSNONPILOT/Tender/SplashBidNoticeAbstractUI.aspx?menuIndex=3&amp;refID=7193909&amp;Result=3","7193909")</f>
        <v>0</v>
      </c>
      <c r="B5958" t="s">
        <v>293</v>
      </c>
      <c r="C5958" t="s">
        <v>9447</v>
      </c>
      <c r="D5958" t="s">
        <v>19016</v>
      </c>
      <c r="E5958" t="s">
        <v>24329</v>
      </c>
      <c r="F5958" t="s">
        <v>32607</v>
      </c>
      <c r="G5958" t="s">
        <v>32619</v>
      </c>
      <c r="H5958" t="s">
        <v>14201</v>
      </c>
      <c r="I5958" t="s">
        <v>6298</v>
      </c>
      <c r="J5958" t="s">
        <v>32752</v>
      </c>
      <c r="K5958" t="s">
        <v>42623</v>
      </c>
      <c r="M5958" t="s">
        <v>43195</v>
      </c>
      <c r="N5958" t="s">
        <v>47304</v>
      </c>
      <c r="O5958" t="s">
        <v>47305</v>
      </c>
      <c r="P5958">
        <v>0</v>
      </c>
      <c r="Q5958">
        <v>2</v>
      </c>
      <c r="R5958" t="s">
        <v>47309</v>
      </c>
      <c r="S5958" t="s">
        <v>47432</v>
      </c>
      <c r="T5958" t="s">
        <v>49071</v>
      </c>
      <c r="U5958" t="s">
        <v>54535</v>
      </c>
      <c r="W5958" t="s">
        <v>43195</v>
      </c>
      <c r="X5958" t="s">
        <v>47310</v>
      </c>
    </row>
    <row r="5959" spans="1:24">
      <c r="A5959">
        <f>HYPERLINK("https://www.philgeps.gov.ph/GEPSNONPILOT/Tender/SplashBidNoticeAbstractUI.aspx?menuIndex=3&amp;refID=7184228&amp;Result=3","7184228")</f>
        <v>0</v>
      </c>
      <c r="B5959" t="s">
        <v>2012</v>
      </c>
      <c r="C5959" t="s">
        <v>9448</v>
      </c>
      <c r="D5959" t="s">
        <v>19010</v>
      </c>
      <c r="E5959" t="s">
        <v>24330</v>
      </c>
      <c r="F5959" t="s">
        <v>32606</v>
      </c>
      <c r="G5959" t="s">
        <v>32617</v>
      </c>
      <c r="H5959" t="s">
        <v>14201</v>
      </c>
      <c r="I5959" t="s">
        <v>4120</v>
      </c>
      <c r="J5959" t="s">
        <v>32981</v>
      </c>
      <c r="K5959" t="s">
        <v>42631</v>
      </c>
      <c r="M5959" t="s">
        <v>45084</v>
      </c>
      <c r="N5959" t="s">
        <v>47304</v>
      </c>
      <c r="O5959" t="s">
        <v>47305</v>
      </c>
      <c r="P5959">
        <v>0</v>
      </c>
      <c r="Q5959">
        <v>0</v>
      </c>
      <c r="R5959" t="s">
        <v>47310</v>
      </c>
      <c r="S5959" t="s">
        <v>47435</v>
      </c>
      <c r="T5959" t="s">
        <v>49268</v>
      </c>
      <c r="U5959" t="s">
        <v>54536</v>
      </c>
      <c r="V5959" t="s">
        <v>63204</v>
      </c>
      <c r="W5959" t="s">
        <v>45084</v>
      </c>
      <c r="X5959" t="s">
        <v>47314</v>
      </c>
    </row>
    <row r="5960" spans="1:24">
      <c r="A5960">
        <f>HYPERLINK("https://www.philgeps.gov.ph/GEPSNONPILOT/Tender/SplashBidNoticeAbstractUI.aspx?menuIndex=3&amp;refID=7190720&amp;Result=3","7190720")</f>
        <v>0</v>
      </c>
      <c r="B5960" t="s">
        <v>2017</v>
      </c>
      <c r="C5960" t="s">
        <v>9449</v>
      </c>
      <c r="D5960" t="s">
        <v>19023</v>
      </c>
      <c r="E5960" t="s">
        <v>24331</v>
      </c>
      <c r="F5960" t="s">
        <v>32606</v>
      </c>
      <c r="G5960" t="s">
        <v>32614</v>
      </c>
      <c r="H5960" t="s">
        <v>14201</v>
      </c>
      <c r="I5960" t="s">
        <v>32650</v>
      </c>
      <c r="J5960" t="s">
        <v>32981</v>
      </c>
      <c r="K5960" t="s">
        <v>42631</v>
      </c>
      <c r="M5960" t="s">
        <v>45090</v>
      </c>
      <c r="N5960" t="s">
        <v>47304</v>
      </c>
      <c r="O5960" t="s">
        <v>47305</v>
      </c>
      <c r="P5960">
        <v>0</v>
      </c>
      <c r="Q5960">
        <v>1</v>
      </c>
      <c r="R5960" t="s">
        <v>47310</v>
      </c>
      <c r="S5960" t="s">
        <v>47435</v>
      </c>
      <c r="T5960" t="s">
        <v>49333</v>
      </c>
      <c r="U5960" t="s">
        <v>54537</v>
      </c>
      <c r="V5960" t="s">
        <v>63212</v>
      </c>
      <c r="W5960" t="s">
        <v>45090</v>
      </c>
      <c r="X5960" t="s">
        <v>47312</v>
      </c>
    </row>
    <row r="5961" spans="1:24">
      <c r="A5961">
        <f>HYPERLINK("https://www.philgeps.gov.ph/GEPSNONPILOT/Tender/SplashBidNoticeAbstractUI.aspx?menuIndex=3&amp;refID=7190662&amp;Result=3","7190662")</f>
        <v>0</v>
      </c>
      <c r="B5961" t="s">
        <v>2017</v>
      </c>
      <c r="C5961" t="s">
        <v>9450</v>
      </c>
      <c r="D5961" t="s">
        <v>19023</v>
      </c>
      <c r="E5961" t="s">
        <v>24332</v>
      </c>
      <c r="F5961" t="s">
        <v>32606</v>
      </c>
      <c r="G5961" t="s">
        <v>32614</v>
      </c>
      <c r="H5961" t="s">
        <v>14201</v>
      </c>
      <c r="I5961" t="s">
        <v>32650</v>
      </c>
      <c r="J5961" t="s">
        <v>32981</v>
      </c>
      <c r="K5961" t="s">
        <v>42631</v>
      </c>
      <c r="M5961" t="s">
        <v>45090</v>
      </c>
      <c r="N5961" t="s">
        <v>47304</v>
      </c>
      <c r="O5961" t="s">
        <v>47305</v>
      </c>
      <c r="P5961">
        <v>0</v>
      </c>
      <c r="Q5961">
        <v>0</v>
      </c>
      <c r="R5961" t="s">
        <v>47310</v>
      </c>
      <c r="S5961" t="s">
        <v>47435</v>
      </c>
      <c r="T5961" t="s">
        <v>49071</v>
      </c>
      <c r="U5961" t="s">
        <v>54538</v>
      </c>
      <c r="V5961" t="s">
        <v>63212</v>
      </c>
      <c r="W5961" t="s">
        <v>45090</v>
      </c>
      <c r="X5961" t="s">
        <v>47312</v>
      </c>
    </row>
    <row r="5962" spans="1:24">
      <c r="A5962">
        <f>HYPERLINK("https://www.philgeps.gov.ph/GEPSNONPILOT/Tender/SplashBidNoticeAbstractUI.aspx?menuIndex=3&amp;refID=7175495&amp;Result=3","7175495")</f>
        <v>0</v>
      </c>
      <c r="B5962" t="s">
        <v>2012</v>
      </c>
      <c r="C5962" t="s">
        <v>9451</v>
      </c>
      <c r="D5962" t="s">
        <v>19010</v>
      </c>
      <c r="E5962" t="s">
        <v>24333</v>
      </c>
      <c r="F5962" t="s">
        <v>32606</v>
      </c>
      <c r="G5962" t="s">
        <v>32614</v>
      </c>
      <c r="H5962" t="s">
        <v>14201</v>
      </c>
      <c r="I5962" t="s">
        <v>13131</v>
      </c>
      <c r="J5962" t="s">
        <v>36622</v>
      </c>
      <c r="K5962" t="s">
        <v>42631</v>
      </c>
      <c r="M5962" t="s">
        <v>45084</v>
      </c>
      <c r="N5962" t="s">
        <v>47304</v>
      </c>
      <c r="O5962" t="s">
        <v>47305</v>
      </c>
      <c r="P5962">
        <v>0</v>
      </c>
      <c r="Q5962">
        <v>8</v>
      </c>
      <c r="R5962" t="s">
        <v>47310</v>
      </c>
      <c r="S5962" t="s">
        <v>47435</v>
      </c>
      <c r="T5962" t="s">
        <v>49268</v>
      </c>
      <c r="U5962" t="s">
        <v>54539</v>
      </c>
      <c r="V5962" t="s">
        <v>63213</v>
      </c>
      <c r="W5962" t="s">
        <v>45084</v>
      </c>
      <c r="X5962" t="s">
        <v>47319</v>
      </c>
    </row>
    <row r="5963" spans="1:24">
      <c r="A5963">
        <f>HYPERLINK("https://www.philgeps.gov.ph/GEPSNONPILOT/Tender/SplashBidNoticeAbstractUI.aspx?menuIndex=3&amp;refID=7193944&amp;Result=3","7193944")</f>
        <v>0</v>
      </c>
      <c r="B5963" t="s">
        <v>1954</v>
      </c>
      <c r="C5963" t="s">
        <v>9452</v>
      </c>
      <c r="E5963" t="s">
        <v>24334</v>
      </c>
      <c r="F5963" t="s">
        <v>32606</v>
      </c>
      <c r="G5963" t="s">
        <v>32614</v>
      </c>
      <c r="H5963" t="s">
        <v>14201</v>
      </c>
      <c r="I5963" t="s">
        <v>32638</v>
      </c>
      <c r="J5963" t="s">
        <v>36623</v>
      </c>
      <c r="K5963" t="s">
        <v>42624</v>
      </c>
      <c r="M5963" t="s">
        <v>45015</v>
      </c>
      <c r="N5963" t="s">
        <v>47304</v>
      </c>
      <c r="O5963" t="s">
        <v>47305</v>
      </c>
      <c r="P5963">
        <v>0</v>
      </c>
      <c r="Q5963">
        <v>2</v>
      </c>
      <c r="R5963" t="s">
        <v>47309</v>
      </c>
      <c r="S5963" t="s">
        <v>47432</v>
      </c>
      <c r="T5963" t="s">
        <v>49000</v>
      </c>
      <c r="U5963" t="s">
        <v>54492</v>
      </c>
      <c r="W5963" t="s">
        <v>45015</v>
      </c>
      <c r="X5963" t="s">
        <v>47310</v>
      </c>
    </row>
    <row r="5964" spans="1:24">
      <c r="A5964">
        <f>HYPERLINK("https://www.philgeps.gov.ph/GEPSNONPILOT/Tender/SplashBidNoticeAbstractUI.aspx?menuIndex=3&amp;refID=7189326&amp;Result=3","7189326")</f>
        <v>0</v>
      </c>
      <c r="B5964" t="s">
        <v>2018</v>
      </c>
      <c r="C5964" t="s">
        <v>9453</v>
      </c>
      <c r="D5964" t="s">
        <v>19002</v>
      </c>
      <c r="E5964" t="s">
        <v>24335</v>
      </c>
      <c r="F5964" t="s">
        <v>32606</v>
      </c>
      <c r="G5964" t="s">
        <v>32614</v>
      </c>
      <c r="H5964" t="s">
        <v>14201</v>
      </c>
      <c r="I5964" t="s">
        <v>4678</v>
      </c>
      <c r="J5964" t="s">
        <v>32781</v>
      </c>
      <c r="K5964" t="s">
        <v>42623</v>
      </c>
      <c r="M5964" t="s">
        <v>45091</v>
      </c>
      <c r="N5964" t="s">
        <v>47304</v>
      </c>
      <c r="O5964" t="s">
        <v>47305</v>
      </c>
      <c r="P5964">
        <v>0</v>
      </c>
      <c r="Q5964">
        <v>3</v>
      </c>
      <c r="R5964" t="s">
        <v>47310</v>
      </c>
      <c r="S5964" t="s">
        <v>47435</v>
      </c>
      <c r="T5964" t="s">
        <v>49330</v>
      </c>
      <c r="U5964" t="s">
        <v>54540</v>
      </c>
      <c r="W5964" t="s">
        <v>45091</v>
      </c>
      <c r="X5964" t="s">
        <v>47313</v>
      </c>
    </row>
    <row r="5965" spans="1:24">
      <c r="A5965">
        <f>HYPERLINK("https://www.philgeps.gov.ph/GEPSNONPILOT/Tender/SplashBidNoticeAbstractUI.aspx?menuIndex=3&amp;refID=7193917&amp;Result=3","7193917")</f>
        <v>0</v>
      </c>
      <c r="B5965" t="s">
        <v>1954</v>
      </c>
      <c r="C5965" t="s">
        <v>9454</v>
      </c>
      <c r="E5965" t="s">
        <v>24336</v>
      </c>
      <c r="F5965" t="s">
        <v>32606</v>
      </c>
      <c r="G5965" t="s">
        <v>32617</v>
      </c>
      <c r="H5965" t="s">
        <v>14201</v>
      </c>
      <c r="I5965" t="s">
        <v>4678</v>
      </c>
      <c r="J5965" t="s">
        <v>32854</v>
      </c>
      <c r="K5965" t="s">
        <v>42624</v>
      </c>
      <c r="M5965" t="s">
        <v>45015</v>
      </c>
      <c r="N5965" t="s">
        <v>47304</v>
      </c>
      <c r="O5965" t="s">
        <v>47305</v>
      </c>
      <c r="P5965">
        <v>0</v>
      </c>
      <c r="Q5965">
        <v>5</v>
      </c>
      <c r="R5965" t="s">
        <v>47309</v>
      </c>
      <c r="S5965" t="s">
        <v>47432</v>
      </c>
      <c r="T5965" t="s">
        <v>49000</v>
      </c>
      <c r="U5965" t="s">
        <v>54492</v>
      </c>
      <c r="W5965" t="s">
        <v>45015</v>
      </c>
      <c r="X5965" t="s">
        <v>47310</v>
      </c>
    </row>
    <row r="5966" spans="1:24">
      <c r="A5966">
        <f>HYPERLINK("https://www.philgeps.gov.ph/GEPSNONPILOT/Tender/SplashBidNoticeAbstractUI.aspx?menuIndex=3&amp;refID=7189293&amp;Result=3","7189293")</f>
        <v>0</v>
      </c>
      <c r="B5966" t="s">
        <v>2018</v>
      </c>
      <c r="C5966" t="s">
        <v>9455</v>
      </c>
      <c r="D5966" t="s">
        <v>19002</v>
      </c>
      <c r="E5966" t="s">
        <v>24337</v>
      </c>
      <c r="F5966" t="s">
        <v>32606</v>
      </c>
      <c r="G5966" t="s">
        <v>32614</v>
      </c>
      <c r="H5966" t="s">
        <v>14201</v>
      </c>
      <c r="I5966" t="s">
        <v>4678</v>
      </c>
      <c r="J5966" t="s">
        <v>32999</v>
      </c>
      <c r="K5966" t="s">
        <v>42623</v>
      </c>
      <c r="M5966" t="s">
        <v>45091</v>
      </c>
      <c r="N5966" t="s">
        <v>47304</v>
      </c>
      <c r="O5966" t="s">
        <v>47305</v>
      </c>
      <c r="P5966">
        <v>0</v>
      </c>
      <c r="Q5966">
        <v>2</v>
      </c>
      <c r="R5966" t="s">
        <v>47310</v>
      </c>
      <c r="S5966" t="s">
        <v>47435</v>
      </c>
      <c r="T5966" t="s">
        <v>49330</v>
      </c>
      <c r="U5966" t="s">
        <v>54540</v>
      </c>
      <c r="W5966" t="s">
        <v>45091</v>
      </c>
      <c r="X5966" t="s">
        <v>47313</v>
      </c>
    </row>
    <row r="5967" spans="1:24">
      <c r="A5967">
        <f>HYPERLINK("https://www.philgeps.gov.ph/GEPSNONPILOT/Tender/SplashBidNoticeAbstractUI.aspx?menuIndex=3&amp;refID=7189272&amp;Result=3","7189272")</f>
        <v>0</v>
      </c>
      <c r="B5967" t="s">
        <v>2018</v>
      </c>
      <c r="C5967" t="s">
        <v>9456</v>
      </c>
      <c r="D5967" t="s">
        <v>19002</v>
      </c>
      <c r="E5967" t="s">
        <v>24338</v>
      </c>
      <c r="F5967" t="s">
        <v>32606</v>
      </c>
      <c r="G5967" t="s">
        <v>32617</v>
      </c>
      <c r="H5967" t="s">
        <v>14201</v>
      </c>
      <c r="I5967" t="s">
        <v>4120</v>
      </c>
      <c r="J5967" t="s">
        <v>36624</v>
      </c>
      <c r="K5967" t="s">
        <v>42623</v>
      </c>
      <c r="M5967" t="s">
        <v>45091</v>
      </c>
      <c r="N5967" t="s">
        <v>47304</v>
      </c>
      <c r="O5967" t="s">
        <v>47305</v>
      </c>
      <c r="P5967">
        <v>0</v>
      </c>
      <c r="Q5967">
        <v>2</v>
      </c>
      <c r="R5967" t="s">
        <v>47310</v>
      </c>
      <c r="S5967" t="s">
        <v>47435</v>
      </c>
      <c r="T5967" t="s">
        <v>49330</v>
      </c>
      <c r="U5967" t="s">
        <v>54540</v>
      </c>
      <c r="W5967" t="s">
        <v>45091</v>
      </c>
      <c r="X5967" t="s">
        <v>47313</v>
      </c>
    </row>
    <row r="5968" spans="1:24">
      <c r="A5968">
        <f>HYPERLINK("https://www.philgeps.gov.ph/GEPSNONPILOT/Tender/SplashBidNoticeAbstractUI.aspx?menuIndex=3&amp;refID=7189209&amp;Result=3","7189209")</f>
        <v>0</v>
      </c>
      <c r="B5968" t="s">
        <v>2018</v>
      </c>
      <c r="C5968" t="s">
        <v>9457</v>
      </c>
      <c r="D5968" t="s">
        <v>19002</v>
      </c>
      <c r="E5968" t="s">
        <v>24339</v>
      </c>
      <c r="F5968" t="s">
        <v>32606</v>
      </c>
      <c r="G5968" t="s">
        <v>32614</v>
      </c>
      <c r="H5968" t="s">
        <v>14201</v>
      </c>
      <c r="I5968" t="s">
        <v>6931</v>
      </c>
      <c r="J5968" t="s">
        <v>36625</v>
      </c>
      <c r="K5968" t="s">
        <v>42623</v>
      </c>
      <c r="M5968" t="s">
        <v>45091</v>
      </c>
      <c r="N5968" t="s">
        <v>47304</v>
      </c>
      <c r="O5968" t="s">
        <v>47305</v>
      </c>
      <c r="P5968">
        <v>0</v>
      </c>
      <c r="Q5968">
        <v>1</v>
      </c>
      <c r="R5968" t="s">
        <v>47310</v>
      </c>
      <c r="S5968" t="s">
        <v>47435</v>
      </c>
      <c r="T5968" t="s">
        <v>49330</v>
      </c>
      <c r="U5968" t="s">
        <v>54540</v>
      </c>
      <c r="W5968" t="s">
        <v>45091</v>
      </c>
      <c r="X5968" t="s">
        <v>47313</v>
      </c>
    </row>
    <row r="5969" spans="1:24">
      <c r="A5969">
        <f>HYPERLINK("https://www.philgeps.gov.ph/GEPSNONPILOT/Tender/SplashBidNoticeAbstractUI.aspx?menuIndex=3&amp;refID=7189117&amp;Result=3","7189117")</f>
        <v>0</v>
      </c>
      <c r="B5969" t="s">
        <v>2018</v>
      </c>
      <c r="C5969" t="s">
        <v>9458</v>
      </c>
      <c r="D5969" t="s">
        <v>19002</v>
      </c>
      <c r="E5969" t="s">
        <v>24340</v>
      </c>
      <c r="F5969" t="s">
        <v>32606</v>
      </c>
      <c r="G5969" t="s">
        <v>32614</v>
      </c>
      <c r="H5969" t="s">
        <v>14201</v>
      </c>
      <c r="I5969" t="s">
        <v>6931</v>
      </c>
      <c r="J5969" t="s">
        <v>36626</v>
      </c>
      <c r="K5969" t="s">
        <v>42623</v>
      </c>
      <c r="M5969" t="s">
        <v>45091</v>
      </c>
      <c r="N5969" t="s">
        <v>47304</v>
      </c>
      <c r="O5969" t="s">
        <v>47305</v>
      </c>
      <c r="P5969">
        <v>0</v>
      </c>
      <c r="Q5969">
        <v>1</v>
      </c>
      <c r="R5969" t="s">
        <v>47310</v>
      </c>
      <c r="S5969" t="s">
        <v>47435</v>
      </c>
      <c r="T5969" t="s">
        <v>49330</v>
      </c>
      <c r="U5969" t="s">
        <v>54540</v>
      </c>
      <c r="W5969" t="s">
        <v>45091</v>
      </c>
      <c r="X5969" t="s">
        <v>47313</v>
      </c>
    </row>
    <row r="5970" spans="1:24">
      <c r="A5970">
        <f>HYPERLINK("https://www.philgeps.gov.ph/GEPSNONPILOT/Tender/SplashBidNoticeAbstractUI.aspx?menuIndex=3&amp;refID=7188404&amp;Result=3","7188404")</f>
        <v>0</v>
      </c>
      <c r="B5970" t="s">
        <v>1500</v>
      </c>
      <c r="C5970" t="s">
        <v>9459</v>
      </c>
      <c r="D5970" t="s">
        <v>19003</v>
      </c>
      <c r="E5970" t="s">
        <v>24341</v>
      </c>
      <c r="F5970" t="s">
        <v>32606</v>
      </c>
      <c r="G5970" t="s">
        <v>32613</v>
      </c>
      <c r="H5970" t="s">
        <v>14201</v>
      </c>
      <c r="I5970" t="s">
        <v>4121</v>
      </c>
      <c r="J5970" t="s">
        <v>33071</v>
      </c>
      <c r="K5970" t="s">
        <v>42636</v>
      </c>
      <c r="M5970" t="s">
        <v>44496</v>
      </c>
      <c r="N5970" t="s">
        <v>47304</v>
      </c>
      <c r="O5970" t="s">
        <v>47305</v>
      </c>
      <c r="P5970">
        <v>0</v>
      </c>
      <c r="Q5970">
        <v>7</v>
      </c>
      <c r="R5970" t="s">
        <v>47310</v>
      </c>
      <c r="S5970" t="s">
        <v>47435</v>
      </c>
      <c r="T5970" t="s">
        <v>49133</v>
      </c>
      <c r="U5970" t="s">
        <v>54541</v>
      </c>
      <c r="W5970" t="s">
        <v>44496</v>
      </c>
      <c r="X5970" t="s">
        <v>47313</v>
      </c>
    </row>
    <row r="5971" spans="1:24">
      <c r="A5971">
        <f>HYPERLINK("https://www.philgeps.gov.ph/GEPSNONPILOT/Tender/SplashBidNoticeAbstractUI.aspx?menuIndex=3&amp;refID=7188307&amp;Result=3","7188307")</f>
        <v>0</v>
      </c>
      <c r="B5971" t="s">
        <v>1500</v>
      </c>
      <c r="C5971" t="s">
        <v>9460</v>
      </c>
      <c r="D5971" t="s">
        <v>19003</v>
      </c>
      <c r="E5971" t="s">
        <v>9460</v>
      </c>
      <c r="F5971" t="s">
        <v>32606</v>
      </c>
      <c r="G5971" t="s">
        <v>32613</v>
      </c>
      <c r="H5971" t="s">
        <v>14201</v>
      </c>
      <c r="I5971" t="s">
        <v>4121</v>
      </c>
      <c r="J5971" t="s">
        <v>35368</v>
      </c>
      <c r="K5971" t="s">
        <v>42636</v>
      </c>
      <c r="M5971" t="s">
        <v>44496</v>
      </c>
      <c r="N5971" t="s">
        <v>47304</v>
      </c>
      <c r="O5971" t="s">
        <v>47305</v>
      </c>
      <c r="P5971">
        <v>0</v>
      </c>
      <c r="Q5971">
        <v>2</v>
      </c>
      <c r="R5971" t="s">
        <v>47310</v>
      </c>
      <c r="S5971" t="s">
        <v>47435</v>
      </c>
      <c r="T5971" t="s">
        <v>49133</v>
      </c>
      <c r="U5971" t="s">
        <v>54542</v>
      </c>
      <c r="W5971" t="s">
        <v>44496</v>
      </c>
      <c r="X5971" t="s">
        <v>47313</v>
      </c>
    </row>
    <row r="5972" spans="1:24">
      <c r="A5972">
        <f>HYPERLINK("https://www.philgeps.gov.ph/GEPSNONPILOT/Tender/SplashBidNoticeAbstractUI.aspx?menuIndex=3&amp;refID=7190584&amp;Result=3","7190584")</f>
        <v>0</v>
      </c>
      <c r="B5972" t="s">
        <v>121</v>
      </c>
      <c r="C5972" t="s">
        <v>9461</v>
      </c>
      <c r="D5972" t="s">
        <v>19002</v>
      </c>
      <c r="E5972" t="s">
        <v>24342</v>
      </c>
      <c r="F5972" t="s">
        <v>32606</v>
      </c>
      <c r="G5972" t="s">
        <v>32614</v>
      </c>
      <c r="H5972" t="s">
        <v>14201</v>
      </c>
      <c r="I5972" t="s">
        <v>32640</v>
      </c>
      <c r="J5972" t="s">
        <v>36627</v>
      </c>
      <c r="K5972" t="s">
        <v>42630</v>
      </c>
      <c r="M5972" t="s">
        <v>43022</v>
      </c>
      <c r="N5972" t="s">
        <v>47304</v>
      </c>
      <c r="O5972" t="s">
        <v>47305</v>
      </c>
      <c r="P5972">
        <v>0</v>
      </c>
      <c r="Q5972">
        <v>2</v>
      </c>
      <c r="R5972" t="s">
        <v>47310</v>
      </c>
      <c r="S5972" t="s">
        <v>47435</v>
      </c>
      <c r="T5972" t="s">
        <v>49072</v>
      </c>
      <c r="U5972" t="s">
        <v>54543</v>
      </c>
      <c r="W5972" t="s">
        <v>43022</v>
      </c>
      <c r="X5972" t="s">
        <v>47312</v>
      </c>
    </row>
    <row r="5973" spans="1:24">
      <c r="A5973">
        <f>HYPERLINK("https://www.philgeps.gov.ph/GEPSNONPILOT/Tender/SplashBidNoticeAbstractUI.aspx?menuIndex=3&amp;refID=7188223&amp;Result=3","7188223")</f>
        <v>0</v>
      </c>
      <c r="B5973" t="s">
        <v>1500</v>
      </c>
      <c r="C5973" t="s">
        <v>9462</v>
      </c>
      <c r="D5973" t="s">
        <v>19003</v>
      </c>
      <c r="E5973" t="s">
        <v>24343</v>
      </c>
      <c r="F5973" t="s">
        <v>32606</v>
      </c>
      <c r="G5973" t="s">
        <v>32613</v>
      </c>
      <c r="H5973" t="s">
        <v>14201</v>
      </c>
      <c r="I5973" t="s">
        <v>4121</v>
      </c>
      <c r="J5973" t="s">
        <v>32767</v>
      </c>
      <c r="K5973" t="s">
        <v>42636</v>
      </c>
      <c r="M5973" t="s">
        <v>44496</v>
      </c>
      <c r="N5973" t="s">
        <v>47304</v>
      </c>
      <c r="O5973" t="s">
        <v>47305</v>
      </c>
      <c r="P5973">
        <v>0</v>
      </c>
      <c r="Q5973">
        <v>3</v>
      </c>
      <c r="R5973" t="s">
        <v>47310</v>
      </c>
      <c r="S5973" t="s">
        <v>47435</v>
      </c>
      <c r="T5973" t="s">
        <v>49059</v>
      </c>
      <c r="U5973" t="s">
        <v>54544</v>
      </c>
      <c r="W5973" t="s">
        <v>44496</v>
      </c>
      <c r="X5973" t="s">
        <v>47313</v>
      </c>
    </row>
    <row r="5974" spans="1:24">
      <c r="A5974">
        <f>HYPERLINK("https://www.philgeps.gov.ph/GEPSNONPILOT/Tender/SplashBidNoticeAbstractUI.aspx?menuIndex=3&amp;refID=7190095&amp;Result=3","7190095")</f>
        <v>0</v>
      </c>
      <c r="B5974" t="s">
        <v>2019</v>
      </c>
      <c r="C5974" t="s">
        <v>9463</v>
      </c>
      <c r="D5974" t="s">
        <v>19010</v>
      </c>
      <c r="E5974" t="s">
        <v>19522</v>
      </c>
      <c r="F5974" t="s">
        <v>32607</v>
      </c>
      <c r="G5974" t="s">
        <v>32613</v>
      </c>
      <c r="H5974" t="s">
        <v>14201</v>
      </c>
      <c r="I5974" t="s">
        <v>32693</v>
      </c>
      <c r="J5974" t="s">
        <v>36628</v>
      </c>
      <c r="K5974" t="s">
        <v>42630</v>
      </c>
      <c r="L5974" t="s">
        <v>2019</v>
      </c>
      <c r="M5974" t="s">
        <v>45092</v>
      </c>
      <c r="N5974" t="s">
        <v>47304</v>
      </c>
      <c r="O5974" t="s">
        <v>47305</v>
      </c>
      <c r="P5974">
        <v>0</v>
      </c>
      <c r="Q5974">
        <v>1</v>
      </c>
      <c r="R5974" t="s">
        <v>47310</v>
      </c>
      <c r="S5974" t="s">
        <v>47435</v>
      </c>
      <c r="T5974" t="s">
        <v>49249</v>
      </c>
      <c r="U5974" t="s">
        <v>54545</v>
      </c>
      <c r="V5974" t="s">
        <v>63214</v>
      </c>
      <c r="W5974" t="s">
        <v>45092</v>
      </c>
      <c r="X5974" t="s">
        <v>47312</v>
      </c>
    </row>
    <row r="5975" spans="1:24">
      <c r="A5975">
        <f>HYPERLINK("https://www.philgeps.gov.ph/GEPSNONPILOT/Tender/SplashBidNoticeAbstractUI.aspx?menuIndex=3&amp;refID=7186625&amp;Result=3","7186625")</f>
        <v>0</v>
      </c>
      <c r="B5975" t="s">
        <v>870</v>
      </c>
      <c r="C5975" t="s">
        <v>9464</v>
      </c>
      <c r="D5975" t="s">
        <v>18993</v>
      </c>
      <c r="E5975" t="s">
        <v>24344</v>
      </c>
      <c r="F5975" t="s">
        <v>32607</v>
      </c>
      <c r="G5975" t="s">
        <v>32614</v>
      </c>
      <c r="H5975" t="s">
        <v>14201</v>
      </c>
      <c r="I5975" t="s">
        <v>4114</v>
      </c>
      <c r="J5975" t="s">
        <v>33994</v>
      </c>
      <c r="K5975" t="s">
        <v>42624</v>
      </c>
      <c r="M5975" t="s">
        <v>45093</v>
      </c>
      <c r="N5975" t="s">
        <v>47304</v>
      </c>
      <c r="O5975" t="s">
        <v>47305</v>
      </c>
      <c r="P5975">
        <v>0</v>
      </c>
      <c r="Q5975">
        <v>4</v>
      </c>
      <c r="R5975" t="s">
        <v>47310</v>
      </c>
      <c r="S5975" t="s">
        <v>47435</v>
      </c>
      <c r="T5975" t="s">
        <v>48972</v>
      </c>
      <c r="U5975" t="s">
        <v>54546</v>
      </c>
      <c r="W5975" t="s">
        <v>45093</v>
      </c>
      <c r="X5975" t="s">
        <v>47314</v>
      </c>
    </row>
    <row r="5976" spans="1:24">
      <c r="A5976">
        <f>HYPERLINK("https://www.philgeps.gov.ph/GEPSNONPILOT/Tender/SplashBidNoticeAbstractUI.aspx?menuIndex=3&amp;refID=7184377&amp;Result=3","7184377")</f>
        <v>0</v>
      </c>
      <c r="B5976" t="s">
        <v>2012</v>
      </c>
      <c r="C5976" t="s">
        <v>9465</v>
      </c>
      <c r="D5976" t="s">
        <v>19010</v>
      </c>
      <c r="E5976" t="s">
        <v>24345</v>
      </c>
      <c r="F5976" t="s">
        <v>32606</v>
      </c>
      <c r="G5976" t="s">
        <v>32614</v>
      </c>
      <c r="H5976" t="s">
        <v>14201</v>
      </c>
      <c r="I5976" t="s">
        <v>7233</v>
      </c>
      <c r="J5976" t="s">
        <v>36629</v>
      </c>
      <c r="K5976" t="s">
        <v>42631</v>
      </c>
      <c r="M5976" t="s">
        <v>45084</v>
      </c>
      <c r="N5976" t="s">
        <v>47304</v>
      </c>
      <c r="O5976" t="s">
        <v>47305</v>
      </c>
      <c r="P5976">
        <v>0</v>
      </c>
      <c r="Q5976">
        <v>0</v>
      </c>
      <c r="R5976" t="s">
        <v>47310</v>
      </c>
      <c r="S5976" t="s">
        <v>47435</v>
      </c>
      <c r="T5976" t="s">
        <v>49268</v>
      </c>
      <c r="U5976" t="s">
        <v>54547</v>
      </c>
      <c r="V5976" t="s">
        <v>63215</v>
      </c>
      <c r="W5976" t="s">
        <v>45084</v>
      </c>
      <c r="X5976" t="s">
        <v>47314</v>
      </c>
    </row>
    <row r="5977" spans="1:24">
      <c r="A5977">
        <f>HYPERLINK("https://www.philgeps.gov.ph/GEPSNONPILOT/Tender/SplashBidNoticeAbstractUI.aspx?menuIndex=3&amp;refID=7181748&amp;Result=3","7181748")</f>
        <v>0</v>
      </c>
      <c r="B5977" t="s">
        <v>2012</v>
      </c>
      <c r="C5977" t="s">
        <v>9466</v>
      </c>
      <c r="D5977" t="s">
        <v>19010</v>
      </c>
      <c r="E5977" t="s">
        <v>24346</v>
      </c>
      <c r="F5977" t="s">
        <v>32606</v>
      </c>
      <c r="G5977" t="s">
        <v>32617</v>
      </c>
      <c r="H5977" t="s">
        <v>14201</v>
      </c>
      <c r="I5977" t="s">
        <v>32640</v>
      </c>
      <c r="J5977" t="s">
        <v>36630</v>
      </c>
      <c r="K5977" t="s">
        <v>42631</v>
      </c>
      <c r="M5977" t="s">
        <v>45084</v>
      </c>
      <c r="N5977" t="s">
        <v>47304</v>
      </c>
      <c r="O5977" t="s">
        <v>47305</v>
      </c>
      <c r="P5977">
        <v>0</v>
      </c>
      <c r="Q5977">
        <v>3</v>
      </c>
      <c r="R5977" t="s">
        <v>47310</v>
      </c>
      <c r="S5977" t="s">
        <v>47435</v>
      </c>
      <c r="T5977" t="s">
        <v>49268</v>
      </c>
      <c r="U5977" t="s">
        <v>54548</v>
      </c>
      <c r="V5977" t="s">
        <v>63216</v>
      </c>
      <c r="W5977" t="s">
        <v>45084</v>
      </c>
      <c r="X5977" t="s">
        <v>47315</v>
      </c>
    </row>
    <row r="5978" spans="1:24">
      <c r="A5978">
        <f>HYPERLINK("https://www.philgeps.gov.ph/GEPSNONPILOT/Tender/SplashBidNoticeAbstractUI.aspx?menuIndex=3&amp;refID=7193971&amp;Result=3","7193971")</f>
        <v>0</v>
      </c>
      <c r="B5978" t="s">
        <v>1119</v>
      </c>
      <c r="C5978" t="s">
        <v>9467</v>
      </c>
      <c r="D5978" t="s">
        <v>19002</v>
      </c>
      <c r="E5978" t="s">
        <v>24347</v>
      </c>
      <c r="F5978" t="s">
        <v>32606</v>
      </c>
      <c r="G5978" t="s">
        <v>32614</v>
      </c>
      <c r="H5978" t="s">
        <v>14201</v>
      </c>
      <c r="I5978" t="s">
        <v>32629</v>
      </c>
      <c r="J5978" t="s">
        <v>36631</v>
      </c>
      <c r="K5978" t="s">
        <v>42648</v>
      </c>
      <c r="M5978" t="s">
        <v>44081</v>
      </c>
      <c r="N5978" t="s">
        <v>47304</v>
      </c>
      <c r="O5978" t="s">
        <v>47305</v>
      </c>
      <c r="P5978">
        <v>0</v>
      </c>
      <c r="Q5978">
        <v>0</v>
      </c>
      <c r="R5978" t="s">
        <v>47309</v>
      </c>
      <c r="S5978" t="s">
        <v>47432</v>
      </c>
      <c r="T5978" t="s">
        <v>49071</v>
      </c>
      <c r="U5978" t="s">
        <v>54549</v>
      </c>
      <c r="W5978" t="s">
        <v>64462</v>
      </c>
      <c r="X5978" t="s">
        <v>47310</v>
      </c>
    </row>
    <row r="5979" spans="1:24">
      <c r="A5979">
        <f>HYPERLINK("https://www.philgeps.gov.ph/GEPSNONPILOT/Tender/SplashBidNoticeAbstractUI.aspx?menuIndex=3&amp;refID=7193907&amp;Result=3","7193907")</f>
        <v>0</v>
      </c>
      <c r="B5979" t="s">
        <v>2020</v>
      </c>
      <c r="C5979" t="s">
        <v>9468</v>
      </c>
      <c r="D5979" t="s">
        <v>19007</v>
      </c>
      <c r="E5979" t="s">
        <v>24348</v>
      </c>
      <c r="F5979" t="s">
        <v>32606</v>
      </c>
      <c r="G5979" t="s">
        <v>32613</v>
      </c>
      <c r="H5979" t="s">
        <v>14201</v>
      </c>
      <c r="I5979" t="s">
        <v>6298</v>
      </c>
      <c r="J5979" t="s">
        <v>32885</v>
      </c>
      <c r="K5979" t="s">
        <v>42623</v>
      </c>
      <c r="M5979" t="s">
        <v>45094</v>
      </c>
      <c r="N5979" t="s">
        <v>47304</v>
      </c>
      <c r="O5979" t="s">
        <v>47305</v>
      </c>
      <c r="P5979">
        <v>0</v>
      </c>
      <c r="Q5979">
        <v>1</v>
      </c>
      <c r="R5979" t="s">
        <v>47309</v>
      </c>
      <c r="S5979" t="s">
        <v>47432</v>
      </c>
      <c r="T5979" t="s">
        <v>49076</v>
      </c>
      <c r="U5979" t="s">
        <v>54550</v>
      </c>
      <c r="W5979" t="s">
        <v>45094</v>
      </c>
      <c r="X5979" t="s">
        <v>47310</v>
      </c>
    </row>
    <row r="5980" spans="1:24">
      <c r="A5980">
        <f>HYPERLINK("https://www.philgeps.gov.ph/GEPSNONPILOT/Tender/SplashBidNoticeAbstractUI.aspx?menuIndex=3&amp;refID=7193905&amp;Result=3","7193905")</f>
        <v>0</v>
      </c>
      <c r="B5980" t="s">
        <v>2009</v>
      </c>
      <c r="C5980" t="s">
        <v>9469</v>
      </c>
      <c r="E5980" t="s">
        <v>24349</v>
      </c>
      <c r="F5980" t="s">
        <v>32606</v>
      </c>
      <c r="G5980" t="s">
        <v>32619</v>
      </c>
      <c r="H5980" t="s">
        <v>14201</v>
      </c>
      <c r="I5980" t="s">
        <v>32640</v>
      </c>
      <c r="J5980" t="s">
        <v>32828</v>
      </c>
      <c r="K5980" t="s">
        <v>42623</v>
      </c>
      <c r="M5980" t="s">
        <v>45080</v>
      </c>
      <c r="N5980" t="s">
        <v>47304</v>
      </c>
      <c r="O5980" t="s">
        <v>47305</v>
      </c>
      <c r="P5980">
        <v>0</v>
      </c>
      <c r="Q5980">
        <v>2</v>
      </c>
      <c r="R5980" t="s">
        <v>47309</v>
      </c>
      <c r="S5980" t="s">
        <v>47432</v>
      </c>
      <c r="T5980" t="s">
        <v>49268</v>
      </c>
      <c r="U5980" t="s">
        <v>54498</v>
      </c>
      <c r="W5980" t="s">
        <v>45080</v>
      </c>
      <c r="X5980" t="s">
        <v>47310</v>
      </c>
    </row>
    <row r="5981" spans="1:24">
      <c r="A5981">
        <f>HYPERLINK("https://www.philgeps.gov.ph/GEPSNONPILOT/Tender/SplashBidNoticeAbstractUI.aspx?menuIndex=3&amp;refID=7194311&amp;Result=3","7194311")</f>
        <v>0</v>
      </c>
      <c r="B5981" t="s">
        <v>1981</v>
      </c>
      <c r="C5981" t="s">
        <v>9470</v>
      </c>
      <c r="D5981" t="s">
        <v>18988</v>
      </c>
      <c r="E5981" t="s">
        <v>24350</v>
      </c>
      <c r="F5981" t="s">
        <v>32606</v>
      </c>
      <c r="G5981" t="s">
        <v>32613</v>
      </c>
      <c r="H5981" t="s">
        <v>14201</v>
      </c>
      <c r="I5981" t="s">
        <v>32633</v>
      </c>
      <c r="J5981" t="s">
        <v>34645</v>
      </c>
      <c r="K5981" t="s">
        <v>42625</v>
      </c>
      <c r="M5981" t="s">
        <v>45047</v>
      </c>
      <c r="N5981" t="s">
        <v>47304</v>
      </c>
      <c r="O5981" t="s">
        <v>47305</v>
      </c>
      <c r="P5981">
        <v>0</v>
      </c>
      <c r="Q5981">
        <v>2</v>
      </c>
      <c r="R5981" t="s">
        <v>47308</v>
      </c>
      <c r="S5981" t="s">
        <v>47429</v>
      </c>
      <c r="T5981" t="s">
        <v>49329</v>
      </c>
      <c r="U5981" t="s">
        <v>54551</v>
      </c>
      <c r="W5981" t="s">
        <v>45047</v>
      </c>
      <c r="X5981" t="s">
        <v>47309</v>
      </c>
    </row>
    <row r="5982" spans="1:24">
      <c r="A5982">
        <f>HYPERLINK("https://www.philgeps.gov.ph/GEPSNONPILOT/Tender/SplashBidNoticeAbstractUI.aspx?menuIndex=3&amp;refID=7194310&amp;Result=3","7194310")</f>
        <v>0</v>
      </c>
      <c r="B5982" t="s">
        <v>2021</v>
      </c>
      <c r="C5982" t="s">
        <v>9471</v>
      </c>
      <c r="D5982" t="s">
        <v>19016</v>
      </c>
      <c r="E5982" t="s">
        <v>20076</v>
      </c>
      <c r="F5982" t="s">
        <v>32606</v>
      </c>
      <c r="G5982" t="s">
        <v>32613</v>
      </c>
      <c r="H5982" t="s">
        <v>14201</v>
      </c>
      <c r="I5982" t="s">
        <v>6931</v>
      </c>
      <c r="J5982" t="s">
        <v>32999</v>
      </c>
      <c r="K5982" t="s">
        <v>42630</v>
      </c>
      <c r="M5982" t="s">
        <v>45095</v>
      </c>
      <c r="N5982" t="s">
        <v>47304</v>
      </c>
      <c r="O5982" t="s">
        <v>47305</v>
      </c>
      <c r="P5982">
        <v>0</v>
      </c>
      <c r="Q5982">
        <v>0</v>
      </c>
      <c r="R5982" t="s">
        <v>47308</v>
      </c>
      <c r="S5982" t="s">
        <v>47429</v>
      </c>
      <c r="T5982" t="s">
        <v>48972</v>
      </c>
      <c r="U5982" t="s">
        <v>54552</v>
      </c>
      <c r="W5982" t="s">
        <v>45095</v>
      </c>
      <c r="X5982" t="s">
        <v>47309</v>
      </c>
    </row>
    <row r="5983" spans="1:24">
      <c r="A5983">
        <f>HYPERLINK("https://www.philgeps.gov.ph/GEPSNONPILOT/Tender/SplashBidNoticeAbstractUI.aspx?menuIndex=3&amp;refID=7184356&amp;Result=3","7184356")</f>
        <v>0</v>
      </c>
      <c r="B5983" t="s">
        <v>2012</v>
      </c>
      <c r="C5983" t="s">
        <v>9472</v>
      </c>
      <c r="D5983" t="s">
        <v>19010</v>
      </c>
      <c r="E5983" t="s">
        <v>24351</v>
      </c>
      <c r="F5983" t="s">
        <v>32606</v>
      </c>
      <c r="G5983" t="s">
        <v>32614</v>
      </c>
      <c r="H5983" t="s">
        <v>14201</v>
      </c>
      <c r="I5983" t="s">
        <v>6014</v>
      </c>
      <c r="J5983" t="s">
        <v>36632</v>
      </c>
      <c r="K5983" t="s">
        <v>42631</v>
      </c>
      <c r="M5983" t="s">
        <v>45084</v>
      </c>
      <c r="N5983" t="s">
        <v>47304</v>
      </c>
      <c r="O5983" t="s">
        <v>47305</v>
      </c>
      <c r="P5983">
        <v>0</v>
      </c>
      <c r="Q5983">
        <v>1</v>
      </c>
      <c r="R5983" t="s">
        <v>47310</v>
      </c>
      <c r="S5983" t="s">
        <v>47435</v>
      </c>
      <c r="T5983" t="s">
        <v>49268</v>
      </c>
      <c r="U5983" t="s">
        <v>54553</v>
      </c>
      <c r="V5983" t="s">
        <v>63217</v>
      </c>
      <c r="W5983" t="s">
        <v>45084</v>
      </c>
      <c r="X5983" t="s">
        <v>47314</v>
      </c>
    </row>
    <row r="5984" spans="1:24">
      <c r="A5984">
        <f>HYPERLINK("https://www.philgeps.gov.ph/GEPSNONPILOT/Tender/SplashBidNoticeAbstractUI.aspx?menuIndex=3&amp;refID=7194289&amp;Result=3","7194289")</f>
        <v>0</v>
      </c>
      <c r="B5984" t="s">
        <v>1021</v>
      </c>
      <c r="C5984" t="s">
        <v>9473</v>
      </c>
      <c r="D5984" t="s">
        <v>18993</v>
      </c>
      <c r="E5984" t="s">
        <v>24352</v>
      </c>
      <c r="F5984" t="s">
        <v>32606</v>
      </c>
      <c r="G5984" t="s">
        <v>32615</v>
      </c>
      <c r="H5984" t="s">
        <v>14201</v>
      </c>
      <c r="I5984" t="s">
        <v>32659</v>
      </c>
      <c r="J5984" t="s">
        <v>36633</v>
      </c>
      <c r="K5984" t="s">
        <v>42630</v>
      </c>
      <c r="M5984" t="s">
        <v>45036</v>
      </c>
      <c r="N5984" t="s">
        <v>47304</v>
      </c>
      <c r="O5984" t="s">
        <v>47305</v>
      </c>
      <c r="P5984">
        <v>0</v>
      </c>
      <c r="Q5984">
        <v>1</v>
      </c>
      <c r="R5984" t="s">
        <v>47308</v>
      </c>
      <c r="S5984" t="s">
        <v>47429</v>
      </c>
      <c r="T5984" t="s">
        <v>49002</v>
      </c>
      <c r="U5984" t="s">
        <v>54554</v>
      </c>
      <c r="W5984" t="s">
        <v>45036</v>
      </c>
      <c r="X5984" t="s">
        <v>47309</v>
      </c>
    </row>
    <row r="5985" spans="1:24">
      <c r="A5985">
        <f>HYPERLINK("https://www.philgeps.gov.ph/GEPSNONPILOT/Tender/SplashBidNoticeAbstractUI.aspx?menuIndex=3&amp;refID=7184282&amp;Result=3","7184282")</f>
        <v>0</v>
      </c>
      <c r="B5985" t="s">
        <v>2012</v>
      </c>
      <c r="C5985" t="s">
        <v>9474</v>
      </c>
      <c r="D5985" t="s">
        <v>19010</v>
      </c>
      <c r="E5985" t="s">
        <v>24353</v>
      </c>
      <c r="F5985" t="s">
        <v>32606</v>
      </c>
      <c r="G5985" t="s">
        <v>32617</v>
      </c>
      <c r="H5985" t="s">
        <v>14201</v>
      </c>
      <c r="I5985" t="s">
        <v>4120</v>
      </c>
      <c r="J5985" t="s">
        <v>36634</v>
      </c>
      <c r="K5985" t="s">
        <v>42631</v>
      </c>
      <c r="M5985" t="s">
        <v>45084</v>
      </c>
      <c r="N5985" t="s">
        <v>47304</v>
      </c>
      <c r="O5985" t="s">
        <v>47305</v>
      </c>
      <c r="P5985">
        <v>0</v>
      </c>
      <c r="Q5985">
        <v>0</v>
      </c>
      <c r="R5985" t="s">
        <v>47310</v>
      </c>
      <c r="S5985" t="s">
        <v>47435</v>
      </c>
      <c r="T5985" t="s">
        <v>49268</v>
      </c>
      <c r="U5985" t="s">
        <v>54555</v>
      </c>
      <c r="V5985" t="s">
        <v>63217</v>
      </c>
      <c r="W5985" t="s">
        <v>45084</v>
      </c>
      <c r="X5985" t="s">
        <v>47314</v>
      </c>
    </row>
    <row r="5986" spans="1:24">
      <c r="A5986">
        <f>HYPERLINK("https://www.philgeps.gov.ph/GEPSNONPILOT/Tender/SplashBidNoticeAbstractUI.aspx?menuIndex=3&amp;refID=7137659&amp;Result=3","7137659")</f>
        <v>0</v>
      </c>
      <c r="B5986" t="s">
        <v>2014</v>
      </c>
      <c r="C5986" t="s">
        <v>9475</v>
      </c>
      <c r="D5986" t="s">
        <v>19028</v>
      </c>
      <c r="E5986" t="s">
        <v>24026</v>
      </c>
      <c r="F5986" t="s">
        <v>32606</v>
      </c>
      <c r="G5986" t="s">
        <v>32613</v>
      </c>
      <c r="H5986" t="s">
        <v>32623</v>
      </c>
      <c r="I5986" t="s">
        <v>17648</v>
      </c>
      <c r="J5986" t="s">
        <v>33102</v>
      </c>
      <c r="K5986" t="s">
        <v>42646</v>
      </c>
      <c r="M5986" t="s">
        <v>45086</v>
      </c>
      <c r="N5986" t="s">
        <v>47304</v>
      </c>
      <c r="O5986" t="s">
        <v>47305</v>
      </c>
      <c r="P5986">
        <v>0</v>
      </c>
      <c r="Q5986">
        <v>0</v>
      </c>
      <c r="R5986" t="s">
        <v>47310</v>
      </c>
      <c r="S5986" t="s">
        <v>47435</v>
      </c>
      <c r="T5986" t="s">
        <v>49286</v>
      </c>
      <c r="U5986" t="s">
        <v>54556</v>
      </c>
      <c r="W5986" t="s">
        <v>45086</v>
      </c>
      <c r="X5986" t="s">
        <v>47335</v>
      </c>
    </row>
    <row r="5987" spans="1:24">
      <c r="A5987">
        <f>HYPERLINK("https://www.philgeps.gov.ph/GEPSNONPILOT/Tender/SplashBidNoticeAbstractUI.aspx?menuIndex=3&amp;refID=7194286&amp;Result=3","7194286")</f>
        <v>0</v>
      </c>
      <c r="B5987" t="s">
        <v>1978</v>
      </c>
      <c r="C5987" t="s">
        <v>9476</v>
      </c>
      <c r="D5987" t="s">
        <v>18993</v>
      </c>
      <c r="E5987" t="s">
        <v>24354</v>
      </c>
      <c r="F5987" t="s">
        <v>32606</v>
      </c>
      <c r="G5987" t="s">
        <v>32614</v>
      </c>
      <c r="H5987" t="s">
        <v>32624</v>
      </c>
      <c r="I5987" t="s">
        <v>7064</v>
      </c>
      <c r="J5987" t="s">
        <v>36635</v>
      </c>
      <c r="K5987" t="s">
        <v>42623</v>
      </c>
      <c r="M5987" t="s">
        <v>45043</v>
      </c>
      <c r="N5987" t="s">
        <v>47304</v>
      </c>
      <c r="O5987" t="s">
        <v>47305</v>
      </c>
      <c r="P5987">
        <v>0</v>
      </c>
      <c r="Q5987">
        <v>2</v>
      </c>
      <c r="R5987" t="s">
        <v>47308</v>
      </c>
      <c r="S5987" t="s">
        <v>47429</v>
      </c>
      <c r="T5987" t="s">
        <v>49053</v>
      </c>
      <c r="U5987" t="s">
        <v>54418</v>
      </c>
      <c r="V5987" t="s">
        <v>63218</v>
      </c>
      <c r="W5987" t="s">
        <v>45043</v>
      </c>
      <c r="X5987" t="s">
        <v>47309</v>
      </c>
    </row>
    <row r="5988" spans="1:24">
      <c r="A5988">
        <f>HYPERLINK("https://www.philgeps.gov.ph/GEPSNONPILOT/Tender/SplashBidNoticeAbstractUI.aspx?menuIndex=3&amp;refID=7188270&amp;Result=3","7188270")</f>
        <v>0</v>
      </c>
      <c r="B5988" t="s">
        <v>1500</v>
      </c>
      <c r="C5988" t="s">
        <v>9477</v>
      </c>
      <c r="D5988" t="s">
        <v>19003</v>
      </c>
      <c r="E5988" t="s">
        <v>24355</v>
      </c>
      <c r="F5988" t="s">
        <v>32606</v>
      </c>
      <c r="G5988" t="s">
        <v>32613</v>
      </c>
      <c r="H5988" t="s">
        <v>14201</v>
      </c>
      <c r="I5988" t="s">
        <v>32645</v>
      </c>
      <c r="J5988" t="s">
        <v>36636</v>
      </c>
      <c r="K5988" t="s">
        <v>42636</v>
      </c>
      <c r="M5988" t="s">
        <v>44496</v>
      </c>
      <c r="N5988" t="s">
        <v>47304</v>
      </c>
      <c r="O5988" t="s">
        <v>47305</v>
      </c>
      <c r="P5988">
        <v>0</v>
      </c>
      <c r="Q5988">
        <v>6</v>
      </c>
      <c r="R5988" t="s">
        <v>47310</v>
      </c>
      <c r="S5988" t="s">
        <v>47435</v>
      </c>
      <c r="T5988" t="s">
        <v>49133</v>
      </c>
      <c r="U5988" t="s">
        <v>54557</v>
      </c>
      <c r="W5988" t="s">
        <v>44496</v>
      </c>
      <c r="X5988" t="s">
        <v>47313</v>
      </c>
    </row>
    <row r="5989" spans="1:24">
      <c r="A5989">
        <f>HYPERLINK("https://www.philgeps.gov.ph/GEPSNONPILOT/Tender/SplashBidNoticeAbstractUI.aspx?menuIndex=3&amp;refID=7194283&amp;Result=3","7194283")</f>
        <v>0</v>
      </c>
      <c r="B5989" t="s">
        <v>651</v>
      </c>
      <c r="C5989" t="s">
        <v>9478</v>
      </c>
      <c r="D5989" t="s">
        <v>19060</v>
      </c>
      <c r="E5989" t="s">
        <v>24356</v>
      </c>
      <c r="F5989" t="s">
        <v>32606</v>
      </c>
      <c r="G5989" t="s">
        <v>32617</v>
      </c>
      <c r="H5989" t="s">
        <v>14201</v>
      </c>
      <c r="I5989" t="s">
        <v>7529</v>
      </c>
      <c r="J5989" t="s">
        <v>32770</v>
      </c>
      <c r="K5989" t="s">
        <v>42629</v>
      </c>
      <c r="M5989" t="s">
        <v>43570</v>
      </c>
      <c r="N5989" t="s">
        <v>47304</v>
      </c>
      <c r="O5989" t="s">
        <v>47305</v>
      </c>
      <c r="P5989">
        <v>0</v>
      </c>
      <c r="Q5989">
        <v>0</v>
      </c>
      <c r="R5989" t="s">
        <v>47308</v>
      </c>
      <c r="S5989" t="s">
        <v>47429</v>
      </c>
      <c r="T5989" t="s">
        <v>49047</v>
      </c>
      <c r="U5989" t="s">
        <v>50681</v>
      </c>
      <c r="W5989" t="s">
        <v>43570</v>
      </c>
      <c r="X5989" t="s">
        <v>47309</v>
      </c>
    </row>
    <row r="5990" spans="1:24">
      <c r="A5990">
        <f>HYPERLINK("https://www.philgeps.gov.ph/GEPSNONPILOT/Tender/SplashBidNoticeAbstractUI.aspx?menuIndex=3&amp;refID=7194111&amp;Result=3","7194111")</f>
        <v>0</v>
      </c>
      <c r="B5990" t="s">
        <v>1791</v>
      </c>
      <c r="C5990" t="s">
        <v>9479</v>
      </c>
      <c r="D5990" t="s">
        <v>18993</v>
      </c>
      <c r="E5990" t="s">
        <v>24357</v>
      </c>
      <c r="F5990" t="s">
        <v>32606</v>
      </c>
      <c r="G5990" t="s">
        <v>32614</v>
      </c>
      <c r="H5990" t="s">
        <v>14201</v>
      </c>
      <c r="I5990" t="s">
        <v>32633</v>
      </c>
      <c r="J5990" t="s">
        <v>36637</v>
      </c>
      <c r="K5990" t="s">
        <v>42627</v>
      </c>
      <c r="M5990" t="s">
        <v>44831</v>
      </c>
      <c r="N5990" t="s">
        <v>47304</v>
      </c>
      <c r="O5990" t="s">
        <v>47305</v>
      </c>
      <c r="P5990">
        <v>0</v>
      </c>
      <c r="Q5990">
        <v>11</v>
      </c>
      <c r="R5990" t="s">
        <v>47308</v>
      </c>
      <c r="S5990" t="s">
        <v>47429</v>
      </c>
      <c r="T5990" t="s">
        <v>49047</v>
      </c>
      <c r="U5990" t="s">
        <v>54558</v>
      </c>
      <c r="W5990" t="s">
        <v>44831</v>
      </c>
      <c r="X5990" t="s">
        <v>47309</v>
      </c>
    </row>
    <row r="5991" spans="1:24">
      <c r="A5991">
        <f>HYPERLINK("https://www.philgeps.gov.ph/GEPSNONPILOT/Tender/SplashBidNoticeAbstractUI.aspx?menuIndex=3&amp;refID=7189244&amp;Result=3","7189244")</f>
        <v>0</v>
      </c>
      <c r="B5991" t="s">
        <v>2018</v>
      </c>
      <c r="C5991" t="s">
        <v>9480</v>
      </c>
      <c r="D5991" t="s">
        <v>19002</v>
      </c>
      <c r="E5991" t="s">
        <v>24358</v>
      </c>
      <c r="F5991" t="s">
        <v>32606</v>
      </c>
      <c r="G5991" t="s">
        <v>32614</v>
      </c>
      <c r="H5991" t="s">
        <v>14201</v>
      </c>
      <c r="I5991" t="s">
        <v>32696</v>
      </c>
      <c r="J5991" t="s">
        <v>32765</v>
      </c>
      <c r="K5991" t="s">
        <v>42623</v>
      </c>
      <c r="M5991" t="s">
        <v>45091</v>
      </c>
      <c r="N5991" t="s">
        <v>47304</v>
      </c>
      <c r="O5991" t="s">
        <v>47305</v>
      </c>
      <c r="P5991">
        <v>0</v>
      </c>
      <c r="Q5991">
        <v>0</v>
      </c>
      <c r="R5991" t="s">
        <v>47310</v>
      </c>
      <c r="S5991" t="s">
        <v>47435</v>
      </c>
      <c r="T5991" t="s">
        <v>49330</v>
      </c>
      <c r="U5991" t="s">
        <v>54540</v>
      </c>
      <c r="W5991" t="s">
        <v>45091</v>
      </c>
      <c r="X5991" t="s">
        <v>47313</v>
      </c>
    </row>
    <row r="5992" spans="1:24">
      <c r="A5992">
        <f>HYPERLINK("https://www.philgeps.gov.ph/GEPSNONPILOT/Tender/SplashBidNoticeAbstractUI.aspx?menuIndex=3&amp;refID=7194109&amp;Result=3","7194109")</f>
        <v>0</v>
      </c>
      <c r="B5992" t="s">
        <v>2022</v>
      </c>
      <c r="C5992" t="s">
        <v>9481</v>
      </c>
      <c r="D5992" t="s">
        <v>19004</v>
      </c>
      <c r="E5992" t="s">
        <v>23545</v>
      </c>
      <c r="F5992" t="s">
        <v>32606</v>
      </c>
      <c r="G5992" t="s">
        <v>32619</v>
      </c>
      <c r="H5992" t="s">
        <v>14201</v>
      </c>
      <c r="I5992" t="s">
        <v>32657</v>
      </c>
      <c r="J5992" t="s">
        <v>32813</v>
      </c>
      <c r="K5992" t="s">
        <v>42625</v>
      </c>
      <c r="M5992" t="s">
        <v>45096</v>
      </c>
      <c r="N5992" t="s">
        <v>47304</v>
      </c>
      <c r="O5992" t="s">
        <v>47305</v>
      </c>
      <c r="P5992">
        <v>0</v>
      </c>
      <c r="Q5992">
        <v>0</v>
      </c>
      <c r="R5992" t="s">
        <v>47308</v>
      </c>
      <c r="S5992" t="s">
        <v>47429</v>
      </c>
      <c r="T5992" t="s">
        <v>48975</v>
      </c>
      <c r="U5992" t="s">
        <v>54559</v>
      </c>
      <c r="W5992" t="s">
        <v>45096</v>
      </c>
      <c r="X5992" t="s">
        <v>47309</v>
      </c>
    </row>
    <row r="5993" spans="1:24">
      <c r="A5993">
        <f>HYPERLINK("https://www.philgeps.gov.ph/GEPSNONPILOT/Tender/SplashBidNoticeAbstractUI.aspx?menuIndex=3&amp;refID=7194107&amp;Result=3","7194107")</f>
        <v>0</v>
      </c>
      <c r="B5993" t="s">
        <v>1954</v>
      </c>
      <c r="C5993" t="s">
        <v>9482</v>
      </c>
      <c r="E5993" t="s">
        <v>24359</v>
      </c>
      <c r="F5993" t="s">
        <v>32606</v>
      </c>
      <c r="G5993" t="s">
        <v>32614</v>
      </c>
      <c r="H5993" t="s">
        <v>14201</v>
      </c>
      <c r="I5993" t="s">
        <v>32638</v>
      </c>
      <c r="J5993" t="s">
        <v>36638</v>
      </c>
      <c r="K5993" t="s">
        <v>42624</v>
      </c>
      <c r="M5993" t="s">
        <v>45015</v>
      </c>
      <c r="N5993" t="s">
        <v>47304</v>
      </c>
      <c r="O5993" t="s">
        <v>47305</v>
      </c>
      <c r="P5993">
        <v>0</v>
      </c>
      <c r="Q5993">
        <v>5</v>
      </c>
      <c r="R5993" t="s">
        <v>47308</v>
      </c>
      <c r="S5993" t="s">
        <v>47429</v>
      </c>
      <c r="T5993" t="s">
        <v>49000</v>
      </c>
      <c r="U5993" t="s">
        <v>54340</v>
      </c>
      <c r="W5993" t="s">
        <v>45015</v>
      </c>
      <c r="X5993" t="s">
        <v>47309</v>
      </c>
    </row>
    <row r="5994" spans="1:24">
      <c r="A5994">
        <f>HYPERLINK("https://www.philgeps.gov.ph/GEPSNONPILOT/Tender/SplashBidNoticeAbstractUI.aspx?menuIndex=3&amp;refID=7194287&amp;Result=3","7194287")</f>
        <v>0</v>
      </c>
      <c r="B5994" t="s">
        <v>2023</v>
      </c>
      <c r="C5994" t="s">
        <v>9483</v>
      </c>
      <c r="D5994" t="s">
        <v>19000</v>
      </c>
      <c r="E5994" t="s">
        <v>24360</v>
      </c>
      <c r="F5994" t="s">
        <v>32606</v>
      </c>
      <c r="G5994" t="s">
        <v>32614</v>
      </c>
      <c r="H5994" t="s">
        <v>14201</v>
      </c>
      <c r="I5994" t="s">
        <v>32633</v>
      </c>
      <c r="J5994" t="s">
        <v>36639</v>
      </c>
      <c r="K5994" t="s">
        <v>42624</v>
      </c>
      <c r="M5994" t="s">
        <v>45097</v>
      </c>
      <c r="N5994" t="s">
        <v>47304</v>
      </c>
      <c r="O5994" t="s">
        <v>47305</v>
      </c>
      <c r="P5994">
        <v>0</v>
      </c>
      <c r="Q5994">
        <v>7</v>
      </c>
      <c r="R5994" t="s">
        <v>47308</v>
      </c>
      <c r="S5994" t="s">
        <v>47429</v>
      </c>
      <c r="T5994" t="s">
        <v>48998</v>
      </c>
      <c r="U5994" t="s">
        <v>54560</v>
      </c>
      <c r="W5994" t="s">
        <v>45097</v>
      </c>
      <c r="X5994" t="s">
        <v>47309</v>
      </c>
    </row>
    <row r="5995" spans="1:24">
      <c r="A5995">
        <f>HYPERLINK("https://www.philgeps.gov.ph/GEPSNONPILOT/Tender/SplashBidNoticeAbstractUI.aspx?menuIndex=3&amp;refID=7192738&amp;Result=3","7192738")</f>
        <v>0</v>
      </c>
      <c r="B5995" t="s">
        <v>298</v>
      </c>
      <c r="C5995" t="s">
        <v>9484</v>
      </c>
      <c r="D5995" t="s">
        <v>18993</v>
      </c>
      <c r="E5995" t="s">
        <v>24361</v>
      </c>
      <c r="F5995" t="s">
        <v>32606</v>
      </c>
      <c r="G5995" t="s">
        <v>32614</v>
      </c>
      <c r="H5995" t="s">
        <v>14201</v>
      </c>
      <c r="I5995" t="s">
        <v>6298</v>
      </c>
      <c r="J5995" t="s">
        <v>36640</v>
      </c>
      <c r="K5995" t="s">
        <v>42630</v>
      </c>
      <c r="M5995" t="s">
        <v>45098</v>
      </c>
      <c r="N5995" t="s">
        <v>47304</v>
      </c>
      <c r="O5995" t="s">
        <v>47305</v>
      </c>
      <c r="P5995">
        <v>0</v>
      </c>
      <c r="Q5995">
        <v>0</v>
      </c>
      <c r="R5995" t="s">
        <v>47310</v>
      </c>
      <c r="S5995" t="s">
        <v>47435</v>
      </c>
      <c r="T5995" t="s">
        <v>48980</v>
      </c>
      <c r="U5995" t="s">
        <v>54561</v>
      </c>
      <c r="W5995" t="s">
        <v>45098</v>
      </c>
      <c r="X5995" t="s">
        <v>47312</v>
      </c>
    </row>
    <row r="5996" spans="1:24">
      <c r="A5996">
        <f>HYPERLINK("https://www.philgeps.gov.ph/GEPSNONPILOT/Tender/SplashBidNoticeAbstractUI.aspx?menuIndex=3&amp;refID=7194285&amp;Result=3","7194285")</f>
        <v>0</v>
      </c>
      <c r="B5996" t="s">
        <v>651</v>
      </c>
      <c r="C5996" t="s">
        <v>9485</v>
      </c>
      <c r="D5996" t="s">
        <v>19060</v>
      </c>
      <c r="E5996" t="s">
        <v>24362</v>
      </c>
      <c r="F5996" t="s">
        <v>32606</v>
      </c>
      <c r="G5996" t="s">
        <v>32617</v>
      </c>
      <c r="H5996" t="s">
        <v>14201</v>
      </c>
      <c r="I5996" t="s">
        <v>7529</v>
      </c>
      <c r="J5996" t="s">
        <v>32770</v>
      </c>
      <c r="K5996" t="s">
        <v>42629</v>
      </c>
      <c r="M5996" t="s">
        <v>43570</v>
      </c>
      <c r="N5996" t="s">
        <v>47304</v>
      </c>
      <c r="O5996" t="s">
        <v>47305</v>
      </c>
      <c r="P5996">
        <v>0</v>
      </c>
      <c r="Q5996">
        <v>1</v>
      </c>
      <c r="R5996" t="s">
        <v>47308</v>
      </c>
      <c r="S5996" t="s">
        <v>47429</v>
      </c>
      <c r="T5996" t="s">
        <v>49047</v>
      </c>
      <c r="U5996" t="s">
        <v>50681</v>
      </c>
      <c r="W5996" t="s">
        <v>43570</v>
      </c>
      <c r="X5996" t="s">
        <v>47309</v>
      </c>
    </row>
    <row r="5997" spans="1:24">
      <c r="A5997">
        <f>HYPERLINK("https://www.philgeps.gov.ph/GEPSNONPILOT/Tender/SplashBidNoticeAbstractUI.aspx?menuIndex=3&amp;refID=7193901&amp;Result=3","7193901")</f>
        <v>0</v>
      </c>
      <c r="B5997" t="s">
        <v>2009</v>
      </c>
      <c r="C5997" t="s">
        <v>9486</v>
      </c>
      <c r="E5997" t="s">
        <v>24363</v>
      </c>
      <c r="F5997" t="s">
        <v>32606</v>
      </c>
      <c r="G5997" t="s">
        <v>32614</v>
      </c>
      <c r="H5997" t="s">
        <v>14201</v>
      </c>
      <c r="I5997" t="s">
        <v>4120</v>
      </c>
      <c r="J5997" t="s">
        <v>33555</v>
      </c>
      <c r="K5997" t="s">
        <v>42623</v>
      </c>
      <c r="M5997" t="s">
        <v>45080</v>
      </c>
      <c r="N5997" t="s">
        <v>47304</v>
      </c>
      <c r="O5997" t="s">
        <v>47305</v>
      </c>
      <c r="P5997">
        <v>0</v>
      </c>
      <c r="Q5997">
        <v>0</v>
      </c>
      <c r="R5997" t="s">
        <v>47309</v>
      </c>
      <c r="S5997" t="s">
        <v>47432</v>
      </c>
      <c r="T5997" t="s">
        <v>49268</v>
      </c>
      <c r="U5997" t="s">
        <v>54562</v>
      </c>
      <c r="W5997" t="s">
        <v>45080</v>
      </c>
      <c r="X5997" t="s">
        <v>47310</v>
      </c>
    </row>
    <row r="5998" spans="1:24">
      <c r="A5998">
        <f>HYPERLINK("https://www.philgeps.gov.ph/GEPSNONPILOT/Tender/SplashBidNoticeAbstractUI.aspx?menuIndex=3&amp;refID=7192589&amp;Result=3","7192589")</f>
        <v>0</v>
      </c>
      <c r="B5998" t="s">
        <v>696</v>
      </c>
      <c r="C5998" t="s">
        <v>9487</v>
      </c>
      <c r="D5998" t="s">
        <v>19069</v>
      </c>
      <c r="E5998" t="s">
        <v>24364</v>
      </c>
      <c r="F5998" t="s">
        <v>32606</v>
      </c>
      <c r="G5998" t="s">
        <v>32613</v>
      </c>
      <c r="H5998" t="s">
        <v>14201</v>
      </c>
      <c r="I5998" t="s">
        <v>32714</v>
      </c>
      <c r="J5998" t="s">
        <v>36641</v>
      </c>
      <c r="K5998" t="s">
        <v>42648</v>
      </c>
      <c r="M5998" t="s">
        <v>43969</v>
      </c>
      <c r="N5998" t="s">
        <v>47304</v>
      </c>
      <c r="O5998" t="s">
        <v>47305</v>
      </c>
      <c r="P5998">
        <v>0</v>
      </c>
      <c r="Q5998">
        <v>14</v>
      </c>
      <c r="R5998" t="s">
        <v>47310</v>
      </c>
      <c r="S5998" t="s">
        <v>47435</v>
      </c>
      <c r="T5998" t="s">
        <v>49048</v>
      </c>
      <c r="U5998" t="s">
        <v>54563</v>
      </c>
      <c r="V5998" t="s">
        <v>63219</v>
      </c>
      <c r="W5998" t="s">
        <v>43969</v>
      </c>
      <c r="X5998" t="s">
        <v>47312</v>
      </c>
    </row>
    <row r="5999" spans="1:24">
      <c r="A5999">
        <f>HYPERLINK("https://www.philgeps.gov.ph/GEPSNONPILOT/Tender/SplashBidNoticeAbstractUI.aspx?menuIndex=3&amp;refID=7194110&amp;Result=3","7194110")</f>
        <v>0</v>
      </c>
      <c r="B5999" t="s">
        <v>2022</v>
      </c>
      <c r="C5999" t="s">
        <v>9488</v>
      </c>
      <c r="D5999" t="s">
        <v>19004</v>
      </c>
      <c r="E5999" t="s">
        <v>20349</v>
      </c>
      <c r="F5999" t="s">
        <v>32606</v>
      </c>
      <c r="G5999" t="s">
        <v>32619</v>
      </c>
      <c r="H5999" t="s">
        <v>14201</v>
      </c>
      <c r="I5999" t="s">
        <v>4120</v>
      </c>
      <c r="J5999" t="s">
        <v>33526</v>
      </c>
      <c r="K5999" t="s">
        <v>42625</v>
      </c>
      <c r="M5999" t="s">
        <v>45096</v>
      </c>
      <c r="N5999" t="s">
        <v>47304</v>
      </c>
      <c r="O5999" t="s">
        <v>47305</v>
      </c>
      <c r="P5999">
        <v>0</v>
      </c>
      <c r="Q5999">
        <v>1</v>
      </c>
      <c r="R5999" t="s">
        <v>47308</v>
      </c>
      <c r="S5999" t="s">
        <v>47429</v>
      </c>
      <c r="T5999" t="s">
        <v>48975</v>
      </c>
      <c r="U5999" t="s">
        <v>54564</v>
      </c>
      <c r="W5999" t="s">
        <v>45096</v>
      </c>
      <c r="X5999" t="s">
        <v>47309</v>
      </c>
    </row>
    <row r="6000" spans="1:24">
      <c r="A6000">
        <f>HYPERLINK("https://www.philgeps.gov.ph/GEPSNONPILOT/Tender/SplashBidNoticeAbstractUI.aspx?menuIndex=3&amp;refID=7192513&amp;Result=3","7192513")</f>
        <v>0</v>
      </c>
      <c r="B6000" t="s">
        <v>1812</v>
      </c>
      <c r="C6000" t="s">
        <v>9489</v>
      </c>
      <c r="D6000" t="s">
        <v>19067</v>
      </c>
      <c r="E6000" t="s">
        <v>24365</v>
      </c>
      <c r="F6000" t="s">
        <v>32606</v>
      </c>
      <c r="G6000" t="s">
        <v>32613</v>
      </c>
      <c r="H6000" t="s">
        <v>14201</v>
      </c>
      <c r="I6000" t="s">
        <v>9008</v>
      </c>
      <c r="J6000" t="s">
        <v>36642</v>
      </c>
      <c r="K6000" t="s">
        <v>42636</v>
      </c>
      <c r="M6000" t="s">
        <v>44853</v>
      </c>
      <c r="N6000" t="s">
        <v>47304</v>
      </c>
      <c r="O6000" t="s">
        <v>47305</v>
      </c>
      <c r="P6000">
        <v>0</v>
      </c>
      <c r="Q6000">
        <v>1</v>
      </c>
      <c r="R6000" t="s">
        <v>47310</v>
      </c>
      <c r="S6000" t="s">
        <v>47435</v>
      </c>
      <c r="T6000" t="s">
        <v>49008</v>
      </c>
      <c r="U6000" t="s">
        <v>54565</v>
      </c>
      <c r="W6000" t="s">
        <v>44853</v>
      </c>
      <c r="X6000" t="s">
        <v>47312</v>
      </c>
    </row>
    <row r="6001" spans="1:24">
      <c r="A6001">
        <f>HYPERLINK("https://www.philgeps.gov.ph/GEPSNONPILOT/Tender/SplashBidNoticeAbstractUI.aspx?menuIndex=3&amp;refID=7194108&amp;Result=3","7194108")</f>
        <v>0</v>
      </c>
      <c r="B6001" t="s">
        <v>1791</v>
      </c>
      <c r="C6001" t="s">
        <v>9490</v>
      </c>
      <c r="D6001" t="s">
        <v>18993</v>
      </c>
      <c r="E6001" t="s">
        <v>24366</v>
      </c>
      <c r="F6001" t="s">
        <v>32606</v>
      </c>
      <c r="G6001" t="s">
        <v>32614</v>
      </c>
      <c r="H6001" t="s">
        <v>14201</v>
      </c>
      <c r="I6001" t="s">
        <v>4115</v>
      </c>
      <c r="J6001" t="s">
        <v>36643</v>
      </c>
      <c r="K6001" t="s">
        <v>42627</v>
      </c>
      <c r="M6001" t="s">
        <v>44831</v>
      </c>
      <c r="N6001" t="s">
        <v>47304</v>
      </c>
      <c r="O6001" t="s">
        <v>47305</v>
      </c>
      <c r="P6001">
        <v>0</v>
      </c>
      <c r="Q6001">
        <v>11</v>
      </c>
      <c r="R6001" t="s">
        <v>47308</v>
      </c>
      <c r="S6001" t="s">
        <v>47429</v>
      </c>
      <c r="T6001" t="s">
        <v>49019</v>
      </c>
      <c r="U6001" t="s">
        <v>54566</v>
      </c>
      <c r="W6001" t="s">
        <v>44831</v>
      </c>
      <c r="X6001" t="s">
        <v>47309</v>
      </c>
    </row>
    <row r="6002" spans="1:24">
      <c r="A6002">
        <f>HYPERLINK("https://www.philgeps.gov.ph/GEPSNONPILOT/Tender/SplashBidNoticeAbstractUI.aspx?menuIndex=3&amp;refID=7192460&amp;Result=3","7192460")</f>
        <v>0</v>
      </c>
      <c r="B6002" t="s">
        <v>1812</v>
      </c>
      <c r="C6002" t="s">
        <v>9491</v>
      </c>
      <c r="D6002" t="s">
        <v>19067</v>
      </c>
      <c r="E6002" t="s">
        <v>24367</v>
      </c>
      <c r="F6002" t="s">
        <v>32606</v>
      </c>
      <c r="G6002" t="s">
        <v>32613</v>
      </c>
      <c r="H6002" t="s">
        <v>14201</v>
      </c>
      <c r="I6002" t="s">
        <v>6931</v>
      </c>
      <c r="J6002" t="s">
        <v>36644</v>
      </c>
      <c r="K6002" t="s">
        <v>42631</v>
      </c>
      <c r="M6002" t="s">
        <v>44853</v>
      </c>
      <c r="N6002" t="s">
        <v>47304</v>
      </c>
      <c r="O6002" t="s">
        <v>47305</v>
      </c>
      <c r="P6002">
        <v>0</v>
      </c>
      <c r="Q6002">
        <v>0</v>
      </c>
      <c r="R6002" t="s">
        <v>47310</v>
      </c>
      <c r="S6002" t="s">
        <v>47435</v>
      </c>
      <c r="T6002" t="s">
        <v>49008</v>
      </c>
      <c r="U6002" t="s">
        <v>54567</v>
      </c>
      <c r="W6002" t="s">
        <v>44853</v>
      </c>
      <c r="X6002" t="s">
        <v>47312</v>
      </c>
    </row>
    <row r="6003" spans="1:24">
      <c r="A6003">
        <f>HYPERLINK("https://www.philgeps.gov.ph/GEPSNONPILOT/Tender/SplashBidNoticeAbstractUI.aspx?menuIndex=3&amp;refID=7192388&amp;Result=3","7192388")</f>
        <v>0</v>
      </c>
      <c r="B6003" t="s">
        <v>1812</v>
      </c>
      <c r="C6003" t="s">
        <v>9492</v>
      </c>
      <c r="D6003" t="s">
        <v>19067</v>
      </c>
      <c r="E6003" t="s">
        <v>24368</v>
      </c>
      <c r="F6003" t="s">
        <v>32606</v>
      </c>
      <c r="G6003" t="s">
        <v>32613</v>
      </c>
      <c r="H6003" t="s">
        <v>32623</v>
      </c>
      <c r="I6003" t="s">
        <v>17648</v>
      </c>
      <c r="J6003" t="s">
        <v>36645</v>
      </c>
      <c r="K6003" t="s">
        <v>42646</v>
      </c>
      <c r="M6003" t="s">
        <v>44853</v>
      </c>
      <c r="N6003" t="s">
        <v>47304</v>
      </c>
      <c r="O6003" t="s">
        <v>47305</v>
      </c>
      <c r="P6003">
        <v>0</v>
      </c>
      <c r="Q6003">
        <v>0</v>
      </c>
      <c r="R6003" t="s">
        <v>47310</v>
      </c>
      <c r="S6003" t="s">
        <v>47435</v>
      </c>
      <c r="T6003" t="s">
        <v>49008</v>
      </c>
      <c r="U6003" t="s">
        <v>54568</v>
      </c>
      <c r="W6003" t="s">
        <v>44853</v>
      </c>
      <c r="X6003" t="s">
        <v>47312</v>
      </c>
    </row>
    <row r="6004" spans="1:24">
      <c r="A6004">
        <f>HYPERLINK("https://www.philgeps.gov.ph/GEPSNONPILOT/Tender/SplashBidNoticeAbstractUI.aspx?menuIndex=3&amp;refID=7192339&amp;Result=3","7192339")</f>
        <v>0</v>
      </c>
      <c r="B6004" t="s">
        <v>1306</v>
      </c>
      <c r="C6004" t="s">
        <v>9493</v>
      </c>
      <c r="D6004" t="s">
        <v>19011</v>
      </c>
      <c r="E6004" t="s">
        <v>24369</v>
      </c>
      <c r="F6004" t="s">
        <v>32606</v>
      </c>
      <c r="G6004" t="s">
        <v>32613</v>
      </c>
      <c r="H6004" t="s">
        <v>14201</v>
      </c>
      <c r="I6004" t="s">
        <v>9013</v>
      </c>
      <c r="J6004" t="s">
        <v>36646</v>
      </c>
      <c r="K6004" t="s">
        <v>42636</v>
      </c>
      <c r="M6004" t="s">
        <v>45099</v>
      </c>
      <c r="N6004" t="s">
        <v>47304</v>
      </c>
      <c r="O6004" t="s">
        <v>47305</v>
      </c>
      <c r="P6004">
        <v>0</v>
      </c>
      <c r="Q6004">
        <v>3</v>
      </c>
      <c r="R6004" t="s">
        <v>47310</v>
      </c>
      <c r="S6004" t="s">
        <v>47435</v>
      </c>
      <c r="T6004" t="s">
        <v>49133</v>
      </c>
      <c r="U6004" t="s">
        <v>54569</v>
      </c>
      <c r="W6004" t="s">
        <v>45099</v>
      </c>
      <c r="X6004" t="s">
        <v>47312</v>
      </c>
    </row>
    <row r="6005" spans="1:24">
      <c r="A6005">
        <f>HYPERLINK("https://www.philgeps.gov.ph/GEPSNONPILOT/Tender/SplashBidNoticeAbstractUI.aspx?menuIndex=3&amp;refID=7192524&amp;Result=3","7192524")</f>
        <v>0</v>
      </c>
      <c r="B6005" t="s">
        <v>1812</v>
      </c>
      <c r="C6005" t="s">
        <v>9494</v>
      </c>
      <c r="D6005" t="s">
        <v>19067</v>
      </c>
      <c r="E6005" t="s">
        <v>24370</v>
      </c>
      <c r="F6005" t="s">
        <v>32606</v>
      </c>
      <c r="G6005" t="s">
        <v>32613</v>
      </c>
      <c r="H6005" t="s">
        <v>14201</v>
      </c>
      <c r="I6005" t="s">
        <v>7233</v>
      </c>
      <c r="J6005" t="s">
        <v>35903</v>
      </c>
      <c r="K6005" t="s">
        <v>42636</v>
      </c>
      <c r="M6005" t="s">
        <v>44853</v>
      </c>
      <c r="N6005" t="s">
        <v>47304</v>
      </c>
      <c r="O6005" t="s">
        <v>47305</v>
      </c>
      <c r="P6005">
        <v>0</v>
      </c>
      <c r="Q6005">
        <v>1</v>
      </c>
      <c r="R6005" t="s">
        <v>47310</v>
      </c>
      <c r="S6005" t="s">
        <v>47435</v>
      </c>
      <c r="T6005" t="s">
        <v>49008</v>
      </c>
      <c r="U6005" t="s">
        <v>54570</v>
      </c>
      <c r="W6005" t="s">
        <v>44853</v>
      </c>
      <c r="X6005" t="s">
        <v>47312</v>
      </c>
    </row>
    <row r="6006" spans="1:24">
      <c r="A6006">
        <f>HYPERLINK("https://www.philgeps.gov.ph/GEPSNONPILOT/Tender/SplashBidNoticeAbstractUI.aspx?menuIndex=3&amp;refID=7192270&amp;Result=3","7192270")</f>
        <v>0</v>
      </c>
      <c r="B6006" t="s">
        <v>1306</v>
      </c>
      <c r="C6006" t="s">
        <v>9495</v>
      </c>
      <c r="D6006" t="s">
        <v>19011</v>
      </c>
      <c r="E6006" t="s">
        <v>24371</v>
      </c>
      <c r="F6006" t="s">
        <v>32606</v>
      </c>
      <c r="G6006" t="s">
        <v>32613</v>
      </c>
      <c r="H6006" t="s">
        <v>14201</v>
      </c>
      <c r="I6006" t="s">
        <v>32686</v>
      </c>
      <c r="J6006" t="s">
        <v>36647</v>
      </c>
      <c r="K6006" t="s">
        <v>42636</v>
      </c>
      <c r="M6006" t="s">
        <v>45099</v>
      </c>
      <c r="N6006" t="s">
        <v>47304</v>
      </c>
      <c r="O6006" t="s">
        <v>47305</v>
      </c>
      <c r="P6006">
        <v>0</v>
      </c>
      <c r="Q6006">
        <v>5</v>
      </c>
      <c r="R6006" t="s">
        <v>47310</v>
      </c>
      <c r="S6006" t="s">
        <v>47435</v>
      </c>
      <c r="T6006" t="s">
        <v>49133</v>
      </c>
      <c r="U6006" t="s">
        <v>54571</v>
      </c>
      <c r="W6006" t="s">
        <v>45099</v>
      </c>
      <c r="X6006" t="s">
        <v>47312</v>
      </c>
    </row>
    <row r="6007" spans="1:24">
      <c r="A6007">
        <f>HYPERLINK("https://www.philgeps.gov.ph/GEPSNONPILOT/Tender/SplashBidNoticeAbstractUI.aspx?menuIndex=3&amp;refID=7194307&amp;Result=3","7194307")</f>
        <v>0</v>
      </c>
      <c r="B6007" t="s">
        <v>1962</v>
      </c>
      <c r="C6007" t="s">
        <v>9496</v>
      </c>
      <c r="D6007" t="s">
        <v>19060</v>
      </c>
      <c r="E6007" t="s">
        <v>9496</v>
      </c>
      <c r="F6007" t="s">
        <v>32606</v>
      </c>
      <c r="G6007" t="s">
        <v>32614</v>
      </c>
      <c r="H6007" t="s">
        <v>14201</v>
      </c>
      <c r="I6007" t="s">
        <v>6298</v>
      </c>
      <c r="J6007" t="s">
        <v>36648</v>
      </c>
      <c r="K6007" t="s">
        <v>42623</v>
      </c>
      <c r="L6007" t="s">
        <v>1962</v>
      </c>
      <c r="M6007" t="s">
        <v>45025</v>
      </c>
      <c r="N6007" t="s">
        <v>47304</v>
      </c>
      <c r="O6007" t="s">
        <v>47305</v>
      </c>
      <c r="P6007">
        <v>0</v>
      </c>
      <c r="Q6007">
        <v>1</v>
      </c>
      <c r="R6007" t="s">
        <v>47308</v>
      </c>
      <c r="S6007" t="s">
        <v>47429</v>
      </c>
      <c r="T6007" t="s">
        <v>49072</v>
      </c>
      <c r="U6007" t="s">
        <v>54377</v>
      </c>
      <c r="W6007" t="s">
        <v>45025</v>
      </c>
      <c r="X6007" t="s">
        <v>47309</v>
      </c>
    </row>
    <row r="6008" spans="1:24">
      <c r="A6008">
        <f>HYPERLINK("https://www.philgeps.gov.ph/GEPSNONPILOT/Tender/SplashBidNoticeAbstractUI.aspx?menuIndex=3&amp;refID=7192028&amp;Result=3","7192028")</f>
        <v>0</v>
      </c>
      <c r="B6008" t="s">
        <v>1593</v>
      </c>
      <c r="C6008" t="s">
        <v>9497</v>
      </c>
      <c r="D6008" t="s">
        <v>18992</v>
      </c>
      <c r="E6008" t="s">
        <v>24372</v>
      </c>
      <c r="F6008" t="s">
        <v>32606</v>
      </c>
      <c r="G6008" t="s">
        <v>32613</v>
      </c>
      <c r="H6008" t="s">
        <v>32623</v>
      </c>
      <c r="I6008" t="s">
        <v>17648</v>
      </c>
      <c r="J6008" t="s">
        <v>32920</v>
      </c>
      <c r="K6008" t="s">
        <v>42712</v>
      </c>
      <c r="M6008" t="s">
        <v>44607</v>
      </c>
      <c r="N6008" t="s">
        <v>47304</v>
      </c>
      <c r="O6008" t="s">
        <v>47305</v>
      </c>
      <c r="P6008">
        <v>0</v>
      </c>
      <c r="Q6008">
        <v>1</v>
      </c>
      <c r="R6008" t="s">
        <v>47310</v>
      </c>
      <c r="S6008" t="s">
        <v>47435</v>
      </c>
      <c r="T6008" t="s">
        <v>48986</v>
      </c>
      <c r="U6008" t="s">
        <v>54572</v>
      </c>
      <c r="V6008" t="s">
        <v>63220</v>
      </c>
      <c r="W6008" t="s">
        <v>44607</v>
      </c>
      <c r="X6008" t="s">
        <v>47312</v>
      </c>
    </row>
    <row r="6009" spans="1:24">
      <c r="A6009">
        <f>HYPERLINK("https://www.philgeps.gov.ph/GEPSNONPILOT/Tender/SplashBidNoticeAbstractUI.aspx?menuIndex=3&amp;refID=7192013&amp;Result=3","7192013")</f>
        <v>0</v>
      </c>
      <c r="B6009" t="s">
        <v>298</v>
      </c>
      <c r="C6009" t="s">
        <v>9498</v>
      </c>
      <c r="D6009" t="s">
        <v>18993</v>
      </c>
      <c r="E6009" t="s">
        <v>24373</v>
      </c>
      <c r="F6009" t="s">
        <v>32606</v>
      </c>
      <c r="G6009" t="s">
        <v>32614</v>
      </c>
      <c r="H6009" t="s">
        <v>14201</v>
      </c>
      <c r="I6009" t="s">
        <v>17648</v>
      </c>
      <c r="J6009" t="s">
        <v>36649</v>
      </c>
      <c r="K6009" t="s">
        <v>42695</v>
      </c>
      <c r="M6009" t="s">
        <v>45098</v>
      </c>
      <c r="N6009" t="s">
        <v>47304</v>
      </c>
      <c r="O6009" t="s">
        <v>47305</v>
      </c>
      <c r="P6009">
        <v>0</v>
      </c>
      <c r="Q6009">
        <v>0</v>
      </c>
      <c r="R6009" t="s">
        <v>47310</v>
      </c>
      <c r="S6009" t="s">
        <v>47435</v>
      </c>
      <c r="T6009" t="s">
        <v>48980</v>
      </c>
      <c r="U6009" t="s">
        <v>54573</v>
      </c>
      <c r="W6009" t="s">
        <v>45098</v>
      </c>
      <c r="X6009" t="s">
        <v>47312</v>
      </c>
    </row>
    <row r="6010" spans="1:24">
      <c r="A6010">
        <f>HYPERLINK("https://www.philgeps.gov.ph/GEPSNONPILOT/Tender/SplashBidNoticeAbstractUI.aspx?menuIndex=3&amp;refID=7192499&amp;Result=3","7192499")</f>
        <v>0</v>
      </c>
      <c r="B6010" t="s">
        <v>1812</v>
      </c>
      <c r="C6010" t="s">
        <v>9499</v>
      </c>
      <c r="D6010" t="s">
        <v>19067</v>
      </c>
      <c r="E6010" t="s">
        <v>24374</v>
      </c>
      <c r="F6010" t="s">
        <v>32606</v>
      </c>
      <c r="G6010" t="s">
        <v>32613</v>
      </c>
      <c r="H6010" t="s">
        <v>14201</v>
      </c>
      <c r="I6010" t="s">
        <v>32737</v>
      </c>
      <c r="J6010" t="s">
        <v>32769</v>
      </c>
      <c r="K6010" t="s">
        <v>42648</v>
      </c>
      <c r="M6010" t="s">
        <v>44853</v>
      </c>
      <c r="N6010" t="s">
        <v>47304</v>
      </c>
      <c r="O6010" t="s">
        <v>47305</v>
      </c>
      <c r="P6010">
        <v>0</v>
      </c>
      <c r="Q6010">
        <v>7</v>
      </c>
      <c r="R6010" t="s">
        <v>47310</v>
      </c>
      <c r="S6010" t="s">
        <v>47435</v>
      </c>
      <c r="T6010" t="s">
        <v>49008</v>
      </c>
      <c r="U6010" t="s">
        <v>54574</v>
      </c>
      <c r="W6010" t="s">
        <v>44853</v>
      </c>
      <c r="X6010" t="s">
        <v>47312</v>
      </c>
    </row>
    <row r="6011" spans="1:24">
      <c r="A6011">
        <f>HYPERLINK("https://www.philgeps.gov.ph/GEPSNONPILOT/Tender/SplashBidNoticeAbstractUI.aspx?menuIndex=3&amp;refID=7191582&amp;Result=3","7191582")</f>
        <v>0</v>
      </c>
      <c r="B6011" t="s">
        <v>1493</v>
      </c>
      <c r="C6011" t="s">
        <v>7577</v>
      </c>
      <c r="D6011" t="s">
        <v>19023</v>
      </c>
      <c r="E6011" t="s">
        <v>24375</v>
      </c>
      <c r="F6011" t="s">
        <v>32606</v>
      </c>
      <c r="G6011" t="s">
        <v>32614</v>
      </c>
      <c r="H6011" t="s">
        <v>14201</v>
      </c>
      <c r="I6011" t="s">
        <v>7577</v>
      </c>
      <c r="J6011" t="s">
        <v>36650</v>
      </c>
      <c r="K6011" t="s">
        <v>42629</v>
      </c>
      <c r="M6011" t="s">
        <v>44488</v>
      </c>
      <c r="N6011" t="s">
        <v>47304</v>
      </c>
      <c r="O6011" t="s">
        <v>47305</v>
      </c>
      <c r="P6011">
        <v>0</v>
      </c>
      <c r="Q6011">
        <v>1</v>
      </c>
      <c r="R6011" t="s">
        <v>47310</v>
      </c>
      <c r="S6011" t="s">
        <v>47435</v>
      </c>
      <c r="T6011" t="s">
        <v>49071</v>
      </c>
      <c r="U6011" t="s">
        <v>54575</v>
      </c>
      <c r="V6011" t="s">
        <v>63032</v>
      </c>
      <c r="W6011" t="s">
        <v>44488</v>
      </c>
      <c r="X6011" t="s">
        <v>47312</v>
      </c>
    </row>
    <row r="6012" spans="1:24">
      <c r="A6012">
        <f>HYPERLINK("https://www.philgeps.gov.ph/GEPSNONPILOT/Tender/SplashBidNoticeAbstractUI.aspx?menuIndex=3&amp;refID=7192481&amp;Result=3","7192481")</f>
        <v>0</v>
      </c>
      <c r="B6012" t="s">
        <v>1812</v>
      </c>
      <c r="C6012" t="s">
        <v>9500</v>
      </c>
      <c r="D6012" t="s">
        <v>19067</v>
      </c>
      <c r="E6012" t="s">
        <v>24376</v>
      </c>
      <c r="F6012" t="s">
        <v>32606</v>
      </c>
      <c r="G6012" t="s">
        <v>32613</v>
      </c>
      <c r="H6012" t="s">
        <v>14201</v>
      </c>
      <c r="I6012" t="s">
        <v>7233</v>
      </c>
      <c r="J6012" t="s">
        <v>36651</v>
      </c>
      <c r="K6012" t="s">
        <v>42631</v>
      </c>
      <c r="M6012" t="s">
        <v>44853</v>
      </c>
      <c r="N6012" t="s">
        <v>47304</v>
      </c>
      <c r="O6012" t="s">
        <v>47305</v>
      </c>
      <c r="P6012">
        <v>0</v>
      </c>
      <c r="Q6012">
        <v>2</v>
      </c>
      <c r="R6012" t="s">
        <v>47310</v>
      </c>
      <c r="S6012" t="s">
        <v>47435</v>
      </c>
      <c r="T6012" t="s">
        <v>49008</v>
      </c>
      <c r="U6012" t="s">
        <v>54576</v>
      </c>
      <c r="W6012" t="s">
        <v>44853</v>
      </c>
      <c r="X6012" t="s">
        <v>47312</v>
      </c>
    </row>
    <row r="6013" spans="1:24">
      <c r="A6013">
        <f>HYPERLINK("https://www.philgeps.gov.ph/GEPSNONPILOT/Tender/SplashBidNoticeAbstractUI.aspx?menuIndex=3&amp;refID=7191155&amp;Result=3","7191155")</f>
        <v>0</v>
      </c>
      <c r="B6013" t="s">
        <v>2024</v>
      </c>
      <c r="C6013" t="s">
        <v>9501</v>
      </c>
      <c r="D6013" t="s">
        <v>19000</v>
      </c>
      <c r="E6013" t="s">
        <v>20122</v>
      </c>
      <c r="F6013" t="s">
        <v>32606</v>
      </c>
      <c r="G6013" t="s">
        <v>32613</v>
      </c>
      <c r="H6013" t="s">
        <v>14201</v>
      </c>
      <c r="I6013" t="s">
        <v>6931</v>
      </c>
      <c r="J6013" t="s">
        <v>36652</v>
      </c>
      <c r="K6013" t="s">
        <v>42632</v>
      </c>
      <c r="M6013" t="s">
        <v>45100</v>
      </c>
      <c r="N6013" t="s">
        <v>47304</v>
      </c>
      <c r="O6013" t="s">
        <v>47305</v>
      </c>
      <c r="P6013">
        <v>0</v>
      </c>
      <c r="Q6013">
        <v>0</v>
      </c>
      <c r="R6013" t="s">
        <v>47310</v>
      </c>
      <c r="S6013" t="s">
        <v>47435</v>
      </c>
      <c r="T6013" t="s">
        <v>49195</v>
      </c>
      <c r="U6013" t="s">
        <v>54577</v>
      </c>
      <c r="W6013" t="s">
        <v>45100</v>
      </c>
      <c r="X6013" t="s">
        <v>47312</v>
      </c>
    </row>
    <row r="6014" spans="1:24">
      <c r="A6014">
        <f>HYPERLINK("https://www.philgeps.gov.ph/GEPSNONPILOT/Tender/SplashBidNoticeAbstractUI.aspx?menuIndex=3&amp;refID=7192431&amp;Result=3","7192431")</f>
        <v>0</v>
      </c>
      <c r="B6014" t="s">
        <v>1812</v>
      </c>
      <c r="C6014" t="s">
        <v>9502</v>
      </c>
      <c r="D6014" t="s">
        <v>19067</v>
      </c>
      <c r="E6014" t="s">
        <v>24377</v>
      </c>
      <c r="F6014" t="s">
        <v>32606</v>
      </c>
      <c r="G6014" t="s">
        <v>32613</v>
      </c>
      <c r="H6014" t="s">
        <v>32623</v>
      </c>
      <c r="I6014" t="s">
        <v>17648</v>
      </c>
      <c r="J6014" t="s">
        <v>34264</v>
      </c>
      <c r="K6014" t="s">
        <v>42645</v>
      </c>
      <c r="M6014" t="s">
        <v>44853</v>
      </c>
      <c r="N6014" t="s">
        <v>47304</v>
      </c>
      <c r="O6014" t="s">
        <v>47305</v>
      </c>
      <c r="P6014">
        <v>0</v>
      </c>
      <c r="Q6014">
        <v>0</v>
      </c>
      <c r="R6014" t="s">
        <v>47310</v>
      </c>
      <c r="S6014" t="s">
        <v>47435</v>
      </c>
      <c r="T6014" t="s">
        <v>49008</v>
      </c>
      <c r="U6014" t="s">
        <v>54578</v>
      </c>
      <c r="W6014" t="s">
        <v>44853</v>
      </c>
      <c r="X6014" t="s">
        <v>47312</v>
      </c>
    </row>
    <row r="6015" spans="1:24">
      <c r="A6015">
        <f>HYPERLINK("https://www.philgeps.gov.ph/GEPSNONPILOT/Tender/SplashBidNoticeAbstractUI.aspx?menuIndex=3&amp;refID=7194072&amp;Result=3","7194072")</f>
        <v>0</v>
      </c>
      <c r="B6015" t="s">
        <v>2025</v>
      </c>
      <c r="C6015" t="s">
        <v>9503</v>
      </c>
      <c r="D6015" t="s">
        <v>19001</v>
      </c>
      <c r="E6015" t="s">
        <v>24378</v>
      </c>
      <c r="F6015" t="s">
        <v>32606</v>
      </c>
      <c r="G6015" t="s">
        <v>32619</v>
      </c>
      <c r="H6015" t="s">
        <v>14201</v>
      </c>
      <c r="I6015" t="s">
        <v>6931</v>
      </c>
      <c r="J6015" t="s">
        <v>36653</v>
      </c>
      <c r="K6015" t="s">
        <v>42623</v>
      </c>
      <c r="M6015" t="s">
        <v>45101</v>
      </c>
      <c r="N6015" t="s">
        <v>47304</v>
      </c>
      <c r="O6015" t="s">
        <v>47305</v>
      </c>
      <c r="P6015">
        <v>0</v>
      </c>
      <c r="Q6015">
        <v>0</v>
      </c>
      <c r="R6015" t="s">
        <v>47308</v>
      </c>
      <c r="S6015" t="s">
        <v>47429</v>
      </c>
      <c r="T6015" t="s">
        <v>48975</v>
      </c>
      <c r="U6015" t="s">
        <v>54579</v>
      </c>
      <c r="W6015" t="s">
        <v>45101</v>
      </c>
      <c r="X6015" t="s">
        <v>47309</v>
      </c>
    </row>
    <row r="6016" spans="1:24">
      <c r="A6016">
        <f>HYPERLINK("https://www.philgeps.gov.ph/GEPSNONPILOT/Tender/SplashBidNoticeAbstractUI.aspx?menuIndex=3&amp;refID=7194071&amp;Result=3","7194071")</f>
        <v>0</v>
      </c>
      <c r="B6016" t="s">
        <v>2025</v>
      </c>
      <c r="C6016" t="s">
        <v>9504</v>
      </c>
      <c r="D6016" t="s">
        <v>19001</v>
      </c>
      <c r="E6016" t="s">
        <v>24379</v>
      </c>
      <c r="F6016" t="s">
        <v>32606</v>
      </c>
      <c r="G6016" t="s">
        <v>32619</v>
      </c>
      <c r="H6016" t="s">
        <v>14201</v>
      </c>
      <c r="I6016" t="s">
        <v>4369</v>
      </c>
      <c r="J6016" t="s">
        <v>33441</v>
      </c>
      <c r="K6016" t="s">
        <v>42632</v>
      </c>
      <c r="M6016" t="s">
        <v>45101</v>
      </c>
      <c r="N6016" t="s">
        <v>47304</v>
      </c>
      <c r="O6016" t="s">
        <v>47305</v>
      </c>
      <c r="P6016">
        <v>0</v>
      </c>
      <c r="Q6016">
        <v>0</v>
      </c>
      <c r="R6016" t="s">
        <v>47308</v>
      </c>
      <c r="S6016" t="s">
        <v>47429</v>
      </c>
      <c r="T6016" t="s">
        <v>49330</v>
      </c>
      <c r="U6016" t="s">
        <v>54580</v>
      </c>
      <c r="W6016" t="s">
        <v>45101</v>
      </c>
      <c r="X6016" t="s">
        <v>47309</v>
      </c>
    </row>
    <row r="6017" spans="1:24">
      <c r="A6017">
        <f>HYPERLINK("https://www.philgeps.gov.ph/GEPSNONPILOT/Tender/SplashBidNoticeAbstractUI.aspx?menuIndex=3&amp;refID=7192766&amp;Result=3","7192766")</f>
        <v>0</v>
      </c>
      <c r="B6017" t="s">
        <v>298</v>
      </c>
      <c r="C6017" t="s">
        <v>9505</v>
      </c>
      <c r="D6017" t="s">
        <v>18993</v>
      </c>
      <c r="E6017" t="s">
        <v>24380</v>
      </c>
      <c r="F6017" t="s">
        <v>32606</v>
      </c>
      <c r="G6017" t="s">
        <v>32614</v>
      </c>
      <c r="H6017" t="s">
        <v>14201</v>
      </c>
      <c r="I6017" t="s">
        <v>6298</v>
      </c>
      <c r="J6017" t="s">
        <v>36654</v>
      </c>
      <c r="K6017" t="s">
        <v>42630</v>
      </c>
      <c r="M6017" t="s">
        <v>45098</v>
      </c>
      <c r="N6017" t="s">
        <v>47304</v>
      </c>
      <c r="O6017" t="s">
        <v>47305</v>
      </c>
      <c r="P6017">
        <v>0</v>
      </c>
      <c r="Q6017">
        <v>0</v>
      </c>
      <c r="R6017" t="s">
        <v>47310</v>
      </c>
      <c r="S6017" t="s">
        <v>47435</v>
      </c>
      <c r="T6017" t="s">
        <v>48980</v>
      </c>
      <c r="U6017" t="s">
        <v>54581</v>
      </c>
      <c r="W6017" t="s">
        <v>45098</v>
      </c>
      <c r="X6017" t="s">
        <v>47312</v>
      </c>
    </row>
    <row r="6018" spans="1:24">
      <c r="A6018">
        <f>HYPERLINK("https://www.philgeps.gov.ph/GEPSNONPILOT/Tender/SplashBidNoticeAbstractUI.aspx?menuIndex=3&amp;refID=7192067&amp;Result=3","7192067")</f>
        <v>0</v>
      </c>
      <c r="B6018" t="s">
        <v>1306</v>
      </c>
      <c r="C6018" t="s">
        <v>9506</v>
      </c>
      <c r="D6018" t="s">
        <v>19011</v>
      </c>
      <c r="E6018" t="s">
        <v>24381</v>
      </c>
      <c r="F6018" t="s">
        <v>32606</v>
      </c>
      <c r="G6018" t="s">
        <v>32613</v>
      </c>
      <c r="H6018" t="s">
        <v>14201</v>
      </c>
      <c r="I6018" t="s">
        <v>32686</v>
      </c>
      <c r="J6018" t="s">
        <v>36655</v>
      </c>
      <c r="K6018" t="s">
        <v>42636</v>
      </c>
      <c r="M6018" t="s">
        <v>45099</v>
      </c>
      <c r="N6018" t="s">
        <v>47304</v>
      </c>
      <c r="O6018" t="s">
        <v>47305</v>
      </c>
      <c r="P6018">
        <v>0</v>
      </c>
      <c r="Q6018">
        <v>4</v>
      </c>
      <c r="R6018" t="s">
        <v>47310</v>
      </c>
      <c r="S6018" t="s">
        <v>47435</v>
      </c>
      <c r="T6018" t="s">
        <v>49133</v>
      </c>
      <c r="U6018" t="s">
        <v>54582</v>
      </c>
      <c r="W6018" t="s">
        <v>45099</v>
      </c>
      <c r="X6018" t="s">
        <v>47312</v>
      </c>
    </row>
    <row r="6019" spans="1:24">
      <c r="A6019">
        <f>HYPERLINK("https://www.philgeps.gov.ph/GEPSNONPILOT/Tender/SplashBidNoticeAbstractUI.aspx?menuIndex=3&amp;refID=7191978&amp;Result=3","7191978")</f>
        <v>0</v>
      </c>
      <c r="B6019" t="s">
        <v>298</v>
      </c>
      <c r="C6019" t="s">
        <v>9507</v>
      </c>
      <c r="D6019" t="s">
        <v>18993</v>
      </c>
      <c r="E6019" t="s">
        <v>24382</v>
      </c>
      <c r="F6019" t="s">
        <v>32606</v>
      </c>
      <c r="G6019" t="s">
        <v>32614</v>
      </c>
      <c r="H6019" t="s">
        <v>14201</v>
      </c>
      <c r="I6019" t="s">
        <v>32681</v>
      </c>
      <c r="J6019" t="s">
        <v>36656</v>
      </c>
      <c r="K6019" t="s">
        <v>42630</v>
      </c>
      <c r="M6019" t="s">
        <v>45098</v>
      </c>
      <c r="N6019" t="s">
        <v>47304</v>
      </c>
      <c r="O6019" t="s">
        <v>47305</v>
      </c>
      <c r="P6019">
        <v>0</v>
      </c>
      <c r="Q6019">
        <v>0</v>
      </c>
      <c r="R6019" t="s">
        <v>47310</v>
      </c>
      <c r="S6019" t="s">
        <v>47435</v>
      </c>
      <c r="T6019" t="s">
        <v>48980</v>
      </c>
      <c r="U6019" t="s">
        <v>54583</v>
      </c>
      <c r="W6019" t="s">
        <v>45098</v>
      </c>
      <c r="X6019" t="s">
        <v>47312</v>
      </c>
    </row>
    <row r="6020" spans="1:24">
      <c r="A6020">
        <f>HYPERLINK("https://www.philgeps.gov.ph/GEPSNONPILOT/Tender/SplashBidNoticeAbstractUI.aspx?menuIndex=3&amp;refID=7191550&amp;Result=3","7191550")</f>
        <v>0</v>
      </c>
      <c r="B6020" t="s">
        <v>1493</v>
      </c>
      <c r="C6020" t="s">
        <v>4114</v>
      </c>
      <c r="D6020" t="s">
        <v>19023</v>
      </c>
      <c r="E6020" t="s">
        <v>24383</v>
      </c>
      <c r="F6020" t="s">
        <v>32606</v>
      </c>
      <c r="G6020" t="s">
        <v>32614</v>
      </c>
      <c r="H6020" t="s">
        <v>14201</v>
      </c>
      <c r="I6020" t="s">
        <v>4114</v>
      </c>
      <c r="J6020" t="s">
        <v>36657</v>
      </c>
      <c r="K6020" t="s">
        <v>42629</v>
      </c>
      <c r="M6020" t="s">
        <v>44488</v>
      </c>
      <c r="N6020" t="s">
        <v>47304</v>
      </c>
      <c r="O6020" t="s">
        <v>47305</v>
      </c>
      <c r="P6020">
        <v>0</v>
      </c>
      <c r="Q6020">
        <v>0</v>
      </c>
      <c r="R6020" t="s">
        <v>47310</v>
      </c>
      <c r="S6020" t="s">
        <v>47435</v>
      </c>
      <c r="T6020" t="s">
        <v>49071</v>
      </c>
      <c r="U6020" t="s">
        <v>54584</v>
      </c>
      <c r="V6020" t="s">
        <v>63032</v>
      </c>
      <c r="W6020" t="s">
        <v>44488</v>
      </c>
      <c r="X6020" t="s">
        <v>47312</v>
      </c>
    </row>
    <row r="6021" spans="1:24">
      <c r="A6021">
        <f>HYPERLINK("https://www.philgeps.gov.ph/GEPSNONPILOT/Tender/SplashBidNoticeAbstractUI.aspx?menuIndex=3&amp;refID=7193091&amp;Result=3","7193091")</f>
        <v>0</v>
      </c>
      <c r="B6021" t="s">
        <v>1499</v>
      </c>
      <c r="C6021" t="s">
        <v>9508</v>
      </c>
      <c r="D6021" t="s">
        <v>19038</v>
      </c>
      <c r="E6021" t="s">
        <v>19312</v>
      </c>
      <c r="F6021" t="s">
        <v>32606</v>
      </c>
      <c r="G6021" t="s">
        <v>32619</v>
      </c>
      <c r="H6021" t="s">
        <v>14201</v>
      </c>
      <c r="I6021" t="s">
        <v>9013</v>
      </c>
      <c r="J6021" t="s">
        <v>36658</v>
      </c>
      <c r="K6021" t="s">
        <v>42629</v>
      </c>
      <c r="M6021" t="s">
        <v>44495</v>
      </c>
      <c r="N6021" t="s">
        <v>47304</v>
      </c>
      <c r="O6021" t="s">
        <v>47305</v>
      </c>
      <c r="P6021">
        <v>0</v>
      </c>
      <c r="Q6021">
        <v>2</v>
      </c>
      <c r="R6021" t="s">
        <v>47310</v>
      </c>
      <c r="S6021" t="s">
        <v>47435</v>
      </c>
      <c r="T6021" t="s">
        <v>49268</v>
      </c>
      <c r="U6021" t="s">
        <v>54585</v>
      </c>
      <c r="W6021" t="s">
        <v>44495</v>
      </c>
      <c r="X6021" t="s">
        <v>47311</v>
      </c>
    </row>
    <row r="6022" spans="1:24">
      <c r="A6022">
        <f>HYPERLINK("https://www.philgeps.gov.ph/GEPSNONPILOT/Tender/SplashBidNoticeAbstractUI.aspx?menuIndex=3&amp;refID=7193088&amp;Result=3","7193088")</f>
        <v>0</v>
      </c>
      <c r="B6022" t="s">
        <v>1783</v>
      </c>
      <c r="C6022" t="s">
        <v>9509</v>
      </c>
      <c r="D6022" t="s">
        <v>19014</v>
      </c>
      <c r="E6022" t="s">
        <v>24384</v>
      </c>
      <c r="F6022" t="s">
        <v>32606</v>
      </c>
      <c r="G6022" t="s">
        <v>32613</v>
      </c>
      <c r="H6022" t="s">
        <v>32623</v>
      </c>
      <c r="I6022" t="s">
        <v>17648</v>
      </c>
      <c r="J6022" t="s">
        <v>36659</v>
      </c>
      <c r="K6022" t="s">
        <v>42646</v>
      </c>
      <c r="L6022" t="s">
        <v>1783</v>
      </c>
      <c r="M6022" t="s">
        <v>44823</v>
      </c>
      <c r="N6022" t="s">
        <v>47304</v>
      </c>
      <c r="O6022" t="s">
        <v>47305</v>
      </c>
      <c r="P6022">
        <v>0</v>
      </c>
      <c r="Q6022">
        <v>28</v>
      </c>
      <c r="R6022" t="s">
        <v>47310</v>
      </c>
      <c r="S6022" t="s">
        <v>47435</v>
      </c>
      <c r="T6022" t="s">
        <v>49334</v>
      </c>
      <c r="U6022" t="s">
        <v>54586</v>
      </c>
      <c r="W6022" t="s">
        <v>44823</v>
      </c>
      <c r="X6022" t="s">
        <v>47311</v>
      </c>
    </row>
    <row r="6023" spans="1:24">
      <c r="A6023">
        <f>HYPERLINK("https://www.philgeps.gov.ph/GEPSNONPILOT/Tender/SplashBidNoticeAbstractUI.aspx?menuIndex=3&amp;refID=7193086&amp;Result=3","7193086")</f>
        <v>0</v>
      </c>
      <c r="B6023" t="s">
        <v>1783</v>
      </c>
      <c r="C6023" t="s">
        <v>9510</v>
      </c>
      <c r="D6023" t="s">
        <v>19014</v>
      </c>
      <c r="E6023" t="s">
        <v>24384</v>
      </c>
      <c r="F6023" t="s">
        <v>32606</v>
      </c>
      <c r="G6023" t="s">
        <v>32613</v>
      </c>
      <c r="H6023" t="s">
        <v>32623</v>
      </c>
      <c r="I6023" t="s">
        <v>17648</v>
      </c>
      <c r="J6023" t="s">
        <v>36660</v>
      </c>
      <c r="K6023" t="s">
        <v>42648</v>
      </c>
      <c r="L6023" t="s">
        <v>1783</v>
      </c>
      <c r="M6023" t="s">
        <v>44823</v>
      </c>
      <c r="N6023" t="s">
        <v>47304</v>
      </c>
      <c r="O6023" t="s">
        <v>47305</v>
      </c>
      <c r="P6023">
        <v>0</v>
      </c>
      <c r="Q6023">
        <v>26</v>
      </c>
      <c r="R6023" t="s">
        <v>47310</v>
      </c>
      <c r="S6023" t="s">
        <v>47435</v>
      </c>
      <c r="T6023" t="s">
        <v>49334</v>
      </c>
      <c r="U6023" t="s">
        <v>54587</v>
      </c>
      <c r="W6023" t="s">
        <v>44823</v>
      </c>
      <c r="X6023" t="s">
        <v>47311</v>
      </c>
    </row>
    <row r="6024" spans="1:24">
      <c r="A6024">
        <f>HYPERLINK("https://www.philgeps.gov.ph/GEPSNONPILOT/Tender/SplashBidNoticeAbstractUI.aspx?menuIndex=3&amp;refID=7193084&amp;Result=3","7193084")</f>
        <v>0</v>
      </c>
      <c r="B6024" t="s">
        <v>1783</v>
      </c>
      <c r="C6024" t="s">
        <v>9511</v>
      </c>
      <c r="D6024" t="s">
        <v>19014</v>
      </c>
      <c r="E6024" t="s">
        <v>24384</v>
      </c>
      <c r="F6024" t="s">
        <v>32606</v>
      </c>
      <c r="G6024" t="s">
        <v>32613</v>
      </c>
      <c r="H6024" t="s">
        <v>32623</v>
      </c>
      <c r="I6024" t="s">
        <v>17648</v>
      </c>
      <c r="J6024" t="s">
        <v>36661</v>
      </c>
      <c r="K6024" t="s">
        <v>42648</v>
      </c>
      <c r="L6024" t="s">
        <v>1783</v>
      </c>
      <c r="M6024" t="s">
        <v>44823</v>
      </c>
      <c r="N6024" t="s">
        <v>47304</v>
      </c>
      <c r="O6024" t="s">
        <v>47305</v>
      </c>
      <c r="P6024">
        <v>0</v>
      </c>
      <c r="Q6024">
        <v>27</v>
      </c>
      <c r="R6024" t="s">
        <v>47310</v>
      </c>
      <c r="S6024" t="s">
        <v>47435</v>
      </c>
      <c r="T6024" t="s">
        <v>49334</v>
      </c>
      <c r="U6024" t="s">
        <v>54588</v>
      </c>
      <c r="W6024" t="s">
        <v>44823</v>
      </c>
      <c r="X6024" t="s">
        <v>47311</v>
      </c>
    </row>
    <row r="6025" spans="1:24">
      <c r="A6025">
        <f>HYPERLINK("https://www.philgeps.gov.ph/GEPSNONPILOT/Tender/SplashBidNoticeAbstractUI.aspx?menuIndex=3&amp;refID=7193083&amp;Result=3","7193083")</f>
        <v>0</v>
      </c>
      <c r="B6025" t="s">
        <v>1783</v>
      </c>
      <c r="C6025" t="s">
        <v>9512</v>
      </c>
      <c r="D6025" t="s">
        <v>19014</v>
      </c>
      <c r="E6025" t="s">
        <v>24384</v>
      </c>
      <c r="F6025" t="s">
        <v>32606</v>
      </c>
      <c r="G6025" t="s">
        <v>32613</v>
      </c>
      <c r="H6025" t="s">
        <v>32623</v>
      </c>
      <c r="I6025" t="s">
        <v>17648</v>
      </c>
      <c r="J6025" t="s">
        <v>36662</v>
      </c>
      <c r="K6025" t="s">
        <v>42646</v>
      </c>
      <c r="L6025" t="s">
        <v>1783</v>
      </c>
      <c r="M6025" t="s">
        <v>44823</v>
      </c>
      <c r="N6025" t="s">
        <v>47304</v>
      </c>
      <c r="O6025" t="s">
        <v>47305</v>
      </c>
      <c r="P6025">
        <v>0</v>
      </c>
      <c r="Q6025">
        <v>26</v>
      </c>
      <c r="R6025" t="s">
        <v>47310</v>
      </c>
      <c r="S6025" t="s">
        <v>47435</v>
      </c>
      <c r="T6025" t="s">
        <v>49334</v>
      </c>
      <c r="U6025" t="s">
        <v>54589</v>
      </c>
      <c r="W6025" t="s">
        <v>44823</v>
      </c>
      <c r="X6025" t="s">
        <v>47311</v>
      </c>
    </row>
    <row r="6026" spans="1:24">
      <c r="A6026">
        <f>HYPERLINK("https://www.philgeps.gov.ph/GEPSNONPILOT/Tender/SplashBidNoticeAbstractUI.aspx?menuIndex=3&amp;refID=7193079&amp;Result=3","7193079")</f>
        <v>0</v>
      </c>
      <c r="B6026" t="s">
        <v>2026</v>
      </c>
      <c r="C6026" t="s">
        <v>9513</v>
      </c>
      <c r="D6026" t="s">
        <v>19035</v>
      </c>
      <c r="E6026" t="s">
        <v>24385</v>
      </c>
      <c r="F6026" t="s">
        <v>32606</v>
      </c>
      <c r="G6026" t="s">
        <v>32619</v>
      </c>
      <c r="H6026" t="s">
        <v>14201</v>
      </c>
      <c r="I6026" t="s">
        <v>4114</v>
      </c>
      <c r="J6026" t="s">
        <v>36663</v>
      </c>
      <c r="K6026" t="s">
        <v>42630</v>
      </c>
      <c r="M6026" t="s">
        <v>45102</v>
      </c>
      <c r="N6026" t="s">
        <v>47304</v>
      </c>
      <c r="O6026" t="s">
        <v>47305</v>
      </c>
      <c r="P6026">
        <v>0</v>
      </c>
      <c r="Q6026">
        <v>3</v>
      </c>
      <c r="R6026" t="s">
        <v>47310</v>
      </c>
      <c r="S6026" t="s">
        <v>47435</v>
      </c>
      <c r="T6026" t="s">
        <v>48979</v>
      </c>
      <c r="U6026" t="s">
        <v>54590</v>
      </c>
      <c r="W6026" t="s">
        <v>45102</v>
      </c>
      <c r="X6026" t="s">
        <v>47311</v>
      </c>
    </row>
    <row r="6027" spans="1:24">
      <c r="A6027">
        <f>HYPERLINK("https://www.philgeps.gov.ph/GEPSNONPILOT/Tender/SplashBidNoticeAbstractUI.aspx?menuIndex=3&amp;refID=7193098&amp;Result=3","7193098")</f>
        <v>0</v>
      </c>
      <c r="B6027" t="s">
        <v>2027</v>
      </c>
      <c r="C6027" t="s">
        <v>9514</v>
      </c>
      <c r="D6027" t="s">
        <v>19042</v>
      </c>
      <c r="E6027" t="s">
        <v>24386</v>
      </c>
      <c r="F6027" t="s">
        <v>32606</v>
      </c>
      <c r="G6027" t="s">
        <v>32613</v>
      </c>
      <c r="H6027" t="s">
        <v>14201</v>
      </c>
      <c r="I6027" t="s">
        <v>6931</v>
      </c>
      <c r="J6027" t="s">
        <v>32765</v>
      </c>
      <c r="K6027" t="s">
        <v>42623</v>
      </c>
      <c r="M6027" t="s">
        <v>45103</v>
      </c>
      <c r="N6027" t="s">
        <v>47304</v>
      </c>
      <c r="O6027" t="s">
        <v>47305</v>
      </c>
      <c r="P6027">
        <v>0</v>
      </c>
      <c r="Q6027">
        <v>0</v>
      </c>
      <c r="R6027" t="s">
        <v>47310</v>
      </c>
      <c r="S6027" t="s">
        <v>47435</v>
      </c>
      <c r="T6027" t="s">
        <v>49084</v>
      </c>
      <c r="U6027" t="s">
        <v>54591</v>
      </c>
      <c r="W6027" t="s">
        <v>45103</v>
      </c>
      <c r="X6027" t="s">
        <v>47311</v>
      </c>
    </row>
    <row r="6028" spans="1:24">
      <c r="A6028">
        <f>HYPERLINK("https://www.philgeps.gov.ph/GEPSNONPILOT/Tender/SplashBidNoticeAbstractUI.aspx?menuIndex=3&amp;refID=7193058&amp;Result=3","7193058")</f>
        <v>0</v>
      </c>
      <c r="B6028" t="s">
        <v>1783</v>
      </c>
      <c r="C6028" t="s">
        <v>9515</v>
      </c>
      <c r="D6028" t="s">
        <v>19014</v>
      </c>
      <c r="E6028" t="s">
        <v>24384</v>
      </c>
      <c r="F6028" t="s">
        <v>32606</v>
      </c>
      <c r="G6028" t="s">
        <v>32613</v>
      </c>
      <c r="H6028" t="s">
        <v>14201</v>
      </c>
      <c r="I6028" t="s">
        <v>17648</v>
      </c>
      <c r="J6028" t="s">
        <v>36664</v>
      </c>
      <c r="K6028" t="s">
        <v>42636</v>
      </c>
      <c r="L6028" t="s">
        <v>1783</v>
      </c>
      <c r="M6028" t="s">
        <v>44823</v>
      </c>
      <c r="N6028" t="s">
        <v>47304</v>
      </c>
      <c r="O6028" t="s">
        <v>47305</v>
      </c>
      <c r="P6028">
        <v>0</v>
      </c>
      <c r="Q6028">
        <v>11</v>
      </c>
      <c r="R6028" t="s">
        <v>47310</v>
      </c>
      <c r="S6028" t="s">
        <v>47435</v>
      </c>
      <c r="T6028" t="s">
        <v>49334</v>
      </c>
      <c r="U6028" t="s">
        <v>54592</v>
      </c>
      <c r="W6028" t="s">
        <v>44823</v>
      </c>
      <c r="X6028" t="s">
        <v>47311</v>
      </c>
    </row>
    <row r="6029" spans="1:24">
      <c r="A6029">
        <f>HYPERLINK("https://www.philgeps.gov.ph/GEPSNONPILOT/Tender/SplashBidNoticeAbstractUI.aspx?menuIndex=3&amp;refID=7193053&amp;Result=3","7193053")</f>
        <v>0</v>
      </c>
      <c r="B6029" t="s">
        <v>2028</v>
      </c>
      <c r="C6029" t="s">
        <v>9516</v>
      </c>
      <c r="D6029" t="s">
        <v>19040</v>
      </c>
      <c r="E6029" t="s">
        <v>24387</v>
      </c>
      <c r="F6029" t="s">
        <v>32606</v>
      </c>
      <c r="G6029" t="s">
        <v>32614</v>
      </c>
      <c r="H6029" t="s">
        <v>32623</v>
      </c>
      <c r="I6029" t="s">
        <v>17648</v>
      </c>
      <c r="J6029" t="s">
        <v>36665</v>
      </c>
      <c r="K6029" t="s">
        <v>42666</v>
      </c>
      <c r="M6029" t="s">
        <v>45104</v>
      </c>
      <c r="N6029" t="s">
        <v>47304</v>
      </c>
      <c r="O6029" t="s">
        <v>47305</v>
      </c>
      <c r="P6029">
        <v>0</v>
      </c>
      <c r="Q6029">
        <v>2</v>
      </c>
      <c r="R6029" t="s">
        <v>47310</v>
      </c>
      <c r="S6029" t="s">
        <v>47435</v>
      </c>
      <c r="T6029" t="s">
        <v>49165</v>
      </c>
      <c r="U6029" t="s">
        <v>54593</v>
      </c>
      <c r="W6029" t="s">
        <v>45104</v>
      </c>
      <c r="X6029" t="s">
        <v>47311</v>
      </c>
    </row>
    <row r="6030" spans="1:24">
      <c r="A6030">
        <f>HYPERLINK("https://www.philgeps.gov.ph/GEPSNONPILOT/Tender/SplashBidNoticeAbstractUI.aspx?menuIndex=3&amp;refID=7193095&amp;Result=3","7193095")</f>
        <v>0</v>
      </c>
      <c r="B6030" t="s">
        <v>2027</v>
      </c>
      <c r="C6030" t="s">
        <v>9517</v>
      </c>
      <c r="D6030" t="s">
        <v>19042</v>
      </c>
      <c r="E6030" t="s">
        <v>24388</v>
      </c>
      <c r="F6030" t="s">
        <v>32606</v>
      </c>
      <c r="G6030" t="s">
        <v>32613</v>
      </c>
      <c r="H6030" t="s">
        <v>14201</v>
      </c>
      <c r="I6030" t="s">
        <v>6931</v>
      </c>
      <c r="J6030" t="s">
        <v>32770</v>
      </c>
      <c r="K6030" t="s">
        <v>42623</v>
      </c>
      <c r="M6030" t="s">
        <v>45103</v>
      </c>
      <c r="N6030" t="s">
        <v>47304</v>
      </c>
      <c r="O6030" t="s">
        <v>47305</v>
      </c>
      <c r="P6030">
        <v>0</v>
      </c>
      <c r="Q6030">
        <v>0</v>
      </c>
      <c r="R6030" t="s">
        <v>47310</v>
      </c>
      <c r="S6030" t="s">
        <v>47435</v>
      </c>
      <c r="T6030" t="s">
        <v>49084</v>
      </c>
      <c r="U6030" t="s">
        <v>54594</v>
      </c>
      <c r="W6030" t="s">
        <v>45103</v>
      </c>
      <c r="X6030" t="s">
        <v>47311</v>
      </c>
    </row>
    <row r="6031" spans="1:24">
      <c r="A6031">
        <f>HYPERLINK("https://www.philgeps.gov.ph/GEPSNONPILOT/Tender/SplashBidNoticeAbstractUI.aspx?menuIndex=3&amp;refID=7193103&amp;Result=3","7193103")</f>
        <v>0</v>
      </c>
      <c r="B6031" t="s">
        <v>2029</v>
      </c>
      <c r="C6031" t="s">
        <v>9518</v>
      </c>
      <c r="D6031" t="s">
        <v>18986</v>
      </c>
      <c r="E6031" t="s">
        <v>24389</v>
      </c>
      <c r="F6031" t="s">
        <v>32606</v>
      </c>
      <c r="G6031" t="s">
        <v>32613</v>
      </c>
      <c r="H6031" t="s">
        <v>14201</v>
      </c>
      <c r="I6031" t="s">
        <v>4114</v>
      </c>
      <c r="J6031" t="s">
        <v>36666</v>
      </c>
      <c r="K6031" t="s">
        <v>42623</v>
      </c>
      <c r="M6031" t="s">
        <v>45105</v>
      </c>
      <c r="N6031" t="s">
        <v>47304</v>
      </c>
      <c r="O6031" t="s">
        <v>47305</v>
      </c>
      <c r="P6031">
        <v>0</v>
      </c>
      <c r="Q6031">
        <v>4</v>
      </c>
      <c r="R6031" t="s">
        <v>47310</v>
      </c>
      <c r="S6031" t="s">
        <v>47435</v>
      </c>
      <c r="T6031" t="s">
        <v>49111</v>
      </c>
      <c r="U6031" t="s">
        <v>54595</v>
      </c>
      <c r="W6031" t="s">
        <v>45105</v>
      </c>
      <c r="X6031" t="s">
        <v>47311</v>
      </c>
    </row>
    <row r="6032" spans="1:24">
      <c r="A6032">
        <f>HYPERLINK("https://www.philgeps.gov.ph/GEPSNONPILOT/Tender/SplashBidNoticeAbstractUI.aspx?menuIndex=3&amp;refID=7193152&amp;Result=3","7193152")</f>
        <v>0</v>
      </c>
      <c r="B6032" t="s">
        <v>2030</v>
      </c>
      <c r="C6032" t="s">
        <v>9519</v>
      </c>
      <c r="D6032" t="s">
        <v>19007</v>
      </c>
      <c r="E6032" t="s">
        <v>24390</v>
      </c>
      <c r="F6032" t="s">
        <v>32606</v>
      </c>
      <c r="G6032" t="s">
        <v>32613</v>
      </c>
      <c r="H6032" t="s">
        <v>32623</v>
      </c>
      <c r="I6032" t="s">
        <v>17648</v>
      </c>
      <c r="J6032" t="s">
        <v>32923</v>
      </c>
      <c r="K6032" t="s">
        <v>42631</v>
      </c>
      <c r="M6032" t="s">
        <v>45106</v>
      </c>
      <c r="N6032" t="s">
        <v>47304</v>
      </c>
      <c r="O6032" t="s">
        <v>47305</v>
      </c>
      <c r="P6032">
        <v>0</v>
      </c>
      <c r="Q6032">
        <v>2</v>
      </c>
      <c r="R6032" t="s">
        <v>47310</v>
      </c>
      <c r="S6032" t="s">
        <v>47435</v>
      </c>
      <c r="T6032" t="s">
        <v>49104</v>
      </c>
      <c r="U6032" t="s">
        <v>54596</v>
      </c>
      <c r="W6032" t="s">
        <v>45106</v>
      </c>
      <c r="X6032" t="s">
        <v>47311</v>
      </c>
    </row>
    <row r="6033" spans="1:24">
      <c r="A6033">
        <f>HYPERLINK("https://www.philgeps.gov.ph/GEPSNONPILOT/Tender/SplashBidNoticeAbstractUI.aspx?menuIndex=3&amp;refID=7193078&amp;Result=3","7193078")</f>
        <v>0</v>
      </c>
      <c r="B6033" t="s">
        <v>2026</v>
      </c>
      <c r="C6033" t="s">
        <v>9513</v>
      </c>
      <c r="D6033" t="s">
        <v>19035</v>
      </c>
      <c r="E6033" t="s">
        <v>24391</v>
      </c>
      <c r="F6033" t="s">
        <v>32606</v>
      </c>
      <c r="G6033" t="s">
        <v>32619</v>
      </c>
      <c r="H6033" t="s">
        <v>14201</v>
      </c>
      <c r="I6033" t="s">
        <v>4114</v>
      </c>
      <c r="J6033" t="s">
        <v>36663</v>
      </c>
      <c r="K6033" t="s">
        <v>42630</v>
      </c>
      <c r="M6033" t="s">
        <v>45102</v>
      </c>
      <c r="N6033" t="s">
        <v>47304</v>
      </c>
      <c r="O6033" t="s">
        <v>47305</v>
      </c>
      <c r="P6033">
        <v>0</v>
      </c>
      <c r="Q6033">
        <v>3</v>
      </c>
      <c r="R6033" t="s">
        <v>47310</v>
      </c>
      <c r="S6033" t="s">
        <v>47435</v>
      </c>
      <c r="T6033" t="s">
        <v>48979</v>
      </c>
      <c r="U6033" t="s">
        <v>54597</v>
      </c>
      <c r="W6033" t="s">
        <v>45102</v>
      </c>
      <c r="X6033" t="s">
        <v>47311</v>
      </c>
    </row>
    <row r="6034" spans="1:24">
      <c r="A6034">
        <f>HYPERLINK("https://www.philgeps.gov.ph/GEPSNONPILOT/Tender/SplashBidNoticeAbstractUI.aspx?menuIndex=3&amp;refID=7193164&amp;Result=3","7193164")</f>
        <v>0</v>
      </c>
      <c r="B6034" t="s">
        <v>1346</v>
      </c>
      <c r="C6034" t="s">
        <v>9520</v>
      </c>
      <c r="E6034" t="s">
        <v>24392</v>
      </c>
      <c r="F6034" t="s">
        <v>32606</v>
      </c>
      <c r="G6034" t="s">
        <v>32613</v>
      </c>
      <c r="H6034" t="s">
        <v>14201</v>
      </c>
      <c r="I6034" t="s">
        <v>32669</v>
      </c>
      <c r="J6034" t="s">
        <v>32923</v>
      </c>
      <c r="K6034" t="s">
        <v>42624</v>
      </c>
      <c r="M6034" t="s">
        <v>44320</v>
      </c>
      <c r="N6034" t="s">
        <v>47304</v>
      </c>
      <c r="O6034" t="s">
        <v>47305</v>
      </c>
      <c r="P6034">
        <v>0</v>
      </c>
      <c r="Q6034">
        <v>1</v>
      </c>
      <c r="R6034" t="s">
        <v>47310</v>
      </c>
      <c r="S6034" t="s">
        <v>47435</v>
      </c>
      <c r="T6034" t="s">
        <v>49009</v>
      </c>
      <c r="U6034" t="s">
        <v>54598</v>
      </c>
      <c r="W6034" t="s">
        <v>44320</v>
      </c>
      <c r="X6034" t="s">
        <v>47311</v>
      </c>
    </row>
    <row r="6035" spans="1:24">
      <c r="A6035">
        <f>HYPERLINK("https://www.philgeps.gov.ph/GEPSNONPILOT/Tender/SplashBidNoticeAbstractUI.aspx?menuIndex=3&amp;refID=7193054&amp;Result=3","7193054")</f>
        <v>0</v>
      </c>
      <c r="B6035" t="s">
        <v>1783</v>
      </c>
      <c r="C6035" t="s">
        <v>9521</v>
      </c>
      <c r="D6035" t="s">
        <v>19014</v>
      </c>
      <c r="E6035" t="s">
        <v>24393</v>
      </c>
      <c r="F6035" t="s">
        <v>32606</v>
      </c>
      <c r="G6035" t="s">
        <v>32613</v>
      </c>
      <c r="H6035" t="s">
        <v>32623</v>
      </c>
      <c r="I6035" t="s">
        <v>17648</v>
      </c>
      <c r="J6035" t="s">
        <v>36667</v>
      </c>
      <c r="K6035" t="s">
        <v>42636</v>
      </c>
      <c r="L6035" t="s">
        <v>1783</v>
      </c>
      <c r="M6035" t="s">
        <v>44823</v>
      </c>
      <c r="N6035" t="s">
        <v>47304</v>
      </c>
      <c r="O6035" t="s">
        <v>47305</v>
      </c>
      <c r="P6035">
        <v>0</v>
      </c>
      <c r="Q6035">
        <v>14</v>
      </c>
      <c r="R6035" t="s">
        <v>47310</v>
      </c>
      <c r="S6035" t="s">
        <v>47435</v>
      </c>
      <c r="T6035" t="s">
        <v>49334</v>
      </c>
      <c r="U6035" t="s">
        <v>54599</v>
      </c>
      <c r="W6035" t="s">
        <v>44823</v>
      </c>
      <c r="X6035" t="s">
        <v>47311</v>
      </c>
    </row>
    <row r="6036" spans="1:24">
      <c r="A6036">
        <f>HYPERLINK("https://www.philgeps.gov.ph/GEPSNONPILOT/Tender/SplashBidNoticeAbstractUI.aspx?menuIndex=3&amp;refID=7193162&amp;Result=3","7193162")</f>
        <v>0</v>
      </c>
      <c r="B6036" t="s">
        <v>1346</v>
      </c>
      <c r="C6036" t="s">
        <v>9522</v>
      </c>
      <c r="E6036" t="s">
        <v>24394</v>
      </c>
      <c r="F6036" t="s">
        <v>32606</v>
      </c>
      <c r="G6036" t="s">
        <v>32613</v>
      </c>
      <c r="H6036" t="s">
        <v>14201</v>
      </c>
      <c r="I6036" t="s">
        <v>32669</v>
      </c>
      <c r="J6036" t="s">
        <v>36668</v>
      </c>
      <c r="K6036" t="s">
        <v>42624</v>
      </c>
      <c r="M6036" t="s">
        <v>44320</v>
      </c>
      <c r="N6036" t="s">
        <v>47304</v>
      </c>
      <c r="O6036" t="s">
        <v>47305</v>
      </c>
      <c r="P6036">
        <v>0</v>
      </c>
      <c r="Q6036">
        <v>1</v>
      </c>
      <c r="R6036" t="s">
        <v>47310</v>
      </c>
      <c r="S6036" t="s">
        <v>47435</v>
      </c>
      <c r="T6036" t="s">
        <v>49009</v>
      </c>
      <c r="U6036" t="s">
        <v>54600</v>
      </c>
      <c r="W6036" t="s">
        <v>44320</v>
      </c>
      <c r="X6036" t="s">
        <v>47311</v>
      </c>
    </row>
    <row r="6037" spans="1:24">
      <c r="A6037">
        <f>HYPERLINK("https://www.philgeps.gov.ph/GEPSNONPILOT/Tender/SplashBidNoticeAbstractUI.aspx?menuIndex=3&amp;refID=7193158&amp;Result=3","7193158")</f>
        <v>0</v>
      </c>
      <c r="B6037" t="s">
        <v>1346</v>
      </c>
      <c r="C6037" t="s">
        <v>6988</v>
      </c>
      <c r="E6037" t="s">
        <v>24395</v>
      </c>
      <c r="F6037" t="s">
        <v>32606</v>
      </c>
      <c r="G6037" t="s">
        <v>32613</v>
      </c>
      <c r="H6037" t="s">
        <v>14201</v>
      </c>
      <c r="I6037" t="s">
        <v>4120</v>
      </c>
      <c r="J6037" t="s">
        <v>36669</v>
      </c>
      <c r="K6037" t="s">
        <v>42624</v>
      </c>
      <c r="M6037" t="s">
        <v>44320</v>
      </c>
      <c r="N6037" t="s">
        <v>47304</v>
      </c>
      <c r="O6037" t="s">
        <v>47305</v>
      </c>
      <c r="P6037">
        <v>0</v>
      </c>
      <c r="Q6037">
        <v>1</v>
      </c>
      <c r="R6037" t="s">
        <v>47310</v>
      </c>
      <c r="S6037" t="s">
        <v>47435</v>
      </c>
      <c r="T6037" t="s">
        <v>49009</v>
      </c>
      <c r="U6037" t="s">
        <v>54601</v>
      </c>
      <c r="W6037" t="s">
        <v>44320</v>
      </c>
      <c r="X6037" t="s">
        <v>47311</v>
      </c>
    </row>
    <row r="6038" spans="1:24">
      <c r="A6038">
        <f>HYPERLINK("https://www.philgeps.gov.ph/GEPSNONPILOT/Tender/SplashBidNoticeAbstractUI.aspx?menuIndex=3&amp;refID=7193048&amp;Result=3","7193048")</f>
        <v>0</v>
      </c>
      <c r="B6038" t="s">
        <v>303</v>
      </c>
      <c r="C6038" t="s">
        <v>9523</v>
      </c>
      <c r="D6038" t="s">
        <v>19039</v>
      </c>
      <c r="E6038" t="s">
        <v>24396</v>
      </c>
      <c r="F6038" t="s">
        <v>32606</v>
      </c>
      <c r="G6038" t="s">
        <v>32614</v>
      </c>
      <c r="H6038" t="s">
        <v>14201</v>
      </c>
      <c r="I6038" t="s">
        <v>6298</v>
      </c>
      <c r="J6038" t="s">
        <v>36670</v>
      </c>
      <c r="K6038" t="s">
        <v>42623</v>
      </c>
      <c r="M6038" t="s">
        <v>43205</v>
      </c>
      <c r="N6038" t="s">
        <v>47304</v>
      </c>
      <c r="O6038" t="s">
        <v>47305</v>
      </c>
      <c r="Q6038">
        <v>0</v>
      </c>
      <c r="R6038" t="s">
        <v>47310</v>
      </c>
      <c r="S6038" t="s">
        <v>47438</v>
      </c>
      <c r="T6038" t="s">
        <v>49012</v>
      </c>
      <c r="U6038" t="s">
        <v>54602</v>
      </c>
      <c r="V6038" t="s">
        <v>63221</v>
      </c>
      <c r="W6038" t="s">
        <v>43205</v>
      </c>
      <c r="X6038" t="s">
        <v>47312</v>
      </c>
    </row>
    <row r="6039" spans="1:24">
      <c r="A6039">
        <f>HYPERLINK("https://www.philgeps.gov.ph/GEPSNONPILOT/Tender/SplashBidNoticeAbstractUI.aspx?menuIndex=3&amp;refID=7193154&amp;Result=3","7193154")</f>
        <v>0</v>
      </c>
      <c r="B6039" t="s">
        <v>1991</v>
      </c>
      <c r="C6039" t="s">
        <v>9524</v>
      </c>
      <c r="D6039" t="s">
        <v>19002</v>
      </c>
      <c r="E6039" t="s">
        <v>24397</v>
      </c>
      <c r="F6039" t="s">
        <v>32606</v>
      </c>
      <c r="G6039" t="s">
        <v>32613</v>
      </c>
      <c r="H6039" t="s">
        <v>14201</v>
      </c>
      <c r="I6039" t="s">
        <v>6007</v>
      </c>
      <c r="J6039" t="s">
        <v>32789</v>
      </c>
      <c r="K6039" t="s">
        <v>42631</v>
      </c>
      <c r="M6039" t="s">
        <v>45059</v>
      </c>
      <c r="N6039" t="s">
        <v>47304</v>
      </c>
      <c r="O6039" t="s">
        <v>47305</v>
      </c>
      <c r="P6039">
        <v>0</v>
      </c>
      <c r="Q6039">
        <v>0</v>
      </c>
      <c r="R6039" t="s">
        <v>47310</v>
      </c>
      <c r="S6039" t="s">
        <v>47435</v>
      </c>
      <c r="T6039" t="s">
        <v>48986</v>
      </c>
      <c r="U6039" t="s">
        <v>54603</v>
      </c>
      <c r="V6039" t="s">
        <v>63222</v>
      </c>
      <c r="W6039" t="s">
        <v>45059</v>
      </c>
      <c r="X6039" t="s">
        <v>47311</v>
      </c>
    </row>
    <row r="6040" spans="1:24">
      <c r="A6040">
        <f>HYPERLINK("https://www.philgeps.gov.ph/GEPSNONPILOT/Tender/SplashBidNoticeAbstractUI.aspx?menuIndex=3&amp;refID=7193150&amp;Result=3","7193150")</f>
        <v>0</v>
      </c>
      <c r="B6040" t="s">
        <v>1346</v>
      </c>
      <c r="C6040" t="s">
        <v>7010</v>
      </c>
      <c r="E6040" t="s">
        <v>24398</v>
      </c>
      <c r="F6040" t="s">
        <v>32606</v>
      </c>
      <c r="G6040" t="s">
        <v>32613</v>
      </c>
      <c r="H6040" t="s">
        <v>14201</v>
      </c>
      <c r="I6040" t="s">
        <v>32633</v>
      </c>
      <c r="J6040" t="s">
        <v>36671</v>
      </c>
      <c r="K6040" t="s">
        <v>42624</v>
      </c>
      <c r="M6040" t="s">
        <v>44320</v>
      </c>
      <c r="N6040" t="s">
        <v>47304</v>
      </c>
      <c r="O6040" t="s">
        <v>47305</v>
      </c>
      <c r="P6040">
        <v>0</v>
      </c>
      <c r="Q6040">
        <v>25</v>
      </c>
      <c r="R6040" t="s">
        <v>47310</v>
      </c>
      <c r="S6040" t="s">
        <v>47435</v>
      </c>
      <c r="T6040" t="s">
        <v>49009</v>
      </c>
      <c r="U6040" t="s">
        <v>54604</v>
      </c>
      <c r="W6040" t="s">
        <v>44320</v>
      </c>
      <c r="X6040" t="s">
        <v>47311</v>
      </c>
    </row>
    <row r="6041" spans="1:24">
      <c r="A6041">
        <f>HYPERLINK("https://www.philgeps.gov.ph/GEPSNONPILOT/Tender/SplashBidNoticeAbstractUI.aspx?menuIndex=3&amp;refID=7193145&amp;Result=3","7193145")</f>
        <v>0</v>
      </c>
      <c r="B6041" t="s">
        <v>1991</v>
      </c>
      <c r="C6041" t="s">
        <v>9525</v>
      </c>
      <c r="D6041" t="s">
        <v>19002</v>
      </c>
      <c r="E6041" t="s">
        <v>24399</v>
      </c>
      <c r="F6041" t="s">
        <v>32606</v>
      </c>
      <c r="G6041" t="s">
        <v>32613</v>
      </c>
      <c r="H6041" t="s">
        <v>14201</v>
      </c>
      <c r="I6041" t="s">
        <v>32629</v>
      </c>
      <c r="J6041" t="s">
        <v>36672</v>
      </c>
      <c r="K6041" t="s">
        <v>42631</v>
      </c>
      <c r="M6041" t="s">
        <v>45059</v>
      </c>
      <c r="N6041" t="s">
        <v>47304</v>
      </c>
      <c r="O6041" t="s">
        <v>47305</v>
      </c>
      <c r="P6041">
        <v>0</v>
      </c>
      <c r="Q6041">
        <v>0</v>
      </c>
      <c r="R6041" t="s">
        <v>47310</v>
      </c>
      <c r="S6041" t="s">
        <v>47435</v>
      </c>
      <c r="T6041" t="s">
        <v>48986</v>
      </c>
      <c r="U6041" t="s">
        <v>54605</v>
      </c>
      <c r="V6041" t="s">
        <v>63223</v>
      </c>
      <c r="W6041" t="s">
        <v>45059</v>
      </c>
      <c r="X6041" t="s">
        <v>47311</v>
      </c>
    </row>
    <row r="6042" spans="1:24">
      <c r="A6042">
        <f>HYPERLINK("https://www.philgeps.gov.ph/GEPSNONPILOT/Tender/SplashBidNoticeAbstractUI.aspx?menuIndex=3&amp;refID=7193142&amp;Result=3","7193142")</f>
        <v>0</v>
      </c>
      <c r="B6042" t="s">
        <v>1346</v>
      </c>
      <c r="C6042" t="s">
        <v>7677</v>
      </c>
      <c r="E6042" t="s">
        <v>24400</v>
      </c>
      <c r="F6042" t="s">
        <v>32606</v>
      </c>
      <c r="G6042" t="s">
        <v>32613</v>
      </c>
      <c r="H6042" t="s">
        <v>14201</v>
      </c>
      <c r="I6042" t="s">
        <v>7677</v>
      </c>
      <c r="J6042" t="s">
        <v>36673</v>
      </c>
      <c r="K6042" t="s">
        <v>42624</v>
      </c>
      <c r="M6042" t="s">
        <v>44320</v>
      </c>
      <c r="N6042" t="s">
        <v>47304</v>
      </c>
      <c r="O6042" t="s">
        <v>47305</v>
      </c>
      <c r="P6042">
        <v>0</v>
      </c>
      <c r="Q6042">
        <v>12</v>
      </c>
      <c r="R6042" t="s">
        <v>47310</v>
      </c>
      <c r="S6042" t="s">
        <v>47435</v>
      </c>
      <c r="T6042" t="s">
        <v>49009</v>
      </c>
      <c r="U6042" t="s">
        <v>54606</v>
      </c>
      <c r="W6042" t="s">
        <v>44320</v>
      </c>
      <c r="X6042" t="s">
        <v>47311</v>
      </c>
    </row>
    <row r="6043" spans="1:24">
      <c r="A6043">
        <f>HYPERLINK("https://www.philgeps.gov.ph/GEPSNONPILOT/Tender/SplashBidNoticeAbstractUI.aspx?menuIndex=3&amp;refID=7193102&amp;Result=3","7193102")</f>
        <v>0</v>
      </c>
      <c r="B6043" t="s">
        <v>2031</v>
      </c>
      <c r="C6043" t="s">
        <v>9526</v>
      </c>
      <c r="D6043" t="s">
        <v>19010</v>
      </c>
      <c r="E6043" t="s">
        <v>24401</v>
      </c>
      <c r="F6043" t="s">
        <v>32607</v>
      </c>
      <c r="G6043" t="s">
        <v>32613</v>
      </c>
      <c r="H6043" t="s">
        <v>32623</v>
      </c>
      <c r="I6043" t="s">
        <v>17648</v>
      </c>
      <c r="J6043" t="s">
        <v>36674</v>
      </c>
      <c r="K6043" t="s">
        <v>42742</v>
      </c>
      <c r="M6043" t="s">
        <v>45107</v>
      </c>
      <c r="N6043" t="s">
        <v>47304</v>
      </c>
      <c r="O6043" t="s">
        <v>47305</v>
      </c>
      <c r="P6043">
        <v>0</v>
      </c>
      <c r="Q6043">
        <v>4</v>
      </c>
      <c r="R6043" t="s">
        <v>47310</v>
      </c>
      <c r="S6043" t="s">
        <v>47435</v>
      </c>
      <c r="T6043" t="s">
        <v>49086</v>
      </c>
      <c r="U6043" t="s">
        <v>54607</v>
      </c>
      <c r="V6043" t="s">
        <v>63224</v>
      </c>
      <c r="W6043" t="s">
        <v>45107</v>
      </c>
      <c r="X6043" t="s">
        <v>47311</v>
      </c>
    </row>
    <row r="6044" spans="1:24">
      <c r="A6044">
        <f>HYPERLINK("https://www.philgeps.gov.ph/GEPSNONPILOT/Tender/SplashBidNoticeAbstractUI.aspx?menuIndex=3&amp;refID=7193163&amp;Result=3","7193163")</f>
        <v>0</v>
      </c>
      <c r="B6044" t="s">
        <v>1937</v>
      </c>
      <c r="C6044" t="s">
        <v>9527</v>
      </c>
      <c r="D6044" t="s">
        <v>19065</v>
      </c>
      <c r="E6044" t="s">
        <v>24402</v>
      </c>
      <c r="F6044" t="s">
        <v>32606</v>
      </c>
      <c r="G6044" t="s">
        <v>32613</v>
      </c>
      <c r="H6044" t="s">
        <v>32623</v>
      </c>
      <c r="I6044" t="s">
        <v>17648</v>
      </c>
      <c r="J6044" t="s">
        <v>33051</v>
      </c>
      <c r="K6044" t="s">
        <v>42781</v>
      </c>
      <c r="M6044" t="s">
        <v>44998</v>
      </c>
      <c r="N6044" t="s">
        <v>47304</v>
      </c>
      <c r="O6044" t="s">
        <v>47305</v>
      </c>
      <c r="P6044">
        <v>0</v>
      </c>
      <c r="Q6044">
        <v>0</v>
      </c>
      <c r="R6044" t="s">
        <v>47310</v>
      </c>
      <c r="S6044" t="s">
        <v>47435</v>
      </c>
      <c r="T6044" t="s">
        <v>49002</v>
      </c>
      <c r="U6044" t="s">
        <v>54608</v>
      </c>
      <c r="W6044" t="s">
        <v>44998</v>
      </c>
      <c r="X6044" t="s">
        <v>47311</v>
      </c>
    </row>
    <row r="6045" spans="1:24">
      <c r="A6045">
        <f>HYPERLINK("https://www.philgeps.gov.ph/GEPSNONPILOT/Tender/SplashBidNoticeAbstractUI.aspx?menuIndex=3&amp;refID=7193139&amp;Result=3","7193139")</f>
        <v>0</v>
      </c>
      <c r="B6045" t="s">
        <v>2032</v>
      </c>
      <c r="C6045" t="s">
        <v>9528</v>
      </c>
      <c r="D6045" t="s">
        <v>18988</v>
      </c>
      <c r="E6045" t="s">
        <v>24403</v>
      </c>
      <c r="F6045" t="s">
        <v>32606</v>
      </c>
      <c r="G6045" t="s">
        <v>32614</v>
      </c>
      <c r="H6045" t="s">
        <v>14201</v>
      </c>
      <c r="I6045" t="s">
        <v>32626</v>
      </c>
      <c r="J6045" t="s">
        <v>36675</v>
      </c>
      <c r="K6045" t="s">
        <v>42623</v>
      </c>
      <c r="M6045" t="s">
        <v>45108</v>
      </c>
      <c r="N6045" t="s">
        <v>47304</v>
      </c>
      <c r="O6045" t="s">
        <v>47305</v>
      </c>
      <c r="P6045">
        <v>0</v>
      </c>
      <c r="Q6045">
        <v>7</v>
      </c>
      <c r="R6045" t="s">
        <v>47310</v>
      </c>
      <c r="S6045" t="s">
        <v>47435</v>
      </c>
      <c r="T6045" t="s">
        <v>49221</v>
      </c>
      <c r="U6045" t="s">
        <v>54609</v>
      </c>
      <c r="W6045" t="s">
        <v>64491</v>
      </c>
      <c r="X6045" t="s">
        <v>47311</v>
      </c>
    </row>
    <row r="6046" spans="1:24">
      <c r="A6046">
        <f>HYPERLINK("https://www.philgeps.gov.ph/GEPSNONPILOT/Tender/SplashBidNoticeAbstractUI.aspx?menuIndex=3&amp;refID=7193128&amp;Result=3","7193128")</f>
        <v>0</v>
      </c>
      <c r="B6046" t="s">
        <v>2032</v>
      </c>
      <c r="C6046" t="s">
        <v>9529</v>
      </c>
      <c r="D6046" t="s">
        <v>18988</v>
      </c>
      <c r="E6046" t="s">
        <v>24404</v>
      </c>
      <c r="F6046" t="s">
        <v>32606</v>
      </c>
      <c r="G6046" t="s">
        <v>32614</v>
      </c>
      <c r="H6046" t="s">
        <v>14201</v>
      </c>
      <c r="I6046" t="s">
        <v>32626</v>
      </c>
      <c r="J6046" t="s">
        <v>32927</v>
      </c>
      <c r="K6046" t="s">
        <v>42623</v>
      </c>
      <c r="M6046" t="s">
        <v>45108</v>
      </c>
      <c r="N6046" t="s">
        <v>47304</v>
      </c>
      <c r="O6046" t="s">
        <v>47305</v>
      </c>
      <c r="P6046">
        <v>0</v>
      </c>
      <c r="Q6046">
        <v>7</v>
      </c>
      <c r="R6046" t="s">
        <v>47310</v>
      </c>
      <c r="S6046" t="s">
        <v>47435</v>
      </c>
      <c r="T6046" t="s">
        <v>49221</v>
      </c>
      <c r="U6046" t="s">
        <v>54609</v>
      </c>
      <c r="W6046" t="s">
        <v>64491</v>
      </c>
      <c r="X6046" t="s">
        <v>47311</v>
      </c>
    </row>
    <row r="6047" spans="1:24">
      <c r="A6047">
        <f>HYPERLINK("https://www.philgeps.gov.ph/GEPSNONPILOT/Tender/SplashBidNoticeAbstractUI.aspx?menuIndex=3&amp;refID=7193119&amp;Result=3","7193119")</f>
        <v>0</v>
      </c>
      <c r="B6047" t="s">
        <v>2029</v>
      </c>
      <c r="C6047" t="s">
        <v>9530</v>
      </c>
      <c r="D6047" t="s">
        <v>18986</v>
      </c>
      <c r="E6047" t="s">
        <v>24405</v>
      </c>
      <c r="F6047" t="s">
        <v>32606</v>
      </c>
      <c r="G6047" t="s">
        <v>32613</v>
      </c>
      <c r="H6047" t="s">
        <v>14201</v>
      </c>
      <c r="I6047" t="s">
        <v>4114</v>
      </c>
      <c r="J6047" t="s">
        <v>36676</v>
      </c>
      <c r="K6047" t="s">
        <v>42627</v>
      </c>
      <c r="M6047" t="s">
        <v>45105</v>
      </c>
      <c r="N6047" t="s">
        <v>47304</v>
      </c>
      <c r="O6047" t="s">
        <v>47305</v>
      </c>
      <c r="P6047">
        <v>0</v>
      </c>
      <c r="Q6047">
        <v>3</v>
      </c>
      <c r="R6047" t="s">
        <v>47310</v>
      </c>
      <c r="S6047" t="s">
        <v>47435</v>
      </c>
      <c r="T6047" t="s">
        <v>49111</v>
      </c>
      <c r="U6047" t="s">
        <v>54610</v>
      </c>
      <c r="W6047" t="s">
        <v>45105</v>
      </c>
      <c r="X6047" t="s">
        <v>47311</v>
      </c>
    </row>
    <row r="6048" spans="1:24">
      <c r="A6048">
        <f>HYPERLINK("https://www.philgeps.gov.ph/GEPSNONPILOT/Tender/SplashBidNoticeAbstractUI.aspx?menuIndex=3&amp;refID=7193114&amp;Result=3","7193114")</f>
        <v>0</v>
      </c>
      <c r="B6048" t="s">
        <v>2033</v>
      </c>
      <c r="C6048" t="s">
        <v>9531</v>
      </c>
      <c r="D6048" t="s">
        <v>18995</v>
      </c>
      <c r="E6048" t="s">
        <v>9531</v>
      </c>
      <c r="F6048" t="s">
        <v>32606</v>
      </c>
      <c r="G6048" t="s">
        <v>32613</v>
      </c>
      <c r="H6048" t="s">
        <v>32623</v>
      </c>
      <c r="I6048" t="s">
        <v>17648</v>
      </c>
      <c r="J6048" t="s">
        <v>33113</v>
      </c>
      <c r="K6048" t="s">
        <v>42630</v>
      </c>
      <c r="M6048" t="s">
        <v>45109</v>
      </c>
      <c r="N6048" t="s">
        <v>47304</v>
      </c>
      <c r="O6048" t="s">
        <v>47305</v>
      </c>
      <c r="P6048">
        <v>0</v>
      </c>
      <c r="Q6048">
        <v>0</v>
      </c>
      <c r="R6048" t="s">
        <v>47310</v>
      </c>
      <c r="S6048" t="s">
        <v>47435</v>
      </c>
      <c r="T6048" t="s">
        <v>48972</v>
      </c>
      <c r="U6048" t="s">
        <v>54611</v>
      </c>
      <c r="W6048" t="s">
        <v>45109</v>
      </c>
      <c r="X6048" t="s">
        <v>47311</v>
      </c>
    </row>
    <row r="6049" spans="1:24">
      <c r="A6049">
        <f>HYPERLINK("https://www.philgeps.gov.ph/GEPSNONPILOT/Tender/SplashBidNoticeAbstractUI.aspx?menuIndex=3&amp;refID=7193112&amp;Result=3","7193112")</f>
        <v>0</v>
      </c>
      <c r="B6049" t="s">
        <v>2034</v>
      </c>
      <c r="C6049" t="s">
        <v>9532</v>
      </c>
      <c r="E6049" t="s">
        <v>24406</v>
      </c>
      <c r="F6049" t="s">
        <v>32606</v>
      </c>
      <c r="G6049" t="s">
        <v>32614</v>
      </c>
      <c r="H6049" t="s">
        <v>14201</v>
      </c>
      <c r="I6049" t="s">
        <v>4120</v>
      </c>
      <c r="J6049" t="s">
        <v>36677</v>
      </c>
      <c r="K6049" t="s">
        <v>42627</v>
      </c>
      <c r="M6049" t="s">
        <v>45110</v>
      </c>
      <c r="N6049" t="s">
        <v>47304</v>
      </c>
      <c r="O6049" t="s">
        <v>47305</v>
      </c>
      <c r="P6049">
        <v>0</v>
      </c>
      <c r="Q6049">
        <v>1</v>
      </c>
      <c r="R6049" t="s">
        <v>47310</v>
      </c>
      <c r="S6049" t="s">
        <v>47435</v>
      </c>
      <c r="T6049" t="s">
        <v>48979</v>
      </c>
      <c r="U6049" t="s">
        <v>54612</v>
      </c>
      <c r="W6049" t="s">
        <v>45110</v>
      </c>
      <c r="X6049" t="s">
        <v>47311</v>
      </c>
    </row>
    <row r="6050" spans="1:24">
      <c r="A6050">
        <f>HYPERLINK("https://www.philgeps.gov.ph/GEPSNONPILOT/Tender/SplashBidNoticeAbstractUI.aspx?menuIndex=3&amp;refID=7193215&amp;Result=3","7193215")</f>
        <v>0</v>
      </c>
      <c r="B6050" t="s">
        <v>1306</v>
      </c>
      <c r="C6050" t="s">
        <v>9533</v>
      </c>
      <c r="D6050" t="s">
        <v>19011</v>
      </c>
      <c r="E6050" t="s">
        <v>24407</v>
      </c>
      <c r="F6050" t="s">
        <v>32606</v>
      </c>
      <c r="G6050" t="s">
        <v>32613</v>
      </c>
      <c r="H6050" t="s">
        <v>14201</v>
      </c>
      <c r="I6050" t="s">
        <v>9013</v>
      </c>
      <c r="J6050" t="s">
        <v>36678</v>
      </c>
      <c r="K6050" t="s">
        <v>42636</v>
      </c>
      <c r="M6050" t="s">
        <v>45099</v>
      </c>
      <c r="N6050" t="s">
        <v>47304</v>
      </c>
      <c r="O6050" t="s">
        <v>47305</v>
      </c>
      <c r="P6050">
        <v>0</v>
      </c>
      <c r="Q6050">
        <v>1</v>
      </c>
      <c r="R6050" t="s">
        <v>47310</v>
      </c>
      <c r="S6050" t="s">
        <v>47435</v>
      </c>
      <c r="T6050" t="s">
        <v>49133</v>
      </c>
      <c r="U6050" t="s">
        <v>54613</v>
      </c>
      <c r="W6050" t="s">
        <v>45099</v>
      </c>
      <c r="X6050" t="s">
        <v>47311</v>
      </c>
    </row>
    <row r="6051" spans="1:24">
      <c r="A6051">
        <f>HYPERLINK("https://www.philgeps.gov.ph/GEPSNONPILOT/Tender/SplashBidNoticeAbstractUI.aspx?menuIndex=3&amp;refID=7191391&amp;Result=3","7191391")</f>
        <v>0</v>
      </c>
      <c r="B6051" t="s">
        <v>2017</v>
      </c>
      <c r="C6051" t="s">
        <v>9534</v>
      </c>
      <c r="D6051" t="s">
        <v>19023</v>
      </c>
      <c r="E6051" t="s">
        <v>24408</v>
      </c>
      <c r="F6051" t="s">
        <v>32606</v>
      </c>
      <c r="G6051" t="s">
        <v>32614</v>
      </c>
      <c r="H6051" t="s">
        <v>14201</v>
      </c>
      <c r="I6051" t="s">
        <v>32633</v>
      </c>
      <c r="J6051" t="s">
        <v>33042</v>
      </c>
      <c r="K6051" t="s">
        <v>42638</v>
      </c>
      <c r="M6051" t="s">
        <v>45090</v>
      </c>
      <c r="N6051" t="s">
        <v>47304</v>
      </c>
      <c r="O6051" t="s">
        <v>47305</v>
      </c>
      <c r="P6051">
        <v>0</v>
      </c>
      <c r="Q6051">
        <v>2</v>
      </c>
      <c r="R6051" t="s">
        <v>47310</v>
      </c>
      <c r="S6051" t="s">
        <v>47435</v>
      </c>
      <c r="T6051" t="s">
        <v>49335</v>
      </c>
      <c r="U6051" t="s">
        <v>54614</v>
      </c>
      <c r="V6051" t="s">
        <v>63225</v>
      </c>
      <c r="W6051" t="s">
        <v>45090</v>
      </c>
      <c r="X6051" t="s">
        <v>47312</v>
      </c>
    </row>
    <row r="6052" spans="1:24">
      <c r="A6052">
        <f>HYPERLINK("https://www.philgeps.gov.ph/GEPSNONPILOT/Tender/SplashBidNoticeAbstractUI.aspx?menuIndex=3&amp;refID=7193211&amp;Result=3","7193211")</f>
        <v>0</v>
      </c>
      <c r="B6052" t="s">
        <v>2035</v>
      </c>
      <c r="C6052" t="s">
        <v>9535</v>
      </c>
      <c r="E6052" t="s">
        <v>20606</v>
      </c>
      <c r="F6052" t="s">
        <v>32606</v>
      </c>
      <c r="G6052" t="s">
        <v>32613</v>
      </c>
      <c r="H6052" t="s">
        <v>14201</v>
      </c>
      <c r="I6052" t="s">
        <v>6931</v>
      </c>
      <c r="J6052" t="s">
        <v>36679</v>
      </c>
      <c r="K6052" t="s">
        <v>42623</v>
      </c>
      <c r="M6052" t="s">
        <v>45111</v>
      </c>
      <c r="N6052" t="s">
        <v>47304</v>
      </c>
      <c r="O6052" t="s">
        <v>47305</v>
      </c>
      <c r="P6052">
        <v>0</v>
      </c>
      <c r="Q6052">
        <v>0</v>
      </c>
      <c r="R6052" t="s">
        <v>47310</v>
      </c>
      <c r="S6052" t="s">
        <v>47435</v>
      </c>
      <c r="T6052" t="s">
        <v>49018</v>
      </c>
      <c r="U6052" t="s">
        <v>54615</v>
      </c>
      <c r="W6052" t="s">
        <v>45111</v>
      </c>
      <c r="X6052" t="s">
        <v>47311</v>
      </c>
    </row>
    <row r="6053" spans="1:24">
      <c r="A6053">
        <f>HYPERLINK("https://www.philgeps.gov.ph/GEPSNONPILOT/Tender/SplashBidNoticeAbstractUI.aspx?menuIndex=3&amp;refID=7193115&amp;Result=3","7193115")</f>
        <v>0</v>
      </c>
      <c r="B6053" t="s">
        <v>2029</v>
      </c>
      <c r="C6053" t="s">
        <v>9536</v>
      </c>
      <c r="D6053" t="s">
        <v>18986</v>
      </c>
      <c r="E6053" t="s">
        <v>24409</v>
      </c>
      <c r="F6053" t="s">
        <v>32606</v>
      </c>
      <c r="G6053" t="s">
        <v>32613</v>
      </c>
      <c r="H6053" t="s">
        <v>14201</v>
      </c>
      <c r="I6053" t="s">
        <v>4678</v>
      </c>
      <c r="J6053" t="s">
        <v>36680</v>
      </c>
      <c r="K6053" t="s">
        <v>42627</v>
      </c>
      <c r="M6053" t="s">
        <v>45105</v>
      </c>
      <c r="N6053" t="s">
        <v>47304</v>
      </c>
      <c r="O6053" t="s">
        <v>47305</v>
      </c>
      <c r="P6053">
        <v>0</v>
      </c>
      <c r="Q6053">
        <v>3</v>
      </c>
      <c r="R6053" t="s">
        <v>47310</v>
      </c>
      <c r="S6053" t="s">
        <v>47435</v>
      </c>
      <c r="T6053" t="s">
        <v>49111</v>
      </c>
      <c r="U6053" t="s">
        <v>54616</v>
      </c>
      <c r="W6053" t="s">
        <v>45105</v>
      </c>
      <c r="X6053" t="s">
        <v>47311</v>
      </c>
    </row>
    <row r="6054" spans="1:24">
      <c r="A6054">
        <f>HYPERLINK("https://www.philgeps.gov.ph/GEPSNONPILOT/Tender/SplashBidNoticeAbstractUI.aspx?menuIndex=3&amp;refID=7193210&amp;Result=3","7193210")</f>
        <v>0</v>
      </c>
      <c r="B6054" t="s">
        <v>2036</v>
      </c>
      <c r="C6054" t="s">
        <v>9537</v>
      </c>
      <c r="D6054" t="s">
        <v>19007</v>
      </c>
      <c r="E6054" t="s">
        <v>24390</v>
      </c>
      <c r="F6054" t="s">
        <v>32606</v>
      </c>
      <c r="G6054" t="s">
        <v>32613</v>
      </c>
      <c r="H6054" t="s">
        <v>32623</v>
      </c>
      <c r="I6054" t="s">
        <v>17648</v>
      </c>
      <c r="J6054" t="s">
        <v>33529</v>
      </c>
      <c r="K6054" t="s">
        <v>42631</v>
      </c>
      <c r="M6054" t="s">
        <v>45112</v>
      </c>
      <c r="N6054" t="s">
        <v>47304</v>
      </c>
      <c r="O6054" t="s">
        <v>47305</v>
      </c>
      <c r="P6054">
        <v>0</v>
      </c>
      <c r="Q6054">
        <v>2</v>
      </c>
      <c r="R6054" t="s">
        <v>47310</v>
      </c>
      <c r="S6054" t="s">
        <v>47435</v>
      </c>
      <c r="T6054" t="s">
        <v>48989</v>
      </c>
      <c r="U6054" t="s">
        <v>54617</v>
      </c>
      <c r="W6054" t="s">
        <v>45112</v>
      </c>
      <c r="X6054" t="s">
        <v>47311</v>
      </c>
    </row>
    <row r="6055" spans="1:24">
      <c r="A6055">
        <f>HYPERLINK("https://www.philgeps.gov.ph/GEPSNONPILOT/Tender/SplashBidNoticeAbstractUI.aspx?menuIndex=3&amp;refID=7193206&amp;Result=3","7193206")</f>
        <v>0</v>
      </c>
      <c r="B6055" t="s">
        <v>1486</v>
      </c>
      <c r="C6055" t="s">
        <v>9538</v>
      </c>
      <c r="D6055" t="s">
        <v>19044</v>
      </c>
      <c r="E6055" t="s">
        <v>24410</v>
      </c>
      <c r="F6055" t="s">
        <v>32606</v>
      </c>
      <c r="G6055" t="s">
        <v>32614</v>
      </c>
      <c r="H6055" t="s">
        <v>14201</v>
      </c>
      <c r="I6055" t="s">
        <v>32631</v>
      </c>
      <c r="J6055" t="s">
        <v>36681</v>
      </c>
      <c r="K6055" t="s">
        <v>42623</v>
      </c>
      <c r="M6055" t="s">
        <v>44481</v>
      </c>
      <c r="N6055" t="s">
        <v>47304</v>
      </c>
      <c r="O6055" t="s">
        <v>47305</v>
      </c>
      <c r="P6055">
        <v>0</v>
      </c>
      <c r="Q6055">
        <v>0</v>
      </c>
      <c r="R6055" t="s">
        <v>47310</v>
      </c>
      <c r="S6055" t="s">
        <v>47435</v>
      </c>
      <c r="T6055" t="s">
        <v>48998</v>
      </c>
      <c r="U6055" t="s">
        <v>54618</v>
      </c>
      <c r="W6055" t="s">
        <v>44481</v>
      </c>
      <c r="X6055" t="s">
        <v>47311</v>
      </c>
    </row>
    <row r="6056" spans="1:24">
      <c r="A6056">
        <f>HYPERLINK("https://www.philgeps.gov.ph/GEPSNONPILOT/Tender/SplashBidNoticeAbstractUI.aspx?menuIndex=3&amp;refID=7193201&amp;Result=3","7193201")</f>
        <v>0</v>
      </c>
      <c r="B6056" t="s">
        <v>1306</v>
      </c>
      <c r="C6056" t="s">
        <v>9539</v>
      </c>
      <c r="D6056" t="s">
        <v>19011</v>
      </c>
      <c r="E6056" t="s">
        <v>24411</v>
      </c>
      <c r="F6056" t="s">
        <v>32606</v>
      </c>
      <c r="G6056" t="s">
        <v>32613</v>
      </c>
      <c r="H6056" t="s">
        <v>14201</v>
      </c>
      <c r="I6056" t="s">
        <v>9013</v>
      </c>
      <c r="J6056" t="s">
        <v>36682</v>
      </c>
      <c r="K6056" t="s">
        <v>42636</v>
      </c>
      <c r="M6056" t="s">
        <v>45099</v>
      </c>
      <c r="N6056" t="s">
        <v>47304</v>
      </c>
      <c r="O6056" t="s">
        <v>47305</v>
      </c>
      <c r="P6056">
        <v>0</v>
      </c>
      <c r="Q6056">
        <v>1</v>
      </c>
      <c r="R6056" t="s">
        <v>47310</v>
      </c>
      <c r="S6056" t="s">
        <v>47435</v>
      </c>
      <c r="T6056" t="s">
        <v>49133</v>
      </c>
      <c r="U6056" t="s">
        <v>54569</v>
      </c>
      <c r="W6056" t="s">
        <v>45099</v>
      </c>
      <c r="X6056" t="s">
        <v>47311</v>
      </c>
    </row>
    <row r="6057" spans="1:24">
      <c r="A6057">
        <f>HYPERLINK("https://www.philgeps.gov.ph/GEPSNONPILOT/Tender/SplashBidNoticeAbstractUI.aspx?menuIndex=3&amp;refID=7193199&amp;Result=3","7193199")</f>
        <v>0</v>
      </c>
      <c r="B6057" t="s">
        <v>1346</v>
      </c>
      <c r="C6057" t="s">
        <v>9540</v>
      </c>
      <c r="E6057" t="s">
        <v>24412</v>
      </c>
      <c r="F6057" t="s">
        <v>32606</v>
      </c>
      <c r="G6057" t="s">
        <v>32613</v>
      </c>
      <c r="H6057" t="s">
        <v>14201</v>
      </c>
      <c r="I6057" t="s">
        <v>7677</v>
      </c>
      <c r="J6057" t="s">
        <v>36683</v>
      </c>
      <c r="K6057" t="s">
        <v>42624</v>
      </c>
      <c r="M6057" t="s">
        <v>44320</v>
      </c>
      <c r="N6057" t="s">
        <v>47304</v>
      </c>
      <c r="O6057" t="s">
        <v>47305</v>
      </c>
      <c r="P6057">
        <v>0</v>
      </c>
      <c r="Q6057">
        <v>4</v>
      </c>
      <c r="R6057" t="s">
        <v>47310</v>
      </c>
      <c r="S6057" t="s">
        <v>47435</v>
      </c>
      <c r="T6057" t="s">
        <v>49009</v>
      </c>
      <c r="U6057" t="s">
        <v>54619</v>
      </c>
      <c r="W6057" t="s">
        <v>44320</v>
      </c>
      <c r="X6057" t="s">
        <v>47311</v>
      </c>
    </row>
    <row r="6058" spans="1:24">
      <c r="A6058">
        <f>HYPERLINK("https://www.philgeps.gov.ph/GEPSNONPILOT/Tender/SplashBidNoticeAbstractUI.aspx?menuIndex=3&amp;refID=7193197&amp;Result=3","7193197")</f>
        <v>0</v>
      </c>
      <c r="B6058" t="s">
        <v>1346</v>
      </c>
      <c r="C6058" t="s">
        <v>9541</v>
      </c>
      <c r="E6058" t="s">
        <v>24413</v>
      </c>
      <c r="F6058" t="s">
        <v>32606</v>
      </c>
      <c r="G6058" t="s">
        <v>32613</v>
      </c>
      <c r="H6058" t="s">
        <v>14201</v>
      </c>
      <c r="I6058" t="s">
        <v>32631</v>
      </c>
      <c r="J6058" t="s">
        <v>36566</v>
      </c>
      <c r="K6058" t="s">
        <v>42624</v>
      </c>
      <c r="M6058" t="s">
        <v>44320</v>
      </c>
      <c r="N6058" t="s">
        <v>47304</v>
      </c>
      <c r="O6058" t="s">
        <v>47305</v>
      </c>
      <c r="P6058">
        <v>0</v>
      </c>
      <c r="Q6058">
        <v>0</v>
      </c>
      <c r="R6058" t="s">
        <v>47310</v>
      </c>
      <c r="S6058" t="s">
        <v>47435</v>
      </c>
      <c r="T6058" t="s">
        <v>49009</v>
      </c>
      <c r="U6058" t="s">
        <v>54620</v>
      </c>
      <c r="W6058" t="s">
        <v>44320</v>
      </c>
      <c r="X6058" t="s">
        <v>47311</v>
      </c>
    </row>
    <row r="6059" spans="1:24">
      <c r="A6059">
        <f>HYPERLINK("https://www.philgeps.gov.ph/GEPSNONPILOT/Tender/SplashBidNoticeAbstractUI.aspx?menuIndex=3&amp;refID=7193140&amp;Result=3","7193140")</f>
        <v>0</v>
      </c>
      <c r="B6059" t="s">
        <v>2032</v>
      </c>
      <c r="C6059" t="s">
        <v>9542</v>
      </c>
      <c r="D6059" t="s">
        <v>18988</v>
      </c>
      <c r="E6059" t="s">
        <v>24414</v>
      </c>
      <c r="F6059" t="s">
        <v>32606</v>
      </c>
      <c r="G6059" t="s">
        <v>32614</v>
      </c>
      <c r="H6059" t="s">
        <v>14201</v>
      </c>
      <c r="I6059" t="s">
        <v>6931</v>
      </c>
      <c r="J6059" t="s">
        <v>36684</v>
      </c>
      <c r="K6059" t="s">
        <v>42623</v>
      </c>
      <c r="M6059" t="s">
        <v>45108</v>
      </c>
      <c r="N6059" t="s">
        <v>47304</v>
      </c>
      <c r="O6059" t="s">
        <v>47305</v>
      </c>
      <c r="P6059">
        <v>0</v>
      </c>
      <c r="Q6059">
        <v>0</v>
      </c>
      <c r="R6059" t="s">
        <v>47310</v>
      </c>
      <c r="S6059" t="s">
        <v>47435</v>
      </c>
      <c r="T6059" t="s">
        <v>49221</v>
      </c>
      <c r="U6059" t="s">
        <v>54609</v>
      </c>
      <c r="W6059" t="s">
        <v>64491</v>
      </c>
      <c r="X6059" t="s">
        <v>47311</v>
      </c>
    </row>
    <row r="6060" spans="1:24">
      <c r="A6060">
        <f>HYPERLINK("https://www.philgeps.gov.ph/GEPSNONPILOT/Tender/SplashBidNoticeAbstractUI.aspx?menuIndex=3&amp;refID=7193195&amp;Result=3","7193195")</f>
        <v>0</v>
      </c>
      <c r="B6060" t="s">
        <v>1346</v>
      </c>
      <c r="C6060" t="s">
        <v>9543</v>
      </c>
      <c r="E6060" t="s">
        <v>24415</v>
      </c>
      <c r="F6060" t="s">
        <v>32606</v>
      </c>
      <c r="G6060" t="s">
        <v>32613</v>
      </c>
      <c r="H6060" t="s">
        <v>14201</v>
      </c>
      <c r="I6060" t="s">
        <v>4114</v>
      </c>
      <c r="J6060" t="s">
        <v>32765</v>
      </c>
      <c r="K6060" t="s">
        <v>42624</v>
      </c>
      <c r="M6060" t="s">
        <v>44320</v>
      </c>
      <c r="N6060" t="s">
        <v>47304</v>
      </c>
      <c r="O6060" t="s">
        <v>47305</v>
      </c>
      <c r="P6060">
        <v>0</v>
      </c>
      <c r="Q6060">
        <v>4</v>
      </c>
      <c r="R6060" t="s">
        <v>47310</v>
      </c>
      <c r="S6060" t="s">
        <v>47435</v>
      </c>
      <c r="T6060" t="s">
        <v>49009</v>
      </c>
      <c r="U6060" t="s">
        <v>54621</v>
      </c>
      <c r="W6060" t="s">
        <v>44320</v>
      </c>
      <c r="X6060" t="s">
        <v>47311</v>
      </c>
    </row>
    <row r="6061" spans="1:24">
      <c r="A6061">
        <f>HYPERLINK("https://www.philgeps.gov.ph/GEPSNONPILOT/Tender/SplashBidNoticeAbstractUI.aspx?menuIndex=3&amp;refID=7193187&amp;Result=3","7193187")</f>
        <v>0</v>
      </c>
      <c r="B6061" t="s">
        <v>2037</v>
      </c>
      <c r="C6061" t="s">
        <v>9544</v>
      </c>
      <c r="D6061" t="s">
        <v>19021</v>
      </c>
      <c r="E6061" t="s">
        <v>19145</v>
      </c>
      <c r="F6061" t="s">
        <v>32606</v>
      </c>
      <c r="G6061" t="s">
        <v>32613</v>
      </c>
      <c r="H6061" t="s">
        <v>32623</v>
      </c>
      <c r="I6061" t="s">
        <v>17648</v>
      </c>
      <c r="J6061" t="s">
        <v>32981</v>
      </c>
      <c r="K6061" t="s">
        <v>42631</v>
      </c>
      <c r="M6061" t="s">
        <v>45113</v>
      </c>
      <c r="N6061" t="s">
        <v>47304</v>
      </c>
      <c r="O6061" t="s">
        <v>47305</v>
      </c>
      <c r="P6061">
        <v>0</v>
      </c>
      <c r="Q6061">
        <v>0</v>
      </c>
      <c r="R6061" t="s">
        <v>47310</v>
      </c>
      <c r="S6061" t="s">
        <v>47435</v>
      </c>
      <c r="T6061" t="s">
        <v>49141</v>
      </c>
      <c r="U6061" t="s">
        <v>54622</v>
      </c>
      <c r="V6061" t="s">
        <v>63226</v>
      </c>
      <c r="W6061" t="s">
        <v>45113</v>
      </c>
      <c r="X6061" t="s">
        <v>47311</v>
      </c>
    </row>
    <row r="6062" spans="1:24">
      <c r="A6062">
        <f>HYPERLINK("https://www.philgeps.gov.ph/GEPSNONPILOT/Tender/SplashBidNoticeAbstractUI.aspx?menuIndex=3&amp;refID=7193153&amp;Result=3","7193153")</f>
        <v>0</v>
      </c>
      <c r="B6062" t="s">
        <v>1346</v>
      </c>
      <c r="C6062" t="s">
        <v>9545</v>
      </c>
      <c r="E6062" t="s">
        <v>24416</v>
      </c>
      <c r="F6062" t="s">
        <v>32606</v>
      </c>
      <c r="G6062" t="s">
        <v>32613</v>
      </c>
      <c r="H6062" t="s">
        <v>14201</v>
      </c>
      <c r="I6062" t="s">
        <v>7577</v>
      </c>
      <c r="J6062" t="s">
        <v>36685</v>
      </c>
      <c r="K6062" t="s">
        <v>42624</v>
      </c>
      <c r="M6062" t="s">
        <v>44320</v>
      </c>
      <c r="N6062" t="s">
        <v>47304</v>
      </c>
      <c r="O6062" t="s">
        <v>47305</v>
      </c>
      <c r="P6062">
        <v>0</v>
      </c>
      <c r="Q6062">
        <v>8</v>
      </c>
      <c r="R6062" t="s">
        <v>47310</v>
      </c>
      <c r="S6062" t="s">
        <v>47435</v>
      </c>
      <c r="T6062" t="s">
        <v>49009</v>
      </c>
      <c r="U6062" t="s">
        <v>54623</v>
      </c>
      <c r="W6062" t="s">
        <v>44320</v>
      </c>
      <c r="X6062" t="s">
        <v>47311</v>
      </c>
    </row>
    <row r="6063" spans="1:24">
      <c r="A6063">
        <f>HYPERLINK("https://www.philgeps.gov.ph/GEPSNONPILOT/Tender/SplashBidNoticeAbstractUI.aspx?menuIndex=3&amp;refID=7193148&amp;Result=3","7193148")</f>
        <v>0</v>
      </c>
      <c r="B6063" t="s">
        <v>1346</v>
      </c>
      <c r="C6063" t="s">
        <v>9546</v>
      </c>
      <c r="E6063" t="s">
        <v>24417</v>
      </c>
      <c r="F6063" t="s">
        <v>32606</v>
      </c>
      <c r="G6063" t="s">
        <v>32613</v>
      </c>
      <c r="H6063" t="s">
        <v>14201</v>
      </c>
      <c r="I6063" t="s">
        <v>32655</v>
      </c>
      <c r="J6063" t="s">
        <v>36686</v>
      </c>
      <c r="K6063" t="s">
        <v>42624</v>
      </c>
      <c r="M6063" t="s">
        <v>44320</v>
      </c>
      <c r="N6063" t="s">
        <v>47304</v>
      </c>
      <c r="O6063" t="s">
        <v>47305</v>
      </c>
      <c r="P6063">
        <v>0</v>
      </c>
      <c r="Q6063">
        <v>29</v>
      </c>
      <c r="R6063" t="s">
        <v>47310</v>
      </c>
      <c r="S6063" t="s">
        <v>47435</v>
      </c>
      <c r="T6063" t="s">
        <v>49009</v>
      </c>
      <c r="U6063" t="s">
        <v>54624</v>
      </c>
      <c r="W6063" t="s">
        <v>44320</v>
      </c>
      <c r="X6063" t="s">
        <v>47311</v>
      </c>
    </row>
    <row r="6064" spans="1:24">
      <c r="A6064">
        <f>HYPERLINK("https://www.philgeps.gov.ph/GEPSNONPILOT/Tender/SplashBidNoticeAbstractUI.aspx?menuIndex=3&amp;refID=7193203&amp;Result=3","7193203")</f>
        <v>0</v>
      </c>
      <c r="B6064" t="s">
        <v>2035</v>
      </c>
      <c r="C6064" t="s">
        <v>9547</v>
      </c>
      <c r="E6064" t="s">
        <v>22592</v>
      </c>
      <c r="F6064" t="s">
        <v>32606</v>
      </c>
      <c r="G6064" t="s">
        <v>32613</v>
      </c>
      <c r="H6064" t="s">
        <v>14201</v>
      </c>
      <c r="I6064" t="s">
        <v>6931</v>
      </c>
      <c r="J6064" t="s">
        <v>36687</v>
      </c>
      <c r="K6064" t="s">
        <v>42623</v>
      </c>
      <c r="M6064" t="s">
        <v>45111</v>
      </c>
      <c r="N6064" t="s">
        <v>47304</v>
      </c>
      <c r="O6064" t="s">
        <v>47305</v>
      </c>
      <c r="P6064">
        <v>0</v>
      </c>
      <c r="Q6064">
        <v>0</v>
      </c>
      <c r="R6064" t="s">
        <v>47310</v>
      </c>
      <c r="S6064" t="s">
        <v>47435</v>
      </c>
      <c r="T6064" t="s">
        <v>49018</v>
      </c>
      <c r="U6064" t="s">
        <v>54625</v>
      </c>
      <c r="W6064" t="s">
        <v>45111</v>
      </c>
      <c r="X6064" t="s">
        <v>47311</v>
      </c>
    </row>
    <row r="6065" spans="1:24">
      <c r="A6065">
        <f>HYPERLINK("https://www.philgeps.gov.ph/GEPSNONPILOT/Tender/SplashBidNoticeAbstractUI.aspx?menuIndex=3&amp;refID=7193216&amp;Result=3","7193216")</f>
        <v>0</v>
      </c>
      <c r="B6065" t="s">
        <v>569</v>
      </c>
      <c r="C6065" t="s">
        <v>9548</v>
      </c>
      <c r="D6065" t="s">
        <v>18993</v>
      </c>
      <c r="E6065" t="s">
        <v>24418</v>
      </c>
      <c r="F6065" t="s">
        <v>32606</v>
      </c>
      <c r="G6065" t="s">
        <v>32614</v>
      </c>
      <c r="H6065" t="s">
        <v>32624</v>
      </c>
      <c r="I6065" t="s">
        <v>32638</v>
      </c>
      <c r="J6065" t="s">
        <v>36688</v>
      </c>
      <c r="K6065" t="s">
        <v>42623</v>
      </c>
      <c r="M6065" t="s">
        <v>43484</v>
      </c>
      <c r="N6065" t="s">
        <v>47304</v>
      </c>
      <c r="O6065" t="s">
        <v>47305</v>
      </c>
      <c r="P6065">
        <v>0</v>
      </c>
      <c r="Q6065">
        <v>1</v>
      </c>
      <c r="R6065" t="s">
        <v>47310</v>
      </c>
      <c r="S6065" t="s">
        <v>47435</v>
      </c>
      <c r="T6065" t="s">
        <v>49020</v>
      </c>
      <c r="U6065" t="s">
        <v>54626</v>
      </c>
      <c r="V6065" t="s">
        <v>63227</v>
      </c>
      <c r="W6065" t="s">
        <v>64492</v>
      </c>
      <c r="X6065" t="s">
        <v>47311</v>
      </c>
    </row>
    <row r="6066" spans="1:24">
      <c r="A6066">
        <f>HYPERLINK("https://www.philgeps.gov.ph/GEPSNONPILOT/Tender/SplashBidNoticeAbstractUI.aspx?menuIndex=3&amp;refID=7193214&amp;Result=3","7193214")</f>
        <v>0</v>
      </c>
      <c r="B6066" t="s">
        <v>2038</v>
      </c>
      <c r="C6066" t="s">
        <v>9549</v>
      </c>
      <c r="D6066" t="s">
        <v>19008</v>
      </c>
      <c r="E6066" t="s">
        <v>19670</v>
      </c>
      <c r="F6066" t="s">
        <v>32606</v>
      </c>
      <c r="G6066" t="s">
        <v>32613</v>
      </c>
      <c r="H6066" t="s">
        <v>14201</v>
      </c>
      <c r="I6066" t="s">
        <v>6931</v>
      </c>
      <c r="J6066" t="s">
        <v>36689</v>
      </c>
      <c r="K6066" t="s">
        <v>42622</v>
      </c>
      <c r="M6066" t="s">
        <v>45114</v>
      </c>
      <c r="N6066" t="s">
        <v>47304</v>
      </c>
      <c r="O6066" t="s">
        <v>47305</v>
      </c>
      <c r="P6066">
        <v>0</v>
      </c>
      <c r="Q6066">
        <v>0</v>
      </c>
      <c r="R6066" t="s">
        <v>47310</v>
      </c>
      <c r="S6066" t="s">
        <v>47435</v>
      </c>
      <c r="T6066" t="s">
        <v>49015</v>
      </c>
      <c r="U6066" t="s">
        <v>54627</v>
      </c>
      <c r="W6066" t="s">
        <v>45114</v>
      </c>
      <c r="X6066" t="s">
        <v>47311</v>
      </c>
    </row>
    <row r="6067" spans="1:24">
      <c r="A6067">
        <f>HYPERLINK("https://www.philgeps.gov.ph/GEPSNONPILOT/Tender/SplashBidNoticeAbstractUI.aspx?menuIndex=3&amp;refID=7193189&amp;Result=3","7193189")</f>
        <v>0</v>
      </c>
      <c r="B6067" t="s">
        <v>1486</v>
      </c>
      <c r="C6067" t="s">
        <v>9550</v>
      </c>
      <c r="D6067" t="s">
        <v>19044</v>
      </c>
      <c r="E6067" t="s">
        <v>24419</v>
      </c>
      <c r="F6067" t="s">
        <v>32606</v>
      </c>
      <c r="G6067" t="s">
        <v>32613</v>
      </c>
      <c r="H6067" t="s">
        <v>32623</v>
      </c>
      <c r="I6067" t="s">
        <v>17648</v>
      </c>
      <c r="J6067" t="s">
        <v>36690</v>
      </c>
      <c r="K6067" t="s">
        <v>42651</v>
      </c>
      <c r="M6067" t="s">
        <v>44481</v>
      </c>
      <c r="N6067" t="s">
        <v>47304</v>
      </c>
      <c r="O6067" t="s">
        <v>47305</v>
      </c>
      <c r="P6067">
        <v>0</v>
      </c>
      <c r="Q6067">
        <v>0</v>
      </c>
      <c r="R6067" t="s">
        <v>47310</v>
      </c>
      <c r="S6067" t="s">
        <v>47435</v>
      </c>
      <c r="T6067" t="s">
        <v>49154</v>
      </c>
      <c r="U6067" t="s">
        <v>54628</v>
      </c>
      <c r="W6067" t="s">
        <v>44481</v>
      </c>
      <c r="X6067" t="s">
        <v>47311</v>
      </c>
    </row>
    <row r="6068" spans="1:24">
      <c r="A6068">
        <f>HYPERLINK("https://www.philgeps.gov.ph/GEPSNONPILOT/Tender/SplashBidNoticeAbstractUI.aspx?menuIndex=3&amp;refID=7193188&amp;Result=3","7193188")</f>
        <v>0</v>
      </c>
      <c r="B6068" t="s">
        <v>1346</v>
      </c>
      <c r="C6068" t="s">
        <v>9551</v>
      </c>
      <c r="E6068" t="s">
        <v>24420</v>
      </c>
      <c r="F6068" t="s">
        <v>32606</v>
      </c>
      <c r="G6068" t="s">
        <v>32613</v>
      </c>
      <c r="H6068" t="s">
        <v>14201</v>
      </c>
      <c r="I6068" t="s">
        <v>32640</v>
      </c>
      <c r="J6068" t="s">
        <v>32920</v>
      </c>
      <c r="K6068" t="s">
        <v>42624</v>
      </c>
      <c r="M6068" t="s">
        <v>44320</v>
      </c>
      <c r="N6068" t="s">
        <v>47304</v>
      </c>
      <c r="O6068" t="s">
        <v>47305</v>
      </c>
      <c r="P6068">
        <v>0</v>
      </c>
      <c r="Q6068">
        <v>4</v>
      </c>
      <c r="R6068" t="s">
        <v>47310</v>
      </c>
      <c r="S6068" t="s">
        <v>47435</v>
      </c>
      <c r="T6068" t="s">
        <v>49009</v>
      </c>
      <c r="U6068" t="s">
        <v>54629</v>
      </c>
      <c r="W6068" t="s">
        <v>44320</v>
      </c>
      <c r="X6068" t="s">
        <v>47311</v>
      </c>
    </row>
    <row r="6069" spans="1:24">
      <c r="A6069">
        <f>HYPERLINK("https://www.philgeps.gov.ph/GEPSNONPILOT/Tender/SplashBidNoticeAbstractUI.aspx?menuIndex=3&amp;refID=7193240&amp;Result=3","7193240")</f>
        <v>0</v>
      </c>
      <c r="B6069" t="s">
        <v>1306</v>
      </c>
      <c r="C6069" t="s">
        <v>9552</v>
      </c>
      <c r="D6069" t="s">
        <v>19011</v>
      </c>
      <c r="E6069" t="s">
        <v>24421</v>
      </c>
      <c r="F6069" t="s">
        <v>32606</v>
      </c>
      <c r="G6069" t="s">
        <v>32613</v>
      </c>
      <c r="H6069" t="s">
        <v>14201</v>
      </c>
      <c r="I6069" t="s">
        <v>32686</v>
      </c>
      <c r="J6069" t="s">
        <v>33441</v>
      </c>
      <c r="K6069" t="s">
        <v>42636</v>
      </c>
      <c r="M6069" t="s">
        <v>45099</v>
      </c>
      <c r="N6069" t="s">
        <v>47304</v>
      </c>
      <c r="O6069" t="s">
        <v>47305</v>
      </c>
      <c r="P6069">
        <v>0</v>
      </c>
      <c r="Q6069">
        <v>3</v>
      </c>
      <c r="R6069" t="s">
        <v>47310</v>
      </c>
      <c r="S6069" t="s">
        <v>47435</v>
      </c>
      <c r="T6069" t="s">
        <v>49133</v>
      </c>
      <c r="U6069" t="s">
        <v>54630</v>
      </c>
      <c r="W6069" t="s">
        <v>45099</v>
      </c>
      <c r="X6069" t="s">
        <v>47311</v>
      </c>
    </row>
    <row r="6070" spans="1:24">
      <c r="A6070">
        <f>HYPERLINK("https://www.philgeps.gov.ph/GEPSNONPILOT/Tender/SplashBidNoticeAbstractUI.aspx?menuIndex=3&amp;refID=7193238&amp;Result=3","7193238")</f>
        <v>0</v>
      </c>
      <c r="B6070" t="s">
        <v>2039</v>
      </c>
      <c r="C6070" t="s">
        <v>9553</v>
      </c>
      <c r="D6070" t="s">
        <v>18993</v>
      </c>
      <c r="E6070" t="s">
        <v>24422</v>
      </c>
      <c r="F6070" t="s">
        <v>32608</v>
      </c>
      <c r="G6070" t="s">
        <v>32613</v>
      </c>
      <c r="H6070" t="s">
        <v>14201</v>
      </c>
      <c r="I6070" t="s">
        <v>32655</v>
      </c>
      <c r="J6070" t="s">
        <v>32981</v>
      </c>
      <c r="K6070" t="s">
        <v>42630</v>
      </c>
      <c r="M6070" t="s">
        <v>45115</v>
      </c>
      <c r="N6070" t="s">
        <v>47304</v>
      </c>
      <c r="O6070" t="s">
        <v>47305</v>
      </c>
      <c r="P6070">
        <v>0</v>
      </c>
      <c r="Q6070">
        <v>2</v>
      </c>
      <c r="R6070" t="s">
        <v>47310</v>
      </c>
      <c r="S6070" t="s">
        <v>47435</v>
      </c>
      <c r="T6070" t="s">
        <v>49007</v>
      </c>
      <c r="U6070" t="s">
        <v>54631</v>
      </c>
      <c r="W6070" t="s">
        <v>45115</v>
      </c>
      <c r="X6070" t="s">
        <v>47311</v>
      </c>
    </row>
    <row r="6071" spans="1:24">
      <c r="A6071">
        <f>HYPERLINK("https://www.philgeps.gov.ph/GEPSNONPILOT/Tender/SplashBidNoticeAbstractUI.aspx?menuIndex=3&amp;refID=7193235&amp;Result=3","7193235")</f>
        <v>0</v>
      </c>
      <c r="B6071" t="s">
        <v>2040</v>
      </c>
      <c r="C6071" t="s">
        <v>9554</v>
      </c>
      <c r="E6071" t="s">
        <v>24423</v>
      </c>
      <c r="F6071" t="s">
        <v>32606</v>
      </c>
      <c r="G6071" t="s">
        <v>32613</v>
      </c>
      <c r="H6071" t="s">
        <v>32623</v>
      </c>
      <c r="I6071" t="s">
        <v>6931</v>
      </c>
      <c r="J6071" t="s">
        <v>32981</v>
      </c>
      <c r="K6071" t="s">
        <v>42624</v>
      </c>
      <c r="M6071" t="s">
        <v>45116</v>
      </c>
      <c r="N6071" t="s">
        <v>47304</v>
      </c>
      <c r="O6071" t="s">
        <v>47305</v>
      </c>
      <c r="P6071">
        <v>0</v>
      </c>
      <c r="Q6071">
        <v>0</v>
      </c>
      <c r="R6071" t="s">
        <v>47310</v>
      </c>
      <c r="S6071" t="s">
        <v>47435</v>
      </c>
      <c r="T6071" t="s">
        <v>49291</v>
      </c>
      <c r="U6071" t="s">
        <v>54632</v>
      </c>
      <c r="W6071" t="s">
        <v>45116</v>
      </c>
      <c r="X6071" t="s">
        <v>47311</v>
      </c>
    </row>
    <row r="6072" spans="1:24">
      <c r="A6072">
        <f>HYPERLINK("https://www.philgeps.gov.ph/GEPSNONPILOT/Tender/SplashBidNoticeAbstractUI.aspx?menuIndex=3&amp;refID=7193234&amp;Result=3","7193234")</f>
        <v>0</v>
      </c>
      <c r="B6072" t="s">
        <v>1201</v>
      </c>
      <c r="C6072" t="s">
        <v>9555</v>
      </c>
      <c r="E6072" t="s">
        <v>19360</v>
      </c>
      <c r="F6072" t="s">
        <v>32606</v>
      </c>
      <c r="G6072" t="s">
        <v>32613</v>
      </c>
      <c r="H6072" t="s">
        <v>32623</v>
      </c>
      <c r="I6072" t="s">
        <v>17648</v>
      </c>
      <c r="J6072" t="s">
        <v>36691</v>
      </c>
      <c r="K6072" t="s">
        <v>42775</v>
      </c>
      <c r="M6072" t="s">
        <v>45117</v>
      </c>
      <c r="N6072" t="s">
        <v>47304</v>
      </c>
      <c r="O6072" t="s">
        <v>47305</v>
      </c>
      <c r="P6072">
        <v>0</v>
      </c>
      <c r="Q6072">
        <v>7</v>
      </c>
      <c r="R6072" t="s">
        <v>47310</v>
      </c>
      <c r="S6072" t="s">
        <v>47435</v>
      </c>
      <c r="T6072" t="s">
        <v>48983</v>
      </c>
      <c r="U6072" t="s">
        <v>54633</v>
      </c>
      <c r="W6072" t="s">
        <v>45117</v>
      </c>
      <c r="X6072" t="s">
        <v>47311</v>
      </c>
    </row>
    <row r="6073" spans="1:24">
      <c r="A6073">
        <f>HYPERLINK("https://www.philgeps.gov.ph/GEPSNONPILOT/Tender/SplashBidNoticeAbstractUI.aspx?menuIndex=3&amp;refID=7193233&amp;Result=3","7193233")</f>
        <v>0</v>
      </c>
      <c r="B6073" t="s">
        <v>2039</v>
      </c>
      <c r="C6073" t="s">
        <v>9556</v>
      </c>
      <c r="D6073" t="s">
        <v>18993</v>
      </c>
      <c r="E6073" t="s">
        <v>24422</v>
      </c>
      <c r="F6073" t="s">
        <v>32608</v>
      </c>
      <c r="G6073" t="s">
        <v>32613</v>
      </c>
      <c r="H6073" t="s">
        <v>14201</v>
      </c>
      <c r="I6073" t="s">
        <v>32661</v>
      </c>
      <c r="J6073" t="s">
        <v>32772</v>
      </c>
      <c r="K6073" t="s">
        <v>42630</v>
      </c>
      <c r="M6073" t="s">
        <v>45115</v>
      </c>
      <c r="N6073" t="s">
        <v>47304</v>
      </c>
      <c r="O6073" t="s">
        <v>47305</v>
      </c>
      <c r="P6073">
        <v>0</v>
      </c>
      <c r="Q6073">
        <v>7</v>
      </c>
      <c r="R6073" t="s">
        <v>47310</v>
      </c>
      <c r="S6073" t="s">
        <v>47435</v>
      </c>
      <c r="T6073" t="s">
        <v>49007</v>
      </c>
      <c r="U6073" t="s">
        <v>54634</v>
      </c>
      <c r="W6073" t="s">
        <v>45115</v>
      </c>
      <c r="X6073" t="s">
        <v>47311</v>
      </c>
    </row>
    <row r="6074" spans="1:24">
      <c r="A6074">
        <f>HYPERLINK("https://www.philgeps.gov.ph/GEPSNONPILOT/Tender/SplashBidNoticeAbstractUI.aspx?menuIndex=3&amp;refID=7193243&amp;Result=3","7193243")</f>
        <v>0</v>
      </c>
      <c r="B6074" t="s">
        <v>1034</v>
      </c>
      <c r="C6074" t="s">
        <v>9557</v>
      </c>
      <c r="D6074" t="s">
        <v>19022</v>
      </c>
      <c r="E6074" t="s">
        <v>24424</v>
      </c>
      <c r="F6074" t="s">
        <v>32606</v>
      </c>
      <c r="G6074" t="s">
        <v>32619</v>
      </c>
      <c r="H6074" t="s">
        <v>14201</v>
      </c>
      <c r="I6074" t="s">
        <v>32635</v>
      </c>
      <c r="J6074" t="s">
        <v>34321</v>
      </c>
      <c r="K6074" t="s">
        <v>42639</v>
      </c>
      <c r="M6074" t="s">
        <v>45118</v>
      </c>
      <c r="N6074" t="s">
        <v>47304</v>
      </c>
      <c r="O6074" t="s">
        <v>47305</v>
      </c>
      <c r="P6074">
        <v>0</v>
      </c>
      <c r="Q6074">
        <v>5</v>
      </c>
      <c r="R6074" t="s">
        <v>47310</v>
      </c>
      <c r="S6074" t="s">
        <v>47435</v>
      </c>
      <c r="T6074" t="s">
        <v>49165</v>
      </c>
      <c r="U6074" t="s">
        <v>54635</v>
      </c>
      <c r="W6074" t="s">
        <v>45118</v>
      </c>
      <c r="X6074" t="s">
        <v>47311</v>
      </c>
    </row>
    <row r="6075" spans="1:24">
      <c r="A6075">
        <f>HYPERLINK("https://www.philgeps.gov.ph/GEPSNONPILOT/Tender/SplashBidNoticeAbstractUI.aspx?menuIndex=3&amp;refID=7193230&amp;Result=3","7193230")</f>
        <v>0</v>
      </c>
      <c r="B6075" t="s">
        <v>2041</v>
      </c>
      <c r="C6075" t="s">
        <v>9558</v>
      </c>
      <c r="D6075" t="s">
        <v>19011</v>
      </c>
      <c r="E6075" t="s">
        <v>24209</v>
      </c>
      <c r="F6075" t="s">
        <v>32606</v>
      </c>
      <c r="G6075" t="s">
        <v>32613</v>
      </c>
      <c r="H6075" t="s">
        <v>32623</v>
      </c>
      <c r="I6075" t="s">
        <v>17648</v>
      </c>
      <c r="J6075" t="s">
        <v>36692</v>
      </c>
      <c r="K6075" t="s">
        <v>42624</v>
      </c>
      <c r="M6075" t="s">
        <v>45119</v>
      </c>
      <c r="N6075" t="s">
        <v>47304</v>
      </c>
      <c r="O6075" t="s">
        <v>47305</v>
      </c>
      <c r="P6075">
        <v>0</v>
      </c>
      <c r="Q6075">
        <v>1</v>
      </c>
      <c r="R6075" t="s">
        <v>47310</v>
      </c>
      <c r="S6075" t="s">
        <v>47435</v>
      </c>
      <c r="T6075" t="s">
        <v>49093</v>
      </c>
      <c r="U6075" t="s">
        <v>54636</v>
      </c>
      <c r="W6075" t="s">
        <v>45119</v>
      </c>
      <c r="X6075" t="s">
        <v>47311</v>
      </c>
    </row>
    <row r="6076" spans="1:24">
      <c r="A6076">
        <f>HYPERLINK("https://www.philgeps.gov.ph/GEPSNONPILOT/Tender/SplashBidNoticeAbstractUI.aspx?menuIndex=3&amp;refID=7193241&amp;Result=3","7193241")</f>
        <v>0</v>
      </c>
      <c r="B6076" t="s">
        <v>492</v>
      </c>
      <c r="C6076" t="s">
        <v>9559</v>
      </c>
      <c r="D6076" t="s">
        <v>18997</v>
      </c>
      <c r="E6076" t="s">
        <v>24425</v>
      </c>
      <c r="F6076" t="s">
        <v>32607</v>
      </c>
      <c r="G6076" t="s">
        <v>32614</v>
      </c>
      <c r="H6076" t="s">
        <v>14201</v>
      </c>
      <c r="I6076" t="s">
        <v>32634</v>
      </c>
      <c r="J6076" t="s">
        <v>32949</v>
      </c>
      <c r="K6076" t="s">
        <v>42630</v>
      </c>
      <c r="M6076" t="s">
        <v>43405</v>
      </c>
      <c r="N6076" t="s">
        <v>47304</v>
      </c>
      <c r="O6076" t="s">
        <v>47305</v>
      </c>
      <c r="P6076">
        <v>0</v>
      </c>
      <c r="Q6076">
        <v>1</v>
      </c>
      <c r="R6076" t="s">
        <v>47310</v>
      </c>
      <c r="S6076" t="s">
        <v>47435</v>
      </c>
      <c r="T6076" t="s">
        <v>49084</v>
      </c>
      <c r="U6076" t="s">
        <v>50411</v>
      </c>
      <c r="V6076" t="s">
        <v>62762</v>
      </c>
      <c r="W6076" t="s">
        <v>64437</v>
      </c>
      <c r="X6076" t="s">
        <v>47311</v>
      </c>
    </row>
    <row r="6077" spans="1:24">
      <c r="A6077">
        <f>HYPERLINK("https://www.philgeps.gov.ph/GEPSNONPILOT/Tender/SplashBidNoticeAbstractUI.aspx?menuIndex=3&amp;refID=7193229&amp;Result=3","7193229")</f>
        <v>0</v>
      </c>
      <c r="B6077" t="s">
        <v>2039</v>
      </c>
      <c r="C6077" t="s">
        <v>9560</v>
      </c>
      <c r="D6077" t="s">
        <v>18993</v>
      </c>
      <c r="E6077" t="s">
        <v>24422</v>
      </c>
      <c r="F6077" t="s">
        <v>32608</v>
      </c>
      <c r="G6077" t="s">
        <v>32613</v>
      </c>
      <c r="H6077" t="s">
        <v>14201</v>
      </c>
      <c r="I6077" t="s">
        <v>32661</v>
      </c>
      <c r="J6077" t="s">
        <v>32772</v>
      </c>
      <c r="K6077" t="s">
        <v>42630</v>
      </c>
      <c r="M6077" t="s">
        <v>45115</v>
      </c>
      <c r="N6077" t="s">
        <v>47304</v>
      </c>
      <c r="O6077" t="s">
        <v>47305</v>
      </c>
      <c r="P6077">
        <v>0</v>
      </c>
      <c r="Q6077">
        <v>2</v>
      </c>
      <c r="R6077" t="s">
        <v>47310</v>
      </c>
      <c r="S6077" t="s">
        <v>47435</v>
      </c>
      <c r="T6077" t="s">
        <v>49007</v>
      </c>
      <c r="U6077" t="s">
        <v>54637</v>
      </c>
      <c r="W6077" t="s">
        <v>45115</v>
      </c>
      <c r="X6077" t="s">
        <v>47311</v>
      </c>
    </row>
    <row r="6078" spans="1:24">
      <c r="A6078">
        <f>HYPERLINK("https://www.philgeps.gov.ph/GEPSNONPILOT/Tender/SplashBidNoticeAbstractUI.aspx?menuIndex=3&amp;refID=7193239&amp;Result=3","7193239")</f>
        <v>0</v>
      </c>
      <c r="B6078" t="s">
        <v>1034</v>
      </c>
      <c r="C6078" t="s">
        <v>9561</v>
      </c>
      <c r="D6078" t="s">
        <v>19022</v>
      </c>
      <c r="E6078" t="s">
        <v>24426</v>
      </c>
      <c r="F6078" t="s">
        <v>32606</v>
      </c>
      <c r="G6078" t="s">
        <v>32619</v>
      </c>
      <c r="H6078" t="s">
        <v>14201</v>
      </c>
      <c r="I6078" t="s">
        <v>32626</v>
      </c>
      <c r="J6078" t="s">
        <v>32868</v>
      </c>
      <c r="K6078" t="s">
        <v>42639</v>
      </c>
      <c r="M6078" t="s">
        <v>45118</v>
      </c>
      <c r="N6078" t="s">
        <v>47304</v>
      </c>
      <c r="O6078" t="s">
        <v>47305</v>
      </c>
      <c r="P6078">
        <v>0</v>
      </c>
      <c r="Q6078">
        <v>3</v>
      </c>
      <c r="R6078" t="s">
        <v>47310</v>
      </c>
      <c r="S6078" t="s">
        <v>47435</v>
      </c>
      <c r="T6078" t="s">
        <v>49165</v>
      </c>
      <c r="U6078" t="s">
        <v>54635</v>
      </c>
      <c r="W6078" t="s">
        <v>45118</v>
      </c>
      <c r="X6078" t="s">
        <v>47311</v>
      </c>
    </row>
    <row r="6079" spans="1:24">
      <c r="A6079">
        <f>HYPERLINK("https://www.philgeps.gov.ph/GEPSNONPILOT/Tender/SplashBidNoticeAbstractUI.aspx?menuIndex=3&amp;refID=7193182&amp;Result=3","7193182")</f>
        <v>0</v>
      </c>
      <c r="B6079" t="s">
        <v>1346</v>
      </c>
      <c r="C6079" t="s">
        <v>9562</v>
      </c>
      <c r="E6079" t="s">
        <v>24427</v>
      </c>
      <c r="F6079" t="s">
        <v>32606</v>
      </c>
      <c r="G6079" t="s">
        <v>32613</v>
      </c>
      <c r="H6079" t="s">
        <v>14201</v>
      </c>
      <c r="I6079" t="s">
        <v>32633</v>
      </c>
      <c r="J6079" t="s">
        <v>36693</v>
      </c>
      <c r="K6079" t="s">
        <v>42624</v>
      </c>
      <c r="M6079" t="s">
        <v>44320</v>
      </c>
      <c r="N6079" t="s">
        <v>47304</v>
      </c>
      <c r="O6079" t="s">
        <v>47305</v>
      </c>
      <c r="P6079">
        <v>0</v>
      </c>
      <c r="Q6079">
        <v>17</v>
      </c>
      <c r="R6079" t="s">
        <v>47310</v>
      </c>
      <c r="S6079" t="s">
        <v>47435</v>
      </c>
      <c r="T6079" t="s">
        <v>49009</v>
      </c>
      <c r="U6079" t="s">
        <v>54638</v>
      </c>
      <c r="W6079" t="s">
        <v>44320</v>
      </c>
      <c r="X6079" t="s">
        <v>47311</v>
      </c>
    </row>
    <row r="6080" spans="1:24">
      <c r="A6080">
        <f>HYPERLINK("https://www.philgeps.gov.ph/GEPSNONPILOT/Tender/SplashBidNoticeAbstractUI.aspx?menuIndex=3&amp;refID=7193248&amp;Result=3","7193248")</f>
        <v>0</v>
      </c>
      <c r="B6080" t="s">
        <v>492</v>
      </c>
      <c r="C6080" t="s">
        <v>9563</v>
      </c>
      <c r="D6080" t="s">
        <v>18997</v>
      </c>
      <c r="E6080" t="s">
        <v>24428</v>
      </c>
      <c r="F6080" t="s">
        <v>32607</v>
      </c>
      <c r="G6080" t="s">
        <v>32614</v>
      </c>
      <c r="H6080" t="s">
        <v>14201</v>
      </c>
      <c r="I6080" t="s">
        <v>7233</v>
      </c>
      <c r="J6080" t="s">
        <v>36694</v>
      </c>
      <c r="K6080" t="s">
        <v>42630</v>
      </c>
      <c r="M6080" t="s">
        <v>43405</v>
      </c>
      <c r="N6080" t="s">
        <v>47304</v>
      </c>
      <c r="O6080" t="s">
        <v>47305</v>
      </c>
      <c r="P6080">
        <v>0</v>
      </c>
      <c r="Q6080">
        <v>1</v>
      </c>
      <c r="R6080" t="s">
        <v>47310</v>
      </c>
      <c r="S6080" t="s">
        <v>47435</v>
      </c>
      <c r="T6080" t="s">
        <v>49084</v>
      </c>
      <c r="U6080" t="s">
        <v>50411</v>
      </c>
      <c r="V6080" t="s">
        <v>62762</v>
      </c>
      <c r="W6080" t="s">
        <v>64437</v>
      </c>
      <c r="X6080" t="s">
        <v>47311</v>
      </c>
    </row>
    <row r="6081" spans="1:24">
      <c r="A6081">
        <f>HYPERLINK("https://www.philgeps.gov.ph/GEPSNONPILOT/Tender/SplashBidNoticeAbstractUI.aspx?menuIndex=3&amp;refID=7193232&amp;Result=3","7193232")</f>
        <v>0</v>
      </c>
      <c r="B6081" t="s">
        <v>492</v>
      </c>
      <c r="C6081" t="s">
        <v>9564</v>
      </c>
      <c r="D6081" t="s">
        <v>18997</v>
      </c>
      <c r="E6081" t="s">
        <v>24429</v>
      </c>
      <c r="F6081" t="s">
        <v>32607</v>
      </c>
      <c r="G6081" t="s">
        <v>32614</v>
      </c>
      <c r="H6081" t="s">
        <v>14201</v>
      </c>
      <c r="I6081" t="s">
        <v>6931</v>
      </c>
      <c r="J6081" t="s">
        <v>33948</v>
      </c>
      <c r="K6081" t="s">
        <v>42630</v>
      </c>
      <c r="M6081" t="s">
        <v>43405</v>
      </c>
      <c r="N6081" t="s">
        <v>47304</v>
      </c>
      <c r="O6081" t="s">
        <v>47305</v>
      </c>
      <c r="P6081">
        <v>0</v>
      </c>
      <c r="Q6081">
        <v>0</v>
      </c>
      <c r="R6081" t="s">
        <v>47310</v>
      </c>
      <c r="S6081" t="s">
        <v>47435</v>
      </c>
      <c r="T6081" t="s">
        <v>49084</v>
      </c>
      <c r="U6081" t="s">
        <v>50411</v>
      </c>
      <c r="V6081" t="s">
        <v>62762</v>
      </c>
      <c r="W6081" t="s">
        <v>64437</v>
      </c>
      <c r="X6081" t="s">
        <v>47311</v>
      </c>
    </row>
    <row r="6082" spans="1:24">
      <c r="A6082">
        <f>HYPERLINK("https://www.philgeps.gov.ph/GEPSNONPILOT/Tender/SplashBidNoticeAbstractUI.aspx?menuIndex=3&amp;refID=7192745&amp;Result=3","7192745")</f>
        <v>0</v>
      </c>
      <c r="B6082" t="s">
        <v>298</v>
      </c>
      <c r="C6082" t="s">
        <v>9565</v>
      </c>
      <c r="D6082" t="s">
        <v>18993</v>
      </c>
      <c r="E6082" t="s">
        <v>24430</v>
      </c>
      <c r="F6082" t="s">
        <v>32606</v>
      </c>
      <c r="G6082" t="s">
        <v>32614</v>
      </c>
      <c r="H6082" t="s">
        <v>14201</v>
      </c>
      <c r="I6082" t="s">
        <v>7677</v>
      </c>
      <c r="J6082" t="s">
        <v>36695</v>
      </c>
      <c r="K6082" t="s">
        <v>42630</v>
      </c>
      <c r="M6082" t="s">
        <v>45098</v>
      </c>
      <c r="N6082" t="s">
        <v>47304</v>
      </c>
      <c r="O6082" t="s">
        <v>47305</v>
      </c>
      <c r="P6082">
        <v>0</v>
      </c>
      <c r="Q6082">
        <v>2</v>
      </c>
      <c r="R6082" t="s">
        <v>47310</v>
      </c>
      <c r="S6082" t="s">
        <v>47435</v>
      </c>
      <c r="T6082" t="s">
        <v>48980</v>
      </c>
      <c r="U6082" t="s">
        <v>54639</v>
      </c>
      <c r="W6082" t="s">
        <v>45098</v>
      </c>
      <c r="X6082" t="s">
        <v>47312</v>
      </c>
    </row>
    <row r="6083" spans="1:24">
      <c r="A6083">
        <f>HYPERLINK("https://www.philgeps.gov.ph/GEPSNONPILOT/Tender/SplashBidNoticeAbstractUI.aspx?menuIndex=3&amp;refID=7193231&amp;Result=3","7193231")</f>
        <v>0</v>
      </c>
      <c r="B6083" t="s">
        <v>1306</v>
      </c>
      <c r="C6083" t="s">
        <v>9566</v>
      </c>
      <c r="D6083" t="s">
        <v>19011</v>
      </c>
      <c r="E6083" t="s">
        <v>24431</v>
      </c>
      <c r="F6083" t="s">
        <v>32606</v>
      </c>
      <c r="G6083" t="s">
        <v>32613</v>
      </c>
      <c r="H6083" t="s">
        <v>14201</v>
      </c>
      <c r="I6083" t="s">
        <v>32686</v>
      </c>
      <c r="J6083" t="s">
        <v>36696</v>
      </c>
      <c r="K6083" t="s">
        <v>42636</v>
      </c>
      <c r="M6083" t="s">
        <v>45099</v>
      </c>
      <c r="N6083" t="s">
        <v>47304</v>
      </c>
      <c r="O6083" t="s">
        <v>47305</v>
      </c>
      <c r="P6083">
        <v>0</v>
      </c>
      <c r="Q6083">
        <v>5</v>
      </c>
      <c r="R6083" t="s">
        <v>47310</v>
      </c>
      <c r="S6083" t="s">
        <v>47435</v>
      </c>
      <c r="T6083" t="s">
        <v>49133</v>
      </c>
      <c r="U6083" t="s">
        <v>54630</v>
      </c>
      <c r="W6083" t="s">
        <v>45099</v>
      </c>
      <c r="X6083" t="s">
        <v>47311</v>
      </c>
    </row>
    <row r="6084" spans="1:24">
      <c r="A6084">
        <f>HYPERLINK("https://www.philgeps.gov.ph/GEPSNONPILOT/Tender/SplashBidNoticeAbstractUI.aspx?menuIndex=3&amp;refID=7193280&amp;Result=3","7193280")</f>
        <v>0</v>
      </c>
      <c r="B6084" t="s">
        <v>2039</v>
      </c>
      <c r="C6084" t="s">
        <v>9567</v>
      </c>
      <c r="D6084" t="s">
        <v>18993</v>
      </c>
      <c r="E6084" t="s">
        <v>24422</v>
      </c>
      <c r="F6084" t="s">
        <v>32608</v>
      </c>
      <c r="G6084" t="s">
        <v>32613</v>
      </c>
      <c r="H6084" t="s">
        <v>14201</v>
      </c>
      <c r="I6084" t="s">
        <v>32647</v>
      </c>
      <c r="J6084" t="s">
        <v>36697</v>
      </c>
      <c r="K6084" t="s">
        <v>42630</v>
      </c>
      <c r="M6084" t="s">
        <v>45115</v>
      </c>
      <c r="N6084" t="s">
        <v>47304</v>
      </c>
      <c r="O6084" t="s">
        <v>47305</v>
      </c>
      <c r="P6084">
        <v>0</v>
      </c>
      <c r="Q6084">
        <v>1</v>
      </c>
      <c r="R6084" t="s">
        <v>47310</v>
      </c>
      <c r="S6084" t="s">
        <v>47435</v>
      </c>
      <c r="T6084" t="s">
        <v>49007</v>
      </c>
      <c r="U6084" t="s">
        <v>54640</v>
      </c>
      <c r="W6084" t="s">
        <v>45115</v>
      </c>
      <c r="X6084" t="s">
        <v>47311</v>
      </c>
    </row>
    <row r="6085" spans="1:24">
      <c r="A6085">
        <f>HYPERLINK("https://www.philgeps.gov.ph/GEPSNONPILOT/Tender/SplashBidNoticeAbstractUI.aspx?menuIndex=3&amp;refID=7193278&amp;Result=3","7193278")</f>
        <v>0</v>
      </c>
      <c r="B6085" t="s">
        <v>2042</v>
      </c>
      <c r="C6085" t="s">
        <v>9568</v>
      </c>
      <c r="D6085" t="s">
        <v>19070</v>
      </c>
      <c r="E6085" t="s">
        <v>24432</v>
      </c>
      <c r="F6085" t="s">
        <v>32606</v>
      </c>
      <c r="G6085" t="s">
        <v>32619</v>
      </c>
      <c r="H6085" t="s">
        <v>14201</v>
      </c>
      <c r="I6085" t="s">
        <v>6298</v>
      </c>
      <c r="J6085" t="s">
        <v>33167</v>
      </c>
      <c r="K6085" t="s">
        <v>42622</v>
      </c>
      <c r="M6085" t="s">
        <v>45120</v>
      </c>
      <c r="N6085" t="s">
        <v>47304</v>
      </c>
      <c r="O6085" t="s">
        <v>47305</v>
      </c>
      <c r="P6085">
        <v>0</v>
      </c>
      <c r="Q6085">
        <v>1</v>
      </c>
      <c r="R6085" t="s">
        <v>47310</v>
      </c>
      <c r="S6085" t="s">
        <v>47435</v>
      </c>
      <c r="T6085" t="s">
        <v>49053</v>
      </c>
      <c r="U6085" t="s">
        <v>54641</v>
      </c>
      <c r="W6085" t="s">
        <v>45120</v>
      </c>
      <c r="X6085" t="s">
        <v>47311</v>
      </c>
    </row>
    <row r="6086" spans="1:24">
      <c r="A6086">
        <f>HYPERLINK("https://www.philgeps.gov.ph/GEPSNONPILOT/Tender/SplashBidNoticeAbstractUI.aspx?menuIndex=3&amp;refID=7193277&amp;Result=3","7193277")</f>
        <v>0</v>
      </c>
      <c r="B6086" t="s">
        <v>2039</v>
      </c>
      <c r="C6086" t="s">
        <v>4547</v>
      </c>
      <c r="D6086" t="s">
        <v>18993</v>
      </c>
      <c r="E6086" t="s">
        <v>24422</v>
      </c>
      <c r="F6086" t="s">
        <v>32608</v>
      </c>
      <c r="G6086" t="s">
        <v>32613</v>
      </c>
      <c r="H6086" t="s">
        <v>14201</v>
      </c>
      <c r="I6086" t="s">
        <v>4120</v>
      </c>
      <c r="J6086" t="s">
        <v>33955</v>
      </c>
      <c r="K6086" t="s">
        <v>42630</v>
      </c>
      <c r="M6086" t="s">
        <v>45115</v>
      </c>
      <c r="N6086" t="s">
        <v>47304</v>
      </c>
      <c r="O6086" t="s">
        <v>47305</v>
      </c>
      <c r="P6086">
        <v>0</v>
      </c>
      <c r="Q6086">
        <v>2</v>
      </c>
      <c r="R6086" t="s">
        <v>47310</v>
      </c>
      <c r="S6086" t="s">
        <v>47435</v>
      </c>
      <c r="T6086" t="s">
        <v>49007</v>
      </c>
      <c r="U6086" t="s">
        <v>54642</v>
      </c>
      <c r="W6086" t="s">
        <v>45115</v>
      </c>
      <c r="X6086" t="s">
        <v>47311</v>
      </c>
    </row>
    <row r="6087" spans="1:24">
      <c r="A6087">
        <f>HYPERLINK("https://www.philgeps.gov.ph/GEPSNONPILOT/Tender/SplashBidNoticeAbstractUI.aspx?menuIndex=3&amp;refID=7193275&amp;Result=3","7193275")</f>
        <v>0</v>
      </c>
      <c r="B6087" t="s">
        <v>2042</v>
      </c>
      <c r="C6087" t="s">
        <v>9569</v>
      </c>
      <c r="D6087" t="s">
        <v>19070</v>
      </c>
      <c r="E6087" t="s">
        <v>24433</v>
      </c>
      <c r="F6087" t="s">
        <v>32606</v>
      </c>
      <c r="G6087" t="s">
        <v>32619</v>
      </c>
      <c r="H6087" t="s">
        <v>14201</v>
      </c>
      <c r="I6087" t="s">
        <v>4678</v>
      </c>
      <c r="J6087" t="s">
        <v>33155</v>
      </c>
      <c r="K6087" t="s">
        <v>42627</v>
      </c>
      <c r="M6087" t="s">
        <v>45120</v>
      </c>
      <c r="N6087" t="s">
        <v>47304</v>
      </c>
      <c r="O6087" t="s">
        <v>47305</v>
      </c>
      <c r="P6087">
        <v>0</v>
      </c>
      <c r="Q6087">
        <v>1</v>
      </c>
      <c r="R6087" t="s">
        <v>47310</v>
      </c>
      <c r="S6087" t="s">
        <v>47435</v>
      </c>
      <c r="T6087" t="s">
        <v>49053</v>
      </c>
      <c r="U6087" t="s">
        <v>54641</v>
      </c>
      <c r="W6087" t="s">
        <v>45120</v>
      </c>
      <c r="X6087" t="s">
        <v>47311</v>
      </c>
    </row>
    <row r="6088" spans="1:24">
      <c r="A6088">
        <f>HYPERLINK("https://www.philgeps.gov.ph/GEPSNONPILOT/Tender/SplashBidNoticeAbstractUI.aspx?menuIndex=3&amp;refID=7193274&amp;Result=3","7193274")</f>
        <v>0</v>
      </c>
      <c r="B6088" t="s">
        <v>2042</v>
      </c>
      <c r="C6088" t="s">
        <v>9570</v>
      </c>
      <c r="D6088" t="s">
        <v>19070</v>
      </c>
      <c r="E6088" t="s">
        <v>24434</v>
      </c>
      <c r="F6088" t="s">
        <v>32606</v>
      </c>
      <c r="G6088" t="s">
        <v>32619</v>
      </c>
      <c r="H6088" t="s">
        <v>14201</v>
      </c>
      <c r="I6088" t="s">
        <v>32633</v>
      </c>
      <c r="J6088" t="s">
        <v>33897</v>
      </c>
      <c r="K6088" t="s">
        <v>42622</v>
      </c>
      <c r="M6088" t="s">
        <v>45120</v>
      </c>
      <c r="N6088" t="s">
        <v>47304</v>
      </c>
      <c r="O6088" t="s">
        <v>47305</v>
      </c>
      <c r="P6088">
        <v>0</v>
      </c>
      <c r="Q6088">
        <v>9</v>
      </c>
      <c r="R6088" t="s">
        <v>47310</v>
      </c>
      <c r="S6088" t="s">
        <v>47435</v>
      </c>
      <c r="T6088" t="s">
        <v>49053</v>
      </c>
      <c r="U6088" t="s">
        <v>54641</v>
      </c>
      <c r="W6088" t="s">
        <v>45120</v>
      </c>
      <c r="X6088" t="s">
        <v>47311</v>
      </c>
    </row>
    <row r="6089" spans="1:24">
      <c r="A6089">
        <f>HYPERLINK("https://www.philgeps.gov.ph/GEPSNONPILOT/Tender/SplashBidNoticeAbstractUI.aspx?menuIndex=3&amp;refID=7193270&amp;Result=3","7193270")</f>
        <v>0</v>
      </c>
      <c r="B6089" t="s">
        <v>2042</v>
      </c>
      <c r="C6089" t="s">
        <v>9571</v>
      </c>
      <c r="D6089" t="s">
        <v>19070</v>
      </c>
      <c r="E6089" t="s">
        <v>24435</v>
      </c>
      <c r="F6089" t="s">
        <v>32606</v>
      </c>
      <c r="G6089" t="s">
        <v>32619</v>
      </c>
      <c r="H6089" t="s">
        <v>14201</v>
      </c>
      <c r="I6089" t="s">
        <v>32640</v>
      </c>
      <c r="J6089" t="s">
        <v>36698</v>
      </c>
      <c r="K6089" t="s">
        <v>42627</v>
      </c>
      <c r="M6089" t="s">
        <v>45120</v>
      </c>
      <c r="N6089" t="s">
        <v>47304</v>
      </c>
      <c r="O6089" t="s">
        <v>47305</v>
      </c>
      <c r="P6089">
        <v>0</v>
      </c>
      <c r="Q6089">
        <v>1</v>
      </c>
      <c r="R6089" t="s">
        <v>47310</v>
      </c>
      <c r="S6089" t="s">
        <v>47435</v>
      </c>
      <c r="T6089" t="s">
        <v>49053</v>
      </c>
      <c r="U6089" t="s">
        <v>54641</v>
      </c>
      <c r="W6089" t="s">
        <v>45120</v>
      </c>
      <c r="X6089" t="s">
        <v>47311</v>
      </c>
    </row>
    <row r="6090" spans="1:24">
      <c r="A6090">
        <f>HYPERLINK("https://www.philgeps.gov.ph/GEPSNONPILOT/Tender/SplashBidNoticeAbstractUI.aspx?menuIndex=3&amp;refID=7193267&amp;Result=3","7193267")</f>
        <v>0</v>
      </c>
      <c r="B6090" t="s">
        <v>2043</v>
      </c>
      <c r="C6090" t="s">
        <v>9572</v>
      </c>
      <c r="D6090" t="s">
        <v>19037</v>
      </c>
      <c r="E6090" t="s">
        <v>24436</v>
      </c>
      <c r="F6090" t="s">
        <v>32606</v>
      </c>
      <c r="G6090" t="s">
        <v>32613</v>
      </c>
      <c r="H6090" t="s">
        <v>14201</v>
      </c>
      <c r="I6090" t="s">
        <v>6931</v>
      </c>
      <c r="J6090" t="s">
        <v>36699</v>
      </c>
      <c r="K6090" t="s">
        <v>42624</v>
      </c>
      <c r="M6090" t="s">
        <v>45121</v>
      </c>
      <c r="N6090" t="s">
        <v>47304</v>
      </c>
      <c r="O6090" t="s">
        <v>47305</v>
      </c>
      <c r="P6090">
        <v>0</v>
      </c>
      <c r="Q6090">
        <v>0</v>
      </c>
      <c r="R6090" t="s">
        <v>47310</v>
      </c>
      <c r="S6090" t="s">
        <v>47435</v>
      </c>
      <c r="T6090" t="s">
        <v>49108</v>
      </c>
      <c r="U6090" t="s">
        <v>54643</v>
      </c>
      <c r="W6090" t="s">
        <v>45121</v>
      </c>
      <c r="X6090" t="s">
        <v>47311</v>
      </c>
    </row>
    <row r="6091" spans="1:24">
      <c r="A6091">
        <f>HYPERLINK("https://www.philgeps.gov.ph/GEPSNONPILOT/Tender/SplashBidNoticeAbstractUI.aspx?menuIndex=3&amp;refID=7193266&amp;Result=3","7193266")</f>
        <v>0</v>
      </c>
      <c r="B6091" t="s">
        <v>2042</v>
      </c>
      <c r="C6091" t="s">
        <v>9573</v>
      </c>
      <c r="E6091" t="s">
        <v>24437</v>
      </c>
      <c r="F6091" t="s">
        <v>32606</v>
      </c>
      <c r="G6091" t="s">
        <v>32619</v>
      </c>
      <c r="H6091" t="s">
        <v>14201</v>
      </c>
      <c r="I6091" t="s">
        <v>4120</v>
      </c>
      <c r="J6091" t="s">
        <v>36700</v>
      </c>
      <c r="K6091" t="s">
        <v>42627</v>
      </c>
      <c r="M6091" t="s">
        <v>45120</v>
      </c>
      <c r="N6091" t="s">
        <v>47304</v>
      </c>
      <c r="O6091" t="s">
        <v>47305</v>
      </c>
      <c r="P6091">
        <v>0</v>
      </c>
      <c r="Q6091">
        <v>3</v>
      </c>
      <c r="R6091" t="s">
        <v>47310</v>
      </c>
      <c r="S6091" t="s">
        <v>47435</v>
      </c>
      <c r="T6091" t="s">
        <v>49053</v>
      </c>
      <c r="U6091" t="s">
        <v>54641</v>
      </c>
      <c r="W6091" t="s">
        <v>45120</v>
      </c>
      <c r="X6091" t="s">
        <v>47311</v>
      </c>
    </row>
    <row r="6092" spans="1:24">
      <c r="A6092">
        <f>HYPERLINK("https://www.philgeps.gov.ph/GEPSNONPILOT/Tender/SplashBidNoticeAbstractUI.aspx?menuIndex=3&amp;refID=7193263&amp;Result=3","7193263")</f>
        <v>0</v>
      </c>
      <c r="B6092" t="s">
        <v>1034</v>
      </c>
      <c r="C6092" t="s">
        <v>9574</v>
      </c>
      <c r="D6092" t="s">
        <v>19022</v>
      </c>
      <c r="E6092" t="s">
        <v>24438</v>
      </c>
      <c r="F6092" t="s">
        <v>32606</v>
      </c>
      <c r="G6092" t="s">
        <v>32614</v>
      </c>
      <c r="H6092" t="s">
        <v>14201</v>
      </c>
      <c r="I6092" t="s">
        <v>32638</v>
      </c>
      <c r="J6092" t="s">
        <v>36048</v>
      </c>
      <c r="K6092" t="s">
        <v>42631</v>
      </c>
      <c r="M6092" t="s">
        <v>45118</v>
      </c>
      <c r="N6092" t="s">
        <v>47304</v>
      </c>
      <c r="O6092" t="s">
        <v>47305</v>
      </c>
      <c r="Q6092">
        <v>12</v>
      </c>
      <c r="R6092" t="s">
        <v>47310</v>
      </c>
      <c r="S6092" t="s">
        <v>47439</v>
      </c>
      <c r="T6092" t="s">
        <v>49014</v>
      </c>
      <c r="U6092" t="s">
        <v>54635</v>
      </c>
      <c r="W6092" t="s">
        <v>45118</v>
      </c>
      <c r="X6092" t="s">
        <v>47311</v>
      </c>
    </row>
    <row r="6093" spans="1:24">
      <c r="A6093">
        <f>HYPERLINK("https://www.philgeps.gov.ph/GEPSNONPILOT/Tender/SplashBidNoticeAbstractUI.aspx?menuIndex=3&amp;refID=7193261&amp;Result=3","7193261")</f>
        <v>0</v>
      </c>
      <c r="B6093" t="s">
        <v>2039</v>
      </c>
      <c r="C6093" t="s">
        <v>9575</v>
      </c>
      <c r="D6093" t="s">
        <v>18993</v>
      </c>
      <c r="E6093" t="s">
        <v>24422</v>
      </c>
      <c r="F6093" t="s">
        <v>32608</v>
      </c>
      <c r="G6093" t="s">
        <v>32613</v>
      </c>
      <c r="H6093" t="s">
        <v>14201</v>
      </c>
      <c r="I6093" t="s">
        <v>32659</v>
      </c>
      <c r="J6093" t="s">
        <v>32778</v>
      </c>
      <c r="K6093" t="s">
        <v>42630</v>
      </c>
      <c r="M6093" t="s">
        <v>45115</v>
      </c>
      <c r="N6093" t="s">
        <v>47304</v>
      </c>
      <c r="O6093" t="s">
        <v>47305</v>
      </c>
      <c r="P6093">
        <v>0</v>
      </c>
      <c r="Q6093">
        <v>0</v>
      </c>
      <c r="R6093" t="s">
        <v>47310</v>
      </c>
      <c r="S6093" t="s">
        <v>47435</v>
      </c>
      <c r="T6093" t="s">
        <v>49007</v>
      </c>
      <c r="U6093" t="s">
        <v>54644</v>
      </c>
      <c r="W6093" t="s">
        <v>45115</v>
      </c>
      <c r="X6093" t="s">
        <v>47311</v>
      </c>
    </row>
    <row r="6094" spans="1:24">
      <c r="A6094">
        <f>HYPERLINK("https://www.philgeps.gov.ph/GEPSNONPILOT/Tender/SplashBidNoticeAbstractUI.aspx?menuIndex=3&amp;refID=7193268&amp;Result=3","7193268")</f>
        <v>0</v>
      </c>
      <c r="B6094" t="s">
        <v>1770</v>
      </c>
      <c r="C6094" t="s">
        <v>9576</v>
      </c>
      <c r="D6094" t="s">
        <v>19054</v>
      </c>
      <c r="E6094" t="s">
        <v>19125</v>
      </c>
      <c r="F6094" t="s">
        <v>32606</v>
      </c>
      <c r="G6094" t="s">
        <v>32613</v>
      </c>
      <c r="H6094" t="s">
        <v>14201</v>
      </c>
      <c r="I6094" t="s">
        <v>7677</v>
      </c>
      <c r="J6094" t="s">
        <v>36701</v>
      </c>
      <c r="K6094" t="s">
        <v>42631</v>
      </c>
      <c r="M6094" t="s">
        <v>44808</v>
      </c>
      <c r="N6094" t="s">
        <v>47304</v>
      </c>
      <c r="O6094" t="s">
        <v>47305</v>
      </c>
      <c r="P6094">
        <v>0</v>
      </c>
      <c r="Q6094">
        <v>1</v>
      </c>
      <c r="R6094" t="s">
        <v>47310</v>
      </c>
      <c r="S6094" t="s">
        <v>47435</v>
      </c>
      <c r="T6094" t="s">
        <v>49024</v>
      </c>
      <c r="U6094" t="s">
        <v>54645</v>
      </c>
      <c r="W6094" t="s">
        <v>44808</v>
      </c>
      <c r="X6094" t="s">
        <v>47311</v>
      </c>
    </row>
    <row r="6095" spans="1:24">
      <c r="A6095">
        <f>HYPERLINK("https://www.philgeps.gov.ph/GEPSNONPILOT/Tender/SplashBidNoticeAbstractUI.aspx?menuIndex=3&amp;refID=7193254&amp;Result=3","7193254")</f>
        <v>0</v>
      </c>
      <c r="B6095" t="s">
        <v>2039</v>
      </c>
      <c r="C6095" t="s">
        <v>9577</v>
      </c>
      <c r="D6095" t="s">
        <v>18993</v>
      </c>
      <c r="E6095" t="s">
        <v>24422</v>
      </c>
      <c r="F6095" t="s">
        <v>32608</v>
      </c>
      <c r="G6095" t="s">
        <v>32613</v>
      </c>
      <c r="H6095" t="s">
        <v>14201</v>
      </c>
      <c r="I6095" t="s">
        <v>32655</v>
      </c>
      <c r="J6095" t="s">
        <v>32923</v>
      </c>
      <c r="K6095" t="s">
        <v>42630</v>
      </c>
      <c r="M6095" t="s">
        <v>45115</v>
      </c>
      <c r="N6095" t="s">
        <v>47304</v>
      </c>
      <c r="O6095" t="s">
        <v>47305</v>
      </c>
      <c r="P6095">
        <v>0</v>
      </c>
      <c r="Q6095">
        <v>1</v>
      </c>
      <c r="R6095" t="s">
        <v>47310</v>
      </c>
      <c r="S6095" t="s">
        <v>47435</v>
      </c>
      <c r="T6095" t="s">
        <v>49007</v>
      </c>
      <c r="U6095" t="s">
        <v>54646</v>
      </c>
      <c r="W6095" t="s">
        <v>45115</v>
      </c>
      <c r="X6095" t="s">
        <v>47311</v>
      </c>
    </row>
    <row r="6096" spans="1:24">
      <c r="A6096">
        <f>HYPERLINK("https://www.philgeps.gov.ph/GEPSNONPILOT/Tender/SplashBidNoticeAbstractUI.aspx?menuIndex=3&amp;refID=7193253&amp;Result=3","7193253")</f>
        <v>0</v>
      </c>
      <c r="B6096" t="s">
        <v>1034</v>
      </c>
      <c r="C6096" t="s">
        <v>9578</v>
      </c>
      <c r="D6096" t="s">
        <v>19022</v>
      </c>
      <c r="E6096" t="s">
        <v>24439</v>
      </c>
      <c r="F6096" t="s">
        <v>32606</v>
      </c>
      <c r="G6096" t="s">
        <v>32619</v>
      </c>
      <c r="H6096" t="s">
        <v>14201</v>
      </c>
      <c r="I6096" t="s">
        <v>4678</v>
      </c>
      <c r="J6096" t="s">
        <v>35149</v>
      </c>
      <c r="K6096" t="s">
        <v>42624</v>
      </c>
      <c r="M6096" t="s">
        <v>45118</v>
      </c>
      <c r="N6096" t="s">
        <v>47304</v>
      </c>
      <c r="O6096" t="s">
        <v>47305</v>
      </c>
      <c r="P6096">
        <v>0</v>
      </c>
      <c r="Q6096">
        <v>1</v>
      </c>
      <c r="R6096" t="s">
        <v>47310</v>
      </c>
      <c r="S6096" t="s">
        <v>47435</v>
      </c>
      <c r="T6096" t="s">
        <v>49165</v>
      </c>
      <c r="U6096" t="s">
        <v>54635</v>
      </c>
      <c r="W6096" t="s">
        <v>45118</v>
      </c>
      <c r="X6096" t="s">
        <v>47311</v>
      </c>
    </row>
    <row r="6097" spans="1:24">
      <c r="A6097">
        <f>HYPERLINK("https://www.philgeps.gov.ph/GEPSNONPILOT/Tender/SplashBidNoticeAbstractUI.aspx?menuIndex=3&amp;refID=7193250&amp;Result=3","7193250")</f>
        <v>0</v>
      </c>
      <c r="B6097" t="s">
        <v>1034</v>
      </c>
      <c r="C6097" t="s">
        <v>9579</v>
      </c>
      <c r="D6097" t="s">
        <v>19022</v>
      </c>
      <c r="E6097" t="s">
        <v>24440</v>
      </c>
      <c r="F6097" t="s">
        <v>32606</v>
      </c>
      <c r="G6097" t="s">
        <v>32619</v>
      </c>
      <c r="H6097" t="s">
        <v>14201</v>
      </c>
      <c r="I6097" t="s">
        <v>32640</v>
      </c>
      <c r="J6097" t="s">
        <v>32999</v>
      </c>
      <c r="K6097" t="s">
        <v>42631</v>
      </c>
      <c r="M6097" t="s">
        <v>45118</v>
      </c>
      <c r="N6097" t="s">
        <v>47304</v>
      </c>
      <c r="O6097" t="s">
        <v>47305</v>
      </c>
      <c r="P6097">
        <v>0</v>
      </c>
      <c r="Q6097">
        <v>3</v>
      </c>
      <c r="R6097" t="s">
        <v>47310</v>
      </c>
      <c r="S6097" t="s">
        <v>47435</v>
      </c>
      <c r="T6097" t="s">
        <v>49165</v>
      </c>
      <c r="U6097" t="s">
        <v>54635</v>
      </c>
      <c r="W6097" t="s">
        <v>45118</v>
      </c>
      <c r="X6097" t="s">
        <v>47311</v>
      </c>
    </row>
    <row r="6098" spans="1:24">
      <c r="A6098">
        <f>HYPERLINK("https://www.philgeps.gov.ph/GEPSNONPILOT/Tender/SplashBidNoticeAbstractUI.aspx?menuIndex=3&amp;refID=7193245&amp;Result=3","7193245")</f>
        <v>0</v>
      </c>
      <c r="B6098" t="s">
        <v>1034</v>
      </c>
      <c r="C6098" t="s">
        <v>9580</v>
      </c>
      <c r="D6098" t="s">
        <v>19022</v>
      </c>
      <c r="E6098" t="s">
        <v>24441</v>
      </c>
      <c r="F6098" t="s">
        <v>32606</v>
      </c>
      <c r="G6098" t="s">
        <v>32619</v>
      </c>
      <c r="H6098" t="s">
        <v>14201</v>
      </c>
      <c r="I6098" t="s">
        <v>32640</v>
      </c>
      <c r="J6098" t="s">
        <v>36702</v>
      </c>
      <c r="K6098" t="s">
        <v>42639</v>
      </c>
      <c r="M6098" t="s">
        <v>45118</v>
      </c>
      <c r="N6098" t="s">
        <v>47304</v>
      </c>
      <c r="O6098" t="s">
        <v>47305</v>
      </c>
      <c r="P6098">
        <v>0</v>
      </c>
      <c r="Q6098">
        <v>6</v>
      </c>
      <c r="R6098" t="s">
        <v>47310</v>
      </c>
      <c r="S6098" t="s">
        <v>47435</v>
      </c>
      <c r="T6098" t="s">
        <v>49165</v>
      </c>
      <c r="U6098" t="s">
        <v>54635</v>
      </c>
      <c r="W6098" t="s">
        <v>45118</v>
      </c>
      <c r="X6098" t="s">
        <v>47311</v>
      </c>
    </row>
    <row r="6099" spans="1:24">
      <c r="A6099">
        <f>HYPERLINK("https://www.philgeps.gov.ph/GEPSNONPILOT/Tender/SplashBidNoticeAbstractUI.aspx?menuIndex=3&amp;refID=7193262&amp;Result=3","7193262")</f>
        <v>0</v>
      </c>
      <c r="B6099" t="s">
        <v>2039</v>
      </c>
      <c r="C6099" t="s">
        <v>9581</v>
      </c>
      <c r="D6099" t="s">
        <v>18993</v>
      </c>
      <c r="E6099" t="s">
        <v>24422</v>
      </c>
      <c r="F6099" t="s">
        <v>32608</v>
      </c>
      <c r="G6099" t="s">
        <v>32613</v>
      </c>
      <c r="H6099" t="s">
        <v>14201</v>
      </c>
      <c r="I6099" t="s">
        <v>4120</v>
      </c>
      <c r="J6099" t="s">
        <v>32820</v>
      </c>
      <c r="K6099" t="s">
        <v>42630</v>
      </c>
      <c r="M6099" t="s">
        <v>45115</v>
      </c>
      <c r="N6099" t="s">
        <v>47304</v>
      </c>
      <c r="O6099" t="s">
        <v>47305</v>
      </c>
      <c r="P6099">
        <v>0</v>
      </c>
      <c r="Q6099">
        <v>1</v>
      </c>
      <c r="R6099" t="s">
        <v>47310</v>
      </c>
      <c r="S6099" t="s">
        <v>47435</v>
      </c>
      <c r="T6099" t="s">
        <v>49007</v>
      </c>
      <c r="U6099" t="s">
        <v>54647</v>
      </c>
      <c r="W6099" t="s">
        <v>45115</v>
      </c>
      <c r="X6099" t="s">
        <v>47311</v>
      </c>
    </row>
    <row r="6100" spans="1:24">
      <c r="A6100">
        <f>HYPERLINK("https://www.philgeps.gov.ph/GEPSNONPILOT/Tender/SplashBidNoticeAbstractUI.aspx?menuIndex=3&amp;refID=7193256&amp;Result=3","7193256")</f>
        <v>0</v>
      </c>
      <c r="B6100" t="s">
        <v>2039</v>
      </c>
      <c r="C6100" t="s">
        <v>9582</v>
      </c>
      <c r="D6100" t="s">
        <v>18993</v>
      </c>
      <c r="E6100" t="s">
        <v>24422</v>
      </c>
      <c r="F6100" t="s">
        <v>32608</v>
      </c>
      <c r="G6100" t="s">
        <v>32613</v>
      </c>
      <c r="H6100" t="s">
        <v>14201</v>
      </c>
      <c r="I6100" t="s">
        <v>32655</v>
      </c>
      <c r="J6100" t="s">
        <v>32765</v>
      </c>
      <c r="K6100" t="s">
        <v>42630</v>
      </c>
      <c r="M6100" t="s">
        <v>45115</v>
      </c>
      <c r="N6100" t="s">
        <v>47304</v>
      </c>
      <c r="O6100" t="s">
        <v>47305</v>
      </c>
      <c r="P6100">
        <v>0</v>
      </c>
      <c r="Q6100">
        <v>2</v>
      </c>
      <c r="R6100" t="s">
        <v>47310</v>
      </c>
      <c r="S6100" t="s">
        <v>47435</v>
      </c>
      <c r="T6100" t="s">
        <v>49007</v>
      </c>
      <c r="U6100" t="s">
        <v>54648</v>
      </c>
      <c r="W6100" t="s">
        <v>45115</v>
      </c>
      <c r="X6100" t="s">
        <v>47311</v>
      </c>
    </row>
    <row r="6101" spans="1:24">
      <c r="A6101">
        <f>HYPERLINK("https://www.philgeps.gov.ph/GEPSNONPILOT/Tender/SplashBidNoticeAbstractUI.aspx?menuIndex=3&amp;refID=7193220&amp;Result=3","7193220")</f>
        <v>0</v>
      </c>
      <c r="B6101" t="s">
        <v>1346</v>
      </c>
      <c r="C6101" t="s">
        <v>9583</v>
      </c>
      <c r="E6101" t="s">
        <v>9583</v>
      </c>
      <c r="F6101" t="s">
        <v>32606</v>
      </c>
      <c r="G6101" t="s">
        <v>32613</v>
      </c>
      <c r="H6101" t="s">
        <v>14201</v>
      </c>
      <c r="I6101" t="s">
        <v>32633</v>
      </c>
      <c r="J6101" t="s">
        <v>33102</v>
      </c>
      <c r="K6101" t="s">
        <v>42624</v>
      </c>
      <c r="M6101" t="s">
        <v>44320</v>
      </c>
      <c r="N6101" t="s">
        <v>47304</v>
      </c>
      <c r="O6101" t="s">
        <v>47305</v>
      </c>
      <c r="P6101">
        <v>0</v>
      </c>
      <c r="Q6101">
        <v>8</v>
      </c>
      <c r="R6101" t="s">
        <v>47310</v>
      </c>
      <c r="S6101" t="s">
        <v>47435</v>
      </c>
      <c r="T6101" t="s">
        <v>49009</v>
      </c>
      <c r="U6101" t="s">
        <v>54649</v>
      </c>
      <c r="W6101" t="s">
        <v>44320</v>
      </c>
      <c r="X6101" t="s">
        <v>47311</v>
      </c>
    </row>
    <row r="6102" spans="1:24">
      <c r="A6102">
        <f>HYPERLINK("https://www.philgeps.gov.ph/GEPSNONPILOT/Tender/SplashBidNoticeAbstractUI.aspx?menuIndex=3&amp;refID=7193217&amp;Result=3","7193217")</f>
        <v>0</v>
      </c>
      <c r="B6102" t="s">
        <v>963</v>
      </c>
      <c r="C6102" t="s">
        <v>9584</v>
      </c>
      <c r="D6102" t="s">
        <v>19024</v>
      </c>
      <c r="E6102" t="s">
        <v>24442</v>
      </c>
      <c r="F6102" t="s">
        <v>32606</v>
      </c>
      <c r="G6102" t="s">
        <v>32614</v>
      </c>
      <c r="H6102" t="s">
        <v>14201</v>
      </c>
      <c r="I6102" t="s">
        <v>32626</v>
      </c>
      <c r="J6102" t="s">
        <v>35401</v>
      </c>
      <c r="K6102" t="s">
        <v>42631</v>
      </c>
      <c r="M6102" t="s">
        <v>43908</v>
      </c>
      <c r="N6102" t="s">
        <v>47304</v>
      </c>
      <c r="O6102" t="s">
        <v>47305</v>
      </c>
      <c r="P6102">
        <v>0</v>
      </c>
      <c r="Q6102">
        <v>4</v>
      </c>
      <c r="R6102" t="s">
        <v>47310</v>
      </c>
      <c r="S6102" t="s">
        <v>47435</v>
      </c>
      <c r="T6102" t="s">
        <v>49061</v>
      </c>
      <c r="U6102" t="s">
        <v>54650</v>
      </c>
      <c r="W6102" t="s">
        <v>43908</v>
      </c>
      <c r="X6102" t="s">
        <v>47311</v>
      </c>
    </row>
    <row r="6103" spans="1:24">
      <c r="A6103">
        <f>HYPERLINK("https://www.philgeps.gov.ph/GEPSNONPILOT/Tender/SplashBidNoticeAbstractUI.aspx?menuIndex=3&amp;refID=7193225&amp;Result=3","7193225")</f>
        <v>0</v>
      </c>
      <c r="B6103" t="s">
        <v>2044</v>
      </c>
      <c r="C6103" t="s">
        <v>9585</v>
      </c>
      <c r="D6103" t="s">
        <v>19013</v>
      </c>
      <c r="E6103" t="s">
        <v>24443</v>
      </c>
      <c r="F6103" t="s">
        <v>32607</v>
      </c>
      <c r="G6103" t="s">
        <v>32614</v>
      </c>
      <c r="H6103" t="s">
        <v>14201</v>
      </c>
      <c r="I6103" t="s">
        <v>6931</v>
      </c>
      <c r="J6103" t="s">
        <v>32765</v>
      </c>
      <c r="K6103" t="s">
        <v>42630</v>
      </c>
      <c r="M6103" t="s">
        <v>45122</v>
      </c>
      <c r="N6103" t="s">
        <v>47304</v>
      </c>
      <c r="O6103" t="s">
        <v>47305</v>
      </c>
      <c r="P6103">
        <v>0</v>
      </c>
      <c r="Q6103">
        <v>1</v>
      </c>
      <c r="R6103" t="s">
        <v>47310</v>
      </c>
      <c r="S6103" t="s">
        <v>47435</v>
      </c>
      <c r="T6103" t="s">
        <v>48977</v>
      </c>
      <c r="U6103" t="s">
        <v>54651</v>
      </c>
      <c r="V6103" t="s">
        <v>63228</v>
      </c>
      <c r="W6103" t="s">
        <v>45122</v>
      </c>
      <c r="X6103" t="s">
        <v>47311</v>
      </c>
    </row>
    <row r="6104" spans="1:24">
      <c r="A6104">
        <f>HYPERLINK("https://www.philgeps.gov.ph/GEPSNONPILOT/Tender/SplashBidNoticeAbstractUI.aspx?menuIndex=3&amp;refID=7193249&amp;Result=3","7193249")</f>
        <v>0</v>
      </c>
      <c r="B6104" t="s">
        <v>1306</v>
      </c>
      <c r="C6104" t="s">
        <v>9586</v>
      </c>
      <c r="D6104" t="s">
        <v>19011</v>
      </c>
      <c r="E6104" t="s">
        <v>24444</v>
      </c>
      <c r="F6104" t="s">
        <v>32606</v>
      </c>
      <c r="G6104" t="s">
        <v>32613</v>
      </c>
      <c r="H6104" t="s">
        <v>14201</v>
      </c>
      <c r="I6104" t="s">
        <v>9013</v>
      </c>
      <c r="J6104" t="s">
        <v>33404</v>
      </c>
      <c r="K6104" t="s">
        <v>42636</v>
      </c>
      <c r="M6104" t="s">
        <v>45099</v>
      </c>
      <c r="N6104" t="s">
        <v>47304</v>
      </c>
      <c r="O6104" t="s">
        <v>47305</v>
      </c>
      <c r="P6104">
        <v>0</v>
      </c>
      <c r="Q6104">
        <v>6</v>
      </c>
      <c r="R6104" t="s">
        <v>47310</v>
      </c>
      <c r="S6104" t="s">
        <v>47435</v>
      </c>
      <c r="T6104" t="s">
        <v>49133</v>
      </c>
      <c r="U6104" t="s">
        <v>54652</v>
      </c>
      <c r="W6104" t="s">
        <v>45099</v>
      </c>
      <c r="X6104" t="s">
        <v>47311</v>
      </c>
    </row>
    <row r="6105" spans="1:24">
      <c r="A6105">
        <f>HYPERLINK("https://www.philgeps.gov.ph/GEPSNONPILOT/Tender/SplashBidNoticeAbstractUI.aspx?menuIndex=3&amp;refID=7193180&amp;Result=3","7193180")</f>
        <v>0</v>
      </c>
      <c r="B6105" t="s">
        <v>1028</v>
      </c>
      <c r="C6105" t="s">
        <v>9587</v>
      </c>
      <c r="D6105" t="s">
        <v>19008</v>
      </c>
      <c r="E6105" t="s">
        <v>24445</v>
      </c>
      <c r="F6105" t="s">
        <v>32606</v>
      </c>
      <c r="G6105" t="s">
        <v>32613</v>
      </c>
      <c r="H6105" t="s">
        <v>32623</v>
      </c>
      <c r="I6105" t="s">
        <v>17648</v>
      </c>
      <c r="J6105" t="s">
        <v>36703</v>
      </c>
      <c r="K6105" t="s">
        <v>42631</v>
      </c>
      <c r="M6105" t="s">
        <v>45123</v>
      </c>
      <c r="N6105" t="s">
        <v>47304</v>
      </c>
      <c r="O6105" t="s">
        <v>47305</v>
      </c>
      <c r="P6105">
        <v>0</v>
      </c>
      <c r="Q6105">
        <v>0</v>
      </c>
      <c r="R6105" t="s">
        <v>47310</v>
      </c>
      <c r="S6105" t="s">
        <v>47435</v>
      </c>
      <c r="T6105" t="s">
        <v>49084</v>
      </c>
      <c r="U6105" t="s">
        <v>54653</v>
      </c>
      <c r="W6105" t="s">
        <v>43981</v>
      </c>
      <c r="X6105" t="s">
        <v>47311</v>
      </c>
    </row>
    <row r="6106" spans="1:24">
      <c r="A6106">
        <f>HYPERLINK("https://www.philgeps.gov.ph/GEPSNONPILOT/Tender/SplashBidNoticeAbstractUI.aspx?menuIndex=3&amp;refID=7193258&amp;Result=3","7193258")</f>
        <v>0</v>
      </c>
      <c r="B6106" t="s">
        <v>1034</v>
      </c>
      <c r="C6106" t="s">
        <v>9588</v>
      </c>
      <c r="D6106" t="s">
        <v>19022</v>
      </c>
      <c r="E6106" t="s">
        <v>24446</v>
      </c>
      <c r="F6106" t="s">
        <v>32606</v>
      </c>
      <c r="G6106" t="s">
        <v>32619</v>
      </c>
      <c r="H6106" t="s">
        <v>14201</v>
      </c>
      <c r="I6106" t="s">
        <v>7677</v>
      </c>
      <c r="J6106" t="s">
        <v>32949</v>
      </c>
      <c r="K6106" t="s">
        <v>42631</v>
      </c>
      <c r="M6106" t="s">
        <v>45118</v>
      </c>
      <c r="N6106" t="s">
        <v>47304</v>
      </c>
      <c r="O6106" t="s">
        <v>47305</v>
      </c>
      <c r="Q6106">
        <v>3</v>
      </c>
      <c r="R6106" t="s">
        <v>47310</v>
      </c>
      <c r="S6106" t="s">
        <v>47440</v>
      </c>
      <c r="T6106" t="s">
        <v>49014</v>
      </c>
      <c r="U6106" t="s">
        <v>54635</v>
      </c>
      <c r="W6106" t="s">
        <v>45118</v>
      </c>
      <c r="X6106" t="s">
        <v>47311</v>
      </c>
    </row>
    <row r="6107" spans="1:24">
      <c r="A6107">
        <f>HYPERLINK("https://www.philgeps.gov.ph/GEPSNONPILOT/Tender/SplashBidNoticeAbstractUI.aspx?menuIndex=3&amp;refID=7193283&amp;Result=3","7193283")</f>
        <v>0</v>
      </c>
      <c r="B6107" t="s">
        <v>2039</v>
      </c>
      <c r="C6107" t="s">
        <v>9589</v>
      </c>
      <c r="D6107" t="s">
        <v>18993</v>
      </c>
      <c r="E6107" t="s">
        <v>24422</v>
      </c>
      <c r="F6107" t="s">
        <v>32608</v>
      </c>
      <c r="G6107" t="s">
        <v>32613</v>
      </c>
      <c r="H6107" t="s">
        <v>14201</v>
      </c>
      <c r="I6107" t="s">
        <v>32659</v>
      </c>
      <c r="J6107" t="s">
        <v>36704</v>
      </c>
      <c r="K6107" t="s">
        <v>42630</v>
      </c>
      <c r="M6107" t="s">
        <v>45115</v>
      </c>
      <c r="N6107" t="s">
        <v>47304</v>
      </c>
      <c r="O6107" t="s">
        <v>47305</v>
      </c>
      <c r="P6107">
        <v>0</v>
      </c>
      <c r="Q6107">
        <v>0</v>
      </c>
      <c r="R6107" t="s">
        <v>47310</v>
      </c>
      <c r="S6107" t="s">
        <v>47435</v>
      </c>
      <c r="T6107" t="s">
        <v>49007</v>
      </c>
      <c r="U6107" t="s">
        <v>54654</v>
      </c>
      <c r="W6107" t="s">
        <v>45115</v>
      </c>
      <c r="X6107" t="s">
        <v>47311</v>
      </c>
    </row>
    <row r="6108" spans="1:24">
      <c r="A6108">
        <f>HYPERLINK("https://www.philgeps.gov.ph/GEPSNONPILOT/Tender/SplashBidNoticeAbstractUI.aspx?menuIndex=3&amp;refID=7193221&amp;Result=3","7193221")</f>
        <v>0</v>
      </c>
      <c r="B6108" t="s">
        <v>1306</v>
      </c>
      <c r="C6108" t="s">
        <v>9590</v>
      </c>
      <c r="D6108" t="s">
        <v>19011</v>
      </c>
      <c r="E6108" t="s">
        <v>24447</v>
      </c>
      <c r="F6108" t="s">
        <v>32606</v>
      </c>
      <c r="G6108" t="s">
        <v>32613</v>
      </c>
      <c r="H6108" t="s">
        <v>14201</v>
      </c>
      <c r="I6108" t="s">
        <v>32686</v>
      </c>
      <c r="J6108" t="s">
        <v>36705</v>
      </c>
      <c r="K6108" t="s">
        <v>42636</v>
      </c>
      <c r="M6108" t="s">
        <v>45099</v>
      </c>
      <c r="N6108" t="s">
        <v>47304</v>
      </c>
      <c r="O6108" t="s">
        <v>47305</v>
      </c>
      <c r="P6108">
        <v>0</v>
      </c>
      <c r="Q6108">
        <v>5</v>
      </c>
      <c r="R6108" t="s">
        <v>47310</v>
      </c>
      <c r="S6108" t="s">
        <v>47435</v>
      </c>
      <c r="T6108" t="s">
        <v>49133</v>
      </c>
      <c r="U6108" t="s">
        <v>54569</v>
      </c>
      <c r="W6108" t="s">
        <v>45099</v>
      </c>
      <c r="X6108" t="s">
        <v>47311</v>
      </c>
    </row>
    <row r="6109" spans="1:24">
      <c r="A6109">
        <f>HYPERLINK("https://www.philgeps.gov.ph/GEPSNONPILOT/Tender/SplashBidNoticeAbstractUI.aspx?menuIndex=3&amp;refID=7193325&amp;Result=3","7193325")</f>
        <v>0</v>
      </c>
      <c r="B6109" t="s">
        <v>1937</v>
      </c>
      <c r="C6109" t="s">
        <v>9591</v>
      </c>
      <c r="D6109" t="s">
        <v>19065</v>
      </c>
      <c r="E6109" t="s">
        <v>24448</v>
      </c>
      <c r="F6109" t="s">
        <v>32606</v>
      </c>
      <c r="G6109" t="s">
        <v>32613</v>
      </c>
      <c r="H6109" t="s">
        <v>14201</v>
      </c>
      <c r="I6109" t="s">
        <v>6931</v>
      </c>
      <c r="J6109" t="s">
        <v>36706</v>
      </c>
      <c r="K6109" t="s">
        <v>42623</v>
      </c>
      <c r="M6109" t="s">
        <v>44998</v>
      </c>
      <c r="N6109" t="s">
        <v>47304</v>
      </c>
      <c r="O6109" t="s">
        <v>47305</v>
      </c>
      <c r="P6109">
        <v>0</v>
      </c>
      <c r="Q6109">
        <v>0</v>
      </c>
      <c r="R6109" t="s">
        <v>47310</v>
      </c>
      <c r="S6109" t="s">
        <v>47435</v>
      </c>
      <c r="T6109" t="s">
        <v>49002</v>
      </c>
      <c r="U6109" t="s">
        <v>54655</v>
      </c>
      <c r="W6109" t="s">
        <v>44998</v>
      </c>
      <c r="X6109" t="s">
        <v>47311</v>
      </c>
    </row>
    <row r="6110" spans="1:24">
      <c r="A6110">
        <f>HYPERLINK("https://www.philgeps.gov.ph/GEPSNONPILOT/Tender/SplashBidNoticeAbstractUI.aspx?menuIndex=3&amp;refID=7193322&amp;Result=3","7193322")</f>
        <v>0</v>
      </c>
      <c r="B6110" t="s">
        <v>1306</v>
      </c>
      <c r="C6110" t="s">
        <v>9592</v>
      </c>
      <c r="D6110" t="s">
        <v>19011</v>
      </c>
      <c r="E6110" t="s">
        <v>24449</v>
      </c>
      <c r="F6110" t="s">
        <v>32606</v>
      </c>
      <c r="G6110" t="s">
        <v>32613</v>
      </c>
      <c r="H6110" t="s">
        <v>14201</v>
      </c>
      <c r="I6110" t="s">
        <v>9013</v>
      </c>
      <c r="J6110" t="s">
        <v>36707</v>
      </c>
      <c r="K6110" t="s">
        <v>42636</v>
      </c>
      <c r="M6110" t="s">
        <v>45099</v>
      </c>
      <c r="N6110" t="s">
        <v>47304</v>
      </c>
      <c r="O6110" t="s">
        <v>47305</v>
      </c>
      <c r="P6110">
        <v>0</v>
      </c>
      <c r="Q6110">
        <v>1</v>
      </c>
      <c r="R6110" t="s">
        <v>47310</v>
      </c>
      <c r="S6110" t="s">
        <v>47435</v>
      </c>
      <c r="T6110" t="s">
        <v>49133</v>
      </c>
      <c r="U6110" t="s">
        <v>54652</v>
      </c>
      <c r="W6110" t="s">
        <v>45099</v>
      </c>
      <c r="X6110" t="s">
        <v>47311</v>
      </c>
    </row>
    <row r="6111" spans="1:24">
      <c r="A6111">
        <f>HYPERLINK("https://www.philgeps.gov.ph/GEPSNONPILOT/Tender/SplashBidNoticeAbstractUI.aspx?menuIndex=3&amp;refID=7193321&amp;Result=3","7193321")</f>
        <v>0</v>
      </c>
      <c r="B6111" t="s">
        <v>615</v>
      </c>
      <c r="C6111" t="s">
        <v>9593</v>
      </c>
      <c r="D6111" t="s">
        <v>19065</v>
      </c>
      <c r="E6111" t="s">
        <v>24450</v>
      </c>
      <c r="F6111" t="s">
        <v>32606</v>
      </c>
      <c r="G6111" t="s">
        <v>32617</v>
      </c>
      <c r="H6111" t="s">
        <v>14201</v>
      </c>
      <c r="I6111" t="s">
        <v>4120</v>
      </c>
      <c r="J6111" t="s">
        <v>32789</v>
      </c>
      <c r="K6111" t="s">
        <v>42630</v>
      </c>
      <c r="M6111" t="s">
        <v>43533</v>
      </c>
      <c r="N6111" t="s">
        <v>47304</v>
      </c>
      <c r="O6111" t="s">
        <v>47305</v>
      </c>
      <c r="P6111">
        <v>0</v>
      </c>
      <c r="Q6111">
        <v>1</v>
      </c>
      <c r="R6111" t="s">
        <v>47310</v>
      </c>
      <c r="S6111" t="s">
        <v>47435</v>
      </c>
      <c r="T6111" t="s">
        <v>49269</v>
      </c>
      <c r="U6111" t="s">
        <v>54656</v>
      </c>
      <c r="W6111" t="s">
        <v>43533</v>
      </c>
      <c r="X6111" t="s">
        <v>47311</v>
      </c>
    </row>
    <row r="6112" spans="1:24">
      <c r="A6112">
        <f>HYPERLINK("https://www.philgeps.gov.ph/GEPSNONPILOT/Tender/SplashBidNoticeAbstractUI.aspx?menuIndex=3&amp;refID=7193179&amp;Result=3","7193179")</f>
        <v>0</v>
      </c>
      <c r="B6112" t="s">
        <v>1346</v>
      </c>
      <c r="C6112" t="s">
        <v>9594</v>
      </c>
      <c r="E6112" t="s">
        <v>24451</v>
      </c>
      <c r="F6112" t="s">
        <v>32606</v>
      </c>
      <c r="G6112" t="s">
        <v>32613</v>
      </c>
      <c r="H6112" t="s">
        <v>14201</v>
      </c>
      <c r="I6112" t="s">
        <v>7677</v>
      </c>
      <c r="J6112" t="s">
        <v>36708</v>
      </c>
      <c r="K6112" t="s">
        <v>42624</v>
      </c>
      <c r="M6112" t="s">
        <v>44320</v>
      </c>
      <c r="N6112" t="s">
        <v>47304</v>
      </c>
      <c r="O6112" t="s">
        <v>47305</v>
      </c>
      <c r="P6112">
        <v>0</v>
      </c>
      <c r="Q6112">
        <v>7</v>
      </c>
      <c r="R6112" t="s">
        <v>47310</v>
      </c>
      <c r="S6112" t="s">
        <v>47435</v>
      </c>
      <c r="T6112" t="s">
        <v>49009</v>
      </c>
      <c r="U6112" t="s">
        <v>54657</v>
      </c>
      <c r="W6112" t="s">
        <v>44320</v>
      </c>
      <c r="X6112" t="s">
        <v>47311</v>
      </c>
    </row>
    <row r="6113" spans="1:24">
      <c r="A6113">
        <f>HYPERLINK("https://www.philgeps.gov.ph/GEPSNONPILOT/Tender/SplashBidNoticeAbstractUI.aspx?menuIndex=3&amp;refID=7193317&amp;Result=3","7193317")</f>
        <v>0</v>
      </c>
      <c r="B6113" t="s">
        <v>2042</v>
      </c>
      <c r="C6113" t="s">
        <v>9595</v>
      </c>
      <c r="D6113" t="s">
        <v>19070</v>
      </c>
      <c r="E6113" t="s">
        <v>24452</v>
      </c>
      <c r="F6113" t="s">
        <v>32606</v>
      </c>
      <c r="G6113" t="s">
        <v>32613</v>
      </c>
      <c r="H6113" t="s">
        <v>14201</v>
      </c>
      <c r="I6113" t="s">
        <v>8606</v>
      </c>
      <c r="J6113" t="s">
        <v>36709</v>
      </c>
      <c r="K6113" t="s">
        <v>42697</v>
      </c>
      <c r="M6113" t="s">
        <v>45120</v>
      </c>
      <c r="N6113" t="s">
        <v>47304</v>
      </c>
      <c r="O6113" t="s">
        <v>47305</v>
      </c>
      <c r="P6113">
        <v>0</v>
      </c>
      <c r="Q6113">
        <v>2</v>
      </c>
      <c r="R6113" t="s">
        <v>47310</v>
      </c>
      <c r="S6113" t="s">
        <v>47435</v>
      </c>
      <c r="T6113" t="s">
        <v>49086</v>
      </c>
      <c r="U6113" t="s">
        <v>54658</v>
      </c>
      <c r="V6113" t="s">
        <v>63229</v>
      </c>
      <c r="W6113" t="s">
        <v>45120</v>
      </c>
      <c r="X6113" t="s">
        <v>47311</v>
      </c>
    </row>
    <row r="6114" spans="1:24">
      <c r="A6114">
        <f>HYPERLINK("https://www.philgeps.gov.ph/GEPSNONPILOT/Tender/SplashBidNoticeAbstractUI.aspx?menuIndex=3&amp;refID=7193320&amp;Result=3","7193320")</f>
        <v>0</v>
      </c>
      <c r="B6114" t="s">
        <v>2045</v>
      </c>
      <c r="C6114" t="s">
        <v>6298</v>
      </c>
      <c r="D6114" t="s">
        <v>18995</v>
      </c>
      <c r="E6114" t="s">
        <v>24453</v>
      </c>
      <c r="F6114" t="s">
        <v>32606</v>
      </c>
      <c r="G6114" t="s">
        <v>32613</v>
      </c>
      <c r="H6114" t="s">
        <v>14201</v>
      </c>
      <c r="I6114" t="s">
        <v>6298</v>
      </c>
      <c r="J6114" t="s">
        <v>32789</v>
      </c>
      <c r="K6114" t="s">
        <v>42630</v>
      </c>
      <c r="M6114" t="s">
        <v>45124</v>
      </c>
      <c r="N6114" t="s">
        <v>47304</v>
      </c>
      <c r="O6114" t="s">
        <v>47305</v>
      </c>
      <c r="P6114">
        <v>0</v>
      </c>
      <c r="Q6114">
        <v>2</v>
      </c>
      <c r="R6114" t="s">
        <v>47310</v>
      </c>
      <c r="S6114" t="s">
        <v>47435</v>
      </c>
      <c r="T6114" t="s">
        <v>48975</v>
      </c>
      <c r="U6114" t="s">
        <v>54659</v>
      </c>
      <c r="W6114" t="s">
        <v>45124</v>
      </c>
      <c r="X6114" t="s">
        <v>47311</v>
      </c>
    </row>
    <row r="6115" spans="1:24">
      <c r="A6115">
        <f>HYPERLINK("https://www.philgeps.gov.ph/GEPSNONPILOT/Tender/SplashBidNoticeAbstractUI.aspx?menuIndex=3&amp;refID=7193178&amp;Result=3","7193178")</f>
        <v>0</v>
      </c>
      <c r="B6115" t="s">
        <v>1937</v>
      </c>
      <c r="C6115" t="s">
        <v>9596</v>
      </c>
      <c r="D6115" t="s">
        <v>19065</v>
      </c>
      <c r="E6115" t="s">
        <v>24454</v>
      </c>
      <c r="F6115" t="s">
        <v>32606</v>
      </c>
      <c r="G6115" t="s">
        <v>32613</v>
      </c>
      <c r="H6115" t="s">
        <v>14201</v>
      </c>
      <c r="I6115" t="s">
        <v>6931</v>
      </c>
      <c r="J6115" t="s">
        <v>36710</v>
      </c>
      <c r="K6115" t="s">
        <v>42623</v>
      </c>
      <c r="M6115" t="s">
        <v>44998</v>
      </c>
      <c r="N6115" t="s">
        <v>47304</v>
      </c>
      <c r="O6115" t="s">
        <v>47305</v>
      </c>
      <c r="P6115">
        <v>0</v>
      </c>
      <c r="Q6115">
        <v>0</v>
      </c>
      <c r="R6115" t="s">
        <v>47310</v>
      </c>
      <c r="S6115" t="s">
        <v>47435</v>
      </c>
      <c r="T6115" t="s">
        <v>49002</v>
      </c>
      <c r="U6115" t="s">
        <v>54660</v>
      </c>
      <c r="W6115" t="s">
        <v>44998</v>
      </c>
      <c r="X6115" t="s">
        <v>47311</v>
      </c>
    </row>
    <row r="6116" spans="1:24">
      <c r="A6116">
        <f>HYPERLINK("https://www.philgeps.gov.ph/GEPSNONPILOT/Tender/SplashBidNoticeAbstractUI.aspx?menuIndex=3&amp;refID=7193309&amp;Result=3","7193309")</f>
        <v>0</v>
      </c>
      <c r="B6116" t="s">
        <v>2042</v>
      </c>
      <c r="C6116" t="s">
        <v>9597</v>
      </c>
      <c r="D6116" t="s">
        <v>19070</v>
      </c>
      <c r="E6116" t="s">
        <v>24455</v>
      </c>
      <c r="F6116" t="s">
        <v>32606</v>
      </c>
      <c r="G6116" t="s">
        <v>32613</v>
      </c>
      <c r="H6116" t="s">
        <v>14201</v>
      </c>
      <c r="I6116" t="s">
        <v>7064</v>
      </c>
      <c r="J6116" t="s">
        <v>36711</v>
      </c>
      <c r="K6116" t="s">
        <v>42697</v>
      </c>
      <c r="M6116" t="s">
        <v>45120</v>
      </c>
      <c r="N6116" t="s">
        <v>47304</v>
      </c>
      <c r="O6116" t="s">
        <v>47305</v>
      </c>
      <c r="P6116">
        <v>0</v>
      </c>
      <c r="Q6116">
        <v>8</v>
      </c>
      <c r="R6116" t="s">
        <v>47310</v>
      </c>
      <c r="S6116" t="s">
        <v>47435</v>
      </c>
      <c r="T6116" t="s">
        <v>49086</v>
      </c>
      <c r="U6116" t="s">
        <v>54658</v>
      </c>
      <c r="V6116" t="s">
        <v>63229</v>
      </c>
      <c r="W6116" t="s">
        <v>45120</v>
      </c>
      <c r="X6116" t="s">
        <v>47311</v>
      </c>
    </row>
    <row r="6117" spans="1:24">
      <c r="A6117">
        <f>HYPERLINK("https://www.philgeps.gov.ph/GEPSNONPILOT/Tender/SplashBidNoticeAbstractUI.aspx?menuIndex=3&amp;refID=7193318&amp;Result=3","7193318")</f>
        <v>0</v>
      </c>
      <c r="B6117" t="s">
        <v>2042</v>
      </c>
      <c r="C6117" t="s">
        <v>9598</v>
      </c>
      <c r="D6117" t="s">
        <v>19070</v>
      </c>
      <c r="E6117" t="s">
        <v>24456</v>
      </c>
      <c r="F6117" t="s">
        <v>32606</v>
      </c>
      <c r="G6117" t="s">
        <v>32613</v>
      </c>
      <c r="H6117" t="s">
        <v>14201</v>
      </c>
      <c r="I6117" t="s">
        <v>6298</v>
      </c>
      <c r="J6117" t="s">
        <v>36712</v>
      </c>
      <c r="K6117" t="s">
        <v>42697</v>
      </c>
      <c r="M6117" t="s">
        <v>45120</v>
      </c>
      <c r="N6117" t="s">
        <v>47304</v>
      </c>
      <c r="O6117" t="s">
        <v>47305</v>
      </c>
      <c r="P6117">
        <v>0</v>
      </c>
      <c r="Q6117">
        <v>2</v>
      </c>
      <c r="R6117" t="s">
        <v>47310</v>
      </c>
      <c r="S6117" t="s">
        <v>47435</v>
      </c>
      <c r="T6117" t="s">
        <v>49086</v>
      </c>
      <c r="U6117" t="s">
        <v>54658</v>
      </c>
      <c r="V6117" t="s">
        <v>63230</v>
      </c>
      <c r="W6117" t="s">
        <v>45120</v>
      </c>
      <c r="X6117" t="s">
        <v>47311</v>
      </c>
    </row>
    <row r="6118" spans="1:24">
      <c r="A6118">
        <f>HYPERLINK("https://www.philgeps.gov.ph/GEPSNONPILOT/Tender/SplashBidNoticeAbstractUI.aspx?menuIndex=3&amp;refID=7193295&amp;Result=3","7193295")</f>
        <v>0</v>
      </c>
      <c r="B6118" t="s">
        <v>2042</v>
      </c>
      <c r="C6118" t="s">
        <v>9599</v>
      </c>
      <c r="D6118" t="s">
        <v>19070</v>
      </c>
      <c r="E6118" t="s">
        <v>24457</v>
      </c>
      <c r="F6118" t="s">
        <v>32606</v>
      </c>
      <c r="G6118" t="s">
        <v>32619</v>
      </c>
      <c r="H6118" t="s">
        <v>14201</v>
      </c>
      <c r="I6118" t="s">
        <v>32640</v>
      </c>
      <c r="J6118" t="s">
        <v>33009</v>
      </c>
      <c r="K6118" t="s">
        <v>42622</v>
      </c>
      <c r="M6118" t="s">
        <v>45120</v>
      </c>
      <c r="N6118" t="s">
        <v>47304</v>
      </c>
      <c r="O6118" t="s">
        <v>47305</v>
      </c>
      <c r="P6118">
        <v>0</v>
      </c>
      <c r="Q6118">
        <v>0</v>
      </c>
      <c r="R6118" t="s">
        <v>47310</v>
      </c>
      <c r="S6118" t="s">
        <v>47435</v>
      </c>
      <c r="T6118" t="s">
        <v>49053</v>
      </c>
      <c r="U6118" t="s">
        <v>54641</v>
      </c>
      <c r="W6118" t="s">
        <v>45120</v>
      </c>
      <c r="X6118" t="s">
        <v>47311</v>
      </c>
    </row>
    <row r="6119" spans="1:24">
      <c r="A6119">
        <f>HYPERLINK("https://www.philgeps.gov.ph/GEPSNONPILOT/Tender/SplashBidNoticeAbstractUI.aspx?menuIndex=3&amp;refID=7193224&amp;Result=3","7193224")</f>
        <v>0</v>
      </c>
      <c r="B6119" t="s">
        <v>2046</v>
      </c>
      <c r="C6119" t="s">
        <v>9600</v>
      </c>
      <c r="D6119" t="s">
        <v>19024</v>
      </c>
      <c r="E6119" t="s">
        <v>24458</v>
      </c>
      <c r="F6119" t="s">
        <v>32607</v>
      </c>
      <c r="G6119" t="s">
        <v>32613</v>
      </c>
      <c r="H6119" t="s">
        <v>14201</v>
      </c>
      <c r="I6119" t="s">
        <v>4121</v>
      </c>
      <c r="J6119" t="s">
        <v>32752</v>
      </c>
      <c r="K6119" t="s">
        <v>42624</v>
      </c>
      <c r="M6119" t="s">
        <v>45125</v>
      </c>
      <c r="N6119" t="s">
        <v>47304</v>
      </c>
      <c r="O6119" t="s">
        <v>47305</v>
      </c>
      <c r="P6119">
        <v>0</v>
      </c>
      <c r="Q6119">
        <v>0</v>
      </c>
      <c r="R6119" t="s">
        <v>47310</v>
      </c>
      <c r="S6119" t="s">
        <v>47435</v>
      </c>
      <c r="T6119" t="s">
        <v>49148</v>
      </c>
      <c r="U6119" t="s">
        <v>54661</v>
      </c>
      <c r="W6119" t="s">
        <v>45125</v>
      </c>
      <c r="X6119" t="s">
        <v>47311</v>
      </c>
    </row>
    <row r="6120" spans="1:24">
      <c r="A6120">
        <f>HYPERLINK("https://www.philgeps.gov.ph/GEPSNONPILOT/Tender/SplashBidNoticeAbstractUI.aspx?menuIndex=3&amp;refID=7193294&amp;Result=3","7193294")</f>
        <v>0</v>
      </c>
      <c r="B6120" t="s">
        <v>569</v>
      </c>
      <c r="C6120" t="s">
        <v>9601</v>
      </c>
      <c r="D6120" t="s">
        <v>18993</v>
      </c>
      <c r="E6120" t="s">
        <v>24459</v>
      </c>
      <c r="F6120" t="s">
        <v>32606</v>
      </c>
      <c r="G6120" t="s">
        <v>32619</v>
      </c>
      <c r="H6120" t="s">
        <v>14201</v>
      </c>
      <c r="I6120" t="s">
        <v>32638</v>
      </c>
      <c r="J6120" t="s">
        <v>34729</v>
      </c>
      <c r="K6120" t="s">
        <v>42623</v>
      </c>
      <c r="M6120" t="s">
        <v>43484</v>
      </c>
      <c r="N6120" t="s">
        <v>47304</v>
      </c>
      <c r="O6120" t="s">
        <v>47305</v>
      </c>
      <c r="P6120">
        <v>0</v>
      </c>
      <c r="Q6120">
        <v>1</v>
      </c>
      <c r="R6120" t="s">
        <v>47310</v>
      </c>
      <c r="S6120" t="s">
        <v>47435</v>
      </c>
      <c r="T6120" t="s">
        <v>49020</v>
      </c>
      <c r="U6120" t="s">
        <v>54662</v>
      </c>
      <c r="V6120" t="s">
        <v>63227</v>
      </c>
      <c r="W6120" t="s">
        <v>64492</v>
      </c>
      <c r="X6120" t="s">
        <v>47311</v>
      </c>
    </row>
    <row r="6121" spans="1:24">
      <c r="A6121">
        <f>HYPERLINK("https://www.philgeps.gov.ph/GEPSNONPILOT/Tender/SplashBidNoticeAbstractUI.aspx?menuIndex=3&amp;refID=7193290&amp;Result=3","7193290")</f>
        <v>0</v>
      </c>
      <c r="B6121" t="s">
        <v>2039</v>
      </c>
      <c r="C6121" t="s">
        <v>9602</v>
      </c>
      <c r="D6121" t="s">
        <v>18993</v>
      </c>
      <c r="E6121" t="s">
        <v>24422</v>
      </c>
      <c r="F6121" t="s">
        <v>32608</v>
      </c>
      <c r="G6121" t="s">
        <v>32613</v>
      </c>
      <c r="H6121" t="s">
        <v>14201</v>
      </c>
      <c r="I6121" t="s">
        <v>32655</v>
      </c>
      <c r="J6121" t="s">
        <v>32765</v>
      </c>
      <c r="K6121" t="s">
        <v>42630</v>
      </c>
      <c r="M6121" t="s">
        <v>45115</v>
      </c>
      <c r="N6121" t="s">
        <v>47304</v>
      </c>
      <c r="O6121" t="s">
        <v>47305</v>
      </c>
      <c r="P6121">
        <v>0</v>
      </c>
      <c r="Q6121">
        <v>1</v>
      </c>
      <c r="R6121" t="s">
        <v>47310</v>
      </c>
      <c r="S6121" t="s">
        <v>47435</v>
      </c>
      <c r="T6121" t="s">
        <v>49007</v>
      </c>
      <c r="U6121" t="s">
        <v>54663</v>
      </c>
      <c r="W6121" t="s">
        <v>45115</v>
      </c>
      <c r="X6121" t="s">
        <v>47311</v>
      </c>
    </row>
    <row r="6122" spans="1:24">
      <c r="A6122">
        <f>HYPERLINK("https://www.philgeps.gov.ph/GEPSNONPILOT/Tender/SplashBidNoticeAbstractUI.aspx?menuIndex=3&amp;refID=7193314&amp;Result=3","7193314")</f>
        <v>0</v>
      </c>
      <c r="B6122" t="s">
        <v>1306</v>
      </c>
      <c r="C6122" t="s">
        <v>9603</v>
      </c>
      <c r="D6122" t="s">
        <v>19011</v>
      </c>
      <c r="E6122" t="s">
        <v>24460</v>
      </c>
      <c r="F6122" t="s">
        <v>32606</v>
      </c>
      <c r="G6122" t="s">
        <v>32613</v>
      </c>
      <c r="H6122" t="s">
        <v>14201</v>
      </c>
      <c r="I6122" t="s">
        <v>9013</v>
      </c>
      <c r="J6122" t="s">
        <v>36713</v>
      </c>
      <c r="K6122" t="s">
        <v>42636</v>
      </c>
      <c r="M6122" t="s">
        <v>45099</v>
      </c>
      <c r="N6122" t="s">
        <v>47304</v>
      </c>
      <c r="O6122" t="s">
        <v>47305</v>
      </c>
      <c r="P6122">
        <v>0</v>
      </c>
      <c r="Q6122">
        <v>2</v>
      </c>
      <c r="R6122" t="s">
        <v>47310</v>
      </c>
      <c r="S6122" t="s">
        <v>47435</v>
      </c>
      <c r="T6122" t="s">
        <v>49133</v>
      </c>
      <c r="U6122" t="s">
        <v>54652</v>
      </c>
      <c r="W6122" t="s">
        <v>45099</v>
      </c>
      <c r="X6122" t="s">
        <v>47311</v>
      </c>
    </row>
    <row r="6123" spans="1:24">
      <c r="A6123">
        <f>HYPERLINK("https://www.philgeps.gov.ph/GEPSNONPILOT/Tender/SplashBidNoticeAbstractUI.aspx?menuIndex=3&amp;refID=7193288&amp;Result=3","7193288")</f>
        <v>0</v>
      </c>
      <c r="B6123" t="s">
        <v>2042</v>
      </c>
      <c r="C6123" t="s">
        <v>9604</v>
      </c>
      <c r="D6123" t="s">
        <v>19070</v>
      </c>
      <c r="E6123" t="s">
        <v>24461</v>
      </c>
      <c r="F6123" t="s">
        <v>32606</v>
      </c>
      <c r="G6123" t="s">
        <v>32619</v>
      </c>
      <c r="H6123" t="s">
        <v>14201</v>
      </c>
      <c r="I6123" t="s">
        <v>32640</v>
      </c>
      <c r="J6123" t="s">
        <v>33147</v>
      </c>
      <c r="K6123" t="s">
        <v>42627</v>
      </c>
      <c r="M6123" t="s">
        <v>45120</v>
      </c>
      <c r="N6123" t="s">
        <v>47304</v>
      </c>
      <c r="O6123" t="s">
        <v>47305</v>
      </c>
      <c r="P6123">
        <v>0</v>
      </c>
      <c r="Q6123">
        <v>0</v>
      </c>
      <c r="R6123" t="s">
        <v>47310</v>
      </c>
      <c r="S6123" t="s">
        <v>47435</v>
      </c>
      <c r="T6123" t="s">
        <v>49053</v>
      </c>
      <c r="U6123" t="s">
        <v>54641</v>
      </c>
      <c r="W6123" t="s">
        <v>45120</v>
      </c>
      <c r="X6123" t="s">
        <v>47311</v>
      </c>
    </row>
    <row r="6124" spans="1:24">
      <c r="A6124">
        <f>HYPERLINK("https://www.philgeps.gov.ph/GEPSNONPILOT/Tender/SplashBidNoticeAbstractUI.aspx?menuIndex=3&amp;refID=7193287&amp;Result=3","7193287")</f>
        <v>0</v>
      </c>
      <c r="B6124" t="s">
        <v>2039</v>
      </c>
      <c r="C6124" t="s">
        <v>9581</v>
      </c>
      <c r="D6124" t="s">
        <v>18993</v>
      </c>
      <c r="E6124" t="s">
        <v>24422</v>
      </c>
      <c r="F6124" t="s">
        <v>32608</v>
      </c>
      <c r="G6124" t="s">
        <v>32613</v>
      </c>
      <c r="H6124" t="s">
        <v>14201</v>
      </c>
      <c r="I6124" t="s">
        <v>4114</v>
      </c>
      <c r="J6124" t="s">
        <v>36714</v>
      </c>
      <c r="K6124" t="s">
        <v>42630</v>
      </c>
      <c r="M6124" t="s">
        <v>45115</v>
      </c>
      <c r="N6124" t="s">
        <v>47304</v>
      </c>
      <c r="O6124" t="s">
        <v>47305</v>
      </c>
      <c r="P6124">
        <v>0</v>
      </c>
      <c r="Q6124">
        <v>3</v>
      </c>
      <c r="R6124" t="s">
        <v>47310</v>
      </c>
      <c r="S6124" t="s">
        <v>47435</v>
      </c>
      <c r="T6124" t="s">
        <v>49007</v>
      </c>
      <c r="U6124" t="s">
        <v>54647</v>
      </c>
      <c r="W6124" t="s">
        <v>45115</v>
      </c>
      <c r="X6124" t="s">
        <v>47311</v>
      </c>
    </row>
    <row r="6125" spans="1:24">
      <c r="A6125">
        <f>HYPERLINK("https://www.philgeps.gov.ph/GEPSNONPILOT/Tender/SplashBidNoticeAbstractUI.aspx?menuIndex=3&amp;refID=7193284&amp;Result=3","7193284")</f>
        <v>0</v>
      </c>
      <c r="B6125" t="s">
        <v>2042</v>
      </c>
      <c r="C6125" t="s">
        <v>9605</v>
      </c>
      <c r="D6125" t="s">
        <v>19070</v>
      </c>
      <c r="E6125" t="s">
        <v>24462</v>
      </c>
      <c r="F6125" t="s">
        <v>32606</v>
      </c>
      <c r="G6125" t="s">
        <v>32619</v>
      </c>
      <c r="H6125" t="s">
        <v>14201</v>
      </c>
      <c r="I6125" t="s">
        <v>4112</v>
      </c>
      <c r="J6125" t="s">
        <v>36715</v>
      </c>
      <c r="K6125" t="s">
        <v>42627</v>
      </c>
      <c r="M6125" t="s">
        <v>45120</v>
      </c>
      <c r="N6125" t="s">
        <v>47304</v>
      </c>
      <c r="O6125" t="s">
        <v>47305</v>
      </c>
      <c r="P6125">
        <v>0</v>
      </c>
      <c r="Q6125">
        <v>1</v>
      </c>
      <c r="R6125" t="s">
        <v>47310</v>
      </c>
      <c r="S6125" t="s">
        <v>47435</v>
      </c>
      <c r="T6125" t="s">
        <v>49053</v>
      </c>
      <c r="U6125" t="s">
        <v>54641</v>
      </c>
      <c r="W6125" t="s">
        <v>45120</v>
      </c>
      <c r="X6125" t="s">
        <v>47311</v>
      </c>
    </row>
    <row r="6126" spans="1:24">
      <c r="A6126">
        <f>HYPERLINK("https://www.philgeps.gov.ph/GEPSNONPILOT/Tender/SplashBidNoticeAbstractUI.aspx?menuIndex=3&amp;refID=7193281&amp;Result=3","7193281")</f>
        <v>0</v>
      </c>
      <c r="B6126" t="s">
        <v>2042</v>
      </c>
      <c r="C6126" t="s">
        <v>9606</v>
      </c>
      <c r="D6126" t="s">
        <v>19070</v>
      </c>
      <c r="E6126" t="s">
        <v>24463</v>
      </c>
      <c r="F6126" t="s">
        <v>32606</v>
      </c>
      <c r="G6126" t="s">
        <v>32619</v>
      </c>
      <c r="H6126" t="s">
        <v>14201</v>
      </c>
      <c r="I6126" t="s">
        <v>32640</v>
      </c>
      <c r="J6126" t="s">
        <v>32813</v>
      </c>
      <c r="K6126" t="s">
        <v>42622</v>
      </c>
      <c r="M6126" t="s">
        <v>45120</v>
      </c>
      <c r="N6126" t="s">
        <v>47304</v>
      </c>
      <c r="O6126" t="s">
        <v>47305</v>
      </c>
      <c r="P6126">
        <v>0</v>
      </c>
      <c r="Q6126">
        <v>2</v>
      </c>
      <c r="R6126" t="s">
        <v>47310</v>
      </c>
      <c r="S6126" t="s">
        <v>47435</v>
      </c>
      <c r="T6126" t="s">
        <v>49053</v>
      </c>
      <c r="U6126" t="s">
        <v>54641</v>
      </c>
      <c r="W6126" t="s">
        <v>45120</v>
      </c>
      <c r="X6126" t="s">
        <v>47311</v>
      </c>
    </row>
    <row r="6127" spans="1:24">
      <c r="A6127">
        <f>HYPERLINK("https://www.philgeps.gov.ph/GEPSNONPILOT/Tender/SplashBidNoticeAbstractUI.aspx?menuIndex=3&amp;refID=7193170&amp;Result=3","7193170")</f>
        <v>0</v>
      </c>
      <c r="B6127" t="s">
        <v>1937</v>
      </c>
      <c r="C6127" t="s">
        <v>9607</v>
      </c>
      <c r="D6127" t="s">
        <v>19065</v>
      </c>
      <c r="E6127" t="s">
        <v>24464</v>
      </c>
      <c r="F6127" t="s">
        <v>32606</v>
      </c>
      <c r="G6127" t="s">
        <v>32613</v>
      </c>
      <c r="H6127" t="s">
        <v>32623</v>
      </c>
      <c r="I6127" t="s">
        <v>17648</v>
      </c>
      <c r="J6127" t="s">
        <v>36716</v>
      </c>
      <c r="K6127" t="s">
        <v>42778</v>
      </c>
      <c r="M6127" t="s">
        <v>44998</v>
      </c>
      <c r="N6127" t="s">
        <v>47304</v>
      </c>
      <c r="O6127" t="s">
        <v>47305</v>
      </c>
      <c r="P6127">
        <v>0</v>
      </c>
      <c r="Q6127">
        <v>0</v>
      </c>
      <c r="R6127" t="s">
        <v>47310</v>
      </c>
      <c r="S6127" t="s">
        <v>47435</v>
      </c>
      <c r="T6127" t="s">
        <v>49002</v>
      </c>
      <c r="U6127" t="s">
        <v>54664</v>
      </c>
      <c r="W6127" t="s">
        <v>44998</v>
      </c>
      <c r="X6127" t="s">
        <v>47311</v>
      </c>
    </row>
    <row r="6128" spans="1:24">
      <c r="A6128">
        <f>HYPERLINK("https://www.philgeps.gov.ph/GEPSNONPILOT/Tender/SplashBidNoticeAbstractUI.aspx?menuIndex=3&amp;refID=7193292&amp;Result=3","7193292")</f>
        <v>0</v>
      </c>
      <c r="B6128" t="s">
        <v>2042</v>
      </c>
      <c r="C6128" t="s">
        <v>9608</v>
      </c>
      <c r="D6128" t="s">
        <v>19070</v>
      </c>
      <c r="E6128" t="s">
        <v>24465</v>
      </c>
      <c r="F6128" t="s">
        <v>32606</v>
      </c>
      <c r="G6128" t="s">
        <v>32619</v>
      </c>
      <c r="H6128" t="s">
        <v>14201</v>
      </c>
      <c r="I6128" t="s">
        <v>4120</v>
      </c>
      <c r="J6128" t="s">
        <v>36717</v>
      </c>
      <c r="K6128" t="s">
        <v>42622</v>
      </c>
      <c r="M6128" t="s">
        <v>45120</v>
      </c>
      <c r="N6128" t="s">
        <v>47304</v>
      </c>
      <c r="O6128" t="s">
        <v>47305</v>
      </c>
      <c r="P6128">
        <v>0</v>
      </c>
      <c r="Q6128">
        <v>0</v>
      </c>
      <c r="R6128" t="s">
        <v>47310</v>
      </c>
      <c r="S6128" t="s">
        <v>47435</v>
      </c>
      <c r="T6128" t="s">
        <v>49053</v>
      </c>
      <c r="U6128" t="s">
        <v>54641</v>
      </c>
      <c r="W6128" t="s">
        <v>45120</v>
      </c>
      <c r="X6128" t="s">
        <v>47311</v>
      </c>
    </row>
    <row r="6129" spans="1:24">
      <c r="A6129">
        <f>HYPERLINK("https://www.philgeps.gov.ph/GEPSNONPILOT/Tender/SplashBidNoticeAbstractUI.aspx?menuIndex=3&amp;refID=7193300&amp;Result=3","7193300")</f>
        <v>0</v>
      </c>
      <c r="B6129" t="s">
        <v>2042</v>
      </c>
      <c r="C6129" t="s">
        <v>9609</v>
      </c>
      <c r="D6129" t="s">
        <v>19070</v>
      </c>
      <c r="E6129" t="s">
        <v>24466</v>
      </c>
      <c r="F6129" t="s">
        <v>32606</v>
      </c>
      <c r="G6129" t="s">
        <v>32619</v>
      </c>
      <c r="H6129" t="s">
        <v>14201</v>
      </c>
      <c r="I6129" t="s">
        <v>4678</v>
      </c>
      <c r="J6129" t="s">
        <v>33302</v>
      </c>
      <c r="K6129" t="s">
        <v>42622</v>
      </c>
      <c r="M6129" t="s">
        <v>45120</v>
      </c>
      <c r="N6129" t="s">
        <v>47304</v>
      </c>
      <c r="O6129" t="s">
        <v>47305</v>
      </c>
      <c r="P6129">
        <v>0</v>
      </c>
      <c r="Q6129">
        <v>0</v>
      </c>
      <c r="R6129" t="s">
        <v>47310</v>
      </c>
      <c r="S6129" t="s">
        <v>47435</v>
      </c>
      <c r="T6129" t="s">
        <v>49053</v>
      </c>
      <c r="U6129" t="s">
        <v>54641</v>
      </c>
      <c r="W6129" t="s">
        <v>45120</v>
      </c>
      <c r="X6129" t="s">
        <v>47311</v>
      </c>
    </row>
    <row r="6130" spans="1:24">
      <c r="A6130">
        <f>HYPERLINK("https://www.philgeps.gov.ph/GEPSNONPILOT/Tender/SplashBidNoticeAbstractUI.aspx?menuIndex=3&amp;refID=7193359&amp;Result=3","7193359")</f>
        <v>0</v>
      </c>
      <c r="B6130" t="s">
        <v>360</v>
      </c>
      <c r="C6130" t="s">
        <v>9610</v>
      </c>
      <c r="D6130" t="s">
        <v>19040</v>
      </c>
      <c r="E6130" t="s">
        <v>24467</v>
      </c>
      <c r="F6130" t="s">
        <v>32606</v>
      </c>
      <c r="G6130" t="s">
        <v>32620</v>
      </c>
      <c r="H6130" t="s">
        <v>32625</v>
      </c>
      <c r="I6130" t="s">
        <v>32625</v>
      </c>
      <c r="J6130" t="s">
        <v>32795</v>
      </c>
      <c r="K6130" t="s">
        <v>42644</v>
      </c>
      <c r="M6130" t="s">
        <v>43262</v>
      </c>
      <c r="N6130" t="s">
        <v>47304</v>
      </c>
      <c r="O6130" t="s">
        <v>47305</v>
      </c>
      <c r="P6130">
        <v>0</v>
      </c>
      <c r="Q6130">
        <v>0</v>
      </c>
      <c r="R6130" t="s">
        <v>47310</v>
      </c>
      <c r="S6130" t="s">
        <v>47435</v>
      </c>
      <c r="T6130" t="s">
        <v>49052</v>
      </c>
      <c r="U6130" t="s">
        <v>54665</v>
      </c>
      <c r="W6130" t="s">
        <v>43262</v>
      </c>
      <c r="X6130" t="s">
        <v>47311</v>
      </c>
    </row>
    <row r="6131" spans="1:24">
      <c r="A6131">
        <f>HYPERLINK("https://www.philgeps.gov.ph/GEPSNONPILOT/Tender/SplashBidNoticeAbstractUI.aspx?menuIndex=3&amp;refID=7193298&amp;Result=3","7193298")</f>
        <v>0</v>
      </c>
      <c r="B6131" t="s">
        <v>2042</v>
      </c>
      <c r="C6131" t="s">
        <v>9611</v>
      </c>
      <c r="D6131" t="s">
        <v>19070</v>
      </c>
      <c r="E6131" t="s">
        <v>24468</v>
      </c>
      <c r="F6131" t="s">
        <v>32606</v>
      </c>
      <c r="G6131" t="s">
        <v>32619</v>
      </c>
      <c r="H6131" t="s">
        <v>14201</v>
      </c>
      <c r="I6131" t="s">
        <v>4678</v>
      </c>
      <c r="J6131" t="s">
        <v>33291</v>
      </c>
      <c r="K6131" t="s">
        <v>42622</v>
      </c>
      <c r="M6131" t="s">
        <v>45120</v>
      </c>
      <c r="N6131" t="s">
        <v>47304</v>
      </c>
      <c r="O6131" t="s">
        <v>47305</v>
      </c>
      <c r="P6131">
        <v>0</v>
      </c>
      <c r="Q6131">
        <v>1</v>
      </c>
      <c r="R6131" t="s">
        <v>47310</v>
      </c>
      <c r="S6131" t="s">
        <v>47435</v>
      </c>
      <c r="T6131" t="s">
        <v>49053</v>
      </c>
      <c r="U6131" t="s">
        <v>54641</v>
      </c>
      <c r="W6131" t="s">
        <v>45120</v>
      </c>
      <c r="X6131" t="s">
        <v>47311</v>
      </c>
    </row>
    <row r="6132" spans="1:24">
      <c r="A6132">
        <f>HYPERLINK("https://www.philgeps.gov.ph/GEPSNONPILOT/Tender/SplashBidNoticeAbstractUI.aspx?menuIndex=3&amp;refID=7193226&amp;Result=3","7193226")</f>
        <v>0</v>
      </c>
      <c r="B6132" t="s">
        <v>2039</v>
      </c>
      <c r="C6132" t="s">
        <v>9612</v>
      </c>
      <c r="D6132" t="s">
        <v>18993</v>
      </c>
      <c r="E6132" t="s">
        <v>24422</v>
      </c>
      <c r="F6132" t="s">
        <v>32608</v>
      </c>
      <c r="G6132" t="s">
        <v>32613</v>
      </c>
      <c r="H6132" t="s">
        <v>14201</v>
      </c>
      <c r="I6132" t="s">
        <v>32671</v>
      </c>
      <c r="J6132" t="s">
        <v>32772</v>
      </c>
      <c r="K6132" t="s">
        <v>42630</v>
      </c>
      <c r="M6132" t="s">
        <v>45115</v>
      </c>
      <c r="N6132" t="s">
        <v>47304</v>
      </c>
      <c r="O6132" t="s">
        <v>47305</v>
      </c>
      <c r="P6132">
        <v>0</v>
      </c>
      <c r="Q6132">
        <v>5</v>
      </c>
      <c r="R6132" t="s">
        <v>47310</v>
      </c>
      <c r="S6132" t="s">
        <v>47435</v>
      </c>
      <c r="T6132" t="s">
        <v>49007</v>
      </c>
      <c r="U6132" t="s">
        <v>54666</v>
      </c>
      <c r="W6132" t="s">
        <v>45115</v>
      </c>
      <c r="X6132" t="s">
        <v>47311</v>
      </c>
    </row>
    <row r="6133" spans="1:24">
      <c r="A6133">
        <f>HYPERLINK("https://www.philgeps.gov.ph/GEPSNONPILOT/Tender/SplashBidNoticeAbstractUI.aspx?menuIndex=3&amp;refID=7193358&amp;Result=3","7193358")</f>
        <v>0</v>
      </c>
      <c r="B6133" t="s">
        <v>1306</v>
      </c>
      <c r="C6133" t="s">
        <v>9613</v>
      </c>
      <c r="D6133" t="s">
        <v>19011</v>
      </c>
      <c r="E6133" t="s">
        <v>24469</v>
      </c>
      <c r="F6133" t="s">
        <v>32606</v>
      </c>
      <c r="G6133" t="s">
        <v>32613</v>
      </c>
      <c r="H6133" t="s">
        <v>14201</v>
      </c>
      <c r="I6133" t="s">
        <v>9013</v>
      </c>
      <c r="J6133" t="s">
        <v>36718</v>
      </c>
      <c r="K6133" t="s">
        <v>42636</v>
      </c>
      <c r="M6133" t="s">
        <v>45099</v>
      </c>
      <c r="N6133" t="s">
        <v>47304</v>
      </c>
      <c r="O6133" t="s">
        <v>47305</v>
      </c>
      <c r="P6133">
        <v>0</v>
      </c>
      <c r="Q6133">
        <v>2</v>
      </c>
      <c r="R6133" t="s">
        <v>47310</v>
      </c>
      <c r="S6133" t="s">
        <v>47435</v>
      </c>
      <c r="T6133" t="s">
        <v>49133</v>
      </c>
      <c r="U6133" t="s">
        <v>54667</v>
      </c>
      <c r="W6133" t="s">
        <v>45099</v>
      </c>
      <c r="X6133" t="s">
        <v>47311</v>
      </c>
    </row>
    <row r="6134" spans="1:24">
      <c r="A6134">
        <f>HYPERLINK("https://www.philgeps.gov.ph/GEPSNONPILOT/Tender/SplashBidNoticeAbstractUI.aspx?menuIndex=3&amp;refID=7193350&amp;Result=3","7193350")</f>
        <v>0</v>
      </c>
      <c r="B6134" t="s">
        <v>1306</v>
      </c>
      <c r="C6134" t="s">
        <v>9614</v>
      </c>
      <c r="D6134" t="s">
        <v>19011</v>
      </c>
      <c r="E6134" t="s">
        <v>24470</v>
      </c>
      <c r="F6134" t="s">
        <v>32606</v>
      </c>
      <c r="G6134" t="s">
        <v>32613</v>
      </c>
      <c r="H6134" t="s">
        <v>14201</v>
      </c>
      <c r="I6134" t="s">
        <v>9013</v>
      </c>
      <c r="J6134" t="s">
        <v>36719</v>
      </c>
      <c r="K6134" t="s">
        <v>42636</v>
      </c>
      <c r="M6134" t="s">
        <v>45099</v>
      </c>
      <c r="N6134" t="s">
        <v>47304</v>
      </c>
      <c r="O6134" t="s">
        <v>47305</v>
      </c>
      <c r="P6134">
        <v>0</v>
      </c>
      <c r="Q6134">
        <v>2</v>
      </c>
      <c r="R6134" t="s">
        <v>47310</v>
      </c>
      <c r="S6134" t="s">
        <v>47435</v>
      </c>
      <c r="T6134" t="s">
        <v>49133</v>
      </c>
      <c r="U6134" t="s">
        <v>54667</v>
      </c>
      <c r="W6134" t="s">
        <v>45099</v>
      </c>
      <c r="X6134" t="s">
        <v>47311</v>
      </c>
    </row>
    <row r="6135" spans="1:24">
      <c r="A6135">
        <f>HYPERLINK("https://www.philgeps.gov.ph/GEPSNONPILOT/Tender/SplashBidNoticeAbstractUI.aspx?menuIndex=3&amp;refID=7193351&amp;Result=3","7193351")</f>
        <v>0</v>
      </c>
      <c r="B6135" t="s">
        <v>1949</v>
      </c>
      <c r="C6135" t="s">
        <v>9615</v>
      </c>
      <c r="D6135" t="s">
        <v>18995</v>
      </c>
      <c r="E6135" t="s">
        <v>24471</v>
      </c>
      <c r="F6135" t="s">
        <v>32606</v>
      </c>
      <c r="G6135" t="s">
        <v>32614</v>
      </c>
      <c r="H6135" t="s">
        <v>14201</v>
      </c>
      <c r="I6135" t="s">
        <v>4678</v>
      </c>
      <c r="J6135" t="s">
        <v>33125</v>
      </c>
      <c r="K6135" t="s">
        <v>42625</v>
      </c>
      <c r="M6135" t="s">
        <v>45010</v>
      </c>
      <c r="N6135" t="s">
        <v>47304</v>
      </c>
      <c r="O6135" t="s">
        <v>47305</v>
      </c>
      <c r="P6135">
        <v>0</v>
      </c>
      <c r="Q6135">
        <v>1</v>
      </c>
      <c r="R6135" t="s">
        <v>47310</v>
      </c>
      <c r="S6135" t="s">
        <v>47435</v>
      </c>
      <c r="T6135" t="s">
        <v>49269</v>
      </c>
      <c r="U6135" t="s">
        <v>54427</v>
      </c>
      <c r="W6135" t="s">
        <v>45010</v>
      </c>
      <c r="X6135" t="s">
        <v>47311</v>
      </c>
    </row>
    <row r="6136" spans="1:24">
      <c r="A6136">
        <f>HYPERLINK("https://www.philgeps.gov.ph/GEPSNONPILOT/Tender/SplashBidNoticeAbstractUI.aspx?menuIndex=3&amp;refID=7193348&amp;Result=3","7193348")</f>
        <v>0</v>
      </c>
      <c r="B6136" t="s">
        <v>1949</v>
      </c>
      <c r="C6136" t="s">
        <v>9616</v>
      </c>
      <c r="D6136" t="s">
        <v>18995</v>
      </c>
      <c r="E6136" t="s">
        <v>24472</v>
      </c>
      <c r="F6136" t="s">
        <v>32606</v>
      </c>
      <c r="G6136" t="s">
        <v>32614</v>
      </c>
      <c r="H6136" t="s">
        <v>14201</v>
      </c>
      <c r="I6136" t="s">
        <v>4678</v>
      </c>
      <c r="J6136" t="s">
        <v>32981</v>
      </c>
      <c r="K6136" t="s">
        <v>42625</v>
      </c>
      <c r="M6136" t="s">
        <v>45010</v>
      </c>
      <c r="N6136" t="s">
        <v>47304</v>
      </c>
      <c r="O6136" t="s">
        <v>47305</v>
      </c>
      <c r="P6136">
        <v>0</v>
      </c>
      <c r="Q6136">
        <v>0</v>
      </c>
      <c r="R6136" t="s">
        <v>47310</v>
      </c>
      <c r="S6136" t="s">
        <v>47435</v>
      </c>
      <c r="T6136" t="s">
        <v>49269</v>
      </c>
      <c r="U6136" t="s">
        <v>54668</v>
      </c>
      <c r="W6136" t="s">
        <v>45010</v>
      </c>
      <c r="X6136" t="s">
        <v>47311</v>
      </c>
    </row>
    <row r="6137" spans="1:24">
      <c r="A6137">
        <f>HYPERLINK("https://www.philgeps.gov.ph/GEPSNONPILOT/Tender/SplashBidNoticeAbstractUI.aspx?menuIndex=3&amp;refID=7193360&amp;Result=3","7193360")</f>
        <v>0</v>
      </c>
      <c r="B6137" t="s">
        <v>2047</v>
      </c>
      <c r="C6137" t="s">
        <v>9617</v>
      </c>
      <c r="D6137" t="s">
        <v>19024</v>
      </c>
      <c r="E6137" t="s">
        <v>24473</v>
      </c>
      <c r="F6137" t="s">
        <v>32606</v>
      </c>
      <c r="G6137" t="s">
        <v>32613</v>
      </c>
      <c r="H6137" t="s">
        <v>14201</v>
      </c>
      <c r="I6137" t="s">
        <v>32660</v>
      </c>
      <c r="J6137" t="s">
        <v>33001</v>
      </c>
      <c r="K6137" t="s">
        <v>42624</v>
      </c>
      <c r="M6137" t="s">
        <v>45126</v>
      </c>
      <c r="N6137" t="s">
        <v>47304</v>
      </c>
      <c r="O6137" t="s">
        <v>47305</v>
      </c>
      <c r="P6137">
        <v>0</v>
      </c>
      <c r="Q6137">
        <v>0</v>
      </c>
      <c r="R6137" t="s">
        <v>47310</v>
      </c>
      <c r="S6137" t="s">
        <v>47435</v>
      </c>
      <c r="T6137" t="s">
        <v>49015</v>
      </c>
      <c r="U6137" t="s">
        <v>54669</v>
      </c>
      <c r="W6137" t="s">
        <v>45126</v>
      </c>
      <c r="X6137" t="s">
        <v>47311</v>
      </c>
    </row>
    <row r="6138" spans="1:24">
      <c r="A6138">
        <f>HYPERLINK("https://www.philgeps.gov.ph/GEPSNONPILOT/Tender/SplashBidNoticeAbstractUI.aspx?menuIndex=3&amp;refID=7193345&amp;Result=3","7193345")</f>
        <v>0</v>
      </c>
      <c r="B6138" t="s">
        <v>1306</v>
      </c>
      <c r="C6138" t="s">
        <v>9618</v>
      </c>
      <c r="D6138" t="s">
        <v>19011</v>
      </c>
      <c r="E6138" t="s">
        <v>24474</v>
      </c>
      <c r="F6138" t="s">
        <v>32606</v>
      </c>
      <c r="G6138" t="s">
        <v>32613</v>
      </c>
      <c r="H6138" t="s">
        <v>14201</v>
      </c>
      <c r="I6138" t="s">
        <v>32686</v>
      </c>
      <c r="J6138" t="s">
        <v>36720</v>
      </c>
      <c r="K6138" t="s">
        <v>42636</v>
      </c>
      <c r="M6138" t="s">
        <v>45099</v>
      </c>
      <c r="N6138" t="s">
        <v>47304</v>
      </c>
      <c r="O6138" t="s">
        <v>47305</v>
      </c>
      <c r="P6138">
        <v>0</v>
      </c>
      <c r="Q6138">
        <v>3</v>
      </c>
      <c r="R6138" t="s">
        <v>47310</v>
      </c>
      <c r="S6138" t="s">
        <v>47435</v>
      </c>
      <c r="T6138" t="s">
        <v>49133</v>
      </c>
      <c r="U6138" t="s">
        <v>54652</v>
      </c>
      <c r="W6138" t="s">
        <v>45099</v>
      </c>
      <c r="X6138" t="s">
        <v>47311</v>
      </c>
    </row>
    <row r="6139" spans="1:24">
      <c r="A6139">
        <f>HYPERLINK("https://www.philgeps.gov.ph/GEPSNONPILOT/Tender/SplashBidNoticeAbstractUI.aspx?menuIndex=3&amp;refID=7193227&amp;Result=3","7193227")</f>
        <v>0</v>
      </c>
      <c r="B6139" t="s">
        <v>492</v>
      </c>
      <c r="C6139" t="s">
        <v>9619</v>
      </c>
      <c r="D6139" t="s">
        <v>18997</v>
      </c>
      <c r="E6139" t="s">
        <v>24475</v>
      </c>
      <c r="F6139" t="s">
        <v>32607</v>
      </c>
      <c r="G6139" t="s">
        <v>32614</v>
      </c>
      <c r="H6139" t="s">
        <v>14201</v>
      </c>
      <c r="I6139" t="s">
        <v>4115</v>
      </c>
      <c r="J6139" t="s">
        <v>34792</v>
      </c>
      <c r="K6139" t="s">
        <v>42630</v>
      </c>
      <c r="M6139" t="s">
        <v>43405</v>
      </c>
      <c r="N6139" t="s">
        <v>47304</v>
      </c>
      <c r="O6139" t="s">
        <v>47305</v>
      </c>
      <c r="P6139">
        <v>0</v>
      </c>
      <c r="Q6139">
        <v>3</v>
      </c>
      <c r="R6139" t="s">
        <v>47310</v>
      </c>
      <c r="S6139" t="s">
        <v>47435</v>
      </c>
      <c r="T6139" t="s">
        <v>49084</v>
      </c>
      <c r="U6139" t="s">
        <v>50411</v>
      </c>
      <c r="V6139" t="s">
        <v>62762</v>
      </c>
      <c r="W6139" t="s">
        <v>64437</v>
      </c>
      <c r="X6139" t="s">
        <v>47311</v>
      </c>
    </row>
    <row r="6140" spans="1:24">
      <c r="A6140">
        <f>HYPERLINK("https://www.philgeps.gov.ph/GEPSNONPILOT/Tender/SplashBidNoticeAbstractUI.aspx?menuIndex=3&amp;refID=7193342&amp;Result=3","7193342")</f>
        <v>0</v>
      </c>
      <c r="B6140" t="s">
        <v>1949</v>
      </c>
      <c r="C6140" t="s">
        <v>9620</v>
      </c>
      <c r="D6140" t="s">
        <v>18995</v>
      </c>
      <c r="E6140" t="s">
        <v>24476</v>
      </c>
      <c r="F6140" t="s">
        <v>32606</v>
      </c>
      <c r="G6140" t="s">
        <v>32614</v>
      </c>
      <c r="H6140" t="s">
        <v>14201</v>
      </c>
      <c r="I6140" t="s">
        <v>32633</v>
      </c>
      <c r="J6140" t="s">
        <v>36721</v>
      </c>
      <c r="K6140" t="s">
        <v>42625</v>
      </c>
      <c r="M6140" t="s">
        <v>45010</v>
      </c>
      <c r="N6140" t="s">
        <v>47304</v>
      </c>
      <c r="O6140" t="s">
        <v>47305</v>
      </c>
      <c r="P6140">
        <v>0</v>
      </c>
      <c r="Q6140">
        <v>4</v>
      </c>
      <c r="R6140" t="s">
        <v>47310</v>
      </c>
      <c r="S6140" t="s">
        <v>47435</v>
      </c>
      <c r="T6140" t="s">
        <v>49269</v>
      </c>
      <c r="U6140" t="s">
        <v>54668</v>
      </c>
      <c r="W6140" t="s">
        <v>45010</v>
      </c>
      <c r="X6140" t="s">
        <v>47311</v>
      </c>
    </row>
    <row r="6141" spans="1:24">
      <c r="A6141">
        <f>HYPERLINK("https://www.philgeps.gov.ph/GEPSNONPILOT/Tender/SplashBidNoticeAbstractUI.aspx?menuIndex=3&amp;refID=7193356&amp;Result=3","7193356")</f>
        <v>0</v>
      </c>
      <c r="B6141" t="s">
        <v>1949</v>
      </c>
      <c r="C6141" t="s">
        <v>9615</v>
      </c>
      <c r="D6141" t="s">
        <v>18995</v>
      </c>
      <c r="E6141" t="s">
        <v>24477</v>
      </c>
      <c r="F6141" t="s">
        <v>32606</v>
      </c>
      <c r="G6141" t="s">
        <v>32614</v>
      </c>
      <c r="H6141" t="s">
        <v>14201</v>
      </c>
      <c r="I6141" t="s">
        <v>4678</v>
      </c>
      <c r="J6141" t="s">
        <v>33221</v>
      </c>
      <c r="K6141" t="s">
        <v>42625</v>
      </c>
      <c r="M6141" t="s">
        <v>45010</v>
      </c>
      <c r="N6141" t="s">
        <v>47304</v>
      </c>
      <c r="O6141" t="s">
        <v>47305</v>
      </c>
      <c r="P6141">
        <v>0</v>
      </c>
      <c r="Q6141">
        <v>1</v>
      </c>
      <c r="R6141" t="s">
        <v>47310</v>
      </c>
      <c r="S6141" t="s">
        <v>47435</v>
      </c>
      <c r="T6141" t="s">
        <v>49269</v>
      </c>
      <c r="U6141" t="s">
        <v>54427</v>
      </c>
      <c r="W6141" t="s">
        <v>45010</v>
      </c>
      <c r="X6141" t="s">
        <v>47311</v>
      </c>
    </row>
    <row r="6142" spans="1:24">
      <c r="A6142">
        <f>HYPERLINK("https://www.philgeps.gov.ph/GEPSNONPILOT/Tender/SplashBidNoticeAbstractUI.aspx?menuIndex=3&amp;refID=7193341&amp;Result=3","7193341")</f>
        <v>0</v>
      </c>
      <c r="B6142" t="s">
        <v>1937</v>
      </c>
      <c r="C6142" t="s">
        <v>9621</v>
      </c>
      <c r="D6142" t="s">
        <v>19065</v>
      </c>
      <c r="E6142" t="s">
        <v>24478</v>
      </c>
      <c r="F6142" t="s">
        <v>32606</v>
      </c>
      <c r="G6142" t="s">
        <v>32613</v>
      </c>
      <c r="H6142" t="s">
        <v>14201</v>
      </c>
      <c r="I6142" t="s">
        <v>6298</v>
      </c>
      <c r="J6142" t="s">
        <v>36722</v>
      </c>
      <c r="K6142" t="s">
        <v>42623</v>
      </c>
      <c r="M6142" t="s">
        <v>44998</v>
      </c>
      <c r="N6142" t="s">
        <v>47304</v>
      </c>
      <c r="O6142" t="s">
        <v>47305</v>
      </c>
      <c r="P6142">
        <v>0</v>
      </c>
      <c r="Q6142">
        <v>0</v>
      </c>
      <c r="R6142" t="s">
        <v>47310</v>
      </c>
      <c r="S6142" t="s">
        <v>47435</v>
      </c>
      <c r="T6142" t="s">
        <v>49002</v>
      </c>
      <c r="U6142" t="s">
        <v>54670</v>
      </c>
      <c r="W6142" t="s">
        <v>44998</v>
      </c>
      <c r="X6142" t="s">
        <v>47311</v>
      </c>
    </row>
    <row r="6143" spans="1:24">
      <c r="A6143">
        <f>HYPERLINK("https://www.philgeps.gov.ph/GEPSNONPILOT/Tender/SplashBidNoticeAbstractUI.aspx?menuIndex=3&amp;refID=7193339&amp;Result=3","7193339")</f>
        <v>0</v>
      </c>
      <c r="B6143" t="s">
        <v>615</v>
      </c>
      <c r="C6143" t="s">
        <v>9622</v>
      </c>
      <c r="D6143" t="s">
        <v>19065</v>
      </c>
      <c r="E6143" t="s">
        <v>24479</v>
      </c>
      <c r="F6143" t="s">
        <v>32606</v>
      </c>
      <c r="G6143" t="s">
        <v>32617</v>
      </c>
      <c r="H6143" t="s">
        <v>14201</v>
      </c>
      <c r="I6143" t="s">
        <v>4114</v>
      </c>
      <c r="J6143" t="s">
        <v>36723</v>
      </c>
      <c r="K6143" t="s">
        <v>42630</v>
      </c>
      <c r="M6143" t="s">
        <v>43533</v>
      </c>
      <c r="N6143" t="s">
        <v>47304</v>
      </c>
      <c r="O6143" t="s">
        <v>47305</v>
      </c>
      <c r="P6143">
        <v>0</v>
      </c>
      <c r="Q6143">
        <v>1</v>
      </c>
      <c r="R6143" t="s">
        <v>47310</v>
      </c>
      <c r="S6143" t="s">
        <v>47435</v>
      </c>
      <c r="T6143" t="s">
        <v>49269</v>
      </c>
      <c r="U6143" t="s">
        <v>54671</v>
      </c>
      <c r="W6143" t="s">
        <v>43533</v>
      </c>
      <c r="X6143" t="s">
        <v>47311</v>
      </c>
    </row>
    <row r="6144" spans="1:24">
      <c r="A6144">
        <f>HYPERLINK("https://www.philgeps.gov.ph/GEPSNONPILOT/Tender/SplashBidNoticeAbstractUI.aspx?menuIndex=3&amp;refID=7193335&amp;Result=3","7193335")</f>
        <v>0</v>
      </c>
      <c r="B6144" t="s">
        <v>2048</v>
      </c>
      <c r="C6144" t="s">
        <v>9623</v>
      </c>
      <c r="D6144" t="s">
        <v>19004</v>
      </c>
      <c r="E6144" t="s">
        <v>24480</v>
      </c>
      <c r="F6144" t="s">
        <v>32607</v>
      </c>
      <c r="G6144" t="s">
        <v>32613</v>
      </c>
      <c r="H6144" t="s">
        <v>32623</v>
      </c>
      <c r="I6144" t="s">
        <v>17648</v>
      </c>
      <c r="J6144" t="s">
        <v>36724</v>
      </c>
      <c r="K6144" t="s">
        <v>42631</v>
      </c>
      <c r="M6144" t="s">
        <v>45127</v>
      </c>
      <c r="N6144" t="s">
        <v>47304</v>
      </c>
      <c r="O6144" t="s">
        <v>47305</v>
      </c>
      <c r="P6144">
        <v>0</v>
      </c>
      <c r="Q6144">
        <v>1</v>
      </c>
      <c r="R6144" t="s">
        <v>47310</v>
      </c>
      <c r="S6144" t="s">
        <v>47435</v>
      </c>
      <c r="T6144" t="s">
        <v>49336</v>
      </c>
      <c r="U6144" t="s">
        <v>54672</v>
      </c>
      <c r="W6144" t="s">
        <v>45127</v>
      </c>
      <c r="X6144" t="s">
        <v>47311</v>
      </c>
    </row>
    <row r="6145" spans="1:24">
      <c r="A6145">
        <f>HYPERLINK("https://www.philgeps.gov.ph/GEPSNONPILOT/Tender/SplashBidNoticeAbstractUI.aspx?menuIndex=3&amp;refID=7193349&amp;Result=3","7193349")</f>
        <v>0</v>
      </c>
      <c r="B6145" t="s">
        <v>1051</v>
      </c>
      <c r="C6145" t="s">
        <v>9624</v>
      </c>
      <c r="E6145" t="s">
        <v>24481</v>
      </c>
      <c r="F6145" t="s">
        <v>32606</v>
      </c>
      <c r="G6145" t="s">
        <v>32614</v>
      </c>
      <c r="H6145" t="s">
        <v>14201</v>
      </c>
      <c r="I6145" t="s">
        <v>32652</v>
      </c>
      <c r="J6145" t="s">
        <v>32824</v>
      </c>
      <c r="K6145" t="s">
        <v>42668</v>
      </c>
      <c r="M6145" t="s">
        <v>44004</v>
      </c>
      <c r="N6145" t="s">
        <v>47304</v>
      </c>
      <c r="O6145" t="s">
        <v>47305</v>
      </c>
      <c r="P6145">
        <v>0</v>
      </c>
      <c r="Q6145">
        <v>0</v>
      </c>
      <c r="R6145" t="s">
        <v>47310</v>
      </c>
      <c r="S6145" t="s">
        <v>47435</v>
      </c>
      <c r="T6145" t="s">
        <v>48979</v>
      </c>
      <c r="U6145" t="s">
        <v>54673</v>
      </c>
      <c r="W6145" t="s">
        <v>44004</v>
      </c>
      <c r="X6145" t="s">
        <v>47311</v>
      </c>
    </row>
    <row r="6146" spans="1:24">
      <c r="A6146">
        <f>HYPERLINK("https://www.philgeps.gov.ph/GEPSNONPILOT/Tender/SplashBidNoticeAbstractUI.aspx?menuIndex=3&amp;refID=7193330&amp;Result=3","7193330")</f>
        <v>0</v>
      </c>
      <c r="B6146" t="s">
        <v>2049</v>
      </c>
      <c r="C6146" t="s">
        <v>9625</v>
      </c>
      <c r="D6146" t="s">
        <v>18999</v>
      </c>
      <c r="E6146" t="s">
        <v>19687</v>
      </c>
      <c r="F6146" t="s">
        <v>32606</v>
      </c>
      <c r="G6146" t="s">
        <v>32619</v>
      </c>
      <c r="H6146" t="s">
        <v>14201</v>
      </c>
      <c r="I6146" t="s">
        <v>4369</v>
      </c>
      <c r="J6146" t="s">
        <v>36725</v>
      </c>
      <c r="K6146" t="s">
        <v>42622</v>
      </c>
      <c r="M6146" t="s">
        <v>45128</v>
      </c>
      <c r="N6146" t="s">
        <v>47304</v>
      </c>
      <c r="O6146" t="s">
        <v>47305</v>
      </c>
      <c r="P6146">
        <v>0</v>
      </c>
      <c r="Q6146">
        <v>0</v>
      </c>
      <c r="R6146" t="s">
        <v>47310</v>
      </c>
      <c r="S6146" t="s">
        <v>47435</v>
      </c>
      <c r="T6146" t="s">
        <v>49279</v>
      </c>
      <c r="U6146" t="s">
        <v>54674</v>
      </c>
      <c r="W6146" t="s">
        <v>45128</v>
      </c>
      <c r="X6146" t="s">
        <v>47311</v>
      </c>
    </row>
    <row r="6147" spans="1:24">
      <c r="A6147">
        <f>HYPERLINK("https://www.philgeps.gov.ph/GEPSNONPILOT/Tender/SplashBidNoticeAbstractUI.aspx?menuIndex=3&amp;refID=7193328&amp;Result=3","7193328")</f>
        <v>0</v>
      </c>
      <c r="B6147" t="s">
        <v>2045</v>
      </c>
      <c r="C6147" t="s">
        <v>6931</v>
      </c>
      <c r="D6147" t="s">
        <v>18995</v>
      </c>
      <c r="E6147" t="s">
        <v>24482</v>
      </c>
      <c r="F6147" t="s">
        <v>32606</v>
      </c>
      <c r="G6147" t="s">
        <v>32613</v>
      </c>
      <c r="H6147" t="s">
        <v>14201</v>
      </c>
      <c r="I6147" t="s">
        <v>6931</v>
      </c>
      <c r="J6147" t="s">
        <v>32981</v>
      </c>
      <c r="K6147" t="s">
        <v>42630</v>
      </c>
      <c r="M6147" t="s">
        <v>45124</v>
      </c>
      <c r="N6147" t="s">
        <v>47304</v>
      </c>
      <c r="O6147" t="s">
        <v>47305</v>
      </c>
      <c r="P6147">
        <v>0</v>
      </c>
      <c r="Q6147">
        <v>2</v>
      </c>
      <c r="R6147" t="s">
        <v>47310</v>
      </c>
      <c r="S6147" t="s">
        <v>47435</v>
      </c>
      <c r="T6147" t="s">
        <v>48975</v>
      </c>
      <c r="U6147" t="s">
        <v>54675</v>
      </c>
      <c r="W6147" t="s">
        <v>45124</v>
      </c>
      <c r="X6147" t="s">
        <v>47311</v>
      </c>
    </row>
    <row r="6148" spans="1:24">
      <c r="A6148">
        <f>HYPERLINK("https://www.philgeps.gov.ph/GEPSNONPILOT/Tender/SplashBidNoticeAbstractUI.aspx?menuIndex=3&amp;refID=7193326&amp;Result=3","7193326")</f>
        <v>0</v>
      </c>
      <c r="B6148" t="s">
        <v>2041</v>
      </c>
      <c r="C6148" t="s">
        <v>9626</v>
      </c>
      <c r="D6148" t="s">
        <v>19011</v>
      </c>
      <c r="E6148" t="s">
        <v>22592</v>
      </c>
      <c r="F6148" t="s">
        <v>32606</v>
      </c>
      <c r="G6148" t="s">
        <v>32613</v>
      </c>
      <c r="H6148" t="s">
        <v>32623</v>
      </c>
      <c r="I6148" t="s">
        <v>17648</v>
      </c>
      <c r="J6148" t="s">
        <v>36726</v>
      </c>
      <c r="K6148" t="s">
        <v>42624</v>
      </c>
      <c r="M6148" t="s">
        <v>45119</v>
      </c>
      <c r="N6148" t="s">
        <v>47304</v>
      </c>
      <c r="O6148" t="s">
        <v>47305</v>
      </c>
      <c r="P6148">
        <v>0</v>
      </c>
      <c r="Q6148">
        <v>1</v>
      </c>
      <c r="R6148" t="s">
        <v>47310</v>
      </c>
      <c r="S6148" t="s">
        <v>47435</v>
      </c>
      <c r="T6148" t="s">
        <v>49093</v>
      </c>
      <c r="U6148" t="s">
        <v>54676</v>
      </c>
      <c r="W6148" t="s">
        <v>45119</v>
      </c>
      <c r="X6148" t="s">
        <v>47311</v>
      </c>
    </row>
    <row r="6149" spans="1:24">
      <c r="A6149">
        <f>HYPERLINK("https://www.philgeps.gov.ph/GEPSNONPILOT/Tender/SplashBidNoticeAbstractUI.aspx?menuIndex=3&amp;refID=7193169&amp;Result=3","7193169")</f>
        <v>0</v>
      </c>
      <c r="B6149" t="s">
        <v>2050</v>
      </c>
      <c r="C6149" t="s">
        <v>9627</v>
      </c>
      <c r="D6149" t="s">
        <v>19018</v>
      </c>
      <c r="E6149" t="s">
        <v>23858</v>
      </c>
      <c r="F6149" t="s">
        <v>32606</v>
      </c>
      <c r="G6149" t="s">
        <v>32613</v>
      </c>
      <c r="H6149" t="s">
        <v>32623</v>
      </c>
      <c r="I6149" t="s">
        <v>6931</v>
      </c>
      <c r="J6149" t="s">
        <v>36727</v>
      </c>
      <c r="K6149" t="s">
        <v>42623</v>
      </c>
      <c r="M6149" t="s">
        <v>45129</v>
      </c>
      <c r="N6149" t="s">
        <v>47304</v>
      </c>
      <c r="O6149" t="s">
        <v>47305</v>
      </c>
      <c r="P6149">
        <v>0</v>
      </c>
      <c r="Q6149">
        <v>0</v>
      </c>
      <c r="R6149" t="s">
        <v>47310</v>
      </c>
      <c r="S6149" t="s">
        <v>47435</v>
      </c>
      <c r="T6149" t="s">
        <v>48987</v>
      </c>
      <c r="U6149" t="s">
        <v>54677</v>
      </c>
      <c r="V6149" t="s">
        <v>63231</v>
      </c>
      <c r="W6149" t="s">
        <v>45129</v>
      </c>
      <c r="X6149" t="s">
        <v>47311</v>
      </c>
    </row>
    <row r="6150" spans="1:24">
      <c r="A6150">
        <f>HYPERLINK("https://www.philgeps.gov.ph/GEPSNONPILOT/Tender/SplashBidNoticeAbstractUI.aspx?menuIndex=3&amp;refID=7193165&amp;Result=3","7193165")</f>
        <v>0</v>
      </c>
      <c r="B6150" t="s">
        <v>1346</v>
      </c>
      <c r="C6150" t="s">
        <v>9628</v>
      </c>
      <c r="E6150" t="s">
        <v>24483</v>
      </c>
      <c r="F6150" t="s">
        <v>32606</v>
      </c>
      <c r="G6150" t="s">
        <v>32613</v>
      </c>
      <c r="H6150" t="s">
        <v>14201</v>
      </c>
      <c r="I6150" t="s">
        <v>32669</v>
      </c>
      <c r="J6150" t="s">
        <v>36728</v>
      </c>
      <c r="K6150" t="s">
        <v>42624</v>
      </c>
      <c r="M6150" t="s">
        <v>44320</v>
      </c>
      <c r="N6150" t="s">
        <v>47304</v>
      </c>
      <c r="O6150" t="s">
        <v>47305</v>
      </c>
      <c r="P6150">
        <v>0</v>
      </c>
      <c r="Q6150">
        <v>1</v>
      </c>
      <c r="R6150" t="s">
        <v>47310</v>
      </c>
      <c r="S6150" t="s">
        <v>47435</v>
      </c>
      <c r="T6150" t="s">
        <v>49193</v>
      </c>
      <c r="U6150" t="s">
        <v>54678</v>
      </c>
      <c r="W6150" t="s">
        <v>44320</v>
      </c>
      <c r="X6150" t="s">
        <v>47311</v>
      </c>
    </row>
    <row r="6151" spans="1:24">
      <c r="A6151">
        <f>HYPERLINK("https://www.philgeps.gov.ph/GEPSNONPILOT/Tender/SplashBidNoticeAbstractUI.aspx?menuIndex=3&amp;refID=7193107&amp;Result=3","7193107")</f>
        <v>0</v>
      </c>
      <c r="B6151" t="s">
        <v>2051</v>
      </c>
      <c r="C6151" t="s">
        <v>9629</v>
      </c>
      <c r="D6151" t="s">
        <v>19029</v>
      </c>
      <c r="E6151" t="s">
        <v>24484</v>
      </c>
      <c r="F6151" t="s">
        <v>32606</v>
      </c>
      <c r="G6151" t="s">
        <v>32613</v>
      </c>
      <c r="H6151" t="s">
        <v>14201</v>
      </c>
      <c r="I6151" t="s">
        <v>13131</v>
      </c>
      <c r="J6151" t="s">
        <v>32770</v>
      </c>
      <c r="K6151" t="s">
        <v>42630</v>
      </c>
      <c r="M6151" t="s">
        <v>45130</v>
      </c>
      <c r="N6151" t="s">
        <v>47304</v>
      </c>
      <c r="O6151" t="s">
        <v>47305</v>
      </c>
      <c r="P6151">
        <v>0</v>
      </c>
      <c r="Q6151">
        <v>5</v>
      </c>
      <c r="R6151" t="s">
        <v>47310</v>
      </c>
      <c r="S6151" t="s">
        <v>47435</v>
      </c>
      <c r="T6151" t="s">
        <v>48986</v>
      </c>
      <c r="U6151" t="s">
        <v>54679</v>
      </c>
      <c r="W6151" t="s">
        <v>45130</v>
      </c>
      <c r="X6151" t="s">
        <v>47311</v>
      </c>
    </row>
    <row r="6152" spans="1:24">
      <c r="A6152">
        <f>HYPERLINK("https://www.philgeps.gov.ph/GEPSNONPILOT/Tender/SplashBidNoticeAbstractUI.aspx?menuIndex=3&amp;refID=7193338&amp;Result=3","7193338")</f>
        <v>0</v>
      </c>
      <c r="B6152" t="s">
        <v>1306</v>
      </c>
      <c r="C6152" t="s">
        <v>9630</v>
      </c>
      <c r="D6152" t="s">
        <v>19011</v>
      </c>
      <c r="E6152" t="s">
        <v>24485</v>
      </c>
      <c r="F6152" t="s">
        <v>32606</v>
      </c>
      <c r="G6152" t="s">
        <v>32613</v>
      </c>
      <c r="H6152" t="s">
        <v>14201</v>
      </c>
      <c r="I6152" t="s">
        <v>32686</v>
      </c>
      <c r="J6152" t="s">
        <v>36729</v>
      </c>
      <c r="K6152" t="s">
        <v>42636</v>
      </c>
      <c r="M6152" t="s">
        <v>45099</v>
      </c>
      <c r="N6152" t="s">
        <v>47304</v>
      </c>
      <c r="O6152" t="s">
        <v>47305</v>
      </c>
      <c r="P6152">
        <v>0</v>
      </c>
      <c r="Q6152">
        <v>3</v>
      </c>
      <c r="R6152" t="s">
        <v>47310</v>
      </c>
      <c r="S6152" t="s">
        <v>47435</v>
      </c>
      <c r="T6152" t="s">
        <v>49133</v>
      </c>
      <c r="U6152" t="s">
        <v>54630</v>
      </c>
      <c r="W6152" t="s">
        <v>45099</v>
      </c>
      <c r="X6152" t="s">
        <v>47311</v>
      </c>
    </row>
    <row r="6153" spans="1:24">
      <c r="A6153">
        <f>HYPERLINK("https://www.philgeps.gov.ph/GEPSNONPILOT/Tender/SplashBidNoticeAbstractUI.aspx?menuIndex=3&amp;refID=7192934&amp;Result=3","7192934")</f>
        <v>0</v>
      </c>
      <c r="B6153" t="s">
        <v>1040</v>
      </c>
      <c r="C6153" t="s">
        <v>9631</v>
      </c>
      <c r="D6153" t="s">
        <v>19038</v>
      </c>
      <c r="E6153" t="s">
        <v>24486</v>
      </c>
      <c r="F6153" t="s">
        <v>32606</v>
      </c>
      <c r="G6153" t="s">
        <v>32614</v>
      </c>
      <c r="H6153" t="s">
        <v>32624</v>
      </c>
      <c r="I6153" t="s">
        <v>32652</v>
      </c>
      <c r="J6153" t="s">
        <v>36730</v>
      </c>
      <c r="K6153" t="s">
        <v>42688</v>
      </c>
      <c r="M6153" t="s">
        <v>43993</v>
      </c>
      <c r="N6153" t="s">
        <v>47304</v>
      </c>
      <c r="O6153" t="s">
        <v>47305</v>
      </c>
      <c r="P6153">
        <v>0</v>
      </c>
      <c r="Q6153">
        <v>0</v>
      </c>
      <c r="R6153" t="s">
        <v>47310</v>
      </c>
      <c r="S6153" t="s">
        <v>47435</v>
      </c>
      <c r="T6153" t="s">
        <v>49269</v>
      </c>
      <c r="U6153" t="s">
        <v>54680</v>
      </c>
      <c r="W6153" t="s">
        <v>45575</v>
      </c>
      <c r="X6153" t="s">
        <v>47312</v>
      </c>
    </row>
    <row r="6154" spans="1:24">
      <c r="A6154">
        <f>HYPERLINK("https://www.philgeps.gov.ph/GEPSNONPILOT/Tender/SplashBidNoticeAbstractUI.aspx?menuIndex=3&amp;refID=7192912&amp;Result=3","7192912")</f>
        <v>0</v>
      </c>
      <c r="B6154" t="s">
        <v>2049</v>
      </c>
      <c r="C6154" t="s">
        <v>9632</v>
      </c>
      <c r="D6154" t="s">
        <v>18999</v>
      </c>
      <c r="E6154" t="s">
        <v>19687</v>
      </c>
      <c r="F6154" t="s">
        <v>32606</v>
      </c>
      <c r="G6154" t="s">
        <v>32619</v>
      </c>
      <c r="H6154" t="s">
        <v>14201</v>
      </c>
      <c r="I6154" t="s">
        <v>4369</v>
      </c>
      <c r="J6154" t="s">
        <v>36731</v>
      </c>
      <c r="K6154" t="s">
        <v>42622</v>
      </c>
      <c r="M6154" t="s">
        <v>45128</v>
      </c>
      <c r="N6154" t="s">
        <v>47304</v>
      </c>
      <c r="O6154" t="s">
        <v>47305</v>
      </c>
      <c r="P6154">
        <v>0</v>
      </c>
      <c r="Q6154">
        <v>2</v>
      </c>
      <c r="R6154" t="s">
        <v>47310</v>
      </c>
      <c r="S6154" t="s">
        <v>47435</v>
      </c>
      <c r="T6154" t="s">
        <v>49279</v>
      </c>
      <c r="U6154" t="s">
        <v>54681</v>
      </c>
      <c r="W6154" t="s">
        <v>45128</v>
      </c>
      <c r="X6154" t="s">
        <v>47312</v>
      </c>
    </row>
    <row r="6155" spans="1:24">
      <c r="A6155">
        <f>HYPERLINK("https://www.philgeps.gov.ph/GEPSNONPILOT/Tender/SplashBidNoticeAbstractUI.aspx?menuIndex=3&amp;refID=7193343&amp;Result=3","7193343")</f>
        <v>0</v>
      </c>
      <c r="B6155" t="s">
        <v>2052</v>
      </c>
      <c r="C6155" t="s">
        <v>9633</v>
      </c>
      <c r="D6155" t="s">
        <v>18992</v>
      </c>
      <c r="E6155" t="s">
        <v>24487</v>
      </c>
      <c r="F6155" t="s">
        <v>32606</v>
      </c>
      <c r="G6155" t="s">
        <v>32613</v>
      </c>
      <c r="H6155" t="s">
        <v>14201</v>
      </c>
      <c r="I6155" t="s">
        <v>6931</v>
      </c>
      <c r="J6155" t="s">
        <v>36732</v>
      </c>
      <c r="K6155" t="s">
        <v>42623</v>
      </c>
      <c r="M6155" t="s">
        <v>45131</v>
      </c>
      <c r="N6155" t="s">
        <v>47304</v>
      </c>
      <c r="O6155" t="s">
        <v>47305</v>
      </c>
      <c r="P6155">
        <v>0</v>
      </c>
      <c r="Q6155">
        <v>0</v>
      </c>
      <c r="R6155" t="s">
        <v>47310</v>
      </c>
      <c r="S6155" t="s">
        <v>47435</v>
      </c>
      <c r="T6155" t="s">
        <v>48989</v>
      </c>
      <c r="U6155" t="s">
        <v>54682</v>
      </c>
      <c r="W6155" t="s">
        <v>45131</v>
      </c>
      <c r="X6155" t="s">
        <v>47311</v>
      </c>
    </row>
    <row r="6156" spans="1:24">
      <c r="A6156">
        <f>HYPERLINK("https://www.philgeps.gov.ph/GEPSNONPILOT/Tender/SplashBidNoticeAbstractUI.aspx?menuIndex=3&amp;refID=7193355&amp;Result=3","7193355")</f>
        <v>0</v>
      </c>
      <c r="B6156" t="s">
        <v>1949</v>
      </c>
      <c r="C6156" t="s">
        <v>9634</v>
      </c>
      <c r="D6156" t="s">
        <v>18995</v>
      </c>
      <c r="E6156" t="s">
        <v>24471</v>
      </c>
      <c r="F6156" t="s">
        <v>32606</v>
      </c>
      <c r="G6156" t="s">
        <v>32614</v>
      </c>
      <c r="H6156" t="s">
        <v>14201</v>
      </c>
      <c r="I6156" t="s">
        <v>32738</v>
      </c>
      <c r="J6156" t="s">
        <v>32995</v>
      </c>
      <c r="K6156" t="s">
        <v>42625</v>
      </c>
      <c r="M6156" t="s">
        <v>45010</v>
      </c>
      <c r="N6156" t="s">
        <v>47304</v>
      </c>
      <c r="O6156" t="s">
        <v>47305</v>
      </c>
      <c r="P6156">
        <v>0</v>
      </c>
      <c r="Q6156">
        <v>2</v>
      </c>
      <c r="R6156" t="s">
        <v>47310</v>
      </c>
      <c r="S6156" t="s">
        <v>47435</v>
      </c>
      <c r="T6156" t="s">
        <v>49269</v>
      </c>
      <c r="U6156" t="s">
        <v>54668</v>
      </c>
      <c r="W6156" t="s">
        <v>45010</v>
      </c>
      <c r="X6156" t="s">
        <v>47311</v>
      </c>
    </row>
    <row r="6157" spans="1:24">
      <c r="A6157">
        <f>HYPERLINK("https://www.philgeps.gov.ph/GEPSNONPILOT/Tender/SplashBidNoticeAbstractUI.aspx?menuIndex=3&amp;refID=7193362&amp;Result=3","7193362")</f>
        <v>0</v>
      </c>
      <c r="B6157" t="s">
        <v>1937</v>
      </c>
      <c r="C6157" t="s">
        <v>9635</v>
      </c>
      <c r="D6157" t="s">
        <v>19065</v>
      </c>
      <c r="E6157" t="s">
        <v>24488</v>
      </c>
      <c r="F6157" t="s">
        <v>32606</v>
      </c>
      <c r="G6157" t="s">
        <v>32613</v>
      </c>
      <c r="H6157" t="s">
        <v>14201</v>
      </c>
      <c r="I6157" t="s">
        <v>7577</v>
      </c>
      <c r="J6157" t="s">
        <v>35579</v>
      </c>
      <c r="K6157" t="s">
        <v>42623</v>
      </c>
      <c r="M6157" t="s">
        <v>44998</v>
      </c>
      <c r="N6157" t="s">
        <v>47304</v>
      </c>
      <c r="O6157" t="s">
        <v>47305</v>
      </c>
      <c r="P6157">
        <v>0</v>
      </c>
      <c r="Q6157">
        <v>0</v>
      </c>
      <c r="R6157" t="s">
        <v>47310</v>
      </c>
      <c r="S6157" t="s">
        <v>47435</v>
      </c>
      <c r="T6157" t="s">
        <v>49002</v>
      </c>
      <c r="U6157" t="s">
        <v>54683</v>
      </c>
      <c r="W6157" t="s">
        <v>44998</v>
      </c>
      <c r="X6157" t="s">
        <v>47311</v>
      </c>
    </row>
    <row r="6158" spans="1:24">
      <c r="A6158">
        <f>HYPERLINK("https://www.philgeps.gov.ph/GEPSNONPILOT/Tender/SplashBidNoticeAbstractUI.aspx?menuIndex=3&amp;refID=7193336&amp;Result=3","7193336")</f>
        <v>0</v>
      </c>
      <c r="B6158" t="s">
        <v>1306</v>
      </c>
      <c r="C6158" t="s">
        <v>9636</v>
      </c>
      <c r="D6158" t="s">
        <v>19011</v>
      </c>
      <c r="E6158" t="s">
        <v>24489</v>
      </c>
      <c r="F6158" t="s">
        <v>32606</v>
      </c>
      <c r="G6158" t="s">
        <v>32613</v>
      </c>
      <c r="H6158" t="s">
        <v>14201</v>
      </c>
      <c r="I6158" t="s">
        <v>32686</v>
      </c>
      <c r="J6158" t="s">
        <v>36733</v>
      </c>
      <c r="K6158" t="s">
        <v>42636</v>
      </c>
      <c r="M6158" t="s">
        <v>45099</v>
      </c>
      <c r="N6158" t="s">
        <v>47304</v>
      </c>
      <c r="O6158" t="s">
        <v>47305</v>
      </c>
      <c r="P6158">
        <v>0</v>
      </c>
      <c r="Q6158">
        <v>4</v>
      </c>
      <c r="R6158" t="s">
        <v>47310</v>
      </c>
      <c r="S6158" t="s">
        <v>47435</v>
      </c>
      <c r="T6158" t="s">
        <v>49133</v>
      </c>
      <c r="U6158" t="s">
        <v>54630</v>
      </c>
      <c r="W6158" t="s">
        <v>45099</v>
      </c>
      <c r="X6158" t="s">
        <v>47311</v>
      </c>
    </row>
    <row r="6159" spans="1:24">
      <c r="A6159">
        <f>HYPERLINK("https://www.philgeps.gov.ph/GEPSNONPILOT/Tender/SplashBidNoticeAbstractUI.aspx?menuIndex=3&amp;refID=7193382&amp;Result=3","7193382")</f>
        <v>0</v>
      </c>
      <c r="B6159" t="s">
        <v>1306</v>
      </c>
      <c r="C6159" t="s">
        <v>9637</v>
      </c>
      <c r="D6159" t="s">
        <v>19011</v>
      </c>
      <c r="E6159" t="s">
        <v>24490</v>
      </c>
      <c r="F6159" t="s">
        <v>32606</v>
      </c>
      <c r="G6159" t="s">
        <v>32613</v>
      </c>
      <c r="H6159" t="s">
        <v>14201</v>
      </c>
      <c r="I6159" t="s">
        <v>32686</v>
      </c>
      <c r="J6159" t="s">
        <v>36734</v>
      </c>
      <c r="K6159" t="s">
        <v>42636</v>
      </c>
      <c r="M6159" t="s">
        <v>45099</v>
      </c>
      <c r="N6159" t="s">
        <v>47304</v>
      </c>
      <c r="O6159" t="s">
        <v>47305</v>
      </c>
      <c r="P6159">
        <v>0</v>
      </c>
      <c r="Q6159">
        <v>2</v>
      </c>
      <c r="R6159" t="s">
        <v>47310</v>
      </c>
      <c r="S6159" t="s">
        <v>47435</v>
      </c>
      <c r="T6159" t="s">
        <v>49133</v>
      </c>
      <c r="U6159" t="s">
        <v>54667</v>
      </c>
      <c r="W6159" t="s">
        <v>45099</v>
      </c>
      <c r="X6159" t="s">
        <v>47311</v>
      </c>
    </row>
    <row r="6160" spans="1:24">
      <c r="A6160">
        <f>HYPERLINK("https://www.philgeps.gov.ph/GEPSNONPILOT/Tender/SplashBidNoticeAbstractUI.aspx?menuIndex=3&amp;refID=7193380&amp;Result=3","7193380")</f>
        <v>0</v>
      </c>
      <c r="B6160" t="s">
        <v>2053</v>
      </c>
      <c r="C6160" t="s">
        <v>9638</v>
      </c>
      <c r="D6160" t="s">
        <v>18987</v>
      </c>
      <c r="E6160" t="s">
        <v>23388</v>
      </c>
      <c r="F6160" t="s">
        <v>32606</v>
      </c>
      <c r="G6160" t="s">
        <v>32613</v>
      </c>
      <c r="H6160" t="s">
        <v>14201</v>
      </c>
      <c r="I6160" t="s">
        <v>6931</v>
      </c>
      <c r="J6160" t="s">
        <v>36735</v>
      </c>
      <c r="K6160" t="s">
        <v>42631</v>
      </c>
      <c r="M6160" t="s">
        <v>45132</v>
      </c>
      <c r="N6160" t="s">
        <v>47304</v>
      </c>
      <c r="O6160" t="s">
        <v>47305</v>
      </c>
      <c r="P6160">
        <v>0</v>
      </c>
      <c r="Q6160">
        <v>0</v>
      </c>
      <c r="R6160" t="s">
        <v>47310</v>
      </c>
      <c r="S6160" t="s">
        <v>47435</v>
      </c>
      <c r="T6160" t="s">
        <v>49237</v>
      </c>
      <c r="U6160" t="s">
        <v>54684</v>
      </c>
      <c r="W6160" t="s">
        <v>45132</v>
      </c>
      <c r="X6160" t="s">
        <v>47311</v>
      </c>
    </row>
    <row r="6161" spans="1:24">
      <c r="A6161">
        <f>HYPERLINK("https://www.philgeps.gov.ph/GEPSNONPILOT/Tender/SplashBidNoticeAbstractUI.aspx?menuIndex=3&amp;refID=7193379&amp;Result=3","7193379")</f>
        <v>0</v>
      </c>
      <c r="B6161" t="s">
        <v>1949</v>
      </c>
      <c r="C6161" t="s">
        <v>9639</v>
      </c>
      <c r="D6161" t="s">
        <v>18995</v>
      </c>
      <c r="E6161" t="s">
        <v>24491</v>
      </c>
      <c r="F6161" t="s">
        <v>32606</v>
      </c>
      <c r="G6161" t="s">
        <v>32614</v>
      </c>
      <c r="H6161" t="s">
        <v>14201</v>
      </c>
      <c r="I6161" t="s">
        <v>4678</v>
      </c>
      <c r="J6161" t="s">
        <v>33569</v>
      </c>
      <c r="K6161" t="s">
        <v>42625</v>
      </c>
      <c r="M6161" t="s">
        <v>45010</v>
      </c>
      <c r="N6161" t="s">
        <v>47304</v>
      </c>
      <c r="O6161" t="s">
        <v>47305</v>
      </c>
      <c r="P6161">
        <v>0</v>
      </c>
      <c r="Q6161">
        <v>3</v>
      </c>
      <c r="R6161" t="s">
        <v>47310</v>
      </c>
      <c r="S6161" t="s">
        <v>47435</v>
      </c>
      <c r="T6161" t="s">
        <v>49269</v>
      </c>
      <c r="U6161" t="s">
        <v>54427</v>
      </c>
      <c r="W6161" t="s">
        <v>45010</v>
      </c>
      <c r="X6161" t="s">
        <v>47311</v>
      </c>
    </row>
    <row r="6162" spans="1:24">
      <c r="A6162">
        <f>HYPERLINK("https://www.philgeps.gov.ph/GEPSNONPILOT/Tender/SplashBidNoticeAbstractUI.aspx?menuIndex=3&amp;refID=7193376&amp;Result=3","7193376")</f>
        <v>0</v>
      </c>
      <c r="B6162" t="s">
        <v>2054</v>
      </c>
      <c r="C6162" t="s">
        <v>9640</v>
      </c>
      <c r="E6162" t="s">
        <v>24492</v>
      </c>
      <c r="F6162" t="s">
        <v>32606</v>
      </c>
      <c r="G6162" t="s">
        <v>32614</v>
      </c>
      <c r="H6162" t="s">
        <v>14201</v>
      </c>
      <c r="I6162" t="s">
        <v>17648</v>
      </c>
      <c r="J6162" t="s">
        <v>32949</v>
      </c>
      <c r="K6162" t="s">
        <v>42624</v>
      </c>
      <c r="M6162" t="s">
        <v>45133</v>
      </c>
      <c r="N6162" t="s">
        <v>47304</v>
      </c>
      <c r="O6162" t="s">
        <v>47305</v>
      </c>
      <c r="P6162">
        <v>0</v>
      </c>
      <c r="Q6162">
        <v>1</v>
      </c>
      <c r="R6162" t="s">
        <v>47310</v>
      </c>
      <c r="S6162" t="s">
        <v>47435</v>
      </c>
      <c r="T6162" t="s">
        <v>49053</v>
      </c>
      <c r="U6162" t="s">
        <v>54685</v>
      </c>
      <c r="W6162" t="s">
        <v>45133</v>
      </c>
      <c r="X6162" t="s">
        <v>47311</v>
      </c>
    </row>
    <row r="6163" spans="1:24">
      <c r="A6163">
        <f>HYPERLINK("https://www.philgeps.gov.ph/GEPSNONPILOT/Tender/SplashBidNoticeAbstractUI.aspx?menuIndex=3&amp;refID=7193374&amp;Result=3","7193374")</f>
        <v>0</v>
      </c>
      <c r="B6163" t="s">
        <v>2054</v>
      </c>
      <c r="C6163" t="s">
        <v>9641</v>
      </c>
      <c r="E6163" t="s">
        <v>24493</v>
      </c>
      <c r="F6163" t="s">
        <v>32606</v>
      </c>
      <c r="G6163" t="s">
        <v>32614</v>
      </c>
      <c r="H6163" t="s">
        <v>14201</v>
      </c>
      <c r="I6163" t="s">
        <v>4112</v>
      </c>
      <c r="J6163" t="s">
        <v>33221</v>
      </c>
      <c r="K6163" t="s">
        <v>42624</v>
      </c>
      <c r="M6163" t="s">
        <v>45133</v>
      </c>
      <c r="N6163" t="s">
        <v>47304</v>
      </c>
      <c r="O6163" t="s">
        <v>47305</v>
      </c>
      <c r="P6163">
        <v>0</v>
      </c>
      <c r="Q6163">
        <v>1</v>
      </c>
      <c r="R6163" t="s">
        <v>47310</v>
      </c>
      <c r="S6163" t="s">
        <v>47435</v>
      </c>
      <c r="T6163" t="s">
        <v>49053</v>
      </c>
      <c r="U6163" t="s">
        <v>54685</v>
      </c>
      <c r="W6163" t="s">
        <v>45133</v>
      </c>
      <c r="X6163" t="s">
        <v>47311</v>
      </c>
    </row>
    <row r="6164" spans="1:24">
      <c r="A6164">
        <f>HYPERLINK("https://www.philgeps.gov.ph/GEPSNONPILOT/Tender/SplashBidNoticeAbstractUI.aspx?menuIndex=3&amp;refID=7193372&amp;Result=3","7193372")</f>
        <v>0</v>
      </c>
      <c r="B6164" t="s">
        <v>2054</v>
      </c>
      <c r="C6164" t="s">
        <v>9642</v>
      </c>
      <c r="D6164" t="s">
        <v>19008</v>
      </c>
      <c r="E6164" t="s">
        <v>24494</v>
      </c>
      <c r="F6164" t="s">
        <v>32606</v>
      </c>
      <c r="G6164" t="s">
        <v>32614</v>
      </c>
      <c r="H6164" t="s">
        <v>14201</v>
      </c>
      <c r="I6164" t="s">
        <v>6298</v>
      </c>
      <c r="J6164" t="s">
        <v>32781</v>
      </c>
      <c r="K6164" t="s">
        <v>42624</v>
      </c>
      <c r="M6164" t="s">
        <v>45133</v>
      </c>
      <c r="N6164" t="s">
        <v>47304</v>
      </c>
      <c r="O6164" t="s">
        <v>47305</v>
      </c>
      <c r="P6164">
        <v>0</v>
      </c>
      <c r="Q6164">
        <v>0</v>
      </c>
      <c r="R6164" t="s">
        <v>47310</v>
      </c>
      <c r="S6164" t="s">
        <v>47435</v>
      </c>
      <c r="T6164" t="s">
        <v>49053</v>
      </c>
      <c r="U6164" t="s">
        <v>54685</v>
      </c>
      <c r="W6164" t="s">
        <v>45133</v>
      </c>
      <c r="X6164" t="s">
        <v>47311</v>
      </c>
    </row>
    <row r="6165" spans="1:24">
      <c r="A6165">
        <f>HYPERLINK("https://www.philgeps.gov.ph/GEPSNONPILOT/Tender/SplashBidNoticeAbstractUI.aspx?menuIndex=3&amp;refID=7192864&amp;Result=3","7192864")</f>
        <v>0</v>
      </c>
      <c r="B6165" t="s">
        <v>2055</v>
      </c>
      <c r="C6165" t="s">
        <v>4547</v>
      </c>
      <c r="D6165" t="s">
        <v>19028</v>
      </c>
      <c r="E6165" t="s">
        <v>20998</v>
      </c>
      <c r="F6165" t="s">
        <v>32606</v>
      </c>
      <c r="G6165" t="s">
        <v>32617</v>
      </c>
      <c r="H6165" t="s">
        <v>14201</v>
      </c>
      <c r="I6165" t="s">
        <v>4120</v>
      </c>
      <c r="J6165" t="s">
        <v>32977</v>
      </c>
      <c r="K6165" t="s">
        <v>42629</v>
      </c>
      <c r="M6165" t="s">
        <v>45134</v>
      </c>
      <c r="N6165" t="s">
        <v>47304</v>
      </c>
      <c r="O6165" t="s">
        <v>47305</v>
      </c>
      <c r="P6165">
        <v>0</v>
      </c>
      <c r="Q6165">
        <v>1</v>
      </c>
      <c r="R6165" t="s">
        <v>47310</v>
      </c>
      <c r="S6165" t="s">
        <v>47435</v>
      </c>
      <c r="T6165" t="s">
        <v>49047</v>
      </c>
      <c r="U6165" t="s">
        <v>54686</v>
      </c>
      <c r="W6165" t="s">
        <v>45134</v>
      </c>
      <c r="X6165" t="s">
        <v>47312</v>
      </c>
    </row>
    <row r="6166" spans="1:24">
      <c r="A6166">
        <f>HYPERLINK("https://www.philgeps.gov.ph/GEPSNONPILOT/Tender/SplashBidNoticeAbstractUI.aspx?menuIndex=3&amp;refID=7193393&amp;Result=3","7193393")</f>
        <v>0</v>
      </c>
      <c r="B6166" t="s">
        <v>2053</v>
      </c>
      <c r="C6166" t="s">
        <v>9643</v>
      </c>
      <c r="D6166" t="s">
        <v>18987</v>
      </c>
      <c r="E6166" t="s">
        <v>24495</v>
      </c>
      <c r="F6166" t="s">
        <v>32606</v>
      </c>
      <c r="G6166" t="s">
        <v>32613</v>
      </c>
      <c r="H6166" t="s">
        <v>14201</v>
      </c>
      <c r="I6166" t="s">
        <v>6931</v>
      </c>
      <c r="J6166" t="s">
        <v>36736</v>
      </c>
      <c r="K6166" t="s">
        <v>42631</v>
      </c>
      <c r="M6166" t="s">
        <v>45132</v>
      </c>
      <c r="N6166" t="s">
        <v>47304</v>
      </c>
      <c r="O6166" t="s">
        <v>47305</v>
      </c>
      <c r="P6166">
        <v>0</v>
      </c>
      <c r="Q6166">
        <v>0</v>
      </c>
      <c r="R6166" t="s">
        <v>47310</v>
      </c>
      <c r="S6166" t="s">
        <v>47435</v>
      </c>
      <c r="T6166" t="s">
        <v>49237</v>
      </c>
      <c r="U6166" t="s">
        <v>54687</v>
      </c>
      <c r="W6166" t="s">
        <v>45132</v>
      </c>
      <c r="X6166" t="s">
        <v>47311</v>
      </c>
    </row>
    <row r="6167" spans="1:24">
      <c r="A6167">
        <f>HYPERLINK("https://www.philgeps.gov.ph/GEPSNONPILOT/Tender/SplashBidNoticeAbstractUI.aspx?menuIndex=3&amp;refID=7193361&amp;Result=3","7193361")</f>
        <v>0</v>
      </c>
      <c r="B6167" t="s">
        <v>1949</v>
      </c>
      <c r="C6167" t="s">
        <v>9644</v>
      </c>
      <c r="D6167" t="s">
        <v>18995</v>
      </c>
      <c r="E6167" t="s">
        <v>24496</v>
      </c>
      <c r="F6167" t="s">
        <v>32606</v>
      </c>
      <c r="G6167" t="s">
        <v>32614</v>
      </c>
      <c r="H6167" t="s">
        <v>14201</v>
      </c>
      <c r="I6167" t="s">
        <v>32716</v>
      </c>
      <c r="J6167" t="s">
        <v>32820</v>
      </c>
      <c r="K6167" t="s">
        <v>42625</v>
      </c>
      <c r="M6167" t="s">
        <v>45010</v>
      </c>
      <c r="N6167" t="s">
        <v>47304</v>
      </c>
      <c r="O6167" t="s">
        <v>47305</v>
      </c>
      <c r="P6167">
        <v>0</v>
      </c>
      <c r="Q6167">
        <v>5</v>
      </c>
      <c r="R6167" t="s">
        <v>47310</v>
      </c>
      <c r="S6167" t="s">
        <v>47435</v>
      </c>
      <c r="T6167" t="s">
        <v>49269</v>
      </c>
      <c r="U6167" t="s">
        <v>54668</v>
      </c>
      <c r="W6167" t="s">
        <v>45010</v>
      </c>
      <c r="X6167" t="s">
        <v>47311</v>
      </c>
    </row>
    <row r="6168" spans="1:24">
      <c r="A6168">
        <f>HYPERLINK("https://www.philgeps.gov.ph/GEPSNONPILOT/Tender/SplashBidNoticeAbstractUI.aspx?menuIndex=3&amp;refID=7193041&amp;Result=3","7193041")</f>
        <v>0</v>
      </c>
      <c r="B6168" t="s">
        <v>2056</v>
      </c>
      <c r="C6168" t="s">
        <v>9645</v>
      </c>
      <c r="D6168" t="s">
        <v>19063</v>
      </c>
      <c r="E6168" t="s">
        <v>24497</v>
      </c>
      <c r="F6168" t="s">
        <v>32606</v>
      </c>
      <c r="G6168" t="s">
        <v>32613</v>
      </c>
      <c r="H6168" t="s">
        <v>14201</v>
      </c>
      <c r="I6168" t="s">
        <v>32661</v>
      </c>
      <c r="J6168" t="s">
        <v>36737</v>
      </c>
      <c r="K6168" t="s">
        <v>42622</v>
      </c>
      <c r="M6168" t="s">
        <v>45135</v>
      </c>
      <c r="N6168" t="s">
        <v>47304</v>
      </c>
      <c r="O6168" t="s">
        <v>47305</v>
      </c>
      <c r="P6168">
        <v>0</v>
      </c>
      <c r="Q6168">
        <v>0</v>
      </c>
      <c r="R6168" t="s">
        <v>47310</v>
      </c>
      <c r="S6168" t="s">
        <v>47435</v>
      </c>
      <c r="T6168" t="s">
        <v>48986</v>
      </c>
      <c r="U6168" t="s">
        <v>54688</v>
      </c>
      <c r="V6168" t="s">
        <v>62846</v>
      </c>
      <c r="W6168" t="s">
        <v>45135</v>
      </c>
      <c r="X6168" t="s">
        <v>47312</v>
      </c>
    </row>
    <row r="6169" spans="1:24">
      <c r="A6169">
        <f>HYPERLINK("https://www.philgeps.gov.ph/GEPSNONPILOT/Tender/SplashBidNoticeAbstractUI.aspx?menuIndex=3&amp;refID=7193377&amp;Result=3","7193377")</f>
        <v>0</v>
      </c>
      <c r="B6169" t="s">
        <v>1306</v>
      </c>
      <c r="C6169" t="s">
        <v>9646</v>
      </c>
      <c r="D6169" t="s">
        <v>19011</v>
      </c>
      <c r="E6169" t="s">
        <v>24498</v>
      </c>
      <c r="F6169" t="s">
        <v>32606</v>
      </c>
      <c r="G6169" t="s">
        <v>32613</v>
      </c>
      <c r="H6169" t="s">
        <v>14201</v>
      </c>
      <c r="I6169" t="s">
        <v>32686</v>
      </c>
      <c r="J6169" t="s">
        <v>36738</v>
      </c>
      <c r="K6169" t="s">
        <v>42636</v>
      </c>
      <c r="M6169" t="s">
        <v>45099</v>
      </c>
      <c r="N6169" t="s">
        <v>47304</v>
      </c>
      <c r="O6169" t="s">
        <v>47305</v>
      </c>
      <c r="P6169">
        <v>0</v>
      </c>
      <c r="Q6169">
        <v>2</v>
      </c>
      <c r="R6169" t="s">
        <v>47310</v>
      </c>
      <c r="S6169" t="s">
        <v>47435</v>
      </c>
      <c r="T6169" t="s">
        <v>49133</v>
      </c>
      <c r="U6169" t="s">
        <v>54652</v>
      </c>
      <c r="W6169" t="s">
        <v>45099</v>
      </c>
      <c r="X6169" t="s">
        <v>47311</v>
      </c>
    </row>
    <row r="6170" spans="1:24">
      <c r="A6170">
        <f>HYPERLINK("https://www.philgeps.gov.ph/GEPSNONPILOT/Tender/SplashBidNoticeAbstractUI.aspx?menuIndex=3&amp;refID=7193385&amp;Result=3","7193385")</f>
        <v>0</v>
      </c>
      <c r="B6170" t="s">
        <v>1949</v>
      </c>
      <c r="C6170" t="s">
        <v>9647</v>
      </c>
      <c r="D6170" t="s">
        <v>18995</v>
      </c>
      <c r="E6170" t="s">
        <v>24499</v>
      </c>
      <c r="F6170" t="s">
        <v>32606</v>
      </c>
      <c r="G6170" t="s">
        <v>32614</v>
      </c>
      <c r="H6170" t="s">
        <v>14201</v>
      </c>
      <c r="I6170" t="s">
        <v>32633</v>
      </c>
      <c r="J6170" t="s">
        <v>36739</v>
      </c>
      <c r="K6170" t="s">
        <v>42625</v>
      </c>
      <c r="M6170" t="s">
        <v>45010</v>
      </c>
      <c r="N6170" t="s">
        <v>47304</v>
      </c>
      <c r="O6170" t="s">
        <v>47305</v>
      </c>
      <c r="P6170">
        <v>0</v>
      </c>
      <c r="Q6170">
        <v>7</v>
      </c>
      <c r="R6170" t="s">
        <v>47310</v>
      </c>
      <c r="S6170" t="s">
        <v>47435</v>
      </c>
      <c r="T6170" t="s">
        <v>49269</v>
      </c>
      <c r="U6170" t="s">
        <v>54689</v>
      </c>
      <c r="W6170" t="s">
        <v>45010</v>
      </c>
      <c r="X6170" t="s">
        <v>47311</v>
      </c>
    </row>
    <row r="6171" spans="1:24">
      <c r="A6171">
        <f>HYPERLINK("https://www.philgeps.gov.ph/GEPSNONPILOT/Tender/SplashBidNoticeAbstractUI.aspx?menuIndex=3&amp;refID=7193370&amp;Result=3","7193370")</f>
        <v>0</v>
      </c>
      <c r="B6171" t="s">
        <v>2053</v>
      </c>
      <c r="C6171" t="s">
        <v>9638</v>
      </c>
      <c r="D6171" t="s">
        <v>18987</v>
      </c>
      <c r="E6171" t="s">
        <v>23472</v>
      </c>
      <c r="F6171" t="s">
        <v>32606</v>
      </c>
      <c r="G6171" t="s">
        <v>32613</v>
      </c>
      <c r="H6171" t="s">
        <v>14201</v>
      </c>
      <c r="I6171" t="s">
        <v>6931</v>
      </c>
      <c r="J6171" t="s">
        <v>36740</v>
      </c>
      <c r="K6171" t="s">
        <v>42631</v>
      </c>
      <c r="M6171" t="s">
        <v>45132</v>
      </c>
      <c r="N6171" t="s">
        <v>47304</v>
      </c>
      <c r="O6171" t="s">
        <v>47305</v>
      </c>
      <c r="P6171">
        <v>0</v>
      </c>
      <c r="Q6171">
        <v>0</v>
      </c>
      <c r="R6171" t="s">
        <v>47310</v>
      </c>
      <c r="S6171" t="s">
        <v>47435</v>
      </c>
      <c r="T6171" t="s">
        <v>49237</v>
      </c>
      <c r="U6171" t="s">
        <v>54690</v>
      </c>
      <c r="W6171" t="s">
        <v>45132</v>
      </c>
      <c r="X6171" t="s">
        <v>47311</v>
      </c>
    </row>
    <row r="6172" spans="1:24">
      <c r="A6172">
        <f>HYPERLINK("https://www.philgeps.gov.ph/GEPSNONPILOT/Tender/SplashBidNoticeAbstractUI.aspx?menuIndex=3&amp;refID=7193043&amp;Result=3","7193043")</f>
        <v>0</v>
      </c>
      <c r="B6172" t="s">
        <v>1783</v>
      </c>
      <c r="C6172" t="s">
        <v>4129</v>
      </c>
      <c r="D6172" t="s">
        <v>19014</v>
      </c>
      <c r="E6172" t="s">
        <v>24393</v>
      </c>
      <c r="F6172" t="s">
        <v>32606</v>
      </c>
      <c r="G6172" t="s">
        <v>32613</v>
      </c>
      <c r="H6172" t="s">
        <v>14201</v>
      </c>
      <c r="I6172" t="s">
        <v>4120</v>
      </c>
      <c r="J6172" t="s">
        <v>32833</v>
      </c>
      <c r="K6172" t="s">
        <v>42631</v>
      </c>
      <c r="L6172" t="s">
        <v>1783</v>
      </c>
      <c r="M6172" t="s">
        <v>44823</v>
      </c>
      <c r="N6172" t="s">
        <v>47304</v>
      </c>
      <c r="O6172" t="s">
        <v>47305</v>
      </c>
      <c r="P6172">
        <v>0</v>
      </c>
      <c r="Q6172">
        <v>2</v>
      </c>
      <c r="R6172" t="s">
        <v>47310</v>
      </c>
      <c r="S6172" t="s">
        <v>47435</v>
      </c>
      <c r="T6172" t="s">
        <v>49334</v>
      </c>
      <c r="U6172" t="s">
        <v>54691</v>
      </c>
      <c r="W6172" t="s">
        <v>44823</v>
      </c>
      <c r="X6172" t="s">
        <v>47312</v>
      </c>
    </row>
    <row r="6173" spans="1:24">
      <c r="A6173">
        <f>HYPERLINK("https://www.philgeps.gov.ph/GEPSNONPILOT/Tender/SplashBidNoticeAbstractUI.aspx?menuIndex=3&amp;refID=7193391&amp;Result=3","7193391")</f>
        <v>0</v>
      </c>
      <c r="B6173" t="s">
        <v>2057</v>
      </c>
      <c r="C6173" t="s">
        <v>9648</v>
      </c>
      <c r="D6173" t="s">
        <v>19011</v>
      </c>
      <c r="E6173" t="s">
        <v>24500</v>
      </c>
      <c r="F6173" t="s">
        <v>32606</v>
      </c>
      <c r="G6173" t="s">
        <v>32615</v>
      </c>
      <c r="H6173" t="s">
        <v>14201</v>
      </c>
      <c r="I6173" t="s">
        <v>17648</v>
      </c>
      <c r="J6173" t="s">
        <v>36741</v>
      </c>
      <c r="K6173" t="s">
        <v>42624</v>
      </c>
      <c r="M6173" t="s">
        <v>45136</v>
      </c>
      <c r="N6173" t="s">
        <v>47304</v>
      </c>
      <c r="O6173" t="s">
        <v>47305</v>
      </c>
      <c r="P6173">
        <v>0</v>
      </c>
      <c r="Q6173">
        <v>0</v>
      </c>
      <c r="R6173" t="s">
        <v>47310</v>
      </c>
      <c r="S6173" t="s">
        <v>47435</v>
      </c>
      <c r="T6173" t="s">
        <v>49337</v>
      </c>
      <c r="U6173" t="s">
        <v>54692</v>
      </c>
      <c r="W6173" t="s">
        <v>45136</v>
      </c>
      <c r="X6173" t="s">
        <v>47311</v>
      </c>
    </row>
    <row r="6174" spans="1:24">
      <c r="A6174">
        <f>HYPERLINK("https://www.philgeps.gov.ph/GEPSNONPILOT/Tender/SplashBidNoticeAbstractUI.aspx?menuIndex=3&amp;refID=7193367&amp;Result=3","7193367")</f>
        <v>0</v>
      </c>
      <c r="B6174" t="s">
        <v>1306</v>
      </c>
      <c r="C6174" t="s">
        <v>9649</v>
      </c>
      <c r="D6174" t="s">
        <v>19011</v>
      </c>
      <c r="E6174" t="s">
        <v>24501</v>
      </c>
      <c r="F6174" t="s">
        <v>32606</v>
      </c>
      <c r="G6174" t="s">
        <v>32613</v>
      </c>
      <c r="H6174" t="s">
        <v>14201</v>
      </c>
      <c r="I6174" t="s">
        <v>32686</v>
      </c>
      <c r="J6174" t="s">
        <v>36742</v>
      </c>
      <c r="K6174" t="s">
        <v>42636</v>
      </c>
      <c r="M6174" t="s">
        <v>45099</v>
      </c>
      <c r="N6174" t="s">
        <v>47304</v>
      </c>
      <c r="O6174" t="s">
        <v>47305</v>
      </c>
      <c r="P6174">
        <v>0</v>
      </c>
      <c r="Q6174">
        <v>3</v>
      </c>
      <c r="R6174" t="s">
        <v>47310</v>
      </c>
      <c r="S6174" t="s">
        <v>47435</v>
      </c>
      <c r="T6174" t="s">
        <v>49133</v>
      </c>
      <c r="U6174" t="s">
        <v>54630</v>
      </c>
      <c r="W6174" t="s">
        <v>45099</v>
      </c>
      <c r="X6174" t="s">
        <v>47311</v>
      </c>
    </row>
    <row r="6175" spans="1:24">
      <c r="A6175">
        <f>HYPERLINK("https://www.philgeps.gov.ph/GEPSNONPILOT/Tender/SplashBidNoticeAbstractUI.aspx?menuIndex=3&amp;refID=7193365&amp;Result=3","7193365")</f>
        <v>0</v>
      </c>
      <c r="B6175" t="s">
        <v>2054</v>
      </c>
      <c r="C6175" t="s">
        <v>9650</v>
      </c>
      <c r="D6175" t="s">
        <v>19008</v>
      </c>
      <c r="E6175" t="s">
        <v>24502</v>
      </c>
      <c r="F6175" t="s">
        <v>32606</v>
      </c>
      <c r="G6175" t="s">
        <v>32614</v>
      </c>
      <c r="H6175" t="s">
        <v>14201</v>
      </c>
      <c r="I6175" t="s">
        <v>6298</v>
      </c>
      <c r="J6175" t="s">
        <v>32981</v>
      </c>
      <c r="K6175" t="s">
        <v>42624</v>
      </c>
      <c r="M6175" t="s">
        <v>45133</v>
      </c>
      <c r="N6175" t="s">
        <v>47304</v>
      </c>
      <c r="O6175" t="s">
        <v>47305</v>
      </c>
      <c r="P6175">
        <v>0</v>
      </c>
      <c r="Q6175">
        <v>0</v>
      </c>
      <c r="R6175" t="s">
        <v>47310</v>
      </c>
      <c r="S6175" t="s">
        <v>47435</v>
      </c>
      <c r="T6175" t="s">
        <v>49053</v>
      </c>
      <c r="U6175" t="s">
        <v>54685</v>
      </c>
      <c r="W6175" t="s">
        <v>45133</v>
      </c>
      <c r="X6175" t="s">
        <v>47311</v>
      </c>
    </row>
    <row r="6176" spans="1:24">
      <c r="A6176">
        <f>HYPERLINK("https://www.philgeps.gov.ph/GEPSNONPILOT/Tender/SplashBidNoticeAbstractUI.aspx?menuIndex=3&amp;refID=7193384&amp;Result=3","7193384")</f>
        <v>0</v>
      </c>
      <c r="B6176" t="s">
        <v>2058</v>
      </c>
      <c r="C6176" t="s">
        <v>9651</v>
      </c>
      <c r="D6176" t="s">
        <v>19044</v>
      </c>
      <c r="E6176" t="s">
        <v>24503</v>
      </c>
      <c r="F6176" t="s">
        <v>32606</v>
      </c>
      <c r="G6176" t="s">
        <v>32613</v>
      </c>
      <c r="H6176" t="s">
        <v>14201</v>
      </c>
      <c r="I6176" t="s">
        <v>6298</v>
      </c>
      <c r="J6176" t="s">
        <v>36743</v>
      </c>
      <c r="K6176" t="s">
        <v>42632</v>
      </c>
      <c r="M6176" t="s">
        <v>45137</v>
      </c>
      <c r="N6176" t="s">
        <v>47304</v>
      </c>
      <c r="O6176" t="s">
        <v>47305</v>
      </c>
      <c r="P6176">
        <v>0</v>
      </c>
      <c r="Q6176">
        <v>1</v>
      </c>
      <c r="R6176" t="s">
        <v>47310</v>
      </c>
      <c r="S6176" t="s">
        <v>47435</v>
      </c>
      <c r="T6176" t="s">
        <v>49338</v>
      </c>
      <c r="U6176" t="s">
        <v>54693</v>
      </c>
      <c r="W6176" t="s">
        <v>45137</v>
      </c>
      <c r="X6176" t="s">
        <v>47311</v>
      </c>
    </row>
    <row r="6177" spans="1:24">
      <c r="A6177">
        <f>HYPERLINK("https://www.philgeps.gov.ph/GEPSNONPILOT/Tender/SplashBidNoticeAbstractUI.aspx?menuIndex=3&amp;refID=7193369&amp;Result=3","7193369")</f>
        <v>0</v>
      </c>
      <c r="B6177" t="s">
        <v>1949</v>
      </c>
      <c r="C6177" t="s">
        <v>9652</v>
      </c>
      <c r="D6177" t="s">
        <v>18995</v>
      </c>
      <c r="E6177" t="s">
        <v>24504</v>
      </c>
      <c r="F6177" t="s">
        <v>32606</v>
      </c>
      <c r="G6177" t="s">
        <v>32614</v>
      </c>
      <c r="H6177" t="s">
        <v>14201</v>
      </c>
      <c r="I6177" t="s">
        <v>32633</v>
      </c>
      <c r="J6177" t="s">
        <v>32981</v>
      </c>
      <c r="K6177" t="s">
        <v>42625</v>
      </c>
      <c r="M6177" t="s">
        <v>45010</v>
      </c>
      <c r="N6177" t="s">
        <v>47304</v>
      </c>
      <c r="O6177" t="s">
        <v>47305</v>
      </c>
      <c r="P6177">
        <v>0</v>
      </c>
      <c r="Q6177">
        <v>5</v>
      </c>
      <c r="R6177" t="s">
        <v>47310</v>
      </c>
      <c r="S6177" t="s">
        <v>47435</v>
      </c>
      <c r="T6177" t="s">
        <v>49269</v>
      </c>
      <c r="U6177" t="s">
        <v>54668</v>
      </c>
      <c r="W6177" t="s">
        <v>45010</v>
      </c>
      <c r="X6177" t="s">
        <v>47311</v>
      </c>
    </row>
    <row r="6178" spans="1:24">
      <c r="A6178">
        <f>HYPERLINK("https://www.philgeps.gov.ph/GEPSNONPILOT/Tender/SplashBidNoticeAbstractUI.aspx?menuIndex=3&amp;refID=7193388&amp;Result=3","7193388")</f>
        <v>0</v>
      </c>
      <c r="B6178" t="s">
        <v>1949</v>
      </c>
      <c r="C6178" t="s">
        <v>9653</v>
      </c>
      <c r="D6178" t="s">
        <v>18995</v>
      </c>
      <c r="E6178" t="s">
        <v>24505</v>
      </c>
      <c r="F6178" t="s">
        <v>32606</v>
      </c>
      <c r="G6178" t="s">
        <v>32614</v>
      </c>
      <c r="H6178" t="s">
        <v>14201</v>
      </c>
      <c r="I6178" t="s">
        <v>32629</v>
      </c>
      <c r="J6178" t="s">
        <v>32799</v>
      </c>
      <c r="K6178" t="s">
        <v>42631</v>
      </c>
      <c r="M6178" t="s">
        <v>45010</v>
      </c>
      <c r="N6178" t="s">
        <v>47304</v>
      </c>
      <c r="O6178" t="s">
        <v>47305</v>
      </c>
      <c r="P6178">
        <v>0</v>
      </c>
      <c r="Q6178">
        <v>1</v>
      </c>
      <c r="R6178" t="s">
        <v>47310</v>
      </c>
      <c r="S6178" t="s">
        <v>47435</v>
      </c>
      <c r="T6178" t="s">
        <v>49269</v>
      </c>
      <c r="U6178" t="s">
        <v>54668</v>
      </c>
      <c r="W6178" t="s">
        <v>45010</v>
      </c>
      <c r="X6178" t="s">
        <v>47311</v>
      </c>
    </row>
    <row r="6179" spans="1:24">
      <c r="A6179">
        <f>HYPERLINK("https://www.philgeps.gov.ph/GEPSNONPILOT/Tender/SplashBidNoticeAbstractUI.aspx?menuIndex=3&amp;refID=7193373&amp;Result=3","7193373")</f>
        <v>0</v>
      </c>
      <c r="B6179" t="s">
        <v>1306</v>
      </c>
      <c r="C6179" t="s">
        <v>9654</v>
      </c>
      <c r="D6179" t="s">
        <v>19011</v>
      </c>
      <c r="E6179" t="s">
        <v>24506</v>
      </c>
      <c r="F6179" t="s">
        <v>32606</v>
      </c>
      <c r="G6179" t="s">
        <v>32613</v>
      </c>
      <c r="H6179" t="s">
        <v>14201</v>
      </c>
      <c r="I6179" t="s">
        <v>32686</v>
      </c>
      <c r="J6179" t="s">
        <v>36744</v>
      </c>
      <c r="K6179" t="s">
        <v>42636</v>
      </c>
      <c r="M6179" t="s">
        <v>45099</v>
      </c>
      <c r="N6179" t="s">
        <v>47304</v>
      </c>
      <c r="O6179" t="s">
        <v>47305</v>
      </c>
      <c r="P6179">
        <v>0</v>
      </c>
      <c r="Q6179">
        <v>4</v>
      </c>
      <c r="R6179" t="s">
        <v>47310</v>
      </c>
      <c r="S6179" t="s">
        <v>47435</v>
      </c>
      <c r="T6179" t="s">
        <v>49133</v>
      </c>
      <c r="U6179" t="s">
        <v>54652</v>
      </c>
      <c r="W6179" t="s">
        <v>45099</v>
      </c>
      <c r="X6179" t="s">
        <v>47311</v>
      </c>
    </row>
    <row r="6180" spans="1:24">
      <c r="A6180">
        <f>HYPERLINK("https://www.philgeps.gov.ph/GEPSNONPILOT/Tender/SplashBidNoticeAbstractUI.aspx?menuIndex=3&amp;refID=7193366&amp;Result=3","7193366")</f>
        <v>0</v>
      </c>
      <c r="B6180" t="s">
        <v>2054</v>
      </c>
      <c r="C6180" t="s">
        <v>9655</v>
      </c>
      <c r="D6180" t="s">
        <v>19008</v>
      </c>
      <c r="E6180" t="s">
        <v>24507</v>
      </c>
      <c r="F6180" t="s">
        <v>32606</v>
      </c>
      <c r="G6180" t="s">
        <v>32614</v>
      </c>
      <c r="H6180" t="s">
        <v>14201</v>
      </c>
      <c r="I6180" t="s">
        <v>32633</v>
      </c>
      <c r="J6180" t="s">
        <v>34401</v>
      </c>
      <c r="K6180" t="s">
        <v>42624</v>
      </c>
      <c r="M6180" t="s">
        <v>45133</v>
      </c>
      <c r="N6180" t="s">
        <v>47304</v>
      </c>
      <c r="O6180" t="s">
        <v>47305</v>
      </c>
      <c r="P6180">
        <v>0</v>
      </c>
      <c r="Q6180">
        <v>4</v>
      </c>
      <c r="R6180" t="s">
        <v>47310</v>
      </c>
      <c r="S6180" t="s">
        <v>47435</v>
      </c>
      <c r="T6180" t="s">
        <v>49053</v>
      </c>
      <c r="U6180" t="s">
        <v>54685</v>
      </c>
      <c r="W6180" t="s">
        <v>45133</v>
      </c>
      <c r="X6180" t="s">
        <v>47311</v>
      </c>
    </row>
    <row r="6181" spans="1:24">
      <c r="A6181">
        <f>HYPERLINK("https://www.philgeps.gov.ph/GEPSNONPILOT/Tender/SplashBidNoticeAbstractUI.aspx?menuIndex=3&amp;refID=7193289&amp;Result=3","7193289")</f>
        <v>0</v>
      </c>
      <c r="B6181" t="s">
        <v>2042</v>
      </c>
      <c r="C6181" t="s">
        <v>9656</v>
      </c>
      <c r="D6181" t="s">
        <v>19070</v>
      </c>
      <c r="E6181" t="s">
        <v>24508</v>
      </c>
      <c r="F6181" t="s">
        <v>32606</v>
      </c>
      <c r="G6181" t="s">
        <v>32619</v>
      </c>
      <c r="H6181" t="s">
        <v>14201</v>
      </c>
      <c r="I6181" t="s">
        <v>32671</v>
      </c>
      <c r="J6181" t="s">
        <v>36745</v>
      </c>
      <c r="K6181" t="s">
        <v>42622</v>
      </c>
      <c r="M6181" t="s">
        <v>45120</v>
      </c>
      <c r="N6181" t="s">
        <v>47304</v>
      </c>
      <c r="O6181" t="s">
        <v>47305</v>
      </c>
      <c r="P6181">
        <v>0</v>
      </c>
      <c r="Q6181">
        <v>0</v>
      </c>
      <c r="R6181" t="s">
        <v>47310</v>
      </c>
      <c r="S6181" t="s">
        <v>47435</v>
      </c>
      <c r="T6181" t="s">
        <v>49053</v>
      </c>
      <c r="U6181" t="s">
        <v>54641</v>
      </c>
      <c r="W6181" t="s">
        <v>45120</v>
      </c>
      <c r="X6181" t="s">
        <v>47311</v>
      </c>
    </row>
    <row r="6182" spans="1:24">
      <c r="A6182">
        <f>HYPERLINK("https://www.philgeps.gov.ph/GEPSNONPILOT/Tender/SplashBidNoticeAbstractUI.aspx?menuIndex=3&amp;refID=7193397&amp;Result=3","7193397")</f>
        <v>0</v>
      </c>
      <c r="B6182" t="s">
        <v>2059</v>
      </c>
      <c r="C6182" t="s">
        <v>9657</v>
      </c>
      <c r="D6182" t="s">
        <v>19006</v>
      </c>
      <c r="E6182" t="s">
        <v>24509</v>
      </c>
      <c r="F6182" t="s">
        <v>32606</v>
      </c>
      <c r="G6182" t="s">
        <v>32613</v>
      </c>
      <c r="H6182" t="s">
        <v>32623</v>
      </c>
      <c r="I6182" t="s">
        <v>17648</v>
      </c>
      <c r="J6182" t="s">
        <v>33119</v>
      </c>
      <c r="K6182" t="s">
        <v>42627</v>
      </c>
      <c r="M6182" t="s">
        <v>45138</v>
      </c>
      <c r="N6182" t="s">
        <v>47304</v>
      </c>
      <c r="O6182" t="s">
        <v>47305</v>
      </c>
      <c r="P6182">
        <v>0</v>
      </c>
      <c r="Q6182">
        <v>0</v>
      </c>
      <c r="R6182" t="s">
        <v>47310</v>
      </c>
      <c r="S6182" t="s">
        <v>47435</v>
      </c>
      <c r="T6182" t="s">
        <v>49204</v>
      </c>
      <c r="U6182" t="s">
        <v>54694</v>
      </c>
      <c r="W6182" t="s">
        <v>45138</v>
      </c>
      <c r="X6182" t="s">
        <v>47311</v>
      </c>
    </row>
    <row r="6183" spans="1:24">
      <c r="A6183">
        <f>HYPERLINK("https://www.philgeps.gov.ph/GEPSNONPILOT/Tender/SplashBidNoticeAbstractUI.aspx?menuIndex=3&amp;refID=7193430&amp;Result=3","7193430")</f>
        <v>0</v>
      </c>
      <c r="B6183" t="s">
        <v>1937</v>
      </c>
      <c r="C6183" t="s">
        <v>9658</v>
      </c>
      <c r="D6183" t="s">
        <v>19065</v>
      </c>
      <c r="E6183" t="s">
        <v>24510</v>
      </c>
      <c r="F6183" t="s">
        <v>32606</v>
      </c>
      <c r="G6183" t="s">
        <v>32613</v>
      </c>
      <c r="H6183" t="s">
        <v>32623</v>
      </c>
      <c r="I6183" t="s">
        <v>17648</v>
      </c>
      <c r="J6183" t="s">
        <v>36746</v>
      </c>
      <c r="K6183" t="s">
        <v>42745</v>
      </c>
      <c r="M6183" t="s">
        <v>44998</v>
      </c>
      <c r="N6183" t="s">
        <v>47304</v>
      </c>
      <c r="O6183" t="s">
        <v>47305</v>
      </c>
      <c r="P6183">
        <v>0</v>
      </c>
      <c r="Q6183">
        <v>0</v>
      </c>
      <c r="R6183" t="s">
        <v>47310</v>
      </c>
      <c r="S6183" t="s">
        <v>47435</v>
      </c>
      <c r="T6183" t="s">
        <v>49002</v>
      </c>
      <c r="U6183" t="s">
        <v>54695</v>
      </c>
      <c r="W6183" t="s">
        <v>44998</v>
      </c>
      <c r="X6183" t="s">
        <v>47311</v>
      </c>
    </row>
    <row r="6184" spans="1:24">
      <c r="A6184">
        <f>HYPERLINK("https://www.philgeps.gov.ph/GEPSNONPILOT/Tender/SplashBidNoticeAbstractUI.aspx?menuIndex=3&amp;refID=7193462&amp;Result=3","7193462")</f>
        <v>0</v>
      </c>
      <c r="B6184" t="s">
        <v>2060</v>
      </c>
      <c r="C6184" t="s">
        <v>9659</v>
      </c>
      <c r="D6184" t="s">
        <v>19024</v>
      </c>
      <c r="E6184" t="s">
        <v>24511</v>
      </c>
      <c r="F6184" t="s">
        <v>32606</v>
      </c>
      <c r="G6184" t="s">
        <v>32613</v>
      </c>
      <c r="H6184" t="s">
        <v>32623</v>
      </c>
      <c r="I6184" t="s">
        <v>17648</v>
      </c>
      <c r="J6184" t="s">
        <v>36747</v>
      </c>
      <c r="K6184" t="s">
        <v>42636</v>
      </c>
      <c r="M6184" t="s">
        <v>45139</v>
      </c>
      <c r="N6184" t="s">
        <v>47304</v>
      </c>
      <c r="O6184" t="s">
        <v>47305</v>
      </c>
      <c r="P6184">
        <v>0</v>
      </c>
      <c r="Q6184">
        <v>0</v>
      </c>
      <c r="R6184" t="s">
        <v>47310</v>
      </c>
      <c r="S6184" t="s">
        <v>47435</v>
      </c>
      <c r="T6184" t="s">
        <v>49087</v>
      </c>
      <c r="U6184" t="s">
        <v>54696</v>
      </c>
      <c r="W6184" t="s">
        <v>45139</v>
      </c>
      <c r="X6184" t="s">
        <v>47311</v>
      </c>
    </row>
    <row r="6185" spans="1:24">
      <c r="A6185">
        <f>HYPERLINK("https://www.philgeps.gov.ph/GEPSNONPILOT/Tender/SplashBidNoticeAbstractUI.aspx?menuIndex=3&amp;refID=7193436&amp;Result=3","7193436")</f>
        <v>0</v>
      </c>
      <c r="B6185" t="s">
        <v>2061</v>
      </c>
      <c r="C6185" t="s">
        <v>8499</v>
      </c>
      <c r="D6185" t="s">
        <v>18987</v>
      </c>
      <c r="E6185" t="s">
        <v>24512</v>
      </c>
      <c r="F6185" t="s">
        <v>32606</v>
      </c>
      <c r="G6185" t="s">
        <v>32613</v>
      </c>
      <c r="H6185" t="s">
        <v>14201</v>
      </c>
      <c r="I6185" t="s">
        <v>6931</v>
      </c>
      <c r="J6185" t="s">
        <v>36748</v>
      </c>
      <c r="K6185" t="s">
        <v>42631</v>
      </c>
      <c r="M6185" t="s">
        <v>45140</v>
      </c>
      <c r="N6185" t="s">
        <v>47304</v>
      </c>
      <c r="O6185" t="s">
        <v>47305</v>
      </c>
      <c r="P6185">
        <v>0</v>
      </c>
      <c r="Q6185">
        <v>0</v>
      </c>
      <c r="R6185" t="s">
        <v>47310</v>
      </c>
      <c r="S6185" t="s">
        <v>47435</v>
      </c>
      <c r="T6185" t="s">
        <v>49237</v>
      </c>
      <c r="U6185" t="s">
        <v>54697</v>
      </c>
      <c r="W6185" t="s">
        <v>45140</v>
      </c>
      <c r="X6185" t="s">
        <v>47311</v>
      </c>
    </row>
    <row r="6186" spans="1:24">
      <c r="A6186">
        <f>HYPERLINK("https://www.philgeps.gov.ph/GEPSNONPILOT/Tender/SplashBidNoticeAbstractUI.aspx?menuIndex=3&amp;refID=7193423&amp;Result=3","7193423")</f>
        <v>0</v>
      </c>
      <c r="B6186" t="s">
        <v>2062</v>
      </c>
      <c r="C6186" t="s">
        <v>9660</v>
      </c>
      <c r="D6186" t="s">
        <v>18987</v>
      </c>
      <c r="E6186" t="s">
        <v>23472</v>
      </c>
      <c r="F6186" t="s">
        <v>32606</v>
      </c>
      <c r="G6186" t="s">
        <v>32613</v>
      </c>
      <c r="H6186" t="s">
        <v>14201</v>
      </c>
      <c r="I6186" t="s">
        <v>6931</v>
      </c>
      <c r="J6186" t="s">
        <v>36749</v>
      </c>
      <c r="K6186" t="s">
        <v>42631</v>
      </c>
      <c r="M6186" t="s">
        <v>45141</v>
      </c>
      <c r="N6186" t="s">
        <v>47304</v>
      </c>
      <c r="O6186" t="s">
        <v>47305</v>
      </c>
      <c r="P6186">
        <v>0</v>
      </c>
      <c r="Q6186">
        <v>0</v>
      </c>
      <c r="R6186" t="s">
        <v>47310</v>
      </c>
      <c r="S6186" t="s">
        <v>47435</v>
      </c>
      <c r="T6186" t="s">
        <v>49237</v>
      </c>
      <c r="U6186" t="s">
        <v>54698</v>
      </c>
      <c r="W6186" t="s">
        <v>45141</v>
      </c>
      <c r="X6186" t="s">
        <v>47311</v>
      </c>
    </row>
    <row r="6187" spans="1:24">
      <c r="A6187">
        <f>HYPERLINK("https://www.philgeps.gov.ph/GEPSNONPILOT/Tender/SplashBidNoticeAbstractUI.aspx?menuIndex=3&amp;refID=7193406&amp;Result=3","7193406")</f>
        <v>0</v>
      </c>
      <c r="B6187" t="s">
        <v>2063</v>
      </c>
      <c r="C6187" t="s">
        <v>9661</v>
      </c>
      <c r="D6187" t="s">
        <v>18987</v>
      </c>
      <c r="E6187" t="s">
        <v>24512</v>
      </c>
      <c r="F6187" t="s">
        <v>32606</v>
      </c>
      <c r="G6187" t="s">
        <v>32613</v>
      </c>
      <c r="H6187" t="s">
        <v>14201</v>
      </c>
      <c r="I6187" t="s">
        <v>6931</v>
      </c>
      <c r="J6187" t="s">
        <v>36750</v>
      </c>
      <c r="K6187" t="s">
        <v>42631</v>
      </c>
      <c r="M6187" t="s">
        <v>45142</v>
      </c>
      <c r="N6187" t="s">
        <v>47304</v>
      </c>
      <c r="O6187" t="s">
        <v>47305</v>
      </c>
      <c r="P6187">
        <v>0</v>
      </c>
      <c r="Q6187">
        <v>0</v>
      </c>
      <c r="R6187" t="s">
        <v>47310</v>
      </c>
      <c r="S6187" t="s">
        <v>47435</v>
      </c>
      <c r="T6187" t="s">
        <v>49237</v>
      </c>
      <c r="U6187" t="s">
        <v>54699</v>
      </c>
      <c r="W6187" t="s">
        <v>45142</v>
      </c>
      <c r="X6187" t="s">
        <v>47311</v>
      </c>
    </row>
    <row r="6188" spans="1:24">
      <c r="A6188">
        <f>HYPERLINK("https://www.philgeps.gov.ph/GEPSNONPILOT/Tender/SplashBidNoticeAbstractUI.aspx?menuIndex=3&amp;refID=7193398&amp;Result=3","7193398")</f>
        <v>0</v>
      </c>
      <c r="B6188" t="s">
        <v>1937</v>
      </c>
      <c r="C6188" t="s">
        <v>9662</v>
      </c>
      <c r="D6188" t="s">
        <v>19065</v>
      </c>
      <c r="E6188" t="s">
        <v>24513</v>
      </c>
      <c r="F6188" t="s">
        <v>32606</v>
      </c>
      <c r="G6188" t="s">
        <v>32613</v>
      </c>
      <c r="H6188" t="s">
        <v>32623</v>
      </c>
      <c r="I6188" t="s">
        <v>17648</v>
      </c>
      <c r="J6188" t="s">
        <v>36751</v>
      </c>
      <c r="K6188" t="s">
        <v>42718</v>
      </c>
      <c r="M6188" t="s">
        <v>44998</v>
      </c>
      <c r="N6188" t="s">
        <v>47304</v>
      </c>
      <c r="O6188" t="s">
        <v>47305</v>
      </c>
      <c r="P6188">
        <v>0</v>
      </c>
      <c r="Q6188">
        <v>0</v>
      </c>
      <c r="R6188" t="s">
        <v>47310</v>
      </c>
      <c r="S6188" t="s">
        <v>47435</v>
      </c>
      <c r="T6188" t="s">
        <v>49002</v>
      </c>
      <c r="U6188" t="s">
        <v>54700</v>
      </c>
      <c r="W6188" t="s">
        <v>44998</v>
      </c>
      <c r="X6188" t="s">
        <v>47311</v>
      </c>
    </row>
    <row r="6189" spans="1:24">
      <c r="A6189">
        <f>HYPERLINK("https://www.philgeps.gov.ph/GEPSNONPILOT/Tender/SplashBidNoticeAbstractUI.aspx?menuIndex=3&amp;refID=7193404&amp;Result=3","7193404")</f>
        <v>0</v>
      </c>
      <c r="B6189" t="s">
        <v>1028</v>
      </c>
      <c r="C6189" t="s">
        <v>9663</v>
      </c>
      <c r="D6189" t="s">
        <v>19008</v>
      </c>
      <c r="E6189" t="s">
        <v>24514</v>
      </c>
      <c r="F6189" t="s">
        <v>32606</v>
      </c>
      <c r="G6189" t="s">
        <v>32613</v>
      </c>
      <c r="H6189" t="s">
        <v>14201</v>
      </c>
      <c r="I6189" t="s">
        <v>6931</v>
      </c>
      <c r="J6189" t="s">
        <v>36752</v>
      </c>
      <c r="K6189" t="s">
        <v>42631</v>
      </c>
      <c r="M6189" t="s">
        <v>45143</v>
      </c>
      <c r="N6189" t="s">
        <v>47304</v>
      </c>
      <c r="O6189" t="s">
        <v>47305</v>
      </c>
      <c r="P6189">
        <v>0</v>
      </c>
      <c r="Q6189">
        <v>1</v>
      </c>
      <c r="R6189" t="s">
        <v>47310</v>
      </c>
      <c r="S6189" t="s">
        <v>47435</v>
      </c>
      <c r="T6189" t="s">
        <v>49084</v>
      </c>
      <c r="U6189" t="s">
        <v>54701</v>
      </c>
      <c r="W6189" t="s">
        <v>43981</v>
      </c>
      <c r="X6189" t="s">
        <v>47311</v>
      </c>
    </row>
    <row r="6190" spans="1:24">
      <c r="A6190">
        <f>HYPERLINK("https://www.philgeps.gov.ph/GEPSNONPILOT/Tender/SplashBidNoticeAbstractUI.aspx?menuIndex=3&amp;refID=7193402&amp;Result=3","7193402")</f>
        <v>0</v>
      </c>
      <c r="B6190" t="s">
        <v>1337</v>
      </c>
      <c r="C6190" t="s">
        <v>9664</v>
      </c>
      <c r="D6190" t="s">
        <v>19039</v>
      </c>
      <c r="E6190" t="s">
        <v>19315</v>
      </c>
      <c r="F6190" t="s">
        <v>32606</v>
      </c>
      <c r="G6190" t="s">
        <v>32613</v>
      </c>
      <c r="H6190" t="s">
        <v>14201</v>
      </c>
      <c r="I6190" t="s">
        <v>6931</v>
      </c>
      <c r="J6190" t="s">
        <v>36753</v>
      </c>
      <c r="K6190" t="s">
        <v>42623</v>
      </c>
      <c r="M6190" t="s">
        <v>44311</v>
      </c>
      <c r="N6190" t="s">
        <v>47304</v>
      </c>
      <c r="O6190" t="s">
        <v>47305</v>
      </c>
      <c r="P6190">
        <v>0</v>
      </c>
      <c r="Q6190">
        <v>0</v>
      </c>
      <c r="R6190" t="s">
        <v>47310</v>
      </c>
      <c r="S6190" t="s">
        <v>47435</v>
      </c>
      <c r="T6190" t="s">
        <v>49087</v>
      </c>
      <c r="U6190" t="s">
        <v>54702</v>
      </c>
      <c r="W6190" t="s">
        <v>44311</v>
      </c>
      <c r="X6190" t="s">
        <v>47311</v>
      </c>
    </row>
    <row r="6191" spans="1:24">
      <c r="A6191">
        <f>HYPERLINK("https://www.philgeps.gov.ph/GEPSNONPILOT/Tender/SplashBidNoticeAbstractUI.aspx?menuIndex=3&amp;refID=7193456&amp;Result=3","7193456")</f>
        <v>0</v>
      </c>
      <c r="B6191" t="s">
        <v>857</v>
      </c>
      <c r="C6191" t="s">
        <v>9665</v>
      </c>
      <c r="D6191" t="s">
        <v>19014</v>
      </c>
      <c r="E6191" t="s">
        <v>22608</v>
      </c>
      <c r="F6191" t="s">
        <v>32606</v>
      </c>
      <c r="G6191" t="s">
        <v>32613</v>
      </c>
      <c r="H6191" t="s">
        <v>14201</v>
      </c>
      <c r="I6191" t="s">
        <v>7064</v>
      </c>
      <c r="J6191" t="s">
        <v>32821</v>
      </c>
      <c r="K6191" t="s">
        <v>42623</v>
      </c>
      <c r="M6191" t="s">
        <v>43790</v>
      </c>
      <c r="N6191" t="s">
        <v>47304</v>
      </c>
      <c r="O6191" t="s">
        <v>47305</v>
      </c>
      <c r="P6191">
        <v>0</v>
      </c>
      <c r="Q6191">
        <v>8</v>
      </c>
      <c r="R6191" t="s">
        <v>47310</v>
      </c>
      <c r="S6191" t="s">
        <v>47435</v>
      </c>
      <c r="T6191" t="s">
        <v>48972</v>
      </c>
      <c r="U6191" t="s">
        <v>54703</v>
      </c>
      <c r="W6191" t="s">
        <v>43790</v>
      </c>
      <c r="X6191" t="s">
        <v>47311</v>
      </c>
    </row>
    <row r="6192" spans="1:24">
      <c r="A6192">
        <f>HYPERLINK("https://www.philgeps.gov.ph/GEPSNONPILOT/Tender/SplashBidNoticeAbstractUI.aspx?menuIndex=3&amp;refID=7193498&amp;Result=3","7193498")</f>
        <v>0</v>
      </c>
      <c r="B6192" t="s">
        <v>2064</v>
      </c>
      <c r="C6192" t="s">
        <v>9666</v>
      </c>
      <c r="D6192" t="s">
        <v>18993</v>
      </c>
      <c r="E6192" t="s">
        <v>20004</v>
      </c>
      <c r="F6192" t="s">
        <v>32606</v>
      </c>
      <c r="G6192" t="s">
        <v>32617</v>
      </c>
      <c r="H6192" t="s">
        <v>14201</v>
      </c>
      <c r="I6192" t="s">
        <v>32630</v>
      </c>
      <c r="J6192" t="s">
        <v>34076</v>
      </c>
      <c r="K6192" t="s">
        <v>42624</v>
      </c>
      <c r="M6192" t="s">
        <v>45144</v>
      </c>
      <c r="N6192" t="s">
        <v>47304</v>
      </c>
      <c r="O6192" t="s">
        <v>47305</v>
      </c>
      <c r="P6192">
        <v>0</v>
      </c>
      <c r="Q6192">
        <v>3</v>
      </c>
      <c r="R6192" t="s">
        <v>47310</v>
      </c>
      <c r="S6192" t="s">
        <v>47435</v>
      </c>
      <c r="T6192" t="s">
        <v>49014</v>
      </c>
      <c r="U6192" t="s">
        <v>54704</v>
      </c>
      <c r="W6192" t="s">
        <v>45144</v>
      </c>
      <c r="X6192" t="s">
        <v>47311</v>
      </c>
    </row>
    <row r="6193" spans="1:24">
      <c r="A6193">
        <f>HYPERLINK("https://www.philgeps.gov.ph/GEPSNONPILOT/Tender/SplashBidNoticeAbstractUI.aspx?menuIndex=3&amp;refID=7193494&amp;Result=3","7193494")</f>
        <v>0</v>
      </c>
      <c r="B6193" t="s">
        <v>569</v>
      </c>
      <c r="C6193" t="s">
        <v>9667</v>
      </c>
      <c r="D6193" t="s">
        <v>18993</v>
      </c>
      <c r="E6193" t="s">
        <v>24515</v>
      </c>
      <c r="F6193" t="s">
        <v>32606</v>
      </c>
      <c r="G6193" t="s">
        <v>32619</v>
      </c>
      <c r="H6193" t="s">
        <v>14201</v>
      </c>
      <c r="I6193" t="s">
        <v>32638</v>
      </c>
      <c r="J6193" t="s">
        <v>32778</v>
      </c>
      <c r="K6193" t="s">
        <v>42623</v>
      </c>
      <c r="M6193" t="s">
        <v>43484</v>
      </c>
      <c r="N6193" t="s">
        <v>47304</v>
      </c>
      <c r="O6193" t="s">
        <v>47305</v>
      </c>
      <c r="P6193">
        <v>0</v>
      </c>
      <c r="Q6193">
        <v>22</v>
      </c>
      <c r="R6193" t="s">
        <v>47310</v>
      </c>
      <c r="S6193" t="s">
        <v>47435</v>
      </c>
      <c r="T6193" t="s">
        <v>49020</v>
      </c>
      <c r="U6193" t="s">
        <v>54705</v>
      </c>
      <c r="V6193" t="s">
        <v>63227</v>
      </c>
      <c r="W6193" t="s">
        <v>64492</v>
      </c>
      <c r="X6193" t="s">
        <v>47311</v>
      </c>
    </row>
    <row r="6194" spans="1:24">
      <c r="A6194">
        <f>HYPERLINK("https://www.philgeps.gov.ph/GEPSNONPILOT/Tender/SplashBidNoticeAbstractUI.aspx?menuIndex=3&amp;refID=7193486&amp;Result=3","7193486")</f>
        <v>0</v>
      </c>
      <c r="B6194" t="s">
        <v>569</v>
      </c>
      <c r="C6194" t="s">
        <v>9668</v>
      </c>
      <c r="D6194" t="s">
        <v>18993</v>
      </c>
      <c r="E6194" t="s">
        <v>24516</v>
      </c>
      <c r="F6194" t="s">
        <v>32606</v>
      </c>
      <c r="G6194" t="s">
        <v>32614</v>
      </c>
      <c r="H6194" t="s">
        <v>32624</v>
      </c>
      <c r="I6194" t="s">
        <v>32638</v>
      </c>
      <c r="J6194" t="s">
        <v>36754</v>
      </c>
      <c r="K6194" t="s">
        <v>42623</v>
      </c>
      <c r="M6194" t="s">
        <v>43484</v>
      </c>
      <c r="N6194" t="s">
        <v>47304</v>
      </c>
      <c r="O6194" t="s">
        <v>47305</v>
      </c>
      <c r="P6194">
        <v>0</v>
      </c>
      <c r="Q6194">
        <v>3</v>
      </c>
      <c r="R6194" t="s">
        <v>47310</v>
      </c>
      <c r="S6194" t="s">
        <v>47435</v>
      </c>
      <c r="T6194" t="s">
        <v>49020</v>
      </c>
      <c r="U6194" t="s">
        <v>54706</v>
      </c>
      <c r="V6194" t="s">
        <v>63227</v>
      </c>
      <c r="W6194" t="s">
        <v>64492</v>
      </c>
      <c r="X6194" t="s">
        <v>47311</v>
      </c>
    </row>
    <row r="6195" spans="1:24">
      <c r="A6195">
        <f>HYPERLINK("https://www.philgeps.gov.ph/GEPSNONPILOT/Tender/SplashBidNoticeAbstractUI.aspx?menuIndex=3&amp;refID=7193502&amp;Result=3","7193502")</f>
        <v>0</v>
      </c>
      <c r="B6195" t="s">
        <v>569</v>
      </c>
      <c r="C6195" t="s">
        <v>9669</v>
      </c>
      <c r="D6195" t="s">
        <v>18993</v>
      </c>
      <c r="E6195" t="s">
        <v>24517</v>
      </c>
      <c r="F6195" t="s">
        <v>32606</v>
      </c>
      <c r="G6195" t="s">
        <v>32619</v>
      </c>
      <c r="H6195" t="s">
        <v>14201</v>
      </c>
      <c r="I6195" t="s">
        <v>32638</v>
      </c>
      <c r="J6195" t="s">
        <v>36755</v>
      </c>
      <c r="K6195" t="s">
        <v>42623</v>
      </c>
      <c r="M6195" t="s">
        <v>43484</v>
      </c>
      <c r="N6195" t="s">
        <v>47304</v>
      </c>
      <c r="O6195" t="s">
        <v>47305</v>
      </c>
      <c r="P6195">
        <v>0</v>
      </c>
      <c r="Q6195">
        <v>5</v>
      </c>
      <c r="R6195" t="s">
        <v>47310</v>
      </c>
      <c r="S6195" t="s">
        <v>47435</v>
      </c>
      <c r="T6195" t="s">
        <v>49020</v>
      </c>
      <c r="U6195" t="s">
        <v>54707</v>
      </c>
      <c r="V6195" t="s">
        <v>63227</v>
      </c>
      <c r="W6195" t="s">
        <v>64492</v>
      </c>
      <c r="X6195" t="s">
        <v>47311</v>
      </c>
    </row>
    <row r="6196" spans="1:24">
      <c r="A6196">
        <f>HYPERLINK("https://www.philgeps.gov.ph/GEPSNONPILOT/Tender/SplashBidNoticeAbstractUI.aspx?menuIndex=3&amp;refID=7193415&amp;Result=3","7193415")</f>
        <v>0</v>
      </c>
      <c r="B6196" t="s">
        <v>1337</v>
      </c>
      <c r="C6196" t="s">
        <v>9670</v>
      </c>
      <c r="D6196" t="s">
        <v>19039</v>
      </c>
      <c r="E6196" t="s">
        <v>19809</v>
      </c>
      <c r="F6196" t="s">
        <v>32606</v>
      </c>
      <c r="G6196" t="s">
        <v>32613</v>
      </c>
      <c r="H6196" t="s">
        <v>14201</v>
      </c>
      <c r="I6196" t="s">
        <v>6931</v>
      </c>
      <c r="J6196" t="s">
        <v>36756</v>
      </c>
      <c r="K6196" t="s">
        <v>42623</v>
      </c>
      <c r="M6196" t="s">
        <v>44311</v>
      </c>
      <c r="N6196" t="s">
        <v>47304</v>
      </c>
      <c r="O6196" t="s">
        <v>47305</v>
      </c>
      <c r="P6196">
        <v>0</v>
      </c>
      <c r="Q6196">
        <v>0</v>
      </c>
      <c r="R6196" t="s">
        <v>47310</v>
      </c>
      <c r="S6196" t="s">
        <v>47435</v>
      </c>
      <c r="T6196" t="s">
        <v>49087</v>
      </c>
      <c r="U6196" t="s">
        <v>54702</v>
      </c>
      <c r="W6196" t="s">
        <v>44311</v>
      </c>
      <c r="X6196" t="s">
        <v>47311</v>
      </c>
    </row>
    <row r="6197" spans="1:24">
      <c r="A6197">
        <f>HYPERLINK("https://www.philgeps.gov.ph/GEPSNONPILOT/Tender/SplashBidNoticeAbstractUI.aspx?menuIndex=3&amp;refID=7193514&amp;Result=3","7193514")</f>
        <v>0</v>
      </c>
      <c r="B6197" t="s">
        <v>900</v>
      </c>
      <c r="C6197" t="s">
        <v>9671</v>
      </c>
      <c r="D6197" t="s">
        <v>19005</v>
      </c>
      <c r="E6197" t="s">
        <v>19451</v>
      </c>
      <c r="F6197" t="s">
        <v>32606</v>
      </c>
      <c r="G6197" t="s">
        <v>32613</v>
      </c>
      <c r="H6197" t="s">
        <v>14201</v>
      </c>
      <c r="I6197" t="s">
        <v>32640</v>
      </c>
      <c r="J6197" t="s">
        <v>36757</v>
      </c>
      <c r="K6197" t="s">
        <v>42631</v>
      </c>
      <c r="M6197" t="s">
        <v>43837</v>
      </c>
      <c r="N6197" t="s">
        <v>47304</v>
      </c>
      <c r="O6197" t="s">
        <v>47305</v>
      </c>
      <c r="P6197">
        <v>0</v>
      </c>
      <c r="Q6197">
        <v>4</v>
      </c>
      <c r="R6197" t="s">
        <v>47310</v>
      </c>
      <c r="S6197" t="s">
        <v>47435</v>
      </c>
      <c r="T6197" t="s">
        <v>49146</v>
      </c>
      <c r="U6197" t="s">
        <v>54708</v>
      </c>
      <c r="W6197" t="s">
        <v>43837</v>
      </c>
      <c r="X6197" t="s">
        <v>47311</v>
      </c>
    </row>
    <row r="6198" spans="1:24">
      <c r="A6198">
        <f>HYPERLINK("https://www.philgeps.gov.ph/GEPSNONPILOT/Tender/SplashBidNoticeAbstractUI.aspx?menuIndex=3&amp;refID=7193511&amp;Result=3","7193511")</f>
        <v>0</v>
      </c>
      <c r="B6198" t="s">
        <v>2065</v>
      </c>
      <c r="C6198" t="s">
        <v>9672</v>
      </c>
      <c r="D6198" t="s">
        <v>19029</v>
      </c>
      <c r="E6198" t="s">
        <v>24518</v>
      </c>
      <c r="F6198" t="s">
        <v>32606</v>
      </c>
      <c r="G6198" t="s">
        <v>32619</v>
      </c>
      <c r="H6198" t="s">
        <v>14201</v>
      </c>
      <c r="I6198" t="s">
        <v>4114</v>
      </c>
      <c r="J6198" t="s">
        <v>36758</v>
      </c>
      <c r="K6198" t="s">
        <v>42632</v>
      </c>
      <c r="M6198" t="s">
        <v>45145</v>
      </c>
      <c r="N6198" t="s">
        <v>47304</v>
      </c>
      <c r="O6198" t="s">
        <v>47305</v>
      </c>
      <c r="P6198">
        <v>0</v>
      </c>
      <c r="Q6198">
        <v>3</v>
      </c>
      <c r="R6198" t="s">
        <v>47310</v>
      </c>
      <c r="S6198" t="s">
        <v>47435</v>
      </c>
      <c r="T6198" t="s">
        <v>49047</v>
      </c>
      <c r="U6198" t="s">
        <v>54709</v>
      </c>
      <c r="W6198" t="s">
        <v>45145</v>
      </c>
      <c r="X6198" t="s">
        <v>47311</v>
      </c>
    </row>
    <row r="6199" spans="1:24">
      <c r="A6199">
        <f>HYPERLINK("https://www.philgeps.gov.ph/GEPSNONPILOT/Tender/SplashBidNoticeAbstractUI.aspx?menuIndex=3&amp;refID=7193547&amp;Result=3","7193547")</f>
        <v>0</v>
      </c>
      <c r="B6199" t="s">
        <v>569</v>
      </c>
      <c r="C6199" t="s">
        <v>9673</v>
      </c>
      <c r="D6199" t="s">
        <v>18993</v>
      </c>
      <c r="E6199" t="s">
        <v>24519</v>
      </c>
      <c r="F6199" t="s">
        <v>32606</v>
      </c>
      <c r="G6199" t="s">
        <v>32619</v>
      </c>
      <c r="H6199" t="s">
        <v>14201</v>
      </c>
      <c r="I6199" t="s">
        <v>32638</v>
      </c>
      <c r="J6199" t="s">
        <v>32799</v>
      </c>
      <c r="K6199" t="s">
        <v>42623</v>
      </c>
      <c r="M6199" t="s">
        <v>43484</v>
      </c>
      <c r="N6199" t="s">
        <v>47304</v>
      </c>
      <c r="O6199" t="s">
        <v>47305</v>
      </c>
      <c r="P6199">
        <v>0</v>
      </c>
      <c r="Q6199">
        <v>3</v>
      </c>
      <c r="R6199" t="s">
        <v>47310</v>
      </c>
      <c r="S6199" t="s">
        <v>47435</v>
      </c>
      <c r="T6199" t="s">
        <v>49020</v>
      </c>
      <c r="U6199" t="s">
        <v>54710</v>
      </c>
      <c r="V6199" t="s">
        <v>63227</v>
      </c>
      <c r="W6199" t="s">
        <v>64492</v>
      </c>
      <c r="X6199" t="s">
        <v>47311</v>
      </c>
    </row>
    <row r="6200" spans="1:24">
      <c r="A6200">
        <f>HYPERLINK("https://www.philgeps.gov.ph/GEPSNONPILOT/Tender/SplashBidNoticeAbstractUI.aspx?menuIndex=3&amp;refID=7193545&amp;Result=3","7193545")</f>
        <v>0</v>
      </c>
      <c r="B6200" t="s">
        <v>2066</v>
      </c>
      <c r="C6200" t="s">
        <v>9674</v>
      </c>
      <c r="D6200" t="s">
        <v>18992</v>
      </c>
      <c r="E6200" t="s">
        <v>24520</v>
      </c>
      <c r="F6200" t="s">
        <v>32606</v>
      </c>
      <c r="G6200" t="s">
        <v>32613</v>
      </c>
      <c r="H6200" t="s">
        <v>14201</v>
      </c>
      <c r="I6200" t="s">
        <v>6931</v>
      </c>
      <c r="J6200" t="s">
        <v>33125</v>
      </c>
      <c r="K6200" t="s">
        <v>42630</v>
      </c>
      <c r="M6200" t="s">
        <v>45146</v>
      </c>
      <c r="N6200" t="s">
        <v>47304</v>
      </c>
      <c r="O6200" t="s">
        <v>47305</v>
      </c>
      <c r="P6200">
        <v>0</v>
      </c>
      <c r="Q6200">
        <v>0</v>
      </c>
      <c r="R6200" t="s">
        <v>47310</v>
      </c>
      <c r="S6200" t="s">
        <v>47435</v>
      </c>
      <c r="T6200" t="s">
        <v>49076</v>
      </c>
      <c r="U6200" t="s">
        <v>52230</v>
      </c>
      <c r="W6200" t="s">
        <v>45146</v>
      </c>
      <c r="X6200" t="s">
        <v>47311</v>
      </c>
    </row>
    <row r="6201" spans="1:24">
      <c r="A6201">
        <f>HYPERLINK("https://www.philgeps.gov.ph/GEPSNONPILOT/Tender/SplashBidNoticeAbstractUI.aspx?menuIndex=3&amp;refID=7193537&amp;Result=3","7193537")</f>
        <v>0</v>
      </c>
      <c r="B6201" t="s">
        <v>2067</v>
      </c>
      <c r="C6201" t="s">
        <v>8499</v>
      </c>
      <c r="D6201" t="s">
        <v>18987</v>
      </c>
      <c r="E6201" t="s">
        <v>24521</v>
      </c>
      <c r="F6201" t="s">
        <v>32606</v>
      </c>
      <c r="G6201" t="s">
        <v>32613</v>
      </c>
      <c r="H6201" t="s">
        <v>14201</v>
      </c>
      <c r="I6201" t="s">
        <v>6931</v>
      </c>
      <c r="J6201" t="s">
        <v>36759</v>
      </c>
      <c r="K6201" t="s">
        <v>42631</v>
      </c>
      <c r="M6201" t="s">
        <v>45147</v>
      </c>
      <c r="N6201" t="s">
        <v>47304</v>
      </c>
      <c r="O6201" t="s">
        <v>47305</v>
      </c>
      <c r="P6201">
        <v>0</v>
      </c>
      <c r="Q6201">
        <v>0</v>
      </c>
      <c r="R6201" t="s">
        <v>47310</v>
      </c>
      <c r="S6201" t="s">
        <v>47435</v>
      </c>
      <c r="T6201" t="s">
        <v>48975</v>
      </c>
      <c r="U6201" t="s">
        <v>54711</v>
      </c>
      <c r="W6201" t="s">
        <v>45147</v>
      </c>
      <c r="X6201" t="s">
        <v>47311</v>
      </c>
    </row>
    <row r="6202" spans="1:24">
      <c r="A6202">
        <f>HYPERLINK("https://www.philgeps.gov.ph/GEPSNONPILOT/Tender/SplashBidNoticeAbstractUI.aspx?menuIndex=3&amp;refID=7193531&amp;Result=3","7193531")</f>
        <v>0</v>
      </c>
      <c r="B6202" t="s">
        <v>569</v>
      </c>
      <c r="C6202" t="s">
        <v>9675</v>
      </c>
      <c r="D6202" t="s">
        <v>18993</v>
      </c>
      <c r="E6202" t="s">
        <v>24522</v>
      </c>
      <c r="F6202" t="s">
        <v>32606</v>
      </c>
      <c r="G6202" t="s">
        <v>32614</v>
      </c>
      <c r="H6202" t="s">
        <v>32624</v>
      </c>
      <c r="I6202" t="s">
        <v>32638</v>
      </c>
      <c r="J6202" t="s">
        <v>36760</v>
      </c>
      <c r="K6202" t="s">
        <v>42623</v>
      </c>
      <c r="M6202" t="s">
        <v>43484</v>
      </c>
      <c r="N6202" t="s">
        <v>47304</v>
      </c>
      <c r="O6202" t="s">
        <v>47305</v>
      </c>
      <c r="P6202">
        <v>0</v>
      </c>
      <c r="Q6202">
        <v>3</v>
      </c>
      <c r="R6202" t="s">
        <v>47310</v>
      </c>
      <c r="S6202" t="s">
        <v>47435</v>
      </c>
      <c r="T6202" t="s">
        <v>49020</v>
      </c>
      <c r="U6202" t="s">
        <v>54712</v>
      </c>
      <c r="V6202" t="s">
        <v>63227</v>
      </c>
      <c r="W6202" t="s">
        <v>64492</v>
      </c>
      <c r="X6202" t="s">
        <v>47311</v>
      </c>
    </row>
    <row r="6203" spans="1:24">
      <c r="A6203">
        <f>HYPERLINK("https://www.philgeps.gov.ph/GEPSNONPILOT/Tender/SplashBidNoticeAbstractUI.aspx?menuIndex=3&amp;refID=7193475&amp;Result=3","7193475")</f>
        <v>0</v>
      </c>
      <c r="B6203" t="s">
        <v>2068</v>
      </c>
      <c r="C6203" t="s">
        <v>9676</v>
      </c>
      <c r="D6203" t="s">
        <v>19024</v>
      </c>
      <c r="E6203" t="s">
        <v>24523</v>
      </c>
      <c r="F6203" t="s">
        <v>32606</v>
      </c>
      <c r="G6203" t="s">
        <v>32614</v>
      </c>
      <c r="H6203" t="s">
        <v>14201</v>
      </c>
      <c r="I6203" t="s">
        <v>32640</v>
      </c>
      <c r="J6203" t="s">
        <v>34729</v>
      </c>
      <c r="K6203" t="s">
        <v>42629</v>
      </c>
      <c r="M6203" t="s">
        <v>45148</v>
      </c>
      <c r="N6203" t="s">
        <v>47304</v>
      </c>
      <c r="O6203" t="s">
        <v>47305</v>
      </c>
      <c r="P6203">
        <v>0</v>
      </c>
      <c r="Q6203">
        <v>0</v>
      </c>
      <c r="R6203" t="s">
        <v>47310</v>
      </c>
      <c r="S6203" t="s">
        <v>47435</v>
      </c>
      <c r="T6203" t="s">
        <v>49339</v>
      </c>
      <c r="U6203" t="s">
        <v>54713</v>
      </c>
      <c r="W6203" t="s">
        <v>45148</v>
      </c>
      <c r="X6203" t="s">
        <v>47311</v>
      </c>
    </row>
    <row r="6204" spans="1:24">
      <c r="A6204">
        <f>HYPERLINK("https://www.philgeps.gov.ph/GEPSNONPILOT/Tender/SplashBidNoticeAbstractUI.aspx?menuIndex=3&amp;refID=7193521&amp;Result=3","7193521")</f>
        <v>0</v>
      </c>
      <c r="B6204" t="s">
        <v>569</v>
      </c>
      <c r="C6204" t="s">
        <v>9677</v>
      </c>
      <c r="D6204" t="s">
        <v>18993</v>
      </c>
      <c r="E6204" t="s">
        <v>24524</v>
      </c>
      <c r="F6204" t="s">
        <v>32606</v>
      </c>
      <c r="G6204" t="s">
        <v>32614</v>
      </c>
      <c r="H6204" t="s">
        <v>32624</v>
      </c>
      <c r="I6204" t="s">
        <v>32638</v>
      </c>
      <c r="J6204" t="s">
        <v>36761</v>
      </c>
      <c r="K6204" t="s">
        <v>42623</v>
      </c>
      <c r="M6204" t="s">
        <v>43484</v>
      </c>
      <c r="N6204" t="s">
        <v>47304</v>
      </c>
      <c r="O6204" t="s">
        <v>47305</v>
      </c>
      <c r="P6204">
        <v>0</v>
      </c>
      <c r="Q6204">
        <v>1</v>
      </c>
      <c r="R6204" t="s">
        <v>47310</v>
      </c>
      <c r="S6204" t="s">
        <v>47435</v>
      </c>
      <c r="T6204" t="s">
        <v>49020</v>
      </c>
      <c r="U6204" t="s">
        <v>54714</v>
      </c>
      <c r="V6204" t="s">
        <v>63227</v>
      </c>
      <c r="W6204" t="s">
        <v>64492</v>
      </c>
      <c r="X6204" t="s">
        <v>47311</v>
      </c>
    </row>
    <row r="6205" spans="1:24">
      <c r="A6205">
        <f>HYPERLINK("https://www.philgeps.gov.ph/GEPSNONPILOT/Tender/SplashBidNoticeAbstractUI.aspx?menuIndex=3&amp;refID=7193510&amp;Result=3","7193510")</f>
        <v>0</v>
      </c>
      <c r="B6205" t="s">
        <v>569</v>
      </c>
      <c r="C6205" t="s">
        <v>9678</v>
      </c>
      <c r="D6205" t="s">
        <v>18993</v>
      </c>
      <c r="E6205" t="s">
        <v>24525</v>
      </c>
      <c r="F6205" t="s">
        <v>32606</v>
      </c>
      <c r="G6205" t="s">
        <v>32614</v>
      </c>
      <c r="H6205" t="s">
        <v>32624</v>
      </c>
      <c r="I6205" t="s">
        <v>32638</v>
      </c>
      <c r="J6205" t="s">
        <v>36762</v>
      </c>
      <c r="K6205" t="s">
        <v>42623</v>
      </c>
      <c r="M6205" t="s">
        <v>43484</v>
      </c>
      <c r="N6205" t="s">
        <v>47304</v>
      </c>
      <c r="O6205" t="s">
        <v>47305</v>
      </c>
      <c r="P6205">
        <v>0</v>
      </c>
      <c r="Q6205">
        <v>2</v>
      </c>
      <c r="R6205" t="s">
        <v>47310</v>
      </c>
      <c r="S6205" t="s">
        <v>47435</v>
      </c>
      <c r="T6205" t="s">
        <v>49020</v>
      </c>
      <c r="U6205" t="s">
        <v>54715</v>
      </c>
      <c r="V6205" t="s">
        <v>63227</v>
      </c>
      <c r="W6205" t="s">
        <v>64492</v>
      </c>
      <c r="X6205" t="s">
        <v>47311</v>
      </c>
    </row>
    <row r="6206" spans="1:24">
      <c r="A6206">
        <f>HYPERLINK("https://www.philgeps.gov.ph/GEPSNONPILOT/Tender/SplashBidNoticeAbstractUI.aspx?menuIndex=3&amp;refID=7193564&amp;Result=3","7193564")</f>
        <v>0</v>
      </c>
      <c r="B6206" t="s">
        <v>1266</v>
      </c>
      <c r="C6206" t="s">
        <v>9679</v>
      </c>
      <c r="D6206" t="s">
        <v>19016</v>
      </c>
      <c r="E6206" t="s">
        <v>24526</v>
      </c>
      <c r="F6206" t="s">
        <v>32606</v>
      </c>
      <c r="G6206" t="s">
        <v>32613</v>
      </c>
      <c r="H6206" t="s">
        <v>14201</v>
      </c>
      <c r="I6206" t="s">
        <v>4678</v>
      </c>
      <c r="J6206" t="s">
        <v>33102</v>
      </c>
      <c r="K6206" t="s">
        <v>42632</v>
      </c>
      <c r="M6206" t="s">
        <v>44234</v>
      </c>
      <c r="N6206" t="s">
        <v>47304</v>
      </c>
      <c r="O6206" t="s">
        <v>47305</v>
      </c>
      <c r="P6206">
        <v>0</v>
      </c>
      <c r="Q6206">
        <v>3</v>
      </c>
      <c r="R6206" t="s">
        <v>47310</v>
      </c>
      <c r="S6206" t="s">
        <v>47435</v>
      </c>
      <c r="T6206" t="s">
        <v>49108</v>
      </c>
      <c r="U6206" t="s">
        <v>54716</v>
      </c>
      <c r="V6206" t="s">
        <v>62846</v>
      </c>
      <c r="W6206" t="s">
        <v>44234</v>
      </c>
      <c r="X6206" t="s">
        <v>47311</v>
      </c>
    </row>
    <row r="6207" spans="1:24">
      <c r="A6207">
        <f>HYPERLINK("https://www.philgeps.gov.ph/GEPSNONPILOT/Tender/SplashBidNoticeAbstractUI.aspx?menuIndex=3&amp;refID=7193530&amp;Result=3","7193530")</f>
        <v>0</v>
      </c>
      <c r="B6207" t="s">
        <v>2069</v>
      </c>
      <c r="C6207" t="s">
        <v>9680</v>
      </c>
      <c r="D6207" t="s">
        <v>19024</v>
      </c>
      <c r="E6207" t="s">
        <v>24527</v>
      </c>
      <c r="F6207" t="s">
        <v>32606</v>
      </c>
      <c r="G6207" t="s">
        <v>32613</v>
      </c>
      <c r="H6207" t="s">
        <v>32623</v>
      </c>
      <c r="I6207" t="s">
        <v>17648</v>
      </c>
      <c r="J6207" t="s">
        <v>36763</v>
      </c>
      <c r="K6207" t="s">
        <v>42636</v>
      </c>
      <c r="M6207" t="s">
        <v>45149</v>
      </c>
      <c r="N6207" t="s">
        <v>47304</v>
      </c>
      <c r="O6207" t="s">
        <v>47305</v>
      </c>
      <c r="P6207">
        <v>0</v>
      </c>
      <c r="Q6207">
        <v>0</v>
      </c>
      <c r="R6207" t="s">
        <v>47310</v>
      </c>
      <c r="S6207" t="s">
        <v>47435</v>
      </c>
      <c r="T6207" t="s">
        <v>49087</v>
      </c>
      <c r="U6207" t="s">
        <v>54717</v>
      </c>
      <c r="W6207" t="s">
        <v>45149</v>
      </c>
      <c r="X6207" t="s">
        <v>47311</v>
      </c>
    </row>
    <row r="6208" spans="1:24">
      <c r="A6208">
        <f>HYPERLINK("https://www.philgeps.gov.ph/GEPSNONPILOT/Tender/SplashBidNoticeAbstractUI.aspx?menuIndex=3&amp;refID=7193562&amp;Result=3","7193562")</f>
        <v>0</v>
      </c>
      <c r="B6208" t="s">
        <v>2070</v>
      </c>
      <c r="C6208" t="s">
        <v>9681</v>
      </c>
      <c r="E6208" t="s">
        <v>24528</v>
      </c>
      <c r="F6208" t="s">
        <v>32606</v>
      </c>
      <c r="G6208" t="s">
        <v>32613</v>
      </c>
      <c r="H6208" t="s">
        <v>14201</v>
      </c>
      <c r="I6208" t="s">
        <v>32633</v>
      </c>
      <c r="J6208" t="s">
        <v>36764</v>
      </c>
      <c r="K6208" t="s">
        <v>42624</v>
      </c>
      <c r="M6208" t="s">
        <v>45150</v>
      </c>
      <c r="N6208" t="s">
        <v>47304</v>
      </c>
      <c r="O6208" t="s">
        <v>47305</v>
      </c>
      <c r="P6208">
        <v>0</v>
      </c>
      <c r="Q6208">
        <v>19</v>
      </c>
      <c r="R6208" t="s">
        <v>47310</v>
      </c>
      <c r="S6208" t="s">
        <v>47435</v>
      </c>
      <c r="T6208" t="s">
        <v>49001</v>
      </c>
      <c r="U6208" t="s">
        <v>54718</v>
      </c>
      <c r="V6208" t="s">
        <v>63232</v>
      </c>
      <c r="W6208" t="s">
        <v>45150</v>
      </c>
      <c r="X6208" t="s">
        <v>47311</v>
      </c>
    </row>
    <row r="6209" spans="1:24">
      <c r="A6209">
        <f>HYPERLINK("https://www.philgeps.gov.ph/GEPSNONPILOT/Tender/SplashBidNoticeAbstractUI.aspx?menuIndex=3&amp;refID=7193558&amp;Result=3","7193558")</f>
        <v>0</v>
      </c>
      <c r="B6209" t="s">
        <v>2071</v>
      </c>
      <c r="C6209" t="s">
        <v>9682</v>
      </c>
      <c r="D6209" t="s">
        <v>19024</v>
      </c>
      <c r="E6209" t="s">
        <v>24529</v>
      </c>
      <c r="F6209" t="s">
        <v>32606</v>
      </c>
      <c r="G6209" t="s">
        <v>32613</v>
      </c>
      <c r="H6209" t="s">
        <v>32623</v>
      </c>
      <c r="I6209" t="s">
        <v>17648</v>
      </c>
      <c r="J6209" t="s">
        <v>32789</v>
      </c>
      <c r="K6209" t="s">
        <v>42631</v>
      </c>
      <c r="M6209" t="s">
        <v>45151</v>
      </c>
      <c r="N6209" t="s">
        <v>47304</v>
      </c>
      <c r="O6209" t="s">
        <v>47305</v>
      </c>
      <c r="P6209">
        <v>0</v>
      </c>
      <c r="Q6209">
        <v>1</v>
      </c>
      <c r="R6209" t="s">
        <v>47310</v>
      </c>
      <c r="S6209" t="s">
        <v>47435</v>
      </c>
      <c r="T6209" t="s">
        <v>49087</v>
      </c>
      <c r="U6209" t="s">
        <v>54719</v>
      </c>
      <c r="W6209" t="s">
        <v>45151</v>
      </c>
      <c r="X6209" t="s">
        <v>47311</v>
      </c>
    </row>
    <row r="6210" spans="1:24">
      <c r="A6210">
        <f>HYPERLINK("https://www.philgeps.gov.ph/GEPSNONPILOT/Tender/SplashBidNoticeAbstractUI.aspx?menuIndex=3&amp;refID=7193554&amp;Result=3","7193554")</f>
        <v>0</v>
      </c>
      <c r="B6210" t="s">
        <v>569</v>
      </c>
      <c r="C6210" t="s">
        <v>9673</v>
      </c>
      <c r="D6210" t="s">
        <v>18993</v>
      </c>
      <c r="E6210" t="s">
        <v>24530</v>
      </c>
      <c r="F6210" t="s">
        <v>32606</v>
      </c>
      <c r="G6210" t="s">
        <v>32619</v>
      </c>
      <c r="H6210" t="s">
        <v>14201</v>
      </c>
      <c r="I6210" t="s">
        <v>32638</v>
      </c>
      <c r="J6210" t="s">
        <v>34038</v>
      </c>
      <c r="K6210" t="s">
        <v>42623</v>
      </c>
      <c r="M6210" t="s">
        <v>43484</v>
      </c>
      <c r="N6210" t="s">
        <v>47304</v>
      </c>
      <c r="O6210" t="s">
        <v>47305</v>
      </c>
      <c r="P6210">
        <v>0</v>
      </c>
      <c r="Q6210">
        <v>3</v>
      </c>
      <c r="R6210" t="s">
        <v>47310</v>
      </c>
      <c r="S6210" t="s">
        <v>47435</v>
      </c>
      <c r="T6210" t="s">
        <v>49020</v>
      </c>
      <c r="U6210" t="s">
        <v>54720</v>
      </c>
      <c r="V6210" t="s">
        <v>63227</v>
      </c>
      <c r="W6210" t="s">
        <v>64492</v>
      </c>
      <c r="X6210" t="s">
        <v>47311</v>
      </c>
    </row>
    <row r="6211" spans="1:24">
      <c r="A6211">
        <f>HYPERLINK("https://www.philgeps.gov.ph/GEPSNONPILOT/Tender/SplashBidNoticeAbstractUI.aspx?menuIndex=3&amp;refID=7193413&amp;Result=3","7193413")</f>
        <v>0</v>
      </c>
      <c r="B6211" t="s">
        <v>1954</v>
      </c>
      <c r="C6211" t="s">
        <v>9683</v>
      </c>
      <c r="E6211" t="s">
        <v>24531</v>
      </c>
      <c r="F6211" t="s">
        <v>32606</v>
      </c>
      <c r="G6211" t="s">
        <v>32614</v>
      </c>
      <c r="H6211" t="s">
        <v>14201</v>
      </c>
      <c r="I6211" t="s">
        <v>32646</v>
      </c>
      <c r="J6211" t="s">
        <v>36765</v>
      </c>
      <c r="K6211" t="s">
        <v>42624</v>
      </c>
      <c r="M6211" t="s">
        <v>45015</v>
      </c>
      <c r="N6211" t="s">
        <v>47304</v>
      </c>
      <c r="O6211" t="s">
        <v>47305</v>
      </c>
      <c r="P6211">
        <v>0</v>
      </c>
      <c r="Q6211">
        <v>1</v>
      </c>
      <c r="R6211" t="s">
        <v>47310</v>
      </c>
      <c r="S6211" t="s">
        <v>47435</v>
      </c>
      <c r="T6211" t="s">
        <v>49330</v>
      </c>
      <c r="U6211" t="s">
        <v>54721</v>
      </c>
      <c r="W6211" t="s">
        <v>45015</v>
      </c>
      <c r="X6211" t="s">
        <v>47311</v>
      </c>
    </row>
    <row r="6212" spans="1:24">
      <c r="A6212">
        <f>HYPERLINK("https://www.philgeps.gov.ph/GEPSNONPILOT/Tender/SplashBidNoticeAbstractUI.aspx?menuIndex=3&amp;refID=7193472&amp;Result=3","7193472")</f>
        <v>0</v>
      </c>
      <c r="B6212" t="s">
        <v>481</v>
      </c>
      <c r="C6212" t="s">
        <v>9684</v>
      </c>
      <c r="D6212" t="s">
        <v>18993</v>
      </c>
      <c r="E6212" t="s">
        <v>24532</v>
      </c>
      <c r="F6212" t="s">
        <v>32606</v>
      </c>
      <c r="G6212" t="s">
        <v>32613</v>
      </c>
      <c r="H6212" t="s">
        <v>14201</v>
      </c>
      <c r="I6212" t="s">
        <v>4369</v>
      </c>
      <c r="J6212" t="s">
        <v>36766</v>
      </c>
      <c r="K6212" t="s">
        <v>42639</v>
      </c>
      <c r="M6212" t="s">
        <v>45152</v>
      </c>
      <c r="N6212" t="s">
        <v>47304</v>
      </c>
      <c r="O6212" t="s">
        <v>47305</v>
      </c>
      <c r="P6212">
        <v>0</v>
      </c>
      <c r="Q6212">
        <v>16</v>
      </c>
      <c r="R6212" t="s">
        <v>47310</v>
      </c>
      <c r="S6212" t="s">
        <v>47435</v>
      </c>
      <c r="T6212" t="s">
        <v>49153</v>
      </c>
      <c r="U6212" t="s">
        <v>54722</v>
      </c>
      <c r="W6212" t="s">
        <v>43392</v>
      </c>
      <c r="X6212" t="s">
        <v>47311</v>
      </c>
    </row>
    <row r="6213" spans="1:24">
      <c r="A6213">
        <f>HYPERLINK("https://www.philgeps.gov.ph/GEPSNONPILOT/Tender/SplashBidNoticeAbstractUI.aspx?menuIndex=3&amp;refID=7193520&amp;Result=3","7193520")</f>
        <v>0</v>
      </c>
      <c r="B6213" t="s">
        <v>259</v>
      </c>
      <c r="C6213" t="s">
        <v>9685</v>
      </c>
      <c r="D6213" t="s">
        <v>19019</v>
      </c>
      <c r="E6213" t="s">
        <v>24533</v>
      </c>
      <c r="F6213" t="s">
        <v>32606</v>
      </c>
      <c r="G6213" t="s">
        <v>32613</v>
      </c>
      <c r="H6213" t="s">
        <v>32623</v>
      </c>
      <c r="I6213" t="s">
        <v>17648</v>
      </c>
      <c r="J6213" t="s">
        <v>36767</v>
      </c>
      <c r="K6213" t="s">
        <v>42659</v>
      </c>
      <c r="M6213" t="s">
        <v>43160</v>
      </c>
      <c r="N6213" t="s">
        <v>47304</v>
      </c>
      <c r="O6213" t="s">
        <v>47305</v>
      </c>
      <c r="P6213">
        <v>0</v>
      </c>
      <c r="Q6213">
        <v>0</v>
      </c>
      <c r="R6213" t="s">
        <v>47310</v>
      </c>
      <c r="S6213" t="s">
        <v>47435</v>
      </c>
      <c r="T6213" t="s">
        <v>49203</v>
      </c>
      <c r="U6213" t="s">
        <v>54723</v>
      </c>
      <c r="W6213" t="s">
        <v>43160</v>
      </c>
      <c r="X6213" t="s">
        <v>47311</v>
      </c>
    </row>
    <row r="6214" spans="1:24">
      <c r="A6214">
        <f>HYPERLINK("https://www.philgeps.gov.ph/GEPSNONPILOT/Tender/SplashBidNoticeAbstractUI.aspx?menuIndex=3&amp;refID=7193561&amp;Result=3","7193561")</f>
        <v>0</v>
      </c>
      <c r="B6214" t="s">
        <v>2070</v>
      </c>
      <c r="C6214" t="s">
        <v>9686</v>
      </c>
      <c r="E6214" t="s">
        <v>24534</v>
      </c>
      <c r="F6214" t="s">
        <v>32606</v>
      </c>
      <c r="G6214" t="s">
        <v>32613</v>
      </c>
      <c r="H6214" t="s">
        <v>14201</v>
      </c>
      <c r="I6214" t="s">
        <v>7677</v>
      </c>
      <c r="J6214" t="s">
        <v>36768</v>
      </c>
      <c r="K6214" t="s">
        <v>42624</v>
      </c>
      <c r="M6214" t="s">
        <v>45150</v>
      </c>
      <c r="N6214" t="s">
        <v>47304</v>
      </c>
      <c r="O6214" t="s">
        <v>47305</v>
      </c>
      <c r="P6214">
        <v>0</v>
      </c>
      <c r="Q6214">
        <v>5</v>
      </c>
      <c r="R6214" t="s">
        <v>47310</v>
      </c>
      <c r="S6214" t="s">
        <v>47435</v>
      </c>
      <c r="T6214" t="s">
        <v>49001</v>
      </c>
      <c r="U6214" t="s">
        <v>54718</v>
      </c>
      <c r="V6214" t="s">
        <v>63233</v>
      </c>
      <c r="W6214" t="s">
        <v>45150</v>
      </c>
      <c r="X6214" t="s">
        <v>47311</v>
      </c>
    </row>
    <row r="6215" spans="1:24">
      <c r="A6215">
        <f>HYPERLINK("https://www.philgeps.gov.ph/GEPSNONPILOT/Tender/SplashBidNoticeAbstractUI.aspx?menuIndex=3&amp;refID=7193557&amp;Result=3","7193557")</f>
        <v>0</v>
      </c>
      <c r="B6215" t="s">
        <v>2072</v>
      </c>
      <c r="C6215" t="s">
        <v>9687</v>
      </c>
      <c r="D6215" t="s">
        <v>18991</v>
      </c>
      <c r="E6215" t="s">
        <v>24535</v>
      </c>
      <c r="F6215" t="s">
        <v>32606</v>
      </c>
      <c r="G6215" t="s">
        <v>32614</v>
      </c>
      <c r="H6215" t="s">
        <v>14201</v>
      </c>
      <c r="I6215" t="s">
        <v>6993</v>
      </c>
      <c r="J6215" t="s">
        <v>36769</v>
      </c>
      <c r="K6215" t="s">
        <v>42623</v>
      </c>
      <c r="M6215" t="s">
        <v>45153</v>
      </c>
      <c r="N6215" t="s">
        <v>47304</v>
      </c>
      <c r="O6215" t="s">
        <v>47305</v>
      </c>
      <c r="P6215">
        <v>0</v>
      </c>
      <c r="Q6215">
        <v>0</v>
      </c>
      <c r="R6215" t="s">
        <v>47310</v>
      </c>
      <c r="S6215" t="s">
        <v>47435</v>
      </c>
      <c r="T6215" t="s">
        <v>49050</v>
      </c>
      <c r="U6215" t="s">
        <v>54724</v>
      </c>
      <c r="W6215" t="s">
        <v>45153</v>
      </c>
      <c r="X6215" t="s">
        <v>47311</v>
      </c>
    </row>
    <row r="6216" spans="1:24">
      <c r="A6216">
        <f>HYPERLINK("https://www.philgeps.gov.ph/GEPSNONPILOT/Tender/SplashBidNoticeAbstractUI.aspx?menuIndex=3&amp;refID=7193566&amp;Result=3","7193566")</f>
        <v>0</v>
      </c>
      <c r="B6216" t="s">
        <v>2070</v>
      </c>
      <c r="C6216" t="s">
        <v>9688</v>
      </c>
      <c r="E6216" t="s">
        <v>24536</v>
      </c>
      <c r="F6216" t="s">
        <v>32606</v>
      </c>
      <c r="G6216" t="s">
        <v>32613</v>
      </c>
      <c r="H6216" t="s">
        <v>14201</v>
      </c>
      <c r="I6216" t="s">
        <v>32633</v>
      </c>
      <c r="J6216" t="s">
        <v>36770</v>
      </c>
      <c r="K6216" t="s">
        <v>42624</v>
      </c>
      <c r="M6216" t="s">
        <v>45150</v>
      </c>
      <c r="N6216" t="s">
        <v>47304</v>
      </c>
      <c r="O6216" t="s">
        <v>47305</v>
      </c>
      <c r="P6216">
        <v>0</v>
      </c>
      <c r="Q6216">
        <v>6</v>
      </c>
      <c r="R6216" t="s">
        <v>47310</v>
      </c>
      <c r="S6216" t="s">
        <v>47435</v>
      </c>
      <c r="T6216" t="s">
        <v>49001</v>
      </c>
      <c r="U6216" t="s">
        <v>54718</v>
      </c>
      <c r="V6216" t="s">
        <v>63234</v>
      </c>
      <c r="W6216" t="s">
        <v>45150</v>
      </c>
      <c r="X6216" t="s">
        <v>47311</v>
      </c>
    </row>
    <row r="6217" spans="1:24">
      <c r="A6217">
        <f>HYPERLINK("https://www.philgeps.gov.ph/GEPSNONPILOT/Tender/SplashBidNoticeAbstractUI.aspx?menuIndex=3&amp;refID=7193623&amp;Result=3","7193623")</f>
        <v>0</v>
      </c>
      <c r="B6217" t="s">
        <v>2073</v>
      </c>
      <c r="C6217" t="s">
        <v>9689</v>
      </c>
      <c r="D6217" t="s">
        <v>18993</v>
      </c>
      <c r="E6217" t="s">
        <v>24537</v>
      </c>
      <c r="F6217" t="s">
        <v>32606</v>
      </c>
      <c r="G6217" t="s">
        <v>32613</v>
      </c>
      <c r="H6217" t="s">
        <v>14201</v>
      </c>
      <c r="I6217" t="s">
        <v>6298</v>
      </c>
      <c r="J6217" t="s">
        <v>33263</v>
      </c>
      <c r="K6217" t="s">
        <v>42622</v>
      </c>
      <c r="M6217" t="s">
        <v>45154</v>
      </c>
      <c r="N6217" t="s">
        <v>47304</v>
      </c>
      <c r="O6217" t="s">
        <v>47305</v>
      </c>
      <c r="P6217">
        <v>0</v>
      </c>
      <c r="Q6217">
        <v>2</v>
      </c>
      <c r="R6217" t="s">
        <v>47310</v>
      </c>
      <c r="S6217" t="s">
        <v>47435</v>
      </c>
      <c r="T6217" t="s">
        <v>49237</v>
      </c>
      <c r="U6217" t="s">
        <v>54725</v>
      </c>
      <c r="W6217" t="s">
        <v>45154</v>
      </c>
      <c r="X6217" t="s">
        <v>47311</v>
      </c>
    </row>
    <row r="6218" spans="1:24">
      <c r="A6218">
        <f>HYPERLINK("https://www.philgeps.gov.ph/GEPSNONPILOT/Tender/SplashBidNoticeAbstractUI.aspx?menuIndex=3&amp;refID=7193515&amp;Result=3","7193515")</f>
        <v>0</v>
      </c>
      <c r="B6218" t="s">
        <v>2069</v>
      </c>
      <c r="C6218" t="s">
        <v>9690</v>
      </c>
      <c r="D6218" t="s">
        <v>19024</v>
      </c>
      <c r="E6218" t="s">
        <v>24538</v>
      </c>
      <c r="F6218" t="s">
        <v>32606</v>
      </c>
      <c r="G6218" t="s">
        <v>32613</v>
      </c>
      <c r="H6218" t="s">
        <v>32623</v>
      </c>
      <c r="I6218" t="s">
        <v>17648</v>
      </c>
      <c r="J6218" t="s">
        <v>36771</v>
      </c>
      <c r="K6218" t="s">
        <v>42636</v>
      </c>
      <c r="M6218" t="s">
        <v>45149</v>
      </c>
      <c r="N6218" t="s">
        <v>47304</v>
      </c>
      <c r="O6218" t="s">
        <v>47305</v>
      </c>
      <c r="P6218">
        <v>0</v>
      </c>
      <c r="Q6218">
        <v>0</v>
      </c>
      <c r="R6218" t="s">
        <v>47310</v>
      </c>
      <c r="S6218" t="s">
        <v>47435</v>
      </c>
      <c r="T6218" t="s">
        <v>49087</v>
      </c>
      <c r="U6218" t="s">
        <v>54726</v>
      </c>
      <c r="W6218" t="s">
        <v>45149</v>
      </c>
      <c r="X6218" t="s">
        <v>47311</v>
      </c>
    </row>
    <row r="6219" spans="1:24">
      <c r="A6219">
        <f>HYPERLINK("https://www.philgeps.gov.ph/GEPSNONPILOT/Tender/SplashBidNoticeAbstractUI.aspx?menuIndex=3&amp;refID=7193649&amp;Result=3","7193649")</f>
        <v>0</v>
      </c>
      <c r="B6219" t="s">
        <v>1632</v>
      </c>
      <c r="C6219" t="s">
        <v>9691</v>
      </c>
      <c r="D6219" t="s">
        <v>18999</v>
      </c>
      <c r="E6219" t="s">
        <v>24539</v>
      </c>
      <c r="F6219" t="s">
        <v>32606</v>
      </c>
      <c r="G6219" t="s">
        <v>32619</v>
      </c>
      <c r="H6219" t="s">
        <v>14201</v>
      </c>
      <c r="I6219" t="s">
        <v>7677</v>
      </c>
      <c r="J6219" t="s">
        <v>36772</v>
      </c>
      <c r="K6219" t="s">
        <v>42624</v>
      </c>
      <c r="M6219" t="s">
        <v>44652</v>
      </c>
      <c r="N6219" t="s">
        <v>47304</v>
      </c>
      <c r="O6219" t="s">
        <v>47305</v>
      </c>
      <c r="P6219">
        <v>0</v>
      </c>
      <c r="Q6219">
        <v>15</v>
      </c>
      <c r="R6219" t="s">
        <v>47310</v>
      </c>
      <c r="S6219" t="s">
        <v>47435</v>
      </c>
      <c r="T6219" t="s">
        <v>48972</v>
      </c>
      <c r="U6219" t="s">
        <v>54727</v>
      </c>
      <c r="V6219" t="s">
        <v>63068</v>
      </c>
      <c r="W6219" t="s">
        <v>44652</v>
      </c>
      <c r="X6219" t="s">
        <v>47311</v>
      </c>
    </row>
    <row r="6220" spans="1:24">
      <c r="A6220">
        <f>HYPERLINK("https://www.philgeps.gov.ph/GEPSNONPILOT/Tender/SplashBidNoticeAbstractUI.aspx?menuIndex=3&amp;refID=7193645&amp;Result=3","7193645")</f>
        <v>0</v>
      </c>
      <c r="B6220" t="s">
        <v>2074</v>
      </c>
      <c r="C6220" t="s">
        <v>9692</v>
      </c>
      <c r="E6220" t="s">
        <v>24540</v>
      </c>
      <c r="F6220" t="s">
        <v>32606</v>
      </c>
      <c r="G6220" t="s">
        <v>32613</v>
      </c>
      <c r="H6220" t="s">
        <v>32623</v>
      </c>
      <c r="I6220" t="s">
        <v>17648</v>
      </c>
      <c r="J6220" t="s">
        <v>32770</v>
      </c>
      <c r="K6220" t="s">
        <v>42662</v>
      </c>
      <c r="M6220" t="s">
        <v>45155</v>
      </c>
      <c r="N6220" t="s">
        <v>47304</v>
      </c>
      <c r="O6220" t="s">
        <v>47305</v>
      </c>
      <c r="P6220">
        <v>0</v>
      </c>
      <c r="Q6220">
        <v>1</v>
      </c>
      <c r="R6220" t="s">
        <v>47310</v>
      </c>
      <c r="S6220" t="s">
        <v>47435</v>
      </c>
      <c r="T6220" t="s">
        <v>48987</v>
      </c>
      <c r="U6220" t="s">
        <v>54728</v>
      </c>
      <c r="W6220" t="s">
        <v>45155</v>
      </c>
      <c r="X6220" t="s">
        <v>47311</v>
      </c>
    </row>
    <row r="6221" spans="1:24">
      <c r="A6221">
        <f>HYPERLINK("https://www.philgeps.gov.ph/GEPSNONPILOT/Tender/SplashBidNoticeAbstractUI.aspx?menuIndex=3&amp;refID=7193619&amp;Result=3","7193619")</f>
        <v>0</v>
      </c>
      <c r="B6221" t="s">
        <v>569</v>
      </c>
      <c r="C6221" t="s">
        <v>9693</v>
      </c>
      <c r="D6221" t="s">
        <v>18993</v>
      </c>
      <c r="E6221" t="s">
        <v>24541</v>
      </c>
      <c r="F6221" t="s">
        <v>32606</v>
      </c>
      <c r="G6221" t="s">
        <v>32619</v>
      </c>
      <c r="H6221" t="s">
        <v>14201</v>
      </c>
      <c r="I6221" t="s">
        <v>32638</v>
      </c>
      <c r="J6221" t="s">
        <v>32981</v>
      </c>
      <c r="K6221" t="s">
        <v>42623</v>
      </c>
      <c r="M6221" t="s">
        <v>43484</v>
      </c>
      <c r="N6221" t="s">
        <v>47304</v>
      </c>
      <c r="O6221" t="s">
        <v>47305</v>
      </c>
      <c r="P6221">
        <v>0</v>
      </c>
      <c r="Q6221">
        <v>6</v>
      </c>
      <c r="R6221" t="s">
        <v>47310</v>
      </c>
      <c r="S6221" t="s">
        <v>47435</v>
      </c>
      <c r="T6221" t="s">
        <v>49020</v>
      </c>
      <c r="U6221" t="s">
        <v>54729</v>
      </c>
      <c r="V6221" t="s">
        <v>63227</v>
      </c>
      <c r="W6221" t="s">
        <v>64492</v>
      </c>
      <c r="X6221" t="s">
        <v>47311</v>
      </c>
    </row>
    <row r="6222" spans="1:24">
      <c r="A6222">
        <f>HYPERLINK("https://www.philgeps.gov.ph/GEPSNONPILOT/Tender/SplashBidNoticeAbstractUI.aspx?menuIndex=3&amp;refID=7193643&amp;Result=3","7193643")</f>
        <v>0</v>
      </c>
      <c r="B6222" t="s">
        <v>1142</v>
      </c>
      <c r="C6222" t="s">
        <v>9694</v>
      </c>
      <c r="D6222" t="s">
        <v>19040</v>
      </c>
      <c r="E6222" t="s">
        <v>24542</v>
      </c>
      <c r="F6222" t="s">
        <v>32606</v>
      </c>
      <c r="G6222" t="s">
        <v>32614</v>
      </c>
      <c r="H6222" t="s">
        <v>14201</v>
      </c>
      <c r="I6222" t="s">
        <v>32693</v>
      </c>
      <c r="J6222" t="s">
        <v>34483</v>
      </c>
      <c r="K6222" t="s">
        <v>42623</v>
      </c>
      <c r="M6222" t="s">
        <v>44104</v>
      </c>
      <c r="N6222" t="s">
        <v>47304</v>
      </c>
      <c r="O6222" t="s">
        <v>47305</v>
      </c>
      <c r="P6222">
        <v>0</v>
      </c>
      <c r="Q6222">
        <v>0</v>
      </c>
      <c r="R6222" t="s">
        <v>47310</v>
      </c>
      <c r="S6222" t="s">
        <v>47435</v>
      </c>
      <c r="T6222" t="s">
        <v>49072</v>
      </c>
      <c r="U6222" t="s">
        <v>54730</v>
      </c>
      <c r="W6222" t="s">
        <v>44104</v>
      </c>
      <c r="X6222" t="s">
        <v>47311</v>
      </c>
    </row>
    <row r="6223" spans="1:24">
      <c r="A6223">
        <f>HYPERLINK("https://www.philgeps.gov.ph/GEPSNONPILOT/Tender/SplashBidNoticeAbstractUI.aspx?menuIndex=3&amp;refID=7193634&amp;Result=3","7193634")</f>
        <v>0</v>
      </c>
      <c r="B6223" t="s">
        <v>2075</v>
      </c>
      <c r="C6223" t="s">
        <v>9695</v>
      </c>
      <c r="D6223" t="s">
        <v>19003</v>
      </c>
      <c r="E6223" t="s">
        <v>20377</v>
      </c>
      <c r="F6223" t="s">
        <v>32606</v>
      </c>
      <c r="G6223" t="s">
        <v>32619</v>
      </c>
      <c r="H6223" t="s">
        <v>14201</v>
      </c>
      <c r="I6223" t="s">
        <v>6298</v>
      </c>
      <c r="J6223" t="s">
        <v>36773</v>
      </c>
      <c r="K6223" t="s">
        <v>42624</v>
      </c>
      <c r="M6223" t="s">
        <v>45156</v>
      </c>
      <c r="N6223" t="s">
        <v>47304</v>
      </c>
      <c r="O6223" t="s">
        <v>47305</v>
      </c>
      <c r="P6223">
        <v>0</v>
      </c>
      <c r="Q6223">
        <v>1</v>
      </c>
      <c r="R6223" t="s">
        <v>47310</v>
      </c>
      <c r="S6223" t="s">
        <v>47435</v>
      </c>
      <c r="T6223" t="s">
        <v>48972</v>
      </c>
      <c r="U6223" t="s">
        <v>54731</v>
      </c>
      <c r="W6223" t="s">
        <v>45156</v>
      </c>
      <c r="X6223" t="s">
        <v>47311</v>
      </c>
    </row>
    <row r="6224" spans="1:24">
      <c r="A6224">
        <f>HYPERLINK("https://www.philgeps.gov.ph/GEPSNONPILOT/Tender/SplashBidNoticeAbstractUI.aspx?menuIndex=3&amp;refID=7193630&amp;Result=3","7193630")</f>
        <v>0</v>
      </c>
      <c r="B6224" t="s">
        <v>2076</v>
      </c>
      <c r="C6224" t="s">
        <v>9696</v>
      </c>
      <c r="D6224" t="s">
        <v>18993</v>
      </c>
      <c r="E6224" t="s">
        <v>24543</v>
      </c>
      <c r="F6224" t="s">
        <v>32606</v>
      </c>
      <c r="G6224" t="s">
        <v>32613</v>
      </c>
      <c r="H6224" t="s">
        <v>14201</v>
      </c>
      <c r="I6224" t="s">
        <v>4120</v>
      </c>
      <c r="J6224" t="s">
        <v>32923</v>
      </c>
      <c r="K6224" t="s">
        <v>42622</v>
      </c>
      <c r="M6224" t="s">
        <v>45157</v>
      </c>
      <c r="N6224" t="s">
        <v>47304</v>
      </c>
      <c r="O6224" t="s">
        <v>47305</v>
      </c>
      <c r="P6224">
        <v>0</v>
      </c>
      <c r="Q6224">
        <v>0</v>
      </c>
      <c r="R6224" t="s">
        <v>47310</v>
      </c>
      <c r="S6224" t="s">
        <v>47435</v>
      </c>
      <c r="T6224" t="s">
        <v>49065</v>
      </c>
      <c r="U6224" t="s">
        <v>54732</v>
      </c>
      <c r="W6224" t="s">
        <v>45157</v>
      </c>
      <c r="X6224" t="s">
        <v>47311</v>
      </c>
    </row>
    <row r="6225" spans="1:24">
      <c r="A6225">
        <f>HYPERLINK("https://www.philgeps.gov.ph/GEPSNONPILOT/Tender/SplashBidNoticeAbstractUI.aspx?menuIndex=3&amp;refID=7193601&amp;Result=3","7193601")</f>
        <v>0</v>
      </c>
      <c r="B6225" t="s">
        <v>2073</v>
      </c>
      <c r="C6225" t="s">
        <v>9697</v>
      </c>
      <c r="D6225" t="s">
        <v>18993</v>
      </c>
      <c r="E6225" t="s">
        <v>24544</v>
      </c>
      <c r="F6225" t="s">
        <v>32606</v>
      </c>
      <c r="G6225" t="s">
        <v>32613</v>
      </c>
      <c r="H6225" t="s">
        <v>14201</v>
      </c>
      <c r="I6225" t="s">
        <v>6298</v>
      </c>
      <c r="J6225" t="s">
        <v>32765</v>
      </c>
      <c r="K6225" t="s">
        <v>42622</v>
      </c>
      <c r="M6225" t="s">
        <v>45154</v>
      </c>
      <c r="N6225" t="s">
        <v>47304</v>
      </c>
      <c r="O6225" t="s">
        <v>47305</v>
      </c>
      <c r="P6225">
        <v>0</v>
      </c>
      <c r="Q6225">
        <v>2</v>
      </c>
      <c r="R6225" t="s">
        <v>47310</v>
      </c>
      <c r="S6225" t="s">
        <v>47435</v>
      </c>
      <c r="T6225" t="s">
        <v>49087</v>
      </c>
      <c r="U6225" t="s">
        <v>54733</v>
      </c>
      <c r="W6225" t="s">
        <v>45154</v>
      </c>
      <c r="X6225" t="s">
        <v>47311</v>
      </c>
    </row>
    <row r="6226" spans="1:24">
      <c r="A6226">
        <f>HYPERLINK("https://www.philgeps.gov.ph/GEPSNONPILOT/Tender/SplashBidNoticeAbstractUI.aspx?menuIndex=3&amp;refID=7193516&amp;Result=3","7193516")</f>
        <v>0</v>
      </c>
      <c r="B6226" t="s">
        <v>2077</v>
      </c>
      <c r="C6226" t="s">
        <v>9698</v>
      </c>
      <c r="D6226" t="s">
        <v>19025</v>
      </c>
      <c r="E6226" t="s">
        <v>24545</v>
      </c>
      <c r="F6226" t="s">
        <v>32609</v>
      </c>
      <c r="G6226" t="s">
        <v>32613</v>
      </c>
      <c r="H6226" t="s">
        <v>32623</v>
      </c>
      <c r="I6226" t="s">
        <v>17648</v>
      </c>
      <c r="J6226" t="s">
        <v>36774</v>
      </c>
      <c r="K6226" t="s">
        <v>42631</v>
      </c>
      <c r="M6226" t="s">
        <v>45158</v>
      </c>
      <c r="N6226" t="s">
        <v>47304</v>
      </c>
      <c r="O6226" t="s">
        <v>47305</v>
      </c>
      <c r="P6226">
        <v>0</v>
      </c>
      <c r="Q6226">
        <v>0</v>
      </c>
      <c r="R6226" t="s">
        <v>47310</v>
      </c>
      <c r="S6226" t="s">
        <v>47435</v>
      </c>
      <c r="T6226" t="s">
        <v>49099</v>
      </c>
      <c r="U6226" t="s">
        <v>54734</v>
      </c>
      <c r="W6226" t="s">
        <v>45158</v>
      </c>
      <c r="X6226" t="s">
        <v>47311</v>
      </c>
    </row>
    <row r="6227" spans="1:24">
      <c r="A6227">
        <f>HYPERLINK("https://www.philgeps.gov.ph/GEPSNONPILOT/Tender/SplashBidNoticeAbstractUI.aspx?menuIndex=3&amp;refID=7193593&amp;Result=3","7193593")</f>
        <v>0</v>
      </c>
      <c r="B6227" t="s">
        <v>2078</v>
      </c>
      <c r="C6227" t="s">
        <v>9699</v>
      </c>
      <c r="D6227" t="s">
        <v>19049</v>
      </c>
      <c r="E6227" t="s">
        <v>24546</v>
      </c>
      <c r="F6227" t="s">
        <v>32606</v>
      </c>
      <c r="G6227" t="s">
        <v>32613</v>
      </c>
      <c r="H6227" t="s">
        <v>14201</v>
      </c>
      <c r="I6227" t="s">
        <v>32650</v>
      </c>
      <c r="J6227" t="s">
        <v>36775</v>
      </c>
      <c r="K6227" t="s">
        <v>42631</v>
      </c>
      <c r="M6227" t="s">
        <v>45159</v>
      </c>
      <c r="N6227" t="s">
        <v>47304</v>
      </c>
      <c r="O6227" t="s">
        <v>47305</v>
      </c>
      <c r="P6227">
        <v>0</v>
      </c>
      <c r="Q6227">
        <v>2</v>
      </c>
      <c r="R6227" t="s">
        <v>47310</v>
      </c>
      <c r="S6227" t="s">
        <v>47435</v>
      </c>
      <c r="T6227" t="s">
        <v>48995</v>
      </c>
      <c r="U6227" t="s">
        <v>54735</v>
      </c>
      <c r="W6227" t="s">
        <v>45159</v>
      </c>
      <c r="X6227" t="s">
        <v>47311</v>
      </c>
    </row>
    <row r="6228" spans="1:24">
      <c r="A6228">
        <f>HYPERLINK("https://www.philgeps.gov.ph/GEPSNONPILOT/Tender/SplashBidNoticeAbstractUI.aspx?menuIndex=3&amp;refID=7193652&amp;Result=3","7193652")</f>
        <v>0</v>
      </c>
      <c r="B6228" t="s">
        <v>2076</v>
      </c>
      <c r="C6228" t="s">
        <v>9700</v>
      </c>
      <c r="D6228" t="s">
        <v>18993</v>
      </c>
      <c r="E6228" t="s">
        <v>24543</v>
      </c>
      <c r="F6228" t="s">
        <v>32606</v>
      </c>
      <c r="G6228" t="s">
        <v>32613</v>
      </c>
      <c r="H6228" t="s">
        <v>14201</v>
      </c>
      <c r="I6228" t="s">
        <v>9008</v>
      </c>
      <c r="J6228" t="s">
        <v>36776</v>
      </c>
      <c r="K6228" t="s">
        <v>42622</v>
      </c>
      <c r="M6228" t="s">
        <v>45157</v>
      </c>
      <c r="N6228" t="s">
        <v>47304</v>
      </c>
      <c r="O6228" t="s">
        <v>47305</v>
      </c>
      <c r="P6228">
        <v>0</v>
      </c>
      <c r="Q6228">
        <v>1</v>
      </c>
      <c r="R6228" t="s">
        <v>47310</v>
      </c>
      <c r="S6228" t="s">
        <v>47435</v>
      </c>
      <c r="T6228" t="s">
        <v>49065</v>
      </c>
      <c r="U6228" t="s">
        <v>54732</v>
      </c>
      <c r="W6228" t="s">
        <v>45157</v>
      </c>
      <c r="X6228" t="s">
        <v>47311</v>
      </c>
    </row>
    <row r="6229" spans="1:24">
      <c r="A6229">
        <f>HYPERLINK("https://www.philgeps.gov.ph/GEPSNONPILOT/Tender/SplashBidNoticeAbstractUI.aspx?menuIndex=3&amp;refID=7193551&amp;Result=3","7193551")</f>
        <v>0</v>
      </c>
      <c r="B6229" t="s">
        <v>2072</v>
      </c>
      <c r="C6229" t="s">
        <v>9701</v>
      </c>
      <c r="D6229" t="s">
        <v>18991</v>
      </c>
      <c r="E6229" t="s">
        <v>24547</v>
      </c>
      <c r="F6229" t="s">
        <v>32606</v>
      </c>
      <c r="G6229" t="s">
        <v>32614</v>
      </c>
      <c r="H6229" t="s">
        <v>14201</v>
      </c>
      <c r="I6229" t="s">
        <v>6007</v>
      </c>
      <c r="J6229" t="s">
        <v>33155</v>
      </c>
      <c r="K6229" t="s">
        <v>42678</v>
      </c>
      <c r="M6229" t="s">
        <v>45153</v>
      </c>
      <c r="N6229" t="s">
        <v>47304</v>
      </c>
      <c r="O6229" t="s">
        <v>47305</v>
      </c>
      <c r="Q6229">
        <v>0</v>
      </c>
      <c r="R6229" t="s">
        <v>47310</v>
      </c>
      <c r="S6229" t="s">
        <v>47441</v>
      </c>
      <c r="T6229" t="s">
        <v>49050</v>
      </c>
      <c r="U6229" t="s">
        <v>54736</v>
      </c>
      <c r="W6229" t="s">
        <v>45153</v>
      </c>
      <c r="X6229" t="s">
        <v>47311</v>
      </c>
    </row>
    <row r="6230" spans="1:24">
      <c r="A6230">
        <f>HYPERLINK("https://www.philgeps.gov.ph/GEPSNONPILOT/Tender/SplashBidNoticeAbstractUI.aspx?menuIndex=3&amp;refID=7193624&amp;Result=3","7193624")</f>
        <v>0</v>
      </c>
      <c r="B6230" t="s">
        <v>1955</v>
      </c>
      <c r="C6230" t="s">
        <v>9702</v>
      </c>
      <c r="D6230" t="s">
        <v>19039</v>
      </c>
      <c r="E6230" t="s">
        <v>24548</v>
      </c>
      <c r="F6230" t="s">
        <v>32606</v>
      </c>
      <c r="G6230" t="s">
        <v>32613</v>
      </c>
      <c r="H6230" t="s">
        <v>14201</v>
      </c>
      <c r="I6230" t="s">
        <v>32737</v>
      </c>
      <c r="J6230" t="s">
        <v>36777</v>
      </c>
      <c r="K6230" t="s">
        <v>42631</v>
      </c>
      <c r="M6230" t="s">
        <v>45016</v>
      </c>
      <c r="N6230" t="s">
        <v>47304</v>
      </c>
      <c r="O6230" t="s">
        <v>47305</v>
      </c>
      <c r="P6230">
        <v>0</v>
      </c>
      <c r="Q6230">
        <v>0</v>
      </c>
      <c r="R6230" t="s">
        <v>47310</v>
      </c>
      <c r="S6230" t="s">
        <v>47435</v>
      </c>
      <c r="T6230" t="s">
        <v>48972</v>
      </c>
      <c r="U6230" t="s">
        <v>54737</v>
      </c>
      <c r="V6230" t="s">
        <v>63188</v>
      </c>
      <c r="W6230" t="s">
        <v>45016</v>
      </c>
      <c r="X6230" t="s">
        <v>47311</v>
      </c>
    </row>
    <row r="6231" spans="1:24">
      <c r="A6231">
        <f>HYPERLINK("https://www.philgeps.gov.ph/GEPSNONPILOT/Tender/SplashBidNoticeAbstractUI.aspx?menuIndex=3&amp;refID=7193702&amp;Result=3","7193702")</f>
        <v>0</v>
      </c>
      <c r="B6231" t="s">
        <v>2076</v>
      </c>
      <c r="C6231" t="s">
        <v>9703</v>
      </c>
      <c r="D6231" t="s">
        <v>18993</v>
      </c>
      <c r="E6231" t="s">
        <v>24543</v>
      </c>
      <c r="F6231" t="s">
        <v>32606</v>
      </c>
      <c r="G6231" t="s">
        <v>32613</v>
      </c>
      <c r="H6231" t="s">
        <v>14201</v>
      </c>
      <c r="I6231" t="s">
        <v>4369</v>
      </c>
      <c r="J6231" t="s">
        <v>33060</v>
      </c>
      <c r="K6231" t="s">
        <v>42622</v>
      </c>
      <c r="M6231" t="s">
        <v>45157</v>
      </c>
      <c r="N6231" t="s">
        <v>47304</v>
      </c>
      <c r="O6231" t="s">
        <v>47305</v>
      </c>
      <c r="P6231">
        <v>0</v>
      </c>
      <c r="Q6231">
        <v>1</v>
      </c>
      <c r="R6231" t="s">
        <v>47310</v>
      </c>
      <c r="S6231" t="s">
        <v>47435</v>
      </c>
      <c r="T6231" t="s">
        <v>49065</v>
      </c>
      <c r="U6231" t="s">
        <v>54732</v>
      </c>
      <c r="W6231" t="s">
        <v>45157</v>
      </c>
      <c r="X6231" t="s">
        <v>47311</v>
      </c>
    </row>
    <row r="6232" spans="1:24">
      <c r="A6232">
        <f>HYPERLINK("https://www.philgeps.gov.ph/GEPSNONPILOT/Tender/SplashBidNoticeAbstractUI.aspx?menuIndex=3&amp;refID=7193611&amp;Result=3","7193611")</f>
        <v>0</v>
      </c>
      <c r="B6232" t="s">
        <v>2064</v>
      </c>
      <c r="C6232" t="s">
        <v>9704</v>
      </c>
      <c r="D6232" t="s">
        <v>18993</v>
      </c>
      <c r="E6232" t="s">
        <v>24549</v>
      </c>
      <c r="F6232" t="s">
        <v>32606</v>
      </c>
      <c r="G6232" t="s">
        <v>32614</v>
      </c>
      <c r="H6232" t="s">
        <v>32625</v>
      </c>
      <c r="I6232" t="s">
        <v>32625</v>
      </c>
      <c r="J6232" t="s">
        <v>32789</v>
      </c>
      <c r="K6232" t="s">
        <v>42624</v>
      </c>
      <c r="M6232" t="s">
        <v>45160</v>
      </c>
      <c r="N6232" t="s">
        <v>47304</v>
      </c>
      <c r="O6232" t="s">
        <v>47305</v>
      </c>
      <c r="Q6232">
        <v>0</v>
      </c>
      <c r="R6232" t="s">
        <v>47310</v>
      </c>
      <c r="S6232" t="s">
        <v>47442</v>
      </c>
      <c r="T6232" t="s">
        <v>49340</v>
      </c>
      <c r="U6232" t="s">
        <v>54738</v>
      </c>
      <c r="V6232" t="s">
        <v>63235</v>
      </c>
      <c r="W6232" t="s">
        <v>45160</v>
      </c>
      <c r="X6232" t="s">
        <v>47311</v>
      </c>
    </row>
    <row r="6233" spans="1:24">
      <c r="A6233">
        <f>HYPERLINK("https://www.philgeps.gov.ph/GEPSNONPILOT/Tender/SplashBidNoticeAbstractUI.aspx?menuIndex=3&amp;refID=7193690&amp;Result=3","7193690")</f>
        <v>0</v>
      </c>
      <c r="B6233" t="s">
        <v>2079</v>
      </c>
      <c r="C6233" t="s">
        <v>9705</v>
      </c>
      <c r="D6233" t="s">
        <v>18995</v>
      </c>
      <c r="E6233" t="s">
        <v>24550</v>
      </c>
      <c r="F6233" t="s">
        <v>32606</v>
      </c>
      <c r="G6233" t="s">
        <v>32613</v>
      </c>
      <c r="H6233" t="s">
        <v>14201</v>
      </c>
      <c r="I6233" t="s">
        <v>9008</v>
      </c>
      <c r="J6233" t="s">
        <v>32765</v>
      </c>
      <c r="K6233" t="s">
        <v>42630</v>
      </c>
      <c r="M6233" t="s">
        <v>45161</v>
      </c>
      <c r="N6233" t="s">
        <v>47304</v>
      </c>
      <c r="O6233" t="s">
        <v>47305</v>
      </c>
      <c r="P6233">
        <v>0</v>
      </c>
      <c r="Q6233">
        <v>1</v>
      </c>
      <c r="R6233" t="s">
        <v>47310</v>
      </c>
      <c r="S6233" t="s">
        <v>47435</v>
      </c>
      <c r="T6233" t="s">
        <v>48975</v>
      </c>
      <c r="U6233" t="s">
        <v>54739</v>
      </c>
      <c r="W6233" t="s">
        <v>45161</v>
      </c>
      <c r="X6233" t="s">
        <v>47311</v>
      </c>
    </row>
    <row r="6234" spans="1:24">
      <c r="A6234">
        <f>HYPERLINK("https://www.philgeps.gov.ph/GEPSNONPILOT/Tender/SplashBidNoticeAbstractUI.aspx?menuIndex=3&amp;refID=7193689&amp;Result=3","7193689")</f>
        <v>0</v>
      </c>
      <c r="B6234" t="s">
        <v>2076</v>
      </c>
      <c r="C6234" t="s">
        <v>9706</v>
      </c>
      <c r="D6234" t="s">
        <v>18993</v>
      </c>
      <c r="E6234" t="s">
        <v>24543</v>
      </c>
      <c r="F6234" t="s">
        <v>32606</v>
      </c>
      <c r="G6234" t="s">
        <v>32613</v>
      </c>
      <c r="H6234" t="s">
        <v>14201</v>
      </c>
      <c r="I6234" t="s">
        <v>4369</v>
      </c>
      <c r="J6234" t="s">
        <v>36778</v>
      </c>
      <c r="K6234" t="s">
        <v>42622</v>
      </c>
      <c r="M6234" t="s">
        <v>45157</v>
      </c>
      <c r="N6234" t="s">
        <v>47304</v>
      </c>
      <c r="O6234" t="s">
        <v>47305</v>
      </c>
      <c r="P6234">
        <v>0</v>
      </c>
      <c r="Q6234">
        <v>4</v>
      </c>
      <c r="R6234" t="s">
        <v>47310</v>
      </c>
      <c r="S6234" t="s">
        <v>47435</v>
      </c>
      <c r="T6234" t="s">
        <v>49065</v>
      </c>
      <c r="U6234" t="s">
        <v>54732</v>
      </c>
      <c r="W6234" t="s">
        <v>45157</v>
      </c>
      <c r="X6234" t="s">
        <v>47311</v>
      </c>
    </row>
    <row r="6235" spans="1:24">
      <c r="A6235">
        <f>HYPERLINK("https://www.philgeps.gov.ph/GEPSNONPILOT/Tender/SplashBidNoticeAbstractUI.aspx?menuIndex=3&amp;refID=7193687&amp;Result=3","7193687")</f>
        <v>0</v>
      </c>
      <c r="B6235" t="s">
        <v>2076</v>
      </c>
      <c r="C6235" t="s">
        <v>9707</v>
      </c>
      <c r="D6235" t="s">
        <v>18993</v>
      </c>
      <c r="E6235" t="s">
        <v>24543</v>
      </c>
      <c r="F6235" t="s">
        <v>32606</v>
      </c>
      <c r="G6235" t="s">
        <v>32613</v>
      </c>
      <c r="H6235" t="s">
        <v>14201</v>
      </c>
      <c r="I6235" t="s">
        <v>9008</v>
      </c>
      <c r="J6235" t="s">
        <v>36779</v>
      </c>
      <c r="K6235" t="s">
        <v>42622</v>
      </c>
      <c r="M6235" t="s">
        <v>45157</v>
      </c>
      <c r="N6235" t="s">
        <v>47304</v>
      </c>
      <c r="O6235" t="s">
        <v>47305</v>
      </c>
      <c r="P6235">
        <v>0</v>
      </c>
      <c r="Q6235">
        <v>0</v>
      </c>
      <c r="R6235" t="s">
        <v>47310</v>
      </c>
      <c r="S6235" t="s">
        <v>47435</v>
      </c>
      <c r="T6235" t="s">
        <v>49065</v>
      </c>
      <c r="U6235" t="s">
        <v>54732</v>
      </c>
      <c r="W6235" t="s">
        <v>45157</v>
      </c>
      <c r="X6235" t="s">
        <v>47311</v>
      </c>
    </row>
    <row r="6236" spans="1:24">
      <c r="A6236">
        <f>HYPERLINK("https://www.philgeps.gov.ph/GEPSNONPILOT/Tender/SplashBidNoticeAbstractUI.aspx?menuIndex=3&amp;refID=7193678&amp;Result=3","7193678")</f>
        <v>0</v>
      </c>
      <c r="B6236" t="s">
        <v>2080</v>
      </c>
      <c r="C6236" t="s">
        <v>9708</v>
      </c>
      <c r="D6236" t="s">
        <v>19008</v>
      </c>
      <c r="E6236" t="s">
        <v>19279</v>
      </c>
      <c r="F6236" t="s">
        <v>32606</v>
      </c>
      <c r="G6236" t="s">
        <v>32613</v>
      </c>
      <c r="H6236" t="s">
        <v>14201</v>
      </c>
      <c r="I6236" t="s">
        <v>17648</v>
      </c>
      <c r="J6236" t="s">
        <v>36780</v>
      </c>
      <c r="K6236" t="s">
        <v>42624</v>
      </c>
      <c r="M6236" t="s">
        <v>45162</v>
      </c>
      <c r="N6236" t="s">
        <v>47304</v>
      </c>
      <c r="O6236" t="s">
        <v>47305</v>
      </c>
      <c r="P6236">
        <v>0</v>
      </c>
      <c r="Q6236">
        <v>0</v>
      </c>
      <c r="R6236" t="s">
        <v>47310</v>
      </c>
      <c r="S6236" t="s">
        <v>47435</v>
      </c>
      <c r="T6236" t="s">
        <v>48986</v>
      </c>
      <c r="U6236" t="s">
        <v>54740</v>
      </c>
      <c r="W6236" t="s">
        <v>45162</v>
      </c>
      <c r="X6236" t="s">
        <v>47311</v>
      </c>
    </row>
    <row r="6237" spans="1:24">
      <c r="A6237">
        <f>HYPERLINK("https://www.philgeps.gov.ph/GEPSNONPILOT/Tender/SplashBidNoticeAbstractUI.aspx?menuIndex=3&amp;refID=7193677&amp;Result=3","7193677")</f>
        <v>0</v>
      </c>
      <c r="B6237" t="s">
        <v>2076</v>
      </c>
      <c r="C6237" t="s">
        <v>9709</v>
      </c>
      <c r="D6237" t="s">
        <v>18993</v>
      </c>
      <c r="E6237" t="s">
        <v>24543</v>
      </c>
      <c r="F6237" t="s">
        <v>32606</v>
      </c>
      <c r="G6237" t="s">
        <v>32613</v>
      </c>
      <c r="H6237" t="s">
        <v>14201</v>
      </c>
      <c r="I6237" t="s">
        <v>4112</v>
      </c>
      <c r="J6237" t="s">
        <v>36781</v>
      </c>
      <c r="K6237" t="s">
        <v>42622</v>
      </c>
      <c r="M6237" t="s">
        <v>45157</v>
      </c>
      <c r="N6237" t="s">
        <v>47304</v>
      </c>
      <c r="O6237" t="s">
        <v>47305</v>
      </c>
      <c r="P6237">
        <v>0</v>
      </c>
      <c r="Q6237">
        <v>0</v>
      </c>
      <c r="R6237" t="s">
        <v>47310</v>
      </c>
      <c r="S6237" t="s">
        <v>47435</v>
      </c>
      <c r="T6237" t="s">
        <v>49065</v>
      </c>
      <c r="U6237" t="s">
        <v>54732</v>
      </c>
      <c r="W6237" t="s">
        <v>45157</v>
      </c>
      <c r="X6237" t="s">
        <v>47311</v>
      </c>
    </row>
    <row r="6238" spans="1:24">
      <c r="A6238">
        <f>HYPERLINK("https://www.philgeps.gov.ph/GEPSNONPILOT/Tender/SplashBidNoticeAbstractUI.aspx?menuIndex=3&amp;refID=7193683&amp;Result=3","7193683")</f>
        <v>0</v>
      </c>
      <c r="B6238" t="s">
        <v>2076</v>
      </c>
      <c r="C6238" t="s">
        <v>9710</v>
      </c>
      <c r="D6238" t="s">
        <v>18993</v>
      </c>
      <c r="E6238" t="s">
        <v>24543</v>
      </c>
      <c r="F6238" t="s">
        <v>32606</v>
      </c>
      <c r="G6238" t="s">
        <v>32613</v>
      </c>
      <c r="H6238" t="s">
        <v>14201</v>
      </c>
      <c r="I6238" t="s">
        <v>4120</v>
      </c>
      <c r="J6238" t="s">
        <v>36782</v>
      </c>
      <c r="K6238" t="s">
        <v>42622</v>
      </c>
      <c r="M6238" t="s">
        <v>45157</v>
      </c>
      <c r="N6238" t="s">
        <v>47304</v>
      </c>
      <c r="O6238" t="s">
        <v>47305</v>
      </c>
      <c r="P6238">
        <v>0</v>
      </c>
      <c r="Q6238">
        <v>0</v>
      </c>
      <c r="R6238" t="s">
        <v>47310</v>
      </c>
      <c r="S6238" t="s">
        <v>47435</v>
      </c>
      <c r="T6238" t="s">
        <v>49065</v>
      </c>
      <c r="U6238" t="s">
        <v>54732</v>
      </c>
      <c r="W6238" t="s">
        <v>45157</v>
      </c>
      <c r="X6238" t="s">
        <v>47311</v>
      </c>
    </row>
    <row r="6239" spans="1:24">
      <c r="A6239">
        <f>HYPERLINK("https://www.philgeps.gov.ph/GEPSNONPILOT/Tender/SplashBidNoticeAbstractUI.aspx?menuIndex=3&amp;refID=7193591&amp;Result=3","7193591")</f>
        <v>0</v>
      </c>
      <c r="B6239" t="s">
        <v>2078</v>
      </c>
      <c r="C6239" t="s">
        <v>9711</v>
      </c>
      <c r="D6239" t="s">
        <v>19049</v>
      </c>
      <c r="E6239" t="s">
        <v>24551</v>
      </c>
      <c r="F6239" t="s">
        <v>32606</v>
      </c>
      <c r="G6239" t="s">
        <v>32613</v>
      </c>
      <c r="H6239" t="s">
        <v>14201</v>
      </c>
      <c r="I6239" t="s">
        <v>32654</v>
      </c>
      <c r="J6239" t="s">
        <v>36783</v>
      </c>
      <c r="K6239" t="s">
        <v>42639</v>
      </c>
      <c r="M6239" t="s">
        <v>45159</v>
      </c>
      <c r="N6239" t="s">
        <v>47304</v>
      </c>
      <c r="O6239" t="s">
        <v>47305</v>
      </c>
      <c r="P6239">
        <v>0</v>
      </c>
      <c r="Q6239">
        <v>0</v>
      </c>
      <c r="R6239" t="s">
        <v>47310</v>
      </c>
      <c r="S6239" t="s">
        <v>47435</v>
      </c>
      <c r="T6239" t="s">
        <v>48995</v>
      </c>
      <c r="U6239" t="s">
        <v>54741</v>
      </c>
      <c r="W6239" t="s">
        <v>45159</v>
      </c>
      <c r="X6239" t="s">
        <v>47311</v>
      </c>
    </row>
    <row r="6240" spans="1:24">
      <c r="A6240">
        <f>HYPERLINK("https://www.philgeps.gov.ph/GEPSNONPILOT/Tender/SplashBidNoticeAbstractUI.aspx?menuIndex=3&amp;refID=7193674&amp;Result=3","7193674")</f>
        <v>0</v>
      </c>
      <c r="B6240" t="s">
        <v>2076</v>
      </c>
      <c r="C6240" t="s">
        <v>9712</v>
      </c>
      <c r="D6240" t="s">
        <v>18993</v>
      </c>
      <c r="E6240" t="s">
        <v>24543</v>
      </c>
      <c r="F6240" t="s">
        <v>32606</v>
      </c>
      <c r="G6240" t="s">
        <v>32613</v>
      </c>
      <c r="H6240" t="s">
        <v>14201</v>
      </c>
      <c r="I6240" t="s">
        <v>4120</v>
      </c>
      <c r="J6240" t="s">
        <v>36784</v>
      </c>
      <c r="K6240" t="s">
        <v>42622</v>
      </c>
      <c r="M6240" t="s">
        <v>45157</v>
      </c>
      <c r="N6240" t="s">
        <v>47304</v>
      </c>
      <c r="O6240" t="s">
        <v>47305</v>
      </c>
      <c r="P6240">
        <v>0</v>
      </c>
      <c r="Q6240">
        <v>0</v>
      </c>
      <c r="R6240" t="s">
        <v>47310</v>
      </c>
      <c r="S6240" t="s">
        <v>47435</v>
      </c>
      <c r="T6240" t="s">
        <v>49065</v>
      </c>
      <c r="U6240" t="s">
        <v>54732</v>
      </c>
      <c r="W6240" t="s">
        <v>45157</v>
      </c>
      <c r="X6240" t="s">
        <v>47311</v>
      </c>
    </row>
    <row r="6241" spans="1:24">
      <c r="A6241">
        <f>HYPERLINK("https://www.philgeps.gov.ph/GEPSNONPILOT/Tender/SplashBidNoticeAbstractUI.aspx?menuIndex=3&amp;refID=7193671&amp;Result=3","7193671")</f>
        <v>0</v>
      </c>
      <c r="B6241" t="s">
        <v>2081</v>
      </c>
      <c r="C6241" t="s">
        <v>9713</v>
      </c>
      <c r="D6241" t="s">
        <v>18993</v>
      </c>
      <c r="E6241" t="s">
        <v>24552</v>
      </c>
      <c r="F6241" t="s">
        <v>32606</v>
      </c>
      <c r="G6241" t="s">
        <v>32614</v>
      </c>
      <c r="H6241" t="s">
        <v>14201</v>
      </c>
      <c r="I6241" t="s">
        <v>4369</v>
      </c>
      <c r="J6241" t="s">
        <v>36785</v>
      </c>
      <c r="K6241" t="s">
        <v>42638</v>
      </c>
      <c r="M6241" t="s">
        <v>45163</v>
      </c>
      <c r="N6241" t="s">
        <v>47304</v>
      </c>
      <c r="O6241" t="s">
        <v>47305</v>
      </c>
      <c r="P6241">
        <v>0</v>
      </c>
      <c r="Q6241">
        <v>7</v>
      </c>
      <c r="R6241" t="s">
        <v>47310</v>
      </c>
      <c r="S6241" t="s">
        <v>47435</v>
      </c>
      <c r="T6241" t="s">
        <v>49068</v>
      </c>
      <c r="U6241" t="s">
        <v>54742</v>
      </c>
      <c r="V6241" t="s">
        <v>63236</v>
      </c>
      <c r="W6241" t="s">
        <v>64493</v>
      </c>
      <c r="X6241" t="s">
        <v>47311</v>
      </c>
    </row>
    <row r="6242" spans="1:24">
      <c r="A6242">
        <f>HYPERLINK("https://www.philgeps.gov.ph/GEPSNONPILOT/Tender/SplashBidNoticeAbstractUI.aspx?menuIndex=3&amp;refID=7193698&amp;Result=3","7193698")</f>
        <v>0</v>
      </c>
      <c r="B6242" t="s">
        <v>2076</v>
      </c>
      <c r="C6242" t="s">
        <v>9714</v>
      </c>
      <c r="D6242" t="s">
        <v>18993</v>
      </c>
      <c r="E6242" t="s">
        <v>24543</v>
      </c>
      <c r="F6242" t="s">
        <v>32606</v>
      </c>
      <c r="G6242" t="s">
        <v>32613</v>
      </c>
      <c r="H6242" t="s">
        <v>14201</v>
      </c>
      <c r="I6242" t="s">
        <v>9008</v>
      </c>
      <c r="J6242" t="s">
        <v>36786</v>
      </c>
      <c r="K6242" t="s">
        <v>42622</v>
      </c>
      <c r="M6242" t="s">
        <v>45157</v>
      </c>
      <c r="N6242" t="s">
        <v>47304</v>
      </c>
      <c r="O6242" t="s">
        <v>47305</v>
      </c>
      <c r="P6242">
        <v>0</v>
      </c>
      <c r="Q6242">
        <v>0</v>
      </c>
      <c r="R6242" t="s">
        <v>47310</v>
      </c>
      <c r="S6242" t="s">
        <v>47435</v>
      </c>
      <c r="T6242" t="s">
        <v>49065</v>
      </c>
      <c r="U6242" t="s">
        <v>54732</v>
      </c>
      <c r="W6242" t="s">
        <v>45157</v>
      </c>
      <c r="X6242" t="s">
        <v>47311</v>
      </c>
    </row>
    <row r="6243" spans="1:24">
      <c r="A6243">
        <f>HYPERLINK("https://www.philgeps.gov.ph/GEPSNONPILOT/Tender/SplashBidNoticeAbstractUI.aspx?menuIndex=3&amp;refID=7193709&amp;Result=3","7193709")</f>
        <v>0</v>
      </c>
      <c r="B6243" t="s">
        <v>2076</v>
      </c>
      <c r="C6243" t="s">
        <v>9715</v>
      </c>
      <c r="D6243" t="s">
        <v>18993</v>
      </c>
      <c r="E6243" t="s">
        <v>24543</v>
      </c>
      <c r="F6243" t="s">
        <v>32606</v>
      </c>
      <c r="G6243" t="s">
        <v>32613</v>
      </c>
      <c r="H6243" t="s">
        <v>14201</v>
      </c>
      <c r="I6243" t="s">
        <v>4120</v>
      </c>
      <c r="J6243" t="s">
        <v>36787</v>
      </c>
      <c r="K6243" t="s">
        <v>42622</v>
      </c>
      <c r="M6243" t="s">
        <v>45157</v>
      </c>
      <c r="N6243" t="s">
        <v>47304</v>
      </c>
      <c r="O6243" t="s">
        <v>47305</v>
      </c>
      <c r="P6243">
        <v>0</v>
      </c>
      <c r="Q6243">
        <v>0</v>
      </c>
      <c r="R6243" t="s">
        <v>47310</v>
      </c>
      <c r="S6243" t="s">
        <v>47435</v>
      </c>
      <c r="T6243" t="s">
        <v>49065</v>
      </c>
      <c r="U6243" t="s">
        <v>54732</v>
      </c>
      <c r="W6243" t="s">
        <v>45157</v>
      </c>
      <c r="X6243" t="s">
        <v>47311</v>
      </c>
    </row>
    <row r="6244" spans="1:24">
      <c r="A6244">
        <f>HYPERLINK("https://www.philgeps.gov.ph/GEPSNONPILOT/Tender/SplashBidNoticeAbstractUI.aspx?menuIndex=3&amp;refID=7193448&amp;Result=3","7193448")</f>
        <v>0</v>
      </c>
      <c r="B6244" t="s">
        <v>2061</v>
      </c>
      <c r="C6244" t="s">
        <v>9716</v>
      </c>
      <c r="D6244" t="s">
        <v>18987</v>
      </c>
      <c r="E6244" t="s">
        <v>23472</v>
      </c>
      <c r="F6244" t="s">
        <v>32606</v>
      </c>
      <c r="G6244" t="s">
        <v>32613</v>
      </c>
      <c r="H6244" t="s">
        <v>14201</v>
      </c>
      <c r="I6244" t="s">
        <v>32626</v>
      </c>
      <c r="J6244" t="s">
        <v>36788</v>
      </c>
      <c r="K6244" t="s">
        <v>42631</v>
      </c>
      <c r="M6244" t="s">
        <v>45140</v>
      </c>
      <c r="N6244" t="s">
        <v>47304</v>
      </c>
      <c r="O6244" t="s">
        <v>47305</v>
      </c>
      <c r="P6244">
        <v>0</v>
      </c>
      <c r="Q6244">
        <v>0</v>
      </c>
      <c r="R6244" t="s">
        <v>47310</v>
      </c>
      <c r="S6244" t="s">
        <v>47435</v>
      </c>
      <c r="T6244" t="s">
        <v>49237</v>
      </c>
      <c r="U6244" t="s">
        <v>54743</v>
      </c>
      <c r="W6244" t="s">
        <v>45140</v>
      </c>
      <c r="X6244" t="s">
        <v>47311</v>
      </c>
    </row>
    <row r="6245" spans="1:24">
      <c r="A6245">
        <f>HYPERLINK("https://www.philgeps.gov.ph/GEPSNONPILOT/Tender/SplashBidNoticeAbstractUI.aspx?menuIndex=3&amp;refID=7193675&amp;Result=3","7193675")</f>
        <v>0</v>
      </c>
      <c r="B6245" t="s">
        <v>2082</v>
      </c>
      <c r="C6245" t="s">
        <v>9717</v>
      </c>
      <c r="D6245" t="s">
        <v>19070</v>
      </c>
      <c r="E6245" t="s">
        <v>24553</v>
      </c>
      <c r="F6245" t="s">
        <v>32606</v>
      </c>
      <c r="G6245" t="s">
        <v>32613</v>
      </c>
      <c r="H6245" t="s">
        <v>14201</v>
      </c>
      <c r="I6245" t="s">
        <v>32638</v>
      </c>
      <c r="J6245" t="s">
        <v>36789</v>
      </c>
      <c r="K6245" t="s">
        <v>42624</v>
      </c>
      <c r="M6245" t="s">
        <v>45164</v>
      </c>
      <c r="N6245" t="s">
        <v>47304</v>
      </c>
      <c r="O6245" t="s">
        <v>47305</v>
      </c>
      <c r="P6245">
        <v>0</v>
      </c>
      <c r="Q6245">
        <v>12</v>
      </c>
      <c r="R6245" t="s">
        <v>47310</v>
      </c>
      <c r="S6245" t="s">
        <v>47435</v>
      </c>
      <c r="T6245" t="s">
        <v>48973</v>
      </c>
      <c r="U6245" t="s">
        <v>54744</v>
      </c>
      <c r="W6245" t="s">
        <v>45164</v>
      </c>
      <c r="X6245" t="s">
        <v>47311</v>
      </c>
    </row>
    <row r="6246" spans="1:24">
      <c r="A6246">
        <f>HYPERLINK("https://www.philgeps.gov.ph/GEPSNONPILOT/Tender/SplashBidNoticeAbstractUI.aspx?menuIndex=3&amp;refID=7193744&amp;Result=3","7193744")</f>
        <v>0</v>
      </c>
      <c r="B6246" t="s">
        <v>652</v>
      </c>
      <c r="C6246" t="s">
        <v>9718</v>
      </c>
      <c r="D6246" t="s">
        <v>18993</v>
      </c>
      <c r="E6246" t="s">
        <v>24554</v>
      </c>
      <c r="F6246" t="s">
        <v>32606</v>
      </c>
      <c r="G6246" t="s">
        <v>32614</v>
      </c>
      <c r="H6246" t="s">
        <v>14201</v>
      </c>
      <c r="I6246" t="s">
        <v>32673</v>
      </c>
      <c r="J6246" t="s">
        <v>32920</v>
      </c>
      <c r="K6246" t="s">
        <v>42682</v>
      </c>
      <c r="M6246" t="s">
        <v>45165</v>
      </c>
      <c r="N6246" t="s">
        <v>47304</v>
      </c>
      <c r="O6246" t="s">
        <v>47305</v>
      </c>
      <c r="P6246">
        <v>0</v>
      </c>
      <c r="Q6246">
        <v>5</v>
      </c>
      <c r="R6246" t="s">
        <v>47310</v>
      </c>
      <c r="S6246" t="s">
        <v>47435</v>
      </c>
      <c r="T6246" t="s">
        <v>49175</v>
      </c>
      <c r="U6246" t="s">
        <v>54745</v>
      </c>
      <c r="W6246" t="s">
        <v>45165</v>
      </c>
      <c r="X6246" t="s">
        <v>47311</v>
      </c>
    </row>
    <row r="6247" spans="1:24">
      <c r="A6247">
        <f>HYPERLINK("https://www.philgeps.gov.ph/GEPSNONPILOT/Tender/SplashBidNoticeAbstractUI.aspx?menuIndex=3&amp;refID=7193740&amp;Result=3","7193740")</f>
        <v>0</v>
      </c>
      <c r="B6247" t="s">
        <v>1086</v>
      </c>
      <c r="C6247" t="s">
        <v>9719</v>
      </c>
      <c r="E6247" t="s">
        <v>24555</v>
      </c>
      <c r="F6247" t="s">
        <v>32606</v>
      </c>
      <c r="G6247" t="s">
        <v>32613</v>
      </c>
      <c r="H6247" t="s">
        <v>14201</v>
      </c>
      <c r="I6247" t="s">
        <v>32654</v>
      </c>
      <c r="J6247" t="s">
        <v>32770</v>
      </c>
      <c r="K6247" t="s">
        <v>42624</v>
      </c>
      <c r="M6247" t="s">
        <v>44041</v>
      </c>
      <c r="N6247" t="s">
        <v>47304</v>
      </c>
      <c r="O6247" t="s">
        <v>47305</v>
      </c>
      <c r="P6247">
        <v>0</v>
      </c>
      <c r="Q6247">
        <v>2</v>
      </c>
      <c r="R6247" t="s">
        <v>47310</v>
      </c>
      <c r="S6247" t="s">
        <v>47435</v>
      </c>
      <c r="T6247" t="s">
        <v>48995</v>
      </c>
      <c r="U6247" t="s">
        <v>54746</v>
      </c>
      <c r="W6247" t="s">
        <v>44041</v>
      </c>
      <c r="X6247" t="s">
        <v>47311</v>
      </c>
    </row>
    <row r="6248" spans="1:24">
      <c r="A6248">
        <f>HYPERLINK("https://www.philgeps.gov.ph/GEPSNONPILOT/Tender/SplashBidNoticeAbstractUI.aspx?menuIndex=3&amp;refID=7193672&amp;Result=3","7193672")</f>
        <v>0</v>
      </c>
      <c r="B6248" t="s">
        <v>2076</v>
      </c>
      <c r="C6248" t="s">
        <v>9720</v>
      </c>
      <c r="D6248" t="s">
        <v>18993</v>
      </c>
      <c r="E6248" t="s">
        <v>24543</v>
      </c>
      <c r="F6248" t="s">
        <v>32606</v>
      </c>
      <c r="G6248" t="s">
        <v>32613</v>
      </c>
      <c r="H6248" t="s">
        <v>14201</v>
      </c>
      <c r="I6248" t="s">
        <v>4112</v>
      </c>
      <c r="J6248" t="s">
        <v>36790</v>
      </c>
      <c r="K6248" t="s">
        <v>42622</v>
      </c>
      <c r="M6248" t="s">
        <v>45157</v>
      </c>
      <c r="N6248" t="s">
        <v>47304</v>
      </c>
      <c r="O6248" t="s">
        <v>47305</v>
      </c>
      <c r="P6248">
        <v>0</v>
      </c>
      <c r="Q6248">
        <v>0</v>
      </c>
      <c r="R6248" t="s">
        <v>47310</v>
      </c>
      <c r="S6248" t="s">
        <v>47435</v>
      </c>
      <c r="T6248" t="s">
        <v>49065</v>
      </c>
      <c r="U6248" t="s">
        <v>54732</v>
      </c>
      <c r="W6248" t="s">
        <v>45157</v>
      </c>
      <c r="X6248" t="s">
        <v>47311</v>
      </c>
    </row>
    <row r="6249" spans="1:24">
      <c r="A6249">
        <f>HYPERLINK("https://www.philgeps.gov.ph/GEPSNONPILOT/Tender/SplashBidNoticeAbstractUI.aspx?menuIndex=3&amp;refID=7193565&amp;Result=3","7193565")</f>
        <v>0</v>
      </c>
      <c r="B6249" t="s">
        <v>569</v>
      </c>
      <c r="C6249" t="s">
        <v>9721</v>
      </c>
      <c r="D6249" t="s">
        <v>18993</v>
      </c>
      <c r="E6249" t="s">
        <v>24556</v>
      </c>
      <c r="F6249" t="s">
        <v>32606</v>
      </c>
      <c r="G6249" t="s">
        <v>32619</v>
      </c>
      <c r="H6249" t="s">
        <v>14201</v>
      </c>
      <c r="I6249" t="s">
        <v>32638</v>
      </c>
      <c r="J6249" t="s">
        <v>33255</v>
      </c>
      <c r="K6249" t="s">
        <v>42623</v>
      </c>
      <c r="M6249" t="s">
        <v>43484</v>
      </c>
      <c r="N6249" t="s">
        <v>47304</v>
      </c>
      <c r="O6249" t="s">
        <v>47305</v>
      </c>
      <c r="P6249">
        <v>0</v>
      </c>
      <c r="Q6249">
        <v>6</v>
      </c>
      <c r="R6249" t="s">
        <v>47310</v>
      </c>
      <c r="S6249" t="s">
        <v>47435</v>
      </c>
      <c r="T6249" t="s">
        <v>49020</v>
      </c>
      <c r="U6249" t="s">
        <v>54747</v>
      </c>
      <c r="V6249" t="s">
        <v>63227</v>
      </c>
      <c r="W6249" t="s">
        <v>64492</v>
      </c>
      <c r="X6249" t="s">
        <v>47311</v>
      </c>
    </row>
    <row r="6250" spans="1:24">
      <c r="A6250">
        <f>HYPERLINK("https://www.philgeps.gov.ph/GEPSNONPILOT/Tender/SplashBidNoticeAbstractUI.aspx?menuIndex=3&amp;refID=7193739&amp;Result=3","7193739")</f>
        <v>0</v>
      </c>
      <c r="B6250" t="s">
        <v>2083</v>
      </c>
      <c r="C6250" t="s">
        <v>9722</v>
      </c>
      <c r="D6250" t="s">
        <v>18993</v>
      </c>
      <c r="E6250" t="s">
        <v>24557</v>
      </c>
      <c r="F6250" t="s">
        <v>32606</v>
      </c>
      <c r="G6250" t="s">
        <v>32613</v>
      </c>
      <c r="H6250" t="s">
        <v>32623</v>
      </c>
      <c r="I6250" t="s">
        <v>17648</v>
      </c>
      <c r="J6250" t="s">
        <v>36791</v>
      </c>
      <c r="K6250" t="s">
        <v>42648</v>
      </c>
      <c r="M6250" t="s">
        <v>45166</v>
      </c>
      <c r="N6250" t="s">
        <v>47304</v>
      </c>
      <c r="O6250" t="s">
        <v>47305</v>
      </c>
      <c r="P6250">
        <v>0</v>
      </c>
      <c r="Q6250">
        <v>25</v>
      </c>
      <c r="R6250" t="s">
        <v>47310</v>
      </c>
      <c r="S6250" t="s">
        <v>47435</v>
      </c>
      <c r="T6250" t="s">
        <v>49073</v>
      </c>
      <c r="U6250" t="s">
        <v>54748</v>
      </c>
      <c r="W6250" t="s">
        <v>45166</v>
      </c>
      <c r="X6250" t="s">
        <v>47311</v>
      </c>
    </row>
    <row r="6251" spans="1:24">
      <c r="A6251">
        <f>HYPERLINK("https://www.philgeps.gov.ph/GEPSNONPILOT/Tender/SplashBidNoticeAbstractUI.aspx?menuIndex=3&amp;refID=7193696&amp;Result=3","7193696")</f>
        <v>0</v>
      </c>
      <c r="B6251" t="s">
        <v>2073</v>
      </c>
      <c r="C6251" t="s">
        <v>9723</v>
      </c>
      <c r="D6251" t="s">
        <v>18993</v>
      </c>
      <c r="E6251" t="s">
        <v>24558</v>
      </c>
      <c r="F6251" t="s">
        <v>32606</v>
      </c>
      <c r="G6251" t="s">
        <v>32613</v>
      </c>
      <c r="H6251" t="s">
        <v>14201</v>
      </c>
      <c r="I6251" t="s">
        <v>6298</v>
      </c>
      <c r="J6251" t="s">
        <v>33263</v>
      </c>
      <c r="K6251" t="s">
        <v>42622</v>
      </c>
      <c r="M6251" t="s">
        <v>45154</v>
      </c>
      <c r="N6251" t="s">
        <v>47304</v>
      </c>
      <c r="O6251" t="s">
        <v>47305</v>
      </c>
      <c r="P6251">
        <v>0</v>
      </c>
      <c r="Q6251">
        <v>1</v>
      </c>
      <c r="R6251" t="s">
        <v>47310</v>
      </c>
      <c r="S6251" t="s">
        <v>47435</v>
      </c>
      <c r="T6251" t="s">
        <v>49100</v>
      </c>
      <c r="U6251" t="s">
        <v>54749</v>
      </c>
      <c r="W6251" t="s">
        <v>45154</v>
      </c>
      <c r="X6251" t="s">
        <v>47311</v>
      </c>
    </row>
    <row r="6252" spans="1:24">
      <c r="A6252">
        <f>HYPERLINK("https://www.philgeps.gov.ph/GEPSNONPILOT/Tender/SplashBidNoticeAbstractUI.aspx?menuIndex=3&amp;refID=7193733&amp;Result=3","7193733")</f>
        <v>0</v>
      </c>
      <c r="B6252" t="s">
        <v>185</v>
      </c>
      <c r="C6252" t="s">
        <v>9724</v>
      </c>
      <c r="D6252" t="s">
        <v>19025</v>
      </c>
      <c r="E6252" t="s">
        <v>24103</v>
      </c>
      <c r="F6252" t="s">
        <v>32606</v>
      </c>
      <c r="G6252" t="s">
        <v>32619</v>
      </c>
      <c r="H6252" t="s">
        <v>14201</v>
      </c>
      <c r="I6252" t="s">
        <v>7677</v>
      </c>
      <c r="J6252" t="s">
        <v>36792</v>
      </c>
      <c r="K6252" t="s">
        <v>42622</v>
      </c>
      <c r="M6252" t="s">
        <v>43086</v>
      </c>
      <c r="N6252" t="s">
        <v>47304</v>
      </c>
      <c r="O6252" t="s">
        <v>47305</v>
      </c>
      <c r="P6252">
        <v>0</v>
      </c>
      <c r="Q6252">
        <v>2</v>
      </c>
      <c r="R6252" t="s">
        <v>47310</v>
      </c>
      <c r="S6252" t="s">
        <v>47435</v>
      </c>
      <c r="T6252" t="s">
        <v>49053</v>
      </c>
      <c r="U6252" t="s">
        <v>54750</v>
      </c>
      <c r="W6252" t="s">
        <v>43086</v>
      </c>
      <c r="X6252" t="s">
        <v>47311</v>
      </c>
    </row>
    <row r="6253" spans="1:24">
      <c r="A6253">
        <f>HYPERLINK("https://www.philgeps.gov.ph/GEPSNONPILOT/Tender/SplashBidNoticeAbstractUI.aspx?menuIndex=3&amp;refID=7193732&amp;Result=3","7193732")</f>
        <v>0</v>
      </c>
      <c r="B6253" t="s">
        <v>2084</v>
      </c>
      <c r="C6253" t="s">
        <v>9725</v>
      </c>
      <c r="D6253" t="s">
        <v>19066</v>
      </c>
      <c r="E6253" t="s">
        <v>24559</v>
      </c>
      <c r="F6253" t="s">
        <v>32606</v>
      </c>
      <c r="G6253" t="s">
        <v>32619</v>
      </c>
      <c r="H6253" t="s">
        <v>14201</v>
      </c>
      <c r="I6253" t="s">
        <v>6931</v>
      </c>
      <c r="J6253" t="s">
        <v>36793</v>
      </c>
      <c r="K6253" t="s">
        <v>42638</v>
      </c>
      <c r="M6253" t="s">
        <v>45167</v>
      </c>
      <c r="N6253" t="s">
        <v>47304</v>
      </c>
      <c r="O6253" t="s">
        <v>47305</v>
      </c>
      <c r="P6253">
        <v>0</v>
      </c>
      <c r="Q6253">
        <v>0</v>
      </c>
      <c r="R6253" t="s">
        <v>47310</v>
      </c>
      <c r="S6253" t="s">
        <v>47435</v>
      </c>
      <c r="T6253" t="s">
        <v>48998</v>
      </c>
      <c r="U6253" t="s">
        <v>54751</v>
      </c>
      <c r="W6253" t="s">
        <v>45167</v>
      </c>
      <c r="X6253" t="s">
        <v>47311</v>
      </c>
    </row>
    <row r="6254" spans="1:24">
      <c r="A6254">
        <f>HYPERLINK("https://www.philgeps.gov.ph/GEPSNONPILOT/Tender/SplashBidNoticeAbstractUI.aspx?menuIndex=3&amp;refID=7193438&amp;Result=3","7193438")</f>
        <v>0</v>
      </c>
      <c r="B6254" t="s">
        <v>256</v>
      </c>
      <c r="C6254" t="s">
        <v>9726</v>
      </c>
      <c r="E6254" t="s">
        <v>24560</v>
      </c>
      <c r="F6254" t="s">
        <v>32606</v>
      </c>
      <c r="G6254" t="s">
        <v>32614</v>
      </c>
      <c r="H6254" t="s">
        <v>14201</v>
      </c>
      <c r="I6254" t="s">
        <v>32658</v>
      </c>
      <c r="J6254" t="s">
        <v>33529</v>
      </c>
      <c r="K6254" t="s">
        <v>42631</v>
      </c>
      <c r="M6254" t="s">
        <v>43157</v>
      </c>
      <c r="N6254" t="s">
        <v>47304</v>
      </c>
      <c r="O6254" t="s">
        <v>47305</v>
      </c>
      <c r="P6254">
        <v>0</v>
      </c>
      <c r="Q6254">
        <v>1</v>
      </c>
      <c r="R6254" t="s">
        <v>47310</v>
      </c>
      <c r="S6254" t="s">
        <v>47435</v>
      </c>
      <c r="T6254" t="s">
        <v>49315</v>
      </c>
      <c r="U6254" t="s">
        <v>54752</v>
      </c>
      <c r="W6254" t="s">
        <v>43157</v>
      </c>
      <c r="X6254" t="s">
        <v>47311</v>
      </c>
    </row>
    <row r="6255" spans="1:24">
      <c r="A6255">
        <f>HYPERLINK("https://www.philgeps.gov.ph/GEPSNONPILOT/Tender/SplashBidNoticeAbstractUI.aspx?menuIndex=3&amp;refID=7193729&amp;Result=3","7193729")</f>
        <v>0</v>
      </c>
      <c r="B6255" t="s">
        <v>185</v>
      </c>
      <c r="C6255" t="s">
        <v>9727</v>
      </c>
      <c r="D6255" t="s">
        <v>19025</v>
      </c>
      <c r="E6255" t="s">
        <v>24103</v>
      </c>
      <c r="F6255" t="s">
        <v>32606</v>
      </c>
      <c r="G6255" t="s">
        <v>32619</v>
      </c>
      <c r="H6255" t="s">
        <v>14201</v>
      </c>
      <c r="I6255" t="s">
        <v>6993</v>
      </c>
      <c r="J6255" t="s">
        <v>36794</v>
      </c>
      <c r="K6255" t="s">
        <v>42622</v>
      </c>
      <c r="M6255" t="s">
        <v>43086</v>
      </c>
      <c r="N6255" t="s">
        <v>47304</v>
      </c>
      <c r="O6255" t="s">
        <v>47305</v>
      </c>
      <c r="P6255">
        <v>0</v>
      </c>
      <c r="Q6255">
        <v>0</v>
      </c>
      <c r="R6255" t="s">
        <v>47310</v>
      </c>
      <c r="S6255" t="s">
        <v>47435</v>
      </c>
      <c r="T6255" t="s">
        <v>49053</v>
      </c>
      <c r="U6255" t="s">
        <v>54753</v>
      </c>
      <c r="W6255" t="s">
        <v>43086</v>
      </c>
      <c r="X6255" t="s">
        <v>47311</v>
      </c>
    </row>
    <row r="6256" spans="1:24">
      <c r="A6256">
        <f>HYPERLINK("https://www.philgeps.gov.ph/GEPSNONPILOT/Tender/SplashBidNoticeAbstractUI.aspx?menuIndex=3&amp;refID=7193728&amp;Result=3","7193728")</f>
        <v>0</v>
      </c>
      <c r="B6256" t="s">
        <v>185</v>
      </c>
      <c r="C6256" t="s">
        <v>9728</v>
      </c>
      <c r="D6256" t="s">
        <v>19025</v>
      </c>
      <c r="E6256" t="s">
        <v>24103</v>
      </c>
      <c r="F6256" t="s">
        <v>32606</v>
      </c>
      <c r="G6256" t="s">
        <v>32619</v>
      </c>
      <c r="H6256" t="s">
        <v>14201</v>
      </c>
      <c r="I6256" t="s">
        <v>4115</v>
      </c>
      <c r="J6256" t="s">
        <v>36795</v>
      </c>
      <c r="K6256" t="s">
        <v>42622</v>
      </c>
      <c r="M6256" t="s">
        <v>43086</v>
      </c>
      <c r="N6256" t="s">
        <v>47304</v>
      </c>
      <c r="O6256" t="s">
        <v>47305</v>
      </c>
      <c r="P6256">
        <v>0</v>
      </c>
      <c r="Q6256">
        <v>0</v>
      </c>
      <c r="R6256" t="s">
        <v>47310</v>
      </c>
      <c r="S6256" t="s">
        <v>47435</v>
      </c>
      <c r="T6256" t="s">
        <v>49053</v>
      </c>
      <c r="U6256" t="s">
        <v>54754</v>
      </c>
      <c r="W6256" t="s">
        <v>43086</v>
      </c>
      <c r="X6256" t="s">
        <v>47311</v>
      </c>
    </row>
    <row r="6257" spans="1:24">
      <c r="A6257">
        <f>HYPERLINK("https://www.philgeps.gov.ph/GEPSNONPILOT/Tender/SplashBidNoticeAbstractUI.aspx?menuIndex=3&amp;refID=7193724&amp;Result=3","7193724")</f>
        <v>0</v>
      </c>
      <c r="B6257" t="s">
        <v>185</v>
      </c>
      <c r="C6257" t="s">
        <v>9729</v>
      </c>
      <c r="D6257" t="s">
        <v>19025</v>
      </c>
      <c r="E6257" t="s">
        <v>24103</v>
      </c>
      <c r="F6257" t="s">
        <v>32606</v>
      </c>
      <c r="G6257" t="s">
        <v>32619</v>
      </c>
      <c r="H6257" t="s">
        <v>14201</v>
      </c>
      <c r="I6257" t="s">
        <v>32640</v>
      </c>
      <c r="J6257" t="s">
        <v>34543</v>
      </c>
      <c r="K6257" t="s">
        <v>42622</v>
      </c>
      <c r="M6257" t="s">
        <v>43086</v>
      </c>
      <c r="N6257" t="s">
        <v>47304</v>
      </c>
      <c r="O6257" t="s">
        <v>47305</v>
      </c>
      <c r="P6257">
        <v>0</v>
      </c>
      <c r="Q6257">
        <v>1</v>
      </c>
      <c r="R6257" t="s">
        <v>47310</v>
      </c>
      <c r="S6257" t="s">
        <v>47435</v>
      </c>
      <c r="T6257" t="s">
        <v>49053</v>
      </c>
      <c r="U6257" t="s">
        <v>54755</v>
      </c>
      <c r="W6257" t="s">
        <v>43086</v>
      </c>
      <c r="X6257" t="s">
        <v>47311</v>
      </c>
    </row>
    <row r="6258" spans="1:24">
      <c r="A6258">
        <f>HYPERLINK("https://www.philgeps.gov.ph/GEPSNONPILOT/Tender/SplashBidNoticeAbstractUI.aspx?menuIndex=3&amp;refID=7193741&amp;Result=3","7193741")</f>
        <v>0</v>
      </c>
      <c r="B6258" t="s">
        <v>56</v>
      </c>
      <c r="C6258" t="s">
        <v>9730</v>
      </c>
      <c r="E6258" t="s">
        <v>24561</v>
      </c>
      <c r="F6258" t="s">
        <v>32606</v>
      </c>
      <c r="G6258" t="s">
        <v>32614</v>
      </c>
      <c r="H6258" t="s">
        <v>14201</v>
      </c>
      <c r="I6258" t="s">
        <v>7064</v>
      </c>
      <c r="J6258" t="s">
        <v>36796</v>
      </c>
      <c r="K6258" t="s">
        <v>42622</v>
      </c>
      <c r="M6258" t="s">
        <v>42953</v>
      </c>
      <c r="N6258" t="s">
        <v>47304</v>
      </c>
      <c r="O6258" t="s">
        <v>47305</v>
      </c>
      <c r="P6258">
        <v>0</v>
      </c>
      <c r="Q6258">
        <v>1</v>
      </c>
      <c r="R6258" t="s">
        <v>47310</v>
      </c>
      <c r="S6258" t="s">
        <v>47435</v>
      </c>
      <c r="T6258" t="s">
        <v>49268</v>
      </c>
      <c r="U6258" t="s">
        <v>54756</v>
      </c>
      <c r="W6258" t="s">
        <v>42953</v>
      </c>
      <c r="X6258" t="s">
        <v>47311</v>
      </c>
    </row>
    <row r="6259" spans="1:24">
      <c r="A6259">
        <f>HYPERLINK("https://www.philgeps.gov.ph/GEPSNONPILOT/Tender/SplashBidNoticeAbstractUI.aspx?menuIndex=3&amp;refID=7193720&amp;Result=3","7193720")</f>
        <v>0</v>
      </c>
      <c r="B6259" t="s">
        <v>185</v>
      </c>
      <c r="C6259" t="s">
        <v>9731</v>
      </c>
      <c r="D6259" t="s">
        <v>19025</v>
      </c>
      <c r="E6259" t="s">
        <v>24103</v>
      </c>
      <c r="F6259" t="s">
        <v>32606</v>
      </c>
      <c r="G6259" t="s">
        <v>32619</v>
      </c>
      <c r="H6259" t="s">
        <v>14201</v>
      </c>
      <c r="I6259" t="s">
        <v>32655</v>
      </c>
      <c r="J6259" t="s">
        <v>33169</v>
      </c>
      <c r="K6259" t="s">
        <v>42622</v>
      </c>
      <c r="M6259" t="s">
        <v>43086</v>
      </c>
      <c r="N6259" t="s">
        <v>47304</v>
      </c>
      <c r="O6259" t="s">
        <v>47305</v>
      </c>
      <c r="P6259">
        <v>0</v>
      </c>
      <c r="Q6259">
        <v>5</v>
      </c>
      <c r="R6259" t="s">
        <v>47310</v>
      </c>
      <c r="S6259" t="s">
        <v>47435</v>
      </c>
      <c r="T6259" t="s">
        <v>49053</v>
      </c>
      <c r="U6259" t="s">
        <v>54757</v>
      </c>
      <c r="W6259" t="s">
        <v>43086</v>
      </c>
      <c r="X6259" t="s">
        <v>47311</v>
      </c>
    </row>
    <row r="6260" spans="1:24">
      <c r="A6260">
        <f>HYPERLINK("https://www.philgeps.gov.ph/GEPSNONPILOT/Tender/SplashBidNoticeAbstractUI.aspx?menuIndex=3&amp;refID=7193717&amp;Result=3","7193717")</f>
        <v>0</v>
      </c>
      <c r="B6260" t="s">
        <v>2076</v>
      </c>
      <c r="C6260" t="s">
        <v>9732</v>
      </c>
      <c r="D6260" t="s">
        <v>18993</v>
      </c>
      <c r="E6260" t="s">
        <v>24543</v>
      </c>
      <c r="F6260" t="s">
        <v>32606</v>
      </c>
      <c r="G6260" t="s">
        <v>32613</v>
      </c>
      <c r="H6260" t="s">
        <v>14201</v>
      </c>
      <c r="I6260" t="s">
        <v>9008</v>
      </c>
      <c r="J6260" t="s">
        <v>36797</v>
      </c>
      <c r="K6260" t="s">
        <v>42622</v>
      </c>
      <c r="M6260" t="s">
        <v>45157</v>
      </c>
      <c r="N6260" t="s">
        <v>47304</v>
      </c>
      <c r="O6260" t="s">
        <v>47305</v>
      </c>
      <c r="P6260">
        <v>0</v>
      </c>
      <c r="Q6260">
        <v>0</v>
      </c>
      <c r="R6260" t="s">
        <v>47310</v>
      </c>
      <c r="S6260" t="s">
        <v>47435</v>
      </c>
      <c r="T6260" t="s">
        <v>49065</v>
      </c>
      <c r="U6260" t="s">
        <v>54732</v>
      </c>
      <c r="W6260" t="s">
        <v>45157</v>
      </c>
      <c r="X6260" t="s">
        <v>47311</v>
      </c>
    </row>
    <row r="6261" spans="1:24">
      <c r="A6261">
        <f>HYPERLINK("https://www.philgeps.gov.ph/GEPSNONPILOT/Tender/SplashBidNoticeAbstractUI.aspx?menuIndex=3&amp;refID=7193715&amp;Result=3","7193715")</f>
        <v>0</v>
      </c>
      <c r="B6261" t="s">
        <v>185</v>
      </c>
      <c r="C6261" t="s">
        <v>9733</v>
      </c>
      <c r="D6261" t="s">
        <v>19025</v>
      </c>
      <c r="E6261" t="s">
        <v>24103</v>
      </c>
      <c r="F6261" t="s">
        <v>32606</v>
      </c>
      <c r="G6261" t="s">
        <v>32619</v>
      </c>
      <c r="H6261" t="s">
        <v>14201</v>
      </c>
      <c r="I6261" t="s">
        <v>6014</v>
      </c>
      <c r="J6261" t="s">
        <v>32868</v>
      </c>
      <c r="K6261" t="s">
        <v>42622</v>
      </c>
      <c r="M6261" t="s">
        <v>43086</v>
      </c>
      <c r="N6261" t="s">
        <v>47304</v>
      </c>
      <c r="O6261" t="s">
        <v>47305</v>
      </c>
      <c r="P6261">
        <v>0</v>
      </c>
      <c r="Q6261">
        <v>2</v>
      </c>
      <c r="R6261" t="s">
        <v>47310</v>
      </c>
      <c r="S6261" t="s">
        <v>47435</v>
      </c>
      <c r="T6261" t="s">
        <v>49053</v>
      </c>
      <c r="U6261" t="s">
        <v>54758</v>
      </c>
      <c r="W6261" t="s">
        <v>43086</v>
      </c>
      <c r="X6261" t="s">
        <v>47311</v>
      </c>
    </row>
    <row r="6262" spans="1:24">
      <c r="A6262">
        <f>HYPERLINK("https://www.philgeps.gov.ph/GEPSNONPILOT/Tender/SplashBidNoticeAbstractUI.aspx?menuIndex=3&amp;refID=7193713&amp;Result=3","7193713")</f>
        <v>0</v>
      </c>
      <c r="B6262" t="s">
        <v>2076</v>
      </c>
      <c r="C6262" t="s">
        <v>9734</v>
      </c>
      <c r="D6262" t="s">
        <v>18993</v>
      </c>
      <c r="E6262" t="s">
        <v>24543</v>
      </c>
      <c r="F6262" t="s">
        <v>32606</v>
      </c>
      <c r="G6262" t="s">
        <v>32613</v>
      </c>
      <c r="H6262" t="s">
        <v>14201</v>
      </c>
      <c r="I6262" t="s">
        <v>4112</v>
      </c>
      <c r="J6262" t="s">
        <v>36798</v>
      </c>
      <c r="K6262" t="s">
        <v>42622</v>
      </c>
      <c r="M6262" t="s">
        <v>45157</v>
      </c>
      <c r="N6262" t="s">
        <v>47304</v>
      </c>
      <c r="O6262" t="s">
        <v>47305</v>
      </c>
      <c r="P6262">
        <v>0</v>
      </c>
      <c r="Q6262">
        <v>0</v>
      </c>
      <c r="R6262" t="s">
        <v>47310</v>
      </c>
      <c r="S6262" t="s">
        <v>47435</v>
      </c>
      <c r="T6262" t="s">
        <v>49065</v>
      </c>
      <c r="U6262" t="s">
        <v>54732</v>
      </c>
      <c r="W6262" t="s">
        <v>45157</v>
      </c>
      <c r="X6262" t="s">
        <v>47311</v>
      </c>
    </row>
    <row r="6263" spans="1:24">
      <c r="A6263">
        <f>HYPERLINK("https://www.philgeps.gov.ph/GEPSNONPILOT/Tender/SplashBidNoticeAbstractUI.aspx?menuIndex=3&amp;refID=7193711&amp;Result=3","7193711")</f>
        <v>0</v>
      </c>
      <c r="B6263" t="s">
        <v>2085</v>
      </c>
      <c r="C6263" t="s">
        <v>9735</v>
      </c>
      <c r="D6263" t="s">
        <v>19063</v>
      </c>
      <c r="E6263" t="s">
        <v>23768</v>
      </c>
      <c r="F6263" t="s">
        <v>32606</v>
      </c>
      <c r="G6263" t="s">
        <v>32613</v>
      </c>
      <c r="H6263" t="s">
        <v>14201</v>
      </c>
      <c r="I6263" t="s">
        <v>32661</v>
      </c>
      <c r="J6263" t="s">
        <v>33363</v>
      </c>
      <c r="K6263" t="s">
        <v>42631</v>
      </c>
      <c r="M6263" t="s">
        <v>45168</v>
      </c>
      <c r="N6263" t="s">
        <v>47304</v>
      </c>
      <c r="O6263" t="s">
        <v>47305</v>
      </c>
      <c r="P6263">
        <v>0</v>
      </c>
      <c r="Q6263">
        <v>1</v>
      </c>
      <c r="R6263" t="s">
        <v>47310</v>
      </c>
      <c r="S6263" t="s">
        <v>47435</v>
      </c>
      <c r="T6263" t="s">
        <v>49039</v>
      </c>
      <c r="U6263" t="s">
        <v>54759</v>
      </c>
      <c r="W6263" t="s">
        <v>45168</v>
      </c>
      <c r="X6263" t="s">
        <v>47311</v>
      </c>
    </row>
    <row r="6264" spans="1:24">
      <c r="A6264">
        <f>HYPERLINK("https://www.philgeps.gov.ph/GEPSNONPILOT/Tender/SplashBidNoticeAbstractUI.aspx?menuIndex=3&amp;refID=7193670&amp;Result=3","7193670")</f>
        <v>0</v>
      </c>
      <c r="B6264" t="s">
        <v>2076</v>
      </c>
      <c r="C6264" t="s">
        <v>9736</v>
      </c>
      <c r="D6264" t="s">
        <v>18993</v>
      </c>
      <c r="E6264" t="s">
        <v>24543</v>
      </c>
      <c r="F6264" t="s">
        <v>32606</v>
      </c>
      <c r="G6264" t="s">
        <v>32613</v>
      </c>
      <c r="H6264" t="s">
        <v>14201</v>
      </c>
      <c r="I6264" t="s">
        <v>9008</v>
      </c>
      <c r="J6264" t="s">
        <v>36799</v>
      </c>
      <c r="K6264" t="s">
        <v>42622</v>
      </c>
      <c r="M6264" t="s">
        <v>45157</v>
      </c>
      <c r="N6264" t="s">
        <v>47304</v>
      </c>
      <c r="O6264" t="s">
        <v>47305</v>
      </c>
      <c r="P6264">
        <v>0</v>
      </c>
      <c r="Q6264">
        <v>0</v>
      </c>
      <c r="R6264" t="s">
        <v>47310</v>
      </c>
      <c r="S6264" t="s">
        <v>47435</v>
      </c>
      <c r="T6264" t="s">
        <v>49065</v>
      </c>
      <c r="U6264" t="s">
        <v>54732</v>
      </c>
      <c r="W6264" t="s">
        <v>45157</v>
      </c>
      <c r="X6264" t="s">
        <v>47311</v>
      </c>
    </row>
    <row r="6265" spans="1:24">
      <c r="A6265">
        <f>HYPERLINK("https://www.philgeps.gov.ph/GEPSNONPILOT/Tender/SplashBidNoticeAbstractUI.aspx?menuIndex=3&amp;refID=7193706&amp;Result=3","7193706")</f>
        <v>0</v>
      </c>
      <c r="B6265" t="s">
        <v>2084</v>
      </c>
      <c r="C6265" t="s">
        <v>9737</v>
      </c>
      <c r="D6265" t="s">
        <v>19066</v>
      </c>
      <c r="E6265" t="s">
        <v>24562</v>
      </c>
      <c r="F6265" t="s">
        <v>32606</v>
      </c>
      <c r="G6265" t="s">
        <v>32619</v>
      </c>
      <c r="H6265" t="s">
        <v>14201</v>
      </c>
      <c r="I6265" t="s">
        <v>32629</v>
      </c>
      <c r="J6265" t="s">
        <v>36800</v>
      </c>
      <c r="K6265" t="s">
        <v>42638</v>
      </c>
      <c r="M6265" t="s">
        <v>45167</v>
      </c>
      <c r="N6265" t="s">
        <v>47304</v>
      </c>
      <c r="O6265" t="s">
        <v>47305</v>
      </c>
      <c r="P6265">
        <v>0</v>
      </c>
      <c r="Q6265">
        <v>0</v>
      </c>
      <c r="R6265" t="s">
        <v>47310</v>
      </c>
      <c r="S6265" t="s">
        <v>47435</v>
      </c>
      <c r="T6265" t="s">
        <v>48998</v>
      </c>
      <c r="U6265" t="s">
        <v>54751</v>
      </c>
      <c r="W6265" t="s">
        <v>45167</v>
      </c>
      <c r="X6265" t="s">
        <v>47311</v>
      </c>
    </row>
    <row r="6266" spans="1:24">
      <c r="A6266">
        <f>HYPERLINK("https://www.philgeps.gov.ph/GEPSNONPILOT/Tender/SplashBidNoticeAbstractUI.aspx?menuIndex=3&amp;refID=7193727&amp;Result=3","7193727")</f>
        <v>0</v>
      </c>
      <c r="B6266" t="s">
        <v>2086</v>
      </c>
      <c r="C6266" t="s">
        <v>9738</v>
      </c>
      <c r="D6266" t="s">
        <v>19038</v>
      </c>
      <c r="E6266" t="s">
        <v>19663</v>
      </c>
      <c r="F6266" t="s">
        <v>32606</v>
      </c>
      <c r="G6266" t="s">
        <v>32613</v>
      </c>
      <c r="H6266" t="s">
        <v>14201</v>
      </c>
      <c r="I6266" t="s">
        <v>6931</v>
      </c>
      <c r="J6266" t="s">
        <v>36801</v>
      </c>
      <c r="K6266" t="s">
        <v>42622</v>
      </c>
      <c r="M6266" t="s">
        <v>45169</v>
      </c>
      <c r="N6266" t="s">
        <v>47304</v>
      </c>
      <c r="O6266" t="s">
        <v>47305</v>
      </c>
      <c r="P6266">
        <v>0</v>
      </c>
      <c r="Q6266">
        <v>0</v>
      </c>
      <c r="R6266" t="s">
        <v>47310</v>
      </c>
      <c r="S6266" t="s">
        <v>47435</v>
      </c>
      <c r="T6266" t="s">
        <v>49076</v>
      </c>
      <c r="U6266" t="s">
        <v>54760</v>
      </c>
      <c r="W6266" t="s">
        <v>45169</v>
      </c>
      <c r="X6266" t="s">
        <v>47311</v>
      </c>
    </row>
    <row r="6267" spans="1:24">
      <c r="A6267">
        <f>HYPERLINK("https://www.philgeps.gov.ph/GEPSNONPILOT/Tender/SplashBidNoticeAbstractUI.aspx?menuIndex=3&amp;refID=7193657&amp;Result=3","7193657")</f>
        <v>0</v>
      </c>
      <c r="B6267" t="s">
        <v>2081</v>
      </c>
      <c r="C6267" t="s">
        <v>9739</v>
      </c>
      <c r="D6267" t="s">
        <v>18993</v>
      </c>
      <c r="E6267" t="s">
        <v>24563</v>
      </c>
      <c r="F6267" t="s">
        <v>32606</v>
      </c>
      <c r="G6267" t="s">
        <v>32614</v>
      </c>
      <c r="H6267" t="s">
        <v>14201</v>
      </c>
      <c r="I6267" t="s">
        <v>4369</v>
      </c>
      <c r="J6267" t="s">
        <v>36802</v>
      </c>
      <c r="K6267" t="s">
        <v>42638</v>
      </c>
      <c r="M6267" t="s">
        <v>45163</v>
      </c>
      <c r="N6267" t="s">
        <v>47304</v>
      </c>
      <c r="O6267" t="s">
        <v>47305</v>
      </c>
      <c r="P6267">
        <v>0</v>
      </c>
      <c r="Q6267">
        <v>7</v>
      </c>
      <c r="R6267" t="s">
        <v>47310</v>
      </c>
      <c r="S6267" t="s">
        <v>47435</v>
      </c>
      <c r="T6267" t="s">
        <v>48998</v>
      </c>
      <c r="U6267" t="s">
        <v>54742</v>
      </c>
      <c r="V6267" t="s">
        <v>63236</v>
      </c>
      <c r="W6267" t="s">
        <v>64493</v>
      </c>
      <c r="X6267" t="s">
        <v>47311</v>
      </c>
    </row>
    <row r="6268" spans="1:24">
      <c r="A6268">
        <f>HYPERLINK("https://www.philgeps.gov.ph/GEPSNONPILOT/Tender/SplashBidNoticeAbstractUI.aspx?menuIndex=3&amp;refID=7193656&amp;Result=3","7193656")</f>
        <v>0</v>
      </c>
      <c r="B6268" t="s">
        <v>1142</v>
      </c>
      <c r="C6268" t="s">
        <v>9740</v>
      </c>
      <c r="D6268" t="s">
        <v>19040</v>
      </c>
      <c r="E6268" t="s">
        <v>24564</v>
      </c>
      <c r="F6268" t="s">
        <v>32606</v>
      </c>
      <c r="G6268" t="s">
        <v>32614</v>
      </c>
      <c r="H6268" t="s">
        <v>14201</v>
      </c>
      <c r="I6268" t="s">
        <v>32693</v>
      </c>
      <c r="J6268" t="s">
        <v>36803</v>
      </c>
      <c r="K6268" t="s">
        <v>42623</v>
      </c>
      <c r="M6268" t="s">
        <v>44104</v>
      </c>
      <c r="N6268" t="s">
        <v>47304</v>
      </c>
      <c r="O6268" t="s">
        <v>47305</v>
      </c>
      <c r="P6268">
        <v>0</v>
      </c>
      <c r="Q6268">
        <v>0</v>
      </c>
      <c r="R6268" t="s">
        <v>47310</v>
      </c>
      <c r="S6268" t="s">
        <v>47435</v>
      </c>
      <c r="T6268" t="s">
        <v>49004</v>
      </c>
      <c r="U6268" t="s">
        <v>54761</v>
      </c>
      <c r="W6268" t="s">
        <v>44104</v>
      </c>
      <c r="X6268" t="s">
        <v>47311</v>
      </c>
    </row>
    <row r="6269" spans="1:24">
      <c r="A6269">
        <f>HYPERLINK("https://www.philgeps.gov.ph/GEPSNONPILOT/Tender/SplashBidNoticeAbstractUI.aspx?menuIndex=3&amp;refID=7193584&amp;Result=3","7193584")</f>
        <v>0</v>
      </c>
      <c r="B6269" t="s">
        <v>652</v>
      </c>
      <c r="C6269" t="s">
        <v>9741</v>
      </c>
      <c r="D6269" t="s">
        <v>18993</v>
      </c>
      <c r="E6269" t="s">
        <v>24565</v>
      </c>
      <c r="F6269" t="s">
        <v>32606</v>
      </c>
      <c r="G6269" t="s">
        <v>32614</v>
      </c>
      <c r="H6269" t="s">
        <v>14201</v>
      </c>
      <c r="I6269" t="s">
        <v>32646</v>
      </c>
      <c r="J6269" t="s">
        <v>36804</v>
      </c>
      <c r="K6269" t="s">
        <v>42631</v>
      </c>
      <c r="M6269" t="s">
        <v>45170</v>
      </c>
      <c r="N6269" t="s">
        <v>47304</v>
      </c>
      <c r="O6269" t="s">
        <v>47305</v>
      </c>
      <c r="P6269">
        <v>0</v>
      </c>
      <c r="Q6269">
        <v>8</v>
      </c>
      <c r="R6269" t="s">
        <v>47310</v>
      </c>
      <c r="S6269" t="s">
        <v>47435</v>
      </c>
      <c r="T6269" t="s">
        <v>49221</v>
      </c>
      <c r="U6269" t="s">
        <v>54762</v>
      </c>
      <c r="W6269" t="s">
        <v>45170</v>
      </c>
      <c r="X6269" t="s">
        <v>47311</v>
      </c>
    </row>
    <row r="6270" spans="1:24">
      <c r="A6270">
        <f>HYPERLINK("https://www.philgeps.gov.ph/GEPSNONPILOT/Tender/SplashBidNoticeAbstractUI.aspx?menuIndex=3&amp;refID=7193731&amp;Result=3","7193731")</f>
        <v>0</v>
      </c>
      <c r="B6270" t="s">
        <v>2087</v>
      </c>
      <c r="C6270" t="s">
        <v>9742</v>
      </c>
      <c r="D6270" t="s">
        <v>18989</v>
      </c>
      <c r="E6270" t="s">
        <v>19145</v>
      </c>
      <c r="F6270" t="s">
        <v>32606</v>
      </c>
      <c r="G6270" t="s">
        <v>32613</v>
      </c>
      <c r="H6270" t="s">
        <v>32623</v>
      </c>
      <c r="I6270" t="s">
        <v>17648</v>
      </c>
      <c r="J6270" t="s">
        <v>32981</v>
      </c>
      <c r="K6270" t="s">
        <v>42623</v>
      </c>
      <c r="M6270" t="s">
        <v>45171</v>
      </c>
      <c r="N6270" t="s">
        <v>47304</v>
      </c>
      <c r="O6270" t="s">
        <v>47305</v>
      </c>
      <c r="P6270">
        <v>0</v>
      </c>
      <c r="Q6270">
        <v>0</v>
      </c>
      <c r="R6270" t="s">
        <v>47310</v>
      </c>
      <c r="S6270" t="s">
        <v>47435</v>
      </c>
      <c r="T6270" t="s">
        <v>48975</v>
      </c>
      <c r="U6270" t="s">
        <v>54763</v>
      </c>
      <c r="W6270" t="s">
        <v>45171</v>
      </c>
      <c r="X6270" t="s">
        <v>47311</v>
      </c>
    </row>
    <row r="6271" spans="1:24">
      <c r="A6271">
        <f>HYPERLINK("https://www.philgeps.gov.ph/GEPSNONPILOT/Tender/SplashBidNoticeAbstractUI.aspx?menuIndex=3&amp;refID=7193726&amp;Result=3","7193726")</f>
        <v>0</v>
      </c>
      <c r="B6271" t="s">
        <v>2084</v>
      </c>
      <c r="C6271" t="s">
        <v>9743</v>
      </c>
      <c r="D6271" t="s">
        <v>19066</v>
      </c>
      <c r="E6271" t="s">
        <v>24566</v>
      </c>
      <c r="F6271" t="s">
        <v>32606</v>
      </c>
      <c r="G6271" t="s">
        <v>32619</v>
      </c>
      <c r="H6271" t="s">
        <v>14201</v>
      </c>
      <c r="I6271" t="s">
        <v>6931</v>
      </c>
      <c r="J6271" t="s">
        <v>36805</v>
      </c>
      <c r="K6271" t="s">
        <v>42638</v>
      </c>
      <c r="M6271" t="s">
        <v>45167</v>
      </c>
      <c r="N6271" t="s">
        <v>47304</v>
      </c>
      <c r="O6271" t="s">
        <v>47305</v>
      </c>
      <c r="P6271">
        <v>0</v>
      </c>
      <c r="Q6271">
        <v>0</v>
      </c>
      <c r="R6271" t="s">
        <v>47310</v>
      </c>
      <c r="S6271" t="s">
        <v>47435</v>
      </c>
      <c r="T6271" t="s">
        <v>48998</v>
      </c>
      <c r="U6271" t="s">
        <v>54751</v>
      </c>
      <c r="W6271" t="s">
        <v>45167</v>
      </c>
      <c r="X6271" t="s">
        <v>47311</v>
      </c>
    </row>
    <row r="6272" spans="1:24">
      <c r="A6272">
        <f>HYPERLINK("https://www.philgeps.gov.ph/GEPSNONPILOT/Tender/SplashBidNoticeAbstractUI.aspx?menuIndex=3&amp;refID=7193663&amp;Result=3","7193663")</f>
        <v>0</v>
      </c>
      <c r="B6272" t="s">
        <v>2076</v>
      </c>
      <c r="C6272" t="s">
        <v>9744</v>
      </c>
      <c r="D6272" t="s">
        <v>18993</v>
      </c>
      <c r="E6272" t="s">
        <v>24543</v>
      </c>
      <c r="F6272" t="s">
        <v>32606</v>
      </c>
      <c r="G6272" t="s">
        <v>32613</v>
      </c>
      <c r="H6272" t="s">
        <v>14201</v>
      </c>
      <c r="I6272" t="s">
        <v>4120</v>
      </c>
      <c r="J6272" t="s">
        <v>36806</v>
      </c>
      <c r="K6272" t="s">
        <v>42622</v>
      </c>
      <c r="M6272" t="s">
        <v>45157</v>
      </c>
      <c r="N6272" t="s">
        <v>47304</v>
      </c>
      <c r="O6272" t="s">
        <v>47305</v>
      </c>
      <c r="P6272">
        <v>0</v>
      </c>
      <c r="Q6272">
        <v>1</v>
      </c>
      <c r="R6272" t="s">
        <v>47310</v>
      </c>
      <c r="S6272" t="s">
        <v>47435</v>
      </c>
      <c r="T6272" t="s">
        <v>49065</v>
      </c>
      <c r="U6272" t="s">
        <v>54732</v>
      </c>
      <c r="W6272" t="s">
        <v>45157</v>
      </c>
      <c r="X6272" t="s">
        <v>47311</v>
      </c>
    </row>
    <row r="6273" spans="1:24">
      <c r="A6273">
        <f>HYPERLINK("https://www.philgeps.gov.ph/GEPSNONPILOT/Tender/SplashBidNoticeAbstractUI.aspx?menuIndex=3&amp;refID=7193572&amp;Result=3","7193572")</f>
        <v>0</v>
      </c>
      <c r="B6273" t="s">
        <v>569</v>
      </c>
      <c r="C6273" t="s">
        <v>9745</v>
      </c>
      <c r="D6273" t="s">
        <v>18993</v>
      </c>
      <c r="E6273" t="s">
        <v>24567</v>
      </c>
      <c r="F6273" t="s">
        <v>32606</v>
      </c>
      <c r="G6273" t="s">
        <v>32619</v>
      </c>
      <c r="H6273" t="s">
        <v>14201</v>
      </c>
      <c r="I6273" t="s">
        <v>32638</v>
      </c>
      <c r="J6273" t="s">
        <v>32752</v>
      </c>
      <c r="K6273" t="s">
        <v>42623</v>
      </c>
      <c r="M6273" t="s">
        <v>43484</v>
      </c>
      <c r="N6273" t="s">
        <v>47304</v>
      </c>
      <c r="O6273" t="s">
        <v>47305</v>
      </c>
      <c r="P6273">
        <v>0</v>
      </c>
      <c r="Q6273">
        <v>2</v>
      </c>
      <c r="R6273" t="s">
        <v>47310</v>
      </c>
      <c r="S6273" t="s">
        <v>47435</v>
      </c>
      <c r="T6273" t="s">
        <v>49020</v>
      </c>
      <c r="U6273" t="s">
        <v>54764</v>
      </c>
      <c r="V6273" t="s">
        <v>63227</v>
      </c>
      <c r="W6273" t="s">
        <v>64492</v>
      </c>
      <c r="X6273" t="s">
        <v>47311</v>
      </c>
    </row>
    <row r="6274" spans="1:24">
      <c r="A6274">
        <f>HYPERLINK("https://www.philgeps.gov.ph/GEPSNONPILOT/Tender/SplashBidNoticeAbstractUI.aspx?menuIndex=3&amp;refID=7193714&amp;Result=3","7193714")</f>
        <v>0</v>
      </c>
      <c r="B6274" t="s">
        <v>2084</v>
      </c>
      <c r="C6274" t="s">
        <v>9746</v>
      </c>
      <c r="D6274" t="s">
        <v>19066</v>
      </c>
      <c r="E6274" t="s">
        <v>24568</v>
      </c>
      <c r="F6274" t="s">
        <v>32606</v>
      </c>
      <c r="G6274" t="s">
        <v>32619</v>
      </c>
      <c r="H6274" t="s">
        <v>14201</v>
      </c>
      <c r="I6274" t="s">
        <v>6931</v>
      </c>
      <c r="J6274" t="s">
        <v>36807</v>
      </c>
      <c r="K6274" t="s">
        <v>42638</v>
      </c>
      <c r="M6274" t="s">
        <v>45167</v>
      </c>
      <c r="N6274" t="s">
        <v>47304</v>
      </c>
      <c r="O6274" t="s">
        <v>47305</v>
      </c>
      <c r="P6274">
        <v>0</v>
      </c>
      <c r="Q6274">
        <v>0</v>
      </c>
      <c r="R6274" t="s">
        <v>47310</v>
      </c>
      <c r="S6274" t="s">
        <v>47435</v>
      </c>
      <c r="T6274" t="s">
        <v>48998</v>
      </c>
      <c r="U6274" t="s">
        <v>54751</v>
      </c>
      <c r="W6274" t="s">
        <v>45167</v>
      </c>
      <c r="X6274" t="s">
        <v>47311</v>
      </c>
    </row>
    <row r="6275" spans="1:24">
      <c r="A6275">
        <f>HYPERLINK("https://www.philgeps.gov.ph/GEPSNONPILOT/Tender/SplashBidNoticeAbstractUI.aspx?menuIndex=3&amp;refID=7193748&amp;Result=3","7193748")</f>
        <v>0</v>
      </c>
      <c r="B6275" t="s">
        <v>56</v>
      </c>
      <c r="C6275" t="s">
        <v>9747</v>
      </c>
      <c r="D6275" t="s">
        <v>19009</v>
      </c>
      <c r="E6275" t="s">
        <v>24569</v>
      </c>
      <c r="F6275" t="s">
        <v>32606</v>
      </c>
      <c r="G6275" t="s">
        <v>32614</v>
      </c>
      <c r="H6275" t="s">
        <v>14201</v>
      </c>
      <c r="I6275" t="s">
        <v>32691</v>
      </c>
      <c r="J6275" t="s">
        <v>33288</v>
      </c>
      <c r="K6275" t="s">
        <v>42622</v>
      </c>
      <c r="M6275" t="s">
        <v>42953</v>
      </c>
      <c r="N6275" t="s">
        <v>47304</v>
      </c>
      <c r="O6275" t="s">
        <v>47305</v>
      </c>
      <c r="P6275">
        <v>0</v>
      </c>
      <c r="Q6275">
        <v>0</v>
      </c>
      <c r="R6275" t="s">
        <v>47310</v>
      </c>
      <c r="S6275" t="s">
        <v>47435</v>
      </c>
      <c r="T6275" t="s">
        <v>49268</v>
      </c>
      <c r="U6275" t="s">
        <v>54765</v>
      </c>
      <c r="W6275" t="s">
        <v>42953</v>
      </c>
      <c r="X6275" t="s">
        <v>47311</v>
      </c>
    </row>
    <row r="6276" spans="1:24">
      <c r="A6276">
        <f>HYPERLINK("https://www.philgeps.gov.ph/GEPSNONPILOT/Tender/SplashBidNoticeAbstractUI.aspx?menuIndex=3&amp;refID=7193575&amp;Result=3","7193575")</f>
        <v>0</v>
      </c>
      <c r="B6276" t="s">
        <v>2088</v>
      </c>
      <c r="C6276" t="s">
        <v>9748</v>
      </c>
      <c r="D6276" t="s">
        <v>19007</v>
      </c>
      <c r="E6276" t="s">
        <v>24570</v>
      </c>
      <c r="F6276" t="s">
        <v>32606</v>
      </c>
      <c r="G6276" t="s">
        <v>32619</v>
      </c>
      <c r="H6276" t="s">
        <v>14201</v>
      </c>
      <c r="I6276" t="s">
        <v>4678</v>
      </c>
      <c r="J6276" t="s">
        <v>34813</v>
      </c>
      <c r="K6276" t="s">
        <v>42630</v>
      </c>
      <c r="M6276" t="s">
        <v>45172</v>
      </c>
      <c r="N6276" t="s">
        <v>47304</v>
      </c>
      <c r="O6276" t="s">
        <v>47305</v>
      </c>
      <c r="P6276">
        <v>0</v>
      </c>
      <c r="Q6276">
        <v>1</v>
      </c>
      <c r="R6276" t="s">
        <v>47310</v>
      </c>
      <c r="S6276" t="s">
        <v>47435</v>
      </c>
      <c r="T6276" t="s">
        <v>48979</v>
      </c>
      <c r="U6276" t="s">
        <v>54766</v>
      </c>
      <c r="W6276" t="s">
        <v>45172</v>
      </c>
      <c r="X6276" t="s">
        <v>47311</v>
      </c>
    </row>
    <row r="6277" spans="1:24">
      <c r="A6277">
        <f>HYPERLINK("https://www.philgeps.gov.ph/GEPSNONPILOT/Tender/SplashBidNoticeAbstractUI.aspx?menuIndex=3&amp;refID=7093112-2&amp;Result=3","7093112-2")</f>
        <v>0</v>
      </c>
      <c r="B6277" t="s">
        <v>2089</v>
      </c>
      <c r="C6277" t="s">
        <v>9749</v>
      </c>
      <c r="D6277" t="s">
        <v>18993</v>
      </c>
      <c r="E6277" t="s">
        <v>24571</v>
      </c>
      <c r="F6277" t="s">
        <v>32606</v>
      </c>
      <c r="G6277" t="s">
        <v>32613</v>
      </c>
      <c r="H6277" t="s">
        <v>32625</v>
      </c>
      <c r="I6277" t="s">
        <v>32625</v>
      </c>
      <c r="J6277" t="s">
        <v>36808</v>
      </c>
      <c r="K6277" t="s">
        <v>42782</v>
      </c>
      <c r="M6277" t="s">
        <v>45173</v>
      </c>
      <c r="N6277" t="s">
        <v>47304</v>
      </c>
      <c r="O6277" t="s">
        <v>47305</v>
      </c>
      <c r="P6277">
        <v>0</v>
      </c>
      <c r="Q6277">
        <v>1</v>
      </c>
      <c r="R6277" t="s">
        <v>47311</v>
      </c>
      <c r="S6277" t="s">
        <v>47443</v>
      </c>
      <c r="T6277" t="s">
        <v>49341</v>
      </c>
      <c r="U6277" t="s">
        <v>54767</v>
      </c>
      <c r="W6277" t="s">
        <v>45173</v>
      </c>
      <c r="X6277" t="s">
        <v>47312</v>
      </c>
    </row>
    <row r="6278" spans="1:24">
      <c r="A6278">
        <f>HYPERLINK("https://www.philgeps.gov.ph/GEPSNONPILOT/Tender/SplashBidNoticeAbstractUI.aspx?menuIndex=3&amp;refID=7193574&amp;Result=3","7193574")</f>
        <v>0</v>
      </c>
      <c r="B6278" t="s">
        <v>639</v>
      </c>
      <c r="C6278" t="s">
        <v>9750</v>
      </c>
      <c r="D6278" t="s">
        <v>19043</v>
      </c>
      <c r="E6278" t="s">
        <v>11797</v>
      </c>
      <c r="F6278" t="s">
        <v>32606</v>
      </c>
      <c r="G6278" t="s">
        <v>32614</v>
      </c>
      <c r="H6278" t="s">
        <v>14201</v>
      </c>
      <c r="I6278" t="s">
        <v>32635</v>
      </c>
      <c r="J6278" t="s">
        <v>36809</v>
      </c>
      <c r="K6278" t="s">
        <v>42624</v>
      </c>
      <c r="M6278" t="s">
        <v>44624</v>
      </c>
      <c r="N6278" t="s">
        <v>47304</v>
      </c>
      <c r="O6278" t="s">
        <v>47305</v>
      </c>
      <c r="P6278">
        <v>0</v>
      </c>
      <c r="Q6278">
        <v>5</v>
      </c>
      <c r="R6278" t="s">
        <v>47310</v>
      </c>
      <c r="S6278" t="s">
        <v>47435</v>
      </c>
      <c r="T6278" t="s">
        <v>49257</v>
      </c>
      <c r="U6278" t="s">
        <v>54768</v>
      </c>
      <c r="W6278" t="s">
        <v>44624</v>
      </c>
      <c r="X6278" t="s">
        <v>47311</v>
      </c>
    </row>
    <row r="6279" spans="1:24">
      <c r="A6279">
        <f>HYPERLINK("https://www.philgeps.gov.ph/GEPSNONPILOT/Tender/SplashBidNoticeAbstractUI.aspx?menuIndex=3&amp;refID=7081649&amp;Result=3","7081649")</f>
        <v>0</v>
      </c>
      <c r="B6279" t="s">
        <v>1893</v>
      </c>
      <c r="C6279" t="s">
        <v>9751</v>
      </c>
      <c r="D6279" t="s">
        <v>19072</v>
      </c>
      <c r="E6279" t="s">
        <v>24572</v>
      </c>
      <c r="F6279" t="s">
        <v>32606</v>
      </c>
      <c r="G6279" t="s">
        <v>32614</v>
      </c>
      <c r="H6279" t="s">
        <v>14201</v>
      </c>
      <c r="I6279" t="s">
        <v>32669</v>
      </c>
      <c r="J6279" t="s">
        <v>32765</v>
      </c>
      <c r="K6279" t="s">
        <v>42624</v>
      </c>
      <c r="M6279" t="s">
        <v>44952</v>
      </c>
      <c r="N6279" t="s">
        <v>47304</v>
      </c>
      <c r="O6279" t="s">
        <v>47305</v>
      </c>
      <c r="P6279">
        <v>0</v>
      </c>
      <c r="Q6279">
        <v>0</v>
      </c>
      <c r="R6279" t="s">
        <v>47311</v>
      </c>
      <c r="S6279" t="s">
        <v>47443</v>
      </c>
      <c r="T6279" t="s">
        <v>49116</v>
      </c>
      <c r="U6279" t="s">
        <v>54769</v>
      </c>
      <c r="W6279" t="s">
        <v>44952</v>
      </c>
      <c r="X6279" t="s">
        <v>47357</v>
      </c>
    </row>
    <row r="6280" spans="1:24">
      <c r="A6280">
        <f>HYPERLINK("https://www.philgeps.gov.ph/GEPSNONPILOT/Tender/SplashBidNoticeAbstractUI.aspx?menuIndex=3&amp;refID=7193571&amp;Result=3","7193571")</f>
        <v>0</v>
      </c>
      <c r="B6280" t="s">
        <v>2070</v>
      </c>
      <c r="C6280" t="s">
        <v>9752</v>
      </c>
      <c r="E6280" t="s">
        <v>24573</v>
      </c>
      <c r="F6280" t="s">
        <v>32606</v>
      </c>
      <c r="G6280" t="s">
        <v>32613</v>
      </c>
      <c r="H6280" t="s">
        <v>14201</v>
      </c>
      <c r="I6280" t="s">
        <v>4120</v>
      </c>
      <c r="J6280" t="s">
        <v>36810</v>
      </c>
      <c r="K6280" t="s">
        <v>42624</v>
      </c>
      <c r="M6280" t="s">
        <v>45150</v>
      </c>
      <c r="N6280" t="s">
        <v>47304</v>
      </c>
      <c r="O6280" t="s">
        <v>47305</v>
      </c>
      <c r="P6280">
        <v>0</v>
      </c>
      <c r="Q6280">
        <v>3</v>
      </c>
      <c r="R6280" t="s">
        <v>47310</v>
      </c>
      <c r="S6280" t="s">
        <v>47435</v>
      </c>
      <c r="T6280" t="s">
        <v>49001</v>
      </c>
      <c r="U6280" t="s">
        <v>54718</v>
      </c>
      <c r="V6280" t="s">
        <v>63237</v>
      </c>
      <c r="W6280" t="s">
        <v>45150</v>
      </c>
      <c r="X6280" t="s">
        <v>47311</v>
      </c>
    </row>
    <row r="6281" spans="1:24">
      <c r="A6281">
        <f>HYPERLINK("https://www.philgeps.gov.ph/GEPSNONPILOT/Tender/SplashBidNoticeAbstractUI.aspx?menuIndex=3&amp;refID=7148752&amp;Result=3","7148752")</f>
        <v>0</v>
      </c>
      <c r="B6281" t="s">
        <v>28</v>
      </c>
      <c r="C6281" t="s">
        <v>9753</v>
      </c>
      <c r="D6281" t="s">
        <v>18993</v>
      </c>
      <c r="E6281" t="s">
        <v>24574</v>
      </c>
      <c r="F6281" t="s">
        <v>32606</v>
      </c>
      <c r="G6281" t="s">
        <v>32613</v>
      </c>
      <c r="H6281" t="s">
        <v>32624</v>
      </c>
      <c r="I6281" t="s">
        <v>32639</v>
      </c>
      <c r="J6281" t="s">
        <v>36811</v>
      </c>
      <c r="K6281" t="s">
        <v>42644</v>
      </c>
      <c r="M6281" t="s">
        <v>45174</v>
      </c>
      <c r="N6281" t="s">
        <v>47304</v>
      </c>
      <c r="O6281" t="s">
        <v>47305</v>
      </c>
      <c r="P6281">
        <v>0</v>
      </c>
      <c r="Q6281">
        <v>3</v>
      </c>
      <c r="R6281" t="s">
        <v>47311</v>
      </c>
      <c r="S6281" t="s">
        <v>47443</v>
      </c>
      <c r="T6281" t="s">
        <v>48983</v>
      </c>
      <c r="U6281" t="s">
        <v>54770</v>
      </c>
      <c r="W6281" t="s">
        <v>45174</v>
      </c>
      <c r="X6281" t="s">
        <v>47331</v>
      </c>
    </row>
    <row r="6282" spans="1:24">
      <c r="A6282">
        <f>HYPERLINK("https://www.philgeps.gov.ph/GEPSNONPILOT/Tender/SplashBidNoticeAbstractUI.aspx?menuIndex=3&amp;refID=7131859&amp;Result=3","7131859")</f>
        <v>0</v>
      </c>
      <c r="B6282" t="s">
        <v>2090</v>
      </c>
      <c r="C6282" t="s">
        <v>9754</v>
      </c>
      <c r="D6282" t="s">
        <v>19016</v>
      </c>
      <c r="E6282" t="s">
        <v>19125</v>
      </c>
      <c r="F6282" t="s">
        <v>32606</v>
      </c>
      <c r="G6282" t="s">
        <v>32613</v>
      </c>
      <c r="H6282" t="s">
        <v>14201</v>
      </c>
      <c r="I6282" t="s">
        <v>6931</v>
      </c>
      <c r="J6282" t="s">
        <v>36812</v>
      </c>
      <c r="K6282" t="s">
        <v>42630</v>
      </c>
      <c r="M6282" t="s">
        <v>45175</v>
      </c>
      <c r="N6282" t="s">
        <v>47304</v>
      </c>
      <c r="O6282" t="s">
        <v>47305</v>
      </c>
      <c r="P6282">
        <v>0</v>
      </c>
      <c r="Q6282">
        <v>0</v>
      </c>
      <c r="R6282" t="s">
        <v>47311</v>
      </c>
      <c r="S6282" t="s">
        <v>47443</v>
      </c>
      <c r="T6282" t="s">
        <v>49010</v>
      </c>
      <c r="U6282" t="s">
        <v>54771</v>
      </c>
      <c r="V6282" t="s">
        <v>63238</v>
      </c>
      <c r="W6282" t="s">
        <v>45175</v>
      </c>
      <c r="X6282" t="s">
        <v>47339</v>
      </c>
    </row>
    <row r="6283" spans="1:24">
      <c r="A6283">
        <f>HYPERLINK("https://www.philgeps.gov.ph/GEPSNONPILOT/Tender/SplashBidNoticeAbstractUI.aspx?menuIndex=3&amp;refID=7193568&amp;Result=3","7193568")</f>
        <v>0</v>
      </c>
      <c r="B6283" t="s">
        <v>2070</v>
      </c>
      <c r="C6283" t="s">
        <v>9755</v>
      </c>
      <c r="E6283" t="s">
        <v>24575</v>
      </c>
      <c r="F6283" t="s">
        <v>32606</v>
      </c>
      <c r="G6283" t="s">
        <v>32613</v>
      </c>
      <c r="H6283" t="s">
        <v>14201</v>
      </c>
      <c r="I6283" t="s">
        <v>4120</v>
      </c>
      <c r="J6283" t="s">
        <v>36813</v>
      </c>
      <c r="K6283" t="s">
        <v>42624</v>
      </c>
      <c r="M6283" t="s">
        <v>45150</v>
      </c>
      <c r="N6283" t="s">
        <v>47304</v>
      </c>
      <c r="O6283" t="s">
        <v>47305</v>
      </c>
      <c r="P6283">
        <v>0</v>
      </c>
      <c r="Q6283">
        <v>1</v>
      </c>
      <c r="R6283" t="s">
        <v>47310</v>
      </c>
      <c r="S6283" t="s">
        <v>47435</v>
      </c>
      <c r="T6283" t="s">
        <v>49001</v>
      </c>
      <c r="U6283" t="s">
        <v>54718</v>
      </c>
      <c r="V6283" t="s">
        <v>63239</v>
      </c>
      <c r="W6283" t="s">
        <v>45150</v>
      </c>
      <c r="X6283" t="s">
        <v>47311</v>
      </c>
    </row>
    <row r="6284" spans="1:24">
      <c r="A6284">
        <f>HYPERLINK("https://www.philgeps.gov.ph/GEPSNONPILOT/Tender/SplashBidNoticeAbstractUI.aspx?menuIndex=3&amp;refID=7122850-2&amp;Result=3","7122850-2")</f>
        <v>0</v>
      </c>
      <c r="B6284" t="s">
        <v>2089</v>
      </c>
      <c r="C6284" t="s">
        <v>9756</v>
      </c>
      <c r="D6284" t="s">
        <v>18993</v>
      </c>
      <c r="E6284" t="s">
        <v>24576</v>
      </c>
      <c r="F6284" t="s">
        <v>32606</v>
      </c>
      <c r="G6284" t="s">
        <v>32613</v>
      </c>
      <c r="H6284" t="s">
        <v>32625</v>
      </c>
      <c r="I6284" t="s">
        <v>32625</v>
      </c>
      <c r="J6284" t="s">
        <v>36814</v>
      </c>
      <c r="K6284" t="s">
        <v>42703</v>
      </c>
      <c r="M6284" t="s">
        <v>45173</v>
      </c>
      <c r="N6284" t="s">
        <v>47304</v>
      </c>
      <c r="O6284" t="s">
        <v>47305</v>
      </c>
      <c r="P6284">
        <v>0</v>
      </c>
      <c r="Q6284">
        <v>0</v>
      </c>
      <c r="R6284" t="s">
        <v>47311</v>
      </c>
      <c r="S6284" t="s">
        <v>47443</v>
      </c>
      <c r="T6284" t="s">
        <v>49341</v>
      </c>
      <c r="U6284" t="s">
        <v>54767</v>
      </c>
      <c r="W6284" t="s">
        <v>45173</v>
      </c>
      <c r="X6284" t="s">
        <v>47312</v>
      </c>
    </row>
    <row r="6285" spans="1:24">
      <c r="A6285">
        <f>HYPERLINK("https://www.philgeps.gov.ph/GEPSNONPILOT/Tender/SplashBidNoticeAbstractUI.aspx?menuIndex=3&amp;refID=7093942-2&amp;Result=3","7093942-2")</f>
        <v>0</v>
      </c>
      <c r="B6285" t="s">
        <v>2089</v>
      </c>
      <c r="C6285" t="s">
        <v>9757</v>
      </c>
      <c r="D6285" t="s">
        <v>18993</v>
      </c>
      <c r="E6285" t="s">
        <v>24577</v>
      </c>
      <c r="F6285" t="s">
        <v>32606</v>
      </c>
      <c r="G6285" t="s">
        <v>32613</v>
      </c>
      <c r="H6285" t="s">
        <v>32625</v>
      </c>
      <c r="I6285" t="s">
        <v>32625</v>
      </c>
      <c r="J6285" t="s">
        <v>36815</v>
      </c>
      <c r="K6285" t="s">
        <v>42782</v>
      </c>
      <c r="M6285" t="s">
        <v>45173</v>
      </c>
      <c r="N6285" t="s">
        <v>47304</v>
      </c>
      <c r="O6285" t="s">
        <v>47305</v>
      </c>
      <c r="P6285">
        <v>0</v>
      </c>
      <c r="Q6285">
        <v>1</v>
      </c>
      <c r="R6285" t="s">
        <v>47311</v>
      </c>
      <c r="S6285" t="s">
        <v>47443</v>
      </c>
      <c r="T6285" t="s">
        <v>49341</v>
      </c>
      <c r="U6285" t="s">
        <v>54772</v>
      </c>
      <c r="W6285" t="s">
        <v>45173</v>
      </c>
      <c r="X6285" t="s">
        <v>47312</v>
      </c>
    </row>
    <row r="6286" spans="1:24">
      <c r="A6286">
        <f>HYPERLINK("https://www.philgeps.gov.ph/GEPSNONPILOT/Tender/SplashBidNoticeAbstractUI.aspx?menuIndex=3&amp;refID=7122707-2&amp;Result=3","7122707-2")</f>
        <v>0</v>
      </c>
      <c r="B6286" t="s">
        <v>2089</v>
      </c>
      <c r="C6286" t="s">
        <v>9758</v>
      </c>
      <c r="E6286" t="s">
        <v>24578</v>
      </c>
      <c r="F6286" t="s">
        <v>32606</v>
      </c>
      <c r="G6286" t="s">
        <v>32613</v>
      </c>
      <c r="H6286" t="s">
        <v>32625</v>
      </c>
      <c r="I6286" t="s">
        <v>32625</v>
      </c>
      <c r="J6286" t="s">
        <v>36816</v>
      </c>
      <c r="K6286" t="s">
        <v>42703</v>
      </c>
      <c r="M6286" t="s">
        <v>45173</v>
      </c>
      <c r="N6286" t="s">
        <v>47304</v>
      </c>
      <c r="O6286" t="s">
        <v>47305</v>
      </c>
      <c r="P6286">
        <v>0</v>
      </c>
      <c r="Q6286">
        <v>1</v>
      </c>
      <c r="R6286" t="s">
        <v>47311</v>
      </c>
      <c r="S6286" t="s">
        <v>47443</v>
      </c>
      <c r="T6286" t="s">
        <v>49341</v>
      </c>
      <c r="U6286" t="s">
        <v>54773</v>
      </c>
      <c r="V6286" t="s">
        <v>63240</v>
      </c>
      <c r="W6286" t="s">
        <v>45173</v>
      </c>
      <c r="X6286" t="s">
        <v>47312</v>
      </c>
    </row>
    <row r="6287" spans="1:24">
      <c r="A6287">
        <f>HYPERLINK("https://www.philgeps.gov.ph/GEPSNONPILOT/Tender/SplashBidNoticeAbstractUI.aspx?menuIndex=3&amp;refID=7029732-2&amp;Result=3","7029732-2")</f>
        <v>0</v>
      </c>
      <c r="B6287" t="s">
        <v>2089</v>
      </c>
      <c r="C6287" t="s">
        <v>9759</v>
      </c>
      <c r="E6287" t="s">
        <v>24579</v>
      </c>
      <c r="F6287" t="s">
        <v>32606</v>
      </c>
      <c r="G6287" t="s">
        <v>32613</v>
      </c>
      <c r="H6287" t="s">
        <v>32625</v>
      </c>
      <c r="I6287" t="s">
        <v>32625</v>
      </c>
      <c r="J6287" t="s">
        <v>36817</v>
      </c>
      <c r="K6287" t="s">
        <v>42783</v>
      </c>
      <c r="M6287" t="s">
        <v>45173</v>
      </c>
      <c r="N6287" t="s">
        <v>47304</v>
      </c>
      <c r="O6287" t="s">
        <v>47305</v>
      </c>
      <c r="P6287">
        <v>0</v>
      </c>
      <c r="Q6287">
        <v>2</v>
      </c>
      <c r="R6287" t="s">
        <v>47311</v>
      </c>
      <c r="S6287" t="s">
        <v>47443</v>
      </c>
      <c r="T6287" t="s">
        <v>49341</v>
      </c>
      <c r="U6287" t="s">
        <v>54773</v>
      </c>
      <c r="V6287" t="s">
        <v>63241</v>
      </c>
      <c r="W6287" t="s">
        <v>45173</v>
      </c>
      <c r="X6287" t="s">
        <v>47312</v>
      </c>
    </row>
    <row r="6288" spans="1:24">
      <c r="A6288">
        <f>HYPERLINK("https://www.philgeps.gov.ph/GEPSNONPILOT/Tender/SplashBidNoticeAbstractUI.aspx?menuIndex=3&amp;refID=7081626&amp;Result=3","7081626")</f>
        <v>0</v>
      </c>
      <c r="B6288" t="s">
        <v>1893</v>
      </c>
      <c r="C6288" t="s">
        <v>9760</v>
      </c>
      <c r="D6288" t="s">
        <v>19066</v>
      </c>
      <c r="E6288" t="s">
        <v>24580</v>
      </c>
      <c r="F6288" t="s">
        <v>32606</v>
      </c>
      <c r="G6288" t="s">
        <v>32614</v>
      </c>
      <c r="H6288" t="s">
        <v>14201</v>
      </c>
      <c r="I6288" t="s">
        <v>32669</v>
      </c>
      <c r="J6288" t="s">
        <v>32967</v>
      </c>
      <c r="K6288" t="s">
        <v>42624</v>
      </c>
      <c r="M6288" t="s">
        <v>44952</v>
      </c>
      <c r="N6288" t="s">
        <v>47304</v>
      </c>
      <c r="O6288" t="s">
        <v>47305</v>
      </c>
      <c r="P6288">
        <v>0</v>
      </c>
      <c r="Q6288">
        <v>0</v>
      </c>
      <c r="R6288" t="s">
        <v>47311</v>
      </c>
      <c r="S6288" t="s">
        <v>47443</v>
      </c>
      <c r="T6288" t="s">
        <v>49116</v>
      </c>
      <c r="U6288" t="s">
        <v>54774</v>
      </c>
      <c r="W6288" t="s">
        <v>44952</v>
      </c>
      <c r="X6288" t="s">
        <v>47357</v>
      </c>
    </row>
    <row r="6289" spans="1:24">
      <c r="A6289">
        <f>HYPERLINK("https://www.philgeps.gov.ph/GEPSNONPILOT/Tender/SplashBidNoticeAbstractUI.aspx?menuIndex=3&amp;refID=7193761&amp;Result=3","7193761")</f>
        <v>0</v>
      </c>
      <c r="B6289" t="s">
        <v>2091</v>
      </c>
      <c r="C6289" t="s">
        <v>9761</v>
      </c>
      <c r="D6289" t="s">
        <v>19022</v>
      </c>
      <c r="E6289" t="s">
        <v>24581</v>
      </c>
      <c r="F6289" t="s">
        <v>32606</v>
      </c>
      <c r="G6289" t="s">
        <v>32614</v>
      </c>
      <c r="H6289" t="s">
        <v>14201</v>
      </c>
      <c r="I6289" t="s">
        <v>6298</v>
      </c>
      <c r="J6289" t="s">
        <v>36818</v>
      </c>
      <c r="K6289" t="s">
        <v>42624</v>
      </c>
      <c r="M6289" t="s">
        <v>45176</v>
      </c>
      <c r="N6289" t="s">
        <v>47304</v>
      </c>
      <c r="O6289" t="s">
        <v>47305</v>
      </c>
      <c r="P6289">
        <v>0</v>
      </c>
      <c r="Q6289">
        <v>0</v>
      </c>
      <c r="R6289" t="s">
        <v>47310</v>
      </c>
      <c r="S6289" t="s">
        <v>47435</v>
      </c>
      <c r="T6289" t="s">
        <v>49330</v>
      </c>
      <c r="U6289" t="s">
        <v>54775</v>
      </c>
      <c r="W6289" t="s">
        <v>45176</v>
      </c>
      <c r="X6289" t="s">
        <v>47311</v>
      </c>
    </row>
    <row r="6290" spans="1:24">
      <c r="A6290">
        <f>HYPERLINK("https://www.philgeps.gov.ph/GEPSNONPILOT/Tender/SplashBidNoticeAbstractUI.aspx?menuIndex=3&amp;refID=7142091&amp;Result=3","7142091")</f>
        <v>0</v>
      </c>
      <c r="B6290" t="s">
        <v>2092</v>
      </c>
      <c r="C6290" t="s">
        <v>9762</v>
      </c>
      <c r="D6290" t="s">
        <v>18989</v>
      </c>
      <c r="E6290" t="s">
        <v>24582</v>
      </c>
      <c r="F6290" t="s">
        <v>32606</v>
      </c>
      <c r="G6290" t="s">
        <v>32614</v>
      </c>
      <c r="H6290" t="s">
        <v>14201</v>
      </c>
      <c r="I6290" t="s">
        <v>6993</v>
      </c>
      <c r="J6290" t="s">
        <v>35370</v>
      </c>
      <c r="K6290" t="s">
        <v>42631</v>
      </c>
      <c r="M6290" t="s">
        <v>45177</v>
      </c>
      <c r="N6290" t="s">
        <v>47304</v>
      </c>
      <c r="O6290" t="s">
        <v>47305</v>
      </c>
      <c r="P6290">
        <v>0</v>
      </c>
      <c r="Q6290">
        <v>2</v>
      </c>
      <c r="R6290" t="s">
        <v>47311</v>
      </c>
      <c r="S6290" t="s">
        <v>47443</v>
      </c>
      <c r="T6290" t="s">
        <v>49330</v>
      </c>
      <c r="U6290" t="s">
        <v>54776</v>
      </c>
      <c r="W6290" t="s">
        <v>45177</v>
      </c>
      <c r="X6290" t="s">
        <v>47333</v>
      </c>
    </row>
    <row r="6291" spans="1:24">
      <c r="A6291">
        <f>HYPERLINK("https://www.philgeps.gov.ph/GEPSNONPILOT/Tender/SplashBidNoticeAbstractUI.aspx?menuIndex=3&amp;refID=7193754&amp;Result=3","7193754")</f>
        <v>0</v>
      </c>
      <c r="B6291" t="s">
        <v>56</v>
      </c>
      <c r="C6291" t="s">
        <v>9763</v>
      </c>
      <c r="D6291" t="s">
        <v>19009</v>
      </c>
      <c r="E6291" t="s">
        <v>24583</v>
      </c>
      <c r="F6291" t="s">
        <v>32606</v>
      </c>
      <c r="G6291" t="s">
        <v>32614</v>
      </c>
      <c r="H6291" t="s">
        <v>14201</v>
      </c>
      <c r="I6291" t="s">
        <v>32632</v>
      </c>
      <c r="J6291" t="s">
        <v>33317</v>
      </c>
      <c r="K6291" t="s">
        <v>42622</v>
      </c>
      <c r="M6291" t="s">
        <v>42953</v>
      </c>
      <c r="N6291" t="s">
        <v>47304</v>
      </c>
      <c r="O6291" t="s">
        <v>47305</v>
      </c>
      <c r="P6291">
        <v>0</v>
      </c>
      <c r="Q6291">
        <v>1</v>
      </c>
      <c r="R6291" t="s">
        <v>47310</v>
      </c>
      <c r="S6291" t="s">
        <v>47435</v>
      </c>
      <c r="T6291" t="s">
        <v>49268</v>
      </c>
      <c r="U6291" t="s">
        <v>54777</v>
      </c>
      <c r="W6291" t="s">
        <v>42953</v>
      </c>
      <c r="X6291" t="s">
        <v>47311</v>
      </c>
    </row>
    <row r="6292" spans="1:24">
      <c r="A6292">
        <f>HYPERLINK("https://www.philgeps.gov.ph/GEPSNONPILOT/Tender/SplashBidNoticeAbstractUI.aspx?menuIndex=3&amp;refID=7122844&amp;Result=3","7122844")</f>
        <v>0</v>
      </c>
      <c r="B6292" t="s">
        <v>2093</v>
      </c>
      <c r="C6292" t="s">
        <v>9764</v>
      </c>
      <c r="D6292" t="s">
        <v>19010</v>
      </c>
      <c r="E6292" t="s">
        <v>24584</v>
      </c>
      <c r="F6292" t="s">
        <v>32606</v>
      </c>
      <c r="G6292" t="s">
        <v>32619</v>
      </c>
      <c r="H6292" t="s">
        <v>14201</v>
      </c>
      <c r="I6292" t="s">
        <v>4120</v>
      </c>
      <c r="J6292" t="s">
        <v>36819</v>
      </c>
      <c r="K6292" t="s">
        <v>42624</v>
      </c>
      <c r="M6292" t="s">
        <v>45178</v>
      </c>
      <c r="N6292" t="s">
        <v>47304</v>
      </c>
      <c r="O6292" t="s">
        <v>47305</v>
      </c>
      <c r="P6292">
        <v>0</v>
      </c>
      <c r="Q6292">
        <v>4</v>
      </c>
      <c r="R6292" t="s">
        <v>47311</v>
      </c>
      <c r="S6292" t="s">
        <v>47443</v>
      </c>
      <c r="T6292" t="s">
        <v>49061</v>
      </c>
      <c r="U6292" t="s">
        <v>54778</v>
      </c>
      <c r="V6292" t="s">
        <v>63242</v>
      </c>
      <c r="W6292" t="s">
        <v>45178</v>
      </c>
      <c r="X6292" t="s">
        <v>47341</v>
      </c>
    </row>
    <row r="6293" spans="1:24">
      <c r="A6293">
        <f>HYPERLINK("https://www.philgeps.gov.ph/GEPSNONPILOT/Tender/SplashBidNoticeAbstractUI.aspx?menuIndex=3&amp;refID=7193659&amp;Result=3","7193659")</f>
        <v>0</v>
      </c>
      <c r="B6293" t="s">
        <v>2076</v>
      </c>
      <c r="C6293" t="s">
        <v>9765</v>
      </c>
      <c r="D6293" t="s">
        <v>18993</v>
      </c>
      <c r="E6293" t="s">
        <v>24543</v>
      </c>
      <c r="F6293" t="s">
        <v>32606</v>
      </c>
      <c r="G6293" t="s">
        <v>32613</v>
      </c>
      <c r="H6293" t="s">
        <v>14201</v>
      </c>
      <c r="I6293" t="s">
        <v>4369</v>
      </c>
      <c r="J6293" t="s">
        <v>32789</v>
      </c>
      <c r="K6293" t="s">
        <v>42622</v>
      </c>
      <c r="M6293" t="s">
        <v>45157</v>
      </c>
      <c r="N6293" t="s">
        <v>47304</v>
      </c>
      <c r="O6293" t="s">
        <v>47305</v>
      </c>
      <c r="P6293">
        <v>0</v>
      </c>
      <c r="Q6293">
        <v>4</v>
      </c>
      <c r="R6293" t="s">
        <v>47310</v>
      </c>
      <c r="S6293" t="s">
        <v>47435</v>
      </c>
      <c r="T6293" t="s">
        <v>49065</v>
      </c>
      <c r="U6293" t="s">
        <v>54732</v>
      </c>
      <c r="W6293" t="s">
        <v>45157</v>
      </c>
      <c r="X6293" t="s">
        <v>47311</v>
      </c>
    </row>
    <row r="6294" spans="1:24">
      <c r="A6294">
        <f>HYPERLINK("https://www.philgeps.gov.ph/GEPSNONPILOT/Tender/SplashBidNoticeAbstractUI.aspx?menuIndex=3&amp;refID=7157055&amp;Result=3","7157055")</f>
        <v>0</v>
      </c>
      <c r="B6294" t="s">
        <v>2094</v>
      </c>
      <c r="C6294" t="s">
        <v>9766</v>
      </c>
      <c r="D6294" t="s">
        <v>18988</v>
      </c>
      <c r="E6294" t="s">
        <v>24585</v>
      </c>
      <c r="F6294" t="s">
        <v>32606</v>
      </c>
      <c r="G6294" t="s">
        <v>32619</v>
      </c>
      <c r="H6294" t="s">
        <v>14201</v>
      </c>
      <c r="I6294" t="s">
        <v>32634</v>
      </c>
      <c r="J6294" t="s">
        <v>33246</v>
      </c>
      <c r="K6294" t="s">
        <v>42622</v>
      </c>
      <c r="M6294" t="s">
        <v>45179</v>
      </c>
      <c r="N6294" t="s">
        <v>47304</v>
      </c>
      <c r="O6294" t="s">
        <v>47305</v>
      </c>
      <c r="P6294">
        <v>0</v>
      </c>
      <c r="Q6294">
        <v>2</v>
      </c>
      <c r="R6294" t="s">
        <v>47311</v>
      </c>
      <c r="S6294" t="s">
        <v>47443</v>
      </c>
      <c r="T6294" t="s">
        <v>49072</v>
      </c>
      <c r="U6294" t="s">
        <v>54779</v>
      </c>
      <c r="V6294" t="s">
        <v>62803</v>
      </c>
      <c r="W6294" t="s">
        <v>45179</v>
      </c>
      <c r="X6294" t="s">
        <v>47327</v>
      </c>
    </row>
    <row r="6295" spans="1:24">
      <c r="A6295">
        <f>HYPERLINK("https://www.philgeps.gov.ph/GEPSNONPILOT/Tender/SplashBidNoticeAbstractUI.aspx?menuIndex=3&amp;refID=7193760&amp;Result=3","7193760")</f>
        <v>0</v>
      </c>
      <c r="B6295" t="s">
        <v>2091</v>
      </c>
      <c r="C6295" t="s">
        <v>9767</v>
      </c>
      <c r="D6295" t="s">
        <v>19022</v>
      </c>
      <c r="E6295" t="s">
        <v>24586</v>
      </c>
      <c r="F6295" t="s">
        <v>32606</v>
      </c>
      <c r="G6295" t="s">
        <v>32614</v>
      </c>
      <c r="H6295" t="s">
        <v>14201</v>
      </c>
      <c r="I6295" t="s">
        <v>6298</v>
      </c>
      <c r="J6295" t="s">
        <v>33113</v>
      </c>
      <c r="K6295" t="s">
        <v>42624</v>
      </c>
      <c r="M6295" t="s">
        <v>45176</v>
      </c>
      <c r="N6295" t="s">
        <v>47304</v>
      </c>
      <c r="O6295" t="s">
        <v>47305</v>
      </c>
      <c r="P6295">
        <v>0</v>
      </c>
      <c r="Q6295">
        <v>0</v>
      </c>
      <c r="R6295" t="s">
        <v>47310</v>
      </c>
      <c r="S6295" t="s">
        <v>47435</v>
      </c>
      <c r="T6295" t="s">
        <v>49330</v>
      </c>
      <c r="U6295" t="s">
        <v>54780</v>
      </c>
      <c r="W6295" t="s">
        <v>45176</v>
      </c>
      <c r="X6295" t="s">
        <v>47311</v>
      </c>
    </row>
    <row r="6296" spans="1:24">
      <c r="A6296">
        <f>HYPERLINK("https://www.philgeps.gov.ph/GEPSNONPILOT/Tender/SplashBidNoticeAbstractUI.aspx?menuIndex=3&amp;refID=7081639&amp;Result=3","7081639")</f>
        <v>0</v>
      </c>
      <c r="B6296" t="s">
        <v>1893</v>
      </c>
      <c r="C6296" t="s">
        <v>9768</v>
      </c>
      <c r="D6296" t="s">
        <v>18998</v>
      </c>
      <c r="E6296" t="s">
        <v>24587</v>
      </c>
      <c r="F6296" t="s">
        <v>32606</v>
      </c>
      <c r="G6296" t="s">
        <v>32614</v>
      </c>
      <c r="H6296" t="s">
        <v>14201</v>
      </c>
      <c r="I6296" t="s">
        <v>32669</v>
      </c>
      <c r="J6296" t="s">
        <v>32967</v>
      </c>
      <c r="K6296" t="s">
        <v>42624</v>
      </c>
      <c r="M6296" t="s">
        <v>44952</v>
      </c>
      <c r="N6296" t="s">
        <v>47304</v>
      </c>
      <c r="O6296" t="s">
        <v>47305</v>
      </c>
      <c r="P6296">
        <v>0</v>
      </c>
      <c r="Q6296">
        <v>0</v>
      </c>
      <c r="R6296" t="s">
        <v>47311</v>
      </c>
      <c r="S6296" t="s">
        <v>47443</v>
      </c>
      <c r="T6296" t="s">
        <v>49116</v>
      </c>
      <c r="U6296" t="s">
        <v>54781</v>
      </c>
      <c r="W6296" t="s">
        <v>44952</v>
      </c>
      <c r="X6296" t="s">
        <v>47357</v>
      </c>
    </row>
    <row r="6297" spans="1:24">
      <c r="A6297">
        <f>HYPERLINK("https://www.philgeps.gov.ph/GEPSNONPILOT/Tender/SplashBidNoticeAbstractUI.aspx?menuIndex=3&amp;refID=7193567&amp;Result=3","7193567")</f>
        <v>0</v>
      </c>
      <c r="B6297" t="s">
        <v>2095</v>
      </c>
      <c r="C6297" t="s">
        <v>9769</v>
      </c>
      <c r="D6297" t="s">
        <v>18987</v>
      </c>
      <c r="E6297" t="s">
        <v>23388</v>
      </c>
      <c r="F6297" t="s">
        <v>32606</v>
      </c>
      <c r="G6297" t="s">
        <v>32613</v>
      </c>
      <c r="H6297" t="s">
        <v>14201</v>
      </c>
      <c r="I6297" t="s">
        <v>6931</v>
      </c>
      <c r="J6297" t="s">
        <v>36820</v>
      </c>
      <c r="K6297" t="s">
        <v>42631</v>
      </c>
      <c r="M6297" t="s">
        <v>45180</v>
      </c>
      <c r="N6297" t="s">
        <v>47304</v>
      </c>
      <c r="O6297" t="s">
        <v>47305</v>
      </c>
      <c r="P6297">
        <v>0</v>
      </c>
      <c r="Q6297">
        <v>0</v>
      </c>
      <c r="R6297" t="s">
        <v>47310</v>
      </c>
      <c r="S6297" t="s">
        <v>47435</v>
      </c>
      <c r="T6297" t="s">
        <v>49237</v>
      </c>
      <c r="U6297" t="s">
        <v>54782</v>
      </c>
      <c r="W6297" t="s">
        <v>45180</v>
      </c>
      <c r="X6297" t="s">
        <v>47311</v>
      </c>
    </row>
    <row r="6298" spans="1:24">
      <c r="A6298">
        <f>HYPERLINK("https://www.philgeps.gov.ph/GEPSNONPILOT/Tender/SplashBidNoticeAbstractUI.aspx?menuIndex=3&amp;refID=7193661&amp;Result=3","7193661")</f>
        <v>0</v>
      </c>
      <c r="B6298" t="s">
        <v>2096</v>
      </c>
      <c r="C6298" t="s">
        <v>9770</v>
      </c>
      <c r="D6298" t="s">
        <v>19006</v>
      </c>
      <c r="E6298" t="s">
        <v>24588</v>
      </c>
      <c r="F6298" t="s">
        <v>32606</v>
      </c>
      <c r="G6298" t="s">
        <v>32621</v>
      </c>
      <c r="H6298" t="s">
        <v>32623</v>
      </c>
      <c r="I6298" t="s">
        <v>6931</v>
      </c>
      <c r="J6298" t="s">
        <v>32789</v>
      </c>
      <c r="K6298" t="s">
        <v>42631</v>
      </c>
      <c r="M6298" t="s">
        <v>45181</v>
      </c>
      <c r="N6298" t="s">
        <v>47304</v>
      </c>
      <c r="O6298" t="s">
        <v>47305</v>
      </c>
      <c r="P6298">
        <v>0</v>
      </c>
      <c r="Q6298">
        <v>0</v>
      </c>
      <c r="R6298" t="s">
        <v>47310</v>
      </c>
      <c r="S6298" t="s">
        <v>47435</v>
      </c>
      <c r="T6298" t="s">
        <v>48996</v>
      </c>
      <c r="U6298" t="s">
        <v>54783</v>
      </c>
      <c r="V6298" t="s">
        <v>63243</v>
      </c>
      <c r="W6298" t="s">
        <v>45181</v>
      </c>
      <c r="X6298" t="s">
        <v>47311</v>
      </c>
    </row>
    <row r="6299" spans="1:24">
      <c r="A6299">
        <f>HYPERLINK("https://www.philgeps.gov.ph/GEPSNONPILOT/Tender/SplashBidNoticeAbstractUI.aspx?menuIndex=3&amp;refID=7193759&amp;Result=3","7193759")</f>
        <v>0</v>
      </c>
      <c r="B6299" t="s">
        <v>2091</v>
      </c>
      <c r="C6299" t="s">
        <v>9771</v>
      </c>
      <c r="D6299" t="s">
        <v>19022</v>
      </c>
      <c r="E6299" t="s">
        <v>24589</v>
      </c>
      <c r="F6299" t="s">
        <v>32606</v>
      </c>
      <c r="G6299" t="s">
        <v>32614</v>
      </c>
      <c r="H6299" t="s">
        <v>14201</v>
      </c>
      <c r="I6299" t="s">
        <v>6298</v>
      </c>
      <c r="J6299" t="s">
        <v>36821</v>
      </c>
      <c r="K6299" t="s">
        <v>42624</v>
      </c>
      <c r="M6299" t="s">
        <v>45176</v>
      </c>
      <c r="N6299" t="s">
        <v>47304</v>
      </c>
      <c r="O6299" t="s">
        <v>47305</v>
      </c>
      <c r="P6299">
        <v>0</v>
      </c>
      <c r="Q6299">
        <v>0</v>
      </c>
      <c r="R6299" t="s">
        <v>47310</v>
      </c>
      <c r="S6299" t="s">
        <v>47435</v>
      </c>
      <c r="T6299" t="s">
        <v>49330</v>
      </c>
      <c r="U6299" t="s">
        <v>54784</v>
      </c>
      <c r="W6299" t="s">
        <v>45176</v>
      </c>
      <c r="X6299" t="s">
        <v>47311</v>
      </c>
    </row>
    <row r="6300" spans="1:24">
      <c r="A6300">
        <f>HYPERLINK("https://www.philgeps.gov.ph/GEPSNONPILOT/Tender/SplashBidNoticeAbstractUI.aspx?menuIndex=3&amp;refID=7183216&amp;Result=3","7183216")</f>
        <v>0</v>
      </c>
      <c r="B6300" t="s">
        <v>102</v>
      </c>
      <c r="C6300" t="s">
        <v>9772</v>
      </c>
      <c r="D6300" t="s">
        <v>19006</v>
      </c>
      <c r="E6300" t="s">
        <v>22162</v>
      </c>
      <c r="F6300" t="s">
        <v>32606</v>
      </c>
      <c r="G6300" t="s">
        <v>32613</v>
      </c>
      <c r="H6300" t="s">
        <v>14201</v>
      </c>
      <c r="I6300" t="s">
        <v>6931</v>
      </c>
      <c r="J6300" t="s">
        <v>36822</v>
      </c>
      <c r="K6300" t="s">
        <v>42623</v>
      </c>
      <c r="M6300" t="s">
        <v>43344</v>
      </c>
      <c r="N6300" t="s">
        <v>47304</v>
      </c>
      <c r="O6300" t="s">
        <v>47305</v>
      </c>
      <c r="P6300">
        <v>0</v>
      </c>
      <c r="Q6300">
        <v>1</v>
      </c>
      <c r="R6300" t="s">
        <v>47311</v>
      </c>
      <c r="S6300" t="s">
        <v>47443</v>
      </c>
      <c r="T6300" t="s">
        <v>49342</v>
      </c>
      <c r="U6300" t="s">
        <v>54785</v>
      </c>
      <c r="V6300" t="s">
        <v>63244</v>
      </c>
      <c r="W6300" t="s">
        <v>43344</v>
      </c>
      <c r="X6300" t="s">
        <v>47315</v>
      </c>
    </row>
    <row r="6301" spans="1:24">
      <c r="A6301">
        <f>HYPERLINK("https://www.philgeps.gov.ph/GEPSNONPILOT/Tender/SplashBidNoticeAbstractUI.aspx?menuIndex=3&amp;refID=7182399&amp;Result=3","7182399")</f>
        <v>0</v>
      </c>
      <c r="B6301" t="s">
        <v>1924</v>
      </c>
      <c r="C6301" t="s">
        <v>9773</v>
      </c>
      <c r="D6301" t="s">
        <v>19004</v>
      </c>
      <c r="E6301" t="s">
        <v>19279</v>
      </c>
      <c r="F6301" t="s">
        <v>32607</v>
      </c>
      <c r="G6301" t="s">
        <v>32613</v>
      </c>
      <c r="H6301" t="s">
        <v>32623</v>
      </c>
      <c r="I6301" t="s">
        <v>17648</v>
      </c>
      <c r="J6301" t="s">
        <v>36823</v>
      </c>
      <c r="K6301" t="s">
        <v>42664</v>
      </c>
      <c r="M6301" t="s">
        <v>44984</v>
      </c>
      <c r="N6301" t="s">
        <v>47304</v>
      </c>
      <c r="O6301" t="s">
        <v>47305</v>
      </c>
      <c r="P6301">
        <v>0</v>
      </c>
      <c r="Q6301">
        <v>0</v>
      </c>
      <c r="R6301" t="s">
        <v>47311</v>
      </c>
      <c r="S6301" t="s">
        <v>47443</v>
      </c>
      <c r="T6301" t="s">
        <v>48989</v>
      </c>
      <c r="U6301" t="s">
        <v>54786</v>
      </c>
      <c r="V6301" t="s">
        <v>63245</v>
      </c>
      <c r="W6301" t="s">
        <v>44984</v>
      </c>
      <c r="X6301" t="s">
        <v>47315</v>
      </c>
    </row>
    <row r="6302" spans="1:24">
      <c r="A6302">
        <f>HYPERLINK("https://www.philgeps.gov.ph/GEPSNONPILOT/Tender/SplashBidNoticeAbstractUI.aspx?menuIndex=3&amp;refID=7183866&amp;Result=3","7183866")</f>
        <v>0</v>
      </c>
      <c r="B6302" t="s">
        <v>1014</v>
      </c>
      <c r="C6302" t="s">
        <v>9774</v>
      </c>
      <c r="D6302" t="s">
        <v>19056</v>
      </c>
      <c r="E6302" t="s">
        <v>24590</v>
      </c>
      <c r="F6302" t="s">
        <v>32606</v>
      </c>
      <c r="G6302" t="s">
        <v>32613</v>
      </c>
      <c r="H6302" t="s">
        <v>14201</v>
      </c>
      <c r="I6302" t="s">
        <v>4112</v>
      </c>
      <c r="J6302" t="s">
        <v>36824</v>
      </c>
      <c r="K6302" t="s">
        <v>42663</v>
      </c>
      <c r="L6302" t="s">
        <v>1014</v>
      </c>
      <c r="M6302" t="s">
        <v>43962</v>
      </c>
      <c r="N6302" t="s">
        <v>47304</v>
      </c>
      <c r="O6302" t="s">
        <v>47305</v>
      </c>
      <c r="P6302">
        <v>0</v>
      </c>
      <c r="Q6302">
        <v>2</v>
      </c>
      <c r="R6302" t="s">
        <v>47311</v>
      </c>
      <c r="S6302" t="s">
        <v>47443</v>
      </c>
      <c r="T6302" t="s">
        <v>49024</v>
      </c>
      <c r="U6302" t="s">
        <v>54787</v>
      </c>
      <c r="W6302" t="s">
        <v>43962</v>
      </c>
      <c r="X6302" t="s">
        <v>47314</v>
      </c>
    </row>
    <row r="6303" spans="1:24">
      <c r="A6303">
        <f>HYPERLINK("https://www.philgeps.gov.ph/GEPSNONPILOT/Tender/SplashBidNoticeAbstractUI.aspx?menuIndex=3&amp;refID=7183234&amp;Result=3","7183234")</f>
        <v>0</v>
      </c>
      <c r="B6303" t="s">
        <v>102</v>
      </c>
      <c r="C6303" t="s">
        <v>9775</v>
      </c>
      <c r="D6303" t="s">
        <v>19006</v>
      </c>
      <c r="E6303" t="s">
        <v>24591</v>
      </c>
      <c r="F6303" t="s">
        <v>32606</v>
      </c>
      <c r="G6303" t="s">
        <v>32613</v>
      </c>
      <c r="H6303" t="s">
        <v>14201</v>
      </c>
      <c r="I6303" t="s">
        <v>32664</v>
      </c>
      <c r="J6303" t="s">
        <v>36825</v>
      </c>
      <c r="K6303" t="s">
        <v>42623</v>
      </c>
      <c r="M6303" t="s">
        <v>43344</v>
      </c>
      <c r="N6303" t="s">
        <v>47304</v>
      </c>
      <c r="O6303" t="s">
        <v>47305</v>
      </c>
      <c r="P6303">
        <v>0</v>
      </c>
      <c r="Q6303">
        <v>1</v>
      </c>
      <c r="R6303" t="s">
        <v>47311</v>
      </c>
      <c r="S6303" t="s">
        <v>47443</v>
      </c>
      <c r="T6303" t="s">
        <v>49342</v>
      </c>
      <c r="U6303" t="s">
        <v>54785</v>
      </c>
      <c r="V6303" t="s">
        <v>63244</v>
      </c>
      <c r="W6303" t="s">
        <v>43344</v>
      </c>
      <c r="X6303" t="s">
        <v>47315</v>
      </c>
    </row>
    <row r="6304" spans="1:24">
      <c r="A6304">
        <f>HYPERLINK("https://www.philgeps.gov.ph/GEPSNONPILOT/Tender/SplashBidNoticeAbstractUI.aspx?menuIndex=3&amp;refID=7182444&amp;Result=3","7182444")</f>
        <v>0</v>
      </c>
      <c r="B6304" t="s">
        <v>2097</v>
      </c>
      <c r="C6304" t="s">
        <v>9776</v>
      </c>
      <c r="D6304" t="s">
        <v>19047</v>
      </c>
      <c r="E6304" t="s">
        <v>24592</v>
      </c>
      <c r="F6304" t="s">
        <v>32606</v>
      </c>
      <c r="G6304" t="s">
        <v>32613</v>
      </c>
      <c r="H6304" t="s">
        <v>32623</v>
      </c>
      <c r="I6304" t="s">
        <v>17648</v>
      </c>
      <c r="J6304" t="s">
        <v>36826</v>
      </c>
      <c r="K6304" t="s">
        <v>42627</v>
      </c>
      <c r="M6304" t="s">
        <v>45182</v>
      </c>
      <c r="N6304" t="s">
        <v>47304</v>
      </c>
      <c r="O6304" t="s">
        <v>47305</v>
      </c>
      <c r="P6304">
        <v>0</v>
      </c>
      <c r="Q6304">
        <v>0</v>
      </c>
      <c r="R6304" t="s">
        <v>47311</v>
      </c>
      <c r="S6304" t="s">
        <v>47443</v>
      </c>
      <c r="T6304" t="s">
        <v>49080</v>
      </c>
      <c r="U6304" t="s">
        <v>54788</v>
      </c>
      <c r="W6304" t="s">
        <v>45182</v>
      </c>
      <c r="X6304" t="s">
        <v>47315</v>
      </c>
    </row>
    <row r="6305" spans="1:24">
      <c r="A6305">
        <f>HYPERLINK("https://www.philgeps.gov.ph/GEPSNONPILOT/Tender/SplashBidNoticeAbstractUI.aspx?menuIndex=3&amp;refID=7179717&amp;Result=3","7179717")</f>
        <v>0</v>
      </c>
      <c r="B6305" t="s">
        <v>496</v>
      </c>
      <c r="C6305" t="s">
        <v>9777</v>
      </c>
      <c r="D6305" t="s">
        <v>19011</v>
      </c>
      <c r="E6305" t="s">
        <v>24593</v>
      </c>
      <c r="F6305" t="s">
        <v>32606</v>
      </c>
      <c r="G6305" t="s">
        <v>32613</v>
      </c>
      <c r="H6305" t="s">
        <v>14201</v>
      </c>
      <c r="I6305" t="s">
        <v>32691</v>
      </c>
      <c r="J6305" t="s">
        <v>36827</v>
      </c>
      <c r="K6305" t="s">
        <v>42631</v>
      </c>
      <c r="M6305" t="s">
        <v>43409</v>
      </c>
      <c r="N6305" t="s">
        <v>47304</v>
      </c>
      <c r="O6305" t="s">
        <v>47305</v>
      </c>
      <c r="P6305">
        <v>0</v>
      </c>
      <c r="Q6305">
        <v>1</v>
      </c>
      <c r="R6305" t="s">
        <v>47311</v>
      </c>
      <c r="S6305" t="s">
        <v>47443</v>
      </c>
      <c r="T6305" t="s">
        <v>48973</v>
      </c>
      <c r="U6305" t="s">
        <v>54789</v>
      </c>
      <c r="W6305" t="s">
        <v>64438</v>
      </c>
      <c r="X6305" t="s">
        <v>47318</v>
      </c>
    </row>
    <row r="6306" spans="1:24">
      <c r="A6306">
        <f>HYPERLINK("https://www.philgeps.gov.ph/GEPSNONPILOT/Tender/SplashBidNoticeAbstractUI.aspx?menuIndex=3&amp;refID=7184269&amp;Result=3","7184269")</f>
        <v>0</v>
      </c>
      <c r="B6306" t="s">
        <v>2098</v>
      </c>
      <c r="C6306" t="s">
        <v>9778</v>
      </c>
      <c r="D6306" t="s">
        <v>19043</v>
      </c>
      <c r="E6306" t="s">
        <v>19918</v>
      </c>
      <c r="F6306" t="s">
        <v>32606</v>
      </c>
      <c r="G6306" t="s">
        <v>32613</v>
      </c>
      <c r="H6306" t="s">
        <v>14201</v>
      </c>
      <c r="I6306" t="s">
        <v>32629</v>
      </c>
      <c r="J6306" t="s">
        <v>33363</v>
      </c>
      <c r="K6306" t="s">
        <v>42631</v>
      </c>
      <c r="M6306" t="s">
        <v>45183</v>
      </c>
      <c r="N6306" t="s">
        <v>47304</v>
      </c>
      <c r="O6306" t="s">
        <v>47305</v>
      </c>
      <c r="P6306">
        <v>0</v>
      </c>
      <c r="Q6306">
        <v>0</v>
      </c>
      <c r="R6306" t="s">
        <v>47311</v>
      </c>
      <c r="S6306" t="s">
        <v>47443</v>
      </c>
      <c r="T6306" t="s">
        <v>49343</v>
      </c>
      <c r="U6306" t="s">
        <v>54790</v>
      </c>
      <c r="W6306" t="s">
        <v>45183</v>
      </c>
      <c r="X6306" t="s">
        <v>47314</v>
      </c>
    </row>
    <row r="6307" spans="1:24">
      <c r="A6307">
        <f>HYPERLINK("https://www.philgeps.gov.ph/GEPSNONPILOT/Tender/SplashBidNoticeAbstractUI.aspx?menuIndex=3&amp;refID=7182364&amp;Result=3","7182364")</f>
        <v>0</v>
      </c>
      <c r="B6307" t="s">
        <v>2097</v>
      </c>
      <c r="C6307" t="s">
        <v>9779</v>
      </c>
      <c r="D6307" t="s">
        <v>19047</v>
      </c>
      <c r="E6307" t="s">
        <v>24594</v>
      </c>
      <c r="F6307" t="s">
        <v>32606</v>
      </c>
      <c r="G6307" t="s">
        <v>32613</v>
      </c>
      <c r="H6307" t="s">
        <v>32623</v>
      </c>
      <c r="I6307" t="s">
        <v>32661</v>
      </c>
      <c r="J6307" t="s">
        <v>36828</v>
      </c>
      <c r="K6307" t="s">
        <v>42627</v>
      </c>
      <c r="M6307" t="s">
        <v>45182</v>
      </c>
      <c r="N6307" t="s">
        <v>47304</v>
      </c>
      <c r="O6307" t="s">
        <v>47305</v>
      </c>
      <c r="P6307">
        <v>0</v>
      </c>
      <c r="Q6307">
        <v>0</v>
      </c>
      <c r="R6307" t="s">
        <v>47311</v>
      </c>
      <c r="S6307" t="s">
        <v>47443</v>
      </c>
      <c r="T6307" t="s">
        <v>49080</v>
      </c>
      <c r="U6307" t="s">
        <v>54788</v>
      </c>
      <c r="W6307" t="s">
        <v>45182</v>
      </c>
      <c r="X6307" t="s">
        <v>47315</v>
      </c>
    </row>
    <row r="6308" spans="1:24">
      <c r="A6308">
        <f>HYPERLINK("https://www.philgeps.gov.ph/GEPSNONPILOT/Tender/SplashBidNoticeAbstractUI.aspx?menuIndex=3&amp;refID=7177231&amp;Result=3","7177231")</f>
        <v>0</v>
      </c>
      <c r="B6308" t="s">
        <v>280</v>
      </c>
      <c r="C6308" t="s">
        <v>9780</v>
      </c>
      <c r="D6308" t="s">
        <v>19028</v>
      </c>
      <c r="E6308" t="s">
        <v>9780</v>
      </c>
      <c r="F6308" t="s">
        <v>32606</v>
      </c>
      <c r="G6308" t="s">
        <v>32614</v>
      </c>
      <c r="H6308" t="s">
        <v>14201</v>
      </c>
      <c r="I6308" t="s">
        <v>6298</v>
      </c>
      <c r="J6308" t="s">
        <v>33578</v>
      </c>
      <c r="K6308" t="s">
        <v>42631</v>
      </c>
      <c r="M6308" t="s">
        <v>43712</v>
      </c>
      <c r="N6308" t="s">
        <v>47304</v>
      </c>
      <c r="O6308" t="s">
        <v>47305</v>
      </c>
      <c r="P6308">
        <v>0</v>
      </c>
      <c r="Q6308">
        <v>0</v>
      </c>
      <c r="R6308" t="s">
        <v>47311</v>
      </c>
      <c r="S6308" t="s">
        <v>47443</v>
      </c>
      <c r="T6308" t="s">
        <v>49311</v>
      </c>
      <c r="U6308" t="s">
        <v>54791</v>
      </c>
      <c r="W6308" t="s">
        <v>43712</v>
      </c>
      <c r="X6308" t="s">
        <v>47319</v>
      </c>
    </row>
    <row r="6309" spans="1:24">
      <c r="A6309">
        <f>HYPERLINK("https://www.philgeps.gov.ph/GEPSNONPILOT/Tender/SplashBidNoticeAbstractUI.aspx?menuIndex=3&amp;refID=7171254&amp;Result=3","7171254")</f>
        <v>0</v>
      </c>
      <c r="B6309" t="s">
        <v>2099</v>
      </c>
      <c r="C6309" t="s">
        <v>9781</v>
      </c>
      <c r="D6309" t="s">
        <v>18993</v>
      </c>
      <c r="E6309" t="s">
        <v>24595</v>
      </c>
      <c r="F6309" t="s">
        <v>32606</v>
      </c>
      <c r="G6309" t="s">
        <v>32613</v>
      </c>
      <c r="H6309" t="s">
        <v>14201</v>
      </c>
      <c r="I6309" t="s">
        <v>6298</v>
      </c>
      <c r="J6309" t="s">
        <v>36829</v>
      </c>
      <c r="K6309" t="s">
        <v>42648</v>
      </c>
      <c r="M6309" t="s">
        <v>45184</v>
      </c>
      <c r="N6309" t="s">
        <v>47304</v>
      </c>
      <c r="O6309" t="s">
        <v>47305</v>
      </c>
      <c r="P6309">
        <v>0</v>
      </c>
      <c r="Q6309">
        <v>2</v>
      </c>
      <c r="R6309" t="s">
        <v>47311</v>
      </c>
      <c r="S6309" t="s">
        <v>47443</v>
      </c>
      <c r="T6309" t="s">
        <v>48971</v>
      </c>
      <c r="U6309" t="s">
        <v>54792</v>
      </c>
      <c r="V6309" t="s">
        <v>63246</v>
      </c>
      <c r="W6309" t="s">
        <v>45184</v>
      </c>
      <c r="X6309" t="s">
        <v>47320</v>
      </c>
    </row>
    <row r="6310" spans="1:24">
      <c r="A6310">
        <f>HYPERLINK("https://www.philgeps.gov.ph/GEPSNONPILOT/Tender/SplashBidNoticeAbstractUI.aspx?menuIndex=3&amp;refID=7165737&amp;Result=3","7165737")</f>
        <v>0</v>
      </c>
      <c r="B6310" t="s">
        <v>2100</v>
      </c>
      <c r="C6310" t="s">
        <v>5906</v>
      </c>
      <c r="E6310" t="s">
        <v>24596</v>
      </c>
      <c r="F6310" t="s">
        <v>32606</v>
      </c>
      <c r="G6310" t="s">
        <v>32613</v>
      </c>
      <c r="H6310" t="s">
        <v>32623</v>
      </c>
      <c r="I6310" t="s">
        <v>17648</v>
      </c>
      <c r="J6310" t="s">
        <v>36830</v>
      </c>
      <c r="K6310" t="s">
        <v>42624</v>
      </c>
      <c r="M6310" t="s">
        <v>45185</v>
      </c>
      <c r="N6310" t="s">
        <v>47304</v>
      </c>
      <c r="O6310" t="s">
        <v>47305</v>
      </c>
      <c r="P6310">
        <v>0</v>
      </c>
      <c r="Q6310">
        <v>0</v>
      </c>
      <c r="R6310" t="s">
        <v>47311</v>
      </c>
      <c r="S6310" t="s">
        <v>47443</v>
      </c>
      <c r="T6310" t="s">
        <v>49114</v>
      </c>
      <c r="U6310" t="s">
        <v>54793</v>
      </c>
      <c r="W6310" t="s">
        <v>45185</v>
      </c>
      <c r="X6310" t="s">
        <v>47322</v>
      </c>
    </row>
    <row r="6311" spans="1:24">
      <c r="A6311">
        <f>HYPERLINK("https://www.philgeps.gov.ph/GEPSNONPILOT/Tender/SplashBidNoticeAbstractUI.aspx?menuIndex=3&amp;refID=7156886&amp;Result=3","7156886")</f>
        <v>0</v>
      </c>
      <c r="B6311" t="s">
        <v>2093</v>
      </c>
      <c r="C6311" t="s">
        <v>9782</v>
      </c>
      <c r="D6311" t="s">
        <v>19010</v>
      </c>
      <c r="E6311" t="s">
        <v>24597</v>
      </c>
      <c r="F6311" t="s">
        <v>32606</v>
      </c>
      <c r="G6311" t="s">
        <v>32619</v>
      </c>
      <c r="H6311" t="s">
        <v>14201</v>
      </c>
      <c r="I6311" t="s">
        <v>32633</v>
      </c>
      <c r="J6311" t="s">
        <v>36831</v>
      </c>
      <c r="K6311" t="s">
        <v>42624</v>
      </c>
      <c r="M6311" t="s">
        <v>45178</v>
      </c>
      <c r="N6311" t="s">
        <v>47304</v>
      </c>
      <c r="O6311" t="s">
        <v>47305</v>
      </c>
      <c r="P6311">
        <v>0</v>
      </c>
      <c r="Q6311">
        <v>5</v>
      </c>
      <c r="R6311" t="s">
        <v>47311</v>
      </c>
      <c r="S6311" t="s">
        <v>47443</v>
      </c>
      <c r="T6311" t="s">
        <v>49061</v>
      </c>
      <c r="U6311" t="s">
        <v>54794</v>
      </c>
      <c r="V6311" t="s">
        <v>63247</v>
      </c>
      <c r="W6311" t="s">
        <v>45178</v>
      </c>
      <c r="X6311" t="s">
        <v>47327</v>
      </c>
    </row>
    <row r="6312" spans="1:24">
      <c r="A6312">
        <f>HYPERLINK("https://www.philgeps.gov.ph/GEPSNONPILOT/Tender/SplashBidNoticeAbstractUI.aspx?menuIndex=3&amp;refID=7178564&amp;Result=3","7178564")</f>
        <v>0</v>
      </c>
      <c r="B6312" t="s">
        <v>2101</v>
      </c>
      <c r="C6312" t="s">
        <v>9783</v>
      </c>
      <c r="D6312" t="s">
        <v>19016</v>
      </c>
      <c r="E6312" t="s">
        <v>24598</v>
      </c>
      <c r="F6312" t="s">
        <v>32606</v>
      </c>
      <c r="G6312" t="s">
        <v>32614</v>
      </c>
      <c r="H6312" t="s">
        <v>32623</v>
      </c>
      <c r="I6312" t="s">
        <v>17648</v>
      </c>
      <c r="J6312" t="s">
        <v>32981</v>
      </c>
      <c r="K6312" t="s">
        <v>42631</v>
      </c>
      <c r="M6312" t="s">
        <v>45186</v>
      </c>
      <c r="N6312" t="s">
        <v>47304</v>
      </c>
      <c r="O6312" t="s">
        <v>47305</v>
      </c>
      <c r="P6312">
        <v>0</v>
      </c>
      <c r="Q6312">
        <v>1</v>
      </c>
      <c r="R6312" t="s">
        <v>47311</v>
      </c>
      <c r="S6312" t="s">
        <v>47443</v>
      </c>
      <c r="T6312" t="s">
        <v>48975</v>
      </c>
      <c r="U6312" t="s">
        <v>54795</v>
      </c>
      <c r="W6312" t="s">
        <v>45186</v>
      </c>
      <c r="X6312" t="s">
        <v>47318</v>
      </c>
    </row>
    <row r="6313" spans="1:24">
      <c r="A6313">
        <f>HYPERLINK("https://www.philgeps.gov.ph/GEPSNONPILOT/Tender/SplashBidNoticeAbstractUI.aspx?menuIndex=3&amp;refID=7184021&amp;Result=3","7184021")</f>
        <v>0</v>
      </c>
      <c r="B6313" t="s">
        <v>1665</v>
      </c>
      <c r="C6313" t="s">
        <v>9784</v>
      </c>
      <c r="D6313" t="s">
        <v>19049</v>
      </c>
      <c r="E6313" t="s">
        <v>24599</v>
      </c>
      <c r="F6313" t="s">
        <v>32606</v>
      </c>
      <c r="G6313" t="s">
        <v>32613</v>
      </c>
      <c r="H6313" t="s">
        <v>14201</v>
      </c>
      <c r="I6313" t="s">
        <v>32631</v>
      </c>
      <c r="J6313" t="s">
        <v>33274</v>
      </c>
      <c r="K6313" t="s">
        <v>42630</v>
      </c>
      <c r="M6313" t="s">
        <v>44691</v>
      </c>
      <c r="N6313" t="s">
        <v>47304</v>
      </c>
      <c r="O6313" t="s">
        <v>47305</v>
      </c>
      <c r="P6313">
        <v>0</v>
      </c>
      <c r="Q6313">
        <v>1</v>
      </c>
      <c r="R6313" t="s">
        <v>47311</v>
      </c>
      <c r="S6313" t="s">
        <v>47443</v>
      </c>
      <c r="T6313" t="s">
        <v>49076</v>
      </c>
      <c r="U6313" t="s">
        <v>54796</v>
      </c>
      <c r="W6313" t="s">
        <v>44691</v>
      </c>
      <c r="X6313" t="s">
        <v>47314</v>
      </c>
    </row>
    <row r="6314" spans="1:24">
      <c r="A6314">
        <f>HYPERLINK("https://www.philgeps.gov.ph/GEPSNONPILOT/Tender/SplashBidNoticeAbstractUI.aspx?menuIndex=3&amp;refID=7193753&amp;Result=3","7193753")</f>
        <v>0</v>
      </c>
      <c r="B6314" t="s">
        <v>2102</v>
      </c>
      <c r="C6314" t="s">
        <v>9785</v>
      </c>
      <c r="D6314" t="s">
        <v>19050</v>
      </c>
      <c r="E6314" t="s">
        <v>24600</v>
      </c>
      <c r="F6314" t="s">
        <v>32606</v>
      </c>
      <c r="G6314" t="s">
        <v>32613</v>
      </c>
      <c r="H6314" t="s">
        <v>14201</v>
      </c>
      <c r="I6314" t="s">
        <v>4114</v>
      </c>
      <c r="J6314" t="s">
        <v>36832</v>
      </c>
      <c r="K6314" t="s">
        <v>42631</v>
      </c>
      <c r="M6314" t="s">
        <v>45187</v>
      </c>
      <c r="N6314" t="s">
        <v>47304</v>
      </c>
      <c r="O6314" t="s">
        <v>47305</v>
      </c>
      <c r="P6314">
        <v>0</v>
      </c>
      <c r="Q6314">
        <v>2</v>
      </c>
      <c r="R6314" t="s">
        <v>47310</v>
      </c>
      <c r="S6314" t="s">
        <v>47435</v>
      </c>
      <c r="T6314" t="s">
        <v>49018</v>
      </c>
      <c r="U6314" t="s">
        <v>54797</v>
      </c>
      <c r="W6314" t="s">
        <v>45187</v>
      </c>
      <c r="X6314" t="s">
        <v>47311</v>
      </c>
    </row>
    <row r="6315" spans="1:24">
      <c r="A6315">
        <f>HYPERLINK("https://www.philgeps.gov.ph/GEPSNONPILOT/Tender/SplashBidNoticeAbstractUI.aspx?menuIndex=3&amp;refID=7187479&amp;Result=3","7187479")</f>
        <v>0</v>
      </c>
      <c r="B6315" t="s">
        <v>1893</v>
      </c>
      <c r="C6315" t="s">
        <v>9786</v>
      </c>
      <c r="D6315" t="s">
        <v>19039</v>
      </c>
      <c r="E6315" t="s">
        <v>24601</v>
      </c>
      <c r="F6315" t="s">
        <v>32606</v>
      </c>
      <c r="G6315" t="s">
        <v>32619</v>
      </c>
      <c r="H6315" t="s">
        <v>14201</v>
      </c>
      <c r="I6315" t="s">
        <v>32739</v>
      </c>
      <c r="J6315" t="s">
        <v>33051</v>
      </c>
      <c r="K6315" t="s">
        <v>42624</v>
      </c>
      <c r="M6315" t="s">
        <v>44952</v>
      </c>
      <c r="N6315" t="s">
        <v>47304</v>
      </c>
      <c r="O6315" t="s">
        <v>47305</v>
      </c>
      <c r="Q6315">
        <v>5</v>
      </c>
      <c r="R6315" t="s">
        <v>47311</v>
      </c>
      <c r="S6315" t="s">
        <v>47444</v>
      </c>
      <c r="T6315" t="s">
        <v>49002</v>
      </c>
      <c r="U6315" t="s">
        <v>54798</v>
      </c>
      <c r="W6315" t="s">
        <v>44952</v>
      </c>
      <c r="X6315" t="s">
        <v>47313</v>
      </c>
    </row>
    <row r="6316" spans="1:24">
      <c r="A6316">
        <f>HYPERLINK("https://www.philgeps.gov.ph/GEPSNONPILOT/Tender/SplashBidNoticeAbstractUI.aspx?menuIndex=3&amp;refID=7182363&amp;Result=3","7182363")</f>
        <v>0</v>
      </c>
      <c r="B6316" t="s">
        <v>2103</v>
      </c>
      <c r="C6316" t="s">
        <v>9787</v>
      </c>
      <c r="D6316" t="s">
        <v>19016</v>
      </c>
      <c r="E6316" t="s">
        <v>24602</v>
      </c>
      <c r="F6316" t="s">
        <v>32607</v>
      </c>
      <c r="G6316" t="s">
        <v>32613</v>
      </c>
      <c r="H6316" t="s">
        <v>14201</v>
      </c>
      <c r="I6316" t="s">
        <v>32656</v>
      </c>
      <c r="J6316" t="s">
        <v>32765</v>
      </c>
      <c r="K6316" t="s">
        <v>42623</v>
      </c>
      <c r="M6316" t="s">
        <v>45188</v>
      </c>
      <c r="N6316" t="s">
        <v>47304</v>
      </c>
      <c r="O6316" t="s">
        <v>47305</v>
      </c>
      <c r="P6316">
        <v>0</v>
      </c>
      <c r="Q6316">
        <v>2</v>
      </c>
      <c r="R6316" t="s">
        <v>47311</v>
      </c>
      <c r="S6316" t="s">
        <v>47443</v>
      </c>
      <c r="T6316" t="s">
        <v>49279</v>
      </c>
      <c r="U6316" t="s">
        <v>54799</v>
      </c>
      <c r="W6316" t="s">
        <v>45188</v>
      </c>
      <c r="X6316" t="s">
        <v>47315</v>
      </c>
    </row>
    <row r="6317" spans="1:24">
      <c r="A6317">
        <f>HYPERLINK("https://www.philgeps.gov.ph/GEPSNONPILOT/Tender/SplashBidNoticeAbstractUI.aspx?menuIndex=3&amp;refID=7187435&amp;Result=3","7187435")</f>
        <v>0</v>
      </c>
      <c r="B6317" t="s">
        <v>2104</v>
      </c>
      <c r="C6317" t="s">
        <v>9788</v>
      </c>
      <c r="D6317" t="s">
        <v>18990</v>
      </c>
      <c r="E6317" t="s">
        <v>21941</v>
      </c>
      <c r="F6317" t="s">
        <v>32606</v>
      </c>
      <c r="G6317" t="s">
        <v>32613</v>
      </c>
      <c r="H6317" t="s">
        <v>32623</v>
      </c>
      <c r="I6317" t="s">
        <v>17648</v>
      </c>
      <c r="J6317" t="s">
        <v>36833</v>
      </c>
      <c r="K6317" t="s">
        <v>42777</v>
      </c>
      <c r="M6317" t="s">
        <v>45189</v>
      </c>
      <c r="N6317" t="s">
        <v>47304</v>
      </c>
      <c r="O6317" t="s">
        <v>47305</v>
      </c>
      <c r="P6317">
        <v>0</v>
      </c>
      <c r="Q6317">
        <v>0</v>
      </c>
      <c r="R6317" t="s">
        <v>47311</v>
      </c>
      <c r="S6317" t="s">
        <v>47443</v>
      </c>
      <c r="T6317" t="s">
        <v>49146</v>
      </c>
      <c r="U6317" t="s">
        <v>54800</v>
      </c>
      <c r="W6317" t="s">
        <v>45189</v>
      </c>
      <c r="X6317" t="s">
        <v>47313</v>
      </c>
    </row>
    <row r="6318" spans="1:24">
      <c r="A6318">
        <f>HYPERLINK("https://www.philgeps.gov.ph/GEPSNONPILOT/Tender/SplashBidNoticeAbstractUI.aspx?menuIndex=3&amp;refID=7187245&amp;Result=3","7187245")</f>
        <v>0</v>
      </c>
      <c r="B6318" t="s">
        <v>2104</v>
      </c>
      <c r="C6318" t="s">
        <v>9789</v>
      </c>
      <c r="D6318" t="s">
        <v>18990</v>
      </c>
      <c r="E6318" t="s">
        <v>20284</v>
      </c>
      <c r="F6318" t="s">
        <v>32606</v>
      </c>
      <c r="G6318" t="s">
        <v>32613</v>
      </c>
      <c r="H6318" t="s">
        <v>32623</v>
      </c>
      <c r="I6318" t="s">
        <v>17648</v>
      </c>
      <c r="J6318" t="s">
        <v>36834</v>
      </c>
      <c r="K6318" t="s">
        <v>42777</v>
      </c>
      <c r="M6318" t="s">
        <v>45189</v>
      </c>
      <c r="N6318" t="s">
        <v>47304</v>
      </c>
      <c r="O6318" t="s">
        <v>47305</v>
      </c>
      <c r="P6318">
        <v>0</v>
      </c>
      <c r="Q6318">
        <v>0</v>
      </c>
      <c r="R6318" t="s">
        <v>47311</v>
      </c>
      <c r="S6318" t="s">
        <v>47443</v>
      </c>
      <c r="T6318" t="s">
        <v>49146</v>
      </c>
      <c r="U6318" t="s">
        <v>54801</v>
      </c>
      <c r="W6318" t="s">
        <v>45189</v>
      </c>
      <c r="X6318" t="s">
        <v>47313</v>
      </c>
    </row>
    <row r="6319" spans="1:24">
      <c r="A6319">
        <f>HYPERLINK("https://www.philgeps.gov.ph/GEPSNONPILOT/Tender/SplashBidNoticeAbstractUI.aspx?menuIndex=3&amp;refID=7186449&amp;Result=3","7186449")</f>
        <v>0</v>
      </c>
      <c r="B6319" t="s">
        <v>2105</v>
      </c>
      <c r="C6319" t="s">
        <v>9790</v>
      </c>
      <c r="D6319" t="s">
        <v>18993</v>
      </c>
      <c r="E6319" t="s">
        <v>24603</v>
      </c>
      <c r="F6319" t="s">
        <v>32606</v>
      </c>
      <c r="G6319" t="s">
        <v>32622</v>
      </c>
      <c r="H6319" t="s">
        <v>14201</v>
      </c>
      <c r="I6319" t="s">
        <v>4114</v>
      </c>
      <c r="J6319" t="s">
        <v>36835</v>
      </c>
      <c r="K6319" t="s">
        <v>42624</v>
      </c>
      <c r="M6319" t="s">
        <v>45190</v>
      </c>
      <c r="N6319" t="s">
        <v>47304</v>
      </c>
      <c r="O6319" t="s">
        <v>47305</v>
      </c>
      <c r="P6319">
        <v>0</v>
      </c>
      <c r="Q6319">
        <v>0</v>
      </c>
      <c r="R6319" t="s">
        <v>47311</v>
      </c>
      <c r="S6319" t="s">
        <v>47443</v>
      </c>
      <c r="T6319" t="s">
        <v>49330</v>
      </c>
      <c r="U6319" t="s">
        <v>54802</v>
      </c>
      <c r="W6319" t="s">
        <v>45190</v>
      </c>
      <c r="X6319" t="s">
        <v>47314</v>
      </c>
    </row>
    <row r="6320" spans="1:24">
      <c r="A6320">
        <f>HYPERLINK("https://www.philgeps.gov.ph/GEPSNONPILOT/Tender/SplashBidNoticeAbstractUI.aspx?menuIndex=3&amp;refID=7173478&amp;Result=3","7173478")</f>
        <v>0</v>
      </c>
      <c r="B6320" t="s">
        <v>2106</v>
      </c>
      <c r="C6320" t="s">
        <v>9791</v>
      </c>
      <c r="D6320" t="s">
        <v>19013</v>
      </c>
      <c r="E6320" t="s">
        <v>24604</v>
      </c>
      <c r="F6320" t="s">
        <v>32606</v>
      </c>
      <c r="G6320" t="s">
        <v>32613</v>
      </c>
      <c r="H6320" t="s">
        <v>14201</v>
      </c>
      <c r="I6320" t="s">
        <v>6931</v>
      </c>
      <c r="J6320" t="s">
        <v>36836</v>
      </c>
      <c r="K6320" t="s">
        <v>42623</v>
      </c>
      <c r="M6320" t="s">
        <v>45191</v>
      </c>
      <c r="N6320" t="s">
        <v>47304</v>
      </c>
      <c r="O6320" t="s">
        <v>47305</v>
      </c>
      <c r="P6320">
        <v>0</v>
      </c>
      <c r="Q6320">
        <v>1</v>
      </c>
      <c r="R6320" t="s">
        <v>47311</v>
      </c>
      <c r="S6320" t="s">
        <v>47443</v>
      </c>
      <c r="T6320" t="s">
        <v>49107</v>
      </c>
      <c r="U6320" t="s">
        <v>54803</v>
      </c>
      <c r="W6320" t="s">
        <v>45191</v>
      </c>
      <c r="X6320" t="s">
        <v>47320</v>
      </c>
    </row>
    <row r="6321" spans="1:24">
      <c r="A6321">
        <f>HYPERLINK("https://www.philgeps.gov.ph/GEPSNONPILOT/Tender/SplashBidNoticeAbstractUI.aspx?menuIndex=3&amp;refID=7185391&amp;Result=3","7185391")</f>
        <v>0</v>
      </c>
      <c r="B6321" t="s">
        <v>2107</v>
      </c>
      <c r="C6321" t="s">
        <v>9792</v>
      </c>
      <c r="D6321" t="s">
        <v>19023</v>
      </c>
      <c r="E6321" t="s">
        <v>24605</v>
      </c>
      <c r="F6321" t="s">
        <v>32606</v>
      </c>
      <c r="G6321" t="s">
        <v>32613</v>
      </c>
      <c r="H6321" t="s">
        <v>32623</v>
      </c>
      <c r="I6321" t="s">
        <v>17648</v>
      </c>
      <c r="J6321" t="s">
        <v>32759</v>
      </c>
      <c r="K6321" t="s">
        <v>42648</v>
      </c>
      <c r="M6321" t="s">
        <v>45192</v>
      </c>
      <c r="N6321" t="s">
        <v>47304</v>
      </c>
      <c r="O6321" t="s">
        <v>47305</v>
      </c>
      <c r="P6321">
        <v>0</v>
      </c>
      <c r="Q6321">
        <v>3</v>
      </c>
      <c r="R6321" t="s">
        <v>47311</v>
      </c>
      <c r="S6321" t="s">
        <v>47443</v>
      </c>
      <c r="T6321" t="s">
        <v>49163</v>
      </c>
      <c r="U6321" t="s">
        <v>54804</v>
      </c>
      <c r="V6321" t="s">
        <v>63248</v>
      </c>
      <c r="W6321" t="s">
        <v>45192</v>
      </c>
      <c r="X6321" t="s">
        <v>47314</v>
      </c>
    </row>
    <row r="6322" spans="1:24">
      <c r="A6322">
        <f>HYPERLINK("https://www.philgeps.gov.ph/GEPSNONPILOT/Tender/SplashBidNoticeAbstractUI.aspx?menuIndex=3&amp;refID=7185217&amp;Result=3","7185217")</f>
        <v>0</v>
      </c>
      <c r="B6322" t="s">
        <v>496</v>
      </c>
      <c r="C6322" t="s">
        <v>9793</v>
      </c>
      <c r="D6322" t="s">
        <v>18992</v>
      </c>
      <c r="E6322" t="s">
        <v>24606</v>
      </c>
      <c r="F6322" t="s">
        <v>32606</v>
      </c>
      <c r="G6322" t="s">
        <v>32615</v>
      </c>
      <c r="H6322" t="s">
        <v>14201</v>
      </c>
      <c r="I6322" t="s">
        <v>32660</v>
      </c>
      <c r="J6322" t="s">
        <v>36026</v>
      </c>
      <c r="K6322" t="s">
        <v>42636</v>
      </c>
      <c r="M6322" t="s">
        <v>43409</v>
      </c>
      <c r="N6322" t="s">
        <v>47304</v>
      </c>
      <c r="O6322" t="s">
        <v>47305</v>
      </c>
      <c r="P6322">
        <v>0</v>
      </c>
      <c r="Q6322">
        <v>1</v>
      </c>
      <c r="R6322" t="s">
        <v>47311</v>
      </c>
      <c r="S6322" t="s">
        <v>47443</v>
      </c>
      <c r="T6322" t="s">
        <v>48973</v>
      </c>
      <c r="U6322" t="s">
        <v>54805</v>
      </c>
      <c r="W6322" t="s">
        <v>64438</v>
      </c>
      <c r="X6322" t="s">
        <v>47314</v>
      </c>
    </row>
    <row r="6323" spans="1:24">
      <c r="A6323">
        <f>HYPERLINK("https://www.philgeps.gov.ph/GEPSNONPILOT/Tender/SplashBidNoticeAbstractUI.aspx?menuIndex=3&amp;refID=7185025&amp;Result=3","7185025")</f>
        <v>0</v>
      </c>
      <c r="B6323" t="s">
        <v>2108</v>
      </c>
      <c r="C6323" t="s">
        <v>9794</v>
      </c>
      <c r="D6323" t="s">
        <v>19047</v>
      </c>
      <c r="E6323" t="s">
        <v>24607</v>
      </c>
      <c r="F6323" t="s">
        <v>32606</v>
      </c>
      <c r="G6323" t="s">
        <v>32613</v>
      </c>
      <c r="H6323" t="s">
        <v>14201</v>
      </c>
      <c r="I6323" t="s">
        <v>6931</v>
      </c>
      <c r="J6323" t="s">
        <v>36837</v>
      </c>
      <c r="K6323" t="s">
        <v>42623</v>
      </c>
      <c r="M6323" t="s">
        <v>45193</v>
      </c>
      <c r="N6323" t="s">
        <v>47304</v>
      </c>
      <c r="O6323" t="s">
        <v>47305</v>
      </c>
      <c r="P6323">
        <v>0</v>
      </c>
      <c r="Q6323">
        <v>0</v>
      </c>
      <c r="R6323" t="s">
        <v>47311</v>
      </c>
      <c r="S6323" t="s">
        <v>47443</v>
      </c>
      <c r="T6323" t="s">
        <v>49080</v>
      </c>
      <c r="U6323" t="s">
        <v>54806</v>
      </c>
      <c r="W6323" t="s">
        <v>45193</v>
      </c>
      <c r="X6323" t="s">
        <v>47314</v>
      </c>
    </row>
    <row r="6324" spans="1:24">
      <c r="A6324">
        <f>HYPERLINK("https://www.philgeps.gov.ph/GEPSNONPILOT/Tender/SplashBidNoticeAbstractUI.aspx?menuIndex=3&amp;refID=7184834&amp;Result=3","7184834")</f>
        <v>0</v>
      </c>
      <c r="B6324" t="s">
        <v>102</v>
      </c>
      <c r="C6324" t="s">
        <v>9795</v>
      </c>
      <c r="D6324" t="s">
        <v>19006</v>
      </c>
      <c r="E6324" t="s">
        <v>24608</v>
      </c>
      <c r="F6324" t="s">
        <v>32606</v>
      </c>
      <c r="G6324" t="s">
        <v>32613</v>
      </c>
      <c r="H6324" t="s">
        <v>14201</v>
      </c>
      <c r="I6324" t="s">
        <v>6931</v>
      </c>
      <c r="J6324" t="s">
        <v>36838</v>
      </c>
      <c r="K6324" t="s">
        <v>42623</v>
      </c>
      <c r="M6324" t="s">
        <v>43344</v>
      </c>
      <c r="N6324" t="s">
        <v>47304</v>
      </c>
      <c r="O6324" t="s">
        <v>47305</v>
      </c>
      <c r="P6324">
        <v>0</v>
      </c>
      <c r="Q6324">
        <v>1</v>
      </c>
      <c r="R6324" t="s">
        <v>47311</v>
      </c>
      <c r="S6324" t="s">
        <v>47443</v>
      </c>
      <c r="T6324" t="s">
        <v>49342</v>
      </c>
      <c r="U6324" t="s">
        <v>54785</v>
      </c>
      <c r="V6324" t="s">
        <v>63244</v>
      </c>
      <c r="W6324" t="s">
        <v>43344</v>
      </c>
      <c r="X6324" t="s">
        <v>47314</v>
      </c>
    </row>
    <row r="6325" spans="1:24">
      <c r="A6325">
        <f>HYPERLINK("https://www.philgeps.gov.ph/GEPSNONPILOT/Tender/SplashBidNoticeAbstractUI.aspx?menuIndex=3&amp;refID=7187447&amp;Result=3","7187447")</f>
        <v>0</v>
      </c>
      <c r="B6325" t="s">
        <v>2109</v>
      </c>
      <c r="C6325" t="s">
        <v>9796</v>
      </c>
      <c r="D6325" t="s">
        <v>18988</v>
      </c>
      <c r="E6325" t="s">
        <v>24609</v>
      </c>
      <c r="F6325" t="s">
        <v>32606</v>
      </c>
      <c r="G6325" t="s">
        <v>32613</v>
      </c>
      <c r="H6325" t="s">
        <v>14201</v>
      </c>
      <c r="I6325" t="s">
        <v>32640</v>
      </c>
      <c r="J6325" t="s">
        <v>33009</v>
      </c>
      <c r="K6325" t="s">
        <v>42624</v>
      </c>
      <c r="M6325" t="s">
        <v>45194</v>
      </c>
      <c r="N6325" t="s">
        <v>47304</v>
      </c>
      <c r="O6325" t="s">
        <v>47305</v>
      </c>
      <c r="P6325">
        <v>0</v>
      </c>
      <c r="Q6325">
        <v>1</v>
      </c>
      <c r="R6325" t="s">
        <v>47311</v>
      </c>
      <c r="S6325" t="s">
        <v>47443</v>
      </c>
      <c r="T6325" t="s">
        <v>49004</v>
      </c>
      <c r="U6325" t="s">
        <v>54807</v>
      </c>
      <c r="W6325" t="s">
        <v>45194</v>
      </c>
      <c r="X6325" t="s">
        <v>47313</v>
      </c>
    </row>
    <row r="6326" spans="1:24">
      <c r="A6326">
        <f>HYPERLINK("https://www.philgeps.gov.ph/GEPSNONPILOT/Tender/SplashBidNoticeAbstractUI.aspx?menuIndex=3&amp;refID=7179740&amp;Result=3","7179740")</f>
        <v>0</v>
      </c>
      <c r="B6326" t="s">
        <v>496</v>
      </c>
      <c r="C6326" t="s">
        <v>9797</v>
      </c>
      <c r="D6326" t="s">
        <v>19011</v>
      </c>
      <c r="E6326" t="s">
        <v>24610</v>
      </c>
      <c r="F6326" t="s">
        <v>32606</v>
      </c>
      <c r="G6326" t="s">
        <v>32613</v>
      </c>
      <c r="H6326" t="s">
        <v>14201</v>
      </c>
      <c r="I6326" t="s">
        <v>32650</v>
      </c>
      <c r="J6326" t="s">
        <v>36839</v>
      </c>
      <c r="K6326" t="s">
        <v>42631</v>
      </c>
      <c r="M6326" t="s">
        <v>43409</v>
      </c>
      <c r="N6326" t="s">
        <v>47304</v>
      </c>
      <c r="O6326" t="s">
        <v>47305</v>
      </c>
      <c r="P6326">
        <v>0</v>
      </c>
      <c r="Q6326">
        <v>0</v>
      </c>
      <c r="R6326" t="s">
        <v>47311</v>
      </c>
      <c r="S6326" t="s">
        <v>47443</v>
      </c>
      <c r="T6326" t="s">
        <v>49193</v>
      </c>
      <c r="U6326" t="s">
        <v>54808</v>
      </c>
      <c r="W6326" t="s">
        <v>64438</v>
      </c>
      <c r="X6326" t="s">
        <v>47318</v>
      </c>
    </row>
    <row r="6327" spans="1:24">
      <c r="A6327">
        <f>HYPERLINK("https://www.philgeps.gov.ph/GEPSNONPILOT/Tender/SplashBidNoticeAbstractUI.aspx?menuIndex=3&amp;refID=7184774&amp;Result=3","7184774")</f>
        <v>0</v>
      </c>
      <c r="B6327" t="s">
        <v>2098</v>
      </c>
      <c r="C6327" t="s">
        <v>9798</v>
      </c>
      <c r="D6327" t="s">
        <v>19043</v>
      </c>
      <c r="E6327" t="s">
        <v>19312</v>
      </c>
      <c r="F6327" t="s">
        <v>32606</v>
      </c>
      <c r="G6327" t="s">
        <v>32613</v>
      </c>
      <c r="H6327" t="s">
        <v>14201</v>
      </c>
      <c r="I6327" t="s">
        <v>32629</v>
      </c>
      <c r="J6327" t="s">
        <v>32981</v>
      </c>
      <c r="K6327" t="s">
        <v>42631</v>
      </c>
      <c r="M6327" t="s">
        <v>45183</v>
      </c>
      <c r="N6327" t="s">
        <v>47304</v>
      </c>
      <c r="O6327" t="s">
        <v>47305</v>
      </c>
      <c r="P6327">
        <v>0</v>
      </c>
      <c r="Q6327">
        <v>0</v>
      </c>
      <c r="R6327" t="s">
        <v>47311</v>
      </c>
      <c r="S6327" t="s">
        <v>47443</v>
      </c>
      <c r="T6327" t="s">
        <v>49343</v>
      </c>
      <c r="U6327" t="s">
        <v>54790</v>
      </c>
      <c r="W6327" t="s">
        <v>45183</v>
      </c>
      <c r="X6327" t="s">
        <v>47314</v>
      </c>
    </row>
    <row r="6328" spans="1:24">
      <c r="A6328">
        <f>HYPERLINK("https://www.philgeps.gov.ph/GEPSNONPILOT/Tender/SplashBidNoticeAbstractUI.aspx?menuIndex=3&amp;refID=7184605&amp;Result=3","7184605")</f>
        <v>0</v>
      </c>
      <c r="B6328" t="s">
        <v>2110</v>
      </c>
      <c r="C6328" t="s">
        <v>9799</v>
      </c>
      <c r="D6328" t="s">
        <v>19047</v>
      </c>
      <c r="E6328" t="s">
        <v>24611</v>
      </c>
      <c r="F6328" t="s">
        <v>32606</v>
      </c>
      <c r="G6328" t="s">
        <v>32613</v>
      </c>
      <c r="H6328" t="s">
        <v>14201</v>
      </c>
      <c r="I6328" t="s">
        <v>7064</v>
      </c>
      <c r="J6328" t="s">
        <v>36840</v>
      </c>
      <c r="K6328" t="s">
        <v>42623</v>
      </c>
      <c r="M6328" t="s">
        <v>45195</v>
      </c>
      <c r="N6328" t="s">
        <v>47304</v>
      </c>
      <c r="O6328" t="s">
        <v>47305</v>
      </c>
      <c r="P6328">
        <v>0</v>
      </c>
      <c r="Q6328">
        <v>0</v>
      </c>
      <c r="R6328" t="s">
        <v>47311</v>
      </c>
      <c r="S6328" t="s">
        <v>47443</v>
      </c>
      <c r="T6328" t="s">
        <v>49080</v>
      </c>
      <c r="U6328" t="s">
        <v>54806</v>
      </c>
      <c r="W6328" t="s">
        <v>45195</v>
      </c>
      <c r="X6328" t="s">
        <v>47314</v>
      </c>
    </row>
    <row r="6329" spans="1:24">
      <c r="A6329">
        <f>HYPERLINK("https://www.philgeps.gov.ph/GEPSNONPILOT/Tender/SplashBidNoticeAbstractUI.aspx?menuIndex=3&amp;refID=7187190&amp;Result=3","7187190")</f>
        <v>0</v>
      </c>
      <c r="B6329" t="s">
        <v>2111</v>
      </c>
      <c r="C6329" t="s">
        <v>9800</v>
      </c>
      <c r="D6329" t="s">
        <v>19016</v>
      </c>
      <c r="E6329" t="s">
        <v>20242</v>
      </c>
      <c r="F6329" t="s">
        <v>32606</v>
      </c>
      <c r="G6329" t="s">
        <v>32619</v>
      </c>
      <c r="H6329" t="s">
        <v>32624</v>
      </c>
      <c r="I6329" t="s">
        <v>4120</v>
      </c>
      <c r="J6329" t="s">
        <v>32951</v>
      </c>
      <c r="K6329" t="s">
        <v>42622</v>
      </c>
      <c r="L6329" t="s">
        <v>2111</v>
      </c>
      <c r="M6329" t="s">
        <v>45196</v>
      </c>
      <c r="N6329" t="s">
        <v>47304</v>
      </c>
      <c r="O6329" t="s">
        <v>47305</v>
      </c>
      <c r="Q6329">
        <v>0</v>
      </c>
      <c r="R6329" t="s">
        <v>47311</v>
      </c>
      <c r="S6329" t="s">
        <v>47445</v>
      </c>
      <c r="T6329" t="s">
        <v>49344</v>
      </c>
      <c r="U6329" t="s">
        <v>54809</v>
      </c>
      <c r="W6329" t="s">
        <v>45196</v>
      </c>
      <c r="X6329" t="s">
        <v>47313</v>
      </c>
    </row>
    <row r="6330" spans="1:24">
      <c r="A6330">
        <f>HYPERLINK("https://www.philgeps.gov.ph/GEPSNONPILOT/Tender/SplashBidNoticeAbstractUI.aspx?menuIndex=3&amp;refID=7185240&amp;Result=3","7185240")</f>
        <v>0</v>
      </c>
      <c r="B6330" t="s">
        <v>869</v>
      </c>
      <c r="C6330" t="s">
        <v>9801</v>
      </c>
      <c r="E6330" t="s">
        <v>24612</v>
      </c>
      <c r="F6330" t="s">
        <v>32606</v>
      </c>
      <c r="G6330" t="s">
        <v>32613</v>
      </c>
      <c r="H6330" t="s">
        <v>14201</v>
      </c>
      <c r="I6330" t="s">
        <v>32655</v>
      </c>
      <c r="J6330" t="s">
        <v>36841</v>
      </c>
      <c r="K6330" t="s">
        <v>42624</v>
      </c>
      <c r="M6330" t="s">
        <v>45197</v>
      </c>
      <c r="N6330" t="s">
        <v>47304</v>
      </c>
      <c r="O6330" t="s">
        <v>47305</v>
      </c>
      <c r="P6330">
        <v>0</v>
      </c>
      <c r="Q6330">
        <v>9</v>
      </c>
      <c r="R6330" t="s">
        <v>47311</v>
      </c>
      <c r="S6330" t="s">
        <v>47443</v>
      </c>
      <c r="T6330" t="s">
        <v>49345</v>
      </c>
      <c r="U6330" t="s">
        <v>54810</v>
      </c>
      <c r="W6330" t="s">
        <v>45197</v>
      </c>
      <c r="X6330" t="s">
        <v>47314</v>
      </c>
    </row>
    <row r="6331" spans="1:24">
      <c r="A6331">
        <f>HYPERLINK("https://www.philgeps.gov.ph/GEPSNONPILOT/Tender/SplashBidNoticeAbstractUI.aspx?menuIndex=3&amp;refID=7188505&amp;Result=3","7188505")</f>
        <v>0</v>
      </c>
      <c r="B6331" t="s">
        <v>844</v>
      </c>
      <c r="C6331" t="s">
        <v>9802</v>
      </c>
      <c r="D6331" t="s">
        <v>19056</v>
      </c>
      <c r="E6331" t="s">
        <v>24613</v>
      </c>
      <c r="F6331" t="s">
        <v>32606</v>
      </c>
      <c r="G6331" t="s">
        <v>32613</v>
      </c>
      <c r="H6331" t="s">
        <v>32623</v>
      </c>
      <c r="I6331" t="s">
        <v>17648</v>
      </c>
      <c r="J6331" t="s">
        <v>36842</v>
      </c>
      <c r="K6331" t="s">
        <v>42643</v>
      </c>
      <c r="L6331" t="s">
        <v>844</v>
      </c>
      <c r="M6331" t="s">
        <v>43776</v>
      </c>
      <c r="N6331" t="s">
        <v>47304</v>
      </c>
      <c r="O6331" t="s">
        <v>47305</v>
      </c>
      <c r="P6331">
        <v>0</v>
      </c>
      <c r="Q6331">
        <v>0</v>
      </c>
      <c r="R6331" t="s">
        <v>47311</v>
      </c>
      <c r="S6331" t="s">
        <v>47443</v>
      </c>
      <c r="T6331" t="s">
        <v>49157</v>
      </c>
      <c r="U6331" t="s">
        <v>54811</v>
      </c>
      <c r="V6331" t="s">
        <v>63249</v>
      </c>
      <c r="W6331" t="s">
        <v>43776</v>
      </c>
      <c r="X6331" t="s">
        <v>47313</v>
      </c>
    </row>
    <row r="6332" spans="1:24">
      <c r="A6332">
        <f>HYPERLINK("https://www.philgeps.gov.ph/GEPSNONPILOT/Tender/SplashBidNoticeAbstractUI.aspx?menuIndex=3&amp;refID=7188441&amp;Result=3","7188441")</f>
        <v>0</v>
      </c>
      <c r="B6332" t="s">
        <v>2094</v>
      </c>
      <c r="C6332" t="s">
        <v>9803</v>
      </c>
      <c r="D6332" t="s">
        <v>19008</v>
      </c>
      <c r="E6332" t="s">
        <v>24614</v>
      </c>
      <c r="F6332" t="s">
        <v>32606</v>
      </c>
      <c r="G6332" t="s">
        <v>32619</v>
      </c>
      <c r="H6332" t="s">
        <v>14201</v>
      </c>
      <c r="I6332" t="s">
        <v>32663</v>
      </c>
      <c r="J6332" t="s">
        <v>33009</v>
      </c>
      <c r="K6332" t="s">
        <v>42622</v>
      </c>
      <c r="M6332" t="s">
        <v>45179</v>
      </c>
      <c r="N6332" t="s">
        <v>47304</v>
      </c>
      <c r="O6332" t="s">
        <v>47305</v>
      </c>
      <c r="P6332">
        <v>0</v>
      </c>
      <c r="Q6332">
        <v>3</v>
      </c>
      <c r="R6332" t="s">
        <v>47311</v>
      </c>
      <c r="S6332" t="s">
        <v>47443</v>
      </c>
      <c r="T6332" t="s">
        <v>49072</v>
      </c>
      <c r="U6332" t="s">
        <v>54812</v>
      </c>
      <c r="W6332" t="s">
        <v>45179</v>
      </c>
      <c r="X6332" t="s">
        <v>47313</v>
      </c>
    </row>
    <row r="6333" spans="1:24">
      <c r="A6333">
        <f>HYPERLINK("https://www.philgeps.gov.ph/GEPSNONPILOT/Tender/SplashBidNoticeAbstractUI.aspx?menuIndex=3&amp;refID=7188380&amp;Result=3","7188380")</f>
        <v>0</v>
      </c>
      <c r="B6333" t="s">
        <v>844</v>
      </c>
      <c r="C6333" t="s">
        <v>9804</v>
      </c>
      <c r="D6333" t="s">
        <v>19056</v>
      </c>
      <c r="E6333" t="s">
        <v>24615</v>
      </c>
      <c r="F6333" t="s">
        <v>32606</v>
      </c>
      <c r="G6333" t="s">
        <v>32613</v>
      </c>
      <c r="H6333" t="s">
        <v>32623</v>
      </c>
      <c r="I6333" t="s">
        <v>17648</v>
      </c>
      <c r="J6333" t="s">
        <v>36843</v>
      </c>
      <c r="K6333" t="s">
        <v>42722</v>
      </c>
      <c r="L6333" t="s">
        <v>844</v>
      </c>
      <c r="M6333" t="s">
        <v>43776</v>
      </c>
      <c r="N6333" t="s">
        <v>47304</v>
      </c>
      <c r="O6333" t="s">
        <v>47305</v>
      </c>
      <c r="P6333">
        <v>0</v>
      </c>
      <c r="Q6333">
        <v>1</v>
      </c>
      <c r="R6333" t="s">
        <v>47311</v>
      </c>
      <c r="S6333" t="s">
        <v>47443</v>
      </c>
      <c r="T6333" t="s">
        <v>49157</v>
      </c>
      <c r="U6333" t="s">
        <v>54813</v>
      </c>
      <c r="V6333" t="s">
        <v>63249</v>
      </c>
      <c r="W6333" t="s">
        <v>43776</v>
      </c>
      <c r="X6333" t="s">
        <v>47313</v>
      </c>
    </row>
    <row r="6334" spans="1:24">
      <c r="A6334">
        <f>HYPERLINK("https://www.philgeps.gov.ph/GEPSNONPILOT/Tender/SplashBidNoticeAbstractUI.aspx?menuIndex=3&amp;refID=7184802&amp;Result=3","7184802")</f>
        <v>0</v>
      </c>
      <c r="B6334" t="s">
        <v>2098</v>
      </c>
      <c r="C6334" t="s">
        <v>9805</v>
      </c>
      <c r="D6334" t="s">
        <v>19043</v>
      </c>
      <c r="E6334" t="s">
        <v>19670</v>
      </c>
      <c r="F6334" t="s">
        <v>32606</v>
      </c>
      <c r="G6334" t="s">
        <v>32613</v>
      </c>
      <c r="H6334" t="s">
        <v>14201</v>
      </c>
      <c r="I6334" t="s">
        <v>32649</v>
      </c>
      <c r="J6334" t="s">
        <v>36844</v>
      </c>
      <c r="K6334" t="s">
        <v>42631</v>
      </c>
      <c r="M6334" t="s">
        <v>45183</v>
      </c>
      <c r="N6334" t="s">
        <v>47304</v>
      </c>
      <c r="O6334" t="s">
        <v>47305</v>
      </c>
      <c r="P6334">
        <v>0</v>
      </c>
      <c r="Q6334">
        <v>2</v>
      </c>
      <c r="R6334" t="s">
        <v>47311</v>
      </c>
      <c r="S6334" t="s">
        <v>47443</v>
      </c>
      <c r="T6334" t="s">
        <v>49343</v>
      </c>
      <c r="U6334" t="s">
        <v>54814</v>
      </c>
      <c r="W6334" t="s">
        <v>45183</v>
      </c>
      <c r="X6334" t="s">
        <v>47314</v>
      </c>
    </row>
    <row r="6335" spans="1:24">
      <c r="A6335">
        <f>HYPERLINK("https://www.philgeps.gov.ph/GEPSNONPILOT/Tender/SplashBidNoticeAbstractUI.aspx?menuIndex=3&amp;refID=7184591&amp;Result=3","7184591")</f>
        <v>0</v>
      </c>
      <c r="B6335" t="s">
        <v>2112</v>
      </c>
      <c r="C6335" t="s">
        <v>9806</v>
      </c>
      <c r="D6335" t="s">
        <v>19070</v>
      </c>
      <c r="E6335" t="s">
        <v>24616</v>
      </c>
      <c r="F6335" t="s">
        <v>32606</v>
      </c>
      <c r="G6335" t="s">
        <v>32613</v>
      </c>
      <c r="H6335" t="s">
        <v>32624</v>
      </c>
      <c r="I6335" t="s">
        <v>7064</v>
      </c>
      <c r="J6335" t="s">
        <v>36845</v>
      </c>
      <c r="K6335" t="s">
        <v>42636</v>
      </c>
      <c r="M6335" t="s">
        <v>45198</v>
      </c>
      <c r="N6335" t="s">
        <v>47304</v>
      </c>
      <c r="O6335" t="s">
        <v>47305</v>
      </c>
      <c r="P6335">
        <v>0</v>
      </c>
      <c r="Q6335">
        <v>0</v>
      </c>
      <c r="R6335" t="s">
        <v>47311</v>
      </c>
      <c r="S6335" t="s">
        <v>47443</v>
      </c>
      <c r="T6335" t="s">
        <v>49004</v>
      </c>
      <c r="U6335" t="s">
        <v>54815</v>
      </c>
      <c r="W6335" t="s">
        <v>45198</v>
      </c>
      <c r="X6335" t="s">
        <v>47314</v>
      </c>
    </row>
    <row r="6336" spans="1:24">
      <c r="A6336">
        <f>HYPERLINK("https://www.philgeps.gov.ph/GEPSNONPILOT/Tender/SplashBidNoticeAbstractUI.aspx?menuIndex=3&amp;refID=7188186&amp;Result=3","7188186")</f>
        <v>0</v>
      </c>
      <c r="B6336" t="s">
        <v>2094</v>
      </c>
      <c r="C6336" t="s">
        <v>9807</v>
      </c>
      <c r="D6336" t="s">
        <v>19008</v>
      </c>
      <c r="E6336" t="s">
        <v>24617</v>
      </c>
      <c r="F6336" t="s">
        <v>32606</v>
      </c>
      <c r="G6336" t="s">
        <v>32619</v>
      </c>
      <c r="H6336" t="s">
        <v>14201</v>
      </c>
      <c r="I6336" t="s">
        <v>7529</v>
      </c>
      <c r="J6336" t="s">
        <v>33099</v>
      </c>
      <c r="K6336" t="s">
        <v>42622</v>
      </c>
      <c r="M6336" t="s">
        <v>45179</v>
      </c>
      <c r="N6336" t="s">
        <v>47304</v>
      </c>
      <c r="O6336" t="s">
        <v>47305</v>
      </c>
      <c r="P6336">
        <v>0</v>
      </c>
      <c r="Q6336">
        <v>0</v>
      </c>
      <c r="R6336" t="s">
        <v>47311</v>
      </c>
      <c r="S6336" t="s">
        <v>47443</v>
      </c>
      <c r="T6336" t="s">
        <v>49072</v>
      </c>
      <c r="U6336" t="s">
        <v>54816</v>
      </c>
      <c r="W6336" t="s">
        <v>45179</v>
      </c>
      <c r="X6336" t="s">
        <v>47313</v>
      </c>
    </row>
    <row r="6337" spans="1:24">
      <c r="A6337">
        <f>HYPERLINK("https://www.philgeps.gov.ph/GEPSNONPILOT/Tender/SplashBidNoticeAbstractUI.aspx?menuIndex=3&amp;refID=7188474&amp;Result=3","7188474")</f>
        <v>0</v>
      </c>
      <c r="B6337" t="s">
        <v>844</v>
      </c>
      <c r="C6337" t="s">
        <v>9808</v>
      </c>
      <c r="D6337" t="s">
        <v>19056</v>
      </c>
      <c r="E6337" t="s">
        <v>24618</v>
      </c>
      <c r="F6337" t="s">
        <v>32606</v>
      </c>
      <c r="G6337" t="s">
        <v>32613</v>
      </c>
      <c r="H6337" t="s">
        <v>32623</v>
      </c>
      <c r="I6337" t="s">
        <v>17648</v>
      </c>
      <c r="J6337" t="s">
        <v>36846</v>
      </c>
      <c r="K6337" t="s">
        <v>42744</v>
      </c>
      <c r="L6337" t="s">
        <v>844</v>
      </c>
      <c r="M6337" t="s">
        <v>43776</v>
      </c>
      <c r="N6337" t="s">
        <v>47304</v>
      </c>
      <c r="O6337" t="s">
        <v>47305</v>
      </c>
      <c r="P6337">
        <v>0</v>
      </c>
      <c r="Q6337">
        <v>0</v>
      </c>
      <c r="R6337" t="s">
        <v>47311</v>
      </c>
      <c r="S6337" t="s">
        <v>47443</v>
      </c>
      <c r="T6337" t="s">
        <v>49157</v>
      </c>
      <c r="U6337" t="s">
        <v>54817</v>
      </c>
      <c r="V6337" t="s">
        <v>63249</v>
      </c>
      <c r="W6337" t="s">
        <v>43776</v>
      </c>
      <c r="X6337" t="s">
        <v>47313</v>
      </c>
    </row>
    <row r="6338" spans="1:24">
      <c r="A6338">
        <f>HYPERLINK("https://www.philgeps.gov.ph/GEPSNONPILOT/Tender/SplashBidNoticeAbstractUI.aspx?menuIndex=3&amp;refID=7184969&amp;Result=3","7184969")</f>
        <v>0</v>
      </c>
      <c r="B6338" t="s">
        <v>102</v>
      </c>
      <c r="C6338" t="s">
        <v>9809</v>
      </c>
      <c r="D6338" t="s">
        <v>19006</v>
      </c>
      <c r="E6338" t="s">
        <v>24619</v>
      </c>
      <c r="F6338" t="s">
        <v>32606</v>
      </c>
      <c r="G6338" t="s">
        <v>32613</v>
      </c>
      <c r="H6338" t="s">
        <v>14201</v>
      </c>
      <c r="I6338" t="s">
        <v>32691</v>
      </c>
      <c r="J6338" t="s">
        <v>36847</v>
      </c>
      <c r="K6338" t="s">
        <v>42623</v>
      </c>
      <c r="M6338" t="s">
        <v>43344</v>
      </c>
      <c r="N6338" t="s">
        <v>47304</v>
      </c>
      <c r="O6338" t="s">
        <v>47305</v>
      </c>
      <c r="P6338">
        <v>0</v>
      </c>
      <c r="Q6338">
        <v>2</v>
      </c>
      <c r="R6338" t="s">
        <v>47311</v>
      </c>
      <c r="S6338" t="s">
        <v>47443</v>
      </c>
      <c r="T6338" t="s">
        <v>49342</v>
      </c>
      <c r="U6338" t="s">
        <v>54785</v>
      </c>
      <c r="V6338" t="s">
        <v>63250</v>
      </c>
      <c r="W6338" t="s">
        <v>43344</v>
      </c>
      <c r="X6338" t="s">
        <v>47314</v>
      </c>
    </row>
    <row r="6339" spans="1:24">
      <c r="A6339">
        <f>HYPERLINK("https://www.philgeps.gov.ph/GEPSNONPILOT/Tender/SplashBidNoticeAbstractUI.aspx?menuIndex=3&amp;refID=7188103&amp;Result=3","7188103")</f>
        <v>0</v>
      </c>
      <c r="B6339" t="s">
        <v>2113</v>
      </c>
      <c r="C6339" t="s">
        <v>9810</v>
      </c>
      <c r="D6339" t="s">
        <v>19012</v>
      </c>
      <c r="E6339" t="s">
        <v>24620</v>
      </c>
      <c r="F6339" t="s">
        <v>32606</v>
      </c>
      <c r="G6339" t="s">
        <v>32613</v>
      </c>
      <c r="H6339" t="s">
        <v>14201</v>
      </c>
      <c r="I6339" t="s">
        <v>32631</v>
      </c>
      <c r="J6339" t="s">
        <v>35540</v>
      </c>
      <c r="K6339" t="s">
        <v>42631</v>
      </c>
      <c r="M6339" t="s">
        <v>45199</v>
      </c>
      <c r="N6339" t="s">
        <v>47304</v>
      </c>
      <c r="O6339" t="s">
        <v>47305</v>
      </c>
      <c r="P6339">
        <v>0</v>
      </c>
      <c r="Q6339">
        <v>1</v>
      </c>
      <c r="R6339" t="s">
        <v>47311</v>
      </c>
      <c r="S6339" t="s">
        <v>47443</v>
      </c>
      <c r="T6339" t="s">
        <v>49023</v>
      </c>
      <c r="U6339" t="s">
        <v>54818</v>
      </c>
      <c r="W6339" t="s">
        <v>45199</v>
      </c>
      <c r="X6339" t="s">
        <v>47313</v>
      </c>
    </row>
    <row r="6340" spans="1:24">
      <c r="A6340">
        <f>HYPERLINK("https://www.philgeps.gov.ph/GEPSNONPILOT/Tender/SplashBidNoticeAbstractUI.aspx?menuIndex=3&amp;refID=7188093&amp;Result=3","7188093")</f>
        <v>0</v>
      </c>
      <c r="B6340" t="s">
        <v>2109</v>
      </c>
      <c r="C6340" t="s">
        <v>9811</v>
      </c>
      <c r="D6340" t="s">
        <v>18988</v>
      </c>
      <c r="E6340" t="s">
        <v>24621</v>
      </c>
      <c r="F6340" t="s">
        <v>32606</v>
      </c>
      <c r="G6340" t="s">
        <v>32613</v>
      </c>
      <c r="H6340" t="s">
        <v>14201</v>
      </c>
      <c r="I6340" t="s">
        <v>4120</v>
      </c>
      <c r="J6340" t="s">
        <v>36848</v>
      </c>
      <c r="K6340" t="s">
        <v>42624</v>
      </c>
      <c r="M6340" t="s">
        <v>45194</v>
      </c>
      <c r="N6340" t="s">
        <v>47304</v>
      </c>
      <c r="O6340" t="s">
        <v>47305</v>
      </c>
      <c r="P6340">
        <v>0</v>
      </c>
      <c r="Q6340">
        <v>4</v>
      </c>
      <c r="R6340" t="s">
        <v>47311</v>
      </c>
      <c r="S6340" t="s">
        <v>47443</v>
      </c>
      <c r="T6340" t="s">
        <v>49004</v>
      </c>
      <c r="U6340" t="s">
        <v>54807</v>
      </c>
      <c r="W6340" t="s">
        <v>45194</v>
      </c>
      <c r="X6340" t="s">
        <v>47313</v>
      </c>
    </row>
    <row r="6341" spans="1:24">
      <c r="A6341">
        <f>HYPERLINK("https://www.philgeps.gov.ph/GEPSNONPILOT/Tender/SplashBidNoticeAbstractUI.aspx?menuIndex=3&amp;refID=7188078&amp;Result=3","7188078")</f>
        <v>0</v>
      </c>
      <c r="B6341" t="s">
        <v>2109</v>
      </c>
      <c r="C6341" t="s">
        <v>9812</v>
      </c>
      <c r="D6341" t="s">
        <v>18988</v>
      </c>
      <c r="E6341" t="s">
        <v>24622</v>
      </c>
      <c r="F6341" t="s">
        <v>32606</v>
      </c>
      <c r="G6341" t="s">
        <v>32613</v>
      </c>
      <c r="H6341" t="s">
        <v>14201</v>
      </c>
      <c r="I6341" t="s">
        <v>32646</v>
      </c>
      <c r="J6341" t="s">
        <v>36849</v>
      </c>
      <c r="K6341" t="s">
        <v>42624</v>
      </c>
      <c r="M6341" t="s">
        <v>45194</v>
      </c>
      <c r="N6341" t="s">
        <v>47304</v>
      </c>
      <c r="O6341" t="s">
        <v>47305</v>
      </c>
      <c r="P6341">
        <v>0</v>
      </c>
      <c r="Q6341">
        <v>2</v>
      </c>
      <c r="R6341" t="s">
        <v>47311</v>
      </c>
      <c r="S6341" t="s">
        <v>47443</v>
      </c>
      <c r="T6341" t="s">
        <v>49234</v>
      </c>
      <c r="U6341" t="s">
        <v>54807</v>
      </c>
      <c r="W6341" t="s">
        <v>45194</v>
      </c>
      <c r="X6341" t="s">
        <v>47313</v>
      </c>
    </row>
    <row r="6342" spans="1:24">
      <c r="A6342">
        <f>HYPERLINK("https://www.philgeps.gov.ph/GEPSNONPILOT/Tender/SplashBidNoticeAbstractUI.aspx?menuIndex=3&amp;refID=7187822&amp;Result=3","7187822")</f>
        <v>0</v>
      </c>
      <c r="B6342" t="s">
        <v>2109</v>
      </c>
      <c r="C6342" t="s">
        <v>9813</v>
      </c>
      <c r="D6342" t="s">
        <v>18988</v>
      </c>
      <c r="E6342" t="s">
        <v>24623</v>
      </c>
      <c r="F6342" t="s">
        <v>32606</v>
      </c>
      <c r="G6342" t="s">
        <v>32613</v>
      </c>
      <c r="H6342" t="s">
        <v>32623</v>
      </c>
      <c r="I6342" t="s">
        <v>17648</v>
      </c>
      <c r="J6342" t="s">
        <v>32767</v>
      </c>
      <c r="K6342" t="s">
        <v>42624</v>
      </c>
      <c r="M6342" t="s">
        <v>45194</v>
      </c>
      <c r="N6342" t="s">
        <v>47304</v>
      </c>
      <c r="O6342" t="s">
        <v>47305</v>
      </c>
      <c r="P6342">
        <v>0</v>
      </c>
      <c r="Q6342">
        <v>0</v>
      </c>
      <c r="R6342" t="s">
        <v>47311</v>
      </c>
      <c r="S6342" t="s">
        <v>47443</v>
      </c>
      <c r="T6342" t="s">
        <v>49234</v>
      </c>
      <c r="U6342" t="s">
        <v>54807</v>
      </c>
      <c r="W6342" t="s">
        <v>45194</v>
      </c>
      <c r="X6342" t="s">
        <v>47313</v>
      </c>
    </row>
    <row r="6343" spans="1:24">
      <c r="A6343">
        <f>HYPERLINK("https://www.philgeps.gov.ph/GEPSNONPILOT/Tender/SplashBidNoticeAbstractUI.aspx?menuIndex=3&amp;refID=7188901&amp;Result=3","7188901")</f>
        <v>0</v>
      </c>
      <c r="B6343" t="s">
        <v>1275</v>
      </c>
      <c r="C6343" t="s">
        <v>9814</v>
      </c>
      <c r="D6343" t="s">
        <v>19035</v>
      </c>
      <c r="E6343" t="s">
        <v>24624</v>
      </c>
      <c r="F6343" t="s">
        <v>32606</v>
      </c>
      <c r="G6343" t="s">
        <v>32613</v>
      </c>
      <c r="H6343" t="s">
        <v>14201</v>
      </c>
      <c r="I6343" t="s">
        <v>4678</v>
      </c>
      <c r="J6343" t="s">
        <v>36850</v>
      </c>
      <c r="K6343" t="s">
        <v>42622</v>
      </c>
      <c r="M6343" t="s">
        <v>45200</v>
      </c>
      <c r="N6343" t="s">
        <v>47304</v>
      </c>
      <c r="O6343" t="s">
        <v>47305</v>
      </c>
      <c r="P6343">
        <v>0</v>
      </c>
      <c r="Q6343">
        <v>2</v>
      </c>
      <c r="R6343" t="s">
        <v>47311</v>
      </c>
      <c r="S6343" t="s">
        <v>47443</v>
      </c>
      <c r="T6343" t="s">
        <v>48980</v>
      </c>
      <c r="U6343" t="s">
        <v>54819</v>
      </c>
      <c r="W6343" t="s">
        <v>45200</v>
      </c>
      <c r="X6343" t="s">
        <v>47313</v>
      </c>
    </row>
    <row r="6344" spans="1:24">
      <c r="A6344">
        <f>HYPERLINK("https://www.philgeps.gov.ph/GEPSNONPILOT/Tender/SplashBidNoticeAbstractUI.aspx?menuIndex=3&amp;refID=7188180&amp;Result=3","7188180")</f>
        <v>0</v>
      </c>
      <c r="B6344" t="s">
        <v>2114</v>
      </c>
      <c r="C6344" t="s">
        <v>9815</v>
      </c>
      <c r="E6344" t="s">
        <v>24625</v>
      </c>
      <c r="F6344" t="s">
        <v>32606</v>
      </c>
      <c r="G6344" t="s">
        <v>32613</v>
      </c>
      <c r="H6344" t="s">
        <v>14201</v>
      </c>
      <c r="I6344" t="s">
        <v>32735</v>
      </c>
      <c r="J6344" t="s">
        <v>36851</v>
      </c>
      <c r="K6344" t="s">
        <v>42636</v>
      </c>
      <c r="M6344" t="s">
        <v>45201</v>
      </c>
      <c r="N6344" t="s">
        <v>47304</v>
      </c>
      <c r="O6344" t="s">
        <v>47305</v>
      </c>
      <c r="P6344">
        <v>0</v>
      </c>
      <c r="Q6344">
        <v>1</v>
      </c>
      <c r="R6344" t="s">
        <v>47311</v>
      </c>
      <c r="S6344" t="s">
        <v>47443</v>
      </c>
      <c r="T6344" t="s">
        <v>49013</v>
      </c>
      <c r="U6344" t="s">
        <v>54820</v>
      </c>
      <c r="W6344" t="s">
        <v>45201</v>
      </c>
      <c r="X6344" t="s">
        <v>47313</v>
      </c>
    </row>
    <row r="6345" spans="1:24">
      <c r="A6345">
        <f>HYPERLINK("https://www.philgeps.gov.ph/GEPSNONPILOT/Tender/SplashBidNoticeAbstractUI.aspx?menuIndex=3&amp;refID=7188130&amp;Result=3","7188130")</f>
        <v>0</v>
      </c>
      <c r="B6345" t="s">
        <v>2113</v>
      </c>
      <c r="C6345" t="s">
        <v>9816</v>
      </c>
      <c r="D6345" t="s">
        <v>19012</v>
      </c>
      <c r="E6345" t="s">
        <v>24626</v>
      </c>
      <c r="F6345" t="s">
        <v>32606</v>
      </c>
      <c r="G6345" t="s">
        <v>32613</v>
      </c>
      <c r="H6345" t="s">
        <v>14201</v>
      </c>
      <c r="I6345" t="s">
        <v>32631</v>
      </c>
      <c r="J6345" t="s">
        <v>33587</v>
      </c>
      <c r="K6345" t="s">
        <v>42631</v>
      </c>
      <c r="M6345" t="s">
        <v>45199</v>
      </c>
      <c r="N6345" t="s">
        <v>47304</v>
      </c>
      <c r="O6345" t="s">
        <v>47305</v>
      </c>
      <c r="P6345">
        <v>0</v>
      </c>
      <c r="Q6345">
        <v>2</v>
      </c>
      <c r="R6345" t="s">
        <v>47311</v>
      </c>
      <c r="S6345" t="s">
        <v>47443</v>
      </c>
      <c r="T6345" t="s">
        <v>49023</v>
      </c>
      <c r="U6345" t="s">
        <v>54821</v>
      </c>
      <c r="W6345" t="s">
        <v>45199</v>
      </c>
      <c r="X6345" t="s">
        <v>47313</v>
      </c>
    </row>
    <row r="6346" spans="1:24">
      <c r="A6346">
        <f>HYPERLINK("https://www.philgeps.gov.ph/GEPSNONPILOT/Tender/SplashBidNoticeAbstractUI.aspx?menuIndex=3&amp;refID=7189056&amp;Result=3","7189056")</f>
        <v>0</v>
      </c>
      <c r="B6346" t="s">
        <v>2115</v>
      </c>
      <c r="C6346" t="s">
        <v>9817</v>
      </c>
      <c r="D6346" t="s">
        <v>19008</v>
      </c>
      <c r="E6346" t="s">
        <v>24627</v>
      </c>
      <c r="F6346" t="s">
        <v>32606</v>
      </c>
      <c r="G6346" t="s">
        <v>32613</v>
      </c>
      <c r="H6346" t="s">
        <v>14201</v>
      </c>
      <c r="I6346" t="s">
        <v>4678</v>
      </c>
      <c r="J6346" t="s">
        <v>36852</v>
      </c>
      <c r="K6346" t="s">
        <v>42638</v>
      </c>
      <c r="M6346" t="s">
        <v>45202</v>
      </c>
      <c r="N6346" t="s">
        <v>47304</v>
      </c>
      <c r="O6346" t="s">
        <v>47305</v>
      </c>
      <c r="P6346">
        <v>0</v>
      </c>
      <c r="Q6346">
        <v>1</v>
      </c>
      <c r="R6346" t="s">
        <v>47311</v>
      </c>
      <c r="S6346" t="s">
        <v>47443</v>
      </c>
      <c r="T6346" t="s">
        <v>49073</v>
      </c>
      <c r="U6346" t="s">
        <v>54822</v>
      </c>
      <c r="V6346" t="s">
        <v>62846</v>
      </c>
      <c r="W6346" t="s">
        <v>45202</v>
      </c>
      <c r="X6346" t="s">
        <v>47313</v>
      </c>
    </row>
    <row r="6347" spans="1:24">
      <c r="A6347">
        <f>HYPERLINK("https://www.philgeps.gov.ph/GEPSNONPILOT/Tender/SplashBidNoticeAbstractUI.aspx?menuIndex=3&amp;refID=7189014&amp;Result=3","7189014")</f>
        <v>0</v>
      </c>
      <c r="B6347" t="s">
        <v>1275</v>
      </c>
      <c r="C6347" t="s">
        <v>9818</v>
      </c>
      <c r="D6347" t="s">
        <v>19035</v>
      </c>
      <c r="E6347" t="s">
        <v>24628</v>
      </c>
      <c r="F6347" t="s">
        <v>32606</v>
      </c>
      <c r="G6347" t="s">
        <v>32613</v>
      </c>
      <c r="H6347" t="s">
        <v>14201</v>
      </c>
      <c r="I6347" t="s">
        <v>6931</v>
      </c>
      <c r="J6347" t="s">
        <v>36853</v>
      </c>
      <c r="K6347" t="s">
        <v>42622</v>
      </c>
      <c r="M6347" t="s">
        <v>45200</v>
      </c>
      <c r="N6347" t="s">
        <v>47304</v>
      </c>
      <c r="O6347" t="s">
        <v>47305</v>
      </c>
      <c r="P6347">
        <v>0</v>
      </c>
      <c r="Q6347">
        <v>0</v>
      </c>
      <c r="R6347" t="s">
        <v>47311</v>
      </c>
      <c r="S6347" t="s">
        <v>47443</v>
      </c>
      <c r="T6347" t="s">
        <v>48980</v>
      </c>
      <c r="U6347" t="s">
        <v>54823</v>
      </c>
      <c r="W6347" t="s">
        <v>45200</v>
      </c>
      <c r="X6347" t="s">
        <v>47313</v>
      </c>
    </row>
    <row r="6348" spans="1:24">
      <c r="A6348">
        <f>HYPERLINK("https://www.philgeps.gov.ph/GEPSNONPILOT/Tender/SplashBidNoticeAbstractUI.aspx?menuIndex=3&amp;refID=7189000&amp;Result=3","7189000")</f>
        <v>0</v>
      </c>
      <c r="B6348" t="s">
        <v>1349</v>
      </c>
      <c r="C6348" t="s">
        <v>9819</v>
      </c>
      <c r="D6348" t="s">
        <v>19015</v>
      </c>
      <c r="E6348" t="s">
        <v>24629</v>
      </c>
      <c r="F6348" t="s">
        <v>32606</v>
      </c>
      <c r="G6348" t="s">
        <v>32613</v>
      </c>
      <c r="H6348" t="s">
        <v>32624</v>
      </c>
      <c r="I6348" t="s">
        <v>32659</v>
      </c>
      <c r="J6348" t="s">
        <v>36854</v>
      </c>
      <c r="K6348" t="s">
        <v>42639</v>
      </c>
      <c r="M6348" t="s">
        <v>44323</v>
      </c>
      <c r="N6348" t="s">
        <v>47304</v>
      </c>
      <c r="O6348" t="s">
        <v>47305</v>
      </c>
      <c r="P6348">
        <v>0</v>
      </c>
      <c r="Q6348">
        <v>1</v>
      </c>
      <c r="R6348" t="s">
        <v>47311</v>
      </c>
      <c r="S6348" t="s">
        <v>47443</v>
      </c>
      <c r="T6348" t="s">
        <v>49249</v>
      </c>
      <c r="U6348" t="s">
        <v>54824</v>
      </c>
      <c r="W6348" t="s">
        <v>44323</v>
      </c>
      <c r="X6348" t="s">
        <v>47313</v>
      </c>
    </row>
    <row r="6349" spans="1:24">
      <c r="A6349">
        <f>HYPERLINK("https://www.philgeps.gov.ph/GEPSNONPILOT/Tender/SplashBidNoticeAbstractUI.aspx?menuIndex=3&amp;refID=7188934&amp;Result=3","7188934")</f>
        <v>0</v>
      </c>
      <c r="B6349" t="s">
        <v>1275</v>
      </c>
      <c r="C6349" t="s">
        <v>9820</v>
      </c>
      <c r="D6349" t="s">
        <v>19035</v>
      </c>
      <c r="E6349" t="s">
        <v>24630</v>
      </c>
      <c r="F6349" t="s">
        <v>32606</v>
      </c>
      <c r="G6349" t="s">
        <v>32613</v>
      </c>
      <c r="H6349" t="s">
        <v>14201</v>
      </c>
      <c r="I6349" t="s">
        <v>4369</v>
      </c>
      <c r="J6349" t="s">
        <v>36855</v>
      </c>
      <c r="K6349" t="s">
        <v>42622</v>
      </c>
      <c r="M6349" t="s">
        <v>45200</v>
      </c>
      <c r="N6349" t="s">
        <v>47304</v>
      </c>
      <c r="O6349" t="s">
        <v>47305</v>
      </c>
      <c r="P6349">
        <v>0</v>
      </c>
      <c r="Q6349">
        <v>7</v>
      </c>
      <c r="R6349" t="s">
        <v>47311</v>
      </c>
      <c r="S6349" t="s">
        <v>47443</v>
      </c>
      <c r="T6349" t="s">
        <v>48980</v>
      </c>
      <c r="U6349" t="s">
        <v>54825</v>
      </c>
      <c r="W6349" t="s">
        <v>45200</v>
      </c>
      <c r="X6349" t="s">
        <v>47313</v>
      </c>
    </row>
    <row r="6350" spans="1:24">
      <c r="A6350">
        <f>HYPERLINK("https://www.philgeps.gov.ph/GEPSNONPILOT/Tender/SplashBidNoticeAbstractUI.aspx?menuIndex=3&amp;refID=7188843&amp;Result=3","7188843")</f>
        <v>0</v>
      </c>
      <c r="B6350" t="s">
        <v>2116</v>
      </c>
      <c r="C6350" t="s">
        <v>9821</v>
      </c>
      <c r="D6350" t="s">
        <v>19016</v>
      </c>
      <c r="E6350" t="s">
        <v>24631</v>
      </c>
      <c r="F6350" t="s">
        <v>32606</v>
      </c>
      <c r="G6350" t="s">
        <v>32613</v>
      </c>
      <c r="H6350" t="s">
        <v>32623</v>
      </c>
      <c r="I6350" t="s">
        <v>17648</v>
      </c>
      <c r="J6350" t="s">
        <v>36856</v>
      </c>
      <c r="K6350" t="s">
        <v>42634</v>
      </c>
      <c r="M6350" t="s">
        <v>45203</v>
      </c>
      <c r="N6350" t="s">
        <v>47304</v>
      </c>
      <c r="O6350" t="s">
        <v>47305</v>
      </c>
      <c r="P6350">
        <v>0</v>
      </c>
      <c r="Q6350">
        <v>5</v>
      </c>
      <c r="R6350" t="s">
        <v>47311</v>
      </c>
      <c r="S6350" t="s">
        <v>47443</v>
      </c>
      <c r="T6350" t="s">
        <v>49111</v>
      </c>
      <c r="U6350" t="s">
        <v>54826</v>
      </c>
      <c r="W6350" t="s">
        <v>45203</v>
      </c>
      <c r="X6350" t="s">
        <v>47313</v>
      </c>
    </row>
    <row r="6351" spans="1:24">
      <c r="A6351">
        <f>HYPERLINK("https://www.philgeps.gov.ph/GEPSNONPILOT/Tender/SplashBidNoticeAbstractUI.aspx?menuIndex=3&amp;refID=7188792&amp;Result=3","7188792")</f>
        <v>0</v>
      </c>
      <c r="B6351" t="s">
        <v>1275</v>
      </c>
      <c r="C6351" t="s">
        <v>9822</v>
      </c>
      <c r="D6351" t="s">
        <v>19035</v>
      </c>
      <c r="E6351" t="s">
        <v>24632</v>
      </c>
      <c r="F6351" t="s">
        <v>32606</v>
      </c>
      <c r="G6351" t="s">
        <v>32613</v>
      </c>
      <c r="H6351" t="s">
        <v>14201</v>
      </c>
      <c r="I6351" t="s">
        <v>6993</v>
      </c>
      <c r="J6351" t="s">
        <v>36857</v>
      </c>
      <c r="K6351" t="s">
        <v>42622</v>
      </c>
      <c r="M6351" t="s">
        <v>45200</v>
      </c>
      <c r="N6351" t="s">
        <v>47304</v>
      </c>
      <c r="O6351" t="s">
        <v>47305</v>
      </c>
      <c r="P6351">
        <v>0</v>
      </c>
      <c r="Q6351">
        <v>1</v>
      </c>
      <c r="R6351" t="s">
        <v>47311</v>
      </c>
      <c r="S6351" t="s">
        <v>47443</v>
      </c>
      <c r="T6351" t="s">
        <v>48980</v>
      </c>
      <c r="U6351" t="s">
        <v>54827</v>
      </c>
      <c r="W6351" t="s">
        <v>45200</v>
      </c>
      <c r="X6351" t="s">
        <v>47313</v>
      </c>
    </row>
    <row r="6352" spans="1:24">
      <c r="A6352">
        <f>HYPERLINK("https://www.philgeps.gov.ph/GEPSNONPILOT/Tender/SplashBidNoticeAbstractUI.aspx?menuIndex=3&amp;refID=7188784&amp;Result=3","7188784")</f>
        <v>0</v>
      </c>
      <c r="B6352" t="s">
        <v>1349</v>
      </c>
      <c r="C6352" t="s">
        <v>9823</v>
      </c>
      <c r="D6352" t="s">
        <v>19016</v>
      </c>
      <c r="E6352" t="s">
        <v>24633</v>
      </c>
      <c r="F6352" t="s">
        <v>32606</v>
      </c>
      <c r="G6352" t="s">
        <v>32613</v>
      </c>
      <c r="H6352" t="s">
        <v>14201</v>
      </c>
      <c r="I6352" t="s">
        <v>32693</v>
      </c>
      <c r="J6352" t="s">
        <v>33263</v>
      </c>
      <c r="K6352" t="s">
        <v>42648</v>
      </c>
      <c r="M6352" t="s">
        <v>44323</v>
      </c>
      <c r="N6352" t="s">
        <v>47304</v>
      </c>
      <c r="O6352" t="s">
        <v>47305</v>
      </c>
      <c r="P6352">
        <v>0</v>
      </c>
      <c r="Q6352">
        <v>1</v>
      </c>
      <c r="R6352" t="s">
        <v>47311</v>
      </c>
      <c r="S6352" t="s">
        <v>47443</v>
      </c>
      <c r="T6352" t="s">
        <v>49140</v>
      </c>
      <c r="U6352" t="s">
        <v>54828</v>
      </c>
      <c r="W6352" t="s">
        <v>44323</v>
      </c>
      <c r="X6352" t="s">
        <v>47313</v>
      </c>
    </row>
    <row r="6353" spans="1:24">
      <c r="A6353">
        <f>HYPERLINK("https://www.philgeps.gov.ph/GEPSNONPILOT/Tender/SplashBidNoticeAbstractUI.aspx?menuIndex=3&amp;refID=7188771&amp;Result=3","7188771")</f>
        <v>0</v>
      </c>
      <c r="B6353" t="s">
        <v>2117</v>
      </c>
      <c r="C6353" t="s">
        <v>9824</v>
      </c>
      <c r="D6353" t="s">
        <v>19063</v>
      </c>
      <c r="E6353" t="s">
        <v>24634</v>
      </c>
      <c r="F6353" t="s">
        <v>32606</v>
      </c>
      <c r="G6353" t="s">
        <v>32613</v>
      </c>
      <c r="H6353" t="s">
        <v>14201</v>
      </c>
      <c r="I6353" t="s">
        <v>32673</v>
      </c>
      <c r="J6353" t="s">
        <v>36858</v>
      </c>
      <c r="K6353" t="s">
        <v>42623</v>
      </c>
      <c r="M6353" t="s">
        <v>45204</v>
      </c>
      <c r="N6353" t="s">
        <v>47304</v>
      </c>
      <c r="O6353" t="s">
        <v>47305</v>
      </c>
      <c r="P6353">
        <v>0</v>
      </c>
      <c r="Q6353">
        <v>0</v>
      </c>
      <c r="R6353" t="s">
        <v>47311</v>
      </c>
      <c r="S6353" t="s">
        <v>47443</v>
      </c>
      <c r="T6353" t="s">
        <v>49086</v>
      </c>
      <c r="U6353" t="s">
        <v>54829</v>
      </c>
      <c r="W6353" t="s">
        <v>45204</v>
      </c>
      <c r="X6353" t="s">
        <v>47313</v>
      </c>
    </row>
    <row r="6354" spans="1:24">
      <c r="A6354">
        <f>HYPERLINK("https://www.philgeps.gov.ph/GEPSNONPILOT/Tender/SplashBidNoticeAbstractUI.aspx?menuIndex=3&amp;refID=7188737&amp;Result=3","7188737")</f>
        <v>0</v>
      </c>
      <c r="B6354" t="s">
        <v>2118</v>
      </c>
      <c r="C6354" t="s">
        <v>9825</v>
      </c>
      <c r="D6354" t="s">
        <v>19003</v>
      </c>
      <c r="E6354" t="s">
        <v>20399</v>
      </c>
      <c r="F6354" t="s">
        <v>32608</v>
      </c>
      <c r="G6354" t="s">
        <v>32619</v>
      </c>
      <c r="H6354" t="s">
        <v>14201</v>
      </c>
      <c r="I6354" t="s">
        <v>4120</v>
      </c>
      <c r="J6354" t="s">
        <v>36859</v>
      </c>
      <c r="K6354" t="s">
        <v>42663</v>
      </c>
      <c r="M6354" t="s">
        <v>45205</v>
      </c>
      <c r="N6354" t="s">
        <v>47304</v>
      </c>
      <c r="O6354" t="s">
        <v>47305</v>
      </c>
      <c r="P6354">
        <v>0</v>
      </c>
      <c r="Q6354">
        <v>0</v>
      </c>
      <c r="R6354" t="s">
        <v>47311</v>
      </c>
      <c r="S6354" t="s">
        <v>47443</v>
      </c>
      <c r="T6354" t="s">
        <v>49042</v>
      </c>
      <c r="U6354" t="s">
        <v>54830</v>
      </c>
      <c r="W6354" t="s">
        <v>45205</v>
      </c>
      <c r="X6354" t="s">
        <v>47313</v>
      </c>
    </row>
    <row r="6355" spans="1:24">
      <c r="A6355">
        <f>HYPERLINK("https://www.philgeps.gov.ph/GEPSNONPILOT/Tender/SplashBidNoticeAbstractUI.aspx?menuIndex=3&amp;refID=7188697&amp;Result=3","7188697")</f>
        <v>0</v>
      </c>
      <c r="B6355" t="s">
        <v>1275</v>
      </c>
      <c r="C6355" t="s">
        <v>9826</v>
      </c>
      <c r="D6355" t="s">
        <v>19035</v>
      </c>
      <c r="E6355" t="s">
        <v>24635</v>
      </c>
      <c r="F6355" t="s">
        <v>32606</v>
      </c>
      <c r="G6355" t="s">
        <v>32613</v>
      </c>
      <c r="H6355" t="s">
        <v>14201</v>
      </c>
      <c r="I6355" t="s">
        <v>6993</v>
      </c>
      <c r="J6355" t="s">
        <v>36125</v>
      </c>
      <c r="K6355" t="s">
        <v>42622</v>
      </c>
      <c r="M6355" t="s">
        <v>45200</v>
      </c>
      <c r="N6355" t="s">
        <v>47304</v>
      </c>
      <c r="O6355" t="s">
        <v>47305</v>
      </c>
      <c r="P6355">
        <v>0</v>
      </c>
      <c r="Q6355">
        <v>1</v>
      </c>
      <c r="R6355" t="s">
        <v>47311</v>
      </c>
      <c r="S6355" t="s">
        <v>47443</v>
      </c>
      <c r="T6355" t="s">
        <v>48980</v>
      </c>
      <c r="U6355" t="s">
        <v>54831</v>
      </c>
      <c r="W6355" t="s">
        <v>45200</v>
      </c>
      <c r="X6355" t="s">
        <v>47313</v>
      </c>
    </row>
    <row r="6356" spans="1:24">
      <c r="A6356">
        <f>HYPERLINK("https://www.philgeps.gov.ph/GEPSNONPILOT/Tender/SplashBidNoticeAbstractUI.aspx?menuIndex=3&amp;refID=7188643&amp;Result=3","7188643")</f>
        <v>0</v>
      </c>
      <c r="B6356" t="s">
        <v>844</v>
      </c>
      <c r="C6356" t="s">
        <v>9827</v>
      </c>
      <c r="D6356" t="s">
        <v>19056</v>
      </c>
      <c r="E6356" t="s">
        <v>24636</v>
      </c>
      <c r="F6356" t="s">
        <v>32606</v>
      </c>
      <c r="G6356" t="s">
        <v>32613</v>
      </c>
      <c r="H6356" t="s">
        <v>32623</v>
      </c>
      <c r="I6356" t="s">
        <v>17648</v>
      </c>
      <c r="J6356" t="s">
        <v>36860</v>
      </c>
      <c r="K6356" t="s">
        <v>42784</v>
      </c>
      <c r="L6356" t="s">
        <v>844</v>
      </c>
      <c r="M6356" t="s">
        <v>43776</v>
      </c>
      <c r="N6356" t="s">
        <v>47304</v>
      </c>
      <c r="O6356" t="s">
        <v>47305</v>
      </c>
      <c r="P6356">
        <v>0</v>
      </c>
      <c r="Q6356">
        <v>2</v>
      </c>
      <c r="R6356" t="s">
        <v>47311</v>
      </c>
      <c r="S6356" t="s">
        <v>47443</v>
      </c>
      <c r="T6356" t="s">
        <v>49157</v>
      </c>
      <c r="U6356" t="s">
        <v>54832</v>
      </c>
      <c r="V6356" t="s">
        <v>63249</v>
      </c>
      <c r="W6356" t="s">
        <v>43776</v>
      </c>
      <c r="X6356" t="s">
        <v>47313</v>
      </c>
    </row>
    <row r="6357" spans="1:24">
      <c r="A6357">
        <f>HYPERLINK("https://www.philgeps.gov.ph/GEPSNONPILOT/Tender/SplashBidNoticeAbstractUI.aspx?menuIndex=3&amp;refID=7188605&amp;Result=3","7188605")</f>
        <v>0</v>
      </c>
      <c r="B6357" t="s">
        <v>844</v>
      </c>
      <c r="C6357" t="s">
        <v>9828</v>
      </c>
      <c r="D6357" t="s">
        <v>19056</v>
      </c>
      <c r="E6357" t="s">
        <v>24637</v>
      </c>
      <c r="F6357" t="s">
        <v>32606</v>
      </c>
      <c r="G6357" t="s">
        <v>32613</v>
      </c>
      <c r="H6357" t="s">
        <v>32623</v>
      </c>
      <c r="I6357" t="s">
        <v>17648</v>
      </c>
      <c r="J6357" t="s">
        <v>36861</v>
      </c>
      <c r="K6357" t="s">
        <v>42631</v>
      </c>
      <c r="L6357" t="s">
        <v>844</v>
      </c>
      <c r="M6357" t="s">
        <v>43776</v>
      </c>
      <c r="N6357" t="s">
        <v>47304</v>
      </c>
      <c r="O6357" t="s">
        <v>47305</v>
      </c>
      <c r="P6357">
        <v>0</v>
      </c>
      <c r="Q6357">
        <v>1</v>
      </c>
      <c r="R6357" t="s">
        <v>47311</v>
      </c>
      <c r="S6357" t="s">
        <v>47443</v>
      </c>
      <c r="T6357" t="s">
        <v>49157</v>
      </c>
      <c r="U6357" t="s">
        <v>54833</v>
      </c>
      <c r="V6357" t="s">
        <v>63249</v>
      </c>
      <c r="W6357" t="s">
        <v>43776</v>
      </c>
      <c r="X6357" t="s">
        <v>47313</v>
      </c>
    </row>
    <row r="6358" spans="1:24">
      <c r="A6358">
        <f>HYPERLINK("https://www.philgeps.gov.ph/GEPSNONPILOT/Tender/SplashBidNoticeAbstractUI.aspx?menuIndex=3&amp;refID=7188871&amp;Result=3","7188871")</f>
        <v>0</v>
      </c>
      <c r="B6358" t="s">
        <v>2109</v>
      </c>
      <c r="C6358" t="s">
        <v>9829</v>
      </c>
      <c r="D6358" t="s">
        <v>18988</v>
      </c>
      <c r="E6358" t="s">
        <v>24638</v>
      </c>
      <c r="F6358" t="s">
        <v>32606</v>
      </c>
      <c r="G6358" t="s">
        <v>32613</v>
      </c>
      <c r="H6358" t="s">
        <v>14201</v>
      </c>
      <c r="I6358" t="s">
        <v>32662</v>
      </c>
      <c r="J6358" t="s">
        <v>33039</v>
      </c>
      <c r="K6358" t="s">
        <v>42624</v>
      </c>
      <c r="M6358" t="s">
        <v>45194</v>
      </c>
      <c r="N6358" t="s">
        <v>47304</v>
      </c>
      <c r="O6358" t="s">
        <v>47305</v>
      </c>
      <c r="P6358">
        <v>0</v>
      </c>
      <c r="Q6358">
        <v>16</v>
      </c>
      <c r="R6358" t="s">
        <v>47311</v>
      </c>
      <c r="S6358" t="s">
        <v>47443</v>
      </c>
      <c r="T6358" t="s">
        <v>49234</v>
      </c>
      <c r="U6358" t="s">
        <v>54807</v>
      </c>
      <c r="W6358" t="s">
        <v>45194</v>
      </c>
      <c r="X6358" t="s">
        <v>47313</v>
      </c>
    </row>
    <row r="6359" spans="1:24">
      <c r="A6359">
        <f>HYPERLINK("https://www.philgeps.gov.ph/GEPSNONPILOT/Tender/SplashBidNoticeAbstractUI.aspx?menuIndex=3&amp;refID=7188599&amp;Result=3","7188599")</f>
        <v>0</v>
      </c>
      <c r="B6359" t="s">
        <v>2119</v>
      </c>
      <c r="C6359" t="s">
        <v>9830</v>
      </c>
      <c r="D6359" t="s">
        <v>18993</v>
      </c>
      <c r="E6359" t="s">
        <v>24639</v>
      </c>
      <c r="F6359" t="s">
        <v>32607</v>
      </c>
      <c r="G6359" t="s">
        <v>32613</v>
      </c>
      <c r="H6359" t="s">
        <v>14201</v>
      </c>
      <c r="I6359" t="s">
        <v>32721</v>
      </c>
      <c r="J6359" t="s">
        <v>32789</v>
      </c>
      <c r="K6359" t="s">
        <v>42631</v>
      </c>
      <c r="M6359" t="s">
        <v>45206</v>
      </c>
      <c r="N6359" t="s">
        <v>47304</v>
      </c>
      <c r="O6359" t="s">
        <v>47305</v>
      </c>
      <c r="P6359">
        <v>0</v>
      </c>
      <c r="Q6359">
        <v>0</v>
      </c>
      <c r="R6359" t="s">
        <v>47311</v>
      </c>
      <c r="S6359" t="s">
        <v>47443</v>
      </c>
      <c r="T6359" t="s">
        <v>49234</v>
      </c>
      <c r="U6359" t="s">
        <v>54834</v>
      </c>
      <c r="V6359" t="s">
        <v>63251</v>
      </c>
      <c r="W6359" t="s">
        <v>45206</v>
      </c>
      <c r="X6359" t="s">
        <v>47313</v>
      </c>
    </row>
    <row r="6360" spans="1:24">
      <c r="A6360">
        <f>HYPERLINK("https://www.philgeps.gov.ph/GEPSNONPILOT/Tender/SplashBidNoticeAbstractUI.aspx?menuIndex=3&amp;refID=7188573&amp;Result=3","7188573")</f>
        <v>0</v>
      </c>
      <c r="B6360" t="s">
        <v>1275</v>
      </c>
      <c r="C6360" t="s">
        <v>9831</v>
      </c>
      <c r="D6360" t="s">
        <v>19035</v>
      </c>
      <c r="E6360" t="s">
        <v>19865</v>
      </c>
      <c r="F6360" t="s">
        <v>32606</v>
      </c>
      <c r="G6360" t="s">
        <v>32613</v>
      </c>
      <c r="H6360" t="s">
        <v>14201</v>
      </c>
      <c r="I6360" t="s">
        <v>6931</v>
      </c>
      <c r="J6360" t="s">
        <v>36862</v>
      </c>
      <c r="K6360" t="s">
        <v>42622</v>
      </c>
      <c r="M6360" t="s">
        <v>45200</v>
      </c>
      <c r="N6360" t="s">
        <v>47304</v>
      </c>
      <c r="O6360" t="s">
        <v>47305</v>
      </c>
      <c r="P6360">
        <v>0</v>
      </c>
      <c r="Q6360">
        <v>2</v>
      </c>
      <c r="R6360" t="s">
        <v>47311</v>
      </c>
      <c r="S6360" t="s">
        <v>47443</v>
      </c>
      <c r="T6360" t="s">
        <v>48980</v>
      </c>
      <c r="U6360" t="s">
        <v>54835</v>
      </c>
      <c r="W6360" t="s">
        <v>45200</v>
      </c>
      <c r="X6360" t="s">
        <v>47313</v>
      </c>
    </row>
    <row r="6361" spans="1:24">
      <c r="A6361">
        <f>HYPERLINK("https://www.philgeps.gov.ph/GEPSNONPILOT/Tender/SplashBidNoticeAbstractUI.aspx?menuIndex=3&amp;refID=7189065&amp;Result=3","7189065")</f>
        <v>0</v>
      </c>
      <c r="B6361" t="s">
        <v>589</v>
      </c>
      <c r="C6361" t="s">
        <v>9832</v>
      </c>
      <c r="D6361" t="s">
        <v>19003</v>
      </c>
      <c r="E6361" t="s">
        <v>24640</v>
      </c>
      <c r="F6361" t="s">
        <v>32607</v>
      </c>
      <c r="G6361" t="s">
        <v>32613</v>
      </c>
      <c r="H6361" t="s">
        <v>14201</v>
      </c>
      <c r="I6361" t="s">
        <v>6931</v>
      </c>
      <c r="J6361" t="s">
        <v>36863</v>
      </c>
      <c r="K6361" t="s">
        <v>42622</v>
      </c>
      <c r="M6361" t="s">
        <v>43504</v>
      </c>
      <c r="N6361" t="s">
        <v>47304</v>
      </c>
      <c r="O6361" t="s">
        <v>47305</v>
      </c>
      <c r="P6361">
        <v>0</v>
      </c>
      <c r="Q6361">
        <v>0</v>
      </c>
      <c r="R6361" t="s">
        <v>47311</v>
      </c>
      <c r="S6361" t="s">
        <v>47443</v>
      </c>
      <c r="T6361" t="s">
        <v>49111</v>
      </c>
      <c r="U6361" t="s">
        <v>54836</v>
      </c>
      <c r="W6361" t="s">
        <v>43504</v>
      </c>
      <c r="X6361" t="s">
        <v>47313</v>
      </c>
    </row>
    <row r="6362" spans="1:24">
      <c r="A6362">
        <f>HYPERLINK("https://www.philgeps.gov.ph/GEPSNONPILOT/Tender/SplashBidNoticeAbstractUI.aspx?menuIndex=3&amp;refID=7188405&amp;Result=3","7188405")</f>
        <v>0</v>
      </c>
      <c r="B6362" t="s">
        <v>2120</v>
      </c>
      <c r="C6362" t="s">
        <v>9833</v>
      </c>
      <c r="D6362" t="s">
        <v>18993</v>
      </c>
      <c r="E6362" t="s">
        <v>24641</v>
      </c>
      <c r="F6362" t="s">
        <v>32606</v>
      </c>
      <c r="G6362" t="s">
        <v>32614</v>
      </c>
      <c r="H6362" t="s">
        <v>32623</v>
      </c>
      <c r="I6362" t="s">
        <v>17648</v>
      </c>
      <c r="J6362" t="s">
        <v>32995</v>
      </c>
      <c r="K6362" t="s">
        <v>42666</v>
      </c>
      <c r="M6362" t="s">
        <v>45207</v>
      </c>
      <c r="N6362" t="s">
        <v>47304</v>
      </c>
      <c r="O6362" t="s">
        <v>47305</v>
      </c>
      <c r="P6362">
        <v>0</v>
      </c>
      <c r="Q6362">
        <v>5</v>
      </c>
      <c r="R6362" t="s">
        <v>47311</v>
      </c>
      <c r="S6362" t="s">
        <v>47443</v>
      </c>
      <c r="T6362" t="s">
        <v>49010</v>
      </c>
      <c r="U6362" t="s">
        <v>54837</v>
      </c>
      <c r="V6362" t="s">
        <v>63252</v>
      </c>
      <c r="W6362" t="s">
        <v>45207</v>
      </c>
      <c r="X6362" t="s">
        <v>47313</v>
      </c>
    </row>
    <row r="6363" spans="1:24">
      <c r="A6363">
        <f>HYPERLINK("https://www.philgeps.gov.ph/GEPSNONPILOT/Tender/SplashBidNoticeAbstractUI.aspx?menuIndex=3&amp;refID=7189913&amp;Result=3","7189913")</f>
        <v>0</v>
      </c>
      <c r="B6363" t="s">
        <v>2121</v>
      </c>
      <c r="C6363" t="s">
        <v>9834</v>
      </c>
      <c r="D6363" t="s">
        <v>19007</v>
      </c>
      <c r="E6363" t="s">
        <v>24642</v>
      </c>
      <c r="F6363" t="s">
        <v>32606</v>
      </c>
      <c r="G6363" t="s">
        <v>32613</v>
      </c>
      <c r="H6363" t="s">
        <v>32623</v>
      </c>
      <c r="I6363" t="s">
        <v>17648</v>
      </c>
      <c r="J6363" t="s">
        <v>36864</v>
      </c>
      <c r="K6363" t="s">
        <v>42631</v>
      </c>
      <c r="M6363" t="s">
        <v>45208</v>
      </c>
      <c r="N6363" t="s">
        <v>47304</v>
      </c>
      <c r="O6363" t="s">
        <v>47305</v>
      </c>
      <c r="P6363">
        <v>0</v>
      </c>
      <c r="Q6363">
        <v>0</v>
      </c>
      <c r="R6363" t="s">
        <v>47311</v>
      </c>
      <c r="S6363" t="s">
        <v>47443</v>
      </c>
      <c r="T6363" t="s">
        <v>49146</v>
      </c>
      <c r="U6363" t="s">
        <v>54838</v>
      </c>
      <c r="W6363" t="s">
        <v>45208</v>
      </c>
      <c r="X6363" t="s">
        <v>47313</v>
      </c>
    </row>
    <row r="6364" spans="1:24">
      <c r="A6364">
        <f>HYPERLINK("https://www.philgeps.gov.ph/GEPSNONPILOT/Tender/SplashBidNoticeAbstractUI.aspx?menuIndex=3&amp;refID=7189863&amp;Result=3","7189863")</f>
        <v>0</v>
      </c>
      <c r="B6364" t="s">
        <v>1237</v>
      </c>
      <c r="C6364" t="s">
        <v>9835</v>
      </c>
      <c r="D6364" t="s">
        <v>19003</v>
      </c>
      <c r="E6364" t="s">
        <v>24643</v>
      </c>
      <c r="F6364" t="s">
        <v>32606</v>
      </c>
      <c r="G6364" t="s">
        <v>32614</v>
      </c>
      <c r="H6364" t="s">
        <v>14201</v>
      </c>
      <c r="I6364" t="s">
        <v>4120</v>
      </c>
      <c r="J6364" t="s">
        <v>36865</v>
      </c>
      <c r="K6364" t="s">
        <v>42632</v>
      </c>
      <c r="M6364" t="s">
        <v>44202</v>
      </c>
      <c r="N6364" t="s">
        <v>47304</v>
      </c>
      <c r="O6364" t="s">
        <v>47305</v>
      </c>
      <c r="P6364">
        <v>0</v>
      </c>
      <c r="Q6364">
        <v>3</v>
      </c>
      <c r="R6364" t="s">
        <v>47311</v>
      </c>
      <c r="S6364" t="s">
        <v>47443</v>
      </c>
      <c r="T6364" t="s">
        <v>49331</v>
      </c>
      <c r="U6364" t="s">
        <v>54839</v>
      </c>
      <c r="W6364" t="s">
        <v>44202</v>
      </c>
      <c r="X6364" t="s">
        <v>47313</v>
      </c>
    </row>
    <row r="6365" spans="1:24">
      <c r="A6365">
        <f>HYPERLINK("https://www.philgeps.gov.ph/GEPSNONPILOT/Tender/SplashBidNoticeAbstractUI.aspx?menuIndex=3&amp;refID=7189819&amp;Result=3","7189819")</f>
        <v>0</v>
      </c>
      <c r="B6365" t="s">
        <v>2122</v>
      </c>
      <c r="C6365" t="s">
        <v>9836</v>
      </c>
      <c r="E6365" t="s">
        <v>19786</v>
      </c>
      <c r="F6365" t="s">
        <v>32606</v>
      </c>
      <c r="G6365" t="s">
        <v>32614</v>
      </c>
      <c r="H6365" t="s">
        <v>14201</v>
      </c>
      <c r="I6365" t="s">
        <v>4369</v>
      </c>
      <c r="J6365" t="s">
        <v>36866</v>
      </c>
      <c r="K6365" t="s">
        <v>42624</v>
      </c>
      <c r="M6365" t="s">
        <v>45209</v>
      </c>
      <c r="N6365" t="s">
        <v>47304</v>
      </c>
      <c r="O6365" t="s">
        <v>47305</v>
      </c>
      <c r="P6365">
        <v>0</v>
      </c>
      <c r="Q6365">
        <v>4</v>
      </c>
      <c r="R6365" t="s">
        <v>47311</v>
      </c>
      <c r="S6365" t="s">
        <v>47443</v>
      </c>
      <c r="T6365" t="s">
        <v>49072</v>
      </c>
      <c r="U6365" t="s">
        <v>54840</v>
      </c>
      <c r="W6365" t="s">
        <v>45209</v>
      </c>
      <c r="X6365" t="s">
        <v>47313</v>
      </c>
    </row>
    <row r="6366" spans="1:24">
      <c r="A6366">
        <f>HYPERLINK("https://www.philgeps.gov.ph/GEPSNONPILOT/Tender/SplashBidNoticeAbstractUI.aspx?menuIndex=3&amp;refID=7189734&amp;Result=3","7189734")</f>
        <v>0</v>
      </c>
      <c r="B6366" t="s">
        <v>2123</v>
      </c>
      <c r="C6366" t="s">
        <v>4830</v>
      </c>
      <c r="D6366" t="s">
        <v>19003</v>
      </c>
      <c r="E6366" t="s">
        <v>24644</v>
      </c>
      <c r="F6366" t="s">
        <v>32608</v>
      </c>
      <c r="G6366" t="s">
        <v>32619</v>
      </c>
      <c r="H6366" t="s">
        <v>14201</v>
      </c>
      <c r="I6366" t="s">
        <v>4120</v>
      </c>
      <c r="J6366" t="s">
        <v>36867</v>
      </c>
      <c r="K6366" t="s">
        <v>42629</v>
      </c>
      <c r="M6366" t="s">
        <v>45210</v>
      </c>
      <c r="N6366" t="s">
        <v>47304</v>
      </c>
      <c r="O6366" t="s">
        <v>47305</v>
      </c>
      <c r="P6366">
        <v>0</v>
      </c>
      <c r="Q6366">
        <v>1</v>
      </c>
      <c r="R6366" t="s">
        <v>47311</v>
      </c>
      <c r="S6366" t="s">
        <v>47443</v>
      </c>
      <c r="T6366" t="s">
        <v>49343</v>
      </c>
      <c r="U6366" t="s">
        <v>54841</v>
      </c>
      <c r="W6366" t="s">
        <v>45210</v>
      </c>
      <c r="X6366" t="s">
        <v>47313</v>
      </c>
    </row>
    <row r="6367" spans="1:24">
      <c r="A6367">
        <f>HYPERLINK("https://www.philgeps.gov.ph/GEPSNONPILOT/Tender/SplashBidNoticeAbstractUI.aspx?menuIndex=3&amp;refID=7189718&amp;Result=3","7189718")</f>
        <v>0</v>
      </c>
      <c r="B6367" t="s">
        <v>2124</v>
      </c>
      <c r="C6367" t="s">
        <v>9837</v>
      </c>
      <c r="D6367" t="s">
        <v>19004</v>
      </c>
      <c r="E6367" t="s">
        <v>23622</v>
      </c>
      <c r="F6367" t="s">
        <v>32606</v>
      </c>
      <c r="G6367" t="s">
        <v>32613</v>
      </c>
      <c r="H6367" t="s">
        <v>32623</v>
      </c>
      <c r="I6367" t="s">
        <v>17648</v>
      </c>
      <c r="J6367" t="s">
        <v>36868</v>
      </c>
      <c r="K6367" t="s">
        <v>42645</v>
      </c>
      <c r="M6367" t="s">
        <v>45211</v>
      </c>
      <c r="N6367" t="s">
        <v>47304</v>
      </c>
      <c r="O6367" t="s">
        <v>47305</v>
      </c>
      <c r="P6367">
        <v>0</v>
      </c>
      <c r="Q6367">
        <v>8</v>
      </c>
      <c r="R6367" t="s">
        <v>47311</v>
      </c>
      <c r="S6367" t="s">
        <v>47443</v>
      </c>
      <c r="T6367" t="s">
        <v>48973</v>
      </c>
      <c r="U6367" t="s">
        <v>54842</v>
      </c>
      <c r="W6367" t="s">
        <v>45211</v>
      </c>
      <c r="X6367" t="s">
        <v>47313</v>
      </c>
    </row>
    <row r="6368" spans="1:24">
      <c r="A6368">
        <f>HYPERLINK("https://www.philgeps.gov.ph/GEPSNONPILOT/Tender/SplashBidNoticeAbstractUI.aspx?menuIndex=3&amp;refID=7189676&amp;Result=3","7189676")</f>
        <v>0</v>
      </c>
      <c r="B6368" t="s">
        <v>2125</v>
      </c>
      <c r="C6368" t="s">
        <v>9838</v>
      </c>
      <c r="D6368" t="s">
        <v>19061</v>
      </c>
      <c r="E6368" t="s">
        <v>24645</v>
      </c>
      <c r="F6368" t="s">
        <v>32606</v>
      </c>
      <c r="G6368" t="s">
        <v>32613</v>
      </c>
      <c r="H6368" t="s">
        <v>32623</v>
      </c>
      <c r="I6368" t="s">
        <v>17648</v>
      </c>
      <c r="J6368" t="s">
        <v>36532</v>
      </c>
      <c r="K6368" t="s">
        <v>42650</v>
      </c>
      <c r="M6368" t="s">
        <v>45212</v>
      </c>
      <c r="N6368" t="s">
        <v>47304</v>
      </c>
      <c r="O6368" t="s">
        <v>47305</v>
      </c>
      <c r="P6368">
        <v>0</v>
      </c>
      <c r="Q6368">
        <v>3</v>
      </c>
      <c r="R6368" t="s">
        <v>47311</v>
      </c>
      <c r="S6368" t="s">
        <v>47443</v>
      </c>
      <c r="T6368" t="s">
        <v>49032</v>
      </c>
      <c r="U6368" t="s">
        <v>54843</v>
      </c>
      <c r="W6368" t="s">
        <v>45212</v>
      </c>
      <c r="X6368" t="s">
        <v>47313</v>
      </c>
    </row>
    <row r="6369" spans="1:24">
      <c r="A6369">
        <f>HYPERLINK("https://www.philgeps.gov.ph/GEPSNONPILOT/Tender/SplashBidNoticeAbstractUI.aspx?menuIndex=3&amp;refID=7189670&amp;Result=3","7189670")</f>
        <v>0</v>
      </c>
      <c r="B6369" t="s">
        <v>102</v>
      </c>
      <c r="C6369" t="s">
        <v>9839</v>
      </c>
      <c r="D6369" t="s">
        <v>19006</v>
      </c>
      <c r="E6369" t="s">
        <v>24646</v>
      </c>
      <c r="F6369" t="s">
        <v>32606</v>
      </c>
      <c r="G6369" t="s">
        <v>32613</v>
      </c>
      <c r="H6369" t="s">
        <v>14201</v>
      </c>
      <c r="I6369" t="s">
        <v>4678</v>
      </c>
      <c r="J6369" t="s">
        <v>36869</v>
      </c>
      <c r="K6369" t="s">
        <v>42623</v>
      </c>
      <c r="M6369" t="s">
        <v>43344</v>
      </c>
      <c r="N6369" t="s">
        <v>47304</v>
      </c>
      <c r="O6369" t="s">
        <v>47305</v>
      </c>
      <c r="P6369">
        <v>0</v>
      </c>
      <c r="Q6369">
        <v>3</v>
      </c>
      <c r="R6369" t="s">
        <v>47311</v>
      </c>
      <c r="S6369" t="s">
        <v>47443</v>
      </c>
      <c r="T6369" t="s">
        <v>49342</v>
      </c>
      <c r="U6369" t="s">
        <v>54785</v>
      </c>
      <c r="V6369" t="s">
        <v>63244</v>
      </c>
      <c r="W6369" t="s">
        <v>43344</v>
      </c>
      <c r="X6369" t="s">
        <v>47313</v>
      </c>
    </row>
    <row r="6370" spans="1:24">
      <c r="A6370">
        <f>HYPERLINK("https://www.philgeps.gov.ph/GEPSNONPILOT/Tender/SplashBidNoticeAbstractUI.aspx?menuIndex=3&amp;refID=7189659&amp;Result=3","7189659")</f>
        <v>0</v>
      </c>
      <c r="B6370" t="s">
        <v>102</v>
      </c>
      <c r="C6370" t="s">
        <v>9840</v>
      </c>
      <c r="D6370" t="s">
        <v>19006</v>
      </c>
      <c r="E6370" t="s">
        <v>24647</v>
      </c>
      <c r="F6370" t="s">
        <v>32606</v>
      </c>
      <c r="G6370" t="s">
        <v>32613</v>
      </c>
      <c r="H6370" t="s">
        <v>14201</v>
      </c>
      <c r="I6370" t="s">
        <v>6931</v>
      </c>
      <c r="J6370" t="s">
        <v>36870</v>
      </c>
      <c r="K6370" t="s">
        <v>42623</v>
      </c>
      <c r="M6370" t="s">
        <v>43344</v>
      </c>
      <c r="N6370" t="s">
        <v>47304</v>
      </c>
      <c r="O6370" t="s">
        <v>47305</v>
      </c>
      <c r="P6370">
        <v>0</v>
      </c>
      <c r="Q6370">
        <v>1</v>
      </c>
      <c r="R6370" t="s">
        <v>47311</v>
      </c>
      <c r="S6370" t="s">
        <v>47443</v>
      </c>
      <c r="T6370" t="s">
        <v>49342</v>
      </c>
      <c r="U6370" t="s">
        <v>54785</v>
      </c>
      <c r="V6370" t="s">
        <v>63250</v>
      </c>
      <c r="W6370" t="s">
        <v>43344</v>
      </c>
      <c r="X6370" t="s">
        <v>47313</v>
      </c>
    </row>
    <row r="6371" spans="1:24">
      <c r="A6371">
        <f>HYPERLINK("https://www.philgeps.gov.ph/GEPSNONPILOT/Tender/SplashBidNoticeAbstractUI.aspx?menuIndex=3&amp;refID=7189633&amp;Result=3","7189633")</f>
        <v>0</v>
      </c>
      <c r="B6371" t="s">
        <v>2126</v>
      </c>
      <c r="C6371" t="s">
        <v>9841</v>
      </c>
      <c r="D6371" t="s">
        <v>19016</v>
      </c>
      <c r="E6371" t="s">
        <v>24648</v>
      </c>
      <c r="F6371" t="s">
        <v>32606</v>
      </c>
      <c r="G6371" t="s">
        <v>32613</v>
      </c>
      <c r="H6371" t="s">
        <v>14201</v>
      </c>
      <c r="I6371" t="s">
        <v>4678</v>
      </c>
      <c r="J6371" t="s">
        <v>33051</v>
      </c>
      <c r="K6371" t="s">
        <v>42631</v>
      </c>
      <c r="M6371" t="s">
        <v>45213</v>
      </c>
      <c r="N6371" t="s">
        <v>47304</v>
      </c>
      <c r="O6371" t="s">
        <v>47305</v>
      </c>
      <c r="P6371">
        <v>0</v>
      </c>
      <c r="Q6371">
        <v>3</v>
      </c>
      <c r="R6371" t="s">
        <v>47311</v>
      </c>
      <c r="S6371" t="s">
        <v>47443</v>
      </c>
      <c r="T6371" t="s">
        <v>49009</v>
      </c>
      <c r="U6371" t="s">
        <v>54844</v>
      </c>
      <c r="W6371" t="s">
        <v>45213</v>
      </c>
      <c r="X6371" t="s">
        <v>47313</v>
      </c>
    </row>
    <row r="6372" spans="1:24">
      <c r="A6372">
        <f>HYPERLINK("https://www.philgeps.gov.ph/GEPSNONPILOT/Tender/SplashBidNoticeAbstractUI.aspx?menuIndex=3&amp;refID=7189589&amp;Result=3","7189589")</f>
        <v>0</v>
      </c>
      <c r="B6372" t="s">
        <v>2126</v>
      </c>
      <c r="C6372" t="s">
        <v>9842</v>
      </c>
      <c r="D6372" t="s">
        <v>19016</v>
      </c>
      <c r="E6372" t="s">
        <v>24649</v>
      </c>
      <c r="F6372" t="s">
        <v>32606</v>
      </c>
      <c r="G6372" t="s">
        <v>32613</v>
      </c>
      <c r="H6372" t="s">
        <v>14201</v>
      </c>
      <c r="I6372" t="s">
        <v>32635</v>
      </c>
      <c r="J6372" t="s">
        <v>34128</v>
      </c>
      <c r="K6372" t="s">
        <v>42639</v>
      </c>
      <c r="M6372" t="s">
        <v>45213</v>
      </c>
      <c r="N6372" t="s">
        <v>47304</v>
      </c>
      <c r="O6372" t="s">
        <v>47305</v>
      </c>
      <c r="P6372">
        <v>0</v>
      </c>
      <c r="Q6372">
        <v>6</v>
      </c>
      <c r="R6372" t="s">
        <v>47311</v>
      </c>
      <c r="S6372" t="s">
        <v>47443</v>
      </c>
      <c r="T6372" t="s">
        <v>49009</v>
      </c>
      <c r="U6372" t="s">
        <v>54845</v>
      </c>
      <c r="W6372" t="s">
        <v>45213</v>
      </c>
      <c r="X6372" t="s">
        <v>47313</v>
      </c>
    </row>
    <row r="6373" spans="1:24">
      <c r="A6373">
        <f>HYPERLINK("https://www.philgeps.gov.ph/GEPSNONPILOT/Tender/SplashBidNoticeAbstractUI.aspx?menuIndex=3&amp;refID=7189478&amp;Result=3","7189478")</f>
        <v>0</v>
      </c>
      <c r="B6373" t="s">
        <v>2127</v>
      </c>
      <c r="C6373" t="s">
        <v>9843</v>
      </c>
      <c r="D6373" t="s">
        <v>19003</v>
      </c>
      <c r="E6373" t="s">
        <v>19315</v>
      </c>
      <c r="F6373" t="s">
        <v>32606</v>
      </c>
      <c r="G6373" t="s">
        <v>32613</v>
      </c>
      <c r="H6373" t="s">
        <v>14201</v>
      </c>
      <c r="I6373" t="s">
        <v>32626</v>
      </c>
      <c r="J6373" t="s">
        <v>36871</v>
      </c>
      <c r="K6373" t="s">
        <v>42632</v>
      </c>
      <c r="M6373" t="s">
        <v>45214</v>
      </c>
      <c r="N6373" t="s">
        <v>47304</v>
      </c>
      <c r="O6373" t="s">
        <v>47305</v>
      </c>
      <c r="P6373">
        <v>0</v>
      </c>
      <c r="Q6373">
        <v>1</v>
      </c>
      <c r="R6373" t="s">
        <v>47311</v>
      </c>
      <c r="S6373" t="s">
        <v>47443</v>
      </c>
      <c r="T6373" t="s">
        <v>49213</v>
      </c>
      <c r="U6373" t="s">
        <v>54846</v>
      </c>
      <c r="V6373" t="s">
        <v>63253</v>
      </c>
      <c r="W6373" t="s">
        <v>45214</v>
      </c>
      <c r="X6373" t="s">
        <v>47313</v>
      </c>
    </row>
    <row r="6374" spans="1:24">
      <c r="A6374">
        <f>HYPERLINK("https://www.philgeps.gov.ph/GEPSNONPILOT/Tender/SplashBidNoticeAbstractUI.aspx?menuIndex=3&amp;refID=7189838&amp;Result=3","7189838")</f>
        <v>0</v>
      </c>
      <c r="B6374" t="s">
        <v>2128</v>
      </c>
      <c r="C6374" t="s">
        <v>5816</v>
      </c>
      <c r="D6374" t="s">
        <v>19018</v>
      </c>
      <c r="E6374" t="s">
        <v>24650</v>
      </c>
      <c r="F6374" t="s">
        <v>32606</v>
      </c>
      <c r="G6374" t="s">
        <v>32613</v>
      </c>
      <c r="H6374" t="s">
        <v>32623</v>
      </c>
      <c r="I6374" t="s">
        <v>6931</v>
      </c>
      <c r="J6374" t="s">
        <v>36872</v>
      </c>
      <c r="K6374" t="s">
        <v>42623</v>
      </c>
      <c r="M6374" t="s">
        <v>45215</v>
      </c>
      <c r="N6374" t="s">
        <v>47304</v>
      </c>
      <c r="O6374" t="s">
        <v>47305</v>
      </c>
      <c r="P6374">
        <v>0</v>
      </c>
      <c r="Q6374">
        <v>0</v>
      </c>
      <c r="R6374" t="s">
        <v>47311</v>
      </c>
      <c r="S6374" t="s">
        <v>47443</v>
      </c>
      <c r="T6374" t="s">
        <v>49050</v>
      </c>
      <c r="U6374" t="s">
        <v>54847</v>
      </c>
      <c r="V6374" t="s">
        <v>63231</v>
      </c>
      <c r="W6374" t="s">
        <v>45215</v>
      </c>
      <c r="X6374" t="s">
        <v>47313</v>
      </c>
    </row>
    <row r="6375" spans="1:24">
      <c r="A6375">
        <f>HYPERLINK("https://www.philgeps.gov.ph/GEPSNONPILOT/Tender/SplashBidNoticeAbstractUI.aspx?menuIndex=3&amp;refID=7189443&amp;Result=3","7189443")</f>
        <v>0</v>
      </c>
      <c r="B6375" t="s">
        <v>2129</v>
      </c>
      <c r="C6375" t="s">
        <v>9844</v>
      </c>
      <c r="D6375" t="s">
        <v>19007</v>
      </c>
      <c r="E6375" t="s">
        <v>24651</v>
      </c>
      <c r="F6375" t="s">
        <v>32606</v>
      </c>
      <c r="G6375" t="s">
        <v>32613</v>
      </c>
      <c r="H6375" t="s">
        <v>32623</v>
      </c>
      <c r="I6375" t="s">
        <v>4678</v>
      </c>
      <c r="J6375" t="s">
        <v>32776</v>
      </c>
      <c r="K6375" t="s">
        <v>42623</v>
      </c>
      <c r="M6375" t="s">
        <v>45216</v>
      </c>
      <c r="N6375" t="s">
        <v>47304</v>
      </c>
      <c r="O6375" t="s">
        <v>47305</v>
      </c>
      <c r="P6375">
        <v>0</v>
      </c>
      <c r="Q6375">
        <v>0</v>
      </c>
      <c r="R6375" t="s">
        <v>47311</v>
      </c>
      <c r="S6375" t="s">
        <v>47443</v>
      </c>
      <c r="T6375" t="s">
        <v>48979</v>
      </c>
      <c r="U6375" t="s">
        <v>54848</v>
      </c>
      <c r="W6375" t="s">
        <v>45216</v>
      </c>
      <c r="X6375" t="s">
        <v>47313</v>
      </c>
    </row>
    <row r="6376" spans="1:24">
      <c r="A6376">
        <f>HYPERLINK("https://www.philgeps.gov.ph/GEPSNONPILOT/Tender/SplashBidNoticeAbstractUI.aspx?menuIndex=3&amp;refID=7190027&amp;Result=3","7190027")</f>
        <v>0</v>
      </c>
      <c r="B6376" t="s">
        <v>2130</v>
      </c>
      <c r="C6376" t="s">
        <v>9845</v>
      </c>
      <c r="E6376" t="s">
        <v>24652</v>
      </c>
      <c r="F6376" t="s">
        <v>32606</v>
      </c>
      <c r="G6376" t="s">
        <v>32614</v>
      </c>
      <c r="H6376" t="s">
        <v>14201</v>
      </c>
      <c r="I6376" t="s">
        <v>6298</v>
      </c>
      <c r="J6376" t="s">
        <v>36684</v>
      </c>
      <c r="K6376" t="s">
        <v>42624</v>
      </c>
      <c r="M6376" t="s">
        <v>45217</v>
      </c>
      <c r="N6376" t="s">
        <v>47304</v>
      </c>
      <c r="O6376" t="s">
        <v>47305</v>
      </c>
      <c r="P6376">
        <v>0</v>
      </c>
      <c r="Q6376">
        <v>2</v>
      </c>
      <c r="R6376" t="s">
        <v>47311</v>
      </c>
      <c r="S6376" t="s">
        <v>47443</v>
      </c>
      <c r="T6376" t="s">
        <v>49050</v>
      </c>
      <c r="U6376" t="s">
        <v>54849</v>
      </c>
      <c r="V6376" t="s">
        <v>63254</v>
      </c>
      <c r="W6376" t="s">
        <v>45217</v>
      </c>
      <c r="X6376" t="s">
        <v>47313</v>
      </c>
    </row>
    <row r="6377" spans="1:24">
      <c r="A6377">
        <f>HYPERLINK("https://www.philgeps.gov.ph/GEPSNONPILOT/Tender/SplashBidNoticeAbstractUI.aspx?menuIndex=3&amp;refID=7190023&amp;Result=3","7190023")</f>
        <v>0</v>
      </c>
      <c r="B6377" t="s">
        <v>2130</v>
      </c>
      <c r="C6377" t="s">
        <v>9846</v>
      </c>
      <c r="E6377" t="s">
        <v>24653</v>
      </c>
      <c r="F6377" t="s">
        <v>32606</v>
      </c>
      <c r="G6377" t="s">
        <v>32614</v>
      </c>
      <c r="H6377" t="s">
        <v>14201</v>
      </c>
      <c r="I6377" t="s">
        <v>6298</v>
      </c>
      <c r="J6377" t="s">
        <v>34729</v>
      </c>
      <c r="K6377" t="s">
        <v>42624</v>
      </c>
      <c r="M6377" t="s">
        <v>45217</v>
      </c>
      <c r="N6377" t="s">
        <v>47304</v>
      </c>
      <c r="O6377" t="s">
        <v>47305</v>
      </c>
      <c r="P6377">
        <v>0</v>
      </c>
      <c r="Q6377">
        <v>1</v>
      </c>
      <c r="R6377" t="s">
        <v>47311</v>
      </c>
      <c r="S6377" t="s">
        <v>47443</v>
      </c>
      <c r="T6377" t="s">
        <v>49050</v>
      </c>
      <c r="U6377" t="s">
        <v>54850</v>
      </c>
      <c r="V6377" t="s">
        <v>63254</v>
      </c>
      <c r="W6377" t="s">
        <v>45217</v>
      </c>
      <c r="X6377" t="s">
        <v>47313</v>
      </c>
    </row>
    <row r="6378" spans="1:24">
      <c r="A6378">
        <f>HYPERLINK("https://www.philgeps.gov.ph/GEPSNONPILOT/Tender/SplashBidNoticeAbstractUI.aspx?menuIndex=3&amp;refID=7190016&amp;Result=3","7190016")</f>
        <v>0</v>
      </c>
      <c r="B6378" t="s">
        <v>2130</v>
      </c>
      <c r="C6378" t="s">
        <v>9847</v>
      </c>
      <c r="D6378" t="s">
        <v>18999</v>
      </c>
      <c r="E6378" t="s">
        <v>24654</v>
      </c>
      <c r="F6378" t="s">
        <v>32606</v>
      </c>
      <c r="G6378" t="s">
        <v>32619</v>
      </c>
      <c r="H6378" t="s">
        <v>14201</v>
      </c>
      <c r="I6378" t="s">
        <v>6993</v>
      </c>
      <c r="J6378" t="s">
        <v>36873</v>
      </c>
      <c r="K6378" t="s">
        <v>42624</v>
      </c>
      <c r="M6378" t="s">
        <v>45217</v>
      </c>
      <c r="N6378" t="s">
        <v>47304</v>
      </c>
      <c r="O6378" t="s">
        <v>47305</v>
      </c>
      <c r="P6378">
        <v>0</v>
      </c>
      <c r="Q6378">
        <v>0</v>
      </c>
      <c r="R6378" t="s">
        <v>47311</v>
      </c>
      <c r="S6378" t="s">
        <v>47443</v>
      </c>
      <c r="T6378" t="s">
        <v>49050</v>
      </c>
      <c r="U6378" t="s">
        <v>54851</v>
      </c>
      <c r="V6378" t="s">
        <v>63254</v>
      </c>
      <c r="W6378" t="s">
        <v>45217</v>
      </c>
      <c r="X6378" t="s">
        <v>47313</v>
      </c>
    </row>
    <row r="6379" spans="1:24">
      <c r="A6379">
        <f>HYPERLINK("https://www.philgeps.gov.ph/GEPSNONPILOT/Tender/SplashBidNoticeAbstractUI.aspx?menuIndex=3&amp;refID=7190072&amp;Result=3","7190072")</f>
        <v>0</v>
      </c>
      <c r="B6379" t="s">
        <v>1691</v>
      </c>
      <c r="C6379" t="s">
        <v>9848</v>
      </c>
      <c r="D6379" t="s">
        <v>18993</v>
      </c>
      <c r="E6379" t="s">
        <v>24655</v>
      </c>
      <c r="F6379" t="s">
        <v>32606</v>
      </c>
      <c r="G6379" t="s">
        <v>32614</v>
      </c>
      <c r="H6379" t="s">
        <v>14201</v>
      </c>
      <c r="I6379" t="s">
        <v>6931</v>
      </c>
      <c r="J6379" t="s">
        <v>36874</v>
      </c>
      <c r="K6379" t="s">
        <v>42630</v>
      </c>
      <c r="M6379" t="s">
        <v>45218</v>
      </c>
      <c r="N6379" t="s">
        <v>47304</v>
      </c>
      <c r="O6379" t="s">
        <v>47305</v>
      </c>
      <c r="P6379">
        <v>0</v>
      </c>
      <c r="Q6379">
        <v>2</v>
      </c>
      <c r="R6379" t="s">
        <v>47311</v>
      </c>
      <c r="S6379" t="s">
        <v>47443</v>
      </c>
      <c r="T6379" t="s">
        <v>48998</v>
      </c>
      <c r="U6379" t="s">
        <v>54852</v>
      </c>
      <c r="W6379" t="s">
        <v>45218</v>
      </c>
      <c r="X6379" t="s">
        <v>47312</v>
      </c>
    </row>
    <row r="6380" spans="1:24">
      <c r="A6380">
        <f>HYPERLINK("https://www.philgeps.gov.ph/GEPSNONPILOT/Tender/SplashBidNoticeAbstractUI.aspx?menuIndex=3&amp;refID=7190064&amp;Result=3","7190064")</f>
        <v>0</v>
      </c>
      <c r="B6380" t="s">
        <v>627</v>
      </c>
      <c r="C6380" t="s">
        <v>9849</v>
      </c>
      <c r="D6380" t="s">
        <v>19011</v>
      </c>
      <c r="E6380" t="s">
        <v>24656</v>
      </c>
      <c r="F6380" t="s">
        <v>32606</v>
      </c>
      <c r="G6380" t="s">
        <v>32614</v>
      </c>
      <c r="H6380" t="s">
        <v>32624</v>
      </c>
      <c r="I6380" t="s">
        <v>32649</v>
      </c>
      <c r="J6380" t="s">
        <v>33167</v>
      </c>
      <c r="K6380" t="s">
        <v>42631</v>
      </c>
      <c r="M6380" t="s">
        <v>43545</v>
      </c>
      <c r="N6380" t="s">
        <v>47304</v>
      </c>
      <c r="O6380" t="s">
        <v>47305</v>
      </c>
      <c r="P6380">
        <v>0</v>
      </c>
      <c r="Q6380">
        <v>0</v>
      </c>
      <c r="R6380" t="s">
        <v>47311</v>
      </c>
      <c r="S6380" t="s">
        <v>47443</v>
      </c>
      <c r="T6380" t="s">
        <v>49020</v>
      </c>
      <c r="U6380" t="s">
        <v>54853</v>
      </c>
      <c r="W6380" t="s">
        <v>43545</v>
      </c>
      <c r="X6380" t="s">
        <v>47312</v>
      </c>
    </row>
    <row r="6381" spans="1:24">
      <c r="A6381">
        <f>HYPERLINK("https://www.philgeps.gov.ph/GEPSNONPILOT/Tender/SplashBidNoticeAbstractUI.aspx?menuIndex=3&amp;refID=7190061&amp;Result=3","7190061")</f>
        <v>0</v>
      </c>
      <c r="B6381" t="s">
        <v>2131</v>
      </c>
      <c r="C6381" t="s">
        <v>9850</v>
      </c>
      <c r="D6381" t="s">
        <v>19016</v>
      </c>
      <c r="E6381" t="s">
        <v>19279</v>
      </c>
      <c r="F6381" t="s">
        <v>32606</v>
      </c>
      <c r="G6381" t="s">
        <v>32621</v>
      </c>
      <c r="H6381" t="s">
        <v>32624</v>
      </c>
      <c r="I6381" t="s">
        <v>4678</v>
      </c>
      <c r="J6381" t="s">
        <v>32765</v>
      </c>
      <c r="K6381" t="s">
        <v>42632</v>
      </c>
      <c r="M6381" t="s">
        <v>45219</v>
      </c>
      <c r="N6381" t="s">
        <v>47304</v>
      </c>
      <c r="O6381" t="s">
        <v>47305</v>
      </c>
      <c r="P6381">
        <v>0</v>
      </c>
      <c r="Q6381">
        <v>2</v>
      </c>
      <c r="R6381" t="s">
        <v>47311</v>
      </c>
      <c r="S6381" t="s">
        <v>47443</v>
      </c>
      <c r="T6381" t="s">
        <v>49014</v>
      </c>
      <c r="U6381" t="s">
        <v>54854</v>
      </c>
      <c r="W6381" t="s">
        <v>45219</v>
      </c>
      <c r="X6381" t="s">
        <v>47312</v>
      </c>
    </row>
    <row r="6382" spans="1:24">
      <c r="A6382">
        <f>HYPERLINK("https://www.philgeps.gov.ph/GEPSNONPILOT/Tender/SplashBidNoticeAbstractUI.aspx?menuIndex=3&amp;refID=7190060&amp;Result=3","7190060")</f>
        <v>0</v>
      </c>
      <c r="B6382" t="s">
        <v>2132</v>
      </c>
      <c r="C6382" t="s">
        <v>9851</v>
      </c>
      <c r="E6382" t="s">
        <v>24657</v>
      </c>
      <c r="F6382" t="s">
        <v>32606</v>
      </c>
      <c r="G6382" t="s">
        <v>32613</v>
      </c>
      <c r="H6382" t="s">
        <v>14201</v>
      </c>
      <c r="I6382" t="s">
        <v>17648</v>
      </c>
      <c r="J6382" t="s">
        <v>36875</v>
      </c>
      <c r="K6382" t="s">
        <v>42624</v>
      </c>
      <c r="M6382" t="s">
        <v>45220</v>
      </c>
      <c r="N6382" t="s">
        <v>47304</v>
      </c>
      <c r="O6382" t="s">
        <v>47305</v>
      </c>
      <c r="P6382">
        <v>0</v>
      </c>
      <c r="Q6382">
        <v>0</v>
      </c>
      <c r="R6382" t="s">
        <v>47311</v>
      </c>
      <c r="S6382" t="s">
        <v>47443</v>
      </c>
      <c r="T6382" t="s">
        <v>48996</v>
      </c>
      <c r="U6382" t="s">
        <v>54855</v>
      </c>
      <c r="V6382" t="s">
        <v>63255</v>
      </c>
      <c r="W6382" t="s">
        <v>45220</v>
      </c>
      <c r="X6382" t="s">
        <v>47312</v>
      </c>
    </row>
    <row r="6383" spans="1:24">
      <c r="A6383">
        <f>HYPERLINK("https://www.philgeps.gov.ph/GEPSNONPILOT/Tender/SplashBidNoticeAbstractUI.aspx?menuIndex=3&amp;refID=7190083&amp;Result=3","7190083")</f>
        <v>0</v>
      </c>
      <c r="B6383" t="s">
        <v>2133</v>
      </c>
      <c r="C6383" t="s">
        <v>9852</v>
      </c>
      <c r="D6383" t="s">
        <v>19042</v>
      </c>
      <c r="E6383" t="s">
        <v>24658</v>
      </c>
      <c r="F6383" t="s">
        <v>32606</v>
      </c>
      <c r="G6383" t="s">
        <v>32613</v>
      </c>
      <c r="H6383" t="s">
        <v>14201</v>
      </c>
      <c r="I6383" t="s">
        <v>6931</v>
      </c>
      <c r="J6383" t="s">
        <v>36876</v>
      </c>
      <c r="K6383" t="s">
        <v>42632</v>
      </c>
      <c r="M6383" t="s">
        <v>45221</v>
      </c>
      <c r="N6383" t="s">
        <v>47304</v>
      </c>
      <c r="O6383" t="s">
        <v>47305</v>
      </c>
      <c r="P6383">
        <v>0</v>
      </c>
      <c r="Q6383">
        <v>0</v>
      </c>
      <c r="R6383" t="s">
        <v>47311</v>
      </c>
      <c r="S6383" t="s">
        <v>47443</v>
      </c>
      <c r="T6383" t="s">
        <v>49004</v>
      </c>
      <c r="U6383" t="s">
        <v>54856</v>
      </c>
      <c r="W6383" t="s">
        <v>45221</v>
      </c>
      <c r="X6383" t="s">
        <v>47312</v>
      </c>
    </row>
    <row r="6384" spans="1:24">
      <c r="A6384">
        <f>HYPERLINK("https://www.philgeps.gov.ph/GEPSNONPILOT/Tender/SplashBidNoticeAbstractUI.aspx?menuIndex=3&amp;refID=7190062&amp;Result=3","7190062")</f>
        <v>0</v>
      </c>
      <c r="B6384" t="s">
        <v>2134</v>
      </c>
      <c r="C6384" t="s">
        <v>9326</v>
      </c>
      <c r="D6384" t="s">
        <v>18992</v>
      </c>
      <c r="E6384" t="s">
        <v>19358</v>
      </c>
      <c r="F6384" t="s">
        <v>32606</v>
      </c>
      <c r="G6384" t="s">
        <v>32613</v>
      </c>
      <c r="H6384" t="s">
        <v>14201</v>
      </c>
      <c r="I6384" t="s">
        <v>6931</v>
      </c>
      <c r="J6384" t="s">
        <v>36877</v>
      </c>
      <c r="K6384" t="s">
        <v>42630</v>
      </c>
      <c r="L6384" t="s">
        <v>2134</v>
      </c>
      <c r="M6384" t="s">
        <v>45222</v>
      </c>
      <c r="N6384" t="s">
        <v>47304</v>
      </c>
      <c r="O6384" t="s">
        <v>47305</v>
      </c>
      <c r="P6384">
        <v>0</v>
      </c>
      <c r="Q6384">
        <v>0</v>
      </c>
      <c r="R6384" t="s">
        <v>47311</v>
      </c>
      <c r="S6384" t="s">
        <v>47443</v>
      </c>
      <c r="T6384" t="s">
        <v>49050</v>
      </c>
      <c r="U6384" t="s">
        <v>54857</v>
      </c>
      <c r="W6384" t="s">
        <v>45222</v>
      </c>
      <c r="X6384" t="s">
        <v>47312</v>
      </c>
    </row>
    <row r="6385" spans="1:24">
      <c r="A6385">
        <f>HYPERLINK("https://www.philgeps.gov.ph/GEPSNONPILOT/Tender/SplashBidNoticeAbstractUI.aspx?menuIndex=3&amp;refID=7190053&amp;Result=3","7190053")</f>
        <v>0</v>
      </c>
      <c r="B6385" t="s">
        <v>1785</v>
      </c>
      <c r="C6385" t="s">
        <v>9853</v>
      </c>
      <c r="D6385" t="s">
        <v>19003</v>
      </c>
      <c r="E6385" t="s">
        <v>24659</v>
      </c>
      <c r="F6385" t="s">
        <v>32606</v>
      </c>
      <c r="G6385" t="s">
        <v>32614</v>
      </c>
      <c r="H6385" t="s">
        <v>14201</v>
      </c>
      <c r="I6385" t="s">
        <v>4114</v>
      </c>
      <c r="J6385" t="s">
        <v>36878</v>
      </c>
      <c r="K6385" t="s">
        <v>42631</v>
      </c>
      <c r="M6385" t="s">
        <v>44825</v>
      </c>
      <c r="N6385" t="s">
        <v>47304</v>
      </c>
      <c r="O6385" t="s">
        <v>47305</v>
      </c>
      <c r="P6385">
        <v>0</v>
      </c>
      <c r="Q6385">
        <v>9</v>
      </c>
      <c r="R6385" t="s">
        <v>47311</v>
      </c>
      <c r="S6385" t="s">
        <v>47443</v>
      </c>
      <c r="T6385" t="s">
        <v>48998</v>
      </c>
      <c r="U6385" t="s">
        <v>53728</v>
      </c>
      <c r="W6385" t="s">
        <v>44825</v>
      </c>
      <c r="X6385" t="s">
        <v>47312</v>
      </c>
    </row>
    <row r="6386" spans="1:24">
      <c r="A6386">
        <f>HYPERLINK("https://www.philgeps.gov.ph/GEPSNONPILOT/Tender/SplashBidNoticeAbstractUI.aspx?menuIndex=3&amp;refID=7190050&amp;Result=3","7190050")</f>
        <v>0</v>
      </c>
      <c r="B6386" t="s">
        <v>2135</v>
      </c>
      <c r="C6386" t="s">
        <v>9854</v>
      </c>
      <c r="D6386" t="s">
        <v>18995</v>
      </c>
      <c r="E6386" t="s">
        <v>24660</v>
      </c>
      <c r="F6386" t="s">
        <v>32606</v>
      </c>
      <c r="G6386" t="s">
        <v>32613</v>
      </c>
      <c r="H6386" t="s">
        <v>14201</v>
      </c>
      <c r="I6386" t="s">
        <v>32735</v>
      </c>
      <c r="J6386" t="s">
        <v>33221</v>
      </c>
      <c r="K6386" t="s">
        <v>42630</v>
      </c>
      <c r="M6386" t="s">
        <v>45223</v>
      </c>
      <c r="N6386" t="s">
        <v>47304</v>
      </c>
      <c r="O6386" t="s">
        <v>47305</v>
      </c>
      <c r="P6386">
        <v>0</v>
      </c>
      <c r="Q6386">
        <v>0</v>
      </c>
      <c r="R6386" t="s">
        <v>47311</v>
      </c>
      <c r="S6386" t="s">
        <v>47443</v>
      </c>
      <c r="T6386" t="s">
        <v>48979</v>
      </c>
      <c r="U6386" t="s">
        <v>54858</v>
      </c>
      <c r="W6386" t="s">
        <v>45223</v>
      </c>
      <c r="X6386" t="s">
        <v>47312</v>
      </c>
    </row>
    <row r="6387" spans="1:24">
      <c r="A6387">
        <f>HYPERLINK("https://www.philgeps.gov.ph/GEPSNONPILOT/Tender/SplashBidNoticeAbstractUI.aspx?menuIndex=3&amp;refID=7190074&amp;Result=3","7190074")</f>
        <v>0</v>
      </c>
      <c r="B6387" t="s">
        <v>1637</v>
      </c>
      <c r="C6387" t="s">
        <v>9855</v>
      </c>
      <c r="D6387" t="s">
        <v>19005</v>
      </c>
      <c r="E6387" t="s">
        <v>24603</v>
      </c>
      <c r="F6387" t="s">
        <v>32606</v>
      </c>
      <c r="G6387" t="s">
        <v>32613</v>
      </c>
      <c r="H6387" t="s">
        <v>14201</v>
      </c>
      <c r="I6387" t="s">
        <v>4114</v>
      </c>
      <c r="J6387" t="s">
        <v>36879</v>
      </c>
      <c r="K6387" t="s">
        <v>42631</v>
      </c>
      <c r="M6387" t="s">
        <v>44658</v>
      </c>
      <c r="N6387" t="s">
        <v>47304</v>
      </c>
      <c r="O6387" t="s">
        <v>47305</v>
      </c>
      <c r="P6387">
        <v>0</v>
      </c>
      <c r="Q6387">
        <v>0</v>
      </c>
      <c r="R6387" t="s">
        <v>47311</v>
      </c>
      <c r="S6387" t="s">
        <v>47443</v>
      </c>
      <c r="T6387" t="s">
        <v>48993</v>
      </c>
      <c r="U6387" t="s">
        <v>54859</v>
      </c>
      <c r="W6387" t="s">
        <v>44658</v>
      </c>
      <c r="X6387" t="s">
        <v>47312</v>
      </c>
    </row>
    <row r="6388" spans="1:24">
      <c r="A6388">
        <f>HYPERLINK("https://www.philgeps.gov.ph/GEPSNONPILOT/Tender/SplashBidNoticeAbstractUI.aspx?menuIndex=3&amp;refID=7190047&amp;Result=3","7190047")</f>
        <v>0</v>
      </c>
      <c r="B6388" t="s">
        <v>1989</v>
      </c>
      <c r="C6388" t="s">
        <v>9856</v>
      </c>
      <c r="D6388" t="s">
        <v>19016</v>
      </c>
      <c r="E6388" t="s">
        <v>20079</v>
      </c>
      <c r="F6388" t="s">
        <v>32606</v>
      </c>
      <c r="G6388" t="s">
        <v>32613</v>
      </c>
      <c r="H6388" t="s">
        <v>14201</v>
      </c>
      <c r="I6388" t="s">
        <v>6931</v>
      </c>
      <c r="J6388" t="s">
        <v>33062</v>
      </c>
      <c r="K6388" t="s">
        <v>42630</v>
      </c>
      <c r="M6388" t="s">
        <v>45057</v>
      </c>
      <c r="N6388" t="s">
        <v>47304</v>
      </c>
      <c r="O6388" t="s">
        <v>47305</v>
      </c>
      <c r="P6388">
        <v>0</v>
      </c>
      <c r="Q6388">
        <v>0</v>
      </c>
      <c r="R6388" t="s">
        <v>47311</v>
      </c>
      <c r="S6388" t="s">
        <v>47443</v>
      </c>
      <c r="T6388" t="s">
        <v>48997</v>
      </c>
      <c r="U6388" t="s">
        <v>54860</v>
      </c>
      <c r="W6388" t="s">
        <v>45057</v>
      </c>
      <c r="X6388" t="s">
        <v>47312</v>
      </c>
    </row>
    <row r="6389" spans="1:24">
      <c r="A6389">
        <f>HYPERLINK("https://www.philgeps.gov.ph/GEPSNONPILOT/Tender/SplashBidNoticeAbstractUI.aspx?menuIndex=3&amp;refID=7190057&amp;Result=3","7190057")</f>
        <v>0</v>
      </c>
      <c r="B6389" t="s">
        <v>2136</v>
      </c>
      <c r="C6389" t="s">
        <v>9857</v>
      </c>
      <c r="D6389" t="s">
        <v>19016</v>
      </c>
      <c r="E6389" t="s">
        <v>19561</v>
      </c>
      <c r="F6389" t="s">
        <v>32606</v>
      </c>
      <c r="G6389" t="s">
        <v>32613</v>
      </c>
      <c r="H6389" t="s">
        <v>14201</v>
      </c>
      <c r="I6389" t="s">
        <v>6931</v>
      </c>
      <c r="J6389" t="s">
        <v>33105</v>
      </c>
      <c r="K6389" t="s">
        <v>42630</v>
      </c>
      <c r="M6389" t="s">
        <v>45224</v>
      </c>
      <c r="N6389" t="s">
        <v>47304</v>
      </c>
      <c r="O6389" t="s">
        <v>47305</v>
      </c>
      <c r="P6389">
        <v>0</v>
      </c>
      <c r="Q6389">
        <v>1</v>
      </c>
      <c r="R6389" t="s">
        <v>47311</v>
      </c>
      <c r="S6389" t="s">
        <v>47443</v>
      </c>
      <c r="T6389" t="s">
        <v>48997</v>
      </c>
      <c r="U6389" t="s">
        <v>54861</v>
      </c>
      <c r="W6389" t="s">
        <v>45224</v>
      </c>
      <c r="X6389" t="s">
        <v>47312</v>
      </c>
    </row>
    <row r="6390" spans="1:24">
      <c r="A6390">
        <f>HYPERLINK("https://www.philgeps.gov.ph/GEPSNONPILOT/Tender/SplashBidNoticeAbstractUI.aspx?menuIndex=3&amp;refID=7190056&amp;Result=3","7190056")</f>
        <v>0</v>
      </c>
      <c r="B6390" t="s">
        <v>2137</v>
      </c>
      <c r="C6390" t="s">
        <v>9858</v>
      </c>
      <c r="D6390" t="s">
        <v>19043</v>
      </c>
      <c r="E6390" t="s">
        <v>9858</v>
      </c>
      <c r="F6390" t="s">
        <v>32606</v>
      </c>
      <c r="G6390" t="s">
        <v>32613</v>
      </c>
      <c r="H6390" t="s">
        <v>14201</v>
      </c>
      <c r="I6390" t="s">
        <v>32626</v>
      </c>
      <c r="J6390" t="s">
        <v>36880</v>
      </c>
      <c r="K6390" t="s">
        <v>42622</v>
      </c>
      <c r="M6390" t="s">
        <v>45225</v>
      </c>
      <c r="N6390" t="s">
        <v>47304</v>
      </c>
      <c r="O6390" t="s">
        <v>47305</v>
      </c>
      <c r="P6390">
        <v>0</v>
      </c>
      <c r="Q6390">
        <v>0</v>
      </c>
      <c r="R6390" t="s">
        <v>47311</v>
      </c>
      <c r="S6390" t="s">
        <v>47443</v>
      </c>
      <c r="T6390" t="s">
        <v>48979</v>
      </c>
      <c r="U6390" t="s">
        <v>54862</v>
      </c>
      <c r="V6390" t="s">
        <v>63256</v>
      </c>
      <c r="W6390" t="s">
        <v>45225</v>
      </c>
      <c r="X6390" t="s">
        <v>47312</v>
      </c>
    </row>
    <row r="6391" spans="1:24">
      <c r="A6391">
        <f>HYPERLINK("https://www.philgeps.gov.ph/GEPSNONPILOT/Tender/SplashBidNoticeAbstractUI.aspx?menuIndex=3&amp;refID=7190043&amp;Result=3","7190043")</f>
        <v>0</v>
      </c>
      <c r="B6391" t="s">
        <v>2138</v>
      </c>
      <c r="C6391" t="s">
        <v>4830</v>
      </c>
      <c r="D6391" t="s">
        <v>18988</v>
      </c>
      <c r="E6391" t="s">
        <v>24661</v>
      </c>
      <c r="F6391" t="s">
        <v>32606</v>
      </c>
      <c r="G6391" t="s">
        <v>32614</v>
      </c>
      <c r="H6391" t="s">
        <v>14201</v>
      </c>
      <c r="I6391" t="s">
        <v>6478</v>
      </c>
      <c r="J6391" t="s">
        <v>36881</v>
      </c>
      <c r="K6391" t="s">
        <v>42622</v>
      </c>
      <c r="M6391" t="s">
        <v>45226</v>
      </c>
      <c r="N6391" t="s">
        <v>47304</v>
      </c>
      <c r="O6391" t="s">
        <v>47305</v>
      </c>
      <c r="P6391">
        <v>0</v>
      </c>
      <c r="Q6391">
        <v>0</v>
      </c>
      <c r="R6391" t="s">
        <v>47311</v>
      </c>
      <c r="S6391" t="s">
        <v>47443</v>
      </c>
      <c r="T6391" t="s">
        <v>48975</v>
      </c>
      <c r="U6391" t="s">
        <v>54863</v>
      </c>
      <c r="W6391" t="s">
        <v>45226</v>
      </c>
      <c r="X6391" t="s">
        <v>47312</v>
      </c>
    </row>
    <row r="6392" spans="1:24">
      <c r="A6392">
        <f>HYPERLINK("https://www.philgeps.gov.ph/GEPSNONPILOT/Tender/SplashBidNoticeAbstractUI.aspx?menuIndex=3&amp;refID=7190035&amp;Result=3","7190035")</f>
        <v>0</v>
      </c>
      <c r="B6392" t="s">
        <v>2130</v>
      </c>
      <c r="C6392" t="s">
        <v>9859</v>
      </c>
      <c r="E6392" t="s">
        <v>24662</v>
      </c>
      <c r="F6392" t="s">
        <v>32606</v>
      </c>
      <c r="G6392" t="s">
        <v>32619</v>
      </c>
      <c r="H6392" t="s">
        <v>14201</v>
      </c>
      <c r="I6392" t="s">
        <v>6931</v>
      </c>
      <c r="J6392" t="s">
        <v>36882</v>
      </c>
      <c r="K6392" t="s">
        <v>42624</v>
      </c>
      <c r="M6392" t="s">
        <v>45217</v>
      </c>
      <c r="N6392" t="s">
        <v>47304</v>
      </c>
      <c r="O6392" t="s">
        <v>47305</v>
      </c>
      <c r="P6392">
        <v>0</v>
      </c>
      <c r="Q6392">
        <v>2</v>
      </c>
      <c r="R6392" t="s">
        <v>47311</v>
      </c>
      <c r="S6392" t="s">
        <v>47443</v>
      </c>
      <c r="T6392" t="s">
        <v>49050</v>
      </c>
      <c r="U6392" t="s">
        <v>54864</v>
      </c>
      <c r="V6392" t="s">
        <v>63254</v>
      </c>
      <c r="W6392" t="s">
        <v>45217</v>
      </c>
      <c r="X6392" t="s">
        <v>47313</v>
      </c>
    </row>
    <row r="6393" spans="1:24">
      <c r="A6393">
        <f>HYPERLINK("https://www.philgeps.gov.ph/GEPSNONPILOT/Tender/SplashBidNoticeAbstractUI.aspx?menuIndex=3&amp;refID=7190052&amp;Result=3","7190052")</f>
        <v>0</v>
      </c>
      <c r="B6393" t="s">
        <v>2139</v>
      </c>
      <c r="C6393" t="s">
        <v>9860</v>
      </c>
      <c r="D6393" t="s">
        <v>18995</v>
      </c>
      <c r="E6393" t="s">
        <v>24660</v>
      </c>
      <c r="F6393" t="s">
        <v>32606</v>
      </c>
      <c r="G6393" t="s">
        <v>32613</v>
      </c>
      <c r="H6393" t="s">
        <v>14201</v>
      </c>
      <c r="I6393" t="s">
        <v>4115</v>
      </c>
      <c r="J6393" t="s">
        <v>36883</v>
      </c>
      <c r="K6393" t="s">
        <v>42630</v>
      </c>
      <c r="M6393" t="s">
        <v>45227</v>
      </c>
      <c r="N6393" t="s">
        <v>47304</v>
      </c>
      <c r="O6393" t="s">
        <v>47305</v>
      </c>
      <c r="P6393">
        <v>0</v>
      </c>
      <c r="Q6393">
        <v>0</v>
      </c>
      <c r="R6393" t="s">
        <v>47311</v>
      </c>
      <c r="S6393" t="s">
        <v>47443</v>
      </c>
      <c r="T6393" t="s">
        <v>48979</v>
      </c>
      <c r="U6393" t="s">
        <v>54865</v>
      </c>
      <c r="W6393" t="s">
        <v>45227</v>
      </c>
      <c r="X6393" t="s">
        <v>47312</v>
      </c>
    </row>
    <row r="6394" spans="1:24">
      <c r="A6394">
        <f>HYPERLINK("https://www.philgeps.gov.ph/GEPSNONPILOT/Tender/SplashBidNoticeAbstractUI.aspx?menuIndex=3&amp;refID=7190147&amp;Result=3","7190147")</f>
        <v>0</v>
      </c>
      <c r="B6394" t="s">
        <v>2140</v>
      </c>
      <c r="C6394" t="s">
        <v>9861</v>
      </c>
      <c r="D6394" t="s">
        <v>19003</v>
      </c>
      <c r="E6394" t="s">
        <v>24663</v>
      </c>
      <c r="F6394" t="s">
        <v>32606</v>
      </c>
      <c r="G6394" t="s">
        <v>32613</v>
      </c>
      <c r="H6394" t="s">
        <v>14201</v>
      </c>
      <c r="I6394" t="s">
        <v>6931</v>
      </c>
      <c r="J6394" t="s">
        <v>33677</v>
      </c>
      <c r="K6394" t="s">
        <v>42623</v>
      </c>
      <c r="M6394" t="s">
        <v>45228</v>
      </c>
      <c r="N6394" t="s">
        <v>47304</v>
      </c>
      <c r="O6394" t="s">
        <v>47305</v>
      </c>
      <c r="P6394">
        <v>0</v>
      </c>
      <c r="Q6394">
        <v>0</v>
      </c>
      <c r="R6394" t="s">
        <v>47311</v>
      </c>
      <c r="S6394" t="s">
        <v>47443</v>
      </c>
      <c r="T6394" t="s">
        <v>48996</v>
      </c>
      <c r="U6394" t="s">
        <v>54866</v>
      </c>
      <c r="W6394" t="s">
        <v>45228</v>
      </c>
      <c r="X6394" t="s">
        <v>47312</v>
      </c>
    </row>
    <row r="6395" spans="1:24">
      <c r="A6395">
        <f>HYPERLINK("https://www.philgeps.gov.ph/GEPSNONPILOT/Tender/SplashBidNoticeAbstractUI.aspx?menuIndex=3&amp;refID=7190144&amp;Result=3","7190144")</f>
        <v>0</v>
      </c>
      <c r="B6395" t="s">
        <v>1237</v>
      </c>
      <c r="C6395" t="s">
        <v>9862</v>
      </c>
      <c r="D6395" t="s">
        <v>19003</v>
      </c>
      <c r="E6395" t="s">
        <v>9862</v>
      </c>
      <c r="F6395" t="s">
        <v>32606</v>
      </c>
      <c r="G6395" t="s">
        <v>32614</v>
      </c>
      <c r="H6395" t="s">
        <v>14201</v>
      </c>
      <c r="I6395" t="s">
        <v>4120</v>
      </c>
      <c r="J6395" t="s">
        <v>36884</v>
      </c>
      <c r="K6395" t="s">
        <v>42632</v>
      </c>
      <c r="M6395" t="s">
        <v>44202</v>
      </c>
      <c r="N6395" t="s">
        <v>47304</v>
      </c>
      <c r="O6395" t="s">
        <v>47305</v>
      </c>
      <c r="P6395">
        <v>0</v>
      </c>
      <c r="Q6395">
        <v>2</v>
      </c>
      <c r="R6395" t="s">
        <v>47311</v>
      </c>
      <c r="S6395" t="s">
        <v>47443</v>
      </c>
      <c r="T6395" t="s">
        <v>49331</v>
      </c>
      <c r="U6395" t="s">
        <v>54839</v>
      </c>
      <c r="W6395" t="s">
        <v>44202</v>
      </c>
      <c r="X6395" t="s">
        <v>47312</v>
      </c>
    </row>
    <row r="6396" spans="1:24">
      <c r="A6396">
        <f>HYPERLINK("https://www.philgeps.gov.ph/GEPSNONPILOT/Tender/SplashBidNoticeAbstractUI.aspx?menuIndex=3&amp;refID=7190046&amp;Result=3","7190046")</f>
        <v>0</v>
      </c>
      <c r="B6396" t="s">
        <v>2135</v>
      </c>
      <c r="C6396" t="s">
        <v>9863</v>
      </c>
      <c r="E6396" t="s">
        <v>24660</v>
      </c>
      <c r="F6396" t="s">
        <v>32606</v>
      </c>
      <c r="G6396" t="s">
        <v>32613</v>
      </c>
      <c r="H6396" t="s">
        <v>32623</v>
      </c>
      <c r="I6396" t="s">
        <v>6931</v>
      </c>
      <c r="J6396" t="s">
        <v>36885</v>
      </c>
      <c r="K6396" t="s">
        <v>42630</v>
      </c>
      <c r="M6396" t="s">
        <v>45223</v>
      </c>
      <c r="N6396" t="s">
        <v>47304</v>
      </c>
      <c r="O6396" t="s">
        <v>47305</v>
      </c>
      <c r="P6396">
        <v>0</v>
      </c>
      <c r="Q6396">
        <v>0</v>
      </c>
      <c r="R6396" t="s">
        <v>47311</v>
      </c>
      <c r="S6396" t="s">
        <v>47443</v>
      </c>
      <c r="T6396" t="s">
        <v>48979</v>
      </c>
      <c r="U6396" t="s">
        <v>54867</v>
      </c>
      <c r="W6396" t="s">
        <v>45223</v>
      </c>
      <c r="X6396" t="s">
        <v>47312</v>
      </c>
    </row>
    <row r="6397" spans="1:24">
      <c r="A6397">
        <f>HYPERLINK("https://www.philgeps.gov.ph/GEPSNONPILOT/Tender/SplashBidNoticeAbstractUI.aspx?menuIndex=3&amp;refID=7188168&amp;Result=3","7188168")</f>
        <v>0</v>
      </c>
      <c r="B6397" t="s">
        <v>2094</v>
      </c>
      <c r="C6397" t="s">
        <v>9864</v>
      </c>
      <c r="D6397" t="s">
        <v>19008</v>
      </c>
      <c r="E6397" t="s">
        <v>24664</v>
      </c>
      <c r="F6397" t="s">
        <v>32606</v>
      </c>
      <c r="G6397" t="s">
        <v>32619</v>
      </c>
      <c r="H6397" t="s">
        <v>14201</v>
      </c>
      <c r="I6397" t="s">
        <v>32671</v>
      </c>
      <c r="J6397" t="s">
        <v>32981</v>
      </c>
      <c r="K6397" t="s">
        <v>42622</v>
      </c>
      <c r="M6397" t="s">
        <v>45179</v>
      </c>
      <c r="N6397" t="s">
        <v>47304</v>
      </c>
      <c r="O6397" t="s">
        <v>47305</v>
      </c>
      <c r="P6397">
        <v>0</v>
      </c>
      <c r="Q6397">
        <v>2</v>
      </c>
      <c r="R6397" t="s">
        <v>47311</v>
      </c>
      <c r="S6397" t="s">
        <v>47443</v>
      </c>
      <c r="T6397" t="s">
        <v>49072</v>
      </c>
      <c r="U6397" t="s">
        <v>54868</v>
      </c>
      <c r="W6397" t="s">
        <v>45179</v>
      </c>
      <c r="X6397" t="s">
        <v>47313</v>
      </c>
    </row>
    <row r="6398" spans="1:24">
      <c r="A6398">
        <f>HYPERLINK("https://www.philgeps.gov.ph/GEPSNONPILOT/Tender/SplashBidNoticeAbstractUI.aspx?menuIndex=3&amp;refID=7190033&amp;Result=3","7190033")</f>
        <v>0</v>
      </c>
      <c r="B6398" t="s">
        <v>2130</v>
      </c>
      <c r="C6398" t="s">
        <v>9865</v>
      </c>
      <c r="E6398" t="s">
        <v>24665</v>
      </c>
      <c r="F6398" t="s">
        <v>32606</v>
      </c>
      <c r="G6398" t="s">
        <v>32614</v>
      </c>
      <c r="H6398" t="s">
        <v>14201</v>
      </c>
      <c r="I6398" t="s">
        <v>6298</v>
      </c>
      <c r="J6398" t="s">
        <v>33092</v>
      </c>
      <c r="K6398" t="s">
        <v>42624</v>
      </c>
      <c r="M6398" t="s">
        <v>45217</v>
      </c>
      <c r="N6398" t="s">
        <v>47304</v>
      </c>
      <c r="O6398" t="s">
        <v>47305</v>
      </c>
      <c r="P6398">
        <v>0</v>
      </c>
      <c r="Q6398">
        <v>1</v>
      </c>
      <c r="R6398" t="s">
        <v>47311</v>
      </c>
      <c r="S6398" t="s">
        <v>47443</v>
      </c>
      <c r="T6398" t="s">
        <v>49050</v>
      </c>
      <c r="U6398" t="s">
        <v>54869</v>
      </c>
      <c r="V6398" t="s">
        <v>63254</v>
      </c>
      <c r="W6398" t="s">
        <v>45217</v>
      </c>
      <c r="X6398" t="s">
        <v>47313</v>
      </c>
    </row>
    <row r="6399" spans="1:24">
      <c r="A6399">
        <f>HYPERLINK("https://www.philgeps.gov.ph/GEPSNONPILOT/Tender/SplashBidNoticeAbstractUI.aspx?menuIndex=3&amp;refID=7190137&amp;Result=3","7190137")</f>
        <v>0</v>
      </c>
      <c r="B6399" t="s">
        <v>1137</v>
      </c>
      <c r="C6399" t="s">
        <v>9866</v>
      </c>
      <c r="D6399" t="s">
        <v>19042</v>
      </c>
      <c r="E6399" t="s">
        <v>24666</v>
      </c>
      <c r="F6399" t="s">
        <v>32606</v>
      </c>
      <c r="G6399" t="s">
        <v>32617</v>
      </c>
      <c r="H6399" t="s">
        <v>14201</v>
      </c>
      <c r="I6399" t="s">
        <v>4120</v>
      </c>
      <c r="J6399" t="s">
        <v>36886</v>
      </c>
      <c r="K6399" t="s">
        <v>42629</v>
      </c>
      <c r="M6399" t="s">
        <v>44099</v>
      </c>
      <c r="N6399" t="s">
        <v>47304</v>
      </c>
      <c r="O6399" t="s">
        <v>47305</v>
      </c>
      <c r="P6399">
        <v>0</v>
      </c>
      <c r="Q6399">
        <v>0</v>
      </c>
      <c r="R6399" t="s">
        <v>47311</v>
      </c>
      <c r="S6399" t="s">
        <v>47443</v>
      </c>
      <c r="T6399" t="s">
        <v>49330</v>
      </c>
      <c r="U6399" t="s">
        <v>54870</v>
      </c>
      <c r="W6399" t="s">
        <v>44099</v>
      </c>
      <c r="X6399" t="s">
        <v>47312</v>
      </c>
    </row>
    <row r="6400" spans="1:24">
      <c r="A6400">
        <f>HYPERLINK("https://www.philgeps.gov.ph/GEPSNONPILOT/Tender/SplashBidNoticeAbstractUI.aspx?menuIndex=3&amp;refID=7190136&amp;Result=3","7190136")</f>
        <v>0</v>
      </c>
      <c r="B6400" t="s">
        <v>2141</v>
      </c>
      <c r="C6400" t="s">
        <v>9867</v>
      </c>
      <c r="D6400" t="s">
        <v>18993</v>
      </c>
      <c r="E6400" t="s">
        <v>24667</v>
      </c>
      <c r="F6400" t="s">
        <v>32606</v>
      </c>
      <c r="G6400" t="s">
        <v>32614</v>
      </c>
      <c r="H6400" t="s">
        <v>14201</v>
      </c>
      <c r="I6400" t="s">
        <v>32638</v>
      </c>
      <c r="J6400" t="s">
        <v>36887</v>
      </c>
      <c r="K6400" t="s">
        <v>42639</v>
      </c>
      <c r="M6400" t="s">
        <v>45229</v>
      </c>
      <c r="N6400" t="s">
        <v>47304</v>
      </c>
      <c r="O6400" t="s">
        <v>47305</v>
      </c>
      <c r="P6400">
        <v>0</v>
      </c>
      <c r="Q6400">
        <v>5</v>
      </c>
      <c r="R6400" t="s">
        <v>47311</v>
      </c>
      <c r="S6400" t="s">
        <v>47443</v>
      </c>
      <c r="T6400" t="s">
        <v>49010</v>
      </c>
      <c r="U6400" t="s">
        <v>54871</v>
      </c>
      <c r="W6400" t="s">
        <v>45229</v>
      </c>
      <c r="X6400" t="s">
        <v>47312</v>
      </c>
    </row>
    <row r="6401" spans="1:24">
      <c r="A6401">
        <f>HYPERLINK("https://www.philgeps.gov.ph/GEPSNONPILOT/Tender/SplashBidNoticeAbstractUI.aspx?menuIndex=3&amp;refID=7190130&amp;Result=3","7190130")</f>
        <v>0</v>
      </c>
      <c r="B6401" t="s">
        <v>735</v>
      </c>
      <c r="C6401" t="s">
        <v>9868</v>
      </c>
      <c r="E6401" t="s">
        <v>20435</v>
      </c>
      <c r="F6401" t="s">
        <v>32606</v>
      </c>
      <c r="G6401" t="s">
        <v>32613</v>
      </c>
      <c r="H6401" t="s">
        <v>32623</v>
      </c>
      <c r="I6401" t="s">
        <v>32649</v>
      </c>
      <c r="J6401" t="s">
        <v>36888</v>
      </c>
      <c r="K6401" t="s">
        <v>42645</v>
      </c>
      <c r="M6401" t="s">
        <v>43657</v>
      </c>
      <c r="N6401" t="s">
        <v>47304</v>
      </c>
      <c r="O6401" t="s">
        <v>47305</v>
      </c>
      <c r="P6401">
        <v>0</v>
      </c>
      <c r="Q6401">
        <v>0</v>
      </c>
      <c r="R6401" t="s">
        <v>47311</v>
      </c>
      <c r="S6401" t="s">
        <v>47443</v>
      </c>
      <c r="T6401" t="s">
        <v>49009</v>
      </c>
      <c r="U6401" t="s">
        <v>54872</v>
      </c>
      <c r="W6401" t="s">
        <v>43657</v>
      </c>
      <c r="X6401" t="s">
        <v>47312</v>
      </c>
    </row>
    <row r="6402" spans="1:24">
      <c r="A6402">
        <f>HYPERLINK("https://www.philgeps.gov.ph/GEPSNONPILOT/Tender/SplashBidNoticeAbstractUI.aspx?menuIndex=3&amp;refID=7190127&amp;Result=3","7190127")</f>
        <v>0</v>
      </c>
      <c r="B6402" t="s">
        <v>2140</v>
      </c>
      <c r="C6402" t="s">
        <v>9869</v>
      </c>
      <c r="D6402" t="s">
        <v>19003</v>
      </c>
      <c r="E6402" t="s">
        <v>24668</v>
      </c>
      <c r="F6402" t="s">
        <v>32606</v>
      </c>
      <c r="G6402" t="s">
        <v>32613</v>
      </c>
      <c r="H6402" t="s">
        <v>14201</v>
      </c>
      <c r="I6402" t="s">
        <v>6931</v>
      </c>
      <c r="J6402" t="s">
        <v>33195</v>
      </c>
      <c r="K6402" t="s">
        <v>42623</v>
      </c>
      <c r="M6402" t="s">
        <v>45228</v>
      </c>
      <c r="N6402" t="s">
        <v>47304</v>
      </c>
      <c r="O6402" t="s">
        <v>47305</v>
      </c>
      <c r="P6402">
        <v>0</v>
      </c>
      <c r="Q6402">
        <v>0</v>
      </c>
      <c r="R6402" t="s">
        <v>47311</v>
      </c>
      <c r="S6402" t="s">
        <v>47443</v>
      </c>
      <c r="T6402" t="s">
        <v>48996</v>
      </c>
      <c r="U6402" t="s">
        <v>54873</v>
      </c>
      <c r="W6402" t="s">
        <v>45228</v>
      </c>
      <c r="X6402" t="s">
        <v>47312</v>
      </c>
    </row>
    <row r="6403" spans="1:24">
      <c r="A6403">
        <f>HYPERLINK("https://www.philgeps.gov.ph/GEPSNONPILOT/Tender/SplashBidNoticeAbstractUI.aspx?menuIndex=3&amp;refID=7190145&amp;Result=3","7190145")</f>
        <v>0</v>
      </c>
      <c r="B6403" t="s">
        <v>2142</v>
      </c>
      <c r="C6403" t="s">
        <v>9870</v>
      </c>
      <c r="D6403" t="s">
        <v>19005</v>
      </c>
      <c r="E6403" t="s">
        <v>24669</v>
      </c>
      <c r="F6403" t="s">
        <v>32606</v>
      </c>
      <c r="G6403" t="s">
        <v>32613</v>
      </c>
      <c r="H6403" t="s">
        <v>14201</v>
      </c>
      <c r="I6403" t="s">
        <v>7577</v>
      </c>
      <c r="J6403" t="s">
        <v>36889</v>
      </c>
      <c r="K6403" t="s">
        <v>42624</v>
      </c>
      <c r="M6403" t="s">
        <v>45230</v>
      </c>
      <c r="N6403" t="s">
        <v>47304</v>
      </c>
      <c r="O6403" t="s">
        <v>47305</v>
      </c>
      <c r="P6403">
        <v>0</v>
      </c>
      <c r="Q6403">
        <v>2</v>
      </c>
      <c r="R6403" t="s">
        <v>47311</v>
      </c>
      <c r="S6403" t="s">
        <v>47443</v>
      </c>
      <c r="T6403" t="s">
        <v>49050</v>
      </c>
      <c r="U6403" t="s">
        <v>54874</v>
      </c>
      <c r="W6403" t="s">
        <v>45230</v>
      </c>
      <c r="X6403" t="s">
        <v>47312</v>
      </c>
    </row>
    <row r="6404" spans="1:24">
      <c r="A6404">
        <f>HYPERLINK("https://www.philgeps.gov.ph/GEPSNONPILOT/Tender/SplashBidNoticeAbstractUI.aspx?menuIndex=3&amp;refID=7190124&amp;Result=3","7190124")</f>
        <v>0</v>
      </c>
      <c r="B6404" t="s">
        <v>1262</v>
      </c>
      <c r="C6404" t="s">
        <v>9871</v>
      </c>
      <c r="D6404" t="s">
        <v>19021</v>
      </c>
      <c r="E6404" t="s">
        <v>24670</v>
      </c>
      <c r="F6404" t="s">
        <v>32606</v>
      </c>
      <c r="G6404" t="s">
        <v>32613</v>
      </c>
      <c r="H6404" t="s">
        <v>14201</v>
      </c>
      <c r="I6404" t="s">
        <v>32650</v>
      </c>
      <c r="J6404" t="s">
        <v>33561</v>
      </c>
      <c r="K6404" t="s">
        <v>42631</v>
      </c>
      <c r="M6404" t="s">
        <v>44230</v>
      </c>
      <c r="N6404" t="s">
        <v>47304</v>
      </c>
      <c r="O6404" t="s">
        <v>47305</v>
      </c>
      <c r="P6404">
        <v>0</v>
      </c>
      <c r="Q6404">
        <v>1</v>
      </c>
      <c r="R6404" t="s">
        <v>47311</v>
      </c>
      <c r="S6404" t="s">
        <v>47443</v>
      </c>
      <c r="T6404" t="s">
        <v>49062</v>
      </c>
      <c r="U6404" t="s">
        <v>54875</v>
      </c>
      <c r="V6404" t="s">
        <v>63257</v>
      </c>
      <c r="W6404" t="s">
        <v>44230</v>
      </c>
      <c r="X6404" t="s">
        <v>47312</v>
      </c>
    </row>
    <row r="6405" spans="1:24">
      <c r="A6405">
        <f>HYPERLINK("https://www.philgeps.gov.ph/GEPSNONPILOT/Tender/SplashBidNoticeAbstractUI.aspx?menuIndex=3&amp;refID=7190122&amp;Result=3","7190122")</f>
        <v>0</v>
      </c>
      <c r="B6405" t="s">
        <v>2142</v>
      </c>
      <c r="C6405" t="s">
        <v>9872</v>
      </c>
      <c r="D6405" t="s">
        <v>19005</v>
      </c>
      <c r="E6405" t="s">
        <v>24671</v>
      </c>
      <c r="F6405" t="s">
        <v>32606</v>
      </c>
      <c r="G6405" t="s">
        <v>32613</v>
      </c>
      <c r="H6405" t="s">
        <v>14201</v>
      </c>
      <c r="I6405" t="s">
        <v>32640</v>
      </c>
      <c r="J6405" t="s">
        <v>36890</v>
      </c>
      <c r="K6405" t="s">
        <v>42624</v>
      </c>
      <c r="M6405" t="s">
        <v>45230</v>
      </c>
      <c r="N6405" t="s">
        <v>47304</v>
      </c>
      <c r="O6405" t="s">
        <v>47305</v>
      </c>
      <c r="P6405">
        <v>0</v>
      </c>
      <c r="Q6405">
        <v>2</v>
      </c>
      <c r="R6405" t="s">
        <v>47311</v>
      </c>
      <c r="S6405" t="s">
        <v>47443</v>
      </c>
      <c r="T6405" t="s">
        <v>49050</v>
      </c>
      <c r="U6405" t="s">
        <v>54876</v>
      </c>
      <c r="W6405" t="s">
        <v>45230</v>
      </c>
      <c r="X6405" t="s">
        <v>47312</v>
      </c>
    </row>
    <row r="6406" spans="1:24">
      <c r="A6406">
        <f>HYPERLINK("https://www.philgeps.gov.ph/GEPSNONPILOT/Tender/SplashBidNoticeAbstractUI.aspx?menuIndex=3&amp;refID=7190156&amp;Result=3","7190156")</f>
        <v>0</v>
      </c>
      <c r="B6406" t="s">
        <v>1511</v>
      </c>
      <c r="C6406" t="s">
        <v>9873</v>
      </c>
      <c r="E6406" t="s">
        <v>20230</v>
      </c>
      <c r="F6406" t="s">
        <v>32606</v>
      </c>
      <c r="G6406" t="s">
        <v>32614</v>
      </c>
      <c r="H6406" t="s">
        <v>14201</v>
      </c>
      <c r="I6406" t="s">
        <v>4120</v>
      </c>
      <c r="J6406" t="s">
        <v>33060</v>
      </c>
      <c r="K6406" t="s">
        <v>42623</v>
      </c>
      <c r="M6406" t="s">
        <v>44510</v>
      </c>
      <c r="N6406" t="s">
        <v>47304</v>
      </c>
      <c r="O6406" t="s">
        <v>47305</v>
      </c>
      <c r="P6406">
        <v>0</v>
      </c>
      <c r="Q6406">
        <v>6</v>
      </c>
      <c r="R6406" t="s">
        <v>47311</v>
      </c>
      <c r="S6406" t="s">
        <v>47443</v>
      </c>
      <c r="T6406" t="s">
        <v>49331</v>
      </c>
      <c r="U6406" t="s">
        <v>54877</v>
      </c>
      <c r="W6406" t="s">
        <v>44510</v>
      </c>
      <c r="X6406" t="s">
        <v>47312</v>
      </c>
    </row>
    <row r="6407" spans="1:24">
      <c r="A6407">
        <f>HYPERLINK("https://www.philgeps.gov.ph/GEPSNONPILOT/Tender/SplashBidNoticeAbstractUI.aspx?menuIndex=3&amp;refID=7190203&amp;Result=3","7190203")</f>
        <v>0</v>
      </c>
      <c r="B6407" t="s">
        <v>2143</v>
      </c>
      <c r="C6407" t="s">
        <v>9874</v>
      </c>
      <c r="D6407" t="s">
        <v>19033</v>
      </c>
      <c r="E6407" t="s">
        <v>24672</v>
      </c>
      <c r="F6407" t="s">
        <v>32606</v>
      </c>
      <c r="G6407" t="s">
        <v>32613</v>
      </c>
      <c r="H6407" t="s">
        <v>14201</v>
      </c>
      <c r="I6407" t="s">
        <v>9013</v>
      </c>
      <c r="J6407" t="s">
        <v>36891</v>
      </c>
      <c r="K6407" t="s">
        <v>42631</v>
      </c>
      <c r="M6407" t="s">
        <v>45231</v>
      </c>
      <c r="N6407" t="s">
        <v>47304</v>
      </c>
      <c r="O6407" t="s">
        <v>47305</v>
      </c>
      <c r="P6407">
        <v>0</v>
      </c>
      <c r="Q6407">
        <v>0</v>
      </c>
      <c r="R6407" t="s">
        <v>47311</v>
      </c>
      <c r="S6407" t="s">
        <v>47443</v>
      </c>
      <c r="T6407" t="s">
        <v>49050</v>
      </c>
      <c r="U6407" t="s">
        <v>54878</v>
      </c>
      <c r="W6407" t="s">
        <v>45231</v>
      </c>
      <c r="X6407" t="s">
        <v>47312</v>
      </c>
    </row>
    <row r="6408" spans="1:24">
      <c r="A6408">
        <f>HYPERLINK("https://www.philgeps.gov.ph/GEPSNONPILOT/Tender/SplashBidNoticeAbstractUI.aspx?menuIndex=3&amp;refID=7190200&amp;Result=3","7190200")</f>
        <v>0</v>
      </c>
      <c r="B6408" t="s">
        <v>2144</v>
      </c>
      <c r="C6408" t="s">
        <v>9875</v>
      </c>
      <c r="D6408" t="s">
        <v>19003</v>
      </c>
      <c r="E6408" t="s">
        <v>19360</v>
      </c>
      <c r="F6408" t="s">
        <v>32606</v>
      </c>
      <c r="G6408" t="s">
        <v>32613</v>
      </c>
      <c r="H6408" t="s">
        <v>32623</v>
      </c>
      <c r="I6408" t="s">
        <v>32661</v>
      </c>
      <c r="J6408" t="s">
        <v>36892</v>
      </c>
      <c r="K6408" t="s">
        <v>42636</v>
      </c>
      <c r="M6408" t="s">
        <v>45232</v>
      </c>
      <c r="N6408" t="s">
        <v>47304</v>
      </c>
      <c r="O6408" t="s">
        <v>47305</v>
      </c>
      <c r="P6408">
        <v>0</v>
      </c>
      <c r="Q6408">
        <v>0</v>
      </c>
      <c r="R6408" t="s">
        <v>47311</v>
      </c>
      <c r="S6408" t="s">
        <v>47443</v>
      </c>
      <c r="T6408" t="s">
        <v>49111</v>
      </c>
      <c r="U6408" t="s">
        <v>54879</v>
      </c>
      <c r="W6408" t="s">
        <v>45232</v>
      </c>
      <c r="X6408" t="s">
        <v>47312</v>
      </c>
    </row>
    <row r="6409" spans="1:24">
      <c r="A6409">
        <f>HYPERLINK("https://www.philgeps.gov.ph/GEPSNONPILOT/Tender/SplashBidNoticeAbstractUI.aspx?menuIndex=3&amp;refID=7190048&amp;Result=3","7190048")</f>
        <v>0</v>
      </c>
      <c r="B6409" t="s">
        <v>2138</v>
      </c>
      <c r="C6409" t="s">
        <v>9876</v>
      </c>
      <c r="D6409" t="s">
        <v>18988</v>
      </c>
      <c r="E6409" t="s">
        <v>24661</v>
      </c>
      <c r="F6409" t="s">
        <v>32606</v>
      </c>
      <c r="G6409" t="s">
        <v>32614</v>
      </c>
      <c r="H6409" t="s">
        <v>14201</v>
      </c>
      <c r="I6409" t="s">
        <v>6478</v>
      </c>
      <c r="J6409" t="s">
        <v>36893</v>
      </c>
      <c r="K6409" t="s">
        <v>42622</v>
      </c>
      <c r="M6409" t="s">
        <v>45226</v>
      </c>
      <c r="N6409" t="s">
        <v>47304</v>
      </c>
      <c r="O6409" t="s">
        <v>47305</v>
      </c>
      <c r="P6409">
        <v>0</v>
      </c>
      <c r="Q6409">
        <v>1</v>
      </c>
      <c r="R6409" t="s">
        <v>47311</v>
      </c>
      <c r="S6409" t="s">
        <v>47443</v>
      </c>
      <c r="T6409" t="s">
        <v>48975</v>
      </c>
      <c r="U6409" t="s">
        <v>54880</v>
      </c>
      <c r="W6409" t="s">
        <v>45226</v>
      </c>
      <c r="X6409" t="s">
        <v>47312</v>
      </c>
    </row>
    <row r="6410" spans="1:24">
      <c r="A6410">
        <f>HYPERLINK("https://www.philgeps.gov.ph/GEPSNONPILOT/Tender/SplashBidNoticeAbstractUI.aspx?menuIndex=3&amp;refID=7190198&amp;Result=3","7190198")</f>
        <v>0</v>
      </c>
      <c r="B6410" t="s">
        <v>2142</v>
      </c>
      <c r="C6410" t="s">
        <v>9877</v>
      </c>
      <c r="D6410" t="s">
        <v>19005</v>
      </c>
      <c r="E6410" t="s">
        <v>24673</v>
      </c>
      <c r="F6410" t="s">
        <v>32606</v>
      </c>
      <c r="G6410" t="s">
        <v>32613</v>
      </c>
      <c r="H6410" t="s">
        <v>14201</v>
      </c>
      <c r="I6410" t="s">
        <v>6478</v>
      </c>
      <c r="J6410" t="s">
        <v>36894</v>
      </c>
      <c r="K6410" t="s">
        <v>42624</v>
      </c>
      <c r="M6410" t="s">
        <v>45230</v>
      </c>
      <c r="N6410" t="s">
        <v>47304</v>
      </c>
      <c r="O6410" t="s">
        <v>47305</v>
      </c>
      <c r="P6410">
        <v>0</v>
      </c>
      <c r="Q6410">
        <v>3</v>
      </c>
      <c r="R6410" t="s">
        <v>47311</v>
      </c>
      <c r="S6410" t="s">
        <v>47443</v>
      </c>
      <c r="T6410" t="s">
        <v>49050</v>
      </c>
      <c r="U6410" t="s">
        <v>54881</v>
      </c>
      <c r="W6410" t="s">
        <v>45230</v>
      </c>
      <c r="X6410" t="s">
        <v>47312</v>
      </c>
    </row>
    <row r="6411" spans="1:24">
      <c r="A6411">
        <f>HYPERLINK("https://www.philgeps.gov.ph/GEPSNONPILOT/Tender/SplashBidNoticeAbstractUI.aspx?menuIndex=3&amp;refID=7190117&amp;Result=3","7190117")</f>
        <v>0</v>
      </c>
      <c r="B6411" t="s">
        <v>496</v>
      </c>
      <c r="C6411" t="s">
        <v>9878</v>
      </c>
      <c r="E6411" t="s">
        <v>24674</v>
      </c>
      <c r="F6411" t="s">
        <v>32606</v>
      </c>
      <c r="G6411" t="s">
        <v>32614</v>
      </c>
      <c r="H6411" t="s">
        <v>14201</v>
      </c>
      <c r="I6411" t="s">
        <v>32654</v>
      </c>
      <c r="J6411" t="s">
        <v>35117</v>
      </c>
      <c r="K6411" t="s">
        <v>42631</v>
      </c>
      <c r="M6411" t="s">
        <v>45233</v>
      </c>
      <c r="N6411" t="s">
        <v>47304</v>
      </c>
      <c r="O6411" t="s">
        <v>47305</v>
      </c>
      <c r="P6411">
        <v>0</v>
      </c>
      <c r="Q6411">
        <v>0</v>
      </c>
      <c r="R6411" t="s">
        <v>47311</v>
      </c>
      <c r="S6411" t="s">
        <v>47443</v>
      </c>
      <c r="T6411" t="s">
        <v>48977</v>
      </c>
      <c r="U6411" t="s">
        <v>54882</v>
      </c>
      <c r="W6411" t="s">
        <v>64494</v>
      </c>
      <c r="X6411" t="s">
        <v>47312</v>
      </c>
    </row>
    <row r="6412" spans="1:24">
      <c r="A6412">
        <f>HYPERLINK("https://www.philgeps.gov.ph/GEPSNONPILOT/Tender/SplashBidNoticeAbstractUI.aspx?menuIndex=3&amp;refID=7190188&amp;Result=3","7190188")</f>
        <v>0</v>
      </c>
      <c r="B6412" t="s">
        <v>1123</v>
      </c>
      <c r="C6412" t="s">
        <v>9879</v>
      </c>
      <c r="D6412" t="s">
        <v>18993</v>
      </c>
      <c r="E6412" t="s">
        <v>24675</v>
      </c>
      <c r="F6412" t="s">
        <v>32606</v>
      </c>
      <c r="G6412" t="s">
        <v>32614</v>
      </c>
      <c r="H6412" t="s">
        <v>14201</v>
      </c>
      <c r="I6412" t="s">
        <v>6931</v>
      </c>
      <c r="J6412" t="s">
        <v>32781</v>
      </c>
      <c r="K6412" t="s">
        <v>42623</v>
      </c>
      <c r="M6412" t="s">
        <v>45234</v>
      </c>
      <c r="N6412" t="s">
        <v>47304</v>
      </c>
      <c r="O6412" t="s">
        <v>47305</v>
      </c>
      <c r="Q6412">
        <v>0</v>
      </c>
      <c r="R6412" t="s">
        <v>47311</v>
      </c>
      <c r="S6412" t="s">
        <v>47446</v>
      </c>
      <c r="T6412" t="s">
        <v>49015</v>
      </c>
      <c r="U6412" t="s">
        <v>54883</v>
      </c>
      <c r="V6412" t="s">
        <v>63258</v>
      </c>
      <c r="W6412" t="s">
        <v>45234</v>
      </c>
      <c r="X6412" t="s">
        <v>47312</v>
      </c>
    </row>
    <row r="6413" spans="1:24">
      <c r="A6413">
        <f>HYPERLINK("https://www.philgeps.gov.ph/GEPSNONPILOT/Tender/SplashBidNoticeAbstractUI.aspx?menuIndex=3&amp;refID=7190138&amp;Result=3","7190138")</f>
        <v>0</v>
      </c>
      <c r="B6413" t="s">
        <v>904</v>
      </c>
      <c r="C6413" t="s">
        <v>9880</v>
      </c>
      <c r="D6413" t="s">
        <v>19040</v>
      </c>
      <c r="E6413" t="s">
        <v>24676</v>
      </c>
      <c r="F6413" t="s">
        <v>32606</v>
      </c>
      <c r="G6413" t="s">
        <v>32614</v>
      </c>
      <c r="H6413" t="s">
        <v>32624</v>
      </c>
      <c r="I6413" t="s">
        <v>32638</v>
      </c>
      <c r="J6413" t="s">
        <v>33569</v>
      </c>
      <c r="K6413" t="s">
        <v>42631</v>
      </c>
      <c r="M6413" t="s">
        <v>43842</v>
      </c>
      <c r="N6413" t="s">
        <v>47304</v>
      </c>
      <c r="O6413" t="s">
        <v>47305</v>
      </c>
      <c r="P6413">
        <v>0</v>
      </c>
      <c r="Q6413">
        <v>3</v>
      </c>
      <c r="R6413" t="s">
        <v>47311</v>
      </c>
      <c r="S6413" t="s">
        <v>47443</v>
      </c>
      <c r="T6413" t="s">
        <v>49165</v>
      </c>
      <c r="U6413" t="s">
        <v>54884</v>
      </c>
      <c r="W6413" t="s">
        <v>43842</v>
      </c>
      <c r="X6413" t="s">
        <v>47312</v>
      </c>
    </row>
    <row r="6414" spans="1:24">
      <c r="A6414">
        <f>HYPERLINK("https://www.philgeps.gov.ph/GEPSNONPILOT/Tender/SplashBidNoticeAbstractUI.aspx?menuIndex=3&amp;refID=7190187&amp;Result=3","7190187")</f>
        <v>0</v>
      </c>
      <c r="B6414" t="s">
        <v>2145</v>
      </c>
      <c r="C6414" t="s">
        <v>9881</v>
      </c>
      <c r="D6414" t="s">
        <v>19007</v>
      </c>
      <c r="E6414" t="s">
        <v>24677</v>
      </c>
      <c r="F6414" t="s">
        <v>32606</v>
      </c>
      <c r="G6414" t="s">
        <v>32613</v>
      </c>
      <c r="H6414" t="s">
        <v>14201</v>
      </c>
      <c r="I6414" t="s">
        <v>7064</v>
      </c>
      <c r="J6414" t="s">
        <v>34667</v>
      </c>
      <c r="K6414" t="s">
        <v>42623</v>
      </c>
      <c r="L6414" t="s">
        <v>2145</v>
      </c>
      <c r="M6414" t="s">
        <v>45235</v>
      </c>
      <c r="N6414" t="s">
        <v>47304</v>
      </c>
      <c r="O6414" t="s">
        <v>47305</v>
      </c>
      <c r="P6414">
        <v>0</v>
      </c>
      <c r="Q6414">
        <v>2</v>
      </c>
      <c r="R6414" t="s">
        <v>47311</v>
      </c>
      <c r="S6414" t="s">
        <v>47443</v>
      </c>
      <c r="T6414" t="s">
        <v>48979</v>
      </c>
      <c r="U6414" t="s">
        <v>54885</v>
      </c>
      <c r="W6414" t="s">
        <v>45235</v>
      </c>
      <c r="X6414" t="s">
        <v>47312</v>
      </c>
    </row>
    <row r="6415" spans="1:24">
      <c r="A6415">
        <f>HYPERLINK("https://www.philgeps.gov.ph/GEPSNONPILOT/Tender/SplashBidNoticeAbstractUI.aspx?menuIndex=3&amp;refID=7190185&amp;Result=3","7190185")</f>
        <v>0</v>
      </c>
      <c r="B6415" t="s">
        <v>2146</v>
      </c>
      <c r="C6415" t="s">
        <v>9882</v>
      </c>
      <c r="D6415" t="s">
        <v>19019</v>
      </c>
      <c r="E6415" t="s">
        <v>24678</v>
      </c>
      <c r="F6415" t="s">
        <v>32606</v>
      </c>
      <c r="G6415" t="s">
        <v>32613</v>
      </c>
      <c r="H6415" t="s">
        <v>32623</v>
      </c>
      <c r="I6415" t="s">
        <v>17648</v>
      </c>
      <c r="J6415" t="s">
        <v>32772</v>
      </c>
      <c r="K6415" t="s">
        <v>42636</v>
      </c>
      <c r="M6415" t="s">
        <v>45236</v>
      </c>
      <c r="N6415" t="s">
        <v>47304</v>
      </c>
      <c r="O6415" t="s">
        <v>47305</v>
      </c>
      <c r="P6415">
        <v>0</v>
      </c>
      <c r="Q6415">
        <v>0</v>
      </c>
      <c r="R6415" t="s">
        <v>47311</v>
      </c>
      <c r="S6415" t="s">
        <v>47443</v>
      </c>
      <c r="T6415" t="s">
        <v>49213</v>
      </c>
      <c r="U6415" t="s">
        <v>54886</v>
      </c>
      <c r="W6415" t="s">
        <v>45236</v>
      </c>
      <c r="X6415" t="s">
        <v>47312</v>
      </c>
    </row>
    <row r="6416" spans="1:24">
      <c r="A6416">
        <f>HYPERLINK("https://www.philgeps.gov.ph/GEPSNONPILOT/Tender/SplashBidNoticeAbstractUI.aspx?menuIndex=3&amp;refID=7190182&amp;Result=3","7190182")</f>
        <v>0</v>
      </c>
      <c r="B6416" t="s">
        <v>2142</v>
      </c>
      <c r="C6416" t="s">
        <v>9883</v>
      </c>
      <c r="D6416" t="s">
        <v>19005</v>
      </c>
      <c r="E6416" t="s">
        <v>24679</v>
      </c>
      <c r="F6416" t="s">
        <v>32606</v>
      </c>
      <c r="G6416" t="s">
        <v>32613</v>
      </c>
      <c r="H6416" t="s">
        <v>14201</v>
      </c>
      <c r="I6416" t="s">
        <v>6478</v>
      </c>
      <c r="J6416" t="s">
        <v>36895</v>
      </c>
      <c r="K6416" t="s">
        <v>42624</v>
      </c>
      <c r="M6416" t="s">
        <v>45230</v>
      </c>
      <c r="N6416" t="s">
        <v>47304</v>
      </c>
      <c r="O6416" t="s">
        <v>47305</v>
      </c>
      <c r="P6416">
        <v>0</v>
      </c>
      <c r="Q6416">
        <v>3</v>
      </c>
      <c r="R6416" t="s">
        <v>47311</v>
      </c>
      <c r="S6416" t="s">
        <v>47443</v>
      </c>
      <c r="T6416" t="s">
        <v>49050</v>
      </c>
      <c r="U6416" t="s">
        <v>54887</v>
      </c>
      <c r="W6416" t="s">
        <v>45230</v>
      </c>
      <c r="X6416" t="s">
        <v>47312</v>
      </c>
    </row>
    <row r="6417" spans="1:24">
      <c r="A6417">
        <f>HYPERLINK("https://www.philgeps.gov.ph/GEPSNONPILOT/Tender/SplashBidNoticeAbstractUI.aspx?menuIndex=3&amp;refID=7190171&amp;Result=3","7190171")</f>
        <v>0</v>
      </c>
      <c r="B6417" t="s">
        <v>2147</v>
      </c>
      <c r="C6417" t="s">
        <v>4718</v>
      </c>
      <c r="D6417" t="s">
        <v>19038</v>
      </c>
      <c r="E6417" t="s">
        <v>24680</v>
      </c>
      <c r="F6417" t="s">
        <v>32606</v>
      </c>
      <c r="G6417" t="s">
        <v>32614</v>
      </c>
      <c r="H6417" t="s">
        <v>14201</v>
      </c>
      <c r="I6417" t="s">
        <v>4114</v>
      </c>
      <c r="J6417" t="s">
        <v>36896</v>
      </c>
      <c r="K6417" t="s">
        <v>42674</v>
      </c>
      <c r="M6417" t="s">
        <v>45237</v>
      </c>
      <c r="N6417" t="s">
        <v>47304</v>
      </c>
      <c r="O6417" t="s">
        <v>47305</v>
      </c>
      <c r="P6417">
        <v>0</v>
      </c>
      <c r="Q6417">
        <v>1</v>
      </c>
      <c r="R6417" t="s">
        <v>47311</v>
      </c>
      <c r="S6417" t="s">
        <v>47443</v>
      </c>
      <c r="T6417" t="s">
        <v>49315</v>
      </c>
      <c r="U6417" t="s">
        <v>54888</v>
      </c>
      <c r="W6417" t="s">
        <v>45237</v>
      </c>
      <c r="X6417" t="s">
        <v>47312</v>
      </c>
    </row>
    <row r="6418" spans="1:24">
      <c r="A6418">
        <f>HYPERLINK("https://www.philgeps.gov.ph/GEPSNONPILOT/Tender/SplashBidNoticeAbstractUI.aspx?menuIndex=3&amp;refID=7179700&amp;Result=3","7179700")</f>
        <v>0</v>
      </c>
      <c r="B6418" t="s">
        <v>496</v>
      </c>
      <c r="C6418" t="s">
        <v>9884</v>
      </c>
      <c r="D6418" t="s">
        <v>19011</v>
      </c>
      <c r="E6418" t="s">
        <v>24681</v>
      </c>
      <c r="F6418" t="s">
        <v>32606</v>
      </c>
      <c r="G6418" t="s">
        <v>32613</v>
      </c>
      <c r="H6418" t="s">
        <v>14201</v>
      </c>
      <c r="I6418" t="s">
        <v>32654</v>
      </c>
      <c r="J6418" t="s">
        <v>34591</v>
      </c>
      <c r="K6418" t="s">
        <v>42631</v>
      </c>
      <c r="M6418" t="s">
        <v>43409</v>
      </c>
      <c r="N6418" t="s">
        <v>47304</v>
      </c>
      <c r="O6418" t="s">
        <v>47305</v>
      </c>
      <c r="P6418">
        <v>0</v>
      </c>
      <c r="Q6418">
        <v>0</v>
      </c>
      <c r="R6418" t="s">
        <v>47311</v>
      </c>
      <c r="S6418" t="s">
        <v>47443</v>
      </c>
      <c r="T6418" t="s">
        <v>48973</v>
      </c>
      <c r="U6418" t="s">
        <v>54889</v>
      </c>
      <c r="W6418" t="s">
        <v>64438</v>
      </c>
      <c r="X6418" t="s">
        <v>47318</v>
      </c>
    </row>
    <row r="6419" spans="1:24">
      <c r="A6419">
        <f>HYPERLINK("https://www.philgeps.gov.ph/GEPSNONPILOT/Tender/SplashBidNoticeAbstractUI.aspx?menuIndex=3&amp;refID=7190170&amp;Result=3","7190170")</f>
        <v>0</v>
      </c>
      <c r="B6419" t="s">
        <v>1262</v>
      </c>
      <c r="C6419" t="s">
        <v>9885</v>
      </c>
      <c r="D6419" t="s">
        <v>19021</v>
      </c>
      <c r="E6419" t="s">
        <v>24682</v>
      </c>
      <c r="F6419" t="s">
        <v>32606</v>
      </c>
      <c r="G6419" t="s">
        <v>32615</v>
      </c>
      <c r="H6419" t="s">
        <v>14201</v>
      </c>
      <c r="I6419" t="s">
        <v>4120</v>
      </c>
      <c r="J6419" t="s">
        <v>33263</v>
      </c>
      <c r="K6419" t="s">
        <v>42627</v>
      </c>
      <c r="M6419" t="s">
        <v>44230</v>
      </c>
      <c r="N6419" t="s">
        <v>47304</v>
      </c>
      <c r="O6419" t="s">
        <v>47305</v>
      </c>
      <c r="P6419">
        <v>0</v>
      </c>
      <c r="Q6419">
        <v>1</v>
      </c>
      <c r="R6419" t="s">
        <v>47311</v>
      </c>
      <c r="S6419" t="s">
        <v>47443</v>
      </c>
      <c r="T6419" t="s">
        <v>48987</v>
      </c>
      <c r="U6419" t="s">
        <v>54890</v>
      </c>
      <c r="V6419" t="s">
        <v>63259</v>
      </c>
      <c r="W6419" t="s">
        <v>44230</v>
      </c>
      <c r="X6419" t="s">
        <v>47312</v>
      </c>
    </row>
    <row r="6420" spans="1:24">
      <c r="A6420">
        <f>HYPERLINK("https://www.philgeps.gov.ph/GEPSNONPILOT/Tender/SplashBidNoticeAbstractUI.aspx?menuIndex=3&amp;refID=7190128&amp;Result=3","7190128")</f>
        <v>0</v>
      </c>
      <c r="B6420" t="s">
        <v>2142</v>
      </c>
      <c r="C6420" t="s">
        <v>9886</v>
      </c>
      <c r="D6420" t="s">
        <v>19005</v>
      </c>
      <c r="E6420" t="s">
        <v>24683</v>
      </c>
      <c r="F6420" t="s">
        <v>32606</v>
      </c>
      <c r="G6420" t="s">
        <v>32613</v>
      </c>
      <c r="H6420" t="s">
        <v>14201</v>
      </c>
      <c r="I6420" t="s">
        <v>4678</v>
      </c>
      <c r="J6420" t="s">
        <v>33189</v>
      </c>
      <c r="K6420" t="s">
        <v>42624</v>
      </c>
      <c r="M6420" t="s">
        <v>45230</v>
      </c>
      <c r="N6420" t="s">
        <v>47304</v>
      </c>
      <c r="O6420" t="s">
        <v>47305</v>
      </c>
      <c r="P6420">
        <v>0</v>
      </c>
      <c r="Q6420">
        <v>3</v>
      </c>
      <c r="R6420" t="s">
        <v>47311</v>
      </c>
      <c r="S6420" t="s">
        <v>47443</v>
      </c>
      <c r="T6420" t="s">
        <v>49050</v>
      </c>
      <c r="U6420" t="s">
        <v>54891</v>
      </c>
      <c r="W6420" t="s">
        <v>45230</v>
      </c>
      <c r="X6420" t="s">
        <v>47312</v>
      </c>
    </row>
    <row r="6421" spans="1:24">
      <c r="A6421">
        <f>HYPERLINK("https://www.philgeps.gov.ph/GEPSNONPILOT/Tender/SplashBidNoticeAbstractUI.aspx?menuIndex=3&amp;refID=7190197&amp;Result=3","7190197")</f>
        <v>0</v>
      </c>
      <c r="B6421" t="s">
        <v>2148</v>
      </c>
      <c r="C6421" t="s">
        <v>9887</v>
      </c>
      <c r="D6421" t="s">
        <v>19028</v>
      </c>
      <c r="E6421" t="s">
        <v>24684</v>
      </c>
      <c r="F6421" t="s">
        <v>32606</v>
      </c>
      <c r="G6421" t="s">
        <v>32613</v>
      </c>
      <c r="H6421" t="s">
        <v>32623</v>
      </c>
      <c r="I6421" t="s">
        <v>17648</v>
      </c>
      <c r="J6421" t="s">
        <v>33263</v>
      </c>
      <c r="K6421" t="s">
        <v>42785</v>
      </c>
      <c r="M6421" t="s">
        <v>45238</v>
      </c>
      <c r="N6421" t="s">
        <v>47304</v>
      </c>
      <c r="O6421" t="s">
        <v>47305</v>
      </c>
      <c r="P6421">
        <v>0</v>
      </c>
      <c r="Q6421">
        <v>0</v>
      </c>
      <c r="R6421" t="s">
        <v>47311</v>
      </c>
      <c r="S6421" t="s">
        <v>47443</v>
      </c>
      <c r="T6421" t="s">
        <v>48997</v>
      </c>
      <c r="U6421" t="s">
        <v>54892</v>
      </c>
      <c r="W6421" t="s">
        <v>45238</v>
      </c>
      <c r="X6421" t="s">
        <v>47312</v>
      </c>
    </row>
    <row r="6422" spans="1:24">
      <c r="A6422">
        <f>HYPERLINK("https://www.philgeps.gov.ph/GEPSNONPILOT/Tender/SplashBidNoticeAbstractUI.aspx?menuIndex=3&amp;refID=7190179&amp;Result=3","7190179")</f>
        <v>0</v>
      </c>
      <c r="B6422" t="s">
        <v>496</v>
      </c>
      <c r="C6422" t="s">
        <v>9888</v>
      </c>
      <c r="D6422" t="s">
        <v>19011</v>
      </c>
      <c r="E6422" t="s">
        <v>24685</v>
      </c>
      <c r="F6422" t="s">
        <v>32606</v>
      </c>
      <c r="G6422" t="s">
        <v>32614</v>
      </c>
      <c r="H6422" t="s">
        <v>14201</v>
      </c>
      <c r="I6422" t="s">
        <v>6298</v>
      </c>
      <c r="J6422" t="s">
        <v>36897</v>
      </c>
      <c r="K6422" t="s">
        <v>42631</v>
      </c>
      <c r="M6422" t="s">
        <v>45233</v>
      </c>
      <c r="N6422" t="s">
        <v>47304</v>
      </c>
      <c r="O6422" t="s">
        <v>47305</v>
      </c>
      <c r="P6422">
        <v>0</v>
      </c>
      <c r="Q6422">
        <v>0</v>
      </c>
      <c r="R6422" t="s">
        <v>47311</v>
      </c>
      <c r="S6422" t="s">
        <v>47443</v>
      </c>
      <c r="T6422" t="s">
        <v>48977</v>
      </c>
      <c r="U6422" t="s">
        <v>54893</v>
      </c>
      <c r="W6422" t="s">
        <v>64494</v>
      </c>
      <c r="X6422" t="s">
        <v>47312</v>
      </c>
    </row>
    <row r="6423" spans="1:24">
      <c r="A6423">
        <f>HYPERLINK("https://www.philgeps.gov.ph/GEPSNONPILOT/Tender/SplashBidNoticeAbstractUI.aspx?menuIndex=3&amp;refID=7190164&amp;Result=3","7190164")</f>
        <v>0</v>
      </c>
      <c r="B6423" t="s">
        <v>215</v>
      </c>
      <c r="C6423" t="s">
        <v>9889</v>
      </c>
      <c r="D6423" t="s">
        <v>18992</v>
      </c>
      <c r="E6423" t="s">
        <v>24686</v>
      </c>
      <c r="F6423" t="s">
        <v>32606</v>
      </c>
      <c r="G6423" t="s">
        <v>32613</v>
      </c>
      <c r="H6423" t="s">
        <v>14201</v>
      </c>
      <c r="I6423" t="s">
        <v>32628</v>
      </c>
      <c r="J6423" t="s">
        <v>32778</v>
      </c>
      <c r="K6423" t="s">
        <v>42624</v>
      </c>
      <c r="M6423" t="s">
        <v>43116</v>
      </c>
      <c r="N6423" t="s">
        <v>47304</v>
      </c>
      <c r="O6423" t="s">
        <v>47305</v>
      </c>
      <c r="P6423">
        <v>0</v>
      </c>
      <c r="Q6423">
        <v>0</v>
      </c>
      <c r="R6423" t="s">
        <v>47311</v>
      </c>
      <c r="S6423" t="s">
        <v>47443</v>
      </c>
      <c r="T6423" t="s">
        <v>49023</v>
      </c>
      <c r="U6423" t="s">
        <v>54894</v>
      </c>
      <c r="W6423" t="s">
        <v>43116</v>
      </c>
      <c r="X6423" t="s">
        <v>47312</v>
      </c>
    </row>
    <row r="6424" spans="1:24">
      <c r="A6424">
        <f>HYPERLINK("https://www.philgeps.gov.ph/GEPSNONPILOT/Tender/SplashBidNoticeAbstractUI.aspx?menuIndex=3&amp;refID=7190160&amp;Result=3","7190160")</f>
        <v>0</v>
      </c>
      <c r="B6424" t="s">
        <v>2142</v>
      </c>
      <c r="C6424" t="s">
        <v>9890</v>
      </c>
      <c r="D6424" t="s">
        <v>19005</v>
      </c>
      <c r="E6424" t="s">
        <v>24687</v>
      </c>
      <c r="F6424" t="s">
        <v>32606</v>
      </c>
      <c r="G6424" t="s">
        <v>32613</v>
      </c>
      <c r="H6424" t="s">
        <v>14201</v>
      </c>
      <c r="I6424" t="s">
        <v>32660</v>
      </c>
      <c r="J6424" t="s">
        <v>35547</v>
      </c>
      <c r="K6424" t="s">
        <v>42624</v>
      </c>
      <c r="M6424" t="s">
        <v>45230</v>
      </c>
      <c r="N6424" t="s">
        <v>47304</v>
      </c>
      <c r="O6424" t="s">
        <v>47305</v>
      </c>
      <c r="P6424">
        <v>0</v>
      </c>
      <c r="Q6424">
        <v>1</v>
      </c>
      <c r="R6424" t="s">
        <v>47311</v>
      </c>
      <c r="S6424" t="s">
        <v>47443</v>
      </c>
      <c r="T6424" t="s">
        <v>49050</v>
      </c>
      <c r="U6424" t="s">
        <v>54895</v>
      </c>
      <c r="W6424" t="s">
        <v>45230</v>
      </c>
      <c r="X6424" t="s">
        <v>47312</v>
      </c>
    </row>
    <row r="6425" spans="1:24">
      <c r="A6425">
        <f>HYPERLINK("https://www.philgeps.gov.ph/GEPSNONPILOT/Tender/SplashBidNoticeAbstractUI.aspx?menuIndex=3&amp;refID=7190115&amp;Result=3","7190115")</f>
        <v>0</v>
      </c>
      <c r="B6425" t="s">
        <v>192</v>
      </c>
      <c r="C6425" t="s">
        <v>9891</v>
      </c>
      <c r="D6425" t="s">
        <v>19016</v>
      </c>
      <c r="E6425" t="s">
        <v>24688</v>
      </c>
      <c r="F6425" t="s">
        <v>32606</v>
      </c>
      <c r="G6425" t="s">
        <v>32614</v>
      </c>
      <c r="H6425" t="s">
        <v>14201</v>
      </c>
      <c r="I6425" t="s">
        <v>32655</v>
      </c>
      <c r="J6425" t="s">
        <v>33113</v>
      </c>
      <c r="K6425" t="s">
        <v>42624</v>
      </c>
      <c r="M6425" t="s">
        <v>43093</v>
      </c>
      <c r="N6425" t="s">
        <v>47304</v>
      </c>
      <c r="O6425" t="s">
        <v>47305</v>
      </c>
      <c r="P6425">
        <v>0</v>
      </c>
      <c r="Q6425">
        <v>9</v>
      </c>
      <c r="R6425" t="s">
        <v>47311</v>
      </c>
      <c r="S6425" t="s">
        <v>47443</v>
      </c>
      <c r="T6425" t="s">
        <v>49269</v>
      </c>
      <c r="U6425" t="s">
        <v>49914</v>
      </c>
      <c r="V6425" t="s">
        <v>62691</v>
      </c>
      <c r="W6425" t="s">
        <v>43093</v>
      </c>
      <c r="X6425" t="s">
        <v>47312</v>
      </c>
    </row>
    <row r="6426" spans="1:24">
      <c r="A6426">
        <f>HYPERLINK("https://www.philgeps.gov.ph/GEPSNONPILOT/Tender/SplashBidNoticeAbstractUI.aspx?menuIndex=3&amp;refID=7190169&amp;Result=3","7190169")</f>
        <v>0</v>
      </c>
      <c r="B6426" t="s">
        <v>2142</v>
      </c>
      <c r="C6426" t="s">
        <v>9892</v>
      </c>
      <c r="D6426" t="s">
        <v>19005</v>
      </c>
      <c r="E6426" t="s">
        <v>24689</v>
      </c>
      <c r="F6426" t="s">
        <v>32606</v>
      </c>
      <c r="G6426" t="s">
        <v>32613</v>
      </c>
      <c r="H6426" t="s">
        <v>14201</v>
      </c>
      <c r="I6426" t="s">
        <v>32681</v>
      </c>
      <c r="J6426" t="s">
        <v>36898</v>
      </c>
      <c r="K6426" t="s">
        <v>42624</v>
      </c>
      <c r="M6426" t="s">
        <v>45230</v>
      </c>
      <c r="N6426" t="s">
        <v>47304</v>
      </c>
      <c r="O6426" t="s">
        <v>47305</v>
      </c>
      <c r="P6426">
        <v>0</v>
      </c>
      <c r="Q6426">
        <v>4</v>
      </c>
      <c r="R6426" t="s">
        <v>47311</v>
      </c>
      <c r="S6426" t="s">
        <v>47443</v>
      </c>
      <c r="T6426" t="s">
        <v>49050</v>
      </c>
      <c r="U6426" t="s">
        <v>54896</v>
      </c>
      <c r="W6426" t="s">
        <v>45230</v>
      </c>
      <c r="X6426" t="s">
        <v>47312</v>
      </c>
    </row>
    <row r="6427" spans="1:24">
      <c r="A6427">
        <f>HYPERLINK("https://www.philgeps.gov.ph/GEPSNONPILOT/Tender/SplashBidNoticeAbstractUI.aspx?menuIndex=3&amp;refID=7190168&amp;Result=3","7190168")</f>
        <v>0</v>
      </c>
      <c r="B6427" t="s">
        <v>1259</v>
      </c>
      <c r="C6427" t="s">
        <v>9893</v>
      </c>
      <c r="D6427" t="s">
        <v>19061</v>
      </c>
      <c r="E6427" t="s">
        <v>24690</v>
      </c>
      <c r="F6427" t="s">
        <v>32606</v>
      </c>
      <c r="G6427" t="s">
        <v>32614</v>
      </c>
      <c r="H6427" t="s">
        <v>14201</v>
      </c>
      <c r="I6427" t="s">
        <v>7233</v>
      </c>
      <c r="J6427" t="s">
        <v>36899</v>
      </c>
      <c r="K6427" t="s">
        <v>42630</v>
      </c>
      <c r="M6427" t="s">
        <v>44226</v>
      </c>
      <c r="N6427" t="s">
        <v>47304</v>
      </c>
      <c r="O6427" t="s">
        <v>47305</v>
      </c>
      <c r="P6427">
        <v>0</v>
      </c>
      <c r="Q6427">
        <v>1</v>
      </c>
      <c r="R6427" t="s">
        <v>47311</v>
      </c>
      <c r="S6427" t="s">
        <v>47443</v>
      </c>
      <c r="T6427" t="s">
        <v>49268</v>
      </c>
      <c r="U6427" t="s">
        <v>54897</v>
      </c>
      <c r="W6427" t="s">
        <v>44226</v>
      </c>
      <c r="X6427" t="s">
        <v>47312</v>
      </c>
    </row>
    <row r="6428" spans="1:24">
      <c r="A6428">
        <f>HYPERLINK("https://www.philgeps.gov.ph/GEPSNONPILOT/Tender/SplashBidNoticeAbstractUI.aspx?menuIndex=3&amp;refID=7190167&amp;Result=3","7190167")</f>
        <v>0</v>
      </c>
      <c r="B6428" t="s">
        <v>2144</v>
      </c>
      <c r="C6428" t="s">
        <v>9894</v>
      </c>
      <c r="D6428" t="s">
        <v>19003</v>
      </c>
      <c r="E6428" t="s">
        <v>19462</v>
      </c>
      <c r="F6428" t="s">
        <v>32606</v>
      </c>
      <c r="G6428" t="s">
        <v>32613</v>
      </c>
      <c r="H6428" t="s">
        <v>32623</v>
      </c>
      <c r="I6428" t="s">
        <v>32732</v>
      </c>
      <c r="J6428" t="s">
        <v>36900</v>
      </c>
      <c r="K6428" t="s">
        <v>42623</v>
      </c>
      <c r="M6428" t="s">
        <v>45232</v>
      </c>
      <c r="N6428" t="s">
        <v>47304</v>
      </c>
      <c r="O6428" t="s">
        <v>47305</v>
      </c>
      <c r="P6428">
        <v>0</v>
      </c>
      <c r="Q6428">
        <v>0</v>
      </c>
      <c r="R6428" t="s">
        <v>47311</v>
      </c>
      <c r="S6428" t="s">
        <v>47443</v>
      </c>
      <c r="T6428" t="s">
        <v>49111</v>
      </c>
      <c r="U6428" t="s">
        <v>54898</v>
      </c>
      <c r="W6428" t="s">
        <v>45232</v>
      </c>
      <c r="X6428" t="s">
        <v>47312</v>
      </c>
    </row>
    <row r="6429" spans="1:24">
      <c r="A6429">
        <f>HYPERLINK("https://www.philgeps.gov.ph/GEPSNONPILOT/Tender/SplashBidNoticeAbstractUI.aspx?menuIndex=3&amp;refID=7190258&amp;Result=3","7190258")</f>
        <v>0</v>
      </c>
      <c r="B6429" t="s">
        <v>600</v>
      </c>
      <c r="C6429" t="s">
        <v>9895</v>
      </c>
      <c r="D6429" t="s">
        <v>19041</v>
      </c>
      <c r="E6429" t="s">
        <v>24691</v>
      </c>
      <c r="F6429" t="s">
        <v>32606</v>
      </c>
      <c r="G6429" t="s">
        <v>32614</v>
      </c>
      <c r="H6429" t="s">
        <v>14201</v>
      </c>
      <c r="I6429" t="s">
        <v>32635</v>
      </c>
      <c r="J6429" t="s">
        <v>36901</v>
      </c>
      <c r="K6429" t="s">
        <v>42623</v>
      </c>
      <c r="M6429" t="s">
        <v>43516</v>
      </c>
      <c r="N6429" t="s">
        <v>47304</v>
      </c>
      <c r="O6429" t="s">
        <v>47305</v>
      </c>
      <c r="P6429">
        <v>0</v>
      </c>
      <c r="Q6429">
        <v>2</v>
      </c>
      <c r="R6429" t="s">
        <v>47311</v>
      </c>
      <c r="S6429" t="s">
        <v>47443</v>
      </c>
      <c r="T6429" t="s">
        <v>49269</v>
      </c>
      <c r="U6429" t="s">
        <v>54899</v>
      </c>
      <c r="V6429" t="s">
        <v>62785</v>
      </c>
      <c r="W6429" t="s">
        <v>43516</v>
      </c>
      <c r="X6429" t="s">
        <v>47312</v>
      </c>
    </row>
    <row r="6430" spans="1:24">
      <c r="A6430">
        <f>HYPERLINK("https://www.philgeps.gov.ph/GEPSNONPILOT/Tender/SplashBidNoticeAbstractUI.aspx?menuIndex=3&amp;refID=7190157&amp;Result=3","7190157")</f>
        <v>0</v>
      </c>
      <c r="B6430" t="s">
        <v>600</v>
      </c>
      <c r="C6430" t="s">
        <v>9896</v>
      </c>
      <c r="E6430" t="s">
        <v>24692</v>
      </c>
      <c r="F6430" t="s">
        <v>32606</v>
      </c>
      <c r="G6430" t="s">
        <v>32614</v>
      </c>
      <c r="H6430" t="s">
        <v>14201</v>
      </c>
      <c r="I6430" t="s">
        <v>4114</v>
      </c>
      <c r="J6430" t="s">
        <v>36902</v>
      </c>
      <c r="K6430" t="s">
        <v>42623</v>
      </c>
      <c r="M6430" t="s">
        <v>43516</v>
      </c>
      <c r="N6430" t="s">
        <v>47304</v>
      </c>
      <c r="O6430" t="s">
        <v>47305</v>
      </c>
      <c r="P6430">
        <v>0</v>
      </c>
      <c r="Q6430">
        <v>4</v>
      </c>
      <c r="R6430" t="s">
        <v>47311</v>
      </c>
      <c r="S6430" t="s">
        <v>47443</v>
      </c>
      <c r="T6430" t="s">
        <v>49269</v>
      </c>
      <c r="U6430" t="s">
        <v>54900</v>
      </c>
      <c r="V6430" t="s">
        <v>63260</v>
      </c>
      <c r="W6430" t="s">
        <v>43516</v>
      </c>
      <c r="X6430" t="s">
        <v>47312</v>
      </c>
    </row>
    <row r="6431" spans="1:24">
      <c r="A6431">
        <f>HYPERLINK("https://www.philgeps.gov.ph/GEPSNONPILOT/Tender/SplashBidNoticeAbstractUI.aspx?menuIndex=3&amp;refID=7190246&amp;Result=3","7190246")</f>
        <v>0</v>
      </c>
      <c r="B6431" t="s">
        <v>2149</v>
      </c>
      <c r="C6431" t="s">
        <v>9897</v>
      </c>
      <c r="D6431" t="s">
        <v>19014</v>
      </c>
      <c r="E6431" t="s">
        <v>24693</v>
      </c>
      <c r="F6431" t="s">
        <v>32606</v>
      </c>
      <c r="G6431" t="s">
        <v>32613</v>
      </c>
      <c r="H6431" t="s">
        <v>32623</v>
      </c>
      <c r="I6431" t="s">
        <v>17648</v>
      </c>
      <c r="J6431" t="s">
        <v>36903</v>
      </c>
      <c r="K6431" t="s">
        <v>42648</v>
      </c>
      <c r="M6431" t="s">
        <v>45239</v>
      </c>
      <c r="N6431" t="s">
        <v>47304</v>
      </c>
      <c r="O6431" t="s">
        <v>47305</v>
      </c>
      <c r="P6431">
        <v>0</v>
      </c>
      <c r="Q6431">
        <v>2</v>
      </c>
      <c r="R6431" t="s">
        <v>47311</v>
      </c>
      <c r="S6431" t="s">
        <v>47443</v>
      </c>
      <c r="T6431" t="s">
        <v>49157</v>
      </c>
      <c r="U6431" t="s">
        <v>54901</v>
      </c>
      <c r="W6431" t="s">
        <v>45239</v>
      </c>
      <c r="X6431" t="s">
        <v>47312</v>
      </c>
    </row>
    <row r="6432" spans="1:24">
      <c r="A6432">
        <f>HYPERLINK("https://www.philgeps.gov.ph/GEPSNONPILOT/Tender/SplashBidNoticeAbstractUI.aspx?menuIndex=3&amp;refID=7190263&amp;Result=3","7190263")</f>
        <v>0</v>
      </c>
      <c r="B6432" t="s">
        <v>1478</v>
      </c>
      <c r="C6432" t="s">
        <v>9898</v>
      </c>
      <c r="E6432" t="s">
        <v>24694</v>
      </c>
      <c r="F6432" t="s">
        <v>32608</v>
      </c>
      <c r="G6432" t="s">
        <v>32619</v>
      </c>
      <c r="H6432" t="s">
        <v>14201</v>
      </c>
      <c r="I6432" t="s">
        <v>6298</v>
      </c>
      <c r="J6432" t="s">
        <v>36904</v>
      </c>
      <c r="K6432" t="s">
        <v>42624</v>
      </c>
      <c r="M6432" t="s">
        <v>45240</v>
      </c>
      <c r="N6432" t="s">
        <v>47304</v>
      </c>
      <c r="O6432" t="s">
        <v>47305</v>
      </c>
      <c r="P6432">
        <v>0</v>
      </c>
      <c r="Q6432">
        <v>0</v>
      </c>
      <c r="R6432" t="s">
        <v>47311</v>
      </c>
      <c r="S6432" t="s">
        <v>47443</v>
      </c>
      <c r="T6432" t="s">
        <v>49346</v>
      </c>
      <c r="U6432" t="s">
        <v>54902</v>
      </c>
      <c r="W6432" t="s">
        <v>45240</v>
      </c>
      <c r="X6432" t="s">
        <v>47312</v>
      </c>
    </row>
    <row r="6433" spans="1:24">
      <c r="A6433">
        <f>HYPERLINK("https://www.philgeps.gov.ph/GEPSNONPILOT/Tender/SplashBidNoticeAbstractUI.aspx?menuIndex=3&amp;refID=7190245&amp;Result=3","7190245")</f>
        <v>0</v>
      </c>
      <c r="B6433" t="s">
        <v>2150</v>
      </c>
      <c r="C6433" t="s">
        <v>9899</v>
      </c>
      <c r="D6433" t="s">
        <v>19010</v>
      </c>
      <c r="E6433" t="s">
        <v>24695</v>
      </c>
      <c r="F6433" t="s">
        <v>32606</v>
      </c>
      <c r="G6433" t="s">
        <v>32614</v>
      </c>
      <c r="H6433" t="s">
        <v>14201</v>
      </c>
      <c r="I6433" t="s">
        <v>32629</v>
      </c>
      <c r="J6433" t="s">
        <v>36905</v>
      </c>
      <c r="K6433" t="s">
        <v>42623</v>
      </c>
      <c r="M6433" t="s">
        <v>45241</v>
      </c>
      <c r="N6433" t="s">
        <v>47304</v>
      </c>
      <c r="O6433" t="s">
        <v>47305</v>
      </c>
      <c r="P6433">
        <v>0</v>
      </c>
      <c r="Q6433">
        <v>0</v>
      </c>
      <c r="R6433" t="s">
        <v>47311</v>
      </c>
      <c r="S6433" t="s">
        <v>47443</v>
      </c>
      <c r="T6433" t="s">
        <v>49347</v>
      </c>
      <c r="U6433" t="s">
        <v>54903</v>
      </c>
      <c r="W6433" t="s">
        <v>45241</v>
      </c>
      <c r="X6433" t="s">
        <v>47312</v>
      </c>
    </row>
    <row r="6434" spans="1:24">
      <c r="A6434">
        <f>HYPERLINK("https://www.philgeps.gov.ph/GEPSNONPILOT/Tender/SplashBidNoticeAbstractUI.aspx?menuIndex=3&amp;refID=7190244&amp;Result=3","7190244")</f>
        <v>0</v>
      </c>
      <c r="B6434" t="s">
        <v>2151</v>
      </c>
      <c r="C6434" t="s">
        <v>9900</v>
      </c>
      <c r="E6434" t="s">
        <v>19690</v>
      </c>
      <c r="F6434" t="s">
        <v>32606</v>
      </c>
      <c r="G6434" t="s">
        <v>32613</v>
      </c>
      <c r="H6434" t="s">
        <v>32623</v>
      </c>
      <c r="I6434" t="s">
        <v>17648</v>
      </c>
      <c r="J6434" t="s">
        <v>32770</v>
      </c>
      <c r="K6434" t="s">
        <v>42624</v>
      </c>
      <c r="M6434" t="s">
        <v>45242</v>
      </c>
      <c r="N6434" t="s">
        <v>47304</v>
      </c>
      <c r="O6434" t="s">
        <v>47305</v>
      </c>
      <c r="P6434">
        <v>0</v>
      </c>
      <c r="Q6434">
        <v>0</v>
      </c>
      <c r="R6434" t="s">
        <v>47311</v>
      </c>
      <c r="S6434" t="s">
        <v>47443</v>
      </c>
      <c r="T6434" t="s">
        <v>49176</v>
      </c>
      <c r="U6434" t="s">
        <v>54904</v>
      </c>
      <c r="W6434" t="s">
        <v>45242</v>
      </c>
      <c r="X6434" t="s">
        <v>47312</v>
      </c>
    </row>
    <row r="6435" spans="1:24">
      <c r="A6435">
        <f>HYPERLINK("https://www.philgeps.gov.ph/GEPSNONPILOT/Tender/SplashBidNoticeAbstractUI.aspx?menuIndex=3&amp;refID=7190262&amp;Result=3","7190262")</f>
        <v>0</v>
      </c>
      <c r="B6435" t="s">
        <v>2152</v>
      </c>
      <c r="C6435" t="s">
        <v>9901</v>
      </c>
      <c r="D6435" t="s">
        <v>19035</v>
      </c>
      <c r="E6435" t="s">
        <v>24696</v>
      </c>
      <c r="F6435" t="s">
        <v>32606</v>
      </c>
      <c r="G6435" t="s">
        <v>32613</v>
      </c>
      <c r="H6435" t="s">
        <v>14201</v>
      </c>
      <c r="I6435" t="s">
        <v>4114</v>
      </c>
      <c r="J6435" t="s">
        <v>36906</v>
      </c>
      <c r="K6435" t="s">
        <v>42622</v>
      </c>
      <c r="M6435" t="s">
        <v>45243</v>
      </c>
      <c r="N6435" t="s">
        <v>47304</v>
      </c>
      <c r="O6435" t="s">
        <v>47305</v>
      </c>
      <c r="P6435">
        <v>0</v>
      </c>
      <c r="Q6435">
        <v>6</v>
      </c>
      <c r="R6435" t="s">
        <v>47311</v>
      </c>
      <c r="S6435" t="s">
        <v>47443</v>
      </c>
      <c r="T6435" t="s">
        <v>49067</v>
      </c>
      <c r="U6435" t="s">
        <v>54905</v>
      </c>
      <c r="W6435" t="s">
        <v>45243</v>
      </c>
      <c r="X6435" t="s">
        <v>47312</v>
      </c>
    </row>
    <row r="6436" spans="1:24">
      <c r="A6436">
        <f>HYPERLINK("https://www.philgeps.gov.ph/GEPSNONPILOT/Tender/SplashBidNoticeAbstractUI.aspx?menuIndex=3&amp;refID=7190261&amp;Result=3","7190261")</f>
        <v>0</v>
      </c>
      <c r="B6436" t="s">
        <v>2153</v>
      </c>
      <c r="C6436" t="s">
        <v>9902</v>
      </c>
      <c r="D6436" t="s">
        <v>18993</v>
      </c>
      <c r="E6436" t="s">
        <v>20122</v>
      </c>
      <c r="F6436" t="s">
        <v>32606</v>
      </c>
      <c r="G6436" t="s">
        <v>32613</v>
      </c>
      <c r="H6436" t="s">
        <v>32624</v>
      </c>
      <c r="I6436" t="s">
        <v>32656</v>
      </c>
      <c r="J6436" t="s">
        <v>33529</v>
      </c>
      <c r="K6436" t="s">
        <v>42630</v>
      </c>
      <c r="M6436" t="s">
        <v>45244</v>
      </c>
      <c r="N6436" t="s">
        <v>47304</v>
      </c>
      <c r="O6436" t="s">
        <v>47305</v>
      </c>
      <c r="P6436">
        <v>0</v>
      </c>
      <c r="Q6436">
        <v>2</v>
      </c>
      <c r="R6436" t="s">
        <v>47311</v>
      </c>
      <c r="S6436" t="s">
        <v>47443</v>
      </c>
      <c r="T6436" t="s">
        <v>48997</v>
      </c>
      <c r="U6436" t="s">
        <v>54906</v>
      </c>
      <c r="W6436" t="s">
        <v>45244</v>
      </c>
      <c r="X6436" t="s">
        <v>47312</v>
      </c>
    </row>
    <row r="6437" spans="1:24">
      <c r="A6437">
        <f>HYPERLINK("https://www.philgeps.gov.ph/GEPSNONPILOT/Tender/SplashBidNoticeAbstractUI.aspx?menuIndex=3&amp;refID=7190239&amp;Result=3","7190239")</f>
        <v>0</v>
      </c>
      <c r="B6437" t="s">
        <v>2154</v>
      </c>
      <c r="C6437" t="s">
        <v>9903</v>
      </c>
      <c r="D6437" t="s">
        <v>18997</v>
      </c>
      <c r="E6437" t="s">
        <v>23893</v>
      </c>
      <c r="F6437" t="s">
        <v>32606</v>
      </c>
      <c r="G6437" t="s">
        <v>32613</v>
      </c>
      <c r="H6437" t="s">
        <v>14201</v>
      </c>
      <c r="I6437" t="s">
        <v>32733</v>
      </c>
      <c r="J6437" t="s">
        <v>33034</v>
      </c>
      <c r="K6437" t="s">
        <v>42630</v>
      </c>
      <c r="M6437" t="s">
        <v>45245</v>
      </c>
      <c r="N6437" t="s">
        <v>47304</v>
      </c>
      <c r="O6437" t="s">
        <v>47305</v>
      </c>
      <c r="P6437">
        <v>0</v>
      </c>
      <c r="Q6437">
        <v>0</v>
      </c>
      <c r="R6437" t="s">
        <v>47311</v>
      </c>
      <c r="S6437" t="s">
        <v>47443</v>
      </c>
      <c r="T6437" t="s">
        <v>49101</v>
      </c>
      <c r="U6437" t="s">
        <v>54907</v>
      </c>
      <c r="V6437" t="s">
        <v>63261</v>
      </c>
      <c r="W6437" t="s">
        <v>45245</v>
      </c>
      <c r="X6437" t="s">
        <v>47312</v>
      </c>
    </row>
    <row r="6438" spans="1:24">
      <c r="A6438">
        <f>HYPERLINK("https://www.philgeps.gov.ph/GEPSNONPILOT/Tender/SplashBidNoticeAbstractUI.aspx?menuIndex=3&amp;refID=7190250&amp;Result=3","7190250")</f>
        <v>0</v>
      </c>
      <c r="B6438" t="s">
        <v>418</v>
      </c>
      <c r="C6438" t="s">
        <v>9904</v>
      </c>
      <c r="D6438" t="s">
        <v>19006</v>
      </c>
      <c r="E6438" t="s">
        <v>24697</v>
      </c>
      <c r="F6438" t="s">
        <v>32606</v>
      </c>
      <c r="G6438" t="s">
        <v>32613</v>
      </c>
      <c r="H6438" t="s">
        <v>14201</v>
      </c>
      <c r="I6438" t="s">
        <v>7064</v>
      </c>
      <c r="J6438" t="s">
        <v>36907</v>
      </c>
      <c r="K6438" t="s">
        <v>42639</v>
      </c>
      <c r="M6438" t="s">
        <v>43322</v>
      </c>
      <c r="N6438" t="s">
        <v>47304</v>
      </c>
      <c r="O6438" t="s">
        <v>47305</v>
      </c>
      <c r="Q6438">
        <v>4</v>
      </c>
      <c r="R6438" t="s">
        <v>47311</v>
      </c>
      <c r="S6438" t="s">
        <v>47447</v>
      </c>
      <c r="T6438" t="s">
        <v>48970</v>
      </c>
      <c r="U6438" t="s">
        <v>54908</v>
      </c>
      <c r="V6438" t="s">
        <v>63262</v>
      </c>
      <c r="W6438" t="s">
        <v>43322</v>
      </c>
      <c r="X6438" t="s">
        <v>47312</v>
      </c>
    </row>
    <row r="6439" spans="1:24">
      <c r="A6439">
        <f>HYPERLINK("https://www.philgeps.gov.ph/GEPSNONPILOT/Tender/SplashBidNoticeAbstractUI.aspx?menuIndex=3&amp;refID=7190226&amp;Result=3","7190226")</f>
        <v>0</v>
      </c>
      <c r="B6439" t="s">
        <v>2142</v>
      </c>
      <c r="C6439" t="s">
        <v>9905</v>
      </c>
      <c r="D6439" t="s">
        <v>19005</v>
      </c>
      <c r="E6439" t="s">
        <v>24698</v>
      </c>
      <c r="F6439" t="s">
        <v>32606</v>
      </c>
      <c r="G6439" t="s">
        <v>32613</v>
      </c>
      <c r="H6439" t="s">
        <v>14201</v>
      </c>
      <c r="I6439" t="s">
        <v>32641</v>
      </c>
      <c r="J6439" t="s">
        <v>32799</v>
      </c>
      <c r="K6439" t="s">
        <v>42624</v>
      </c>
      <c r="M6439" t="s">
        <v>45230</v>
      </c>
      <c r="N6439" t="s">
        <v>47304</v>
      </c>
      <c r="O6439" t="s">
        <v>47305</v>
      </c>
      <c r="P6439">
        <v>0</v>
      </c>
      <c r="Q6439">
        <v>0</v>
      </c>
      <c r="R6439" t="s">
        <v>47311</v>
      </c>
      <c r="S6439" t="s">
        <v>47443</v>
      </c>
      <c r="T6439" t="s">
        <v>49050</v>
      </c>
      <c r="U6439" t="s">
        <v>54909</v>
      </c>
      <c r="W6439" t="s">
        <v>45230</v>
      </c>
      <c r="X6439" t="s">
        <v>47312</v>
      </c>
    </row>
    <row r="6440" spans="1:24">
      <c r="A6440">
        <f>HYPERLINK("https://www.philgeps.gov.ph/GEPSNONPILOT/Tender/SplashBidNoticeAbstractUI.aspx?menuIndex=3&amp;refID=7190176&amp;Result=3","7190176")</f>
        <v>0</v>
      </c>
      <c r="B6440" t="s">
        <v>418</v>
      </c>
      <c r="C6440" t="s">
        <v>9906</v>
      </c>
      <c r="D6440" t="s">
        <v>19006</v>
      </c>
      <c r="E6440" t="s">
        <v>24699</v>
      </c>
      <c r="F6440" t="s">
        <v>32606</v>
      </c>
      <c r="G6440" t="s">
        <v>32613</v>
      </c>
      <c r="H6440" t="s">
        <v>14201</v>
      </c>
      <c r="I6440" t="s">
        <v>32635</v>
      </c>
      <c r="J6440" t="s">
        <v>33878</v>
      </c>
      <c r="K6440" t="s">
        <v>42636</v>
      </c>
      <c r="M6440" t="s">
        <v>43322</v>
      </c>
      <c r="N6440" t="s">
        <v>47304</v>
      </c>
      <c r="O6440" t="s">
        <v>47305</v>
      </c>
      <c r="P6440">
        <v>0</v>
      </c>
      <c r="Q6440">
        <v>0</v>
      </c>
      <c r="R6440" t="s">
        <v>47311</v>
      </c>
      <c r="S6440" t="s">
        <v>47443</v>
      </c>
      <c r="T6440" t="s">
        <v>48970</v>
      </c>
      <c r="U6440" t="s">
        <v>54910</v>
      </c>
      <c r="V6440" t="s">
        <v>63262</v>
      </c>
      <c r="W6440" t="s">
        <v>43322</v>
      </c>
      <c r="X6440" t="s">
        <v>47312</v>
      </c>
    </row>
    <row r="6441" spans="1:24">
      <c r="A6441">
        <f>HYPERLINK("https://www.philgeps.gov.ph/GEPSNONPILOT/Tender/SplashBidNoticeAbstractUI.aspx?menuIndex=3&amp;refID=7190315&amp;Result=3","7190315")</f>
        <v>0</v>
      </c>
      <c r="B6441" t="s">
        <v>437</v>
      </c>
      <c r="C6441" t="s">
        <v>9907</v>
      </c>
      <c r="D6441" t="s">
        <v>19003</v>
      </c>
      <c r="E6441" t="s">
        <v>24700</v>
      </c>
      <c r="F6441" t="s">
        <v>32606</v>
      </c>
      <c r="G6441" t="s">
        <v>32613</v>
      </c>
      <c r="H6441" t="s">
        <v>32623</v>
      </c>
      <c r="I6441" t="s">
        <v>17648</v>
      </c>
      <c r="J6441" t="s">
        <v>32860</v>
      </c>
      <c r="K6441" t="s">
        <v>42648</v>
      </c>
      <c r="M6441" t="s">
        <v>43343</v>
      </c>
      <c r="N6441" t="s">
        <v>47304</v>
      </c>
      <c r="O6441" t="s">
        <v>47305</v>
      </c>
      <c r="P6441">
        <v>0</v>
      </c>
      <c r="Q6441">
        <v>0</v>
      </c>
      <c r="R6441" t="s">
        <v>47311</v>
      </c>
      <c r="S6441" t="s">
        <v>47443</v>
      </c>
      <c r="T6441" t="s">
        <v>49129</v>
      </c>
      <c r="U6441" t="s">
        <v>54911</v>
      </c>
      <c r="V6441" t="s">
        <v>63263</v>
      </c>
      <c r="W6441" t="s">
        <v>43343</v>
      </c>
      <c r="X6441" t="s">
        <v>47312</v>
      </c>
    </row>
    <row r="6442" spans="1:24">
      <c r="A6442">
        <f>HYPERLINK("https://www.philgeps.gov.ph/GEPSNONPILOT/Tender/SplashBidNoticeAbstractUI.aspx?menuIndex=3&amp;refID=7190240&amp;Result=3","7190240")</f>
        <v>0</v>
      </c>
      <c r="B6442" t="s">
        <v>2155</v>
      </c>
      <c r="C6442" t="s">
        <v>9908</v>
      </c>
      <c r="D6442" t="s">
        <v>19011</v>
      </c>
      <c r="E6442" t="s">
        <v>24701</v>
      </c>
      <c r="F6442" t="s">
        <v>32606</v>
      </c>
      <c r="G6442" t="s">
        <v>32613</v>
      </c>
      <c r="H6442" t="s">
        <v>32623</v>
      </c>
      <c r="I6442" t="s">
        <v>17648</v>
      </c>
      <c r="J6442" t="s">
        <v>36908</v>
      </c>
      <c r="K6442" t="s">
        <v>42697</v>
      </c>
      <c r="M6442" t="s">
        <v>45246</v>
      </c>
      <c r="N6442" t="s">
        <v>47304</v>
      </c>
      <c r="O6442" t="s">
        <v>47305</v>
      </c>
      <c r="P6442">
        <v>0</v>
      </c>
      <c r="Q6442">
        <v>0</v>
      </c>
      <c r="R6442" t="s">
        <v>47311</v>
      </c>
      <c r="S6442" t="s">
        <v>47443</v>
      </c>
      <c r="T6442" t="s">
        <v>49057</v>
      </c>
      <c r="U6442" t="s">
        <v>54912</v>
      </c>
      <c r="V6442" t="s">
        <v>63264</v>
      </c>
      <c r="W6442" t="s">
        <v>45246</v>
      </c>
      <c r="X6442" t="s">
        <v>47312</v>
      </c>
    </row>
    <row r="6443" spans="1:24">
      <c r="A6443">
        <f>HYPERLINK("https://www.philgeps.gov.ph/GEPSNONPILOT/Tender/SplashBidNoticeAbstractUI.aspx?menuIndex=3&amp;refID=7190314&amp;Result=3","7190314")</f>
        <v>0</v>
      </c>
      <c r="B6443" t="s">
        <v>600</v>
      </c>
      <c r="C6443" t="s">
        <v>9909</v>
      </c>
      <c r="E6443" t="s">
        <v>24702</v>
      </c>
      <c r="F6443" t="s">
        <v>32606</v>
      </c>
      <c r="G6443" t="s">
        <v>32614</v>
      </c>
      <c r="H6443" t="s">
        <v>14201</v>
      </c>
      <c r="I6443" t="s">
        <v>6993</v>
      </c>
      <c r="J6443" t="s">
        <v>33859</v>
      </c>
      <c r="K6443" t="s">
        <v>42623</v>
      </c>
      <c r="M6443" t="s">
        <v>43516</v>
      </c>
      <c r="N6443" t="s">
        <v>47304</v>
      </c>
      <c r="O6443" t="s">
        <v>47305</v>
      </c>
      <c r="P6443">
        <v>0</v>
      </c>
      <c r="Q6443">
        <v>5</v>
      </c>
      <c r="R6443" t="s">
        <v>47311</v>
      </c>
      <c r="S6443" t="s">
        <v>47443</v>
      </c>
      <c r="T6443" t="s">
        <v>49269</v>
      </c>
      <c r="U6443" t="s">
        <v>54913</v>
      </c>
      <c r="V6443" t="s">
        <v>63265</v>
      </c>
      <c r="W6443" t="s">
        <v>43516</v>
      </c>
      <c r="X6443" t="s">
        <v>47312</v>
      </c>
    </row>
    <row r="6444" spans="1:24">
      <c r="A6444">
        <f>HYPERLINK("https://www.philgeps.gov.ph/GEPSNONPILOT/Tender/SplashBidNoticeAbstractUI.aspx?menuIndex=3&amp;refID=7190236&amp;Result=3","7190236")</f>
        <v>0</v>
      </c>
      <c r="B6444" t="s">
        <v>2126</v>
      </c>
      <c r="C6444" t="s">
        <v>9910</v>
      </c>
      <c r="D6444" t="s">
        <v>19016</v>
      </c>
      <c r="E6444" t="s">
        <v>24703</v>
      </c>
      <c r="F6444" t="s">
        <v>32606</v>
      </c>
      <c r="G6444" t="s">
        <v>32614</v>
      </c>
      <c r="H6444" t="s">
        <v>14201</v>
      </c>
      <c r="I6444" t="s">
        <v>32671</v>
      </c>
      <c r="J6444" t="s">
        <v>36909</v>
      </c>
      <c r="K6444" t="s">
        <v>42631</v>
      </c>
      <c r="M6444" t="s">
        <v>45247</v>
      </c>
      <c r="N6444" t="s">
        <v>47304</v>
      </c>
      <c r="O6444" t="s">
        <v>47305</v>
      </c>
      <c r="P6444">
        <v>0</v>
      </c>
      <c r="Q6444">
        <v>0</v>
      </c>
      <c r="R6444" t="s">
        <v>47311</v>
      </c>
      <c r="S6444" t="s">
        <v>47443</v>
      </c>
      <c r="T6444" t="s">
        <v>49028</v>
      </c>
      <c r="U6444" t="s">
        <v>54914</v>
      </c>
      <c r="W6444" t="s">
        <v>45247</v>
      </c>
      <c r="X6444" t="s">
        <v>47312</v>
      </c>
    </row>
    <row r="6445" spans="1:24">
      <c r="A6445">
        <f>HYPERLINK("https://www.philgeps.gov.ph/GEPSNONPILOT/Tender/SplashBidNoticeAbstractUI.aspx?menuIndex=3&amp;refID=7190234&amp;Result=3","7190234")</f>
        <v>0</v>
      </c>
      <c r="B6445" t="s">
        <v>600</v>
      </c>
      <c r="C6445" t="s">
        <v>9911</v>
      </c>
      <c r="E6445" t="s">
        <v>19805</v>
      </c>
      <c r="F6445" t="s">
        <v>32606</v>
      </c>
      <c r="G6445" t="s">
        <v>32614</v>
      </c>
      <c r="H6445" t="s">
        <v>14201</v>
      </c>
      <c r="I6445" t="s">
        <v>32654</v>
      </c>
      <c r="J6445" t="s">
        <v>34190</v>
      </c>
      <c r="K6445" t="s">
        <v>42623</v>
      </c>
      <c r="M6445" t="s">
        <v>43516</v>
      </c>
      <c r="N6445" t="s">
        <v>47304</v>
      </c>
      <c r="O6445" t="s">
        <v>47305</v>
      </c>
      <c r="P6445">
        <v>0</v>
      </c>
      <c r="Q6445">
        <v>0</v>
      </c>
      <c r="R6445" t="s">
        <v>47311</v>
      </c>
      <c r="S6445" t="s">
        <v>47443</v>
      </c>
      <c r="T6445" t="s">
        <v>49269</v>
      </c>
      <c r="U6445" t="s">
        <v>54915</v>
      </c>
      <c r="V6445" t="s">
        <v>62785</v>
      </c>
      <c r="W6445" t="s">
        <v>43516</v>
      </c>
      <c r="X6445" t="s">
        <v>47312</v>
      </c>
    </row>
    <row r="6446" spans="1:24">
      <c r="A6446">
        <f>HYPERLINK("https://www.philgeps.gov.ph/GEPSNONPILOT/Tender/SplashBidNoticeAbstractUI.aspx?menuIndex=3&amp;refID=7190191&amp;Result=3","7190191")</f>
        <v>0</v>
      </c>
      <c r="B6446" t="s">
        <v>310</v>
      </c>
      <c r="C6446" t="s">
        <v>9912</v>
      </c>
      <c r="D6446" t="s">
        <v>19038</v>
      </c>
      <c r="E6446" t="s">
        <v>24704</v>
      </c>
      <c r="F6446" t="s">
        <v>32607</v>
      </c>
      <c r="G6446" t="s">
        <v>32615</v>
      </c>
      <c r="H6446" t="s">
        <v>14201</v>
      </c>
      <c r="I6446" t="s">
        <v>9013</v>
      </c>
      <c r="J6446" t="s">
        <v>34118</v>
      </c>
      <c r="K6446" t="s">
        <v>42627</v>
      </c>
      <c r="M6446" t="s">
        <v>43212</v>
      </c>
      <c r="N6446" t="s">
        <v>47304</v>
      </c>
      <c r="O6446" t="s">
        <v>47305</v>
      </c>
      <c r="P6446">
        <v>0</v>
      </c>
      <c r="Q6446">
        <v>2</v>
      </c>
      <c r="R6446" t="s">
        <v>47311</v>
      </c>
      <c r="S6446" t="s">
        <v>47443</v>
      </c>
      <c r="T6446" t="s">
        <v>48989</v>
      </c>
      <c r="U6446" t="s">
        <v>54916</v>
      </c>
      <c r="W6446" t="s">
        <v>43212</v>
      </c>
      <c r="X6446" t="s">
        <v>47312</v>
      </c>
    </row>
    <row r="6447" spans="1:24">
      <c r="A6447">
        <f>HYPERLINK("https://www.philgeps.gov.ph/GEPSNONPILOT/Tender/SplashBidNoticeAbstractUI.aspx?menuIndex=3&amp;refID=7190306&amp;Result=3","7190306")</f>
        <v>0</v>
      </c>
      <c r="B6447" t="s">
        <v>271</v>
      </c>
      <c r="C6447" t="s">
        <v>9913</v>
      </c>
      <c r="D6447" t="s">
        <v>19040</v>
      </c>
      <c r="E6447" t="s">
        <v>24705</v>
      </c>
      <c r="F6447" t="s">
        <v>32606</v>
      </c>
      <c r="G6447" t="s">
        <v>32614</v>
      </c>
      <c r="H6447" t="s">
        <v>14201</v>
      </c>
      <c r="I6447" t="s">
        <v>32711</v>
      </c>
      <c r="J6447" t="s">
        <v>32981</v>
      </c>
      <c r="K6447" t="s">
        <v>42623</v>
      </c>
      <c r="M6447" t="s">
        <v>45248</v>
      </c>
      <c r="N6447" t="s">
        <v>47304</v>
      </c>
      <c r="O6447" t="s">
        <v>47305</v>
      </c>
      <c r="P6447">
        <v>0</v>
      </c>
      <c r="Q6447">
        <v>4</v>
      </c>
      <c r="R6447" t="s">
        <v>47311</v>
      </c>
      <c r="S6447" t="s">
        <v>47443</v>
      </c>
      <c r="T6447" t="s">
        <v>49047</v>
      </c>
      <c r="U6447" t="s">
        <v>54917</v>
      </c>
      <c r="W6447" t="s">
        <v>45248</v>
      </c>
      <c r="X6447" t="s">
        <v>47312</v>
      </c>
    </row>
    <row r="6448" spans="1:24">
      <c r="A6448">
        <f>HYPERLINK("https://www.philgeps.gov.ph/GEPSNONPILOT/Tender/SplashBidNoticeAbstractUI.aspx?menuIndex=3&amp;refID=7190298&amp;Result=3","7190298")</f>
        <v>0</v>
      </c>
      <c r="B6448" t="s">
        <v>1398</v>
      </c>
      <c r="C6448" t="s">
        <v>9914</v>
      </c>
      <c r="D6448" t="s">
        <v>19016</v>
      </c>
      <c r="E6448" t="s">
        <v>24706</v>
      </c>
      <c r="F6448" t="s">
        <v>32606</v>
      </c>
      <c r="G6448" t="s">
        <v>32613</v>
      </c>
      <c r="H6448" t="s">
        <v>32623</v>
      </c>
      <c r="I6448" t="s">
        <v>17648</v>
      </c>
      <c r="J6448" t="s">
        <v>36910</v>
      </c>
      <c r="K6448" t="s">
        <v>42648</v>
      </c>
      <c r="M6448" t="s">
        <v>45249</v>
      </c>
      <c r="N6448" t="s">
        <v>47304</v>
      </c>
      <c r="O6448" t="s">
        <v>47305</v>
      </c>
      <c r="P6448">
        <v>0</v>
      </c>
      <c r="Q6448">
        <v>27</v>
      </c>
      <c r="R6448" t="s">
        <v>47311</v>
      </c>
      <c r="S6448" t="s">
        <v>47443</v>
      </c>
      <c r="T6448" t="s">
        <v>48997</v>
      </c>
      <c r="U6448" t="s">
        <v>54918</v>
      </c>
      <c r="W6448" t="s">
        <v>45249</v>
      </c>
      <c r="X6448" t="s">
        <v>47312</v>
      </c>
    </row>
    <row r="6449" spans="1:24">
      <c r="A6449">
        <f>HYPERLINK("https://www.philgeps.gov.ph/GEPSNONPILOT/Tender/SplashBidNoticeAbstractUI.aspx?menuIndex=3&amp;refID=7190305&amp;Result=3","7190305")</f>
        <v>0</v>
      </c>
      <c r="B6449" t="s">
        <v>2156</v>
      </c>
      <c r="C6449" t="s">
        <v>9915</v>
      </c>
      <c r="D6449" t="s">
        <v>19003</v>
      </c>
      <c r="E6449" t="s">
        <v>24707</v>
      </c>
      <c r="F6449" t="s">
        <v>32606</v>
      </c>
      <c r="G6449" t="s">
        <v>32614</v>
      </c>
      <c r="H6449" t="s">
        <v>14201</v>
      </c>
      <c r="I6449" t="s">
        <v>4114</v>
      </c>
      <c r="J6449" t="s">
        <v>36911</v>
      </c>
      <c r="K6449" t="s">
        <v>42629</v>
      </c>
      <c r="M6449" t="s">
        <v>45250</v>
      </c>
      <c r="N6449" t="s">
        <v>47304</v>
      </c>
      <c r="O6449" t="s">
        <v>47305</v>
      </c>
      <c r="P6449">
        <v>0</v>
      </c>
      <c r="Q6449">
        <v>0</v>
      </c>
      <c r="R6449" t="s">
        <v>47311</v>
      </c>
      <c r="S6449" t="s">
        <v>47443</v>
      </c>
      <c r="T6449" t="s">
        <v>49268</v>
      </c>
      <c r="U6449" t="s">
        <v>54919</v>
      </c>
      <c r="V6449" t="s">
        <v>63266</v>
      </c>
      <c r="W6449" t="s">
        <v>45250</v>
      </c>
      <c r="X6449" t="s">
        <v>47312</v>
      </c>
    </row>
    <row r="6450" spans="1:24">
      <c r="A6450">
        <f>HYPERLINK("https://www.philgeps.gov.ph/GEPSNONPILOT/Tender/SplashBidNoticeAbstractUI.aspx?menuIndex=3&amp;refID=7190266&amp;Result=3","7190266")</f>
        <v>0</v>
      </c>
      <c r="B6450" t="s">
        <v>192</v>
      </c>
      <c r="C6450" t="s">
        <v>9916</v>
      </c>
      <c r="D6450" t="s">
        <v>19016</v>
      </c>
      <c r="E6450" t="s">
        <v>24708</v>
      </c>
      <c r="F6450" t="s">
        <v>32606</v>
      </c>
      <c r="G6450" t="s">
        <v>32614</v>
      </c>
      <c r="H6450" t="s">
        <v>14201</v>
      </c>
      <c r="I6450" t="s">
        <v>32655</v>
      </c>
      <c r="J6450" t="s">
        <v>33022</v>
      </c>
      <c r="K6450" t="s">
        <v>42624</v>
      </c>
      <c r="M6450" t="s">
        <v>43093</v>
      </c>
      <c r="N6450" t="s">
        <v>47304</v>
      </c>
      <c r="O6450" t="s">
        <v>47305</v>
      </c>
      <c r="P6450">
        <v>0</v>
      </c>
      <c r="Q6450">
        <v>2</v>
      </c>
      <c r="R6450" t="s">
        <v>47311</v>
      </c>
      <c r="S6450" t="s">
        <v>47443</v>
      </c>
      <c r="T6450" t="s">
        <v>49269</v>
      </c>
      <c r="U6450" t="s">
        <v>49914</v>
      </c>
      <c r="V6450" t="s">
        <v>62691</v>
      </c>
      <c r="W6450" t="s">
        <v>43093</v>
      </c>
      <c r="X6450" t="s">
        <v>47312</v>
      </c>
    </row>
    <row r="6451" spans="1:24">
      <c r="A6451">
        <f>HYPERLINK("https://www.philgeps.gov.ph/GEPSNONPILOT/Tender/SplashBidNoticeAbstractUI.aspx?menuIndex=3&amp;refID=7190286&amp;Result=3","7190286")</f>
        <v>0</v>
      </c>
      <c r="B6451" t="s">
        <v>2126</v>
      </c>
      <c r="C6451" t="s">
        <v>9917</v>
      </c>
      <c r="D6451" t="s">
        <v>19016</v>
      </c>
      <c r="E6451" t="s">
        <v>24709</v>
      </c>
      <c r="F6451" t="s">
        <v>32606</v>
      </c>
      <c r="G6451" t="s">
        <v>32614</v>
      </c>
      <c r="H6451" t="s">
        <v>14201</v>
      </c>
      <c r="I6451" t="s">
        <v>9013</v>
      </c>
      <c r="J6451" t="s">
        <v>34085</v>
      </c>
      <c r="K6451" t="s">
        <v>42631</v>
      </c>
      <c r="M6451" t="s">
        <v>45247</v>
      </c>
      <c r="N6451" t="s">
        <v>47304</v>
      </c>
      <c r="O6451" t="s">
        <v>47305</v>
      </c>
      <c r="P6451">
        <v>0</v>
      </c>
      <c r="Q6451">
        <v>4</v>
      </c>
      <c r="R6451" t="s">
        <v>47311</v>
      </c>
      <c r="S6451" t="s">
        <v>47443</v>
      </c>
      <c r="T6451" t="s">
        <v>49028</v>
      </c>
      <c r="U6451" t="s">
        <v>54920</v>
      </c>
      <c r="W6451" t="s">
        <v>45247</v>
      </c>
      <c r="X6451" t="s">
        <v>47312</v>
      </c>
    </row>
    <row r="6452" spans="1:24">
      <c r="A6452">
        <f>HYPERLINK("https://www.philgeps.gov.ph/GEPSNONPILOT/Tender/SplashBidNoticeAbstractUI.aspx?menuIndex=3&amp;refID=7190284&amp;Result=3","7190284")</f>
        <v>0</v>
      </c>
      <c r="B6452" t="s">
        <v>418</v>
      </c>
      <c r="C6452" t="s">
        <v>9918</v>
      </c>
      <c r="D6452" t="s">
        <v>19006</v>
      </c>
      <c r="E6452" t="s">
        <v>24710</v>
      </c>
      <c r="F6452" t="s">
        <v>32606</v>
      </c>
      <c r="G6452" t="s">
        <v>32613</v>
      </c>
      <c r="H6452" t="s">
        <v>32623</v>
      </c>
      <c r="I6452" t="s">
        <v>17648</v>
      </c>
      <c r="J6452" t="s">
        <v>36912</v>
      </c>
      <c r="K6452" t="s">
        <v>42636</v>
      </c>
      <c r="M6452" t="s">
        <v>43322</v>
      </c>
      <c r="N6452" t="s">
        <v>47304</v>
      </c>
      <c r="O6452" t="s">
        <v>47305</v>
      </c>
      <c r="P6452">
        <v>0</v>
      </c>
      <c r="Q6452">
        <v>0</v>
      </c>
      <c r="R6452" t="s">
        <v>47311</v>
      </c>
      <c r="S6452" t="s">
        <v>47443</v>
      </c>
      <c r="T6452" t="s">
        <v>48970</v>
      </c>
      <c r="U6452" t="s">
        <v>54921</v>
      </c>
      <c r="V6452" t="s">
        <v>63262</v>
      </c>
      <c r="W6452" t="s">
        <v>43322</v>
      </c>
      <c r="X6452" t="s">
        <v>47312</v>
      </c>
    </row>
    <row r="6453" spans="1:24">
      <c r="A6453">
        <f>HYPERLINK("https://www.philgeps.gov.ph/GEPSNONPILOT/Tender/SplashBidNoticeAbstractUI.aspx?menuIndex=3&amp;refID=7190280&amp;Result=3","7190280")</f>
        <v>0</v>
      </c>
      <c r="B6453" t="s">
        <v>2157</v>
      </c>
      <c r="C6453" t="s">
        <v>9919</v>
      </c>
      <c r="D6453" t="s">
        <v>19016</v>
      </c>
      <c r="E6453" t="s">
        <v>24711</v>
      </c>
      <c r="F6453" t="s">
        <v>32606</v>
      </c>
      <c r="G6453" t="s">
        <v>32614</v>
      </c>
      <c r="H6453" t="s">
        <v>14201</v>
      </c>
      <c r="I6453" t="s">
        <v>6007</v>
      </c>
      <c r="J6453" t="s">
        <v>33087</v>
      </c>
      <c r="K6453" t="s">
        <v>42624</v>
      </c>
      <c r="M6453" t="s">
        <v>45251</v>
      </c>
      <c r="N6453" t="s">
        <v>47304</v>
      </c>
      <c r="O6453" t="s">
        <v>47305</v>
      </c>
      <c r="P6453">
        <v>0</v>
      </c>
      <c r="Q6453">
        <v>0</v>
      </c>
      <c r="R6453" t="s">
        <v>47311</v>
      </c>
      <c r="S6453" t="s">
        <v>47443</v>
      </c>
      <c r="T6453" t="s">
        <v>48979</v>
      </c>
      <c r="U6453" t="s">
        <v>54922</v>
      </c>
      <c r="W6453" t="s">
        <v>45251</v>
      </c>
      <c r="X6453" t="s">
        <v>47312</v>
      </c>
    </row>
    <row r="6454" spans="1:24">
      <c r="A6454">
        <f>HYPERLINK("https://www.philgeps.gov.ph/GEPSNONPILOT/Tender/SplashBidNoticeAbstractUI.aspx?menuIndex=3&amp;refID=7190279&amp;Result=3","7190279")</f>
        <v>0</v>
      </c>
      <c r="B6454" t="s">
        <v>464</v>
      </c>
      <c r="C6454" t="s">
        <v>9920</v>
      </c>
      <c r="D6454" t="s">
        <v>19044</v>
      </c>
      <c r="E6454" t="s">
        <v>24712</v>
      </c>
      <c r="F6454" t="s">
        <v>32606</v>
      </c>
      <c r="G6454" t="s">
        <v>32613</v>
      </c>
      <c r="H6454" t="s">
        <v>14201</v>
      </c>
      <c r="I6454" t="s">
        <v>32631</v>
      </c>
      <c r="J6454" t="s">
        <v>36913</v>
      </c>
      <c r="K6454" t="s">
        <v>42631</v>
      </c>
      <c r="M6454" t="s">
        <v>43374</v>
      </c>
      <c r="N6454" t="s">
        <v>47304</v>
      </c>
      <c r="O6454" t="s">
        <v>47305</v>
      </c>
      <c r="P6454">
        <v>0</v>
      </c>
      <c r="Q6454">
        <v>0</v>
      </c>
      <c r="R6454" t="s">
        <v>47311</v>
      </c>
      <c r="S6454" t="s">
        <v>47443</v>
      </c>
      <c r="T6454" t="s">
        <v>49106</v>
      </c>
      <c r="U6454" t="s">
        <v>54923</v>
      </c>
      <c r="V6454" t="s">
        <v>63267</v>
      </c>
      <c r="W6454" t="s">
        <v>43374</v>
      </c>
      <c r="X6454" t="s">
        <v>47312</v>
      </c>
    </row>
    <row r="6455" spans="1:24">
      <c r="A6455">
        <f>HYPERLINK("https://www.philgeps.gov.ph/GEPSNONPILOT/Tender/SplashBidNoticeAbstractUI.aspx?menuIndex=3&amp;refID=7190278&amp;Result=3","7190278")</f>
        <v>0</v>
      </c>
      <c r="B6455" t="s">
        <v>2158</v>
      </c>
      <c r="C6455" t="s">
        <v>4906</v>
      </c>
      <c r="D6455" t="s">
        <v>19019</v>
      </c>
      <c r="E6455" t="s">
        <v>24713</v>
      </c>
      <c r="F6455" t="s">
        <v>32606</v>
      </c>
      <c r="G6455" t="s">
        <v>32613</v>
      </c>
      <c r="H6455" t="s">
        <v>14201</v>
      </c>
      <c r="I6455" t="s">
        <v>7677</v>
      </c>
      <c r="J6455" t="s">
        <v>36887</v>
      </c>
      <c r="K6455" t="s">
        <v>42627</v>
      </c>
      <c r="M6455" t="s">
        <v>45252</v>
      </c>
      <c r="N6455" t="s">
        <v>47304</v>
      </c>
      <c r="O6455" t="s">
        <v>47305</v>
      </c>
      <c r="P6455">
        <v>0</v>
      </c>
      <c r="Q6455">
        <v>0</v>
      </c>
      <c r="R6455" t="s">
        <v>47311</v>
      </c>
      <c r="S6455" t="s">
        <v>47443</v>
      </c>
      <c r="T6455" t="s">
        <v>49086</v>
      </c>
      <c r="U6455" t="s">
        <v>54924</v>
      </c>
      <c r="W6455" t="s">
        <v>45252</v>
      </c>
      <c r="X6455" t="s">
        <v>47312</v>
      </c>
    </row>
    <row r="6456" spans="1:24">
      <c r="A6456">
        <f>HYPERLINK("https://www.philgeps.gov.ph/GEPSNONPILOT/Tender/SplashBidNoticeAbstractUI.aspx?menuIndex=3&amp;refID=7190277&amp;Result=3","7190277")</f>
        <v>0</v>
      </c>
      <c r="B6456" t="s">
        <v>600</v>
      </c>
      <c r="C6456" t="s">
        <v>9921</v>
      </c>
      <c r="D6456" t="s">
        <v>19007</v>
      </c>
      <c r="E6456" t="s">
        <v>24714</v>
      </c>
      <c r="F6456" t="s">
        <v>32606</v>
      </c>
      <c r="G6456" t="s">
        <v>32614</v>
      </c>
      <c r="H6456" t="s">
        <v>14201</v>
      </c>
      <c r="I6456" t="s">
        <v>4678</v>
      </c>
      <c r="J6456" t="s">
        <v>36914</v>
      </c>
      <c r="K6456" t="s">
        <v>42623</v>
      </c>
      <c r="M6456" t="s">
        <v>43516</v>
      </c>
      <c r="N6456" t="s">
        <v>47304</v>
      </c>
      <c r="O6456" t="s">
        <v>47305</v>
      </c>
      <c r="P6456">
        <v>0</v>
      </c>
      <c r="Q6456">
        <v>3</v>
      </c>
      <c r="R6456" t="s">
        <v>47311</v>
      </c>
      <c r="S6456" t="s">
        <v>47443</v>
      </c>
      <c r="T6456" t="s">
        <v>49269</v>
      </c>
      <c r="U6456" t="s">
        <v>54925</v>
      </c>
      <c r="V6456" t="s">
        <v>63265</v>
      </c>
      <c r="W6456" t="s">
        <v>43516</v>
      </c>
      <c r="X6456" t="s">
        <v>47312</v>
      </c>
    </row>
    <row r="6457" spans="1:24">
      <c r="A6457">
        <f>HYPERLINK("https://www.philgeps.gov.ph/GEPSNONPILOT/Tender/SplashBidNoticeAbstractUI.aspx?menuIndex=3&amp;refID=7190275&amp;Result=3","7190275")</f>
        <v>0</v>
      </c>
      <c r="B6457" t="s">
        <v>2159</v>
      </c>
      <c r="C6457" t="s">
        <v>9922</v>
      </c>
      <c r="D6457" t="s">
        <v>19033</v>
      </c>
      <c r="E6457" t="s">
        <v>24715</v>
      </c>
      <c r="F6457" t="s">
        <v>32606</v>
      </c>
      <c r="G6457" t="s">
        <v>32613</v>
      </c>
      <c r="H6457" t="s">
        <v>14201</v>
      </c>
      <c r="I6457" t="s">
        <v>17648</v>
      </c>
      <c r="J6457" t="s">
        <v>36915</v>
      </c>
      <c r="K6457" t="s">
        <v>42631</v>
      </c>
      <c r="M6457" t="s">
        <v>45253</v>
      </c>
      <c r="N6457" t="s">
        <v>47304</v>
      </c>
      <c r="O6457" t="s">
        <v>47305</v>
      </c>
      <c r="P6457">
        <v>0</v>
      </c>
      <c r="Q6457">
        <v>0</v>
      </c>
      <c r="R6457" t="s">
        <v>47311</v>
      </c>
      <c r="S6457" t="s">
        <v>47443</v>
      </c>
      <c r="T6457" t="s">
        <v>49050</v>
      </c>
      <c r="U6457" t="s">
        <v>54926</v>
      </c>
      <c r="W6457" t="s">
        <v>45253</v>
      </c>
      <c r="X6457" t="s">
        <v>47312</v>
      </c>
    </row>
    <row r="6458" spans="1:24">
      <c r="A6458">
        <f>HYPERLINK("https://www.philgeps.gov.ph/GEPSNONPILOT/Tender/SplashBidNoticeAbstractUI.aspx?menuIndex=3&amp;refID=7190273&amp;Result=3","7190273")</f>
        <v>0</v>
      </c>
      <c r="B6458" t="s">
        <v>2153</v>
      </c>
      <c r="C6458" t="s">
        <v>9923</v>
      </c>
      <c r="D6458" t="s">
        <v>18993</v>
      </c>
      <c r="E6458" t="s">
        <v>24209</v>
      </c>
      <c r="F6458" t="s">
        <v>32606</v>
      </c>
      <c r="G6458" t="s">
        <v>32613</v>
      </c>
      <c r="H6458" t="s">
        <v>32624</v>
      </c>
      <c r="I6458" t="s">
        <v>32673</v>
      </c>
      <c r="J6458" t="s">
        <v>33102</v>
      </c>
      <c r="K6458" t="s">
        <v>42630</v>
      </c>
      <c r="M6458" t="s">
        <v>45244</v>
      </c>
      <c r="N6458" t="s">
        <v>47304</v>
      </c>
      <c r="O6458" t="s">
        <v>47305</v>
      </c>
      <c r="P6458">
        <v>0</v>
      </c>
      <c r="Q6458">
        <v>2</v>
      </c>
      <c r="R6458" t="s">
        <v>47311</v>
      </c>
      <c r="S6458" t="s">
        <v>47443</v>
      </c>
      <c r="T6458" t="s">
        <v>48997</v>
      </c>
      <c r="U6458" t="s">
        <v>54927</v>
      </c>
      <c r="W6458" t="s">
        <v>45244</v>
      </c>
      <c r="X6458" t="s">
        <v>47312</v>
      </c>
    </row>
    <row r="6459" spans="1:24">
      <c r="A6459">
        <f>HYPERLINK("https://www.philgeps.gov.ph/GEPSNONPILOT/Tender/SplashBidNoticeAbstractUI.aspx?menuIndex=3&amp;refID=7190311&amp;Result=3","7190311")</f>
        <v>0</v>
      </c>
      <c r="B6459" t="s">
        <v>1123</v>
      </c>
      <c r="C6459" t="s">
        <v>9924</v>
      </c>
      <c r="D6459" t="s">
        <v>18993</v>
      </c>
      <c r="E6459" t="s">
        <v>24716</v>
      </c>
      <c r="F6459" t="s">
        <v>32606</v>
      </c>
      <c r="G6459" t="s">
        <v>32614</v>
      </c>
      <c r="H6459" t="s">
        <v>14201</v>
      </c>
      <c r="I6459" t="s">
        <v>6298</v>
      </c>
      <c r="J6459" t="s">
        <v>36916</v>
      </c>
      <c r="K6459" t="s">
        <v>42623</v>
      </c>
      <c r="M6459" t="s">
        <v>45234</v>
      </c>
      <c r="N6459" t="s">
        <v>47304</v>
      </c>
      <c r="O6459" t="s">
        <v>47305</v>
      </c>
      <c r="Q6459">
        <v>0</v>
      </c>
      <c r="R6459" t="s">
        <v>47311</v>
      </c>
      <c r="S6459" t="s">
        <v>47448</v>
      </c>
      <c r="T6459" t="s">
        <v>49015</v>
      </c>
      <c r="U6459" t="s">
        <v>54928</v>
      </c>
      <c r="V6459" t="s">
        <v>63258</v>
      </c>
      <c r="W6459" t="s">
        <v>45234</v>
      </c>
      <c r="X6459" t="s">
        <v>47312</v>
      </c>
    </row>
    <row r="6460" spans="1:24">
      <c r="A6460">
        <f>HYPERLINK("https://www.philgeps.gov.ph/GEPSNONPILOT/Tender/SplashBidNoticeAbstractUI.aspx?menuIndex=3&amp;refID=7190269&amp;Result=3","7190269")</f>
        <v>0</v>
      </c>
      <c r="B6460" t="s">
        <v>310</v>
      </c>
      <c r="C6460" t="s">
        <v>9925</v>
      </c>
      <c r="D6460" t="s">
        <v>19038</v>
      </c>
      <c r="E6460" t="s">
        <v>24717</v>
      </c>
      <c r="F6460" t="s">
        <v>32607</v>
      </c>
      <c r="G6460" t="s">
        <v>32615</v>
      </c>
      <c r="H6460" t="s">
        <v>14201</v>
      </c>
      <c r="I6460" t="s">
        <v>32634</v>
      </c>
      <c r="J6460" t="s">
        <v>33019</v>
      </c>
      <c r="K6460" t="s">
        <v>42627</v>
      </c>
      <c r="M6460" t="s">
        <v>43212</v>
      </c>
      <c r="N6460" t="s">
        <v>47304</v>
      </c>
      <c r="O6460" t="s">
        <v>47305</v>
      </c>
      <c r="Q6460">
        <v>2</v>
      </c>
      <c r="R6460" t="s">
        <v>47311</v>
      </c>
      <c r="S6460" t="s">
        <v>47449</v>
      </c>
      <c r="T6460" t="s">
        <v>49348</v>
      </c>
      <c r="U6460" t="s">
        <v>54929</v>
      </c>
      <c r="W6460" t="s">
        <v>43212</v>
      </c>
      <c r="X6460" t="s">
        <v>47312</v>
      </c>
    </row>
    <row r="6461" spans="1:24">
      <c r="A6461">
        <f>HYPERLINK("https://www.philgeps.gov.ph/GEPSNONPILOT/Tender/SplashBidNoticeAbstractUI.aspx?menuIndex=3&amp;refID=7190224&amp;Result=3","7190224")</f>
        <v>0</v>
      </c>
      <c r="B6461" t="s">
        <v>1339</v>
      </c>
      <c r="C6461" t="s">
        <v>9926</v>
      </c>
      <c r="D6461" t="s">
        <v>19032</v>
      </c>
      <c r="E6461" t="s">
        <v>19372</v>
      </c>
      <c r="F6461" t="s">
        <v>32606</v>
      </c>
      <c r="G6461" t="s">
        <v>32613</v>
      </c>
      <c r="H6461" t="s">
        <v>32623</v>
      </c>
      <c r="I6461" t="s">
        <v>17648</v>
      </c>
      <c r="J6461" t="s">
        <v>32813</v>
      </c>
      <c r="K6461" t="s">
        <v>42623</v>
      </c>
      <c r="M6461" t="s">
        <v>44313</v>
      </c>
      <c r="N6461" t="s">
        <v>47304</v>
      </c>
      <c r="O6461" t="s">
        <v>47305</v>
      </c>
      <c r="P6461">
        <v>0</v>
      </c>
      <c r="Q6461">
        <v>0</v>
      </c>
      <c r="R6461" t="s">
        <v>47311</v>
      </c>
      <c r="S6461" t="s">
        <v>47443</v>
      </c>
      <c r="T6461" t="s">
        <v>48979</v>
      </c>
      <c r="U6461" t="s">
        <v>54930</v>
      </c>
      <c r="W6461" t="s">
        <v>44313</v>
      </c>
      <c r="X6461" t="s">
        <v>47312</v>
      </c>
    </row>
    <row r="6462" spans="1:24">
      <c r="A6462">
        <f>HYPERLINK("https://www.philgeps.gov.ph/GEPSNONPILOT/Tender/SplashBidNoticeAbstractUI.aspx?menuIndex=3&amp;refID=7190319&amp;Result=3","7190319")</f>
        <v>0</v>
      </c>
      <c r="B6462" t="s">
        <v>2160</v>
      </c>
      <c r="C6462" t="s">
        <v>9927</v>
      </c>
      <c r="D6462" t="s">
        <v>19004</v>
      </c>
      <c r="E6462" t="s">
        <v>20202</v>
      </c>
      <c r="F6462" t="s">
        <v>32606</v>
      </c>
      <c r="G6462" t="s">
        <v>32613</v>
      </c>
      <c r="H6462" t="s">
        <v>14201</v>
      </c>
      <c r="I6462" t="s">
        <v>7677</v>
      </c>
      <c r="J6462" t="s">
        <v>36917</v>
      </c>
      <c r="K6462" t="s">
        <v>42625</v>
      </c>
      <c r="M6462" t="s">
        <v>45254</v>
      </c>
      <c r="N6462" t="s">
        <v>47304</v>
      </c>
      <c r="O6462" t="s">
        <v>47305</v>
      </c>
      <c r="P6462">
        <v>0</v>
      </c>
      <c r="Q6462">
        <v>0</v>
      </c>
      <c r="R6462" t="s">
        <v>47311</v>
      </c>
      <c r="S6462" t="s">
        <v>47443</v>
      </c>
      <c r="T6462" t="s">
        <v>49098</v>
      </c>
      <c r="U6462" t="s">
        <v>54931</v>
      </c>
      <c r="W6462" t="s">
        <v>45254</v>
      </c>
      <c r="X6462" t="s">
        <v>47312</v>
      </c>
    </row>
    <row r="6463" spans="1:24">
      <c r="A6463">
        <f>HYPERLINK("https://www.philgeps.gov.ph/GEPSNONPILOT/Tender/SplashBidNoticeAbstractUI.aspx?menuIndex=3&amp;refID=7190354&amp;Result=3","7190354")</f>
        <v>0</v>
      </c>
      <c r="B6463" t="s">
        <v>2107</v>
      </c>
      <c r="C6463" t="s">
        <v>9928</v>
      </c>
      <c r="D6463" t="s">
        <v>19023</v>
      </c>
      <c r="E6463" t="s">
        <v>24718</v>
      </c>
      <c r="F6463" t="s">
        <v>32606</v>
      </c>
      <c r="G6463" t="s">
        <v>32613</v>
      </c>
      <c r="H6463" t="s">
        <v>14201</v>
      </c>
      <c r="I6463" t="s">
        <v>7064</v>
      </c>
      <c r="J6463" t="s">
        <v>33246</v>
      </c>
      <c r="K6463" t="s">
        <v>42631</v>
      </c>
      <c r="M6463" t="s">
        <v>45192</v>
      </c>
      <c r="N6463" t="s">
        <v>47304</v>
      </c>
      <c r="O6463" t="s">
        <v>47305</v>
      </c>
      <c r="P6463">
        <v>0</v>
      </c>
      <c r="Q6463">
        <v>1</v>
      </c>
      <c r="R6463" t="s">
        <v>47311</v>
      </c>
      <c r="S6463" t="s">
        <v>47443</v>
      </c>
      <c r="T6463" t="s">
        <v>49163</v>
      </c>
      <c r="U6463" t="s">
        <v>54932</v>
      </c>
      <c r="V6463" t="s">
        <v>63248</v>
      </c>
      <c r="W6463" t="s">
        <v>45192</v>
      </c>
      <c r="X6463" t="s">
        <v>47312</v>
      </c>
    </row>
    <row r="6464" spans="1:24">
      <c r="A6464">
        <f>HYPERLINK("https://www.philgeps.gov.ph/GEPSNONPILOT/Tender/SplashBidNoticeAbstractUI.aspx?menuIndex=3&amp;refID=7190292&amp;Result=3","7190292")</f>
        <v>0</v>
      </c>
      <c r="B6464" t="s">
        <v>2161</v>
      </c>
      <c r="C6464" t="s">
        <v>9929</v>
      </c>
      <c r="D6464" t="s">
        <v>18988</v>
      </c>
      <c r="E6464" t="s">
        <v>24719</v>
      </c>
      <c r="F6464" t="s">
        <v>32606</v>
      </c>
      <c r="G6464" t="s">
        <v>32613</v>
      </c>
      <c r="H6464" t="s">
        <v>32623</v>
      </c>
      <c r="I6464" t="s">
        <v>32625</v>
      </c>
      <c r="J6464" t="s">
        <v>32813</v>
      </c>
      <c r="K6464" t="s">
        <v>42648</v>
      </c>
      <c r="M6464" t="s">
        <v>45255</v>
      </c>
      <c r="N6464" t="s">
        <v>47304</v>
      </c>
      <c r="O6464" t="s">
        <v>47305</v>
      </c>
      <c r="P6464">
        <v>0</v>
      </c>
      <c r="Q6464">
        <v>0</v>
      </c>
      <c r="R6464" t="s">
        <v>47311</v>
      </c>
      <c r="S6464" t="s">
        <v>47443</v>
      </c>
      <c r="T6464" t="s">
        <v>49124</v>
      </c>
      <c r="U6464" t="s">
        <v>54933</v>
      </c>
      <c r="V6464" t="s">
        <v>63268</v>
      </c>
      <c r="W6464" t="s">
        <v>45255</v>
      </c>
      <c r="X6464" t="s">
        <v>47312</v>
      </c>
    </row>
    <row r="6465" spans="1:24">
      <c r="A6465">
        <f>HYPERLINK("https://www.philgeps.gov.ph/GEPSNONPILOT/Tender/SplashBidNoticeAbstractUI.aspx?menuIndex=3&amp;refID=7190350&amp;Result=3","7190350")</f>
        <v>0</v>
      </c>
      <c r="B6465" t="s">
        <v>2162</v>
      </c>
      <c r="C6465" t="s">
        <v>9930</v>
      </c>
      <c r="D6465" t="s">
        <v>19055</v>
      </c>
      <c r="E6465" t="s">
        <v>24720</v>
      </c>
      <c r="F6465" t="s">
        <v>32607</v>
      </c>
      <c r="G6465" t="s">
        <v>32613</v>
      </c>
      <c r="H6465" t="s">
        <v>32623</v>
      </c>
      <c r="I6465" t="s">
        <v>17648</v>
      </c>
      <c r="J6465" t="s">
        <v>33039</v>
      </c>
      <c r="K6465" t="s">
        <v>42748</v>
      </c>
      <c r="M6465" t="s">
        <v>45256</v>
      </c>
      <c r="N6465" t="s">
        <v>47304</v>
      </c>
      <c r="O6465" t="s">
        <v>47305</v>
      </c>
      <c r="P6465">
        <v>0</v>
      </c>
      <c r="Q6465">
        <v>0</v>
      </c>
      <c r="R6465" t="s">
        <v>47311</v>
      </c>
      <c r="S6465" t="s">
        <v>47443</v>
      </c>
      <c r="T6465" t="s">
        <v>48992</v>
      </c>
      <c r="U6465" t="s">
        <v>54934</v>
      </c>
      <c r="W6465" t="s">
        <v>45256</v>
      </c>
      <c r="X6465" t="s">
        <v>47312</v>
      </c>
    </row>
    <row r="6466" spans="1:24">
      <c r="A6466">
        <f>HYPERLINK("https://www.philgeps.gov.ph/GEPSNONPILOT/Tender/SplashBidNoticeAbstractUI.aspx?menuIndex=3&amp;refID=7190349&amp;Result=3","7190349")</f>
        <v>0</v>
      </c>
      <c r="B6466" t="s">
        <v>192</v>
      </c>
      <c r="C6466" t="s">
        <v>9931</v>
      </c>
      <c r="D6466" t="s">
        <v>19016</v>
      </c>
      <c r="E6466" t="s">
        <v>24721</v>
      </c>
      <c r="F6466" t="s">
        <v>32606</v>
      </c>
      <c r="G6466" t="s">
        <v>32614</v>
      </c>
      <c r="H6466" t="s">
        <v>14201</v>
      </c>
      <c r="I6466" t="s">
        <v>32655</v>
      </c>
      <c r="J6466" t="s">
        <v>33103</v>
      </c>
      <c r="K6466" t="s">
        <v>42624</v>
      </c>
      <c r="M6466" t="s">
        <v>43093</v>
      </c>
      <c r="N6466" t="s">
        <v>47304</v>
      </c>
      <c r="O6466" t="s">
        <v>47305</v>
      </c>
      <c r="P6466">
        <v>0</v>
      </c>
      <c r="Q6466">
        <v>1</v>
      </c>
      <c r="R6466" t="s">
        <v>47311</v>
      </c>
      <c r="S6466" t="s">
        <v>47443</v>
      </c>
      <c r="T6466" t="s">
        <v>49269</v>
      </c>
      <c r="U6466" t="s">
        <v>54935</v>
      </c>
      <c r="V6466" t="s">
        <v>62691</v>
      </c>
      <c r="W6466" t="s">
        <v>43093</v>
      </c>
      <c r="X6466" t="s">
        <v>47312</v>
      </c>
    </row>
    <row r="6467" spans="1:24">
      <c r="A6467">
        <f>HYPERLINK("https://www.philgeps.gov.ph/GEPSNONPILOT/Tender/SplashBidNoticeAbstractUI.aspx?menuIndex=3&amp;refID=7190348&amp;Result=3","7190348")</f>
        <v>0</v>
      </c>
      <c r="B6467" t="s">
        <v>2163</v>
      </c>
      <c r="C6467" t="s">
        <v>8299</v>
      </c>
      <c r="D6467" t="s">
        <v>18995</v>
      </c>
      <c r="E6467" t="s">
        <v>24722</v>
      </c>
      <c r="F6467" t="s">
        <v>32606</v>
      </c>
      <c r="G6467" t="s">
        <v>32613</v>
      </c>
      <c r="H6467" t="s">
        <v>32624</v>
      </c>
      <c r="I6467" t="s">
        <v>7064</v>
      </c>
      <c r="J6467" t="s">
        <v>33195</v>
      </c>
      <c r="K6467" t="s">
        <v>42622</v>
      </c>
      <c r="M6467" t="s">
        <v>45257</v>
      </c>
      <c r="N6467" t="s">
        <v>47304</v>
      </c>
      <c r="O6467" t="s">
        <v>47305</v>
      </c>
      <c r="P6467">
        <v>0</v>
      </c>
      <c r="Q6467">
        <v>0</v>
      </c>
      <c r="R6467" t="s">
        <v>47311</v>
      </c>
      <c r="S6467" t="s">
        <v>47443</v>
      </c>
      <c r="T6467" t="s">
        <v>48997</v>
      </c>
      <c r="U6467" t="s">
        <v>54936</v>
      </c>
      <c r="W6467" t="s">
        <v>45257</v>
      </c>
      <c r="X6467" t="s">
        <v>47312</v>
      </c>
    </row>
    <row r="6468" spans="1:24">
      <c r="A6468">
        <f>HYPERLINK("https://www.philgeps.gov.ph/GEPSNONPILOT/Tender/SplashBidNoticeAbstractUI.aspx?menuIndex=3&amp;refID=7190343&amp;Result=3","7190343")</f>
        <v>0</v>
      </c>
      <c r="B6468" t="s">
        <v>644</v>
      </c>
      <c r="C6468" t="s">
        <v>9932</v>
      </c>
      <c r="D6468" t="s">
        <v>19022</v>
      </c>
      <c r="E6468" t="s">
        <v>24723</v>
      </c>
      <c r="F6468" t="s">
        <v>32606</v>
      </c>
      <c r="G6468" t="s">
        <v>32614</v>
      </c>
      <c r="H6468" t="s">
        <v>14201</v>
      </c>
      <c r="I6468" t="s">
        <v>4369</v>
      </c>
      <c r="J6468" t="s">
        <v>33771</v>
      </c>
      <c r="K6468" t="s">
        <v>42624</v>
      </c>
      <c r="M6468" t="s">
        <v>44072</v>
      </c>
      <c r="N6468" t="s">
        <v>47304</v>
      </c>
      <c r="O6468" t="s">
        <v>47305</v>
      </c>
      <c r="P6468">
        <v>0</v>
      </c>
      <c r="Q6468">
        <v>8</v>
      </c>
      <c r="R6468" t="s">
        <v>47311</v>
      </c>
      <c r="S6468" t="s">
        <v>47443</v>
      </c>
      <c r="T6468" t="s">
        <v>49331</v>
      </c>
      <c r="U6468" t="s">
        <v>54937</v>
      </c>
      <c r="W6468" t="s">
        <v>44072</v>
      </c>
      <c r="X6468" t="s">
        <v>47312</v>
      </c>
    </row>
    <row r="6469" spans="1:24">
      <c r="A6469">
        <f>HYPERLINK("https://www.philgeps.gov.ph/GEPSNONPILOT/Tender/SplashBidNoticeAbstractUI.aspx?menuIndex=3&amp;refID=7190335&amp;Result=3","7190335")</f>
        <v>0</v>
      </c>
      <c r="B6469" t="s">
        <v>418</v>
      </c>
      <c r="C6469" t="s">
        <v>9933</v>
      </c>
      <c r="D6469" t="s">
        <v>19006</v>
      </c>
      <c r="E6469" t="s">
        <v>24724</v>
      </c>
      <c r="F6469" t="s">
        <v>32606</v>
      </c>
      <c r="G6469" t="s">
        <v>32613</v>
      </c>
      <c r="H6469" t="s">
        <v>14201</v>
      </c>
      <c r="I6469" t="s">
        <v>4120</v>
      </c>
      <c r="J6469" t="s">
        <v>36918</v>
      </c>
      <c r="K6469" t="s">
        <v>42639</v>
      </c>
      <c r="M6469" t="s">
        <v>43322</v>
      </c>
      <c r="N6469" t="s">
        <v>47304</v>
      </c>
      <c r="O6469" t="s">
        <v>47305</v>
      </c>
      <c r="P6469">
        <v>0</v>
      </c>
      <c r="Q6469">
        <v>5</v>
      </c>
      <c r="R6469" t="s">
        <v>47311</v>
      </c>
      <c r="S6469" t="s">
        <v>47443</v>
      </c>
      <c r="T6469" t="s">
        <v>49171</v>
      </c>
      <c r="U6469" t="s">
        <v>54938</v>
      </c>
      <c r="V6469" t="s">
        <v>63262</v>
      </c>
      <c r="W6469" t="s">
        <v>43322</v>
      </c>
      <c r="X6469" t="s">
        <v>47312</v>
      </c>
    </row>
    <row r="6470" spans="1:24">
      <c r="A6470">
        <f>HYPERLINK("https://www.philgeps.gov.ph/GEPSNONPILOT/Tender/SplashBidNoticeAbstractUI.aspx?menuIndex=3&amp;refID=7190289&amp;Result=3","7190289")</f>
        <v>0</v>
      </c>
      <c r="B6470" t="s">
        <v>644</v>
      </c>
      <c r="C6470" t="s">
        <v>9934</v>
      </c>
      <c r="D6470" t="s">
        <v>19022</v>
      </c>
      <c r="E6470" t="s">
        <v>24725</v>
      </c>
      <c r="F6470" t="s">
        <v>32606</v>
      </c>
      <c r="G6470" t="s">
        <v>32614</v>
      </c>
      <c r="H6470" t="s">
        <v>14201</v>
      </c>
      <c r="I6470" t="s">
        <v>32629</v>
      </c>
      <c r="J6470" t="s">
        <v>36919</v>
      </c>
      <c r="K6470" t="s">
        <v>42624</v>
      </c>
      <c r="M6470" t="s">
        <v>44072</v>
      </c>
      <c r="N6470" t="s">
        <v>47304</v>
      </c>
      <c r="O6470" t="s">
        <v>47305</v>
      </c>
      <c r="P6470">
        <v>0</v>
      </c>
      <c r="Q6470">
        <v>0</v>
      </c>
      <c r="R6470" t="s">
        <v>47311</v>
      </c>
      <c r="S6470" t="s">
        <v>47443</v>
      </c>
      <c r="T6470" t="s">
        <v>49331</v>
      </c>
      <c r="U6470" t="s">
        <v>54939</v>
      </c>
      <c r="W6470" t="s">
        <v>44072</v>
      </c>
      <c r="X6470" t="s">
        <v>47312</v>
      </c>
    </row>
    <row r="6471" spans="1:24">
      <c r="A6471">
        <f>HYPERLINK("https://www.philgeps.gov.ph/GEPSNONPILOT/Tender/SplashBidNoticeAbstractUI.aspx?menuIndex=3&amp;refID=7190338&amp;Result=3","7190338")</f>
        <v>0</v>
      </c>
      <c r="B6471" t="s">
        <v>215</v>
      </c>
      <c r="C6471" t="s">
        <v>9935</v>
      </c>
      <c r="D6471" t="s">
        <v>18992</v>
      </c>
      <c r="E6471" t="s">
        <v>24726</v>
      </c>
      <c r="F6471" t="s">
        <v>32606</v>
      </c>
      <c r="G6471" t="s">
        <v>32613</v>
      </c>
      <c r="H6471" t="s">
        <v>32623</v>
      </c>
      <c r="I6471" t="s">
        <v>17648</v>
      </c>
      <c r="J6471" t="s">
        <v>36920</v>
      </c>
      <c r="K6471" t="s">
        <v>42624</v>
      </c>
      <c r="M6471" t="s">
        <v>43116</v>
      </c>
      <c r="N6471" t="s">
        <v>47304</v>
      </c>
      <c r="O6471" t="s">
        <v>47305</v>
      </c>
      <c r="P6471">
        <v>0</v>
      </c>
      <c r="Q6471">
        <v>0</v>
      </c>
      <c r="R6471" t="s">
        <v>47311</v>
      </c>
      <c r="S6471" t="s">
        <v>47443</v>
      </c>
      <c r="T6471" t="s">
        <v>48976</v>
      </c>
      <c r="U6471" t="s">
        <v>54940</v>
      </c>
      <c r="W6471" t="s">
        <v>43116</v>
      </c>
      <c r="X6471" t="s">
        <v>47312</v>
      </c>
    </row>
    <row r="6472" spans="1:24">
      <c r="A6472">
        <f>HYPERLINK("https://www.philgeps.gov.ph/GEPSNONPILOT/Tender/SplashBidNoticeAbstractUI.aspx?menuIndex=3&amp;refID=7190336&amp;Result=3","7190336")</f>
        <v>0</v>
      </c>
      <c r="B6472" t="s">
        <v>2164</v>
      </c>
      <c r="C6472" t="s">
        <v>9805</v>
      </c>
      <c r="D6472" t="s">
        <v>19042</v>
      </c>
      <c r="E6472" t="s">
        <v>24727</v>
      </c>
      <c r="F6472" t="s">
        <v>32606</v>
      </c>
      <c r="G6472" t="s">
        <v>32613</v>
      </c>
      <c r="H6472" t="s">
        <v>32623</v>
      </c>
      <c r="I6472" t="s">
        <v>17648</v>
      </c>
      <c r="J6472" t="s">
        <v>36921</v>
      </c>
      <c r="K6472" t="s">
        <v>42630</v>
      </c>
      <c r="M6472" t="s">
        <v>45258</v>
      </c>
      <c r="N6472" t="s">
        <v>47304</v>
      </c>
      <c r="O6472" t="s">
        <v>47305</v>
      </c>
      <c r="P6472">
        <v>0</v>
      </c>
      <c r="Q6472">
        <v>0</v>
      </c>
      <c r="R6472" t="s">
        <v>47311</v>
      </c>
      <c r="S6472" t="s">
        <v>47443</v>
      </c>
      <c r="T6472" t="s">
        <v>49349</v>
      </c>
      <c r="U6472" t="s">
        <v>54941</v>
      </c>
      <c r="W6472" t="s">
        <v>45258</v>
      </c>
      <c r="X6472" t="s">
        <v>47312</v>
      </c>
    </row>
    <row r="6473" spans="1:24">
      <c r="A6473">
        <f>HYPERLINK("https://www.philgeps.gov.ph/GEPSNONPILOT/Tender/SplashBidNoticeAbstractUI.aspx?menuIndex=3&amp;refID=7190351&amp;Result=3","7190351")</f>
        <v>0</v>
      </c>
      <c r="B6473" t="s">
        <v>745</v>
      </c>
      <c r="C6473" t="s">
        <v>9936</v>
      </c>
      <c r="D6473" t="s">
        <v>19043</v>
      </c>
      <c r="E6473" t="s">
        <v>24728</v>
      </c>
      <c r="F6473" t="s">
        <v>32606</v>
      </c>
      <c r="G6473" t="s">
        <v>32613</v>
      </c>
      <c r="H6473" t="s">
        <v>14201</v>
      </c>
      <c r="I6473" t="s">
        <v>6931</v>
      </c>
      <c r="J6473" t="s">
        <v>36922</v>
      </c>
      <c r="K6473" t="s">
        <v>42622</v>
      </c>
      <c r="M6473" t="s">
        <v>43668</v>
      </c>
      <c r="N6473" t="s">
        <v>47304</v>
      </c>
      <c r="O6473" t="s">
        <v>47305</v>
      </c>
      <c r="P6473">
        <v>0</v>
      </c>
      <c r="Q6473">
        <v>1</v>
      </c>
      <c r="R6473" t="s">
        <v>47311</v>
      </c>
      <c r="S6473" t="s">
        <v>47443</v>
      </c>
      <c r="T6473" t="s">
        <v>49160</v>
      </c>
      <c r="U6473" t="s">
        <v>54942</v>
      </c>
      <c r="W6473" t="s">
        <v>43668</v>
      </c>
      <c r="X6473" t="s">
        <v>47312</v>
      </c>
    </row>
    <row r="6474" spans="1:24">
      <c r="A6474">
        <f>HYPERLINK("https://www.philgeps.gov.ph/GEPSNONPILOT/Tender/SplashBidNoticeAbstractUI.aspx?menuIndex=3&amp;refID=7190332&amp;Result=3","7190332")</f>
        <v>0</v>
      </c>
      <c r="B6474" t="s">
        <v>341</v>
      </c>
      <c r="C6474" t="s">
        <v>9937</v>
      </c>
      <c r="D6474" t="s">
        <v>19030</v>
      </c>
      <c r="E6474" t="s">
        <v>24729</v>
      </c>
      <c r="F6474" t="s">
        <v>32606</v>
      </c>
      <c r="G6474" t="s">
        <v>32614</v>
      </c>
      <c r="H6474" t="s">
        <v>14201</v>
      </c>
      <c r="I6474" t="s">
        <v>32629</v>
      </c>
      <c r="J6474" t="s">
        <v>36923</v>
      </c>
      <c r="K6474" t="s">
        <v>42631</v>
      </c>
      <c r="M6474" t="s">
        <v>43243</v>
      </c>
      <c r="N6474" t="s">
        <v>47304</v>
      </c>
      <c r="O6474" t="s">
        <v>47305</v>
      </c>
      <c r="P6474">
        <v>0</v>
      </c>
      <c r="Q6474">
        <v>0</v>
      </c>
      <c r="R6474" t="s">
        <v>47311</v>
      </c>
      <c r="S6474" t="s">
        <v>47443</v>
      </c>
      <c r="T6474" t="s">
        <v>49331</v>
      </c>
      <c r="U6474" t="s">
        <v>54943</v>
      </c>
      <c r="W6474" t="s">
        <v>64429</v>
      </c>
      <c r="X6474" t="s">
        <v>47312</v>
      </c>
    </row>
    <row r="6475" spans="1:24">
      <c r="A6475">
        <f>HYPERLINK("https://www.philgeps.gov.ph/GEPSNONPILOT/Tender/SplashBidNoticeAbstractUI.aspx?menuIndex=3&amp;refID=7190330&amp;Result=3","7190330")</f>
        <v>0</v>
      </c>
      <c r="B6475" t="s">
        <v>2165</v>
      </c>
      <c r="C6475" t="s">
        <v>6082</v>
      </c>
      <c r="D6475" t="s">
        <v>19065</v>
      </c>
      <c r="E6475" t="s">
        <v>24730</v>
      </c>
      <c r="F6475" t="s">
        <v>32606</v>
      </c>
      <c r="G6475" t="s">
        <v>32614</v>
      </c>
      <c r="H6475" t="s">
        <v>14201</v>
      </c>
      <c r="I6475" t="s">
        <v>32626</v>
      </c>
      <c r="J6475" t="s">
        <v>36924</v>
      </c>
      <c r="K6475" t="s">
        <v>42624</v>
      </c>
      <c r="M6475" t="s">
        <v>45259</v>
      </c>
      <c r="N6475" t="s">
        <v>47304</v>
      </c>
      <c r="O6475" t="s">
        <v>47305</v>
      </c>
      <c r="P6475">
        <v>0</v>
      </c>
      <c r="Q6475">
        <v>0</v>
      </c>
      <c r="R6475" t="s">
        <v>47311</v>
      </c>
      <c r="S6475" t="s">
        <v>47443</v>
      </c>
      <c r="T6475" t="s">
        <v>49143</v>
      </c>
      <c r="U6475" t="s">
        <v>54944</v>
      </c>
      <c r="W6475" t="s">
        <v>45259</v>
      </c>
      <c r="X6475" t="s">
        <v>47312</v>
      </c>
    </row>
    <row r="6476" spans="1:24">
      <c r="A6476">
        <f>HYPERLINK("https://www.philgeps.gov.ph/GEPSNONPILOT/Tender/SplashBidNoticeAbstractUI.aspx?menuIndex=3&amp;refID=7190328&amp;Result=3","7190328")</f>
        <v>0</v>
      </c>
      <c r="B6476" t="s">
        <v>600</v>
      </c>
      <c r="C6476" t="s">
        <v>9938</v>
      </c>
      <c r="D6476" t="s">
        <v>19028</v>
      </c>
      <c r="E6476" t="s">
        <v>24731</v>
      </c>
      <c r="F6476" t="s">
        <v>32606</v>
      </c>
      <c r="G6476" t="s">
        <v>32614</v>
      </c>
      <c r="H6476" t="s">
        <v>14201</v>
      </c>
      <c r="I6476" t="s">
        <v>32650</v>
      </c>
      <c r="J6476" t="s">
        <v>36925</v>
      </c>
      <c r="K6476" t="s">
        <v>42623</v>
      </c>
      <c r="M6476" t="s">
        <v>43516</v>
      </c>
      <c r="N6476" t="s">
        <v>47304</v>
      </c>
      <c r="O6476" t="s">
        <v>47305</v>
      </c>
      <c r="P6476">
        <v>0</v>
      </c>
      <c r="Q6476">
        <v>2</v>
      </c>
      <c r="R6476" t="s">
        <v>47311</v>
      </c>
      <c r="S6476" t="s">
        <v>47443</v>
      </c>
      <c r="T6476" t="s">
        <v>49269</v>
      </c>
      <c r="U6476" t="s">
        <v>54945</v>
      </c>
      <c r="V6476" t="s">
        <v>62785</v>
      </c>
      <c r="W6476" t="s">
        <v>43516</v>
      </c>
      <c r="X6476" t="s">
        <v>47312</v>
      </c>
    </row>
    <row r="6477" spans="1:24">
      <c r="A6477">
        <f>HYPERLINK("https://www.philgeps.gov.ph/GEPSNONPILOT/Tender/SplashBidNoticeAbstractUI.aspx?menuIndex=3&amp;refID=7190327&amp;Result=3","7190327")</f>
        <v>0</v>
      </c>
      <c r="B6477" t="s">
        <v>644</v>
      </c>
      <c r="C6477" t="s">
        <v>9939</v>
      </c>
      <c r="D6477" t="s">
        <v>19022</v>
      </c>
      <c r="E6477" t="s">
        <v>24732</v>
      </c>
      <c r="F6477" t="s">
        <v>32606</v>
      </c>
      <c r="G6477" t="s">
        <v>32614</v>
      </c>
      <c r="H6477" t="s">
        <v>14201</v>
      </c>
      <c r="I6477" t="s">
        <v>32629</v>
      </c>
      <c r="J6477" t="s">
        <v>36926</v>
      </c>
      <c r="K6477" t="s">
        <v>42624</v>
      </c>
      <c r="M6477" t="s">
        <v>44072</v>
      </c>
      <c r="N6477" t="s">
        <v>47304</v>
      </c>
      <c r="O6477" t="s">
        <v>47305</v>
      </c>
      <c r="P6477">
        <v>0</v>
      </c>
      <c r="Q6477">
        <v>0</v>
      </c>
      <c r="R6477" t="s">
        <v>47311</v>
      </c>
      <c r="S6477" t="s">
        <v>47443</v>
      </c>
      <c r="T6477" t="s">
        <v>49331</v>
      </c>
      <c r="U6477" t="s">
        <v>54946</v>
      </c>
      <c r="W6477" t="s">
        <v>44072</v>
      </c>
      <c r="X6477" t="s">
        <v>47312</v>
      </c>
    </row>
    <row r="6478" spans="1:24">
      <c r="A6478">
        <f>HYPERLINK("https://www.philgeps.gov.ph/GEPSNONPILOT/Tender/SplashBidNoticeAbstractUI.aspx?menuIndex=3&amp;refID=7190346&amp;Result=3","7190346")</f>
        <v>0</v>
      </c>
      <c r="B6478" t="s">
        <v>2166</v>
      </c>
      <c r="C6478" t="s">
        <v>9940</v>
      </c>
      <c r="D6478" t="s">
        <v>19024</v>
      </c>
      <c r="E6478" t="s">
        <v>24733</v>
      </c>
      <c r="F6478" t="s">
        <v>32606</v>
      </c>
      <c r="G6478" t="s">
        <v>32613</v>
      </c>
      <c r="H6478" t="s">
        <v>14201</v>
      </c>
      <c r="I6478" t="s">
        <v>7064</v>
      </c>
      <c r="J6478" t="s">
        <v>36927</v>
      </c>
      <c r="K6478" t="s">
        <v>42639</v>
      </c>
      <c r="M6478" t="s">
        <v>45260</v>
      </c>
      <c r="N6478" t="s">
        <v>47304</v>
      </c>
      <c r="O6478" t="s">
        <v>47305</v>
      </c>
      <c r="P6478">
        <v>0</v>
      </c>
      <c r="Q6478">
        <v>9</v>
      </c>
      <c r="R6478" t="s">
        <v>47311</v>
      </c>
      <c r="S6478" t="s">
        <v>47443</v>
      </c>
      <c r="T6478" t="s">
        <v>49157</v>
      </c>
      <c r="U6478" t="s">
        <v>54947</v>
      </c>
      <c r="W6478" t="s">
        <v>45260</v>
      </c>
      <c r="X6478" t="s">
        <v>47312</v>
      </c>
    </row>
    <row r="6479" spans="1:24">
      <c r="A6479">
        <f>HYPERLINK("https://www.philgeps.gov.ph/GEPSNONPILOT/Tender/SplashBidNoticeAbstractUI.aspx?menuIndex=3&amp;refID=7190400&amp;Result=3","7190400")</f>
        <v>0</v>
      </c>
      <c r="B6479" t="s">
        <v>396</v>
      </c>
      <c r="C6479" t="s">
        <v>9941</v>
      </c>
      <c r="D6479" t="s">
        <v>19038</v>
      </c>
      <c r="E6479" t="s">
        <v>24734</v>
      </c>
      <c r="F6479" t="s">
        <v>32606</v>
      </c>
      <c r="G6479" t="s">
        <v>32619</v>
      </c>
      <c r="H6479" t="s">
        <v>14201</v>
      </c>
      <c r="I6479" t="s">
        <v>32631</v>
      </c>
      <c r="J6479" t="s">
        <v>33357</v>
      </c>
      <c r="K6479" t="s">
        <v>42622</v>
      </c>
      <c r="M6479" t="s">
        <v>45261</v>
      </c>
      <c r="N6479" t="s">
        <v>47304</v>
      </c>
      <c r="O6479" t="s">
        <v>47305</v>
      </c>
      <c r="P6479">
        <v>0</v>
      </c>
      <c r="Q6479">
        <v>0</v>
      </c>
      <c r="R6479" t="s">
        <v>47311</v>
      </c>
      <c r="S6479" t="s">
        <v>47443</v>
      </c>
      <c r="T6479" t="s">
        <v>49269</v>
      </c>
      <c r="U6479" t="s">
        <v>54948</v>
      </c>
      <c r="W6479" t="s">
        <v>45261</v>
      </c>
      <c r="X6479" t="s">
        <v>47312</v>
      </c>
    </row>
    <row r="6480" spans="1:24">
      <c r="A6480">
        <f>HYPERLINK("https://www.philgeps.gov.ph/GEPSNONPILOT/Tender/SplashBidNoticeAbstractUI.aspx?menuIndex=3&amp;refID=7190398&amp;Result=3","7190398")</f>
        <v>0</v>
      </c>
      <c r="B6480" t="s">
        <v>600</v>
      </c>
      <c r="C6480" t="s">
        <v>9942</v>
      </c>
      <c r="E6480" t="s">
        <v>24735</v>
      </c>
      <c r="F6480" t="s">
        <v>32606</v>
      </c>
      <c r="G6480" t="s">
        <v>32614</v>
      </c>
      <c r="H6480" t="s">
        <v>14201</v>
      </c>
      <c r="I6480" t="s">
        <v>4369</v>
      </c>
      <c r="J6480" t="s">
        <v>36928</v>
      </c>
      <c r="K6480" t="s">
        <v>42631</v>
      </c>
      <c r="M6480" t="s">
        <v>43516</v>
      </c>
      <c r="N6480" t="s">
        <v>47304</v>
      </c>
      <c r="O6480" t="s">
        <v>47305</v>
      </c>
      <c r="P6480">
        <v>0</v>
      </c>
      <c r="Q6480">
        <v>15</v>
      </c>
      <c r="R6480" t="s">
        <v>47311</v>
      </c>
      <c r="S6480" t="s">
        <v>47443</v>
      </c>
      <c r="T6480" t="s">
        <v>49269</v>
      </c>
      <c r="U6480" t="s">
        <v>54949</v>
      </c>
      <c r="V6480" t="s">
        <v>62785</v>
      </c>
      <c r="W6480" t="s">
        <v>43516</v>
      </c>
      <c r="X6480" t="s">
        <v>47312</v>
      </c>
    </row>
    <row r="6481" spans="1:24">
      <c r="A6481">
        <f>HYPERLINK("https://www.philgeps.gov.ph/GEPSNONPILOT/Tender/SplashBidNoticeAbstractUI.aspx?menuIndex=3&amp;refID=7190395&amp;Result=3","7190395")</f>
        <v>0</v>
      </c>
      <c r="B6481" t="s">
        <v>775</v>
      </c>
      <c r="C6481" t="s">
        <v>4507</v>
      </c>
      <c r="D6481" t="s">
        <v>19019</v>
      </c>
      <c r="E6481" t="s">
        <v>24736</v>
      </c>
      <c r="F6481" t="s">
        <v>32606</v>
      </c>
      <c r="G6481" t="s">
        <v>32614</v>
      </c>
      <c r="H6481" t="s">
        <v>14201</v>
      </c>
      <c r="I6481" t="s">
        <v>6007</v>
      </c>
      <c r="J6481" t="s">
        <v>33155</v>
      </c>
      <c r="K6481" t="s">
        <v>42630</v>
      </c>
      <c r="M6481" t="s">
        <v>43704</v>
      </c>
      <c r="N6481" t="s">
        <v>47304</v>
      </c>
      <c r="O6481" t="s">
        <v>47305</v>
      </c>
      <c r="P6481">
        <v>0</v>
      </c>
      <c r="Q6481">
        <v>0</v>
      </c>
      <c r="R6481" t="s">
        <v>47311</v>
      </c>
      <c r="S6481" t="s">
        <v>47443</v>
      </c>
      <c r="T6481" t="s">
        <v>49315</v>
      </c>
      <c r="U6481" t="s">
        <v>54950</v>
      </c>
      <c r="W6481" t="s">
        <v>43704</v>
      </c>
      <c r="X6481" t="s">
        <v>47312</v>
      </c>
    </row>
    <row r="6482" spans="1:24">
      <c r="A6482">
        <f>HYPERLINK("https://www.philgeps.gov.ph/GEPSNONPILOT/Tender/SplashBidNoticeAbstractUI.aspx?menuIndex=3&amp;refID=7183121&amp;Result=3","7183121")</f>
        <v>0</v>
      </c>
      <c r="B6482" t="s">
        <v>2107</v>
      </c>
      <c r="C6482" t="s">
        <v>9943</v>
      </c>
      <c r="D6482" t="s">
        <v>19023</v>
      </c>
      <c r="E6482" t="s">
        <v>24737</v>
      </c>
      <c r="F6482" t="s">
        <v>32606</v>
      </c>
      <c r="G6482" t="s">
        <v>32613</v>
      </c>
      <c r="H6482" t="s">
        <v>14201</v>
      </c>
      <c r="I6482" t="s">
        <v>6931</v>
      </c>
      <c r="J6482" t="s">
        <v>36929</v>
      </c>
      <c r="K6482" t="s">
        <v>42631</v>
      </c>
      <c r="M6482" t="s">
        <v>45192</v>
      </c>
      <c r="N6482" t="s">
        <v>47304</v>
      </c>
      <c r="O6482" t="s">
        <v>47305</v>
      </c>
      <c r="P6482">
        <v>0</v>
      </c>
      <c r="Q6482">
        <v>0</v>
      </c>
      <c r="R6482" t="s">
        <v>47311</v>
      </c>
      <c r="S6482" t="s">
        <v>47443</v>
      </c>
      <c r="T6482" t="s">
        <v>49163</v>
      </c>
      <c r="U6482" t="s">
        <v>54951</v>
      </c>
      <c r="V6482" t="s">
        <v>63248</v>
      </c>
      <c r="W6482" t="s">
        <v>45192</v>
      </c>
      <c r="X6482" t="s">
        <v>47315</v>
      </c>
    </row>
    <row r="6483" spans="1:24">
      <c r="A6483">
        <f>HYPERLINK("https://www.philgeps.gov.ph/GEPSNONPILOT/Tender/SplashBidNoticeAbstractUI.aspx?menuIndex=3&amp;refID=7190393&amp;Result=3","7190393")</f>
        <v>0</v>
      </c>
      <c r="B6483" t="s">
        <v>2167</v>
      </c>
      <c r="C6483" t="s">
        <v>9944</v>
      </c>
      <c r="D6483" t="s">
        <v>18993</v>
      </c>
      <c r="E6483" t="s">
        <v>19670</v>
      </c>
      <c r="F6483" t="s">
        <v>32606</v>
      </c>
      <c r="G6483" t="s">
        <v>32613</v>
      </c>
      <c r="H6483" t="s">
        <v>32624</v>
      </c>
      <c r="I6483" t="s">
        <v>6298</v>
      </c>
      <c r="J6483" t="s">
        <v>33060</v>
      </c>
      <c r="K6483" t="s">
        <v>42623</v>
      </c>
      <c r="M6483" t="s">
        <v>45262</v>
      </c>
      <c r="N6483" t="s">
        <v>47304</v>
      </c>
      <c r="O6483" t="s">
        <v>47305</v>
      </c>
      <c r="P6483">
        <v>0</v>
      </c>
      <c r="Q6483">
        <v>7</v>
      </c>
      <c r="R6483" t="s">
        <v>47311</v>
      </c>
      <c r="S6483" t="s">
        <v>47443</v>
      </c>
      <c r="T6483" t="s">
        <v>49004</v>
      </c>
      <c r="U6483" t="s">
        <v>54952</v>
      </c>
      <c r="V6483" t="s">
        <v>63269</v>
      </c>
      <c r="W6483" t="s">
        <v>45262</v>
      </c>
      <c r="X6483" t="s">
        <v>47312</v>
      </c>
    </row>
    <row r="6484" spans="1:24">
      <c r="A6484">
        <f>HYPERLINK("https://www.philgeps.gov.ph/GEPSNONPILOT/Tender/SplashBidNoticeAbstractUI.aspx?menuIndex=3&amp;refID=7190384&amp;Result=3","7190384")</f>
        <v>0</v>
      </c>
      <c r="B6484" t="s">
        <v>341</v>
      </c>
      <c r="C6484" t="s">
        <v>9945</v>
      </c>
      <c r="D6484" t="s">
        <v>19030</v>
      </c>
      <c r="E6484" t="s">
        <v>24738</v>
      </c>
      <c r="F6484" t="s">
        <v>32606</v>
      </c>
      <c r="G6484" t="s">
        <v>32614</v>
      </c>
      <c r="H6484" t="s">
        <v>14201</v>
      </c>
      <c r="I6484" t="s">
        <v>32629</v>
      </c>
      <c r="J6484" t="s">
        <v>36923</v>
      </c>
      <c r="K6484" t="s">
        <v>42631</v>
      </c>
      <c r="M6484" t="s">
        <v>43243</v>
      </c>
      <c r="N6484" t="s">
        <v>47304</v>
      </c>
      <c r="O6484" t="s">
        <v>47305</v>
      </c>
      <c r="P6484">
        <v>0</v>
      </c>
      <c r="Q6484">
        <v>0</v>
      </c>
      <c r="R6484" t="s">
        <v>47311</v>
      </c>
      <c r="S6484" t="s">
        <v>47443</v>
      </c>
      <c r="T6484" t="s">
        <v>49331</v>
      </c>
      <c r="U6484" t="s">
        <v>54953</v>
      </c>
      <c r="W6484" t="s">
        <v>64429</v>
      </c>
      <c r="X6484" t="s">
        <v>47312</v>
      </c>
    </row>
    <row r="6485" spans="1:24">
      <c r="A6485">
        <f>HYPERLINK("https://www.philgeps.gov.ph/GEPSNONPILOT/Tender/SplashBidNoticeAbstractUI.aspx?menuIndex=3&amp;refID=7190383&amp;Result=3","7190383")</f>
        <v>0</v>
      </c>
      <c r="B6485" t="s">
        <v>192</v>
      </c>
      <c r="C6485" t="s">
        <v>9946</v>
      </c>
      <c r="D6485" t="s">
        <v>19016</v>
      </c>
      <c r="E6485" t="s">
        <v>24739</v>
      </c>
      <c r="F6485" t="s">
        <v>32606</v>
      </c>
      <c r="G6485" t="s">
        <v>32614</v>
      </c>
      <c r="H6485" t="s">
        <v>14201</v>
      </c>
      <c r="I6485" t="s">
        <v>32655</v>
      </c>
      <c r="J6485" t="s">
        <v>36623</v>
      </c>
      <c r="K6485" t="s">
        <v>42624</v>
      </c>
      <c r="M6485" t="s">
        <v>43093</v>
      </c>
      <c r="N6485" t="s">
        <v>47304</v>
      </c>
      <c r="O6485" t="s">
        <v>47305</v>
      </c>
      <c r="P6485">
        <v>0</v>
      </c>
      <c r="Q6485">
        <v>2</v>
      </c>
      <c r="R6485" t="s">
        <v>47311</v>
      </c>
      <c r="S6485" t="s">
        <v>47443</v>
      </c>
      <c r="T6485" t="s">
        <v>49269</v>
      </c>
      <c r="U6485" t="s">
        <v>54935</v>
      </c>
      <c r="V6485" t="s">
        <v>62691</v>
      </c>
      <c r="W6485" t="s">
        <v>43093</v>
      </c>
      <c r="X6485" t="s">
        <v>47312</v>
      </c>
    </row>
    <row r="6486" spans="1:24">
      <c r="A6486">
        <f>HYPERLINK("https://www.philgeps.gov.ph/GEPSNONPILOT/Tender/SplashBidNoticeAbstractUI.aspx?menuIndex=3&amp;refID=7190397&amp;Result=3","7190397")</f>
        <v>0</v>
      </c>
      <c r="B6486" t="s">
        <v>1866</v>
      </c>
      <c r="C6486" t="s">
        <v>9947</v>
      </c>
      <c r="D6486" t="s">
        <v>19058</v>
      </c>
      <c r="E6486" t="s">
        <v>19670</v>
      </c>
      <c r="F6486" t="s">
        <v>32606</v>
      </c>
      <c r="G6486" t="s">
        <v>32613</v>
      </c>
      <c r="H6486" t="s">
        <v>32623</v>
      </c>
      <c r="I6486" t="s">
        <v>17648</v>
      </c>
      <c r="J6486" t="s">
        <v>32923</v>
      </c>
      <c r="K6486" t="s">
        <v>42630</v>
      </c>
      <c r="M6486" t="s">
        <v>44923</v>
      </c>
      <c r="N6486" t="s">
        <v>47304</v>
      </c>
      <c r="O6486" t="s">
        <v>47305</v>
      </c>
      <c r="P6486">
        <v>0</v>
      </c>
      <c r="Q6486">
        <v>0</v>
      </c>
      <c r="R6486" t="s">
        <v>47311</v>
      </c>
      <c r="S6486" t="s">
        <v>47443</v>
      </c>
      <c r="T6486" t="s">
        <v>48982</v>
      </c>
      <c r="U6486" t="s">
        <v>54954</v>
      </c>
      <c r="W6486" t="s">
        <v>44923</v>
      </c>
      <c r="X6486" t="s">
        <v>47312</v>
      </c>
    </row>
    <row r="6487" spans="1:24">
      <c r="A6487">
        <f>HYPERLINK("https://www.philgeps.gov.ph/GEPSNONPILOT/Tender/SplashBidNoticeAbstractUI.aspx?menuIndex=3&amp;refID=7190288&amp;Result=3","7190288")</f>
        <v>0</v>
      </c>
      <c r="B6487" t="s">
        <v>496</v>
      </c>
      <c r="C6487" t="s">
        <v>9948</v>
      </c>
      <c r="E6487" t="s">
        <v>24740</v>
      </c>
      <c r="F6487" t="s">
        <v>32606</v>
      </c>
      <c r="G6487" t="s">
        <v>32614</v>
      </c>
      <c r="H6487" t="s">
        <v>14201</v>
      </c>
      <c r="I6487" t="s">
        <v>32635</v>
      </c>
      <c r="J6487" t="s">
        <v>36930</v>
      </c>
      <c r="K6487" t="s">
        <v>42631</v>
      </c>
      <c r="M6487" t="s">
        <v>45233</v>
      </c>
      <c r="N6487" t="s">
        <v>47304</v>
      </c>
      <c r="O6487" t="s">
        <v>47305</v>
      </c>
      <c r="P6487">
        <v>0</v>
      </c>
      <c r="Q6487">
        <v>0</v>
      </c>
      <c r="R6487" t="s">
        <v>47311</v>
      </c>
      <c r="S6487" t="s">
        <v>47443</v>
      </c>
      <c r="T6487" t="s">
        <v>48977</v>
      </c>
      <c r="U6487" t="s">
        <v>54955</v>
      </c>
      <c r="W6487" t="s">
        <v>64494</v>
      </c>
      <c r="X6487" t="s">
        <v>47312</v>
      </c>
    </row>
    <row r="6488" spans="1:24">
      <c r="A6488">
        <f>HYPERLINK("https://www.philgeps.gov.ph/GEPSNONPILOT/Tender/SplashBidNoticeAbstractUI.aspx?menuIndex=3&amp;refID=7190337&amp;Result=3","7190337")</f>
        <v>0</v>
      </c>
      <c r="B6488" t="s">
        <v>2168</v>
      </c>
      <c r="C6488" t="s">
        <v>9949</v>
      </c>
      <c r="D6488" t="s">
        <v>19015</v>
      </c>
      <c r="E6488" t="s">
        <v>24741</v>
      </c>
      <c r="F6488" t="s">
        <v>32606</v>
      </c>
      <c r="G6488" t="s">
        <v>32614</v>
      </c>
      <c r="H6488" t="s">
        <v>32623</v>
      </c>
      <c r="I6488" t="s">
        <v>32675</v>
      </c>
      <c r="J6488" t="s">
        <v>33034</v>
      </c>
      <c r="K6488" t="s">
        <v>42631</v>
      </c>
      <c r="M6488" t="s">
        <v>45263</v>
      </c>
      <c r="N6488" t="s">
        <v>47304</v>
      </c>
      <c r="O6488" t="s">
        <v>47305</v>
      </c>
      <c r="P6488">
        <v>0</v>
      </c>
      <c r="Q6488">
        <v>2</v>
      </c>
      <c r="R6488" t="s">
        <v>47311</v>
      </c>
      <c r="S6488" t="s">
        <v>47443</v>
      </c>
      <c r="T6488" t="s">
        <v>49257</v>
      </c>
      <c r="U6488" t="s">
        <v>54956</v>
      </c>
      <c r="W6488" t="s">
        <v>45263</v>
      </c>
      <c r="X6488" t="s">
        <v>47312</v>
      </c>
    </row>
    <row r="6489" spans="1:24">
      <c r="A6489">
        <f>HYPERLINK("https://www.philgeps.gov.ph/GEPSNONPILOT/Tender/SplashBidNoticeAbstractUI.aspx?menuIndex=3&amp;refID=7190375&amp;Result=3","7190375")</f>
        <v>0</v>
      </c>
      <c r="B6489" t="s">
        <v>745</v>
      </c>
      <c r="C6489" t="s">
        <v>9950</v>
      </c>
      <c r="D6489" t="s">
        <v>19043</v>
      </c>
      <c r="E6489" t="s">
        <v>24742</v>
      </c>
      <c r="F6489" t="s">
        <v>32606</v>
      </c>
      <c r="G6489" t="s">
        <v>32613</v>
      </c>
      <c r="H6489" t="s">
        <v>14201</v>
      </c>
      <c r="I6489" t="s">
        <v>6931</v>
      </c>
      <c r="J6489" t="s">
        <v>36931</v>
      </c>
      <c r="K6489" t="s">
        <v>42622</v>
      </c>
      <c r="M6489" t="s">
        <v>43668</v>
      </c>
      <c r="N6489" t="s">
        <v>47304</v>
      </c>
      <c r="O6489" t="s">
        <v>47305</v>
      </c>
      <c r="P6489">
        <v>0</v>
      </c>
      <c r="Q6489">
        <v>1</v>
      </c>
      <c r="R6489" t="s">
        <v>47311</v>
      </c>
      <c r="S6489" t="s">
        <v>47443</v>
      </c>
      <c r="T6489" t="s">
        <v>49160</v>
      </c>
      <c r="U6489" t="s">
        <v>54957</v>
      </c>
      <c r="W6489" t="s">
        <v>43668</v>
      </c>
      <c r="X6489" t="s">
        <v>47312</v>
      </c>
    </row>
    <row r="6490" spans="1:24">
      <c r="A6490">
        <f>HYPERLINK("https://www.philgeps.gov.ph/GEPSNONPILOT/Tender/SplashBidNoticeAbstractUI.aspx?menuIndex=3&amp;refID=7190394&amp;Result=3","7190394")</f>
        <v>0</v>
      </c>
      <c r="B6490" t="s">
        <v>81</v>
      </c>
      <c r="C6490" t="s">
        <v>9951</v>
      </c>
      <c r="D6490" t="s">
        <v>18995</v>
      </c>
      <c r="E6490" t="s">
        <v>24743</v>
      </c>
      <c r="F6490" t="s">
        <v>32606</v>
      </c>
      <c r="G6490" t="s">
        <v>32613</v>
      </c>
      <c r="H6490" t="s">
        <v>32623</v>
      </c>
      <c r="I6490" t="s">
        <v>17648</v>
      </c>
      <c r="J6490" t="s">
        <v>36932</v>
      </c>
      <c r="K6490" t="s">
        <v>42624</v>
      </c>
      <c r="M6490" t="s">
        <v>42978</v>
      </c>
      <c r="N6490" t="s">
        <v>47304</v>
      </c>
      <c r="O6490" t="s">
        <v>47305</v>
      </c>
      <c r="P6490">
        <v>0</v>
      </c>
      <c r="Q6490">
        <v>1</v>
      </c>
      <c r="R6490" t="s">
        <v>47311</v>
      </c>
      <c r="S6490" t="s">
        <v>47443</v>
      </c>
      <c r="T6490" t="s">
        <v>49080</v>
      </c>
      <c r="U6490" t="s">
        <v>54958</v>
      </c>
      <c r="W6490" t="s">
        <v>42978</v>
      </c>
      <c r="X6490" t="s">
        <v>47312</v>
      </c>
    </row>
    <row r="6491" spans="1:24">
      <c r="A6491">
        <f>HYPERLINK("https://www.philgeps.gov.ph/GEPSNONPILOT/Tender/SplashBidNoticeAbstractUI.aspx?menuIndex=3&amp;refID=7190433&amp;Result=3","7190433")</f>
        <v>0</v>
      </c>
      <c r="B6491" t="s">
        <v>1208</v>
      </c>
      <c r="C6491" t="s">
        <v>9952</v>
      </c>
      <c r="D6491" t="s">
        <v>19026</v>
      </c>
      <c r="E6491" t="s">
        <v>24744</v>
      </c>
      <c r="F6491" t="s">
        <v>32606</v>
      </c>
      <c r="G6491" t="s">
        <v>32613</v>
      </c>
      <c r="H6491" t="s">
        <v>14201</v>
      </c>
      <c r="I6491" t="s">
        <v>32650</v>
      </c>
      <c r="J6491" t="s">
        <v>34892</v>
      </c>
      <c r="K6491" t="s">
        <v>42624</v>
      </c>
      <c r="M6491" t="s">
        <v>44173</v>
      </c>
      <c r="N6491" t="s">
        <v>47304</v>
      </c>
      <c r="O6491" t="s">
        <v>47305</v>
      </c>
      <c r="P6491">
        <v>0</v>
      </c>
      <c r="Q6491">
        <v>1</v>
      </c>
      <c r="R6491" t="s">
        <v>47311</v>
      </c>
      <c r="S6491" t="s">
        <v>47443</v>
      </c>
      <c r="T6491" t="s">
        <v>49108</v>
      </c>
      <c r="U6491" t="s">
        <v>54959</v>
      </c>
      <c r="W6491" t="s">
        <v>44173</v>
      </c>
      <c r="X6491" t="s">
        <v>47312</v>
      </c>
    </row>
    <row r="6492" spans="1:24">
      <c r="A6492">
        <f>HYPERLINK("https://www.philgeps.gov.ph/GEPSNONPILOT/Tender/SplashBidNoticeAbstractUI.aspx?menuIndex=3&amp;refID=7190329&amp;Result=3","7190329")</f>
        <v>0</v>
      </c>
      <c r="B6492" t="s">
        <v>726</v>
      </c>
      <c r="C6492" t="s">
        <v>9953</v>
      </c>
      <c r="D6492" t="s">
        <v>19009</v>
      </c>
      <c r="E6492" t="s">
        <v>24745</v>
      </c>
      <c r="F6492" t="s">
        <v>32606</v>
      </c>
      <c r="G6492" t="s">
        <v>32617</v>
      </c>
      <c r="H6492" t="s">
        <v>14201</v>
      </c>
      <c r="I6492" t="s">
        <v>4120</v>
      </c>
      <c r="J6492" t="s">
        <v>36933</v>
      </c>
      <c r="K6492" t="s">
        <v>42623</v>
      </c>
      <c r="M6492" t="s">
        <v>45264</v>
      </c>
      <c r="N6492" t="s">
        <v>47304</v>
      </c>
      <c r="O6492" t="s">
        <v>47305</v>
      </c>
      <c r="P6492">
        <v>0</v>
      </c>
      <c r="Q6492">
        <v>2</v>
      </c>
      <c r="R6492" t="s">
        <v>47311</v>
      </c>
      <c r="S6492" t="s">
        <v>47443</v>
      </c>
      <c r="T6492" t="s">
        <v>49350</v>
      </c>
      <c r="U6492" t="s">
        <v>54960</v>
      </c>
      <c r="V6492" t="s">
        <v>62814</v>
      </c>
      <c r="W6492" t="s">
        <v>45264</v>
      </c>
      <c r="X6492" t="s">
        <v>47312</v>
      </c>
    </row>
    <row r="6493" spans="1:24">
      <c r="A6493">
        <f>HYPERLINK("https://www.philgeps.gov.ph/GEPSNONPILOT/Tender/SplashBidNoticeAbstractUI.aspx?menuIndex=3&amp;refID=7190312&amp;Result=3","7190312")</f>
        <v>0</v>
      </c>
      <c r="B6493" t="s">
        <v>2162</v>
      </c>
      <c r="C6493" t="s">
        <v>9954</v>
      </c>
      <c r="D6493" t="s">
        <v>19055</v>
      </c>
      <c r="E6493" t="s">
        <v>24746</v>
      </c>
      <c r="F6493" t="s">
        <v>32607</v>
      </c>
      <c r="G6493" t="s">
        <v>32613</v>
      </c>
      <c r="H6493" t="s">
        <v>32623</v>
      </c>
      <c r="I6493" t="s">
        <v>17648</v>
      </c>
      <c r="J6493" t="s">
        <v>33039</v>
      </c>
      <c r="K6493" t="s">
        <v>42686</v>
      </c>
      <c r="M6493" t="s">
        <v>45256</v>
      </c>
      <c r="N6493" t="s">
        <v>47304</v>
      </c>
      <c r="O6493" t="s">
        <v>47305</v>
      </c>
      <c r="P6493">
        <v>0</v>
      </c>
      <c r="Q6493">
        <v>0</v>
      </c>
      <c r="R6493" t="s">
        <v>47311</v>
      </c>
      <c r="S6493" t="s">
        <v>47443</v>
      </c>
      <c r="T6493" t="s">
        <v>49124</v>
      </c>
      <c r="U6493" t="s">
        <v>54961</v>
      </c>
      <c r="W6493" t="s">
        <v>45256</v>
      </c>
      <c r="X6493" t="s">
        <v>47312</v>
      </c>
    </row>
    <row r="6494" spans="1:24">
      <c r="A6494">
        <f>HYPERLINK("https://www.philgeps.gov.ph/GEPSNONPILOT/Tender/SplashBidNoticeAbstractUI.aspx?menuIndex=3&amp;refID=7190431&amp;Result=3","7190431")</f>
        <v>0</v>
      </c>
      <c r="B6494" t="s">
        <v>396</v>
      </c>
      <c r="C6494" t="s">
        <v>9955</v>
      </c>
      <c r="D6494" t="s">
        <v>19038</v>
      </c>
      <c r="E6494" t="s">
        <v>24747</v>
      </c>
      <c r="F6494" t="s">
        <v>32606</v>
      </c>
      <c r="G6494" t="s">
        <v>32619</v>
      </c>
      <c r="H6494" t="s">
        <v>14201</v>
      </c>
      <c r="I6494" t="s">
        <v>7233</v>
      </c>
      <c r="J6494" t="s">
        <v>36934</v>
      </c>
      <c r="K6494" t="s">
        <v>42622</v>
      </c>
      <c r="M6494" t="s">
        <v>45261</v>
      </c>
      <c r="N6494" t="s">
        <v>47304</v>
      </c>
      <c r="O6494" t="s">
        <v>47305</v>
      </c>
      <c r="P6494">
        <v>0</v>
      </c>
      <c r="Q6494">
        <v>0</v>
      </c>
      <c r="R6494" t="s">
        <v>47311</v>
      </c>
      <c r="S6494" t="s">
        <v>47443</v>
      </c>
      <c r="T6494" t="s">
        <v>49269</v>
      </c>
      <c r="U6494" t="s">
        <v>54962</v>
      </c>
      <c r="W6494" t="s">
        <v>45261</v>
      </c>
      <c r="X6494" t="s">
        <v>47312</v>
      </c>
    </row>
    <row r="6495" spans="1:24">
      <c r="A6495">
        <f>HYPERLINK("https://www.philgeps.gov.ph/GEPSNONPILOT/Tender/SplashBidNoticeAbstractUI.aspx?menuIndex=3&amp;refID=7190430&amp;Result=3","7190430")</f>
        <v>0</v>
      </c>
      <c r="B6495" t="s">
        <v>301</v>
      </c>
      <c r="C6495" t="s">
        <v>9956</v>
      </c>
      <c r="D6495" t="s">
        <v>19011</v>
      </c>
      <c r="E6495" t="s">
        <v>24748</v>
      </c>
      <c r="F6495" t="s">
        <v>32606</v>
      </c>
      <c r="G6495" t="s">
        <v>32617</v>
      </c>
      <c r="H6495" t="s">
        <v>14201</v>
      </c>
      <c r="I6495" t="s">
        <v>4120</v>
      </c>
      <c r="J6495" t="s">
        <v>36935</v>
      </c>
      <c r="K6495" t="s">
        <v>42622</v>
      </c>
      <c r="M6495" t="s">
        <v>43203</v>
      </c>
      <c r="N6495" t="s">
        <v>47304</v>
      </c>
      <c r="O6495" t="s">
        <v>47305</v>
      </c>
      <c r="P6495">
        <v>0</v>
      </c>
      <c r="Q6495">
        <v>5</v>
      </c>
      <c r="R6495" t="s">
        <v>47311</v>
      </c>
      <c r="S6495" t="s">
        <v>47443</v>
      </c>
      <c r="T6495" t="s">
        <v>48997</v>
      </c>
      <c r="U6495" t="s">
        <v>54963</v>
      </c>
      <c r="W6495" t="s">
        <v>43203</v>
      </c>
      <c r="X6495" t="s">
        <v>47312</v>
      </c>
    </row>
    <row r="6496" spans="1:24">
      <c r="A6496">
        <f>HYPERLINK("https://www.philgeps.gov.ph/GEPSNONPILOT/Tender/SplashBidNoticeAbstractUI.aspx?menuIndex=3&amp;refID=7190423&amp;Result=3","7190423")</f>
        <v>0</v>
      </c>
      <c r="B6496" t="s">
        <v>2169</v>
      </c>
      <c r="C6496" t="s">
        <v>9957</v>
      </c>
      <c r="D6496" t="s">
        <v>19014</v>
      </c>
      <c r="E6496" t="s">
        <v>24749</v>
      </c>
      <c r="F6496" t="s">
        <v>32606</v>
      </c>
      <c r="G6496" t="s">
        <v>32613</v>
      </c>
      <c r="H6496" t="s">
        <v>32623</v>
      </c>
      <c r="I6496" t="s">
        <v>17648</v>
      </c>
      <c r="J6496" t="s">
        <v>32765</v>
      </c>
      <c r="K6496" t="s">
        <v>42759</v>
      </c>
      <c r="M6496" t="s">
        <v>45265</v>
      </c>
      <c r="N6496" t="s">
        <v>47304</v>
      </c>
      <c r="O6496" t="s">
        <v>47305</v>
      </c>
      <c r="P6496">
        <v>0</v>
      </c>
      <c r="Q6496">
        <v>1</v>
      </c>
      <c r="R6496" t="s">
        <v>47311</v>
      </c>
      <c r="S6496" t="s">
        <v>47443</v>
      </c>
      <c r="T6496" t="s">
        <v>49287</v>
      </c>
      <c r="U6496" t="s">
        <v>54964</v>
      </c>
      <c r="V6496" t="s">
        <v>63270</v>
      </c>
      <c r="W6496" t="s">
        <v>45265</v>
      </c>
      <c r="X6496" t="s">
        <v>47312</v>
      </c>
    </row>
    <row r="6497" spans="1:24">
      <c r="A6497">
        <f>HYPERLINK("https://www.philgeps.gov.ph/GEPSNONPILOT/Tender/SplashBidNoticeAbstractUI.aspx?menuIndex=3&amp;refID=7190373&amp;Result=3","7190373")</f>
        <v>0</v>
      </c>
      <c r="B6497" t="s">
        <v>1377</v>
      </c>
      <c r="C6497" t="s">
        <v>9958</v>
      </c>
      <c r="D6497" t="s">
        <v>19061</v>
      </c>
      <c r="E6497" t="s">
        <v>24750</v>
      </c>
      <c r="F6497" t="s">
        <v>32606</v>
      </c>
      <c r="G6497" t="s">
        <v>32614</v>
      </c>
      <c r="H6497" t="s">
        <v>14201</v>
      </c>
      <c r="I6497" t="s">
        <v>32736</v>
      </c>
      <c r="J6497" t="s">
        <v>33274</v>
      </c>
      <c r="K6497" t="s">
        <v>42624</v>
      </c>
      <c r="M6497" t="s">
        <v>44357</v>
      </c>
      <c r="N6497" t="s">
        <v>47304</v>
      </c>
      <c r="O6497" t="s">
        <v>47305</v>
      </c>
      <c r="P6497">
        <v>0</v>
      </c>
      <c r="Q6497">
        <v>1</v>
      </c>
      <c r="R6497" t="s">
        <v>47311</v>
      </c>
      <c r="S6497" t="s">
        <v>47443</v>
      </c>
      <c r="T6497" t="s">
        <v>49315</v>
      </c>
      <c r="U6497" t="s">
        <v>54965</v>
      </c>
      <c r="V6497" t="s">
        <v>63001</v>
      </c>
      <c r="W6497" t="s">
        <v>44357</v>
      </c>
      <c r="X6497" t="s">
        <v>47312</v>
      </c>
    </row>
    <row r="6498" spans="1:24">
      <c r="A6498">
        <f>HYPERLINK("https://www.philgeps.gov.ph/GEPSNONPILOT/Tender/SplashBidNoticeAbstractUI.aspx?menuIndex=3&amp;refID=7190418&amp;Result=3","7190418")</f>
        <v>0</v>
      </c>
      <c r="B6498" t="s">
        <v>2165</v>
      </c>
      <c r="C6498" t="s">
        <v>6082</v>
      </c>
      <c r="D6498" t="s">
        <v>19065</v>
      </c>
      <c r="E6498" t="s">
        <v>24751</v>
      </c>
      <c r="F6498" t="s">
        <v>32606</v>
      </c>
      <c r="G6498" t="s">
        <v>32614</v>
      </c>
      <c r="H6498" t="s">
        <v>14201</v>
      </c>
      <c r="I6498" t="s">
        <v>32626</v>
      </c>
      <c r="J6498" t="s">
        <v>32949</v>
      </c>
      <c r="K6498" t="s">
        <v>42624</v>
      </c>
      <c r="M6498" t="s">
        <v>45259</v>
      </c>
      <c r="N6498" t="s">
        <v>47304</v>
      </c>
      <c r="O6498" t="s">
        <v>47305</v>
      </c>
      <c r="P6498">
        <v>0</v>
      </c>
      <c r="Q6498">
        <v>0</v>
      </c>
      <c r="R6498" t="s">
        <v>47311</v>
      </c>
      <c r="S6498" t="s">
        <v>47443</v>
      </c>
      <c r="T6498" t="s">
        <v>48997</v>
      </c>
      <c r="U6498" t="s">
        <v>54966</v>
      </c>
      <c r="W6498" t="s">
        <v>45259</v>
      </c>
      <c r="X6498" t="s">
        <v>47312</v>
      </c>
    </row>
    <row r="6499" spans="1:24">
      <c r="A6499">
        <f>HYPERLINK("https://www.philgeps.gov.ph/GEPSNONPILOT/Tender/SplashBidNoticeAbstractUI.aspx?menuIndex=3&amp;refID=7190414&amp;Result=3","7190414")</f>
        <v>0</v>
      </c>
      <c r="B6499" t="s">
        <v>192</v>
      </c>
      <c r="C6499" t="s">
        <v>9959</v>
      </c>
      <c r="D6499" t="s">
        <v>19016</v>
      </c>
      <c r="E6499" t="s">
        <v>24752</v>
      </c>
      <c r="F6499" t="s">
        <v>32606</v>
      </c>
      <c r="G6499" t="s">
        <v>32614</v>
      </c>
      <c r="H6499" t="s">
        <v>14201</v>
      </c>
      <c r="I6499" t="s">
        <v>32655</v>
      </c>
      <c r="J6499" t="s">
        <v>33024</v>
      </c>
      <c r="K6499" t="s">
        <v>42624</v>
      </c>
      <c r="M6499" t="s">
        <v>43093</v>
      </c>
      <c r="N6499" t="s">
        <v>47304</v>
      </c>
      <c r="O6499" t="s">
        <v>47305</v>
      </c>
      <c r="P6499">
        <v>0</v>
      </c>
      <c r="Q6499">
        <v>3</v>
      </c>
      <c r="R6499" t="s">
        <v>47311</v>
      </c>
      <c r="S6499" t="s">
        <v>47443</v>
      </c>
      <c r="T6499" t="s">
        <v>49269</v>
      </c>
      <c r="U6499" t="s">
        <v>49914</v>
      </c>
      <c r="V6499" t="s">
        <v>62691</v>
      </c>
      <c r="W6499" t="s">
        <v>43093</v>
      </c>
      <c r="X6499" t="s">
        <v>47312</v>
      </c>
    </row>
    <row r="6500" spans="1:24">
      <c r="A6500">
        <f>HYPERLINK("https://www.philgeps.gov.ph/GEPSNONPILOT/Tender/SplashBidNoticeAbstractUI.aspx?menuIndex=3&amp;refID=7190432&amp;Result=3","7190432")</f>
        <v>0</v>
      </c>
      <c r="B6500" t="s">
        <v>81</v>
      </c>
      <c r="C6500" t="s">
        <v>9960</v>
      </c>
      <c r="D6500" t="s">
        <v>18995</v>
      </c>
      <c r="E6500" t="s">
        <v>24753</v>
      </c>
      <c r="F6500" t="s">
        <v>32606</v>
      </c>
      <c r="G6500" t="s">
        <v>32613</v>
      </c>
      <c r="H6500" t="s">
        <v>32623</v>
      </c>
      <c r="I6500" t="s">
        <v>17648</v>
      </c>
      <c r="J6500" t="s">
        <v>36936</v>
      </c>
      <c r="K6500" t="s">
        <v>42624</v>
      </c>
      <c r="M6500" t="s">
        <v>42978</v>
      </c>
      <c r="N6500" t="s">
        <v>47304</v>
      </c>
      <c r="O6500" t="s">
        <v>47305</v>
      </c>
      <c r="P6500">
        <v>0</v>
      </c>
      <c r="Q6500">
        <v>1</v>
      </c>
      <c r="R6500" t="s">
        <v>47311</v>
      </c>
      <c r="S6500" t="s">
        <v>47443</v>
      </c>
      <c r="T6500" t="s">
        <v>49039</v>
      </c>
      <c r="U6500" t="s">
        <v>54967</v>
      </c>
      <c r="W6500" t="s">
        <v>42978</v>
      </c>
      <c r="X6500" t="s">
        <v>47312</v>
      </c>
    </row>
    <row r="6501" spans="1:24">
      <c r="A6501">
        <f>HYPERLINK("https://www.philgeps.gov.ph/GEPSNONPILOT/Tender/SplashBidNoticeAbstractUI.aspx?menuIndex=3&amp;refID=7190412&amp;Result=3","7190412")</f>
        <v>0</v>
      </c>
      <c r="B6501" t="s">
        <v>418</v>
      </c>
      <c r="C6501" t="s">
        <v>9961</v>
      </c>
      <c r="D6501" t="s">
        <v>19006</v>
      </c>
      <c r="E6501" t="s">
        <v>24754</v>
      </c>
      <c r="F6501" t="s">
        <v>32606</v>
      </c>
      <c r="G6501" t="s">
        <v>32613</v>
      </c>
      <c r="H6501" t="s">
        <v>32623</v>
      </c>
      <c r="I6501" t="s">
        <v>17648</v>
      </c>
      <c r="J6501" t="s">
        <v>32772</v>
      </c>
      <c r="K6501" t="s">
        <v>42694</v>
      </c>
      <c r="M6501" t="s">
        <v>43322</v>
      </c>
      <c r="N6501" t="s">
        <v>47304</v>
      </c>
      <c r="O6501" t="s">
        <v>47305</v>
      </c>
      <c r="P6501">
        <v>0</v>
      </c>
      <c r="Q6501">
        <v>0</v>
      </c>
      <c r="R6501" t="s">
        <v>47311</v>
      </c>
      <c r="S6501" t="s">
        <v>47443</v>
      </c>
      <c r="T6501" t="s">
        <v>48970</v>
      </c>
      <c r="U6501" t="s">
        <v>54968</v>
      </c>
      <c r="V6501" t="s">
        <v>63262</v>
      </c>
      <c r="W6501" t="s">
        <v>43322</v>
      </c>
      <c r="X6501" t="s">
        <v>47312</v>
      </c>
    </row>
    <row r="6502" spans="1:24">
      <c r="A6502">
        <f>HYPERLINK("https://www.philgeps.gov.ph/GEPSNONPILOT/Tender/SplashBidNoticeAbstractUI.aspx?menuIndex=3&amp;refID=7190411&amp;Result=3","7190411")</f>
        <v>0</v>
      </c>
      <c r="B6502" t="s">
        <v>2152</v>
      </c>
      <c r="C6502" t="s">
        <v>9962</v>
      </c>
      <c r="D6502" t="s">
        <v>19035</v>
      </c>
      <c r="E6502" t="s">
        <v>24755</v>
      </c>
      <c r="F6502" t="s">
        <v>32606</v>
      </c>
      <c r="G6502" t="s">
        <v>32613</v>
      </c>
      <c r="H6502" t="s">
        <v>14201</v>
      </c>
      <c r="I6502" t="s">
        <v>7577</v>
      </c>
      <c r="J6502" t="s">
        <v>36937</v>
      </c>
      <c r="K6502" t="s">
        <v>42622</v>
      </c>
      <c r="M6502" t="s">
        <v>45243</v>
      </c>
      <c r="N6502" t="s">
        <v>47304</v>
      </c>
      <c r="O6502" t="s">
        <v>47305</v>
      </c>
      <c r="P6502">
        <v>0</v>
      </c>
      <c r="Q6502">
        <v>5</v>
      </c>
      <c r="R6502" t="s">
        <v>47311</v>
      </c>
      <c r="S6502" t="s">
        <v>47443</v>
      </c>
      <c r="T6502" t="s">
        <v>49067</v>
      </c>
      <c r="U6502" t="s">
        <v>54969</v>
      </c>
      <c r="W6502" t="s">
        <v>45243</v>
      </c>
      <c r="X6502" t="s">
        <v>47312</v>
      </c>
    </row>
    <row r="6503" spans="1:24">
      <c r="A6503">
        <f>HYPERLINK("https://www.philgeps.gov.ph/GEPSNONPILOT/Tender/SplashBidNoticeAbstractUI.aspx?menuIndex=3&amp;refID=7190422&amp;Result=3","7190422")</f>
        <v>0</v>
      </c>
      <c r="B6503" t="s">
        <v>644</v>
      </c>
      <c r="C6503" t="s">
        <v>9963</v>
      </c>
      <c r="D6503" t="s">
        <v>19022</v>
      </c>
      <c r="E6503" t="s">
        <v>24756</v>
      </c>
      <c r="F6503" t="s">
        <v>32606</v>
      </c>
      <c r="G6503" t="s">
        <v>32614</v>
      </c>
      <c r="H6503" t="s">
        <v>14201</v>
      </c>
      <c r="I6503" t="s">
        <v>32629</v>
      </c>
      <c r="J6503" t="s">
        <v>36938</v>
      </c>
      <c r="K6503" t="s">
        <v>42624</v>
      </c>
      <c r="M6503" t="s">
        <v>44072</v>
      </c>
      <c r="N6503" t="s">
        <v>47304</v>
      </c>
      <c r="O6503" t="s">
        <v>47305</v>
      </c>
      <c r="P6503">
        <v>0</v>
      </c>
      <c r="Q6503">
        <v>0</v>
      </c>
      <c r="R6503" t="s">
        <v>47311</v>
      </c>
      <c r="S6503" t="s">
        <v>47443</v>
      </c>
      <c r="T6503" t="s">
        <v>49331</v>
      </c>
      <c r="U6503" t="s">
        <v>54970</v>
      </c>
      <c r="W6503" t="s">
        <v>44072</v>
      </c>
      <c r="X6503" t="s">
        <v>47312</v>
      </c>
    </row>
    <row r="6504" spans="1:24">
      <c r="A6504">
        <f>HYPERLINK("https://www.philgeps.gov.ph/GEPSNONPILOT/Tender/SplashBidNoticeAbstractUI.aspx?menuIndex=3&amp;refID=7190419&amp;Result=3","7190419")</f>
        <v>0</v>
      </c>
      <c r="B6504" t="s">
        <v>2170</v>
      </c>
      <c r="C6504" t="s">
        <v>9964</v>
      </c>
      <c r="D6504" t="s">
        <v>19006</v>
      </c>
      <c r="E6504" t="s">
        <v>24757</v>
      </c>
      <c r="F6504" t="s">
        <v>32606</v>
      </c>
      <c r="G6504" t="s">
        <v>32614</v>
      </c>
      <c r="H6504" t="s">
        <v>14201</v>
      </c>
      <c r="I6504" t="s">
        <v>32631</v>
      </c>
      <c r="J6504" t="s">
        <v>35966</v>
      </c>
      <c r="K6504" t="s">
        <v>42624</v>
      </c>
      <c r="M6504" t="s">
        <v>45266</v>
      </c>
      <c r="N6504" t="s">
        <v>47304</v>
      </c>
      <c r="O6504" t="s">
        <v>47305</v>
      </c>
      <c r="P6504">
        <v>0</v>
      </c>
      <c r="Q6504">
        <v>2</v>
      </c>
      <c r="R6504" t="s">
        <v>47311</v>
      </c>
      <c r="S6504" t="s">
        <v>47443</v>
      </c>
      <c r="T6504" t="s">
        <v>49050</v>
      </c>
      <c r="U6504" t="s">
        <v>54971</v>
      </c>
      <c r="W6504" t="s">
        <v>45266</v>
      </c>
      <c r="X6504" t="s">
        <v>47312</v>
      </c>
    </row>
    <row r="6505" spans="1:24">
      <c r="A6505">
        <f>HYPERLINK("https://www.philgeps.gov.ph/GEPSNONPILOT/Tender/SplashBidNoticeAbstractUI.aspx?menuIndex=3&amp;refID=7190409&amp;Result=3","7190409")</f>
        <v>0</v>
      </c>
      <c r="B6505" t="s">
        <v>2167</v>
      </c>
      <c r="C6505" t="s">
        <v>9965</v>
      </c>
      <c r="D6505" t="s">
        <v>18993</v>
      </c>
      <c r="E6505" t="s">
        <v>19312</v>
      </c>
      <c r="F6505" t="s">
        <v>32606</v>
      </c>
      <c r="G6505" t="s">
        <v>32613</v>
      </c>
      <c r="H6505" t="s">
        <v>32624</v>
      </c>
      <c r="I6505" t="s">
        <v>6298</v>
      </c>
      <c r="J6505" t="s">
        <v>32765</v>
      </c>
      <c r="K6505" t="s">
        <v>42630</v>
      </c>
      <c r="M6505" t="s">
        <v>45262</v>
      </c>
      <c r="N6505" t="s">
        <v>47304</v>
      </c>
      <c r="O6505" t="s">
        <v>47305</v>
      </c>
      <c r="P6505">
        <v>0</v>
      </c>
      <c r="Q6505">
        <v>4</v>
      </c>
      <c r="R6505" t="s">
        <v>47311</v>
      </c>
      <c r="S6505" t="s">
        <v>47443</v>
      </c>
      <c r="T6505" t="s">
        <v>49012</v>
      </c>
      <c r="U6505" t="s">
        <v>54952</v>
      </c>
      <c r="V6505" t="s">
        <v>63269</v>
      </c>
      <c r="W6505" t="s">
        <v>45262</v>
      </c>
      <c r="X6505" t="s">
        <v>47312</v>
      </c>
    </row>
    <row r="6506" spans="1:24">
      <c r="A6506">
        <f>HYPERLINK("https://www.philgeps.gov.ph/GEPSNONPILOT/Tender/SplashBidNoticeAbstractUI.aspx?menuIndex=3&amp;refID=7190436&amp;Result=3","7190436")</f>
        <v>0</v>
      </c>
      <c r="B6506" t="s">
        <v>341</v>
      </c>
      <c r="C6506" t="s">
        <v>9966</v>
      </c>
      <c r="D6506" t="s">
        <v>19030</v>
      </c>
      <c r="E6506" t="s">
        <v>24758</v>
      </c>
      <c r="F6506" t="s">
        <v>32606</v>
      </c>
      <c r="G6506" t="s">
        <v>32614</v>
      </c>
      <c r="H6506" t="s">
        <v>14201</v>
      </c>
      <c r="I6506" t="s">
        <v>32629</v>
      </c>
      <c r="J6506" t="s">
        <v>36923</v>
      </c>
      <c r="K6506" t="s">
        <v>42631</v>
      </c>
      <c r="M6506" t="s">
        <v>43243</v>
      </c>
      <c r="N6506" t="s">
        <v>47304</v>
      </c>
      <c r="O6506" t="s">
        <v>47305</v>
      </c>
      <c r="P6506">
        <v>0</v>
      </c>
      <c r="Q6506">
        <v>0</v>
      </c>
      <c r="R6506" t="s">
        <v>47311</v>
      </c>
      <c r="S6506" t="s">
        <v>47443</v>
      </c>
      <c r="T6506" t="s">
        <v>49331</v>
      </c>
      <c r="U6506" t="s">
        <v>54972</v>
      </c>
      <c r="W6506" t="s">
        <v>64429</v>
      </c>
      <c r="X6506" t="s">
        <v>47312</v>
      </c>
    </row>
    <row r="6507" spans="1:24">
      <c r="A6507">
        <f>HYPERLINK("https://www.philgeps.gov.ph/GEPSNONPILOT/Tender/SplashBidNoticeAbstractUI.aspx?menuIndex=3&amp;refID=7190408&amp;Result=3","7190408")</f>
        <v>0</v>
      </c>
      <c r="B6507" t="s">
        <v>745</v>
      </c>
      <c r="C6507" t="s">
        <v>9967</v>
      </c>
      <c r="D6507" t="s">
        <v>19043</v>
      </c>
      <c r="E6507" t="s">
        <v>24759</v>
      </c>
      <c r="F6507" t="s">
        <v>32606</v>
      </c>
      <c r="G6507" t="s">
        <v>32613</v>
      </c>
      <c r="H6507" t="s">
        <v>14201</v>
      </c>
      <c r="I6507" t="s">
        <v>32709</v>
      </c>
      <c r="J6507" t="s">
        <v>36939</v>
      </c>
      <c r="K6507" t="s">
        <v>42622</v>
      </c>
      <c r="M6507" t="s">
        <v>43668</v>
      </c>
      <c r="N6507" t="s">
        <v>47304</v>
      </c>
      <c r="O6507" t="s">
        <v>47305</v>
      </c>
      <c r="P6507">
        <v>0</v>
      </c>
      <c r="Q6507">
        <v>0</v>
      </c>
      <c r="R6507" t="s">
        <v>47311</v>
      </c>
      <c r="S6507" t="s">
        <v>47443</v>
      </c>
      <c r="T6507" t="s">
        <v>49160</v>
      </c>
      <c r="U6507" t="s">
        <v>54973</v>
      </c>
      <c r="W6507" t="s">
        <v>43668</v>
      </c>
      <c r="X6507" t="s">
        <v>47312</v>
      </c>
    </row>
    <row r="6508" spans="1:24">
      <c r="A6508">
        <f>HYPERLINK("https://www.philgeps.gov.ph/GEPSNONPILOT/Tender/SplashBidNoticeAbstractUI.aspx?menuIndex=3&amp;refID=7190380&amp;Result=3","7190380")</f>
        <v>0</v>
      </c>
      <c r="B6508" t="s">
        <v>2171</v>
      </c>
      <c r="C6508" t="s">
        <v>9968</v>
      </c>
      <c r="D6508" t="s">
        <v>19044</v>
      </c>
      <c r="E6508" t="s">
        <v>24512</v>
      </c>
      <c r="F6508" t="s">
        <v>32606</v>
      </c>
      <c r="G6508" t="s">
        <v>32613</v>
      </c>
      <c r="H6508" t="s">
        <v>14201</v>
      </c>
      <c r="I6508" t="s">
        <v>6931</v>
      </c>
      <c r="J6508" t="s">
        <v>36940</v>
      </c>
      <c r="K6508" t="s">
        <v>42630</v>
      </c>
      <c r="M6508" t="s">
        <v>45267</v>
      </c>
      <c r="N6508" t="s">
        <v>47304</v>
      </c>
      <c r="O6508" t="s">
        <v>47305</v>
      </c>
      <c r="P6508">
        <v>0</v>
      </c>
      <c r="Q6508">
        <v>0</v>
      </c>
      <c r="R6508" t="s">
        <v>47311</v>
      </c>
      <c r="S6508" t="s">
        <v>47443</v>
      </c>
      <c r="T6508" t="s">
        <v>49050</v>
      </c>
      <c r="U6508" t="s">
        <v>54974</v>
      </c>
      <c r="W6508" t="s">
        <v>45267</v>
      </c>
      <c r="X6508" t="s">
        <v>47312</v>
      </c>
    </row>
    <row r="6509" spans="1:24">
      <c r="A6509">
        <f>HYPERLINK("https://www.philgeps.gov.ph/GEPSNONPILOT/Tender/SplashBidNoticeAbstractUI.aspx?menuIndex=3&amp;refID=7190413&amp;Result=3","7190413")</f>
        <v>0</v>
      </c>
      <c r="B6509" t="s">
        <v>366</v>
      </c>
      <c r="C6509" t="s">
        <v>9969</v>
      </c>
      <c r="D6509" t="s">
        <v>19057</v>
      </c>
      <c r="E6509" t="s">
        <v>24760</v>
      </c>
      <c r="F6509" t="s">
        <v>32606</v>
      </c>
      <c r="G6509" t="s">
        <v>32619</v>
      </c>
      <c r="H6509" t="s">
        <v>14201</v>
      </c>
      <c r="I6509" t="s">
        <v>7577</v>
      </c>
      <c r="J6509" t="s">
        <v>34196</v>
      </c>
      <c r="K6509" t="s">
        <v>42623</v>
      </c>
      <c r="M6509" t="s">
        <v>43268</v>
      </c>
      <c r="N6509" t="s">
        <v>47304</v>
      </c>
      <c r="O6509" t="s">
        <v>47305</v>
      </c>
      <c r="P6509">
        <v>0</v>
      </c>
      <c r="Q6509">
        <v>1</v>
      </c>
      <c r="R6509" t="s">
        <v>47311</v>
      </c>
      <c r="S6509" t="s">
        <v>47443</v>
      </c>
      <c r="T6509" t="s">
        <v>49000</v>
      </c>
      <c r="U6509" t="s">
        <v>54975</v>
      </c>
      <c r="W6509" t="s">
        <v>43268</v>
      </c>
      <c r="X6509" t="s">
        <v>47312</v>
      </c>
    </row>
    <row r="6510" spans="1:24">
      <c r="A6510">
        <f>HYPERLINK("https://www.philgeps.gov.ph/GEPSNONPILOT/Tender/SplashBidNoticeAbstractUI.aspx?menuIndex=3&amp;refID=7190378&amp;Result=3","7190378")</f>
        <v>0</v>
      </c>
      <c r="B6510" t="s">
        <v>644</v>
      </c>
      <c r="C6510" t="s">
        <v>9970</v>
      </c>
      <c r="D6510" t="s">
        <v>19022</v>
      </c>
      <c r="E6510" t="s">
        <v>24761</v>
      </c>
      <c r="F6510" t="s">
        <v>32606</v>
      </c>
      <c r="G6510" t="s">
        <v>32614</v>
      </c>
      <c r="H6510" t="s">
        <v>14201</v>
      </c>
      <c r="I6510" t="s">
        <v>6993</v>
      </c>
      <c r="J6510" t="s">
        <v>36941</v>
      </c>
      <c r="K6510" t="s">
        <v>42624</v>
      </c>
      <c r="M6510" t="s">
        <v>44072</v>
      </c>
      <c r="N6510" t="s">
        <v>47304</v>
      </c>
      <c r="O6510" t="s">
        <v>47305</v>
      </c>
      <c r="P6510">
        <v>0</v>
      </c>
      <c r="Q6510">
        <v>5</v>
      </c>
      <c r="R6510" t="s">
        <v>47311</v>
      </c>
      <c r="S6510" t="s">
        <v>47443</v>
      </c>
      <c r="T6510" t="s">
        <v>49331</v>
      </c>
      <c r="U6510" t="s">
        <v>54976</v>
      </c>
      <c r="W6510" t="s">
        <v>44072</v>
      </c>
      <c r="X6510" t="s">
        <v>47312</v>
      </c>
    </row>
    <row r="6511" spans="1:24">
      <c r="A6511">
        <f>HYPERLINK("https://www.philgeps.gov.ph/GEPSNONPILOT/Tender/SplashBidNoticeAbstractUI.aspx?menuIndex=3&amp;refID=7190470&amp;Result=3","7190470")</f>
        <v>0</v>
      </c>
      <c r="B6511" t="s">
        <v>1586</v>
      </c>
      <c r="C6511" t="s">
        <v>9971</v>
      </c>
      <c r="D6511" t="s">
        <v>19038</v>
      </c>
      <c r="E6511" t="s">
        <v>24762</v>
      </c>
      <c r="F6511" t="s">
        <v>32606</v>
      </c>
      <c r="G6511" t="s">
        <v>32613</v>
      </c>
      <c r="H6511" t="s">
        <v>14201</v>
      </c>
      <c r="I6511" t="s">
        <v>7064</v>
      </c>
      <c r="J6511" t="s">
        <v>34435</v>
      </c>
      <c r="K6511" t="s">
        <v>42630</v>
      </c>
      <c r="M6511" t="s">
        <v>44599</v>
      </c>
      <c r="N6511" t="s">
        <v>47304</v>
      </c>
      <c r="O6511" t="s">
        <v>47305</v>
      </c>
      <c r="P6511">
        <v>0</v>
      </c>
      <c r="Q6511">
        <v>4</v>
      </c>
      <c r="R6511" t="s">
        <v>47311</v>
      </c>
      <c r="S6511" t="s">
        <v>47443</v>
      </c>
      <c r="T6511" t="s">
        <v>48985</v>
      </c>
      <c r="U6511" t="s">
        <v>54977</v>
      </c>
      <c r="W6511" t="s">
        <v>44599</v>
      </c>
      <c r="X6511" t="s">
        <v>47312</v>
      </c>
    </row>
    <row r="6512" spans="1:24">
      <c r="A6512">
        <f>HYPERLINK("https://www.philgeps.gov.ph/GEPSNONPILOT/Tender/SplashBidNoticeAbstractUI.aspx?menuIndex=3&amp;refID=7190469&amp;Result=3","7190469")</f>
        <v>0</v>
      </c>
      <c r="B6512" t="s">
        <v>2172</v>
      </c>
      <c r="C6512" t="s">
        <v>9972</v>
      </c>
      <c r="D6512" t="s">
        <v>19070</v>
      </c>
      <c r="E6512" t="s">
        <v>24763</v>
      </c>
      <c r="F6512" t="s">
        <v>32606</v>
      </c>
      <c r="G6512" t="s">
        <v>32614</v>
      </c>
      <c r="H6512" t="s">
        <v>14201</v>
      </c>
      <c r="I6512" t="s">
        <v>32629</v>
      </c>
      <c r="J6512" t="s">
        <v>36942</v>
      </c>
      <c r="K6512" t="s">
        <v>42622</v>
      </c>
      <c r="M6512" t="s">
        <v>45268</v>
      </c>
      <c r="N6512" t="s">
        <v>47304</v>
      </c>
      <c r="O6512" t="s">
        <v>47305</v>
      </c>
      <c r="P6512">
        <v>0</v>
      </c>
      <c r="Q6512">
        <v>0</v>
      </c>
      <c r="R6512" t="s">
        <v>47311</v>
      </c>
      <c r="S6512" t="s">
        <v>47443</v>
      </c>
      <c r="T6512" t="s">
        <v>48980</v>
      </c>
      <c r="U6512" t="s">
        <v>54978</v>
      </c>
      <c r="W6512" t="s">
        <v>45268</v>
      </c>
      <c r="X6512" t="s">
        <v>47312</v>
      </c>
    </row>
    <row r="6513" spans="1:24">
      <c r="A6513">
        <f>HYPERLINK("https://www.philgeps.gov.ph/GEPSNONPILOT/Tender/SplashBidNoticeAbstractUI.aspx?menuIndex=3&amp;refID=7190466&amp;Result=3","7190466")</f>
        <v>0</v>
      </c>
      <c r="B6513" t="s">
        <v>81</v>
      </c>
      <c r="C6513" t="s">
        <v>9973</v>
      </c>
      <c r="D6513" t="s">
        <v>18995</v>
      </c>
      <c r="E6513" t="s">
        <v>24764</v>
      </c>
      <c r="F6513" t="s">
        <v>32606</v>
      </c>
      <c r="G6513" t="s">
        <v>32613</v>
      </c>
      <c r="H6513" t="s">
        <v>32623</v>
      </c>
      <c r="I6513" t="s">
        <v>17648</v>
      </c>
      <c r="J6513" t="s">
        <v>36943</v>
      </c>
      <c r="K6513" t="s">
        <v>42624</v>
      </c>
      <c r="M6513" t="s">
        <v>42978</v>
      </c>
      <c r="N6513" t="s">
        <v>47304</v>
      </c>
      <c r="O6513" t="s">
        <v>47305</v>
      </c>
      <c r="P6513">
        <v>0</v>
      </c>
      <c r="Q6513">
        <v>1</v>
      </c>
      <c r="R6513" t="s">
        <v>47311</v>
      </c>
      <c r="S6513" t="s">
        <v>47443</v>
      </c>
      <c r="T6513" t="s">
        <v>49080</v>
      </c>
      <c r="U6513" t="s">
        <v>54979</v>
      </c>
      <c r="W6513" t="s">
        <v>42978</v>
      </c>
      <c r="X6513" t="s">
        <v>47312</v>
      </c>
    </row>
    <row r="6514" spans="1:24">
      <c r="A6514">
        <f>HYPERLINK("https://www.philgeps.gov.ph/GEPSNONPILOT/Tender/SplashBidNoticeAbstractUI.aspx?menuIndex=3&amp;refID=7190465&amp;Result=3","7190465")</f>
        <v>0</v>
      </c>
      <c r="B6514" t="s">
        <v>2173</v>
      </c>
      <c r="C6514" t="s">
        <v>9974</v>
      </c>
      <c r="D6514" t="s">
        <v>19003</v>
      </c>
      <c r="E6514" t="s">
        <v>24765</v>
      </c>
      <c r="F6514" t="s">
        <v>32606</v>
      </c>
      <c r="G6514" t="s">
        <v>32613</v>
      </c>
      <c r="H6514" t="s">
        <v>14201</v>
      </c>
      <c r="I6514" t="s">
        <v>6298</v>
      </c>
      <c r="J6514" t="s">
        <v>36944</v>
      </c>
      <c r="K6514" t="s">
        <v>42630</v>
      </c>
      <c r="M6514" t="s">
        <v>45269</v>
      </c>
      <c r="N6514" t="s">
        <v>47304</v>
      </c>
      <c r="O6514" t="s">
        <v>47305</v>
      </c>
      <c r="P6514">
        <v>0</v>
      </c>
      <c r="Q6514">
        <v>1</v>
      </c>
      <c r="R6514" t="s">
        <v>47311</v>
      </c>
      <c r="S6514" t="s">
        <v>47443</v>
      </c>
      <c r="T6514" t="s">
        <v>48979</v>
      </c>
      <c r="U6514" t="s">
        <v>54980</v>
      </c>
      <c r="W6514" t="s">
        <v>45269</v>
      </c>
      <c r="X6514" t="s">
        <v>47312</v>
      </c>
    </row>
    <row r="6515" spans="1:24">
      <c r="A6515">
        <f>HYPERLINK("https://www.philgeps.gov.ph/GEPSNONPILOT/Tender/SplashBidNoticeAbstractUI.aspx?menuIndex=3&amp;refID=7190410&amp;Result=3","7190410")</f>
        <v>0</v>
      </c>
      <c r="B6515" t="s">
        <v>2174</v>
      </c>
      <c r="C6515" t="s">
        <v>9975</v>
      </c>
      <c r="D6515" t="s">
        <v>19032</v>
      </c>
      <c r="E6515" t="s">
        <v>19233</v>
      </c>
      <c r="F6515" t="s">
        <v>32606</v>
      </c>
      <c r="G6515" t="s">
        <v>32613</v>
      </c>
      <c r="H6515" t="s">
        <v>32623</v>
      </c>
      <c r="I6515" t="s">
        <v>17648</v>
      </c>
      <c r="J6515" t="s">
        <v>36945</v>
      </c>
      <c r="K6515" t="s">
        <v>42623</v>
      </c>
      <c r="M6515" t="s">
        <v>45270</v>
      </c>
      <c r="N6515" t="s">
        <v>47304</v>
      </c>
      <c r="O6515" t="s">
        <v>47305</v>
      </c>
      <c r="P6515">
        <v>0</v>
      </c>
      <c r="Q6515">
        <v>0</v>
      </c>
      <c r="R6515" t="s">
        <v>47311</v>
      </c>
      <c r="S6515" t="s">
        <v>47443</v>
      </c>
      <c r="T6515" t="s">
        <v>48979</v>
      </c>
      <c r="U6515" t="s">
        <v>54981</v>
      </c>
      <c r="W6515" t="s">
        <v>45270</v>
      </c>
      <c r="X6515" t="s">
        <v>47312</v>
      </c>
    </row>
    <row r="6516" spans="1:24">
      <c r="A6516">
        <f>HYPERLINK("https://www.philgeps.gov.ph/GEPSNONPILOT/Tender/SplashBidNoticeAbstractUI.aspx?menuIndex=3&amp;refID=7190464&amp;Result=3","7190464")</f>
        <v>0</v>
      </c>
      <c r="B6516" t="s">
        <v>2175</v>
      </c>
      <c r="C6516" t="s">
        <v>9976</v>
      </c>
      <c r="D6516" t="s">
        <v>19008</v>
      </c>
      <c r="E6516" t="s">
        <v>24766</v>
      </c>
      <c r="F6516" t="s">
        <v>32606</v>
      </c>
      <c r="G6516" t="s">
        <v>32619</v>
      </c>
      <c r="H6516" t="s">
        <v>14201</v>
      </c>
      <c r="I6516" t="s">
        <v>4114</v>
      </c>
      <c r="J6516" t="s">
        <v>36946</v>
      </c>
      <c r="K6516" t="s">
        <v>42623</v>
      </c>
      <c r="M6516" t="s">
        <v>45271</v>
      </c>
      <c r="N6516" t="s">
        <v>47304</v>
      </c>
      <c r="O6516" t="s">
        <v>47305</v>
      </c>
      <c r="P6516">
        <v>0</v>
      </c>
      <c r="Q6516">
        <v>4</v>
      </c>
      <c r="R6516" t="s">
        <v>47311</v>
      </c>
      <c r="S6516" t="s">
        <v>47443</v>
      </c>
      <c r="T6516" t="s">
        <v>49014</v>
      </c>
      <c r="U6516" t="s">
        <v>54982</v>
      </c>
      <c r="W6516" t="s">
        <v>45271</v>
      </c>
      <c r="X6516" t="s">
        <v>47312</v>
      </c>
    </row>
    <row r="6517" spans="1:24">
      <c r="A6517">
        <f>HYPERLINK("https://www.philgeps.gov.ph/GEPSNONPILOT/Tender/SplashBidNoticeAbstractUI.aspx?menuIndex=3&amp;refID=7190460&amp;Result=3","7190460")</f>
        <v>0</v>
      </c>
      <c r="B6517" t="s">
        <v>44</v>
      </c>
      <c r="C6517" t="s">
        <v>9977</v>
      </c>
      <c r="D6517" t="s">
        <v>19001</v>
      </c>
      <c r="E6517" t="s">
        <v>24767</v>
      </c>
      <c r="F6517" t="s">
        <v>32606</v>
      </c>
      <c r="G6517" t="s">
        <v>32614</v>
      </c>
      <c r="H6517" t="s">
        <v>14201</v>
      </c>
      <c r="I6517" t="s">
        <v>32640</v>
      </c>
      <c r="J6517" t="s">
        <v>35602</v>
      </c>
      <c r="K6517" t="s">
        <v>42631</v>
      </c>
      <c r="M6517" t="s">
        <v>45272</v>
      </c>
      <c r="N6517" t="s">
        <v>47304</v>
      </c>
      <c r="O6517" t="s">
        <v>47305</v>
      </c>
      <c r="P6517">
        <v>0</v>
      </c>
      <c r="Q6517">
        <v>5</v>
      </c>
      <c r="R6517" t="s">
        <v>47311</v>
      </c>
      <c r="S6517" t="s">
        <v>47443</v>
      </c>
      <c r="T6517" t="s">
        <v>49257</v>
      </c>
      <c r="U6517" t="s">
        <v>54983</v>
      </c>
      <c r="V6517" t="s">
        <v>63271</v>
      </c>
      <c r="W6517" t="s">
        <v>45272</v>
      </c>
      <c r="X6517" t="s">
        <v>47312</v>
      </c>
    </row>
    <row r="6518" spans="1:24">
      <c r="A6518">
        <f>HYPERLINK("https://www.philgeps.gov.ph/GEPSNONPILOT/Tender/SplashBidNoticeAbstractUI.aspx?menuIndex=3&amp;refID=7190382&amp;Result=3","7190382")</f>
        <v>0</v>
      </c>
      <c r="B6518" t="s">
        <v>1406</v>
      </c>
      <c r="C6518" t="s">
        <v>9978</v>
      </c>
      <c r="D6518" t="s">
        <v>19019</v>
      </c>
      <c r="E6518" t="s">
        <v>24768</v>
      </c>
      <c r="F6518" t="s">
        <v>32606</v>
      </c>
      <c r="G6518" t="s">
        <v>32613</v>
      </c>
      <c r="H6518" t="s">
        <v>14201</v>
      </c>
      <c r="I6518" t="s">
        <v>7064</v>
      </c>
      <c r="J6518" t="s">
        <v>33231</v>
      </c>
      <c r="K6518" t="s">
        <v>42675</v>
      </c>
      <c r="M6518" t="s">
        <v>44392</v>
      </c>
      <c r="N6518" t="s">
        <v>47304</v>
      </c>
      <c r="O6518" t="s">
        <v>47305</v>
      </c>
      <c r="P6518">
        <v>0</v>
      </c>
      <c r="Q6518">
        <v>5</v>
      </c>
      <c r="R6518" t="s">
        <v>47311</v>
      </c>
      <c r="S6518" t="s">
        <v>47443</v>
      </c>
      <c r="T6518" t="s">
        <v>49097</v>
      </c>
      <c r="U6518" t="s">
        <v>54984</v>
      </c>
      <c r="W6518" t="s">
        <v>44392</v>
      </c>
      <c r="X6518" t="s">
        <v>47312</v>
      </c>
    </row>
    <row r="6519" spans="1:24">
      <c r="A6519">
        <f>HYPERLINK("https://www.philgeps.gov.ph/GEPSNONPILOT/Tender/SplashBidNoticeAbstractUI.aspx?menuIndex=3&amp;refID=7190453&amp;Result=3","7190453")</f>
        <v>0</v>
      </c>
      <c r="B6519" t="s">
        <v>192</v>
      </c>
      <c r="C6519" t="s">
        <v>9979</v>
      </c>
      <c r="D6519" t="s">
        <v>19016</v>
      </c>
      <c r="E6519" t="s">
        <v>24769</v>
      </c>
      <c r="F6519" t="s">
        <v>32606</v>
      </c>
      <c r="G6519" t="s">
        <v>32619</v>
      </c>
      <c r="H6519" t="s">
        <v>14201</v>
      </c>
      <c r="I6519" t="s">
        <v>4112</v>
      </c>
      <c r="J6519" t="s">
        <v>32759</v>
      </c>
      <c r="K6519" t="s">
        <v>42624</v>
      </c>
      <c r="M6519" t="s">
        <v>43093</v>
      </c>
      <c r="N6519" t="s">
        <v>47304</v>
      </c>
      <c r="O6519" t="s">
        <v>47305</v>
      </c>
      <c r="P6519">
        <v>0</v>
      </c>
      <c r="Q6519">
        <v>0</v>
      </c>
      <c r="R6519" t="s">
        <v>47311</v>
      </c>
      <c r="S6519" t="s">
        <v>47443</v>
      </c>
      <c r="T6519" t="s">
        <v>49269</v>
      </c>
      <c r="U6519" t="s">
        <v>49889</v>
      </c>
      <c r="V6519" t="s">
        <v>62691</v>
      </c>
      <c r="W6519" t="s">
        <v>43093</v>
      </c>
      <c r="X6519" t="s">
        <v>47312</v>
      </c>
    </row>
    <row r="6520" spans="1:24">
      <c r="A6520">
        <f>HYPERLINK("https://www.philgeps.gov.ph/GEPSNONPILOT/Tender/SplashBidNoticeAbstractUI.aspx?menuIndex=3&amp;refID=7190429&amp;Result=3","7190429")</f>
        <v>0</v>
      </c>
      <c r="B6520" t="s">
        <v>2176</v>
      </c>
      <c r="C6520" t="s">
        <v>9980</v>
      </c>
      <c r="D6520" t="s">
        <v>18993</v>
      </c>
      <c r="E6520" t="s">
        <v>19940</v>
      </c>
      <c r="F6520" t="s">
        <v>32608</v>
      </c>
      <c r="G6520" t="s">
        <v>32613</v>
      </c>
      <c r="H6520" t="s">
        <v>14201</v>
      </c>
      <c r="I6520" t="s">
        <v>6298</v>
      </c>
      <c r="J6520" t="s">
        <v>33529</v>
      </c>
      <c r="K6520" t="s">
        <v>42631</v>
      </c>
      <c r="M6520" t="s">
        <v>45273</v>
      </c>
      <c r="N6520" t="s">
        <v>47304</v>
      </c>
      <c r="O6520" t="s">
        <v>47305</v>
      </c>
      <c r="P6520">
        <v>0</v>
      </c>
      <c r="Q6520">
        <v>1</v>
      </c>
      <c r="R6520" t="s">
        <v>47311</v>
      </c>
      <c r="S6520" t="s">
        <v>47443</v>
      </c>
      <c r="T6520" t="s">
        <v>49127</v>
      </c>
      <c r="U6520" t="s">
        <v>54985</v>
      </c>
      <c r="W6520" t="s">
        <v>45273</v>
      </c>
      <c r="X6520" t="s">
        <v>47312</v>
      </c>
    </row>
    <row r="6521" spans="1:24">
      <c r="A6521">
        <f>HYPERLINK("https://www.philgeps.gov.ph/GEPSNONPILOT/Tender/SplashBidNoticeAbstractUI.aspx?menuIndex=3&amp;refID=7190447&amp;Result=3","7190447")</f>
        <v>0</v>
      </c>
      <c r="B6521" t="s">
        <v>2177</v>
      </c>
      <c r="C6521" t="s">
        <v>9981</v>
      </c>
      <c r="D6521" t="s">
        <v>19020</v>
      </c>
      <c r="E6521" t="s">
        <v>24770</v>
      </c>
      <c r="F6521" t="s">
        <v>32606</v>
      </c>
      <c r="G6521" t="s">
        <v>32613</v>
      </c>
      <c r="H6521" t="s">
        <v>32623</v>
      </c>
      <c r="I6521" t="s">
        <v>32659</v>
      </c>
      <c r="J6521" t="s">
        <v>32923</v>
      </c>
      <c r="K6521" t="s">
        <v>42636</v>
      </c>
      <c r="M6521" t="s">
        <v>45274</v>
      </c>
      <c r="N6521" t="s">
        <v>47304</v>
      </c>
      <c r="O6521" t="s">
        <v>47305</v>
      </c>
      <c r="P6521">
        <v>0</v>
      </c>
      <c r="Q6521">
        <v>0</v>
      </c>
      <c r="R6521" t="s">
        <v>47311</v>
      </c>
      <c r="S6521" t="s">
        <v>47443</v>
      </c>
      <c r="T6521" t="s">
        <v>49351</v>
      </c>
      <c r="U6521" t="s">
        <v>54986</v>
      </c>
      <c r="W6521" t="s">
        <v>45274</v>
      </c>
      <c r="X6521" t="s">
        <v>47312</v>
      </c>
    </row>
    <row r="6522" spans="1:24">
      <c r="A6522">
        <f>HYPERLINK("https://www.philgeps.gov.ph/GEPSNONPILOT/Tender/SplashBidNoticeAbstractUI.aspx?menuIndex=3&amp;refID=7190444&amp;Result=3","7190444")</f>
        <v>0</v>
      </c>
      <c r="B6522" t="s">
        <v>2165</v>
      </c>
      <c r="C6522" t="s">
        <v>6082</v>
      </c>
      <c r="D6522" t="s">
        <v>19065</v>
      </c>
      <c r="E6522" t="s">
        <v>24771</v>
      </c>
      <c r="F6522" t="s">
        <v>32606</v>
      </c>
      <c r="G6522" t="s">
        <v>32614</v>
      </c>
      <c r="H6522" t="s">
        <v>14201</v>
      </c>
      <c r="I6522" t="s">
        <v>6007</v>
      </c>
      <c r="J6522" t="s">
        <v>36947</v>
      </c>
      <c r="K6522" t="s">
        <v>42624</v>
      </c>
      <c r="M6522" t="s">
        <v>45259</v>
      </c>
      <c r="N6522" t="s">
        <v>47304</v>
      </c>
      <c r="O6522" t="s">
        <v>47305</v>
      </c>
      <c r="P6522">
        <v>0</v>
      </c>
      <c r="Q6522">
        <v>0</v>
      </c>
      <c r="R6522" t="s">
        <v>47311</v>
      </c>
      <c r="S6522" t="s">
        <v>47443</v>
      </c>
      <c r="T6522" t="s">
        <v>48997</v>
      </c>
      <c r="U6522" t="s">
        <v>54987</v>
      </c>
      <c r="W6522" t="s">
        <v>45259</v>
      </c>
      <c r="X6522" t="s">
        <v>47312</v>
      </c>
    </row>
    <row r="6523" spans="1:24">
      <c r="A6523">
        <f>HYPERLINK("https://www.philgeps.gov.ph/GEPSNONPILOT/Tender/SplashBidNoticeAbstractUI.aspx?menuIndex=3&amp;refID=7190443&amp;Result=3","7190443")</f>
        <v>0</v>
      </c>
      <c r="B6523" t="s">
        <v>2178</v>
      </c>
      <c r="C6523" t="s">
        <v>9982</v>
      </c>
      <c r="D6523" t="s">
        <v>19037</v>
      </c>
      <c r="E6523" t="s">
        <v>24772</v>
      </c>
      <c r="F6523" t="s">
        <v>32606</v>
      </c>
      <c r="G6523" t="s">
        <v>32613</v>
      </c>
      <c r="H6523" t="s">
        <v>32623</v>
      </c>
      <c r="I6523" t="s">
        <v>17648</v>
      </c>
      <c r="J6523" t="s">
        <v>32789</v>
      </c>
      <c r="K6523" t="s">
        <v>42623</v>
      </c>
      <c r="M6523" t="s">
        <v>45275</v>
      </c>
      <c r="N6523" t="s">
        <v>47304</v>
      </c>
      <c r="O6523" t="s">
        <v>47305</v>
      </c>
      <c r="P6523">
        <v>0</v>
      </c>
      <c r="Q6523">
        <v>1</v>
      </c>
      <c r="R6523" t="s">
        <v>47311</v>
      </c>
      <c r="S6523" t="s">
        <v>47443</v>
      </c>
      <c r="T6523" t="s">
        <v>49158</v>
      </c>
      <c r="U6523" t="s">
        <v>54988</v>
      </c>
      <c r="W6523" t="s">
        <v>45275</v>
      </c>
      <c r="X6523" t="s">
        <v>47312</v>
      </c>
    </row>
    <row r="6524" spans="1:24">
      <c r="A6524">
        <f>HYPERLINK("https://www.philgeps.gov.ph/GEPSNONPILOT/Tender/SplashBidNoticeAbstractUI.aspx?menuIndex=3&amp;refID=7190442&amp;Result=3","7190442")</f>
        <v>0</v>
      </c>
      <c r="B6524" t="s">
        <v>2176</v>
      </c>
      <c r="C6524" t="s">
        <v>9983</v>
      </c>
      <c r="D6524" t="s">
        <v>18993</v>
      </c>
      <c r="E6524" t="s">
        <v>19940</v>
      </c>
      <c r="F6524" t="s">
        <v>32608</v>
      </c>
      <c r="G6524" t="s">
        <v>32613</v>
      </c>
      <c r="H6524" t="s">
        <v>14201</v>
      </c>
      <c r="I6524" t="s">
        <v>6298</v>
      </c>
      <c r="J6524" t="s">
        <v>33941</v>
      </c>
      <c r="K6524" t="s">
        <v>42631</v>
      </c>
      <c r="M6524" t="s">
        <v>45273</v>
      </c>
      <c r="N6524" t="s">
        <v>47304</v>
      </c>
      <c r="O6524" t="s">
        <v>47305</v>
      </c>
      <c r="P6524">
        <v>0</v>
      </c>
      <c r="Q6524">
        <v>2</v>
      </c>
      <c r="R6524" t="s">
        <v>47311</v>
      </c>
      <c r="S6524" t="s">
        <v>47443</v>
      </c>
      <c r="T6524" t="s">
        <v>49127</v>
      </c>
      <c r="U6524" t="s">
        <v>54989</v>
      </c>
      <c r="W6524" t="s">
        <v>45273</v>
      </c>
      <c r="X6524" t="s">
        <v>47312</v>
      </c>
    </row>
    <row r="6525" spans="1:24">
      <c r="A6525">
        <f>HYPERLINK("https://www.philgeps.gov.ph/GEPSNONPILOT/Tender/SplashBidNoticeAbstractUI.aspx?menuIndex=3&amp;refID=7190441&amp;Result=3","7190441")</f>
        <v>0</v>
      </c>
      <c r="B6525" t="s">
        <v>2179</v>
      </c>
      <c r="C6525" t="s">
        <v>9984</v>
      </c>
      <c r="D6525" t="s">
        <v>18992</v>
      </c>
      <c r="E6525" t="s">
        <v>24773</v>
      </c>
      <c r="F6525" t="s">
        <v>32606</v>
      </c>
      <c r="G6525" t="s">
        <v>32615</v>
      </c>
      <c r="H6525" t="s">
        <v>14201</v>
      </c>
      <c r="I6525" t="s">
        <v>32640</v>
      </c>
      <c r="J6525" t="s">
        <v>34485</v>
      </c>
      <c r="K6525" t="s">
        <v>42623</v>
      </c>
      <c r="M6525" t="s">
        <v>45276</v>
      </c>
      <c r="N6525" t="s">
        <v>47304</v>
      </c>
      <c r="O6525" t="s">
        <v>47305</v>
      </c>
      <c r="P6525">
        <v>0</v>
      </c>
      <c r="Q6525">
        <v>2</v>
      </c>
      <c r="R6525" t="s">
        <v>47311</v>
      </c>
      <c r="S6525" t="s">
        <v>47443</v>
      </c>
      <c r="T6525" t="s">
        <v>49068</v>
      </c>
      <c r="U6525" t="s">
        <v>54990</v>
      </c>
      <c r="W6525" t="s">
        <v>45276</v>
      </c>
      <c r="X6525" t="s">
        <v>47312</v>
      </c>
    </row>
    <row r="6526" spans="1:24">
      <c r="A6526">
        <f>HYPERLINK("https://www.philgeps.gov.ph/GEPSNONPILOT/Tender/SplashBidNoticeAbstractUI.aspx?menuIndex=3&amp;refID=7190440&amp;Result=3","7190440")</f>
        <v>0</v>
      </c>
      <c r="B6526" t="s">
        <v>2180</v>
      </c>
      <c r="C6526" t="s">
        <v>9985</v>
      </c>
      <c r="D6526" t="s">
        <v>19013</v>
      </c>
      <c r="E6526" t="s">
        <v>24774</v>
      </c>
      <c r="F6526" t="s">
        <v>32606</v>
      </c>
      <c r="G6526" t="s">
        <v>32613</v>
      </c>
      <c r="H6526" t="s">
        <v>14201</v>
      </c>
      <c r="I6526" t="s">
        <v>32650</v>
      </c>
      <c r="J6526" t="s">
        <v>32868</v>
      </c>
      <c r="K6526" t="s">
        <v>42629</v>
      </c>
      <c r="M6526" t="s">
        <v>45277</v>
      </c>
      <c r="N6526" t="s">
        <v>47304</v>
      </c>
      <c r="O6526" t="s">
        <v>47305</v>
      </c>
      <c r="P6526">
        <v>0</v>
      </c>
      <c r="Q6526">
        <v>0</v>
      </c>
      <c r="R6526" t="s">
        <v>47311</v>
      </c>
      <c r="S6526" t="s">
        <v>47443</v>
      </c>
      <c r="T6526" t="s">
        <v>49196</v>
      </c>
      <c r="U6526" t="s">
        <v>54991</v>
      </c>
      <c r="W6526" t="s">
        <v>45277</v>
      </c>
      <c r="X6526" t="s">
        <v>47312</v>
      </c>
    </row>
    <row r="6527" spans="1:24">
      <c r="A6527">
        <f>HYPERLINK("https://www.philgeps.gov.ph/GEPSNONPILOT/Tender/SplashBidNoticeAbstractUI.aspx?menuIndex=3&amp;refID=7190519&amp;Result=3","7190519")</f>
        <v>0</v>
      </c>
      <c r="B6527" t="s">
        <v>745</v>
      </c>
      <c r="C6527" t="s">
        <v>9986</v>
      </c>
      <c r="D6527" t="s">
        <v>19043</v>
      </c>
      <c r="E6527" t="s">
        <v>24775</v>
      </c>
      <c r="F6527" t="s">
        <v>32606</v>
      </c>
      <c r="G6527" t="s">
        <v>32613</v>
      </c>
      <c r="H6527" t="s">
        <v>14201</v>
      </c>
      <c r="I6527" t="s">
        <v>6931</v>
      </c>
      <c r="J6527" t="s">
        <v>36948</v>
      </c>
      <c r="K6527" t="s">
        <v>42622</v>
      </c>
      <c r="M6527" t="s">
        <v>43668</v>
      </c>
      <c r="N6527" t="s">
        <v>47304</v>
      </c>
      <c r="O6527" t="s">
        <v>47305</v>
      </c>
      <c r="P6527">
        <v>0</v>
      </c>
      <c r="Q6527">
        <v>0</v>
      </c>
      <c r="R6527" t="s">
        <v>47311</v>
      </c>
      <c r="S6527" t="s">
        <v>47443</v>
      </c>
      <c r="T6527" t="s">
        <v>49160</v>
      </c>
      <c r="U6527" t="s">
        <v>54992</v>
      </c>
      <c r="W6527" t="s">
        <v>43668</v>
      </c>
      <c r="X6527" t="s">
        <v>47312</v>
      </c>
    </row>
    <row r="6528" spans="1:24">
      <c r="A6528">
        <f>HYPERLINK("https://www.philgeps.gov.ph/GEPSNONPILOT/Tender/SplashBidNoticeAbstractUI.aspx?menuIndex=3&amp;refID=7190517&amp;Result=3","7190517")</f>
        <v>0</v>
      </c>
      <c r="B6528" t="s">
        <v>295</v>
      </c>
      <c r="C6528" t="s">
        <v>9987</v>
      </c>
      <c r="D6528" t="s">
        <v>19033</v>
      </c>
      <c r="E6528" t="s">
        <v>9987</v>
      </c>
      <c r="F6528" t="s">
        <v>32606</v>
      </c>
      <c r="G6528" t="s">
        <v>32614</v>
      </c>
      <c r="H6528" t="s">
        <v>32625</v>
      </c>
      <c r="I6528" t="s">
        <v>32652</v>
      </c>
      <c r="J6528" t="s">
        <v>32813</v>
      </c>
      <c r="K6528" t="s">
        <v>42631</v>
      </c>
      <c r="M6528" t="s">
        <v>43197</v>
      </c>
      <c r="N6528" t="s">
        <v>47304</v>
      </c>
      <c r="O6528" t="s">
        <v>47305</v>
      </c>
      <c r="P6528">
        <v>0</v>
      </c>
      <c r="Q6528">
        <v>0</v>
      </c>
      <c r="R6528" t="s">
        <v>47311</v>
      </c>
      <c r="S6528" t="s">
        <v>47443</v>
      </c>
      <c r="T6528" t="s">
        <v>49024</v>
      </c>
      <c r="U6528" t="s">
        <v>54993</v>
      </c>
      <c r="W6528" t="s">
        <v>43197</v>
      </c>
      <c r="X6528" t="s">
        <v>47312</v>
      </c>
    </row>
    <row r="6529" spans="1:24">
      <c r="A6529">
        <f>HYPERLINK("https://www.philgeps.gov.ph/GEPSNONPILOT/Tender/SplashBidNoticeAbstractUI.aspx?menuIndex=3&amp;refID=7190471&amp;Result=3","7190471")</f>
        <v>0</v>
      </c>
      <c r="B6529" t="s">
        <v>192</v>
      </c>
      <c r="C6529" t="s">
        <v>9988</v>
      </c>
      <c r="D6529" t="s">
        <v>19016</v>
      </c>
      <c r="E6529" t="s">
        <v>24776</v>
      </c>
      <c r="F6529" t="s">
        <v>32606</v>
      </c>
      <c r="G6529" t="s">
        <v>32619</v>
      </c>
      <c r="H6529" t="s">
        <v>14201</v>
      </c>
      <c r="I6529" t="s">
        <v>4112</v>
      </c>
      <c r="J6529" t="s">
        <v>32824</v>
      </c>
      <c r="K6529" t="s">
        <v>42624</v>
      </c>
      <c r="M6529" t="s">
        <v>43093</v>
      </c>
      <c r="N6529" t="s">
        <v>47304</v>
      </c>
      <c r="O6529" t="s">
        <v>47305</v>
      </c>
      <c r="P6529">
        <v>0</v>
      </c>
      <c r="Q6529">
        <v>0</v>
      </c>
      <c r="R6529" t="s">
        <v>47311</v>
      </c>
      <c r="S6529" t="s">
        <v>47443</v>
      </c>
      <c r="T6529" t="s">
        <v>49269</v>
      </c>
      <c r="U6529" t="s">
        <v>52944</v>
      </c>
      <c r="V6529" t="s">
        <v>62691</v>
      </c>
      <c r="W6529" t="s">
        <v>43093</v>
      </c>
      <c r="X6529" t="s">
        <v>47312</v>
      </c>
    </row>
    <row r="6530" spans="1:24">
      <c r="A6530">
        <f>HYPERLINK("https://www.philgeps.gov.ph/GEPSNONPILOT/Tender/SplashBidNoticeAbstractUI.aspx?menuIndex=3&amp;refID=7190504&amp;Result=3","7190504")</f>
        <v>0</v>
      </c>
      <c r="B6530" t="s">
        <v>828</v>
      </c>
      <c r="C6530" t="s">
        <v>9989</v>
      </c>
      <c r="D6530" t="s">
        <v>19030</v>
      </c>
      <c r="E6530" t="s">
        <v>24777</v>
      </c>
      <c r="F6530" t="s">
        <v>32606</v>
      </c>
      <c r="G6530" t="s">
        <v>32613</v>
      </c>
      <c r="H6530" t="s">
        <v>14201</v>
      </c>
      <c r="I6530" t="s">
        <v>6298</v>
      </c>
      <c r="J6530" t="s">
        <v>36949</v>
      </c>
      <c r="K6530" t="s">
        <v>42630</v>
      </c>
      <c r="M6530" t="s">
        <v>43759</v>
      </c>
      <c r="N6530" t="s">
        <v>47304</v>
      </c>
      <c r="O6530" t="s">
        <v>47305</v>
      </c>
      <c r="Q6530">
        <v>0</v>
      </c>
      <c r="R6530" t="s">
        <v>47311</v>
      </c>
      <c r="S6530" t="s">
        <v>47450</v>
      </c>
      <c r="T6530" t="s">
        <v>49017</v>
      </c>
      <c r="U6530" t="s">
        <v>54994</v>
      </c>
      <c r="V6530" t="s">
        <v>63272</v>
      </c>
      <c r="W6530" t="s">
        <v>43759</v>
      </c>
      <c r="X6530" t="s">
        <v>47312</v>
      </c>
    </row>
    <row r="6531" spans="1:24">
      <c r="A6531">
        <f>HYPERLINK("https://www.philgeps.gov.ph/GEPSNONPILOT/Tender/SplashBidNoticeAbstractUI.aspx?menuIndex=3&amp;refID=7190446&amp;Result=3","7190446")</f>
        <v>0</v>
      </c>
      <c r="B6531" t="s">
        <v>2153</v>
      </c>
      <c r="C6531" t="s">
        <v>9990</v>
      </c>
      <c r="D6531" t="s">
        <v>18993</v>
      </c>
      <c r="E6531" t="s">
        <v>20959</v>
      </c>
      <c r="F6531" t="s">
        <v>32606</v>
      </c>
      <c r="G6531" t="s">
        <v>32613</v>
      </c>
      <c r="H6531" t="s">
        <v>14201</v>
      </c>
      <c r="I6531" t="s">
        <v>32675</v>
      </c>
      <c r="J6531" t="s">
        <v>32789</v>
      </c>
      <c r="K6531" t="s">
        <v>42630</v>
      </c>
      <c r="M6531" t="s">
        <v>45244</v>
      </c>
      <c r="N6531" t="s">
        <v>47304</v>
      </c>
      <c r="O6531" t="s">
        <v>47305</v>
      </c>
      <c r="P6531">
        <v>0</v>
      </c>
      <c r="Q6531">
        <v>1</v>
      </c>
      <c r="R6531" t="s">
        <v>47311</v>
      </c>
      <c r="S6531" t="s">
        <v>47443</v>
      </c>
      <c r="T6531" t="s">
        <v>48997</v>
      </c>
      <c r="U6531" t="s">
        <v>54995</v>
      </c>
      <c r="W6531" t="s">
        <v>45244</v>
      </c>
      <c r="X6531" t="s">
        <v>47312</v>
      </c>
    </row>
    <row r="6532" spans="1:24">
      <c r="A6532">
        <f>HYPERLINK("https://www.philgeps.gov.ph/GEPSNONPILOT/Tender/SplashBidNoticeAbstractUI.aspx?menuIndex=3&amp;refID=7190501&amp;Result=3","7190501")</f>
        <v>0</v>
      </c>
      <c r="B6532" t="s">
        <v>869</v>
      </c>
      <c r="C6532" t="s">
        <v>9991</v>
      </c>
      <c r="E6532" t="s">
        <v>24778</v>
      </c>
      <c r="F6532" t="s">
        <v>32606</v>
      </c>
      <c r="G6532" t="s">
        <v>32613</v>
      </c>
      <c r="H6532" t="s">
        <v>14201</v>
      </c>
      <c r="I6532" t="s">
        <v>32662</v>
      </c>
      <c r="J6532" t="s">
        <v>32861</v>
      </c>
      <c r="K6532" t="s">
        <v>42624</v>
      </c>
      <c r="M6532" t="s">
        <v>45278</v>
      </c>
      <c r="N6532" t="s">
        <v>47304</v>
      </c>
      <c r="O6532" t="s">
        <v>47305</v>
      </c>
      <c r="Q6532">
        <v>17</v>
      </c>
      <c r="R6532" t="s">
        <v>47311</v>
      </c>
      <c r="S6532" t="s">
        <v>47451</v>
      </c>
      <c r="T6532" t="s">
        <v>49345</v>
      </c>
      <c r="U6532" t="s">
        <v>54996</v>
      </c>
      <c r="W6532" t="s">
        <v>45278</v>
      </c>
      <c r="X6532" t="s">
        <v>47312</v>
      </c>
    </row>
    <row r="6533" spans="1:24">
      <c r="A6533">
        <f>HYPERLINK("https://www.philgeps.gov.ph/GEPSNONPILOT/Tender/SplashBidNoticeAbstractUI.aspx?menuIndex=3&amp;refID=7190498&amp;Result=3","7190498")</f>
        <v>0</v>
      </c>
      <c r="B6533" t="s">
        <v>2181</v>
      </c>
      <c r="C6533" t="s">
        <v>9992</v>
      </c>
      <c r="D6533" t="s">
        <v>19011</v>
      </c>
      <c r="E6533" t="s">
        <v>24779</v>
      </c>
      <c r="F6533" t="s">
        <v>32606</v>
      </c>
      <c r="G6533" t="s">
        <v>32613</v>
      </c>
      <c r="H6533" t="s">
        <v>32624</v>
      </c>
      <c r="I6533" t="s">
        <v>6309</v>
      </c>
      <c r="J6533" t="s">
        <v>36950</v>
      </c>
      <c r="K6533" t="s">
        <v>42623</v>
      </c>
      <c r="M6533" t="s">
        <v>45279</v>
      </c>
      <c r="N6533" t="s">
        <v>47304</v>
      </c>
      <c r="O6533" t="s">
        <v>47305</v>
      </c>
      <c r="P6533">
        <v>0</v>
      </c>
      <c r="Q6533">
        <v>0</v>
      </c>
      <c r="R6533" t="s">
        <v>47311</v>
      </c>
      <c r="S6533" t="s">
        <v>47443</v>
      </c>
      <c r="T6533" t="s">
        <v>49010</v>
      </c>
      <c r="U6533" t="s">
        <v>54997</v>
      </c>
      <c r="W6533" t="s">
        <v>45279</v>
      </c>
      <c r="X6533" t="s">
        <v>47312</v>
      </c>
    </row>
    <row r="6534" spans="1:24">
      <c r="A6534">
        <f>HYPERLINK("https://www.philgeps.gov.ph/GEPSNONPILOT/Tender/SplashBidNoticeAbstractUI.aspx?menuIndex=3&amp;refID=7190514&amp;Result=3","7190514")</f>
        <v>0</v>
      </c>
      <c r="B6534" t="s">
        <v>2182</v>
      </c>
      <c r="C6534" t="s">
        <v>9993</v>
      </c>
      <c r="D6534" t="s">
        <v>19032</v>
      </c>
      <c r="E6534" t="s">
        <v>24780</v>
      </c>
      <c r="F6534" t="s">
        <v>32606</v>
      </c>
      <c r="G6534" t="s">
        <v>32615</v>
      </c>
      <c r="H6534" t="s">
        <v>32623</v>
      </c>
      <c r="I6534" t="s">
        <v>17648</v>
      </c>
      <c r="J6534" t="s">
        <v>36951</v>
      </c>
      <c r="K6534" t="s">
        <v>42651</v>
      </c>
      <c r="M6534" t="s">
        <v>45280</v>
      </c>
      <c r="N6534" t="s">
        <v>47304</v>
      </c>
      <c r="O6534" t="s">
        <v>47305</v>
      </c>
      <c r="P6534">
        <v>0</v>
      </c>
      <c r="Q6534">
        <v>2</v>
      </c>
      <c r="R6534" t="s">
        <v>47311</v>
      </c>
      <c r="S6534" t="s">
        <v>47443</v>
      </c>
      <c r="T6534" t="s">
        <v>49165</v>
      </c>
      <c r="U6534" t="s">
        <v>54998</v>
      </c>
      <c r="W6534" t="s">
        <v>45280</v>
      </c>
      <c r="X6534" t="s">
        <v>47312</v>
      </c>
    </row>
    <row r="6535" spans="1:24">
      <c r="A6535">
        <f>HYPERLINK("https://www.philgeps.gov.ph/GEPSNONPILOT/Tender/SplashBidNoticeAbstractUI.aspx?menuIndex=3&amp;refID=7190494&amp;Result=3","7190494")</f>
        <v>0</v>
      </c>
      <c r="B6535" t="s">
        <v>2107</v>
      </c>
      <c r="C6535" t="s">
        <v>9994</v>
      </c>
      <c r="D6535" t="s">
        <v>19023</v>
      </c>
      <c r="E6535" t="s">
        <v>24781</v>
      </c>
      <c r="F6535" t="s">
        <v>32606</v>
      </c>
      <c r="G6535" t="s">
        <v>32613</v>
      </c>
      <c r="H6535" t="s">
        <v>14201</v>
      </c>
      <c r="I6535" t="s">
        <v>6931</v>
      </c>
      <c r="J6535" t="s">
        <v>36952</v>
      </c>
      <c r="K6535" t="s">
        <v>42631</v>
      </c>
      <c r="M6535" t="s">
        <v>45192</v>
      </c>
      <c r="N6535" t="s">
        <v>47304</v>
      </c>
      <c r="O6535" t="s">
        <v>47305</v>
      </c>
      <c r="P6535">
        <v>0</v>
      </c>
      <c r="Q6535">
        <v>1</v>
      </c>
      <c r="R6535" t="s">
        <v>47311</v>
      </c>
      <c r="S6535" t="s">
        <v>47443</v>
      </c>
      <c r="T6535" t="s">
        <v>49163</v>
      </c>
      <c r="U6535" t="s">
        <v>54999</v>
      </c>
      <c r="V6535" t="s">
        <v>63248</v>
      </c>
      <c r="W6535" t="s">
        <v>45192</v>
      </c>
      <c r="X6535" t="s">
        <v>47312</v>
      </c>
    </row>
    <row r="6536" spans="1:24">
      <c r="A6536">
        <f>HYPERLINK("https://www.philgeps.gov.ph/GEPSNONPILOT/Tender/SplashBidNoticeAbstractUI.aspx?menuIndex=3&amp;refID=7190458&amp;Result=3","7190458")</f>
        <v>0</v>
      </c>
      <c r="B6536" t="s">
        <v>2183</v>
      </c>
      <c r="C6536" t="s">
        <v>9995</v>
      </c>
      <c r="D6536" t="s">
        <v>19023</v>
      </c>
      <c r="E6536" t="s">
        <v>24782</v>
      </c>
      <c r="F6536" t="s">
        <v>32607</v>
      </c>
      <c r="G6536" t="s">
        <v>32614</v>
      </c>
      <c r="H6536" t="s">
        <v>14201</v>
      </c>
      <c r="I6536" t="s">
        <v>32691</v>
      </c>
      <c r="J6536" t="s">
        <v>36953</v>
      </c>
      <c r="K6536" t="s">
        <v>42623</v>
      </c>
      <c r="M6536" t="s">
        <v>45281</v>
      </c>
      <c r="N6536" t="s">
        <v>47304</v>
      </c>
      <c r="O6536" t="s">
        <v>47305</v>
      </c>
      <c r="P6536">
        <v>0</v>
      </c>
      <c r="Q6536">
        <v>3</v>
      </c>
      <c r="R6536" t="s">
        <v>47311</v>
      </c>
      <c r="S6536" t="s">
        <v>47443</v>
      </c>
      <c r="T6536" t="s">
        <v>48997</v>
      </c>
      <c r="U6536" t="s">
        <v>55000</v>
      </c>
      <c r="V6536" t="s">
        <v>63273</v>
      </c>
      <c r="W6536" t="s">
        <v>45281</v>
      </c>
      <c r="X6536" t="s">
        <v>47312</v>
      </c>
    </row>
    <row r="6537" spans="1:24">
      <c r="A6537">
        <f>HYPERLINK("https://www.philgeps.gov.ph/GEPSNONPILOT/Tender/SplashBidNoticeAbstractUI.aspx?menuIndex=3&amp;refID=7190492&amp;Result=3","7190492")</f>
        <v>0</v>
      </c>
      <c r="B6537" t="s">
        <v>301</v>
      </c>
      <c r="C6537" t="s">
        <v>9996</v>
      </c>
      <c r="D6537" t="s">
        <v>19011</v>
      </c>
      <c r="E6537" t="s">
        <v>24783</v>
      </c>
      <c r="F6537" t="s">
        <v>32606</v>
      </c>
      <c r="G6537" t="s">
        <v>32617</v>
      </c>
      <c r="H6537" t="s">
        <v>14201</v>
      </c>
      <c r="I6537" t="s">
        <v>4120</v>
      </c>
      <c r="J6537" t="s">
        <v>33239</v>
      </c>
      <c r="K6537" t="s">
        <v>42622</v>
      </c>
      <c r="M6537" t="s">
        <v>43203</v>
      </c>
      <c r="N6537" t="s">
        <v>47304</v>
      </c>
      <c r="O6537" t="s">
        <v>47305</v>
      </c>
      <c r="P6537">
        <v>0</v>
      </c>
      <c r="Q6537">
        <v>4</v>
      </c>
      <c r="R6537" t="s">
        <v>47311</v>
      </c>
      <c r="S6537" t="s">
        <v>47443</v>
      </c>
      <c r="T6537" t="s">
        <v>48997</v>
      </c>
      <c r="U6537" t="s">
        <v>54963</v>
      </c>
      <c r="W6537" t="s">
        <v>43203</v>
      </c>
      <c r="X6537" t="s">
        <v>47312</v>
      </c>
    </row>
    <row r="6538" spans="1:24">
      <c r="A6538">
        <f>HYPERLINK("https://www.philgeps.gov.ph/GEPSNONPILOT/Tender/SplashBidNoticeAbstractUI.aspx?menuIndex=3&amp;refID=7190512&amp;Result=3","7190512")</f>
        <v>0</v>
      </c>
      <c r="B6538" t="s">
        <v>2113</v>
      </c>
      <c r="C6538" t="s">
        <v>9997</v>
      </c>
      <c r="D6538" t="s">
        <v>19012</v>
      </c>
      <c r="E6538" t="s">
        <v>24784</v>
      </c>
      <c r="F6538" t="s">
        <v>32606</v>
      </c>
      <c r="G6538" t="s">
        <v>32613</v>
      </c>
      <c r="H6538" t="s">
        <v>14201</v>
      </c>
      <c r="I6538" t="s">
        <v>32631</v>
      </c>
      <c r="J6538" t="s">
        <v>36954</v>
      </c>
      <c r="K6538" t="s">
        <v>42631</v>
      </c>
      <c r="M6538" t="s">
        <v>45199</v>
      </c>
      <c r="N6538" t="s">
        <v>47304</v>
      </c>
      <c r="O6538" t="s">
        <v>47305</v>
      </c>
      <c r="P6538">
        <v>0</v>
      </c>
      <c r="Q6538">
        <v>0</v>
      </c>
      <c r="R6538" t="s">
        <v>47311</v>
      </c>
      <c r="S6538" t="s">
        <v>47443</v>
      </c>
      <c r="T6538" t="s">
        <v>49023</v>
      </c>
      <c r="U6538" t="s">
        <v>55001</v>
      </c>
      <c r="W6538" t="s">
        <v>45199</v>
      </c>
      <c r="X6538" t="s">
        <v>47312</v>
      </c>
    </row>
    <row r="6539" spans="1:24">
      <c r="A6539">
        <f>HYPERLINK("https://www.philgeps.gov.ph/GEPSNONPILOT/Tender/SplashBidNoticeAbstractUI.aspx?menuIndex=3&amp;refID=7190491&amp;Result=3","7190491")</f>
        <v>0</v>
      </c>
      <c r="B6539" t="s">
        <v>81</v>
      </c>
      <c r="C6539" t="s">
        <v>9998</v>
      </c>
      <c r="D6539" t="s">
        <v>18995</v>
      </c>
      <c r="E6539" t="s">
        <v>24785</v>
      </c>
      <c r="F6539" t="s">
        <v>32606</v>
      </c>
      <c r="G6539" t="s">
        <v>32613</v>
      </c>
      <c r="H6539" t="s">
        <v>32623</v>
      </c>
      <c r="I6539" t="s">
        <v>17648</v>
      </c>
      <c r="J6539" t="s">
        <v>36955</v>
      </c>
      <c r="K6539" t="s">
        <v>42624</v>
      </c>
      <c r="M6539" t="s">
        <v>42978</v>
      </c>
      <c r="N6539" t="s">
        <v>47304</v>
      </c>
      <c r="O6539" t="s">
        <v>47305</v>
      </c>
      <c r="P6539">
        <v>0</v>
      </c>
      <c r="Q6539">
        <v>1</v>
      </c>
      <c r="R6539" t="s">
        <v>47311</v>
      </c>
      <c r="S6539" t="s">
        <v>47443</v>
      </c>
      <c r="T6539" t="s">
        <v>49080</v>
      </c>
      <c r="U6539" t="s">
        <v>55002</v>
      </c>
      <c r="W6539" t="s">
        <v>42978</v>
      </c>
      <c r="X6539" t="s">
        <v>47312</v>
      </c>
    </row>
    <row r="6540" spans="1:24">
      <c r="A6540">
        <f>HYPERLINK("https://www.philgeps.gov.ph/GEPSNONPILOT/Tender/SplashBidNoticeAbstractUI.aspx?menuIndex=3&amp;refID=7190486&amp;Result=3","7190486")</f>
        <v>0</v>
      </c>
      <c r="B6540" t="s">
        <v>869</v>
      </c>
      <c r="C6540" t="s">
        <v>9999</v>
      </c>
      <c r="E6540" t="s">
        <v>24786</v>
      </c>
      <c r="F6540" t="s">
        <v>32606</v>
      </c>
      <c r="G6540" t="s">
        <v>32613</v>
      </c>
      <c r="H6540" t="s">
        <v>14201</v>
      </c>
      <c r="I6540" t="s">
        <v>32662</v>
      </c>
      <c r="J6540" t="s">
        <v>33273</v>
      </c>
      <c r="K6540" t="s">
        <v>42624</v>
      </c>
      <c r="M6540" t="s">
        <v>45278</v>
      </c>
      <c r="N6540" t="s">
        <v>47304</v>
      </c>
      <c r="O6540" t="s">
        <v>47305</v>
      </c>
      <c r="Q6540">
        <v>12</v>
      </c>
      <c r="R6540" t="s">
        <v>47311</v>
      </c>
      <c r="S6540" t="s">
        <v>47452</v>
      </c>
      <c r="T6540" t="s">
        <v>49345</v>
      </c>
      <c r="U6540" t="s">
        <v>54996</v>
      </c>
      <c r="W6540" t="s">
        <v>45278</v>
      </c>
      <c r="X6540" t="s">
        <v>47312</v>
      </c>
    </row>
    <row r="6541" spans="1:24">
      <c r="A6541">
        <f>HYPERLINK("https://www.philgeps.gov.ph/GEPSNONPILOT/Tender/SplashBidNoticeAbstractUI.aspx?menuIndex=3&amp;refID=7190485&amp;Result=3","7190485")</f>
        <v>0</v>
      </c>
      <c r="B6541" t="s">
        <v>192</v>
      </c>
      <c r="C6541" t="s">
        <v>10000</v>
      </c>
      <c r="D6541" t="s">
        <v>19016</v>
      </c>
      <c r="E6541" t="s">
        <v>24787</v>
      </c>
      <c r="F6541" t="s">
        <v>32606</v>
      </c>
      <c r="G6541" t="s">
        <v>32619</v>
      </c>
      <c r="H6541" t="s">
        <v>14201</v>
      </c>
      <c r="I6541" t="s">
        <v>32633</v>
      </c>
      <c r="J6541" t="s">
        <v>36956</v>
      </c>
      <c r="K6541" t="s">
        <v>42624</v>
      </c>
      <c r="M6541" t="s">
        <v>43093</v>
      </c>
      <c r="N6541" t="s">
        <v>47304</v>
      </c>
      <c r="O6541" t="s">
        <v>47305</v>
      </c>
      <c r="P6541">
        <v>0</v>
      </c>
      <c r="Q6541">
        <v>13</v>
      </c>
      <c r="R6541" t="s">
        <v>47311</v>
      </c>
      <c r="S6541" t="s">
        <v>47443</v>
      </c>
      <c r="T6541" t="s">
        <v>49269</v>
      </c>
      <c r="U6541" t="s">
        <v>55003</v>
      </c>
      <c r="V6541" t="s">
        <v>62691</v>
      </c>
      <c r="W6541" t="s">
        <v>43093</v>
      </c>
      <c r="X6541" t="s">
        <v>47312</v>
      </c>
    </row>
    <row r="6542" spans="1:24">
      <c r="A6542">
        <f>HYPERLINK("https://www.philgeps.gov.ph/GEPSNONPILOT/Tender/SplashBidNoticeAbstractUI.aspx?menuIndex=3&amp;refID=7190523&amp;Result=3","7190523")</f>
        <v>0</v>
      </c>
      <c r="B6542" t="s">
        <v>1210</v>
      </c>
      <c r="C6542" t="s">
        <v>10001</v>
      </c>
      <c r="D6542" t="s">
        <v>18988</v>
      </c>
      <c r="E6542" t="s">
        <v>24788</v>
      </c>
      <c r="F6542" t="s">
        <v>32606</v>
      </c>
      <c r="G6542" t="s">
        <v>32614</v>
      </c>
      <c r="H6542" t="s">
        <v>14201</v>
      </c>
      <c r="I6542" t="s">
        <v>6931</v>
      </c>
      <c r="J6542" t="s">
        <v>36957</v>
      </c>
      <c r="K6542" t="s">
        <v>42624</v>
      </c>
      <c r="M6542" t="s">
        <v>44175</v>
      </c>
      <c r="N6542" t="s">
        <v>47304</v>
      </c>
      <c r="O6542" t="s">
        <v>47305</v>
      </c>
      <c r="P6542">
        <v>0</v>
      </c>
      <c r="Q6542">
        <v>0</v>
      </c>
      <c r="R6542" t="s">
        <v>47311</v>
      </c>
      <c r="S6542" t="s">
        <v>47443</v>
      </c>
      <c r="T6542" t="s">
        <v>49016</v>
      </c>
      <c r="U6542" t="s">
        <v>55004</v>
      </c>
      <c r="W6542" t="s">
        <v>44175</v>
      </c>
      <c r="X6542" t="s">
        <v>47312</v>
      </c>
    </row>
    <row r="6543" spans="1:24">
      <c r="A6543">
        <f>HYPERLINK("https://www.philgeps.gov.ph/GEPSNONPILOT/Tender/SplashBidNoticeAbstractUI.aspx?menuIndex=3&amp;refID=7190560&amp;Result=3","7190560")</f>
        <v>0</v>
      </c>
      <c r="B6543" t="s">
        <v>2034</v>
      </c>
      <c r="C6543" t="s">
        <v>10002</v>
      </c>
      <c r="D6543" t="s">
        <v>19057</v>
      </c>
      <c r="E6543" t="s">
        <v>24789</v>
      </c>
      <c r="F6543" t="s">
        <v>32606</v>
      </c>
      <c r="G6543" t="s">
        <v>32614</v>
      </c>
      <c r="H6543" t="s">
        <v>14201</v>
      </c>
      <c r="I6543" t="s">
        <v>6931</v>
      </c>
      <c r="J6543" t="s">
        <v>36958</v>
      </c>
      <c r="K6543" t="s">
        <v>42627</v>
      </c>
      <c r="M6543" t="s">
        <v>45110</v>
      </c>
      <c r="N6543" t="s">
        <v>47304</v>
      </c>
      <c r="O6543" t="s">
        <v>47305</v>
      </c>
      <c r="P6543">
        <v>0</v>
      </c>
      <c r="Q6543">
        <v>0</v>
      </c>
      <c r="R6543" t="s">
        <v>47311</v>
      </c>
      <c r="S6543" t="s">
        <v>47443</v>
      </c>
      <c r="T6543" t="s">
        <v>49072</v>
      </c>
      <c r="U6543" t="s">
        <v>55005</v>
      </c>
      <c r="W6543" t="s">
        <v>45110</v>
      </c>
      <c r="X6543" t="s">
        <v>47312</v>
      </c>
    </row>
    <row r="6544" spans="1:24">
      <c r="A6544">
        <f>HYPERLINK("https://www.philgeps.gov.ph/GEPSNONPILOT/Tender/SplashBidNoticeAbstractUI.aspx?menuIndex=3&amp;refID=7190499&amp;Result=3","7190499")</f>
        <v>0</v>
      </c>
      <c r="B6544" t="s">
        <v>1347</v>
      </c>
      <c r="C6544" t="s">
        <v>10003</v>
      </c>
      <c r="D6544" t="s">
        <v>19070</v>
      </c>
      <c r="E6544" t="s">
        <v>24790</v>
      </c>
      <c r="F6544" t="s">
        <v>32606</v>
      </c>
      <c r="G6544" t="s">
        <v>32613</v>
      </c>
      <c r="H6544" t="s">
        <v>32623</v>
      </c>
      <c r="I6544" t="s">
        <v>17648</v>
      </c>
      <c r="J6544" t="s">
        <v>36959</v>
      </c>
      <c r="K6544" t="s">
        <v>42712</v>
      </c>
      <c r="L6544" t="s">
        <v>1347</v>
      </c>
      <c r="M6544" t="s">
        <v>44321</v>
      </c>
      <c r="N6544" t="s">
        <v>47304</v>
      </c>
      <c r="O6544" t="s">
        <v>47305</v>
      </c>
      <c r="P6544">
        <v>0</v>
      </c>
      <c r="Q6544">
        <v>1</v>
      </c>
      <c r="R6544" t="s">
        <v>47311</v>
      </c>
      <c r="S6544" t="s">
        <v>47443</v>
      </c>
      <c r="T6544" t="s">
        <v>49037</v>
      </c>
      <c r="U6544" t="s">
        <v>55006</v>
      </c>
      <c r="V6544" t="s">
        <v>63274</v>
      </c>
      <c r="W6544" t="s">
        <v>44321</v>
      </c>
      <c r="X6544" t="s">
        <v>47312</v>
      </c>
    </row>
    <row r="6545" spans="1:24">
      <c r="A6545">
        <f>HYPERLINK("https://www.philgeps.gov.ph/GEPSNONPILOT/Tender/SplashBidNoticeAbstractUI.aspx?menuIndex=3&amp;refID=7190557&amp;Result=3","7190557")</f>
        <v>0</v>
      </c>
      <c r="B6545" t="s">
        <v>745</v>
      </c>
      <c r="C6545" t="s">
        <v>10004</v>
      </c>
      <c r="D6545" t="s">
        <v>19043</v>
      </c>
      <c r="E6545" t="s">
        <v>24791</v>
      </c>
      <c r="F6545" t="s">
        <v>32606</v>
      </c>
      <c r="G6545" t="s">
        <v>32613</v>
      </c>
      <c r="H6545" t="s">
        <v>14201</v>
      </c>
      <c r="I6545" t="s">
        <v>4678</v>
      </c>
      <c r="J6545" t="s">
        <v>36960</v>
      </c>
      <c r="K6545" t="s">
        <v>42622</v>
      </c>
      <c r="M6545" t="s">
        <v>43668</v>
      </c>
      <c r="N6545" t="s">
        <v>47304</v>
      </c>
      <c r="O6545" t="s">
        <v>47305</v>
      </c>
      <c r="P6545">
        <v>0</v>
      </c>
      <c r="Q6545">
        <v>0</v>
      </c>
      <c r="R6545" t="s">
        <v>47311</v>
      </c>
      <c r="S6545" t="s">
        <v>47443</v>
      </c>
      <c r="T6545" t="s">
        <v>49160</v>
      </c>
      <c r="U6545" t="s">
        <v>55007</v>
      </c>
      <c r="W6545" t="s">
        <v>43668</v>
      </c>
      <c r="X6545" t="s">
        <v>47312</v>
      </c>
    </row>
    <row r="6546" spans="1:24">
      <c r="A6546">
        <f>HYPERLINK("https://www.philgeps.gov.ph/GEPSNONPILOT/Tender/SplashBidNoticeAbstractUI.aspx?menuIndex=3&amp;refID=7190457&amp;Result=3","7190457")</f>
        <v>0</v>
      </c>
      <c r="B6546" t="s">
        <v>2176</v>
      </c>
      <c r="C6546" t="s">
        <v>10005</v>
      </c>
      <c r="D6546" t="s">
        <v>18993</v>
      </c>
      <c r="E6546" t="s">
        <v>19940</v>
      </c>
      <c r="F6546" t="s">
        <v>32608</v>
      </c>
      <c r="G6546" t="s">
        <v>32613</v>
      </c>
      <c r="H6546" t="s">
        <v>14201</v>
      </c>
      <c r="I6546" t="s">
        <v>6298</v>
      </c>
      <c r="J6546" t="s">
        <v>36961</v>
      </c>
      <c r="K6546" t="s">
        <v>42631</v>
      </c>
      <c r="M6546" t="s">
        <v>45273</v>
      </c>
      <c r="N6546" t="s">
        <v>47304</v>
      </c>
      <c r="O6546" t="s">
        <v>47305</v>
      </c>
      <c r="P6546">
        <v>0</v>
      </c>
      <c r="Q6546">
        <v>4</v>
      </c>
      <c r="R6546" t="s">
        <v>47311</v>
      </c>
      <c r="S6546" t="s">
        <v>47443</v>
      </c>
      <c r="T6546" t="s">
        <v>49127</v>
      </c>
      <c r="U6546" t="s">
        <v>55008</v>
      </c>
      <c r="W6546" t="s">
        <v>45273</v>
      </c>
      <c r="X6546" t="s">
        <v>47312</v>
      </c>
    </row>
    <row r="6547" spans="1:24">
      <c r="A6547">
        <f>HYPERLINK("https://www.philgeps.gov.ph/GEPSNONPILOT/Tender/SplashBidNoticeAbstractUI.aspx?menuIndex=3&amp;refID=7190553&amp;Result=3","7190553")</f>
        <v>0</v>
      </c>
      <c r="B6547" t="s">
        <v>2184</v>
      </c>
      <c r="C6547" t="s">
        <v>10006</v>
      </c>
      <c r="D6547" t="s">
        <v>19053</v>
      </c>
      <c r="E6547" t="s">
        <v>24792</v>
      </c>
      <c r="F6547" t="s">
        <v>32606</v>
      </c>
      <c r="G6547" t="s">
        <v>32613</v>
      </c>
      <c r="H6547" t="s">
        <v>14201</v>
      </c>
      <c r="I6547" t="s">
        <v>6478</v>
      </c>
      <c r="J6547" t="s">
        <v>36962</v>
      </c>
      <c r="K6547" t="s">
        <v>42630</v>
      </c>
      <c r="M6547" t="s">
        <v>45282</v>
      </c>
      <c r="N6547" t="s">
        <v>47304</v>
      </c>
      <c r="O6547" t="s">
        <v>47305</v>
      </c>
      <c r="P6547">
        <v>0</v>
      </c>
      <c r="Q6547">
        <v>2</v>
      </c>
      <c r="R6547" t="s">
        <v>47311</v>
      </c>
      <c r="S6547" t="s">
        <v>47443</v>
      </c>
      <c r="T6547" t="s">
        <v>48979</v>
      </c>
      <c r="U6547" t="s">
        <v>55009</v>
      </c>
      <c r="W6547" t="s">
        <v>45282</v>
      </c>
      <c r="X6547" t="s">
        <v>47312</v>
      </c>
    </row>
    <row r="6548" spans="1:24">
      <c r="A6548">
        <f>HYPERLINK("https://www.philgeps.gov.ph/GEPSNONPILOT/Tender/SplashBidNoticeAbstractUI.aspx?menuIndex=3&amp;refID=7190493&amp;Result=3","7190493")</f>
        <v>0</v>
      </c>
      <c r="B6548" t="s">
        <v>815</v>
      </c>
      <c r="C6548" t="s">
        <v>10007</v>
      </c>
      <c r="D6548" t="s">
        <v>19019</v>
      </c>
      <c r="E6548" t="s">
        <v>24793</v>
      </c>
      <c r="F6548" t="s">
        <v>32606</v>
      </c>
      <c r="G6548" t="s">
        <v>32619</v>
      </c>
      <c r="H6548" t="s">
        <v>14201</v>
      </c>
      <c r="I6548" t="s">
        <v>4120</v>
      </c>
      <c r="J6548" t="s">
        <v>33551</v>
      </c>
      <c r="K6548" t="s">
        <v>42623</v>
      </c>
      <c r="M6548" t="s">
        <v>43746</v>
      </c>
      <c r="N6548" t="s">
        <v>47304</v>
      </c>
      <c r="O6548" t="s">
        <v>47305</v>
      </c>
      <c r="P6548">
        <v>0</v>
      </c>
      <c r="Q6548">
        <v>0</v>
      </c>
      <c r="R6548" t="s">
        <v>47311</v>
      </c>
      <c r="S6548" t="s">
        <v>47443</v>
      </c>
      <c r="T6548" t="s">
        <v>48980</v>
      </c>
      <c r="U6548" t="s">
        <v>55010</v>
      </c>
      <c r="W6548" t="s">
        <v>43746</v>
      </c>
      <c r="X6548" t="s">
        <v>47312</v>
      </c>
    </row>
    <row r="6549" spans="1:24">
      <c r="A6549">
        <f>HYPERLINK("https://www.philgeps.gov.ph/GEPSNONPILOT/Tender/SplashBidNoticeAbstractUI.aspx?menuIndex=3&amp;refID=7190550&amp;Result=3","7190550")</f>
        <v>0</v>
      </c>
      <c r="B6549" t="s">
        <v>1435</v>
      </c>
      <c r="C6549" t="s">
        <v>10008</v>
      </c>
      <c r="D6549" t="s">
        <v>19025</v>
      </c>
      <c r="E6549" t="s">
        <v>24794</v>
      </c>
      <c r="F6549" t="s">
        <v>32606</v>
      </c>
      <c r="G6549" t="s">
        <v>32614</v>
      </c>
      <c r="H6549" t="s">
        <v>32624</v>
      </c>
      <c r="I6549" t="s">
        <v>6298</v>
      </c>
      <c r="J6549" t="s">
        <v>36963</v>
      </c>
      <c r="K6549" t="s">
        <v>42681</v>
      </c>
      <c r="M6549" t="s">
        <v>45283</v>
      </c>
      <c r="N6549" t="s">
        <v>47304</v>
      </c>
      <c r="O6549" t="s">
        <v>47305</v>
      </c>
      <c r="P6549">
        <v>0</v>
      </c>
      <c r="Q6549">
        <v>1</v>
      </c>
      <c r="R6549" t="s">
        <v>47311</v>
      </c>
      <c r="S6549" t="s">
        <v>47443</v>
      </c>
      <c r="T6549" t="s">
        <v>49071</v>
      </c>
      <c r="U6549" t="s">
        <v>55011</v>
      </c>
      <c r="W6549" t="s">
        <v>45283</v>
      </c>
      <c r="X6549" t="s">
        <v>47312</v>
      </c>
    </row>
    <row r="6550" spans="1:24">
      <c r="A6550">
        <f>HYPERLINK("https://www.philgeps.gov.ph/GEPSNONPILOT/Tender/SplashBidNoticeAbstractUI.aspx?menuIndex=3&amp;refID=7190539&amp;Result=3","7190539")</f>
        <v>0</v>
      </c>
      <c r="B6550" t="s">
        <v>2185</v>
      </c>
      <c r="C6550" t="s">
        <v>10009</v>
      </c>
      <c r="D6550" t="s">
        <v>18988</v>
      </c>
      <c r="E6550" t="s">
        <v>24795</v>
      </c>
      <c r="F6550" t="s">
        <v>32606</v>
      </c>
      <c r="G6550" t="s">
        <v>32614</v>
      </c>
      <c r="H6550" t="s">
        <v>14201</v>
      </c>
      <c r="I6550" t="s">
        <v>32648</v>
      </c>
      <c r="J6550" t="s">
        <v>36964</v>
      </c>
      <c r="K6550" t="s">
        <v>42630</v>
      </c>
      <c r="M6550" t="s">
        <v>45284</v>
      </c>
      <c r="N6550" t="s">
        <v>47304</v>
      </c>
      <c r="O6550" t="s">
        <v>47305</v>
      </c>
      <c r="P6550">
        <v>0</v>
      </c>
      <c r="Q6550">
        <v>3</v>
      </c>
      <c r="R6550" t="s">
        <v>47311</v>
      </c>
      <c r="S6550" t="s">
        <v>47443</v>
      </c>
      <c r="T6550" t="s">
        <v>48979</v>
      </c>
      <c r="U6550" t="s">
        <v>55012</v>
      </c>
      <c r="W6550" t="s">
        <v>45284</v>
      </c>
      <c r="X6550" t="s">
        <v>47312</v>
      </c>
    </row>
    <row r="6551" spans="1:24">
      <c r="A6551">
        <f>HYPERLINK("https://www.philgeps.gov.ph/GEPSNONPILOT/Tender/SplashBidNoticeAbstractUI.aspx?menuIndex=3&amp;refID=7190551&amp;Result=3","7190551")</f>
        <v>0</v>
      </c>
      <c r="B6551" t="s">
        <v>1210</v>
      </c>
      <c r="C6551" t="s">
        <v>4842</v>
      </c>
      <c r="D6551" t="s">
        <v>18988</v>
      </c>
      <c r="E6551" t="s">
        <v>24796</v>
      </c>
      <c r="F6551" t="s">
        <v>32606</v>
      </c>
      <c r="G6551" t="s">
        <v>32614</v>
      </c>
      <c r="H6551" t="s">
        <v>14201</v>
      </c>
      <c r="I6551" t="s">
        <v>6931</v>
      </c>
      <c r="J6551" t="s">
        <v>32784</v>
      </c>
      <c r="K6551" t="s">
        <v>42624</v>
      </c>
      <c r="M6551" t="s">
        <v>44175</v>
      </c>
      <c r="N6551" t="s">
        <v>47304</v>
      </c>
      <c r="O6551" t="s">
        <v>47305</v>
      </c>
      <c r="P6551">
        <v>0</v>
      </c>
      <c r="Q6551">
        <v>0</v>
      </c>
      <c r="R6551" t="s">
        <v>47311</v>
      </c>
      <c r="S6551" t="s">
        <v>47443</v>
      </c>
      <c r="T6551" t="s">
        <v>49017</v>
      </c>
      <c r="U6551" t="s">
        <v>55004</v>
      </c>
      <c r="W6551" t="s">
        <v>44175</v>
      </c>
      <c r="X6551" t="s">
        <v>47312</v>
      </c>
    </row>
    <row r="6552" spans="1:24">
      <c r="A6552">
        <f>HYPERLINK("https://www.philgeps.gov.ph/GEPSNONPILOT/Tender/SplashBidNoticeAbstractUI.aspx?menuIndex=3&amp;refID=7190537&amp;Result=3","7190537")</f>
        <v>0</v>
      </c>
      <c r="B6552" t="s">
        <v>301</v>
      </c>
      <c r="C6552" t="s">
        <v>10010</v>
      </c>
      <c r="D6552" t="s">
        <v>19011</v>
      </c>
      <c r="E6552" t="s">
        <v>24797</v>
      </c>
      <c r="F6552" t="s">
        <v>32606</v>
      </c>
      <c r="G6552" t="s">
        <v>32617</v>
      </c>
      <c r="H6552" t="s">
        <v>14201</v>
      </c>
      <c r="I6552" t="s">
        <v>4120</v>
      </c>
      <c r="J6552" t="s">
        <v>36965</v>
      </c>
      <c r="K6552" t="s">
        <v>42622</v>
      </c>
      <c r="M6552" t="s">
        <v>43203</v>
      </c>
      <c r="N6552" t="s">
        <v>47304</v>
      </c>
      <c r="O6552" t="s">
        <v>47305</v>
      </c>
      <c r="P6552">
        <v>0</v>
      </c>
      <c r="Q6552">
        <v>5</v>
      </c>
      <c r="R6552" t="s">
        <v>47311</v>
      </c>
      <c r="S6552" t="s">
        <v>47443</v>
      </c>
      <c r="T6552" t="s">
        <v>48997</v>
      </c>
      <c r="U6552" t="s">
        <v>55013</v>
      </c>
      <c r="W6552" t="s">
        <v>43203</v>
      </c>
      <c r="X6552" t="s">
        <v>47312</v>
      </c>
    </row>
    <row r="6553" spans="1:24">
      <c r="A6553">
        <f>HYPERLINK("https://www.philgeps.gov.ph/GEPSNONPILOT/Tender/SplashBidNoticeAbstractUI.aspx?menuIndex=3&amp;refID=7190534&amp;Result=3","7190534")</f>
        <v>0</v>
      </c>
      <c r="B6553" t="s">
        <v>81</v>
      </c>
      <c r="C6553" t="s">
        <v>10011</v>
      </c>
      <c r="D6553" t="s">
        <v>18995</v>
      </c>
      <c r="E6553" t="s">
        <v>24798</v>
      </c>
      <c r="F6553" t="s">
        <v>32606</v>
      </c>
      <c r="G6553" t="s">
        <v>32613</v>
      </c>
      <c r="H6553" t="s">
        <v>32623</v>
      </c>
      <c r="I6553" t="s">
        <v>17648</v>
      </c>
      <c r="J6553" t="s">
        <v>36966</v>
      </c>
      <c r="K6553" t="s">
        <v>42624</v>
      </c>
      <c r="M6553" t="s">
        <v>42978</v>
      </c>
      <c r="N6553" t="s">
        <v>47304</v>
      </c>
      <c r="O6553" t="s">
        <v>47305</v>
      </c>
      <c r="P6553">
        <v>0</v>
      </c>
      <c r="Q6553">
        <v>1</v>
      </c>
      <c r="R6553" t="s">
        <v>47311</v>
      </c>
      <c r="S6553" t="s">
        <v>47443</v>
      </c>
      <c r="T6553" t="s">
        <v>49080</v>
      </c>
      <c r="U6553" t="s">
        <v>55014</v>
      </c>
      <c r="W6553" t="s">
        <v>42978</v>
      </c>
      <c r="X6553" t="s">
        <v>47312</v>
      </c>
    </row>
    <row r="6554" spans="1:24">
      <c r="A6554">
        <f>HYPERLINK("https://www.philgeps.gov.ph/GEPSNONPILOT/Tender/SplashBidNoticeAbstractUI.aspx?menuIndex=3&amp;refID=7190532&amp;Result=3","7190532")</f>
        <v>0</v>
      </c>
      <c r="B6554" t="s">
        <v>2186</v>
      </c>
      <c r="C6554" t="s">
        <v>10012</v>
      </c>
      <c r="E6554" t="s">
        <v>24799</v>
      </c>
      <c r="F6554" t="s">
        <v>32606</v>
      </c>
      <c r="G6554" t="s">
        <v>32617</v>
      </c>
      <c r="H6554" t="s">
        <v>14201</v>
      </c>
      <c r="I6554" t="s">
        <v>4120</v>
      </c>
      <c r="J6554" t="s">
        <v>36967</v>
      </c>
      <c r="K6554" t="s">
        <v>42624</v>
      </c>
      <c r="M6554" t="s">
        <v>45285</v>
      </c>
      <c r="N6554" t="s">
        <v>47304</v>
      </c>
      <c r="O6554" t="s">
        <v>47305</v>
      </c>
      <c r="P6554">
        <v>0</v>
      </c>
      <c r="Q6554">
        <v>6</v>
      </c>
      <c r="R6554" t="s">
        <v>47311</v>
      </c>
      <c r="S6554" t="s">
        <v>47443</v>
      </c>
      <c r="T6554" t="s">
        <v>49004</v>
      </c>
      <c r="U6554" t="s">
        <v>55015</v>
      </c>
      <c r="W6554" t="s">
        <v>45285</v>
      </c>
      <c r="X6554" t="s">
        <v>47312</v>
      </c>
    </row>
    <row r="6555" spans="1:24">
      <c r="A6555">
        <f>HYPERLINK("https://www.philgeps.gov.ph/GEPSNONPILOT/Tender/SplashBidNoticeAbstractUI.aspx?menuIndex=3&amp;refID=7190526&amp;Result=3","7190526")</f>
        <v>0</v>
      </c>
      <c r="B6555" t="s">
        <v>1206</v>
      </c>
      <c r="C6555" t="s">
        <v>10013</v>
      </c>
      <c r="D6555" t="s">
        <v>19010</v>
      </c>
      <c r="E6555" t="s">
        <v>24800</v>
      </c>
      <c r="F6555" t="s">
        <v>32606</v>
      </c>
      <c r="G6555" t="s">
        <v>32614</v>
      </c>
      <c r="H6555" t="s">
        <v>14201</v>
      </c>
      <c r="I6555" t="s">
        <v>4120</v>
      </c>
      <c r="J6555" t="s">
        <v>32949</v>
      </c>
      <c r="K6555" t="s">
        <v>42631</v>
      </c>
      <c r="M6555" t="s">
        <v>44170</v>
      </c>
      <c r="N6555" t="s">
        <v>47304</v>
      </c>
      <c r="O6555" t="s">
        <v>47305</v>
      </c>
      <c r="P6555">
        <v>0</v>
      </c>
      <c r="Q6555">
        <v>5</v>
      </c>
      <c r="R6555" t="s">
        <v>47311</v>
      </c>
      <c r="S6555" t="s">
        <v>47443</v>
      </c>
      <c r="T6555" t="s">
        <v>49269</v>
      </c>
      <c r="U6555" t="s">
        <v>55016</v>
      </c>
      <c r="W6555" t="s">
        <v>44170</v>
      </c>
      <c r="X6555" t="s">
        <v>47312</v>
      </c>
    </row>
    <row r="6556" spans="1:24">
      <c r="A6556">
        <f>HYPERLINK("https://www.philgeps.gov.ph/GEPSNONPILOT/Tender/SplashBidNoticeAbstractUI.aspx?menuIndex=3&amp;refID=7190558&amp;Result=3","7190558")</f>
        <v>0</v>
      </c>
      <c r="B6556" t="s">
        <v>2187</v>
      </c>
      <c r="C6556" t="s">
        <v>10014</v>
      </c>
      <c r="D6556" t="s">
        <v>19006</v>
      </c>
      <c r="E6556" t="s">
        <v>24801</v>
      </c>
      <c r="F6556" t="s">
        <v>32606</v>
      </c>
      <c r="G6556" t="s">
        <v>32614</v>
      </c>
      <c r="H6556" t="s">
        <v>14201</v>
      </c>
      <c r="I6556" t="s">
        <v>4120</v>
      </c>
      <c r="J6556" t="s">
        <v>36968</v>
      </c>
      <c r="K6556" t="s">
        <v>42631</v>
      </c>
      <c r="M6556" t="s">
        <v>45286</v>
      </c>
      <c r="N6556" t="s">
        <v>47304</v>
      </c>
      <c r="O6556" t="s">
        <v>47305</v>
      </c>
      <c r="P6556">
        <v>0</v>
      </c>
      <c r="Q6556">
        <v>2</v>
      </c>
      <c r="R6556" t="s">
        <v>47311</v>
      </c>
      <c r="S6556" t="s">
        <v>47443</v>
      </c>
      <c r="T6556" t="s">
        <v>48980</v>
      </c>
      <c r="U6556" t="s">
        <v>55017</v>
      </c>
      <c r="W6556" t="s">
        <v>45286</v>
      </c>
      <c r="X6556" t="s">
        <v>47312</v>
      </c>
    </row>
    <row r="6557" spans="1:24">
      <c r="A6557">
        <f>HYPERLINK("https://www.philgeps.gov.ph/GEPSNONPILOT/Tender/SplashBidNoticeAbstractUI.aspx?menuIndex=3&amp;refID=7190525&amp;Result=3","7190525")</f>
        <v>0</v>
      </c>
      <c r="B6557" t="s">
        <v>828</v>
      </c>
      <c r="C6557" t="s">
        <v>10015</v>
      </c>
      <c r="D6557" t="s">
        <v>19030</v>
      </c>
      <c r="E6557" t="s">
        <v>24802</v>
      </c>
      <c r="F6557" t="s">
        <v>32606</v>
      </c>
      <c r="G6557" t="s">
        <v>32613</v>
      </c>
      <c r="H6557" t="s">
        <v>14201</v>
      </c>
      <c r="I6557" t="s">
        <v>32631</v>
      </c>
      <c r="J6557" t="s">
        <v>36969</v>
      </c>
      <c r="K6557" t="s">
        <v>42630</v>
      </c>
      <c r="M6557" t="s">
        <v>43759</v>
      </c>
      <c r="N6557" t="s">
        <v>47304</v>
      </c>
      <c r="O6557" t="s">
        <v>47305</v>
      </c>
      <c r="Q6557">
        <v>0</v>
      </c>
      <c r="R6557" t="s">
        <v>47311</v>
      </c>
      <c r="S6557" t="s">
        <v>47453</v>
      </c>
      <c r="T6557" t="s">
        <v>49017</v>
      </c>
      <c r="U6557" t="s">
        <v>55018</v>
      </c>
      <c r="V6557" t="s">
        <v>63275</v>
      </c>
      <c r="W6557" t="s">
        <v>43759</v>
      </c>
      <c r="X6557" t="s">
        <v>47312</v>
      </c>
    </row>
    <row r="6558" spans="1:24">
      <c r="A6558">
        <f>HYPERLINK("https://www.philgeps.gov.ph/GEPSNONPILOT/Tender/SplashBidNoticeAbstractUI.aspx?menuIndex=3&amp;refID=7190541&amp;Result=3","7190541")</f>
        <v>0</v>
      </c>
      <c r="B6558" t="s">
        <v>688</v>
      </c>
      <c r="C6558" t="s">
        <v>10016</v>
      </c>
      <c r="D6558" t="s">
        <v>19073</v>
      </c>
      <c r="E6558" t="s">
        <v>24803</v>
      </c>
      <c r="F6558" t="s">
        <v>32606</v>
      </c>
      <c r="G6558" t="s">
        <v>32614</v>
      </c>
      <c r="H6558" t="s">
        <v>14201</v>
      </c>
      <c r="I6558" t="s">
        <v>32669</v>
      </c>
      <c r="J6558" t="s">
        <v>32949</v>
      </c>
      <c r="K6558" t="s">
        <v>42624</v>
      </c>
      <c r="M6558" t="s">
        <v>43805</v>
      </c>
      <c r="N6558" t="s">
        <v>47304</v>
      </c>
      <c r="O6558" t="s">
        <v>47305</v>
      </c>
      <c r="P6558">
        <v>0</v>
      </c>
      <c r="Q6558">
        <v>1</v>
      </c>
      <c r="R6558" t="s">
        <v>47311</v>
      </c>
      <c r="S6558" t="s">
        <v>47443</v>
      </c>
      <c r="T6558" t="s">
        <v>49071</v>
      </c>
      <c r="U6558" t="s">
        <v>55019</v>
      </c>
      <c r="W6558" t="s">
        <v>43805</v>
      </c>
      <c r="X6558" t="s">
        <v>47312</v>
      </c>
    </row>
    <row r="6559" spans="1:24">
      <c r="A6559">
        <f>HYPERLINK("https://www.philgeps.gov.ph/GEPSNONPILOT/Tender/SplashBidNoticeAbstractUI.aspx?menuIndex=3&amp;refID=7190549&amp;Result=3","7190549")</f>
        <v>0</v>
      </c>
      <c r="B6559" t="s">
        <v>505</v>
      </c>
      <c r="C6559" t="s">
        <v>10017</v>
      </c>
      <c r="D6559" t="s">
        <v>19043</v>
      </c>
      <c r="E6559" t="s">
        <v>24804</v>
      </c>
      <c r="F6559" t="s">
        <v>32606</v>
      </c>
      <c r="G6559" t="s">
        <v>32613</v>
      </c>
      <c r="H6559" t="s">
        <v>32625</v>
      </c>
      <c r="I6559" t="s">
        <v>17648</v>
      </c>
      <c r="J6559" t="s">
        <v>36970</v>
      </c>
      <c r="K6559" t="s">
        <v>42622</v>
      </c>
      <c r="M6559" t="s">
        <v>45287</v>
      </c>
      <c r="N6559" t="s">
        <v>47304</v>
      </c>
      <c r="O6559" t="s">
        <v>47305</v>
      </c>
      <c r="P6559">
        <v>0</v>
      </c>
      <c r="Q6559">
        <v>0</v>
      </c>
      <c r="R6559" t="s">
        <v>47311</v>
      </c>
      <c r="S6559" t="s">
        <v>47443</v>
      </c>
      <c r="T6559" t="s">
        <v>48980</v>
      </c>
      <c r="U6559" t="s">
        <v>55020</v>
      </c>
      <c r="V6559" t="s">
        <v>63276</v>
      </c>
      <c r="W6559" t="s">
        <v>45287</v>
      </c>
      <c r="X6559" t="s">
        <v>47312</v>
      </c>
    </row>
    <row r="6560" spans="1:24">
      <c r="A6560">
        <f>HYPERLINK("https://www.philgeps.gov.ph/GEPSNONPILOT/Tender/SplashBidNoticeAbstractUI.aspx?menuIndex=3&amp;refID=7190605&amp;Result=3","7190605")</f>
        <v>0</v>
      </c>
      <c r="B6560" t="s">
        <v>1465</v>
      </c>
      <c r="C6560" t="s">
        <v>10018</v>
      </c>
      <c r="D6560" t="s">
        <v>18991</v>
      </c>
      <c r="E6560" t="s">
        <v>24805</v>
      </c>
      <c r="F6560" t="s">
        <v>32606</v>
      </c>
      <c r="G6560" t="s">
        <v>32614</v>
      </c>
      <c r="H6560" t="s">
        <v>14201</v>
      </c>
      <c r="I6560" t="s">
        <v>7577</v>
      </c>
      <c r="J6560" t="s">
        <v>36971</v>
      </c>
      <c r="K6560" t="s">
        <v>42631</v>
      </c>
      <c r="M6560" t="s">
        <v>44459</v>
      </c>
      <c r="N6560" t="s">
        <v>47304</v>
      </c>
      <c r="O6560" t="s">
        <v>47305</v>
      </c>
      <c r="P6560">
        <v>0</v>
      </c>
      <c r="Q6560">
        <v>2</v>
      </c>
      <c r="R6560" t="s">
        <v>47311</v>
      </c>
      <c r="S6560" t="s">
        <v>47443</v>
      </c>
      <c r="T6560" t="s">
        <v>49268</v>
      </c>
      <c r="U6560" t="s">
        <v>52738</v>
      </c>
      <c r="W6560" t="s">
        <v>44459</v>
      </c>
      <c r="X6560" t="s">
        <v>47312</v>
      </c>
    </row>
    <row r="6561" spans="1:24">
      <c r="A6561">
        <f>HYPERLINK("https://www.philgeps.gov.ph/GEPSNONPILOT/Tender/SplashBidNoticeAbstractUI.aspx?menuIndex=3&amp;refID=7190562&amp;Result=3","7190562")</f>
        <v>0</v>
      </c>
      <c r="B6561" t="s">
        <v>1206</v>
      </c>
      <c r="C6561" t="s">
        <v>10019</v>
      </c>
      <c r="D6561" t="s">
        <v>19010</v>
      </c>
      <c r="E6561" t="s">
        <v>24806</v>
      </c>
      <c r="F6561" t="s">
        <v>32606</v>
      </c>
      <c r="G6561" t="s">
        <v>32614</v>
      </c>
      <c r="H6561" t="s">
        <v>14201</v>
      </c>
      <c r="I6561" t="s">
        <v>4120</v>
      </c>
      <c r="J6561" t="s">
        <v>36972</v>
      </c>
      <c r="K6561" t="s">
        <v>42631</v>
      </c>
      <c r="M6561" t="s">
        <v>44170</v>
      </c>
      <c r="N6561" t="s">
        <v>47304</v>
      </c>
      <c r="O6561" t="s">
        <v>47305</v>
      </c>
      <c r="P6561">
        <v>0</v>
      </c>
      <c r="Q6561">
        <v>5</v>
      </c>
      <c r="R6561" t="s">
        <v>47311</v>
      </c>
      <c r="S6561" t="s">
        <v>47443</v>
      </c>
      <c r="T6561" t="s">
        <v>49269</v>
      </c>
      <c r="U6561" t="s">
        <v>55021</v>
      </c>
      <c r="W6561" t="s">
        <v>44170</v>
      </c>
      <c r="X6561" t="s">
        <v>47312</v>
      </c>
    </row>
    <row r="6562" spans="1:24">
      <c r="A6562">
        <f>HYPERLINK("https://www.philgeps.gov.ph/GEPSNONPILOT/Tender/SplashBidNoticeAbstractUI.aspx?menuIndex=3&amp;refID=7190527&amp;Result=3","7190527")</f>
        <v>0</v>
      </c>
      <c r="B6562" t="s">
        <v>2188</v>
      </c>
      <c r="C6562" t="s">
        <v>10020</v>
      </c>
      <c r="D6562" t="s">
        <v>19023</v>
      </c>
      <c r="E6562" t="s">
        <v>19145</v>
      </c>
      <c r="F6562" t="s">
        <v>32606</v>
      </c>
      <c r="G6562" t="s">
        <v>32613</v>
      </c>
      <c r="H6562" t="s">
        <v>14201</v>
      </c>
      <c r="I6562" t="s">
        <v>7064</v>
      </c>
      <c r="J6562" t="s">
        <v>32868</v>
      </c>
      <c r="K6562" t="s">
        <v>42624</v>
      </c>
      <c r="M6562" t="s">
        <v>45288</v>
      </c>
      <c r="N6562" t="s">
        <v>47304</v>
      </c>
      <c r="O6562" t="s">
        <v>47305</v>
      </c>
      <c r="P6562">
        <v>0</v>
      </c>
      <c r="Q6562">
        <v>0</v>
      </c>
      <c r="R6562" t="s">
        <v>47311</v>
      </c>
      <c r="S6562" t="s">
        <v>47443</v>
      </c>
      <c r="T6562" t="s">
        <v>49352</v>
      </c>
      <c r="U6562" t="s">
        <v>55022</v>
      </c>
      <c r="W6562" t="s">
        <v>45288</v>
      </c>
      <c r="X6562" t="s">
        <v>47312</v>
      </c>
    </row>
    <row r="6563" spans="1:24">
      <c r="A6563">
        <f>HYPERLINK("https://www.philgeps.gov.ph/GEPSNONPILOT/Tender/SplashBidNoticeAbstractUI.aspx?menuIndex=3&amp;refID=7190603&amp;Result=3","7190603")</f>
        <v>0</v>
      </c>
      <c r="B6563" t="s">
        <v>2189</v>
      </c>
      <c r="C6563" t="s">
        <v>10021</v>
      </c>
      <c r="D6563" t="s">
        <v>19051</v>
      </c>
      <c r="E6563" t="s">
        <v>24807</v>
      </c>
      <c r="F6563" t="s">
        <v>32606</v>
      </c>
      <c r="G6563" t="s">
        <v>32613</v>
      </c>
      <c r="H6563" t="s">
        <v>32623</v>
      </c>
      <c r="I6563" t="s">
        <v>17648</v>
      </c>
      <c r="J6563" t="s">
        <v>36973</v>
      </c>
      <c r="K6563" t="s">
        <v>42639</v>
      </c>
      <c r="M6563" t="s">
        <v>45289</v>
      </c>
      <c r="N6563" t="s">
        <v>47304</v>
      </c>
      <c r="O6563" t="s">
        <v>47305</v>
      </c>
      <c r="Q6563">
        <v>0</v>
      </c>
      <c r="R6563" t="s">
        <v>47311</v>
      </c>
      <c r="S6563" t="s">
        <v>47454</v>
      </c>
      <c r="T6563" t="s">
        <v>49075</v>
      </c>
      <c r="U6563" t="s">
        <v>55023</v>
      </c>
      <c r="W6563" t="s">
        <v>45289</v>
      </c>
      <c r="X6563" t="s">
        <v>47312</v>
      </c>
    </row>
    <row r="6564" spans="1:24">
      <c r="A6564">
        <f>HYPERLINK("https://www.philgeps.gov.ph/GEPSNONPILOT/Tender/SplashBidNoticeAbstractUI.aspx?menuIndex=3&amp;refID=7190597&amp;Result=3","7190597")</f>
        <v>0</v>
      </c>
      <c r="B6564" t="s">
        <v>81</v>
      </c>
      <c r="C6564" t="s">
        <v>10022</v>
      </c>
      <c r="D6564" t="s">
        <v>18995</v>
      </c>
      <c r="E6564" t="s">
        <v>24808</v>
      </c>
      <c r="F6564" t="s">
        <v>32606</v>
      </c>
      <c r="G6564" t="s">
        <v>32613</v>
      </c>
      <c r="H6564" t="s">
        <v>32623</v>
      </c>
      <c r="I6564" t="s">
        <v>17648</v>
      </c>
      <c r="J6564" t="s">
        <v>36974</v>
      </c>
      <c r="K6564" t="s">
        <v>42624</v>
      </c>
      <c r="M6564" t="s">
        <v>42978</v>
      </c>
      <c r="N6564" t="s">
        <v>47304</v>
      </c>
      <c r="O6564" t="s">
        <v>47305</v>
      </c>
      <c r="P6564">
        <v>0</v>
      </c>
      <c r="Q6564">
        <v>3</v>
      </c>
      <c r="R6564" t="s">
        <v>47311</v>
      </c>
      <c r="S6564" t="s">
        <v>47443</v>
      </c>
      <c r="T6564" t="s">
        <v>49080</v>
      </c>
      <c r="U6564" t="s">
        <v>55024</v>
      </c>
      <c r="W6564" t="s">
        <v>42978</v>
      </c>
      <c r="X6564" t="s">
        <v>47312</v>
      </c>
    </row>
    <row r="6565" spans="1:24">
      <c r="A6565">
        <f>HYPERLINK("https://www.philgeps.gov.ph/GEPSNONPILOT/Tender/SplashBidNoticeAbstractUI.aspx?menuIndex=3&amp;refID=7190596&amp;Result=3","7190596")</f>
        <v>0</v>
      </c>
      <c r="B6565" t="s">
        <v>2169</v>
      </c>
      <c r="C6565" t="s">
        <v>10023</v>
      </c>
      <c r="D6565" t="s">
        <v>19014</v>
      </c>
      <c r="E6565" t="s">
        <v>24809</v>
      </c>
      <c r="F6565" t="s">
        <v>32606</v>
      </c>
      <c r="G6565" t="s">
        <v>32613</v>
      </c>
      <c r="H6565" t="s">
        <v>32623</v>
      </c>
      <c r="I6565" t="s">
        <v>17648</v>
      </c>
      <c r="J6565" t="s">
        <v>32789</v>
      </c>
      <c r="K6565" t="s">
        <v>42785</v>
      </c>
      <c r="M6565" t="s">
        <v>45265</v>
      </c>
      <c r="N6565" t="s">
        <v>47304</v>
      </c>
      <c r="O6565" t="s">
        <v>47305</v>
      </c>
      <c r="P6565">
        <v>0</v>
      </c>
      <c r="Q6565">
        <v>1</v>
      </c>
      <c r="R6565" t="s">
        <v>47311</v>
      </c>
      <c r="S6565" t="s">
        <v>47443</v>
      </c>
      <c r="T6565" t="s">
        <v>49287</v>
      </c>
      <c r="U6565" t="s">
        <v>55025</v>
      </c>
      <c r="V6565" t="s">
        <v>63277</v>
      </c>
      <c r="W6565" t="s">
        <v>45265</v>
      </c>
      <c r="X6565" t="s">
        <v>47312</v>
      </c>
    </row>
    <row r="6566" spans="1:24">
      <c r="A6566">
        <f>HYPERLINK("https://www.philgeps.gov.ph/GEPSNONPILOT/Tender/SplashBidNoticeAbstractUI.aspx?menuIndex=3&amp;refID=7190599&amp;Result=3","7190599")</f>
        <v>0</v>
      </c>
      <c r="B6566" t="s">
        <v>1032</v>
      </c>
      <c r="C6566" t="s">
        <v>10024</v>
      </c>
      <c r="E6566" t="s">
        <v>24810</v>
      </c>
      <c r="F6566" t="s">
        <v>32606</v>
      </c>
      <c r="G6566" t="s">
        <v>32614</v>
      </c>
      <c r="H6566" t="s">
        <v>14201</v>
      </c>
      <c r="I6566" t="s">
        <v>32677</v>
      </c>
      <c r="J6566" t="s">
        <v>36975</v>
      </c>
      <c r="K6566" t="s">
        <v>42631</v>
      </c>
      <c r="M6566" t="s">
        <v>44785</v>
      </c>
      <c r="N6566" t="s">
        <v>47304</v>
      </c>
      <c r="O6566" t="s">
        <v>47305</v>
      </c>
      <c r="P6566">
        <v>0</v>
      </c>
      <c r="Q6566">
        <v>1</v>
      </c>
      <c r="R6566" t="s">
        <v>47311</v>
      </c>
      <c r="S6566" t="s">
        <v>47443</v>
      </c>
      <c r="T6566" t="s">
        <v>49353</v>
      </c>
      <c r="U6566" t="s">
        <v>55026</v>
      </c>
      <c r="W6566" t="s">
        <v>44785</v>
      </c>
      <c r="X6566" t="s">
        <v>47312</v>
      </c>
    </row>
    <row r="6567" spans="1:24">
      <c r="A6567">
        <f>HYPERLINK("https://www.philgeps.gov.ph/GEPSNONPILOT/Tender/SplashBidNoticeAbstractUI.aspx?menuIndex=3&amp;refID=7190593&amp;Result=3","7190593")</f>
        <v>0</v>
      </c>
      <c r="B6567" t="s">
        <v>2190</v>
      </c>
      <c r="C6567" t="s">
        <v>10025</v>
      </c>
      <c r="D6567" t="s">
        <v>19050</v>
      </c>
      <c r="E6567" t="s">
        <v>24811</v>
      </c>
      <c r="F6567" t="s">
        <v>32606</v>
      </c>
      <c r="G6567" t="s">
        <v>32613</v>
      </c>
      <c r="H6567" t="s">
        <v>14201</v>
      </c>
      <c r="I6567" t="s">
        <v>6931</v>
      </c>
      <c r="J6567" t="s">
        <v>36623</v>
      </c>
      <c r="K6567" t="s">
        <v>42631</v>
      </c>
      <c r="M6567" t="s">
        <v>45290</v>
      </c>
      <c r="N6567" t="s">
        <v>47304</v>
      </c>
      <c r="O6567" t="s">
        <v>47305</v>
      </c>
      <c r="P6567">
        <v>0</v>
      </c>
      <c r="Q6567">
        <v>0</v>
      </c>
      <c r="R6567" t="s">
        <v>47311</v>
      </c>
      <c r="S6567" t="s">
        <v>47443</v>
      </c>
      <c r="T6567" t="s">
        <v>49014</v>
      </c>
      <c r="U6567" t="s">
        <v>55027</v>
      </c>
      <c r="W6567" t="s">
        <v>45290</v>
      </c>
      <c r="X6567" t="s">
        <v>47312</v>
      </c>
    </row>
    <row r="6568" spans="1:24">
      <c r="A6568">
        <f>HYPERLINK("https://www.philgeps.gov.ph/GEPSNONPILOT/Tender/SplashBidNoticeAbstractUI.aspx?menuIndex=3&amp;refID=7190585&amp;Result=3","7190585")</f>
        <v>0</v>
      </c>
      <c r="B6568" t="s">
        <v>2191</v>
      </c>
      <c r="C6568" t="s">
        <v>10026</v>
      </c>
      <c r="D6568" t="s">
        <v>19067</v>
      </c>
      <c r="E6568" t="s">
        <v>24812</v>
      </c>
      <c r="F6568" t="s">
        <v>32606</v>
      </c>
      <c r="G6568" t="s">
        <v>32613</v>
      </c>
      <c r="H6568" t="s">
        <v>32623</v>
      </c>
      <c r="I6568" t="s">
        <v>17648</v>
      </c>
      <c r="J6568" t="s">
        <v>36976</v>
      </c>
      <c r="K6568" t="s">
        <v>42645</v>
      </c>
      <c r="M6568" t="s">
        <v>45291</v>
      </c>
      <c r="N6568" t="s">
        <v>47304</v>
      </c>
      <c r="O6568" t="s">
        <v>47305</v>
      </c>
      <c r="P6568">
        <v>0</v>
      </c>
      <c r="Q6568">
        <v>1</v>
      </c>
      <c r="R6568" t="s">
        <v>47311</v>
      </c>
      <c r="S6568" t="s">
        <v>47443</v>
      </c>
      <c r="T6568" t="s">
        <v>49144</v>
      </c>
      <c r="U6568" t="s">
        <v>55028</v>
      </c>
      <c r="W6568" t="s">
        <v>45291</v>
      </c>
      <c r="X6568" t="s">
        <v>47312</v>
      </c>
    </row>
    <row r="6569" spans="1:24">
      <c r="A6569">
        <f>HYPERLINK("https://www.philgeps.gov.ph/GEPSNONPILOT/Tender/SplashBidNoticeAbstractUI.aspx?menuIndex=3&amp;refID=7190580&amp;Result=3","7190580")</f>
        <v>0</v>
      </c>
      <c r="B6569" t="s">
        <v>745</v>
      </c>
      <c r="C6569" t="s">
        <v>10027</v>
      </c>
      <c r="D6569" t="s">
        <v>19043</v>
      </c>
      <c r="E6569" t="s">
        <v>24813</v>
      </c>
      <c r="F6569" t="s">
        <v>32606</v>
      </c>
      <c r="G6569" t="s">
        <v>32613</v>
      </c>
      <c r="H6569" t="s">
        <v>14201</v>
      </c>
      <c r="I6569" t="s">
        <v>4678</v>
      </c>
      <c r="J6569" t="s">
        <v>32973</v>
      </c>
      <c r="K6569" t="s">
        <v>42622</v>
      </c>
      <c r="M6569" t="s">
        <v>43668</v>
      </c>
      <c r="N6569" t="s">
        <v>47304</v>
      </c>
      <c r="O6569" t="s">
        <v>47305</v>
      </c>
      <c r="P6569">
        <v>0</v>
      </c>
      <c r="Q6569">
        <v>0</v>
      </c>
      <c r="R6569" t="s">
        <v>47311</v>
      </c>
      <c r="S6569" t="s">
        <v>47443</v>
      </c>
      <c r="T6569" t="s">
        <v>49160</v>
      </c>
      <c r="U6569" t="s">
        <v>55029</v>
      </c>
      <c r="W6569" t="s">
        <v>43668</v>
      </c>
      <c r="X6569" t="s">
        <v>47312</v>
      </c>
    </row>
    <row r="6570" spans="1:24">
      <c r="A6570">
        <f>HYPERLINK("https://www.philgeps.gov.ph/GEPSNONPILOT/Tender/SplashBidNoticeAbstractUI.aspx?menuIndex=3&amp;refID=7190579&amp;Result=3","7190579")</f>
        <v>0</v>
      </c>
      <c r="B6570" t="s">
        <v>2192</v>
      </c>
      <c r="C6570" t="s">
        <v>10028</v>
      </c>
      <c r="D6570" t="s">
        <v>19043</v>
      </c>
      <c r="E6570" t="s">
        <v>24814</v>
      </c>
      <c r="F6570" t="s">
        <v>32606</v>
      </c>
      <c r="G6570" t="s">
        <v>32619</v>
      </c>
      <c r="H6570" t="s">
        <v>14201</v>
      </c>
      <c r="I6570" t="s">
        <v>32626</v>
      </c>
      <c r="J6570" t="s">
        <v>36977</v>
      </c>
      <c r="K6570" t="s">
        <v>42631</v>
      </c>
      <c r="M6570" t="s">
        <v>45292</v>
      </c>
      <c r="N6570" t="s">
        <v>47304</v>
      </c>
      <c r="O6570" t="s">
        <v>47305</v>
      </c>
      <c r="P6570">
        <v>0</v>
      </c>
      <c r="Q6570">
        <v>9</v>
      </c>
      <c r="R6570" t="s">
        <v>47311</v>
      </c>
      <c r="S6570" t="s">
        <v>47443</v>
      </c>
      <c r="T6570" t="s">
        <v>49061</v>
      </c>
      <c r="U6570" t="s">
        <v>55030</v>
      </c>
      <c r="V6570" t="s">
        <v>63278</v>
      </c>
      <c r="W6570" t="s">
        <v>45292</v>
      </c>
      <c r="X6570" t="s">
        <v>47312</v>
      </c>
    </row>
    <row r="6571" spans="1:24">
      <c r="A6571">
        <f>HYPERLINK("https://www.philgeps.gov.ph/GEPSNONPILOT/Tender/SplashBidNoticeAbstractUI.aspx?menuIndex=3&amp;refID=7190577&amp;Result=3","7190577")</f>
        <v>0</v>
      </c>
      <c r="B6571" t="s">
        <v>2175</v>
      </c>
      <c r="C6571" t="s">
        <v>10029</v>
      </c>
      <c r="D6571" t="s">
        <v>19008</v>
      </c>
      <c r="E6571" t="s">
        <v>24815</v>
      </c>
      <c r="F6571" t="s">
        <v>32606</v>
      </c>
      <c r="G6571" t="s">
        <v>32619</v>
      </c>
      <c r="H6571" t="s">
        <v>14201</v>
      </c>
      <c r="I6571" t="s">
        <v>13131</v>
      </c>
      <c r="J6571" t="s">
        <v>33189</v>
      </c>
      <c r="K6571" t="s">
        <v>42631</v>
      </c>
      <c r="M6571" t="s">
        <v>45271</v>
      </c>
      <c r="N6571" t="s">
        <v>47304</v>
      </c>
      <c r="O6571" t="s">
        <v>47305</v>
      </c>
      <c r="P6571">
        <v>0</v>
      </c>
      <c r="Q6571">
        <v>0</v>
      </c>
      <c r="R6571" t="s">
        <v>47311</v>
      </c>
      <c r="S6571" t="s">
        <v>47443</v>
      </c>
      <c r="T6571" t="s">
        <v>49014</v>
      </c>
      <c r="U6571" t="s">
        <v>55031</v>
      </c>
      <c r="W6571" t="s">
        <v>45271</v>
      </c>
      <c r="X6571" t="s">
        <v>47312</v>
      </c>
    </row>
    <row r="6572" spans="1:24">
      <c r="A6572">
        <f>HYPERLINK("https://www.philgeps.gov.ph/GEPSNONPILOT/Tender/SplashBidNoticeAbstractUI.aspx?menuIndex=3&amp;refID=7190565&amp;Result=3","7190565")</f>
        <v>0</v>
      </c>
      <c r="B6572" t="s">
        <v>644</v>
      </c>
      <c r="C6572" t="s">
        <v>10030</v>
      </c>
      <c r="D6572" t="s">
        <v>19022</v>
      </c>
      <c r="E6572" t="s">
        <v>10030</v>
      </c>
      <c r="F6572" t="s">
        <v>32606</v>
      </c>
      <c r="G6572" t="s">
        <v>32614</v>
      </c>
      <c r="H6572" t="s">
        <v>14201</v>
      </c>
      <c r="I6572" t="s">
        <v>6931</v>
      </c>
      <c r="J6572" t="s">
        <v>34123</v>
      </c>
      <c r="K6572" t="s">
        <v>42624</v>
      </c>
      <c r="M6572" t="s">
        <v>44072</v>
      </c>
      <c r="N6572" t="s">
        <v>47304</v>
      </c>
      <c r="O6572" t="s">
        <v>47305</v>
      </c>
      <c r="P6572">
        <v>0</v>
      </c>
      <c r="Q6572">
        <v>0</v>
      </c>
      <c r="R6572" t="s">
        <v>47311</v>
      </c>
      <c r="S6572" t="s">
        <v>47443</v>
      </c>
      <c r="T6572" t="s">
        <v>49331</v>
      </c>
      <c r="U6572" t="s">
        <v>55032</v>
      </c>
      <c r="W6572" t="s">
        <v>44072</v>
      </c>
      <c r="X6572" t="s">
        <v>47312</v>
      </c>
    </row>
    <row r="6573" spans="1:24">
      <c r="A6573">
        <f>HYPERLINK("https://www.philgeps.gov.ph/GEPSNONPILOT/Tender/SplashBidNoticeAbstractUI.aspx?menuIndex=3&amp;refID=7190570&amp;Result=3","7190570")</f>
        <v>0</v>
      </c>
      <c r="B6573" t="s">
        <v>2155</v>
      </c>
      <c r="C6573" t="s">
        <v>10031</v>
      </c>
      <c r="D6573" t="s">
        <v>19011</v>
      </c>
      <c r="E6573" t="s">
        <v>24816</v>
      </c>
      <c r="F6573" t="s">
        <v>32606</v>
      </c>
      <c r="G6573" t="s">
        <v>32613</v>
      </c>
      <c r="H6573" t="s">
        <v>14201</v>
      </c>
      <c r="I6573" t="s">
        <v>4114</v>
      </c>
      <c r="J6573" t="s">
        <v>32833</v>
      </c>
      <c r="K6573" t="s">
        <v>42631</v>
      </c>
      <c r="M6573" t="s">
        <v>45246</v>
      </c>
      <c r="N6573" t="s">
        <v>47304</v>
      </c>
      <c r="O6573" t="s">
        <v>47305</v>
      </c>
      <c r="P6573">
        <v>0</v>
      </c>
      <c r="Q6573">
        <v>4</v>
      </c>
      <c r="R6573" t="s">
        <v>47311</v>
      </c>
      <c r="S6573" t="s">
        <v>47443</v>
      </c>
      <c r="T6573" t="s">
        <v>49080</v>
      </c>
      <c r="U6573" t="s">
        <v>54912</v>
      </c>
      <c r="V6573" t="s">
        <v>63264</v>
      </c>
      <c r="W6573" t="s">
        <v>45246</v>
      </c>
      <c r="X6573" t="s">
        <v>47312</v>
      </c>
    </row>
    <row r="6574" spans="1:24">
      <c r="A6574">
        <f>HYPERLINK("https://www.philgeps.gov.ph/GEPSNONPILOT/Tender/SplashBidNoticeAbstractUI.aspx?menuIndex=3&amp;refID=7190568&amp;Result=3","7190568")</f>
        <v>0</v>
      </c>
      <c r="B6574" t="s">
        <v>2193</v>
      </c>
      <c r="C6574" t="s">
        <v>10032</v>
      </c>
      <c r="D6574" t="s">
        <v>19019</v>
      </c>
      <c r="E6574" t="s">
        <v>24817</v>
      </c>
      <c r="F6574" t="s">
        <v>32606</v>
      </c>
      <c r="G6574" t="s">
        <v>32619</v>
      </c>
      <c r="H6574" t="s">
        <v>14201</v>
      </c>
      <c r="I6574" t="s">
        <v>4114</v>
      </c>
      <c r="J6574" t="s">
        <v>36978</v>
      </c>
      <c r="K6574" t="s">
        <v>42623</v>
      </c>
      <c r="M6574" t="s">
        <v>45293</v>
      </c>
      <c r="N6574" t="s">
        <v>47304</v>
      </c>
      <c r="O6574" t="s">
        <v>47305</v>
      </c>
      <c r="P6574">
        <v>0</v>
      </c>
      <c r="Q6574">
        <v>1</v>
      </c>
      <c r="R6574" t="s">
        <v>47311</v>
      </c>
      <c r="S6574" t="s">
        <v>47443</v>
      </c>
      <c r="T6574" t="s">
        <v>49053</v>
      </c>
      <c r="U6574" t="s">
        <v>55033</v>
      </c>
      <c r="W6574" t="s">
        <v>45293</v>
      </c>
      <c r="X6574" t="s">
        <v>47312</v>
      </c>
    </row>
    <row r="6575" spans="1:24">
      <c r="A6575">
        <f>HYPERLINK("https://www.philgeps.gov.ph/GEPSNONPILOT/Tender/SplashBidNoticeAbstractUI.aspx?menuIndex=3&amp;refID=7190592&amp;Result=3","7190592")</f>
        <v>0</v>
      </c>
      <c r="B6575" t="s">
        <v>2194</v>
      </c>
      <c r="C6575" t="s">
        <v>10033</v>
      </c>
      <c r="D6575" t="s">
        <v>18993</v>
      </c>
      <c r="E6575" t="s">
        <v>24818</v>
      </c>
      <c r="F6575" t="s">
        <v>32606</v>
      </c>
      <c r="G6575" t="s">
        <v>32614</v>
      </c>
      <c r="H6575" t="s">
        <v>14201</v>
      </c>
      <c r="I6575" t="s">
        <v>6993</v>
      </c>
      <c r="J6575" t="s">
        <v>32789</v>
      </c>
      <c r="K6575" t="s">
        <v>42631</v>
      </c>
      <c r="M6575" t="s">
        <v>45294</v>
      </c>
      <c r="N6575" t="s">
        <v>47304</v>
      </c>
      <c r="O6575" t="s">
        <v>47305</v>
      </c>
      <c r="P6575">
        <v>0</v>
      </c>
      <c r="Q6575">
        <v>2</v>
      </c>
      <c r="R6575" t="s">
        <v>47311</v>
      </c>
      <c r="S6575" t="s">
        <v>47443</v>
      </c>
      <c r="T6575" t="s">
        <v>49165</v>
      </c>
      <c r="U6575" t="s">
        <v>55034</v>
      </c>
      <c r="V6575" t="s">
        <v>63279</v>
      </c>
      <c r="W6575" t="s">
        <v>45294</v>
      </c>
      <c r="X6575" t="s">
        <v>47312</v>
      </c>
    </row>
    <row r="6576" spans="1:24">
      <c r="A6576">
        <f>HYPERLINK("https://www.philgeps.gov.ph/GEPSNONPILOT/Tender/SplashBidNoticeAbstractUI.aspx?menuIndex=3&amp;refID=7190604&amp;Result=3","7190604")</f>
        <v>0</v>
      </c>
      <c r="B6576" t="s">
        <v>301</v>
      </c>
      <c r="C6576" t="s">
        <v>10034</v>
      </c>
      <c r="D6576" t="s">
        <v>19011</v>
      </c>
      <c r="E6576" t="s">
        <v>24819</v>
      </c>
      <c r="F6576" t="s">
        <v>32606</v>
      </c>
      <c r="G6576" t="s">
        <v>32619</v>
      </c>
      <c r="H6576" t="s">
        <v>14201</v>
      </c>
      <c r="I6576" t="s">
        <v>6309</v>
      </c>
      <c r="J6576" t="s">
        <v>33034</v>
      </c>
      <c r="K6576" t="s">
        <v>42627</v>
      </c>
      <c r="M6576" t="s">
        <v>43203</v>
      </c>
      <c r="N6576" t="s">
        <v>47304</v>
      </c>
      <c r="O6576" t="s">
        <v>47305</v>
      </c>
      <c r="P6576">
        <v>0</v>
      </c>
      <c r="Q6576">
        <v>0</v>
      </c>
      <c r="R6576" t="s">
        <v>47311</v>
      </c>
      <c r="S6576" t="s">
        <v>47443</v>
      </c>
      <c r="T6576" t="s">
        <v>48997</v>
      </c>
      <c r="U6576" t="s">
        <v>55035</v>
      </c>
      <c r="W6576" t="s">
        <v>43203</v>
      </c>
      <c r="X6576" t="s">
        <v>47312</v>
      </c>
    </row>
    <row r="6577" spans="1:24">
      <c r="A6577">
        <f>HYPERLINK("https://www.philgeps.gov.ph/GEPSNONPILOT/Tender/SplashBidNoticeAbstractUI.aspx?menuIndex=3&amp;refID=7190524&amp;Result=3","7190524")</f>
        <v>0</v>
      </c>
      <c r="B6577" t="s">
        <v>2195</v>
      </c>
      <c r="C6577" t="s">
        <v>10035</v>
      </c>
      <c r="D6577" t="s">
        <v>19016</v>
      </c>
      <c r="E6577" t="s">
        <v>24820</v>
      </c>
      <c r="F6577" t="s">
        <v>32606</v>
      </c>
      <c r="G6577" t="s">
        <v>32613</v>
      </c>
      <c r="H6577" t="s">
        <v>14201</v>
      </c>
      <c r="I6577" t="s">
        <v>6931</v>
      </c>
      <c r="J6577" t="s">
        <v>36979</v>
      </c>
      <c r="K6577" t="s">
        <v>42630</v>
      </c>
      <c r="M6577" t="s">
        <v>45295</v>
      </c>
      <c r="N6577" t="s">
        <v>47304</v>
      </c>
      <c r="O6577" t="s">
        <v>47305</v>
      </c>
      <c r="P6577">
        <v>0</v>
      </c>
      <c r="Q6577">
        <v>0</v>
      </c>
      <c r="R6577" t="s">
        <v>47311</v>
      </c>
      <c r="S6577" t="s">
        <v>47443</v>
      </c>
      <c r="T6577" t="s">
        <v>49042</v>
      </c>
      <c r="U6577" t="s">
        <v>55036</v>
      </c>
      <c r="V6577" t="s">
        <v>63280</v>
      </c>
      <c r="W6577" t="s">
        <v>45295</v>
      </c>
      <c r="X6577" t="s">
        <v>47312</v>
      </c>
    </row>
    <row r="6578" spans="1:24">
      <c r="A6578">
        <f>HYPERLINK("https://www.philgeps.gov.ph/GEPSNONPILOT/Tender/SplashBidNoticeAbstractUI.aspx?menuIndex=3&amp;refID=7190522&amp;Result=3","7190522")</f>
        <v>0</v>
      </c>
      <c r="B6578" t="s">
        <v>2196</v>
      </c>
      <c r="C6578" t="s">
        <v>10036</v>
      </c>
      <c r="D6578" t="s">
        <v>19004</v>
      </c>
      <c r="E6578" t="s">
        <v>24821</v>
      </c>
      <c r="F6578" t="s">
        <v>32606</v>
      </c>
      <c r="G6578" t="s">
        <v>32613</v>
      </c>
      <c r="H6578" t="s">
        <v>14201</v>
      </c>
      <c r="I6578" t="s">
        <v>4678</v>
      </c>
      <c r="J6578" t="s">
        <v>36980</v>
      </c>
      <c r="K6578" t="s">
        <v>42630</v>
      </c>
      <c r="M6578" t="s">
        <v>45296</v>
      </c>
      <c r="N6578" t="s">
        <v>47304</v>
      </c>
      <c r="O6578" t="s">
        <v>47305</v>
      </c>
      <c r="P6578">
        <v>0</v>
      </c>
      <c r="Q6578">
        <v>1</v>
      </c>
      <c r="R6578" t="s">
        <v>47311</v>
      </c>
      <c r="S6578" t="s">
        <v>47443</v>
      </c>
      <c r="T6578" t="s">
        <v>49045</v>
      </c>
      <c r="U6578" t="s">
        <v>55037</v>
      </c>
      <c r="W6578" t="s">
        <v>45296</v>
      </c>
      <c r="X6578" t="s">
        <v>47312</v>
      </c>
    </row>
    <row r="6579" spans="1:24">
      <c r="A6579">
        <f>HYPERLINK("https://www.philgeps.gov.ph/GEPSNONPILOT/Tender/SplashBidNoticeAbstractUI.aspx?menuIndex=3&amp;refID=7190511&amp;Result=3","7190511")</f>
        <v>0</v>
      </c>
      <c r="B6579" t="s">
        <v>505</v>
      </c>
      <c r="C6579" t="s">
        <v>10017</v>
      </c>
      <c r="D6579" t="s">
        <v>19043</v>
      </c>
      <c r="E6579" t="s">
        <v>24822</v>
      </c>
      <c r="F6579" t="s">
        <v>32606</v>
      </c>
      <c r="G6579" t="s">
        <v>32613</v>
      </c>
      <c r="H6579" t="s">
        <v>14201</v>
      </c>
      <c r="I6579" t="s">
        <v>17648</v>
      </c>
      <c r="J6579" t="s">
        <v>36981</v>
      </c>
      <c r="K6579" t="s">
        <v>42622</v>
      </c>
      <c r="M6579" t="s">
        <v>45287</v>
      </c>
      <c r="N6579" t="s">
        <v>47304</v>
      </c>
      <c r="O6579" t="s">
        <v>47305</v>
      </c>
      <c r="P6579">
        <v>0</v>
      </c>
      <c r="Q6579">
        <v>0</v>
      </c>
      <c r="R6579" t="s">
        <v>47311</v>
      </c>
      <c r="S6579" t="s">
        <v>47443</v>
      </c>
      <c r="T6579" t="s">
        <v>48980</v>
      </c>
      <c r="U6579" t="s">
        <v>55038</v>
      </c>
      <c r="V6579" t="s">
        <v>63276</v>
      </c>
      <c r="W6579" t="s">
        <v>45287</v>
      </c>
      <c r="X6579" t="s">
        <v>47312</v>
      </c>
    </row>
    <row r="6580" spans="1:24">
      <c r="A6580">
        <f>HYPERLINK("https://www.philgeps.gov.ph/GEPSNONPILOT/Tender/SplashBidNoticeAbstractUI.aspx?menuIndex=3&amp;refID=7190572&amp;Result=3","7190572")</f>
        <v>0</v>
      </c>
      <c r="B6580" t="s">
        <v>81</v>
      </c>
      <c r="C6580" t="s">
        <v>10037</v>
      </c>
      <c r="D6580" t="s">
        <v>18995</v>
      </c>
      <c r="E6580" t="s">
        <v>24823</v>
      </c>
      <c r="F6580" t="s">
        <v>32606</v>
      </c>
      <c r="G6580" t="s">
        <v>32613</v>
      </c>
      <c r="H6580" t="s">
        <v>32623</v>
      </c>
      <c r="I6580" t="s">
        <v>17648</v>
      </c>
      <c r="J6580" t="s">
        <v>36982</v>
      </c>
      <c r="K6580" t="s">
        <v>42624</v>
      </c>
      <c r="M6580" t="s">
        <v>42978</v>
      </c>
      <c r="N6580" t="s">
        <v>47304</v>
      </c>
      <c r="O6580" t="s">
        <v>47305</v>
      </c>
      <c r="P6580">
        <v>0</v>
      </c>
      <c r="Q6580">
        <v>1</v>
      </c>
      <c r="R6580" t="s">
        <v>47311</v>
      </c>
      <c r="S6580" t="s">
        <v>47443</v>
      </c>
      <c r="T6580" t="s">
        <v>49080</v>
      </c>
      <c r="U6580" t="s">
        <v>55039</v>
      </c>
      <c r="W6580" t="s">
        <v>42978</v>
      </c>
      <c r="X6580" t="s">
        <v>47312</v>
      </c>
    </row>
    <row r="6581" spans="1:24">
      <c r="A6581">
        <f>HYPERLINK("https://www.philgeps.gov.ph/GEPSNONPILOT/Tender/SplashBidNoticeAbstractUI.aspx?menuIndex=3&amp;refID=7190520&amp;Result=3","7190520")</f>
        <v>0</v>
      </c>
      <c r="B6581" t="s">
        <v>2183</v>
      </c>
      <c r="C6581" t="s">
        <v>10038</v>
      </c>
      <c r="D6581" t="s">
        <v>19023</v>
      </c>
      <c r="E6581" t="s">
        <v>24824</v>
      </c>
      <c r="F6581" t="s">
        <v>32607</v>
      </c>
      <c r="G6581" t="s">
        <v>32614</v>
      </c>
      <c r="H6581" t="s">
        <v>14201</v>
      </c>
      <c r="I6581" t="s">
        <v>32626</v>
      </c>
      <c r="J6581" t="s">
        <v>36983</v>
      </c>
      <c r="K6581" t="s">
        <v>42623</v>
      </c>
      <c r="M6581" t="s">
        <v>45281</v>
      </c>
      <c r="N6581" t="s">
        <v>47304</v>
      </c>
      <c r="O6581" t="s">
        <v>47305</v>
      </c>
      <c r="P6581">
        <v>0</v>
      </c>
      <c r="Q6581">
        <v>11</v>
      </c>
      <c r="R6581" t="s">
        <v>47311</v>
      </c>
      <c r="S6581" t="s">
        <v>47443</v>
      </c>
      <c r="T6581" t="s">
        <v>48997</v>
      </c>
      <c r="U6581" t="s">
        <v>55040</v>
      </c>
      <c r="V6581" t="s">
        <v>63281</v>
      </c>
      <c r="W6581" t="s">
        <v>45281</v>
      </c>
      <c r="X6581" t="s">
        <v>47312</v>
      </c>
    </row>
    <row r="6582" spans="1:24">
      <c r="A6582">
        <f>HYPERLINK("https://www.philgeps.gov.ph/GEPSNONPILOT/Tender/SplashBidNoticeAbstractUI.aspx?menuIndex=3&amp;refID=7190589&amp;Result=3","7190589")</f>
        <v>0</v>
      </c>
      <c r="B6582" t="s">
        <v>301</v>
      </c>
      <c r="C6582" t="s">
        <v>10039</v>
      </c>
      <c r="D6582" t="s">
        <v>19011</v>
      </c>
      <c r="E6582" t="s">
        <v>24825</v>
      </c>
      <c r="F6582" t="s">
        <v>32606</v>
      </c>
      <c r="G6582" t="s">
        <v>32619</v>
      </c>
      <c r="H6582" t="s">
        <v>14201</v>
      </c>
      <c r="I6582" t="s">
        <v>7577</v>
      </c>
      <c r="J6582" t="s">
        <v>36984</v>
      </c>
      <c r="K6582" t="s">
        <v>42627</v>
      </c>
      <c r="M6582" t="s">
        <v>43203</v>
      </c>
      <c r="N6582" t="s">
        <v>47304</v>
      </c>
      <c r="O6582" t="s">
        <v>47305</v>
      </c>
      <c r="P6582">
        <v>0</v>
      </c>
      <c r="Q6582">
        <v>5</v>
      </c>
      <c r="R6582" t="s">
        <v>47311</v>
      </c>
      <c r="S6582" t="s">
        <v>47443</v>
      </c>
      <c r="T6582" t="s">
        <v>48997</v>
      </c>
      <c r="U6582" t="s">
        <v>55041</v>
      </c>
      <c r="W6582" t="s">
        <v>43203</v>
      </c>
      <c r="X6582" t="s">
        <v>47312</v>
      </c>
    </row>
    <row r="6583" spans="1:24">
      <c r="A6583">
        <f>HYPERLINK("https://www.philgeps.gov.ph/GEPSNONPILOT/Tender/SplashBidNoticeAbstractUI.aspx?menuIndex=3&amp;refID=7190647&amp;Result=3","7190647")</f>
        <v>0</v>
      </c>
      <c r="B6583" t="s">
        <v>698</v>
      </c>
      <c r="C6583" t="s">
        <v>10040</v>
      </c>
      <c r="D6583" t="s">
        <v>19040</v>
      </c>
      <c r="E6583" t="s">
        <v>24826</v>
      </c>
      <c r="F6583" t="s">
        <v>32606</v>
      </c>
      <c r="G6583" t="s">
        <v>32613</v>
      </c>
      <c r="H6583" t="s">
        <v>32623</v>
      </c>
      <c r="I6583" t="s">
        <v>6931</v>
      </c>
      <c r="J6583" t="s">
        <v>32772</v>
      </c>
      <c r="K6583" t="s">
        <v>42675</v>
      </c>
      <c r="M6583" t="s">
        <v>43619</v>
      </c>
      <c r="N6583" t="s">
        <v>47304</v>
      </c>
      <c r="O6583" t="s">
        <v>47305</v>
      </c>
      <c r="P6583">
        <v>0</v>
      </c>
      <c r="Q6583">
        <v>2</v>
      </c>
      <c r="R6583" t="s">
        <v>47311</v>
      </c>
      <c r="S6583" t="s">
        <v>47443</v>
      </c>
      <c r="T6583" t="s">
        <v>49014</v>
      </c>
      <c r="U6583" t="s">
        <v>55042</v>
      </c>
      <c r="W6583" t="s">
        <v>43619</v>
      </c>
      <c r="X6583" t="s">
        <v>47312</v>
      </c>
    </row>
    <row r="6584" spans="1:24">
      <c r="A6584">
        <f>HYPERLINK("https://www.philgeps.gov.ph/GEPSNONPILOT/Tender/SplashBidNoticeAbstractUI.aspx?menuIndex=3&amp;refID=7190564&amp;Result=3","7190564")</f>
        <v>0</v>
      </c>
      <c r="B6584" t="s">
        <v>2197</v>
      </c>
      <c r="C6584" t="s">
        <v>10041</v>
      </c>
      <c r="D6584" t="s">
        <v>19035</v>
      </c>
      <c r="E6584" t="s">
        <v>24827</v>
      </c>
      <c r="F6584" t="s">
        <v>32606</v>
      </c>
      <c r="G6584" t="s">
        <v>32617</v>
      </c>
      <c r="H6584" t="s">
        <v>14201</v>
      </c>
      <c r="I6584" t="s">
        <v>4120</v>
      </c>
      <c r="J6584" t="s">
        <v>32951</v>
      </c>
      <c r="K6584" t="s">
        <v>42622</v>
      </c>
      <c r="M6584" t="s">
        <v>45297</v>
      </c>
      <c r="N6584" t="s">
        <v>47304</v>
      </c>
      <c r="O6584" t="s">
        <v>47305</v>
      </c>
      <c r="P6584">
        <v>0</v>
      </c>
      <c r="Q6584">
        <v>2</v>
      </c>
      <c r="R6584" t="s">
        <v>47311</v>
      </c>
      <c r="S6584" t="s">
        <v>47443</v>
      </c>
      <c r="T6584" t="s">
        <v>49072</v>
      </c>
      <c r="U6584" t="s">
        <v>55043</v>
      </c>
      <c r="W6584" t="s">
        <v>45297</v>
      </c>
      <c r="X6584" t="s">
        <v>47312</v>
      </c>
    </row>
    <row r="6585" spans="1:24">
      <c r="A6585">
        <f>HYPERLINK("https://www.philgeps.gov.ph/GEPSNONPILOT/Tender/SplashBidNoticeAbstractUI.aspx?menuIndex=3&amp;refID=7190640&amp;Result=3","7190640")</f>
        <v>0</v>
      </c>
      <c r="B6585" t="s">
        <v>2198</v>
      </c>
      <c r="C6585" t="s">
        <v>10042</v>
      </c>
      <c r="D6585" t="s">
        <v>19008</v>
      </c>
      <c r="E6585" t="s">
        <v>24828</v>
      </c>
      <c r="F6585" t="s">
        <v>32606</v>
      </c>
      <c r="G6585" t="s">
        <v>32614</v>
      </c>
      <c r="H6585" t="s">
        <v>14201</v>
      </c>
      <c r="I6585" t="s">
        <v>6931</v>
      </c>
      <c r="J6585" t="s">
        <v>36985</v>
      </c>
      <c r="K6585" t="s">
        <v>42622</v>
      </c>
      <c r="M6585" t="s">
        <v>45298</v>
      </c>
      <c r="N6585" t="s">
        <v>47304</v>
      </c>
      <c r="O6585" t="s">
        <v>47305</v>
      </c>
      <c r="P6585">
        <v>0</v>
      </c>
      <c r="Q6585">
        <v>2</v>
      </c>
      <c r="R6585" t="s">
        <v>47311</v>
      </c>
      <c r="S6585" t="s">
        <v>47443</v>
      </c>
      <c r="T6585" t="s">
        <v>48998</v>
      </c>
      <c r="U6585" t="s">
        <v>55044</v>
      </c>
      <c r="W6585" t="s">
        <v>45298</v>
      </c>
      <c r="X6585" t="s">
        <v>47312</v>
      </c>
    </row>
    <row r="6586" spans="1:24">
      <c r="A6586">
        <f>HYPERLINK("https://www.philgeps.gov.ph/GEPSNONPILOT/Tender/SplashBidNoticeAbstractUI.aspx?menuIndex=3&amp;refID=7190594&amp;Result=3","7190594")</f>
        <v>0</v>
      </c>
      <c r="B6586" t="s">
        <v>1682</v>
      </c>
      <c r="C6586" t="s">
        <v>10043</v>
      </c>
      <c r="D6586" t="s">
        <v>19054</v>
      </c>
      <c r="E6586" t="s">
        <v>24829</v>
      </c>
      <c r="F6586" t="s">
        <v>32606</v>
      </c>
      <c r="G6586" t="s">
        <v>32613</v>
      </c>
      <c r="H6586" t="s">
        <v>14201</v>
      </c>
      <c r="I6586" t="s">
        <v>6931</v>
      </c>
      <c r="J6586" t="s">
        <v>36986</v>
      </c>
      <c r="K6586" t="s">
        <v>42631</v>
      </c>
      <c r="M6586" t="s">
        <v>44711</v>
      </c>
      <c r="N6586" t="s">
        <v>47304</v>
      </c>
      <c r="O6586" t="s">
        <v>47305</v>
      </c>
      <c r="P6586">
        <v>0</v>
      </c>
      <c r="Q6586">
        <v>0</v>
      </c>
      <c r="R6586" t="s">
        <v>47311</v>
      </c>
      <c r="S6586" t="s">
        <v>47443</v>
      </c>
      <c r="T6586" t="s">
        <v>49253</v>
      </c>
      <c r="U6586" t="s">
        <v>55045</v>
      </c>
      <c r="V6586" t="s">
        <v>63077</v>
      </c>
      <c r="W6586" t="s">
        <v>44711</v>
      </c>
      <c r="X6586" t="s">
        <v>47312</v>
      </c>
    </row>
    <row r="6587" spans="1:24">
      <c r="A6587">
        <f>HYPERLINK("https://www.philgeps.gov.ph/GEPSNONPILOT/Tender/SplashBidNoticeAbstractUI.aspx?menuIndex=3&amp;refID=7190610&amp;Result=3","7190610")</f>
        <v>0</v>
      </c>
      <c r="B6587" t="s">
        <v>1043</v>
      </c>
      <c r="C6587" t="s">
        <v>10044</v>
      </c>
      <c r="D6587" t="s">
        <v>19027</v>
      </c>
      <c r="E6587" t="s">
        <v>24830</v>
      </c>
      <c r="F6587" t="s">
        <v>32606</v>
      </c>
      <c r="G6587" t="s">
        <v>32613</v>
      </c>
      <c r="H6587" t="s">
        <v>32625</v>
      </c>
      <c r="I6587" t="s">
        <v>32625</v>
      </c>
      <c r="J6587" t="s">
        <v>36987</v>
      </c>
      <c r="K6587" t="s">
        <v>42675</v>
      </c>
      <c r="M6587" t="s">
        <v>45299</v>
      </c>
      <c r="N6587" t="s">
        <v>47304</v>
      </c>
      <c r="O6587" t="s">
        <v>47305</v>
      </c>
      <c r="P6587">
        <v>0</v>
      </c>
      <c r="Q6587">
        <v>3</v>
      </c>
      <c r="R6587" t="s">
        <v>47311</v>
      </c>
      <c r="S6587" t="s">
        <v>47443</v>
      </c>
      <c r="T6587" t="s">
        <v>49001</v>
      </c>
      <c r="U6587" t="s">
        <v>55046</v>
      </c>
      <c r="W6587" t="s">
        <v>45299</v>
      </c>
      <c r="X6587" t="s">
        <v>47312</v>
      </c>
    </row>
    <row r="6588" spans="1:24">
      <c r="A6588">
        <f>HYPERLINK("https://www.philgeps.gov.ph/GEPSNONPILOT/Tender/SplashBidNoticeAbstractUI.aspx?menuIndex=3&amp;refID=7190630&amp;Result=3","7190630")</f>
        <v>0</v>
      </c>
      <c r="B6588" t="s">
        <v>81</v>
      </c>
      <c r="C6588" t="s">
        <v>10045</v>
      </c>
      <c r="D6588" t="s">
        <v>18995</v>
      </c>
      <c r="E6588" t="s">
        <v>24831</v>
      </c>
      <c r="F6588" t="s">
        <v>32606</v>
      </c>
      <c r="G6588" t="s">
        <v>32613</v>
      </c>
      <c r="H6588" t="s">
        <v>32623</v>
      </c>
      <c r="I6588" t="s">
        <v>17648</v>
      </c>
      <c r="J6588" t="s">
        <v>34717</v>
      </c>
      <c r="K6588" t="s">
        <v>42624</v>
      </c>
      <c r="M6588" t="s">
        <v>42978</v>
      </c>
      <c r="N6588" t="s">
        <v>47304</v>
      </c>
      <c r="O6588" t="s">
        <v>47305</v>
      </c>
      <c r="P6588">
        <v>0</v>
      </c>
      <c r="Q6588">
        <v>2</v>
      </c>
      <c r="R6588" t="s">
        <v>47311</v>
      </c>
      <c r="S6588" t="s">
        <v>47443</v>
      </c>
      <c r="T6588" t="s">
        <v>49080</v>
      </c>
      <c r="U6588" t="s">
        <v>55047</v>
      </c>
      <c r="W6588" t="s">
        <v>42978</v>
      </c>
      <c r="X6588" t="s">
        <v>47312</v>
      </c>
    </row>
    <row r="6589" spans="1:24">
      <c r="A6589">
        <f>HYPERLINK("https://www.philgeps.gov.ph/GEPSNONPILOT/Tender/SplashBidNoticeAbstractUI.aspx?menuIndex=3&amp;refID=7190629&amp;Result=3","7190629")</f>
        <v>0</v>
      </c>
      <c r="B6589" t="s">
        <v>579</v>
      </c>
      <c r="C6589" t="s">
        <v>10046</v>
      </c>
      <c r="D6589" t="s">
        <v>19013</v>
      </c>
      <c r="E6589" t="s">
        <v>19809</v>
      </c>
      <c r="F6589" t="s">
        <v>32606</v>
      </c>
      <c r="G6589" t="s">
        <v>32613</v>
      </c>
      <c r="H6589" t="s">
        <v>14201</v>
      </c>
      <c r="I6589" t="s">
        <v>6931</v>
      </c>
      <c r="J6589" t="s">
        <v>36988</v>
      </c>
      <c r="K6589" t="s">
        <v>42623</v>
      </c>
      <c r="M6589" t="s">
        <v>43494</v>
      </c>
      <c r="N6589" t="s">
        <v>47304</v>
      </c>
      <c r="O6589" t="s">
        <v>47305</v>
      </c>
      <c r="P6589">
        <v>0</v>
      </c>
      <c r="Q6589">
        <v>2</v>
      </c>
      <c r="R6589" t="s">
        <v>47311</v>
      </c>
      <c r="S6589" t="s">
        <v>47443</v>
      </c>
      <c r="T6589" t="s">
        <v>49050</v>
      </c>
      <c r="U6589" t="s">
        <v>55048</v>
      </c>
      <c r="W6589" t="s">
        <v>43494</v>
      </c>
      <c r="X6589" t="s">
        <v>47312</v>
      </c>
    </row>
    <row r="6590" spans="1:24">
      <c r="A6590">
        <f>HYPERLINK("https://www.philgeps.gov.ph/GEPSNONPILOT/Tender/SplashBidNoticeAbstractUI.aspx?menuIndex=3&amp;refID=7190646&amp;Result=3","7190646")</f>
        <v>0</v>
      </c>
      <c r="B6590" t="s">
        <v>1435</v>
      </c>
      <c r="C6590" t="s">
        <v>10047</v>
      </c>
      <c r="D6590" t="s">
        <v>19025</v>
      </c>
      <c r="E6590" t="s">
        <v>24832</v>
      </c>
      <c r="F6590" t="s">
        <v>32606</v>
      </c>
      <c r="G6590" t="s">
        <v>32614</v>
      </c>
      <c r="H6590" t="s">
        <v>14201</v>
      </c>
      <c r="I6590" t="s">
        <v>6298</v>
      </c>
      <c r="J6590" t="s">
        <v>36989</v>
      </c>
      <c r="K6590" t="s">
        <v>42629</v>
      </c>
      <c r="M6590" t="s">
        <v>45300</v>
      </c>
      <c r="N6590" t="s">
        <v>47304</v>
      </c>
      <c r="O6590" t="s">
        <v>47305</v>
      </c>
      <c r="P6590">
        <v>0</v>
      </c>
      <c r="Q6590">
        <v>1</v>
      </c>
      <c r="R6590" t="s">
        <v>47311</v>
      </c>
      <c r="S6590" t="s">
        <v>47443</v>
      </c>
      <c r="T6590" t="s">
        <v>49071</v>
      </c>
      <c r="U6590" t="s">
        <v>55049</v>
      </c>
      <c r="W6590" t="s">
        <v>45300</v>
      </c>
      <c r="X6590" t="s">
        <v>47312</v>
      </c>
    </row>
    <row r="6591" spans="1:24">
      <c r="A6591">
        <f>HYPERLINK("https://www.philgeps.gov.ph/GEPSNONPILOT/Tender/SplashBidNoticeAbstractUI.aspx?menuIndex=3&amp;refID=7190624&amp;Result=3","7190624")</f>
        <v>0</v>
      </c>
      <c r="B6591" t="s">
        <v>2130</v>
      </c>
      <c r="C6591" t="s">
        <v>10048</v>
      </c>
      <c r="D6591" t="s">
        <v>18999</v>
      </c>
      <c r="E6591" t="s">
        <v>24833</v>
      </c>
      <c r="F6591" t="s">
        <v>32606</v>
      </c>
      <c r="G6591" t="s">
        <v>32613</v>
      </c>
      <c r="H6591" t="s">
        <v>14201</v>
      </c>
      <c r="I6591" t="s">
        <v>6298</v>
      </c>
      <c r="J6591" t="s">
        <v>36990</v>
      </c>
      <c r="K6591" t="s">
        <v>42639</v>
      </c>
      <c r="M6591" t="s">
        <v>45301</v>
      </c>
      <c r="N6591" t="s">
        <v>47304</v>
      </c>
      <c r="O6591" t="s">
        <v>47305</v>
      </c>
      <c r="P6591">
        <v>0</v>
      </c>
      <c r="Q6591">
        <v>2</v>
      </c>
      <c r="R6591" t="s">
        <v>47311</v>
      </c>
      <c r="S6591" t="s">
        <v>47443</v>
      </c>
      <c r="T6591" t="s">
        <v>48990</v>
      </c>
      <c r="U6591" t="s">
        <v>55050</v>
      </c>
      <c r="V6591" t="s">
        <v>63282</v>
      </c>
      <c r="W6591" t="s">
        <v>45301</v>
      </c>
      <c r="X6591" t="s">
        <v>47312</v>
      </c>
    </row>
    <row r="6592" spans="1:24">
      <c r="A6592">
        <f>HYPERLINK("https://www.philgeps.gov.ph/GEPSNONPILOT/Tender/SplashBidNoticeAbstractUI.aspx?menuIndex=3&amp;refID=7190623&amp;Result=3","7190623")</f>
        <v>0</v>
      </c>
      <c r="B6592" t="s">
        <v>2193</v>
      </c>
      <c r="C6592" t="s">
        <v>4359</v>
      </c>
      <c r="D6592" t="s">
        <v>19019</v>
      </c>
      <c r="E6592" t="s">
        <v>24834</v>
      </c>
      <c r="F6592" t="s">
        <v>32606</v>
      </c>
      <c r="G6592" t="s">
        <v>32619</v>
      </c>
      <c r="H6592" t="s">
        <v>14201</v>
      </c>
      <c r="I6592" t="s">
        <v>6931</v>
      </c>
      <c r="J6592" t="s">
        <v>36991</v>
      </c>
      <c r="K6592" t="s">
        <v>42623</v>
      </c>
      <c r="M6592" t="s">
        <v>45293</v>
      </c>
      <c r="N6592" t="s">
        <v>47304</v>
      </c>
      <c r="O6592" t="s">
        <v>47305</v>
      </c>
      <c r="P6592">
        <v>0</v>
      </c>
      <c r="Q6592">
        <v>1</v>
      </c>
      <c r="R6592" t="s">
        <v>47311</v>
      </c>
      <c r="S6592" t="s">
        <v>47443</v>
      </c>
      <c r="T6592" t="s">
        <v>49053</v>
      </c>
      <c r="U6592" t="s">
        <v>55051</v>
      </c>
      <c r="W6592" t="s">
        <v>45293</v>
      </c>
      <c r="X6592" t="s">
        <v>47312</v>
      </c>
    </row>
    <row r="6593" spans="1:24">
      <c r="A6593">
        <f>HYPERLINK("https://www.philgeps.gov.ph/GEPSNONPILOT/Tender/SplashBidNoticeAbstractUI.aspx?menuIndex=3&amp;refID=7190619&amp;Result=3","7190619")</f>
        <v>0</v>
      </c>
      <c r="B6593" t="s">
        <v>2199</v>
      </c>
      <c r="C6593" t="s">
        <v>10049</v>
      </c>
      <c r="D6593" t="s">
        <v>19008</v>
      </c>
      <c r="E6593" t="s">
        <v>19311</v>
      </c>
      <c r="F6593" t="s">
        <v>32606</v>
      </c>
      <c r="G6593" t="s">
        <v>32614</v>
      </c>
      <c r="H6593" t="s">
        <v>14201</v>
      </c>
      <c r="I6593" t="s">
        <v>7577</v>
      </c>
      <c r="J6593" t="s">
        <v>34003</v>
      </c>
      <c r="K6593" t="s">
        <v>42631</v>
      </c>
      <c r="M6593" t="s">
        <v>45302</v>
      </c>
      <c r="N6593" t="s">
        <v>47304</v>
      </c>
      <c r="O6593" t="s">
        <v>47305</v>
      </c>
      <c r="P6593">
        <v>0</v>
      </c>
      <c r="Q6593">
        <v>0</v>
      </c>
      <c r="R6593" t="s">
        <v>47311</v>
      </c>
      <c r="S6593" t="s">
        <v>47443</v>
      </c>
      <c r="T6593" t="s">
        <v>49020</v>
      </c>
      <c r="U6593" t="s">
        <v>55052</v>
      </c>
      <c r="W6593" t="s">
        <v>45302</v>
      </c>
      <c r="X6593" t="s">
        <v>47312</v>
      </c>
    </row>
    <row r="6594" spans="1:24">
      <c r="A6594">
        <f>HYPERLINK("https://www.philgeps.gov.ph/GEPSNONPILOT/Tender/SplashBidNoticeAbstractUI.aspx?menuIndex=3&amp;refID=7190616&amp;Result=3","7190616")</f>
        <v>0</v>
      </c>
      <c r="B6594" t="s">
        <v>253</v>
      </c>
      <c r="C6594" t="s">
        <v>10050</v>
      </c>
      <c r="D6594" t="s">
        <v>19043</v>
      </c>
      <c r="E6594" t="s">
        <v>24835</v>
      </c>
      <c r="F6594" t="s">
        <v>32606</v>
      </c>
      <c r="G6594" t="s">
        <v>32614</v>
      </c>
      <c r="H6594" t="s">
        <v>14201</v>
      </c>
      <c r="I6594" t="s">
        <v>4112</v>
      </c>
      <c r="J6594" t="s">
        <v>36992</v>
      </c>
      <c r="K6594" t="s">
        <v>42622</v>
      </c>
      <c r="M6594" t="s">
        <v>43154</v>
      </c>
      <c r="N6594" t="s">
        <v>47304</v>
      </c>
      <c r="O6594" t="s">
        <v>47305</v>
      </c>
      <c r="P6594">
        <v>0</v>
      </c>
      <c r="Q6594">
        <v>1</v>
      </c>
      <c r="R6594" t="s">
        <v>47311</v>
      </c>
      <c r="S6594" t="s">
        <v>47443</v>
      </c>
      <c r="T6594" t="s">
        <v>49023</v>
      </c>
      <c r="U6594" t="s">
        <v>55053</v>
      </c>
      <c r="W6594" t="s">
        <v>43154</v>
      </c>
      <c r="X6594" t="s">
        <v>47312</v>
      </c>
    </row>
    <row r="6595" spans="1:24">
      <c r="A6595">
        <f>HYPERLINK("https://www.philgeps.gov.ph/GEPSNONPILOT/Tender/SplashBidNoticeAbstractUI.aspx?menuIndex=3&amp;refID=7190625&amp;Result=3","7190625")</f>
        <v>0</v>
      </c>
      <c r="B6595" t="s">
        <v>745</v>
      </c>
      <c r="C6595" t="s">
        <v>10051</v>
      </c>
      <c r="D6595" t="s">
        <v>19043</v>
      </c>
      <c r="E6595" t="s">
        <v>24836</v>
      </c>
      <c r="F6595" t="s">
        <v>32606</v>
      </c>
      <c r="G6595" t="s">
        <v>32613</v>
      </c>
      <c r="H6595" t="s">
        <v>14201</v>
      </c>
      <c r="I6595" t="s">
        <v>4678</v>
      </c>
      <c r="J6595" t="s">
        <v>32977</v>
      </c>
      <c r="K6595" t="s">
        <v>42622</v>
      </c>
      <c r="M6595" t="s">
        <v>43668</v>
      </c>
      <c r="N6595" t="s">
        <v>47304</v>
      </c>
      <c r="O6595" t="s">
        <v>47305</v>
      </c>
      <c r="P6595">
        <v>0</v>
      </c>
      <c r="Q6595">
        <v>0</v>
      </c>
      <c r="R6595" t="s">
        <v>47311</v>
      </c>
      <c r="S6595" t="s">
        <v>47443</v>
      </c>
      <c r="T6595" t="s">
        <v>49160</v>
      </c>
      <c r="U6595" t="s">
        <v>55054</v>
      </c>
      <c r="W6595" t="s">
        <v>43668</v>
      </c>
      <c r="X6595" t="s">
        <v>47312</v>
      </c>
    </row>
    <row r="6596" spans="1:24">
      <c r="A6596">
        <f>HYPERLINK("https://www.philgeps.gov.ph/GEPSNONPILOT/Tender/SplashBidNoticeAbstractUI.aspx?menuIndex=3&amp;refID=7190567&amp;Result=3","7190567")</f>
        <v>0</v>
      </c>
      <c r="B6596" t="s">
        <v>572</v>
      </c>
      <c r="C6596" t="s">
        <v>10052</v>
      </c>
      <c r="D6596" t="s">
        <v>18993</v>
      </c>
      <c r="E6596" t="s">
        <v>24837</v>
      </c>
      <c r="F6596" t="s">
        <v>32606</v>
      </c>
      <c r="G6596" t="s">
        <v>32614</v>
      </c>
      <c r="H6596" t="s">
        <v>14201</v>
      </c>
      <c r="I6596" t="s">
        <v>32677</v>
      </c>
      <c r="J6596" t="s">
        <v>36118</v>
      </c>
      <c r="K6596" t="s">
        <v>42631</v>
      </c>
      <c r="M6596" t="s">
        <v>44058</v>
      </c>
      <c r="N6596" t="s">
        <v>47304</v>
      </c>
      <c r="O6596" t="s">
        <v>47305</v>
      </c>
      <c r="P6596">
        <v>0</v>
      </c>
      <c r="Q6596">
        <v>12</v>
      </c>
      <c r="R6596" t="s">
        <v>47311</v>
      </c>
      <c r="S6596" t="s">
        <v>47443</v>
      </c>
      <c r="T6596" t="s">
        <v>49020</v>
      </c>
      <c r="U6596" t="s">
        <v>55055</v>
      </c>
      <c r="W6596" t="s">
        <v>44058</v>
      </c>
      <c r="X6596" t="s">
        <v>47312</v>
      </c>
    </row>
    <row r="6597" spans="1:24">
      <c r="A6597">
        <f>HYPERLINK("https://www.philgeps.gov.ph/GEPSNONPILOT/Tender/SplashBidNoticeAbstractUI.aspx?menuIndex=3&amp;refID=7190691&amp;Result=3","7190691")</f>
        <v>0</v>
      </c>
      <c r="B6597" t="s">
        <v>2200</v>
      </c>
      <c r="C6597" t="s">
        <v>10053</v>
      </c>
      <c r="D6597" t="s">
        <v>19010</v>
      </c>
      <c r="E6597" t="s">
        <v>24838</v>
      </c>
      <c r="F6597" t="s">
        <v>32606</v>
      </c>
      <c r="G6597" t="s">
        <v>32619</v>
      </c>
      <c r="H6597" t="s">
        <v>14201</v>
      </c>
      <c r="I6597" t="s">
        <v>7577</v>
      </c>
      <c r="J6597" t="s">
        <v>36993</v>
      </c>
      <c r="K6597" t="s">
        <v>42630</v>
      </c>
      <c r="M6597" t="s">
        <v>45303</v>
      </c>
      <c r="N6597" t="s">
        <v>47304</v>
      </c>
      <c r="O6597" t="s">
        <v>47305</v>
      </c>
      <c r="P6597">
        <v>0</v>
      </c>
      <c r="Q6597">
        <v>1</v>
      </c>
      <c r="R6597" t="s">
        <v>47311</v>
      </c>
      <c r="S6597" t="s">
        <v>47443</v>
      </c>
      <c r="T6597" t="s">
        <v>48987</v>
      </c>
      <c r="U6597" t="s">
        <v>55056</v>
      </c>
      <c r="W6597" t="s">
        <v>45303</v>
      </c>
      <c r="X6597" t="s">
        <v>47312</v>
      </c>
    </row>
    <row r="6598" spans="1:24">
      <c r="A6598">
        <f>HYPERLINK("https://www.philgeps.gov.ph/GEPSNONPILOT/Tender/SplashBidNoticeAbstractUI.aspx?menuIndex=3&amp;refID=7190642&amp;Result=3","7190642")</f>
        <v>0</v>
      </c>
      <c r="B6598" t="s">
        <v>2116</v>
      </c>
      <c r="C6598" t="s">
        <v>10054</v>
      </c>
      <c r="D6598" t="s">
        <v>19016</v>
      </c>
      <c r="E6598" t="s">
        <v>24839</v>
      </c>
      <c r="F6598" t="s">
        <v>32606</v>
      </c>
      <c r="G6598" t="s">
        <v>32613</v>
      </c>
      <c r="H6598" t="s">
        <v>32623</v>
      </c>
      <c r="I6598" t="s">
        <v>17648</v>
      </c>
      <c r="J6598" t="s">
        <v>36994</v>
      </c>
      <c r="K6598" t="s">
        <v>42648</v>
      </c>
      <c r="M6598" t="s">
        <v>45304</v>
      </c>
      <c r="N6598" t="s">
        <v>47304</v>
      </c>
      <c r="O6598" t="s">
        <v>47305</v>
      </c>
      <c r="P6598">
        <v>0</v>
      </c>
      <c r="Q6598">
        <v>4</v>
      </c>
      <c r="R6598" t="s">
        <v>47311</v>
      </c>
      <c r="S6598" t="s">
        <v>47443</v>
      </c>
      <c r="T6598" t="s">
        <v>49111</v>
      </c>
      <c r="U6598" t="s">
        <v>54826</v>
      </c>
      <c r="W6598" t="s">
        <v>45304</v>
      </c>
      <c r="X6598" t="s">
        <v>47312</v>
      </c>
    </row>
    <row r="6599" spans="1:24">
      <c r="A6599">
        <f>HYPERLINK("https://www.philgeps.gov.ph/GEPSNONPILOT/Tender/SplashBidNoticeAbstractUI.aspx?menuIndex=3&amp;refID=7190621&amp;Result=3","7190621")</f>
        <v>0</v>
      </c>
      <c r="B6599" t="s">
        <v>2201</v>
      </c>
      <c r="C6599" t="s">
        <v>10055</v>
      </c>
      <c r="D6599" t="s">
        <v>19018</v>
      </c>
      <c r="E6599" t="s">
        <v>24840</v>
      </c>
      <c r="F6599" t="s">
        <v>32606</v>
      </c>
      <c r="G6599" t="s">
        <v>32615</v>
      </c>
      <c r="H6599" t="s">
        <v>14201</v>
      </c>
      <c r="I6599" t="s">
        <v>32656</v>
      </c>
      <c r="J6599" t="s">
        <v>36995</v>
      </c>
      <c r="K6599" t="s">
        <v>42639</v>
      </c>
      <c r="M6599" t="s">
        <v>45305</v>
      </c>
      <c r="N6599" t="s">
        <v>47304</v>
      </c>
      <c r="O6599" t="s">
        <v>47305</v>
      </c>
      <c r="P6599">
        <v>0</v>
      </c>
      <c r="Q6599">
        <v>3</v>
      </c>
      <c r="R6599" t="s">
        <v>47311</v>
      </c>
      <c r="S6599" t="s">
        <v>47443</v>
      </c>
      <c r="T6599" t="s">
        <v>49050</v>
      </c>
      <c r="U6599" t="s">
        <v>55057</v>
      </c>
      <c r="W6599" t="s">
        <v>45305</v>
      </c>
      <c r="X6599" t="s">
        <v>47312</v>
      </c>
    </row>
    <row r="6600" spans="1:24">
      <c r="A6600">
        <f>HYPERLINK("https://www.philgeps.gov.ph/GEPSNONPILOT/Tender/SplashBidNoticeAbstractUI.aspx?menuIndex=3&amp;refID=7190686&amp;Result=3","7190686")</f>
        <v>0</v>
      </c>
      <c r="B6600" t="s">
        <v>2202</v>
      </c>
      <c r="C6600" t="s">
        <v>10056</v>
      </c>
      <c r="D6600" t="s">
        <v>19001</v>
      </c>
      <c r="E6600" t="s">
        <v>24841</v>
      </c>
      <c r="F6600" t="s">
        <v>32606</v>
      </c>
      <c r="G6600" t="s">
        <v>32613</v>
      </c>
      <c r="H6600" t="s">
        <v>14201</v>
      </c>
      <c r="I6600" t="s">
        <v>6931</v>
      </c>
      <c r="J6600" t="s">
        <v>36996</v>
      </c>
      <c r="K6600" t="s">
        <v>42630</v>
      </c>
      <c r="M6600" t="s">
        <v>45306</v>
      </c>
      <c r="N6600" t="s">
        <v>47304</v>
      </c>
      <c r="O6600" t="s">
        <v>47305</v>
      </c>
      <c r="P6600">
        <v>0</v>
      </c>
      <c r="Q6600">
        <v>0</v>
      </c>
      <c r="R6600" t="s">
        <v>47311</v>
      </c>
      <c r="S6600" t="s">
        <v>47443</v>
      </c>
      <c r="T6600" t="s">
        <v>48989</v>
      </c>
      <c r="U6600" t="s">
        <v>55058</v>
      </c>
      <c r="W6600" t="s">
        <v>45306</v>
      </c>
      <c r="X6600" t="s">
        <v>47312</v>
      </c>
    </row>
    <row r="6601" spans="1:24">
      <c r="A6601">
        <f>HYPERLINK("https://www.philgeps.gov.ph/GEPSNONPILOT/Tender/SplashBidNoticeAbstractUI.aspx?menuIndex=3&amp;refID=7190639&amp;Result=3","7190639")</f>
        <v>0</v>
      </c>
      <c r="B6601" t="s">
        <v>2203</v>
      </c>
      <c r="C6601" t="s">
        <v>10057</v>
      </c>
      <c r="D6601" t="s">
        <v>19028</v>
      </c>
      <c r="E6601" t="s">
        <v>21183</v>
      </c>
      <c r="F6601" t="s">
        <v>32606</v>
      </c>
      <c r="G6601" t="s">
        <v>32617</v>
      </c>
      <c r="H6601" t="s">
        <v>14201</v>
      </c>
      <c r="I6601" t="s">
        <v>4114</v>
      </c>
      <c r="J6601" t="s">
        <v>36997</v>
      </c>
      <c r="K6601" t="s">
        <v>42625</v>
      </c>
      <c r="M6601" t="s">
        <v>45307</v>
      </c>
      <c r="N6601" t="s">
        <v>47304</v>
      </c>
      <c r="O6601" t="s">
        <v>47305</v>
      </c>
      <c r="P6601">
        <v>0</v>
      </c>
      <c r="Q6601">
        <v>2</v>
      </c>
      <c r="R6601" t="s">
        <v>47311</v>
      </c>
      <c r="S6601" t="s">
        <v>47443</v>
      </c>
      <c r="T6601" t="s">
        <v>49014</v>
      </c>
      <c r="U6601" t="s">
        <v>55059</v>
      </c>
      <c r="W6601" t="s">
        <v>45307</v>
      </c>
      <c r="X6601" t="s">
        <v>47312</v>
      </c>
    </row>
    <row r="6602" spans="1:24">
      <c r="A6602">
        <f>HYPERLINK("https://www.philgeps.gov.ph/GEPSNONPILOT/Tender/SplashBidNoticeAbstractUI.aspx?menuIndex=3&amp;refID=7190683&amp;Result=3","7190683")</f>
        <v>0</v>
      </c>
      <c r="B6602" t="s">
        <v>644</v>
      </c>
      <c r="C6602" t="s">
        <v>10058</v>
      </c>
      <c r="D6602" t="s">
        <v>19022</v>
      </c>
      <c r="E6602" t="s">
        <v>10058</v>
      </c>
      <c r="F6602" t="s">
        <v>32606</v>
      </c>
      <c r="G6602" t="s">
        <v>32614</v>
      </c>
      <c r="H6602" t="s">
        <v>14201</v>
      </c>
      <c r="I6602" t="s">
        <v>7233</v>
      </c>
      <c r="J6602" t="s">
        <v>36998</v>
      </c>
      <c r="K6602" t="s">
        <v>42624</v>
      </c>
      <c r="M6602" t="s">
        <v>44072</v>
      </c>
      <c r="N6602" t="s">
        <v>47304</v>
      </c>
      <c r="O6602" t="s">
        <v>47305</v>
      </c>
      <c r="P6602">
        <v>0</v>
      </c>
      <c r="Q6602">
        <v>0</v>
      </c>
      <c r="R6602" t="s">
        <v>47311</v>
      </c>
      <c r="S6602" t="s">
        <v>47443</v>
      </c>
      <c r="T6602" t="s">
        <v>49331</v>
      </c>
      <c r="U6602" t="s">
        <v>55060</v>
      </c>
      <c r="W6602" t="s">
        <v>44072</v>
      </c>
      <c r="X6602" t="s">
        <v>47312</v>
      </c>
    </row>
    <row r="6603" spans="1:24">
      <c r="A6603">
        <f>HYPERLINK("https://www.philgeps.gov.ph/GEPSNONPILOT/Tender/SplashBidNoticeAbstractUI.aspx?menuIndex=3&amp;refID=7190681&amp;Result=3","7190681")</f>
        <v>0</v>
      </c>
      <c r="B6603" t="s">
        <v>745</v>
      </c>
      <c r="C6603" t="s">
        <v>10059</v>
      </c>
      <c r="D6603" t="s">
        <v>19043</v>
      </c>
      <c r="E6603" t="s">
        <v>24842</v>
      </c>
      <c r="F6603" t="s">
        <v>32606</v>
      </c>
      <c r="G6603" t="s">
        <v>32615</v>
      </c>
      <c r="H6603" t="s">
        <v>14201</v>
      </c>
      <c r="I6603" t="s">
        <v>4120</v>
      </c>
      <c r="J6603" t="s">
        <v>36999</v>
      </c>
      <c r="K6603" t="s">
        <v>42622</v>
      </c>
      <c r="M6603" t="s">
        <v>43668</v>
      </c>
      <c r="N6603" t="s">
        <v>47304</v>
      </c>
      <c r="O6603" t="s">
        <v>47305</v>
      </c>
      <c r="P6603">
        <v>0</v>
      </c>
      <c r="Q6603">
        <v>0</v>
      </c>
      <c r="R6603" t="s">
        <v>47311</v>
      </c>
      <c r="S6603" t="s">
        <v>47443</v>
      </c>
      <c r="T6603" t="s">
        <v>49267</v>
      </c>
      <c r="U6603" t="s">
        <v>55061</v>
      </c>
      <c r="W6603" t="s">
        <v>43668</v>
      </c>
      <c r="X6603" t="s">
        <v>47312</v>
      </c>
    </row>
    <row r="6604" spans="1:24">
      <c r="A6604">
        <f>HYPERLINK("https://www.philgeps.gov.ph/GEPSNONPILOT/Tender/SplashBidNoticeAbstractUI.aspx?menuIndex=3&amp;refID=7190645&amp;Result=3","7190645")</f>
        <v>0</v>
      </c>
      <c r="B6604" t="s">
        <v>2204</v>
      </c>
      <c r="C6604" t="s">
        <v>10060</v>
      </c>
      <c r="E6604" t="s">
        <v>24843</v>
      </c>
      <c r="F6604" t="s">
        <v>32606</v>
      </c>
      <c r="G6604" t="s">
        <v>32614</v>
      </c>
      <c r="H6604" t="s">
        <v>14201</v>
      </c>
      <c r="I6604" t="s">
        <v>4678</v>
      </c>
      <c r="J6604" t="s">
        <v>33404</v>
      </c>
      <c r="K6604" t="s">
        <v>42624</v>
      </c>
      <c r="M6604" t="s">
        <v>45308</v>
      </c>
      <c r="N6604" t="s">
        <v>47304</v>
      </c>
      <c r="O6604" t="s">
        <v>47305</v>
      </c>
      <c r="Q6604">
        <v>0</v>
      </c>
      <c r="R6604" t="s">
        <v>47311</v>
      </c>
      <c r="S6604" t="s">
        <v>47455</v>
      </c>
      <c r="T6604" t="s">
        <v>49162</v>
      </c>
      <c r="U6604" t="s">
        <v>55062</v>
      </c>
      <c r="W6604" t="s">
        <v>45308</v>
      </c>
      <c r="X6604" t="s">
        <v>47312</v>
      </c>
    </row>
    <row r="6605" spans="1:24">
      <c r="A6605">
        <f>HYPERLINK("https://www.philgeps.gov.ph/GEPSNONPILOT/Tender/SplashBidNoticeAbstractUI.aspx?menuIndex=3&amp;refID=7190678&amp;Result=3","7190678")</f>
        <v>0</v>
      </c>
      <c r="B6605" t="s">
        <v>2205</v>
      </c>
      <c r="C6605" t="s">
        <v>10061</v>
      </c>
      <c r="D6605" t="s">
        <v>18988</v>
      </c>
      <c r="E6605" t="s">
        <v>24844</v>
      </c>
      <c r="F6605" t="s">
        <v>32607</v>
      </c>
      <c r="G6605" t="s">
        <v>32614</v>
      </c>
      <c r="H6605" t="s">
        <v>14201</v>
      </c>
      <c r="I6605" t="s">
        <v>4114</v>
      </c>
      <c r="J6605" t="s">
        <v>37000</v>
      </c>
      <c r="K6605" t="s">
        <v>42631</v>
      </c>
      <c r="M6605" t="s">
        <v>45309</v>
      </c>
      <c r="N6605" t="s">
        <v>47304</v>
      </c>
      <c r="O6605" t="s">
        <v>47305</v>
      </c>
      <c r="P6605">
        <v>0</v>
      </c>
      <c r="Q6605">
        <v>3</v>
      </c>
      <c r="R6605" t="s">
        <v>47311</v>
      </c>
      <c r="S6605" t="s">
        <v>47443</v>
      </c>
      <c r="T6605" t="s">
        <v>49014</v>
      </c>
      <c r="U6605" t="s">
        <v>55063</v>
      </c>
      <c r="W6605" t="s">
        <v>45309</v>
      </c>
      <c r="X6605" t="s">
        <v>47312</v>
      </c>
    </row>
    <row r="6606" spans="1:24">
      <c r="A6606">
        <f>HYPERLINK("https://www.philgeps.gov.ph/GEPSNONPILOT/Tender/SplashBidNoticeAbstractUI.aspx?menuIndex=3&amp;refID=7190671&amp;Result=3","7190671")</f>
        <v>0</v>
      </c>
      <c r="B6606" t="s">
        <v>2206</v>
      </c>
      <c r="C6606" t="s">
        <v>10062</v>
      </c>
      <c r="D6606" t="s">
        <v>19044</v>
      </c>
      <c r="E6606" t="s">
        <v>24503</v>
      </c>
      <c r="F6606" t="s">
        <v>32606</v>
      </c>
      <c r="G6606" t="s">
        <v>32613</v>
      </c>
      <c r="H6606" t="s">
        <v>14201</v>
      </c>
      <c r="I6606" t="s">
        <v>6931</v>
      </c>
      <c r="J6606" t="s">
        <v>37001</v>
      </c>
      <c r="K6606" t="s">
        <v>42632</v>
      </c>
      <c r="M6606" t="s">
        <v>45310</v>
      </c>
      <c r="N6606" t="s">
        <v>47304</v>
      </c>
      <c r="O6606" t="s">
        <v>47305</v>
      </c>
      <c r="P6606">
        <v>0</v>
      </c>
      <c r="Q6606">
        <v>0</v>
      </c>
      <c r="R6606" t="s">
        <v>47311</v>
      </c>
      <c r="S6606" t="s">
        <v>47443</v>
      </c>
      <c r="T6606" t="s">
        <v>48996</v>
      </c>
      <c r="U6606" t="s">
        <v>55064</v>
      </c>
      <c r="W6606" t="s">
        <v>45310</v>
      </c>
      <c r="X6606" t="s">
        <v>47312</v>
      </c>
    </row>
    <row r="6607" spans="1:24">
      <c r="A6607">
        <f>HYPERLINK("https://www.philgeps.gov.ph/GEPSNONPILOT/Tender/SplashBidNoticeAbstractUI.aspx?menuIndex=3&amp;refID=7190689&amp;Result=3","7190689")</f>
        <v>0</v>
      </c>
      <c r="B6607" t="s">
        <v>2193</v>
      </c>
      <c r="C6607" t="s">
        <v>10063</v>
      </c>
      <c r="D6607" t="s">
        <v>19019</v>
      </c>
      <c r="E6607" t="s">
        <v>24845</v>
      </c>
      <c r="F6607" t="s">
        <v>32606</v>
      </c>
      <c r="G6607" t="s">
        <v>32619</v>
      </c>
      <c r="H6607" t="s">
        <v>14201</v>
      </c>
      <c r="I6607" t="s">
        <v>7677</v>
      </c>
      <c r="J6607" t="s">
        <v>33539</v>
      </c>
      <c r="K6607" t="s">
        <v>42623</v>
      </c>
      <c r="M6607" t="s">
        <v>45293</v>
      </c>
      <c r="N6607" t="s">
        <v>47304</v>
      </c>
      <c r="O6607" t="s">
        <v>47305</v>
      </c>
      <c r="P6607">
        <v>0</v>
      </c>
      <c r="Q6607">
        <v>2</v>
      </c>
      <c r="R6607" t="s">
        <v>47311</v>
      </c>
      <c r="S6607" t="s">
        <v>47443</v>
      </c>
      <c r="T6607" t="s">
        <v>49053</v>
      </c>
      <c r="U6607" t="s">
        <v>55065</v>
      </c>
      <c r="W6607" t="s">
        <v>45293</v>
      </c>
      <c r="X6607" t="s">
        <v>47312</v>
      </c>
    </row>
    <row r="6608" spans="1:24">
      <c r="A6608">
        <f>HYPERLINK("https://www.philgeps.gov.ph/GEPSNONPILOT/Tender/SplashBidNoticeAbstractUI.aspx?menuIndex=3&amp;refID=7190669&amp;Result=3","7190669")</f>
        <v>0</v>
      </c>
      <c r="B6608" t="s">
        <v>81</v>
      </c>
      <c r="C6608" t="s">
        <v>10064</v>
      </c>
      <c r="D6608" t="s">
        <v>18995</v>
      </c>
      <c r="E6608" t="s">
        <v>24846</v>
      </c>
      <c r="F6608" t="s">
        <v>32606</v>
      </c>
      <c r="G6608" t="s">
        <v>32613</v>
      </c>
      <c r="H6608" t="s">
        <v>32623</v>
      </c>
      <c r="I6608" t="s">
        <v>17648</v>
      </c>
      <c r="J6608" t="s">
        <v>37002</v>
      </c>
      <c r="K6608" t="s">
        <v>42624</v>
      </c>
      <c r="M6608" t="s">
        <v>42978</v>
      </c>
      <c r="N6608" t="s">
        <v>47304</v>
      </c>
      <c r="O6608" t="s">
        <v>47305</v>
      </c>
      <c r="P6608">
        <v>0</v>
      </c>
      <c r="Q6608">
        <v>1</v>
      </c>
      <c r="R6608" t="s">
        <v>47311</v>
      </c>
      <c r="S6608" t="s">
        <v>47443</v>
      </c>
      <c r="T6608" t="s">
        <v>49080</v>
      </c>
      <c r="U6608" t="s">
        <v>55066</v>
      </c>
      <c r="W6608" t="s">
        <v>42978</v>
      </c>
      <c r="X6608" t="s">
        <v>47312</v>
      </c>
    </row>
    <row r="6609" spans="1:24">
      <c r="A6609">
        <f>HYPERLINK("https://www.philgeps.gov.ph/GEPSNONPILOT/Tender/SplashBidNoticeAbstractUI.aspx?menuIndex=3&amp;refID=7190666&amp;Result=3","7190666")</f>
        <v>0</v>
      </c>
      <c r="B6609" t="s">
        <v>2198</v>
      </c>
      <c r="C6609" t="s">
        <v>10065</v>
      </c>
      <c r="D6609" t="s">
        <v>19008</v>
      </c>
      <c r="E6609" t="s">
        <v>24847</v>
      </c>
      <c r="F6609" t="s">
        <v>32606</v>
      </c>
      <c r="G6609" t="s">
        <v>32614</v>
      </c>
      <c r="H6609" t="s">
        <v>14201</v>
      </c>
      <c r="I6609" t="s">
        <v>6931</v>
      </c>
      <c r="J6609" t="s">
        <v>37003</v>
      </c>
      <c r="K6609" t="s">
        <v>42622</v>
      </c>
      <c r="M6609" t="s">
        <v>45298</v>
      </c>
      <c r="N6609" t="s">
        <v>47304</v>
      </c>
      <c r="O6609" t="s">
        <v>47305</v>
      </c>
      <c r="P6609">
        <v>0</v>
      </c>
      <c r="Q6609">
        <v>1</v>
      </c>
      <c r="R6609" t="s">
        <v>47311</v>
      </c>
      <c r="S6609" t="s">
        <v>47443</v>
      </c>
      <c r="T6609" t="s">
        <v>48998</v>
      </c>
      <c r="U6609" t="s">
        <v>55044</v>
      </c>
      <c r="W6609" t="s">
        <v>45298</v>
      </c>
      <c r="X6609" t="s">
        <v>47312</v>
      </c>
    </row>
    <row r="6610" spans="1:24">
      <c r="A6610">
        <f>HYPERLINK("https://www.philgeps.gov.ph/GEPSNONPILOT/Tender/SplashBidNoticeAbstractUI.aspx?menuIndex=3&amp;refID=7190664&amp;Result=3","7190664")</f>
        <v>0</v>
      </c>
      <c r="B6610" t="s">
        <v>815</v>
      </c>
      <c r="C6610" t="s">
        <v>10066</v>
      </c>
      <c r="D6610" t="s">
        <v>19019</v>
      </c>
      <c r="E6610" t="s">
        <v>20632</v>
      </c>
      <c r="F6610" t="s">
        <v>32606</v>
      </c>
      <c r="G6610" t="s">
        <v>32619</v>
      </c>
      <c r="H6610" t="s">
        <v>14201</v>
      </c>
      <c r="I6610" t="s">
        <v>4120</v>
      </c>
      <c r="J6610" t="s">
        <v>33291</v>
      </c>
      <c r="K6610" t="s">
        <v>42623</v>
      </c>
      <c r="M6610" t="s">
        <v>43746</v>
      </c>
      <c r="N6610" t="s">
        <v>47304</v>
      </c>
      <c r="O6610" t="s">
        <v>47305</v>
      </c>
      <c r="P6610">
        <v>0</v>
      </c>
      <c r="Q6610">
        <v>0</v>
      </c>
      <c r="R6610" t="s">
        <v>47311</v>
      </c>
      <c r="S6610" t="s">
        <v>47443</v>
      </c>
      <c r="T6610" t="s">
        <v>48980</v>
      </c>
      <c r="U6610" t="s">
        <v>55067</v>
      </c>
      <c r="W6610" t="s">
        <v>43746</v>
      </c>
      <c r="X6610" t="s">
        <v>47312</v>
      </c>
    </row>
    <row r="6611" spans="1:24">
      <c r="A6611">
        <f>HYPERLINK("https://www.philgeps.gov.ph/GEPSNONPILOT/Tender/SplashBidNoticeAbstractUI.aspx?menuIndex=3&amp;refID=7190660&amp;Result=3","7190660")</f>
        <v>0</v>
      </c>
      <c r="B6611" t="s">
        <v>2207</v>
      </c>
      <c r="C6611" t="s">
        <v>10067</v>
      </c>
      <c r="D6611" t="s">
        <v>18999</v>
      </c>
      <c r="E6611" t="s">
        <v>24848</v>
      </c>
      <c r="F6611" t="s">
        <v>32606</v>
      </c>
      <c r="G6611" t="s">
        <v>32617</v>
      </c>
      <c r="H6611" t="s">
        <v>14201</v>
      </c>
      <c r="I6611" t="s">
        <v>4120</v>
      </c>
      <c r="J6611" t="s">
        <v>37004</v>
      </c>
      <c r="K6611" t="s">
        <v>42632</v>
      </c>
      <c r="M6611" t="s">
        <v>45311</v>
      </c>
      <c r="N6611" t="s">
        <v>47304</v>
      </c>
      <c r="O6611" t="s">
        <v>47305</v>
      </c>
      <c r="P6611">
        <v>0</v>
      </c>
      <c r="Q6611">
        <v>6</v>
      </c>
      <c r="R6611" t="s">
        <v>47311</v>
      </c>
      <c r="S6611" t="s">
        <v>47443</v>
      </c>
      <c r="T6611" t="s">
        <v>49269</v>
      </c>
      <c r="U6611" t="s">
        <v>55068</v>
      </c>
      <c r="W6611" t="s">
        <v>45311</v>
      </c>
      <c r="X6611" t="s">
        <v>47312</v>
      </c>
    </row>
    <row r="6612" spans="1:24">
      <c r="A6612">
        <f>HYPERLINK("https://www.philgeps.gov.ph/GEPSNONPILOT/Tender/SplashBidNoticeAbstractUI.aspx?menuIndex=3&amp;refID=7190658&amp;Result=3","7190658")</f>
        <v>0</v>
      </c>
      <c r="B6612" t="s">
        <v>301</v>
      </c>
      <c r="C6612" t="s">
        <v>10068</v>
      </c>
      <c r="D6612" t="s">
        <v>19011</v>
      </c>
      <c r="E6612" t="s">
        <v>24849</v>
      </c>
      <c r="F6612" t="s">
        <v>32606</v>
      </c>
      <c r="G6612" t="s">
        <v>32619</v>
      </c>
      <c r="H6612" t="s">
        <v>14201</v>
      </c>
      <c r="I6612" t="s">
        <v>32646</v>
      </c>
      <c r="J6612" t="s">
        <v>35966</v>
      </c>
      <c r="K6612" t="s">
        <v>42627</v>
      </c>
      <c r="M6612" t="s">
        <v>43203</v>
      </c>
      <c r="N6612" t="s">
        <v>47304</v>
      </c>
      <c r="O6612" t="s">
        <v>47305</v>
      </c>
      <c r="P6612">
        <v>0</v>
      </c>
      <c r="Q6612">
        <v>4</v>
      </c>
      <c r="R6612" t="s">
        <v>47311</v>
      </c>
      <c r="S6612" t="s">
        <v>47443</v>
      </c>
      <c r="T6612" t="s">
        <v>48997</v>
      </c>
      <c r="U6612" t="s">
        <v>55069</v>
      </c>
      <c r="W6612" t="s">
        <v>43203</v>
      </c>
      <c r="X6612" t="s">
        <v>47312</v>
      </c>
    </row>
    <row r="6613" spans="1:24">
      <c r="A6613">
        <f>HYPERLINK("https://www.philgeps.gov.ph/GEPSNONPILOT/Tender/SplashBidNoticeAbstractUI.aspx?menuIndex=3&amp;refID=7190654&amp;Result=3","7190654")</f>
        <v>0</v>
      </c>
      <c r="B6613" t="s">
        <v>1465</v>
      </c>
      <c r="C6613" t="s">
        <v>10069</v>
      </c>
      <c r="D6613" t="s">
        <v>18991</v>
      </c>
      <c r="E6613" t="s">
        <v>24850</v>
      </c>
      <c r="F6613" t="s">
        <v>32606</v>
      </c>
      <c r="G6613" t="s">
        <v>32614</v>
      </c>
      <c r="H6613" t="s">
        <v>14201</v>
      </c>
      <c r="I6613" t="s">
        <v>32633</v>
      </c>
      <c r="J6613" t="s">
        <v>33587</v>
      </c>
      <c r="K6613" t="s">
        <v>42631</v>
      </c>
      <c r="M6613" t="s">
        <v>44459</v>
      </c>
      <c r="N6613" t="s">
        <v>47304</v>
      </c>
      <c r="O6613" t="s">
        <v>47305</v>
      </c>
      <c r="P6613">
        <v>0</v>
      </c>
      <c r="Q6613">
        <v>4</v>
      </c>
      <c r="R6613" t="s">
        <v>47311</v>
      </c>
      <c r="S6613" t="s">
        <v>47443</v>
      </c>
      <c r="T6613" t="s">
        <v>49268</v>
      </c>
      <c r="U6613" t="s">
        <v>52738</v>
      </c>
      <c r="W6613" t="s">
        <v>44459</v>
      </c>
      <c r="X6613" t="s">
        <v>47312</v>
      </c>
    </row>
    <row r="6614" spans="1:24">
      <c r="A6614">
        <f>HYPERLINK("https://www.philgeps.gov.ph/GEPSNONPILOT/Tender/SplashBidNoticeAbstractUI.aspx?menuIndex=3&amp;refID=7190652&amp;Result=3","7190652")</f>
        <v>0</v>
      </c>
      <c r="B6614" t="s">
        <v>761</v>
      </c>
      <c r="C6614" t="s">
        <v>10070</v>
      </c>
      <c r="D6614" t="s">
        <v>19036</v>
      </c>
      <c r="E6614" t="s">
        <v>24851</v>
      </c>
      <c r="F6614" t="s">
        <v>32606</v>
      </c>
      <c r="G6614" t="s">
        <v>32613</v>
      </c>
      <c r="H6614" t="s">
        <v>32624</v>
      </c>
      <c r="I6614" t="s">
        <v>6931</v>
      </c>
      <c r="J6614" t="s">
        <v>37005</v>
      </c>
      <c r="K6614" t="s">
        <v>42636</v>
      </c>
      <c r="M6614" t="s">
        <v>43685</v>
      </c>
      <c r="N6614" t="s">
        <v>47304</v>
      </c>
      <c r="O6614" t="s">
        <v>47305</v>
      </c>
      <c r="P6614">
        <v>0</v>
      </c>
      <c r="Q6614">
        <v>0</v>
      </c>
      <c r="R6614" t="s">
        <v>47311</v>
      </c>
      <c r="S6614" t="s">
        <v>47443</v>
      </c>
      <c r="T6614" t="s">
        <v>49091</v>
      </c>
      <c r="U6614" t="s">
        <v>55070</v>
      </c>
      <c r="W6614" t="s">
        <v>43685</v>
      </c>
      <c r="X6614" t="s">
        <v>47312</v>
      </c>
    </row>
    <row r="6615" spans="1:24">
      <c r="A6615">
        <f>HYPERLINK("https://www.philgeps.gov.ph/GEPSNONPILOT/Tender/SplashBidNoticeAbstractUI.aspx?menuIndex=3&amp;refID=7190650&amp;Result=3","7190650")</f>
        <v>0</v>
      </c>
      <c r="B6615" t="s">
        <v>2193</v>
      </c>
      <c r="C6615" t="s">
        <v>10071</v>
      </c>
      <c r="D6615" t="s">
        <v>19019</v>
      </c>
      <c r="E6615" t="s">
        <v>24852</v>
      </c>
      <c r="F6615" t="s">
        <v>32606</v>
      </c>
      <c r="G6615" t="s">
        <v>32619</v>
      </c>
      <c r="H6615" t="s">
        <v>14201</v>
      </c>
      <c r="I6615" t="s">
        <v>4114</v>
      </c>
      <c r="J6615" t="s">
        <v>37006</v>
      </c>
      <c r="K6615" t="s">
        <v>42623</v>
      </c>
      <c r="M6615" t="s">
        <v>45293</v>
      </c>
      <c r="N6615" t="s">
        <v>47304</v>
      </c>
      <c r="O6615" t="s">
        <v>47305</v>
      </c>
      <c r="P6615">
        <v>0</v>
      </c>
      <c r="Q6615">
        <v>1</v>
      </c>
      <c r="R6615" t="s">
        <v>47311</v>
      </c>
      <c r="S6615" t="s">
        <v>47443</v>
      </c>
      <c r="T6615" t="s">
        <v>49053</v>
      </c>
      <c r="U6615" t="s">
        <v>55071</v>
      </c>
      <c r="W6615" t="s">
        <v>45293</v>
      </c>
      <c r="X6615" t="s">
        <v>47312</v>
      </c>
    </row>
    <row r="6616" spans="1:24">
      <c r="A6616">
        <f>HYPERLINK("https://www.philgeps.gov.ph/GEPSNONPILOT/Tender/SplashBidNoticeAbstractUI.aspx?menuIndex=3&amp;refID=7190614&amp;Result=3","7190614")</f>
        <v>0</v>
      </c>
      <c r="B6616" t="s">
        <v>1188</v>
      </c>
      <c r="C6616" t="s">
        <v>5665</v>
      </c>
      <c r="D6616" t="s">
        <v>19070</v>
      </c>
      <c r="E6616" t="s">
        <v>22352</v>
      </c>
      <c r="F6616" t="s">
        <v>32606</v>
      </c>
      <c r="G6616" t="s">
        <v>32613</v>
      </c>
      <c r="H6616" t="s">
        <v>14201</v>
      </c>
      <c r="I6616" t="s">
        <v>7677</v>
      </c>
      <c r="J6616" t="s">
        <v>37007</v>
      </c>
      <c r="K6616" t="s">
        <v>42627</v>
      </c>
      <c r="M6616" t="s">
        <v>44152</v>
      </c>
      <c r="N6616" t="s">
        <v>47304</v>
      </c>
      <c r="O6616" t="s">
        <v>47305</v>
      </c>
      <c r="P6616">
        <v>0</v>
      </c>
      <c r="Q6616">
        <v>5</v>
      </c>
      <c r="R6616" t="s">
        <v>47311</v>
      </c>
      <c r="S6616" t="s">
        <v>47443</v>
      </c>
      <c r="T6616" t="s">
        <v>49140</v>
      </c>
      <c r="U6616" t="s">
        <v>55072</v>
      </c>
      <c r="V6616" t="s">
        <v>63044</v>
      </c>
      <c r="W6616" t="s">
        <v>44152</v>
      </c>
      <c r="X6616" t="s">
        <v>47312</v>
      </c>
    </row>
    <row r="6617" spans="1:24">
      <c r="A6617">
        <f>HYPERLINK("https://www.philgeps.gov.ph/GEPSNONPILOT/Tender/SplashBidNoticeAbstractUI.aspx?menuIndex=3&amp;refID=7190668&amp;Result=3","7190668")</f>
        <v>0</v>
      </c>
      <c r="B6617" t="s">
        <v>2208</v>
      </c>
      <c r="C6617" t="s">
        <v>10072</v>
      </c>
      <c r="D6617" t="s">
        <v>19012</v>
      </c>
      <c r="E6617" t="s">
        <v>24853</v>
      </c>
      <c r="F6617" t="s">
        <v>32606</v>
      </c>
      <c r="G6617" t="s">
        <v>32613</v>
      </c>
      <c r="H6617" t="s">
        <v>14201</v>
      </c>
      <c r="I6617" t="s">
        <v>6931</v>
      </c>
      <c r="J6617" t="s">
        <v>37008</v>
      </c>
      <c r="K6617" t="s">
        <v>42622</v>
      </c>
      <c r="M6617" t="s">
        <v>45312</v>
      </c>
      <c r="N6617" t="s">
        <v>47304</v>
      </c>
      <c r="O6617" t="s">
        <v>47305</v>
      </c>
      <c r="P6617">
        <v>0</v>
      </c>
      <c r="Q6617">
        <v>0</v>
      </c>
      <c r="R6617" t="s">
        <v>47311</v>
      </c>
      <c r="S6617" t="s">
        <v>47443</v>
      </c>
      <c r="T6617" t="s">
        <v>49189</v>
      </c>
      <c r="U6617" t="s">
        <v>55073</v>
      </c>
      <c r="W6617" t="s">
        <v>45312</v>
      </c>
      <c r="X6617" t="s">
        <v>47312</v>
      </c>
    </row>
    <row r="6618" spans="1:24">
      <c r="A6618">
        <f>HYPERLINK("https://www.philgeps.gov.ph/GEPSNONPILOT/Tender/SplashBidNoticeAbstractUI.aspx?menuIndex=3&amp;refID=7190679&amp;Result=3","7190679")</f>
        <v>0</v>
      </c>
      <c r="B6618" t="s">
        <v>2209</v>
      </c>
      <c r="C6618" t="s">
        <v>10073</v>
      </c>
      <c r="D6618" t="s">
        <v>18992</v>
      </c>
      <c r="E6618" t="s">
        <v>24854</v>
      </c>
      <c r="F6618" t="s">
        <v>32606</v>
      </c>
      <c r="G6618" t="s">
        <v>32615</v>
      </c>
      <c r="H6618" t="s">
        <v>14201</v>
      </c>
      <c r="I6618" t="s">
        <v>4678</v>
      </c>
      <c r="J6618" t="s">
        <v>33936</v>
      </c>
      <c r="K6618" t="s">
        <v>42636</v>
      </c>
      <c r="M6618" t="s">
        <v>45313</v>
      </c>
      <c r="N6618" t="s">
        <v>47304</v>
      </c>
      <c r="O6618" t="s">
        <v>47305</v>
      </c>
      <c r="P6618">
        <v>0</v>
      </c>
      <c r="Q6618">
        <v>3</v>
      </c>
      <c r="R6618" t="s">
        <v>47311</v>
      </c>
      <c r="S6618" t="s">
        <v>47443</v>
      </c>
      <c r="T6618" t="s">
        <v>48997</v>
      </c>
      <c r="U6618" t="s">
        <v>55074</v>
      </c>
      <c r="W6618" t="s">
        <v>45313</v>
      </c>
      <c r="X6618" t="s">
        <v>47312</v>
      </c>
    </row>
    <row r="6619" spans="1:24">
      <c r="A6619">
        <f>HYPERLINK("https://www.philgeps.gov.ph/GEPSNONPILOT/Tender/SplashBidNoticeAbstractUI.aspx?menuIndex=3&amp;refID=7190717&amp;Result=3","7190717")</f>
        <v>0</v>
      </c>
      <c r="B6619" t="s">
        <v>2210</v>
      </c>
      <c r="C6619" t="s">
        <v>10074</v>
      </c>
      <c r="D6619" t="s">
        <v>19014</v>
      </c>
      <c r="E6619" t="s">
        <v>24855</v>
      </c>
      <c r="F6619" t="s">
        <v>32606</v>
      </c>
      <c r="G6619" t="s">
        <v>32614</v>
      </c>
      <c r="H6619" t="s">
        <v>14201</v>
      </c>
      <c r="I6619" t="s">
        <v>4121</v>
      </c>
      <c r="J6619" t="s">
        <v>34658</v>
      </c>
      <c r="K6619" t="s">
        <v>42631</v>
      </c>
      <c r="M6619" t="s">
        <v>45314</v>
      </c>
      <c r="N6619" t="s">
        <v>47304</v>
      </c>
      <c r="O6619" t="s">
        <v>47305</v>
      </c>
      <c r="Q6619">
        <v>7</v>
      </c>
      <c r="R6619" t="s">
        <v>47311</v>
      </c>
      <c r="S6619" t="s">
        <v>47456</v>
      </c>
      <c r="T6619" t="s">
        <v>49165</v>
      </c>
      <c r="U6619" t="s">
        <v>55075</v>
      </c>
      <c r="W6619" t="s">
        <v>45314</v>
      </c>
      <c r="X6619" t="s">
        <v>47312</v>
      </c>
    </row>
    <row r="6620" spans="1:24">
      <c r="A6620">
        <f>HYPERLINK("https://www.philgeps.gov.ph/GEPSNONPILOT/Tender/SplashBidNoticeAbstractUI.aspx?menuIndex=3&amp;refID=7190690&amp;Result=3","7190690")</f>
        <v>0</v>
      </c>
      <c r="B6620" t="s">
        <v>301</v>
      </c>
      <c r="C6620" t="s">
        <v>4427</v>
      </c>
      <c r="D6620" t="s">
        <v>19011</v>
      </c>
      <c r="E6620" t="s">
        <v>24856</v>
      </c>
      <c r="F6620" t="s">
        <v>32606</v>
      </c>
      <c r="G6620" t="s">
        <v>32619</v>
      </c>
      <c r="H6620" t="s">
        <v>14201</v>
      </c>
      <c r="I6620" t="s">
        <v>4678</v>
      </c>
      <c r="J6620" t="s">
        <v>34675</v>
      </c>
      <c r="K6620" t="s">
        <v>42622</v>
      </c>
      <c r="M6620" t="s">
        <v>43203</v>
      </c>
      <c r="N6620" t="s">
        <v>47304</v>
      </c>
      <c r="O6620" t="s">
        <v>47305</v>
      </c>
      <c r="P6620">
        <v>0</v>
      </c>
      <c r="Q6620">
        <v>5</v>
      </c>
      <c r="R6620" t="s">
        <v>47311</v>
      </c>
      <c r="S6620" t="s">
        <v>47443</v>
      </c>
      <c r="T6620" t="s">
        <v>48979</v>
      </c>
      <c r="U6620" t="s">
        <v>55076</v>
      </c>
      <c r="W6620" t="s">
        <v>43203</v>
      </c>
      <c r="X6620" t="s">
        <v>47312</v>
      </c>
    </row>
    <row r="6621" spans="1:24">
      <c r="A6621">
        <f>HYPERLINK("https://www.philgeps.gov.ph/GEPSNONPILOT/Tender/SplashBidNoticeAbstractUI.aspx?menuIndex=3&amp;refID=7190735&amp;Result=3","7190735")</f>
        <v>0</v>
      </c>
      <c r="B6621" t="s">
        <v>2211</v>
      </c>
      <c r="C6621" t="s">
        <v>10075</v>
      </c>
      <c r="D6621" t="s">
        <v>19064</v>
      </c>
      <c r="E6621" t="s">
        <v>24857</v>
      </c>
      <c r="F6621" t="s">
        <v>32606</v>
      </c>
      <c r="G6621" t="s">
        <v>32614</v>
      </c>
      <c r="H6621" t="s">
        <v>14201</v>
      </c>
      <c r="I6621" t="s">
        <v>32633</v>
      </c>
      <c r="J6621" t="s">
        <v>32949</v>
      </c>
      <c r="K6621" t="s">
        <v>42622</v>
      </c>
      <c r="M6621" t="s">
        <v>45315</v>
      </c>
      <c r="N6621" t="s">
        <v>47304</v>
      </c>
      <c r="O6621" t="s">
        <v>47305</v>
      </c>
      <c r="P6621">
        <v>0</v>
      </c>
      <c r="Q6621">
        <v>3</v>
      </c>
      <c r="R6621" t="s">
        <v>47311</v>
      </c>
      <c r="S6621" t="s">
        <v>47443</v>
      </c>
      <c r="T6621" t="s">
        <v>49072</v>
      </c>
      <c r="U6621" t="s">
        <v>55077</v>
      </c>
      <c r="W6621" t="s">
        <v>45315</v>
      </c>
      <c r="X6621" t="s">
        <v>47312</v>
      </c>
    </row>
    <row r="6622" spans="1:24">
      <c r="A6622">
        <f>HYPERLINK("https://www.philgeps.gov.ph/GEPSNONPILOT/Tender/SplashBidNoticeAbstractUI.aspx?menuIndex=3&amp;refID=7190684&amp;Result=3","7190684")</f>
        <v>0</v>
      </c>
      <c r="B6622" t="s">
        <v>1043</v>
      </c>
      <c r="C6622" t="s">
        <v>10076</v>
      </c>
      <c r="D6622" t="s">
        <v>19027</v>
      </c>
      <c r="E6622" t="s">
        <v>24858</v>
      </c>
      <c r="F6622" t="s">
        <v>32606</v>
      </c>
      <c r="G6622" t="s">
        <v>32613</v>
      </c>
      <c r="H6622" t="s">
        <v>32625</v>
      </c>
      <c r="I6622" t="s">
        <v>32625</v>
      </c>
      <c r="J6622" t="s">
        <v>36987</v>
      </c>
      <c r="K6622" t="s">
        <v>42675</v>
      </c>
      <c r="M6622" t="s">
        <v>45299</v>
      </c>
      <c r="N6622" t="s">
        <v>47304</v>
      </c>
      <c r="O6622" t="s">
        <v>47305</v>
      </c>
      <c r="P6622">
        <v>0</v>
      </c>
      <c r="Q6622">
        <v>3</v>
      </c>
      <c r="R6622" t="s">
        <v>47311</v>
      </c>
      <c r="S6622" t="s">
        <v>47443</v>
      </c>
      <c r="T6622" t="s">
        <v>49001</v>
      </c>
      <c r="U6622" t="s">
        <v>55046</v>
      </c>
      <c r="W6622" t="s">
        <v>45299</v>
      </c>
      <c r="X6622" t="s">
        <v>47312</v>
      </c>
    </row>
    <row r="6623" spans="1:24">
      <c r="A6623">
        <f>HYPERLINK("https://www.philgeps.gov.ph/GEPSNONPILOT/Tender/SplashBidNoticeAbstractUI.aspx?menuIndex=3&amp;refID=7190724&amp;Result=3","7190724")</f>
        <v>0</v>
      </c>
      <c r="B6623" t="s">
        <v>2198</v>
      </c>
      <c r="C6623" t="s">
        <v>10077</v>
      </c>
      <c r="D6623" t="s">
        <v>19008</v>
      </c>
      <c r="E6623" t="s">
        <v>24859</v>
      </c>
      <c r="F6623" t="s">
        <v>32606</v>
      </c>
      <c r="G6623" t="s">
        <v>32614</v>
      </c>
      <c r="H6623" t="s">
        <v>14201</v>
      </c>
      <c r="I6623" t="s">
        <v>6931</v>
      </c>
      <c r="J6623" t="s">
        <v>37009</v>
      </c>
      <c r="K6623" t="s">
        <v>42622</v>
      </c>
      <c r="M6623" t="s">
        <v>45298</v>
      </c>
      <c r="N6623" t="s">
        <v>47304</v>
      </c>
      <c r="O6623" t="s">
        <v>47305</v>
      </c>
      <c r="P6623">
        <v>0</v>
      </c>
      <c r="Q6623">
        <v>2</v>
      </c>
      <c r="R6623" t="s">
        <v>47311</v>
      </c>
      <c r="S6623" t="s">
        <v>47443</v>
      </c>
      <c r="T6623" t="s">
        <v>48998</v>
      </c>
      <c r="U6623" t="s">
        <v>55044</v>
      </c>
      <c r="W6623" t="s">
        <v>45298</v>
      </c>
      <c r="X6623" t="s">
        <v>47312</v>
      </c>
    </row>
    <row r="6624" spans="1:24">
      <c r="A6624">
        <f>HYPERLINK("https://www.philgeps.gov.ph/GEPSNONPILOT/Tender/SplashBidNoticeAbstractUI.aspx?menuIndex=3&amp;refID=7190723&amp;Result=3","7190723")</f>
        <v>0</v>
      </c>
      <c r="B6624" t="s">
        <v>305</v>
      </c>
      <c r="C6624" t="s">
        <v>10078</v>
      </c>
      <c r="D6624" t="s">
        <v>19006</v>
      </c>
      <c r="E6624" t="s">
        <v>24860</v>
      </c>
      <c r="F6624" t="s">
        <v>32606</v>
      </c>
      <c r="G6624" t="s">
        <v>32613</v>
      </c>
      <c r="H6624" t="s">
        <v>14201</v>
      </c>
      <c r="I6624" t="s">
        <v>7677</v>
      </c>
      <c r="J6624" t="s">
        <v>37010</v>
      </c>
      <c r="K6624" t="s">
        <v>42623</v>
      </c>
      <c r="M6624" t="s">
        <v>43207</v>
      </c>
      <c r="N6624" t="s">
        <v>47304</v>
      </c>
      <c r="O6624" t="s">
        <v>47305</v>
      </c>
      <c r="P6624">
        <v>0</v>
      </c>
      <c r="Q6624">
        <v>26</v>
      </c>
      <c r="R6624" t="s">
        <v>47311</v>
      </c>
      <c r="S6624" t="s">
        <v>47443</v>
      </c>
      <c r="T6624" t="s">
        <v>48973</v>
      </c>
      <c r="U6624" t="s">
        <v>55078</v>
      </c>
      <c r="W6624" t="s">
        <v>43207</v>
      </c>
      <c r="X6624" t="s">
        <v>47312</v>
      </c>
    </row>
    <row r="6625" spans="1:24">
      <c r="A6625">
        <f>HYPERLINK("https://www.philgeps.gov.ph/GEPSNONPILOT/Tender/SplashBidNoticeAbstractUI.aspx?menuIndex=3&amp;refID=7190622&amp;Result=3","7190622")</f>
        <v>0</v>
      </c>
      <c r="B6625" t="s">
        <v>844</v>
      </c>
      <c r="C6625" t="s">
        <v>10079</v>
      </c>
      <c r="D6625" t="s">
        <v>19056</v>
      </c>
      <c r="E6625" t="s">
        <v>24861</v>
      </c>
      <c r="F6625" t="s">
        <v>32606</v>
      </c>
      <c r="G6625" t="s">
        <v>32619</v>
      </c>
      <c r="H6625" t="s">
        <v>14201</v>
      </c>
      <c r="I6625" t="s">
        <v>6298</v>
      </c>
      <c r="J6625" t="s">
        <v>37011</v>
      </c>
      <c r="K6625" t="s">
        <v>42624</v>
      </c>
      <c r="L6625" t="s">
        <v>844</v>
      </c>
      <c r="M6625" t="s">
        <v>43776</v>
      </c>
      <c r="N6625" t="s">
        <v>47304</v>
      </c>
      <c r="O6625" t="s">
        <v>47305</v>
      </c>
      <c r="P6625">
        <v>0</v>
      </c>
      <c r="Q6625">
        <v>2</v>
      </c>
      <c r="R6625" t="s">
        <v>47311</v>
      </c>
      <c r="S6625" t="s">
        <v>47443</v>
      </c>
      <c r="T6625" t="s">
        <v>49053</v>
      </c>
      <c r="U6625" t="s">
        <v>51130</v>
      </c>
      <c r="W6625" t="s">
        <v>43776</v>
      </c>
      <c r="X6625" t="s">
        <v>47312</v>
      </c>
    </row>
    <row r="6626" spans="1:24">
      <c r="A6626">
        <f>HYPERLINK("https://www.philgeps.gov.ph/GEPSNONPILOT/Tender/SplashBidNoticeAbstractUI.aspx?menuIndex=3&amp;refID=7190674&amp;Result=3","7190674")</f>
        <v>0</v>
      </c>
      <c r="B6626" t="s">
        <v>1545</v>
      </c>
      <c r="C6626" t="s">
        <v>10080</v>
      </c>
      <c r="D6626" t="s">
        <v>19056</v>
      </c>
      <c r="E6626" t="s">
        <v>24862</v>
      </c>
      <c r="F6626" t="s">
        <v>32606</v>
      </c>
      <c r="G6626" t="s">
        <v>32613</v>
      </c>
      <c r="H6626" t="s">
        <v>32623</v>
      </c>
      <c r="I6626" t="s">
        <v>17648</v>
      </c>
      <c r="J6626" t="s">
        <v>37012</v>
      </c>
      <c r="K6626" t="s">
        <v>42623</v>
      </c>
      <c r="M6626" t="s">
        <v>44549</v>
      </c>
      <c r="N6626" t="s">
        <v>47304</v>
      </c>
      <c r="O6626" t="s">
        <v>47305</v>
      </c>
      <c r="P6626">
        <v>0</v>
      </c>
      <c r="Q6626">
        <v>0</v>
      </c>
      <c r="R6626" t="s">
        <v>47311</v>
      </c>
      <c r="S6626" t="s">
        <v>47443</v>
      </c>
      <c r="T6626" t="s">
        <v>49100</v>
      </c>
      <c r="U6626" t="s">
        <v>55079</v>
      </c>
      <c r="W6626" t="s">
        <v>44549</v>
      </c>
      <c r="X6626" t="s">
        <v>47312</v>
      </c>
    </row>
    <row r="6627" spans="1:24">
      <c r="A6627">
        <f>HYPERLINK("https://www.philgeps.gov.ph/GEPSNONPILOT/Tender/SplashBidNoticeAbstractUI.aspx?menuIndex=3&amp;refID=7190712&amp;Result=3","7190712")</f>
        <v>0</v>
      </c>
      <c r="B6627" t="s">
        <v>2193</v>
      </c>
      <c r="C6627" t="s">
        <v>10081</v>
      </c>
      <c r="D6627" t="s">
        <v>19019</v>
      </c>
      <c r="E6627" t="s">
        <v>24863</v>
      </c>
      <c r="F6627" t="s">
        <v>32606</v>
      </c>
      <c r="G6627" t="s">
        <v>32619</v>
      </c>
      <c r="H6627" t="s">
        <v>14201</v>
      </c>
      <c r="I6627" t="s">
        <v>32650</v>
      </c>
      <c r="J6627" t="s">
        <v>32956</v>
      </c>
      <c r="K6627" t="s">
        <v>42623</v>
      </c>
      <c r="M6627" t="s">
        <v>45293</v>
      </c>
      <c r="N6627" t="s">
        <v>47304</v>
      </c>
      <c r="O6627" t="s">
        <v>47305</v>
      </c>
      <c r="P6627">
        <v>0</v>
      </c>
      <c r="Q6627">
        <v>5</v>
      </c>
      <c r="R6627" t="s">
        <v>47311</v>
      </c>
      <c r="S6627" t="s">
        <v>47443</v>
      </c>
      <c r="T6627" t="s">
        <v>49053</v>
      </c>
      <c r="U6627" t="s">
        <v>55080</v>
      </c>
      <c r="W6627" t="s">
        <v>45293</v>
      </c>
      <c r="X6627" t="s">
        <v>47312</v>
      </c>
    </row>
    <row r="6628" spans="1:24">
      <c r="A6628">
        <f>HYPERLINK("https://www.philgeps.gov.ph/GEPSNONPILOT/Tender/SplashBidNoticeAbstractUI.aspx?menuIndex=3&amp;refID=7190727&amp;Result=3","7190727")</f>
        <v>0</v>
      </c>
      <c r="B6628" t="s">
        <v>2204</v>
      </c>
      <c r="C6628" t="s">
        <v>10082</v>
      </c>
      <c r="E6628" t="s">
        <v>24864</v>
      </c>
      <c r="F6628" t="s">
        <v>32606</v>
      </c>
      <c r="G6628" t="s">
        <v>32614</v>
      </c>
      <c r="H6628" t="s">
        <v>14201</v>
      </c>
      <c r="I6628" t="s">
        <v>4678</v>
      </c>
      <c r="J6628" t="s">
        <v>37013</v>
      </c>
      <c r="K6628" t="s">
        <v>42624</v>
      </c>
      <c r="M6628" t="s">
        <v>45308</v>
      </c>
      <c r="N6628" t="s">
        <v>47304</v>
      </c>
      <c r="O6628" t="s">
        <v>47305</v>
      </c>
      <c r="Q6628">
        <v>0</v>
      </c>
      <c r="R6628" t="s">
        <v>47311</v>
      </c>
      <c r="S6628" t="s">
        <v>47457</v>
      </c>
      <c r="T6628" t="s">
        <v>49162</v>
      </c>
      <c r="U6628" t="s">
        <v>55081</v>
      </c>
      <c r="W6628" t="s">
        <v>45308</v>
      </c>
      <c r="X6628" t="s">
        <v>47312</v>
      </c>
    </row>
    <row r="6629" spans="1:24">
      <c r="A6629">
        <f>HYPERLINK("https://www.philgeps.gov.ph/GEPSNONPILOT/Tender/SplashBidNoticeAbstractUI.aspx?menuIndex=3&amp;refID=7190708&amp;Result=3","7190708")</f>
        <v>0</v>
      </c>
      <c r="B6629" t="s">
        <v>81</v>
      </c>
      <c r="C6629" t="s">
        <v>10083</v>
      </c>
      <c r="D6629" t="s">
        <v>18995</v>
      </c>
      <c r="E6629" t="s">
        <v>24865</v>
      </c>
      <c r="F6629" t="s">
        <v>32606</v>
      </c>
      <c r="G6629" t="s">
        <v>32613</v>
      </c>
      <c r="H6629" t="s">
        <v>32623</v>
      </c>
      <c r="I6629" t="s">
        <v>17648</v>
      </c>
      <c r="J6629" t="s">
        <v>33332</v>
      </c>
      <c r="K6629" t="s">
        <v>42624</v>
      </c>
      <c r="M6629" t="s">
        <v>42978</v>
      </c>
      <c r="N6629" t="s">
        <v>47304</v>
      </c>
      <c r="O6629" t="s">
        <v>47305</v>
      </c>
      <c r="P6629">
        <v>0</v>
      </c>
      <c r="Q6629">
        <v>1</v>
      </c>
      <c r="R6629" t="s">
        <v>47311</v>
      </c>
      <c r="S6629" t="s">
        <v>47443</v>
      </c>
      <c r="T6629" t="s">
        <v>49080</v>
      </c>
      <c r="U6629" t="s">
        <v>55082</v>
      </c>
      <c r="W6629" t="s">
        <v>42978</v>
      </c>
      <c r="X6629" t="s">
        <v>47312</v>
      </c>
    </row>
    <row r="6630" spans="1:24">
      <c r="A6630">
        <f>HYPERLINK("https://www.philgeps.gov.ph/GEPSNONPILOT/Tender/SplashBidNoticeAbstractUI.aspx?menuIndex=3&amp;refID=7190615&amp;Result=3","7190615")</f>
        <v>0</v>
      </c>
      <c r="B6630" t="s">
        <v>2204</v>
      </c>
      <c r="C6630" t="s">
        <v>10084</v>
      </c>
      <c r="E6630" t="s">
        <v>24866</v>
      </c>
      <c r="F6630" t="s">
        <v>32606</v>
      </c>
      <c r="G6630" t="s">
        <v>32614</v>
      </c>
      <c r="H6630" t="s">
        <v>14201</v>
      </c>
      <c r="I6630" t="s">
        <v>4678</v>
      </c>
      <c r="J6630" t="s">
        <v>37014</v>
      </c>
      <c r="K6630" t="s">
        <v>42624</v>
      </c>
      <c r="M6630" t="s">
        <v>45308</v>
      </c>
      <c r="N6630" t="s">
        <v>47304</v>
      </c>
      <c r="O6630" t="s">
        <v>47305</v>
      </c>
      <c r="Q6630">
        <v>0</v>
      </c>
      <c r="R6630" t="s">
        <v>47311</v>
      </c>
      <c r="S6630" t="s">
        <v>47458</v>
      </c>
      <c r="T6630" t="s">
        <v>49162</v>
      </c>
      <c r="U6630" t="s">
        <v>55083</v>
      </c>
      <c r="W6630" t="s">
        <v>45308</v>
      </c>
      <c r="X6630" t="s">
        <v>47312</v>
      </c>
    </row>
    <row r="6631" spans="1:24">
      <c r="A6631">
        <f>HYPERLINK("https://www.philgeps.gov.ph/GEPSNONPILOT/Tender/SplashBidNoticeAbstractUI.aspx?menuIndex=3&amp;refID=7190718&amp;Result=3","7190718")</f>
        <v>0</v>
      </c>
      <c r="B6631" t="s">
        <v>745</v>
      </c>
      <c r="C6631" t="s">
        <v>10085</v>
      </c>
      <c r="D6631" t="s">
        <v>19043</v>
      </c>
      <c r="E6631" t="s">
        <v>24867</v>
      </c>
      <c r="F6631" t="s">
        <v>32606</v>
      </c>
      <c r="G6631" t="s">
        <v>32615</v>
      </c>
      <c r="H6631" t="s">
        <v>14201</v>
      </c>
      <c r="I6631" t="s">
        <v>4678</v>
      </c>
      <c r="J6631" t="s">
        <v>33526</v>
      </c>
      <c r="K6631" t="s">
        <v>42622</v>
      </c>
      <c r="M6631" t="s">
        <v>43668</v>
      </c>
      <c r="N6631" t="s">
        <v>47304</v>
      </c>
      <c r="O6631" t="s">
        <v>47305</v>
      </c>
      <c r="P6631">
        <v>0</v>
      </c>
      <c r="Q6631">
        <v>0</v>
      </c>
      <c r="R6631" t="s">
        <v>47311</v>
      </c>
      <c r="S6631" t="s">
        <v>47443</v>
      </c>
      <c r="T6631" t="s">
        <v>49267</v>
      </c>
      <c r="U6631" t="s">
        <v>55084</v>
      </c>
      <c r="W6631" t="s">
        <v>43668</v>
      </c>
      <c r="X6631" t="s">
        <v>47312</v>
      </c>
    </row>
    <row r="6632" spans="1:24">
      <c r="A6632">
        <f>HYPERLINK("https://www.philgeps.gov.ph/GEPSNONPILOT/Tender/SplashBidNoticeAbstractUI.aspx?menuIndex=3&amp;refID=7190707&amp;Result=3","7190707")</f>
        <v>0</v>
      </c>
      <c r="B6632" t="s">
        <v>1543</v>
      </c>
      <c r="C6632" t="s">
        <v>10086</v>
      </c>
      <c r="D6632" t="s">
        <v>19013</v>
      </c>
      <c r="E6632" t="s">
        <v>24868</v>
      </c>
      <c r="F6632" t="s">
        <v>32606</v>
      </c>
      <c r="G6632" t="s">
        <v>32613</v>
      </c>
      <c r="H6632" t="s">
        <v>32623</v>
      </c>
      <c r="I6632" t="s">
        <v>17648</v>
      </c>
      <c r="J6632" t="s">
        <v>32830</v>
      </c>
      <c r="K6632" t="s">
        <v>42646</v>
      </c>
      <c r="M6632" t="s">
        <v>44547</v>
      </c>
      <c r="N6632" t="s">
        <v>47304</v>
      </c>
      <c r="O6632" t="s">
        <v>47305</v>
      </c>
      <c r="P6632">
        <v>0</v>
      </c>
      <c r="Q6632">
        <v>1</v>
      </c>
      <c r="R6632" t="s">
        <v>47311</v>
      </c>
      <c r="S6632" t="s">
        <v>47443</v>
      </c>
      <c r="T6632" t="s">
        <v>49037</v>
      </c>
      <c r="U6632" t="s">
        <v>55085</v>
      </c>
      <c r="W6632" t="s">
        <v>44547</v>
      </c>
      <c r="X6632" t="s">
        <v>47312</v>
      </c>
    </row>
    <row r="6633" spans="1:24">
      <c r="A6633">
        <f>HYPERLINK("https://www.philgeps.gov.ph/GEPSNONPILOT/Tender/SplashBidNoticeAbstractUI.aspx?menuIndex=3&amp;refID=7190704&amp;Result=3","7190704")</f>
        <v>0</v>
      </c>
      <c r="B6633" t="s">
        <v>761</v>
      </c>
      <c r="C6633" t="s">
        <v>10087</v>
      </c>
      <c r="D6633" t="s">
        <v>19036</v>
      </c>
      <c r="E6633" t="s">
        <v>23622</v>
      </c>
      <c r="F6633" t="s">
        <v>32606</v>
      </c>
      <c r="G6633" t="s">
        <v>32613</v>
      </c>
      <c r="H6633" t="s">
        <v>14201</v>
      </c>
      <c r="I6633" t="s">
        <v>6931</v>
      </c>
      <c r="J6633" t="s">
        <v>37015</v>
      </c>
      <c r="K6633" t="s">
        <v>42631</v>
      </c>
      <c r="M6633" t="s">
        <v>43685</v>
      </c>
      <c r="N6633" t="s">
        <v>47304</v>
      </c>
      <c r="O6633" t="s">
        <v>47305</v>
      </c>
      <c r="P6633">
        <v>0</v>
      </c>
      <c r="Q6633">
        <v>0</v>
      </c>
      <c r="R6633" t="s">
        <v>47311</v>
      </c>
      <c r="S6633" t="s">
        <v>47443</v>
      </c>
      <c r="T6633" t="s">
        <v>49091</v>
      </c>
      <c r="U6633" t="s">
        <v>55086</v>
      </c>
      <c r="W6633" t="s">
        <v>43685</v>
      </c>
      <c r="X6633" t="s">
        <v>47312</v>
      </c>
    </row>
    <row r="6634" spans="1:24">
      <c r="A6634">
        <f>HYPERLINK("https://www.philgeps.gov.ph/GEPSNONPILOT/Tender/SplashBidNoticeAbstractUI.aspx?menuIndex=3&amp;refID=7190703&amp;Result=3","7190703")</f>
        <v>0</v>
      </c>
      <c r="B6634" t="s">
        <v>2212</v>
      </c>
      <c r="C6634" t="s">
        <v>10088</v>
      </c>
      <c r="D6634" t="s">
        <v>18994</v>
      </c>
      <c r="E6634" t="s">
        <v>24869</v>
      </c>
      <c r="F6634" t="s">
        <v>32606</v>
      </c>
      <c r="G6634" t="s">
        <v>32613</v>
      </c>
      <c r="H6634" t="s">
        <v>14201</v>
      </c>
      <c r="I6634" t="s">
        <v>6931</v>
      </c>
      <c r="J6634" t="s">
        <v>37016</v>
      </c>
      <c r="K6634" t="s">
        <v>42631</v>
      </c>
      <c r="M6634" t="s">
        <v>45316</v>
      </c>
      <c r="N6634" t="s">
        <v>47304</v>
      </c>
      <c r="O6634" t="s">
        <v>47305</v>
      </c>
      <c r="P6634">
        <v>0</v>
      </c>
      <c r="Q6634">
        <v>1</v>
      </c>
      <c r="R6634" t="s">
        <v>47311</v>
      </c>
      <c r="S6634" t="s">
        <v>47443</v>
      </c>
      <c r="T6634" t="s">
        <v>49354</v>
      </c>
      <c r="U6634" t="s">
        <v>55087</v>
      </c>
      <c r="W6634" t="s">
        <v>45316</v>
      </c>
      <c r="X6634" t="s">
        <v>47312</v>
      </c>
    </row>
    <row r="6635" spans="1:24">
      <c r="A6635">
        <f>HYPERLINK("https://www.philgeps.gov.ph/GEPSNONPILOT/Tender/SplashBidNoticeAbstractUI.aspx?menuIndex=3&amp;refID=7190702&amp;Result=3","7190702")</f>
        <v>0</v>
      </c>
      <c r="B6635" t="s">
        <v>529</v>
      </c>
      <c r="C6635" t="s">
        <v>10089</v>
      </c>
      <c r="D6635" t="s">
        <v>19063</v>
      </c>
      <c r="E6635" t="s">
        <v>24870</v>
      </c>
      <c r="F6635" t="s">
        <v>32606</v>
      </c>
      <c r="G6635" t="s">
        <v>32613</v>
      </c>
      <c r="H6635" t="s">
        <v>32623</v>
      </c>
      <c r="I6635" t="s">
        <v>17648</v>
      </c>
      <c r="J6635" t="s">
        <v>37017</v>
      </c>
      <c r="K6635" t="s">
        <v>42777</v>
      </c>
      <c r="M6635" t="s">
        <v>43442</v>
      </c>
      <c r="N6635" t="s">
        <v>47304</v>
      </c>
      <c r="O6635" t="s">
        <v>47305</v>
      </c>
      <c r="P6635">
        <v>0</v>
      </c>
      <c r="Q6635">
        <v>0</v>
      </c>
      <c r="R6635" t="s">
        <v>47311</v>
      </c>
      <c r="S6635" t="s">
        <v>47443</v>
      </c>
      <c r="T6635" t="s">
        <v>49351</v>
      </c>
      <c r="U6635" t="s">
        <v>55088</v>
      </c>
      <c r="W6635" t="s">
        <v>43442</v>
      </c>
      <c r="X6635" t="s">
        <v>47312</v>
      </c>
    </row>
    <row r="6636" spans="1:24">
      <c r="A6636">
        <f>HYPERLINK("https://www.philgeps.gov.ph/GEPSNONPILOT/Tender/SplashBidNoticeAbstractUI.aspx?menuIndex=3&amp;refID=7190701&amp;Result=3","7190701")</f>
        <v>0</v>
      </c>
      <c r="B6636" t="s">
        <v>644</v>
      </c>
      <c r="C6636" t="s">
        <v>10090</v>
      </c>
      <c r="D6636" t="s">
        <v>19022</v>
      </c>
      <c r="E6636" t="s">
        <v>10090</v>
      </c>
      <c r="F6636" t="s">
        <v>32606</v>
      </c>
      <c r="G6636" t="s">
        <v>32614</v>
      </c>
      <c r="H6636" t="s">
        <v>14201</v>
      </c>
      <c r="I6636" t="s">
        <v>7233</v>
      </c>
      <c r="J6636" t="s">
        <v>33195</v>
      </c>
      <c r="K6636" t="s">
        <v>42624</v>
      </c>
      <c r="M6636" t="s">
        <v>44072</v>
      </c>
      <c r="N6636" t="s">
        <v>47304</v>
      </c>
      <c r="O6636" t="s">
        <v>47305</v>
      </c>
      <c r="P6636">
        <v>0</v>
      </c>
      <c r="Q6636">
        <v>0</v>
      </c>
      <c r="R6636" t="s">
        <v>47311</v>
      </c>
      <c r="S6636" t="s">
        <v>47443</v>
      </c>
      <c r="T6636" t="s">
        <v>49331</v>
      </c>
      <c r="U6636" t="s">
        <v>55089</v>
      </c>
      <c r="W6636" t="s">
        <v>44072</v>
      </c>
      <c r="X6636" t="s">
        <v>47312</v>
      </c>
    </row>
    <row r="6637" spans="1:24">
      <c r="A6637">
        <f>HYPERLINK("https://www.philgeps.gov.ph/GEPSNONPILOT/Tender/SplashBidNoticeAbstractUI.aspx?menuIndex=3&amp;refID=7190700&amp;Result=3","7190700")</f>
        <v>0</v>
      </c>
      <c r="B6637" t="s">
        <v>433</v>
      </c>
      <c r="C6637" t="s">
        <v>10091</v>
      </c>
      <c r="D6637" t="s">
        <v>19012</v>
      </c>
      <c r="E6637" t="s">
        <v>24871</v>
      </c>
      <c r="F6637" t="s">
        <v>32606</v>
      </c>
      <c r="G6637" t="s">
        <v>32614</v>
      </c>
      <c r="H6637" t="s">
        <v>14201</v>
      </c>
      <c r="I6637" t="s">
        <v>6931</v>
      </c>
      <c r="J6637" t="s">
        <v>37018</v>
      </c>
      <c r="K6637" t="s">
        <v>42745</v>
      </c>
      <c r="M6637" t="s">
        <v>43339</v>
      </c>
      <c r="N6637" t="s">
        <v>47304</v>
      </c>
      <c r="O6637" t="s">
        <v>47305</v>
      </c>
      <c r="P6637">
        <v>0</v>
      </c>
      <c r="Q6637">
        <v>0</v>
      </c>
      <c r="R6637" t="s">
        <v>47311</v>
      </c>
      <c r="S6637" t="s">
        <v>47443</v>
      </c>
      <c r="T6637" t="s">
        <v>49050</v>
      </c>
      <c r="U6637" t="s">
        <v>55090</v>
      </c>
      <c r="W6637" t="s">
        <v>43339</v>
      </c>
      <c r="X6637" t="s">
        <v>47312</v>
      </c>
    </row>
    <row r="6638" spans="1:24">
      <c r="A6638">
        <f>HYPERLINK("https://www.philgeps.gov.ph/GEPSNONPILOT/Tender/SplashBidNoticeAbstractUI.aspx?menuIndex=3&amp;refID=7190697&amp;Result=3","7190697")</f>
        <v>0</v>
      </c>
      <c r="B6638" t="s">
        <v>745</v>
      </c>
      <c r="C6638" t="s">
        <v>10092</v>
      </c>
      <c r="D6638" t="s">
        <v>19043</v>
      </c>
      <c r="E6638" t="s">
        <v>24872</v>
      </c>
      <c r="F6638" t="s">
        <v>32606</v>
      </c>
      <c r="G6638" t="s">
        <v>32615</v>
      </c>
      <c r="H6638" t="s">
        <v>14201</v>
      </c>
      <c r="I6638" t="s">
        <v>4678</v>
      </c>
      <c r="J6638" t="s">
        <v>33526</v>
      </c>
      <c r="K6638" t="s">
        <v>42622</v>
      </c>
      <c r="M6638" t="s">
        <v>43668</v>
      </c>
      <c r="N6638" t="s">
        <v>47304</v>
      </c>
      <c r="O6638" t="s">
        <v>47305</v>
      </c>
      <c r="P6638">
        <v>0</v>
      </c>
      <c r="Q6638">
        <v>0</v>
      </c>
      <c r="R6638" t="s">
        <v>47311</v>
      </c>
      <c r="S6638" t="s">
        <v>47443</v>
      </c>
      <c r="T6638" t="s">
        <v>49267</v>
      </c>
      <c r="U6638" t="s">
        <v>55091</v>
      </c>
      <c r="W6638" t="s">
        <v>43668</v>
      </c>
      <c r="X6638" t="s">
        <v>47312</v>
      </c>
    </row>
    <row r="6639" spans="1:24">
      <c r="A6639">
        <f>HYPERLINK("https://www.philgeps.gov.ph/GEPSNONPILOT/Tender/SplashBidNoticeAbstractUI.aspx?menuIndex=3&amp;refID=7190692&amp;Result=3","7190692")</f>
        <v>0</v>
      </c>
      <c r="B6639" t="s">
        <v>253</v>
      </c>
      <c r="C6639" t="s">
        <v>10050</v>
      </c>
      <c r="D6639" t="s">
        <v>19043</v>
      </c>
      <c r="E6639" t="s">
        <v>24873</v>
      </c>
      <c r="F6639" t="s">
        <v>32606</v>
      </c>
      <c r="G6639" t="s">
        <v>32614</v>
      </c>
      <c r="H6639" t="s">
        <v>14201</v>
      </c>
      <c r="I6639" t="s">
        <v>4112</v>
      </c>
      <c r="J6639" t="s">
        <v>36992</v>
      </c>
      <c r="K6639" t="s">
        <v>42622</v>
      </c>
      <c r="M6639" t="s">
        <v>43154</v>
      </c>
      <c r="N6639" t="s">
        <v>47304</v>
      </c>
      <c r="O6639" t="s">
        <v>47305</v>
      </c>
      <c r="P6639">
        <v>0</v>
      </c>
      <c r="Q6639">
        <v>1</v>
      </c>
      <c r="R6639" t="s">
        <v>47311</v>
      </c>
      <c r="S6639" t="s">
        <v>47443</v>
      </c>
      <c r="T6639" t="s">
        <v>49023</v>
      </c>
      <c r="U6639" t="s">
        <v>55092</v>
      </c>
      <c r="W6639" t="s">
        <v>43154</v>
      </c>
      <c r="X6639" t="s">
        <v>47312</v>
      </c>
    </row>
    <row r="6640" spans="1:24">
      <c r="A6640">
        <f>HYPERLINK("https://www.philgeps.gov.ph/GEPSNONPILOT/Tender/SplashBidNoticeAbstractUI.aspx?menuIndex=3&amp;refID=7190607&amp;Result=3","7190607")</f>
        <v>0</v>
      </c>
      <c r="B6640" t="s">
        <v>2034</v>
      </c>
      <c r="C6640" t="s">
        <v>10093</v>
      </c>
      <c r="D6640" t="s">
        <v>19057</v>
      </c>
      <c r="E6640" t="s">
        <v>24874</v>
      </c>
      <c r="F6640" t="s">
        <v>32606</v>
      </c>
      <c r="G6640" t="s">
        <v>32614</v>
      </c>
      <c r="H6640" t="s">
        <v>14201</v>
      </c>
      <c r="I6640" t="s">
        <v>4369</v>
      </c>
      <c r="J6640" t="s">
        <v>32981</v>
      </c>
      <c r="K6640" t="s">
        <v>42627</v>
      </c>
      <c r="M6640" t="s">
        <v>45110</v>
      </c>
      <c r="N6640" t="s">
        <v>47304</v>
      </c>
      <c r="O6640" t="s">
        <v>47305</v>
      </c>
      <c r="P6640">
        <v>0</v>
      </c>
      <c r="Q6640">
        <v>5</v>
      </c>
      <c r="R6640" t="s">
        <v>47311</v>
      </c>
      <c r="S6640" t="s">
        <v>47443</v>
      </c>
      <c r="T6640" t="s">
        <v>49072</v>
      </c>
      <c r="U6640" t="s">
        <v>55093</v>
      </c>
      <c r="W6640" t="s">
        <v>45110</v>
      </c>
      <c r="X6640" t="s">
        <v>47312</v>
      </c>
    </row>
    <row r="6641" spans="1:24">
      <c r="A6641">
        <f>HYPERLINK("https://www.philgeps.gov.ph/GEPSNONPILOT/Tender/SplashBidNoticeAbstractUI.aspx?menuIndex=3&amp;refID=7190709&amp;Result=3","7190709")</f>
        <v>0</v>
      </c>
      <c r="B6641" t="s">
        <v>2157</v>
      </c>
      <c r="C6641" t="s">
        <v>10094</v>
      </c>
      <c r="D6641" t="s">
        <v>19016</v>
      </c>
      <c r="E6641" t="s">
        <v>24875</v>
      </c>
      <c r="F6641" t="s">
        <v>32606</v>
      </c>
      <c r="G6641" t="s">
        <v>32618</v>
      </c>
      <c r="H6641" t="s">
        <v>32623</v>
      </c>
      <c r="I6641" t="s">
        <v>17648</v>
      </c>
      <c r="J6641" t="s">
        <v>33351</v>
      </c>
      <c r="K6641" t="s">
        <v>42624</v>
      </c>
      <c r="M6641" t="s">
        <v>45251</v>
      </c>
      <c r="N6641" t="s">
        <v>47304</v>
      </c>
      <c r="O6641" t="s">
        <v>47305</v>
      </c>
      <c r="Q6641">
        <v>33</v>
      </c>
      <c r="R6641" t="s">
        <v>47311</v>
      </c>
      <c r="S6641" t="s">
        <v>47459</v>
      </c>
      <c r="T6641" t="s">
        <v>49272</v>
      </c>
      <c r="U6641" t="s">
        <v>55094</v>
      </c>
      <c r="W6641" t="s">
        <v>45251</v>
      </c>
      <c r="X6641" t="s">
        <v>47312</v>
      </c>
    </row>
    <row r="6642" spans="1:24">
      <c r="A6642">
        <f>HYPERLINK("https://www.philgeps.gov.ph/GEPSNONPILOT/Tender/SplashBidNoticeAbstractUI.aspx?menuIndex=3&amp;refID=7190484&amp;Result=3","7190484")</f>
        <v>0</v>
      </c>
      <c r="B6642" t="s">
        <v>828</v>
      </c>
      <c r="C6642" t="s">
        <v>10095</v>
      </c>
      <c r="D6642" t="s">
        <v>19030</v>
      </c>
      <c r="E6642" t="s">
        <v>24876</v>
      </c>
      <c r="F6642" t="s">
        <v>32606</v>
      </c>
      <c r="G6642" t="s">
        <v>32613</v>
      </c>
      <c r="H6642" t="s">
        <v>14201</v>
      </c>
      <c r="I6642" t="s">
        <v>4678</v>
      </c>
      <c r="J6642" t="s">
        <v>37019</v>
      </c>
      <c r="K6642" t="s">
        <v>42630</v>
      </c>
      <c r="M6642" t="s">
        <v>43759</v>
      </c>
      <c r="N6642" t="s">
        <v>47304</v>
      </c>
      <c r="O6642" t="s">
        <v>47305</v>
      </c>
      <c r="Q6642">
        <v>1</v>
      </c>
      <c r="R6642" t="s">
        <v>47311</v>
      </c>
      <c r="S6642" t="s">
        <v>47460</v>
      </c>
      <c r="T6642" t="s">
        <v>49017</v>
      </c>
      <c r="U6642" t="s">
        <v>55095</v>
      </c>
      <c r="V6642" t="s">
        <v>63283</v>
      </c>
      <c r="W6642" t="s">
        <v>43759</v>
      </c>
      <c r="X6642" t="s">
        <v>47312</v>
      </c>
    </row>
    <row r="6643" spans="1:24">
      <c r="A6643">
        <f>HYPERLINK("https://www.philgeps.gov.ph/GEPSNONPILOT/Tender/SplashBidNoticeAbstractUI.aspx?menuIndex=3&amp;refID=7190477&amp;Result=3","7190477")</f>
        <v>0</v>
      </c>
      <c r="B6643" t="s">
        <v>2178</v>
      </c>
      <c r="C6643" t="s">
        <v>10096</v>
      </c>
      <c r="D6643" t="s">
        <v>19037</v>
      </c>
      <c r="E6643" t="s">
        <v>24209</v>
      </c>
      <c r="F6643" t="s">
        <v>32606</v>
      </c>
      <c r="G6643" t="s">
        <v>32613</v>
      </c>
      <c r="H6643" t="s">
        <v>32623</v>
      </c>
      <c r="I6643" t="s">
        <v>17648</v>
      </c>
      <c r="J6643" t="s">
        <v>37020</v>
      </c>
      <c r="K6643" t="s">
        <v>42627</v>
      </c>
      <c r="M6643" t="s">
        <v>45275</v>
      </c>
      <c r="N6643" t="s">
        <v>47304</v>
      </c>
      <c r="O6643" t="s">
        <v>47305</v>
      </c>
      <c r="P6643">
        <v>0</v>
      </c>
      <c r="Q6643">
        <v>1</v>
      </c>
      <c r="R6643" t="s">
        <v>47311</v>
      </c>
      <c r="S6643" t="s">
        <v>47443</v>
      </c>
      <c r="T6643" t="s">
        <v>49158</v>
      </c>
      <c r="U6643" t="s">
        <v>54988</v>
      </c>
      <c r="W6643" t="s">
        <v>45275</v>
      </c>
      <c r="X6643" t="s">
        <v>47312</v>
      </c>
    </row>
    <row r="6644" spans="1:24">
      <c r="A6644">
        <f>HYPERLINK("https://www.philgeps.gov.ph/GEPSNONPILOT/Tender/SplashBidNoticeAbstractUI.aspx?menuIndex=3&amp;refID=7190715&amp;Result=3","7190715")</f>
        <v>0</v>
      </c>
      <c r="B6644" t="s">
        <v>1545</v>
      </c>
      <c r="C6644" t="s">
        <v>10097</v>
      </c>
      <c r="D6644" t="s">
        <v>19056</v>
      </c>
      <c r="E6644" t="s">
        <v>24877</v>
      </c>
      <c r="F6644" t="s">
        <v>32606</v>
      </c>
      <c r="G6644" t="s">
        <v>32613</v>
      </c>
      <c r="H6644" t="s">
        <v>32623</v>
      </c>
      <c r="I6644" t="s">
        <v>17648</v>
      </c>
      <c r="J6644" t="s">
        <v>37021</v>
      </c>
      <c r="K6644" t="s">
        <v>42623</v>
      </c>
      <c r="M6644" t="s">
        <v>44549</v>
      </c>
      <c r="N6644" t="s">
        <v>47304</v>
      </c>
      <c r="O6644" t="s">
        <v>47305</v>
      </c>
      <c r="P6644">
        <v>0</v>
      </c>
      <c r="Q6644">
        <v>0</v>
      </c>
      <c r="R6644" t="s">
        <v>47311</v>
      </c>
      <c r="S6644" t="s">
        <v>47443</v>
      </c>
      <c r="T6644" t="s">
        <v>48975</v>
      </c>
      <c r="U6644" t="s">
        <v>55096</v>
      </c>
      <c r="W6644" t="s">
        <v>44549</v>
      </c>
      <c r="X6644" t="s">
        <v>47312</v>
      </c>
    </row>
    <row r="6645" spans="1:24">
      <c r="A6645">
        <f>HYPERLINK("https://www.philgeps.gov.ph/GEPSNONPILOT/Tender/SplashBidNoticeAbstractUI.aspx?menuIndex=3&amp;refID=7190439&amp;Result=3","7190439")</f>
        <v>0</v>
      </c>
      <c r="B6645" t="s">
        <v>644</v>
      </c>
      <c r="C6645" t="s">
        <v>10098</v>
      </c>
      <c r="D6645" t="s">
        <v>19022</v>
      </c>
      <c r="E6645" t="s">
        <v>10098</v>
      </c>
      <c r="F6645" t="s">
        <v>32606</v>
      </c>
      <c r="G6645" t="s">
        <v>32614</v>
      </c>
      <c r="H6645" t="s">
        <v>14201</v>
      </c>
      <c r="I6645" t="s">
        <v>7233</v>
      </c>
      <c r="J6645" t="s">
        <v>37022</v>
      </c>
      <c r="K6645" t="s">
        <v>42624</v>
      </c>
      <c r="M6645" t="s">
        <v>44072</v>
      </c>
      <c r="N6645" t="s">
        <v>47304</v>
      </c>
      <c r="O6645" t="s">
        <v>47305</v>
      </c>
      <c r="P6645">
        <v>0</v>
      </c>
      <c r="Q6645">
        <v>0</v>
      </c>
      <c r="R6645" t="s">
        <v>47311</v>
      </c>
      <c r="S6645" t="s">
        <v>47443</v>
      </c>
      <c r="T6645" t="s">
        <v>49331</v>
      </c>
      <c r="U6645" t="s">
        <v>55097</v>
      </c>
      <c r="W6645" t="s">
        <v>44072</v>
      </c>
      <c r="X6645" t="s">
        <v>47312</v>
      </c>
    </row>
    <row r="6646" spans="1:24">
      <c r="A6646">
        <f>HYPERLINK("https://www.philgeps.gov.ph/GEPSNONPILOT/Tender/SplashBidNoticeAbstractUI.aspx?menuIndex=3&amp;refID=7190714&amp;Result=3","7190714")</f>
        <v>0</v>
      </c>
      <c r="B6646" t="s">
        <v>306</v>
      </c>
      <c r="C6646" t="s">
        <v>10099</v>
      </c>
      <c r="D6646" t="s">
        <v>19005</v>
      </c>
      <c r="E6646" t="s">
        <v>24878</v>
      </c>
      <c r="F6646" t="s">
        <v>32606</v>
      </c>
      <c r="G6646" t="s">
        <v>32614</v>
      </c>
      <c r="H6646" t="s">
        <v>14201</v>
      </c>
      <c r="I6646" t="s">
        <v>32633</v>
      </c>
      <c r="J6646" t="s">
        <v>37023</v>
      </c>
      <c r="K6646" t="s">
        <v>42623</v>
      </c>
      <c r="M6646" t="s">
        <v>43208</v>
      </c>
      <c r="N6646" t="s">
        <v>47304</v>
      </c>
      <c r="O6646" t="s">
        <v>47305</v>
      </c>
      <c r="P6646">
        <v>0</v>
      </c>
      <c r="Q6646">
        <v>4</v>
      </c>
      <c r="R6646" t="s">
        <v>47311</v>
      </c>
      <c r="S6646" t="s">
        <v>47443</v>
      </c>
      <c r="T6646" t="s">
        <v>49068</v>
      </c>
      <c r="U6646" t="s">
        <v>55098</v>
      </c>
      <c r="W6646" t="s">
        <v>43208</v>
      </c>
      <c r="X6646" t="s">
        <v>47312</v>
      </c>
    </row>
    <row r="6647" spans="1:24">
      <c r="A6647">
        <f>HYPERLINK("https://www.philgeps.gov.ph/GEPSNONPILOT/Tender/SplashBidNoticeAbstractUI.aspx?menuIndex=3&amp;refID=7190405&amp;Result=3","7190405")</f>
        <v>0</v>
      </c>
      <c r="B6647" t="s">
        <v>644</v>
      </c>
      <c r="C6647" t="s">
        <v>10100</v>
      </c>
      <c r="D6647" t="s">
        <v>19022</v>
      </c>
      <c r="E6647" t="s">
        <v>24879</v>
      </c>
      <c r="F6647" t="s">
        <v>32606</v>
      </c>
      <c r="G6647" t="s">
        <v>32614</v>
      </c>
      <c r="H6647" t="s">
        <v>14201</v>
      </c>
      <c r="I6647" t="s">
        <v>6993</v>
      </c>
      <c r="J6647" t="s">
        <v>37024</v>
      </c>
      <c r="K6647" t="s">
        <v>42624</v>
      </c>
      <c r="M6647" t="s">
        <v>44072</v>
      </c>
      <c r="N6647" t="s">
        <v>47304</v>
      </c>
      <c r="O6647" t="s">
        <v>47305</v>
      </c>
      <c r="P6647">
        <v>0</v>
      </c>
      <c r="Q6647">
        <v>5</v>
      </c>
      <c r="R6647" t="s">
        <v>47311</v>
      </c>
      <c r="S6647" t="s">
        <v>47443</v>
      </c>
      <c r="T6647" t="s">
        <v>49331</v>
      </c>
      <c r="U6647" t="s">
        <v>55099</v>
      </c>
      <c r="W6647" t="s">
        <v>44072</v>
      </c>
      <c r="X6647" t="s">
        <v>47312</v>
      </c>
    </row>
    <row r="6648" spans="1:24">
      <c r="A6648">
        <f>HYPERLINK("https://www.philgeps.gov.ph/GEPSNONPILOT/Tender/SplashBidNoticeAbstractUI.aspx?menuIndex=3&amp;refID=7190611&amp;Result=3","7190611")</f>
        <v>0</v>
      </c>
      <c r="B6648" t="s">
        <v>644</v>
      </c>
      <c r="C6648" t="s">
        <v>10101</v>
      </c>
      <c r="D6648" t="s">
        <v>19022</v>
      </c>
      <c r="E6648" t="s">
        <v>10101</v>
      </c>
      <c r="F6648" t="s">
        <v>32606</v>
      </c>
      <c r="G6648" t="s">
        <v>32614</v>
      </c>
      <c r="H6648" t="s">
        <v>14201</v>
      </c>
      <c r="I6648" t="s">
        <v>7233</v>
      </c>
      <c r="J6648" t="s">
        <v>37025</v>
      </c>
      <c r="K6648" t="s">
        <v>42624</v>
      </c>
      <c r="M6648" t="s">
        <v>44072</v>
      </c>
      <c r="N6648" t="s">
        <v>47304</v>
      </c>
      <c r="O6648" t="s">
        <v>47305</v>
      </c>
      <c r="P6648">
        <v>0</v>
      </c>
      <c r="Q6648">
        <v>0</v>
      </c>
      <c r="R6648" t="s">
        <v>47311</v>
      </c>
      <c r="S6648" t="s">
        <v>47443</v>
      </c>
      <c r="T6648" t="s">
        <v>49331</v>
      </c>
      <c r="U6648" t="s">
        <v>55100</v>
      </c>
      <c r="W6648" t="s">
        <v>44072</v>
      </c>
      <c r="X6648" t="s">
        <v>47312</v>
      </c>
    </row>
    <row r="6649" spans="1:24">
      <c r="A6649">
        <f>HYPERLINK("https://www.philgeps.gov.ph/GEPSNONPILOT/Tender/SplashBidNoticeAbstractUI.aspx?menuIndex=3&amp;refID=7190403&amp;Result=3","7190403")</f>
        <v>0</v>
      </c>
      <c r="B6649" t="s">
        <v>2153</v>
      </c>
      <c r="C6649" t="s">
        <v>10102</v>
      </c>
      <c r="D6649" t="s">
        <v>18993</v>
      </c>
      <c r="E6649" t="s">
        <v>20606</v>
      </c>
      <c r="F6649" t="s">
        <v>32606</v>
      </c>
      <c r="G6649" t="s">
        <v>32613</v>
      </c>
      <c r="H6649" t="s">
        <v>32624</v>
      </c>
      <c r="I6649" t="s">
        <v>6931</v>
      </c>
      <c r="J6649" t="s">
        <v>37026</v>
      </c>
      <c r="K6649" t="s">
        <v>42630</v>
      </c>
      <c r="M6649" t="s">
        <v>45244</v>
      </c>
      <c r="N6649" t="s">
        <v>47304</v>
      </c>
      <c r="O6649" t="s">
        <v>47305</v>
      </c>
      <c r="P6649">
        <v>0</v>
      </c>
      <c r="Q6649">
        <v>3</v>
      </c>
      <c r="R6649" t="s">
        <v>47311</v>
      </c>
      <c r="S6649" t="s">
        <v>47443</v>
      </c>
      <c r="T6649" t="s">
        <v>48979</v>
      </c>
      <c r="U6649" t="s">
        <v>55101</v>
      </c>
      <c r="W6649" t="s">
        <v>45244</v>
      </c>
      <c r="X6649" t="s">
        <v>47312</v>
      </c>
    </row>
    <row r="6650" spans="1:24">
      <c r="A6650">
        <f>HYPERLINK("https://www.philgeps.gov.ph/GEPSNONPILOT/Tender/SplashBidNoticeAbstractUI.aspx?menuIndex=3&amp;refID=7190473&amp;Result=3","7190473")</f>
        <v>0</v>
      </c>
      <c r="B6650" t="s">
        <v>828</v>
      </c>
      <c r="C6650" t="s">
        <v>10103</v>
      </c>
      <c r="D6650" t="s">
        <v>19030</v>
      </c>
      <c r="E6650" t="s">
        <v>24880</v>
      </c>
      <c r="F6650" t="s">
        <v>32606</v>
      </c>
      <c r="G6650" t="s">
        <v>32613</v>
      </c>
      <c r="H6650" t="s">
        <v>14201</v>
      </c>
      <c r="I6650" t="s">
        <v>4678</v>
      </c>
      <c r="J6650" t="s">
        <v>35579</v>
      </c>
      <c r="K6650" t="s">
        <v>42630</v>
      </c>
      <c r="M6650" t="s">
        <v>43759</v>
      </c>
      <c r="N6650" t="s">
        <v>47304</v>
      </c>
      <c r="O6650" t="s">
        <v>47305</v>
      </c>
      <c r="Q6650">
        <v>1</v>
      </c>
      <c r="R6650" t="s">
        <v>47311</v>
      </c>
      <c r="S6650" t="s">
        <v>47461</v>
      </c>
      <c r="T6650" t="s">
        <v>49017</v>
      </c>
      <c r="U6650" t="s">
        <v>55102</v>
      </c>
      <c r="V6650" t="s">
        <v>63284</v>
      </c>
      <c r="W6650" t="s">
        <v>43759</v>
      </c>
      <c r="X6650" t="s">
        <v>47312</v>
      </c>
    </row>
    <row r="6651" spans="1:24">
      <c r="A6651">
        <f>HYPERLINK("https://www.philgeps.gov.ph/GEPSNONPILOT/Tender/SplashBidNoticeAbstractUI.aspx?menuIndex=3&amp;refID=7190402&amp;Result=3","7190402")</f>
        <v>0</v>
      </c>
      <c r="B6651" t="s">
        <v>2213</v>
      </c>
      <c r="C6651" t="s">
        <v>10104</v>
      </c>
      <c r="D6651" t="s">
        <v>19065</v>
      </c>
      <c r="E6651" t="s">
        <v>24881</v>
      </c>
      <c r="F6651" t="s">
        <v>32606</v>
      </c>
      <c r="G6651" t="s">
        <v>32613</v>
      </c>
      <c r="H6651" t="s">
        <v>32623</v>
      </c>
      <c r="I6651" t="s">
        <v>17648</v>
      </c>
      <c r="J6651" t="s">
        <v>35071</v>
      </c>
      <c r="K6651" t="s">
        <v>42776</v>
      </c>
      <c r="M6651" t="s">
        <v>45317</v>
      </c>
      <c r="N6651" t="s">
        <v>47304</v>
      </c>
      <c r="O6651" t="s">
        <v>47305</v>
      </c>
      <c r="P6651">
        <v>0</v>
      </c>
      <c r="Q6651">
        <v>0</v>
      </c>
      <c r="R6651" t="s">
        <v>47311</v>
      </c>
      <c r="S6651" t="s">
        <v>47443</v>
      </c>
      <c r="T6651" t="s">
        <v>49008</v>
      </c>
      <c r="U6651" t="s">
        <v>55103</v>
      </c>
      <c r="V6651" t="s">
        <v>63285</v>
      </c>
      <c r="W6651" t="s">
        <v>45317</v>
      </c>
      <c r="X6651" t="s">
        <v>47312</v>
      </c>
    </row>
    <row r="6652" spans="1:24">
      <c r="A6652">
        <f>HYPERLINK("https://www.philgeps.gov.ph/GEPSNONPILOT/Tender/SplashBidNoticeAbstractUI.aspx?menuIndex=3&amp;refID=7190372&amp;Result=3","7190372")</f>
        <v>0</v>
      </c>
      <c r="B6652" t="s">
        <v>2153</v>
      </c>
      <c r="C6652" t="s">
        <v>10105</v>
      </c>
      <c r="E6652" t="s">
        <v>22592</v>
      </c>
      <c r="F6652" t="s">
        <v>32606</v>
      </c>
      <c r="G6652" t="s">
        <v>32613</v>
      </c>
      <c r="H6652" t="s">
        <v>32624</v>
      </c>
      <c r="I6652" t="s">
        <v>32661</v>
      </c>
      <c r="J6652" t="s">
        <v>32767</v>
      </c>
      <c r="K6652" t="s">
        <v>42630</v>
      </c>
      <c r="M6652" t="s">
        <v>45244</v>
      </c>
      <c r="N6652" t="s">
        <v>47304</v>
      </c>
      <c r="O6652" t="s">
        <v>47305</v>
      </c>
      <c r="P6652">
        <v>0</v>
      </c>
      <c r="Q6652">
        <v>4</v>
      </c>
      <c r="R6652" t="s">
        <v>47311</v>
      </c>
      <c r="S6652" t="s">
        <v>47443</v>
      </c>
      <c r="T6652" t="s">
        <v>48979</v>
      </c>
      <c r="U6652" t="s">
        <v>55104</v>
      </c>
      <c r="W6652" t="s">
        <v>45244</v>
      </c>
      <c r="X6652" t="s">
        <v>47312</v>
      </c>
    </row>
    <row r="6653" spans="1:24">
      <c r="A6653">
        <f>HYPERLINK("https://www.philgeps.gov.ph/GEPSNONPILOT/Tender/SplashBidNoticeAbstractUI.aspx?menuIndex=3&amp;refID=7190472&amp;Result=3","7190472")</f>
        <v>0</v>
      </c>
      <c r="B6653" t="s">
        <v>2214</v>
      </c>
      <c r="C6653" t="s">
        <v>10106</v>
      </c>
      <c r="D6653" t="s">
        <v>19036</v>
      </c>
      <c r="E6653" t="s">
        <v>21912</v>
      </c>
      <c r="F6653" t="s">
        <v>32606</v>
      </c>
      <c r="G6653" t="s">
        <v>32614</v>
      </c>
      <c r="H6653" t="s">
        <v>14201</v>
      </c>
      <c r="I6653" t="s">
        <v>32659</v>
      </c>
      <c r="J6653" t="s">
        <v>37027</v>
      </c>
      <c r="K6653" t="s">
        <v>42630</v>
      </c>
      <c r="M6653" t="s">
        <v>45318</v>
      </c>
      <c r="N6653" t="s">
        <v>47304</v>
      </c>
      <c r="O6653" t="s">
        <v>47305</v>
      </c>
      <c r="P6653">
        <v>0</v>
      </c>
      <c r="Q6653">
        <v>0</v>
      </c>
      <c r="R6653" t="s">
        <v>47311</v>
      </c>
      <c r="S6653" t="s">
        <v>47443</v>
      </c>
      <c r="T6653" t="s">
        <v>49014</v>
      </c>
      <c r="U6653" t="s">
        <v>55105</v>
      </c>
      <c r="V6653" t="s">
        <v>63286</v>
      </c>
      <c r="W6653" t="s">
        <v>45318</v>
      </c>
      <c r="X6653" t="s">
        <v>47312</v>
      </c>
    </row>
    <row r="6654" spans="1:24">
      <c r="A6654">
        <f>HYPERLINK("https://www.philgeps.gov.ph/GEPSNONPILOT/Tender/SplashBidNoticeAbstractUI.aspx?menuIndex=3&amp;refID=7190369&amp;Result=3","7190369")</f>
        <v>0</v>
      </c>
      <c r="B6654" t="s">
        <v>600</v>
      </c>
      <c r="C6654" t="s">
        <v>10107</v>
      </c>
      <c r="E6654" t="s">
        <v>24882</v>
      </c>
      <c r="F6654" t="s">
        <v>32606</v>
      </c>
      <c r="G6654" t="s">
        <v>32614</v>
      </c>
      <c r="H6654" t="s">
        <v>14201</v>
      </c>
      <c r="I6654" t="s">
        <v>32638</v>
      </c>
      <c r="J6654" t="s">
        <v>37028</v>
      </c>
      <c r="K6654" t="s">
        <v>42623</v>
      </c>
      <c r="M6654" t="s">
        <v>43516</v>
      </c>
      <c r="N6654" t="s">
        <v>47304</v>
      </c>
      <c r="O6654" t="s">
        <v>47305</v>
      </c>
      <c r="P6654">
        <v>0</v>
      </c>
      <c r="Q6654">
        <v>3</v>
      </c>
      <c r="R6654" t="s">
        <v>47311</v>
      </c>
      <c r="S6654" t="s">
        <v>47443</v>
      </c>
      <c r="T6654" t="s">
        <v>49269</v>
      </c>
      <c r="U6654" t="s">
        <v>55106</v>
      </c>
      <c r="V6654" t="s">
        <v>62785</v>
      </c>
      <c r="W6654" t="s">
        <v>43516</v>
      </c>
      <c r="X6654" t="s">
        <v>47312</v>
      </c>
    </row>
    <row r="6655" spans="1:24">
      <c r="A6655">
        <f>HYPERLINK("https://www.philgeps.gov.ph/GEPSNONPILOT/Tender/SplashBidNoticeAbstractUI.aspx?menuIndex=3&amp;refID=7190367&amp;Result=3","7190367")</f>
        <v>0</v>
      </c>
      <c r="B6655" t="s">
        <v>1259</v>
      </c>
      <c r="C6655" t="s">
        <v>10108</v>
      </c>
      <c r="D6655" t="s">
        <v>19061</v>
      </c>
      <c r="E6655" t="s">
        <v>24883</v>
      </c>
      <c r="F6655" t="s">
        <v>32606</v>
      </c>
      <c r="G6655" t="s">
        <v>32614</v>
      </c>
      <c r="H6655" t="s">
        <v>14201</v>
      </c>
      <c r="I6655" t="s">
        <v>32691</v>
      </c>
      <c r="J6655" t="s">
        <v>33597</v>
      </c>
      <c r="K6655" t="s">
        <v>42630</v>
      </c>
      <c r="M6655" t="s">
        <v>44226</v>
      </c>
      <c r="N6655" t="s">
        <v>47304</v>
      </c>
      <c r="O6655" t="s">
        <v>47305</v>
      </c>
      <c r="P6655">
        <v>0</v>
      </c>
      <c r="Q6655">
        <v>1</v>
      </c>
      <c r="R6655" t="s">
        <v>47311</v>
      </c>
      <c r="S6655" t="s">
        <v>47443</v>
      </c>
      <c r="T6655" t="s">
        <v>49267</v>
      </c>
      <c r="U6655" t="s">
        <v>55107</v>
      </c>
      <c r="W6655" t="s">
        <v>44226</v>
      </c>
      <c r="X6655" t="s">
        <v>47312</v>
      </c>
    </row>
    <row r="6656" spans="1:24">
      <c r="A6656">
        <f>HYPERLINK("https://www.philgeps.gov.ph/GEPSNONPILOT/Tender/SplashBidNoticeAbstractUI.aspx?menuIndex=3&amp;refID=7190366&amp;Result=3","7190366")</f>
        <v>0</v>
      </c>
      <c r="B6656" t="s">
        <v>418</v>
      </c>
      <c r="C6656" t="s">
        <v>10109</v>
      </c>
      <c r="D6656" t="s">
        <v>19006</v>
      </c>
      <c r="E6656" t="s">
        <v>24884</v>
      </c>
      <c r="F6656" t="s">
        <v>32606</v>
      </c>
      <c r="G6656" t="s">
        <v>32613</v>
      </c>
      <c r="H6656" t="s">
        <v>14201</v>
      </c>
      <c r="I6656" t="s">
        <v>32629</v>
      </c>
      <c r="J6656" t="s">
        <v>33071</v>
      </c>
      <c r="K6656" t="s">
        <v>42624</v>
      </c>
      <c r="M6656" t="s">
        <v>43322</v>
      </c>
      <c r="N6656" t="s">
        <v>47304</v>
      </c>
      <c r="O6656" t="s">
        <v>47305</v>
      </c>
      <c r="P6656">
        <v>0</v>
      </c>
      <c r="Q6656">
        <v>0</v>
      </c>
      <c r="R6656" t="s">
        <v>47311</v>
      </c>
      <c r="S6656" t="s">
        <v>47443</v>
      </c>
      <c r="T6656" t="s">
        <v>48970</v>
      </c>
      <c r="U6656" t="s">
        <v>55108</v>
      </c>
      <c r="V6656" t="s">
        <v>63262</v>
      </c>
      <c r="W6656" t="s">
        <v>43322</v>
      </c>
      <c r="X6656" t="s">
        <v>47312</v>
      </c>
    </row>
    <row r="6657" spans="1:24">
      <c r="A6657">
        <f>HYPERLINK("https://www.philgeps.gov.ph/GEPSNONPILOT/Tender/SplashBidNoticeAbstractUI.aspx?menuIndex=3&amp;refID=7190437&amp;Result=3","7190437")</f>
        <v>0</v>
      </c>
      <c r="B6657" t="s">
        <v>869</v>
      </c>
      <c r="C6657" t="s">
        <v>10110</v>
      </c>
      <c r="E6657" t="s">
        <v>24885</v>
      </c>
      <c r="F6657" t="s">
        <v>32606</v>
      </c>
      <c r="G6657" t="s">
        <v>32613</v>
      </c>
      <c r="H6657" t="s">
        <v>14201</v>
      </c>
      <c r="I6657" t="s">
        <v>32662</v>
      </c>
      <c r="J6657" t="s">
        <v>37029</v>
      </c>
      <c r="K6657" t="s">
        <v>42624</v>
      </c>
      <c r="M6657" t="s">
        <v>45278</v>
      </c>
      <c r="N6657" t="s">
        <v>47304</v>
      </c>
      <c r="O6657" t="s">
        <v>47305</v>
      </c>
      <c r="Q6657">
        <v>17</v>
      </c>
      <c r="R6657" t="s">
        <v>47311</v>
      </c>
      <c r="S6657" t="s">
        <v>47462</v>
      </c>
      <c r="T6657" t="s">
        <v>49345</v>
      </c>
      <c r="U6657" t="s">
        <v>54996</v>
      </c>
      <c r="W6657" t="s">
        <v>45278</v>
      </c>
      <c r="X6657" t="s">
        <v>47312</v>
      </c>
    </row>
    <row r="6658" spans="1:24">
      <c r="A6658">
        <f>HYPERLINK("https://www.philgeps.gov.ph/GEPSNONPILOT/Tender/SplashBidNoticeAbstractUI.aspx?menuIndex=3&amp;refID=7190361&amp;Result=3","7190361")</f>
        <v>0</v>
      </c>
      <c r="B6658" t="s">
        <v>192</v>
      </c>
      <c r="C6658" t="s">
        <v>10111</v>
      </c>
      <c r="D6658" t="s">
        <v>19016</v>
      </c>
      <c r="E6658" t="s">
        <v>24886</v>
      </c>
      <c r="F6658" t="s">
        <v>32606</v>
      </c>
      <c r="G6658" t="s">
        <v>32614</v>
      </c>
      <c r="H6658" t="s">
        <v>14201</v>
      </c>
      <c r="I6658" t="s">
        <v>32655</v>
      </c>
      <c r="J6658" t="s">
        <v>34306</v>
      </c>
      <c r="K6658" t="s">
        <v>42624</v>
      </c>
      <c r="M6658" t="s">
        <v>43093</v>
      </c>
      <c r="N6658" t="s">
        <v>47304</v>
      </c>
      <c r="O6658" t="s">
        <v>47305</v>
      </c>
      <c r="P6658">
        <v>0</v>
      </c>
      <c r="Q6658">
        <v>4</v>
      </c>
      <c r="R6658" t="s">
        <v>47311</v>
      </c>
      <c r="S6658" t="s">
        <v>47443</v>
      </c>
      <c r="T6658" t="s">
        <v>49269</v>
      </c>
      <c r="U6658" t="s">
        <v>55109</v>
      </c>
      <c r="V6658" t="s">
        <v>62691</v>
      </c>
      <c r="W6658" t="s">
        <v>43093</v>
      </c>
      <c r="X6658" t="s">
        <v>47312</v>
      </c>
    </row>
    <row r="6659" spans="1:24">
      <c r="A6659">
        <f>HYPERLINK("https://www.philgeps.gov.ph/GEPSNONPILOT/Tender/SplashBidNoticeAbstractUI.aspx?menuIndex=3&amp;refID=7190404&amp;Result=3","7190404")</f>
        <v>0</v>
      </c>
      <c r="B6659" t="s">
        <v>2215</v>
      </c>
      <c r="C6659" t="s">
        <v>10112</v>
      </c>
      <c r="E6659" t="s">
        <v>24887</v>
      </c>
      <c r="F6659" t="s">
        <v>32606</v>
      </c>
      <c r="G6659" t="s">
        <v>32613</v>
      </c>
      <c r="H6659" t="s">
        <v>14201</v>
      </c>
      <c r="I6659" t="s">
        <v>32659</v>
      </c>
      <c r="J6659" t="s">
        <v>32813</v>
      </c>
      <c r="K6659" t="s">
        <v>42623</v>
      </c>
      <c r="M6659" t="s">
        <v>45319</v>
      </c>
      <c r="N6659" t="s">
        <v>47304</v>
      </c>
      <c r="O6659" t="s">
        <v>47305</v>
      </c>
      <c r="P6659">
        <v>0</v>
      </c>
      <c r="Q6659">
        <v>0</v>
      </c>
      <c r="R6659" t="s">
        <v>47311</v>
      </c>
      <c r="S6659" t="s">
        <v>47443</v>
      </c>
      <c r="T6659" t="s">
        <v>49086</v>
      </c>
      <c r="U6659" t="s">
        <v>55110</v>
      </c>
      <c r="W6659" t="s">
        <v>45319</v>
      </c>
      <c r="X6659" t="s">
        <v>47312</v>
      </c>
    </row>
    <row r="6660" spans="1:24">
      <c r="A6660">
        <f>HYPERLINK("https://www.philgeps.gov.ph/GEPSNONPILOT/Tender/SplashBidNoticeAbstractUI.aspx?menuIndex=3&amp;refID=7190321&amp;Result=3","7190321")</f>
        <v>0</v>
      </c>
      <c r="B6660" t="s">
        <v>634</v>
      </c>
      <c r="C6660" t="s">
        <v>10113</v>
      </c>
      <c r="D6660" t="s">
        <v>19056</v>
      </c>
      <c r="E6660" t="s">
        <v>24888</v>
      </c>
      <c r="F6660" t="s">
        <v>32606</v>
      </c>
      <c r="G6660" t="s">
        <v>32613</v>
      </c>
      <c r="H6660" t="s">
        <v>14201</v>
      </c>
      <c r="I6660" t="s">
        <v>8606</v>
      </c>
      <c r="J6660" t="s">
        <v>37030</v>
      </c>
      <c r="K6660" t="s">
        <v>42630</v>
      </c>
      <c r="M6660" t="s">
        <v>43552</v>
      </c>
      <c r="N6660" t="s">
        <v>47304</v>
      </c>
      <c r="O6660" t="s">
        <v>47305</v>
      </c>
      <c r="P6660">
        <v>0</v>
      </c>
      <c r="Q6660">
        <v>4</v>
      </c>
      <c r="R6660" t="s">
        <v>47311</v>
      </c>
      <c r="S6660" t="s">
        <v>47443</v>
      </c>
      <c r="T6660" t="s">
        <v>49010</v>
      </c>
      <c r="U6660" t="s">
        <v>55111</v>
      </c>
      <c r="W6660" t="s">
        <v>43552</v>
      </c>
      <c r="X6660" t="s">
        <v>47312</v>
      </c>
    </row>
    <row r="6661" spans="1:24">
      <c r="A6661">
        <f>HYPERLINK("https://www.philgeps.gov.ph/GEPSNONPILOT/Tender/SplashBidNoticeAbstractUI.aspx?menuIndex=3&amp;refID=7190320&amp;Result=3","7190320")</f>
        <v>0</v>
      </c>
      <c r="B6661" t="s">
        <v>2168</v>
      </c>
      <c r="C6661" t="s">
        <v>10114</v>
      </c>
      <c r="D6661" t="s">
        <v>19015</v>
      </c>
      <c r="E6661" t="s">
        <v>24889</v>
      </c>
      <c r="F6661" t="s">
        <v>32606</v>
      </c>
      <c r="G6661" t="s">
        <v>32614</v>
      </c>
      <c r="H6661" t="s">
        <v>32623</v>
      </c>
      <c r="I6661" t="s">
        <v>32675</v>
      </c>
      <c r="J6661" t="s">
        <v>32981</v>
      </c>
      <c r="K6661" t="s">
        <v>42631</v>
      </c>
      <c r="M6661" t="s">
        <v>45263</v>
      </c>
      <c r="N6661" t="s">
        <v>47304</v>
      </c>
      <c r="O6661" t="s">
        <v>47305</v>
      </c>
      <c r="P6661">
        <v>0</v>
      </c>
      <c r="Q6661">
        <v>3</v>
      </c>
      <c r="R6661" t="s">
        <v>47311</v>
      </c>
      <c r="S6661" t="s">
        <v>47443</v>
      </c>
      <c r="T6661" t="s">
        <v>49257</v>
      </c>
      <c r="U6661" t="s">
        <v>55112</v>
      </c>
      <c r="W6661" t="s">
        <v>45263</v>
      </c>
      <c r="X6661" t="s">
        <v>47312</v>
      </c>
    </row>
    <row r="6662" spans="1:24">
      <c r="A6662">
        <f>HYPERLINK("https://www.philgeps.gov.ph/GEPSNONPILOT/Tender/SplashBidNoticeAbstractUI.aspx?menuIndex=3&amp;refID=7190732&amp;Result=3","7190732")</f>
        <v>0</v>
      </c>
      <c r="B6662" t="s">
        <v>1043</v>
      </c>
      <c r="C6662" t="s">
        <v>10115</v>
      </c>
      <c r="D6662" t="s">
        <v>19027</v>
      </c>
      <c r="E6662" t="s">
        <v>24890</v>
      </c>
      <c r="F6662" t="s">
        <v>32606</v>
      </c>
      <c r="G6662" t="s">
        <v>32613</v>
      </c>
      <c r="H6662" t="s">
        <v>32625</v>
      </c>
      <c r="I6662" t="s">
        <v>32625</v>
      </c>
      <c r="J6662" t="s">
        <v>37031</v>
      </c>
      <c r="K6662" t="s">
        <v>42666</v>
      </c>
      <c r="M6662" t="s">
        <v>45299</v>
      </c>
      <c r="N6662" t="s">
        <v>47304</v>
      </c>
      <c r="O6662" t="s">
        <v>47305</v>
      </c>
      <c r="P6662">
        <v>0</v>
      </c>
      <c r="Q6662">
        <v>3</v>
      </c>
      <c r="R6662" t="s">
        <v>47311</v>
      </c>
      <c r="S6662" t="s">
        <v>47443</v>
      </c>
      <c r="T6662" t="s">
        <v>49001</v>
      </c>
      <c r="U6662" t="s">
        <v>55113</v>
      </c>
      <c r="W6662" t="s">
        <v>45299</v>
      </c>
      <c r="X6662" t="s">
        <v>47312</v>
      </c>
    </row>
    <row r="6663" spans="1:24">
      <c r="A6663">
        <f>HYPERLINK("https://www.philgeps.gov.ph/GEPSNONPILOT/Tender/SplashBidNoticeAbstractUI.aspx?menuIndex=3&amp;refID=7190364&amp;Result=3","7190364")</f>
        <v>0</v>
      </c>
      <c r="B6663" t="s">
        <v>2165</v>
      </c>
      <c r="C6663" t="s">
        <v>6082</v>
      </c>
      <c r="D6663" t="s">
        <v>19065</v>
      </c>
      <c r="E6663" t="s">
        <v>24891</v>
      </c>
      <c r="F6663" t="s">
        <v>32606</v>
      </c>
      <c r="G6663" t="s">
        <v>32614</v>
      </c>
      <c r="H6663" t="s">
        <v>14201</v>
      </c>
      <c r="I6663" t="s">
        <v>4112</v>
      </c>
      <c r="J6663" t="s">
        <v>33068</v>
      </c>
      <c r="K6663" t="s">
        <v>42624</v>
      </c>
      <c r="M6663" t="s">
        <v>45259</v>
      </c>
      <c r="N6663" t="s">
        <v>47304</v>
      </c>
      <c r="O6663" t="s">
        <v>47305</v>
      </c>
      <c r="P6663">
        <v>0</v>
      </c>
      <c r="Q6663">
        <v>0</v>
      </c>
      <c r="R6663" t="s">
        <v>47311</v>
      </c>
      <c r="S6663" t="s">
        <v>47443</v>
      </c>
      <c r="T6663" t="s">
        <v>48997</v>
      </c>
      <c r="U6663" t="s">
        <v>55114</v>
      </c>
      <c r="W6663" t="s">
        <v>45259</v>
      </c>
      <c r="X6663" t="s">
        <v>47312</v>
      </c>
    </row>
    <row r="6664" spans="1:24">
      <c r="A6664">
        <f>HYPERLINK("https://www.philgeps.gov.ph/GEPSNONPILOT/Tender/SplashBidNoticeAbstractUI.aspx?menuIndex=3&amp;refID=7190356&amp;Result=3","7190356")</f>
        <v>0</v>
      </c>
      <c r="B6664" t="s">
        <v>310</v>
      </c>
      <c r="C6664" t="s">
        <v>10116</v>
      </c>
      <c r="D6664" t="s">
        <v>19038</v>
      </c>
      <c r="E6664" t="s">
        <v>24892</v>
      </c>
      <c r="F6664" t="s">
        <v>32607</v>
      </c>
      <c r="G6664" t="s">
        <v>32615</v>
      </c>
      <c r="H6664" t="s">
        <v>14201</v>
      </c>
      <c r="I6664" t="s">
        <v>7064</v>
      </c>
      <c r="J6664" t="s">
        <v>33748</v>
      </c>
      <c r="K6664" t="s">
        <v>42627</v>
      </c>
      <c r="M6664" t="s">
        <v>43212</v>
      </c>
      <c r="N6664" t="s">
        <v>47304</v>
      </c>
      <c r="O6664" t="s">
        <v>47305</v>
      </c>
      <c r="P6664">
        <v>0</v>
      </c>
      <c r="Q6664">
        <v>0</v>
      </c>
      <c r="R6664" t="s">
        <v>47311</v>
      </c>
      <c r="S6664" t="s">
        <v>47443</v>
      </c>
      <c r="T6664" t="s">
        <v>49104</v>
      </c>
      <c r="U6664" t="s">
        <v>55115</v>
      </c>
      <c r="W6664" t="s">
        <v>43212</v>
      </c>
      <c r="X6664" t="s">
        <v>47312</v>
      </c>
    </row>
    <row r="6665" spans="1:24">
      <c r="A6665">
        <f>HYPERLINK("https://www.philgeps.gov.ph/GEPSNONPILOT/Tender/SplashBidNoticeAbstractUI.aspx?menuIndex=3&amp;refID=7190212&amp;Result=3","7190212")</f>
        <v>0</v>
      </c>
      <c r="B6665" t="s">
        <v>1478</v>
      </c>
      <c r="C6665" t="s">
        <v>10117</v>
      </c>
      <c r="E6665" t="s">
        <v>24893</v>
      </c>
      <c r="F6665" t="s">
        <v>32608</v>
      </c>
      <c r="G6665" t="s">
        <v>32619</v>
      </c>
      <c r="H6665" t="s">
        <v>14201</v>
      </c>
      <c r="I6665" t="s">
        <v>6298</v>
      </c>
      <c r="J6665" t="s">
        <v>37032</v>
      </c>
      <c r="K6665" t="s">
        <v>42624</v>
      </c>
      <c r="M6665" t="s">
        <v>45240</v>
      </c>
      <c r="N6665" t="s">
        <v>47304</v>
      </c>
      <c r="O6665" t="s">
        <v>47305</v>
      </c>
      <c r="P6665">
        <v>0</v>
      </c>
      <c r="Q6665">
        <v>1</v>
      </c>
      <c r="R6665" t="s">
        <v>47311</v>
      </c>
      <c r="S6665" t="s">
        <v>47443</v>
      </c>
      <c r="T6665" t="s">
        <v>49346</v>
      </c>
      <c r="U6665" t="s">
        <v>55116</v>
      </c>
      <c r="W6665" t="s">
        <v>45240</v>
      </c>
      <c r="X6665" t="s">
        <v>47312</v>
      </c>
    </row>
    <row r="6666" spans="1:24">
      <c r="A6666">
        <f>HYPERLINK("https://www.philgeps.gov.ph/GEPSNONPILOT/Tender/SplashBidNoticeAbstractUI.aspx?menuIndex=3&amp;refID=7190211&amp;Result=3","7190211")</f>
        <v>0</v>
      </c>
      <c r="B6666" t="s">
        <v>2142</v>
      </c>
      <c r="C6666" t="s">
        <v>10118</v>
      </c>
      <c r="D6666" t="s">
        <v>19005</v>
      </c>
      <c r="E6666" t="s">
        <v>24894</v>
      </c>
      <c r="F6666" t="s">
        <v>32606</v>
      </c>
      <c r="G6666" t="s">
        <v>32613</v>
      </c>
      <c r="H6666" t="s">
        <v>14201</v>
      </c>
      <c r="I6666" t="s">
        <v>32631</v>
      </c>
      <c r="J6666" t="s">
        <v>37033</v>
      </c>
      <c r="K6666" t="s">
        <v>42624</v>
      </c>
      <c r="M6666" t="s">
        <v>45230</v>
      </c>
      <c r="N6666" t="s">
        <v>47304</v>
      </c>
      <c r="O6666" t="s">
        <v>47305</v>
      </c>
      <c r="P6666">
        <v>0</v>
      </c>
      <c r="Q6666">
        <v>3</v>
      </c>
      <c r="R6666" t="s">
        <v>47311</v>
      </c>
      <c r="S6666" t="s">
        <v>47443</v>
      </c>
      <c r="T6666" t="s">
        <v>49050</v>
      </c>
      <c r="U6666" t="s">
        <v>55117</v>
      </c>
      <c r="W6666" t="s">
        <v>45230</v>
      </c>
      <c r="X6666" t="s">
        <v>47312</v>
      </c>
    </row>
    <row r="6667" spans="1:24">
      <c r="A6667">
        <f>HYPERLINK("https://www.philgeps.gov.ph/GEPSNONPILOT/Tender/SplashBidNoticeAbstractUI.aspx?menuIndex=3&amp;refID=7190221&amp;Result=3","7190221")</f>
        <v>0</v>
      </c>
      <c r="B6667" t="s">
        <v>2137</v>
      </c>
      <c r="C6667" t="s">
        <v>9778</v>
      </c>
      <c r="D6667" t="s">
        <v>19043</v>
      </c>
      <c r="E6667" t="s">
        <v>24895</v>
      </c>
      <c r="F6667" t="s">
        <v>32606</v>
      </c>
      <c r="G6667" t="s">
        <v>32613</v>
      </c>
      <c r="H6667" t="s">
        <v>14201</v>
      </c>
      <c r="I6667" t="s">
        <v>32629</v>
      </c>
      <c r="J6667" t="s">
        <v>32789</v>
      </c>
      <c r="K6667" t="s">
        <v>42622</v>
      </c>
      <c r="M6667" t="s">
        <v>45225</v>
      </c>
      <c r="N6667" t="s">
        <v>47304</v>
      </c>
      <c r="O6667" t="s">
        <v>47305</v>
      </c>
      <c r="P6667">
        <v>0</v>
      </c>
      <c r="Q6667">
        <v>0</v>
      </c>
      <c r="R6667" t="s">
        <v>47311</v>
      </c>
      <c r="S6667" t="s">
        <v>47443</v>
      </c>
      <c r="T6667" t="s">
        <v>48979</v>
      </c>
      <c r="U6667" t="s">
        <v>55118</v>
      </c>
      <c r="V6667" t="s">
        <v>63287</v>
      </c>
      <c r="W6667" t="s">
        <v>45225</v>
      </c>
      <c r="X6667" t="s">
        <v>47312</v>
      </c>
    </row>
    <row r="6668" spans="1:24">
      <c r="A6668">
        <f>HYPERLINK("https://www.philgeps.gov.ph/GEPSNONPILOT/Tender/SplashBidNoticeAbstractUI.aspx?menuIndex=3&amp;refID=7190113&amp;Result=3","7190113")</f>
        <v>0</v>
      </c>
      <c r="B6668" t="s">
        <v>2216</v>
      </c>
      <c r="C6668" t="s">
        <v>10119</v>
      </c>
      <c r="D6668" t="s">
        <v>18992</v>
      </c>
      <c r="E6668" t="s">
        <v>19522</v>
      </c>
      <c r="F6668" t="s">
        <v>32606</v>
      </c>
      <c r="G6668" t="s">
        <v>32613</v>
      </c>
      <c r="H6668" t="s">
        <v>14201</v>
      </c>
      <c r="I6668" t="s">
        <v>6931</v>
      </c>
      <c r="J6668" t="s">
        <v>37034</v>
      </c>
      <c r="K6668" t="s">
        <v>42630</v>
      </c>
      <c r="L6668" t="s">
        <v>2216</v>
      </c>
      <c r="M6668" t="s">
        <v>45320</v>
      </c>
      <c r="N6668" t="s">
        <v>47304</v>
      </c>
      <c r="O6668" t="s">
        <v>47305</v>
      </c>
      <c r="P6668">
        <v>0</v>
      </c>
      <c r="Q6668">
        <v>0</v>
      </c>
      <c r="R6668" t="s">
        <v>47311</v>
      </c>
      <c r="S6668" t="s">
        <v>47443</v>
      </c>
      <c r="T6668" t="s">
        <v>49010</v>
      </c>
      <c r="U6668" t="s">
        <v>55119</v>
      </c>
      <c r="W6668" t="s">
        <v>45320</v>
      </c>
      <c r="X6668" t="s">
        <v>47312</v>
      </c>
    </row>
    <row r="6669" spans="1:24">
      <c r="A6669">
        <f>HYPERLINK("https://www.philgeps.gov.ph/GEPSNONPILOT/Tender/SplashBidNoticeAbstractUI.aspx?menuIndex=3&amp;refID=7190108&amp;Result=3","7190108")</f>
        <v>0</v>
      </c>
      <c r="B6669" t="s">
        <v>2217</v>
      </c>
      <c r="C6669" t="s">
        <v>10120</v>
      </c>
      <c r="D6669" t="s">
        <v>18999</v>
      </c>
      <c r="E6669" t="s">
        <v>19415</v>
      </c>
      <c r="F6669" t="s">
        <v>32606</v>
      </c>
      <c r="G6669" t="s">
        <v>32614</v>
      </c>
      <c r="H6669" t="s">
        <v>32624</v>
      </c>
      <c r="I6669" t="s">
        <v>32671</v>
      </c>
      <c r="J6669" t="s">
        <v>32868</v>
      </c>
      <c r="K6669" t="s">
        <v>42648</v>
      </c>
      <c r="M6669" t="s">
        <v>45321</v>
      </c>
      <c r="N6669" t="s">
        <v>47304</v>
      </c>
      <c r="O6669" t="s">
        <v>47305</v>
      </c>
      <c r="P6669">
        <v>0</v>
      </c>
      <c r="Q6669">
        <v>6</v>
      </c>
      <c r="R6669" t="s">
        <v>47311</v>
      </c>
      <c r="S6669" t="s">
        <v>47443</v>
      </c>
      <c r="T6669" t="s">
        <v>48972</v>
      </c>
      <c r="U6669" t="s">
        <v>55120</v>
      </c>
      <c r="W6669" t="s">
        <v>45321</v>
      </c>
      <c r="X6669" t="s">
        <v>47312</v>
      </c>
    </row>
    <row r="6670" spans="1:24">
      <c r="A6670">
        <f>HYPERLINK("https://www.philgeps.gov.ph/GEPSNONPILOT/Tender/SplashBidNoticeAbstractUI.aspx?menuIndex=3&amp;refID=7190218&amp;Result=3","7190218")</f>
        <v>0</v>
      </c>
      <c r="B6670" t="s">
        <v>2218</v>
      </c>
      <c r="C6670" t="s">
        <v>10121</v>
      </c>
      <c r="D6670" t="s">
        <v>19018</v>
      </c>
      <c r="E6670" t="s">
        <v>20432</v>
      </c>
      <c r="F6670" t="s">
        <v>32606</v>
      </c>
      <c r="G6670" t="s">
        <v>32613</v>
      </c>
      <c r="H6670" t="s">
        <v>14201</v>
      </c>
      <c r="I6670" t="s">
        <v>6931</v>
      </c>
      <c r="J6670" t="s">
        <v>37035</v>
      </c>
      <c r="K6670" t="s">
        <v>42623</v>
      </c>
      <c r="M6670" t="s">
        <v>45322</v>
      </c>
      <c r="N6670" t="s">
        <v>47304</v>
      </c>
      <c r="O6670" t="s">
        <v>47305</v>
      </c>
      <c r="P6670">
        <v>0</v>
      </c>
      <c r="Q6670">
        <v>0</v>
      </c>
      <c r="R6670" t="s">
        <v>47311</v>
      </c>
      <c r="S6670" t="s">
        <v>47443</v>
      </c>
      <c r="T6670" t="s">
        <v>49355</v>
      </c>
      <c r="U6670" t="s">
        <v>55121</v>
      </c>
      <c r="W6670" t="s">
        <v>45322</v>
      </c>
      <c r="X6670" t="s">
        <v>47312</v>
      </c>
    </row>
    <row r="6671" spans="1:24">
      <c r="A6671">
        <f>HYPERLINK("https://www.philgeps.gov.ph/GEPSNONPILOT/Tender/SplashBidNoticeAbstractUI.aspx?menuIndex=3&amp;refID=7190103&amp;Result=3","7190103")</f>
        <v>0</v>
      </c>
      <c r="B6671" t="s">
        <v>1123</v>
      </c>
      <c r="C6671" t="s">
        <v>10122</v>
      </c>
      <c r="D6671" t="s">
        <v>18993</v>
      </c>
      <c r="E6671" t="s">
        <v>24896</v>
      </c>
      <c r="F6671" t="s">
        <v>32606</v>
      </c>
      <c r="G6671" t="s">
        <v>32614</v>
      </c>
      <c r="H6671" t="s">
        <v>14201</v>
      </c>
      <c r="I6671" t="s">
        <v>32716</v>
      </c>
      <c r="J6671" t="s">
        <v>35903</v>
      </c>
      <c r="K6671" t="s">
        <v>42631</v>
      </c>
      <c r="M6671" t="s">
        <v>45234</v>
      </c>
      <c r="N6671" t="s">
        <v>47304</v>
      </c>
      <c r="O6671" t="s">
        <v>47305</v>
      </c>
      <c r="Q6671">
        <v>2</v>
      </c>
      <c r="R6671" t="s">
        <v>47311</v>
      </c>
      <c r="S6671" t="s">
        <v>47463</v>
      </c>
      <c r="T6671" t="s">
        <v>49015</v>
      </c>
      <c r="U6671" t="s">
        <v>55122</v>
      </c>
      <c r="V6671" t="s">
        <v>63258</v>
      </c>
      <c r="W6671" t="s">
        <v>45234</v>
      </c>
      <c r="X6671" t="s">
        <v>47312</v>
      </c>
    </row>
    <row r="6672" spans="1:24">
      <c r="A6672">
        <f>HYPERLINK("https://www.philgeps.gov.ph/GEPSNONPILOT/Tender/SplashBidNoticeAbstractUI.aspx?menuIndex=3&amp;refID=7190102&amp;Result=3","7190102")</f>
        <v>0</v>
      </c>
      <c r="B6672" t="s">
        <v>2141</v>
      </c>
      <c r="C6672" t="s">
        <v>10123</v>
      </c>
      <c r="D6672" t="s">
        <v>18993</v>
      </c>
      <c r="E6672" t="s">
        <v>24897</v>
      </c>
      <c r="F6672" t="s">
        <v>32606</v>
      </c>
      <c r="G6672" t="s">
        <v>32614</v>
      </c>
      <c r="H6672" t="s">
        <v>14201</v>
      </c>
      <c r="I6672" t="s">
        <v>32740</v>
      </c>
      <c r="J6672" t="s">
        <v>32765</v>
      </c>
      <c r="K6672" t="s">
        <v>42639</v>
      </c>
      <c r="M6672" t="s">
        <v>45229</v>
      </c>
      <c r="N6672" t="s">
        <v>47304</v>
      </c>
      <c r="O6672" t="s">
        <v>47305</v>
      </c>
      <c r="P6672">
        <v>0</v>
      </c>
      <c r="Q6672">
        <v>2</v>
      </c>
      <c r="R6672" t="s">
        <v>47311</v>
      </c>
      <c r="S6672" t="s">
        <v>47443</v>
      </c>
      <c r="T6672" t="s">
        <v>49010</v>
      </c>
      <c r="U6672" t="s">
        <v>54871</v>
      </c>
      <c r="W6672" t="s">
        <v>45229</v>
      </c>
      <c r="X6672" t="s">
        <v>47312</v>
      </c>
    </row>
    <row r="6673" spans="1:24">
      <c r="A6673">
        <f>HYPERLINK("https://www.philgeps.gov.ph/GEPSNONPILOT/Tender/SplashBidNoticeAbstractUI.aspx?menuIndex=3&amp;refID=7190101&amp;Result=3","7190101")</f>
        <v>0</v>
      </c>
      <c r="B6673" t="s">
        <v>192</v>
      </c>
      <c r="C6673" t="s">
        <v>10124</v>
      </c>
      <c r="D6673" t="s">
        <v>19016</v>
      </c>
      <c r="E6673" t="s">
        <v>24898</v>
      </c>
      <c r="F6673" t="s">
        <v>32606</v>
      </c>
      <c r="G6673" t="s">
        <v>32614</v>
      </c>
      <c r="H6673" t="s">
        <v>14201</v>
      </c>
      <c r="I6673" t="s">
        <v>32633</v>
      </c>
      <c r="J6673" t="s">
        <v>33259</v>
      </c>
      <c r="K6673" t="s">
        <v>42624</v>
      </c>
      <c r="M6673" t="s">
        <v>43093</v>
      </c>
      <c r="N6673" t="s">
        <v>47304</v>
      </c>
      <c r="O6673" t="s">
        <v>47305</v>
      </c>
      <c r="P6673">
        <v>0</v>
      </c>
      <c r="Q6673">
        <v>3</v>
      </c>
      <c r="R6673" t="s">
        <v>47311</v>
      </c>
      <c r="S6673" t="s">
        <v>47443</v>
      </c>
      <c r="T6673" t="s">
        <v>49269</v>
      </c>
      <c r="U6673" t="s">
        <v>49914</v>
      </c>
      <c r="V6673" t="s">
        <v>63288</v>
      </c>
      <c r="W6673" t="s">
        <v>43093</v>
      </c>
      <c r="X6673" t="s">
        <v>47312</v>
      </c>
    </row>
    <row r="6674" spans="1:24">
      <c r="A6674">
        <f>HYPERLINK("https://www.philgeps.gov.ph/GEPSNONPILOT/Tender/SplashBidNoticeAbstractUI.aspx?menuIndex=3&amp;refID=7190088&amp;Result=3","7190088")</f>
        <v>0</v>
      </c>
      <c r="B6674" t="s">
        <v>192</v>
      </c>
      <c r="C6674" t="s">
        <v>10125</v>
      </c>
      <c r="D6674" t="s">
        <v>19016</v>
      </c>
      <c r="E6674" t="s">
        <v>24899</v>
      </c>
      <c r="F6674" t="s">
        <v>32606</v>
      </c>
      <c r="G6674" t="s">
        <v>32614</v>
      </c>
      <c r="H6674" t="s">
        <v>14201</v>
      </c>
      <c r="I6674" t="s">
        <v>7677</v>
      </c>
      <c r="J6674" t="s">
        <v>37036</v>
      </c>
      <c r="K6674" t="s">
        <v>42624</v>
      </c>
      <c r="M6674" t="s">
        <v>43093</v>
      </c>
      <c r="N6674" t="s">
        <v>47304</v>
      </c>
      <c r="O6674" t="s">
        <v>47305</v>
      </c>
      <c r="P6674">
        <v>0</v>
      </c>
      <c r="Q6674">
        <v>5</v>
      </c>
      <c r="R6674" t="s">
        <v>47311</v>
      </c>
      <c r="S6674" t="s">
        <v>47443</v>
      </c>
      <c r="T6674" t="s">
        <v>49269</v>
      </c>
      <c r="U6674" t="s">
        <v>49914</v>
      </c>
      <c r="V6674" t="s">
        <v>63289</v>
      </c>
      <c r="W6674" t="s">
        <v>43093</v>
      </c>
      <c r="X6674" t="s">
        <v>47312</v>
      </c>
    </row>
    <row r="6675" spans="1:24">
      <c r="A6675">
        <f>HYPERLINK("https://www.philgeps.gov.ph/GEPSNONPILOT/Tender/SplashBidNoticeAbstractUI.aspx?menuIndex=3&amp;refID=7190029&amp;Result=3","7190029")</f>
        <v>0</v>
      </c>
      <c r="B6675" t="s">
        <v>1543</v>
      </c>
      <c r="C6675" t="s">
        <v>10126</v>
      </c>
      <c r="D6675" t="s">
        <v>19013</v>
      </c>
      <c r="E6675" t="s">
        <v>24900</v>
      </c>
      <c r="F6675" t="s">
        <v>32606</v>
      </c>
      <c r="G6675" t="s">
        <v>32613</v>
      </c>
      <c r="H6675" t="s">
        <v>32623</v>
      </c>
      <c r="I6675" t="s">
        <v>17648</v>
      </c>
      <c r="J6675" t="s">
        <v>33043</v>
      </c>
      <c r="K6675" t="s">
        <v>42646</v>
      </c>
      <c r="M6675" t="s">
        <v>44547</v>
      </c>
      <c r="N6675" t="s">
        <v>47304</v>
      </c>
      <c r="O6675" t="s">
        <v>47305</v>
      </c>
      <c r="P6675">
        <v>0</v>
      </c>
      <c r="Q6675">
        <v>2</v>
      </c>
      <c r="R6675" t="s">
        <v>47311</v>
      </c>
      <c r="S6675" t="s">
        <v>47443</v>
      </c>
      <c r="T6675" t="s">
        <v>49037</v>
      </c>
      <c r="U6675" t="s">
        <v>55123</v>
      </c>
      <c r="W6675" t="s">
        <v>44547</v>
      </c>
      <c r="X6675" t="s">
        <v>47313</v>
      </c>
    </row>
    <row r="6676" spans="1:24">
      <c r="A6676">
        <f>HYPERLINK("https://www.philgeps.gov.ph/GEPSNONPILOT/Tender/SplashBidNoticeAbstractUI.aspx?menuIndex=3&amp;refID=7189330&amp;Result=3","7189330")</f>
        <v>0</v>
      </c>
      <c r="B6676" t="s">
        <v>258</v>
      </c>
      <c r="C6676" t="s">
        <v>10127</v>
      </c>
      <c r="D6676" t="s">
        <v>19038</v>
      </c>
      <c r="E6676" t="s">
        <v>24901</v>
      </c>
      <c r="F6676" t="s">
        <v>32606</v>
      </c>
      <c r="G6676" t="s">
        <v>32615</v>
      </c>
      <c r="H6676" t="s">
        <v>14201</v>
      </c>
      <c r="I6676" t="s">
        <v>4678</v>
      </c>
      <c r="J6676" t="s">
        <v>37037</v>
      </c>
      <c r="K6676" t="s">
        <v>42623</v>
      </c>
      <c r="M6676" t="s">
        <v>44611</v>
      </c>
      <c r="N6676" t="s">
        <v>47304</v>
      </c>
      <c r="O6676" t="s">
        <v>47305</v>
      </c>
      <c r="P6676">
        <v>0</v>
      </c>
      <c r="Q6676">
        <v>0</v>
      </c>
      <c r="R6676" t="s">
        <v>47311</v>
      </c>
      <c r="S6676" t="s">
        <v>47443</v>
      </c>
      <c r="T6676" t="s">
        <v>49014</v>
      </c>
      <c r="U6676" t="s">
        <v>55124</v>
      </c>
      <c r="W6676" t="s">
        <v>44611</v>
      </c>
      <c r="X6676" t="s">
        <v>47313</v>
      </c>
    </row>
    <row r="6677" spans="1:24">
      <c r="A6677">
        <f>HYPERLINK("https://www.philgeps.gov.ph/GEPSNONPILOT/Tender/SplashBidNoticeAbstractUI.aspx?menuIndex=3&amp;refID=7190208&amp;Result=3","7190208")</f>
        <v>0</v>
      </c>
      <c r="B6677" t="s">
        <v>2154</v>
      </c>
      <c r="C6677" t="s">
        <v>10128</v>
      </c>
      <c r="D6677" t="s">
        <v>18997</v>
      </c>
      <c r="E6677" t="s">
        <v>23622</v>
      </c>
      <c r="F6677" t="s">
        <v>32606</v>
      </c>
      <c r="G6677" t="s">
        <v>32613</v>
      </c>
      <c r="H6677" t="s">
        <v>14201</v>
      </c>
      <c r="I6677" t="s">
        <v>32733</v>
      </c>
      <c r="J6677" t="s">
        <v>37038</v>
      </c>
      <c r="K6677" t="s">
        <v>42630</v>
      </c>
      <c r="M6677" t="s">
        <v>45245</v>
      </c>
      <c r="N6677" t="s">
        <v>47304</v>
      </c>
      <c r="O6677" t="s">
        <v>47305</v>
      </c>
      <c r="P6677">
        <v>0</v>
      </c>
      <c r="Q6677">
        <v>0</v>
      </c>
      <c r="R6677" t="s">
        <v>47311</v>
      </c>
      <c r="S6677" t="s">
        <v>47443</v>
      </c>
      <c r="T6677" t="s">
        <v>49101</v>
      </c>
      <c r="U6677" t="s">
        <v>55125</v>
      </c>
      <c r="V6677" t="s">
        <v>63261</v>
      </c>
      <c r="W6677" t="s">
        <v>45245</v>
      </c>
      <c r="X6677" t="s">
        <v>47312</v>
      </c>
    </row>
    <row r="6678" spans="1:24">
      <c r="A6678">
        <f>HYPERLINK("https://www.philgeps.gov.ph/GEPSNONPILOT/Tender/SplashBidNoticeAbstractUI.aspx?menuIndex=3&amp;refID=7189242&amp;Result=3","7189242")</f>
        <v>0</v>
      </c>
      <c r="B6678" t="s">
        <v>2115</v>
      </c>
      <c r="C6678" t="s">
        <v>10129</v>
      </c>
      <c r="D6678" t="s">
        <v>19008</v>
      </c>
      <c r="E6678" t="s">
        <v>24902</v>
      </c>
      <c r="F6678" t="s">
        <v>32606</v>
      </c>
      <c r="G6678" t="s">
        <v>32613</v>
      </c>
      <c r="H6678" t="s">
        <v>14201</v>
      </c>
      <c r="I6678" t="s">
        <v>8606</v>
      </c>
      <c r="J6678" t="s">
        <v>35434</v>
      </c>
      <c r="K6678" t="s">
        <v>42638</v>
      </c>
      <c r="M6678" t="s">
        <v>45202</v>
      </c>
      <c r="N6678" t="s">
        <v>47304</v>
      </c>
      <c r="O6678" t="s">
        <v>47305</v>
      </c>
      <c r="P6678">
        <v>0</v>
      </c>
      <c r="Q6678">
        <v>0</v>
      </c>
      <c r="R6678" t="s">
        <v>47311</v>
      </c>
      <c r="S6678" t="s">
        <v>47443</v>
      </c>
      <c r="T6678" t="s">
        <v>49073</v>
      </c>
      <c r="U6678" t="s">
        <v>55126</v>
      </c>
      <c r="V6678" t="s">
        <v>62846</v>
      </c>
      <c r="W6678" t="s">
        <v>45202</v>
      </c>
      <c r="X6678" t="s">
        <v>47313</v>
      </c>
    </row>
    <row r="6679" spans="1:24">
      <c r="A6679">
        <f>HYPERLINK("https://www.philgeps.gov.ph/GEPSNONPILOT/Tender/SplashBidNoticeAbstractUI.aspx?menuIndex=3&amp;refID=7189235&amp;Result=3","7189235")</f>
        <v>0</v>
      </c>
      <c r="B6679" t="s">
        <v>2219</v>
      </c>
      <c r="C6679" t="s">
        <v>10130</v>
      </c>
      <c r="D6679" t="s">
        <v>19024</v>
      </c>
      <c r="E6679" t="s">
        <v>24903</v>
      </c>
      <c r="F6679" t="s">
        <v>32606</v>
      </c>
      <c r="G6679" t="s">
        <v>32619</v>
      </c>
      <c r="H6679" t="s">
        <v>14201</v>
      </c>
      <c r="I6679" t="s">
        <v>8606</v>
      </c>
      <c r="J6679" t="s">
        <v>33251</v>
      </c>
      <c r="K6679" t="s">
        <v>42630</v>
      </c>
      <c r="M6679" t="s">
        <v>45323</v>
      </c>
      <c r="N6679" t="s">
        <v>47304</v>
      </c>
      <c r="O6679" t="s">
        <v>47305</v>
      </c>
      <c r="P6679">
        <v>0</v>
      </c>
      <c r="Q6679">
        <v>1</v>
      </c>
      <c r="R6679" t="s">
        <v>47311</v>
      </c>
      <c r="S6679" t="s">
        <v>47443</v>
      </c>
      <c r="T6679" t="s">
        <v>49315</v>
      </c>
      <c r="U6679" t="s">
        <v>55127</v>
      </c>
      <c r="V6679" t="s">
        <v>63290</v>
      </c>
      <c r="W6679" t="s">
        <v>45323</v>
      </c>
      <c r="X6679" t="s">
        <v>47313</v>
      </c>
    </row>
    <row r="6680" spans="1:24">
      <c r="A6680">
        <f>HYPERLINK("https://www.philgeps.gov.ph/GEPSNONPILOT/Tender/SplashBidNoticeAbstractUI.aspx?menuIndex=3&amp;refID=7189144&amp;Result=3","7189144")</f>
        <v>0</v>
      </c>
      <c r="B6680" t="s">
        <v>496</v>
      </c>
      <c r="C6680" t="s">
        <v>10131</v>
      </c>
      <c r="E6680" t="s">
        <v>24904</v>
      </c>
      <c r="F6680" t="s">
        <v>32606</v>
      </c>
      <c r="G6680" t="s">
        <v>32617</v>
      </c>
      <c r="H6680" t="s">
        <v>14201</v>
      </c>
      <c r="I6680" t="s">
        <v>4120</v>
      </c>
      <c r="J6680" t="s">
        <v>37039</v>
      </c>
      <c r="K6680" t="s">
        <v>42631</v>
      </c>
      <c r="M6680" t="s">
        <v>45233</v>
      </c>
      <c r="N6680" t="s">
        <v>47304</v>
      </c>
      <c r="O6680" t="s">
        <v>47305</v>
      </c>
      <c r="P6680">
        <v>0</v>
      </c>
      <c r="Q6680">
        <v>0</v>
      </c>
      <c r="R6680" t="s">
        <v>47311</v>
      </c>
      <c r="S6680" t="s">
        <v>47443</v>
      </c>
      <c r="T6680" t="s">
        <v>48977</v>
      </c>
      <c r="U6680" t="s">
        <v>55128</v>
      </c>
      <c r="W6680" t="s">
        <v>64494</v>
      </c>
      <c r="X6680" t="s">
        <v>47313</v>
      </c>
    </row>
    <row r="6681" spans="1:24">
      <c r="A6681">
        <f>HYPERLINK("https://www.philgeps.gov.ph/GEPSNONPILOT/Tender/SplashBidNoticeAbstractUI.aspx?menuIndex=3&amp;refID=7188561&amp;Result=3","7188561")</f>
        <v>0</v>
      </c>
      <c r="B6681" t="s">
        <v>1349</v>
      </c>
      <c r="C6681" t="s">
        <v>10132</v>
      </c>
      <c r="E6681" t="s">
        <v>24905</v>
      </c>
      <c r="F6681" t="s">
        <v>32606</v>
      </c>
      <c r="G6681" t="s">
        <v>32613</v>
      </c>
      <c r="H6681" t="s">
        <v>32624</v>
      </c>
      <c r="I6681" t="s">
        <v>32659</v>
      </c>
      <c r="J6681" t="s">
        <v>37040</v>
      </c>
      <c r="K6681" t="s">
        <v>42636</v>
      </c>
      <c r="M6681" t="s">
        <v>44323</v>
      </c>
      <c r="N6681" t="s">
        <v>47304</v>
      </c>
      <c r="O6681" t="s">
        <v>47305</v>
      </c>
      <c r="P6681">
        <v>0</v>
      </c>
      <c r="Q6681">
        <v>2</v>
      </c>
      <c r="R6681" t="s">
        <v>47311</v>
      </c>
      <c r="S6681" t="s">
        <v>47443</v>
      </c>
      <c r="T6681" t="s">
        <v>49249</v>
      </c>
      <c r="U6681" t="s">
        <v>55129</v>
      </c>
      <c r="W6681" t="s">
        <v>44323</v>
      </c>
      <c r="X6681" t="s">
        <v>47313</v>
      </c>
    </row>
    <row r="6682" spans="1:24">
      <c r="A6682">
        <f>HYPERLINK("https://www.philgeps.gov.ph/GEPSNONPILOT/Tender/SplashBidNoticeAbstractUI.aspx?menuIndex=3&amp;refID=7190782&amp;Result=3","7190782")</f>
        <v>0</v>
      </c>
      <c r="B6682" t="s">
        <v>815</v>
      </c>
      <c r="C6682" t="s">
        <v>10133</v>
      </c>
      <c r="D6682" t="s">
        <v>19019</v>
      </c>
      <c r="E6682" t="s">
        <v>24826</v>
      </c>
      <c r="F6682" t="s">
        <v>32606</v>
      </c>
      <c r="G6682" t="s">
        <v>32619</v>
      </c>
      <c r="H6682" t="s">
        <v>14201</v>
      </c>
      <c r="I6682" t="s">
        <v>4120</v>
      </c>
      <c r="J6682" t="s">
        <v>33897</v>
      </c>
      <c r="K6682" t="s">
        <v>42623</v>
      </c>
      <c r="M6682" t="s">
        <v>43746</v>
      </c>
      <c r="N6682" t="s">
        <v>47304</v>
      </c>
      <c r="O6682" t="s">
        <v>47305</v>
      </c>
      <c r="P6682">
        <v>0</v>
      </c>
      <c r="Q6682">
        <v>0</v>
      </c>
      <c r="R6682" t="s">
        <v>47311</v>
      </c>
      <c r="S6682" t="s">
        <v>47443</v>
      </c>
      <c r="T6682" t="s">
        <v>49010</v>
      </c>
      <c r="U6682" t="s">
        <v>55130</v>
      </c>
      <c r="W6682" t="s">
        <v>43746</v>
      </c>
      <c r="X6682" t="s">
        <v>47312</v>
      </c>
    </row>
    <row r="6683" spans="1:24">
      <c r="A6683">
        <f>HYPERLINK("https://www.philgeps.gov.ph/GEPSNONPILOT/Tender/SplashBidNoticeAbstractUI.aspx?menuIndex=3&amp;refID=7190779&amp;Result=3","7190779")</f>
        <v>0</v>
      </c>
      <c r="B6683" t="s">
        <v>1529</v>
      </c>
      <c r="C6683" t="s">
        <v>10134</v>
      </c>
      <c r="D6683" t="s">
        <v>18993</v>
      </c>
      <c r="E6683" t="s">
        <v>24906</v>
      </c>
      <c r="F6683" t="s">
        <v>32606</v>
      </c>
      <c r="G6683" t="s">
        <v>32614</v>
      </c>
      <c r="H6683" t="s">
        <v>14201</v>
      </c>
      <c r="I6683" t="s">
        <v>32634</v>
      </c>
      <c r="J6683" t="s">
        <v>34709</v>
      </c>
      <c r="K6683" t="s">
        <v>42623</v>
      </c>
      <c r="M6683" t="s">
        <v>44532</v>
      </c>
      <c r="N6683" t="s">
        <v>47304</v>
      </c>
      <c r="O6683" t="s">
        <v>47305</v>
      </c>
      <c r="P6683">
        <v>0</v>
      </c>
      <c r="Q6683">
        <v>16</v>
      </c>
      <c r="R6683" t="s">
        <v>47311</v>
      </c>
      <c r="S6683" t="s">
        <v>47443</v>
      </c>
      <c r="T6683" t="s">
        <v>49041</v>
      </c>
      <c r="U6683" t="s">
        <v>52911</v>
      </c>
      <c r="W6683" t="s">
        <v>44532</v>
      </c>
      <c r="X6683" t="s">
        <v>47312</v>
      </c>
    </row>
    <row r="6684" spans="1:24">
      <c r="A6684">
        <f>HYPERLINK("https://www.philgeps.gov.ph/GEPSNONPILOT/Tender/SplashBidNoticeAbstractUI.aspx?menuIndex=3&amp;refID=7190777&amp;Result=3","7190777")</f>
        <v>0</v>
      </c>
      <c r="B6684" t="s">
        <v>1545</v>
      </c>
      <c r="C6684" t="s">
        <v>10135</v>
      </c>
      <c r="D6684" t="s">
        <v>19056</v>
      </c>
      <c r="E6684" t="s">
        <v>24907</v>
      </c>
      <c r="F6684" t="s">
        <v>32606</v>
      </c>
      <c r="G6684" t="s">
        <v>32613</v>
      </c>
      <c r="H6684" t="s">
        <v>32623</v>
      </c>
      <c r="I6684" t="s">
        <v>17648</v>
      </c>
      <c r="J6684" t="s">
        <v>35482</v>
      </c>
      <c r="K6684" t="s">
        <v>42623</v>
      </c>
      <c r="M6684" t="s">
        <v>44549</v>
      </c>
      <c r="N6684" t="s">
        <v>47304</v>
      </c>
      <c r="O6684" t="s">
        <v>47305</v>
      </c>
      <c r="P6684">
        <v>0</v>
      </c>
      <c r="Q6684">
        <v>0</v>
      </c>
      <c r="R6684" t="s">
        <v>47311</v>
      </c>
      <c r="S6684" t="s">
        <v>47443</v>
      </c>
      <c r="T6684" t="s">
        <v>48975</v>
      </c>
      <c r="U6684" t="s">
        <v>55131</v>
      </c>
      <c r="W6684" t="s">
        <v>44549</v>
      </c>
      <c r="X6684" t="s">
        <v>47312</v>
      </c>
    </row>
    <row r="6685" spans="1:24">
      <c r="A6685">
        <f>HYPERLINK("https://www.philgeps.gov.ph/GEPSNONPILOT/Tender/SplashBidNoticeAbstractUI.aspx?menuIndex=3&amp;refID=7190773&amp;Result=3","7190773")</f>
        <v>0</v>
      </c>
      <c r="B6685" t="s">
        <v>2193</v>
      </c>
      <c r="C6685" t="s">
        <v>10136</v>
      </c>
      <c r="D6685" t="s">
        <v>19019</v>
      </c>
      <c r="E6685" t="s">
        <v>24908</v>
      </c>
      <c r="F6685" t="s">
        <v>32606</v>
      </c>
      <c r="G6685" t="s">
        <v>32614</v>
      </c>
      <c r="H6685" t="s">
        <v>14201</v>
      </c>
      <c r="I6685" t="s">
        <v>7577</v>
      </c>
      <c r="J6685" t="s">
        <v>36954</v>
      </c>
      <c r="K6685" t="s">
        <v>42623</v>
      </c>
      <c r="M6685" t="s">
        <v>45293</v>
      </c>
      <c r="N6685" t="s">
        <v>47304</v>
      </c>
      <c r="O6685" t="s">
        <v>47305</v>
      </c>
      <c r="P6685">
        <v>0</v>
      </c>
      <c r="Q6685">
        <v>6</v>
      </c>
      <c r="R6685" t="s">
        <v>47311</v>
      </c>
      <c r="S6685" t="s">
        <v>47443</v>
      </c>
      <c r="T6685" t="s">
        <v>49053</v>
      </c>
      <c r="U6685" t="s">
        <v>55132</v>
      </c>
      <c r="W6685" t="s">
        <v>45293</v>
      </c>
      <c r="X6685" t="s">
        <v>47312</v>
      </c>
    </row>
    <row r="6686" spans="1:24">
      <c r="A6686">
        <f>HYPERLINK("https://www.philgeps.gov.ph/GEPSNONPILOT/Tender/SplashBidNoticeAbstractUI.aspx?menuIndex=3&amp;refID=7190769&amp;Result=3","7190769")</f>
        <v>0</v>
      </c>
      <c r="B6686" t="s">
        <v>745</v>
      </c>
      <c r="C6686" t="s">
        <v>10137</v>
      </c>
      <c r="D6686" t="s">
        <v>19043</v>
      </c>
      <c r="E6686" t="s">
        <v>24909</v>
      </c>
      <c r="F6686" t="s">
        <v>32606</v>
      </c>
      <c r="G6686" t="s">
        <v>32615</v>
      </c>
      <c r="H6686" t="s">
        <v>14201</v>
      </c>
      <c r="I6686" t="s">
        <v>4678</v>
      </c>
      <c r="J6686" t="s">
        <v>33526</v>
      </c>
      <c r="K6686" t="s">
        <v>42622</v>
      </c>
      <c r="M6686" t="s">
        <v>43668</v>
      </c>
      <c r="N6686" t="s">
        <v>47304</v>
      </c>
      <c r="O6686" t="s">
        <v>47305</v>
      </c>
      <c r="P6686">
        <v>0</v>
      </c>
      <c r="Q6686">
        <v>0</v>
      </c>
      <c r="R6686" t="s">
        <v>47311</v>
      </c>
      <c r="S6686" t="s">
        <v>47443</v>
      </c>
      <c r="T6686" t="s">
        <v>49267</v>
      </c>
      <c r="U6686" t="s">
        <v>55133</v>
      </c>
      <c r="W6686" t="s">
        <v>43668</v>
      </c>
      <c r="X6686" t="s">
        <v>47312</v>
      </c>
    </row>
    <row r="6687" spans="1:24">
      <c r="A6687">
        <f>HYPERLINK("https://www.philgeps.gov.ph/GEPSNONPILOT/Tender/SplashBidNoticeAbstractUI.aspx?menuIndex=3&amp;refID=7190766&amp;Result=3","7190766")</f>
        <v>0</v>
      </c>
      <c r="B6687" t="s">
        <v>644</v>
      </c>
      <c r="C6687" t="s">
        <v>10138</v>
      </c>
      <c r="D6687" t="s">
        <v>19025</v>
      </c>
      <c r="E6687" t="s">
        <v>24910</v>
      </c>
      <c r="F6687" t="s">
        <v>32606</v>
      </c>
      <c r="G6687" t="s">
        <v>32617</v>
      </c>
      <c r="H6687" t="s">
        <v>14201</v>
      </c>
      <c r="I6687" t="s">
        <v>4114</v>
      </c>
      <c r="J6687" t="s">
        <v>37041</v>
      </c>
      <c r="K6687" t="s">
        <v>42624</v>
      </c>
      <c r="M6687" t="s">
        <v>44072</v>
      </c>
      <c r="N6687" t="s">
        <v>47304</v>
      </c>
      <c r="O6687" t="s">
        <v>47305</v>
      </c>
      <c r="P6687">
        <v>0</v>
      </c>
      <c r="Q6687">
        <v>4</v>
      </c>
      <c r="R6687" t="s">
        <v>47311</v>
      </c>
      <c r="S6687" t="s">
        <v>47443</v>
      </c>
      <c r="T6687" t="s">
        <v>49331</v>
      </c>
      <c r="U6687" t="s">
        <v>55134</v>
      </c>
      <c r="W6687" t="s">
        <v>44072</v>
      </c>
      <c r="X6687" t="s">
        <v>47312</v>
      </c>
    </row>
    <row r="6688" spans="1:24">
      <c r="A6688">
        <f>HYPERLINK("https://www.philgeps.gov.ph/GEPSNONPILOT/Tender/SplashBidNoticeAbstractUI.aspx?menuIndex=3&amp;refID=7190762&amp;Result=3","7190762")</f>
        <v>0</v>
      </c>
      <c r="B6688" t="s">
        <v>81</v>
      </c>
      <c r="C6688" t="s">
        <v>10139</v>
      </c>
      <c r="D6688" t="s">
        <v>18995</v>
      </c>
      <c r="E6688" t="s">
        <v>24911</v>
      </c>
      <c r="F6688" t="s">
        <v>32606</v>
      </c>
      <c r="G6688" t="s">
        <v>32613</v>
      </c>
      <c r="H6688" t="s">
        <v>32623</v>
      </c>
      <c r="I6688" t="s">
        <v>17648</v>
      </c>
      <c r="J6688" t="s">
        <v>37042</v>
      </c>
      <c r="K6688" t="s">
        <v>42624</v>
      </c>
      <c r="M6688" t="s">
        <v>42978</v>
      </c>
      <c r="N6688" t="s">
        <v>47304</v>
      </c>
      <c r="O6688" t="s">
        <v>47305</v>
      </c>
      <c r="P6688">
        <v>0</v>
      </c>
      <c r="Q6688">
        <v>1</v>
      </c>
      <c r="R6688" t="s">
        <v>47311</v>
      </c>
      <c r="S6688" t="s">
        <v>47443</v>
      </c>
      <c r="T6688" t="s">
        <v>49080</v>
      </c>
      <c r="U6688" t="s">
        <v>55135</v>
      </c>
      <c r="W6688" t="s">
        <v>42978</v>
      </c>
      <c r="X6688" t="s">
        <v>47312</v>
      </c>
    </row>
    <row r="6689" spans="1:24">
      <c r="A6689">
        <f>HYPERLINK("https://www.philgeps.gov.ph/GEPSNONPILOT/Tender/SplashBidNoticeAbstractUI.aspx?menuIndex=3&amp;refID=7190760&amp;Result=3","7190760")</f>
        <v>0</v>
      </c>
      <c r="B6689" t="s">
        <v>696</v>
      </c>
      <c r="C6689" t="s">
        <v>10140</v>
      </c>
      <c r="D6689" t="s">
        <v>19069</v>
      </c>
      <c r="E6689" t="s">
        <v>24912</v>
      </c>
      <c r="F6689" t="s">
        <v>32606</v>
      </c>
      <c r="G6689" t="s">
        <v>32613</v>
      </c>
      <c r="H6689" t="s">
        <v>14201</v>
      </c>
      <c r="I6689" t="s">
        <v>32686</v>
      </c>
      <c r="J6689" t="s">
        <v>37043</v>
      </c>
      <c r="K6689" t="s">
        <v>42636</v>
      </c>
      <c r="M6689" t="s">
        <v>43969</v>
      </c>
      <c r="N6689" t="s">
        <v>47304</v>
      </c>
      <c r="O6689" t="s">
        <v>47305</v>
      </c>
      <c r="P6689">
        <v>0</v>
      </c>
      <c r="Q6689">
        <v>3</v>
      </c>
      <c r="R6689" t="s">
        <v>47311</v>
      </c>
      <c r="S6689" t="s">
        <v>47443</v>
      </c>
      <c r="T6689" t="s">
        <v>49349</v>
      </c>
      <c r="U6689" t="s">
        <v>55136</v>
      </c>
      <c r="V6689" t="s">
        <v>62902</v>
      </c>
      <c r="W6689" t="s">
        <v>43969</v>
      </c>
      <c r="X6689" t="s">
        <v>47312</v>
      </c>
    </row>
    <row r="6690" spans="1:24">
      <c r="A6690">
        <f>HYPERLINK("https://www.philgeps.gov.ph/GEPSNONPILOT/Tender/SplashBidNoticeAbstractUI.aspx?menuIndex=3&amp;refID=7190759&amp;Result=3","7190759")</f>
        <v>0</v>
      </c>
      <c r="B6690" t="s">
        <v>2220</v>
      </c>
      <c r="C6690" t="s">
        <v>10141</v>
      </c>
      <c r="D6690" t="s">
        <v>19016</v>
      </c>
      <c r="E6690" t="s">
        <v>24913</v>
      </c>
      <c r="F6690" t="s">
        <v>32606</v>
      </c>
      <c r="G6690" t="s">
        <v>32613</v>
      </c>
      <c r="H6690" t="s">
        <v>14201</v>
      </c>
      <c r="I6690" t="s">
        <v>32631</v>
      </c>
      <c r="J6690" t="s">
        <v>37044</v>
      </c>
      <c r="K6690" t="s">
        <v>42631</v>
      </c>
      <c r="M6690" t="s">
        <v>45324</v>
      </c>
      <c r="N6690" t="s">
        <v>47304</v>
      </c>
      <c r="O6690" t="s">
        <v>47305</v>
      </c>
      <c r="P6690">
        <v>0</v>
      </c>
      <c r="Q6690">
        <v>0</v>
      </c>
      <c r="R6690" t="s">
        <v>47311</v>
      </c>
      <c r="S6690" t="s">
        <v>47443</v>
      </c>
      <c r="T6690" t="s">
        <v>48997</v>
      </c>
      <c r="U6690" t="s">
        <v>55137</v>
      </c>
      <c r="V6690" t="s">
        <v>63291</v>
      </c>
      <c r="W6690" t="s">
        <v>45324</v>
      </c>
      <c r="X6690" t="s">
        <v>47312</v>
      </c>
    </row>
    <row r="6691" spans="1:24">
      <c r="A6691">
        <f>HYPERLINK("https://www.philgeps.gov.ph/GEPSNONPILOT/Tender/SplashBidNoticeAbstractUI.aspx?menuIndex=3&amp;refID=7190757&amp;Result=3","7190757")</f>
        <v>0</v>
      </c>
      <c r="B6691" t="s">
        <v>761</v>
      </c>
      <c r="C6691" t="s">
        <v>10142</v>
      </c>
      <c r="D6691" t="s">
        <v>19036</v>
      </c>
      <c r="E6691" t="s">
        <v>24851</v>
      </c>
      <c r="F6691" t="s">
        <v>32606</v>
      </c>
      <c r="G6691" t="s">
        <v>32613</v>
      </c>
      <c r="H6691" t="s">
        <v>14201</v>
      </c>
      <c r="I6691" t="s">
        <v>6931</v>
      </c>
      <c r="J6691" t="s">
        <v>37045</v>
      </c>
      <c r="K6691" t="s">
        <v>42623</v>
      </c>
      <c r="M6691" t="s">
        <v>43685</v>
      </c>
      <c r="N6691" t="s">
        <v>47304</v>
      </c>
      <c r="O6691" t="s">
        <v>47305</v>
      </c>
      <c r="P6691">
        <v>0</v>
      </c>
      <c r="Q6691">
        <v>0</v>
      </c>
      <c r="R6691" t="s">
        <v>47311</v>
      </c>
      <c r="S6691" t="s">
        <v>47443</v>
      </c>
      <c r="T6691" t="s">
        <v>49274</v>
      </c>
      <c r="U6691" t="s">
        <v>55138</v>
      </c>
      <c r="W6691" t="s">
        <v>43685</v>
      </c>
      <c r="X6691" t="s">
        <v>47312</v>
      </c>
    </row>
    <row r="6692" spans="1:24">
      <c r="A6692">
        <f>HYPERLINK("https://www.philgeps.gov.ph/GEPSNONPILOT/Tender/SplashBidNoticeAbstractUI.aspx?menuIndex=3&amp;refID=7189334&amp;Result=3","7189334")</f>
        <v>0</v>
      </c>
      <c r="B6692" t="s">
        <v>876</v>
      </c>
      <c r="C6692" t="s">
        <v>10143</v>
      </c>
      <c r="D6692" t="s">
        <v>19038</v>
      </c>
      <c r="E6692" t="s">
        <v>24914</v>
      </c>
      <c r="F6692" t="s">
        <v>32606</v>
      </c>
      <c r="G6692" t="s">
        <v>32613</v>
      </c>
      <c r="H6692" t="s">
        <v>14201</v>
      </c>
      <c r="I6692" t="s">
        <v>32633</v>
      </c>
      <c r="J6692" t="s">
        <v>37046</v>
      </c>
      <c r="K6692" t="s">
        <v>42624</v>
      </c>
      <c r="M6692" t="s">
        <v>43812</v>
      </c>
      <c r="N6692" t="s">
        <v>47304</v>
      </c>
      <c r="O6692" t="s">
        <v>47305</v>
      </c>
      <c r="P6692">
        <v>0</v>
      </c>
      <c r="Q6692">
        <v>7</v>
      </c>
      <c r="R6692" t="s">
        <v>47311</v>
      </c>
      <c r="S6692" t="s">
        <v>47443</v>
      </c>
      <c r="T6692" t="s">
        <v>49008</v>
      </c>
      <c r="U6692" t="s">
        <v>55139</v>
      </c>
      <c r="W6692" t="s">
        <v>43812</v>
      </c>
      <c r="X6692" t="s">
        <v>47313</v>
      </c>
    </row>
    <row r="6693" spans="1:24">
      <c r="A6693">
        <f>HYPERLINK("https://www.philgeps.gov.ph/GEPSNONPILOT/Tender/SplashBidNoticeAbstractUI.aspx?menuIndex=3&amp;refID=7190756&amp;Result=3","7190756")</f>
        <v>0</v>
      </c>
      <c r="B6693" t="s">
        <v>1206</v>
      </c>
      <c r="C6693" t="s">
        <v>10144</v>
      </c>
      <c r="D6693" t="s">
        <v>19010</v>
      </c>
      <c r="E6693" t="s">
        <v>24915</v>
      </c>
      <c r="F6693" t="s">
        <v>32606</v>
      </c>
      <c r="G6693" t="s">
        <v>32614</v>
      </c>
      <c r="H6693" t="s">
        <v>14201</v>
      </c>
      <c r="I6693" t="s">
        <v>32641</v>
      </c>
      <c r="J6693" t="s">
        <v>34207</v>
      </c>
      <c r="K6693" t="s">
        <v>42631</v>
      </c>
      <c r="M6693" t="s">
        <v>44170</v>
      </c>
      <c r="N6693" t="s">
        <v>47304</v>
      </c>
      <c r="O6693" t="s">
        <v>47305</v>
      </c>
      <c r="P6693">
        <v>0</v>
      </c>
      <c r="Q6693">
        <v>2</v>
      </c>
      <c r="R6693" t="s">
        <v>47311</v>
      </c>
      <c r="S6693" t="s">
        <v>47443</v>
      </c>
      <c r="T6693" t="s">
        <v>49269</v>
      </c>
      <c r="U6693" t="s">
        <v>55140</v>
      </c>
      <c r="W6693" t="s">
        <v>44170</v>
      </c>
      <c r="X6693" t="s">
        <v>47312</v>
      </c>
    </row>
    <row r="6694" spans="1:24">
      <c r="A6694">
        <f>HYPERLINK("https://www.philgeps.gov.ph/GEPSNONPILOT/Tender/SplashBidNoticeAbstractUI.aspx?menuIndex=3&amp;refID=7190215&amp;Result=3","7190215")</f>
        <v>0</v>
      </c>
      <c r="B6694" t="s">
        <v>600</v>
      </c>
      <c r="C6694" t="s">
        <v>10145</v>
      </c>
      <c r="E6694" t="s">
        <v>24916</v>
      </c>
      <c r="F6694" t="s">
        <v>32606</v>
      </c>
      <c r="G6694" t="s">
        <v>32614</v>
      </c>
      <c r="H6694" t="s">
        <v>14201</v>
      </c>
      <c r="I6694" t="s">
        <v>32654</v>
      </c>
      <c r="J6694" t="s">
        <v>37047</v>
      </c>
      <c r="K6694" t="s">
        <v>42623</v>
      </c>
      <c r="M6694" t="s">
        <v>43516</v>
      </c>
      <c r="N6694" t="s">
        <v>47304</v>
      </c>
      <c r="O6694" t="s">
        <v>47305</v>
      </c>
      <c r="P6694">
        <v>0</v>
      </c>
      <c r="Q6694">
        <v>2</v>
      </c>
      <c r="R6694" t="s">
        <v>47311</v>
      </c>
      <c r="S6694" t="s">
        <v>47443</v>
      </c>
      <c r="T6694" t="s">
        <v>49269</v>
      </c>
      <c r="U6694" t="s">
        <v>55141</v>
      </c>
      <c r="V6694" t="s">
        <v>63265</v>
      </c>
      <c r="W6694" t="s">
        <v>43516</v>
      </c>
      <c r="X6694" t="s">
        <v>47312</v>
      </c>
    </row>
    <row r="6695" spans="1:24">
      <c r="A6695">
        <f>HYPERLINK("https://www.philgeps.gov.ph/GEPSNONPILOT/Tender/SplashBidNoticeAbstractUI.aspx?menuIndex=3&amp;refID=7190786&amp;Result=3","7190786")</f>
        <v>0</v>
      </c>
      <c r="B6695" t="s">
        <v>2221</v>
      </c>
      <c r="C6695" t="s">
        <v>10146</v>
      </c>
      <c r="D6695" t="s">
        <v>19007</v>
      </c>
      <c r="E6695" t="s">
        <v>24917</v>
      </c>
      <c r="F6695" t="s">
        <v>32606</v>
      </c>
      <c r="G6695" t="s">
        <v>32613</v>
      </c>
      <c r="H6695" t="s">
        <v>32623</v>
      </c>
      <c r="I6695" t="s">
        <v>17648</v>
      </c>
      <c r="J6695" t="s">
        <v>37048</v>
      </c>
      <c r="K6695" t="s">
        <v>42648</v>
      </c>
      <c r="L6695" t="s">
        <v>2221</v>
      </c>
      <c r="M6695" t="s">
        <v>45325</v>
      </c>
      <c r="N6695" t="s">
        <v>47304</v>
      </c>
      <c r="O6695" t="s">
        <v>47305</v>
      </c>
      <c r="P6695">
        <v>0</v>
      </c>
      <c r="Q6695">
        <v>0</v>
      </c>
      <c r="R6695" t="s">
        <v>47311</v>
      </c>
      <c r="S6695" t="s">
        <v>47443</v>
      </c>
      <c r="T6695" t="s">
        <v>49037</v>
      </c>
      <c r="U6695" t="s">
        <v>50524</v>
      </c>
      <c r="W6695" t="s">
        <v>45325</v>
      </c>
      <c r="X6695" t="s">
        <v>47312</v>
      </c>
    </row>
    <row r="6696" spans="1:24">
      <c r="A6696">
        <f>HYPERLINK("https://www.philgeps.gov.ph/GEPSNONPILOT/Tender/SplashBidNoticeAbstractUI.aspx?menuIndex=3&amp;refID=7190325&amp;Result=3","7190325")</f>
        <v>0</v>
      </c>
      <c r="B6696" t="s">
        <v>688</v>
      </c>
      <c r="C6696" t="s">
        <v>10147</v>
      </c>
      <c r="E6696" t="s">
        <v>24918</v>
      </c>
      <c r="F6696" t="s">
        <v>32606</v>
      </c>
      <c r="G6696" t="s">
        <v>32614</v>
      </c>
      <c r="H6696" t="s">
        <v>14201</v>
      </c>
      <c r="I6696" t="s">
        <v>6007</v>
      </c>
      <c r="J6696" t="s">
        <v>32765</v>
      </c>
      <c r="K6696" t="s">
        <v>42624</v>
      </c>
      <c r="M6696" t="s">
        <v>43609</v>
      </c>
      <c r="N6696" t="s">
        <v>47304</v>
      </c>
      <c r="O6696" t="s">
        <v>47305</v>
      </c>
      <c r="P6696">
        <v>0</v>
      </c>
      <c r="Q6696">
        <v>4</v>
      </c>
      <c r="R6696" t="s">
        <v>47311</v>
      </c>
      <c r="S6696" t="s">
        <v>47443</v>
      </c>
      <c r="T6696" t="s">
        <v>49053</v>
      </c>
      <c r="U6696" t="s">
        <v>55142</v>
      </c>
      <c r="W6696" t="s">
        <v>43609</v>
      </c>
      <c r="X6696" t="s">
        <v>47312</v>
      </c>
    </row>
    <row r="6697" spans="1:24">
      <c r="A6697">
        <f>HYPERLINK("https://www.philgeps.gov.ph/GEPSNONPILOT/Tender/SplashBidNoticeAbstractUI.aspx?menuIndex=3&amp;refID=7190824&amp;Result=3","7190824")</f>
        <v>0</v>
      </c>
      <c r="B6697" t="s">
        <v>644</v>
      </c>
      <c r="C6697" t="s">
        <v>10148</v>
      </c>
      <c r="D6697" t="s">
        <v>19022</v>
      </c>
      <c r="E6697" t="s">
        <v>24919</v>
      </c>
      <c r="F6697" t="s">
        <v>32606</v>
      </c>
      <c r="G6697" t="s">
        <v>32614</v>
      </c>
      <c r="H6697" t="s">
        <v>14201</v>
      </c>
      <c r="I6697" t="s">
        <v>6931</v>
      </c>
      <c r="J6697" t="s">
        <v>37049</v>
      </c>
      <c r="K6697" t="s">
        <v>42624</v>
      </c>
      <c r="M6697" t="s">
        <v>44072</v>
      </c>
      <c r="N6697" t="s">
        <v>47304</v>
      </c>
      <c r="O6697" t="s">
        <v>47305</v>
      </c>
      <c r="P6697">
        <v>0</v>
      </c>
      <c r="Q6697">
        <v>2</v>
      </c>
      <c r="R6697" t="s">
        <v>47311</v>
      </c>
      <c r="S6697" t="s">
        <v>47443</v>
      </c>
      <c r="T6697" t="s">
        <v>49331</v>
      </c>
      <c r="U6697" t="s">
        <v>55143</v>
      </c>
      <c r="W6697" t="s">
        <v>44072</v>
      </c>
      <c r="X6697" t="s">
        <v>47312</v>
      </c>
    </row>
    <row r="6698" spans="1:24">
      <c r="A6698">
        <f>HYPERLINK("https://www.philgeps.gov.ph/GEPSNONPILOT/Tender/SplashBidNoticeAbstractUI.aspx?menuIndex=3&amp;refID=7190823&amp;Result=3","7190823")</f>
        <v>0</v>
      </c>
      <c r="B6698" t="s">
        <v>2222</v>
      </c>
      <c r="C6698" t="s">
        <v>10149</v>
      </c>
      <c r="D6698" t="s">
        <v>19025</v>
      </c>
      <c r="E6698" t="s">
        <v>24920</v>
      </c>
      <c r="F6698" t="s">
        <v>32606</v>
      </c>
      <c r="G6698" t="s">
        <v>32619</v>
      </c>
      <c r="H6698" t="s">
        <v>14201</v>
      </c>
      <c r="I6698" t="s">
        <v>6993</v>
      </c>
      <c r="J6698" t="s">
        <v>32781</v>
      </c>
      <c r="K6698" t="s">
        <v>42631</v>
      </c>
      <c r="M6698" t="s">
        <v>45326</v>
      </c>
      <c r="N6698" t="s">
        <v>47304</v>
      </c>
      <c r="O6698" t="s">
        <v>47305</v>
      </c>
      <c r="P6698">
        <v>0</v>
      </c>
      <c r="Q6698">
        <v>1</v>
      </c>
      <c r="R6698" t="s">
        <v>47311</v>
      </c>
      <c r="S6698" t="s">
        <v>47443</v>
      </c>
      <c r="T6698" t="s">
        <v>49165</v>
      </c>
      <c r="U6698" t="s">
        <v>55144</v>
      </c>
      <c r="W6698" t="s">
        <v>45326</v>
      </c>
      <c r="X6698" t="s">
        <v>47312</v>
      </c>
    </row>
    <row r="6699" spans="1:24">
      <c r="A6699">
        <f>HYPERLINK("https://www.philgeps.gov.ph/GEPSNONPILOT/Tender/SplashBidNoticeAbstractUI.aspx?menuIndex=3&amp;refID=7190821&amp;Result=3","7190821")</f>
        <v>0</v>
      </c>
      <c r="B6699" t="s">
        <v>2107</v>
      </c>
      <c r="C6699" t="s">
        <v>10150</v>
      </c>
      <c r="D6699" t="s">
        <v>19023</v>
      </c>
      <c r="E6699" t="s">
        <v>24921</v>
      </c>
      <c r="F6699" t="s">
        <v>32606</v>
      </c>
      <c r="G6699" t="s">
        <v>32613</v>
      </c>
      <c r="H6699" t="s">
        <v>14201</v>
      </c>
      <c r="I6699" t="s">
        <v>6931</v>
      </c>
      <c r="J6699" t="s">
        <v>37050</v>
      </c>
      <c r="K6699" t="s">
        <v>42631</v>
      </c>
      <c r="M6699" t="s">
        <v>45192</v>
      </c>
      <c r="N6699" t="s">
        <v>47304</v>
      </c>
      <c r="O6699" t="s">
        <v>47305</v>
      </c>
      <c r="P6699">
        <v>0</v>
      </c>
      <c r="Q6699">
        <v>1</v>
      </c>
      <c r="R6699" t="s">
        <v>47311</v>
      </c>
      <c r="S6699" t="s">
        <v>47443</v>
      </c>
      <c r="T6699" t="s">
        <v>49163</v>
      </c>
      <c r="U6699" t="s">
        <v>55145</v>
      </c>
      <c r="V6699" t="s">
        <v>63292</v>
      </c>
      <c r="W6699" t="s">
        <v>45192</v>
      </c>
      <c r="X6699" t="s">
        <v>47312</v>
      </c>
    </row>
    <row r="6700" spans="1:24">
      <c r="A6700">
        <f>HYPERLINK("https://www.philgeps.gov.ph/GEPSNONPILOT/Tender/SplashBidNoticeAbstractUI.aspx?menuIndex=3&amp;refID=7190820&amp;Result=3","7190820")</f>
        <v>0</v>
      </c>
      <c r="B6700" t="s">
        <v>2223</v>
      </c>
      <c r="C6700" t="s">
        <v>10151</v>
      </c>
      <c r="D6700" t="s">
        <v>18993</v>
      </c>
      <c r="E6700" t="s">
        <v>24922</v>
      </c>
      <c r="F6700" t="s">
        <v>32606</v>
      </c>
      <c r="G6700" t="s">
        <v>32614</v>
      </c>
      <c r="H6700" t="s">
        <v>14201</v>
      </c>
      <c r="I6700" t="s">
        <v>32631</v>
      </c>
      <c r="J6700" t="s">
        <v>32977</v>
      </c>
      <c r="K6700" t="s">
        <v>42630</v>
      </c>
      <c r="M6700" t="s">
        <v>45327</v>
      </c>
      <c r="N6700" t="s">
        <v>47304</v>
      </c>
      <c r="O6700" t="s">
        <v>47305</v>
      </c>
      <c r="P6700">
        <v>0</v>
      </c>
      <c r="Q6700">
        <v>1</v>
      </c>
      <c r="R6700" t="s">
        <v>47311</v>
      </c>
      <c r="S6700" t="s">
        <v>47443</v>
      </c>
      <c r="T6700" t="s">
        <v>49165</v>
      </c>
      <c r="U6700" t="s">
        <v>55146</v>
      </c>
      <c r="V6700" t="s">
        <v>63293</v>
      </c>
      <c r="W6700" t="s">
        <v>45327</v>
      </c>
      <c r="X6700" t="s">
        <v>47312</v>
      </c>
    </row>
    <row r="6701" spans="1:24">
      <c r="A6701">
        <f>HYPERLINK("https://www.philgeps.gov.ph/GEPSNONPILOT/Tender/SplashBidNoticeAbstractUI.aspx?menuIndex=3&amp;refID=7190815&amp;Result=3","7190815")</f>
        <v>0</v>
      </c>
      <c r="B6701" t="s">
        <v>1529</v>
      </c>
      <c r="C6701" t="s">
        <v>10152</v>
      </c>
      <c r="D6701" t="s">
        <v>18993</v>
      </c>
      <c r="E6701" t="s">
        <v>24923</v>
      </c>
      <c r="F6701" t="s">
        <v>32606</v>
      </c>
      <c r="G6701" t="s">
        <v>32617</v>
      </c>
      <c r="H6701" t="s">
        <v>14201</v>
      </c>
      <c r="I6701" t="s">
        <v>32646</v>
      </c>
      <c r="J6701" t="s">
        <v>37051</v>
      </c>
      <c r="K6701" t="s">
        <v>42622</v>
      </c>
      <c r="M6701" t="s">
        <v>44532</v>
      </c>
      <c r="N6701" t="s">
        <v>47304</v>
      </c>
      <c r="O6701" t="s">
        <v>47305</v>
      </c>
      <c r="P6701">
        <v>0</v>
      </c>
      <c r="Q6701">
        <v>4</v>
      </c>
      <c r="R6701" t="s">
        <v>47311</v>
      </c>
      <c r="S6701" t="s">
        <v>47443</v>
      </c>
      <c r="T6701" t="s">
        <v>49041</v>
      </c>
      <c r="U6701" t="s">
        <v>52911</v>
      </c>
      <c r="W6701" t="s">
        <v>44532</v>
      </c>
      <c r="X6701" t="s">
        <v>47312</v>
      </c>
    </row>
    <row r="6702" spans="1:24">
      <c r="A6702">
        <f>HYPERLINK("https://www.philgeps.gov.ph/GEPSNONPILOT/Tender/SplashBidNoticeAbstractUI.aspx?menuIndex=3&amp;refID=7190750&amp;Result=3","7190750")</f>
        <v>0</v>
      </c>
      <c r="B6702" t="s">
        <v>1465</v>
      </c>
      <c r="C6702" t="s">
        <v>10153</v>
      </c>
      <c r="D6702" t="s">
        <v>18991</v>
      </c>
      <c r="E6702" t="s">
        <v>24924</v>
      </c>
      <c r="F6702" t="s">
        <v>32606</v>
      </c>
      <c r="G6702" t="s">
        <v>32614</v>
      </c>
      <c r="H6702" t="s">
        <v>14201</v>
      </c>
      <c r="I6702" t="s">
        <v>32635</v>
      </c>
      <c r="J6702" t="s">
        <v>34315</v>
      </c>
      <c r="K6702" t="s">
        <v>42631</v>
      </c>
      <c r="M6702" t="s">
        <v>44459</v>
      </c>
      <c r="N6702" t="s">
        <v>47304</v>
      </c>
      <c r="O6702" t="s">
        <v>47305</v>
      </c>
      <c r="P6702">
        <v>0</v>
      </c>
      <c r="Q6702">
        <v>7</v>
      </c>
      <c r="R6702" t="s">
        <v>47311</v>
      </c>
      <c r="S6702" t="s">
        <v>47443</v>
      </c>
      <c r="T6702" t="s">
        <v>49268</v>
      </c>
      <c r="U6702" t="s">
        <v>52738</v>
      </c>
      <c r="W6702" t="s">
        <v>44459</v>
      </c>
      <c r="X6702" t="s">
        <v>47312</v>
      </c>
    </row>
    <row r="6703" spans="1:24">
      <c r="A6703">
        <f>HYPERLINK("https://www.philgeps.gov.ph/GEPSNONPILOT/Tender/SplashBidNoticeAbstractUI.aspx?menuIndex=3&amp;refID=7190814&amp;Result=3","7190814")</f>
        <v>0</v>
      </c>
      <c r="B6703" t="s">
        <v>2224</v>
      </c>
      <c r="C6703" t="s">
        <v>10154</v>
      </c>
      <c r="D6703" t="s">
        <v>19004</v>
      </c>
      <c r="E6703" t="s">
        <v>24925</v>
      </c>
      <c r="F6703" t="s">
        <v>32606</v>
      </c>
      <c r="G6703" t="s">
        <v>32613</v>
      </c>
      <c r="H6703" t="s">
        <v>32623</v>
      </c>
      <c r="I6703" t="s">
        <v>17648</v>
      </c>
      <c r="J6703" t="s">
        <v>37052</v>
      </c>
      <c r="K6703" t="s">
        <v>42624</v>
      </c>
      <c r="M6703" t="s">
        <v>45328</v>
      </c>
      <c r="N6703" t="s">
        <v>47304</v>
      </c>
      <c r="O6703" t="s">
        <v>47305</v>
      </c>
      <c r="P6703">
        <v>0</v>
      </c>
      <c r="Q6703">
        <v>0</v>
      </c>
      <c r="R6703" t="s">
        <v>47311</v>
      </c>
      <c r="S6703" t="s">
        <v>47443</v>
      </c>
      <c r="T6703" t="s">
        <v>48979</v>
      </c>
      <c r="U6703" t="s">
        <v>55147</v>
      </c>
      <c r="W6703" t="s">
        <v>45328</v>
      </c>
      <c r="X6703" t="s">
        <v>47312</v>
      </c>
    </row>
    <row r="6704" spans="1:24">
      <c r="A6704">
        <f>HYPERLINK("https://www.philgeps.gov.ph/GEPSNONPILOT/Tender/SplashBidNoticeAbstractUI.aspx?menuIndex=3&amp;refID=7190812&amp;Result=3","7190812")</f>
        <v>0</v>
      </c>
      <c r="B6704" t="s">
        <v>2225</v>
      </c>
      <c r="C6704" t="s">
        <v>10155</v>
      </c>
      <c r="D6704" t="s">
        <v>18999</v>
      </c>
      <c r="E6704" t="s">
        <v>24926</v>
      </c>
      <c r="F6704" t="s">
        <v>32606</v>
      </c>
      <c r="G6704" t="s">
        <v>32614</v>
      </c>
      <c r="H6704" t="s">
        <v>14201</v>
      </c>
      <c r="I6704" t="s">
        <v>32652</v>
      </c>
      <c r="J6704" t="s">
        <v>33578</v>
      </c>
      <c r="K6704" t="s">
        <v>42631</v>
      </c>
      <c r="M6704" t="s">
        <v>45329</v>
      </c>
      <c r="N6704" t="s">
        <v>47304</v>
      </c>
      <c r="O6704" t="s">
        <v>47305</v>
      </c>
      <c r="P6704">
        <v>0</v>
      </c>
      <c r="Q6704">
        <v>1</v>
      </c>
      <c r="R6704" t="s">
        <v>47311</v>
      </c>
      <c r="S6704" t="s">
        <v>47443</v>
      </c>
      <c r="T6704" t="s">
        <v>49072</v>
      </c>
      <c r="U6704" t="s">
        <v>55148</v>
      </c>
      <c r="V6704" t="s">
        <v>63294</v>
      </c>
      <c r="W6704" t="s">
        <v>64495</v>
      </c>
      <c r="X6704" t="s">
        <v>47312</v>
      </c>
    </row>
    <row r="6705" spans="1:24">
      <c r="A6705">
        <f>HYPERLINK("https://www.philgeps.gov.ph/GEPSNONPILOT/Tender/SplashBidNoticeAbstractUI.aspx?menuIndex=3&amp;refID=7190803&amp;Result=3","7190803")</f>
        <v>0</v>
      </c>
      <c r="B6705" t="s">
        <v>2226</v>
      </c>
      <c r="C6705" t="s">
        <v>10156</v>
      </c>
      <c r="D6705" t="s">
        <v>19058</v>
      </c>
      <c r="E6705" t="s">
        <v>24927</v>
      </c>
      <c r="F6705" t="s">
        <v>32606</v>
      </c>
      <c r="G6705" t="s">
        <v>32614</v>
      </c>
      <c r="H6705" t="s">
        <v>14201</v>
      </c>
      <c r="I6705" t="s">
        <v>32633</v>
      </c>
      <c r="J6705" t="s">
        <v>36561</v>
      </c>
      <c r="K6705" t="s">
        <v>42630</v>
      </c>
      <c r="M6705" t="s">
        <v>45330</v>
      </c>
      <c r="N6705" t="s">
        <v>47304</v>
      </c>
      <c r="O6705" t="s">
        <v>47305</v>
      </c>
      <c r="P6705">
        <v>0</v>
      </c>
      <c r="Q6705">
        <v>6</v>
      </c>
      <c r="R6705" t="s">
        <v>47311</v>
      </c>
      <c r="S6705" t="s">
        <v>47443</v>
      </c>
      <c r="T6705" t="s">
        <v>48980</v>
      </c>
      <c r="U6705" t="s">
        <v>51703</v>
      </c>
      <c r="W6705" t="s">
        <v>45330</v>
      </c>
      <c r="X6705" t="s">
        <v>47312</v>
      </c>
    </row>
    <row r="6706" spans="1:24">
      <c r="A6706">
        <f>HYPERLINK("https://www.philgeps.gov.ph/GEPSNONPILOT/Tender/SplashBidNoticeAbstractUI.aspx?menuIndex=3&amp;refID=7190801&amp;Result=3","7190801")</f>
        <v>0</v>
      </c>
      <c r="B6706" t="s">
        <v>2200</v>
      </c>
      <c r="C6706" t="s">
        <v>10157</v>
      </c>
      <c r="D6706" t="s">
        <v>19010</v>
      </c>
      <c r="E6706" t="s">
        <v>24928</v>
      </c>
      <c r="F6706" t="s">
        <v>32606</v>
      </c>
      <c r="G6706" t="s">
        <v>32619</v>
      </c>
      <c r="H6706" t="s">
        <v>14201</v>
      </c>
      <c r="I6706" t="s">
        <v>32713</v>
      </c>
      <c r="J6706" t="s">
        <v>37053</v>
      </c>
      <c r="K6706" t="s">
        <v>42630</v>
      </c>
      <c r="M6706" t="s">
        <v>45303</v>
      </c>
      <c r="N6706" t="s">
        <v>47304</v>
      </c>
      <c r="O6706" t="s">
        <v>47305</v>
      </c>
      <c r="P6706">
        <v>0</v>
      </c>
      <c r="Q6706">
        <v>0</v>
      </c>
      <c r="R6706" t="s">
        <v>47311</v>
      </c>
      <c r="S6706" t="s">
        <v>47443</v>
      </c>
      <c r="T6706" t="s">
        <v>48987</v>
      </c>
      <c r="U6706" t="s">
        <v>55056</v>
      </c>
      <c r="W6706" t="s">
        <v>45303</v>
      </c>
      <c r="X6706" t="s">
        <v>47312</v>
      </c>
    </row>
    <row r="6707" spans="1:24">
      <c r="A6707">
        <f>HYPERLINK("https://www.philgeps.gov.ph/GEPSNONPILOT/Tender/SplashBidNoticeAbstractUI.aspx?menuIndex=3&amp;refID=7190751&amp;Result=3","7190751")</f>
        <v>0</v>
      </c>
      <c r="B6707" t="s">
        <v>1435</v>
      </c>
      <c r="C6707" t="s">
        <v>7010</v>
      </c>
      <c r="D6707" t="s">
        <v>19025</v>
      </c>
      <c r="E6707" t="s">
        <v>24929</v>
      </c>
      <c r="F6707" t="s">
        <v>32606</v>
      </c>
      <c r="G6707" t="s">
        <v>32614</v>
      </c>
      <c r="H6707" t="s">
        <v>14201</v>
      </c>
      <c r="I6707" t="s">
        <v>32633</v>
      </c>
      <c r="J6707" t="s">
        <v>37054</v>
      </c>
      <c r="K6707" t="s">
        <v>42629</v>
      </c>
      <c r="M6707" t="s">
        <v>45300</v>
      </c>
      <c r="N6707" t="s">
        <v>47304</v>
      </c>
      <c r="O6707" t="s">
        <v>47305</v>
      </c>
      <c r="P6707">
        <v>0</v>
      </c>
      <c r="Q6707">
        <v>2</v>
      </c>
      <c r="R6707" t="s">
        <v>47311</v>
      </c>
      <c r="S6707" t="s">
        <v>47443</v>
      </c>
      <c r="T6707" t="s">
        <v>49071</v>
      </c>
      <c r="U6707" t="s">
        <v>55149</v>
      </c>
      <c r="W6707" t="s">
        <v>45300</v>
      </c>
      <c r="X6707" t="s">
        <v>47312</v>
      </c>
    </row>
    <row r="6708" spans="1:24">
      <c r="A6708">
        <f>HYPERLINK("https://www.philgeps.gov.ph/GEPSNONPILOT/Tender/SplashBidNoticeAbstractUI.aspx?menuIndex=3&amp;refID=7190800&amp;Result=3","7190800")</f>
        <v>0</v>
      </c>
      <c r="B6708" t="s">
        <v>1529</v>
      </c>
      <c r="C6708" t="s">
        <v>10158</v>
      </c>
      <c r="D6708" t="s">
        <v>18993</v>
      </c>
      <c r="E6708" t="s">
        <v>24930</v>
      </c>
      <c r="F6708" t="s">
        <v>32606</v>
      </c>
      <c r="G6708" t="s">
        <v>32614</v>
      </c>
      <c r="H6708" t="s">
        <v>14201</v>
      </c>
      <c r="I6708" t="s">
        <v>13131</v>
      </c>
      <c r="J6708" t="s">
        <v>32949</v>
      </c>
      <c r="K6708" t="s">
        <v>42623</v>
      </c>
      <c r="M6708" t="s">
        <v>44532</v>
      </c>
      <c r="N6708" t="s">
        <v>47304</v>
      </c>
      <c r="O6708" t="s">
        <v>47305</v>
      </c>
      <c r="P6708">
        <v>0</v>
      </c>
      <c r="Q6708">
        <v>9</v>
      </c>
      <c r="R6708" t="s">
        <v>47311</v>
      </c>
      <c r="S6708" t="s">
        <v>47443</v>
      </c>
      <c r="T6708" t="s">
        <v>49041</v>
      </c>
      <c r="U6708" t="s">
        <v>52911</v>
      </c>
      <c r="W6708" t="s">
        <v>44532</v>
      </c>
      <c r="X6708" t="s">
        <v>47312</v>
      </c>
    </row>
    <row r="6709" spans="1:24">
      <c r="A6709">
        <f>HYPERLINK("https://www.philgeps.gov.ph/GEPSNONPILOT/Tender/SplashBidNoticeAbstractUI.aspx?menuIndex=3&amp;refID=7190819&amp;Result=3","7190819")</f>
        <v>0</v>
      </c>
      <c r="B6709" t="s">
        <v>2227</v>
      </c>
      <c r="C6709" t="s">
        <v>10159</v>
      </c>
      <c r="D6709" t="s">
        <v>18988</v>
      </c>
      <c r="E6709" t="s">
        <v>24931</v>
      </c>
      <c r="F6709" t="s">
        <v>32606</v>
      </c>
      <c r="G6709" t="s">
        <v>32614</v>
      </c>
      <c r="H6709" t="s">
        <v>32624</v>
      </c>
      <c r="I6709" t="s">
        <v>32652</v>
      </c>
      <c r="J6709" t="s">
        <v>32885</v>
      </c>
      <c r="K6709" t="s">
        <v>42665</v>
      </c>
      <c r="M6709" t="s">
        <v>45331</v>
      </c>
      <c r="N6709" t="s">
        <v>47304</v>
      </c>
      <c r="O6709" t="s">
        <v>47305</v>
      </c>
      <c r="Q6709">
        <v>0</v>
      </c>
      <c r="R6709" t="s">
        <v>47311</v>
      </c>
      <c r="S6709" t="s">
        <v>47464</v>
      </c>
      <c r="T6709" t="s">
        <v>49050</v>
      </c>
      <c r="U6709" t="s">
        <v>55150</v>
      </c>
      <c r="W6709" t="s">
        <v>45331</v>
      </c>
      <c r="X6709" t="s">
        <v>47312</v>
      </c>
    </row>
    <row r="6710" spans="1:24">
      <c r="A6710">
        <f>HYPERLINK("https://www.philgeps.gov.ph/GEPSNONPILOT/Tender/SplashBidNoticeAbstractUI.aspx?menuIndex=3&amp;refID=7190830&amp;Result=3","7190830")</f>
        <v>0</v>
      </c>
      <c r="B6710" t="s">
        <v>2221</v>
      </c>
      <c r="C6710" t="s">
        <v>10160</v>
      </c>
      <c r="D6710" t="s">
        <v>19007</v>
      </c>
      <c r="E6710" t="s">
        <v>24932</v>
      </c>
      <c r="F6710" t="s">
        <v>32606</v>
      </c>
      <c r="G6710" t="s">
        <v>32613</v>
      </c>
      <c r="H6710" t="s">
        <v>32623</v>
      </c>
      <c r="I6710" t="s">
        <v>17648</v>
      </c>
      <c r="J6710" t="s">
        <v>37055</v>
      </c>
      <c r="K6710" t="s">
        <v>42651</v>
      </c>
      <c r="L6710" t="s">
        <v>2221</v>
      </c>
      <c r="M6710" t="s">
        <v>45325</v>
      </c>
      <c r="N6710" t="s">
        <v>47304</v>
      </c>
      <c r="O6710" t="s">
        <v>47305</v>
      </c>
      <c r="P6710">
        <v>0</v>
      </c>
      <c r="Q6710">
        <v>1</v>
      </c>
      <c r="R6710" t="s">
        <v>47311</v>
      </c>
      <c r="S6710" t="s">
        <v>47443</v>
      </c>
      <c r="T6710" t="s">
        <v>49037</v>
      </c>
      <c r="U6710" t="s">
        <v>50524</v>
      </c>
      <c r="W6710" t="s">
        <v>45325</v>
      </c>
      <c r="X6710" t="s">
        <v>47312</v>
      </c>
    </row>
    <row r="6711" spans="1:24">
      <c r="A6711">
        <f>HYPERLINK("https://www.philgeps.gov.ph/GEPSNONPILOT/Tender/SplashBidNoticeAbstractUI.aspx?menuIndex=3&amp;refID=7190866&amp;Result=3","7190866")</f>
        <v>0</v>
      </c>
      <c r="B6711" t="s">
        <v>2202</v>
      </c>
      <c r="C6711" t="s">
        <v>10161</v>
      </c>
      <c r="D6711" t="s">
        <v>19001</v>
      </c>
      <c r="E6711" t="s">
        <v>24933</v>
      </c>
      <c r="F6711" t="s">
        <v>32606</v>
      </c>
      <c r="G6711" t="s">
        <v>32613</v>
      </c>
      <c r="H6711" t="s">
        <v>14201</v>
      </c>
      <c r="I6711" t="s">
        <v>6931</v>
      </c>
      <c r="J6711" t="s">
        <v>37056</v>
      </c>
      <c r="K6711" t="s">
        <v>42630</v>
      </c>
      <c r="M6711" t="s">
        <v>45306</v>
      </c>
      <c r="N6711" t="s">
        <v>47304</v>
      </c>
      <c r="O6711" t="s">
        <v>47305</v>
      </c>
      <c r="P6711">
        <v>0</v>
      </c>
      <c r="Q6711">
        <v>0</v>
      </c>
      <c r="R6711" t="s">
        <v>47311</v>
      </c>
      <c r="S6711" t="s">
        <v>47443</v>
      </c>
      <c r="T6711" t="s">
        <v>49348</v>
      </c>
      <c r="U6711" t="s">
        <v>55151</v>
      </c>
      <c r="W6711" t="s">
        <v>45306</v>
      </c>
      <c r="X6711" t="s">
        <v>47312</v>
      </c>
    </row>
    <row r="6712" spans="1:24">
      <c r="A6712">
        <f>HYPERLINK("https://www.philgeps.gov.ph/GEPSNONPILOT/Tender/SplashBidNoticeAbstractUI.aspx?menuIndex=3&amp;refID=7190822&amp;Result=3","7190822")</f>
        <v>0</v>
      </c>
      <c r="B6712" t="s">
        <v>253</v>
      </c>
      <c r="C6712" t="s">
        <v>10050</v>
      </c>
      <c r="D6712" t="s">
        <v>19043</v>
      </c>
      <c r="E6712" t="s">
        <v>24934</v>
      </c>
      <c r="F6712" t="s">
        <v>32606</v>
      </c>
      <c r="G6712" t="s">
        <v>32614</v>
      </c>
      <c r="H6712" t="s">
        <v>14201</v>
      </c>
      <c r="I6712" t="s">
        <v>4112</v>
      </c>
      <c r="J6712" t="s">
        <v>37057</v>
      </c>
      <c r="K6712" t="s">
        <v>42622</v>
      </c>
      <c r="M6712" t="s">
        <v>43154</v>
      </c>
      <c r="N6712" t="s">
        <v>47304</v>
      </c>
      <c r="O6712" t="s">
        <v>47305</v>
      </c>
      <c r="P6712">
        <v>0</v>
      </c>
      <c r="Q6712">
        <v>1</v>
      </c>
      <c r="R6712" t="s">
        <v>47311</v>
      </c>
      <c r="S6712" t="s">
        <v>47443</v>
      </c>
      <c r="T6712" t="s">
        <v>49023</v>
      </c>
      <c r="U6712" t="s">
        <v>55152</v>
      </c>
      <c r="W6712" t="s">
        <v>43154</v>
      </c>
      <c r="X6712" t="s">
        <v>47312</v>
      </c>
    </row>
    <row r="6713" spans="1:24">
      <c r="A6713">
        <f>HYPERLINK("https://www.philgeps.gov.ph/GEPSNONPILOT/Tender/SplashBidNoticeAbstractUI.aspx?menuIndex=3&amp;refID=7190864&amp;Result=3","7190864")</f>
        <v>0</v>
      </c>
      <c r="B6713" t="s">
        <v>2228</v>
      </c>
      <c r="C6713" t="s">
        <v>10162</v>
      </c>
      <c r="D6713" t="s">
        <v>19014</v>
      </c>
      <c r="E6713" t="s">
        <v>24935</v>
      </c>
      <c r="F6713" t="s">
        <v>32606</v>
      </c>
      <c r="G6713" t="s">
        <v>32614</v>
      </c>
      <c r="H6713" t="s">
        <v>14201</v>
      </c>
      <c r="I6713" t="s">
        <v>4114</v>
      </c>
      <c r="J6713" t="s">
        <v>34019</v>
      </c>
      <c r="K6713" t="s">
        <v>42631</v>
      </c>
      <c r="M6713" t="s">
        <v>45332</v>
      </c>
      <c r="N6713" t="s">
        <v>47304</v>
      </c>
      <c r="O6713" t="s">
        <v>47305</v>
      </c>
      <c r="P6713">
        <v>0</v>
      </c>
      <c r="Q6713">
        <v>3</v>
      </c>
      <c r="R6713" t="s">
        <v>47311</v>
      </c>
      <c r="S6713" t="s">
        <v>47443</v>
      </c>
      <c r="T6713" t="s">
        <v>49268</v>
      </c>
      <c r="U6713" t="s">
        <v>55153</v>
      </c>
      <c r="W6713" t="s">
        <v>45332</v>
      </c>
      <c r="X6713" t="s">
        <v>47312</v>
      </c>
    </row>
    <row r="6714" spans="1:24">
      <c r="A6714">
        <f>HYPERLINK("https://www.philgeps.gov.ph/GEPSNONPILOT/Tender/SplashBidNoticeAbstractUI.aspx?menuIndex=3&amp;refID=7188566&amp;Result=3","7188566")</f>
        <v>0</v>
      </c>
      <c r="B6714" t="s">
        <v>844</v>
      </c>
      <c r="C6714" t="s">
        <v>10163</v>
      </c>
      <c r="D6714" t="s">
        <v>19056</v>
      </c>
      <c r="E6714" t="s">
        <v>24936</v>
      </c>
      <c r="F6714" t="s">
        <v>32606</v>
      </c>
      <c r="G6714" t="s">
        <v>32613</v>
      </c>
      <c r="H6714" t="s">
        <v>32623</v>
      </c>
      <c r="I6714" t="s">
        <v>17648</v>
      </c>
      <c r="J6714" t="s">
        <v>37058</v>
      </c>
      <c r="K6714" t="s">
        <v>42700</v>
      </c>
      <c r="L6714" t="s">
        <v>844</v>
      </c>
      <c r="M6714" t="s">
        <v>43776</v>
      </c>
      <c r="N6714" t="s">
        <v>47304</v>
      </c>
      <c r="O6714" t="s">
        <v>47305</v>
      </c>
      <c r="P6714">
        <v>0</v>
      </c>
      <c r="Q6714">
        <v>0</v>
      </c>
      <c r="R6714" t="s">
        <v>47311</v>
      </c>
      <c r="S6714" t="s">
        <v>47443</v>
      </c>
      <c r="T6714" t="s">
        <v>49157</v>
      </c>
      <c r="U6714" t="s">
        <v>55154</v>
      </c>
      <c r="V6714" t="s">
        <v>63249</v>
      </c>
      <c r="W6714" t="s">
        <v>43776</v>
      </c>
      <c r="X6714" t="s">
        <v>47313</v>
      </c>
    </row>
    <row r="6715" spans="1:24">
      <c r="A6715">
        <f>HYPERLINK("https://www.philgeps.gov.ph/GEPSNONPILOT/Tender/SplashBidNoticeAbstractUI.aspx?menuIndex=3&amp;refID=7190482&amp;Result=3","7190482")</f>
        <v>0</v>
      </c>
      <c r="B6715" t="s">
        <v>644</v>
      </c>
      <c r="C6715" t="s">
        <v>10164</v>
      </c>
      <c r="D6715" t="s">
        <v>19022</v>
      </c>
      <c r="E6715" t="s">
        <v>10164</v>
      </c>
      <c r="F6715" t="s">
        <v>32606</v>
      </c>
      <c r="G6715" t="s">
        <v>32614</v>
      </c>
      <c r="H6715" t="s">
        <v>14201</v>
      </c>
      <c r="I6715" t="s">
        <v>32692</v>
      </c>
      <c r="J6715" t="s">
        <v>37059</v>
      </c>
      <c r="K6715" t="s">
        <v>42624</v>
      </c>
      <c r="M6715" t="s">
        <v>44072</v>
      </c>
      <c r="N6715" t="s">
        <v>47304</v>
      </c>
      <c r="O6715" t="s">
        <v>47305</v>
      </c>
      <c r="P6715">
        <v>0</v>
      </c>
      <c r="Q6715">
        <v>0</v>
      </c>
      <c r="R6715" t="s">
        <v>47311</v>
      </c>
      <c r="S6715" t="s">
        <v>47443</v>
      </c>
      <c r="T6715" t="s">
        <v>49331</v>
      </c>
      <c r="U6715" t="s">
        <v>55155</v>
      </c>
      <c r="W6715" t="s">
        <v>44072</v>
      </c>
      <c r="X6715" t="s">
        <v>47312</v>
      </c>
    </row>
    <row r="6716" spans="1:24">
      <c r="A6716">
        <f>HYPERLINK("https://www.philgeps.gov.ph/GEPSNONPILOT/Tender/SplashBidNoticeAbstractUI.aspx?menuIndex=3&amp;refID=7190861&amp;Result=3","7190861")</f>
        <v>0</v>
      </c>
      <c r="B6716" t="s">
        <v>2229</v>
      </c>
      <c r="C6716" t="s">
        <v>10165</v>
      </c>
      <c r="D6716" t="s">
        <v>19044</v>
      </c>
      <c r="E6716" t="s">
        <v>24650</v>
      </c>
      <c r="F6716" t="s">
        <v>32606</v>
      </c>
      <c r="G6716" t="s">
        <v>32613</v>
      </c>
      <c r="H6716" t="s">
        <v>14201</v>
      </c>
      <c r="I6716" t="s">
        <v>6931</v>
      </c>
      <c r="J6716" t="s">
        <v>37060</v>
      </c>
      <c r="K6716" t="s">
        <v>42622</v>
      </c>
      <c r="M6716" t="s">
        <v>45333</v>
      </c>
      <c r="N6716" t="s">
        <v>47304</v>
      </c>
      <c r="O6716" t="s">
        <v>47305</v>
      </c>
      <c r="Q6716">
        <v>0</v>
      </c>
      <c r="R6716" t="s">
        <v>47311</v>
      </c>
      <c r="S6716" t="s">
        <v>47465</v>
      </c>
      <c r="T6716" t="s">
        <v>48980</v>
      </c>
      <c r="U6716" t="s">
        <v>55156</v>
      </c>
      <c r="W6716" t="s">
        <v>45333</v>
      </c>
      <c r="X6716" t="s">
        <v>47312</v>
      </c>
    </row>
    <row r="6717" spans="1:24">
      <c r="A6717">
        <f>HYPERLINK("https://www.philgeps.gov.ph/GEPSNONPILOT/Tender/SplashBidNoticeAbstractUI.aspx?menuIndex=3&amp;refID=7190860&amp;Result=3","7190860")</f>
        <v>0</v>
      </c>
      <c r="B6717" t="s">
        <v>81</v>
      </c>
      <c r="C6717" t="s">
        <v>10166</v>
      </c>
      <c r="D6717" t="s">
        <v>18995</v>
      </c>
      <c r="E6717" t="s">
        <v>24937</v>
      </c>
      <c r="F6717" t="s">
        <v>32606</v>
      </c>
      <c r="G6717" t="s">
        <v>32613</v>
      </c>
      <c r="H6717" t="s">
        <v>14201</v>
      </c>
      <c r="I6717" t="s">
        <v>6931</v>
      </c>
      <c r="J6717" t="s">
        <v>37061</v>
      </c>
      <c r="K6717" t="s">
        <v>42624</v>
      </c>
      <c r="M6717" t="s">
        <v>42978</v>
      </c>
      <c r="N6717" t="s">
        <v>47304</v>
      </c>
      <c r="O6717" t="s">
        <v>47305</v>
      </c>
      <c r="P6717">
        <v>0</v>
      </c>
      <c r="Q6717">
        <v>1</v>
      </c>
      <c r="R6717" t="s">
        <v>47311</v>
      </c>
      <c r="S6717" t="s">
        <v>47443</v>
      </c>
      <c r="T6717" t="s">
        <v>49080</v>
      </c>
      <c r="U6717" t="s">
        <v>55157</v>
      </c>
      <c r="W6717" t="s">
        <v>42978</v>
      </c>
      <c r="X6717" t="s">
        <v>47312</v>
      </c>
    </row>
    <row r="6718" spans="1:24">
      <c r="A6718">
        <f>HYPERLINK("https://www.philgeps.gov.ph/GEPSNONPILOT/Tender/SplashBidNoticeAbstractUI.aspx?menuIndex=3&amp;refID=7190797&amp;Result=3","7190797")</f>
        <v>0</v>
      </c>
      <c r="B6718" t="s">
        <v>1043</v>
      </c>
      <c r="C6718" t="s">
        <v>10167</v>
      </c>
      <c r="D6718" t="s">
        <v>19012</v>
      </c>
      <c r="E6718" t="s">
        <v>24938</v>
      </c>
      <c r="F6718" t="s">
        <v>32606</v>
      </c>
      <c r="G6718" t="s">
        <v>32613</v>
      </c>
      <c r="H6718" t="s">
        <v>32625</v>
      </c>
      <c r="I6718" t="s">
        <v>32625</v>
      </c>
      <c r="J6718" t="s">
        <v>37062</v>
      </c>
      <c r="K6718" t="s">
        <v>42717</v>
      </c>
      <c r="M6718" t="s">
        <v>45299</v>
      </c>
      <c r="N6718" t="s">
        <v>47304</v>
      </c>
      <c r="O6718" t="s">
        <v>47305</v>
      </c>
      <c r="P6718">
        <v>0</v>
      </c>
      <c r="Q6718">
        <v>3</v>
      </c>
      <c r="R6718" t="s">
        <v>47311</v>
      </c>
      <c r="S6718" t="s">
        <v>47443</v>
      </c>
      <c r="T6718" t="s">
        <v>49001</v>
      </c>
      <c r="U6718" t="s">
        <v>55158</v>
      </c>
      <c r="W6718" t="s">
        <v>45299</v>
      </c>
      <c r="X6718" t="s">
        <v>47312</v>
      </c>
    </row>
    <row r="6719" spans="1:24">
      <c r="A6719">
        <f>HYPERLINK("https://www.philgeps.gov.ph/GEPSNONPILOT/Tender/SplashBidNoticeAbstractUI.aspx?menuIndex=3&amp;refID=7190856&amp;Result=3","7190856")</f>
        <v>0</v>
      </c>
      <c r="B6719" t="s">
        <v>2230</v>
      </c>
      <c r="C6719" t="s">
        <v>10168</v>
      </c>
      <c r="D6719" t="s">
        <v>19040</v>
      </c>
      <c r="E6719" t="s">
        <v>20114</v>
      </c>
      <c r="F6719" t="s">
        <v>32606</v>
      </c>
      <c r="G6719" t="s">
        <v>32614</v>
      </c>
      <c r="H6719" t="s">
        <v>14201</v>
      </c>
      <c r="I6719" t="s">
        <v>32640</v>
      </c>
      <c r="J6719" t="s">
        <v>35902</v>
      </c>
      <c r="K6719" t="s">
        <v>42622</v>
      </c>
      <c r="M6719" t="s">
        <v>45334</v>
      </c>
      <c r="N6719" t="s">
        <v>47304</v>
      </c>
      <c r="O6719" t="s">
        <v>47305</v>
      </c>
      <c r="P6719">
        <v>0</v>
      </c>
      <c r="Q6719">
        <v>1</v>
      </c>
      <c r="R6719" t="s">
        <v>47311</v>
      </c>
      <c r="S6719" t="s">
        <v>47443</v>
      </c>
      <c r="T6719" t="s">
        <v>49268</v>
      </c>
      <c r="U6719" t="s">
        <v>55159</v>
      </c>
      <c r="V6719" t="s">
        <v>63295</v>
      </c>
      <c r="W6719" t="s">
        <v>45334</v>
      </c>
      <c r="X6719" t="s">
        <v>47312</v>
      </c>
    </row>
    <row r="6720" spans="1:24">
      <c r="A6720">
        <f>HYPERLINK("https://www.philgeps.gov.ph/GEPSNONPILOT/Tender/SplashBidNoticeAbstractUI.aspx?menuIndex=3&amp;refID=7190802&amp;Result=3","7190802")</f>
        <v>0</v>
      </c>
      <c r="B6720" t="s">
        <v>2231</v>
      </c>
      <c r="C6720" t="s">
        <v>10169</v>
      </c>
      <c r="D6720" t="s">
        <v>19003</v>
      </c>
      <c r="E6720" t="s">
        <v>24939</v>
      </c>
      <c r="F6720" t="s">
        <v>32607</v>
      </c>
      <c r="G6720" t="s">
        <v>32614</v>
      </c>
      <c r="H6720" t="s">
        <v>14201</v>
      </c>
      <c r="I6720" t="s">
        <v>4120</v>
      </c>
      <c r="J6720" t="s">
        <v>37063</v>
      </c>
      <c r="K6720" t="s">
        <v>42629</v>
      </c>
      <c r="L6720" t="s">
        <v>2231</v>
      </c>
      <c r="M6720" t="s">
        <v>45335</v>
      </c>
      <c r="N6720" t="s">
        <v>47304</v>
      </c>
      <c r="O6720" t="s">
        <v>47305</v>
      </c>
      <c r="P6720">
        <v>0</v>
      </c>
      <c r="Q6720">
        <v>1</v>
      </c>
      <c r="R6720" t="s">
        <v>47311</v>
      </c>
      <c r="S6720" t="s">
        <v>47443</v>
      </c>
      <c r="T6720" t="s">
        <v>48975</v>
      </c>
      <c r="U6720" t="s">
        <v>55160</v>
      </c>
      <c r="W6720" t="s">
        <v>45335</v>
      </c>
      <c r="X6720" t="s">
        <v>47312</v>
      </c>
    </row>
    <row r="6721" spans="1:24">
      <c r="A6721">
        <f>HYPERLINK("https://www.philgeps.gov.ph/GEPSNONPILOT/Tender/SplashBidNoticeAbstractUI.aspx?menuIndex=3&amp;refID=7190844&amp;Result=3","7190844")</f>
        <v>0</v>
      </c>
      <c r="B6721" t="s">
        <v>770</v>
      </c>
      <c r="C6721" t="s">
        <v>10170</v>
      </c>
      <c r="D6721" t="s">
        <v>19009</v>
      </c>
      <c r="E6721" t="s">
        <v>24940</v>
      </c>
      <c r="F6721" t="s">
        <v>32606</v>
      </c>
      <c r="G6721" t="s">
        <v>32613</v>
      </c>
      <c r="H6721" t="s">
        <v>14201</v>
      </c>
      <c r="I6721" t="s">
        <v>32662</v>
      </c>
      <c r="J6721" t="s">
        <v>37064</v>
      </c>
      <c r="K6721" t="s">
        <v>42636</v>
      </c>
      <c r="M6721" t="s">
        <v>43697</v>
      </c>
      <c r="N6721" t="s">
        <v>47304</v>
      </c>
      <c r="O6721" t="s">
        <v>47305</v>
      </c>
      <c r="Q6721">
        <v>35</v>
      </c>
      <c r="R6721" t="s">
        <v>47311</v>
      </c>
      <c r="S6721" t="s">
        <v>47466</v>
      </c>
      <c r="T6721" t="s">
        <v>49157</v>
      </c>
      <c r="U6721" t="s">
        <v>55161</v>
      </c>
      <c r="V6721" t="s">
        <v>63296</v>
      </c>
      <c r="W6721" t="s">
        <v>43697</v>
      </c>
      <c r="X6721" t="s">
        <v>47312</v>
      </c>
    </row>
    <row r="6722" spans="1:24">
      <c r="A6722">
        <f>HYPERLINK("https://www.philgeps.gov.ph/GEPSNONPILOT/Tender/SplashBidNoticeAbstractUI.aspx?menuIndex=3&amp;refID=7190842&amp;Result=3","7190842")</f>
        <v>0</v>
      </c>
      <c r="B6722" t="s">
        <v>1682</v>
      </c>
      <c r="C6722" t="s">
        <v>10171</v>
      </c>
      <c r="D6722" t="s">
        <v>19054</v>
      </c>
      <c r="E6722" t="s">
        <v>24941</v>
      </c>
      <c r="F6722" t="s">
        <v>32606</v>
      </c>
      <c r="G6722" t="s">
        <v>32615</v>
      </c>
      <c r="H6722" t="s">
        <v>14201</v>
      </c>
      <c r="I6722" t="s">
        <v>6931</v>
      </c>
      <c r="J6722" t="s">
        <v>37065</v>
      </c>
      <c r="K6722" t="s">
        <v>42636</v>
      </c>
      <c r="M6722" t="s">
        <v>44711</v>
      </c>
      <c r="N6722" t="s">
        <v>47304</v>
      </c>
      <c r="O6722" t="s">
        <v>47305</v>
      </c>
      <c r="P6722">
        <v>0</v>
      </c>
      <c r="Q6722">
        <v>0</v>
      </c>
      <c r="R6722" t="s">
        <v>47311</v>
      </c>
      <c r="S6722" t="s">
        <v>47443</v>
      </c>
      <c r="T6722" t="s">
        <v>49027</v>
      </c>
      <c r="U6722" t="s">
        <v>55162</v>
      </c>
      <c r="V6722" t="s">
        <v>63077</v>
      </c>
      <c r="W6722" t="s">
        <v>44711</v>
      </c>
      <c r="X6722" t="s">
        <v>47312</v>
      </c>
    </row>
    <row r="6723" spans="1:24">
      <c r="A6723">
        <f>HYPERLINK("https://www.philgeps.gov.ph/GEPSNONPILOT/Tender/SplashBidNoticeAbstractUI.aspx?menuIndex=3&amp;refID=7190839&amp;Result=3","7190839")</f>
        <v>0</v>
      </c>
      <c r="B6723" t="s">
        <v>2232</v>
      </c>
      <c r="C6723" t="s">
        <v>10172</v>
      </c>
      <c r="D6723" t="s">
        <v>19038</v>
      </c>
      <c r="E6723" t="s">
        <v>21942</v>
      </c>
      <c r="F6723" t="s">
        <v>32606</v>
      </c>
      <c r="G6723" t="s">
        <v>32613</v>
      </c>
      <c r="H6723" t="s">
        <v>14201</v>
      </c>
      <c r="I6723" t="s">
        <v>32648</v>
      </c>
      <c r="J6723" t="s">
        <v>32949</v>
      </c>
      <c r="K6723" t="s">
        <v>42624</v>
      </c>
      <c r="M6723" t="s">
        <v>45336</v>
      </c>
      <c r="N6723" t="s">
        <v>47304</v>
      </c>
      <c r="O6723" t="s">
        <v>47305</v>
      </c>
      <c r="P6723">
        <v>0</v>
      </c>
      <c r="Q6723">
        <v>0</v>
      </c>
      <c r="R6723" t="s">
        <v>47311</v>
      </c>
      <c r="S6723" t="s">
        <v>47443</v>
      </c>
      <c r="T6723" t="s">
        <v>49196</v>
      </c>
      <c r="U6723" t="s">
        <v>55163</v>
      </c>
      <c r="W6723" t="s">
        <v>45336</v>
      </c>
      <c r="X6723" t="s">
        <v>47312</v>
      </c>
    </row>
    <row r="6724" spans="1:24">
      <c r="A6724">
        <f>HYPERLINK("https://www.philgeps.gov.ph/GEPSNONPILOT/Tender/SplashBidNoticeAbstractUI.aspx?menuIndex=3&amp;refID=7190837&amp;Result=3","7190837")</f>
        <v>0</v>
      </c>
      <c r="B6724" t="s">
        <v>2233</v>
      </c>
      <c r="C6724" t="s">
        <v>10173</v>
      </c>
      <c r="D6724" t="s">
        <v>19010</v>
      </c>
      <c r="E6724" t="s">
        <v>24942</v>
      </c>
      <c r="F6724" t="s">
        <v>32606</v>
      </c>
      <c r="G6724" t="s">
        <v>32613</v>
      </c>
      <c r="H6724" t="s">
        <v>32624</v>
      </c>
      <c r="I6724" t="s">
        <v>32661</v>
      </c>
      <c r="J6724" t="s">
        <v>32923</v>
      </c>
      <c r="K6724" t="s">
        <v>42622</v>
      </c>
      <c r="M6724" t="s">
        <v>45337</v>
      </c>
      <c r="N6724" t="s">
        <v>47304</v>
      </c>
      <c r="O6724" t="s">
        <v>47305</v>
      </c>
      <c r="P6724">
        <v>0</v>
      </c>
      <c r="Q6724">
        <v>0</v>
      </c>
      <c r="R6724" t="s">
        <v>47311</v>
      </c>
      <c r="S6724" t="s">
        <v>47443</v>
      </c>
      <c r="T6724" t="s">
        <v>49075</v>
      </c>
      <c r="U6724" t="s">
        <v>55164</v>
      </c>
      <c r="W6724" t="s">
        <v>45337</v>
      </c>
      <c r="X6724" t="s">
        <v>47312</v>
      </c>
    </row>
    <row r="6725" spans="1:24">
      <c r="A6725">
        <f>HYPERLINK("https://www.philgeps.gov.ph/GEPSNONPILOT/Tender/SplashBidNoticeAbstractUI.aspx?menuIndex=3&amp;refID=7190834&amp;Result=3","7190834")</f>
        <v>0</v>
      </c>
      <c r="B6725" t="s">
        <v>1661</v>
      </c>
      <c r="C6725" t="s">
        <v>10174</v>
      </c>
      <c r="D6725" t="s">
        <v>19007</v>
      </c>
      <c r="E6725" t="s">
        <v>23622</v>
      </c>
      <c r="F6725" t="s">
        <v>32606</v>
      </c>
      <c r="G6725" t="s">
        <v>32619</v>
      </c>
      <c r="H6725" t="s">
        <v>14201</v>
      </c>
      <c r="I6725" t="s">
        <v>32633</v>
      </c>
      <c r="J6725" t="s">
        <v>33189</v>
      </c>
      <c r="K6725" t="s">
        <v>42629</v>
      </c>
      <c r="M6725" t="s">
        <v>44686</v>
      </c>
      <c r="N6725" t="s">
        <v>47304</v>
      </c>
      <c r="O6725" t="s">
        <v>47305</v>
      </c>
      <c r="P6725">
        <v>0</v>
      </c>
      <c r="Q6725">
        <v>7</v>
      </c>
      <c r="R6725" t="s">
        <v>47311</v>
      </c>
      <c r="S6725" t="s">
        <v>47443</v>
      </c>
      <c r="T6725" t="s">
        <v>49327</v>
      </c>
      <c r="U6725" t="s">
        <v>55165</v>
      </c>
      <c r="V6725" t="s">
        <v>63297</v>
      </c>
      <c r="W6725" t="s">
        <v>44686</v>
      </c>
      <c r="X6725" t="s">
        <v>47312</v>
      </c>
    </row>
    <row r="6726" spans="1:24">
      <c r="A6726">
        <f>HYPERLINK("https://www.philgeps.gov.ph/GEPSNONPILOT/Tender/SplashBidNoticeAbstractUI.aspx?menuIndex=3&amp;refID=7190847&amp;Result=3","7190847")</f>
        <v>0</v>
      </c>
      <c r="B6726" t="s">
        <v>2229</v>
      </c>
      <c r="C6726" t="s">
        <v>10175</v>
      </c>
      <c r="D6726" t="s">
        <v>19044</v>
      </c>
      <c r="E6726" t="s">
        <v>23858</v>
      </c>
      <c r="F6726" t="s">
        <v>32606</v>
      </c>
      <c r="G6726" t="s">
        <v>32613</v>
      </c>
      <c r="H6726" t="s">
        <v>14201</v>
      </c>
      <c r="I6726" t="s">
        <v>6931</v>
      </c>
      <c r="J6726" t="s">
        <v>37066</v>
      </c>
      <c r="K6726" t="s">
        <v>42622</v>
      </c>
      <c r="M6726" t="s">
        <v>45333</v>
      </c>
      <c r="N6726" t="s">
        <v>47304</v>
      </c>
      <c r="O6726" t="s">
        <v>47305</v>
      </c>
      <c r="Q6726">
        <v>0</v>
      </c>
      <c r="R6726" t="s">
        <v>47311</v>
      </c>
      <c r="S6726" t="s">
        <v>47467</v>
      </c>
      <c r="T6726" t="s">
        <v>48980</v>
      </c>
      <c r="U6726" t="s">
        <v>55166</v>
      </c>
      <c r="W6726" t="s">
        <v>45333</v>
      </c>
      <c r="X6726" t="s">
        <v>47312</v>
      </c>
    </row>
    <row r="6727" spans="1:24">
      <c r="A6727">
        <f>HYPERLINK("https://www.philgeps.gov.ph/GEPSNONPILOT/Tender/SplashBidNoticeAbstractUI.aspx?menuIndex=3&amp;refID=7190833&amp;Result=3","7190833")</f>
        <v>0</v>
      </c>
      <c r="B6727" t="s">
        <v>2212</v>
      </c>
      <c r="C6727" t="s">
        <v>10176</v>
      </c>
      <c r="D6727" t="s">
        <v>18994</v>
      </c>
      <c r="E6727" t="s">
        <v>24943</v>
      </c>
      <c r="F6727" t="s">
        <v>32606</v>
      </c>
      <c r="G6727" t="s">
        <v>32613</v>
      </c>
      <c r="H6727" t="s">
        <v>14201</v>
      </c>
      <c r="I6727" t="s">
        <v>6931</v>
      </c>
      <c r="J6727" t="s">
        <v>37067</v>
      </c>
      <c r="K6727" t="s">
        <v>42631</v>
      </c>
      <c r="M6727" t="s">
        <v>45316</v>
      </c>
      <c r="N6727" t="s">
        <v>47304</v>
      </c>
      <c r="O6727" t="s">
        <v>47305</v>
      </c>
      <c r="P6727">
        <v>0</v>
      </c>
      <c r="Q6727">
        <v>2</v>
      </c>
      <c r="R6727" t="s">
        <v>47311</v>
      </c>
      <c r="S6727" t="s">
        <v>47443</v>
      </c>
      <c r="T6727" t="s">
        <v>49354</v>
      </c>
      <c r="U6727" t="s">
        <v>55167</v>
      </c>
      <c r="W6727" t="s">
        <v>45316</v>
      </c>
      <c r="X6727" t="s">
        <v>47312</v>
      </c>
    </row>
    <row r="6728" spans="1:24">
      <c r="A6728">
        <f>HYPERLINK("https://www.philgeps.gov.ph/GEPSNONPILOT/Tender/SplashBidNoticeAbstractUI.aspx?menuIndex=3&amp;refID=7190106&amp;Result=3","7190106")</f>
        <v>0</v>
      </c>
      <c r="B6728" t="s">
        <v>1535</v>
      </c>
      <c r="C6728" t="s">
        <v>10177</v>
      </c>
      <c r="D6728" t="s">
        <v>18993</v>
      </c>
      <c r="E6728" t="s">
        <v>24944</v>
      </c>
      <c r="F6728" t="s">
        <v>32606</v>
      </c>
      <c r="G6728" t="s">
        <v>32619</v>
      </c>
      <c r="H6728" t="s">
        <v>14201</v>
      </c>
      <c r="I6728" t="s">
        <v>32634</v>
      </c>
      <c r="J6728" t="s">
        <v>37068</v>
      </c>
      <c r="K6728" t="s">
        <v>42623</v>
      </c>
      <c r="M6728" t="s">
        <v>44562</v>
      </c>
      <c r="N6728" t="s">
        <v>47304</v>
      </c>
      <c r="O6728" t="s">
        <v>47305</v>
      </c>
      <c r="P6728">
        <v>0</v>
      </c>
      <c r="Q6728">
        <v>8</v>
      </c>
      <c r="R6728" t="s">
        <v>47311</v>
      </c>
      <c r="S6728" t="s">
        <v>47443</v>
      </c>
      <c r="T6728" t="s">
        <v>49062</v>
      </c>
      <c r="U6728" t="s">
        <v>55168</v>
      </c>
      <c r="W6728" t="s">
        <v>44562</v>
      </c>
      <c r="X6728" t="s">
        <v>47312</v>
      </c>
    </row>
    <row r="6729" spans="1:24">
      <c r="A6729">
        <f>HYPERLINK("https://www.philgeps.gov.ph/GEPSNONPILOT/Tender/SplashBidNoticeAbstractUI.aspx?menuIndex=3&amp;refID=7190832&amp;Result=3","7190832")</f>
        <v>0</v>
      </c>
      <c r="B6729" t="s">
        <v>2234</v>
      </c>
      <c r="C6729" t="s">
        <v>10178</v>
      </c>
      <c r="D6729" t="s">
        <v>19016</v>
      </c>
      <c r="E6729" t="s">
        <v>19310</v>
      </c>
      <c r="F6729" t="s">
        <v>32606</v>
      </c>
      <c r="G6729" t="s">
        <v>32613</v>
      </c>
      <c r="H6729" t="s">
        <v>14201</v>
      </c>
      <c r="I6729" t="s">
        <v>6931</v>
      </c>
      <c r="J6729" t="s">
        <v>37069</v>
      </c>
      <c r="K6729" t="s">
        <v>42631</v>
      </c>
      <c r="M6729" t="s">
        <v>45338</v>
      </c>
      <c r="N6729" t="s">
        <v>47304</v>
      </c>
      <c r="O6729" t="s">
        <v>47305</v>
      </c>
      <c r="P6729">
        <v>0</v>
      </c>
      <c r="Q6729">
        <v>2</v>
      </c>
      <c r="R6729" t="s">
        <v>47311</v>
      </c>
      <c r="S6729" t="s">
        <v>47443</v>
      </c>
      <c r="T6729" t="s">
        <v>48997</v>
      </c>
      <c r="U6729" t="s">
        <v>55169</v>
      </c>
      <c r="W6729" t="s">
        <v>45338</v>
      </c>
      <c r="X6729" t="s">
        <v>47312</v>
      </c>
    </row>
    <row r="6730" spans="1:24">
      <c r="A6730">
        <f>HYPERLINK("https://www.philgeps.gov.ph/GEPSNONPILOT/Tender/SplashBidNoticeAbstractUI.aspx?menuIndex=3&amp;refID=7190841&amp;Result=3","7190841")</f>
        <v>0</v>
      </c>
      <c r="B6730" t="s">
        <v>2224</v>
      </c>
      <c r="C6730" t="s">
        <v>10179</v>
      </c>
      <c r="D6730" t="s">
        <v>19004</v>
      </c>
      <c r="E6730" t="s">
        <v>24945</v>
      </c>
      <c r="F6730" t="s">
        <v>32606</v>
      </c>
      <c r="G6730" t="s">
        <v>32613</v>
      </c>
      <c r="H6730" t="s">
        <v>14201</v>
      </c>
      <c r="I6730" t="s">
        <v>4112</v>
      </c>
      <c r="J6730" t="s">
        <v>37070</v>
      </c>
      <c r="K6730" t="s">
        <v>42624</v>
      </c>
      <c r="M6730" t="s">
        <v>45328</v>
      </c>
      <c r="N6730" t="s">
        <v>47304</v>
      </c>
      <c r="O6730" t="s">
        <v>47305</v>
      </c>
      <c r="P6730">
        <v>0</v>
      </c>
      <c r="Q6730">
        <v>1</v>
      </c>
      <c r="R6730" t="s">
        <v>47311</v>
      </c>
      <c r="S6730" t="s">
        <v>47443</v>
      </c>
      <c r="T6730" t="s">
        <v>48979</v>
      </c>
      <c r="U6730" t="s">
        <v>55170</v>
      </c>
      <c r="W6730" t="s">
        <v>45328</v>
      </c>
      <c r="X6730" t="s">
        <v>47312</v>
      </c>
    </row>
    <row r="6731" spans="1:24">
      <c r="A6731">
        <f>HYPERLINK("https://www.philgeps.gov.ph/GEPSNONPILOT/Tender/SplashBidNoticeAbstractUI.aspx?menuIndex=3&amp;refID=7190795&amp;Result=3","7190795")</f>
        <v>0</v>
      </c>
      <c r="B6731" t="s">
        <v>745</v>
      </c>
      <c r="C6731" t="s">
        <v>10180</v>
      </c>
      <c r="D6731" t="s">
        <v>19043</v>
      </c>
      <c r="E6731" t="s">
        <v>24946</v>
      </c>
      <c r="F6731" t="s">
        <v>32606</v>
      </c>
      <c r="G6731" t="s">
        <v>32615</v>
      </c>
      <c r="H6731" t="s">
        <v>14201</v>
      </c>
      <c r="I6731" t="s">
        <v>32664</v>
      </c>
      <c r="J6731" t="s">
        <v>33231</v>
      </c>
      <c r="K6731" t="s">
        <v>42622</v>
      </c>
      <c r="M6731" t="s">
        <v>43668</v>
      </c>
      <c r="N6731" t="s">
        <v>47304</v>
      </c>
      <c r="O6731" t="s">
        <v>47305</v>
      </c>
      <c r="P6731">
        <v>0</v>
      </c>
      <c r="Q6731">
        <v>1</v>
      </c>
      <c r="R6731" t="s">
        <v>47311</v>
      </c>
      <c r="S6731" t="s">
        <v>47443</v>
      </c>
      <c r="T6731" t="s">
        <v>49267</v>
      </c>
      <c r="U6731" t="s">
        <v>55171</v>
      </c>
      <c r="W6731" t="s">
        <v>43668</v>
      </c>
      <c r="X6731" t="s">
        <v>47312</v>
      </c>
    </row>
    <row r="6732" spans="1:24">
      <c r="A6732">
        <f>HYPERLINK("https://www.philgeps.gov.ph/GEPSNONPILOT/Tender/SplashBidNoticeAbstractUI.aspx?menuIndex=3&amp;refID=7190794&amp;Result=3","7190794")</f>
        <v>0</v>
      </c>
      <c r="B6732" t="s">
        <v>2235</v>
      </c>
      <c r="C6732" t="s">
        <v>4120</v>
      </c>
      <c r="D6732" t="s">
        <v>19053</v>
      </c>
      <c r="E6732" t="s">
        <v>24947</v>
      </c>
      <c r="F6732" t="s">
        <v>32606</v>
      </c>
      <c r="G6732" t="s">
        <v>32619</v>
      </c>
      <c r="H6732" t="s">
        <v>14201</v>
      </c>
      <c r="I6732" t="s">
        <v>4120</v>
      </c>
      <c r="J6732" t="s">
        <v>37071</v>
      </c>
      <c r="K6732" t="s">
        <v>42630</v>
      </c>
      <c r="M6732" t="s">
        <v>45339</v>
      </c>
      <c r="N6732" t="s">
        <v>47304</v>
      </c>
      <c r="O6732" t="s">
        <v>47305</v>
      </c>
      <c r="P6732">
        <v>0</v>
      </c>
      <c r="Q6732">
        <v>4</v>
      </c>
      <c r="R6732" t="s">
        <v>47311</v>
      </c>
      <c r="S6732" t="s">
        <v>47443</v>
      </c>
      <c r="T6732" t="s">
        <v>49072</v>
      </c>
      <c r="U6732" t="s">
        <v>55172</v>
      </c>
      <c r="W6732" t="s">
        <v>45339</v>
      </c>
      <c r="X6732" t="s">
        <v>47312</v>
      </c>
    </row>
    <row r="6733" spans="1:24">
      <c r="A6733">
        <f>HYPERLINK("https://www.philgeps.gov.ph/GEPSNONPILOT/Tender/SplashBidNoticeAbstractUI.aspx?menuIndex=3&amp;refID=7190790&amp;Result=3","7190790")</f>
        <v>0</v>
      </c>
      <c r="B6733" t="s">
        <v>862</v>
      </c>
      <c r="C6733" t="s">
        <v>10181</v>
      </c>
      <c r="D6733" t="s">
        <v>18991</v>
      </c>
      <c r="E6733" t="s">
        <v>24948</v>
      </c>
      <c r="F6733" t="s">
        <v>32606</v>
      </c>
      <c r="G6733" t="s">
        <v>32613</v>
      </c>
      <c r="H6733" t="s">
        <v>14201</v>
      </c>
      <c r="I6733" t="s">
        <v>6931</v>
      </c>
      <c r="J6733" t="s">
        <v>37072</v>
      </c>
      <c r="K6733" t="s">
        <v>42631</v>
      </c>
      <c r="M6733" t="s">
        <v>43796</v>
      </c>
      <c r="N6733" t="s">
        <v>47304</v>
      </c>
      <c r="O6733" t="s">
        <v>47305</v>
      </c>
      <c r="P6733">
        <v>0</v>
      </c>
      <c r="Q6733">
        <v>0</v>
      </c>
      <c r="R6733" t="s">
        <v>47311</v>
      </c>
      <c r="S6733" t="s">
        <v>47443</v>
      </c>
      <c r="T6733" t="s">
        <v>48996</v>
      </c>
      <c r="U6733" t="s">
        <v>55173</v>
      </c>
      <c r="W6733" t="s">
        <v>43796</v>
      </c>
      <c r="X6733" t="s">
        <v>47312</v>
      </c>
    </row>
    <row r="6734" spans="1:24">
      <c r="A6734">
        <f>HYPERLINK("https://www.philgeps.gov.ph/GEPSNONPILOT/Tender/SplashBidNoticeAbstractUI.aspx?menuIndex=3&amp;refID=7190851&amp;Result=3","7190851")</f>
        <v>0</v>
      </c>
      <c r="B6734" t="s">
        <v>1465</v>
      </c>
      <c r="C6734" t="s">
        <v>10182</v>
      </c>
      <c r="D6734" t="s">
        <v>18991</v>
      </c>
      <c r="E6734" t="s">
        <v>24949</v>
      </c>
      <c r="F6734" t="s">
        <v>32606</v>
      </c>
      <c r="G6734" t="s">
        <v>32614</v>
      </c>
      <c r="H6734" t="s">
        <v>14201</v>
      </c>
      <c r="I6734" t="s">
        <v>32648</v>
      </c>
      <c r="J6734" t="s">
        <v>37073</v>
      </c>
      <c r="K6734" t="s">
        <v>42631</v>
      </c>
      <c r="M6734" t="s">
        <v>44459</v>
      </c>
      <c r="N6734" t="s">
        <v>47304</v>
      </c>
      <c r="O6734" t="s">
        <v>47305</v>
      </c>
      <c r="P6734">
        <v>0</v>
      </c>
      <c r="Q6734">
        <v>3</v>
      </c>
      <c r="R6734" t="s">
        <v>47311</v>
      </c>
      <c r="S6734" t="s">
        <v>47443</v>
      </c>
      <c r="T6734" t="s">
        <v>49268</v>
      </c>
      <c r="U6734" t="s">
        <v>52738</v>
      </c>
      <c r="W6734" t="s">
        <v>44459</v>
      </c>
      <c r="X6734" t="s">
        <v>47312</v>
      </c>
    </row>
    <row r="6735" spans="1:24">
      <c r="A6735">
        <f>HYPERLINK("https://www.philgeps.gov.ph/GEPSNONPILOT/Tender/SplashBidNoticeAbstractUI.aspx?menuIndex=3&amp;refID=7190870&amp;Result=3","7190870")</f>
        <v>0</v>
      </c>
      <c r="B6735" t="s">
        <v>2236</v>
      </c>
      <c r="C6735" t="s">
        <v>10183</v>
      </c>
      <c r="D6735" t="s">
        <v>19058</v>
      </c>
      <c r="E6735" t="s">
        <v>24950</v>
      </c>
      <c r="F6735" t="s">
        <v>32606</v>
      </c>
      <c r="G6735" t="s">
        <v>32613</v>
      </c>
      <c r="H6735" t="s">
        <v>32623</v>
      </c>
      <c r="I6735" t="s">
        <v>32661</v>
      </c>
      <c r="J6735" t="s">
        <v>37074</v>
      </c>
      <c r="K6735" t="s">
        <v>42636</v>
      </c>
      <c r="M6735" t="s">
        <v>45340</v>
      </c>
      <c r="N6735" t="s">
        <v>47304</v>
      </c>
      <c r="O6735" t="s">
        <v>47305</v>
      </c>
      <c r="P6735">
        <v>0</v>
      </c>
      <c r="Q6735">
        <v>1</v>
      </c>
      <c r="R6735" t="s">
        <v>47311</v>
      </c>
      <c r="S6735" t="s">
        <v>47443</v>
      </c>
      <c r="T6735" t="s">
        <v>48996</v>
      </c>
      <c r="U6735" t="s">
        <v>55174</v>
      </c>
      <c r="V6735" t="s">
        <v>63298</v>
      </c>
      <c r="W6735" t="s">
        <v>45340</v>
      </c>
      <c r="X6735" t="s">
        <v>47312</v>
      </c>
    </row>
    <row r="6736" spans="1:24">
      <c r="A6736">
        <f>HYPERLINK("https://www.philgeps.gov.ph/GEPSNONPILOT/Tender/SplashBidNoticeAbstractUI.aspx?menuIndex=3&amp;refID=7190845&amp;Result=3","7190845")</f>
        <v>0</v>
      </c>
      <c r="B6736" t="s">
        <v>644</v>
      </c>
      <c r="C6736" t="s">
        <v>10184</v>
      </c>
      <c r="D6736" t="s">
        <v>19022</v>
      </c>
      <c r="E6736" t="s">
        <v>24951</v>
      </c>
      <c r="F6736" t="s">
        <v>32606</v>
      </c>
      <c r="G6736" t="s">
        <v>32614</v>
      </c>
      <c r="H6736" t="s">
        <v>14201</v>
      </c>
      <c r="I6736" t="s">
        <v>6014</v>
      </c>
      <c r="J6736" t="s">
        <v>37075</v>
      </c>
      <c r="K6736" t="s">
        <v>42624</v>
      </c>
      <c r="M6736" t="s">
        <v>44072</v>
      </c>
      <c r="N6736" t="s">
        <v>47304</v>
      </c>
      <c r="O6736" t="s">
        <v>47305</v>
      </c>
      <c r="P6736">
        <v>0</v>
      </c>
      <c r="Q6736">
        <v>3</v>
      </c>
      <c r="R6736" t="s">
        <v>47311</v>
      </c>
      <c r="S6736" t="s">
        <v>47443</v>
      </c>
      <c r="T6736" t="s">
        <v>49331</v>
      </c>
      <c r="U6736" t="s">
        <v>55175</v>
      </c>
      <c r="W6736" t="s">
        <v>44072</v>
      </c>
      <c r="X6736" t="s">
        <v>47312</v>
      </c>
    </row>
    <row r="6737" spans="1:24">
      <c r="A6737">
        <f>HYPERLINK("https://www.philgeps.gov.ph/GEPSNONPILOT/Tender/SplashBidNoticeAbstractUI.aspx?menuIndex=3&amp;refID=7190908&amp;Result=3","7190908")</f>
        <v>0</v>
      </c>
      <c r="B6737" t="s">
        <v>2221</v>
      </c>
      <c r="C6737" t="s">
        <v>10185</v>
      </c>
      <c r="D6737" t="s">
        <v>19007</v>
      </c>
      <c r="E6737" t="s">
        <v>24952</v>
      </c>
      <c r="F6737" t="s">
        <v>32606</v>
      </c>
      <c r="G6737" t="s">
        <v>32613</v>
      </c>
      <c r="H6737" t="s">
        <v>32623</v>
      </c>
      <c r="I6737" t="s">
        <v>17648</v>
      </c>
      <c r="J6737" t="s">
        <v>37076</v>
      </c>
      <c r="K6737" t="s">
        <v>42712</v>
      </c>
      <c r="L6737" t="s">
        <v>2221</v>
      </c>
      <c r="M6737" t="s">
        <v>45325</v>
      </c>
      <c r="N6737" t="s">
        <v>47304</v>
      </c>
      <c r="O6737" t="s">
        <v>47305</v>
      </c>
      <c r="P6737">
        <v>0</v>
      </c>
      <c r="Q6737">
        <v>6</v>
      </c>
      <c r="R6737" t="s">
        <v>47311</v>
      </c>
      <c r="S6737" t="s">
        <v>47443</v>
      </c>
      <c r="T6737" t="s">
        <v>49037</v>
      </c>
      <c r="U6737" t="s">
        <v>55176</v>
      </c>
      <c r="W6737" t="s">
        <v>45325</v>
      </c>
      <c r="X6737" t="s">
        <v>47312</v>
      </c>
    </row>
    <row r="6738" spans="1:24">
      <c r="A6738">
        <f>HYPERLINK("https://www.philgeps.gov.ph/GEPSNONPILOT/Tender/SplashBidNoticeAbstractUI.aspx?menuIndex=3&amp;refID=7190899&amp;Result=3","7190899")</f>
        <v>0</v>
      </c>
      <c r="B6738" t="s">
        <v>2237</v>
      </c>
      <c r="C6738" t="s">
        <v>10186</v>
      </c>
      <c r="E6738" t="s">
        <v>23622</v>
      </c>
      <c r="F6738" t="s">
        <v>32606</v>
      </c>
      <c r="G6738" t="s">
        <v>32614</v>
      </c>
      <c r="H6738" t="s">
        <v>14201</v>
      </c>
      <c r="I6738" t="s">
        <v>4369</v>
      </c>
      <c r="J6738" t="s">
        <v>37077</v>
      </c>
      <c r="K6738" t="s">
        <v>42624</v>
      </c>
      <c r="M6738" t="s">
        <v>45341</v>
      </c>
      <c r="N6738" t="s">
        <v>47304</v>
      </c>
      <c r="O6738" t="s">
        <v>47305</v>
      </c>
      <c r="P6738">
        <v>0</v>
      </c>
      <c r="Q6738">
        <v>5</v>
      </c>
      <c r="R6738" t="s">
        <v>47311</v>
      </c>
      <c r="S6738" t="s">
        <v>47443</v>
      </c>
      <c r="T6738" t="s">
        <v>48977</v>
      </c>
      <c r="U6738" t="s">
        <v>55177</v>
      </c>
      <c r="W6738" t="s">
        <v>45341</v>
      </c>
      <c r="X6738" t="s">
        <v>47312</v>
      </c>
    </row>
    <row r="6739" spans="1:24">
      <c r="A6739">
        <f>HYPERLINK("https://www.philgeps.gov.ph/GEPSNONPILOT/Tender/SplashBidNoticeAbstractUI.aspx?menuIndex=3&amp;refID=7190900&amp;Result=3","7190900")</f>
        <v>0</v>
      </c>
      <c r="B6739" t="s">
        <v>1682</v>
      </c>
      <c r="C6739" t="s">
        <v>10187</v>
      </c>
      <c r="D6739" t="s">
        <v>19054</v>
      </c>
      <c r="E6739" t="s">
        <v>20338</v>
      </c>
      <c r="F6739" t="s">
        <v>32606</v>
      </c>
      <c r="G6739" t="s">
        <v>32613</v>
      </c>
      <c r="H6739" t="s">
        <v>32623</v>
      </c>
      <c r="I6739" t="s">
        <v>32626</v>
      </c>
      <c r="J6739" t="s">
        <v>37078</v>
      </c>
      <c r="K6739" t="s">
        <v>42744</v>
      </c>
      <c r="M6739" t="s">
        <v>44711</v>
      </c>
      <c r="N6739" t="s">
        <v>47304</v>
      </c>
      <c r="O6739" t="s">
        <v>47305</v>
      </c>
      <c r="P6739">
        <v>0</v>
      </c>
      <c r="Q6739">
        <v>0</v>
      </c>
      <c r="R6739" t="s">
        <v>47311</v>
      </c>
      <c r="S6739" t="s">
        <v>47443</v>
      </c>
      <c r="T6739" t="s">
        <v>49027</v>
      </c>
      <c r="U6739" t="s">
        <v>55178</v>
      </c>
      <c r="V6739" t="s">
        <v>63077</v>
      </c>
      <c r="W6739" t="s">
        <v>44711</v>
      </c>
      <c r="X6739" t="s">
        <v>47312</v>
      </c>
    </row>
    <row r="6740" spans="1:24">
      <c r="A6740">
        <f>HYPERLINK("https://www.philgeps.gov.ph/GEPSNONPILOT/Tender/SplashBidNoticeAbstractUI.aspx?menuIndex=3&amp;refID=7190857&amp;Result=3","7190857")</f>
        <v>0</v>
      </c>
      <c r="B6740" t="s">
        <v>2238</v>
      </c>
      <c r="C6740" t="s">
        <v>10188</v>
      </c>
      <c r="D6740" t="s">
        <v>18992</v>
      </c>
      <c r="E6740" t="s">
        <v>24953</v>
      </c>
      <c r="F6740" t="s">
        <v>32606</v>
      </c>
      <c r="G6740" t="s">
        <v>32613</v>
      </c>
      <c r="H6740" t="s">
        <v>32623</v>
      </c>
      <c r="I6740" t="s">
        <v>17648</v>
      </c>
      <c r="J6740" t="s">
        <v>37079</v>
      </c>
      <c r="K6740" t="s">
        <v>42717</v>
      </c>
      <c r="M6740" t="s">
        <v>45342</v>
      </c>
      <c r="N6740" t="s">
        <v>47304</v>
      </c>
      <c r="O6740" t="s">
        <v>47305</v>
      </c>
      <c r="P6740">
        <v>0</v>
      </c>
      <c r="Q6740">
        <v>0</v>
      </c>
      <c r="R6740" t="s">
        <v>47311</v>
      </c>
      <c r="S6740" t="s">
        <v>47443</v>
      </c>
      <c r="T6740" t="s">
        <v>49040</v>
      </c>
      <c r="U6740" t="s">
        <v>55179</v>
      </c>
      <c r="W6740" t="s">
        <v>45342</v>
      </c>
      <c r="X6740" t="s">
        <v>47312</v>
      </c>
    </row>
    <row r="6741" spans="1:24">
      <c r="A6741">
        <f>HYPERLINK("https://www.philgeps.gov.ph/GEPSNONPILOT/Tender/SplashBidNoticeAbstractUI.aspx?menuIndex=3&amp;refID=7190888&amp;Result=3","7190888")</f>
        <v>0</v>
      </c>
      <c r="B6741" t="s">
        <v>866</v>
      </c>
      <c r="C6741" t="s">
        <v>10189</v>
      </c>
      <c r="E6741" t="s">
        <v>24954</v>
      </c>
      <c r="F6741" t="s">
        <v>32606</v>
      </c>
      <c r="G6741" t="s">
        <v>32613</v>
      </c>
      <c r="H6741" t="s">
        <v>32623</v>
      </c>
      <c r="I6741" t="s">
        <v>17648</v>
      </c>
      <c r="J6741" t="s">
        <v>37080</v>
      </c>
      <c r="K6741" t="s">
        <v>42624</v>
      </c>
      <c r="M6741" t="s">
        <v>43800</v>
      </c>
      <c r="N6741" t="s">
        <v>47304</v>
      </c>
      <c r="O6741" t="s">
        <v>47305</v>
      </c>
      <c r="P6741">
        <v>0</v>
      </c>
      <c r="Q6741">
        <v>4</v>
      </c>
      <c r="R6741" t="s">
        <v>47311</v>
      </c>
      <c r="S6741" t="s">
        <v>47443</v>
      </c>
      <c r="T6741" t="s">
        <v>48980</v>
      </c>
      <c r="U6741" t="s">
        <v>55180</v>
      </c>
      <c r="V6741" t="s">
        <v>63299</v>
      </c>
      <c r="W6741" t="s">
        <v>43800</v>
      </c>
      <c r="X6741" t="s">
        <v>47312</v>
      </c>
    </row>
    <row r="6742" spans="1:24">
      <c r="A6742">
        <f>HYPERLINK("https://www.philgeps.gov.ph/GEPSNONPILOT/Tender/SplashBidNoticeAbstractUI.aspx?menuIndex=3&amp;refID=7190889&amp;Result=3","7190889")</f>
        <v>0</v>
      </c>
      <c r="B6742" t="s">
        <v>2239</v>
      </c>
      <c r="C6742" t="s">
        <v>10190</v>
      </c>
      <c r="D6742" t="s">
        <v>19010</v>
      </c>
      <c r="E6742" t="s">
        <v>20242</v>
      </c>
      <c r="F6742" t="s">
        <v>32606</v>
      </c>
      <c r="G6742" t="s">
        <v>32613</v>
      </c>
      <c r="H6742" t="s">
        <v>14201</v>
      </c>
      <c r="I6742" t="s">
        <v>6931</v>
      </c>
      <c r="J6742" t="s">
        <v>37081</v>
      </c>
      <c r="K6742" t="s">
        <v>42622</v>
      </c>
      <c r="M6742" t="s">
        <v>45343</v>
      </c>
      <c r="N6742" t="s">
        <v>47304</v>
      </c>
      <c r="O6742" t="s">
        <v>47305</v>
      </c>
      <c r="P6742">
        <v>0</v>
      </c>
      <c r="Q6742">
        <v>0</v>
      </c>
      <c r="R6742" t="s">
        <v>47311</v>
      </c>
      <c r="S6742" t="s">
        <v>47443</v>
      </c>
      <c r="T6742" t="s">
        <v>49010</v>
      </c>
      <c r="U6742" t="s">
        <v>55181</v>
      </c>
      <c r="W6742" t="s">
        <v>45343</v>
      </c>
      <c r="X6742" t="s">
        <v>47312</v>
      </c>
    </row>
    <row r="6743" spans="1:24">
      <c r="A6743">
        <f>HYPERLINK("https://www.philgeps.gov.ph/GEPSNONPILOT/Tender/SplashBidNoticeAbstractUI.aspx?menuIndex=3&amp;refID=7190884&amp;Result=3","7190884")</f>
        <v>0</v>
      </c>
      <c r="B6743" t="s">
        <v>2240</v>
      </c>
      <c r="C6743" t="s">
        <v>10191</v>
      </c>
      <c r="D6743" t="s">
        <v>19007</v>
      </c>
      <c r="E6743" t="s">
        <v>24955</v>
      </c>
      <c r="F6743" t="s">
        <v>32606</v>
      </c>
      <c r="G6743" t="s">
        <v>32613</v>
      </c>
      <c r="H6743" t="s">
        <v>32623</v>
      </c>
      <c r="I6743" t="s">
        <v>17648</v>
      </c>
      <c r="J6743" t="s">
        <v>32789</v>
      </c>
      <c r="K6743" t="s">
        <v>42639</v>
      </c>
      <c r="M6743" t="s">
        <v>45344</v>
      </c>
      <c r="N6743" t="s">
        <v>47304</v>
      </c>
      <c r="O6743" t="s">
        <v>47305</v>
      </c>
      <c r="P6743">
        <v>0</v>
      </c>
      <c r="Q6743">
        <v>0</v>
      </c>
      <c r="R6743" t="s">
        <v>47311</v>
      </c>
      <c r="S6743" t="s">
        <v>47443</v>
      </c>
      <c r="T6743" t="s">
        <v>49197</v>
      </c>
      <c r="U6743" t="s">
        <v>55182</v>
      </c>
      <c r="V6743" t="s">
        <v>63300</v>
      </c>
      <c r="W6743" t="s">
        <v>45344</v>
      </c>
      <c r="X6743" t="s">
        <v>47312</v>
      </c>
    </row>
    <row r="6744" spans="1:24">
      <c r="A6744">
        <f>HYPERLINK("https://www.philgeps.gov.ph/GEPSNONPILOT/Tender/SplashBidNoticeAbstractUI.aspx?menuIndex=3&amp;refID=7190905&amp;Result=3","7190905")</f>
        <v>0</v>
      </c>
      <c r="B6744" t="s">
        <v>2241</v>
      </c>
      <c r="C6744" t="s">
        <v>10192</v>
      </c>
      <c r="D6744" t="s">
        <v>18999</v>
      </c>
      <c r="E6744" t="s">
        <v>24956</v>
      </c>
      <c r="F6744" t="s">
        <v>32606</v>
      </c>
      <c r="G6744" t="s">
        <v>32614</v>
      </c>
      <c r="H6744" t="s">
        <v>14201</v>
      </c>
      <c r="I6744" t="s">
        <v>6298</v>
      </c>
      <c r="J6744" t="s">
        <v>37082</v>
      </c>
      <c r="K6744" t="s">
        <v>42629</v>
      </c>
      <c r="M6744" t="s">
        <v>45345</v>
      </c>
      <c r="N6744" t="s">
        <v>47304</v>
      </c>
      <c r="O6744" t="s">
        <v>47305</v>
      </c>
      <c r="P6744">
        <v>0</v>
      </c>
      <c r="Q6744">
        <v>0</v>
      </c>
      <c r="R6744" t="s">
        <v>47311</v>
      </c>
      <c r="S6744" t="s">
        <v>47443</v>
      </c>
      <c r="T6744" t="s">
        <v>49346</v>
      </c>
      <c r="U6744" t="s">
        <v>55183</v>
      </c>
      <c r="W6744" t="s">
        <v>45345</v>
      </c>
      <c r="X6744" t="s">
        <v>47312</v>
      </c>
    </row>
    <row r="6745" spans="1:24">
      <c r="A6745">
        <f>HYPERLINK("https://www.philgeps.gov.ph/GEPSNONPILOT/Tender/SplashBidNoticeAbstractUI.aspx?menuIndex=3&amp;refID=7190877&amp;Result=3","7190877")</f>
        <v>0</v>
      </c>
      <c r="B6745" t="s">
        <v>644</v>
      </c>
      <c r="C6745" t="s">
        <v>10193</v>
      </c>
      <c r="D6745" t="s">
        <v>19022</v>
      </c>
      <c r="E6745" t="s">
        <v>10193</v>
      </c>
      <c r="F6745" t="s">
        <v>32606</v>
      </c>
      <c r="G6745" t="s">
        <v>32614</v>
      </c>
      <c r="H6745" t="s">
        <v>14201</v>
      </c>
      <c r="I6745" t="s">
        <v>9008</v>
      </c>
      <c r="J6745" t="s">
        <v>32765</v>
      </c>
      <c r="K6745" t="s">
        <v>42624</v>
      </c>
      <c r="M6745" t="s">
        <v>44072</v>
      </c>
      <c r="N6745" t="s">
        <v>47304</v>
      </c>
      <c r="O6745" t="s">
        <v>47305</v>
      </c>
      <c r="P6745">
        <v>0</v>
      </c>
      <c r="Q6745">
        <v>1</v>
      </c>
      <c r="R6745" t="s">
        <v>47311</v>
      </c>
      <c r="S6745" t="s">
        <v>47443</v>
      </c>
      <c r="T6745" t="s">
        <v>49331</v>
      </c>
      <c r="U6745" t="s">
        <v>55184</v>
      </c>
      <c r="W6745" t="s">
        <v>44072</v>
      </c>
      <c r="X6745" t="s">
        <v>47312</v>
      </c>
    </row>
    <row r="6746" spans="1:24">
      <c r="A6746">
        <f>HYPERLINK("https://www.philgeps.gov.ph/GEPSNONPILOT/Tender/SplashBidNoticeAbstractUI.aspx?menuIndex=3&amp;refID=7190827&amp;Result=3","7190827")</f>
        <v>0</v>
      </c>
      <c r="B6746" t="s">
        <v>815</v>
      </c>
      <c r="C6746" t="s">
        <v>10194</v>
      </c>
      <c r="D6746" t="s">
        <v>19019</v>
      </c>
      <c r="E6746" t="s">
        <v>24957</v>
      </c>
      <c r="F6746" t="s">
        <v>32606</v>
      </c>
      <c r="G6746" t="s">
        <v>32619</v>
      </c>
      <c r="H6746" t="s">
        <v>14201</v>
      </c>
      <c r="I6746" t="s">
        <v>4120</v>
      </c>
      <c r="J6746" t="s">
        <v>35966</v>
      </c>
      <c r="K6746" t="s">
        <v>42623</v>
      </c>
      <c r="M6746" t="s">
        <v>43746</v>
      </c>
      <c r="N6746" t="s">
        <v>47304</v>
      </c>
      <c r="O6746" t="s">
        <v>47305</v>
      </c>
      <c r="P6746">
        <v>0</v>
      </c>
      <c r="Q6746">
        <v>0</v>
      </c>
      <c r="R6746" t="s">
        <v>47311</v>
      </c>
      <c r="S6746" t="s">
        <v>47443</v>
      </c>
      <c r="T6746" t="s">
        <v>49010</v>
      </c>
      <c r="U6746" t="s">
        <v>55185</v>
      </c>
      <c r="W6746" t="s">
        <v>43746</v>
      </c>
      <c r="X6746" t="s">
        <v>47312</v>
      </c>
    </row>
    <row r="6747" spans="1:24">
      <c r="A6747">
        <f>HYPERLINK("https://www.philgeps.gov.ph/GEPSNONPILOT/Tender/SplashBidNoticeAbstractUI.aspx?menuIndex=3&amp;refID=7190876&amp;Result=3","7190876")</f>
        <v>0</v>
      </c>
      <c r="B6747" t="s">
        <v>2242</v>
      </c>
      <c r="C6747" t="s">
        <v>10195</v>
      </c>
      <c r="D6747" t="s">
        <v>19006</v>
      </c>
      <c r="E6747" t="s">
        <v>24958</v>
      </c>
      <c r="F6747" t="s">
        <v>32606</v>
      </c>
      <c r="G6747" t="s">
        <v>32617</v>
      </c>
      <c r="H6747" t="s">
        <v>14201</v>
      </c>
      <c r="I6747" t="s">
        <v>4120</v>
      </c>
      <c r="J6747" t="s">
        <v>33189</v>
      </c>
      <c r="K6747" t="s">
        <v>42630</v>
      </c>
      <c r="M6747" t="s">
        <v>45346</v>
      </c>
      <c r="N6747" t="s">
        <v>47304</v>
      </c>
      <c r="O6747" t="s">
        <v>47305</v>
      </c>
      <c r="P6747">
        <v>0</v>
      </c>
      <c r="Q6747">
        <v>2</v>
      </c>
      <c r="R6747" t="s">
        <v>47311</v>
      </c>
      <c r="S6747" t="s">
        <v>47443</v>
      </c>
      <c r="T6747" t="s">
        <v>49269</v>
      </c>
      <c r="U6747" t="s">
        <v>55186</v>
      </c>
      <c r="W6747" t="s">
        <v>45346</v>
      </c>
      <c r="X6747" t="s">
        <v>47312</v>
      </c>
    </row>
    <row r="6748" spans="1:24">
      <c r="A6748">
        <f>HYPERLINK("https://www.philgeps.gov.ph/GEPSNONPILOT/Tender/SplashBidNoticeAbstractUI.aspx?menuIndex=3&amp;refID=7190829&amp;Result=3","7190829")</f>
        <v>0</v>
      </c>
      <c r="B6748" t="s">
        <v>81</v>
      </c>
      <c r="C6748" t="s">
        <v>10196</v>
      </c>
      <c r="D6748" t="s">
        <v>18995</v>
      </c>
      <c r="E6748" t="s">
        <v>24959</v>
      </c>
      <c r="F6748" t="s">
        <v>32606</v>
      </c>
      <c r="G6748" t="s">
        <v>32613</v>
      </c>
      <c r="H6748" t="s">
        <v>32623</v>
      </c>
      <c r="I6748" t="s">
        <v>17648</v>
      </c>
      <c r="J6748" t="s">
        <v>37083</v>
      </c>
      <c r="K6748" t="s">
        <v>42624</v>
      </c>
      <c r="M6748" t="s">
        <v>42978</v>
      </c>
      <c r="N6748" t="s">
        <v>47304</v>
      </c>
      <c r="O6748" t="s">
        <v>47305</v>
      </c>
      <c r="P6748">
        <v>0</v>
      </c>
      <c r="Q6748">
        <v>1</v>
      </c>
      <c r="R6748" t="s">
        <v>47311</v>
      </c>
      <c r="S6748" t="s">
        <v>47443</v>
      </c>
      <c r="T6748" t="s">
        <v>49080</v>
      </c>
      <c r="U6748" t="s">
        <v>55187</v>
      </c>
      <c r="W6748" t="s">
        <v>42978</v>
      </c>
      <c r="X6748" t="s">
        <v>47312</v>
      </c>
    </row>
    <row r="6749" spans="1:24">
      <c r="A6749">
        <f>HYPERLINK("https://www.philgeps.gov.ph/GEPSNONPILOT/Tender/SplashBidNoticeAbstractUI.aspx?menuIndex=3&amp;refID=7190894&amp;Result=3","7190894")</f>
        <v>0</v>
      </c>
      <c r="B6749" t="s">
        <v>644</v>
      </c>
      <c r="C6749" t="s">
        <v>10197</v>
      </c>
      <c r="D6749" t="s">
        <v>19022</v>
      </c>
      <c r="E6749" t="s">
        <v>24960</v>
      </c>
      <c r="F6749" t="s">
        <v>32606</v>
      </c>
      <c r="G6749" t="s">
        <v>32614</v>
      </c>
      <c r="H6749" t="s">
        <v>14201</v>
      </c>
      <c r="I6749" t="s">
        <v>32633</v>
      </c>
      <c r="J6749" t="s">
        <v>37084</v>
      </c>
      <c r="K6749" t="s">
        <v>42624</v>
      </c>
      <c r="M6749" t="s">
        <v>44072</v>
      </c>
      <c r="N6749" t="s">
        <v>47304</v>
      </c>
      <c r="O6749" t="s">
        <v>47305</v>
      </c>
      <c r="P6749">
        <v>0</v>
      </c>
      <c r="Q6749">
        <v>8</v>
      </c>
      <c r="R6749" t="s">
        <v>47311</v>
      </c>
      <c r="S6749" t="s">
        <v>47443</v>
      </c>
      <c r="T6749" t="s">
        <v>49331</v>
      </c>
      <c r="U6749" t="s">
        <v>55188</v>
      </c>
      <c r="W6749" t="s">
        <v>44072</v>
      </c>
      <c r="X6749" t="s">
        <v>47312</v>
      </c>
    </row>
    <row r="6750" spans="1:24">
      <c r="A6750">
        <f>HYPERLINK("https://www.philgeps.gov.ph/GEPSNONPILOT/Tender/SplashBidNoticeAbstractUI.aspx?menuIndex=3&amp;refID=7190873&amp;Result=3","7190873")</f>
        <v>0</v>
      </c>
      <c r="B6750" t="s">
        <v>2243</v>
      </c>
      <c r="C6750" t="s">
        <v>10198</v>
      </c>
      <c r="D6750" t="s">
        <v>19004</v>
      </c>
      <c r="E6750" t="s">
        <v>24961</v>
      </c>
      <c r="F6750" t="s">
        <v>32606</v>
      </c>
      <c r="G6750" t="s">
        <v>32613</v>
      </c>
      <c r="H6750" t="s">
        <v>14201</v>
      </c>
      <c r="I6750" t="s">
        <v>4678</v>
      </c>
      <c r="J6750" t="s">
        <v>37085</v>
      </c>
      <c r="K6750" t="s">
        <v>42631</v>
      </c>
      <c r="M6750" t="s">
        <v>45347</v>
      </c>
      <c r="N6750" t="s">
        <v>47304</v>
      </c>
      <c r="O6750" t="s">
        <v>47305</v>
      </c>
      <c r="P6750">
        <v>0</v>
      </c>
      <c r="Q6750">
        <v>4</v>
      </c>
      <c r="R6750" t="s">
        <v>47311</v>
      </c>
      <c r="S6750" t="s">
        <v>47443</v>
      </c>
      <c r="T6750" t="s">
        <v>48980</v>
      </c>
      <c r="U6750" t="s">
        <v>55189</v>
      </c>
      <c r="W6750" t="s">
        <v>45347</v>
      </c>
      <c r="X6750" t="s">
        <v>47312</v>
      </c>
    </row>
    <row r="6751" spans="1:24">
      <c r="A6751">
        <f>HYPERLINK("https://www.philgeps.gov.ph/GEPSNONPILOT/Tender/SplashBidNoticeAbstractUI.aspx?menuIndex=3&amp;refID=7190961&amp;Result=3","7190961")</f>
        <v>0</v>
      </c>
      <c r="B6751" t="s">
        <v>1435</v>
      </c>
      <c r="C6751" t="s">
        <v>10199</v>
      </c>
      <c r="D6751" t="s">
        <v>19025</v>
      </c>
      <c r="E6751" t="s">
        <v>21741</v>
      </c>
      <c r="F6751" t="s">
        <v>32606</v>
      </c>
      <c r="G6751" t="s">
        <v>32614</v>
      </c>
      <c r="H6751" t="s">
        <v>32624</v>
      </c>
      <c r="I6751" t="s">
        <v>4678</v>
      </c>
      <c r="J6751" t="s">
        <v>32949</v>
      </c>
      <c r="K6751" t="s">
        <v>42681</v>
      </c>
      <c r="M6751" t="s">
        <v>45283</v>
      </c>
      <c r="N6751" t="s">
        <v>47304</v>
      </c>
      <c r="O6751" t="s">
        <v>47305</v>
      </c>
      <c r="P6751">
        <v>0</v>
      </c>
      <c r="Q6751">
        <v>3</v>
      </c>
      <c r="R6751" t="s">
        <v>47311</v>
      </c>
      <c r="S6751" t="s">
        <v>47443</v>
      </c>
      <c r="T6751" t="s">
        <v>49071</v>
      </c>
      <c r="U6751" t="s">
        <v>55190</v>
      </c>
      <c r="W6751" t="s">
        <v>45283</v>
      </c>
      <c r="X6751" t="s">
        <v>47312</v>
      </c>
    </row>
    <row r="6752" spans="1:24">
      <c r="A6752">
        <f>HYPERLINK("https://www.philgeps.gov.ph/GEPSNONPILOT/Tender/SplashBidNoticeAbstractUI.aspx?menuIndex=3&amp;refID=7190958&amp;Result=3","7190958")</f>
        <v>0</v>
      </c>
      <c r="B6752" t="s">
        <v>433</v>
      </c>
      <c r="C6752" t="s">
        <v>10200</v>
      </c>
      <c r="D6752" t="s">
        <v>19012</v>
      </c>
      <c r="E6752" t="s">
        <v>24962</v>
      </c>
      <c r="F6752" t="s">
        <v>32606</v>
      </c>
      <c r="G6752" t="s">
        <v>32614</v>
      </c>
      <c r="H6752" t="s">
        <v>14201</v>
      </c>
      <c r="I6752" t="s">
        <v>7233</v>
      </c>
      <c r="J6752" t="s">
        <v>37086</v>
      </c>
      <c r="K6752" t="s">
        <v>42623</v>
      </c>
      <c r="M6752" t="s">
        <v>43339</v>
      </c>
      <c r="N6752" t="s">
        <v>47304</v>
      </c>
      <c r="O6752" t="s">
        <v>47305</v>
      </c>
      <c r="P6752">
        <v>0</v>
      </c>
      <c r="Q6752">
        <v>1</v>
      </c>
      <c r="R6752" t="s">
        <v>47311</v>
      </c>
      <c r="S6752" t="s">
        <v>47443</v>
      </c>
      <c r="T6752" t="s">
        <v>49050</v>
      </c>
      <c r="U6752" t="s">
        <v>55191</v>
      </c>
      <c r="W6752" t="s">
        <v>43339</v>
      </c>
      <c r="X6752" t="s">
        <v>47312</v>
      </c>
    </row>
    <row r="6753" spans="1:24">
      <c r="A6753">
        <f>HYPERLINK("https://www.philgeps.gov.ph/GEPSNONPILOT/Tender/SplashBidNoticeAbstractUI.aspx?menuIndex=3&amp;refID=7190955&amp;Result=3","7190955")</f>
        <v>0</v>
      </c>
      <c r="B6753" t="s">
        <v>2244</v>
      </c>
      <c r="C6753" t="s">
        <v>10201</v>
      </c>
      <c r="D6753" t="s">
        <v>19037</v>
      </c>
      <c r="E6753" t="s">
        <v>20122</v>
      </c>
      <c r="F6753" t="s">
        <v>32606</v>
      </c>
      <c r="G6753" t="s">
        <v>32613</v>
      </c>
      <c r="H6753" t="s">
        <v>32623</v>
      </c>
      <c r="I6753" t="s">
        <v>17648</v>
      </c>
      <c r="J6753" t="s">
        <v>37087</v>
      </c>
      <c r="K6753" t="s">
        <v>42681</v>
      </c>
      <c r="M6753" t="s">
        <v>45348</v>
      </c>
      <c r="N6753" t="s">
        <v>47304</v>
      </c>
      <c r="O6753" t="s">
        <v>47305</v>
      </c>
      <c r="P6753">
        <v>0</v>
      </c>
      <c r="Q6753">
        <v>1</v>
      </c>
      <c r="R6753" t="s">
        <v>47311</v>
      </c>
      <c r="S6753" t="s">
        <v>47443</v>
      </c>
      <c r="T6753" t="s">
        <v>48982</v>
      </c>
      <c r="U6753" t="s">
        <v>55192</v>
      </c>
      <c r="W6753" t="s">
        <v>45348</v>
      </c>
      <c r="X6753" t="s">
        <v>47312</v>
      </c>
    </row>
    <row r="6754" spans="1:24">
      <c r="A6754">
        <f>HYPERLINK("https://www.philgeps.gov.ph/GEPSNONPILOT/Tender/SplashBidNoticeAbstractUI.aspx?menuIndex=3&amp;refID=7190885&amp;Result=3","7190885")</f>
        <v>0</v>
      </c>
      <c r="B6754" t="s">
        <v>1623</v>
      </c>
      <c r="C6754" t="s">
        <v>10202</v>
      </c>
      <c r="D6754" t="s">
        <v>19014</v>
      </c>
      <c r="E6754" t="s">
        <v>24963</v>
      </c>
      <c r="F6754" t="s">
        <v>32606</v>
      </c>
      <c r="G6754" t="s">
        <v>32613</v>
      </c>
      <c r="H6754" t="s">
        <v>14201</v>
      </c>
      <c r="I6754" t="s">
        <v>32626</v>
      </c>
      <c r="J6754" t="s">
        <v>37088</v>
      </c>
      <c r="K6754" t="s">
        <v>42624</v>
      </c>
      <c r="M6754" t="s">
        <v>44643</v>
      </c>
      <c r="N6754" t="s">
        <v>47304</v>
      </c>
      <c r="O6754" t="s">
        <v>47305</v>
      </c>
      <c r="P6754">
        <v>0</v>
      </c>
      <c r="Q6754">
        <v>4</v>
      </c>
      <c r="R6754" t="s">
        <v>47311</v>
      </c>
      <c r="S6754" t="s">
        <v>47443</v>
      </c>
      <c r="T6754" t="s">
        <v>49356</v>
      </c>
      <c r="U6754" t="s">
        <v>55193</v>
      </c>
      <c r="W6754" t="s">
        <v>44643</v>
      </c>
      <c r="X6754" t="s">
        <v>47312</v>
      </c>
    </row>
    <row r="6755" spans="1:24">
      <c r="A6755">
        <f>HYPERLINK("https://www.philgeps.gov.ph/GEPSNONPILOT/Tender/SplashBidNoticeAbstractUI.aspx?menuIndex=3&amp;refID=7190954&amp;Result=3","7190954")</f>
        <v>0</v>
      </c>
      <c r="B6755" t="s">
        <v>2245</v>
      </c>
      <c r="C6755" t="s">
        <v>10203</v>
      </c>
      <c r="D6755" t="s">
        <v>19056</v>
      </c>
      <c r="E6755" t="s">
        <v>24964</v>
      </c>
      <c r="F6755" t="s">
        <v>32606</v>
      </c>
      <c r="G6755" t="s">
        <v>32613</v>
      </c>
      <c r="H6755" t="s">
        <v>32623</v>
      </c>
      <c r="I6755" t="s">
        <v>17648</v>
      </c>
      <c r="J6755" t="s">
        <v>32981</v>
      </c>
      <c r="K6755" t="s">
        <v>42632</v>
      </c>
      <c r="M6755" t="s">
        <v>45349</v>
      </c>
      <c r="N6755" t="s">
        <v>47304</v>
      </c>
      <c r="O6755" t="s">
        <v>47305</v>
      </c>
      <c r="P6755">
        <v>0</v>
      </c>
      <c r="Q6755">
        <v>0</v>
      </c>
      <c r="R6755" t="s">
        <v>47311</v>
      </c>
      <c r="S6755" t="s">
        <v>47443</v>
      </c>
      <c r="T6755" t="s">
        <v>49012</v>
      </c>
      <c r="U6755" t="s">
        <v>55194</v>
      </c>
      <c r="W6755" t="s">
        <v>45349</v>
      </c>
      <c r="X6755" t="s">
        <v>47312</v>
      </c>
    </row>
    <row r="6756" spans="1:24">
      <c r="A6756">
        <f>HYPERLINK("https://www.philgeps.gov.ph/GEPSNONPILOT/Tender/SplashBidNoticeAbstractUI.aspx?menuIndex=3&amp;refID=7190949&amp;Result=3","7190949")</f>
        <v>0</v>
      </c>
      <c r="B6756" t="s">
        <v>2246</v>
      </c>
      <c r="C6756" t="s">
        <v>4830</v>
      </c>
      <c r="D6756" t="s">
        <v>19016</v>
      </c>
      <c r="E6756" t="s">
        <v>24965</v>
      </c>
      <c r="F6756" t="s">
        <v>32606</v>
      </c>
      <c r="G6756" t="s">
        <v>32619</v>
      </c>
      <c r="H6756" t="s">
        <v>14201</v>
      </c>
      <c r="I6756" t="s">
        <v>4120</v>
      </c>
      <c r="J6756" t="s">
        <v>33913</v>
      </c>
      <c r="K6756" t="s">
        <v>42630</v>
      </c>
      <c r="M6756" t="s">
        <v>45350</v>
      </c>
      <c r="N6756" t="s">
        <v>47304</v>
      </c>
      <c r="O6756" t="s">
        <v>47305</v>
      </c>
      <c r="P6756">
        <v>0</v>
      </c>
      <c r="Q6756">
        <v>1</v>
      </c>
      <c r="R6756" t="s">
        <v>47311</v>
      </c>
      <c r="S6756" t="s">
        <v>47443</v>
      </c>
      <c r="T6756" t="s">
        <v>49330</v>
      </c>
      <c r="U6756" t="s">
        <v>55195</v>
      </c>
      <c r="W6756" t="s">
        <v>45350</v>
      </c>
      <c r="X6756" t="s">
        <v>47312</v>
      </c>
    </row>
    <row r="6757" spans="1:24">
      <c r="A6757">
        <f>HYPERLINK("https://www.philgeps.gov.ph/GEPSNONPILOT/Tender/SplashBidNoticeAbstractUI.aspx?menuIndex=3&amp;refID=7190947&amp;Result=3","7190947")</f>
        <v>0</v>
      </c>
      <c r="B6757" t="s">
        <v>2247</v>
      </c>
      <c r="C6757" t="s">
        <v>10204</v>
      </c>
      <c r="D6757" t="s">
        <v>19005</v>
      </c>
      <c r="E6757" t="s">
        <v>24966</v>
      </c>
      <c r="F6757" t="s">
        <v>32606</v>
      </c>
      <c r="G6757" t="s">
        <v>32613</v>
      </c>
      <c r="H6757" t="s">
        <v>32623</v>
      </c>
      <c r="I6757" t="s">
        <v>17648</v>
      </c>
      <c r="J6757" t="s">
        <v>32767</v>
      </c>
      <c r="K6757" t="s">
        <v>42786</v>
      </c>
      <c r="M6757" t="s">
        <v>45351</v>
      </c>
      <c r="N6757" t="s">
        <v>47304</v>
      </c>
      <c r="O6757" t="s">
        <v>47305</v>
      </c>
      <c r="P6757">
        <v>0</v>
      </c>
      <c r="Q6757">
        <v>0</v>
      </c>
      <c r="R6757" t="s">
        <v>47311</v>
      </c>
      <c r="S6757" t="s">
        <v>47443</v>
      </c>
      <c r="T6757" t="s">
        <v>49016</v>
      </c>
      <c r="U6757" t="s">
        <v>55196</v>
      </c>
      <c r="W6757" t="s">
        <v>45351</v>
      </c>
      <c r="X6757" t="s">
        <v>47312</v>
      </c>
    </row>
    <row r="6758" spans="1:24">
      <c r="A6758">
        <f>HYPERLINK("https://www.philgeps.gov.ph/GEPSNONPILOT/Tender/SplashBidNoticeAbstractUI.aspx?menuIndex=3&amp;refID=7190945&amp;Result=3","7190945")</f>
        <v>0</v>
      </c>
      <c r="B6758" t="s">
        <v>192</v>
      </c>
      <c r="C6758" t="s">
        <v>10205</v>
      </c>
      <c r="D6758" t="s">
        <v>19016</v>
      </c>
      <c r="E6758" t="s">
        <v>24967</v>
      </c>
      <c r="F6758" t="s">
        <v>32606</v>
      </c>
      <c r="G6758" t="s">
        <v>32614</v>
      </c>
      <c r="H6758" t="s">
        <v>14201</v>
      </c>
      <c r="I6758" t="s">
        <v>7677</v>
      </c>
      <c r="J6758" t="s">
        <v>37089</v>
      </c>
      <c r="K6758" t="s">
        <v>42624</v>
      </c>
      <c r="M6758" t="s">
        <v>43093</v>
      </c>
      <c r="N6758" t="s">
        <v>47304</v>
      </c>
      <c r="O6758" t="s">
        <v>47305</v>
      </c>
      <c r="P6758">
        <v>0</v>
      </c>
      <c r="Q6758">
        <v>1</v>
      </c>
      <c r="R6758" t="s">
        <v>47311</v>
      </c>
      <c r="S6758" t="s">
        <v>47443</v>
      </c>
      <c r="T6758" t="s">
        <v>49269</v>
      </c>
      <c r="U6758" t="s">
        <v>49914</v>
      </c>
      <c r="V6758" t="s">
        <v>62691</v>
      </c>
      <c r="W6758" t="s">
        <v>43093</v>
      </c>
      <c r="X6758" t="s">
        <v>47312</v>
      </c>
    </row>
    <row r="6759" spans="1:24">
      <c r="A6759">
        <f>HYPERLINK("https://www.philgeps.gov.ph/GEPSNONPILOT/Tender/SplashBidNoticeAbstractUI.aspx?menuIndex=3&amp;refID=7190874&amp;Result=3","7190874")</f>
        <v>0</v>
      </c>
      <c r="B6759" t="s">
        <v>2229</v>
      </c>
      <c r="C6759" t="s">
        <v>10206</v>
      </c>
      <c r="D6759" t="s">
        <v>19044</v>
      </c>
      <c r="E6759" t="s">
        <v>24968</v>
      </c>
      <c r="F6759" t="s">
        <v>32606</v>
      </c>
      <c r="G6759" t="s">
        <v>32613</v>
      </c>
      <c r="H6759" t="s">
        <v>14201</v>
      </c>
      <c r="I6759" t="s">
        <v>4678</v>
      </c>
      <c r="J6759" t="s">
        <v>33291</v>
      </c>
      <c r="K6759" t="s">
        <v>42622</v>
      </c>
      <c r="M6759" t="s">
        <v>45333</v>
      </c>
      <c r="N6759" t="s">
        <v>47304</v>
      </c>
      <c r="O6759" t="s">
        <v>47305</v>
      </c>
      <c r="P6759">
        <v>0</v>
      </c>
      <c r="Q6759">
        <v>1</v>
      </c>
      <c r="R6759" t="s">
        <v>47311</v>
      </c>
      <c r="S6759" t="s">
        <v>47443</v>
      </c>
      <c r="T6759" t="s">
        <v>48980</v>
      </c>
      <c r="U6759" t="s">
        <v>55197</v>
      </c>
      <c r="W6759" t="s">
        <v>45333</v>
      </c>
      <c r="X6759" t="s">
        <v>47312</v>
      </c>
    </row>
    <row r="6760" spans="1:24">
      <c r="A6760">
        <f>HYPERLINK("https://www.philgeps.gov.ph/GEPSNONPILOT/Tender/SplashBidNoticeAbstractUI.aspx?menuIndex=3&amp;refID=7190944&amp;Result=3","7190944")</f>
        <v>0</v>
      </c>
      <c r="B6760" t="s">
        <v>1456</v>
      </c>
      <c r="C6760" t="s">
        <v>10207</v>
      </c>
      <c r="D6760" t="s">
        <v>19014</v>
      </c>
      <c r="E6760" t="s">
        <v>24969</v>
      </c>
      <c r="F6760" t="s">
        <v>32606</v>
      </c>
      <c r="G6760" t="s">
        <v>32617</v>
      </c>
      <c r="H6760" t="s">
        <v>14201</v>
      </c>
      <c r="I6760" t="s">
        <v>32633</v>
      </c>
      <c r="J6760" t="s">
        <v>37090</v>
      </c>
      <c r="K6760" t="s">
        <v>42624</v>
      </c>
      <c r="M6760" t="s">
        <v>44447</v>
      </c>
      <c r="N6760" t="s">
        <v>47304</v>
      </c>
      <c r="O6760" t="s">
        <v>47305</v>
      </c>
      <c r="P6760">
        <v>0</v>
      </c>
      <c r="Q6760">
        <v>7</v>
      </c>
      <c r="R6760" t="s">
        <v>47311</v>
      </c>
      <c r="S6760" t="s">
        <v>47443</v>
      </c>
      <c r="T6760" t="s">
        <v>49071</v>
      </c>
      <c r="U6760" t="s">
        <v>55198</v>
      </c>
      <c r="W6760" t="s">
        <v>44447</v>
      </c>
      <c r="X6760" t="s">
        <v>47312</v>
      </c>
    </row>
    <row r="6761" spans="1:24">
      <c r="A6761">
        <f>HYPERLINK("https://www.philgeps.gov.ph/GEPSNONPILOT/Tender/SplashBidNoticeAbstractUI.aspx?menuIndex=3&amp;refID=7190942&amp;Result=3","7190942")</f>
        <v>0</v>
      </c>
      <c r="B6761" t="s">
        <v>2245</v>
      </c>
      <c r="C6761" t="s">
        <v>10208</v>
      </c>
      <c r="D6761" t="s">
        <v>19056</v>
      </c>
      <c r="E6761" t="s">
        <v>24970</v>
      </c>
      <c r="F6761" t="s">
        <v>32606</v>
      </c>
      <c r="G6761" t="s">
        <v>32613</v>
      </c>
      <c r="H6761" t="s">
        <v>32623</v>
      </c>
      <c r="I6761" t="s">
        <v>17648</v>
      </c>
      <c r="J6761" t="s">
        <v>32981</v>
      </c>
      <c r="K6761" t="s">
        <v>42632</v>
      </c>
      <c r="M6761" t="s">
        <v>45349</v>
      </c>
      <c r="N6761" t="s">
        <v>47304</v>
      </c>
      <c r="O6761" t="s">
        <v>47305</v>
      </c>
      <c r="P6761">
        <v>0</v>
      </c>
      <c r="Q6761">
        <v>0</v>
      </c>
      <c r="R6761" t="s">
        <v>47311</v>
      </c>
      <c r="S6761" t="s">
        <v>47443</v>
      </c>
      <c r="T6761" t="s">
        <v>49004</v>
      </c>
      <c r="U6761" t="s">
        <v>55199</v>
      </c>
      <c r="W6761" t="s">
        <v>45349</v>
      </c>
      <c r="X6761" t="s">
        <v>47312</v>
      </c>
    </row>
    <row r="6762" spans="1:24">
      <c r="A6762">
        <f>HYPERLINK("https://www.philgeps.gov.ph/GEPSNONPILOT/Tender/SplashBidNoticeAbstractUI.aspx?menuIndex=3&amp;refID=7190957&amp;Result=3","7190957")</f>
        <v>0</v>
      </c>
      <c r="B6762" t="s">
        <v>1465</v>
      </c>
      <c r="C6762" t="s">
        <v>10209</v>
      </c>
      <c r="D6762" t="s">
        <v>18991</v>
      </c>
      <c r="E6762" t="s">
        <v>24971</v>
      </c>
      <c r="F6762" t="s">
        <v>32606</v>
      </c>
      <c r="G6762" t="s">
        <v>32614</v>
      </c>
      <c r="H6762" t="s">
        <v>14201</v>
      </c>
      <c r="I6762" t="s">
        <v>32640</v>
      </c>
      <c r="J6762" t="s">
        <v>37091</v>
      </c>
      <c r="K6762" t="s">
        <v>42631</v>
      </c>
      <c r="M6762" t="s">
        <v>44459</v>
      </c>
      <c r="N6762" t="s">
        <v>47304</v>
      </c>
      <c r="O6762" t="s">
        <v>47305</v>
      </c>
      <c r="P6762">
        <v>0</v>
      </c>
      <c r="Q6762">
        <v>6</v>
      </c>
      <c r="R6762" t="s">
        <v>47311</v>
      </c>
      <c r="S6762" t="s">
        <v>47443</v>
      </c>
      <c r="T6762" t="s">
        <v>49268</v>
      </c>
      <c r="U6762" t="s">
        <v>52738</v>
      </c>
      <c r="W6762" t="s">
        <v>44459</v>
      </c>
      <c r="X6762" t="s">
        <v>47312</v>
      </c>
    </row>
    <row r="6763" spans="1:24">
      <c r="A6763">
        <f>HYPERLINK("https://www.philgeps.gov.ph/GEPSNONPILOT/Tender/SplashBidNoticeAbstractUI.aspx?menuIndex=3&amp;refID=7190930&amp;Result=3","7190930")</f>
        <v>0</v>
      </c>
      <c r="B6763" t="s">
        <v>652</v>
      </c>
      <c r="C6763" t="s">
        <v>10210</v>
      </c>
      <c r="D6763" t="s">
        <v>18993</v>
      </c>
      <c r="E6763" t="s">
        <v>24972</v>
      </c>
      <c r="F6763" t="s">
        <v>32606</v>
      </c>
      <c r="G6763" t="s">
        <v>32614</v>
      </c>
      <c r="H6763" t="s">
        <v>14201</v>
      </c>
      <c r="I6763" t="s">
        <v>32640</v>
      </c>
      <c r="J6763" t="s">
        <v>37092</v>
      </c>
      <c r="K6763" t="s">
        <v>42639</v>
      </c>
      <c r="M6763" t="s">
        <v>45352</v>
      </c>
      <c r="N6763" t="s">
        <v>47304</v>
      </c>
      <c r="O6763" t="s">
        <v>47305</v>
      </c>
      <c r="P6763">
        <v>0</v>
      </c>
      <c r="Q6763">
        <v>5</v>
      </c>
      <c r="R6763" t="s">
        <v>47311</v>
      </c>
      <c r="S6763" t="s">
        <v>47443</v>
      </c>
      <c r="T6763" t="s">
        <v>49221</v>
      </c>
      <c r="U6763" t="s">
        <v>55200</v>
      </c>
      <c r="W6763" t="s">
        <v>45352</v>
      </c>
      <c r="X6763" t="s">
        <v>47312</v>
      </c>
    </row>
    <row r="6764" spans="1:24">
      <c r="A6764">
        <f>HYPERLINK("https://www.philgeps.gov.ph/GEPSNONPILOT/Tender/SplashBidNoticeAbstractUI.aspx?menuIndex=3&amp;refID=7190926&amp;Result=3","7190926")</f>
        <v>0</v>
      </c>
      <c r="B6764" t="s">
        <v>2248</v>
      </c>
      <c r="C6764" t="s">
        <v>10211</v>
      </c>
      <c r="D6764" t="s">
        <v>19001</v>
      </c>
      <c r="E6764" t="s">
        <v>24973</v>
      </c>
      <c r="F6764" t="s">
        <v>32606</v>
      </c>
      <c r="G6764" t="s">
        <v>32614</v>
      </c>
      <c r="H6764" t="s">
        <v>14201</v>
      </c>
      <c r="I6764" t="s">
        <v>7529</v>
      </c>
      <c r="J6764" t="s">
        <v>34106</v>
      </c>
      <c r="K6764" t="s">
        <v>42631</v>
      </c>
      <c r="M6764" t="s">
        <v>45353</v>
      </c>
      <c r="N6764" t="s">
        <v>47304</v>
      </c>
      <c r="O6764" t="s">
        <v>47305</v>
      </c>
      <c r="P6764">
        <v>0</v>
      </c>
      <c r="Q6764">
        <v>6</v>
      </c>
      <c r="R6764" t="s">
        <v>47311</v>
      </c>
      <c r="S6764" t="s">
        <v>47443</v>
      </c>
      <c r="T6764" t="s">
        <v>49072</v>
      </c>
      <c r="U6764" t="s">
        <v>55201</v>
      </c>
      <c r="W6764" t="s">
        <v>45353</v>
      </c>
      <c r="X6764" t="s">
        <v>47312</v>
      </c>
    </row>
    <row r="6765" spans="1:24">
      <c r="A6765">
        <f>HYPERLINK("https://www.philgeps.gov.ph/GEPSNONPILOT/Tender/SplashBidNoticeAbstractUI.aspx?menuIndex=3&amp;refID=7190925&amp;Result=3","7190925")</f>
        <v>0</v>
      </c>
      <c r="B6765" t="s">
        <v>2249</v>
      </c>
      <c r="C6765" t="s">
        <v>10212</v>
      </c>
      <c r="D6765" t="s">
        <v>19003</v>
      </c>
      <c r="E6765" t="s">
        <v>24974</v>
      </c>
      <c r="F6765" t="s">
        <v>32606</v>
      </c>
      <c r="G6765" t="s">
        <v>32617</v>
      </c>
      <c r="H6765" t="s">
        <v>14201</v>
      </c>
      <c r="I6765" t="s">
        <v>6478</v>
      </c>
      <c r="J6765" t="s">
        <v>32770</v>
      </c>
      <c r="K6765" t="s">
        <v>42629</v>
      </c>
      <c r="M6765" t="s">
        <v>45354</v>
      </c>
      <c r="N6765" t="s">
        <v>47304</v>
      </c>
      <c r="O6765" t="s">
        <v>47305</v>
      </c>
      <c r="P6765">
        <v>0</v>
      </c>
      <c r="Q6765">
        <v>1</v>
      </c>
      <c r="R6765" t="s">
        <v>47311</v>
      </c>
      <c r="S6765" t="s">
        <v>47443</v>
      </c>
      <c r="T6765" t="s">
        <v>49047</v>
      </c>
      <c r="U6765" t="s">
        <v>55202</v>
      </c>
      <c r="W6765" t="s">
        <v>45354</v>
      </c>
      <c r="X6765" t="s">
        <v>47312</v>
      </c>
    </row>
    <row r="6766" spans="1:24">
      <c r="A6766">
        <f>HYPERLINK("https://www.philgeps.gov.ph/GEPSNONPILOT/Tender/SplashBidNoticeAbstractUI.aspx?menuIndex=3&amp;refID=7190919&amp;Result=3","7190919")</f>
        <v>0</v>
      </c>
      <c r="B6766" t="s">
        <v>2250</v>
      </c>
      <c r="C6766" t="s">
        <v>10213</v>
      </c>
      <c r="D6766" t="s">
        <v>19007</v>
      </c>
      <c r="E6766" t="s">
        <v>24975</v>
      </c>
      <c r="F6766" t="s">
        <v>32606</v>
      </c>
      <c r="G6766" t="s">
        <v>32613</v>
      </c>
      <c r="H6766" t="s">
        <v>32623</v>
      </c>
      <c r="I6766" t="s">
        <v>17648</v>
      </c>
      <c r="J6766" t="s">
        <v>33460</v>
      </c>
      <c r="K6766" t="s">
        <v>42631</v>
      </c>
      <c r="M6766" t="s">
        <v>45355</v>
      </c>
      <c r="N6766" t="s">
        <v>47304</v>
      </c>
      <c r="O6766" t="s">
        <v>47305</v>
      </c>
      <c r="P6766">
        <v>0</v>
      </c>
      <c r="Q6766">
        <v>0</v>
      </c>
      <c r="R6766" t="s">
        <v>47311</v>
      </c>
      <c r="S6766" t="s">
        <v>47443</v>
      </c>
      <c r="T6766" t="s">
        <v>49075</v>
      </c>
      <c r="U6766" t="s">
        <v>55203</v>
      </c>
      <c r="V6766" t="s">
        <v>63301</v>
      </c>
      <c r="W6766" t="s">
        <v>45355</v>
      </c>
      <c r="X6766" t="s">
        <v>47312</v>
      </c>
    </row>
    <row r="6767" spans="1:24">
      <c r="A6767">
        <f>HYPERLINK("https://www.philgeps.gov.ph/GEPSNONPILOT/Tender/SplashBidNoticeAbstractUI.aspx?menuIndex=3&amp;refID=7190875&amp;Result=3","7190875")</f>
        <v>0</v>
      </c>
      <c r="B6767" t="s">
        <v>1682</v>
      </c>
      <c r="C6767" t="s">
        <v>10214</v>
      </c>
      <c r="D6767" t="s">
        <v>19054</v>
      </c>
      <c r="E6767" t="s">
        <v>21154</v>
      </c>
      <c r="F6767" t="s">
        <v>32606</v>
      </c>
      <c r="G6767" t="s">
        <v>32613</v>
      </c>
      <c r="H6767" t="s">
        <v>32623</v>
      </c>
      <c r="I6767" t="s">
        <v>17648</v>
      </c>
      <c r="J6767" t="s">
        <v>37093</v>
      </c>
      <c r="K6767" t="s">
        <v>42712</v>
      </c>
      <c r="M6767" t="s">
        <v>44711</v>
      </c>
      <c r="N6767" t="s">
        <v>47304</v>
      </c>
      <c r="O6767" t="s">
        <v>47305</v>
      </c>
      <c r="P6767">
        <v>0</v>
      </c>
      <c r="Q6767">
        <v>0</v>
      </c>
      <c r="R6767" t="s">
        <v>47311</v>
      </c>
      <c r="S6767" t="s">
        <v>47443</v>
      </c>
      <c r="T6767" t="s">
        <v>49027</v>
      </c>
      <c r="U6767" t="s">
        <v>55204</v>
      </c>
      <c r="V6767" t="s">
        <v>63077</v>
      </c>
      <c r="W6767" t="s">
        <v>44711</v>
      </c>
      <c r="X6767" t="s">
        <v>47312</v>
      </c>
    </row>
    <row r="6768" spans="1:24">
      <c r="A6768">
        <f>HYPERLINK("https://www.philgeps.gov.ph/GEPSNONPILOT/Tender/SplashBidNoticeAbstractUI.aspx?menuIndex=3&amp;refID=7190918&amp;Result=3","7190918")</f>
        <v>0</v>
      </c>
      <c r="B6768" t="s">
        <v>644</v>
      </c>
      <c r="C6768" t="s">
        <v>10215</v>
      </c>
      <c r="D6768" t="s">
        <v>19022</v>
      </c>
      <c r="E6768" t="s">
        <v>10215</v>
      </c>
      <c r="F6768" t="s">
        <v>32606</v>
      </c>
      <c r="G6768" t="s">
        <v>32614</v>
      </c>
      <c r="H6768" t="s">
        <v>14201</v>
      </c>
      <c r="I6768" t="s">
        <v>32723</v>
      </c>
      <c r="J6768" t="s">
        <v>37094</v>
      </c>
      <c r="K6768" t="s">
        <v>42624</v>
      </c>
      <c r="M6768" t="s">
        <v>44072</v>
      </c>
      <c r="N6768" t="s">
        <v>47304</v>
      </c>
      <c r="O6768" t="s">
        <v>47305</v>
      </c>
      <c r="P6768">
        <v>0</v>
      </c>
      <c r="Q6768">
        <v>1</v>
      </c>
      <c r="R6768" t="s">
        <v>47311</v>
      </c>
      <c r="S6768" t="s">
        <v>47443</v>
      </c>
      <c r="T6768" t="s">
        <v>49331</v>
      </c>
      <c r="U6768" t="s">
        <v>55205</v>
      </c>
      <c r="W6768" t="s">
        <v>44072</v>
      </c>
      <c r="X6768" t="s">
        <v>47312</v>
      </c>
    </row>
    <row r="6769" spans="1:24">
      <c r="A6769">
        <f>HYPERLINK("https://www.philgeps.gov.ph/GEPSNONPILOT/Tender/SplashBidNoticeAbstractUI.aspx?menuIndex=3&amp;refID=7190891&amp;Result=3","7190891")</f>
        <v>0</v>
      </c>
      <c r="B6769" t="s">
        <v>2113</v>
      </c>
      <c r="C6769" t="s">
        <v>10216</v>
      </c>
      <c r="D6769" t="s">
        <v>19012</v>
      </c>
      <c r="E6769" t="s">
        <v>24976</v>
      </c>
      <c r="F6769" t="s">
        <v>32606</v>
      </c>
      <c r="G6769" t="s">
        <v>32613</v>
      </c>
      <c r="H6769" t="s">
        <v>14201</v>
      </c>
      <c r="I6769" t="s">
        <v>32631</v>
      </c>
      <c r="J6769" t="s">
        <v>32778</v>
      </c>
      <c r="K6769" t="s">
        <v>42631</v>
      </c>
      <c r="M6769" t="s">
        <v>45199</v>
      </c>
      <c r="N6769" t="s">
        <v>47304</v>
      </c>
      <c r="O6769" t="s">
        <v>47305</v>
      </c>
      <c r="P6769">
        <v>0</v>
      </c>
      <c r="Q6769">
        <v>0</v>
      </c>
      <c r="R6769" t="s">
        <v>47311</v>
      </c>
      <c r="S6769" t="s">
        <v>47443</v>
      </c>
      <c r="T6769" t="s">
        <v>49023</v>
      </c>
      <c r="U6769" t="s">
        <v>55001</v>
      </c>
      <c r="W6769" t="s">
        <v>45199</v>
      </c>
      <c r="X6769" t="s">
        <v>47312</v>
      </c>
    </row>
    <row r="6770" spans="1:24">
      <c r="A6770">
        <f>HYPERLINK("https://www.philgeps.gov.ph/GEPSNONPILOT/Tender/SplashBidNoticeAbstractUI.aspx?menuIndex=3&amp;refID=7190911&amp;Result=3","7190911")</f>
        <v>0</v>
      </c>
      <c r="B6770" t="s">
        <v>1586</v>
      </c>
      <c r="C6770" t="s">
        <v>10217</v>
      </c>
      <c r="D6770" t="s">
        <v>19038</v>
      </c>
      <c r="E6770" t="s">
        <v>24977</v>
      </c>
      <c r="F6770" t="s">
        <v>32610</v>
      </c>
      <c r="G6770" t="s">
        <v>32613</v>
      </c>
      <c r="H6770" t="s">
        <v>32623</v>
      </c>
      <c r="I6770" t="s">
        <v>17648</v>
      </c>
      <c r="J6770" t="s">
        <v>37095</v>
      </c>
      <c r="K6770" t="s">
        <v>42636</v>
      </c>
      <c r="M6770" t="s">
        <v>44599</v>
      </c>
      <c r="N6770" t="s">
        <v>47304</v>
      </c>
      <c r="O6770" t="s">
        <v>47305</v>
      </c>
      <c r="P6770">
        <v>0</v>
      </c>
      <c r="Q6770">
        <v>0</v>
      </c>
      <c r="R6770" t="s">
        <v>47311</v>
      </c>
      <c r="S6770" t="s">
        <v>47443</v>
      </c>
      <c r="T6770" t="s">
        <v>48985</v>
      </c>
      <c r="U6770" t="s">
        <v>55206</v>
      </c>
      <c r="W6770" t="s">
        <v>44599</v>
      </c>
      <c r="X6770" t="s">
        <v>47312</v>
      </c>
    </row>
    <row r="6771" spans="1:24">
      <c r="A6771">
        <f>HYPERLINK("https://www.philgeps.gov.ph/GEPSNONPILOT/Tender/SplashBidNoticeAbstractUI.aspx?menuIndex=3&amp;refID=7190943&amp;Result=3","7190943")</f>
        <v>0</v>
      </c>
      <c r="B6771" t="s">
        <v>2251</v>
      </c>
      <c r="C6771" t="s">
        <v>10218</v>
      </c>
      <c r="D6771" t="s">
        <v>19008</v>
      </c>
      <c r="E6771" t="s">
        <v>24978</v>
      </c>
      <c r="F6771" t="s">
        <v>32606</v>
      </c>
      <c r="G6771" t="s">
        <v>32613</v>
      </c>
      <c r="H6771" t="s">
        <v>32623</v>
      </c>
      <c r="I6771" t="s">
        <v>17648</v>
      </c>
      <c r="J6771" t="s">
        <v>32770</v>
      </c>
      <c r="K6771" t="s">
        <v>42631</v>
      </c>
      <c r="M6771" t="s">
        <v>45356</v>
      </c>
      <c r="N6771" t="s">
        <v>47304</v>
      </c>
      <c r="O6771" t="s">
        <v>47305</v>
      </c>
      <c r="P6771">
        <v>0</v>
      </c>
      <c r="Q6771">
        <v>0</v>
      </c>
      <c r="R6771" t="s">
        <v>47311</v>
      </c>
      <c r="S6771" t="s">
        <v>47443</v>
      </c>
      <c r="T6771" t="s">
        <v>48980</v>
      </c>
      <c r="U6771" t="s">
        <v>55207</v>
      </c>
      <c r="V6771" t="s">
        <v>63302</v>
      </c>
      <c r="W6771" t="s">
        <v>45356</v>
      </c>
      <c r="X6771" t="s">
        <v>47312</v>
      </c>
    </row>
    <row r="6772" spans="1:24">
      <c r="A6772">
        <f>HYPERLINK("https://www.philgeps.gov.ph/GEPSNONPILOT/Tender/SplashBidNoticeAbstractUI.aspx?menuIndex=3&amp;refID=7190872&amp;Result=3","7190872")</f>
        <v>0</v>
      </c>
      <c r="B6772" t="s">
        <v>2222</v>
      </c>
      <c r="C6772" t="s">
        <v>10219</v>
      </c>
      <c r="D6772" t="s">
        <v>19025</v>
      </c>
      <c r="E6772" t="s">
        <v>24979</v>
      </c>
      <c r="F6772" t="s">
        <v>32606</v>
      </c>
      <c r="G6772" t="s">
        <v>32619</v>
      </c>
      <c r="H6772" t="s">
        <v>14201</v>
      </c>
      <c r="I6772" t="s">
        <v>6931</v>
      </c>
      <c r="J6772" t="s">
        <v>33095</v>
      </c>
      <c r="K6772" t="s">
        <v>42631</v>
      </c>
      <c r="M6772" t="s">
        <v>45326</v>
      </c>
      <c r="N6772" t="s">
        <v>47304</v>
      </c>
      <c r="O6772" t="s">
        <v>47305</v>
      </c>
      <c r="P6772">
        <v>0</v>
      </c>
      <c r="Q6772">
        <v>1</v>
      </c>
      <c r="R6772" t="s">
        <v>47311</v>
      </c>
      <c r="S6772" t="s">
        <v>47443</v>
      </c>
      <c r="T6772" t="s">
        <v>49165</v>
      </c>
      <c r="U6772" t="s">
        <v>55208</v>
      </c>
      <c r="W6772" t="s">
        <v>45326</v>
      </c>
      <c r="X6772" t="s">
        <v>47312</v>
      </c>
    </row>
    <row r="6773" spans="1:24">
      <c r="A6773">
        <f>HYPERLINK("https://www.philgeps.gov.ph/GEPSNONPILOT/Tender/SplashBidNoticeAbstractUI.aspx?menuIndex=3&amp;refID=7190871&amp;Result=3","7190871")</f>
        <v>0</v>
      </c>
      <c r="B6773" t="s">
        <v>2158</v>
      </c>
      <c r="C6773" t="s">
        <v>10220</v>
      </c>
      <c r="D6773" t="s">
        <v>19019</v>
      </c>
      <c r="E6773" t="s">
        <v>24980</v>
      </c>
      <c r="F6773" t="s">
        <v>32606</v>
      </c>
      <c r="G6773" t="s">
        <v>32613</v>
      </c>
      <c r="H6773" t="s">
        <v>32623</v>
      </c>
      <c r="I6773" t="s">
        <v>17648</v>
      </c>
      <c r="J6773" t="s">
        <v>37096</v>
      </c>
      <c r="K6773" t="s">
        <v>42645</v>
      </c>
      <c r="M6773" t="s">
        <v>45252</v>
      </c>
      <c r="N6773" t="s">
        <v>47304</v>
      </c>
      <c r="O6773" t="s">
        <v>47305</v>
      </c>
      <c r="P6773">
        <v>0</v>
      </c>
      <c r="Q6773">
        <v>0</v>
      </c>
      <c r="R6773" t="s">
        <v>47311</v>
      </c>
      <c r="S6773" t="s">
        <v>47443</v>
      </c>
      <c r="T6773" t="s">
        <v>49357</v>
      </c>
      <c r="U6773" t="s">
        <v>55209</v>
      </c>
      <c r="W6773" t="s">
        <v>45252</v>
      </c>
      <c r="X6773" t="s">
        <v>47312</v>
      </c>
    </row>
    <row r="6774" spans="1:24">
      <c r="A6774">
        <f>HYPERLINK("https://www.philgeps.gov.ph/GEPSNONPILOT/Tender/SplashBidNoticeAbstractUI.aspx?menuIndex=3&amp;refID=7190867&amp;Result=3","7190867")</f>
        <v>0</v>
      </c>
      <c r="B6774" t="s">
        <v>2252</v>
      </c>
      <c r="C6774" t="s">
        <v>10221</v>
      </c>
      <c r="E6774" t="s">
        <v>24981</v>
      </c>
      <c r="F6774" t="s">
        <v>32606</v>
      </c>
      <c r="G6774" t="s">
        <v>32613</v>
      </c>
      <c r="H6774" t="s">
        <v>14201</v>
      </c>
      <c r="I6774" t="s">
        <v>7577</v>
      </c>
      <c r="J6774" t="s">
        <v>33940</v>
      </c>
      <c r="K6774" t="s">
        <v>42624</v>
      </c>
      <c r="M6774" t="s">
        <v>45357</v>
      </c>
      <c r="N6774" t="s">
        <v>47304</v>
      </c>
      <c r="O6774" t="s">
        <v>47305</v>
      </c>
      <c r="P6774">
        <v>0</v>
      </c>
      <c r="Q6774">
        <v>3</v>
      </c>
      <c r="R6774" t="s">
        <v>47311</v>
      </c>
      <c r="S6774" t="s">
        <v>47443</v>
      </c>
      <c r="T6774" t="s">
        <v>49009</v>
      </c>
      <c r="U6774" t="s">
        <v>55210</v>
      </c>
      <c r="W6774" t="s">
        <v>45357</v>
      </c>
      <c r="X6774" t="s">
        <v>47312</v>
      </c>
    </row>
    <row r="6775" spans="1:24">
      <c r="A6775">
        <f>HYPERLINK("https://www.philgeps.gov.ph/GEPSNONPILOT/Tender/SplashBidNoticeAbstractUI.aspx?menuIndex=3&amp;refID=7190785&amp;Result=3","7190785")</f>
        <v>0</v>
      </c>
      <c r="B6775" t="s">
        <v>644</v>
      </c>
      <c r="C6775" t="s">
        <v>10222</v>
      </c>
      <c r="D6775" t="s">
        <v>19022</v>
      </c>
      <c r="E6775" t="s">
        <v>24982</v>
      </c>
      <c r="F6775" t="s">
        <v>32606</v>
      </c>
      <c r="G6775" t="s">
        <v>32614</v>
      </c>
      <c r="H6775" t="s">
        <v>14201</v>
      </c>
      <c r="I6775" t="s">
        <v>6931</v>
      </c>
      <c r="J6775" t="s">
        <v>33892</v>
      </c>
      <c r="K6775" t="s">
        <v>42624</v>
      </c>
      <c r="M6775" t="s">
        <v>44072</v>
      </c>
      <c r="N6775" t="s">
        <v>47304</v>
      </c>
      <c r="O6775" t="s">
        <v>47305</v>
      </c>
      <c r="P6775">
        <v>0</v>
      </c>
      <c r="Q6775">
        <v>2</v>
      </c>
      <c r="R6775" t="s">
        <v>47311</v>
      </c>
      <c r="S6775" t="s">
        <v>47443</v>
      </c>
      <c r="T6775" t="s">
        <v>49331</v>
      </c>
      <c r="U6775" t="s">
        <v>55211</v>
      </c>
      <c r="W6775" t="s">
        <v>44072</v>
      </c>
      <c r="X6775" t="s">
        <v>47312</v>
      </c>
    </row>
    <row r="6776" spans="1:24">
      <c r="A6776">
        <f>HYPERLINK("https://www.philgeps.gov.ph/GEPSNONPILOT/Tender/SplashBidNoticeAbstractUI.aspx?menuIndex=3&amp;refID=7190748&amp;Result=3","7190748")</f>
        <v>0</v>
      </c>
      <c r="B6776" t="s">
        <v>2253</v>
      </c>
      <c r="C6776" t="s">
        <v>10223</v>
      </c>
      <c r="D6776" t="s">
        <v>19052</v>
      </c>
      <c r="E6776" t="s">
        <v>24983</v>
      </c>
      <c r="F6776" t="s">
        <v>32606</v>
      </c>
      <c r="G6776" t="s">
        <v>32614</v>
      </c>
      <c r="H6776" t="s">
        <v>14201</v>
      </c>
      <c r="I6776" t="s">
        <v>32741</v>
      </c>
      <c r="J6776" t="s">
        <v>32765</v>
      </c>
      <c r="K6776" t="s">
        <v>42623</v>
      </c>
      <c r="M6776" t="s">
        <v>45358</v>
      </c>
      <c r="N6776" t="s">
        <v>47304</v>
      </c>
      <c r="O6776" t="s">
        <v>47305</v>
      </c>
      <c r="P6776">
        <v>0</v>
      </c>
      <c r="Q6776">
        <v>2</v>
      </c>
      <c r="R6776" t="s">
        <v>47311</v>
      </c>
      <c r="S6776" t="s">
        <v>47443</v>
      </c>
      <c r="T6776" t="s">
        <v>48998</v>
      </c>
      <c r="U6776" t="s">
        <v>55212</v>
      </c>
      <c r="V6776" t="s">
        <v>63303</v>
      </c>
      <c r="W6776" t="s">
        <v>45358</v>
      </c>
      <c r="X6776" t="s">
        <v>47312</v>
      </c>
    </row>
    <row r="6777" spans="1:24">
      <c r="A6777">
        <f>HYPERLINK("https://www.philgeps.gov.ph/GEPSNONPILOT/Tender/SplashBidNoticeAbstractUI.aspx?menuIndex=3&amp;refID=7190747&amp;Result=3","7190747")</f>
        <v>0</v>
      </c>
      <c r="B6777" t="s">
        <v>317</v>
      </c>
      <c r="C6777" t="s">
        <v>10224</v>
      </c>
      <c r="D6777" t="s">
        <v>19011</v>
      </c>
      <c r="E6777" t="s">
        <v>24984</v>
      </c>
      <c r="F6777" t="s">
        <v>32606</v>
      </c>
      <c r="G6777" t="s">
        <v>32614</v>
      </c>
      <c r="H6777" t="s">
        <v>14201</v>
      </c>
      <c r="I6777" t="s">
        <v>32633</v>
      </c>
      <c r="J6777" t="s">
        <v>37097</v>
      </c>
      <c r="K6777" t="s">
        <v>42622</v>
      </c>
      <c r="M6777" t="s">
        <v>43571</v>
      </c>
      <c r="N6777" t="s">
        <v>47304</v>
      </c>
      <c r="O6777" t="s">
        <v>47305</v>
      </c>
      <c r="P6777">
        <v>0</v>
      </c>
      <c r="Q6777">
        <v>5</v>
      </c>
      <c r="R6777" t="s">
        <v>47311</v>
      </c>
      <c r="S6777" t="s">
        <v>47443</v>
      </c>
      <c r="T6777" t="s">
        <v>49014</v>
      </c>
      <c r="U6777" t="s">
        <v>55213</v>
      </c>
      <c r="W6777" t="s">
        <v>43571</v>
      </c>
      <c r="X6777" t="s">
        <v>47312</v>
      </c>
    </row>
    <row r="6778" spans="1:24">
      <c r="A6778">
        <f>HYPERLINK("https://www.philgeps.gov.ph/GEPSNONPILOT/Tender/SplashBidNoticeAbstractUI.aspx?menuIndex=3&amp;refID=7190746&amp;Result=3","7190746")</f>
        <v>0</v>
      </c>
      <c r="B6778" t="s">
        <v>745</v>
      </c>
      <c r="C6778" t="s">
        <v>10225</v>
      </c>
      <c r="D6778" t="s">
        <v>19043</v>
      </c>
      <c r="E6778" t="s">
        <v>24985</v>
      </c>
      <c r="F6778" t="s">
        <v>32606</v>
      </c>
      <c r="G6778" t="s">
        <v>32615</v>
      </c>
      <c r="H6778" t="s">
        <v>14201</v>
      </c>
      <c r="I6778" t="s">
        <v>4678</v>
      </c>
      <c r="J6778" t="s">
        <v>37098</v>
      </c>
      <c r="K6778" t="s">
        <v>42622</v>
      </c>
      <c r="M6778" t="s">
        <v>43668</v>
      </c>
      <c r="N6778" t="s">
        <v>47304</v>
      </c>
      <c r="O6778" t="s">
        <v>47305</v>
      </c>
      <c r="P6778">
        <v>0</v>
      </c>
      <c r="Q6778">
        <v>0</v>
      </c>
      <c r="R6778" t="s">
        <v>47311</v>
      </c>
      <c r="S6778" t="s">
        <v>47443</v>
      </c>
      <c r="T6778" t="s">
        <v>49267</v>
      </c>
      <c r="U6778" t="s">
        <v>55214</v>
      </c>
      <c r="W6778" t="s">
        <v>43668</v>
      </c>
      <c r="X6778" t="s">
        <v>47312</v>
      </c>
    </row>
    <row r="6779" spans="1:24">
      <c r="A6779">
        <f>HYPERLINK("https://www.philgeps.gov.ph/GEPSNONPILOT/Tender/SplashBidNoticeAbstractUI.aspx?menuIndex=3&amp;refID=7190745&amp;Result=3","7190745")</f>
        <v>0</v>
      </c>
      <c r="B6779" t="s">
        <v>1529</v>
      </c>
      <c r="C6779" t="s">
        <v>10226</v>
      </c>
      <c r="D6779" t="s">
        <v>18993</v>
      </c>
      <c r="E6779" t="s">
        <v>24986</v>
      </c>
      <c r="F6779" t="s">
        <v>32606</v>
      </c>
      <c r="G6779" t="s">
        <v>32614</v>
      </c>
      <c r="H6779" t="s">
        <v>14201</v>
      </c>
      <c r="I6779" t="s">
        <v>4120</v>
      </c>
      <c r="J6779" t="s">
        <v>37099</v>
      </c>
      <c r="K6779" t="s">
        <v>42631</v>
      </c>
      <c r="M6779" t="s">
        <v>44532</v>
      </c>
      <c r="N6779" t="s">
        <v>47304</v>
      </c>
      <c r="O6779" t="s">
        <v>47305</v>
      </c>
      <c r="P6779">
        <v>0</v>
      </c>
      <c r="Q6779">
        <v>9</v>
      </c>
      <c r="R6779" t="s">
        <v>47311</v>
      </c>
      <c r="S6779" t="s">
        <v>47443</v>
      </c>
      <c r="T6779" t="s">
        <v>49041</v>
      </c>
      <c r="U6779" t="s">
        <v>52911</v>
      </c>
      <c r="W6779" t="s">
        <v>44532</v>
      </c>
      <c r="X6779" t="s">
        <v>47312</v>
      </c>
    </row>
    <row r="6780" spans="1:24">
      <c r="A6780">
        <f>HYPERLINK("https://www.philgeps.gov.ph/GEPSNONPILOT/Tender/SplashBidNoticeAbstractUI.aspx?menuIndex=3&amp;refID=7190741&amp;Result=3","7190741")</f>
        <v>0</v>
      </c>
      <c r="B6780" t="s">
        <v>2221</v>
      </c>
      <c r="C6780" t="s">
        <v>10227</v>
      </c>
      <c r="D6780" t="s">
        <v>19007</v>
      </c>
      <c r="E6780" t="s">
        <v>24987</v>
      </c>
      <c r="F6780" t="s">
        <v>32606</v>
      </c>
      <c r="G6780" t="s">
        <v>32613</v>
      </c>
      <c r="H6780" t="s">
        <v>32623</v>
      </c>
      <c r="I6780" t="s">
        <v>17648</v>
      </c>
      <c r="J6780" t="s">
        <v>37100</v>
      </c>
      <c r="K6780" t="s">
        <v>42646</v>
      </c>
      <c r="L6780" t="s">
        <v>2221</v>
      </c>
      <c r="M6780" t="s">
        <v>45325</v>
      </c>
      <c r="N6780" t="s">
        <v>47304</v>
      </c>
      <c r="O6780" t="s">
        <v>47305</v>
      </c>
      <c r="P6780">
        <v>0</v>
      </c>
      <c r="Q6780">
        <v>0</v>
      </c>
      <c r="R6780" t="s">
        <v>47311</v>
      </c>
      <c r="S6780" t="s">
        <v>47443</v>
      </c>
      <c r="T6780" t="s">
        <v>49037</v>
      </c>
      <c r="U6780" t="s">
        <v>53667</v>
      </c>
      <c r="W6780" t="s">
        <v>45325</v>
      </c>
      <c r="X6780" t="s">
        <v>47312</v>
      </c>
    </row>
    <row r="6781" spans="1:24">
      <c r="A6781">
        <f>HYPERLINK("https://www.philgeps.gov.ph/GEPSNONPILOT/Tender/SplashBidNoticeAbstractUI.aspx?menuIndex=3&amp;refID=7190740&amp;Result=3","7190740")</f>
        <v>0</v>
      </c>
      <c r="B6781" t="s">
        <v>1545</v>
      </c>
      <c r="C6781" t="s">
        <v>10228</v>
      </c>
      <c r="D6781" t="s">
        <v>19056</v>
      </c>
      <c r="E6781" t="s">
        <v>24988</v>
      </c>
      <c r="F6781" t="s">
        <v>32606</v>
      </c>
      <c r="G6781" t="s">
        <v>32613</v>
      </c>
      <c r="H6781" t="s">
        <v>32623</v>
      </c>
      <c r="I6781" t="s">
        <v>17648</v>
      </c>
      <c r="J6781" t="s">
        <v>37101</v>
      </c>
      <c r="K6781" t="s">
        <v>42623</v>
      </c>
      <c r="M6781" t="s">
        <v>44549</v>
      </c>
      <c r="N6781" t="s">
        <v>47304</v>
      </c>
      <c r="O6781" t="s">
        <v>47305</v>
      </c>
      <c r="P6781">
        <v>0</v>
      </c>
      <c r="Q6781">
        <v>0</v>
      </c>
      <c r="R6781" t="s">
        <v>47311</v>
      </c>
      <c r="S6781" t="s">
        <v>47443</v>
      </c>
      <c r="T6781" t="s">
        <v>49100</v>
      </c>
      <c r="U6781" t="s">
        <v>55215</v>
      </c>
      <c r="W6781" t="s">
        <v>44549</v>
      </c>
      <c r="X6781" t="s">
        <v>47312</v>
      </c>
    </row>
    <row r="6782" spans="1:24">
      <c r="A6782">
        <f>HYPERLINK("https://www.philgeps.gov.ph/GEPSNONPILOT/Tender/SplashBidNoticeAbstractUI.aspx?menuIndex=3&amp;refID=7188551&amp;Result=3","7188551")</f>
        <v>0</v>
      </c>
      <c r="B6782" t="s">
        <v>2119</v>
      </c>
      <c r="C6782" t="s">
        <v>10229</v>
      </c>
      <c r="D6782" t="s">
        <v>18993</v>
      </c>
      <c r="E6782" t="s">
        <v>24989</v>
      </c>
      <c r="F6782" t="s">
        <v>32607</v>
      </c>
      <c r="G6782" t="s">
        <v>32613</v>
      </c>
      <c r="H6782" t="s">
        <v>14201</v>
      </c>
      <c r="I6782" t="s">
        <v>32721</v>
      </c>
      <c r="J6782" t="s">
        <v>32789</v>
      </c>
      <c r="K6782" t="s">
        <v>42631</v>
      </c>
      <c r="M6782" t="s">
        <v>45206</v>
      </c>
      <c r="N6782" t="s">
        <v>47304</v>
      </c>
      <c r="O6782" t="s">
        <v>47305</v>
      </c>
      <c r="P6782">
        <v>0</v>
      </c>
      <c r="Q6782">
        <v>0</v>
      </c>
      <c r="R6782" t="s">
        <v>47311</v>
      </c>
      <c r="S6782" t="s">
        <v>47443</v>
      </c>
      <c r="T6782" t="s">
        <v>49066</v>
      </c>
      <c r="U6782" t="s">
        <v>55216</v>
      </c>
      <c r="V6782" t="s">
        <v>63251</v>
      </c>
      <c r="W6782" t="s">
        <v>45206</v>
      </c>
      <c r="X6782" t="s">
        <v>47313</v>
      </c>
    </row>
    <row r="6783" spans="1:24">
      <c r="A6783">
        <f>HYPERLINK("https://www.philgeps.gov.ph/GEPSNONPILOT/Tender/SplashBidNoticeAbstractUI.aspx?menuIndex=3&amp;refID=7190914&amp;Result=3","7190914")</f>
        <v>0</v>
      </c>
      <c r="B6783" t="s">
        <v>2223</v>
      </c>
      <c r="C6783" t="s">
        <v>10230</v>
      </c>
      <c r="D6783" t="s">
        <v>18993</v>
      </c>
      <c r="E6783" t="s">
        <v>24990</v>
      </c>
      <c r="F6783" t="s">
        <v>32606</v>
      </c>
      <c r="G6783" t="s">
        <v>32619</v>
      </c>
      <c r="H6783" t="s">
        <v>14201</v>
      </c>
      <c r="I6783" t="s">
        <v>4114</v>
      </c>
      <c r="J6783" t="s">
        <v>32973</v>
      </c>
      <c r="K6783" t="s">
        <v>42630</v>
      </c>
      <c r="M6783" t="s">
        <v>45327</v>
      </c>
      <c r="N6783" t="s">
        <v>47304</v>
      </c>
      <c r="O6783" t="s">
        <v>47305</v>
      </c>
      <c r="P6783">
        <v>0</v>
      </c>
      <c r="Q6783">
        <v>2</v>
      </c>
      <c r="R6783" t="s">
        <v>47311</v>
      </c>
      <c r="S6783" t="s">
        <v>47443</v>
      </c>
      <c r="T6783" t="s">
        <v>49165</v>
      </c>
      <c r="U6783" t="s">
        <v>55217</v>
      </c>
      <c r="V6783" t="s">
        <v>63293</v>
      </c>
      <c r="W6783" t="s">
        <v>45327</v>
      </c>
      <c r="X6783" t="s">
        <v>47312</v>
      </c>
    </row>
    <row r="6784" spans="1:24">
      <c r="A6784">
        <f>HYPERLINK("https://www.philgeps.gov.ph/GEPSNONPILOT/Tender/SplashBidNoticeAbstractUI.aspx?menuIndex=3&amp;refID=7190878&amp;Result=3","7190878")</f>
        <v>0</v>
      </c>
      <c r="B6784" t="s">
        <v>2221</v>
      </c>
      <c r="C6784" t="s">
        <v>10231</v>
      </c>
      <c r="D6784" t="s">
        <v>19007</v>
      </c>
      <c r="E6784" t="s">
        <v>24991</v>
      </c>
      <c r="F6784" t="s">
        <v>32606</v>
      </c>
      <c r="G6784" t="s">
        <v>32613</v>
      </c>
      <c r="H6784" t="s">
        <v>32623</v>
      </c>
      <c r="I6784" t="s">
        <v>17648</v>
      </c>
      <c r="J6784" t="s">
        <v>37102</v>
      </c>
      <c r="K6784" t="s">
        <v>42712</v>
      </c>
      <c r="L6784" t="s">
        <v>2221</v>
      </c>
      <c r="M6784" t="s">
        <v>45325</v>
      </c>
      <c r="N6784" t="s">
        <v>47304</v>
      </c>
      <c r="O6784" t="s">
        <v>47305</v>
      </c>
      <c r="P6784">
        <v>0</v>
      </c>
      <c r="Q6784">
        <v>3</v>
      </c>
      <c r="R6784" t="s">
        <v>47311</v>
      </c>
      <c r="S6784" t="s">
        <v>47443</v>
      </c>
      <c r="T6784" t="s">
        <v>49037</v>
      </c>
      <c r="U6784" t="s">
        <v>55218</v>
      </c>
      <c r="W6784" t="s">
        <v>45325</v>
      </c>
      <c r="X6784" t="s">
        <v>47312</v>
      </c>
    </row>
    <row r="6785" spans="1:24">
      <c r="A6785">
        <f>HYPERLINK("https://www.philgeps.gov.ph/GEPSNONPILOT/Tender/SplashBidNoticeAbstractUI.aspx?menuIndex=3&amp;refID=7187741&amp;Result=3","7187741")</f>
        <v>0</v>
      </c>
      <c r="B6785" t="s">
        <v>2109</v>
      </c>
      <c r="C6785" t="s">
        <v>10232</v>
      </c>
      <c r="D6785" t="s">
        <v>18988</v>
      </c>
      <c r="E6785" t="s">
        <v>24992</v>
      </c>
      <c r="F6785" t="s">
        <v>32606</v>
      </c>
      <c r="G6785" t="s">
        <v>32613</v>
      </c>
      <c r="H6785" t="s">
        <v>14201</v>
      </c>
      <c r="I6785" t="s">
        <v>6931</v>
      </c>
      <c r="J6785" t="s">
        <v>37103</v>
      </c>
      <c r="K6785" t="s">
        <v>42624</v>
      </c>
      <c r="M6785" t="s">
        <v>45194</v>
      </c>
      <c r="N6785" t="s">
        <v>47304</v>
      </c>
      <c r="O6785" t="s">
        <v>47305</v>
      </c>
      <c r="P6785">
        <v>0</v>
      </c>
      <c r="Q6785">
        <v>0</v>
      </c>
      <c r="R6785" t="s">
        <v>47311</v>
      </c>
      <c r="S6785" t="s">
        <v>47443</v>
      </c>
      <c r="T6785" t="s">
        <v>49004</v>
      </c>
      <c r="U6785" t="s">
        <v>54807</v>
      </c>
      <c r="W6785" t="s">
        <v>45194</v>
      </c>
      <c r="X6785" t="s">
        <v>47313</v>
      </c>
    </row>
    <row r="6786" spans="1:24">
      <c r="A6786">
        <f>HYPERLINK("https://www.philgeps.gov.ph/GEPSNONPILOT/Tender/SplashBidNoticeAbstractUI.aspx?menuIndex=3&amp;refID=7187715&amp;Result=3","7187715")</f>
        <v>0</v>
      </c>
      <c r="B6786" t="s">
        <v>2254</v>
      </c>
      <c r="C6786" t="s">
        <v>10233</v>
      </c>
      <c r="D6786" t="s">
        <v>19052</v>
      </c>
      <c r="E6786" t="s">
        <v>24993</v>
      </c>
      <c r="F6786" t="s">
        <v>32606</v>
      </c>
      <c r="G6786" t="s">
        <v>32613</v>
      </c>
      <c r="H6786" t="s">
        <v>32623</v>
      </c>
      <c r="I6786" t="s">
        <v>17648</v>
      </c>
      <c r="J6786" t="s">
        <v>37104</v>
      </c>
      <c r="K6786" t="s">
        <v>42624</v>
      </c>
      <c r="M6786" t="s">
        <v>45359</v>
      </c>
      <c r="N6786" t="s">
        <v>47304</v>
      </c>
      <c r="O6786" t="s">
        <v>47305</v>
      </c>
      <c r="P6786">
        <v>0</v>
      </c>
      <c r="Q6786">
        <v>0</v>
      </c>
      <c r="R6786" t="s">
        <v>47311</v>
      </c>
      <c r="S6786" t="s">
        <v>47443</v>
      </c>
      <c r="T6786" t="s">
        <v>48979</v>
      </c>
      <c r="U6786" t="s">
        <v>55219</v>
      </c>
      <c r="W6786" t="s">
        <v>45359</v>
      </c>
      <c r="X6786" t="s">
        <v>47313</v>
      </c>
    </row>
    <row r="6787" spans="1:24">
      <c r="A6787">
        <f>HYPERLINK("https://www.philgeps.gov.ph/GEPSNONPILOT/Tender/SplashBidNoticeAbstractUI.aspx?menuIndex=3&amp;refID=7187674&amp;Result=3","7187674")</f>
        <v>0</v>
      </c>
      <c r="B6787" t="s">
        <v>2255</v>
      </c>
      <c r="C6787" t="s">
        <v>10234</v>
      </c>
      <c r="D6787" t="s">
        <v>19058</v>
      </c>
      <c r="E6787" t="s">
        <v>19315</v>
      </c>
      <c r="F6787" t="s">
        <v>32606</v>
      </c>
      <c r="G6787" t="s">
        <v>32614</v>
      </c>
      <c r="H6787" t="s">
        <v>14201</v>
      </c>
      <c r="I6787" t="s">
        <v>4120</v>
      </c>
      <c r="J6787" t="s">
        <v>34207</v>
      </c>
      <c r="K6787" t="s">
        <v>42631</v>
      </c>
      <c r="M6787" t="s">
        <v>45360</v>
      </c>
      <c r="N6787" t="s">
        <v>47304</v>
      </c>
      <c r="O6787" t="s">
        <v>47305</v>
      </c>
      <c r="P6787">
        <v>0</v>
      </c>
      <c r="Q6787">
        <v>5</v>
      </c>
      <c r="R6787" t="s">
        <v>47311</v>
      </c>
      <c r="S6787" t="s">
        <v>47443</v>
      </c>
      <c r="T6787" t="s">
        <v>49010</v>
      </c>
      <c r="U6787" t="s">
        <v>55220</v>
      </c>
      <c r="W6787" t="s">
        <v>45360</v>
      </c>
      <c r="X6787" t="s">
        <v>47313</v>
      </c>
    </row>
    <row r="6788" spans="1:24">
      <c r="A6788">
        <f>HYPERLINK("https://www.philgeps.gov.ph/GEPSNONPILOT/Tender/SplashBidNoticeAbstractUI.aspx?menuIndex=3&amp;refID=7187641&amp;Result=3","7187641")</f>
        <v>0</v>
      </c>
      <c r="B6788" t="s">
        <v>451</v>
      </c>
      <c r="C6788" t="s">
        <v>10235</v>
      </c>
      <c r="D6788" t="s">
        <v>19008</v>
      </c>
      <c r="E6788" t="s">
        <v>24994</v>
      </c>
      <c r="F6788" t="s">
        <v>32606</v>
      </c>
      <c r="G6788" t="s">
        <v>32613</v>
      </c>
      <c r="H6788" t="s">
        <v>14201</v>
      </c>
      <c r="I6788" t="s">
        <v>6931</v>
      </c>
      <c r="J6788" t="s">
        <v>37105</v>
      </c>
      <c r="K6788" t="s">
        <v>42623</v>
      </c>
      <c r="M6788" t="s">
        <v>43360</v>
      </c>
      <c r="N6788" t="s">
        <v>47304</v>
      </c>
      <c r="O6788" t="s">
        <v>47305</v>
      </c>
      <c r="P6788">
        <v>0</v>
      </c>
      <c r="Q6788">
        <v>0</v>
      </c>
      <c r="R6788" t="s">
        <v>47311</v>
      </c>
      <c r="S6788" t="s">
        <v>47443</v>
      </c>
      <c r="T6788" t="s">
        <v>48979</v>
      </c>
      <c r="U6788" t="s">
        <v>55221</v>
      </c>
      <c r="V6788" t="s">
        <v>63304</v>
      </c>
      <c r="W6788" t="s">
        <v>43360</v>
      </c>
      <c r="X6788" t="s">
        <v>47313</v>
      </c>
    </row>
    <row r="6789" spans="1:24">
      <c r="A6789">
        <f>HYPERLINK("https://www.philgeps.gov.ph/GEPSNONPILOT/Tender/SplashBidNoticeAbstractUI.aspx?menuIndex=3&amp;refID=7187640&amp;Result=3","7187640")</f>
        <v>0</v>
      </c>
      <c r="B6789" t="s">
        <v>2256</v>
      </c>
      <c r="C6789" t="s">
        <v>10236</v>
      </c>
      <c r="D6789" t="s">
        <v>19007</v>
      </c>
      <c r="E6789" t="s">
        <v>24348</v>
      </c>
      <c r="F6789" t="s">
        <v>32606</v>
      </c>
      <c r="G6789" t="s">
        <v>32613</v>
      </c>
      <c r="H6789" t="s">
        <v>14201</v>
      </c>
      <c r="I6789" t="s">
        <v>6298</v>
      </c>
      <c r="J6789" t="s">
        <v>32949</v>
      </c>
      <c r="K6789" t="s">
        <v>42624</v>
      </c>
      <c r="M6789" t="s">
        <v>45361</v>
      </c>
      <c r="N6789" t="s">
        <v>47304</v>
      </c>
      <c r="O6789" t="s">
        <v>47305</v>
      </c>
      <c r="P6789">
        <v>0</v>
      </c>
      <c r="Q6789">
        <v>0</v>
      </c>
      <c r="R6789" t="s">
        <v>47311</v>
      </c>
      <c r="S6789" t="s">
        <v>47443</v>
      </c>
      <c r="T6789" t="s">
        <v>49050</v>
      </c>
      <c r="U6789" t="s">
        <v>55222</v>
      </c>
      <c r="W6789" t="s">
        <v>45361</v>
      </c>
      <c r="X6789" t="s">
        <v>47313</v>
      </c>
    </row>
    <row r="6790" spans="1:24">
      <c r="A6790">
        <f>HYPERLINK("https://www.philgeps.gov.ph/GEPSNONPILOT/Tender/SplashBidNoticeAbstractUI.aspx?menuIndex=3&amp;refID=7187535&amp;Result=3","7187535")</f>
        <v>0</v>
      </c>
      <c r="B6790" t="s">
        <v>2104</v>
      </c>
      <c r="C6790" t="s">
        <v>10237</v>
      </c>
      <c r="D6790" t="s">
        <v>18990</v>
      </c>
      <c r="E6790" t="s">
        <v>20176</v>
      </c>
      <c r="F6790" t="s">
        <v>32606</v>
      </c>
      <c r="G6790" t="s">
        <v>32613</v>
      </c>
      <c r="H6790" t="s">
        <v>32623</v>
      </c>
      <c r="I6790" t="s">
        <v>17648</v>
      </c>
      <c r="J6790" t="s">
        <v>37106</v>
      </c>
      <c r="K6790" t="s">
        <v>42777</v>
      </c>
      <c r="M6790" t="s">
        <v>45189</v>
      </c>
      <c r="N6790" t="s">
        <v>47304</v>
      </c>
      <c r="O6790" t="s">
        <v>47305</v>
      </c>
      <c r="P6790">
        <v>0</v>
      </c>
      <c r="Q6790">
        <v>0</v>
      </c>
      <c r="R6790" t="s">
        <v>47311</v>
      </c>
      <c r="S6790" t="s">
        <v>47443</v>
      </c>
      <c r="T6790" t="s">
        <v>49146</v>
      </c>
      <c r="U6790" t="s">
        <v>55223</v>
      </c>
      <c r="W6790" t="s">
        <v>45189</v>
      </c>
      <c r="X6790" t="s">
        <v>47313</v>
      </c>
    </row>
    <row r="6791" spans="1:24">
      <c r="A6791">
        <f>HYPERLINK("https://www.philgeps.gov.ph/GEPSNONPILOT/Tender/SplashBidNoticeAbstractUI.aspx?menuIndex=3&amp;refID=7187487&amp;Result=3","7187487")</f>
        <v>0</v>
      </c>
      <c r="B6791" t="s">
        <v>2104</v>
      </c>
      <c r="C6791" t="s">
        <v>10238</v>
      </c>
      <c r="D6791" t="s">
        <v>18990</v>
      </c>
      <c r="E6791" t="s">
        <v>23179</v>
      </c>
      <c r="F6791" t="s">
        <v>32606</v>
      </c>
      <c r="G6791" t="s">
        <v>32613</v>
      </c>
      <c r="H6791" t="s">
        <v>14201</v>
      </c>
      <c r="I6791" t="s">
        <v>32664</v>
      </c>
      <c r="J6791" t="s">
        <v>34912</v>
      </c>
      <c r="K6791" t="s">
        <v>42777</v>
      </c>
      <c r="M6791" t="s">
        <v>45189</v>
      </c>
      <c r="N6791" t="s">
        <v>47304</v>
      </c>
      <c r="O6791" t="s">
        <v>47305</v>
      </c>
      <c r="P6791">
        <v>0</v>
      </c>
      <c r="Q6791">
        <v>2</v>
      </c>
      <c r="R6791" t="s">
        <v>47311</v>
      </c>
      <c r="S6791" t="s">
        <v>47443</v>
      </c>
      <c r="T6791" t="s">
        <v>49146</v>
      </c>
      <c r="U6791" t="s">
        <v>55224</v>
      </c>
      <c r="W6791" t="s">
        <v>45189</v>
      </c>
      <c r="X6791" t="s">
        <v>47313</v>
      </c>
    </row>
    <row r="6792" spans="1:24">
      <c r="A6792">
        <f>HYPERLINK("https://www.philgeps.gov.ph/GEPSNONPILOT/Tender/SplashBidNoticeAbstractUI.aspx?menuIndex=3&amp;refID=7184532&amp;Result=3","7184532")</f>
        <v>0</v>
      </c>
      <c r="B6792" t="s">
        <v>496</v>
      </c>
      <c r="C6792" t="s">
        <v>10239</v>
      </c>
      <c r="D6792" t="s">
        <v>19011</v>
      </c>
      <c r="E6792" t="s">
        <v>24995</v>
      </c>
      <c r="F6792" t="s">
        <v>32606</v>
      </c>
      <c r="G6792" t="s">
        <v>32613</v>
      </c>
      <c r="H6792" t="s">
        <v>14201</v>
      </c>
      <c r="I6792" t="s">
        <v>32650</v>
      </c>
      <c r="J6792" t="s">
        <v>37107</v>
      </c>
      <c r="K6792" t="s">
        <v>42631</v>
      </c>
      <c r="M6792" t="s">
        <v>43409</v>
      </c>
      <c r="N6792" t="s">
        <v>47304</v>
      </c>
      <c r="O6792" t="s">
        <v>47305</v>
      </c>
      <c r="P6792">
        <v>0</v>
      </c>
      <c r="Q6792">
        <v>1</v>
      </c>
      <c r="R6792" t="s">
        <v>47311</v>
      </c>
      <c r="S6792" t="s">
        <v>47443</v>
      </c>
      <c r="T6792" t="s">
        <v>48973</v>
      </c>
      <c r="U6792" t="s">
        <v>55225</v>
      </c>
      <c r="W6792" t="s">
        <v>64438</v>
      </c>
      <c r="X6792" t="s">
        <v>47314</v>
      </c>
    </row>
    <row r="6793" spans="1:24">
      <c r="A6793">
        <f>HYPERLINK("https://www.philgeps.gov.ph/GEPSNONPILOT/Tender/SplashBidNoticeAbstractUI.aspx?menuIndex=3&amp;refID=7184428&amp;Result=3","7184428")</f>
        <v>0</v>
      </c>
      <c r="B6793" t="s">
        <v>2110</v>
      </c>
      <c r="C6793" t="s">
        <v>10240</v>
      </c>
      <c r="D6793" t="s">
        <v>19047</v>
      </c>
      <c r="E6793" t="s">
        <v>24996</v>
      </c>
      <c r="F6793" t="s">
        <v>32606</v>
      </c>
      <c r="G6793" t="s">
        <v>32613</v>
      </c>
      <c r="H6793" t="s">
        <v>14201</v>
      </c>
      <c r="I6793" t="s">
        <v>6931</v>
      </c>
      <c r="J6793" t="s">
        <v>37108</v>
      </c>
      <c r="K6793" t="s">
        <v>42623</v>
      </c>
      <c r="M6793" t="s">
        <v>45195</v>
      </c>
      <c r="N6793" t="s">
        <v>47304</v>
      </c>
      <c r="O6793" t="s">
        <v>47305</v>
      </c>
      <c r="P6793">
        <v>0</v>
      </c>
      <c r="Q6793">
        <v>0</v>
      </c>
      <c r="R6793" t="s">
        <v>47311</v>
      </c>
      <c r="S6793" t="s">
        <v>47443</v>
      </c>
      <c r="T6793" t="s">
        <v>49080</v>
      </c>
      <c r="U6793" t="s">
        <v>54806</v>
      </c>
      <c r="W6793" t="s">
        <v>45195</v>
      </c>
      <c r="X6793" t="s">
        <v>47314</v>
      </c>
    </row>
    <row r="6794" spans="1:24">
      <c r="A6794">
        <f>HYPERLINK("https://www.philgeps.gov.ph/GEPSNONPILOT/Tender/SplashBidNoticeAbstractUI.aspx?menuIndex=3&amp;refID=7184291&amp;Result=3","7184291")</f>
        <v>0</v>
      </c>
      <c r="B6794" t="s">
        <v>2257</v>
      </c>
      <c r="C6794" t="s">
        <v>10241</v>
      </c>
      <c r="D6794" t="s">
        <v>19053</v>
      </c>
      <c r="E6794" t="s">
        <v>24997</v>
      </c>
      <c r="F6794" t="s">
        <v>32606</v>
      </c>
      <c r="G6794" t="s">
        <v>32616</v>
      </c>
      <c r="H6794" t="s">
        <v>14201</v>
      </c>
      <c r="I6794" t="s">
        <v>32658</v>
      </c>
      <c r="J6794" t="s">
        <v>32764</v>
      </c>
      <c r="K6794" t="s">
        <v>42630</v>
      </c>
      <c r="M6794" t="s">
        <v>45362</v>
      </c>
      <c r="N6794" t="s">
        <v>47304</v>
      </c>
      <c r="O6794" t="s">
        <v>47305</v>
      </c>
      <c r="Q6794">
        <v>6</v>
      </c>
      <c r="R6794" t="s">
        <v>47311</v>
      </c>
      <c r="S6794" t="s">
        <v>47468</v>
      </c>
      <c r="T6794" t="s">
        <v>48975</v>
      </c>
      <c r="U6794" t="s">
        <v>55226</v>
      </c>
      <c r="W6794" t="s">
        <v>45362</v>
      </c>
      <c r="X6794" t="s">
        <v>47314</v>
      </c>
    </row>
    <row r="6795" spans="1:24">
      <c r="A6795">
        <f>HYPERLINK("https://www.philgeps.gov.ph/GEPSNONPILOT/Tender/SplashBidNoticeAbstractUI.aspx?menuIndex=3&amp;refID=7193750&amp;Result=3","7193750")</f>
        <v>0</v>
      </c>
      <c r="B6795" t="s">
        <v>1086</v>
      </c>
      <c r="C6795" t="s">
        <v>10242</v>
      </c>
      <c r="E6795" t="s">
        <v>24998</v>
      </c>
      <c r="F6795" t="s">
        <v>32606</v>
      </c>
      <c r="G6795" t="s">
        <v>32613</v>
      </c>
      <c r="H6795" t="s">
        <v>14201</v>
      </c>
      <c r="I6795" t="s">
        <v>32638</v>
      </c>
      <c r="J6795" t="s">
        <v>37109</v>
      </c>
      <c r="K6795" t="s">
        <v>42624</v>
      </c>
      <c r="M6795" t="s">
        <v>44041</v>
      </c>
      <c r="N6795" t="s">
        <v>47304</v>
      </c>
      <c r="O6795" t="s">
        <v>47305</v>
      </c>
      <c r="P6795">
        <v>0</v>
      </c>
      <c r="Q6795">
        <v>6</v>
      </c>
      <c r="R6795" t="s">
        <v>47310</v>
      </c>
      <c r="S6795" t="s">
        <v>47435</v>
      </c>
      <c r="T6795" t="s">
        <v>48995</v>
      </c>
      <c r="U6795" t="s">
        <v>55227</v>
      </c>
      <c r="W6795" t="s">
        <v>44041</v>
      </c>
      <c r="X6795" t="s">
        <v>47311</v>
      </c>
    </row>
    <row r="6796" spans="1:24">
      <c r="A6796">
        <f>HYPERLINK("https://www.philgeps.gov.ph/GEPSNONPILOT/Tender/SplashBidNoticeAbstractUI.aspx?menuIndex=3&amp;refID=7193749&amp;Result=3","7193749")</f>
        <v>0</v>
      </c>
      <c r="B6796" t="s">
        <v>467</v>
      </c>
      <c r="C6796" t="s">
        <v>10243</v>
      </c>
      <c r="D6796" t="s">
        <v>19004</v>
      </c>
      <c r="E6796" t="s">
        <v>24999</v>
      </c>
      <c r="F6796" t="s">
        <v>32606</v>
      </c>
      <c r="G6796" t="s">
        <v>32613</v>
      </c>
      <c r="H6796" t="s">
        <v>14201</v>
      </c>
      <c r="I6796" t="s">
        <v>6931</v>
      </c>
      <c r="J6796" t="s">
        <v>37110</v>
      </c>
      <c r="K6796" t="s">
        <v>42631</v>
      </c>
      <c r="M6796" t="s">
        <v>44997</v>
      </c>
      <c r="N6796" t="s">
        <v>47304</v>
      </c>
      <c r="O6796" t="s">
        <v>47305</v>
      </c>
      <c r="P6796">
        <v>0</v>
      </c>
      <c r="Q6796">
        <v>7</v>
      </c>
      <c r="R6796" t="s">
        <v>47310</v>
      </c>
      <c r="S6796" t="s">
        <v>47435</v>
      </c>
      <c r="T6796" t="s">
        <v>49024</v>
      </c>
      <c r="U6796" t="s">
        <v>55228</v>
      </c>
      <c r="W6796" t="s">
        <v>44997</v>
      </c>
      <c r="X6796" t="s">
        <v>47311</v>
      </c>
    </row>
    <row r="6797" spans="1:24">
      <c r="A6797">
        <f>HYPERLINK("https://www.philgeps.gov.ph/GEPSNONPILOT/Tender/SplashBidNoticeAbstractUI.aspx?menuIndex=3&amp;refID=7190743&amp;Result=3","7190743")</f>
        <v>0</v>
      </c>
      <c r="B6797" t="s">
        <v>2200</v>
      </c>
      <c r="C6797" t="s">
        <v>10244</v>
      </c>
      <c r="D6797" t="s">
        <v>19010</v>
      </c>
      <c r="E6797" t="s">
        <v>25000</v>
      </c>
      <c r="F6797" t="s">
        <v>32606</v>
      </c>
      <c r="G6797" t="s">
        <v>32619</v>
      </c>
      <c r="H6797" t="s">
        <v>14201</v>
      </c>
      <c r="I6797" t="s">
        <v>32735</v>
      </c>
      <c r="J6797" t="s">
        <v>37111</v>
      </c>
      <c r="K6797" t="s">
        <v>42630</v>
      </c>
      <c r="M6797" t="s">
        <v>45303</v>
      </c>
      <c r="N6797" t="s">
        <v>47304</v>
      </c>
      <c r="O6797" t="s">
        <v>47305</v>
      </c>
      <c r="P6797">
        <v>0</v>
      </c>
      <c r="Q6797">
        <v>0</v>
      </c>
      <c r="R6797" t="s">
        <v>47311</v>
      </c>
      <c r="S6797" t="s">
        <v>47443</v>
      </c>
      <c r="T6797" t="s">
        <v>48987</v>
      </c>
      <c r="U6797" t="s">
        <v>55056</v>
      </c>
      <c r="W6797" t="s">
        <v>45303</v>
      </c>
      <c r="X6797" t="s">
        <v>47312</v>
      </c>
    </row>
    <row r="6798" spans="1:24">
      <c r="A6798">
        <f>HYPERLINK("https://www.philgeps.gov.ph/GEPSNONPILOT/Tender/SplashBidNoticeAbstractUI.aspx?menuIndex=3&amp;refID=7190788&amp;Result=3","7190788")</f>
        <v>0</v>
      </c>
      <c r="B6798" t="s">
        <v>1435</v>
      </c>
      <c r="C6798" t="s">
        <v>10245</v>
      </c>
      <c r="D6798" t="s">
        <v>19025</v>
      </c>
      <c r="E6798" t="s">
        <v>25001</v>
      </c>
      <c r="F6798" t="s">
        <v>32606</v>
      </c>
      <c r="G6798" t="s">
        <v>32614</v>
      </c>
      <c r="H6798" t="s">
        <v>14201</v>
      </c>
      <c r="I6798" t="s">
        <v>7233</v>
      </c>
      <c r="J6798" t="s">
        <v>32752</v>
      </c>
      <c r="K6798" t="s">
        <v>42629</v>
      </c>
      <c r="M6798" t="s">
        <v>45300</v>
      </c>
      <c r="N6798" t="s">
        <v>47304</v>
      </c>
      <c r="O6798" t="s">
        <v>47305</v>
      </c>
      <c r="P6798">
        <v>0</v>
      </c>
      <c r="Q6798">
        <v>2</v>
      </c>
      <c r="R6798" t="s">
        <v>47311</v>
      </c>
      <c r="S6798" t="s">
        <v>47443</v>
      </c>
      <c r="T6798" t="s">
        <v>49071</v>
      </c>
      <c r="U6798" t="s">
        <v>55229</v>
      </c>
      <c r="W6798" t="s">
        <v>45300</v>
      </c>
      <c r="X6798" t="s">
        <v>47312</v>
      </c>
    </row>
    <row r="6799" spans="1:24">
      <c r="A6799">
        <f>HYPERLINK("https://www.philgeps.gov.ph/GEPSNONPILOT/Tender/SplashBidNoticeAbstractUI.aspx?menuIndex=3&amp;refID=7184542&amp;Result=3","7184542")</f>
        <v>0</v>
      </c>
      <c r="B6799" t="s">
        <v>2110</v>
      </c>
      <c r="C6799" t="s">
        <v>10246</v>
      </c>
      <c r="D6799" t="s">
        <v>19047</v>
      </c>
      <c r="E6799" t="s">
        <v>25002</v>
      </c>
      <c r="F6799" t="s">
        <v>32606</v>
      </c>
      <c r="G6799" t="s">
        <v>32613</v>
      </c>
      <c r="H6799" t="s">
        <v>14201</v>
      </c>
      <c r="I6799" t="s">
        <v>6931</v>
      </c>
      <c r="J6799" t="s">
        <v>37112</v>
      </c>
      <c r="K6799" t="s">
        <v>42623</v>
      </c>
      <c r="M6799" t="s">
        <v>45195</v>
      </c>
      <c r="N6799" t="s">
        <v>47304</v>
      </c>
      <c r="O6799" t="s">
        <v>47305</v>
      </c>
      <c r="P6799">
        <v>0</v>
      </c>
      <c r="Q6799">
        <v>0</v>
      </c>
      <c r="R6799" t="s">
        <v>47311</v>
      </c>
      <c r="S6799" t="s">
        <v>47443</v>
      </c>
      <c r="T6799" t="s">
        <v>49080</v>
      </c>
      <c r="U6799" t="s">
        <v>54806</v>
      </c>
      <c r="W6799" t="s">
        <v>45195</v>
      </c>
      <c r="X6799" t="s">
        <v>47314</v>
      </c>
    </row>
    <row r="6800" spans="1:24">
      <c r="A6800">
        <f>HYPERLINK("https://www.philgeps.gov.ph/GEPSNONPILOT/Tender/SplashBidNoticeAbstractUI.aspx?menuIndex=3&amp;refID=7190910&amp;Result=3","7190910")</f>
        <v>0</v>
      </c>
      <c r="B6800" t="s">
        <v>2258</v>
      </c>
      <c r="C6800" t="s">
        <v>10247</v>
      </c>
      <c r="D6800" t="s">
        <v>19005</v>
      </c>
      <c r="E6800" t="s">
        <v>25003</v>
      </c>
      <c r="F6800" t="s">
        <v>32606</v>
      </c>
      <c r="G6800" t="s">
        <v>32619</v>
      </c>
      <c r="H6800" t="s">
        <v>14201</v>
      </c>
      <c r="I6800" t="s">
        <v>4114</v>
      </c>
      <c r="J6800" t="s">
        <v>37113</v>
      </c>
      <c r="K6800" t="s">
        <v>42636</v>
      </c>
      <c r="M6800" t="s">
        <v>45363</v>
      </c>
      <c r="N6800" t="s">
        <v>47304</v>
      </c>
      <c r="O6800" t="s">
        <v>47305</v>
      </c>
      <c r="P6800">
        <v>0</v>
      </c>
      <c r="Q6800">
        <v>3</v>
      </c>
      <c r="R6800" t="s">
        <v>47311</v>
      </c>
      <c r="S6800" t="s">
        <v>47443</v>
      </c>
      <c r="T6800" t="s">
        <v>48998</v>
      </c>
      <c r="U6800" t="s">
        <v>55230</v>
      </c>
      <c r="W6800" t="s">
        <v>45363</v>
      </c>
      <c r="X6800" t="s">
        <v>47312</v>
      </c>
    </row>
    <row r="6801" spans="1:24">
      <c r="A6801">
        <f>HYPERLINK("https://www.philgeps.gov.ph/GEPSNONPILOT/Tender/SplashBidNoticeAbstractUI.aspx?menuIndex=3&amp;refID=7190921&amp;Result=3","7190921")</f>
        <v>0</v>
      </c>
      <c r="B6801" t="s">
        <v>192</v>
      </c>
      <c r="C6801" t="s">
        <v>10248</v>
      </c>
      <c r="D6801" t="s">
        <v>19016</v>
      </c>
      <c r="E6801" t="s">
        <v>25004</v>
      </c>
      <c r="F6801" t="s">
        <v>32606</v>
      </c>
      <c r="G6801" t="s">
        <v>32614</v>
      </c>
      <c r="H6801" t="s">
        <v>14201</v>
      </c>
      <c r="I6801" t="s">
        <v>7677</v>
      </c>
      <c r="J6801" t="s">
        <v>37114</v>
      </c>
      <c r="K6801" t="s">
        <v>42624</v>
      </c>
      <c r="M6801" t="s">
        <v>43093</v>
      </c>
      <c r="N6801" t="s">
        <v>47304</v>
      </c>
      <c r="O6801" t="s">
        <v>47305</v>
      </c>
      <c r="P6801">
        <v>0</v>
      </c>
      <c r="Q6801">
        <v>2</v>
      </c>
      <c r="R6801" t="s">
        <v>47311</v>
      </c>
      <c r="S6801" t="s">
        <v>47443</v>
      </c>
      <c r="T6801" t="s">
        <v>49269</v>
      </c>
      <c r="U6801" t="s">
        <v>55231</v>
      </c>
      <c r="V6801" t="s">
        <v>62691</v>
      </c>
      <c r="W6801" t="s">
        <v>43093</v>
      </c>
      <c r="X6801" t="s">
        <v>47312</v>
      </c>
    </row>
    <row r="6802" spans="1:24">
      <c r="A6802">
        <f>HYPERLINK("https://www.philgeps.gov.ph/GEPSNONPILOT/Tender/SplashBidNoticeAbstractUI.aspx?menuIndex=3&amp;refID=7190962&amp;Result=3","7190962")</f>
        <v>0</v>
      </c>
      <c r="B6802" t="s">
        <v>2245</v>
      </c>
      <c r="C6802" t="s">
        <v>10249</v>
      </c>
      <c r="D6802" t="s">
        <v>19056</v>
      </c>
      <c r="E6802" t="s">
        <v>25005</v>
      </c>
      <c r="F6802" t="s">
        <v>32606</v>
      </c>
      <c r="G6802" t="s">
        <v>32613</v>
      </c>
      <c r="H6802" t="s">
        <v>32623</v>
      </c>
      <c r="I6802" t="s">
        <v>17648</v>
      </c>
      <c r="J6802" t="s">
        <v>32981</v>
      </c>
      <c r="K6802" t="s">
        <v>42622</v>
      </c>
      <c r="M6802" t="s">
        <v>45349</v>
      </c>
      <c r="N6802" t="s">
        <v>47304</v>
      </c>
      <c r="O6802" t="s">
        <v>47305</v>
      </c>
      <c r="P6802">
        <v>0</v>
      </c>
      <c r="Q6802">
        <v>0</v>
      </c>
      <c r="R6802" t="s">
        <v>47311</v>
      </c>
      <c r="S6802" t="s">
        <v>47443</v>
      </c>
      <c r="T6802" t="s">
        <v>48980</v>
      </c>
      <c r="U6802" t="s">
        <v>55232</v>
      </c>
      <c r="W6802" t="s">
        <v>45349</v>
      </c>
      <c r="X6802" t="s">
        <v>47312</v>
      </c>
    </row>
    <row r="6803" spans="1:24">
      <c r="A6803">
        <f>HYPERLINK("https://www.philgeps.gov.ph/GEPSNONPILOT/Tender/SplashBidNoticeAbstractUI.aspx?menuIndex=3&amp;refID=7190994&amp;Result=3","7190994")</f>
        <v>0</v>
      </c>
      <c r="B6803" t="s">
        <v>2259</v>
      </c>
      <c r="C6803" t="s">
        <v>10250</v>
      </c>
      <c r="D6803" t="s">
        <v>19008</v>
      </c>
      <c r="E6803" t="s">
        <v>19809</v>
      </c>
      <c r="F6803" t="s">
        <v>32606</v>
      </c>
      <c r="G6803" t="s">
        <v>32613</v>
      </c>
      <c r="H6803" t="s">
        <v>14201</v>
      </c>
      <c r="I6803" t="s">
        <v>32656</v>
      </c>
      <c r="J6803" t="s">
        <v>32967</v>
      </c>
      <c r="K6803" t="s">
        <v>42622</v>
      </c>
      <c r="M6803" t="s">
        <v>45364</v>
      </c>
      <c r="N6803" t="s">
        <v>47304</v>
      </c>
      <c r="O6803" t="s">
        <v>47305</v>
      </c>
      <c r="P6803">
        <v>0</v>
      </c>
      <c r="Q6803">
        <v>0</v>
      </c>
      <c r="R6803" t="s">
        <v>47311</v>
      </c>
      <c r="S6803" t="s">
        <v>47443</v>
      </c>
      <c r="T6803" t="s">
        <v>49062</v>
      </c>
      <c r="U6803" t="s">
        <v>55233</v>
      </c>
      <c r="W6803" t="s">
        <v>45364</v>
      </c>
      <c r="X6803" t="s">
        <v>47312</v>
      </c>
    </row>
    <row r="6804" spans="1:24">
      <c r="A6804">
        <f>HYPERLINK("https://www.philgeps.gov.ph/GEPSNONPILOT/Tender/SplashBidNoticeAbstractUI.aspx?menuIndex=3&amp;refID=7190971&amp;Result=3","7190971")</f>
        <v>0</v>
      </c>
      <c r="B6804" t="s">
        <v>2247</v>
      </c>
      <c r="C6804" t="s">
        <v>10251</v>
      </c>
      <c r="D6804" t="s">
        <v>19005</v>
      </c>
      <c r="E6804" t="s">
        <v>25006</v>
      </c>
      <c r="F6804" t="s">
        <v>32606</v>
      </c>
      <c r="G6804" t="s">
        <v>32613</v>
      </c>
      <c r="H6804" t="s">
        <v>14201</v>
      </c>
      <c r="I6804" t="s">
        <v>32633</v>
      </c>
      <c r="J6804" t="s">
        <v>37115</v>
      </c>
      <c r="K6804" t="s">
        <v>42632</v>
      </c>
      <c r="M6804" t="s">
        <v>45351</v>
      </c>
      <c r="N6804" t="s">
        <v>47304</v>
      </c>
      <c r="O6804" t="s">
        <v>47305</v>
      </c>
      <c r="P6804">
        <v>0</v>
      </c>
      <c r="Q6804">
        <v>3</v>
      </c>
      <c r="R6804" t="s">
        <v>47311</v>
      </c>
      <c r="S6804" t="s">
        <v>47443</v>
      </c>
      <c r="T6804" t="s">
        <v>49016</v>
      </c>
      <c r="U6804" t="s">
        <v>55234</v>
      </c>
      <c r="W6804" t="s">
        <v>45351</v>
      </c>
      <c r="X6804" t="s">
        <v>47312</v>
      </c>
    </row>
    <row r="6805" spans="1:24">
      <c r="A6805">
        <f>HYPERLINK("https://www.philgeps.gov.ph/GEPSNONPILOT/Tender/SplashBidNoticeAbstractUI.aspx?menuIndex=3&amp;refID=7190967&amp;Result=3","7190967")</f>
        <v>0</v>
      </c>
      <c r="B6805" t="s">
        <v>1456</v>
      </c>
      <c r="C6805" t="s">
        <v>10252</v>
      </c>
      <c r="D6805" t="s">
        <v>19014</v>
      </c>
      <c r="E6805" t="s">
        <v>25007</v>
      </c>
      <c r="F6805" t="s">
        <v>32606</v>
      </c>
      <c r="G6805" t="s">
        <v>32617</v>
      </c>
      <c r="H6805" t="s">
        <v>14201</v>
      </c>
      <c r="I6805" t="s">
        <v>32633</v>
      </c>
      <c r="J6805" t="s">
        <v>37116</v>
      </c>
      <c r="K6805" t="s">
        <v>42624</v>
      </c>
      <c r="M6805" t="s">
        <v>44447</v>
      </c>
      <c r="N6805" t="s">
        <v>47304</v>
      </c>
      <c r="O6805" t="s">
        <v>47305</v>
      </c>
      <c r="P6805">
        <v>0</v>
      </c>
      <c r="Q6805">
        <v>4</v>
      </c>
      <c r="R6805" t="s">
        <v>47311</v>
      </c>
      <c r="S6805" t="s">
        <v>47443</v>
      </c>
      <c r="T6805" t="s">
        <v>49071</v>
      </c>
      <c r="U6805" t="s">
        <v>55235</v>
      </c>
      <c r="W6805" t="s">
        <v>44447</v>
      </c>
      <c r="X6805" t="s">
        <v>47312</v>
      </c>
    </row>
    <row r="6806" spans="1:24">
      <c r="A6806">
        <f>HYPERLINK("https://www.philgeps.gov.ph/GEPSNONPILOT/Tender/SplashBidNoticeAbstractUI.aspx?menuIndex=3&amp;refID=7191033&amp;Result=3","7191033")</f>
        <v>0</v>
      </c>
      <c r="B6806" t="s">
        <v>575</v>
      </c>
      <c r="C6806" t="s">
        <v>10253</v>
      </c>
      <c r="D6806" t="s">
        <v>19036</v>
      </c>
      <c r="E6806" t="s">
        <v>25008</v>
      </c>
      <c r="F6806" t="s">
        <v>32606</v>
      </c>
      <c r="G6806" t="s">
        <v>32614</v>
      </c>
      <c r="H6806" t="s">
        <v>14201</v>
      </c>
      <c r="I6806" t="s">
        <v>32701</v>
      </c>
      <c r="J6806" t="s">
        <v>32981</v>
      </c>
      <c r="K6806" t="s">
        <v>42624</v>
      </c>
      <c r="M6806" t="s">
        <v>43806</v>
      </c>
      <c r="N6806" t="s">
        <v>47304</v>
      </c>
      <c r="O6806" t="s">
        <v>47305</v>
      </c>
      <c r="P6806">
        <v>0</v>
      </c>
      <c r="Q6806">
        <v>0</v>
      </c>
      <c r="R6806" t="s">
        <v>47311</v>
      </c>
      <c r="S6806" t="s">
        <v>47443</v>
      </c>
      <c r="T6806" t="s">
        <v>49257</v>
      </c>
      <c r="U6806" t="s">
        <v>55236</v>
      </c>
      <c r="W6806" t="s">
        <v>43806</v>
      </c>
      <c r="X6806" t="s">
        <v>47312</v>
      </c>
    </row>
    <row r="6807" spans="1:24">
      <c r="A6807">
        <f>HYPERLINK("https://www.philgeps.gov.ph/GEPSNONPILOT/Tender/SplashBidNoticeAbstractUI.aspx?menuIndex=3&amp;refID=7191029&amp;Result=3","7191029")</f>
        <v>0</v>
      </c>
      <c r="B6807" t="s">
        <v>1393</v>
      </c>
      <c r="C6807" t="s">
        <v>10254</v>
      </c>
      <c r="D6807" t="s">
        <v>18993</v>
      </c>
      <c r="E6807" t="s">
        <v>25009</v>
      </c>
      <c r="F6807" t="s">
        <v>32606</v>
      </c>
      <c r="G6807" t="s">
        <v>32614</v>
      </c>
      <c r="H6807" t="s">
        <v>14201</v>
      </c>
      <c r="I6807" t="s">
        <v>7577</v>
      </c>
      <c r="J6807" t="s">
        <v>37117</v>
      </c>
      <c r="K6807" t="s">
        <v>42623</v>
      </c>
      <c r="M6807" t="s">
        <v>44511</v>
      </c>
      <c r="N6807" t="s">
        <v>47304</v>
      </c>
      <c r="O6807" t="s">
        <v>47305</v>
      </c>
      <c r="P6807">
        <v>0</v>
      </c>
      <c r="Q6807">
        <v>7</v>
      </c>
      <c r="R6807" t="s">
        <v>47311</v>
      </c>
      <c r="S6807" t="s">
        <v>47443</v>
      </c>
      <c r="T6807" t="s">
        <v>49000</v>
      </c>
      <c r="U6807" t="s">
        <v>52866</v>
      </c>
      <c r="W6807" t="s">
        <v>44511</v>
      </c>
      <c r="X6807" t="s">
        <v>47312</v>
      </c>
    </row>
    <row r="6808" spans="1:24">
      <c r="A6808">
        <f>HYPERLINK("https://www.philgeps.gov.ph/GEPSNONPILOT/Tender/SplashBidNoticeAbstractUI.aspx?menuIndex=3&amp;refID=7191009&amp;Result=3","7191009")</f>
        <v>0</v>
      </c>
      <c r="B6808" t="s">
        <v>1435</v>
      </c>
      <c r="C6808" t="s">
        <v>10255</v>
      </c>
      <c r="D6808" t="s">
        <v>19025</v>
      </c>
      <c r="E6808" t="s">
        <v>21775</v>
      </c>
      <c r="F6808" t="s">
        <v>32606</v>
      </c>
      <c r="G6808" t="s">
        <v>32614</v>
      </c>
      <c r="H6808" t="s">
        <v>32624</v>
      </c>
      <c r="I6808" t="s">
        <v>4678</v>
      </c>
      <c r="J6808" t="s">
        <v>33859</v>
      </c>
      <c r="K6808" t="s">
        <v>42681</v>
      </c>
      <c r="M6808" t="s">
        <v>45283</v>
      </c>
      <c r="N6808" t="s">
        <v>47304</v>
      </c>
      <c r="O6808" t="s">
        <v>47305</v>
      </c>
      <c r="P6808">
        <v>0</v>
      </c>
      <c r="Q6808">
        <v>1</v>
      </c>
      <c r="R6808" t="s">
        <v>47311</v>
      </c>
      <c r="S6808" t="s">
        <v>47443</v>
      </c>
      <c r="T6808" t="s">
        <v>49071</v>
      </c>
      <c r="U6808" t="s">
        <v>55237</v>
      </c>
      <c r="W6808" t="s">
        <v>45283</v>
      </c>
      <c r="X6808" t="s">
        <v>47312</v>
      </c>
    </row>
    <row r="6809" spans="1:24">
      <c r="A6809">
        <f>HYPERLINK("https://www.philgeps.gov.ph/GEPSNONPILOT/Tender/SplashBidNoticeAbstractUI.aspx?menuIndex=3&amp;refID=7191026&amp;Result=3","7191026")</f>
        <v>0</v>
      </c>
      <c r="B6809" t="s">
        <v>2260</v>
      </c>
      <c r="C6809" t="s">
        <v>10256</v>
      </c>
      <c r="D6809" t="s">
        <v>19008</v>
      </c>
      <c r="E6809" t="s">
        <v>25010</v>
      </c>
      <c r="F6809" t="s">
        <v>32606</v>
      </c>
      <c r="G6809" t="s">
        <v>32613</v>
      </c>
      <c r="H6809" t="s">
        <v>32623</v>
      </c>
      <c r="I6809" t="s">
        <v>17648</v>
      </c>
      <c r="J6809" t="s">
        <v>37118</v>
      </c>
      <c r="K6809" t="s">
        <v>42622</v>
      </c>
      <c r="M6809" t="s">
        <v>45365</v>
      </c>
      <c r="N6809" t="s">
        <v>47304</v>
      </c>
      <c r="O6809" t="s">
        <v>47305</v>
      </c>
      <c r="P6809">
        <v>0</v>
      </c>
      <c r="Q6809">
        <v>0</v>
      </c>
      <c r="R6809" t="s">
        <v>47311</v>
      </c>
      <c r="S6809" t="s">
        <v>47443</v>
      </c>
      <c r="T6809" t="s">
        <v>49050</v>
      </c>
      <c r="U6809" t="s">
        <v>55238</v>
      </c>
      <c r="V6809" t="s">
        <v>63302</v>
      </c>
      <c r="W6809" t="s">
        <v>45365</v>
      </c>
      <c r="X6809" t="s">
        <v>47312</v>
      </c>
    </row>
    <row r="6810" spans="1:24">
      <c r="A6810">
        <f>HYPERLINK("https://www.philgeps.gov.ph/GEPSNONPILOT/Tender/SplashBidNoticeAbstractUI.aspx?menuIndex=3&amp;refID=7191020&amp;Result=3","7191020")</f>
        <v>0</v>
      </c>
      <c r="B6810" t="s">
        <v>1393</v>
      </c>
      <c r="C6810" t="s">
        <v>10257</v>
      </c>
      <c r="D6810" t="s">
        <v>18993</v>
      </c>
      <c r="E6810" t="s">
        <v>25011</v>
      </c>
      <c r="F6810" t="s">
        <v>32606</v>
      </c>
      <c r="G6810" t="s">
        <v>32614</v>
      </c>
      <c r="H6810" t="s">
        <v>14201</v>
      </c>
      <c r="I6810" t="s">
        <v>4121</v>
      </c>
      <c r="J6810" t="s">
        <v>32981</v>
      </c>
      <c r="K6810" t="s">
        <v>42631</v>
      </c>
      <c r="M6810" t="s">
        <v>44511</v>
      </c>
      <c r="N6810" t="s">
        <v>47304</v>
      </c>
      <c r="O6810" t="s">
        <v>47305</v>
      </c>
      <c r="P6810">
        <v>0</v>
      </c>
      <c r="Q6810">
        <v>5</v>
      </c>
      <c r="R6810" t="s">
        <v>47311</v>
      </c>
      <c r="S6810" t="s">
        <v>47443</v>
      </c>
      <c r="T6810" t="s">
        <v>49000</v>
      </c>
      <c r="U6810" t="s">
        <v>52866</v>
      </c>
      <c r="W6810" t="s">
        <v>44511</v>
      </c>
      <c r="X6810" t="s">
        <v>47312</v>
      </c>
    </row>
    <row r="6811" spans="1:24">
      <c r="A6811">
        <f>HYPERLINK("https://www.philgeps.gov.ph/GEPSNONPILOT/Tender/SplashBidNoticeAbstractUI.aspx?menuIndex=3&amp;refID=7191016&amp;Result=3","7191016")</f>
        <v>0</v>
      </c>
      <c r="B6811" t="s">
        <v>575</v>
      </c>
      <c r="C6811" t="s">
        <v>5836</v>
      </c>
      <c r="D6811" t="s">
        <v>19036</v>
      </c>
      <c r="E6811" t="s">
        <v>25012</v>
      </c>
      <c r="F6811" t="s">
        <v>32606</v>
      </c>
      <c r="G6811" t="s">
        <v>32617</v>
      </c>
      <c r="H6811" t="s">
        <v>14201</v>
      </c>
      <c r="I6811" t="s">
        <v>4114</v>
      </c>
      <c r="J6811" t="s">
        <v>33102</v>
      </c>
      <c r="K6811" t="s">
        <v>42624</v>
      </c>
      <c r="M6811" t="s">
        <v>43806</v>
      </c>
      <c r="N6811" t="s">
        <v>47304</v>
      </c>
      <c r="O6811" t="s">
        <v>47305</v>
      </c>
      <c r="P6811">
        <v>0</v>
      </c>
      <c r="Q6811">
        <v>2</v>
      </c>
      <c r="R6811" t="s">
        <v>47311</v>
      </c>
      <c r="S6811" t="s">
        <v>47443</v>
      </c>
      <c r="T6811" t="s">
        <v>49257</v>
      </c>
      <c r="U6811" t="s">
        <v>55239</v>
      </c>
      <c r="W6811" t="s">
        <v>43806</v>
      </c>
      <c r="X6811" t="s">
        <v>47312</v>
      </c>
    </row>
    <row r="6812" spans="1:24">
      <c r="A6812">
        <f>HYPERLINK("https://www.philgeps.gov.ph/GEPSNONPILOT/Tender/SplashBidNoticeAbstractUI.aspx?menuIndex=3&amp;refID=7191031&amp;Result=3","7191031")</f>
        <v>0</v>
      </c>
      <c r="B6812" t="s">
        <v>2261</v>
      </c>
      <c r="C6812" t="s">
        <v>10258</v>
      </c>
      <c r="D6812" t="s">
        <v>19003</v>
      </c>
      <c r="E6812" t="s">
        <v>20399</v>
      </c>
      <c r="F6812" t="s">
        <v>32608</v>
      </c>
      <c r="G6812" t="s">
        <v>32617</v>
      </c>
      <c r="H6812" t="s">
        <v>14201</v>
      </c>
      <c r="I6812" t="s">
        <v>4120</v>
      </c>
      <c r="J6812" t="s">
        <v>34489</v>
      </c>
      <c r="K6812" t="s">
        <v>42624</v>
      </c>
      <c r="M6812" t="s">
        <v>45366</v>
      </c>
      <c r="N6812" t="s">
        <v>47304</v>
      </c>
      <c r="O6812" t="s">
        <v>47305</v>
      </c>
      <c r="P6812">
        <v>0</v>
      </c>
      <c r="Q6812">
        <v>0</v>
      </c>
      <c r="R6812" t="s">
        <v>47311</v>
      </c>
      <c r="S6812" t="s">
        <v>47443</v>
      </c>
      <c r="T6812" t="s">
        <v>48979</v>
      </c>
      <c r="U6812" t="s">
        <v>55240</v>
      </c>
      <c r="W6812" t="s">
        <v>45366</v>
      </c>
      <c r="X6812" t="s">
        <v>47312</v>
      </c>
    </row>
    <row r="6813" spans="1:24">
      <c r="A6813">
        <f>HYPERLINK("https://www.philgeps.gov.ph/GEPSNONPILOT/Tender/SplashBidNoticeAbstractUI.aspx?menuIndex=3&amp;refID=7191014&amp;Result=3","7191014")</f>
        <v>0</v>
      </c>
      <c r="B6813" t="s">
        <v>81</v>
      </c>
      <c r="C6813" t="s">
        <v>10259</v>
      </c>
      <c r="D6813" t="s">
        <v>18995</v>
      </c>
      <c r="E6813" t="s">
        <v>25013</v>
      </c>
      <c r="F6813" t="s">
        <v>32606</v>
      </c>
      <c r="G6813" t="s">
        <v>32613</v>
      </c>
      <c r="H6813" t="s">
        <v>14201</v>
      </c>
      <c r="I6813" t="s">
        <v>32686</v>
      </c>
      <c r="J6813" t="s">
        <v>37119</v>
      </c>
      <c r="K6813" t="s">
        <v>42624</v>
      </c>
      <c r="M6813" t="s">
        <v>42978</v>
      </c>
      <c r="N6813" t="s">
        <v>47304</v>
      </c>
      <c r="O6813" t="s">
        <v>47305</v>
      </c>
      <c r="P6813">
        <v>0</v>
      </c>
      <c r="Q6813">
        <v>8</v>
      </c>
      <c r="R6813" t="s">
        <v>47311</v>
      </c>
      <c r="S6813" t="s">
        <v>47443</v>
      </c>
      <c r="T6813" t="s">
        <v>49080</v>
      </c>
      <c r="U6813" t="s">
        <v>55241</v>
      </c>
      <c r="W6813" t="s">
        <v>42978</v>
      </c>
      <c r="X6813" t="s">
        <v>47312</v>
      </c>
    </row>
    <row r="6814" spans="1:24">
      <c r="A6814">
        <f>HYPERLINK("https://www.philgeps.gov.ph/GEPSNONPILOT/Tender/SplashBidNoticeAbstractUI.aspx?menuIndex=3&amp;refID=7191013&amp;Result=3","7191013")</f>
        <v>0</v>
      </c>
      <c r="B6814" t="s">
        <v>1562</v>
      </c>
      <c r="C6814" t="s">
        <v>10260</v>
      </c>
      <c r="D6814" t="s">
        <v>18995</v>
      </c>
      <c r="E6814" t="s">
        <v>22697</v>
      </c>
      <c r="F6814" t="s">
        <v>32606</v>
      </c>
      <c r="G6814" t="s">
        <v>32614</v>
      </c>
      <c r="H6814" t="s">
        <v>14201</v>
      </c>
      <c r="I6814" t="s">
        <v>6014</v>
      </c>
      <c r="J6814" t="s">
        <v>37120</v>
      </c>
      <c r="K6814" t="s">
        <v>42630</v>
      </c>
      <c r="M6814" t="s">
        <v>44569</v>
      </c>
      <c r="N6814" t="s">
        <v>47304</v>
      </c>
      <c r="O6814" t="s">
        <v>47305</v>
      </c>
      <c r="P6814">
        <v>0</v>
      </c>
      <c r="Q6814">
        <v>2</v>
      </c>
      <c r="R6814" t="s">
        <v>47311</v>
      </c>
      <c r="S6814" t="s">
        <v>47443</v>
      </c>
      <c r="T6814" t="s">
        <v>49165</v>
      </c>
      <c r="U6814" t="s">
        <v>55242</v>
      </c>
      <c r="W6814" t="s">
        <v>44569</v>
      </c>
      <c r="X6814" t="s">
        <v>47312</v>
      </c>
    </row>
    <row r="6815" spans="1:24">
      <c r="A6815">
        <f>HYPERLINK("https://www.philgeps.gov.ph/GEPSNONPILOT/Tender/SplashBidNoticeAbstractUI.aspx?menuIndex=3&amp;refID=7191010&amp;Result=3","7191010")</f>
        <v>0</v>
      </c>
      <c r="B6815" t="s">
        <v>2262</v>
      </c>
      <c r="C6815" t="s">
        <v>10261</v>
      </c>
      <c r="D6815" t="s">
        <v>19029</v>
      </c>
      <c r="E6815" t="s">
        <v>25014</v>
      </c>
      <c r="F6815" t="s">
        <v>32607</v>
      </c>
      <c r="G6815" t="s">
        <v>32619</v>
      </c>
      <c r="H6815" t="s">
        <v>14201</v>
      </c>
      <c r="I6815" t="s">
        <v>32633</v>
      </c>
      <c r="J6815" t="s">
        <v>32825</v>
      </c>
      <c r="K6815" t="s">
        <v>42630</v>
      </c>
      <c r="M6815" t="s">
        <v>45367</v>
      </c>
      <c r="N6815" t="s">
        <v>47304</v>
      </c>
      <c r="O6815" t="s">
        <v>47305</v>
      </c>
      <c r="P6815">
        <v>0</v>
      </c>
      <c r="Q6815">
        <v>7</v>
      </c>
      <c r="R6815" t="s">
        <v>47311</v>
      </c>
      <c r="S6815" t="s">
        <v>47443</v>
      </c>
      <c r="T6815" t="s">
        <v>49330</v>
      </c>
      <c r="U6815" t="s">
        <v>55243</v>
      </c>
      <c r="W6815" t="s">
        <v>45367</v>
      </c>
      <c r="X6815" t="s">
        <v>47312</v>
      </c>
    </row>
    <row r="6816" spans="1:24">
      <c r="A6816">
        <f>HYPERLINK("https://www.philgeps.gov.ph/GEPSNONPILOT/Tender/SplashBidNoticeAbstractUI.aspx?menuIndex=3&amp;refID=7191023&amp;Result=3","7191023")</f>
        <v>0</v>
      </c>
      <c r="B6816" t="s">
        <v>575</v>
      </c>
      <c r="C6816" t="s">
        <v>5665</v>
      </c>
      <c r="D6816" t="s">
        <v>19036</v>
      </c>
      <c r="E6816" t="s">
        <v>25015</v>
      </c>
      <c r="F6816" t="s">
        <v>32606</v>
      </c>
      <c r="G6816" t="s">
        <v>32614</v>
      </c>
      <c r="H6816" t="s">
        <v>14201</v>
      </c>
      <c r="I6816" t="s">
        <v>7677</v>
      </c>
      <c r="J6816" t="s">
        <v>37121</v>
      </c>
      <c r="K6816" t="s">
        <v>42624</v>
      </c>
      <c r="M6816" t="s">
        <v>43806</v>
      </c>
      <c r="N6816" t="s">
        <v>47304</v>
      </c>
      <c r="O6816" t="s">
        <v>47305</v>
      </c>
      <c r="P6816">
        <v>0</v>
      </c>
      <c r="Q6816">
        <v>1</v>
      </c>
      <c r="R6816" t="s">
        <v>47311</v>
      </c>
      <c r="S6816" t="s">
        <v>47443</v>
      </c>
      <c r="T6816" t="s">
        <v>49257</v>
      </c>
      <c r="U6816" t="s">
        <v>55244</v>
      </c>
      <c r="W6816" t="s">
        <v>43806</v>
      </c>
      <c r="X6816" t="s">
        <v>47312</v>
      </c>
    </row>
    <row r="6817" spans="1:24">
      <c r="A6817">
        <f>HYPERLINK("https://www.philgeps.gov.ph/GEPSNONPILOT/Tender/SplashBidNoticeAbstractUI.aspx?menuIndex=3&amp;refID=7191036&amp;Result=3","7191036")</f>
        <v>0</v>
      </c>
      <c r="B6817" t="s">
        <v>81</v>
      </c>
      <c r="C6817" t="s">
        <v>10262</v>
      </c>
      <c r="D6817" t="s">
        <v>18995</v>
      </c>
      <c r="E6817" t="s">
        <v>25016</v>
      </c>
      <c r="F6817" t="s">
        <v>32606</v>
      </c>
      <c r="G6817" t="s">
        <v>32613</v>
      </c>
      <c r="H6817" t="s">
        <v>14201</v>
      </c>
      <c r="I6817" t="s">
        <v>32633</v>
      </c>
      <c r="J6817" t="s">
        <v>37122</v>
      </c>
      <c r="K6817" t="s">
        <v>42624</v>
      </c>
      <c r="M6817" t="s">
        <v>42978</v>
      </c>
      <c r="N6817" t="s">
        <v>47304</v>
      </c>
      <c r="O6817" t="s">
        <v>47305</v>
      </c>
      <c r="P6817">
        <v>0</v>
      </c>
      <c r="Q6817">
        <v>4</v>
      </c>
      <c r="R6817" t="s">
        <v>47311</v>
      </c>
      <c r="S6817" t="s">
        <v>47443</v>
      </c>
      <c r="T6817" t="s">
        <v>49080</v>
      </c>
      <c r="U6817" t="s">
        <v>55245</v>
      </c>
      <c r="W6817" t="s">
        <v>42978</v>
      </c>
      <c r="X6817" t="s">
        <v>47312</v>
      </c>
    </row>
    <row r="6818" spans="1:24">
      <c r="A6818">
        <f>HYPERLINK("https://www.philgeps.gov.ph/GEPSNONPILOT/Tender/SplashBidNoticeAbstractUI.aspx?menuIndex=3&amp;refID=7191061&amp;Result=3","7191061")</f>
        <v>0</v>
      </c>
      <c r="B6818" t="s">
        <v>575</v>
      </c>
      <c r="C6818" t="s">
        <v>5680</v>
      </c>
      <c r="D6818" t="s">
        <v>19036</v>
      </c>
      <c r="E6818" t="s">
        <v>25017</v>
      </c>
      <c r="F6818" t="s">
        <v>32606</v>
      </c>
      <c r="G6818" t="s">
        <v>32614</v>
      </c>
      <c r="H6818" t="s">
        <v>14201</v>
      </c>
      <c r="I6818" t="s">
        <v>4112</v>
      </c>
      <c r="J6818" t="s">
        <v>32752</v>
      </c>
      <c r="K6818" t="s">
        <v>42624</v>
      </c>
      <c r="M6818" t="s">
        <v>43806</v>
      </c>
      <c r="N6818" t="s">
        <v>47304</v>
      </c>
      <c r="O6818" t="s">
        <v>47305</v>
      </c>
      <c r="P6818">
        <v>0</v>
      </c>
      <c r="Q6818">
        <v>0</v>
      </c>
      <c r="R6818" t="s">
        <v>47311</v>
      </c>
      <c r="S6818" t="s">
        <v>47443</v>
      </c>
      <c r="T6818" t="s">
        <v>49257</v>
      </c>
      <c r="U6818" t="s">
        <v>55246</v>
      </c>
      <c r="W6818" t="s">
        <v>43806</v>
      </c>
      <c r="X6818" t="s">
        <v>47312</v>
      </c>
    </row>
    <row r="6819" spans="1:24">
      <c r="A6819">
        <f>HYPERLINK("https://www.philgeps.gov.ph/GEPSNONPILOT/Tender/SplashBidNoticeAbstractUI.aspx?menuIndex=3&amp;refID=7191058&amp;Result=3","7191058")</f>
        <v>0</v>
      </c>
      <c r="B6819" t="s">
        <v>575</v>
      </c>
      <c r="C6819" t="s">
        <v>5680</v>
      </c>
      <c r="D6819" t="s">
        <v>19036</v>
      </c>
      <c r="E6819" t="s">
        <v>25018</v>
      </c>
      <c r="F6819" t="s">
        <v>32606</v>
      </c>
      <c r="G6819" t="s">
        <v>32614</v>
      </c>
      <c r="H6819" t="s">
        <v>14201</v>
      </c>
      <c r="I6819" t="s">
        <v>4112</v>
      </c>
      <c r="J6819" t="s">
        <v>32813</v>
      </c>
      <c r="K6819" t="s">
        <v>42624</v>
      </c>
      <c r="M6819" t="s">
        <v>43806</v>
      </c>
      <c r="N6819" t="s">
        <v>47304</v>
      </c>
      <c r="O6819" t="s">
        <v>47305</v>
      </c>
      <c r="P6819">
        <v>0</v>
      </c>
      <c r="Q6819">
        <v>0</v>
      </c>
      <c r="R6819" t="s">
        <v>47311</v>
      </c>
      <c r="S6819" t="s">
        <v>47443</v>
      </c>
      <c r="T6819" t="s">
        <v>49257</v>
      </c>
      <c r="U6819" t="s">
        <v>55246</v>
      </c>
      <c r="W6819" t="s">
        <v>43806</v>
      </c>
      <c r="X6819" t="s">
        <v>47312</v>
      </c>
    </row>
    <row r="6820" spans="1:24">
      <c r="A6820">
        <f>HYPERLINK("https://www.philgeps.gov.ph/GEPSNONPILOT/Tender/SplashBidNoticeAbstractUI.aspx?menuIndex=3&amp;refID=7191078&amp;Result=3","7191078")</f>
        <v>0</v>
      </c>
      <c r="B6820" t="s">
        <v>2263</v>
      </c>
      <c r="C6820" t="s">
        <v>10263</v>
      </c>
      <c r="E6820" t="s">
        <v>25019</v>
      </c>
      <c r="F6820" t="s">
        <v>32606</v>
      </c>
      <c r="G6820" t="s">
        <v>32614</v>
      </c>
      <c r="H6820" t="s">
        <v>32625</v>
      </c>
      <c r="I6820" t="s">
        <v>32625</v>
      </c>
      <c r="J6820" t="s">
        <v>32789</v>
      </c>
      <c r="K6820" t="s">
        <v>42714</v>
      </c>
      <c r="M6820" t="s">
        <v>45368</v>
      </c>
      <c r="N6820" t="s">
        <v>47304</v>
      </c>
      <c r="O6820" t="s">
        <v>47305</v>
      </c>
      <c r="P6820">
        <v>0</v>
      </c>
      <c r="Q6820">
        <v>1</v>
      </c>
      <c r="R6820" t="s">
        <v>47311</v>
      </c>
      <c r="S6820" t="s">
        <v>47443</v>
      </c>
      <c r="T6820" t="s">
        <v>49072</v>
      </c>
      <c r="U6820" t="s">
        <v>55247</v>
      </c>
      <c r="W6820" t="s">
        <v>45368</v>
      </c>
      <c r="X6820" t="s">
        <v>47312</v>
      </c>
    </row>
    <row r="6821" spans="1:24">
      <c r="A6821">
        <f>HYPERLINK("https://www.philgeps.gov.ph/GEPSNONPILOT/Tender/SplashBidNoticeAbstractUI.aspx?menuIndex=3&amp;refID=7190979&amp;Result=3","7190979")</f>
        <v>0</v>
      </c>
      <c r="B6821" t="s">
        <v>1456</v>
      </c>
      <c r="C6821" t="s">
        <v>10264</v>
      </c>
      <c r="D6821" t="s">
        <v>19014</v>
      </c>
      <c r="E6821" t="s">
        <v>23057</v>
      </c>
      <c r="F6821" t="s">
        <v>32606</v>
      </c>
      <c r="G6821" t="s">
        <v>32617</v>
      </c>
      <c r="H6821" t="s">
        <v>14201</v>
      </c>
      <c r="I6821" t="s">
        <v>7677</v>
      </c>
      <c r="J6821" t="s">
        <v>37123</v>
      </c>
      <c r="K6821" t="s">
        <v>42624</v>
      </c>
      <c r="M6821" t="s">
        <v>44447</v>
      </c>
      <c r="N6821" t="s">
        <v>47304</v>
      </c>
      <c r="O6821" t="s">
        <v>47305</v>
      </c>
      <c r="P6821">
        <v>0</v>
      </c>
      <c r="Q6821">
        <v>1</v>
      </c>
      <c r="R6821" t="s">
        <v>47311</v>
      </c>
      <c r="S6821" t="s">
        <v>47443</v>
      </c>
      <c r="T6821" t="s">
        <v>49071</v>
      </c>
      <c r="U6821" t="s">
        <v>55248</v>
      </c>
      <c r="W6821" t="s">
        <v>44447</v>
      </c>
      <c r="X6821" t="s">
        <v>47312</v>
      </c>
    </row>
    <row r="6822" spans="1:24">
      <c r="A6822">
        <f>HYPERLINK("https://www.philgeps.gov.ph/GEPSNONPILOT/Tender/SplashBidNoticeAbstractUI.aspx?menuIndex=3&amp;refID=7191077&amp;Result=3","7191077")</f>
        <v>0</v>
      </c>
      <c r="B6822" t="s">
        <v>959</v>
      </c>
      <c r="C6822" t="s">
        <v>10265</v>
      </c>
      <c r="D6822" t="s">
        <v>19038</v>
      </c>
      <c r="E6822" t="s">
        <v>25020</v>
      </c>
      <c r="F6822" t="s">
        <v>32606</v>
      </c>
      <c r="G6822" t="s">
        <v>32613</v>
      </c>
      <c r="H6822" t="s">
        <v>32623</v>
      </c>
      <c r="I6822" t="s">
        <v>17648</v>
      </c>
      <c r="J6822" t="s">
        <v>33039</v>
      </c>
      <c r="K6822" t="s">
        <v>42683</v>
      </c>
      <c r="M6822" t="s">
        <v>43904</v>
      </c>
      <c r="N6822" t="s">
        <v>47304</v>
      </c>
      <c r="O6822" t="s">
        <v>47305</v>
      </c>
      <c r="P6822">
        <v>0</v>
      </c>
      <c r="Q6822">
        <v>1</v>
      </c>
      <c r="R6822" t="s">
        <v>47311</v>
      </c>
      <c r="S6822" t="s">
        <v>47443</v>
      </c>
      <c r="T6822" t="s">
        <v>48995</v>
      </c>
      <c r="U6822" t="s">
        <v>55249</v>
      </c>
      <c r="W6822" t="s">
        <v>43904</v>
      </c>
      <c r="X6822" t="s">
        <v>47312</v>
      </c>
    </row>
    <row r="6823" spans="1:24">
      <c r="A6823">
        <f>HYPERLINK("https://www.philgeps.gov.ph/GEPSNONPILOT/Tender/SplashBidNoticeAbstractUI.aspx?menuIndex=3&amp;refID=7191075&amp;Result=3","7191075")</f>
        <v>0</v>
      </c>
      <c r="B6823" t="s">
        <v>2264</v>
      </c>
      <c r="C6823" t="s">
        <v>10266</v>
      </c>
      <c r="D6823" t="s">
        <v>19063</v>
      </c>
      <c r="E6823" t="s">
        <v>25021</v>
      </c>
      <c r="F6823" t="s">
        <v>32606</v>
      </c>
      <c r="G6823" t="s">
        <v>32613</v>
      </c>
      <c r="H6823" t="s">
        <v>14201</v>
      </c>
      <c r="I6823" t="s">
        <v>32677</v>
      </c>
      <c r="J6823" t="s">
        <v>32795</v>
      </c>
      <c r="K6823" t="s">
        <v>42646</v>
      </c>
      <c r="M6823" t="s">
        <v>45369</v>
      </c>
      <c r="N6823" t="s">
        <v>47304</v>
      </c>
      <c r="O6823" t="s">
        <v>47305</v>
      </c>
      <c r="P6823">
        <v>0</v>
      </c>
      <c r="Q6823">
        <v>1</v>
      </c>
      <c r="R6823" t="s">
        <v>47311</v>
      </c>
      <c r="S6823" t="s">
        <v>47443</v>
      </c>
      <c r="T6823" t="s">
        <v>48990</v>
      </c>
      <c r="U6823" t="s">
        <v>55250</v>
      </c>
      <c r="W6823" t="s">
        <v>45369</v>
      </c>
      <c r="X6823" t="s">
        <v>47312</v>
      </c>
    </row>
    <row r="6824" spans="1:24">
      <c r="A6824">
        <f>HYPERLINK("https://www.philgeps.gov.ph/GEPSNONPILOT/Tender/SplashBidNoticeAbstractUI.aspx?menuIndex=3&amp;refID=7191072&amp;Result=3","7191072")</f>
        <v>0</v>
      </c>
      <c r="B6824" t="s">
        <v>2265</v>
      </c>
      <c r="C6824" t="s">
        <v>10267</v>
      </c>
      <c r="D6824" t="s">
        <v>19022</v>
      </c>
      <c r="E6824" t="s">
        <v>25022</v>
      </c>
      <c r="F6824" t="s">
        <v>32606</v>
      </c>
      <c r="G6824" t="s">
        <v>32614</v>
      </c>
      <c r="H6824" t="s">
        <v>14201</v>
      </c>
      <c r="I6824" t="s">
        <v>7577</v>
      </c>
      <c r="J6824" t="s">
        <v>34401</v>
      </c>
      <c r="K6824" t="s">
        <v>42631</v>
      </c>
      <c r="M6824" t="s">
        <v>45370</v>
      </c>
      <c r="N6824" t="s">
        <v>47304</v>
      </c>
      <c r="O6824" t="s">
        <v>47305</v>
      </c>
      <c r="P6824">
        <v>0</v>
      </c>
      <c r="Q6824">
        <v>4</v>
      </c>
      <c r="R6824" t="s">
        <v>47311</v>
      </c>
      <c r="S6824" t="s">
        <v>47443</v>
      </c>
      <c r="T6824" t="s">
        <v>49068</v>
      </c>
      <c r="U6824" t="s">
        <v>55251</v>
      </c>
      <c r="W6824" t="s">
        <v>45370</v>
      </c>
      <c r="X6824" t="s">
        <v>47312</v>
      </c>
    </row>
    <row r="6825" spans="1:24">
      <c r="A6825">
        <f>HYPERLINK("https://www.philgeps.gov.ph/GEPSNONPILOT/Tender/SplashBidNoticeAbstractUI.aspx?menuIndex=3&amp;refID=7191068&amp;Result=3","7191068")</f>
        <v>0</v>
      </c>
      <c r="B6825" t="s">
        <v>2266</v>
      </c>
      <c r="C6825" t="s">
        <v>10268</v>
      </c>
      <c r="D6825" t="s">
        <v>19003</v>
      </c>
      <c r="E6825" t="s">
        <v>25023</v>
      </c>
      <c r="F6825" t="s">
        <v>32606</v>
      </c>
      <c r="G6825" t="s">
        <v>32614</v>
      </c>
      <c r="H6825" t="s">
        <v>14201</v>
      </c>
      <c r="I6825" t="s">
        <v>4115</v>
      </c>
      <c r="J6825" t="s">
        <v>37124</v>
      </c>
      <c r="K6825" t="s">
        <v>42632</v>
      </c>
      <c r="M6825" t="s">
        <v>45371</v>
      </c>
      <c r="N6825" t="s">
        <v>47304</v>
      </c>
      <c r="O6825" t="s">
        <v>47305</v>
      </c>
      <c r="P6825">
        <v>0</v>
      </c>
      <c r="Q6825">
        <v>4</v>
      </c>
      <c r="R6825" t="s">
        <v>47311</v>
      </c>
      <c r="S6825" t="s">
        <v>47443</v>
      </c>
      <c r="T6825" t="s">
        <v>49315</v>
      </c>
      <c r="U6825" t="s">
        <v>55252</v>
      </c>
      <c r="W6825" t="s">
        <v>45371</v>
      </c>
      <c r="X6825" t="s">
        <v>47312</v>
      </c>
    </row>
    <row r="6826" spans="1:24">
      <c r="A6826">
        <f>HYPERLINK("https://www.philgeps.gov.ph/GEPSNONPILOT/Tender/SplashBidNoticeAbstractUI.aspx?menuIndex=3&amp;refID=7191057&amp;Result=3","7191057")</f>
        <v>0</v>
      </c>
      <c r="B6826" t="s">
        <v>205</v>
      </c>
      <c r="C6826" t="s">
        <v>4547</v>
      </c>
      <c r="D6826" t="s">
        <v>19046</v>
      </c>
      <c r="E6826" t="s">
        <v>23278</v>
      </c>
      <c r="F6826" t="s">
        <v>32606</v>
      </c>
      <c r="G6826" t="s">
        <v>32613</v>
      </c>
      <c r="H6826" t="s">
        <v>14201</v>
      </c>
      <c r="I6826" t="s">
        <v>4120</v>
      </c>
      <c r="J6826" t="s">
        <v>37125</v>
      </c>
      <c r="K6826" t="s">
        <v>42694</v>
      </c>
      <c r="L6826" t="s">
        <v>205</v>
      </c>
      <c r="M6826" t="s">
        <v>43106</v>
      </c>
      <c r="N6826" t="s">
        <v>47304</v>
      </c>
      <c r="O6826" t="s">
        <v>47305</v>
      </c>
      <c r="P6826">
        <v>0</v>
      </c>
      <c r="Q6826">
        <v>0</v>
      </c>
      <c r="R6826" t="s">
        <v>47311</v>
      </c>
      <c r="S6826" t="s">
        <v>47443</v>
      </c>
      <c r="T6826" t="s">
        <v>49037</v>
      </c>
      <c r="U6826" t="s">
        <v>55253</v>
      </c>
      <c r="W6826" t="s">
        <v>43106</v>
      </c>
      <c r="X6826" t="s">
        <v>47312</v>
      </c>
    </row>
    <row r="6827" spans="1:24">
      <c r="A6827">
        <f>HYPERLINK("https://www.philgeps.gov.ph/GEPSNONPILOT/Tender/SplashBidNoticeAbstractUI.aspx?menuIndex=3&amp;refID=7191053&amp;Result=3","7191053")</f>
        <v>0</v>
      </c>
      <c r="B6827" t="s">
        <v>575</v>
      </c>
      <c r="C6827" t="s">
        <v>4540</v>
      </c>
      <c r="D6827" t="s">
        <v>19036</v>
      </c>
      <c r="E6827" t="s">
        <v>25024</v>
      </c>
      <c r="F6827" t="s">
        <v>32606</v>
      </c>
      <c r="G6827" t="s">
        <v>32614</v>
      </c>
      <c r="H6827" t="s">
        <v>14201</v>
      </c>
      <c r="I6827" t="s">
        <v>32633</v>
      </c>
      <c r="J6827" t="s">
        <v>37126</v>
      </c>
      <c r="K6827" t="s">
        <v>42624</v>
      </c>
      <c r="M6827" t="s">
        <v>43806</v>
      </c>
      <c r="N6827" t="s">
        <v>47304</v>
      </c>
      <c r="O6827" t="s">
        <v>47305</v>
      </c>
      <c r="P6827">
        <v>0</v>
      </c>
      <c r="Q6827">
        <v>6</v>
      </c>
      <c r="R6827" t="s">
        <v>47311</v>
      </c>
      <c r="S6827" t="s">
        <v>47443</v>
      </c>
      <c r="T6827" t="s">
        <v>49257</v>
      </c>
      <c r="U6827" t="s">
        <v>55254</v>
      </c>
      <c r="W6827" t="s">
        <v>43806</v>
      </c>
      <c r="X6827" t="s">
        <v>47312</v>
      </c>
    </row>
    <row r="6828" spans="1:24">
      <c r="A6828">
        <f>HYPERLINK("https://www.philgeps.gov.ph/GEPSNONPILOT/Tender/SplashBidNoticeAbstractUI.aspx?menuIndex=3&amp;refID=7191079&amp;Result=3","7191079")</f>
        <v>0</v>
      </c>
      <c r="B6828" t="s">
        <v>2107</v>
      </c>
      <c r="C6828" t="s">
        <v>10269</v>
      </c>
      <c r="D6828" t="s">
        <v>19023</v>
      </c>
      <c r="E6828" t="s">
        <v>25025</v>
      </c>
      <c r="F6828" t="s">
        <v>32606</v>
      </c>
      <c r="G6828" t="s">
        <v>32613</v>
      </c>
      <c r="H6828" t="s">
        <v>32623</v>
      </c>
      <c r="I6828" t="s">
        <v>17648</v>
      </c>
      <c r="J6828" t="s">
        <v>32772</v>
      </c>
      <c r="K6828" t="s">
        <v>42643</v>
      </c>
      <c r="M6828" t="s">
        <v>45192</v>
      </c>
      <c r="N6828" t="s">
        <v>47304</v>
      </c>
      <c r="O6828" t="s">
        <v>47305</v>
      </c>
      <c r="P6828">
        <v>0</v>
      </c>
      <c r="Q6828">
        <v>4</v>
      </c>
      <c r="R6828" t="s">
        <v>47311</v>
      </c>
      <c r="S6828" t="s">
        <v>47443</v>
      </c>
      <c r="T6828" t="s">
        <v>49163</v>
      </c>
      <c r="U6828" t="s">
        <v>55255</v>
      </c>
      <c r="V6828" t="s">
        <v>63248</v>
      </c>
      <c r="W6828" t="s">
        <v>45192</v>
      </c>
      <c r="X6828" t="s">
        <v>47312</v>
      </c>
    </row>
    <row r="6829" spans="1:24">
      <c r="A6829">
        <f>HYPERLINK("https://www.philgeps.gov.ph/GEPSNONPILOT/Tender/SplashBidNoticeAbstractUI.aspx?menuIndex=3&amp;refID=7190989&amp;Result=3","7190989")</f>
        <v>0</v>
      </c>
      <c r="B6829" t="s">
        <v>698</v>
      </c>
      <c r="C6829" t="s">
        <v>10270</v>
      </c>
      <c r="D6829" t="s">
        <v>19040</v>
      </c>
      <c r="E6829" t="s">
        <v>24957</v>
      </c>
      <c r="F6829" t="s">
        <v>32606</v>
      </c>
      <c r="G6829" t="s">
        <v>32613</v>
      </c>
      <c r="H6829" t="s">
        <v>32623</v>
      </c>
      <c r="I6829" t="s">
        <v>17648</v>
      </c>
      <c r="J6829" t="s">
        <v>32795</v>
      </c>
      <c r="K6829" t="s">
        <v>42682</v>
      </c>
      <c r="M6829" t="s">
        <v>43619</v>
      </c>
      <c r="N6829" t="s">
        <v>47304</v>
      </c>
      <c r="O6829" t="s">
        <v>47305</v>
      </c>
      <c r="P6829">
        <v>0</v>
      </c>
      <c r="Q6829">
        <v>0</v>
      </c>
      <c r="R6829" t="s">
        <v>47311</v>
      </c>
      <c r="S6829" t="s">
        <v>47443</v>
      </c>
      <c r="T6829" t="s">
        <v>49014</v>
      </c>
      <c r="U6829" t="s">
        <v>55042</v>
      </c>
      <c r="W6829" t="s">
        <v>43619</v>
      </c>
      <c r="X6829" t="s">
        <v>47312</v>
      </c>
    </row>
    <row r="6830" spans="1:24">
      <c r="A6830">
        <f>HYPERLINK("https://www.philgeps.gov.ph/GEPSNONPILOT/Tender/SplashBidNoticeAbstractUI.aspx?menuIndex=3&amp;refID=7191049&amp;Result=3","7191049")</f>
        <v>0</v>
      </c>
      <c r="B6830" t="s">
        <v>102</v>
      </c>
      <c r="C6830" t="s">
        <v>10271</v>
      </c>
      <c r="D6830" t="s">
        <v>19006</v>
      </c>
      <c r="E6830" t="s">
        <v>22157</v>
      </c>
      <c r="F6830" t="s">
        <v>32606</v>
      </c>
      <c r="G6830" t="s">
        <v>32613</v>
      </c>
      <c r="H6830" t="s">
        <v>14201</v>
      </c>
      <c r="I6830" t="s">
        <v>4112</v>
      </c>
      <c r="J6830" t="s">
        <v>37127</v>
      </c>
      <c r="K6830" t="s">
        <v>42623</v>
      </c>
      <c r="M6830" t="s">
        <v>43000</v>
      </c>
      <c r="N6830" t="s">
        <v>47304</v>
      </c>
      <c r="O6830" t="s">
        <v>47305</v>
      </c>
      <c r="P6830">
        <v>0</v>
      </c>
      <c r="Q6830">
        <v>2</v>
      </c>
      <c r="R6830" t="s">
        <v>47311</v>
      </c>
      <c r="S6830" t="s">
        <v>47443</v>
      </c>
      <c r="T6830" t="s">
        <v>49342</v>
      </c>
      <c r="U6830" t="s">
        <v>55256</v>
      </c>
      <c r="W6830" t="s">
        <v>43000</v>
      </c>
      <c r="X6830" t="s">
        <v>47312</v>
      </c>
    </row>
    <row r="6831" spans="1:24">
      <c r="A6831">
        <f>HYPERLINK("https://www.philgeps.gov.ph/GEPSNONPILOT/Tender/SplashBidNoticeAbstractUI.aspx?menuIndex=3&amp;refID=7191043&amp;Result=3","7191043")</f>
        <v>0</v>
      </c>
      <c r="B6831" t="s">
        <v>1248</v>
      </c>
      <c r="C6831" t="s">
        <v>10272</v>
      </c>
      <c r="D6831" t="s">
        <v>19029</v>
      </c>
      <c r="E6831" t="s">
        <v>25026</v>
      </c>
      <c r="F6831" t="s">
        <v>32606</v>
      </c>
      <c r="G6831" t="s">
        <v>32613</v>
      </c>
      <c r="H6831" t="s">
        <v>14201</v>
      </c>
      <c r="I6831" t="s">
        <v>4114</v>
      </c>
      <c r="J6831" t="s">
        <v>37128</v>
      </c>
      <c r="K6831" t="s">
        <v>42631</v>
      </c>
      <c r="M6831" t="s">
        <v>44214</v>
      </c>
      <c r="N6831" t="s">
        <v>47304</v>
      </c>
      <c r="O6831" t="s">
        <v>47305</v>
      </c>
      <c r="P6831">
        <v>0</v>
      </c>
      <c r="Q6831">
        <v>2</v>
      </c>
      <c r="R6831" t="s">
        <v>47311</v>
      </c>
      <c r="S6831" t="s">
        <v>47443</v>
      </c>
      <c r="T6831" t="s">
        <v>49015</v>
      </c>
      <c r="U6831" t="s">
        <v>52140</v>
      </c>
      <c r="V6831" t="s">
        <v>63305</v>
      </c>
      <c r="W6831" t="s">
        <v>44214</v>
      </c>
      <c r="X6831" t="s">
        <v>47312</v>
      </c>
    </row>
    <row r="6832" spans="1:24">
      <c r="A6832">
        <f>HYPERLINK("https://www.philgeps.gov.ph/GEPSNONPILOT/Tender/SplashBidNoticeAbstractUI.aspx?menuIndex=3&amp;refID=7191069&amp;Result=3","7191069")</f>
        <v>0</v>
      </c>
      <c r="B6832" t="s">
        <v>192</v>
      </c>
      <c r="C6832" t="s">
        <v>10273</v>
      </c>
      <c r="D6832" t="s">
        <v>19016</v>
      </c>
      <c r="E6832" t="s">
        <v>25027</v>
      </c>
      <c r="F6832" t="s">
        <v>32606</v>
      </c>
      <c r="G6832" t="s">
        <v>32613</v>
      </c>
      <c r="H6832" t="s">
        <v>14201</v>
      </c>
      <c r="I6832" t="s">
        <v>32662</v>
      </c>
      <c r="J6832" t="s">
        <v>37129</v>
      </c>
      <c r="K6832" t="s">
        <v>42624</v>
      </c>
      <c r="M6832" t="s">
        <v>43093</v>
      </c>
      <c r="N6832" t="s">
        <v>47304</v>
      </c>
      <c r="O6832" t="s">
        <v>47305</v>
      </c>
      <c r="P6832">
        <v>0</v>
      </c>
      <c r="Q6832">
        <v>23</v>
      </c>
      <c r="R6832" t="s">
        <v>47311</v>
      </c>
      <c r="S6832" t="s">
        <v>47443</v>
      </c>
      <c r="T6832" t="s">
        <v>48973</v>
      </c>
      <c r="U6832" t="s">
        <v>55257</v>
      </c>
      <c r="V6832" t="s">
        <v>63306</v>
      </c>
      <c r="W6832" t="s">
        <v>43093</v>
      </c>
      <c r="X6832" t="s">
        <v>47312</v>
      </c>
    </row>
    <row r="6833" spans="1:24">
      <c r="A6833">
        <f>HYPERLINK("https://www.philgeps.gov.ph/GEPSNONPILOT/Tender/SplashBidNoticeAbstractUI.aspx?menuIndex=3&amp;refID=7191042&amp;Result=3","7191042")</f>
        <v>0</v>
      </c>
      <c r="B6833" t="s">
        <v>2247</v>
      </c>
      <c r="C6833" t="s">
        <v>10274</v>
      </c>
      <c r="D6833" t="s">
        <v>19005</v>
      </c>
      <c r="E6833" t="s">
        <v>25028</v>
      </c>
      <c r="F6833" t="s">
        <v>32606</v>
      </c>
      <c r="G6833" t="s">
        <v>32613</v>
      </c>
      <c r="H6833" t="s">
        <v>14201</v>
      </c>
      <c r="I6833" t="s">
        <v>32650</v>
      </c>
      <c r="J6833" t="s">
        <v>32772</v>
      </c>
      <c r="K6833" t="s">
        <v>42627</v>
      </c>
      <c r="M6833" t="s">
        <v>45351</v>
      </c>
      <c r="N6833" t="s">
        <v>47304</v>
      </c>
      <c r="O6833" t="s">
        <v>47305</v>
      </c>
      <c r="P6833">
        <v>0</v>
      </c>
      <c r="Q6833">
        <v>6</v>
      </c>
      <c r="R6833" t="s">
        <v>47311</v>
      </c>
      <c r="S6833" t="s">
        <v>47443</v>
      </c>
      <c r="T6833" t="s">
        <v>49016</v>
      </c>
      <c r="U6833" t="s">
        <v>55258</v>
      </c>
      <c r="W6833" t="s">
        <v>45351</v>
      </c>
      <c r="X6833" t="s">
        <v>47312</v>
      </c>
    </row>
    <row r="6834" spans="1:24">
      <c r="A6834">
        <f>HYPERLINK("https://www.philgeps.gov.ph/GEPSNONPILOT/Tender/SplashBidNoticeAbstractUI.aspx?menuIndex=3&amp;refID=7191136&amp;Result=3","7191136")</f>
        <v>0</v>
      </c>
      <c r="B6834" t="s">
        <v>1458</v>
      </c>
      <c r="C6834" t="s">
        <v>10275</v>
      </c>
      <c r="D6834" t="s">
        <v>18995</v>
      </c>
      <c r="E6834" t="s">
        <v>25029</v>
      </c>
      <c r="F6834" t="s">
        <v>32606</v>
      </c>
      <c r="G6834" t="s">
        <v>32614</v>
      </c>
      <c r="H6834" t="s">
        <v>14201</v>
      </c>
      <c r="I6834" t="s">
        <v>32633</v>
      </c>
      <c r="J6834" t="s">
        <v>37130</v>
      </c>
      <c r="K6834" t="s">
        <v>42622</v>
      </c>
      <c r="M6834" t="s">
        <v>44451</v>
      </c>
      <c r="N6834" t="s">
        <v>47304</v>
      </c>
      <c r="O6834" t="s">
        <v>47305</v>
      </c>
      <c r="P6834">
        <v>0</v>
      </c>
      <c r="Q6834">
        <v>1</v>
      </c>
      <c r="R6834" t="s">
        <v>47311</v>
      </c>
      <c r="S6834" t="s">
        <v>47443</v>
      </c>
      <c r="T6834" t="s">
        <v>48997</v>
      </c>
      <c r="U6834" t="s">
        <v>55259</v>
      </c>
      <c r="W6834" t="s">
        <v>44451</v>
      </c>
      <c r="X6834" t="s">
        <v>47312</v>
      </c>
    </row>
    <row r="6835" spans="1:24">
      <c r="A6835">
        <f>HYPERLINK("https://www.philgeps.gov.ph/GEPSNONPILOT/Tender/SplashBidNoticeAbstractUI.aspx?menuIndex=3&amp;refID=7191132&amp;Result=3","7191132")</f>
        <v>0</v>
      </c>
      <c r="B6835" t="s">
        <v>903</v>
      </c>
      <c r="C6835" t="s">
        <v>10276</v>
      </c>
      <c r="D6835" t="s">
        <v>19049</v>
      </c>
      <c r="E6835" t="s">
        <v>25030</v>
      </c>
      <c r="F6835" t="s">
        <v>32606</v>
      </c>
      <c r="G6835" t="s">
        <v>32620</v>
      </c>
      <c r="H6835" t="s">
        <v>14201</v>
      </c>
      <c r="I6835" t="s">
        <v>32650</v>
      </c>
      <c r="J6835" t="s">
        <v>37131</v>
      </c>
      <c r="K6835" t="s">
        <v>42631</v>
      </c>
      <c r="M6835" t="s">
        <v>43840</v>
      </c>
      <c r="N6835" t="s">
        <v>47304</v>
      </c>
      <c r="O6835" t="s">
        <v>47305</v>
      </c>
      <c r="P6835">
        <v>0</v>
      </c>
      <c r="Q6835">
        <v>0</v>
      </c>
      <c r="R6835" t="s">
        <v>47311</v>
      </c>
      <c r="S6835" t="s">
        <v>47443</v>
      </c>
      <c r="T6835" t="s">
        <v>49175</v>
      </c>
      <c r="U6835" t="s">
        <v>55260</v>
      </c>
      <c r="W6835" t="s">
        <v>43840</v>
      </c>
      <c r="X6835" t="s">
        <v>47312</v>
      </c>
    </row>
    <row r="6836" spans="1:24">
      <c r="A6836">
        <f>HYPERLINK("https://www.philgeps.gov.ph/GEPSNONPILOT/Tender/SplashBidNoticeAbstractUI.aspx?menuIndex=3&amp;refID=7191045&amp;Result=3","7191045")</f>
        <v>0</v>
      </c>
      <c r="B6836" t="s">
        <v>575</v>
      </c>
      <c r="C6836" t="s">
        <v>10277</v>
      </c>
      <c r="D6836" t="s">
        <v>19036</v>
      </c>
      <c r="E6836" t="s">
        <v>25031</v>
      </c>
      <c r="F6836" t="s">
        <v>32606</v>
      </c>
      <c r="G6836" t="s">
        <v>32617</v>
      </c>
      <c r="H6836" t="s">
        <v>14201</v>
      </c>
      <c r="I6836" t="s">
        <v>6478</v>
      </c>
      <c r="J6836" t="s">
        <v>37132</v>
      </c>
      <c r="K6836" t="s">
        <v>42624</v>
      </c>
      <c r="M6836" t="s">
        <v>43806</v>
      </c>
      <c r="N6836" t="s">
        <v>47304</v>
      </c>
      <c r="O6836" t="s">
        <v>47305</v>
      </c>
      <c r="P6836">
        <v>0</v>
      </c>
      <c r="Q6836">
        <v>0</v>
      </c>
      <c r="R6836" t="s">
        <v>47311</v>
      </c>
      <c r="S6836" t="s">
        <v>47443</v>
      </c>
      <c r="T6836" t="s">
        <v>49257</v>
      </c>
      <c r="U6836" t="s">
        <v>55261</v>
      </c>
      <c r="W6836" t="s">
        <v>43806</v>
      </c>
      <c r="X6836" t="s">
        <v>47312</v>
      </c>
    </row>
    <row r="6837" spans="1:24">
      <c r="A6837">
        <f>HYPERLINK("https://www.philgeps.gov.ph/GEPSNONPILOT/Tender/SplashBidNoticeAbstractUI.aspx?menuIndex=3&amp;refID=7191131&amp;Result=3","7191131")</f>
        <v>0</v>
      </c>
      <c r="B6837" t="s">
        <v>2267</v>
      </c>
      <c r="C6837" t="s">
        <v>10278</v>
      </c>
      <c r="D6837" t="s">
        <v>18995</v>
      </c>
      <c r="E6837" t="s">
        <v>25032</v>
      </c>
      <c r="F6837" t="s">
        <v>32606</v>
      </c>
      <c r="G6837" t="s">
        <v>32613</v>
      </c>
      <c r="H6837" t="s">
        <v>32623</v>
      </c>
      <c r="I6837" t="s">
        <v>17648</v>
      </c>
      <c r="J6837" t="s">
        <v>37133</v>
      </c>
      <c r="K6837" t="s">
        <v>42623</v>
      </c>
      <c r="M6837" t="s">
        <v>45372</v>
      </c>
      <c r="N6837" t="s">
        <v>47304</v>
      </c>
      <c r="O6837" t="s">
        <v>47305</v>
      </c>
      <c r="P6837">
        <v>0</v>
      </c>
      <c r="Q6837">
        <v>0</v>
      </c>
      <c r="R6837" t="s">
        <v>47311</v>
      </c>
      <c r="S6837" t="s">
        <v>47443</v>
      </c>
      <c r="T6837" t="s">
        <v>49349</v>
      </c>
      <c r="U6837" t="s">
        <v>55262</v>
      </c>
      <c r="W6837" t="s">
        <v>45372</v>
      </c>
      <c r="X6837" t="s">
        <v>47312</v>
      </c>
    </row>
    <row r="6838" spans="1:24">
      <c r="A6838">
        <f>HYPERLINK("https://www.philgeps.gov.ph/GEPSNONPILOT/Tender/SplashBidNoticeAbstractUI.aspx?menuIndex=3&amp;refID=7191126&amp;Result=3","7191126")</f>
        <v>0</v>
      </c>
      <c r="B6838" t="s">
        <v>1172</v>
      </c>
      <c r="C6838" t="s">
        <v>10279</v>
      </c>
      <c r="D6838" t="s">
        <v>19066</v>
      </c>
      <c r="E6838" t="s">
        <v>25033</v>
      </c>
      <c r="F6838" t="s">
        <v>32606</v>
      </c>
      <c r="G6838" t="s">
        <v>32614</v>
      </c>
      <c r="H6838" t="s">
        <v>14201</v>
      </c>
      <c r="I6838" t="s">
        <v>6298</v>
      </c>
      <c r="J6838" t="s">
        <v>37134</v>
      </c>
      <c r="K6838" t="s">
        <v>42630</v>
      </c>
      <c r="M6838" t="s">
        <v>44135</v>
      </c>
      <c r="N6838" t="s">
        <v>47304</v>
      </c>
      <c r="O6838" t="s">
        <v>47305</v>
      </c>
      <c r="P6838">
        <v>0</v>
      </c>
      <c r="Q6838">
        <v>0</v>
      </c>
      <c r="R6838" t="s">
        <v>47311</v>
      </c>
      <c r="S6838" t="s">
        <v>47443</v>
      </c>
      <c r="T6838" t="s">
        <v>49053</v>
      </c>
      <c r="U6838" t="s">
        <v>51932</v>
      </c>
      <c r="W6838" t="s">
        <v>44135</v>
      </c>
      <c r="X6838" t="s">
        <v>47312</v>
      </c>
    </row>
    <row r="6839" spans="1:24">
      <c r="A6839">
        <f>HYPERLINK("https://www.philgeps.gov.ph/GEPSNONPILOT/Tender/SplashBidNoticeAbstractUI.aspx?menuIndex=3&amp;refID=7191054&amp;Result=3","7191054")</f>
        <v>0</v>
      </c>
      <c r="B6839" t="s">
        <v>2264</v>
      </c>
      <c r="C6839" t="s">
        <v>10280</v>
      </c>
      <c r="D6839" t="s">
        <v>19063</v>
      </c>
      <c r="E6839" t="s">
        <v>25034</v>
      </c>
      <c r="F6839" t="s">
        <v>32606</v>
      </c>
      <c r="G6839" t="s">
        <v>32613</v>
      </c>
      <c r="H6839" t="s">
        <v>14201</v>
      </c>
      <c r="I6839" t="s">
        <v>32640</v>
      </c>
      <c r="J6839" t="s">
        <v>32765</v>
      </c>
      <c r="K6839" t="s">
        <v>42623</v>
      </c>
      <c r="M6839" t="s">
        <v>45369</v>
      </c>
      <c r="N6839" t="s">
        <v>47304</v>
      </c>
      <c r="O6839" t="s">
        <v>47305</v>
      </c>
      <c r="P6839">
        <v>0</v>
      </c>
      <c r="Q6839">
        <v>1</v>
      </c>
      <c r="R6839" t="s">
        <v>47311</v>
      </c>
      <c r="S6839" t="s">
        <v>47443</v>
      </c>
      <c r="T6839" t="s">
        <v>48990</v>
      </c>
      <c r="U6839" t="s">
        <v>55263</v>
      </c>
      <c r="W6839" t="s">
        <v>45369</v>
      </c>
      <c r="X6839" t="s">
        <v>47312</v>
      </c>
    </row>
    <row r="6840" spans="1:24">
      <c r="A6840">
        <f>HYPERLINK("https://www.philgeps.gov.ph/GEPSNONPILOT/Tender/SplashBidNoticeAbstractUI.aspx?menuIndex=3&amp;refID=7191047&amp;Result=3","7191047")</f>
        <v>0</v>
      </c>
      <c r="B6840" t="s">
        <v>1393</v>
      </c>
      <c r="C6840" t="s">
        <v>10281</v>
      </c>
      <c r="D6840" t="s">
        <v>18993</v>
      </c>
      <c r="E6840" t="s">
        <v>25035</v>
      </c>
      <c r="F6840" t="s">
        <v>32606</v>
      </c>
      <c r="G6840" t="s">
        <v>32614</v>
      </c>
      <c r="H6840" t="s">
        <v>14201</v>
      </c>
      <c r="I6840" t="s">
        <v>4678</v>
      </c>
      <c r="J6840" t="s">
        <v>37135</v>
      </c>
      <c r="K6840" t="s">
        <v>42623</v>
      </c>
      <c r="M6840" t="s">
        <v>44511</v>
      </c>
      <c r="N6840" t="s">
        <v>47304</v>
      </c>
      <c r="O6840" t="s">
        <v>47305</v>
      </c>
      <c r="P6840">
        <v>0</v>
      </c>
      <c r="Q6840">
        <v>9</v>
      </c>
      <c r="R6840" t="s">
        <v>47311</v>
      </c>
      <c r="S6840" t="s">
        <v>47443</v>
      </c>
      <c r="T6840" t="s">
        <v>49000</v>
      </c>
      <c r="U6840" t="s">
        <v>52866</v>
      </c>
      <c r="W6840" t="s">
        <v>44511</v>
      </c>
      <c r="X6840" t="s">
        <v>47312</v>
      </c>
    </row>
    <row r="6841" spans="1:24">
      <c r="A6841">
        <f>HYPERLINK("https://www.philgeps.gov.ph/GEPSNONPILOT/Tender/SplashBidNoticeAbstractUI.aspx?menuIndex=3&amp;refID=7191115&amp;Result=3","7191115")</f>
        <v>0</v>
      </c>
      <c r="B6841" t="s">
        <v>1172</v>
      </c>
      <c r="C6841" t="s">
        <v>10282</v>
      </c>
      <c r="D6841" t="s">
        <v>19060</v>
      </c>
      <c r="E6841" t="s">
        <v>25036</v>
      </c>
      <c r="F6841" t="s">
        <v>32606</v>
      </c>
      <c r="G6841" t="s">
        <v>32614</v>
      </c>
      <c r="H6841" t="s">
        <v>14201</v>
      </c>
      <c r="I6841" t="s">
        <v>6298</v>
      </c>
      <c r="J6841" t="s">
        <v>37136</v>
      </c>
      <c r="K6841" t="s">
        <v>42630</v>
      </c>
      <c r="M6841" t="s">
        <v>44135</v>
      </c>
      <c r="N6841" t="s">
        <v>47304</v>
      </c>
      <c r="O6841" t="s">
        <v>47305</v>
      </c>
      <c r="P6841">
        <v>0</v>
      </c>
      <c r="Q6841">
        <v>0</v>
      </c>
      <c r="R6841" t="s">
        <v>47311</v>
      </c>
      <c r="S6841" t="s">
        <v>47443</v>
      </c>
      <c r="T6841" t="s">
        <v>49053</v>
      </c>
      <c r="U6841" t="s">
        <v>51932</v>
      </c>
      <c r="W6841" t="s">
        <v>44135</v>
      </c>
      <c r="X6841" t="s">
        <v>47312</v>
      </c>
    </row>
    <row r="6842" spans="1:24">
      <c r="A6842">
        <f>HYPERLINK("https://www.philgeps.gov.ph/GEPSNONPILOT/Tender/SplashBidNoticeAbstractUI.aspx?menuIndex=3&amp;refID=7191130&amp;Result=3","7191130")</f>
        <v>0</v>
      </c>
      <c r="B6842" t="s">
        <v>2268</v>
      </c>
      <c r="C6842" t="s">
        <v>10283</v>
      </c>
      <c r="D6842" t="s">
        <v>18992</v>
      </c>
      <c r="E6842" t="s">
        <v>25037</v>
      </c>
      <c r="F6842" t="s">
        <v>32607</v>
      </c>
      <c r="G6842" t="s">
        <v>32613</v>
      </c>
      <c r="H6842" t="s">
        <v>14201</v>
      </c>
      <c r="I6842" t="s">
        <v>6931</v>
      </c>
      <c r="J6842" t="s">
        <v>37137</v>
      </c>
      <c r="K6842" t="s">
        <v>42623</v>
      </c>
      <c r="M6842" t="s">
        <v>45373</v>
      </c>
      <c r="N6842" t="s">
        <v>47304</v>
      </c>
      <c r="O6842" t="s">
        <v>47305</v>
      </c>
      <c r="P6842">
        <v>0</v>
      </c>
      <c r="Q6842">
        <v>0</v>
      </c>
      <c r="R6842" t="s">
        <v>47311</v>
      </c>
      <c r="S6842" t="s">
        <v>47443</v>
      </c>
      <c r="T6842" t="s">
        <v>48989</v>
      </c>
      <c r="U6842" t="s">
        <v>55264</v>
      </c>
      <c r="W6842" t="s">
        <v>45373</v>
      </c>
      <c r="X6842" t="s">
        <v>47312</v>
      </c>
    </row>
    <row r="6843" spans="1:24">
      <c r="A6843">
        <f>HYPERLINK("https://www.philgeps.gov.ph/GEPSNONPILOT/Tender/SplashBidNoticeAbstractUI.aspx?menuIndex=3&amp;refID=7191114&amp;Result=3","7191114")</f>
        <v>0</v>
      </c>
      <c r="B6843" t="s">
        <v>205</v>
      </c>
      <c r="C6843" t="s">
        <v>10284</v>
      </c>
      <c r="D6843" t="s">
        <v>19046</v>
      </c>
      <c r="E6843" t="s">
        <v>20836</v>
      </c>
      <c r="F6843" t="s">
        <v>32606</v>
      </c>
      <c r="G6843" t="s">
        <v>32613</v>
      </c>
      <c r="H6843" t="s">
        <v>14201</v>
      </c>
      <c r="I6843" t="s">
        <v>6931</v>
      </c>
      <c r="J6843" t="s">
        <v>37138</v>
      </c>
      <c r="K6843" t="s">
        <v>42627</v>
      </c>
      <c r="L6843" t="s">
        <v>205</v>
      </c>
      <c r="M6843" t="s">
        <v>43106</v>
      </c>
      <c r="N6843" t="s">
        <v>47304</v>
      </c>
      <c r="O6843" t="s">
        <v>47305</v>
      </c>
      <c r="P6843">
        <v>0</v>
      </c>
      <c r="Q6843">
        <v>1</v>
      </c>
      <c r="R6843" t="s">
        <v>47311</v>
      </c>
      <c r="S6843" t="s">
        <v>47443</v>
      </c>
      <c r="T6843" t="s">
        <v>49138</v>
      </c>
      <c r="U6843" t="s">
        <v>55265</v>
      </c>
      <c r="W6843" t="s">
        <v>43106</v>
      </c>
      <c r="X6843" t="s">
        <v>47312</v>
      </c>
    </row>
    <row r="6844" spans="1:24">
      <c r="A6844">
        <f>HYPERLINK("https://www.philgeps.gov.ph/GEPSNONPILOT/Tender/SplashBidNoticeAbstractUI.aspx?menuIndex=3&amp;refID=7191120&amp;Result=3","7191120")</f>
        <v>0</v>
      </c>
      <c r="B6844" t="s">
        <v>2269</v>
      </c>
      <c r="C6844" t="s">
        <v>10285</v>
      </c>
      <c r="D6844" t="s">
        <v>19003</v>
      </c>
      <c r="E6844" t="s">
        <v>20606</v>
      </c>
      <c r="F6844" t="s">
        <v>32606</v>
      </c>
      <c r="G6844" t="s">
        <v>32613</v>
      </c>
      <c r="H6844" t="s">
        <v>14201</v>
      </c>
      <c r="I6844" t="s">
        <v>6298</v>
      </c>
      <c r="J6844" t="s">
        <v>37139</v>
      </c>
      <c r="K6844" t="s">
        <v>42622</v>
      </c>
      <c r="M6844" t="s">
        <v>45374</v>
      </c>
      <c r="N6844" t="s">
        <v>47304</v>
      </c>
      <c r="O6844" t="s">
        <v>47305</v>
      </c>
      <c r="P6844">
        <v>0</v>
      </c>
      <c r="Q6844">
        <v>0</v>
      </c>
      <c r="R6844" t="s">
        <v>47311</v>
      </c>
      <c r="S6844" t="s">
        <v>47443</v>
      </c>
      <c r="T6844" t="s">
        <v>49079</v>
      </c>
      <c r="U6844" t="s">
        <v>55266</v>
      </c>
      <c r="W6844" t="s">
        <v>45374</v>
      </c>
      <c r="X6844" t="s">
        <v>47312</v>
      </c>
    </row>
    <row r="6845" spans="1:24">
      <c r="A6845">
        <f>HYPERLINK("https://www.philgeps.gov.ph/GEPSNONPILOT/Tender/SplashBidNoticeAbstractUI.aspx?menuIndex=3&amp;refID=7191107&amp;Result=3","7191107")</f>
        <v>0</v>
      </c>
      <c r="B6845" t="s">
        <v>2107</v>
      </c>
      <c r="C6845" t="s">
        <v>10286</v>
      </c>
      <c r="D6845" t="s">
        <v>19023</v>
      </c>
      <c r="E6845" t="s">
        <v>25038</v>
      </c>
      <c r="F6845" t="s">
        <v>32606</v>
      </c>
      <c r="G6845" t="s">
        <v>32613</v>
      </c>
      <c r="H6845" t="s">
        <v>14201</v>
      </c>
      <c r="I6845" t="s">
        <v>32638</v>
      </c>
      <c r="J6845" t="s">
        <v>37140</v>
      </c>
      <c r="K6845" t="s">
        <v>42623</v>
      </c>
      <c r="M6845" t="s">
        <v>45192</v>
      </c>
      <c r="N6845" t="s">
        <v>47304</v>
      </c>
      <c r="O6845" t="s">
        <v>47305</v>
      </c>
      <c r="P6845">
        <v>0</v>
      </c>
      <c r="Q6845">
        <v>2</v>
      </c>
      <c r="R6845" t="s">
        <v>47311</v>
      </c>
      <c r="S6845" t="s">
        <v>47443</v>
      </c>
      <c r="T6845" t="s">
        <v>49163</v>
      </c>
      <c r="U6845" t="s">
        <v>55267</v>
      </c>
      <c r="V6845" t="s">
        <v>63248</v>
      </c>
      <c r="W6845" t="s">
        <v>45192</v>
      </c>
      <c r="X6845" t="s">
        <v>47312</v>
      </c>
    </row>
    <row r="6846" spans="1:24">
      <c r="A6846">
        <f>HYPERLINK("https://www.philgeps.gov.ph/GEPSNONPILOT/Tender/SplashBidNoticeAbstractUI.aspx?menuIndex=3&amp;refID=7191105&amp;Result=3","7191105")</f>
        <v>0</v>
      </c>
      <c r="B6846" t="s">
        <v>2270</v>
      </c>
      <c r="C6846" t="s">
        <v>10287</v>
      </c>
      <c r="D6846" t="s">
        <v>19052</v>
      </c>
      <c r="E6846" t="s">
        <v>25039</v>
      </c>
      <c r="F6846" t="s">
        <v>32606</v>
      </c>
      <c r="G6846" t="s">
        <v>32614</v>
      </c>
      <c r="H6846" t="s">
        <v>32625</v>
      </c>
      <c r="I6846" t="s">
        <v>32625</v>
      </c>
      <c r="J6846" t="s">
        <v>32759</v>
      </c>
      <c r="K6846" t="s">
        <v>42636</v>
      </c>
      <c r="M6846" t="s">
        <v>45375</v>
      </c>
      <c r="N6846" t="s">
        <v>47304</v>
      </c>
      <c r="O6846" t="s">
        <v>47305</v>
      </c>
      <c r="P6846">
        <v>0</v>
      </c>
      <c r="Q6846">
        <v>1</v>
      </c>
      <c r="R6846" t="s">
        <v>47311</v>
      </c>
      <c r="S6846" t="s">
        <v>47443</v>
      </c>
      <c r="T6846" t="s">
        <v>49037</v>
      </c>
      <c r="U6846" t="s">
        <v>55268</v>
      </c>
      <c r="W6846" t="s">
        <v>45375</v>
      </c>
      <c r="X6846" t="s">
        <v>47312</v>
      </c>
    </row>
    <row r="6847" spans="1:24">
      <c r="A6847">
        <f>HYPERLINK("https://www.philgeps.gov.ph/GEPSNONPILOT/Tender/SplashBidNoticeAbstractUI.aspx?menuIndex=3&amp;refID=7191006&amp;Result=3","7191006")</f>
        <v>0</v>
      </c>
      <c r="B6847" t="s">
        <v>2247</v>
      </c>
      <c r="C6847" t="s">
        <v>10288</v>
      </c>
      <c r="D6847" t="s">
        <v>19005</v>
      </c>
      <c r="E6847" t="s">
        <v>25040</v>
      </c>
      <c r="F6847" t="s">
        <v>32606</v>
      </c>
      <c r="G6847" t="s">
        <v>32613</v>
      </c>
      <c r="H6847" t="s">
        <v>32623</v>
      </c>
      <c r="I6847" t="s">
        <v>17648</v>
      </c>
      <c r="J6847" t="s">
        <v>32772</v>
      </c>
      <c r="K6847" t="s">
        <v>42672</v>
      </c>
      <c r="M6847" t="s">
        <v>45351</v>
      </c>
      <c r="N6847" t="s">
        <v>47304</v>
      </c>
      <c r="O6847" t="s">
        <v>47305</v>
      </c>
      <c r="P6847">
        <v>0</v>
      </c>
      <c r="Q6847">
        <v>1</v>
      </c>
      <c r="R6847" t="s">
        <v>47311</v>
      </c>
      <c r="S6847" t="s">
        <v>47443</v>
      </c>
      <c r="T6847" t="s">
        <v>49016</v>
      </c>
      <c r="U6847" t="s">
        <v>55269</v>
      </c>
      <c r="W6847" t="s">
        <v>45351</v>
      </c>
      <c r="X6847" t="s">
        <v>47312</v>
      </c>
    </row>
    <row r="6848" spans="1:24">
      <c r="A6848">
        <f>HYPERLINK("https://www.philgeps.gov.ph/GEPSNONPILOT/Tender/SplashBidNoticeAbstractUI.aspx?menuIndex=3&amp;refID=7191113&amp;Result=3","7191113")</f>
        <v>0</v>
      </c>
      <c r="B6848" t="s">
        <v>916</v>
      </c>
      <c r="C6848" t="s">
        <v>10289</v>
      </c>
      <c r="D6848" t="s">
        <v>18987</v>
      </c>
      <c r="E6848" t="s">
        <v>25041</v>
      </c>
      <c r="F6848" t="s">
        <v>32606</v>
      </c>
      <c r="G6848" t="s">
        <v>32614</v>
      </c>
      <c r="H6848" t="s">
        <v>14201</v>
      </c>
      <c r="I6848" t="s">
        <v>7233</v>
      </c>
      <c r="J6848" t="s">
        <v>37141</v>
      </c>
      <c r="K6848" t="s">
        <v>42624</v>
      </c>
      <c r="M6848" t="s">
        <v>43856</v>
      </c>
      <c r="N6848" t="s">
        <v>47304</v>
      </c>
      <c r="O6848" t="s">
        <v>47305</v>
      </c>
      <c r="P6848">
        <v>0</v>
      </c>
      <c r="Q6848">
        <v>0</v>
      </c>
      <c r="R6848" t="s">
        <v>47311</v>
      </c>
      <c r="S6848" t="s">
        <v>47443</v>
      </c>
      <c r="T6848" t="s">
        <v>49068</v>
      </c>
      <c r="U6848" t="s">
        <v>55270</v>
      </c>
      <c r="W6848" t="s">
        <v>43856</v>
      </c>
      <c r="X6848" t="s">
        <v>47312</v>
      </c>
    </row>
    <row r="6849" spans="1:24">
      <c r="A6849">
        <f>HYPERLINK("https://www.philgeps.gov.ph/GEPSNONPILOT/Tender/SplashBidNoticeAbstractUI.aspx?menuIndex=3&amp;refID=7191095&amp;Result=3","7191095")</f>
        <v>0</v>
      </c>
      <c r="B6849" t="s">
        <v>2267</v>
      </c>
      <c r="C6849" t="s">
        <v>10290</v>
      </c>
      <c r="E6849" t="s">
        <v>25042</v>
      </c>
      <c r="F6849" t="s">
        <v>32606</v>
      </c>
      <c r="G6849" t="s">
        <v>32613</v>
      </c>
      <c r="H6849" t="s">
        <v>32623</v>
      </c>
      <c r="I6849" t="s">
        <v>17648</v>
      </c>
      <c r="J6849" t="s">
        <v>36686</v>
      </c>
      <c r="K6849" t="s">
        <v>42631</v>
      </c>
      <c r="M6849" t="s">
        <v>45372</v>
      </c>
      <c r="N6849" t="s">
        <v>47304</v>
      </c>
      <c r="O6849" t="s">
        <v>47305</v>
      </c>
      <c r="P6849">
        <v>0</v>
      </c>
      <c r="Q6849">
        <v>0</v>
      </c>
      <c r="R6849" t="s">
        <v>47311</v>
      </c>
      <c r="S6849" t="s">
        <v>47443</v>
      </c>
      <c r="T6849" t="s">
        <v>49349</v>
      </c>
      <c r="U6849" t="s">
        <v>55271</v>
      </c>
      <c r="W6849" t="s">
        <v>45372</v>
      </c>
      <c r="X6849" t="s">
        <v>47312</v>
      </c>
    </row>
    <row r="6850" spans="1:24">
      <c r="A6850">
        <f>HYPERLINK("https://www.philgeps.gov.ph/GEPSNONPILOT/Tender/SplashBidNoticeAbstractUI.aspx?menuIndex=3&amp;refID=7191121&amp;Result=3","7191121")</f>
        <v>0</v>
      </c>
      <c r="B6850" t="s">
        <v>462</v>
      </c>
      <c r="C6850" t="s">
        <v>10291</v>
      </c>
      <c r="D6850" t="s">
        <v>19040</v>
      </c>
      <c r="E6850" t="s">
        <v>25043</v>
      </c>
      <c r="F6850" t="s">
        <v>32606</v>
      </c>
      <c r="G6850" t="s">
        <v>32614</v>
      </c>
      <c r="H6850" t="s">
        <v>14201</v>
      </c>
      <c r="I6850" t="s">
        <v>4678</v>
      </c>
      <c r="J6850" t="s">
        <v>32981</v>
      </c>
      <c r="K6850" t="s">
        <v>42631</v>
      </c>
      <c r="M6850" t="s">
        <v>43372</v>
      </c>
      <c r="N6850" t="s">
        <v>47304</v>
      </c>
      <c r="O6850" t="s">
        <v>47305</v>
      </c>
      <c r="P6850">
        <v>0</v>
      </c>
      <c r="Q6850">
        <v>0</v>
      </c>
      <c r="R6850" t="s">
        <v>47311</v>
      </c>
      <c r="S6850" t="s">
        <v>47443</v>
      </c>
      <c r="T6850" t="s">
        <v>49156</v>
      </c>
      <c r="U6850" t="s">
        <v>55272</v>
      </c>
      <c r="V6850" t="s">
        <v>62788</v>
      </c>
      <c r="W6850" t="s">
        <v>64442</v>
      </c>
      <c r="X6850" t="s">
        <v>47312</v>
      </c>
    </row>
    <row r="6851" spans="1:24">
      <c r="A6851">
        <f>HYPERLINK("https://www.philgeps.gov.ph/GEPSNONPILOT/Tender/SplashBidNoticeAbstractUI.aspx?menuIndex=3&amp;refID=7191093&amp;Result=3","7191093")</f>
        <v>0</v>
      </c>
      <c r="B6851" t="s">
        <v>2271</v>
      </c>
      <c r="C6851" t="s">
        <v>10292</v>
      </c>
      <c r="D6851" t="s">
        <v>19016</v>
      </c>
      <c r="E6851" t="s">
        <v>20378</v>
      </c>
      <c r="F6851" t="s">
        <v>32606</v>
      </c>
      <c r="G6851" t="s">
        <v>32613</v>
      </c>
      <c r="H6851" t="s">
        <v>14201</v>
      </c>
      <c r="I6851" t="s">
        <v>4120</v>
      </c>
      <c r="J6851" t="s">
        <v>37142</v>
      </c>
      <c r="K6851" t="s">
        <v>42632</v>
      </c>
      <c r="M6851" t="s">
        <v>45376</v>
      </c>
      <c r="N6851" t="s">
        <v>47304</v>
      </c>
      <c r="O6851" t="s">
        <v>47305</v>
      </c>
      <c r="P6851">
        <v>0</v>
      </c>
      <c r="Q6851">
        <v>6</v>
      </c>
      <c r="R6851" t="s">
        <v>47311</v>
      </c>
      <c r="S6851" t="s">
        <v>47443</v>
      </c>
      <c r="T6851" t="s">
        <v>49062</v>
      </c>
      <c r="U6851" t="s">
        <v>55273</v>
      </c>
      <c r="W6851" t="s">
        <v>45376</v>
      </c>
      <c r="X6851" t="s">
        <v>47312</v>
      </c>
    </row>
    <row r="6852" spans="1:24">
      <c r="A6852">
        <f>HYPERLINK("https://www.philgeps.gov.ph/GEPSNONPILOT/Tender/SplashBidNoticeAbstractUI.aspx?menuIndex=3&amp;refID=7191092&amp;Result=3","7191092")</f>
        <v>0</v>
      </c>
      <c r="B6852" t="s">
        <v>462</v>
      </c>
      <c r="C6852" t="s">
        <v>10293</v>
      </c>
      <c r="D6852" t="s">
        <v>19040</v>
      </c>
      <c r="E6852" t="s">
        <v>25044</v>
      </c>
      <c r="F6852" t="s">
        <v>32606</v>
      </c>
      <c r="G6852" t="s">
        <v>32614</v>
      </c>
      <c r="H6852" t="s">
        <v>14201</v>
      </c>
      <c r="I6852" t="s">
        <v>4678</v>
      </c>
      <c r="J6852" t="s">
        <v>32868</v>
      </c>
      <c r="K6852" t="s">
        <v>42631</v>
      </c>
      <c r="M6852" t="s">
        <v>43372</v>
      </c>
      <c r="N6852" t="s">
        <v>47304</v>
      </c>
      <c r="O6852" t="s">
        <v>47305</v>
      </c>
      <c r="P6852">
        <v>0</v>
      </c>
      <c r="Q6852">
        <v>1</v>
      </c>
      <c r="R6852" t="s">
        <v>47311</v>
      </c>
      <c r="S6852" t="s">
        <v>47443</v>
      </c>
      <c r="T6852" t="s">
        <v>49156</v>
      </c>
      <c r="U6852" t="s">
        <v>55274</v>
      </c>
      <c r="V6852" t="s">
        <v>62788</v>
      </c>
      <c r="W6852" t="s">
        <v>64442</v>
      </c>
      <c r="X6852" t="s">
        <v>47312</v>
      </c>
    </row>
    <row r="6853" spans="1:24">
      <c r="A6853">
        <f>HYPERLINK("https://www.philgeps.gov.ph/GEPSNONPILOT/Tender/SplashBidNoticeAbstractUI.aspx?menuIndex=3&amp;refID=7191197&amp;Result=3","7191197")</f>
        <v>0</v>
      </c>
      <c r="B6853" t="s">
        <v>1037</v>
      </c>
      <c r="C6853" t="s">
        <v>10294</v>
      </c>
      <c r="D6853" t="s">
        <v>18993</v>
      </c>
      <c r="E6853" t="s">
        <v>25045</v>
      </c>
      <c r="F6853" t="s">
        <v>32606</v>
      </c>
      <c r="G6853" t="s">
        <v>32614</v>
      </c>
      <c r="H6853" t="s">
        <v>14201</v>
      </c>
      <c r="I6853" t="s">
        <v>32638</v>
      </c>
      <c r="J6853" t="s">
        <v>33148</v>
      </c>
      <c r="K6853" t="s">
        <v>42624</v>
      </c>
      <c r="M6853" t="s">
        <v>43990</v>
      </c>
      <c r="N6853" t="s">
        <v>47304</v>
      </c>
      <c r="O6853" t="s">
        <v>47305</v>
      </c>
      <c r="P6853">
        <v>0</v>
      </c>
      <c r="Q6853">
        <v>3</v>
      </c>
      <c r="R6853" t="s">
        <v>47311</v>
      </c>
      <c r="S6853" t="s">
        <v>47443</v>
      </c>
      <c r="T6853" t="s">
        <v>49346</v>
      </c>
      <c r="U6853" t="s">
        <v>55275</v>
      </c>
      <c r="V6853" t="s">
        <v>62721</v>
      </c>
      <c r="W6853" t="s">
        <v>43990</v>
      </c>
      <c r="X6853" t="s">
        <v>47312</v>
      </c>
    </row>
    <row r="6854" spans="1:24">
      <c r="A6854">
        <f>HYPERLINK("https://www.philgeps.gov.ph/GEPSNONPILOT/Tender/SplashBidNoticeAbstractUI.aspx?menuIndex=3&amp;refID=7191195&amp;Result=3","7191195")</f>
        <v>0</v>
      </c>
      <c r="B6854" t="s">
        <v>2272</v>
      </c>
      <c r="C6854" t="s">
        <v>10295</v>
      </c>
      <c r="D6854" t="s">
        <v>19037</v>
      </c>
      <c r="E6854" t="s">
        <v>20122</v>
      </c>
      <c r="F6854" t="s">
        <v>32606</v>
      </c>
      <c r="G6854" t="s">
        <v>32613</v>
      </c>
      <c r="H6854" t="s">
        <v>14201</v>
      </c>
      <c r="I6854" t="s">
        <v>32661</v>
      </c>
      <c r="J6854" t="s">
        <v>33103</v>
      </c>
      <c r="K6854" t="s">
        <v>42630</v>
      </c>
      <c r="M6854" t="s">
        <v>45377</v>
      </c>
      <c r="N6854" t="s">
        <v>47304</v>
      </c>
      <c r="O6854" t="s">
        <v>47305</v>
      </c>
      <c r="P6854">
        <v>0</v>
      </c>
      <c r="Q6854">
        <v>5</v>
      </c>
      <c r="R6854" t="s">
        <v>47311</v>
      </c>
      <c r="S6854" t="s">
        <v>47443</v>
      </c>
      <c r="T6854" t="s">
        <v>49019</v>
      </c>
      <c r="U6854" t="s">
        <v>55276</v>
      </c>
      <c r="W6854" t="s">
        <v>45377</v>
      </c>
      <c r="X6854" t="s">
        <v>47312</v>
      </c>
    </row>
    <row r="6855" spans="1:24">
      <c r="A6855">
        <f>HYPERLINK("https://www.philgeps.gov.ph/GEPSNONPILOT/Tender/SplashBidNoticeAbstractUI.aspx?menuIndex=3&amp;refID=7191191&amp;Result=3","7191191")</f>
        <v>0</v>
      </c>
      <c r="B6855" t="s">
        <v>2273</v>
      </c>
      <c r="C6855" t="s">
        <v>10296</v>
      </c>
      <c r="D6855" t="s">
        <v>18994</v>
      </c>
      <c r="E6855" t="s">
        <v>25046</v>
      </c>
      <c r="F6855" t="s">
        <v>32606</v>
      </c>
      <c r="G6855" t="s">
        <v>32614</v>
      </c>
      <c r="H6855" t="s">
        <v>14201</v>
      </c>
      <c r="I6855" t="s">
        <v>4120</v>
      </c>
      <c r="J6855" t="s">
        <v>37143</v>
      </c>
      <c r="K6855" t="s">
        <v>42630</v>
      </c>
      <c r="M6855" t="s">
        <v>45378</v>
      </c>
      <c r="N6855" t="s">
        <v>47304</v>
      </c>
      <c r="O6855" t="s">
        <v>47305</v>
      </c>
      <c r="P6855">
        <v>0</v>
      </c>
      <c r="Q6855">
        <v>1</v>
      </c>
      <c r="R6855" t="s">
        <v>47311</v>
      </c>
      <c r="S6855" t="s">
        <v>47443</v>
      </c>
      <c r="T6855" t="s">
        <v>49070</v>
      </c>
      <c r="U6855" t="s">
        <v>55277</v>
      </c>
      <c r="W6855" t="s">
        <v>45378</v>
      </c>
      <c r="X6855" t="s">
        <v>47312</v>
      </c>
    </row>
    <row r="6856" spans="1:24">
      <c r="A6856">
        <f>HYPERLINK("https://www.philgeps.gov.ph/GEPSNONPILOT/Tender/SplashBidNoticeAbstractUI.aspx?menuIndex=3&amp;refID=7190984&amp;Result=3","7190984")</f>
        <v>0</v>
      </c>
      <c r="B6856" t="s">
        <v>2251</v>
      </c>
      <c r="C6856" t="s">
        <v>10297</v>
      </c>
      <c r="D6856" t="s">
        <v>19074</v>
      </c>
      <c r="E6856" t="s">
        <v>25047</v>
      </c>
      <c r="F6856" t="s">
        <v>32606</v>
      </c>
      <c r="G6856" t="s">
        <v>32613</v>
      </c>
      <c r="H6856" t="s">
        <v>32623</v>
      </c>
      <c r="I6856" t="s">
        <v>6931</v>
      </c>
      <c r="J6856" t="s">
        <v>32752</v>
      </c>
      <c r="K6856" t="s">
        <v>42623</v>
      </c>
      <c r="M6856" t="s">
        <v>45356</v>
      </c>
      <c r="N6856" t="s">
        <v>47304</v>
      </c>
      <c r="O6856" t="s">
        <v>47305</v>
      </c>
      <c r="P6856">
        <v>0</v>
      </c>
      <c r="Q6856">
        <v>0</v>
      </c>
      <c r="R6856" t="s">
        <v>47311</v>
      </c>
      <c r="S6856" t="s">
        <v>47443</v>
      </c>
      <c r="T6856" t="s">
        <v>49196</v>
      </c>
      <c r="U6856" t="s">
        <v>55278</v>
      </c>
      <c r="V6856" t="s">
        <v>63307</v>
      </c>
      <c r="W6856" t="s">
        <v>45356</v>
      </c>
      <c r="X6856" t="s">
        <v>47312</v>
      </c>
    </row>
    <row r="6857" spans="1:24">
      <c r="A6857">
        <f>HYPERLINK("https://www.philgeps.gov.ph/GEPSNONPILOT/Tender/SplashBidNoticeAbstractUI.aspx?menuIndex=3&amp;refID=7191182&amp;Result=3","7191182")</f>
        <v>0</v>
      </c>
      <c r="B6857" t="s">
        <v>641</v>
      </c>
      <c r="C6857" t="s">
        <v>10298</v>
      </c>
      <c r="D6857" t="s">
        <v>19068</v>
      </c>
      <c r="E6857" t="s">
        <v>25048</v>
      </c>
      <c r="F6857" t="s">
        <v>32606</v>
      </c>
      <c r="G6857" t="s">
        <v>32613</v>
      </c>
      <c r="H6857" t="s">
        <v>32623</v>
      </c>
      <c r="I6857" t="s">
        <v>17648</v>
      </c>
      <c r="J6857" t="s">
        <v>37144</v>
      </c>
      <c r="K6857" t="s">
        <v>42646</v>
      </c>
      <c r="M6857" t="s">
        <v>43559</v>
      </c>
      <c r="N6857" t="s">
        <v>47304</v>
      </c>
      <c r="O6857" t="s">
        <v>47305</v>
      </c>
      <c r="P6857">
        <v>0</v>
      </c>
      <c r="Q6857">
        <v>2</v>
      </c>
      <c r="R6857" t="s">
        <v>47311</v>
      </c>
      <c r="S6857" t="s">
        <v>47443</v>
      </c>
      <c r="T6857" t="s">
        <v>49358</v>
      </c>
      <c r="U6857" t="s">
        <v>55279</v>
      </c>
      <c r="W6857" t="s">
        <v>43559</v>
      </c>
      <c r="X6857" t="s">
        <v>47312</v>
      </c>
    </row>
    <row r="6858" spans="1:24">
      <c r="A6858">
        <f>HYPERLINK("https://www.philgeps.gov.ph/GEPSNONPILOT/Tender/SplashBidNoticeAbstractUI.aspx?menuIndex=3&amp;refID=7191175&amp;Result=3","7191175")</f>
        <v>0</v>
      </c>
      <c r="B6858" t="s">
        <v>2107</v>
      </c>
      <c r="C6858" t="s">
        <v>10299</v>
      </c>
      <c r="D6858" t="s">
        <v>19023</v>
      </c>
      <c r="E6858" t="s">
        <v>25049</v>
      </c>
      <c r="F6858" t="s">
        <v>32606</v>
      </c>
      <c r="G6858" t="s">
        <v>32613</v>
      </c>
      <c r="H6858" t="s">
        <v>14201</v>
      </c>
      <c r="I6858" t="s">
        <v>7064</v>
      </c>
      <c r="J6858" t="s">
        <v>37145</v>
      </c>
      <c r="K6858" t="s">
        <v>42636</v>
      </c>
      <c r="M6858" t="s">
        <v>45192</v>
      </c>
      <c r="N6858" t="s">
        <v>47304</v>
      </c>
      <c r="O6858" t="s">
        <v>47305</v>
      </c>
      <c r="P6858">
        <v>0</v>
      </c>
      <c r="Q6858">
        <v>1</v>
      </c>
      <c r="R6858" t="s">
        <v>47311</v>
      </c>
      <c r="S6858" t="s">
        <v>47443</v>
      </c>
      <c r="T6858" t="s">
        <v>49183</v>
      </c>
      <c r="U6858" t="s">
        <v>55280</v>
      </c>
      <c r="V6858" t="s">
        <v>63248</v>
      </c>
      <c r="W6858" t="s">
        <v>45192</v>
      </c>
      <c r="X6858" t="s">
        <v>47312</v>
      </c>
    </row>
    <row r="6859" spans="1:24">
      <c r="A6859">
        <f>HYPERLINK("https://www.philgeps.gov.ph/GEPSNONPILOT/Tender/SplashBidNoticeAbstractUI.aspx?menuIndex=3&amp;refID=7191166&amp;Result=3","7191166")</f>
        <v>0</v>
      </c>
      <c r="B6859" t="s">
        <v>2197</v>
      </c>
      <c r="C6859" t="s">
        <v>10300</v>
      </c>
      <c r="D6859" t="s">
        <v>19035</v>
      </c>
      <c r="E6859" t="s">
        <v>25050</v>
      </c>
      <c r="F6859" t="s">
        <v>32606</v>
      </c>
      <c r="G6859" t="s">
        <v>32617</v>
      </c>
      <c r="H6859" t="s">
        <v>14201</v>
      </c>
      <c r="I6859" t="s">
        <v>4114</v>
      </c>
      <c r="J6859" t="s">
        <v>32813</v>
      </c>
      <c r="K6859" t="s">
        <v>42622</v>
      </c>
      <c r="M6859" t="s">
        <v>45297</v>
      </c>
      <c r="N6859" t="s">
        <v>47304</v>
      </c>
      <c r="O6859" t="s">
        <v>47305</v>
      </c>
      <c r="P6859">
        <v>0</v>
      </c>
      <c r="Q6859">
        <v>4</v>
      </c>
      <c r="R6859" t="s">
        <v>47311</v>
      </c>
      <c r="S6859" t="s">
        <v>47443</v>
      </c>
      <c r="T6859" t="s">
        <v>49071</v>
      </c>
      <c r="U6859" t="s">
        <v>55043</v>
      </c>
      <c r="W6859" t="s">
        <v>45297</v>
      </c>
      <c r="X6859" t="s">
        <v>47312</v>
      </c>
    </row>
    <row r="6860" spans="1:24">
      <c r="A6860">
        <f>HYPERLINK("https://www.philgeps.gov.ph/GEPSNONPILOT/Tender/SplashBidNoticeAbstractUI.aspx?menuIndex=3&amp;refID=7191111&amp;Result=3","7191111")</f>
        <v>0</v>
      </c>
      <c r="B6860" t="s">
        <v>2274</v>
      </c>
      <c r="C6860" t="s">
        <v>10301</v>
      </c>
      <c r="D6860" t="s">
        <v>19028</v>
      </c>
      <c r="E6860" t="s">
        <v>25051</v>
      </c>
      <c r="F6860" t="s">
        <v>32606</v>
      </c>
      <c r="G6860" t="s">
        <v>32613</v>
      </c>
      <c r="H6860" t="s">
        <v>14201</v>
      </c>
      <c r="I6860" t="s">
        <v>8682</v>
      </c>
      <c r="J6860" t="s">
        <v>32765</v>
      </c>
      <c r="K6860" t="s">
        <v>42631</v>
      </c>
      <c r="M6860" t="s">
        <v>45379</v>
      </c>
      <c r="N6860" t="s">
        <v>47304</v>
      </c>
      <c r="O6860" t="s">
        <v>47305</v>
      </c>
      <c r="P6860">
        <v>0</v>
      </c>
      <c r="Q6860">
        <v>6</v>
      </c>
      <c r="R6860" t="s">
        <v>47311</v>
      </c>
      <c r="S6860" t="s">
        <v>47443</v>
      </c>
      <c r="T6860" t="s">
        <v>49163</v>
      </c>
      <c r="U6860" t="s">
        <v>55281</v>
      </c>
      <c r="W6860" t="s">
        <v>45379</v>
      </c>
      <c r="X6860" t="s">
        <v>47312</v>
      </c>
    </row>
    <row r="6861" spans="1:24">
      <c r="A6861">
        <f>HYPERLINK("https://www.philgeps.gov.ph/GEPSNONPILOT/Tender/SplashBidNoticeAbstractUI.aspx?menuIndex=3&amp;refID=7191165&amp;Result=3","7191165")</f>
        <v>0</v>
      </c>
      <c r="B6861" t="s">
        <v>2275</v>
      </c>
      <c r="C6861" t="s">
        <v>10302</v>
      </c>
      <c r="D6861" t="s">
        <v>19044</v>
      </c>
      <c r="E6861" t="s">
        <v>25052</v>
      </c>
      <c r="F6861" t="s">
        <v>32606</v>
      </c>
      <c r="G6861" t="s">
        <v>32613</v>
      </c>
      <c r="H6861" t="s">
        <v>14201</v>
      </c>
      <c r="I6861" t="s">
        <v>32661</v>
      </c>
      <c r="J6861" t="s">
        <v>32767</v>
      </c>
      <c r="K6861" t="s">
        <v>42631</v>
      </c>
      <c r="M6861" t="s">
        <v>45380</v>
      </c>
      <c r="N6861" t="s">
        <v>47304</v>
      </c>
      <c r="O6861" t="s">
        <v>47305</v>
      </c>
      <c r="P6861">
        <v>0</v>
      </c>
      <c r="Q6861">
        <v>0</v>
      </c>
      <c r="R6861" t="s">
        <v>47311</v>
      </c>
      <c r="S6861" t="s">
        <v>47443</v>
      </c>
      <c r="T6861" t="s">
        <v>48970</v>
      </c>
      <c r="U6861" t="s">
        <v>55282</v>
      </c>
      <c r="W6861" t="s">
        <v>45380</v>
      </c>
      <c r="X6861" t="s">
        <v>47312</v>
      </c>
    </row>
    <row r="6862" spans="1:24">
      <c r="A6862">
        <f>HYPERLINK("https://www.philgeps.gov.ph/GEPSNONPILOT/Tender/SplashBidNoticeAbstractUI.aspx?menuIndex=3&amp;refID=7191183&amp;Result=3","7191183")</f>
        <v>0</v>
      </c>
      <c r="B6862" t="s">
        <v>688</v>
      </c>
      <c r="C6862" t="s">
        <v>10303</v>
      </c>
      <c r="D6862" t="s">
        <v>19075</v>
      </c>
      <c r="E6862" t="s">
        <v>25053</v>
      </c>
      <c r="F6862" t="s">
        <v>32606</v>
      </c>
      <c r="G6862" t="s">
        <v>32615</v>
      </c>
      <c r="H6862" t="s">
        <v>14201</v>
      </c>
      <c r="I6862" t="s">
        <v>32650</v>
      </c>
      <c r="J6862" t="s">
        <v>37146</v>
      </c>
      <c r="K6862" t="s">
        <v>42624</v>
      </c>
      <c r="M6862" t="s">
        <v>43805</v>
      </c>
      <c r="N6862" t="s">
        <v>47304</v>
      </c>
      <c r="O6862" t="s">
        <v>47305</v>
      </c>
      <c r="P6862">
        <v>0</v>
      </c>
      <c r="Q6862">
        <v>2</v>
      </c>
      <c r="R6862" t="s">
        <v>47311</v>
      </c>
      <c r="S6862" t="s">
        <v>47443</v>
      </c>
      <c r="T6862" t="s">
        <v>49004</v>
      </c>
      <c r="U6862" t="s">
        <v>55283</v>
      </c>
      <c r="W6862" t="s">
        <v>43805</v>
      </c>
      <c r="X6862" t="s">
        <v>47312</v>
      </c>
    </row>
    <row r="6863" spans="1:24">
      <c r="A6863">
        <f>HYPERLINK("https://www.philgeps.gov.ph/GEPSNONPILOT/Tender/SplashBidNoticeAbstractUI.aspx?menuIndex=3&amp;refID=7191177&amp;Result=3","7191177")</f>
        <v>0</v>
      </c>
      <c r="B6863" t="s">
        <v>2147</v>
      </c>
      <c r="C6863" t="s">
        <v>10304</v>
      </c>
      <c r="D6863" t="s">
        <v>19038</v>
      </c>
      <c r="E6863" t="s">
        <v>24680</v>
      </c>
      <c r="F6863" t="s">
        <v>32606</v>
      </c>
      <c r="G6863" t="s">
        <v>32614</v>
      </c>
      <c r="H6863" t="s">
        <v>32624</v>
      </c>
      <c r="I6863" t="s">
        <v>32693</v>
      </c>
      <c r="J6863" t="s">
        <v>36896</v>
      </c>
      <c r="K6863" t="s">
        <v>42674</v>
      </c>
      <c r="M6863" t="s">
        <v>45237</v>
      </c>
      <c r="N6863" t="s">
        <v>47304</v>
      </c>
      <c r="O6863" t="s">
        <v>47305</v>
      </c>
      <c r="P6863">
        <v>0</v>
      </c>
      <c r="Q6863">
        <v>0</v>
      </c>
      <c r="R6863" t="s">
        <v>47311</v>
      </c>
      <c r="S6863" t="s">
        <v>47443</v>
      </c>
      <c r="T6863" t="s">
        <v>49315</v>
      </c>
      <c r="U6863" t="s">
        <v>54888</v>
      </c>
      <c r="W6863" t="s">
        <v>45237</v>
      </c>
      <c r="X6863" t="s">
        <v>47312</v>
      </c>
    </row>
    <row r="6864" spans="1:24">
      <c r="A6864">
        <f>HYPERLINK("https://www.philgeps.gov.ph/GEPSNONPILOT/Tender/SplashBidNoticeAbstractUI.aspx?menuIndex=3&amp;refID=7191151&amp;Result=3","7191151")</f>
        <v>0</v>
      </c>
      <c r="B6864" t="s">
        <v>2081</v>
      </c>
      <c r="C6864" t="s">
        <v>10305</v>
      </c>
      <c r="D6864" t="s">
        <v>18993</v>
      </c>
      <c r="E6864" t="s">
        <v>25054</v>
      </c>
      <c r="F6864" t="s">
        <v>32606</v>
      </c>
      <c r="G6864" t="s">
        <v>32613</v>
      </c>
      <c r="H6864" t="s">
        <v>14201</v>
      </c>
      <c r="I6864" t="s">
        <v>4114</v>
      </c>
      <c r="J6864" t="s">
        <v>37147</v>
      </c>
      <c r="K6864" t="s">
        <v>42638</v>
      </c>
      <c r="M6864" t="s">
        <v>45163</v>
      </c>
      <c r="N6864" t="s">
        <v>47304</v>
      </c>
      <c r="O6864" t="s">
        <v>47305</v>
      </c>
      <c r="P6864">
        <v>0</v>
      </c>
      <c r="Q6864">
        <v>5</v>
      </c>
      <c r="R6864" t="s">
        <v>47311</v>
      </c>
      <c r="S6864" t="s">
        <v>47443</v>
      </c>
      <c r="T6864" t="s">
        <v>49057</v>
      </c>
      <c r="U6864" t="s">
        <v>55284</v>
      </c>
      <c r="V6864" t="s">
        <v>63308</v>
      </c>
      <c r="W6864" t="s">
        <v>64493</v>
      </c>
      <c r="X6864" t="s">
        <v>47312</v>
      </c>
    </row>
    <row r="6865" spans="1:24">
      <c r="A6865">
        <f>HYPERLINK("https://www.philgeps.gov.ph/GEPSNONPILOT/Tender/SplashBidNoticeAbstractUI.aspx?menuIndex=3&amp;refID=7191118&amp;Result=3","7191118")</f>
        <v>0</v>
      </c>
      <c r="B6865" t="s">
        <v>2276</v>
      </c>
      <c r="C6865" t="s">
        <v>7205</v>
      </c>
      <c r="D6865" t="s">
        <v>19041</v>
      </c>
      <c r="E6865" t="s">
        <v>25055</v>
      </c>
      <c r="F6865" t="s">
        <v>32606</v>
      </c>
      <c r="G6865" t="s">
        <v>32614</v>
      </c>
      <c r="H6865" t="s">
        <v>32624</v>
      </c>
      <c r="I6865" t="s">
        <v>4369</v>
      </c>
      <c r="J6865" t="s">
        <v>37148</v>
      </c>
      <c r="K6865" t="s">
        <v>42622</v>
      </c>
      <c r="M6865" t="s">
        <v>45381</v>
      </c>
      <c r="N6865" t="s">
        <v>47304</v>
      </c>
      <c r="O6865" t="s">
        <v>47305</v>
      </c>
      <c r="P6865">
        <v>0</v>
      </c>
      <c r="Q6865">
        <v>5</v>
      </c>
      <c r="R6865" t="s">
        <v>47311</v>
      </c>
      <c r="S6865" t="s">
        <v>47443</v>
      </c>
      <c r="T6865" t="s">
        <v>49071</v>
      </c>
      <c r="U6865" t="s">
        <v>55285</v>
      </c>
      <c r="W6865" t="s">
        <v>45381</v>
      </c>
      <c r="X6865" t="s">
        <v>47312</v>
      </c>
    </row>
    <row r="6866" spans="1:24">
      <c r="A6866">
        <f>HYPERLINK("https://www.philgeps.gov.ph/GEPSNONPILOT/Tender/SplashBidNoticeAbstractUI.aspx?menuIndex=3&amp;refID=7191168&amp;Result=3","7191168")</f>
        <v>0</v>
      </c>
      <c r="B6866" t="s">
        <v>1645</v>
      </c>
      <c r="C6866" t="s">
        <v>10306</v>
      </c>
      <c r="D6866" t="s">
        <v>18999</v>
      </c>
      <c r="E6866" t="s">
        <v>25056</v>
      </c>
      <c r="F6866" t="s">
        <v>32606</v>
      </c>
      <c r="G6866" t="s">
        <v>32619</v>
      </c>
      <c r="H6866" t="s">
        <v>32623</v>
      </c>
      <c r="I6866" t="s">
        <v>17648</v>
      </c>
      <c r="J6866" t="s">
        <v>37149</v>
      </c>
      <c r="K6866" t="s">
        <v>42630</v>
      </c>
      <c r="M6866" t="s">
        <v>44668</v>
      </c>
      <c r="N6866" t="s">
        <v>47304</v>
      </c>
      <c r="O6866" t="s">
        <v>47305</v>
      </c>
      <c r="P6866">
        <v>0</v>
      </c>
      <c r="Q6866">
        <v>0</v>
      </c>
      <c r="R6866" t="s">
        <v>47311</v>
      </c>
      <c r="S6866" t="s">
        <v>47443</v>
      </c>
      <c r="T6866" t="s">
        <v>49017</v>
      </c>
      <c r="U6866" t="s">
        <v>55286</v>
      </c>
      <c r="W6866" t="s">
        <v>44668</v>
      </c>
      <c r="X6866" t="s">
        <v>47312</v>
      </c>
    </row>
    <row r="6867" spans="1:24">
      <c r="A6867">
        <f>HYPERLINK("https://www.philgeps.gov.ph/GEPSNONPILOT/Tender/SplashBidNoticeAbstractUI.aspx?menuIndex=3&amp;refID=7191146&amp;Result=3","7191146")</f>
        <v>0</v>
      </c>
      <c r="B6867" t="s">
        <v>462</v>
      </c>
      <c r="C6867" t="s">
        <v>10307</v>
      </c>
      <c r="D6867" t="s">
        <v>19040</v>
      </c>
      <c r="E6867" t="s">
        <v>25057</v>
      </c>
      <c r="F6867" t="s">
        <v>32606</v>
      </c>
      <c r="G6867" t="s">
        <v>32614</v>
      </c>
      <c r="H6867" t="s">
        <v>14201</v>
      </c>
      <c r="I6867" t="s">
        <v>32627</v>
      </c>
      <c r="J6867" t="s">
        <v>32770</v>
      </c>
      <c r="K6867" t="s">
        <v>42624</v>
      </c>
      <c r="M6867" t="s">
        <v>43372</v>
      </c>
      <c r="N6867" t="s">
        <v>47304</v>
      </c>
      <c r="O6867" t="s">
        <v>47305</v>
      </c>
      <c r="P6867">
        <v>0</v>
      </c>
      <c r="Q6867">
        <v>2</v>
      </c>
      <c r="R6867" t="s">
        <v>47311</v>
      </c>
      <c r="S6867" t="s">
        <v>47443</v>
      </c>
      <c r="T6867" t="s">
        <v>49156</v>
      </c>
      <c r="U6867" t="s">
        <v>55287</v>
      </c>
      <c r="V6867" t="s">
        <v>62788</v>
      </c>
      <c r="W6867" t="s">
        <v>64442</v>
      </c>
      <c r="X6867" t="s">
        <v>47312</v>
      </c>
    </row>
    <row r="6868" spans="1:24">
      <c r="A6868">
        <f>HYPERLINK("https://www.philgeps.gov.ph/GEPSNONPILOT/Tender/SplashBidNoticeAbstractUI.aspx?menuIndex=3&amp;refID=7191145&amp;Result=3","7191145")</f>
        <v>0</v>
      </c>
      <c r="B6868" t="s">
        <v>903</v>
      </c>
      <c r="C6868" t="s">
        <v>10308</v>
      </c>
      <c r="D6868" t="s">
        <v>19049</v>
      </c>
      <c r="E6868" t="s">
        <v>25058</v>
      </c>
      <c r="F6868" t="s">
        <v>32606</v>
      </c>
      <c r="G6868" t="s">
        <v>32613</v>
      </c>
      <c r="H6868" t="s">
        <v>14201</v>
      </c>
      <c r="I6868" t="s">
        <v>6931</v>
      </c>
      <c r="J6868" t="s">
        <v>37150</v>
      </c>
      <c r="K6868" t="s">
        <v>42631</v>
      </c>
      <c r="M6868" t="s">
        <v>43840</v>
      </c>
      <c r="N6868" t="s">
        <v>47304</v>
      </c>
      <c r="O6868" t="s">
        <v>47305</v>
      </c>
      <c r="P6868">
        <v>0</v>
      </c>
      <c r="Q6868">
        <v>0</v>
      </c>
      <c r="R6868" t="s">
        <v>47311</v>
      </c>
      <c r="S6868" t="s">
        <v>47443</v>
      </c>
      <c r="T6868" t="s">
        <v>49175</v>
      </c>
      <c r="U6868" t="s">
        <v>55288</v>
      </c>
      <c r="W6868" t="s">
        <v>43840</v>
      </c>
      <c r="X6868" t="s">
        <v>47312</v>
      </c>
    </row>
    <row r="6869" spans="1:24">
      <c r="A6869">
        <f>HYPERLINK("https://www.philgeps.gov.ph/GEPSNONPILOT/Tender/SplashBidNoticeAbstractUI.aspx?menuIndex=3&amp;refID=7191141&amp;Result=3","7191141")</f>
        <v>0</v>
      </c>
      <c r="B6869" t="s">
        <v>2273</v>
      </c>
      <c r="C6869" t="s">
        <v>10309</v>
      </c>
      <c r="D6869" t="s">
        <v>18994</v>
      </c>
      <c r="E6869" t="s">
        <v>25059</v>
      </c>
      <c r="F6869" t="s">
        <v>32606</v>
      </c>
      <c r="G6869" t="s">
        <v>32614</v>
      </c>
      <c r="H6869" t="s">
        <v>14201</v>
      </c>
      <c r="I6869" t="s">
        <v>4120</v>
      </c>
      <c r="J6869" t="s">
        <v>37151</v>
      </c>
      <c r="K6869" t="s">
        <v>42630</v>
      </c>
      <c r="M6869" t="s">
        <v>45378</v>
      </c>
      <c r="N6869" t="s">
        <v>47304</v>
      </c>
      <c r="O6869" t="s">
        <v>47305</v>
      </c>
      <c r="P6869">
        <v>0</v>
      </c>
      <c r="Q6869">
        <v>2</v>
      </c>
      <c r="R6869" t="s">
        <v>47311</v>
      </c>
      <c r="S6869" t="s">
        <v>47443</v>
      </c>
      <c r="T6869" t="s">
        <v>49070</v>
      </c>
      <c r="U6869" t="s">
        <v>55289</v>
      </c>
      <c r="W6869" t="s">
        <v>45378</v>
      </c>
      <c r="X6869" t="s">
        <v>47312</v>
      </c>
    </row>
    <row r="6870" spans="1:24">
      <c r="A6870">
        <f>HYPERLINK("https://www.philgeps.gov.ph/GEPSNONPILOT/Tender/SplashBidNoticeAbstractUI.aspx?menuIndex=3&amp;refID=7191246&amp;Result=3","7191246")</f>
        <v>0</v>
      </c>
      <c r="B6870" t="s">
        <v>253</v>
      </c>
      <c r="C6870" t="s">
        <v>10310</v>
      </c>
      <c r="D6870" t="s">
        <v>19043</v>
      </c>
      <c r="E6870" t="s">
        <v>25060</v>
      </c>
      <c r="F6870" t="s">
        <v>32606</v>
      </c>
      <c r="G6870" t="s">
        <v>32614</v>
      </c>
      <c r="H6870" t="s">
        <v>14201</v>
      </c>
      <c r="I6870" t="s">
        <v>8682</v>
      </c>
      <c r="J6870" t="s">
        <v>37152</v>
      </c>
      <c r="K6870" t="s">
        <v>42622</v>
      </c>
      <c r="M6870" t="s">
        <v>43154</v>
      </c>
      <c r="N6870" t="s">
        <v>47304</v>
      </c>
      <c r="O6870" t="s">
        <v>47305</v>
      </c>
      <c r="P6870">
        <v>0</v>
      </c>
      <c r="Q6870">
        <v>1</v>
      </c>
      <c r="R6870" t="s">
        <v>47311</v>
      </c>
      <c r="S6870" t="s">
        <v>47443</v>
      </c>
      <c r="T6870" t="s">
        <v>49023</v>
      </c>
      <c r="U6870" t="s">
        <v>55290</v>
      </c>
      <c r="W6870" t="s">
        <v>43154</v>
      </c>
      <c r="X6870" t="s">
        <v>47312</v>
      </c>
    </row>
    <row r="6871" spans="1:24">
      <c r="A6871">
        <f>HYPERLINK("https://www.philgeps.gov.ph/GEPSNONPILOT/Tender/SplashBidNoticeAbstractUI.aspx?menuIndex=3&amp;refID=7191243&amp;Result=3","7191243")</f>
        <v>0</v>
      </c>
      <c r="B6871" t="s">
        <v>2272</v>
      </c>
      <c r="C6871" t="s">
        <v>10311</v>
      </c>
      <c r="D6871" t="s">
        <v>19037</v>
      </c>
      <c r="E6871" t="s">
        <v>24209</v>
      </c>
      <c r="F6871" t="s">
        <v>32606</v>
      </c>
      <c r="G6871" t="s">
        <v>32613</v>
      </c>
      <c r="H6871" t="s">
        <v>32623</v>
      </c>
      <c r="I6871" t="s">
        <v>17648</v>
      </c>
      <c r="J6871" t="s">
        <v>32765</v>
      </c>
      <c r="K6871" t="s">
        <v>42678</v>
      </c>
      <c r="M6871" t="s">
        <v>45377</v>
      </c>
      <c r="N6871" t="s">
        <v>47304</v>
      </c>
      <c r="O6871" t="s">
        <v>47305</v>
      </c>
      <c r="P6871">
        <v>0</v>
      </c>
      <c r="Q6871">
        <v>1</v>
      </c>
      <c r="R6871" t="s">
        <v>47311</v>
      </c>
      <c r="S6871" t="s">
        <v>47443</v>
      </c>
      <c r="T6871" t="s">
        <v>49019</v>
      </c>
      <c r="U6871" t="s">
        <v>55291</v>
      </c>
      <c r="W6871" t="s">
        <v>45377</v>
      </c>
      <c r="X6871" t="s">
        <v>47312</v>
      </c>
    </row>
    <row r="6872" spans="1:24">
      <c r="A6872">
        <f>HYPERLINK("https://www.philgeps.gov.ph/GEPSNONPILOT/Tender/SplashBidNoticeAbstractUI.aspx?menuIndex=3&amp;refID=7191152&amp;Result=3","7191152")</f>
        <v>0</v>
      </c>
      <c r="B6872" t="s">
        <v>1172</v>
      </c>
      <c r="C6872" t="s">
        <v>10312</v>
      </c>
      <c r="D6872" t="s">
        <v>19064</v>
      </c>
      <c r="E6872" t="s">
        <v>25061</v>
      </c>
      <c r="F6872" t="s">
        <v>32606</v>
      </c>
      <c r="G6872" t="s">
        <v>32614</v>
      </c>
      <c r="H6872" t="s">
        <v>14201</v>
      </c>
      <c r="I6872" t="s">
        <v>6298</v>
      </c>
      <c r="J6872" t="s">
        <v>37153</v>
      </c>
      <c r="K6872" t="s">
        <v>42630</v>
      </c>
      <c r="M6872" t="s">
        <v>44135</v>
      </c>
      <c r="N6872" t="s">
        <v>47304</v>
      </c>
      <c r="O6872" t="s">
        <v>47305</v>
      </c>
      <c r="P6872">
        <v>0</v>
      </c>
      <c r="Q6872">
        <v>0</v>
      </c>
      <c r="R6872" t="s">
        <v>47311</v>
      </c>
      <c r="S6872" t="s">
        <v>47443</v>
      </c>
      <c r="T6872" t="s">
        <v>49053</v>
      </c>
      <c r="U6872" t="s">
        <v>51932</v>
      </c>
      <c r="W6872" t="s">
        <v>44135</v>
      </c>
      <c r="X6872" t="s">
        <v>47312</v>
      </c>
    </row>
    <row r="6873" spans="1:24">
      <c r="A6873">
        <f>HYPERLINK("https://www.philgeps.gov.ph/GEPSNONPILOT/Tender/SplashBidNoticeAbstractUI.aspx?menuIndex=3&amp;refID=7191240&amp;Result=3","7191240")</f>
        <v>0</v>
      </c>
      <c r="B6873" t="s">
        <v>2277</v>
      </c>
      <c r="C6873" t="s">
        <v>10313</v>
      </c>
      <c r="D6873" t="s">
        <v>19069</v>
      </c>
      <c r="E6873" t="s">
        <v>25062</v>
      </c>
      <c r="F6873" t="s">
        <v>32606</v>
      </c>
      <c r="G6873" t="s">
        <v>32613</v>
      </c>
      <c r="H6873" t="s">
        <v>14201</v>
      </c>
      <c r="I6873" t="s">
        <v>32687</v>
      </c>
      <c r="J6873" t="s">
        <v>37154</v>
      </c>
      <c r="K6873" t="s">
        <v>42631</v>
      </c>
      <c r="M6873" t="s">
        <v>45382</v>
      </c>
      <c r="N6873" t="s">
        <v>47304</v>
      </c>
      <c r="O6873" t="s">
        <v>47305</v>
      </c>
      <c r="P6873">
        <v>0</v>
      </c>
      <c r="Q6873">
        <v>14</v>
      </c>
      <c r="R6873" t="s">
        <v>47311</v>
      </c>
      <c r="S6873" t="s">
        <v>47443</v>
      </c>
      <c r="T6873" t="s">
        <v>48970</v>
      </c>
      <c r="U6873" t="s">
        <v>55292</v>
      </c>
      <c r="W6873" t="s">
        <v>45382</v>
      </c>
      <c r="X6873" t="s">
        <v>47312</v>
      </c>
    </row>
    <row r="6874" spans="1:24">
      <c r="A6874">
        <f>HYPERLINK("https://www.philgeps.gov.ph/GEPSNONPILOT/Tender/SplashBidNoticeAbstractUI.aspx?menuIndex=3&amp;refID=7191230&amp;Result=3","7191230")</f>
        <v>0</v>
      </c>
      <c r="B6874" t="s">
        <v>869</v>
      </c>
      <c r="C6874" t="s">
        <v>10314</v>
      </c>
      <c r="E6874" t="s">
        <v>25063</v>
      </c>
      <c r="F6874" t="s">
        <v>32606</v>
      </c>
      <c r="G6874" t="s">
        <v>32613</v>
      </c>
      <c r="H6874" t="s">
        <v>14201</v>
      </c>
      <c r="I6874" t="s">
        <v>32662</v>
      </c>
      <c r="J6874" t="s">
        <v>32772</v>
      </c>
      <c r="K6874" t="s">
        <v>42624</v>
      </c>
      <c r="M6874" t="s">
        <v>45278</v>
      </c>
      <c r="N6874" t="s">
        <v>47304</v>
      </c>
      <c r="O6874" t="s">
        <v>47305</v>
      </c>
      <c r="Q6874">
        <v>12</v>
      </c>
      <c r="R6874" t="s">
        <v>47311</v>
      </c>
      <c r="S6874" t="s">
        <v>47469</v>
      </c>
      <c r="T6874" t="s">
        <v>49345</v>
      </c>
      <c r="U6874" t="s">
        <v>54996</v>
      </c>
      <c r="W6874" t="s">
        <v>45278</v>
      </c>
      <c r="X6874" t="s">
        <v>47312</v>
      </c>
    </row>
    <row r="6875" spans="1:24">
      <c r="A6875">
        <f>HYPERLINK("https://www.philgeps.gov.ph/GEPSNONPILOT/Tender/SplashBidNoticeAbstractUI.aspx?menuIndex=3&amp;refID=7191229&amp;Result=3","7191229")</f>
        <v>0</v>
      </c>
      <c r="B6875" t="s">
        <v>2278</v>
      </c>
      <c r="C6875" t="s">
        <v>10315</v>
      </c>
      <c r="D6875" t="s">
        <v>19045</v>
      </c>
      <c r="E6875" t="s">
        <v>25064</v>
      </c>
      <c r="F6875" t="s">
        <v>32606</v>
      </c>
      <c r="G6875" t="s">
        <v>32613</v>
      </c>
      <c r="H6875" t="s">
        <v>14201</v>
      </c>
      <c r="I6875" t="s">
        <v>6931</v>
      </c>
      <c r="J6875" t="s">
        <v>35985</v>
      </c>
      <c r="K6875" t="s">
        <v>42622</v>
      </c>
      <c r="M6875" t="s">
        <v>45383</v>
      </c>
      <c r="N6875" t="s">
        <v>47304</v>
      </c>
      <c r="O6875" t="s">
        <v>47305</v>
      </c>
      <c r="P6875">
        <v>0</v>
      </c>
      <c r="Q6875">
        <v>0</v>
      </c>
      <c r="R6875" t="s">
        <v>47311</v>
      </c>
      <c r="S6875" t="s">
        <v>47443</v>
      </c>
      <c r="T6875" t="s">
        <v>49010</v>
      </c>
      <c r="U6875" t="s">
        <v>55293</v>
      </c>
      <c r="W6875" t="s">
        <v>45383</v>
      </c>
      <c r="X6875" t="s">
        <v>47312</v>
      </c>
    </row>
    <row r="6876" spans="1:24">
      <c r="A6876">
        <f>HYPERLINK("https://www.philgeps.gov.ph/GEPSNONPILOT/Tender/SplashBidNoticeAbstractUI.aspx?menuIndex=3&amp;refID=7191228&amp;Result=3","7191228")</f>
        <v>0</v>
      </c>
      <c r="B6876" t="s">
        <v>1172</v>
      </c>
      <c r="C6876" t="s">
        <v>10316</v>
      </c>
      <c r="D6876" t="s">
        <v>18998</v>
      </c>
      <c r="E6876" t="s">
        <v>25065</v>
      </c>
      <c r="F6876" t="s">
        <v>32606</v>
      </c>
      <c r="G6876" t="s">
        <v>32614</v>
      </c>
      <c r="H6876" t="s">
        <v>14201</v>
      </c>
      <c r="I6876" t="s">
        <v>32685</v>
      </c>
      <c r="J6876" t="s">
        <v>32995</v>
      </c>
      <c r="K6876" t="s">
        <v>42631</v>
      </c>
      <c r="M6876" t="s">
        <v>44135</v>
      </c>
      <c r="N6876" t="s">
        <v>47304</v>
      </c>
      <c r="O6876" t="s">
        <v>47305</v>
      </c>
      <c r="P6876">
        <v>0</v>
      </c>
      <c r="Q6876">
        <v>1</v>
      </c>
      <c r="R6876" t="s">
        <v>47311</v>
      </c>
      <c r="S6876" t="s">
        <v>47443</v>
      </c>
      <c r="T6876" t="s">
        <v>49053</v>
      </c>
      <c r="U6876" t="s">
        <v>51932</v>
      </c>
      <c r="W6876" t="s">
        <v>44135</v>
      </c>
      <c r="X6876" t="s">
        <v>47312</v>
      </c>
    </row>
    <row r="6877" spans="1:24">
      <c r="A6877">
        <f>HYPERLINK("https://www.philgeps.gov.ph/GEPSNONPILOT/Tender/SplashBidNoticeAbstractUI.aspx?menuIndex=3&amp;refID=7191221&amp;Result=3","7191221")</f>
        <v>0</v>
      </c>
      <c r="B6877" t="s">
        <v>1390</v>
      </c>
      <c r="C6877" t="s">
        <v>10317</v>
      </c>
      <c r="D6877" t="s">
        <v>19015</v>
      </c>
      <c r="E6877" t="s">
        <v>25066</v>
      </c>
      <c r="F6877" t="s">
        <v>32606</v>
      </c>
      <c r="G6877" t="s">
        <v>32614</v>
      </c>
      <c r="H6877" t="s">
        <v>14201</v>
      </c>
      <c r="I6877" t="s">
        <v>4115</v>
      </c>
      <c r="J6877" t="s">
        <v>37155</v>
      </c>
      <c r="K6877" t="s">
        <v>42630</v>
      </c>
      <c r="M6877" t="s">
        <v>44373</v>
      </c>
      <c r="N6877" t="s">
        <v>47304</v>
      </c>
      <c r="O6877" t="s">
        <v>47305</v>
      </c>
      <c r="P6877">
        <v>0</v>
      </c>
      <c r="Q6877">
        <v>1</v>
      </c>
      <c r="R6877" t="s">
        <v>47311</v>
      </c>
      <c r="S6877" t="s">
        <v>47443</v>
      </c>
      <c r="T6877" t="s">
        <v>49269</v>
      </c>
      <c r="U6877" t="s">
        <v>55294</v>
      </c>
      <c r="W6877" t="s">
        <v>44373</v>
      </c>
      <c r="X6877" t="s">
        <v>47312</v>
      </c>
    </row>
    <row r="6878" spans="1:24">
      <c r="A6878">
        <f>HYPERLINK("https://www.philgeps.gov.ph/GEPSNONPILOT/Tender/SplashBidNoticeAbstractUI.aspx?menuIndex=3&amp;refID=7191153&amp;Result=3","7191153")</f>
        <v>0</v>
      </c>
      <c r="B6878" t="s">
        <v>2279</v>
      </c>
      <c r="C6878" t="s">
        <v>10318</v>
      </c>
      <c r="D6878" t="s">
        <v>19019</v>
      </c>
      <c r="E6878" t="s">
        <v>25067</v>
      </c>
      <c r="F6878" t="s">
        <v>32606</v>
      </c>
      <c r="G6878" t="s">
        <v>32617</v>
      </c>
      <c r="H6878" t="s">
        <v>14201</v>
      </c>
      <c r="I6878" t="s">
        <v>4120</v>
      </c>
      <c r="J6878" t="s">
        <v>37156</v>
      </c>
      <c r="K6878" t="s">
        <v>42624</v>
      </c>
      <c r="M6878" t="s">
        <v>45384</v>
      </c>
      <c r="N6878" t="s">
        <v>47304</v>
      </c>
      <c r="O6878" t="s">
        <v>47305</v>
      </c>
      <c r="P6878">
        <v>0</v>
      </c>
      <c r="Q6878">
        <v>5</v>
      </c>
      <c r="R6878" t="s">
        <v>47311</v>
      </c>
      <c r="S6878" t="s">
        <v>47443</v>
      </c>
      <c r="T6878" t="s">
        <v>49071</v>
      </c>
      <c r="U6878" t="s">
        <v>55295</v>
      </c>
      <c r="W6878" t="s">
        <v>45384</v>
      </c>
      <c r="X6878" t="s">
        <v>47312</v>
      </c>
    </row>
    <row r="6879" spans="1:24">
      <c r="A6879">
        <f>HYPERLINK("https://www.philgeps.gov.ph/GEPSNONPILOT/Tender/SplashBidNoticeAbstractUI.aspx?menuIndex=3&amp;refID=7191219&amp;Result=3","7191219")</f>
        <v>0</v>
      </c>
      <c r="B6879" t="s">
        <v>2152</v>
      </c>
      <c r="C6879" t="s">
        <v>10319</v>
      </c>
      <c r="D6879" t="s">
        <v>19035</v>
      </c>
      <c r="E6879" t="s">
        <v>25068</v>
      </c>
      <c r="F6879" t="s">
        <v>32606</v>
      </c>
      <c r="G6879" t="s">
        <v>32613</v>
      </c>
      <c r="H6879" t="s">
        <v>14201</v>
      </c>
      <c r="I6879" t="s">
        <v>7577</v>
      </c>
      <c r="J6879" t="s">
        <v>33047</v>
      </c>
      <c r="K6879" t="s">
        <v>42622</v>
      </c>
      <c r="M6879" t="s">
        <v>45243</v>
      </c>
      <c r="N6879" t="s">
        <v>47304</v>
      </c>
      <c r="O6879" t="s">
        <v>47305</v>
      </c>
      <c r="P6879">
        <v>0</v>
      </c>
      <c r="Q6879">
        <v>5</v>
      </c>
      <c r="R6879" t="s">
        <v>47311</v>
      </c>
      <c r="S6879" t="s">
        <v>47443</v>
      </c>
      <c r="T6879" t="s">
        <v>49067</v>
      </c>
      <c r="U6879" t="s">
        <v>55296</v>
      </c>
      <c r="W6879" t="s">
        <v>45243</v>
      </c>
      <c r="X6879" t="s">
        <v>47312</v>
      </c>
    </row>
    <row r="6880" spans="1:24">
      <c r="A6880">
        <f>HYPERLINK("https://www.philgeps.gov.ph/GEPSNONPILOT/Tender/SplashBidNoticeAbstractUI.aspx?menuIndex=3&amp;refID=7191217&amp;Result=3","7191217")</f>
        <v>0</v>
      </c>
      <c r="B6880" t="s">
        <v>869</v>
      </c>
      <c r="C6880" t="s">
        <v>10320</v>
      </c>
      <c r="E6880" t="s">
        <v>25069</v>
      </c>
      <c r="F6880" t="s">
        <v>32606</v>
      </c>
      <c r="G6880" t="s">
        <v>32613</v>
      </c>
      <c r="H6880" t="s">
        <v>14201</v>
      </c>
      <c r="I6880" t="s">
        <v>32662</v>
      </c>
      <c r="J6880" t="s">
        <v>32833</v>
      </c>
      <c r="K6880" t="s">
        <v>42624</v>
      </c>
      <c r="M6880" t="s">
        <v>45278</v>
      </c>
      <c r="N6880" t="s">
        <v>47304</v>
      </c>
      <c r="O6880" t="s">
        <v>47305</v>
      </c>
      <c r="Q6880">
        <v>9</v>
      </c>
      <c r="R6880" t="s">
        <v>47311</v>
      </c>
      <c r="S6880" t="s">
        <v>47470</v>
      </c>
      <c r="T6880" t="s">
        <v>49345</v>
      </c>
      <c r="U6880" t="s">
        <v>54996</v>
      </c>
      <c r="W6880" t="s">
        <v>45278</v>
      </c>
      <c r="X6880" t="s">
        <v>47312</v>
      </c>
    </row>
    <row r="6881" spans="1:24">
      <c r="A6881">
        <f>HYPERLINK("https://www.philgeps.gov.ph/GEPSNONPILOT/Tender/SplashBidNoticeAbstractUI.aspx?menuIndex=3&amp;refID=7191149&amp;Result=3","7191149")</f>
        <v>0</v>
      </c>
      <c r="B6881" t="s">
        <v>2280</v>
      </c>
      <c r="C6881" t="s">
        <v>10321</v>
      </c>
      <c r="D6881" t="s">
        <v>19044</v>
      </c>
      <c r="E6881" t="s">
        <v>25070</v>
      </c>
      <c r="F6881" t="s">
        <v>32606</v>
      </c>
      <c r="G6881" t="s">
        <v>32613</v>
      </c>
      <c r="H6881" t="s">
        <v>32623</v>
      </c>
      <c r="I6881" t="s">
        <v>17648</v>
      </c>
      <c r="J6881" t="s">
        <v>37157</v>
      </c>
      <c r="K6881" t="s">
        <v>42636</v>
      </c>
      <c r="M6881" t="s">
        <v>45385</v>
      </c>
      <c r="N6881" t="s">
        <v>47304</v>
      </c>
      <c r="O6881" t="s">
        <v>47305</v>
      </c>
      <c r="P6881">
        <v>0</v>
      </c>
      <c r="Q6881">
        <v>0</v>
      </c>
      <c r="R6881" t="s">
        <v>47311</v>
      </c>
      <c r="S6881" t="s">
        <v>47443</v>
      </c>
      <c r="T6881" t="s">
        <v>49037</v>
      </c>
      <c r="U6881" t="s">
        <v>55297</v>
      </c>
      <c r="W6881" t="s">
        <v>45385</v>
      </c>
      <c r="X6881" t="s">
        <v>47312</v>
      </c>
    </row>
    <row r="6882" spans="1:24">
      <c r="A6882">
        <f>HYPERLINK("https://www.philgeps.gov.ph/GEPSNONPILOT/Tender/SplashBidNoticeAbstractUI.aspx?menuIndex=3&amp;refID=7191212&amp;Result=3","7191212")</f>
        <v>0</v>
      </c>
      <c r="B6882" t="s">
        <v>2281</v>
      </c>
      <c r="C6882" t="s">
        <v>10322</v>
      </c>
      <c r="D6882" t="s">
        <v>18991</v>
      </c>
      <c r="E6882" t="s">
        <v>25071</v>
      </c>
      <c r="F6882" t="s">
        <v>32606</v>
      </c>
      <c r="G6882" t="s">
        <v>32614</v>
      </c>
      <c r="H6882" t="s">
        <v>14201</v>
      </c>
      <c r="I6882" t="s">
        <v>4120</v>
      </c>
      <c r="J6882" t="s">
        <v>37158</v>
      </c>
      <c r="K6882" t="s">
        <v>42631</v>
      </c>
      <c r="M6882" t="s">
        <v>45386</v>
      </c>
      <c r="N6882" t="s">
        <v>47304</v>
      </c>
      <c r="O6882" t="s">
        <v>47305</v>
      </c>
      <c r="P6882">
        <v>0</v>
      </c>
      <c r="Q6882">
        <v>2</v>
      </c>
      <c r="R6882" t="s">
        <v>47311</v>
      </c>
      <c r="S6882" t="s">
        <v>47443</v>
      </c>
      <c r="T6882" t="s">
        <v>49242</v>
      </c>
      <c r="U6882" t="s">
        <v>55298</v>
      </c>
      <c r="W6882" t="s">
        <v>45386</v>
      </c>
      <c r="X6882" t="s">
        <v>47312</v>
      </c>
    </row>
    <row r="6883" spans="1:24">
      <c r="A6883">
        <f>HYPERLINK("https://www.philgeps.gov.ph/GEPSNONPILOT/Tender/SplashBidNoticeAbstractUI.aspx?menuIndex=3&amp;refID=7191211&amp;Result=3","7191211")</f>
        <v>0</v>
      </c>
      <c r="B6883" t="s">
        <v>522</v>
      </c>
      <c r="C6883" t="s">
        <v>10323</v>
      </c>
      <c r="D6883" t="s">
        <v>19040</v>
      </c>
      <c r="E6883" t="s">
        <v>25072</v>
      </c>
      <c r="F6883" t="s">
        <v>32606</v>
      </c>
      <c r="G6883" t="s">
        <v>32619</v>
      </c>
      <c r="H6883" t="s">
        <v>14201</v>
      </c>
      <c r="I6883" t="s">
        <v>32654</v>
      </c>
      <c r="J6883" t="s">
        <v>35292</v>
      </c>
      <c r="K6883" t="s">
        <v>42632</v>
      </c>
      <c r="M6883" t="s">
        <v>43435</v>
      </c>
      <c r="N6883" t="s">
        <v>47304</v>
      </c>
      <c r="O6883" t="s">
        <v>47305</v>
      </c>
      <c r="P6883">
        <v>0</v>
      </c>
      <c r="Q6883">
        <v>0</v>
      </c>
      <c r="R6883" t="s">
        <v>47311</v>
      </c>
      <c r="S6883" t="s">
        <v>47443</v>
      </c>
      <c r="T6883" t="s">
        <v>49359</v>
      </c>
      <c r="U6883" t="s">
        <v>55299</v>
      </c>
      <c r="W6883" t="s">
        <v>43435</v>
      </c>
      <c r="X6883" t="s">
        <v>47312</v>
      </c>
    </row>
    <row r="6884" spans="1:24">
      <c r="A6884">
        <f>HYPERLINK("https://www.philgeps.gov.ph/GEPSNONPILOT/Tender/SplashBidNoticeAbstractUI.aspx?menuIndex=3&amp;refID=7191227&amp;Result=3","7191227")</f>
        <v>0</v>
      </c>
      <c r="B6884" t="s">
        <v>2282</v>
      </c>
      <c r="C6884" t="s">
        <v>10324</v>
      </c>
      <c r="E6884" t="s">
        <v>25073</v>
      </c>
      <c r="F6884" t="s">
        <v>32606</v>
      </c>
      <c r="G6884" t="s">
        <v>32619</v>
      </c>
      <c r="H6884" t="s">
        <v>14201</v>
      </c>
      <c r="I6884" t="s">
        <v>6309</v>
      </c>
      <c r="J6884" t="s">
        <v>37159</v>
      </c>
      <c r="K6884" t="s">
        <v>42630</v>
      </c>
      <c r="M6884" t="s">
        <v>45387</v>
      </c>
      <c r="N6884" t="s">
        <v>47304</v>
      </c>
      <c r="O6884" t="s">
        <v>47305</v>
      </c>
      <c r="P6884">
        <v>0</v>
      </c>
      <c r="Q6884">
        <v>0</v>
      </c>
      <c r="R6884" t="s">
        <v>47311</v>
      </c>
      <c r="S6884" t="s">
        <v>47443</v>
      </c>
      <c r="T6884" t="s">
        <v>49253</v>
      </c>
      <c r="U6884" t="s">
        <v>55300</v>
      </c>
      <c r="W6884" t="s">
        <v>45387</v>
      </c>
      <c r="X6884" t="s">
        <v>47312</v>
      </c>
    </row>
    <row r="6885" spans="1:24">
      <c r="A6885">
        <f>HYPERLINK("https://www.philgeps.gov.ph/GEPSNONPILOT/Tender/SplashBidNoticeAbstractUI.aspx?menuIndex=3&amp;refID=7190993&amp;Result=3","7190993")</f>
        <v>0</v>
      </c>
      <c r="B6885" t="s">
        <v>2262</v>
      </c>
      <c r="C6885" t="s">
        <v>10325</v>
      </c>
      <c r="D6885" t="s">
        <v>19029</v>
      </c>
      <c r="E6885" t="s">
        <v>25074</v>
      </c>
      <c r="F6885" t="s">
        <v>32607</v>
      </c>
      <c r="G6885" t="s">
        <v>32619</v>
      </c>
      <c r="H6885" t="s">
        <v>14201</v>
      </c>
      <c r="I6885" t="s">
        <v>32633</v>
      </c>
      <c r="J6885" t="s">
        <v>37160</v>
      </c>
      <c r="K6885" t="s">
        <v>42630</v>
      </c>
      <c r="M6885" t="s">
        <v>45367</v>
      </c>
      <c r="N6885" t="s">
        <v>47304</v>
      </c>
      <c r="O6885" t="s">
        <v>47305</v>
      </c>
      <c r="P6885">
        <v>0</v>
      </c>
      <c r="Q6885">
        <v>2</v>
      </c>
      <c r="R6885" t="s">
        <v>47311</v>
      </c>
      <c r="S6885" t="s">
        <v>47443</v>
      </c>
      <c r="T6885" t="s">
        <v>49330</v>
      </c>
      <c r="U6885" t="s">
        <v>55301</v>
      </c>
      <c r="W6885" t="s">
        <v>45367</v>
      </c>
      <c r="X6885" t="s">
        <v>47312</v>
      </c>
    </row>
    <row r="6886" spans="1:24">
      <c r="A6886">
        <f>HYPERLINK("https://www.philgeps.gov.ph/GEPSNONPILOT/Tender/SplashBidNoticeAbstractUI.aspx?menuIndex=3&amp;refID=7191291&amp;Result=3","7191291")</f>
        <v>0</v>
      </c>
      <c r="B6886" t="s">
        <v>1172</v>
      </c>
      <c r="C6886" t="s">
        <v>10326</v>
      </c>
      <c r="D6886" t="s">
        <v>18998</v>
      </c>
      <c r="E6886" t="s">
        <v>25075</v>
      </c>
      <c r="F6886" t="s">
        <v>32606</v>
      </c>
      <c r="G6886" t="s">
        <v>32614</v>
      </c>
      <c r="H6886" t="s">
        <v>14201</v>
      </c>
      <c r="I6886" t="s">
        <v>32650</v>
      </c>
      <c r="J6886" t="s">
        <v>32995</v>
      </c>
      <c r="K6886" t="s">
        <v>42631</v>
      </c>
      <c r="M6886" t="s">
        <v>44135</v>
      </c>
      <c r="N6886" t="s">
        <v>47304</v>
      </c>
      <c r="O6886" t="s">
        <v>47305</v>
      </c>
      <c r="P6886">
        <v>0</v>
      </c>
      <c r="Q6886">
        <v>1</v>
      </c>
      <c r="R6886" t="s">
        <v>47311</v>
      </c>
      <c r="S6886" t="s">
        <v>47443</v>
      </c>
      <c r="T6886" t="s">
        <v>49053</v>
      </c>
      <c r="U6886" t="s">
        <v>51932</v>
      </c>
      <c r="W6886" t="s">
        <v>44135</v>
      </c>
      <c r="X6886" t="s">
        <v>47312</v>
      </c>
    </row>
    <row r="6887" spans="1:24">
      <c r="A6887">
        <f>HYPERLINK("https://www.philgeps.gov.ph/GEPSNONPILOT/Tender/SplashBidNoticeAbstractUI.aspx?menuIndex=3&amp;refID=7191241&amp;Result=3","7191241")</f>
        <v>0</v>
      </c>
      <c r="B6887" t="s">
        <v>2283</v>
      </c>
      <c r="C6887" t="s">
        <v>10327</v>
      </c>
      <c r="D6887" t="s">
        <v>19022</v>
      </c>
      <c r="E6887" t="s">
        <v>25076</v>
      </c>
      <c r="F6887" t="s">
        <v>32606</v>
      </c>
      <c r="G6887" t="s">
        <v>32613</v>
      </c>
      <c r="H6887" t="s">
        <v>14201</v>
      </c>
      <c r="I6887" t="s">
        <v>32629</v>
      </c>
      <c r="J6887" t="s">
        <v>33009</v>
      </c>
      <c r="K6887" t="s">
        <v>42629</v>
      </c>
      <c r="M6887" t="s">
        <v>45388</v>
      </c>
      <c r="N6887" t="s">
        <v>47304</v>
      </c>
      <c r="O6887" t="s">
        <v>47305</v>
      </c>
      <c r="P6887">
        <v>0</v>
      </c>
      <c r="Q6887">
        <v>0</v>
      </c>
      <c r="R6887" t="s">
        <v>47311</v>
      </c>
      <c r="S6887" t="s">
        <v>47443</v>
      </c>
      <c r="T6887" t="s">
        <v>49057</v>
      </c>
      <c r="U6887" t="s">
        <v>55302</v>
      </c>
      <c r="W6887" t="s">
        <v>45388</v>
      </c>
      <c r="X6887" t="s">
        <v>47312</v>
      </c>
    </row>
    <row r="6888" spans="1:24">
      <c r="A6888">
        <f>HYPERLINK("https://www.philgeps.gov.ph/GEPSNONPILOT/Tender/SplashBidNoticeAbstractUI.aspx?menuIndex=3&amp;refID=7191305&amp;Result=3","7191305")</f>
        <v>0</v>
      </c>
      <c r="B6888" t="s">
        <v>1172</v>
      </c>
      <c r="C6888" t="s">
        <v>10328</v>
      </c>
      <c r="D6888" t="s">
        <v>18998</v>
      </c>
      <c r="E6888" t="s">
        <v>25077</v>
      </c>
      <c r="F6888" t="s">
        <v>32606</v>
      </c>
      <c r="G6888" t="s">
        <v>32614</v>
      </c>
      <c r="H6888" t="s">
        <v>14201</v>
      </c>
      <c r="I6888" t="s">
        <v>6298</v>
      </c>
      <c r="J6888" t="s">
        <v>37161</v>
      </c>
      <c r="K6888" t="s">
        <v>42631</v>
      </c>
      <c r="M6888" t="s">
        <v>44135</v>
      </c>
      <c r="N6888" t="s">
        <v>47304</v>
      </c>
      <c r="O6888" t="s">
        <v>47305</v>
      </c>
      <c r="P6888">
        <v>0</v>
      </c>
      <c r="Q6888">
        <v>1</v>
      </c>
      <c r="R6888" t="s">
        <v>47311</v>
      </c>
      <c r="S6888" t="s">
        <v>47443</v>
      </c>
      <c r="T6888" t="s">
        <v>49053</v>
      </c>
      <c r="U6888" t="s">
        <v>51932</v>
      </c>
      <c r="W6888" t="s">
        <v>44135</v>
      </c>
      <c r="X6888" t="s">
        <v>47312</v>
      </c>
    </row>
    <row r="6889" spans="1:24">
      <c r="A6889">
        <f>HYPERLINK("https://www.philgeps.gov.ph/GEPSNONPILOT/Tender/SplashBidNoticeAbstractUI.aspx?menuIndex=3&amp;refID=7191213&amp;Result=3","7191213")</f>
        <v>0</v>
      </c>
      <c r="B6889" t="s">
        <v>2283</v>
      </c>
      <c r="C6889" t="s">
        <v>10327</v>
      </c>
      <c r="D6889" t="s">
        <v>19022</v>
      </c>
      <c r="E6889" t="s">
        <v>25078</v>
      </c>
      <c r="F6889" t="s">
        <v>32606</v>
      </c>
      <c r="G6889" t="s">
        <v>32613</v>
      </c>
      <c r="H6889" t="s">
        <v>14201</v>
      </c>
      <c r="I6889" t="s">
        <v>32629</v>
      </c>
      <c r="J6889" t="s">
        <v>33009</v>
      </c>
      <c r="K6889" t="s">
        <v>42629</v>
      </c>
      <c r="M6889" t="s">
        <v>45388</v>
      </c>
      <c r="N6889" t="s">
        <v>47304</v>
      </c>
      <c r="O6889" t="s">
        <v>47305</v>
      </c>
      <c r="P6889">
        <v>0</v>
      </c>
      <c r="Q6889">
        <v>0</v>
      </c>
      <c r="R6889" t="s">
        <v>47311</v>
      </c>
      <c r="S6889" t="s">
        <v>47443</v>
      </c>
      <c r="T6889" t="s">
        <v>49057</v>
      </c>
      <c r="U6889" t="s">
        <v>55302</v>
      </c>
      <c r="W6889" t="s">
        <v>45388</v>
      </c>
      <c r="X6889" t="s">
        <v>47312</v>
      </c>
    </row>
    <row r="6890" spans="1:24">
      <c r="A6890">
        <f>HYPERLINK("https://www.philgeps.gov.ph/GEPSNONPILOT/Tender/SplashBidNoticeAbstractUI.aspx?menuIndex=3&amp;refID=7191292&amp;Result=3","7191292")</f>
        <v>0</v>
      </c>
      <c r="B6890" t="s">
        <v>869</v>
      </c>
      <c r="C6890" t="s">
        <v>10329</v>
      </c>
      <c r="E6890" t="s">
        <v>25079</v>
      </c>
      <c r="F6890" t="s">
        <v>32606</v>
      </c>
      <c r="G6890" t="s">
        <v>32613</v>
      </c>
      <c r="H6890" t="s">
        <v>14201</v>
      </c>
      <c r="I6890" t="s">
        <v>32662</v>
      </c>
      <c r="J6890" t="s">
        <v>33934</v>
      </c>
      <c r="K6890" t="s">
        <v>42624</v>
      </c>
      <c r="M6890" t="s">
        <v>45278</v>
      </c>
      <c r="N6890" t="s">
        <v>47304</v>
      </c>
      <c r="O6890" t="s">
        <v>47305</v>
      </c>
      <c r="Q6890">
        <v>13</v>
      </c>
      <c r="R6890" t="s">
        <v>47311</v>
      </c>
      <c r="S6890" t="s">
        <v>47471</v>
      </c>
      <c r="T6890" t="s">
        <v>49345</v>
      </c>
      <c r="U6890" t="s">
        <v>55303</v>
      </c>
      <c r="W6890" t="s">
        <v>45278</v>
      </c>
      <c r="X6890" t="s">
        <v>47312</v>
      </c>
    </row>
    <row r="6891" spans="1:24">
      <c r="A6891">
        <f>HYPERLINK("https://www.philgeps.gov.ph/GEPSNONPILOT/Tender/SplashBidNoticeAbstractUI.aspx?menuIndex=3&amp;refID=7191220&amp;Result=3","7191220")</f>
        <v>0</v>
      </c>
      <c r="B6891" t="s">
        <v>2275</v>
      </c>
      <c r="C6891" t="s">
        <v>10330</v>
      </c>
      <c r="D6891" t="s">
        <v>19044</v>
      </c>
      <c r="E6891" t="s">
        <v>25080</v>
      </c>
      <c r="F6891" t="s">
        <v>32606</v>
      </c>
      <c r="G6891" t="s">
        <v>32613</v>
      </c>
      <c r="H6891" t="s">
        <v>14201</v>
      </c>
      <c r="I6891" t="s">
        <v>17648</v>
      </c>
      <c r="J6891" t="s">
        <v>37162</v>
      </c>
      <c r="K6891" t="s">
        <v>42787</v>
      </c>
      <c r="M6891" t="s">
        <v>45380</v>
      </c>
      <c r="N6891" t="s">
        <v>47304</v>
      </c>
      <c r="O6891" t="s">
        <v>47305</v>
      </c>
      <c r="P6891">
        <v>0</v>
      </c>
      <c r="Q6891">
        <v>0</v>
      </c>
      <c r="R6891" t="s">
        <v>47311</v>
      </c>
      <c r="S6891" t="s">
        <v>47443</v>
      </c>
      <c r="T6891" t="s">
        <v>48970</v>
      </c>
      <c r="U6891" t="s">
        <v>55304</v>
      </c>
      <c r="W6891" t="s">
        <v>45380</v>
      </c>
      <c r="X6891" t="s">
        <v>47312</v>
      </c>
    </row>
    <row r="6892" spans="1:24">
      <c r="A6892">
        <f>HYPERLINK("https://www.philgeps.gov.ph/GEPSNONPILOT/Tender/SplashBidNoticeAbstractUI.aspx?menuIndex=3&amp;refID=7191289&amp;Result=3","7191289")</f>
        <v>0</v>
      </c>
      <c r="B6892" t="s">
        <v>253</v>
      </c>
      <c r="C6892" t="s">
        <v>10050</v>
      </c>
      <c r="D6892" t="s">
        <v>19043</v>
      </c>
      <c r="E6892" t="s">
        <v>25081</v>
      </c>
      <c r="F6892" t="s">
        <v>32606</v>
      </c>
      <c r="G6892" t="s">
        <v>32614</v>
      </c>
      <c r="H6892" t="s">
        <v>14201</v>
      </c>
      <c r="I6892" t="s">
        <v>4112</v>
      </c>
      <c r="J6892" t="s">
        <v>37163</v>
      </c>
      <c r="K6892" t="s">
        <v>42622</v>
      </c>
      <c r="M6892" t="s">
        <v>43154</v>
      </c>
      <c r="N6892" t="s">
        <v>47304</v>
      </c>
      <c r="O6892" t="s">
        <v>47305</v>
      </c>
      <c r="P6892">
        <v>0</v>
      </c>
      <c r="Q6892">
        <v>0</v>
      </c>
      <c r="R6892" t="s">
        <v>47311</v>
      </c>
      <c r="S6892" t="s">
        <v>47443</v>
      </c>
      <c r="T6892" t="s">
        <v>49023</v>
      </c>
      <c r="U6892" t="s">
        <v>55305</v>
      </c>
      <c r="W6892" t="s">
        <v>43154</v>
      </c>
      <c r="X6892" t="s">
        <v>47312</v>
      </c>
    </row>
    <row r="6893" spans="1:24">
      <c r="A6893">
        <f>HYPERLINK("https://www.philgeps.gov.ph/GEPSNONPILOT/Tender/SplashBidNoticeAbstractUI.aspx?menuIndex=3&amp;refID=7191210&amp;Result=3","7191210")</f>
        <v>0</v>
      </c>
      <c r="B6893" t="s">
        <v>1306</v>
      </c>
      <c r="C6893" t="s">
        <v>10331</v>
      </c>
      <c r="D6893" t="s">
        <v>19011</v>
      </c>
      <c r="E6893" t="s">
        <v>25082</v>
      </c>
      <c r="F6893" t="s">
        <v>32606</v>
      </c>
      <c r="G6893" t="s">
        <v>32613</v>
      </c>
      <c r="H6893" t="s">
        <v>14201</v>
      </c>
      <c r="I6893" t="s">
        <v>32686</v>
      </c>
      <c r="J6893" t="s">
        <v>37164</v>
      </c>
      <c r="K6893" t="s">
        <v>42648</v>
      </c>
      <c r="M6893" t="s">
        <v>44278</v>
      </c>
      <c r="N6893" t="s">
        <v>47304</v>
      </c>
      <c r="O6893" t="s">
        <v>47305</v>
      </c>
      <c r="P6893">
        <v>0</v>
      </c>
      <c r="Q6893">
        <v>3</v>
      </c>
      <c r="R6893" t="s">
        <v>47311</v>
      </c>
      <c r="S6893" t="s">
        <v>47443</v>
      </c>
      <c r="T6893" t="s">
        <v>49011</v>
      </c>
      <c r="U6893" t="s">
        <v>55306</v>
      </c>
      <c r="W6893" t="s">
        <v>44278</v>
      </c>
      <c r="X6893" t="s">
        <v>47312</v>
      </c>
    </row>
    <row r="6894" spans="1:24">
      <c r="A6894">
        <f>HYPERLINK("https://www.philgeps.gov.ph/GEPSNONPILOT/Tender/SplashBidNoticeAbstractUI.aspx?menuIndex=3&amp;refID=7191286&amp;Result=3","7191286")</f>
        <v>0</v>
      </c>
      <c r="B6894" t="s">
        <v>2284</v>
      </c>
      <c r="C6894" t="s">
        <v>10332</v>
      </c>
      <c r="D6894" t="s">
        <v>19011</v>
      </c>
      <c r="E6894" t="s">
        <v>25083</v>
      </c>
      <c r="F6894" t="s">
        <v>32606</v>
      </c>
      <c r="G6894" t="s">
        <v>32613</v>
      </c>
      <c r="H6894" t="s">
        <v>32623</v>
      </c>
      <c r="I6894" t="s">
        <v>17648</v>
      </c>
      <c r="J6894" t="s">
        <v>33022</v>
      </c>
      <c r="K6894" t="s">
        <v>42636</v>
      </c>
      <c r="M6894" t="s">
        <v>45389</v>
      </c>
      <c r="N6894" t="s">
        <v>47304</v>
      </c>
      <c r="O6894" t="s">
        <v>47305</v>
      </c>
      <c r="P6894">
        <v>0</v>
      </c>
      <c r="Q6894">
        <v>0</v>
      </c>
      <c r="R6894" t="s">
        <v>47311</v>
      </c>
      <c r="S6894" t="s">
        <v>47443</v>
      </c>
      <c r="T6894" t="s">
        <v>48980</v>
      </c>
      <c r="U6894" t="s">
        <v>55307</v>
      </c>
      <c r="W6894" t="s">
        <v>45389</v>
      </c>
      <c r="X6894" t="s">
        <v>47312</v>
      </c>
    </row>
    <row r="6895" spans="1:24">
      <c r="A6895">
        <f>HYPERLINK("https://www.philgeps.gov.ph/GEPSNONPILOT/Tender/SplashBidNoticeAbstractUI.aspx?menuIndex=3&amp;refID=7191299&amp;Result=3","7191299")</f>
        <v>0</v>
      </c>
      <c r="B6895" t="s">
        <v>262</v>
      </c>
      <c r="C6895" t="s">
        <v>10333</v>
      </c>
      <c r="D6895" t="s">
        <v>19038</v>
      </c>
      <c r="E6895" t="s">
        <v>25084</v>
      </c>
      <c r="F6895" t="s">
        <v>32606</v>
      </c>
      <c r="G6895" t="s">
        <v>32613</v>
      </c>
      <c r="H6895" t="s">
        <v>14201</v>
      </c>
      <c r="I6895" t="s">
        <v>4678</v>
      </c>
      <c r="J6895" t="s">
        <v>37165</v>
      </c>
      <c r="K6895" t="s">
        <v>42638</v>
      </c>
      <c r="M6895" t="s">
        <v>43163</v>
      </c>
      <c r="N6895" t="s">
        <v>47304</v>
      </c>
      <c r="O6895" t="s">
        <v>47305</v>
      </c>
      <c r="P6895">
        <v>0</v>
      </c>
      <c r="Q6895">
        <v>1</v>
      </c>
      <c r="R6895" t="s">
        <v>47311</v>
      </c>
      <c r="S6895" t="s">
        <v>47443</v>
      </c>
      <c r="T6895" t="s">
        <v>49075</v>
      </c>
      <c r="U6895" t="s">
        <v>55308</v>
      </c>
      <c r="W6895" t="s">
        <v>43163</v>
      </c>
      <c r="X6895" t="s">
        <v>47312</v>
      </c>
    </row>
    <row r="6896" spans="1:24">
      <c r="A6896">
        <f>HYPERLINK("https://www.philgeps.gov.ph/GEPSNONPILOT/Tender/SplashBidNoticeAbstractUI.aspx?menuIndex=3&amp;refID=7191296&amp;Result=3","7191296")</f>
        <v>0</v>
      </c>
      <c r="B6896" t="s">
        <v>2157</v>
      </c>
      <c r="C6896" t="s">
        <v>10334</v>
      </c>
      <c r="D6896" t="s">
        <v>19016</v>
      </c>
      <c r="E6896" t="s">
        <v>25085</v>
      </c>
      <c r="F6896" t="s">
        <v>32606</v>
      </c>
      <c r="G6896" t="s">
        <v>32614</v>
      </c>
      <c r="H6896" t="s">
        <v>14201</v>
      </c>
      <c r="I6896" t="s">
        <v>4120</v>
      </c>
      <c r="J6896" t="s">
        <v>37166</v>
      </c>
      <c r="K6896" t="s">
        <v>42624</v>
      </c>
      <c r="M6896" t="s">
        <v>45251</v>
      </c>
      <c r="N6896" t="s">
        <v>47304</v>
      </c>
      <c r="O6896" t="s">
        <v>47305</v>
      </c>
      <c r="P6896">
        <v>0</v>
      </c>
      <c r="Q6896">
        <v>0</v>
      </c>
      <c r="R6896" t="s">
        <v>47311</v>
      </c>
      <c r="S6896" t="s">
        <v>47443</v>
      </c>
      <c r="T6896" t="s">
        <v>49010</v>
      </c>
      <c r="U6896" t="s">
        <v>55309</v>
      </c>
      <c r="W6896" t="s">
        <v>45251</v>
      </c>
      <c r="X6896" t="s">
        <v>47312</v>
      </c>
    </row>
    <row r="6897" spans="1:24">
      <c r="A6897">
        <f>HYPERLINK("https://www.philgeps.gov.ph/GEPSNONPILOT/Tender/SplashBidNoticeAbstractUI.aspx?menuIndex=3&amp;refID=7191174&amp;Result=3","7191174")</f>
        <v>0</v>
      </c>
      <c r="B6897" t="s">
        <v>1172</v>
      </c>
      <c r="C6897" t="s">
        <v>10335</v>
      </c>
      <c r="D6897" t="s">
        <v>18998</v>
      </c>
      <c r="E6897" t="s">
        <v>25086</v>
      </c>
      <c r="F6897" t="s">
        <v>32606</v>
      </c>
      <c r="G6897" t="s">
        <v>32614</v>
      </c>
      <c r="H6897" t="s">
        <v>14201</v>
      </c>
      <c r="I6897" t="s">
        <v>32650</v>
      </c>
      <c r="J6897" t="s">
        <v>37167</v>
      </c>
      <c r="K6897" t="s">
        <v>42631</v>
      </c>
      <c r="M6897" t="s">
        <v>44135</v>
      </c>
      <c r="N6897" t="s">
        <v>47304</v>
      </c>
      <c r="O6897" t="s">
        <v>47305</v>
      </c>
      <c r="P6897">
        <v>0</v>
      </c>
      <c r="Q6897">
        <v>1</v>
      </c>
      <c r="R6897" t="s">
        <v>47311</v>
      </c>
      <c r="S6897" t="s">
        <v>47443</v>
      </c>
      <c r="T6897" t="s">
        <v>49053</v>
      </c>
      <c r="U6897" t="s">
        <v>51932</v>
      </c>
      <c r="W6897" t="s">
        <v>44135</v>
      </c>
      <c r="X6897" t="s">
        <v>47312</v>
      </c>
    </row>
    <row r="6898" spans="1:24">
      <c r="A6898">
        <f>HYPERLINK("https://www.philgeps.gov.ph/GEPSNONPILOT/Tender/SplashBidNoticeAbstractUI.aspx?menuIndex=3&amp;refID=7191278&amp;Result=3","7191278")</f>
        <v>0</v>
      </c>
      <c r="B6898" t="s">
        <v>848</v>
      </c>
      <c r="C6898" t="s">
        <v>10336</v>
      </c>
      <c r="D6898" t="s">
        <v>19063</v>
      </c>
      <c r="E6898" t="s">
        <v>25087</v>
      </c>
      <c r="F6898" t="s">
        <v>32606</v>
      </c>
      <c r="G6898" t="s">
        <v>32613</v>
      </c>
      <c r="H6898" t="s">
        <v>32623</v>
      </c>
      <c r="I6898" t="s">
        <v>17648</v>
      </c>
      <c r="J6898" t="s">
        <v>33231</v>
      </c>
      <c r="K6898" t="s">
        <v>42636</v>
      </c>
      <c r="M6898" t="s">
        <v>43780</v>
      </c>
      <c r="N6898" t="s">
        <v>47304</v>
      </c>
      <c r="O6898" t="s">
        <v>47305</v>
      </c>
      <c r="P6898">
        <v>0</v>
      </c>
      <c r="Q6898">
        <v>1</v>
      </c>
      <c r="R6898" t="s">
        <v>47311</v>
      </c>
      <c r="S6898" t="s">
        <v>47443</v>
      </c>
      <c r="T6898" t="s">
        <v>49157</v>
      </c>
      <c r="U6898" t="s">
        <v>55310</v>
      </c>
      <c r="W6898" t="s">
        <v>43780</v>
      </c>
      <c r="X6898" t="s">
        <v>47312</v>
      </c>
    </row>
    <row r="6899" spans="1:24">
      <c r="A6899">
        <f>HYPERLINK("https://www.philgeps.gov.ph/GEPSNONPILOT/Tender/SplashBidNoticeAbstractUI.aspx?menuIndex=3&amp;refID=7191277&amp;Result=3","7191277")</f>
        <v>0</v>
      </c>
      <c r="B6899" t="s">
        <v>782</v>
      </c>
      <c r="C6899" t="s">
        <v>10337</v>
      </c>
      <c r="D6899" t="s">
        <v>19031</v>
      </c>
      <c r="E6899" t="s">
        <v>25088</v>
      </c>
      <c r="F6899" t="s">
        <v>32606</v>
      </c>
      <c r="G6899" t="s">
        <v>32613</v>
      </c>
      <c r="H6899" t="s">
        <v>14201</v>
      </c>
      <c r="I6899" t="s">
        <v>4369</v>
      </c>
      <c r="J6899" t="s">
        <v>37168</v>
      </c>
      <c r="K6899" t="s">
        <v>42632</v>
      </c>
      <c r="L6899" t="s">
        <v>782</v>
      </c>
      <c r="M6899" t="s">
        <v>43713</v>
      </c>
      <c r="N6899" t="s">
        <v>47304</v>
      </c>
      <c r="O6899" t="s">
        <v>47305</v>
      </c>
      <c r="P6899">
        <v>0</v>
      </c>
      <c r="Q6899">
        <v>3</v>
      </c>
      <c r="R6899" t="s">
        <v>47311</v>
      </c>
      <c r="S6899" t="s">
        <v>47443</v>
      </c>
      <c r="T6899" t="s">
        <v>49057</v>
      </c>
      <c r="U6899" t="s">
        <v>55311</v>
      </c>
      <c r="V6899" t="s">
        <v>63309</v>
      </c>
      <c r="W6899" t="s">
        <v>43713</v>
      </c>
      <c r="X6899" t="s">
        <v>47312</v>
      </c>
    </row>
    <row r="6900" spans="1:24">
      <c r="A6900">
        <f>HYPERLINK("https://www.philgeps.gov.ph/GEPSNONPILOT/Tender/SplashBidNoticeAbstractUI.aspx?menuIndex=3&amp;refID=7191282&amp;Result=3","7191282")</f>
        <v>0</v>
      </c>
      <c r="B6900" t="s">
        <v>869</v>
      </c>
      <c r="C6900" t="s">
        <v>10338</v>
      </c>
      <c r="E6900" t="s">
        <v>25089</v>
      </c>
      <c r="F6900" t="s">
        <v>32606</v>
      </c>
      <c r="G6900" t="s">
        <v>32613</v>
      </c>
      <c r="H6900" t="s">
        <v>14201</v>
      </c>
      <c r="I6900" t="s">
        <v>32662</v>
      </c>
      <c r="J6900" t="s">
        <v>32795</v>
      </c>
      <c r="K6900" t="s">
        <v>42624</v>
      </c>
      <c r="M6900" t="s">
        <v>45278</v>
      </c>
      <c r="N6900" t="s">
        <v>47304</v>
      </c>
      <c r="O6900" t="s">
        <v>47305</v>
      </c>
      <c r="P6900">
        <v>0</v>
      </c>
      <c r="Q6900">
        <v>13</v>
      </c>
      <c r="R6900" t="s">
        <v>47311</v>
      </c>
      <c r="S6900" t="s">
        <v>47443</v>
      </c>
      <c r="T6900" t="s">
        <v>49345</v>
      </c>
      <c r="U6900" t="s">
        <v>55312</v>
      </c>
      <c r="W6900" t="s">
        <v>45278</v>
      </c>
      <c r="X6900" t="s">
        <v>47312</v>
      </c>
    </row>
    <row r="6901" spans="1:24">
      <c r="A6901">
        <f>HYPERLINK("https://www.philgeps.gov.ph/GEPSNONPILOT/Tender/SplashBidNoticeAbstractUI.aspx?menuIndex=3&amp;refID=7191264&amp;Result=3","7191264")</f>
        <v>0</v>
      </c>
      <c r="B6901" t="s">
        <v>1172</v>
      </c>
      <c r="C6901" t="s">
        <v>10339</v>
      </c>
      <c r="D6901" t="s">
        <v>18998</v>
      </c>
      <c r="E6901" t="s">
        <v>25090</v>
      </c>
      <c r="F6901" t="s">
        <v>32606</v>
      </c>
      <c r="G6901" t="s">
        <v>32614</v>
      </c>
      <c r="H6901" t="s">
        <v>14201</v>
      </c>
      <c r="I6901" t="s">
        <v>6298</v>
      </c>
      <c r="J6901" t="s">
        <v>32949</v>
      </c>
      <c r="K6901" t="s">
        <v>42631</v>
      </c>
      <c r="M6901" t="s">
        <v>44135</v>
      </c>
      <c r="N6901" t="s">
        <v>47304</v>
      </c>
      <c r="O6901" t="s">
        <v>47305</v>
      </c>
      <c r="P6901">
        <v>0</v>
      </c>
      <c r="Q6901">
        <v>1</v>
      </c>
      <c r="R6901" t="s">
        <v>47311</v>
      </c>
      <c r="S6901" t="s">
        <v>47443</v>
      </c>
      <c r="T6901" t="s">
        <v>49053</v>
      </c>
      <c r="U6901" t="s">
        <v>51932</v>
      </c>
      <c r="W6901" t="s">
        <v>44135</v>
      </c>
      <c r="X6901" t="s">
        <v>47312</v>
      </c>
    </row>
    <row r="6902" spans="1:24">
      <c r="A6902">
        <f>HYPERLINK("https://www.philgeps.gov.ph/GEPSNONPILOT/Tender/SplashBidNoticeAbstractUI.aspx?menuIndex=3&amp;refID=7191254&amp;Result=3","7191254")</f>
        <v>0</v>
      </c>
      <c r="B6902" t="s">
        <v>869</v>
      </c>
      <c r="C6902" t="s">
        <v>10340</v>
      </c>
      <c r="E6902" t="s">
        <v>25091</v>
      </c>
      <c r="F6902" t="s">
        <v>32606</v>
      </c>
      <c r="G6902" t="s">
        <v>32613</v>
      </c>
      <c r="H6902" t="s">
        <v>14201</v>
      </c>
      <c r="I6902" t="s">
        <v>32662</v>
      </c>
      <c r="J6902" t="s">
        <v>32769</v>
      </c>
      <c r="K6902" t="s">
        <v>42624</v>
      </c>
      <c r="M6902" t="s">
        <v>45278</v>
      </c>
      <c r="N6902" t="s">
        <v>47304</v>
      </c>
      <c r="O6902" t="s">
        <v>47305</v>
      </c>
      <c r="Q6902">
        <v>11</v>
      </c>
      <c r="R6902" t="s">
        <v>47311</v>
      </c>
      <c r="S6902" t="s">
        <v>47472</v>
      </c>
      <c r="T6902" t="s">
        <v>49345</v>
      </c>
      <c r="U6902" t="s">
        <v>54996</v>
      </c>
      <c r="W6902" t="s">
        <v>45278</v>
      </c>
      <c r="X6902" t="s">
        <v>47312</v>
      </c>
    </row>
    <row r="6903" spans="1:24">
      <c r="A6903">
        <f>HYPERLINK("https://www.philgeps.gov.ph/GEPSNONPILOT/Tender/SplashBidNoticeAbstractUI.aspx?menuIndex=3&amp;refID=7191252&amp;Result=3","7191252")</f>
        <v>0</v>
      </c>
      <c r="B6903" t="s">
        <v>1037</v>
      </c>
      <c r="C6903" t="s">
        <v>10341</v>
      </c>
      <c r="D6903" t="s">
        <v>18993</v>
      </c>
      <c r="E6903" t="s">
        <v>25092</v>
      </c>
      <c r="F6903" t="s">
        <v>32606</v>
      </c>
      <c r="G6903" t="s">
        <v>32614</v>
      </c>
      <c r="H6903" t="s">
        <v>14201</v>
      </c>
      <c r="I6903" t="s">
        <v>32633</v>
      </c>
      <c r="J6903" t="s">
        <v>34855</v>
      </c>
      <c r="K6903" t="s">
        <v>42624</v>
      </c>
      <c r="M6903" t="s">
        <v>43990</v>
      </c>
      <c r="N6903" t="s">
        <v>47304</v>
      </c>
      <c r="O6903" t="s">
        <v>47305</v>
      </c>
      <c r="P6903">
        <v>0</v>
      </c>
      <c r="Q6903">
        <v>5</v>
      </c>
      <c r="R6903" t="s">
        <v>47311</v>
      </c>
      <c r="S6903" t="s">
        <v>47443</v>
      </c>
      <c r="T6903" t="s">
        <v>49346</v>
      </c>
      <c r="U6903" t="s">
        <v>55313</v>
      </c>
      <c r="V6903" t="s">
        <v>62721</v>
      </c>
      <c r="W6903" t="s">
        <v>43990</v>
      </c>
      <c r="X6903" t="s">
        <v>47312</v>
      </c>
    </row>
    <row r="6904" spans="1:24">
      <c r="A6904">
        <f>HYPERLINK("https://www.philgeps.gov.ph/GEPSNONPILOT/Tender/SplashBidNoticeAbstractUI.aspx?menuIndex=3&amp;refID=7191249&amp;Result=3","7191249")</f>
        <v>0</v>
      </c>
      <c r="B6904" t="s">
        <v>1172</v>
      </c>
      <c r="C6904" t="s">
        <v>10342</v>
      </c>
      <c r="D6904" t="s">
        <v>18998</v>
      </c>
      <c r="E6904" t="s">
        <v>25093</v>
      </c>
      <c r="F6904" t="s">
        <v>32606</v>
      </c>
      <c r="G6904" t="s">
        <v>32614</v>
      </c>
      <c r="H6904" t="s">
        <v>14201</v>
      </c>
      <c r="I6904" t="s">
        <v>6298</v>
      </c>
      <c r="J6904" t="s">
        <v>33062</v>
      </c>
      <c r="K6904" t="s">
        <v>42631</v>
      </c>
      <c r="M6904" t="s">
        <v>44135</v>
      </c>
      <c r="N6904" t="s">
        <v>47304</v>
      </c>
      <c r="O6904" t="s">
        <v>47305</v>
      </c>
      <c r="P6904">
        <v>0</v>
      </c>
      <c r="Q6904">
        <v>3</v>
      </c>
      <c r="R6904" t="s">
        <v>47311</v>
      </c>
      <c r="S6904" t="s">
        <v>47443</v>
      </c>
      <c r="T6904" t="s">
        <v>49053</v>
      </c>
      <c r="U6904" t="s">
        <v>51932</v>
      </c>
      <c r="W6904" t="s">
        <v>44135</v>
      </c>
      <c r="X6904" t="s">
        <v>47312</v>
      </c>
    </row>
    <row r="6905" spans="1:24">
      <c r="A6905">
        <f>HYPERLINK("https://www.philgeps.gov.ph/GEPSNONPILOT/Tender/SplashBidNoticeAbstractUI.aspx?menuIndex=3&amp;refID=7191276&amp;Result=3","7191276")</f>
        <v>0</v>
      </c>
      <c r="B6905" t="s">
        <v>1172</v>
      </c>
      <c r="C6905" t="s">
        <v>10343</v>
      </c>
      <c r="D6905" t="s">
        <v>18998</v>
      </c>
      <c r="E6905" t="s">
        <v>25094</v>
      </c>
      <c r="F6905" t="s">
        <v>32606</v>
      </c>
      <c r="G6905" t="s">
        <v>32614</v>
      </c>
      <c r="H6905" t="s">
        <v>14201</v>
      </c>
      <c r="I6905" t="s">
        <v>32635</v>
      </c>
      <c r="J6905" t="s">
        <v>32949</v>
      </c>
      <c r="K6905" t="s">
        <v>42631</v>
      </c>
      <c r="M6905" t="s">
        <v>44135</v>
      </c>
      <c r="N6905" t="s">
        <v>47304</v>
      </c>
      <c r="O6905" t="s">
        <v>47305</v>
      </c>
      <c r="P6905">
        <v>0</v>
      </c>
      <c r="Q6905">
        <v>1</v>
      </c>
      <c r="R6905" t="s">
        <v>47311</v>
      </c>
      <c r="S6905" t="s">
        <v>47443</v>
      </c>
      <c r="T6905" t="s">
        <v>49053</v>
      </c>
      <c r="U6905" t="s">
        <v>51932</v>
      </c>
      <c r="W6905" t="s">
        <v>44135</v>
      </c>
      <c r="X6905" t="s">
        <v>47312</v>
      </c>
    </row>
    <row r="6906" spans="1:24">
      <c r="A6906">
        <f>HYPERLINK("https://www.philgeps.gov.ph/GEPSNONPILOT/Tender/SplashBidNoticeAbstractUI.aspx?menuIndex=3&amp;refID=7191206&amp;Result=3","7191206")</f>
        <v>0</v>
      </c>
      <c r="B6906" t="s">
        <v>1172</v>
      </c>
      <c r="C6906" t="s">
        <v>10344</v>
      </c>
      <c r="D6906" t="s">
        <v>18998</v>
      </c>
      <c r="E6906" t="s">
        <v>25095</v>
      </c>
      <c r="F6906" t="s">
        <v>32606</v>
      </c>
      <c r="G6906" t="s">
        <v>32614</v>
      </c>
      <c r="H6906" t="s">
        <v>14201</v>
      </c>
      <c r="I6906" t="s">
        <v>6298</v>
      </c>
      <c r="J6906" t="s">
        <v>34682</v>
      </c>
      <c r="K6906" t="s">
        <v>42631</v>
      </c>
      <c r="M6906" t="s">
        <v>44135</v>
      </c>
      <c r="N6906" t="s">
        <v>47304</v>
      </c>
      <c r="O6906" t="s">
        <v>47305</v>
      </c>
      <c r="P6906">
        <v>0</v>
      </c>
      <c r="Q6906">
        <v>1</v>
      </c>
      <c r="R6906" t="s">
        <v>47311</v>
      </c>
      <c r="S6906" t="s">
        <v>47443</v>
      </c>
      <c r="T6906" t="s">
        <v>49053</v>
      </c>
      <c r="U6906" t="s">
        <v>51932</v>
      </c>
      <c r="W6906" t="s">
        <v>44135</v>
      </c>
      <c r="X6906" t="s">
        <v>47312</v>
      </c>
    </row>
    <row r="6907" spans="1:24">
      <c r="A6907">
        <f>HYPERLINK("https://www.philgeps.gov.ph/GEPSNONPILOT/Tender/SplashBidNoticeAbstractUI.aspx?menuIndex=3&amp;refID=7191205&amp;Result=3","7191205")</f>
        <v>0</v>
      </c>
      <c r="B6907" t="s">
        <v>2285</v>
      </c>
      <c r="C6907" t="s">
        <v>10345</v>
      </c>
      <c r="D6907" t="s">
        <v>19014</v>
      </c>
      <c r="E6907" t="s">
        <v>25096</v>
      </c>
      <c r="F6907" t="s">
        <v>32606</v>
      </c>
      <c r="G6907" t="s">
        <v>32614</v>
      </c>
      <c r="H6907" t="s">
        <v>14201</v>
      </c>
      <c r="I6907" t="s">
        <v>9013</v>
      </c>
      <c r="J6907" t="s">
        <v>37169</v>
      </c>
      <c r="K6907" t="s">
        <v>42624</v>
      </c>
      <c r="M6907" t="s">
        <v>45390</v>
      </c>
      <c r="N6907" t="s">
        <v>47304</v>
      </c>
      <c r="O6907" t="s">
        <v>47305</v>
      </c>
      <c r="P6907">
        <v>0</v>
      </c>
      <c r="Q6907">
        <v>4</v>
      </c>
      <c r="R6907" t="s">
        <v>47311</v>
      </c>
      <c r="S6907" t="s">
        <v>47443</v>
      </c>
      <c r="T6907" t="s">
        <v>48998</v>
      </c>
      <c r="U6907" t="s">
        <v>55314</v>
      </c>
      <c r="W6907" t="s">
        <v>45390</v>
      </c>
      <c r="X6907" t="s">
        <v>47312</v>
      </c>
    </row>
    <row r="6908" spans="1:24">
      <c r="A6908">
        <f>HYPERLINK("https://www.philgeps.gov.ph/GEPSNONPILOT/Tender/SplashBidNoticeAbstractUI.aspx?menuIndex=3&amp;refID=7191281&amp;Result=3","7191281")</f>
        <v>0</v>
      </c>
      <c r="B6908" t="s">
        <v>2286</v>
      </c>
      <c r="C6908" t="s">
        <v>10346</v>
      </c>
      <c r="D6908" t="s">
        <v>19003</v>
      </c>
      <c r="E6908" t="s">
        <v>19522</v>
      </c>
      <c r="F6908" t="s">
        <v>32607</v>
      </c>
      <c r="G6908" t="s">
        <v>32614</v>
      </c>
      <c r="H6908" t="s">
        <v>14201</v>
      </c>
      <c r="I6908" t="s">
        <v>4120</v>
      </c>
      <c r="J6908" t="s">
        <v>37170</v>
      </c>
      <c r="K6908" t="s">
        <v>42629</v>
      </c>
      <c r="L6908" t="s">
        <v>2286</v>
      </c>
      <c r="M6908" t="s">
        <v>45391</v>
      </c>
      <c r="N6908" t="s">
        <v>47304</v>
      </c>
      <c r="O6908" t="s">
        <v>47305</v>
      </c>
      <c r="P6908">
        <v>0</v>
      </c>
      <c r="Q6908">
        <v>0</v>
      </c>
      <c r="R6908" t="s">
        <v>47311</v>
      </c>
      <c r="S6908" t="s">
        <v>47443</v>
      </c>
      <c r="T6908" t="s">
        <v>48975</v>
      </c>
      <c r="U6908" t="s">
        <v>55315</v>
      </c>
      <c r="W6908" t="s">
        <v>45391</v>
      </c>
      <c r="X6908" t="s">
        <v>47312</v>
      </c>
    </row>
    <row r="6909" spans="1:24">
      <c r="A6909">
        <f>HYPERLINK("https://www.philgeps.gov.ph/GEPSNONPILOT/Tender/SplashBidNoticeAbstractUI.aspx?menuIndex=3&amp;refID=7191200&amp;Result=3","7191200")</f>
        <v>0</v>
      </c>
      <c r="B6909" t="s">
        <v>869</v>
      </c>
      <c r="C6909" t="s">
        <v>10347</v>
      </c>
      <c r="E6909" t="s">
        <v>25097</v>
      </c>
      <c r="F6909" t="s">
        <v>32606</v>
      </c>
      <c r="G6909" t="s">
        <v>32613</v>
      </c>
      <c r="H6909" t="s">
        <v>14201</v>
      </c>
      <c r="I6909" t="s">
        <v>32662</v>
      </c>
      <c r="J6909" t="s">
        <v>34207</v>
      </c>
      <c r="K6909" t="s">
        <v>42624</v>
      </c>
      <c r="M6909" t="s">
        <v>45278</v>
      </c>
      <c r="N6909" t="s">
        <v>47304</v>
      </c>
      <c r="O6909" t="s">
        <v>47305</v>
      </c>
      <c r="Q6909">
        <v>9</v>
      </c>
      <c r="R6909" t="s">
        <v>47311</v>
      </c>
      <c r="S6909" t="s">
        <v>47473</v>
      </c>
      <c r="T6909" t="s">
        <v>49345</v>
      </c>
      <c r="U6909" t="s">
        <v>54996</v>
      </c>
      <c r="W6909" t="s">
        <v>45278</v>
      </c>
      <c r="X6909" t="s">
        <v>47312</v>
      </c>
    </row>
    <row r="6910" spans="1:24">
      <c r="A6910">
        <f>HYPERLINK("https://www.philgeps.gov.ph/GEPSNONPILOT/Tender/SplashBidNoticeAbstractUI.aspx?menuIndex=3&amp;refID=7191139&amp;Result=3","7191139")</f>
        <v>0</v>
      </c>
      <c r="B6910" t="s">
        <v>1172</v>
      </c>
      <c r="C6910" t="s">
        <v>10348</v>
      </c>
      <c r="D6910" t="s">
        <v>19072</v>
      </c>
      <c r="E6910" t="s">
        <v>25098</v>
      </c>
      <c r="F6910" t="s">
        <v>32606</v>
      </c>
      <c r="G6910" t="s">
        <v>32614</v>
      </c>
      <c r="H6910" t="s">
        <v>14201</v>
      </c>
      <c r="I6910" t="s">
        <v>6298</v>
      </c>
      <c r="J6910" t="s">
        <v>37171</v>
      </c>
      <c r="K6910" t="s">
        <v>42630</v>
      </c>
      <c r="M6910" t="s">
        <v>44135</v>
      </c>
      <c r="N6910" t="s">
        <v>47304</v>
      </c>
      <c r="O6910" t="s">
        <v>47305</v>
      </c>
      <c r="P6910">
        <v>0</v>
      </c>
      <c r="Q6910">
        <v>0</v>
      </c>
      <c r="R6910" t="s">
        <v>47311</v>
      </c>
      <c r="S6910" t="s">
        <v>47443</v>
      </c>
      <c r="T6910" t="s">
        <v>49053</v>
      </c>
      <c r="U6910" t="s">
        <v>51932</v>
      </c>
      <c r="W6910" t="s">
        <v>44135</v>
      </c>
      <c r="X6910" t="s">
        <v>47312</v>
      </c>
    </row>
    <row r="6911" spans="1:24">
      <c r="A6911">
        <f>HYPERLINK("https://www.philgeps.gov.ph/GEPSNONPILOT/Tender/SplashBidNoticeAbstractUI.aspx?menuIndex=3&amp;refID=7191137&amp;Result=3","7191137")</f>
        <v>0</v>
      </c>
      <c r="B6911" t="s">
        <v>2287</v>
      </c>
      <c r="C6911" t="s">
        <v>10349</v>
      </c>
      <c r="D6911" t="s">
        <v>18994</v>
      </c>
      <c r="E6911" t="s">
        <v>25099</v>
      </c>
      <c r="F6911" t="s">
        <v>32606</v>
      </c>
      <c r="G6911" t="s">
        <v>32613</v>
      </c>
      <c r="H6911" t="s">
        <v>14201</v>
      </c>
      <c r="I6911" t="s">
        <v>6931</v>
      </c>
      <c r="J6911" t="s">
        <v>37172</v>
      </c>
      <c r="K6911" t="s">
        <v>42624</v>
      </c>
      <c r="M6911" t="s">
        <v>45392</v>
      </c>
      <c r="N6911" t="s">
        <v>47304</v>
      </c>
      <c r="O6911" t="s">
        <v>47305</v>
      </c>
      <c r="P6911">
        <v>0</v>
      </c>
      <c r="Q6911">
        <v>1</v>
      </c>
      <c r="R6911" t="s">
        <v>47311</v>
      </c>
      <c r="S6911" t="s">
        <v>47443</v>
      </c>
      <c r="T6911" t="s">
        <v>49062</v>
      </c>
      <c r="U6911" t="s">
        <v>55316</v>
      </c>
      <c r="W6911" t="s">
        <v>45392</v>
      </c>
      <c r="X6911" t="s">
        <v>47312</v>
      </c>
    </row>
    <row r="6912" spans="1:24">
      <c r="A6912">
        <f>HYPERLINK("https://www.philgeps.gov.ph/GEPSNONPILOT/Tender/SplashBidNoticeAbstractUI.aspx?menuIndex=3&amp;refID=7191083&amp;Result=3","7191083")</f>
        <v>0</v>
      </c>
      <c r="B6912" t="s">
        <v>2288</v>
      </c>
      <c r="C6912" t="s">
        <v>10350</v>
      </c>
      <c r="D6912" t="s">
        <v>18993</v>
      </c>
      <c r="E6912" t="s">
        <v>25100</v>
      </c>
      <c r="F6912" t="s">
        <v>32606</v>
      </c>
      <c r="G6912" t="s">
        <v>32619</v>
      </c>
      <c r="H6912" t="s">
        <v>14201</v>
      </c>
      <c r="I6912" t="s">
        <v>4120</v>
      </c>
      <c r="J6912" t="s">
        <v>32949</v>
      </c>
      <c r="K6912" t="s">
        <v>42624</v>
      </c>
      <c r="M6912" t="s">
        <v>45393</v>
      </c>
      <c r="N6912" t="s">
        <v>47304</v>
      </c>
      <c r="O6912" t="s">
        <v>47305</v>
      </c>
      <c r="P6912">
        <v>0</v>
      </c>
      <c r="Q6912">
        <v>7</v>
      </c>
      <c r="R6912" t="s">
        <v>47311</v>
      </c>
      <c r="S6912" t="s">
        <v>47443</v>
      </c>
      <c r="T6912" t="s">
        <v>48998</v>
      </c>
      <c r="U6912" t="s">
        <v>55317</v>
      </c>
      <c r="W6912" t="s">
        <v>45393</v>
      </c>
      <c r="X6912" t="s">
        <v>47312</v>
      </c>
    </row>
    <row r="6913" spans="1:24">
      <c r="A6913">
        <f>HYPERLINK("https://www.philgeps.gov.ph/GEPSNONPILOT/Tender/SplashBidNoticeAbstractUI.aspx?menuIndex=3&amp;refID=7191309&amp;Result=3","7191309")</f>
        <v>0</v>
      </c>
      <c r="B6913" t="s">
        <v>688</v>
      </c>
      <c r="C6913" t="s">
        <v>10351</v>
      </c>
      <c r="D6913" t="s">
        <v>19006</v>
      </c>
      <c r="E6913" t="s">
        <v>25101</v>
      </c>
      <c r="F6913" t="s">
        <v>32606</v>
      </c>
      <c r="G6913" t="s">
        <v>32615</v>
      </c>
      <c r="H6913" t="s">
        <v>14201</v>
      </c>
      <c r="I6913" t="s">
        <v>32680</v>
      </c>
      <c r="J6913" t="s">
        <v>37173</v>
      </c>
      <c r="K6913" t="s">
        <v>42624</v>
      </c>
      <c r="M6913" t="s">
        <v>43805</v>
      </c>
      <c r="N6913" t="s">
        <v>47304</v>
      </c>
      <c r="O6913" t="s">
        <v>47305</v>
      </c>
      <c r="P6913">
        <v>0</v>
      </c>
      <c r="Q6913">
        <v>1</v>
      </c>
      <c r="R6913" t="s">
        <v>47311</v>
      </c>
      <c r="S6913" t="s">
        <v>47443</v>
      </c>
      <c r="T6913" t="s">
        <v>49004</v>
      </c>
      <c r="U6913" t="s">
        <v>55318</v>
      </c>
      <c r="W6913" t="s">
        <v>43805</v>
      </c>
      <c r="X6913" t="s">
        <v>47312</v>
      </c>
    </row>
    <row r="6914" spans="1:24">
      <c r="A6914">
        <f>HYPERLINK("https://www.philgeps.gov.ph/GEPSNONPILOT/Tender/SplashBidNoticeAbstractUI.aspx?menuIndex=3&amp;refID=7191371&amp;Result=3","7191371")</f>
        <v>0</v>
      </c>
      <c r="B6914" t="s">
        <v>2289</v>
      </c>
      <c r="C6914" t="s">
        <v>10352</v>
      </c>
      <c r="E6914" t="s">
        <v>25102</v>
      </c>
      <c r="F6914" t="s">
        <v>32606</v>
      </c>
      <c r="G6914" t="s">
        <v>32613</v>
      </c>
      <c r="H6914" t="s">
        <v>14201</v>
      </c>
      <c r="I6914" t="s">
        <v>4678</v>
      </c>
      <c r="J6914" t="s">
        <v>33103</v>
      </c>
      <c r="K6914" t="s">
        <v>42623</v>
      </c>
      <c r="M6914" t="s">
        <v>45394</v>
      </c>
      <c r="N6914" t="s">
        <v>47304</v>
      </c>
      <c r="O6914" t="s">
        <v>47305</v>
      </c>
      <c r="P6914">
        <v>0</v>
      </c>
      <c r="Q6914">
        <v>1</v>
      </c>
      <c r="R6914" t="s">
        <v>47311</v>
      </c>
      <c r="S6914" t="s">
        <v>47443</v>
      </c>
      <c r="T6914" t="s">
        <v>49081</v>
      </c>
      <c r="U6914" t="s">
        <v>55319</v>
      </c>
      <c r="W6914" t="s">
        <v>45394</v>
      </c>
      <c r="X6914" t="s">
        <v>47312</v>
      </c>
    </row>
    <row r="6915" spans="1:24">
      <c r="A6915">
        <f>HYPERLINK("https://www.philgeps.gov.ph/GEPSNONPILOT/Tender/SplashBidNoticeAbstractUI.aspx?menuIndex=3&amp;refID=7191269&amp;Result=3","7191269")</f>
        <v>0</v>
      </c>
      <c r="B6915" t="s">
        <v>2152</v>
      </c>
      <c r="C6915" t="s">
        <v>10353</v>
      </c>
      <c r="D6915" t="s">
        <v>19035</v>
      </c>
      <c r="E6915" t="s">
        <v>25103</v>
      </c>
      <c r="F6915" t="s">
        <v>32606</v>
      </c>
      <c r="G6915" t="s">
        <v>32613</v>
      </c>
      <c r="H6915" t="s">
        <v>14201</v>
      </c>
      <c r="I6915" t="s">
        <v>4114</v>
      </c>
      <c r="J6915" t="s">
        <v>37174</v>
      </c>
      <c r="K6915" t="s">
        <v>42622</v>
      </c>
      <c r="M6915" t="s">
        <v>45243</v>
      </c>
      <c r="N6915" t="s">
        <v>47304</v>
      </c>
      <c r="O6915" t="s">
        <v>47305</v>
      </c>
      <c r="P6915">
        <v>0</v>
      </c>
      <c r="Q6915">
        <v>7</v>
      </c>
      <c r="R6915" t="s">
        <v>47311</v>
      </c>
      <c r="S6915" t="s">
        <v>47443</v>
      </c>
      <c r="T6915" t="s">
        <v>49067</v>
      </c>
      <c r="U6915" t="s">
        <v>55320</v>
      </c>
      <c r="W6915" t="s">
        <v>45243</v>
      </c>
      <c r="X6915" t="s">
        <v>47312</v>
      </c>
    </row>
    <row r="6916" spans="1:24">
      <c r="A6916">
        <f>HYPERLINK("https://www.philgeps.gov.ph/GEPSNONPILOT/Tender/SplashBidNoticeAbstractUI.aspx?menuIndex=3&amp;refID=7191366&amp;Result=3","7191366")</f>
        <v>0</v>
      </c>
      <c r="B6916" t="s">
        <v>2290</v>
      </c>
      <c r="C6916" t="s">
        <v>10354</v>
      </c>
      <c r="D6916" t="s">
        <v>19018</v>
      </c>
      <c r="E6916" t="s">
        <v>25104</v>
      </c>
      <c r="F6916" t="s">
        <v>32606</v>
      </c>
      <c r="G6916" t="s">
        <v>32613</v>
      </c>
      <c r="H6916" t="s">
        <v>14201</v>
      </c>
      <c r="I6916" t="s">
        <v>6931</v>
      </c>
      <c r="J6916" t="s">
        <v>37175</v>
      </c>
      <c r="K6916" t="s">
        <v>42623</v>
      </c>
      <c r="M6916" t="s">
        <v>45395</v>
      </c>
      <c r="N6916" t="s">
        <v>47304</v>
      </c>
      <c r="O6916" t="s">
        <v>47305</v>
      </c>
      <c r="P6916">
        <v>0</v>
      </c>
      <c r="Q6916">
        <v>0</v>
      </c>
      <c r="R6916" t="s">
        <v>47311</v>
      </c>
      <c r="S6916" t="s">
        <v>47443</v>
      </c>
      <c r="T6916" t="s">
        <v>49355</v>
      </c>
      <c r="U6916" t="s">
        <v>55321</v>
      </c>
      <c r="W6916" t="s">
        <v>45395</v>
      </c>
      <c r="X6916" t="s">
        <v>47312</v>
      </c>
    </row>
    <row r="6917" spans="1:24">
      <c r="A6917">
        <f>HYPERLINK("https://www.philgeps.gov.ph/GEPSNONPILOT/Tender/SplashBidNoticeAbstractUI.aspx?menuIndex=3&amp;refID=7191198&amp;Result=3","7191198")</f>
        <v>0</v>
      </c>
      <c r="B6917" t="s">
        <v>2281</v>
      </c>
      <c r="C6917" t="s">
        <v>10355</v>
      </c>
      <c r="D6917" t="s">
        <v>18991</v>
      </c>
      <c r="E6917" t="s">
        <v>25105</v>
      </c>
      <c r="F6917" t="s">
        <v>32606</v>
      </c>
      <c r="G6917" t="s">
        <v>32614</v>
      </c>
      <c r="H6917" t="s">
        <v>14201</v>
      </c>
      <c r="I6917" t="s">
        <v>4120</v>
      </c>
      <c r="J6917" t="s">
        <v>37176</v>
      </c>
      <c r="K6917" t="s">
        <v>42631</v>
      </c>
      <c r="M6917" t="s">
        <v>45386</v>
      </c>
      <c r="N6917" t="s">
        <v>47304</v>
      </c>
      <c r="O6917" t="s">
        <v>47305</v>
      </c>
      <c r="P6917">
        <v>0</v>
      </c>
      <c r="Q6917">
        <v>2</v>
      </c>
      <c r="R6917" t="s">
        <v>47311</v>
      </c>
      <c r="S6917" t="s">
        <v>47443</v>
      </c>
      <c r="T6917" t="s">
        <v>49242</v>
      </c>
      <c r="U6917" t="s">
        <v>55322</v>
      </c>
      <c r="W6917" t="s">
        <v>45386</v>
      </c>
      <c r="X6917" t="s">
        <v>47312</v>
      </c>
    </row>
    <row r="6918" spans="1:24">
      <c r="A6918">
        <f>HYPERLINK("https://www.philgeps.gov.ph/GEPSNONPILOT/Tender/SplashBidNoticeAbstractUI.aspx?menuIndex=3&amp;refID=7191085&amp;Result=3","7191085")</f>
        <v>0</v>
      </c>
      <c r="B6918" t="s">
        <v>1485</v>
      </c>
      <c r="C6918" t="s">
        <v>10356</v>
      </c>
      <c r="D6918" t="s">
        <v>19028</v>
      </c>
      <c r="E6918" t="s">
        <v>21383</v>
      </c>
      <c r="F6918" t="s">
        <v>32606</v>
      </c>
      <c r="G6918" t="s">
        <v>32614</v>
      </c>
      <c r="H6918" t="s">
        <v>32623</v>
      </c>
      <c r="I6918" t="s">
        <v>32659</v>
      </c>
      <c r="J6918" t="s">
        <v>33317</v>
      </c>
      <c r="K6918" t="s">
        <v>42625</v>
      </c>
      <c r="M6918" t="s">
        <v>45396</v>
      </c>
      <c r="N6918" t="s">
        <v>47304</v>
      </c>
      <c r="O6918" t="s">
        <v>47305</v>
      </c>
      <c r="P6918">
        <v>0</v>
      </c>
      <c r="Q6918">
        <v>0</v>
      </c>
      <c r="R6918" t="s">
        <v>47311</v>
      </c>
      <c r="S6918" t="s">
        <v>47443</v>
      </c>
      <c r="T6918" t="s">
        <v>49004</v>
      </c>
      <c r="U6918" t="s">
        <v>55323</v>
      </c>
      <c r="W6918" t="s">
        <v>45396</v>
      </c>
      <c r="X6918" t="s">
        <v>47312</v>
      </c>
    </row>
    <row r="6919" spans="1:24">
      <c r="A6919">
        <f>HYPERLINK("https://www.philgeps.gov.ph/GEPSNONPILOT/Tender/SplashBidNoticeAbstractUI.aspx?menuIndex=3&amp;refID=7191360&amp;Result=3","7191360")</f>
        <v>0</v>
      </c>
      <c r="B6919" t="s">
        <v>1172</v>
      </c>
      <c r="C6919" t="s">
        <v>10357</v>
      </c>
      <c r="D6919" t="s">
        <v>18998</v>
      </c>
      <c r="E6919" t="s">
        <v>25106</v>
      </c>
      <c r="F6919" t="s">
        <v>32606</v>
      </c>
      <c r="G6919" t="s">
        <v>32614</v>
      </c>
      <c r="H6919" t="s">
        <v>14201</v>
      </c>
      <c r="I6919" t="s">
        <v>32650</v>
      </c>
      <c r="J6919" t="s">
        <v>37177</v>
      </c>
      <c r="K6919" t="s">
        <v>42631</v>
      </c>
      <c r="M6919" t="s">
        <v>44135</v>
      </c>
      <c r="N6919" t="s">
        <v>47304</v>
      </c>
      <c r="O6919" t="s">
        <v>47305</v>
      </c>
      <c r="P6919">
        <v>0</v>
      </c>
      <c r="Q6919">
        <v>1</v>
      </c>
      <c r="R6919" t="s">
        <v>47311</v>
      </c>
      <c r="S6919" t="s">
        <v>47443</v>
      </c>
      <c r="T6919" t="s">
        <v>49053</v>
      </c>
      <c r="U6919" t="s">
        <v>51932</v>
      </c>
      <c r="W6919" t="s">
        <v>44135</v>
      </c>
      <c r="X6919" t="s">
        <v>47312</v>
      </c>
    </row>
    <row r="6920" spans="1:24">
      <c r="A6920">
        <f>HYPERLINK("https://www.philgeps.gov.ph/GEPSNONPILOT/Tender/SplashBidNoticeAbstractUI.aspx?menuIndex=3&amp;refID=7191351&amp;Result=3","7191351")</f>
        <v>0</v>
      </c>
      <c r="B6920" t="s">
        <v>2291</v>
      </c>
      <c r="C6920" t="s">
        <v>10358</v>
      </c>
      <c r="D6920" t="s">
        <v>19028</v>
      </c>
      <c r="E6920" t="s">
        <v>25107</v>
      </c>
      <c r="F6920" t="s">
        <v>32606</v>
      </c>
      <c r="G6920" t="s">
        <v>32614</v>
      </c>
      <c r="H6920" t="s">
        <v>14201</v>
      </c>
      <c r="I6920" t="s">
        <v>32697</v>
      </c>
      <c r="J6920" t="s">
        <v>37178</v>
      </c>
      <c r="K6920" t="s">
        <v>42624</v>
      </c>
      <c r="M6920" t="s">
        <v>45397</v>
      </c>
      <c r="N6920" t="s">
        <v>47304</v>
      </c>
      <c r="O6920" t="s">
        <v>47305</v>
      </c>
      <c r="P6920">
        <v>0</v>
      </c>
      <c r="Q6920">
        <v>5</v>
      </c>
      <c r="R6920" t="s">
        <v>47311</v>
      </c>
      <c r="S6920" t="s">
        <v>47443</v>
      </c>
      <c r="T6920" t="s">
        <v>49165</v>
      </c>
      <c r="U6920" t="s">
        <v>55324</v>
      </c>
      <c r="V6920" t="s">
        <v>63310</v>
      </c>
      <c r="W6920" t="s">
        <v>45397</v>
      </c>
      <c r="X6920" t="s">
        <v>47312</v>
      </c>
    </row>
    <row r="6921" spans="1:24">
      <c r="A6921">
        <f>HYPERLINK("https://www.philgeps.gov.ph/GEPSNONPILOT/Tender/SplashBidNoticeAbstractUI.aspx?menuIndex=3&amp;refID=7191267&amp;Result=3","7191267")</f>
        <v>0</v>
      </c>
      <c r="B6921" t="s">
        <v>869</v>
      </c>
      <c r="C6921" t="s">
        <v>10359</v>
      </c>
      <c r="E6921" t="s">
        <v>25108</v>
      </c>
      <c r="F6921" t="s">
        <v>32606</v>
      </c>
      <c r="G6921" t="s">
        <v>32613</v>
      </c>
      <c r="H6921" t="s">
        <v>14201</v>
      </c>
      <c r="I6921" t="s">
        <v>32662</v>
      </c>
      <c r="J6921" t="s">
        <v>33263</v>
      </c>
      <c r="K6921" t="s">
        <v>42624</v>
      </c>
      <c r="M6921" t="s">
        <v>45278</v>
      </c>
      <c r="N6921" t="s">
        <v>47304</v>
      </c>
      <c r="O6921" t="s">
        <v>47305</v>
      </c>
      <c r="Q6921">
        <v>6</v>
      </c>
      <c r="R6921" t="s">
        <v>47311</v>
      </c>
      <c r="S6921" t="s">
        <v>47474</v>
      </c>
      <c r="T6921" t="s">
        <v>49345</v>
      </c>
      <c r="U6921" t="s">
        <v>54996</v>
      </c>
      <c r="W6921" t="s">
        <v>45278</v>
      </c>
      <c r="X6921" t="s">
        <v>47312</v>
      </c>
    </row>
    <row r="6922" spans="1:24">
      <c r="A6922">
        <f>HYPERLINK("https://www.philgeps.gov.ph/GEPSNONPILOT/Tender/SplashBidNoticeAbstractUI.aspx?menuIndex=3&amp;refID=7191347&amp;Result=3","7191347")</f>
        <v>0</v>
      </c>
      <c r="B6922" t="s">
        <v>2292</v>
      </c>
      <c r="C6922" t="s">
        <v>10360</v>
      </c>
      <c r="D6922" t="s">
        <v>19025</v>
      </c>
      <c r="E6922" t="s">
        <v>25109</v>
      </c>
      <c r="F6922" t="s">
        <v>32607</v>
      </c>
      <c r="G6922" t="s">
        <v>32614</v>
      </c>
      <c r="H6922" t="s">
        <v>32623</v>
      </c>
      <c r="I6922" t="s">
        <v>17648</v>
      </c>
      <c r="J6922" t="s">
        <v>32784</v>
      </c>
      <c r="K6922" t="s">
        <v>42631</v>
      </c>
      <c r="M6922" t="s">
        <v>45398</v>
      </c>
      <c r="N6922" t="s">
        <v>47304</v>
      </c>
      <c r="O6922" t="s">
        <v>47305</v>
      </c>
      <c r="P6922">
        <v>0</v>
      </c>
      <c r="Q6922">
        <v>0</v>
      </c>
      <c r="R6922" t="s">
        <v>47311</v>
      </c>
      <c r="S6922" t="s">
        <v>47443</v>
      </c>
      <c r="T6922" t="s">
        <v>49064</v>
      </c>
      <c r="U6922" t="s">
        <v>55325</v>
      </c>
      <c r="V6922" t="s">
        <v>63311</v>
      </c>
      <c r="W6922" t="s">
        <v>45398</v>
      </c>
      <c r="X6922" t="s">
        <v>47312</v>
      </c>
    </row>
    <row r="6923" spans="1:24">
      <c r="A6923">
        <f>HYPERLINK("https://www.philgeps.gov.ph/GEPSNONPILOT/Tender/SplashBidNoticeAbstractUI.aspx?menuIndex=3&amp;refID=7191345&amp;Result=3","7191345")</f>
        <v>0</v>
      </c>
      <c r="B6923" t="s">
        <v>253</v>
      </c>
      <c r="C6923" t="s">
        <v>10050</v>
      </c>
      <c r="D6923" t="s">
        <v>19043</v>
      </c>
      <c r="E6923" t="s">
        <v>25110</v>
      </c>
      <c r="F6923" t="s">
        <v>32606</v>
      </c>
      <c r="G6923" t="s">
        <v>32614</v>
      </c>
      <c r="H6923" t="s">
        <v>14201</v>
      </c>
      <c r="I6923" t="s">
        <v>4112</v>
      </c>
      <c r="J6923" t="s">
        <v>33185</v>
      </c>
      <c r="K6923" t="s">
        <v>42622</v>
      </c>
      <c r="M6923" t="s">
        <v>43154</v>
      </c>
      <c r="N6923" t="s">
        <v>47304</v>
      </c>
      <c r="O6923" t="s">
        <v>47305</v>
      </c>
      <c r="P6923">
        <v>0</v>
      </c>
      <c r="Q6923">
        <v>0</v>
      </c>
      <c r="R6923" t="s">
        <v>47311</v>
      </c>
      <c r="S6923" t="s">
        <v>47443</v>
      </c>
      <c r="T6923" t="s">
        <v>49023</v>
      </c>
      <c r="U6923" t="s">
        <v>55326</v>
      </c>
      <c r="W6923" t="s">
        <v>43154</v>
      </c>
      <c r="X6923" t="s">
        <v>47312</v>
      </c>
    </row>
    <row r="6924" spans="1:24">
      <c r="A6924">
        <f>HYPERLINK("https://www.philgeps.gov.ph/GEPSNONPILOT/Tender/SplashBidNoticeAbstractUI.aspx?menuIndex=3&amp;refID=7191364&amp;Result=3","7191364")</f>
        <v>0</v>
      </c>
      <c r="B6924" t="s">
        <v>2293</v>
      </c>
      <c r="C6924" t="s">
        <v>10361</v>
      </c>
      <c r="D6924" t="s">
        <v>18994</v>
      </c>
      <c r="E6924" t="s">
        <v>25111</v>
      </c>
      <c r="F6924" t="s">
        <v>32606</v>
      </c>
      <c r="G6924" t="s">
        <v>32614</v>
      </c>
      <c r="H6924" t="s">
        <v>32623</v>
      </c>
      <c r="I6924" t="s">
        <v>17648</v>
      </c>
      <c r="J6924" t="s">
        <v>32981</v>
      </c>
      <c r="K6924" t="s">
        <v>42631</v>
      </c>
      <c r="M6924" t="s">
        <v>45399</v>
      </c>
      <c r="N6924" t="s">
        <v>47304</v>
      </c>
      <c r="O6924" t="s">
        <v>47305</v>
      </c>
      <c r="P6924">
        <v>0</v>
      </c>
      <c r="Q6924">
        <v>2</v>
      </c>
      <c r="R6924" t="s">
        <v>47311</v>
      </c>
      <c r="S6924" t="s">
        <v>47443</v>
      </c>
      <c r="T6924" t="s">
        <v>49165</v>
      </c>
      <c r="U6924" t="s">
        <v>55327</v>
      </c>
      <c r="W6924" t="s">
        <v>45399</v>
      </c>
      <c r="X6924" t="s">
        <v>47312</v>
      </c>
    </row>
    <row r="6925" spans="1:24">
      <c r="A6925">
        <f>HYPERLINK("https://www.philgeps.gov.ph/GEPSNONPILOT/Tender/SplashBidNoticeAbstractUI.aspx?menuIndex=3&amp;refID=7191340&amp;Result=3","7191340")</f>
        <v>0</v>
      </c>
      <c r="B6925" t="s">
        <v>1172</v>
      </c>
      <c r="C6925" t="s">
        <v>10362</v>
      </c>
      <c r="D6925" t="s">
        <v>18998</v>
      </c>
      <c r="E6925" t="s">
        <v>25112</v>
      </c>
      <c r="F6925" t="s">
        <v>32606</v>
      </c>
      <c r="G6925" t="s">
        <v>32614</v>
      </c>
      <c r="H6925" t="s">
        <v>14201</v>
      </c>
      <c r="I6925" t="s">
        <v>6298</v>
      </c>
      <c r="J6925" t="s">
        <v>36609</v>
      </c>
      <c r="K6925" t="s">
        <v>42631</v>
      </c>
      <c r="M6925" t="s">
        <v>44135</v>
      </c>
      <c r="N6925" t="s">
        <v>47304</v>
      </c>
      <c r="O6925" t="s">
        <v>47305</v>
      </c>
      <c r="P6925">
        <v>0</v>
      </c>
      <c r="Q6925">
        <v>1</v>
      </c>
      <c r="R6925" t="s">
        <v>47311</v>
      </c>
      <c r="S6925" t="s">
        <v>47443</v>
      </c>
      <c r="T6925" t="s">
        <v>49053</v>
      </c>
      <c r="U6925" t="s">
        <v>51932</v>
      </c>
      <c r="W6925" t="s">
        <v>44135</v>
      </c>
      <c r="X6925" t="s">
        <v>47312</v>
      </c>
    </row>
    <row r="6926" spans="1:24">
      <c r="A6926">
        <f>HYPERLINK("https://www.philgeps.gov.ph/GEPSNONPILOT/Tender/SplashBidNoticeAbstractUI.aspx?menuIndex=3&amp;refID=7191339&amp;Result=3","7191339")</f>
        <v>0</v>
      </c>
      <c r="B6926" t="s">
        <v>2294</v>
      </c>
      <c r="C6926" t="s">
        <v>10363</v>
      </c>
      <c r="D6926" t="s">
        <v>19032</v>
      </c>
      <c r="E6926" t="s">
        <v>19133</v>
      </c>
      <c r="F6926" t="s">
        <v>32606</v>
      </c>
      <c r="G6926" t="s">
        <v>32613</v>
      </c>
      <c r="H6926" t="s">
        <v>32623</v>
      </c>
      <c r="I6926" t="s">
        <v>17648</v>
      </c>
      <c r="J6926" t="s">
        <v>37179</v>
      </c>
      <c r="K6926" t="s">
        <v>42677</v>
      </c>
      <c r="M6926" t="s">
        <v>45400</v>
      </c>
      <c r="N6926" t="s">
        <v>47304</v>
      </c>
      <c r="O6926" t="s">
        <v>47305</v>
      </c>
      <c r="P6926">
        <v>0</v>
      </c>
      <c r="Q6926">
        <v>0</v>
      </c>
      <c r="R6926" t="s">
        <v>47311</v>
      </c>
      <c r="S6926" t="s">
        <v>47443</v>
      </c>
      <c r="T6926" t="s">
        <v>48979</v>
      </c>
      <c r="U6926" t="s">
        <v>55328</v>
      </c>
      <c r="W6926" t="s">
        <v>45400</v>
      </c>
      <c r="X6926" t="s">
        <v>47312</v>
      </c>
    </row>
    <row r="6927" spans="1:24">
      <c r="A6927">
        <f>HYPERLINK("https://www.philgeps.gov.ph/GEPSNONPILOT/Tender/SplashBidNoticeAbstractUI.aspx?menuIndex=3&amp;refID=7191325&amp;Result=3","7191325")</f>
        <v>0</v>
      </c>
      <c r="B6927" t="s">
        <v>2295</v>
      </c>
      <c r="C6927" t="s">
        <v>10364</v>
      </c>
      <c r="E6927" t="s">
        <v>25113</v>
      </c>
      <c r="F6927" t="s">
        <v>32606</v>
      </c>
      <c r="G6927" t="s">
        <v>32613</v>
      </c>
      <c r="H6927" t="s">
        <v>32623</v>
      </c>
      <c r="I6927" t="s">
        <v>17648</v>
      </c>
      <c r="J6927" t="s">
        <v>37180</v>
      </c>
      <c r="K6927" t="s">
        <v>42624</v>
      </c>
      <c r="M6927" t="s">
        <v>45401</v>
      </c>
      <c r="N6927" t="s">
        <v>47304</v>
      </c>
      <c r="O6927" t="s">
        <v>47305</v>
      </c>
      <c r="Q6927">
        <v>16</v>
      </c>
      <c r="R6927" t="s">
        <v>47311</v>
      </c>
      <c r="S6927" t="s">
        <v>47475</v>
      </c>
      <c r="T6927" t="s">
        <v>49111</v>
      </c>
      <c r="U6927" t="s">
        <v>55329</v>
      </c>
      <c r="W6927" t="s">
        <v>64496</v>
      </c>
      <c r="X6927" t="s">
        <v>47312</v>
      </c>
    </row>
    <row r="6928" spans="1:24">
      <c r="A6928">
        <f>HYPERLINK("https://www.philgeps.gov.ph/GEPSNONPILOT/Tender/SplashBidNoticeAbstractUI.aspx?menuIndex=3&amp;refID=7191410&amp;Result=3","7191410")</f>
        <v>0</v>
      </c>
      <c r="B6928" t="s">
        <v>782</v>
      </c>
      <c r="C6928" t="s">
        <v>10365</v>
      </c>
      <c r="D6928" t="s">
        <v>19031</v>
      </c>
      <c r="E6928" t="s">
        <v>25114</v>
      </c>
      <c r="F6928" t="s">
        <v>32606</v>
      </c>
      <c r="G6928" t="s">
        <v>32613</v>
      </c>
      <c r="H6928" t="s">
        <v>14201</v>
      </c>
      <c r="I6928" t="s">
        <v>32655</v>
      </c>
      <c r="J6928" t="s">
        <v>32833</v>
      </c>
      <c r="K6928" t="s">
        <v>42630</v>
      </c>
      <c r="L6928" t="s">
        <v>782</v>
      </c>
      <c r="M6928" t="s">
        <v>43713</v>
      </c>
      <c r="N6928" t="s">
        <v>47304</v>
      </c>
      <c r="O6928" t="s">
        <v>47305</v>
      </c>
      <c r="P6928">
        <v>0</v>
      </c>
      <c r="Q6928">
        <v>9</v>
      </c>
      <c r="R6928" t="s">
        <v>47311</v>
      </c>
      <c r="S6928" t="s">
        <v>47443</v>
      </c>
      <c r="T6928" t="s">
        <v>49057</v>
      </c>
      <c r="U6928" t="s">
        <v>55311</v>
      </c>
      <c r="V6928" t="s">
        <v>63309</v>
      </c>
      <c r="W6928" t="s">
        <v>43713</v>
      </c>
      <c r="X6928" t="s">
        <v>47312</v>
      </c>
    </row>
    <row r="6929" spans="1:24">
      <c r="A6929">
        <f>HYPERLINK("https://www.philgeps.gov.ph/GEPSNONPILOT/Tender/SplashBidNoticeAbstractUI.aspx?menuIndex=3&amp;refID=7191408&amp;Result=3","7191408")</f>
        <v>0</v>
      </c>
      <c r="B6929" t="s">
        <v>2296</v>
      </c>
      <c r="C6929" t="s">
        <v>10366</v>
      </c>
      <c r="D6929" t="s">
        <v>19019</v>
      </c>
      <c r="E6929" t="s">
        <v>25115</v>
      </c>
      <c r="F6929" t="s">
        <v>32606</v>
      </c>
      <c r="G6929" t="s">
        <v>32614</v>
      </c>
      <c r="H6929" t="s">
        <v>32624</v>
      </c>
      <c r="I6929" t="s">
        <v>4678</v>
      </c>
      <c r="J6929" t="s">
        <v>32949</v>
      </c>
      <c r="K6929" t="s">
        <v>42622</v>
      </c>
      <c r="M6929" t="s">
        <v>45402</v>
      </c>
      <c r="N6929" t="s">
        <v>47304</v>
      </c>
      <c r="O6929" t="s">
        <v>47305</v>
      </c>
      <c r="P6929">
        <v>0</v>
      </c>
      <c r="Q6929">
        <v>0</v>
      </c>
      <c r="R6929" t="s">
        <v>47311</v>
      </c>
      <c r="S6929" t="s">
        <v>47443</v>
      </c>
      <c r="T6929" t="s">
        <v>49014</v>
      </c>
      <c r="U6929" t="s">
        <v>55330</v>
      </c>
      <c r="W6929" t="s">
        <v>45402</v>
      </c>
      <c r="X6929" t="s">
        <v>47312</v>
      </c>
    </row>
    <row r="6930" spans="1:24">
      <c r="A6930">
        <f>HYPERLINK("https://www.philgeps.gov.ph/GEPSNONPILOT/Tender/SplashBidNoticeAbstractUI.aspx?menuIndex=3&amp;refID=7191353&amp;Result=3","7191353")</f>
        <v>0</v>
      </c>
      <c r="B6930" t="s">
        <v>2289</v>
      </c>
      <c r="C6930" t="s">
        <v>10367</v>
      </c>
      <c r="E6930" t="s">
        <v>25116</v>
      </c>
      <c r="F6930" t="s">
        <v>32606</v>
      </c>
      <c r="G6930" t="s">
        <v>32613</v>
      </c>
      <c r="H6930" t="s">
        <v>14201</v>
      </c>
      <c r="I6930" t="s">
        <v>32634</v>
      </c>
      <c r="J6930" t="s">
        <v>33060</v>
      </c>
      <c r="K6930" t="s">
        <v>42623</v>
      </c>
      <c r="M6930" t="s">
        <v>45394</v>
      </c>
      <c r="N6930" t="s">
        <v>47304</v>
      </c>
      <c r="O6930" t="s">
        <v>47305</v>
      </c>
      <c r="P6930">
        <v>0</v>
      </c>
      <c r="Q6930">
        <v>2</v>
      </c>
      <c r="R6930" t="s">
        <v>47311</v>
      </c>
      <c r="S6930" t="s">
        <v>47443</v>
      </c>
      <c r="T6930" t="s">
        <v>49081</v>
      </c>
      <c r="U6930" t="s">
        <v>55319</v>
      </c>
      <c r="W6930" t="s">
        <v>45394</v>
      </c>
      <c r="X6930" t="s">
        <v>47312</v>
      </c>
    </row>
    <row r="6931" spans="1:24">
      <c r="A6931">
        <f>HYPERLINK("https://www.philgeps.gov.ph/GEPSNONPILOT/Tender/SplashBidNoticeAbstractUI.aspx?menuIndex=3&amp;refID=7191352&amp;Result=3","7191352")</f>
        <v>0</v>
      </c>
      <c r="B6931" t="s">
        <v>2297</v>
      </c>
      <c r="C6931" t="s">
        <v>10368</v>
      </c>
      <c r="D6931" t="s">
        <v>19024</v>
      </c>
      <c r="E6931" t="s">
        <v>25117</v>
      </c>
      <c r="F6931" t="s">
        <v>32606</v>
      </c>
      <c r="G6931" t="s">
        <v>32614</v>
      </c>
      <c r="H6931" t="s">
        <v>14201</v>
      </c>
      <c r="I6931" t="s">
        <v>32629</v>
      </c>
      <c r="J6931" t="s">
        <v>37181</v>
      </c>
      <c r="K6931" t="s">
        <v>42623</v>
      </c>
      <c r="M6931" t="s">
        <v>45403</v>
      </c>
      <c r="N6931" t="s">
        <v>47304</v>
      </c>
      <c r="O6931" t="s">
        <v>47305</v>
      </c>
      <c r="P6931">
        <v>0</v>
      </c>
      <c r="Q6931">
        <v>1</v>
      </c>
      <c r="R6931" t="s">
        <v>47311</v>
      </c>
      <c r="S6931" t="s">
        <v>47443</v>
      </c>
      <c r="T6931" t="s">
        <v>49062</v>
      </c>
      <c r="U6931" t="s">
        <v>55331</v>
      </c>
      <c r="V6931" t="s">
        <v>63312</v>
      </c>
      <c r="W6931" t="s">
        <v>45403</v>
      </c>
      <c r="X6931" t="s">
        <v>47312</v>
      </c>
    </row>
    <row r="6932" spans="1:24">
      <c r="A6932">
        <f>HYPERLINK("https://www.philgeps.gov.ph/GEPSNONPILOT/Tender/SplashBidNoticeAbstractUI.aspx?menuIndex=3&amp;refID=7191405&amp;Result=3","7191405")</f>
        <v>0</v>
      </c>
      <c r="B6932" t="s">
        <v>1172</v>
      </c>
      <c r="C6932" t="s">
        <v>10369</v>
      </c>
      <c r="D6932" t="s">
        <v>18998</v>
      </c>
      <c r="E6932" t="s">
        <v>25118</v>
      </c>
      <c r="F6932" t="s">
        <v>32606</v>
      </c>
      <c r="G6932" t="s">
        <v>32614</v>
      </c>
      <c r="H6932" t="s">
        <v>14201</v>
      </c>
      <c r="I6932" t="s">
        <v>6298</v>
      </c>
      <c r="J6932" t="s">
        <v>37182</v>
      </c>
      <c r="K6932" t="s">
        <v>42631</v>
      </c>
      <c r="M6932" t="s">
        <v>44135</v>
      </c>
      <c r="N6932" t="s">
        <v>47304</v>
      </c>
      <c r="O6932" t="s">
        <v>47305</v>
      </c>
      <c r="P6932">
        <v>0</v>
      </c>
      <c r="Q6932">
        <v>1</v>
      </c>
      <c r="R6932" t="s">
        <v>47311</v>
      </c>
      <c r="S6932" t="s">
        <v>47443</v>
      </c>
      <c r="T6932" t="s">
        <v>49053</v>
      </c>
      <c r="U6932" t="s">
        <v>51932</v>
      </c>
      <c r="W6932" t="s">
        <v>44135</v>
      </c>
      <c r="X6932" t="s">
        <v>47312</v>
      </c>
    </row>
    <row r="6933" spans="1:24">
      <c r="A6933">
        <f>HYPERLINK("https://www.philgeps.gov.ph/GEPSNONPILOT/Tender/SplashBidNoticeAbstractUI.aspx?menuIndex=3&amp;refID=7191341&amp;Result=3","7191341")</f>
        <v>0</v>
      </c>
      <c r="B6933" t="s">
        <v>782</v>
      </c>
      <c r="C6933" t="s">
        <v>10370</v>
      </c>
      <c r="D6933" t="s">
        <v>19031</v>
      </c>
      <c r="E6933" t="s">
        <v>25119</v>
      </c>
      <c r="F6933" t="s">
        <v>32606</v>
      </c>
      <c r="G6933" t="s">
        <v>32613</v>
      </c>
      <c r="H6933" t="s">
        <v>14201</v>
      </c>
      <c r="I6933" t="s">
        <v>4120</v>
      </c>
      <c r="J6933" t="s">
        <v>37183</v>
      </c>
      <c r="K6933" t="s">
        <v>42630</v>
      </c>
      <c r="L6933" t="s">
        <v>782</v>
      </c>
      <c r="M6933" t="s">
        <v>43713</v>
      </c>
      <c r="N6933" t="s">
        <v>47304</v>
      </c>
      <c r="O6933" t="s">
        <v>47305</v>
      </c>
      <c r="P6933">
        <v>0</v>
      </c>
      <c r="Q6933">
        <v>6</v>
      </c>
      <c r="R6933" t="s">
        <v>47311</v>
      </c>
      <c r="S6933" t="s">
        <v>47443</v>
      </c>
      <c r="T6933" t="s">
        <v>49057</v>
      </c>
      <c r="U6933" t="s">
        <v>55311</v>
      </c>
      <c r="V6933" t="s">
        <v>63313</v>
      </c>
      <c r="W6933" t="s">
        <v>43713</v>
      </c>
      <c r="X6933" t="s">
        <v>47312</v>
      </c>
    </row>
    <row r="6934" spans="1:24">
      <c r="A6934">
        <f>HYPERLINK("https://www.philgeps.gov.ph/GEPSNONPILOT/Tender/SplashBidNoticeAbstractUI.aspx?menuIndex=3&amp;refID=7191407&amp;Result=3","7191407")</f>
        <v>0</v>
      </c>
      <c r="B6934" t="s">
        <v>2298</v>
      </c>
      <c r="C6934" t="s">
        <v>10371</v>
      </c>
      <c r="D6934" t="s">
        <v>19004</v>
      </c>
      <c r="E6934" t="s">
        <v>25120</v>
      </c>
      <c r="F6934" t="s">
        <v>32606</v>
      </c>
      <c r="G6934" t="s">
        <v>32613</v>
      </c>
      <c r="H6934" t="s">
        <v>32623</v>
      </c>
      <c r="I6934" t="s">
        <v>17648</v>
      </c>
      <c r="J6934" t="s">
        <v>37184</v>
      </c>
      <c r="K6934" t="s">
        <v>42788</v>
      </c>
      <c r="M6934" t="s">
        <v>45404</v>
      </c>
      <c r="N6934" t="s">
        <v>47304</v>
      </c>
      <c r="O6934" t="s">
        <v>47305</v>
      </c>
      <c r="P6934">
        <v>0</v>
      </c>
      <c r="Q6934">
        <v>9</v>
      </c>
      <c r="R6934" t="s">
        <v>47311</v>
      </c>
      <c r="S6934" t="s">
        <v>47443</v>
      </c>
      <c r="T6934" t="s">
        <v>49037</v>
      </c>
      <c r="U6934" t="s">
        <v>55332</v>
      </c>
      <c r="W6934" t="s">
        <v>45404</v>
      </c>
      <c r="X6934" t="s">
        <v>47312</v>
      </c>
    </row>
    <row r="6935" spans="1:24">
      <c r="A6935">
        <f>HYPERLINK("https://www.philgeps.gov.ph/GEPSNONPILOT/Tender/SplashBidNoticeAbstractUI.aspx?menuIndex=3&amp;refID=7191402&amp;Result=3","7191402")</f>
        <v>0</v>
      </c>
      <c r="B6935" t="s">
        <v>487</v>
      </c>
      <c r="C6935" t="s">
        <v>10372</v>
      </c>
      <c r="D6935" t="s">
        <v>19027</v>
      </c>
      <c r="E6935" t="s">
        <v>25121</v>
      </c>
      <c r="F6935" t="s">
        <v>32606</v>
      </c>
      <c r="G6935" t="s">
        <v>32614</v>
      </c>
      <c r="H6935" t="s">
        <v>14201</v>
      </c>
      <c r="I6935" t="s">
        <v>32633</v>
      </c>
      <c r="J6935" t="s">
        <v>37185</v>
      </c>
      <c r="K6935" t="s">
        <v>42623</v>
      </c>
      <c r="M6935" t="s">
        <v>43399</v>
      </c>
      <c r="N6935" t="s">
        <v>47304</v>
      </c>
      <c r="O6935" t="s">
        <v>47305</v>
      </c>
      <c r="P6935">
        <v>0</v>
      </c>
      <c r="Q6935">
        <v>5</v>
      </c>
      <c r="R6935" t="s">
        <v>47311</v>
      </c>
      <c r="S6935" t="s">
        <v>47443</v>
      </c>
      <c r="T6935" t="s">
        <v>49068</v>
      </c>
      <c r="U6935" t="s">
        <v>55333</v>
      </c>
      <c r="V6935" t="s">
        <v>63314</v>
      </c>
      <c r="W6935" t="s">
        <v>43399</v>
      </c>
      <c r="X6935" t="s">
        <v>47312</v>
      </c>
    </row>
    <row r="6936" spans="1:24">
      <c r="A6936">
        <f>HYPERLINK("https://www.philgeps.gov.ph/GEPSNONPILOT/Tender/SplashBidNoticeAbstractUI.aspx?menuIndex=3&amp;refID=7191401&amp;Result=3","7191401")</f>
        <v>0</v>
      </c>
      <c r="B6936" t="s">
        <v>2299</v>
      </c>
      <c r="C6936" t="s">
        <v>10373</v>
      </c>
      <c r="D6936" t="s">
        <v>19011</v>
      </c>
      <c r="E6936" t="s">
        <v>25122</v>
      </c>
      <c r="F6936" t="s">
        <v>32606</v>
      </c>
      <c r="G6936" t="s">
        <v>32615</v>
      </c>
      <c r="H6936" t="s">
        <v>32623</v>
      </c>
      <c r="I6936" t="s">
        <v>32671</v>
      </c>
      <c r="J6936" t="s">
        <v>32789</v>
      </c>
      <c r="K6936" t="s">
        <v>42631</v>
      </c>
      <c r="M6936" t="s">
        <v>45405</v>
      </c>
      <c r="N6936" t="s">
        <v>47304</v>
      </c>
      <c r="O6936" t="s">
        <v>47305</v>
      </c>
      <c r="P6936">
        <v>0</v>
      </c>
      <c r="Q6936">
        <v>1</v>
      </c>
      <c r="R6936" t="s">
        <v>47311</v>
      </c>
      <c r="S6936" t="s">
        <v>47443</v>
      </c>
      <c r="T6936" t="s">
        <v>49053</v>
      </c>
      <c r="U6936" t="s">
        <v>55334</v>
      </c>
      <c r="W6936" t="s">
        <v>45405</v>
      </c>
      <c r="X6936" t="s">
        <v>47312</v>
      </c>
    </row>
    <row r="6937" spans="1:24">
      <c r="A6937">
        <f>HYPERLINK("https://www.philgeps.gov.ph/GEPSNONPILOT/Tender/SplashBidNoticeAbstractUI.aspx?menuIndex=3&amp;refID=7191404&amp;Result=3","7191404")</f>
        <v>0</v>
      </c>
      <c r="B6937" t="s">
        <v>2300</v>
      </c>
      <c r="C6937" t="s">
        <v>10374</v>
      </c>
      <c r="D6937" t="s">
        <v>19056</v>
      </c>
      <c r="E6937" t="s">
        <v>20544</v>
      </c>
      <c r="F6937" t="s">
        <v>32606</v>
      </c>
      <c r="G6937" t="s">
        <v>32619</v>
      </c>
      <c r="H6937" t="s">
        <v>14201</v>
      </c>
      <c r="I6937" t="s">
        <v>32669</v>
      </c>
      <c r="J6937" t="s">
        <v>33155</v>
      </c>
      <c r="K6937" t="s">
        <v>42630</v>
      </c>
      <c r="M6937" t="s">
        <v>45406</v>
      </c>
      <c r="N6937" t="s">
        <v>47304</v>
      </c>
      <c r="O6937" t="s">
        <v>47305</v>
      </c>
      <c r="P6937">
        <v>0</v>
      </c>
      <c r="Q6937">
        <v>2</v>
      </c>
      <c r="R6937" t="s">
        <v>47311</v>
      </c>
      <c r="S6937" t="s">
        <v>47443</v>
      </c>
      <c r="T6937" t="s">
        <v>49072</v>
      </c>
      <c r="U6937" t="s">
        <v>55335</v>
      </c>
      <c r="W6937" t="s">
        <v>45406</v>
      </c>
      <c r="X6937" t="s">
        <v>47312</v>
      </c>
    </row>
    <row r="6938" spans="1:24">
      <c r="A6938">
        <f>HYPERLINK("https://www.philgeps.gov.ph/GEPSNONPILOT/Tender/SplashBidNoticeAbstractUI.aspx?menuIndex=3&amp;refID=7191387&amp;Result=3","7191387")</f>
        <v>0</v>
      </c>
      <c r="B6938" t="s">
        <v>2301</v>
      </c>
      <c r="C6938" t="s">
        <v>10375</v>
      </c>
      <c r="D6938" t="s">
        <v>19004</v>
      </c>
      <c r="E6938" t="s">
        <v>24933</v>
      </c>
      <c r="F6938" t="s">
        <v>32606</v>
      </c>
      <c r="G6938" t="s">
        <v>32615</v>
      </c>
      <c r="H6938" t="s">
        <v>14201</v>
      </c>
      <c r="I6938" t="s">
        <v>9008</v>
      </c>
      <c r="J6938" t="s">
        <v>32923</v>
      </c>
      <c r="K6938" t="s">
        <v>42630</v>
      </c>
      <c r="M6938" t="s">
        <v>45407</v>
      </c>
      <c r="N6938" t="s">
        <v>47304</v>
      </c>
      <c r="O6938" t="s">
        <v>47305</v>
      </c>
      <c r="P6938">
        <v>0</v>
      </c>
      <c r="Q6938">
        <v>0</v>
      </c>
      <c r="R6938" t="s">
        <v>47311</v>
      </c>
      <c r="S6938" t="s">
        <v>47443</v>
      </c>
      <c r="T6938" t="s">
        <v>49014</v>
      </c>
      <c r="U6938" t="s">
        <v>55336</v>
      </c>
      <c r="W6938" t="s">
        <v>45407</v>
      </c>
      <c r="X6938" t="s">
        <v>47312</v>
      </c>
    </row>
    <row r="6939" spans="1:24">
      <c r="A6939">
        <f>HYPERLINK("https://www.philgeps.gov.ph/GEPSNONPILOT/Tender/SplashBidNoticeAbstractUI.aspx?menuIndex=3&amp;refID=7191386&amp;Result=3","7191386")</f>
        <v>0</v>
      </c>
      <c r="B6939" t="s">
        <v>2302</v>
      </c>
      <c r="C6939" t="s">
        <v>10376</v>
      </c>
      <c r="D6939" t="s">
        <v>19004</v>
      </c>
      <c r="E6939" t="s">
        <v>25123</v>
      </c>
      <c r="F6939" t="s">
        <v>32606</v>
      </c>
      <c r="G6939" t="s">
        <v>32613</v>
      </c>
      <c r="H6939" t="s">
        <v>32623</v>
      </c>
      <c r="I6939" t="s">
        <v>17648</v>
      </c>
      <c r="J6939" t="s">
        <v>37186</v>
      </c>
      <c r="K6939" t="s">
        <v>42712</v>
      </c>
      <c r="M6939" t="s">
        <v>45408</v>
      </c>
      <c r="N6939" t="s">
        <v>47304</v>
      </c>
      <c r="O6939" t="s">
        <v>47305</v>
      </c>
      <c r="Q6939">
        <v>5</v>
      </c>
      <c r="R6939" t="s">
        <v>47311</v>
      </c>
      <c r="S6939" t="s">
        <v>47476</v>
      </c>
      <c r="T6939" t="s">
        <v>49075</v>
      </c>
      <c r="U6939" t="s">
        <v>55337</v>
      </c>
      <c r="V6939" t="s">
        <v>63315</v>
      </c>
      <c r="W6939" t="s">
        <v>45408</v>
      </c>
      <c r="X6939" t="s">
        <v>47312</v>
      </c>
    </row>
    <row r="6940" spans="1:24">
      <c r="A6940">
        <f>HYPERLINK("https://www.philgeps.gov.ph/GEPSNONPILOT/Tender/SplashBidNoticeAbstractUI.aspx?menuIndex=3&amp;refID=7191403&amp;Result=3","7191403")</f>
        <v>0</v>
      </c>
      <c r="B6940" t="s">
        <v>2291</v>
      </c>
      <c r="C6940" t="s">
        <v>10377</v>
      </c>
      <c r="D6940" t="s">
        <v>19028</v>
      </c>
      <c r="E6940" t="s">
        <v>25124</v>
      </c>
      <c r="F6940" t="s">
        <v>32606</v>
      </c>
      <c r="G6940" t="s">
        <v>32614</v>
      </c>
      <c r="H6940" t="s">
        <v>14201</v>
      </c>
      <c r="I6940" t="s">
        <v>32673</v>
      </c>
      <c r="J6940" t="s">
        <v>32778</v>
      </c>
      <c r="K6940" t="s">
        <v>42624</v>
      </c>
      <c r="M6940" t="s">
        <v>45397</v>
      </c>
      <c r="N6940" t="s">
        <v>47304</v>
      </c>
      <c r="O6940" t="s">
        <v>47305</v>
      </c>
      <c r="P6940">
        <v>0</v>
      </c>
      <c r="Q6940">
        <v>3</v>
      </c>
      <c r="R6940" t="s">
        <v>47311</v>
      </c>
      <c r="S6940" t="s">
        <v>47443</v>
      </c>
      <c r="T6940" t="s">
        <v>49165</v>
      </c>
      <c r="U6940" t="s">
        <v>55338</v>
      </c>
      <c r="V6940" t="s">
        <v>63310</v>
      </c>
      <c r="W6940" t="s">
        <v>45397</v>
      </c>
      <c r="X6940" t="s">
        <v>47312</v>
      </c>
    </row>
    <row r="6941" spans="1:24">
      <c r="A6941">
        <f>HYPERLINK("https://www.philgeps.gov.ph/GEPSNONPILOT/Tender/SplashBidNoticeAbstractUI.aspx?menuIndex=3&amp;refID=7191406&amp;Result=3","7191406")</f>
        <v>0</v>
      </c>
      <c r="B6941" t="s">
        <v>2297</v>
      </c>
      <c r="C6941" t="s">
        <v>10378</v>
      </c>
      <c r="D6941" t="s">
        <v>19024</v>
      </c>
      <c r="E6941" t="s">
        <v>25125</v>
      </c>
      <c r="F6941" t="s">
        <v>32606</v>
      </c>
      <c r="G6941" t="s">
        <v>32614</v>
      </c>
      <c r="H6941" t="s">
        <v>14201</v>
      </c>
      <c r="I6941" t="s">
        <v>6931</v>
      </c>
      <c r="J6941" t="s">
        <v>37187</v>
      </c>
      <c r="K6941" t="s">
        <v>42622</v>
      </c>
      <c r="M6941" t="s">
        <v>45403</v>
      </c>
      <c r="N6941" t="s">
        <v>47304</v>
      </c>
      <c r="O6941" t="s">
        <v>47305</v>
      </c>
      <c r="P6941">
        <v>0</v>
      </c>
      <c r="Q6941">
        <v>0</v>
      </c>
      <c r="R6941" t="s">
        <v>47311</v>
      </c>
      <c r="S6941" t="s">
        <v>47443</v>
      </c>
      <c r="T6941" t="s">
        <v>49062</v>
      </c>
      <c r="U6941" t="s">
        <v>55339</v>
      </c>
      <c r="V6941" t="s">
        <v>63312</v>
      </c>
      <c r="W6941" t="s">
        <v>45403</v>
      </c>
      <c r="X6941" t="s">
        <v>47312</v>
      </c>
    </row>
    <row r="6942" spans="1:24">
      <c r="A6942">
        <f>HYPERLINK("https://www.philgeps.gov.ph/GEPSNONPILOT/Tender/SplashBidNoticeAbstractUI.aspx?menuIndex=3&amp;refID=7191466&amp;Result=3","7191466")</f>
        <v>0</v>
      </c>
      <c r="B6942" t="s">
        <v>2289</v>
      </c>
      <c r="C6942" t="s">
        <v>10379</v>
      </c>
      <c r="E6942" t="s">
        <v>25126</v>
      </c>
      <c r="F6942" t="s">
        <v>32606</v>
      </c>
      <c r="G6942" t="s">
        <v>32613</v>
      </c>
      <c r="H6942" t="s">
        <v>14201</v>
      </c>
      <c r="I6942" t="s">
        <v>32631</v>
      </c>
      <c r="J6942" t="s">
        <v>37188</v>
      </c>
      <c r="K6942" t="s">
        <v>42623</v>
      </c>
      <c r="M6942" t="s">
        <v>45394</v>
      </c>
      <c r="N6942" t="s">
        <v>47304</v>
      </c>
      <c r="O6942" t="s">
        <v>47305</v>
      </c>
      <c r="P6942">
        <v>0</v>
      </c>
      <c r="Q6942">
        <v>0</v>
      </c>
      <c r="R6942" t="s">
        <v>47311</v>
      </c>
      <c r="S6942" t="s">
        <v>47443</v>
      </c>
      <c r="T6942" t="s">
        <v>49081</v>
      </c>
      <c r="U6942" t="s">
        <v>55319</v>
      </c>
      <c r="W6942" t="s">
        <v>45394</v>
      </c>
      <c r="X6942" t="s">
        <v>47312</v>
      </c>
    </row>
    <row r="6943" spans="1:24">
      <c r="A6943">
        <f>HYPERLINK("https://www.philgeps.gov.ph/GEPSNONPILOT/Tender/SplashBidNoticeAbstractUI.aspx?menuIndex=3&amp;refID=7191464&amp;Result=3","7191464")</f>
        <v>0</v>
      </c>
      <c r="B6943" t="s">
        <v>2245</v>
      </c>
      <c r="C6943" t="s">
        <v>10380</v>
      </c>
      <c r="D6943" t="s">
        <v>19056</v>
      </c>
      <c r="E6943" t="s">
        <v>25127</v>
      </c>
      <c r="F6943" t="s">
        <v>32606</v>
      </c>
      <c r="G6943" t="s">
        <v>32613</v>
      </c>
      <c r="H6943" t="s">
        <v>32623</v>
      </c>
      <c r="I6943" t="s">
        <v>17648</v>
      </c>
      <c r="J6943" t="s">
        <v>32981</v>
      </c>
      <c r="K6943" t="s">
        <v>42622</v>
      </c>
      <c r="M6943" t="s">
        <v>45349</v>
      </c>
      <c r="N6943" t="s">
        <v>47304</v>
      </c>
      <c r="O6943" t="s">
        <v>47305</v>
      </c>
      <c r="P6943">
        <v>0</v>
      </c>
      <c r="Q6943">
        <v>0</v>
      </c>
      <c r="R6943" t="s">
        <v>47311</v>
      </c>
      <c r="S6943" t="s">
        <v>47443</v>
      </c>
      <c r="T6943" t="s">
        <v>49006</v>
      </c>
      <c r="U6943" t="s">
        <v>55340</v>
      </c>
      <c r="W6943" t="s">
        <v>45349</v>
      </c>
      <c r="X6943" t="s">
        <v>47312</v>
      </c>
    </row>
    <row r="6944" spans="1:24">
      <c r="A6944">
        <f>HYPERLINK("https://www.philgeps.gov.ph/GEPSNONPILOT/Tender/SplashBidNoticeAbstractUI.aspx?menuIndex=3&amp;refID=7191458&amp;Result=3","7191458")</f>
        <v>0</v>
      </c>
      <c r="B6944" t="s">
        <v>2303</v>
      </c>
      <c r="C6944" t="s">
        <v>10381</v>
      </c>
      <c r="D6944" t="s">
        <v>19070</v>
      </c>
      <c r="E6944" t="s">
        <v>25128</v>
      </c>
      <c r="F6944" t="s">
        <v>32606</v>
      </c>
      <c r="G6944" t="s">
        <v>32619</v>
      </c>
      <c r="H6944" t="s">
        <v>14201</v>
      </c>
      <c r="I6944" t="s">
        <v>4678</v>
      </c>
      <c r="J6944" t="s">
        <v>37189</v>
      </c>
      <c r="K6944" t="s">
        <v>42630</v>
      </c>
      <c r="M6944" t="s">
        <v>45409</v>
      </c>
      <c r="N6944" t="s">
        <v>47304</v>
      </c>
      <c r="O6944" t="s">
        <v>47305</v>
      </c>
      <c r="P6944">
        <v>0</v>
      </c>
      <c r="Q6944">
        <v>0</v>
      </c>
      <c r="R6944" t="s">
        <v>47311</v>
      </c>
      <c r="S6944" t="s">
        <v>47443</v>
      </c>
      <c r="T6944" t="s">
        <v>49350</v>
      </c>
      <c r="U6944" t="s">
        <v>55341</v>
      </c>
      <c r="W6944" t="s">
        <v>45409</v>
      </c>
      <c r="X6944" t="s">
        <v>47312</v>
      </c>
    </row>
    <row r="6945" spans="1:24">
      <c r="A6945">
        <f>HYPERLINK("https://www.philgeps.gov.ph/GEPSNONPILOT/Tender/SplashBidNoticeAbstractUI.aspx?menuIndex=3&amp;refID=7191398&amp;Result=3","7191398")</f>
        <v>0</v>
      </c>
      <c r="B6945" t="s">
        <v>2304</v>
      </c>
      <c r="C6945" t="s">
        <v>10382</v>
      </c>
      <c r="D6945" t="s">
        <v>19016</v>
      </c>
      <c r="E6945" t="s">
        <v>25129</v>
      </c>
      <c r="F6945" t="s">
        <v>32606</v>
      </c>
      <c r="G6945" t="s">
        <v>32613</v>
      </c>
      <c r="H6945" t="s">
        <v>14201</v>
      </c>
      <c r="I6945" t="s">
        <v>32631</v>
      </c>
      <c r="J6945" t="s">
        <v>37190</v>
      </c>
      <c r="K6945" t="s">
        <v>42624</v>
      </c>
      <c r="M6945" t="s">
        <v>45410</v>
      </c>
      <c r="N6945" t="s">
        <v>47304</v>
      </c>
      <c r="O6945" t="s">
        <v>47305</v>
      </c>
      <c r="P6945">
        <v>0</v>
      </c>
      <c r="Q6945">
        <v>0</v>
      </c>
      <c r="R6945" t="s">
        <v>47311</v>
      </c>
      <c r="S6945" t="s">
        <v>47443</v>
      </c>
      <c r="T6945" t="s">
        <v>49057</v>
      </c>
      <c r="U6945" t="s">
        <v>55342</v>
      </c>
      <c r="W6945" t="s">
        <v>45410</v>
      </c>
      <c r="X6945" t="s">
        <v>47312</v>
      </c>
    </row>
    <row r="6946" spans="1:24">
      <c r="A6946">
        <f>HYPERLINK("https://www.philgeps.gov.ph/GEPSNONPILOT/Tender/SplashBidNoticeAbstractUI.aspx?menuIndex=3&amp;refID=7191455&amp;Result=3","7191455")</f>
        <v>0</v>
      </c>
      <c r="B6946" t="s">
        <v>2305</v>
      </c>
      <c r="C6946" t="s">
        <v>10383</v>
      </c>
      <c r="D6946" t="s">
        <v>19001</v>
      </c>
      <c r="E6946" t="s">
        <v>20240</v>
      </c>
      <c r="F6946" t="s">
        <v>32606</v>
      </c>
      <c r="G6946" t="s">
        <v>32613</v>
      </c>
      <c r="H6946" t="s">
        <v>14201</v>
      </c>
      <c r="I6946" t="s">
        <v>32631</v>
      </c>
      <c r="J6946" t="s">
        <v>37191</v>
      </c>
      <c r="K6946" t="s">
        <v>42624</v>
      </c>
      <c r="M6946" t="s">
        <v>45411</v>
      </c>
      <c r="N6946" t="s">
        <v>47304</v>
      </c>
      <c r="O6946" t="s">
        <v>47305</v>
      </c>
      <c r="P6946">
        <v>0</v>
      </c>
      <c r="Q6946">
        <v>1</v>
      </c>
      <c r="R6946" t="s">
        <v>47311</v>
      </c>
      <c r="S6946" t="s">
        <v>47443</v>
      </c>
      <c r="T6946" t="s">
        <v>49111</v>
      </c>
      <c r="U6946" t="s">
        <v>55343</v>
      </c>
      <c r="W6946" t="s">
        <v>45411</v>
      </c>
      <c r="X6946" t="s">
        <v>47312</v>
      </c>
    </row>
    <row r="6947" spans="1:24">
      <c r="A6947">
        <f>HYPERLINK("https://www.philgeps.gov.ph/GEPSNONPILOT/Tender/SplashBidNoticeAbstractUI.aspx?menuIndex=3&amp;refID=7191449&amp;Result=3","7191449")</f>
        <v>0</v>
      </c>
      <c r="B6947" t="s">
        <v>2275</v>
      </c>
      <c r="C6947" t="s">
        <v>10384</v>
      </c>
      <c r="D6947" t="s">
        <v>19044</v>
      </c>
      <c r="E6947" t="s">
        <v>25130</v>
      </c>
      <c r="F6947" t="s">
        <v>32606</v>
      </c>
      <c r="G6947" t="s">
        <v>32613</v>
      </c>
      <c r="H6947" t="s">
        <v>14201</v>
      </c>
      <c r="I6947" t="s">
        <v>7064</v>
      </c>
      <c r="J6947" t="s">
        <v>32795</v>
      </c>
      <c r="K6947" t="s">
        <v>42631</v>
      </c>
      <c r="M6947" t="s">
        <v>45380</v>
      </c>
      <c r="N6947" t="s">
        <v>47304</v>
      </c>
      <c r="O6947" t="s">
        <v>47305</v>
      </c>
      <c r="P6947">
        <v>0</v>
      </c>
      <c r="Q6947">
        <v>5</v>
      </c>
      <c r="R6947" t="s">
        <v>47311</v>
      </c>
      <c r="S6947" t="s">
        <v>47443</v>
      </c>
      <c r="T6947" t="s">
        <v>48970</v>
      </c>
      <c r="U6947" t="s">
        <v>55344</v>
      </c>
      <c r="W6947" t="s">
        <v>45380</v>
      </c>
      <c r="X6947" t="s">
        <v>47312</v>
      </c>
    </row>
    <row r="6948" spans="1:24">
      <c r="A6948">
        <f>HYPERLINK("https://www.philgeps.gov.ph/GEPSNONPILOT/Tender/SplashBidNoticeAbstractUI.aspx?menuIndex=3&amp;refID=7191459&amp;Result=3","7191459")</f>
        <v>0</v>
      </c>
      <c r="B6948" t="s">
        <v>253</v>
      </c>
      <c r="C6948" t="s">
        <v>10050</v>
      </c>
      <c r="D6948" t="s">
        <v>19043</v>
      </c>
      <c r="E6948" t="s">
        <v>25131</v>
      </c>
      <c r="F6948" t="s">
        <v>32606</v>
      </c>
      <c r="G6948" t="s">
        <v>32614</v>
      </c>
      <c r="H6948" t="s">
        <v>14201</v>
      </c>
      <c r="I6948" t="s">
        <v>4112</v>
      </c>
      <c r="J6948" t="s">
        <v>36030</v>
      </c>
      <c r="K6948" t="s">
        <v>42622</v>
      </c>
      <c r="M6948" t="s">
        <v>43154</v>
      </c>
      <c r="N6948" t="s">
        <v>47304</v>
      </c>
      <c r="O6948" t="s">
        <v>47305</v>
      </c>
      <c r="P6948">
        <v>0</v>
      </c>
      <c r="Q6948">
        <v>0</v>
      </c>
      <c r="R6948" t="s">
        <v>47311</v>
      </c>
      <c r="S6948" t="s">
        <v>47443</v>
      </c>
      <c r="T6948" t="s">
        <v>49023</v>
      </c>
      <c r="U6948" t="s">
        <v>55345</v>
      </c>
      <c r="W6948" t="s">
        <v>43154</v>
      </c>
      <c r="X6948" t="s">
        <v>47312</v>
      </c>
    </row>
    <row r="6949" spans="1:24">
      <c r="A6949">
        <f>HYPERLINK("https://www.philgeps.gov.ph/GEPSNONPILOT/Tender/SplashBidNoticeAbstractUI.aspx?menuIndex=3&amp;refID=7191447&amp;Result=3","7191447")</f>
        <v>0</v>
      </c>
      <c r="B6949" t="s">
        <v>487</v>
      </c>
      <c r="C6949" t="s">
        <v>10385</v>
      </c>
      <c r="D6949" t="s">
        <v>19027</v>
      </c>
      <c r="E6949" t="s">
        <v>25132</v>
      </c>
      <c r="F6949" t="s">
        <v>32606</v>
      </c>
      <c r="G6949" t="s">
        <v>32614</v>
      </c>
      <c r="H6949" t="s">
        <v>14201</v>
      </c>
      <c r="I6949" t="s">
        <v>4114</v>
      </c>
      <c r="J6949" t="s">
        <v>37192</v>
      </c>
      <c r="K6949" t="s">
        <v>42623</v>
      </c>
      <c r="M6949" t="s">
        <v>43399</v>
      </c>
      <c r="N6949" t="s">
        <v>47304</v>
      </c>
      <c r="O6949" t="s">
        <v>47305</v>
      </c>
      <c r="P6949">
        <v>0</v>
      </c>
      <c r="Q6949">
        <v>0</v>
      </c>
      <c r="R6949" t="s">
        <v>47311</v>
      </c>
      <c r="S6949" t="s">
        <v>47443</v>
      </c>
      <c r="T6949" t="s">
        <v>49068</v>
      </c>
      <c r="U6949" t="s">
        <v>55346</v>
      </c>
      <c r="W6949" t="s">
        <v>43399</v>
      </c>
      <c r="X6949" t="s">
        <v>47312</v>
      </c>
    </row>
    <row r="6950" spans="1:24">
      <c r="A6950">
        <f>HYPERLINK("https://www.philgeps.gov.ph/GEPSNONPILOT/Tender/SplashBidNoticeAbstractUI.aspx?menuIndex=3&amp;refID=7191446&amp;Result=3","7191446")</f>
        <v>0</v>
      </c>
      <c r="B6950" t="s">
        <v>2306</v>
      </c>
      <c r="C6950" t="s">
        <v>10386</v>
      </c>
      <c r="D6950" t="s">
        <v>18994</v>
      </c>
      <c r="E6950" t="s">
        <v>25133</v>
      </c>
      <c r="F6950" t="s">
        <v>32606</v>
      </c>
      <c r="G6950" t="s">
        <v>32613</v>
      </c>
      <c r="H6950" t="s">
        <v>14201</v>
      </c>
      <c r="I6950" t="s">
        <v>32626</v>
      </c>
      <c r="J6950" t="s">
        <v>37193</v>
      </c>
      <c r="K6950" t="s">
        <v>42627</v>
      </c>
      <c r="M6950" t="s">
        <v>45412</v>
      </c>
      <c r="N6950" t="s">
        <v>47304</v>
      </c>
      <c r="O6950" t="s">
        <v>47305</v>
      </c>
      <c r="P6950">
        <v>0</v>
      </c>
      <c r="Q6950">
        <v>3</v>
      </c>
      <c r="R6950" t="s">
        <v>47311</v>
      </c>
      <c r="S6950" t="s">
        <v>47443</v>
      </c>
      <c r="T6950" t="s">
        <v>49203</v>
      </c>
      <c r="U6950" t="s">
        <v>55347</v>
      </c>
      <c r="V6950" t="s">
        <v>63316</v>
      </c>
      <c r="W6950" t="s">
        <v>45412</v>
      </c>
      <c r="X6950" t="s">
        <v>47312</v>
      </c>
    </row>
    <row r="6951" spans="1:24">
      <c r="A6951">
        <f>HYPERLINK("https://www.philgeps.gov.ph/GEPSNONPILOT/Tender/SplashBidNoticeAbstractUI.aspx?menuIndex=3&amp;refID=7191439&amp;Result=3","7191439")</f>
        <v>0</v>
      </c>
      <c r="B6951" t="s">
        <v>2220</v>
      </c>
      <c r="C6951" t="s">
        <v>10387</v>
      </c>
      <c r="D6951" t="s">
        <v>19016</v>
      </c>
      <c r="E6951" t="s">
        <v>25134</v>
      </c>
      <c r="F6951" t="s">
        <v>32606</v>
      </c>
      <c r="G6951" t="s">
        <v>32613</v>
      </c>
      <c r="H6951" t="s">
        <v>14201</v>
      </c>
      <c r="I6951" t="s">
        <v>32631</v>
      </c>
      <c r="J6951" t="s">
        <v>37194</v>
      </c>
      <c r="K6951" t="s">
        <v>42631</v>
      </c>
      <c r="M6951" t="s">
        <v>45324</v>
      </c>
      <c r="N6951" t="s">
        <v>47304</v>
      </c>
      <c r="O6951" t="s">
        <v>47305</v>
      </c>
      <c r="P6951">
        <v>0</v>
      </c>
      <c r="Q6951">
        <v>0</v>
      </c>
      <c r="R6951" t="s">
        <v>47311</v>
      </c>
      <c r="S6951" t="s">
        <v>47443</v>
      </c>
      <c r="T6951" t="s">
        <v>48997</v>
      </c>
      <c r="U6951" t="s">
        <v>55348</v>
      </c>
      <c r="V6951" t="s">
        <v>63291</v>
      </c>
      <c r="W6951" t="s">
        <v>45324</v>
      </c>
      <c r="X6951" t="s">
        <v>47312</v>
      </c>
    </row>
    <row r="6952" spans="1:24">
      <c r="A6952">
        <f>HYPERLINK("https://www.philgeps.gov.ph/GEPSNONPILOT/Tender/SplashBidNoticeAbstractUI.aspx?menuIndex=3&amp;refID=7191433&amp;Result=3","7191433")</f>
        <v>0</v>
      </c>
      <c r="B6952" t="s">
        <v>2289</v>
      </c>
      <c r="C6952" t="s">
        <v>10388</v>
      </c>
      <c r="E6952" t="s">
        <v>25135</v>
      </c>
      <c r="F6952" t="s">
        <v>32606</v>
      </c>
      <c r="G6952" t="s">
        <v>32613</v>
      </c>
      <c r="H6952" t="s">
        <v>14201</v>
      </c>
      <c r="I6952" t="s">
        <v>32631</v>
      </c>
      <c r="J6952" t="s">
        <v>37195</v>
      </c>
      <c r="K6952" t="s">
        <v>42627</v>
      </c>
      <c r="M6952" t="s">
        <v>45394</v>
      </c>
      <c r="N6952" t="s">
        <v>47304</v>
      </c>
      <c r="O6952" t="s">
        <v>47305</v>
      </c>
      <c r="P6952">
        <v>0</v>
      </c>
      <c r="Q6952">
        <v>0</v>
      </c>
      <c r="R6952" t="s">
        <v>47311</v>
      </c>
      <c r="S6952" t="s">
        <v>47443</v>
      </c>
      <c r="T6952" t="s">
        <v>49081</v>
      </c>
      <c r="U6952" t="s">
        <v>55319</v>
      </c>
      <c r="W6952" t="s">
        <v>45394</v>
      </c>
      <c r="X6952" t="s">
        <v>47312</v>
      </c>
    </row>
    <row r="6953" spans="1:24">
      <c r="A6953">
        <f>HYPERLINK("https://www.philgeps.gov.ph/GEPSNONPILOT/Tender/SplashBidNoticeAbstractUI.aspx?menuIndex=3&amp;refID=7191452&amp;Result=3","7191452")</f>
        <v>0</v>
      </c>
      <c r="B6953" t="s">
        <v>2293</v>
      </c>
      <c r="C6953" t="s">
        <v>10389</v>
      </c>
      <c r="D6953" t="s">
        <v>18994</v>
      </c>
      <c r="E6953" t="s">
        <v>25136</v>
      </c>
      <c r="F6953" t="s">
        <v>32606</v>
      </c>
      <c r="G6953" t="s">
        <v>32614</v>
      </c>
      <c r="H6953" t="s">
        <v>32623</v>
      </c>
      <c r="I6953" t="s">
        <v>17648</v>
      </c>
      <c r="J6953" t="s">
        <v>37196</v>
      </c>
      <c r="K6953" t="s">
        <v>42622</v>
      </c>
      <c r="M6953" t="s">
        <v>45399</v>
      </c>
      <c r="N6953" t="s">
        <v>47304</v>
      </c>
      <c r="O6953" t="s">
        <v>47305</v>
      </c>
      <c r="P6953">
        <v>0</v>
      </c>
      <c r="Q6953">
        <v>2</v>
      </c>
      <c r="R6953" t="s">
        <v>47311</v>
      </c>
      <c r="S6953" t="s">
        <v>47443</v>
      </c>
      <c r="T6953" t="s">
        <v>49165</v>
      </c>
      <c r="U6953" t="s">
        <v>55349</v>
      </c>
      <c r="W6953" t="s">
        <v>45399</v>
      </c>
      <c r="X6953" t="s">
        <v>47312</v>
      </c>
    </row>
    <row r="6954" spans="1:24">
      <c r="A6954">
        <f>HYPERLINK("https://www.philgeps.gov.ph/GEPSNONPILOT/Tender/SplashBidNoticeAbstractUI.aspx?menuIndex=3&amp;refID=7191431&amp;Result=3","7191431")</f>
        <v>0</v>
      </c>
      <c r="B6954" t="s">
        <v>2307</v>
      </c>
      <c r="C6954" t="s">
        <v>10390</v>
      </c>
      <c r="D6954" t="s">
        <v>19009</v>
      </c>
      <c r="E6954" t="s">
        <v>19313</v>
      </c>
      <c r="F6954" t="s">
        <v>32606</v>
      </c>
      <c r="G6954" t="s">
        <v>32613</v>
      </c>
      <c r="H6954" t="s">
        <v>32623</v>
      </c>
      <c r="I6954" t="s">
        <v>17648</v>
      </c>
      <c r="J6954" t="s">
        <v>33039</v>
      </c>
      <c r="K6954" t="s">
        <v>42646</v>
      </c>
      <c r="M6954" t="s">
        <v>45413</v>
      </c>
      <c r="N6954" t="s">
        <v>47304</v>
      </c>
      <c r="O6954" t="s">
        <v>47305</v>
      </c>
      <c r="P6954">
        <v>0</v>
      </c>
      <c r="Q6954">
        <v>0</v>
      </c>
      <c r="R6954" t="s">
        <v>47311</v>
      </c>
      <c r="S6954" t="s">
        <v>47443</v>
      </c>
      <c r="T6954" t="s">
        <v>49008</v>
      </c>
      <c r="U6954" t="s">
        <v>55350</v>
      </c>
      <c r="W6954" t="s">
        <v>45413</v>
      </c>
      <c r="X6954" t="s">
        <v>47312</v>
      </c>
    </row>
    <row r="6955" spans="1:24">
      <c r="A6955">
        <f>HYPERLINK("https://www.philgeps.gov.ph/GEPSNONPILOT/Tender/SplashBidNoticeAbstractUI.aspx?menuIndex=3&amp;refID=7191465&amp;Result=3","7191465")</f>
        <v>0</v>
      </c>
      <c r="B6955" t="s">
        <v>2308</v>
      </c>
      <c r="C6955" t="s">
        <v>10391</v>
      </c>
      <c r="D6955" t="s">
        <v>19063</v>
      </c>
      <c r="E6955" t="s">
        <v>25137</v>
      </c>
      <c r="F6955" t="s">
        <v>32606</v>
      </c>
      <c r="G6955" t="s">
        <v>32613</v>
      </c>
      <c r="H6955" t="s">
        <v>32623</v>
      </c>
      <c r="I6955" t="s">
        <v>17648</v>
      </c>
      <c r="J6955" t="s">
        <v>37197</v>
      </c>
      <c r="K6955" t="s">
        <v>42645</v>
      </c>
      <c r="M6955" t="s">
        <v>45414</v>
      </c>
      <c r="N6955" t="s">
        <v>47304</v>
      </c>
      <c r="O6955" t="s">
        <v>47305</v>
      </c>
      <c r="Q6955">
        <v>0</v>
      </c>
      <c r="R6955" t="s">
        <v>47311</v>
      </c>
      <c r="S6955" t="s">
        <v>47477</v>
      </c>
      <c r="T6955" t="s">
        <v>49064</v>
      </c>
      <c r="U6955" t="s">
        <v>55351</v>
      </c>
      <c r="W6955" t="s">
        <v>45414</v>
      </c>
      <c r="X6955" t="s">
        <v>47312</v>
      </c>
    </row>
    <row r="6956" spans="1:24">
      <c r="A6956">
        <f>HYPERLINK("https://www.philgeps.gov.ph/GEPSNONPILOT/Tender/SplashBidNoticeAbstractUI.aspx?menuIndex=3&amp;refID=7191424&amp;Result=3","7191424")</f>
        <v>0</v>
      </c>
      <c r="B6956" t="s">
        <v>262</v>
      </c>
      <c r="C6956" t="s">
        <v>10392</v>
      </c>
      <c r="D6956" t="s">
        <v>19038</v>
      </c>
      <c r="E6956" t="s">
        <v>25138</v>
      </c>
      <c r="F6956" t="s">
        <v>32606</v>
      </c>
      <c r="G6956" t="s">
        <v>32613</v>
      </c>
      <c r="H6956" t="s">
        <v>14201</v>
      </c>
      <c r="I6956" t="s">
        <v>4120</v>
      </c>
      <c r="J6956" t="s">
        <v>37198</v>
      </c>
      <c r="K6956" t="s">
        <v>42638</v>
      </c>
      <c r="M6956" t="s">
        <v>43163</v>
      </c>
      <c r="N6956" t="s">
        <v>47304</v>
      </c>
      <c r="O6956" t="s">
        <v>47305</v>
      </c>
      <c r="P6956">
        <v>0</v>
      </c>
      <c r="Q6956">
        <v>0</v>
      </c>
      <c r="R6956" t="s">
        <v>47311</v>
      </c>
      <c r="S6956" t="s">
        <v>47443</v>
      </c>
      <c r="T6956" t="s">
        <v>49075</v>
      </c>
      <c r="U6956" t="s">
        <v>55352</v>
      </c>
      <c r="W6956" t="s">
        <v>43163</v>
      </c>
      <c r="X6956" t="s">
        <v>47312</v>
      </c>
    </row>
    <row r="6957" spans="1:24">
      <c r="A6957">
        <f>HYPERLINK("https://www.philgeps.gov.ph/GEPSNONPILOT/Tender/SplashBidNoticeAbstractUI.aspx?menuIndex=3&amp;refID=7191369&amp;Result=3","7191369")</f>
        <v>0</v>
      </c>
      <c r="B6957" t="s">
        <v>2306</v>
      </c>
      <c r="C6957" t="s">
        <v>10393</v>
      </c>
      <c r="D6957" t="s">
        <v>18994</v>
      </c>
      <c r="E6957" t="s">
        <v>25139</v>
      </c>
      <c r="F6957" t="s">
        <v>32606</v>
      </c>
      <c r="G6957" t="s">
        <v>32613</v>
      </c>
      <c r="H6957" t="s">
        <v>14201</v>
      </c>
      <c r="I6957" t="s">
        <v>7064</v>
      </c>
      <c r="J6957" t="s">
        <v>34719</v>
      </c>
      <c r="K6957" t="s">
        <v>42627</v>
      </c>
      <c r="M6957" t="s">
        <v>45412</v>
      </c>
      <c r="N6957" t="s">
        <v>47304</v>
      </c>
      <c r="O6957" t="s">
        <v>47305</v>
      </c>
      <c r="P6957">
        <v>0</v>
      </c>
      <c r="Q6957">
        <v>0</v>
      </c>
      <c r="R6957" t="s">
        <v>47311</v>
      </c>
      <c r="S6957" t="s">
        <v>47443</v>
      </c>
      <c r="T6957" t="s">
        <v>49203</v>
      </c>
      <c r="U6957" t="s">
        <v>55353</v>
      </c>
      <c r="V6957" t="s">
        <v>63316</v>
      </c>
      <c r="W6957" t="s">
        <v>45412</v>
      </c>
      <c r="X6957" t="s">
        <v>47312</v>
      </c>
    </row>
    <row r="6958" spans="1:24">
      <c r="A6958">
        <f>HYPERLINK("https://www.philgeps.gov.ph/GEPSNONPILOT/Tender/SplashBidNoticeAbstractUI.aspx?menuIndex=3&amp;refID=7191436&amp;Result=3","7191436")</f>
        <v>0</v>
      </c>
      <c r="B6958" t="s">
        <v>2309</v>
      </c>
      <c r="C6958" t="s">
        <v>10394</v>
      </c>
      <c r="D6958" t="s">
        <v>19042</v>
      </c>
      <c r="E6958" t="s">
        <v>25140</v>
      </c>
      <c r="F6958" t="s">
        <v>32606</v>
      </c>
      <c r="G6958" t="s">
        <v>32613</v>
      </c>
      <c r="H6958" t="s">
        <v>14201</v>
      </c>
      <c r="I6958" t="s">
        <v>6931</v>
      </c>
      <c r="J6958" t="s">
        <v>37199</v>
      </c>
      <c r="K6958" t="s">
        <v>42631</v>
      </c>
      <c r="M6958" t="s">
        <v>45415</v>
      </c>
      <c r="N6958" t="s">
        <v>47304</v>
      </c>
      <c r="O6958" t="s">
        <v>47305</v>
      </c>
      <c r="P6958">
        <v>0</v>
      </c>
      <c r="Q6958">
        <v>0</v>
      </c>
      <c r="R6958" t="s">
        <v>47311</v>
      </c>
      <c r="S6958" t="s">
        <v>47443</v>
      </c>
      <c r="T6958" t="s">
        <v>49084</v>
      </c>
      <c r="U6958" t="s">
        <v>55354</v>
      </c>
      <c r="V6958" t="s">
        <v>63317</v>
      </c>
      <c r="W6958" t="s">
        <v>45415</v>
      </c>
      <c r="X6958" t="s">
        <v>47312</v>
      </c>
    </row>
    <row r="6959" spans="1:24">
      <c r="A6959">
        <f>HYPERLINK("https://www.philgeps.gov.ph/GEPSNONPILOT/Tender/SplashBidNoticeAbstractUI.aspx?menuIndex=3&amp;refID=7191411&amp;Result=3","7191411")</f>
        <v>0</v>
      </c>
      <c r="B6959" t="s">
        <v>2289</v>
      </c>
      <c r="C6959" t="s">
        <v>10395</v>
      </c>
      <c r="E6959" t="s">
        <v>25141</v>
      </c>
      <c r="F6959" t="s">
        <v>32606</v>
      </c>
      <c r="G6959" t="s">
        <v>32613</v>
      </c>
      <c r="H6959" t="s">
        <v>14201</v>
      </c>
      <c r="I6959" t="s">
        <v>32631</v>
      </c>
      <c r="J6959" t="s">
        <v>37200</v>
      </c>
      <c r="K6959" t="s">
        <v>42623</v>
      </c>
      <c r="M6959" t="s">
        <v>45394</v>
      </c>
      <c r="N6959" t="s">
        <v>47304</v>
      </c>
      <c r="O6959" t="s">
        <v>47305</v>
      </c>
      <c r="P6959">
        <v>0</v>
      </c>
      <c r="Q6959">
        <v>0</v>
      </c>
      <c r="R6959" t="s">
        <v>47311</v>
      </c>
      <c r="S6959" t="s">
        <v>47443</v>
      </c>
      <c r="T6959" t="s">
        <v>49081</v>
      </c>
      <c r="U6959" t="s">
        <v>55319</v>
      </c>
      <c r="W6959" t="s">
        <v>45394</v>
      </c>
      <c r="X6959" t="s">
        <v>47312</v>
      </c>
    </row>
    <row r="6960" spans="1:24">
      <c r="A6960">
        <f>HYPERLINK("https://www.philgeps.gov.ph/GEPSNONPILOT/Tender/SplashBidNoticeAbstractUI.aspx?menuIndex=3&amp;refID=7191430&amp;Result=3","7191430")</f>
        <v>0</v>
      </c>
      <c r="B6960" t="s">
        <v>782</v>
      </c>
      <c r="C6960" t="s">
        <v>10396</v>
      </c>
      <c r="D6960" t="s">
        <v>19031</v>
      </c>
      <c r="E6960" t="s">
        <v>25142</v>
      </c>
      <c r="F6960" t="s">
        <v>32606</v>
      </c>
      <c r="G6960" t="s">
        <v>32613</v>
      </c>
      <c r="H6960" t="s">
        <v>14201</v>
      </c>
      <c r="I6960" t="s">
        <v>4120</v>
      </c>
      <c r="J6960" t="s">
        <v>32923</v>
      </c>
      <c r="K6960" t="s">
        <v>42630</v>
      </c>
      <c r="L6960" t="s">
        <v>782</v>
      </c>
      <c r="M6960" t="s">
        <v>43713</v>
      </c>
      <c r="N6960" t="s">
        <v>47304</v>
      </c>
      <c r="O6960" t="s">
        <v>47305</v>
      </c>
      <c r="P6960">
        <v>0</v>
      </c>
      <c r="Q6960">
        <v>6</v>
      </c>
      <c r="R6960" t="s">
        <v>47311</v>
      </c>
      <c r="S6960" t="s">
        <v>47443</v>
      </c>
      <c r="T6960" t="s">
        <v>49057</v>
      </c>
      <c r="U6960" t="s">
        <v>55311</v>
      </c>
      <c r="V6960" t="s">
        <v>63309</v>
      </c>
      <c r="W6960" t="s">
        <v>43713</v>
      </c>
      <c r="X6960" t="s">
        <v>47312</v>
      </c>
    </row>
    <row r="6961" spans="1:24">
      <c r="A6961">
        <f>HYPERLINK("https://www.philgeps.gov.ph/GEPSNONPILOT/Tender/SplashBidNoticeAbstractUI.aspx?menuIndex=3&amp;refID=7191426&amp;Result=3","7191426")</f>
        <v>0</v>
      </c>
      <c r="B6961" t="s">
        <v>487</v>
      </c>
      <c r="C6961" t="s">
        <v>10397</v>
      </c>
      <c r="D6961" t="s">
        <v>19027</v>
      </c>
      <c r="E6961" t="s">
        <v>25143</v>
      </c>
      <c r="F6961" t="s">
        <v>32606</v>
      </c>
      <c r="G6961" t="s">
        <v>32614</v>
      </c>
      <c r="H6961" t="s">
        <v>14201</v>
      </c>
      <c r="I6961" t="s">
        <v>32629</v>
      </c>
      <c r="J6961" t="s">
        <v>37054</v>
      </c>
      <c r="K6961" t="s">
        <v>42623</v>
      </c>
      <c r="M6961" t="s">
        <v>43399</v>
      </c>
      <c r="N6961" t="s">
        <v>47304</v>
      </c>
      <c r="O6961" t="s">
        <v>47305</v>
      </c>
      <c r="P6961">
        <v>0</v>
      </c>
      <c r="Q6961">
        <v>0</v>
      </c>
      <c r="R6961" t="s">
        <v>47311</v>
      </c>
      <c r="S6961" t="s">
        <v>47443</v>
      </c>
      <c r="T6961" t="s">
        <v>49068</v>
      </c>
      <c r="U6961" t="s">
        <v>55355</v>
      </c>
      <c r="W6961" t="s">
        <v>43399</v>
      </c>
      <c r="X6961" t="s">
        <v>47312</v>
      </c>
    </row>
    <row r="6962" spans="1:24">
      <c r="A6962">
        <f>HYPERLINK("https://www.philgeps.gov.ph/GEPSNONPILOT/Tender/SplashBidNoticeAbstractUI.aspx?menuIndex=3&amp;refID=7191279&amp;Result=3","7191279")</f>
        <v>0</v>
      </c>
      <c r="B6962" t="s">
        <v>2310</v>
      </c>
      <c r="C6962" t="s">
        <v>10398</v>
      </c>
      <c r="D6962" t="s">
        <v>19003</v>
      </c>
      <c r="E6962" t="s">
        <v>23179</v>
      </c>
      <c r="F6962" t="s">
        <v>32606</v>
      </c>
      <c r="G6962" t="s">
        <v>32613</v>
      </c>
      <c r="H6962" t="s">
        <v>14201</v>
      </c>
      <c r="I6962" t="s">
        <v>6931</v>
      </c>
      <c r="J6962" t="s">
        <v>37201</v>
      </c>
      <c r="K6962" t="s">
        <v>42623</v>
      </c>
      <c r="M6962" t="s">
        <v>45416</v>
      </c>
      <c r="N6962" t="s">
        <v>47304</v>
      </c>
      <c r="O6962" t="s">
        <v>47305</v>
      </c>
      <c r="P6962">
        <v>0</v>
      </c>
      <c r="Q6962">
        <v>0</v>
      </c>
      <c r="R6962" t="s">
        <v>47311</v>
      </c>
      <c r="S6962" t="s">
        <v>47443</v>
      </c>
      <c r="T6962" t="s">
        <v>48980</v>
      </c>
      <c r="U6962" t="s">
        <v>55356</v>
      </c>
      <c r="V6962" t="s">
        <v>63318</v>
      </c>
      <c r="W6962" t="s">
        <v>45416</v>
      </c>
      <c r="X6962" t="s">
        <v>47312</v>
      </c>
    </row>
    <row r="6963" spans="1:24">
      <c r="A6963">
        <f>HYPERLINK("https://www.philgeps.gov.ph/GEPSNONPILOT/Tender/SplashBidNoticeAbstractUI.aspx?menuIndex=3&amp;refID=7191515&amp;Result=3","7191515")</f>
        <v>0</v>
      </c>
      <c r="B6963" t="s">
        <v>713</v>
      </c>
      <c r="C6963" t="s">
        <v>10346</v>
      </c>
      <c r="D6963" t="s">
        <v>19040</v>
      </c>
      <c r="E6963" t="s">
        <v>25144</v>
      </c>
      <c r="F6963" t="s">
        <v>32606</v>
      </c>
      <c r="G6963" t="s">
        <v>32617</v>
      </c>
      <c r="H6963" t="s">
        <v>14201</v>
      </c>
      <c r="I6963" t="s">
        <v>4120</v>
      </c>
      <c r="J6963" t="s">
        <v>37202</v>
      </c>
      <c r="K6963" t="s">
        <v>42622</v>
      </c>
      <c r="M6963" t="s">
        <v>43634</v>
      </c>
      <c r="N6963" t="s">
        <v>47304</v>
      </c>
      <c r="O6963" t="s">
        <v>47305</v>
      </c>
      <c r="P6963">
        <v>0</v>
      </c>
      <c r="Q6963">
        <v>0</v>
      </c>
      <c r="R6963" t="s">
        <v>47311</v>
      </c>
      <c r="S6963" t="s">
        <v>47443</v>
      </c>
      <c r="T6963" t="s">
        <v>48980</v>
      </c>
      <c r="U6963" t="s">
        <v>55357</v>
      </c>
      <c r="W6963" t="s">
        <v>43634</v>
      </c>
      <c r="X6963" t="s">
        <v>47312</v>
      </c>
    </row>
    <row r="6964" spans="1:24">
      <c r="A6964">
        <f>HYPERLINK("https://www.philgeps.gov.ph/GEPSNONPILOT/Tender/SplashBidNoticeAbstractUI.aspx?menuIndex=3&amp;refID=7191513&amp;Result=3","7191513")</f>
        <v>0</v>
      </c>
      <c r="B6964" t="s">
        <v>82</v>
      </c>
      <c r="C6964" t="s">
        <v>10399</v>
      </c>
      <c r="E6964" t="s">
        <v>25145</v>
      </c>
      <c r="F6964" t="s">
        <v>32606</v>
      </c>
      <c r="G6964" t="s">
        <v>32614</v>
      </c>
      <c r="H6964" t="s">
        <v>14201</v>
      </c>
      <c r="I6964" t="s">
        <v>4678</v>
      </c>
      <c r="J6964" t="s">
        <v>37203</v>
      </c>
      <c r="K6964" t="s">
        <v>42624</v>
      </c>
      <c r="M6964" t="s">
        <v>45417</v>
      </c>
      <c r="N6964" t="s">
        <v>47304</v>
      </c>
      <c r="O6964" t="s">
        <v>47305</v>
      </c>
      <c r="P6964">
        <v>0</v>
      </c>
      <c r="Q6964">
        <v>2</v>
      </c>
      <c r="R6964" t="s">
        <v>47311</v>
      </c>
      <c r="S6964" t="s">
        <v>47443</v>
      </c>
      <c r="T6964" t="s">
        <v>49269</v>
      </c>
      <c r="U6964" t="s">
        <v>55358</v>
      </c>
      <c r="V6964" t="s">
        <v>63319</v>
      </c>
      <c r="W6964" t="s">
        <v>45417</v>
      </c>
      <c r="X6964" t="s">
        <v>47312</v>
      </c>
    </row>
    <row r="6965" spans="1:24">
      <c r="A6965">
        <f>HYPERLINK("https://www.philgeps.gov.ph/GEPSNONPILOT/Tender/SplashBidNoticeAbstractUI.aspx?menuIndex=3&amp;refID=7191510&amp;Result=3","7191510")</f>
        <v>0</v>
      </c>
      <c r="B6965" t="s">
        <v>696</v>
      </c>
      <c r="C6965" t="s">
        <v>10400</v>
      </c>
      <c r="D6965" t="s">
        <v>18993</v>
      </c>
      <c r="E6965" t="s">
        <v>25146</v>
      </c>
      <c r="F6965" t="s">
        <v>32606</v>
      </c>
      <c r="G6965" t="s">
        <v>32617</v>
      </c>
      <c r="H6965" t="s">
        <v>14201</v>
      </c>
      <c r="I6965" t="s">
        <v>4114</v>
      </c>
      <c r="J6965" t="s">
        <v>37204</v>
      </c>
      <c r="K6965" t="s">
        <v>42631</v>
      </c>
      <c r="M6965" t="s">
        <v>45418</v>
      </c>
      <c r="N6965" t="s">
        <v>47304</v>
      </c>
      <c r="O6965" t="s">
        <v>47305</v>
      </c>
      <c r="P6965">
        <v>0</v>
      </c>
      <c r="Q6965">
        <v>15</v>
      </c>
      <c r="R6965" t="s">
        <v>47311</v>
      </c>
      <c r="S6965" t="s">
        <v>47443</v>
      </c>
      <c r="T6965" t="s">
        <v>49084</v>
      </c>
      <c r="U6965" t="s">
        <v>50770</v>
      </c>
      <c r="V6965" t="s">
        <v>63320</v>
      </c>
      <c r="W6965" t="s">
        <v>45418</v>
      </c>
      <c r="X6965" t="s">
        <v>47312</v>
      </c>
    </row>
    <row r="6966" spans="1:24">
      <c r="A6966">
        <f>HYPERLINK("https://www.philgeps.gov.ph/GEPSNONPILOT/Tender/SplashBidNoticeAbstractUI.aspx?menuIndex=3&amp;refID=7191507&amp;Result=3","7191507")</f>
        <v>0</v>
      </c>
      <c r="B6966" t="s">
        <v>2311</v>
      </c>
      <c r="C6966" t="s">
        <v>10401</v>
      </c>
      <c r="D6966" t="s">
        <v>19005</v>
      </c>
      <c r="E6966" t="s">
        <v>25147</v>
      </c>
      <c r="F6966" t="s">
        <v>32606</v>
      </c>
      <c r="G6966" t="s">
        <v>32613</v>
      </c>
      <c r="H6966" t="s">
        <v>32623</v>
      </c>
      <c r="I6966" t="s">
        <v>17648</v>
      </c>
      <c r="J6966" t="s">
        <v>37205</v>
      </c>
      <c r="K6966" t="s">
        <v>42630</v>
      </c>
      <c r="M6966" t="s">
        <v>45419</v>
      </c>
      <c r="N6966" t="s">
        <v>47304</v>
      </c>
      <c r="O6966" t="s">
        <v>47305</v>
      </c>
      <c r="P6966">
        <v>0</v>
      </c>
      <c r="Q6966">
        <v>2</v>
      </c>
      <c r="R6966" t="s">
        <v>47311</v>
      </c>
      <c r="S6966" t="s">
        <v>47443</v>
      </c>
      <c r="T6966" t="s">
        <v>48980</v>
      </c>
      <c r="U6966" t="s">
        <v>50531</v>
      </c>
      <c r="W6966" t="s">
        <v>45419</v>
      </c>
      <c r="X6966" t="s">
        <v>47312</v>
      </c>
    </row>
    <row r="6967" spans="1:24">
      <c r="A6967">
        <f>HYPERLINK("https://www.philgeps.gov.ph/GEPSNONPILOT/Tender/SplashBidNoticeAbstractUI.aspx?menuIndex=3&amp;refID=7191505&amp;Result=3","7191505")</f>
        <v>0</v>
      </c>
      <c r="B6967" t="s">
        <v>652</v>
      </c>
      <c r="C6967" t="s">
        <v>10402</v>
      </c>
      <c r="D6967" t="s">
        <v>18993</v>
      </c>
      <c r="E6967" t="s">
        <v>25148</v>
      </c>
      <c r="F6967" t="s">
        <v>32606</v>
      </c>
      <c r="G6967" t="s">
        <v>32614</v>
      </c>
      <c r="H6967" t="s">
        <v>14201</v>
      </c>
      <c r="I6967" t="s">
        <v>32640</v>
      </c>
      <c r="J6967" t="s">
        <v>37206</v>
      </c>
      <c r="K6967" t="s">
        <v>42665</v>
      </c>
      <c r="M6967" t="s">
        <v>44900</v>
      </c>
      <c r="N6967" t="s">
        <v>47304</v>
      </c>
      <c r="O6967" t="s">
        <v>47305</v>
      </c>
      <c r="P6967">
        <v>0</v>
      </c>
      <c r="Q6967">
        <v>4</v>
      </c>
      <c r="R6967" t="s">
        <v>47311</v>
      </c>
      <c r="S6967" t="s">
        <v>47443</v>
      </c>
      <c r="T6967" t="s">
        <v>49221</v>
      </c>
      <c r="U6967" t="s">
        <v>55359</v>
      </c>
      <c r="V6967" t="s">
        <v>63321</v>
      </c>
      <c r="W6967" t="s">
        <v>44900</v>
      </c>
      <c r="X6967" t="s">
        <v>47312</v>
      </c>
    </row>
    <row r="6968" spans="1:24">
      <c r="A6968">
        <f>HYPERLINK("https://www.philgeps.gov.ph/GEPSNONPILOT/Tender/SplashBidNoticeAbstractUI.aspx?menuIndex=3&amp;refID=7191504&amp;Result=3","7191504")</f>
        <v>0</v>
      </c>
      <c r="B6968" t="s">
        <v>2312</v>
      </c>
      <c r="C6968" t="s">
        <v>10403</v>
      </c>
      <c r="E6968" t="s">
        <v>25149</v>
      </c>
      <c r="F6968" t="s">
        <v>32606</v>
      </c>
      <c r="G6968" t="s">
        <v>32613</v>
      </c>
      <c r="H6968" t="s">
        <v>32623</v>
      </c>
      <c r="I6968" t="s">
        <v>17648</v>
      </c>
      <c r="J6968" t="s">
        <v>37207</v>
      </c>
      <c r="K6968" t="s">
        <v>42624</v>
      </c>
      <c r="M6968" t="s">
        <v>45420</v>
      </c>
      <c r="N6968" t="s">
        <v>47304</v>
      </c>
      <c r="O6968" t="s">
        <v>47305</v>
      </c>
      <c r="Q6968">
        <v>0</v>
      </c>
      <c r="R6968" t="s">
        <v>47311</v>
      </c>
      <c r="S6968" t="s">
        <v>47478</v>
      </c>
      <c r="T6968" t="s">
        <v>48980</v>
      </c>
      <c r="U6968" t="s">
        <v>55360</v>
      </c>
      <c r="V6968" t="s">
        <v>63322</v>
      </c>
      <c r="W6968" t="s">
        <v>64497</v>
      </c>
      <c r="X6968" t="s">
        <v>47312</v>
      </c>
    </row>
    <row r="6969" spans="1:24">
      <c r="A6969">
        <f>HYPERLINK("https://www.philgeps.gov.ph/GEPSNONPILOT/Tender/SplashBidNoticeAbstractUI.aspx?menuIndex=3&amp;refID=7191500&amp;Result=3","7191500")</f>
        <v>0</v>
      </c>
      <c r="B6969" t="s">
        <v>2307</v>
      </c>
      <c r="C6969" t="s">
        <v>10404</v>
      </c>
      <c r="D6969" t="s">
        <v>19009</v>
      </c>
      <c r="E6969" t="s">
        <v>19318</v>
      </c>
      <c r="F6969" t="s">
        <v>32606</v>
      </c>
      <c r="G6969" t="s">
        <v>32613</v>
      </c>
      <c r="H6969" t="s">
        <v>32623</v>
      </c>
      <c r="I6969" t="s">
        <v>17648</v>
      </c>
      <c r="J6969" t="s">
        <v>33382</v>
      </c>
      <c r="K6969" t="s">
        <v>42651</v>
      </c>
      <c r="M6969" t="s">
        <v>45413</v>
      </c>
      <c r="N6969" t="s">
        <v>47304</v>
      </c>
      <c r="O6969" t="s">
        <v>47305</v>
      </c>
      <c r="P6969">
        <v>0</v>
      </c>
      <c r="Q6969">
        <v>0</v>
      </c>
      <c r="R6969" t="s">
        <v>47311</v>
      </c>
      <c r="S6969" t="s">
        <v>47443</v>
      </c>
      <c r="T6969" t="s">
        <v>49008</v>
      </c>
      <c r="U6969" t="s">
        <v>55350</v>
      </c>
      <c r="W6969" t="s">
        <v>45413</v>
      </c>
      <c r="X6969" t="s">
        <v>47312</v>
      </c>
    </row>
    <row r="6970" spans="1:24">
      <c r="A6970">
        <f>HYPERLINK("https://www.philgeps.gov.ph/GEPSNONPILOT/Tender/SplashBidNoticeAbstractUI.aspx?menuIndex=3&amp;refID=7191496&amp;Result=3","7191496")</f>
        <v>0</v>
      </c>
      <c r="B6970" t="s">
        <v>2313</v>
      </c>
      <c r="C6970" t="s">
        <v>10405</v>
      </c>
      <c r="D6970" t="s">
        <v>19008</v>
      </c>
      <c r="E6970" t="s">
        <v>19690</v>
      </c>
      <c r="F6970" t="s">
        <v>32606</v>
      </c>
      <c r="G6970" t="s">
        <v>32614</v>
      </c>
      <c r="H6970" t="s">
        <v>14201</v>
      </c>
      <c r="I6970" t="s">
        <v>4369</v>
      </c>
      <c r="J6970" t="s">
        <v>33299</v>
      </c>
      <c r="K6970" t="s">
        <v>42622</v>
      </c>
      <c r="L6970" t="s">
        <v>2313</v>
      </c>
      <c r="M6970" t="s">
        <v>45421</v>
      </c>
      <c r="N6970" t="s">
        <v>47304</v>
      </c>
      <c r="O6970" t="s">
        <v>47305</v>
      </c>
      <c r="P6970">
        <v>0</v>
      </c>
      <c r="Q6970">
        <v>1</v>
      </c>
      <c r="R6970" t="s">
        <v>47311</v>
      </c>
      <c r="S6970" t="s">
        <v>47443</v>
      </c>
      <c r="T6970" t="s">
        <v>49100</v>
      </c>
      <c r="U6970" t="s">
        <v>55361</v>
      </c>
      <c r="W6970" t="s">
        <v>45421</v>
      </c>
      <c r="X6970" t="s">
        <v>47312</v>
      </c>
    </row>
    <row r="6971" spans="1:24">
      <c r="A6971">
        <f>HYPERLINK("https://www.philgeps.gov.ph/GEPSNONPILOT/Tender/SplashBidNoticeAbstractUI.aspx?menuIndex=3&amp;refID=7191493&amp;Result=3","7191493")</f>
        <v>0</v>
      </c>
      <c r="B6971" t="s">
        <v>2314</v>
      </c>
      <c r="C6971" t="s">
        <v>10406</v>
      </c>
      <c r="D6971" t="s">
        <v>19041</v>
      </c>
      <c r="E6971" t="s">
        <v>25150</v>
      </c>
      <c r="F6971" t="s">
        <v>32606</v>
      </c>
      <c r="G6971" t="s">
        <v>32613</v>
      </c>
      <c r="H6971" t="s">
        <v>32623</v>
      </c>
      <c r="I6971" t="s">
        <v>17648</v>
      </c>
      <c r="J6971" t="s">
        <v>37208</v>
      </c>
      <c r="K6971" t="s">
        <v>42627</v>
      </c>
      <c r="M6971" t="s">
        <v>45422</v>
      </c>
      <c r="N6971" t="s">
        <v>47304</v>
      </c>
      <c r="O6971" t="s">
        <v>47305</v>
      </c>
      <c r="P6971">
        <v>0</v>
      </c>
      <c r="Q6971">
        <v>1</v>
      </c>
      <c r="R6971" t="s">
        <v>47311</v>
      </c>
      <c r="S6971" t="s">
        <v>47443</v>
      </c>
      <c r="T6971" t="s">
        <v>48997</v>
      </c>
      <c r="U6971" t="s">
        <v>55362</v>
      </c>
      <c r="W6971" t="s">
        <v>64498</v>
      </c>
      <c r="X6971" t="s">
        <v>47312</v>
      </c>
    </row>
    <row r="6972" spans="1:24">
      <c r="A6972">
        <f>HYPERLINK("https://www.philgeps.gov.ph/GEPSNONPILOT/Tender/SplashBidNoticeAbstractUI.aspx?menuIndex=3&amp;refID=7191490&amp;Result=3","7191490")</f>
        <v>0</v>
      </c>
      <c r="B6972" t="s">
        <v>696</v>
      </c>
      <c r="C6972" t="s">
        <v>10407</v>
      </c>
      <c r="D6972" t="s">
        <v>18993</v>
      </c>
      <c r="E6972" t="s">
        <v>25151</v>
      </c>
      <c r="F6972" t="s">
        <v>32606</v>
      </c>
      <c r="G6972" t="s">
        <v>32617</v>
      </c>
      <c r="H6972" t="s">
        <v>14201</v>
      </c>
      <c r="I6972" t="s">
        <v>6298</v>
      </c>
      <c r="J6972" t="s">
        <v>32869</v>
      </c>
      <c r="K6972" t="s">
        <v>42631</v>
      </c>
      <c r="M6972" t="s">
        <v>45418</v>
      </c>
      <c r="N6972" t="s">
        <v>47304</v>
      </c>
      <c r="O6972" t="s">
        <v>47305</v>
      </c>
      <c r="P6972">
        <v>0</v>
      </c>
      <c r="Q6972">
        <v>3</v>
      </c>
      <c r="R6972" t="s">
        <v>47311</v>
      </c>
      <c r="S6972" t="s">
        <v>47443</v>
      </c>
      <c r="T6972" t="s">
        <v>49084</v>
      </c>
      <c r="U6972" t="s">
        <v>50770</v>
      </c>
      <c r="V6972" t="s">
        <v>63320</v>
      </c>
      <c r="W6972" t="s">
        <v>45418</v>
      </c>
      <c r="X6972" t="s">
        <v>47312</v>
      </c>
    </row>
    <row r="6973" spans="1:24">
      <c r="A6973">
        <f>HYPERLINK("https://www.philgeps.gov.ph/GEPSNONPILOT/Tender/SplashBidNoticeAbstractUI.aspx?menuIndex=3&amp;refID=7191489&amp;Result=3","7191489")</f>
        <v>0</v>
      </c>
      <c r="B6973" t="s">
        <v>2315</v>
      </c>
      <c r="C6973" t="s">
        <v>10408</v>
      </c>
      <c r="D6973" t="s">
        <v>19004</v>
      </c>
      <c r="E6973" t="s">
        <v>25152</v>
      </c>
      <c r="F6973" t="s">
        <v>32606</v>
      </c>
      <c r="G6973" t="s">
        <v>32613</v>
      </c>
      <c r="H6973" t="s">
        <v>32623</v>
      </c>
      <c r="I6973" t="s">
        <v>17648</v>
      </c>
      <c r="J6973" t="s">
        <v>32981</v>
      </c>
      <c r="K6973" t="s">
        <v>42745</v>
      </c>
      <c r="M6973" t="s">
        <v>45423</v>
      </c>
      <c r="N6973" t="s">
        <v>47304</v>
      </c>
      <c r="O6973" t="s">
        <v>47305</v>
      </c>
      <c r="P6973">
        <v>0</v>
      </c>
      <c r="Q6973">
        <v>0</v>
      </c>
      <c r="R6973" t="s">
        <v>47311</v>
      </c>
      <c r="S6973" t="s">
        <v>47443</v>
      </c>
      <c r="T6973" t="s">
        <v>49004</v>
      </c>
      <c r="U6973" t="s">
        <v>55363</v>
      </c>
      <c r="W6973" t="s">
        <v>45423</v>
      </c>
      <c r="X6973" t="s">
        <v>47312</v>
      </c>
    </row>
    <row r="6974" spans="1:24">
      <c r="A6974">
        <f>HYPERLINK("https://www.philgeps.gov.ph/GEPSNONPILOT/Tender/SplashBidNoticeAbstractUI.aspx?menuIndex=3&amp;refID=7191494&amp;Result=3","7191494")</f>
        <v>0</v>
      </c>
      <c r="B6974" t="s">
        <v>262</v>
      </c>
      <c r="C6974" t="s">
        <v>10409</v>
      </c>
      <c r="D6974" t="s">
        <v>19038</v>
      </c>
      <c r="E6974" t="s">
        <v>25153</v>
      </c>
      <c r="F6974" t="s">
        <v>32606</v>
      </c>
      <c r="G6974" t="s">
        <v>32613</v>
      </c>
      <c r="H6974" t="s">
        <v>14201</v>
      </c>
      <c r="I6974" t="s">
        <v>4678</v>
      </c>
      <c r="J6974" t="s">
        <v>33533</v>
      </c>
      <c r="K6974" t="s">
        <v>42638</v>
      </c>
      <c r="M6974" t="s">
        <v>43163</v>
      </c>
      <c r="N6974" t="s">
        <v>47304</v>
      </c>
      <c r="O6974" t="s">
        <v>47305</v>
      </c>
      <c r="P6974">
        <v>0</v>
      </c>
      <c r="Q6974">
        <v>2</v>
      </c>
      <c r="R6974" t="s">
        <v>47311</v>
      </c>
      <c r="S6974" t="s">
        <v>47443</v>
      </c>
      <c r="T6974" t="s">
        <v>49075</v>
      </c>
      <c r="U6974" t="s">
        <v>55364</v>
      </c>
      <c r="W6974" t="s">
        <v>43163</v>
      </c>
      <c r="X6974" t="s">
        <v>47312</v>
      </c>
    </row>
    <row r="6975" spans="1:24">
      <c r="A6975">
        <f>HYPERLINK("https://www.philgeps.gov.ph/GEPSNONPILOT/Tender/SplashBidNoticeAbstractUI.aspx?menuIndex=3&amp;refID=7191294&amp;Result=3","7191294")</f>
        <v>0</v>
      </c>
      <c r="B6975" t="s">
        <v>2197</v>
      </c>
      <c r="C6975" t="s">
        <v>10300</v>
      </c>
      <c r="D6975" t="s">
        <v>19035</v>
      </c>
      <c r="E6975" t="s">
        <v>25154</v>
      </c>
      <c r="F6975" t="s">
        <v>32606</v>
      </c>
      <c r="G6975" t="s">
        <v>32617</v>
      </c>
      <c r="H6975" t="s">
        <v>14201</v>
      </c>
      <c r="I6975" t="s">
        <v>4114</v>
      </c>
      <c r="J6975" t="s">
        <v>33034</v>
      </c>
      <c r="K6975" t="s">
        <v>42622</v>
      </c>
      <c r="M6975" t="s">
        <v>45297</v>
      </c>
      <c r="N6975" t="s">
        <v>47304</v>
      </c>
      <c r="O6975" t="s">
        <v>47305</v>
      </c>
      <c r="P6975">
        <v>0</v>
      </c>
      <c r="Q6975">
        <v>4</v>
      </c>
      <c r="R6975" t="s">
        <v>47311</v>
      </c>
      <c r="S6975" t="s">
        <v>47443</v>
      </c>
      <c r="T6975" t="s">
        <v>48997</v>
      </c>
      <c r="U6975" t="s">
        <v>55043</v>
      </c>
      <c r="W6975" t="s">
        <v>45297</v>
      </c>
      <c r="X6975" t="s">
        <v>47312</v>
      </c>
    </row>
    <row r="6976" spans="1:24">
      <c r="A6976">
        <f>HYPERLINK("https://www.philgeps.gov.ph/GEPSNONPILOT/Tender/SplashBidNoticeAbstractUI.aspx?menuIndex=3&amp;refID=7191438&amp;Result=3","7191438")</f>
        <v>0</v>
      </c>
      <c r="B6976" t="s">
        <v>2219</v>
      </c>
      <c r="C6976" t="s">
        <v>10410</v>
      </c>
      <c r="D6976" t="s">
        <v>19024</v>
      </c>
      <c r="E6976" t="s">
        <v>25155</v>
      </c>
      <c r="F6976" t="s">
        <v>32606</v>
      </c>
      <c r="G6976" t="s">
        <v>32619</v>
      </c>
      <c r="H6976" t="s">
        <v>14201</v>
      </c>
      <c r="I6976" t="s">
        <v>6309</v>
      </c>
      <c r="J6976" t="s">
        <v>32765</v>
      </c>
      <c r="K6976" t="s">
        <v>42622</v>
      </c>
      <c r="M6976" t="s">
        <v>45323</v>
      </c>
      <c r="N6976" t="s">
        <v>47304</v>
      </c>
      <c r="O6976" t="s">
        <v>47305</v>
      </c>
      <c r="P6976">
        <v>0</v>
      </c>
      <c r="Q6976">
        <v>4</v>
      </c>
      <c r="R6976" t="s">
        <v>47311</v>
      </c>
      <c r="S6976" t="s">
        <v>47443</v>
      </c>
      <c r="T6976" t="s">
        <v>49315</v>
      </c>
      <c r="U6976" t="s">
        <v>55365</v>
      </c>
      <c r="V6976" t="s">
        <v>63323</v>
      </c>
      <c r="W6976" t="s">
        <v>45323</v>
      </c>
      <c r="X6976" t="s">
        <v>47312</v>
      </c>
    </row>
    <row r="6977" spans="1:24">
      <c r="A6977">
        <f>HYPERLINK("https://www.philgeps.gov.ph/GEPSNONPILOT/Tender/SplashBidNoticeAbstractUI.aspx?menuIndex=3&amp;refID=7191565&amp;Result=3","7191565")</f>
        <v>0</v>
      </c>
      <c r="B6977" t="s">
        <v>2316</v>
      </c>
      <c r="C6977" t="s">
        <v>10411</v>
      </c>
      <c r="D6977" t="s">
        <v>19016</v>
      </c>
      <c r="E6977" t="s">
        <v>24820</v>
      </c>
      <c r="F6977" t="s">
        <v>32606</v>
      </c>
      <c r="G6977" t="s">
        <v>32613</v>
      </c>
      <c r="H6977" t="s">
        <v>14201</v>
      </c>
      <c r="I6977" t="s">
        <v>6931</v>
      </c>
      <c r="J6977" t="s">
        <v>37209</v>
      </c>
      <c r="K6977" t="s">
        <v>42630</v>
      </c>
      <c r="M6977" t="s">
        <v>45424</v>
      </c>
      <c r="N6977" t="s">
        <v>47304</v>
      </c>
      <c r="O6977" t="s">
        <v>47305</v>
      </c>
      <c r="P6977">
        <v>0</v>
      </c>
      <c r="Q6977">
        <v>5</v>
      </c>
      <c r="R6977" t="s">
        <v>47311</v>
      </c>
      <c r="S6977" t="s">
        <v>47443</v>
      </c>
      <c r="T6977" t="s">
        <v>49042</v>
      </c>
      <c r="U6977" t="s">
        <v>55366</v>
      </c>
      <c r="V6977" t="s">
        <v>63324</v>
      </c>
      <c r="W6977" t="s">
        <v>45424</v>
      </c>
      <c r="X6977" t="s">
        <v>47312</v>
      </c>
    </row>
    <row r="6978" spans="1:24">
      <c r="A6978">
        <f>HYPERLINK("https://www.philgeps.gov.ph/GEPSNONPILOT/Tender/SplashBidNoticeAbstractUI.aspx?menuIndex=3&amp;refID=7191422&amp;Result=3","7191422")</f>
        <v>0</v>
      </c>
      <c r="B6978" t="s">
        <v>723</v>
      </c>
      <c r="C6978" t="s">
        <v>10412</v>
      </c>
      <c r="D6978" t="s">
        <v>18994</v>
      </c>
      <c r="E6978" t="s">
        <v>25156</v>
      </c>
      <c r="F6978" t="s">
        <v>32606</v>
      </c>
      <c r="G6978" t="s">
        <v>32614</v>
      </c>
      <c r="H6978" t="s">
        <v>14201</v>
      </c>
      <c r="I6978" t="s">
        <v>6007</v>
      </c>
      <c r="J6978" t="s">
        <v>35184</v>
      </c>
      <c r="K6978" t="s">
        <v>42630</v>
      </c>
      <c r="M6978" t="s">
        <v>43644</v>
      </c>
      <c r="N6978" t="s">
        <v>47304</v>
      </c>
      <c r="O6978" t="s">
        <v>47305</v>
      </c>
      <c r="P6978">
        <v>0</v>
      </c>
      <c r="Q6978">
        <v>2</v>
      </c>
      <c r="R6978" t="s">
        <v>47311</v>
      </c>
      <c r="S6978" t="s">
        <v>47443</v>
      </c>
      <c r="T6978" t="s">
        <v>49331</v>
      </c>
      <c r="U6978" t="s">
        <v>50845</v>
      </c>
      <c r="W6978" t="s">
        <v>43644</v>
      </c>
      <c r="X6978" t="s">
        <v>47312</v>
      </c>
    </row>
    <row r="6979" spans="1:24">
      <c r="A6979">
        <f>HYPERLINK("https://www.philgeps.gov.ph/GEPSNONPILOT/Tender/SplashBidNoticeAbstractUI.aspx?menuIndex=3&amp;refID=7191512&amp;Result=3","7191512")</f>
        <v>0</v>
      </c>
      <c r="B6979" t="s">
        <v>2314</v>
      </c>
      <c r="C6979" t="s">
        <v>10413</v>
      </c>
      <c r="D6979" t="s">
        <v>19041</v>
      </c>
      <c r="E6979" t="s">
        <v>25157</v>
      </c>
      <c r="F6979" t="s">
        <v>32606</v>
      </c>
      <c r="G6979" t="s">
        <v>32613</v>
      </c>
      <c r="H6979" t="s">
        <v>14201</v>
      </c>
      <c r="I6979" t="s">
        <v>32634</v>
      </c>
      <c r="J6979" t="s">
        <v>34667</v>
      </c>
      <c r="K6979" t="s">
        <v>42623</v>
      </c>
      <c r="M6979" t="s">
        <v>45422</v>
      </c>
      <c r="N6979" t="s">
        <v>47304</v>
      </c>
      <c r="O6979" t="s">
        <v>47305</v>
      </c>
      <c r="P6979">
        <v>0</v>
      </c>
      <c r="Q6979">
        <v>4</v>
      </c>
      <c r="R6979" t="s">
        <v>47311</v>
      </c>
      <c r="S6979" t="s">
        <v>47443</v>
      </c>
      <c r="T6979" t="s">
        <v>48997</v>
      </c>
      <c r="U6979" t="s">
        <v>55367</v>
      </c>
      <c r="W6979" t="s">
        <v>64498</v>
      </c>
      <c r="X6979" t="s">
        <v>47312</v>
      </c>
    </row>
    <row r="6980" spans="1:24">
      <c r="A6980">
        <f>HYPERLINK("https://www.philgeps.gov.ph/GEPSNONPILOT/Tender/SplashBidNoticeAbstractUI.aspx?menuIndex=3&amp;refID=7191560&amp;Result=3","7191560")</f>
        <v>0</v>
      </c>
      <c r="B6980" t="s">
        <v>609</v>
      </c>
      <c r="C6980" t="s">
        <v>10414</v>
      </c>
      <c r="D6980" t="s">
        <v>19024</v>
      </c>
      <c r="E6980" t="s">
        <v>25158</v>
      </c>
      <c r="F6980" t="s">
        <v>32606</v>
      </c>
      <c r="G6980" t="s">
        <v>32614</v>
      </c>
      <c r="H6980" t="s">
        <v>14201</v>
      </c>
      <c r="I6980" t="s">
        <v>32655</v>
      </c>
      <c r="J6980" t="s">
        <v>34106</v>
      </c>
      <c r="K6980" t="s">
        <v>42624</v>
      </c>
      <c r="M6980" t="s">
        <v>43526</v>
      </c>
      <c r="N6980" t="s">
        <v>47304</v>
      </c>
      <c r="O6980" t="s">
        <v>47305</v>
      </c>
      <c r="P6980">
        <v>0</v>
      </c>
      <c r="Q6980">
        <v>5</v>
      </c>
      <c r="R6980" t="s">
        <v>47311</v>
      </c>
      <c r="S6980" t="s">
        <v>47443</v>
      </c>
      <c r="T6980" t="s">
        <v>49165</v>
      </c>
      <c r="U6980" t="s">
        <v>55368</v>
      </c>
      <c r="W6980" t="s">
        <v>43526</v>
      </c>
      <c r="X6980" t="s">
        <v>47312</v>
      </c>
    </row>
    <row r="6981" spans="1:24">
      <c r="A6981">
        <f>HYPERLINK("https://www.philgeps.gov.ph/GEPSNONPILOT/Tender/SplashBidNoticeAbstractUI.aspx?menuIndex=3&amp;refID=7191557&amp;Result=3","7191557")</f>
        <v>0</v>
      </c>
      <c r="B6981" t="s">
        <v>2309</v>
      </c>
      <c r="C6981" t="s">
        <v>9326</v>
      </c>
      <c r="D6981" t="s">
        <v>19042</v>
      </c>
      <c r="E6981" t="s">
        <v>25159</v>
      </c>
      <c r="F6981" t="s">
        <v>32606</v>
      </c>
      <c r="G6981" t="s">
        <v>32613</v>
      </c>
      <c r="H6981" t="s">
        <v>14201</v>
      </c>
      <c r="I6981" t="s">
        <v>6931</v>
      </c>
      <c r="J6981" t="s">
        <v>37210</v>
      </c>
      <c r="K6981" t="s">
        <v>42623</v>
      </c>
      <c r="M6981" t="s">
        <v>45415</v>
      </c>
      <c r="N6981" t="s">
        <v>47304</v>
      </c>
      <c r="O6981" t="s">
        <v>47305</v>
      </c>
      <c r="P6981">
        <v>0</v>
      </c>
      <c r="Q6981">
        <v>0</v>
      </c>
      <c r="R6981" t="s">
        <v>47311</v>
      </c>
      <c r="S6981" t="s">
        <v>47443</v>
      </c>
      <c r="T6981" t="s">
        <v>49084</v>
      </c>
      <c r="U6981" t="s">
        <v>55369</v>
      </c>
      <c r="W6981" t="s">
        <v>45415</v>
      </c>
      <c r="X6981" t="s">
        <v>47312</v>
      </c>
    </row>
    <row r="6982" spans="1:24">
      <c r="A6982">
        <f>HYPERLINK("https://www.philgeps.gov.ph/GEPSNONPILOT/Tender/SplashBidNoticeAbstractUI.aspx?menuIndex=3&amp;refID=7191548&amp;Result=3","7191548")</f>
        <v>0</v>
      </c>
      <c r="B6982" t="s">
        <v>1809</v>
      </c>
      <c r="C6982" t="s">
        <v>10415</v>
      </c>
      <c r="D6982" t="s">
        <v>19002</v>
      </c>
      <c r="E6982" t="s">
        <v>25160</v>
      </c>
      <c r="F6982" t="s">
        <v>32606</v>
      </c>
      <c r="G6982" t="s">
        <v>32613</v>
      </c>
      <c r="H6982" t="s">
        <v>14201</v>
      </c>
      <c r="I6982" t="s">
        <v>32629</v>
      </c>
      <c r="J6982" t="s">
        <v>32789</v>
      </c>
      <c r="K6982" t="s">
        <v>42630</v>
      </c>
      <c r="M6982" t="s">
        <v>44850</v>
      </c>
      <c r="N6982" t="s">
        <v>47304</v>
      </c>
      <c r="O6982" t="s">
        <v>47305</v>
      </c>
      <c r="P6982">
        <v>0</v>
      </c>
      <c r="Q6982">
        <v>0</v>
      </c>
      <c r="R6982" t="s">
        <v>47311</v>
      </c>
      <c r="S6982" t="s">
        <v>47443</v>
      </c>
      <c r="T6982" t="s">
        <v>49004</v>
      </c>
      <c r="U6982" t="s">
        <v>55370</v>
      </c>
      <c r="V6982" t="s">
        <v>63325</v>
      </c>
      <c r="W6982" t="s">
        <v>44850</v>
      </c>
      <c r="X6982" t="s">
        <v>47312</v>
      </c>
    </row>
    <row r="6983" spans="1:24">
      <c r="A6983">
        <f>HYPERLINK("https://www.philgeps.gov.ph/GEPSNONPILOT/Tender/SplashBidNoticeAbstractUI.aspx?menuIndex=3&amp;refID=7191518&amp;Result=3","7191518")</f>
        <v>0</v>
      </c>
      <c r="B6983" t="s">
        <v>2317</v>
      </c>
      <c r="C6983" t="s">
        <v>10416</v>
      </c>
      <c r="D6983" t="s">
        <v>19043</v>
      </c>
      <c r="E6983" t="s">
        <v>25161</v>
      </c>
      <c r="F6983" t="s">
        <v>32606</v>
      </c>
      <c r="G6983" t="s">
        <v>32613</v>
      </c>
      <c r="H6983" t="s">
        <v>14201</v>
      </c>
      <c r="I6983" t="s">
        <v>32652</v>
      </c>
      <c r="J6983" t="s">
        <v>37211</v>
      </c>
      <c r="K6983" t="s">
        <v>42624</v>
      </c>
      <c r="M6983" t="s">
        <v>45425</v>
      </c>
      <c r="N6983" t="s">
        <v>47304</v>
      </c>
      <c r="O6983" t="s">
        <v>47305</v>
      </c>
      <c r="P6983">
        <v>0</v>
      </c>
      <c r="Q6983">
        <v>0</v>
      </c>
      <c r="R6983" t="s">
        <v>47311</v>
      </c>
      <c r="S6983" t="s">
        <v>47443</v>
      </c>
      <c r="T6983" t="s">
        <v>49081</v>
      </c>
      <c r="U6983" t="s">
        <v>55371</v>
      </c>
      <c r="W6983" t="s">
        <v>45425</v>
      </c>
      <c r="X6983" t="s">
        <v>47312</v>
      </c>
    </row>
    <row r="6984" spans="1:24">
      <c r="A6984">
        <f>HYPERLINK("https://www.philgeps.gov.ph/GEPSNONPILOT/Tender/SplashBidNoticeAbstractUI.aspx?menuIndex=3&amp;refID=7191546&amp;Result=3","7191546")</f>
        <v>0</v>
      </c>
      <c r="B6984" t="s">
        <v>2290</v>
      </c>
      <c r="C6984" t="s">
        <v>10417</v>
      </c>
      <c r="D6984" t="s">
        <v>19018</v>
      </c>
      <c r="E6984" t="s">
        <v>25162</v>
      </c>
      <c r="F6984" t="s">
        <v>32606</v>
      </c>
      <c r="G6984" t="s">
        <v>32613</v>
      </c>
      <c r="H6984" t="s">
        <v>14201</v>
      </c>
      <c r="I6984" t="s">
        <v>32650</v>
      </c>
      <c r="J6984" t="s">
        <v>37212</v>
      </c>
      <c r="K6984" t="s">
        <v>42623</v>
      </c>
      <c r="M6984" t="s">
        <v>45395</v>
      </c>
      <c r="N6984" t="s">
        <v>47304</v>
      </c>
      <c r="O6984" t="s">
        <v>47305</v>
      </c>
      <c r="P6984">
        <v>0</v>
      </c>
      <c r="Q6984">
        <v>1</v>
      </c>
      <c r="R6984" t="s">
        <v>47311</v>
      </c>
      <c r="S6984" t="s">
        <v>47443</v>
      </c>
      <c r="T6984" t="s">
        <v>49360</v>
      </c>
      <c r="U6984" t="s">
        <v>55372</v>
      </c>
      <c r="W6984" t="s">
        <v>45395</v>
      </c>
      <c r="X6984" t="s">
        <v>47312</v>
      </c>
    </row>
    <row r="6985" spans="1:24">
      <c r="A6985">
        <f>HYPERLINK("https://www.philgeps.gov.ph/GEPSNONPILOT/Tender/SplashBidNoticeAbstractUI.aspx?menuIndex=3&amp;refID=7191544&amp;Result=3","7191544")</f>
        <v>0</v>
      </c>
      <c r="B6985" t="s">
        <v>1858</v>
      </c>
      <c r="C6985" t="s">
        <v>10418</v>
      </c>
      <c r="D6985" t="s">
        <v>19019</v>
      </c>
      <c r="E6985" t="s">
        <v>25163</v>
      </c>
      <c r="F6985" t="s">
        <v>32606</v>
      </c>
      <c r="G6985" t="s">
        <v>32619</v>
      </c>
      <c r="H6985" t="s">
        <v>14201</v>
      </c>
      <c r="I6985" t="s">
        <v>32626</v>
      </c>
      <c r="J6985" t="s">
        <v>37213</v>
      </c>
      <c r="K6985" t="s">
        <v>42638</v>
      </c>
      <c r="M6985" t="s">
        <v>44915</v>
      </c>
      <c r="N6985" t="s">
        <v>47304</v>
      </c>
      <c r="O6985" t="s">
        <v>47305</v>
      </c>
      <c r="P6985">
        <v>0</v>
      </c>
      <c r="Q6985">
        <v>8</v>
      </c>
      <c r="R6985" t="s">
        <v>47311</v>
      </c>
      <c r="S6985" t="s">
        <v>47443</v>
      </c>
      <c r="T6985" t="s">
        <v>49068</v>
      </c>
      <c r="U6985" t="s">
        <v>55373</v>
      </c>
      <c r="W6985" t="s">
        <v>44915</v>
      </c>
      <c r="X6985" t="s">
        <v>47312</v>
      </c>
    </row>
    <row r="6986" spans="1:24">
      <c r="A6986">
        <f>HYPERLINK("https://www.philgeps.gov.ph/GEPSNONPILOT/Tender/SplashBidNoticeAbstractUI.aspx?menuIndex=3&amp;refID=7191567&amp;Result=3","7191567")</f>
        <v>0</v>
      </c>
      <c r="B6986" t="s">
        <v>2318</v>
      </c>
      <c r="C6986" t="s">
        <v>10419</v>
      </c>
      <c r="D6986" t="s">
        <v>19005</v>
      </c>
      <c r="E6986" t="s">
        <v>25164</v>
      </c>
      <c r="F6986" t="s">
        <v>32606</v>
      </c>
      <c r="G6986" t="s">
        <v>32614</v>
      </c>
      <c r="H6986" t="s">
        <v>14201</v>
      </c>
      <c r="I6986" t="s">
        <v>32649</v>
      </c>
      <c r="J6986" t="s">
        <v>37214</v>
      </c>
      <c r="K6986" t="s">
        <v>42630</v>
      </c>
      <c r="M6986" t="s">
        <v>45426</v>
      </c>
      <c r="N6986" t="s">
        <v>47304</v>
      </c>
      <c r="O6986" t="s">
        <v>47305</v>
      </c>
      <c r="P6986">
        <v>0</v>
      </c>
      <c r="Q6986">
        <v>1</v>
      </c>
      <c r="R6986" t="s">
        <v>47311</v>
      </c>
      <c r="S6986" t="s">
        <v>47443</v>
      </c>
      <c r="T6986" t="s">
        <v>49050</v>
      </c>
      <c r="U6986" t="s">
        <v>55374</v>
      </c>
      <c r="W6986" t="s">
        <v>45426</v>
      </c>
      <c r="X6986" t="s">
        <v>47312</v>
      </c>
    </row>
    <row r="6987" spans="1:24">
      <c r="A6987">
        <f>HYPERLINK("https://www.philgeps.gov.ph/GEPSNONPILOT/Tender/SplashBidNoticeAbstractUI.aspx?menuIndex=3&amp;refID=7191559&amp;Result=3","7191559")</f>
        <v>0</v>
      </c>
      <c r="B6987" t="s">
        <v>689</v>
      </c>
      <c r="C6987" t="s">
        <v>10420</v>
      </c>
      <c r="D6987" t="s">
        <v>19004</v>
      </c>
      <c r="E6987" t="s">
        <v>25165</v>
      </c>
      <c r="F6987" t="s">
        <v>32606</v>
      </c>
      <c r="G6987" t="s">
        <v>32619</v>
      </c>
      <c r="H6987" t="s">
        <v>14201</v>
      </c>
      <c r="I6987" t="s">
        <v>4120</v>
      </c>
      <c r="J6987" t="s">
        <v>37215</v>
      </c>
      <c r="K6987" t="s">
        <v>42624</v>
      </c>
      <c r="M6987" t="s">
        <v>43610</v>
      </c>
      <c r="N6987" t="s">
        <v>47304</v>
      </c>
      <c r="O6987" t="s">
        <v>47305</v>
      </c>
      <c r="P6987">
        <v>0</v>
      </c>
      <c r="Q6987">
        <v>0</v>
      </c>
      <c r="R6987" t="s">
        <v>47311</v>
      </c>
      <c r="S6987" t="s">
        <v>47443</v>
      </c>
      <c r="T6987" t="s">
        <v>49263</v>
      </c>
      <c r="U6987" t="s">
        <v>55375</v>
      </c>
      <c r="W6987" t="s">
        <v>43610</v>
      </c>
      <c r="X6987" t="s">
        <v>47312</v>
      </c>
    </row>
    <row r="6988" spans="1:24">
      <c r="A6988">
        <f>HYPERLINK("https://www.philgeps.gov.ph/GEPSNONPILOT/Tender/SplashBidNoticeAbstractUI.aspx?menuIndex=3&amp;refID=7191533&amp;Result=3","7191533")</f>
        <v>0</v>
      </c>
      <c r="B6988" t="s">
        <v>487</v>
      </c>
      <c r="C6988" t="s">
        <v>10421</v>
      </c>
      <c r="D6988" t="s">
        <v>19027</v>
      </c>
      <c r="E6988" t="s">
        <v>25166</v>
      </c>
      <c r="F6988" t="s">
        <v>32606</v>
      </c>
      <c r="G6988" t="s">
        <v>32615</v>
      </c>
      <c r="H6988" t="s">
        <v>14201</v>
      </c>
      <c r="I6988" t="s">
        <v>32633</v>
      </c>
      <c r="J6988" t="s">
        <v>37216</v>
      </c>
      <c r="K6988" t="s">
        <v>42623</v>
      </c>
      <c r="M6988" t="s">
        <v>43399</v>
      </c>
      <c r="N6988" t="s">
        <v>47304</v>
      </c>
      <c r="O6988" t="s">
        <v>47305</v>
      </c>
      <c r="P6988">
        <v>0</v>
      </c>
      <c r="Q6988">
        <v>4</v>
      </c>
      <c r="R6988" t="s">
        <v>47311</v>
      </c>
      <c r="S6988" t="s">
        <v>47443</v>
      </c>
      <c r="T6988" t="s">
        <v>49068</v>
      </c>
      <c r="U6988" t="s">
        <v>55376</v>
      </c>
      <c r="V6988" t="s">
        <v>62759</v>
      </c>
      <c r="W6988" t="s">
        <v>43399</v>
      </c>
      <c r="X6988" t="s">
        <v>47312</v>
      </c>
    </row>
    <row r="6989" spans="1:24">
      <c r="A6989">
        <f>HYPERLINK("https://www.philgeps.gov.ph/GEPSNONPILOT/Tender/SplashBidNoticeAbstractUI.aspx?menuIndex=3&amp;refID=7191528&amp;Result=3","7191528")</f>
        <v>0</v>
      </c>
      <c r="B6989" t="s">
        <v>696</v>
      </c>
      <c r="C6989" t="s">
        <v>10422</v>
      </c>
      <c r="D6989" t="s">
        <v>18993</v>
      </c>
      <c r="E6989" t="s">
        <v>25167</v>
      </c>
      <c r="F6989" t="s">
        <v>32606</v>
      </c>
      <c r="G6989" t="s">
        <v>32617</v>
      </c>
      <c r="H6989" t="s">
        <v>14201</v>
      </c>
      <c r="I6989" t="s">
        <v>6993</v>
      </c>
      <c r="J6989" t="s">
        <v>34726</v>
      </c>
      <c r="K6989" t="s">
        <v>42631</v>
      </c>
      <c r="M6989" t="s">
        <v>45418</v>
      </c>
      <c r="N6989" t="s">
        <v>47304</v>
      </c>
      <c r="O6989" t="s">
        <v>47305</v>
      </c>
      <c r="P6989">
        <v>0</v>
      </c>
      <c r="Q6989">
        <v>3</v>
      </c>
      <c r="R6989" t="s">
        <v>47311</v>
      </c>
      <c r="S6989" t="s">
        <v>47443</v>
      </c>
      <c r="T6989" t="s">
        <v>49084</v>
      </c>
      <c r="U6989" t="s">
        <v>50770</v>
      </c>
      <c r="V6989" t="s">
        <v>63320</v>
      </c>
      <c r="W6989" t="s">
        <v>45418</v>
      </c>
      <c r="X6989" t="s">
        <v>47312</v>
      </c>
    </row>
    <row r="6990" spans="1:24">
      <c r="A6990">
        <f>HYPERLINK("https://www.philgeps.gov.ph/GEPSNONPILOT/Tender/SplashBidNoticeAbstractUI.aspx?menuIndex=3&amp;refID=7191535&amp;Result=3","7191535")</f>
        <v>0</v>
      </c>
      <c r="B6990" t="s">
        <v>2319</v>
      </c>
      <c r="C6990" t="s">
        <v>10423</v>
      </c>
      <c r="D6990" t="s">
        <v>19045</v>
      </c>
      <c r="E6990" t="s">
        <v>21244</v>
      </c>
      <c r="F6990" t="s">
        <v>32606</v>
      </c>
      <c r="G6990" t="s">
        <v>32613</v>
      </c>
      <c r="H6990" t="s">
        <v>14201</v>
      </c>
      <c r="I6990" t="s">
        <v>6007</v>
      </c>
      <c r="J6990" t="s">
        <v>33251</v>
      </c>
      <c r="K6990" t="s">
        <v>42624</v>
      </c>
      <c r="M6990" t="s">
        <v>45427</v>
      </c>
      <c r="N6990" t="s">
        <v>47304</v>
      </c>
      <c r="O6990" t="s">
        <v>47305</v>
      </c>
      <c r="P6990">
        <v>0</v>
      </c>
      <c r="Q6990">
        <v>0</v>
      </c>
      <c r="R6990" t="s">
        <v>47311</v>
      </c>
      <c r="S6990" t="s">
        <v>47443</v>
      </c>
      <c r="T6990" t="s">
        <v>49023</v>
      </c>
      <c r="U6990" t="s">
        <v>55377</v>
      </c>
      <c r="W6990" t="s">
        <v>45427</v>
      </c>
      <c r="X6990" t="s">
        <v>47312</v>
      </c>
    </row>
    <row r="6991" spans="1:24">
      <c r="A6991">
        <f>HYPERLINK("https://www.philgeps.gov.ph/GEPSNONPILOT/Tender/SplashBidNoticeAbstractUI.aspx?menuIndex=3&amp;refID=7191542&amp;Result=3","7191542")</f>
        <v>0</v>
      </c>
      <c r="B6991" t="s">
        <v>2320</v>
      </c>
      <c r="C6991" t="s">
        <v>10424</v>
      </c>
      <c r="E6991" t="s">
        <v>25168</v>
      </c>
      <c r="F6991" t="s">
        <v>32606</v>
      </c>
      <c r="G6991" t="s">
        <v>32619</v>
      </c>
      <c r="H6991" t="s">
        <v>14201</v>
      </c>
      <c r="I6991" t="s">
        <v>32626</v>
      </c>
      <c r="J6991" t="s">
        <v>32820</v>
      </c>
      <c r="K6991" t="s">
        <v>42631</v>
      </c>
      <c r="M6991" t="s">
        <v>45428</v>
      </c>
      <c r="N6991" t="s">
        <v>47304</v>
      </c>
      <c r="O6991" t="s">
        <v>47305</v>
      </c>
      <c r="P6991">
        <v>0</v>
      </c>
      <c r="Q6991">
        <v>3</v>
      </c>
      <c r="R6991" t="s">
        <v>47311</v>
      </c>
      <c r="S6991" t="s">
        <v>47443</v>
      </c>
      <c r="T6991" t="s">
        <v>49269</v>
      </c>
      <c r="U6991" t="s">
        <v>55378</v>
      </c>
      <c r="W6991" t="s">
        <v>45428</v>
      </c>
      <c r="X6991" t="s">
        <v>47312</v>
      </c>
    </row>
    <row r="6992" spans="1:24">
      <c r="A6992">
        <f>HYPERLINK("https://www.philgeps.gov.ph/GEPSNONPILOT/Tender/SplashBidNoticeAbstractUI.aspx?menuIndex=3&amp;refID=7191541&amp;Result=3","7191541")</f>
        <v>0</v>
      </c>
      <c r="B6992" t="s">
        <v>2299</v>
      </c>
      <c r="C6992" t="s">
        <v>10425</v>
      </c>
      <c r="D6992" t="s">
        <v>19011</v>
      </c>
      <c r="E6992" t="s">
        <v>25169</v>
      </c>
      <c r="F6992" t="s">
        <v>32606</v>
      </c>
      <c r="G6992" t="s">
        <v>32615</v>
      </c>
      <c r="H6992" t="s">
        <v>32623</v>
      </c>
      <c r="I6992" t="s">
        <v>17648</v>
      </c>
      <c r="J6992" t="s">
        <v>34709</v>
      </c>
      <c r="K6992" t="s">
        <v>42636</v>
      </c>
      <c r="M6992" t="s">
        <v>45405</v>
      </c>
      <c r="N6992" t="s">
        <v>47304</v>
      </c>
      <c r="O6992" t="s">
        <v>47305</v>
      </c>
      <c r="P6992">
        <v>0</v>
      </c>
      <c r="Q6992">
        <v>0</v>
      </c>
      <c r="R6992" t="s">
        <v>47311</v>
      </c>
      <c r="S6992" t="s">
        <v>47443</v>
      </c>
      <c r="T6992" t="s">
        <v>49053</v>
      </c>
      <c r="U6992" t="s">
        <v>55379</v>
      </c>
      <c r="W6992" t="s">
        <v>45405</v>
      </c>
      <c r="X6992" t="s">
        <v>47312</v>
      </c>
    </row>
    <row r="6993" spans="1:24">
      <c r="A6993">
        <f>HYPERLINK("https://www.philgeps.gov.ph/GEPSNONPILOT/Tender/SplashBidNoticeAbstractUI.aspx?menuIndex=3&amp;refID=7191539&amp;Result=3","7191539")</f>
        <v>0</v>
      </c>
      <c r="B6993" t="s">
        <v>2312</v>
      </c>
      <c r="C6993" t="s">
        <v>10426</v>
      </c>
      <c r="E6993" t="s">
        <v>25170</v>
      </c>
      <c r="F6993" t="s">
        <v>32606</v>
      </c>
      <c r="G6993" t="s">
        <v>32613</v>
      </c>
      <c r="H6993" t="s">
        <v>32623</v>
      </c>
      <c r="I6993" t="s">
        <v>17648</v>
      </c>
      <c r="J6993" t="s">
        <v>37207</v>
      </c>
      <c r="K6993" t="s">
        <v>42624</v>
      </c>
      <c r="M6993" t="s">
        <v>45420</v>
      </c>
      <c r="N6993" t="s">
        <v>47304</v>
      </c>
      <c r="O6993" t="s">
        <v>47305</v>
      </c>
      <c r="Q6993">
        <v>1</v>
      </c>
      <c r="R6993" t="s">
        <v>47311</v>
      </c>
      <c r="S6993" t="s">
        <v>47479</v>
      </c>
      <c r="T6993" t="s">
        <v>48980</v>
      </c>
      <c r="U6993" t="s">
        <v>55380</v>
      </c>
      <c r="W6993" t="s">
        <v>64497</v>
      </c>
      <c r="X6993" t="s">
        <v>47312</v>
      </c>
    </row>
    <row r="6994" spans="1:24">
      <c r="A6994">
        <f>HYPERLINK("https://www.philgeps.gov.ph/GEPSNONPILOT/Tender/SplashBidNoticeAbstractUI.aspx?menuIndex=3&amp;refID=7191553&amp;Result=3","7191553")</f>
        <v>0</v>
      </c>
      <c r="B6994" t="s">
        <v>2317</v>
      </c>
      <c r="C6994" t="s">
        <v>10427</v>
      </c>
      <c r="D6994" t="s">
        <v>19043</v>
      </c>
      <c r="E6994" t="s">
        <v>25171</v>
      </c>
      <c r="F6994" t="s">
        <v>32606</v>
      </c>
      <c r="G6994" t="s">
        <v>32613</v>
      </c>
      <c r="H6994" t="s">
        <v>14201</v>
      </c>
      <c r="I6994" t="s">
        <v>32652</v>
      </c>
      <c r="J6994" t="s">
        <v>37217</v>
      </c>
      <c r="K6994" t="s">
        <v>42624</v>
      </c>
      <c r="M6994" t="s">
        <v>45425</v>
      </c>
      <c r="N6994" t="s">
        <v>47304</v>
      </c>
      <c r="O6994" t="s">
        <v>47305</v>
      </c>
      <c r="P6994">
        <v>0</v>
      </c>
      <c r="Q6994">
        <v>0</v>
      </c>
      <c r="R6994" t="s">
        <v>47311</v>
      </c>
      <c r="S6994" t="s">
        <v>47443</v>
      </c>
      <c r="T6994" t="s">
        <v>49081</v>
      </c>
      <c r="U6994" t="s">
        <v>55381</v>
      </c>
      <c r="W6994" t="s">
        <v>45425</v>
      </c>
      <c r="X6994" t="s">
        <v>47312</v>
      </c>
    </row>
    <row r="6995" spans="1:24">
      <c r="A6995">
        <f>HYPERLINK("https://www.philgeps.gov.ph/GEPSNONPILOT/Tender/SplashBidNoticeAbstractUI.aspx?menuIndex=3&amp;refID=7191607&amp;Result=3","7191607")</f>
        <v>0</v>
      </c>
      <c r="B6995" t="s">
        <v>2321</v>
      </c>
      <c r="C6995" t="s">
        <v>10428</v>
      </c>
      <c r="D6995" t="s">
        <v>19000</v>
      </c>
      <c r="E6995" t="s">
        <v>25172</v>
      </c>
      <c r="F6995" t="s">
        <v>32606</v>
      </c>
      <c r="G6995" t="s">
        <v>32613</v>
      </c>
      <c r="H6995" t="s">
        <v>14201</v>
      </c>
      <c r="I6995" t="s">
        <v>4114</v>
      </c>
      <c r="J6995" t="s">
        <v>37218</v>
      </c>
      <c r="K6995" t="s">
        <v>42623</v>
      </c>
      <c r="M6995" t="s">
        <v>45429</v>
      </c>
      <c r="N6995" t="s">
        <v>47304</v>
      </c>
      <c r="O6995" t="s">
        <v>47305</v>
      </c>
      <c r="P6995">
        <v>0</v>
      </c>
      <c r="Q6995">
        <v>3</v>
      </c>
      <c r="R6995" t="s">
        <v>47311</v>
      </c>
      <c r="S6995" t="s">
        <v>47443</v>
      </c>
      <c r="T6995" t="s">
        <v>49086</v>
      </c>
      <c r="U6995" t="s">
        <v>55382</v>
      </c>
      <c r="W6995" t="s">
        <v>45429</v>
      </c>
      <c r="X6995" t="s">
        <v>47312</v>
      </c>
    </row>
    <row r="6996" spans="1:24">
      <c r="A6996">
        <f>HYPERLINK("https://www.philgeps.gov.ph/GEPSNONPILOT/Tender/SplashBidNoticeAbstractUI.aspx?menuIndex=3&amp;refID=7191603&amp;Result=3","7191603")</f>
        <v>0</v>
      </c>
      <c r="B6996" t="s">
        <v>2322</v>
      </c>
      <c r="C6996" t="s">
        <v>10429</v>
      </c>
      <c r="D6996" t="s">
        <v>18992</v>
      </c>
      <c r="E6996" t="s">
        <v>25173</v>
      </c>
      <c r="F6996" t="s">
        <v>32606</v>
      </c>
      <c r="G6996" t="s">
        <v>32613</v>
      </c>
      <c r="H6996" t="s">
        <v>14201</v>
      </c>
      <c r="I6996" t="s">
        <v>32629</v>
      </c>
      <c r="J6996" t="s">
        <v>37219</v>
      </c>
      <c r="K6996" t="s">
        <v>42622</v>
      </c>
      <c r="M6996" t="s">
        <v>45430</v>
      </c>
      <c r="N6996" t="s">
        <v>47304</v>
      </c>
      <c r="O6996" t="s">
        <v>47305</v>
      </c>
      <c r="P6996">
        <v>0</v>
      </c>
      <c r="Q6996">
        <v>0</v>
      </c>
      <c r="R6996" t="s">
        <v>47311</v>
      </c>
      <c r="S6996" t="s">
        <v>47443</v>
      </c>
      <c r="T6996" t="s">
        <v>48979</v>
      </c>
      <c r="U6996" t="s">
        <v>55383</v>
      </c>
      <c r="V6996" t="s">
        <v>63326</v>
      </c>
      <c r="W6996" t="s">
        <v>45430</v>
      </c>
      <c r="X6996" t="s">
        <v>47312</v>
      </c>
    </row>
    <row r="6997" spans="1:24">
      <c r="A6997">
        <f>HYPERLINK("https://www.philgeps.gov.ph/GEPSNONPILOT/Tender/SplashBidNoticeAbstractUI.aspx?menuIndex=3&amp;refID=7191561&amp;Result=3","7191561")</f>
        <v>0</v>
      </c>
      <c r="B6997" t="s">
        <v>487</v>
      </c>
      <c r="C6997" t="s">
        <v>10430</v>
      </c>
      <c r="D6997" t="s">
        <v>19027</v>
      </c>
      <c r="E6997" t="s">
        <v>25174</v>
      </c>
      <c r="F6997" t="s">
        <v>32606</v>
      </c>
      <c r="G6997" t="s">
        <v>32614</v>
      </c>
      <c r="H6997" t="s">
        <v>14201</v>
      </c>
      <c r="I6997" t="s">
        <v>7677</v>
      </c>
      <c r="J6997" t="s">
        <v>37220</v>
      </c>
      <c r="K6997" t="s">
        <v>42623</v>
      </c>
      <c r="M6997" t="s">
        <v>43399</v>
      </c>
      <c r="N6997" t="s">
        <v>47304</v>
      </c>
      <c r="O6997" t="s">
        <v>47305</v>
      </c>
      <c r="P6997">
        <v>0</v>
      </c>
      <c r="Q6997">
        <v>0</v>
      </c>
      <c r="R6997" t="s">
        <v>47311</v>
      </c>
      <c r="S6997" t="s">
        <v>47443</v>
      </c>
      <c r="T6997" t="s">
        <v>49068</v>
      </c>
      <c r="U6997" t="s">
        <v>55384</v>
      </c>
      <c r="W6997" t="s">
        <v>43399</v>
      </c>
      <c r="X6997" t="s">
        <v>47312</v>
      </c>
    </row>
    <row r="6998" spans="1:24">
      <c r="A6998">
        <f>HYPERLINK("https://www.philgeps.gov.ph/GEPSNONPILOT/Tender/SplashBidNoticeAbstractUI.aspx?menuIndex=3&amp;refID=7191609&amp;Result=3","7191609")</f>
        <v>0</v>
      </c>
      <c r="B6998" t="s">
        <v>609</v>
      </c>
      <c r="C6998" t="s">
        <v>10431</v>
      </c>
      <c r="D6998" t="s">
        <v>19024</v>
      </c>
      <c r="E6998" t="s">
        <v>25175</v>
      </c>
      <c r="F6998" t="s">
        <v>32606</v>
      </c>
      <c r="G6998" t="s">
        <v>32614</v>
      </c>
      <c r="H6998" t="s">
        <v>14201</v>
      </c>
      <c r="I6998" t="s">
        <v>32655</v>
      </c>
      <c r="J6998" t="s">
        <v>37221</v>
      </c>
      <c r="K6998" t="s">
        <v>42624</v>
      </c>
      <c r="M6998" t="s">
        <v>43526</v>
      </c>
      <c r="N6998" t="s">
        <v>47304</v>
      </c>
      <c r="O6998" t="s">
        <v>47305</v>
      </c>
      <c r="P6998">
        <v>0</v>
      </c>
      <c r="Q6998">
        <v>9</v>
      </c>
      <c r="R6998" t="s">
        <v>47311</v>
      </c>
      <c r="S6998" t="s">
        <v>47443</v>
      </c>
      <c r="T6998" t="s">
        <v>49165</v>
      </c>
      <c r="U6998" t="s">
        <v>55385</v>
      </c>
      <c r="W6998" t="s">
        <v>43526</v>
      </c>
      <c r="X6998" t="s">
        <v>47312</v>
      </c>
    </row>
    <row r="6999" spans="1:24">
      <c r="A6999">
        <f>HYPERLINK("https://www.philgeps.gov.ph/GEPSNONPILOT/Tender/SplashBidNoticeAbstractUI.aspx?menuIndex=3&amp;refID=7191595&amp;Result=3","7191595")</f>
        <v>0</v>
      </c>
      <c r="B6999" t="s">
        <v>2323</v>
      </c>
      <c r="C6999" t="s">
        <v>10432</v>
      </c>
      <c r="D6999" t="s">
        <v>19027</v>
      </c>
      <c r="E6999" t="s">
        <v>25176</v>
      </c>
      <c r="F6999" t="s">
        <v>32606</v>
      </c>
      <c r="G6999" t="s">
        <v>32613</v>
      </c>
      <c r="H6999" t="s">
        <v>14201</v>
      </c>
      <c r="I6999" t="s">
        <v>32633</v>
      </c>
      <c r="J6999" t="s">
        <v>37222</v>
      </c>
      <c r="K6999" t="s">
        <v>42622</v>
      </c>
      <c r="M6999" t="s">
        <v>45431</v>
      </c>
      <c r="N6999" t="s">
        <v>47304</v>
      </c>
      <c r="O6999" t="s">
        <v>47305</v>
      </c>
      <c r="P6999">
        <v>0</v>
      </c>
      <c r="Q6999">
        <v>7</v>
      </c>
      <c r="R6999" t="s">
        <v>47311</v>
      </c>
      <c r="S6999" t="s">
        <v>47443</v>
      </c>
      <c r="T6999" t="s">
        <v>49007</v>
      </c>
      <c r="U6999" t="s">
        <v>55386</v>
      </c>
      <c r="V6999" t="s">
        <v>63327</v>
      </c>
      <c r="W6999" t="s">
        <v>45431</v>
      </c>
      <c r="X6999" t="s">
        <v>47312</v>
      </c>
    </row>
    <row r="7000" spans="1:24">
      <c r="A7000">
        <f>HYPERLINK("https://www.philgeps.gov.ph/GEPSNONPILOT/Tender/SplashBidNoticeAbstractUI.aspx?menuIndex=3&amp;refID=7191591&amp;Result=3","7191591")</f>
        <v>0</v>
      </c>
      <c r="B7000" t="s">
        <v>2324</v>
      </c>
      <c r="C7000" t="s">
        <v>10433</v>
      </c>
      <c r="D7000" t="s">
        <v>19002</v>
      </c>
      <c r="E7000" t="s">
        <v>25177</v>
      </c>
      <c r="F7000" t="s">
        <v>32606</v>
      </c>
      <c r="G7000" t="s">
        <v>32613</v>
      </c>
      <c r="H7000" t="s">
        <v>14201</v>
      </c>
      <c r="I7000" t="s">
        <v>4120</v>
      </c>
      <c r="J7000" t="s">
        <v>37223</v>
      </c>
      <c r="K7000" t="s">
        <v>42623</v>
      </c>
      <c r="M7000" t="s">
        <v>45432</v>
      </c>
      <c r="N7000" t="s">
        <v>47304</v>
      </c>
      <c r="O7000" t="s">
        <v>47305</v>
      </c>
      <c r="P7000">
        <v>0</v>
      </c>
      <c r="Q7000">
        <v>4</v>
      </c>
      <c r="R7000" t="s">
        <v>47311</v>
      </c>
      <c r="S7000" t="s">
        <v>47443</v>
      </c>
      <c r="T7000" t="s">
        <v>48980</v>
      </c>
      <c r="U7000" t="s">
        <v>51117</v>
      </c>
      <c r="W7000" t="s">
        <v>45432</v>
      </c>
      <c r="X7000" t="s">
        <v>47312</v>
      </c>
    </row>
    <row r="7001" spans="1:24">
      <c r="A7001">
        <f>HYPERLINK("https://www.philgeps.gov.ph/GEPSNONPILOT/Tender/SplashBidNoticeAbstractUI.aspx?menuIndex=3&amp;refID=7191590&amp;Result=3","7191590")</f>
        <v>0</v>
      </c>
      <c r="B7001" t="s">
        <v>713</v>
      </c>
      <c r="C7001" t="s">
        <v>10434</v>
      </c>
      <c r="D7001" t="s">
        <v>19029</v>
      </c>
      <c r="E7001" t="s">
        <v>25178</v>
      </c>
      <c r="F7001" t="s">
        <v>32606</v>
      </c>
      <c r="G7001" t="s">
        <v>32613</v>
      </c>
      <c r="H7001" t="s">
        <v>32623</v>
      </c>
      <c r="I7001" t="s">
        <v>17648</v>
      </c>
      <c r="J7001" t="s">
        <v>33190</v>
      </c>
      <c r="K7001" t="s">
        <v>42648</v>
      </c>
      <c r="M7001" t="s">
        <v>43634</v>
      </c>
      <c r="N7001" t="s">
        <v>47304</v>
      </c>
      <c r="O7001" t="s">
        <v>47305</v>
      </c>
      <c r="Q7001">
        <v>0</v>
      </c>
      <c r="R7001" t="s">
        <v>47311</v>
      </c>
      <c r="S7001" t="s">
        <v>47454</v>
      </c>
      <c r="T7001" t="s">
        <v>49037</v>
      </c>
      <c r="U7001" t="s">
        <v>55387</v>
      </c>
      <c r="W7001" t="s">
        <v>43634</v>
      </c>
      <c r="X7001" t="s">
        <v>47312</v>
      </c>
    </row>
    <row r="7002" spans="1:24">
      <c r="A7002">
        <f>HYPERLINK("https://www.philgeps.gov.ph/GEPSNONPILOT/Tender/SplashBidNoticeAbstractUI.aspx?menuIndex=3&amp;refID=7191585&amp;Result=3","7191585")</f>
        <v>0</v>
      </c>
      <c r="B7002" t="s">
        <v>2275</v>
      </c>
      <c r="C7002" t="s">
        <v>10435</v>
      </c>
      <c r="D7002" t="s">
        <v>19044</v>
      </c>
      <c r="E7002" t="s">
        <v>25179</v>
      </c>
      <c r="F7002" t="s">
        <v>32606</v>
      </c>
      <c r="G7002" t="s">
        <v>32613</v>
      </c>
      <c r="H7002" t="s">
        <v>14201</v>
      </c>
      <c r="I7002" t="s">
        <v>4120</v>
      </c>
      <c r="J7002" t="s">
        <v>32784</v>
      </c>
      <c r="K7002" t="s">
        <v>42631</v>
      </c>
      <c r="M7002" t="s">
        <v>45380</v>
      </c>
      <c r="N7002" t="s">
        <v>47304</v>
      </c>
      <c r="O7002" t="s">
        <v>47305</v>
      </c>
      <c r="P7002">
        <v>0</v>
      </c>
      <c r="Q7002">
        <v>3</v>
      </c>
      <c r="R7002" t="s">
        <v>47311</v>
      </c>
      <c r="S7002" t="s">
        <v>47443</v>
      </c>
      <c r="T7002" t="s">
        <v>49016</v>
      </c>
      <c r="U7002" t="s">
        <v>55388</v>
      </c>
      <c r="W7002" t="s">
        <v>45380</v>
      </c>
      <c r="X7002" t="s">
        <v>47312</v>
      </c>
    </row>
    <row r="7003" spans="1:24">
      <c r="A7003">
        <f>HYPERLINK("https://www.philgeps.gov.ph/GEPSNONPILOT/Tender/SplashBidNoticeAbstractUI.aspx?menuIndex=3&amp;refID=7191597&amp;Result=3","7191597")</f>
        <v>0</v>
      </c>
      <c r="B7003" t="s">
        <v>2325</v>
      </c>
      <c r="C7003" t="s">
        <v>10436</v>
      </c>
      <c r="D7003" t="s">
        <v>18991</v>
      </c>
      <c r="E7003" t="s">
        <v>25180</v>
      </c>
      <c r="F7003" t="s">
        <v>32606</v>
      </c>
      <c r="G7003" t="s">
        <v>32613</v>
      </c>
      <c r="H7003" t="s">
        <v>14201</v>
      </c>
      <c r="I7003" t="s">
        <v>6993</v>
      </c>
      <c r="J7003" t="s">
        <v>37224</v>
      </c>
      <c r="K7003" t="s">
        <v>42624</v>
      </c>
      <c r="M7003" t="s">
        <v>45433</v>
      </c>
      <c r="N7003" t="s">
        <v>47304</v>
      </c>
      <c r="O7003" t="s">
        <v>47305</v>
      </c>
      <c r="P7003">
        <v>0</v>
      </c>
      <c r="Q7003">
        <v>2</v>
      </c>
      <c r="R7003" t="s">
        <v>47311</v>
      </c>
      <c r="S7003" t="s">
        <v>47443</v>
      </c>
      <c r="T7003" t="s">
        <v>49064</v>
      </c>
      <c r="U7003" t="s">
        <v>55389</v>
      </c>
      <c r="W7003" t="s">
        <v>45433</v>
      </c>
      <c r="X7003" t="s">
        <v>47312</v>
      </c>
    </row>
    <row r="7004" spans="1:24">
      <c r="A7004">
        <f>HYPERLINK("https://www.philgeps.gov.ph/GEPSNONPILOT/Tender/SplashBidNoticeAbstractUI.aspx?menuIndex=3&amp;refID=7191596&amp;Result=3","7191596")</f>
        <v>0</v>
      </c>
      <c r="B7004" t="s">
        <v>2326</v>
      </c>
      <c r="C7004" t="s">
        <v>10437</v>
      </c>
      <c r="E7004" t="s">
        <v>25181</v>
      </c>
      <c r="F7004" t="s">
        <v>32606</v>
      </c>
      <c r="G7004" t="s">
        <v>32613</v>
      </c>
      <c r="H7004" t="s">
        <v>14201</v>
      </c>
      <c r="I7004" t="s">
        <v>9008</v>
      </c>
      <c r="J7004" t="s">
        <v>37225</v>
      </c>
      <c r="K7004" t="s">
        <v>42624</v>
      </c>
      <c r="M7004" t="s">
        <v>45434</v>
      </c>
      <c r="N7004" t="s">
        <v>47304</v>
      </c>
      <c r="O7004" t="s">
        <v>47305</v>
      </c>
      <c r="P7004">
        <v>0</v>
      </c>
      <c r="Q7004">
        <v>1</v>
      </c>
      <c r="R7004" t="s">
        <v>47311</v>
      </c>
      <c r="S7004" t="s">
        <v>47443</v>
      </c>
      <c r="T7004" t="s">
        <v>48973</v>
      </c>
      <c r="U7004" t="s">
        <v>55390</v>
      </c>
      <c r="W7004" t="s">
        <v>45434</v>
      </c>
      <c r="X7004" t="s">
        <v>47312</v>
      </c>
    </row>
    <row r="7005" spans="1:24">
      <c r="A7005">
        <f>HYPERLINK("https://www.philgeps.gov.ph/GEPSNONPILOT/Tender/SplashBidNoticeAbstractUI.aspx?menuIndex=3&amp;refID=7191581&amp;Result=3","7191581")</f>
        <v>0</v>
      </c>
      <c r="B7005" t="s">
        <v>195</v>
      </c>
      <c r="C7005" t="s">
        <v>10438</v>
      </c>
      <c r="D7005" t="s">
        <v>19045</v>
      </c>
      <c r="E7005" t="s">
        <v>25182</v>
      </c>
      <c r="F7005" t="s">
        <v>32606</v>
      </c>
      <c r="G7005" t="s">
        <v>32619</v>
      </c>
      <c r="H7005" t="s">
        <v>14201</v>
      </c>
      <c r="I7005" t="s">
        <v>32629</v>
      </c>
      <c r="J7005" t="s">
        <v>37226</v>
      </c>
      <c r="K7005" t="s">
        <v>42624</v>
      </c>
      <c r="M7005" t="s">
        <v>43096</v>
      </c>
      <c r="N7005" t="s">
        <v>47304</v>
      </c>
      <c r="O7005" t="s">
        <v>47305</v>
      </c>
      <c r="P7005">
        <v>0</v>
      </c>
      <c r="Q7005">
        <v>0</v>
      </c>
      <c r="R7005" t="s">
        <v>47311</v>
      </c>
      <c r="S7005" t="s">
        <v>47443</v>
      </c>
      <c r="T7005" t="s">
        <v>49053</v>
      </c>
      <c r="U7005" t="s">
        <v>55391</v>
      </c>
      <c r="V7005" t="s">
        <v>63328</v>
      </c>
      <c r="W7005" t="s">
        <v>43096</v>
      </c>
      <c r="X7005" t="s">
        <v>47312</v>
      </c>
    </row>
    <row r="7006" spans="1:24">
      <c r="A7006">
        <f>HYPERLINK("https://www.philgeps.gov.ph/GEPSNONPILOT/Tender/SplashBidNoticeAbstractUI.aspx?menuIndex=3&amp;refID=7191612&amp;Result=3","7191612")</f>
        <v>0</v>
      </c>
      <c r="B7006" t="s">
        <v>1500</v>
      </c>
      <c r="C7006" t="s">
        <v>10439</v>
      </c>
      <c r="D7006" t="s">
        <v>19036</v>
      </c>
      <c r="E7006" t="s">
        <v>25183</v>
      </c>
      <c r="F7006" t="s">
        <v>32606</v>
      </c>
      <c r="G7006" t="s">
        <v>32613</v>
      </c>
      <c r="H7006" t="s">
        <v>32623</v>
      </c>
      <c r="I7006" t="s">
        <v>17648</v>
      </c>
      <c r="J7006" t="s">
        <v>33043</v>
      </c>
      <c r="K7006" t="s">
        <v>42697</v>
      </c>
      <c r="M7006" t="s">
        <v>45435</v>
      </c>
      <c r="N7006" t="s">
        <v>47304</v>
      </c>
      <c r="O7006" t="s">
        <v>47305</v>
      </c>
      <c r="P7006">
        <v>0</v>
      </c>
      <c r="Q7006">
        <v>2</v>
      </c>
      <c r="R7006" t="s">
        <v>47311</v>
      </c>
      <c r="S7006" t="s">
        <v>47443</v>
      </c>
      <c r="T7006" t="s">
        <v>49077</v>
      </c>
      <c r="U7006" t="s">
        <v>55392</v>
      </c>
      <c r="W7006" t="s">
        <v>45435</v>
      </c>
      <c r="X7006" t="s">
        <v>47312</v>
      </c>
    </row>
    <row r="7007" spans="1:24">
      <c r="A7007">
        <f>HYPERLINK("https://www.philgeps.gov.ph/GEPSNONPILOT/Tender/SplashBidNoticeAbstractUI.aspx?menuIndex=3&amp;refID=7191665&amp;Result=3","7191665")</f>
        <v>0</v>
      </c>
      <c r="B7007" t="s">
        <v>2325</v>
      </c>
      <c r="C7007" t="s">
        <v>10440</v>
      </c>
      <c r="D7007" t="s">
        <v>18991</v>
      </c>
      <c r="E7007" t="s">
        <v>25184</v>
      </c>
      <c r="F7007" t="s">
        <v>32606</v>
      </c>
      <c r="G7007" t="s">
        <v>32613</v>
      </c>
      <c r="H7007" t="s">
        <v>14201</v>
      </c>
      <c r="I7007" t="s">
        <v>4678</v>
      </c>
      <c r="J7007" t="s">
        <v>34411</v>
      </c>
      <c r="K7007" t="s">
        <v>42624</v>
      </c>
      <c r="M7007" t="s">
        <v>45433</v>
      </c>
      <c r="N7007" t="s">
        <v>47304</v>
      </c>
      <c r="O7007" t="s">
        <v>47305</v>
      </c>
      <c r="P7007">
        <v>0</v>
      </c>
      <c r="Q7007">
        <v>4</v>
      </c>
      <c r="R7007" t="s">
        <v>47311</v>
      </c>
      <c r="S7007" t="s">
        <v>47443</v>
      </c>
      <c r="T7007" t="s">
        <v>49064</v>
      </c>
      <c r="U7007" t="s">
        <v>55393</v>
      </c>
      <c r="W7007" t="s">
        <v>45433</v>
      </c>
      <c r="X7007" t="s">
        <v>47312</v>
      </c>
    </row>
    <row r="7008" spans="1:24">
      <c r="A7008">
        <f>HYPERLINK("https://www.philgeps.gov.ph/GEPSNONPILOT/Tender/SplashBidNoticeAbstractUI.aspx?menuIndex=3&amp;refID=7191662&amp;Result=3","7191662")</f>
        <v>0</v>
      </c>
      <c r="B7008" t="s">
        <v>2312</v>
      </c>
      <c r="C7008" t="s">
        <v>10441</v>
      </c>
      <c r="E7008" t="s">
        <v>25185</v>
      </c>
      <c r="F7008" t="s">
        <v>32606</v>
      </c>
      <c r="G7008" t="s">
        <v>32613</v>
      </c>
      <c r="H7008" t="s">
        <v>32623</v>
      </c>
      <c r="I7008" t="s">
        <v>17648</v>
      </c>
      <c r="J7008" t="s">
        <v>37207</v>
      </c>
      <c r="K7008" t="s">
        <v>42624</v>
      </c>
      <c r="M7008" t="s">
        <v>45420</v>
      </c>
      <c r="N7008" t="s">
        <v>47304</v>
      </c>
      <c r="O7008" t="s">
        <v>47305</v>
      </c>
      <c r="Q7008">
        <v>2</v>
      </c>
      <c r="R7008" t="s">
        <v>47311</v>
      </c>
      <c r="S7008" t="s">
        <v>47480</v>
      </c>
      <c r="T7008" t="s">
        <v>48980</v>
      </c>
      <c r="U7008" t="s">
        <v>55394</v>
      </c>
      <c r="W7008" t="s">
        <v>64497</v>
      </c>
      <c r="X7008" t="s">
        <v>47312</v>
      </c>
    </row>
    <row r="7009" spans="1:24">
      <c r="A7009">
        <f>HYPERLINK("https://www.philgeps.gov.ph/GEPSNONPILOT/Tender/SplashBidNoticeAbstractUI.aspx?menuIndex=3&amp;refID=7191658&amp;Result=3","7191658")</f>
        <v>0</v>
      </c>
      <c r="B7009" t="s">
        <v>609</v>
      </c>
      <c r="C7009" t="s">
        <v>10442</v>
      </c>
      <c r="D7009" t="s">
        <v>19024</v>
      </c>
      <c r="E7009" t="s">
        <v>25186</v>
      </c>
      <c r="F7009" t="s">
        <v>32606</v>
      </c>
      <c r="G7009" t="s">
        <v>32614</v>
      </c>
      <c r="H7009" t="s">
        <v>14201</v>
      </c>
      <c r="I7009" t="s">
        <v>32655</v>
      </c>
      <c r="J7009" t="s">
        <v>37227</v>
      </c>
      <c r="K7009" t="s">
        <v>42624</v>
      </c>
      <c r="M7009" t="s">
        <v>43526</v>
      </c>
      <c r="N7009" t="s">
        <v>47304</v>
      </c>
      <c r="O7009" t="s">
        <v>47305</v>
      </c>
      <c r="P7009">
        <v>0</v>
      </c>
      <c r="Q7009">
        <v>6</v>
      </c>
      <c r="R7009" t="s">
        <v>47311</v>
      </c>
      <c r="S7009" t="s">
        <v>47443</v>
      </c>
      <c r="T7009" t="s">
        <v>49165</v>
      </c>
      <c r="U7009" t="s">
        <v>55395</v>
      </c>
      <c r="W7009" t="s">
        <v>43526</v>
      </c>
      <c r="X7009" t="s">
        <v>47312</v>
      </c>
    </row>
    <row r="7010" spans="1:24">
      <c r="A7010">
        <f>HYPERLINK("https://www.philgeps.gov.ph/GEPSNONPILOT/Tender/SplashBidNoticeAbstractUI.aspx?menuIndex=3&amp;refID=7191653&amp;Result=3","7191653")</f>
        <v>0</v>
      </c>
      <c r="B7010" t="s">
        <v>2320</v>
      </c>
      <c r="C7010" t="s">
        <v>10443</v>
      </c>
      <c r="E7010" t="s">
        <v>19885</v>
      </c>
      <c r="F7010" t="s">
        <v>32606</v>
      </c>
      <c r="G7010" t="s">
        <v>32619</v>
      </c>
      <c r="H7010" t="s">
        <v>14201</v>
      </c>
      <c r="I7010" t="s">
        <v>6309</v>
      </c>
      <c r="J7010" t="s">
        <v>32920</v>
      </c>
      <c r="K7010" t="s">
        <v>42631</v>
      </c>
      <c r="M7010" t="s">
        <v>45428</v>
      </c>
      <c r="N7010" t="s">
        <v>47304</v>
      </c>
      <c r="O7010" t="s">
        <v>47305</v>
      </c>
      <c r="P7010">
        <v>0</v>
      </c>
      <c r="Q7010">
        <v>2</v>
      </c>
      <c r="R7010" t="s">
        <v>47311</v>
      </c>
      <c r="S7010" t="s">
        <v>47443</v>
      </c>
      <c r="T7010" t="s">
        <v>49269</v>
      </c>
      <c r="U7010" t="s">
        <v>55396</v>
      </c>
      <c r="W7010" t="s">
        <v>45428</v>
      </c>
      <c r="X7010" t="s">
        <v>47312</v>
      </c>
    </row>
    <row r="7011" spans="1:24">
      <c r="A7011">
        <f>HYPERLINK("https://www.philgeps.gov.ph/GEPSNONPILOT/Tender/SplashBidNoticeAbstractUI.aspx?menuIndex=3&amp;refID=7191617&amp;Result=3","7191617")</f>
        <v>0</v>
      </c>
      <c r="B7011" t="s">
        <v>2312</v>
      </c>
      <c r="C7011" t="s">
        <v>10444</v>
      </c>
      <c r="E7011" t="s">
        <v>25187</v>
      </c>
      <c r="F7011" t="s">
        <v>32606</v>
      </c>
      <c r="G7011" t="s">
        <v>32613</v>
      </c>
      <c r="H7011" t="s">
        <v>32623</v>
      </c>
      <c r="I7011" t="s">
        <v>17648</v>
      </c>
      <c r="J7011" t="s">
        <v>37207</v>
      </c>
      <c r="K7011" t="s">
        <v>42624</v>
      </c>
      <c r="M7011" t="s">
        <v>45420</v>
      </c>
      <c r="N7011" t="s">
        <v>47304</v>
      </c>
      <c r="O7011" t="s">
        <v>47305</v>
      </c>
      <c r="Q7011">
        <v>1</v>
      </c>
      <c r="R7011" t="s">
        <v>47311</v>
      </c>
      <c r="S7011" t="s">
        <v>47481</v>
      </c>
      <c r="T7011" t="s">
        <v>48980</v>
      </c>
      <c r="U7011" t="s">
        <v>55397</v>
      </c>
      <c r="W7011" t="s">
        <v>64497</v>
      </c>
      <c r="X7011" t="s">
        <v>47312</v>
      </c>
    </row>
    <row r="7012" spans="1:24">
      <c r="A7012">
        <f>HYPERLINK("https://www.philgeps.gov.ph/GEPSNONPILOT/Tender/SplashBidNoticeAbstractUI.aspx?menuIndex=3&amp;refID=7191651&amp;Result=3","7191651")</f>
        <v>0</v>
      </c>
      <c r="B7012" t="s">
        <v>649</v>
      </c>
      <c r="C7012" t="s">
        <v>10445</v>
      </c>
      <c r="D7012" t="s">
        <v>19033</v>
      </c>
      <c r="E7012" t="s">
        <v>25188</v>
      </c>
      <c r="F7012" t="s">
        <v>32606</v>
      </c>
      <c r="G7012" t="s">
        <v>32613</v>
      </c>
      <c r="H7012" t="s">
        <v>14201</v>
      </c>
      <c r="I7012" t="s">
        <v>32732</v>
      </c>
      <c r="J7012" t="s">
        <v>32913</v>
      </c>
      <c r="K7012" t="s">
        <v>42624</v>
      </c>
      <c r="M7012" t="s">
        <v>43568</v>
      </c>
      <c r="N7012" t="s">
        <v>47304</v>
      </c>
      <c r="O7012" t="s">
        <v>47305</v>
      </c>
      <c r="P7012">
        <v>0</v>
      </c>
      <c r="Q7012">
        <v>0</v>
      </c>
      <c r="R7012" t="s">
        <v>47311</v>
      </c>
      <c r="S7012" t="s">
        <v>47443</v>
      </c>
      <c r="T7012" t="s">
        <v>49004</v>
      </c>
      <c r="U7012" t="s">
        <v>55398</v>
      </c>
      <c r="W7012" t="s">
        <v>43568</v>
      </c>
      <c r="X7012" t="s">
        <v>47312</v>
      </c>
    </row>
    <row r="7013" spans="1:24">
      <c r="A7013">
        <f>HYPERLINK("https://www.philgeps.gov.ph/GEPSNONPILOT/Tender/SplashBidNoticeAbstractUI.aspx?menuIndex=3&amp;refID=7191648&amp;Result=3","7191648")</f>
        <v>0</v>
      </c>
      <c r="B7013" t="s">
        <v>1858</v>
      </c>
      <c r="C7013" t="s">
        <v>10446</v>
      </c>
      <c r="D7013" t="s">
        <v>19019</v>
      </c>
      <c r="E7013" t="s">
        <v>25189</v>
      </c>
      <c r="F7013" t="s">
        <v>32606</v>
      </c>
      <c r="G7013" t="s">
        <v>32619</v>
      </c>
      <c r="H7013" t="s">
        <v>14201</v>
      </c>
      <c r="I7013" t="s">
        <v>32626</v>
      </c>
      <c r="J7013" t="s">
        <v>37228</v>
      </c>
      <c r="K7013" t="s">
        <v>42638</v>
      </c>
      <c r="M7013" t="s">
        <v>44915</v>
      </c>
      <c r="N7013" t="s">
        <v>47304</v>
      </c>
      <c r="O7013" t="s">
        <v>47305</v>
      </c>
      <c r="P7013">
        <v>0</v>
      </c>
      <c r="Q7013">
        <v>6</v>
      </c>
      <c r="R7013" t="s">
        <v>47311</v>
      </c>
      <c r="S7013" t="s">
        <v>47443</v>
      </c>
      <c r="T7013" t="s">
        <v>49068</v>
      </c>
      <c r="U7013" t="s">
        <v>55399</v>
      </c>
      <c r="W7013" t="s">
        <v>44915</v>
      </c>
      <c r="X7013" t="s">
        <v>47312</v>
      </c>
    </row>
    <row r="7014" spans="1:24">
      <c r="A7014">
        <f>HYPERLINK("https://www.philgeps.gov.ph/GEPSNONPILOT/Tender/SplashBidNoticeAbstractUI.aspx?menuIndex=3&amp;refID=7191644&amp;Result=3","7191644")</f>
        <v>0</v>
      </c>
      <c r="B7014" t="s">
        <v>1221</v>
      </c>
      <c r="C7014" t="s">
        <v>5672</v>
      </c>
      <c r="D7014" t="s">
        <v>19063</v>
      </c>
      <c r="E7014" t="s">
        <v>25190</v>
      </c>
      <c r="F7014" t="s">
        <v>32606</v>
      </c>
      <c r="G7014" t="s">
        <v>32614</v>
      </c>
      <c r="H7014" t="s">
        <v>14201</v>
      </c>
      <c r="I7014" t="s">
        <v>6298</v>
      </c>
      <c r="J7014" t="s">
        <v>37229</v>
      </c>
      <c r="K7014" t="s">
        <v>42630</v>
      </c>
      <c r="M7014" t="s">
        <v>44186</v>
      </c>
      <c r="N7014" t="s">
        <v>47304</v>
      </c>
      <c r="O7014" t="s">
        <v>47305</v>
      </c>
      <c r="P7014">
        <v>0</v>
      </c>
      <c r="Q7014">
        <v>0</v>
      </c>
      <c r="R7014" t="s">
        <v>47311</v>
      </c>
      <c r="S7014" t="s">
        <v>47443</v>
      </c>
      <c r="T7014" t="s">
        <v>49015</v>
      </c>
      <c r="U7014" t="s">
        <v>55400</v>
      </c>
      <c r="W7014" t="s">
        <v>44186</v>
      </c>
      <c r="X7014" t="s">
        <v>47312</v>
      </c>
    </row>
    <row r="7015" spans="1:24">
      <c r="A7015">
        <f>HYPERLINK("https://www.philgeps.gov.ph/GEPSNONPILOT/Tender/SplashBidNoticeAbstractUI.aspx?menuIndex=3&amp;refID=7191605&amp;Result=3","7191605")</f>
        <v>0</v>
      </c>
      <c r="B7015" t="s">
        <v>1858</v>
      </c>
      <c r="C7015" t="s">
        <v>10447</v>
      </c>
      <c r="D7015" t="s">
        <v>19019</v>
      </c>
      <c r="E7015" t="s">
        <v>25191</v>
      </c>
      <c r="F7015" t="s">
        <v>32606</v>
      </c>
      <c r="G7015" t="s">
        <v>32619</v>
      </c>
      <c r="H7015" t="s">
        <v>14201</v>
      </c>
      <c r="I7015" t="s">
        <v>32626</v>
      </c>
      <c r="J7015" t="s">
        <v>37230</v>
      </c>
      <c r="K7015" t="s">
        <v>42638</v>
      </c>
      <c r="M7015" t="s">
        <v>44915</v>
      </c>
      <c r="N7015" t="s">
        <v>47304</v>
      </c>
      <c r="O7015" t="s">
        <v>47305</v>
      </c>
      <c r="P7015">
        <v>0</v>
      </c>
      <c r="Q7015">
        <v>6</v>
      </c>
      <c r="R7015" t="s">
        <v>47311</v>
      </c>
      <c r="S7015" t="s">
        <v>47443</v>
      </c>
      <c r="T7015" t="s">
        <v>49068</v>
      </c>
      <c r="U7015" t="s">
        <v>55401</v>
      </c>
      <c r="W7015" t="s">
        <v>44915</v>
      </c>
      <c r="X7015" t="s">
        <v>47312</v>
      </c>
    </row>
    <row r="7016" spans="1:24">
      <c r="A7016">
        <f>HYPERLINK("https://www.philgeps.gov.ph/GEPSNONPILOT/Tender/SplashBidNoticeAbstractUI.aspx?menuIndex=3&amp;refID=7191660&amp;Result=3","7191660")</f>
        <v>0</v>
      </c>
      <c r="B7016" t="s">
        <v>477</v>
      </c>
      <c r="C7016" t="s">
        <v>10448</v>
      </c>
      <c r="D7016" t="s">
        <v>19019</v>
      </c>
      <c r="E7016" t="s">
        <v>25192</v>
      </c>
      <c r="F7016" t="s">
        <v>32606</v>
      </c>
      <c r="G7016" t="s">
        <v>32614</v>
      </c>
      <c r="H7016" t="s">
        <v>14201</v>
      </c>
      <c r="I7016" t="s">
        <v>4369</v>
      </c>
      <c r="J7016" t="s">
        <v>32789</v>
      </c>
      <c r="K7016" t="s">
        <v>42638</v>
      </c>
      <c r="M7016" t="s">
        <v>43388</v>
      </c>
      <c r="N7016" t="s">
        <v>47304</v>
      </c>
      <c r="O7016" t="s">
        <v>47305</v>
      </c>
      <c r="P7016">
        <v>0</v>
      </c>
      <c r="Q7016">
        <v>2</v>
      </c>
      <c r="R7016" t="s">
        <v>47311</v>
      </c>
      <c r="S7016" t="s">
        <v>47443</v>
      </c>
      <c r="T7016" t="s">
        <v>49071</v>
      </c>
      <c r="U7016" t="s">
        <v>55402</v>
      </c>
      <c r="W7016" t="s">
        <v>43388</v>
      </c>
      <c r="X7016" t="s">
        <v>47312</v>
      </c>
    </row>
    <row r="7017" spans="1:24">
      <c r="A7017">
        <f>HYPERLINK("https://www.philgeps.gov.ph/GEPSNONPILOT/Tender/SplashBidNoticeAbstractUI.aspx?menuIndex=3&amp;refID=7191637&amp;Result=3","7191637")</f>
        <v>0</v>
      </c>
      <c r="B7017" t="s">
        <v>643</v>
      </c>
      <c r="C7017" t="s">
        <v>10449</v>
      </c>
      <c r="D7017" t="s">
        <v>19003</v>
      </c>
      <c r="E7017" t="s">
        <v>25193</v>
      </c>
      <c r="F7017" t="s">
        <v>32606</v>
      </c>
      <c r="G7017" t="s">
        <v>32614</v>
      </c>
      <c r="H7017" t="s">
        <v>14201</v>
      </c>
      <c r="I7017" t="s">
        <v>32734</v>
      </c>
      <c r="J7017" t="s">
        <v>33305</v>
      </c>
      <c r="K7017" t="s">
        <v>42674</v>
      </c>
      <c r="M7017" t="s">
        <v>43561</v>
      </c>
      <c r="N7017" t="s">
        <v>47304</v>
      </c>
      <c r="O7017" t="s">
        <v>47305</v>
      </c>
      <c r="P7017">
        <v>0</v>
      </c>
      <c r="Q7017">
        <v>1</v>
      </c>
      <c r="R7017" t="s">
        <v>47311</v>
      </c>
      <c r="S7017" t="s">
        <v>47443</v>
      </c>
      <c r="T7017" t="s">
        <v>49093</v>
      </c>
      <c r="U7017" t="s">
        <v>50664</v>
      </c>
      <c r="W7017" t="s">
        <v>43561</v>
      </c>
      <c r="X7017" t="s">
        <v>47312</v>
      </c>
    </row>
    <row r="7018" spans="1:24">
      <c r="A7018">
        <f>HYPERLINK("https://www.philgeps.gov.ph/GEPSNONPILOT/Tender/SplashBidNoticeAbstractUI.aspx?menuIndex=3&amp;refID=7191514&amp;Result=3","7191514")</f>
        <v>0</v>
      </c>
      <c r="B7018" t="s">
        <v>431</v>
      </c>
      <c r="C7018" t="s">
        <v>10450</v>
      </c>
      <c r="D7018" t="s">
        <v>19001</v>
      </c>
      <c r="E7018" t="s">
        <v>20683</v>
      </c>
      <c r="F7018" t="s">
        <v>32606</v>
      </c>
      <c r="G7018" t="s">
        <v>32613</v>
      </c>
      <c r="H7018" t="s">
        <v>14201</v>
      </c>
      <c r="I7018" t="s">
        <v>6298</v>
      </c>
      <c r="J7018" t="s">
        <v>37231</v>
      </c>
      <c r="K7018" t="s">
        <v>42632</v>
      </c>
      <c r="M7018" t="s">
        <v>43337</v>
      </c>
      <c r="N7018" t="s">
        <v>47304</v>
      </c>
      <c r="O7018" t="s">
        <v>47305</v>
      </c>
      <c r="P7018">
        <v>0</v>
      </c>
      <c r="Q7018">
        <v>2</v>
      </c>
      <c r="R7018" t="s">
        <v>47311</v>
      </c>
      <c r="S7018" t="s">
        <v>47443</v>
      </c>
      <c r="T7018" t="s">
        <v>49107</v>
      </c>
      <c r="U7018" t="s">
        <v>55403</v>
      </c>
      <c r="W7018" t="s">
        <v>43337</v>
      </c>
      <c r="X7018" t="s">
        <v>47312</v>
      </c>
    </row>
    <row r="7019" spans="1:24">
      <c r="A7019">
        <f>HYPERLINK("https://www.philgeps.gov.ph/GEPSNONPILOT/Tender/SplashBidNoticeAbstractUI.aspx?menuIndex=3&amp;refID=7191636&amp;Result=3","7191636")</f>
        <v>0</v>
      </c>
      <c r="B7019" t="s">
        <v>689</v>
      </c>
      <c r="C7019" t="s">
        <v>10451</v>
      </c>
      <c r="D7019" t="s">
        <v>19004</v>
      </c>
      <c r="E7019" t="s">
        <v>25194</v>
      </c>
      <c r="F7019" t="s">
        <v>32606</v>
      </c>
      <c r="G7019" t="s">
        <v>32619</v>
      </c>
      <c r="H7019" t="s">
        <v>14201</v>
      </c>
      <c r="I7019" t="s">
        <v>32640</v>
      </c>
      <c r="J7019" t="s">
        <v>35298</v>
      </c>
      <c r="K7019" t="s">
        <v>42624</v>
      </c>
      <c r="M7019" t="s">
        <v>43610</v>
      </c>
      <c r="N7019" t="s">
        <v>47304</v>
      </c>
      <c r="O7019" t="s">
        <v>47305</v>
      </c>
      <c r="P7019">
        <v>0</v>
      </c>
      <c r="Q7019">
        <v>1</v>
      </c>
      <c r="R7019" t="s">
        <v>47311</v>
      </c>
      <c r="S7019" t="s">
        <v>47443</v>
      </c>
      <c r="T7019" t="s">
        <v>49263</v>
      </c>
      <c r="U7019" t="s">
        <v>55404</v>
      </c>
      <c r="W7019" t="s">
        <v>43610</v>
      </c>
      <c r="X7019" t="s">
        <v>47312</v>
      </c>
    </row>
    <row r="7020" spans="1:24">
      <c r="A7020">
        <f>HYPERLINK("https://www.philgeps.gov.ph/GEPSNONPILOT/Tender/SplashBidNoticeAbstractUI.aspx?menuIndex=3&amp;refID=7191634&amp;Result=3","7191634")</f>
        <v>0</v>
      </c>
      <c r="B7020" t="s">
        <v>2322</v>
      </c>
      <c r="C7020" t="s">
        <v>4442</v>
      </c>
      <c r="D7020" t="s">
        <v>18992</v>
      </c>
      <c r="E7020" t="s">
        <v>25195</v>
      </c>
      <c r="F7020" t="s">
        <v>32606</v>
      </c>
      <c r="G7020" t="s">
        <v>32613</v>
      </c>
      <c r="H7020" t="s">
        <v>14201</v>
      </c>
      <c r="I7020" t="s">
        <v>4678</v>
      </c>
      <c r="J7020" t="s">
        <v>33587</v>
      </c>
      <c r="K7020" t="s">
        <v>42622</v>
      </c>
      <c r="M7020" t="s">
        <v>45430</v>
      </c>
      <c r="N7020" t="s">
        <v>47304</v>
      </c>
      <c r="O7020" t="s">
        <v>47305</v>
      </c>
      <c r="P7020">
        <v>0</v>
      </c>
      <c r="Q7020">
        <v>1</v>
      </c>
      <c r="R7020" t="s">
        <v>47311</v>
      </c>
      <c r="S7020" t="s">
        <v>47443</v>
      </c>
      <c r="T7020" t="s">
        <v>48979</v>
      </c>
      <c r="U7020" t="s">
        <v>55405</v>
      </c>
      <c r="V7020" t="s">
        <v>63326</v>
      </c>
      <c r="W7020" t="s">
        <v>45430</v>
      </c>
      <c r="X7020" t="s">
        <v>47312</v>
      </c>
    </row>
    <row r="7021" spans="1:24">
      <c r="A7021">
        <f>HYPERLINK("https://www.philgeps.gov.ph/GEPSNONPILOT/Tender/SplashBidNoticeAbstractUI.aspx?menuIndex=3&amp;refID=7191707&amp;Result=3","7191707")</f>
        <v>0</v>
      </c>
      <c r="B7021" t="s">
        <v>2327</v>
      </c>
      <c r="C7021" t="s">
        <v>10452</v>
      </c>
      <c r="D7021" t="s">
        <v>19018</v>
      </c>
      <c r="E7021" t="s">
        <v>25196</v>
      </c>
      <c r="F7021" t="s">
        <v>32606</v>
      </c>
      <c r="G7021" t="s">
        <v>32614</v>
      </c>
      <c r="H7021" t="s">
        <v>14201</v>
      </c>
      <c r="I7021" t="s">
        <v>32626</v>
      </c>
      <c r="J7021" t="s">
        <v>32975</v>
      </c>
      <c r="K7021" t="s">
        <v>42631</v>
      </c>
      <c r="M7021" t="s">
        <v>45436</v>
      </c>
      <c r="N7021" t="s">
        <v>47304</v>
      </c>
      <c r="O7021" t="s">
        <v>47305</v>
      </c>
      <c r="P7021">
        <v>0</v>
      </c>
      <c r="Q7021">
        <v>9</v>
      </c>
      <c r="R7021" t="s">
        <v>47311</v>
      </c>
      <c r="S7021" t="s">
        <v>47443</v>
      </c>
      <c r="T7021" t="s">
        <v>49327</v>
      </c>
      <c r="U7021" t="s">
        <v>55406</v>
      </c>
      <c r="W7021" t="s">
        <v>45436</v>
      </c>
      <c r="X7021" t="s">
        <v>47312</v>
      </c>
    </row>
    <row r="7022" spans="1:24">
      <c r="A7022">
        <f>HYPERLINK("https://www.philgeps.gov.ph/GEPSNONPILOT/Tender/SplashBidNoticeAbstractUI.aspx?menuIndex=3&amp;refID=7191588&amp;Result=3","7191588")</f>
        <v>0</v>
      </c>
      <c r="B7022" t="s">
        <v>812</v>
      </c>
      <c r="C7022" t="s">
        <v>10453</v>
      </c>
      <c r="D7022" t="s">
        <v>19028</v>
      </c>
      <c r="E7022" t="s">
        <v>25197</v>
      </c>
      <c r="F7022" t="s">
        <v>32606</v>
      </c>
      <c r="G7022" t="s">
        <v>32614</v>
      </c>
      <c r="H7022" t="s">
        <v>14201</v>
      </c>
      <c r="I7022" t="s">
        <v>6931</v>
      </c>
      <c r="J7022" t="s">
        <v>37232</v>
      </c>
      <c r="K7022" t="s">
        <v>42632</v>
      </c>
      <c r="M7022" t="s">
        <v>43743</v>
      </c>
      <c r="N7022" t="s">
        <v>47304</v>
      </c>
      <c r="O7022" t="s">
        <v>47305</v>
      </c>
      <c r="P7022">
        <v>0</v>
      </c>
      <c r="Q7022">
        <v>2</v>
      </c>
      <c r="R7022" t="s">
        <v>47311</v>
      </c>
      <c r="S7022" t="s">
        <v>47443</v>
      </c>
      <c r="T7022" t="s">
        <v>49346</v>
      </c>
      <c r="U7022" t="s">
        <v>51048</v>
      </c>
      <c r="W7022" t="s">
        <v>43743</v>
      </c>
      <c r="X7022" t="s">
        <v>47312</v>
      </c>
    </row>
    <row r="7023" spans="1:24">
      <c r="A7023">
        <f>HYPERLINK("https://www.philgeps.gov.ph/GEPSNONPILOT/Tender/SplashBidNoticeAbstractUI.aspx?menuIndex=3&amp;refID=7191716&amp;Result=3","7191716")</f>
        <v>0</v>
      </c>
      <c r="B7023" t="s">
        <v>535</v>
      </c>
      <c r="C7023" t="s">
        <v>10454</v>
      </c>
      <c r="D7023" t="s">
        <v>19031</v>
      </c>
      <c r="E7023" t="s">
        <v>25198</v>
      </c>
      <c r="F7023" t="s">
        <v>32606</v>
      </c>
      <c r="G7023" t="s">
        <v>32613</v>
      </c>
      <c r="H7023" t="s">
        <v>32623</v>
      </c>
      <c r="I7023" t="s">
        <v>17648</v>
      </c>
      <c r="J7023" t="s">
        <v>37233</v>
      </c>
      <c r="K7023" t="s">
        <v>42624</v>
      </c>
      <c r="M7023" t="s">
        <v>45437</v>
      </c>
      <c r="N7023" t="s">
        <v>47304</v>
      </c>
      <c r="O7023" t="s">
        <v>47305</v>
      </c>
      <c r="P7023">
        <v>0</v>
      </c>
      <c r="Q7023">
        <v>0</v>
      </c>
      <c r="R7023" t="s">
        <v>47311</v>
      </c>
      <c r="S7023" t="s">
        <v>47443</v>
      </c>
      <c r="T7023" t="s">
        <v>49066</v>
      </c>
      <c r="U7023" t="s">
        <v>55407</v>
      </c>
      <c r="V7023" t="s">
        <v>63329</v>
      </c>
      <c r="W7023" t="s">
        <v>64499</v>
      </c>
      <c r="X7023" t="s">
        <v>47312</v>
      </c>
    </row>
    <row r="7024" spans="1:24">
      <c r="A7024">
        <f>HYPERLINK("https://www.philgeps.gov.ph/GEPSNONPILOT/Tender/SplashBidNoticeAbstractUI.aspx?menuIndex=3&amp;refID=7191715&amp;Result=3","7191715")</f>
        <v>0</v>
      </c>
      <c r="B7024" t="s">
        <v>2325</v>
      </c>
      <c r="C7024" t="s">
        <v>10455</v>
      </c>
      <c r="D7024" t="s">
        <v>18991</v>
      </c>
      <c r="E7024" t="s">
        <v>25199</v>
      </c>
      <c r="F7024" t="s">
        <v>32606</v>
      </c>
      <c r="G7024" t="s">
        <v>32613</v>
      </c>
      <c r="H7024" t="s">
        <v>32623</v>
      </c>
      <c r="I7024" t="s">
        <v>17648</v>
      </c>
      <c r="J7024" t="s">
        <v>33071</v>
      </c>
      <c r="K7024" t="s">
        <v>42624</v>
      </c>
      <c r="M7024" t="s">
        <v>45433</v>
      </c>
      <c r="N7024" t="s">
        <v>47304</v>
      </c>
      <c r="O7024" t="s">
        <v>47305</v>
      </c>
      <c r="P7024">
        <v>0</v>
      </c>
      <c r="Q7024">
        <v>0</v>
      </c>
      <c r="R7024" t="s">
        <v>47311</v>
      </c>
      <c r="S7024" t="s">
        <v>47443</v>
      </c>
      <c r="T7024" t="s">
        <v>49064</v>
      </c>
      <c r="U7024" t="s">
        <v>55408</v>
      </c>
      <c r="W7024" t="s">
        <v>45433</v>
      </c>
      <c r="X7024" t="s">
        <v>47312</v>
      </c>
    </row>
    <row r="7025" spans="1:24">
      <c r="A7025">
        <f>HYPERLINK("https://www.philgeps.gov.ph/GEPSNONPILOT/Tender/SplashBidNoticeAbstractUI.aspx?menuIndex=3&amp;refID=7191642&amp;Result=3","7191642")</f>
        <v>0</v>
      </c>
      <c r="B7025" t="s">
        <v>2328</v>
      </c>
      <c r="C7025" t="s">
        <v>10456</v>
      </c>
      <c r="D7025" t="s">
        <v>19005</v>
      </c>
      <c r="E7025" t="s">
        <v>19487</v>
      </c>
      <c r="F7025" t="s">
        <v>32606</v>
      </c>
      <c r="G7025" t="s">
        <v>32613</v>
      </c>
      <c r="H7025" t="s">
        <v>14201</v>
      </c>
      <c r="I7025" t="s">
        <v>6931</v>
      </c>
      <c r="J7025" t="s">
        <v>37234</v>
      </c>
      <c r="K7025" t="s">
        <v>42623</v>
      </c>
      <c r="M7025" t="s">
        <v>45438</v>
      </c>
      <c r="N7025" t="s">
        <v>47304</v>
      </c>
      <c r="O7025" t="s">
        <v>47305</v>
      </c>
      <c r="P7025">
        <v>0</v>
      </c>
      <c r="Q7025">
        <v>1</v>
      </c>
      <c r="R7025" t="s">
        <v>47311</v>
      </c>
      <c r="S7025" t="s">
        <v>47443</v>
      </c>
      <c r="T7025" t="s">
        <v>48980</v>
      </c>
      <c r="U7025" t="s">
        <v>53955</v>
      </c>
      <c r="W7025" t="s">
        <v>45438</v>
      </c>
      <c r="X7025" t="s">
        <v>47312</v>
      </c>
    </row>
    <row r="7026" spans="1:24">
      <c r="A7026">
        <f>HYPERLINK("https://www.philgeps.gov.ph/GEPSNONPILOT/Tender/SplashBidNoticeAbstractUI.aspx?menuIndex=3&amp;refID=7191711&amp;Result=3","7191711")</f>
        <v>0</v>
      </c>
      <c r="B7026" t="s">
        <v>1500</v>
      </c>
      <c r="C7026" t="s">
        <v>10457</v>
      </c>
      <c r="D7026" t="s">
        <v>19003</v>
      </c>
      <c r="E7026" t="s">
        <v>25200</v>
      </c>
      <c r="F7026" t="s">
        <v>32606</v>
      </c>
      <c r="G7026" t="s">
        <v>32613</v>
      </c>
      <c r="H7026" t="s">
        <v>32623</v>
      </c>
      <c r="I7026" t="s">
        <v>17648</v>
      </c>
      <c r="J7026" t="s">
        <v>37235</v>
      </c>
      <c r="K7026" t="s">
        <v>42636</v>
      </c>
      <c r="M7026" t="s">
        <v>45435</v>
      </c>
      <c r="N7026" t="s">
        <v>47304</v>
      </c>
      <c r="O7026" t="s">
        <v>47305</v>
      </c>
      <c r="P7026">
        <v>0</v>
      </c>
      <c r="Q7026">
        <v>1</v>
      </c>
      <c r="R7026" t="s">
        <v>47311</v>
      </c>
      <c r="S7026" t="s">
        <v>47443</v>
      </c>
      <c r="T7026" t="s">
        <v>49077</v>
      </c>
      <c r="U7026" t="s">
        <v>55409</v>
      </c>
      <c r="W7026" t="s">
        <v>45435</v>
      </c>
      <c r="X7026" t="s">
        <v>47312</v>
      </c>
    </row>
    <row r="7027" spans="1:24">
      <c r="A7027">
        <f>HYPERLINK("https://www.philgeps.gov.ph/GEPSNONPILOT/Tender/SplashBidNoticeAbstractUI.aspx?menuIndex=3&amp;refID=7191638&amp;Result=3","7191638")</f>
        <v>0</v>
      </c>
      <c r="B7027" t="s">
        <v>2329</v>
      </c>
      <c r="C7027" t="s">
        <v>10458</v>
      </c>
      <c r="D7027" t="s">
        <v>19055</v>
      </c>
      <c r="E7027" t="s">
        <v>25201</v>
      </c>
      <c r="F7027" t="s">
        <v>32606</v>
      </c>
      <c r="G7027" t="s">
        <v>32619</v>
      </c>
      <c r="H7027" t="s">
        <v>14201</v>
      </c>
      <c r="I7027" t="s">
        <v>4369</v>
      </c>
      <c r="J7027" t="s">
        <v>33113</v>
      </c>
      <c r="K7027" t="s">
        <v>42631</v>
      </c>
      <c r="M7027" t="s">
        <v>45439</v>
      </c>
      <c r="N7027" t="s">
        <v>47304</v>
      </c>
      <c r="O7027" t="s">
        <v>47305</v>
      </c>
      <c r="P7027">
        <v>0</v>
      </c>
      <c r="Q7027">
        <v>1</v>
      </c>
      <c r="R7027" t="s">
        <v>47311</v>
      </c>
      <c r="S7027" t="s">
        <v>47443</v>
      </c>
      <c r="T7027" t="s">
        <v>49050</v>
      </c>
      <c r="U7027" t="s">
        <v>55410</v>
      </c>
      <c r="W7027" t="s">
        <v>45439</v>
      </c>
      <c r="X7027" t="s">
        <v>47312</v>
      </c>
    </row>
    <row r="7028" spans="1:24">
      <c r="A7028">
        <f>HYPERLINK("https://www.philgeps.gov.ph/GEPSNONPILOT/Tender/SplashBidNoticeAbstractUI.aspx?menuIndex=3&amp;refID=7191703&amp;Result=3","7191703")</f>
        <v>0</v>
      </c>
      <c r="B7028" t="s">
        <v>2330</v>
      </c>
      <c r="C7028" t="s">
        <v>10459</v>
      </c>
      <c r="D7028" t="s">
        <v>18993</v>
      </c>
      <c r="E7028" t="s">
        <v>25202</v>
      </c>
      <c r="F7028" t="s">
        <v>32606</v>
      </c>
      <c r="G7028" t="s">
        <v>32613</v>
      </c>
      <c r="H7028" t="s">
        <v>14201</v>
      </c>
      <c r="I7028" t="s">
        <v>32652</v>
      </c>
      <c r="J7028" t="s">
        <v>34912</v>
      </c>
      <c r="K7028" t="s">
        <v>42631</v>
      </c>
      <c r="M7028" t="s">
        <v>45440</v>
      </c>
      <c r="N7028" t="s">
        <v>47304</v>
      </c>
      <c r="O7028" t="s">
        <v>47305</v>
      </c>
      <c r="P7028">
        <v>0</v>
      </c>
      <c r="Q7028">
        <v>2</v>
      </c>
      <c r="R7028" t="s">
        <v>47311</v>
      </c>
      <c r="S7028" t="s">
        <v>47443</v>
      </c>
      <c r="T7028" t="s">
        <v>49031</v>
      </c>
      <c r="U7028" t="s">
        <v>55411</v>
      </c>
      <c r="W7028" t="s">
        <v>45440</v>
      </c>
      <c r="X7028" t="s">
        <v>47312</v>
      </c>
    </row>
    <row r="7029" spans="1:24">
      <c r="A7029">
        <f>HYPERLINK("https://www.philgeps.gov.ph/GEPSNONPILOT/Tender/SplashBidNoticeAbstractUI.aspx?menuIndex=3&amp;refID=7191635&amp;Result=3","7191635")</f>
        <v>0</v>
      </c>
      <c r="B7029" t="s">
        <v>2331</v>
      </c>
      <c r="C7029" t="s">
        <v>10460</v>
      </c>
      <c r="D7029" t="s">
        <v>19015</v>
      </c>
      <c r="E7029" t="s">
        <v>25203</v>
      </c>
      <c r="F7029" t="s">
        <v>32606</v>
      </c>
      <c r="G7029" t="s">
        <v>32613</v>
      </c>
      <c r="H7029" t="s">
        <v>32623</v>
      </c>
      <c r="I7029" t="s">
        <v>17648</v>
      </c>
      <c r="J7029" t="s">
        <v>37236</v>
      </c>
      <c r="K7029" t="s">
        <v>42634</v>
      </c>
      <c r="M7029" t="s">
        <v>45441</v>
      </c>
      <c r="N7029" t="s">
        <v>47304</v>
      </c>
      <c r="O7029" t="s">
        <v>47305</v>
      </c>
      <c r="P7029">
        <v>0</v>
      </c>
      <c r="Q7029">
        <v>8</v>
      </c>
      <c r="R7029" t="s">
        <v>47311</v>
      </c>
      <c r="S7029" t="s">
        <v>47443</v>
      </c>
      <c r="T7029" t="s">
        <v>49075</v>
      </c>
      <c r="U7029" t="s">
        <v>55412</v>
      </c>
      <c r="W7029" t="s">
        <v>45441</v>
      </c>
      <c r="X7029" t="s">
        <v>47312</v>
      </c>
    </row>
    <row r="7030" spans="1:24">
      <c r="A7030">
        <f>HYPERLINK("https://www.philgeps.gov.ph/GEPSNONPILOT/Tender/SplashBidNoticeAbstractUI.aspx?menuIndex=3&amp;refID=7191701&amp;Result=3","7191701")</f>
        <v>0</v>
      </c>
      <c r="B7030" t="s">
        <v>2332</v>
      </c>
      <c r="C7030" t="s">
        <v>10461</v>
      </c>
      <c r="D7030" t="s">
        <v>19010</v>
      </c>
      <c r="E7030" t="s">
        <v>25204</v>
      </c>
      <c r="F7030" t="s">
        <v>32606</v>
      </c>
      <c r="G7030" t="s">
        <v>32613</v>
      </c>
      <c r="H7030" t="s">
        <v>32623</v>
      </c>
      <c r="I7030" t="s">
        <v>17648</v>
      </c>
      <c r="J7030" t="s">
        <v>37237</v>
      </c>
      <c r="K7030" t="s">
        <v>42627</v>
      </c>
      <c r="M7030" t="s">
        <v>45442</v>
      </c>
      <c r="N7030" t="s">
        <v>47304</v>
      </c>
      <c r="O7030" t="s">
        <v>47305</v>
      </c>
      <c r="P7030">
        <v>0</v>
      </c>
      <c r="Q7030">
        <v>1</v>
      </c>
      <c r="R7030" t="s">
        <v>47311</v>
      </c>
      <c r="S7030" t="s">
        <v>47443</v>
      </c>
      <c r="T7030" t="s">
        <v>49361</v>
      </c>
      <c r="U7030" t="s">
        <v>55413</v>
      </c>
      <c r="W7030" t="s">
        <v>45442</v>
      </c>
      <c r="X7030" t="s">
        <v>47312</v>
      </c>
    </row>
    <row r="7031" spans="1:24">
      <c r="A7031">
        <f>HYPERLINK("https://www.philgeps.gov.ph/GEPSNONPILOT/Tender/SplashBidNoticeAbstractUI.aspx?menuIndex=3&amp;refID=7191698&amp;Result=3","7191698")</f>
        <v>0</v>
      </c>
      <c r="B7031" t="s">
        <v>1210</v>
      </c>
      <c r="C7031" t="s">
        <v>10462</v>
      </c>
      <c r="D7031" t="s">
        <v>18988</v>
      </c>
      <c r="E7031" t="s">
        <v>25205</v>
      </c>
      <c r="F7031" t="s">
        <v>32606</v>
      </c>
      <c r="G7031" t="s">
        <v>32614</v>
      </c>
      <c r="H7031" t="s">
        <v>14201</v>
      </c>
      <c r="I7031" t="s">
        <v>32661</v>
      </c>
      <c r="J7031" t="s">
        <v>37238</v>
      </c>
      <c r="K7031" t="s">
        <v>42624</v>
      </c>
      <c r="M7031" t="s">
        <v>44175</v>
      </c>
      <c r="N7031" t="s">
        <v>47304</v>
      </c>
      <c r="O7031" t="s">
        <v>47305</v>
      </c>
      <c r="P7031">
        <v>0</v>
      </c>
      <c r="Q7031">
        <v>2</v>
      </c>
      <c r="R7031" t="s">
        <v>47311</v>
      </c>
      <c r="S7031" t="s">
        <v>47443</v>
      </c>
      <c r="T7031" t="s">
        <v>49158</v>
      </c>
      <c r="U7031" t="s">
        <v>55004</v>
      </c>
      <c r="W7031" t="s">
        <v>44175</v>
      </c>
      <c r="X7031" t="s">
        <v>47312</v>
      </c>
    </row>
    <row r="7032" spans="1:24">
      <c r="A7032">
        <f>HYPERLINK("https://www.philgeps.gov.ph/GEPSNONPILOT/Tender/SplashBidNoticeAbstractUI.aspx?menuIndex=3&amp;refID=7191696&amp;Result=3","7191696")</f>
        <v>0</v>
      </c>
      <c r="B7032" t="s">
        <v>782</v>
      </c>
      <c r="C7032" t="s">
        <v>10463</v>
      </c>
      <c r="D7032" t="s">
        <v>19031</v>
      </c>
      <c r="E7032" t="s">
        <v>25206</v>
      </c>
      <c r="F7032" t="s">
        <v>32606</v>
      </c>
      <c r="G7032" t="s">
        <v>32613</v>
      </c>
      <c r="H7032" t="s">
        <v>32623</v>
      </c>
      <c r="I7032" t="s">
        <v>17648</v>
      </c>
      <c r="J7032" t="s">
        <v>32795</v>
      </c>
      <c r="K7032" t="s">
        <v>42648</v>
      </c>
      <c r="L7032" t="s">
        <v>782</v>
      </c>
      <c r="M7032" t="s">
        <v>43713</v>
      </c>
      <c r="N7032" t="s">
        <v>47304</v>
      </c>
      <c r="O7032" t="s">
        <v>47305</v>
      </c>
      <c r="P7032">
        <v>0</v>
      </c>
      <c r="Q7032">
        <v>1</v>
      </c>
      <c r="R7032" t="s">
        <v>47311</v>
      </c>
      <c r="S7032" t="s">
        <v>47443</v>
      </c>
      <c r="T7032" t="s">
        <v>49057</v>
      </c>
      <c r="U7032" t="s">
        <v>55311</v>
      </c>
      <c r="V7032" t="s">
        <v>63330</v>
      </c>
      <c r="W7032" t="s">
        <v>43713</v>
      </c>
      <c r="X7032" t="s">
        <v>47312</v>
      </c>
    </row>
    <row r="7033" spans="1:24">
      <c r="A7033">
        <f>HYPERLINK("https://www.philgeps.gov.ph/GEPSNONPILOT/Tender/SplashBidNoticeAbstractUI.aspx?menuIndex=3&amp;refID=7191691&amp;Result=3","7191691")</f>
        <v>0</v>
      </c>
      <c r="B7033" t="s">
        <v>2325</v>
      </c>
      <c r="C7033" t="s">
        <v>10464</v>
      </c>
      <c r="D7033" t="s">
        <v>18991</v>
      </c>
      <c r="E7033" t="s">
        <v>25207</v>
      </c>
      <c r="F7033" t="s">
        <v>32606</v>
      </c>
      <c r="G7033" t="s">
        <v>32613</v>
      </c>
      <c r="H7033" t="s">
        <v>14201</v>
      </c>
      <c r="I7033" t="s">
        <v>6993</v>
      </c>
      <c r="J7033" t="s">
        <v>37239</v>
      </c>
      <c r="K7033" t="s">
        <v>42624</v>
      </c>
      <c r="M7033" t="s">
        <v>45433</v>
      </c>
      <c r="N7033" t="s">
        <v>47304</v>
      </c>
      <c r="O7033" t="s">
        <v>47305</v>
      </c>
      <c r="P7033">
        <v>0</v>
      </c>
      <c r="Q7033">
        <v>3</v>
      </c>
      <c r="R7033" t="s">
        <v>47311</v>
      </c>
      <c r="S7033" t="s">
        <v>47443</v>
      </c>
      <c r="T7033" t="s">
        <v>49064</v>
      </c>
      <c r="U7033" t="s">
        <v>55414</v>
      </c>
      <c r="W7033" t="s">
        <v>45433</v>
      </c>
      <c r="X7033" t="s">
        <v>47312</v>
      </c>
    </row>
    <row r="7034" spans="1:24">
      <c r="A7034">
        <f>HYPERLINK("https://www.philgeps.gov.ph/GEPSNONPILOT/Tender/SplashBidNoticeAbstractUI.aspx?menuIndex=3&amp;refID=7191708&amp;Result=3","7191708")</f>
        <v>0</v>
      </c>
      <c r="B7034" t="s">
        <v>477</v>
      </c>
      <c r="C7034" t="s">
        <v>10465</v>
      </c>
      <c r="D7034" t="s">
        <v>19019</v>
      </c>
      <c r="E7034" t="s">
        <v>25208</v>
      </c>
      <c r="F7034" t="s">
        <v>32606</v>
      </c>
      <c r="G7034" t="s">
        <v>32614</v>
      </c>
      <c r="H7034" t="s">
        <v>14201</v>
      </c>
      <c r="I7034" t="s">
        <v>6298</v>
      </c>
      <c r="J7034" t="s">
        <v>37240</v>
      </c>
      <c r="K7034" t="s">
        <v>42638</v>
      </c>
      <c r="M7034" t="s">
        <v>43388</v>
      </c>
      <c r="N7034" t="s">
        <v>47304</v>
      </c>
      <c r="O7034" t="s">
        <v>47305</v>
      </c>
      <c r="P7034">
        <v>0</v>
      </c>
      <c r="Q7034">
        <v>2</v>
      </c>
      <c r="R7034" t="s">
        <v>47311</v>
      </c>
      <c r="S7034" t="s">
        <v>47443</v>
      </c>
      <c r="T7034" t="s">
        <v>49071</v>
      </c>
      <c r="U7034" t="s">
        <v>55415</v>
      </c>
      <c r="W7034" t="s">
        <v>43388</v>
      </c>
      <c r="X7034" t="s">
        <v>47312</v>
      </c>
    </row>
    <row r="7035" spans="1:24">
      <c r="A7035">
        <f>HYPERLINK("https://www.philgeps.gov.ph/GEPSNONPILOT/Tender/SplashBidNoticeAbstractUI.aspx?menuIndex=3&amp;refID=7191680&amp;Result=3","7191680")</f>
        <v>0</v>
      </c>
      <c r="B7035" t="s">
        <v>2333</v>
      </c>
      <c r="C7035" t="s">
        <v>10466</v>
      </c>
      <c r="D7035" t="s">
        <v>19016</v>
      </c>
      <c r="E7035" t="s">
        <v>25209</v>
      </c>
      <c r="F7035" t="s">
        <v>32606</v>
      </c>
      <c r="G7035" t="s">
        <v>32614</v>
      </c>
      <c r="H7035" t="s">
        <v>32623</v>
      </c>
      <c r="I7035" t="s">
        <v>32659</v>
      </c>
      <c r="J7035" t="s">
        <v>37241</v>
      </c>
      <c r="K7035" t="s">
        <v>42624</v>
      </c>
      <c r="M7035" t="s">
        <v>45443</v>
      </c>
      <c r="N7035" t="s">
        <v>47304</v>
      </c>
      <c r="O7035" t="s">
        <v>47305</v>
      </c>
      <c r="P7035">
        <v>0</v>
      </c>
      <c r="Q7035">
        <v>0</v>
      </c>
      <c r="R7035" t="s">
        <v>47311</v>
      </c>
      <c r="S7035" t="s">
        <v>47443</v>
      </c>
      <c r="T7035" t="s">
        <v>49047</v>
      </c>
      <c r="U7035" t="s">
        <v>55416</v>
      </c>
      <c r="V7035" t="s">
        <v>63331</v>
      </c>
      <c r="W7035" t="s">
        <v>45443</v>
      </c>
      <c r="X7035" t="s">
        <v>47312</v>
      </c>
    </row>
    <row r="7036" spans="1:24">
      <c r="A7036">
        <f>HYPERLINK("https://www.philgeps.gov.ph/GEPSNONPILOT/Tender/SplashBidNoticeAbstractUI.aspx?menuIndex=3&amp;refID=7191629&amp;Result=3","7191629")</f>
        <v>0</v>
      </c>
      <c r="B7036" t="s">
        <v>2324</v>
      </c>
      <c r="C7036" t="s">
        <v>10467</v>
      </c>
      <c r="D7036" t="s">
        <v>19002</v>
      </c>
      <c r="E7036" t="s">
        <v>25210</v>
      </c>
      <c r="F7036" t="s">
        <v>32606</v>
      </c>
      <c r="G7036" t="s">
        <v>32613</v>
      </c>
      <c r="H7036" t="s">
        <v>14201</v>
      </c>
      <c r="I7036" t="s">
        <v>4678</v>
      </c>
      <c r="J7036" t="s">
        <v>37242</v>
      </c>
      <c r="K7036" t="s">
        <v>42623</v>
      </c>
      <c r="M7036" t="s">
        <v>45432</v>
      </c>
      <c r="N7036" t="s">
        <v>47304</v>
      </c>
      <c r="O7036" t="s">
        <v>47305</v>
      </c>
      <c r="P7036">
        <v>0</v>
      </c>
      <c r="Q7036">
        <v>4</v>
      </c>
      <c r="R7036" t="s">
        <v>47311</v>
      </c>
      <c r="S7036" t="s">
        <v>47443</v>
      </c>
      <c r="T7036" t="s">
        <v>48980</v>
      </c>
      <c r="U7036" t="s">
        <v>49952</v>
      </c>
      <c r="W7036" t="s">
        <v>45432</v>
      </c>
      <c r="X7036" t="s">
        <v>47312</v>
      </c>
    </row>
    <row r="7037" spans="1:24">
      <c r="A7037">
        <f>HYPERLINK("https://www.philgeps.gov.ph/GEPSNONPILOT/Tender/SplashBidNoticeAbstractUI.aspx?menuIndex=3&amp;refID=7191673&amp;Result=3","7191673")</f>
        <v>0</v>
      </c>
      <c r="B7037" t="s">
        <v>1458</v>
      </c>
      <c r="C7037" t="s">
        <v>10468</v>
      </c>
      <c r="D7037" t="s">
        <v>18995</v>
      </c>
      <c r="E7037" t="s">
        <v>25211</v>
      </c>
      <c r="F7037" t="s">
        <v>32606</v>
      </c>
      <c r="G7037" t="s">
        <v>32613</v>
      </c>
      <c r="H7037" t="s">
        <v>14201</v>
      </c>
      <c r="I7037" t="s">
        <v>4112</v>
      </c>
      <c r="J7037" t="s">
        <v>37243</v>
      </c>
      <c r="K7037" t="s">
        <v>42623</v>
      </c>
      <c r="M7037" t="s">
        <v>44451</v>
      </c>
      <c r="N7037" t="s">
        <v>47304</v>
      </c>
      <c r="O7037" t="s">
        <v>47305</v>
      </c>
      <c r="P7037">
        <v>0</v>
      </c>
      <c r="Q7037">
        <v>1</v>
      </c>
      <c r="R7037" t="s">
        <v>47311</v>
      </c>
      <c r="S7037" t="s">
        <v>47443</v>
      </c>
      <c r="T7037" t="s">
        <v>49004</v>
      </c>
      <c r="U7037" t="s">
        <v>55417</v>
      </c>
      <c r="W7037" t="s">
        <v>44451</v>
      </c>
      <c r="X7037" t="s">
        <v>47312</v>
      </c>
    </row>
    <row r="7038" spans="1:24">
      <c r="A7038">
        <f>HYPERLINK("https://www.philgeps.gov.ph/GEPSNONPILOT/Tender/SplashBidNoticeAbstractUI.aspx?menuIndex=3&amp;refID=7191672&amp;Result=3","7191672")</f>
        <v>0</v>
      </c>
      <c r="B7038" t="s">
        <v>2322</v>
      </c>
      <c r="C7038" t="s">
        <v>7123</v>
      </c>
      <c r="D7038" t="s">
        <v>18992</v>
      </c>
      <c r="E7038" t="s">
        <v>25212</v>
      </c>
      <c r="F7038" t="s">
        <v>32606</v>
      </c>
      <c r="G7038" t="s">
        <v>32613</v>
      </c>
      <c r="H7038" t="s">
        <v>14201</v>
      </c>
      <c r="I7038" t="s">
        <v>6931</v>
      </c>
      <c r="J7038" t="s">
        <v>37244</v>
      </c>
      <c r="K7038" t="s">
        <v>42622</v>
      </c>
      <c r="M7038" t="s">
        <v>45430</v>
      </c>
      <c r="N7038" t="s">
        <v>47304</v>
      </c>
      <c r="O7038" t="s">
        <v>47305</v>
      </c>
      <c r="P7038">
        <v>0</v>
      </c>
      <c r="Q7038">
        <v>0</v>
      </c>
      <c r="R7038" t="s">
        <v>47311</v>
      </c>
      <c r="S7038" t="s">
        <v>47443</v>
      </c>
      <c r="T7038" t="s">
        <v>48979</v>
      </c>
      <c r="U7038" t="s">
        <v>55418</v>
      </c>
      <c r="V7038" t="s">
        <v>63326</v>
      </c>
      <c r="W7038" t="s">
        <v>45430</v>
      </c>
      <c r="X7038" t="s">
        <v>47312</v>
      </c>
    </row>
    <row r="7039" spans="1:24">
      <c r="A7039">
        <f>HYPERLINK("https://www.philgeps.gov.ph/GEPSNONPILOT/Tender/SplashBidNoticeAbstractUI.aspx?menuIndex=3&amp;refID=7191669&amp;Result=3","7191669")</f>
        <v>0</v>
      </c>
      <c r="B7039" t="s">
        <v>2330</v>
      </c>
      <c r="C7039" t="s">
        <v>10469</v>
      </c>
      <c r="D7039" t="s">
        <v>18993</v>
      </c>
      <c r="E7039" t="s">
        <v>25213</v>
      </c>
      <c r="F7039" t="s">
        <v>32606</v>
      </c>
      <c r="G7039" t="s">
        <v>32613</v>
      </c>
      <c r="H7039" t="s">
        <v>14201</v>
      </c>
      <c r="I7039" t="s">
        <v>7064</v>
      </c>
      <c r="J7039" t="s">
        <v>37245</v>
      </c>
      <c r="K7039" t="s">
        <v>42646</v>
      </c>
      <c r="M7039" t="s">
        <v>45440</v>
      </c>
      <c r="N7039" t="s">
        <v>47304</v>
      </c>
      <c r="O7039" t="s">
        <v>47305</v>
      </c>
      <c r="P7039">
        <v>0</v>
      </c>
      <c r="Q7039">
        <v>18</v>
      </c>
      <c r="R7039" t="s">
        <v>47311</v>
      </c>
      <c r="S7039" t="s">
        <v>47443</v>
      </c>
      <c r="T7039" t="s">
        <v>48995</v>
      </c>
      <c r="U7039" t="s">
        <v>55411</v>
      </c>
      <c r="W7039" t="s">
        <v>45440</v>
      </c>
      <c r="X7039" t="s">
        <v>47312</v>
      </c>
    </row>
    <row r="7040" spans="1:24">
      <c r="A7040">
        <f>HYPERLINK("https://www.philgeps.gov.ph/GEPSNONPILOT/Tender/SplashBidNoticeAbstractUI.aspx?menuIndex=3&amp;refID=7191687&amp;Result=3","7191687")</f>
        <v>0</v>
      </c>
      <c r="B7040" t="s">
        <v>477</v>
      </c>
      <c r="C7040" t="s">
        <v>10470</v>
      </c>
      <c r="D7040" t="s">
        <v>19019</v>
      </c>
      <c r="E7040" t="s">
        <v>25214</v>
      </c>
      <c r="F7040" t="s">
        <v>32606</v>
      </c>
      <c r="G7040" t="s">
        <v>32614</v>
      </c>
      <c r="H7040" t="s">
        <v>14201</v>
      </c>
      <c r="I7040" t="s">
        <v>4369</v>
      </c>
      <c r="J7040" t="s">
        <v>32923</v>
      </c>
      <c r="K7040" t="s">
        <v>42638</v>
      </c>
      <c r="M7040" t="s">
        <v>43388</v>
      </c>
      <c r="N7040" t="s">
        <v>47304</v>
      </c>
      <c r="O7040" t="s">
        <v>47305</v>
      </c>
      <c r="P7040">
        <v>0</v>
      </c>
      <c r="Q7040">
        <v>2</v>
      </c>
      <c r="R7040" t="s">
        <v>47311</v>
      </c>
      <c r="S7040" t="s">
        <v>47443</v>
      </c>
      <c r="T7040" t="s">
        <v>49071</v>
      </c>
      <c r="U7040" t="s">
        <v>55419</v>
      </c>
      <c r="W7040" t="s">
        <v>43388</v>
      </c>
      <c r="X7040" t="s">
        <v>47312</v>
      </c>
    </row>
    <row r="7041" spans="1:24">
      <c r="A7041">
        <f>HYPERLINK("https://www.philgeps.gov.ph/GEPSNONPILOT/Tender/SplashBidNoticeAbstractUI.aspx?menuIndex=3&amp;refID=7191652&amp;Result=3","7191652")</f>
        <v>0</v>
      </c>
      <c r="B7041" t="s">
        <v>2312</v>
      </c>
      <c r="C7041" t="s">
        <v>10471</v>
      </c>
      <c r="E7041" t="s">
        <v>25215</v>
      </c>
      <c r="F7041" t="s">
        <v>32606</v>
      </c>
      <c r="G7041" t="s">
        <v>32613</v>
      </c>
      <c r="H7041" t="s">
        <v>32623</v>
      </c>
      <c r="I7041" t="s">
        <v>17648</v>
      </c>
      <c r="J7041" t="s">
        <v>37207</v>
      </c>
      <c r="K7041" t="s">
        <v>42624</v>
      </c>
      <c r="M7041" t="s">
        <v>45420</v>
      </c>
      <c r="N7041" t="s">
        <v>47304</v>
      </c>
      <c r="O7041" t="s">
        <v>47305</v>
      </c>
      <c r="Q7041">
        <v>1</v>
      </c>
      <c r="R7041" t="s">
        <v>47311</v>
      </c>
      <c r="S7041" t="s">
        <v>47482</v>
      </c>
      <c r="T7041" t="s">
        <v>48980</v>
      </c>
      <c r="U7041" t="s">
        <v>55420</v>
      </c>
      <c r="W7041" t="s">
        <v>64497</v>
      </c>
      <c r="X7041" t="s">
        <v>47312</v>
      </c>
    </row>
    <row r="7042" spans="1:24">
      <c r="A7042">
        <f>HYPERLINK("https://www.philgeps.gov.ph/GEPSNONPILOT/Tender/SplashBidNoticeAbstractUI.aspx?menuIndex=3&amp;refID=7191633&amp;Result=3","7191633")</f>
        <v>0</v>
      </c>
      <c r="B7042" t="s">
        <v>2334</v>
      </c>
      <c r="C7042" t="s">
        <v>10472</v>
      </c>
      <c r="D7042" t="s">
        <v>19024</v>
      </c>
      <c r="E7042" t="s">
        <v>19670</v>
      </c>
      <c r="F7042" t="s">
        <v>32606</v>
      </c>
      <c r="G7042" t="s">
        <v>32613</v>
      </c>
      <c r="H7042" t="s">
        <v>14201</v>
      </c>
      <c r="I7042" t="s">
        <v>9297</v>
      </c>
      <c r="J7042" t="s">
        <v>32777</v>
      </c>
      <c r="K7042" t="s">
        <v>42789</v>
      </c>
      <c r="M7042" t="s">
        <v>45444</v>
      </c>
      <c r="N7042" t="s">
        <v>47304</v>
      </c>
      <c r="O7042" t="s">
        <v>47305</v>
      </c>
      <c r="P7042">
        <v>0</v>
      </c>
      <c r="Q7042">
        <v>4</v>
      </c>
      <c r="R7042" t="s">
        <v>47311</v>
      </c>
      <c r="S7042" t="s">
        <v>47443</v>
      </c>
      <c r="T7042" t="s">
        <v>49096</v>
      </c>
      <c r="U7042" t="s">
        <v>55421</v>
      </c>
      <c r="W7042" t="s">
        <v>45444</v>
      </c>
      <c r="X7042" t="s">
        <v>47312</v>
      </c>
    </row>
    <row r="7043" spans="1:24">
      <c r="A7043">
        <f>HYPERLINK("https://www.philgeps.gov.ph/GEPSNONPILOT/Tender/SplashBidNoticeAbstractUI.aspx?menuIndex=3&amp;refID=7191683&amp;Result=3","7191683")</f>
        <v>0</v>
      </c>
      <c r="B7043" t="s">
        <v>2335</v>
      </c>
      <c r="C7043" t="s">
        <v>10473</v>
      </c>
      <c r="D7043" t="s">
        <v>19033</v>
      </c>
      <c r="E7043" t="s">
        <v>25216</v>
      </c>
      <c r="F7043" t="s">
        <v>32606</v>
      </c>
      <c r="G7043" t="s">
        <v>32614</v>
      </c>
      <c r="H7043" t="s">
        <v>14201</v>
      </c>
      <c r="I7043" t="s">
        <v>32629</v>
      </c>
      <c r="J7043" t="s">
        <v>37246</v>
      </c>
      <c r="K7043" t="s">
        <v>42664</v>
      </c>
      <c r="M7043" t="s">
        <v>45445</v>
      </c>
      <c r="N7043" t="s">
        <v>47304</v>
      </c>
      <c r="O7043" t="s">
        <v>47305</v>
      </c>
      <c r="P7043">
        <v>0</v>
      </c>
      <c r="Q7043">
        <v>0</v>
      </c>
      <c r="R7043" t="s">
        <v>47311</v>
      </c>
      <c r="S7043" t="s">
        <v>47443</v>
      </c>
      <c r="T7043" t="s">
        <v>49339</v>
      </c>
      <c r="U7043" t="s">
        <v>55422</v>
      </c>
      <c r="W7043" t="s">
        <v>45445</v>
      </c>
      <c r="X7043" t="s">
        <v>47312</v>
      </c>
    </row>
    <row r="7044" spans="1:24">
      <c r="A7044">
        <f>HYPERLINK("https://www.philgeps.gov.ph/GEPSNONPILOT/Tender/SplashBidNoticeAbstractUI.aspx?menuIndex=3&amp;refID=7191631&amp;Result=3","7191631")</f>
        <v>0</v>
      </c>
      <c r="B7044" t="s">
        <v>2336</v>
      </c>
      <c r="C7044" t="s">
        <v>10474</v>
      </c>
      <c r="D7044" t="s">
        <v>18991</v>
      </c>
      <c r="E7044" t="s">
        <v>19315</v>
      </c>
      <c r="F7044" t="s">
        <v>32606</v>
      </c>
      <c r="G7044" t="s">
        <v>32617</v>
      </c>
      <c r="H7044" t="s">
        <v>14201</v>
      </c>
      <c r="I7044" t="s">
        <v>4114</v>
      </c>
      <c r="J7044" t="s">
        <v>37247</v>
      </c>
      <c r="K7044" t="s">
        <v>42630</v>
      </c>
      <c r="M7044" t="s">
        <v>45446</v>
      </c>
      <c r="N7044" t="s">
        <v>47304</v>
      </c>
      <c r="O7044" t="s">
        <v>47305</v>
      </c>
      <c r="P7044">
        <v>0</v>
      </c>
      <c r="Q7044">
        <v>2</v>
      </c>
      <c r="R7044" t="s">
        <v>47311</v>
      </c>
      <c r="S7044" t="s">
        <v>47443</v>
      </c>
      <c r="T7044" t="s">
        <v>49331</v>
      </c>
      <c r="U7044" t="s">
        <v>55423</v>
      </c>
      <c r="W7044" t="s">
        <v>45446</v>
      </c>
      <c r="X7044" t="s">
        <v>47312</v>
      </c>
    </row>
    <row r="7045" spans="1:24">
      <c r="A7045">
        <f>HYPERLINK("https://www.philgeps.gov.ph/GEPSNONPILOT/Tender/SplashBidNoticeAbstractUI.aspx?menuIndex=3&amp;refID=7191619&amp;Result=3","7191619")</f>
        <v>0</v>
      </c>
      <c r="B7045" t="s">
        <v>477</v>
      </c>
      <c r="C7045" t="s">
        <v>10475</v>
      </c>
      <c r="D7045" t="s">
        <v>19019</v>
      </c>
      <c r="E7045" t="s">
        <v>25217</v>
      </c>
      <c r="F7045" t="s">
        <v>32606</v>
      </c>
      <c r="G7045" t="s">
        <v>32614</v>
      </c>
      <c r="H7045" t="s">
        <v>14201</v>
      </c>
      <c r="I7045" t="s">
        <v>6298</v>
      </c>
      <c r="J7045" t="s">
        <v>37248</v>
      </c>
      <c r="K7045" t="s">
        <v>42638</v>
      </c>
      <c r="M7045" t="s">
        <v>43388</v>
      </c>
      <c r="N7045" t="s">
        <v>47304</v>
      </c>
      <c r="O7045" t="s">
        <v>47305</v>
      </c>
      <c r="P7045">
        <v>0</v>
      </c>
      <c r="Q7045">
        <v>0</v>
      </c>
      <c r="R7045" t="s">
        <v>47311</v>
      </c>
      <c r="S7045" t="s">
        <v>47443</v>
      </c>
      <c r="T7045" t="s">
        <v>49071</v>
      </c>
      <c r="U7045" t="s">
        <v>55424</v>
      </c>
      <c r="W7045" t="s">
        <v>43388</v>
      </c>
      <c r="X7045" t="s">
        <v>47312</v>
      </c>
    </row>
    <row r="7046" spans="1:24">
      <c r="A7046">
        <f>HYPERLINK("https://www.philgeps.gov.ph/GEPSNONPILOT/Tender/SplashBidNoticeAbstractUI.aspx?menuIndex=3&amp;refID=7191718&amp;Result=3","7191718")</f>
        <v>0</v>
      </c>
      <c r="B7046" t="s">
        <v>2326</v>
      </c>
      <c r="C7046" t="s">
        <v>10476</v>
      </c>
      <c r="E7046" t="s">
        <v>25218</v>
      </c>
      <c r="F7046" t="s">
        <v>32606</v>
      </c>
      <c r="G7046" t="s">
        <v>32613</v>
      </c>
      <c r="H7046" t="s">
        <v>14201</v>
      </c>
      <c r="I7046" t="s">
        <v>32631</v>
      </c>
      <c r="J7046" t="s">
        <v>37249</v>
      </c>
      <c r="K7046" t="s">
        <v>42624</v>
      </c>
      <c r="M7046" t="s">
        <v>45434</v>
      </c>
      <c r="N7046" t="s">
        <v>47304</v>
      </c>
      <c r="O7046" t="s">
        <v>47305</v>
      </c>
      <c r="P7046">
        <v>0</v>
      </c>
      <c r="Q7046">
        <v>1</v>
      </c>
      <c r="R7046" t="s">
        <v>47311</v>
      </c>
      <c r="S7046" t="s">
        <v>47443</v>
      </c>
      <c r="T7046" t="s">
        <v>48973</v>
      </c>
      <c r="U7046" t="s">
        <v>55425</v>
      </c>
      <c r="W7046" t="s">
        <v>45434</v>
      </c>
      <c r="X7046" t="s">
        <v>47312</v>
      </c>
    </row>
    <row r="7047" spans="1:24">
      <c r="A7047">
        <f>HYPERLINK("https://www.philgeps.gov.ph/GEPSNONPILOT/Tender/SplashBidNoticeAbstractUI.aspx?menuIndex=3&amp;refID=7191676&amp;Result=3","7191676")</f>
        <v>0</v>
      </c>
      <c r="B7047" t="s">
        <v>2306</v>
      </c>
      <c r="C7047" t="s">
        <v>10477</v>
      </c>
      <c r="D7047" t="s">
        <v>18994</v>
      </c>
      <c r="E7047" t="s">
        <v>25219</v>
      </c>
      <c r="F7047" t="s">
        <v>32606</v>
      </c>
      <c r="G7047" t="s">
        <v>32613</v>
      </c>
      <c r="H7047" t="s">
        <v>14201</v>
      </c>
      <c r="I7047" t="s">
        <v>6931</v>
      </c>
      <c r="J7047" t="s">
        <v>35766</v>
      </c>
      <c r="K7047" t="s">
        <v>42627</v>
      </c>
      <c r="M7047" t="s">
        <v>45412</v>
      </c>
      <c r="N7047" t="s">
        <v>47304</v>
      </c>
      <c r="O7047" t="s">
        <v>47305</v>
      </c>
      <c r="P7047">
        <v>0</v>
      </c>
      <c r="Q7047">
        <v>2</v>
      </c>
      <c r="R7047" t="s">
        <v>47311</v>
      </c>
      <c r="S7047" t="s">
        <v>47443</v>
      </c>
      <c r="T7047" t="s">
        <v>49203</v>
      </c>
      <c r="U7047" t="s">
        <v>55426</v>
      </c>
      <c r="V7047" t="s">
        <v>63316</v>
      </c>
      <c r="W7047" t="s">
        <v>45412</v>
      </c>
      <c r="X7047" t="s">
        <v>47312</v>
      </c>
    </row>
    <row r="7048" spans="1:24">
      <c r="A7048">
        <f>HYPERLINK("https://www.philgeps.gov.ph/GEPSNONPILOT/Tender/SplashBidNoticeAbstractUI.aspx?menuIndex=3&amp;refID=7191764&amp;Result=3","7191764")</f>
        <v>0</v>
      </c>
      <c r="B7048" t="s">
        <v>477</v>
      </c>
      <c r="C7048" t="s">
        <v>10478</v>
      </c>
      <c r="D7048" t="s">
        <v>19019</v>
      </c>
      <c r="E7048" t="s">
        <v>25220</v>
      </c>
      <c r="F7048" t="s">
        <v>32606</v>
      </c>
      <c r="G7048" t="s">
        <v>32614</v>
      </c>
      <c r="H7048" t="s">
        <v>14201</v>
      </c>
      <c r="I7048" t="s">
        <v>6298</v>
      </c>
      <c r="J7048" t="s">
        <v>35184</v>
      </c>
      <c r="K7048" t="s">
        <v>42638</v>
      </c>
      <c r="M7048" t="s">
        <v>43388</v>
      </c>
      <c r="N7048" t="s">
        <v>47304</v>
      </c>
      <c r="O7048" t="s">
        <v>47305</v>
      </c>
      <c r="P7048">
        <v>0</v>
      </c>
      <c r="Q7048">
        <v>0</v>
      </c>
      <c r="R7048" t="s">
        <v>47311</v>
      </c>
      <c r="S7048" t="s">
        <v>47443</v>
      </c>
      <c r="T7048" t="s">
        <v>49071</v>
      </c>
      <c r="U7048" t="s">
        <v>55427</v>
      </c>
      <c r="W7048" t="s">
        <v>43388</v>
      </c>
      <c r="X7048" t="s">
        <v>47312</v>
      </c>
    </row>
    <row r="7049" spans="1:24">
      <c r="A7049">
        <f>HYPERLINK("https://www.philgeps.gov.ph/GEPSNONPILOT/Tender/SplashBidNoticeAbstractUI.aspx?menuIndex=3&amp;refID=7191762&amp;Result=3","7191762")</f>
        <v>0</v>
      </c>
      <c r="B7049" t="s">
        <v>689</v>
      </c>
      <c r="C7049" t="s">
        <v>10479</v>
      </c>
      <c r="D7049" t="s">
        <v>19004</v>
      </c>
      <c r="E7049" t="s">
        <v>25221</v>
      </c>
      <c r="F7049" t="s">
        <v>32606</v>
      </c>
      <c r="G7049" t="s">
        <v>32619</v>
      </c>
      <c r="H7049" t="s">
        <v>14201</v>
      </c>
      <c r="I7049" t="s">
        <v>6298</v>
      </c>
      <c r="J7049" t="s">
        <v>37250</v>
      </c>
      <c r="K7049" t="s">
        <v>42624</v>
      </c>
      <c r="M7049" t="s">
        <v>43610</v>
      </c>
      <c r="N7049" t="s">
        <v>47304</v>
      </c>
      <c r="O7049" t="s">
        <v>47305</v>
      </c>
      <c r="P7049">
        <v>0</v>
      </c>
      <c r="Q7049">
        <v>0</v>
      </c>
      <c r="R7049" t="s">
        <v>47311</v>
      </c>
      <c r="S7049" t="s">
        <v>47443</v>
      </c>
      <c r="T7049" t="s">
        <v>49263</v>
      </c>
      <c r="U7049" t="s">
        <v>55428</v>
      </c>
      <c r="W7049" t="s">
        <v>43610</v>
      </c>
      <c r="X7049" t="s">
        <v>47312</v>
      </c>
    </row>
    <row r="7050" spans="1:24">
      <c r="A7050">
        <f>HYPERLINK("https://www.philgeps.gov.ph/GEPSNONPILOT/Tender/SplashBidNoticeAbstractUI.aspx?menuIndex=3&amp;refID=7191755&amp;Result=3","7191755")</f>
        <v>0</v>
      </c>
      <c r="B7050" t="s">
        <v>2332</v>
      </c>
      <c r="C7050" t="s">
        <v>10480</v>
      </c>
      <c r="D7050" t="s">
        <v>19010</v>
      </c>
      <c r="E7050" t="s">
        <v>25222</v>
      </c>
      <c r="F7050" t="s">
        <v>32606</v>
      </c>
      <c r="G7050" t="s">
        <v>32613</v>
      </c>
      <c r="H7050" t="s">
        <v>32623</v>
      </c>
      <c r="I7050" t="s">
        <v>17648</v>
      </c>
      <c r="J7050" t="s">
        <v>37251</v>
      </c>
      <c r="K7050" t="s">
        <v>42627</v>
      </c>
      <c r="M7050" t="s">
        <v>45442</v>
      </c>
      <c r="N7050" t="s">
        <v>47304</v>
      </c>
      <c r="O7050" t="s">
        <v>47305</v>
      </c>
      <c r="P7050">
        <v>0</v>
      </c>
      <c r="Q7050">
        <v>1</v>
      </c>
      <c r="R7050" t="s">
        <v>47311</v>
      </c>
      <c r="S7050" t="s">
        <v>47443</v>
      </c>
      <c r="T7050" t="s">
        <v>49361</v>
      </c>
      <c r="U7050" t="s">
        <v>55429</v>
      </c>
      <c r="W7050" t="s">
        <v>45442</v>
      </c>
      <c r="X7050" t="s">
        <v>47312</v>
      </c>
    </row>
    <row r="7051" spans="1:24">
      <c r="A7051">
        <f>HYPERLINK("https://www.philgeps.gov.ph/GEPSNONPILOT/Tender/SplashBidNoticeAbstractUI.aspx?menuIndex=3&amp;refID=7191754&amp;Result=3","7191754")</f>
        <v>0</v>
      </c>
      <c r="B7051" t="s">
        <v>2326</v>
      </c>
      <c r="C7051" t="s">
        <v>10481</v>
      </c>
      <c r="E7051" t="s">
        <v>25223</v>
      </c>
      <c r="F7051" t="s">
        <v>32606</v>
      </c>
      <c r="G7051" t="s">
        <v>32613</v>
      </c>
      <c r="H7051" t="s">
        <v>14201</v>
      </c>
      <c r="I7051" t="s">
        <v>7064</v>
      </c>
      <c r="J7051" t="s">
        <v>37252</v>
      </c>
      <c r="K7051" t="s">
        <v>42624</v>
      </c>
      <c r="M7051" t="s">
        <v>45434</v>
      </c>
      <c r="N7051" t="s">
        <v>47304</v>
      </c>
      <c r="O7051" t="s">
        <v>47305</v>
      </c>
      <c r="P7051">
        <v>0</v>
      </c>
      <c r="Q7051">
        <v>5</v>
      </c>
      <c r="R7051" t="s">
        <v>47311</v>
      </c>
      <c r="S7051" t="s">
        <v>47443</v>
      </c>
      <c r="T7051" t="s">
        <v>48973</v>
      </c>
      <c r="U7051" t="s">
        <v>55430</v>
      </c>
      <c r="W7051" t="s">
        <v>45434</v>
      </c>
      <c r="X7051" t="s">
        <v>47312</v>
      </c>
    </row>
    <row r="7052" spans="1:24">
      <c r="A7052">
        <f>HYPERLINK("https://www.philgeps.gov.ph/GEPSNONPILOT/Tender/SplashBidNoticeAbstractUI.aspx?menuIndex=3&amp;refID=7191705&amp;Result=3","7191705")</f>
        <v>0</v>
      </c>
      <c r="B7052" t="s">
        <v>2275</v>
      </c>
      <c r="C7052" t="s">
        <v>10482</v>
      </c>
      <c r="D7052" t="s">
        <v>19044</v>
      </c>
      <c r="E7052" t="s">
        <v>25224</v>
      </c>
      <c r="F7052" t="s">
        <v>32606</v>
      </c>
      <c r="G7052" t="s">
        <v>32613</v>
      </c>
      <c r="H7052" t="s">
        <v>14201</v>
      </c>
      <c r="I7052" t="s">
        <v>32633</v>
      </c>
      <c r="J7052" t="s">
        <v>37253</v>
      </c>
      <c r="K7052" t="s">
        <v>42631</v>
      </c>
      <c r="M7052" t="s">
        <v>45380</v>
      </c>
      <c r="N7052" t="s">
        <v>47304</v>
      </c>
      <c r="O7052" t="s">
        <v>47305</v>
      </c>
      <c r="P7052">
        <v>0</v>
      </c>
      <c r="Q7052">
        <v>4</v>
      </c>
      <c r="R7052" t="s">
        <v>47311</v>
      </c>
      <c r="S7052" t="s">
        <v>47443</v>
      </c>
      <c r="T7052" t="s">
        <v>49016</v>
      </c>
      <c r="U7052" t="s">
        <v>55431</v>
      </c>
      <c r="W7052" t="s">
        <v>45380</v>
      </c>
      <c r="X7052" t="s">
        <v>47312</v>
      </c>
    </row>
    <row r="7053" spans="1:24">
      <c r="A7053">
        <f>HYPERLINK("https://www.philgeps.gov.ph/GEPSNONPILOT/Tender/SplashBidNoticeAbstractUI.aspx?menuIndex=3&amp;refID=7191752&amp;Result=3","7191752")</f>
        <v>0</v>
      </c>
      <c r="B7053" t="s">
        <v>2325</v>
      </c>
      <c r="C7053" t="s">
        <v>10483</v>
      </c>
      <c r="D7053" t="s">
        <v>18991</v>
      </c>
      <c r="E7053" t="s">
        <v>25225</v>
      </c>
      <c r="F7053" t="s">
        <v>32606</v>
      </c>
      <c r="G7053" t="s">
        <v>32613</v>
      </c>
      <c r="H7053" t="s">
        <v>32623</v>
      </c>
      <c r="I7053" t="s">
        <v>17648</v>
      </c>
      <c r="J7053" t="s">
        <v>33071</v>
      </c>
      <c r="K7053" t="s">
        <v>42624</v>
      </c>
      <c r="M7053" t="s">
        <v>45433</v>
      </c>
      <c r="N7053" t="s">
        <v>47304</v>
      </c>
      <c r="O7053" t="s">
        <v>47305</v>
      </c>
      <c r="P7053">
        <v>0</v>
      </c>
      <c r="Q7053">
        <v>0</v>
      </c>
      <c r="R7053" t="s">
        <v>47311</v>
      </c>
      <c r="S7053" t="s">
        <v>47443</v>
      </c>
      <c r="T7053" t="s">
        <v>49064</v>
      </c>
      <c r="U7053" t="s">
        <v>55432</v>
      </c>
      <c r="W7053" t="s">
        <v>45433</v>
      </c>
      <c r="X7053" t="s">
        <v>47312</v>
      </c>
    </row>
    <row r="7054" spans="1:24">
      <c r="A7054">
        <f>HYPERLINK("https://www.philgeps.gov.ph/GEPSNONPILOT/Tender/SplashBidNoticeAbstractUI.aspx?menuIndex=3&amp;refID=7191747&amp;Result=3","7191747")</f>
        <v>0</v>
      </c>
      <c r="B7054" t="s">
        <v>1661</v>
      </c>
      <c r="C7054" t="s">
        <v>10484</v>
      </c>
      <c r="D7054" t="s">
        <v>19007</v>
      </c>
      <c r="E7054" t="s">
        <v>24564</v>
      </c>
      <c r="F7054" t="s">
        <v>32606</v>
      </c>
      <c r="G7054" t="s">
        <v>32619</v>
      </c>
      <c r="H7054" t="s">
        <v>14201</v>
      </c>
      <c r="I7054" t="s">
        <v>32633</v>
      </c>
      <c r="J7054" t="s">
        <v>32789</v>
      </c>
      <c r="K7054" t="s">
        <v>42629</v>
      </c>
      <c r="M7054" t="s">
        <v>44686</v>
      </c>
      <c r="N7054" t="s">
        <v>47304</v>
      </c>
      <c r="O7054" t="s">
        <v>47305</v>
      </c>
      <c r="P7054">
        <v>0</v>
      </c>
      <c r="Q7054">
        <v>8</v>
      </c>
      <c r="R7054" t="s">
        <v>47311</v>
      </c>
      <c r="S7054" t="s">
        <v>47443</v>
      </c>
      <c r="T7054" t="s">
        <v>49327</v>
      </c>
      <c r="U7054" t="s">
        <v>55433</v>
      </c>
      <c r="W7054" t="s">
        <v>44686</v>
      </c>
      <c r="X7054" t="s">
        <v>47312</v>
      </c>
    </row>
    <row r="7055" spans="1:24">
      <c r="A7055">
        <f>HYPERLINK("https://www.philgeps.gov.ph/GEPSNONPILOT/Tender/SplashBidNoticeAbstractUI.aspx?menuIndex=3&amp;refID=7191739&amp;Result=3","7191739")</f>
        <v>0</v>
      </c>
      <c r="B7055" t="s">
        <v>477</v>
      </c>
      <c r="C7055" t="s">
        <v>10485</v>
      </c>
      <c r="D7055" t="s">
        <v>19019</v>
      </c>
      <c r="E7055" t="s">
        <v>25226</v>
      </c>
      <c r="F7055" t="s">
        <v>32606</v>
      </c>
      <c r="G7055" t="s">
        <v>32614</v>
      </c>
      <c r="H7055" t="s">
        <v>14201</v>
      </c>
      <c r="I7055" t="s">
        <v>4112</v>
      </c>
      <c r="J7055" t="s">
        <v>37254</v>
      </c>
      <c r="K7055" t="s">
        <v>42638</v>
      </c>
      <c r="M7055" t="s">
        <v>43388</v>
      </c>
      <c r="N7055" t="s">
        <v>47304</v>
      </c>
      <c r="O7055" t="s">
        <v>47305</v>
      </c>
      <c r="P7055">
        <v>0</v>
      </c>
      <c r="Q7055">
        <v>0</v>
      </c>
      <c r="R7055" t="s">
        <v>47311</v>
      </c>
      <c r="S7055" t="s">
        <v>47443</v>
      </c>
      <c r="T7055" t="s">
        <v>49071</v>
      </c>
      <c r="U7055" t="s">
        <v>55434</v>
      </c>
      <c r="W7055" t="s">
        <v>43388</v>
      </c>
      <c r="X7055" t="s">
        <v>47312</v>
      </c>
    </row>
    <row r="7056" spans="1:24">
      <c r="A7056">
        <f>HYPERLINK("https://www.philgeps.gov.ph/GEPSNONPILOT/Tender/SplashBidNoticeAbstractUI.aspx?menuIndex=3&amp;refID=7191760&amp;Result=3","7191760")</f>
        <v>0</v>
      </c>
      <c r="B7056" t="s">
        <v>2155</v>
      </c>
      <c r="C7056" t="s">
        <v>10486</v>
      </c>
      <c r="D7056" t="s">
        <v>19011</v>
      </c>
      <c r="E7056" t="s">
        <v>25227</v>
      </c>
      <c r="F7056" t="s">
        <v>32606</v>
      </c>
      <c r="G7056" t="s">
        <v>32613</v>
      </c>
      <c r="H7056" t="s">
        <v>32623</v>
      </c>
      <c r="I7056" t="s">
        <v>17648</v>
      </c>
      <c r="J7056" t="s">
        <v>37255</v>
      </c>
      <c r="K7056" t="s">
        <v>42623</v>
      </c>
      <c r="M7056" t="s">
        <v>45246</v>
      </c>
      <c r="N7056" t="s">
        <v>47304</v>
      </c>
      <c r="O7056" t="s">
        <v>47305</v>
      </c>
      <c r="P7056">
        <v>0</v>
      </c>
      <c r="Q7056">
        <v>0</v>
      </c>
      <c r="R7056" t="s">
        <v>47311</v>
      </c>
      <c r="S7056" t="s">
        <v>47443</v>
      </c>
      <c r="T7056" t="s">
        <v>49115</v>
      </c>
      <c r="U7056" t="s">
        <v>55435</v>
      </c>
      <c r="V7056" t="s">
        <v>63264</v>
      </c>
      <c r="W7056" t="s">
        <v>45246</v>
      </c>
      <c r="X7056" t="s">
        <v>47312</v>
      </c>
    </row>
    <row r="7057" spans="1:24">
      <c r="A7057">
        <f>HYPERLINK("https://www.philgeps.gov.ph/GEPSNONPILOT/Tender/SplashBidNoticeAbstractUI.aspx?menuIndex=3&amp;refID=7191666&amp;Result=3","7191666")</f>
        <v>0</v>
      </c>
      <c r="B7057" t="s">
        <v>782</v>
      </c>
      <c r="C7057" t="s">
        <v>10487</v>
      </c>
      <c r="D7057" t="s">
        <v>19031</v>
      </c>
      <c r="E7057" t="s">
        <v>25228</v>
      </c>
      <c r="F7057" t="s">
        <v>32606</v>
      </c>
      <c r="G7057" t="s">
        <v>32613</v>
      </c>
      <c r="H7057" t="s">
        <v>32623</v>
      </c>
      <c r="I7057" t="s">
        <v>17648</v>
      </c>
      <c r="J7057" t="s">
        <v>37256</v>
      </c>
      <c r="K7057" t="s">
        <v>42648</v>
      </c>
      <c r="L7057" t="s">
        <v>782</v>
      </c>
      <c r="M7057" t="s">
        <v>43713</v>
      </c>
      <c r="N7057" t="s">
        <v>47304</v>
      </c>
      <c r="O7057" t="s">
        <v>47305</v>
      </c>
      <c r="P7057">
        <v>0</v>
      </c>
      <c r="Q7057">
        <v>1</v>
      </c>
      <c r="R7057" t="s">
        <v>47311</v>
      </c>
      <c r="S7057" t="s">
        <v>47443</v>
      </c>
      <c r="T7057" t="s">
        <v>49057</v>
      </c>
      <c r="U7057" t="s">
        <v>55311</v>
      </c>
      <c r="V7057" t="s">
        <v>63330</v>
      </c>
      <c r="W7057" t="s">
        <v>43713</v>
      </c>
      <c r="X7057" t="s">
        <v>47312</v>
      </c>
    </row>
    <row r="7058" spans="1:24">
      <c r="A7058">
        <f>HYPERLINK("https://www.philgeps.gov.ph/GEPSNONPILOT/Tender/SplashBidNoticeAbstractUI.aspx?menuIndex=3&amp;refID=7191738&amp;Result=3","7191738")</f>
        <v>0</v>
      </c>
      <c r="B7058" t="s">
        <v>2337</v>
      </c>
      <c r="C7058" t="s">
        <v>10488</v>
      </c>
      <c r="D7058" t="s">
        <v>19048</v>
      </c>
      <c r="E7058" t="s">
        <v>25229</v>
      </c>
      <c r="F7058" t="s">
        <v>32606</v>
      </c>
      <c r="G7058" t="s">
        <v>32613</v>
      </c>
      <c r="H7058" t="s">
        <v>32624</v>
      </c>
      <c r="I7058" t="s">
        <v>5233</v>
      </c>
      <c r="J7058" t="s">
        <v>32765</v>
      </c>
      <c r="K7058" t="s">
        <v>42649</v>
      </c>
      <c r="M7058" t="s">
        <v>45447</v>
      </c>
      <c r="N7058" t="s">
        <v>47304</v>
      </c>
      <c r="O7058" t="s">
        <v>47305</v>
      </c>
      <c r="P7058">
        <v>0</v>
      </c>
      <c r="Q7058">
        <v>0</v>
      </c>
      <c r="R7058" t="s">
        <v>47311</v>
      </c>
      <c r="S7058" t="s">
        <v>47443</v>
      </c>
      <c r="T7058" t="s">
        <v>49081</v>
      </c>
      <c r="U7058" t="s">
        <v>55436</v>
      </c>
      <c r="W7058" t="s">
        <v>45447</v>
      </c>
      <c r="X7058" t="s">
        <v>47312</v>
      </c>
    </row>
    <row r="7059" spans="1:24">
      <c r="A7059">
        <f>HYPERLINK("https://www.philgeps.gov.ph/GEPSNONPILOT/Tender/SplashBidNoticeAbstractUI.aspx?menuIndex=3&amp;refID=7191632&amp;Result=3","7191632")</f>
        <v>0</v>
      </c>
      <c r="B7059" t="s">
        <v>2312</v>
      </c>
      <c r="C7059" t="s">
        <v>10489</v>
      </c>
      <c r="E7059" t="s">
        <v>25230</v>
      </c>
      <c r="F7059" t="s">
        <v>32606</v>
      </c>
      <c r="G7059" t="s">
        <v>32613</v>
      </c>
      <c r="H7059" t="s">
        <v>32623</v>
      </c>
      <c r="I7059" t="s">
        <v>17648</v>
      </c>
      <c r="J7059" t="s">
        <v>37207</v>
      </c>
      <c r="K7059" t="s">
        <v>42624</v>
      </c>
      <c r="M7059" t="s">
        <v>45420</v>
      </c>
      <c r="N7059" t="s">
        <v>47304</v>
      </c>
      <c r="O7059" t="s">
        <v>47305</v>
      </c>
      <c r="Q7059">
        <v>1</v>
      </c>
      <c r="R7059" t="s">
        <v>47311</v>
      </c>
      <c r="S7059" t="s">
        <v>47483</v>
      </c>
      <c r="T7059" t="s">
        <v>48980</v>
      </c>
      <c r="U7059" t="s">
        <v>55437</v>
      </c>
      <c r="W7059" t="s">
        <v>64497</v>
      </c>
      <c r="X7059" t="s">
        <v>47312</v>
      </c>
    </row>
    <row r="7060" spans="1:24">
      <c r="A7060">
        <f>HYPERLINK("https://www.philgeps.gov.ph/GEPSNONPILOT/Tender/SplashBidNoticeAbstractUI.aspx?menuIndex=3&amp;refID=7191751&amp;Result=3","7191751")</f>
        <v>0</v>
      </c>
      <c r="B7060" t="s">
        <v>745</v>
      </c>
      <c r="C7060" t="s">
        <v>10490</v>
      </c>
      <c r="D7060" t="s">
        <v>19043</v>
      </c>
      <c r="E7060" t="s">
        <v>25231</v>
      </c>
      <c r="F7060" t="s">
        <v>32606</v>
      </c>
      <c r="G7060" t="s">
        <v>32613</v>
      </c>
      <c r="H7060" t="s">
        <v>14201</v>
      </c>
      <c r="I7060" t="s">
        <v>4678</v>
      </c>
      <c r="J7060" t="s">
        <v>33526</v>
      </c>
      <c r="K7060" t="s">
        <v>42622</v>
      </c>
      <c r="M7060" t="s">
        <v>43668</v>
      </c>
      <c r="N7060" t="s">
        <v>47304</v>
      </c>
      <c r="O7060" t="s">
        <v>47305</v>
      </c>
      <c r="P7060">
        <v>0</v>
      </c>
      <c r="Q7060">
        <v>0</v>
      </c>
      <c r="R7060" t="s">
        <v>47311</v>
      </c>
      <c r="S7060" t="s">
        <v>47443</v>
      </c>
      <c r="T7060" t="s">
        <v>49160</v>
      </c>
      <c r="U7060" t="s">
        <v>55438</v>
      </c>
      <c r="W7060" t="s">
        <v>43668</v>
      </c>
      <c r="X7060" t="s">
        <v>47312</v>
      </c>
    </row>
    <row r="7061" spans="1:24">
      <c r="A7061">
        <f>HYPERLINK("https://www.philgeps.gov.ph/GEPSNONPILOT/Tender/SplashBidNoticeAbstractUI.aspx?menuIndex=3&amp;refID=7191729&amp;Result=3","7191729")</f>
        <v>0</v>
      </c>
      <c r="B7061" t="s">
        <v>2306</v>
      </c>
      <c r="C7061" t="s">
        <v>10491</v>
      </c>
      <c r="D7061" t="s">
        <v>18994</v>
      </c>
      <c r="E7061" t="s">
        <v>25232</v>
      </c>
      <c r="F7061" t="s">
        <v>32606</v>
      </c>
      <c r="G7061" t="s">
        <v>32613</v>
      </c>
      <c r="H7061" t="s">
        <v>14201</v>
      </c>
      <c r="I7061" t="s">
        <v>6931</v>
      </c>
      <c r="J7061" t="s">
        <v>37257</v>
      </c>
      <c r="K7061" t="s">
        <v>42627</v>
      </c>
      <c r="M7061" t="s">
        <v>45412</v>
      </c>
      <c r="N7061" t="s">
        <v>47304</v>
      </c>
      <c r="O7061" t="s">
        <v>47305</v>
      </c>
      <c r="P7061">
        <v>0</v>
      </c>
      <c r="Q7061">
        <v>1</v>
      </c>
      <c r="R7061" t="s">
        <v>47311</v>
      </c>
      <c r="S7061" t="s">
        <v>47443</v>
      </c>
      <c r="T7061" t="s">
        <v>49203</v>
      </c>
      <c r="U7061" t="s">
        <v>55439</v>
      </c>
      <c r="V7061" t="s">
        <v>63316</v>
      </c>
      <c r="W7061" t="s">
        <v>45412</v>
      </c>
      <c r="X7061" t="s">
        <v>47312</v>
      </c>
    </row>
    <row r="7062" spans="1:24">
      <c r="A7062">
        <f>HYPERLINK("https://www.philgeps.gov.ph/GEPSNONPILOT/Tender/SplashBidNoticeAbstractUI.aspx?menuIndex=3&amp;refID=7191814&amp;Result=3","7191814")</f>
        <v>0</v>
      </c>
      <c r="B7062" t="s">
        <v>609</v>
      </c>
      <c r="C7062" t="s">
        <v>10492</v>
      </c>
      <c r="D7062" t="s">
        <v>19024</v>
      </c>
      <c r="E7062" t="s">
        <v>25233</v>
      </c>
      <c r="F7062" t="s">
        <v>32606</v>
      </c>
      <c r="G7062" t="s">
        <v>32614</v>
      </c>
      <c r="H7062" t="s">
        <v>14201</v>
      </c>
      <c r="I7062" t="s">
        <v>32655</v>
      </c>
      <c r="J7062" t="s">
        <v>34490</v>
      </c>
      <c r="K7062" t="s">
        <v>42624</v>
      </c>
      <c r="M7062" t="s">
        <v>43526</v>
      </c>
      <c r="N7062" t="s">
        <v>47304</v>
      </c>
      <c r="O7062" t="s">
        <v>47305</v>
      </c>
      <c r="P7062">
        <v>0</v>
      </c>
      <c r="Q7062">
        <v>4</v>
      </c>
      <c r="R7062" t="s">
        <v>47311</v>
      </c>
      <c r="S7062" t="s">
        <v>47443</v>
      </c>
      <c r="T7062" t="s">
        <v>49165</v>
      </c>
      <c r="U7062" t="s">
        <v>55440</v>
      </c>
      <c r="W7062" t="s">
        <v>43526</v>
      </c>
      <c r="X7062" t="s">
        <v>47312</v>
      </c>
    </row>
    <row r="7063" spans="1:24">
      <c r="A7063">
        <f>HYPERLINK("https://www.philgeps.gov.ph/GEPSNONPILOT/Tender/SplashBidNoticeAbstractUI.aspx?menuIndex=3&amp;refID=7191685&amp;Result=3","7191685")</f>
        <v>0</v>
      </c>
      <c r="B7063" t="s">
        <v>2334</v>
      </c>
      <c r="C7063" t="s">
        <v>10493</v>
      </c>
      <c r="D7063" t="s">
        <v>19024</v>
      </c>
      <c r="E7063" t="s">
        <v>19663</v>
      </c>
      <c r="F7063" t="s">
        <v>32606</v>
      </c>
      <c r="G7063" t="s">
        <v>32613</v>
      </c>
      <c r="H7063" t="s">
        <v>14201</v>
      </c>
      <c r="I7063" t="s">
        <v>32628</v>
      </c>
      <c r="J7063" t="s">
        <v>34990</v>
      </c>
      <c r="K7063" t="s">
        <v>42624</v>
      </c>
      <c r="M7063" t="s">
        <v>45444</v>
      </c>
      <c r="N7063" t="s">
        <v>47304</v>
      </c>
      <c r="O7063" t="s">
        <v>47305</v>
      </c>
      <c r="P7063">
        <v>0</v>
      </c>
      <c r="Q7063">
        <v>3</v>
      </c>
      <c r="R7063" t="s">
        <v>47311</v>
      </c>
      <c r="S7063" t="s">
        <v>47443</v>
      </c>
      <c r="T7063" t="s">
        <v>49096</v>
      </c>
      <c r="U7063" t="s">
        <v>55441</v>
      </c>
      <c r="W7063" t="s">
        <v>45444</v>
      </c>
      <c r="X7063" t="s">
        <v>47312</v>
      </c>
    </row>
    <row r="7064" spans="1:24">
      <c r="A7064">
        <f>HYPERLINK("https://www.philgeps.gov.ph/GEPSNONPILOT/Tender/SplashBidNoticeAbstractUI.aspx?menuIndex=3&amp;refID=7191806&amp;Result=3","7191806")</f>
        <v>0</v>
      </c>
      <c r="B7064" t="s">
        <v>745</v>
      </c>
      <c r="C7064" t="s">
        <v>10494</v>
      </c>
      <c r="D7064" t="s">
        <v>19043</v>
      </c>
      <c r="E7064" t="s">
        <v>25234</v>
      </c>
      <c r="F7064" t="s">
        <v>32606</v>
      </c>
      <c r="G7064" t="s">
        <v>32613</v>
      </c>
      <c r="H7064" t="s">
        <v>14201</v>
      </c>
      <c r="I7064" t="s">
        <v>4120</v>
      </c>
      <c r="J7064" t="s">
        <v>37258</v>
      </c>
      <c r="K7064" t="s">
        <v>42622</v>
      </c>
      <c r="M7064" t="s">
        <v>43668</v>
      </c>
      <c r="N7064" t="s">
        <v>47304</v>
      </c>
      <c r="O7064" t="s">
        <v>47305</v>
      </c>
      <c r="P7064">
        <v>0</v>
      </c>
      <c r="Q7064">
        <v>0</v>
      </c>
      <c r="R7064" t="s">
        <v>47311</v>
      </c>
      <c r="S7064" t="s">
        <v>47443</v>
      </c>
      <c r="T7064" t="s">
        <v>49160</v>
      </c>
      <c r="U7064" t="s">
        <v>55442</v>
      </c>
      <c r="W7064" t="s">
        <v>43668</v>
      </c>
      <c r="X7064" t="s">
        <v>47312</v>
      </c>
    </row>
    <row r="7065" spans="1:24">
      <c r="A7065">
        <f>HYPERLINK("https://www.philgeps.gov.ph/GEPSNONPILOT/Tender/SplashBidNoticeAbstractUI.aspx?menuIndex=3&amp;refID=7191750&amp;Result=3","7191750")</f>
        <v>0</v>
      </c>
      <c r="B7065" t="s">
        <v>2338</v>
      </c>
      <c r="C7065" t="s">
        <v>10495</v>
      </c>
      <c r="D7065" t="s">
        <v>18994</v>
      </c>
      <c r="E7065" t="s">
        <v>25235</v>
      </c>
      <c r="F7065" t="s">
        <v>32606</v>
      </c>
      <c r="G7065" t="s">
        <v>32613</v>
      </c>
      <c r="H7065" t="s">
        <v>14201</v>
      </c>
      <c r="I7065" t="s">
        <v>32628</v>
      </c>
      <c r="J7065" t="s">
        <v>37259</v>
      </c>
      <c r="K7065" t="s">
        <v>42626</v>
      </c>
      <c r="M7065" t="s">
        <v>45448</v>
      </c>
      <c r="N7065" t="s">
        <v>47304</v>
      </c>
      <c r="O7065" t="s">
        <v>47305</v>
      </c>
      <c r="P7065">
        <v>0</v>
      </c>
      <c r="Q7065">
        <v>4</v>
      </c>
      <c r="R7065" t="s">
        <v>47311</v>
      </c>
      <c r="S7065" t="s">
        <v>47443</v>
      </c>
      <c r="T7065" t="s">
        <v>48983</v>
      </c>
      <c r="U7065" t="s">
        <v>55443</v>
      </c>
      <c r="W7065" t="s">
        <v>45448</v>
      </c>
      <c r="X7065" t="s">
        <v>47312</v>
      </c>
    </row>
    <row r="7066" spans="1:24">
      <c r="A7066">
        <f>HYPERLINK("https://www.philgeps.gov.ph/GEPSNONPILOT/Tender/SplashBidNoticeAbstractUI.aspx?menuIndex=3&amp;refID=7191801&amp;Result=3","7191801")</f>
        <v>0</v>
      </c>
      <c r="B7066" t="s">
        <v>195</v>
      </c>
      <c r="C7066" t="s">
        <v>10496</v>
      </c>
      <c r="D7066" t="s">
        <v>19045</v>
      </c>
      <c r="E7066" t="s">
        <v>25236</v>
      </c>
      <c r="F7066" t="s">
        <v>32606</v>
      </c>
      <c r="G7066" t="s">
        <v>32619</v>
      </c>
      <c r="H7066" t="s">
        <v>14201</v>
      </c>
      <c r="I7066" t="s">
        <v>32629</v>
      </c>
      <c r="J7066" t="s">
        <v>33299</v>
      </c>
      <c r="K7066" t="s">
        <v>42624</v>
      </c>
      <c r="M7066" t="s">
        <v>43096</v>
      </c>
      <c r="N7066" t="s">
        <v>47304</v>
      </c>
      <c r="O7066" t="s">
        <v>47305</v>
      </c>
      <c r="P7066">
        <v>0</v>
      </c>
      <c r="Q7066">
        <v>0</v>
      </c>
      <c r="R7066" t="s">
        <v>47311</v>
      </c>
      <c r="S7066" t="s">
        <v>47443</v>
      </c>
      <c r="T7066" t="s">
        <v>49053</v>
      </c>
      <c r="U7066" t="s">
        <v>55444</v>
      </c>
      <c r="V7066" t="s">
        <v>63328</v>
      </c>
      <c r="W7066" t="s">
        <v>43096</v>
      </c>
      <c r="X7066" t="s">
        <v>47312</v>
      </c>
    </row>
    <row r="7067" spans="1:24">
      <c r="A7067">
        <f>HYPERLINK("https://www.philgeps.gov.ph/GEPSNONPILOT/Tender/SplashBidNoticeAbstractUI.aspx?menuIndex=3&amp;refID=7191796&amp;Result=3","7191796")</f>
        <v>0</v>
      </c>
      <c r="B7067" t="s">
        <v>2332</v>
      </c>
      <c r="C7067" t="s">
        <v>10497</v>
      </c>
      <c r="D7067" t="s">
        <v>19010</v>
      </c>
      <c r="E7067" t="s">
        <v>25237</v>
      </c>
      <c r="F7067" t="s">
        <v>32606</v>
      </c>
      <c r="G7067" t="s">
        <v>32613</v>
      </c>
      <c r="H7067" t="s">
        <v>32623</v>
      </c>
      <c r="I7067" t="s">
        <v>17648</v>
      </c>
      <c r="J7067" t="s">
        <v>32778</v>
      </c>
      <c r="K7067" t="s">
        <v>42631</v>
      </c>
      <c r="M7067" t="s">
        <v>45442</v>
      </c>
      <c r="N7067" t="s">
        <v>47304</v>
      </c>
      <c r="O7067" t="s">
        <v>47305</v>
      </c>
      <c r="P7067">
        <v>0</v>
      </c>
      <c r="Q7067">
        <v>1</v>
      </c>
      <c r="R7067" t="s">
        <v>47311</v>
      </c>
      <c r="S7067" t="s">
        <v>47443</v>
      </c>
      <c r="T7067" t="s">
        <v>49361</v>
      </c>
      <c r="U7067" t="s">
        <v>55445</v>
      </c>
      <c r="W7067" t="s">
        <v>45442</v>
      </c>
      <c r="X7067" t="s">
        <v>47312</v>
      </c>
    </row>
    <row r="7068" spans="1:24">
      <c r="A7068">
        <f>HYPERLINK("https://www.philgeps.gov.ph/GEPSNONPILOT/Tender/SplashBidNoticeAbstractUI.aspx?menuIndex=3&amp;refID=7191741&amp;Result=3","7191741")</f>
        <v>0</v>
      </c>
      <c r="B7068" t="s">
        <v>656</v>
      </c>
      <c r="C7068" t="s">
        <v>10498</v>
      </c>
      <c r="D7068" t="s">
        <v>18993</v>
      </c>
      <c r="E7068" t="s">
        <v>25238</v>
      </c>
      <c r="F7068" t="s">
        <v>32606</v>
      </c>
      <c r="G7068" t="s">
        <v>32614</v>
      </c>
      <c r="H7068" t="s">
        <v>14201</v>
      </c>
      <c r="I7068" t="s">
        <v>6298</v>
      </c>
      <c r="J7068" t="s">
        <v>37260</v>
      </c>
      <c r="K7068" t="s">
        <v>42630</v>
      </c>
      <c r="M7068" t="s">
        <v>43576</v>
      </c>
      <c r="N7068" t="s">
        <v>47304</v>
      </c>
      <c r="O7068" t="s">
        <v>47305</v>
      </c>
      <c r="P7068">
        <v>0</v>
      </c>
      <c r="Q7068">
        <v>2</v>
      </c>
      <c r="R7068" t="s">
        <v>47311</v>
      </c>
      <c r="S7068" t="s">
        <v>47443</v>
      </c>
      <c r="T7068" t="s">
        <v>49123</v>
      </c>
      <c r="U7068" t="s">
        <v>55446</v>
      </c>
      <c r="W7068" t="s">
        <v>43576</v>
      </c>
      <c r="X7068" t="s">
        <v>47312</v>
      </c>
    </row>
    <row r="7069" spans="1:24">
      <c r="A7069">
        <f>HYPERLINK("https://www.philgeps.gov.ph/GEPSNONPILOT/Tender/SplashBidNoticeAbstractUI.aspx?menuIndex=3&amp;refID=7191808&amp;Result=3","7191808")</f>
        <v>0</v>
      </c>
      <c r="B7069" t="s">
        <v>2339</v>
      </c>
      <c r="C7069" t="s">
        <v>10499</v>
      </c>
      <c r="D7069" t="s">
        <v>19018</v>
      </c>
      <c r="E7069" t="s">
        <v>25239</v>
      </c>
      <c r="F7069" t="s">
        <v>32606</v>
      </c>
      <c r="G7069" t="s">
        <v>32613</v>
      </c>
      <c r="H7069" t="s">
        <v>14201</v>
      </c>
      <c r="I7069" t="s">
        <v>4121</v>
      </c>
      <c r="J7069" t="s">
        <v>33598</v>
      </c>
      <c r="K7069" t="s">
        <v>42631</v>
      </c>
      <c r="M7069" t="s">
        <v>45449</v>
      </c>
      <c r="N7069" t="s">
        <v>47304</v>
      </c>
      <c r="O7069" t="s">
        <v>47305</v>
      </c>
      <c r="P7069">
        <v>0</v>
      </c>
      <c r="Q7069">
        <v>2</v>
      </c>
      <c r="R7069" t="s">
        <v>47311</v>
      </c>
      <c r="S7069" t="s">
        <v>47443</v>
      </c>
      <c r="T7069" t="s">
        <v>48990</v>
      </c>
      <c r="U7069" t="s">
        <v>55447</v>
      </c>
      <c r="W7069" t="s">
        <v>45449</v>
      </c>
      <c r="X7069" t="s">
        <v>47312</v>
      </c>
    </row>
    <row r="7070" spans="1:24">
      <c r="A7070">
        <f>HYPERLINK("https://www.philgeps.gov.ph/GEPSNONPILOT/Tender/SplashBidNoticeAbstractUI.aspx?menuIndex=3&amp;refID=7191734&amp;Result=3","7191734")</f>
        <v>0</v>
      </c>
      <c r="B7070" t="s">
        <v>2330</v>
      </c>
      <c r="C7070" t="s">
        <v>10500</v>
      </c>
      <c r="D7070" t="s">
        <v>18993</v>
      </c>
      <c r="E7070" t="s">
        <v>25240</v>
      </c>
      <c r="F7070" t="s">
        <v>32606</v>
      </c>
      <c r="G7070" t="s">
        <v>32613</v>
      </c>
      <c r="H7070" t="s">
        <v>14201</v>
      </c>
      <c r="I7070" t="s">
        <v>32656</v>
      </c>
      <c r="J7070" t="s">
        <v>37261</v>
      </c>
      <c r="K7070" t="s">
        <v>42636</v>
      </c>
      <c r="M7070" t="s">
        <v>45440</v>
      </c>
      <c r="N7070" t="s">
        <v>47304</v>
      </c>
      <c r="O7070" t="s">
        <v>47305</v>
      </c>
      <c r="P7070">
        <v>0</v>
      </c>
      <c r="Q7070">
        <v>6</v>
      </c>
      <c r="R7070" t="s">
        <v>47311</v>
      </c>
      <c r="S7070" t="s">
        <v>47443</v>
      </c>
      <c r="T7070" t="s">
        <v>49033</v>
      </c>
      <c r="U7070" t="s">
        <v>55411</v>
      </c>
      <c r="W7070" t="s">
        <v>45440</v>
      </c>
      <c r="X7070" t="s">
        <v>47312</v>
      </c>
    </row>
    <row r="7071" spans="1:24">
      <c r="A7071">
        <f>HYPERLINK("https://www.philgeps.gov.ph/GEPSNONPILOT/Tender/SplashBidNoticeAbstractUI.aspx?menuIndex=3&amp;refID=7191787&amp;Result=3","7191787")</f>
        <v>0</v>
      </c>
      <c r="B7071" t="s">
        <v>2327</v>
      </c>
      <c r="C7071" t="s">
        <v>10501</v>
      </c>
      <c r="D7071" t="s">
        <v>19018</v>
      </c>
      <c r="E7071" t="s">
        <v>25241</v>
      </c>
      <c r="F7071" t="s">
        <v>32606</v>
      </c>
      <c r="G7071" t="s">
        <v>32614</v>
      </c>
      <c r="H7071" t="s">
        <v>14201</v>
      </c>
      <c r="I7071" t="s">
        <v>32626</v>
      </c>
      <c r="J7071" t="s">
        <v>37262</v>
      </c>
      <c r="K7071" t="s">
        <v>42631</v>
      </c>
      <c r="M7071" t="s">
        <v>45436</v>
      </c>
      <c r="N7071" t="s">
        <v>47304</v>
      </c>
      <c r="O7071" t="s">
        <v>47305</v>
      </c>
      <c r="P7071">
        <v>0</v>
      </c>
      <c r="Q7071">
        <v>3</v>
      </c>
      <c r="R7071" t="s">
        <v>47311</v>
      </c>
      <c r="S7071" t="s">
        <v>47443</v>
      </c>
      <c r="T7071" t="s">
        <v>49327</v>
      </c>
      <c r="U7071" t="s">
        <v>55448</v>
      </c>
      <c r="W7071" t="s">
        <v>45436</v>
      </c>
      <c r="X7071" t="s">
        <v>47312</v>
      </c>
    </row>
    <row r="7072" spans="1:24">
      <c r="A7072">
        <f>HYPERLINK("https://www.philgeps.gov.ph/GEPSNONPILOT/Tender/SplashBidNoticeAbstractUI.aspx?menuIndex=3&amp;refID=7191786&amp;Result=3","7191786")</f>
        <v>0</v>
      </c>
      <c r="B7072" t="s">
        <v>195</v>
      </c>
      <c r="C7072" t="s">
        <v>10496</v>
      </c>
      <c r="D7072" t="s">
        <v>19045</v>
      </c>
      <c r="E7072" t="s">
        <v>25242</v>
      </c>
      <c r="F7072" t="s">
        <v>32606</v>
      </c>
      <c r="G7072" t="s">
        <v>32619</v>
      </c>
      <c r="H7072" t="s">
        <v>14201</v>
      </c>
      <c r="I7072" t="s">
        <v>32629</v>
      </c>
      <c r="J7072" t="s">
        <v>32885</v>
      </c>
      <c r="K7072" t="s">
        <v>42624</v>
      </c>
      <c r="M7072" t="s">
        <v>43096</v>
      </c>
      <c r="N7072" t="s">
        <v>47304</v>
      </c>
      <c r="O7072" t="s">
        <v>47305</v>
      </c>
      <c r="P7072">
        <v>0</v>
      </c>
      <c r="Q7072">
        <v>0</v>
      </c>
      <c r="R7072" t="s">
        <v>47311</v>
      </c>
      <c r="S7072" t="s">
        <v>47443</v>
      </c>
      <c r="T7072" t="s">
        <v>49053</v>
      </c>
      <c r="U7072" t="s">
        <v>55444</v>
      </c>
      <c r="V7072" t="s">
        <v>63328</v>
      </c>
      <c r="W7072" t="s">
        <v>43096</v>
      </c>
      <c r="X7072" t="s">
        <v>47312</v>
      </c>
    </row>
    <row r="7073" spans="1:24">
      <c r="A7073">
        <f>HYPERLINK("https://www.philgeps.gov.ph/GEPSNONPILOT/Tender/SplashBidNoticeAbstractUI.aspx?menuIndex=3&amp;refID=7191799&amp;Result=3","7191799")</f>
        <v>0</v>
      </c>
      <c r="B7073" t="s">
        <v>477</v>
      </c>
      <c r="C7073" t="s">
        <v>10502</v>
      </c>
      <c r="D7073" t="s">
        <v>19019</v>
      </c>
      <c r="E7073" t="s">
        <v>25243</v>
      </c>
      <c r="F7073" t="s">
        <v>32606</v>
      </c>
      <c r="G7073" t="s">
        <v>32614</v>
      </c>
      <c r="H7073" t="s">
        <v>14201</v>
      </c>
      <c r="I7073" t="s">
        <v>4678</v>
      </c>
      <c r="J7073" t="s">
        <v>37263</v>
      </c>
      <c r="K7073" t="s">
        <v>42638</v>
      </c>
      <c r="M7073" t="s">
        <v>43388</v>
      </c>
      <c r="N7073" t="s">
        <v>47304</v>
      </c>
      <c r="O7073" t="s">
        <v>47305</v>
      </c>
      <c r="P7073">
        <v>0</v>
      </c>
      <c r="Q7073">
        <v>0</v>
      </c>
      <c r="R7073" t="s">
        <v>47311</v>
      </c>
      <c r="S7073" t="s">
        <v>47443</v>
      </c>
      <c r="T7073" t="s">
        <v>49071</v>
      </c>
      <c r="U7073" t="s">
        <v>55449</v>
      </c>
      <c r="W7073" t="s">
        <v>43388</v>
      </c>
      <c r="X7073" t="s">
        <v>47312</v>
      </c>
    </row>
    <row r="7074" spans="1:24">
      <c r="A7074">
        <f>HYPERLINK("https://www.philgeps.gov.ph/GEPSNONPILOT/Tender/SplashBidNoticeAbstractUI.aspx?menuIndex=3&amp;refID=7191784&amp;Result=3","7191784")</f>
        <v>0</v>
      </c>
      <c r="B7074" t="s">
        <v>2333</v>
      </c>
      <c r="C7074" t="s">
        <v>10503</v>
      </c>
      <c r="D7074" t="s">
        <v>19016</v>
      </c>
      <c r="E7074" t="s">
        <v>25244</v>
      </c>
      <c r="F7074" t="s">
        <v>32606</v>
      </c>
      <c r="G7074" t="s">
        <v>32614</v>
      </c>
      <c r="H7074" t="s">
        <v>32623</v>
      </c>
      <c r="I7074" t="s">
        <v>32659</v>
      </c>
      <c r="J7074" t="s">
        <v>37264</v>
      </c>
      <c r="K7074" t="s">
        <v>42624</v>
      </c>
      <c r="M7074" t="s">
        <v>45443</v>
      </c>
      <c r="N7074" t="s">
        <v>47304</v>
      </c>
      <c r="O7074" t="s">
        <v>47305</v>
      </c>
      <c r="P7074">
        <v>0</v>
      </c>
      <c r="Q7074">
        <v>0</v>
      </c>
      <c r="R7074" t="s">
        <v>47311</v>
      </c>
      <c r="S7074" t="s">
        <v>47443</v>
      </c>
      <c r="T7074" t="s">
        <v>49047</v>
      </c>
      <c r="U7074" t="s">
        <v>55416</v>
      </c>
      <c r="V7074" t="s">
        <v>63331</v>
      </c>
      <c r="W7074" t="s">
        <v>45443</v>
      </c>
      <c r="X7074" t="s">
        <v>47312</v>
      </c>
    </row>
    <row r="7075" spans="1:24">
      <c r="A7075">
        <f>HYPERLINK("https://www.philgeps.gov.ph/GEPSNONPILOT/Tender/SplashBidNoticeAbstractUI.aspx?menuIndex=3&amp;refID=7191783&amp;Result=3","7191783")</f>
        <v>0</v>
      </c>
      <c r="B7075" t="s">
        <v>1435</v>
      </c>
      <c r="C7075" t="s">
        <v>10504</v>
      </c>
      <c r="D7075" t="s">
        <v>19025</v>
      </c>
      <c r="E7075" t="s">
        <v>23925</v>
      </c>
      <c r="F7075" t="s">
        <v>32606</v>
      </c>
      <c r="G7075" t="s">
        <v>32615</v>
      </c>
      <c r="H7075" t="s">
        <v>14201</v>
      </c>
      <c r="I7075" t="s">
        <v>7577</v>
      </c>
      <c r="J7075" t="s">
        <v>33650</v>
      </c>
      <c r="K7075" t="s">
        <v>42630</v>
      </c>
      <c r="M7075" t="s">
        <v>44913</v>
      </c>
      <c r="N7075" t="s">
        <v>47304</v>
      </c>
      <c r="O7075" t="s">
        <v>47305</v>
      </c>
      <c r="P7075">
        <v>0</v>
      </c>
      <c r="Q7075">
        <v>2</v>
      </c>
      <c r="R7075" t="s">
        <v>47311</v>
      </c>
      <c r="S7075" t="s">
        <v>47443</v>
      </c>
      <c r="T7075" t="s">
        <v>49068</v>
      </c>
      <c r="U7075" t="s">
        <v>55450</v>
      </c>
      <c r="W7075" t="s">
        <v>44913</v>
      </c>
      <c r="X7075" t="s">
        <v>47312</v>
      </c>
    </row>
    <row r="7076" spans="1:24">
      <c r="A7076">
        <f>HYPERLINK("https://www.philgeps.gov.ph/GEPSNONPILOT/Tender/SplashBidNoticeAbstractUI.aspx?menuIndex=3&amp;refID=7191794&amp;Result=3","7191794")</f>
        <v>0</v>
      </c>
      <c r="B7076" t="s">
        <v>2306</v>
      </c>
      <c r="C7076" t="s">
        <v>10505</v>
      </c>
      <c r="D7076" t="s">
        <v>18994</v>
      </c>
      <c r="E7076" t="s">
        <v>25245</v>
      </c>
      <c r="F7076" t="s">
        <v>32606</v>
      </c>
      <c r="G7076" t="s">
        <v>32613</v>
      </c>
      <c r="H7076" t="s">
        <v>14201</v>
      </c>
      <c r="I7076" t="s">
        <v>4678</v>
      </c>
      <c r="J7076" t="s">
        <v>37265</v>
      </c>
      <c r="K7076" t="s">
        <v>42627</v>
      </c>
      <c r="M7076" t="s">
        <v>45412</v>
      </c>
      <c r="N7076" t="s">
        <v>47304</v>
      </c>
      <c r="O7076" t="s">
        <v>47305</v>
      </c>
      <c r="P7076">
        <v>0</v>
      </c>
      <c r="Q7076">
        <v>4</v>
      </c>
      <c r="R7076" t="s">
        <v>47311</v>
      </c>
      <c r="S7076" t="s">
        <v>47443</v>
      </c>
      <c r="T7076" t="s">
        <v>49203</v>
      </c>
      <c r="U7076" t="s">
        <v>55451</v>
      </c>
      <c r="V7076" t="s">
        <v>63316</v>
      </c>
      <c r="W7076" t="s">
        <v>45412</v>
      </c>
      <c r="X7076" t="s">
        <v>47312</v>
      </c>
    </row>
    <row r="7077" spans="1:24">
      <c r="A7077">
        <f>HYPERLINK("https://www.philgeps.gov.ph/GEPSNONPILOT/Tender/SplashBidNoticeAbstractUI.aspx?menuIndex=3&amp;refID=7191779&amp;Result=3","7191779")</f>
        <v>0</v>
      </c>
      <c r="B7077" t="s">
        <v>745</v>
      </c>
      <c r="C7077" t="s">
        <v>10506</v>
      </c>
      <c r="D7077" t="s">
        <v>19043</v>
      </c>
      <c r="E7077" t="s">
        <v>25246</v>
      </c>
      <c r="F7077" t="s">
        <v>32606</v>
      </c>
      <c r="G7077" t="s">
        <v>32613</v>
      </c>
      <c r="H7077" t="s">
        <v>14201</v>
      </c>
      <c r="I7077" t="s">
        <v>4678</v>
      </c>
      <c r="J7077" t="s">
        <v>32951</v>
      </c>
      <c r="K7077" t="s">
        <v>42622</v>
      </c>
      <c r="M7077" t="s">
        <v>43668</v>
      </c>
      <c r="N7077" t="s">
        <v>47304</v>
      </c>
      <c r="O7077" t="s">
        <v>47305</v>
      </c>
      <c r="P7077">
        <v>0</v>
      </c>
      <c r="Q7077">
        <v>0</v>
      </c>
      <c r="R7077" t="s">
        <v>47311</v>
      </c>
      <c r="S7077" t="s">
        <v>47443</v>
      </c>
      <c r="T7077" t="s">
        <v>49160</v>
      </c>
      <c r="U7077" t="s">
        <v>55452</v>
      </c>
      <c r="W7077" t="s">
        <v>43668</v>
      </c>
      <c r="X7077" t="s">
        <v>47312</v>
      </c>
    </row>
    <row r="7078" spans="1:24">
      <c r="A7078">
        <f>HYPERLINK("https://www.philgeps.gov.ph/GEPSNONPILOT/Tender/SplashBidNoticeAbstractUI.aspx?menuIndex=3&amp;refID=7191778&amp;Result=3","7191778")</f>
        <v>0</v>
      </c>
      <c r="B7078" t="s">
        <v>2330</v>
      </c>
      <c r="C7078" t="s">
        <v>10507</v>
      </c>
      <c r="D7078" t="s">
        <v>18993</v>
      </c>
      <c r="E7078" t="s">
        <v>25247</v>
      </c>
      <c r="F7078" t="s">
        <v>32606</v>
      </c>
      <c r="G7078" t="s">
        <v>32613</v>
      </c>
      <c r="H7078" t="s">
        <v>14201</v>
      </c>
      <c r="I7078" t="s">
        <v>32652</v>
      </c>
      <c r="J7078" t="s">
        <v>33071</v>
      </c>
      <c r="K7078" t="s">
        <v>42648</v>
      </c>
      <c r="M7078" t="s">
        <v>45440</v>
      </c>
      <c r="N7078" t="s">
        <v>47304</v>
      </c>
      <c r="O7078" t="s">
        <v>47305</v>
      </c>
      <c r="P7078">
        <v>0</v>
      </c>
      <c r="Q7078">
        <v>3</v>
      </c>
      <c r="R7078" t="s">
        <v>47311</v>
      </c>
      <c r="S7078" t="s">
        <v>47443</v>
      </c>
      <c r="T7078" t="s">
        <v>49155</v>
      </c>
      <c r="U7078" t="s">
        <v>55411</v>
      </c>
      <c r="W7078" t="s">
        <v>45440</v>
      </c>
      <c r="X7078" t="s">
        <v>47312</v>
      </c>
    </row>
    <row r="7079" spans="1:24">
      <c r="A7079">
        <f>HYPERLINK("https://www.philgeps.gov.ph/GEPSNONPILOT/Tender/SplashBidNoticeAbstractUI.aspx?menuIndex=3&amp;refID=7191865&amp;Result=3","7191865")</f>
        <v>0</v>
      </c>
      <c r="B7079" t="s">
        <v>2326</v>
      </c>
      <c r="C7079" t="s">
        <v>10508</v>
      </c>
      <c r="E7079" t="s">
        <v>25248</v>
      </c>
      <c r="F7079" t="s">
        <v>32606</v>
      </c>
      <c r="G7079" t="s">
        <v>32613</v>
      </c>
      <c r="H7079" t="s">
        <v>14201</v>
      </c>
      <c r="I7079" t="s">
        <v>32638</v>
      </c>
      <c r="J7079" t="s">
        <v>37266</v>
      </c>
      <c r="K7079" t="s">
        <v>42624</v>
      </c>
      <c r="M7079" t="s">
        <v>45434</v>
      </c>
      <c r="N7079" t="s">
        <v>47304</v>
      </c>
      <c r="O7079" t="s">
        <v>47305</v>
      </c>
      <c r="P7079">
        <v>0</v>
      </c>
      <c r="Q7079">
        <v>5</v>
      </c>
      <c r="R7079" t="s">
        <v>47311</v>
      </c>
      <c r="S7079" t="s">
        <v>47443</v>
      </c>
      <c r="T7079" t="s">
        <v>48973</v>
      </c>
      <c r="U7079" t="s">
        <v>55453</v>
      </c>
      <c r="W7079" t="s">
        <v>45434</v>
      </c>
      <c r="X7079" t="s">
        <v>47312</v>
      </c>
    </row>
    <row r="7080" spans="1:24">
      <c r="A7080">
        <f>HYPERLINK("https://www.philgeps.gov.ph/GEPSNONPILOT/Tender/SplashBidNoticeAbstractUI.aspx?menuIndex=3&amp;refID=7191788&amp;Result=3","7191788")</f>
        <v>0</v>
      </c>
      <c r="B7080" t="s">
        <v>2340</v>
      </c>
      <c r="C7080" t="s">
        <v>10509</v>
      </c>
      <c r="D7080" t="s">
        <v>19043</v>
      </c>
      <c r="E7080" t="s">
        <v>25249</v>
      </c>
      <c r="F7080" t="s">
        <v>32606</v>
      </c>
      <c r="G7080" t="s">
        <v>32613</v>
      </c>
      <c r="H7080" t="s">
        <v>14201</v>
      </c>
      <c r="I7080" t="s">
        <v>6931</v>
      </c>
      <c r="J7080" t="s">
        <v>37267</v>
      </c>
      <c r="K7080" t="s">
        <v>42622</v>
      </c>
      <c r="M7080" t="s">
        <v>45450</v>
      </c>
      <c r="N7080" t="s">
        <v>47304</v>
      </c>
      <c r="O7080" t="s">
        <v>47305</v>
      </c>
      <c r="P7080">
        <v>0</v>
      </c>
      <c r="Q7080">
        <v>0</v>
      </c>
      <c r="R7080" t="s">
        <v>47311</v>
      </c>
      <c r="S7080" t="s">
        <v>47443</v>
      </c>
      <c r="T7080" t="s">
        <v>49010</v>
      </c>
      <c r="U7080" t="s">
        <v>49904</v>
      </c>
      <c r="W7080" t="s">
        <v>45450</v>
      </c>
      <c r="X7080" t="s">
        <v>47312</v>
      </c>
    </row>
    <row r="7081" spans="1:24">
      <c r="A7081">
        <f>HYPERLINK("https://www.philgeps.gov.ph/GEPSNONPILOT/Tender/SplashBidNoticeAbstractUI.aspx?menuIndex=3&amp;refID=7191859&amp;Result=3","7191859")</f>
        <v>0</v>
      </c>
      <c r="B7081" t="s">
        <v>1500</v>
      </c>
      <c r="C7081" t="s">
        <v>10510</v>
      </c>
      <c r="D7081" t="s">
        <v>19036</v>
      </c>
      <c r="E7081" t="s">
        <v>25250</v>
      </c>
      <c r="F7081" t="s">
        <v>32606</v>
      </c>
      <c r="G7081" t="s">
        <v>32613</v>
      </c>
      <c r="H7081" t="s">
        <v>32623</v>
      </c>
      <c r="I7081" t="s">
        <v>17648</v>
      </c>
      <c r="J7081" t="s">
        <v>33449</v>
      </c>
      <c r="K7081" t="s">
        <v>42636</v>
      </c>
      <c r="M7081" t="s">
        <v>45435</v>
      </c>
      <c r="N7081" t="s">
        <v>47304</v>
      </c>
      <c r="O7081" t="s">
        <v>47305</v>
      </c>
      <c r="P7081">
        <v>0</v>
      </c>
      <c r="Q7081">
        <v>1</v>
      </c>
      <c r="R7081" t="s">
        <v>47311</v>
      </c>
      <c r="S7081" t="s">
        <v>47443</v>
      </c>
      <c r="T7081" t="s">
        <v>49077</v>
      </c>
      <c r="U7081" t="s">
        <v>55454</v>
      </c>
      <c r="W7081" t="s">
        <v>45435</v>
      </c>
      <c r="X7081" t="s">
        <v>47312</v>
      </c>
    </row>
    <row r="7082" spans="1:24">
      <c r="A7082">
        <f>HYPERLINK("https://www.philgeps.gov.ph/GEPSNONPILOT/Tender/SplashBidNoticeAbstractUI.aspx?menuIndex=3&amp;refID=7191857&amp;Result=3","7191857")</f>
        <v>0</v>
      </c>
      <c r="B7082" t="s">
        <v>477</v>
      </c>
      <c r="C7082" t="s">
        <v>10511</v>
      </c>
      <c r="D7082" t="s">
        <v>19019</v>
      </c>
      <c r="E7082" t="s">
        <v>25251</v>
      </c>
      <c r="F7082" t="s">
        <v>32606</v>
      </c>
      <c r="G7082" t="s">
        <v>32614</v>
      </c>
      <c r="H7082" t="s">
        <v>14201</v>
      </c>
      <c r="I7082" t="s">
        <v>6993</v>
      </c>
      <c r="J7082" t="s">
        <v>33030</v>
      </c>
      <c r="K7082" t="s">
        <v>42638</v>
      </c>
      <c r="M7082" t="s">
        <v>43388</v>
      </c>
      <c r="N7082" t="s">
        <v>47304</v>
      </c>
      <c r="O7082" t="s">
        <v>47305</v>
      </c>
      <c r="P7082">
        <v>0</v>
      </c>
      <c r="Q7082">
        <v>2</v>
      </c>
      <c r="R7082" t="s">
        <v>47311</v>
      </c>
      <c r="S7082" t="s">
        <v>47443</v>
      </c>
      <c r="T7082" t="s">
        <v>49071</v>
      </c>
      <c r="U7082" t="s">
        <v>55455</v>
      </c>
      <c r="W7082" t="s">
        <v>43388</v>
      </c>
      <c r="X7082" t="s">
        <v>47312</v>
      </c>
    </row>
    <row r="7083" spans="1:24">
      <c r="A7083">
        <f>HYPERLINK("https://www.philgeps.gov.ph/GEPSNONPILOT/Tender/SplashBidNoticeAbstractUI.aspx?menuIndex=3&amp;refID=7191855&amp;Result=3","7191855")</f>
        <v>0</v>
      </c>
      <c r="B7083" t="s">
        <v>2341</v>
      </c>
      <c r="C7083" t="s">
        <v>10512</v>
      </c>
      <c r="D7083" t="s">
        <v>19038</v>
      </c>
      <c r="E7083" t="s">
        <v>25252</v>
      </c>
      <c r="F7083" t="s">
        <v>32606</v>
      </c>
      <c r="G7083" t="s">
        <v>32613</v>
      </c>
      <c r="H7083" t="s">
        <v>14201</v>
      </c>
      <c r="I7083" t="s">
        <v>6993</v>
      </c>
      <c r="J7083" t="s">
        <v>33099</v>
      </c>
      <c r="K7083" t="s">
        <v>42623</v>
      </c>
      <c r="M7083" t="s">
        <v>45451</v>
      </c>
      <c r="N7083" t="s">
        <v>47304</v>
      </c>
      <c r="O7083" t="s">
        <v>47305</v>
      </c>
      <c r="P7083">
        <v>0</v>
      </c>
      <c r="Q7083">
        <v>0</v>
      </c>
      <c r="R7083" t="s">
        <v>47311</v>
      </c>
      <c r="S7083" t="s">
        <v>47443</v>
      </c>
      <c r="T7083" t="s">
        <v>49018</v>
      </c>
      <c r="U7083" t="s">
        <v>55456</v>
      </c>
      <c r="W7083" t="s">
        <v>45451</v>
      </c>
      <c r="X7083" t="s">
        <v>47312</v>
      </c>
    </row>
    <row r="7084" spans="1:24">
      <c r="A7084">
        <f>HYPERLINK("https://www.philgeps.gov.ph/GEPSNONPILOT/Tender/SplashBidNoticeAbstractUI.aspx?menuIndex=3&amp;refID=7191805&amp;Result=3","7191805")</f>
        <v>0</v>
      </c>
      <c r="B7084" t="s">
        <v>2342</v>
      </c>
      <c r="C7084" t="s">
        <v>10513</v>
      </c>
      <c r="D7084" t="s">
        <v>19001</v>
      </c>
      <c r="E7084" t="s">
        <v>20176</v>
      </c>
      <c r="F7084" t="s">
        <v>32606</v>
      </c>
      <c r="G7084" t="s">
        <v>32613</v>
      </c>
      <c r="H7084" t="s">
        <v>14201</v>
      </c>
      <c r="I7084" t="s">
        <v>32631</v>
      </c>
      <c r="J7084" t="s">
        <v>37268</v>
      </c>
      <c r="K7084" t="s">
        <v>42624</v>
      </c>
      <c r="M7084" t="s">
        <v>45452</v>
      </c>
      <c r="N7084" t="s">
        <v>47304</v>
      </c>
      <c r="O7084" t="s">
        <v>47305</v>
      </c>
      <c r="P7084">
        <v>0</v>
      </c>
      <c r="Q7084">
        <v>0</v>
      </c>
      <c r="R7084" t="s">
        <v>47311</v>
      </c>
      <c r="S7084" t="s">
        <v>47443</v>
      </c>
      <c r="T7084" t="s">
        <v>49086</v>
      </c>
      <c r="U7084" t="s">
        <v>55457</v>
      </c>
      <c r="W7084" t="s">
        <v>45452</v>
      </c>
      <c r="X7084" t="s">
        <v>47312</v>
      </c>
    </row>
    <row r="7085" spans="1:24">
      <c r="A7085">
        <f>HYPERLINK("https://www.philgeps.gov.ph/GEPSNONPILOT/Tender/SplashBidNoticeAbstractUI.aspx?menuIndex=3&amp;refID=7191850&amp;Result=3","7191850")</f>
        <v>0</v>
      </c>
      <c r="B7085" t="s">
        <v>745</v>
      </c>
      <c r="C7085" t="s">
        <v>10514</v>
      </c>
      <c r="D7085" t="s">
        <v>19043</v>
      </c>
      <c r="E7085" t="s">
        <v>25253</v>
      </c>
      <c r="F7085" t="s">
        <v>32606</v>
      </c>
      <c r="G7085" t="s">
        <v>32613</v>
      </c>
      <c r="H7085" t="s">
        <v>14201</v>
      </c>
      <c r="I7085" t="s">
        <v>4678</v>
      </c>
      <c r="J7085" t="s">
        <v>35682</v>
      </c>
      <c r="K7085" t="s">
        <v>42622</v>
      </c>
      <c r="M7085" t="s">
        <v>43668</v>
      </c>
      <c r="N7085" t="s">
        <v>47304</v>
      </c>
      <c r="O7085" t="s">
        <v>47305</v>
      </c>
      <c r="P7085">
        <v>0</v>
      </c>
      <c r="Q7085">
        <v>0</v>
      </c>
      <c r="R7085" t="s">
        <v>47311</v>
      </c>
      <c r="S7085" t="s">
        <v>47443</v>
      </c>
      <c r="T7085" t="s">
        <v>49160</v>
      </c>
      <c r="U7085" t="s">
        <v>55458</v>
      </c>
      <c r="W7085" t="s">
        <v>43668</v>
      </c>
      <c r="X7085" t="s">
        <v>47312</v>
      </c>
    </row>
    <row r="7086" spans="1:24">
      <c r="A7086">
        <f>HYPERLINK("https://www.philgeps.gov.ph/GEPSNONPILOT/Tender/SplashBidNoticeAbstractUI.aspx?menuIndex=3&amp;refID=7191848&amp;Result=3","7191848")</f>
        <v>0</v>
      </c>
      <c r="B7086" t="s">
        <v>2343</v>
      </c>
      <c r="C7086" t="s">
        <v>10515</v>
      </c>
      <c r="D7086" t="s">
        <v>19016</v>
      </c>
      <c r="E7086" t="s">
        <v>19145</v>
      </c>
      <c r="F7086" t="s">
        <v>32606</v>
      </c>
      <c r="G7086" t="s">
        <v>32614</v>
      </c>
      <c r="H7086" t="s">
        <v>32623</v>
      </c>
      <c r="I7086" t="s">
        <v>32675</v>
      </c>
      <c r="J7086" t="s">
        <v>32778</v>
      </c>
      <c r="K7086" t="s">
        <v>42639</v>
      </c>
      <c r="M7086" t="s">
        <v>45453</v>
      </c>
      <c r="N7086" t="s">
        <v>47304</v>
      </c>
      <c r="O7086" t="s">
        <v>47305</v>
      </c>
      <c r="P7086">
        <v>0</v>
      </c>
      <c r="Q7086">
        <v>1</v>
      </c>
      <c r="R7086" t="s">
        <v>47311</v>
      </c>
      <c r="S7086" t="s">
        <v>47443</v>
      </c>
      <c r="T7086" t="s">
        <v>49165</v>
      </c>
      <c r="U7086" t="s">
        <v>55459</v>
      </c>
      <c r="W7086" t="s">
        <v>45453</v>
      </c>
      <c r="X7086" t="s">
        <v>47312</v>
      </c>
    </row>
    <row r="7087" spans="1:24">
      <c r="A7087">
        <f>HYPERLINK("https://www.philgeps.gov.ph/GEPSNONPILOT/Tender/SplashBidNoticeAbstractUI.aspx?menuIndex=3&amp;refID=7191844&amp;Result=3","7191844")</f>
        <v>0</v>
      </c>
      <c r="B7087" t="s">
        <v>2344</v>
      </c>
      <c r="C7087" t="s">
        <v>10516</v>
      </c>
      <c r="D7087" t="s">
        <v>18988</v>
      </c>
      <c r="E7087" t="s">
        <v>22826</v>
      </c>
      <c r="F7087" t="s">
        <v>32608</v>
      </c>
      <c r="G7087" t="s">
        <v>32614</v>
      </c>
      <c r="H7087" t="s">
        <v>14201</v>
      </c>
      <c r="I7087" t="s">
        <v>4120</v>
      </c>
      <c r="J7087" t="s">
        <v>35929</v>
      </c>
      <c r="K7087" t="s">
        <v>42629</v>
      </c>
      <c r="M7087" t="s">
        <v>45454</v>
      </c>
      <c r="N7087" t="s">
        <v>47304</v>
      </c>
      <c r="O7087" t="s">
        <v>47305</v>
      </c>
      <c r="P7087">
        <v>0</v>
      </c>
      <c r="Q7087">
        <v>2</v>
      </c>
      <c r="R7087" t="s">
        <v>47311</v>
      </c>
      <c r="S7087" t="s">
        <v>47443</v>
      </c>
      <c r="T7087" t="s">
        <v>49362</v>
      </c>
      <c r="U7087" t="s">
        <v>55460</v>
      </c>
      <c r="W7087" t="s">
        <v>45454</v>
      </c>
      <c r="X7087" t="s">
        <v>47312</v>
      </c>
    </row>
    <row r="7088" spans="1:24">
      <c r="A7088">
        <f>HYPERLINK("https://www.philgeps.gov.ph/GEPSNONPILOT/Tender/SplashBidNoticeAbstractUI.aspx?menuIndex=3&amp;refID=7191790&amp;Result=3","7191790")</f>
        <v>0</v>
      </c>
      <c r="B7088" t="s">
        <v>2345</v>
      </c>
      <c r="C7088" t="s">
        <v>10517</v>
      </c>
      <c r="D7088" t="s">
        <v>19003</v>
      </c>
      <c r="E7088" t="s">
        <v>20497</v>
      </c>
      <c r="F7088" t="s">
        <v>32606</v>
      </c>
      <c r="G7088" t="s">
        <v>32614</v>
      </c>
      <c r="H7088" t="s">
        <v>14201</v>
      </c>
      <c r="I7088" t="s">
        <v>4114</v>
      </c>
      <c r="J7088" t="s">
        <v>37269</v>
      </c>
      <c r="K7088" t="s">
        <v>42625</v>
      </c>
      <c r="M7088" t="s">
        <v>45455</v>
      </c>
      <c r="N7088" t="s">
        <v>47304</v>
      </c>
      <c r="O7088" t="s">
        <v>47305</v>
      </c>
      <c r="P7088">
        <v>0</v>
      </c>
      <c r="Q7088">
        <v>4</v>
      </c>
      <c r="R7088" t="s">
        <v>47311</v>
      </c>
      <c r="S7088" t="s">
        <v>47443</v>
      </c>
      <c r="T7088" t="s">
        <v>49363</v>
      </c>
      <c r="U7088" t="s">
        <v>55461</v>
      </c>
      <c r="W7088" t="s">
        <v>45455</v>
      </c>
      <c r="X7088" t="s">
        <v>47312</v>
      </c>
    </row>
    <row r="7089" spans="1:24">
      <c r="A7089">
        <f>HYPERLINK("https://www.philgeps.gov.ph/GEPSNONPILOT/Tender/SplashBidNoticeAbstractUI.aspx?menuIndex=3&amp;refID=7191863&amp;Result=3","7191863")</f>
        <v>0</v>
      </c>
      <c r="B7089" t="s">
        <v>2346</v>
      </c>
      <c r="C7089" t="s">
        <v>10518</v>
      </c>
      <c r="D7089" t="s">
        <v>19001</v>
      </c>
      <c r="E7089" t="s">
        <v>25254</v>
      </c>
      <c r="F7089" t="s">
        <v>32606</v>
      </c>
      <c r="G7089" t="s">
        <v>32613</v>
      </c>
      <c r="H7089" t="s">
        <v>32623</v>
      </c>
      <c r="I7089" t="s">
        <v>17648</v>
      </c>
      <c r="J7089" t="s">
        <v>37270</v>
      </c>
      <c r="K7089" t="s">
        <v>42639</v>
      </c>
      <c r="M7089" t="s">
        <v>45456</v>
      </c>
      <c r="N7089" t="s">
        <v>47304</v>
      </c>
      <c r="O7089" t="s">
        <v>47305</v>
      </c>
      <c r="P7089">
        <v>0</v>
      </c>
      <c r="Q7089">
        <v>1</v>
      </c>
      <c r="R7089" t="s">
        <v>47311</v>
      </c>
      <c r="S7089" t="s">
        <v>47443</v>
      </c>
      <c r="T7089" t="s">
        <v>49364</v>
      </c>
      <c r="U7089" t="s">
        <v>55462</v>
      </c>
      <c r="V7089" t="s">
        <v>63332</v>
      </c>
      <c r="W7089" t="s">
        <v>45456</v>
      </c>
      <c r="X7089" t="s">
        <v>47312</v>
      </c>
    </row>
    <row r="7090" spans="1:24">
      <c r="A7090">
        <f>HYPERLINK("https://www.philgeps.gov.ph/GEPSNONPILOT/Tender/SplashBidNoticeAbstractUI.aspx?menuIndex=3&amp;refID=7191837&amp;Result=3","7191837")</f>
        <v>0</v>
      </c>
      <c r="B7090" t="s">
        <v>2330</v>
      </c>
      <c r="C7090" t="s">
        <v>10519</v>
      </c>
      <c r="D7090" t="s">
        <v>18993</v>
      </c>
      <c r="E7090" t="s">
        <v>25255</v>
      </c>
      <c r="F7090" t="s">
        <v>32606</v>
      </c>
      <c r="G7090" t="s">
        <v>32614</v>
      </c>
      <c r="H7090" t="s">
        <v>14201</v>
      </c>
      <c r="I7090" t="s">
        <v>13131</v>
      </c>
      <c r="J7090" t="s">
        <v>32772</v>
      </c>
      <c r="K7090" t="s">
        <v>42624</v>
      </c>
      <c r="M7090" t="s">
        <v>45440</v>
      </c>
      <c r="N7090" t="s">
        <v>47304</v>
      </c>
      <c r="O7090" t="s">
        <v>47305</v>
      </c>
      <c r="P7090">
        <v>0</v>
      </c>
      <c r="Q7090">
        <v>18</v>
      </c>
      <c r="R7090" t="s">
        <v>47311</v>
      </c>
      <c r="S7090" t="s">
        <v>47443</v>
      </c>
      <c r="T7090" t="s">
        <v>49165</v>
      </c>
      <c r="U7090" t="s">
        <v>55463</v>
      </c>
      <c r="V7090" t="s">
        <v>63333</v>
      </c>
      <c r="W7090" t="s">
        <v>45440</v>
      </c>
      <c r="X7090" t="s">
        <v>47312</v>
      </c>
    </row>
    <row r="7091" spans="1:24">
      <c r="A7091">
        <f>HYPERLINK("https://www.philgeps.gov.ph/GEPSNONPILOT/Tender/SplashBidNoticeAbstractUI.aspx?menuIndex=3&amp;refID=7191831&amp;Result=3","7191831")</f>
        <v>0</v>
      </c>
      <c r="B7091" t="s">
        <v>2326</v>
      </c>
      <c r="C7091" t="s">
        <v>10520</v>
      </c>
      <c r="E7091" t="s">
        <v>25256</v>
      </c>
      <c r="F7091" t="s">
        <v>32606</v>
      </c>
      <c r="G7091" t="s">
        <v>32613</v>
      </c>
      <c r="H7091" t="s">
        <v>14201</v>
      </c>
      <c r="I7091" t="s">
        <v>32662</v>
      </c>
      <c r="J7091" t="s">
        <v>37271</v>
      </c>
      <c r="K7091" t="s">
        <v>42624</v>
      </c>
      <c r="M7091" t="s">
        <v>45434</v>
      </c>
      <c r="N7091" t="s">
        <v>47304</v>
      </c>
      <c r="O7091" t="s">
        <v>47305</v>
      </c>
      <c r="P7091">
        <v>0</v>
      </c>
      <c r="Q7091">
        <v>6</v>
      </c>
      <c r="R7091" t="s">
        <v>47311</v>
      </c>
      <c r="S7091" t="s">
        <v>47443</v>
      </c>
      <c r="T7091" t="s">
        <v>48973</v>
      </c>
      <c r="U7091" t="s">
        <v>55464</v>
      </c>
      <c r="W7091" t="s">
        <v>45434</v>
      </c>
      <c r="X7091" t="s">
        <v>47312</v>
      </c>
    </row>
    <row r="7092" spans="1:24">
      <c r="A7092">
        <f>HYPERLINK("https://www.philgeps.gov.ph/GEPSNONPILOT/Tender/SplashBidNoticeAbstractUI.aspx?menuIndex=3&amp;refID=7191852&amp;Result=3","7191852")</f>
        <v>0</v>
      </c>
      <c r="B7092" t="s">
        <v>2326</v>
      </c>
      <c r="C7092" t="s">
        <v>10521</v>
      </c>
      <c r="E7092" t="s">
        <v>25257</v>
      </c>
      <c r="F7092" t="s">
        <v>32606</v>
      </c>
      <c r="G7092" t="s">
        <v>32613</v>
      </c>
      <c r="H7092" t="s">
        <v>14201</v>
      </c>
      <c r="I7092" t="s">
        <v>32662</v>
      </c>
      <c r="J7092" t="s">
        <v>34578</v>
      </c>
      <c r="K7092" t="s">
        <v>42624</v>
      </c>
      <c r="M7092" t="s">
        <v>45434</v>
      </c>
      <c r="N7092" t="s">
        <v>47304</v>
      </c>
      <c r="O7092" t="s">
        <v>47305</v>
      </c>
      <c r="P7092">
        <v>0</v>
      </c>
      <c r="Q7092">
        <v>5</v>
      </c>
      <c r="R7092" t="s">
        <v>47311</v>
      </c>
      <c r="S7092" t="s">
        <v>47443</v>
      </c>
      <c r="T7092" t="s">
        <v>48973</v>
      </c>
      <c r="U7092" t="s">
        <v>55465</v>
      </c>
      <c r="W7092" t="s">
        <v>45434</v>
      </c>
      <c r="X7092" t="s">
        <v>47312</v>
      </c>
    </row>
    <row r="7093" spans="1:24">
      <c r="A7093">
        <f>HYPERLINK("https://www.philgeps.gov.ph/GEPSNONPILOT/Tender/SplashBidNoticeAbstractUI.aspx?menuIndex=3&amp;refID=7191827&amp;Result=3","7191827")</f>
        <v>0</v>
      </c>
      <c r="B7093" t="s">
        <v>1344</v>
      </c>
      <c r="C7093" t="s">
        <v>10522</v>
      </c>
      <c r="D7093" t="s">
        <v>19000</v>
      </c>
      <c r="E7093" t="s">
        <v>25258</v>
      </c>
      <c r="F7093" t="s">
        <v>32606</v>
      </c>
      <c r="G7093" t="s">
        <v>32615</v>
      </c>
      <c r="H7093" t="s">
        <v>14201</v>
      </c>
      <c r="I7093" t="s">
        <v>32631</v>
      </c>
      <c r="J7093" t="s">
        <v>37272</v>
      </c>
      <c r="K7093" t="s">
        <v>42623</v>
      </c>
      <c r="M7093" t="s">
        <v>44318</v>
      </c>
      <c r="N7093" t="s">
        <v>47304</v>
      </c>
      <c r="O7093" t="s">
        <v>47305</v>
      </c>
      <c r="P7093">
        <v>0</v>
      </c>
      <c r="Q7093">
        <v>0</v>
      </c>
      <c r="R7093" t="s">
        <v>47311</v>
      </c>
      <c r="S7093" t="s">
        <v>47443</v>
      </c>
      <c r="T7093" t="s">
        <v>48980</v>
      </c>
      <c r="U7093" t="s">
        <v>55466</v>
      </c>
      <c r="W7093" t="s">
        <v>44318</v>
      </c>
      <c r="X7093" t="s">
        <v>47312</v>
      </c>
    </row>
    <row r="7094" spans="1:24">
      <c r="A7094">
        <f>HYPERLINK("https://www.philgeps.gov.ph/GEPSNONPILOT/Tender/SplashBidNoticeAbstractUI.aspx?menuIndex=3&amp;refID=7191825&amp;Result=3","7191825")</f>
        <v>0</v>
      </c>
      <c r="B7094" t="s">
        <v>1849</v>
      </c>
      <c r="C7094" t="s">
        <v>4123</v>
      </c>
      <c r="D7094" t="s">
        <v>19007</v>
      </c>
      <c r="E7094" t="s">
        <v>25259</v>
      </c>
      <c r="F7094" t="s">
        <v>32606</v>
      </c>
      <c r="G7094" t="s">
        <v>32613</v>
      </c>
      <c r="H7094" t="s">
        <v>14201</v>
      </c>
      <c r="I7094" t="s">
        <v>4678</v>
      </c>
      <c r="J7094" t="s">
        <v>33590</v>
      </c>
      <c r="K7094" t="s">
        <v>42637</v>
      </c>
      <c r="M7094" t="s">
        <v>44903</v>
      </c>
      <c r="N7094" t="s">
        <v>47304</v>
      </c>
      <c r="O7094" t="s">
        <v>47305</v>
      </c>
      <c r="P7094">
        <v>0</v>
      </c>
      <c r="Q7094">
        <v>1</v>
      </c>
      <c r="R7094" t="s">
        <v>47311</v>
      </c>
      <c r="S7094" t="s">
        <v>47443</v>
      </c>
      <c r="T7094" t="s">
        <v>49010</v>
      </c>
      <c r="U7094" t="s">
        <v>55467</v>
      </c>
      <c r="W7094" t="s">
        <v>44903</v>
      </c>
      <c r="X7094" t="s">
        <v>47312</v>
      </c>
    </row>
    <row r="7095" spans="1:24">
      <c r="A7095">
        <f>HYPERLINK("https://www.philgeps.gov.ph/GEPSNONPILOT/Tender/SplashBidNoticeAbstractUI.aspx?menuIndex=3&amp;refID=7191818&amp;Result=3","7191818")</f>
        <v>0</v>
      </c>
      <c r="B7095" t="s">
        <v>477</v>
      </c>
      <c r="C7095" t="s">
        <v>10523</v>
      </c>
      <c r="D7095" t="s">
        <v>19019</v>
      </c>
      <c r="E7095" t="s">
        <v>25260</v>
      </c>
      <c r="F7095" t="s">
        <v>32606</v>
      </c>
      <c r="G7095" t="s">
        <v>32614</v>
      </c>
      <c r="H7095" t="s">
        <v>14201</v>
      </c>
      <c r="I7095" t="s">
        <v>7064</v>
      </c>
      <c r="J7095" t="s">
        <v>35941</v>
      </c>
      <c r="K7095" t="s">
        <v>42638</v>
      </c>
      <c r="M7095" t="s">
        <v>43388</v>
      </c>
      <c r="N7095" t="s">
        <v>47304</v>
      </c>
      <c r="O7095" t="s">
        <v>47305</v>
      </c>
      <c r="P7095">
        <v>0</v>
      </c>
      <c r="Q7095">
        <v>0</v>
      </c>
      <c r="R7095" t="s">
        <v>47311</v>
      </c>
      <c r="S7095" t="s">
        <v>47443</v>
      </c>
      <c r="T7095" t="s">
        <v>49071</v>
      </c>
      <c r="U7095" t="s">
        <v>55468</v>
      </c>
      <c r="W7095" t="s">
        <v>43388</v>
      </c>
      <c r="X7095" t="s">
        <v>47312</v>
      </c>
    </row>
    <row r="7096" spans="1:24">
      <c r="A7096">
        <f>HYPERLINK("https://www.philgeps.gov.ph/GEPSNONPILOT/Tender/SplashBidNoticeAbstractUI.aspx?menuIndex=3&amp;refID=7191840&amp;Result=3","7191840")</f>
        <v>0</v>
      </c>
      <c r="B7096" t="s">
        <v>1458</v>
      </c>
      <c r="C7096" t="s">
        <v>10524</v>
      </c>
      <c r="D7096" t="s">
        <v>18995</v>
      </c>
      <c r="E7096" t="s">
        <v>25261</v>
      </c>
      <c r="F7096" t="s">
        <v>32606</v>
      </c>
      <c r="G7096" t="s">
        <v>32613</v>
      </c>
      <c r="H7096" t="s">
        <v>14201</v>
      </c>
      <c r="I7096" t="s">
        <v>4112</v>
      </c>
      <c r="J7096" t="s">
        <v>32861</v>
      </c>
      <c r="K7096" t="s">
        <v>42623</v>
      </c>
      <c r="M7096" t="s">
        <v>44451</v>
      </c>
      <c r="N7096" t="s">
        <v>47304</v>
      </c>
      <c r="O7096" t="s">
        <v>47305</v>
      </c>
      <c r="P7096">
        <v>0</v>
      </c>
      <c r="Q7096">
        <v>0</v>
      </c>
      <c r="R7096" t="s">
        <v>47311</v>
      </c>
      <c r="S7096" t="s">
        <v>47443</v>
      </c>
      <c r="T7096" t="s">
        <v>49169</v>
      </c>
      <c r="U7096" t="s">
        <v>55469</v>
      </c>
      <c r="W7096" t="s">
        <v>44451</v>
      </c>
      <c r="X7096" t="s">
        <v>47312</v>
      </c>
    </row>
    <row r="7097" spans="1:24">
      <c r="A7097">
        <f>HYPERLINK("https://www.philgeps.gov.ph/GEPSNONPILOT/Tender/SplashBidNoticeAbstractUI.aspx?menuIndex=3&amp;refID=7191817&amp;Result=3","7191817")</f>
        <v>0</v>
      </c>
      <c r="B7097" t="s">
        <v>2326</v>
      </c>
      <c r="C7097" t="s">
        <v>10525</v>
      </c>
      <c r="E7097" t="s">
        <v>25262</v>
      </c>
      <c r="F7097" t="s">
        <v>32606</v>
      </c>
      <c r="G7097" t="s">
        <v>32613</v>
      </c>
      <c r="H7097" t="s">
        <v>14201</v>
      </c>
      <c r="I7097" t="s">
        <v>32662</v>
      </c>
      <c r="J7097" t="s">
        <v>37273</v>
      </c>
      <c r="K7097" t="s">
        <v>42624</v>
      </c>
      <c r="M7097" t="s">
        <v>45434</v>
      </c>
      <c r="N7097" t="s">
        <v>47304</v>
      </c>
      <c r="O7097" t="s">
        <v>47305</v>
      </c>
      <c r="P7097">
        <v>0</v>
      </c>
      <c r="Q7097">
        <v>13</v>
      </c>
      <c r="R7097" t="s">
        <v>47311</v>
      </c>
      <c r="S7097" t="s">
        <v>47443</v>
      </c>
      <c r="T7097" t="s">
        <v>48973</v>
      </c>
      <c r="U7097" t="s">
        <v>55470</v>
      </c>
      <c r="W7097" t="s">
        <v>45434</v>
      </c>
      <c r="X7097" t="s">
        <v>47312</v>
      </c>
    </row>
    <row r="7098" spans="1:24">
      <c r="A7098">
        <f>HYPERLINK("https://www.philgeps.gov.ph/GEPSNONPILOT/Tender/SplashBidNoticeAbstractUI.aspx?menuIndex=3&amp;refID=7191775&amp;Result=3","7191775")</f>
        <v>0</v>
      </c>
      <c r="B7098" t="s">
        <v>2326</v>
      </c>
      <c r="C7098" t="s">
        <v>10526</v>
      </c>
      <c r="E7098" t="s">
        <v>25263</v>
      </c>
      <c r="F7098" t="s">
        <v>32606</v>
      </c>
      <c r="G7098" t="s">
        <v>32613</v>
      </c>
      <c r="H7098" t="s">
        <v>14201</v>
      </c>
      <c r="I7098" t="s">
        <v>32640</v>
      </c>
      <c r="J7098" t="s">
        <v>37274</v>
      </c>
      <c r="K7098" t="s">
        <v>42624</v>
      </c>
      <c r="M7098" t="s">
        <v>45434</v>
      </c>
      <c r="N7098" t="s">
        <v>47304</v>
      </c>
      <c r="O7098" t="s">
        <v>47305</v>
      </c>
      <c r="P7098">
        <v>0</v>
      </c>
      <c r="Q7098">
        <v>8</v>
      </c>
      <c r="R7098" t="s">
        <v>47311</v>
      </c>
      <c r="S7098" t="s">
        <v>47443</v>
      </c>
      <c r="T7098" t="s">
        <v>48973</v>
      </c>
      <c r="U7098" t="s">
        <v>55471</v>
      </c>
      <c r="W7098" t="s">
        <v>45434</v>
      </c>
      <c r="X7098" t="s">
        <v>47312</v>
      </c>
    </row>
    <row r="7099" spans="1:24">
      <c r="A7099">
        <f>HYPERLINK("https://www.philgeps.gov.ph/GEPSNONPILOT/Tender/SplashBidNoticeAbstractUI.aspx?menuIndex=3&amp;refID=7191839&amp;Result=3","7191839")</f>
        <v>0</v>
      </c>
      <c r="B7099" t="s">
        <v>689</v>
      </c>
      <c r="C7099" t="s">
        <v>10527</v>
      </c>
      <c r="D7099" t="s">
        <v>19004</v>
      </c>
      <c r="E7099" t="s">
        <v>25264</v>
      </c>
      <c r="F7099" t="s">
        <v>32606</v>
      </c>
      <c r="G7099" t="s">
        <v>32619</v>
      </c>
      <c r="H7099" t="s">
        <v>14201</v>
      </c>
      <c r="I7099" t="s">
        <v>6298</v>
      </c>
      <c r="J7099" t="s">
        <v>32781</v>
      </c>
      <c r="K7099" t="s">
        <v>42624</v>
      </c>
      <c r="M7099" t="s">
        <v>43610</v>
      </c>
      <c r="N7099" t="s">
        <v>47304</v>
      </c>
      <c r="O7099" t="s">
        <v>47305</v>
      </c>
      <c r="P7099">
        <v>0</v>
      </c>
      <c r="Q7099">
        <v>3</v>
      </c>
      <c r="R7099" t="s">
        <v>47311</v>
      </c>
      <c r="S7099" t="s">
        <v>47443</v>
      </c>
      <c r="T7099" t="s">
        <v>49263</v>
      </c>
      <c r="U7099" t="s">
        <v>55472</v>
      </c>
      <c r="W7099" t="s">
        <v>43610</v>
      </c>
      <c r="X7099" t="s">
        <v>47312</v>
      </c>
    </row>
    <row r="7100" spans="1:24">
      <c r="A7100">
        <f>HYPERLINK("https://www.philgeps.gov.ph/GEPSNONPILOT/Tender/SplashBidNoticeAbstractUI.aspx?menuIndex=3&amp;refID=7191767&amp;Result=3","7191767")</f>
        <v>0</v>
      </c>
      <c r="B7100" t="s">
        <v>844</v>
      </c>
      <c r="C7100" t="s">
        <v>10528</v>
      </c>
      <c r="D7100" t="s">
        <v>19056</v>
      </c>
      <c r="E7100" t="s">
        <v>25265</v>
      </c>
      <c r="F7100" t="s">
        <v>32606</v>
      </c>
      <c r="G7100" t="s">
        <v>32619</v>
      </c>
      <c r="H7100" t="s">
        <v>14201</v>
      </c>
      <c r="I7100" t="s">
        <v>4114</v>
      </c>
      <c r="J7100" t="s">
        <v>37275</v>
      </c>
      <c r="K7100" t="s">
        <v>42624</v>
      </c>
      <c r="L7100" t="s">
        <v>844</v>
      </c>
      <c r="M7100" t="s">
        <v>43776</v>
      </c>
      <c r="N7100" t="s">
        <v>47304</v>
      </c>
      <c r="O7100" t="s">
        <v>47305</v>
      </c>
      <c r="P7100">
        <v>0</v>
      </c>
      <c r="Q7100">
        <v>5</v>
      </c>
      <c r="R7100" t="s">
        <v>47311</v>
      </c>
      <c r="S7100" t="s">
        <v>47443</v>
      </c>
      <c r="T7100" t="s">
        <v>49053</v>
      </c>
      <c r="U7100" t="s">
        <v>51130</v>
      </c>
      <c r="W7100" t="s">
        <v>43776</v>
      </c>
      <c r="X7100" t="s">
        <v>47312</v>
      </c>
    </row>
    <row r="7101" spans="1:24">
      <c r="A7101">
        <f>HYPERLINK("https://www.philgeps.gov.ph/GEPSNONPILOT/Tender/SplashBidNoticeAbstractUI.aspx?menuIndex=3&amp;refID=7191722&amp;Result=3","7191722")</f>
        <v>0</v>
      </c>
      <c r="B7101" t="s">
        <v>782</v>
      </c>
      <c r="C7101" t="s">
        <v>4127</v>
      </c>
      <c r="D7101" t="s">
        <v>19031</v>
      </c>
      <c r="E7101" t="s">
        <v>25266</v>
      </c>
      <c r="F7101" t="s">
        <v>32606</v>
      </c>
      <c r="G7101" t="s">
        <v>32613</v>
      </c>
      <c r="H7101" t="s">
        <v>32623</v>
      </c>
      <c r="I7101" t="s">
        <v>17648</v>
      </c>
      <c r="J7101" t="s">
        <v>37276</v>
      </c>
      <c r="K7101" t="s">
        <v>42648</v>
      </c>
      <c r="L7101" t="s">
        <v>782</v>
      </c>
      <c r="M7101" t="s">
        <v>43713</v>
      </c>
      <c r="N7101" t="s">
        <v>47304</v>
      </c>
      <c r="O7101" t="s">
        <v>47305</v>
      </c>
      <c r="P7101">
        <v>0</v>
      </c>
      <c r="Q7101">
        <v>1</v>
      </c>
      <c r="R7101" t="s">
        <v>47311</v>
      </c>
      <c r="S7101" t="s">
        <v>47443</v>
      </c>
      <c r="T7101" t="s">
        <v>49057</v>
      </c>
      <c r="U7101" t="s">
        <v>55311</v>
      </c>
      <c r="V7101" t="s">
        <v>63330</v>
      </c>
      <c r="W7101" t="s">
        <v>43713</v>
      </c>
      <c r="X7101" t="s">
        <v>47312</v>
      </c>
    </row>
    <row r="7102" spans="1:24">
      <c r="A7102">
        <f>HYPERLINK("https://www.philgeps.gov.ph/GEPSNONPILOT/Tender/SplashBidNoticeAbstractUI.aspx?menuIndex=3&amp;refID=7191822&amp;Result=3","7191822")</f>
        <v>0</v>
      </c>
      <c r="B7102" t="s">
        <v>1398</v>
      </c>
      <c r="C7102" t="s">
        <v>10529</v>
      </c>
      <c r="D7102" t="s">
        <v>19016</v>
      </c>
      <c r="E7102" t="s">
        <v>25267</v>
      </c>
      <c r="F7102" t="s">
        <v>32606</v>
      </c>
      <c r="G7102" t="s">
        <v>32614</v>
      </c>
      <c r="H7102" t="s">
        <v>32624</v>
      </c>
      <c r="I7102" t="s">
        <v>32675</v>
      </c>
      <c r="J7102" t="s">
        <v>37277</v>
      </c>
      <c r="K7102" t="s">
        <v>42623</v>
      </c>
      <c r="M7102" t="s">
        <v>44382</v>
      </c>
      <c r="N7102" t="s">
        <v>47304</v>
      </c>
      <c r="O7102" t="s">
        <v>47305</v>
      </c>
      <c r="P7102">
        <v>0</v>
      </c>
      <c r="Q7102">
        <v>0</v>
      </c>
      <c r="R7102" t="s">
        <v>47311</v>
      </c>
      <c r="S7102" t="s">
        <v>47443</v>
      </c>
      <c r="T7102" t="s">
        <v>48997</v>
      </c>
      <c r="U7102" t="s">
        <v>55473</v>
      </c>
      <c r="W7102" t="s">
        <v>44382</v>
      </c>
      <c r="X7102" t="s">
        <v>47312</v>
      </c>
    </row>
    <row r="7103" spans="1:24">
      <c r="A7103">
        <f>HYPERLINK("https://www.philgeps.gov.ph/GEPSNONPILOT/Tender/SplashBidNoticeAbstractUI.aspx?menuIndex=3&amp;refID=7191774&amp;Result=3","7191774")</f>
        <v>0</v>
      </c>
      <c r="B7103" t="s">
        <v>609</v>
      </c>
      <c r="C7103" t="s">
        <v>10530</v>
      </c>
      <c r="D7103" t="s">
        <v>19024</v>
      </c>
      <c r="E7103" t="s">
        <v>25268</v>
      </c>
      <c r="F7103" t="s">
        <v>32606</v>
      </c>
      <c r="G7103" t="s">
        <v>32614</v>
      </c>
      <c r="H7103" t="s">
        <v>14201</v>
      </c>
      <c r="I7103" t="s">
        <v>32655</v>
      </c>
      <c r="J7103" t="s">
        <v>33167</v>
      </c>
      <c r="K7103" t="s">
        <v>42624</v>
      </c>
      <c r="M7103" t="s">
        <v>43526</v>
      </c>
      <c r="N7103" t="s">
        <v>47304</v>
      </c>
      <c r="O7103" t="s">
        <v>47305</v>
      </c>
      <c r="P7103">
        <v>0</v>
      </c>
      <c r="Q7103">
        <v>2</v>
      </c>
      <c r="R7103" t="s">
        <v>47311</v>
      </c>
      <c r="S7103" t="s">
        <v>47443</v>
      </c>
      <c r="T7103" t="s">
        <v>49165</v>
      </c>
      <c r="U7103" t="s">
        <v>55474</v>
      </c>
      <c r="W7103" t="s">
        <v>43526</v>
      </c>
      <c r="X7103" t="s">
        <v>47312</v>
      </c>
    </row>
    <row r="7104" spans="1:24">
      <c r="A7104">
        <f>HYPERLINK("https://www.philgeps.gov.ph/GEPSNONPILOT/Tender/SplashBidNoticeAbstractUI.aspx?menuIndex=3&amp;refID=7191833&amp;Result=3","7191833")</f>
        <v>0</v>
      </c>
      <c r="B7104" t="s">
        <v>2332</v>
      </c>
      <c r="C7104" t="s">
        <v>10531</v>
      </c>
      <c r="D7104" t="s">
        <v>19010</v>
      </c>
      <c r="E7104" t="s">
        <v>25237</v>
      </c>
      <c r="F7104" t="s">
        <v>32606</v>
      </c>
      <c r="G7104" t="s">
        <v>32613</v>
      </c>
      <c r="H7104" t="s">
        <v>32623</v>
      </c>
      <c r="I7104" t="s">
        <v>17648</v>
      </c>
      <c r="J7104" t="s">
        <v>32789</v>
      </c>
      <c r="K7104" t="s">
        <v>42627</v>
      </c>
      <c r="M7104" t="s">
        <v>45442</v>
      </c>
      <c r="N7104" t="s">
        <v>47304</v>
      </c>
      <c r="O7104" t="s">
        <v>47305</v>
      </c>
      <c r="P7104">
        <v>0</v>
      </c>
      <c r="Q7104">
        <v>1</v>
      </c>
      <c r="R7104" t="s">
        <v>47311</v>
      </c>
      <c r="S7104" t="s">
        <v>47443</v>
      </c>
      <c r="T7104" t="s">
        <v>49361</v>
      </c>
      <c r="U7104" t="s">
        <v>55475</v>
      </c>
      <c r="W7104" t="s">
        <v>45442</v>
      </c>
      <c r="X7104" t="s">
        <v>47312</v>
      </c>
    </row>
    <row r="7105" spans="1:24">
      <c r="A7105">
        <f>HYPERLINK("https://www.philgeps.gov.ph/GEPSNONPILOT/Tender/SplashBidNoticeAbstractUI.aspx?menuIndex=3&amp;refID=7191898&amp;Result=3","7191898")</f>
        <v>0</v>
      </c>
      <c r="B7105" t="s">
        <v>775</v>
      </c>
      <c r="C7105" t="s">
        <v>10532</v>
      </c>
      <c r="D7105" t="s">
        <v>19009</v>
      </c>
      <c r="E7105" t="s">
        <v>25269</v>
      </c>
      <c r="F7105" t="s">
        <v>32606</v>
      </c>
      <c r="G7105" t="s">
        <v>32614</v>
      </c>
      <c r="H7105" t="s">
        <v>14201</v>
      </c>
      <c r="I7105" t="s">
        <v>32650</v>
      </c>
      <c r="J7105" t="s">
        <v>33103</v>
      </c>
      <c r="K7105" t="s">
        <v>42631</v>
      </c>
      <c r="M7105" t="s">
        <v>45457</v>
      </c>
      <c r="N7105" t="s">
        <v>47304</v>
      </c>
      <c r="O7105" t="s">
        <v>47305</v>
      </c>
      <c r="P7105">
        <v>0</v>
      </c>
      <c r="Q7105">
        <v>3</v>
      </c>
      <c r="R7105" t="s">
        <v>47311</v>
      </c>
      <c r="S7105" t="s">
        <v>47443</v>
      </c>
      <c r="T7105" t="s">
        <v>49072</v>
      </c>
      <c r="U7105" t="s">
        <v>55476</v>
      </c>
      <c r="W7105" t="s">
        <v>45457</v>
      </c>
      <c r="X7105" t="s">
        <v>47312</v>
      </c>
    </row>
    <row r="7106" spans="1:24">
      <c r="A7106">
        <f>HYPERLINK("https://www.philgeps.gov.ph/GEPSNONPILOT/Tender/SplashBidNoticeAbstractUI.aspx?menuIndex=3&amp;refID=7191917&amp;Result=3","7191917")</f>
        <v>0</v>
      </c>
      <c r="B7106" t="s">
        <v>2347</v>
      </c>
      <c r="C7106" t="s">
        <v>10533</v>
      </c>
      <c r="D7106" t="s">
        <v>19016</v>
      </c>
      <c r="E7106" t="s">
        <v>25270</v>
      </c>
      <c r="F7106" t="s">
        <v>32606</v>
      </c>
      <c r="G7106" t="s">
        <v>32617</v>
      </c>
      <c r="H7106" t="s">
        <v>14201</v>
      </c>
      <c r="I7106" t="s">
        <v>4114</v>
      </c>
      <c r="J7106" t="s">
        <v>33158</v>
      </c>
      <c r="K7106" t="s">
        <v>42630</v>
      </c>
      <c r="M7106" t="s">
        <v>45458</v>
      </c>
      <c r="N7106" t="s">
        <v>47304</v>
      </c>
      <c r="O7106" t="s">
        <v>47305</v>
      </c>
      <c r="P7106">
        <v>0</v>
      </c>
      <c r="Q7106">
        <v>3</v>
      </c>
      <c r="R7106" t="s">
        <v>47311</v>
      </c>
      <c r="S7106" t="s">
        <v>47443</v>
      </c>
      <c r="T7106" t="s">
        <v>49010</v>
      </c>
      <c r="U7106" t="s">
        <v>55477</v>
      </c>
      <c r="W7106" t="s">
        <v>45458</v>
      </c>
      <c r="X7106" t="s">
        <v>47312</v>
      </c>
    </row>
    <row r="7107" spans="1:24">
      <c r="A7107">
        <f>HYPERLINK("https://www.philgeps.gov.ph/GEPSNONPILOT/Tender/SplashBidNoticeAbstractUI.aspx?menuIndex=3&amp;refID=7191910&amp;Result=3","7191910")</f>
        <v>0</v>
      </c>
      <c r="B7107" t="s">
        <v>356</v>
      </c>
      <c r="C7107" t="s">
        <v>10534</v>
      </c>
      <c r="D7107" t="s">
        <v>19014</v>
      </c>
      <c r="E7107" t="s">
        <v>25271</v>
      </c>
      <c r="F7107" t="s">
        <v>32606</v>
      </c>
      <c r="G7107" t="s">
        <v>32613</v>
      </c>
      <c r="H7107" t="s">
        <v>14201</v>
      </c>
      <c r="I7107" t="s">
        <v>7064</v>
      </c>
      <c r="J7107" t="s">
        <v>32795</v>
      </c>
      <c r="K7107" t="s">
        <v>42631</v>
      </c>
      <c r="M7107" t="s">
        <v>43258</v>
      </c>
      <c r="N7107" t="s">
        <v>47304</v>
      </c>
      <c r="O7107" t="s">
        <v>47305</v>
      </c>
      <c r="P7107">
        <v>0</v>
      </c>
      <c r="Q7107">
        <v>3</v>
      </c>
      <c r="R7107" t="s">
        <v>47311</v>
      </c>
      <c r="S7107" t="s">
        <v>47443</v>
      </c>
      <c r="T7107" t="s">
        <v>49150</v>
      </c>
      <c r="U7107" t="s">
        <v>55478</v>
      </c>
      <c r="W7107" t="s">
        <v>43258</v>
      </c>
      <c r="X7107" t="s">
        <v>47312</v>
      </c>
    </row>
    <row r="7108" spans="1:24">
      <c r="A7108">
        <f>HYPERLINK("https://www.philgeps.gov.ph/GEPSNONPILOT/Tender/SplashBidNoticeAbstractUI.aspx?menuIndex=3&amp;refID=7191723&amp;Result=3","7191723")</f>
        <v>0</v>
      </c>
      <c r="B7108" t="s">
        <v>2348</v>
      </c>
      <c r="C7108" t="s">
        <v>10535</v>
      </c>
      <c r="E7108" t="s">
        <v>25272</v>
      </c>
      <c r="F7108" t="s">
        <v>32606</v>
      </c>
      <c r="G7108" t="s">
        <v>32615</v>
      </c>
      <c r="H7108" t="s">
        <v>14201</v>
      </c>
      <c r="I7108" t="s">
        <v>4121</v>
      </c>
      <c r="J7108" t="s">
        <v>32949</v>
      </c>
      <c r="K7108" t="s">
        <v>42624</v>
      </c>
      <c r="M7108" t="s">
        <v>45459</v>
      </c>
      <c r="N7108" t="s">
        <v>47304</v>
      </c>
      <c r="O7108" t="s">
        <v>47305</v>
      </c>
      <c r="P7108">
        <v>0</v>
      </c>
      <c r="Q7108">
        <v>0</v>
      </c>
      <c r="R7108" t="s">
        <v>47311</v>
      </c>
      <c r="S7108" t="s">
        <v>47443</v>
      </c>
      <c r="T7108" t="s">
        <v>49010</v>
      </c>
      <c r="U7108" t="s">
        <v>55479</v>
      </c>
      <c r="W7108" t="s">
        <v>45459</v>
      </c>
      <c r="X7108" t="s">
        <v>47312</v>
      </c>
    </row>
    <row r="7109" spans="1:24">
      <c r="A7109">
        <f>HYPERLINK("https://www.philgeps.gov.ph/GEPSNONPILOT/Tender/SplashBidNoticeAbstractUI.aspx?menuIndex=3&amp;refID=7191909&amp;Result=3","7191909")</f>
        <v>0</v>
      </c>
      <c r="B7109" t="s">
        <v>745</v>
      </c>
      <c r="C7109" t="s">
        <v>10536</v>
      </c>
      <c r="D7109" t="s">
        <v>19043</v>
      </c>
      <c r="E7109" t="s">
        <v>25273</v>
      </c>
      <c r="F7109" t="s">
        <v>32606</v>
      </c>
      <c r="G7109" t="s">
        <v>32613</v>
      </c>
      <c r="H7109" t="s">
        <v>14201</v>
      </c>
      <c r="I7109" t="s">
        <v>6014</v>
      </c>
      <c r="J7109" t="s">
        <v>37278</v>
      </c>
      <c r="K7109" t="s">
        <v>42622</v>
      </c>
      <c r="M7109" t="s">
        <v>43668</v>
      </c>
      <c r="N7109" t="s">
        <v>47304</v>
      </c>
      <c r="O7109" t="s">
        <v>47305</v>
      </c>
      <c r="P7109">
        <v>0</v>
      </c>
      <c r="Q7109">
        <v>0</v>
      </c>
      <c r="R7109" t="s">
        <v>47311</v>
      </c>
      <c r="S7109" t="s">
        <v>47443</v>
      </c>
      <c r="T7109" t="s">
        <v>49160</v>
      </c>
      <c r="U7109" t="s">
        <v>55480</v>
      </c>
      <c r="W7109" t="s">
        <v>43668</v>
      </c>
      <c r="X7109" t="s">
        <v>47312</v>
      </c>
    </row>
    <row r="7110" spans="1:24">
      <c r="A7110">
        <f>HYPERLINK("https://www.philgeps.gov.ph/GEPSNONPILOT/Tender/SplashBidNoticeAbstractUI.aspx?menuIndex=3&amp;refID=7191902&amp;Result=3","7191902")</f>
        <v>0</v>
      </c>
      <c r="B7110" t="s">
        <v>477</v>
      </c>
      <c r="C7110" t="s">
        <v>10537</v>
      </c>
      <c r="D7110" t="s">
        <v>19019</v>
      </c>
      <c r="E7110" t="s">
        <v>25274</v>
      </c>
      <c r="F7110" t="s">
        <v>32606</v>
      </c>
      <c r="G7110" t="s">
        <v>32614</v>
      </c>
      <c r="H7110" t="s">
        <v>14201</v>
      </c>
      <c r="I7110" t="s">
        <v>32629</v>
      </c>
      <c r="J7110" t="s">
        <v>32770</v>
      </c>
      <c r="K7110" t="s">
        <v>42638</v>
      </c>
      <c r="M7110" t="s">
        <v>43388</v>
      </c>
      <c r="N7110" t="s">
        <v>47304</v>
      </c>
      <c r="O7110" t="s">
        <v>47305</v>
      </c>
      <c r="P7110">
        <v>0</v>
      </c>
      <c r="Q7110">
        <v>0</v>
      </c>
      <c r="R7110" t="s">
        <v>47311</v>
      </c>
      <c r="S7110" t="s">
        <v>47443</v>
      </c>
      <c r="T7110" t="s">
        <v>49071</v>
      </c>
      <c r="U7110" t="s">
        <v>55481</v>
      </c>
      <c r="W7110" t="s">
        <v>43388</v>
      </c>
      <c r="X7110" t="s">
        <v>47312</v>
      </c>
    </row>
    <row r="7111" spans="1:24">
      <c r="A7111">
        <f>HYPERLINK("https://www.philgeps.gov.ph/GEPSNONPILOT/Tender/SplashBidNoticeAbstractUI.aspx?menuIndex=3&amp;refID=7191896&amp;Result=3","7191896")</f>
        <v>0</v>
      </c>
      <c r="B7111" t="s">
        <v>2349</v>
      </c>
      <c r="C7111" t="s">
        <v>10538</v>
      </c>
      <c r="D7111" t="s">
        <v>19019</v>
      </c>
      <c r="E7111" t="s">
        <v>25275</v>
      </c>
      <c r="F7111" t="s">
        <v>32606</v>
      </c>
      <c r="G7111" t="s">
        <v>32614</v>
      </c>
      <c r="H7111" t="s">
        <v>14201</v>
      </c>
      <c r="I7111" t="s">
        <v>4120</v>
      </c>
      <c r="J7111" t="s">
        <v>37279</v>
      </c>
      <c r="K7111" t="s">
        <v>42631</v>
      </c>
      <c r="M7111" t="s">
        <v>45460</v>
      </c>
      <c r="N7111" t="s">
        <v>47304</v>
      </c>
      <c r="O7111" t="s">
        <v>47305</v>
      </c>
      <c r="P7111">
        <v>0</v>
      </c>
      <c r="Q7111">
        <v>3</v>
      </c>
      <c r="R7111" t="s">
        <v>47311</v>
      </c>
      <c r="S7111" t="s">
        <v>47443</v>
      </c>
      <c r="T7111" t="s">
        <v>49268</v>
      </c>
      <c r="U7111" t="s">
        <v>55482</v>
      </c>
      <c r="W7111" t="s">
        <v>45460</v>
      </c>
      <c r="X7111" t="s">
        <v>47312</v>
      </c>
    </row>
    <row r="7112" spans="1:24">
      <c r="A7112">
        <f>HYPERLINK("https://www.philgeps.gov.ph/GEPSNONPILOT/Tender/SplashBidNoticeAbstractUI.aspx?menuIndex=3&amp;refID=7191893&amp;Result=3","7191893")</f>
        <v>0</v>
      </c>
      <c r="B7112" t="s">
        <v>1572</v>
      </c>
      <c r="C7112" t="s">
        <v>10539</v>
      </c>
      <c r="D7112" t="s">
        <v>18993</v>
      </c>
      <c r="E7112" t="s">
        <v>25276</v>
      </c>
      <c r="F7112" t="s">
        <v>32606</v>
      </c>
      <c r="G7112" t="s">
        <v>32617</v>
      </c>
      <c r="H7112" t="s">
        <v>14201</v>
      </c>
      <c r="I7112" t="s">
        <v>13131</v>
      </c>
      <c r="J7112" t="s">
        <v>37280</v>
      </c>
      <c r="K7112" t="s">
        <v>42630</v>
      </c>
      <c r="M7112" t="s">
        <v>45461</v>
      </c>
      <c r="N7112" t="s">
        <v>47304</v>
      </c>
      <c r="O7112" t="s">
        <v>47305</v>
      </c>
      <c r="P7112">
        <v>0</v>
      </c>
      <c r="Q7112">
        <v>13</v>
      </c>
      <c r="R7112" t="s">
        <v>47311</v>
      </c>
      <c r="S7112" t="s">
        <v>47443</v>
      </c>
      <c r="T7112" t="s">
        <v>49068</v>
      </c>
      <c r="U7112" t="s">
        <v>55483</v>
      </c>
      <c r="V7112" t="s">
        <v>63334</v>
      </c>
      <c r="W7112" t="s">
        <v>45461</v>
      </c>
      <c r="X7112" t="s">
        <v>47312</v>
      </c>
    </row>
    <row r="7113" spans="1:24">
      <c r="A7113">
        <f>HYPERLINK("https://www.philgeps.gov.ph/GEPSNONPILOT/Tender/SplashBidNoticeAbstractUI.aspx?menuIndex=3&amp;refID=7191772&amp;Result=3","7191772")</f>
        <v>0</v>
      </c>
      <c r="B7113" t="s">
        <v>2320</v>
      </c>
      <c r="C7113" t="s">
        <v>10540</v>
      </c>
      <c r="E7113" t="s">
        <v>19861</v>
      </c>
      <c r="F7113" t="s">
        <v>32606</v>
      </c>
      <c r="G7113" t="s">
        <v>32619</v>
      </c>
      <c r="H7113" t="s">
        <v>14201</v>
      </c>
      <c r="I7113" t="s">
        <v>32657</v>
      </c>
      <c r="J7113" t="s">
        <v>32920</v>
      </c>
      <c r="K7113" t="s">
        <v>42631</v>
      </c>
      <c r="M7113" t="s">
        <v>45428</v>
      </c>
      <c r="N7113" t="s">
        <v>47304</v>
      </c>
      <c r="O7113" t="s">
        <v>47305</v>
      </c>
      <c r="P7113">
        <v>0</v>
      </c>
      <c r="Q7113">
        <v>4</v>
      </c>
      <c r="R7113" t="s">
        <v>47311</v>
      </c>
      <c r="S7113" t="s">
        <v>47443</v>
      </c>
      <c r="T7113" t="s">
        <v>49269</v>
      </c>
      <c r="U7113" t="s">
        <v>55484</v>
      </c>
      <c r="W7113" t="s">
        <v>45428</v>
      </c>
      <c r="X7113" t="s">
        <v>47312</v>
      </c>
    </row>
    <row r="7114" spans="1:24">
      <c r="A7114">
        <f>HYPERLINK("https://www.philgeps.gov.ph/GEPSNONPILOT/Tender/SplashBidNoticeAbstractUI.aspx?menuIndex=3&amp;refID=7191892&amp;Result=3","7191892")</f>
        <v>0</v>
      </c>
      <c r="B7114" t="s">
        <v>1458</v>
      </c>
      <c r="C7114" t="s">
        <v>10541</v>
      </c>
      <c r="D7114" t="s">
        <v>18995</v>
      </c>
      <c r="E7114" t="s">
        <v>25277</v>
      </c>
      <c r="F7114" t="s">
        <v>32606</v>
      </c>
      <c r="G7114" t="s">
        <v>32613</v>
      </c>
      <c r="H7114" t="s">
        <v>32623</v>
      </c>
      <c r="I7114" t="s">
        <v>17648</v>
      </c>
      <c r="J7114" t="s">
        <v>32821</v>
      </c>
      <c r="K7114" t="s">
        <v>42648</v>
      </c>
      <c r="M7114" t="s">
        <v>44451</v>
      </c>
      <c r="N7114" t="s">
        <v>47304</v>
      </c>
      <c r="O7114" t="s">
        <v>47305</v>
      </c>
      <c r="P7114">
        <v>0</v>
      </c>
      <c r="Q7114">
        <v>0</v>
      </c>
      <c r="R7114" t="s">
        <v>47311</v>
      </c>
      <c r="S7114" t="s">
        <v>47443</v>
      </c>
      <c r="T7114" t="s">
        <v>49169</v>
      </c>
      <c r="U7114" t="s">
        <v>55485</v>
      </c>
      <c r="W7114" t="s">
        <v>44451</v>
      </c>
      <c r="X7114" t="s">
        <v>47312</v>
      </c>
    </row>
    <row r="7115" spans="1:24">
      <c r="A7115">
        <f>HYPERLINK("https://www.philgeps.gov.ph/GEPSNONPILOT/Tender/SplashBidNoticeAbstractUI.aspx?menuIndex=3&amp;refID=7191886&amp;Result=3","7191886")</f>
        <v>0</v>
      </c>
      <c r="B7115" t="s">
        <v>2339</v>
      </c>
      <c r="C7115" t="s">
        <v>10542</v>
      </c>
      <c r="D7115" t="s">
        <v>19018</v>
      </c>
      <c r="E7115" t="s">
        <v>25278</v>
      </c>
      <c r="F7115" t="s">
        <v>32606</v>
      </c>
      <c r="G7115" t="s">
        <v>32613</v>
      </c>
      <c r="H7115" t="s">
        <v>14201</v>
      </c>
      <c r="I7115" t="s">
        <v>6993</v>
      </c>
      <c r="J7115" t="s">
        <v>37160</v>
      </c>
      <c r="K7115" t="s">
        <v>42631</v>
      </c>
      <c r="M7115" t="s">
        <v>45449</v>
      </c>
      <c r="N7115" t="s">
        <v>47304</v>
      </c>
      <c r="O7115" t="s">
        <v>47305</v>
      </c>
      <c r="P7115">
        <v>0</v>
      </c>
      <c r="Q7115">
        <v>0</v>
      </c>
      <c r="R7115" t="s">
        <v>47311</v>
      </c>
      <c r="S7115" t="s">
        <v>47443</v>
      </c>
      <c r="T7115" t="s">
        <v>48987</v>
      </c>
      <c r="U7115" t="s">
        <v>55486</v>
      </c>
      <c r="W7115" t="s">
        <v>45449</v>
      </c>
      <c r="X7115" t="s">
        <v>47312</v>
      </c>
    </row>
    <row r="7116" spans="1:24">
      <c r="A7116">
        <f>HYPERLINK("https://www.philgeps.gov.ph/GEPSNONPILOT/Tender/SplashBidNoticeAbstractUI.aspx?menuIndex=3&amp;refID=7191736&amp;Result=3","7191736")</f>
        <v>0</v>
      </c>
      <c r="B7116" t="s">
        <v>2345</v>
      </c>
      <c r="C7116" t="s">
        <v>10517</v>
      </c>
      <c r="D7116" t="s">
        <v>19003</v>
      </c>
      <c r="E7116" t="s">
        <v>20399</v>
      </c>
      <c r="F7116" t="s">
        <v>32606</v>
      </c>
      <c r="G7116" t="s">
        <v>32614</v>
      </c>
      <c r="H7116" t="s">
        <v>14201</v>
      </c>
      <c r="I7116" t="s">
        <v>4114</v>
      </c>
      <c r="J7116" t="s">
        <v>37281</v>
      </c>
      <c r="K7116" t="s">
        <v>42625</v>
      </c>
      <c r="M7116" t="s">
        <v>45455</v>
      </c>
      <c r="N7116" t="s">
        <v>47304</v>
      </c>
      <c r="O7116" t="s">
        <v>47305</v>
      </c>
      <c r="P7116">
        <v>0</v>
      </c>
      <c r="Q7116">
        <v>6</v>
      </c>
      <c r="R7116" t="s">
        <v>47311</v>
      </c>
      <c r="S7116" t="s">
        <v>47443</v>
      </c>
      <c r="T7116" t="s">
        <v>49363</v>
      </c>
      <c r="U7116" t="s">
        <v>55487</v>
      </c>
      <c r="W7116" t="s">
        <v>45455</v>
      </c>
      <c r="X7116" t="s">
        <v>47312</v>
      </c>
    </row>
    <row r="7117" spans="1:24">
      <c r="A7117">
        <f>HYPERLINK("https://www.philgeps.gov.ph/GEPSNONPILOT/Tender/SplashBidNoticeAbstractUI.aspx?menuIndex=3&amp;refID=7191901&amp;Result=3","7191901")</f>
        <v>0</v>
      </c>
      <c r="B7117" t="s">
        <v>698</v>
      </c>
      <c r="C7117" t="s">
        <v>10543</v>
      </c>
      <c r="D7117" t="s">
        <v>19040</v>
      </c>
      <c r="E7117" t="s">
        <v>25279</v>
      </c>
      <c r="F7117" t="s">
        <v>32606</v>
      </c>
      <c r="G7117" t="s">
        <v>32613</v>
      </c>
      <c r="H7117" t="s">
        <v>32623</v>
      </c>
      <c r="I7117" t="s">
        <v>17648</v>
      </c>
      <c r="J7117" t="s">
        <v>33102</v>
      </c>
      <c r="K7117" t="s">
        <v>42748</v>
      </c>
      <c r="M7117" t="s">
        <v>43619</v>
      </c>
      <c r="N7117" t="s">
        <v>47304</v>
      </c>
      <c r="O7117" t="s">
        <v>47305</v>
      </c>
      <c r="P7117">
        <v>0</v>
      </c>
      <c r="Q7117">
        <v>0</v>
      </c>
      <c r="R7117" t="s">
        <v>47311</v>
      </c>
      <c r="S7117" t="s">
        <v>47443</v>
      </c>
      <c r="T7117" t="s">
        <v>49014</v>
      </c>
      <c r="U7117" t="s">
        <v>55042</v>
      </c>
      <c r="W7117" t="s">
        <v>43619</v>
      </c>
      <c r="X7117" t="s">
        <v>47312</v>
      </c>
    </row>
    <row r="7118" spans="1:24">
      <c r="A7118">
        <f>HYPERLINK("https://www.philgeps.gov.ph/GEPSNONPILOT/Tender/SplashBidNoticeAbstractUI.aspx?menuIndex=3&amp;refID=7191899&amp;Result=3","7191899")</f>
        <v>0</v>
      </c>
      <c r="B7118" t="s">
        <v>2350</v>
      </c>
      <c r="C7118" t="s">
        <v>10544</v>
      </c>
      <c r="D7118" t="s">
        <v>19007</v>
      </c>
      <c r="E7118" t="s">
        <v>24390</v>
      </c>
      <c r="F7118" t="s">
        <v>32606</v>
      </c>
      <c r="G7118" t="s">
        <v>32613</v>
      </c>
      <c r="H7118" t="s">
        <v>32623</v>
      </c>
      <c r="I7118" t="s">
        <v>17648</v>
      </c>
      <c r="J7118" t="s">
        <v>33263</v>
      </c>
      <c r="K7118" t="s">
        <v>42631</v>
      </c>
      <c r="M7118" t="s">
        <v>45462</v>
      </c>
      <c r="N7118" t="s">
        <v>47304</v>
      </c>
      <c r="O7118" t="s">
        <v>47305</v>
      </c>
      <c r="P7118">
        <v>0</v>
      </c>
      <c r="Q7118">
        <v>2</v>
      </c>
      <c r="R7118" t="s">
        <v>47311</v>
      </c>
      <c r="S7118" t="s">
        <v>47443</v>
      </c>
      <c r="T7118" t="s">
        <v>49081</v>
      </c>
      <c r="U7118" t="s">
        <v>55488</v>
      </c>
      <c r="W7118" t="s">
        <v>45462</v>
      </c>
      <c r="X7118" t="s">
        <v>47312</v>
      </c>
    </row>
    <row r="7119" spans="1:24">
      <c r="A7119">
        <f>HYPERLINK("https://www.philgeps.gov.ph/GEPSNONPILOT/Tender/SplashBidNoticeAbstractUI.aspx?menuIndex=3&amp;refID=7191883&amp;Result=3","7191883")</f>
        <v>0</v>
      </c>
      <c r="B7119" t="s">
        <v>1306</v>
      </c>
      <c r="C7119" t="s">
        <v>10545</v>
      </c>
      <c r="D7119" t="s">
        <v>19011</v>
      </c>
      <c r="E7119" t="s">
        <v>25280</v>
      </c>
      <c r="F7119" t="s">
        <v>32606</v>
      </c>
      <c r="G7119" t="s">
        <v>32613</v>
      </c>
      <c r="H7119" t="s">
        <v>14201</v>
      </c>
      <c r="I7119" t="s">
        <v>32686</v>
      </c>
      <c r="J7119" t="s">
        <v>37282</v>
      </c>
      <c r="K7119" t="s">
        <v>42636</v>
      </c>
      <c r="M7119" t="s">
        <v>44278</v>
      </c>
      <c r="N7119" t="s">
        <v>47304</v>
      </c>
      <c r="O7119" t="s">
        <v>47305</v>
      </c>
      <c r="P7119">
        <v>0</v>
      </c>
      <c r="Q7119">
        <v>2</v>
      </c>
      <c r="R7119" t="s">
        <v>47311</v>
      </c>
      <c r="S7119" t="s">
        <v>47443</v>
      </c>
      <c r="T7119" t="s">
        <v>49011</v>
      </c>
      <c r="U7119" t="s">
        <v>55306</v>
      </c>
      <c r="W7119" t="s">
        <v>44278</v>
      </c>
      <c r="X7119" t="s">
        <v>47312</v>
      </c>
    </row>
    <row r="7120" spans="1:24">
      <c r="A7120">
        <f>HYPERLINK("https://www.philgeps.gov.ph/GEPSNONPILOT/Tender/SplashBidNoticeAbstractUI.aspx?menuIndex=3&amp;refID=7191894&amp;Result=3","7191894")</f>
        <v>0</v>
      </c>
      <c r="B7120" t="s">
        <v>2351</v>
      </c>
      <c r="C7120" t="s">
        <v>10546</v>
      </c>
      <c r="D7120" t="s">
        <v>19006</v>
      </c>
      <c r="E7120" t="s">
        <v>19249</v>
      </c>
      <c r="F7120" t="s">
        <v>32606</v>
      </c>
      <c r="G7120" t="s">
        <v>32613</v>
      </c>
      <c r="H7120" t="s">
        <v>32623</v>
      </c>
      <c r="I7120" t="s">
        <v>32647</v>
      </c>
      <c r="J7120" t="s">
        <v>37283</v>
      </c>
      <c r="K7120" t="s">
        <v>42624</v>
      </c>
      <c r="M7120" t="s">
        <v>45463</v>
      </c>
      <c r="N7120" t="s">
        <v>47304</v>
      </c>
      <c r="O7120" t="s">
        <v>47305</v>
      </c>
      <c r="P7120">
        <v>0</v>
      </c>
      <c r="Q7120">
        <v>0</v>
      </c>
      <c r="R7120" t="s">
        <v>47311</v>
      </c>
      <c r="S7120" t="s">
        <v>47443</v>
      </c>
      <c r="T7120" t="s">
        <v>49057</v>
      </c>
      <c r="U7120" t="s">
        <v>55489</v>
      </c>
      <c r="W7120" t="s">
        <v>45463</v>
      </c>
      <c r="X7120" t="s">
        <v>47312</v>
      </c>
    </row>
    <row r="7121" spans="1:24">
      <c r="A7121">
        <f>HYPERLINK("https://www.philgeps.gov.ph/GEPSNONPILOT/Tender/SplashBidNoticeAbstractUI.aspx?menuIndex=3&amp;refID=7191974&amp;Result=3","7191974")</f>
        <v>0</v>
      </c>
      <c r="B7121" t="s">
        <v>2352</v>
      </c>
      <c r="C7121" t="s">
        <v>10547</v>
      </c>
      <c r="D7121" t="s">
        <v>19003</v>
      </c>
      <c r="E7121" t="s">
        <v>25281</v>
      </c>
      <c r="F7121" t="s">
        <v>32606</v>
      </c>
      <c r="G7121" t="s">
        <v>32614</v>
      </c>
      <c r="H7121" t="s">
        <v>14201</v>
      </c>
      <c r="I7121" t="s">
        <v>32635</v>
      </c>
      <c r="J7121" t="s">
        <v>34903</v>
      </c>
      <c r="K7121" t="s">
        <v>42623</v>
      </c>
      <c r="M7121" t="s">
        <v>45464</v>
      </c>
      <c r="N7121" t="s">
        <v>47304</v>
      </c>
      <c r="O7121" t="s">
        <v>47305</v>
      </c>
      <c r="P7121">
        <v>0</v>
      </c>
      <c r="Q7121">
        <v>5</v>
      </c>
      <c r="R7121" t="s">
        <v>47311</v>
      </c>
      <c r="S7121" t="s">
        <v>47443</v>
      </c>
      <c r="T7121" t="s">
        <v>49269</v>
      </c>
      <c r="U7121" t="s">
        <v>55490</v>
      </c>
      <c r="W7121" t="s">
        <v>45464</v>
      </c>
      <c r="X7121" t="s">
        <v>47312</v>
      </c>
    </row>
    <row r="7122" spans="1:24">
      <c r="A7122">
        <f>HYPERLINK("https://www.philgeps.gov.ph/GEPSNONPILOT/Tender/SplashBidNoticeAbstractUI.aspx?menuIndex=3&amp;refID=7191885&amp;Result=3","7191885")</f>
        <v>0</v>
      </c>
      <c r="B7122" t="s">
        <v>2325</v>
      </c>
      <c r="C7122" t="s">
        <v>10548</v>
      </c>
      <c r="D7122" t="s">
        <v>18991</v>
      </c>
      <c r="E7122" t="s">
        <v>25282</v>
      </c>
      <c r="F7122" t="s">
        <v>32606</v>
      </c>
      <c r="G7122" t="s">
        <v>32613</v>
      </c>
      <c r="H7122" t="s">
        <v>14201</v>
      </c>
      <c r="I7122" t="s">
        <v>6298</v>
      </c>
      <c r="J7122" t="s">
        <v>32923</v>
      </c>
      <c r="K7122" t="s">
        <v>42624</v>
      </c>
      <c r="M7122" t="s">
        <v>45433</v>
      </c>
      <c r="N7122" t="s">
        <v>47304</v>
      </c>
      <c r="O7122" t="s">
        <v>47305</v>
      </c>
      <c r="P7122">
        <v>0</v>
      </c>
      <c r="Q7122">
        <v>0</v>
      </c>
      <c r="R7122" t="s">
        <v>47311</v>
      </c>
      <c r="S7122" t="s">
        <v>47443</v>
      </c>
      <c r="T7122" t="s">
        <v>49064</v>
      </c>
      <c r="U7122" t="s">
        <v>55491</v>
      </c>
      <c r="W7122" t="s">
        <v>45433</v>
      </c>
      <c r="X7122" t="s">
        <v>47312</v>
      </c>
    </row>
    <row r="7123" spans="1:24">
      <c r="A7123">
        <f>HYPERLINK("https://www.philgeps.gov.ph/GEPSNONPILOT/Tender/SplashBidNoticeAbstractUI.aspx?menuIndex=3&amp;refID=7191884&amp;Result=3","7191884")</f>
        <v>0</v>
      </c>
      <c r="B7123" t="s">
        <v>477</v>
      </c>
      <c r="C7123" t="s">
        <v>10549</v>
      </c>
      <c r="D7123" t="s">
        <v>19019</v>
      </c>
      <c r="E7123" t="s">
        <v>25283</v>
      </c>
      <c r="F7123" t="s">
        <v>32606</v>
      </c>
      <c r="G7123" t="s">
        <v>32614</v>
      </c>
      <c r="H7123" t="s">
        <v>14201</v>
      </c>
      <c r="I7123" t="s">
        <v>4112</v>
      </c>
      <c r="J7123" t="s">
        <v>37284</v>
      </c>
      <c r="K7123" t="s">
        <v>42638</v>
      </c>
      <c r="M7123" t="s">
        <v>43388</v>
      </c>
      <c r="N7123" t="s">
        <v>47304</v>
      </c>
      <c r="O7123" t="s">
        <v>47305</v>
      </c>
      <c r="P7123">
        <v>0</v>
      </c>
      <c r="Q7123">
        <v>0</v>
      </c>
      <c r="R7123" t="s">
        <v>47311</v>
      </c>
      <c r="S7123" t="s">
        <v>47443</v>
      </c>
      <c r="T7123" t="s">
        <v>49071</v>
      </c>
      <c r="U7123" t="s">
        <v>55492</v>
      </c>
      <c r="W7123" t="s">
        <v>43388</v>
      </c>
      <c r="X7123" t="s">
        <v>47312</v>
      </c>
    </row>
    <row r="7124" spans="1:24">
      <c r="A7124">
        <f>HYPERLINK("https://www.philgeps.gov.ph/GEPSNONPILOT/Tender/SplashBidNoticeAbstractUI.aspx?menuIndex=3&amp;refID=7191965&amp;Result=3","7191965")</f>
        <v>0</v>
      </c>
      <c r="B7124" t="s">
        <v>2339</v>
      </c>
      <c r="C7124" t="s">
        <v>10550</v>
      </c>
      <c r="D7124" t="s">
        <v>19018</v>
      </c>
      <c r="E7124" t="s">
        <v>25284</v>
      </c>
      <c r="F7124" t="s">
        <v>32606</v>
      </c>
      <c r="G7124" t="s">
        <v>32613</v>
      </c>
      <c r="H7124" t="s">
        <v>14201</v>
      </c>
      <c r="I7124" t="s">
        <v>32660</v>
      </c>
      <c r="J7124" t="s">
        <v>32789</v>
      </c>
      <c r="K7124" t="s">
        <v>42631</v>
      </c>
      <c r="M7124" t="s">
        <v>45449</v>
      </c>
      <c r="N7124" t="s">
        <v>47304</v>
      </c>
      <c r="O7124" t="s">
        <v>47305</v>
      </c>
      <c r="P7124">
        <v>0</v>
      </c>
      <c r="Q7124">
        <v>0</v>
      </c>
      <c r="R7124" t="s">
        <v>47311</v>
      </c>
      <c r="S7124" t="s">
        <v>47443</v>
      </c>
      <c r="T7124" t="s">
        <v>48987</v>
      </c>
      <c r="U7124" t="s">
        <v>55493</v>
      </c>
      <c r="W7124" t="s">
        <v>45449</v>
      </c>
      <c r="X7124" t="s">
        <v>47312</v>
      </c>
    </row>
    <row r="7125" spans="1:24">
      <c r="A7125">
        <f>HYPERLINK("https://www.philgeps.gov.ph/GEPSNONPILOT/Tender/SplashBidNoticeAbstractUI.aspx?menuIndex=3&amp;refID=7191897&amp;Result=3","7191897")</f>
        <v>0</v>
      </c>
      <c r="B7125" t="s">
        <v>2155</v>
      </c>
      <c r="C7125" t="s">
        <v>10551</v>
      </c>
      <c r="D7125" t="s">
        <v>19011</v>
      </c>
      <c r="E7125" t="s">
        <v>25285</v>
      </c>
      <c r="F7125" t="s">
        <v>32606</v>
      </c>
      <c r="G7125" t="s">
        <v>32613</v>
      </c>
      <c r="H7125" t="s">
        <v>32623</v>
      </c>
      <c r="I7125" t="s">
        <v>17648</v>
      </c>
      <c r="J7125" t="s">
        <v>37285</v>
      </c>
      <c r="K7125" t="s">
        <v>42655</v>
      </c>
      <c r="M7125" t="s">
        <v>45246</v>
      </c>
      <c r="N7125" t="s">
        <v>47304</v>
      </c>
      <c r="O7125" t="s">
        <v>47305</v>
      </c>
      <c r="P7125">
        <v>0</v>
      </c>
      <c r="Q7125">
        <v>0</v>
      </c>
      <c r="R7125" t="s">
        <v>47311</v>
      </c>
      <c r="S7125" t="s">
        <v>47443</v>
      </c>
      <c r="T7125" t="s">
        <v>49115</v>
      </c>
      <c r="U7125" t="s">
        <v>55494</v>
      </c>
      <c r="V7125" t="s">
        <v>63264</v>
      </c>
      <c r="W7125" t="s">
        <v>45246</v>
      </c>
      <c r="X7125" t="s">
        <v>47312</v>
      </c>
    </row>
    <row r="7126" spans="1:24">
      <c r="A7126">
        <f>HYPERLINK("https://www.philgeps.gov.ph/GEPSNONPILOT/Tender/SplashBidNoticeAbstractUI.aspx?menuIndex=3&amp;refID=7191960&amp;Result=3","7191960")</f>
        <v>0</v>
      </c>
      <c r="B7126" t="s">
        <v>1572</v>
      </c>
      <c r="C7126" t="s">
        <v>10552</v>
      </c>
      <c r="D7126" t="s">
        <v>18993</v>
      </c>
      <c r="E7126" t="s">
        <v>25286</v>
      </c>
      <c r="F7126" t="s">
        <v>32606</v>
      </c>
      <c r="G7126" t="s">
        <v>32617</v>
      </c>
      <c r="H7126" t="s">
        <v>14201</v>
      </c>
      <c r="I7126" t="s">
        <v>7529</v>
      </c>
      <c r="J7126" t="s">
        <v>37286</v>
      </c>
      <c r="K7126" t="s">
        <v>42630</v>
      </c>
      <c r="M7126" t="s">
        <v>45461</v>
      </c>
      <c r="N7126" t="s">
        <v>47304</v>
      </c>
      <c r="O7126" t="s">
        <v>47305</v>
      </c>
      <c r="P7126">
        <v>0</v>
      </c>
      <c r="Q7126">
        <v>5</v>
      </c>
      <c r="R7126" t="s">
        <v>47311</v>
      </c>
      <c r="S7126" t="s">
        <v>47443</v>
      </c>
      <c r="T7126" t="s">
        <v>49068</v>
      </c>
      <c r="U7126" t="s">
        <v>55495</v>
      </c>
      <c r="V7126" t="s">
        <v>62721</v>
      </c>
      <c r="W7126" t="s">
        <v>45461</v>
      </c>
      <c r="X7126" t="s">
        <v>47312</v>
      </c>
    </row>
    <row r="7127" spans="1:24">
      <c r="A7127">
        <f>HYPERLINK("https://www.philgeps.gov.ph/GEPSNONPILOT/Tender/SplashBidNoticeAbstractUI.aspx?menuIndex=3&amp;refID=7191954&amp;Result=3","7191954")</f>
        <v>0</v>
      </c>
      <c r="B7127" t="s">
        <v>2172</v>
      </c>
      <c r="C7127" t="s">
        <v>10553</v>
      </c>
      <c r="D7127" t="s">
        <v>19070</v>
      </c>
      <c r="E7127" t="s">
        <v>24589</v>
      </c>
      <c r="F7127" t="s">
        <v>32606</v>
      </c>
      <c r="G7127" t="s">
        <v>32614</v>
      </c>
      <c r="H7127" t="s">
        <v>14201</v>
      </c>
      <c r="I7127" t="s">
        <v>32629</v>
      </c>
      <c r="J7127" t="s">
        <v>37287</v>
      </c>
      <c r="K7127" t="s">
        <v>42622</v>
      </c>
      <c r="M7127" t="s">
        <v>45268</v>
      </c>
      <c r="N7127" t="s">
        <v>47304</v>
      </c>
      <c r="O7127" t="s">
        <v>47305</v>
      </c>
      <c r="P7127">
        <v>0</v>
      </c>
      <c r="Q7127">
        <v>0</v>
      </c>
      <c r="R7127" t="s">
        <v>47311</v>
      </c>
      <c r="S7127" t="s">
        <v>47443</v>
      </c>
      <c r="T7127" t="s">
        <v>48980</v>
      </c>
      <c r="U7127" t="s">
        <v>54978</v>
      </c>
      <c r="W7127" t="s">
        <v>45268</v>
      </c>
      <c r="X7127" t="s">
        <v>47312</v>
      </c>
    </row>
    <row r="7128" spans="1:24">
      <c r="A7128">
        <f>HYPERLINK("https://www.philgeps.gov.ph/GEPSNONPILOT/Tender/SplashBidNoticeAbstractUI.aspx?menuIndex=3&amp;refID=7191877&amp;Result=3","7191877")</f>
        <v>0</v>
      </c>
      <c r="B7128" t="s">
        <v>2347</v>
      </c>
      <c r="C7128" t="s">
        <v>10554</v>
      </c>
      <c r="D7128" t="s">
        <v>19016</v>
      </c>
      <c r="E7128" t="s">
        <v>25287</v>
      </c>
      <c r="F7128" t="s">
        <v>32606</v>
      </c>
      <c r="G7128" t="s">
        <v>32617</v>
      </c>
      <c r="H7128" t="s">
        <v>14201</v>
      </c>
      <c r="I7128" t="s">
        <v>4114</v>
      </c>
      <c r="J7128" t="s">
        <v>37288</v>
      </c>
      <c r="K7128" t="s">
        <v>42630</v>
      </c>
      <c r="M7128" t="s">
        <v>45458</v>
      </c>
      <c r="N7128" t="s">
        <v>47304</v>
      </c>
      <c r="O7128" t="s">
        <v>47305</v>
      </c>
      <c r="P7128">
        <v>0</v>
      </c>
      <c r="Q7128">
        <v>2</v>
      </c>
      <c r="R7128" t="s">
        <v>47311</v>
      </c>
      <c r="S7128" t="s">
        <v>47443</v>
      </c>
      <c r="T7128" t="s">
        <v>49010</v>
      </c>
      <c r="U7128" t="s">
        <v>55477</v>
      </c>
      <c r="W7128" t="s">
        <v>45458</v>
      </c>
      <c r="X7128" t="s">
        <v>47312</v>
      </c>
    </row>
    <row r="7129" spans="1:24">
      <c r="A7129">
        <f>HYPERLINK("https://www.philgeps.gov.ph/GEPSNONPILOT/Tender/SplashBidNoticeAbstractUI.aspx?menuIndex=3&amp;refID=7191944&amp;Result=3","7191944")</f>
        <v>0</v>
      </c>
      <c r="B7129" t="s">
        <v>2325</v>
      </c>
      <c r="C7129" t="s">
        <v>10555</v>
      </c>
      <c r="D7129" t="s">
        <v>18991</v>
      </c>
      <c r="E7129" t="s">
        <v>25288</v>
      </c>
      <c r="F7129" t="s">
        <v>32606</v>
      </c>
      <c r="G7129" t="s">
        <v>32613</v>
      </c>
      <c r="H7129" t="s">
        <v>14201</v>
      </c>
      <c r="I7129" t="s">
        <v>6007</v>
      </c>
      <c r="J7129" t="s">
        <v>33980</v>
      </c>
      <c r="K7129" t="s">
        <v>42624</v>
      </c>
      <c r="M7129" t="s">
        <v>45433</v>
      </c>
      <c r="N7129" t="s">
        <v>47304</v>
      </c>
      <c r="O7129" t="s">
        <v>47305</v>
      </c>
      <c r="P7129">
        <v>0</v>
      </c>
      <c r="Q7129">
        <v>0</v>
      </c>
      <c r="R7129" t="s">
        <v>47311</v>
      </c>
      <c r="S7129" t="s">
        <v>47443</v>
      </c>
      <c r="T7129" t="s">
        <v>49064</v>
      </c>
      <c r="U7129" t="s">
        <v>55496</v>
      </c>
      <c r="W7129" t="s">
        <v>45433</v>
      </c>
      <c r="X7129" t="s">
        <v>47312</v>
      </c>
    </row>
    <row r="7130" spans="1:24">
      <c r="A7130">
        <f>HYPERLINK("https://www.philgeps.gov.ph/GEPSNONPILOT/Tender/SplashBidNoticeAbstractUI.aspx?menuIndex=3&amp;refID=7191942&amp;Result=3","7191942")</f>
        <v>0</v>
      </c>
      <c r="B7130" t="s">
        <v>477</v>
      </c>
      <c r="C7130" t="s">
        <v>10556</v>
      </c>
      <c r="D7130" t="s">
        <v>19019</v>
      </c>
      <c r="E7130" t="s">
        <v>25289</v>
      </c>
      <c r="F7130" t="s">
        <v>32606</v>
      </c>
      <c r="G7130" t="s">
        <v>32614</v>
      </c>
      <c r="H7130" t="s">
        <v>14201</v>
      </c>
      <c r="I7130" t="s">
        <v>6298</v>
      </c>
      <c r="J7130" t="s">
        <v>32789</v>
      </c>
      <c r="K7130" t="s">
        <v>42638</v>
      </c>
      <c r="M7130" t="s">
        <v>43388</v>
      </c>
      <c r="N7130" t="s">
        <v>47304</v>
      </c>
      <c r="O7130" t="s">
        <v>47305</v>
      </c>
      <c r="P7130">
        <v>0</v>
      </c>
      <c r="Q7130">
        <v>0</v>
      </c>
      <c r="R7130" t="s">
        <v>47311</v>
      </c>
      <c r="S7130" t="s">
        <v>47443</v>
      </c>
      <c r="T7130" t="s">
        <v>49071</v>
      </c>
      <c r="U7130" t="s">
        <v>55497</v>
      </c>
      <c r="W7130" t="s">
        <v>43388</v>
      </c>
      <c r="X7130" t="s">
        <v>47312</v>
      </c>
    </row>
    <row r="7131" spans="1:24">
      <c r="A7131">
        <f>HYPERLINK("https://www.philgeps.gov.ph/GEPSNONPILOT/Tender/SplashBidNoticeAbstractUI.aspx?menuIndex=3&amp;refID=7191938&amp;Result=3","7191938")</f>
        <v>0</v>
      </c>
      <c r="B7131" t="s">
        <v>1691</v>
      </c>
      <c r="C7131" t="s">
        <v>10557</v>
      </c>
      <c r="D7131" t="s">
        <v>18993</v>
      </c>
      <c r="E7131" t="s">
        <v>25290</v>
      </c>
      <c r="F7131" t="s">
        <v>32606</v>
      </c>
      <c r="G7131" t="s">
        <v>32614</v>
      </c>
      <c r="H7131" t="s">
        <v>14201</v>
      </c>
      <c r="I7131" t="s">
        <v>7577</v>
      </c>
      <c r="J7131" t="s">
        <v>32951</v>
      </c>
      <c r="K7131" t="s">
        <v>42630</v>
      </c>
      <c r="M7131" t="s">
        <v>45218</v>
      </c>
      <c r="N7131" t="s">
        <v>47304</v>
      </c>
      <c r="O7131" t="s">
        <v>47305</v>
      </c>
      <c r="P7131">
        <v>0</v>
      </c>
      <c r="Q7131">
        <v>4</v>
      </c>
      <c r="R7131" t="s">
        <v>47311</v>
      </c>
      <c r="S7131" t="s">
        <v>47443</v>
      </c>
      <c r="T7131" t="s">
        <v>48998</v>
      </c>
      <c r="U7131" t="s">
        <v>55498</v>
      </c>
      <c r="W7131" t="s">
        <v>45218</v>
      </c>
      <c r="X7131" t="s">
        <v>47312</v>
      </c>
    </row>
    <row r="7132" spans="1:24">
      <c r="A7132">
        <f>HYPERLINK("https://www.philgeps.gov.ph/GEPSNONPILOT/Tender/SplashBidNoticeAbstractUI.aspx?menuIndex=3&amp;refID=7191971&amp;Result=3","7191971")</f>
        <v>0</v>
      </c>
      <c r="B7132" t="s">
        <v>2326</v>
      </c>
      <c r="C7132" t="s">
        <v>10558</v>
      </c>
      <c r="E7132" t="s">
        <v>25291</v>
      </c>
      <c r="F7132" t="s">
        <v>32606</v>
      </c>
      <c r="G7132" t="s">
        <v>32613</v>
      </c>
      <c r="H7132" t="s">
        <v>14201</v>
      </c>
      <c r="I7132" t="s">
        <v>32633</v>
      </c>
      <c r="J7132" t="s">
        <v>37289</v>
      </c>
      <c r="K7132" t="s">
        <v>42624</v>
      </c>
      <c r="M7132" t="s">
        <v>45434</v>
      </c>
      <c r="N7132" t="s">
        <v>47304</v>
      </c>
      <c r="O7132" t="s">
        <v>47305</v>
      </c>
      <c r="P7132">
        <v>0</v>
      </c>
      <c r="Q7132">
        <v>9</v>
      </c>
      <c r="R7132" t="s">
        <v>47311</v>
      </c>
      <c r="S7132" t="s">
        <v>47443</v>
      </c>
      <c r="T7132" t="s">
        <v>48973</v>
      </c>
      <c r="U7132" t="s">
        <v>55499</v>
      </c>
      <c r="W7132" t="s">
        <v>45434</v>
      </c>
      <c r="X7132" t="s">
        <v>47312</v>
      </c>
    </row>
    <row r="7133" spans="1:24">
      <c r="A7133">
        <f>HYPERLINK("https://www.philgeps.gov.ph/GEPSNONPILOT/Tender/SplashBidNoticeAbstractUI.aspx?menuIndex=3&amp;refID=7191929&amp;Result=3","7191929")</f>
        <v>0</v>
      </c>
      <c r="B7133" t="s">
        <v>477</v>
      </c>
      <c r="C7133" t="s">
        <v>10559</v>
      </c>
      <c r="D7133" t="s">
        <v>19019</v>
      </c>
      <c r="E7133" t="s">
        <v>25292</v>
      </c>
      <c r="F7133" t="s">
        <v>32606</v>
      </c>
      <c r="G7133" t="s">
        <v>32614</v>
      </c>
      <c r="H7133" t="s">
        <v>14201</v>
      </c>
      <c r="I7133" t="s">
        <v>6298</v>
      </c>
      <c r="J7133" t="s">
        <v>37290</v>
      </c>
      <c r="K7133" t="s">
        <v>42638</v>
      </c>
      <c r="M7133" t="s">
        <v>43388</v>
      </c>
      <c r="N7133" t="s">
        <v>47304</v>
      </c>
      <c r="O7133" t="s">
        <v>47305</v>
      </c>
      <c r="P7133">
        <v>0</v>
      </c>
      <c r="Q7133">
        <v>0</v>
      </c>
      <c r="R7133" t="s">
        <v>47311</v>
      </c>
      <c r="S7133" t="s">
        <v>47443</v>
      </c>
      <c r="T7133" t="s">
        <v>49071</v>
      </c>
      <c r="U7133" t="s">
        <v>55500</v>
      </c>
      <c r="W7133" t="s">
        <v>43388</v>
      </c>
      <c r="X7133" t="s">
        <v>47312</v>
      </c>
    </row>
    <row r="7134" spans="1:24">
      <c r="A7134">
        <f>HYPERLINK("https://www.philgeps.gov.ph/GEPSNONPILOT/Tender/SplashBidNoticeAbstractUI.aspx?menuIndex=3&amp;refID=7191926&amp;Result=3","7191926")</f>
        <v>0</v>
      </c>
      <c r="B7134" t="s">
        <v>775</v>
      </c>
      <c r="C7134" t="s">
        <v>10560</v>
      </c>
      <c r="D7134" t="s">
        <v>19009</v>
      </c>
      <c r="E7134" t="s">
        <v>25293</v>
      </c>
      <c r="F7134" t="s">
        <v>32606</v>
      </c>
      <c r="G7134" t="s">
        <v>32614</v>
      </c>
      <c r="H7134" t="s">
        <v>14201</v>
      </c>
      <c r="I7134" t="s">
        <v>32650</v>
      </c>
      <c r="J7134" t="s">
        <v>32789</v>
      </c>
      <c r="K7134" t="s">
        <v>42631</v>
      </c>
      <c r="M7134" t="s">
        <v>45457</v>
      </c>
      <c r="N7134" t="s">
        <v>47304</v>
      </c>
      <c r="O7134" t="s">
        <v>47305</v>
      </c>
      <c r="P7134">
        <v>0</v>
      </c>
      <c r="Q7134">
        <v>1</v>
      </c>
      <c r="R7134" t="s">
        <v>47311</v>
      </c>
      <c r="S7134" t="s">
        <v>47443</v>
      </c>
      <c r="T7134" t="s">
        <v>49072</v>
      </c>
      <c r="U7134" t="s">
        <v>55501</v>
      </c>
      <c r="W7134" t="s">
        <v>45457</v>
      </c>
      <c r="X7134" t="s">
        <v>47312</v>
      </c>
    </row>
    <row r="7135" spans="1:24">
      <c r="A7135">
        <f>HYPERLINK("https://www.philgeps.gov.ph/GEPSNONPILOT/Tender/SplashBidNoticeAbstractUI.aspx?menuIndex=3&amp;refID=7191949&amp;Result=3","7191949")</f>
        <v>0</v>
      </c>
      <c r="B7135" t="s">
        <v>745</v>
      </c>
      <c r="C7135" t="s">
        <v>10561</v>
      </c>
      <c r="D7135" t="s">
        <v>19043</v>
      </c>
      <c r="E7135" t="s">
        <v>25294</v>
      </c>
      <c r="F7135" t="s">
        <v>32606</v>
      </c>
      <c r="G7135" t="s">
        <v>32613</v>
      </c>
      <c r="H7135" t="s">
        <v>14201</v>
      </c>
      <c r="I7135" t="s">
        <v>4120</v>
      </c>
      <c r="J7135" t="s">
        <v>37291</v>
      </c>
      <c r="K7135" t="s">
        <v>42622</v>
      </c>
      <c r="M7135" t="s">
        <v>43668</v>
      </c>
      <c r="N7135" t="s">
        <v>47304</v>
      </c>
      <c r="O7135" t="s">
        <v>47305</v>
      </c>
      <c r="P7135">
        <v>0</v>
      </c>
      <c r="Q7135">
        <v>0</v>
      </c>
      <c r="R7135" t="s">
        <v>47311</v>
      </c>
      <c r="S7135" t="s">
        <v>47443</v>
      </c>
      <c r="T7135" t="s">
        <v>49160</v>
      </c>
      <c r="U7135" t="s">
        <v>55502</v>
      </c>
      <c r="W7135" t="s">
        <v>43668</v>
      </c>
      <c r="X7135" t="s">
        <v>47312</v>
      </c>
    </row>
    <row r="7136" spans="1:24">
      <c r="A7136">
        <f>HYPERLINK("https://www.philgeps.gov.ph/GEPSNONPILOT/Tender/SplashBidNoticeAbstractUI.aspx?menuIndex=3&amp;refID=7191963&amp;Result=3","7191963")</f>
        <v>0</v>
      </c>
      <c r="B7136" t="s">
        <v>2353</v>
      </c>
      <c r="C7136" t="s">
        <v>10562</v>
      </c>
      <c r="D7136" t="s">
        <v>19015</v>
      </c>
      <c r="E7136" t="s">
        <v>25295</v>
      </c>
      <c r="F7136" t="s">
        <v>32606</v>
      </c>
      <c r="G7136" t="s">
        <v>32613</v>
      </c>
      <c r="H7136" t="s">
        <v>14201</v>
      </c>
      <c r="I7136" t="s">
        <v>6931</v>
      </c>
      <c r="J7136" t="s">
        <v>37292</v>
      </c>
      <c r="K7136" t="s">
        <v>42631</v>
      </c>
      <c r="M7136" t="s">
        <v>45465</v>
      </c>
      <c r="N7136" t="s">
        <v>47304</v>
      </c>
      <c r="O7136" t="s">
        <v>47305</v>
      </c>
      <c r="P7136">
        <v>0</v>
      </c>
      <c r="Q7136">
        <v>1</v>
      </c>
      <c r="R7136" t="s">
        <v>47311</v>
      </c>
      <c r="S7136" t="s">
        <v>47443</v>
      </c>
      <c r="T7136" t="s">
        <v>49004</v>
      </c>
      <c r="U7136" t="s">
        <v>55503</v>
      </c>
      <c r="V7136" t="s">
        <v>63335</v>
      </c>
      <c r="W7136" t="s">
        <v>45465</v>
      </c>
      <c r="X7136" t="s">
        <v>47312</v>
      </c>
    </row>
    <row r="7137" spans="1:24">
      <c r="A7137">
        <f>HYPERLINK("https://www.philgeps.gov.ph/GEPSNONPILOT/Tender/SplashBidNoticeAbstractUI.aspx?menuIndex=3&amp;refID=7191925&amp;Result=3","7191925")</f>
        <v>0</v>
      </c>
      <c r="B7137" t="s">
        <v>2354</v>
      </c>
      <c r="C7137" t="s">
        <v>10563</v>
      </c>
      <c r="D7137" t="s">
        <v>19058</v>
      </c>
      <c r="E7137" t="s">
        <v>25296</v>
      </c>
      <c r="F7137" t="s">
        <v>32606</v>
      </c>
      <c r="G7137" t="s">
        <v>32614</v>
      </c>
      <c r="H7137" t="s">
        <v>14201</v>
      </c>
      <c r="I7137" t="s">
        <v>32640</v>
      </c>
      <c r="J7137" t="s">
        <v>37293</v>
      </c>
      <c r="K7137" t="s">
        <v>42622</v>
      </c>
      <c r="M7137" t="s">
        <v>45466</v>
      </c>
      <c r="N7137" t="s">
        <v>47304</v>
      </c>
      <c r="O7137" t="s">
        <v>47305</v>
      </c>
      <c r="P7137">
        <v>0</v>
      </c>
      <c r="Q7137">
        <v>5</v>
      </c>
      <c r="R7137" t="s">
        <v>47311</v>
      </c>
      <c r="S7137" t="s">
        <v>47443</v>
      </c>
      <c r="T7137" t="s">
        <v>48971</v>
      </c>
      <c r="U7137" t="s">
        <v>55504</v>
      </c>
      <c r="W7137" t="s">
        <v>64500</v>
      </c>
      <c r="X7137" t="s">
        <v>47312</v>
      </c>
    </row>
    <row r="7138" spans="1:24">
      <c r="A7138">
        <f>HYPERLINK("https://www.philgeps.gov.ph/GEPSNONPILOT/Tender/SplashBidNoticeAbstractUI.aspx?menuIndex=3&amp;refID=7191943&amp;Result=3","7191943")</f>
        <v>0</v>
      </c>
      <c r="B7138" t="s">
        <v>2152</v>
      </c>
      <c r="C7138" t="s">
        <v>10564</v>
      </c>
      <c r="D7138" t="s">
        <v>19035</v>
      </c>
      <c r="E7138" t="s">
        <v>25297</v>
      </c>
      <c r="F7138" t="s">
        <v>32606</v>
      </c>
      <c r="G7138" t="s">
        <v>32613</v>
      </c>
      <c r="H7138" t="s">
        <v>14201</v>
      </c>
      <c r="I7138" t="s">
        <v>6298</v>
      </c>
      <c r="J7138" t="s">
        <v>34118</v>
      </c>
      <c r="K7138" t="s">
        <v>42622</v>
      </c>
      <c r="M7138" t="s">
        <v>45243</v>
      </c>
      <c r="N7138" t="s">
        <v>47304</v>
      </c>
      <c r="O7138" t="s">
        <v>47305</v>
      </c>
      <c r="P7138">
        <v>0</v>
      </c>
      <c r="Q7138">
        <v>5</v>
      </c>
      <c r="R7138" t="s">
        <v>47311</v>
      </c>
      <c r="S7138" t="s">
        <v>47443</v>
      </c>
      <c r="T7138" t="s">
        <v>49067</v>
      </c>
      <c r="U7138" t="s">
        <v>55505</v>
      </c>
      <c r="W7138" t="s">
        <v>45243</v>
      </c>
      <c r="X7138" t="s">
        <v>47312</v>
      </c>
    </row>
    <row r="7139" spans="1:24">
      <c r="A7139">
        <f>HYPERLINK("https://www.philgeps.gov.ph/GEPSNONPILOT/Tender/SplashBidNoticeAbstractUI.aspx?menuIndex=3&amp;refID=7191941&amp;Result=3","7191941")</f>
        <v>0</v>
      </c>
      <c r="B7139" t="s">
        <v>2355</v>
      </c>
      <c r="C7139" t="s">
        <v>4758</v>
      </c>
      <c r="D7139" t="s">
        <v>19004</v>
      </c>
      <c r="E7139" t="s">
        <v>24763</v>
      </c>
      <c r="F7139" t="s">
        <v>32606</v>
      </c>
      <c r="G7139" t="s">
        <v>32617</v>
      </c>
      <c r="H7139" t="s">
        <v>32624</v>
      </c>
      <c r="I7139" t="s">
        <v>4120</v>
      </c>
      <c r="J7139" t="s">
        <v>32752</v>
      </c>
      <c r="K7139" t="s">
        <v>42630</v>
      </c>
      <c r="M7139" t="s">
        <v>45467</v>
      </c>
      <c r="N7139" t="s">
        <v>47304</v>
      </c>
      <c r="O7139" t="s">
        <v>47305</v>
      </c>
      <c r="P7139">
        <v>0</v>
      </c>
      <c r="Q7139">
        <v>4</v>
      </c>
      <c r="R7139" t="s">
        <v>47311</v>
      </c>
      <c r="S7139" t="s">
        <v>47443</v>
      </c>
      <c r="T7139" t="s">
        <v>49072</v>
      </c>
      <c r="U7139" t="s">
        <v>55506</v>
      </c>
      <c r="W7139" t="s">
        <v>45467</v>
      </c>
      <c r="X7139" t="s">
        <v>47312</v>
      </c>
    </row>
    <row r="7140" spans="1:24">
      <c r="A7140">
        <f>HYPERLINK("https://www.philgeps.gov.ph/GEPSNONPILOT/Tender/SplashBidNoticeAbstractUI.aspx?menuIndex=3&amp;refID=7191921&amp;Result=3","7191921")</f>
        <v>0</v>
      </c>
      <c r="B7140" t="s">
        <v>1572</v>
      </c>
      <c r="C7140" t="s">
        <v>10565</v>
      </c>
      <c r="D7140" t="s">
        <v>18993</v>
      </c>
      <c r="E7140" t="s">
        <v>25298</v>
      </c>
      <c r="F7140" t="s">
        <v>32606</v>
      </c>
      <c r="G7140" t="s">
        <v>32617</v>
      </c>
      <c r="H7140" t="s">
        <v>14201</v>
      </c>
      <c r="I7140" t="s">
        <v>7529</v>
      </c>
      <c r="J7140" t="s">
        <v>33083</v>
      </c>
      <c r="K7140" t="s">
        <v>42630</v>
      </c>
      <c r="M7140" t="s">
        <v>45461</v>
      </c>
      <c r="N7140" t="s">
        <v>47304</v>
      </c>
      <c r="O7140" t="s">
        <v>47305</v>
      </c>
      <c r="P7140">
        <v>0</v>
      </c>
      <c r="Q7140">
        <v>0</v>
      </c>
      <c r="R7140" t="s">
        <v>47311</v>
      </c>
      <c r="S7140" t="s">
        <v>47443</v>
      </c>
      <c r="T7140" t="s">
        <v>49068</v>
      </c>
      <c r="U7140" t="s">
        <v>55507</v>
      </c>
      <c r="V7140" t="s">
        <v>62721</v>
      </c>
      <c r="W7140" t="s">
        <v>45461</v>
      </c>
      <c r="X7140" t="s">
        <v>47312</v>
      </c>
    </row>
    <row r="7141" spans="1:24">
      <c r="A7141">
        <f>HYPERLINK("https://www.philgeps.gov.ph/GEPSNONPILOT/Tender/SplashBidNoticeAbstractUI.aspx?menuIndex=3&amp;refID=7191874&amp;Result=3","7191874")</f>
        <v>0</v>
      </c>
      <c r="B7141" t="s">
        <v>2356</v>
      </c>
      <c r="C7141" t="s">
        <v>10566</v>
      </c>
      <c r="D7141" t="s">
        <v>19014</v>
      </c>
      <c r="E7141" t="s">
        <v>25299</v>
      </c>
      <c r="F7141" t="s">
        <v>32606</v>
      </c>
      <c r="G7141" t="s">
        <v>32613</v>
      </c>
      <c r="H7141" t="s">
        <v>14201</v>
      </c>
      <c r="I7141" t="s">
        <v>4114</v>
      </c>
      <c r="J7141" t="s">
        <v>37294</v>
      </c>
      <c r="K7141" t="s">
        <v>42631</v>
      </c>
      <c r="M7141" t="s">
        <v>45468</v>
      </c>
      <c r="N7141" t="s">
        <v>47304</v>
      </c>
      <c r="O7141" t="s">
        <v>47305</v>
      </c>
      <c r="P7141">
        <v>0</v>
      </c>
      <c r="Q7141">
        <v>4</v>
      </c>
      <c r="R7141" t="s">
        <v>47311</v>
      </c>
      <c r="S7141" t="s">
        <v>47443</v>
      </c>
      <c r="T7141" t="s">
        <v>49171</v>
      </c>
      <c r="U7141" t="s">
        <v>55508</v>
      </c>
      <c r="W7141" t="s">
        <v>64501</v>
      </c>
      <c r="X7141" t="s">
        <v>47312</v>
      </c>
    </row>
    <row r="7142" spans="1:24">
      <c r="A7142">
        <f>HYPERLINK("https://www.philgeps.gov.ph/GEPSNONPILOT/Tender/SplashBidNoticeAbstractUI.aspx?menuIndex=3&amp;refID=7191866&amp;Result=3","7191866")</f>
        <v>0</v>
      </c>
      <c r="B7142" t="s">
        <v>2349</v>
      </c>
      <c r="C7142" t="s">
        <v>10538</v>
      </c>
      <c r="D7142" t="s">
        <v>19019</v>
      </c>
      <c r="E7142" t="s">
        <v>25300</v>
      </c>
      <c r="F7142" t="s">
        <v>32606</v>
      </c>
      <c r="G7142" t="s">
        <v>32614</v>
      </c>
      <c r="H7142" t="s">
        <v>14201</v>
      </c>
      <c r="I7142" t="s">
        <v>4120</v>
      </c>
      <c r="J7142" t="s">
        <v>34072</v>
      </c>
      <c r="K7142" t="s">
        <v>42631</v>
      </c>
      <c r="M7142" t="s">
        <v>45460</v>
      </c>
      <c r="N7142" t="s">
        <v>47304</v>
      </c>
      <c r="O7142" t="s">
        <v>47305</v>
      </c>
      <c r="P7142">
        <v>0</v>
      </c>
      <c r="Q7142">
        <v>3</v>
      </c>
      <c r="R7142" t="s">
        <v>47311</v>
      </c>
      <c r="S7142" t="s">
        <v>47443</v>
      </c>
      <c r="T7142" t="s">
        <v>49268</v>
      </c>
      <c r="U7142" t="s">
        <v>55509</v>
      </c>
      <c r="W7142" t="s">
        <v>45460</v>
      </c>
      <c r="X7142" t="s">
        <v>47312</v>
      </c>
    </row>
    <row r="7143" spans="1:24">
      <c r="A7143">
        <f>HYPERLINK("https://www.philgeps.gov.ph/GEPSNONPILOT/Tender/SplashBidNoticeAbstractUI.aspx?menuIndex=3&amp;refID=7191933&amp;Result=3","7191933")</f>
        <v>0</v>
      </c>
      <c r="B7143" t="s">
        <v>745</v>
      </c>
      <c r="C7143" t="s">
        <v>10567</v>
      </c>
      <c r="D7143" t="s">
        <v>19043</v>
      </c>
      <c r="E7143" t="s">
        <v>25301</v>
      </c>
      <c r="F7143" t="s">
        <v>32606</v>
      </c>
      <c r="G7143" t="s">
        <v>32613</v>
      </c>
      <c r="H7143" t="s">
        <v>14201</v>
      </c>
      <c r="I7143" t="s">
        <v>4678</v>
      </c>
      <c r="J7143" t="s">
        <v>33526</v>
      </c>
      <c r="K7143" t="s">
        <v>42622</v>
      </c>
      <c r="M7143" t="s">
        <v>43668</v>
      </c>
      <c r="N7143" t="s">
        <v>47304</v>
      </c>
      <c r="O7143" t="s">
        <v>47305</v>
      </c>
      <c r="P7143">
        <v>0</v>
      </c>
      <c r="Q7143">
        <v>0</v>
      </c>
      <c r="R7143" t="s">
        <v>47311</v>
      </c>
      <c r="S7143" t="s">
        <v>47443</v>
      </c>
      <c r="T7143" t="s">
        <v>49160</v>
      </c>
      <c r="U7143" t="s">
        <v>55510</v>
      </c>
      <c r="W7143" t="s">
        <v>43668</v>
      </c>
      <c r="X7143" t="s">
        <v>47312</v>
      </c>
    </row>
    <row r="7144" spans="1:24">
      <c r="A7144">
        <f>HYPERLINK("https://www.philgeps.gov.ph/GEPSNONPILOT/Tender/SplashBidNoticeAbstractUI.aspx?menuIndex=3&amp;refID=7191721&amp;Result=3","7191721")</f>
        <v>0</v>
      </c>
      <c r="B7144" t="s">
        <v>2357</v>
      </c>
      <c r="C7144" t="s">
        <v>10568</v>
      </c>
      <c r="D7144" t="s">
        <v>19012</v>
      </c>
      <c r="E7144" t="s">
        <v>24209</v>
      </c>
      <c r="F7144" t="s">
        <v>32606</v>
      </c>
      <c r="G7144" t="s">
        <v>32613</v>
      </c>
      <c r="H7144" t="s">
        <v>32623</v>
      </c>
      <c r="I7144" t="s">
        <v>17648</v>
      </c>
      <c r="J7144" t="s">
        <v>32767</v>
      </c>
      <c r="K7144" t="s">
        <v>42688</v>
      </c>
      <c r="M7144" t="s">
        <v>45469</v>
      </c>
      <c r="N7144" t="s">
        <v>47304</v>
      </c>
      <c r="O7144" t="s">
        <v>47305</v>
      </c>
      <c r="P7144">
        <v>0</v>
      </c>
      <c r="Q7144">
        <v>0</v>
      </c>
      <c r="R7144" t="s">
        <v>47311</v>
      </c>
      <c r="S7144" t="s">
        <v>47443</v>
      </c>
      <c r="T7144" t="s">
        <v>49010</v>
      </c>
      <c r="U7144" t="s">
        <v>55511</v>
      </c>
      <c r="W7144" t="s">
        <v>45469</v>
      </c>
      <c r="X7144" t="s">
        <v>47312</v>
      </c>
    </row>
    <row r="7145" spans="1:24">
      <c r="A7145">
        <f>HYPERLINK("https://www.philgeps.gov.ph/GEPSNONPILOT/Tender/SplashBidNoticeAbstractUI.aspx?menuIndex=3&amp;refID=7192023&amp;Result=3","7192023")</f>
        <v>0</v>
      </c>
      <c r="B7145" t="s">
        <v>97</v>
      </c>
      <c r="C7145" t="s">
        <v>10569</v>
      </c>
      <c r="D7145" t="s">
        <v>19026</v>
      </c>
      <c r="E7145" t="s">
        <v>25302</v>
      </c>
      <c r="F7145" t="s">
        <v>32606</v>
      </c>
      <c r="G7145" t="s">
        <v>32613</v>
      </c>
      <c r="H7145" t="s">
        <v>14201</v>
      </c>
      <c r="I7145" t="s">
        <v>6931</v>
      </c>
      <c r="J7145" t="s">
        <v>37295</v>
      </c>
      <c r="K7145" t="s">
        <v>42622</v>
      </c>
      <c r="M7145" t="s">
        <v>42995</v>
      </c>
      <c r="N7145" t="s">
        <v>47304</v>
      </c>
      <c r="O7145" t="s">
        <v>47305</v>
      </c>
      <c r="P7145">
        <v>0</v>
      </c>
      <c r="Q7145">
        <v>0</v>
      </c>
      <c r="R7145" t="s">
        <v>47311</v>
      </c>
      <c r="S7145" t="s">
        <v>47443</v>
      </c>
      <c r="T7145" t="s">
        <v>49014</v>
      </c>
      <c r="U7145" t="s">
        <v>55512</v>
      </c>
      <c r="W7145" t="s">
        <v>42995</v>
      </c>
      <c r="X7145" t="s">
        <v>47312</v>
      </c>
    </row>
    <row r="7146" spans="1:24">
      <c r="A7146">
        <f>HYPERLINK("https://www.philgeps.gov.ph/GEPSNONPILOT/Tender/SplashBidNoticeAbstractUI.aspx?menuIndex=3&amp;refID=7192020&amp;Result=3","7192020")</f>
        <v>0</v>
      </c>
      <c r="B7146" t="s">
        <v>644</v>
      </c>
      <c r="C7146" t="s">
        <v>10570</v>
      </c>
      <c r="D7146" t="s">
        <v>19022</v>
      </c>
      <c r="E7146" t="s">
        <v>25303</v>
      </c>
      <c r="F7146" t="s">
        <v>32606</v>
      </c>
      <c r="G7146" t="s">
        <v>32614</v>
      </c>
      <c r="H7146" t="s">
        <v>14201</v>
      </c>
      <c r="I7146" t="s">
        <v>6993</v>
      </c>
      <c r="J7146" t="s">
        <v>37296</v>
      </c>
      <c r="K7146" t="s">
        <v>42624</v>
      </c>
      <c r="M7146" t="s">
        <v>44072</v>
      </c>
      <c r="N7146" t="s">
        <v>47304</v>
      </c>
      <c r="O7146" t="s">
        <v>47305</v>
      </c>
      <c r="P7146">
        <v>0</v>
      </c>
      <c r="Q7146">
        <v>7</v>
      </c>
      <c r="R7146" t="s">
        <v>47311</v>
      </c>
      <c r="S7146" t="s">
        <v>47443</v>
      </c>
      <c r="T7146" t="s">
        <v>49331</v>
      </c>
      <c r="U7146" t="s">
        <v>55513</v>
      </c>
      <c r="W7146" t="s">
        <v>44072</v>
      </c>
      <c r="X7146" t="s">
        <v>47312</v>
      </c>
    </row>
    <row r="7147" spans="1:24">
      <c r="A7147">
        <f>HYPERLINK("https://www.philgeps.gov.ph/GEPSNONPILOT/Tender/SplashBidNoticeAbstractUI.aspx?menuIndex=3&amp;refID=7192018&amp;Result=3","7192018")</f>
        <v>0</v>
      </c>
      <c r="B7147" t="s">
        <v>1572</v>
      </c>
      <c r="C7147" t="s">
        <v>10571</v>
      </c>
      <c r="D7147" t="s">
        <v>18993</v>
      </c>
      <c r="E7147" t="s">
        <v>25304</v>
      </c>
      <c r="F7147" t="s">
        <v>32606</v>
      </c>
      <c r="G7147" t="s">
        <v>32617</v>
      </c>
      <c r="H7147" t="s">
        <v>14201</v>
      </c>
      <c r="I7147" t="s">
        <v>6298</v>
      </c>
      <c r="J7147" t="s">
        <v>33111</v>
      </c>
      <c r="K7147" t="s">
        <v>42630</v>
      </c>
      <c r="M7147" t="s">
        <v>45461</v>
      </c>
      <c r="N7147" t="s">
        <v>47304</v>
      </c>
      <c r="O7147" t="s">
        <v>47305</v>
      </c>
      <c r="P7147">
        <v>0</v>
      </c>
      <c r="Q7147">
        <v>5</v>
      </c>
      <c r="R7147" t="s">
        <v>47311</v>
      </c>
      <c r="S7147" t="s">
        <v>47443</v>
      </c>
      <c r="T7147" t="s">
        <v>49068</v>
      </c>
      <c r="U7147" t="s">
        <v>55514</v>
      </c>
      <c r="V7147" t="s">
        <v>63334</v>
      </c>
      <c r="W7147" t="s">
        <v>45461</v>
      </c>
      <c r="X7147" t="s">
        <v>47312</v>
      </c>
    </row>
    <row r="7148" spans="1:24">
      <c r="A7148">
        <f>HYPERLINK("https://www.philgeps.gov.ph/GEPSNONPILOT/Tender/SplashBidNoticeAbstractUI.aspx?menuIndex=3&amp;refID=7191924&amp;Result=3","7191924")</f>
        <v>0</v>
      </c>
      <c r="B7148" t="s">
        <v>2358</v>
      </c>
      <c r="C7148" t="s">
        <v>10572</v>
      </c>
      <c r="D7148" t="s">
        <v>19012</v>
      </c>
      <c r="E7148" t="s">
        <v>25305</v>
      </c>
      <c r="F7148" t="s">
        <v>32606</v>
      </c>
      <c r="G7148" t="s">
        <v>32615</v>
      </c>
      <c r="H7148" t="s">
        <v>32623</v>
      </c>
      <c r="I7148" t="s">
        <v>32683</v>
      </c>
      <c r="J7148" t="s">
        <v>37297</v>
      </c>
      <c r="K7148" t="s">
        <v>42631</v>
      </c>
      <c r="M7148" t="s">
        <v>45470</v>
      </c>
      <c r="N7148" t="s">
        <v>47304</v>
      </c>
      <c r="O7148" t="s">
        <v>47305</v>
      </c>
      <c r="P7148">
        <v>0</v>
      </c>
      <c r="Q7148">
        <v>0</v>
      </c>
      <c r="R7148" t="s">
        <v>47311</v>
      </c>
      <c r="S7148" t="s">
        <v>47443</v>
      </c>
      <c r="T7148" t="s">
        <v>49268</v>
      </c>
      <c r="U7148" t="s">
        <v>55515</v>
      </c>
      <c r="W7148" t="s">
        <v>45470</v>
      </c>
      <c r="X7148" t="s">
        <v>47312</v>
      </c>
    </row>
    <row r="7149" spans="1:24">
      <c r="A7149">
        <f>HYPERLINK("https://www.philgeps.gov.ph/GEPSNONPILOT/Tender/SplashBidNoticeAbstractUI.aspx?menuIndex=3&amp;refID=7192017&amp;Result=3","7192017")</f>
        <v>0</v>
      </c>
      <c r="B7149" t="s">
        <v>370</v>
      </c>
      <c r="C7149" t="s">
        <v>10573</v>
      </c>
      <c r="D7149" t="s">
        <v>19006</v>
      </c>
      <c r="E7149" t="s">
        <v>25306</v>
      </c>
      <c r="F7149" t="s">
        <v>32606</v>
      </c>
      <c r="G7149" t="s">
        <v>32613</v>
      </c>
      <c r="H7149" t="s">
        <v>32623</v>
      </c>
      <c r="I7149" t="s">
        <v>17648</v>
      </c>
      <c r="J7149" t="s">
        <v>33382</v>
      </c>
      <c r="K7149" t="s">
        <v>42775</v>
      </c>
      <c r="M7149" t="s">
        <v>43272</v>
      </c>
      <c r="N7149" t="s">
        <v>47304</v>
      </c>
      <c r="O7149" t="s">
        <v>47305</v>
      </c>
      <c r="P7149">
        <v>0</v>
      </c>
      <c r="Q7149">
        <v>0</v>
      </c>
      <c r="R7149" t="s">
        <v>47311</v>
      </c>
      <c r="S7149" t="s">
        <v>47443</v>
      </c>
      <c r="T7149" t="s">
        <v>49073</v>
      </c>
      <c r="U7149" t="s">
        <v>55516</v>
      </c>
      <c r="W7149" t="s">
        <v>43272</v>
      </c>
      <c r="X7149" t="s">
        <v>47312</v>
      </c>
    </row>
    <row r="7150" spans="1:24">
      <c r="A7150">
        <f>HYPERLINK("https://www.philgeps.gov.ph/GEPSNONPILOT/Tender/SplashBidNoticeAbstractUI.aspx?menuIndex=3&amp;refID=7192014&amp;Result=3","7192014")</f>
        <v>0</v>
      </c>
      <c r="B7150" t="s">
        <v>477</v>
      </c>
      <c r="C7150" t="s">
        <v>10574</v>
      </c>
      <c r="D7150" t="s">
        <v>19019</v>
      </c>
      <c r="E7150" t="s">
        <v>25307</v>
      </c>
      <c r="F7150" t="s">
        <v>32606</v>
      </c>
      <c r="G7150" t="s">
        <v>32614</v>
      </c>
      <c r="H7150" t="s">
        <v>14201</v>
      </c>
      <c r="I7150" t="s">
        <v>32650</v>
      </c>
      <c r="J7150" t="s">
        <v>36134</v>
      </c>
      <c r="K7150" t="s">
        <v>42638</v>
      </c>
      <c r="M7150" t="s">
        <v>43388</v>
      </c>
      <c r="N7150" t="s">
        <v>47304</v>
      </c>
      <c r="O7150" t="s">
        <v>47305</v>
      </c>
      <c r="P7150">
        <v>0</v>
      </c>
      <c r="Q7150">
        <v>8</v>
      </c>
      <c r="R7150" t="s">
        <v>47311</v>
      </c>
      <c r="S7150" t="s">
        <v>47443</v>
      </c>
      <c r="T7150" t="s">
        <v>49071</v>
      </c>
      <c r="U7150" t="s">
        <v>55517</v>
      </c>
      <c r="W7150" t="s">
        <v>43388</v>
      </c>
      <c r="X7150" t="s">
        <v>47312</v>
      </c>
    </row>
    <row r="7151" spans="1:24">
      <c r="A7151">
        <f>HYPERLINK("https://www.philgeps.gov.ph/GEPSNONPILOT/Tender/SplashBidNoticeAbstractUI.aspx?menuIndex=3&amp;refID=7191869&amp;Result=3","7191869")</f>
        <v>0</v>
      </c>
      <c r="B7151" t="s">
        <v>1221</v>
      </c>
      <c r="C7151" t="s">
        <v>10575</v>
      </c>
      <c r="D7151" t="s">
        <v>19063</v>
      </c>
      <c r="E7151" t="s">
        <v>25308</v>
      </c>
      <c r="F7151" t="s">
        <v>32606</v>
      </c>
      <c r="G7151" t="s">
        <v>32614</v>
      </c>
      <c r="H7151" t="s">
        <v>14201</v>
      </c>
      <c r="I7151" t="s">
        <v>4678</v>
      </c>
      <c r="J7151" t="s">
        <v>37298</v>
      </c>
      <c r="K7151" t="s">
        <v>42630</v>
      </c>
      <c r="M7151" t="s">
        <v>44186</v>
      </c>
      <c r="N7151" t="s">
        <v>47304</v>
      </c>
      <c r="O7151" t="s">
        <v>47305</v>
      </c>
      <c r="P7151">
        <v>0</v>
      </c>
      <c r="Q7151">
        <v>0</v>
      </c>
      <c r="R7151" t="s">
        <v>47311</v>
      </c>
      <c r="S7151" t="s">
        <v>47443</v>
      </c>
      <c r="T7151" t="s">
        <v>48975</v>
      </c>
      <c r="U7151" t="s">
        <v>55518</v>
      </c>
      <c r="W7151" t="s">
        <v>44186</v>
      </c>
      <c r="X7151" t="s">
        <v>47312</v>
      </c>
    </row>
    <row r="7152" spans="1:24">
      <c r="A7152">
        <f>HYPERLINK("https://www.philgeps.gov.ph/GEPSNONPILOT/Tender/SplashBidNoticeAbstractUI.aspx?menuIndex=3&amp;refID=7192009&amp;Result=3","7192009")</f>
        <v>0</v>
      </c>
      <c r="B7152" t="s">
        <v>1103</v>
      </c>
      <c r="C7152" t="s">
        <v>10576</v>
      </c>
      <c r="D7152" t="s">
        <v>19014</v>
      </c>
      <c r="E7152" t="s">
        <v>25309</v>
      </c>
      <c r="F7152" t="s">
        <v>32606</v>
      </c>
      <c r="G7152" t="s">
        <v>32614</v>
      </c>
      <c r="H7152" t="s">
        <v>14201</v>
      </c>
      <c r="I7152" t="s">
        <v>4678</v>
      </c>
      <c r="J7152" t="s">
        <v>33113</v>
      </c>
      <c r="K7152" t="s">
        <v>42630</v>
      </c>
      <c r="M7152" t="s">
        <v>45471</v>
      </c>
      <c r="N7152" t="s">
        <v>47304</v>
      </c>
      <c r="O7152" t="s">
        <v>47305</v>
      </c>
      <c r="P7152">
        <v>0</v>
      </c>
      <c r="Q7152">
        <v>2</v>
      </c>
      <c r="R7152" t="s">
        <v>47311</v>
      </c>
      <c r="S7152" t="s">
        <v>47443</v>
      </c>
      <c r="T7152" t="s">
        <v>49072</v>
      </c>
      <c r="U7152" t="s">
        <v>55519</v>
      </c>
      <c r="W7152" t="s">
        <v>45471</v>
      </c>
      <c r="X7152" t="s">
        <v>47312</v>
      </c>
    </row>
    <row r="7153" spans="1:24">
      <c r="A7153">
        <f>HYPERLINK("https://www.philgeps.gov.ph/GEPSNONPILOT/Tender/SplashBidNoticeAbstractUI.aspx?menuIndex=3&amp;refID=7192007&amp;Result=3","7192007")</f>
        <v>0</v>
      </c>
      <c r="B7153" t="s">
        <v>477</v>
      </c>
      <c r="C7153" t="s">
        <v>10577</v>
      </c>
      <c r="D7153" t="s">
        <v>19019</v>
      </c>
      <c r="E7153" t="s">
        <v>25310</v>
      </c>
      <c r="F7153" t="s">
        <v>32606</v>
      </c>
      <c r="G7153" t="s">
        <v>32614</v>
      </c>
      <c r="H7153" t="s">
        <v>14201</v>
      </c>
      <c r="I7153" t="s">
        <v>4678</v>
      </c>
      <c r="J7153" t="s">
        <v>37299</v>
      </c>
      <c r="K7153" t="s">
        <v>42638</v>
      </c>
      <c r="M7153" t="s">
        <v>43388</v>
      </c>
      <c r="N7153" t="s">
        <v>47304</v>
      </c>
      <c r="O7153" t="s">
        <v>47305</v>
      </c>
      <c r="P7153">
        <v>0</v>
      </c>
      <c r="Q7153">
        <v>0</v>
      </c>
      <c r="R7153" t="s">
        <v>47311</v>
      </c>
      <c r="S7153" t="s">
        <v>47443</v>
      </c>
      <c r="T7153" t="s">
        <v>49071</v>
      </c>
      <c r="U7153" t="s">
        <v>55520</v>
      </c>
      <c r="W7153" t="s">
        <v>43388</v>
      </c>
      <c r="X7153" t="s">
        <v>47312</v>
      </c>
    </row>
    <row r="7154" spans="1:24">
      <c r="A7154">
        <f>HYPERLINK("https://www.philgeps.gov.ph/GEPSNONPILOT/Tender/SplashBidNoticeAbstractUI.aspx?menuIndex=3&amp;refID=7192005&amp;Result=3","7192005")</f>
        <v>0</v>
      </c>
      <c r="B7154" t="s">
        <v>775</v>
      </c>
      <c r="C7154" t="s">
        <v>10578</v>
      </c>
      <c r="D7154" t="s">
        <v>19024</v>
      </c>
      <c r="E7154" t="s">
        <v>25311</v>
      </c>
      <c r="F7154" t="s">
        <v>32606</v>
      </c>
      <c r="G7154" t="s">
        <v>32614</v>
      </c>
      <c r="H7154" t="s">
        <v>14201</v>
      </c>
      <c r="I7154" t="s">
        <v>32671</v>
      </c>
      <c r="J7154" t="s">
        <v>35284</v>
      </c>
      <c r="K7154" t="s">
        <v>42636</v>
      </c>
      <c r="M7154" t="s">
        <v>43841</v>
      </c>
      <c r="N7154" t="s">
        <v>47304</v>
      </c>
      <c r="O7154" t="s">
        <v>47305</v>
      </c>
      <c r="P7154">
        <v>0</v>
      </c>
      <c r="Q7154">
        <v>1</v>
      </c>
      <c r="R7154" t="s">
        <v>47311</v>
      </c>
      <c r="S7154" t="s">
        <v>47443</v>
      </c>
      <c r="T7154" t="s">
        <v>49267</v>
      </c>
      <c r="U7154" t="s">
        <v>55521</v>
      </c>
      <c r="V7154" t="s">
        <v>50290</v>
      </c>
      <c r="W7154" t="s">
        <v>43841</v>
      </c>
      <c r="X7154" t="s">
        <v>47312</v>
      </c>
    </row>
    <row r="7155" spans="1:24">
      <c r="A7155">
        <f>HYPERLINK("https://www.philgeps.gov.ph/GEPSNONPILOT/Tender/SplashBidNoticeAbstractUI.aspx?menuIndex=3&amp;refID=7192002&amp;Result=3","7192002")</f>
        <v>0</v>
      </c>
      <c r="B7155" t="s">
        <v>718</v>
      </c>
      <c r="C7155" t="s">
        <v>10579</v>
      </c>
      <c r="D7155" t="s">
        <v>19037</v>
      </c>
      <c r="E7155" t="s">
        <v>25312</v>
      </c>
      <c r="F7155" t="s">
        <v>32606</v>
      </c>
      <c r="G7155" t="s">
        <v>32614</v>
      </c>
      <c r="H7155" t="s">
        <v>14201</v>
      </c>
      <c r="I7155" t="s">
        <v>32715</v>
      </c>
      <c r="J7155" t="s">
        <v>37300</v>
      </c>
      <c r="K7155" t="s">
        <v>42623</v>
      </c>
      <c r="M7155" t="s">
        <v>43639</v>
      </c>
      <c r="N7155" t="s">
        <v>47304</v>
      </c>
      <c r="O7155" t="s">
        <v>47305</v>
      </c>
      <c r="P7155">
        <v>0</v>
      </c>
      <c r="Q7155">
        <v>1</v>
      </c>
      <c r="R7155" t="s">
        <v>47311</v>
      </c>
      <c r="S7155" t="s">
        <v>47443</v>
      </c>
      <c r="T7155" t="s">
        <v>49047</v>
      </c>
      <c r="U7155" t="s">
        <v>55522</v>
      </c>
      <c r="W7155" t="s">
        <v>43639</v>
      </c>
      <c r="X7155" t="s">
        <v>47312</v>
      </c>
    </row>
    <row r="7156" spans="1:24">
      <c r="A7156">
        <f>HYPERLINK("https://www.philgeps.gov.ph/GEPSNONPILOT/Tender/SplashBidNoticeAbstractUI.aspx?menuIndex=3&amp;refID=7192000&amp;Result=3","7192000")</f>
        <v>0</v>
      </c>
      <c r="B7156" t="s">
        <v>2359</v>
      </c>
      <c r="C7156" t="s">
        <v>10580</v>
      </c>
      <c r="D7156" t="s">
        <v>19009</v>
      </c>
      <c r="E7156" t="s">
        <v>25313</v>
      </c>
      <c r="F7156" t="s">
        <v>32606</v>
      </c>
      <c r="G7156" t="s">
        <v>32614</v>
      </c>
      <c r="H7156" t="s">
        <v>14201</v>
      </c>
      <c r="I7156" t="s">
        <v>6931</v>
      </c>
      <c r="J7156" t="s">
        <v>37301</v>
      </c>
      <c r="K7156" t="s">
        <v>42638</v>
      </c>
      <c r="M7156" t="s">
        <v>45472</v>
      </c>
      <c r="N7156" t="s">
        <v>47304</v>
      </c>
      <c r="O7156" t="s">
        <v>47305</v>
      </c>
      <c r="P7156">
        <v>0</v>
      </c>
      <c r="Q7156">
        <v>0</v>
      </c>
      <c r="R7156" t="s">
        <v>47311</v>
      </c>
      <c r="S7156" t="s">
        <v>47443</v>
      </c>
      <c r="T7156" t="s">
        <v>49053</v>
      </c>
      <c r="U7156" t="s">
        <v>55523</v>
      </c>
      <c r="W7156" t="s">
        <v>45472</v>
      </c>
      <c r="X7156" t="s">
        <v>47312</v>
      </c>
    </row>
    <row r="7157" spans="1:24">
      <c r="A7157">
        <f>HYPERLINK("https://www.philgeps.gov.ph/GEPSNONPILOT/Tender/SplashBidNoticeAbstractUI.aspx?menuIndex=3&amp;refID=7191993&amp;Result=3","7191993")</f>
        <v>0</v>
      </c>
      <c r="B7157" t="s">
        <v>2360</v>
      </c>
      <c r="C7157" t="s">
        <v>10581</v>
      </c>
      <c r="D7157" t="s">
        <v>19037</v>
      </c>
      <c r="E7157" t="s">
        <v>25314</v>
      </c>
      <c r="F7157" t="s">
        <v>32606</v>
      </c>
      <c r="G7157" t="s">
        <v>32613</v>
      </c>
      <c r="H7157" t="s">
        <v>32623</v>
      </c>
      <c r="I7157" t="s">
        <v>17648</v>
      </c>
      <c r="J7157" t="s">
        <v>33382</v>
      </c>
      <c r="K7157" t="s">
        <v>42646</v>
      </c>
      <c r="M7157" t="s">
        <v>45473</v>
      </c>
      <c r="N7157" t="s">
        <v>47304</v>
      </c>
      <c r="O7157" t="s">
        <v>47305</v>
      </c>
      <c r="P7157">
        <v>0</v>
      </c>
      <c r="Q7157">
        <v>1</v>
      </c>
      <c r="R7157" t="s">
        <v>47311</v>
      </c>
      <c r="S7157" t="s">
        <v>47443</v>
      </c>
      <c r="T7157" t="s">
        <v>49365</v>
      </c>
      <c r="U7157" t="s">
        <v>55524</v>
      </c>
      <c r="W7157" t="s">
        <v>45473</v>
      </c>
      <c r="X7157" t="s">
        <v>47312</v>
      </c>
    </row>
    <row r="7158" spans="1:24">
      <c r="A7158">
        <f>HYPERLINK("https://www.philgeps.gov.ph/GEPSNONPILOT/Tender/SplashBidNoticeAbstractUI.aspx?menuIndex=3&amp;refID=7191992&amp;Result=3","7191992")</f>
        <v>0</v>
      </c>
      <c r="B7158" t="s">
        <v>477</v>
      </c>
      <c r="C7158" t="s">
        <v>10582</v>
      </c>
      <c r="D7158" t="s">
        <v>19019</v>
      </c>
      <c r="E7158" t="s">
        <v>25315</v>
      </c>
      <c r="F7158" t="s">
        <v>32606</v>
      </c>
      <c r="G7158" t="s">
        <v>32614</v>
      </c>
      <c r="H7158" t="s">
        <v>14201</v>
      </c>
      <c r="I7158" t="s">
        <v>6993</v>
      </c>
      <c r="J7158" t="s">
        <v>37302</v>
      </c>
      <c r="K7158" t="s">
        <v>42638</v>
      </c>
      <c r="M7158" t="s">
        <v>43388</v>
      </c>
      <c r="N7158" t="s">
        <v>47304</v>
      </c>
      <c r="O7158" t="s">
        <v>47305</v>
      </c>
      <c r="P7158">
        <v>0</v>
      </c>
      <c r="Q7158">
        <v>0</v>
      </c>
      <c r="R7158" t="s">
        <v>47311</v>
      </c>
      <c r="S7158" t="s">
        <v>47443</v>
      </c>
      <c r="T7158" t="s">
        <v>49071</v>
      </c>
      <c r="U7158" t="s">
        <v>55525</v>
      </c>
      <c r="W7158" t="s">
        <v>43388</v>
      </c>
      <c r="X7158" t="s">
        <v>47312</v>
      </c>
    </row>
    <row r="7159" spans="1:24">
      <c r="A7159">
        <f>HYPERLINK("https://www.philgeps.gov.ph/GEPSNONPILOT/Tender/SplashBidNoticeAbstractUI.aspx?menuIndex=3&amp;refID=7191983&amp;Result=3","7191983")</f>
        <v>0</v>
      </c>
      <c r="B7159" t="s">
        <v>1623</v>
      </c>
      <c r="C7159" t="s">
        <v>10583</v>
      </c>
      <c r="D7159" t="s">
        <v>19014</v>
      </c>
      <c r="E7159" t="s">
        <v>25316</v>
      </c>
      <c r="F7159" t="s">
        <v>32606</v>
      </c>
      <c r="G7159" t="s">
        <v>32614</v>
      </c>
      <c r="H7159" t="s">
        <v>14201</v>
      </c>
      <c r="I7159" t="s">
        <v>32626</v>
      </c>
      <c r="J7159" t="s">
        <v>37303</v>
      </c>
      <c r="K7159" t="s">
        <v>42624</v>
      </c>
      <c r="M7159" t="s">
        <v>44643</v>
      </c>
      <c r="N7159" t="s">
        <v>47304</v>
      </c>
      <c r="O7159" t="s">
        <v>47305</v>
      </c>
      <c r="P7159">
        <v>0</v>
      </c>
      <c r="Q7159">
        <v>10</v>
      </c>
      <c r="R7159" t="s">
        <v>47311</v>
      </c>
      <c r="S7159" t="s">
        <v>47443</v>
      </c>
      <c r="T7159" t="s">
        <v>49366</v>
      </c>
      <c r="U7159" t="s">
        <v>55526</v>
      </c>
      <c r="W7159" t="s">
        <v>44643</v>
      </c>
      <c r="X7159" t="s">
        <v>47312</v>
      </c>
    </row>
    <row r="7160" spans="1:24">
      <c r="A7160">
        <f>HYPERLINK("https://www.philgeps.gov.ph/GEPSNONPILOT/Tender/SplashBidNoticeAbstractUI.aspx?menuIndex=3&amp;refID=7192006&amp;Result=3","7192006")</f>
        <v>0</v>
      </c>
      <c r="B7160" t="s">
        <v>2115</v>
      </c>
      <c r="C7160" t="s">
        <v>10584</v>
      </c>
      <c r="D7160" t="s">
        <v>19008</v>
      </c>
      <c r="E7160" t="s">
        <v>10584</v>
      </c>
      <c r="F7160" t="s">
        <v>32606</v>
      </c>
      <c r="G7160" t="s">
        <v>32614</v>
      </c>
      <c r="H7160" t="s">
        <v>14201</v>
      </c>
      <c r="I7160" t="s">
        <v>6007</v>
      </c>
      <c r="J7160" t="s">
        <v>35531</v>
      </c>
      <c r="K7160" t="s">
        <v>42638</v>
      </c>
      <c r="M7160" t="s">
        <v>45474</v>
      </c>
      <c r="N7160" t="s">
        <v>47304</v>
      </c>
      <c r="O7160" t="s">
        <v>47305</v>
      </c>
      <c r="P7160">
        <v>0</v>
      </c>
      <c r="Q7160">
        <v>1</v>
      </c>
      <c r="R7160" t="s">
        <v>47311</v>
      </c>
      <c r="S7160" t="s">
        <v>47443</v>
      </c>
      <c r="T7160" t="s">
        <v>49071</v>
      </c>
      <c r="U7160" t="s">
        <v>55527</v>
      </c>
      <c r="V7160" t="s">
        <v>63336</v>
      </c>
      <c r="W7160" t="s">
        <v>45474</v>
      </c>
      <c r="X7160" t="s">
        <v>47312</v>
      </c>
    </row>
    <row r="7161" spans="1:24">
      <c r="A7161">
        <f>HYPERLINK("https://www.philgeps.gov.ph/GEPSNONPILOT/Tender/SplashBidNoticeAbstractUI.aspx?menuIndex=3&amp;refID=7192019&amp;Result=3","7192019")</f>
        <v>0</v>
      </c>
      <c r="B7161" t="s">
        <v>1623</v>
      </c>
      <c r="C7161" t="s">
        <v>10585</v>
      </c>
      <c r="D7161" t="s">
        <v>19014</v>
      </c>
      <c r="E7161" t="s">
        <v>10585</v>
      </c>
      <c r="F7161" t="s">
        <v>32606</v>
      </c>
      <c r="G7161" t="s">
        <v>32614</v>
      </c>
      <c r="H7161" t="s">
        <v>14201</v>
      </c>
      <c r="I7161" t="s">
        <v>32646</v>
      </c>
      <c r="J7161" t="s">
        <v>34071</v>
      </c>
      <c r="K7161" t="s">
        <v>42624</v>
      </c>
      <c r="M7161" t="s">
        <v>44643</v>
      </c>
      <c r="N7161" t="s">
        <v>47304</v>
      </c>
      <c r="O7161" t="s">
        <v>47305</v>
      </c>
      <c r="P7161">
        <v>0</v>
      </c>
      <c r="Q7161">
        <v>0</v>
      </c>
      <c r="R7161" t="s">
        <v>47311</v>
      </c>
      <c r="S7161" t="s">
        <v>47443</v>
      </c>
      <c r="T7161" t="s">
        <v>49366</v>
      </c>
      <c r="U7161" t="s">
        <v>55528</v>
      </c>
      <c r="W7161" t="s">
        <v>44643</v>
      </c>
      <c r="X7161" t="s">
        <v>47312</v>
      </c>
    </row>
    <row r="7162" spans="1:24">
      <c r="A7162">
        <f>HYPERLINK("https://www.philgeps.gov.ph/GEPSNONPILOT/Tender/SplashBidNoticeAbstractUI.aspx?menuIndex=3&amp;refID=7191981&amp;Result=3","7191981")</f>
        <v>0</v>
      </c>
      <c r="B7162" t="s">
        <v>2326</v>
      </c>
      <c r="C7162" t="s">
        <v>10586</v>
      </c>
      <c r="E7162" t="s">
        <v>25317</v>
      </c>
      <c r="F7162" t="s">
        <v>32606</v>
      </c>
      <c r="G7162" t="s">
        <v>32613</v>
      </c>
      <c r="H7162" t="s">
        <v>14201</v>
      </c>
      <c r="I7162" t="s">
        <v>32633</v>
      </c>
      <c r="J7162" t="s">
        <v>37304</v>
      </c>
      <c r="K7162" t="s">
        <v>42624</v>
      </c>
      <c r="M7162" t="s">
        <v>45434</v>
      </c>
      <c r="N7162" t="s">
        <v>47304</v>
      </c>
      <c r="O7162" t="s">
        <v>47305</v>
      </c>
      <c r="P7162">
        <v>0</v>
      </c>
      <c r="Q7162">
        <v>7</v>
      </c>
      <c r="R7162" t="s">
        <v>47311</v>
      </c>
      <c r="S7162" t="s">
        <v>47443</v>
      </c>
      <c r="T7162" t="s">
        <v>48973</v>
      </c>
      <c r="U7162" t="s">
        <v>55529</v>
      </c>
      <c r="W7162" t="s">
        <v>45434</v>
      </c>
      <c r="X7162" t="s">
        <v>47312</v>
      </c>
    </row>
    <row r="7163" spans="1:24">
      <c r="A7163">
        <f>HYPERLINK("https://www.philgeps.gov.ph/GEPSNONPILOT/Tender/SplashBidNoticeAbstractUI.aspx?menuIndex=3&amp;refID=7191977&amp;Result=3","7191977")</f>
        <v>0</v>
      </c>
      <c r="B7163" t="s">
        <v>2361</v>
      </c>
      <c r="C7163" t="s">
        <v>4139</v>
      </c>
      <c r="D7163" t="s">
        <v>19056</v>
      </c>
      <c r="E7163" t="s">
        <v>25318</v>
      </c>
      <c r="F7163" t="s">
        <v>32606</v>
      </c>
      <c r="G7163" t="s">
        <v>32613</v>
      </c>
      <c r="H7163" t="s">
        <v>14201</v>
      </c>
      <c r="I7163" t="s">
        <v>4120</v>
      </c>
      <c r="J7163" t="s">
        <v>37305</v>
      </c>
      <c r="K7163" t="s">
        <v>42631</v>
      </c>
      <c r="M7163" t="s">
        <v>45475</v>
      </c>
      <c r="N7163" t="s">
        <v>47304</v>
      </c>
      <c r="O7163" t="s">
        <v>47305</v>
      </c>
      <c r="P7163">
        <v>0</v>
      </c>
      <c r="Q7163">
        <v>3</v>
      </c>
      <c r="R7163" t="s">
        <v>47311</v>
      </c>
      <c r="S7163" t="s">
        <v>47443</v>
      </c>
      <c r="T7163" t="s">
        <v>49098</v>
      </c>
      <c r="U7163" t="s">
        <v>55530</v>
      </c>
      <c r="W7163" t="s">
        <v>45475</v>
      </c>
      <c r="X7163" t="s">
        <v>47312</v>
      </c>
    </row>
    <row r="7164" spans="1:24">
      <c r="A7164">
        <f>HYPERLINK("https://www.philgeps.gov.ph/GEPSNONPILOT/Tender/SplashBidNoticeAbstractUI.aspx?menuIndex=3&amp;refID=7191717&amp;Result=3","7191717")</f>
        <v>0</v>
      </c>
      <c r="B7164" t="s">
        <v>2362</v>
      </c>
      <c r="C7164" t="s">
        <v>10587</v>
      </c>
      <c r="D7164" t="s">
        <v>18993</v>
      </c>
      <c r="E7164" t="s">
        <v>25319</v>
      </c>
      <c r="F7164" t="s">
        <v>32606</v>
      </c>
      <c r="G7164" t="s">
        <v>32614</v>
      </c>
      <c r="H7164" t="s">
        <v>14201</v>
      </c>
      <c r="I7164" t="s">
        <v>32730</v>
      </c>
      <c r="J7164" t="s">
        <v>32981</v>
      </c>
      <c r="K7164" t="s">
        <v>42623</v>
      </c>
      <c r="M7164" t="s">
        <v>45476</v>
      </c>
      <c r="N7164" t="s">
        <v>47304</v>
      </c>
      <c r="O7164" t="s">
        <v>47305</v>
      </c>
      <c r="P7164">
        <v>0</v>
      </c>
      <c r="Q7164">
        <v>6</v>
      </c>
      <c r="R7164" t="s">
        <v>47311</v>
      </c>
      <c r="S7164" t="s">
        <v>47443</v>
      </c>
      <c r="T7164" t="s">
        <v>49327</v>
      </c>
      <c r="U7164" t="s">
        <v>55531</v>
      </c>
      <c r="V7164" t="s">
        <v>63337</v>
      </c>
      <c r="W7164" t="s">
        <v>45476</v>
      </c>
      <c r="X7164" t="s">
        <v>47312</v>
      </c>
    </row>
    <row r="7165" spans="1:24">
      <c r="A7165">
        <f>HYPERLINK("https://www.philgeps.gov.ph/GEPSNONPILOT/Tender/SplashBidNoticeAbstractUI.aspx?menuIndex=3&amp;refID=7191579&amp;Result=3","7191579")</f>
        <v>0</v>
      </c>
      <c r="B7165" t="s">
        <v>2317</v>
      </c>
      <c r="C7165" t="s">
        <v>10588</v>
      </c>
      <c r="D7165" t="s">
        <v>19043</v>
      </c>
      <c r="E7165" t="s">
        <v>25320</v>
      </c>
      <c r="F7165" t="s">
        <v>32606</v>
      </c>
      <c r="G7165" t="s">
        <v>32613</v>
      </c>
      <c r="H7165" t="s">
        <v>14201</v>
      </c>
      <c r="I7165" t="s">
        <v>32652</v>
      </c>
      <c r="J7165" t="s">
        <v>37217</v>
      </c>
      <c r="K7165" t="s">
        <v>42624</v>
      </c>
      <c r="M7165" t="s">
        <v>45425</v>
      </c>
      <c r="N7165" t="s">
        <v>47304</v>
      </c>
      <c r="O7165" t="s">
        <v>47305</v>
      </c>
      <c r="P7165">
        <v>0</v>
      </c>
      <c r="Q7165">
        <v>0</v>
      </c>
      <c r="R7165" t="s">
        <v>47311</v>
      </c>
      <c r="S7165" t="s">
        <v>47443</v>
      </c>
      <c r="T7165" t="s">
        <v>49081</v>
      </c>
      <c r="U7165" t="s">
        <v>55532</v>
      </c>
      <c r="W7165" t="s">
        <v>45425</v>
      </c>
      <c r="X7165" t="s">
        <v>47312</v>
      </c>
    </row>
    <row r="7166" spans="1:24">
      <c r="A7166">
        <f>HYPERLINK("https://www.philgeps.gov.ph/GEPSNONPILOT/Tender/SplashBidNoticeAbstractUI.aspx?menuIndex=3&amp;refID=7191576&amp;Result=3","7191576")</f>
        <v>0</v>
      </c>
      <c r="B7166" t="s">
        <v>2306</v>
      </c>
      <c r="C7166" t="s">
        <v>10589</v>
      </c>
      <c r="D7166" t="s">
        <v>18994</v>
      </c>
      <c r="E7166" t="s">
        <v>24177</v>
      </c>
      <c r="F7166" t="s">
        <v>32606</v>
      </c>
      <c r="G7166" t="s">
        <v>32613</v>
      </c>
      <c r="H7166" t="s">
        <v>14201</v>
      </c>
      <c r="I7166" t="s">
        <v>32626</v>
      </c>
      <c r="J7166" t="s">
        <v>37306</v>
      </c>
      <c r="K7166" t="s">
        <v>42627</v>
      </c>
      <c r="M7166" t="s">
        <v>45412</v>
      </c>
      <c r="N7166" t="s">
        <v>47304</v>
      </c>
      <c r="O7166" t="s">
        <v>47305</v>
      </c>
      <c r="P7166">
        <v>0</v>
      </c>
      <c r="Q7166">
        <v>3</v>
      </c>
      <c r="R7166" t="s">
        <v>47311</v>
      </c>
      <c r="S7166" t="s">
        <v>47443</v>
      </c>
      <c r="T7166" t="s">
        <v>49203</v>
      </c>
      <c r="U7166" t="s">
        <v>55533</v>
      </c>
      <c r="V7166" t="s">
        <v>63316</v>
      </c>
      <c r="W7166" t="s">
        <v>45412</v>
      </c>
      <c r="X7166" t="s">
        <v>47312</v>
      </c>
    </row>
    <row r="7167" spans="1:24">
      <c r="A7167">
        <f>HYPERLINK("https://www.philgeps.gov.ph/GEPSNONPILOT/Tender/SplashBidNoticeAbstractUI.aspx?menuIndex=3&amp;refID=7191976&amp;Result=3","7191976")</f>
        <v>0</v>
      </c>
      <c r="B7167" t="s">
        <v>477</v>
      </c>
      <c r="C7167" t="s">
        <v>10590</v>
      </c>
      <c r="D7167" t="s">
        <v>19019</v>
      </c>
      <c r="E7167" t="s">
        <v>25321</v>
      </c>
      <c r="F7167" t="s">
        <v>32606</v>
      </c>
      <c r="G7167" t="s">
        <v>32614</v>
      </c>
      <c r="H7167" t="s">
        <v>14201</v>
      </c>
      <c r="I7167" t="s">
        <v>4678</v>
      </c>
      <c r="J7167" t="s">
        <v>37307</v>
      </c>
      <c r="K7167" t="s">
        <v>42638</v>
      </c>
      <c r="M7167" t="s">
        <v>43388</v>
      </c>
      <c r="N7167" t="s">
        <v>47304</v>
      </c>
      <c r="O7167" t="s">
        <v>47305</v>
      </c>
      <c r="P7167">
        <v>0</v>
      </c>
      <c r="Q7167">
        <v>0</v>
      </c>
      <c r="R7167" t="s">
        <v>47311</v>
      </c>
      <c r="S7167" t="s">
        <v>47443</v>
      </c>
      <c r="T7167" t="s">
        <v>49071</v>
      </c>
      <c r="U7167" t="s">
        <v>55534</v>
      </c>
      <c r="W7167" t="s">
        <v>43388</v>
      </c>
      <c r="X7167" t="s">
        <v>47312</v>
      </c>
    </row>
    <row r="7168" spans="1:24">
      <c r="A7168">
        <f>HYPERLINK("https://www.philgeps.gov.ph/GEPSNONPILOT/Tender/SplashBidNoticeAbstractUI.aspx?menuIndex=3&amp;refID=7191923&amp;Result=3","7191923")</f>
        <v>0</v>
      </c>
      <c r="B7168" t="s">
        <v>2363</v>
      </c>
      <c r="C7168" t="s">
        <v>10591</v>
      </c>
      <c r="D7168" t="s">
        <v>18993</v>
      </c>
      <c r="E7168" t="s">
        <v>25322</v>
      </c>
      <c r="F7168" t="s">
        <v>32606</v>
      </c>
      <c r="G7168" t="s">
        <v>32614</v>
      </c>
      <c r="H7168" t="s">
        <v>14201</v>
      </c>
      <c r="I7168" t="s">
        <v>32722</v>
      </c>
      <c r="J7168" t="s">
        <v>33385</v>
      </c>
      <c r="K7168" t="s">
        <v>42624</v>
      </c>
      <c r="M7168" t="s">
        <v>45477</v>
      </c>
      <c r="N7168" t="s">
        <v>47304</v>
      </c>
      <c r="O7168" t="s">
        <v>47305</v>
      </c>
      <c r="P7168">
        <v>0</v>
      </c>
      <c r="Q7168">
        <v>1</v>
      </c>
      <c r="R7168" t="s">
        <v>47311</v>
      </c>
      <c r="S7168" t="s">
        <v>47443</v>
      </c>
      <c r="T7168" t="s">
        <v>49268</v>
      </c>
      <c r="U7168" t="s">
        <v>55535</v>
      </c>
      <c r="W7168" t="s">
        <v>45477</v>
      </c>
      <c r="X7168" t="s">
        <v>47312</v>
      </c>
    </row>
    <row r="7169" spans="1:24">
      <c r="A7169">
        <f>HYPERLINK("https://www.philgeps.gov.ph/GEPSNONPILOT/Tender/SplashBidNoticeAbstractUI.aspx?menuIndex=3&amp;refID=7192080&amp;Result=3","7192080")</f>
        <v>0</v>
      </c>
      <c r="B7169" t="s">
        <v>2102</v>
      </c>
      <c r="C7169" t="s">
        <v>10592</v>
      </c>
      <c r="D7169" t="s">
        <v>19050</v>
      </c>
      <c r="E7169" t="s">
        <v>25323</v>
      </c>
      <c r="F7169" t="s">
        <v>32606</v>
      </c>
      <c r="G7169" t="s">
        <v>32613</v>
      </c>
      <c r="H7169" t="s">
        <v>14201</v>
      </c>
      <c r="I7169" t="s">
        <v>7529</v>
      </c>
      <c r="J7169" t="s">
        <v>37308</v>
      </c>
      <c r="K7169" t="s">
        <v>42631</v>
      </c>
      <c r="M7169" t="s">
        <v>45187</v>
      </c>
      <c r="N7169" t="s">
        <v>47304</v>
      </c>
      <c r="O7169" t="s">
        <v>47305</v>
      </c>
      <c r="P7169">
        <v>0</v>
      </c>
      <c r="Q7169">
        <v>2</v>
      </c>
      <c r="R7169" t="s">
        <v>47311</v>
      </c>
      <c r="S7169" t="s">
        <v>47443</v>
      </c>
      <c r="T7169" t="s">
        <v>49018</v>
      </c>
      <c r="U7169" t="s">
        <v>54797</v>
      </c>
      <c r="W7169" t="s">
        <v>45187</v>
      </c>
      <c r="X7169" t="s">
        <v>47312</v>
      </c>
    </row>
    <row r="7170" spans="1:24">
      <c r="A7170">
        <f>HYPERLINK("https://www.philgeps.gov.ph/GEPSNONPILOT/Tender/SplashBidNoticeAbstractUI.aspx?menuIndex=3&amp;refID=7192079&amp;Result=3","7192079")</f>
        <v>0</v>
      </c>
      <c r="B7170" t="s">
        <v>2364</v>
      </c>
      <c r="C7170" t="s">
        <v>10593</v>
      </c>
      <c r="D7170" t="s">
        <v>19028</v>
      </c>
      <c r="E7170" t="s">
        <v>25324</v>
      </c>
      <c r="F7170" t="s">
        <v>32606</v>
      </c>
      <c r="G7170" t="s">
        <v>32619</v>
      </c>
      <c r="H7170" t="s">
        <v>14201</v>
      </c>
      <c r="I7170" t="s">
        <v>9013</v>
      </c>
      <c r="J7170" t="s">
        <v>37309</v>
      </c>
      <c r="K7170" t="s">
        <v>42631</v>
      </c>
      <c r="M7170" t="s">
        <v>45478</v>
      </c>
      <c r="N7170" t="s">
        <v>47304</v>
      </c>
      <c r="O7170" t="s">
        <v>47305</v>
      </c>
      <c r="P7170">
        <v>0</v>
      </c>
      <c r="Q7170">
        <v>4</v>
      </c>
      <c r="R7170" t="s">
        <v>47311</v>
      </c>
      <c r="S7170" t="s">
        <v>47443</v>
      </c>
      <c r="T7170" t="s">
        <v>49165</v>
      </c>
      <c r="U7170" t="s">
        <v>55536</v>
      </c>
      <c r="W7170" t="s">
        <v>45478</v>
      </c>
      <c r="X7170" t="s">
        <v>47312</v>
      </c>
    </row>
    <row r="7171" spans="1:24">
      <c r="A7171">
        <f>HYPERLINK("https://www.philgeps.gov.ph/GEPSNONPILOT/Tender/SplashBidNoticeAbstractUI.aspx?menuIndex=3&amp;refID=7192078&amp;Result=3","7192078")</f>
        <v>0</v>
      </c>
      <c r="B7171" t="s">
        <v>2365</v>
      </c>
      <c r="C7171" t="s">
        <v>10594</v>
      </c>
      <c r="D7171" t="s">
        <v>19007</v>
      </c>
      <c r="E7171" t="s">
        <v>25325</v>
      </c>
      <c r="F7171" t="s">
        <v>32606</v>
      </c>
      <c r="G7171" t="s">
        <v>32613</v>
      </c>
      <c r="H7171" t="s">
        <v>14201</v>
      </c>
      <c r="I7171" t="s">
        <v>32656</v>
      </c>
      <c r="J7171" t="s">
        <v>33043</v>
      </c>
      <c r="K7171" t="s">
        <v>42630</v>
      </c>
      <c r="M7171" t="s">
        <v>45479</v>
      </c>
      <c r="N7171" t="s">
        <v>47304</v>
      </c>
      <c r="O7171" t="s">
        <v>47305</v>
      </c>
      <c r="P7171">
        <v>0</v>
      </c>
      <c r="Q7171">
        <v>5</v>
      </c>
      <c r="R7171" t="s">
        <v>47311</v>
      </c>
      <c r="S7171" t="s">
        <v>47443</v>
      </c>
      <c r="T7171" t="s">
        <v>48970</v>
      </c>
      <c r="U7171" t="s">
        <v>55537</v>
      </c>
      <c r="W7171" t="s">
        <v>45479</v>
      </c>
      <c r="X7171" t="s">
        <v>47312</v>
      </c>
    </row>
    <row r="7172" spans="1:24">
      <c r="A7172">
        <f>HYPERLINK("https://www.philgeps.gov.ph/GEPSNONPILOT/Tender/SplashBidNoticeAbstractUI.aspx?menuIndex=3&amp;refID=7192074&amp;Result=3","7192074")</f>
        <v>0</v>
      </c>
      <c r="B7172" t="s">
        <v>999</v>
      </c>
      <c r="C7172" t="s">
        <v>10595</v>
      </c>
      <c r="D7172" t="s">
        <v>18993</v>
      </c>
      <c r="E7172" t="s">
        <v>25326</v>
      </c>
      <c r="F7172" t="s">
        <v>32606</v>
      </c>
      <c r="G7172" t="s">
        <v>32619</v>
      </c>
      <c r="H7172" t="s">
        <v>14201</v>
      </c>
      <c r="I7172" t="s">
        <v>4115</v>
      </c>
      <c r="J7172" t="s">
        <v>33568</v>
      </c>
      <c r="K7172" t="s">
        <v>42624</v>
      </c>
      <c r="M7172" t="s">
        <v>43947</v>
      </c>
      <c r="N7172" t="s">
        <v>47304</v>
      </c>
      <c r="O7172" t="s">
        <v>47305</v>
      </c>
      <c r="P7172">
        <v>0</v>
      </c>
      <c r="Q7172">
        <v>39</v>
      </c>
      <c r="R7172" t="s">
        <v>47311</v>
      </c>
      <c r="S7172" t="s">
        <v>47443</v>
      </c>
      <c r="T7172" t="s">
        <v>49268</v>
      </c>
      <c r="U7172" t="s">
        <v>55538</v>
      </c>
      <c r="W7172" t="s">
        <v>43947</v>
      </c>
      <c r="X7172" t="s">
        <v>47312</v>
      </c>
    </row>
    <row r="7173" spans="1:24">
      <c r="A7173">
        <f>HYPERLINK("https://www.philgeps.gov.ph/GEPSNONPILOT/Tender/SplashBidNoticeAbstractUI.aspx?menuIndex=3&amp;refID=7192070&amp;Result=3","7192070")</f>
        <v>0</v>
      </c>
      <c r="B7173" t="s">
        <v>477</v>
      </c>
      <c r="C7173" t="s">
        <v>10596</v>
      </c>
      <c r="D7173" t="s">
        <v>19019</v>
      </c>
      <c r="E7173" t="s">
        <v>25327</v>
      </c>
      <c r="F7173" t="s">
        <v>32606</v>
      </c>
      <c r="G7173" t="s">
        <v>32614</v>
      </c>
      <c r="H7173" t="s">
        <v>14201</v>
      </c>
      <c r="I7173" t="s">
        <v>9008</v>
      </c>
      <c r="J7173" t="s">
        <v>37310</v>
      </c>
      <c r="K7173" t="s">
        <v>42638</v>
      </c>
      <c r="M7173" t="s">
        <v>43388</v>
      </c>
      <c r="N7173" t="s">
        <v>47304</v>
      </c>
      <c r="O7173" t="s">
        <v>47305</v>
      </c>
      <c r="P7173">
        <v>0</v>
      </c>
      <c r="Q7173">
        <v>0</v>
      </c>
      <c r="R7173" t="s">
        <v>47311</v>
      </c>
      <c r="S7173" t="s">
        <v>47443</v>
      </c>
      <c r="T7173" t="s">
        <v>49071</v>
      </c>
      <c r="U7173" t="s">
        <v>55539</v>
      </c>
      <c r="W7173" t="s">
        <v>43388</v>
      </c>
      <c r="X7173" t="s">
        <v>47312</v>
      </c>
    </row>
    <row r="7174" spans="1:24">
      <c r="A7174">
        <f>HYPERLINK("https://www.philgeps.gov.ph/GEPSNONPILOT/Tender/SplashBidNoticeAbstractUI.aspx?menuIndex=3&amp;refID=7191984&amp;Result=3","7191984")</f>
        <v>0</v>
      </c>
      <c r="B7174" t="s">
        <v>1458</v>
      </c>
      <c r="C7174" t="s">
        <v>10597</v>
      </c>
      <c r="D7174" t="s">
        <v>18995</v>
      </c>
      <c r="E7174" t="s">
        <v>25328</v>
      </c>
      <c r="F7174" t="s">
        <v>32606</v>
      </c>
      <c r="G7174" t="s">
        <v>32614</v>
      </c>
      <c r="H7174" t="s">
        <v>14201</v>
      </c>
      <c r="I7174" t="s">
        <v>32663</v>
      </c>
      <c r="J7174" t="s">
        <v>37311</v>
      </c>
      <c r="K7174" t="s">
        <v>42622</v>
      </c>
      <c r="M7174" t="s">
        <v>44451</v>
      </c>
      <c r="N7174" t="s">
        <v>47304</v>
      </c>
      <c r="O7174" t="s">
        <v>47305</v>
      </c>
      <c r="P7174">
        <v>0</v>
      </c>
      <c r="Q7174">
        <v>2</v>
      </c>
      <c r="R7174" t="s">
        <v>47311</v>
      </c>
      <c r="S7174" t="s">
        <v>47443</v>
      </c>
      <c r="T7174" t="s">
        <v>48997</v>
      </c>
      <c r="U7174" t="s">
        <v>55540</v>
      </c>
      <c r="W7174" t="s">
        <v>44451</v>
      </c>
      <c r="X7174" t="s">
        <v>47312</v>
      </c>
    </row>
    <row r="7175" spans="1:24">
      <c r="A7175">
        <f>HYPERLINK("https://www.philgeps.gov.ph/GEPSNONPILOT/Tender/SplashBidNoticeAbstractUI.aspx?menuIndex=3&amp;refID=7192069&amp;Result=3","7192069")</f>
        <v>0</v>
      </c>
      <c r="B7175" t="s">
        <v>786</v>
      </c>
      <c r="C7175" t="s">
        <v>10598</v>
      </c>
      <c r="D7175" t="s">
        <v>19046</v>
      </c>
      <c r="E7175" t="s">
        <v>25329</v>
      </c>
      <c r="F7175" t="s">
        <v>32606</v>
      </c>
      <c r="G7175" t="s">
        <v>32614</v>
      </c>
      <c r="H7175" t="s">
        <v>14201</v>
      </c>
      <c r="I7175" t="s">
        <v>6993</v>
      </c>
      <c r="J7175" t="s">
        <v>33783</v>
      </c>
      <c r="K7175" t="s">
        <v>42622</v>
      </c>
      <c r="M7175" t="s">
        <v>43717</v>
      </c>
      <c r="N7175" t="s">
        <v>47304</v>
      </c>
      <c r="O7175" t="s">
        <v>47305</v>
      </c>
      <c r="P7175">
        <v>0</v>
      </c>
      <c r="Q7175">
        <v>0</v>
      </c>
      <c r="R7175" t="s">
        <v>47311</v>
      </c>
      <c r="S7175" t="s">
        <v>47443</v>
      </c>
      <c r="T7175" t="s">
        <v>48998</v>
      </c>
      <c r="U7175" t="s">
        <v>55541</v>
      </c>
      <c r="W7175" t="s">
        <v>43717</v>
      </c>
      <c r="X7175" t="s">
        <v>47312</v>
      </c>
    </row>
    <row r="7176" spans="1:24">
      <c r="A7176">
        <f>HYPERLINK("https://www.philgeps.gov.ph/GEPSNONPILOT/Tender/SplashBidNoticeAbstractUI.aspx?menuIndex=3&amp;refID=7192003&amp;Result=3","7192003")</f>
        <v>0</v>
      </c>
      <c r="B7176" t="s">
        <v>2366</v>
      </c>
      <c r="C7176" t="s">
        <v>10599</v>
      </c>
      <c r="E7176" t="s">
        <v>25330</v>
      </c>
      <c r="F7176" t="s">
        <v>32606</v>
      </c>
      <c r="G7176" t="s">
        <v>32613</v>
      </c>
      <c r="H7176" t="s">
        <v>32623</v>
      </c>
      <c r="I7176" t="s">
        <v>17648</v>
      </c>
      <c r="J7176" t="s">
        <v>37312</v>
      </c>
      <c r="K7176" t="s">
        <v>42624</v>
      </c>
      <c r="M7176" t="s">
        <v>45480</v>
      </c>
      <c r="N7176" t="s">
        <v>47304</v>
      </c>
      <c r="O7176" t="s">
        <v>47305</v>
      </c>
      <c r="P7176">
        <v>0</v>
      </c>
      <c r="Q7176">
        <v>0</v>
      </c>
      <c r="R7176" t="s">
        <v>47311</v>
      </c>
      <c r="S7176" t="s">
        <v>47443</v>
      </c>
      <c r="T7176" t="s">
        <v>49037</v>
      </c>
      <c r="U7176" t="s">
        <v>55542</v>
      </c>
      <c r="W7176" t="s">
        <v>45480</v>
      </c>
      <c r="X7176" t="s">
        <v>47312</v>
      </c>
    </row>
    <row r="7177" spans="1:24">
      <c r="A7177">
        <f>HYPERLINK("https://www.philgeps.gov.ph/GEPSNONPILOT/Tender/SplashBidNoticeAbstractUI.aspx?menuIndex=3&amp;refID=7192061&amp;Result=3","7192061")</f>
        <v>0</v>
      </c>
      <c r="B7177" t="s">
        <v>1210</v>
      </c>
      <c r="C7177" t="s">
        <v>4830</v>
      </c>
      <c r="D7177" t="s">
        <v>18988</v>
      </c>
      <c r="E7177" t="s">
        <v>25331</v>
      </c>
      <c r="F7177" t="s">
        <v>32606</v>
      </c>
      <c r="G7177" t="s">
        <v>32619</v>
      </c>
      <c r="H7177" t="s">
        <v>14201</v>
      </c>
      <c r="I7177" t="s">
        <v>4120</v>
      </c>
      <c r="J7177" t="s">
        <v>37313</v>
      </c>
      <c r="K7177" t="s">
        <v>42624</v>
      </c>
      <c r="M7177" t="s">
        <v>44175</v>
      </c>
      <c r="N7177" t="s">
        <v>47304</v>
      </c>
      <c r="O7177" t="s">
        <v>47305</v>
      </c>
      <c r="P7177">
        <v>0</v>
      </c>
      <c r="Q7177">
        <v>0</v>
      </c>
      <c r="R7177" t="s">
        <v>47311</v>
      </c>
      <c r="S7177" t="s">
        <v>47443</v>
      </c>
      <c r="T7177" t="s">
        <v>49092</v>
      </c>
      <c r="U7177" t="s">
        <v>52510</v>
      </c>
      <c r="W7177" t="s">
        <v>44175</v>
      </c>
      <c r="X7177" t="s">
        <v>47312</v>
      </c>
    </row>
    <row r="7178" spans="1:24">
      <c r="A7178">
        <f>HYPERLINK("https://www.philgeps.gov.ph/GEPSNONPILOT/Tender/SplashBidNoticeAbstractUI.aspx?menuIndex=3&amp;refID=7191937&amp;Result=3","7191937")</f>
        <v>0</v>
      </c>
      <c r="B7178" t="s">
        <v>1221</v>
      </c>
      <c r="C7178" t="s">
        <v>10600</v>
      </c>
      <c r="D7178" t="s">
        <v>19063</v>
      </c>
      <c r="E7178" t="s">
        <v>25332</v>
      </c>
      <c r="F7178" t="s">
        <v>32606</v>
      </c>
      <c r="G7178" t="s">
        <v>32614</v>
      </c>
      <c r="H7178" t="s">
        <v>14201</v>
      </c>
      <c r="I7178" t="s">
        <v>4120</v>
      </c>
      <c r="J7178" t="s">
        <v>37314</v>
      </c>
      <c r="K7178" t="s">
        <v>42630</v>
      </c>
      <c r="M7178" t="s">
        <v>44186</v>
      </c>
      <c r="N7178" t="s">
        <v>47304</v>
      </c>
      <c r="O7178" t="s">
        <v>47305</v>
      </c>
      <c r="P7178">
        <v>0</v>
      </c>
      <c r="Q7178">
        <v>2</v>
      </c>
      <c r="R7178" t="s">
        <v>47311</v>
      </c>
      <c r="S7178" t="s">
        <v>47443</v>
      </c>
      <c r="T7178" t="s">
        <v>49004</v>
      </c>
      <c r="U7178" t="s">
        <v>55543</v>
      </c>
      <c r="W7178" t="s">
        <v>44186</v>
      </c>
      <c r="X7178" t="s">
        <v>47312</v>
      </c>
    </row>
    <row r="7179" spans="1:24">
      <c r="A7179">
        <f>HYPERLINK("https://www.philgeps.gov.ph/GEPSNONPILOT/Tender/SplashBidNoticeAbstractUI.aspx?menuIndex=3&amp;refID=7192055&amp;Result=3","7192055")</f>
        <v>0</v>
      </c>
      <c r="B7179" t="s">
        <v>2367</v>
      </c>
      <c r="C7179" t="s">
        <v>10601</v>
      </c>
      <c r="D7179" t="s">
        <v>19025</v>
      </c>
      <c r="E7179" t="s">
        <v>25333</v>
      </c>
      <c r="F7179" t="s">
        <v>32606</v>
      </c>
      <c r="G7179" t="s">
        <v>32614</v>
      </c>
      <c r="H7179" t="s">
        <v>14201</v>
      </c>
      <c r="I7179" t="s">
        <v>6993</v>
      </c>
      <c r="J7179" t="s">
        <v>33062</v>
      </c>
      <c r="K7179" t="s">
        <v>42631</v>
      </c>
      <c r="M7179" t="s">
        <v>45481</v>
      </c>
      <c r="N7179" t="s">
        <v>47304</v>
      </c>
      <c r="O7179" t="s">
        <v>47305</v>
      </c>
      <c r="P7179">
        <v>0</v>
      </c>
      <c r="Q7179">
        <v>1</v>
      </c>
      <c r="R7179" t="s">
        <v>47311</v>
      </c>
      <c r="S7179" t="s">
        <v>47443</v>
      </c>
      <c r="T7179" t="s">
        <v>49071</v>
      </c>
      <c r="U7179" t="s">
        <v>55544</v>
      </c>
      <c r="W7179" t="s">
        <v>45481</v>
      </c>
      <c r="X7179" t="s">
        <v>47312</v>
      </c>
    </row>
    <row r="7180" spans="1:24">
      <c r="A7180">
        <f>HYPERLINK("https://www.philgeps.gov.ph/GEPSNONPILOT/Tender/SplashBidNoticeAbstractUI.aspx?menuIndex=3&amp;refID=7192073&amp;Result=3","7192073")</f>
        <v>0</v>
      </c>
      <c r="B7180" t="s">
        <v>1489</v>
      </c>
      <c r="C7180" t="s">
        <v>10602</v>
      </c>
      <c r="D7180" t="s">
        <v>19063</v>
      </c>
      <c r="E7180" t="s">
        <v>25334</v>
      </c>
      <c r="F7180" t="s">
        <v>32606</v>
      </c>
      <c r="G7180" t="s">
        <v>32614</v>
      </c>
      <c r="H7180" t="s">
        <v>14201</v>
      </c>
      <c r="I7180" t="s">
        <v>7577</v>
      </c>
      <c r="J7180" t="s">
        <v>37315</v>
      </c>
      <c r="K7180" t="s">
        <v>42630</v>
      </c>
      <c r="M7180" t="s">
        <v>44484</v>
      </c>
      <c r="N7180" t="s">
        <v>47304</v>
      </c>
      <c r="O7180" t="s">
        <v>47305</v>
      </c>
      <c r="P7180">
        <v>0</v>
      </c>
      <c r="Q7180">
        <v>2</v>
      </c>
      <c r="R7180" t="s">
        <v>47311</v>
      </c>
      <c r="S7180" t="s">
        <v>47443</v>
      </c>
      <c r="T7180" t="s">
        <v>49072</v>
      </c>
      <c r="U7180" t="s">
        <v>55545</v>
      </c>
      <c r="V7180" t="s">
        <v>63338</v>
      </c>
      <c r="W7180" t="s">
        <v>44484</v>
      </c>
      <c r="X7180" t="s">
        <v>47312</v>
      </c>
    </row>
    <row r="7181" spans="1:24">
      <c r="A7181">
        <f>HYPERLINK("https://www.philgeps.gov.ph/GEPSNONPILOT/Tender/SplashBidNoticeAbstractUI.aspx?menuIndex=3&amp;refID=7192034&amp;Result=3","7192034")</f>
        <v>0</v>
      </c>
      <c r="B7181" t="s">
        <v>747</v>
      </c>
      <c r="C7181" t="s">
        <v>10603</v>
      </c>
      <c r="D7181" t="s">
        <v>19014</v>
      </c>
      <c r="E7181" t="s">
        <v>25335</v>
      </c>
      <c r="F7181" t="s">
        <v>32606</v>
      </c>
      <c r="G7181" t="s">
        <v>32613</v>
      </c>
      <c r="H7181" t="s">
        <v>32623</v>
      </c>
      <c r="I7181" t="s">
        <v>17648</v>
      </c>
      <c r="J7181" t="s">
        <v>37079</v>
      </c>
      <c r="K7181" t="s">
        <v>42712</v>
      </c>
      <c r="M7181" t="s">
        <v>43670</v>
      </c>
      <c r="N7181" t="s">
        <v>47304</v>
      </c>
      <c r="O7181" t="s">
        <v>47305</v>
      </c>
      <c r="P7181">
        <v>0</v>
      </c>
      <c r="Q7181">
        <v>20</v>
      </c>
      <c r="R7181" t="s">
        <v>47311</v>
      </c>
      <c r="S7181" t="s">
        <v>47443</v>
      </c>
      <c r="T7181" t="s">
        <v>49037</v>
      </c>
      <c r="U7181" t="s">
        <v>55546</v>
      </c>
      <c r="V7181" t="s">
        <v>62817</v>
      </c>
      <c r="W7181" t="s">
        <v>43670</v>
      </c>
      <c r="X7181" t="s">
        <v>47312</v>
      </c>
    </row>
    <row r="7182" spans="1:24">
      <c r="A7182">
        <f>HYPERLINK("https://www.philgeps.gov.ph/GEPSNONPILOT/Tender/SplashBidNoticeAbstractUI.aspx?menuIndex=3&amp;refID=7192049&amp;Result=3","7192049")</f>
        <v>0</v>
      </c>
      <c r="B7182" t="s">
        <v>1572</v>
      </c>
      <c r="C7182" t="s">
        <v>10604</v>
      </c>
      <c r="D7182" t="s">
        <v>18993</v>
      </c>
      <c r="E7182" t="s">
        <v>25336</v>
      </c>
      <c r="F7182" t="s">
        <v>32606</v>
      </c>
      <c r="G7182" t="s">
        <v>32617</v>
      </c>
      <c r="H7182" t="s">
        <v>14201</v>
      </c>
      <c r="I7182" t="s">
        <v>7529</v>
      </c>
      <c r="J7182" t="s">
        <v>32781</v>
      </c>
      <c r="K7182" t="s">
        <v>42630</v>
      </c>
      <c r="M7182" t="s">
        <v>45461</v>
      </c>
      <c r="N7182" t="s">
        <v>47304</v>
      </c>
      <c r="O7182" t="s">
        <v>47305</v>
      </c>
      <c r="P7182">
        <v>0</v>
      </c>
      <c r="Q7182">
        <v>4</v>
      </c>
      <c r="R7182" t="s">
        <v>47311</v>
      </c>
      <c r="S7182" t="s">
        <v>47443</v>
      </c>
      <c r="T7182" t="s">
        <v>49068</v>
      </c>
      <c r="U7182" t="s">
        <v>55547</v>
      </c>
      <c r="V7182" t="s">
        <v>63334</v>
      </c>
      <c r="W7182" t="s">
        <v>45461</v>
      </c>
      <c r="X7182" t="s">
        <v>47312</v>
      </c>
    </row>
    <row r="7183" spans="1:24">
      <c r="A7183">
        <f>HYPERLINK("https://www.philgeps.gov.ph/GEPSNONPILOT/Tender/SplashBidNoticeAbstractUI.aspx?menuIndex=3&amp;refID=7192062&amp;Result=3","7192062")</f>
        <v>0</v>
      </c>
      <c r="B7183" t="s">
        <v>644</v>
      </c>
      <c r="C7183" t="s">
        <v>10605</v>
      </c>
      <c r="D7183" t="s">
        <v>19022</v>
      </c>
      <c r="E7183" t="s">
        <v>25337</v>
      </c>
      <c r="F7183" t="s">
        <v>32606</v>
      </c>
      <c r="G7183" t="s">
        <v>32614</v>
      </c>
      <c r="H7183" t="s">
        <v>14201</v>
      </c>
      <c r="I7183" t="s">
        <v>6993</v>
      </c>
      <c r="J7183" t="s">
        <v>37316</v>
      </c>
      <c r="K7183" t="s">
        <v>42624</v>
      </c>
      <c r="M7183" t="s">
        <v>44072</v>
      </c>
      <c r="N7183" t="s">
        <v>47304</v>
      </c>
      <c r="O7183" t="s">
        <v>47305</v>
      </c>
      <c r="P7183">
        <v>0</v>
      </c>
      <c r="Q7183">
        <v>6</v>
      </c>
      <c r="R7183" t="s">
        <v>47311</v>
      </c>
      <c r="S7183" t="s">
        <v>47443</v>
      </c>
      <c r="T7183" t="s">
        <v>49331</v>
      </c>
      <c r="U7183" t="s">
        <v>55548</v>
      </c>
      <c r="W7183" t="s">
        <v>44072</v>
      </c>
      <c r="X7183" t="s">
        <v>47312</v>
      </c>
    </row>
    <row r="7184" spans="1:24">
      <c r="A7184">
        <f>HYPERLINK("https://www.philgeps.gov.ph/GEPSNONPILOT/Tender/SplashBidNoticeAbstractUI.aspx?menuIndex=3&amp;refID=7192040&amp;Result=3","7192040")</f>
        <v>0</v>
      </c>
      <c r="B7184" t="s">
        <v>644</v>
      </c>
      <c r="C7184" t="s">
        <v>10606</v>
      </c>
      <c r="D7184" t="s">
        <v>19022</v>
      </c>
      <c r="E7184" t="s">
        <v>25338</v>
      </c>
      <c r="F7184" t="s">
        <v>32606</v>
      </c>
      <c r="G7184" t="s">
        <v>32614</v>
      </c>
      <c r="H7184" t="s">
        <v>14201</v>
      </c>
      <c r="I7184" t="s">
        <v>6993</v>
      </c>
      <c r="J7184" t="s">
        <v>37317</v>
      </c>
      <c r="K7184" t="s">
        <v>42624</v>
      </c>
      <c r="M7184" t="s">
        <v>44072</v>
      </c>
      <c r="N7184" t="s">
        <v>47304</v>
      </c>
      <c r="O7184" t="s">
        <v>47305</v>
      </c>
      <c r="P7184">
        <v>0</v>
      </c>
      <c r="Q7184">
        <v>7</v>
      </c>
      <c r="R7184" t="s">
        <v>47311</v>
      </c>
      <c r="S7184" t="s">
        <v>47443</v>
      </c>
      <c r="T7184" t="s">
        <v>49331</v>
      </c>
      <c r="U7184" t="s">
        <v>55549</v>
      </c>
      <c r="W7184" t="s">
        <v>44072</v>
      </c>
      <c r="X7184" t="s">
        <v>47312</v>
      </c>
    </row>
    <row r="7185" spans="1:24">
      <c r="A7185">
        <f>HYPERLINK("https://www.philgeps.gov.ph/GEPSNONPILOT/Tender/SplashBidNoticeAbstractUI.aspx?menuIndex=3&amp;refID=7192030&amp;Result=3","7192030")</f>
        <v>0</v>
      </c>
      <c r="B7185" t="s">
        <v>786</v>
      </c>
      <c r="C7185" t="s">
        <v>10607</v>
      </c>
      <c r="D7185" t="s">
        <v>19046</v>
      </c>
      <c r="E7185" t="s">
        <v>25339</v>
      </c>
      <c r="F7185" t="s">
        <v>32606</v>
      </c>
      <c r="G7185" t="s">
        <v>32614</v>
      </c>
      <c r="H7185" t="s">
        <v>14201</v>
      </c>
      <c r="I7185" t="s">
        <v>4120</v>
      </c>
      <c r="J7185" t="s">
        <v>37318</v>
      </c>
      <c r="K7185" t="s">
        <v>42622</v>
      </c>
      <c r="M7185" t="s">
        <v>43717</v>
      </c>
      <c r="N7185" t="s">
        <v>47304</v>
      </c>
      <c r="O7185" t="s">
        <v>47305</v>
      </c>
      <c r="P7185">
        <v>0</v>
      </c>
      <c r="Q7185">
        <v>1</v>
      </c>
      <c r="R7185" t="s">
        <v>47311</v>
      </c>
      <c r="S7185" t="s">
        <v>47443</v>
      </c>
      <c r="T7185" t="s">
        <v>48998</v>
      </c>
      <c r="U7185" t="s">
        <v>50990</v>
      </c>
      <c r="W7185" t="s">
        <v>43717</v>
      </c>
      <c r="X7185" t="s">
        <v>47312</v>
      </c>
    </row>
    <row r="7186" spans="1:24">
      <c r="A7186">
        <f>HYPERLINK("https://www.philgeps.gov.ph/GEPSNONPILOT/Tender/SplashBidNoticeAbstractUI.aspx?menuIndex=3&amp;refID=7192053&amp;Result=3","7192053")</f>
        <v>0</v>
      </c>
      <c r="B7186" t="s">
        <v>1037</v>
      </c>
      <c r="C7186" t="s">
        <v>10608</v>
      </c>
      <c r="D7186" t="s">
        <v>18993</v>
      </c>
      <c r="E7186" t="s">
        <v>25340</v>
      </c>
      <c r="F7186" t="s">
        <v>32606</v>
      </c>
      <c r="G7186" t="s">
        <v>32613</v>
      </c>
      <c r="H7186" t="s">
        <v>14201</v>
      </c>
      <c r="I7186" t="s">
        <v>32638</v>
      </c>
      <c r="J7186" t="s">
        <v>37319</v>
      </c>
      <c r="K7186" t="s">
        <v>42624</v>
      </c>
      <c r="M7186" t="s">
        <v>45482</v>
      </c>
      <c r="N7186" t="s">
        <v>47304</v>
      </c>
      <c r="O7186" t="s">
        <v>47305</v>
      </c>
      <c r="P7186">
        <v>0</v>
      </c>
      <c r="Q7186">
        <v>39</v>
      </c>
      <c r="R7186" t="s">
        <v>47311</v>
      </c>
      <c r="S7186" t="s">
        <v>47443</v>
      </c>
      <c r="T7186" t="s">
        <v>49157</v>
      </c>
      <c r="U7186" t="s">
        <v>55550</v>
      </c>
      <c r="W7186" t="s">
        <v>45482</v>
      </c>
      <c r="X7186" t="s">
        <v>47312</v>
      </c>
    </row>
    <row r="7187" spans="1:24">
      <c r="A7187">
        <f>HYPERLINK("https://www.philgeps.gov.ph/GEPSNONPILOT/Tender/SplashBidNoticeAbstractUI.aspx?menuIndex=3&amp;refID=7191572&amp;Result=3","7191572")</f>
        <v>0</v>
      </c>
      <c r="B7187" t="s">
        <v>195</v>
      </c>
      <c r="C7187" t="s">
        <v>10609</v>
      </c>
      <c r="D7187" t="s">
        <v>19045</v>
      </c>
      <c r="E7187" t="s">
        <v>25341</v>
      </c>
      <c r="F7187" t="s">
        <v>32606</v>
      </c>
      <c r="G7187" t="s">
        <v>32614</v>
      </c>
      <c r="H7187" t="s">
        <v>14201</v>
      </c>
      <c r="I7187" t="s">
        <v>6993</v>
      </c>
      <c r="J7187" t="s">
        <v>37320</v>
      </c>
      <c r="K7187" t="s">
        <v>42624</v>
      </c>
      <c r="M7187" t="s">
        <v>43096</v>
      </c>
      <c r="N7187" t="s">
        <v>47304</v>
      </c>
      <c r="O7187" t="s">
        <v>47305</v>
      </c>
      <c r="P7187">
        <v>0</v>
      </c>
      <c r="Q7187">
        <v>1</v>
      </c>
      <c r="R7187" t="s">
        <v>47311</v>
      </c>
      <c r="S7187" t="s">
        <v>47443</v>
      </c>
      <c r="T7187" t="s">
        <v>49053</v>
      </c>
      <c r="U7187" t="s">
        <v>55551</v>
      </c>
      <c r="V7187" t="s">
        <v>63328</v>
      </c>
      <c r="W7187" t="s">
        <v>43096</v>
      </c>
      <c r="X7187" t="s">
        <v>47312</v>
      </c>
    </row>
    <row r="7188" spans="1:24">
      <c r="A7188">
        <f>HYPERLINK("https://www.philgeps.gov.ph/GEPSNONPILOT/Tender/SplashBidNoticeAbstractUI.aspx?menuIndex=3&amp;refID=7192048&amp;Result=3","7192048")</f>
        <v>0</v>
      </c>
      <c r="B7188" t="s">
        <v>477</v>
      </c>
      <c r="C7188" t="s">
        <v>10610</v>
      </c>
      <c r="D7188" t="s">
        <v>19019</v>
      </c>
      <c r="E7188" t="s">
        <v>25342</v>
      </c>
      <c r="F7188" t="s">
        <v>32606</v>
      </c>
      <c r="G7188" t="s">
        <v>32614</v>
      </c>
      <c r="H7188" t="s">
        <v>14201</v>
      </c>
      <c r="I7188" t="s">
        <v>6298</v>
      </c>
      <c r="J7188" t="s">
        <v>37321</v>
      </c>
      <c r="K7188" t="s">
        <v>42638</v>
      </c>
      <c r="M7188" t="s">
        <v>43388</v>
      </c>
      <c r="N7188" t="s">
        <v>47304</v>
      </c>
      <c r="O7188" t="s">
        <v>47305</v>
      </c>
      <c r="P7188">
        <v>0</v>
      </c>
      <c r="Q7188">
        <v>0</v>
      </c>
      <c r="R7188" t="s">
        <v>47311</v>
      </c>
      <c r="S7188" t="s">
        <v>47443</v>
      </c>
      <c r="T7188" t="s">
        <v>49071</v>
      </c>
      <c r="U7188" t="s">
        <v>55552</v>
      </c>
      <c r="W7188" t="s">
        <v>43388</v>
      </c>
      <c r="X7188" t="s">
        <v>47312</v>
      </c>
    </row>
    <row r="7189" spans="1:24">
      <c r="A7189">
        <f>HYPERLINK("https://www.philgeps.gov.ph/GEPSNONPILOT/Tender/SplashBidNoticeAbstractUI.aspx?menuIndex=3&amp;refID=7192045&amp;Result=3","7192045")</f>
        <v>0</v>
      </c>
      <c r="B7189" t="s">
        <v>2352</v>
      </c>
      <c r="C7189" t="s">
        <v>10547</v>
      </c>
      <c r="D7189" t="s">
        <v>19003</v>
      </c>
      <c r="E7189" t="s">
        <v>25343</v>
      </c>
      <c r="F7189" t="s">
        <v>32606</v>
      </c>
      <c r="G7189" t="s">
        <v>32614</v>
      </c>
      <c r="H7189" t="s">
        <v>14201</v>
      </c>
      <c r="I7189" t="s">
        <v>32635</v>
      </c>
      <c r="J7189" t="s">
        <v>32885</v>
      </c>
      <c r="K7189" t="s">
        <v>42623</v>
      </c>
      <c r="M7189" t="s">
        <v>45464</v>
      </c>
      <c r="N7189" t="s">
        <v>47304</v>
      </c>
      <c r="O7189" t="s">
        <v>47305</v>
      </c>
      <c r="P7189">
        <v>0</v>
      </c>
      <c r="Q7189">
        <v>5</v>
      </c>
      <c r="R7189" t="s">
        <v>47311</v>
      </c>
      <c r="S7189" t="s">
        <v>47443</v>
      </c>
      <c r="T7189" t="s">
        <v>49269</v>
      </c>
      <c r="U7189" t="s">
        <v>55553</v>
      </c>
      <c r="W7189" t="s">
        <v>45464</v>
      </c>
      <c r="X7189" t="s">
        <v>47312</v>
      </c>
    </row>
    <row r="7190" spans="1:24">
      <c r="A7190">
        <f>HYPERLINK("https://www.philgeps.gov.ph/GEPSNONPILOT/Tender/SplashBidNoticeAbstractUI.aspx?menuIndex=3&amp;refID=7192086&amp;Result=3","7192086")</f>
        <v>0</v>
      </c>
      <c r="B7190" t="s">
        <v>2368</v>
      </c>
      <c r="C7190" t="s">
        <v>10611</v>
      </c>
      <c r="D7190" t="s">
        <v>19014</v>
      </c>
      <c r="E7190" t="s">
        <v>10611</v>
      </c>
      <c r="F7190" t="s">
        <v>32606</v>
      </c>
      <c r="G7190" t="s">
        <v>32619</v>
      </c>
      <c r="H7190" t="s">
        <v>14201</v>
      </c>
      <c r="I7190" t="s">
        <v>4369</v>
      </c>
      <c r="J7190" t="s">
        <v>32963</v>
      </c>
      <c r="K7190" t="s">
        <v>42632</v>
      </c>
      <c r="M7190" t="s">
        <v>45483</v>
      </c>
      <c r="N7190" t="s">
        <v>47304</v>
      </c>
      <c r="O7190" t="s">
        <v>47305</v>
      </c>
      <c r="P7190">
        <v>0</v>
      </c>
      <c r="Q7190">
        <v>2</v>
      </c>
      <c r="R7190" t="s">
        <v>47311</v>
      </c>
      <c r="S7190" t="s">
        <v>47443</v>
      </c>
      <c r="T7190" t="s">
        <v>49020</v>
      </c>
      <c r="U7190" t="s">
        <v>55554</v>
      </c>
      <c r="W7190" t="s">
        <v>45483</v>
      </c>
      <c r="X7190" t="s">
        <v>47312</v>
      </c>
    </row>
    <row r="7191" spans="1:24">
      <c r="A7191">
        <f>HYPERLINK("https://www.philgeps.gov.ph/GEPSNONPILOT/Tender/SplashBidNoticeAbstractUI.aspx?menuIndex=3&amp;refID=7192041&amp;Result=3","7192041")</f>
        <v>0</v>
      </c>
      <c r="B7191" t="s">
        <v>2369</v>
      </c>
      <c r="C7191" t="s">
        <v>10612</v>
      </c>
      <c r="D7191" t="s">
        <v>18989</v>
      </c>
      <c r="E7191" t="s">
        <v>25344</v>
      </c>
      <c r="F7191" t="s">
        <v>32606</v>
      </c>
      <c r="G7191" t="s">
        <v>32619</v>
      </c>
      <c r="H7191" t="s">
        <v>14201</v>
      </c>
      <c r="I7191" t="s">
        <v>7577</v>
      </c>
      <c r="J7191" t="s">
        <v>37322</v>
      </c>
      <c r="K7191" t="s">
        <v>42624</v>
      </c>
      <c r="M7191" t="s">
        <v>45484</v>
      </c>
      <c r="N7191" t="s">
        <v>47304</v>
      </c>
      <c r="O7191" t="s">
        <v>47305</v>
      </c>
      <c r="P7191">
        <v>0</v>
      </c>
      <c r="Q7191">
        <v>2</v>
      </c>
      <c r="R7191" t="s">
        <v>47311</v>
      </c>
      <c r="S7191" t="s">
        <v>47443</v>
      </c>
      <c r="T7191" t="s">
        <v>48979</v>
      </c>
      <c r="U7191" t="s">
        <v>55555</v>
      </c>
      <c r="W7191" t="s">
        <v>45484</v>
      </c>
      <c r="X7191" t="s">
        <v>47312</v>
      </c>
    </row>
    <row r="7192" spans="1:24">
      <c r="A7192">
        <f>HYPERLINK("https://www.philgeps.gov.ph/GEPSNONPILOT/Tender/SplashBidNoticeAbstractUI.aspx?menuIndex=3&amp;refID=7192051&amp;Result=3","7192051")</f>
        <v>0</v>
      </c>
      <c r="B7192" t="s">
        <v>97</v>
      </c>
      <c r="C7192" t="s">
        <v>7476</v>
      </c>
      <c r="D7192" t="s">
        <v>19026</v>
      </c>
      <c r="E7192" t="s">
        <v>25345</v>
      </c>
      <c r="F7192" t="s">
        <v>32606</v>
      </c>
      <c r="G7192" t="s">
        <v>32613</v>
      </c>
      <c r="H7192" t="s">
        <v>14201</v>
      </c>
      <c r="I7192" t="s">
        <v>6931</v>
      </c>
      <c r="J7192" t="s">
        <v>37323</v>
      </c>
      <c r="K7192" t="s">
        <v>42622</v>
      </c>
      <c r="M7192" t="s">
        <v>42995</v>
      </c>
      <c r="N7192" t="s">
        <v>47304</v>
      </c>
      <c r="O7192" t="s">
        <v>47305</v>
      </c>
      <c r="P7192">
        <v>0</v>
      </c>
      <c r="Q7192">
        <v>0</v>
      </c>
      <c r="R7192" t="s">
        <v>47311</v>
      </c>
      <c r="S7192" t="s">
        <v>47443</v>
      </c>
      <c r="T7192" t="s">
        <v>49014</v>
      </c>
      <c r="U7192" t="s">
        <v>55556</v>
      </c>
      <c r="W7192" t="s">
        <v>42995</v>
      </c>
      <c r="X7192" t="s">
        <v>47312</v>
      </c>
    </row>
    <row r="7193" spans="1:24">
      <c r="A7193">
        <f>HYPERLINK("https://www.philgeps.gov.ph/GEPSNONPILOT/Tender/SplashBidNoticeAbstractUI.aspx?menuIndex=3&amp;refID=7192142&amp;Result=3","7192142")</f>
        <v>0</v>
      </c>
      <c r="B7193" t="s">
        <v>745</v>
      </c>
      <c r="C7193" t="s">
        <v>10613</v>
      </c>
      <c r="D7193" t="s">
        <v>19043</v>
      </c>
      <c r="E7193" t="s">
        <v>25346</v>
      </c>
      <c r="F7193" t="s">
        <v>32606</v>
      </c>
      <c r="G7193" t="s">
        <v>32613</v>
      </c>
      <c r="H7193" t="s">
        <v>14201</v>
      </c>
      <c r="I7193" t="s">
        <v>4120</v>
      </c>
      <c r="J7193" t="s">
        <v>37324</v>
      </c>
      <c r="K7193" t="s">
        <v>42622</v>
      </c>
      <c r="M7193" t="s">
        <v>43668</v>
      </c>
      <c r="N7193" t="s">
        <v>47304</v>
      </c>
      <c r="O7193" t="s">
        <v>47305</v>
      </c>
      <c r="P7193">
        <v>0</v>
      </c>
      <c r="Q7193">
        <v>0</v>
      </c>
      <c r="R7193" t="s">
        <v>47311</v>
      </c>
      <c r="S7193" t="s">
        <v>47443</v>
      </c>
      <c r="T7193" t="s">
        <v>49160</v>
      </c>
      <c r="U7193" t="s">
        <v>55557</v>
      </c>
      <c r="W7193" t="s">
        <v>43668</v>
      </c>
      <c r="X7193" t="s">
        <v>47312</v>
      </c>
    </row>
    <row r="7194" spans="1:24">
      <c r="A7194">
        <f>HYPERLINK("https://www.philgeps.gov.ph/GEPSNONPILOT/Tender/SplashBidNoticeAbstractUI.aspx?menuIndex=3&amp;refID=7192068&amp;Result=3","7192068")</f>
        <v>0</v>
      </c>
      <c r="B7194" t="s">
        <v>2370</v>
      </c>
      <c r="C7194" t="s">
        <v>5845</v>
      </c>
      <c r="D7194" t="s">
        <v>19001</v>
      </c>
      <c r="E7194" t="s">
        <v>20335</v>
      </c>
      <c r="F7194" t="s">
        <v>32606</v>
      </c>
      <c r="G7194" t="s">
        <v>32613</v>
      </c>
      <c r="H7194" t="s">
        <v>14201</v>
      </c>
      <c r="I7194" t="s">
        <v>32631</v>
      </c>
      <c r="J7194" t="s">
        <v>37325</v>
      </c>
      <c r="K7194" t="s">
        <v>42624</v>
      </c>
      <c r="M7194" t="s">
        <v>45485</v>
      </c>
      <c r="N7194" t="s">
        <v>47304</v>
      </c>
      <c r="O7194" t="s">
        <v>47305</v>
      </c>
      <c r="P7194">
        <v>0</v>
      </c>
      <c r="Q7194">
        <v>0</v>
      </c>
      <c r="R7194" t="s">
        <v>47311</v>
      </c>
      <c r="S7194" t="s">
        <v>47443</v>
      </c>
      <c r="T7194" t="s">
        <v>49111</v>
      </c>
      <c r="U7194" t="s">
        <v>55558</v>
      </c>
      <c r="W7194" t="s">
        <v>45485</v>
      </c>
      <c r="X7194" t="s">
        <v>47312</v>
      </c>
    </row>
    <row r="7195" spans="1:24">
      <c r="A7195">
        <f>HYPERLINK("https://www.philgeps.gov.ph/GEPSNONPILOT/Tender/SplashBidNoticeAbstractUI.aspx?menuIndex=3&amp;refID=7192140&amp;Result=3","7192140")</f>
        <v>0</v>
      </c>
      <c r="B7195" t="s">
        <v>1572</v>
      </c>
      <c r="C7195" t="s">
        <v>10614</v>
      </c>
      <c r="D7195" t="s">
        <v>18993</v>
      </c>
      <c r="E7195" t="s">
        <v>25347</v>
      </c>
      <c r="F7195" t="s">
        <v>32606</v>
      </c>
      <c r="G7195" t="s">
        <v>32617</v>
      </c>
      <c r="H7195" t="s">
        <v>14201</v>
      </c>
      <c r="I7195" t="s">
        <v>4114</v>
      </c>
      <c r="J7195" t="s">
        <v>37326</v>
      </c>
      <c r="K7195" t="s">
        <v>42630</v>
      </c>
      <c r="M7195" t="s">
        <v>45461</v>
      </c>
      <c r="N7195" t="s">
        <v>47304</v>
      </c>
      <c r="O7195" t="s">
        <v>47305</v>
      </c>
      <c r="P7195">
        <v>0</v>
      </c>
      <c r="Q7195">
        <v>13</v>
      </c>
      <c r="R7195" t="s">
        <v>47311</v>
      </c>
      <c r="S7195" t="s">
        <v>47443</v>
      </c>
      <c r="T7195" t="s">
        <v>49068</v>
      </c>
      <c r="U7195" t="s">
        <v>55559</v>
      </c>
      <c r="V7195" t="s">
        <v>63334</v>
      </c>
      <c r="W7195" t="s">
        <v>45461</v>
      </c>
      <c r="X7195" t="s">
        <v>47312</v>
      </c>
    </row>
    <row r="7196" spans="1:24">
      <c r="A7196">
        <f>HYPERLINK("https://www.philgeps.gov.ph/GEPSNONPILOT/Tender/SplashBidNoticeAbstractUI.aspx?menuIndex=3&amp;refID=7191570&amp;Result=3","7191570")</f>
        <v>0</v>
      </c>
      <c r="B7196" t="s">
        <v>775</v>
      </c>
      <c r="C7196" t="s">
        <v>10615</v>
      </c>
      <c r="D7196" t="s">
        <v>19024</v>
      </c>
      <c r="E7196" t="s">
        <v>25348</v>
      </c>
      <c r="F7196" t="s">
        <v>32606</v>
      </c>
      <c r="G7196" t="s">
        <v>32614</v>
      </c>
      <c r="H7196" t="s">
        <v>32624</v>
      </c>
      <c r="I7196" t="s">
        <v>32671</v>
      </c>
      <c r="J7196" t="s">
        <v>33936</v>
      </c>
      <c r="K7196" t="s">
        <v>42636</v>
      </c>
      <c r="M7196" t="s">
        <v>43841</v>
      </c>
      <c r="N7196" t="s">
        <v>47304</v>
      </c>
      <c r="O7196" t="s">
        <v>47305</v>
      </c>
      <c r="P7196">
        <v>0</v>
      </c>
      <c r="Q7196">
        <v>4</v>
      </c>
      <c r="R7196" t="s">
        <v>47311</v>
      </c>
      <c r="S7196" t="s">
        <v>47443</v>
      </c>
      <c r="T7196" t="s">
        <v>49020</v>
      </c>
      <c r="U7196" t="s">
        <v>55560</v>
      </c>
      <c r="V7196" t="s">
        <v>50290</v>
      </c>
      <c r="W7196" t="s">
        <v>43841</v>
      </c>
      <c r="X7196" t="s">
        <v>47312</v>
      </c>
    </row>
    <row r="7197" spans="1:24">
      <c r="A7197">
        <f>HYPERLINK("https://www.philgeps.gov.ph/GEPSNONPILOT/Tender/SplashBidNoticeAbstractUI.aspx?menuIndex=3&amp;refID=7192120&amp;Result=3","7192120")</f>
        <v>0</v>
      </c>
      <c r="B7197" t="s">
        <v>745</v>
      </c>
      <c r="C7197" t="s">
        <v>10616</v>
      </c>
      <c r="D7197" t="s">
        <v>19043</v>
      </c>
      <c r="E7197" t="s">
        <v>25349</v>
      </c>
      <c r="F7197" t="s">
        <v>32606</v>
      </c>
      <c r="G7197" t="s">
        <v>32613</v>
      </c>
      <c r="H7197" t="s">
        <v>14201</v>
      </c>
      <c r="I7197" t="s">
        <v>4120</v>
      </c>
      <c r="J7197" t="s">
        <v>37327</v>
      </c>
      <c r="K7197" t="s">
        <v>42622</v>
      </c>
      <c r="M7197" t="s">
        <v>43668</v>
      </c>
      <c r="N7197" t="s">
        <v>47304</v>
      </c>
      <c r="O7197" t="s">
        <v>47305</v>
      </c>
      <c r="P7197">
        <v>0</v>
      </c>
      <c r="Q7197">
        <v>0</v>
      </c>
      <c r="R7197" t="s">
        <v>47311</v>
      </c>
      <c r="S7197" t="s">
        <v>47443</v>
      </c>
      <c r="T7197" t="s">
        <v>49160</v>
      </c>
      <c r="U7197" t="s">
        <v>55561</v>
      </c>
      <c r="W7197" t="s">
        <v>43668</v>
      </c>
      <c r="X7197" t="s">
        <v>47312</v>
      </c>
    </row>
    <row r="7198" spans="1:24">
      <c r="A7198">
        <f>HYPERLINK("https://www.philgeps.gov.ph/GEPSNONPILOT/Tender/SplashBidNoticeAbstractUI.aspx?menuIndex=3&amp;refID=7192115&amp;Result=3","7192115")</f>
        <v>0</v>
      </c>
      <c r="B7198" t="s">
        <v>477</v>
      </c>
      <c r="C7198" t="s">
        <v>10617</v>
      </c>
      <c r="D7198" t="s">
        <v>19019</v>
      </c>
      <c r="E7198" t="s">
        <v>25350</v>
      </c>
      <c r="F7198" t="s">
        <v>32606</v>
      </c>
      <c r="G7198" t="s">
        <v>32614</v>
      </c>
      <c r="H7198" t="s">
        <v>14201</v>
      </c>
      <c r="I7198" t="s">
        <v>9008</v>
      </c>
      <c r="J7198" t="s">
        <v>37328</v>
      </c>
      <c r="K7198" t="s">
        <v>42638</v>
      </c>
      <c r="M7198" t="s">
        <v>43388</v>
      </c>
      <c r="N7198" t="s">
        <v>47304</v>
      </c>
      <c r="O7198" t="s">
        <v>47305</v>
      </c>
      <c r="P7198">
        <v>0</v>
      </c>
      <c r="Q7198">
        <v>0</v>
      </c>
      <c r="R7198" t="s">
        <v>47311</v>
      </c>
      <c r="S7198" t="s">
        <v>47443</v>
      </c>
      <c r="T7198" t="s">
        <v>49071</v>
      </c>
      <c r="U7198" t="s">
        <v>55562</v>
      </c>
      <c r="W7198" t="s">
        <v>43388</v>
      </c>
      <c r="X7198" t="s">
        <v>47312</v>
      </c>
    </row>
    <row r="7199" spans="1:24">
      <c r="A7199">
        <f>HYPERLINK("https://www.philgeps.gov.ph/GEPSNONPILOT/Tender/SplashBidNoticeAbstractUI.aspx?menuIndex=3&amp;refID=7192107&amp;Result=3","7192107")</f>
        <v>0</v>
      </c>
      <c r="B7199" t="s">
        <v>747</v>
      </c>
      <c r="C7199" t="s">
        <v>10618</v>
      </c>
      <c r="D7199" t="s">
        <v>19014</v>
      </c>
      <c r="E7199" t="s">
        <v>25351</v>
      </c>
      <c r="F7199" t="s">
        <v>32606</v>
      </c>
      <c r="G7199" t="s">
        <v>32613</v>
      </c>
      <c r="H7199" t="s">
        <v>32623</v>
      </c>
      <c r="I7199" t="s">
        <v>17648</v>
      </c>
      <c r="J7199" t="s">
        <v>37100</v>
      </c>
      <c r="K7199" t="s">
        <v>42682</v>
      </c>
      <c r="M7199" t="s">
        <v>43670</v>
      </c>
      <c r="N7199" t="s">
        <v>47304</v>
      </c>
      <c r="O7199" t="s">
        <v>47305</v>
      </c>
      <c r="P7199">
        <v>0</v>
      </c>
      <c r="Q7199">
        <v>20</v>
      </c>
      <c r="R7199" t="s">
        <v>47311</v>
      </c>
      <c r="S7199" t="s">
        <v>47443</v>
      </c>
      <c r="T7199" t="s">
        <v>49037</v>
      </c>
      <c r="U7199" t="s">
        <v>55563</v>
      </c>
      <c r="V7199" t="s">
        <v>62817</v>
      </c>
      <c r="W7199" t="s">
        <v>43670</v>
      </c>
      <c r="X7199" t="s">
        <v>47312</v>
      </c>
    </row>
    <row r="7200" spans="1:24">
      <c r="A7200">
        <f>HYPERLINK("https://www.philgeps.gov.ph/GEPSNONPILOT/Tender/SplashBidNoticeAbstractUI.aspx?menuIndex=3&amp;refID=7192144&amp;Result=3","7192144")</f>
        <v>0</v>
      </c>
      <c r="B7200" t="s">
        <v>2248</v>
      </c>
      <c r="C7200" t="s">
        <v>10619</v>
      </c>
      <c r="D7200" t="s">
        <v>19001</v>
      </c>
      <c r="E7200" t="s">
        <v>25352</v>
      </c>
      <c r="F7200" t="s">
        <v>32606</v>
      </c>
      <c r="G7200" t="s">
        <v>32614</v>
      </c>
      <c r="H7200" t="s">
        <v>14201</v>
      </c>
      <c r="I7200" t="s">
        <v>32681</v>
      </c>
      <c r="J7200" t="s">
        <v>37329</v>
      </c>
      <c r="K7200" t="s">
        <v>42631</v>
      </c>
      <c r="M7200" t="s">
        <v>45353</v>
      </c>
      <c r="N7200" t="s">
        <v>47304</v>
      </c>
      <c r="O7200" t="s">
        <v>47305</v>
      </c>
      <c r="P7200">
        <v>0</v>
      </c>
      <c r="Q7200">
        <v>3</v>
      </c>
      <c r="R7200" t="s">
        <v>47311</v>
      </c>
      <c r="S7200" t="s">
        <v>47443</v>
      </c>
      <c r="T7200" t="s">
        <v>49165</v>
      </c>
      <c r="U7200" t="s">
        <v>55564</v>
      </c>
      <c r="W7200" t="s">
        <v>45353</v>
      </c>
      <c r="X7200" t="s">
        <v>47312</v>
      </c>
    </row>
    <row r="7201" spans="1:24">
      <c r="A7201">
        <f>HYPERLINK("https://www.philgeps.gov.ph/GEPSNONPILOT/Tender/SplashBidNoticeAbstractUI.aspx?menuIndex=3&amp;refID=7192106&amp;Result=3","7192106")</f>
        <v>0</v>
      </c>
      <c r="B7201" t="s">
        <v>745</v>
      </c>
      <c r="C7201" t="s">
        <v>10620</v>
      </c>
      <c r="D7201" t="s">
        <v>19043</v>
      </c>
      <c r="E7201" t="s">
        <v>25353</v>
      </c>
      <c r="F7201" t="s">
        <v>32606</v>
      </c>
      <c r="G7201" t="s">
        <v>32613</v>
      </c>
      <c r="H7201" t="s">
        <v>14201</v>
      </c>
      <c r="I7201" t="s">
        <v>4120</v>
      </c>
      <c r="J7201" t="s">
        <v>37330</v>
      </c>
      <c r="K7201" t="s">
        <v>42622</v>
      </c>
      <c r="M7201" t="s">
        <v>43668</v>
      </c>
      <c r="N7201" t="s">
        <v>47304</v>
      </c>
      <c r="O7201" t="s">
        <v>47305</v>
      </c>
      <c r="P7201">
        <v>0</v>
      </c>
      <c r="Q7201">
        <v>0</v>
      </c>
      <c r="R7201" t="s">
        <v>47311</v>
      </c>
      <c r="S7201" t="s">
        <v>47443</v>
      </c>
      <c r="T7201" t="s">
        <v>49160</v>
      </c>
      <c r="U7201" t="s">
        <v>55565</v>
      </c>
      <c r="W7201" t="s">
        <v>43668</v>
      </c>
      <c r="X7201" t="s">
        <v>47312</v>
      </c>
    </row>
    <row r="7202" spans="1:24">
      <c r="A7202">
        <f>HYPERLINK("https://www.philgeps.gov.ph/GEPSNONPILOT/Tender/SplashBidNoticeAbstractUI.aspx?menuIndex=3&amp;refID=7192101&amp;Result=3","7192101")</f>
        <v>0</v>
      </c>
      <c r="B7202" t="s">
        <v>2371</v>
      </c>
      <c r="C7202" t="s">
        <v>10621</v>
      </c>
      <c r="D7202" t="s">
        <v>19022</v>
      </c>
      <c r="E7202" t="s">
        <v>24821</v>
      </c>
      <c r="F7202" t="s">
        <v>32606</v>
      </c>
      <c r="G7202" t="s">
        <v>32613</v>
      </c>
      <c r="H7202" t="s">
        <v>14201</v>
      </c>
      <c r="I7202" t="s">
        <v>17648</v>
      </c>
      <c r="J7202" t="s">
        <v>34207</v>
      </c>
      <c r="K7202" t="s">
        <v>42639</v>
      </c>
      <c r="M7202" t="s">
        <v>45486</v>
      </c>
      <c r="N7202" t="s">
        <v>47304</v>
      </c>
      <c r="O7202" t="s">
        <v>47305</v>
      </c>
      <c r="P7202">
        <v>0</v>
      </c>
      <c r="Q7202">
        <v>0</v>
      </c>
      <c r="R7202" t="s">
        <v>47311</v>
      </c>
      <c r="S7202" t="s">
        <v>47443</v>
      </c>
      <c r="T7202" t="s">
        <v>48971</v>
      </c>
      <c r="U7202" t="s">
        <v>55566</v>
      </c>
      <c r="W7202" t="s">
        <v>45486</v>
      </c>
      <c r="X7202" t="s">
        <v>47312</v>
      </c>
    </row>
    <row r="7203" spans="1:24">
      <c r="A7203">
        <f>HYPERLINK("https://www.philgeps.gov.ph/GEPSNONPILOT/Tender/SplashBidNoticeAbstractUI.aspx?menuIndex=3&amp;refID=7192100&amp;Result=3","7192100")</f>
        <v>0</v>
      </c>
      <c r="B7203" t="s">
        <v>2372</v>
      </c>
      <c r="C7203" t="s">
        <v>10622</v>
      </c>
      <c r="D7203" t="s">
        <v>18994</v>
      </c>
      <c r="E7203" t="s">
        <v>25354</v>
      </c>
      <c r="F7203" t="s">
        <v>32606</v>
      </c>
      <c r="G7203" t="s">
        <v>32617</v>
      </c>
      <c r="H7203" t="s">
        <v>14201</v>
      </c>
      <c r="I7203" t="s">
        <v>4120</v>
      </c>
      <c r="J7203" t="s">
        <v>37331</v>
      </c>
      <c r="K7203" t="s">
        <v>42631</v>
      </c>
      <c r="M7203" t="s">
        <v>45487</v>
      </c>
      <c r="N7203" t="s">
        <v>47304</v>
      </c>
      <c r="O7203" t="s">
        <v>47305</v>
      </c>
      <c r="P7203">
        <v>0</v>
      </c>
      <c r="Q7203">
        <v>3</v>
      </c>
      <c r="R7203" t="s">
        <v>47311</v>
      </c>
      <c r="S7203" t="s">
        <v>47443</v>
      </c>
      <c r="T7203" t="s">
        <v>49020</v>
      </c>
      <c r="U7203" t="s">
        <v>50603</v>
      </c>
      <c r="W7203" t="s">
        <v>45487</v>
      </c>
      <c r="X7203" t="s">
        <v>47312</v>
      </c>
    </row>
    <row r="7204" spans="1:24">
      <c r="A7204">
        <f>HYPERLINK("https://www.philgeps.gov.ph/GEPSNONPILOT/Tender/SplashBidNoticeAbstractUI.aspx?menuIndex=3&amp;refID=7191851&amp;Result=3","7191851")</f>
        <v>0</v>
      </c>
      <c r="B7204" t="s">
        <v>775</v>
      </c>
      <c r="C7204" t="s">
        <v>10623</v>
      </c>
      <c r="D7204" t="s">
        <v>19009</v>
      </c>
      <c r="E7204" t="s">
        <v>25355</v>
      </c>
      <c r="F7204" t="s">
        <v>32606</v>
      </c>
      <c r="G7204" t="s">
        <v>32614</v>
      </c>
      <c r="H7204" t="s">
        <v>14201</v>
      </c>
      <c r="I7204" t="s">
        <v>32650</v>
      </c>
      <c r="J7204" t="s">
        <v>37332</v>
      </c>
      <c r="K7204" t="s">
        <v>42631</v>
      </c>
      <c r="M7204" t="s">
        <v>45457</v>
      </c>
      <c r="N7204" t="s">
        <v>47304</v>
      </c>
      <c r="O7204" t="s">
        <v>47305</v>
      </c>
      <c r="P7204">
        <v>0</v>
      </c>
      <c r="Q7204">
        <v>2</v>
      </c>
      <c r="R7204" t="s">
        <v>47311</v>
      </c>
      <c r="S7204" t="s">
        <v>47443</v>
      </c>
      <c r="T7204" t="s">
        <v>49072</v>
      </c>
      <c r="U7204" t="s">
        <v>55567</v>
      </c>
      <c r="W7204" t="s">
        <v>45457</v>
      </c>
      <c r="X7204" t="s">
        <v>47312</v>
      </c>
    </row>
    <row r="7205" spans="1:24">
      <c r="A7205">
        <f>HYPERLINK("https://www.philgeps.gov.ph/GEPSNONPILOT/Tender/SplashBidNoticeAbstractUI.aspx?menuIndex=3&amp;refID=7192135&amp;Result=3","7192135")</f>
        <v>0</v>
      </c>
      <c r="B7205" t="s">
        <v>2364</v>
      </c>
      <c r="C7205" t="s">
        <v>10624</v>
      </c>
      <c r="D7205" t="s">
        <v>19028</v>
      </c>
      <c r="E7205" t="s">
        <v>25356</v>
      </c>
      <c r="F7205" t="s">
        <v>32606</v>
      </c>
      <c r="G7205" t="s">
        <v>32619</v>
      </c>
      <c r="H7205" t="s">
        <v>14201</v>
      </c>
      <c r="I7205" t="s">
        <v>9013</v>
      </c>
      <c r="J7205" t="s">
        <v>37333</v>
      </c>
      <c r="K7205" t="s">
        <v>42631</v>
      </c>
      <c r="M7205" t="s">
        <v>45478</v>
      </c>
      <c r="N7205" t="s">
        <v>47304</v>
      </c>
      <c r="O7205" t="s">
        <v>47305</v>
      </c>
      <c r="P7205">
        <v>0</v>
      </c>
      <c r="Q7205">
        <v>7</v>
      </c>
      <c r="R7205" t="s">
        <v>47311</v>
      </c>
      <c r="S7205" t="s">
        <v>47443</v>
      </c>
      <c r="T7205" t="s">
        <v>49072</v>
      </c>
      <c r="U7205" t="s">
        <v>55568</v>
      </c>
      <c r="W7205" t="s">
        <v>45478</v>
      </c>
      <c r="X7205" t="s">
        <v>47312</v>
      </c>
    </row>
    <row r="7206" spans="1:24">
      <c r="A7206">
        <f>HYPERLINK("https://www.philgeps.gov.ph/GEPSNONPILOT/Tender/SplashBidNoticeAbstractUI.aspx?menuIndex=3&amp;refID=7192096&amp;Result=3","7192096")</f>
        <v>0</v>
      </c>
      <c r="B7206" t="s">
        <v>477</v>
      </c>
      <c r="C7206" t="s">
        <v>10625</v>
      </c>
      <c r="D7206" t="s">
        <v>19019</v>
      </c>
      <c r="E7206" t="s">
        <v>25357</v>
      </c>
      <c r="F7206" t="s">
        <v>32606</v>
      </c>
      <c r="G7206" t="s">
        <v>32614</v>
      </c>
      <c r="H7206" t="s">
        <v>14201</v>
      </c>
      <c r="I7206" t="s">
        <v>6298</v>
      </c>
      <c r="J7206" t="s">
        <v>37334</v>
      </c>
      <c r="K7206" t="s">
        <v>42638</v>
      </c>
      <c r="M7206" t="s">
        <v>43388</v>
      </c>
      <c r="N7206" t="s">
        <v>47304</v>
      </c>
      <c r="O7206" t="s">
        <v>47305</v>
      </c>
      <c r="P7206">
        <v>0</v>
      </c>
      <c r="Q7206">
        <v>0</v>
      </c>
      <c r="R7206" t="s">
        <v>47311</v>
      </c>
      <c r="S7206" t="s">
        <v>47443</v>
      </c>
      <c r="T7206" t="s">
        <v>49071</v>
      </c>
      <c r="U7206" t="s">
        <v>55569</v>
      </c>
      <c r="W7206" t="s">
        <v>43388</v>
      </c>
      <c r="X7206" t="s">
        <v>47312</v>
      </c>
    </row>
    <row r="7207" spans="1:24">
      <c r="A7207">
        <f>HYPERLINK("https://www.philgeps.gov.ph/GEPSNONPILOT/Tender/SplashBidNoticeAbstractUI.aspx?menuIndex=3&amp;refID=7192116&amp;Result=3","7192116")</f>
        <v>0</v>
      </c>
      <c r="B7207" t="s">
        <v>2373</v>
      </c>
      <c r="C7207" t="s">
        <v>10626</v>
      </c>
      <c r="D7207" t="s">
        <v>19031</v>
      </c>
      <c r="E7207" t="s">
        <v>19133</v>
      </c>
      <c r="F7207" t="s">
        <v>32606</v>
      </c>
      <c r="G7207" t="s">
        <v>32613</v>
      </c>
      <c r="H7207" t="s">
        <v>14201</v>
      </c>
      <c r="I7207" t="s">
        <v>4678</v>
      </c>
      <c r="J7207" t="s">
        <v>37335</v>
      </c>
      <c r="K7207" t="s">
        <v>42631</v>
      </c>
      <c r="M7207" t="s">
        <v>45488</v>
      </c>
      <c r="N7207" t="s">
        <v>47304</v>
      </c>
      <c r="O7207" t="s">
        <v>47305</v>
      </c>
      <c r="Q7207">
        <v>1</v>
      </c>
      <c r="R7207" t="s">
        <v>47311</v>
      </c>
      <c r="S7207" t="s">
        <v>47484</v>
      </c>
      <c r="T7207" t="s">
        <v>49037</v>
      </c>
      <c r="U7207" t="s">
        <v>55570</v>
      </c>
      <c r="W7207" t="s">
        <v>45488</v>
      </c>
      <c r="X7207" t="s">
        <v>47312</v>
      </c>
    </row>
    <row r="7208" spans="1:24">
      <c r="A7208">
        <f>HYPERLINK("https://www.philgeps.gov.ph/GEPSNONPILOT/Tender/SplashBidNoticeAbstractUI.aspx?menuIndex=3&amp;refID=7192145&amp;Result=3","7192145")</f>
        <v>0</v>
      </c>
      <c r="B7208" t="s">
        <v>2373</v>
      </c>
      <c r="C7208" t="s">
        <v>10627</v>
      </c>
      <c r="D7208" t="s">
        <v>19031</v>
      </c>
      <c r="E7208" t="s">
        <v>19415</v>
      </c>
      <c r="F7208" t="s">
        <v>32606</v>
      </c>
      <c r="G7208" t="s">
        <v>32613</v>
      </c>
      <c r="H7208" t="s">
        <v>14201</v>
      </c>
      <c r="I7208" t="s">
        <v>9013</v>
      </c>
      <c r="J7208" t="s">
        <v>32923</v>
      </c>
      <c r="K7208" t="s">
        <v>42631</v>
      </c>
      <c r="M7208" t="s">
        <v>45488</v>
      </c>
      <c r="N7208" t="s">
        <v>47304</v>
      </c>
      <c r="O7208" t="s">
        <v>47305</v>
      </c>
      <c r="P7208">
        <v>0</v>
      </c>
      <c r="Q7208">
        <v>2</v>
      </c>
      <c r="R7208" t="s">
        <v>47311</v>
      </c>
      <c r="S7208" t="s">
        <v>47443</v>
      </c>
      <c r="T7208" t="s">
        <v>49367</v>
      </c>
      <c r="U7208" t="s">
        <v>55571</v>
      </c>
      <c r="W7208" t="s">
        <v>45488</v>
      </c>
      <c r="X7208" t="s">
        <v>47312</v>
      </c>
    </row>
    <row r="7209" spans="1:24">
      <c r="A7209">
        <f>HYPERLINK("https://www.philgeps.gov.ph/GEPSNONPILOT/Tender/SplashBidNoticeAbstractUI.aspx?menuIndex=3&amp;refID=7192104&amp;Result=3","7192104")</f>
        <v>0</v>
      </c>
      <c r="B7209" t="s">
        <v>2368</v>
      </c>
      <c r="C7209" t="s">
        <v>10628</v>
      </c>
      <c r="D7209" t="s">
        <v>19014</v>
      </c>
      <c r="E7209" t="s">
        <v>10628</v>
      </c>
      <c r="F7209" t="s">
        <v>32606</v>
      </c>
      <c r="G7209" t="s">
        <v>32619</v>
      </c>
      <c r="H7209" t="s">
        <v>14201</v>
      </c>
      <c r="I7209" t="s">
        <v>6931</v>
      </c>
      <c r="J7209" t="s">
        <v>33302</v>
      </c>
      <c r="K7209" t="s">
        <v>42632</v>
      </c>
      <c r="M7209" t="s">
        <v>45483</v>
      </c>
      <c r="N7209" t="s">
        <v>47304</v>
      </c>
      <c r="O7209" t="s">
        <v>47305</v>
      </c>
      <c r="P7209">
        <v>0</v>
      </c>
      <c r="Q7209">
        <v>0</v>
      </c>
      <c r="R7209" t="s">
        <v>47311</v>
      </c>
      <c r="S7209" t="s">
        <v>47443</v>
      </c>
      <c r="T7209" t="s">
        <v>49020</v>
      </c>
      <c r="U7209" t="s">
        <v>55554</v>
      </c>
      <c r="W7209" t="s">
        <v>45483</v>
      </c>
      <c r="X7209" t="s">
        <v>47312</v>
      </c>
    </row>
    <row r="7210" spans="1:24">
      <c r="A7210">
        <f>HYPERLINK("https://www.philgeps.gov.ph/GEPSNONPILOT/Tender/SplashBidNoticeAbstractUI.aspx?menuIndex=3&amp;refID=7192205&amp;Result=3","7192205")</f>
        <v>0</v>
      </c>
      <c r="B7210" t="s">
        <v>2374</v>
      </c>
      <c r="C7210" t="s">
        <v>10629</v>
      </c>
      <c r="D7210" t="s">
        <v>19004</v>
      </c>
      <c r="E7210" t="s">
        <v>25358</v>
      </c>
      <c r="F7210" t="s">
        <v>32606</v>
      </c>
      <c r="G7210" t="s">
        <v>32619</v>
      </c>
      <c r="H7210" t="s">
        <v>14201</v>
      </c>
      <c r="I7210" t="s">
        <v>32652</v>
      </c>
      <c r="J7210" t="s">
        <v>37336</v>
      </c>
      <c r="K7210" t="s">
        <v>42631</v>
      </c>
      <c r="M7210" t="s">
        <v>45489</v>
      </c>
      <c r="N7210" t="s">
        <v>47304</v>
      </c>
      <c r="O7210" t="s">
        <v>47305</v>
      </c>
      <c r="P7210">
        <v>0</v>
      </c>
      <c r="Q7210">
        <v>3</v>
      </c>
      <c r="R7210" t="s">
        <v>47311</v>
      </c>
      <c r="S7210" t="s">
        <v>47443</v>
      </c>
      <c r="T7210" t="s">
        <v>49327</v>
      </c>
      <c r="U7210" t="s">
        <v>55572</v>
      </c>
      <c r="W7210" t="s">
        <v>45489</v>
      </c>
      <c r="X7210" t="s">
        <v>47312</v>
      </c>
    </row>
    <row r="7211" spans="1:24">
      <c r="A7211">
        <f>HYPERLINK("https://www.philgeps.gov.ph/GEPSNONPILOT/Tender/SplashBidNoticeAbstractUI.aspx?menuIndex=3&amp;refID=7192198&amp;Result=3","7192198")</f>
        <v>0</v>
      </c>
      <c r="B7211" t="s">
        <v>2372</v>
      </c>
      <c r="C7211" t="s">
        <v>10630</v>
      </c>
      <c r="D7211" t="s">
        <v>18994</v>
      </c>
      <c r="E7211" t="s">
        <v>23925</v>
      </c>
      <c r="F7211" t="s">
        <v>32606</v>
      </c>
      <c r="G7211" t="s">
        <v>32614</v>
      </c>
      <c r="H7211" t="s">
        <v>14201</v>
      </c>
      <c r="I7211" t="s">
        <v>6993</v>
      </c>
      <c r="J7211" t="s">
        <v>37337</v>
      </c>
      <c r="K7211" t="s">
        <v>42636</v>
      </c>
      <c r="M7211" t="s">
        <v>45487</v>
      </c>
      <c r="N7211" t="s">
        <v>47304</v>
      </c>
      <c r="O7211" t="s">
        <v>47305</v>
      </c>
      <c r="P7211">
        <v>0</v>
      </c>
      <c r="Q7211">
        <v>0</v>
      </c>
      <c r="R7211" t="s">
        <v>47311</v>
      </c>
      <c r="S7211" t="s">
        <v>47443</v>
      </c>
      <c r="T7211" t="s">
        <v>49020</v>
      </c>
      <c r="U7211" t="s">
        <v>55573</v>
      </c>
      <c r="W7211" t="s">
        <v>45487</v>
      </c>
      <c r="X7211" t="s">
        <v>47312</v>
      </c>
    </row>
    <row r="7212" spans="1:24">
      <c r="A7212">
        <f>HYPERLINK("https://www.philgeps.gov.ph/GEPSNONPILOT/Tender/SplashBidNoticeAbstractUI.aspx?menuIndex=3&amp;refID=7192099&amp;Result=3","7192099")</f>
        <v>0</v>
      </c>
      <c r="B7212" t="s">
        <v>2375</v>
      </c>
      <c r="C7212" t="s">
        <v>10631</v>
      </c>
      <c r="D7212" t="s">
        <v>19014</v>
      </c>
      <c r="E7212" t="s">
        <v>25359</v>
      </c>
      <c r="F7212" t="s">
        <v>32606</v>
      </c>
      <c r="G7212" t="s">
        <v>32613</v>
      </c>
      <c r="H7212" t="s">
        <v>14201</v>
      </c>
      <c r="I7212" t="s">
        <v>32711</v>
      </c>
      <c r="J7212" t="s">
        <v>37338</v>
      </c>
      <c r="K7212" t="s">
        <v>42624</v>
      </c>
      <c r="M7212" t="s">
        <v>45490</v>
      </c>
      <c r="N7212" t="s">
        <v>47304</v>
      </c>
      <c r="O7212" t="s">
        <v>47305</v>
      </c>
      <c r="P7212">
        <v>0</v>
      </c>
      <c r="Q7212">
        <v>4</v>
      </c>
      <c r="R7212" t="s">
        <v>47311</v>
      </c>
      <c r="S7212" t="s">
        <v>47443</v>
      </c>
      <c r="T7212" t="s">
        <v>48986</v>
      </c>
      <c r="U7212" t="s">
        <v>55574</v>
      </c>
      <c r="W7212" t="s">
        <v>45490</v>
      </c>
      <c r="X7212" t="s">
        <v>47312</v>
      </c>
    </row>
    <row r="7213" spans="1:24">
      <c r="A7213">
        <f>HYPERLINK("https://www.philgeps.gov.ph/GEPSNONPILOT/Tender/SplashBidNoticeAbstractUI.aspx?menuIndex=3&amp;refID=7192095&amp;Result=3","7192095")</f>
        <v>0</v>
      </c>
      <c r="B7213" t="s">
        <v>786</v>
      </c>
      <c r="C7213" t="s">
        <v>10632</v>
      </c>
      <c r="D7213" t="s">
        <v>19046</v>
      </c>
      <c r="E7213" t="s">
        <v>25360</v>
      </c>
      <c r="F7213" t="s">
        <v>32606</v>
      </c>
      <c r="G7213" t="s">
        <v>32614</v>
      </c>
      <c r="H7213" t="s">
        <v>14201</v>
      </c>
      <c r="I7213" t="s">
        <v>4678</v>
      </c>
      <c r="J7213" t="s">
        <v>33001</v>
      </c>
      <c r="K7213" t="s">
        <v>42622</v>
      </c>
      <c r="M7213" t="s">
        <v>43717</v>
      </c>
      <c r="N7213" t="s">
        <v>47304</v>
      </c>
      <c r="O7213" t="s">
        <v>47305</v>
      </c>
      <c r="P7213">
        <v>0</v>
      </c>
      <c r="Q7213">
        <v>0</v>
      </c>
      <c r="R7213" t="s">
        <v>47311</v>
      </c>
      <c r="S7213" t="s">
        <v>47443</v>
      </c>
      <c r="T7213" t="s">
        <v>48998</v>
      </c>
      <c r="U7213" t="s">
        <v>55575</v>
      </c>
      <c r="W7213" t="s">
        <v>43717</v>
      </c>
      <c r="X7213" t="s">
        <v>47312</v>
      </c>
    </row>
    <row r="7214" spans="1:24">
      <c r="A7214">
        <f>HYPERLINK("https://www.philgeps.gov.ph/GEPSNONPILOT/Tender/SplashBidNoticeAbstractUI.aspx?menuIndex=3&amp;refID=7192176&amp;Result=3","7192176")</f>
        <v>0</v>
      </c>
      <c r="B7214" t="s">
        <v>2225</v>
      </c>
      <c r="C7214" t="s">
        <v>10633</v>
      </c>
      <c r="D7214" t="s">
        <v>18999</v>
      </c>
      <c r="E7214" t="s">
        <v>25361</v>
      </c>
      <c r="F7214" t="s">
        <v>32606</v>
      </c>
      <c r="G7214" t="s">
        <v>32614</v>
      </c>
      <c r="H7214" t="s">
        <v>14201</v>
      </c>
      <c r="I7214" t="s">
        <v>32640</v>
      </c>
      <c r="J7214" t="s">
        <v>36111</v>
      </c>
      <c r="K7214" t="s">
        <v>42627</v>
      </c>
      <c r="M7214" t="s">
        <v>45329</v>
      </c>
      <c r="N7214" t="s">
        <v>47304</v>
      </c>
      <c r="O7214" t="s">
        <v>47305</v>
      </c>
      <c r="P7214">
        <v>0</v>
      </c>
      <c r="Q7214">
        <v>3</v>
      </c>
      <c r="R7214" t="s">
        <v>47311</v>
      </c>
      <c r="S7214" t="s">
        <v>47443</v>
      </c>
      <c r="T7214" t="s">
        <v>48998</v>
      </c>
      <c r="U7214" t="s">
        <v>55148</v>
      </c>
      <c r="V7214" t="s">
        <v>63339</v>
      </c>
      <c r="W7214" t="s">
        <v>64495</v>
      </c>
      <c r="X7214" t="s">
        <v>47312</v>
      </c>
    </row>
    <row r="7215" spans="1:24">
      <c r="A7215">
        <f>HYPERLINK("https://www.philgeps.gov.ph/GEPSNONPILOT/Tender/SplashBidNoticeAbstractUI.aspx?menuIndex=3&amp;refID=7192184&amp;Result=3","7192184")</f>
        <v>0</v>
      </c>
      <c r="B7215" t="s">
        <v>2376</v>
      </c>
      <c r="C7215" t="s">
        <v>10634</v>
      </c>
      <c r="D7215" t="s">
        <v>19023</v>
      </c>
      <c r="E7215" t="s">
        <v>25362</v>
      </c>
      <c r="F7215" t="s">
        <v>32606</v>
      </c>
      <c r="G7215" t="s">
        <v>32614</v>
      </c>
      <c r="H7215" t="s">
        <v>14201</v>
      </c>
      <c r="I7215" t="s">
        <v>32638</v>
      </c>
      <c r="J7215" t="s">
        <v>37339</v>
      </c>
      <c r="K7215" t="s">
        <v>42624</v>
      </c>
      <c r="M7215" t="s">
        <v>45491</v>
      </c>
      <c r="N7215" t="s">
        <v>47304</v>
      </c>
      <c r="O7215" t="s">
        <v>47305</v>
      </c>
      <c r="P7215">
        <v>0</v>
      </c>
      <c r="Q7215">
        <v>6</v>
      </c>
      <c r="R7215" t="s">
        <v>47311</v>
      </c>
      <c r="S7215" t="s">
        <v>47443</v>
      </c>
      <c r="T7215" t="s">
        <v>49014</v>
      </c>
      <c r="U7215" t="s">
        <v>55576</v>
      </c>
      <c r="W7215" t="s">
        <v>45491</v>
      </c>
      <c r="X7215" t="s">
        <v>47312</v>
      </c>
    </row>
    <row r="7216" spans="1:24">
      <c r="A7216">
        <f>HYPERLINK("https://www.philgeps.gov.ph/GEPSNONPILOT/Tender/SplashBidNoticeAbstractUI.aspx?menuIndex=3&amp;refID=7192173&amp;Result=3","7192173")</f>
        <v>0</v>
      </c>
      <c r="B7216" t="s">
        <v>1644</v>
      </c>
      <c r="C7216" t="s">
        <v>10635</v>
      </c>
      <c r="D7216" t="s">
        <v>19022</v>
      </c>
      <c r="E7216" t="s">
        <v>25363</v>
      </c>
      <c r="F7216" t="s">
        <v>32606</v>
      </c>
      <c r="G7216" t="s">
        <v>32614</v>
      </c>
      <c r="H7216" t="s">
        <v>14201</v>
      </c>
      <c r="I7216" t="s">
        <v>7233</v>
      </c>
      <c r="J7216" t="s">
        <v>35018</v>
      </c>
      <c r="K7216" t="s">
        <v>42630</v>
      </c>
      <c r="M7216" t="s">
        <v>44665</v>
      </c>
      <c r="N7216" t="s">
        <v>47304</v>
      </c>
      <c r="O7216" t="s">
        <v>47305</v>
      </c>
      <c r="P7216">
        <v>0</v>
      </c>
      <c r="Q7216">
        <v>0</v>
      </c>
      <c r="R7216" t="s">
        <v>47311</v>
      </c>
      <c r="S7216" t="s">
        <v>47443</v>
      </c>
      <c r="T7216" t="s">
        <v>49071</v>
      </c>
      <c r="U7216" t="s">
        <v>55577</v>
      </c>
      <c r="W7216" t="s">
        <v>64478</v>
      </c>
      <c r="X7216" t="s">
        <v>47312</v>
      </c>
    </row>
    <row r="7217" spans="1:24">
      <c r="A7217">
        <f>HYPERLINK("https://www.philgeps.gov.ph/GEPSNONPILOT/Tender/SplashBidNoticeAbstractUI.aspx?menuIndex=3&amp;refID=7192179&amp;Result=3","7192179")</f>
        <v>0</v>
      </c>
      <c r="B7217" t="s">
        <v>2375</v>
      </c>
      <c r="C7217" t="s">
        <v>10636</v>
      </c>
      <c r="D7217" t="s">
        <v>19014</v>
      </c>
      <c r="E7217" t="s">
        <v>25364</v>
      </c>
      <c r="F7217" t="s">
        <v>32606</v>
      </c>
      <c r="G7217" t="s">
        <v>32613</v>
      </c>
      <c r="H7217" t="s">
        <v>14201</v>
      </c>
      <c r="I7217" t="s">
        <v>32696</v>
      </c>
      <c r="J7217" t="s">
        <v>37340</v>
      </c>
      <c r="K7217" t="s">
        <v>42624</v>
      </c>
      <c r="M7217" t="s">
        <v>45490</v>
      </c>
      <c r="N7217" t="s">
        <v>47304</v>
      </c>
      <c r="O7217" t="s">
        <v>47305</v>
      </c>
      <c r="P7217">
        <v>0</v>
      </c>
      <c r="Q7217">
        <v>3</v>
      </c>
      <c r="R7217" t="s">
        <v>47311</v>
      </c>
      <c r="S7217" t="s">
        <v>47443</v>
      </c>
      <c r="T7217" t="s">
        <v>48986</v>
      </c>
      <c r="U7217" t="s">
        <v>55578</v>
      </c>
      <c r="W7217" t="s">
        <v>45490</v>
      </c>
      <c r="X7217" t="s">
        <v>47312</v>
      </c>
    </row>
    <row r="7218" spans="1:24">
      <c r="A7218">
        <f>HYPERLINK("https://www.philgeps.gov.ph/GEPSNONPILOT/Tender/SplashBidNoticeAbstractUI.aspx?menuIndex=3&amp;refID=7192199&amp;Result=3","7192199")</f>
        <v>0</v>
      </c>
      <c r="B7218" t="s">
        <v>2209</v>
      </c>
      <c r="C7218" t="s">
        <v>10637</v>
      </c>
      <c r="D7218" t="s">
        <v>18992</v>
      </c>
      <c r="E7218" t="s">
        <v>25365</v>
      </c>
      <c r="F7218" t="s">
        <v>32606</v>
      </c>
      <c r="G7218" t="s">
        <v>32613</v>
      </c>
      <c r="H7218" t="s">
        <v>14201</v>
      </c>
      <c r="I7218" t="s">
        <v>7064</v>
      </c>
      <c r="J7218" t="s">
        <v>32861</v>
      </c>
      <c r="K7218" t="s">
        <v>42646</v>
      </c>
      <c r="M7218" t="s">
        <v>45313</v>
      </c>
      <c r="N7218" t="s">
        <v>47304</v>
      </c>
      <c r="O7218" t="s">
        <v>47305</v>
      </c>
      <c r="P7218">
        <v>0</v>
      </c>
      <c r="Q7218">
        <v>5</v>
      </c>
      <c r="R7218" t="s">
        <v>47311</v>
      </c>
      <c r="S7218" t="s">
        <v>47443</v>
      </c>
      <c r="T7218" t="s">
        <v>49368</v>
      </c>
      <c r="U7218" t="s">
        <v>55579</v>
      </c>
      <c r="W7218" t="s">
        <v>45313</v>
      </c>
      <c r="X7218" t="s">
        <v>47312</v>
      </c>
    </row>
    <row r="7219" spans="1:24">
      <c r="A7219">
        <f>HYPERLINK("https://www.philgeps.gov.ph/GEPSNONPILOT/Tender/SplashBidNoticeAbstractUI.aspx?menuIndex=3&amp;refID=7192193&amp;Result=3","7192193")</f>
        <v>0</v>
      </c>
      <c r="B7219" t="s">
        <v>477</v>
      </c>
      <c r="C7219" t="s">
        <v>10638</v>
      </c>
      <c r="D7219" t="s">
        <v>19019</v>
      </c>
      <c r="E7219" t="s">
        <v>25366</v>
      </c>
      <c r="F7219" t="s">
        <v>32606</v>
      </c>
      <c r="G7219" t="s">
        <v>32614</v>
      </c>
      <c r="H7219" t="s">
        <v>14201</v>
      </c>
      <c r="I7219" t="s">
        <v>7529</v>
      </c>
      <c r="J7219" t="s">
        <v>33097</v>
      </c>
      <c r="K7219" t="s">
        <v>42638</v>
      </c>
      <c r="M7219" t="s">
        <v>43388</v>
      </c>
      <c r="N7219" t="s">
        <v>47304</v>
      </c>
      <c r="O7219" t="s">
        <v>47305</v>
      </c>
      <c r="P7219">
        <v>0</v>
      </c>
      <c r="Q7219">
        <v>0</v>
      </c>
      <c r="R7219" t="s">
        <v>47311</v>
      </c>
      <c r="S7219" t="s">
        <v>47443</v>
      </c>
      <c r="T7219" t="s">
        <v>49071</v>
      </c>
      <c r="U7219" t="s">
        <v>55580</v>
      </c>
      <c r="W7219" t="s">
        <v>43388</v>
      </c>
      <c r="X7219" t="s">
        <v>47312</v>
      </c>
    </row>
    <row r="7220" spans="1:24">
      <c r="A7220">
        <f>HYPERLINK("https://www.philgeps.gov.ph/GEPSNONPILOT/Tender/SplashBidNoticeAbstractUI.aspx?menuIndex=3&amp;refID=7192165&amp;Result=3","7192165")</f>
        <v>0</v>
      </c>
      <c r="B7220" t="s">
        <v>2377</v>
      </c>
      <c r="C7220" t="s">
        <v>4359</v>
      </c>
      <c r="D7220" t="s">
        <v>19037</v>
      </c>
      <c r="E7220" t="s">
        <v>25367</v>
      </c>
      <c r="F7220" t="s">
        <v>32606</v>
      </c>
      <c r="G7220" t="s">
        <v>32613</v>
      </c>
      <c r="H7220" t="s">
        <v>14201</v>
      </c>
      <c r="I7220" t="s">
        <v>6931</v>
      </c>
      <c r="J7220" t="s">
        <v>32868</v>
      </c>
      <c r="K7220" t="s">
        <v>42630</v>
      </c>
      <c r="M7220" t="s">
        <v>45492</v>
      </c>
      <c r="N7220" t="s">
        <v>47304</v>
      </c>
      <c r="O7220" t="s">
        <v>47305</v>
      </c>
      <c r="P7220">
        <v>0</v>
      </c>
      <c r="Q7220">
        <v>0</v>
      </c>
      <c r="R7220" t="s">
        <v>47311</v>
      </c>
      <c r="S7220" t="s">
        <v>47443</v>
      </c>
      <c r="T7220" t="s">
        <v>49086</v>
      </c>
      <c r="U7220" t="s">
        <v>55581</v>
      </c>
      <c r="W7220" t="s">
        <v>45492</v>
      </c>
      <c r="X7220" t="s">
        <v>47312</v>
      </c>
    </row>
    <row r="7221" spans="1:24">
      <c r="A7221">
        <f>HYPERLINK("https://www.philgeps.gov.ph/GEPSNONPILOT/Tender/SplashBidNoticeAbstractUI.aspx?menuIndex=3&amp;refID=7192192&amp;Result=3","7192192")</f>
        <v>0</v>
      </c>
      <c r="B7221" t="s">
        <v>2378</v>
      </c>
      <c r="C7221" t="s">
        <v>10639</v>
      </c>
      <c r="D7221" t="s">
        <v>19029</v>
      </c>
      <c r="E7221" t="s">
        <v>25368</v>
      </c>
      <c r="F7221" t="s">
        <v>32606</v>
      </c>
      <c r="G7221" t="s">
        <v>32614</v>
      </c>
      <c r="H7221" t="s">
        <v>14201</v>
      </c>
      <c r="I7221" t="s">
        <v>7064</v>
      </c>
      <c r="J7221" t="s">
        <v>37341</v>
      </c>
      <c r="K7221" t="s">
        <v>42630</v>
      </c>
      <c r="M7221" t="s">
        <v>45493</v>
      </c>
      <c r="N7221" t="s">
        <v>47304</v>
      </c>
      <c r="O7221" t="s">
        <v>47305</v>
      </c>
      <c r="P7221">
        <v>0</v>
      </c>
      <c r="Q7221">
        <v>0</v>
      </c>
      <c r="R7221" t="s">
        <v>47311</v>
      </c>
      <c r="S7221" t="s">
        <v>47443</v>
      </c>
      <c r="T7221" t="s">
        <v>48979</v>
      </c>
      <c r="U7221" t="s">
        <v>55582</v>
      </c>
      <c r="W7221" t="s">
        <v>45493</v>
      </c>
      <c r="X7221" t="s">
        <v>47312</v>
      </c>
    </row>
    <row r="7222" spans="1:24">
      <c r="A7222">
        <f>HYPERLINK("https://www.philgeps.gov.ph/GEPSNONPILOT/Tender/SplashBidNoticeAbstractUI.aspx?menuIndex=3&amp;refID=7192160&amp;Result=3","7192160")</f>
        <v>0</v>
      </c>
      <c r="B7222" t="s">
        <v>1458</v>
      </c>
      <c r="C7222" t="s">
        <v>10640</v>
      </c>
      <c r="D7222" t="s">
        <v>18995</v>
      </c>
      <c r="E7222" t="s">
        <v>25369</v>
      </c>
      <c r="F7222" t="s">
        <v>32606</v>
      </c>
      <c r="G7222" t="s">
        <v>32614</v>
      </c>
      <c r="H7222" t="s">
        <v>14201</v>
      </c>
      <c r="I7222" t="s">
        <v>32640</v>
      </c>
      <c r="J7222" t="s">
        <v>34321</v>
      </c>
      <c r="K7222" t="s">
        <v>42630</v>
      </c>
      <c r="M7222" t="s">
        <v>44451</v>
      </c>
      <c r="N7222" t="s">
        <v>47304</v>
      </c>
      <c r="O7222" t="s">
        <v>47305</v>
      </c>
      <c r="P7222">
        <v>0</v>
      </c>
      <c r="Q7222">
        <v>1</v>
      </c>
      <c r="R7222" t="s">
        <v>47311</v>
      </c>
      <c r="S7222" t="s">
        <v>47443</v>
      </c>
      <c r="T7222" t="s">
        <v>49004</v>
      </c>
      <c r="U7222" t="s">
        <v>55583</v>
      </c>
      <c r="W7222" t="s">
        <v>44451</v>
      </c>
      <c r="X7222" t="s">
        <v>47312</v>
      </c>
    </row>
    <row r="7223" spans="1:24">
      <c r="A7223">
        <f>HYPERLINK("https://www.philgeps.gov.ph/GEPSNONPILOT/Tender/SplashBidNoticeAbstractUI.aspx?menuIndex=3&amp;refID=7192158&amp;Result=3","7192158")</f>
        <v>0</v>
      </c>
      <c r="B7223" t="s">
        <v>747</v>
      </c>
      <c r="C7223" t="s">
        <v>10641</v>
      </c>
      <c r="D7223" t="s">
        <v>19014</v>
      </c>
      <c r="E7223" t="s">
        <v>25370</v>
      </c>
      <c r="F7223" t="s">
        <v>32606</v>
      </c>
      <c r="G7223" t="s">
        <v>32613</v>
      </c>
      <c r="H7223" t="s">
        <v>32623</v>
      </c>
      <c r="I7223" t="s">
        <v>17648</v>
      </c>
      <c r="J7223" t="s">
        <v>37342</v>
      </c>
      <c r="K7223" t="s">
        <v>42642</v>
      </c>
      <c r="M7223" t="s">
        <v>43670</v>
      </c>
      <c r="N7223" t="s">
        <v>47304</v>
      </c>
      <c r="O7223" t="s">
        <v>47305</v>
      </c>
      <c r="P7223">
        <v>0</v>
      </c>
      <c r="Q7223">
        <v>9</v>
      </c>
      <c r="R7223" t="s">
        <v>47311</v>
      </c>
      <c r="S7223" t="s">
        <v>47443</v>
      </c>
      <c r="T7223" t="s">
        <v>49037</v>
      </c>
      <c r="U7223" t="s">
        <v>55546</v>
      </c>
      <c r="V7223" t="s">
        <v>62817</v>
      </c>
      <c r="W7223" t="s">
        <v>43670</v>
      </c>
      <c r="X7223" t="s">
        <v>47312</v>
      </c>
    </row>
    <row r="7224" spans="1:24">
      <c r="A7224">
        <f>HYPERLINK("https://www.philgeps.gov.ph/GEPSNONPILOT/Tender/SplashBidNoticeAbstractUI.aspx?menuIndex=3&amp;refID=7192278&amp;Result=3","7192278")</f>
        <v>0</v>
      </c>
      <c r="B7224" t="s">
        <v>642</v>
      </c>
      <c r="C7224" t="s">
        <v>10642</v>
      </c>
      <c r="D7224" t="s">
        <v>19053</v>
      </c>
      <c r="E7224" t="s">
        <v>25371</v>
      </c>
      <c r="F7224" t="s">
        <v>32606</v>
      </c>
      <c r="G7224" t="s">
        <v>32613</v>
      </c>
      <c r="H7224" t="s">
        <v>14201</v>
      </c>
      <c r="I7224" t="s">
        <v>4369</v>
      </c>
      <c r="J7224" t="s">
        <v>37343</v>
      </c>
      <c r="K7224" t="s">
        <v>42630</v>
      </c>
      <c r="M7224" t="s">
        <v>43560</v>
      </c>
      <c r="N7224" t="s">
        <v>47304</v>
      </c>
      <c r="O7224" t="s">
        <v>47305</v>
      </c>
      <c r="P7224">
        <v>0</v>
      </c>
      <c r="Q7224">
        <v>5</v>
      </c>
      <c r="R7224" t="s">
        <v>47311</v>
      </c>
      <c r="S7224" t="s">
        <v>47443</v>
      </c>
      <c r="T7224" t="s">
        <v>49108</v>
      </c>
      <c r="U7224" t="s">
        <v>55584</v>
      </c>
      <c r="V7224" t="s">
        <v>63340</v>
      </c>
      <c r="W7224" t="s">
        <v>43560</v>
      </c>
      <c r="X7224" t="s">
        <v>47312</v>
      </c>
    </row>
    <row r="7225" spans="1:24">
      <c r="A7225">
        <f>HYPERLINK("https://www.philgeps.gov.ph/GEPSNONPILOT/Tender/SplashBidNoticeAbstractUI.aspx?menuIndex=3&amp;refID=7192277&amp;Result=3","7192277")</f>
        <v>0</v>
      </c>
      <c r="B7225" t="s">
        <v>307</v>
      </c>
      <c r="C7225" t="s">
        <v>10643</v>
      </c>
      <c r="D7225" t="s">
        <v>19016</v>
      </c>
      <c r="E7225" t="s">
        <v>25372</v>
      </c>
      <c r="F7225" t="s">
        <v>32606</v>
      </c>
      <c r="G7225" t="s">
        <v>32614</v>
      </c>
      <c r="H7225" t="s">
        <v>14201</v>
      </c>
      <c r="I7225" t="s">
        <v>8682</v>
      </c>
      <c r="J7225" t="s">
        <v>35591</v>
      </c>
      <c r="K7225" t="s">
        <v>42623</v>
      </c>
      <c r="M7225" t="s">
        <v>43209</v>
      </c>
      <c r="N7225" t="s">
        <v>47304</v>
      </c>
      <c r="O7225" t="s">
        <v>47305</v>
      </c>
      <c r="P7225">
        <v>0</v>
      </c>
      <c r="Q7225">
        <v>5</v>
      </c>
      <c r="R7225" t="s">
        <v>47311</v>
      </c>
      <c r="S7225" t="s">
        <v>47443</v>
      </c>
      <c r="T7225" t="s">
        <v>49330</v>
      </c>
      <c r="U7225" t="s">
        <v>55585</v>
      </c>
      <c r="W7225" t="s">
        <v>43209</v>
      </c>
      <c r="X7225" t="s">
        <v>47312</v>
      </c>
    </row>
    <row r="7226" spans="1:24">
      <c r="A7226">
        <f>HYPERLINK("https://www.philgeps.gov.ph/GEPSNONPILOT/Tender/SplashBidNoticeAbstractUI.aspx?menuIndex=3&amp;refID=7192256&amp;Result=3","7192256")</f>
        <v>0</v>
      </c>
      <c r="B7226" t="s">
        <v>520</v>
      </c>
      <c r="C7226" t="s">
        <v>10644</v>
      </c>
      <c r="D7226" t="s">
        <v>19027</v>
      </c>
      <c r="E7226" t="s">
        <v>25373</v>
      </c>
      <c r="F7226" t="s">
        <v>32606</v>
      </c>
      <c r="G7226" t="s">
        <v>32614</v>
      </c>
      <c r="H7226" t="s">
        <v>14201</v>
      </c>
      <c r="I7226" t="s">
        <v>6478</v>
      </c>
      <c r="J7226" t="s">
        <v>34082</v>
      </c>
      <c r="K7226" t="s">
        <v>42630</v>
      </c>
      <c r="M7226" t="s">
        <v>43433</v>
      </c>
      <c r="N7226" t="s">
        <v>47304</v>
      </c>
      <c r="O7226" t="s">
        <v>47305</v>
      </c>
      <c r="P7226">
        <v>0</v>
      </c>
      <c r="Q7226">
        <v>0</v>
      </c>
      <c r="R7226" t="s">
        <v>47311</v>
      </c>
      <c r="S7226" t="s">
        <v>47443</v>
      </c>
      <c r="T7226" t="s">
        <v>49071</v>
      </c>
      <c r="U7226" t="s">
        <v>55586</v>
      </c>
      <c r="W7226" t="s">
        <v>43433</v>
      </c>
      <c r="X7226" t="s">
        <v>47312</v>
      </c>
    </row>
    <row r="7227" spans="1:24">
      <c r="A7227">
        <f>HYPERLINK("https://www.philgeps.gov.ph/GEPSNONPILOT/Tender/SplashBidNoticeAbstractUI.aspx?menuIndex=3&amp;refID=7192168&amp;Result=3","7192168")</f>
        <v>0</v>
      </c>
      <c r="B7227" t="s">
        <v>477</v>
      </c>
      <c r="C7227" t="s">
        <v>10645</v>
      </c>
      <c r="D7227" t="s">
        <v>19019</v>
      </c>
      <c r="E7227" t="s">
        <v>25374</v>
      </c>
      <c r="F7227" t="s">
        <v>32606</v>
      </c>
      <c r="G7227" t="s">
        <v>32614</v>
      </c>
      <c r="H7227" t="s">
        <v>14201</v>
      </c>
      <c r="I7227" t="s">
        <v>6298</v>
      </c>
      <c r="J7227" t="s">
        <v>33504</v>
      </c>
      <c r="K7227" t="s">
        <v>42638</v>
      </c>
      <c r="M7227" t="s">
        <v>43388</v>
      </c>
      <c r="N7227" t="s">
        <v>47304</v>
      </c>
      <c r="O7227" t="s">
        <v>47305</v>
      </c>
      <c r="P7227">
        <v>0</v>
      </c>
      <c r="Q7227">
        <v>1</v>
      </c>
      <c r="R7227" t="s">
        <v>47311</v>
      </c>
      <c r="S7227" t="s">
        <v>47443</v>
      </c>
      <c r="T7227" t="s">
        <v>49071</v>
      </c>
      <c r="U7227" t="s">
        <v>55587</v>
      </c>
      <c r="W7227" t="s">
        <v>43388</v>
      </c>
      <c r="X7227" t="s">
        <v>47312</v>
      </c>
    </row>
    <row r="7228" spans="1:24">
      <c r="A7228">
        <f>HYPERLINK("https://www.philgeps.gov.ph/GEPSNONPILOT/Tender/SplashBidNoticeAbstractUI.aspx?menuIndex=3&amp;refID=7192255&amp;Result=3","7192255")</f>
        <v>0</v>
      </c>
      <c r="B7228" t="s">
        <v>2367</v>
      </c>
      <c r="C7228" t="s">
        <v>10646</v>
      </c>
      <c r="D7228" t="s">
        <v>19025</v>
      </c>
      <c r="E7228" t="s">
        <v>25375</v>
      </c>
      <c r="F7228" t="s">
        <v>32606</v>
      </c>
      <c r="G7228" t="s">
        <v>32614</v>
      </c>
      <c r="H7228" t="s">
        <v>14201</v>
      </c>
      <c r="I7228" t="s">
        <v>32634</v>
      </c>
      <c r="J7228" t="s">
        <v>34942</v>
      </c>
      <c r="K7228" t="s">
        <v>42631</v>
      </c>
      <c r="M7228" t="s">
        <v>45481</v>
      </c>
      <c r="N7228" t="s">
        <v>47304</v>
      </c>
      <c r="O7228" t="s">
        <v>47305</v>
      </c>
      <c r="P7228">
        <v>0</v>
      </c>
      <c r="Q7228">
        <v>1</v>
      </c>
      <c r="R7228" t="s">
        <v>47311</v>
      </c>
      <c r="S7228" t="s">
        <v>47443</v>
      </c>
      <c r="T7228" t="s">
        <v>49071</v>
      </c>
      <c r="U7228" t="s">
        <v>55588</v>
      </c>
      <c r="W7228" t="s">
        <v>45481</v>
      </c>
      <c r="X7228" t="s">
        <v>47312</v>
      </c>
    </row>
    <row r="7229" spans="1:24">
      <c r="A7229">
        <f>HYPERLINK("https://www.philgeps.gov.ph/GEPSNONPILOT/Tender/SplashBidNoticeAbstractUI.aspx?menuIndex=3&amp;refID=7192252&amp;Result=3","7192252")</f>
        <v>0</v>
      </c>
      <c r="B7229" t="s">
        <v>2379</v>
      </c>
      <c r="C7229" t="s">
        <v>10647</v>
      </c>
      <c r="D7229" t="s">
        <v>18989</v>
      </c>
      <c r="E7229" t="s">
        <v>25376</v>
      </c>
      <c r="F7229" t="s">
        <v>32606</v>
      </c>
      <c r="G7229" t="s">
        <v>32614</v>
      </c>
      <c r="H7229" t="s">
        <v>14201</v>
      </c>
      <c r="I7229" t="s">
        <v>4120</v>
      </c>
      <c r="J7229" t="s">
        <v>37344</v>
      </c>
      <c r="K7229" t="s">
        <v>42631</v>
      </c>
      <c r="M7229" t="s">
        <v>45494</v>
      </c>
      <c r="N7229" t="s">
        <v>47304</v>
      </c>
      <c r="O7229" t="s">
        <v>47305</v>
      </c>
      <c r="P7229">
        <v>0</v>
      </c>
      <c r="Q7229">
        <v>0</v>
      </c>
      <c r="R7229" t="s">
        <v>47311</v>
      </c>
      <c r="S7229" t="s">
        <v>47443</v>
      </c>
      <c r="T7229" t="s">
        <v>49268</v>
      </c>
      <c r="U7229" t="s">
        <v>55589</v>
      </c>
      <c r="W7229" t="s">
        <v>45494</v>
      </c>
      <c r="X7229" t="s">
        <v>47312</v>
      </c>
    </row>
    <row r="7230" spans="1:24">
      <c r="A7230">
        <f>HYPERLINK("https://www.philgeps.gov.ph/GEPSNONPILOT/Tender/SplashBidNoticeAbstractUI.aspx?menuIndex=3&amp;refID=7192186&amp;Result=3","7192186")</f>
        <v>0</v>
      </c>
      <c r="B7230" t="s">
        <v>252</v>
      </c>
      <c r="C7230" t="s">
        <v>10648</v>
      </c>
      <c r="D7230" t="s">
        <v>19010</v>
      </c>
      <c r="E7230" t="s">
        <v>25377</v>
      </c>
      <c r="F7230" t="s">
        <v>32606</v>
      </c>
      <c r="G7230" t="s">
        <v>32613</v>
      </c>
      <c r="H7230" t="s">
        <v>32623</v>
      </c>
      <c r="I7230" t="s">
        <v>17648</v>
      </c>
      <c r="J7230" t="s">
        <v>37345</v>
      </c>
      <c r="K7230" t="s">
        <v>42719</v>
      </c>
      <c r="M7230" t="s">
        <v>43153</v>
      </c>
      <c r="N7230" t="s">
        <v>47304</v>
      </c>
      <c r="O7230" t="s">
        <v>47305</v>
      </c>
      <c r="P7230">
        <v>0</v>
      </c>
      <c r="Q7230">
        <v>0</v>
      </c>
      <c r="R7230" t="s">
        <v>47311</v>
      </c>
      <c r="S7230" t="s">
        <v>47443</v>
      </c>
      <c r="T7230" t="s">
        <v>49050</v>
      </c>
      <c r="U7230" t="s">
        <v>55590</v>
      </c>
      <c r="W7230" t="s">
        <v>43153</v>
      </c>
      <c r="X7230" t="s">
        <v>47312</v>
      </c>
    </row>
    <row r="7231" spans="1:24">
      <c r="A7231">
        <f>HYPERLINK("https://www.philgeps.gov.ph/GEPSNONPILOT/Tender/SplashBidNoticeAbstractUI.aspx?menuIndex=3&amp;refID=7192250&amp;Result=3","7192250")</f>
        <v>0</v>
      </c>
      <c r="B7231" t="s">
        <v>2380</v>
      </c>
      <c r="C7231" t="s">
        <v>10649</v>
      </c>
      <c r="D7231" t="s">
        <v>19008</v>
      </c>
      <c r="E7231" t="s">
        <v>19315</v>
      </c>
      <c r="F7231" t="s">
        <v>32606</v>
      </c>
      <c r="G7231" t="s">
        <v>32613</v>
      </c>
      <c r="H7231" t="s">
        <v>14201</v>
      </c>
      <c r="I7231" t="s">
        <v>32656</v>
      </c>
      <c r="J7231" t="s">
        <v>33274</v>
      </c>
      <c r="K7231" t="s">
        <v>42636</v>
      </c>
      <c r="M7231" t="s">
        <v>45495</v>
      </c>
      <c r="N7231" t="s">
        <v>47304</v>
      </c>
      <c r="O7231" t="s">
        <v>47305</v>
      </c>
      <c r="P7231">
        <v>0</v>
      </c>
      <c r="Q7231">
        <v>1</v>
      </c>
      <c r="R7231" t="s">
        <v>47311</v>
      </c>
      <c r="S7231" t="s">
        <v>47443</v>
      </c>
      <c r="T7231" t="s">
        <v>49196</v>
      </c>
      <c r="U7231" t="s">
        <v>55591</v>
      </c>
      <c r="W7231" t="s">
        <v>45495</v>
      </c>
      <c r="X7231" t="s">
        <v>47312</v>
      </c>
    </row>
    <row r="7232" spans="1:24">
      <c r="A7232">
        <f>HYPERLINK("https://www.philgeps.gov.ph/GEPSNONPILOT/Tender/SplashBidNoticeAbstractUI.aspx?menuIndex=3&amp;refID=7192247&amp;Result=3","7192247")</f>
        <v>0</v>
      </c>
      <c r="B7232" t="s">
        <v>1037</v>
      </c>
      <c r="C7232" t="s">
        <v>10650</v>
      </c>
      <c r="D7232" t="s">
        <v>18993</v>
      </c>
      <c r="E7232" t="s">
        <v>25378</v>
      </c>
      <c r="F7232" t="s">
        <v>32606</v>
      </c>
      <c r="G7232" t="s">
        <v>32613</v>
      </c>
      <c r="H7232" t="s">
        <v>14201</v>
      </c>
      <c r="I7232" t="s">
        <v>32652</v>
      </c>
      <c r="J7232" t="s">
        <v>37346</v>
      </c>
      <c r="K7232" t="s">
        <v>42624</v>
      </c>
      <c r="M7232" t="s">
        <v>45482</v>
      </c>
      <c r="N7232" t="s">
        <v>47304</v>
      </c>
      <c r="O7232" t="s">
        <v>47305</v>
      </c>
      <c r="P7232">
        <v>0</v>
      </c>
      <c r="Q7232">
        <v>0</v>
      </c>
      <c r="R7232" t="s">
        <v>47311</v>
      </c>
      <c r="S7232" t="s">
        <v>47443</v>
      </c>
      <c r="T7232" t="s">
        <v>49157</v>
      </c>
      <c r="U7232" t="s">
        <v>55592</v>
      </c>
      <c r="W7232" t="s">
        <v>45482</v>
      </c>
      <c r="X7232" t="s">
        <v>47312</v>
      </c>
    </row>
    <row r="7233" spans="1:24">
      <c r="A7233">
        <f>HYPERLINK("https://www.philgeps.gov.ph/GEPSNONPILOT/Tender/SplashBidNoticeAbstractUI.aspx?menuIndex=3&amp;refID=7192240&amp;Result=3","7192240")</f>
        <v>0</v>
      </c>
      <c r="B7233" t="s">
        <v>168</v>
      </c>
      <c r="C7233" t="s">
        <v>10651</v>
      </c>
      <c r="D7233" t="s">
        <v>19038</v>
      </c>
      <c r="E7233" t="s">
        <v>25379</v>
      </c>
      <c r="F7233" t="s">
        <v>32606</v>
      </c>
      <c r="G7233" t="s">
        <v>32613</v>
      </c>
      <c r="H7233" t="s">
        <v>14201</v>
      </c>
      <c r="I7233" t="s">
        <v>7064</v>
      </c>
      <c r="J7233" t="s">
        <v>32795</v>
      </c>
      <c r="K7233" t="s">
        <v>42624</v>
      </c>
      <c r="M7233" t="s">
        <v>43069</v>
      </c>
      <c r="N7233" t="s">
        <v>47304</v>
      </c>
      <c r="O7233" t="s">
        <v>47305</v>
      </c>
      <c r="P7233">
        <v>0</v>
      </c>
      <c r="Q7233">
        <v>6</v>
      </c>
      <c r="R7233" t="s">
        <v>47311</v>
      </c>
      <c r="S7233" t="s">
        <v>47443</v>
      </c>
      <c r="T7233" t="s">
        <v>49157</v>
      </c>
      <c r="U7233" t="s">
        <v>55593</v>
      </c>
      <c r="W7233" t="s">
        <v>43069</v>
      </c>
      <c r="X7233" t="s">
        <v>47312</v>
      </c>
    </row>
    <row r="7234" spans="1:24">
      <c r="A7234">
        <f>HYPERLINK("https://www.philgeps.gov.ph/GEPSNONPILOT/Tender/SplashBidNoticeAbstractUI.aspx?menuIndex=3&amp;refID=7192229&amp;Result=3","7192229")</f>
        <v>0</v>
      </c>
      <c r="B7234" t="s">
        <v>2374</v>
      </c>
      <c r="C7234" t="s">
        <v>10652</v>
      </c>
      <c r="D7234" t="s">
        <v>19004</v>
      </c>
      <c r="E7234" t="s">
        <v>25380</v>
      </c>
      <c r="F7234" t="s">
        <v>32606</v>
      </c>
      <c r="G7234" t="s">
        <v>32619</v>
      </c>
      <c r="H7234" t="s">
        <v>14201</v>
      </c>
      <c r="I7234" t="s">
        <v>17648</v>
      </c>
      <c r="J7234" t="s">
        <v>37347</v>
      </c>
      <c r="K7234" t="s">
        <v>42636</v>
      </c>
      <c r="M7234" t="s">
        <v>45489</v>
      </c>
      <c r="N7234" t="s">
        <v>47304</v>
      </c>
      <c r="O7234" t="s">
        <v>47305</v>
      </c>
      <c r="P7234">
        <v>0</v>
      </c>
      <c r="Q7234">
        <v>3</v>
      </c>
      <c r="R7234" t="s">
        <v>47311</v>
      </c>
      <c r="S7234" t="s">
        <v>47443</v>
      </c>
      <c r="T7234" t="s">
        <v>49327</v>
      </c>
      <c r="U7234" t="s">
        <v>55594</v>
      </c>
      <c r="W7234" t="s">
        <v>45489</v>
      </c>
      <c r="X7234" t="s">
        <v>47312</v>
      </c>
    </row>
    <row r="7235" spans="1:24">
      <c r="A7235">
        <f>HYPERLINK("https://www.philgeps.gov.ph/GEPSNONPILOT/Tender/SplashBidNoticeAbstractUI.aspx?menuIndex=3&amp;refID=7192262&amp;Result=3","7192262")</f>
        <v>0</v>
      </c>
      <c r="B7235" t="s">
        <v>1506</v>
      </c>
      <c r="C7235" t="s">
        <v>10653</v>
      </c>
      <c r="D7235" t="s">
        <v>19063</v>
      </c>
      <c r="E7235" t="s">
        <v>20536</v>
      </c>
      <c r="F7235" t="s">
        <v>32606</v>
      </c>
      <c r="G7235" t="s">
        <v>32613</v>
      </c>
      <c r="H7235" t="s">
        <v>32623</v>
      </c>
      <c r="I7235" t="s">
        <v>17648</v>
      </c>
      <c r="J7235" t="s">
        <v>32778</v>
      </c>
      <c r="K7235" t="s">
        <v>42627</v>
      </c>
      <c r="M7235" t="s">
        <v>44504</v>
      </c>
      <c r="N7235" t="s">
        <v>47304</v>
      </c>
      <c r="O7235" t="s">
        <v>47305</v>
      </c>
      <c r="P7235">
        <v>0</v>
      </c>
      <c r="Q7235">
        <v>1</v>
      </c>
      <c r="R7235" t="s">
        <v>47311</v>
      </c>
      <c r="S7235" t="s">
        <v>47443</v>
      </c>
      <c r="T7235" t="s">
        <v>49242</v>
      </c>
      <c r="U7235" t="s">
        <v>55595</v>
      </c>
      <c r="W7235" t="s">
        <v>44504</v>
      </c>
      <c r="X7235" t="s">
        <v>47312</v>
      </c>
    </row>
    <row r="7236" spans="1:24">
      <c r="A7236">
        <f>HYPERLINK("https://www.philgeps.gov.ph/GEPSNONPILOT/Tender/SplashBidNoticeAbstractUI.aspx?menuIndex=3&amp;refID=7192227&amp;Result=3","7192227")</f>
        <v>0</v>
      </c>
      <c r="B7236" t="s">
        <v>2375</v>
      </c>
      <c r="C7236" t="s">
        <v>10654</v>
      </c>
      <c r="D7236" t="s">
        <v>19014</v>
      </c>
      <c r="E7236" t="s">
        <v>25381</v>
      </c>
      <c r="F7236" t="s">
        <v>32606</v>
      </c>
      <c r="G7236" t="s">
        <v>32614</v>
      </c>
      <c r="H7236" t="s">
        <v>14201</v>
      </c>
      <c r="I7236" t="s">
        <v>32650</v>
      </c>
      <c r="J7236" t="s">
        <v>33363</v>
      </c>
      <c r="K7236" t="s">
        <v>42624</v>
      </c>
      <c r="M7236" t="s">
        <v>45490</v>
      </c>
      <c r="N7236" t="s">
        <v>47304</v>
      </c>
      <c r="O7236" t="s">
        <v>47305</v>
      </c>
      <c r="P7236">
        <v>0</v>
      </c>
      <c r="Q7236">
        <v>1</v>
      </c>
      <c r="R7236" t="s">
        <v>47311</v>
      </c>
      <c r="S7236" t="s">
        <v>47443</v>
      </c>
      <c r="T7236" t="s">
        <v>48998</v>
      </c>
      <c r="U7236" t="s">
        <v>55596</v>
      </c>
      <c r="W7236" t="s">
        <v>45490</v>
      </c>
      <c r="X7236" t="s">
        <v>47312</v>
      </c>
    </row>
    <row r="7237" spans="1:24">
      <c r="A7237">
        <f>HYPERLINK("https://www.philgeps.gov.ph/GEPSNONPILOT/Tender/SplashBidNoticeAbstractUI.aspx?menuIndex=3&amp;refID=7192254&amp;Result=3","7192254")</f>
        <v>0</v>
      </c>
      <c r="B7237" t="s">
        <v>477</v>
      </c>
      <c r="C7237" t="s">
        <v>10655</v>
      </c>
      <c r="D7237" t="s">
        <v>19019</v>
      </c>
      <c r="E7237" t="s">
        <v>25382</v>
      </c>
      <c r="F7237" t="s">
        <v>32606</v>
      </c>
      <c r="G7237" t="s">
        <v>32614</v>
      </c>
      <c r="H7237" t="s">
        <v>14201</v>
      </c>
      <c r="I7237" t="s">
        <v>6298</v>
      </c>
      <c r="J7237" t="s">
        <v>37348</v>
      </c>
      <c r="K7237" t="s">
        <v>42638</v>
      </c>
      <c r="M7237" t="s">
        <v>43388</v>
      </c>
      <c r="N7237" t="s">
        <v>47304</v>
      </c>
      <c r="O7237" t="s">
        <v>47305</v>
      </c>
      <c r="P7237">
        <v>0</v>
      </c>
      <c r="Q7237">
        <v>1</v>
      </c>
      <c r="R7237" t="s">
        <v>47311</v>
      </c>
      <c r="S7237" t="s">
        <v>47443</v>
      </c>
      <c r="T7237" t="s">
        <v>49071</v>
      </c>
      <c r="U7237" t="s">
        <v>55597</v>
      </c>
      <c r="W7237" t="s">
        <v>43388</v>
      </c>
      <c r="X7237" t="s">
        <v>47312</v>
      </c>
    </row>
    <row r="7238" spans="1:24">
      <c r="A7238">
        <f>HYPERLINK("https://www.philgeps.gov.ph/GEPSNONPILOT/Tender/SplashBidNoticeAbstractUI.aspx?menuIndex=3&amp;refID=7192208&amp;Result=3","7192208")</f>
        <v>0</v>
      </c>
      <c r="B7238" t="s">
        <v>2335</v>
      </c>
      <c r="C7238" t="s">
        <v>10656</v>
      </c>
      <c r="D7238" t="s">
        <v>19033</v>
      </c>
      <c r="E7238" t="s">
        <v>25383</v>
      </c>
      <c r="F7238" t="s">
        <v>32606</v>
      </c>
      <c r="G7238" t="s">
        <v>32614</v>
      </c>
      <c r="H7238" t="s">
        <v>14201</v>
      </c>
      <c r="I7238" t="s">
        <v>32629</v>
      </c>
      <c r="J7238" t="s">
        <v>37349</v>
      </c>
      <c r="K7238" t="s">
        <v>42664</v>
      </c>
      <c r="M7238" t="s">
        <v>45445</v>
      </c>
      <c r="N7238" t="s">
        <v>47304</v>
      </c>
      <c r="O7238" t="s">
        <v>47305</v>
      </c>
      <c r="P7238">
        <v>0</v>
      </c>
      <c r="Q7238">
        <v>0</v>
      </c>
      <c r="R7238" t="s">
        <v>47311</v>
      </c>
      <c r="S7238" t="s">
        <v>47443</v>
      </c>
      <c r="T7238" t="s">
        <v>49339</v>
      </c>
      <c r="U7238" t="s">
        <v>55598</v>
      </c>
      <c r="W7238" t="s">
        <v>45445</v>
      </c>
      <c r="X7238" t="s">
        <v>47312</v>
      </c>
    </row>
    <row r="7239" spans="1:24">
      <c r="A7239">
        <f>HYPERLINK("https://www.philgeps.gov.ph/GEPSNONPILOT/Tender/SplashBidNoticeAbstractUI.aspx?menuIndex=3&amp;refID=7192282&amp;Result=3","7192282")</f>
        <v>0</v>
      </c>
      <c r="B7239" t="s">
        <v>1433</v>
      </c>
      <c r="C7239" t="s">
        <v>10657</v>
      </c>
      <c r="D7239" t="s">
        <v>19029</v>
      </c>
      <c r="E7239" t="s">
        <v>25384</v>
      </c>
      <c r="F7239" t="s">
        <v>32606</v>
      </c>
      <c r="G7239" t="s">
        <v>32619</v>
      </c>
      <c r="H7239" t="s">
        <v>14201</v>
      </c>
      <c r="I7239" t="s">
        <v>32633</v>
      </c>
      <c r="J7239" t="s">
        <v>37350</v>
      </c>
      <c r="K7239" t="s">
        <v>42622</v>
      </c>
      <c r="M7239" t="s">
        <v>44422</v>
      </c>
      <c r="N7239" t="s">
        <v>47304</v>
      </c>
      <c r="O7239" t="s">
        <v>47305</v>
      </c>
      <c r="P7239">
        <v>0</v>
      </c>
      <c r="Q7239">
        <v>12</v>
      </c>
      <c r="R7239" t="s">
        <v>47311</v>
      </c>
      <c r="S7239" t="s">
        <v>47443</v>
      </c>
      <c r="T7239" t="s">
        <v>49010</v>
      </c>
      <c r="U7239" t="s">
        <v>52637</v>
      </c>
      <c r="W7239" t="s">
        <v>64473</v>
      </c>
      <c r="X7239" t="s">
        <v>47312</v>
      </c>
    </row>
    <row r="7240" spans="1:24">
      <c r="A7240">
        <f>HYPERLINK("https://www.philgeps.gov.ph/GEPSNONPILOT/Tender/SplashBidNoticeAbstractUI.aspx?menuIndex=3&amp;refID=7192236&amp;Result=3","7192236")</f>
        <v>0</v>
      </c>
      <c r="B7240" t="s">
        <v>477</v>
      </c>
      <c r="C7240" t="s">
        <v>10658</v>
      </c>
      <c r="D7240" t="s">
        <v>19019</v>
      </c>
      <c r="E7240" t="s">
        <v>25385</v>
      </c>
      <c r="F7240" t="s">
        <v>32606</v>
      </c>
      <c r="G7240" t="s">
        <v>32614</v>
      </c>
      <c r="H7240" t="s">
        <v>14201</v>
      </c>
      <c r="I7240" t="s">
        <v>6298</v>
      </c>
      <c r="J7240" t="s">
        <v>37351</v>
      </c>
      <c r="K7240" t="s">
        <v>42638</v>
      </c>
      <c r="M7240" t="s">
        <v>43388</v>
      </c>
      <c r="N7240" t="s">
        <v>47304</v>
      </c>
      <c r="O7240" t="s">
        <v>47305</v>
      </c>
      <c r="P7240">
        <v>0</v>
      </c>
      <c r="Q7240">
        <v>1</v>
      </c>
      <c r="R7240" t="s">
        <v>47311</v>
      </c>
      <c r="S7240" t="s">
        <v>47443</v>
      </c>
      <c r="T7240" t="s">
        <v>49071</v>
      </c>
      <c r="U7240" t="s">
        <v>55599</v>
      </c>
      <c r="W7240" t="s">
        <v>43388</v>
      </c>
      <c r="X7240" t="s">
        <v>47312</v>
      </c>
    </row>
    <row r="7241" spans="1:24">
      <c r="A7241">
        <f>HYPERLINK("https://www.philgeps.gov.ph/GEPSNONPILOT/Tender/SplashBidNoticeAbstractUI.aspx?menuIndex=3&amp;refID=7192336&amp;Result=3","7192336")</f>
        <v>0</v>
      </c>
      <c r="B7241" t="s">
        <v>2225</v>
      </c>
      <c r="C7241" t="s">
        <v>10659</v>
      </c>
      <c r="D7241" t="s">
        <v>18999</v>
      </c>
      <c r="E7241" t="s">
        <v>25386</v>
      </c>
      <c r="F7241" t="s">
        <v>32606</v>
      </c>
      <c r="G7241" t="s">
        <v>32614</v>
      </c>
      <c r="H7241" t="s">
        <v>14201</v>
      </c>
      <c r="I7241" t="s">
        <v>4678</v>
      </c>
      <c r="J7241" t="s">
        <v>37352</v>
      </c>
      <c r="K7241" t="s">
        <v>42627</v>
      </c>
      <c r="M7241" t="s">
        <v>45496</v>
      </c>
      <c r="N7241" t="s">
        <v>47304</v>
      </c>
      <c r="O7241" t="s">
        <v>47305</v>
      </c>
      <c r="P7241">
        <v>0</v>
      </c>
      <c r="Q7241">
        <v>5</v>
      </c>
      <c r="R7241" t="s">
        <v>47311</v>
      </c>
      <c r="S7241" t="s">
        <v>47443</v>
      </c>
      <c r="T7241" t="s">
        <v>48998</v>
      </c>
      <c r="U7241" t="s">
        <v>55148</v>
      </c>
      <c r="V7241" t="s">
        <v>63341</v>
      </c>
      <c r="W7241" t="s">
        <v>64495</v>
      </c>
      <c r="X7241" t="s">
        <v>47312</v>
      </c>
    </row>
    <row r="7242" spans="1:24">
      <c r="A7242">
        <f>HYPERLINK("https://www.philgeps.gov.ph/GEPSNONPILOT/Tender/SplashBidNoticeAbstractUI.aspx?menuIndex=3&amp;refID=7192166&amp;Result=3","7192166")</f>
        <v>0</v>
      </c>
      <c r="B7242" t="s">
        <v>745</v>
      </c>
      <c r="C7242" t="s">
        <v>10660</v>
      </c>
      <c r="D7242" t="s">
        <v>19043</v>
      </c>
      <c r="E7242" t="s">
        <v>25387</v>
      </c>
      <c r="F7242" t="s">
        <v>32606</v>
      </c>
      <c r="G7242" t="s">
        <v>32613</v>
      </c>
      <c r="H7242" t="s">
        <v>14201</v>
      </c>
      <c r="I7242" t="s">
        <v>4120</v>
      </c>
      <c r="J7242" t="s">
        <v>37353</v>
      </c>
      <c r="K7242" t="s">
        <v>42622</v>
      </c>
      <c r="M7242" t="s">
        <v>43668</v>
      </c>
      <c r="N7242" t="s">
        <v>47304</v>
      </c>
      <c r="O7242" t="s">
        <v>47305</v>
      </c>
      <c r="P7242">
        <v>0</v>
      </c>
      <c r="Q7242">
        <v>0</v>
      </c>
      <c r="R7242" t="s">
        <v>47311</v>
      </c>
      <c r="S7242" t="s">
        <v>47443</v>
      </c>
      <c r="T7242" t="s">
        <v>49160</v>
      </c>
      <c r="U7242" t="s">
        <v>55600</v>
      </c>
      <c r="W7242" t="s">
        <v>43668</v>
      </c>
      <c r="X7242" t="s">
        <v>47312</v>
      </c>
    </row>
    <row r="7243" spans="1:24">
      <c r="A7243">
        <f>HYPERLINK("https://www.philgeps.gov.ph/GEPSNONPILOT/Tender/SplashBidNoticeAbstractUI.aspx?menuIndex=3&amp;refID=7192118&amp;Result=3","7192118")</f>
        <v>0</v>
      </c>
      <c r="B7243" t="s">
        <v>2381</v>
      </c>
      <c r="C7243" t="s">
        <v>10661</v>
      </c>
      <c r="D7243" t="s">
        <v>19006</v>
      </c>
      <c r="E7243" t="s">
        <v>25388</v>
      </c>
      <c r="F7243" t="s">
        <v>32606</v>
      </c>
      <c r="G7243" t="s">
        <v>32613</v>
      </c>
      <c r="H7243" t="s">
        <v>32623</v>
      </c>
      <c r="I7243" t="s">
        <v>17648</v>
      </c>
      <c r="J7243" t="s">
        <v>37354</v>
      </c>
      <c r="K7243" t="s">
        <v>42646</v>
      </c>
      <c r="M7243" t="s">
        <v>45497</v>
      </c>
      <c r="N7243" t="s">
        <v>47304</v>
      </c>
      <c r="O7243" t="s">
        <v>47305</v>
      </c>
      <c r="P7243">
        <v>0</v>
      </c>
      <c r="Q7243">
        <v>8</v>
      </c>
      <c r="R7243" t="s">
        <v>47311</v>
      </c>
      <c r="S7243" t="s">
        <v>47443</v>
      </c>
      <c r="T7243" t="s">
        <v>49008</v>
      </c>
      <c r="U7243" t="s">
        <v>55601</v>
      </c>
      <c r="V7243" t="s">
        <v>63342</v>
      </c>
      <c r="W7243" t="s">
        <v>45497</v>
      </c>
      <c r="X7243" t="s">
        <v>47312</v>
      </c>
    </row>
    <row r="7244" spans="1:24">
      <c r="A7244">
        <f>HYPERLINK("https://www.philgeps.gov.ph/GEPSNONPILOT/Tender/SplashBidNoticeAbstractUI.aspx?menuIndex=3&amp;refID=7192335&amp;Result=3","7192335")</f>
        <v>0</v>
      </c>
      <c r="B7244" t="s">
        <v>1770</v>
      </c>
      <c r="C7244" t="s">
        <v>10662</v>
      </c>
      <c r="D7244" t="s">
        <v>19054</v>
      </c>
      <c r="E7244" t="s">
        <v>25389</v>
      </c>
      <c r="F7244" t="s">
        <v>32606</v>
      </c>
      <c r="G7244" t="s">
        <v>32613</v>
      </c>
      <c r="H7244" t="s">
        <v>14201</v>
      </c>
      <c r="I7244" t="s">
        <v>32629</v>
      </c>
      <c r="J7244" t="s">
        <v>37355</v>
      </c>
      <c r="K7244" t="s">
        <v>42636</v>
      </c>
      <c r="M7244" t="s">
        <v>44808</v>
      </c>
      <c r="N7244" t="s">
        <v>47304</v>
      </c>
      <c r="O7244" t="s">
        <v>47305</v>
      </c>
      <c r="P7244">
        <v>0</v>
      </c>
      <c r="Q7244">
        <v>0</v>
      </c>
      <c r="R7244" t="s">
        <v>47311</v>
      </c>
      <c r="S7244" t="s">
        <v>47443</v>
      </c>
      <c r="T7244" t="s">
        <v>49272</v>
      </c>
      <c r="U7244" t="s">
        <v>55602</v>
      </c>
      <c r="W7244" t="s">
        <v>44808</v>
      </c>
      <c r="X7244" t="s">
        <v>47312</v>
      </c>
    </row>
    <row r="7245" spans="1:24">
      <c r="A7245">
        <f>HYPERLINK("https://www.philgeps.gov.ph/GEPSNONPILOT/Tender/SplashBidNoticeAbstractUI.aspx?menuIndex=3&amp;refID=7192217&amp;Result=3","7192217")</f>
        <v>0</v>
      </c>
      <c r="B7245" t="s">
        <v>477</v>
      </c>
      <c r="C7245" t="s">
        <v>10663</v>
      </c>
      <c r="D7245" t="s">
        <v>19019</v>
      </c>
      <c r="E7245" t="s">
        <v>25390</v>
      </c>
      <c r="F7245" t="s">
        <v>32606</v>
      </c>
      <c r="G7245" t="s">
        <v>32614</v>
      </c>
      <c r="H7245" t="s">
        <v>14201</v>
      </c>
      <c r="I7245" t="s">
        <v>4678</v>
      </c>
      <c r="J7245" t="s">
        <v>35292</v>
      </c>
      <c r="K7245" t="s">
        <v>42638</v>
      </c>
      <c r="M7245" t="s">
        <v>43388</v>
      </c>
      <c r="N7245" t="s">
        <v>47304</v>
      </c>
      <c r="O7245" t="s">
        <v>47305</v>
      </c>
      <c r="P7245">
        <v>0</v>
      </c>
      <c r="Q7245">
        <v>0</v>
      </c>
      <c r="R7245" t="s">
        <v>47311</v>
      </c>
      <c r="S7245" t="s">
        <v>47443</v>
      </c>
      <c r="T7245" t="s">
        <v>49071</v>
      </c>
      <c r="U7245" t="s">
        <v>55603</v>
      </c>
      <c r="W7245" t="s">
        <v>43388</v>
      </c>
      <c r="X7245" t="s">
        <v>47312</v>
      </c>
    </row>
    <row r="7246" spans="1:24">
      <c r="A7246">
        <f>HYPERLINK("https://www.philgeps.gov.ph/GEPSNONPILOT/Tender/SplashBidNoticeAbstractUI.aspx?menuIndex=3&amp;refID=7192316&amp;Result=3","7192316")</f>
        <v>0</v>
      </c>
      <c r="B7246" t="s">
        <v>928</v>
      </c>
      <c r="C7246" t="s">
        <v>10664</v>
      </c>
      <c r="D7246" t="s">
        <v>19027</v>
      </c>
      <c r="E7246" t="s">
        <v>25391</v>
      </c>
      <c r="F7246" t="s">
        <v>32606</v>
      </c>
      <c r="G7246" t="s">
        <v>32614</v>
      </c>
      <c r="H7246" t="s">
        <v>14201</v>
      </c>
      <c r="I7246" t="s">
        <v>6007</v>
      </c>
      <c r="J7246" t="s">
        <v>32885</v>
      </c>
      <c r="K7246" t="s">
        <v>42623</v>
      </c>
      <c r="M7246" t="s">
        <v>43868</v>
      </c>
      <c r="N7246" t="s">
        <v>47304</v>
      </c>
      <c r="O7246" t="s">
        <v>47305</v>
      </c>
      <c r="P7246">
        <v>0</v>
      </c>
      <c r="Q7246">
        <v>2</v>
      </c>
      <c r="R7246" t="s">
        <v>47311</v>
      </c>
      <c r="S7246" t="s">
        <v>47443</v>
      </c>
      <c r="T7246" t="s">
        <v>49268</v>
      </c>
      <c r="U7246" t="s">
        <v>55604</v>
      </c>
      <c r="W7246" t="s">
        <v>43868</v>
      </c>
      <c r="X7246" t="s">
        <v>47312</v>
      </c>
    </row>
    <row r="7247" spans="1:24">
      <c r="A7247">
        <f>HYPERLINK("https://www.philgeps.gov.ph/GEPSNONPILOT/Tender/SplashBidNoticeAbstractUI.aspx?menuIndex=3&amp;refID=7192216&amp;Result=3","7192216")</f>
        <v>0</v>
      </c>
      <c r="B7247" t="s">
        <v>2379</v>
      </c>
      <c r="C7247" t="s">
        <v>10665</v>
      </c>
      <c r="D7247" t="s">
        <v>18989</v>
      </c>
      <c r="E7247" t="s">
        <v>25392</v>
      </c>
      <c r="F7247" t="s">
        <v>32606</v>
      </c>
      <c r="G7247" t="s">
        <v>32614</v>
      </c>
      <c r="H7247" t="s">
        <v>14201</v>
      </c>
      <c r="I7247" t="s">
        <v>4120</v>
      </c>
      <c r="J7247" t="s">
        <v>37356</v>
      </c>
      <c r="K7247" t="s">
        <v>42631</v>
      </c>
      <c r="M7247" t="s">
        <v>45494</v>
      </c>
      <c r="N7247" t="s">
        <v>47304</v>
      </c>
      <c r="O7247" t="s">
        <v>47305</v>
      </c>
      <c r="P7247">
        <v>0</v>
      </c>
      <c r="Q7247">
        <v>0</v>
      </c>
      <c r="R7247" t="s">
        <v>47311</v>
      </c>
      <c r="S7247" t="s">
        <v>47443</v>
      </c>
      <c r="T7247" t="s">
        <v>49268</v>
      </c>
      <c r="U7247" t="s">
        <v>55589</v>
      </c>
      <c r="W7247" t="s">
        <v>45494</v>
      </c>
      <c r="X7247" t="s">
        <v>47312</v>
      </c>
    </row>
    <row r="7248" spans="1:24">
      <c r="A7248">
        <f>HYPERLINK("https://www.philgeps.gov.ph/GEPSNONPILOT/Tender/SplashBidNoticeAbstractUI.aspx?menuIndex=3&amp;refID=7192337&amp;Result=3","7192337")</f>
        <v>0</v>
      </c>
      <c r="B7248" t="s">
        <v>381</v>
      </c>
      <c r="C7248" t="s">
        <v>10666</v>
      </c>
      <c r="E7248" t="s">
        <v>25393</v>
      </c>
      <c r="F7248" t="s">
        <v>32606</v>
      </c>
      <c r="G7248" t="s">
        <v>32614</v>
      </c>
      <c r="H7248" t="s">
        <v>14201</v>
      </c>
      <c r="I7248" t="s">
        <v>4120</v>
      </c>
      <c r="J7248" t="s">
        <v>37357</v>
      </c>
      <c r="K7248" t="s">
        <v>42624</v>
      </c>
      <c r="M7248" t="s">
        <v>43283</v>
      </c>
      <c r="N7248" t="s">
        <v>47304</v>
      </c>
      <c r="O7248" t="s">
        <v>47305</v>
      </c>
      <c r="P7248">
        <v>0</v>
      </c>
      <c r="Q7248">
        <v>8</v>
      </c>
      <c r="R7248" t="s">
        <v>47311</v>
      </c>
      <c r="S7248" t="s">
        <v>47443</v>
      </c>
      <c r="T7248" t="s">
        <v>49019</v>
      </c>
      <c r="U7248" t="s">
        <v>50290</v>
      </c>
      <c r="W7248" t="s">
        <v>43283</v>
      </c>
      <c r="X7248" t="s">
        <v>47312</v>
      </c>
    </row>
    <row r="7249" spans="1:24">
      <c r="A7249">
        <f>HYPERLINK("https://www.philgeps.gov.ph/GEPSNONPILOT/Tender/SplashBidNoticeAbstractUI.aspx?menuIndex=3&amp;refID=7192332&amp;Result=3","7192332")</f>
        <v>0</v>
      </c>
      <c r="B7249" t="s">
        <v>1864</v>
      </c>
      <c r="C7249" t="s">
        <v>10667</v>
      </c>
      <c r="D7249" t="s">
        <v>19029</v>
      </c>
      <c r="E7249" t="s">
        <v>25394</v>
      </c>
      <c r="F7249" t="s">
        <v>32606</v>
      </c>
      <c r="G7249" t="s">
        <v>32614</v>
      </c>
      <c r="H7249" t="s">
        <v>32623</v>
      </c>
      <c r="I7249" t="s">
        <v>17648</v>
      </c>
      <c r="J7249" t="s">
        <v>37358</v>
      </c>
      <c r="K7249" t="s">
        <v>42668</v>
      </c>
      <c r="M7249" t="s">
        <v>44921</v>
      </c>
      <c r="N7249" t="s">
        <v>47304</v>
      </c>
      <c r="O7249" t="s">
        <v>47305</v>
      </c>
      <c r="P7249">
        <v>0</v>
      </c>
      <c r="Q7249">
        <v>0</v>
      </c>
      <c r="R7249" t="s">
        <v>47311</v>
      </c>
      <c r="S7249" t="s">
        <v>47443</v>
      </c>
      <c r="T7249" t="s">
        <v>49311</v>
      </c>
      <c r="U7249" t="s">
        <v>55605</v>
      </c>
      <c r="W7249" t="s">
        <v>44921</v>
      </c>
      <c r="X7249" t="s">
        <v>47312</v>
      </c>
    </row>
    <row r="7250" spans="1:24">
      <c r="A7250">
        <f>HYPERLINK("https://www.philgeps.gov.ph/GEPSNONPILOT/Tender/SplashBidNoticeAbstractUI.aspx?menuIndex=3&amp;refID=7192225&amp;Result=3","7192225")</f>
        <v>0</v>
      </c>
      <c r="B7250" t="s">
        <v>2382</v>
      </c>
      <c r="C7250" t="s">
        <v>10668</v>
      </c>
      <c r="D7250" t="s">
        <v>19020</v>
      </c>
      <c r="E7250" t="s">
        <v>24290</v>
      </c>
      <c r="F7250" t="s">
        <v>32606</v>
      </c>
      <c r="G7250" t="s">
        <v>32614</v>
      </c>
      <c r="H7250" t="s">
        <v>14201</v>
      </c>
      <c r="I7250" t="s">
        <v>4678</v>
      </c>
      <c r="J7250" t="s">
        <v>33385</v>
      </c>
      <c r="K7250" t="s">
        <v>42623</v>
      </c>
      <c r="M7250" t="s">
        <v>45498</v>
      </c>
      <c r="N7250" t="s">
        <v>47304</v>
      </c>
      <c r="O7250" t="s">
        <v>47305</v>
      </c>
      <c r="P7250">
        <v>0</v>
      </c>
      <c r="Q7250">
        <v>2</v>
      </c>
      <c r="R7250" t="s">
        <v>47311</v>
      </c>
      <c r="S7250" t="s">
        <v>47443</v>
      </c>
      <c r="T7250" t="s">
        <v>49268</v>
      </c>
      <c r="U7250" t="s">
        <v>55606</v>
      </c>
      <c r="W7250" t="s">
        <v>45498</v>
      </c>
      <c r="X7250" t="s">
        <v>47312</v>
      </c>
    </row>
    <row r="7251" spans="1:24">
      <c r="A7251">
        <f>HYPERLINK("https://www.philgeps.gov.ph/GEPSNONPILOT/Tender/SplashBidNoticeAbstractUI.aspx?menuIndex=3&amp;refID=7192321&amp;Result=3","7192321")</f>
        <v>0</v>
      </c>
      <c r="B7251" t="s">
        <v>2383</v>
      </c>
      <c r="C7251" t="s">
        <v>10669</v>
      </c>
      <c r="D7251" t="s">
        <v>19050</v>
      </c>
      <c r="E7251" t="s">
        <v>25395</v>
      </c>
      <c r="F7251" t="s">
        <v>32606</v>
      </c>
      <c r="G7251" t="s">
        <v>32613</v>
      </c>
      <c r="H7251" t="s">
        <v>14201</v>
      </c>
      <c r="I7251" t="s">
        <v>6931</v>
      </c>
      <c r="J7251" t="s">
        <v>37359</v>
      </c>
      <c r="K7251" t="s">
        <v>42631</v>
      </c>
      <c r="M7251" t="s">
        <v>45499</v>
      </c>
      <c r="N7251" t="s">
        <v>47304</v>
      </c>
      <c r="O7251" t="s">
        <v>47305</v>
      </c>
      <c r="P7251">
        <v>0</v>
      </c>
      <c r="Q7251">
        <v>0</v>
      </c>
      <c r="R7251" t="s">
        <v>47311</v>
      </c>
      <c r="S7251" t="s">
        <v>47443</v>
      </c>
      <c r="T7251" t="s">
        <v>49014</v>
      </c>
      <c r="U7251" t="s">
        <v>55607</v>
      </c>
      <c r="W7251" t="s">
        <v>45499</v>
      </c>
      <c r="X7251" t="s">
        <v>47312</v>
      </c>
    </row>
    <row r="7252" spans="1:24">
      <c r="A7252">
        <f>HYPERLINK("https://www.philgeps.gov.ph/GEPSNONPILOT/Tender/SplashBidNoticeAbstractUI.aspx?menuIndex=3&amp;refID=7192302&amp;Result=3","7192302")</f>
        <v>0</v>
      </c>
      <c r="B7252" t="s">
        <v>718</v>
      </c>
      <c r="C7252" t="s">
        <v>10670</v>
      </c>
      <c r="D7252" t="s">
        <v>19019</v>
      </c>
      <c r="E7252" t="s">
        <v>25396</v>
      </c>
      <c r="F7252" t="s">
        <v>32606</v>
      </c>
      <c r="G7252" t="s">
        <v>32614</v>
      </c>
      <c r="H7252" t="s">
        <v>14201</v>
      </c>
      <c r="I7252" t="s">
        <v>32652</v>
      </c>
      <c r="J7252" t="s">
        <v>37360</v>
      </c>
      <c r="K7252" t="s">
        <v>42623</v>
      </c>
      <c r="M7252" t="s">
        <v>45500</v>
      </c>
      <c r="N7252" t="s">
        <v>47304</v>
      </c>
      <c r="O7252" t="s">
        <v>47305</v>
      </c>
      <c r="Q7252">
        <v>0</v>
      </c>
      <c r="R7252" t="s">
        <v>47311</v>
      </c>
      <c r="S7252" t="s">
        <v>47485</v>
      </c>
      <c r="T7252" t="s">
        <v>48997</v>
      </c>
      <c r="U7252" t="s">
        <v>55608</v>
      </c>
      <c r="W7252" t="s">
        <v>45500</v>
      </c>
      <c r="X7252" t="s">
        <v>47312</v>
      </c>
    </row>
    <row r="7253" spans="1:24">
      <c r="A7253">
        <f>HYPERLINK("https://www.philgeps.gov.ph/GEPSNONPILOT/Tender/SplashBidNoticeAbstractUI.aspx?menuIndex=3&amp;refID=7192314&amp;Result=3","7192314")</f>
        <v>0</v>
      </c>
      <c r="B7253" t="s">
        <v>2304</v>
      </c>
      <c r="C7253" t="s">
        <v>10671</v>
      </c>
      <c r="D7253" t="s">
        <v>19016</v>
      </c>
      <c r="E7253" t="s">
        <v>25397</v>
      </c>
      <c r="F7253" t="s">
        <v>32606</v>
      </c>
      <c r="G7253" t="s">
        <v>32614</v>
      </c>
      <c r="H7253" t="s">
        <v>14201</v>
      </c>
      <c r="I7253" t="s">
        <v>7233</v>
      </c>
      <c r="J7253" t="s">
        <v>37361</v>
      </c>
      <c r="K7253" t="s">
        <v>42624</v>
      </c>
      <c r="M7253" t="s">
        <v>45410</v>
      </c>
      <c r="N7253" t="s">
        <v>47304</v>
      </c>
      <c r="O7253" t="s">
        <v>47305</v>
      </c>
      <c r="P7253">
        <v>0</v>
      </c>
      <c r="Q7253">
        <v>0</v>
      </c>
      <c r="R7253" t="s">
        <v>47311</v>
      </c>
      <c r="S7253" t="s">
        <v>47443</v>
      </c>
      <c r="T7253" t="s">
        <v>49269</v>
      </c>
      <c r="U7253" t="s">
        <v>55609</v>
      </c>
      <c r="W7253" t="s">
        <v>45410</v>
      </c>
      <c r="X7253" t="s">
        <v>47312</v>
      </c>
    </row>
    <row r="7254" spans="1:24">
      <c r="A7254">
        <f>HYPERLINK("https://www.philgeps.gov.ph/GEPSNONPILOT/Tender/SplashBidNoticeAbstractUI.aspx?menuIndex=3&amp;refID=7192295&amp;Result=3","7192295")</f>
        <v>0</v>
      </c>
      <c r="B7254" t="s">
        <v>2384</v>
      </c>
      <c r="C7254" t="s">
        <v>4855</v>
      </c>
      <c r="D7254" t="s">
        <v>19003</v>
      </c>
      <c r="E7254" t="s">
        <v>19279</v>
      </c>
      <c r="F7254" t="s">
        <v>32606</v>
      </c>
      <c r="G7254" t="s">
        <v>32615</v>
      </c>
      <c r="H7254" t="s">
        <v>14201</v>
      </c>
      <c r="I7254" t="s">
        <v>6931</v>
      </c>
      <c r="J7254" t="s">
        <v>37362</v>
      </c>
      <c r="K7254" t="s">
        <v>42631</v>
      </c>
      <c r="M7254" t="s">
        <v>45501</v>
      </c>
      <c r="N7254" t="s">
        <v>47304</v>
      </c>
      <c r="O7254" t="s">
        <v>47305</v>
      </c>
      <c r="P7254">
        <v>0</v>
      </c>
      <c r="Q7254">
        <v>1</v>
      </c>
      <c r="R7254" t="s">
        <v>47311</v>
      </c>
      <c r="S7254" t="s">
        <v>47443</v>
      </c>
      <c r="T7254" t="s">
        <v>49014</v>
      </c>
      <c r="U7254" t="s">
        <v>55610</v>
      </c>
      <c r="W7254" t="s">
        <v>45501</v>
      </c>
      <c r="X7254" t="s">
        <v>47312</v>
      </c>
    </row>
    <row r="7255" spans="1:24">
      <c r="A7255">
        <f>HYPERLINK("https://www.philgeps.gov.ph/GEPSNONPILOT/Tender/SplashBidNoticeAbstractUI.aspx?menuIndex=3&amp;refID=7192307&amp;Result=3","7192307")</f>
        <v>0</v>
      </c>
      <c r="B7255" t="s">
        <v>418</v>
      </c>
      <c r="C7255" t="s">
        <v>5907</v>
      </c>
      <c r="D7255" t="s">
        <v>19006</v>
      </c>
      <c r="E7255" t="s">
        <v>25398</v>
      </c>
      <c r="F7255" t="s">
        <v>32606</v>
      </c>
      <c r="G7255" t="s">
        <v>32614</v>
      </c>
      <c r="H7255" t="s">
        <v>14201</v>
      </c>
      <c r="I7255" t="s">
        <v>32631</v>
      </c>
      <c r="J7255" t="s">
        <v>37363</v>
      </c>
      <c r="K7255" t="s">
        <v>42629</v>
      </c>
      <c r="M7255" t="s">
        <v>43322</v>
      </c>
      <c r="N7255" t="s">
        <v>47304</v>
      </c>
      <c r="O7255" t="s">
        <v>47305</v>
      </c>
      <c r="P7255">
        <v>0</v>
      </c>
      <c r="Q7255">
        <v>0</v>
      </c>
      <c r="R7255" t="s">
        <v>47311</v>
      </c>
      <c r="S7255" t="s">
        <v>47443</v>
      </c>
      <c r="T7255" t="s">
        <v>49165</v>
      </c>
      <c r="U7255" t="s">
        <v>55611</v>
      </c>
      <c r="W7255" t="s">
        <v>43322</v>
      </c>
      <c r="X7255" t="s">
        <v>47312</v>
      </c>
    </row>
    <row r="7256" spans="1:24">
      <c r="A7256">
        <f>HYPERLINK("https://www.philgeps.gov.ph/GEPSNONPILOT/Tender/SplashBidNoticeAbstractUI.aspx?menuIndex=3&amp;refID=7192303&amp;Result=3","7192303")</f>
        <v>0</v>
      </c>
      <c r="B7256" t="s">
        <v>2374</v>
      </c>
      <c r="C7256" t="s">
        <v>10672</v>
      </c>
      <c r="D7256" t="s">
        <v>19004</v>
      </c>
      <c r="E7256" t="s">
        <v>25399</v>
      </c>
      <c r="F7256" t="s">
        <v>32606</v>
      </c>
      <c r="G7256" t="s">
        <v>32619</v>
      </c>
      <c r="H7256" t="s">
        <v>14201</v>
      </c>
      <c r="I7256" t="s">
        <v>17648</v>
      </c>
      <c r="J7256" t="s">
        <v>37364</v>
      </c>
      <c r="K7256" t="s">
        <v>42636</v>
      </c>
      <c r="M7256" t="s">
        <v>45489</v>
      </c>
      <c r="N7256" t="s">
        <v>47304</v>
      </c>
      <c r="O7256" t="s">
        <v>47305</v>
      </c>
      <c r="P7256">
        <v>0</v>
      </c>
      <c r="Q7256">
        <v>4</v>
      </c>
      <c r="R7256" t="s">
        <v>47311</v>
      </c>
      <c r="S7256" t="s">
        <v>47443</v>
      </c>
      <c r="T7256" t="s">
        <v>49327</v>
      </c>
      <c r="U7256" t="s">
        <v>55612</v>
      </c>
      <c r="W7256" t="s">
        <v>45489</v>
      </c>
      <c r="X7256" t="s">
        <v>47312</v>
      </c>
    </row>
    <row r="7257" spans="1:24">
      <c r="A7257">
        <f>HYPERLINK("https://www.philgeps.gov.ph/GEPSNONPILOT/Tender/SplashBidNoticeAbstractUI.aspx?menuIndex=3&amp;refID=7192389&amp;Result=3","7192389")</f>
        <v>0</v>
      </c>
      <c r="B7257" t="s">
        <v>642</v>
      </c>
      <c r="C7257" t="s">
        <v>10673</v>
      </c>
      <c r="D7257" t="s">
        <v>19053</v>
      </c>
      <c r="E7257" t="s">
        <v>25400</v>
      </c>
      <c r="F7257" t="s">
        <v>32606</v>
      </c>
      <c r="G7257" t="s">
        <v>32614</v>
      </c>
      <c r="H7257" t="s">
        <v>14201</v>
      </c>
      <c r="I7257" t="s">
        <v>4678</v>
      </c>
      <c r="J7257" t="s">
        <v>37365</v>
      </c>
      <c r="K7257" t="s">
        <v>42629</v>
      </c>
      <c r="M7257" t="s">
        <v>43560</v>
      </c>
      <c r="N7257" t="s">
        <v>47304</v>
      </c>
      <c r="O7257" t="s">
        <v>47305</v>
      </c>
      <c r="P7257">
        <v>0</v>
      </c>
      <c r="Q7257">
        <v>0</v>
      </c>
      <c r="R7257" t="s">
        <v>47311</v>
      </c>
      <c r="S7257" t="s">
        <v>47443</v>
      </c>
      <c r="T7257" t="s">
        <v>49165</v>
      </c>
      <c r="U7257" t="s">
        <v>55613</v>
      </c>
      <c r="V7257" t="s">
        <v>63343</v>
      </c>
      <c r="W7257" t="s">
        <v>43560</v>
      </c>
      <c r="X7257" t="s">
        <v>47312</v>
      </c>
    </row>
    <row r="7258" spans="1:24">
      <c r="A7258">
        <f>HYPERLINK("https://www.philgeps.gov.ph/GEPSNONPILOT/Tender/SplashBidNoticeAbstractUI.aspx?menuIndex=3&amp;refID=7192386&amp;Result=3","7192386")</f>
        <v>0</v>
      </c>
      <c r="B7258" t="s">
        <v>2382</v>
      </c>
      <c r="C7258" t="s">
        <v>10668</v>
      </c>
      <c r="D7258" t="s">
        <v>19020</v>
      </c>
      <c r="E7258" t="s">
        <v>25401</v>
      </c>
      <c r="F7258" t="s">
        <v>32606</v>
      </c>
      <c r="G7258" t="s">
        <v>32614</v>
      </c>
      <c r="H7258" t="s">
        <v>14201</v>
      </c>
      <c r="I7258" t="s">
        <v>4120</v>
      </c>
      <c r="J7258" t="s">
        <v>33291</v>
      </c>
      <c r="K7258" t="s">
        <v>42623</v>
      </c>
      <c r="M7258" t="s">
        <v>45498</v>
      </c>
      <c r="N7258" t="s">
        <v>47304</v>
      </c>
      <c r="O7258" t="s">
        <v>47305</v>
      </c>
      <c r="P7258">
        <v>0</v>
      </c>
      <c r="Q7258">
        <v>0</v>
      </c>
      <c r="R7258" t="s">
        <v>47311</v>
      </c>
      <c r="S7258" t="s">
        <v>47443</v>
      </c>
      <c r="T7258" t="s">
        <v>49268</v>
      </c>
      <c r="U7258" t="s">
        <v>55614</v>
      </c>
      <c r="W7258" t="s">
        <v>45498</v>
      </c>
      <c r="X7258" t="s">
        <v>47312</v>
      </c>
    </row>
    <row r="7259" spans="1:24">
      <c r="A7259">
        <f>HYPERLINK("https://www.philgeps.gov.ph/GEPSNONPILOT/Tender/SplashBidNoticeAbstractUI.aspx?menuIndex=3&amp;refID=7192312&amp;Result=3","7192312")</f>
        <v>0</v>
      </c>
      <c r="B7259" t="s">
        <v>1770</v>
      </c>
      <c r="C7259" t="s">
        <v>10674</v>
      </c>
      <c r="D7259" t="s">
        <v>19054</v>
      </c>
      <c r="E7259" t="s">
        <v>25402</v>
      </c>
      <c r="F7259" t="s">
        <v>32606</v>
      </c>
      <c r="G7259" t="s">
        <v>32613</v>
      </c>
      <c r="H7259" t="s">
        <v>14201</v>
      </c>
      <c r="I7259" t="s">
        <v>32629</v>
      </c>
      <c r="J7259" t="s">
        <v>37366</v>
      </c>
      <c r="K7259" t="s">
        <v>42636</v>
      </c>
      <c r="M7259" t="s">
        <v>44808</v>
      </c>
      <c r="N7259" t="s">
        <v>47304</v>
      </c>
      <c r="O7259" t="s">
        <v>47305</v>
      </c>
      <c r="P7259">
        <v>0</v>
      </c>
      <c r="Q7259">
        <v>0</v>
      </c>
      <c r="R7259" t="s">
        <v>47311</v>
      </c>
      <c r="S7259" t="s">
        <v>47443</v>
      </c>
      <c r="T7259" t="s">
        <v>49272</v>
      </c>
      <c r="U7259" t="s">
        <v>55615</v>
      </c>
      <c r="W7259" t="s">
        <v>44808</v>
      </c>
      <c r="X7259" t="s">
        <v>47312</v>
      </c>
    </row>
    <row r="7260" spans="1:24">
      <c r="A7260">
        <f>HYPERLINK("https://www.philgeps.gov.ph/GEPSNONPILOT/Tender/SplashBidNoticeAbstractUI.aspx?menuIndex=3&amp;refID=7192385&amp;Result=3","7192385")</f>
        <v>0</v>
      </c>
      <c r="B7260" t="s">
        <v>2304</v>
      </c>
      <c r="C7260" t="s">
        <v>10675</v>
      </c>
      <c r="D7260" t="s">
        <v>19016</v>
      </c>
      <c r="E7260" t="s">
        <v>25403</v>
      </c>
      <c r="F7260" t="s">
        <v>32606</v>
      </c>
      <c r="G7260" t="s">
        <v>32614</v>
      </c>
      <c r="H7260" t="s">
        <v>14201</v>
      </c>
      <c r="I7260" t="s">
        <v>32629</v>
      </c>
      <c r="J7260" t="s">
        <v>37367</v>
      </c>
      <c r="K7260" t="s">
        <v>42624</v>
      </c>
      <c r="M7260" t="s">
        <v>45410</v>
      </c>
      <c r="N7260" t="s">
        <v>47304</v>
      </c>
      <c r="O7260" t="s">
        <v>47305</v>
      </c>
      <c r="P7260">
        <v>0</v>
      </c>
      <c r="Q7260">
        <v>0</v>
      </c>
      <c r="R7260" t="s">
        <v>47311</v>
      </c>
      <c r="S7260" t="s">
        <v>47443</v>
      </c>
      <c r="T7260" t="s">
        <v>49269</v>
      </c>
      <c r="U7260" t="s">
        <v>55616</v>
      </c>
      <c r="V7260" t="s">
        <v>63344</v>
      </c>
      <c r="W7260" t="s">
        <v>45410</v>
      </c>
      <c r="X7260" t="s">
        <v>47312</v>
      </c>
    </row>
    <row r="7261" spans="1:24">
      <c r="A7261">
        <f>HYPERLINK("https://www.philgeps.gov.ph/GEPSNONPILOT/Tender/SplashBidNoticeAbstractUI.aspx?menuIndex=3&amp;refID=7192382&amp;Result=3","7192382")</f>
        <v>0</v>
      </c>
      <c r="B7261" t="s">
        <v>252</v>
      </c>
      <c r="C7261" t="s">
        <v>10676</v>
      </c>
      <c r="D7261" t="s">
        <v>19010</v>
      </c>
      <c r="E7261" t="s">
        <v>25404</v>
      </c>
      <c r="F7261" t="s">
        <v>32606</v>
      </c>
      <c r="G7261" t="s">
        <v>32613</v>
      </c>
      <c r="H7261" t="s">
        <v>32623</v>
      </c>
      <c r="I7261" t="s">
        <v>17648</v>
      </c>
      <c r="J7261" t="s">
        <v>37368</v>
      </c>
      <c r="K7261" t="s">
        <v>42645</v>
      </c>
      <c r="M7261" t="s">
        <v>43153</v>
      </c>
      <c r="N7261" t="s">
        <v>47304</v>
      </c>
      <c r="O7261" t="s">
        <v>47305</v>
      </c>
      <c r="P7261">
        <v>0</v>
      </c>
      <c r="Q7261">
        <v>0</v>
      </c>
      <c r="R7261" t="s">
        <v>47311</v>
      </c>
      <c r="S7261" t="s">
        <v>47443</v>
      </c>
      <c r="T7261" t="s">
        <v>49050</v>
      </c>
      <c r="U7261" t="s">
        <v>55617</v>
      </c>
      <c r="W7261" t="s">
        <v>43153</v>
      </c>
      <c r="X7261" t="s">
        <v>47312</v>
      </c>
    </row>
    <row r="7262" spans="1:24">
      <c r="A7262">
        <f>HYPERLINK("https://www.philgeps.gov.ph/GEPSNONPILOT/Tender/SplashBidNoticeAbstractUI.aspx?menuIndex=3&amp;refID=7192292&amp;Result=3","7192292")</f>
        <v>0</v>
      </c>
      <c r="B7262" t="s">
        <v>2225</v>
      </c>
      <c r="C7262" t="s">
        <v>10677</v>
      </c>
      <c r="D7262" t="s">
        <v>18999</v>
      </c>
      <c r="E7262" t="s">
        <v>25405</v>
      </c>
      <c r="F7262" t="s">
        <v>32606</v>
      </c>
      <c r="G7262" t="s">
        <v>32619</v>
      </c>
      <c r="H7262" t="s">
        <v>14201</v>
      </c>
      <c r="I7262" t="s">
        <v>32633</v>
      </c>
      <c r="J7262" t="s">
        <v>35407</v>
      </c>
      <c r="K7262" t="s">
        <v>42631</v>
      </c>
      <c r="M7262" t="s">
        <v>45502</v>
      </c>
      <c r="N7262" t="s">
        <v>47304</v>
      </c>
      <c r="O7262" t="s">
        <v>47305</v>
      </c>
      <c r="P7262">
        <v>0</v>
      </c>
      <c r="Q7262">
        <v>27</v>
      </c>
      <c r="R7262" t="s">
        <v>47311</v>
      </c>
      <c r="S7262" t="s">
        <v>47443</v>
      </c>
      <c r="T7262" t="s">
        <v>48998</v>
      </c>
      <c r="U7262" t="s">
        <v>55148</v>
      </c>
      <c r="V7262" t="s">
        <v>63345</v>
      </c>
      <c r="W7262" t="s">
        <v>64495</v>
      </c>
      <c r="X7262" t="s">
        <v>47312</v>
      </c>
    </row>
    <row r="7263" spans="1:24">
      <c r="A7263">
        <f>HYPERLINK("https://www.philgeps.gov.ph/GEPSNONPILOT/Tender/SplashBidNoticeAbstractUI.aspx?menuIndex=3&amp;refID=7192380&amp;Result=3","7192380")</f>
        <v>0</v>
      </c>
      <c r="B7263" t="s">
        <v>1453</v>
      </c>
      <c r="C7263" t="s">
        <v>10678</v>
      </c>
      <c r="D7263" t="s">
        <v>19011</v>
      </c>
      <c r="E7263" t="s">
        <v>25406</v>
      </c>
      <c r="F7263" t="s">
        <v>32606</v>
      </c>
      <c r="G7263" t="s">
        <v>32613</v>
      </c>
      <c r="H7263" t="s">
        <v>14201</v>
      </c>
      <c r="I7263" t="s">
        <v>4112</v>
      </c>
      <c r="J7263" t="s">
        <v>32781</v>
      </c>
      <c r="K7263" t="s">
        <v>42630</v>
      </c>
      <c r="M7263" t="s">
        <v>44444</v>
      </c>
      <c r="N7263" t="s">
        <v>47304</v>
      </c>
      <c r="O7263" t="s">
        <v>47305</v>
      </c>
      <c r="P7263">
        <v>0</v>
      </c>
      <c r="Q7263">
        <v>0</v>
      </c>
      <c r="R7263" t="s">
        <v>47311</v>
      </c>
      <c r="S7263" t="s">
        <v>47443</v>
      </c>
      <c r="T7263" t="s">
        <v>48987</v>
      </c>
      <c r="U7263" t="s">
        <v>55618</v>
      </c>
      <c r="W7263" t="s">
        <v>44444</v>
      </c>
      <c r="X7263" t="s">
        <v>47312</v>
      </c>
    </row>
    <row r="7264" spans="1:24">
      <c r="A7264">
        <f>HYPERLINK("https://www.philgeps.gov.ph/GEPSNONPILOT/Tender/SplashBidNoticeAbstractUI.aspx?menuIndex=3&amp;refID=7192374&amp;Result=3","7192374")</f>
        <v>0</v>
      </c>
      <c r="B7264" t="s">
        <v>1864</v>
      </c>
      <c r="C7264" t="s">
        <v>10679</v>
      </c>
      <c r="D7264" t="s">
        <v>19029</v>
      </c>
      <c r="E7264" t="s">
        <v>25407</v>
      </c>
      <c r="F7264" t="s">
        <v>32606</v>
      </c>
      <c r="G7264" t="s">
        <v>32614</v>
      </c>
      <c r="H7264" t="s">
        <v>32623</v>
      </c>
      <c r="I7264" t="s">
        <v>17648</v>
      </c>
      <c r="J7264" t="s">
        <v>37369</v>
      </c>
      <c r="K7264" t="s">
        <v>42666</v>
      </c>
      <c r="M7264" t="s">
        <v>44921</v>
      </c>
      <c r="N7264" t="s">
        <v>47304</v>
      </c>
      <c r="O7264" t="s">
        <v>47305</v>
      </c>
      <c r="P7264">
        <v>0</v>
      </c>
      <c r="Q7264">
        <v>0</v>
      </c>
      <c r="R7264" t="s">
        <v>47311</v>
      </c>
      <c r="S7264" t="s">
        <v>47443</v>
      </c>
      <c r="T7264" t="s">
        <v>49311</v>
      </c>
      <c r="U7264" t="s">
        <v>55605</v>
      </c>
      <c r="W7264" t="s">
        <v>44921</v>
      </c>
      <c r="X7264" t="s">
        <v>47312</v>
      </c>
    </row>
    <row r="7265" spans="1:24">
      <c r="A7265">
        <f>HYPERLINK("https://www.philgeps.gov.ph/GEPSNONPILOT/Tender/SplashBidNoticeAbstractUI.aspx?menuIndex=3&amp;refID=7192391&amp;Result=3","7192391")</f>
        <v>0</v>
      </c>
      <c r="B7265" t="s">
        <v>1644</v>
      </c>
      <c r="C7265" t="s">
        <v>10680</v>
      </c>
      <c r="D7265" t="s">
        <v>19022</v>
      </c>
      <c r="E7265" t="s">
        <v>25408</v>
      </c>
      <c r="F7265" t="s">
        <v>32606</v>
      </c>
      <c r="G7265" t="s">
        <v>32614</v>
      </c>
      <c r="H7265" t="s">
        <v>14201</v>
      </c>
      <c r="I7265" t="s">
        <v>32692</v>
      </c>
      <c r="J7265" t="s">
        <v>37370</v>
      </c>
      <c r="K7265" t="s">
        <v>42630</v>
      </c>
      <c r="M7265" t="s">
        <v>44665</v>
      </c>
      <c r="N7265" t="s">
        <v>47304</v>
      </c>
      <c r="O7265" t="s">
        <v>47305</v>
      </c>
      <c r="P7265">
        <v>0</v>
      </c>
      <c r="Q7265">
        <v>0</v>
      </c>
      <c r="R7265" t="s">
        <v>47311</v>
      </c>
      <c r="S7265" t="s">
        <v>47443</v>
      </c>
      <c r="T7265" t="s">
        <v>49071</v>
      </c>
      <c r="U7265" t="s">
        <v>55577</v>
      </c>
      <c r="W7265" t="s">
        <v>64478</v>
      </c>
      <c r="X7265" t="s">
        <v>47312</v>
      </c>
    </row>
    <row r="7266" spans="1:24">
      <c r="A7266">
        <f>HYPERLINK("https://www.philgeps.gov.ph/GEPSNONPILOT/Tender/SplashBidNoticeAbstractUI.aspx?menuIndex=3&amp;refID=7192301&amp;Result=3","7192301")</f>
        <v>0</v>
      </c>
      <c r="B7266" t="s">
        <v>2213</v>
      </c>
      <c r="C7266" t="s">
        <v>10681</v>
      </c>
      <c r="D7266" t="s">
        <v>19065</v>
      </c>
      <c r="E7266" t="s">
        <v>25409</v>
      </c>
      <c r="F7266" t="s">
        <v>32606</v>
      </c>
      <c r="G7266" t="s">
        <v>32613</v>
      </c>
      <c r="H7266" t="s">
        <v>32623</v>
      </c>
      <c r="I7266" t="s">
        <v>17648</v>
      </c>
      <c r="J7266" t="s">
        <v>37371</v>
      </c>
      <c r="K7266" t="s">
        <v>42706</v>
      </c>
      <c r="M7266" t="s">
        <v>45317</v>
      </c>
      <c r="N7266" t="s">
        <v>47304</v>
      </c>
      <c r="O7266" t="s">
        <v>47305</v>
      </c>
      <c r="P7266">
        <v>0</v>
      </c>
      <c r="Q7266">
        <v>0</v>
      </c>
      <c r="R7266" t="s">
        <v>47311</v>
      </c>
      <c r="S7266" t="s">
        <v>47443</v>
      </c>
      <c r="T7266" t="s">
        <v>49008</v>
      </c>
      <c r="U7266" t="s">
        <v>55619</v>
      </c>
      <c r="V7266" t="s">
        <v>63346</v>
      </c>
      <c r="W7266" t="s">
        <v>45317</v>
      </c>
      <c r="X7266" t="s">
        <v>47312</v>
      </c>
    </row>
    <row r="7267" spans="1:24">
      <c r="A7267">
        <f>HYPERLINK("https://www.philgeps.gov.ph/GEPSNONPILOT/Tender/SplashBidNoticeAbstractUI.aspx?menuIndex=3&amp;refID=7192365&amp;Result=3","7192365")</f>
        <v>0</v>
      </c>
      <c r="B7267" t="s">
        <v>2304</v>
      </c>
      <c r="C7267" t="s">
        <v>10682</v>
      </c>
      <c r="D7267" t="s">
        <v>19016</v>
      </c>
      <c r="E7267" t="s">
        <v>25410</v>
      </c>
      <c r="F7267" t="s">
        <v>32606</v>
      </c>
      <c r="G7267" t="s">
        <v>32614</v>
      </c>
      <c r="H7267" t="s">
        <v>14201</v>
      </c>
      <c r="I7267" t="s">
        <v>7233</v>
      </c>
      <c r="J7267" t="s">
        <v>37361</v>
      </c>
      <c r="K7267" t="s">
        <v>42624</v>
      </c>
      <c r="M7267" t="s">
        <v>45410</v>
      </c>
      <c r="N7267" t="s">
        <v>47304</v>
      </c>
      <c r="O7267" t="s">
        <v>47305</v>
      </c>
      <c r="P7267">
        <v>0</v>
      </c>
      <c r="Q7267">
        <v>0</v>
      </c>
      <c r="R7267" t="s">
        <v>47311</v>
      </c>
      <c r="S7267" t="s">
        <v>47443</v>
      </c>
      <c r="T7267" t="s">
        <v>49269</v>
      </c>
      <c r="U7267" t="s">
        <v>55609</v>
      </c>
      <c r="W7267" t="s">
        <v>45410</v>
      </c>
      <c r="X7267" t="s">
        <v>47312</v>
      </c>
    </row>
    <row r="7268" spans="1:24">
      <c r="A7268">
        <f>HYPERLINK("https://www.philgeps.gov.ph/GEPSNONPILOT/Tender/SplashBidNoticeAbstractUI.aspx?menuIndex=3&amp;refID=7192383&amp;Result=3","7192383")</f>
        <v>0</v>
      </c>
      <c r="B7268" t="s">
        <v>1193</v>
      </c>
      <c r="C7268" t="s">
        <v>10683</v>
      </c>
      <c r="D7268" t="s">
        <v>19007</v>
      </c>
      <c r="E7268" t="s">
        <v>25411</v>
      </c>
      <c r="F7268" t="s">
        <v>32606</v>
      </c>
      <c r="G7268" t="s">
        <v>32613</v>
      </c>
      <c r="H7268" t="s">
        <v>14201</v>
      </c>
      <c r="I7268" t="s">
        <v>32631</v>
      </c>
      <c r="J7268" t="s">
        <v>32778</v>
      </c>
      <c r="K7268" t="s">
        <v>42624</v>
      </c>
      <c r="M7268" t="s">
        <v>44560</v>
      </c>
      <c r="N7268" t="s">
        <v>47304</v>
      </c>
      <c r="O7268" t="s">
        <v>47305</v>
      </c>
      <c r="P7268">
        <v>0</v>
      </c>
      <c r="Q7268">
        <v>1</v>
      </c>
      <c r="R7268" t="s">
        <v>47311</v>
      </c>
      <c r="S7268" t="s">
        <v>47443</v>
      </c>
      <c r="T7268" t="s">
        <v>49242</v>
      </c>
      <c r="U7268" t="s">
        <v>55620</v>
      </c>
      <c r="W7268" t="s">
        <v>44560</v>
      </c>
      <c r="X7268" t="s">
        <v>47312</v>
      </c>
    </row>
    <row r="7269" spans="1:24">
      <c r="A7269">
        <f>HYPERLINK("https://www.philgeps.gov.ph/GEPSNONPILOT/Tender/SplashBidNoticeAbstractUI.aspx?menuIndex=3&amp;refID=7192363&amp;Result=3","7192363")</f>
        <v>0</v>
      </c>
      <c r="B7269" t="s">
        <v>307</v>
      </c>
      <c r="C7269" t="s">
        <v>10684</v>
      </c>
      <c r="D7269" t="s">
        <v>19016</v>
      </c>
      <c r="E7269" t="s">
        <v>25412</v>
      </c>
      <c r="F7269" t="s">
        <v>32606</v>
      </c>
      <c r="G7269" t="s">
        <v>32619</v>
      </c>
      <c r="H7269" t="s">
        <v>14201</v>
      </c>
      <c r="I7269" t="s">
        <v>32633</v>
      </c>
      <c r="J7269" t="s">
        <v>37372</v>
      </c>
      <c r="K7269" t="s">
        <v>42623</v>
      </c>
      <c r="M7269" t="s">
        <v>43209</v>
      </c>
      <c r="N7269" t="s">
        <v>47304</v>
      </c>
      <c r="O7269" t="s">
        <v>47305</v>
      </c>
      <c r="P7269">
        <v>0</v>
      </c>
      <c r="Q7269">
        <v>16</v>
      </c>
      <c r="R7269" t="s">
        <v>47311</v>
      </c>
      <c r="S7269" t="s">
        <v>47443</v>
      </c>
      <c r="T7269" t="s">
        <v>49330</v>
      </c>
      <c r="U7269" t="s">
        <v>55621</v>
      </c>
      <c r="W7269" t="s">
        <v>43209</v>
      </c>
      <c r="X7269" t="s">
        <v>47312</v>
      </c>
    </row>
    <row r="7270" spans="1:24">
      <c r="A7270">
        <f>HYPERLINK("https://www.philgeps.gov.ph/GEPSNONPILOT/Tender/SplashBidNoticeAbstractUI.aspx?menuIndex=3&amp;refID=7192439&amp;Result=3","7192439")</f>
        <v>0</v>
      </c>
      <c r="B7270" t="s">
        <v>1688</v>
      </c>
      <c r="C7270" t="s">
        <v>10685</v>
      </c>
      <c r="D7270" t="s">
        <v>19015</v>
      </c>
      <c r="E7270" t="s">
        <v>25413</v>
      </c>
      <c r="F7270" t="s">
        <v>32606</v>
      </c>
      <c r="G7270" t="s">
        <v>32614</v>
      </c>
      <c r="H7270" t="s">
        <v>14201</v>
      </c>
      <c r="I7270" t="s">
        <v>7064</v>
      </c>
      <c r="J7270" t="s">
        <v>32781</v>
      </c>
      <c r="K7270" t="s">
        <v>42631</v>
      </c>
      <c r="M7270" t="s">
        <v>44717</v>
      </c>
      <c r="N7270" t="s">
        <v>47304</v>
      </c>
      <c r="O7270" t="s">
        <v>47305</v>
      </c>
      <c r="P7270">
        <v>0</v>
      </c>
      <c r="Q7270">
        <v>0</v>
      </c>
      <c r="R7270" t="s">
        <v>47311</v>
      </c>
      <c r="S7270" t="s">
        <v>47443</v>
      </c>
      <c r="T7270" t="s">
        <v>49053</v>
      </c>
      <c r="U7270" t="s">
        <v>55622</v>
      </c>
      <c r="V7270" t="s">
        <v>63347</v>
      </c>
      <c r="W7270" t="s">
        <v>44717</v>
      </c>
      <c r="X7270" t="s">
        <v>47312</v>
      </c>
    </row>
    <row r="7271" spans="1:24">
      <c r="A7271">
        <f>HYPERLINK("https://www.philgeps.gov.ph/GEPSNONPILOT/Tender/SplashBidNoticeAbstractUI.aspx?menuIndex=3&amp;refID=7192436&amp;Result=3","7192436")</f>
        <v>0</v>
      </c>
      <c r="B7271" t="s">
        <v>1864</v>
      </c>
      <c r="C7271" t="s">
        <v>10686</v>
      </c>
      <c r="D7271" t="s">
        <v>19029</v>
      </c>
      <c r="E7271" t="s">
        <v>25414</v>
      </c>
      <c r="F7271" t="s">
        <v>32606</v>
      </c>
      <c r="G7271" t="s">
        <v>32614</v>
      </c>
      <c r="H7271" t="s">
        <v>32623</v>
      </c>
      <c r="I7271" t="s">
        <v>17648</v>
      </c>
      <c r="J7271" t="s">
        <v>37373</v>
      </c>
      <c r="K7271" t="s">
        <v>42627</v>
      </c>
      <c r="M7271" t="s">
        <v>44921</v>
      </c>
      <c r="N7271" t="s">
        <v>47304</v>
      </c>
      <c r="O7271" t="s">
        <v>47305</v>
      </c>
      <c r="P7271">
        <v>0</v>
      </c>
      <c r="Q7271">
        <v>0</v>
      </c>
      <c r="R7271" t="s">
        <v>47311</v>
      </c>
      <c r="S7271" t="s">
        <v>47443</v>
      </c>
      <c r="T7271" t="s">
        <v>49311</v>
      </c>
      <c r="U7271" t="s">
        <v>55605</v>
      </c>
      <c r="W7271" t="s">
        <v>44921</v>
      </c>
      <c r="X7271" t="s">
        <v>47312</v>
      </c>
    </row>
    <row r="7272" spans="1:24">
      <c r="A7272">
        <f>HYPERLINK("https://www.philgeps.gov.ph/GEPSNONPILOT/Tender/SplashBidNoticeAbstractUI.aspx?menuIndex=3&amp;refID=7192433&amp;Result=3","7192433")</f>
        <v>0</v>
      </c>
      <c r="B7272" t="s">
        <v>723</v>
      </c>
      <c r="C7272" t="s">
        <v>10687</v>
      </c>
      <c r="D7272" t="s">
        <v>18994</v>
      </c>
      <c r="E7272" t="s">
        <v>25415</v>
      </c>
      <c r="F7272" t="s">
        <v>32606</v>
      </c>
      <c r="G7272" t="s">
        <v>32614</v>
      </c>
      <c r="H7272" t="s">
        <v>14201</v>
      </c>
      <c r="I7272" t="s">
        <v>7064</v>
      </c>
      <c r="J7272" t="s">
        <v>32999</v>
      </c>
      <c r="K7272" t="s">
        <v>42630</v>
      </c>
      <c r="M7272" t="s">
        <v>43644</v>
      </c>
      <c r="N7272" t="s">
        <v>47304</v>
      </c>
      <c r="O7272" t="s">
        <v>47305</v>
      </c>
      <c r="P7272">
        <v>0</v>
      </c>
      <c r="Q7272">
        <v>1</v>
      </c>
      <c r="R7272" t="s">
        <v>47311</v>
      </c>
      <c r="S7272" t="s">
        <v>47443</v>
      </c>
      <c r="T7272" t="s">
        <v>49331</v>
      </c>
      <c r="U7272" t="s">
        <v>50845</v>
      </c>
      <c r="W7272" t="s">
        <v>43644</v>
      </c>
      <c r="X7272" t="s">
        <v>47312</v>
      </c>
    </row>
    <row r="7273" spans="1:24">
      <c r="A7273">
        <f>HYPERLINK("https://www.philgeps.gov.ph/GEPSNONPILOT/Tender/SplashBidNoticeAbstractUI.aspx?menuIndex=3&amp;refID=7192373&amp;Result=3","7192373")</f>
        <v>0</v>
      </c>
      <c r="B7273" t="s">
        <v>2299</v>
      </c>
      <c r="C7273" t="s">
        <v>4540</v>
      </c>
      <c r="D7273" t="s">
        <v>19011</v>
      </c>
      <c r="E7273" t="s">
        <v>25416</v>
      </c>
      <c r="F7273" t="s">
        <v>32606</v>
      </c>
      <c r="G7273" t="s">
        <v>32615</v>
      </c>
      <c r="H7273" t="s">
        <v>14201</v>
      </c>
      <c r="I7273" t="s">
        <v>32633</v>
      </c>
      <c r="J7273" t="s">
        <v>37374</v>
      </c>
      <c r="K7273" t="s">
        <v>42623</v>
      </c>
      <c r="M7273" t="s">
        <v>45405</v>
      </c>
      <c r="N7273" t="s">
        <v>47304</v>
      </c>
      <c r="O7273" t="s">
        <v>47305</v>
      </c>
      <c r="P7273">
        <v>0</v>
      </c>
      <c r="Q7273">
        <v>5</v>
      </c>
      <c r="R7273" t="s">
        <v>47311</v>
      </c>
      <c r="S7273" t="s">
        <v>47443</v>
      </c>
      <c r="T7273" t="s">
        <v>49053</v>
      </c>
      <c r="U7273" t="s">
        <v>55623</v>
      </c>
      <c r="W7273" t="s">
        <v>45405</v>
      </c>
      <c r="X7273" t="s">
        <v>47312</v>
      </c>
    </row>
    <row r="7274" spans="1:24">
      <c r="A7274">
        <f>HYPERLINK("https://www.philgeps.gov.ph/GEPSNONPILOT/Tender/SplashBidNoticeAbstractUI.aspx?menuIndex=3&amp;refID=7192430&amp;Result=3","7192430")</f>
        <v>0</v>
      </c>
      <c r="B7274" t="s">
        <v>1644</v>
      </c>
      <c r="C7274" t="s">
        <v>10688</v>
      </c>
      <c r="D7274" t="s">
        <v>19022</v>
      </c>
      <c r="E7274" t="s">
        <v>25417</v>
      </c>
      <c r="F7274" t="s">
        <v>32606</v>
      </c>
      <c r="G7274" t="s">
        <v>32617</v>
      </c>
      <c r="H7274" t="s">
        <v>14201</v>
      </c>
      <c r="I7274" t="s">
        <v>4120</v>
      </c>
      <c r="J7274" t="s">
        <v>37375</v>
      </c>
      <c r="K7274" t="s">
        <v>42630</v>
      </c>
      <c r="M7274" t="s">
        <v>44665</v>
      </c>
      <c r="N7274" t="s">
        <v>47304</v>
      </c>
      <c r="O7274" t="s">
        <v>47305</v>
      </c>
      <c r="P7274">
        <v>0</v>
      </c>
      <c r="Q7274">
        <v>3</v>
      </c>
      <c r="R7274" t="s">
        <v>47311</v>
      </c>
      <c r="S7274" t="s">
        <v>47443</v>
      </c>
      <c r="T7274" t="s">
        <v>49268</v>
      </c>
      <c r="U7274" t="s">
        <v>55624</v>
      </c>
      <c r="W7274" t="s">
        <v>64478</v>
      </c>
      <c r="X7274" t="s">
        <v>47312</v>
      </c>
    </row>
    <row r="7275" spans="1:24">
      <c r="A7275">
        <f>HYPERLINK("https://www.philgeps.gov.ph/GEPSNONPILOT/Tender/SplashBidNoticeAbstractUI.aspx?menuIndex=3&amp;refID=7192368&amp;Result=3","7192368")</f>
        <v>0</v>
      </c>
      <c r="B7275" t="s">
        <v>168</v>
      </c>
      <c r="C7275" t="s">
        <v>10689</v>
      </c>
      <c r="D7275" t="s">
        <v>19038</v>
      </c>
      <c r="E7275" t="s">
        <v>25418</v>
      </c>
      <c r="F7275" t="s">
        <v>32606</v>
      </c>
      <c r="G7275" t="s">
        <v>32613</v>
      </c>
      <c r="H7275" t="s">
        <v>14201</v>
      </c>
      <c r="I7275" t="s">
        <v>32638</v>
      </c>
      <c r="J7275" t="s">
        <v>37376</v>
      </c>
      <c r="K7275" t="s">
        <v>42624</v>
      </c>
      <c r="M7275" t="s">
        <v>43069</v>
      </c>
      <c r="N7275" t="s">
        <v>47304</v>
      </c>
      <c r="O7275" t="s">
        <v>47305</v>
      </c>
      <c r="P7275">
        <v>0</v>
      </c>
      <c r="Q7275">
        <v>3</v>
      </c>
      <c r="R7275" t="s">
        <v>47311</v>
      </c>
      <c r="S7275" t="s">
        <v>47443</v>
      </c>
      <c r="T7275" t="s">
        <v>49037</v>
      </c>
      <c r="U7275" t="s">
        <v>55625</v>
      </c>
      <c r="W7275" t="s">
        <v>43069</v>
      </c>
      <c r="X7275" t="s">
        <v>47312</v>
      </c>
    </row>
    <row r="7276" spans="1:24">
      <c r="A7276">
        <f>HYPERLINK("https://www.philgeps.gov.ph/GEPSNONPILOT/Tender/SplashBidNoticeAbstractUI.aspx?menuIndex=3&amp;refID=7192294&amp;Result=3","7192294")</f>
        <v>0</v>
      </c>
      <c r="B7276" t="s">
        <v>421</v>
      </c>
      <c r="C7276" t="s">
        <v>10690</v>
      </c>
      <c r="D7276" t="s">
        <v>18988</v>
      </c>
      <c r="E7276" t="s">
        <v>25419</v>
      </c>
      <c r="F7276" t="s">
        <v>32606</v>
      </c>
      <c r="G7276" t="s">
        <v>32614</v>
      </c>
      <c r="H7276" t="s">
        <v>14201</v>
      </c>
      <c r="I7276" t="s">
        <v>7677</v>
      </c>
      <c r="J7276" t="s">
        <v>33148</v>
      </c>
      <c r="K7276" t="s">
        <v>42622</v>
      </c>
      <c r="M7276" t="s">
        <v>43325</v>
      </c>
      <c r="N7276" t="s">
        <v>47304</v>
      </c>
      <c r="O7276" t="s">
        <v>47305</v>
      </c>
      <c r="P7276">
        <v>0</v>
      </c>
      <c r="Q7276">
        <v>2</v>
      </c>
      <c r="R7276" t="s">
        <v>47311</v>
      </c>
      <c r="S7276" t="s">
        <v>47443</v>
      </c>
      <c r="T7276" t="s">
        <v>49071</v>
      </c>
      <c r="U7276" t="s">
        <v>55626</v>
      </c>
      <c r="W7276" t="s">
        <v>47268</v>
      </c>
      <c r="X7276" t="s">
        <v>47312</v>
      </c>
    </row>
    <row r="7277" spans="1:24">
      <c r="A7277">
        <f>HYPERLINK("https://www.philgeps.gov.ph/GEPSNONPILOT/Tender/SplashBidNoticeAbstractUI.aspx?menuIndex=3&amp;refID=7192421&amp;Result=3","7192421")</f>
        <v>0</v>
      </c>
      <c r="B7277" t="s">
        <v>652</v>
      </c>
      <c r="C7277" t="s">
        <v>10691</v>
      </c>
      <c r="D7277" t="s">
        <v>18993</v>
      </c>
      <c r="E7277" t="s">
        <v>25420</v>
      </c>
      <c r="F7277" t="s">
        <v>32606</v>
      </c>
      <c r="G7277" t="s">
        <v>32614</v>
      </c>
      <c r="H7277" t="s">
        <v>14201</v>
      </c>
      <c r="I7277" t="s">
        <v>32633</v>
      </c>
      <c r="J7277" t="s">
        <v>37377</v>
      </c>
      <c r="K7277" t="s">
        <v>42622</v>
      </c>
      <c r="M7277" t="s">
        <v>44900</v>
      </c>
      <c r="N7277" t="s">
        <v>47304</v>
      </c>
      <c r="O7277" t="s">
        <v>47305</v>
      </c>
      <c r="P7277">
        <v>0</v>
      </c>
      <c r="Q7277">
        <v>9</v>
      </c>
      <c r="R7277" t="s">
        <v>47311</v>
      </c>
      <c r="S7277" t="s">
        <v>47443</v>
      </c>
      <c r="T7277" t="s">
        <v>49061</v>
      </c>
      <c r="U7277" t="s">
        <v>55627</v>
      </c>
      <c r="V7277" t="s">
        <v>63348</v>
      </c>
      <c r="W7277" t="s">
        <v>44900</v>
      </c>
      <c r="X7277" t="s">
        <v>47312</v>
      </c>
    </row>
    <row r="7278" spans="1:24">
      <c r="A7278">
        <f>HYPERLINK("https://www.philgeps.gov.ph/GEPSNONPILOT/Tender/SplashBidNoticeAbstractUI.aspx?menuIndex=3&amp;refID=7192420&amp;Result=3","7192420")</f>
        <v>0</v>
      </c>
      <c r="B7278" t="s">
        <v>1187</v>
      </c>
      <c r="C7278" t="s">
        <v>10692</v>
      </c>
      <c r="D7278" t="s">
        <v>19011</v>
      </c>
      <c r="E7278" t="s">
        <v>25421</v>
      </c>
      <c r="F7278" t="s">
        <v>32606</v>
      </c>
      <c r="G7278" t="s">
        <v>32613</v>
      </c>
      <c r="H7278" t="s">
        <v>32623</v>
      </c>
      <c r="I7278" t="s">
        <v>17648</v>
      </c>
      <c r="J7278" t="s">
        <v>37378</v>
      </c>
      <c r="K7278" t="s">
        <v>42790</v>
      </c>
      <c r="M7278" t="s">
        <v>44151</v>
      </c>
      <c r="N7278" t="s">
        <v>47304</v>
      </c>
      <c r="O7278" t="s">
        <v>47305</v>
      </c>
      <c r="P7278">
        <v>0</v>
      </c>
      <c r="Q7278">
        <v>0</v>
      </c>
      <c r="R7278" t="s">
        <v>47311</v>
      </c>
      <c r="S7278" t="s">
        <v>47443</v>
      </c>
      <c r="T7278" t="s">
        <v>49111</v>
      </c>
      <c r="U7278" t="s">
        <v>55628</v>
      </c>
      <c r="W7278" t="s">
        <v>44151</v>
      </c>
      <c r="X7278" t="s">
        <v>47312</v>
      </c>
    </row>
    <row r="7279" spans="1:24">
      <c r="A7279">
        <f>HYPERLINK("https://www.philgeps.gov.ph/GEPSNONPILOT/Tender/SplashBidNoticeAbstractUI.aspx?menuIndex=3&amp;refID=7192376&amp;Result=3","7192376")</f>
        <v>0</v>
      </c>
      <c r="B7279" t="s">
        <v>306</v>
      </c>
      <c r="C7279" t="s">
        <v>10693</v>
      </c>
      <c r="D7279" t="s">
        <v>19005</v>
      </c>
      <c r="E7279" t="s">
        <v>25422</v>
      </c>
      <c r="F7279" t="s">
        <v>32606</v>
      </c>
      <c r="G7279" t="s">
        <v>32619</v>
      </c>
      <c r="H7279" t="s">
        <v>14201</v>
      </c>
      <c r="I7279" t="s">
        <v>6298</v>
      </c>
      <c r="J7279" t="s">
        <v>33062</v>
      </c>
      <c r="K7279" t="s">
        <v>42623</v>
      </c>
      <c r="M7279" t="s">
        <v>43208</v>
      </c>
      <c r="N7279" t="s">
        <v>47304</v>
      </c>
      <c r="O7279" t="s">
        <v>47305</v>
      </c>
      <c r="P7279">
        <v>0</v>
      </c>
      <c r="Q7279">
        <v>1</v>
      </c>
      <c r="R7279" t="s">
        <v>47311</v>
      </c>
      <c r="S7279" t="s">
        <v>47443</v>
      </c>
      <c r="T7279" t="s">
        <v>49068</v>
      </c>
      <c r="U7279" t="s">
        <v>55629</v>
      </c>
      <c r="W7279" t="s">
        <v>43208</v>
      </c>
      <c r="X7279" t="s">
        <v>47312</v>
      </c>
    </row>
    <row r="7280" spans="1:24">
      <c r="A7280">
        <f>HYPERLINK("https://www.philgeps.gov.ph/GEPSNONPILOT/Tender/SplashBidNoticeAbstractUI.aspx?menuIndex=3&amp;refID=7192418&amp;Result=3","7192418")</f>
        <v>0</v>
      </c>
      <c r="B7280" t="s">
        <v>1864</v>
      </c>
      <c r="C7280" t="s">
        <v>10694</v>
      </c>
      <c r="D7280" t="s">
        <v>19029</v>
      </c>
      <c r="E7280" t="s">
        <v>25423</v>
      </c>
      <c r="F7280" t="s">
        <v>32606</v>
      </c>
      <c r="G7280" t="s">
        <v>32614</v>
      </c>
      <c r="H7280" t="s">
        <v>32623</v>
      </c>
      <c r="I7280" t="s">
        <v>17648</v>
      </c>
      <c r="J7280" t="s">
        <v>37379</v>
      </c>
      <c r="K7280" t="s">
        <v>42791</v>
      </c>
      <c r="M7280" t="s">
        <v>44921</v>
      </c>
      <c r="N7280" t="s">
        <v>47304</v>
      </c>
      <c r="O7280" t="s">
        <v>47305</v>
      </c>
      <c r="P7280">
        <v>0</v>
      </c>
      <c r="Q7280">
        <v>0</v>
      </c>
      <c r="R7280" t="s">
        <v>47311</v>
      </c>
      <c r="S7280" t="s">
        <v>47443</v>
      </c>
      <c r="T7280" t="s">
        <v>49311</v>
      </c>
      <c r="U7280" t="s">
        <v>55605</v>
      </c>
      <c r="W7280" t="s">
        <v>44921</v>
      </c>
      <c r="X7280" t="s">
        <v>47312</v>
      </c>
    </row>
    <row r="7281" spans="1:24">
      <c r="A7281">
        <f>HYPERLINK("https://www.philgeps.gov.ph/GEPSNONPILOT/Tender/SplashBidNoticeAbstractUI.aspx?menuIndex=3&amp;refID=7192417&amp;Result=3","7192417")</f>
        <v>0</v>
      </c>
      <c r="B7281" t="s">
        <v>2385</v>
      </c>
      <c r="C7281" t="s">
        <v>10695</v>
      </c>
      <c r="D7281" t="s">
        <v>19005</v>
      </c>
      <c r="E7281" t="s">
        <v>25424</v>
      </c>
      <c r="F7281" t="s">
        <v>32606</v>
      </c>
      <c r="G7281" t="s">
        <v>32613</v>
      </c>
      <c r="H7281" t="s">
        <v>14201</v>
      </c>
      <c r="I7281" t="s">
        <v>32631</v>
      </c>
      <c r="J7281" t="s">
        <v>37380</v>
      </c>
      <c r="K7281" t="s">
        <v>42623</v>
      </c>
      <c r="M7281" t="s">
        <v>45503</v>
      </c>
      <c r="N7281" t="s">
        <v>47304</v>
      </c>
      <c r="O7281" t="s">
        <v>47305</v>
      </c>
      <c r="P7281">
        <v>0</v>
      </c>
      <c r="Q7281">
        <v>1</v>
      </c>
      <c r="R7281" t="s">
        <v>47311</v>
      </c>
      <c r="S7281" t="s">
        <v>47443</v>
      </c>
      <c r="T7281" t="s">
        <v>48980</v>
      </c>
      <c r="U7281" t="s">
        <v>55630</v>
      </c>
      <c r="V7281" t="s">
        <v>63349</v>
      </c>
      <c r="W7281" t="s">
        <v>45503</v>
      </c>
      <c r="X7281" t="s">
        <v>47312</v>
      </c>
    </row>
    <row r="7282" spans="1:24">
      <c r="A7282">
        <f>HYPERLINK("https://www.philgeps.gov.ph/GEPSNONPILOT/Tender/SplashBidNoticeAbstractUI.aspx?menuIndex=3&amp;refID=7192414&amp;Result=3","7192414")</f>
        <v>0</v>
      </c>
      <c r="B7282" t="s">
        <v>1193</v>
      </c>
      <c r="C7282" t="s">
        <v>10696</v>
      </c>
      <c r="D7282" t="s">
        <v>19007</v>
      </c>
      <c r="E7282" t="s">
        <v>25425</v>
      </c>
      <c r="F7282" t="s">
        <v>32606</v>
      </c>
      <c r="G7282" t="s">
        <v>32613</v>
      </c>
      <c r="H7282" t="s">
        <v>14201</v>
      </c>
      <c r="I7282" t="s">
        <v>6007</v>
      </c>
      <c r="J7282" t="s">
        <v>37381</v>
      </c>
      <c r="K7282" t="s">
        <v>42624</v>
      </c>
      <c r="M7282" t="s">
        <v>44560</v>
      </c>
      <c r="N7282" t="s">
        <v>47304</v>
      </c>
      <c r="O7282" t="s">
        <v>47305</v>
      </c>
      <c r="P7282">
        <v>0</v>
      </c>
      <c r="Q7282">
        <v>2</v>
      </c>
      <c r="R7282" t="s">
        <v>47311</v>
      </c>
      <c r="S7282" t="s">
        <v>47443</v>
      </c>
      <c r="T7282" t="s">
        <v>49242</v>
      </c>
      <c r="U7282" t="s">
        <v>55631</v>
      </c>
      <c r="W7282" t="s">
        <v>44560</v>
      </c>
      <c r="X7282" t="s">
        <v>47312</v>
      </c>
    </row>
    <row r="7283" spans="1:24">
      <c r="A7283">
        <f>HYPERLINK("https://www.philgeps.gov.ph/GEPSNONPILOT/Tender/SplashBidNoticeAbstractUI.aspx?menuIndex=3&amp;refID=7192429&amp;Result=3","7192429")</f>
        <v>0</v>
      </c>
      <c r="B7283" t="s">
        <v>2304</v>
      </c>
      <c r="C7283" t="s">
        <v>4129</v>
      </c>
      <c r="D7283" t="s">
        <v>19016</v>
      </c>
      <c r="E7283" t="s">
        <v>25426</v>
      </c>
      <c r="F7283" t="s">
        <v>32606</v>
      </c>
      <c r="G7283" t="s">
        <v>32617</v>
      </c>
      <c r="H7283" t="s">
        <v>14201</v>
      </c>
      <c r="I7283" t="s">
        <v>4120</v>
      </c>
      <c r="J7283" t="s">
        <v>37382</v>
      </c>
      <c r="K7283" t="s">
        <v>42624</v>
      </c>
      <c r="M7283" t="s">
        <v>45410</v>
      </c>
      <c r="N7283" t="s">
        <v>47304</v>
      </c>
      <c r="O7283" t="s">
        <v>47305</v>
      </c>
      <c r="P7283">
        <v>0</v>
      </c>
      <c r="Q7283">
        <v>0</v>
      </c>
      <c r="R7283" t="s">
        <v>47311</v>
      </c>
      <c r="S7283" t="s">
        <v>47443</v>
      </c>
      <c r="T7283" t="s">
        <v>49269</v>
      </c>
      <c r="U7283" t="s">
        <v>55632</v>
      </c>
      <c r="W7283" t="s">
        <v>45410</v>
      </c>
      <c r="X7283" t="s">
        <v>47312</v>
      </c>
    </row>
    <row r="7284" spans="1:24">
      <c r="A7284">
        <f>HYPERLINK("https://www.philgeps.gov.ph/GEPSNONPILOT/Tender/SplashBidNoticeAbstractUI.aspx?menuIndex=3&amp;refID=7192310&amp;Result=3","7192310")</f>
        <v>0</v>
      </c>
      <c r="B7284" t="s">
        <v>1644</v>
      </c>
      <c r="C7284" t="s">
        <v>10697</v>
      </c>
      <c r="D7284" t="s">
        <v>19022</v>
      </c>
      <c r="E7284" t="s">
        <v>25427</v>
      </c>
      <c r="F7284" t="s">
        <v>32606</v>
      </c>
      <c r="G7284" t="s">
        <v>32614</v>
      </c>
      <c r="H7284" t="s">
        <v>14201</v>
      </c>
      <c r="I7284" t="s">
        <v>5233</v>
      </c>
      <c r="J7284" t="s">
        <v>33115</v>
      </c>
      <c r="K7284" t="s">
        <v>42630</v>
      </c>
      <c r="M7284" t="s">
        <v>44665</v>
      </c>
      <c r="N7284" t="s">
        <v>47304</v>
      </c>
      <c r="O7284" t="s">
        <v>47305</v>
      </c>
      <c r="P7284">
        <v>0</v>
      </c>
      <c r="Q7284">
        <v>0</v>
      </c>
      <c r="R7284" t="s">
        <v>47311</v>
      </c>
      <c r="S7284" t="s">
        <v>47443</v>
      </c>
      <c r="T7284" t="s">
        <v>49071</v>
      </c>
      <c r="U7284" t="s">
        <v>55577</v>
      </c>
      <c r="W7284" t="s">
        <v>64478</v>
      </c>
      <c r="X7284" t="s">
        <v>47312</v>
      </c>
    </row>
    <row r="7285" spans="1:24">
      <c r="A7285">
        <f>HYPERLINK("https://www.philgeps.gov.ph/GEPSNONPILOT/Tender/SplashBidNoticeAbstractUI.aspx?menuIndex=3&amp;refID=7192404&amp;Result=3","7192404")</f>
        <v>0</v>
      </c>
      <c r="B7285" t="s">
        <v>2304</v>
      </c>
      <c r="C7285" t="s">
        <v>10675</v>
      </c>
      <c r="D7285" t="s">
        <v>19016</v>
      </c>
      <c r="E7285" t="s">
        <v>25428</v>
      </c>
      <c r="F7285" t="s">
        <v>32606</v>
      </c>
      <c r="G7285" t="s">
        <v>32614</v>
      </c>
      <c r="H7285" t="s">
        <v>14201</v>
      </c>
      <c r="I7285" t="s">
        <v>32629</v>
      </c>
      <c r="J7285" t="s">
        <v>37383</v>
      </c>
      <c r="K7285" t="s">
        <v>42624</v>
      </c>
      <c r="M7285" t="s">
        <v>45410</v>
      </c>
      <c r="N7285" t="s">
        <v>47304</v>
      </c>
      <c r="O7285" t="s">
        <v>47305</v>
      </c>
      <c r="P7285">
        <v>0</v>
      </c>
      <c r="Q7285">
        <v>0</v>
      </c>
      <c r="R7285" t="s">
        <v>47311</v>
      </c>
      <c r="S7285" t="s">
        <v>47443</v>
      </c>
      <c r="T7285" t="s">
        <v>49269</v>
      </c>
      <c r="U7285" t="s">
        <v>55633</v>
      </c>
      <c r="W7285" t="s">
        <v>45410</v>
      </c>
      <c r="X7285" t="s">
        <v>47312</v>
      </c>
    </row>
    <row r="7286" spans="1:24">
      <c r="A7286">
        <f>HYPERLINK("https://www.philgeps.gov.ph/GEPSNONPILOT/Tender/SplashBidNoticeAbstractUI.aspx?menuIndex=3&amp;refID=7192425&amp;Result=3","7192425")</f>
        <v>0</v>
      </c>
      <c r="B7286" t="s">
        <v>972</v>
      </c>
      <c r="C7286" t="s">
        <v>10698</v>
      </c>
      <c r="E7286" t="s">
        <v>25429</v>
      </c>
      <c r="F7286" t="s">
        <v>32606</v>
      </c>
      <c r="G7286" t="s">
        <v>32614</v>
      </c>
      <c r="H7286" t="s">
        <v>14201</v>
      </c>
      <c r="I7286" t="s">
        <v>4114</v>
      </c>
      <c r="J7286" t="s">
        <v>37384</v>
      </c>
      <c r="K7286" t="s">
        <v>42624</v>
      </c>
      <c r="M7286" t="s">
        <v>43918</v>
      </c>
      <c r="N7286" t="s">
        <v>47304</v>
      </c>
      <c r="O7286" t="s">
        <v>47305</v>
      </c>
      <c r="P7286">
        <v>0</v>
      </c>
      <c r="Q7286">
        <v>6</v>
      </c>
      <c r="R7286" t="s">
        <v>47311</v>
      </c>
      <c r="S7286" t="s">
        <v>47443</v>
      </c>
      <c r="T7286" t="s">
        <v>49071</v>
      </c>
      <c r="U7286" t="s">
        <v>55634</v>
      </c>
      <c r="W7286" t="s">
        <v>43918</v>
      </c>
      <c r="X7286" t="s">
        <v>47312</v>
      </c>
    </row>
    <row r="7287" spans="1:24">
      <c r="A7287">
        <f>HYPERLINK("https://www.philgeps.gov.ph/GEPSNONPILOT/Tender/SplashBidNoticeAbstractUI.aspx?menuIndex=3&amp;refID=7192395&amp;Result=3","7192395")</f>
        <v>0</v>
      </c>
      <c r="B7287" t="s">
        <v>1864</v>
      </c>
      <c r="C7287" t="s">
        <v>10699</v>
      </c>
      <c r="D7287" t="s">
        <v>19029</v>
      </c>
      <c r="E7287" t="s">
        <v>25430</v>
      </c>
      <c r="F7287" t="s">
        <v>32606</v>
      </c>
      <c r="G7287" t="s">
        <v>32614</v>
      </c>
      <c r="H7287" t="s">
        <v>32623</v>
      </c>
      <c r="I7287" t="s">
        <v>17648</v>
      </c>
      <c r="J7287" t="s">
        <v>37385</v>
      </c>
      <c r="K7287" t="s">
        <v>42698</v>
      </c>
      <c r="M7287" t="s">
        <v>44921</v>
      </c>
      <c r="N7287" t="s">
        <v>47304</v>
      </c>
      <c r="O7287" t="s">
        <v>47305</v>
      </c>
      <c r="P7287">
        <v>0</v>
      </c>
      <c r="Q7287">
        <v>0</v>
      </c>
      <c r="R7287" t="s">
        <v>47311</v>
      </c>
      <c r="S7287" t="s">
        <v>47443</v>
      </c>
      <c r="T7287" t="s">
        <v>49311</v>
      </c>
      <c r="U7287" t="s">
        <v>55605</v>
      </c>
      <c r="W7287" t="s">
        <v>44921</v>
      </c>
      <c r="X7287" t="s">
        <v>47312</v>
      </c>
    </row>
    <row r="7288" spans="1:24">
      <c r="A7288">
        <f>HYPERLINK("https://www.philgeps.gov.ph/GEPSNONPILOT/Tender/SplashBidNoticeAbstractUI.aspx?menuIndex=3&amp;refID=7192419&amp;Result=3","7192419")</f>
        <v>0</v>
      </c>
      <c r="B7288" t="s">
        <v>2386</v>
      </c>
      <c r="C7288" t="s">
        <v>10700</v>
      </c>
      <c r="E7288" t="s">
        <v>25431</v>
      </c>
      <c r="F7288" t="s">
        <v>32606</v>
      </c>
      <c r="G7288" t="s">
        <v>32613</v>
      </c>
      <c r="H7288" t="s">
        <v>14201</v>
      </c>
      <c r="I7288" t="s">
        <v>6298</v>
      </c>
      <c r="J7288" t="s">
        <v>37386</v>
      </c>
      <c r="K7288" t="s">
        <v>42624</v>
      </c>
      <c r="M7288" t="s">
        <v>45504</v>
      </c>
      <c r="N7288" t="s">
        <v>47304</v>
      </c>
      <c r="O7288" t="s">
        <v>47305</v>
      </c>
      <c r="P7288">
        <v>0</v>
      </c>
      <c r="Q7288">
        <v>4</v>
      </c>
      <c r="R7288" t="s">
        <v>47311</v>
      </c>
      <c r="S7288" t="s">
        <v>47443</v>
      </c>
      <c r="T7288" t="s">
        <v>49369</v>
      </c>
      <c r="U7288" t="s">
        <v>55635</v>
      </c>
      <c r="W7288" t="s">
        <v>45504</v>
      </c>
      <c r="X7288" t="s">
        <v>47312</v>
      </c>
    </row>
    <row r="7289" spans="1:24">
      <c r="A7289">
        <f>HYPERLINK("https://www.philgeps.gov.ph/GEPSNONPILOT/Tender/SplashBidNoticeAbstractUI.aspx?menuIndex=3&amp;refID=7192362&amp;Result=3","7192362")</f>
        <v>0</v>
      </c>
      <c r="B7289" t="s">
        <v>536</v>
      </c>
      <c r="C7289" t="s">
        <v>10701</v>
      </c>
      <c r="D7289" t="s">
        <v>19037</v>
      </c>
      <c r="E7289" t="s">
        <v>24977</v>
      </c>
      <c r="F7289" t="s">
        <v>32606</v>
      </c>
      <c r="G7289" t="s">
        <v>32613</v>
      </c>
      <c r="H7289" t="s">
        <v>14201</v>
      </c>
      <c r="I7289" t="s">
        <v>4114</v>
      </c>
      <c r="J7289" t="s">
        <v>37387</v>
      </c>
      <c r="K7289" t="s">
        <v>42623</v>
      </c>
      <c r="M7289" t="s">
        <v>43449</v>
      </c>
      <c r="N7289" t="s">
        <v>47304</v>
      </c>
      <c r="O7289" t="s">
        <v>47305</v>
      </c>
      <c r="P7289">
        <v>0</v>
      </c>
      <c r="Q7289">
        <v>7</v>
      </c>
      <c r="R7289" t="s">
        <v>47311</v>
      </c>
      <c r="S7289" t="s">
        <v>47443</v>
      </c>
      <c r="T7289" t="s">
        <v>49370</v>
      </c>
      <c r="U7289" t="s">
        <v>55636</v>
      </c>
      <c r="W7289" t="s">
        <v>64502</v>
      </c>
      <c r="X7289" t="s">
        <v>47312</v>
      </c>
    </row>
    <row r="7290" spans="1:24">
      <c r="A7290">
        <f>HYPERLINK("https://www.philgeps.gov.ph/GEPSNONPILOT/Tender/SplashBidNoticeAbstractUI.aspx?menuIndex=3&amp;refID=7192413&amp;Result=3","7192413")</f>
        <v>0</v>
      </c>
      <c r="B7290" t="s">
        <v>2150</v>
      </c>
      <c r="C7290" t="s">
        <v>10702</v>
      </c>
      <c r="D7290" t="s">
        <v>19010</v>
      </c>
      <c r="E7290" t="s">
        <v>24676</v>
      </c>
      <c r="F7290" t="s">
        <v>32606</v>
      </c>
      <c r="G7290" t="s">
        <v>32614</v>
      </c>
      <c r="H7290" t="s">
        <v>14201</v>
      </c>
      <c r="I7290" t="s">
        <v>32684</v>
      </c>
      <c r="J7290" t="s">
        <v>37388</v>
      </c>
      <c r="K7290" t="s">
        <v>42623</v>
      </c>
      <c r="M7290" t="s">
        <v>45241</v>
      </c>
      <c r="N7290" t="s">
        <v>47304</v>
      </c>
      <c r="O7290" t="s">
        <v>47305</v>
      </c>
      <c r="P7290">
        <v>0</v>
      </c>
      <c r="Q7290">
        <v>1</v>
      </c>
      <c r="R7290" t="s">
        <v>47311</v>
      </c>
      <c r="S7290" t="s">
        <v>47443</v>
      </c>
      <c r="T7290" t="s">
        <v>49268</v>
      </c>
      <c r="U7290" t="s">
        <v>55637</v>
      </c>
      <c r="W7290" t="s">
        <v>45241</v>
      </c>
      <c r="X7290" t="s">
        <v>47312</v>
      </c>
    </row>
    <row r="7291" spans="1:24">
      <c r="A7291">
        <f>HYPERLINK("https://www.philgeps.gov.ph/GEPSNONPILOT/Tender/SplashBidNoticeAbstractUI.aspx?menuIndex=3&amp;refID=7192361&amp;Result=3","7192361")</f>
        <v>0</v>
      </c>
      <c r="B7291" t="s">
        <v>1770</v>
      </c>
      <c r="C7291" t="s">
        <v>10703</v>
      </c>
      <c r="D7291" t="s">
        <v>19054</v>
      </c>
      <c r="E7291" t="s">
        <v>25432</v>
      </c>
      <c r="F7291" t="s">
        <v>32606</v>
      </c>
      <c r="G7291" t="s">
        <v>32613</v>
      </c>
      <c r="H7291" t="s">
        <v>14201</v>
      </c>
      <c r="I7291" t="s">
        <v>32629</v>
      </c>
      <c r="J7291" t="s">
        <v>37389</v>
      </c>
      <c r="K7291" t="s">
        <v>42749</v>
      </c>
      <c r="M7291" t="s">
        <v>44808</v>
      </c>
      <c r="N7291" t="s">
        <v>47304</v>
      </c>
      <c r="O7291" t="s">
        <v>47305</v>
      </c>
      <c r="P7291">
        <v>0</v>
      </c>
      <c r="Q7291">
        <v>0</v>
      </c>
      <c r="R7291" t="s">
        <v>47311</v>
      </c>
      <c r="S7291" t="s">
        <v>47443</v>
      </c>
      <c r="T7291" t="s">
        <v>49272</v>
      </c>
      <c r="U7291" t="s">
        <v>55638</v>
      </c>
      <c r="W7291" t="s">
        <v>44808</v>
      </c>
      <c r="X7291" t="s">
        <v>47312</v>
      </c>
    </row>
    <row r="7292" spans="1:24">
      <c r="A7292">
        <f>HYPERLINK("https://www.philgeps.gov.ph/GEPSNONPILOT/Tender/SplashBidNoticeAbstractUI.aspx?menuIndex=3&amp;refID=7192397&amp;Result=3","7192397")</f>
        <v>0</v>
      </c>
      <c r="B7292" t="s">
        <v>1193</v>
      </c>
      <c r="C7292" t="s">
        <v>10704</v>
      </c>
      <c r="D7292" t="s">
        <v>19007</v>
      </c>
      <c r="E7292" t="s">
        <v>25433</v>
      </c>
      <c r="F7292" t="s">
        <v>32606</v>
      </c>
      <c r="G7292" t="s">
        <v>32613</v>
      </c>
      <c r="H7292" t="s">
        <v>14201</v>
      </c>
      <c r="I7292" t="s">
        <v>32635</v>
      </c>
      <c r="J7292" t="s">
        <v>37390</v>
      </c>
      <c r="K7292" t="s">
        <v>42624</v>
      </c>
      <c r="M7292" t="s">
        <v>44560</v>
      </c>
      <c r="N7292" t="s">
        <v>47304</v>
      </c>
      <c r="O7292" t="s">
        <v>47305</v>
      </c>
      <c r="P7292">
        <v>0</v>
      </c>
      <c r="Q7292">
        <v>3</v>
      </c>
      <c r="R7292" t="s">
        <v>47311</v>
      </c>
      <c r="S7292" t="s">
        <v>47443</v>
      </c>
      <c r="T7292" t="s">
        <v>49242</v>
      </c>
      <c r="U7292" t="s">
        <v>55639</v>
      </c>
      <c r="W7292" t="s">
        <v>44560</v>
      </c>
      <c r="X7292" t="s">
        <v>47312</v>
      </c>
    </row>
    <row r="7293" spans="1:24">
      <c r="A7293">
        <f>HYPERLINK("https://www.philgeps.gov.ph/GEPSNONPILOT/Tender/SplashBidNoticeAbstractUI.aspx?menuIndex=3&amp;refID=7192396&amp;Result=3","7192396")</f>
        <v>0</v>
      </c>
      <c r="B7293" t="s">
        <v>1037</v>
      </c>
      <c r="C7293" t="s">
        <v>10705</v>
      </c>
      <c r="D7293" t="s">
        <v>18993</v>
      </c>
      <c r="E7293" t="s">
        <v>25434</v>
      </c>
      <c r="F7293" t="s">
        <v>32606</v>
      </c>
      <c r="G7293" t="s">
        <v>32613</v>
      </c>
      <c r="H7293" t="s">
        <v>14201</v>
      </c>
      <c r="I7293" t="s">
        <v>32640</v>
      </c>
      <c r="J7293" t="s">
        <v>36026</v>
      </c>
      <c r="K7293" t="s">
        <v>42624</v>
      </c>
      <c r="M7293" t="s">
        <v>45482</v>
      </c>
      <c r="N7293" t="s">
        <v>47304</v>
      </c>
      <c r="O7293" t="s">
        <v>47305</v>
      </c>
      <c r="P7293">
        <v>0</v>
      </c>
      <c r="Q7293">
        <v>17</v>
      </c>
      <c r="R7293" t="s">
        <v>47311</v>
      </c>
      <c r="S7293" t="s">
        <v>47443</v>
      </c>
      <c r="T7293" t="s">
        <v>49157</v>
      </c>
      <c r="U7293" t="s">
        <v>55640</v>
      </c>
      <c r="W7293" t="s">
        <v>45482</v>
      </c>
      <c r="X7293" t="s">
        <v>47312</v>
      </c>
    </row>
    <row r="7294" spans="1:24">
      <c r="A7294">
        <f>HYPERLINK("https://www.philgeps.gov.ph/GEPSNONPILOT/Tender/SplashBidNoticeAbstractUI.aspx?menuIndex=3&amp;refID=7192353&amp;Result=3","7192353")</f>
        <v>0</v>
      </c>
      <c r="B7294" t="s">
        <v>1864</v>
      </c>
      <c r="C7294" t="s">
        <v>10706</v>
      </c>
      <c r="D7294" t="s">
        <v>19029</v>
      </c>
      <c r="E7294" t="s">
        <v>25435</v>
      </c>
      <c r="F7294" t="s">
        <v>32606</v>
      </c>
      <c r="G7294" t="s">
        <v>32614</v>
      </c>
      <c r="H7294" t="s">
        <v>32623</v>
      </c>
      <c r="I7294" t="s">
        <v>17648</v>
      </c>
      <c r="J7294" t="s">
        <v>37391</v>
      </c>
      <c r="K7294" t="s">
        <v>42792</v>
      </c>
      <c r="M7294" t="s">
        <v>44921</v>
      </c>
      <c r="N7294" t="s">
        <v>47304</v>
      </c>
      <c r="O7294" t="s">
        <v>47305</v>
      </c>
      <c r="P7294">
        <v>0</v>
      </c>
      <c r="Q7294">
        <v>0</v>
      </c>
      <c r="R7294" t="s">
        <v>47311</v>
      </c>
      <c r="S7294" t="s">
        <v>47443</v>
      </c>
      <c r="T7294" t="s">
        <v>49311</v>
      </c>
      <c r="U7294" t="s">
        <v>55605</v>
      </c>
      <c r="W7294" t="s">
        <v>44921</v>
      </c>
      <c r="X7294" t="s">
        <v>47312</v>
      </c>
    </row>
    <row r="7295" spans="1:24">
      <c r="A7295">
        <f>HYPERLINK("https://www.philgeps.gov.ph/GEPSNONPILOT/Tender/SplashBidNoticeAbstractUI.aspx?menuIndex=3&amp;refID=7192346&amp;Result=3","7192346")</f>
        <v>0</v>
      </c>
      <c r="B7295" t="s">
        <v>1644</v>
      </c>
      <c r="C7295" t="s">
        <v>10707</v>
      </c>
      <c r="D7295" t="s">
        <v>19022</v>
      </c>
      <c r="E7295" t="s">
        <v>25436</v>
      </c>
      <c r="F7295" t="s">
        <v>32606</v>
      </c>
      <c r="G7295" t="s">
        <v>32614</v>
      </c>
      <c r="H7295" t="s">
        <v>14201</v>
      </c>
      <c r="I7295" t="s">
        <v>32725</v>
      </c>
      <c r="J7295" t="s">
        <v>37392</v>
      </c>
      <c r="K7295" t="s">
        <v>42630</v>
      </c>
      <c r="M7295" t="s">
        <v>44665</v>
      </c>
      <c r="N7295" t="s">
        <v>47304</v>
      </c>
      <c r="O7295" t="s">
        <v>47305</v>
      </c>
      <c r="P7295">
        <v>0</v>
      </c>
      <c r="Q7295">
        <v>2</v>
      </c>
      <c r="R7295" t="s">
        <v>47311</v>
      </c>
      <c r="S7295" t="s">
        <v>47443</v>
      </c>
      <c r="T7295" t="s">
        <v>49071</v>
      </c>
      <c r="U7295" t="s">
        <v>55577</v>
      </c>
      <c r="W7295" t="s">
        <v>64478</v>
      </c>
      <c r="X7295" t="s">
        <v>47312</v>
      </c>
    </row>
    <row r="7296" spans="1:24">
      <c r="A7296">
        <f>HYPERLINK("https://www.philgeps.gov.ph/GEPSNONPILOT/Tender/SplashBidNoticeAbstractUI.aspx?menuIndex=3&amp;refID=7192341&amp;Result=3","7192341")</f>
        <v>0</v>
      </c>
      <c r="B7296" t="s">
        <v>1458</v>
      </c>
      <c r="C7296" t="s">
        <v>10708</v>
      </c>
      <c r="D7296" t="s">
        <v>18995</v>
      </c>
      <c r="E7296" t="s">
        <v>25437</v>
      </c>
      <c r="F7296" t="s">
        <v>32606</v>
      </c>
      <c r="G7296" t="s">
        <v>32614</v>
      </c>
      <c r="H7296" t="s">
        <v>14201</v>
      </c>
      <c r="I7296" t="s">
        <v>32633</v>
      </c>
      <c r="J7296" t="s">
        <v>33597</v>
      </c>
      <c r="K7296" t="s">
        <v>42622</v>
      </c>
      <c r="M7296" t="s">
        <v>44451</v>
      </c>
      <c r="N7296" t="s">
        <v>47304</v>
      </c>
      <c r="O7296" t="s">
        <v>47305</v>
      </c>
      <c r="P7296">
        <v>0</v>
      </c>
      <c r="Q7296">
        <v>6</v>
      </c>
      <c r="R7296" t="s">
        <v>47311</v>
      </c>
      <c r="S7296" t="s">
        <v>47443</v>
      </c>
      <c r="T7296" t="s">
        <v>48997</v>
      </c>
      <c r="U7296" t="s">
        <v>55641</v>
      </c>
      <c r="W7296" t="s">
        <v>44451</v>
      </c>
      <c r="X7296" t="s">
        <v>47312</v>
      </c>
    </row>
    <row r="7297" spans="1:24">
      <c r="A7297">
        <f>HYPERLINK("https://www.philgeps.gov.ph/GEPSNONPILOT/Tender/SplashBidNoticeAbstractUI.aspx?menuIndex=3&amp;refID=7192289&amp;Result=3","7192289")</f>
        <v>0</v>
      </c>
      <c r="B7297" t="s">
        <v>1688</v>
      </c>
      <c r="C7297" t="s">
        <v>10709</v>
      </c>
      <c r="D7297" t="s">
        <v>19015</v>
      </c>
      <c r="E7297" t="s">
        <v>25438</v>
      </c>
      <c r="F7297" t="s">
        <v>32606</v>
      </c>
      <c r="G7297" t="s">
        <v>32614</v>
      </c>
      <c r="H7297" t="s">
        <v>14201</v>
      </c>
      <c r="I7297" t="s">
        <v>32631</v>
      </c>
      <c r="J7297" t="s">
        <v>37393</v>
      </c>
      <c r="K7297" t="s">
        <v>42623</v>
      </c>
      <c r="M7297" t="s">
        <v>44717</v>
      </c>
      <c r="N7297" t="s">
        <v>47304</v>
      </c>
      <c r="O7297" t="s">
        <v>47305</v>
      </c>
      <c r="P7297">
        <v>0</v>
      </c>
      <c r="Q7297">
        <v>0</v>
      </c>
      <c r="R7297" t="s">
        <v>47311</v>
      </c>
      <c r="S7297" t="s">
        <v>47443</v>
      </c>
      <c r="T7297" t="s">
        <v>49053</v>
      </c>
      <c r="U7297" t="s">
        <v>55642</v>
      </c>
      <c r="V7297" t="s">
        <v>63347</v>
      </c>
      <c r="W7297" t="s">
        <v>44717</v>
      </c>
      <c r="X7297" t="s">
        <v>47312</v>
      </c>
    </row>
    <row r="7298" spans="1:24">
      <c r="A7298">
        <f>HYPERLINK("https://www.philgeps.gov.ph/GEPSNONPILOT/Tender/SplashBidNoticeAbstractUI.aspx?menuIndex=3&amp;refID=7192354&amp;Result=3","7192354")</f>
        <v>0</v>
      </c>
      <c r="B7298" t="s">
        <v>422</v>
      </c>
      <c r="C7298" t="s">
        <v>10710</v>
      </c>
      <c r="D7298" t="s">
        <v>19030</v>
      </c>
      <c r="E7298" t="s">
        <v>25439</v>
      </c>
      <c r="F7298" t="s">
        <v>32606</v>
      </c>
      <c r="G7298" t="s">
        <v>32613</v>
      </c>
      <c r="H7298" t="s">
        <v>32623</v>
      </c>
      <c r="I7298" t="s">
        <v>17648</v>
      </c>
      <c r="J7298" t="s">
        <v>36161</v>
      </c>
      <c r="K7298" t="s">
        <v>42744</v>
      </c>
      <c r="M7298" t="s">
        <v>43326</v>
      </c>
      <c r="N7298" t="s">
        <v>47304</v>
      </c>
      <c r="O7298" t="s">
        <v>47305</v>
      </c>
      <c r="P7298">
        <v>0</v>
      </c>
      <c r="Q7298">
        <v>1</v>
      </c>
      <c r="R7298" t="s">
        <v>47311</v>
      </c>
      <c r="S7298" t="s">
        <v>47443</v>
      </c>
      <c r="T7298" t="s">
        <v>49037</v>
      </c>
      <c r="U7298" t="s">
        <v>55643</v>
      </c>
      <c r="W7298" t="s">
        <v>43326</v>
      </c>
      <c r="X7298" t="s">
        <v>47312</v>
      </c>
    </row>
    <row r="7299" spans="1:24">
      <c r="A7299">
        <f>HYPERLINK("https://www.philgeps.gov.ph/GEPSNONPILOT/Tender/SplashBidNoticeAbstractUI.aspx?menuIndex=3&amp;refID=7192283&amp;Result=3","7192283")</f>
        <v>0</v>
      </c>
      <c r="B7299" t="s">
        <v>1770</v>
      </c>
      <c r="C7299" t="s">
        <v>10711</v>
      </c>
      <c r="D7299" t="s">
        <v>19054</v>
      </c>
      <c r="E7299" t="s">
        <v>25440</v>
      </c>
      <c r="F7299" t="s">
        <v>32606</v>
      </c>
      <c r="G7299" t="s">
        <v>32613</v>
      </c>
      <c r="H7299" t="s">
        <v>14201</v>
      </c>
      <c r="I7299" t="s">
        <v>32629</v>
      </c>
      <c r="J7299" t="s">
        <v>37394</v>
      </c>
      <c r="K7299" t="s">
        <v>42636</v>
      </c>
      <c r="M7299" t="s">
        <v>44808</v>
      </c>
      <c r="N7299" t="s">
        <v>47304</v>
      </c>
      <c r="O7299" t="s">
        <v>47305</v>
      </c>
      <c r="P7299">
        <v>0</v>
      </c>
      <c r="Q7299">
        <v>0</v>
      </c>
      <c r="R7299" t="s">
        <v>47311</v>
      </c>
      <c r="S7299" t="s">
        <v>47443</v>
      </c>
      <c r="T7299" t="s">
        <v>49272</v>
      </c>
      <c r="U7299" t="s">
        <v>55644</v>
      </c>
      <c r="W7299" t="s">
        <v>44808</v>
      </c>
      <c r="X7299" t="s">
        <v>47312</v>
      </c>
    </row>
    <row r="7300" spans="1:24">
      <c r="A7300">
        <f>HYPERLINK("https://www.philgeps.gov.ph/GEPSNONPILOT/Tender/SplashBidNoticeAbstractUI.aspx?menuIndex=3&amp;refID=7192214&amp;Result=3","7192214")</f>
        <v>0</v>
      </c>
      <c r="B7300" t="s">
        <v>720</v>
      </c>
      <c r="C7300" t="s">
        <v>10712</v>
      </c>
      <c r="D7300" t="s">
        <v>18994</v>
      </c>
      <c r="E7300" t="s">
        <v>24129</v>
      </c>
      <c r="F7300" t="s">
        <v>32606</v>
      </c>
      <c r="G7300" t="s">
        <v>32614</v>
      </c>
      <c r="H7300" t="s">
        <v>14201</v>
      </c>
      <c r="I7300" t="s">
        <v>32691</v>
      </c>
      <c r="J7300" t="s">
        <v>36099</v>
      </c>
      <c r="K7300" t="s">
        <v>42629</v>
      </c>
      <c r="M7300" t="s">
        <v>43641</v>
      </c>
      <c r="N7300" t="s">
        <v>47304</v>
      </c>
      <c r="O7300" t="s">
        <v>47305</v>
      </c>
      <c r="P7300">
        <v>0</v>
      </c>
      <c r="Q7300">
        <v>3</v>
      </c>
      <c r="R7300" t="s">
        <v>47311</v>
      </c>
      <c r="S7300" t="s">
        <v>47443</v>
      </c>
      <c r="T7300" t="s">
        <v>48979</v>
      </c>
      <c r="U7300" t="s">
        <v>55645</v>
      </c>
      <c r="V7300" t="s">
        <v>63350</v>
      </c>
      <c r="W7300" t="s">
        <v>43641</v>
      </c>
      <c r="X7300" t="s">
        <v>47312</v>
      </c>
    </row>
    <row r="7301" spans="1:24">
      <c r="A7301">
        <f>HYPERLINK("https://www.philgeps.gov.ph/GEPSNONPILOT/Tender/SplashBidNoticeAbstractUI.aspx?menuIndex=3&amp;refID=7192211&amp;Result=3","7192211")</f>
        <v>0</v>
      </c>
      <c r="B7301" t="s">
        <v>590</v>
      </c>
      <c r="C7301" t="s">
        <v>10713</v>
      </c>
      <c r="D7301" t="s">
        <v>19007</v>
      </c>
      <c r="E7301" t="s">
        <v>25441</v>
      </c>
      <c r="F7301" t="s">
        <v>32606</v>
      </c>
      <c r="G7301" t="s">
        <v>32619</v>
      </c>
      <c r="H7301" t="s">
        <v>14201</v>
      </c>
      <c r="I7301" t="s">
        <v>9013</v>
      </c>
      <c r="J7301" t="s">
        <v>33009</v>
      </c>
      <c r="K7301" t="s">
        <v>42625</v>
      </c>
      <c r="M7301" t="s">
        <v>43505</v>
      </c>
      <c r="N7301" t="s">
        <v>47304</v>
      </c>
      <c r="O7301" t="s">
        <v>47305</v>
      </c>
      <c r="P7301">
        <v>0</v>
      </c>
      <c r="Q7301">
        <v>5</v>
      </c>
      <c r="R7301" t="s">
        <v>47311</v>
      </c>
      <c r="S7301" t="s">
        <v>47443</v>
      </c>
      <c r="T7301" t="s">
        <v>49269</v>
      </c>
      <c r="U7301" t="s">
        <v>55646</v>
      </c>
      <c r="W7301" t="s">
        <v>43505</v>
      </c>
      <c r="X7301" t="s">
        <v>47312</v>
      </c>
    </row>
    <row r="7302" spans="1:24">
      <c r="A7302">
        <f>HYPERLINK("https://www.philgeps.gov.ph/GEPSNONPILOT/Tender/SplashBidNoticeAbstractUI.aspx?menuIndex=3&amp;refID=7192290&amp;Result=3","7192290")</f>
        <v>0</v>
      </c>
      <c r="B7302" t="s">
        <v>2387</v>
      </c>
      <c r="C7302" t="s">
        <v>10714</v>
      </c>
      <c r="D7302" t="s">
        <v>19040</v>
      </c>
      <c r="E7302" t="s">
        <v>25442</v>
      </c>
      <c r="F7302" t="s">
        <v>32606</v>
      </c>
      <c r="G7302" t="s">
        <v>32619</v>
      </c>
      <c r="H7302" t="s">
        <v>14201</v>
      </c>
      <c r="I7302" t="s">
        <v>32696</v>
      </c>
      <c r="J7302" t="s">
        <v>37395</v>
      </c>
      <c r="K7302" t="s">
        <v>42639</v>
      </c>
      <c r="M7302" t="s">
        <v>45505</v>
      </c>
      <c r="N7302" t="s">
        <v>47304</v>
      </c>
      <c r="O7302" t="s">
        <v>47305</v>
      </c>
      <c r="P7302">
        <v>0</v>
      </c>
      <c r="Q7302">
        <v>0</v>
      </c>
      <c r="R7302" t="s">
        <v>47311</v>
      </c>
      <c r="S7302" t="s">
        <v>47443</v>
      </c>
      <c r="T7302" t="s">
        <v>49315</v>
      </c>
      <c r="U7302" t="s">
        <v>55647</v>
      </c>
      <c r="W7302" t="s">
        <v>45505</v>
      </c>
      <c r="X7302" t="s">
        <v>47312</v>
      </c>
    </row>
    <row r="7303" spans="1:24">
      <c r="A7303">
        <f>HYPERLINK("https://www.philgeps.gov.ph/GEPSNONPILOT/Tender/SplashBidNoticeAbstractUI.aspx?menuIndex=3&amp;refID=7192210&amp;Result=3","7192210")</f>
        <v>0</v>
      </c>
      <c r="B7303" t="s">
        <v>2375</v>
      </c>
      <c r="C7303" t="s">
        <v>10715</v>
      </c>
      <c r="D7303" t="s">
        <v>19014</v>
      </c>
      <c r="E7303" t="s">
        <v>25443</v>
      </c>
      <c r="F7303" t="s">
        <v>32606</v>
      </c>
      <c r="G7303" t="s">
        <v>32614</v>
      </c>
      <c r="H7303" t="s">
        <v>14201</v>
      </c>
      <c r="I7303" t="s">
        <v>32650</v>
      </c>
      <c r="J7303" t="s">
        <v>34676</v>
      </c>
      <c r="K7303" t="s">
        <v>42624</v>
      </c>
      <c r="M7303" t="s">
        <v>45490</v>
      </c>
      <c r="N7303" t="s">
        <v>47304</v>
      </c>
      <c r="O7303" t="s">
        <v>47305</v>
      </c>
      <c r="P7303">
        <v>0</v>
      </c>
      <c r="Q7303">
        <v>2</v>
      </c>
      <c r="R7303" t="s">
        <v>47311</v>
      </c>
      <c r="S7303" t="s">
        <v>47443</v>
      </c>
      <c r="T7303" t="s">
        <v>48998</v>
      </c>
      <c r="U7303" t="s">
        <v>55648</v>
      </c>
      <c r="W7303" t="s">
        <v>45490</v>
      </c>
      <c r="X7303" t="s">
        <v>47312</v>
      </c>
    </row>
    <row r="7304" spans="1:24">
      <c r="A7304">
        <f>HYPERLINK("https://www.philgeps.gov.ph/GEPSNONPILOT/Tender/SplashBidNoticeAbstractUI.aspx?menuIndex=3&amp;refID=7192152&amp;Result=3","7192152")</f>
        <v>0</v>
      </c>
      <c r="B7304" t="s">
        <v>941</v>
      </c>
      <c r="C7304" t="s">
        <v>10716</v>
      </c>
      <c r="D7304" t="s">
        <v>18993</v>
      </c>
      <c r="E7304" t="s">
        <v>25444</v>
      </c>
      <c r="F7304" t="s">
        <v>32606</v>
      </c>
      <c r="G7304" t="s">
        <v>32620</v>
      </c>
      <c r="H7304" t="s">
        <v>32625</v>
      </c>
      <c r="I7304" t="s">
        <v>32625</v>
      </c>
      <c r="J7304" t="s">
        <v>34038</v>
      </c>
      <c r="K7304" t="s">
        <v>42644</v>
      </c>
      <c r="M7304" t="s">
        <v>43882</v>
      </c>
      <c r="N7304" t="s">
        <v>47304</v>
      </c>
      <c r="O7304" t="s">
        <v>47305</v>
      </c>
      <c r="P7304">
        <v>0</v>
      </c>
      <c r="Q7304">
        <v>5</v>
      </c>
      <c r="R7304" t="s">
        <v>47311</v>
      </c>
      <c r="S7304" t="s">
        <v>47443</v>
      </c>
      <c r="T7304" t="s">
        <v>49014</v>
      </c>
      <c r="U7304" t="s">
        <v>55649</v>
      </c>
      <c r="W7304" t="s">
        <v>43882</v>
      </c>
      <c r="X7304" t="s">
        <v>47312</v>
      </c>
    </row>
    <row r="7305" spans="1:24">
      <c r="A7305">
        <f>HYPERLINK("https://www.philgeps.gov.ph/GEPSNONPILOT/Tender/SplashBidNoticeAbstractUI.aspx?menuIndex=3&amp;refID=7192357&amp;Result=3","7192357")</f>
        <v>0</v>
      </c>
      <c r="B7305" t="s">
        <v>188</v>
      </c>
      <c r="C7305" t="s">
        <v>10717</v>
      </c>
      <c r="D7305" t="s">
        <v>19043</v>
      </c>
      <c r="E7305" t="s">
        <v>25445</v>
      </c>
      <c r="F7305" t="s">
        <v>32606</v>
      </c>
      <c r="G7305" t="s">
        <v>32613</v>
      </c>
      <c r="H7305" t="s">
        <v>14201</v>
      </c>
      <c r="I7305" t="s">
        <v>4678</v>
      </c>
      <c r="J7305" t="s">
        <v>33861</v>
      </c>
      <c r="K7305" t="s">
        <v>42624</v>
      </c>
      <c r="M7305" t="s">
        <v>43089</v>
      </c>
      <c r="N7305" t="s">
        <v>47304</v>
      </c>
      <c r="O7305" t="s">
        <v>47305</v>
      </c>
      <c r="P7305">
        <v>0</v>
      </c>
      <c r="Q7305">
        <v>3</v>
      </c>
      <c r="R7305" t="s">
        <v>47311</v>
      </c>
      <c r="S7305" t="s">
        <v>47443</v>
      </c>
      <c r="T7305" t="s">
        <v>49081</v>
      </c>
      <c r="U7305" t="s">
        <v>55650</v>
      </c>
      <c r="W7305" t="s">
        <v>43089</v>
      </c>
      <c r="X7305" t="s">
        <v>47312</v>
      </c>
    </row>
    <row r="7306" spans="1:24">
      <c r="A7306">
        <f>HYPERLINK("https://www.philgeps.gov.ph/GEPSNONPILOT/Tender/SplashBidNoticeAbstractUI.aspx?menuIndex=3&amp;refID=7192146&amp;Result=3","7192146")</f>
        <v>0</v>
      </c>
      <c r="B7306" t="s">
        <v>477</v>
      </c>
      <c r="C7306" t="s">
        <v>10718</v>
      </c>
      <c r="D7306" t="s">
        <v>19019</v>
      </c>
      <c r="E7306" t="s">
        <v>25446</v>
      </c>
      <c r="F7306" t="s">
        <v>32606</v>
      </c>
      <c r="G7306" t="s">
        <v>32614</v>
      </c>
      <c r="H7306" t="s">
        <v>14201</v>
      </c>
      <c r="I7306" t="s">
        <v>4678</v>
      </c>
      <c r="J7306" t="s">
        <v>33274</v>
      </c>
      <c r="K7306" t="s">
        <v>42638</v>
      </c>
      <c r="M7306" t="s">
        <v>43388</v>
      </c>
      <c r="N7306" t="s">
        <v>47304</v>
      </c>
      <c r="O7306" t="s">
        <v>47305</v>
      </c>
      <c r="P7306">
        <v>0</v>
      </c>
      <c r="Q7306">
        <v>0</v>
      </c>
      <c r="R7306" t="s">
        <v>47311</v>
      </c>
      <c r="S7306" t="s">
        <v>47443</v>
      </c>
      <c r="T7306" t="s">
        <v>49071</v>
      </c>
      <c r="U7306" t="s">
        <v>55651</v>
      </c>
      <c r="W7306" t="s">
        <v>43388</v>
      </c>
      <c r="X7306" t="s">
        <v>47312</v>
      </c>
    </row>
    <row r="7307" spans="1:24">
      <c r="A7307">
        <f>HYPERLINK("https://www.philgeps.gov.ph/GEPSNONPILOT/Tender/SplashBidNoticeAbstractUI.aspx?menuIndex=3&amp;refID=7192213&amp;Result=3","7192213")</f>
        <v>0</v>
      </c>
      <c r="B7307" t="s">
        <v>928</v>
      </c>
      <c r="C7307" t="s">
        <v>10719</v>
      </c>
      <c r="D7307" t="s">
        <v>19027</v>
      </c>
      <c r="E7307" t="s">
        <v>25447</v>
      </c>
      <c r="F7307" t="s">
        <v>32606</v>
      </c>
      <c r="G7307" t="s">
        <v>32614</v>
      </c>
      <c r="H7307" t="s">
        <v>14201</v>
      </c>
      <c r="I7307" t="s">
        <v>4120</v>
      </c>
      <c r="J7307" t="s">
        <v>37396</v>
      </c>
      <c r="K7307" t="s">
        <v>42623</v>
      </c>
      <c r="M7307" t="s">
        <v>43868</v>
      </c>
      <c r="N7307" t="s">
        <v>47304</v>
      </c>
      <c r="O7307" t="s">
        <v>47305</v>
      </c>
      <c r="P7307">
        <v>0</v>
      </c>
      <c r="Q7307">
        <v>0</v>
      </c>
      <c r="R7307" t="s">
        <v>47311</v>
      </c>
      <c r="S7307" t="s">
        <v>47443</v>
      </c>
      <c r="T7307" t="s">
        <v>49268</v>
      </c>
      <c r="U7307" t="s">
        <v>55652</v>
      </c>
      <c r="W7307" t="s">
        <v>43868</v>
      </c>
      <c r="X7307" t="s">
        <v>47312</v>
      </c>
    </row>
    <row r="7308" spans="1:24">
      <c r="A7308">
        <f>HYPERLINK("https://www.philgeps.gov.ph/GEPSNONPILOT/Tender/SplashBidNoticeAbstractUI.aspx?menuIndex=3&amp;refID=7192089&amp;Result=3","7192089")</f>
        <v>0</v>
      </c>
      <c r="B7308" t="s">
        <v>1572</v>
      </c>
      <c r="C7308" t="s">
        <v>10720</v>
      </c>
      <c r="D7308" t="s">
        <v>18993</v>
      </c>
      <c r="E7308" t="s">
        <v>25448</v>
      </c>
      <c r="F7308" t="s">
        <v>32606</v>
      </c>
      <c r="G7308" t="s">
        <v>32617</v>
      </c>
      <c r="H7308" t="s">
        <v>14201</v>
      </c>
      <c r="I7308" t="s">
        <v>32670</v>
      </c>
      <c r="J7308" t="s">
        <v>33506</v>
      </c>
      <c r="K7308" t="s">
        <v>42630</v>
      </c>
      <c r="M7308" t="s">
        <v>45461</v>
      </c>
      <c r="N7308" t="s">
        <v>47304</v>
      </c>
      <c r="O7308" t="s">
        <v>47305</v>
      </c>
      <c r="P7308">
        <v>0</v>
      </c>
      <c r="Q7308">
        <v>1</v>
      </c>
      <c r="R7308" t="s">
        <v>47311</v>
      </c>
      <c r="S7308" t="s">
        <v>47443</v>
      </c>
      <c r="T7308" t="s">
        <v>49068</v>
      </c>
      <c r="U7308" t="s">
        <v>55653</v>
      </c>
      <c r="V7308" t="s">
        <v>63351</v>
      </c>
      <c r="W7308" t="s">
        <v>45461</v>
      </c>
      <c r="X7308" t="s">
        <v>47312</v>
      </c>
    </row>
    <row r="7309" spans="1:24">
      <c r="A7309">
        <f>HYPERLINK("https://www.philgeps.gov.ph/GEPSNONPILOT/Tender/SplashBidNoticeAbstractUI.aspx?menuIndex=3&amp;refID=7192405&amp;Result=3","7192405")</f>
        <v>0</v>
      </c>
      <c r="B7309" t="s">
        <v>1632</v>
      </c>
      <c r="C7309" t="s">
        <v>10721</v>
      </c>
      <c r="D7309" t="s">
        <v>18999</v>
      </c>
      <c r="E7309" t="s">
        <v>25449</v>
      </c>
      <c r="F7309" t="s">
        <v>32606</v>
      </c>
      <c r="G7309" t="s">
        <v>32619</v>
      </c>
      <c r="H7309" t="s">
        <v>14201</v>
      </c>
      <c r="I7309" t="s">
        <v>7677</v>
      </c>
      <c r="J7309" t="s">
        <v>36894</v>
      </c>
      <c r="K7309" t="s">
        <v>42624</v>
      </c>
      <c r="M7309" t="s">
        <v>44652</v>
      </c>
      <c r="N7309" t="s">
        <v>47304</v>
      </c>
      <c r="O7309" t="s">
        <v>47305</v>
      </c>
      <c r="P7309">
        <v>0</v>
      </c>
      <c r="Q7309">
        <v>7</v>
      </c>
      <c r="R7309" t="s">
        <v>47311</v>
      </c>
      <c r="S7309" t="s">
        <v>47443</v>
      </c>
      <c r="T7309" t="s">
        <v>48997</v>
      </c>
      <c r="U7309" t="s">
        <v>55654</v>
      </c>
      <c r="V7309" t="s">
        <v>63068</v>
      </c>
      <c r="W7309" t="s">
        <v>44652</v>
      </c>
      <c r="X7309" t="s">
        <v>47312</v>
      </c>
    </row>
    <row r="7310" spans="1:24">
      <c r="A7310">
        <f>HYPERLINK("https://www.philgeps.gov.ph/GEPSNONPILOT/Tender/SplashBidNoticeAbstractUI.aspx?menuIndex=3&amp;refID=7191569&amp;Result=3","7191569")</f>
        <v>0</v>
      </c>
      <c r="B7310" t="s">
        <v>2322</v>
      </c>
      <c r="C7310" t="s">
        <v>10722</v>
      </c>
      <c r="D7310" t="s">
        <v>18992</v>
      </c>
      <c r="E7310" t="s">
        <v>25450</v>
      </c>
      <c r="F7310" t="s">
        <v>32606</v>
      </c>
      <c r="G7310" t="s">
        <v>32613</v>
      </c>
      <c r="H7310" t="s">
        <v>14201</v>
      </c>
      <c r="I7310" t="s">
        <v>32629</v>
      </c>
      <c r="J7310" t="s">
        <v>37397</v>
      </c>
      <c r="K7310" t="s">
        <v>42622</v>
      </c>
      <c r="M7310" t="s">
        <v>45430</v>
      </c>
      <c r="N7310" t="s">
        <v>47304</v>
      </c>
      <c r="O7310" t="s">
        <v>47305</v>
      </c>
      <c r="P7310">
        <v>0</v>
      </c>
      <c r="Q7310">
        <v>0</v>
      </c>
      <c r="R7310" t="s">
        <v>47311</v>
      </c>
      <c r="S7310" t="s">
        <v>47443</v>
      </c>
      <c r="T7310" t="s">
        <v>48979</v>
      </c>
      <c r="U7310" t="s">
        <v>55655</v>
      </c>
      <c r="V7310" t="s">
        <v>63326</v>
      </c>
      <c r="W7310" t="s">
        <v>45430</v>
      </c>
      <c r="X7310" t="s">
        <v>47312</v>
      </c>
    </row>
    <row r="7311" spans="1:24">
      <c r="A7311">
        <f>HYPERLINK("https://www.philgeps.gov.ph/GEPSNONPILOT/Tender/SplashBidNoticeAbstractUI.aspx?menuIndex=3&amp;refID=7192154&amp;Result=3","7192154")</f>
        <v>0</v>
      </c>
      <c r="B7311" t="s">
        <v>2335</v>
      </c>
      <c r="C7311" t="s">
        <v>10723</v>
      </c>
      <c r="D7311" t="s">
        <v>19033</v>
      </c>
      <c r="E7311" t="s">
        <v>25451</v>
      </c>
      <c r="F7311" t="s">
        <v>32606</v>
      </c>
      <c r="G7311" t="s">
        <v>32614</v>
      </c>
      <c r="H7311" t="s">
        <v>14201</v>
      </c>
      <c r="I7311" t="s">
        <v>32629</v>
      </c>
      <c r="J7311" t="s">
        <v>37398</v>
      </c>
      <c r="K7311" t="s">
        <v>42664</v>
      </c>
      <c r="M7311" t="s">
        <v>45445</v>
      </c>
      <c r="N7311" t="s">
        <v>47304</v>
      </c>
      <c r="O7311" t="s">
        <v>47305</v>
      </c>
      <c r="P7311">
        <v>0</v>
      </c>
      <c r="Q7311">
        <v>0</v>
      </c>
      <c r="R7311" t="s">
        <v>47311</v>
      </c>
      <c r="S7311" t="s">
        <v>47443</v>
      </c>
      <c r="T7311" t="s">
        <v>49339</v>
      </c>
      <c r="U7311" t="s">
        <v>55656</v>
      </c>
      <c r="W7311" t="s">
        <v>45445</v>
      </c>
      <c r="X7311" t="s">
        <v>47312</v>
      </c>
    </row>
    <row r="7312" spans="1:24">
      <c r="A7312">
        <f>HYPERLINK("https://www.philgeps.gov.ph/GEPSNONPILOT/Tender/SplashBidNoticeAbstractUI.aspx?menuIndex=3&amp;refID=7191527&amp;Result=3","7191527")</f>
        <v>0</v>
      </c>
      <c r="B7312" t="s">
        <v>195</v>
      </c>
      <c r="C7312" t="s">
        <v>10724</v>
      </c>
      <c r="D7312" t="s">
        <v>19045</v>
      </c>
      <c r="E7312" t="s">
        <v>25452</v>
      </c>
      <c r="F7312" t="s">
        <v>32606</v>
      </c>
      <c r="G7312" t="s">
        <v>32619</v>
      </c>
      <c r="H7312" t="s">
        <v>14201</v>
      </c>
      <c r="I7312" t="s">
        <v>8682</v>
      </c>
      <c r="J7312" t="s">
        <v>37399</v>
      </c>
      <c r="K7312" t="s">
        <v>42624</v>
      </c>
      <c r="M7312" t="s">
        <v>43096</v>
      </c>
      <c r="N7312" t="s">
        <v>47304</v>
      </c>
      <c r="O7312" t="s">
        <v>47305</v>
      </c>
      <c r="P7312">
        <v>0</v>
      </c>
      <c r="Q7312">
        <v>1</v>
      </c>
      <c r="R7312" t="s">
        <v>47311</v>
      </c>
      <c r="S7312" t="s">
        <v>47443</v>
      </c>
      <c r="T7312" t="s">
        <v>49053</v>
      </c>
      <c r="U7312" t="s">
        <v>55657</v>
      </c>
      <c r="V7312" t="s">
        <v>63328</v>
      </c>
      <c r="W7312" t="s">
        <v>43096</v>
      </c>
      <c r="X7312" t="s">
        <v>47312</v>
      </c>
    </row>
    <row r="7313" spans="1:24">
      <c r="A7313">
        <f>HYPERLINK("https://www.philgeps.gov.ph/GEPSNONPILOT/Tender/SplashBidNoticeAbstractUI.aspx?menuIndex=3&amp;refID=7191516&amp;Result=3","7191516")</f>
        <v>0</v>
      </c>
      <c r="B7313" t="s">
        <v>692</v>
      </c>
      <c r="C7313" t="s">
        <v>10725</v>
      </c>
      <c r="D7313" t="s">
        <v>18992</v>
      </c>
      <c r="E7313" t="s">
        <v>25453</v>
      </c>
      <c r="F7313" t="s">
        <v>32606</v>
      </c>
      <c r="G7313" t="s">
        <v>32614</v>
      </c>
      <c r="H7313" t="s">
        <v>14201</v>
      </c>
      <c r="I7313" t="s">
        <v>32734</v>
      </c>
      <c r="J7313" t="s">
        <v>34994</v>
      </c>
      <c r="K7313" t="s">
        <v>42629</v>
      </c>
      <c r="M7313" t="s">
        <v>43613</v>
      </c>
      <c r="N7313" t="s">
        <v>47304</v>
      </c>
      <c r="O7313" t="s">
        <v>47305</v>
      </c>
      <c r="P7313">
        <v>0</v>
      </c>
      <c r="Q7313">
        <v>0</v>
      </c>
      <c r="R7313" t="s">
        <v>47311</v>
      </c>
      <c r="S7313" t="s">
        <v>47443</v>
      </c>
      <c r="T7313" t="s">
        <v>48998</v>
      </c>
      <c r="U7313" t="s">
        <v>52353</v>
      </c>
      <c r="W7313" t="s">
        <v>43613</v>
      </c>
      <c r="X7313" t="s">
        <v>47312</v>
      </c>
    </row>
    <row r="7314" spans="1:24">
      <c r="A7314">
        <f>HYPERLINK("https://www.philgeps.gov.ph/GEPSNONPILOT/Tender/SplashBidNoticeAbstractUI.aspx?menuIndex=3&amp;refID=7192149&amp;Result=3","7192149")</f>
        <v>0</v>
      </c>
      <c r="B7314" t="s">
        <v>2371</v>
      </c>
      <c r="C7314" t="s">
        <v>10726</v>
      </c>
      <c r="D7314" t="s">
        <v>19022</v>
      </c>
      <c r="E7314" t="s">
        <v>25454</v>
      </c>
      <c r="F7314" t="s">
        <v>32606</v>
      </c>
      <c r="G7314" t="s">
        <v>32613</v>
      </c>
      <c r="H7314" t="s">
        <v>14201</v>
      </c>
      <c r="I7314" t="s">
        <v>17648</v>
      </c>
      <c r="J7314" t="s">
        <v>33102</v>
      </c>
      <c r="K7314" t="s">
        <v>42639</v>
      </c>
      <c r="M7314" t="s">
        <v>45486</v>
      </c>
      <c r="N7314" t="s">
        <v>47304</v>
      </c>
      <c r="O7314" t="s">
        <v>47305</v>
      </c>
      <c r="P7314">
        <v>0</v>
      </c>
      <c r="Q7314">
        <v>0</v>
      </c>
      <c r="R7314" t="s">
        <v>47311</v>
      </c>
      <c r="S7314" t="s">
        <v>47443</v>
      </c>
      <c r="T7314" t="s">
        <v>48971</v>
      </c>
      <c r="U7314" t="s">
        <v>55658</v>
      </c>
      <c r="W7314" t="s">
        <v>45486</v>
      </c>
      <c r="X7314" t="s">
        <v>47312</v>
      </c>
    </row>
    <row r="7315" spans="1:24">
      <c r="A7315">
        <f>HYPERLINK("https://www.philgeps.gov.ph/GEPSNONPILOT/Tender/SplashBidNoticeAbstractUI.aspx?menuIndex=3&amp;refID=7191485&amp;Result=3","7191485")</f>
        <v>0</v>
      </c>
      <c r="B7315" t="s">
        <v>1306</v>
      </c>
      <c r="C7315" t="s">
        <v>10727</v>
      </c>
      <c r="D7315" t="s">
        <v>19011</v>
      </c>
      <c r="E7315" t="s">
        <v>25455</v>
      </c>
      <c r="F7315" t="s">
        <v>32606</v>
      </c>
      <c r="G7315" t="s">
        <v>32613</v>
      </c>
      <c r="H7315" t="s">
        <v>14201</v>
      </c>
      <c r="I7315" t="s">
        <v>32686</v>
      </c>
      <c r="J7315" t="s">
        <v>32999</v>
      </c>
      <c r="K7315" t="s">
        <v>42636</v>
      </c>
      <c r="M7315" t="s">
        <v>44278</v>
      </c>
      <c r="N7315" t="s">
        <v>47304</v>
      </c>
      <c r="O7315" t="s">
        <v>47305</v>
      </c>
      <c r="P7315">
        <v>0</v>
      </c>
      <c r="Q7315">
        <v>4</v>
      </c>
      <c r="R7315" t="s">
        <v>47311</v>
      </c>
      <c r="S7315" t="s">
        <v>47443</v>
      </c>
      <c r="T7315" t="s">
        <v>49011</v>
      </c>
      <c r="U7315" t="s">
        <v>55306</v>
      </c>
      <c r="W7315" t="s">
        <v>44278</v>
      </c>
      <c r="X7315" t="s">
        <v>47312</v>
      </c>
    </row>
    <row r="7316" spans="1:24">
      <c r="A7316">
        <f>HYPERLINK("https://www.philgeps.gov.ph/GEPSNONPILOT/Tender/SplashBidNoticeAbstractUI.aspx?menuIndex=3&amp;refID=7191568&amp;Result=3","7191568")</f>
        <v>0</v>
      </c>
      <c r="B7316" t="s">
        <v>848</v>
      </c>
      <c r="C7316" t="s">
        <v>4718</v>
      </c>
      <c r="D7316" t="s">
        <v>19063</v>
      </c>
      <c r="E7316" t="s">
        <v>22731</v>
      </c>
      <c r="F7316" t="s">
        <v>32606</v>
      </c>
      <c r="G7316" t="s">
        <v>32617</v>
      </c>
      <c r="H7316" t="s">
        <v>14201</v>
      </c>
      <c r="I7316" t="s">
        <v>4120</v>
      </c>
      <c r="J7316" t="s">
        <v>37400</v>
      </c>
      <c r="K7316" t="s">
        <v>42630</v>
      </c>
      <c r="M7316" t="s">
        <v>43780</v>
      </c>
      <c r="N7316" t="s">
        <v>47304</v>
      </c>
      <c r="O7316" t="s">
        <v>47305</v>
      </c>
      <c r="P7316">
        <v>0</v>
      </c>
      <c r="Q7316">
        <v>3</v>
      </c>
      <c r="R7316" t="s">
        <v>47311</v>
      </c>
      <c r="S7316" t="s">
        <v>47443</v>
      </c>
      <c r="T7316" t="s">
        <v>49053</v>
      </c>
      <c r="U7316" t="s">
        <v>55659</v>
      </c>
      <c r="W7316" t="s">
        <v>43780</v>
      </c>
      <c r="X7316" t="s">
        <v>47312</v>
      </c>
    </row>
    <row r="7317" spans="1:24">
      <c r="A7317">
        <f>HYPERLINK("https://www.philgeps.gov.ph/GEPSNONPILOT/Tender/SplashBidNoticeAbstractUI.aspx?menuIndex=3&amp;refID=7191477&amp;Result=3","7191477")</f>
        <v>0</v>
      </c>
      <c r="B7317" t="s">
        <v>713</v>
      </c>
      <c r="C7317" t="s">
        <v>10728</v>
      </c>
      <c r="D7317" t="s">
        <v>19040</v>
      </c>
      <c r="E7317" t="s">
        <v>25456</v>
      </c>
      <c r="F7317" t="s">
        <v>32606</v>
      </c>
      <c r="G7317" t="s">
        <v>32614</v>
      </c>
      <c r="H7317" t="s">
        <v>14201</v>
      </c>
      <c r="I7317" t="s">
        <v>6993</v>
      </c>
      <c r="J7317" t="s">
        <v>32999</v>
      </c>
      <c r="K7317" t="s">
        <v>42622</v>
      </c>
      <c r="M7317" t="s">
        <v>43634</v>
      </c>
      <c r="N7317" t="s">
        <v>47304</v>
      </c>
      <c r="O7317" t="s">
        <v>47305</v>
      </c>
      <c r="P7317">
        <v>0</v>
      </c>
      <c r="Q7317">
        <v>1</v>
      </c>
      <c r="R7317" t="s">
        <v>47311</v>
      </c>
      <c r="S7317" t="s">
        <v>47443</v>
      </c>
      <c r="T7317" t="s">
        <v>48980</v>
      </c>
      <c r="U7317" t="s">
        <v>55660</v>
      </c>
      <c r="W7317" t="s">
        <v>43634</v>
      </c>
      <c r="X7317" t="s">
        <v>47312</v>
      </c>
    </row>
    <row r="7318" spans="1:24">
      <c r="A7318">
        <f>HYPERLINK("https://www.philgeps.gov.ph/GEPSNONPILOT/Tender/SplashBidNoticeAbstractUI.aspx?menuIndex=3&amp;refID=7191524&amp;Result=3","7191524")</f>
        <v>0</v>
      </c>
      <c r="B7318" t="s">
        <v>2211</v>
      </c>
      <c r="C7318" t="s">
        <v>6364</v>
      </c>
      <c r="D7318" t="s">
        <v>19064</v>
      </c>
      <c r="E7318" t="s">
        <v>25457</v>
      </c>
      <c r="F7318" t="s">
        <v>32606</v>
      </c>
      <c r="G7318" t="s">
        <v>32614</v>
      </c>
      <c r="H7318" t="s">
        <v>14201</v>
      </c>
      <c r="I7318" t="s">
        <v>32638</v>
      </c>
      <c r="J7318" t="s">
        <v>37401</v>
      </c>
      <c r="K7318" t="s">
        <v>42622</v>
      </c>
      <c r="M7318" t="s">
        <v>45315</v>
      </c>
      <c r="N7318" t="s">
        <v>47304</v>
      </c>
      <c r="O7318" t="s">
        <v>47305</v>
      </c>
      <c r="P7318">
        <v>0</v>
      </c>
      <c r="Q7318">
        <v>3</v>
      </c>
      <c r="R7318" t="s">
        <v>47311</v>
      </c>
      <c r="S7318" t="s">
        <v>47443</v>
      </c>
      <c r="T7318" t="s">
        <v>49072</v>
      </c>
      <c r="U7318" t="s">
        <v>55077</v>
      </c>
      <c r="W7318" t="s">
        <v>45315</v>
      </c>
      <c r="X7318" t="s">
        <v>47312</v>
      </c>
    </row>
    <row r="7319" spans="1:24">
      <c r="A7319">
        <f>HYPERLINK("https://www.philgeps.gov.ph/GEPSNONPILOT/Tender/SplashBidNoticeAbstractUI.aspx?menuIndex=3&amp;refID=7191473&amp;Result=3","7191473")</f>
        <v>0</v>
      </c>
      <c r="B7319" t="s">
        <v>696</v>
      </c>
      <c r="C7319" t="s">
        <v>10729</v>
      </c>
      <c r="D7319" t="s">
        <v>18993</v>
      </c>
      <c r="E7319" t="s">
        <v>25458</v>
      </c>
      <c r="F7319" t="s">
        <v>32606</v>
      </c>
      <c r="G7319" t="s">
        <v>32617</v>
      </c>
      <c r="H7319" t="s">
        <v>14201</v>
      </c>
      <c r="I7319" t="s">
        <v>9013</v>
      </c>
      <c r="J7319" t="s">
        <v>37402</v>
      </c>
      <c r="K7319" t="s">
        <v>42631</v>
      </c>
      <c r="M7319" t="s">
        <v>45418</v>
      </c>
      <c r="N7319" t="s">
        <v>47304</v>
      </c>
      <c r="O7319" t="s">
        <v>47305</v>
      </c>
      <c r="P7319">
        <v>0</v>
      </c>
      <c r="Q7319">
        <v>13</v>
      </c>
      <c r="R7319" t="s">
        <v>47311</v>
      </c>
      <c r="S7319" t="s">
        <v>47443</v>
      </c>
      <c r="T7319" t="s">
        <v>49084</v>
      </c>
      <c r="U7319" t="s">
        <v>50770</v>
      </c>
      <c r="V7319" t="s">
        <v>63320</v>
      </c>
      <c r="W7319" t="s">
        <v>45418</v>
      </c>
      <c r="X7319" t="s">
        <v>47312</v>
      </c>
    </row>
    <row r="7320" spans="1:24">
      <c r="A7320">
        <f>HYPERLINK("https://www.philgeps.gov.ph/GEPSNONPILOT/Tender/SplashBidNoticeAbstractUI.aspx?menuIndex=3&amp;refID=7191469&amp;Result=3","7191469")</f>
        <v>0</v>
      </c>
      <c r="B7320" t="s">
        <v>356</v>
      </c>
      <c r="C7320" t="s">
        <v>10730</v>
      </c>
      <c r="D7320" t="s">
        <v>19014</v>
      </c>
      <c r="E7320" t="s">
        <v>25459</v>
      </c>
      <c r="F7320" t="s">
        <v>32606</v>
      </c>
      <c r="G7320" t="s">
        <v>32613</v>
      </c>
      <c r="H7320" t="s">
        <v>14201</v>
      </c>
      <c r="I7320" t="s">
        <v>7064</v>
      </c>
      <c r="J7320" t="s">
        <v>32860</v>
      </c>
      <c r="K7320" t="s">
        <v>42631</v>
      </c>
      <c r="M7320" t="s">
        <v>43258</v>
      </c>
      <c r="N7320" t="s">
        <v>47304</v>
      </c>
      <c r="O7320" t="s">
        <v>47305</v>
      </c>
      <c r="P7320">
        <v>0</v>
      </c>
      <c r="Q7320">
        <v>3</v>
      </c>
      <c r="R7320" t="s">
        <v>47311</v>
      </c>
      <c r="S7320" t="s">
        <v>47443</v>
      </c>
      <c r="T7320" t="s">
        <v>49150</v>
      </c>
      <c r="U7320" t="s">
        <v>55661</v>
      </c>
      <c r="W7320" t="s">
        <v>43258</v>
      </c>
      <c r="X7320" t="s">
        <v>47312</v>
      </c>
    </row>
    <row r="7321" spans="1:24">
      <c r="A7321">
        <f>HYPERLINK("https://www.philgeps.gov.ph/GEPSNONPILOT/Tender/SplashBidNoticeAbstractUI.aspx?menuIndex=3&amp;refID=7191385&amp;Result=3","7191385")</f>
        <v>0</v>
      </c>
      <c r="B7321" t="s">
        <v>588</v>
      </c>
      <c r="C7321" t="s">
        <v>10731</v>
      </c>
      <c r="D7321" t="s">
        <v>19038</v>
      </c>
      <c r="E7321" t="s">
        <v>25460</v>
      </c>
      <c r="F7321" t="s">
        <v>32606</v>
      </c>
      <c r="G7321" t="s">
        <v>32619</v>
      </c>
      <c r="H7321" t="s">
        <v>14201</v>
      </c>
      <c r="I7321" t="s">
        <v>32626</v>
      </c>
      <c r="J7321" t="s">
        <v>37403</v>
      </c>
      <c r="K7321" t="s">
        <v>42627</v>
      </c>
      <c r="M7321" t="s">
        <v>43503</v>
      </c>
      <c r="N7321" t="s">
        <v>47304</v>
      </c>
      <c r="O7321" t="s">
        <v>47305</v>
      </c>
      <c r="P7321">
        <v>0</v>
      </c>
      <c r="Q7321">
        <v>2</v>
      </c>
      <c r="R7321" t="s">
        <v>47311</v>
      </c>
      <c r="S7321" t="s">
        <v>47443</v>
      </c>
      <c r="T7321" t="s">
        <v>49327</v>
      </c>
      <c r="U7321" t="s">
        <v>55662</v>
      </c>
      <c r="W7321" t="s">
        <v>43503</v>
      </c>
      <c r="X7321" t="s">
        <v>47312</v>
      </c>
    </row>
    <row r="7322" spans="1:24">
      <c r="A7322">
        <f>HYPERLINK("https://www.philgeps.gov.ph/GEPSNONPILOT/Tender/SplashBidNoticeAbstractUI.aspx?menuIndex=3&amp;refID=7191384&amp;Result=3","7191384")</f>
        <v>0</v>
      </c>
      <c r="B7322" t="s">
        <v>2297</v>
      </c>
      <c r="C7322" t="s">
        <v>10732</v>
      </c>
      <c r="D7322" t="s">
        <v>19024</v>
      </c>
      <c r="E7322" t="s">
        <v>25461</v>
      </c>
      <c r="F7322" t="s">
        <v>32606</v>
      </c>
      <c r="G7322" t="s">
        <v>32614</v>
      </c>
      <c r="H7322" t="s">
        <v>14201</v>
      </c>
      <c r="I7322" t="s">
        <v>6993</v>
      </c>
      <c r="J7322" t="s">
        <v>37404</v>
      </c>
      <c r="K7322" t="s">
        <v>42622</v>
      </c>
      <c r="M7322" t="s">
        <v>45403</v>
      </c>
      <c r="N7322" t="s">
        <v>47304</v>
      </c>
      <c r="O7322" t="s">
        <v>47305</v>
      </c>
      <c r="P7322">
        <v>0</v>
      </c>
      <c r="Q7322">
        <v>1</v>
      </c>
      <c r="R7322" t="s">
        <v>47311</v>
      </c>
      <c r="S7322" t="s">
        <v>47443</v>
      </c>
      <c r="T7322" t="s">
        <v>49062</v>
      </c>
      <c r="U7322" t="s">
        <v>55663</v>
      </c>
      <c r="V7322" t="s">
        <v>63312</v>
      </c>
      <c r="W7322" t="s">
        <v>45403</v>
      </c>
      <c r="X7322" t="s">
        <v>47312</v>
      </c>
    </row>
    <row r="7323" spans="1:24">
      <c r="A7323">
        <f>HYPERLINK("https://www.philgeps.gov.ph/GEPSNONPILOT/Tender/SplashBidNoticeAbstractUI.aspx?menuIndex=3&amp;refID=7191381&amp;Result=3","7191381")</f>
        <v>0</v>
      </c>
      <c r="B7323" t="s">
        <v>2309</v>
      </c>
      <c r="C7323" t="s">
        <v>10733</v>
      </c>
      <c r="D7323" t="s">
        <v>19042</v>
      </c>
      <c r="E7323" t="s">
        <v>25462</v>
      </c>
      <c r="F7323" t="s">
        <v>32606</v>
      </c>
      <c r="G7323" t="s">
        <v>32613</v>
      </c>
      <c r="H7323" t="s">
        <v>14201</v>
      </c>
      <c r="I7323" t="s">
        <v>6931</v>
      </c>
      <c r="J7323" t="s">
        <v>37405</v>
      </c>
      <c r="K7323" t="s">
        <v>42631</v>
      </c>
      <c r="M7323" t="s">
        <v>45415</v>
      </c>
      <c r="N7323" t="s">
        <v>47304</v>
      </c>
      <c r="O7323" t="s">
        <v>47305</v>
      </c>
      <c r="P7323">
        <v>0</v>
      </c>
      <c r="Q7323">
        <v>0</v>
      </c>
      <c r="R7323" t="s">
        <v>47311</v>
      </c>
      <c r="S7323" t="s">
        <v>47443</v>
      </c>
      <c r="T7323" t="s">
        <v>49084</v>
      </c>
      <c r="U7323" t="s">
        <v>55664</v>
      </c>
      <c r="W7323" t="s">
        <v>45415</v>
      </c>
      <c r="X7323" t="s">
        <v>47312</v>
      </c>
    </row>
    <row r="7324" spans="1:24">
      <c r="A7324">
        <f>HYPERLINK("https://www.philgeps.gov.ph/GEPSNONPILOT/Tender/SplashBidNoticeAbstractUI.aspx?menuIndex=3&amp;refID=7191482&amp;Result=3","7191482")</f>
        <v>0</v>
      </c>
      <c r="B7324" t="s">
        <v>1500</v>
      </c>
      <c r="C7324" t="s">
        <v>10734</v>
      </c>
      <c r="D7324" t="s">
        <v>19003</v>
      </c>
      <c r="E7324" t="s">
        <v>25463</v>
      </c>
      <c r="F7324" t="s">
        <v>32606</v>
      </c>
      <c r="G7324" t="s">
        <v>32613</v>
      </c>
      <c r="H7324" t="s">
        <v>32623</v>
      </c>
      <c r="I7324" t="s">
        <v>17648</v>
      </c>
      <c r="J7324" t="s">
        <v>33016</v>
      </c>
      <c r="K7324" t="s">
        <v>42636</v>
      </c>
      <c r="M7324" t="s">
        <v>45435</v>
      </c>
      <c r="N7324" t="s">
        <v>47304</v>
      </c>
      <c r="O7324" t="s">
        <v>47305</v>
      </c>
      <c r="P7324">
        <v>0</v>
      </c>
      <c r="Q7324">
        <v>0</v>
      </c>
      <c r="R7324" t="s">
        <v>47311</v>
      </c>
      <c r="S7324" t="s">
        <v>47443</v>
      </c>
      <c r="T7324" t="s">
        <v>49077</v>
      </c>
      <c r="U7324" t="s">
        <v>55665</v>
      </c>
      <c r="W7324" t="s">
        <v>45435</v>
      </c>
      <c r="X7324" t="s">
        <v>47312</v>
      </c>
    </row>
    <row r="7325" spans="1:24">
      <c r="A7325">
        <f>HYPERLINK("https://www.philgeps.gov.ph/GEPSNONPILOT/Tender/SplashBidNoticeAbstractUI.aspx?menuIndex=3&amp;refID=7191379&amp;Result=3","7191379")</f>
        <v>0</v>
      </c>
      <c r="B7325" t="s">
        <v>2388</v>
      </c>
      <c r="C7325" t="s">
        <v>10735</v>
      </c>
      <c r="D7325" t="s">
        <v>19028</v>
      </c>
      <c r="E7325" t="s">
        <v>25464</v>
      </c>
      <c r="F7325" t="s">
        <v>32606</v>
      </c>
      <c r="G7325" t="s">
        <v>32613</v>
      </c>
      <c r="H7325" t="s">
        <v>14201</v>
      </c>
      <c r="I7325" t="s">
        <v>32705</v>
      </c>
      <c r="J7325" t="s">
        <v>32830</v>
      </c>
      <c r="K7325" t="s">
        <v>42622</v>
      </c>
      <c r="M7325" t="s">
        <v>45506</v>
      </c>
      <c r="N7325" t="s">
        <v>47304</v>
      </c>
      <c r="O7325" t="s">
        <v>47305</v>
      </c>
      <c r="P7325">
        <v>0</v>
      </c>
      <c r="Q7325">
        <v>5</v>
      </c>
      <c r="R7325" t="s">
        <v>47311</v>
      </c>
      <c r="S7325" t="s">
        <v>47443</v>
      </c>
      <c r="T7325" t="s">
        <v>48979</v>
      </c>
      <c r="U7325" t="s">
        <v>55666</v>
      </c>
      <c r="W7325" t="s">
        <v>64503</v>
      </c>
      <c r="X7325" t="s">
        <v>47312</v>
      </c>
    </row>
    <row r="7326" spans="1:24">
      <c r="A7326">
        <f>HYPERLINK("https://www.philgeps.gov.ph/GEPSNONPILOT/Tender/SplashBidNoticeAbstractUI.aspx?menuIndex=3&amp;refID=7192435&amp;Result=3","7192435")</f>
        <v>0</v>
      </c>
      <c r="B7326" t="s">
        <v>963</v>
      </c>
      <c r="C7326" t="s">
        <v>10736</v>
      </c>
      <c r="D7326" t="s">
        <v>19024</v>
      </c>
      <c r="E7326" t="s">
        <v>25465</v>
      </c>
      <c r="F7326" t="s">
        <v>32606</v>
      </c>
      <c r="G7326" t="s">
        <v>32613</v>
      </c>
      <c r="H7326" t="s">
        <v>14201</v>
      </c>
      <c r="I7326" t="s">
        <v>32626</v>
      </c>
      <c r="J7326" t="s">
        <v>37406</v>
      </c>
      <c r="K7326" t="s">
        <v>42623</v>
      </c>
      <c r="M7326" t="s">
        <v>45507</v>
      </c>
      <c r="N7326" t="s">
        <v>47304</v>
      </c>
      <c r="O7326" t="s">
        <v>47305</v>
      </c>
      <c r="P7326">
        <v>0</v>
      </c>
      <c r="Q7326">
        <v>3</v>
      </c>
      <c r="R7326" t="s">
        <v>47311</v>
      </c>
      <c r="S7326" t="s">
        <v>47443</v>
      </c>
      <c r="T7326" t="s">
        <v>49368</v>
      </c>
      <c r="U7326" t="s">
        <v>55667</v>
      </c>
      <c r="W7326" t="s">
        <v>45507</v>
      </c>
      <c r="X7326" t="s">
        <v>47312</v>
      </c>
    </row>
    <row r="7327" spans="1:24">
      <c r="A7327">
        <f>HYPERLINK("https://www.philgeps.gov.ph/GEPSNONPILOT/Tender/SplashBidNoticeAbstractUI.aspx?menuIndex=3&amp;refID=7191375&amp;Result=3","7191375")</f>
        <v>0</v>
      </c>
      <c r="B7327" t="s">
        <v>2389</v>
      </c>
      <c r="C7327" t="s">
        <v>10737</v>
      </c>
      <c r="D7327" t="s">
        <v>19058</v>
      </c>
      <c r="E7327" t="s">
        <v>25466</v>
      </c>
      <c r="F7327" t="s">
        <v>32606</v>
      </c>
      <c r="G7327" t="s">
        <v>32613</v>
      </c>
      <c r="H7327" t="s">
        <v>14201</v>
      </c>
      <c r="I7327" t="s">
        <v>7064</v>
      </c>
      <c r="J7327" t="s">
        <v>32767</v>
      </c>
      <c r="K7327" t="s">
        <v>42627</v>
      </c>
      <c r="M7327" t="s">
        <v>45508</v>
      </c>
      <c r="N7327" t="s">
        <v>47304</v>
      </c>
      <c r="O7327" t="s">
        <v>47305</v>
      </c>
      <c r="P7327">
        <v>0</v>
      </c>
      <c r="Q7327">
        <v>5</v>
      </c>
      <c r="R7327" t="s">
        <v>47311</v>
      </c>
      <c r="S7327" t="s">
        <v>47443</v>
      </c>
      <c r="T7327" t="s">
        <v>48997</v>
      </c>
      <c r="U7327" t="s">
        <v>55668</v>
      </c>
      <c r="W7327" t="s">
        <v>45508</v>
      </c>
      <c r="X7327" t="s">
        <v>47312</v>
      </c>
    </row>
    <row r="7328" spans="1:24">
      <c r="A7328">
        <f>HYPERLINK("https://www.philgeps.gov.ph/GEPSNONPILOT/Tender/SplashBidNoticeAbstractUI.aspx?menuIndex=3&amp;refID=7191373&amp;Result=3","7191373")</f>
        <v>0</v>
      </c>
      <c r="B7328" t="s">
        <v>1247</v>
      </c>
      <c r="C7328" t="s">
        <v>10738</v>
      </c>
      <c r="D7328" t="s">
        <v>18993</v>
      </c>
      <c r="E7328" t="s">
        <v>25467</v>
      </c>
      <c r="F7328" t="s">
        <v>32606</v>
      </c>
      <c r="G7328" t="s">
        <v>32614</v>
      </c>
      <c r="H7328" t="s">
        <v>14201</v>
      </c>
      <c r="I7328" t="s">
        <v>6298</v>
      </c>
      <c r="J7328" t="s">
        <v>32765</v>
      </c>
      <c r="K7328" t="s">
        <v>42630</v>
      </c>
      <c r="M7328" t="s">
        <v>44213</v>
      </c>
      <c r="N7328" t="s">
        <v>47304</v>
      </c>
      <c r="O7328" t="s">
        <v>47305</v>
      </c>
      <c r="P7328">
        <v>0</v>
      </c>
      <c r="Q7328">
        <v>7</v>
      </c>
      <c r="R7328" t="s">
        <v>47311</v>
      </c>
      <c r="S7328" t="s">
        <v>47443</v>
      </c>
      <c r="T7328" t="s">
        <v>49072</v>
      </c>
      <c r="U7328" t="s">
        <v>55669</v>
      </c>
      <c r="W7328" t="s">
        <v>44213</v>
      </c>
      <c r="X7328" t="s">
        <v>47312</v>
      </c>
    </row>
    <row r="7329" spans="1:24">
      <c r="A7329">
        <f>HYPERLINK("https://www.philgeps.gov.ph/GEPSNONPILOT/Tender/SplashBidNoticeAbstractUI.aspx?menuIndex=3&amp;refID=7192441&amp;Result=3","7192441")</f>
        <v>0</v>
      </c>
      <c r="B7329" t="s">
        <v>1193</v>
      </c>
      <c r="C7329" t="s">
        <v>10739</v>
      </c>
      <c r="D7329" t="s">
        <v>19007</v>
      </c>
      <c r="E7329" t="s">
        <v>25468</v>
      </c>
      <c r="F7329" t="s">
        <v>32606</v>
      </c>
      <c r="G7329" t="s">
        <v>32613</v>
      </c>
      <c r="H7329" t="s">
        <v>14201</v>
      </c>
      <c r="I7329" t="s">
        <v>6298</v>
      </c>
      <c r="J7329" t="s">
        <v>37407</v>
      </c>
      <c r="K7329" t="s">
        <v>42624</v>
      </c>
      <c r="M7329" t="s">
        <v>44560</v>
      </c>
      <c r="N7329" t="s">
        <v>47304</v>
      </c>
      <c r="O7329" t="s">
        <v>47305</v>
      </c>
      <c r="P7329">
        <v>0</v>
      </c>
      <c r="Q7329">
        <v>0</v>
      </c>
      <c r="R7329" t="s">
        <v>47311</v>
      </c>
      <c r="S7329" t="s">
        <v>47443</v>
      </c>
      <c r="T7329" t="s">
        <v>49242</v>
      </c>
      <c r="U7329" t="s">
        <v>55670</v>
      </c>
      <c r="W7329" t="s">
        <v>44560</v>
      </c>
      <c r="X7329" t="s">
        <v>47312</v>
      </c>
    </row>
    <row r="7330" spans="1:24">
      <c r="A7330">
        <f>HYPERLINK("https://www.philgeps.gov.ph/GEPSNONPILOT/Tender/SplashBidNoticeAbstractUI.aspx?menuIndex=3&amp;refID=7192486&amp;Result=3","7192486")</f>
        <v>0</v>
      </c>
      <c r="B7330" t="s">
        <v>2390</v>
      </c>
      <c r="C7330" t="s">
        <v>10740</v>
      </c>
      <c r="D7330" t="s">
        <v>18999</v>
      </c>
      <c r="E7330" t="s">
        <v>20349</v>
      </c>
      <c r="F7330" t="s">
        <v>32606</v>
      </c>
      <c r="G7330" t="s">
        <v>32614</v>
      </c>
      <c r="H7330" t="s">
        <v>14201</v>
      </c>
      <c r="I7330" t="s">
        <v>32652</v>
      </c>
      <c r="J7330" t="s">
        <v>34000</v>
      </c>
      <c r="K7330" t="s">
        <v>42714</v>
      </c>
      <c r="M7330" t="s">
        <v>45509</v>
      </c>
      <c r="N7330" t="s">
        <v>47304</v>
      </c>
      <c r="O7330" t="s">
        <v>47305</v>
      </c>
      <c r="P7330">
        <v>0</v>
      </c>
      <c r="Q7330">
        <v>0</v>
      </c>
      <c r="R7330" t="s">
        <v>47311</v>
      </c>
      <c r="S7330" t="s">
        <v>47443</v>
      </c>
      <c r="T7330" t="s">
        <v>49221</v>
      </c>
      <c r="U7330" t="s">
        <v>55671</v>
      </c>
      <c r="W7330" t="s">
        <v>45509</v>
      </c>
      <c r="X7330" t="s">
        <v>47312</v>
      </c>
    </row>
    <row r="7331" spans="1:24">
      <c r="A7331">
        <f>HYPERLINK("https://www.philgeps.gov.ph/GEPSNONPILOT/Tender/SplashBidNoticeAbstractUI.aspx?menuIndex=3&amp;refID=7192082&amp;Result=3","7192082")</f>
        <v>0</v>
      </c>
      <c r="B7331" t="s">
        <v>691</v>
      </c>
      <c r="C7331" t="s">
        <v>10741</v>
      </c>
      <c r="D7331" t="s">
        <v>19000</v>
      </c>
      <c r="E7331" t="s">
        <v>25469</v>
      </c>
      <c r="F7331" t="s">
        <v>32606</v>
      </c>
      <c r="G7331" t="s">
        <v>32613</v>
      </c>
      <c r="H7331" t="s">
        <v>32623</v>
      </c>
      <c r="I7331" t="s">
        <v>17648</v>
      </c>
      <c r="J7331" t="s">
        <v>33871</v>
      </c>
      <c r="K7331" t="s">
        <v>42793</v>
      </c>
      <c r="M7331" t="s">
        <v>45510</v>
      </c>
      <c r="N7331" t="s">
        <v>47304</v>
      </c>
      <c r="O7331" t="s">
        <v>47305</v>
      </c>
      <c r="P7331">
        <v>0</v>
      </c>
      <c r="Q7331">
        <v>0</v>
      </c>
      <c r="R7331" t="s">
        <v>47311</v>
      </c>
      <c r="S7331" t="s">
        <v>47443</v>
      </c>
      <c r="T7331" t="s">
        <v>49086</v>
      </c>
      <c r="U7331" t="s">
        <v>55672</v>
      </c>
      <c r="W7331" t="s">
        <v>45510</v>
      </c>
      <c r="X7331" t="s">
        <v>47312</v>
      </c>
    </row>
    <row r="7332" spans="1:24">
      <c r="A7332">
        <f>HYPERLINK("https://www.philgeps.gov.ph/GEPSNONPILOT/Tender/SplashBidNoticeAbstractUI.aspx?menuIndex=3&amp;refID=7191481&amp;Result=3","7191481")</f>
        <v>0</v>
      </c>
      <c r="B7332" t="s">
        <v>487</v>
      </c>
      <c r="C7332" t="s">
        <v>10742</v>
      </c>
      <c r="D7332" t="s">
        <v>19027</v>
      </c>
      <c r="E7332" t="s">
        <v>25470</v>
      </c>
      <c r="F7332" t="s">
        <v>32606</v>
      </c>
      <c r="G7332" t="s">
        <v>32614</v>
      </c>
      <c r="H7332" t="s">
        <v>14201</v>
      </c>
      <c r="I7332" t="s">
        <v>4678</v>
      </c>
      <c r="J7332" t="s">
        <v>33060</v>
      </c>
      <c r="K7332" t="s">
        <v>42623</v>
      </c>
      <c r="M7332" t="s">
        <v>43399</v>
      </c>
      <c r="N7332" t="s">
        <v>47304</v>
      </c>
      <c r="O7332" t="s">
        <v>47305</v>
      </c>
      <c r="P7332">
        <v>0</v>
      </c>
      <c r="Q7332">
        <v>3</v>
      </c>
      <c r="R7332" t="s">
        <v>47311</v>
      </c>
      <c r="S7332" t="s">
        <v>47443</v>
      </c>
      <c r="T7332" t="s">
        <v>49068</v>
      </c>
      <c r="U7332" t="s">
        <v>55673</v>
      </c>
      <c r="W7332" t="s">
        <v>43399</v>
      </c>
      <c r="X7332" t="s">
        <v>47312</v>
      </c>
    </row>
    <row r="7333" spans="1:24">
      <c r="A7333">
        <f>HYPERLINK("https://www.philgeps.gov.ph/GEPSNONPILOT/Tender/SplashBidNoticeAbstractUI.aspx?menuIndex=3&amp;refID=7191378&amp;Result=3","7191378")</f>
        <v>0</v>
      </c>
      <c r="B7333" t="s">
        <v>2152</v>
      </c>
      <c r="C7333" t="s">
        <v>10743</v>
      </c>
      <c r="D7333" t="s">
        <v>19035</v>
      </c>
      <c r="E7333" t="s">
        <v>25471</v>
      </c>
      <c r="F7333" t="s">
        <v>32606</v>
      </c>
      <c r="G7333" t="s">
        <v>32613</v>
      </c>
      <c r="H7333" t="s">
        <v>14201</v>
      </c>
      <c r="I7333" t="s">
        <v>6298</v>
      </c>
      <c r="J7333" t="s">
        <v>37408</v>
      </c>
      <c r="K7333" t="s">
        <v>42622</v>
      </c>
      <c r="M7333" t="s">
        <v>45243</v>
      </c>
      <c r="N7333" t="s">
        <v>47304</v>
      </c>
      <c r="O7333" t="s">
        <v>47305</v>
      </c>
      <c r="P7333">
        <v>0</v>
      </c>
      <c r="Q7333">
        <v>3</v>
      </c>
      <c r="R7333" t="s">
        <v>47311</v>
      </c>
      <c r="S7333" t="s">
        <v>47443</v>
      </c>
      <c r="T7333" t="s">
        <v>49067</v>
      </c>
      <c r="U7333" t="s">
        <v>55674</v>
      </c>
      <c r="W7333" t="s">
        <v>45243</v>
      </c>
      <c r="X7333" t="s">
        <v>47312</v>
      </c>
    </row>
    <row r="7334" spans="1:24">
      <c r="A7334">
        <f>HYPERLINK("https://www.philgeps.gov.ph/GEPSNONPILOT/Tender/SplashBidNoticeAbstractUI.aspx?menuIndex=3&amp;refID=7192477&amp;Result=3","7192477")</f>
        <v>0</v>
      </c>
      <c r="B7334" t="s">
        <v>1918</v>
      </c>
      <c r="C7334" t="s">
        <v>10744</v>
      </c>
      <c r="D7334" t="s">
        <v>18993</v>
      </c>
      <c r="E7334" t="s">
        <v>25472</v>
      </c>
      <c r="F7334" t="s">
        <v>32606</v>
      </c>
      <c r="G7334" t="s">
        <v>32613</v>
      </c>
      <c r="H7334" t="s">
        <v>14201</v>
      </c>
      <c r="I7334" t="s">
        <v>32714</v>
      </c>
      <c r="J7334" t="s">
        <v>32861</v>
      </c>
      <c r="K7334" t="s">
        <v>42636</v>
      </c>
      <c r="M7334" t="s">
        <v>44977</v>
      </c>
      <c r="N7334" t="s">
        <v>47304</v>
      </c>
      <c r="O7334" t="s">
        <v>47305</v>
      </c>
      <c r="P7334">
        <v>0</v>
      </c>
      <c r="Q7334">
        <v>11</v>
      </c>
      <c r="R7334" t="s">
        <v>47311</v>
      </c>
      <c r="S7334" t="s">
        <v>47443</v>
      </c>
      <c r="T7334" t="s">
        <v>49037</v>
      </c>
      <c r="U7334" t="s">
        <v>55675</v>
      </c>
      <c r="W7334" t="s">
        <v>44977</v>
      </c>
      <c r="X7334" t="s">
        <v>47312</v>
      </c>
    </row>
    <row r="7335" spans="1:24">
      <c r="A7335">
        <f>HYPERLINK("https://www.philgeps.gov.ph/GEPSNONPILOT/Tender/SplashBidNoticeAbstractUI.aspx?menuIndex=3&amp;refID=7191374&amp;Result=3","7191374")</f>
        <v>0</v>
      </c>
      <c r="B7335" t="s">
        <v>253</v>
      </c>
      <c r="C7335" t="s">
        <v>10050</v>
      </c>
      <c r="D7335" t="s">
        <v>19043</v>
      </c>
      <c r="E7335" t="s">
        <v>25473</v>
      </c>
      <c r="F7335" t="s">
        <v>32606</v>
      </c>
      <c r="G7335" t="s">
        <v>32614</v>
      </c>
      <c r="H7335" t="s">
        <v>14201</v>
      </c>
      <c r="I7335" t="s">
        <v>4112</v>
      </c>
      <c r="J7335" t="s">
        <v>33185</v>
      </c>
      <c r="K7335" t="s">
        <v>42622</v>
      </c>
      <c r="M7335" t="s">
        <v>43154</v>
      </c>
      <c r="N7335" t="s">
        <v>47304</v>
      </c>
      <c r="O7335" t="s">
        <v>47305</v>
      </c>
      <c r="P7335">
        <v>0</v>
      </c>
      <c r="Q7335">
        <v>0</v>
      </c>
      <c r="R7335" t="s">
        <v>47311</v>
      </c>
      <c r="S7335" t="s">
        <v>47443</v>
      </c>
      <c r="T7335" t="s">
        <v>49023</v>
      </c>
      <c r="U7335" t="s">
        <v>55676</v>
      </c>
      <c r="W7335" t="s">
        <v>43154</v>
      </c>
      <c r="X7335" t="s">
        <v>47312</v>
      </c>
    </row>
    <row r="7336" spans="1:24">
      <c r="A7336">
        <f>HYPERLINK("https://www.philgeps.gov.ph/GEPSNONPILOT/Tender/SplashBidNoticeAbstractUI.aspx?menuIndex=3&amp;refID=7192476&amp;Result=3","7192476")</f>
        <v>0</v>
      </c>
      <c r="B7336" t="s">
        <v>928</v>
      </c>
      <c r="C7336" t="s">
        <v>10745</v>
      </c>
      <c r="D7336" t="s">
        <v>19027</v>
      </c>
      <c r="E7336" t="s">
        <v>25474</v>
      </c>
      <c r="F7336" t="s">
        <v>32606</v>
      </c>
      <c r="G7336" t="s">
        <v>32614</v>
      </c>
      <c r="H7336" t="s">
        <v>14201</v>
      </c>
      <c r="I7336" t="s">
        <v>6931</v>
      </c>
      <c r="J7336" t="s">
        <v>37409</v>
      </c>
      <c r="K7336" t="s">
        <v>42623</v>
      </c>
      <c r="M7336" t="s">
        <v>43868</v>
      </c>
      <c r="N7336" t="s">
        <v>47304</v>
      </c>
      <c r="O7336" t="s">
        <v>47305</v>
      </c>
      <c r="P7336">
        <v>0</v>
      </c>
      <c r="Q7336">
        <v>3</v>
      </c>
      <c r="R7336" t="s">
        <v>47311</v>
      </c>
      <c r="S7336" t="s">
        <v>47443</v>
      </c>
      <c r="T7336" t="s">
        <v>49268</v>
      </c>
      <c r="U7336" t="s">
        <v>55677</v>
      </c>
      <c r="W7336" t="s">
        <v>43868</v>
      </c>
      <c r="X7336" t="s">
        <v>47312</v>
      </c>
    </row>
    <row r="7337" spans="1:24">
      <c r="A7337">
        <f>HYPERLINK("https://www.philgeps.gov.ph/GEPSNONPILOT/Tender/SplashBidNoticeAbstractUI.aspx?menuIndex=3&amp;refID=7192473&amp;Result=3","7192473")</f>
        <v>0</v>
      </c>
      <c r="B7337" t="s">
        <v>2391</v>
      </c>
      <c r="C7337" t="s">
        <v>6800</v>
      </c>
      <c r="D7337" t="s">
        <v>19014</v>
      </c>
      <c r="E7337" t="s">
        <v>25475</v>
      </c>
      <c r="F7337" t="s">
        <v>32606</v>
      </c>
      <c r="G7337" t="s">
        <v>32615</v>
      </c>
      <c r="H7337" t="s">
        <v>32623</v>
      </c>
      <c r="I7337" t="s">
        <v>17648</v>
      </c>
      <c r="J7337" t="s">
        <v>32765</v>
      </c>
      <c r="K7337" t="s">
        <v>42624</v>
      </c>
      <c r="M7337" t="s">
        <v>45511</v>
      </c>
      <c r="N7337" t="s">
        <v>47304</v>
      </c>
      <c r="O7337" t="s">
        <v>47305</v>
      </c>
      <c r="P7337">
        <v>0</v>
      </c>
      <c r="Q7337">
        <v>1</v>
      </c>
      <c r="R7337" t="s">
        <v>47311</v>
      </c>
      <c r="S7337" t="s">
        <v>47443</v>
      </c>
      <c r="T7337" t="s">
        <v>49014</v>
      </c>
      <c r="U7337" t="s">
        <v>55678</v>
      </c>
      <c r="W7337" t="s">
        <v>45511</v>
      </c>
      <c r="X7337" t="s">
        <v>47312</v>
      </c>
    </row>
    <row r="7338" spans="1:24">
      <c r="A7338">
        <f>HYPERLINK("https://www.philgeps.gov.ph/GEPSNONPILOT/Tender/SplashBidNoticeAbstractUI.aspx?menuIndex=3&amp;refID=7192468&amp;Result=3","7192468")</f>
        <v>0</v>
      </c>
      <c r="B7338" t="s">
        <v>1864</v>
      </c>
      <c r="C7338" t="s">
        <v>10746</v>
      </c>
      <c r="D7338" t="s">
        <v>19029</v>
      </c>
      <c r="E7338" t="s">
        <v>21868</v>
      </c>
      <c r="F7338" t="s">
        <v>32606</v>
      </c>
      <c r="G7338" t="s">
        <v>32614</v>
      </c>
      <c r="H7338" t="s">
        <v>32623</v>
      </c>
      <c r="I7338" t="s">
        <v>17648</v>
      </c>
      <c r="J7338" t="s">
        <v>37410</v>
      </c>
      <c r="K7338" t="s">
        <v>42638</v>
      </c>
      <c r="M7338" t="s">
        <v>44921</v>
      </c>
      <c r="N7338" t="s">
        <v>47304</v>
      </c>
      <c r="O7338" t="s">
        <v>47305</v>
      </c>
      <c r="P7338">
        <v>0</v>
      </c>
      <c r="Q7338">
        <v>0</v>
      </c>
      <c r="R7338" t="s">
        <v>47311</v>
      </c>
      <c r="S7338" t="s">
        <v>47443</v>
      </c>
      <c r="T7338" t="s">
        <v>49311</v>
      </c>
      <c r="U7338" t="s">
        <v>55605</v>
      </c>
      <c r="W7338" t="s">
        <v>44921</v>
      </c>
      <c r="X7338" t="s">
        <v>47312</v>
      </c>
    </row>
    <row r="7339" spans="1:24">
      <c r="A7339">
        <f>HYPERLINK("https://www.philgeps.gov.ph/GEPSNONPILOT/Tender/SplashBidNoticeAbstractUI.aspx?menuIndex=3&amp;refID=7192464&amp;Result=3","7192464")</f>
        <v>0</v>
      </c>
      <c r="B7339" t="s">
        <v>1193</v>
      </c>
      <c r="C7339" t="s">
        <v>10747</v>
      </c>
      <c r="D7339" t="s">
        <v>19007</v>
      </c>
      <c r="E7339" t="s">
        <v>25476</v>
      </c>
      <c r="F7339" t="s">
        <v>32606</v>
      </c>
      <c r="G7339" t="s">
        <v>32613</v>
      </c>
      <c r="H7339" t="s">
        <v>14201</v>
      </c>
      <c r="I7339" t="s">
        <v>32691</v>
      </c>
      <c r="J7339" t="s">
        <v>33771</v>
      </c>
      <c r="K7339" t="s">
        <v>42624</v>
      </c>
      <c r="M7339" t="s">
        <v>44560</v>
      </c>
      <c r="N7339" t="s">
        <v>47304</v>
      </c>
      <c r="O7339" t="s">
        <v>47305</v>
      </c>
      <c r="P7339">
        <v>0</v>
      </c>
      <c r="Q7339">
        <v>8</v>
      </c>
      <c r="R7339" t="s">
        <v>47311</v>
      </c>
      <c r="S7339" t="s">
        <v>47443</v>
      </c>
      <c r="T7339" t="s">
        <v>49242</v>
      </c>
      <c r="U7339" t="s">
        <v>55679</v>
      </c>
      <c r="W7339" t="s">
        <v>44560</v>
      </c>
      <c r="X7339" t="s">
        <v>47312</v>
      </c>
    </row>
    <row r="7340" spans="1:24">
      <c r="A7340">
        <f>HYPERLINK("https://www.philgeps.gov.ph/GEPSNONPILOT/Tender/SplashBidNoticeAbstractUI.aspx?menuIndex=3&amp;refID=7192458&amp;Result=3","7192458")</f>
        <v>0</v>
      </c>
      <c r="B7340" t="s">
        <v>1644</v>
      </c>
      <c r="C7340" t="s">
        <v>10748</v>
      </c>
      <c r="D7340" t="s">
        <v>19022</v>
      </c>
      <c r="E7340" t="s">
        <v>25477</v>
      </c>
      <c r="F7340" t="s">
        <v>32606</v>
      </c>
      <c r="G7340" t="s">
        <v>32617</v>
      </c>
      <c r="H7340" t="s">
        <v>14201</v>
      </c>
      <c r="I7340" t="s">
        <v>4678</v>
      </c>
      <c r="J7340" t="s">
        <v>32813</v>
      </c>
      <c r="K7340" t="s">
        <v>42630</v>
      </c>
      <c r="M7340" t="s">
        <v>44665</v>
      </c>
      <c r="N7340" t="s">
        <v>47304</v>
      </c>
      <c r="O7340" t="s">
        <v>47305</v>
      </c>
      <c r="P7340">
        <v>0</v>
      </c>
      <c r="Q7340">
        <v>0</v>
      </c>
      <c r="R7340" t="s">
        <v>47311</v>
      </c>
      <c r="S7340" t="s">
        <v>47443</v>
      </c>
      <c r="T7340" t="s">
        <v>49071</v>
      </c>
      <c r="U7340" t="s">
        <v>55624</v>
      </c>
      <c r="W7340" t="s">
        <v>64478</v>
      </c>
      <c r="X7340" t="s">
        <v>47312</v>
      </c>
    </row>
    <row r="7341" spans="1:24">
      <c r="A7341">
        <f>HYPERLINK("https://www.philgeps.gov.ph/GEPSNONPILOT/Tender/SplashBidNoticeAbstractUI.aspx?menuIndex=3&amp;refID=7192455&amp;Result=3","7192455")</f>
        <v>0</v>
      </c>
      <c r="B7341" t="s">
        <v>505</v>
      </c>
      <c r="C7341" t="s">
        <v>10749</v>
      </c>
      <c r="D7341" t="s">
        <v>19043</v>
      </c>
      <c r="E7341" t="s">
        <v>25478</v>
      </c>
      <c r="F7341" t="s">
        <v>32606</v>
      </c>
      <c r="G7341" t="s">
        <v>32613</v>
      </c>
      <c r="H7341" t="s">
        <v>14201</v>
      </c>
      <c r="I7341" t="s">
        <v>6931</v>
      </c>
      <c r="J7341" t="s">
        <v>37411</v>
      </c>
      <c r="K7341" t="s">
        <v>42622</v>
      </c>
      <c r="M7341" t="s">
        <v>45287</v>
      </c>
      <c r="N7341" t="s">
        <v>47304</v>
      </c>
      <c r="O7341" t="s">
        <v>47305</v>
      </c>
      <c r="P7341">
        <v>0</v>
      </c>
      <c r="Q7341">
        <v>0</v>
      </c>
      <c r="R7341" t="s">
        <v>47311</v>
      </c>
      <c r="S7341" t="s">
        <v>47443</v>
      </c>
      <c r="T7341" t="s">
        <v>48980</v>
      </c>
      <c r="U7341" t="s">
        <v>55680</v>
      </c>
      <c r="V7341" t="s">
        <v>63276</v>
      </c>
      <c r="W7341" t="s">
        <v>45287</v>
      </c>
      <c r="X7341" t="s">
        <v>47312</v>
      </c>
    </row>
    <row r="7342" spans="1:24">
      <c r="A7342">
        <f>HYPERLINK("https://www.philgeps.gov.ph/GEPSNONPILOT/Tender/SplashBidNoticeAbstractUI.aspx?menuIndex=3&amp;refID=7192485&amp;Result=3","7192485")</f>
        <v>0</v>
      </c>
      <c r="B7342" t="s">
        <v>2297</v>
      </c>
      <c r="C7342" t="s">
        <v>10750</v>
      </c>
      <c r="D7342" t="s">
        <v>19024</v>
      </c>
      <c r="E7342" t="s">
        <v>25479</v>
      </c>
      <c r="F7342" t="s">
        <v>32606</v>
      </c>
      <c r="G7342" t="s">
        <v>32613</v>
      </c>
      <c r="H7342" t="s">
        <v>14201</v>
      </c>
      <c r="I7342" t="s">
        <v>32640</v>
      </c>
      <c r="J7342" t="s">
        <v>33113</v>
      </c>
      <c r="K7342" t="s">
        <v>42631</v>
      </c>
      <c r="M7342" t="s">
        <v>45512</v>
      </c>
      <c r="N7342" t="s">
        <v>47304</v>
      </c>
      <c r="O7342" t="s">
        <v>47305</v>
      </c>
      <c r="P7342">
        <v>0</v>
      </c>
      <c r="Q7342">
        <v>1</v>
      </c>
      <c r="R7342" t="s">
        <v>47311</v>
      </c>
      <c r="S7342" t="s">
        <v>47443</v>
      </c>
      <c r="T7342" t="s">
        <v>49242</v>
      </c>
      <c r="U7342" t="s">
        <v>55681</v>
      </c>
      <c r="V7342" t="s">
        <v>63312</v>
      </c>
      <c r="W7342" t="s">
        <v>45540</v>
      </c>
      <c r="X7342" t="s">
        <v>47312</v>
      </c>
    </row>
    <row r="7343" spans="1:24">
      <c r="A7343">
        <f>HYPERLINK("https://www.philgeps.gov.ph/GEPSNONPILOT/Tender/SplashBidNoticeAbstractUI.aspx?menuIndex=3&amp;refID=7192454&amp;Result=3","7192454")</f>
        <v>0</v>
      </c>
      <c r="B7343" t="s">
        <v>1453</v>
      </c>
      <c r="C7343" t="s">
        <v>10751</v>
      </c>
      <c r="D7343" t="s">
        <v>19011</v>
      </c>
      <c r="E7343" t="s">
        <v>25480</v>
      </c>
      <c r="F7343" t="s">
        <v>32606</v>
      </c>
      <c r="G7343" t="s">
        <v>32613</v>
      </c>
      <c r="H7343" t="s">
        <v>32623</v>
      </c>
      <c r="I7343" t="s">
        <v>17648</v>
      </c>
      <c r="J7343" t="s">
        <v>37412</v>
      </c>
      <c r="K7343" t="s">
        <v>42631</v>
      </c>
      <c r="M7343" t="s">
        <v>44444</v>
      </c>
      <c r="N7343" t="s">
        <v>47304</v>
      </c>
      <c r="O7343" t="s">
        <v>47305</v>
      </c>
      <c r="P7343">
        <v>0</v>
      </c>
      <c r="Q7343">
        <v>0</v>
      </c>
      <c r="R7343" t="s">
        <v>47311</v>
      </c>
      <c r="S7343" t="s">
        <v>47443</v>
      </c>
      <c r="T7343" t="s">
        <v>48987</v>
      </c>
      <c r="U7343" t="s">
        <v>55682</v>
      </c>
      <c r="W7343" t="s">
        <v>44444</v>
      </c>
      <c r="X7343" t="s">
        <v>47312</v>
      </c>
    </row>
    <row r="7344" spans="1:24">
      <c r="A7344">
        <f>HYPERLINK("https://www.philgeps.gov.ph/GEPSNONPILOT/Tender/SplashBidNoticeAbstractUI.aspx?menuIndex=3&amp;refID=7192478&amp;Result=3","7192478")</f>
        <v>0</v>
      </c>
      <c r="B7344" t="s">
        <v>1864</v>
      </c>
      <c r="C7344" t="s">
        <v>10752</v>
      </c>
      <c r="D7344" t="s">
        <v>19029</v>
      </c>
      <c r="E7344" t="s">
        <v>25481</v>
      </c>
      <c r="F7344" t="s">
        <v>32606</v>
      </c>
      <c r="G7344" t="s">
        <v>32614</v>
      </c>
      <c r="H7344" t="s">
        <v>32623</v>
      </c>
      <c r="I7344" t="s">
        <v>17648</v>
      </c>
      <c r="J7344" t="s">
        <v>37413</v>
      </c>
      <c r="K7344" t="s">
        <v>42737</v>
      </c>
      <c r="M7344" t="s">
        <v>44921</v>
      </c>
      <c r="N7344" t="s">
        <v>47304</v>
      </c>
      <c r="O7344" t="s">
        <v>47305</v>
      </c>
      <c r="P7344">
        <v>0</v>
      </c>
      <c r="Q7344">
        <v>0</v>
      </c>
      <c r="R7344" t="s">
        <v>47311</v>
      </c>
      <c r="S7344" t="s">
        <v>47443</v>
      </c>
      <c r="T7344" t="s">
        <v>49311</v>
      </c>
      <c r="U7344" t="s">
        <v>55605</v>
      </c>
      <c r="W7344" t="s">
        <v>44921</v>
      </c>
      <c r="X7344" t="s">
        <v>47312</v>
      </c>
    </row>
    <row r="7345" spans="1:24">
      <c r="A7345">
        <f>HYPERLINK("https://www.philgeps.gov.ph/GEPSNONPILOT/Tender/SplashBidNoticeAbstractUI.aspx?menuIndex=3&amp;refID=7192472&amp;Result=3","7192472")</f>
        <v>0</v>
      </c>
      <c r="B7345" t="s">
        <v>2392</v>
      </c>
      <c r="C7345" t="s">
        <v>10753</v>
      </c>
      <c r="E7345" t="s">
        <v>25482</v>
      </c>
      <c r="F7345" t="s">
        <v>32606</v>
      </c>
      <c r="G7345" t="s">
        <v>32614</v>
      </c>
      <c r="H7345" t="s">
        <v>14201</v>
      </c>
      <c r="I7345" t="s">
        <v>6309</v>
      </c>
      <c r="J7345" t="s">
        <v>32981</v>
      </c>
      <c r="K7345" t="s">
        <v>42624</v>
      </c>
      <c r="M7345" t="s">
        <v>45513</v>
      </c>
      <c r="N7345" t="s">
        <v>47304</v>
      </c>
      <c r="O7345" t="s">
        <v>47305</v>
      </c>
      <c r="P7345">
        <v>0</v>
      </c>
      <c r="Q7345">
        <v>5</v>
      </c>
      <c r="R7345" t="s">
        <v>47311</v>
      </c>
      <c r="S7345" t="s">
        <v>47443</v>
      </c>
      <c r="T7345" t="s">
        <v>49020</v>
      </c>
      <c r="U7345" t="s">
        <v>50223</v>
      </c>
      <c r="W7345" t="s">
        <v>45513</v>
      </c>
      <c r="X7345" t="s">
        <v>47312</v>
      </c>
    </row>
    <row r="7346" spans="1:24">
      <c r="A7346">
        <f>HYPERLINK("https://www.philgeps.gov.ph/GEPSNONPILOT/Tender/SplashBidNoticeAbstractUI.aspx?menuIndex=3&amp;refID=7192551&amp;Result=3","7192551")</f>
        <v>0</v>
      </c>
      <c r="B7346" t="s">
        <v>2393</v>
      </c>
      <c r="C7346" t="s">
        <v>10754</v>
      </c>
      <c r="D7346" t="s">
        <v>19051</v>
      </c>
      <c r="E7346" t="s">
        <v>25483</v>
      </c>
      <c r="F7346" t="s">
        <v>32606</v>
      </c>
      <c r="G7346" t="s">
        <v>32613</v>
      </c>
      <c r="H7346" t="s">
        <v>14201</v>
      </c>
      <c r="I7346" t="s">
        <v>4115</v>
      </c>
      <c r="J7346" t="s">
        <v>37414</v>
      </c>
      <c r="K7346" t="s">
        <v>42638</v>
      </c>
      <c r="M7346" t="s">
        <v>45514</v>
      </c>
      <c r="N7346" t="s">
        <v>47304</v>
      </c>
      <c r="O7346" t="s">
        <v>47305</v>
      </c>
      <c r="P7346">
        <v>0</v>
      </c>
      <c r="Q7346">
        <v>3</v>
      </c>
      <c r="R7346" t="s">
        <v>47311</v>
      </c>
      <c r="S7346" t="s">
        <v>47443</v>
      </c>
      <c r="T7346" t="s">
        <v>48987</v>
      </c>
      <c r="U7346" t="s">
        <v>55683</v>
      </c>
      <c r="W7346" t="s">
        <v>45514</v>
      </c>
      <c r="X7346" t="s">
        <v>47312</v>
      </c>
    </row>
    <row r="7347" spans="1:24">
      <c r="A7347">
        <f>HYPERLINK("https://www.philgeps.gov.ph/GEPSNONPILOT/Tender/SplashBidNoticeAbstractUI.aspx?menuIndex=3&amp;refID=7192538&amp;Result=3","7192538")</f>
        <v>0</v>
      </c>
      <c r="B7347" t="s">
        <v>1193</v>
      </c>
      <c r="C7347" t="s">
        <v>10755</v>
      </c>
      <c r="D7347" t="s">
        <v>19007</v>
      </c>
      <c r="E7347" t="s">
        <v>25484</v>
      </c>
      <c r="F7347" t="s">
        <v>32606</v>
      </c>
      <c r="G7347" t="s">
        <v>32613</v>
      </c>
      <c r="H7347" t="s">
        <v>14201</v>
      </c>
      <c r="I7347" t="s">
        <v>4369</v>
      </c>
      <c r="J7347" t="s">
        <v>37415</v>
      </c>
      <c r="K7347" t="s">
        <v>42624</v>
      </c>
      <c r="M7347" t="s">
        <v>44227</v>
      </c>
      <c r="N7347" t="s">
        <v>47304</v>
      </c>
      <c r="O7347" t="s">
        <v>47305</v>
      </c>
      <c r="P7347">
        <v>0</v>
      </c>
      <c r="Q7347">
        <v>4</v>
      </c>
      <c r="R7347" t="s">
        <v>47311</v>
      </c>
      <c r="S7347" t="s">
        <v>47443</v>
      </c>
      <c r="T7347" t="s">
        <v>49368</v>
      </c>
      <c r="U7347" t="s">
        <v>55684</v>
      </c>
      <c r="W7347" t="s">
        <v>44560</v>
      </c>
      <c r="X7347" t="s">
        <v>47312</v>
      </c>
    </row>
    <row r="7348" spans="1:24">
      <c r="A7348">
        <f>HYPERLINK("https://www.philgeps.gov.ph/GEPSNONPILOT/Tender/SplashBidNoticeAbstractUI.aspx?menuIndex=3&amp;refID=7192537&amp;Result=3","7192537")</f>
        <v>0</v>
      </c>
      <c r="B7348" t="s">
        <v>2394</v>
      </c>
      <c r="C7348" t="s">
        <v>10756</v>
      </c>
      <c r="D7348" t="s">
        <v>19027</v>
      </c>
      <c r="E7348" t="s">
        <v>25485</v>
      </c>
      <c r="F7348" t="s">
        <v>32606</v>
      </c>
      <c r="G7348" t="s">
        <v>32613</v>
      </c>
      <c r="H7348" t="s">
        <v>14201</v>
      </c>
      <c r="I7348" t="s">
        <v>4678</v>
      </c>
      <c r="J7348" t="s">
        <v>32981</v>
      </c>
      <c r="K7348" t="s">
        <v>42624</v>
      </c>
      <c r="L7348" t="s">
        <v>2394</v>
      </c>
      <c r="M7348" t="s">
        <v>45515</v>
      </c>
      <c r="N7348" t="s">
        <v>47304</v>
      </c>
      <c r="O7348" t="s">
        <v>47305</v>
      </c>
      <c r="P7348">
        <v>0</v>
      </c>
      <c r="Q7348">
        <v>2</v>
      </c>
      <c r="R7348" t="s">
        <v>47311</v>
      </c>
      <c r="S7348" t="s">
        <v>47443</v>
      </c>
      <c r="T7348" t="s">
        <v>48988</v>
      </c>
      <c r="U7348" t="s">
        <v>55685</v>
      </c>
      <c r="W7348" t="s">
        <v>45515</v>
      </c>
      <c r="X7348" t="s">
        <v>47312</v>
      </c>
    </row>
    <row r="7349" spans="1:24">
      <c r="A7349">
        <f>HYPERLINK("https://www.philgeps.gov.ph/GEPSNONPILOT/Tender/SplashBidNoticeAbstractUI.aspx?menuIndex=3&amp;refID=7192393&amp;Result=3","7192393")</f>
        <v>0</v>
      </c>
      <c r="B7349" t="s">
        <v>2395</v>
      </c>
      <c r="C7349" t="s">
        <v>10757</v>
      </c>
      <c r="D7349" t="s">
        <v>19050</v>
      </c>
      <c r="E7349" t="s">
        <v>25486</v>
      </c>
      <c r="F7349" t="s">
        <v>32606</v>
      </c>
      <c r="G7349" t="s">
        <v>32613</v>
      </c>
      <c r="H7349" t="s">
        <v>14201</v>
      </c>
      <c r="I7349" t="s">
        <v>6931</v>
      </c>
      <c r="J7349" t="s">
        <v>37416</v>
      </c>
      <c r="K7349" t="s">
        <v>42622</v>
      </c>
      <c r="L7349" t="s">
        <v>2395</v>
      </c>
      <c r="M7349" t="s">
        <v>45516</v>
      </c>
      <c r="N7349" t="s">
        <v>47304</v>
      </c>
      <c r="O7349" t="s">
        <v>47305</v>
      </c>
      <c r="P7349">
        <v>0</v>
      </c>
      <c r="Q7349">
        <v>0</v>
      </c>
      <c r="R7349" t="s">
        <v>47311</v>
      </c>
      <c r="S7349" t="s">
        <v>47443</v>
      </c>
      <c r="T7349" t="s">
        <v>48979</v>
      </c>
      <c r="U7349" t="s">
        <v>55686</v>
      </c>
      <c r="V7349" t="s">
        <v>63352</v>
      </c>
      <c r="W7349" t="s">
        <v>45516</v>
      </c>
      <c r="X7349" t="s">
        <v>47312</v>
      </c>
    </row>
    <row r="7350" spans="1:24">
      <c r="A7350">
        <f>HYPERLINK("https://www.philgeps.gov.ph/GEPSNONPILOT/Tender/SplashBidNoticeAbstractUI.aspx?menuIndex=3&amp;refID=7192534&amp;Result=3","7192534")</f>
        <v>0</v>
      </c>
      <c r="B7350" t="s">
        <v>1644</v>
      </c>
      <c r="C7350" t="s">
        <v>8270</v>
      </c>
      <c r="D7350" t="s">
        <v>19022</v>
      </c>
      <c r="E7350" t="s">
        <v>25487</v>
      </c>
      <c r="F7350" t="s">
        <v>32606</v>
      </c>
      <c r="G7350" t="s">
        <v>32614</v>
      </c>
      <c r="H7350" t="s">
        <v>14201</v>
      </c>
      <c r="I7350" t="s">
        <v>6007</v>
      </c>
      <c r="J7350" t="s">
        <v>35531</v>
      </c>
      <c r="K7350" t="s">
        <v>42630</v>
      </c>
      <c r="M7350" t="s">
        <v>44665</v>
      </c>
      <c r="N7350" t="s">
        <v>47304</v>
      </c>
      <c r="O7350" t="s">
        <v>47305</v>
      </c>
      <c r="P7350">
        <v>0</v>
      </c>
      <c r="Q7350">
        <v>0</v>
      </c>
      <c r="R7350" t="s">
        <v>47311</v>
      </c>
      <c r="S7350" t="s">
        <v>47443</v>
      </c>
      <c r="T7350" t="s">
        <v>49071</v>
      </c>
      <c r="U7350" t="s">
        <v>55577</v>
      </c>
      <c r="W7350" t="s">
        <v>64478</v>
      </c>
      <c r="X7350" t="s">
        <v>47312</v>
      </c>
    </row>
    <row r="7351" spans="1:24">
      <c r="A7351">
        <f>HYPERLINK("https://www.philgeps.gov.ph/GEPSNONPILOT/Tender/SplashBidNoticeAbstractUI.aspx?menuIndex=3&amp;refID=7192532&amp;Result=3","7192532")</f>
        <v>0</v>
      </c>
      <c r="B7351" t="s">
        <v>1193</v>
      </c>
      <c r="C7351" t="s">
        <v>10758</v>
      </c>
      <c r="D7351" t="s">
        <v>19007</v>
      </c>
      <c r="E7351" t="s">
        <v>25484</v>
      </c>
      <c r="F7351" t="s">
        <v>32606</v>
      </c>
      <c r="G7351" t="s">
        <v>32613</v>
      </c>
      <c r="H7351" t="s">
        <v>14201</v>
      </c>
      <c r="I7351" t="s">
        <v>32680</v>
      </c>
      <c r="J7351" t="s">
        <v>37417</v>
      </c>
      <c r="K7351" t="s">
        <v>42624</v>
      </c>
      <c r="M7351" t="s">
        <v>44227</v>
      </c>
      <c r="N7351" t="s">
        <v>47304</v>
      </c>
      <c r="O7351" t="s">
        <v>47305</v>
      </c>
      <c r="P7351">
        <v>0</v>
      </c>
      <c r="Q7351">
        <v>2</v>
      </c>
      <c r="R7351" t="s">
        <v>47311</v>
      </c>
      <c r="S7351" t="s">
        <v>47443</v>
      </c>
      <c r="T7351" t="s">
        <v>49368</v>
      </c>
      <c r="U7351" t="s">
        <v>55687</v>
      </c>
      <c r="W7351" t="s">
        <v>44560</v>
      </c>
      <c r="X7351" t="s">
        <v>47312</v>
      </c>
    </row>
    <row r="7352" spans="1:24">
      <c r="A7352">
        <f>HYPERLINK("https://www.philgeps.gov.ph/GEPSNONPILOT/Tender/SplashBidNoticeAbstractUI.aspx?menuIndex=3&amp;refID=7192553&amp;Result=3","7192553")</f>
        <v>0</v>
      </c>
      <c r="B7352" t="s">
        <v>2396</v>
      </c>
      <c r="C7352" t="s">
        <v>10759</v>
      </c>
      <c r="D7352" t="s">
        <v>19014</v>
      </c>
      <c r="E7352" t="s">
        <v>25488</v>
      </c>
      <c r="F7352" t="s">
        <v>32606</v>
      </c>
      <c r="G7352" t="s">
        <v>32613</v>
      </c>
      <c r="H7352" t="s">
        <v>14201</v>
      </c>
      <c r="I7352" t="s">
        <v>4120</v>
      </c>
      <c r="J7352" t="s">
        <v>35636</v>
      </c>
      <c r="K7352" t="s">
        <v>42623</v>
      </c>
      <c r="M7352" t="s">
        <v>45517</v>
      </c>
      <c r="N7352" t="s">
        <v>47304</v>
      </c>
      <c r="O7352" t="s">
        <v>47305</v>
      </c>
      <c r="P7352">
        <v>0</v>
      </c>
      <c r="Q7352">
        <v>1</v>
      </c>
      <c r="R7352" t="s">
        <v>47311</v>
      </c>
      <c r="S7352" t="s">
        <v>47443</v>
      </c>
      <c r="T7352" t="s">
        <v>48979</v>
      </c>
      <c r="U7352" t="s">
        <v>55688</v>
      </c>
      <c r="V7352" t="s">
        <v>63353</v>
      </c>
      <c r="W7352" t="s">
        <v>45517</v>
      </c>
      <c r="X7352" t="s">
        <v>47312</v>
      </c>
    </row>
    <row r="7353" spans="1:24">
      <c r="A7353">
        <f>HYPERLINK("https://www.philgeps.gov.ph/GEPSNONPILOT/Tender/SplashBidNoticeAbstractUI.aspx?menuIndex=3&amp;refID=7192526&amp;Result=3","7192526")</f>
        <v>0</v>
      </c>
      <c r="B7353" t="s">
        <v>916</v>
      </c>
      <c r="C7353" t="s">
        <v>10760</v>
      </c>
      <c r="D7353" t="s">
        <v>19028</v>
      </c>
      <c r="E7353" t="s">
        <v>25489</v>
      </c>
      <c r="F7353" t="s">
        <v>32606</v>
      </c>
      <c r="G7353" t="s">
        <v>32614</v>
      </c>
      <c r="H7353" t="s">
        <v>14201</v>
      </c>
      <c r="I7353" t="s">
        <v>7233</v>
      </c>
      <c r="J7353" t="s">
        <v>35722</v>
      </c>
      <c r="K7353" t="s">
        <v>42624</v>
      </c>
      <c r="M7353" t="s">
        <v>43856</v>
      </c>
      <c r="N7353" t="s">
        <v>47304</v>
      </c>
      <c r="O7353" t="s">
        <v>47305</v>
      </c>
      <c r="P7353">
        <v>0</v>
      </c>
      <c r="Q7353">
        <v>0</v>
      </c>
      <c r="R7353" t="s">
        <v>47311</v>
      </c>
      <c r="S7353" t="s">
        <v>47443</v>
      </c>
      <c r="T7353" t="s">
        <v>49068</v>
      </c>
      <c r="U7353" t="s">
        <v>55270</v>
      </c>
      <c r="W7353" t="s">
        <v>43856</v>
      </c>
      <c r="X7353" t="s">
        <v>47312</v>
      </c>
    </row>
    <row r="7354" spans="1:24">
      <c r="A7354">
        <f>HYPERLINK("https://www.philgeps.gov.ph/GEPSNONPILOT/Tender/SplashBidNoticeAbstractUI.aspx?menuIndex=3&amp;refID=7192514&amp;Result=3","7192514")</f>
        <v>0</v>
      </c>
      <c r="B7354" t="s">
        <v>2394</v>
      </c>
      <c r="C7354" t="s">
        <v>10761</v>
      </c>
      <c r="D7354" t="s">
        <v>19027</v>
      </c>
      <c r="E7354" t="s">
        <v>25490</v>
      </c>
      <c r="F7354" t="s">
        <v>32606</v>
      </c>
      <c r="G7354" t="s">
        <v>32613</v>
      </c>
      <c r="H7354" t="s">
        <v>14201</v>
      </c>
      <c r="I7354" t="s">
        <v>6931</v>
      </c>
      <c r="J7354" t="s">
        <v>37418</v>
      </c>
      <c r="K7354" t="s">
        <v>42624</v>
      </c>
      <c r="L7354" t="s">
        <v>2394</v>
      </c>
      <c r="M7354" t="s">
        <v>45515</v>
      </c>
      <c r="N7354" t="s">
        <v>47304</v>
      </c>
      <c r="O7354" t="s">
        <v>47305</v>
      </c>
      <c r="P7354">
        <v>0</v>
      </c>
      <c r="Q7354">
        <v>0</v>
      </c>
      <c r="R7354" t="s">
        <v>47311</v>
      </c>
      <c r="S7354" t="s">
        <v>47443</v>
      </c>
      <c r="T7354" t="s">
        <v>48976</v>
      </c>
      <c r="U7354" t="s">
        <v>55689</v>
      </c>
      <c r="W7354" t="s">
        <v>45515</v>
      </c>
      <c r="X7354" t="s">
        <v>47312</v>
      </c>
    </row>
    <row r="7355" spans="1:24">
      <c r="A7355">
        <f>HYPERLINK("https://www.philgeps.gov.ph/GEPSNONPILOT/Tender/SplashBidNoticeAbstractUI.aspx?menuIndex=3&amp;refID=7192482&amp;Result=3","7192482")</f>
        <v>0</v>
      </c>
      <c r="B7355" t="s">
        <v>2397</v>
      </c>
      <c r="C7355" t="s">
        <v>10762</v>
      </c>
      <c r="E7355" t="s">
        <v>25491</v>
      </c>
      <c r="F7355" t="s">
        <v>32606</v>
      </c>
      <c r="G7355" t="s">
        <v>32613</v>
      </c>
      <c r="H7355" t="s">
        <v>32623</v>
      </c>
      <c r="I7355" t="s">
        <v>17648</v>
      </c>
      <c r="J7355" t="s">
        <v>37419</v>
      </c>
      <c r="K7355" t="s">
        <v>42624</v>
      </c>
      <c r="M7355" t="s">
        <v>45518</v>
      </c>
      <c r="N7355" t="s">
        <v>47304</v>
      </c>
      <c r="O7355" t="s">
        <v>47305</v>
      </c>
      <c r="P7355">
        <v>0</v>
      </c>
      <c r="Q7355">
        <v>16</v>
      </c>
      <c r="R7355" t="s">
        <v>47311</v>
      </c>
      <c r="S7355" t="s">
        <v>47443</v>
      </c>
      <c r="T7355" t="s">
        <v>49037</v>
      </c>
      <c r="U7355" t="s">
        <v>55690</v>
      </c>
      <c r="W7355" t="s">
        <v>64504</v>
      </c>
      <c r="X7355" t="s">
        <v>47312</v>
      </c>
    </row>
    <row r="7356" spans="1:24">
      <c r="A7356">
        <f>HYPERLINK("https://www.philgeps.gov.ph/GEPSNONPILOT/Tender/SplashBidNoticeAbstractUI.aspx?menuIndex=3&amp;refID=7192511&amp;Result=3","7192511")</f>
        <v>0</v>
      </c>
      <c r="B7356" t="s">
        <v>713</v>
      </c>
      <c r="C7356" t="s">
        <v>10763</v>
      </c>
      <c r="D7356" t="s">
        <v>19040</v>
      </c>
      <c r="E7356" t="s">
        <v>25492</v>
      </c>
      <c r="F7356" t="s">
        <v>32606</v>
      </c>
      <c r="G7356" t="s">
        <v>32617</v>
      </c>
      <c r="H7356" t="s">
        <v>14201</v>
      </c>
      <c r="I7356" t="s">
        <v>4120</v>
      </c>
      <c r="J7356" t="s">
        <v>37420</v>
      </c>
      <c r="K7356" t="s">
        <v>42622</v>
      </c>
      <c r="M7356" t="s">
        <v>43634</v>
      </c>
      <c r="N7356" t="s">
        <v>47304</v>
      </c>
      <c r="O7356" t="s">
        <v>47305</v>
      </c>
      <c r="P7356">
        <v>0</v>
      </c>
      <c r="Q7356">
        <v>0</v>
      </c>
      <c r="R7356" t="s">
        <v>47311</v>
      </c>
      <c r="S7356" t="s">
        <v>47443</v>
      </c>
      <c r="T7356" t="s">
        <v>48980</v>
      </c>
      <c r="U7356" t="s">
        <v>55691</v>
      </c>
      <c r="W7356" t="s">
        <v>43634</v>
      </c>
      <c r="X7356" t="s">
        <v>47312</v>
      </c>
    </row>
    <row r="7357" spans="1:24">
      <c r="A7357">
        <f>HYPERLINK("https://www.philgeps.gov.ph/GEPSNONPILOT/Tender/SplashBidNoticeAbstractUI.aspx?menuIndex=3&amp;refID=7192489&amp;Result=3","7192489")</f>
        <v>0</v>
      </c>
      <c r="B7357" t="s">
        <v>1476</v>
      </c>
      <c r="C7357" t="s">
        <v>10764</v>
      </c>
      <c r="E7357" t="s">
        <v>20525</v>
      </c>
      <c r="F7357" t="s">
        <v>32606</v>
      </c>
      <c r="G7357" t="s">
        <v>32614</v>
      </c>
      <c r="H7357" t="s">
        <v>14201</v>
      </c>
      <c r="I7357" t="s">
        <v>32646</v>
      </c>
      <c r="J7357" t="s">
        <v>37421</v>
      </c>
      <c r="K7357" t="s">
        <v>42629</v>
      </c>
      <c r="M7357" t="s">
        <v>45519</v>
      </c>
      <c r="N7357" t="s">
        <v>47304</v>
      </c>
      <c r="O7357" t="s">
        <v>47305</v>
      </c>
      <c r="P7357">
        <v>0</v>
      </c>
      <c r="Q7357">
        <v>3</v>
      </c>
      <c r="R7357" t="s">
        <v>47311</v>
      </c>
      <c r="S7357" t="s">
        <v>47443</v>
      </c>
      <c r="T7357" t="s">
        <v>49071</v>
      </c>
      <c r="U7357" t="s">
        <v>55692</v>
      </c>
      <c r="W7357" t="s">
        <v>45519</v>
      </c>
      <c r="X7357" t="s">
        <v>47312</v>
      </c>
    </row>
    <row r="7358" spans="1:24">
      <c r="A7358">
        <f>HYPERLINK("https://www.philgeps.gov.ph/GEPSNONPILOT/Tender/SplashBidNoticeAbstractUI.aspx?menuIndex=3&amp;refID=7192506&amp;Result=3","7192506")</f>
        <v>0</v>
      </c>
      <c r="B7358" t="s">
        <v>2398</v>
      </c>
      <c r="C7358" t="s">
        <v>10765</v>
      </c>
      <c r="D7358" t="s">
        <v>19027</v>
      </c>
      <c r="E7358" t="s">
        <v>25493</v>
      </c>
      <c r="F7358" t="s">
        <v>32606</v>
      </c>
      <c r="G7358" t="s">
        <v>32614</v>
      </c>
      <c r="H7358" t="s">
        <v>14201</v>
      </c>
      <c r="I7358" t="s">
        <v>13131</v>
      </c>
      <c r="J7358" t="s">
        <v>32852</v>
      </c>
      <c r="K7358" t="s">
        <v>42623</v>
      </c>
      <c r="M7358" t="s">
        <v>45520</v>
      </c>
      <c r="N7358" t="s">
        <v>47304</v>
      </c>
      <c r="O7358" t="s">
        <v>47305</v>
      </c>
      <c r="P7358">
        <v>0</v>
      </c>
      <c r="Q7358">
        <v>0</v>
      </c>
      <c r="R7358" t="s">
        <v>47311</v>
      </c>
      <c r="S7358" t="s">
        <v>47443</v>
      </c>
      <c r="T7358" t="s">
        <v>49068</v>
      </c>
      <c r="U7358" t="s">
        <v>55693</v>
      </c>
      <c r="W7358" t="s">
        <v>45520</v>
      </c>
      <c r="X7358" t="s">
        <v>47312</v>
      </c>
    </row>
    <row r="7359" spans="1:24">
      <c r="A7359">
        <f>HYPERLINK("https://www.philgeps.gov.ph/GEPSNONPILOT/Tender/SplashBidNoticeAbstractUI.aspx?menuIndex=3&amp;refID=7192598&amp;Result=3","7192598")</f>
        <v>0</v>
      </c>
      <c r="B7359" t="s">
        <v>2399</v>
      </c>
      <c r="C7359" t="s">
        <v>10766</v>
      </c>
      <c r="D7359" t="s">
        <v>19018</v>
      </c>
      <c r="E7359" t="s">
        <v>25494</v>
      </c>
      <c r="F7359" t="s">
        <v>32606</v>
      </c>
      <c r="G7359" t="s">
        <v>32613</v>
      </c>
      <c r="H7359" t="s">
        <v>32623</v>
      </c>
      <c r="I7359" t="s">
        <v>17648</v>
      </c>
      <c r="J7359" t="s">
        <v>37422</v>
      </c>
      <c r="K7359" t="s">
        <v>42794</v>
      </c>
      <c r="M7359" t="s">
        <v>45521</v>
      </c>
      <c r="N7359" t="s">
        <v>47304</v>
      </c>
      <c r="O7359" t="s">
        <v>47305</v>
      </c>
      <c r="P7359">
        <v>0</v>
      </c>
      <c r="Q7359">
        <v>0</v>
      </c>
      <c r="R7359" t="s">
        <v>47311</v>
      </c>
      <c r="S7359" t="s">
        <v>47443</v>
      </c>
      <c r="T7359" t="s">
        <v>49111</v>
      </c>
      <c r="U7359" t="s">
        <v>55694</v>
      </c>
      <c r="V7359" t="s">
        <v>62846</v>
      </c>
      <c r="W7359" t="s">
        <v>45521</v>
      </c>
      <c r="X7359" t="s">
        <v>47312</v>
      </c>
    </row>
    <row r="7360" spans="1:24">
      <c r="A7360">
        <f>HYPERLINK("https://www.philgeps.gov.ph/GEPSNONPILOT/Tender/SplashBidNoticeAbstractUI.aspx?menuIndex=3&amp;refID=7192529&amp;Result=3","7192529")</f>
        <v>0</v>
      </c>
      <c r="B7360" t="s">
        <v>1688</v>
      </c>
      <c r="C7360" t="s">
        <v>10767</v>
      </c>
      <c r="D7360" t="s">
        <v>19015</v>
      </c>
      <c r="E7360" t="s">
        <v>25495</v>
      </c>
      <c r="F7360" t="s">
        <v>32606</v>
      </c>
      <c r="G7360" t="s">
        <v>32614</v>
      </c>
      <c r="H7360" t="s">
        <v>14201</v>
      </c>
      <c r="I7360" t="s">
        <v>32631</v>
      </c>
      <c r="J7360" t="s">
        <v>33357</v>
      </c>
      <c r="K7360" t="s">
        <v>42623</v>
      </c>
      <c r="M7360" t="s">
        <v>44717</v>
      </c>
      <c r="N7360" t="s">
        <v>47304</v>
      </c>
      <c r="O7360" t="s">
        <v>47305</v>
      </c>
      <c r="P7360">
        <v>0</v>
      </c>
      <c r="Q7360">
        <v>0</v>
      </c>
      <c r="R7360" t="s">
        <v>47311</v>
      </c>
      <c r="S7360" t="s">
        <v>47443</v>
      </c>
      <c r="T7360" t="s">
        <v>49053</v>
      </c>
      <c r="U7360" t="s">
        <v>55695</v>
      </c>
      <c r="V7360" t="s">
        <v>63347</v>
      </c>
      <c r="W7360" t="s">
        <v>44717</v>
      </c>
      <c r="X7360" t="s">
        <v>47312</v>
      </c>
    </row>
    <row r="7361" spans="1:24">
      <c r="A7361">
        <f>HYPERLINK("https://www.philgeps.gov.ph/GEPSNONPILOT/Tender/SplashBidNoticeAbstractUI.aspx?menuIndex=3&amp;refID=7192521&amp;Result=3","7192521")</f>
        <v>0</v>
      </c>
      <c r="B7361" t="s">
        <v>713</v>
      </c>
      <c r="C7361" t="s">
        <v>10768</v>
      </c>
      <c r="D7361" t="s">
        <v>19040</v>
      </c>
      <c r="E7361" t="s">
        <v>25496</v>
      </c>
      <c r="F7361" t="s">
        <v>32606</v>
      </c>
      <c r="G7361" t="s">
        <v>32619</v>
      </c>
      <c r="H7361" t="s">
        <v>14201</v>
      </c>
      <c r="I7361" t="s">
        <v>6014</v>
      </c>
      <c r="J7361" t="s">
        <v>37423</v>
      </c>
      <c r="K7361" t="s">
        <v>42622</v>
      </c>
      <c r="M7361" t="s">
        <v>43634</v>
      </c>
      <c r="N7361" t="s">
        <v>47304</v>
      </c>
      <c r="O7361" t="s">
        <v>47305</v>
      </c>
      <c r="P7361">
        <v>0</v>
      </c>
      <c r="Q7361">
        <v>0</v>
      </c>
      <c r="R7361" t="s">
        <v>47311</v>
      </c>
      <c r="S7361" t="s">
        <v>47443</v>
      </c>
      <c r="T7361" t="s">
        <v>48980</v>
      </c>
      <c r="U7361" t="s">
        <v>55696</v>
      </c>
      <c r="W7361" t="s">
        <v>43634</v>
      </c>
      <c r="X7361" t="s">
        <v>47312</v>
      </c>
    </row>
    <row r="7362" spans="1:24">
      <c r="A7362">
        <f>HYPERLINK("https://www.philgeps.gov.ph/GEPSNONPILOT/Tender/SplashBidNoticeAbstractUI.aspx?menuIndex=3&amp;refID=7192592&amp;Result=3","7192592")</f>
        <v>0</v>
      </c>
      <c r="B7362" t="s">
        <v>1644</v>
      </c>
      <c r="C7362" t="s">
        <v>10769</v>
      </c>
      <c r="D7362" t="s">
        <v>19022</v>
      </c>
      <c r="E7362" t="s">
        <v>25497</v>
      </c>
      <c r="F7362" t="s">
        <v>32606</v>
      </c>
      <c r="G7362" t="s">
        <v>32613</v>
      </c>
      <c r="H7362" t="s">
        <v>32623</v>
      </c>
      <c r="I7362" t="s">
        <v>17648</v>
      </c>
      <c r="J7362" t="s">
        <v>32830</v>
      </c>
      <c r="K7362" t="s">
        <v>42648</v>
      </c>
      <c r="M7362" t="s">
        <v>45522</v>
      </c>
      <c r="N7362" t="s">
        <v>47304</v>
      </c>
      <c r="O7362" t="s">
        <v>47305</v>
      </c>
      <c r="P7362">
        <v>0</v>
      </c>
      <c r="Q7362">
        <v>1</v>
      </c>
      <c r="R7362" t="s">
        <v>47311</v>
      </c>
      <c r="S7362" t="s">
        <v>47443</v>
      </c>
      <c r="T7362" t="s">
        <v>49008</v>
      </c>
      <c r="U7362" t="s">
        <v>55697</v>
      </c>
      <c r="W7362" t="s">
        <v>45522</v>
      </c>
      <c r="X7362" t="s">
        <v>47312</v>
      </c>
    </row>
    <row r="7363" spans="1:24">
      <c r="A7363">
        <f>HYPERLINK("https://www.philgeps.gov.ph/GEPSNONPILOT/Tender/SplashBidNoticeAbstractUI.aspx?menuIndex=3&amp;refID=7192519&amp;Result=3","7192519")</f>
        <v>0</v>
      </c>
      <c r="B7363" t="s">
        <v>2400</v>
      </c>
      <c r="C7363" t="s">
        <v>10770</v>
      </c>
      <c r="D7363" t="s">
        <v>18993</v>
      </c>
      <c r="E7363" t="s">
        <v>25498</v>
      </c>
      <c r="F7363" t="s">
        <v>32606</v>
      </c>
      <c r="G7363" t="s">
        <v>32614</v>
      </c>
      <c r="H7363" t="s">
        <v>14201</v>
      </c>
      <c r="I7363" t="s">
        <v>32633</v>
      </c>
      <c r="J7363" t="s">
        <v>33251</v>
      </c>
      <c r="K7363" t="s">
        <v>42624</v>
      </c>
      <c r="M7363" t="s">
        <v>45523</v>
      </c>
      <c r="N7363" t="s">
        <v>47304</v>
      </c>
      <c r="O7363" t="s">
        <v>47305</v>
      </c>
      <c r="P7363">
        <v>0</v>
      </c>
      <c r="Q7363">
        <v>33</v>
      </c>
      <c r="R7363" t="s">
        <v>47311</v>
      </c>
      <c r="S7363" t="s">
        <v>47443</v>
      </c>
      <c r="T7363" t="s">
        <v>48979</v>
      </c>
      <c r="U7363" t="s">
        <v>55698</v>
      </c>
      <c r="W7363" t="s">
        <v>45523</v>
      </c>
      <c r="X7363" t="s">
        <v>47312</v>
      </c>
    </row>
    <row r="7364" spans="1:24">
      <c r="A7364">
        <f>HYPERLINK("https://www.philgeps.gov.ph/GEPSNONPILOT/Tender/SplashBidNoticeAbstractUI.aspx?menuIndex=3&amp;refID=7192588&amp;Result=3","7192588")</f>
        <v>0</v>
      </c>
      <c r="B7364" t="s">
        <v>2401</v>
      </c>
      <c r="C7364" t="s">
        <v>10771</v>
      </c>
      <c r="D7364" t="s">
        <v>19022</v>
      </c>
      <c r="E7364" t="s">
        <v>25499</v>
      </c>
      <c r="F7364" t="s">
        <v>32606</v>
      </c>
      <c r="G7364" t="s">
        <v>32614</v>
      </c>
      <c r="H7364" t="s">
        <v>14201</v>
      </c>
      <c r="I7364" t="s">
        <v>32629</v>
      </c>
      <c r="J7364" t="s">
        <v>37424</v>
      </c>
      <c r="K7364" t="s">
        <v>42624</v>
      </c>
      <c r="M7364" t="s">
        <v>45524</v>
      </c>
      <c r="N7364" t="s">
        <v>47304</v>
      </c>
      <c r="O7364" t="s">
        <v>47305</v>
      </c>
      <c r="P7364">
        <v>0</v>
      </c>
      <c r="Q7364">
        <v>0</v>
      </c>
      <c r="R7364" t="s">
        <v>47311</v>
      </c>
      <c r="S7364" t="s">
        <v>47443</v>
      </c>
      <c r="T7364" t="s">
        <v>49000</v>
      </c>
      <c r="U7364" t="s">
        <v>55699</v>
      </c>
      <c r="V7364" t="s">
        <v>63354</v>
      </c>
      <c r="W7364" t="s">
        <v>45524</v>
      </c>
      <c r="X7364" t="s">
        <v>47312</v>
      </c>
    </row>
    <row r="7365" spans="1:24">
      <c r="A7365">
        <f>HYPERLINK("https://www.philgeps.gov.ph/GEPSNONPILOT/Tender/SplashBidNoticeAbstractUI.aspx?menuIndex=3&amp;refID=7192583&amp;Result=3","7192583")</f>
        <v>0</v>
      </c>
      <c r="B7365" t="s">
        <v>2402</v>
      </c>
      <c r="C7365" t="s">
        <v>10772</v>
      </c>
      <c r="D7365" t="s">
        <v>19004</v>
      </c>
      <c r="E7365" t="s">
        <v>25500</v>
      </c>
      <c r="F7365" t="s">
        <v>32606</v>
      </c>
      <c r="G7365" t="s">
        <v>32619</v>
      </c>
      <c r="H7365" t="s">
        <v>14201</v>
      </c>
      <c r="I7365" t="s">
        <v>32640</v>
      </c>
      <c r="J7365" t="s">
        <v>32781</v>
      </c>
      <c r="K7365" t="s">
        <v>42624</v>
      </c>
      <c r="M7365" t="s">
        <v>45525</v>
      </c>
      <c r="N7365" t="s">
        <v>47304</v>
      </c>
      <c r="O7365" t="s">
        <v>47305</v>
      </c>
      <c r="P7365">
        <v>0</v>
      </c>
      <c r="Q7365">
        <v>5</v>
      </c>
      <c r="R7365" t="s">
        <v>47311</v>
      </c>
      <c r="S7365" t="s">
        <v>47443</v>
      </c>
      <c r="T7365" t="s">
        <v>49269</v>
      </c>
      <c r="U7365" t="s">
        <v>55700</v>
      </c>
      <c r="W7365" t="s">
        <v>45525</v>
      </c>
      <c r="X7365" t="s">
        <v>47312</v>
      </c>
    </row>
    <row r="7366" spans="1:24">
      <c r="A7366">
        <f>HYPERLINK("https://www.philgeps.gov.ph/GEPSNONPILOT/Tender/SplashBidNoticeAbstractUI.aspx?menuIndex=3&amp;refID=7192581&amp;Result=3","7192581")</f>
        <v>0</v>
      </c>
      <c r="B7366" t="s">
        <v>2403</v>
      </c>
      <c r="C7366" t="s">
        <v>10773</v>
      </c>
      <c r="D7366" t="s">
        <v>19022</v>
      </c>
      <c r="E7366" t="s">
        <v>25501</v>
      </c>
      <c r="F7366" t="s">
        <v>32606</v>
      </c>
      <c r="G7366" t="s">
        <v>32614</v>
      </c>
      <c r="H7366" t="s">
        <v>14201</v>
      </c>
      <c r="I7366" t="s">
        <v>32673</v>
      </c>
      <c r="J7366" t="s">
        <v>35328</v>
      </c>
      <c r="K7366" t="s">
        <v>42636</v>
      </c>
      <c r="M7366" t="s">
        <v>45526</v>
      </c>
      <c r="N7366" t="s">
        <v>47304</v>
      </c>
      <c r="O7366" t="s">
        <v>47305</v>
      </c>
      <c r="P7366">
        <v>0</v>
      </c>
      <c r="Q7366">
        <v>1</v>
      </c>
      <c r="R7366" t="s">
        <v>47311</v>
      </c>
      <c r="S7366" t="s">
        <v>47443</v>
      </c>
      <c r="T7366" t="s">
        <v>49165</v>
      </c>
      <c r="U7366" t="s">
        <v>55701</v>
      </c>
      <c r="W7366" t="s">
        <v>45526</v>
      </c>
      <c r="X7366" t="s">
        <v>47312</v>
      </c>
    </row>
    <row r="7367" spans="1:24">
      <c r="A7367">
        <f>HYPERLINK("https://www.philgeps.gov.ph/GEPSNONPILOT/Tender/SplashBidNoticeAbstractUI.aspx?menuIndex=3&amp;refID=7192554&amp;Result=3","7192554")</f>
        <v>0</v>
      </c>
      <c r="B7367" t="s">
        <v>1644</v>
      </c>
      <c r="C7367" t="s">
        <v>10774</v>
      </c>
      <c r="D7367" t="s">
        <v>19022</v>
      </c>
      <c r="E7367" t="s">
        <v>25502</v>
      </c>
      <c r="F7367" t="s">
        <v>32606</v>
      </c>
      <c r="G7367" t="s">
        <v>32614</v>
      </c>
      <c r="H7367" t="s">
        <v>14201</v>
      </c>
      <c r="I7367" t="s">
        <v>4120</v>
      </c>
      <c r="J7367" t="s">
        <v>37425</v>
      </c>
      <c r="K7367" t="s">
        <v>42630</v>
      </c>
      <c r="M7367" t="s">
        <v>44665</v>
      </c>
      <c r="N7367" t="s">
        <v>47304</v>
      </c>
      <c r="O7367" t="s">
        <v>47305</v>
      </c>
      <c r="P7367">
        <v>0</v>
      </c>
      <c r="Q7367">
        <v>6</v>
      </c>
      <c r="R7367" t="s">
        <v>47311</v>
      </c>
      <c r="S7367" t="s">
        <v>47443</v>
      </c>
      <c r="T7367" t="s">
        <v>49071</v>
      </c>
      <c r="U7367" t="s">
        <v>55577</v>
      </c>
      <c r="W7367" t="s">
        <v>64478</v>
      </c>
      <c r="X7367" t="s">
        <v>47312</v>
      </c>
    </row>
    <row r="7368" spans="1:24">
      <c r="A7368">
        <f>HYPERLINK("https://www.philgeps.gov.ph/GEPSNONPILOT/Tender/SplashBidNoticeAbstractUI.aspx?menuIndex=3&amp;refID=7192579&amp;Result=3","7192579")</f>
        <v>0</v>
      </c>
      <c r="B7368" t="s">
        <v>2404</v>
      </c>
      <c r="C7368" t="s">
        <v>10775</v>
      </c>
      <c r="D7368" t="s">
        <v>18988</v>
      </c>
      <c r="E7368" t="s">
        <v>25503</v>
      </c>
      <c r="F7368" t="s">
        <v>32606</v>
      </c>
      <c r="G7368" t="s">
        <v>32613</v>
      </c>
      <c r="H7368" t="s">
        <v>14201</v>
      </c>
      <c r="I7368" t="s">
        <v>4120</v>
      </c>
      <c r="J7368" t="s">
        <v>32951</v>
      </c>
      <c r="K7368" t="s">
        <v>42632</v>
      </c>
      <c r="M7368" t="s">
        <v>45527</v>
      </c>
      <c r="N7368" t="s">
        <v>47304</v>
      </c>
      <c r="O7368" t="s">
        <v>47305</v>
      </c>
      <c r="P7368">
        <v>0</v>
      </c>
      <c r="Q7368">
        <v>2</v>
      </c>
      <c r="R7368" t="s">
        <v>47311</v>
      </c>
      <c r="S7368" t="s">
        <v>47443</v>
      </c>
      <c r="T7368" t="s">
        <v>49272</v>
      </c>
      <c r="U7368" t="s">
        <v>55702</v>
      </c>
      <c r="W7368" t="s">
        <v>45527</v>
      </c>
      <c r="X7368" t="s">
        <v>47312</v>
      </c>
    </row>
    <row r="7369" spans="1:24">
      <c r="A7369">
        <f>HYPERLINK("https://www.philgeps.gov.ph/GEPSNONPILOT/Tender/SplashBidNoticeAbstractUI.aspx?menuIndex=3&amp;refID=7192578&amp;Result=3","7192578")</f>
        <v>0</v>
      </c>
      <c r="B7369" t="s">
        <v>2394</v>
      </c>
      <c r="C7369" t="s">
        <v>10776</v>
      </c>
      <c r="D7369" t="s">
        <v>19027</v>
      </c>
      <c r="E7369" t="s">
        <v>25504</v>
      </c>
      <c r="F7369" t="s">
        <v>32606</v>
      </c>
      <c r="G7369" t="s">
        <v>32613</v>
      </c>
      <c r="H7369" t="s">
        <v>14201</v>
      </c>
      <c r="I7369" t="s">
        <v>4678</v>
      </c>
      <c r="J7369" t="s">
        <v>34763</v>
      </c>
      <c r="K7369" t="s">
        <v>42624</v>
      </c>
      <c r="L7369" t="s">
        <v>2394</v>
      </c>
      <c r="M7369" t="s">
        <v>45515</v>
      </c>
      <c r="N7369" t="s">
        <v>47304</v>
      </c>
      <c r="O7369" t="s">
        <v>47305</v>
      </c>
      <c r="P7369">
        <v>0</v>
      </c>
      <c r="Q7369">
        <v>3</v>
      </c>
      <c r="R7369" t="s">
        <v>47311</v>
      </c>
      <c r="S7369" t="s">
        <v>47443</v>
      </c>
      <c r="T7369" t="s">
        <v>48988</v>
      </c>
      <c r="U7369" t="s">
        <v>55703</v>
      </c>
      <c r="W7369" t="s">
        <v>45515</v>
      </c>
      <c r="X7369" t="s">
        <v>47312</v>
      </c>
    </row>
    <row r="7370" spans="1:24">
      <c r="A7370">
        <f>HYPERLINK("https://www.philgeps.gov.ph/GEPSNONPILOT/Tender/SplashBidNoticeAbstractUI.aspx?menuIndex=3&amp;refID=7192597&amp;Result=3","7192597")</f>
        <v>0</v>
      </c>
      <c r="B7370" t="s">
        <v>2405</v>
      </c>
      <c r="C7370" t="s">
        <v>10777</v>
      </c>
      <c r="D7370" t="s">
        <v>19010</v>
      </c>
      <c r="E7370" t="s">
        <v>25505</v>
      </c>
      <c r="F7370" t="s">
        <v>32606</v>
      </c>
      <c r="G7370" t="s">
        <v>32613</v>
      </c>
      <c r="H7370" t="s">
        <v>32623</v>
      </c>
      <c r="I7370" t="s">
        <v>17648</v>
      </c>
      <c r="J7370" t="s">
        <v>37426</v>
      </c>
      <c r="K7370" t="s">
        <v>42631</v>
      </c>
      <c r="M7370" t="s">
        <v>45528</v>
      </c>
      <c r="N7370" t="s">
        <v>47304</v>
      </c>
      <c r="O7370" t="s">
        <v>47305</v>
      </c>
      <c r="P7370">
        <v>0</v>
      </c>
      <c r="Q7370">
        <v>1</v>
      </c>
      <c r="R7370" t="s">
        <v>47311</v>
      </c>
      <c r="S7370" t="s">
        <v>47443</v>
      </c>
      <c r="T7370" t="s">
        <v>49037</v>
      </c>
      <c r="U7370" t="s">
        <v>55704</v>
      </c>
      <c r="W7370" t="s">
        <v>45528</v>
      </c>
      <c r="X7370" t="s">
        <v>47312</v>
      </c>
    </row>
    <row r="7371" spans="1:24">
      <c r="A7371">
        <f>HYPERLINK("https://www.philgeps.gov.ph/GEPSNONPILOT/Tender/SplashBidNoticeAbstractUI.aspx?menuIndex=3&amp;refID=7192570&amp;Result=3","7192570")</f>
        <v>0</v>
      </c>
      <c r="B7371" t="s">
        <v>1644</v>
      </c>
      <c r="C7371" t="s">
        <v>10688</v>
      </c>
      <c r="D7371" t="s">
        <v>19022</v>
      </c>
      <c r="E7371" t="s">
        <v>25506</v>
      </c>
      <c r="F7371" t="s">
        <v>32606</v>
      </c>
      <c r="G7371" t="s">
        <v>32617</v>
      </c>
      <c r="H7371" t="s">
        <v>14201</v>
      </c>
      <c r="I7371" t="s">
        <v>4120</v>
      </c>
      <c r="J7371" t="s">
        <v>37427</v>
      </c>
      <c r="K7371" t="s">
        <v>42630</v>
      </c>
      <c r="M7371" t="s">
        <v>44665</v>
      </c>
      <c r="N7371" t="s">
        <v>47304</v>
      </c>
      <c r="O7371" t="s">
        <v>47305</v>
      </c>
      <c r="P7371">
        <v>0</v>
      </c>
      <c r="Q7371">
        <v>2</v>
      </c>
      <c r="R7371" t="s">
        <v>47311</v>
      </c>
      <c r="S7371" t="s">
        <v>47443</v>
      </c>
      <c r="T7371" t="s">
        <v>49071</v>
      </c>
      <c r="U7371" t="s">
        <v>55624</v>
      </c>
      <c r="W7371" t="s">
        <v>64478</v>
      </c>
      <c r="X7371" t="s">
        <v>47312</v>
      </c>
    </row>
    <row r="7372" spans="1:24">
      <c r="A7372">
        <f>HYPERLINK("https://www.philgeps.gov.ph/GEPSNONPILOT/Tender/SplashBidNoticeAbstractUI.aspx?menuIndex=3&amp;refID=7192452&amp;Result=3","7192452")</f>
        <v>0</v>
      </c>
      <c r="B7372" t="s">
        <v>1632</v>
      </c>
      <c r="C7372" t="s">
        <v>10778</v>
      </c>
      <c r="D7372" t="s">
        <v>18999</v>
      </c>
      <c r="E7372" t="s">
        <v>25507</v>
      </c>
      <c r="F7372" t="s">
        <v>32606</v>
      </c>
      <c r="G7372" t="s">
        <v>32619</v>
      </c>
      <c r="H7372" t="s">
        <v>14201</v>
      </c>
      <c r="I7372" t="s">
        <v>32631</v>
      </c>
      <c r="J7372" t="s">
        <v>37428</v>
      </c>
      <c r="K7372" t="s">
        <v>42624</v>
      </c>
      <c r="M7372" t="s">
        <v>44652</v>
      </c>
      <c r="N7372" t="s">
        <v>47304</v>
      </c>
      <c r="O7372" t="s">
        <v>47305</v>
      </c>
      <c r="P7372">
        <v>0</v>
      </c>
      <c r="Q7372">
        <v>9</v>
      </c>
      <c r="R7372" t="s">
        <v>47311</v>
      </c>
      <c r="S7372" t="s">
        <v>47443</v>
      </c>
      <c r="T7372" t="s">
        <v>48997</v>
      </c>
      <c r="U7372" t="s">
        <v>55705</v>
      </c>
      <c r="V7372" t="s">
        <v>63068</v>
      </c>
      <c r="W7372" t="s">
        <v>44652</v>
      </c>
      <c r="X7372" t="s">
        <v>47312</v>
      </c>
    </row>
    <row r="7373" spans="1:24">
      <c r="A7373">
        <f>HYPERLINK("https://www.philgeps.gov.ph/GEPSNONPILOT/Tender/SplashBidNoticeAbstractUI.aspx?menuIndex=3&amp;refID=7192565&amp;Result=3","7192565")</f>
        <v>0</v>
      </c>
      <c r="B7373" t="s">
        <v>100</v>
      </c>
      <c r="C7373" t="s">
        <v>10779</v>
      </c>
      <c r="D7373" t="s">
        <v>19010</v>
      </c>
      <c r="E7373" t="s">
        <v>25508</v>
      </c>
      <c r="F7373" t="s">
        <v>32606</v>
      </c>
      <c r="G7373" t="s">
        <v>32613</v>
      </c>
      <c r="H7373" t="s">
        <v>14201</v>
      </c>
      <c r="I7373" t="s">
        <v>7577</v>
      </c>
      <c r="J7373" t="s">
        <v>37429</v>
      </c>
      <c r="K7373" t="s">
        <v>42624</v>
      </c>
      <c r="M7373" t="s">
        <v>42998</v>
      </c>
      <c r="N7373" t="s">
        <v>47304</v>
      </c>
      <c r="O7373" t="s">
        <v>47305</v>
      </c>
      <c r="P7373">
        <v>0</v>
      </c>
      <c r="Q7373">
        <v>5</v>
      </c>
      <c r="R7373" t="s">
        <v>47311</v>
      </c>
      <c r="S7373" t="s">
        <v>47443</v>
      </c>
      <c r="T7373" t="s">
        <v>49017</v>
      </c>
      <c r="U7373" t="s">
        <v>49694</v>
      </c>
      <c r="V7373" t="s">
        <v>63355</v>
      </c>
      <c r="W7373" t="s">
        <v>42998</v>
      </c>
      <c r="X7373" t="s">
        <v>47312</v>
      </c>
    </row>
    <row r="7374" spans="1:24">
      <c r="A7374">
        <f>HYPERLINK("https://www.philgeps.gov.ph/GEPSNONPILOT/Tender/SplashBidNoticeAbstractUI.aspx?menuIndex=3&amp;refID=7192586&amp;Result=3","7192586")</f>
        <v>0</v>
      </c>
      <c r="B7374" t="s">
        <v>422</v>
      </c>
      <c r="C7374" t="s">
        <v>10780</v>
      </c>
      <c r="D7374" t="s">
        <v>19030</v>
      </c>
      <c r="E7374" t="s">
        <v>25509</v>
      </c>
      <c r="F7374" t="s">
        <v>32606</v>
      </c>
      <c r="G7374" t="s">
        <v>32613</v>
      </c>
      <c r="H7374" t="s">
        <v>32623</v>
      </c>
      <c r="I7374" t="s">
        <v>17648</v>
      </c>
      <c r="J7374" t="s">
        <v>37430</v>
      </c>
      <c r="K7374" t="s">
        <v>42729</v>
      </c>
      <c r="M7374" t="s">
        <v>43326</v>
      </c>
      <c r="N7374" t="s">
        <v>47304</v>
      </c>
      <c r="O7374" t="s">
        <v>47305</v>
      </c>
      <c r="P7374">
        <v>0</v>
      </c>
      <c r="Q7374">
        <v>1</v>
      </c>
      <c r="R7374" t="s">
        <v>47311</v>
      </c>
      <c r="S7374" t="s">
        <v>47443</v>
      </c>
      <c r="T7374" t="s">
        <v>49037</v>
      </c>
      <c r="U7374" t="s">
        <v>55706</v>
      </c>
      <c r="V7374" t="s">
        <v>63356</v>
      </c>
      <c r="W7374" t="s">
        <v>43326</v>
      </c>
      <c r="X7374" t="s">
        <v>47312</v>
      </c>
    </row>
    <row r="7375" spans="1:24">
      <c r="A7375">
        <f>HYPERLINK("https://www.philgeps.gov.ph/GEPSNONPILOT/Tender/SplashBidNoticeAbstractUI.aspx?menuIndex=3&amp;refID=7192562&amp;Result=3","7192562")</f>
        <v>0</v>
      </c>
      <c r="B7375" t="s">
        <v>2402</v>
      </c>
      <c r="C7375" t="s">
        <v>10781</v>
      </c>
      <c r="D7375" t="s">
        <v>19004</v>
      </c>
      <c r="E7375" t="s">
        <v>25510</v>
      </c>
      <c r="F7375" t="s">
        <v>32606</v>
      </c>
      <c r="G7375" t="s">
        <v>32614</v>
      </c>
      <c r="H7375" t="s">
        <v>14201</v>
      </c>
      <c r="I7375" t="s">
        <v>4369</v>
      </c>
      <c r="J7375" t="s">
        <v>33019</v>
      </c>
      <c r="K7375" t="s">
        <v>42624</v>
      </c>
      <c r="M7375" t="s">
        <v>45525</v>
      </c>
      <c r="N7375" t="s">
        <v>47304</v>
      </c>
      <c r="O7375" t="s">
        <v>47305</v>
      </c>
      <c r="P7375">
        <v>0</v>
      </c>
      <c r="Q7375">
        <v>11</v>
      </c>
      <c r="R7375" t="s">
        <v>47311</v>
      </c>
      <c r="S7375" t="s">
        <v>47443</v>
      </c>
      <c r="T7375" t="s">
        <v>49269</v>
      </c>
      <c r="U7375" t="s">
        <v>55700</v>
      </c>
      <c r="W7375" t="s">
        <v>45525</v>
      </c>
      <c r="X7375" t="s">
        <v>47312</v>
      </c>
    </row>
    <row r="7376" spans="1:24">
      <c r="A7376">
        <f>HYPERLINK("https://www.philgeps.gov.ph/GEPSNONPILOT/Tender/SplashBidNoticeAbstractUI.aspx?menuIndex=3&amp;refID=7192601&amp;Result=3","7192601")</f>
        <v>0</v>
      </c>
      <c r="B7376" t="s">
        <v>100</v>
      </c>
      <c r="C7376" t="s">
        <v>10782</v>
      </c>
      <c r="D7376" t="s">
        <v>19010</v>
      </c>
      <c r="E7376" t="s">
        <v>25511</v>
      </c>
      <c r="F7376" t="s">
        <v>32606</v>
      </c>
      <c r="G7376" t="s">
        <v>32613</v>
      </c>
      <c r="H7376" t="s">
        <v>14201</v>
      </c>
      <c r="I7376" t="s">
        <v>7577</v>
      </c>
      <c r="J7376" t="s">
        <v>32981</v>
      </c>
      <c r="K7376" t="s">
        <v>42624</v>
      </c>
      <c r="M7376" t="s">
        <v>42998</v>
      </c>
      <c r="N7376" t="s">
        <v>47304</v>
      </c>
      <c r="O7376" t="s">
        <v>47305</v>
      </c>
      <c r="P7376">
        <v>0</v>
      </c>
      <c r="Q7376">
        <v>2</v>
      </c>
      <c r="R7376" t="s">
        <v>47311</v>
      </c>
      <c r="S7376" t="s">
        <v>47443</v>
      </c>
      <c r="T7376" t="s">
        <v>49017</v>
      </c>
      <c r="U7376" t="s">
        <v>49694</v>
      </c>
      <c r="V7376" t="s">
        <v>63355</v>
      </c>
      <c r="W7376" t="s">
        <v>42998</v>
      </c>
      <c r="X7376" t="s">
        <v>47312</v>
      </c>
    </row>
    <row r="7377" spans="1:24">
      <c r="A7377">
        <f>HYPERLINK("https://www.philgeps.gov.ph/GEPSNONPILOT/Tender/SplashBidNoticeAbstractUI.aspx?menuIndex=3&amp;refID=7192641&amp;Result=3","7192641")</f>
        <v>0</v>
      </c>
      <c r="B7377" t="s">
        <v>1644</v>
      </c>
      <c r="C7377" t="s">
        <v>10783</v>
      </c>
      <c r="D7377" t="s">
        <v>19022</v>
      </c>
      <c r="E7377" t="s">
        <v>25512</v>
      </c>
      <c r="F7377" t="s">
        <v>32606</v>
      </c>
      <c r="G7377" t="s">
        <v>32614</v>
      </c>
      <c r="H7377" t="s">
        <v>14201</v>
      </c>
      <c r="I7377" t="s">
        <v>32629</v>
      </c>
      <c r="J7377" t="s">
        <v>37431</v>
      </c>
      <c r="K7377" t="s">
        <v>42630</v>
      </c>
      <c r="M7377" t="s">
        <v>44665</v>
      </c>
      <c r="N7377" t="s">
        <v>47304</v>
      </c>
      <c r="O7377" t="s">
        <v>47305</v>
      </c>
      <c r="P7377">
        <v>0</v>
      </c>
      <c r="Q7377">
        <v>0</v>
      </c>
      <c r="R7377" t="s">
        <v>47311</v>
      </c>
      <c r="S7377" t="s">
        <v>47443</v>
      </c>
      <c r="T7377" t="s">
        <v>49071</v>
      </c>
      <c r="U7377" t="s">
        <v>55577</v>
      </c>
      <c r="W7377" t="s">
        <v>64478</v>
      </c>
      <c r="X7377" t="s">
        <v>47312</v>
      </c>
    </row>
    <row r="7378" spans="1:24">
      <c r="A7378">
        <f>HYPERLINK("https://www.philgeps.gov.ph/GEPSNONPILOT/Tender/SplashBidNoticeAbstractUI.aspx?menuIndex=3&amp;refID=7192574&amp;Result=3","7192574")</f>
        <v>0</v>
      </c>
      <c r="B7378" t="s">
        <v>656</v>
      </c>
      <c r="C7378" t="s">
        <v>10784</v>
      </c>
      <c r="D7378" t="s">
        <v>18993</v>
      </c>
      <c r="E7378" t="s">
        <v>25513</v>
      </c>
      <c r="F7378" t="s">
        <v>32606</v>
      </c>
      <c r="G7378" t="s">
        <v>32614</v>
      </c>
      <c r="H7378" t="s">
        <v>14201</v>
      </c>
      <c r="I7378" t="s">
        <v>32691</v>
      </c>
      <c r="J7378" t="s">
        <v>37432</v>
      </c>
      <c r="K7378" t="s">
        <v>42630</v>
      </c>
      <c r="M7378" t="s">
        <v>43576</v>
      </c>
      <c r="N7378" t="s">
        <v>47304</v>
      </c>
      <c r="O7378" t="s">
        <v>47305</v>
      </c>
      <c r="P7378">
        <v>0</v>
      </c>
      <c r="Q7378">
        <v>1</v>
      </c>
      <c r="R7378" t="s">
        <v>47311</v>
      </c>
      <c r="S7378" t="s">
        <v>47443</v>
      </c>
      <c r="T7378" t="s">
        <v>49311</v>
      </c>
      <c r="U7378" t="s">
        <v>55707</v>
      </c>
      <c r="W7378" t="s">
        <v>43576</v>
      </c>
      <c r="X7378" t="s">
        <v>47312</v>
      </c>
    </row>
    <row r="7379" spans="1:24">
      <c r="A7379">
        <f>HYPERLINK("https://www.philgeps.gov.ph/GEPSNONPILOT/Tender/SplashBidNoticeAbstractUI.aspx?menuIndex=3&amp;refID=7192577&amp;Result=3","7192577")</f>
        <v>0</v>
      </c>
      <c r="B7379" t="s">
        <v>2405</v>
      </c>
      <c r="C7379" t="s">
        <v>10785</v>
      </c>
      <c r="D7379" t="s">
        <v>19010</v>
      </c>
      <c r="E7379" t="s">
        <v>25514</v>
      </c>
      <c r="F7379" t="s">
        <v>32606</v>
      </c>
      <c r="G7379" t="s">
        <v>32613</v>
      </c>
      <c r="H7379" t="s">
        <v>32623</v>
      </c>
      <c r="I7379" t="s">
        <v>17648</v>
      </c>
      <c r="J7379" t="s">
        <v>37433</v>
      </c>
      <c r="K7379" t="s">
        <v>42694</v>
      </c>
      <c r="M7379" t="s">
        <v>45528</v>
      </c>
      <c r="N7379" t="s">
        <v>47304</v>
      </c>
      <c r="O7379" t="s">
        <v>47305</v>
      </c>
      <c r="P7379">
        <v>0</v>
      </c>
      <c r="Q7379">
        <v>1</v>
      </c>
      <c r="R7379" t="s">
        <v>47311</v>
      </c>
      <c r="S7379" t="s">
        <v>47443</v>
      </c>
      <c r="T7379" t="s">
        <v>49037</v>
      </c>
      <c r="U7379" t="s">
        <v>55708</v>
      </c>
      <c r="W7379" t="s">
        <v>45528</v>
      </c>
      <c r="X7379" t="s">
        <v>47312</v>
      </c>
    </row>
    <row r="7380" spans="1:24">
      <c r="A7380">
        <f>HYPERLINK("https://www.philgeps.gov.ph/GEPSNONPILOT/Tender/SplashBidNoticeAbstractUI.aspx?menuIndex=3&amp;refID=7192572&amp;Result=3","7192572")</f>
        <v>0</v>
      </c>
      <c r="B7380" t="s">
        <v>2406</v>
      </c>
      <c r="C7380" t="s">
        <v>10786</v>
      </c>
      <c r="D7380" t="s">
        <v>19029</v>
      </c>
      <c r="E7380" t="s">
        <v>25515</v>
      </c>
      <c r="F7380" t="s">
        <v>32606</v>
      </c>
      <c r="G7380" t="s">
        <v>32613</v>
      </c>
      <c r="H7380" t="s">
        <v>32623</v>
      </c>
      <c r="I7380" t="s">
        <v>32661</v>
      </c>
      <c r="J7380" t="s">
        <v>35368</v>
      </c>
      <c r="K7380" t="s">
        <v>42631</v>
      </c>
      <c r="M7380" t="s">
        <v>45529</v>
      </c>
      <c r="N7380" t="s">
        <v>47304</v>
      </c>
      <c r="O7380" t="s">
        <v>47305</v>
      </c>
      <c r="P7380">
        <v>0</v>
      </c>
      <c r="Q7380">
        <v>0</v>
      </c>
      <c r="R7380" t="s">
        <v>47311</v>
      </c>
      <c r="S7380" t="s">
        <v>47443</v>
      </c>
      <c r="T7380" t="s">
        <v>49014</v>
      </c>
      <c r="U7380" t="s">
        <v>55709</v>
      </c>
      <c r="W7380" t="s">
        <v>45529</v>
      </c>
      <c r="X7380" t="s">
        <v>47312</v>
      </c>
    </row>
    <row r="7381" spans="1:24">
      <c r="A7381">
        <f>HYPERLINK("https://www.philgeps.gov.ph/GEPSNONPILOT/Tender/SplashBidNoticeAbstractUI.aspx?menuIndex=3&amp;refID=7192637&amp;Result=3","7192637")</f>
        <v>0</v>
      </c>
      <c r="B7381" t="s">
        <v>718</v>
      </c>
      <c r="C7381" t="s">
        <v>10787</v>
      </c>
      <c r="D7381" t="s">
        <v>19005</v>
      </c>
      <c r="E7381" t="s">
        <v>25516</v>
      </c>
      <c r="F7381" t="s">
        <v>32606</v>
      </c>
      <c r="G7381" t="s">
        <v>32614</v>
      </c>
      <c r="H7381" t="s">
        <v>32623</v>
      </c>
      <c r="I7381" t="s">
        <v>17648</v>
      </c>
      <c r="J7381" t="s">
        <v>37434</v>
      </c>
      <c r="K7381" t="s">
        <v>42721</v>
      </c>
      <c r="M7381" t="s">
        <v>44059</v>
      </c>
      <c r="N7381" t="s">
        <v>47304</v>
      </c>
      <c r="O7381" t="s">
        <v>47305</v>
      </c>
      <c r="P7381">
        <v>0</v>
      </c>
      <c r="Q7381">
        <v>1</v>
      </c>
      <c r="R7381" t="s">
        <v>47311</v>
      </c>
      <c r="S7381" t="s">
        <v>47443</v>
      </c>
      <c r="T7381" t="s">
        <v>49014</v>
      </c>
      <c r="U7381" t="s">
        <v>55710</v>
      </c>
      <c r="W7381" t="s">
        <v>44059</v>
      </c>
      <c r="X7381" t="s">
        <v>47312</v>
      </c>
    </row>
    <row r="7382" spans="1:24">
      <c r="A7382">
        <f>HYPERLINK("https://www.philgeps.gov.ph/GEPSNONPILOT/Tender/SplashBidNoticeAbstractUI.aspx?menuIndex=3&amp;refID=7192634&amp;Result=3","7192634")</f>
        <v>0</v>
      </c>
      <c r="B7382" t="s">
        <v>481</v>
      </c>
      <c r="C7382" t="s">
        <v>10788</v>
      </c>
      <c r="D7382" t="s">
        <v>18993</v>
      </c>
      <c r="E7382" t="s">
        <v>25517</v>
      </c>
      <c r="F7382" t="s">
        <v>32606</v>
      </c>
      <c r="G7382" t="s">
        <v>32613</v>
      </c>
      <c r="H7382" t="s">
        <v>14201</v>
      </c>
      <c r="I7382" t="s">
        <v>32714</v>
      </c>
      <c r="J7382" t="s">
        <v>37435</v>
      </c>
      <c r="K7382" t="s">
        <v>42648</v>
      </c>
      <c r="M7382" t="s">
        <v>43392</v>
      </c>
      <c r="N7382" t="s">
        <v>47304</v>
      </c>
      <c r="O7382" t="s">
        <v>47305</v>
      </c>
      <c r="P7382">
        <v>0</v>
      </c>
      <c r="Q7382">
        <v>12</v>
      </c>
      <c r="R7382" t="s">
        <v>47311</v>
      </c>
      <c r="S7382" t="s">
        <v>47443</v>
      </c>
      <c r="T7382" t="s">
        <v>48985</v>
      </c>
      <c r="U7382" t="s">
        <v>55711</v>
      </c>
      <c r="W7382" t="s">
        <v>43392</v>
      </c>
      <c r="X7382" t="s">
        <v>47312</v>
      </c>
    </row>
    <row r="7383" spans="1:24">
      <c r="A7383">
        <f>HYPERLINK("https://www.philgeps.gov.ph/GEPSNONPILOT/Tender/SplashBidNoticeAbstractUI.aspx?menuIndex=3&amp;refID=7192632&amp;Result=3","7192632")</f>
        <v>0</v>
      </c>
      <c r="B7383" t="s">
        <v>278</v>
      </c>
      <c r="C7383" t="s">
        <v>10789</v>
      </c>
      <c r="D7383" t="s">
        <v>18993</v>
      </c>
      <c r="E7383" t="s">
        <v>25518</v>
      </c>
      <c r="F7383" t="s">
        <v>32606</v>
      </c>
      <c r="G7383" t="s">
        <v>32614</v>
      </c>
      <c r="H7383" t="s">
        <v>14201</v>
      </c>
      <c r="I7383" t="s">
        <v>32632</v>
      </c>
      <c r="J7383" t="s">
        <v>37436</v>
      </c>
      <c r="K7383" t="s">
        <v>42631</v>
      </c>
      <c r="M7383" t="s">
        <v>43179</v>
      </c>
      <c r="N7383" t="s">
        <v>47304</v>
      </c>
      <c r="O7383" t="s">
        <v>47305</v>
      </c>
      <c r="P7383">
        <v>0</v>
      </c>
      <c r="Q7383">
        <v>7</v>
      </c>
      <c r="R7383" t="s">
        <v>47311</v>
      </c>
      <c r="S7383" t="s">
        <v>47443</v>
      </c>
      <c r="T7383" t="s">
        <v>49071</v>
      </c>
      <c r="U7383" t="s">
        <v>55712</v>
      </c>
      <c r="W7383" t="s">
        <v>43179</v>
      </c>
      <c r="X7383" t="s">
        <v>47312</v>
      </c>
    </row>
    <row r="7384" spans="1:24">
      <c r="A7384">
        <f>HYPERLINK("https://www.philgeps.gov.ph/GEPSNONPILOT/Tender/SplashBidNoticeAbstractUI.aspx?menuIndex=3&amp;refID=7192625&amp;Result=3","7192625")</f>
        <v>0</v>
      </c>
      <c r="B7384" t="s">
        <v>100</v>
      </c>
      <c r="C7384" t="s">
        <v>10790</v>
      </c>
      <c r="D7384" t="s">
        <v>19010</v>
      </c>
      <c r="E7384" t="s">
        <v>25519</v>
      </c>
      <c r="F7384" t="s">
        <v>32606</v>
      </c>
      <c r="G7384" t="s">
        <v>32613</v>
      </c>
      <c r="H7384" t="s">
        <v>14201</v>
      </c>
      <c r="I7384" t="s">
        <v>6298</v>
      </c>
      <c r="J7384" t="s">
        <v>34155</v>
      </c>
      <c r="K7384" t="s">
        <v>42624</v>
      </c>
      <c r="M7384" t="s">
        <v>42998</v>
      </c>
      <c r="N7384" t="s">
        <v>47304</v>
      </c>
      <c r="O7384" t="s">
        <v>47305</v>
      </c>
      <c r="P7384">
        <v>0</v>
      </c>
      <c r="Q7384">
        <v>1</v>
      </c>
      <c r="R7384" t="s">
        <v>47311</v>
      </c>
      <c r="S7384" t="s">
        <v>47443</v>
      </c>
      <c r="T7384" t="s">
        <v>49017</v>
      </c>
      <c r="U7384" t="s">
        <v>49694</v>
      </c>
      <c r="V7384" t="s">
        <v>62670</v>
      </c>
      <c r="W7384" t="s">
        <v>42998</v>
      </c>
      <c r="X7384" t="s">
        <v>47312</v>
      </c>
    </row>
    <row r="7385" spans="1:24">
      <c r="A7385">
        <f>HYPERLINK("https://www.philgeps.gov.ph/GEPSNONPILOT/Tender/SplashBidNoticeAbstractUI.aspx?menuIndex=3&amp;refID=7192624&amp;Result=3","7192624")</f>
        <v>0</v>
      </c>
      <c r="B7385" t="s">
        <v>324</v>
      </c>
      <c r="C7385" t="s">
        <v>10791</v>
      </c>
      <c r="D7385" t="s">
        <v>19006</v>
      </c>
      <c r="E7385" t="s">
        <v>25520</v>
      </c>
      <c r="F7385" t="s">
        <v>32606</v>
      </c>
      <c r="G7385" t="s">
        <v>32613</v>
      </c>
      <c r="H7385" t="s">
        <v>14201</v>
      </c>
      <c r="I7385" t="s">
        <v>32705</v>
      </c>
      <c r="J7385" t="s">
        <v>34117</v>
      </c>
      <c r="K7385" t="s">
        <v>42631</v>
      </c>
      <c r="M7385" t="s">
        <v>43226</v>
      </c>
      <c r="N7385" t="s">
        <v>47304</v>
      </c>
      <c r="O7385" t="s">
        <v>47305</v>
      </c>
      <c r="P7385">
        <v>0</v>
      </c>
      <c r="Q7385">
        <v>3</v>
      </c>
      <c r="R7385" t="s">
        <v>47311</v>
      </c>
      <c r="S7385" t="s">
        <v>47443</v>
      </c>
      <c r="T7385" t="s">
        <v>49261</v>
      </c>
      <c r="U7385" t="s">
        <v>55713</v>
      </c>
      <c r="V7385" t="s">
        <v>62722</v>
      </c>
      <c r="W7385" t="s">
        <v>64428</v>
      </c>
      <c r="X7385" t="s">
        <v>47312</v>
      </c>
    </row>
    <row r="7386" spans="1:24">
      <c r="A7386">
        <f>HYPERLINK("https://www.philgeps.gov.ph/GEPSNONPILOT/Tender/SplashBidNoticeAbstractUI.aspx?menuIndex=3&amp;refID=7192622&amp;Result=3","7192622")</f>
        <v>0</v>
      </c>
      <c r="B7386" t="s">
        <v>2407</v>
      </c>
      <c r="C7386" t="s">
        <v>10792</v>
      </c>
      <c r="D7386" t="s">
        <v>19002</v>
      </c>
      <c r="E7386" t="s">
        <v>25521</v>
      </c>
      <c r="F7386" t="s">
        <v>32606</v>
      </c>
      <c r="G7386" t="s">
        <v>32614</v>
      </c>
      <c r="H7386" t="s">
        <v>14201</v>
      </c>
      <c r="I7386" t="s">
        <v>7064</v>
      </c>
      <c r="J7386" t="s">
        <v>34082</v>
      </c>
      <c r="K7386" t="s">
        <v>42629</v>
      </c>
      <c r="M7386" t="s">
        <v>45530</v>
      </c>
      <c r="N7386" t="s">
        <v>47304</v>
      </c>
      <c r="O7386" t="s">
        <v>47305</v>
      </c>
      <c r="P7386">
        <v>0</v>
      </c>
      <c r="Q7386">
        <v>1</v>
      </c>
      <c r="R7386" t="s">
        <v>47311</v>
      </c>
      <c r="S7386" t="s">
        <v>47443</v>
      </c>
      <c r="T7386" t="s">
        <v>49268</v>
      </c>
      <c r="U7386" t="s">
        <v>55714</v>
      </c>
      <c r="W7386" t="s">
        <v>45530</v>
      </c>
      <c r="X7386" t="s">
        <v>47312</v>
      </c>
    </row>
    <row r="7387" spans="1:24">
      <c r="A7387">
        <f>HYPERLINK("https://www.philgeps.gov.ph/GEPSNONPILOT/Tender/SplashBidNoticeAbstractUI.aspx?menuIndex=3&amp;refID=7192618&amp;Result=3","7192618")</f>
        <v>0</v>
      </c>
      <c r="B7387" t="s">
        <v>1644</v>
      </c>
      <c r="C7387" t="s">
        <v>10793</v>
      </c>
      <c r="D7387" t="s">
        <v>19022</v>
      </c>
      <c r="E7387" t="s">
        <v>25522</v>
      </c>
      <c r="F7387" t="s">
        <v>32606</v>
      </c>
      <c r="G7387" t="s">
        <v>32614</v>
      </c>
      <c r="H7387" t="s">
        <v>14201</v>
      </c>
      <c r="I7387" t="s">
        <v>32629</v>
      </c>
      <c r="J7387" t="s">
        <v>37437</v>
      </c>
      <c r="K7387" t="s">
        <v>42630</v>
      </c>
      <c r="M7387" t="s">
        <v>44665</v>
      </c>
      <c r="N7387" t="s">
        <v>47304</v>
      </c>
      <c r="O7387" t="s">
        <v>47305</v>
      </c>
      <c r="P7387">
        <v>0</v>
      </c>
      <c r="Q7387">
        <v>0</v>
      </c>
      <c r="R7387" t="s">
        <v>47311</v>
      </c>
      <c r="S7387" t="s">
        <v>47443</v>
      </c>
      <c r="T7387" t="s">
        <v>49071</v>
      </c>
      <c r="U7387" t="s">
        <v>55577</v>
      </c>
      <c r="W7387" t="s">
        <v>64478</v>
      </c>
      <c r="X7387" t="s">
        <v>47312</v>
      </c>
    </row>
    <row r="7388" spans="1:24">
      <c r="A7388">
        <f>HYPERLINK("https://www.philgeps.gov.ph/GEPSNONPILOT/Tender/SplashBidNoticeAbstractUI.aspx?menuIndex=3&amp;refID=7192615&amp;Result=3","7192615")</f>
        <v>0</v>
      </c>
      <c r="B7388" t="s">
        <v>2405</v>
      </c>
      <c r="C7388" t="s">
        <v>10794</v>
      </c>
      <c r="D7388" t="s">
        <v>19010</v>
      </c>
      <c r="E7388" t="s">
        <v>25523</v>
      </c>
      <c r="F7388" t="s">
        <v>32606</v>
      </c>
      <c r="G7388" t="s">
        <v>32613</v>
      </c>
      <c r="H7388" t="s">
        <v>32623</v>
      </c>
      <c r="I7388" t="s">
        <v>17648</v>
      </c>
      <c r="J7388" t="s">
        <v>37438</v>
      </c>
      <c r="K7388" t="s">
        <v>42651</v>
      </c>
      <c r="M7388" t="s">
        <v>45528</v>
      </c>
      <c r="N7388" t="s">
        <v>47304</v>
      </c>
      <c r="O7388" t="s">
        <v>47305</v>
      </c>
      <c r="P7388">
        <v>0</v>
      </c>
      <c r="Q7388">
        <v>2</v>
      </c>
      <c r="R7388" t="s">
        <v>47311</v>
      </c>
      <c r="S7388" t="s">
        <v>47443</v>
      </c>
      <c r="T7388" t="s">
        <v>49037</v>
      </c>
      <c r="U7388" t="s">
        <v>55715</v>
      </c>
      <c r="W7388" t="s">
        <v>45528</v>
      </c>
      <c r="X7388" t="s">
        <v>47312</v>
      </c>
    </row>
    <row r="7389" spans="1:24">
      <c r="A7389">
        <f>HYPERLINK("https://www.philgeps.gov.ph/GEPSNONPILOT/Tender/SplashBidNoticeAbstractUI.aspx?menuIndex=3&amp;refID=7192613&amp;Result=3","7192613")</f>
        <v>0</v>
      </c>
      <c r="B7389" t="s">
        <v>963</v>
      </c>
      <c r="C7389" t="s">
        <v>10795</v>
      </c>
      <c r="D7389" t="s">
        <v>19024</v>
      </c>
      <c r="E7389" t="s">
        <v>25524</v>
      </c>
      <c r="F7389" t="s">
        <v>32606</v>
      </c>
      <c r="G7389" t="s">
        <v>32613</v>
      </c>
      <c r="H7389" t="s">
        <v>32623</v>
      </c>
      <c r="I7389" t="s">
        <v>32643</v>
      </c>
      <c r="J7389" t="s">
        <v>37439</v>
      </c>
      <c r="K7389" t="s">
        <v>42795</v>
      </c>
      <c r="M7389" t="s">
        <v>45507</v>
      </c>
      <c r="N7389" t="s">
        <v>47304</v>
      </c>
      <c r="O7389" t="s">
        <v>47305</v>
      </c>
      <c r="P7389">
        <v>0</v>
      </c>
      <c r="Q7389">
        <v>1</v>
      </c>
      <c r="R7389" t="s">
        <v>47311</v>
      </c>
      <c r="S7389" t="s">
        <v>47443</v>
      </c>
      <c r="T7389" t="s">
        <v>49286</v>
      </c>
      <c r="U7389" t="s">
        <v>55716</v>
      </c>
      <c r="V7389" t="s">
        <v>63357</v>
      </c>
      <c r="W7389" t="s">
        <v>45507</v>
      </c>
      <c r="X7389" t="s">
        <v>47312</v>
      </c>
    </row>
    <row r="7390" spans="1:24">
      <c r="A7390">
        <f>HYPERLINK("https://www.philgeps.gov.ph/GEPSNONPILOT/Tender/SplashBidNoticeAbstractUI.aspx?menuIndex=3&amp;refID=7192640&amp;Result=3","7192640")</f>
        <v>0</v>
      </c>
      <c r="B7390" t="s">
        <v>2405</v>
      </c>
      <c r="C7390" t="s">
        <v>10796</v>
      </c>
      <c r="D7390" t="s">
        <v>19010</v>
      </c>
      <c r="E7390" t="s">
        <v>25525</v>
      </c>
      <c r="F7390" t="s">
        <v>32606</v>
      </c>
      <c r="G7390" t="s">
        <v>32613</v>
      </c>
      <c r="H7390" t="s">
        <v>32623</v>
      </c>
      <c r="I7390" t="s">
        <v>17648</v>
      </c>
      <c r="J7390" t="s">
        <v>37440</v>
      </c>
      <c r="K7390" t="s">
        <v>42645</v>
      </c>
      <c r="M7390" t="s">
        <v>45528</v>
      </c>
      <c r="N7390" t="s">
        <v>47304</v>
      </c>
      <c r="O7390" t="s">
        <v>47305</v>
      </c>
      <c r="P7390">
        <v>0</v>
      </c>
      <c r="Q7390">
        <v>2</v>
      </c>
      <c r="R7390" t="s">
        <v>47311</v>
      </c>
      <c r="S7390" t="s">
        <v>47443</v>
      </c>
      <c r="T7390" t="s">
        <v>49037</v>
      </c>
      <c r="U7390" t="s">
        <v>55717</v>
      </c>
      <c r="W7390" t="s">
        <v>45528</v>
      </c>
      <c r="X7390" t="s">
        <v>47312</v>
      </c>
    </row>
    <row r="7391" spans="1:24">
      <c r="A7391">
        <f>HYPERLINK("https://www.philgeps.gov.ph/GEPSNONPILOT/Tender/SplashBidNoticeAbstractUI.aspx?menuIndex=3&amp;refID=7192612&amp;Result=3","7192612")</f>
        <v>0</v>
      </c>
      <c r="B7391" t="s">
        <v>2408</v>
      </c>
      <c r="C7391" t="s">
        <v>10797</v>
      </c>
      <c r="D7391" t="s">
        <v>19007</v>
      </c>
      <c r="E7391" t="s">
        <v>25526</v>
      </c>
      <c r="F7391" t="s">
        <v>32606</v>
      </c>
      <c r="G7391" t="s">
        <v>32613</v>
      </c>
      <c r="H7391" t="s">
        <v>32623</v>
      </c>
      <c r="I7391" t="s">
        <v>17648</v>
      </c>
      <c r="J7391" t="s">
        <v>37441</v>
      </c>
      <c r="K7391" t="s">
        <v>42624</v>
      </c>
      <c r="M7391" t="s">
        <v>45531</v>
      </c>
      <c r="N7391" t="s">
        <v>47304</v>
      </c>
      <c r="O7391" t="s">
        <v>47305</v>
      </c>
      <c r="P7391">
        <v>0</v>
      </c>
      <c r="Q7391">
        <v>0</v>
      </c>
      <c r="R7391" t="s">
        <v>47311</v>
      </c>
      <c r="S7391" t="s">
        <v>47443</v>
      </c>
      <c r="T7391" t="s">
        <v>49104</v>
      </c>
      <c r="U7391" t="s">
        <v>55718</v>
      </c>
      <c r="W7391" t="s">
        <v>45531</v>
      </c>
      <c r="X7391" t="s">
        <v>47312</v>
      </c>
    </row>
    <row r="7392" spans="1:24">
      <c r="A7392">
        <f>HYPERLINK("https://www.philgeps.gov.ph/GEPSNONPILOT/Tender/SplashBidNoticeAbstractUI.aspx?menuIndex=3&amp;refID=7192608&amp;Result=3","7192608")</f>
        <v>0</v>
      </c>
      <c r="B7392" t="s">
        <v>1712</v>
      </c>
      <c r="C7392" t="s">
        <v>10798</v>
      </c>
      <c r="D7392" t="s">
        <v>19022</v>
      </c>
      <c r="E7392" t="s">
        <v>25527</v>
      </c>
      <c r="F7392" t="s">
        <v>32606</v>
      </c>
      <c r="G7392" t="s">
        <v>32613</v>
      </c>
      <c r="H7392" t="s">
        <v>32623</v>
      </c>
      <c r="I7392" t="s">
        <v>17648</v>
      </c>
      <c r="J7392" t="s">
        <v>37442</v>
      </c>
      <c r="K7392" t="s">
        <v>42722</v>
      </c>
      <c r="L7392" t="s">
        <v>1712</v>
      </c>
      <c r="M7392" t="s">
        <v>44744</v>
      </c>
      <c r="N7392" t="s">
        <v>47304</v>
      </c>
      <c r="O7392" t="s">
        <v>47305</v>
      </c>
      <c r="P7392">
        <v>0</v>
      </c>
      <c r="Q7392">
        <v>2</v>
      </c>
      <c r="R7392" t="s">
        <v>47311</v>
      </c>
      <c r="S7392" t="s">
        <v>47443</v>
      </c>
      <c r="T7392" t="s">
        <v>49111</v>
      </c>
      <c r="U7392" t="s">
        <v>55719</v>
      </c>
      <c r="W7392" t="s">
        <v>44744</v>
      </c>
      <c r="X7392" t="s">
        <v>47312</v>
      </c>
    </row>
    <row r="7393" spans="1:24">
      <c r="A7393">
        <f>HYPERLINK("https://www.philgeps.gov.ph/GEPSNONPILOT/Tender/SplashBidNoticeAbstractUI.aspx?menuIndex=3&amp;refID=7192605&amp;Result=3","7192605")</f>
        <v>0</v>
      </c>
      <c r="B7393" t="s">
        <v>1644</v>
      </c>
      <c r="C7393" t="s">
        <v>8270</v>
      </c>
      <c r="D7393" t="s">
        <v>19022</v>
      </c>
      <c r="E7393" t="s">
        <v>25528</v>
      </c>
      <c r="F7393" t="s">
        <v>32606</v>
      </c>
      <c r="G7393" t="s">
        <v>32614</v>
      </c>
      <c r="H7393" t="s">
        <v>14201</v>
      </c>
      <c r="I7393" t="s">
        <v>6007</v>
      </c>
      <c r="J7393" t="s">
        <v>33111</v>
      </c>
      <c r="K7393" t="s">
        <v>42630</v>
      </c>
      <c r="M7393" t="s">
        <v>44665</v>
      </c>
      <c r="N7393" t="s">
        <v>47304</v>
      </c>
      <c r="O7393" t="s">
        <v>47305</v>
      </c>
      <c r="P7393">
        <v>0</v>
      </c>
      <c r="Q7393">
        <v>0</v>
      </c>
      <c r="R7393" t="s">
        <v>47311</v>
      </c>
      <c r="S7393" t="s">
        <v>47443</v>
      </c>
      <c r="T7393" t="s">
        <v>49071</v>
      </c>
      <c r="U7393" t="s">
        <v>55577</v>
      </c>
      <c r="W7393" t="s">
        <v>64478</v>
      </c>
      <c r="X7393" t="s">
        <v>47312</v>
      </c>
    </row>
    <row r="7394" spans="1:24">
      <c r="A7394">
        <f>HYPERLINK("https://www.philgeps.gov.ph/GEPSNONPILOT/Tender/SplashBidNoticeAbstractUI.aspx?menuIndex=3&amp;refID=7192604&amp;Result=3","7192604")</f>
        <v>0</v>
      </c>
      <c r="B7394" t="s">
        <v>2405</v>
      </c>
      <c r="C7394" t="s">
        <v>10799</v>
      </c>
      <c r="D7394" t="s">
        <v>19010</v>
      </c>
      <c r="E7394" t="s">
        <v>25529</v>
      </c>
      <c r="F7394" t="s">
        <v>32606</v>
      </c>
      <c r="G7394" t="s">
        <v>32613</v>
      </c>
      <c r="H7394" t="s">
        <v>32623</v>
      </c>
      <c r="I7394" t="s">
        <v>17648</v>
      </c>
      <c r="J7394" t="s">
        <v>37443</v>
      </c>
      <c r="K7394" t="s">
        <v>42631</v>
      </c>
      <c r="M7394" t="s">
        <v>45528</v>
      </c>
      <c r="N7394" t="s">
        <v>47304</v>
      </c>
      <c r="O7394" t="s">
        <v>47305</v>
      </c>
      <c r="P7394">
        <v>0</v>
      </c>
      <c r="Q7394">
        <v>1</v>
      </c>
      <c r="R7394" t="s">
        <v>47311</v>
      </c>
      <c r="S7394" t="s">
        <v>47443</v>
      </c>
      <c r="T7394" t="s">
        <v>49037</v>
      </c>
      <c r="U7394" t="s">
        <v>55720</v>
      </c>
      <c r="W7394" t="s">
        <v>45528</v>
      </c>
      <c r="X7394" t="s">
        <v>47312</v>
      </c>
    </row>
    <row r="7395" spans="1:24">
      <c r="A7395">
        <f>HYPERLINK("https://www.philgeps.gov.ph/GEPSNONPILOT/Tender/SplashBidNoticeAbstractUI.aspx?menuIndex=3&amp;refID=7192642&amp;Result=3","7192642")</f>
        <v>0</v>
      </c>
      <c r="B7395" t="s">
        <v>100</v>
      </c>
      <c r="C7395" t="s">
        <v>10800</v>
      </c>
      <c r="D7395" t="s">
        <v>19010</v>
      </c>
      <c r="E7395" t="s">
        <v>25530</v>
      </c>
      <c r="F7395" t="s">
        <v>32606</v>
      </c>
      <c r="G7395" t="s">
        <v>32613</v>
      </c>
      <c r="H7395" t="s">
        <v>14201</v>
      </c>
      <c r="I7395" t="s">
        <v>32631</v>
      </c>
      <c r="J7395" t="s">
        <v>37444</v>
      </c>
      <c r="K7395" t="s">
        <v>42624</v>
      </c>
      <c r="M7395" t="s">
        <v>42998</v>
      </c>
      <c r="N7395" t="s">
        <v>47304</v>
      </c>
      <c r="O7395" t="s">
        <v>47305</v>
      </c>
      <c r="P7395">
        <v>0</v>
      </c>
      <c r="Q7395">
        <v>1</v>
      </c>
      <c r="R7395" t="s">
        <v>47311</v>
      </c>
      <c r="S7395" t="s">
        <v>47443</v>
      </c>
      <c r="T7395" t="s">
        <v>49017</v>
      </c>
      <c r="U7395" t="s">
        <v>49694</v>
      </c>
      <c r="V7395" t="s">
        <v>63355</v>
      </c>
      <c r="W7395" t="s">
        <v>42998</v>
      </c>
      <c r="X7395" t="s">
        <v>47312</v>
      </c>
    </row>
    <row r="7396" spans="1:24">
      <c r="A7396">
        <f>HYPERLINK("https://www.philgeps.gov.ph/GEPSNONPILOT/Tender/SplashBidNoticeAbstractUI.aspx?menuIndex=3&amp;refID=7192616&amp;Result=3","7192616")</f>
        <v>0</v>
      </c>
      <c r="B7396" t="s">
        <v>1715</v>
      </c>
      <c r="C7396" t="s">
        <v>10801</v>
      </c>
      <c r="E7396" t="s">
        <v>25531</v>
      </c>
      <c r="F7396" t="s">
        <v>32606</v>
      </c>
      <c r="G7396" t="s">
        <v>32613</v>
      </c>
      <c r="H7396" t="s">
        <v>32625</v>
      </c>
      <c r="I7396" t="s">
        <v>32625</v>
      </c>
      <c r="J7396" t="s">
        <v>37445</v>
      </c>
      <c r="K7396" t="s">
        <v>42675</v>
      </c>
      <c r="M7396" t="s">
        <v>45532</v>
      </c>
      <c r="N7396" t="s">
        <v>47304</v>
      </c>
      <c r="O7396" t="s">
        <v>47305</v>
      </c>
      <c r="P7396">
        <v>0</v>
      </c>
      <c r="Q7396">
        <v>4</v>
      </c>
      <c r="R7396" t="s">
        <v>47311</v>
      </c>
      <c r="S7396" t="s">
        <v>47443</v>
      </c>
      <c r="T7396" t="s">
        <v>49023</v>
      </c>
      <c r="U7396" t="s">
        <v>55721</v>
      </c>
      <c r="W7396" t="s">
        <v>45532</v>
      </c>
      <c r="X7396" t="s">
        <v>47312</v>
      </c>
    </row>
    <row r="7397" spans="1:24">
      <c r="A7397">
        <f>HYPERLINK("https://www.philgeps.gov.ph/GEPSNONPILOT/Tender/SplashBidNoticeAbstractUI.aspx?menuIndex=3&amp;refID=7192560&amp;Result=3","7192560")</f>
        <v>0</v>
      </c>
      <c r="B7397" t="s">
        <v>1193</v>
      </c>
      <c r="C7397" t="s">
        <v>10802</v>
      </c>
      <c r="D7397" t="s">
        <v>19007</v>
      </c>
      <c r="E7397" t="s">
        <v>25532</v>
      </c>
      <c r="F7397" t="s">
        <v>32606</v>
      </c>
      <c r="G7397" t="s">
        <v>32613</v>
      </c>
      <c r="H7397" t="s">
        <v>14201</v>
      </c>
      <c r="I7397" t="s">
        <v>4120</v>
      </c>
      <c r="J7397" t="s">
        <v>37446</v>
      </c>
      <c r="K7397" t="s">
        <v>42624</v>
      </c>
      <c r="M7397" t="s">
        <v>44560</v>
      </c>
      <c r="N7397" t="s">
        <v>47304</v>
      </c>
      <c r="O7397" t="s">
        <v>47305</v>
      </c>
      <c r="P7397">
        <v>0</v>
      </c>
      <c r="Q7397">
        <v>2</v>
      </c>
      <c r="R7397" t="s">
        <v>47311</v>
      </c>
      <c r="S7397" t="s">
        <v>47443</v>
      </c>
      <c r="T7397" t="s">
        <v>49368</v>
      </c>
      <c r="U7397" t="s">
        <v>55722</v>
      </c>
      <c r="W7397" t="s">
        <v>44560</v>
      </c>
      <c r="X7397" t="s">
        <v>47312</v>
      </c>
    </row>
    <row r="7398" spans="1:24">
      <c r="A7398">
        <f>HYPERLINK("https://www.philgeps.gov.ph/GEPSNONPILOT/Tender/SplashBidNoticeAbstractUI.aspx?menuIndex=3&amp;refID=7191324&amp;Result=3","7191324")</f>
        <v>0</v>
      </c>
      <c r="B7398" t="s">
        <v>2409</v>
      </c>
      <c r="C7398" t="s">
        <v>3946</v>
      </c>
      <c r="D7398" t="s">
        <v>19000</v>
      </c>
      <c r="E7398" t="s">
        <v>25533</v>
      </c>
      <c r="F7398" t="s">
        <v>32606</v>
      </c>
      <c r="G7398" t="s">
        <v>32613</v>
      </c>
      <c r="H7398" t="s">
        <v>32623</v>
      </c>
      <c r="I7398" t="s">
        <v>17648</v>
      </c>
      <c r="J7398" t="s">
        <v>34478</v>
      </c>
      <c r="K7398" t="s">
        <v>42693</v>
      </c>
      <c r="M7398" t="s">
        <v>45533</v>
      </c>
      <c r="N7398" t="s">
        <v>47304</v>
      </c>
      <c r="O7398" t="s">
        <v>47305</v>
      </c>
      <c r="P7398">
        <v>0</v>
      </c>
      <c r="Q7398">
        <v>0</v>
      </c>
      <c r="R7398" t="s">
        <v>47311</v>
      </c>
      <c r="S7398" t="s">
        <v>47443</v>
      </c>
      <c r="T7398" t="s">
        <v>48980</v>
      </c>
      <c r="U7398" t="s">
        <v>55723</v>
      </c>
      <c r="W7398" t="s">
        <v>45533</v>
      </c>
      <c r="X7398" t="s">
        <v>47312</v>
      </c>
    </row>
    <row r="7399" spans="1:24">
      <c r="A7399">
        <f>HYPERLINK("https://www.philgeps.gov.ph/GEPSNONPILOT/Tender/SplashBidNoticeAbstractUI.aspx?menuIndex=3&amp;refID=7192557&amp;Result=3","7192557")</f>
        <v>0</v>
      </c>
      <c r="B7399" t="s">
        <v>1688</v>
      </c>
      <c r="C7399" t="s">
        <v>10803</v>
      </c>
      <c r="D7399" t="s">
        <v>19015</v>
      </c>
      <c r="E7399" t="s">
        <v>25534</v>
      </c>
      <c r="F7399" t="s">
        <v>32606</v>
      </c>
      <c r="G7399" t="s">
        <v>32614</v>
      </c>
      <c r="H7399" t="s">
        <v>14201</v>
      </c>
      <c r="I7399" t="s">
        <v>32681</v>
      </c>
      <c r="J7399" t="s">
        <v>37447</v>
      </c>
      <c r="K7399" t="s">
        <v>42623</v>
      </c>
      <c r="M7399" t="s">
        <v>44717</v>
      </c>
      <c r="N7399" t="s">
        <v>47304</v>
      </c>
      <c r="O7399" t="s">
        <v>47305</v>
      </c>
      <c r="P7399">
        <v>0</v>
      </c>
      <c r="Q7399">
        <v>1</v>
      </c>
      <c r="R7399" t="s">
        <v>47311</v>
      </c>
      <c r="S7399" t="s">
        <v>47443</v>
      </c>
      <c r="T7399" t="s">
        <v>49053</v>
      </c>
      <c r="U7399" t="s">
        <v>55724</v>
      </c>
      <c r="V7399" t="s">
        <v>63358</v>
      </c>
      <c r="W7399" t="s">
        <v>44717</v>
      </c>
      <c r="X7399" t="s">
        <v>47312</v>
      </c>
    </row>
    <row r="7400" spans="1:24">
      <c r="A7400">
        <f>HYPERLINK("https://www.philgeps.gov.ph/GEPSNONPILOT/Tender/SplashBidNoticeAbstractUI.aspx?menuIndex=3&amp;refID=7192555&amp;Result=3","7192555")</f>
        <v>0</v>
      </c>
      <c r="B7400" t="s">
        <v>2408</v>
      </c>
      <c r="C7400" t="s">
        <v>10804</v>
      </c>
      <c r="D7400" t="s">
        <v>19007</v>
      </c>
      <c r="E7400" t="s">
        <v>25535</v>
      </c>
      <c r="F7400" t="s">
        <v>32606</v>
      </c>
      <c r="G7400" t="s">
        <v>32613</v>
      </c>
      <c r="H7400" t="s">
        <v>32623</v>
      </c>
      <c r="I7400" t="s">
        <v>17648</v>
      </c>
      <c r="J7400" t="s">
        <v>32923</v>
      </c>
      <c r="K7400" t="s">
        <v>42624</v>
      </c>
      <c r="M7400" t="s">
        <v>45531</v>
      </c>
      <c r="N7400" t="s">
        <v>47304</v>
      </c>
      <c r="O7400" t="s">
        <v>47305</v>
      </c>
      <c r="P7400">
        <v>0</v>
      </c>
      <c r="Q7400">
        <v>0</v>
      </c>
      <c r="R7400" t="s">
        <v>47311</v>
      </c>
      <c r="S7400" t="s">
        <v>47443</v>
      </c>
      <c r="T7400" t="s">
        <v>49104</v>
      </c>
      <c r="U7400" t="s">
        <v>55725</v>
      </c>
      <c r="W7400" t="s">
        <v>45531</v>
      </c>
      <c r="X7400" t="s">
        <v>47312</v>
      </c>
    </row>
    <row r="7401" spans="1:24">
      <c r="A7401">
        <f>HYPERLINK("https://www.philgeps.gov.ph/GEPSNONPILOT/Tender/SplashBidNoticeAbstractUI.aspx?menuIndex=3&amp;refID=7192504&amp;Result=3","7192504")</f>
        <v>0</v>
      </c>
      <c r="B7401" t="s">
        <v>718</v>
      </c>
      <c r="C7401" t="s">
        <v>10805</v>
      </c>
      <c r="D7401" t="s">
        <v>19005</v>
      </c>
      <c r="E7401" t="s">
        <v>25536</v>
      </c>
      <c r="F7401" t="s">
        <v>32606</v>
      </c>
      <c r="G7401" t="s">
        <v>32613</v>
      </c>
      <c r="H7401" t="s">
        <v>32623</v>
      </c>
      <c r="I7401" t="s">
        <v>17648</v>
      </c>
      <c r="J7401" t="s">
        <v>33934</v>
      </c>
      <c r="K7401" t="s">
        <v>42796</v>
      </c>
      <c r="M7401" t="s">
        <v>44059</v>
      </c>
      <c r="N7401" t="s">
        <v>47304</v>
      </c>
      <c r="O7401" t="s">
        <v>47305</v>
      </c>
      <c r="P7401">
        <v>0</v>
      </c>
      <c r="Q7401">
        <v>2</v>
      </c>
      <c r="R7401" t="s">
        <v>47311</v>
      </c>
      <c r="S7401" t="s">
        <v>47443</v>
      </c>
      <c r="T7401" t="s">
        <v>49324</v>
      </c>
      <c r="U7401" t="s">
        <v>55726</v>
      </c>
      <c r="V7401" t="s">
        <v>63359</v>
      </c>
      <c r="W7401" t="s">
        <v>44059</v>
      </c>
      <c r="X7401" t="s">
        <v>47312</v>
      </c>
    </row>
    <row r="7402" spans="1:24">
      <c r="A7402">
        <f>HYPERLINK("https://www.philgeps.gov.ph/GEPSNONPILOT/Tender/SplashBidNoticeAbstractUI.aspx?menuIndex=3&amp;refID=7192498&amp;Result=3","7192498")</f>
        <v>0</v>
      </c>
      <c r="B7402" t="s">
        <v>2191</v>
      </c>
      <c r="C7402" t="s">
        <v>10806</v>
      </c>
      <c r="D7402" t="s">
        <v>19067</v>
      </c>
      <c r="E7402" t="s">
        <v>23558</v>
      </c>
      <c r="F7402" t="s">
        <v>32606</v>
      </c>
      <c r="G7402" t="s">
        <v>32613</v>
      </c>
      <c r="H7402" t="s">
        <v>14201</v>
      </c>
      <c r="I7402" t="s">
        <v>9013</v>
      </c>
      <c r="J7402" t="s">
        <v>37448</v>
      </c>
      <c r="K7402" t="s">
        <v>42631</v>
      </c>
      <c r="M7402" t="s">
        <v>45291</v>
      </c>
      <c r="N7402" t="s">
        <v>47304</v>
      </c>
      <c r="O7402" t="s">
        <v>47305</v>
      </c>
      <c r="P7402">
        <v>0</v>
      </c>
      <c r="Q7402">
        <v>0</v>
      </c>
      <c r="R7402" t="s">
        <v>47311</v>
      </c>
      <c r="S7402" t="s">
        <v>47443</v>
      </c>
      <c r="T7402" t="s">
        <v>49144</v>
      </c>
      <c r="U7402" t="s">
        <v>55727</v>
      </c>
      <c r="W7402" t="s">
        <v>45291</v>
      </c>
      <c r="X7402" t="s">
        <v>47312</v>
      </c>
    </row>
    <row r="7403" spans="1:24">
      <c r="A7403">
        <f>HYPERLINK("https://www.philgeps.gov.ph/GEPSNONPILOT/Tender/SplashBidNoticeAbstractUI.aspx?menuIndex=3&amp;refID=7192496&amp;Result=3","7192496")</f>
        <v>0</v>
      </c>
      <c r="B7403" t="s">
        <v>1187</v>
      </c>
      <c r="C7403" t="s">
        <v>10807</v>
      </c>
      <c r="D7403" t="s">
        <v>19011</v>
      </c>
      <c r="E7403" t="s">
        <v>25537</v>
      </c>
      <c r="F7403" t="s">
        <v>32606</v>
      </c>
      <c r="G7403" t="s">
        <v>32613</v>
      </c>
      <c r="H7403" t="s">
        <v>32623</v>
      </c>
      <c r="I7403" t="s">
        <v>17648</v>
      </c>
      <c r="J7403" t="s">
        <v>37449</v>
      </c>
      <c r="K7403" t="s">
        <v>42797</v>
      </c>
      <c r="M7403" t="s">
        <v>44151</v>
      </c>
      <c r="N7403" t="s">
        <v>47304</v>
      </c>
      <c r="O7403" t="s">
        <v>47305</v>
      </c>
      <c r="P7403">
        <v>0</v>
      </c>
      <c r="Q7403">
        <v>2</v>
      </c>
      <c r="R7403" t="s">
        <v>47311</v>
      </c>
      <c r="S7403" t="s">
        <v>47443</v>
      </c>
      <c r="T7403" t="s">
        <v>49111</v>
      </c>
      <c r="U7403" t="s">
        <v>55728</v>
      </c>
      <c r="W7403" t="s">
        <v>44151</v>
      </c>
      <c r="X7403" t="s">
        <v>47312</v>
      </c>
    </row>
    <row r="7404" spans="1:24">
      <c r="A7404">
        <f>HYPERLINK("https://www.philgeps.gov.ph/GEPSNONPILOT/Tender/SplashBidNoticeAbstractUI.aspx?menuIndex=3&amp;refID=7192490&amp;Result=3","7192490")</f>
        <v>0</v>
      </c>
      <c r="B7404" t="s">
        <v>2410</v>
      </c>
      <c r="C7404" t="s">
        <v>10808</v>
      </c>
      <c r="D7404" t="s">
        <v>18993</v>
      </c>
      <c r="E7404" t="s">
        <v>19326</v>
      </c>
      <c r="F7404" t="s">
        <v>32606</v>
      </c>
      <c r="G7404" t="s">
        <v>32614</v>
      </c>
      <c r="H7404" t="s">
        <v>32624</v>
      </c>
      <c r="I7404" t="s">
        <v>32659</v>
      </c>
      <c r="J7404" t="s">
        <v>32765</v>
      </c>
      <c r="K7404" t="s">
        <v>42627</v>
      </c>
      <c r="M7404" t="s">
        <v>45534</v>
      </c>
      <c r="N7404" t="s">
        <v>47304</v>
      </c>
      <c r="O7404" t="s">
        <v>47305</v>
      </c>
      <c r="P7404">
        <v>0</v>
      </c>
      <c r="Q7404">
        <v>0</v>
      </c>
      <c r="R7404" t="s">
        <v>47311</v>
      </c>
      <c r="S7404" t="s">
        <v>47443</v>
      </c>
      <c r="T7404" t="s">
        <v>49371</v>
      </c>
      <c r="U7404" t="s">
        <v>55729</v>
      </c>
      <c r="W7404" t="s">
        <v>45534</v>
      </c>
      <c r="X7404" t="s">
        <v>47312</v>
      </c>
    </row>
    <row r="7405" spans="1:24">
      <c r="A7405">
        <f>HYPERLINK("https://www.philgeps.gov.ph/GEPSNONPILOT/Tender/SplashBidNoticeAbstractUI.aspx?menuIndex=3&amp;refID=7192593&amp;Result=3","7192593")</f>
        <v>0</v>
      </c>
      <c r="B7405" t="s">
        <v>2410</v>
      </c>
      <c r="C7405" t="s">
        <v>10809</v>
      </c>
      <c r="D7405" t="s">
        <v>18993</v>
      </c>
      <c r="E7405" t="s">
        <v>24942</v>
      </c>
      <c r="F7405" t="s">
        <v>32606</v>
      </c>
      <c r="G7405" t="s">
        <v>32614</v>
      </c>
      <c r="H7405" t="s">
        <v>32624</v>
      </c>
      <c r="I7405" t="s">
        <v>32659</v>
      </c>
      <c r="J7405" t="s">
        <v>32765</v>
      </c>
      <c r="K7405" t="s">
        <v>42627</v>
      </c>
      <c r="M7405" t="s">
        <v>45534</v>
      </c>
      <c r="N7405" t="s">
        <v>47304</v>
      </c>
      <c r="O7405" t="s">
        <v>47305</v>
      </c>
      <c r="P7405">
        <v>0</v>
      </c>
      <c r="Q7405">
        <v>1</v>
      </c>
      <c r="R7405" t="s">
        <v>47311</v>
      </c>
      <c r="S7405" t="s">
        <v>47443</v>
      </c>
      <c r="T7405" t="s">
        <v>49165</v>
      </c>
      <c r="U7405" t="s">
        <v>55730</v>
      </c>
      <c r="W7405" t="s">
        <v>45534</v>
      </c>
      <c r="X7405" t="s">
        <v>47312</v>
      </c>
    </row>
    <row r="7406" spans="1:24">
      <c r="A7406">
        <f>HYPERLINK("https://www.philgeps.gov.ph/GEPSNONPILOT/Tender/SplashBidNoticeAbstractUI.aspx?menuIndex=3&amp;refID=7192450&amp;Result=3","7192450")</f>
        <v>0</v>
      </c>
      <c r="B7406" t="s">
        <v>2411</v>
      </c>
      <c r="C7406" t="s">
        <v>10810</v>
      </c>
      <c r="D7406" t="s">
        <v>19056</v>
      </c>
      <c r="E7406" t="s">
        <v>25538</v>
      </c>
      <c r="F7406" t="s">
        <v>32606</v>
      </c>
      <c r="G7406" t="s">
        <v>32613</v>
      </c>
      <c r="H7406" t="s">
        <v>32623</v>
      </c>
      <c r="I7406" t="s">
        <v>17648</v>
      </c>
      <c r="J7406" t="s">
        <v>37450</v>
      </c>
      <c r="K7406" t="s">
        <v>42648</v>
      </c>
      <c r="M7406" t="s">
        <v>45535</v>
      </c>
      <c r="N7406" t="s">
        <v>47304</v>
      </c>
      <c r="O7406" t="s">
        <v>47305</v>
      </c>
      <c r="P7406">
        <v>0</v>
      </c>
      <c r="Q7406">
        <v>0</v>
      </c>
      <c r="R7406" t="s">
        <v>47311</v>
      </c>
      <c r="S7406" t="s">
        <v>47443</v>
      </c>
      <c r="T7406" t="s">
        <v>49008</v>
      </c>
      <c r="U7406" t="s">
        <v>55731</v>
      </c>
      <c r="W7406" t="s">
        <v>45535</v>
      </c>
      <c r="X7406" t="s">
        <v>47312</v>
      </c>
    </row>
    <row r="7407" spans="1:24">
      <c r="A7407">
        <f>HYPERLINK("https://www.philgeps.gov.ph/GEPSNONPILOT/Tender/SplashBidNoticeAbstractUI.aspx?menuIndex=3&amp;refID=7192448&amp;Result=3","7192448")</f>
        <v>0</v>
      </c>
      <c r="B7407" t="s">
        <v>2412</v>
      </c>
      <c r="C7407" t="s">
        <v>4012</v>
      </c>
      <c r="D7407" t="s">
        <v>19014</v>
      </c>
      <c r="E7407" t="s">
        <v>25539</v>
      </c>
      <c r="F7407" t="s">
        <v>32606</v>
      </c>
      <c r="G7407" t="s">
        <v>32613</v>
      </c>
      <c r="H7407" t="s">
        <v>14201</v>
      </c>
      <c r="I7407" t="s">
        <v>32633</v>
      </c>
      <c r="J7407" t="s">
        <v>37451</v>
      </c>
      <c r="K7407" t="s">
        <v>42624</v>
      </c>
      <c r="M7407" t="s">
        <v>45536</v>
      </c>
      <c r="N7407" t="s">
        <v>47304</v>
      </c>
      <c r="O7407" t="s">
        <v>47305</v>
      </c>
      <c r="P7407">
        <v>0</v>
      </c>
      <c r="Q7407">
        <v>3</v>
      </c>
      <c r="R7407" t="s">
        <v>47311</v>
      </c>
      <c r="S7407" t="s">
        <v>47443</v>
      </c>
      <c r="T7407" t="s">
        <v>49014</v>
      </c>
      <c r="U7407" t="s">
        <v>55732</v>
      </c>
      <c r="V7407" t="s">
        <v>63360</v>
      </c>
      <c r="W7407" t="s">
        <v>45536</v>
      </c>
      <c r="X7407" t="s">
        <v>47312</v>
      </c>
    </row>
    <row r="7408" spans="1:24">
      <c r="A7408">
        <f>HYPERLINK("https://www.philgeps.gov.ph/GEPSNONPILOT/Tender/SplashBidNoticeAbstractUI.aspx?menuIndex=3&amp;refID=7192446&amp;Result=3","7192446")</f>
        <v>0</v>
      </c>
      <c r="B7408" t="s">
        <v>1864</v>
      </c>
      <c r="C7408" t="s">
        <v>10811</v>
      </c>
      <c r="D7408" t="s">
        <v>19029</v>
      </c>
      <c r="E7408" t="s">
        <v>25540</v>
      </c>
      <c r="F7408" t="s">
        <v>32606</v>
      </c>
      <c r="G7408" t="s">
        <v>32614</v>
      </c>
      <c r="H7408" t="s">
        <v>32623</v>
      </c>
      <c r="I7408" t="s">
        <v>17648</v>
      </c>
      <c r="J7408" t="s">
        <v>37452</v>
      </c>
      <c r="K7408" t="s">
        <v>42785</v>
      </c>
      <c r="M7408" t="s">
        <v>44921</v>
      </c>
      <c r="N7408" t="s">
        <v>47304</v>
      </c>
      <c r="O7408" t="s">
        <v>47305</v>
      </c>
      <c r="P7408">
        <v>0</v>
      </c>
      <c r="Q7408">
        <v>0</v>
      </c>
      <c r="R7408" t="s">
        <v>47311</v>
      </c>
      <c r="S7408" t="s">
        <v>47443</v>
      </c>
      <c r="T7408" t="s">
        <v>49311</v>
      </c>
      <c r="U7408" t="s">
        <v>55605</v>
      </c>
      <c r="W7408" t="s">
        <v>44921</v>
      </c>
      <c r="X7408" t="s">
        <v>47312</v>
      </c>
    </row>
    <row r="7409" spans="1:24">
      <c r="A7409">
        <f>HYPERLINK("https://www.philgeps.gov.ph/GEPSNONPILOT/Tender/SplashBidNoticeAbstractUI.aspx?menuIndex=3&amp;refID=7192444&amp;Result=3","7192444")</f>
        <v>0</v>
      </c>
      <c r="B7409" t="s">
        <v>928</v>
      </c>
      <c r="C7409" t="s">
        <v>10812</v>
      </c>
      <c r="D7409" t="s">
        <v>19027</v>
      </c>
      <c r="E7409" t="s">
        <v>25541</v>
      </c>
      <c r="F7409" t="s">
        <v>32606</v>
      </c>
      <c r="G7409" t="s">
        <v>32614</v>
      </c>
      <c r="H7409" t="s">
        <v>14201</v>
      </c>
      <c r="I7409" t="s">
        <v>4678</v>
      </c>
      <c r="J7409" t="s">
        <v>32752</v>
      </c>
      <c r="K7409" t="s">
        <v>42623</v>
      </c>
      <c r="M7409" t="s">
        <v>43868</v>
      </c>
      <c r="N7409" t="s">
        <v>47304</v>
      </c>
      <c r="O7409" t="s">
        <v>47305</v>
      </c>
      <c r="P7409">
        <v>0</v>
      </c>
      <c r="Q7409">
        <v>1</v>
      </c>
      <c r="R7409" t="s">
        <v>47311</v>
      </c>
      <c r="S7409" t="s">
        <v>47443</v>
      </c>
      <c r="T7409" t="s">
        <v>49268</v>
      </c>
      <c r="U7409" t="s">
        <v>55733</v>
      </c>
      <c r="W7409" t="s">
        <v>43868</v>
      </c>
      <c r="X7409" t="s">
        <v>47312</v>
      </c>
    </row>
    <row r="7410" spans="1:24">
      <c r="A7410">
        <f>HYPERLINK("https://www.philgeps.gov.ph/GEPSNONPILOT/Tender/SplashBidNoticeAbstractUI.aspx?menuIndex=3&amp;refID=7192614&amp;Result=3","7192614")</f>
        <v>0</v>
      </c>
      <c r="B7410" t="s">
        <v>1644</v>
      </c>
      <c r="C7410" t="s">
        <v>10813</v>
      </c>
      <c r="D7410" t="s">
        <v>19022</v>
      </c>
      <c r="E7410" t="s">
        <v>25542</v>
      </c>
      <c r="F7410" t="s">
        <v>32606</v>
      </c>
      <c r="G7410" t="s">
        <v>32613</v>
      </c>
      <c r="H7410" t="s">
        <v>32625</v>
      </c>
      <c r="I7410" t="s">
        <v>17648</v>
      </c>
      <c r="J7410" t="s">
        <v>32795</v>
      </c>
      <c r="K7410" t="s">
        <v>42639</v>
      </c>
      <c r="M7410" t="s">
        <v>45522</v>
      </c>
      <c r="N7410" t="s">
        <v>47304</v>
      </c>
      <c r="O7410" t="s">
        <v>47305</v>
      </c>
      <c r="P7410">
        <v>0</v>
      </c>
      <c r="Q7410">
        <v>0</v>
      </c>
      <c r="R7410" t="s">
        <v>47311</v>
      </c>
      <c r="S7410" t="s">
        <v>47443</v>
      </c>
      <c r="T7410" t="s">
        <v>49008</v>
      </c>
      <c r="U7410" t="s">
        <v>55697</v>
      </c>
      <c r="W7410" t="s">
        <v>45522</v>
      </c>
      <c r="X7410" t="s">
        <v>47312</v>
      </c>
    </row>
    <row r="7411" spans="1:24">
      <c r="A7411">
        <f>HYPERLINK("https://www.philgeps.gov.ph/GEPSNONPILOT/Tender/SplashBidNoticeAbstractUI.aspx?menuIndex=3&amp;refID=7191318&amp;Result=3","7191318")</f>
        <v>0</v>
      </c>
      <c r="B7411" t="s">
        <v>907</v>
      </c>
      <c r="C7411" t="s">
        <v>10814</v>
      </c>
      <c r="D7411" t="s">
        <v>19007</v>
      </c>
      <c r="E7411" t="s">
        <v>10814</v>
      </c>
      <c r="F7411" t="s">
        <v>32606</v>
      </c>
      <c r="G7411" t="s">
        <v>32613</v>
      </c>
      <c r="H7411" t="s">
        <v>14201</v>
      </c>
      <c r="I7411" t="s">
        <v>4112</v>
      </c>
      <c r="J7411" t="s">
        <v>37453</v>
      </c>
      <c r="K7411" t="s">
        <v>42624</v>
      </c>
      <c r="M7411" t="s">
        <v>43845</v>
      </c>
      <c r="N7411" t="s">
        <v>47304</v>
      </c>
      <c r="O7411" t="s">
        <v>47305</v>
      </c>
      <c r="P7411">
        <v>0</v>
      </c>
      <c r="Q7411">
        <v>0</v>
      </c>
      <c r="R7411" t="s">
        <v>47311</v>
      </c>
      <c r="S7411" t="s">
        <v>47443</v>
      </c>
      <c r="T7411" t="s">
        <v>48979</v>
      </c>
      <c r="U7411" t="s">
        <v>55734</v>
      </c>
      <c r="W7411" t="s">
        <v>43845</v>
      </c>
      <c r="X7411" t="s">
        <v>47312</v>
      </c>
    </row>
    <row r="7412" spans="1:24">
      <c r="A7412">
        <f>HYPERLINK("https://www.philgeps.gov.ph/GEPSNONPILOT/Tender/SplashBidNoticeAbstractUI.aspx?menuIndex=3&amp;refID=7192502&amp;Result=3","7192502")</f>
        <v>0</v>
      </c>
      <c r="B7412" t="s">
        <v>2297</v>
      </c>
      <c r="C7412" t="s">
        <v>10815</v>
      </c>
      <c r="D7412" t="s">
        <v>19024</v>
      </c>
      <c r="E7412" t="s">
        <v>25543</v>
      </c>
      <c r="F7412" t="s">
        <v>32606</v>
      </c>
      <c r="G7412" t="s">
        <v>32613</v>
      </c>
      <c r="H7412" t="s">
        <v>14201</v>
      </c>
      <c r="I7412" t="s">
        <v>32631</v>
      </c>
      <c r="J7412" t="s">
        <v>37454</v>
      </c>
      <c r="K7412" t="s">
        <v>42631</v>
      </c>
      <c r="M7412" t="s">
        <v>45512</v>
      </c>
      <c r="N7412" t="s">
        <v>47304</v>
      </c>
      <c r="O7412" t="s">
        <v>47305</v>
      </c>
      <c r="P7412">
        <v>0</v>
      </c>
      <c r="Q7412">
        <v>1</v>
      </c>
      <c r="R7412" t="s">
        <v>47311</v>
      </c>
      <c r="S7412" t="s">
        <v>47443</v>
      </c>
      <c r="T7412" t="s">
        <v>49004</v>
      </c>
      <c r="U7412" t="s">
        <v>55735</v>
      </c>
      <c r="V7412" t="s">
        <v>63312</v>
      </c>
      <c r="W7412" t="s">
        <v>45540</v>
      </c>
      <c r="X7412" t="s">
        <v>47312</v>
      </c>
    </row>
    <row r="7413" spans="1:24">
      <c r="A7413">
        <f>HYPERLINK("https://www.philgeps.gov.ph/GEPSNONPILOT/Tender/SplashBidNoticeAbstractUI.aspx?menuIndex=3&amp;refID=7191317&amp;Result=3","7191317")</f>
        <v>0</v>
      </c>
      <c r="B7413" t="s">
        <v>1172</v>
      </c>
      <c r="C7413" t="s">
        <v>10816</v>
      </c>
      <c r="D7413" t="s">
        <v>18998</v>
      </c>
      <c r="E7413" t="s">
        <v>25544</v>
      </c>
      <c r="F7413" t="s">
        <v>32606</v>
      </c>
      <c r="G7413" t="s">
        <v>32614</v>
      </c>
      <c r="H7413" t="s">
        <v>14201</v>
      </c>
      <c r="I7413" t="s">
        <v>32650</v>
      </c>
      <c r="J7413" t="s">
        <v>37455</v>
      </c>
      <c r="K7413" t="s">
        <v>42631</v>
      </c>
      <c r="M7413" t="s">
        <v>44135</v>
      </c>
      <c r="N7413" t="s">
        <v>47304</v>
      </c>
      <c r="O7413" t="s">
        <v>47305</v>
      </c>
      <c r="P7413">
        <v>0</v>
      </c>
      <c r="Q7413">
        <v>1</v>
      </c>
      <c r="R7413" t="s">
        <v>47311</v>
      </c>
      <c r="S7413" t="s">
        <v>47443</v>
      </c>
      <c r="T7413" t="s">
        <v>49053</v>
      </c>
      <c r="U7413" t="s">
        <v>51932</v>
      </c>
      <c r="W7413" t="s">
        <v>44135</v>
      </c>
      <c r="X7413" t="s">
        <v>47312</v>
      </c>
    </row>
    <row r="7414" spans="1:24">
      <c r="A7414">
        <f>HYPERLINK("https://www.philgeps.gov.ph/GEPSNONPILOT/Tender/SplashBidNoticeAbstractUI.aspx?menuIndex=3&amp;refID=7191314&amp;Result=3","7191314")</f>
        <v>0</v>
      </c>
      <c r="B7414" t="s">
        <v>253</v>
      </c>
      <c r="C7414" t="s">
        <v>10050</v>
      </c>
      <c r="D7414" t="s">
        <v>19043</v>
      </c>
      <c r="E7414" t="s">
        <v>25545</v>
      </c>
      <c r="F7414" t="s">
        <v>32606</v>
      </c>
      <c r="G7414" t="s">
        <v>32614</v>
      </c>
      <c r="H7414" t="s">
        <v>14201</v>
      </c>
      <c r="I7414" t="s">
        <v>4112</v>
      </c>
      <c r="J7414" t="s">
        <v>33185</v>
      </c>
      <c r="K7414" t="s">
        <v>42622</v>
      </c>
      <c r="M7414" t="s">
        <v>43154</v>
      </c>
      <c r="N7414" t="s">
        <v>47304</v>
      </c>
      <c r="O7414" t="s">
        <v>47305</v>
      </c>
      <c r="P7414">
        <v>0</v>
      </c>
      <c r="Q7414">
        <v>0</v>
      </c>
      <c r="R7414" t="s">
        <v>47311</v>
      </c>
      <c r="S7414" t="s">
        <v>47443</v>
      </c>
      <c r="T7414" t="s">
        <v>49023</v>
      </c>
      <c r="U7414" t="s">
        <v>55736</v>
      </c>
      <c r="W7414" t="s">
        <v>43154</v>
      </c>
      <c r="X7414" t="s">
        <v>47312</v>
      </c>
    </row>
    <row r="7415" spans="1:24">
      <c r="A7415">
        <f>HYPERLINK("https://www.philgeps.gov.ph/GEPSNONPILOT/Tender/SplashBidNoticeAbstractUI.aspx?menuIndex=3&amp;refID=7191037&amp;Result=3","7191037")</f>
        <v>0</v>
      </c>
      <c r="B7415" t="s">
        <v>2392</v>
      </c>
      <c r="C7415" t="s">
        <v>10817</v>
      </c>
      <c r="E7415" t="s">
        <v>25546</v>
      </c>
      <c r="F7415" t="s">
        <v>32606</v>
      </c>
      <c r="G7415" t="s">
        <v>32614</v>
      </c>
      <c r="H7415" t="s">
        <v>14201</v>
      </c>
      <c r="I7415" t="s">
        <v>9013</v>
      </c>
      <c r="J7415" t="s">
        <v>37456</v>
      </c>
      <c r="K7415" t="s">
        <v>42624</v>
      </c>
      <c r="M7415" t="s">
        <v>45513</v>
      </c>
      <c r="N7415" t="s">
        <v>47304</v>
      </c>
      <c r="O7415" t="s">
        <v>47305</v>
      </c>
      <c r="P7415">
        <v>0</v>
      </c>
      <c r="Q7415">
        <v>12</v>
      </c>
      <c r="R7415" t="s">
        <v>47311</v>
      </c>
      <c r="S7415" t="s">
        <v>47443</v>
      </c>
      <c r="T7415" t="s">
        <v>49020</v>
      </c>
      <c r="U7415" t="s">
        <v>49938</v>
      </c>
      <c r="W7415" t="s">
        <v>45513</v>
      </c>
      <c r="X7415" t="s">
        <v>47312</v>
      </c>
    </row>
    <row r="7416" spans="1:24">
      <c r="A7416">
        <f>HYPERLINK("https://www.philgeps.gov.ph/GEPSNONPILOT/Tender/SplashBidNoticeAbstractUI.aspx?menuIndex=3&amp;refID=7192647&amp;Result=3","7192647")</f>
        <v>0</v>
      </c>
      <c r="B7416" t="s">
        <v>718</v>
      </c>
      <c r="C7416" t="s">
        <v>10818</v>
      </c>
      <c r="D7416" t="s">
        <v>19005</v>
      </c>
      <c r="E7416" t="s">
        <v>25547</v>
      </c>
      <c r="F7416" t="s">
        <v>32606</v>
      </c>
      <c r="G7416" t="s">
        <v>32614</v>
      </c>
      <c r="H7416" t="s">
        <v>32623</v>
      </c>
      <c r="I7416" t="s">
        <v>32661</v>
      </c>
      <c r="J7416" t="s">
        <v>37457</v>
      </c>
      <c r="K7416" t="s">
        <v>42631</v>
      </c>
      <c r="M7416" t="s">
        <v>44059</v>
      </c>
      <c r="N7416" t="s">
        <v>47304</v>
      </c>
      <c r="O7416" t="s">
        <v>47305</v>
      </c>
      <c r="P7416">
        <v>0</v>
      </c>
      <c r="Q7416">
        <v>5</v>
      </c>
      <c r="R7416" t="s">
        <v>47311</v>
      </c>
      <c r="S7416" t="s">
        <v>47443</v>
      </c>
      <c r="T7416" t="s">
        <v>49014</v>
      </c>
      <c r="U7416" t="s">
        <v>55737</v>
      </c>
      <c r="W7416" t="s">
        <v>44059</v>
      </c>
      <c r="X7416" t="s">
        <v>47312</v>
      </c>
    </row>
    <row r="7417" spans="1:24">
      <c r="A7417">
        <f>HYPERLINK("https://www.philgeps.gov.ph/GEPSNONPILOT/Tender/SplashBidNoticeAbstractUI.aspx?menuIndex=3&amp;refID=7192451&amp;Result=3","7192451")</f>
        <v>0</v>
      </c>
      <c r="B7417" t="s">
        <v>723</v>
      </c>
      <c r="C7417" t="s">
        <v>10819</v>
      </c>
      <c r="D7417" t="s">
        <v>18994</v>
      </c>
      <c r="E7417" t="s">
        <v>25548</v>
      </c>
      <c r="F7417" t="s">
        <v>32606</v>
      </c>
      <c r="G7417" t="s">
        <v>32614</v>
      </c>
      <c r="H7417" t="s">
        <v>14201</v>
      </c>
      <c r="I7417" t="s">
        <v>32634</v>
      </c>
      <c r="J7417" t="s">
        <v>33024</v>
      </c>
      <c r="K7417" t="s">
        <v>42630</v>
      </c>
      <c r="M7417" t="s">
        <v>43644</v>
      </c>
      <c r="N7417" t="s">
        <v>47304</v>
      </c>
      <c r="O7417" t="s">
        <v>47305</v>
      </c>
      <c r="P7417">
        <v>0</v>
      </c>
      <c r="Q7417">
        <v>1</v>
      </c>
      <c r="R7417" t="s">
        <v>47311</v>
      </c>
      <c r="S7417" t="s">
        <v>47443</v>
      </c>
      <c r="T7417" t="s">
        <v>49331</v>
      </c>
      <c r="U7417" t="s">
        <v>50845</v>
      </c>
      <c r="W7417" t="s">
        <v>43644</v>
      </c>
      <c r="X7417" t="s">
        <v>47312</v>
      </c>
    </row>
    <row r="7418" spans="1:24">
      <c r="A7418">
        <f>HYPERLINK("https://www.philgeps.gov.ph/GEPSNONPILOT/Tender/SplashBidNoticeAbstractUI.aspx?menuIndex=3&amp;refID=7192667&amp;Result=3","7192667")</f>
        <v>0</v>
      </c>
      <c r="B7418" t="s">
        <v>2403</v>
      </c>
      <c r="C7418" t="s">
        <v>10820</v>
      </c>
      <c r="D7418" t="s">
        <v>19022</v>
      </c>
      <c r="E7418" t="s">
        <v>25549</v>
      </c>
      <c r="F7418" t="s">
        <v>32606</v>
      </c>
      <c r="G7418" t="s">
        <v>32614</v>
      </c>
      <c r="H7418" t="s">
        <v>32625</v>
      </c>
      <c r="I7418" t="s">
        <v>32625</v>
      </c>
      <c r="J7418" t="s">
        <v>37458</v>
      </c>
      <c r="K7418" t="s">
        <v>42636</v>
      </c>
      <c r="M7418" t="s">
        <v>45526</v>
      </c>
      <c r="N7418" t="s">
        <v>47304</v>
      </c>
      <c r="O7418" t="s">
        <v>47305</v>
      </c>
      <c r="P7418">
        <v>0</v>
      </c>
      <c r="Q7418">
        <v>0</v>
      </c>
      <c r="R7418" t="s">
        <v>47311</v>
      </c>
      <c r="S7418" t="s">
        <v>47443</v>
      </c>
      <c r="T7418" t="s">
        <v>49165</v>
      </c>
      <c r="U7418" t="s">
        <v>55738</v>
      </c>
      <c r="W7418" t="s">
        <v>45526</v>
      </c>
      <c r="X7418" t="s">
        <v>47312</v>
      </c>
    </row>
    <row r="7419" spans="1:24">
      <c r="A7419">
        <f>HYPERLINK("https://www.philgeps.gov.ph/GEPSNONPILOT/Tender/SplashBidNoticeAbstractUI.aspx?menuIndex=3&amp;refID=7192602&amp;Result=3","7192602")</f>
        <v>0</v>
      </c>
      <c r="B7419" t="s">
        <v>1088</v>
      </c>
      <c r="C7419" t="s">
        <v>10821</v>
      </c>
      <c r="D7419" t="s">
        <v>19006</v>
      </c>
      <c r="E7419" t="s">
        <v>25550</v>
      </c>
      <c r="F7419" t="s">
        <v>32606</v>
      </c>
      <c r="G7419" t="s">
        <v>32613</v>
      </c>
      <c r="H7419" t="s">
        <v>14201</v>
      </c>
      <c r="I7419" t="s">
        <v>6993</v>
      </c>
      <c r="J7419" t="s">
        <v>37459</v>
      </c>
      <c r="K7419" t="s">
        <v>42636</v>
      </c>
      <c r="M7419" t="s">
        <v>44043</v>
      </c>
      <c r="N7419" t="s">
        <v>47304</v>
      </c>
      <c r="O7419" t="s">
        <v>47305</v>
      </c>
      <c r="P7419">
        <v>0</v>
      </c>
      <c r="Q7419">
        <v>2</v>
      </c>
      <c r="R7419" t="s">
        <v>47311</v>
      </c>
      <c r="S7419" t="s">
        <v>47443</v>
      </c>
      <c r="T7419" t="s">
        <v>48973</v>
      </c>
      <c r="U7419" t="s">
        <v>55739</v>
      </c>
      <c r="W7419" t="s">
        <v>44043</v>
      </c>
      <c r="X7419" t="s">
        <v>47312</v>
      </c>
    </row>
    <row r="7420" spans="1:24">
      <c r="A7420">
        <f>HYPERLINK("https://www.philgeps.gov.ph/GEPSNONPILOT/Tender/SplashBidNoticeAbstractUI.aspx?menuIndex=3&amp;refID=7192660&amp;Result=3","7192660")</f>
        <v>0</v>
      </c>
      <c r="B7420" t="s">
        <v>1109</v>
      </c>
      <c r="C7420" t="s">
        <v>10822</v>
      </c>
      <c r="D7420" t="s">
        <v>19029</v>
      </c>
      <c r="E7420" t="s">
        <v>19312</v>
      </c>
      <c r="F7420" t="s">
        <v>32606</v>
      </c>
      <c r="G7420" t="s">
        <v>32614</v>
      </c>
      <c r="H7420" t="s">
        <v>32623</v>
      </c>
      <c r="I7420" t="s">
        <v>17648</v>
      </c>
      <c r="J7420" t="s">
        <v>37460</v>
      </c>
      <c r="K7420" t="s">
        <v>42624</v>
      </c>
      <c r="M7420" t="s">
        <v>44068</v>
      </c>
      <c r="N7420" t="s">
        <v>47304</v>
      </c>
      <c r="O7420" t="s">
        <v>47305</v>
      </c>
      <c r="P7420">
        <v>0</v>
      </c>
      <c r="Q7420">
        <v>4</v>
      </c>
      <c r="R7420" t="s">
        <v>47311</v>
      </c>
      <c r="S7420" t="s">
        <v>47443</v>
      </c>
      <c r="T7420" t="s">
        <v>49372</v>
      </c>
      <c r="U7420" t="s">
        <v>55740</v>
      </c>
      <c r="W7420" t="s">
        <v>44068</v>
      </c>
      <c r="X7420" t="s">
        <v>47312</v>
      </c>
    </row>
    <row r="7421" spans="1:24">
      <c r="A7421">
        <f>HYPERLINK("https://www.philgeps.gov.ph/GEPSNONPILOT/Tender/SplashBidNoticeAbstractUI.aspx?menuIndex=3&amp;refID=7191081&amp;Result=3","7191081")</f>
        <v>0</v>
      </c>
      <c r="B7421" t="s">
        <v>2413</v>
      </c>
      <c r="C7421" t="s">
        <v>10823</v>
      </c>
      <c r="D7421" t="s">
        <v>18993</v>
      </c>
      <c r="E7421" t="s">
        <v>23524</v>
      </c>
      <c r="F7421" t="s">
        <v>32606</v>
      </c>
      <c r="G7421" t="s">
        <v>32614</v>
      </c>
      <c r="H7421" t="s">
        <v>14201</v>
      </c>
      <c r="I7421" t="s">
        <v>6478</v>
      </c>
      <c r="J7421" t="s">
        <v>33897</v>
      </c>
      <c r="K7421" t="s">
        <v>42623</v>
      </c>
      <c r="M7421" t="s">
        <v>45537</v>
      </c>
      <c r="N7421" t="s">
        <v>47304</v>
      </c>
      <c r="O7421" t="s">
        <v>47305</v>
      </c>
      <c r="P7421">
        <v>0</v>
      </c>
      <c r="Q7421">
        <v>0</v>
      </c>
      <c r="R7421" t="s">
        <v>47311</v>
      </c>
      <c r="S7421" t="s">
        <v>47443</v>
      </c>
      <c r="T7421" t="s">
        <v>49010</v>
      </c>
      <c r="U7421" t="s">
        <v>55741</v>
      </c>
      <c r="W7421" t="s">
        <v>45537</v>
      </c>
      <c r="X7421" t="s">
        <v>47312</v>
      </c>
    </row>
    <row r="7422" spans="1:24">
      <c r="A7422">
        <f>HYPERLINK("https://www.philgeps.gov.ph/GEPSNONPILOT/Tender/SplashBidNoticeAbstractUI.aspx?menuIndex=3&amp;refID=7191310&amp;Result=3","7191310")</f>
        <v>0</v>
      </c>
      <c r="B7422" t="s">
        <v>2298</v>
      </c>
      <c r="C7422" t="s">
        <v>10824</v>
      </c>
      <c r="D7422" t="s">
        <v>19004</v>
      </c>
      <c r="E7422" t="s">
        <v>25551</v>
      </c>
      <c r="F7422" t="s">
        <v>32606</v>
      </c>
      <c r="G7422" t="s">
        <v>32613</v>
      </c>
      <c r="H7422" t="s">
        <v>32623</v>
      </c>
      <c r="I7422" t="s">
        <v>17648</v>
      </c>
      <c r="J7422" t="s">
        <v>36161</v>
      </c>
      <c r="K7422" t="s">
        <v>42636</v>
      </c>
      <c r="M7422" t="s">
        <v>45404</v>
      </c>
      <c r="N7422" t="s">
        <v>47304</v>
      </c>
      <c r="O7422" t="s">
        <v>47305</v>
      </c>
      <c r="P7422">
        <v>0</v>
      </c>
      <c r="Q7422">
        <v>1</v>
      </c>
      <c r="R7422" t="s">
        <v>47311</v>
      </c>
      <c r="S7422" t="s">
        <v>47443</v>
      </c>
      <c r="T7422" t="s">
        <v>49037</v>
      </c>
      <c r="U7422" t="s">
        <v>55742</v>
      </c>
      <c r="W7422" t="s">
        <v>45404</v>
      </c>
      <c r="X7422" t="s">
        <v>47312</v>
      </c>
    </row>
    <row r="7423" spans="1:24">
      <c r="A7423">
        <f>HYPERLINK("https://www.philgeps.gov.ph/GEPSNONPILOT/Tender/SplashBidNoticeAbstractUI.aspx?menuIndex=3&amp;refID=7191038&amp;Result=3","7191038")</f>
        <v>0</v>
      </c>
      <c r="B7423" t="s">
        <v>2414</v>
      </c>
      <c r="C7423" t="s">
        <v>10825</v>
      </c>
      <c r="D7423" t="s">
        <v>19024</v>
      </c>
      <c r="E7423" t="s">
        <v>24258</v>
      </c>
      <c r="F7423" t="s">
        <v>32606</v>
      </c>
      <c r="G7423" t="s">
        <v>32617</v>
      </c>
      <c r="H7423" t="s">
        <v>14201</v>
      </c>
      <c r="I7423" t="s">
        <v>6298</v>
      </c>
      <c r="J7423" t="s">
        <v>37461</v>
      </c>
      <c r="K7423" t="s">
        <v>42631</v>
      </c>
      <c r="M7423" t="s">
        <v>45538</v>
      </c>
      <c r="N7423" t="s">
        <v>47304</v>
      </c>
      <c r="O7423" t="s">
        <v>47305</v>
      </c>
      <c r="P7423">
        <v>0</v>
      </c>
      <c r="Q7423">
        <v>8</v>
      </c>
      <c r="R7423" t="s">
        <v>47311</v>
      </c>
      <c r="S7423" t="s">
        <v>47443</v>
      </c>
      <c r="T7423" t="s">
        <v>48982</v>
      </c>
      <c r="U7423" t="s">
        <v>50223</v>
      </c>
      <c r="W7423" t="s">
        <v>45538</v>
      </c>
      <c r="X7423" t="s">
        <v>47312</v>
      </c>
    </row>
    <row r="7424" spans="1:24">
      <c r="A7424">
        <f>HYPERLINK("https://www.philgeps.gov.ph/GEPSNONPILOT/Tender/SplashBidNoticeAbstractUI.aspx?menuIndex=3&amp;refID=7192657&amp;Result=3","7192657")</f>
        <v>0</v>
      </c>
      <c r="B7424" t="s">
        <v>718</v>
      </c>
      <c r="C7424" t="s">
        <v>10826</v>
      </c>
      <c r="D7424" t="s">
        <v>19005</v>
      </c>
      <c r="E7424" t="s">
        <v>25552</v>
      </c>
      <c r="F7424" t="s">
        <v>32606</v>
      </c>
      <c r="G7424" t="s">
        <v>32614</v>
      </c>
      <c r="H7424" t="s">
        <v>32623</v>
      </c>
      <c r="I7424" t="s">
        <v>6931</v>
      </c>
      <c r="J7424" t="s">
        <v>37462</v>
      </c>
      <c r="K7424" t="s">
        <v>42623</v>
      </c>
      <c r="M7424" t="s">
        <v>44059</v>
      </c>
      <c r="N7424" t="s">
        <v>47304</v>
      </c>
      <c r="O7424" t="s">
        <v>47305</v>
      </c>
      <c r="P7424">
        <v>0</v>
      </c>
      <c r="Q7424">
        <v>0</v>
      </c>
      <c r="R7424" t="s">
        <v>47311</v>
      </c>
      <c r="S7424" t="s">
        <v>47443</v>
      </c>
      <c r="T7424" t="s">
        <v>49014</v>
      </c>
      <c r="U7424" t="s">
        <v>55743</v>
      </c>
      <c r="W7424" t="s">
        <v>44059</v>
      </c>
      <c r="X7424" t="s">
        <v>47312</v>
      </c>
    </row>
    <row r="7425" spans="1:24">
      <c r="A7425">
        <f>HYPERLINK("https://www.philgeps.gov.ph/GEPSNONPILOT/Tender/SplashBidNoticeAbstractUI.aspx?menuIndex=3&amp;refID=7192664&amp;Result=3","7192664")</f>
        <v>0</v>
      </c>
      <c r="B7425" t="s">
        <v>2415</v>
      </c>
      <c r="C7425" t="s">
        <v>10827</v>
      </c>
      <c r="D7425" t="s">
        <v>19041</v>
      </c>
      <c r="E7425" t="s">
        <v>25553</v>
      </c>
      <c r="F7425" t="s">
        <v>32606</v>
      </c>
      <c r="G7425" t="s">
        <v>32613</v>
      </c>
      <c r="H7425" t="s">
        <v>14201</v>
      </c>
      <c r="I7425" t="s">
        <v>4678</v>
      </c>
      <c r="J7425" t="s">
        <v>34667</v>
      </c>
      <c r="K7425" t="s">
        <v>42629</v>
      </c>
      <c r="M7425" t="s">
        <v>45539</v>
      </c>
      <c r="N7425" t="s">
        <v>47304</v>
      </c>
      <c r="O7425" t="s">
        <v>47305</v>
      </c>
      <c r="P7425">
        <v>0</v>
      </c>
      <c r="Q7425">
        <v>6</v>
      </c>
      <c r="R7425" t="s">
        <v>47311</v>
      </c>
      <c r="S7425" t="s">
        <v>47443</v>
      </c>
      <c r="T7425" t="s">
        <v>49040</v>
      </c>
      <c r="U7425" t="s">
        <v>55744</v>
      </c>
      <c r="W7425" t="s">
        <v>45539</v>
      </c>
      <c r="X7425" t="s">
        <v>47312</v>
      </c>
    </row>
    <row r="7426" spans="1:24">
      <c r="A7426">
        <f>HYPERLINK("https://www.philgeps.gov.ph/GEPSNONPILOT/Tender/SplashBidNoticeAbstractUI.aspx?menuIndex=3&amp;refID=7192675&amp;Result=3","7192675")</f>
        <v>0</v>
      </c>
      <c r="B7426" t="s">
        <v>2415</v>
      </c>
      <c r="C7426" t="s">
        <v>10828</v>
      </c>
      <c r="D7426" t="s">
        <v>19041</v>
      </c>
      <c r="E7426" t="s">
        <v>25554</v>
      </c>
      <c r="F7426" t="s">
        <v>32606</v>
      </c>
      <c r="G7426" t="s">
        <v>32613</v>
      </c>
      <c r="H7426" t="s">
        <v>14201</v>
      </c>
      <c r="I7426" t="s">
        <v>4678</v>
      </c>
      <c r="J7426" t="s">
        <v>37463</v>
      </c>
      <c r="K7426" t="s">
        <v>42630</v>
      </c>
      <c r="M7426" t="s">
        <v>45539</v>
      </c>
      <c r="N7426" t="s">
        <v>47304</v>
      </c>
      <c r="O7426" t="s">
        <v>47305</v>
      </c>
      <c r="P7426">
        <v>0</v>
      </c>
      <c r="Q7426">
        <v>4</v>
      </c>
      <c r="R7426" t="s">
        <v>47311</v>
      </c>
      <c r="S7426" t="s">
        <v>47443</v>
      </c>
      <c r="T7426" t="s">
        <v>49040</v>
      </c>
      <c r="U7426" t="s">
        <v>55745</v>
      </c>
      <c r="W7426" t="s">
        <v>45539</v>
      </c>
      <c r="X7426" t="s">
        <v>47312</v>
      </c>
    </row>
    <row r="7427" spans="1:24">
      <c r="A7427">
        <f>HYPERLINK("https://www.philgeps.gov.ph/GEPSNONPILOT/Tender/SplashBidNoticeAbstractUI.aspx?menuIndex=3&amp;refID=7192673&amp;Result=3","7192673")</f>
        <v>0</v>
      </c>
      <c r="B7427" t="s">
        <v>2297</v>
      </c>
      <c r="C7427" t="s">
        <v>10829</v>
      </c>
      <c r="D7427" t="s">
        <v>19024</v>
      </c>
      <c r="E7427" t="s">
        <v>25555</v>
      </c>
      <c r="F7427" t="s">
        <v>32606</v>
      </c>
      <c r="G7427" t="s">
        <v>32613</v>
      </c>
      <c r="H7427" t="s">
        <v>32623</v>
      </c>
      <c r="I7427" t="s">
        <v>17648</v>
      </c>
      <c r="J7427" t="s">
        <v>37464</v>
      </c>
      <c r="K7427" t="s">
        <v>42717</v>
      </c>
      <c r="M7427" t="s">
        <v>45540</v>
      </c>
      <c r="N7427" t="s">
        <v>47304</v>
      </c>
      <c r="O7427" t="s">
        <v>47305</v>
      </c>
      <c r="P7427">
        <v>0</v>
      </c>
      <c r="Q7427">
        <v>0</v>
      </c>
      <c r="R7427" t="s">
        <v>47311</v>
      </c>
      <c r="S7427" t="s">
        <v>47443</v>
      </c>
      <c r="T7427" t="s">
        <v>49242</v>
      </c>
      <c r="U7427" t="s">
        <v>55746</v>
      </c>
      <c r="V7427" t="s">
        <v>63312</v>
      </c>
      <c r="W7427" t="s">
        <v>45540</v>
      </c>
      <c r="X7427" t="s">
        <v>47312</v>
      </c>
    </row>
    <row r="7428" spans="1:24">
      <c r="A7428">
        <f>HYPERLINK("https://www.philgeps.gov.ph/GEPSNONPILOT/Tender/SplashBidNoticeAbstractUI.aspx?menuIndex=3&amp;refID=7192672&amp;Result=3","7192672")</f>
        <v>0</v>
      </c>
      <c r="B7428" t="s">
        <v>609</v>
      </c>
      <c r="C7428" t="s">
        <v>10830</v>
      </c>
      <c r="D7428" t="s">
        <v>19024</v>
      </c>
      <c r="E7428" t="s">
        <v>25147</v>
      </c>
      <c r="F7428" t="s">
        <v>32606</v>
      </c>
      <c r="G7428" t="s">
        <v>32613</v>
      </c>
      <c r="H7428" t="s">
        <v>14201</v>
      </c>
      <c r="I7428" t="s">
        <v>32633</v>
      </c>
      <c r="J7428" t="s">
        <v>37465</v>
      </c>
      <c r="K7428" t="s">
        <v>42624</v>
      </c>
      <c r="M7428" t="s">
        <v>43526</v>
      </c>
      <c r="N7428" t="s">
        <v>47304</v>
      </c>
      <c r="O7428" t="s">
        <v>47305</v>
      </c>
      <c r="P7428">
        <v>0</v>
      </c>
      <c r="Q7428">
        <v>36</v>
      </c>
      <c r="R7428" t="s">
        <v>47311</v>
      </c>
      <c r="S7428" t="s">
        <v>47443</v>
      </c>
      <c r="T7428" t="s">
        <v>49009</v>
      </c>
      <c r="U7428" t="s">
        <v>55747</v>
      </c>
      <c r="W7428" t="s">
        <v>43526</v>
      </c>
      <c r="X7428" t="s">
        <v>47312</v>
      </c>
    </row>
    <row r="7429" spans="1:24">
      <c r="A7429">
        <f>HYPERLINK("https://www.philgeps.gov.ph/GEPSNONPILOT/Tender/SplashBidNoticeAbstractUI.aspx?menuIndex=3&amp;refID=7192659&amp;Result=3","7192659")</f>
        <v>0</v>
      </c>
      <c r="B7429" t="s">
        <v>99</v>
      </c>
      <c r="C7429" t="s">
        <v>10831</v>
      </c>
      <c r="D7429" t="s">
        <v>19027</v>
      </c>
      <c r="E7429" t="s">
        <v>25556</v>
      </c>
      <c r="F7429" t="s">
        <v>32606</v>
      </c>
      <c r="G7429" t="s">
        <v>32614</v>
      </c>
      <c r="H7429" t="s">
        <v>14201</v>
      </c>
      <c r="I7429" t="s">
        <v>4120</v>
      </c>
      <c r="J7429" t="s">
        <v>36175</v>
      </c>
      <c r="K7429" t="s">
        <v>42630</v>
      </c>
      <c r="L7429" t="s">
        <v>99</v>
      </c>
      <c r="M7429" t="s">
        <v>42997</v>
      </c>
      <c r="N7429" t="s">
        <v>47304</v>
      </c>
      <c r="O7429" t="s">
        <v>47305</v>
      </c>
      <c r="P7429">
        <v>0</v>
      </c>
      <c r="Q7429">
        <v>2</v>
      </c>
      <c r="R7429" t="s">
        <v>47311</v>
      </c>
      <c r="S7429" t="s">
        <v>47443</v>
      </c>
      <c r="T7429" t="s">
        <v>49373</v>
      </c>
      <c r="U7429" t="s">
        <v>55748</v>
      </c>
      <c r="V7429" t="s">
        <v>62712</v>
      </c>
      <c r="W7429" t="s">
        <v>42997</v>
      </c>
      <c r="X7429" t="s">
        <v>47312</v>
      </c>
    </row>
    <row r="7430" spans="1:24">
      <c r="A7430">
        <f>HYPERLINK("https://www.philgeps.gov.ph/GEPSNONPILOT/Tender/SplashBidNoticeAbstractUI.aspx?menuIndex=3&amp;refID=7192670&amp;Result=3","7192670")</f>
        <v>0</v>
      </c>
      <c r="B7430" t="s">
        <v>2416</v>
      </c>
      <c r="C7430" t="s">
        <v>10832</v>
      </c>
      <c r="D7430" t="s">
        <v>19008</v>
      </c>
      <c r="E7430" t="s">
        <v>25557</v>
      </c>
      <c r="F7430" t="s">
        <v>32606</v>
      </c>
      <c r="G7430" t="s">
        <v>32613</v>
      </c>
      <c r="H7430" t="s">
        <v>32623</v>
      </c>
      <c r="I7430" t="s">
        <v>17648</v>
      </c>
      <c r="J7430" t="s">
        <v>37466</v>
      </c>
      <c r="K7430" t="s">
        <v>42645</v>
      </c>
      <c r="M7430" t="s">
        <v>45541</v>
      </c>
      <c r="N7430" t="s">
        <v>47304</v>
      </c>
      <c r="O7430" t="s">
        <v>47305</v>
      </c>
      <c r="P7430">
        <v>0</v>
      </c>
      <c r="Q7430">
        <v>0</v>
      </c>
      <c r="R7430" t="s">
        <v>47311</v>
      </c>
      <c r="S7430" t="s">
        <v>47443</v>
      </c>
      <c r="T7430" t="s">
        <v>49100</v>
      </c>
      <c r="U7430" t="s">
        <v>55749</v>
      </c>
      <c r="W7430" t="s">
        <v>45541</v>
      </c>
      <c r="X7430" t="s">
        <v>47312</v>
      </c>
    </row>
    <row r="7431" spans="1:24">
      <c r="A7431">
        <f>HYPERLINK("https://www.philgeps.gov.ph/GEPSNONPILOT/Tender/SplashBidNoticeAbstractUI.aspx?menuIndex=3&amp;refID=7192654&amp;Result=3","7192654")</f>
        <v>0</v>
      </c>
      <c r="B7431" t="s">
        <v>278</v>
      </c>
      <c r="C7431" t="s">
        <v>10833</v>
      </c>
      <c r="D7431" t="s">
        <v>18993</v>
      </c>
      <c r="E7431" t="s">
        <v>25558</v>
      </c>
      <c r="F7431" t="s">
        <v>32606</v>
      </c>
      <c r="G7431" t="s">
        <v>32614</v>
      </c>
      <c r="H7431" t="s">
        <v>14201</v>
      </c>
      <c r="I7431" t="s">
        <v>4114</v>
      </c>
      <c r="J7431" t="s">
        <v>37467</v>
      </c>
      <c r="K7431" t="s">
        <v>42631</v>
      </c>
      <c r="M7431" t="s">
        <v>43179</v>
      </c>
      <c r="N7431" t="s">
        <v>47304</v>
      </c>
      <c r="O7431" t="s">
        <v>47305</v>
      </c>
      <c r="P7431">
        <v>0</v>
      </c>
      <c r="Q7431">
        <v>8</v>
      </c>
      <c r="R7431" t="s">
        <v>47311</v>
      </c>
      <c r="S7431" t="s">
        <v>47443</v>
      </c>
      <c r="T7431" t="s">
        <v>49071</v>
      </c>
      <c r="U7431" t="s">
        <v>55750</v>
      </c>
      <c r="W7431" t="s">
        <v>43179</v>
      </c>
      <c r="X7431" t="s">
        <v>47312</v>
      </c>
    </row>
    <row r="7432" spans="1:24">
      <c r="A7432">
        <f>HYPERLINK("https://www.philgeps.gov.ph/GEPSNONPILOT/Tender/SplashBidNoticeAbstractUI.aspx?menuIndex=3&amp;refID=7192662&amp;Result=3","7192662")</f>
        <v>0</v>
      </c>
      <c r="B7432" t="s">
        <v>2297</v>
      </c>
      <c r="C7432" t="s">
        <v>10834</v>
      </c>
      <c r="D7432" t="s">
        <v>19024</v>
      </c>
      <c r="E7432" t="s">
        <v>25559</v>
      </c>
      <c r="F7432" t="s">
        <v>32606</v>
      </c>
      <c r="G7432" t="s">
        <v>32613</v>
      </c>
      <c r="H7432" t="s">
        <v>32623</v>
      </c>
      <c r="I7432" t="s">
        <v>17648</v>
      </c>
      <c r="J7432" t="s">
        <v>32789</v>
      </c>
      <c r="K7432" t="s">
        <v>42668</v>
      </c>
      <c r="M7432" t="s">
        <v>45540</v>
      </c>
      <c r="N7432" t="s">
        <v>47304</v>
      </c>
      <c r="O7432" t="s">
        <v>47305</v>
      </c>
      <c r="P7432">
        <v>0</v>
      </c>
      <c r="Q7432">
        <v>1</v>
      </c>
      <c r="R7432" t="s">
        <v>47311</v>
      </c>
      <c r="S7432" t="s">
        <v>47443</v>
      </c>
      <c r="T7432" t="s">
        <v>49242</v>
      </c>
      <c r="U7432" t="s">
        <v>55751</v>
      </c>
      <c r="V7432" t="s">
        <v>63312</v>
      </c>
      <c r="W7432" t="s">
        <v>45540</v>
      </c>
      <c r="X7432" t="s">
        <v>47312</v>
      </c>
    </row>
    <row r="7433" spans="1:24">
      <c r="A7433">
        <f>HYPERLINK("https://www.philgeps.gov.ph/GEPSNONPILOT/Tender/SplashBidNoticeAbstractUI.aspx?menuIndex=3&amp;refID=7192492&amp;Result=3","7192492")</f>
        <v>0</v>
      </c>
      <c r="B7433" t="s">
        <v>2417</v>
      </c>
      <c r="C7433" t="s">
        <v>10835</v>
      </c>
      <c r="D7433" t="s">
        <v>19008</v>
      </c>
      <c r="E7433" t="s">
        <v>25560</v>
      </c>
      <c r="F7433" t="s">
        <v>32606</v>
      </c>
      <c r="G7433" t="s">
        <v>32617</v>
      </c>
      <c r="H7433" t="s">
        <v>14201</v>
      </c>
      <c r="I7433" t="s">
        <v>4120</v>
      </c>
      <c r="J7433" t="s">
        <v>37468</v>
      </c>
      <c r="K7433" t="s">
        <v>42623</v>
      </c>
      <c r="M7433" t="s">
        <v>45542</v>
      </c>
      <c r="N7433" t="s">
        <v>47304</v>
      </c>
      <c r="O7433" t="s">
        <v>47305</v>
      </c>
      <c r="P7433">
        <v>0</v>
      </c>
      <c r="Q7433">
        <v>3</v>
      </c>
      <c r="R7433" t="s">
        <v>47311</v>
      </c>
      <c r="S7433" t="s">
        <v>47443</v>
      </c>
      <c r="T7433" t="s">
        <v>49374</v>
      </c>
      <c r="U7433" t="s">
        <v>55752</v>
      </c>
      <c r="W7433" t="s">
        <v>45542</v>
      </c>
      <c r="X7433" t="s">
        <v>47312</v>
      </c>
    </row>
    <row r="7434" spans="1:24">
      <c r="A7434">
        <f>HYPERLINK("https://www.philgeps.gov.ph/GEPSNONPILOT/Tender/SplashBidNoticeAbstractUI.aspx?menuIndex=3&amp;refID=7192649&amp;Result=3","7192649")</f>
        <v>0</v>
      </c>
      <c r="B7434" t="s">
        <v>656</v>
      </c>
      <c r="C7434" t="s">
        <v>10836</v>
      </c>
      <c r="D7434" t="s">
        <v>18993</v>
      </c>
      <c r="E7434" t="s">
        <v>25561</v>
      </c>
      <c r="F7434" t="s">
        <v>32606</v>
      </c>
      <c r="G7434" t="s">
        <v>32614</v>
      </c>
      <c r="H7434" t="s">
        <v>14201</v>
      </c>
      <c r="I7434" t="s">
        <v>32691</v>
      </c>
      <c r="J7434" t="s">
        <v>33093</v>
      </c>
      <c r="K7434" t="s">
        <v>42630</v>
      </c>
      <c r="M7434" t="s">
        <v>43576</v>
      </c>
      <c r="N7434" t="s">
        <v>47304</v>
      </c>
      <c r="O7434" t="s">
        <v>47305</v>
      </c>
      <c r="P7434">
        <v>0</v>
      </c>
      <c r="Q7434">
        <v>0</v>
      </c>
      <c r="R7434" t="s">
        <v>47311</v>
      </c>
      <c r="S7434" t="s">
        <v>47443</v>
      </c>
      <c r="T7434" t="s">
        <v>49311</v>
      </c>
      <c r="U7434" t="s">
        <v>55753</v>
      </c>
      <c r="W7434" t="s">
        <v>43576</v>
      </c>
      <c r="X7434" t="s">
        <v>47312</v>
      </c>
    </row>
    <row r="7435" spans="1:24">
      <c r="A7435">
        <f>HYPERLINK("https://www.philgeps.gov.ph/GEPSNONPILOT/Tender/SplashBidNoticeAbstractUI.aspx?menuIndex=3&amp;refID=7192671&amp;Result=3","7192671")</f>
        <v>0</v>
      </c>
      <c r="B7435" t="s">
        <v>2331</v>
      </c>
      <c r="C7435" t="s">
        <v>10837</v>
      </c>
      <c r="D7435" t="s">
        <v>19015</v>
      </c>
      <c r="E7435" t="s">
        <v>25562</v>
      </c>
      <c r="F7435" t="s">
        <v>32606</v>
      </c>
      <c r="G7435" t="s">
        <v>32613</v>
      </c>
      <c r="H7435" t="s">
        <v>32623</v>
      </c>
      <c r="I7435" t="s">
        <v>17648</v>
      </c>
      <c r="J7435" t="s">
        <v>37469</v>
      </c>
      <c r="K7435" t="s">
        <v>42680</v>
      </c>
      <c r="M7435" t="s">
        <v>45441</v>
      </c>
      <c r="N7435" t="s">
        <v>47304</v>
      </c>
      <c r="O7435" t="s">
        <v>47305</v>
      </c>
      <c r="P7435">
        <v>0</v>
      </c>
      <c r="Q7435">
        <v>10</v>
      </c>
      <c r="R7435" t="s">
        <v>47311</v>
      </c>
      <c r="S7435" t="s">
        <v>47443</v>
      </c>
      <c r="T7435" t="s">
        <v>49075</v>
      </c>
      <c r="U7435" t="s">
        <v>55754</v>
      </c>
      <c r="W7435" t="s">
        <v>45441</v>
      </c>
      <c r="X7435" t="s">
        <v>47312</v>
      </c>
    </row>
    <row r="7436" spans="1:24">
      <c r="A7436">
        <f>HYPERLINK("https://www.philgeps.gov.ph/GEPSNONPILOT/Tender/SplashBidNoticeAbstractUI.aspx?menuIndex=3&amp;refID=7192697&amp;Result=3","7192697")</f>
        <v>0</v>
      </c>
      <c r="B7436" t="s">
        <v>2418</v>
      </c>
      <c r="C7436" t="s">
        <v>10838</v>
      </c>
      <c r="D7436" t="s">
        <v>19014</v>
      </c>
      <c r="E7436" t="s">
        <v>19310</v>
      </c>
      <c r="F7436" t="s">
        <v>32606</v>
      </c>
      <c r="G7436" t="s">
        <v>32613</v>
      </c>
      <c r="H7436" t="s">
        <v>14201</v>
      </c>
      <c r="I7436" t="s">
        <v>6931</v>
      </c>
      <c r="J7436" t="s">
        <v>37470</v>
      </c>
      <c r="K7436" t="s">
        <v>42630</v>
      </c>
      <c r="M7436" t="s">
        <v>45543</v>
      </c>
      <c r="N7436" t="s">
        <v>47304</v>
      </c>
      <c r="O7436" t="s">
        <v>47305</v>
      </c>
      <c r="P7436">
        <v>0</v>
      </c>
      <c r="Q7436">
        <v>2</v>
      </c>
      <c r="R7436" t="s">
        <v>47311</v>
      </c>
      <c r="S7436" t="s">
        <v>47443</v>
      </c>
      <c r="T7436" t="s">
        <v>49002</v>
      </c>
      <c r="U7436" t="s">
        <v>55755</v>
      </c>
      <c r="W7436" t="s">
        <v>45543</v>
      </c>
      <c r="X7436" t="s">
        <v>47312</v>
      </c>
    </row>
    <row r="7437" spans="1:24">
      <c r="A7437">
        <f>HYPERLINK("https://www.philgeps.gov.ph/GEPSNONPILOT/Tender/SplashBidNoticeAbstractUI.aspx?menuIndex=3&amp;refID=7192669&amp;Result=3","7192669")</f>
        <v>0</v>
      </c>
      <c r="B7437" t="s">
        <v>1864</v>
      </c>
      <c r="C7437" t="s">
        <v>10839</v>
      </c>
      <c r="D7437" t="s">
        <v>19029</v>
      </c>
      <c r="E7437" t="s">
        <v>25563</v>
      </c>
      <c r="F7437" t="s">
        <v>32606</v>
      </c>
      <c r="G7437" t="s">
        <v>32614</v>
      </c>
      <c r="H7437" t="s">
        <v>14201</v>
      </c>
      <c r="I7437" t="s">
        <v>6931</v>
      </c>
      <c r="J7437" t="s">
        <v>37471</v>
      </c>
      <c r="K7437" t="s">
        <v>42630</v>
      </c>
      <c r="M7437" t="s">
        <v>44921</v>
      </c>
      <c r="N7437" t="s">
        <v>47304</v>
      </c>
      <c r="O7437" t="s">
        <v>47305</v>
      </c>
      <c r="P7437">
        <v>0</v>
      </c>
      <c r="Q7437">
        <v>2</v>
      </c>
      <c r="R7437" t="s">
        <v>47311</v>
      </c>
      <c r="S7437" t="s">
        <v>47443</v>
      </c>
      <c r="T7437" t="s">
        <v>49311</v>
      </c>
      <c r="U7437" t="s">
        <v>55605</v>
      </c>
      <c r="W7437" t="s">
        <v>44921</v>
      </c>
      <c r="X7437" t="s">
        <v>47312</v>
      </c>
    </row>
    <row r="7438" spans="1:24">
      <c r="A7438">
        <f>HYPERLINK("https://www.philgeps.gov.ph/GEPSNONPILOT/Tender/SplashBidNoticeAbstractUI.aspx?menuIndex=3&amp;refID=7192695&amp;Result=3","7192695")</f>
        <v>0</v>
      </c>
      <c r="B7438" t="s">
        <v>656</v>
      </c>
      <c r="C7438" t="s">
        <v>10840</v>
      </c>
      <c r="D7438" t="s">
        <v>18993</v>
      </c>
      <c r="E7438" t="s">
        <v>25564</v>
      </c>
      <c r="F7438" t="s">
        <v>32606</v>
      </c>
      <c r="G7438" t="s">
        <v>32617</v>
      </c>
      <c r="H7438" t="s">
        <v>14201</v>
      </c>
      <c r="I7438" t="s">
        <v>32691</v>
      </c>
      <c r="J7438" t="s">
        <v>37472</v>
      </c>
      <c r="K7438" t="s">
        <v>42630</v>
      </c>
      <c r="M7438" t="s">
        <v>43576</v>
      </c>
      <c r="N7438" t="s">
        <v>47304</v>
      </c>
      <c r="O7438" t="s">
        <v>47305</v>
      </c>
      <c r="P7438">
        <v>0</v>
      </c>
      <c r="Q7438">
        <v>8</v>
      </c>
      <c r="R7438" t="s">
        <v>47311</v>
      </c>
      <c r="S7438" t="s">
        <v>47443</v>
      </c>
      <c r="T7438" t="s">
        <v>49311</v>
      </c>
      <c r="U7438" t="s">
        <v>55756</v>
      </c>
      <c r="W7438" t="s">
        <v>43576</v>
      </c>
      <c r="X7438" t="s">
        <v>47312</v>
      </c>
    </row>
    <row r="7439" spans="1:24">
      <c r="A7439">
        <f>HYPERLINK("https://www.philgeps.gov.ph/GEPSNONPILOT/Tender/SplashBidNoticeAbstractUI.aspx?menuIndex=3&amp;refID=7192711&amp;Result=3","7192711")</f>
        <v>0</v>
      </c>
      <c r="B7439" t="s">
        <v>1660</v>
      </c>
      <c r="C7439" t="s">
        <v>10841</v>
      </c>
      <c r="D7439" t="s">
        <v>19011</v>
      </c>
      <c r="E7439" t="s">
        <v>25565</v>
      </c>
      <c r="F7439" t="s">
        <v>32606</v>
      </c>
      <c r="G7439" t="s">
        <v>32613</v>
      </c>
      <c r="H7439" t="s">
        <v>32623</v>
      </c>
      <c r="I7439" t="s">
        <v>17648</v>
      </c>
      <c r="J7439" t="s">
        <v>37473</v>
      </c>
      <c r="K7439" t="s">
        <v>42639</v>
      </c>
      <c r="M7439" t="s">
        <v>44685</v>
      </c>
      <c r="N7439" t="s">
        <v>47304</v>
      </c>
      <c r="O7439" t="s">
        <v>47305</v>
      </c>
      <c r="P7439">
        <v>0</v>
      </c>
      <c r="Q7439">
        <v>0</v>
      </c>
      <c r="R7439" t="s">
        <v>47311</v>
      </c>
      <c r="S7439" t="s">
        <v>47443</v>
      </c>
      <c r="T7439" t="s">
        <v>49172</v>
      </c>
      <c r="U7439" t="s">
        <v>55757</v>
      </c>
      <c r="V7439" t="s">
        <v>63054</v>
      </c>
      <c r="W7439" t="s">
        <v>44685</v>
      </c>
      <c r="X7439" t="s">
        <v>47312</v>
      </c>
    </row>
    <row r="7440" spans="1:24">
      <c r="A7440">
        <f>HYPERLINK("https://www.philgeps.gov.ph/GEPSNONPILOT/Tender/SplashBidNoticeAbstractUI.aspx?menuIndex=3&amp;refID=7192653&amp;Result=3","7192653")</f>
        <v>0</v>
      </c>
      <c r="B7440" t="s">
        <v>2399</v>
      </c>
      <c r="C7440" t="s">
        <v>10842</v>
      </c>
      <c r="D7440" t="s">
        <v>19018</v>
      </c>
      <c r="E7440" t="s">
        <v>25566</v>
      </c>
      <c r="F7440" t="s">
        <v>32606</v>
      </c>
      <c r="G7440" t="s">
        <v>32613</v>
      </c>
      <c r="H7440" t="s">
        <v>32623</v>
      </c>
      <c r="I7440" t="s">
        <v>17648</v>
      </c>
      <c r="J7440" t="s">
        <v>32923</v>
      </c>
      <c r="K7440" t="s">
        <v>42719</v>
      </c>
      <c r="M7440" t="s">
        <v>45521</v>
      </c>
      <c r="N7440" t="s">
        <v>47304</v>
      </c>
      <c r="O7440" t="s">
        <v>47305</v>
      </c>
      <c r="P7440">
        <v>0</v>
      </c>
      <c r="Q7440">
        <v>0</v>
      </c>
      <c r="R7440" t="s">
        <v>47311</v>
      </c>
      <c r="S7440" t="s">
        <v>47443</v>
      </c>
      <c r="T7440" t="s">
        <v>49064</v>
      </c>
      <c r="U7440" t="s">
        <v>55758</v>
      </c>
      <c r="V7440" t="s">
        <v>62846</v>
      </c>
      <c r="W7440" t="s">
        <v>45521</v>
      </c>
      <c r="X7440" t="s">
        <v>47312</v>
      </c>
    </row>
    <row r="7441" spans="1:24">
      <c r="A7441">
        <f>HYPERLINK("https://www.philgeps.gov.ph/GEPSNONPILOT/Tender/SplashBidNoticeAbstractUI.aspx?menuIndex=3&amp;refID=7192710&amp;Result=3","7192710")</f>
        <v>0</v>
      </c>
      <c r="B7441" t="s">
        <v>2297</v>
      </c>
      <c r="C7441" t="s">
        <v>10843</v>
      </c>
      <c r="D7441" t="s">
        <v>19024</v>
      </c>
      <c r="E7441" t="s">
        <v>25567</v>
      </c>
      <c r="F7441" t="s">
        <v>32606</v>
      </c>
      <c r="G7441" t="s">
        <v>32613</v>
      </c>
      <c r="H7441" t="s">
        <v>32623</v>
      </c>
      <c r="I7441" t="s">
        <v>17648</v>
      </c>
      <c r="J7441" t="s">
        <v>32772</v>
      </c>
      <c r="K7441" t="s">
        <v>42717</v>
      </c>
      <c r="M7441" t="s">
        <v>45540</v>
      </c>
      <c r="N7441" t="s">
        <v>47304</v>
      </c>
      <c r="O7441" t="s">
        <v>47305</v>
      </c>
      <c r="P7441">
        <v>0</v>
      </c>
      <c r="Q7441">
        <v>0</v>
      </c>
      <c r="R7441" t="s">
        <v>47311</v>
      </c>
      <c r="S7441" t="s">
        <v>47443</v>
      </c>
      <c r="T7441" t="s">
        <v>49368</v>
      </c>
      <c r="U7441" t="s">
        <v>55759</v>
      </c>
      <c r="V7441" t="s">
        <v>63312</v>
      </c>
      <c r="W7441" t="s">
        <v>45540</v>
      </c>
      <c r="X7441" t="s">
        <v>47312</v>
      </c>
    </row>
    <row r="7442" spans="1:24">
      <c r="A7442">
        <f>HYPERLINK("https://www.philgeps.gov.ph/GEPSNONPILOT/Tender/SplashBidNoticeAbstractUI.aspx?menuIndex=3&amp;refID=7192705&amp;Result=3","7192705")</f>
        <v>0</v>
      </c>
      <c r="B7442" t="s">
        <v>270</v>
      </c>
      <c r="C7442" t="s">
        <v>10844</v>
      </c>
      <c r="D7442" t="s">
        <v>18993</v>
      </c>
      <c r="E7442" t="s">
        <v>25568</v>
      </c>
      <c r="F7442" t="s">
        <v>32606</v>
      </c>
      <c r="G7442" t="s">
        <v>32613</v>
      </c>
      <c r="H7442" t="s">
        <v>14201</v>
      </c>
      <c r="I7442" t="s">
        <v>7577</v>
      </c>
      <c r="J7442" t="s">
        <v>37474</v>
      </c>
      <c r="K7442" t="s">
        <v>42639</v>
      </c>
      <c r="M7442" t="s">
        <v>45544</v>
      </c>
      <c r="N7442" t="s">
        <v>47304</v>
      </c>
      <c r="O7442" t="s">
        <v>47305</v>
      </c>
      <c r="P7442">
        <v>0</v>
      </c>
      <c r="Q7442">
        <v>16</v>
      </c>
      <c r="R7442" t="s">
        <v>47311</v>
      </c>
      <c r="S7442" t="s">
        <v>47443</v>
      </c>
      <c r="T7442" t="s">
        <v>49035</v>
      </c>
      <c r="U7442" t="s">
        <v>55760</v>
      </c>
      <c r="W7442" t="s">
        <v>45544</v>
      </c>
      <c r="X7442" t="s">
        <v>47312</v>
      </c>
    </row>
    <row r="7443" spans="1:24">
      <c r="A7443">
        <f>HYPERLINK("https://www.philgeps.gov.ph/GEPSNONPILOT/Tender/SplashBidNoticeAbstractUI.aspx?menuIndex=3&amp;refID=7192704&amp;Result=3","7192704")</f>
        <v>0</v>
      </c>
      <c r="B7443" t="s">
        <v>2403</v>
      </c>
      <c r="C7443" t="s">
        <v>10845</v>
      </c>
      <c r="D7443" t="s">
        <v>19022</v>
      </c>
      <c r="E7443" t="s">
        <v>25569</v>
      </c>
      <c r="F7443" t="s">
        <v>32606</v>
      </c>
      <c r="G7443" t="s">
        <v>32614</v>
      </c>
      <c r="H7443" t="s">
        <v>32624</v>
      </c>
      <c r="I7443" t="s">
        <v>32657</v>
      </c>
      <c r="J7443" t="s">
        <v>32789</v>
      </c>
      <c r="K7443" t="s">
        <v>42636</v>
      </c>
      <c r="M7443" t="s">
        <v>45526</v>
      </c>
      <c r="N7443" t="s">
        <v>47304</v>
      </c>
      <c r="O7443" t="s">
        <v>47305</v>
      </c>
      <c r="P7443">
        <v>0</v>
      </c>
      <c r="Q7443">
        <v>0</v>
      </c>
      <c r="R7443" t="s">
        <v>47311</v>
      </c>
      <c r="S7443" t="s">
        <v>47443</v>
      </c>
      <c r="T7443" t="s">
        <v>49165</v>
      </c>
      <c r="U7443" t="s">
        <v>55761</v>
      </c>
      <c r="W7443" t="s">
        <v>45526</v>
      </c>
      <c r="X7443" t="s">
        <v>47312</v>
      </c>
    </row>
    <row r="7444" spans="1:24">
      <c r="A7444">
        <f>HYPERLINK("https://www.philgeps.gov.ph/GEPSNONPILOT/Tender/SplashBidNoticeAbstractUI.aspx?menuIndex=3&amp;refID=7192678&amp;Result=3","7192678")</f>
        <v>0</v>
      </c>
      <c r="B7444" t="s">
        <v>278</v>
      </c>
      <c r="C7444" t="s">
        <v>10846</v>
      </c>
      <c r="D7444" t="s">
        <v>18993</v>
      </c>
      <c r="E7444" t="s">
        <v>25570</v>
      </c>
      <c r="F7444" t="s">
        <v>32606</v>
      </c>
      <c r="G7444" t="s">
        <v>32614</v>
      </c>
      <c r="H7444" t="s">
        <v>14201</v>
      </c>
      <c r="I7444" t="s">
        <v>4114</v>
      </c>
      <c r="J7444" t="s">
        <v>37475</v>
      </c>
      <c r="K7444" t="s">
        <v>42631</v>
      </c>
      <c r="M7444" t="s">
        <v>43179</v>
      </c>
      <c r="N7444" t="s">
        <v>47304</v>
      </c>
      <c r="O7444" t="s">
        <v>47305</v>
      </c>
      <c r="P7444">
        <v>0</v>
      </c>
      <c r="Q7444">
        <v>8</v>
      </c>
      <c r="R7444" t="s">
        <v>47311</v>
      </c>
      <c r="S7444" t="s">
        <v>47443</v>
      </c>
      <c r="T7444" t="s">
        <v>49071</v>
      </c>
      <c r="U7444" t="s">
        <v>55762</v>
      </c>
      <c r="W7444" t="s">
        <v>43179</v>
      </c>
      <c r="X7444" t="s">
        <v>47312</v>
      </c>
    </row>
    <row r="7445" spans="1:24">
      <c r="A7445">
        <f>HYPERLINK("https://www.philgeps.gov.ph/GEPSNONPILOT/Tender/SplashBidNoticeAbstractUI.aspx?menuIndex=3&amp;refID=7192703&amp;Result=3","7192703")</f>
        <v>0</v>
      </c>
      <c r="B7445" t="s">
        <v>2387</v>
      </c>
      <c r="C7445" t="s">
        <v>10847</v>
      </c>
      <c r="D7445" t="s">
        <v>19070</v>
      </c>
      <c r="E7445" t="s">
        <v>25571</v>
      </c>
      <c r="F7445" t="s">
        <v>32606</v>
      </c>
      <c r="G7445" t="s">
        <v>32619</v>
      </c>
      <c r="H7445" t="s">
        <v>14201</v>
      </c>
      <c r="I7445" t="s">
        <v>32650</v>
      </c>
      <c r="J7445" t="s">
        <v>34550</v>
      </c>
      <c r="K7445" t="s">
        <v>42631</v>
      </c>
      <c r="M7445" t="s">
        <v>45505</v>
      </c>
      <c r="N7445" t="s">
        <v>47304</v>
      </c>
      <c r="O7445" t="s">
        <v>47305</v>
      </c>
      <c r="P7445">
        <v>0</v>
      </c>
      <c r="Q7445">
        <v>0</v>
      </c>
      <c r="R7445" t="s">
        <v>47311</v>
      </c>
      <c r="S7445" t="s">
        <v>47443</v>
      </c>
      <c r="T7445" t="s">
        <v>49315</v>
      </c>
      <c r="U7445" t="s">
        <v>55763</v>
      </c>
      <c r="W7445" t="s">
        <v>45505</v>
      </c>
      <c r="X7445" t="s">
        <v>47312</v>
      </c>
    </row>
    <row r="7446" spans="1:24">
      <c r="A7446">
        <f>HYPERLINK("https://www.philgeps.gov.ph/GEPSNONPILOT/Tender/SplashBidNoticeAbstractUI.aspx?menuIndex=3&amp;refID=7192701&amp;Result=3","7192701")</f>
        <v>0</v>
      </c>
      <c r="B7446" t="s">
        <v>2419</v>
      </c>
      <c r="C7446" t="s">
        <v>10848</v>
      </c>
      <c r="D7446" t="s">
        <v>19055</v>
      </c>
      <c r="E7446" t="s">
        <v>25572</v>
      </c>
      <c r="F7446" t="s">
        <v>32606</v>
      </c>
      <c r="G7446" t="s">
        <v>32613</v>
      </c>
      <c r="H7446" t="s">
        <v>14201</v>
      </c>
      <c r="I7446" t="s">
        <v>7064</v>
      </c>
      <c r="J7446" t="s">
        <v>32770</v>
      </c>
      <c r="K7446" t="s">
        <v>42631</v>
      </c>
      <c r="M7446" t="s">
        <v>45545</v>
      </c>
      <c r="N7446" t="s">
        <v>47304</v>
      </c>
      <c r="O7446" t="s">
        <v>47305</v>
      </c>
      <c r="P7446">
        <v>0</v>
      </c>
      <c r="Q7446">
        <v>0</v>
      </c>
      <c r="R7446" t="s">
        <v>47311</v>
      </c>
      <c r="S7446" t="s">
        <v>47443</v>
      </c>
      <c r="T7446" t="s">
        <v>49057</v>
      </c>
      <c r="U7446" t="s">
        <v>55764</v>
      </c>
      <c r="W7446" t="s">
        <v>45545</v>
      </c>
      <c r="X7446" t="s">
        <v>47312</v>
      </c>
    </row>
    <row r="7447" spans="1:24">
      <c r="A7447">
        <f>HYPERLINK("https://www.philgeps.gov.ph/GEPSNONPILOT/Tender/SplashBidNoticeAbstractUI.aspx?menuIndex=3&amp;refID=7192693&amp;Result=3","7192693")</f>
        <v>0</v>
      </c>
      <c r="B7447" t="s">
        <v>2420</v>
      </c>
      <c r="C7447" t="s">
        <v>10849</v>
      </c>
      <c r="D7447" t="s">
        <v>19026</v>
      </c>
      <c r="E7447" t="s">
        <v>25573</v>
      </c>
      <c r="F7447" t="s">
        <v>32606</v>
      </c>
      <c r="G7447" t="s">
        <v>32613</v>
      </c>
      <c r="H7447" t="s">
        <v>14201</v>
      </c>
      <c r="I7447" t="s">
        <v>6993</v>
      </c>
      <c r="J7447" t="s">
        <v>37476</v>
      </c>
      <c r="K7447" t="s">
        <v>42622</v>
      </c>
      <c r="M7447" t="s">
        <v>45546</v>
      </c>
      <c r="N7447" t="s">
        <v>47304</v>
      </c>
      <c r="O7447" t="s">
        <v>47305</v>
      </c>
      <c r="P7447">
        <v>0</v>
      </c>
      <c r="Q7447">
        <v>0</v>
      </c>
      <c r="R7447" t="s">
        <v>47311</v>
      </c>
      <c r="S7447" t="s">
        <v>47443</v>
      </c>
      <c r="T7447" t="s">
        <v>49066</v>
      </c>
      <c r="U7447" t="s">
        <v>55765</v>
      </c>
      <c r="V7447" t="s">
        <v>63361</v>
      </c>
      <c r="W7447" t="s">
        <v>45546</v>
      </c>
      <c r="X7447" t="s">
        <v>47312</v>
      </c>
    </row>
    <row r="7448" spans="1:24">
      <c r="A7448">
        <f>HYPERLINK("https://www.philgeps.gov.ph/GEPSNONPILOT/Tender/SplashBidNoticeAbstractUI.aspx?menuIndex=3&amp;refID=7192668&amp;Result=3","7192668")</f>
        <v>0</v>
      </c>
      <c r="B7448" t="s">
        <v>2421</v>
      </c>
      <c r="C7448" t="s">
        <v>10850</v>
      </c>
      <c r="D7448" t="s">
        <v>19026</v>
      </c>
      <c r="E7448" t="s">
        <v>25574</v>
      </c>
      <c r="F7448" t="s">
        <v>32606</v>
      </c>
      <c r="G7448" t="s">
        <v>32613</v>
      </c>
      <c r="H7448" t="s">
        <v>14201</v>
      </c>
      <c r="I7448" t="s">
        <v>4120</v>
      </c>
      <c r="J7448" t="s">
        <v>37477</v>
      </c>
      <c r="K7448" t="s">
        <v>42623</v>
      </c>
      <c r="M7448" t="s">
        <v>45547</v>
      </c>
      <c r="N7448" t="s">
        <v>47304</v>
      </c>
      <c r="O7448" t="s">
        <v>47305</v>
      </c>
      <c r="P7448">
        <v>0</v>
      </c>
      <c r="Q7448">
        <v>3</v>
      </c>
      <c r="R7448" t="s">
        <v>47311</v>
      </c>
      <c r="S7448" t="s">
        <v>47443</v>
      </c>
      <c r="T7448" t="s">
        <v>49067</v>
      </c>
      <c r="U7448" t="s">
        <v>55766</v>
      </c>
      <c r="W7448" t="s">
        <v>45547</v>
      </c>
      <c r="X7448" t="s">
        <v>47312</v>
      </c>
    </row>
    <row r="7449" spans="1:24">
      <c r="A7449">
        <f>HYPERLINK("https://www.philgeps.gov.ph/GEPSNONPILOT/Tender/SplashBidNoticeAbstractUI.aspx?menuIndex=3&amp;refID=7192692&amp;Result=3","7192692")</f>
        <v>0</v>
      </c>
      <c r="B7449" t="s">
        <v>2421</v>
      </c>
      <c r="C7449" t="s">
        <v>10851</v>
      </c>
      <c r="D7449" t="s">
        <v>19026</v>
      </c>
      <c r="E7449" t="s">
        <v>25575</v>
      </c>
      <c r="F7449" t="s">
        <v>32606</v>
      </c>
      <c r="G7449" t="s">
        <v>32613</v>
      </c>
      <c r="H7449" t="s">
        <v>14201</v>
      </c>
      <c r="I7449" t="s">
        <v>4678</v>
      </c>
      <c r="J7449" t="s">
        <v>33578</v>
      </c>
      <c r="K7449" t="s">
        <v>42623</v>
      </c>
      <c r="M7449" t="s">
        <v>45547</v>
      </c>
      <c r="N7449" t="s">
        <v>47304</v>
      </c>
      <c r="O7449" t="s">
        <v>47305</v>
      </c>
      <c r="P7449">
        <v>0</v>
      </c>
      <c r="Q7449">
        <v>4</v>
      </c>
      <c r="R7449" t="s">
        <v>47311</v>
      </c>
      <c r="S7449" t="s">
        <v>47443</v>
      </c>
      <c r="T7449" t="s">
        <v>49067</v>
      </c>
      <c r="U7449" t="s">
        <v>55766</v>
      </c>
      <c r="W7449" t="s">
        <v>45547</v>
      </c>
      <c r="X7449" t="s">
        <v>47312</v>
      </c>
    </row>
    <row r="7450" spans="1:24">
      <c r="A7450">
        <f>HYPERLINK("https://www.philgeps.gov.ph/GEPSNONPILOT/Tender/SplashBidNoticeAbstractUI.aspx?menuIndex=3&amp;refID=7192691&amp;Result=3","7192691")</f>
        <v>0</v>
      </c>
      <c r="B7450" t="s">
        <v>2297</v>
      </c>
      <c r="C7450" t="s">
        <v>10852</v>
      </c>
      <c r="D7450" t="s">
        <v>19024</v>
      </c>
      <c r="E7450" t="s">
        <v>25576</v>
      </c>
      <c r="F7450" t="s">
        <v>32606</v>
      </c>
      <c r="G7450" t="s">
        <v>32613</v>
      </c>
      <c r="H7450" t="s">
        <v>32623</v>
      </c>
      <c r="I7450" t="s">
        <v>17648</v>
      </c>
      <c r="J7450" t="s">
        <v>37478</v>
      </c>
      <c r="K7450" t="s">
        <v>42778</v>
      </c>
      <c r="M7450" t="s">
        <v>45540</v>
      </c>
      <c r="N7450" t="s">
        <v>47304</v>
      </c>
      <c r="O7450" t="s">
        <v>47305</v>
      </c>
      <c r="P7450">
        <v>0</v>
      </c>
      <c r="Q7450">
        <v>0</v>
      </c>
      <c r="R7450" t="s">
        <v>47311</v>
      </c>
      <c r="S7450" t="s">
        <v>47443</v>
      </c>
      <c r="T7450" t="s">
        <v>49242</v>
      </c>
      <c r="U7450" t="s">
        <v>55767</v>
      </c>
      <c r="V7450" t="s">
        <v>63312</v>
      </c>
      <c r="W7450" t="s">
        <v>45540</v>
      </c>
      <c r="X7450" t="s">
        <v>47312</v>
      </c>
    </row>
    <row r="7451" spans="1:24">
      <c r="A7451">
        <f>HYPERLINK("https://www.philgeps.gov.ph/GEPSNONPILOT/Tender/SplashBidNoticeAbstractUI.aspx?menuIndex=3&amp;refID=7192689&amp;Result=3","7192689")</f>
        <v>0</v>
      </c>
      <c r="B7451" t="s">
        <v>1864</v>
      </c>
      <c r="C7451" t="s">
        <v>10853</v>
      </c>
      <c r="D7451" t="s">
        <v>19029</v>
      </c>
      <c r="E7451" t="s">
        <v>25577</v>
      </c>
      <c r="F7451" t="s">
        <v>32606</v>
      </c>
      <c r="G7451" t="s">
        <v>32614</v>
      </c>
      <c r="H7451" t="s">
        <v>14201</v>
      </c>
      <c r="I7451" t="s">
        <v>13131</v>
      </c>
      <c r="J7451" t="s">
        <v>37479</v>
      </c>
      <c r="K7451" t="s">
        <v>42623</v>
      </c>
      <c r="M7451" t="s">
        <v>44921</v>
      </c>
      <c r="N7451" t="s">
        <v>47304</v>
      </c>
      <c r="O7451" t="s">
        <v>47305</v>
      </c>
      <c r="P7451">
        <v>0</v>
      </c>
      <c r="Q7451">
        <v>3</v>
      </c>
      <c r="R7451" t="s">
        <v>47311</v>
      </c>
      <c r="S7451" t="s">
        <v>47443</v>
      </c>
      <c r="T7451" t="s">
        <v>49311</v>
      </c>
      <c r="U7451" t="s">
        <v>55605</v>
      </c>
      <c r="W7451" t="s">
        <v>44921</v>
      </c>
      <c r="X7451" t="s">
        <v>47312</v>
      </c>
    </row>
    <row r="7452" spans="1:24">
      <c r="A7452">
        <f>HYPERLINK("https://www.philgeps.gov.ph/GEPSNONPILOT/Tender/SplashBidNoticeAbstractUI.aspx?menuIndex=3&amp;refID=7192688&amp;Result=3","7192688")</f>
        <v>0</v>
      </c>
      <c r="B7452" t="s">
        <v>2387</v>
      </c>
      <c r="C7452" t="s">
        <v>10854</v>
      </c>
      <c r="D7452" t="s">
        <v>19070</v>
      </c>
      <c r="E7452" t="s">
        <v>25578</v>
      </c>
      <c r="F7452" t="s">
        <v>32606</v>
      </c>
      <c r="G7452" t="s">
        <v>32619</v>
      </c>
      <c r="H7452" t="s">
        <v>14201</v>
      </c>
      <c r="I7452" t="s">
        <v>6931</v>
      </c>
      <c r="J7452" t="s">
        <v>37480</v>
      </c>
      <c r="K7452" t="s">
        <v>42631</v>
      </c>
      <c r="M7452" t="s">
        <v>45505</v>
      </c>
      <c r="N7452" t="s">
        <v>47304</v>
      </c>
      <c r="O7452" t="s">
        <v>47305</v>
      </c>
      <c r="P7452">
        <v>0</v>
      </c>
      <c r="Q7452">
        <v>0</v>
      </c>
      <c r="R7452" t="s">
        <v>47311</v>
      </c>
      <c r="S7452" t="s">
        <v>47443</v>
      </c>
      <c r="T7452" t="s">
        <v>49315</v>
      </c>
      <c r="U7452" t="s">
        <v>55768</v>
      </c>
      <c r="W7452" t="s">
        <v>45505</v>
      </c>
      <c r="X7452" t="s">
        <v>47312</v>
      </c>
    </row>
    <row r="7453" spans="1:24">
      <c r="A7453">
        <f>HYPERLINK("https://www.philgeps.gov.ph/GEPSNONPILOT/Tender/SplashBidNoticeAbstractUI.aspx?menuIndex=3&amp;refID=7192686&amp;Result=3","7192686")</f>
        <v>0</v>
      </c>
      <c r="B7453" t="s">
        <v>1068</v>
      </c>
      <c r="C7453" t="s">
        <v>10855</v>
      </c>
      <c r="D7453" t="s">
        <v>19057</v>
      </c>
      <c r="E7453" t="s">
        <v>25579</v>
      </c>
      <c r="F7453" t="s">
        <v>32606</v>
      </c>
      <c r="G7453" t="s">
        <v>32613</v>
      </c>
      <c r="H7453" t="s">
        <v>14201</v>
      </c>
      <c r="I7453" t="s">
        <v>9008</v>
      </c>
      <c r="J7453" t="s">
        <v>32781</v>
      </c>
      <c r="K7453" t="s">
        <v>42632</v>
      </c>
      <c r="M7453" t="s">
        <v>44021</v>
      </c>
      <c r="N7453" t="s">
        <v>47304</v>
      </c>
      <c r="O7453" t="s">
        <v>47305</v>
      </c>
      <c r="P7453">
        <v>0</v>
      </c>
      <c r="Q7453">
        <v>0</v>
      </c>
      <c r="R7453" t="s">
        <v>47311</v>
      </c>
      <c r="S7453" t="s">
        <v>47443</v>
      </c>
      <c r="T7453" t="s">
        <v>49067</v>
      </c>
      <c r="U7453" t="s">
        <v>55769</v>
      </c>
      <c r="W7453" t="s">
        <v>44021</v>
      </c>
      <c r="X7453" t="s">
        <v>47312</v>
      </c>
    </row>
    <row r="7454" spans="1:24">
      <c r="A7454">
        <f>HYPERLINK("https://www.philgeps.gov.ph/GEPSNONPILOT/Tender/SplashBidNoticeAbstractUI.aspx?menuIndex=3&amp;refID=7192684&amp;Result=3","7192684")</f>
        <v>0</v>
      </c>
      <c r="B7454" t="s">
        <v>2415</v>
      </c>
      <c r="C7454" t="s">
        <v>10856</v>
      </c>
      <c r="D7454" t="s">
        <v>19041</v>
      </c>
      <c r="E7454" t="s">
        <v>25580</v>
      </c>
      <c r="F7454" t="s">
        <v>32606</v>
      </c>
      <c r="G7454" t="s">
        <v>32613</v>
      </c>
      <c r="H7454" t="s">
        <v>14201</v>
      </c>
      <c r="I7454" t="s">
        <v>8606</v>
      </c>
      <c r="J7454" t="s">
        <v>37463</v>
      </c>
      <c r="K7454" t="s">
        <v>42630</v>
      </c>
      <c r="M7454" t="s">
        <v>45539</v>
      </c>
      <c r="N7454" t="s">
        <v>47304</v>
      </c>
      <c r="O7454" t="s">
        <v>47305</v>
      </c>
      <c r="P7454">
        <v>0</v>
      </c>
      <c r="Q7454">
        <v>1</v>
      </c>
      <c r="R7454" t="s">
        <v>47311</v>
      </c>
      <c r="S7454" t="s">
        <v>47443</v>
      </c>
      <c r="T7454" t="s">
        <v>49040</v>
      </c>
      <c r="U7454" t="s">
        <v>55770</v>
      </c>
      <c r="W7454" t="s">
        <v>45539</v>
      </c>
      <c r="X7454" t="s">
        <v>47312</v>
      </c>
    </row>
    <row r="7455" spans="1:24">
      <c r="A7455">
        <f>HYPERLINK("https://www.philgeps.gov.ph/GEPSNONPILOT/Tender/SplashBidNoticeAbstractUI.aspx?menuIndex=3&amp;refID=7192665&amp;Result=3","7192665")</f>
        <v>0</v>
      </c>
      <c r="B7455" t="s">
        <v>2422</v>
      </c>
      <c r="C7455" t="s">
        <v>10857</v>
      </c>
      <c r="D7455" t="s">
        <v>19063</v>
      </c>
      <c r="E7455" t="s">
        <v>25581</v>
      </c>
      <c r="F7455" t="s">
        <v>32606</v>
      </c>
      <c r="G7455" t="s">
        <v>32613</v>
      </c>
      <c r="H7455" t="s">
        <v>32623</v>
      </c>
      <c r="I7455" t="s">
        <v>17648</v>
      </c>
      <c r="J7455" t="s">
        <v>37481</v>
      </c>
      <c r="K7455" t="s">
        <v>42648</v>
      </c>
      <c r="M7455" t="s">
        <v>45548</v>
      </c>
      <c r="N7455" t="s">
        <v>47304</v>
      </c>
      <c r="O7455" t="s">
        <v>47305</v>
      </c>
      <c r="P7455">
        <v>0</v>
      </c>
      <c r="Q7455">
        <v>7</v>
      </c>
      <c r="R7455" t="s">
        <v>47311</v>
      </c>
      <c r="S7455" t="s">
        <v>47443</v>
      </c>
      <c r="T7455" t="s">
        <v>48973</v>
      </c>
      <c r="U7455" t="s">
        <v>55771</v>
      </c>
      <c r="W7455" t="s">
        <v>45548</v>
      </c>
      <c r="X7455" t="s">
        <v>47312</v>
      </c>
    </row>
    <row r="7456" spans="1:24">
      <c r="A7456">
        <f>HYPERLINK("https://www.philgeps.gov.ph/GEPSNONPILOT/Tender/SplashBidNoticeAbstractUI.aspx?menuIndex=3&amp;refID=7192714&amp;Result=3","7192714")</f>
        <v>0</v>
      </c>
      <c r="B7456" t="s">
        <v>2403</v>
      </c>
      <c r="C7456" t="s">
        <v>10858</v>
      </c>
      <c r="D7456" t="s">
        <v>19022</v>
      </c>
      <c r="E7456" t="s">
        <v>25582</v>
      </c>
      <c r="F7456" t="s">
        <v>32606</v>
      </c>
      <c r="G7456" t="s">
        <v>32614</v>
      </c>
      <c r="H7456" t="s">
        <v>14201</v>
      </c>
      <c r="I7456" t="s">
        <v>32706</v>
      </c>
      <c r="J7456" t="s">
        <v>35966</v>
      </c>
      <c r="K7456" t="s">
        <v>42636</v>
      </c>
      <c r="M7456" t="s">
        <v>45526</v>
      </c>
      <c r="N7456" t="s">
        <v>47304</v>
      </c>
      <c r="O7456" t="s">
        <v>47305</v>
      </c>
      <c r="P7456">
        <v>0</v>
      </c>
      <c r="Q7456">
        <v>1</v>
      </c>
      <c r="R7456" t="s">
        <v>47311</v>
      </c>
      <c r="S7456" t="s">
        <v>47443</v>
      </c>
      <c r="T7456" t="s">
        <v>49165</v>
      </c>
      <c r="U7456" t="s">
        <v>55772</v>
      </c>
      <c r="W7456" t="s">
        <v>45526</v>
      </c>
      <c r="X7456" t="s">
        <v>47312</v>
      </c>
    </row>
    <row r="7457" spans="1:24">
      <c r="A7457">
        <f>HYPERLINK("https://www.philgeps.gov.ph/GEPSNONPILOT/Tender/SplashBidNoticeAbstractUI.aspx?menuIndex=3&amp;refID=7192702&amp;Result=3","7192702")</f>
        <v>0</v>
      </c>
      <c r="B7457" t="s">
        <v>1072</v>
      </c>
      <c r="C7457" t="s">
        <v>10859</v>
      </c>
      <c r="E7457" t="s">
        <v>25583</v>
      </c>
      <c r="F7457" t="s">
        <v>32607</v>
      </c>
      <c r="G7457" t="s">
        <v>32618</v>
      </c>
      <c r="H7457" t="s">
        <v>14201</v>
      </c>
      <c r="I7457" t="s">
        <v>32635</v>
      </c>
      <c r="J7457" t="s">
        <v>37482</v>
      </c>
      <c r="K7457" t="s">
        <v>42636</v>
      </c>
      <c r="M7457" t="s">
        <v>44025</v>
      </c>
      <c r="N7457" t="s">
        <v>47304</v>
      </c>
      <c r="O7457" t="s">
        <v>47305</v>
      </c>
      <c r="P7457">
        <v>0</v>
      </c>
      <c r="Q7457">
        <v>4</v>
      </c>
      <c r="R7457" t="s">
        <v>47311</v>
      </c>
      <c r="S7457" t="s">
        <v>47443</v>
      </c>
      <c r="T7457" t="s">
        <v>49111</v>
      </c>
      <c r="U7457" t="s">
        <v>55773</v>
      </c>
      <c r="W7457" t="s">
        <v>44025</v>
      </c>
      <c r="X7457" t="s">
        <v>47312</v>
      </c>
    </row>
    <row r="7458" spans="1:24">
      <c r="A7458">
        <f>HYPERLINK("https://www.philgeps.gov.ph/GEPSNONPILOT/Tender/SplashBidNoticeAbstractUI.aspx?menuIndex=3&amp;refID=7192742&amp;Result=3","7192742")</f>
        <v>0</v>
      </c>
      <c r="B7458" t="s">
        <v>2423</v>
      </c>
      <c r="C7458" t="s">
        <v>10860</v>
      </c>
      <c r="D7458" t="s">
        <v>19006</v>
      </c>
      <c r="E7458" t="s">
        <v>20123</v>
      </c>
      <c r="F7458" t="s">
        <v>32606</v>
      </c>
      <c r="G7458" t="s">
        <v>32613</v>
      </c>
      <c r="H7458" t="s">
        <v>14201</v>
      </c>
      <c r="I7458" t="s">
        <v>32626</v>
      </c>
      <c r="J7458" t="s">
        <v>37483</v>
      </c>
      <c r="K7458" t="s">
        <v>42630</v>
      </c>
      <c r="M7458" t="s">
        <v>45549</v>
      </c>
      <c r="N7458" t="s">
        <v>47304</v>
      </c>
      <c r="O7458" t="s">
        <v>47305</v>
      </c>
      <c r="P7458">
        <v>0</v>
      </c>
      <c r="Q7458">
        <v>0</v>
      </c>
      <c r="R7458" t="s">
        <v>47311</v>
      </c>
      <c r="S7458" t="s">
        <v>47443</v>
      </c>
      <c r="T7458" t="s">
        <v>49016</v>
      </c>
      <c r="U7458" t="s">
        <v>55774</v>
      </c>
      <c r="W7458" t="s">
        <v>45549</v>
      </c>
      <c r="X7458" t="s">
        <v>47312</v>
      </c>
    </row>
    <row r="7459" spans="1:24">
      <c r="A7459">
        <f>HYPERLINK("https://www.philgeps.gov.ph/GEPSNONPILOT/Tender/SplashBidNoticeAbstractUI.aspx?menuIndex=3&amp;refID=7192694&amp;Result=3","7192694")</f>
        <v>0</v>
      </c>
      <c r="B7459" t="s">
        <v>2403</v>
      </c>
      <c r="C7459" t="s">
        <v>10861</v>
      </c>
      <c r="D7459" t="s">
        <v>19022</v>
      </c>
      <c r="E7459" t="s">
        <v>25584</v>
      </c>
      <c r="F7459" t="s">
        <v>32606</v>
      </c>
      <c r="G7459" t="s">
        <v>32614</v>
      </c>
      <c r="H7459" t="s">
        <v>14201</v>
      </c>
      <c r="I7459" t="s">
        <v>32638</v>
      </c>
      <c r="J7459" t="s">
        <v>37484</v>
      </c>
      <c r="K7459" t="s">
        <v>42636</v>
      </c>
      <c r="M7459" t="s">
        <v>45526</v>
      </c>
      <c r="N7459" t="s">
        <v>47304</v>
      </c>
      <c r="O7459" t="s">
        <v>47305</v>
      </c>
      <c r="P7459">
        <v>0</v>
      </c>
      <c r="Q7459">
        <v>7</v>
      </c>
      <c r="R7459" t="s">
        <v>47311</v>
      </c>
      <c r="S7459" t="s">
        <v>47443</v>
      </c>
      <c r="T7459" t="s">
        <v>49165</v>
      </c>
      <c r="U7459" t="s">
        <v>55775</v>
      </c>
      <c r="W7459" t="s">
        <v>45526</v>
      </c>
      <c r="X7459" t="s">
        <v>47312</v>
      </c>
    </row>
    <row r="7460" spans="1:24">
      <c r="A7460">
        <f>HYPERLINK("https://www.philgeps.gov.ph/GEPSNONPILOT/Tender/SplashBidNoticeAbstractUI.aspx?menuIndex=3&amp;refID=7192739&amp;Result=3","7192739")</f>
        <v>0</v>
      </c>
      <c r="B7460" t="s">
        <v>1903</v>
      </c>
      <c r="C7460" t="s">
        <v>10862</v>
      </c>
      <c r="D7460" t="s">
        <v>18993</v>
      </c>
      <c r="E7460" t="s">
        <v>25585</v>
      </c>
      <c r="F7460" t="s">
        <v>32606</v>
      </c>
      <c r="G7460" t="s">
        <v>32613</v>
      </c>
      <c r="H7460" t="s">
        <v>14201</v>
      </c>
      <c r="I7460" t="s">
        <v>6298</v>
      </c>
      <c r="J7460" t="s">
        <v>37485</v>
      </c>
      <c r="K7460" t="s">
        <v>42630</v>
      </c>
      <c r="M7460" t="s">
        <v>44962</v>
      </c>
      <c r="N7460" t="s">
        <v>47304</v>
      </c>
      <c r="O7460" t="s">
        <v>47305</v>
      </c>
      <c r="P7460">
        <v>0</v>
      </c>
      <c r="Q7460">
        <v>2</v>
      </c>
      <c r="R7460" t="s">
        <v>47311</v>
      </c>
      <c r="S7460" t="s">
        <v>47443</v>
      </c>
      <c r="T7460" t="s">
        <v>49050</v>
      </c>
      <c r="U7460" t="s">
        <v>55776</v>
      </c>
      <c r="V7460" t="s">
        <v>63164</v>
      </c>
      <c r="W7460" t="s">
        <v>44962</v>
      </c>
      <c r="X7460" t="s">
        <v>47312</v>
      </c>
    </row>
    <row r="7461" spans="1:24">
      <c r="A7461">
        <f>HYPERLINK("https://www.philgeps.gov.ph/GEPSNONPILOT/Tender/SplashBidNoticeAbstractUI.aspx?menuIndex=3&amp;refID=7192735&amp;Result=3","7192735")</f>
        <v>0</v>
      </c>
      <c r="B7461" t="s">
        <v>2424</v>
      </c>
      <c r="C7461" t="s">
        <v>10863</v>
      </c>
      <c r="E7461" t="s">
        <v>25586</v>
      </c>
      <c r="F7461" t="s">
        <v>32606</v>
      </c>
      <c r="G7461" t="s">
        <v>32613</v>
      </c>
      <c r="H7461" t="s">
        <v>32623</v>
      </c>
      <c r="I7461" t="s">
        <v>17648</v>
      </c>
      <c r="J7461" t="s">
        <v>33363</v>
      </c>
      <c r="K7461" t="s">
        <v>42639</v>
      </c>
      <c r="M7461" t="s">
        <v>45550</v>
      </c>
      <c r="N7461" t="s">
        <v>47304</v>
      </c>
      <c r="O7461" t="s">
        <v>47305</v>
      </c>
      <c r="P7461">
        <v>0</v>
      </c>
      <c r="Q7461">
        <v>1</v>
      </c>
      <c r="R7461" t="s">
        <v>47311</v>
      </c>
      <c r="S7461" t="s">
        <v>47443</v>
      </c>
      <c r="T7461" t="s">
        <v>48997</v>
      </c>
      <c r="U7461" t="s">
        <v>55777</v>
      </c>
      <c r="V7461" t="s">
        <v>63362</v>
      </c>
      <c r="W7461" t="s">
        <v>45550</v>
      </c>
      <c r="X7461" t="s">
        <v>47312</v>
      </c>
    </row>
    <row r="7462" spans="1:24">
      <c r="A7462">
        <f>HYPERLINK("https://www.philgeps.gov.ph/GEPSNONPILOT/Tender/SplashBidNoticeAbstractUI.aspx?menuIndex=3&amp;refID=7192734&amp;Result=3","7192734")</f>
        <v>0</v>
      </c>
      <c r="B7462" t="s">
        <v>2425</v>
      </c>
      <c r="C7462" t="s">
        <v>10864</v>
      </c>
      <c r="E7462" t="s">
        <v>25587</v>
      </c>
      <c r="F7462" t="s">
        <v>32606</v>
      </c>
      <c r="G7462" t="s">
        <v>32614</v>
      </c>
      <c r="H7462" t="s">
        <v>14201</v>
      </c>
      <c r="I7462" t="s">
        <v>6007</v>
      </c>
      <c r="J7462" t="s">
        <v>33062</v>
      </c>
      <c r="K7462" t="s">
        <v>42624</v>
      </c>
      <c r="M7462" t="s">
        <v>45551</v>
      </c>
      <c r="N7462" t="s">
        <v>47304</v>
      </c>
      <c r="O7462" t="s">
        <v>47305</v>
      </c>
      <c r="P7462">
        <v>0</v>
      </c>
      <c r="Q7462">
        <v>1</v>
      </c>
      <c r="R7462" t="s">
        <v>47311</v>
      </c>
      <c r="S7462" t="s">
        <v>47443</v>
      </c>
      <c r="T7462" t="s">
        <v>48997</v>
      </c>
      <c r="U7462" t="s">
        <v>55778</v>
      </c>
      <c r="W7462" t="s">
        <v>45551</v>
      </c>
      <c r="X7462" t="s">
        <v>47312</v>
      </c>
    </row>
    <row r="7463" spans="1:24">
      <c r="A7463">
        <f>HYPERLINK("https://www.philgeps.gov.ph/GEPSNONPILOT/Tender/SplashBidNoticeAbstractUI.aspx?menuIndex=3&amp;refID=7192733&amp;Result=3","7192733")</f>
        <v>0</v>
      </c>
      <c r="B7463" t="s">
        <v>1172</v>
      </c>
      <c r="C7463" t="s">
        <v>10865</v>
      </c>
      <c r="D7463" t="s">
        <v>19066</v>
      </c>
      <c r="E7463" t="s">
        <v>25588</v>
      </c>
      <c r="F7463" t="s">
        <v>32606</v>
      </c>
      <c r="G7463" t="s">
        <v>32614</v>
      </c>
      <c r="H7463" t="s">
        <v>14201</v>
      </c>
      <c r="I7463" t="s">
        <v>32650</v>
      </c>
      <c r="J7463" t="s">
        <v>37167</v>
      </c>
      <c r="K7463" t="s">
        <v>42631</v>
      </c>
      <c r="M7463" t="s">
        <v>44135</v>
      </c>
      <c r="N7463" t="s">
        <v>47304</v>
      </c>
      <c r="O7463" t="s">
        <v>47305</v>
      </c>
      <c r="P7463">
        <v>0</v>
      </c>
      <c r="Q7463">
        <v>0</v>
      </c>
      <c r="R7463" t="s">
        <v>47311</v>
      </c>
      <c r="S7463" t="s">
        <v>47443</v>
      </c>
      <c r="T7463" t="s">
        <v>49053</v>
      </c>
      <c r="U7463" t="s">
        <v>51932</v>
      </c>
      <c r="W7463" t="s">
        <v>44135</v>
      </c>
      <c r="X7463" t="s">
        <v>47312</v>
      </c>
    </row>
    <row r="7464" spans="1:24">
      <c r="A7464">
        <f>HYPERLINK("https://www.philgeps.gov.ph/GEPSNONPILOT/Tender/SplashBidNoticeAbstractUI.aspx?menuIndex=3&amp;refID=7192730&amp;Result=3","7192730")</f>
        <v>0</v>
      </c>
      <c r="B7464" t="s">
        <v>2297</v>
      </c>
      <c r="C7464" t="s">
        <v>10866</v>
      </c>
      <c r="D7464" t="s">
        <v>19024</v>
      </c>
      <c r="E7464" t="s">
        <v>25589</v>
      </c>
      <c r="F7464" t="s">
        <v>32606</v>
      </c>
      <c r="G7464" t="s">
        <v>32613</v>
      </c>
      <c r="H7464" t="s">
        <v>32623</v>
      </c>
      <c r="I7464" t="s">
        <v>17648</v>
      </c>
      <c r="J7464" t="s">
        <v>32795</v>
      </c>
      <c r="K7464" t="s">
        <v>42778</v>
      </c>
      <c r="M7464" t="s">
        <v>45540</v>
      </c>
      <c r="N7464" t="s">
        <v>47304</v>
      </c>
      <c r="O7464" t="s">
        <v>47305</v>
      </c>
      <c r="P7464">
        <v>0</v>
      </c>
      <c r="Q7464">
        <v>0</v>
      </c>
      <c r="R7464" t="s">
        <v>47311</v>
      </c>
      <c r="S7464" t="s">
        <v>47443</v>
      </c>
      <c r="T7464" t="s">
        <v>49368</v>
      </c>
      <c r="U7464" t="s">
        <v>55779</v>
      </c>
      <c r="V7464" t="s">
        <v>63312</v>
      </c>
      <c r="W7464" t="s">
        <v>45540</v>
      </c>
      <c r="X7464" t="s">
        <v>47312</v>
      </c>
    </row>
    <row r="7465" spans="1:24">
      <c r="A7465">
        <f>HYPERLINK("https://www.philgeps.gov.ph/GEPSNONPILOT/Tender/SplashBidNoticeAbstractUI.aspx?menuIndex=3&amp;refID=7192728&amp;Result=3","7192728")</f>
        <v>0</v>
      </c>
      <c r="B7465" t="s">
        <v>1543</v>
      </c>
      <c r="C7465" t="s">
        <v>10867</v>
      </c>
      <c r="D7465" t="s">
        <v>19013</v>
      </c>
      <c r="E7465" t="s">
        <v>25590</v>
      </c>
      <c r="F7465" t="s">
        <v>32606</v>
      </c>
      <c r="G7465" t="s">
        <v>32613</v>
      </c>
      <c r="H7465" t="s">
        <v>32623</v>
      </c>
      <c r="I7465" t="s">
        <v>17648</v>
      </c>
      <c r="J7465" t="s">
        <v>32830</v>
      </c>
      <c r="K7465" t="s">
        <v>42646</v>
      </c>
      <c r="M7465" t="s">
        <v>44547</v>
      </c>
      <c r="N7465" t="s">
        <v>47304</v>
      </c>
      <c r="O7465" t="s">
        <v>47305</v>
      </c>
      <c r="P7465">
        <v>0</v>
      </c>
      <c r="Q7465">
        <v>1</v>
      </c>
      <c r="R7465" t="s">
        <v>47311</v>
      </c>
      <c r="S7465" t="s">
        <v>47443</v>
      </c>
      <c r="T7465" t="s">
        <v>49037</v>
      </c>
      <c r="U7465" t="s">
        <v>55780</v>
      </c>
      <c r="W7465" t="s">
        <v>44547</v>
      </c>
      <c r="X7465" t="s">
        <v>47312</v>
      </c>
    </row>
    <row r="7466" spans="1:24">
      <c r="A7466">
        <f>HYPERLINK("https://www.philgeps.gov.ph/GEPSNONPILOT/Tender/SplashBidNoticeAbstractUI.aspx?menuIndex=3&amp;refID=7192725&amp;Result=3","7192725")</f>
        <v>0</v>
      </c>
      <c r="B7466" t="s">
        <v>2426</v>
      </c>
      <c r="C7466" t="s">
        <v>10868</v>
      </c>
      <c r="D7466" t="s">
        <v>19016</v>
      </c>
      <c r="E7466" t="s">
        <v>25591</v>
      </c>
      <c r="F7466" t="s">
        <v>32606</v>
      </c>
      <c r="G7466" t="s">
        <v>32613</v>
      </c>
      <c r="H7466" t="s">
        <v>32623</v>
      </c>
      <c r="I7466" t="s">
        <v>17648</v>
      </c>
      <c r="J7466" t="s">
        <v>33533</v>
      </c>
      <c r="K7466" t="s">
        <v>42631</v>
      </c>
      <c r="M7466" t="s">
        <v>45552</v>
      </c>
      <c r="N7466" t="s">
        <v>47304</v>
      </c>
      <c r="O7466" t="s">
        <v>47305</v>
      </c>
      <c r="P7466">
        <v>0</v>
      </c>
      <c r="Q7466">
        <v>2</v>
      </c>
      <c r="R7466" t="s">
        <v>47311</v>
      </c>
      <c r="S7466" t="s">
        <v>47443</v>
      </c>
      <c r="T7466" t="s">
        <v>48997</v>
      </c>
      <c r="U7466" t="s">
        <v>55781</v>
      </c>
      <c r="V7466" t="s">
        <v>63362</v>
      </c>
      <c r="W7466" t="s">
        <v>45552</v>
      </c>
      <c r="X7466" t="s">
        <v>47312</v>
      </c>
    </row>
    <row r="7467" spans="1:24">
      <c r="A7467">
        <f>HYPERLINK("https://www.philgeps.gov.ph/GEPSNONPILOT/Tender/SplashBidNoticeAbstractUI.aspx?menuIndex=3&amp;refID=7192674&amp;Result=3","7192674")</f>
        <v>0</v>
      </c>
      <c r="B7467" t="s">
        <v>1068</v>
      </c>
      <c r="C7467" t="s">
        <v>10869</v>
      </c>
      <c r="D7467" t="s">
        <v>19057</v>
      </c>
      <c r="E7467" t="s">
        <v>25592</v>
      </c>
      <c r="F7467" t="s">
        <v>32606</v>
      </c>
      <c r="G7467" t="s">
        <v>32613</v>
      </c>
      <c r="H7467" t="s">
        <v>14201</v>
      </c>
      <c r="I7467" t="s">
        <v>32629</v>
      </c>
      <c r="J7467" t="s">
        <v>37486</v>
      </c>
      <c r="K7467" t="s">
        <v>42632</v>
      </c>
      <c r="M7467" t="s">
        <v>44021</v>
      </c>
      <c r="N7467" t="s">
        <v>47304</v>
      </c>
      <c r="O7467" t="s">
        <v>47305</v>
      </c>
      <c r="P7467">
        <v>0</v>
      </c>
      <c r="Q7467">
        <v>0</v>
      </c>
      <c r="R7467" t="s">
        <v>47311</v>
      </c>
      <c r="S7467" t="s">
        <v>47443</v>
      </c>
      <c r="T7467" t="s">
        <v>49067</v>
      </c>
      <c r="U7467" t="s">
        <v>55782</v>
      </c>
      <c r="W7467" t="s">
        <v>44021</v>
      </c>
      <c r="X7467" t="s">
        <v>47312</v>
      </c>
    </row>
    <row r="7468" spans="1:24">
      <c r="A7468">
        <f>HYPERLINK("https://www.philgeps.gov.ph/GEPSNONPILOT/Tender/SplashBidNoticeAbstractUI.aspx?menuIndex=3&amp;refID=7192741&amp;Result=3","7192741")</f>
        <v>0</v>
      </c>
      <c r="B7468" t="s">
        <v>1543</v>
      </c>
      <c r="C7468" t="s">
        <v>10870</v>
      </c>
      <c r="D7468" t="s">
        <v>19013</v>
      </c>
      <c r="E7468" t="s">
        <v>25593</v>
      </c>
      <c r="F7468" t="s">
        <v>32606</v>
      </c>
      <c r="G7468" t="s">
        <v>32613</v>
      </c>
      <c r="H7468" t="s">
        <v>32623</v>
      </c>
      <c r="I7468" t="s">
        <v>17648</v>
      </c>
      <c r="J7468" t="s">
        <v>32830</v>
      </c>
      <c r="K7468" t="s">
        <v>42646</v>
      </c>
      <c r="M7468" t="s">
        <v>44547</v>
      </c>
      <c r="N7468" t="s">
        <v>47304</v>
      </c>
      <c r="O7468" t="s">
        <v>47305</v>
      </c>
      <c r="P7468">
        <v>0</v>
      </c>
      <c r="Q7468">
        <v>0</v>
      </c>
      <c r="R7468" t="s">
        <v>47311</v>
      </c>
      <c r="S7468" t="s">
        <v>47443</v>
      </c>
      <c r="T7468" t="s">
        <v>49037</v>
      </c>
      <c r="U7468" t="s">
        <v>55783</v>
      </c>
      <c r="W7468" t="s">
        <v>44547</v>
      </c>
      <c r="X7468" t="s">
        <v>47312</v>
      </c>
    </row>
    <row r="7469" spans="1:24">
      <c r="A7469">
        <f>HYPERLINK("https://www.philgeps.gov.ph/GEPSNONPILOT/Tender/SplashBidNoticeAbstractUI.aspx?menuIndex=3&amp;refID=7192724&amp;Result=3","7192724")</f>
        <v>0</v>
      </c>
      <c r="B7469" t="s">
        <v>2427</v>
      </c>
      <c r="C7469" t="s">
        <v>10871</v>
      </c>
      <c r="D7469" t="s">
        <v>18993</v>
      </c>
      <c r="E7469" t="s">
        <v>25594</v>
      </c>
      <c r="F7469" t="s">
        <v>32608</v>
      </c>
      <c r="G7469" t="s">
        <v>32614</v>
      </c>
      <c r="H7469" t="s">
        <v>14201</v>
      </c>
      <c r="I7469" t="s">
        <v>4369</v>
      </c>
      <c r="J7469" t="s">
        <v>37487</v>
      </c>
      <c r="K7469" t="s">
        <v>42630</v>
      </c>
      <c r="M7469" t="s">
        <v>45553</v>
      </c>
      <c r="N7469" t="s">
        <v>47304</v>
      </c>
      <c r="O7469" t="s">
        <v>47305</v>
      </c>
      <c r="P7469">
        <v>0</v>
      </c>
      <c r="Q7469">
        <v>2</v>
      </c>
      <c r="R7469" t="s">
        <v>47311</v>
      </c>
      <c r="S7469" t="s">
        <v>47443</v>
      </c>
      <c r="T7469" t="s">
        <v>48997</v>
      </c>
      <c r="U7469" t="s">
        <v>55784</v>
      </c>
      <c r="W7469" t="s">
        <v>45553</v>
      </c>
      <c r="X7469" t="s">
        <v>47312</v>
      </c>
    </row>
    <row r="7470" spans="1:24">
      <c r="A7470">
        <f>HYPERLINK("https://www.philgeps.gov.ph/GEPSNONPILOT/Tender/SplashBidNoticeAbstractUI.aspx?menuIndex=3&amp;refID=7192737&amp;Result=3","7192737")</f>
        <v>0</v>
      </c>
      <c r="B7470" t="s">
        <v>1172</v>
      </c>
      <c r="C7470" t="s">
        <v>10872</v>
      </c>
      <c r="D7470" t="s">
        <v>19002</v>
      </c>
      <c r="E7470" t="s">
        <v>25595</v>
      </c>
      <c r="F7470" t="s">
        <v>32606</v>
      </c>
      <c r="G7470" t="s">
        <v>32614</v>
      </c>
      <c r="H7470" t="s">
        <v>14201</v>
      </c>
      <c r="I7470" t="s">
        <v>32650</v>
      </c>
      <c r="J7470" t="s">
        <v>37488</v>
      </c>
      <c r="K7470" t="s">
        <v>42631</v>
      </c>
      <c r="M7470" t="s">
        <v>44135</v>
      </c>
      <c r="N7470" t="s">
        <v>47304</v>
      </c>
      <c r="O7470" t="s">
        <v>47305</v>
      </c>
      <c r="P7470">
        <v>0</v>
      </c>
      <c r="Q7470">
        <v>1</v>
      </c>
      <c r="R7470" t="s">
        <v>47311</v>
      </c>
      <c r="S7470" t="s">
        <v>47443</v>
      </c>
      <c r="T7470" t="s">
        <v>49053</v>
      </c>
      <c r="U7470" t="s">
        <v>51932</v>
      </c>
      <c r="W7470" t="s">
        <v>44135</v>
      </c>
      <c r="X7470" t="s">
        <v>47312</v>
      </c>
    </row>
    <row r="7471" spans="1:24">
      <c r="A7471">
        <f>HYPERLINK("https://www.philgeps.gov.ph/GEPSNONPILOT/Tender/SplashBidNoticeAbstractUI.aspx?menuIndex=3&amp;refID=7192723&amp;Result=3","7192723")</f>
        <v>0</v>
      </c>
      <c r="B7471" t="s">
        <v>2425</v>
      </c>
      <c r="C7471" t="s">
        <v>10873</v>
      </c>
      <c r="E7471" t="s">
        <v>25596</v>
      </c>
      <c r="F7471" t="s">
        <v>32606</v>
      </c>
      <c r="G7471" t="s">
        <v>32614</v>
      </c>
      <c r="H7471" t="s">
        <v>14201</v>
      </c>
      <c r="I7471" t="s">
        <v>6007</v>
      </c>
      <c r="J7471" t="s">
        <v>33619</v>
      </c>
      <c r="K7471" t="s">
        <v>42624</v>
      </c>
      <c r="M7471" t="s">
        <v>45551</v>
      </c>
      <c r="N7471" t="s">
        <v>47304</v>
      </c>
      <c r="O7471" t="s">
        <v>47305</v>
      </c>
      <c r="P7471">
        <v>0</v>
      </c>
      <c r="Q7471">
        <v>1</v>
      </c>
      <c r="R7471" t="s">
        <v>47311</v>
      </c>
      <c r="S7471" t="s">
        <v>47443</v>
      </c>
      <c r="T7471" t="s">
        <v>48997</v>
      </c>
      <c r="U7471" t="s">
        <v>55785</v>
      </c>
      <c r="W7471" t="s">
        <v>45551</v>
      </c>
      <c r="X7471" t="s">
        <v>47312</v>
      </c>
    </row>
    <row r="7472" spans="1:24">
      <c r="A7472">
        <f>HYPERLINK("https://www.philgeps.gov.ph/GEPSNONPILOT/Tender/SplashBidNoticeAbstractUI.aspx?menuIndex=3&amp;refID=7192721&amp;Result=3","7192721")</f>
        <v>0</v>
      </c>
      <c r="B7472" t="s">
        <v>2297</v>
      </c>
      <c r="C7472" t="s">
        <v>10874</v>
      </c>
      <c r="D7472" t="s">
        <v>19024</v>
      </c>
      <c r="E7472" t="s">
        <v>25567</v>
      </c>
      <c r="F7472" t="s">
        <v>32606</v>
      </c>
      <c r="G7472" t="s">
        <v>32613</v>
      </c>
      <c r="H7472" t="s">
        <v>32623</v>
      </c>
      <c r="I7472" t="s">
        <v>17648</v>
      </c>
      <c r="J7472" t="s">
        <v>37489</v>
      </c>
      <c r="K7472" t="s">
        <v>42778</v>
      </c>
      <c r="M7472" t="s">
        <v>45540</v>
      </c>
      <c r="N7472" t="s">
        <v>47304</v>
      </c>
      <c r="O7472" t="s">
        <v>47305</v>
      </c>
      <c r="P7472">
        <v>0</v>
      </c>
      <c r="Q7472">
        <v>0</v>
      </c>
      <c r="R7472" t="s">
        <v>47311</v>
      </c>
      <c r="S7472" t="s">
        <v>47443</v>
      </c>
      <c r="T7472" t="s">
        <v>49368</v>
      </c>
      <c r="U7472" t="s">
        <v>55786</v>
      </c>
      <c r="V7472" t="s">
        <v>63312</v>
      </c>
      <c r="W7472" t="s">
        <v>45540</v>
      </c>
      <c r="X7472" t="s">
        <v>47312</v>
      </c>
    </row>
    <row r="7473" spans="1:24">
      <c r="A7473">
        <f>HYPERLINK("https://www.philgeps.gov.ph/GEPSNONPILOT/Tender/SplashBidNoticeAbstractUI.aspx?menuIndex=3&amp;refID=7192718&amp;Result=3","7192718")</f>
        <v>0</v>
      </c>
      <c r="B7473" t="s">
        <v>2296</v>
      </c>
      <c r="C7473" t="s">
        <v>10875</v>
      </c>
      <c r="D7473" t="s">
        <v>19019</v>
      </c>
      <c r="E7473" t="s">
        <v>25597</v>
      </c>
      <c r="F7473" t="s">
        <v>32606</v>
      </c>
      <c r="G7473" t="s">
        <v>32614</v>
      </c>
      <c r="H7473" t="s">
        <v>32624</v>
      </c>
      <c r="I7473" t="s">
        <v>32738</v>
      </c>
      <c r="J7473" t="s">
        <v>37490</v>
      </c>
      <c r="K7473" t="s">
        <v>42622</v>
      </c>
      <c r="M7473" t="s">
        <v>45402</v>
      </c>
      <c r="N7473" t="s">
        <v>47304</v>
      </c>
      <c r="O7473" t="s">
        <v>47305</v>
      </c>
      <c r="P7473">
        <v>0</v>
      </c>
      <c r="Q7473">
        <v>0</v>
      </c>
      <c r="R7473" t="s">
        <v>47311</v>
      </c>
      <c r="S7473" t="s">
        <v>47443</v>
      </c>
      <c r="T7473" t="s">
        <v>49014</v>
      </c>
      <c r="U7473" t="s">
        <v>55787</v>
      </c>
      <c r="W7473" t="s">
        <v>45402</v>
      </c>
      <c r="X7473" t="s">
        <v>47312</v>
      </c>
    </row>
    <row r="7474" spans="1:24">
      <c r="A7474">
        <f>HYPERLINK("https://www.philgeps.gov.ph/GEPSNONPILOT/Tender/SplashBidNoticeAbstractUI.aspx?menuIndex=3&amp;refID=7192716&amp;Result=3","7192716")</f>
        <v>0</v>
      </c>
      <c r="B7474" t="s">
        <v>2428</v>
      </c>
      <c r="C7474" t="s">
        <v>10876</v>
      </c>
      <c r="D7474" t="s">
        <v>19004</v>
      </c>
      <c r="E7474" t="s">
        <v>25598</v>
      </c>
      <c r="F7474" t="s">
        <v>32606</v>
      </c>
      <c r="G7474" t="s">
        <v>32613</v>
      </c>
      <c r="H7474" t="s">
        <v>32623</v>
      </c>
      <c r="I7474" t="s">
        <v>17648</v>
      </c>
      <c r="J7474" t="s">
        <v>33102</v>
      </c>
      <c r="K7474" t="s">
        <v>42636</v>
      </c>
      <c r="M7474" t="s">
        <v>45554</v>
      </c>
      <c r="N7474" t="s">
        <v>47304</v>
      </c>
      <c r="O7474" t="s">
        <v>47305</v>
      </c>
      <c r="P7474">
        <v>0</v>
      </c>
      <c r="Q7474">
        <v>0</v>
      </c>
      <c r="R7474" t="s">
        <v>47311</v>
      </c>
      <c r="S7474" t="s">
        <v>47443</v>
      </c>
      <c r="T7474" t="s">
        <v>49004</v>
      </c>
      <c r="U7474" t="s">
        <v>55788</v>
      </c>
      <c r="W7474" t="s">
        <v>45554</v>
      </c>
      <c r="X7474" t="s">
        <v>47312</v>
      </c>
    </row>
    <row r="7475" spans="1:24">
      <c r="A7475">
        <f>HYPERLINK("https://www.philgeps.gov.ph/GEPSNONPILOT/Tender/SplashBidNoticeAbstractUI.aspx?menuIndex=3&amp;refID=7192729&amp;Result=3","7192729")</f>
        <v>0</v>
      </c>
      <c r="B7475" t="s">
        <v>1172</v>
      </c>
      <c r="C7475" t="s">
        <v>10877</v>
      </c>
      <c r="D7475" t="s">
        <v>19072</v>
      </c>
      <c r="E7475" t="s">
        <v>25599</v>
      </c>
      <c r="F7475" t="s">
        <v>32606</v>
      </c>
      <c r="G7475" t="s">
        <v>32614</v>
      </c>
      <c r="H7475" t="s">
        <v>14201</v>
      </c>
      <c r="I7475" t="s">
        <v>32650</v>
      </c>
      <c r="J7475" t="s">
        <v>37491</v>
      </c>
      <c r="K7475" t="s">
        <v>42631</v>
      </c>
      <c r="M7475" t="s">
        <v>44135</v>
      </c>
      <c r="N7475" t="s">
        <v>47304</v>
      </c>
      <c r="O7475" t="s">
        <v>47305</v>
      </c>
      <c r="P7475">
        <v>0</v>
      </c>
      <c r="Q7475">
        <v>0</v>
      </c>
      <c r="R7475" t="s">
        <v>47311</v>
      </c>
      <c r="S7475" t="s">
        <v>47443</v>
      </c>
      <c r="T7475" t="s">
        <v>49053</v>
      </c>
      <c r="U7475" t="s">
        <v>51932</v>
      </c>
      <c r="W7475" t="s">
        <v>44135</v>
      </c>
      <c r="X7475" t="s">
        <v>47312</v>
      </c>
    </row>
    <row r="7476" spans="1:24">
      <c r="A7476">
        <f>HYPERLINK("https://www.philgeps.gov.ph/GEPSNONPILOT/Tender/SplashBidNoticeAbstractUI.aspx?menuIndex=3&amp;refID=7192687&amp;Result=3","7192687")</f>
        <v>0</v>
      </c>
      <c r="B7476" t="s">
        <v>1072</v>
      </c>
      <c r="C7476" t="s">
        <v>10878</v>
      </c>
      <c r="D7476" t="s">
        <v>19012</v>
      </c>
      <c r="E7476" t="s">
        <v>25600</v>
      </c>
      <c r="F7476" t="s">
        <v>32607</v>
      </c>
      <c r="G7476" t="s">
        <v>32618</v>
      </c>
      <c r="H7476" t="s">
        <v>14201</v>
      </c>
      <c r="I7476" t="s">
        <v>32650</v>
      </c>
      <c r="J7476" t="s">
        <v>37492</v>
      </c>
      <c r="K7476" t="s">
        <v>42639</v>
      </c>
      <c r="M7476" t="s">
        <v>44025</v>
      </c>
      <c r="N7476" t="s">
        <v>47304</v>
      </c>
      <c r="O7476" t="s">
        <v>47305</v>
      </c>
      <c r="P7476">
        <v>0</v>
      </c>
      <c r="Q7476">
        <v>1</v>
      </c>
      <c r="R7476" t="s">
        <v>47311</v>
      </c>
      <c r="S7476" t="s">
        <v>47443</v>
      </c>
      <c r="T7476" t="s">
        <v>49086</v>
      </c>
      <c r="U7476" t="s">
        <v>55789</v>
      </c>
      <c r="W7476" t="s">
        <v>44025</v>
      </c>
      <c r="X7476" t="s">
        <v>47312</v>
      </c>
    </row>
    <row r="7477" spans="1:24">
      <c r="A7477">
        <f>HYPERLINK("https://www.philgeps.gov.ph/GEPSNONPILOT/Tender/SplashBidNoticeAbstractUI.aspx?menuIndex=3&amp;refID=7192784&amp;Result=3","7192784")</f>
        <v>0</v>
      </c>
      <c r="B7477" t="s">
        <v>2429</v>
      </c>
      <c r="C7477" t="s">
        <v>10879</v>
      </c>
      <c r="D7477" t="s">
        <v>19008</v>
      </c>
      <c r="E7477" t="s">
        <v>10879</v>
      </c>
      <c r="F7477" t="s">
        <v>32606</v>
      </c>
      <c r="G7477" t="s">
        <v>32613</v>
      </c>
      <c r="H7477" t="s">
        <v>32623</v>
      </c>
      <c r="I7477" t="s">
        <v>17648</v>
      </c>
      <c r="J7477" t="s">
        <v>32765</v>
      </c>
      <c r="K7477" t="s">
        <v>42630</v>
      </c>
      <c r="M7477" t="s">
        <v>45555</v>
      </c>
      <c r="N7477" t="s">
        <v>47304</v>
      </c>
      <c r="O7477" t="s">
        <v>47305</v>
      </c>
      <c r="P7477">
        <v>0</v>
      </c>
      <c r="Q7477">
        <v>0</v>
      </c>
      <c r="R7477" t="s">
        <v>47311</v>
      </c>
      <c r="S7477" t="s">
        <v>47443</v>
      </c>
      <c r="T7477" t="s">
        <v>49196</v>
      </c>
      <c r="U7477" t="s">
        <v>55790</v>
      </c>
      <c r="W7477" t="s">
        <v>45555</v>
      </c>
      <c r="X7477" t="s">
        <v>47312</v>
      </c>
    </row>
    <row r="7478" spans="1:24">
      <c r="A7478">
        <f>HYPERLINK("https://www.philgeps.gov.ph/GEPSNONPILOT/Tender/SplashBidNoticeAbstractUI.aspx?menuIndex=3&amp;refID=7192726&amp;Result=3","7192726")</f>
        <v>0</v>
      </c>
      <c r="B7478" t="s">
        <v>2297</v>
      </c>
      <c r="C7478" t="s">
        <v>10880</v>
      </c>
      <c r="D7478" t="s">
        <v>19024</v>
      </c>
      <c r="E7478" t="s">
        <v>25601</v>
      </c>
      <c r="F7478" t="s">
        <v>32606</v>
      </c>
      <c r="G7478" t="s">
        <v>32613</v>
      </c>
      <c r="H7478" t="s">
        <v>32623</v>
      </c>
      <c r="I7478" t="s">
        <v>17648</v>
      </c>
      <c r="J7478" t="s">
        <v>37493</v>
      </c>
      <c r="K7478" t="s">
        <v>42719</v>
      </c>
      <c r="M7478" t="s">
        <v>45540</v>
      </c>
      <c r="N7478" t="s">
        <v>47304</v>
      </c>
      <c r="O7478" t="s">
        <v>47305</v>
      </c>
      <c r="P7478">
        <v>0</v>
      </c>
      <c r="Q7478">
        <v>0</v>
      </c>
      <c r="R7478" t="s">
        <v>47311</v>
      </c>
      <c r="S7478" t="s">
        <v>47443</v>
      </c>
      <c r="T7478" t="s">
        <v>49368</v>
      </c>
      <c r="U7478" t="s">
        <v>55791</v>
      </c>
      <c r="V7478" t="s">
        <v>63312</v>
      </c>
      <c r="W7478" t="s">
        <v>45540</v>
      </c>
      <c r="X7478" t="s">
        <v>47312</v>
      </c>
    </row>
    <row r="7479" spans="1:24">
      <c r="A7479">
        <f>HYPERLINK("https://www.philgeps.gov.ph/GEPSNONPILOT/Tender/SplashBidNoticeAbstractUI.aspx?menuIndex=3&amp;refID=7192781&amp;Result=3","7192781")</f>
        <v>0</v>
      </c>
      <c r="B7479" t="s">
        <v>2430</v>
      </c>
      <c r="C7479" t="s">
        <v>10881</v>
      </c>
      <c r="D7479" t="s">
        <v>19010</v>
      </c>
      <c r="E7479" t="s">
        <v>25602</v>
      </c>
      <c r="F7479" t="s">
        <v>32606</v>
      </c>
      <c r="G7479" t="s">
        <v>32613</v>
      </c>
      <c r="H7479" t="s">
        <v>32623</v>
      </c>
      <c r="I7479" t="s">
        <v>17648</v>
      </c>
      <c r="J7479" t="s">
        <v>37494</v>
      </c>
      <c r="K7479" t="s">
        <v>42651</v>
      </c>
      <c r="M7479" t="s">
        <v>45556</v>
      </c>
      <c r="N7479" t="s">
        <v>47304</v>
      </c>
      <c r="O7479" t="s">
        <v>47305</v>
      </c>
      <c r="P7479">
        <v>0</v>
      </c>
      <c r="Q7479">
        <v>2</v>
      </c>
      <c r="R7479" t="s">
        <v>47311</v>
      </c>
      <c r="S7479" t="s">
        <v>47443</v>
      </c>
      <c r="T7479" t="s">
        <v>49037</v>
      </c>
      <c r="U7479" t="s">
        <v>55792</v>
      </c>
      <c r="W7479" t="s">
        <v>45556</v>
      </c>
      <c r="X7479" t="s">
        <v>47312</v>
      </c>
    </row>
    <row r="7480" spans="1:24">
      <c r="A7480">
        <f>HYPERLINK("https://www.philgeps.gov.ph/GEPSNONPILOT/Tender/SplashBidNoticeAbstractUI.aspx?menuIndex=3&amp;refID=7192776&amp;Result=3","7192776")</f>
        <v>0</v>
      </c>
      <c r="B7480" t="s">
        <v>2430</v>
      </c>
      <c r="C7480" t="s">
        <v>10882</v>
      </c>
      <c r="D7480" t="s">
        <v>19010</v>
      </c>
      <c r="E7480" t="s">
        <v>25603</v>
      </c>
      <c r="F7480" t="s">
        <v>32606</v>
      </c>
      <c r="G7480" t="s">
        <v>32613</v>
      </c>
      <c r="H7480" t="s">
        <v>32623</v>
      </c>
      <c r="I7480" t="s">
        <v>17648</v>
      </c>
      <c r="J7480" t="s">
        <v>37494</v>
      </c>
      <c r="K7480" t="s">
        <v>42651</v>
      </c>
      <c r="M7480" t="s">
        <v>45556</v>
      </c>
      <c r="N7480" t="s">
        <v>47304</v>
      </c>
      <c r="O7480" t="s">
        <v>47305</v>
      </c>
      <c r="P7480">
        <v>0</v>
      </c>
      <c r="Q7480">
        <v>1</v>
      </c>
      <c r="R7480" t="s">
        <v>47311</v>
      </c>
      <c r="S7480" t="s">
        <v>47443</v>
      </c>
      <c r="T7480" t="s">
        <v>49037</v>
      </c>
      <c r="U7480" t="s">
        <v>55793</v>
      </c>
      <c r="W7480" t="s">
        <v>45556</v>
      </c>
      <c r="X7480" t="s">
        <v>47312</v>
      </c>
    </row>
    <row r="7481" spans="1:24">
      <c r="A7481">
        <f>HYPERLINK("https://www.philgeps.gov.ph/GEPSNONPILOT/Tender/SplashBidNoticeAbstractUI.aspx?menuIndex=3&amp;refID=7192775&amp;Result=3","7192775")</f>
        <v>0</v>
      </c>
      <c r="B7481" t="s">
        <v>1513</v>
      </c>
      <c r="C7481" t="s">
        <v>4839</v>
      </c>
      <c r="D7481" t="s">
        <v>19042</v>
      </c>
      <c r="E7481" t="s">
        <v>25604</v>
      </c>
      <c r="F7481" t="s">
        <v>32606</v>
      </c>
      <c r="G7481" t="s">
        <v>32613</v>
      </c>
      <c r="H7481" t="s">
        <v>32623</v>
      </c>
      <c r="I7481" t="s">
        <v>17648</v>
      </c>
      <c r="J7481" t="s">
        <v>37495</v>
      </c>
      <c r="K7481" t="s">
        <v>42650</v>
      </c>
      <c r="L7481" t="s">
        <v>1513</v>
      </c>
      <c r="M7481" t="s">
        <v>44513</v>
      </c>
      <c r="N7481" t="s">
        <v>47304</v>
      </c>
      <c r="O7481" t="s">
        <v>47305</v>
      </c>
      <c r="P7481">
        <v>0</v>
      </c>
      <c r="Q7481">
        <v>0</v>
      </c>
      <c r="R7481" t="s">
        <v>47311</v>
      </c>
      <c r="S7481" t="s">
        <v>47443</v>
      </c>
      <c r="T7481" t="s">
        <v>49075</v>
      </c>
      <c r="U7481" t="s">
        <v>55794</v>
      </c>
      <c r="W7481" t="s">
        <v>44513</v>
      </c>
      <c r="X7481" t="s">
        <v>47312</v>
      </c>
    </row>
    <row r="7482" spans="1:24">
      <c r="A7482">
        <f>HYPERLINK("https://www.philgeps.gov.ph/GEPSNONPILOT/Tender/SplashBidNoticeAbstractUI.aspx?menuIndex=3&amp;refID=7192773&amp;Result=3","7192773")</f>
        <v>0</v>
      </c>
      <c r="B7482" t="s">
        <v>2297</v>
      </c>
      <c r="C7482" t="s">
        <v>10883</v>
      </c>
      <c r="D7482" t="s">
        <v>19033</v>
      </c>
      <c r="E7482" t="s">
        <v>25605</v>
      </c>
      <c r="F7482" t="s">
        <v>32606</v>
      </c>
      <c r="G7482" t="s">
        <v>32613</v>
      </c>
      <c r="H7482" t="s">
        <v>32623</v>
      </c>
      <c r="I7482" t="s">
        <v>17648</v>
      </c>
      <c r="J7482" t="s">
        <v>32795</v>
      </c>
      <c r="K7482" t="s">
        <v>42798</v>
      </c>
      <c r="M7482" t="s">
        <v>45540</v>
      </c>
      <c r="N7482" t="s">
        <v>47304</v>
      </c>
      <c r="O7482" t="s">
        <v>47305</v>
      </c>
      <c r="P7482">
        <v>0</v>
      </c>
      <c r="Q7482">
        <v>1</v>
      </c>
      <c r="R7482" t="s">
        <v>47311</v>
      </c>
      <c r="S7482" t="s">
        <v>47443</v>
      </c>
      <c r="T7482" t="s">
        <v>49368</v>
      </c>
      <c r="U7482" t="s">
        <v>55795</v>
      </c>
      <c r="V7482" t="s">
        <v>63312</v>
      </c>
      <c r="W7482" t="s">
        <v>45540</v>
      </c>
      <c r="X7482" t="s">
        <v>47312</v>
      </c>
    </row>
    <row r="7483" spans="1:24">
      <c r="A7483">
        <f>HYPERLINK("https://www.philgeps.gov.ph/GEPSNONPILOT/Tender/SplashBidNoticeAbstractUI.aspx?menuIndex=3&amp;refID=7192772&amp;Result=3","7192772")</f>
        <v>0</v>
      </c>
      <c r="B7483" t="s">
        <v>2430</v>
      </c>
      <c r="C7483" t="s">
        <v>10884</v>
      </c>
      <c r="D7483" t="s">
        <v>19010</v>
      </c>
      <c r="E7483" t="s">
        <v>25606</v>
      </c>
      <c r="F7483" t="s">
        <v>32606</v>
      </c>
      <c r="G7483" t="s">
        <v>32613</v>
      </c>
      <c r="H7483" t="s">
        <v>32623</v>
      </c>
      <c r="I7483" t="s">
        <v>17648</v>
      </c>
      <c r="J7483" t="s">
        <v>37496</v>
      </c>
      <c r="K7483" t="s">
        <v>42651</v>
      </c>
      <c r="M7483" t="s">
        <v>45556</v>
      </c>
      <c r="N7483" t="s">
        <v>47304</v>
      </c>
      <c r="O7483" t="s">
        <v>47305</v>
      </c>
      <c r="P7483">
        <v>0</v>
      </c>
      <c r="Q7483">
        <v>3</v>
      </c>
      <c r="R7483" t="s">
        <v>47311</v>
      </c>
      <c r="S7483" t="s">
        <v>47443</v>
      </c>
      <c r="T7483" t="s">
        <v>49037</v>
      </c>
      <c r="U7483" t="s">
        <v>55796</v>
      </c>
      <c r="W7483" t="s">
        <v>45556</v>
      </c>
      <c r="X7483" t="s">
        <v>47312</v>
      </c>
    </row>
    <row r="7484" spans="1:24">
      <c r="A7484">
        <f>HYPERLINK("https://www.philgeps.gov.ph/GEPSNONPILOT/Tender/SplashBidNoticeAbstractUI.aspx?menuIndex=3&amp;refID=7192768&amp;Result=3","7192768")</f>
        <v>0</v>
      </c>
      <c r="B7484" t="s">
        <v>2425</v>
      </c>
      <c r="C7484" t="s">
        <v>10885</v>
      </c>
      <c r="E7484" t="s">
        <v>25607</v>
      </c>
      <c r="F7484" t="s">
        <v>32606</v>
      </c>
      <c r="G7484" t="s">
        <v>32614</v>
      </c>
      <c r="H7484" t="s">
        <v>14201</v>
      </c>
      <c r="I7484" t="s">
        <v>9013</v>
      </c>
      <c r="J7484" t="s">
        <v>33302</v>
      </c>
      <c r="K7484" t="s">
        <v>42624</v>
      </c>
      <c r="M7484" t="s">
        <v>45551</v>
      </c>
      <c r="N7484" t="s">
        <v>47304</v>
      </c>
      <c r="O7484" t="s">
        <v>47305</v>
      </c>
      <c r="P7484">
        <v>0</v>
      </c>
      <c r="Q7484">
        <v>2</v>
      </c>
      <c r="R7484" t="s">
        <v>47311</v>
      </c>
      <c r="S7484" t="s">
        <v>47443</v>
      </c>
      <c r="T7484" t="s">
        <v>48997</v>
      </c>
      <c r="U7484" t="s">
        <v>55797</v>
      </c>
      <c r="W7484" t="s">
        <v>45551</v>
      </c>
      <c r="X7484" t="s">
        <v>47312</v>
      </c>
    </row>
    <row r="7485" spans="1:24">
      <c r="A7485">
        <f>HYPERLINK("https://www.philgeps.gov.ph/GEPSNONPILOT/Tender/SplashBidNoticeAbstractUI.aspx?menuIndex=3&amp;refID=7192785&amp;Result=3","7192785")</f>
        <v>0</v>
      </c>
      <c r="B7485" t="s">
        <v>2430</v>
      </c>
      <c r="C7485" t="s">
        <v>10886</v>
      </c>
      <c r="D7485" t="s">
        <v>19010</v>
      </c>
      <c r="E7485" t="s">
        <v>25608</v>
      </c>
      <c r="F7485" t="s">
        <v>32606</v>
      </c>
      <c r="G7485" t="s">
        <v>32613</v>
      </c>
      <c r="H7485" t="s">
        <v>32623</v>
      </c>
      <c r="I7485" t="s">
        <v>17648</v>
      </c>
      <c r="J7485" t="s">
        <v>37494</v>
      </c>
      <c r="K7485" t="s">
        <v>42651</v>
      </c>
      <c r="M7485" t="s">
        <v>45556</v>
      </c>
      <c r="N7485" t="s">
        <v>47304</v>
      </c>
      <c r="O7485" t="s">
        <v>47305</v>
      </c>
      <c r="P7485">
        <v>0</v>
      </c>
      <c r="Q7485">
        <v>3</v>
      </c>
      <c r="R7485" t="s">
        <v>47311</v>
      </c>
      <c r="S7485" t="s">
        <v>47443</v>
      </c>
      <c r="T7485" t="s">
        <v>49037</v>
      </c>
      <c r="U7485" t="s">
        <v>55798</v>
      </c>
      <c r="W7485" t="s">
        <v>45556</v>
      </c>
      <c r="X7485" t="s">
        <v>47312</v>
      </c>
    </row>
    <row r="7486" spans="1:24">
      <c r="A7486">
        <f>HYPERLINK("https://www.philgeps.gov.ph/GEPSNONPILOT/Tender/SplashBidNoticeAbstractUI.aspx?menuIndex=3&amp;refID=7192650&amp;Result=3","7192650")</f>
        <v>0</v>
      </c>
      <c r="B7486" t="s">
        <v>2403</v>
      </c>
      <c r="C7486" t="s">
        <v>10887</v>
      </c>
      <c r="D7486" t="s">
        <v>19022</v>
      </c>
      <c r="E7486" t="s">
        <v>25609</v>
      </c>
      <c r="F7486" t="s">
        <v>32606</v>
      </c>
      <c r="G7486" t="s">
        <v>32614</v>
      </c>
      <c r="H7486" t="s">
        <v>14201</v>
      </c>
      <c r="I7486" t="s">
        <v>32640</v>
      </c>
      <c r="J7486" t="s">
        <v>37497</v>
      </c>
      <c r="K7486" t="s">
        <v>42636</v>
      </c>
      <c r="M7486" t="s">
        <v>45526</v>
      </c>
      <c r="N7486" t="s">
        <v>47304</v>
      </c>
      <c r="O7486" t="s">
        <v>47305</v>
      </c>
      <c r="P7486">
        <v>0</v>
      </c>
      <c r="Q7486">
        <v>2</v>
      </c>
      <c r="R7486" t="s">
        <v>47311</v>
      </c>
      <c r="S7486" t="s">
        <v>47443</v>
      </c>
      <c r="T7486" t="s">
        <v>49165</v>
      </c>
      <c r="U7486" t="s">
        <v>55799</v>
      </c>
      <c r="W7486" t="s">
        <v>45526</v>
      </c>
      <c r="X7486" t="s">
        <v>47312</v>
      </c>
    </row>
    <row r="7487" spans="1:24">
      <c r="A7487">
        <f>HYPERLINK("https://www.philgeps.gov.ph/GEPSNONPILOT/Tender/SplashBidNoticeAbstractUI.aspx?menuIndex=3&amp;refID=7192779&amp;Result=3","7192779")</f>
        <v>0</v>
      </c>
      <c r="B7487" t="s">
        <v>2429</v>
      </c>
      <c r="C7487" t="s">
        <v>10888</v>
      </c>
      <c r="D7487" t="s">
        <v>19008</v>
      </c>
      <c r="E7487" t="s">
        <v>10888</v>
      </c>
      <c r="F7487" t="s">
        <v>32606</v>
      </c>
      <c r="G7487" t="s">
        <v>32613</v>
      </c>
      <c r="H7487" t="s">
        <v>32623</v>
      </c>
      <c r="I7487" t="s">
        <v>17648</v>
      </c>
      <c r="J7487" t="s">
        <v>33051</v>
      </c>
      <c r="K7487" t="s">
        <v>42630</v>
      </c>
      <c r="M7487" t="s">
        <v>45555</v>
      </c>
      <c r="N7487" t="s">
        <v>47304</v>
      </c>
      <c r="O7487" t="s">
        <v>47305</v>
      </c>
      <c r="P7487">
        <v>0</v>
      </c>
      <c r="Q7487">
        <v>0</v>
      </c>
      <c r="R7487" t="s">
        <v>47311</v>
      </c>
      <c r="S7487" t="s">
        <v>47443</v>
      </c>
      <c r="T7487" t="s">
        <v>48980</v>
      </c>
      <c r="U7487" t="s">
        <v>55800</v>
      </c>
      <c r="W7487" t="s">
        <v>45555</v>
      </c>
      <c r="X7487" t="s">
        <v>47312</v>
      </c>
    </row>
    <row r="7488" spans="1:24">
      <c r="A7488">
        <f>HYPERLINK("https://www.philgeps.gov.ph/GEPSNONPILOT/Tender/SplashBidNoticeAbstractUI.aspx?menuIndex=3&amp;refID=7192759&amp;Result=3","7192759")</f>
        <v>0</v>
      </c>
      <c r="B7488" t="s">
        <v>2431</v>
      </c>
      <c r="C7488" t="s">
        <v>10889</v>
      </c>
      <c r="D7488" t="s">
        <v>18999</v>
      </c>
      <c r="E7488" t="s">
        <v>25610</v>
      </c>
      <c r="F7488" t="s">
        <v>32606</v>
      </c>
      <c r="G7488" t="s">
        <v>32613</v>
      </c>
      <c r="H7488" t="s">
        <v>14201</v>
      </c>
      <c r="I7488" t="s">
        <v>32640</v>
      </c>
      <c r="J7488" t="s">
        <v>37498</v>
      </c>
      <c r="K7488" t="s">
        <v>42648</v>
      </c>
      <c r="M7488" t="s">
        <v>45557</v>
      </c>
      <c r="N7488" t="s">
        <v>47304</v>
      </c>
      <c r="O7488" t="s">
        <v>47305</v>
      </c>
      <c r="P7488">
        <v>0</v>
      </c>
      <c r="Q7488">
        <v>11</v>
      </c>
      <c r="R7488" t="s">
        <v>47311</v>
      </c>
      <c r="S7488" t="s">
        <v>47443</v>
      </c>
      <c r="T7488" t="s">
        <v>48973</v>
      </c>
      <c r="U7488" t="s">
        <v>55801</v>
      </c>
      <c r="W7488" t="s">
        <v>64505</v>
      </c>
      <c r="X7488" t="s">
        <v>47312</v>
      </c>
    </row>
    <row r="7489" spans="1:24">
      <c r="A7489">
        <f>HYPERLINK("https://www.philgeps.gov.ph/GEPSNONPILOT/Tender/SplashBidNoticeAbstractUI.aspx?menuIndex=3&amp;refID=7192719&amp;Result=3","7192719")</f>
        <v>0</v>
      </c>
      <c r="B7489" t="s">
        <v>2221</v>
      </c>
      <c r="C7489" t="s">
        <v>10890</v>
      </c>
      <c r="D7489" t="s">
        <v>19007</v>
      </c>
      <c r="E7489" t="s">
        <v>25611</v>
      </c>
      <c r="F7489" t="s">
        <v>32606</v>
      </c>
      <c r="G7489" t="s">
        <v>32613</v>
      </c>
      <c r="H7489" t="s">
        <v>32623</v>
      </c>
      <c r="I7489" t="s">
        <v>17648</v>
      </c>
      <c r="J7489" t="s">
        <v>37499</v>
      </c>
      <c r="K7489" t="s">
        <v>42651</v>
      </c>
      <c r="L7489" t="s">
        <v>2221</v>
      </c>
      <c r="M7489" t="s">
        <v>45325</v>
      </c>
      <c r="N7489" t="s">
        <v>47304</v>
      </c>
      <c r="O7489" t="s">
        <v>47305</v>
      </c>
      <c r="P7489">
        <v>0</v>
      </c>
      <c r="Q7489">
        <v>3</v>
      </c>
      <c r="R7489" t="s">
        <v>47311</v>
      </c>
      <c r="S7489" t="s">
        <v>47443</v>
      </c>
      <c r="T7489" t="s">
        <v>49037</v>
      </c>
      <c r="U7489" t="s">
        <v>50524</v>
      </c>
      <c r="W7489" t="s">
        <v>45325</v>
      </c>
      <c r="X7489" t="s">
        <v>47312</v>
      </c>
    </row>
    <row r="7490" spans="1:24">
      <c r="A7490">
        <f>HYPERLINK("https://www.philgeps.gov.ph/GEPSNONPILOT/Tender/SplashBidNoticeAbstractUI.aspx?menuIndex=3&amp;refID=7192758&amp;Result=3","7192758")</f>
        <v>0</v>
      </c>
      <c r="B7490" t="s">
        <v>1543</v>
      </c>
      <c r="C7490" t="s">
        <v>10891</v>
      </c>
      <c r="D7490" t="s">
        <v>19013</v>
      </c>
      <c r="E7490" t="s">
        <v>25612</v>
      </c>
      <c r="F7490" t="s">
        <v>32606</v>
      </c>
      <c r="G7490" t="s">
        <v>32613</v>
      </c>
      <c r="H7490" t="s">
        <v>32623</v>
      </c>
      <c r="I7490" t="s">
        <v>17648</v>
      </c>
      <c r="J7490" t="s">
        <v>32795</v>
      </c>
      <c r="K7490" t="s">
        <v>42646</v>
      </c>
      <c r="M7490" t="s">
        <v>44547</v>
      </c>
      <c r="N7490" t="s">
        <v>47304</v>
      </c>
      <c r="O7490" t="s">
        <v>47305</v>
      </c>
      <c r="P7490">
        <v>0</v>
      </c>
      <c r="Q7490">
        <v>2</v>
      </c>
      <c r="R7490" t="s">
        <v>47311</v>
      </c>
      <c r="S7490" t="s">
        <v>47443</v>
      </c>
      <c r="T7490" t="s">
        <v>49037</v>
      </c>
      <c r="U7490" t="s">
        <v>55802</v>
      </c>
      <c r="W7490" t="s">
        <v>44547</v>
      </c>
      <c r="X7490" t="s">
        <v>47312</v>
      </c>
    </row>
    <row r="7491" spans="1:24">
      <c r="A7491">
        <f>HYPERLINK("https://www.philgeps.gov.ph/GEPSNONPILOT/Tender/SplashBidNoticeAbstractUI.aspx?menuIndex=3&amp;refID=7192763&amp;Result=3","7192763")</f>
        <v>0</v>
      </c>
      <c r="B7491" t="s">
        <v>2432</v>
      </c>
      <c r="C7491" t="s">
        <v>10892</v>
      </c>
      <c r="D7491" t="s">
        <v>19006</v>
      </c>
      <c r="E7491" t="s">
        <v>25613</v>
      </c>
      <c r="F7491" t="s">
        <v>32606</v>
      </c>
      <c r="G7491" t="s">
        <v>32613</v>
      </c>
      <c r="H7491" t="s">
        <v>32623</v>
      </c>
      <c r="I7491" t="s">
        <v>17648</v>
      </c>
      <c r="J7491" t="s">
        <v>35831</v>
      </c>
      <c r="K7491" t="s">
        <v>42768</v>
      </c>
      <c r="M7491" t="s">
        <v>45558</v>
      </c>
      <c r="N7491" t="s">
        <v>47304</v>
      </c>
      <c r="O7491" t="s">
        <v>47305</v>
      </c>
      <c r="P7491">
        <v>0</v>
      </c>
      <c r="Q7491">
        <v>5</v>
      </c>
      <c r="R7491" t="s">
        <v>47311</v>
      </c>
      <c r="S7491" t="s">
        <v>47443</v>
      </c>
      <c r="T7491" t="s">
        <v>49234</v>
      </c>
      <c r="U7491" t="s">
        <v>55803</v>
      </c>
      <c r="V7491" t="s">
        <v>63363</v>
      </c>
      <c r="W7491" t="s">
        <v>45558</v>
      </c>
      <c r="X7491" t="s">
        <v>47312</v>
      </c>
    </row>
    <row r="7492" spans="1:24">
      <c r="A7492">
        <f>HYPERLINK("https://www.philgeps.gov.ph/GEPSNONPILOT/Tender/SplashBidNoticeAbstractUI.aspx?menuIndex=3&amp;refID=7192769&amp;Result=3","7192769")</f>
        <v>0</v>
      </c>
      <c r="B7492" t="s">
        <v>2433</v>
      </c>
      <c r="C7492" t="s">
        <v>10893</v>
      </c>
      <c r="D7492" t="s">
        <v>19003</v>
      </c>
      <c r="E7492" t="s">
        <v>25614</v>
      </c>
      <c r="F7492" t="s">
        <v>32606</v>
      </c>
      <c r="G7492" t="s">
        <v>32614</v>
      </c>
      <c r="H7492" t="s">
        <v>14201</v>
      </c>
      <c r="I7492" t="s">
        <v>6298</v>
      </c>
      <c r="J7492" t="s">
        <v>37500</v>
      </c>
      <c r="K7492" t="s">
        <v>42632</v>
      </c>
      <c r="M7492" t="s">
        <v>45559</v>
      </c>
      <c r="N7492" t="s">
        <v>47304</v>
      </c>
      <c r="O7492" t="s">
        <v>47305</v>
      </c>
      <c r="P7492">
        <v>0</v>
      </c>
      <c r="Q7492">
        <v>0</v>
      </c>
      <c r="R7492" t="s">
        <v>47311</v>
      </c>
      <c r="S7492" t="s">
        <v>47443</v>
      </c>
      <c r="T7492" t="s">
        <v>49072</v>
      </c>
      <c r="U7492" t="s">
        <v>55804</v>
      </c>
      <c r="W7492" t="s">
        <v>45559</v>
      </c>
      <c r="X7492" t="s">
        <v>47312</v>
      </c>
    </row>
    <row r="7493" spans="1:24">
      <c r="A7493">
        <f>HYPERLINK("https://www.philgeps.gov.ph/GEPSNONPILOT/Tender/SplashBidNoticeAbstractUI.aspx?menuIndex=3&amp;refID=7192832&amp;Result=3","7192832")</f>
        <v>0</v>
      </c>
      <c r="B7493" t="s">
        <v>2434</v>
      </c>
      <c r="C7493" t="s">
        <v>10894</v>
      </c>
      <c r="D7493" t="s">
        <v>18994</v>
      </c>
      <c r="E7493" t="s">
        <v>25615</v>
      </c>
      <c r="F7493" t="s">
        <v>32606</v>
      </c>
      <c r="G7493" t="s">
        <v>32614</v>
      </c>
      <c r="H7493" t="s">
        <v>14201</v>
      </c>
      <c r="I7493" t="s">
        <v>6298</v>
      </c>
      <c r="J7493" t="s">
        <v>37501</v>
      </c>
      <c r="K7493" t="s">
        <v>42623</v>
      </c>
      <c r="M7493" t="s">
        <v>45560</v>
      </c>
      <c r="N7493" t="s">
        <v>47304</v>
      </c>
      <c r="O7493" t="s">
        <v>47305</v>
      </c>
      <c r="P7493">
        <v>0</v>
      </c>
      <c r="Q7493">
        <v>0</v>
      </c>
      <c r="R7493" t="s">
        <v>47311</v>
      </c>
      <c r="S7493" t="s">
        <v>47443</v>
      </c>
      <c r="T7493" t="s">
        <v>49068</v>
      </c>
      <c r="U7493" t="s">
        <v>55805</v>
      </c>
      <c r="W7493" t="s">
        <v>45560</v>
      </c>
      <c r="X7493" t="s">
        <v>47312</v>
      </c>
    </row>
    <row r="7494" spans="1:24">
      <c r="A7494">
        <f>HYPERLINK("https://www.philgeps.gov.ph/GEPSNONPILOT/Tender/SplashBidNoticeAbstractUI.aspx?menuIndex=3&amp;refID=7192760&amp;Result=3","7192760")</f>
        <v>0</v>
      </c>
      <c r="B7494" t="s">
        <v>2425</v>
      </c>
      <c r="C7494" t="s">
        <v>10895</v>
      </c>
      <c r="E7494" t="s">
        <v>25616</v>
      </c>
      <c r="F7494" t="s">
        <v>32606</v>
      </c>
      <c r="G7494" t="s">
        <v>32614</v>
      </c>
      <c r="H7494" t="s">
        <v>14201</v>
      </c>
      <c r="I7494" t="s">
        <v>32691</v>
      </c>
      <c r="J7494" t="s">
        <v>32781</v>
      </c>
      <c r="K7494" t="s">
        <v>42624</v>
      </c>
      <c r="M7494" t="s">
        <v>45551</v>
      </c>
      <c r="N7494" t="s">
        <v>47304</v>
      </c>
      <c r="O7494" t="s">
        <v>47305</v>
      </c>
      <c r="P7494">
        <v>0</v>
      </c>
      <c r="Q7494">
        <v>4</v>
      </c>
      <c r="R7494" t="s">
        <v>47311</v>
      </c>
      <c r="S7494" t="s">
        <v>47443</v>
      </c>
      <c r="T7494" t="s">
        <v>48997</v>
      </c>
      <c r="U7494" t="s">
        <v>55806</v>
      </c>
      <c r="W7494" t="s">
        <v>45551</v>
      </c>
      <c r="X7494" t="s">
        <v>47312</v>
      </c>
    </row>
    <row r="7495" spans="1:24">
      <c r="A7495">
        <f>HYPERLINK("https://www.philgeps.gov.ph/GEPSNONPILOT/Tender/SplashBidNoticeAbstractUI.aspx?menuIndex=3&amp;refID=7192831&amp;Result=3","7192831")</f>
        <v>0</v>
      </c>
      <c r="B7495" t="s">
        <v>422</v>
      </c>
      <c r="C7495" t="s">
        <v>10896</v>
      </c>
      <c r="D7495" t="s">
        <v>19030</v>
      </c>
      <c r="E7495" t="s">
        <v>25617</v>
      </c>
      <c r="F7495" t="s">
        <v>32606</v>
      </c>
      <c r="G7495" t="s">
        <v>32613</v>
      </c>
      <c r="H7495" t="s">
        <v>32623</v>
      </c>
      <c r="I7495" t="s">
        <v>17648</v>
      </c>
      <c r="J7495" t="s">
        <v>37502</v>
      </c>
      <c r="K7495" t="s">
        <v>42799</v>
      </c>
      <c r="M7495" t="s">
        <v>43326</v>
      </c>
      <c r="N7495" t="s">
        <v>47304</v>
      </c>
      <c r="O7495" t="s">
        <v>47305</v>
      </c>
      <c r="P7495">
        <v>0</v>
      </c>
      <c r="Q7495">
        <v>1</v>
      </c>
      <c r="R7495" t="s">
        <v>47311</v>
      </c>
      <c r="S7495" t="s">
        <v>47443</v>
      </c>
      <c r="T7495" t="s">
        <v>49037</v>
      </c>
      <c r="U7495" t="s">
        <v>55807</v>
      </c>
      <c r="V7495" t="s">
        <v>63356</v>
      </c>
      <c r="W7495" t="s">
        <v>43326</v>
      </c>
      <c r="X7495" t="s">
        <v>47312</v>
      </c>
    </row>
    <row r="7496" spans="1:24">
      <c r="A7496">
        <f>HYPERLINK("https://www.philgeps.gov.ph/GEPSNONPILOT/Tender/SplashBidNoticeAbstractUI.aspx?menuIndex=3&amp;refID=7192814&amp;Result=3","7192814")</f>
        <v>0</v>
      </c>
      <c r="B7496" t="s">
        <v>2366</v>
      </c>
      <c r="C7496" t="s">
        <v>10897</v>
      </c>
      <c r="E7496" t="s">
        <v>25618</v>
      </c>
      <c r="F7496" t="s">
        <v>32606</v>
      </c>
      <c r="G7496" t="s">
        <v>32613</v>
      </c>
      <c r="H7496" t="s">
        <v>32623</v>
      </c>
      <c r="I7496" t="s">
        <v>17648</v>
      </c>
      <c r="J7496" t="s">
        <v>37503</v>
      </c>
      <c r="K7496" t="s">
        <v>42624</v>
      </c>
      <c r="M7496" t="s">
        <v>45480</v>
      </c>
      <c r="N7496" t="s">
        <v>47304</v>
      </c>
      <c r="O7496" t="s">
        <v>47305</v>
      </c>
      <c r="P7496">
        <v>0</v>
      </c>
      <c r="Q7496">
        <v>0</v>
      </c>
      <c r="R7496" t="s">
        <v>47311</v>
      </c>
      <c r="S7496" t="s">
        <v>47443</v>
      </c>
      <c r="T7496" t="s">
        <v>49037</v>
      </c>
      <c r="U7496" t="s">
        <v>55808</v>
      </c>
      <c r="W7496" t="s">
        <v>45480</v>
      </c>
      <c r="X7496" t="s">
        <v>47312</v>
      </c>
    </row>
    <row r="7497" spans="1:24">
      <c r="A7497">
        <f>HYPERLINK("https://www.philgeps.gov.ph/GEPSNONPILOT/Tender/SplashBidNoticeAbstractUI.aspx?menuIndex=3&amp;refID=7192805&amp;Result=3","7192805")</f>
        <v>0</v>
      </c>
      <c r="B7497" t="s">
        <v>2297</v>
      </c>
      <c r="C7497" t="s">
        <v>10898</v>
      </c>
      <c r="D7497" t="s">
        <v>19024</v>
      </c>
      <c r="E7497" t="s">
        <v>25619</v>
      </c>
      <c r="F7497" t="s">
        <v>32606</v>
      </c>
      <c r="G7497" t="s">
        <v>32613</v>
      </c>
      <c r="H7497" t="s">
        <v>32623</v>
      </c>
      <c r="I7497" t="s">
        <v>17648</v>
      </c>
      <c r="J7497" t="s">
        <v>33757</v>
      </c>
      <c r="K7497" t="s">
        <v>42778</v>
      </c>
      <c r="M7497" t="s">
        <v>45540</v>
      </c>
      <c r="N7497" t="s">
        <v>47304</v>
      </c>
      <c r="O7497" t="s">
        <v>47305</v>
      </c>
      <c r="P7497">
        <v>0</v>
      </c>
      <c r="Q7497">
        <v>0</v>
      </c>
      <c r="R7497" t="s">
        <v>47311</v>
      </c>
      <c r="S7497" t="s">
        <v>47443</v>
      </c>
      <c r="T7497" t="s">
        <v>49368</v>
      </c>
      <c r="U7497" t="s">
        <v>55809</v>
      </c>
      <c r="V7497" t="s">
        <v>63312</v>
      </c>
      <c r="W7497" t="s">
        <v>45540</v>
      </c>
      <c r="X7497" t="s">
        <v>47312</v>
      </c>
    </row>
    <row r="7498" spans="1:24">
      <c r="A7498">
        <f>HYPERLINK("https://www.philgeps.gov.ph/GEPSNONPILOT/Tender/SplashBidNoticeAbstractUI.aspx?menuIndex=3&amp;refID=7192813&amp;Result=3","7192813")</f>
        <v>0</v>
      </c>
      <c r="B7498" t="s">
        <v>2297</v>
      </c>
      <c r="C7498" t="s">
        <v>10899</v>
      </c>
      <c r="D7498" t="s">
        <v>19024</v>
      </c>
      <c r="E7498" t="s">
        <v>25620</v>
      </c>
      <c r="F7498" t="s">
        <v>32606</v>
      </c>
      <c r="G7498" t="s">
        <v>32613</v>
      </c>
      <c r="H7498" t="s">
        <v>32623</v>
      </c>
      <c r="I7498" t="s">
        <v>17648</v>
      </c>
      <c r="J7498" t="s">
        <v>37504</v>
      </c>
      <c r="K7498" t="s">
        <v>42800</v>
      </c>
      <c r="M7498" t="s">
        <v>45540</v>
      </c>
      <c r="N7498" t="s">
        <v>47304</v>
      </c>
      <c r="O7498" t="s">
        <v>47305</v>
      </c>
      <c r="P7498">
        <v>0</v>
      </c>
      <c r="Q7498">
        <v>0</v>
      </c>
      <c r="R7498" t="s">
        <v>47311</v>
      </c>
      <c r="S7498" t="s">
        <v>47443</v>
      </c>
      <c r="T7498" t="s">
        <v>49368</v>
      </c>
      <c r="U7498" t="s">
        <v>55810</v>
      </c>
      <c r="V7498" t="s">
        <v>63312</v>
      </c>
      <c r="W7498" t="s">
        <v>45540</v>
      </c>
      <c r="X7498" t="s">
        <v>47312</v>
      </c>
    </row>
    <row r="7499" spans="1:24">
      <c r="A7499">
        <f>HYPERLINK("https://www.philgeps.gov.ph/GEPSNONPILOT/Tender/SplashBidNoticeAbstractUI.aspx?menuIndex=3&amp;refID=7192807&amp;Result=3","7192807")</f>
        <v>0</v>
      </c>
      <c r="B7499" t="s">
        <v>1500</v>
      </c>
      <c r="C7499" t="s">
        <v>10900</v>
      </c>
      <c r="D7499" t="s">
        <v>19036</v>
      </c>
      <c r="E7499" t="s">
        <v>10900</v>
      </c>
      <c r="F7499" t="s">
        <v>32606</v>
      </c>
      <c r="G7499" t="s">
        <v>32619</v>
      </c>
      <c r="H7499" t="s">
        <v>14201</v>
      </c>
      <c r="I7499" t="s">
        <v>4678</v>
      </c>
      <c r="J7499" t="s">
        <v>37505</v>
      </c>
      <c r="K7499" t="s">
        <v>42631</v>
      </c>
      <c r="M7499" t="s">
        <v>45561</v>
      </c>
      <c r="N7499" t="s">
        <v>47304</v>
      </c>
      <c r="O7499" t="s">
        <v>47305</v>
      </c>
      <c r="P7499">
        <v>0</v>
      </c>
      <c r="Q7499">
        <v>0</v>
      </c>
      <c r="R7499" t="s">
        <v>47311</v>
      </c>
      <c r="S7499" t="s">
        <v>47443</v>
      </c>
      <c r="T7499" t="s">
        <v>49072</v>
      </c>
      <c r="U7499" t="s">
        <v>55811</v>
      </c>
      <c r="W7499" t="s">
        <v>45561</v>
      </c>
      <c r="X7499" t="s">
        <v>47312</v>
      </c>
    </row>
    <row r="7500" spans="1:24">
      <c r="A7500">
        <f>HYPERLINK("https://www.philgeps.gov.ph/GEPSNONPILOT/Tender/SplashBidNoticeAbstractUI.aspx?menuIndex=3&amp;refID=7192804&amp;Result=3","7192804")</f>
        <v>0</v>
      </c>
      <c r="B7500" t="s">
        <v>1760</v>
      </c>
      <c r="C7500" t="s">
        <v>10901</v>
      </c>
      <c r="D7500" t="s">
        <v>19024</v>
      </c>
      <c r="E7500" t="s">
        <v>25621</v>
      </c>
      <c r="F7500" t="s">
        <v>32606</v>
      </c>
      <c r="G7500" t="s">
        <v>32613</v>
      </c>
      <c r="H7500" t="s">
        <v>14201</v>
      </c>
      <c r="I7500" t="s">
        <v>6298</v>
      </c>
      <c r="J7500" t="s">
        <v>32772</v>
      </c>
      <c r="K7500" t="s">
        <v>42638</v>
      </c>
      <c r="M7500" t="s">
        <v>44797</v>
      </c>
      <c r="N7500" t="s">
        <v>47304</v>
      </c>
      <c r="O7500" t="s">
        <v>47305</v>
      </c>
      <c r="P7500">
        <v>0</v>
      </c>
      <c r="Q7500">
        <v>5</v>
      </c>
      <c r="R7500" t="s">
        <v>47311</v>
      </c>
      <c r="S7500" t="s">
        <v>47443</v>
      </c>
      <c r="T7500" t="s">
        <v>49367</v>
      </c>
      <c r="U7500" t="s">
        <v>55812</v>
      </c>
      <c r="W7500" t="s">
        <v>44797</v>
      </c>
      <c r="X7500" t="s">
        <v>47312</v>
      </c>
    </row>
    <row r="7501" spans="1:24">
      <c r="A7501">
        <f>HYPERLINK("https://www.philgeps.gov.ph/GEPSNONPILOT/Tender/SplashBidNoticeAbstractUI.aspx?menuIndex=3&amp;refID=7192803&amp;Result=3","7192803")</f>
        <v>0</v>
      </c>
      <c r="B7501" t="s">
        <v>2435</v>
      </c>
      <c r="C7501" t="s">
        <v>10902</v>
      </c>
      <c r="D7501" t="s">
        <v>19037</v>
      </c>
      <c r="E7501" t="s">
        <v>25622</v>
      </c>
      <c r="F7501" t="s">
        <v>32606</v>
      </c>
      <c r="G7501" t="s">
        <v>32613</v>
      </c>
      <c r="H7501" t="s">
        <v>14201</v>
      </c>
      <c r="I7501" t="s">
        <v>4369</v>
      </c>
      <c r="J7501" t="s">
        <v>37506</v>
      </c>
      <c r="K7501" t="s">
        <v>42624</v>
      </c>
      <c r="M7501" t="s">
        <v>45562</v>
      </c>
      <c r="N7501" t="s">
        <v>47304</v>
      </c>
      <c r="O7501" t="s">
        <v>47305</v>
      </c>
      <c r="P7501">
        <v>0</v>
      </c>
      <c r="Q7501">
        <v>1</v>
      </c>
      <c r="R7501" t="s">
        <v>47311</v>
      </c>
      <c r="S7501" t="s">
        <v>47443</v>
      </c>
      <c r="T7501" t="s">
        <v>49014</v>
      </c>
      <c r="U7501" t="s">
        <v>55813</v>
      </c>
      <c r="W7501" t="s">
        <v>45562</v>
      </c>
      <c r="X7501" t="s">
        <v>47312</v>
      </c>
    </row>
    <row r="7502" spans="1:24">
      <c r="A7502">
        <f>HYPERLINK("https://www.philgeps.gov.ph/GEPSNONPILOT/Tender/SplashBidNoticeAbstractUI.aspx?menuIndex=3&amp;refID=7192802&amp;Result=3","7192802")</f>
        <v>0</v>
      </c>
      <c r="B7502" t="s">
        <v>1500</v>
      </c>
      <c r="C7502" t="s">
        <v>10903</v>
      </c>
      <c r="D7502" t="s">
        <v>19036</v>
      </c>
      <c r="E7502" t="s">
        <v>10903</v>
      </c>
      <c r="F7502" t="s">
        <v>32606</v>
      </c>
      <c r="G7502" t="s">
        <v>32619</v>
      </c>
      <c r="H7502" t="s">
        <v>14201</v>
      </c>
      <c r="I7502" t="s">
        <v>4678</v>
      </c>
      <c r="J7502" t="s">
        <v>33067</v>
      </c>
      <c r="K7502" t="s">
        <v>42631</v>
      </c>
      <c r="M7502" t="s">
        <v>45561</v>
      </c>
      <c r="N7502" t="s">
        <v>47304</v>
      </c>
      <c r="O7502" t="s">
        <v>47305</v>
      </c>
      <c r="P7502">
        <v>0</v>
      </c>
      <c r="Q7502">
        <v>1</v>
      </c>
      <c r="R7502" t="s">
        <v>47311</v>
      </c>
      <c r="S7502" t="s">
        <v>47443</v>
      </c>
      <c r="T7502" t="s">
        <v>49256</v>
      </c>
      <c r="U7502" t="s">
        <v>55814</v>
      </c>
      <c r="W7502" t="s">
        <v>45561</v>
      </c>
      <c r="X7502" t="s">
        <v>47312</v>
      </c>
    </row>
    <row r="7503" spans="1:24">
      <c r="A7503">
        <f>HYPERLINK("https://www.philgeps.gov.ph/GEPSNONPILOT/Tender/SplashBidNoticeAbstractUI.aspx?menuIndex=3&amp;refID=7192798&amp;Result=3","7192798")</f>
        <v>0</v>
      </c>
      <c r="B7503" t="s">
        <v>278</v>
      </c>
      <c r="C7503" t="s">
        <v>10904</v>
      </c>
      <c r="D7503" t="s">
        <v>18993</v>
      </c>
      <c r="E7503" t="s">
        <v>25623</v>
      </c>
      <c r="F7503" t="s">
        <v>32606</v>
      </c>
      <c r="G7503" t="s">
        <v>32614</v>
      </c>
      <c r="H7503" t="s">
        <v>14201</v>
      </c>
      <c r="I7503" t="s">
        <v>6993</v>
      </c>
      <c r="J7503" t="s">
        <v>37260</v>
      </c>
      <c r="K7503" t="s">
        <v>42631</v>
      </c>
      <c r="M7503" t="s">
        <v>43179</v>
      </c>
      <c r="N7503" t="s">
        <v>47304</v>
      </c>
      <c r="O7503" t="s">
        <v>47305</v>
      </c>
      <c r="P7503">
        <v>0</v>
      </c>
      <c r="Q7503">
        <v>1</v>
      </c>
      <c r="R7503" t="s">
        <v>47311</v>
      </c>
      <c r="S7503" t="s">
        <v>47443</v>
      </c>
      <c r="T7503" t="s">
        <v>49071</v>
      </c>
      <c r="U7503" t="s">
        <v>55815</v>
      </c>
      <c r="W7503" t="s">
        <v>43179</v>
      </c>
      <c r="X7503" t="s">
        <v>47312</v>
      </c>
    </row>
    <row r="7504" spans="1:24">
      <c r="A7504">
        <f>HYPERLINK("https://www.philgeps.gov.ph/GEPSNONPILOT/Tender/SplashBidNoticeAbstractUI.aspx?menuIndex=3&amp;refID=7192790&amp;Result=3","7192790")</f>
        <v>0</v>
      </c>
      <c r="B7504" t="s">
        <v>2297</v>
      </c>
      <c r="C7504" t="s">
        <v>10905</v>
      </c>
      <c r="D7504" t="s">
        <v>19024</v>
      </c>
      <c r="E7504" t="s">
        <v>25624</v>
      </c>
      <c r="F7504" t="s">
        <v>32606</v>
      </c>
      <c r="G7504" t="s">
        <v>32613</v>
      </c>
      <c r="H7504" t="s">
        <v>32623</v>
      </c>
      <c r="I7504" t="s">
        <v>17648</v>
      </c>
      <c r="J7504" t="s">
        <v>37507</v>
      </c>
      <c r="K7504" t="s">
        <v>42719</v>
      </c>
      <c r="M7504" t="s">
        <v>45540</v>
      </c>
      <c r="N7504" t="s">
        <v>47304</v>
      </c>
      <c r="O7504" t="s">
        <v>47305</v>
      </c>
      <c r="P7504">
        <v>0</v>
      </c>
      <c r="Q7504">
        <v>1</v>
      </c>
      <c r="R7504" t="s">
        <v>47311</v>
      </c>
      <c r="S7504" t="s">
        <v>47443</v>
      </c>
      <c r="T7504" t="s">
        <v>49368</v>
      </c>
      <c r="U7504" t="s">
        <v>55816</v>
      </c>
      <c r="V7504" t="s">
        <v>63312</v>
      </c>
      <c r="W7504" t="s">
        <v>45540</v>
      </c>
      <c r="X7504" t="s">
        <v>47312</v>
      </c>
    </row>
    <row r="7505" spans="1:24">
      <c r="A7505">
        <f>HYPERLINK("https://www.philgeps.gov.ph/GEPSNONPILOT/Tender/SplashBidNoticeAbstractUI.aspx?menuIndex=3&amp;refID=7192783&amp;Result=3","7192783")</f>
        <v>0</v>
      </c>
      <c r="B7505" t="s">
        <v>1543</v>
      </c>
      <c r="C7505" t="s">
        <v>10906</v>
      </c>
      <c r="D7505" t="s">
        <v>19013</v>
      </c>
      <c r="E7505" t="s">
        <v>25625</v>
      </c>
      <c r="F7505" t="s">
        <v>32606</v>
      </c>
      <c r="G7505" t="s">
        <v>32613</v>
      </c>
      <c r="H7505" t="s">
        <v>32623</v>
      </c>
      <c r="I7505" t="s">
        <v>17648</v>
      </c>
      <c r="J7505" t="s">
        <v>32795</v>
      </c>
      <c r="K7505" t="s">
        <v>42646</v>
      </c>
      <c r="M7505" t="s">
        <v>44547</v>
      </c>
      <c r="N7505" t="s">
        <v>47304</v>
      </c>
      <c r="O7505" t="s">
        <v>47305</v>
      </c>
      <c r="P7505">
        <v>0</v>
      </c>
      <c r="Q7505">
        <v>1</v>
      </c>
      <c r="R7505" t="s">
        <v>47311</v>
      </c>
      <c r="S7505" t="s">
        <v>47443</v>
      </c>
      <c r="T7505" t="s">
        <v>49037</v>
      </c>
      <c r="U7505" t="s">
        <v>55817</v>
      </c>
      <c r="W7505" t="s">
        <v>44547</v>
      </c>
      <c r="X7505" t="s">
        <v>47312</v>
      </c>
    </row>
    <row r="7506" spans="1:24">
      <c r="A7506">
        <f>HYPERLINK("https://www.philgeps.gov.ph/GEPSNONPILOT/Tender/SplashBidNoticeAbstractUI.aspx?menuIndex=3&amp;refID=7192761&amp;Result=3","7192761")</f>
        <v>0</v>
      </c>
      <c r="B7506" t="s">
        <v>2436</v>
      </c>
      <c r="C7506" t="s">
        <v>10907</v>
      </c>
      <c r="D7506" t="s">
        <v>18993</v>
      </c>
      <c r="E7506" t="s">
        <v>25626</v>
      </c>
      <c r="F7506" t="s">
        <v>32606</v>
      </c>
      <c r="G7506" t="s">
        <v>32613</v>
      </c>
      <c r="H7506" t="s">
        <v>14201</v>
      </c>
      <c r="I7506" t="s">
        <v>4369</v>
      </c>
      <c r="J7506" t="s">
        <v>37508</v>
      </c>
      <c r="K7506" t="s">
        <v>42622</v>
      </c>
      <c r="M7506" t="s">
        <v>45563</v>
      </c>
      <c r="N7506" t="s">
        <v>47304</v>
      </c>
      <c r="O7506" t="s">
        <v>47305</v>
      </c>
      <c r="P7506">
        <v>0</v>
      </c>
      <c r="Q7506">
        <v>11</v>
      </c>
      <c r="R7506" t="s">
        <v>47311</v>
      </c>
      <c r="S7506" t="s">
        <v>47443</v>
      </c>
      <c r="T7506" t="s">
        <v>49157</v>
      </c>
      <c r="U7506" t="s">
        <v>55818</v>
      </c>
      <c r="W7506" t="s">
        <v>45563</v>
      </c>
      <c r="X7506" t="s">
        <v>47312</v>
      </c>
    </row>
    <row r="7507" spans="1:24">
      <c r="A7507">
        <f>HYPERLINK("https://www.philgeps.gov.ph/GEPSNONPILOT/Tender/SplashBidNoticeAbstractUI.aspx?menuIndex=3&amp;refID=7192877&amp;Result=3","7192877")</f>
        <v>0</v>
      </c>
      <c r="B7507" t="s">
        <v>2437</v>
      </c>
      <c r="C7507" t="s">
        <v>10908</v>
      </c>
      <c r="D7507" t="s">
        <v>19037</v>
      </c>
      <c r="E7507" t="s">
        <v>25627</v>
      </c>
      <c r="F7507" t="s">
        <v>32606</v>
      </c>
      <c r="G7507" t="s">
        <v>32614</v>
      </c>
      <c r="H7507" t="s">
        <v>14201</v>
      </c>
      <c r="I7507" t="s">
        <v>32655</v>
      </c>
      <c r="J7507" t="s">
        <v>33291</v>
      </c>
      <c r="K7507" t="s">
        <v>42624</v>
      </c>
      <c r="M7507" t="s">
        <v>45564</v>
      </c>
      <c r="N7507" t="s">
        <v>47304</v>
      </c>
      <c r="O7507" t="s">
        <v>47305</v>
      </c>
      <c r="P7507">
        <v>0</v>
      </c>
      <c r="Q7507">
        <v>4</v>
      </c>
      <c r="R7507" t="s">
        <v>47311</v>
      </c>
      <c r="S7507" t="s">
        <v>47443</v>
      </c>
      <c r="T7507" t="s">
        <v>49269</v>
      </c>
      <c r="U7507" t="s">
        <v>55819</v>
      </c>
      <c r="W7507" t="s">
        <v>45564</v>
      </c>
      <c r="X7507" t="s">
        <v>47312</v>
      </c>
    </row>
    <row r="7508" spans="1:24">
      <c r="A7508">
        <f>HYPERLINK("https://www.philgeps.gov.ph/GEPSNONPILOT/Tender/SplashBidNoticeAbstractUI.aspx?menuIndex=3&amp;refID=7192876&amp;Result=3","7192876")</f>
        <v>0</v>
      </c>
      <c r="B7508" t="s">
        <v>1172</v>
      </c>
      <c r="C7508" t="s">
        <v>10909</v>
      </c>
      <c r="D7508" t="s">
        <v>19002</v>
      </c>
      <c r="E7508" t="s">
        <v>25628</v>
      </c>
      <c r="F7508" t="s">
        <v>32606</v>
      </c>
      <c r="G7508" t="s">
        <v>32614</v>
      </c>
      <c r="H7508" t="s">
        <v>14201</v>
      </c>
      <c r="I7508" t="s">
        <v>6298</v>
      </c>
      <c r="J7508" t="s">
        <v>37509</v>
      </c>
      <c r="K7508" t="s">
        <v>42630</v>
      </c>
      <c r="M7508" t="s">
        <v>44135</v>
      </c>
      <c r="N7508" t="s">
        <v>47304</v>
      </c>
      <c r="O7508" t="s">
        <v>47305</v>
      </c>
      <c r="P7508">
        <v>0</v>
      </c>
      <c r="Q7508">
        <v>0</v>
      </c>
      <c r="R7508" t="s">
        <v>47311</v>
      </c>
      <c r="S7508" t="s">
        <v>47443</v>
      </c>
      <c r="T7508" t="s">
        <v>49053</v>
      </c>
      <c r="U7508" t="s">
        <v>51932</v>
      </c>
      <c r="W7508" t="s">
        <v>44135</v>
      </c>
      <c r="X7508" t="s">
        <v>47312</v>
      </c>
    </row>
    <row r="7509" spans="1:24">
      <c r="A7509">
        <f>HYPERLINK("https://www.philgeps.gov.ph/GEPSNONPILOT/Tender/SplashBidNoticeAbstractUI.aspx?menuIndex=3&amp;refID=7192824&amp;Result=3","7192824")</f>
        <v>0</v>
      </c>
      <c r="B7509" t="s">
        <v>2438</v>
      </c>
      <c r="C7509" t="s">
        <v>10910</v>
      </c>
      <c r="E7509" t="s">
        <v>25629</v>
      </c>
      <c r="F7509" t="s">
        <v>32606</v>
      </c>
      <c r="G7509" t="s">
        <v>32613</v>
      </c>
      <c r="H7509" t="s">
        <v>32623</v>
      </c>
      <c r="I7509" t="s">
        <v>17648</v>
      </c>
      <c r="J7509" t="s">
        <v>37510</v>
      </c>
      <c r="K7509" t="s">
        <v>42712</v>
      </c>
      <c r="M7509" t="s">
        <v>45565</v>
      </c>
      <c r="N7509" t="s">
        <v>47304</v>
      </c>
      <c r="O7509" t="s">
        <v>47305</v>
      </c>
      <c r="P7509">
        <v>0</v>
      </c>
      <c r="Q7509">
        <v>1</v>
      </c>
      <c r="R7509" t="s">
        <v>47311</v>
      </c>
      <c r="S7509" t="s">
        <v>47443</v>
      </c>
      <c r="T7509" t="s">
        <v>49111</v>
      </c>
      <c r="U7509" t="s">
        <v>55820</v>
      </c>
      <c r="W7509" t="s">
        <v>45565</v>
      </c>
      <c r="X7509" t="s">
        <v>47312</v>
      </c>
    </row>
    <row r="7510" spans="1:24">
      <c r="A7510">
        <f>HYPERLINK("https://www.philgeps.gov.ph/GEPSNONPILOT/Tender/SplashBidNoticeAbstractUI.aspx?menuIndex=3&amp;refID=7192875&amp;Result=3","7192875")</f>
        <v>0</v>
      </c>
      <c r="B7510" t="s">
        <v>1036</v>
      </c>
      <c r="C7510" t="s">
        <v>10911</v>
      </c>
      <c r="D7510" t="s">
        <v>19076</v>
      </c>
      <c r="E7510" t="s">
        <v>25630</v>
      </c>
      <c r="F7510" t="s">
        <v>32606</v>
      </c>
      <c r="G7510" t="s">
        <v>32613</v>
      </c>
      <c r="H7510" t="s">
        <v>14201</v>
      </c>
      <c r="I7510" t="s">
        <v>32635</v>
      </c>
      <c r="J7510" t="s">
        <v>37511</v>
      </c>
      <c r="K7510" t="s">
        <v>42636</v>
      </c>
      <c r="M7510" t="s">
        <v>44615</v>
      </c>
      <c r="N7510" t="s">
        <v>47304</v>
      </c>
      <c r="O7510" t="s">
        <v>47305</v>
      </c>
      <c r="P7510">
        <v>0</v>
      </c>
      <c r="Q7510">
        <v>2</v>
      </c>
      <c r="R7510" t="s">
        <v>47311</v>
      </c>
      <c r="S7510" t="s">
        <v>47443</v>
      </c>
      <c r="T7510" t="s">
        <v>49048</v>
      </c>
      <c r="U7510" t="s">
        <v>55821</v>
      </c>
      <c r="W7510" t="s">
        <v>44615</v>
      </c>
      <c r="X7510" t="s">
        <v>47312</v>
      </c>
    </row>
    <row r="7511" spans="1:24">
      <c r="A7511">
        <f>HYPERLINK("https://www.philgeps.gov.ph/GEPSNONPILOT/Tender/SplashBidNoticeAbstractUI.aspx?menuIndex=3&amp;refID=7192869&amp;Result=3","7192869")</f>
        <v>0</v>
      </c>
      <c r="B7511" t="s">
        <v>1040</v>
      </c>
      <c r="C7511" t="s">
        <v>10912</v>
      </c>
      <c r="D7511" t="s">
        <v>18988</v>
      </c>
      <c r="E7511" t="s">
        <v>25631</v>
      </c>
      <c r="F7511" t="s">
        <v>32606</v>
      </c>
      <c r="G7511" t="s">
        <v>32614</v>
      </c>
      <c r="H7511" t="s">
        <v>32624</v>
      </c>
      <c r="I7511" t="s">
        <v>32652</v>
      </c>
      <c r="J7511" t="s">
        <v>37512</v>
      </c>
      <c r="K7511" t="s">
        <v>42714</v>
      </c>
      <c r="M7511" t="s">
        <v>43993</v>
      </c>
      <c r="N7511" t="s">
        <v>47304</v>
      </c>
      <c r="O7511" t="s">
        <v>47305</v>
      </c>
      <c r="P7511">
        <v>0</v>
      </c>
      <c r="Q7511">
        <v>0</v>
      </c>
      <c r="R7511" t="s">
        <v>47311</v>
      </c>
      <c r="S7511" t="s">
        <v>47443</v>
      </c>
      <c r="T7511" t="s">
        <v>49269</v>
      </c>
      <c r="U7511" t="s">
        <v>55822</v>
      </c>
      <c r="W7511" t="s">
        <v>45575</v>
      </c>
      <c r="X7511" t="s">
        <v>47312</v>
      </c>
    </row>
    <row r="7512" spans="1:24">
      <c r="A7512">
        <f>HYPERLINK("https://www.philgeps.gov.ph/GEPSNONPILOT/Tender/SplashBidNoticeAbstractUI.aspx?menuIndex=3&amp;refID=7192868&amp;Result=3","7192868")</f>
        <v>0</v>
      </c>
      <c r="B7512" t="s">
        <v>2439</v>
      </c>
      <c r="C7512" t="s">
        <v>10913</v>
      </c>
      <c r="D7512" t="s">
        <v>18993</v>
      </c>
      <c r="E7512" t="s">
        <v>20240</v>
      </c>
      <c r="F7512" t="s">
        <v>32606</v>
      </c>
      <c r="G7512" t="s">
        <v>32613</v>
      </c>
      <c r="H7512" t="s">
        <v>14201</v>
      </c>
      <c r="I7512" t="s">
        <v>32640</v>
      </c>
      <c r="J7512" t="s">
        <v>37513</v>
      </c>
      <c r="K7512" t="s">
        <v>42624</v>
      </c>
      <c r="M7512" t="s">
        <v>45566</v>
      </c>
      <c r="N7512" t="s">
        <v>47304</v>
      </c>
      <c r="O7512" t="s">
        <v>47305</v>
      </c>
      <c r="P7512">
        <v>0</v>
      </c>
      <c r="Q7512">
        <v>11</v>
      </c>
      <c r="R7512" t="s">
        <v>47311</v>
      </c>
      <c r="S7512" t="s">
        <v>47443</v>
      </c>
      <c r="T7512" t="s">
        <v>49004</v>
      </c>
      <c r="U7512" t="s">
        <v>55823</v>
      </c>
      <c r="W7512" t="s">
        <v>45566</v>
      </c>
      <c r="X7512" t="s">
        <v>47312</v>
      </c>
    </row>
    <row r="7513" spans="1:24">
      <c r="A7513">
        <f>HYPERLINK("https://www.philgeps.gov.ph/GEPSNONPILOT/Tender/SplashBidNoticeAbstractUI.aspx?menuIndex=3&amp;refID=7192865&amp;Result=3","7192865")</f>
        <v>0</v>
      </c>
      <c r="B7513" t="s">
        <v>2437</v>
      </c>
      <c r="C7513" t="s">
        <v>10914</v>
      </c>
      <c r="D7513" t="s">
        <v>19037</v>
      </c>
      <c r="E7513" t="s">
        <v>23412</v>
      </c>
      <c r="F7513" t="s">
        <v>32606</v>
      </c>
      <c r="G7513" t="s">
        <v>32614</v>
      </c>
      <c r="H7513" t="s">
        <v>14201</v>
      </c>
      <c r="I7513" t="s">
        <v>32656</v>
      </c>
      <c r="J7513" t="s">
        <v>32781</v>
      </c>
      <c r="K7513" t="s">
        <v>42624</v>
      </c>
      <c r="M7513" t="s">
        <v>45564</v>
      </c>
      <c r="N7513" t="s">
        <v>47304</v>
      </c>
      <c r="O7513" t="s">
        <v>47305</v>
      </c>
      <c r="P7513">
        <v>0</v>
      </c>
      <c r="Q7513">
        <v>4</v>
      </c>
      <c r="R7513" t="s">
        <v>47311</v>
      </c>
      <c r="S7513" t="s">
        <v>47443</v>
      </c>
      <c r="T7513" t="s">
        <v>49269</v>
      </c>
      <c r="U7513" t="s">
        <v>55819</v>
      </c>
      <c r="W7513" t="s">
        <v>45564</v>
      </c>
      <c r="X7513" t="s">
        <v>47312</v>
      </c>
    </row>
    <row r="7514" spans="1:24">
      <c r="A7514">
        <f>HYPERLINK("https://www.philgeps.gov.ph/GEPSNONPILOT/Tender/SplashBidNoticeAbstractUI.aspx?menuIndex=3&amp;refID=7192883&amp;Result=3","7192883")</f>
        <v>0</v>
      </c>
      <c r="B7514" t="s">
        <v>1543</v>
      </c>
      <c r="C7514" t="s">
        <v>10915</v>
      </c>
      <c r="D7514" t="s">
        <v>19013</v>
      </c>
      <c r="E7514" t="s">
        <v>25632</v>
      </c>
      <c r="F7514" t="s">
        <v>32606</v>
      </c>
      <c r="G7514" t="s">
        <v>32613</v>
      </c>
      <c r="H7514" t="s">
        <v>32623</v>
      </c>
      <c r="I7514" t="s">
        <v>17648</v>
      </c>
      <c r="J7514" t="s">
        <v>32767</v>
      </c>
      <c r="K7514" t="s">
        <v>42646</v>
      </c>
      <c r="M7514" t="s">
        <v>44547</v>
      </c>
      <c r="N7514" t="s">
        <v>47304</v>
      </c>
      <c r="O7514" t="s">
        <v>47305</v>
      </c>
      <c r="P7514">
        <v>0</v>
      </c>
      <c r="Q7514">
        <v>1</v>
      </c>
      <c r="R7514" t="s">
        <v>47311</v>
      </c>
      <c r="S7514" t="s">
        <v>47443</v>
      </c>
      <c r="T7514" t="s">
        <v>49037</v>
      </c>
      <c r="U7514" t="s">
        <v>55824</v>
      </c>
      <c r="W7514" t="s">
        <v>44547</v>
      </c>
      <c r="X7514" t="s">
        <v>47312</v>
      </c>
    </row>
    <row r="7515" spans="1:24">
      <c r="A7515">
        <f>HYPERLINK("https://www.philgeps.gov.ph/GEPSNONPILOT/Tender/SplashBidNoticeAbstractUI.aspx?menuIndex=3&amp;refID=7192862&amp;Result=3","7192862")</f>
        <v>0</v>
      </c>
      <c r="B7515" t="s">
        <v>2439</v>
      </c>
      <c r="C7515" t="s">
        <v>10916</v>
      </c>
      <c r="D7515" t="s">
        <v>18993</v>
      </c>
      <c r="E7515" t="s">
        <v>20176</v>
      </c>
      <c r="F7515" t="s">
        <v>32606</v>
      </c>
      <c r="G7515" t="s">
        <v>32613</v>
      </c>
      <c r="H7515" t="s">
        <v>14201</v>
      </c>
      <c r="I7515" t="s">
        <v>17648</v>
      </c>
      <c r="J7515" t="s">
        <v>37514</v>
      </c>
      <c r="K7515" t="s">
        <v>42624</v>
      </c>
      <c r="M7515" t="s">
        <v>45566</v>
      </c>
      <c r="N7515" t="s">
        <v>47304</v>
      </c>
      <c r="O7515" t="s">
        <v>47305</v>
      </c>
      <c r="P7515">
        <v>0</v>
      </c>
      <c r="Q7515">
        <v>3</v>
      </c>
      <c r="R7515" t="s">
        <v>47311</v>
      </c>
      <c r="S7515" t="s">
        <v>47443</v>
      </c>
      <c r="T7515" t="s">
        <v>49157</v>
      </c>
      <c r="U7515" t="s">
        <v>55825</v>
      </c>
      <c r="W7515" t="s">
        <v>45566</v>
      </c>
      <c r="X7515" t="s">
        <v>47312</v>
      </c>
    </row>
    <row r="7516" spans="1:24">
      <c r="A7516">
        <f>HYPERLINK("https://www.philgeps.gov.ph/GEPSNONPILOT/Tender/SplashBidNoticeAbstractUI.aspx?menuIndex=3&amp;refID=7192856&amp;Result=3","7192856")</f>
        <v>0</v>
      </c>
      <c r="B7516" t="s">
        <v>2439</v>
      </c>
      <c r="C7516" t="s">
        <v>10917</v>
      </c>
      <c r="D7516" t="s">
        <v>18993</v>
      </c>
      <c r="E7516" t="s">
        <v>23179</v>
      </c>
      <c r="F7516" t="s">
        <v>32606</v>
      </c>
      <c r="G7516" t="s">
        <v>32613</v>
      </c>
      <c r="H7516" t="s">
        <v>14201</v>
      </c>
      <c r="I7516" t="s">
        <v>17648</v>
      </c>
      <c r="J7516" t="s">
        <v>37515</v>
      </c>
      <c r="K7516" t="s">
        <v>42624</v>
      </c>
      <c r="M7516" t="s">
        <v>45566</v>
      </c>
      <c r="N7516" t="s">
        <v>47304</v>
      </c>
      <c r="O7516" t="s">
        <v>47305</v>
      </c>
      <c r="P7516">
        <v>0</v>
      </c>
      <c r="Q7516">
        <v>3</v>
      </c>
      <c r="R7516" t="s">
        <v>47311</v>
      </c>
      <c r="S7516" t="s">
        <v>47443</v>
      </c>
      <c r="T7516" t="s">
        <v>49157</v>
      </c>
      <c r="U7516" t="s">
        <v>55826</v>
      </c>
      <c r="W7516" t="s">
        <v>45566</v>
      </c>
      <c r="X7516" t="s">
        <v>47312</v>
      </c>
    </row>
    <row r="7517" spans="1:24">
      <c r="A7517">
        <f>HYPERLINK("https://www.philgeps.gov.ph/GEPSNONPILOT/Tender/SplashBidNoticeAbstractUI.aspx?menuIndex=3&amp;refID=7192855&amp;Result=3","7192855")</f>
        <v>0</v>
      </c>
      <c r="B7517" t="s">
        <v>2437</v>
      </c>
      <c r="C7517" t="s">
        <v>10918</v>
      </c>
      <c r="D7517" t="s">
        <v>19037</v>
      </c>
      <c r="E7517" t="s">
        <v>23417</v>
      </c>
      <c r="F7517" t="s">
        <v>32606</v>
      </c>
      <c r="G7517" t="s">
        <v>32614</v>
      </c>
      <c r="H7517" t="s">
        <v>14201</v>
      </c>
      <c r="I7517" t="s">
        <v>4120</v>
      </c>
      <c r="J7517" t="s">
        <v>37516</v>
      </c>
      <c r="K7517" t="s">
        <v>42624</v>
      </c>
      <c r="M7517" t="s">
        <v>45564</v>
      </c>
      <c r="N7517" t="s">
        <v>47304</v>
      </c>
      <c r="O7517" t="s">
        <v>47305</v>
      </c>
      <c r="P7517">
        <v>0</v>
      </c>
      <c r="Q7517">
        <v>1</v>
      </c>
      <c r="R7517" t="s">
        <v>47311</v>
      </c>
      <c r="S7517" t="s">
        <v>47443</v>
      </c>
      <c r="T7517" t="s">
        <v>49269</v>
      </c>
      <c r="U7517" t="s">
        <v>55819</v>
      </c>
      <c r="W7517" t="s">
        <v>45564</v>
      </c>
      <c r="X7517" t="s">
        <v>47312</v>
      </c>
    </row>
    <row r="7518" spans="1:24">
      <c r="A7518">
        <f>HYPERLINK("https://www.philgeps.gov.ph/GEPSNONPILOT/Tender/SplashBidNoticeAbstractUI.aspx?menuIndex=3&amp;refID=7192884&amp;Result=3","7192884")</f>
        <v>0</v>
      </c>
      <c r="B7518" t="s">
        <v>2297</v>
      </c>
      <c r="C7518" t="s">
        <v>10919</v>
      </c>
      <c r="D7518" t="s">
        <v>19024</v>
      </c>
      <c r="E7518" t="s">
        <v>25633</v>
      </c>
      <c r="F7518" t="s">
        <v>32606</v>
      </c>
      <c r="G7518" t="s">
        <v>32613</v>
      </c>
      <c r="H7518" t="s">
        <v>32623</v>
      </c>
      <c r="I7518" t="s">
        <v>17648</v>
      </c>
      <c r="J7518" t="s">
        <v>33071</v>
      </c>
      <c r="K7518" t="s">
        <v>42645</v>
      </c>
      <c r="M7518" t="s">
        <v>45540</v>
      </c>
      <c r="N7518" t="s">
        <v>47304</v>
      </c>
      <c r="O7518" t="s">
        <v>47305</v>
      </c>
      <c r="P7518">
        <v>0</v>
      </c>
      <c r="Q7518">
        <v>1</v>
      </c>
      <c r="R7518" t="s">
        <v>47311</v>
      </c>
      <c r="S7518" t="s">
        <v>47443</v>
      </c>
      <c r="T7518" t="s">
        <v>49368</v>
      </c>
      <c r="U7518" t="s">
        <v>55827</v>
      </c>
      <c r="V7518" t="s">
        <v>63312</v>
      </c>
      <c r="W7518" t="s">
        <v>45540</v>
      </c>
      <c r="X7518" t="s">
        <v>47312</v>
      </c>
    </row>
    <row r="7519" spans="1:24">
      <c r="A7519">
        <f>HYPERLINK("https://www.philgeps.gov.ph/GEPSNONPILOT/Tender/SplashBidNoticeAbstractUI.aspx?menuIndex=3&amp;refID=7192940&amp;Result=3","7192940")</f>
        <v>0</v>
      </c>
      <c r="B7519" t="s">
        <v>1884</v>
      </c>
      <c r="C7519" t="s">
        <v>10920</v>
      </c>
      <c r="E7519" t="s">
        <v>25634</v>
      </c>
      <c r="F7519" t="s">
        <v>32606</v>
      </c>
      <c r="G7519" t="s">
        <v>32614</v>
      </c>
      <c r="H7519" t="s">
        <v>14201</v>
      </c>
      <c r="I7519" t="s">
        <v>13131</v>
      </c>
      <c r="J7519" t="s">
        <v>36024</v>
      </c>
      <c r="K7519" t="s">
        <v>42624</v>
      </c>
      <c r="M7519" t="s">
        <v>45567</v>
      </c>
      <c r="N7519" t="s">
        <v>47304</v>
      </c>
      <c r="O7519" t="s">
        <v>47305</v>
      </c>
      <c r="P7519">
        <v>0</v>
      </c>
      <c r="Q7519">
        <v>14</v>
      </c>
      <c r="R7519" t="s">
        <v>47311</v>
      </c>
      <c r="S7519" t="s">
        <v>47443</v>
      </c>
      <c r="T7519" t="s">
        <v>49014</v>
      </c>
      <c r="U7519" t="s">
        <v>55828</v>
      </c>
      <c r="W7519" t="s">
        <v>64484</v>
      </c>
      <c r="X7519" t="s">
        <v>47312</v>
      </c>
    </row>
    <row r="7520" spans="1:24">
      <c r="A7520">
        <f>HYPERLINK("https://www.philgeps.gov.ph/GEPSNONPILOT/Tender/SplashBidNoticeAbstractUI.aspx?menuIndex=3&amp;refID=7192797&amp;Result=3","7192797")</f>
        <v>0</v>
      </c>
      <c r="B7520" t="s">
        <v>897</v>
      </c>
      <c r="C7520" t="s">
        <v>10921</v>
      </c>
      <c r="D7520" t="s">
        <v>19067</v>
      </c>
      <c r="E7520" t="s">
        <v>25635</v>
      </c>
      <c r="F7520" t="s">
        <v>32606</v>
      </c>
      <c r="G7520" t="s">
        <v>32613</v>
      </c>
      <c r="H7520" t="s">
        <v>32623</v>
      </c>
      <c r="I7520" t="s">
        <v>17648</v>
      </c>
      <c r="J7520" t="s">
        <v>37517</v>
      </c>
      <c r="K7520" t="s">
        <v>42648</v>
      </c>
      <c r="M7520" t="s">
        <v>43834</v>
      </c>
      <c r="N7520" t="s">
        <v>47304</v>
      </c>
      <c r="O7520" t="s">
        <v>47305</v>
      </c>
      <c r="P7520">
        <v>0</v>
      </c>
      <c r="Q7520">
        <v>1</v>
      </c>
      <c r="R7520" t="s">
        <v>47311</v>
      </c>
      <c r="S7520" t="s">
        <v>47443</v>
      </c>
      <c r="T7520" t="s">
        <v>49008</v>
      </c>
      <c r="U7520" t="s">
        <v>55829</v>
      </c>
      <c r="W7520" t="s">
        <v>43834</v>
      </c>
      <c r="X7520" t="s">
        <v>47312</v>
      </c>
    </row>
    <row r="7521" spans="1:24">
      <c r="A7521">
        <f>HYPERLINK("https://www.philgeps.gov.ph/GEPSNONPILOT/Tender/SplashBidNoticeAbstractUI.aspx?menuIndex=3&amp;refID=7192866&amp;Result=3","7192866")</f>
        <v>0</v>
      </c>
      <c r="B7521" t="s">
        <v>2440</v>
      </c>
      <c r="C7521" t="s">
        <v>10922</v>
      </c>
      <c r="D7521" t="s">
        <v>19045</v>
      </c>
      <c r="E7521" t="s">
        <v>25636</v>
      </c>
      <c r="F7521" t="s">
        <v>32606</v>
      </c>
      <c r="G7521" t="s">
        <v>32613</v>
      </c>
      <c r="H7521" t="s">
        <v>14201</v>
      </c>
      <c r="I7521" t="s">
        <v>6931</v>
      </c>
      <c r="J7521" t="s">
        <v>37518</v>
      </c>
      <c r="K7521" t="s">
        <v>42623</v>
      </c>
      <c r="M7521" t="s">
        <v>45568</v>
      </c>
      <c r="N7521" t="s">
        <v>47304</v>
      </c>
      <c r="O7521" t="s">
        <v>47305</v>
      </c>
      <c r="P7521">
        <v>0</v>
      </c>
      <c r="Q7521">
        <v>0</v>
      </c>
      <c r="R7521" t="s">
        <v>47311</v>
      </c>
      <c r="S7521" t="s">
        <v>47443</v>
      </c>
      <c r="T7521" t="s">
        <v>49037</v>
      </c>
      <c r="U7521" t="s">
        <v>55830</v>
      </c>
      <c r="V7521" t="s">
        <v>63364</v>
      </c>
      <c r="W7521" t="s">
        <v>45568</v>
      </c>
      <c r="X7521" t="s">
        <v>47312</v>
      </c>
    </row>
    <row r="7522" spans="1:24">
      <c r="A7522">
        <f>HYPERLINK("https://www.philgeps.gov.ph/GEPSNONPILOT/Tender/SplashBidNoticeAbstractUI.aspx?menuIndex=3&amp;refID=7192937&amp;Result=3","7192937")</f>
        <v>0</v>
      </c>
      <c r="B7522" t="s">
        <v>2440</v>
      </c>
      <c r="C7522" t="s">
        <v>10923</v>
      </c>
      <c r="D7522" t="s">
        <v>19045</v>
      </c>
      <c r="E7522" t="s">
        <v>25637</v>
      </c>
      <c r="F7522" t="s">
        <v>32606</v>
      </c>
      <c r="G7522" t="s">
        <v>32613</v>
      </c>
      <c r="H7522" t="s">
        <v>14201</v>
      </c>
      <c r="I7522" t="s">
        <v>6931</v>
      </c>
      <c r="J7522" t="s">
        <v>37519</v>
      </c>
      <c r="K7522" t="s">
        <v>42623</v>
      </c>
      <c r="M7522" t="s">
        <v>45568</v>
      </c>
      <c r="N7522" t="s">
        <v>47304</v>
      </c>
      <c r="O7522" t="s">
        <v>47305</v>
      </c>
      <c r="P7522">
        <v>0</v>
      </c>
      <c r="Q7522">
        <v>0</v>
      </c>
      <c r="R7522" t="s">
        <v>47311</v>
      </c>
      <c r="S7522" t="s">
        <v>47443</v>
      </c>
      <c r="T7522" t="s">
        <v>49037</v>
      </c>
      <c r="U7522" t="s">
        <v>55831</v>
      </c>
      <c r="V7522" t="s">
        <v>63364</v>
      </c>
      <c r="W7522" t="s">
        <v>45568</v>
      </c>
      <c r="X7522" t="s">
        <v>47312</v>
      </c>
    </row>
    <row r="7523" spans="1:24">
      <c r="A7523">
        <f>HYPERLINK("https://www.philgeps.gov.ph/GEPSNONPILOT/Tender/SplashBidNoticeAbstractUI.aspx?menuIndex=3&amp;refID=7192925&amp;Result=3","7192925")</f>
        <v>0</v>
      </c>
      <c r="B7523" t="s">
        <v>422</v>
      </c>
      <c r="C7523" t="s">
        <v>10924</v>
      </c>
      <c r="D7523" t="s">
        <v>19030</v>
      </c>
      <c r="E7523" t="s">
        <v>25638</v>
      </c>
      <c r="F7523" t="s">
        <v>32606</v>
      </c>
      <c r="G7523" t="s">
        <v>32613</v>
      </c>
      <c r="H7523" t="s">
        <v>32623</v>
      </c>
      <c r="I7523" t="s">
        <v>17648</v>
      </c>
      <c r="J7523" t="s">
        <v>37520</v>
      </c>
      <c r="K7523" t="s">
        <v>42801</v>
      </c>
      <c r="M7523" t="s">
        <v>43326</v>
      </c>
      <c r="N7523" t="s">
        <v>47304</v>
      </c>
      <c r="O7523" t="s">
        <v>47305</v>
      </c>
      <c r="P7523">
        <v>0</v>
      </c>
      <c r="Q7523">
        <v>0</v>
      </c>
      <c r="R7523" t="s">
        <v>47311</v>
      </c>
      <c r="S7523" t="s">
        <v>47443</v>
      </c>
      <c r="T7523" t="s">
        <v>49037</v>
      </c>
      <c r="U7523" t="s">
        <v>55832</v>
      </c>
      <c r="W7523" t="s">
        <v>43326</v>
      </c>
      <c r="X7523" t="s">
        <v>47312</v>
      </c>
    </row>
    <row r="7524" spans="1:24">
      <c r="A7524">
        <f>HYPERLINK("https://www.philgeps.gov.ph/GEPSNONPILOT/Tender/SplashBidNoticeAbstractUI.aspx?menuIndex=3&amp;refID=7192924&amp;Result=3","7192924")</f>
        <v>0</v>
      </c>
      <c r="B7524" t="s">
        <v>58</v>
      </c>
      <c r="C7524" t="s">
        <v>10925</v>
      </c>
      <c r="D7524" t="s">
        <v>19011</v>
      </c>
      <c r="E7524" t="s">
        <v>25639</v>
      </c>
      <c r="F7524" t="s">
        <v>32606</v>
      </c>
      <c r="G7524" t="s">
        <v>32613</v>
      </c>
      <c r="H7524" t="s">
        <v>14201</v>
      </c>
      <c r="I7524" t="s">
        <v>13131</v>
      </c>
      <c r="J7524" t="s">
        <v>37521</v>
      </c>
      <c r="K7524" t="s">
        <v>42631</v>
      </c>
      <c r="M7524" t="s">
        <v>44933</v>
      </c>
      <c r="N7524" t="s">
        <v>47304</v>
      </c>
      <c r="O7524" t="s">
        <v>47305</v>
      </c>
      <c r="P7524">
        <v>0</v>
      </c>
      <c r="Q7524">
        <v>11</v>
      </c>
      <c r="R7524" t="s">
        <v>47311</v>
      </c>
      <c r="S7524" t="s">
        <v>47443</v>
      </c>
      <c r="T7524" t="s">
        <v>49240</v>
      </c>
      <c r="U7524" t="s">
        <v>55833</v>
      </c>
      <c r="W7524" t="s">
        <v>44933</v>
      </c>
      <c r="X7524" t="s">
        <v>47312</v>
      </c>
    </row>
    <row r="7525" spans="1:24">
      <c r="A7525">
        <f>HYPERLINK("https://www.philgeps.gov.ph/GEPSNONPILOT/Tender/SplashBidNoticeAbstractUI.aspx?menuIndex=3&amp;refID=7192919&amp;Result=3","7192919")</f>
        <v>0</v>
      </c>
      <c r="B7525" t="s">
        <v>1799</v>
      </c>
      <c r="C7525" t="s">
        <v>10926</v>
      </c>
      <c r="D7525" t="s">
        <v>18989</v>
      </c>
      <c r="E7525" t="s">
        <v>25640</v>
      </c>
      <c r="F7525" t="s">
        <v>32606</v>
      </c>
      <c r="G7525" t="s">
        <v>32613</v>
      </c>
      <c r="H7525" t="s">
        <v>32623</v>
      </c>
      <c r="I7525" t="s">
        <v>17648</v>
      </c>
      <c r="J7525" t="s">
        <v>37522</v>
      </c>
      <c r="K7525" t="s">
        <v>42624</v>
      </c>
      <c r="M7525" t="s">
        <v>44840</v>
      </c>
      <c r="N7525" t="s">
        <v>47304</v>
      </c>
      <c r="O7525" t="s">
        <v>47305</v>
      </c>
      <c r="P7525">
        <v>0</v>
      </c>
      <c r="Q7525">
        <v>0</v>
      </c>
      <c r="R7525" t="s">
        <v>47311</v>
      </c>
      <c r="S7525" t="s">
        <v>47443</v>
      </c>
      <c r="T7525" t="s">
        <v>49012</v>
      </c>
      <c r="U7525" t="s">
        <v>55834</v>
      </c>
      <c r="W7525" t="s">
        <v>44840</v>
      </c>
      <c r="X7525" t="s">
        <v>47312</v>
      </c>
    </row>
    <row r="7526" spans="1:24">
      <c r="A7526">
        <f>HYPERLINK("https://www.philgeps.gov.ph/GEPSNONPILOT/Tender/SplashBidNoticeAbstractUI.aspx?menuIndex=3&amp;refID=7192839&amp;Result=3","7192839")</f>
        <v>0</v>
      </c>
      <c r="B7526" t="s">
        <v>1543</v>
      </c>
      <c r="C7526" t="s">
        <v>10927</v>
      </c>
      <c r="D7526" t="s">
        <v>19013</v>
      </c>
      <c r="E7526" t="s">
        <v>25641</v>
      </c>
      <c r="F7526" t="s">
        <v>32606</v>
      </c>
      <c r="G7526" t="s">
        <v>32613</v>
      </c>
      <c r="H7526" t="s">
        <v>32623</v>
      </c>
      <c r="I7526" t="s">
        <v>17648</v>
      </c>
      <c r="J7526" t="s">
        <v>32830</v>
      </c>
      <c r="K7526" t="s">
        <v>42646</v>
      </c>
      <c r="M7526" t="s">
        <v>44547</v>
      </c>
      <c r="N7526" t="s">
        <v>47304</v>
      </c>
      <c r="O7526" t="s">
        <v>47305</v>
      </c>
      <c r="P7526">
        <v>0</v>
      </c>
      <c r="Q7526">
        <v>0</v>
      </c>
      <c r="R7526" t="s">
        <v>47311</v>
      </c>
      <c r="S7526" t="s">
        <v>47443</v>
      </c>
      <c r="T7526" t="s">
        <v>49037</v>
      </c>
      <c r="U7526" t="s">
        <v>55835</v>
      </c>
      <c r="W7526" t="s">
        <v>44547</v>
      </c>
      <c r="X7526" t="s">
        <v>47312</v>
      </c>
    </row>
    <row r="7527" spans="1:24">
      <c r="A7527">
        <f>HYPERLINK("https://www.philgeps.gov.ph/GEPSNONPILOT/Tender/SplashBidNoticeAbstractUI.aspx?menuIndex=3&amp;refID=7192833&amp;Result=3","7192833")</f>
        <v>0</v>
      </c>
      <c r="B7527" t="s">
        <v>2441</v>
      </c>
      <c r="C7527" t="s">
        <v>10928</v>
      </c>
      <c r="D7527" t="s">
        <v>19016</v>
      </c>
      <c r="E7527" t="s">
        <v>25642</v>
      </c>
      <c r="F7527" t="s">
        <v>32606</v>
      </c>
      <c r="G7527" t="s">
        <v>32613</v>
      </c>
      <c r="H7527" t="s">
        <v>32623</v>
      </c>
      <c r="I7527" t="s">
        <v>17648</v>
      </c>
      <c r="J7527" t="s">
        <v>37100</v>
      </c>
      <c r="K7527" t="s">
        <v>42657</v>
      </c>
      <c r="M7527" t="s">
        <v>45569</v>
      </c>
      <c r="N7527" t="s">
        <v>47304</v>
      </c>
      <c r="O7527" t="s">
        <v>47305</v>
      </c>
      <c r="P7527">
        <v>0</v>
      </c>
      <c r="Q7527">
        <v>13</v>
      </c>
      <c r="R7527" t="s">
        <v>47311</v>
      </c>
      <c r="S7527" t="s">
        <v>47443</v>
      </c>
      <c r="T7527" t="s">
        <v>49075</v>
      </c>
      <c r="U7527" t="s">
        <v>55836</v>
      </c>
      <c r="W7527" t="s">
        <v>45569</v>
      </c>
      <c r="X7527" t="s">
        <v>47312</v>
      </c>
    </row>
    <row r="7528" spans="1:24">
      <c r="A7528">
        <f>HYPERLINK("https://www.philgeps.gov.ph/GEPSNONPILOT/Tender/SplashBidNoticeAbstractUI.aspx?menuIndex=3&amp;refID=7192926&amp;Result=3","7192926")</f>
        <v>0</v>
      </c>
      <c r="B7528" t="s">
        <v>1799</v>
      </c>
      <c r="C7528" t="s">
        <v>10929</v>
      </c>
      <c r="D7528" t="s">
        <v>18989</v>
      </c>
      <c r="E7528" t="s">
        <v>25643</v>
      </c>
      <c r="F7528" t="s">
        <v>32606</v>
      </c>
      <c r="G7528" t="s">
        <v>32613</v>
      </c>
      <c r="H7528" t="s">
        <v>32623</v>
      </c>
      <c r="I7528" t="s">
        <v>17648</v>
      </c>
      <c r="J7528" t="s">
        <v>33043</v>
      </c>
      <c r="K7528" t="s">
        <v>42624</v>
      </c>
      <c r="M7528" t="s">
        <v>44840</v>
      </c>
      <c r="N7528" t="s">
        <v>47304</v>
      </c>
      <c r="O7528" t="s">
        <v>47305</v>
      </c>
      <c r="P7528">
        <v>0</v>
      </c>
      <c r="Q7528">
        <v>0</v>
      </c>
      <c r="R7528" t="s">
        <v>47311</v>
      </c>
      <c r="S7528" t="s">
        <v>47443</v>
      </c>
      <c r="T7528" t="s">
        <v>49077</v>
      </c>
      <c r="U7528" t="s">
        <v>55837</v>
      </c>
      <c r="W7528" t="s">
        <v>44840</v>
      </c>
      <c r="X7528" t="s">
        <v>47312</v>
      </c>
    </row>
    <row r="7529" spans="1:24">
      <c r="A7529">
        <f>HYPERLINK("https://www.philgeps.gov.ph/GEPSNONPILOT/Tender/SplashBidNoticeAbstractUI.aspx?menuIndex=3&amp;refID=7192915&amp;Result=3","7192915")</f>
        <v>0</v>
      </c>
      <c r="B7529" t="s">
        <v>2442</v>
      </c>
      <c r="C7529" t="s">
        <v>10930</v>
      </c>
      <c r="D7529" t="s">
        <v>19016</v>
      </c>
      <c r="E7529" t="s">
        <v>25644</v>
      </c>
      <c r="F7529" t="s">
        <v>32606</v>
      </c>
      <c r="G7529" t="s">
        <v>32617</v>
      </c>
      <c r="H7529" t="s">
        <v>14201</v>
      </c>
      <c r="I7529" t="s">
        <v>4114</v>
      </c>
      <c r="J7529" t="s">
        <v>37523</v>
      </c>
      <c r="K7529" t="s">
        <v>42630</v>
      </c>
      <c r="L7529" t="s">
        <v>2442</v>
      </c>
      <c r="M7529" t="s">
        <v>45570</v>
      </c>
      <c r="N7529" t="s">
        <v>47304</v>
      </c>
      <c r="O7529" t="s">
        <v>47305</v>
      </c>
      <c r="P7529">
        <v>0</v>
      </c>
      <c r="Q7529">
        <v>5</v>
      </c>
      <c r="R7529" t="s">
        <v>47311</v>
      </c>
      <c r="S7529" t="s">
        <v>47443</v>
      </c>
      <c r="T7529" t="s">
        <v>49315</v>
      </c>
      <c r="U7529" t="s">
        <v>55838</v>
      </c>
      <c r="W7529" t="s">
        <v>45570</v>
      </c>
      <c r="X7529" t="s">
        <v>47312</v>
      </c>
    </row>
    <row r="7530" spans="1:24">
      <c r="A7530">
        <f>HYPERLINK("https://www.philgeps.gov.ph/GEPSNONPILOT/Tender/SplashBidNoticeAbstractUI.aspx?menuIndex=3&amp;refID=7192820&amp;Result=3","7192820")</f>
        <v>0</v>
      </c>
      <c r="B7530" t="s">
        <v>2441</v>
      </c>
      <c r="C7530" t="s">
        <v>10931</v>
      </c>
      <c r="D7530" t="s">
        <v>19016</v>
      </c>
      <c r="E7530" t="s">
        <v>25645</v>
      </c>
      <c r="F7530" t="s">
        <v>32606</v>
      </c>
      <c r="G7530" t="s">
        <v>32613</v>
      </c>
      <c r="H7530" t="s">
        <v>32623</v>
      </c>
      <c r="I7530" t="s">
        <v>17648</v>
      </c>
      <c r="J7530" t="s">
        <v>37524</v>
      </c>
      <c r="K7530" t="s">
        <v>42802</v>
      </c>
      <c r="M7530" t="s">
        <v>45569</v>
      </c>
      <c r="N7530" t="s">
        <v>47304</v>
      </c>
      <c r="O7530" t="s">
        <v>47305</v>
      </c>
      <c r="P7530">
        <v>0</v>
      </c>
      <c r="Q7530">
        <v>15</v>
      </c>
      <c r="R7530" t="s">
        <v>47311</v>
      </c>
      <c r="S7530" t="s">
        <v>47443</v>
      </c>
      <c r="T7530" t="s">
        <v>49197</v>
      </c>
      <c r="U7530" t="s">
        <v>55836</v>
      </c>
      <c r="W7530" t="s">
        <v>45569</v>
      </c>
      <c r="X7530" t="s">
        <v>47312</v>
      </c>
    </row>
    <row r="7531" spans="1:24">
      <c r="A7531">
        <f>HYPERLINK("https://www.philgeps.gov.ph/GEPSNONPILOT/Tender/SplashBidNoticeAbstractUI.aspx?menuIndex=3&amp;refID=7192922&amp;Result=3","7192922")</f>
        <v>0</v>
      </c>
      <c r="B7531" t="s">
        <v>1799</v>
      </c>
      <c r="C7531" t="s">
        <v>10932</v>
      </c>
      <c r="D7531" t="s">
        <v>18989</v>
      </c>
      <c r="E7531" t="s">
        <v>25646</v>
      </c>
      <c r="F7531" t="s">
        <v>32606</v>
      </c>
      <c r="G7531" t="s">
        <v>32613</v>
      </c>
      <c r="H7531" t="s">
        <v>32623</v>
      </c>
      <c r="I7531" t="s">
        <v>17648</v>
      </c>
      <c r="J7531" t="s">
        <v>32767</v>
      </c>
      <c r="K7531" t="s">
        <v>42624</v>
      </c>
      <c r="M7531" t="s">
        <v>44840</v>
      </c>
      <c r="N7531" t="s">
        <v>47304</v>
      </c>
      <c r="O7531" t="s">
        <v>47305</v>
      </c>
      <c r="P7531">
        <v>0</v>
      </c>
      <c r="Q7531">
        <v>1</v>
      </c>
      <c r="R7531" t="s">
        <v>47311</v>
      </c>
      <c r="S7531" t="s">
        <v>47443</v>
      </c>
      <c r="T7531" t="s">
        <v>49077</v>
      </c>
      <c r="U7531" t="s">
        <v>55839</v>
      </c>
      <c r="W7531" t="s">
        <v>44840</v>
      </c>
      <c r="X7531" t="s">
        <v>47312</v>
      </c>
    </row>
    <row r="7532" spans="1:24">
      <c r="A7532">
        <f>HYPERLINK("https://www.philgeps.gov.ph/GEPSNONPILOT/Tender/SplashBidNoticeAbstractUI.aspx?menuIndex=3&amp;refID=7192909&amp;Result=3","7192909")</f>
        <v>0</v>
      </c>
      <c r="B7532" t="s">
        <v>1799</v>
      </c>
      <c r="C7532" t="s">
        <v>10933</v>
      </c>
      <c r="D7532" t="s">
        <v>18989</v>
      </c>
      <c r="E7532" t="s">
        <v>25647</v>
      </c>
      <c r="F7532" t="s">
        <v>32606</v>
      </c>
      <c r="G7532" t="s">
        <v>32613</v>
      </c>
      <c r="H7532" t="s">
        <v>32623</v>
      </c>
      <c r="I7532" t="s">
        <v>17648</v>
      </c>
      <c r="J7532" t="s">
        <v>37525</v>
      </c>
      <c r="K7532" t="s">
        <v>42624</v>
      </c>
      <c r="M7532" t="s">
        <v>44840</v>
      </c>
      <c r="N7532" t="s">
        <v>47304</v>
      </c>
      <c r="O7532" t="s">
        <v>47305</v>
      </c>
      <c r="P7532">
        <v>0</v>
      </c>
      <c r="Q7532">
        <v>0</v>
      </c>
      <c r="R7532" t="s">
        <v>47311</v>
      </c>
      <c r="S7532" t="s">
        <v>47443</v>
      </c>
      <c r="T7532" t="s">
        <v>49012</v>
      </c>
      <c r="U7532" t="s">
        <v>55840</v>
      </c>
      <c r="W7532" t="s">
        <v>44840</v>
      </c>
      <c r="X7532" t="s">
        <v>47312</v>
      </c>
    </row>
    <row r="7533" spans="1:24">
      <c r="A7533">
        <f>HYPERLINK("https://www.philgeps.gov.ph/GEPSNONPILOT/Tender/SplashBidNoticeAbstractUI.aspx?menuIndex=3&amp;refID=7192916&amp;Result=3","7192916")</f>
        <v>0</v>
      </c>
      <c r="B7533" t="s">
        <v>2440</v>
      </c>
      <c r="C7533" t="s">
        <v>10934</v>
      </c>
      <c r="D7533" t="s">
        <v>19045</v>
      </c>
      <c r="E7533" t="s">
        <v>25648</v>
      </c>
      <c r="F7533" t="s">
        <v>32606</v>
      </c>
      <c r="G7533" t="s">
        <v>32613</v>
      </c>
      <c r="H7533" t="s">
        <v>32623</v>
      </c>
      <c r="I7533" t="s">
        <v>17648</v>
      </c>
      <c r="J7533" t="s">
        <v>37526</v>
      </c>
      <c r="K7533" t="s">
        <v>42636</v>
      </c>
      <c r="M7533" t="s">
        <v>45568</v>
      </c>
      <c r="N7533" t="s">
        <v>47304</v>
      </c>
      <c r="O7533" t="s">
        <v>47305</v>
      </c>
      <c r="P7533">
        <v>0</v>
      </c>
      <c r="Q7533">
        <v>0</v>
      </c>
      <c r="R7533" t="s">
        <v>47311</v>
      </c>
      <c r="S7533" t="s">
        <v>47443</v>
      </c>
      <c r="T7533" t="s">
        <v>49037</v>
      </c>
      <c r="U7533" t="s">
        <v>55841</v>
      </c>
      <c r="V7533" t="s">
        <v>63364</v>
      </c>
      <c r="W7533" t="s">
        <v>45568</v>
      </c>
      <c r="X7533" t="s">
        <v>47312</v>
      </c>
    </row>
    <row r="7534" spans="1:24">
      <c r="A7534">
        <f>HYPERLINK("https://www.philgeps.gov.ph/GEPSNONPILOT/Tender/SplashBidNoticeAbstractUI.aspx?menuIndex=3&amp;refID=7192854&amp;Result=3","7192854")</f>
        <v>0</v>
      </c>
      <c r="B7534" t="s">
        <v>2440</v>
      </c>
      <c r="C7534" t="s">
        <v>10935</v>
      </c>
      <c r="D7534" t="s">
        <v>19045</v>
      </c>
      <c r="E7534" t="s">
        <v>25649</v>
      </c>
      <c r="F7534" t="s">
        <v>32606</v>
      </c>
      <c r="G7534" t="s">
        <v>32613</v>
      </c>
      <c r="H7534" t="s">
        <v>14201</v>
      </c>
      <c r="I7534" t="s">
        <v>32629</v>
      </c>
      <c r="J7534" t="s">
        <v>37527</v>
      </c>
      <c r="K7534" t="s">
        <v>42623</v>
      </c>
      <c r="M7534" t="s">
        <v>45568</v>
      </c>
      <c r="N7534" t="s">
        <v>47304</v>
      </c>
      <c r="O7534" t="s">
        <v>47305</v>
      </c>
      <c r="P7534">
        <v>0</v>
      </c>
      <c r="Q7534">
        <v>0</v>
      </c>
      <c r="R7534" t="s">
        <v>47311</v>
      </c>
      <c r="S7534" t="s">
        <v>47443</v>
      </c>
      <c r="T7534" t="s">
        <v>49037</v>
      </c>
      <c r="U7534" t="s">
        <v>55842</v>
      </c>
      <c r="V7534" t="s">
        <v>63364</v>
      </c>
      <c r="W7534" t="s">
        <v>45568</v>
      </c>
      <c r="X7534" t="s">
        <v>47312</v>
      </c>
    </row>
    <row r="7535" spans="1:24">
      <c r="A7535">
        <f>HYPERLINK("https://www.philgeps.gov.ph/GEPSNONPILOT/Tender/SplashBidNoticeAbstractUI.aspx?menuIndex=3&amp;refID=7192914&amp;Result=3","7192914")</f>
        <v>0</v>
      </c>
      <c r="B7535" t="s">
        <v>1799</v>
      </c>
      <c r="C7535" t="s">
        <v>10936</v>
      </c>
      <c r="D7535" t="s">
        <v>18989</v>
      </c>
      <c r="E7535" t="s">
        <v>25650</v>
      </c>
      <c r="F7535" t="s">
        <v>32606</v>
      </c>
      <c r="G7535" t="s">
        <v>32613</v>
      </c>
      <c r="H7535" t="s">
        <v>32623</v>
      </c>
      <c r="I7535" t="s">
        <v>17648</v>
      </c>
      <c r="J7535" t="s">
        <v>32770</v>
      </c>
      <c r="K7535" t="s">
        <v>42624</v>
      </c>
      <c r="M7535" t="s">
        <v>44840</v>
      </c>
      <c r="N7535" t="s">
        <v>47304</v>
      </c>
      <c r="O7535" t="s">
        <v>47305</v>
      </c>
      <c r="P7535">
        <v>0</v>
      </c>
      <c r="Q7535">
        <v>0</v>
      </c>
      <c r="R7535" t="s">
        <v>47311</v>
      </c>
      <c r="S7535" t="s">
        <v>47443</v>
      </c>
      <c r="T7535" t="s">
        <v>49012</v>
      </c>
      <c r="U7535" t="s">
        <v>55843</v>
      </c>
      <c r="W7535" t="s">
        <v>44840</v>
      </c>
      <c r="X7535" t="s">
        <v>47312</v>
      </c>
    </row>
    <row r="7536" spans="1:24">
      <c r="A7536">
        <f>HYPERLINK("https://www.philgeps.gov.ph/GEPSNONPILOT/Tender/SplashBidNoticeAbstractUI.aspx?menuIndex=3&amp;refID=7192892&amp;Result=3","7192892")</f>
        <v>0</v>
      </c>
      <c r="B7536" t="s">
        <v>1036</v>
      </c>
      <c r="C7536" t="s">
        <v>10937</v>
      </c>
      <c r="D7536" t="s">
        <v>19039</v>
      </c>
      <c r="E7536" t="s">
        <v>25651</v>
      </c>
      <c r="F7536" t="s">
        <v>32606</v>
      </c>
      <c r="G7536" t="s">
        <v>32613</v>
      </c>
      <c r="H7536" t="s">
        <v>14201</v>
      </c>
      <c r="I7536" t="s">
        <v>32635</v>
      </c>
      <c r="J7536" t="s">
        <v>35853</v>
      </c>
      <c r="K7536" t="s">
        <v>42631</v>
      </c>
      <c r="M7536" t="s">
        <v>44615</v>
      </c>
      <c r="N7536" t="s">
        <v>47304</v>
      </c>
      <c r="O7536" t="s">
        <v>47305</v>
      </c>
      <c r="P7536">
        <v>0</v>
      </c>
      <c r="Q7536">
        <v>6</v>
      </c>
      <c r="R7536" t="s">
        <v>47311</v>
      </c>
      <c r="S7536" t="s">
        <v>47443</v>
      </c>
      <c r="T7536" t="s">
        <v>49048</v>
      </c>
      <c r="U7536" t="s">
        <v>55844</v>
      </c>
      <c r="W7536" t="s">
        <v>44615</v>
      </c>
      <c r="X7536" t="s">
        <v>47312</v>
      </c>
    </row>
    <row r="7537" spans="1:24">
      <c r="A7537">
        <f>HYPERLINK("https://www.philgeps.gov.ph/GEPSNONPILOT/Tender/SplashBidNoticeAbstractUI.aspx?menuIndex=3&amp;refID=7192890&amp;Result=3","7192890")</f>
        <v>0</v>
      </c>
      <c r="B7537" t="s">
        <v>2443</v>
      </c>
      <c r="C7537" t="s">
        <v>10938</v>
      </c>
      <c r="D7537" t="s">
        <v>18993</v>
      </c>
      <c r="E7537" t="s">
        <v>23622</v>
      </c>
      <c r="F7537" t="s">
        <v>32606</v>
      </c>
      <c r="G7537" t="s">
        <v>32613</v>
      </c>
      <c r="H7537" t="s">
        <v>14201</v>
      </c>
      <c r="I7537" t="s">
        <v>32636</v>
      </c>
      <c r="J7537" t="s">
        <v>32778</v>
      </c>
      <c r="K7537" t="s">
        <v>42630</v>
      </c>
      <c r="M7537" t="s">
        <v>45571</v>
      </c>
      <c r="N7537" t="s">
        <v>47304</v>
      </c>
      <c r="O7537" t="s">
        <v>47305</v>
      </c>
      <c r="P7537">
        <v>0</v>
      </c>
      <c r="Q7537">
        <v>1</v>
      </c>
      <c r="R7537" t="s">
        <v>47311</v>
      </c>
      <c r="S7537" t="s">
        <v>47443</v>
      </c>
      <c r="T7537" t="s">
        <v>48980</v>
      </c>
      <c r="U7537" t="s">
        <v>55845</v>
      </c>
      <c r="W7537" t="s">
        <v>45571</v>
      </c>
      <c r="X7537" t="s">
        <v>47312</v>
      </c>
    </row>
    <row r="7538" spans="1:24">
      <c r="A7538">
        <f>HYPERLINK("https://www.philgeps.gov.ph/GEPSNONPILOT/Tender/SplashBidNoticeAbstractUI.aspx?menuIndex=3&amp;refID=7192853&amp;Result=3","7192853")</f>
        <v>0</v>
      </c>
      <c r="B7538" t="s">
        <v>2439</v>
      </c>
      <c r="C7538" t="s">
        <v>10939</v>
      </c>
      <c r="D7538" t="s">
        <v>18993</v>
      </c>
      <c r="E7538" t="s">
        <v>21941</v>
      </c>
      <c r="F7538" t="s">
        <v>32606</v>
      </c>
      <c r="G7538" t="s">
        <v>32613</v>
      </c>
      <c r="H7538" t="s">
        <v>14201</v>
      </c>
      <c r="I7538" t="s">
        <v>32640</v>
      </c>
      <c r="J7538" t="s">
        <v>36636</v>
      </c>
      <c r="K7538" t="s">
        <v>42624</v>
      </c>
      <c r="M7538" t="s">
        <v>45566</v>
      </c>
      <c r="N7538" t="s">
        <v>47304</v>
      </c>
      <c r="O7538" t="s">
        <v>47305</v>
      </c>
      <c r="P7538">
        <v>0</v>
      </c>
      <c r="Q7538">
        <v>16</v>
      </c>
      <c r="R7538" t="s">
        <v>47311</v>
      </c>
      <c r="S7538" t="s">
        <v>47443</v>
      </c>
      <c r="T7538" t="s">
        <v>49157</v>
      </c>
      <c r="U7538" t="s">
        <v>55846</v>
      </c>
      <c r="W7538" t="s">
        <v>45566</v>
      </c>
      <c r="X7538" t="s">
        <v>47312</v>
      </c>
    </row>
    <row r="7539" spans="1:24">
      <c r="A7539">
        <f>HYPERLINK("https://www.philgeps.gov.ph/GEPSNONPILOT/Tender/SplashBidNoticeAbstractUI.aspx?menuIndex=3&amp;refID=7192852&amp;Result=3","7192852")</f>
        <v>0</v>
      </c>
      <c r="B7539" t="s">
        <v>2297</v>
      </c>
      <c r="C7539" t="s">
        <v>10940</v>
      </c>
      <c r="D7539" t="s">
        <v>19024</v>
      </c>
      <c r="E7539" t="s">
        <v>25652</v>
      </c>
      <c r="F7539" t="s">
        <v>32606</v>
      </c>
      <c r="G7539" t="s">
        <v>32613</v>
      </c>
      <c r="H7539" t="s">
        <v>32623</v>
      </c>
      <c r="I7539" t="s">
        <v>17648</v>
      </c>
      <c r="J7539" t="s">
        <v>32821</v>
      </c>
      <c r="K7539" t="s">
        <v>42798</v>
      </c>
      <c r="M7539" t="s">
        <v>45540</v>
      </c>
      <c r="N7539" t="s">
        <v>47304</v>
      </c>
      <c r="O7539" t="s">
        <v>47305</v>
      </c>
      <c r="P7539">
        <v>0</v>
      </c>
      <c r="Q7539">
        <v>0</v>
      </c>
      <c r="R7539" t="s">
        <v>47311</v>
      </c>
      <c r="S7539" t="s">
        <v>47443</v>
      </c>
      <c r="T7539" t="s">
        <v>49368</v>
      </c>
      <c r="U7539" t="s">
        <v>55847</v>
      </c>
      <c r="V7539" t="s">
        <v>63312</v>
      </c>
      <c r="W7539" t="s">
        <v>45540</v>
      </c>
      <c r="X7539" t="s">
        <v>47312</v>
      </c>
    </row>
    <row r="7540" spans="1:24">
      <c r="A7540">
        <f>HYPERLINK("https://www.philgeps.gov.ph/GEPSNONPILOT/Tender/SplashBidNoticeAbstractUI.aspx?menuIndex=3&amp;refID=7192899&amp;Result=3","7192899")</f>
        <v>0</v>
      </c>
      <c r="B7540" t="s">
        <v>1760</v>
      </c>
      <c r="C7540" t="s">
        <v>10941</v>
      </c>
      <c r="D7540" t="s">
        <v>19024</v>
      </c>
      <c r="E7540" t="s">
        <v>25653</v>
      </c>
      <c r="F7540" t="s">
        <v>32606</v>
      </c>
      <c r="G7540" t="s">
        <v>32613</v>
      </c>
      <c r="H7540" t="s">
        <v>14201</v>
      </c>
      <c r="I7540" t="s">
        <v>4369</v>
      </c>
      <c r="J7540" t="s">
        <v>36641</v>
      </c>
      <c r="K7540" t="s">
        <v>42638</v>
      </c>
      <c r="M7540" t="s">
        <v>44797</v>
      </c>
      <c r="N7540" t="s">
        <v>47304</v>
      </c>
      <c r="O7540" t="s">
        <v>47305</v>
      </c>
      <c r="P7540">
        <v>0</v>
      </c>
      <c r="Q7540">
        <v>7</v>
      </c>
      <c r="R7540" t="s">
        <v>47311</v>
      </c>
      <c r="S7540" t="s">
        <v>47443</v>
      </c>
      <c r="T7540" t="s">
        <v>49189</v>
      </c>
      <c r="U7540" t="s">
        <v>55848</v>
      </c>
      <c r="W7540" t="s">
        <v>44797</v>
      </c>
      <c r="X7540" t="s">
        <v>47312</v>
      </c>
    </row>
    <row r="7541" spans="1:24">
      <c r="A7541">
        <f>HYPERLINK("https://www.philgeps.gov.ph/GEPSNONPILOT/Tender/SplashBidNoticeAbstractUI.aspx?menuIndex=3&amp;refID=7192847&amp;Result=3","7192847")</f>
        <v>0</v>
      </c>
      <c r="B7541" t="s">
        <v>2325</v>
      </c>
      <c r="C7541" t="s">
        <v>10942</v>
      </c>
      <c r="D7541" t="s">
        <v>18991</v>
      </c>
      <c r="E7541" t="s">
        <v>25654</v>
      </c>
      <c r="F7541" t="s">
        <v>32606</v>
      </c>
      <c r="G7541" t="s">
        <v>32613</v>
      </c>
      <c r="H7541" t="s">
        <v>14201</v>
      </c>
      <c r="I7541" t="s">
        <v>6931</v>
      </c>
      <c r="J7541" t="s">
        <v>37528</v>
      </c>
      <c r="K7541" t="s">
        <v>42624</v>
      </c>
      <c r="M7541" t="s">
        <v>45433</v>
      </c>
      <c r="N7541" t="s">
        <v>47304</v>
      </c>
      <c r="O7541" t="s">
        <v>47305</v>
      </c>
      <c r="P7541">
        <v>0</v>
      </c>
      <c r="Q7541">
        <v>0</v>
      </c>
      <c r="R7541" t="s">
        <v>47311</v>
      </c>
      <c r="S7541" t="s">
        <v>47443</v>
      </c>
      <c r="T7541" t="s">
        <v>49064</v>
      </c>
      <c r="U7541" t="s">
        <v>55849</v>
      </c>
      <c r="W7541" t="s">
        <v>45433</v>
      </c>
      <c r="X7541" t="s">
        <v>47312</v>
      </c>
    </row>
    <row r="7542" spans="1:24">
      <c r="A7542">
        <f>HYPERLINK("https://www.philgeps.gov.ph/GEPSNONPILOT/Tender/SplashBidNoticeAbstractUI.aspx?menuIndex=3&amp;refID=7192844&amp;Result=3","7192844")</f>
        <v>0</v>
      </c>
      <c r="B7542" t="s">
        <v>2444</v>
      </c>
      <c r="C7542" t="s">
        <v>10943</v>
      </c>
      <c r="D7542" t="s">
        <v>18988</v>
      </c>
      <c r="E7542" t="s">
        <v>20836</v>
      </c>
      <c r="F7542" t="s">
        <v>32606</v>
      </c>
      <c r="G7542" t="s">
        <v>32618</v>
      </c>
      <c r="H7542" t="s">
        <v>14201</v>
      </c>
      <c r="I7542" t="s">
        <v>6478</v>
      </c>
      <c r="J7542" t="s">
        <v>33569</v>
      </c>
      <c r="K7542" t="s">
        <v>42630</v>
      </c>
      <c r="M7542" t="s">
        <v>45572</v>
      </c>
      <c r="N7542" t="s">
        <v>47304</v>
      </c>
      <c r="O7542" t="s">
        <v>47305</v>
      </c>
      <c r="P7542">
        <v>0</v>
      </c>
      <c r="Q7542">
        <v>1</v>
      </c>
      <c r="R7542" t="s">
        <v>47311</v>
      </c>
      <c r="S7542" t="s">
        <v>47443</v>
      </c>
      <c r="T7542" t="s">
        <v>49022</v>
      </c>
      <c r="U7542" t="s">
        <v>55850</v>
      </c>
      <c r="W7542" t="s">
        <v>45572</v>
      </c>
      <c r="X7542" t="s">
        <v>47312</v>
      </c>
    </row>
    <row r="7543" spans="1:24">
      <c r="A7543">
        <f>HYPERLINK("https://www.philgeps.gov.ph/GEPSNONPILOT/Tender/SplashBidNoticeAbstractUI.aspx?menuIndex=3&amp;refID=7192893&amp;Result=3","7192893")</f>
        <v>0</v>
      </c>
      <c r="B7543" t="s">
        <v>1799</v>
      </c>
      <c r="C7543" t="s">
        <v>10944</v>
      </c>
      <c r="D7543" t="s">
        <v>18989</v>
      </c>
      <c r="E7543" t="s">
        <v>25655</v>
      </c>
      <c r="F7543" t="s">
        <v>32606</v>
      </c>
      <c r="G7543" t="s">
        <v>32613</v>
      </c>
      <c r="H7543" t="s">
        <v>14201</v>
      </c>
      <c r="I7543" t="s">
        <v>32640</v>
      </c>
      <c r="J7543" t="s">
        <v>37529</v>
      </c>
      <c r="K7543" t="s">
        <v>42624</v>
      </c>
      <c r="M7543" t="s">
        <v>44840</v>
      </c>
      <c r="N7543" t="s">
        <v>47304</v>
      </c>
      <c r="O7543" t="s">
        <v>47305</v>
      </c>
      <c r="P7543">
        <v>0</v>
      </c>
      <c r="Q7543">
        <v>5</v>
      </c>
      <c r="R7543" t="s">
        <v>47311</v>
      </c>
      <c r="S7543" t="s">
        <v>47443</v>
      </c>
      <c r="T7543" t="s">
        <v>49077</v>
      </c>
      <c r="U7543" t="s">
        <v>55851</v>
      </c>
      <c r="W7543" t="s">
        <v>44840</v>
      </c>
      <c r="X7543" t="s">
        <v>47312</v>
      </c>
    </row>
    <row r="7544" spans="1:24">
      <c r="A7544">
        <f>HYPERLINK("https://www.philgeps.gov.ph/GEPSNONPILOT/Tender/SplashBidNoticeAbstractUI.aspx?menuIndex=3&amp;refID=7192838&amp;Result=3","7192838")</f>
        <v>0</v>
      </c>
      <c r="B7544" t="s">
        <v>2439</v>
      </c>
      <c r="C7544" t="s">
        <v>10945</v>
      </c>
      <c r="D7544" t="s">
        <v>18993</v>
      </c>
      <c r="E7544" t="s">
        <v>25656</v>
      </c>
      <c r="F7544" t="s">
        <v>32606</v>
      </c>
      <c r="G7544" t="s">
        <v>32613</v>
      </c>
      <c r="H7544" t="s">
        <v>14201</v>
      </c>
      <c r="I7544" t="s">
        <v>32638</v>
      </c>
      <c r="J7544" t="s">
        <v>33051</v>
      </c>
      <c r="K7544" t="s">
        <v>42624</v>
      </c>
      <c r="M7544" t="s">
        <v>45566</v>
      </c>
      <c r="N7544" t="s">
        <v>47304</v>
      </c>
      <c r="O7544" t="s">
        <v>47305</v>
      </c>
      <c r="P7544">
        <v>0</v>
      </c>
      <c r="Q7544">
        <v>23</v>
      </c>
      <c r="R7544" t="s">
        <v>47311</v>
      </c>
      <c r="S7544" t="s">
        <v>47443</v>
      </c>
      <c r="T7544" t="s">
        <v>49004</v>
      </c>
      <c r="U7544" t="s">
        <v>55852</v>
      </c>
      <c r="W7544" t="s">
        <v>45566</v>
      </c>
      <c r="X7544" t="s">
        <v>47312</v>
      </c>
    </row>
    <row r="7545" spans="1:24">
      <c r="A7545">
        <f>HYPERLINK("https://www.philgeps.gov.ph/GEPSNONPILOT/Tender/SplashBidNoticeAbstractUI.aspx?menuIndex=3&amp;refID=7192966&amp;Result=3","7192966")</f>
        <v>0</v>
      </c>
      <c r="B7545" t="s">
        <v>1883</v>
      </c>
      <c r="C7545" t="s">
        <v>10946</v>
      </c>
      <c r="D7545" t="s">
        <v>18999</v>
      </c>
      <c r="E7545" t="s">
        <v>19315</v>
      </c>
      <c r="F7545" t="s">
        <v>32606</v>
      </c>
      <c r="G7545" t="s">
        <v>32614</v>
      </c>
      <c r="H7545" t="s">
        <v>32624</v>
      </c>
      <c r="I7545" t="s">
        <v>4369</v>
      </c>
      <c r="J7545" t="s">
        <v>32885</v>
      </c>
      <c r="K7545" t="s">
        <v>42629</v>
      </c>
      <c r="M7545" t="s">
        <v>44941</v>
      </c>
      <c r="N7545" t="s">
        <v>47304</v>
      </c>
      <c r="O7545" t="s">
        <v>47305</v>
      </c>
      <c r="P7545">
        <v>0</v>
      </c>
      <c r="Q7545">
        <v>2</v>
      </c>
      <c r="R7545" t="s">
        <v>47311</v>
      </c>
      <c r="S7545" t="s">
        <v>47443</v>
      </c>
      <c r="T7545" t="s">
        <v>48979</v>
      </c>
      <c r="U7545" t="s">
        <v>55853</v>
      </c>
      <c r="W7545" t="s">
        <v>44941</v>
      </c>
      <c r="X7545" t="s">
        <v>47312</v>
      </c>
    </row>
    <row r="7546" spans="1:24">
      <c r="A7546">
        <f>HYPERLINK("https://www.philgeps.gov.ph/GEPSNONPILOT/Tender/SplashBidNoticeAbstractUI.aspx?menuIndex=3&amp;refID=7192886&amp;Result=3","7192886")</f>
        <v>0</v>
      </c>
      <c r="B7546" t="s">
        <v>2440</v>
      </c>
      <c r="C7546" t="s">
        <v>10947</v>
      </c>
      <c r="D7546" t="s">
        <v>19045</v>
      </c>
      <c r="E7546" t="s">
        <v>25657</v>
      </c>
      <c r="F7546" t="s">
        <v>32606</v>
      </c>
      <c r="G7546" t="s">
        <v>32613</v>
      </c>
      <c r="H7546" t="s">
        <v>14201</v>
      </c>
      <c r="I7546" t="s">
        <v>6931</v>
      </c>
      <c r="J7546" t="s">
        <v>37530</v>
      </c>
      <c r="K7546" t="s">
        <v>42623</v>
      </c>
      <c r="M7546" t="s">
        <v>45568</v>
      </c>
      <c r="N7546" t="s">
        <v>47304</v>
      </c>
      <c r="O7546" t="s">
        <v>47305</v>
      </c>
      <c r="P7546">
        <v>0</v>
      </c>
      <c r="Q7546">
        <v>0</v>
      </c>
      <c r="R7546" t="s">
        <v>47311</v>
      </c>
      <c r="S7546" t="s">
        <v>47443</v>
      </c>
      <c r="T7546" t="s">
        <v>49037</v>
      </c>
      <c r="U7546" t="s">
        <v>55831</v>
      </c>
      <c r="V7546" t="s">
        <v>63364</v>
      </c>
      <c r="W7546" t="s">
        <v>45568</v>
      </c>
      <c r="X7546" t="s">
        <v>47312</v>
      </c>
    </row>
    <row r="7547" spans="1:24">
      <c r="A7547">
        <f>HYPERLINK("https://www.philgeps.gov.ph/GEPSNONPILOT/Tender/SplashBidNoticeAbstractUI.aspx?menuIndex=3&amp;refID=7192904&amp;Result=3","7192904")</f>
        <v>0</v>
      </c>
      <c r="B7547" t="s">
        <v>1543</v>
      </c>
      <c r="C7547" t="s">
        <v>10948</v>
      </c>
      <c r="D7547" t="s">
        <v>19013</v>
      </c>
      <c r="E7547" t="s">
        <v>25658</v>
      </c>
      <c r="F7547" t="s">
        <v>32606</v>
      </c>
      <c r="G7547" t="s">
        <v>32613</v>
      </c>
      <c r="H7547" t="s">
        <v>32623</v>
      </c>
      <c r="I7547" t="s">
        <v>17648</v>
      </c>
      <c r="J7547" t="s">
        <v>32795</v>
      </c>
      <c r="K7547" t="s">
        <v>42646</v>
      </c>
      <c r="M7547" t="s">
        <v>44547</v>
      </c>
      <c r="N7547" t="s">
        <v>47304</v>
      </c>
      <c r="O7547" t="s">
        <v>47305</v>
      </c>
      <c r="P7547">
        <v>0</v>
      </c>
      <c r="Q7547">
        <v>1</v>
      </c>
      <c r="R7547" t="s">
        <v>47311</v>
      </c>
      <c r="S7547" t="s">
        <v>47443</v>
      </c>
      <c r="T7547" t="s">
        <v>49037</v>
      </c>
      <c r="U7547" t="s">
        <v>55854</v>
      </c>
      <c r="W7547" t="s">
        <v>44547</v>
      </c>
      <c r="X7547" t="s">
        <v>47312</v>
      </c>
    </row>
    <row r="7548" spans="1:24">
      <c r="A7548">
        <f>HYPERLINK("https://www.philgeps.gov.ph/GEPSNONPILOT/Tender/SplashBidNoticeAbstractUI.aspx?menuIndex=3&amp;refID=7192975&amp;Result=3","7192975")</f>
        <v>0</v>
      </c>
      <c r="B7548" t="s">
        <v>897</v>
      </c>
      <c r="C7548" t="s">
        <v>10949</v>
      </c>
      <c r="D7548" t="s">
        <v>19067</v>
      </c>
      <c r="E7548" t="s">
        <v>25659</v>
      </c>
      <c r="F7548" t="s">
        <v>32606</v>
      </c>
      <c r="G7548" t="s">
        <v>32613</v>
      </c>
      <c r="H7548" t="s">
        <v>32623</v>
      </c>
      <c r="I7548" t="s">
        <v>17648</v>
      </c>
      <c r="J7548" t="s">
        <v>37531</v>
      </c>
      <c r="K7548" t="s">
        <v>42636</v>
      </c>
      <c r="M7548" t="s">
        <v>43834</v>
      </c>
      <c r="N7548" t="s">
        <v>47304</v>
      </c>
      <c r="O7548" t="s">
        <v>47305</v>
      </c>
      <c r="P7548">
        <v>0</v>
      </c>
      <c r="Q7548">
        <v>1</v>
      </c>
      <c r="R7548" t="s">
        <v>47311</v>
      </c>
      <c r="S7548" t="s">
        <v>47443</v>
      </c>
      <c r="T7548" t="s">
        <v>49157</v>
      </c>
      <c r="U7548" t="s">
        <v>55855</v>
      </c>
      <c r="W7548" t="s">
        <v>43834</v>
      </c>
      <c r="X7548" t="s">
        <v>47312</v>
      </c>
    </row>
    <row r="7549" spans="1:24">
      <c r="A7549">
        <f>HYPERLINK("https://www.philgeps.gov.ph/GEPSNONPILOT/Tender/SplashBidNoticeAbstractUI.aspx?menuIndex=3&amp;refID=7192918&amp;Result=3","7192918")</f>
        <v>0</v>
      </c>
      <c r="B7549" t="s">
        <v>1156</v>
      </c>
      <c r="C7549" t="s">
        <v>10950</v>
      </c>
      <c r="D7549" t="s">
        <v>19041</v>
      </c>
      <c r="E7549" t="s">
        <v>25660</v>
      </c>
      <c r="F7549" t="s">
        <v>32606</v>
      </c>
      <c r="G7549" t="s">
        <v>32613</v>
      </c>
      <c r="H7549" t="s">
        <v>32625</v>
      </c>
      <c r="I7549" t="s">
        <v>32625</v>
      </c>
      <c r="J7549" t="s">
        <v>37532</v>
      </c>
      <c r="K7549" t="s">
        <v>42636</v>
      </c>
      <c r="M7549" t="s">
        <v>44119</v>
      </c>
      <c r="N7549" t="s">
        <v>47304</v>
      </c>
      <c r="O7549" t="s">
        <v>47305</v>
      </c>
      <c r="P7549">
        <v>0</v>
      </c>
      <c r="Q7549">
        <v>1</v>
      </c>
      <c r="R7549" t="s">
        <v>47311</v>
      </c>
      <c r="S7549" t="s">
        <v>47443</v>
      </c>
      <c r="T7549" t="s">
        <v>48995</v>
      </c>
      <c r="U7549" t="s">
        <v>55856</v>
      </c>
      <c r="W7549" t="s">
        <v>44119</v>
      </c>
      <c r="X7549" t="s">
        <v>47312</v>
      </c>
    </row>
    <row r="7550" spans="1:24">
      <c r="A7550">
        <f>HYPERLINK("https://www.philgeps.gov.ph/GEPSNONPILOT/Tender/SplashBidNoticeAbstractUI.aspx?menuIndex=3&amp;refID=7192974&amp;Result=3","7192974")</f>
        <v>0</v>
      </c>
      <c r="B7550" t="s">
        <v>2440</v>
      </c>
      <c r="C7550" t="s">
        <v>10951</v>
      </c>
      <c r="D7550" t="s">
        <v>19045</v>
      </c>
      <c r="E7550" t="s">
        <v>25661</v>
      </c>
      <c r="F7550" t="s">
        <v>32606</v>
      </c>
      <c r="G7550" t="s">
        <v>32613</v>
      </c>
      <c r="H7550" t="s">
        <v>32623</v>
      </c>
      <c r="I7550" t="s">
        <v>17648</v>
      </c>
      <c r="J7550" t="s">
        <v>33529</v>
      </c>
      <c r="K7550" t="s">
        <v>42648</v>
      </c>
      <c r="M7550" t="s">
        <v>45568</v>
      </c>
      <c r="N7550" t="s">
        <v>47304</v>
      </c>
      <c r="O7550" t="s">
        <v>47305</v>
      </c>
      <c r="P7550">
        <v>0</v>
      </c>
      <c r="Q7550">
        <v>0</v>
      </c>
      <c r="R7550" t="s">
        <v>47311</v>
      </c>
      <c r="S7550" t="s">
        <v>47443</v>
      </c>
      <c r="T7550" t="s">
        <v>49037</v>
      </c>
      <c r="U7550" t="s">
        <v>55857</v>
      </c>
      <c r="V7550" t="s">
        <v>63364</v>
      </c>
      <c r="W7550" t="s">
        <v>45568</v>
      </c>
      <c r="X7550" t="s">
        <v>47312</v>
      </c>
    </row>
    <row r="7551" spans="1:24">
      <c r="A7551">
        <f>HYPERLINK("https://www.philgeps.gov.ph/GEPSNONPILOT/Tender/SplashBidNoticeAbstractUI.aspx?menuIndex=3&amp;refID=7192972&amp;Result=3","7192972")</f>
        <v>0</v>
      </c>
      <c r="B7551" t="s">
        <v>2440</v>
      </c>
      <c r="C7551" t="s">
        <v>10952</v>
      </c>
      <c r="D7551" t="s">
        <v>19045</v>
      </c>
      <c r="E7551" t="s">
        <v>25662</v>
      </c>
      <c r="F7551" t="s">
        <v>32606</v>
      </c>
      <c r="G7551" t="s">
        <v>32613</v>
      </c>
      <c r="H7551" t="s">
        <v>14201</v>
      </c>
      <c r="I7551" t="s">
        <v>6931</v>
      </c>
      <c r="J7551" t="s">
        <v>37533</v>
      </c>
      <c r="K7551" t="s">
        <v>42623</v>
      </c>
      <c r="M7551" t="s">
        <v>45568</v>
      </c>
      <c r="N7551" t="s">
        <v>47304</v>
      </c>
      <c r="O7551" t="s">
        <v>47305</v>
      </c>
      <c r="P7551">
        <v>0</v>
      </c>
      <c r="Q7551">
        <v>0</v>
      </c>
      <c r="R7551" t="s">
        <v>47311</v>
      </c>
      <c r="S7551" t="s">
        <v>47443</v>
      </c>
      <c r="T7551" t="s">
        <v>49037</v>
      </c>
      <c r="U7551" t="s">
        <v>55831</v>
      </c>
      <c r="V7551" t="s">
        <v>63364</v>
      </c>
      <c r="W7551" t="s">
        <v>45568</v>
      </c>
      <c r="X7551" t="s">
        <v>47312</v>
      </c>
    </row>
    <row r="7552" spans="1:24">
      <c r="A7552">
        <f>HYPERLINK("https://www.philgeps.gov.ph/GEPSNONPILOT/Tender/SplashBidNoticeAbstractUI.aspx?menuIndex=3&amp;refID=7192969&amp;Result=3","7192969")</f>
        <v>0</v>
      </c>
      <c r="B7552" t="s">
        <v>1543</v>
      </c>
      <c r="C7552" t="s">
        <v>10953</v>
      </c>
      <c r="D7552" t="s">
        <v>19013</v>
      </c>
      <c r="E7552" t="s">
        <v>25663</v>
      </c>
      <c r="F7552" t="s">
        <v>32606</v>
      </c>
      <c r="G7552" t="s">
        <v>32613</v>
      </c>
      <c r="H7552" t="s">
        <v>32623</v>
      </c>
      <c r="I7552" t="s">
        <v>17648</v>
      </c>
      <c r="J7552" t="s">
        <v>32830</v>
      </c>
      <c r="K7552" t="s">
        <v>42646</v>
      </c>
      <c r="M7552" t="s">
        <v>44547</v>
      </c>
      <c r="N7552" t="s">
        <v>47304</v>
      </c>
      <c r="O7552" t="s">
        <v>47305</v>
      </c>
      <c r="P7552">
        <v>0</v>
      </c>
      <c r="Q7552">
        <v>1</v>
      </c>
      <c r="R7552" t="s">
        <v>47311</v>
      </c>
      <c r="S7552" t="s">
        <v>47443</v>
      </c>
      <c r="T7552" t="s">
        <v>49037</v>
      </c>
      <c r="U7552" t="s">
        <v>55858</v>
      </c>
      <c r="W7552" t="s">
        <v>44547</v>
      </c>
      <c r="X7552" t="s">
        <v>47312</v>
      </c>
    </row>
    <row r="7553" spans="1:24">
      <c r="A7553">
        <f>HYPERLINK("https://www.philgeps.gov.ph/GEPSNONPILOT/Tender/SplashBidNoticeAbstractUI.aspx?menuIndex=3&amp;refID=7192967&amp;Result=3","7192967")</f>
        <v>0</v>
      </c>
      <c r="B7553" t="s">
        <v>1115</v>
      </c>
      <c r="C7553" t="s">
        <v>10954</v>
      </c>
      <c r="D7553" t="s">
        <v>18993</v>
      </c>
      <c r="E7553" t="s">
        <v>25664</v>
      </c>
      <c r="F7553" t="s">
        <v>32606</v>
      </c>
      <c r="G7553" t="s">
        <v>32614</v>
      </c>
      <c r="H7553" t="s">
        <v>14201</v>
      </c>
      <c r="I7553" t="s">
        <v>7577</v>
      </c>
      <c r="J7553" t="s">
        <v>33555</v>
      </c>
      <c r="K7553" t="s">
        <v>42624</v>
      </c>
      <c r="M7553" t="s">
        <v>44076</v>
      </c>
      <c r="N7553" t="s">
        <v>47304</v>
      </c>
      <c r="O7553" t="s">
        <v>47305</v>
      </c>
      <c r="P7553">
        <v>0</v>
      </c>
      <c r="Q7553">
        <v>2</v>
      </c>
      <c r="R7553" t="s">
        <v>47311</v>
      </c>
      <c r="S7553" t="s">
        <v>47443</v>
      </c>
      <c r="T7553" t="s">
        <v>49269</v>
      </c>
      <c r="U7553" t="s">
        <v>55859</v>
      </c>
      <c r="W7553" t="s">
        <v>44076</v>
      </c>
      <c r="X7553" t="s">
        <v>47312</v>
      </c>
    </row>
    <row r="7554" spans="1:24">
      <c r="A7554">
        <f>HYPERLINK("https://www.philgeps.gov.ph/GEPSNONPILOT/Tender/SplashBidNoticeAbstractUI.aspx?menuIndex=3&amp;refID=7192965&amp;Result=3","7192965")</f>
        <v>0</v>
      </c>
      <c r="B7554" t="s">
        <v>2445</v>
      </c>
      <c r="C7554" t="s">
        <v>10955</v>
      </c>
      <c r="D7554" t="s">
        <v>19011</v>
      </c>
      <c r="E7554" t="s">
        <v>25665</v>
      </c>
      <c r="F7554" t="s">
        <v>32607</v>
      </c>
      <c r="G7554" t="s">
        <v>32613</v>
      </c>
      <c r="H7554" t="s">
        <v>14201</v>
      </c>
      <c r="I7554" t="s">
        <v>6931</v>
      </c>
      <c r="J7554" t="s">
        <v>37534</v>
      </c>
      <c r="K7554" t="s">
        <v>42636</v>
      </c>
      <c r="M7554" t="s">
        <v>45573</v>
      </c>
      <c r="N7554" t="s">
        <v>47304</v>
      </c>
      <c r="O7554" t="s">
        <v>47305</v>
      </c>
      <c r="P7554">
        <v>0</v>
      </c>
      <c r="Q7554">
        <v>1</v>
      </c>
      <c r="R7554" t="s">
        <v>47311</v>
      </c>
      <c r="S7554" t="s">
        <v>47443</v>
      </c>
      <c r="T7554" t="s">
        <v>49360</v>
      </c>
      <c r="U7554" t="s">
        <v>55860</v>
      </c>
      <c r="V7554" t="s">
        <v>63365</v>
      </c>
      <c r="W7554" t="s">
        <v>45573</v>
      </c>
      <c r="X7554" t="s">
        <v>47312</v>
      </c>
    </row>
    <row r="7555" spans="1:24">
      <c r="A7555">
        <f>HYPERLINK("https://www.philgeps.gov.ph/GEPSNONPILOT/Tender/SplashBidNoticeAbstractUI.aspx?menuIndex=3&amp;refID=7192963&amp;Result=3","7192963")</f>
        <v>0</v>
      </c>
      <c r="B7555" t="s">
        <v>2440</v>
      </c>
      <c r="C7555" t="s">
        <v>10956</v>
      </c>
      <c r="D7555" t="s">
        <v>19045</v>
      </c>
      <c r="E7555" t="s">
        <v>25666</v>
      </c>
      <c r="F7555" t="s">
        <v>32606</v>
      </c>
      <c r="G7555" t="s">
        <v>32613</v>
      </c>
      <c r="H7555" t="s">
        <v>14201</v>
      </c>
      <c r="I7555" t="s">
        <v>6931</v>
      </c>
      <c r="J7555" t="s">
        <v>37535</v>
      </c>
      <c r="K7555" t="s">
        <v>42623</v>
      </c>
      <c r="M7555" t="s">
        <v>45568</v>
      </c>
      <c r="N7555" t="s">
        <v>47304</v>
      </c>
      <c r="O7555" t="s">
        <v>47305</v>
      </c>
      <c r="P7555">
        <v>0</v>
      </c>
      <c r="Q7555">
        <v>0</v>
      </c>
      <c r="R7555" t="s">
        <v>47311</v>
      </c>
      <c r="S7555" t="s">
        <v>47443</v>
      </c>
      <c r="T7555" t="s">
        <v>49037</v>
      </c>
      <c r="U7555" t="s">
        <v>55861</v>
      </c>
      <c r="V7555" t="s">
        <v>63364</v>
      </c>
      <c r="W7555" t="s">
        <v>45568</v>
      </c>
      <c r="X7555" t="s">
        <v>47312</v>
      </c>
    </row>
    <row r="7556" spans="1:24">
      <c r="A7556">
        <f>HYPERLINK("https://www.philgeps.gov.ph/GEPSNONPILOT/Tender/SplashBidNoticeAbstractUI.aspx?menuIndex=3&amp;refID=7192944&amp;Result=3","7192944")</f>
        <v>0</v>
      </c>
      <c r="B7556" t="s">
        <v>897</v>
      </c>
      <c r="C7556" t="s">
        <v>10957</v>
      </c>
      <c r="D7556" t="s">
        <v>19067</v>
      </c>
      <c r="E7556" t="s">
        <v>25667</v>
      </c>
      <c r="F7556" t="s">
        <v>32606</v>
      </c>
      <c r="G7556" t="s">
        <v>32613</v>
      </c>
      <c r="H7556" t="s">
        <v>32623</v>
      </c>
      <c r="I7556" t="s">
        <v>17648</v>
      </c>
      <c r="J7556" t="s">
        <v>37536</v>
      </c>
      <c r="K7556" t="s">
        <v>42636</v>
      </c>
      <c r="M7556" t="s">
        <v>43834</v>
      </c>
      <c r="N7556" t="s">
        <v>47304</v>
      </c>
      <c r="O7556" t="s">
        <v>47305</v>
      </c>
      <c r="P7556">
        <v>0</v>
      </c>
      <c r="Q7556">
        <v>0</v>
      </c>
      <c r="R7556" t="s">
        <v>47311</v>
      </c>
      <c r="S7556" t="s">
        <v>47443</v>
      </c>
      <c r="T7556" t="s">
        <v>49236</v>
      </c>
      <c r="U7556" t="s">
        <v>51274</v>
      </c>
      <c r="W7556" t="s">
        <v>43834</v>
      </c>
      <c r="X7556" t="s">
        <v>47312</v>
      </c>
    </row>
    <row r="7557" spans="1:24">
      <c r="A7557">
        <f>HYPERLINK("https://www.philgeps.gov.ph/GEPSNONPILOT/Tender/SplashBidNoticeAbstractUI.aspx?menuIndex=3&amp;refID=7192962&amp;Result=3","7192962")</f>
        <v>0</v>
      </c>
      <c r="B7557" t="s">
        <v>2446</v>
      </c>
      <c r="C7557" t="s">
        <v>10958</v>
      </c>
      <c r="D7557" t="s">
        <v>19005</v>
      </c>
      <c r="E7557" t="s">
        <v>25668</v>
      </c>
      <c r="F7557" t="s">
        <v>32606</v>
      </c>
      <c r="G7557" t="s">
        <v>32613</v>
      </c>
      <c r="H7557" t="s">
        <v>14201</v>
      </c>
      <c r="I7557" t="s">
        <v>4369</v>
      </c>
      <c r="J7557" t="s">
        <v>37537</v>
      </c>
      <c r="K7557" t="s">
        <v>42627</v>
      </c>
      <c r="M7557" t="s">
        <v>45574</v>
      </c>
      <c r="N7557" t="s">
        <v>47304</v>
      </c>
      <c r="O7557" t="s">
        <v>47305</v>
      </c>
      <c r="P7557">
        <v>0</v>
      </c>
      <c r="Q7557">
        <v>7</v>
      </c>
      <c r="R7557" t="s">
        <v>47311</v>
      </c>
      <c r="S7557" t="s">
        <v>47443</v>
      </c>
      <c r="T7557" t="s">
        <v>49086</v>
      </c>
      <c r="U7557" t="s">
        <v>55862</v>
      </c>
      <c r="W7557" t="s">
        <v>45574</v>
      </c>
      <c r="X7557" t="s">
        <v>47312</v>
      </c>
    </row>
    <row r="7558" spans="1:24">
      <c r="A7558">
        <f>HYPERLINK("https://www.philgeps.gov.ph/GEPSNONPILOT/Tender/SplashBidNoticeAbstractUI.aspx?menuIndex=3&amp;refID=7192959&amp;Result=3","7192959")</f>
        <v>0</v>
      </c>
      <c r="B7558" t="s">
        <v>2440</v>
      </c>
      <c r="C7558" t="s">
        <v>10959</v>
      </c>
      <c r="D7558" t="s">
        <v>19045</v>
      </c>
      <c r="E7558" t="s">
        <v>25669</v>
      </c>
      <c r="F7558" t="s">
        <v>32606</v>
      </c>
      <c r="G7558" t="s">
        <v>32613</v>
      </c>
      <c r="H7558" t="s">
        <v>32623</v>
      </c>
      <c r="I7558" t="s">
        <v>17648</v>
      </c>
      <c r="J7558" t="s">
        <v>37538</v>
      </c>
      <c r="K7558" t="s">
        <v>42636</v>
      </c>
      <c r="M7558" t="s">
        <v>45568</v>
      </c>
      <c r="N7558" t="s">
        <v>47304</v>
      </c>
      <c r="O7558" t="s">
        <v>47305</v>
      </c>
      <c r="P7558">
        <v>0</v>
      </c>
      <c r="Q7558">
        <v>0</v>
      </c>
      <c r="R7558" t="s">
        <v>47311</v>
      </c>
      <c r="S7558" t="s">
        <v>47443</v>
      </c>
      <c r="T7558" t="s">
        <v>49037</v>
      </c>
      <c r="U7558" t="s">
        <v>55841</v>
      </c>
      <c r="V7558" t="s">
        <v>63364</v>
      </c>
      <c r="W7558" t="s">
        <v>45568</v>
      </c>
      <c r="X7558" t="s">
        <v>47312</v>
      </c>
    </row>
    <row r="7559" spans="1:24">
      <c r="A7559">
        <f>HYPERLINK("https://www.philgeps.gov.ph/GEPSNONPILOT/Tender/SplashBidNoticeAbstractUI.aspx?menuIndex=3&amp;refID=7192958&amp;Result=3","7192958")</f>
        <v>0</v>
      </c>
      <c r="B7559" t="s">
        <v>897</v>
      </c>
      <c r="C7559" t="s">
        <v>10960</v>
      </c>
      <c r="D7559" t="s">
        <v>19067</v>
      </c>
      <c r="E7559" t="s">
        <v>25670</v>
      </c>
      <c r="F7559" t="s">
        <v>32606</v>
      </c>
      <c r="G7559" t="s">
        <v>32613</v>
      </c>
      <c r="H7559" t="s">
        <v>32623</v>
      </c>
      <c r="I7559" t="s">
        <v>17648</v>
      </c>
      <c r="J7559" t="s">
        <v>37539</v>
      </c>
      <c r="K7559" t="s">
        <v>42636</v>
      </c>
      <c r="M7559" t="s">
        <v>43834</v>
      </c>
      <c r="N7559" t="s">
        <v>47304</v>
      </c>
      <c r="O7559" t="s">
        <v>47305</v>
      </c>
      <c r="P7559">
        <v>0</v>
      </c>
      <c r="Q7559">
        <v>0</v>
      </c>
      <c r="R7559" t="s">
        <v>47311</v>
      </c>
      <c r="S7559" t="s">
        <v>47443</v>
      </c>
      <c r="T7559" t="s">
        <v>49367</v>
      </c>
      <c r="U7559" t="s">
        <v>55863</v>
      </c>
      <c r="W7559" t="s">
        <v>43834</v>
      </c>
      <c r="X7559" t="s">
        <v>47312</v>
      </c>
    </row>
    <row r="7560" spans="1:24">
      <c r="A7560">
        <f>HYPERLINK("https://www.philgeps.gov.ph/GEPSNONPILOT/Tender/SplashBidNoticeAbstractUI.aspx?menuIndex=3&amp;refID=7192955&amp;Result=3","7192955")</f>
        <v>0</v>
      </c>
      <c r="B7560" t="s">
        <v>1040</v>
      </c>
      <c r="C7560" t="s">
        <v>10961</v>
      </c>
      <c r="D7560" t="s">
        <v>19008</v>
      </c>
      <c r="E7560" t="s">
        <v>25671</v>
      </c>
      <c r="F7560" t="s">
        <v>32606</v>
      </c>
      <c r="G7560" t="s">
        <v>32614</v>
      </c>
      <c r="H7560" t="s">
        <v>32624</v>
      </c>
      <c r="I7560" t="s">
        <v>32652</v>
      </c>
      <c r="J7560" t="s">
        <v>37540</v>
      </c>
      <c r="K7560" t="s">
        <v>42714</v>
      </c>
      <c r="M7560" t="s">
        <v>45575</v>
      </c>
      <c r="N7560" t="s">
        <v>47304</v>
      </c>
      <c r="O7560" t="s">
        <v>47305</v>
      </c>
      <c r="P7560">
        <v>0</v>
      </c>
      <c r="Q7560">
        <v>0</v>
      </c>
      <c r="R7560" t="s">
        <v>47311</v>
      </c>
      <c r="S7560" t="s">
        <v>47443</v>
      </c>
      <c r="T7560" t="s">
        <v>49269</v>
      </c>
      <c r="U7560" t="s">
        <v>55864</v>
      </c>
      <c r="W7560" t="s">
        <v>45575</v>
      </c>
      <c r="X7560" t="s">
        <v>47312</v>
      </c>
    </row>
    <row r="7561" spans="1:24">
      <c r="A7561">
        <f>HYPERLINK("https://www.philgeps.gov.ph/GEPSNONPILOT/Tender/SplashBidNoticeAbstractUI.aspx?menuIndex=3&amp;refID=7192954&amp;Result=3","7192954")</f>
        <v>0</v>
      </c>
      <c r="B7561" t="s">
        <v>2440</v>
      </c>
      <c r="C7561" t="s">
        <v>10962</v>
      </c>
      <c r="D7561" t="s">
        <v>19045</v>
      </c>
      <c r="E7561" t="s">
        <v>25672</v>
      </c>
      <c r="F7561" t="s">
        <v>32606</v>
      </c>
      <c r="G7561" t="s">
        <v>32613</v>
      </c>
      <c r="H7561" t="s">
        <v>14201</v>
      </c>
      <c r="I7561" t="s">
        <v>6931</v>
      </c>
      <c r="J7561" t="s">
        <v>37541</v>
      </c>
      <c r="K7561" t="s">
        <v>42623</v>
      </c>
      <c r="M7561" t="s">
        <v>45568</v>
      </c>
      <c r="N7561" t="s">
        <v>47304</v>
      </c>
      <c r="O7561" t="s">
        <v>47305</v>
      </c>
      <c r="P7561">
        <v>0</v>
      </c>
      <c r="Q7561">
        <v>0</v>
      </c>
      <c r="R7561" t="s">
        <v>47311</v>
      </c>
      <c r="S7561" t="s">
        <v>47443</v>
      </c>
      <c r="T7561" t="s">
        <v>49037</v>
      </c>
      <c r="U7561" t="s">
        <v>55861</v>
      </c>
      <c r="V7561" t="s">
        <v>63364</v>
      </c>
      <c r="W7561" t="s">
        <v>45568</v>
      </c>
      <c r="X7561" t="s">
        <v>47312</v>
      </c>
    </row>
    <row r="7562" spans="1:24">
      <c r="A7562">
        <f>HYPERLINK("https://www.philgeps.gov.ph/GEPSNONPILOT/Tender/SplashBidNoticeAbstractUI.aspx?menuIndex=3&amp;refID=7192952&amp;Result=3","7192952")</f>
        <v>0</v>
      </c>
      <c r="B7562" t="s">
        <v>1543</v>
      </c>
      <c r="C7562" t="s">
        <v>10963</v>
      </c>
      <c r="D7562" t="s">
        <v>19013</v>
      </c>
      <c r="E7562" t="s">
        <v>25673</v>
      </c>
      <c r="F7562" t="s">
        <v>32606</v>
      </c>
      <c r="G7562" t="s">
        <v>32613</v>
      </c>
      <c r="H7562" t="s">
        <v>32623</v>
      </c>
      <c r="I7562" t="s">
        <v>17648</v>
      </c>
      <c r="J7562" t="s">
        <v>32795</v>
      </c>
      <c r="K7562" t="s">
        <v>42646</v>
      </c>
      <c r="M7562" t="s">
        <v>44547</v>
      </c>
      <c r="N7562" t="s">
        <v>47304</v>
      </c>
      <c r="O7562" t="s">
        <v>47305</v>
      </c>
      <c r="P7562">
        <v>0</v>
      </c>
      <c r="Q7562">
        <v>0</v>
      </c>
      <c r="R7562" t="s">
        <v>47311</v>
      </c>
      <c r="S7562" t="s">
        <v>47443</v>
      </c>
      <c r="T7562" t="s">
        <v>49037</v>
      </c>
      <c r="U7562" t="s">
        <v>55865</v>
      </c>
      <c r="W7562" t="s">
        <v>44547</v>
      </c>
      <c r="X7562" t="s">
        <v>47312</v>
      </c>
    </row>
    <row r="7563" spans="1:24">
      <c r="A7563">
        <f>HYPERLINK("https://www.philgeps.gov.ph/GEPSNONPILOT/Tender/SplashBidNoticeAbstractUI.aspx?menuIndex=3&amp;refID=7192949&amp;Result=3","7192949")</f>
        <v>0</v>
      </c>
      <c r="B7563" t="s">
        <v>1032</v>
      </c>
      <c r="C7563" t="s">
        <v>10964</v>
      </c>
      <c r="D7563" t="s">
        <v>18993</v>
      </c>
      <c r="E7563" t="s">
        <v>25674</v>
      </c>
      <c r="F7563" t="s">
        <v>32606</v>
      </c>
      <c r="G7563" t="s">
        <v>32613</v>
      </c>
      <c r="H7563" t="s">
        <v>32623</v>
      </c>
      <c r="I7563" t="s">
        <v>17648</v>
      </c>
      <c r="J7563" t="s">
        <v>37542</v>
      </c>
      <c r="K7563" t="s">
        <v>42636</v>
      </c>
      <c r="M7563" t="s">
        <v>44810</v>
      </c>
      <c r="N7563" t="s">
        <v>47304</v>
      </c>
      <c r="O7563" t="s">
        <v>47305</v>
      </c>
      <c r="P7563">
        <v>0</v>
      </c>
      <c r="Q7563">
        <v>2</v>
      </c>
      <c r="R7563" t="s">
        <v>47311</v>
      </c>
      <c r="S7563" t="s">
        <v>47443</v>
      </c>
      <c r="T7563" t="s">
        <v>49056</v>
      </c>
      <c r="U7563" t="s">
        <v>55866</v>
      </c>
      <c r="W7563" t="s">
        <v>44810</v>
      </c>
      <c r="X7563" t="s">
        <v>47312</v>
      </c>
    </row>
    <row r="7564" spans="1:24">
      <c r="A7564">
        <f>HYPERLINK("https://www.philgeps.gov.ph/GEPSNONPILOT/Tender/SplashBidNoticeAbstractUI.aspx?menuIndex=3&amp;refID=7192795&amp;Result=3","7192795")</f>
        <v>0</v>
      </c>
      <c r="B7564" t="s">
        <v>2430</v>
      </c>
      <c r="C7564" t="s">
        <v>10965</v>
      </c>
      <c r="D7564" t="s">
        <v>19010</v>
      </c>
      <c r="E7564" t="s">
        <v>25675</v>
      </c>
      <c r="F7564" t="s">
        <v>32606</v>
      </c>
      <c r="G7564" t="s">
        <v>32613</v>
      </c>
      <c r="H7564" t="s">
        <v>32623</v>
      </c>
      <c r="I7564" t="s">
        <v>17648</v>
      </c>
      <c r="J7564" t="s">
        <v>34166</v>
      </c>
      <c r="K7564" t="s">
        <v>42648</v>
      </c>
      <c r="M7564" t="s">
        <v>45556</v>
      </c>
      <c r="N7564" t="s">
        <v>47304</v>
      </c>
      <c r="O7564" t="s">
        <v>47305</v>
      </c>
      <c r="P7564">
        <v>0</v>
      </c>
      <c r="Q7564">
        <v>1</v>
      </c>
      <c r="R7564" t="s">
        <v>47311</v>
      </c>
      <c r="S7564" t="s">
        <v>47443</v>
      </c>
      <c r="T7564" t="s">
        <v>49037</v>
      </c>
      <c r="U7564" t="s">
        <v>55867</v>
      </c>
      <c r="W7564" t="s">
        <v>45556</v>
      </c>
      <c r="X7564" t="s">
        <v>47312</v>
      </c>
    </row>
    <row r="7565" spans="1:24">
      <c r="A7565">
        <f>HYPERLINK("https://www.philgeps.gov.ph/GEPSNONPILOT/Tender/SplashBidNoticeAbstractUI.aspx?menuIndex=3&amp;refID=7192908&amp;Result=3","7192908")</f>
        <v>0</v>
      </c>
      <c r="B7565" t="s">
        <v>270</v>
      </c>
      <c r="C7565" t="s">
        <v>10966</v>
      </c>
      <c r="D7565" t="s">
        <v>19069</v>
      </c>
      <c r="E7565" t="s">
        <v>25676</v>
      </c>
      <c r="F7565" t="s">
        <v>32606</v>
      </c>
      <c r="G7565" t="s">
        <v>32613</v>
      </c>
      <c r="H7565" t="s">
        <v>14201</v>
      </c>
      <c r="I7565" t="s">
        <v>32640</v>
      </c>
      <c r="J7565" t="s">
        <v>37543</v>
      </c>
      <c r="K7565" t="s">
        <v>42648</v>
      </c>
      <c r="M7565" t="s">
        <v>45544</v>
      </c>
      <c r="N7565" t="s">
        <v>47304</v>
      </c>
      <c r="O7565" t="s">
        <v>47305</v>
      </c>
      <c r="Q7565">
        <v>13</v>
      </c>
      <c r="R7565" t="s">
        <v>47311</v>
      </c>
      <c r="S7565" t="s">
        <v>47486</v>
      </c>
      <c r="T7565" t="s">
        <v>49189</v>
      </c>
      <c r="U7565" t="s">
        <v>55868</v>
      </c>
      <c r="W7565" t="s">
        <v>45544</v>
      </c>
      <c r="X7565" t="s">
        <v>47312</v>
      </c>
    </row>
    <row r="7566" spans="1:24">
      <c r="A7566">
        <f>HYPERLINK("https://www.philgeps.gov.ph/GEPSNONPILOT/Tender/SplashBidNoticeAbstractUI.aspx?menuIndex=3&amp;refID=7192793&amp;Result=3","7192793")</f>
        <v>0</v>
      </c>
      <c r="B7566" t="s">
        <v>2430</v>
      </c>
      <c r="C7566" t="s">
        <v>10967</v>
      </c>
      <c r="D7566" t="s">
        <v>19010</v>
      </c>
      <c r="E7566" t="s">
        <v>25677</v>
      </c>
      <c r="F7566" t="s">
        <v>32606</v>
      </c>
      <c r="G7566" t="s">
        <v>32613</v>
      </c>
      <c r="H7566" t="s">
        <v>32623</v>
      </c>
      <c r="I7566" t="s">
        <v>17648</v>
      </c>
      <c r="J7566" t="s">
        <v>37494</v>
      </c>
      <c r="K7566" t="s">
        <v>42651</v>
      </c>
      <c r="M7566" t="s">
        <v>45556</v>
      </c>
      <c r="N7566" t="s">
        <v>47304</v>
      </c>
      <c r="O7566" t="s">
        <v>47305</v>
      </c>
      <c r="P7566">
        <v>0</v>
      </c>
      <c r="Q7566">
        <v>4</v>
      </c>
      <c r="R7566" t="s">
        <v>47311</v>
      </c>
      <c r="S7566" t="s">
        <v>47443</v>
      </c>
      <c r="T7566" t="s">
        <v>49037</v>
      </c>
      <c r="U7566" t="s">
        <v>55869</v>
      </c>
      <c r="W7566" t="s">
        <v>45556</v>
      </c>
      <c r="X7566" t="s">
        <v>47312</v>
      </c>
    </row>
    <row r="7567" spans="1:24">
      <c r="A7567">
        <f>HYPERLINK("https://www.philgeps.gov.ph/GEPSNONPILOT/Tender/SplashBidNoticeAbstractUI.aspx?menuIndex=3&amp;refID=7192957&amp;Result=3","7192957")</f>
        <v>0</v>
      </c>
      <c r="B7567" t="s">
        <v>2440</v>
      </c>
      <c r="C7567" t="s">
        <v>10968</v>
      </c>
      <c r="D7567" t="s">
        <v>19045</v>
      </c>
      <c r="E7567" t="s">
        <v>25678</v>
      </c>
      <c r="F7567" t="s">
        <v>32606</v>
      </c>
      <c r="G7567" t="s">
        <v>32613</v>
      </c>
      <c r="H7567" t="s">
        <v>14201</v>
      </c>
      <c r="I7567" t="s">
        <v>6931</v>
      </c>
      <c r="J7567" t="s">
        <v>37544</v>
      </c>
      <c r="K7567" t="s">
        <v>42623</v>
      </c>
      <c r="M7567" t="s">
        <v>45568</v>
      </c>
      <c r="N7567" t="s">
        <v>47304</v>
      </c>
      <c r="O7567" t="s">
        <v>47305</v>
      </c>
      <c r="P7567">
        <v>0</v>
      </c>
      <c r="Q7567">
        <v>0</v>
      </c>
      <c r="R7567" t="s">
        <v>47311</v>
      </c>
      <c r="S7567" t="s">
        <v>47443</v>
      </c>
      <c r="T7567" t="s">
        <v>49037</v>
      </c>
      <c r="U7567" t="s">
        <v>55861</v>
      </c>
      <c r="V7567" t="s">
        <v>63364</v>
      </c>
      <c r="W7567" t="s">
        <v>45568</v>
      </c>
      <c r="X7567" t="s">
        <v>47312</v>
      </c>
    </row>
    <row r="7568" spans="1:24">
      <c r="A7568">
        <f>HYPERLINK("https://www.philgeps.gov.ph/GEPSNONPILOT/Tender/SplashBidNoticeAbstractUI.aspx?menuIndex=3&amp;refID=7192791&amp;Result=3","7192791")</f>
        <v>0</v>
      </c>
      <c r="B7568" t="s">
        <v>2447</v>
      </c>
      <c r="C7568" t="s">
        <v>10969</v>
      </c>
      <c r="E7568" t="s">
        <v>25679</v>
      </c>
      <c r="F7568" t="s">
        <v>32606</v>
      </c>
      <c r="G7568" t="s">
        <v>32614</v>
      </c>
      <c r="H7568" t="s">
        <v>14201</v>
      </c>
      <c r="I7568" t="s">
        <v>4678</v>
      </c>
      <c r="J7568" t="s">
        <v>37545</v>
      </c>
      <c r="K7568" t="s">
        <v>42624</v>
      </c>
      <c r="M7568" t="s">
        <v>45576</v>
      </c>
      <c r="N7568" t="s">
        <v>47304</v>
      </c>
      <c r="O7568" t="s">
        <v>47305</v>
      </c>
      <c r="P7568">
        <v>0</v>
      </c>
      <c r="Q7568">
        <v>2</v>
      </c>
      <c r="R7568" t="s">
        <v>47311</v>
      </c>
      <c r="S7568" t="s">
        <v>47443</v>
      </c>
      <c r="T7568" t="s">
        <v>49004</v>
      </c>
      <c r="U7568" t="s">
        <v>55870</v>
      </c>
      <c r="W7568" t="s">
        <v>45576</v>
      </c>
      <c r="X7568" t="s">
        <v>47312</v>
      </c>
    </row>
    <row r="7569" spans="1:24">
      <c r="A7569">
        <f>HYPERLINK("https://www.philgeps.gov.ph/GEPSNONPILOT/Tender/SplashBidNoticeAbstractUI.aspx?menuIndex=3&amp;refID=7192787&amp;Result=3","7192787")</f>
        <v>0</v>
      </c>
      <c r="B7569" t="s">
        <v>1827</v>
      </c>
      <c r="C7569" t="s">
        <v>10970</v>
      </c>
      <c r="E7569" t="s">
        <v>25680</v>
      </c>
      <c r="F7569" t="s">
        <v>32606</v>
      </c>
      <c r="G7569" t="s">
        <v>32613</v>
      </c>
      <c r="H7569" t="s">
        <v>14201</v>
      </c>
      <c r="I7569" t="s">
        <v>7677</v>
      </c>
      <c r="J7569" t="s">
        <v>37546</v>
      </c>
      <c r="K7569" t="s">
        <v>42624</v>
      </c>
      <c r="M7569" t="s">
        <v>45577</v>
      </c>
      <c r="N7569" t="s">
        <v>47304</v>
      </c>
      <c r="O7569" t="s">
        <v>47305</v>
      </c>
      <c r="P7569">
        <v>0</v>
      </c>
      <c r="Q7569">
        <v>5</v>
      </c>
      <c r="R7569" t="s">
        <v>47311</v>
      </c>
      <c r="S7569" t="s">
        <v>47443</v>
      </c>
      <c r="T7569" t="s">
        <v>48995</v>
      </c>
      <c r="U7569" t="s">
        <v>55871</v>
      </c>
      <c r="W7569" t="s">
        <v>45577</v>
      </c>
      <c r="X7569" t="s">
        <v>47312</v>
      </c>
    </row>
    <row r="7570" spans="1:24">
      <c r="A7570">
        <f>HYPERLINK("https://www.philgeps.gov.ph/GEPSNONPILOT/Tender/SplashBidNoticeAbstractUI.aspx?menuIndex=3&amp;refID=7192970&amp;Result=3","7192970")</f>
        <v>0</v>
      </c>
      <c r="B7570" t="s">
        <v>2448</v>
      </c>
      <c r="C7570" t="s">
        <v>10971</v>
      </c>
      <c r="D7570" t="s">
        <v>19005</v>
      </c>
      <c r="E7570" t="s">
        <v>19372</v>
      </c>
      <c r="F7570" t="s">
        <v>32606</v>
      </c>
      <c r="G7570" t="s">
        <v>32613</v>
      </c>
      <c r="H7570" t="s">
        <v>14201</v>
      </c>
      <c r="I7570" t="s">
        <v>6931</v>
      </c>
      <c r="J7570" t="s">
        <v>37547</v>
      </c>
      <c r="K7570" t="s">
        <v>42631</v>
      </c>
      <c r="M7570" t="s">
        <v>45578</v>
      </c>
      <c r="N7570" t="s">
        <v>47304</v>
      </c>
      <c r="O7570" t="s">
        <v>47305</v>
      </c>
      <c r="P7570">
        <v>0</v>
      </c>
      <c r="Q7570">
        <v>1</v>
      </c>
      <c r="R7570" t="s">
        <v>47311</v>
      </c>
      <c r="S7570" t="s">
        <v>47443</v>
      </c>
      <c r="T7570" t="s">
        <v>49146</v>
      </c>
      <c r="U7570" t="s">
        <v>55872</v>
      </c>
      <c r="W7570" t="s">
        <v>45578</v>
      </c>
      <c r="X7570" t="s">
        <v>47312</v>
      </c>
    </row>
    <row r="7571" spans="1:24">
      <c r="A7571">
        <f>HYPERLINK("https://www.philgeps.gov.ph/GEPSNONPILOT/Tender/SplashBidNoticeAbstractUI.aspx?menuIndex=3&amp;refID=7192754&amp;Result=3","7192754")</f>
        <v>0</v>
      </c>
      <c r="B7571" t="s">
        <v>2425</v>
      </c>
      <c r="C7571" t="s">
        <v>10972</v>
      </c>
      <c r="E7571" t="s">
        <v>25681</v>
      </c>
      <c r="F7571" t="s">
        <v>32606</v>
      </c>
      <c r="G7571" t="s">
        <v>32614</v>
      </c>
      <c r="H7571" t="s">
        <v>14201</v>
      </c>
      <c r="I7571" t="s">
        <v>32635</v>
      </c>
      <c r="J7571" t="s">
        <v>36259</v>
      </c>
      <c r="K7571" t="s">
        <v>42624</v>
      </c>
      <c r="M7571" t="s">
        <v>45551</v>
      </c>
      <c r="N7571" t="s">
        <v>47304</v>
      </c>
      <c r="O7571" t="s">
        <v>47305</v>
      </c>
      <c r="Q7571">
        <v>3</v>
      </c>
      <c r="R7571" t="s">
        <v>47311</v>
      </c>
      <c r="S7571" t="s">
        <v>47487</v>
      </c>
      <c r="T7571" t="s">
        <v>48997</v>
      </c>
      <c r="U7571" t="s">
        <v>55797</v>
      </c>
      <c r="W7571" t="s">
        <v>45551</v>
      </c>
      <c r="X7571" t="s">
        <v>47312</v>
      </c>
    </row>
    <row r="7572" spans="1:24">
      <c r="A7572">
        <f>HYPERLINK("https://www.philgeps.gov.ph/GEPSNONPILOT/Tender/SplashBidNoticeAbstractUI.aspx?menuIndex=3&amp;refID=7192948&amp;Result=3","7192948")</f>
        <v>0</v>
      </c>
      <c r="B7572" t="s">
        <v>2449</v>
      </c>
      <c r="C7572" t="s">
        <v>10973</v>
      </c>
      <c r="D7572" t="s">
        <v>19058</v>
      </c>
      <c r="E7572" t="s">
        <v>25682</v>
      </c>
      <c r="F7572" t="s">
        <v>32606</v>
      </c>
      <c r="G7572" t="s">
        <v>32614</v>
      </c>
      <c r="H7572" t="s">
        <v>14201</v>
      </c>
      <c r="I7572" t="s">
        <v>4120</v>
      </c>
      <c r="J7572" t="s">
        <v>32875</v>
      </c>
      <c r="K7572" t="s">
        <v>42630</v>
      </c>
      <c r="M7572" t="s">
        <v>45579</v>
      </c>
      <c r="N7572" t="s">
        <v>47304</v>
      </c>
      <c r="O7572" t="s">
        <v>47305</v>
      </c>
      <c r="P7572">
        <v>0</v>
      </c>
      <c r="Q7572">
        <v>4</v>
      </c>
      <c r="R7572" t="s">
        <v>47311</v>
      </c>
      <c r="S7572" t="s">
        <v>47443</v>
      </c>
      <c r="T7572" t="s">
        <v>48979</v>
      </c>
      <c r="U7572" t="s">
        <v>55873</v>
      </c>
      <c r="W7572" t="s">
        <v>45579</v>
      </c>
      <c r="X7572" t="s">
        <v>47312</v>
      </c>
    </row>
    <row r="7573" spans="1:24">
      <c r="A7573">
        <f>HYPERLINK("https://www.philgeps.gov.ph/GEPSNONPILOT/Tender/SplashBidNoticeAbstractUI.aspx?menuIndex=3&amp;refID=7192746&amp;Result=3","7192746")</f>
        <v>0</v>
      </c>
      <c r="B7573" t="s">
        <v>2450</v>
      </c>
      <c r="C7573" t="s">
        <v>10974</v>
      </c>
      <c r="D7573" t="s">
        <v>19004</v>
      </c>
      <c r="E7573" t="s">
        <v>25683</v>
      </c>
      <c r="F7573" t="s">
        <v>32606</v>
      </c>
      <c r="G7573" t="s">
        <v>32614</v>
      </c>
      <c r="H7573" t="s">
        <v>14201</v>
      </c>
      <c r="I7573" t="s">
        <v>32658</v>
      </c>
      <c r="J7573" t="s">
        <v>37548</v>
      </c>
      <c r="K7573" t="s">
        <v>42751</v>
      </c>
      <c r="M7573" t="s">
        <v>45580</v>
      </c>
      <c r="N7573" t="s">
        <v>47304</v>
      </c>
      <c r="O7573" t="s">
        <v>47305</v>
      </c>
      <c r="P7573">
        <v>0</v>
      </c>
      <c r="Q7573">
        <v>2</v>
      </c>
      <c r="R7573" t="s">
        <v>47311</v>
      </c>
      <c r="S7573" t="s">
        <v>47443</v>
      </c>
      <c r="T7573" t="s">
        <v>49068</v>
      </c>
      <c r="U7573" t="s">
        <v>55874</v>
      </c>
      <c r="W7573" t="s">
        <v>45580</v>
      </c>
      <c r="X7573" t="s">
        <v>47312</v>
      </c>
    </row>
    <row r="7574" spans="1:24">
      <c r="A7574">
        <f>HYPERLINK("https://www.philgeps.gov.ph/GEPSNONPILOT/Tender/SplashBidNoticeAbstractUI.aspx?menuIndex=3&amp;refID=7192744&amp;Result=3","7192744")</f>
        <v>0</v>
      </c>
      <c r="B7574" t="s">
        <v>2451</v>
      </c>
      <c r="C7574" t="s">
        <v>10975</v>
      </c>
      <c r="D7574" t="s">
        <v>19038</v>
      </c>
      <c r="E7574" t="s">
        <v>25684</v>
      </c>
      <c r="F7574" t="s">
        <v>32606</v>
      </c>
      <c r="G7574" t="s">
        <v>32613</v>
      </c>
      <c r="H7574" t="s">
        <v>32623</v>
      </c>
      <c r="I7574" t="s">
        <v>17648</v>
      </c>
      <c r="J7574" t="s">
        <v>32772</v>
      </c>
      <c r="K7574" t="s">
        <v>42646</v>
      </c>
      <c r="M7574" t="s">
        <v>45581</v>
      </c>
      <c r="N7574" t="s">
        <v>47304</v>
      </c>
      <c r="O7574" t="s">
        <v>47305</v>
      </c>
      <c r="P7574">
        <v>0</v>
      </c>
      <c r="Q7574">
        <v>0</v>
      </c>
      <c r="R7574" t="s">
        <v>47311</v>
      </c>
      <c r="S7574" t="s">
        <v>47443</v>
      </c>
      <c r="T7574" t="s">
        <v>49111</v>
      </c>
      <c r="U7574" t="s">
        <v>55875</v>
      </c>
      <c r="W7574" t="s">
        <v>45581</v>
      </c>
      <c r="X7574" t="s">
        <v>47312</v>
      </c>
    </row>
    <row r="7575" spans="1:24">
      <c r="A7575">
        <f>HYPERLINK("https://www.philgeps.gov.ph/GEPSNONPILOT/Tender/SplashBidNoticeAbstractUI.aspx?menuIndex=3&amp;refID=7193001&amp;Result=3","7193001")</f>
        <v>0</v>
      </c>
      <c r="B7575" t="s">
        <v>2452</v>
      </c>
      <c r="C7575" t="s">
        <v>10976</v>
      </c>
      <c r="D7575" t="s">
        <v>18991</v>
      </c>
      <c r="E7575" t="s">
        <v>25685</v>
      </c>
      <c r="F7575" t="s">
        <v>32606</v>
      </c>
      <c r="G7575" t="s">
        <v>32613</v>
      </c>
      <c r="H7575" t="s">
        <v>14201</v>
      </c>
      <c r="I7575" t="s">
        <v>32633</v>
      </c>
      <c r="J7575" t="s">
        <v>37549</v>
      </c>
      <c r="K7575" t="s">
        <v>42623</v>
      </c>
      <c r="M7575" t="s">
        <v>45582</v>
      </c>
      <c r="N7575" t="s">
        <v>47304</v>
      </c>
      <c r="O7575" t="s">
        <v>47305</v>
      </c>
      <c r="P7575">
        <v>0</v>
      </c>
      <c r="Q7575">
        <v>4</v>
      </c>
      <c r="R7575" t="s">
        <v>47311</v>
      </c>
      <c r="S7575" t="s">
        <v>47443</v>
      </c>
      <c r="T7575" t="s">
        <v>49080</v>
      </c>
      <c r="U7575" t="s">
        <v>55876</v>
      </c>
      <c r="W7575" t="s">
        <v>45582</v>
      </c>
      <c r="X7575" t="s">
        <v>47312</v>
      </c>
    </row>
    <row r="7576" spans="1:24">
      <c r="A7576">
        <f>HYPERLINK("https://www.philgeps.gov.ph/GEPSNONPILOT/Tender/SplashBidNoticeAbstractUI.aspx?menuIndex=3&amp;refID=7193000&amp;Result=3","7193000")</f>
        <v>0</v>
      </c>
      <c r="B7576" t="s">
        <v>1883</v>
      </c>
      <c r="C7576" t="s">
        <v>10977</v>
      </c>
      <c r="D7576" t="s">
        <v>18999</v>
      </c>
      <c r="E7576" t="s">
        <v>19315</v>
      </c>
      <c r="F7576" t="s">
        <v>32606</v>
      </c>
      <c r="G7576" t="s">
        <v>32614</v>
      </c>
      <c r="H7576" t="s">
        <v>32624</v>
      </c>
      <c r="I7576" t="s">
        <v>4369</v>
      </c>
      <c r="J7576" t="s">
        <v>32999</v>
      </c>
      <c r="K7576" t="s">
        <v>42663</v>
      </c>
      <c r="M7576" t="s">
        <v>44941</v>
      </c>
      <c r="N7576" t="s">
        <v>47304</v>
      </c>
      <c r="O7576" t="s">
        <v>47305</v>
      </c>
      <c r="P7576">
        <v>0</v>
      </c>
      <c r="Q7576">
        <v>2</v>
      </c>
      <c r="R7576" t="s">
        <v>47311</v>
      </c>
      <c r="S7576" t="s">
        <v>47443</v>
      </c>
      <c r="T7576" t="s">
        <v>48979</v>
      </c>
      <c r="U7576" t="s">
        <v>55877</v>
      </c>
      <c r="W7576" t="s">
        <v>44941</v>
      </c>
      <c r="X7576" t="s">
        <v>47312</v>
      </c>
    </row>
    <row r="7577" spans="1:24">
      <c r="A7577">
        <f>HYPERLINK("https://www.philgeps.gov.ph/GEPSNONPILOT/Tender/SplashBidNoticeAbstractUI.aspx?menuIndex=3&amp;refID=7192842&amp;Result=3","7192842")</f>
        <v>0</v>
      </c>
      <c r="B7577" t="s">
        <v>2440</v>
      </c>
      <c r="C7577" t="s">
        <v>10978</v>
      </c>
      <c r="D7577" t="s">
        <v>19045</v>
      </c>
      <c r="E7577" t="s">
        <v>25686</v>
      </c>
      <c r="F7577" t="s">
        <v>32606</v>
      </c>
      <c r="G7577" t="s">
        <v>32613</v>
      </c>
      <c r="H7577" t="s">
        <v>14201</v>
      </c>
      <c r="I7577" t="s">
        <v>32629</v>
      </c>
      <c r="J7577" t="s">
        <v>34521</v>
      </c>
      <c r="K7577" t="s">
        <v>42623</v>
      </c>
      <c r="M7577" t="s">
        <v>45568</v>
      </c>
      <c r="N7577" t="s">
        <v>47304</v>
      </c>
      <c r="O7577" t="s">
        <v>47305</v>
      </c>
      <c r="P7577">
        <v>0</v>
      </c>
      <c r="Q7577">
        <v>0</v>
      </c>
      <c r="R7577" t="s">
        <v>47311</v>
      </c>
      <c r="S7577" t="s">
        <v>47443</v>
      </c>
      <c r="T7577" t="s">
        <v>49037</v>
      </c>
      <c r="U7577" t="s">
        <v>55878</v>
      </c>
      <c r="V7577" t="s">
        <v>63364</v>
      </c>
      <c r="W7577" t="s">
        <v>45568</v>
      </c>
      <c r="X7577" t="s">
        <v>47312</v>
      </c>
    </row>
    <row r="7578" spans="1:24">
      <c r="A7578">
        <f>HYPERLINK("https://www.philgeps.gov.ph/GEPSNONPILOT/Tender/SplashBidNoticeAbstractUI.aspx?menuIndex=3&amp;refID=7192999&amp;Result=3","7192999")</f>
        <v>0</v>
      </c>
      <c r="B7578" t="s">
        <v>2356</v>
      </c>
      <c r="C7578" t="s">
        <v>10979</v>
      </c>
      <c r="D7578" t="s">
        <v>19014</v>
      </c>
      <c r="E7578" t="s">
        <v>25687</v>
      </c>
      <c r="F7578" t="s">
        <v>32606</v>
      </c>
      <c r="G7578" t="s">
        <v>32613</v>
      </c>
      <c r="H7578" t="s">
        <v>32623</v>
      </c>
      <c r="I7578" t="s">
        <v>17648</v>
      </c>
      <c r="J7578" t="s">
        <v>37550</v>
      </c>
      <c r="K7578" t="s">
        <v>42803</v>
      </c>
      <c r="M7578" t="s">
        <v>45468</v>
      </c>
      <c r="N7578" t="s">
        <v>47304</v>
      </c>
      <c r="O7578" t="s">
        <v>47305</v>
      </c>
      <c r="P7578">
        <v>0</v>
      </c>
      <c r="Q7578">
        <v>11</v>
      </c>
      <c r="R7578" t="s">
        <v>47311</v>
      </c>
      <c r="S7578" t="s">
        <v>47443</v>
      </c>
      <c r="T7578" t="s">
        <v>49037</v>
      </c>
      <c r="U7578" t="s">
        <v>55879</v>
      </c>
      <c r="V7578" t="s">
        <v>63366</v>
      </c>
      <c r="W7578" t="s">
        <v>45468</v>
      </c>
      <c r="X7578" t="s">
        <v>47312</v>
      </c>
    </row>
    <row r="7579" spans="1:24">
      <c r="A7579">
        <f>HYPERLINK("https://www.philgeps.gov.ph/GEPSNONPILOT/Tender/SplashBidNoticeAbstractUI.aspx?menuIndex=3&amp;refID=7192996&amp;Result=3","7192996")</f>
        <v>0</v>
      </c>
      <c r="B7579" t="s">
        <v>2356</v>
      </c>
      <c r="C7579" t="s">
        <v>10980</v>
      </c>
      <c r="D7579" t="s">
        <v>19014</v>
      </c>
      <c r="E7579" t="s">
        <v>25688</v>
      </c>
      <c r="F7579" t="s">
        <v>32606</v>
      </c>
      <c r="G7579" t="s">
        <v>32613</v>
      </c>
      <c r="H7579" t="s">
        <v>32623</v>
      </c>
      <c r="I7579" t="s">
        <v>17648</v>
      </c>
      <c r="J7579" t="s">
        <v>37551</v>
      </c>
      <c r="K7579" t="s">
        <v>42685</v>
      </c>
      <c r="M7579" t="s">
        <v>45468</v>
      </c>
      <c r="N7579" t="s">
        <v>47304</v>
      </c>
      <c r="O7579" t="s">
        <v>47305</v>
      </c>
      <c r="P7579">
        <v>0</v>
      </c>
      <c r="Q7579">
        <v>12</v>
      </c>
      <c r="R7579" t="s">
        <v>47311</v>
      </c>
      <c r="S7579" t="s">
        <v>47443</v>
      </c>
      <c r="T7579" t="s">
        <v>49037</v>
      </c>
      <c r="U7579" t="s">
        <v>55880</v>
      </c>
      <c r="V7579" t="s">
        <v>63366</v>
      </c>
      <c r="W7579" t="s">
        <v>45468</v>
      </c>
      <c r="X7579" t="s">
        <v>47312</v>
      </c>
    </row>
    <row r="7580" spans="1:24">
      <c r="A7580">
        <f>HYPERLINK("https://www.philgeps.gov.ph/GEPSNONPILOT/Tender/SplashBidNoticeAbstractUI.aspx?menuIndex=3&amp;refID=7192993&amp;Result=3","7192993")</f>
        <v>0</v>
      </c>
      <c r="B7580" t="s">
        <v>2356</v>
      </c>
      <c r="C7580" t="s">
        <v>10981</v>
      </c>
      <c r="D7580" t="s">
        <v>19014</v>
      </c>
      <c r="E7580" t="s">
        <v>25689</v>
      </c>
      <c r="F7580" t="s">
        <v>32606</v>
      </c>
      <c r="G7580" t="s">
        <v>32613</v>
      </c>
      <c r="H7580" t="s">
        <v>32623</v>
      </c>
      <c r="I7580" t="s">
        <v>17648</v>
      </c>
      <c r="J7580" t="s">
        <v>37552</v>
      </c>
      <c r="K7580" t="s">
        <v>42646</v>
      </c>
      <c r="M7580" t="s">
        <v>45468</v>
      </c>
      <c r="N7580" t="s">
        <v>47304</v>
      </c>
      <c r="O7580" t="s">
        <v>47305</v>
      </c>
      <c r="Q7580">
        <v>17</v>
      </c>
      <c r="R7580" t="s">
        <v>47311</v>
      </c>
      <c r="S7580" t="s">
        <v>47488</v>
      </c>
      <c r="T7580" t="s">
        <v>49037</v>
      </c>
      <c r="U7580" t="s">
        <v>55881</v>
      </c>
      <c r="V7580" t="s">
        <v>63367</v>
      </c>
      <c r="W7580" t="s">
        <v>45468</v>
      </c>
      <c r="X7580" t="s">
        <v>47312</v>
      </c>
    </row>
    <row r="7581" spans="1:24">
      <c r="A7581">
        <f>HYPERLINK("https://www.philgeps.gov.ph/GEPSNONPILOT/Tender/SplashBidNoticeAbstractUI.aspx?menuIndex=3&amp;refID=7192945&amp;Result=3","7192945")</f>
        <v>0</v>
      </c>
      <c r="B7581" t="s">
        <v>1156</v>
      </c>
      <c r="C7581" t="s">
        <v>10982</v>
      </c>
      <c r="D7581" t="s">
        <v>19041</v>
      </c>
      <c r="E7581" t="s">
        <v>25690</v>
      </c>
      <c r="F7581" t="s">
        <v>32606</v>
      </c>
      <c r="G7581" t="s">
        <v>32613</v>
      </c>
      <c r="H7581" t="s">
        <v>32625</v>
      </c>
      <c r="I7581" t="s">
        <v>32625</v>
      </c>
      <c r="J7581" t="s">
        <v>37553</v>
      </c>
      <c r="K7581" t="s">
        <v>42636</v>
      </c>
      <c r="M7581" t="s">
        <v>44119</v>
      </c>
      <c r="N7581" t="s">
        <v>47304</v>
      </c>
      <c r="O7581" t="s">
        <v>47305</v>
      </c>
      <c r="P7581">
        <v>0</v>
      </c>
      <c r="Q7581">
        <v>3</v>
      </c>
      <c r="R7581" t="s">
        <v>47311</v>
      </c>
      <c r="S7581" t="s">
        <v>47443</v>
      </c>
      <c r="T7581" t="s">
        <v>48995</v>
      </c>
      <c r="U7581" t="s">
        <v>55882</v>
      </c>
      <c r="W7581" t="s">
        <v>44119</v>
      </c>
      <c r="X7581" t="s">
        <v>47312</v>
      </c>
    </row>
    <row r="7582" spans="1:24">
      <c r="A7582">
        <f>HYPERLINK("https://www.philgeps.gov.ph/GEPSNONPILOT/Tender/SplashBidNoticeAbstractUI.aspx?menuIndex=3&amp;refID=7192992&amp;Result=3","7192992")</f>
        <v>0</v>
      </c>
      <c r="B7582" t="s">
        <v>2452</v>
      </c>
      <c r="C7582" t="s">
        <v>10983</v>
      </c>
      <c r="D7582" t="s">
        <v>18991</v>
      </c>
      <c r="E7582" t="s">
        <v>25691</v>
      </c>
      <c r="F7582" t="s">
        <v>32606</v>
      </c>
      <c r="G7582" t="s">
        <v>32613</v>
      </c>
      <c r="H7582" t="s">
        <v>14201</v>
      </c>
      <c r="I7582" t="s">
        <v>7064</v>
      </c>
      <c r="J7582" t="s">
        <v>35853</v>
      </c>
      <c r="K7582" t="s">
        <v>42623</v>
      </c>
      <c r="M7582" t="s">
        <v>45582</v>
      </c>
      <c r="N7582" t="s">
        <v>47304</v>
      </c>
      <c r="O7582" t="s">
        <v>47305</v>
      </c>
      <c r="P7582">
        <v>0</v>
      </c>
      <c r="Q7582">
        <v>0</v>
      </c>
      <c r="R7582" t="s">
        <v>47311</v>
      </c>
      <c r="S7582" t="s">
        <v>47443</v>
      </c>
      <c r="T7582" t="s">
        <v>49080</v>
      </c>
      <c r="U7582" t="s">
        <v>55883</v>
      </c>
      <c r="W7582" t="s">
        <v>45582</v>
      </c>
      <c r="X7582" t="s">
        <v>47312</v>
      </c>
    </row>
    <row r="7583" spans="1:24">
      <c r="A7583">
        <f>HYPERLINK("https://www.philgeps.gov.ph/GEPSNONPILOT/Tender/SplashBidNoticeAbstractUI.aspx?menuIndex=3&amp;refID=7192998&amp;Result=3","7192998")</f>
        <v>0</v>
      </c>
      <c r="B7583" t="s">
        <v>1172</v>
      </c>
      <c r="C7583" t="s">
        <v>10984</v>
      </c>
      <c r="D7583" t="s">
        <v>19002</v>
      </c>
      <c r="E7583" t="s">
        <v>25692</v>
      </c>
      <c r="F7583" t="s">
        <v>32606</v>
      </c>
      <c r="G7583" t="s">
        <v>32614</v>
      </c>
      <c r="H7583" t="s">
        <v>14201</v>
      </c>
      <c r="I7583" t="s">
        <v>32654</v>
      </c>
      <c r="J7583" t="s">
        <v>32981</v>
      </c>
      <c r="K7583" t="s">
        <v>42630</v>
      </c>
      <c r="M7583" t="s">
        <v>44135</v>
      </c>
      <c r="N7583" t="s">
        <v>47304</v>
      </c>
      <c r="O7583" t="s">
        <v>47305</v>
      </c>
      <c r="P7583">
        <v>0</v>
      </c>
      <c r="Q7583">
        <v>1</v>
      </c>
      <c r="R7583" t="s">
        <v>47311</v>
      </c>
      <c r="S7583" t="s">
        <v>47443</v>
      </c>
      <c r="T7583" t="s">
        <v>49053</v>
      </c>
      <c r="U7583" t="s">
        <v>51932</v>
      </c>
      <c r="W7583" t="s">
        <v>44135</v>
      </c>
      <c r="X7583" t="s">
        <v>47312</v>
      </c>
    </row>
    <row r="7584" spans="1:24">
      <c r="A7584">
        <f>HYPERLINK("https://www.philgeps.gov.ph/GEPSNONPILOT/Tender/SplashBidNoticeAbstractUI.aspx?menuIndex=3&amp;refID=7192987&amp;Result=3","7192987")</f>
        <v>0</v>
      </c>
      <c r="B7584" t="s">
        <v>1883</v>
      </c>
      <c r="C7584" t="s">
        <v>10985</v>
      </c>
      <c r="D7584" t="s">
        <v>18999</v>
      </c>
      <c r="E7584" t="s">
        <v>19315</v>
      </c>
      <c r="F7584" t="s">
        <v>32606</v>
      </c>
      <c r="G7584" t="s">
        <v>32614</v>
      </c>
      <c r="H7584" t="s">
        <v>32624</v>
      </c>
      <c r="I7584" t="s">
        <v>4369</v>
      </c>
      <c r="J7584" t="s">
        <v>33897</v>
      </c>
      <c r="K7584" t="s">
        <v>42629</v>
      </c>
      <c r="M7584" t="s">
        <v>44941</v>
      </c>
      <c r="N7584" t="s">
        <v>47304</v>
      </c>
      <c r="O7584" t="s">
        <v>47305</v>
      </c>
      <c r="P7584">
        <v>0</v>
      </c>
      <c r="Q7584">
        <v>1</v>
      </c>
      <c r="R7584" t="s">
        <v>47311</v>
      </c>
      <c r="S7584" t="s">
        <v>47443</v>
      </c>
      <c r="T7584" t="s">
        <v>48979</v>
      </c>
      <c r="U7584" t="s">
        <v>55884</v>
      </c>
      <c r="W7584" t="s">
        <v>44941</v>
      </c>
      <c r="X7584" t="s">
        <v>47312</v>
      </c>
    </row>
    <row r="7585" spans="1:24">
      <c r="A7585">
        <f>HYPERLINK("https://www.philgeps.gov.ph/GEPSNONPILOT/Tender/SplashBidNoticeAbstractUI.aspx?menuIndex=3&amp;refID=7192997&amp;Result=3","7192997")</f>
        <v>0</v>
      </c>
      <c r="B7585" t="s">
        <v>2453</v>
      </c>
      <c r="C7585" t="s">
        <v>10986</v>
      </c>
      <c r="D7585" t="s">
        <v>19008</v>
      </c>
      <c r="E7585" t="s">
        <v>25693</v>
      </c>
      <c r="F7585" t="s">
        <v>32606</v>
      </c>
      <c r="G7585" t="s">
        <v>32613</v>
      </c>
      <c r="H7585" t="s">
        <v>14201</v>
      </c>
      <c r="I7585" t="s">
        <v>4120</v>
      </c>
      <c r="J7585" t="s">
        <v>37554</v>
      </c>
      <c r="K7585" t="s">
        <v>42631</v>
      </c>
      <c r="M7585" t="s">
        <v>45583</v>
      </c>
      <c r="N7585" t="s">
        <v>47304</v>
      </c>
      <c r="O7585" t="s">
        <v>47305</v>
      </c>
      <c r="P7585">
        <v>0</v>
      </c>
      <c r="Q7585">
        <v>4</v>
      </c>
      <c r="R7585" t="s">
        <v>47311</v>
      </c>
      <c r="S7585" t="s">
        <v>47443</v>
      </c>
      <c r="T7585" t="s">
        <v>49189</v>
      </c>
      <c r="U7585" t="s">
        <v>55885</v>
      </c>
      <c r="V7585" t="s">
        <v>63368</v>
      </c>
      <c r="W7585" t="s">
        <v>45583</v>
      </c>
      <c r="X7585" t="s">
        <v>47312</v>
      </c>
    </row>
    <row r="7586" spans="1:24">
      <c r="A7586">
        <f>HYPERLINK("https://www.philgeps.gov.ph/GEPSNONPILOT/Tender/SplashBidNoticeAbstractUI.aspx?menuIndex=3&amp;refID=7192986&amp;Result=3","7192986")</f>
        <v>0</v>
      </c>
      <c r="B7586" t="s">
        <v>1883</v>
      </c>
      <c r="C7586" t="s">
        <v>10987</v>
      </c>
      <c r="D7586" t="s">
        <v>18999</v>
      </c>
      <c r="E7586" t="s">
        <v>19315</v>
      </c>
      <c r="F7586" t="s">
        <v>32606</v>
      </c>
      <c r="G7586" t="s">
        <v>32614</v>
      </c>
      <c r="H7586" t="s">
        <v>32624</v>
      </c>
      <c r="I7586" t="s">
        <v>4369</v>
      </c>
      <c r="J7586" t="s">
        <v>34321</v>
      </c>
      <c r="K7586" t="s">
        <v>42629</v>
      </c>
      <c r="M7586" t="s">
        <v>44941</v>
      </c>
      <c r="N7586" t="s">
        <v>47304</v>
      </c>
      <c r="O7586" t="s">
        <v>47305</v>
      </c>
      <c r="P7586">
        <v>0</v>
      </c>
      <c r="Q7586">
        <v>1</v>
      </c>
      <c r="R7586" t="s">
        <v>47311</v>
      </c>
      <c r="S7586" t="s">
        <v>47443</v>
      </c>
      <c r="T7586" t="s">
        <v>48979</v>
      </c>
      <c r="U7586" t="s">
        <v>55886</v>
      </c>
      <c r="W7586" t="s">
        <v>44941</v>
      </c>
      <c r="X7586" t="s">
        <v>47312</v>
      </c>
    </row>
    <row r="7587" spans="1:24">
      <c r="A7587">
        <f>HYPERLINK("https://www.philgeps.gov.ph/GEPSNONPILOT/Tender/SplashBidNoticeAbstractUI.aspx?menuIndex=3&amp;refID=7192743&amp;Result=3","7192743")</f>
        <v>0</v>
      </c>
      <c r="B7587" t="s">
        <v>2425</v>
      </c>
      <c r="C7587" t="s">
        <v>10988</v>
      </c>
      <c r="D7587" t="s">
        <v>18989</v>
      </c>
      <c r="E7587" t="s">
        <v>25694</v>
      </c>
      <c r="F7587" t="s">
        <v>32606</v>
      </c>
      <c r="G7587" t="s">
        <v>32614</v>
      </c>
      <c r="H7587" t="s">
        <v>14201</v>
      </c>
      <c r="I7587" t="s">
        <v>6993</v>
      </c>
      <c r="J7587" t="s">
        <v>33075</v>
      </c>
      <c r="K7587" t="s">
        <v>42624</v>
      </c>
      <c r="M7587" t="s">
        <v>45551</v>
      </c>
      <c r="N7587" t="s">
        <v>47304</v>
      </c>
      <c r="O7587" t="s">
        <v>47305</v>
      </c>
      <c r="P7587">
        <v>0</v>
      </c>
      <c r="Q7587">
        <v>4</v>
      </c>
      <c r="R7587" t="s">
        <v>47311</v>
      </c>
      <c r="S7587" t="s">
        <v>47443</v>
      </c>
      <c r="T7587" t="s">
        <v>48997</v>
      </c>
      <c r="U7587" t="s">
        <v>55797</v>
      </c>
      <c r="W7587" t="s">
        <v>45551</v>
      </c>
      <c r="X7587" t="s">
        <v>47312</v>
      </c>
    </row>
    <row r="7588" spans="1:24">
      <c r="A7588">
        <f>HYPERLINK("https://www.philgeps.gov.ph/GEPSNONPILOT/Tender/SplashBidNoticeAbstractUI.aspx?menuIndex=3&amp;refID=7192985&amp;Result=3","7192985")</f>
        <v>0</v>
      </c>
      <c r="B7588" t="s">
        <v>2356</v>
      </c>
      <c r="C7588" t="s">
        <v>10989</v>
      </c>
      <c r="D7588" t="s">
        <v>19014</v>
      </c>
      <c r="E7588" t="s">
        <v>25695</v>
      </c>
      <c r="F7588" t="s">
        <v>32606</v>
      </c>
      <c r="G7588" t="s">
        <v>32613</v>
      </c>
      <c r="H7588" t="s">
        <v>32623</v>
      </c>
      <c r="I7588" t="s">
        <v>17648</v>
      </c>
      <c r="J7588" t="s">
        <v>37555</v>
      </c>
      <c r="K7588" t="s">
        <v>42712</v>
      </c>
      <c r="M7588" t="s">
        <v>45468</v>
      </c>
      <c r="N7588" t="s">
        <v>47304</v>
      </c>
      <c r="O7588" t="s">
        <v>47305</v>
      </c>
      <c r="P7588">
        <v>0</v>
      </c>
      <c r="Q7588">
        <v>10</v>
      </c>
      <c r="R7588" t="s">
        <v>47311</v>
      </c>
      <c r="S7588" t="s">
        <v>47443</v>
      </c>
      <c r="T7588" t="s">
        <v>49037</v>
      </c>
      <c r="U7588" t="s">
        <v>55887</v>
      </c>
      <c r="V7588" t="s">
        <v>63367</v>
      </c>
      <c r="W7588" t="s">
        <v>45468</v>
      </c>
      <c r="X7588" t="s">
        <v>47312</v>
      </c>
    </row>
    <row r="7589" spans="1:24">
      <c r="A7589">
        <f>HYPERLINK("https://www.philgeps.gov.ph/GEPSNONPILOT/Tender/SplashBidNoticeAbstractUI.aspx?menuIndex=3&amp;refID=7192991&amp;Result=3","7192991")</f>
        <v>0</v>
      </c>
      <c r="B7589" t="s">
        <v>973</v>
      </c>
      <c r="C7589" t="s">
        <v>10990</v>
      </c>
      <c r="D7589" t="s">
        <v>19007</v>
      </c>
      <c r="E7589" t="s">
        <v>25696</v>
      </c>
      <c r="F7589" t="s">
        <v>32606</v>
      </c>
      <c r="G7589" t="s">
        <v>32619</v>
      </c>
      <c r="H7589" t="s">
        <v>32624</v>
      </c>
      <c r="I7589" t="s">
        <v>32626</v>
      </c>
      <c r="J7589" t="s">
        <v>32949</v>
      </c>
      <c r="K7589" t="s">
        <v>42630</v>
      </c>
      <c r="M7589" t="s">
        <v>43919</v>
      </c>
      <c r="N7589" t="s">
        <v>47304</v>
      </c>
      <c r="O7589" t="s">
        <v>47305</v>
      </c>
      <c r="P7589">
        <v>0</v>
      </c>
      <c r="Q7589">
        <v>0</v>
      </c>
      <c r="R7589" t="s">
        <v>47311</v>
      </c>
      <c r="S7589" t="s">
        <v>47443</v>
      </c>
      <c r="T7589" t="s">
        <v>49315</v>
      </c>
      <c r="U7589" t="s">
        <v>55888</v>
      </c>
      <c r="W7589" t="s">
        <v>43919</v>
      </c>
      <c r="X7589" t="s">
        <v>47312</v>
      </c>
    </row>
    <row r="7590" spans="1:24">
      <c r="A7590">
        <f>HYPERLINK("https://www.philgeps.gov.ph/GEPSNONPILOT/Tender/SplashBidNoticeAbstractUI.aspx?menuIndex=3&amp;refID=7192979&amp;Result=3","7192979")</f>
        <v>0</v>
      </c>
      <c r="B7590" t="s">
        <v>1883</v>
      </c>
      <c r="C7590" t="s">
        <v>10991</v>
      </c>
      <c r="D7590" t="s">
        <v>18999</v>
      </c>
      <c r="E7590" t="s">
        <v>19315</v>
      </c>
      <c r="F7590" t="s">
        <v>32606</v>
      </c>
      <c r="G7590" t="s">
        <v>32614</v>
      </c>
      <c r="H7590" t="s">
        <v>32624</v>
      </c>
      <c r="I7590" t="s">
        <v>4369</v>
      </c>
      <c r="J7590" t="s">
        <v>33195</v>
      </c>
      <c r="K7590" t="s">
        <v>42629</v>
      </c>
      <c r="M7590" t="s">
        <v>44941</v>
      </c>
      <c r="N7590" t="s">
        <v>47304</v>
      </c>
      <c r="O7590" t="s">
        <v>47305</v>
      </c>
      <c r="P7590">
        <v>0</v>
      </c>
      <c r="Q7590">
        <v>1</v>
      </c>
      <c r="R7590" t="s">
        <v>47311</v>
      </c>
      <c r="S7590" t="s">
        <v>47443</v>
      </c>
      <c r="T7590" t="s">
        <v>48979</v>
      </c>
      <c r="U7590" t="s">
        <v>55889</v>
      </c>
      <c r="W7590" t="s">
        <v>44941</v>
      </c>
      <c r="X7590" t="s">
        <v>47312</v>
      </c>
    </row>
    <row r="7591" spans="1:24">
      <c r="A7591">
        <f>HYPERLINK("https://www.philgeps.gov.ph/GEPSNONPILOT/Tender/SplashBidNoticeAbstractUI.aspx?menuIndex=3&amp;refID=7192989&amp;Result=3","7192989")</f>
        <v>0</v>
      </c>
      <c r="B7591" t="s">
        <v>2356</v>
      </c>
      <c r="C7591" t="s">
        <v>10992</v>
      </c>
      <c r="D7591" t="s">
        <v>19014</v>
      </c>
      <c r="E7591" t="s">
        <v>25697</v>
      </c>
      <c r="F7591" t="s">
        <v>32606</v>
      </c>
      <c r="G7591" t="s">
        <v>32613</v>
      </c>
      <c r="H7591" t="s">
        <v>32623</v>
      </c>
      <c r="I7591" t="s">
        <v>17648</v>
      </c>
      <c r="J7591" t="s">
        <v>37556</v>
      </c>
      <c r="K7591" t="s">
        <v>42712</v>
      </c>
      <c r="M7591" t="s">
        <v>45468</v>
      </c>
      <c r="N7591" t="s">
        <v>47304</v>
      </c>
      <c r="O7591" t="s">
        <v>47305</v>
      </c>
      <c r="P7591">
        <v>0</v>
      </c>
      <c r="Q7591">
        <v>10</v>
      </c>
      <c r="R7591" t="s">
        <v>47311</v>
      </c>
      <c r="S7591" t="s">
        <v>47443</v>
      </c>
      <c r="T7591" t="s">
        <v>49037</v>
      </c>
      <c r="U7591" t="s">
        <v>55890</v>
      </c>
      <c r="V7591" t="s">
        <v>63366</v>
      </c>
      <c r="W7591" t="s">
        <v>45468</v>
      </c>
      <c r="X7591" t="s">
        <v>47312</v>
      </c>
    </row>
    <row r="7592" spans="1:24">
      <c r="A7592">
        <f>HYPERLINK("https://www.philgeps.gov.ph/GEPSNONPILOT/Tender/SplashBidNoticeAbstractUI.aspx?menuIndex=3&amp;refID=7192976&amp;Result=3","7192976")</f>
        <v>0</v>
      </c>
      <c r="B7592" t="s">
        <v>1115</v>
      </c>
      <c r="C7592" t="s">
        <v>10993</v>
      </c>
      <c r="D7592" t="s">
        <v>18993</v>
      </c>
      <c r="E7592" t="s">
        <v>25698</v>
      </c>
      <c r="F7592" t="s">
        <v>32606</v>
      </c>
      <c r="G7592" t="s">
        <v>32614</v>
      </c>
      <c r="H7592" t="s">
        <v>14201</v>
      </c>
      <c r="I7592" t="s">
        <v>32632</v>
      </c>
      <c r="J7592" t="s">
        <v>37557</v>
      </c>
      <c r="K7592" t="s">
        <v>42624</v>
      </c>
      <c r="M7592" t="s">
        <v>44076</v>
      </c>
      <c r="N7592" t="s">
        <v>47304</v>
      </c>
      <c r="O7592" t="s">
        <v>47305</v>
      </c>
      <c r="P7592">
        <v>0</v>
      </c>
      <c r="Q7592">
        <v>9</v>
      </c>
      <c r="R7592" t="s">
        <v>47311</v>
      </c>
      <c r="S7592" t="s">
        <v>47443</v>
      </c>
      <c r="T7592" t="s">
        <v>49269</v>
      </c>
      <c r="U7592" t="s">
        <v>55891</v>
      </c>
      <c r="W7592" t="s">
        <v>44076</v>
      </c>
      <c r="X7592" t="s">
        <v>47312</v>
      </c>
    </row>
    <row r="7593" spans="1:24">
      <c r="A7593">
        <f>HYPERLINK("https://www.philgeps.gov.ph/GEPSNONPILOT/Tender/SplashBidNoticeAbstractUI.aspx?menuIndex=3&amp;refID=7192988&amp;Result=3","7192988")</f>
        <v>0</v>
      </c>
      <c r="B7593" t="s">
        <v>2452</v>
      </c>
      <c r="C7593" t="s">
        <v>10994</v>
      </c>
      <c r="D7593" t="s">
        <v>18991</v>
      </c>
      <c r="E7593" t="s">
        <v>25699</v>
      </c>
      <c r="F7593" t="s">
        <v>32606</v>
      </c>
      <c r="G7593" t="s">
        <v>32613</v>
      </c>
      <c r="H7593" t="s">
        <v>14201</v>
      </c>
      <c r="I7593" t="s">
        <v>7064</v>
      </c>
      <c r="J7593" t="s">
        <v>33231</v>
      </c>
      <c r="K7593" t="s">
        <v>42623</v>
      </c>
      <c r="M7593" t="s">
        <v>45582</v>
      </c>
      <c r="N7593" t="s">
        <v>47304</v>
      </c>
      <c r="O7593" t="s">
        <v>47305</v>
      </c>
      <c r="P7593">
        <v>0</v>
      </c>
      <c r="Q7593">
        <v>1</v>
      </c>
      <c r="R7593" t="s">
        <v>47311</v>
      </c>
      <c r="S7593" t="s">
        <v>47443</v>
      </c>
      <c r="T7593" t="s">
        <v>49080</v>
      </c>
      <c r="U7593" t="s">
        <v>55892</v>
      </c>
      <c r="W7593" t="s">
        <v>45582</v>
      </c>
      <c r="X7593" t="s">
        <v>47312</v>
      </c>
    </row>
    <row r="7594" spans="1:24">
      <c r="A7594">
        <f>HYPERLINK("https://www.philgeps.gov.ph/GEPSNONPILOT/Tender/SplashBidNoticeAbstractUI.aspx?menuIndex=3&amp;refID=7192712&amp;Result=3","7192712")</f>
        <v>0</v>
      </c>
      <c r="B7594" t="s">
        <v>1691</v>
      </c>
      <c r="C7594" t="s">
        <v>10995</v>
      </c>
      <c r="D7594" t="s">
        <v>18993</v>
      </c>
      <c r="E7594" t="s">
        <v>25700</v>
      </c>
      <c r="F7594" t="s">
        <v>32606</v>
      </c>
      <c r="G7594" t="s">
        <v>32614</v>
      </c>
      <c r="H7594" t="s">
        <v>14201</v>
      </c>
      <c r="I7594" t="s">
        <v>32635</v>
      </c>
      <c r="J7594" t="s">
        <v>37558</v>
      </c>
      <c r="K7594" t="s">
        <v>42630</v>
      </c>
      <c r="M7594" t="s">
        <v>44720</v>
      </c>
      <c r="N7594" t="s">
        <v>47304</v>
      </c>
      <c r="O7594" t="s">
        <v>47305</v>
      </c>
      <c r="P7594">
        <v>0</v>
      </c>
      <c r="Q7594">
        <v>0</v>
      </c>
      <c r="R7594" t="s">
        <v>47311</v>
      </c>
      <c r="S7594" t="s">
        <v>47443</v>
      </c>
      <c r="T7594" t="s">
        <v>49221</v>
      </c>
      <c r="U7594" t="s">
        <v>55893</v>
      </c>
      <c r="W7594" t="s">
        <v>44720</v>
      </c>
      <c r="X7594" t="s">
        <v>47312</v>
      </c>
    </row>
    <row r="7595" spans="1:24">
      <c r="A7595">
        <f>HYPERLINK("https://www.philgeps.gov.ph/GEPSNONPILOT/Tender/SplashBidNoticeAbstractUI.aspx?menuIndex=3&amp;refID=7192981&amp;Result=3","7192981")</f>
        <v>0</v>
      </c>
      <c r="B7595" t="s">
        <v>2454</v>
      </c>
      <c r="C7595" t="s">
        <v>10996</v>
      </c>
      <c r="D7595" t="s">
        <v>18993</v>
      </c>
      <c r="E7595" t="s">
        <v>25701</v>
      </c>
      <c r="F7595" t="s">
        <v>32606</v>
      </c>
      <c r="G7595" t="s">
        <v>32619</v>
      </c>
      <c r="H7595" t="s">
        <v>14201</v>
      </c>
      <c r="I7595" t="s">
        <v>32633</v>
      </c>
      <c r="J7595" t="s">
        <v>32775</v>
      </c>
      <c r="K7595" t="s">
        <v>42624</v>
      </c>
      <c r="M7595" t="s">
        <v>45584</v>
      </c>
      <c r="N7595" t="s">
        <v>47304</v>
      </c>
      <c r="O7595" t="s">
        <v>47305</v>
      </c>
      <c r="P7595">
        <v>0</v>
      </c>
      <c r="Q7595">
        <v>3</v>
      </c>
      <c r="R7595" t="s">
        <v>47311</v>
      </c>
      <c r="S7595" t="s">
        <v>47443</v>
      </c>
      <c r="T7595" t="s">
        <v>49257</v>
      </c>
      <c r="U7595" t="s">
        <v>55894</v>
      </c>
      <c r="W7595" t="s">
        <v>45584</v>
      </c>
      <c r="X7595" t="s">
        <v>47312</v>
      </c>
    </row>
    <row r="7596" spans="1:24">
      <c r="A7596">
        <f>HYPERLINK("https://www.philgeps.gov.ph/GEPSNONPILOT/Tender/SplashBidNoticeAbstractUI.aspx?menuIndex=3&amp;refID=7193021&amp;Result=3","7193021")</f>
        <v>0</v>
      </c>
      <c r="B7596" t="s">
        <v>1883</v>
      </c>
      <c r="C7596" t="s">
        <v>10997</v>
      </c>
      <c r="D7596" t="s">
        <v>18999</v>
      </c>
      <c r="E7596" t="s">
        <v>19315</v>
      </c>
      <c r="F7596" t="s">
        <v>32606</v>
      </c>
      <c r="G7596" t="s">
        <v>32614</v>
      </c>
      <c r="H7596" t="s">
        <v>32624</v>
      </c>
      <c r="I7596" t="s">
        <v>4369</v>
      </c>
      <c r="J7596" t="s">
        <v>32995</v>
      </c>
      <c r="K7596" t="s">
        <v>42629</v>
      </c>
      <c r="M7596" t="s">
        <v>44941</v>
      </c>
      <c r="N7596" t="s">
        <v>47304</v>
      </c>
      <c r="O7596" t="s">
        <v>47305</v>
      </c>
      <c r="P7596">
        <v>0</v>
      </c>
      <c r="Q7596">
        <v>1</v>
      </c>
      <c r="R7596" t="s">
        <v>47311</v>
      </c>
      <c r="S7596" t="s">
        <v>47443</v>
      </c>
      <c r="T7596" t="s">
        <v>48979</v>
      </c>
      <c r="U7596" t="s">
        <v>55895</v>
      </c>
      <c r="W7596" t="s">
        <v>44941</v>
      </c>
      <c r="X7596" t="s">
        <v>47312</v>
      </c>
    </row>
    <row r="7597" spans="1:24">
      <c r="A7597">
        <f>HYPERLINK("https://www.philgeps.gov.ph/GEPSNONPILOT/Tender/SplashBidNoticeAbstractUI.aspx?menuIndex=3&amp;refID=7193020&amp;Result=3","7193020")</f>
        <v>0</v>
      </c>
      <c r="B7597" t="s">
        <v>1172</v>
      </c>
      <c r="C7597" t="s">
        <v>10998</v>
      </c>
      <c r="D7597" t="s">
        <v>19002</v>
      </c>
      <c r="E7597" t="s">
        <v>25702</v>
      </c>
      <c r="F7597" t="s">
        <v>32606</v>
      </c>
      <c r="G7597" t="s">
        <v>32614</v>
      </c>
      <c r="H7597" t="s">
        <v>14201</v>
      </c>
      <c r="I7597" t="s">
        <v>32635</v>
      </c>
      <c r="J7597" t="s">
        <v>33119</v>
      </c>
      <c r="K7597" t="s">
        <v>42630</v>
      </c>
      <c r="M7597" t="s">
        <v>44135</v>
      </c>
      <c r="N7597" t="s">
        <v>47304</v>
      </c>
      <c r="O7597" t="s">
        <v>47305</v>
      </c>
      <c r="P7597">
        <v>0</v>
      </c>
      <c r="Q7597">
        <v>3</v>
      </c>
      <c r="R7597" t="s">
        <v>47311</v>
      </c>
      <c r="S7597" t="s">
        <v>47443</v>
      </c>
      <c r="T7597" t="s">
        <v>49053</v>
      </c>
      <c r="U7597" t="s">
        <v>51932</v>
      </c>
      <c r="W7597" t="s">
        <v>44135</v>
      </c>
      <c r="X7597" t="s">
        <v>47312</v>
      </c>
    </row>
    <row r="7598" spans="1:24">
      <c r="A7598">
        <f>HYPERLINK("https://www.philgeps.gov.ph/GEPSNONPILOT/Tender/SplashBidNoticeAbstractUI.aspx?menuIndex=3&amp;refID=7192977&amp;Result=3","7192977")</f>
        <v>0</v>
      </c>
      <c r="B7598" t="s">
        <v>270</v>
      </c>
      <c r="C7598" t="s">
        <v>10999</v>
      </c>
      <c r="D7598" t="s">
        <v>18993</v>
      </c>
      <c r="E7598" t="s">
        <v>25703</v>
      </c>
      <c r="F7598" t="s">
        <v>32606</v>
      </c>
      <c r="G7598" t="s">
        <v>32613</v>
      </c>
      <c r="H7598" t="s">
        <v>14201</v>
      </c>
      <c r="I7598" t="s">
        <v>32711</v>
      </c>
      <c r="J7598" t="s">
        <v>37559</v>
      </c>
      <c r="K7598" t="s">
        <v>42636</v>
      </c>
      <c r="M7598" t="s">
        <v>45585</v>
      </c>
      <c r="N7598" t="s">
        <v>47304</v>
      </c>
      <c r="O7598" t="s">
        <v>47305</v>
      </c>
      <c r="P7598">
        <v>0</v>
      </c>
      <c r="Q7598">
        <v>3</v>
      </c>
      <c r="R7598" t="s">
        <v>47311</v>
      </c>
      <c r="S7598" t="s">
        <v>47443</v>
      </c>
      <c r="T7598" t="s">
        <v>49037</v>
      </c>
      <c r="U7598" t="s">
        <v>55896</v>
      </c>
      <c r="W7598" t="s">
        <v>45585</v>
      </c>
      <c r="X7598" t="s">
        <v>47312</v>
      </c>
    </row>
    <row r="7599" spans="1:24">
      <c r="A7599">
        <f>HYPERLINK("https://www.philgeps.gov.ph/GEPSNONPILOT/Tender/SplashBidNoticeAbstractUI.aspx?menuIndex=3&amp;refID=7193018&amp;Result=3","7193018")</f>
        <v>0</v>
      </c>
      <c r="B7599" t="s">
        <v>1543</v>
      </c>
      <c r="C7599" t="s">
        <v>11000</v>
      </c>
      <c r="D7599" t="s">
        <v>19013</v>
      </c>
      <c r="E7599" t="s">
        <v>25704</v>
      </c>
      <c r="F7599" t="s">
        <v>32606</v>
      </c>
      <c r="G7599" t="s">
        <v>32613</v>
      </c>
      <c r="H7599" t="s">
        <v>32623</v>
      </c>
      <c r="I7599" t="s">
        <v>17648</v>
      </c>
      <c r="J7599" t="s">
        <v>32767</v>
      </c>
      <c r="K7599" t="s">
        <v>42646</v>
      </c>
      <c r="M7599" t="s">
        <v>44547</v>
      </c>
      <c r="N7599" t="s">
        <v>47304</v>
      </c>
      <c r="O7599" t="s">
        <v>47305</v>
      </c>
      <c r="P7599">
        <v>0</v>
      </c>
      <c r="Q7599">
        <v>1</v>
      </c>
      <c r="R7599" t="s">
        <v>47311</v>
      </c>
      <c r="S7599" t="s">
        <v>47443</v>
      </c>
      <c r="T7599" t="s">
        <v>49037</v>
      </c>
      <c r="U7599" t="s">
        <v>55897</v>
      </c>
      <c r="W7599" t="s">
        <v>44547</v>
      </c>
      <c r="X7599" t="s">
        <v>47312</v>
      </c>
    </row>
    <row r="7600" spans="1:24">
      <c r="A7600">
        <f>HYPERLINK("https://www.philgeps.gov.ph/GEPSNONPILOT/Tender/SplashBidNoticeAbstractUI.aspx?menuIndex=3&amp;refID=7193017&amp;Result=3","7193017")</f>
        <v>0</v>
      </c>
      <c r="B7600" t="s">
        <v>1883</v>
      </c>
      <c r="C7600" t="s">
        <v>11001</v>
      </c>
      <c r="D7600" t="s">
        <v>18999</v>
      </c>
      <c r="E7600" t="s">
        <v>19315</v>
      </c>
      <c r="F7600" t="s">
        <v>32606</v>
      </c>
      <c r="G7600" t="s">
        <v>32614</v>
      </c>
      <c r="H7600" t="s">
        <v>32624</v>
      </c>
      <c r="I7600" t="s">
        <v>4369</v>
      </c>
      <c r="J7600" t="s">
        <v>33561</v>
      </c>
      <c r="K7600" t="s">
        <v>42629</v>
      </c>
      <c r="M7600" t="s">
        <v>44941</v>
      </c>
      <c r="N7600" t="s">
        <v>47304</v>
      </c>
      <c r="O7600" t="s">
        <v>47305</v>
      </c>
      <c r="P7600">
        <v>0</v>
      </c>
      <c r="Q7600">
        <v>1</v>
      </c>
      <c r="R7600" t="s">
        <v>47311</v>
      </c>
      <c r="S7600" t="s">
        <v>47443</v>
      </c>
      <c r="T7600" t="s">
        <v>48979</v>
      </c>
      <c r="U7600" t="s">
        <v>55898</v>
      </c>
      <c r="W7600" t="s">
        <v>44941</v>
      </c>
      <c r="X7600" t="s">
        <v>47312</v>
      </c>
    </row>
    <row r="7601" spans="1:24">
      <c r="A7601">
        <f>HYPERLINK("https://www.philgeps.gov.ph/GEPSNONPILOT/Tender/SplashBidNoticeAbstractUI.aspx?menuIndex=3&amp;refID=7193015&amp;Result=3","7193015")</f>
        <v>0</v>
      </c>
      <c r="B7601" t="s">
        <v>1883</v>
      </c>
      <c r="C7601" t="s">
        <v>11002</v>
      </c>
      <c r="D7601" t="s">
        <v>18999</v>
      </c>
      <c r="E7601" t="s">
        <v>19315</v>
      </c>
      <c r="F7601" t="s">
        <v>32606</v>
      </c>
      <c r="G7601" t="s">
        <v>32614</v>
      </c>
      <c r="H7601" t="s">
        <v>32624</v>
      </c>
      <c r="I7601" t="s">
        <v>4369</v>
      </c>
      <c r="J7601" t="s">
        <v>32885</v>
      </c>
      <c r="K7601" t="s">
        <v>42629</v>
      </c>
      <c r="M7601" t="s">
        <v>44941</v>
      </c>
      <c r="N7601" t="s">
        <v>47304</v>
      </c>
      <c r="O7601" t="s">
        <v>47305</v>
      </c>
      <c r="P7601">
        <v>0</v>
      </c>
      <c r="Q7601">
        <v>1</v>
      </c>
      <c r="R7601" t="s">
        <v>47311</v>
      </c>
      <c r="S7601" t="s">
        <v>47443</v>
      </c>
      <c r="T7601" t="s">
        <v>48979</v>
      </c>
      <c r="U7601" t="s">
        <v>55899</v>
      </c>
      <c r="W7601" t="s">
        <v>44941</v>
      </c>
      <c r="X7601" t="s">
        <v>47312</v>
      </c>
    </row>
    <row r="7602" spans="1:24">
      <c r="A7602">
        <f>HYPERLINK("https://www.philgeps.gov.ph/GEPSNONPILOT/Tender/SplashBidNoticeAbstractUI.aspx?menuIndex=3&amp;refID=7192984&amp;Result=3","7192984")</f>
        <v>0</v>
      </c>
      <c r="B7602" t="s">
        <v>1543</v>
      </c>
      <c r="C7602" t="s">
        <v>11003</v>
      </c>
      <c r="D7602" t="s">
        <v>19013</v>
      </c>
      <c r="E7602" t="s">
        <v>25705</v>
      </c>
      <c r="F7602" t="s">
        <v>32606</v>
      </c>
      <c r="G7602" t="s">
        <v>32613</v>
      </c>
      <c r="H7602" t="s">
        <v>32623</v>
      </c>
      <c r="I7602" t="s">
        <v>17648</v>
      </c>
      <c r="J7602" t="s">
        <v>32830</v>
      </c>
      <c r="K7602" t="s">
        <v>42646</v>
      </c>
      <c r="M7602" t="s">
        <v>44547</v>
      </c>
      <c r="N7602" t="s">
        <v>47304</v>
      </c>
      <c r="O7602" t="s">
        <v>47305</v>
      </c>
      <c r="P7602">
        <v>0</v>
      </c>
      <c r="Q7602">
        <v>1</v>
      </c>
      <c r="R7602" t="s">
        <v>47311</v>
      </c>
      <c r="S7602" t="s">
        <v>47443</v>
      </c>
      <c r="T7602" t="s">
        <v>49037</v>
      </c>
      <c r="U7602" t="s">
        <v>55900</v>
      </c>
      <c r="W7602" t="s">
        <v>44547</v>
      </c>
      <c r="X7602" t="s">
        <v>47312</v>
      </c>
    </row>
    <row r="7603" spans="1:24">
      <c r="A7603">
        <f>HYPERLINK("https://www.philgeps.gov.ph/GEPSNONPILOT/Tender/SplashBidNoticeAbstractUI.aspx?menuIndex=3&amp;refID=7193014&amp;Result=3","7193014")</f>
        <v>0</v>
      </c>
      <c r="B7603" t="s">
        <v>1172</v>
      </c>
      <c r="C7603" t="s">
        <v>11004</v>
      </c>
      <c r="D7603" t="s">
        <v>19002</v>
      </c>
      <c r="E7603" t="s">
        <v>25706</v>
      </c>
      <c r="F7603" t="s">
        <v>32606</v>
      </c>
      <c r="G7603" t="s">
        <v>32614</v>
      </c>
      <c r="H7603" t="s">
        <v>14201</v>
      </c>
      <c r="I7603" t="s">
        <v>32635</v>
      </c>
      <c r="J7603" t="s">
        <v>32923</v>
      </c>
      <c r="K7603" t="s">
        <v>42630</v>
      </c>
      <c r="M7603" t="s">
        <v>44135</v>
      </c>
      <c r="N7603" t="s">
        <v>47304</v>
      </c>
      <c r="O7603" t="s">
        <v>47305</v>
      </c>
      <c r="P7603">
        <v>0</v>
      </c>
      <c r="Q7603">
        <v>4</v>
      </c>
      <c r="R7603" t="s">
        <v>47311</v>
      </c>
      <c r="S7603" t="s">
        <v>47443</v>
      </c>
      <c r="T7603" t="s">
        <v>49053</v>
      </c>
      <c r="U7603" t="s">
        <v>51932</v>
      </c>
      <c r="W7603" t="s">
        <v>44135</v>
      </c>
      <c r="X7603" t="s">
        <v>47312</v>
      </c>
    </row>
    <row r="7604" spans="1:24">
      <c r="A7604">
        <f>HYPERLINK("https://www.philgeps.gov.ph/GEPSNONPILOT/Tender/SplashBidNoticeAbstractUI.aspx?menuIndex=3&amp;refID=7193019&amp;Result=3","7193019")</f>
        <v>0</v>
      </c>
      <c r="B7604" t="s">
        <v>1883</v>
      </c>
      <c r="C7604" t="s">
        <v>11005</v>
      </c>
      <c r="D7604" t="s">
        <v>18999</v>
      </c>
      <c r="E7604" t="s">
        <v>19315</v>
      </c>
      <c r="F7604" t="s">
        <v>32606</v>
      </c>
      <c r="G7604" t="s">
        <v>32614</v>
      </c>
      <c r="H7604" t="s">
        <v>32624</v>
      </c>
      <c r="I7604" t="s">
        <v>4369</v>
      </c>
      <c r="J7604" t="s">
        <v>33441</v>
      </c>
      <c r="K7604" t="s">
        <v>42629</v>
      </c>
      <c r="M7604" t="s">
        <v>44941</v>
      </c>
      <c r="N7604" t="s">
        <v>47304</v>
      </c>
      <c r="O7604" t="s">
        <v>47305</v>
      </c>
      <c r="P7604">
        <v>0</v>
      </c>
      <c r="Q7604">
        <v>1</v>
      </c>
      <c r="R7604" t="s">
        <v>47311</v>
      </c>
      <c r="S7604" t="s">
        <v>47443</v>
      </c>
      <c r="T7604" t="s">
        <v>48979</v>
      </c>
      <c r="U7604" t="s">
        <v>55901</v>
      </c>
      <c r="W7604" t="s">
        <v>44941</v>
      </c>
      <c r="X7604" t="s">
        <v>47312</v>
      </c>
    </row>
    <row r="7605" spans="1:24">
      <c r="A7605">
        <f>HYPERLINK("https://www.philgeps.gov.ph/GEPSNONPILOT/Tender/SplashBidNoticeAbstractUI.aspx?menuIndex=3&amp;refID=7193012&amp;Result=3","7193012")</f>
        <v>0</v>
      </c>
      <c r="B7605" t="s">
        <v>1883</v>
      </c>
      <c r="C7605" t="s">
        <v>11006</v>
      </c>
      <c r="D7605" t="s">
        <v>18999</v>
      </c>
      <c r="E7605" t="s">
        <v>19315</v>
      </c>
      <c r="F7605" t="s">
        <v>32606</v>
      </c>
      <c r="G7605" t="s">
        <v>32614</v>
      </c>
      <c r="H7605" t="s">
        <v>32624</v>
      </c>
      <c r="I7605" t="s">
        <v>4369</v>
      </c>
      <c r="J7605" t="s">
        <v>32752</v>
      </c>
      <c r="K7605" t="s">
        <v>42629</v>
      </c>
      <c r="M7605" t="s">
        <v>44941</v>
      </c>
      <c r="N7605" t="s">
        <v>47304</v>
      </c>
      <c r="O7605" t="s">
        <v>47305</v>
      </c>
      <c r="P7605">
        <v>0</v>
      </c>
      <c r="Q7605">
        <v>1</v>
      </c>
      <c r="R7605" t="s">
        <v>47311</v>
      </c>
      <c r="S7605" t="s">
        <v>47443</v>
      </c>
      <c r="T7605" t="s">
        <v>48979</v>
      </c>
      <c r="U7605" t="s">
        <v>55902</v>
      </c>
      <c r="W7605" t="s">
        <v>44941</v>
      </c>
      <c r="X7605" t="s">
        <v>47312</v>
      </c>
    </row>
    <row r="7606" spans="1:24">
      <c r="A7606">
        <f>HYPERLINK("https://www.philgeps.gov.ph/GEPSNONPILOT/Tender/SplashBidNoticeAbstractUI.aspx?menuIndex=3&amp;refID=7193009&amp;Result=3","7193009")</f>
        <v>0</v>
      </c>
      <c r="B7606" t="s">
        <v>1172</v>
      </c>
      <c r="C7606" t="s">
        <v>11007</v>
      </c>
      <c r="D7606" t="s">
        <v>19002</v>
      </c>
      <c r="E7606" t="s">
        <v>25707</v>
      </c>
      <c r="F7606" t="s">
        <v>32606</v>
      </c>
      <c r="G7606" t="s">
        <v>32614</v>
      </c>
      <c r="H7606" t="s">
        <v>14201</v>
      </c>
      <c r="I7606" t="s">
        <v>32635</v>
      </c>
      <c r="J7606" t="s">
        <v>32765</v>
      </c>
      <c r="K7606" t="s">
        <v>42630</v>
      </c>
      <c r="M7606" t="s">
        <v>44135</v>
      </c>
      <c r="N7606" t="s">
        <v>47304</v>
      </c>
      <c r="O7606" t="s">
        <v>47305</v>
      </c>
      <c r="P7606">
        <v>0</v>
      </c>
      <c r="Q7606">
        <v>3</v>
      </c>
      <c r="R7606" t="s">
        <v>47311</v>
      </c>
      <c r="S7606" t="s">
        <v>47443</v>
      </c>
      <c r="T7606" t="s">
        <v>49053</v>
      </c>
      <c r="U7606" t="s">
        <v>51932</v>
      </c>
      <c r="W7606" t="s">
        <v>44135</v>
      </c>
      <c r="X7606" t="s">
        <v>47312</v>
      </c>
    </row>
    <row r="7607" spans="1:24">
      <c r="A7607">
        <f>HYPERLINK("https://www.philgeps.gov.ph/GEPSNONPILOT/Tender/SplashBidNoticeAbstractUI.aspx?menuIndex=3&amp;refID=7193016&amp;Result=3","7193016")</f>
        <v>0</v>
      </c>
      <c r="B7607" t="s">
        <v>1172</v>
      </c>
      <c r="C7607" t="s">
        <v>11008</v>
      </c>
      <c r="D7607" t="s">
        <v>19002</v>
      </c>
      <c r="E7607" t="s">
        <v>25708</v>
      </c>
      <c r="F7607" t="s">
        <v>32606</v>
      </c>
      <c r="G7607" t="s">
        <v>32614</v>
      </c>
      <c r="H7607" t="s">
        <v>14201</v>
      </c>
      <c r="I7607" t="s">
        <v>32635</v>
      </c>
      <c r="J7607" t="s">
        <v>34085</v>
      </c>
      <c r="K7607" t="s">
        <v>42630</v>
      </c>
      <c r="M7607" t="s">
        <v>44135</v>
      </c>
      <c r="N7607" t="s">
        <v>47304</v>
      </c>
      <c r="O7607" t="s">
        <v>47305</v>
      </c>
      <c r="P7607">
        <v>0</v>
      </c>
      <c r="Q7607">
        <v>3</v>
      </c>
      <c r="R7607" t="s">
        <v>47311</v>
      </c>
      <c r="S7607" t="s">
        <v>47443</v>
      </c>
      <c r="T7607" t="s">
        <v>49053</v>
      </c>
      <c r="U7607" t="s">
        <v>51932</v>
      </c>
      <c r="W7607" t="s">
        <v>44135</v>
      </c>
      <c r="X7607" t="s">
        <v>47312</v>
      </c>
    </row>
    <row r="7608" spans="1:24">
      <c r="A7608">
        <f>HYPERLINK("https://www.philgeps.gov.ph/GEPSNONPILOT/Tender/SplashBidNoticeAbstractUI.aspx?menuIndex=3&amp;refID=7193008&amp;Result=3","7193008")</f>
        <v>0</v>
      </c>
      <c r="B7608" t="s">
        <v>1883</v>
      </c>
      <c r="C7608" t="s">
        <v>11009</v>
      </c>
      <c r="D7608" t="s">
        <v>18999</v>
      </c>
      <c r="E7608" t="s">
        <v>19315</v>
      </c>
      <c r="F7608" t="s">
        <v>32606</v>
      </c>
      <c r="G7608" t="s">
        <v>32614</v>
      </c>
      <c r="H7608" t="s">
        <v>32624</v>
      </c>
      <c r="I7608" t="s">
        <v>4369</v>
      </c>
      <c r="J7608" t="s">
        <v>33569</v>
      </c>
      <c r="K7608" t="s">
        <v>42629</v>
      </c>
      <c r="M7608" t="s">
        <v>44941</v>
      </c>
      <c r="N7608" t="s">
        <v>47304</v>
      </c>
      <c r="O7608" t="s">
        <v>47305</v>
      </c>
      <c r="P7608">
        <v>0</v>
      </c>
      <c r="Q7608">
        <v>1</v>
      </c>
      <c r="R7608" t="s">
        <v>47311</v>
      </c>
      <c r="S7608" t="s">
        <v>47443</v>
      </c>
      <c r="T7608" t="s">
        <v>48979</v>
      </c>
      <c r="U7608" t="s">
        <v>55903</v>
      </c>
      <c r="W7608" t="s">
        <v>44941</v>
      </c>
      <c r="X7608" t="s">
        <v>47312</v>
      </c>
    </row>
    <row r="7609" spans="1:24">
      <c r="A7609">
        <f>HYPERLINK("https://www.philgeps.gov.ph/GEPSNONPILOT/Tender/SplashBidNoticeAbstractUI.aspx?menuIndex=3&amp;refID=7193007&amp;Result=3","7193007")</f>
        <v>0</v>
      </c>
      <c r="B7609" t="s">
        <v>1883</v>
      </c>
      <c r="C7609" t="s">
        <v>11010</v>
      </c>
      <c r="D7609" t="s">
        <v>18999</v>
      </c>
      <c r="E7609" t="s">
        <v>19315</v>
      </c>
      <c r="F7609" t="s">
        <v>32606</v>
      </c>
      <c r="G7609" t="s">
        <v>32614</v>
      </c>
      <c r="H7609" t="s">
        <v>32624</v>
      </c>
      <c r="I7609" t="s">
        <v>4369</v>
      </c>
      <c r="J7609" t="s">
        <v>32868</v>
      </c>
      <c r="K7609" t="s">
        <v>42629</v>
      </c>
      <c r="M7609" t="s">
        <v>44941</v>
      </c>
      <c r="N7609" t="s">
        <v>47304</v>
      </c>
      <c r="O7609" t="s">
        <v>47305</v>
      </c>
      <c r="P7609">
        <v>0</v>
      </c>
      <c r="Q7609">
        <v>1</v>
      </c>
      <c r="R7609" t="s">
        <v>47311</v>
      </c>
      <c r="S7609" t="s">
        <v>47443</v>
      </c>
      <c r="T7609" t="s">
        <v>48979</v>
      </c>
      <c r="U7609" t="s">
        <v>55903</v>
      </c>
      <c r="W7609" t="s">
        <v>44941</v>
      </c>
      <c r="X7609" t="s">
        <v>47312</v>
      </c>
    </row>
    <row r="7610" spans="1:24">
      <c r="A7610">
        <f>HYPERLINK("https://www.philgeps.gov.ph/GEPSNONPILOT/Tender/SplashBidNoticeAbstractUI.aspx?menuIndex=3&amp;refID=7193013&amp;Result=3","7193013")</f>
        <v>0</v>
      </c>
      <c r="B7610" t="s">
        <v>1883</v>
      </c>
      <c r="C7610" t="s">
        <v>11011</v>
      </c>
      <c r="D7610" t="s">
        <v>18999</v>
      </c>
      <c r="E7610" t="s">
        <v>19315</v>
      </c>
      <c r="F7610" t="s">
        <v>32606</v>
      </c>
      <c r="G7610" t="s">
        <v>32614</v>
      </c>
      <c r="H7610" t="s">
        <v>32624</v>
      </c>
      <c r="I7610" t="s">
        <v>4369</v>
      </c>
      <c r="J7610" t="s">
        <v>32999</v>
      </c>
      <c r="K7610" t="s">
        <v>42629</v>
      </c>
      <c r="M7610" t="s">
        <v>44941</v>
      </c>
      <c r="N7610" t="s">
        <v>47304</v>
      </c>
      <c r="O7610" t="s">
        <v>47305</v>
      </c>
      <c r="P7610">
        <v>0</v>
      </c>
      <c r="Q7610">
        <v>1</v>
      </c>
      <c r="R7610" t="s">
        <v>47311</v>
      </c>
      <c r="S7610" t="s">
        <v>47443</v>
      </c>
      <c r="T7610" t="s">
        <v>48979</v>
      </c>
      <c r="U7610" t="s">
        <v>55904</v>
      </c>
      <c r="W7610" t="s">
        <v>44941</v>
      </c>
      <c r="X7610" t="s">
        <v>47312</v>
      </c>
    </row>
    <row r="7611" spans="1:24">
      <c r="A7611">
        <f>HYPERLINK("https://www.philgeps.gov.ph/GEPSNONPILOT/Tender/SplashBidNoticeAbstractUI.aspx?menuIndex=3&amp;refID=7193005&amp;Result=3","7193005")</f>
        <v>0</v>
      </c>
      <c r="B7611" t="s">
        <v>1883</v>
      </c>
      <c r="C7611" t="s">
        <v>11012</v>
      </c>
      <c r="D7611" t="s">
        <v>18999</v>
      </c>
      <c r="E7611" t="s">
        <v>19315</v>
      </c>
      <c r="F7611" t="s">
        <v>32606</v>
      </c>
      <c r="G7611" t="s">
        <v>32614</v>
      </c>
      <c r="H7611" t="s">
        <v>32624</v>
      </c>
      <c r="I7611" t="s">
        <v>4369</v>
      </c>
      <c r="J7611" t="s">
        <v>33897</v>
      </c>
      <c r="K7611" t="s">
        <v>42629</v>
      </c>
      <c r="M7611" t="s">
        <v>44941</v>
      </c>
      <c r="N7611" t="s">
        <v>47304</v>
      </c>
      <c r="O7611" t="s">
        <v>47305</v>
      </c>
      <c r="P7611">
        <v>0</v>
      </c>
      <c r="Q7611">
        <v>1</v>
      </c>
      <c r="R7611" t="s">
        <v>47311</v>
      </c>
      <c r="S7611" t="s">
        <v>47443</v>
      </c>
      <c r="T7611" t="s">
        <v>48979</v>
      </c>
      <c r="U7611" t="s">
        <v>55905</v>
      </c>
      <c r="W7611" t="s">
        <v>44941</v>
      </c>
      <c r="X7611" t="s">
        <v>47312</v>
      </c>
    </row>
    <row r="7612" spans="1:24">
      <c r="A7612">
        <f>HYPERLINK("https://www.philgeps.gov.ph/GEPSNONPILOT/Tender/SplashBidNoticeAbstractUI.aspx?menuIndex=3&amp;refID=7192978&amp;Result=3","7192978")</f>
        <v>0</v>
      </c>
      <c r="B7612" t="s">
        <v>2452</v>
      </c>
      <c r="C7612" t="s">
        <v>10994</v>
      </c>
      <c r="D7612" t="s">
        <v>18991</v>
      </c>
      <c r="E7612" t="s">
        <v>25709</v>
      </c>
      <c r="F7612" t="s">
        <v>32606</v>
      </c>
      <c r="G7612" t="s">
        <v>32613</v>
      </c>
      <c r="H7612" t="s">
        <v>14201</v>
      </c>
      <c r="I7612" t="s">
        <v>7064</v>
      </c>
      <c r="J7612" t="s">
        <v>33231</v>
      </c>
      <c r="K7612" t="s">
        <v>42623</v>
      </c>
      <c r="M7612" t="s">
        <v>45582</v>
      </c>
      <c r="N7612" t="s">
        <v>47304</v>
      </c>
      <c r="O7612" t="s">
        <v>47305</v>
      </c>
      <c r="P7612">
        <v>0</v>
      </c>
      <c r="Q7612">
        <v>2</v>
      </c>
      <c r="R7612" t="s">
        <v>47311</v>
      </c>
      <c r="S7612" t="s">
        <v>47443</v>
      </c>
      <c r="T7612" t="s">
        <v>49080</v>
      </c>
      <c r="U7612" t="s">
        <v>55906</v>
      </c>
      <c r="W7612" t="s">
        <v>45582</v>
      </c>
      <c r="X7612" t="s">
        <v>47312</v>
      </c>
    </row>
    <row r="7613" spans="1:24">
      <c r="A7613">
        <f>HYPERLINK("https://www.philgeps.gov.ph/GEPSNONPILOT/Tender/SplashBidNoticeAbstractUI.aspx?menuIndex=3&amp;refID=7193004&amp;Result=3","7193004")</f>
        <v>0</v>
      </c>
      <c r="B7613" t="s">
        <v>1543</v>
      </c>
      <c r="C7613" t="s">
        <v>11013</v>
      </c>
      <c r="D7613" t="s">
        <v>19013</v>
      </c>
      <c r="E7613" t="s">
        <v>25710</v>
      </c>
      <c r="F7613" t="s">
        <v>32606</v>
      </c>
      <c r="G7613" t="s">
        <v>32613</v>
      </c>
      <c r="H7613" t="s">
        <v>32623</v>
      </c>
      <c r="I7613" t="s">
        <v>17648</v>
      </c>
      <c r="J7613" t="s">
        <v>32830</v>
      </c>
      <c r="K7613" t="s">
        <v>42646</v>
      </c>
      <c r="M7613" t="s">
        <v>44547</v>
      </c>
      <c r="N7613" t="s">
        <v>47304</v>
      </c>
      <c r="O7613" t="s">
        <v>47305</v>
      </c>
      <c r="P7613">
        <v>0</v>
      </c>
      <c r="Q7613">
        <v>0</v>
      </c>
      <c r="R7613" t="s">
        <v>47311</v>
      </c>
      <c r="S7613" t="s">
        <v>47443</v>
      </c>
      <c r="T7613" t="s">
        <v>49037</v>
      </c>
      <c r="U7613" t="s">
        <v>55907</v>
      </c>
      <c r="W7613" t="s">
        <v>44547</v>
      </c>
      <c r="X7613" t="s">
        <v>47312</v>
      </c>
    </row>
    <row r="7614" spans="1:24">
      <c r="A7614">
        <f>HYPERLINK("https://www.philgeps.gov.ph/GEPSNONPILOT/Tender/SplashBidNoticeAbstractUI.aspx?menuIndex=3&amp;refID=7193011&amp;Result=3","7193011")</f>
        <v>0</v>
      </c>
      <c r="B7614" t="s">
        <v>2452</v>
      </c>
      <c r="C7614" t="s">
        <v>11014</v>
      </c>
      <c r="D7614" t="s">
        <v>18991</v>
      </c>
      <c r="E7614" t="s">
        <v>25711</v>
      </c>
      <c r="F7614" t="s">
        <v>32606</v>
      </c>
      <c r="G7614" t="s">
        <v>32613</v>
      </c>
      <c r="H7614" t="s">
        <v>14201</v>
      </c>
      <c r="I7614" t="s">
        <v>4120</v>
      </c>
      <c r="J7614" t="s">
        <v>37560</v>
      </c>
      <c r="K7614" t="s">
        <v>42623</v>
      </c>
      <c r="M7614" t="s">
        <v>45582</v>
      </c>
      <c r="N7614" t="s">
        <v>47304</v>
      </c>
      <c r="O7614" t="s">
        <v>47305</v>
      </c>
      <c r="P7614">
        <v>0</v>
      </c>
      <c r="Q7614">
        <v>1</v>
      </c>
      <c r="R7614" t="s">
        <v>47311</v>
      </c>
      <c r="S7614" t="s">
        <v>47443</v>
      </c>
      <c r="T7614" t="s">
        <v>48980</v>
      </c>
      <c r="U7614" t="s">
        <v>55908</v>
      </c>
      <c r="W7614" t="s">
        <v>45582</v>
      </c>
      <c r="X7614" t="s">
        <v>47312</v>
      </c>
    </row>
    <row r="7615" spans="1:24">
      <c r="A7615">
        <f>HYPERLINK("https://www.philgeps.gov.ph/GEPSNONPILOT/Tender/SplashBidNoticeAbstractUI.aspx?menuIndex=3&amp;refID=7193002&amp;Result=3","7193002")</f>
        <v>0</v>
      </c>
      <c r="B7615" t="s">
        <v>1172</v>
      </c>
      <c r="C7615" t="s">
        <v>11015</v>
      </c>
      <c r="D7615" t="s">
        <v>19002</v>
      </c>
      <c r="E7615" t="s">
        <v>25712</v>
      </c>
      <c r="F7615" t="s">
        <v>32606</v>
      </c>
      <c r="G7615" t="s">
        <v>32614</v>
      </c>
      <c r="H7615" t="s">
        <v>14201</v>
      </c>
      <c r="I7615" t="s">
        <v>32660</v>
      </c>
      <c r="J7615" t="s">
        <v>32981</v>
      </c>
      <c r="K7615" t="s">
        <v>42630</v>
      </c>
      <c r="M7615" t="s">
        <v>44135</v>
      </c>
      <c r="N7615" t="s">
        <v>47304</v>
      </c>
      <c r="O7615" t="s">
        <v>47305</v>
      </c>
      <c r="P7615">
        <v>0</v>
      </c>
      <c r="Q7615">
        <v>0</v>
      </c>
      <c r="R7615" t="s">
        <v>47311</v>
      </c>
      <c r="S7615" t="s">
        <v>47443</v>
      </c>
      <c r="T7615" t="s">
        <v>49053</v>
      </c>
      <c r="U7615" t="s">
        <v>51932</v>
      </c>
      <c r="W7615" t="s">
        <v>44135</v>
      </c>
      <c r="X7615" t="s">
        <v>47312</v>
      </c>
    </row>
    <row r="7616" spans="1:24">
      <c r="A7616">
        <f>HYPERLINK("https://www.philgeps.gov.ph/GEPSNONPILOT/Tender/SplashBidNoticeAbstractUI.aspx?menuIndex=3&amp;refID=7193010&amp;Result=3","7193010")</f>
        <v>0</v>
      </c>
      <c r="B7616" t="s">
        <v>1883</v>
      </c>
      <c r="C7616" t="s">
        <v>11016</v>
      </c>
      <c r="D7616" t="s">
        <v>18999</v>
      </c>
      <c r="E7616" t="s">
        <v>19315</v>
      </c>
      <c r="F7616" t="s">
        <v>32606</v>
      </c>
      <c r="G7616" t="s">
        <v>32614</v>
      </c>
      <c r="H7616" t="s">
        <v>32624</v>
      </c>
      <c r="I7616" t="s">
        <v>4369</v>
      </c>
      <c r="J7616" t="s">
        <v>37561</v>
      </c>
      <c r="K7616" t="s">
        <v>42629</v>
      </c>
      <c r="M7616" t="s">
        <v>44941</v>
      </c>
      <c r="N7616" t="s">
        <v>47304</v>
      </c>
      <c r="O7616" t="s">
        <v>47305</v>
      </c>
      <c r="P7616">
        <v>0</v>
      </c>
      <c r="Q7616">
        <v>1</v>
      </c>
      <c r="R7616" t="s">
        <v>47311</v>
      </c>
      <c r="S7616" t="s">
        <v>47443</v>
      </c>
      <c r="T7616" t="s">
        <v>48979</v>
      </c>
      <c r="U7616" t="s">
        <v>55909</v>
      </c>
      <c r="W7616" t="s">
        <v>44941</v>
      </c>
      <c r="X7616" t="s">
        <v>47312</v>
      </c>
    </row>
    <row r="7617" spans="1:24">
      <c r="A7617">
        <f>HYPERLINK("https://www.philgeps.gov.ph/GEPSNONPILOT/Tender/SplashBidNoticeAbstractUI.aspx?menuIndex=3&amp;refID=7192683&amp;Result=3","7192683")</f>
        <v>0</v>
      </c>
      <c r="B7617" t="s">
        <v>1864</v>
      </c>
      <c r="C7617" t="s">
        <v>11017</v>
      </c>
      <c r="D7617" t="s">
        <v>19029</v>
      </c>
      <c r="E7617" t="s">
        <v>25713</v>
      </c>
      <c r="F7617" t="s">
        <v>32606</v>
      </c>
      <c r="G7617" t="s">
        <v>32614</v>
      </c>
      <c r="H7617" t="s">
        <v>14201</v>
      </c>
      <c r="I7617" t="s">
        <v>7577</v>
      </c>
      <c r="J7617" t="s">
        <v>33974</v>
      </c>
      <c r="K7617" t="s">
        <v>42630</v>
      </c>
      <c r="M7617" t="s">
        <v>44921</v>
      </c>
      <c r="N7617" t="s">
        <v>47304</v>
      </c>
      <c r="O7617" t="s">
        <v>47305</v>
      </c>
      <c r="P7617">
        <v>0</v>
      </c>
      <c r="Q7617">
        <v>0</v>
      </c>
      <c r="R7617" t="s">
        <v>47311</v>
      </c>
      <c r="S7617" t="s">
        <v>47443</v>
      </c>
      <c r="T7617" t="s">
        <v>49311</v>
      </c>
      <c r="U7617" t="s">
        <v>55605</v>
      </c>
      <c r="W7617" t="s">
        <v>44921</v>
      </c>
      <c r="X7617" t="s">
        <v>47312</v>
      </c>
    </row>
    <row r="7618" spans="1:24">
      <c r="A7618">
        <f>HYPERLINK("https://www.philgeps.gov.ph/GEPSNONPILOT/Tender/SplashBidNoticeAbstractUI.aspx?menuIndex=3&amp;refID=7141238&amp;Result=3","7141238")</f>
        <v>0</v>
      </c>
      <c r="B7618" t="s">
        <v>1942</v>
      </c>
      <c r="C7618" t="s">
        <v>11018</v>
      </c>
      <c r="D7618" t="s">
        <v>18993</v>
      </c>
      <c r="E7618" t="s">
        <v>25714</v>
      </c>
      <c r="F7618" t="s">
        <v>32607</v>
      </c>
      <c r="G7618" t="s">
        <v>32614</v>
      </c>
      <c r="H7618" t="s">
        <v>14201</v>
      </c>
      <c r="I7618" t="s">
        <v>32681</v>
      </c>
      <c r="J7618" t="s">
        <v>32999</v>
      </c>
      <c r="K7618" t="s">
        <v>42631</v>
      </c>
      <c r="M7618" t="s">
        <v>45003</v>
      </c>
      <c r="N7618" t="s">
        <v>47304</v>
      </c>
      <c r="O7618" t="s">
        <v>47305</v>
      </c>
      <c r="P7618">
        <v>0</v>
      </c>
      <c r="Q7618">
        <v>4</v>
      </c>
      <c r="R7618" t="s">
        <v>47312</v>
      </c>
      <c r="S7618" t="s">
        <v>47489</v>
      </c>
      <c r="T7618" t="s">
        <v>49375</v>
      </c>
      <c r="U7618" t="s">
        <v>55910</v>
      </c>
      <c r="W7618" t="s">
        <v>45003</v>
      </c>
      <c r="X7618" t="s">
        <v>47334</v>
      </c>
    </row>
    <row r="7619" spans="1:24">
      <c r="A7619">
        <f>HYPERLINK("https://www.philgeps.gov.ph/GEPSNONPILOT/Tender/SplashBidNoticeAbstractUI.aspx?menuIndex=3&amp;refID=7193006&amp;Result=3","7193006")</f>
        <v>0</v>
      </c>
      <c r="B7619" t="s">
        <v>2356</v>
      </c>
      <c r="C7619" t="s">
        <v>11019</v>
      </c>
      <c r="D7619" t="s">
        <v>19014</v>
      </c>
      <c r="E7619" t="s">
        <v>25715</v>
      </c>
      <c r="F7619" t="s">
        <v>32606</v>
      </c>
      <c r="G7619" t="s">
        <v>32613</v>
      </c>
      <c r="H7619" t="s">
        <v>32623</v>
      </c>
      <c r="I7619" t="s">
        <v>17648</v>
      </c>
      <c r="J7619" t="s">
        <v>37562</v>
      </c>
      <c r="K7619" t="s">
        <v>42804</v>
      </c>
      <c r="M7619" t="s">
        <v>45468</v>
      </c>
      <c r="N7619" t="s">
        <v>47304</v>
      </c>
      <c r="O7619" t="s">
        <v>47305</v>
      </c>
      <c r="P7619">
        <v>0</v>
      </c>
      <c r="Q7619">
        <v>11</v>
      </c>
      <c r="R7619" t="s">
        <v>47311</v>
      </c>
      <c r="S7619" t="s">
        <v>47443</v>
      </c>
      <c r="T7619" t="s">
        <v>49037</v>
      </c>
      <c r="U7619" t="s">
        <v>55911</v>
      </c>
      <c r="V7619" t="s">
        <v>63367</v>
      </c>
      <c r="W7619" t="s">
        <v>45468</v>
      </c>
      <c r="X7619" t="s">
        <v>47312</v>
      </c>
    </row>
    <row r="7620" spans="1:24">
      <c r="A7620">
        <f>HYPERLINK("https://www.philgeps.gov.ph/GEPSNONPILOT/Tender/SplashBidNoticeAbstractUI.aspx?menuIndex=3&amp;refID=7083194&amp;Result=3","7083194")</f>
        <v>0</v>
      </c>
      <c r="B7620" t="s">
        <v>2455</v>
      </c>
      <c r="C7620" t="s">
        <v>11020</v>
      </c>
      <c r="D7620" t="s">
        <v>18989</v>
      </c>
      <c r="E7620" t="s">
        <v>25716</v>
      </c>
      <c r="F7620" t="s">
        <v>32606</v>
      </c>
      <c r="G7620" t="s">
        <v>32613</v>
      </c>
      <c r="H7620" t="s">
        <v>14201</v>
      </c>
      <c r="I7620" t="s">
        <v>6931</v>
      </c>
      <c r="J7620" t="s">
        <v>32999</v>
      </c>
      <c r="K7620" t="s">
        <v>42629</v>
      </c>
      <c r="M7620" t="s">
        <v>45586</v>
      </c>
      <c r="N7620" t="s">
        <v>47304</v>
      </c>
      <c r="O7620" t="s">
        <v>47305</v>
      </c>
      <c r="P7620">
        <v>0</v>
      </c>
      <c r="Q7620">
        <v>0</v>
      </c>
      <c r="R7620" t="s">
        <v>47312</v>
      </c>
      <c r="S7620" t="s">
        <v>47489</v>
      </c>
      <c r="T7620" t="s">
        <v>49327</v>
      </c>
      <c r="U7620" t="s">
        <v>55912</v>
      </c>
      <c r="W7620" t="s">
        <v>45586</v>
      </c>
      <c r="X7620" t="s">
        <v>47358</v>
      </c>
    </row>
    <row r="7621" spans="1:24">
      <c r="A7621">
        <f>HYPERLINK("https://www.philgeps.gov.ph/GEPSNONPILOT/Tender/SplashBidNoticeAbstractUI.aspx?menuIndex=3&amp;refID=6553434&amp;Result=3","6553434")</f>
        <v>0</v>
      </c>
      <c r="B7621" t="s">
        <v>2456</v>
      </c>
      <c r="C7621" t="s">
        <v>11021</v>
      </c>
      <c r="D7621" t="s">
        <v>18993</v>
      </c>
      <c r="E7621" t="s">
        <v>25717</v>
      </c>
      <c r="F7621" t="s">
        <v>32606</v>
      </c>
      <c r="G7621" t="s">
        <v>32614</v>
      </c>
      <c r="H7621" t="s">
        <v>14201</v>
      </c>
      <c r="I7621" t="s">
        <v>32633</v>
      </c>
      <c r="J7621" t="s">
        <v>34960</v>
      </c>
      <c r="K7621" t="s">
        <v>42632</v>
      </c>
      <c r="M7621" t="s">
        <v>45587</v>
      </c>
      <c r="N7621" t="s">
        <v>47304</v>
      </c>
      <c r="O7621" t="s">
        <v>47305</v>
      </c>
      <c r="P7621">
        <v>0</v>
      </c>
      <c r="Q7621">
        <v>4</v>
      </c>
      <c r="R7621" t="s">
        <v>47312</v>
      </c>
      <c r="S7621" t="s">
        <v>47489</v>
      </c>
      <c r="T7621" t="s">
        <v>49072</v>
      </c>
      <c r="U7621" t="s">
        <v>55913</v>
      </c>
      <c r="V7621" t="s">
        <v>63369</v>
      </c>
      <c r="W7621" t="s">
        <v>45587</v>
      </c>
      <c r="X7621" t="s">
        <v>64569</v>
      </c>
    </row>
    <row r="7622" spans="1:24">
      <c r="A7622">
        <f>HYPERLINK("https://www.philgeps.gov.ph/GEPSNONPILOT/Tender/SplashBidNoticeAbstractUI.aspx?menuIndex=3&amp;refID=6085199&amp;Result=3","6085199")</f>
        <v>0</v>
      </c>
      <c r="B7622" t="s">
        <v>2457</v>
      </c>
      <c r="C7622" t="s">
        <v>11022</v>
      </c>
      <c r="D7622" t="s">
        <v>19023</v>
      </c>
      <c r="E7622" t="s">
        <v>25718</v>
      </c>
      <c r="F7622" t="s">
        <v>32606</v>
      </c>
      <c r="G7622" t="s">
        <v>32613</v>
      </c>
      <c r="H7622" t="s">
        <v>14201</v>
      </c>
      <c r="I7622" t="s">
        <v>6478</v>
      </c>
      <c r="J7622" t="s">
        <v>37563</v>
      </c>
      <c r="K7622" t="s">
        <v>42622</v>
      </c>
      <c r="L7622" t="s">
        <v>2457</v>
      </c>
      <c r="M7622" t="s">
        <v>45588</v>
      </c>
      <c r="N7622" t="s">
        <v>47304</v>
      </c>
      <c r="O7622" t="s">
        <v>47305</v>
      </c>
      <c r="P7622">
        <v>0</v>
      </c>
      <c r="Q7622">
        <v>2</v>
      </c>
      <c r="R7622" t="s">
        <v>47312</v>
      </c>
      <c r="S7622" t="s">
        <v>47489</v>
      </c>
      <c r="T7622" t="s">
        <v>49104</v>
      </c>
      <c r="U7622" t="s">
        <v>55914</v>
      </c>
      <c r="V7622" t="s">
        <v>63370</v>
      </c>
      <c r="W7622" t="s">
        <v>45588</v>
      </c>
      <c r="X7622" t="s">
        <v>64570</v>
      </c>
    </row>
    <row r="7623" spans="1:24">
      <c r="A7623">
        <f>HYPERLINK("https://www.philgeps.gov.ph/GEPSNONPILOT/Tender/SplashBidNoticeAbstractUI.aspx?menuIndex=3&amp;refID=7192792&amp;Result=3","7192792")</f>
        <v>0</v>
      </c>
      <c r="B7623" t="s">
        <v>2430</v>
      </c>
      <c r="C7623" t="s">
        <v>11023</v>
      </c>
      <c r="D7623" t="s">
        <v>19010</v>
      </c>
      <c r="E7623" t="s">
        <v>25719</v>
      </c>
      <c r="F7623" t="s">
        <v>32606</v>
      </c>
      <c r="G7623" t="s">
        <v>32613</v>
      </c>
      <c r="H7623" t="s">
        <v>32623</v>
      </c>
      <c r="I7623" t="s">
        <v>17648</v>
      </c>
      <c r="J7623" t="s">
        <v>37494</v>
      </c>
      <c r="K7623" t="s">
        <v>42651</v>
      </c>
      <c r="M7623" t="s">
        <v>45556</v>
      </c>
      <c r="N7623" t="s">
        <v>47304</v>
      </c>
      <c r="O7623" t="s">
        <v>47305</v>
      </c>
      <c r="P7623">
        <v>0</v>
      </c>
      <c r="Q7623">
        <v>4</v>
      </c>
      <c r="R7623" t="s">
        <v>47311</v>
      </c>
      <c r="S7623" t="s">
        <v>47443</v>
      </c>
      <c r="T7623" t="s">
        <v>49037</v>
      </c>
      <c r="U7623" t="s">
        <v>55915</v>
      </c>
      <c r="W7623" t="s">
        <v>45556</v>
      </c>
      <c r="X7623" t="s">
        <v>47312</v>
      </c>
    </row>
    <row r="7624" spans="1:24">
      <c r="A7624">
        <f>HYPERLINK("https://www.philgeps.gov.ph/GEPSNONPILOT/Tender/SplashBidNoticeAbstractUI.aspx?menuIndex=3&amp;refID=7193050&amp;Result=3","7193050")</f>
        <v>0</v>
      </c>
      <c r="B7624" t="s">
        <v>749</v>
      </c>
      <c r="C7624" t="s">
        <v>11024</v>
      </c>
      <c r="E7624" t="s">
        <v>25720</v>
      </c>
      <c r="F7624" t="s">
        <v>32606</v>
      </c>
      <c r="G7624" t="s">
        <v>32613</v>
      </c>
      <c r="H7624" t="s">
        <v>14201</v>
      </c>
      <c r="I7624" t="s">
        <v>4120</v>
      </c>
      <c r="J7624" t="s">
        <v>37467</v>
      </c>
      <c r="K7624" t="s">
        <v>42624</v>
      </c>
      <c r="M7624" t="s">
        <v>45589</v>
      </c>
      <c r="N7624" t="s">
        <v>47304</v>
      </c>
      <c r="O7624" t="s">
        <v>47305</v>
      </c>
      <c r="P7624">
        <v>0</v>
      </c>
      <c r="Q7624">
        <v>1</v>
      </c>
      <c r="R7624" t="s">
        <v>47311</v>
      </c>
      <c r="S7624" t="s">
        <v>47443</v>
      </c>
      <c r="T7624" t="s">
        <v>49014</v>
      </c>
      <c r="U7624" t="s">
        <v>54635</v>
      </c>
      <c r="W7624" t="s">
        <v>45589</v>
      </c>
      <c r="X7624" t="s">
        <v>47312</v>
      </c>
    </row>
    <row r="7625" spans="1:24">
      <c r="A7625">
        <f>HYPERLINK("https://www.philgeps.gov.ph/GEPSNONPILOT/Tender/SplashBidNoticeAbstractUI.aspx?menuIndex=3&amp;refID=7193049&amp;Result=3","7193049")</f>
        <v>0</v>
      </c>
      <c r="B7625" t="s">
        <v>2028</v>
      </c>
      <c r="C7625" t="s">
        <v>11025</v>
      </c>
      <c r="D7625" t="s">
        <v>19055</v>
      </c>
      <c r="E7625" t="s">
        <v>25721</v>
      </c>
      <c r="F7625" t="s">
        <v>32606</v>
      </c>
      <c r="G7625" t="s">
        <v>32614</v>
      </c>
      <c r="H7625" t="s">
        <v>32623</v>
      </c>
      <c r="I7625" t="s">
        <v>17648</v>
      </c>
      <c r="J7625" t="s">
        <v>37564</v>
      </c>
      <c r="K7625" t="s">
        <v>42674</v>
      </c>
      <c r="M7625" t="s">
        <v>45104</v>
      </c>
      <c r="N7625" t="s">
        <v>47304</v>
      </c>
      <c r="O7625" t="s">
        <v>47305</v>
      </c>
      <c r="P7625">
        <v>0</v>
      </c>
      <c r="Q7625">
        <v>0</v>
      </c>
      <c r="R7625" t="s">
        <v>47311</v>
      </c>
      <c r="S7625" t="s">
        <v>47443</v>
      </c>
      <c r="T7625" t="s">
        <v>49165</v>
      </c>
      <c r="U7625" t="s">
        <v>55916</v>
      </c>
      <c r="W7625" t="s">
        <v>45104</v>
      </c>
      <c r="X7625" t="s">
        <v>47312</v>
      </c>
    </row>
    <row r="7626" spans="1:24">
      <c r="A7626">
        <f>HYPERLINK("https://www.philgeps.gov.ph/GEPSNONPILOT/Tender/SplashBidNoticeAbstractUI.aspx?menuIndex=3&amp;refID=7193044&amp;Result=3","7193044")</f>
        <v>0</v>
      </c>
      <c r="B7626" t="s">
        <v>2458</v>
      </c>
      <c r="C7626" t="s">
        <v>11026</v>
      </c>
      <c r="D7626" t="s">
        <v>18993</v>
      </c>
      <c r="E7626" t="s">
        <v>25722</v>
      </c>
      <c r="F7626" t="s">
        <v>32606</v>
      </c>
      <c r="G7626" t="s">
        <v>32614</v>
      </c>
      <c r="H7626" t="s">
        <v>32623</v>
      </c>
      <c r="I7626" t="s">
        <v>17648</v>
      </c>
      <c r="J7626" t="s">
        <v>37565</v>
      </c>
      <c r="K7626" t="s">
        <v>42631</v>
      </c>
      <c r="M7626" t="s">
        <v>45590</v>
      </c>
      <c r="N7626" t="s">
        <v>47304</v>
      </c>
      <c r="O7626" t="s">
        <v>47305</v>
      </c>
      <c r="P7626">
        <v>0</v>
      </c>
      <c r="Q7626">
        <v>1</v>
      </c>
      <c r="R7626" t="s">
        <v>47311</v>
      </c>
      <c r="S7626" t="s">
        <v>47443</v>
      </c>
      <c r="T7626" t="s">
        <v>49196</v>
      </c>
      <c r="U7626" t="s">
        <v>55917</v>
      </c>
      <c r="W7626" t="s">
        <v>45590</v>
      </c>
      <c r="X7626" t="s">
        <v>47312</v>
      </c>
    </row>
    <row r="7627" spans="1:24">
      <c r="A7627">
        <f>HYPERLINK("https://www.philgeps.gov.ph/GEPSNONPILOT/Tender/SplashBidNoticeAbstractUI.aspx?menuIndex=3&amp;refID=7193037&amp;Result=3","7193037")</f>
        <v>0</v>
      </c>
      <c r="B7627" t="s">
        <v>1040</v>
      </c>
      <c r="C7627" t="s">
        <v>11027</v>
      </c>
      <c r="D7627" t="s">
        <v>19006</v>
      </c>
      <c r="E7627" t="s">
        <v>25723</v>
      </c>
      <c r="F7627" t="s">
        <v>32606</v>
      </c>
      <c r="G7627" t="s">
        <v>32614</v>
      </c>
      <c r="H7627" t="s">
        <v>14201</v>
      </c>
      <c r="I7627" t="s">
        <v>32652</v>
      </c>
      <c r="J7627" t="s">
        <v>37566</v>
      </c>
      <c r="K7627" t="s">
        <v>42757</v>
      </c>
      <c r="M7627" t="s">
        <v>43993</v>
      </c>
      <c r="N7627" t="s">
        <v>47304</v>
      </c>
      <c r="O7627" t="s">
        <v>47305</v>
      </c>
      <c r="P7627">
        <v>0</v>
      </c>
      <c r="Q7627">
        <v>0</v>
      </c>
      <c r="R7627" t="s">
        <v>47311</v>
      </c>
      <c r="S7627" t="s">
        <v>47443</v>
      </c>
      <c r="T7627" t="s">
        <v>49269</v>
      </c>
      <c r="U7627" t="s">
        <v>55918</v>
      </c>
      <c r="W7627" t="s">
        <v>45575</v>
      </c>
      <c r="X7627" t="s">
        <v>47312</v>
      </c>
    </row>
    <row r="7628" spans="1:24">
      <c r="A7628">
        <f>HYPERLINK("https://www.philgeps.gov.ph/GEPSNONPILOT/Tender/SplashBidNoticeAbstractUI.aspx?menuIndex=3&amp;refID=7193032&amp;Result=3","7193032")</f>
        <v>0</v>
      </c>
      <c r="B7628" t="s">
        <v>2459</v>
      </c>
      <c r="C7628" t="s">
        <v>11028</v>
      </c>
      <c r="D7628" t="s">
        <v>19008</v>
      </c>
      <c r="E7628" t="s">
        <v>25724</v>
      </c>
      <c r="F7628" t="s">
        <v>32606</v>
      </c>
      <c r="G7628" t="s">
        <v>32613</v>
      </c>
      <c r="H7628" t="s">
        <v>32623</v>
      </c>
      <c r="I7628" t="s">
        <v>17648</v>
      </c>
      <c r="J7628" t="s">
        <v>37567</v>
      </c>
      <c r="K7628" t="s">
        <v>42627</v>
      </c>
      <c r="M7628" t="s">
        <v>45591</v>
      </c>
      <c r="N7628" t="s">
        <v>47304</v>
      </c>
      <c r="O7628" t="s">
        <v>47305</v>
      </c>
      <c r="P7628">
        <v>0</v>
      </c>
      <c r="Q7628">
        <v>0</v>
      </c>
      <c r="R7628" t="s">
        <v>47311</v>
      </c>
      <c r="S7628" t="s">
        <v>47443</v>
      </c>
      <c r="T7628" t="s">
        <v>49010</v>
      </c>
      <c r="U7628" t="s">
        <v>55919</v>
      </c>
      <c r="W7628" t="s">
        <v>45591</v>
      </c>
      <c r="X7628" t="s">
        <v>47312</v>
      </c>
    </row>
    <row r="7629" spans="1:24">
      <c r="A7629">
        <f>HYPERLINK("https://www.philgeps.gov.ph/GEPSNONPILOT/Tender/SplashBidNoticeAbstractUI.aspx?menuIndex=3&amp;refID=7140736&amp;Result=3","7140736")</f>
        <v>0</v>
      </c>
      <c r="B7629" t="s">
        <v>1942</v>
      </c>
      <c r="C7629" t="s">
        <v>11029</v>
      </c>
      <c r="D7629" t="s">
        <v>18993</v>
      </c>
      <c r="E7629" t="s">
        <v>25725</v>
      </c>
      <c r="F7629" t="s">
        <v>32607</v>
      </c>
      <c r="G7629" t="s">
        <v>32614</v>
      </c>
      <c r="H7629" t="s">
        <v>14201</v>
      </c>
      <c r="I7629" t="s">
        <v>32669</v>
      </c>
      <c r="J7629" t="s">
        <v>32789</v>
      </c>
      <c r="K7629" t="s">
        <v>42751</v>
      </c>
      <c r="M7629" t="s">
        <v>45003</v>
      </c>
      <c r="N7629" t="s">
        <v>47304</v>
      </c>
      <c r="O7629" t="s">
        <v>47305</v>
      </c>
      <c r="P7629">
        <v>0</v>
      </c>
      <c r="Q7629">
        <v>3</v>
      </c>
      <c r="R7629" t="s">
        <v>47312</v>
      </c>
      <c r="S7629" t="s">
        <v>47489</v>
      </c>
      <c r="T7629" t="s">
        <v>49375</v>
      </c>
      <c r="U7629" t="s">
        <v>55920</v>
      </c>
      <c r="W7629" t="s">
        <v>45003</v>
      </c>
      <c r="X7629" t="s">
        <v>47334</v>
      </c>
    </row>
    <row r="7630" spans="1:24">
      <c r="A7630">
        <f>HYPERLINK("https://www.philgeps.gov.ph/GEPSNONPILOT/Tender/SplashBidNoticeAbstractUI.aspx?menuIndex=3&amp;refID=7175333&amp;Result=3","7175333")</f>
        <v>0</v>
      </c>
      <c r="B7630" t="s">
        <v>2460</v>
      </c>
      <c r="C7630" t="s">
        <v>11030</v>
      </c>
      <c r="D7630" t="s">
        <v>19037</v>
      </c>
      <c r="E7630" t="s">
        <v>25726</v>
      </c>
      <c r="F7630" t="s">
        <v>32606</v>
      </c>
      <c r="G7630" t="s">
        <v>32613</v>
      </c>
      <c r="H7630" t="s">
        <v>32623</v>
      </c>
      <c r="I7630" t="s">
        <v>17648</v>
      </c>
      <c r="J7630" t="s">
        <v>32981</v>
      </c>
      <c r="K7630" t="s">
        <v>42623</v>
      </c>
      <c r="M7630" t="s">
        <v>45592</v>
      </c>
      <c r="N7630" t="s">
        <v>47304</v>
      </c>
      <c r="O7630" t="s">
        <v>47305</v>
      </c>
      <c r="P7630">
        <v>0</v>
      </c>
      <c r="Q7630">
        <v>1</v>
      </c>
      <c r="R7630" t="s">
        <v>47312</v>
      </c>
      <c r="S7630" t="s">
        <v>47489</v>
      </c>
      <c r="T7630" t="s">
        <v>49019</v>
      </c>
      <c r="U7630" t="s">
        <v>55921</v>
      </c>
      <c r="W7630" t="s">
        <v>45592</v>
      </c>
      <c r="X7630" t="s">
        <v>47319</v>
      </c>
    </row>
    <row r="7631" spans="1:24">
      <c r="A7631">
        <f>HYPERLINK("https://www.philgeps.gov.ph/GEPSNONPILOT/Tender/SplashBidNoticeAbstractUI.aspx?menuIndex=3&amp;refID=7192843&amp;Result=3","7192843")</f>
        <v>0</v>
      </c>
      <c r="B7631" t="s">
        <v>2297</v>
      </c>
      <c r="C7631" t="s">
        <v>11031</v>
      </c>
      <c r="D7631" t="s">
        <v>19024</v>
      </c>
      <c r="E7631" t="s">
        <v>25727</v>
      </c>
      <c r="F7631" t="s">
        <v>32606</v>
      </c>
      <c r="G7631" t="s">
        <v>32613</v>
      </c>
      <c r="H7631" t="s">
        <v>32623</v>
      </c>
      <c r="I7631" t="s">
        <v>17648</v>
      </c>
      <c r="J7631" t="s">
        <v>32830</v>
      </c>
      <c r="K7631" t="s">
        <v>42778</v>
      </c>
      <c r="M7631" t="s">
        <v>45540</v>
      </c>
      <c r="N7631" t="s">
        <v>47304</v>
      </c>
      <c r="O7631" t="s">
        <v>47305</v>
      </c>
      <c r="P7631">
        <v>0</v>
      </c>
      <c r="Q7631">
        <v>0</v>
      </c>
      <c r="R7631" t="s">
        <v>47311</v>
      </c>
      <c r="S7631" t="s">
        <v>47443</v>
      </c>
      <c r="T7631" t="s">
        <v>49368</v>
      </c>
      <c r="U7631" t="s">
        <v>55922</v>
      </c>
      <c r="V7631" t="s">
        <v>63312</v>
      </c>
      <c r="W7631" t="s">
        <v>45540</v>
      </c>
      <c r="X7631" t="s">
        <v>47312</v>
      </c>
    </row>
    <row r="7632" spans="1:24">
      <c r="A7632">
        <f>HYPERLINK("https://www.philgeps.gov.ph/GEPSNONPILOT/Tender/SplashBidNoticeAbstractUI.aspx?menuIndex=3&amp;refID=7175633&amp;Result=3","7175633")</f>
        <v>0</v>
      </c>
      <c r="B7632" t="s">
        <v>195</v>
      </c>
      <c r="C7632" t="s">
        <v>11032</v>
      </c>
      <c r="D7632" t="s">
        <v>19045</v>
      </c>
      <c r="E7632" t="s">
        <v>25728</v>
      </c>
      <c r="F7632" t="s">
        <v>32606</v>
      </c>
      <c r="G7632" t="s">
        <v>32613</v>
      </c>
      <c r="H7632" t="s">
        <v>14201</v>
      </c>
      <c r="I7632" t="s">
        <v>6931</v>
      </c>
      <c r="J7632" t="s">
        <v>37568</v>
      </c>
      <c r="K7632" t="s">
        <v>42622</v>
      </c>
      <c r="M7632" t="s">
        <v>43096</v>
      </c>
      <c r="N7632" t="s">
        <v>47304</v>
      </c>
      <c r="O7632" t="s">
        <v>47305</v>
      </c>
      <c r="P7632">
        <v>0</v>
      </c>
      <c r="Q7632">
        <v>0</v>
      </c>
      <c r="R7632" t="s">
        <v>47312</v>
      </c>
      <c r="S7632" t="s">
        <v>47489</v>
      </c>
      <c r="T7632" t="s">
        <v>49037</v>
      </c>
      <c r="U7632" t="s">
        <v>49892</v>
      </c>
      <c r="V7632" t="s">
        <v>63371</v>
      </c>
      <c r="W7632" t="s">
        <v>43096</v>
      </c>
      <c r="X7632" t="s">
        <v>47319</v>
      </c>
    </row>
    <row r="7633" spans="1:24">
      <c r="A7633">
        <f>HYPERLINK("https://www.philgeps.gov.ph/GEPSNONPILOT/Tender/SplashBidNoticeAbstractUI.aspx?menuIndex=3&amp;refID=7193047&amp;Result=3","7193047")</f>
        <v>0</v>
      </c>
      <c r="B7633" t="s">
        <v>1543</v>
      </c>
      <c r="C7633" t="s">
        <v>11033</v>
      </c>
      <c r="D7633" t="s">
        <v>19013</v>
      </c>
      <c r="E7633" t="s">
        <v>25729</v>
      </c>
      <c r="F7633" t="s">
        <v>32606</v>
      </c>
      <c r="G7633" t="s">
        <v>32613</v>
      </c>
      <c r="H7633" t="s">
        <v>32623</v>
      </c>
      <c r="I7633" t="s">
        <v>17648</v>
      </c>
      <c r="J7633" t="s">
        <v>32830</v>
      </c>
      <c r="K7633" t="s">
        <v>42646</v>
      </c>
      <c r="M7633" t="s">
        <v>44547</v>
      </c>
      <c r="N7633" t="s">
        <v>47304</v>
      </c>
      <c r="O7633" t="s">
        <v>47305</v>
      </c>
      <c r="P7633">
        <v>0</v>
      </c>
      <c r="Q7633">
        <v>0</v>
      </c>
      <c r="R7633" t="s">
        <v>47311</v>
      </c>
      <c r="S7633" t="s">
        <v>47443</v>
      </c>
      <c r="T7633" t="s">
        <v>49037</v>
      </c>
      <c r="U7633" t="s">
        <v>55923</v>
      </c>
      <c r="W7633" t="s">
        <v>44547</v>
      </c>
      <c r="X7633" t="s">
        <v>47312</v>
      </c>
    </row>
    <row r="7634" spans="1:24">
      <c r="A7634">
        <f>HYPERLINK("https://www.philgeps.gov.ph/GEPSNONPILOT/Tender/SplashBidNoticeAbstractUI.aspx?menuIndex=3&amp;refID=7171131&amp;Result=3","7171131")</f>
        <v>0</v>
      </c>
      <c r="B7634" t="s">
        <v>2461</v>
      </c>
      <c r="C7634" t="s">
        <v>11034</v>
      </c>
      <c r="D7634" t="s">
        <v>19003</v>
      </c>
      <c r="E7634" t="s">
        <v>25730</v>
      </c>
      <c r="F7634" t="s">
        <v>32606</v>
      </c>
      <c r="G7634" t="s">
        <v>32613</v>
      </c>
      <c r="H7634" t="s">
        <v>14201</v>
      </c>
      <c r="I7634" t="s">
        <v>32656</v>
      </c>
      <c r="J7634" t="s">
        <v>34085</v>
      </c>
      <c r="K7634" t="s">
        <v>42623</v>
      </c>
      <c r="M7634" t="s">
        <v>45593</v>
      </c>
      <c r="N7634" t="s">
        <v>47304</v>
      </c>
      <c r="O7634" t="s">
        <v>47305</v>
      </c>
      <c r="P7634">
        <v>0</v>
      </c>
      <c r="Q7634">
        <v>5</v>
      </c>
      <c r="R7634" t="s">
        <v>47312</v>
      </c>
      <c r="S7634" t="s">
        <v>47489</v>
      </c>
      <c r="T7634" t="s">
        <v>49068</v>
      </c>
      <c r="U7634" t="s">
        <v>55924</v>
      </c>
      <c r="W7634" t="s">
        <v>45593</v>
      </c>
      <c r="X7634" t="s">
        <v>47320</v>
      </c>
    </row>
    <row r="7635" spans="1:24">
      <c r="A7635">
        <f>HYPERLINK("https://www.philgeps.gov.ph/GEPSNONPILOT/Tender/SplashBidNoticeAbstractUI.aspx?menuIndex=3&amp;refID=7108531&amp;Result=3","7108531")</f>
        <v>0</v>
      </c>
      <c r="B7635" t="s">
        <v>2462</v>
      </c>
      <c r="C7635" t="s">
        <v>11035</v>
      </c>
      <c r="D7635" t="s">
        <v>18999</v>
      </c>
      <c r="E7635" t="s">
        <v>25731</v>
      </c>
      <c r="F7635" t="s">
        <v>32606</v>
      </c>
      <c r="G7635" t="s">
        <v>32613</v>
      </c>
      <c r="H7635" t="s">
        <v>32623</v>
      </c>
      <c r="I7635" t="s">
        <v>17648</v>
      </c>
      <c r="J7635" t="s">
        <v>36845</v>
      </c>
      <c r="K7635" t="s">
        <v>42639</v>
      </c>
      <c r="M7635" t="s">
        <v>45594</v>
      </c>
      <c r="N7635" t="s">
        <v>47304</v>
      </c>
      <c r="O7635" t="s">
        <v>47305</v>
      </c>
      <c r="P7635">
        <v>0</v>
      </c>
      <c r="Q7635">
        <v>23</v>
      </c>
      <c r="R7635" t="s">
        <v>47312</v>
      </c>
      <c r="S7635" t="s">
        <v>47489</v>
      </c>
      <c r="T7635" t="s">
        <v>49047</v>
      </c>
      <c r="U7635" t="s">
        <v>55925</v>
      </c>
      <c r="V7635" t="s">
        <v>63372</v>
      </c>
      <c r="W7635" t="s">
        <v>45594</v>
      </c>
      <c r="X7635" t="s">
        <v>47349</v>
      </c>
    </row>
    <row r="7636" spans="1:24">
      <c r="A7636">
        <f>HYPERLINK("https://www.philgeps.gov.ph/GEPSNONPILOT/Tender/SplashBidNoticeAbstractUI.aspx?menuIndex=3&amp;refID=7193003&amp;Result=3","7193003")</f>
        <v>0</v>
      </c>
      <c r="B7636" t="s">
        <v>1040</v>
      </c>
      <c r="C7636" t="s">
        <v>11036</v>
      </c>
      <c r="D7636" t="s">
        <v>19051</v>
      </c>
      <c r="E7636" t="s">
        <v>25732</v>
      </c>
      <c r="F7636" t="s">
        <v>32606</v>
      </c>
      <c r="G7636" t="s">
        <v>32614</v>
      </c>
      <c r="H7636" t="s">
        <v>32624</v>
      </c>
      <c r="I7636" t="s">
        <v>32652</v>
      </c>
      <c r="J7636" t="s">
        <v>37569</v>
      </c>
      <c r="K7636" t="s">
        <v>42688</v>
      </c>
      <c r="M7636" t="s">
        <v>43993</v>
      </c>
      <c r="N7636" t="s">
        <v>47304</v>
      </c>
      <c r="O7636" t="s">
        <v>47305</v>
      </c>
      <c r="P7636">
        <v>0</v>
      </c>
      <c r="Q7636">
        <v>0</v>
      </c>
      <c r="R7636" t="s">
        <v>47311</v>
      </c>
      <c r="S7636" t="s">
        <v>47443</v>
      </c>
      <c r="T7636" t="s">
        <v>49269</v>
      </c>
      <c r="U7636" t="s">
        <v>55926</v>
      </c>
      <c r="W7636" t="s">
        <v>45575</v>
      </c>
      <c r="X7636" t="s">
        <v>47312</v>
      </c>
    </row>
    <row r="7637" spans="1:24">
      <c r="A7637">
        <f>HYPERLINK("https://www.philgeps.gov.ph/GEPSNONPILOT/Tender/SplashBidNoticeAbstractUI.aspx?menuIndex=3&amp;refID=7167499&amp;Result=3","7167499")</f>
        <v>0</v>
      </c>
      <c r="B7637" t="s">
        <v>1685</v>
      </c>
      <c r="C7637" t="s">
        <v>11037</v>
      </c>
      <c r="D7637" t="s">
        <v>19016</v>
      </c>
      <c r="E7637" t="s">
        <v>25733</v>
      </c>
      <c r="F7637" t="s">
        <v>32606</v>
      </c>
      <c r="G7637" t="s">
        <v>32614</v>
      </c>
      <c r="H7637" t="s">
        <v>32624</v>
      </c>
      <c r="I7637" t="s">
        <v>8606</v>
      </c>
      <c r="J7637" t="s">
        <v>37570</v>
      </c>
      <c r="K7637" t="s">
        <v>42631</v>
      </c>
      <c r="M7637" t="s">
        <v>44714</v>
      </c>
      <c r="N7637" t="s">
        <v>47304</v>
      </c>
      <c r="O7637" t="s">
        <v>47305</v>
      </c>
      <c r="P7637">
        <v>0</v>
      </c>
      <c r="Q7637">
        <v>0</v>
      </c>
      <c r="R7637" t="s">
        <v>47312</v>
      </c>
      <c r="S7637" t="s">
        <v>47489</v>
      </c>
      <c r="T7637" t="s">
        <v>48997</v>
      </c>
      <c r="U7637" t="s">
        <v>55927</v>
      </c>
      <c r="W7637" t="s">
        <v>44714</v>
      </c>
      <c r="X7637" t="s">
        <v>47322</v>
      </c>
    </row>
    <row r="7638" spans="1:24">
      <c r="A7638">
        <f>HYPERLINK("https://www.philgeps.gov.ph/GEPSNONPILOT/Tender/SplashBidNoticeAbstractUI.aspx?menuIndex=3&amp;refID=7158532&amp;Result=3","7158532")</f>
        <v>0</v>
      </c>
      <c r="B7638" t="s">
        <v>2463</v>
      </c>
      <c r="C7638" t="s">
        <v>11038</v>
      </c>
      <c r="D7638" t="s">
        <v>19053</v>
      </c>
      <c r="E7638" t="s">
        <v>19392</v>
      </c>
      <c r="F7638" t="s">
        <v>32606</v>
      </c>
      <c r="G7638" t="s">
        <v>32613</v>
      </c>
      <c r="H7638" t="s">
        <v>32623</v>
      </c>
      <c r="I7638" t="s">
        <v>17648</v>
      </c>
      <c r="J7638" t="s">
        <v>37571</v>
      </c>
      <c r="K7638" t="s">
        <v>42639</v>
      </c>
      <c r="M7638" t="s">
        <v>45595</v>
      </c>
      <c r="N7638" t="s">
        <v>47304</v>
      </c>
      <c r="O7638" t="s">
        <v>47305</v>
      </c>
      <c r="P7638">
        <v>0</v>
      </c>
      <c r="Q7638">
        <v>0</v>
      </c>
      <c r="R7638" t="s">
        <v>47312</v>
      </c>
      <c r="S7638" t="s">
        <v>47489</v>
      </c>
      <c r="T7638" t="s">
        <v>48992</v>
      </c>
      <c r="U7638" t="s">
        <v>55928</v>
      </c>
      <c r="W7638" t="s">
        <v>45595</v>
      </c>
      <c r="X7638" t="s">
        <v>47327</v>
      </c>
    </row>
    <row r="7639" spans="1:24">
      <c r="A7639">
        <f>HYPERLINK("https://www.philgeps.gov.ph/GEPSNONPILOT/Tender/SplashBidNoticeAbstractUI.aspx?menuIndex=3&amp;refID=7158527&amp;Result=3","7158527")</f>
        <v>0</v>
      </c>
      <c r="B7639" t="s">
        <v>2463</v>
      </c>
      <c r="C7639" t="s">
        <v>11039</v>
      </c>
      <c r="D7639" t="s">
        <v>19053</v>
      </c>
      <c r="E7639" t="s">
        <v>20519</v>
      </c>
      <c r="F7639" t="s">
        <v>32606</v>
      </c>
      <c r="G7639" t="s">
        <v>32613</v>
      </c>
      <c r="H7639" t="s">
        <v>32623</v>
      </c>
      <c r="I7639" t="s">
        <v>17648</v>
      </c>
      <c r="J7639" t="s">
        <v>32778</v>
      </c>
      <c r="K7639" t="s">
        <v>42639</v>
      </c>
      <c r="M7639" t="s">
        <v>45595</v>
      </c>
      <c r="N7639" t="s">
        <v>47304</v>
      </c>
      <c r="O7639" t="s">
        <v>47305</v>
      </c>
      <c r="P7639">
        <v>0</v>
      </c>
      <c r="Q7639">
        <v>0</v>
      </c>
      <c r="R7639" t="s">
        <v>47312</v>
      </c>
      <c r="S7639" t="s">
        <v>47489</v>
      </c>
      <c r="T7639" t="s">
        <v>48992</v>
      </c>
      <c r="U7639" t="s">
        <v>55929</v>
      </c>
      <c r="W7639" t="s">
        <v>45595</v>
      </c>
      <c r="X7639" t="s">
        <v>47327</v>
      </c>
    </row>
    <row r="7640" spans="1:24">
      <c r="A7640">
        <f>HYPERLINK("https://www.philgeps.gov.ph/GEPSNONPILOT/Tender/SplashBidNoticeAbstractUI.aspx?menuIndex=3&amp;refID=7158522&amp;Result=3","7158522")</f>
        <v>0</v>
      </c>
      <c r="B7640" t="s">
        <v>2463</v>
      </c>
      <c r="C7640" t="s">
        <v>11040</v>
      </c>
      <c r="D7640" t="s">
        <v>19053</v>
      </c>
      <c r="E7640" t="s">
        <v>21066</v>
      </c>
      <c r="F7640" t="s">
        <v>32606</v>
      </c>
      <c r="G7640" t="s">
        <v>32613</v>
      </c>
      <c r="H7640" t="s">
        <v>32623</v>
      </c>
      <c r="I7640" t="s">
        <v>17648</v>
      </c>
      <c r="J7640" t="s">
        <v>33263</v>
      </c>
      <c r="K7640" t="s">
        <v>42639</v>
      </c>
      <c r="M7640" t="s">
        <v>45595</v>
      </c>
      <c r="N7640" t="s">
        <v>47304</v>
      </c>
      <c r="O7640" t="s">
        <v>47305</v>
      </c>
      <c r="P7640">
        <v>0</v>
      </c>
      <c r="Q7640">
        <v>0</v>
      </c>
      <c r="R7640" t="s">
        <v>47312</v>
      </c>
      <c r="S7640" t="s">
        <v>47489</v>
      </c>
      <c r="T7640" t="s">
        <v>48992</v>
      </c>
      <c r="U7640" t="s">
        <v>55930</v>
      </c>
      <c r="W7640" t="s">
        <v>45595</v>
      </c>
      <c r="X7640" t="s">
        <v>47327</v>
      </c>
    </row>
    <row r="7641" spans="1:24">
      <c r="A7641">
        <f>HYPERLINK("https://www.philgeps.gov.ph/GEPSNONPILOT/Tender/SplashBidNoticeAbstractUI.aspx?menuIndex=3&amp;refID=7175571&amp;Result=3","7175571")</f>
        <v>0</v>
      </c>
      <c r="B7641" t="s">
        <v>195</v>
      </c>
      <c r="C7641" t="s">
        <v>11041</v>
      </c>
      <c r="D7641" t="s">
        <v>19045</v>
      </c>
      <c r="E7641" t="s">
        <v>25734</v>
      </c>
      <c r="F7641" t="s">
        <v>32606</v>
      </c>
      <c r="G7641" t="s">
        <v>32613</v>
      </c>
      <c r="H7641" t="s">
        <v>14201</v>
      </c>
      <c r="I7641" t="s">
        <v>6931</v>
      </c>
      <c r="J7641" t="s">
        <v>37572</v>
      </c>
      <c r="K7641" t="s">
        <v>42622</v>
      </c>
      <c r="M7641" t="s">
        <v>43096</v>
      </c>
      <c r="N7641" t="s">
        <v>47304</v>
      </c>
      <c r="O7641" t="s">
        <v>47305</v>
      </c>
      <c r="P7641">
        <v>0</v>
      </c>
      <c r="Q7641">
        <v>0</v>
      </c>
      <c r="R7641" t="s">
        <v>47312</v>
      </c>
      <c r="S7641" t="s">
        <v>47489</v>
      </c>
      <c r="T7641" t="s">
        <v>49037</v>
      </c>
      <c r="U7641" t="s">
        <v>49892</v>
      </c>
      <c r="V7641" t="s">
        <v>63371</v>
      </c>
      <c r="W7641" t="s">
        <v>43096</v>
      </c>
      <c r="X7641" t="s">
        <v>47319</v>
      </c>
    </row>
    <row r="7642" spans="1:24">
      <c r="A7642">
        <f>HYPERLINK("https://www.philgeps.gov.ph/GEPSNONPILOT/Tender/SplashBidNoticeAbstractUI.aspx?menuIndex=3&amp;refID=7171990&amp;Result=3","7171990")</f>
        <v>0</v>
      </c>
      <c r="B7642" t="s">
        <v>1738</v>
      </c>
      <c r="C7642" t="s">
        <v>11042</v>
      </c>
      <c r="E7642" t="s">
        <v>25735</v>
      </c>
      <c r="F7642" t="s">
        <v>32606</v>
      </c>
      <c r="G7642" t="s">
        <v>32613</v>
      </c>
      <c r="H7642" t="s">
        <v>14201</v>
      </c>
      <c r="I7642" t="s">
        <v>32638</v>
      </c>
      <c r="J7642" t="s">
        <v>37573</v>
      </c>
      <c r="K7642" t="s">
        <v>42624</v>
      </c>
      <c r="M7642" t="s">
        <v>45596</v>
      </c>
      <c r="N7642" t="s">
        <v>47304</v>
      </c>
      <c r="O7642" t="s">
        <v>47305</v>
      </c>
      <c r="P7642">
        <v>0</v>
      </c>
      <c r="Q7642">
        <v>24</v>
      </c>
      <c r="R7642" t="s">
        <v>47312</v>
      </c>
      <c r="S7642" t="s">
        <v>47489</v>
      </c>
      <c r="T7642" t="s">
        <v>49221</v>
      </c>
      <c r="U7642" t="s">
        <v>54315</v>
      </c>
      <c r="W7642" t="s">
        <v>45596</v>
      </c>
      <c r="X7642" t="s">
        <v>47320</v>
      </c>
    </row>
    <row r="7643" spans="1:24">
      <c r="A7643">
        <f>HYPERLINK("https://www.philgeps.gov.ph/GEPSNONPILOT/Tender/SplashBidNoticeAbstractUI.aspx?menuIndex=3&amp;refID=7158513&amp;Result=3","7158513")</f>
        <v>0</v>
      </c>
      <c r="B7643" t="s">
        <v>2463</v>
      </c>
      <c r="C7643" t="s">
        <v>11043</v>
      </c>
      <c r="D7643" t="s">
        <v>19053</v>
      </c>
      <c r="E7643" t="s">
        <v>19358</v>
      </c>
      <c r="F7643" t="s">
        <v>32606</v>
      </c>
      <c r="G7643" t="s">
        <v>32613</v>
      </c>
      <c r="H7643" t="s">
        <v>32623</v>
      </c>
      <c r="I7643" t="s">
        <v>17648</v>
      </c>
      <c r="J7643" t="s">
        <v>33102</v>
      </c>
      <c r="K7643" t="s">
        <v>42675</v>
      </c>
      <c r="M7643" t="s">
        <v>45595</v>
      </c>
      <c r="N7643" t="s">
        <v>47304</v>
      </c>
      <c r="O7643" t="s">
        <v>47305</v>
      </c>
      <c r="P7643">
        <v>0</v>
      </c>
      <c r="Q7643">
        <v>0</v>
      </c>
      <c r="R7643" t="s">
        <v>47312</v>
      </c>
      <c r="S7643" t="s">
        <v>47489</v>
      </c>
      <c r="T7643" t="s">
        <v>48992</v>
      </c>
      <c r="U7643" t="s">
        <v>55931</v>
      </c>
      <c r="W7643" t="s">
        <v>45595</v>
      </c>
      <c r="X7643" t="s">
        <v>47327</v>
      </c>
    </row>
    <row r="7644" spans="1:24">
      <c r="A7644">
        <f>HYPERLINK("https://www.philgeps.gov.ph/GEPSNONPILOT/Tender/SplashBidNoticeAbstractUI.aspx?menuIndex=3&amp;refID=7158500&amp;Result=3","7158500")</f>
        <v>0</v>
      </c>
      <c r="B7644" t="s">
        <v>2463</v>
      </c>
      <c r="C7644" t="s">
        <v>11044</v>
      </c>
      <c r="D7644" t="s">
        <v>19053</v>
      </c>
      <c r="E7644" t="s">
        <v>19372</v>
      </c>
      <c r="F7644" t="s">
        <v>32606</v>
      </c>
      <c r="G7644" t="s">
        <v>32613</v>
      </c>
      <c r="H7644" t="s">
        <v>32623</v>
      </c>
      <c r="I7644" t="s">
        <v>17648</v>
      </c>
      <c r="J7644" t="s">
        <v>32778</v>
      </c>
      <c r="K7644" t="s">
        <v>42639</v>
      </c>
      <c r="M7644" t="s">
        <v>45595</v>
      </c>
      <c r="N7644" t="s">
        <v>47304</v>
      </c>
      <c r="O7644" t="s">
        <v>47305</v>
      </c>
      <c r="P7644">
        <v>0</v>
      </c>
      <c r="Q7644">
        <v>1</v>
      </c>
      <c r="R7644" t="s">
        <v>47312</v>
      </c>
      <c r="S7644" t="s">
        <v>47489</v>
      </c>
      <c r="T7644" t="s">
        <v>48992</v>
      </c>
      <c r="U7644" t="s">
        <v>55932</v>
      </c>
      <c r="W7644" t="s">
        <v>45595</v>
      </c>
      <c r="X7644" t="s">
        <v>47327</v>
      </c>
    </row>
    <row r="7645" spans="1:24">
      <c r="A7645">
        <f>HYPERLINK("https://www.philgeps.gov.ph/GEPSNONPILOT/Tender/SplashBidNoticeAbstractUI.aspx?menuIndex=3&amp;refID=7131984&amp;Result=3","7131984")</f>
        <v>0</v>
      </c>
      <c r="B7645" t="s">
        <v>742</v>
      </c>
      <c r="C7645" t="s">
        <v>11045</v>
      </c>
      <c r="D7645" t="s">
        <v>19054</v>
      </c>
      <c r="E7645" t="s">
        <v>25736</v>
      </c>
      <c r="F7645" t="s">
        <v>32606</v>
      </c>
      <c r="G7645" t="s">
        <v>32613</v>
      </c>
      <c r="H7645" t="s">
        <v>14201</v>
      </c>
      <c r="I7645" t="s">
        <v>32681</v>
      </c>
      <c r="J7645" t="s">
        <v>32772</v>
      </c>
      <c r="K7645" t="s">
        <v>42631</v>
      </c>
      <c r="M7645" t="s">
        <v>43665</v>
      </c>
      <c r="N7645" t="s">
        <v>47304</v>
      </c>
      <c r="O7645" t="s">
        <v>47305</v>
      </c>
      <c r="P7645">
        <v>0</v>
      </c>
      <c r="Q7645">
        <v>3</v>
      </c>
      <c r="R7645" t="s">
        <v>47312</v>
      </c>
      <c r="S7645" t="s">
        <v>47489</v>
      </c>
      <c r="T7645" t="s">
        <v>49057</v>
      </c>
      <c r="U7645" t="s">
        <v>55933</v>
      </c>
      <c r="W7645" t="s">
        <v>43665</v>
      </c>
      <c r="X7645" t="s">
        <v>47339</v>
      </c>
    </row>
    <row r="7646" spans="1:24">
      <c r="A7646">
        <f>HYPERLINK("https://www.philgeps.gov.ph/GEPSNONPILOT/Tender/SplashBidNoticeAbstractUI.aspx?menuIndex=3&amp;refID=7158488&amp;Result=3","7158488")</f>
        <v>0</v>
      </c>
      <c r="B7646" t="s">
        <v>2463</v>
      </c>
      <c r="C7646" t="s">
        <v>11046</v>
      </c>
      <c r="D7646" t="s">
        <v>19053</v>
      </c>
      <c r="E7646" t="s">
        <v>19690</v>
      </c>
      <c r="F7646" t="s">
        <v>32606</v>
      </c>
      <c r="G7646" t="s">
        <v>32613</v>
      </c>
      <c r="H7646" t="s">
        <v>32623</v>
      </c>
      <c r="I7646" t="s">
        <v>17648</v>
      </c>
      <c r="J7646" t="s">
        <v>32833</v>
      </c>
      <c r="K7646" t="s">
        <v>42639</v>
      </c>
      <c r="M7646" t="s">
        <v>45595</v>
      </c>
      <c r="N7646" t="s">
        <v>47304</v>
      </c>
      <c r="O7646" t="s">
        <v>47305</v>
      </c>
      <c r="P7646">
        <v>0</v>
      </c>
      <c r="Q7646">
        <v>0</v>
      </c>
      <c r="R7646" t="s">
        <v>47312</v>
      </c>
      <c r="S7646" t="s">
        <v>47489</v>
      </c>
      <c r="T7646" t="s">
        <v>48992</v>
      </c>
      <c r="U7646" t="s">
        <v>55934</v>
      </c>
      <c r="W7646" t="s">
        <v>45595</v>
      </c>
      <c r="X7646" t="s">
        <v>47327</v>
      </c>
    </row>
    <row r="7647" spans="1:24">
      <c r="A7647">
        <f>HYPERLINK("https://www.philgeps.gov.ph/GEPSNONPILOT/Tender/SplashBidNoticeAbstractUI.aspx?menuIndex=3&amp;refID=7169084&amp;Result=3","7169084")</f>
        <v>0</v>
      </c>
      <c r="B7647" t="s">
        <v>2464</v>
      </c>
      <c r="C7647" t="s">
        <v>11047</v>
      </c>
      <c r="D7647" t="s">
        <v>18993</v>
      </c>
      <c r="E7647" t="s">
        <v>25737</v>
      </c>
      <c r="F7647" t="s">
        <v>32606</v>
      </c>
      <c r="G7647" t="s">
        <v>32613</v>
      </c>
      <c r="H7647" t="s">
        <v>14201</v>
      </c>
      <c r="I7647" t="s">
        <v>32658</v>
      </c>
      <c r="J7647" t="s">
        <v>35994</v>
      </c>
      <c r="K7647" t="s">
        <v>42632</v>
      </c>
      <c r="M7647" t="s">
        <v>45597</v>
      </c>
      <c r="N7647" t="s">
        <v>47304</v>
      </c>
      <c r="O7647" t="s">
        <v>47305</v>
      </c>
      <c r="P7647">
        <v>0</v>
      </c>
      <c r="Q7647">
        <v>5</v>
      </c>
      <c r="R7647" t="s">
        <v>47312</v>
      </c>
      <c r="S7647" t="s">
        <v>47489</v>
      </c>
      <c r="T7647" t="s">
        <v>49376</v>
      </c>
      <c r="U7647" t="s">
        <v>55935</v>
      </c>
      <c r="W7647" t="s">
        <v>45597</v>
      </c>
      <c r="X7647" t="s">
        <v>47321</v>
      </c>
    </row>
    <row r="7648" spans="1:24">
      <c r="A7648">
        <f>HYPERLINK("https://www.philgeps.gov.ph/GEPSNONPILOT/Tender/SplashBidNoticeAbstractUI.aspx?menuIndex=3&amp;refID=7180301&amp;Result=3","7180301")</f>
        <v>0</v>
      </c>
      <c r="B7648" t="s">
        <v>2465</v>
      </c>
      <c r="C7648" t="s">
        <v>11048</v>
      </c>
      <c r="D7648" t="s">
        <v>19038</v>
      </c>
      <c r="E7648" t="s">
        <v>25738</v>
      </c>
      <c r="F7648" t="s">
        <v>32606</v>
      </c>
      <c r="G7648" t="s">
        <v>32613</v>
      </c>
      <c r="H7648" t="s">
        <v>14201</v>
      </c>
      <c r="I7648" t="s">
        <v>7064</v>
      </c>
      <c r="J7648" t="s">
        <v>33449</v>
      </c>
      <c r="K7648" t="s">
        <v>42630</v>
      </c>
      <c r="M7648" t="s">
        <v>45598</v>
      </c>
      <c r="N7648" t="s">
        <v>47304</v>
      </c>
      <c r="O7648" t="s">
        <v>47305</v>
      </c>
      <c r="P7648">
        <v>0</v>
      </c>
      <c r="Q7648">
        <v>2</v>
      </c>
      <c r="R7648" t="s">
        <v>47312</v>
      </c>
      <c r="S7648" t="s">
        <v>47489</v>
      </c>
      <c r="T7648" t="s">
        <v>49240</v>
      </c>
      <c r="U7648" t="s">
        <v>55936</v>
      </c>
      <c r="W7648" t="s">
        <v>45598</v>
      </c>
      <c r="X7648" t="s">
        <v>47317</v>
      </c>
    </row>
    <row r="7649" spans="1:24">
      <c r="A7649">
        <f>HYPERLINK("https://www.philgeps.gov.ph/GEPSNONPILOT/Tender/SplashBidNoticeAbstractUI.aspx?menuIndex=3&amp;refID=7158584&amp;Result=3","7158584")</f>
        <v>0</v>
      </c>
      <c r="B7649" t="s">
        <v>2466</v>
      </c>
      <c r="C7649" t="s">
        <v>11049</v>
      </c>
      <c r="D7649" t="s">
        <v>18993</v>
      </c>
      <c r="E7649" t="s">
        <v>19318</v>
      </c>
      <c r="F7649" t="s">
        <v>32606</v>
      </c>
      <c r="G7649" t="s">
        <v>32619</v>
      </c>
      <c r="H7649" t="s">
        <v>14201</v>
      </c>
      <c r="I7649" t="s">
        <v>4369</v>
      </c>
      <c r="J7649" t="s">
        <v>37574</v>
      </c>
      <c r="K7649" t="s">
        <v>42624</v>
      </c>
      <c r="M7649" t="s">
        <v>45599</v>
      </c>
      <c r="N7649" t="s">
        <v>47304</v>
      </c>
      <c r="O7649" t="s">
        <v>47305</v>
      </c>
      <c r="P7649">
        <v>0</v>
      </c>
      <c r="Q7649">
        <v>10</v>
      </c>
      <c r="R7649" t="s">
        <v>47312</v>
      </c>
      <c r="S7649" t="s">
        <v>47489</v>
      </c>
      <c r="T7649" t="s">
        <v>49072</v>
      </c>
      <c r="U7649" t="s">
        <v>55937</v>
      </c>
      <c r="W7649" t="s">
        <v>45599</v>
      </c>
      <c r="X7649" t="s">
        <v>47326</v>
      </c>
    </row>
    <row r="7650" spans="1:24">
      <c r="A7650">
        <f>HYPERLINK("https://www.philgeps.gov.ph/GEPSNONPILOT/Tender/SplashBidNoticeAbstractUI.aspx?menuIndex=3&amp;refID=7180199&amp;Result=3","7180199")</f>
        <v>0</v>
      </c>
      <c r="B7650" t="s">
        <v>42</v>
      </c>
      <c r="C7650" t="s">
        <v>11050</v>
      </c>
      <c r="E7650" t="s">
        <v>25739</v>
      </c>
      <c r="F7650" t="s">
        <v>32606</v>
      </c>
      <c r="G7650" t="s">
        <v>32614</v>
      </c>
      <c r="H7650" t="s">
        <v>14201</v>
      </c>
      <c r="I7650" t="s">
        <v>6931</v>
      </c>
      <c r="J7650" t="s">
        <v>37575</v>
      </c>
      <c r="K7650" t="s">
        <v>42630</v>
      </c>
      <c r="M7650" t="s">
        <v>42982</v>
      </c>
      <c r="N7650" t="s">
        <v>47304</v>
      </c>
      <c r="O7650" t="s">
        <v>47305</v>
      </c>
      <c r="P7650">
        <v>0</v>
      </c>
      <c r="Q7650">
        <v>1</v>
      </c>
      <c r="R7650" t="s">
        <v>47312</v>
      </c>
      <c r="S7650" t="s">
        <v>47489</v>
      </c>
      <c r="T7650" t="s">
        <v>49068</v>
      </c>
      <c r="U7650" t="s">
        <v>55938</v>
      </c>
      <c r="W7650" t="s">
        <v>42982</v>
      </c>
      <c r="X7650" t="s">
        <v>47317</v>
      </c>
    </row>
    <row r="7651" spans="1:24">
      <c r="A7651">
        <f>HYPERLINK("https://www.philgeps.gov.ph/GEPSNONPILOT/Tender/SplashBidNoticeAbstractUI.aspx?menuIndex=3&amp;refID=7180196&amp;Result=3","7180196")</f>
        <v>0</v>
      </c>
      <c r="B7651" t="s">
        <v>42</v>
      </c>
      <c r="C7651" t="s">
        <v>11051</v>
      </c>
      <c r="E7651" t="s">
        <v>25740</v>
      </c>
      <c r="F7651" t="s">
        <v>32606</v>
      </c>
      <c r="G7651" t="s">
        <v>32614</v>
      </c>
      <c r="H7651" t="s">
        <v>14201</v>
      </c>
      <c r="I7651" t="s">
        <v>6993</v>
      </c>
      <c r="J7651" t="s">
        <v>37576</v>
      </c>
      <c r="K7651" t="s">
        <v>42627</v>
      </c>
      <c r="M7651" t="s">
        <v>42982</v>
      </c>
      <c r="N7651" t="s">
        <v>47304</v>
      </c>
      <c r="O7651" t="s">
        <v>47305</v>
      </c>
      <c r="P7651">
        <v>0</v>
      </c>
      <c r="Q7651">
        <v>0</v>
      </c>
      <c r="R7651" t="s">
        <v>47312</v>
      </c>
      <c r="S7651" t="s">
        <v>47489</v>
      </c>
      <c r="T7651" t="s">
        <v>49068</v>
      </c>
      <c r="U7651" t="s">
        <v>55938</v>
      </c>
      <c r="W7651" t="s">
        <v>42982</v>
      </c>
      <c r="X7651" t="s">
        <v>47317</v>
      </c>
    </row>
    <row r="7652" spans="1:24">
      <c r="A7652">
        <f>HYPERLINK("https://www.philgeps.gov.ph/GEPSNONPILOT/Tender/SplashBidNoticeAbstractUI.aspx?menuIndex=3&amp;refID=7180193&amp;Result=3","7180193")</f>
        <v>0</v>
      </c>
      <c r="B7652" t="s">
        <v>42</v>
      </c>
      <c r="C7652" t="s">
        <v>11052</v>
      </c>
      <c r="E7652" t="s">
        <v>25741</v>
      </c>
      <c r="F7652" t="s">
        <v>32606</v>
      </c>
      <c r="G7652" t="s">
        <v>32617</v>
      </c>
      <c r="H7652" t="s">
        <v>14201</v>
      </c>
      <c r="I7652" t="s">
        <v>4114</v>
      </c>
      <c r="J7652" t="s">
        <v>32845</v>
      </c>
      <c r="K7652" t="s">
        <v>42630</v>
      </c>
      <c r="M7652" t="s">
        <v>42982</v>
      </c>
      <c r="N7652" t="s">
        <v>47304</v>
      </c>
      <c r="O7652" t="s">
        <v>47305</v>
      </c>
      <c r="P7652">
        <v>0</v>
      </c>
      <c r="Q7652">
        <v>6</v>
      </c>
      <c r="R7652" t="s">
        <v>47312</v>
      </c>
      <c r="S7652" t="s">
        <v>47489</v>
      </c>
      <c r="T7652" t="s">
        <v>49068</v>
      </c>
      <c r="U7652" t="s">
        <v>55938</v>
      </c>
      <c r="W7652" t="s">
        <v>42982</v>
      </c>
      <c r="X7652" t="s">
        <v>47317</v>
      </c>
    </row>
    <row r="7653" spans="1:24">
      <c r="A7653">
        <f>HYPERLINK("https://www.philgeps.gov.ph/GEPSNONPILOT/Tender/SplashBidNoticeAbstractUI.aspx?menuIndex=3&amp;refID=7158518&amp;Result=3","7158518")</f>
        <v>0</v>
      </c>
      <c r="B7653" t="s">
        <v>2463</v>
      </c>
      <c r="C7653" t="s">
        <v>11053</v>
      </c>
      <c r="D7653" t="s">
        <v>19053</v>
      </c>
      <c r="E7653" t="s">
        <v>19233</v>
      </c>
      <c r="F7653" t="s">
        <v>32606</v>
      </c>
      <c r="G7653" t="s">
        <v>32613</v>
      </c>
      <c r="H7653" t="s">
        <v>32623</v>
      </c>
      <c r="I7653" t="s">
        <v>17648</v>
      </c>
      <c r="J7653" t="s">
        <v>32778</v>
      </c>
      <c r="K7653" t="s">
        <v>42675</v>
      </c>
      <c r="M7653" t="s">
        <v>45595</v>
      </c>
      <c r="N7653" t="s">
        <v>47304</v>
      </c>
      <c r="O7653" t="s">
        <v>47305</v>
      </c>
      <c r="P7653">
        <v>0</v>
      </c>
      <c r="Q7653">
        <v>0</v>
      </c>
      <c r="R7653" t="s">
        <v>47312</v>
      </c>
      <c r="S7653" t="s">
        <v>47489</v>
      </c>
      <c r="T7653" t="s">
        <v>48992</v>
      </c>
      <c r="U7653" t="s">
        <v>55939</v>
      </c>
      <c r="W7653" t="s">
        <v>45595</v>
      </c>
      <c r="X7653" t="s">
        <v>47327</v>
      </c>
    </row>
    <row r="7654" spans="1:24">
      <c r="A7654">
        <f>HYPERLINK("https://www.philgeps.gov.ph/GEPSNONPILOT/Tender/SplashBidNoticeAbstractUI.aspx?menuIndex=3&amp;refID=7180189&amp;Result=3","7180189")</f>
        <v>0</v>
      </c>
      <c r="B7654" t="s">
        <v>42</v>
      </c>
      <c r="C7654" t="s">
        <v>11054</v>
      </c>
      <c r="E7654" t="s">
        <v>25742</v>
      </c>
      <c r="F7654" t="s">
        <v>32606</v>
      </c>
      <c r="G7654" t="s">
        <v>32617</v>
      </c>
      <c r="H7654" t="s">
        <v>14201</v>
      </c>
      <c r="I7654" t="s">
        <v>4114</v>
      </c>
      <c r="J7654" t="s">
        <v>32885</v>
      </c>
      <c r="K7654" t="s">
        <v>42630</v>
      </c>
      <c r="M7654" t="s">
        <v>42982</v>
      </c>
      <c r="N7654" t="s">
        <v>47304</v>
      </c>
      <c r="O7654" t="s">
        <v>47305</v>
      </c>
      <c r="P7654">
        <v>0</v>
      </c>
      <c r="Q7654">
        <v>7</v>
      </c>
      <c r="R7654" t="s">
        <v>47312</v>
      </c>
      <c r="S7654" t="s">
        <v>47489</v>
      </c>
      <c r="T7654" t="s">
        <v>49068</v>
      </c>
      <c r="U7654" t="s">
        <v>55938</v>
      </c>
      <c r="W7654" t="s">
        <v>42982</v>
      </c>
      <c r="X7654" t="s">
        <v>47317</v>
      </c>
    </row>
    <row r="7655" spans="1:24">
      <c r="A7655">
        <f>HYPERLINK("https://www.philgeps.gov.ph/GEPSNONPILOT/Tender/SplashBidNoticeAbstractUI.aspx?menuIndex=3&amp;refID=7180188&amp;Result=3","7180188")</f>
        <v>0</v>
      </c>
      <c r="B7655" t="s">
        <v>42</v>
      </c>
      <c r="C7655" t="s">
        <v>11055</v>
      </c>
      <c r="E7655" t="s">
        <v>25743</v>
      </c>
      <c r="F7655" t="s">
        <v>32606</v>
      </c>
      <c r="G7655" t="s">
        <v>32614</v>
      </c>
      <c r="H7655" t="s">
        <v>14201</v>
      </c>
      <c r="I7655" t="s">
        <v>4678</v>
      </c>
      <c r="J7655" t="s">
        <v>33274</v>
      </c>
      <c r="K7655" t="s">
        <v>42627</v>
      </c>
      <c r="M7655" t="s">
        <v>42982</v>
      </c>
      <c r="N7655" t="s">
        <v>47304</v>
      </c>
      <c r="O7655" t="s">
        <v>47305</v>
      </c>
      <c r="P7655">
        <v>0</v>
      </c>
      <c r="Q7655">
        <v>2</v>
      </c>
      <c r="R7655" t="s">
        <v>47312</v>
      </c>
      <c r="S7655" t="s">
        <v>47489</v>
      </c>
      <c r="T7655" t="s">
        <v>49068</v>
      </c>
      <c r="U7655" t="s">
        <v>55938</v>
      </c>
      <c r="W7655" t="s">
        <v>42982</v>
      </c>
      <c r="X7655" t="s">
        <v>47317</v>
      </c>
    </row>
    <row r="7656" spans="1:24">
      <c r="A7656">
        <f>HYPERLINK("https://www.philgeps.gov.ph/GEPSNONPILOT/Tender/SplashBidNoticeAbstractUI.aspx?menuIndex=3&amp;refID=7180185&amp;Result=3","7180185")</f>
        <v>0</v>
      </c>
      <c r="B7656" t="s">
        <v>42</v>
      </c>
      <c r="C7656" t="s">
        <v>11056</v>
      </c>
      <c r="E7656" t="s">
        <v>25744</v>
      </c>
      <c r="F7656" t="s">
        <v>32606</v>
      </c>
      <c r="G7656" t="s">
        <v>32614</v>
      </c>
      <c r="H7656" t="s">
        <v>14201</v>
      </c>
      <c r="I7656" t="s">
        <v>9008</v>
      </c>
      <c r="J7656" t="s">
        <v>34997</v>
      </c>
      <c r="K7656" t="s">
        <v>42630</v>
      </c>
      <c r="M7656" t="s">
        <v>42939</v>
      </c>
      <c r="N7656" t="s">
        <v>47304</v>
      </c>
      <c r="O7656" t="s">
        <v>47305</v>
      </c>
      <c r="P7656">
        <v>0</v>
      </c>
      <c r="Q7656">
        <v>2</v>
      </c>
      <c r="R7656" t="s">
        <v>47312</v>
      </c>
      <c r="S7656" t="s">
        <v>47489</v>
      </c>
      <c r="T7656" t="s">
        <v>49068</v>
      </c>
      <c r="U7656" t="s">
        <v>49653</v>
      </c>
      <c r="W7656" t="s">
        <v>42939</v>
      </c>
      <c r="X7656" t="s">
        <v>47317</v>
      </c>
    </row>
    <row r="7657" spans="1:24">
      <c r="A7657">
        <f>HYPERLINK("https://www.philgeps.gov.ph/GEPSNONPILOT/Tender/SplashBidNoticeAbstractUI.aspx?menuIndex=3&amp;refID=7158476&amp;Result=3","7158476")</f>
        <v>0</v>
      </c>
      <c r="B7657" t="s">
        <v>2463</v>
      </c>
      <c r="C7657" t="s">
        <v>11057</v>
      </c>
      <c r="D7657" t="s">
        <v>19053</v>
      </c>
      <c r="E7657" t="s">
        <v>25745</v>
      </c>
      <c r="F7657" t="s">
        <v>32606</v>
      </c>
      <c r="G7657" t="s">
        <v>32613</v>
      </c>
      <c r="H7657" t="s">
        <v>32623</v>
      </c>
      <c r="I7657" t="s">
        <v>17648</v>
      </c>
      <c r="J7657" t="s">
        <v>32778</v>
      </c>
      <c r="K7657" t="s">
        <v>42639</v>
      </c>
      <c r="M7657" t="s">
        <v>45595</v>
      </c>
      <c r="N7657" t="s">
        <v>47304</v>
      </c>
      <c r="O7657" t="s">
        <v>47305</v>
      </c>
      <c r="P7657">
        <v>0</v>
      </c>
      <c r="Q7657">
        <v>1</v>
      </c>
      <c r="R7657" t="s">
        <v>47312</v>
      </c>
      <c r="S7657" t="s">
        <v>47489</v>
      </c>
      <c r="T7657" t="s">
        <v>48992</v>
      </c>
      <c r="U7657" t="s">
        <v>55940</v>
      </c>
      <c r="W7657" t="s">
        <v>45595</v>
      </c>
      <c r="X7657" t="s">
        <v>47327</v>
      </c>
    </row>
    <row r="7658" spans="1:24">
      <c r="A7658">
        <f>HYPERLINK("https://www.philgeps.gov.ph/GEPSNONPILOT/Tender/SplashBidNoticeAbstractUI.aspx?menuIndex=3&amp;refID=7193031&amp;Result=3","7193031")</f>
        <v>0</v>
      </c>
      <c r="B7658" t="s">
        <v>1172</v>
      </c>
      <c r="C7658" t="s">
        <v>11058</v>
      </c>
      <c r="D7658" t="s">
        <v>19002</v>
      </c>
      <c r="E7658" t="s">
        <v>25746</v>
      </c>
      <c r="F7658" t="s">
        <v>32606</v>
      </c>
      <c r="G7658" t="s">
        <v>32614</v>
      </c>
      <c r="H7658" t="s">
        <v>14201</v>
      </c>
      <c r="I7658" t="s">
        <v>32650</v>
      </c>
      <c r="J7658" t="s">
        <v>34682</v>
      </c>
      <c r="K7658" t="s">
        <v>42630</v>
      </c>
      <c r="M7658" t="s">
        <v>44135</v>
      </c>
      <c r="N7658" t="s">
        <v>47304</v>
      </c>
      <c r="O7658" t="s">
        <v>47305</v>
      </c>
      <c r="P7658">
        <v>0</v>
      </c>
      <c r="Q7658">
        <v>0</v>
      </c>
      <c r="R7658" t="s">
        <v>47311</v>
      </c>
      <c r="S7658" t="s">
        <v>47443</v>
      </c>
      <c r="T7658" t="s">
        <v>49053</v>
      </c>
      <c r="U7658" t="s">
        <v>51932</v>
      </c>
      <c r="W7658" t="s">
        <v>44135</v>
      </c>
      <c r="X7658" t="s">
        <v>47312</v>
      </c>
    </row>
    <row r="7659" spans="1:24">
      <c r="A7659">
        <f>HYPERLINK("https://www.philgeps.gov.ph/GEPSNONPILOT/Tender/SplashBidNoticeAbstractUI.aspx?menuIndex=3&amp;refID=7180675&amp;Result=3","7180675")</f>
        <v>0</v>
      </c>
      <c r="B7659" t="s">
        <v>2467</v>
      </c>
      <c r="C7659" t="s">
        <v>11059</v>
      </c>
      <c r="D7659" t="s">
        <v>18993</v>
      </c>
      <c r="E7659" t="s">
        <v>19145</v>
      </c>
      <c r="F7659" t="s">
        <v>32608</v>
      </c>
      <c r="G7659" t="s">
        <v>32614</v>
      </c>
      <c r="H7659" t="s">
        <v>32624</v>
      </c>
      <c r="I7659" t="s">
        <v>4369</v>
      </c>
      <c r="J7659" t="s">
        <v>37577</v>
      </c>
      <c r="K7659" t="s">
        <v>42630</v>
      </c>
      <c r="L7659" t="s">
        <v>2467</v>
      </c>
      <c r="M7659" t="s">
        <v>45600</v>
      </c>
      <c r="N7659" t="s">
        <v>47304</v>
      </c>
      <c r="O7659" t="s">
        <v>47305</v>
      </c>
      <c r="P7659">
        <v>0</v>
      </c>
      <c r="Q7659">
        <v>10</v>
      </c>
      <c r="R7659" t="s">
        <v>47312</v>
      </c>
      <c r="S7659" t="s">
        <v>47489</v>
      </c>
      <c r="T7659" t="s">
        <v>48979</v>
      </c>
      <c r="U7659" t="s">
        <v>55941</v>
      </c>
      <c r="V7659" t="s">
        <v>63373</v>
      </c>
      <c r="W7659" t="s">
        <v>45600</v>
      </c>
      <c r="X7659" t="s">
        <v>47316</v>
      </c>
    </row>
    <row r="7660" spans="1:24">
      <c r="A7660">
        <f>HYPERLINK("https://www.philgeps.gov.ph/GEPSNONPILOT/Tender/SplashBidNoticeAbstractUI.aspx?menuIndex=3&amp;refID=7180178&amp;Result=3","7180178")</f>
        <v>0</v>
      </c>
      <c r="B7660" t="s">
        <v>42</v>
      </c>
      <c r="C7660" t="s">
        <v>11060</v>
      </c>
      <c r="E7660" t="s">
        <v>25747</v>
      </c>
      <c r="F7660" t="s">
        <v>32606</v>
      </c>
      <c r="G7660" t="s">
        <v>32614</v>
      </c>
      <c r="H7660" t="s">
        <v>14201</v>
      </c>
      <c r="I7660" t="s">
        <v>6931</v>
      </c>
      <c r="J7660" t="s">
        <v>37578</v>
      </c>
      <c r="K7660" t="s">
        <v>42630</v>
      </c>
      <c r="M7660" t="s">
        <v>42982</v>
      </c>
      <c r="N7660" t="s">
        <v>47304</v>
      </c>
      <c r="O7660" t="s">
        <v>47305</v>
      </c>
      <c r="P7660">
        <v>0</v>
      </c>
      <c r="Q7660">
        <v>2</v>
      </c>
      <c r="R7660" t="s">
        <v>47312</v>
      </c>
      <c r="S7660" t="s">
        <v>47489</v>
      </c>
      <c r="T7660" t="s">
        <v>49068</v>
      </c>
      <c r="U7660" t="s">
        <v>55938</v>
      </c>
      <c r="W7660" t="s">
        <v>42982</v>
      </c>
      <c r="X7660" t="s">
        <v>47317</v>
      </c>
    </row>
    <row r="7661" spans="1:24">
      <c r="A7661">
        <f>HYPERLINK("https://www.philgeps.gov.ph/GEPSNONPILOT/Tender/SplashBidNoticeAbstractUI.aspx?menuIndex=3&amp;refID=7177637&amp;Result=3","7177637")</f>
        <v>0</v>
      </c>
      <c r="B7661" t="s">
        <v>48</v>
      </c>
      <c r="C7661" t="s">
        <v>11061</v>
      </c>
      <c r="D7661" t="s">
        <v>19064</v>
      </c>
      <c r="E7661" t="s">
        <v>25748</v>
      </c>
      <c r="F7661" t="s">
        <v>32606</v>
      </c>
      <c r="G7661" t="s">
        <v>32618</v>
      </c>
      <c r="H7661" t="s">
        <v>32623</v>
      </c>
      <c r="I7661" t="s">
        <v>17648</v>
      </c>
      <c r="J7661" t="s">
        <v>34912</v>
      </c>
      <c r="K7661" t="s">
        <v>42624</v>
      </c>
      <c r="L7661" t="s">
        <v>48</v>
      </c>
      <c r="M7661" t="s">
        <v>42945</v>
      </c>
      <c r="N7661" t="s">
        <v>47304</v>
      </c>
      <c r="O7661" t="s">
        <v>47305</v>
      </c>
      <c r="Q7661">
        <v>4</v>
      </c>
      <c r="R7661" t="s">
        <v>47312</v>
      </c>
      <c r="S7661" t="s">
        <v>47490</v>
      </c>
      <c r="T7661" t="s">
        <v>49040</v>
      </c>
      <c r="U7661" t="s">
        <v>55942</v>
      </c>
      <c r="W7661" t="s">
        <v>42945</v>
      </c>
      <c r="X7661" t="s">
        <v>47318</v>
      </c>
    </row>
    <row r="7662" spans="1:24">
      <c r="A7662">
        <f>HYPERLINK("https://www.philgeps.gov.ph/GEPSNONPILOT/Tender/SplashBidNoticeAbstractUI.aspx?menuIndex=3&amp;refID=7178818&amp;Result=3","7178818")</f>
        <v>0</v>
      </c>
      <c r="B7662" t="s">
        <v>2115</v>
      </c>
      <c r="C7662" t="s">
        <v>11062</v>
      </c>
      <c r="D7662" t="s">
        <v>19008</v>
      </c>
      <c r="E7662" t="s">
        <v>25749</v>
      </c>
      <c r="F7662" t="s">
        <v>32606</v>
      </c>
      <c r="G7662" t="s">
        <v>32613</v>
      </c>
      <c r="H7662" t="s">
        <v>14201</v>
      </c>
      <c r="I7662" t="s">
        <v>6993</v>
      </c>
      <c r="J7662" t="s">
        <v>37579</v>
      </c>
      <c r="K7662" t="s">
        <v>42638</v>
      </c>
      <c r="M7662" t="s">
        <v>45601</v>
      </c>
      <c r="N7662" t="s">
        <v>47304</v>
      </c>
      <c r="O7662" t="s">
        <v>47305</v>
      </c>
      <c r="P7662">
        <v>0</v>
      </c>
      <c r="Q7662">
        <v>0</v>
      </c>
      <c r="R7662" t="s">
        <v>47312</v>
      </c>
      <c r="S7662" t="s">
        <v>47489</v>
      </c>
      <c r="T7662" t="s">
        <v>49004</v>
      </c>
      <c r="U7662" t="s">
        <v>55943</v>
      </c>
      <c r="V7662" t="s">
        <v>62846</v>
      </c>
      <c r="W7662" t="s">
        <v>45601</v>
      </c>
      <c r="X7662" t="s">
        <v>47318</v>
      </c>
    </row>
    <row r="7663" spans="1:24">
      <c r="A7663">
        <f>HYPERLINK("https://www.philgeps.gov.ph/GEPSNONPILOT/Tender/SplashBidNoticeAbstractUI.aspx?menuIndex=3&amp;refID=7176274&amp;Result=3","7176274")</f>
        <v>0</v>
      </c>
      <c r="B7663" t="s">
        <v>48</v>
      </c>
      <c r="C7663" t="s">
        <v>11063</v>
      </c>
      <c r="D7663" t="s">
        <v>19064</v>
      </c>
      <c r="E7663" t="s">
        <v>25750</v>
      </c>
      <c r="F7663" t="s">
        <v>32606</v>
      </c>
      <c r="G7663" t="s">
        <v>32618</v>
      </c>
      <c r="H7663" t="s">
        <v>32623</v>
      </c>
      <c r="I7663" t="s">
        <v>17648</v>
      </c>
      <c r="J7663" t="s">
        <v>34912</v>
      </c>
      <c r="K7663" t="s">
        <v>42624</v>
      </c>
      <c r="L7663" t="s">
        <v>48</v>
      </c>
      <c r="M7663" t="s">
        <v>42945</v>
      </c>
      <c r="N7663" t="s">
        <v>47304</v>
      </c>
      <c r="O7663" t="s">
        <v>47305</v>
      </c>
      <c r="Q7663">
        <v>4</v>
      </c>
      <c r="R7663" t="s">
        <v>47312</v>
      </c>
      <c r="S7663" t="s">
        <v>47491</v>
      </c>
      <c r="T7663" t="s">
        <v>49040</v>
      </c>
      <c r="U7663" t="s">
        <v>55944</v>
      </c>
      <c r="W7663" t="s">
        <v>42945</v>
      </c>
      <c r="X7663" t="s">
        <v>47319</v>
      </c>
    </row>
    <row r="7664" spans="1:24">
      <c r="A7664">
        <f>HYPERLINK("https://www.philgeps.gov.ph/GEPSNONPILOT/Tender/SplashBidNoticeAbstractUI.aspx?menuIndex=3&amp;refID=7176175&amp;Result=3","7176175")</f>
        <v>0</v>
      </c>
      <c r="B7664" t="s">
        <v>48</v>
      </c>
      <c r="C7664" t="s">
        <v>11064</v>
      </c>
      <c r="D7664" t="s">
        <v>19064</v>
      </c>
      <c r="E7664" t="s">
        <v>25751</v>
      </c>
      <c r="F7664" t="s">
        <v>32606</v>
      </c>
      <c r="G7664" t="s">
        <v>32618</v>
      </c>
      <c r="H7664" t="s">
        <v>32623</v>
      </c>
      <c r="I7664" t="s">
        <v>17648</v>
      </c>
      <c r="J7664" t="s">
        <v>34912</v>
      </c>
      <c r="K7664" t="s">
        <v>42624</v>
      </c>
      <c r="L7664" t="s">
        <v>48</v>
      </c>
      <c r="M7664" t="s">
        <v>42945</v>
      </c>
      <c r="N7664" t="s">
        <v>47304</v>
      </c>
      <c r="O7664" t="s">
        <v>47305</v>
      </c>
      <c r="Q7664">
        <v>4</v>
      </c>
      <c r="R7664" t="s">
        <v>47312</v>
      </c>
      <c r="S7664" t="s">
        <v>47492</v>
      </c>
      <c r="T7664" t="s">
        <v>49040</v>
      </c>
      <c r="U7664" t="s">
        <v>55945</v>
      </c>
      <c r="W7664" t="s">
        <v>42945</v>
      </c>
      <c r="X7664" t="s">
        <v>47319</v>
      </c>
    </row>
    <row r="7665" spans="1:24">
      <c r="A7665">
        <f>HYPERLINK("https://www.philgeps.gov.ph/GEPSNONPILOT/Tender/SplashBidNoticeAbstractUI.aspx?menuIndex=3&amp;refID=7175739&amp;Result=3","7175739")</f>
        <v>0</v>
      </c>
      <c r="B7665" t="s">
        <v>195</v>
      </c>
      <c r="C7665" t="s">
        <v>11065</v>
      </c>
      <c r="D7665" t="s">
        <v>19045</v>
      </c>
      <c r="E7665" t="s">
        <v>25752</v>
      </c>
      <c r="F7665" t="s">
        <v>32606</v>
      </c>
      <c r="G7665" t="s">
        <v>32613</v>
      </c>
      <c r="H7665" t="s">
        <v>14201</v>
      </c>
      <c r="I7665" t="s">
        <v>6931</v>
      </c>
      <c r="J7665" t="s">
        <v>37580</v>
      </c>
      <c r="K7665" t="s">
        <v>42622</v>
      </c>
      <c r="M7665" t="s">
        <v>43096</v>
      </c>
      <c r="N7665" t="s">
        <v>47304</v>
      </c>
      <c r="O7665" t="s">
        <v>47305</v>
      </c>
      <c r="P7665">
        <v>0</v>
      </c>
      <c r="Q7665">
        <v>0</v>
      </c>
      <c r="R7665" t="s">
        <v>47312</v>
      </c>
      <c r="S7665" t="s">
        <v>47489</v>
      </c>
      <c r="T7665" t="s">
        <v>49037</v>
      </c>
      <c r="U7665" t="s">
        <v>49892</v>
      </c>
      <c r="V7665" t="s">
        <v>63371</v>
      </c>
      <c r="W7665" t="s">
        <v>43096</v>
      </c>
      <c r="X7665" t="s">
        <v>47319</v>
      </c>
    </row>
    <row r="7666" spans="1:24">
      <c r="A7666">
        <f>HYPERLINK("https://www.philgeps.gov.ph/GEPSNONPILOT/Tender/SplashBidNoticeAbstractUI.aspx?menuIndex=3&amp;refID=7177601&amp;Result=3","7177601")</f>
        <v>0</v>
      </c>
      <c r="B7666" t="s">
        <v>48</v>
      </c>
      <c r="C7666" t="s">
        <v>11066</v>
      </c>
      <c r="D7666" t="s">
        <v>19064</v>
      </c>
      <c r="E7666" t="s">
        <v>25753</v>
      </c>
      <c r="F7666" t="s">
        <v>32606</v>
      </c>
      <c r="G7666" t="s">
        <v>32618</v>
      </c>
      <c r="H7666" t="s">
        <v>32623</v>
      </c>
      <c r="I7666" t="s">
        <v>17648</v>
      </c>
      <c r="J7666" t="s">
        <v>37581</v>
      </c>
      <c r="K7666" t="s">
        <v>42624</v>
      </c>
      <c r="L7666" t="s">
        <v>48</v>
      </c>
      <c r="M7666" t="s">
        <v>42945</v>
      </c>
      <c r="N7666" t="s">
        <v>47304</v>
      </c>
      <c r="O7666" t="s">
        <v>47305</v>
      </c>
      <c r="Q7666">
        <v>2</v>
      </c>
      <c r="R7666" t="s">
        <v>47312</v>
      </c>
      <c r="S7666" t="s">
        <v>47493</v>
      </c>
      <c r="T7666" t="s">
        <v>49040</v>
      </c>
      <c r="U7666" t="s">
        <v>55946</v>
      </c>
      <c r="W7666" t="s">
        <v>42945</v>
      </c>
      <c r="X7666" t="s">
        <v>47318</v>
      </c>
    </row>
    <row r="7667" spans="1:24">
      <c r="A7667">
        <f>HYPERLINK("https://www.philgeps.gov.ph/GEPSNONPILOT/Tender/SplashBidNoticeAbstractUI.aspx?menuIndex=3&amp;refID=7176211&amp;Result=3","7176211")</f>
        <v>0</v>
      </c>
      <c r="B7667" t="s">
        <v>48</v>
      </c>
      <c r="C7667" t="s">
        <v>11067</v>
      </c>
      <c r="D7667" t="s">
        <v>19064</v>
      </c>
      <c r="E7667" t="s">
        <v>25754</v>
      </c>
      <c r="F7667" t="s">
        <v>32606</v>
      </c>
      <c r="G7667" t="s">
        <v>32618</v>
      </c>
      <c r="H7667" t="s">
        <v>32623</v>
      </c>
      <c r="I7667" t="s">
        <v>17648</v>
      </c>
      <c r="J7667" t="s">
        <v>34912</v>
      </c>
      <c r="K7667" t="s">
        <v>42624</v>
      </c>
      <c r="L7667" t="s">
        <v>48</v>
      </c>
      <c r="M7667" t="s">
        <v>42945</v>
      </c>
      <c r="N7667" t="s">
        <v>47304</v>
      </c>
      <c r="O7667" t="s">
        <v>47305</v>
      </c>
      <c r="Q7667">
        <v>4</v>
      </c>
      <c r="R7667" t="s">
        <v>47312</v>
      </c>
      <c r="S7667" t="s">
        <v>47491</v>
      </c>
      <c r="T7667" t="s">
        <v>49040</v>
      </c>
      <c r="U7667" t="s">
        <v>55947</v>
      </c>
      <c r="W7667" t="s">
        <v>42945</v>
      </c>
      <c r="X7667" t="s">
        <v>47319</v>
      </c>
    </row>
    <row r="7668" spans="1:24">
      <c r="A7668">
        <f>HYPERLINK("https://www.philgeps.gov.ph/GEPSNONPILOT/Tender/SplashBidNoticeAbstractUI.aspx?menuIndex=3&amp;refID=7146499&amp;Result=3","7146499")</f>
        <v>0</v>
      </c>
      <c r="B7668" t="s">
        <v>1825</v>
      </c>
      <c r="C7668" t="s">
        <v>11068</v>
      </c>
      <c r="D7668" t="s">
        <v>18999</v>
      </c>
      <c r="E7668" t="s">
        <v>25755</v>
      </c>
      <c r="F7668" t="s">
        <v>32606</v>
      </c>
      <c r="G7668" t="s">
        <v>32613</v>
      </c>
      <c r="H7668" t="s">
        <v>32623</v>
      </c>
      <c r="I7668" t="s">
        <v>17648</v>
      </c>
      <c r="J7668" t="s">
        <v>32770</v>
      </c>
      <c r="K7668" t="s">
        <v>42748</v>
      </c>
      <c r="M7668" t="s">
        <v>44870</v>
      </c>
      <c r="N7668" t="s">
        <v>47304</v>
      </c>
      <c r="O7668" t="s">
        <v>47305</v>
      </c>
      <c r="P7668">
        <v>0</v>
      </c>
      <c r="Q7668">
        <v>11</v>
      </c>
      <c r="R7668" t="s">
        <v>47312</v>
      </c>
      <c r="S7668" t="s">
        <v>47489</v>
      </c>
      <c r="T7668" t="s">
        <v>49147</v>
      </c>
      <c r="U7668" t="s">
        <v>55948</v>
      </c>
      <c r="W7668" t="s">
        <v>44870</v>
      </c>
      <c r="X7668" t="s">
        <v>47332</v>
      </c>
    </row>
    <row r="7669" spans="1:24">
      <c r="A7669">
        <f>HYPERLINK("https://www.philgeps.gov.ph/GEPSNONPILOT/Tender/SplashBidNoticeAbstractUI.aspx?menuIndex=3&amp;refID=7145164&amp;Result=3","7145164")</f>
        <v>0</v>
      </c>
      <c r="B7669" t="s">
        <v>2468</v>
      </c>
      <c r="C7669" t="s">
        <v>11069</v>
      </c>
      <c r="D7669" t="s">
        <v>18993</v>
      </c>
      <c r="E7669" t="s">
        <v>25756</v>
      </c>
      <c r="F7669" t="s">
        <v>32606</v>
      </c>
      <c r="G7669" t="s">
        <v>32613</v>
      </c>
      <c r="H7669" t="s">
        <v>32623</v>
      </c>
      <c r="I7669" t="s">
        <v>17648</v>
      </c>
      <c r="J7669" t="s">
        <v>37582</v>
      </c>
      <c r="K7669" t="s">
        <v>42624</v>
      </c>
      <c r="M7669" t="s">
        <v>45602</v>
      </c>
      <c r="N7669" t="s">
        <v>47304</v>
      </c>
      <c r="O7669" t="s">
        <v>47305</v>
      </c>
      <c r="P7669">
        <v>0</v>
      </c>
      <c r="Q7669">
        <v>0</v>
      </c>
      <c r="R7669" t="s">
        <v>47312</v>
      </c>
      <c r="S7669" t="s">
        <v>47489</v>
      </c>
      <c r="T7669" t="s">
        <v>49377</v>
      </c>
      <c r="U7669" t="s">
        <v>55949</v>
      </c>
      <c r="W7669" t="s">
        <v>45602</v>
      </c>
      <c r="X7669" t="s">
        <v>47333</v>
      </c>
    </row>
    <row r="7670" spans="1:24">
      <c r="A7670">
        <f>HYPERLINK("https://www.philgeps.gov.ph/GEPSNONPILOT/Tender/SplashBidNoticeAbstractUI.aspx?menuIndex=3&amp;refID=7180181&amp;Result=3","7180181")</f>
        <v>0</v>
      </c>
      <c r="B7670" t="s">
        <v>42</v>
      </c>
      <c r="C7670" t="s">
        <v>11070</v>
      </c>
      <c r="E7670" t="s">
        <v>25757</v>
      </c>
      <c r="F7670" t="s">
        <v>32606</v>
      </c>
      <c r="G7670" t="s">
        <v>32614</v>
      </c>
      <c r="H7670" t="s">
        <v>14201</v>
      </c>
      <c r="I7670" t="s">
        <v>6931</v>
      </c>
      <c r="J7670" t="s">
        <v>37583</v>
      </c>
      <c r="K7670" t="s">
        <v>42630</v>
      </c>
      <c r="M7670" t="s">
        <v>42982</v>
      </c>
      <c r="N7670" t="s">
        <v>47304</v>
      </c>
      <c r="O7670" t="s">
        <v>47305</v>
      </c>
      <c r="P7670">
        <v>0</v>
      </c>
      <c r="Q7670">
        <v>0</v>
      </c>
      <c r="R7670" t="s">
        <v>47312</v>
      </c>
      <c r="S7670" t="s">
        <v>47489</v>
      </c>
      <c r="T7670" t="s">
        <v>49068</v>
      </c>
      <c r="U7670" t="s">
        <v>55938</v>
      </c>
      <c r="W7670" t="s">
        <v>42982</v>
      </c>
      <c r="X7670" t="s">
        <v>47317</v>
      </c>
    </row>
    <row r="7671" spans="1:24">
      <c r="A7671">
        <f>HYPERLINK("https://www.philgeps.gov.ph/GEPSNONPILOT/Tender/SplashBidNoticeAbstractUI.aspx?menuIndex=3&amp;refID=7193029&amp;Result=3","7193029")</f>
        <v>0</v>
      </c>
      <c r="B7671" t="s">
        <v>2469</v>
      </c>
      <c r="C7671" t="s">
        <v>11071</v>
      </c>
      <c r="D7671" t="s">
        <v>18993</v>
      </c>
      <c r="E7671" t="s">
        <v>25758</v>
      </c>
      <c r="F7671" t="s">
        <v>32606</v>
      </c>
      <c r="G7671" t="s">
        <v>32613</v>
      </c>
      <c r="H7671" t="s">
        <v>14201</v>
      </c>
      <c r="I7671" t="s">
        <v>6298</v>
      </c>
      <c r="J7671" t="s">
        <v>37584</v>
      </c>
      <c r="K7671" t="s">
        <v>42636</v>
      </c>
      <c r="M7671" t="s">
        <v>45603</v>
      </c>
      <c r="N7671" t="s">
        <v>47304</v>
      </c>
      <c r="O7671" t="s">
        <v>47305</v>
      </c>
      <c r="P7671">
        <v>0</v>
      </c>
      <c r="Q7671">
        <v>3</v>
      </c>
      <c r="R7671" t="s">
        <v>47311</v>
      </c>
      <c r="S7671" t="s">
        <v>47443</v>
      </c>
      <c r="T7671" t="s">
        <v>49182</v>
      </c>
      <c r="U7671" t="s">
        <v>55950</v>
      </c>
      <c r="V7671" t="s">
        <v>63374</v>
      </c>
      <c r="W7671" t="s">
        <v>45603</v>
      </c>
      <c r="X7671" t="s">
        <v>47312</v>
      </c>
    </row>
    <row r="7672" spans="1:24">
      <c r="A7672">
        <f>HYPERLINK("https://www.philgeps.gov.ph/GEPSNONPILOT/Tender/SplashBidNoticeAbstractUI.aspx?menuIndex=3&amp;refID=7154163&amp;Result=3","7154163")</f>
        <v>0</v>
      </c>
      <c r="B7672" t="s">
        <v>2470</v>
      </c>
      <c r="C7672" t="s">
        <v>11072</v>
      </c>
      <c r="D7672" t="s">
        <v>19061</v>
      </c>
      <c r="E7672" t="s">
        <v>21769</v>
      </c>
      <c r="F7672" t="s">
        <v>32606</v>
      </c>
      <c r="G7672" t="s">
        <v>32613</v>
      </c>
      <c r="H7672" t="s">
        <v>14201</v>
      </c>
      <c r="I7672" t="s">
        <v>4369</v>
      </c>
      <c r="J7672" t="s">
        <v>37585</v>
      </c>
      <c r="K7672" t="s">
        <v>42639</v>
      </c>
      <c r="M7672" t="s">
        <v>45604</v>
      </c>
      <c r="N7672" t="s">
        <v>47304</v>
      </c>
      <c r="O7672" t="s">
        <v>47305</v>
      </c>
      <c r="P7672">
        <v>0</v>
      </c>
      <c r="Q7672">
        <v>10</v>
      </c>
      <c r="R7672" t="s">
        <v>47312</v>
      </c>
      <c r="S7672" t="s">
        <v>47489</v>
      </c>
      <c r="T7672" t="s">
        <v>49200</v>
      </c>
      <c r="U7672" t="s">
        <v>55951</v>
      </c>
      <c r="V7672" t="s">
        <v>63375</v>
      </c>
      <c r="W7672" t="s">
        <v>45604</v>
      </c>
      <c r="X7672" t="s">
        <v>47328</v>
      </c>
    </row>
    <row r="7673" spans="1:24">
      <c r="A7673">
        <f>HYPERLINK("https://www.philgeps.gov.ph/GEPSNONPILOT/Tender/SplashBidNoticeAbstractUI.aspx?menuIndex=3&amp;refID=7193026&amp;Result=3","7193026")</f>
        <v>0</v>
      </c>
      <c r="B7673" t="s">
        <v>1172</v>
      </c>
      <c r="C7673" t="s">
        <v>11073</v>
      </c>
      <c r="D7673" t="s">
        <v>19002</v>
      </c>
      <c r="E7673" t="s">
        <v>25759</v>
      </c>
      <c r="F7673" t="s">
        <v>32606</v>
      </c>
      <c r="G7673" t="s">
        <v>32614</v>
      </c>
      <c r="H7673" t="s">
        <v>14201</v>
      </c>
      <c r="I7673" t="s">
        <v>32650</v>
      </c>
      <c r="J7673" t="s">
        <v>33219</v>
      </c>
      <c r="K7673" t="s">
        <v>42630</v>
      </c>
      <c r="M7673" t="s">
        <v>44135</v>
      </c>
      <c r="N7673" t="s">
        <v>47304</v>
      </c>
      <c r="O7673" t="s">
        <v>47305</v>
      </c>
      <c r="P7673">
        <v>0</v>
      </c>
      <c r="Q7673">
        <v>0</v>
      </c>
      <c r="R7673" t="s">
        <v>47311</v>
      </c>
      <c r="S7673" t="s">
        <v>47443</v>
      </c>
      <c r="T7673" t="s">
        <v>49053</v>
      </c>
      <c r="U7673" t="s">
        <v>51932</v>
      </c>
      <c r="W7673" t="s">
        <v>44135</v>
      </c>
      <c r="X7673" t="s">
        <v>47312</v>
      </c>
    </row>
    <row r="7674" spans="1:24">
      <c r="A7674">
        <f>HYPERLINK("https://www.philgeps.gov.ph/GEPSNONPILOT/Tender/SplashBidNoticeAbstractUI.aspx?menuIndex=3&amp;refID=7193024&amp;Result=3","7193024")</f>
        <v>0</v>
      </c>
      <c r="B7674" t="s">
        <v>1172</v>
      </c>
      <c r="C7674" t="s">
        <v>11074</v>
      </c>
      <c r="D7674" t="s">
        <v>19002</v>
      </c>
      <c r="E7674" t="s">
        <v>25760</v>
      </c>
      <c r="F7674" t="s">
        <v>32606</v>
      </c>
      <c r="G7674" t="s">
        <v>32614</v>
      </c>
      <c r="H7674" t="s">
        <v>14201</v>
      </c>
      <c r="I7674" t="s">
        <v>32650</v>
      </c>
      <c r="J7674" t="s">
        <v>33994</v>
      </c>
      <c r="K7674" t="s">
        <v>42630</v>
      </c>
      <c r="M7674" t="s">
        <v>44135</v>
      </c>
      <c r="N7674" t="s">
        <v>47304</v>
      </c>
      <c r="O7674" t="s">
        <v>47305</v>
      </c>
      <c r="P7674">
        <v>0</v>
      </c>
      <c r="Q7674">
        <v>0</v>
      </c>
      <c r="R7674" t="s">
        <v>47311</v>
      </c>
      <c r="S7674" t="s">
        <v>47443</v>
      </c>
      <c r="T7674" t="s">
        <v>49053</v>
      </c>
      <c r="U7674" t="s">
        <v>51932</v>
      </c>
      <c r="W7674" t="s">
        <v>44135</v>
      </c>
      <c r="X7674" t="s">
        <v>47312</v>
      </c>
    </row>
    <row r="7675" spans="1:24">
      <c r="A7675">
        <f>HYPERLINK("https://www.philgeps.gov.ph/GEPSNONPILOT/Tender/SplashBidNoticeAbstractUI.aspx?menuIndex=3&amp;refID=7180179&amp;Result=3","7180179")</f>
        <v>0</v>
      </c>
      <c r="B7675" t="s">
        <v>42</v>
      </c>
      <c r="C7675" t="s">
        <v>11075</v>
      </c>
      <c r="E7675" t="s">
        <v>25761</v>
      </c>
      <c r="F7675" t="s">
        <v>32606</v>
      </c>
      <c r="G7675" t="s">
        <v>32619</v>
      </c>
      <c r="H7675" t="s">
        <v>14201</v>
      </c>
      <c r="I7675" t="s">
        <v>4114</v>
      </c>
      <c r="J7675" t="s">
        <v>34687</v>
      </c>
      <c r="K7675" t="s">
        <v>42630</v>
      </c>
      <c r="M7675" t="s">
        <v>42939</v>
      </c>
      <c r="N7675" t="s">
        <v>47304</v>
      </c>
      <c r="O7675" t="s">
        <v>47305</v>
      </c>
      <c r="P7675">
        <v>0</v>
      </c>
      <c r="Q7675">
        <v>5</v>
      </c>
      <c r="R7675" t="s">
        <v>47312</v>
      </c>
      <c r="S7675" t="s">
        <v>47489</v>
      </c>
      <c r="T7675" t="s">
        <v>49020</v>
      </c>
      <c r="U7675" t="s">
        <v>49653</v>
      </c>
      <c r="W7675" t="s">
        <v>42939</v>
      </c>
      <c r="X7675" t="s">
        <v>47317</v>
      </c>
    </row>
    <row r="7676" spans="1:24">
      <c r="A7676">
        <f>HYPERLINK("https://www.philgeps.gov.ph/GEPSNONPILOT/Tender/SplashBidNoticeAbstractUI.aspx?menuIndex=3&amp;refID=7180858&amp;Result=3","7180858")</f>
        <v>0</v>
      </c>
      <c r="B7676" t="s">
        <v>2471</v>
      </c>
      <c r="C7676" t="s">
        <v>11076</v>
      </c>
      <c r="D7676" t="s">
        <v>19006</v>
      </c>
      <c r="E7676" t="s">
        <v>25762</v>
      </c>
      <c r="F7676" t="s">
        <v>32606</v>
      </c>
      <c r="G7676" t="s">
        <v>32613</v>
      </c>
      <c r="H7676" t="s">
        <v>14201</v>
      </c>
      <c r="I7676" t="s">
        <v>32690</v>
      </c>
      <c r="J7676" t="s">
        <v>37586</v>
      </c>
      <c r="K7676" t="s">
        <v>42639</v>
      </c>
      <c r="M7676" t="s">
        <v>45605</v>
      </c>
      <c r="N7676" t="s">
        <v>47304</v>
      </c>
      <c r="O7676" t="s">
        <v>47305</v>
      </c>
      <c r="P7676">
        <v>0</v>
      </c>
      <c r="Q7676">
        <v>1</v>
      </c>
      <c r="R7676" t="s">
        <v>47312</v>
      </c>
      <c r="S7676" t="s">
        <v>47489</v>
      </c>
      <c r="T7676" t="s">
        <v>49197</v>
      </c>
      <c r="U7676" t="s">
        <v>55952</v>
      </c>
      <c r="V7676" t="s">
        <v>63376</v>
      </c>
      <c r="W7676" t="s">
        <v>45605</v>
      </c>
      <c r="X7676" t="s">
        <v>47315</v>
      </c>
    </row>
    <row r="7677" spans="1:24">
      <c r="A7677">
        <f>HYPERLINK("https://www.philgeps.gov.ph/GEPSNONPILOT/Tender/SplashBidNoticeAbstractUI.aspx?menuIndex=3&amp;refID=7144326&amp;Result=3","7144326")</f>
        <v>0</v>
      </c>
      <c r="B7677" t="s">
        <v>2335</v>
      </c>
      <c r="C7677" t="s">
        <v>11077</v>
      </c>
      <c r="D7677" t="s">
        <v>19033</v>
      </c>
      <c r="E7677" t="s">
        <v>25763</v>
      </c>
      <c r="F7677" t="s">
        <v>32606</v>
      </c>
      <c r="G7677" t="s">
        <v>32613</v>
      </c>
      <c r="H7677" t="s">
        <v>32623</v>
      </c>
      <c r="I7677" t="s">
        <v>17648</v>
      </c>
      <c r="J7677" t="s">
        <v>37587</v>
      </c>
      <c r="K7677" t="s">
        <v>42712</v>
      </c>
      <c r="M7677" t="s">
        <v>45445</v>
      </c>
      <c r="N7677" t="s">
        <v>47304</v>
      </c>
      <c r="O7677" t="s">
        <v>47305</v>
      </c>
      <c r="P7677">
        <v>0</v>
      </c>
      <c r="Q7677">
        <v>5</v>
      </c>
      <c r="R7677" t="s">
        <v>47312</v>
      </c>
      <c r="S7677" t="s">
        <v>47489</v>
      </c>
      <c r="T7677" t="s">
        <v>49368</v>
      </c>
      <c r="U7677" t="s">
        <v>55953</v>
      </c>
      <c r="W7677" t="s">
        <v>45445</v>
      </c>
      <c r="X7677" t="s">
        <v>47333</v>
      </c>
    </row>
    <row r="7678" spans="1:24">
      <c r="A7678">
        <f>HYPERLINK("https://www.philgeps.gov.ph/GEPSNONPILOT/Tender/SplashBidNoticeAbstractUI.aspx?menuIndex=3&amp;refID=7178592&amp;Result=3","7178592")</f>
        <v>0</v>
      </c>
      <c r="B7678" t="s">
        <v>301</v>
      </c>
      <c r="C7678" t="s">
        <v>11078</v>
      </c>
      <c r="D7678" t="s">
        <v>19011</v>
      </c>
      <c r="E7678" t="s">
        <v>25764</v>
      </c>
      <c r="F7678" t="s">
        <v>32606</v>
      </c>
      <c r="G7678" t="s">
        <v>32613</v>
      </c>
      <c r="H7678" t="s">
        <v>14201</v>
      </c>
      <c r="I7678" t="s">
        <v>32638</v>
      </c>
      <c r="J7678" t="s">
        <v>32756</v>
      </c>
      <c r="K7678" t="s">
        <v>42631</v>
      </c>
      <c r="M7678" t="s">
        <v>45606</v>
      </c>
      <c r="N7678" t="s">
        <v>47304</v>
      </c>
      <c r="O7678" t="s">
        <v>47305</v>
      </c>
      <c r="P7678">
        <v>0</v>
      </c>
      <c r="Q7678">
        <v>8</v>
      </c>
      <c r="R7678" t="s">
        <v>47312</v>
      </c>
      <c r="S7678" t="s">
        <v>47489</v>
      </c>
      <c r="T7678" t="s">
        <v>49111</v>
      </c>
      <c r="U7678" t="s">
        <v>55954</v>
      </c>
      <c r="W7678" t="s">
        <v>45606</v>
      </c>
      <c r="X7678" t="s">
        <v>47318</v>
      </c>
    </row>
    <row r="7679" spans="1:24">
      <c r="A7679">
        <f>HYPERLINK("https://www.philgeps.gov.ph/GEPSNONPILOT/Tender/SplashBidNoticeAbstractUI.aspx?menuIndex=3&amp;refID=7180857&amp;Result=3","7180857")</f>
        <v>0</v>
      </c>
      <c r="B7679" t="s">
        <v>2471</v>
      </c>
      <c r="C7679" t="s">
        <v>11079</v>
      </c>
      <c r="D7679" t="s">
        <v>19006</v>
      </c>
      <c r="E7679" t="s">
        <v>25765</v>
      </c>
      <c r="F7679" t="s">
        <v>32606</v>
      </c>
      <c r="G7679" t="s">
        <v>32613</v>
      </c>
      <c r="H7679" t="s">
        <v>32623</v>
      </c>
      <c r="I7679" t="s">
        <v>6931</v>
      </c>
      <c r="J7679" t="s">
        <v>37588</v>
      </c>
      <c r="K7679" t="s">
        <v>42623</v>
      </c>
      <c r="M7679" t="s">
        <v>45605</v>
      </c>
      <c r="N7679" t="s">
        <v>47304</v>
      </c>
      <c r="O7679" t="s">
        <v>47305</v>
      </c>
      <c r="P7679">
        <v>0</v>
      </c>
      <c r="Q7679">
        <v>0</v>
      </c>
      <c r="R7679" t="s">
        <v>47312</v>
      </c>
      <c r="S7679" t="s">
        <v>47489</v>
      </c>
      <c r="T7679" t="s">
        <v>49197</v>
      </c>
      <c r="U7679" t="s">
        <v>55955</v>
      </c>
      <c r="V7679" t="s">
        <v>63376</v>
      </c>
      <c r="W7679" t="s">
        <v>45605</v>
      </c>
      <c r="X7679" t="s">
        <v>47315</v>
      </c>
    </row>
    <row r="7680" spans="1:24">
      <c r="A7680">
        <f>HYPERLINK("https://www.philgeps.gov.ph/GEPSNONPILOT/Tender/SplashBidNoticeAbstractUI.aspx?menuIndex=3&amp;refID=7193028&amp;Result=3","7193028")</f>
        <v>0</v>
      </c>
      <c r="B7680" t="s">
        <v>1543</v>
      </c>
      <c r="C7680" t="s">
        <v>11080</v>
      </c>
      <c r="D7680" t="s">
        <v>19013</v>
      </c>
      <c r="E7680" t="s">
        <v>25766</v>
      </c>
      <c r="F7680" t="s">
        <v>32606</v>
      </c>
      <c r="G7680" t="s">
        <v>32613</v>
      </c>
      <c r="H7680" t="s">
        <v>32623</v>
      </c>
      <c r="I7680" t="s">
        <v>17648</v>
      </c>
      <c r="J7680" t="s">
        <v>32830</v>
      </c>
      <c r="K7680" t="s">
        <v>42646</v>
      </c>
      <c r="M7680" t="s">
        <v>44547</v>
      </c>
      <c r="N7680" t="s">
        <v>47304</v>
      </c>
      <c r="O7680" t="s">
        <v>47305</v>
      </c>
      <c r="P7680">
        <v>0</v>
      </c>
      <c r="Q7680">
        <v>1</v>
      </c>
      <c r="R7680" t="s">
        <v>47311</v>
      </c>
      <c r="S7680" t="s">
        <v>47443</v>
      </c>
      <c r="T7680" t="s">
        <v>49037</v>
      </c>
      <c r="U7680" t="s">
        <v>55956</v>
      </c>
      <c r="W7680" t="s">
        <v>44547</v>
      </c>
      <c r="X7680" t="s">
        <v>47312</v>
      </c>
    </row>
    <row r="7681" spans="1:24">
      <c r="A7681">
        <f>HYPERLINK("https://www.philgeps.gov.ph/GEPSNONPILOT/Tender/SplashBidNoticeAbstractUI.aspx?menuIndex=3&amp;refID=7182039&amp;Result=3","7182039")</f>
        <v>0</v>
      </c>
      <c r="B7681" t="s">
        <v>2472</v>
      </c>
      <c r="C7681" t="s">
        <v>11081</v>
      </c>
      <c r="D7681" t="s">
        <v>18994</v>
      </c>
      <c r="E7681" t="s">
        <v>25767</v>
      </c>
      <c r="F7681" t="s">
        <v>32606</v>
      </c>
      <c r="G7681" t="s">
        <v>32613</v>
      </c>
      <c r="H7681" t="s">
        <v>14201</v>
      </c>
      <c r="I7681" t="s">
        <v>32626</v>
      </c>
      <c r="J7681" t="s">
        <v>37589</v>
      </c>
      <c r="K7681" t="s">
        <v>42631</v>
      </c>
      <c r="M7681" t="s">
        <v>45607</v>
      </c>
      <c r="N7681" t="s">
        <v>47304</v>
      </c>
      <c r="O7681" t="s">
        <v>47305</v>
      </c>
      <c r="P7681">
        <v>0</v>
      </c>
      <c r="Q7681">
        <v>7</v>
      </c>
      <c r="R7681" t="s">
        <v>47312</v>
      </c>
      <c r="S7681" t="s">
        <v>47489</v>
      </c>
      <c r="T7681" t="s">
        <v>49129</v>
      </c>
      <c r="U7681" t="s">
        <v>55957</v>
      </c>
      <c r="W7681" t="s">
        <v>45607</v>
      </c>
      <c r="X7681" t="s">
        <v>47315</v>
      </c>
    </row>
    <row r="7682" spans="1:24">
      <c r="A7682">
        <f>HYPERLINK("https://www.philgeps.gov.ph/GEPSNONPILOT/Tender/SplashBidNoticeAbstractUI.aspx?menuIndex=3&amp;refID=7181666&amp;Result=3","7181666")</f>
        <v>0</v>
      </c>
      <c r="B7682" t="s">
        <v>2473</v>
      </c>
      <c r="C7682" t="s">
        <v>11082</v>
      </c>
      <c r="D7682" t="s">
        <v>19008</v>
      </c>
      <c r="E7682" t="s">
        <v>25768</v>
      </c>
      <c r="F7682" t="s">
        <v>32606</v>
      </c>
      <c r="G7682" t="s">
        <v>32613</v>
      </c>
      <c r="H7682" t="s">
        <v>14201</v>
      </c>
      <c r="I7682" t="s">
        <v>6298</v>
      </c>
      <c r="J7682" t="s">
        <v>37590</v>
      </c>
      <c r="K7682" t="s">
        <v>42622</v>
      </c>
      <c r="M7682" t="s">
        <v>45608</v>
      </c>
      <c r="N7682" t="s">
        <v>47304</v>
      </c>
      <c r="O7682" t="s">
        <v>47305</v>
      </c>
      <c r="P7682">
        <v>0</v>
      </c>
      <c r="Q7682">
        <v>1</v>
      </c>
      <c r="R7682" t="s">
        <v>47312</v>
      </c>
      <c r="S7682" t="s">
        <v>47489</v>
      </c>
      <c r="T7682" t="s">
        <v>49053</v>
      </c>
      <c r="U7682" t="s">
        <v>55958</v>
      </c>
      <c r="W7682" t="s">
        <v>45608</v>
      </c>
      <c r="X7682" t="s">
        <v>47315</v>
      </c>
    </row>
    <row r="7683" spans="1:24">
      <c r="A7683">
        <f>HYPERLINK("https://www.philgeps.gov.ph/GEPSNONPILOT/Tender/SplashBidNoticeAbstractUI.aspx?menuIndex=3&amp;refID=7181656&amp;Result=3","7181656")</f>
        <v>0</v>
      </c>
      <c r="B7683" t="s">
        <v>2473</v>
      </c>
      <c r="C7683" t="s">
        <v>11083</v>
      </c>
      <c r="D7683" t="s">
        <v>19008</v>
      </c>
      <c r="E7683" t="s">
        <v>25769</v>
      </c>
      <c r="F7683" t="s">
        <v>32606</v>
      </c>
      <c r="G7683" t="s">
        <v>32613</v>
      </c>
      <c r="H7683" t="s">
        <v>14201</v>
      </c>
      <c r="I7683" t="s">
        <v>32661</v>
      </c>
      <c r="J7683" t="s">
        <v>37591</v>
      </c>
      <c r="K7683" t="s">
        <v>42622</v>
      </c>
      <c r="M7683" t="s">
        <v>45608</v>
      </c>
      <c r="N7683" t="s">
        <v>47304</v>
      </c>
      <c r="O7683" t="s">
        <v>47305</v>
      </c>
      <c r="P7683">
        <v>0</v>
      </c>
      <c r="Q7683">
        <v>0</v>
      </c>
      <c r="R7683" t="s">
        <v>47312</v>
      </c>
      <c r="S7683" t="s">
        <v>47489</v>
      </c>
      <c r="T7683" t="s">
        <v>49053</v>
      </c>
      <c r="U7683" t="s">
        <v>55959</v>
      </c>
      <c r="W7683" t="s">
        <v>45608</v>
      </c>
      <c r="X7683" t="s">
        <v>47315</v>
      </c>
    </row>
    <row r="7684" spans="1:24">
      <c r="A7684">
        <f>HYPERLINK("https://www.philgeps.gov.ph/GEPSNONPILOT/Tender/SplashBidNoticeAbstractUI.aspx?menuIndex=3&amp;refID=7193027&amp;Result=3","7193027")</f>
        <v>0</v>
      </c>
      <c r="B7684" t="s">
        <v>1172</v>
      </c>
      <c r="C7684" t="s">
        <v>11084</v>
      </c>
      <c r="D7684" t="s">
        <v>19002</v>
      </c>
      <c r="E7684" t="s">
        <v>25770</v>
      </c>
      <c r="F7684" t="s">
        <v>32606</v>
      </c>
      <c r="G7684" t="s">
        <v>32614</v>
      </c>
      <c r="H7684" t="s">
        <v>14201</v>
      </c>
      <c r="I7684" t="s">
        <v>32650</v>
      </c>
      <c r="J7684" t="s">
        <v>37227</v>
      </c>
      <c r="K7684" t="s">
        <v>42630</v>
      </c>
      <c r="M7684" t="s">
        <v>44135</v>
      </c>
      <c r="N7684" t="s">
        <v>47304</v>
      </c>
      <c r="O7684" t="s">
        <v>47305</v>
      </c>
      <c r="P7684">
        <v>0</v>
      </c>
      <c r="Q7684">
        <v>0</v>
      </c>
      <c r="R7684" t="s">
        <v>47311</v>
      </c>
      <c r="S7684" t="s">
        <v>47443</v>
      </c>
      <c r="T7684" t="s">
        <v>49072</v>
      </c>
      <c r="U7684" t="s">
        <v>51932</v>
      </c>
      <c r="W7684" t="s">
        <v>44135</v>
      </c>
      <c r="X7684" t="s">
        <v>47312</v>
      </c>
    </row>
    <row r="7685" spans="1:24">
      <c r="A7685">
        <f>HYPERLINK("https://www.philgeps.gov.ph/GEPSNONPILOT/Tender/SplashBidNoticeAbstractUI.aspx?menuIndex=3&amp;refID=7180190&amp;Result=3","7180190")</f>
        <v>0</v>
      </c>
      <c r="B7685" t="s">
        <v>42</v>
      </c>
      <c r="C7685" t="s">
        <v>11085</v>
      </c>
      <c r="E7685" t="s">
        <v>25771</v>
      </c>
      <c r="F7685" t="s">
        <v>32606</v>
      </c>
      <c r="G7685" t="s">
        <v>32619</v>
      </c>
      <c r="H7685" t="s">
        <v>14201</v>
      </c>
      <c r="I7685" t="s">
        <v>6298</v>
      </c>
      <c r="J7685" t="s">
        <v>37592</v>
      </c>
      <c r="K7685" t="s">
        <v>42631</v>
      </c>
      <c r="M7685" t="s">
        <v>42939</v>
      </c>
      <c r="N7685" t="s">
        <v>47304</v>
      </c>
      <c r="O7685" t="s">
        <v>47305</v>
      </c>
      <c r="P7685">
        <v>0</v>
      </c>
      <c r="Q7685">
        <v>4</v>
      </c>
      <c r="R7685" t="s">
        <v>47312</v>
      </c>
      <c r="S7685" t="s">
        <v>47489</v>
      </c>
      <c r="T7685" t="s">
        <v>49020</v>
      </c>
      <c r="U7685" t="s">
        <v>49653</v>
      </c>
      <c r="W7685" t="s">
        <v>42939</v>
      </c>
      <c r="X7685" t="s">
        <v>47317</v>
      </c>
    </row>
    <row r="7686" spans="1:24">
      <c r="A7686">
        <f>HYPERLINK("https://www.philgeps.gov.ph/GEPSNONPILOT/Tender/SplashBidNoticeAbstractUI.aspx?menuIndex=3&amp;refID=7182096&amp;Result=3","7182096")</f>
        <v>0</v>
      </c>
      <c r="B7686" t="s">
        <v>1551</v>
      </c>
      <c r="C7686" t="s">
        <v>11086</v>
      </c>
      <c r="D7686" t="s">
        <v>19046</v>
      </c>
      <c r="E7686" t="s">
        <v>25772</v>
      </c>
      <c r="F7686" t="s">
        <v>32606</v>
      </c>
      <c r="G7686" t="s">
        <v>32613</v>
      </c>
      <c r="H7686" t="s">
        <v>14201</v>
      </c>
      <c r="I7686" t="s">
        <v>7064</v>
      </c>
      <c r="J7686" t="s">
        <v>35368</v>
      </c>
      <c r="K7686" t="s">
        <v>42639</v>
      </c>
      <c r="M7686" t="s">
        <v>44555</v>
      </c>
      <c r="N7686" t="s">
        <v>47304</v>
      </c>
      <c r="O7686" t="s">
        <v>47305</v>
      </c>
      <c r="P7686">
        <v>0</v>
      </c>
      <c r="Q7686">
        <v>4</v>
      </c>
      <c r="R7686" t="s">
        <v>47312</v>
      </c>
      <c r="S7686" t="s">
        <v>47489</v>
      </c>
      <c r="T7686" t="s">
        <v>49037</v>
      </c>
      <c r="U7686" t="s">
        <v>55960</v>
      </c>
      <c r="W7686" t="s">
        <v>44555</v>
      </c>
      <c r="X7686" t="s">
        <v>47315</v>
      </c>
    </row>
    <row r="7687" spans="1:24">
      <c r="A7687">
        <f>HYPERLINK("https://www.philgeps.gov.ph/GEPSNONPILOT/Tender/SplashBidNoticeAbstractUI.aspx?menuIndex=3&amp;refID=7182365&amp;Result=3","7182365")</f>
        <v>0</v>
      </c>
      <c r="B7687" t="s">
        <v>1551</v>
      </c>
      <c r="C7687" t="s">
        <v>11087</v>
      </c>
      <c r="D7687" t="s">
        <v>19046</v>
      </c>
      <c r="E7687" t="s">
        <v>25773</v>
      </c>
      <c r="F7687" t="s">
        <v>32606</v>
      </c>
      <c r="G7687" t="s">
        <v>32613</v>
      </c>
      <c r="H7687" t="s">
        <v>32623</v>
      </c>
      <c r="I7687" t="s">
        <v>17648</v>
      </c>
      <c r="J7687" t="s">
        <v>37593</v>
      </c>
      <c r="K7687" t="s">
        <v>42636</v>
      </c>
      <c r="M7687" t="s">
        <v>44555</v>
      </c>
      <c r="N7687" t="s">
        <v>47304</v>
      </c>
      <c r="O7687" t="s">
        <v>47305</v>
      </c>
      <c r="P7687">
        <v>0</v>
      </c>
      <c r="Q7687">
        <v>0</v>
      </c>
      <c r="R7687" t="s">
        <v>47312</v>
      </c>
      <c r="S7687" t="s">
        <v>47489</v>
      </c>
      <c r="T7687" t="s">
        <v>49037</v>
      </c>
      <c r="U7687" t="s">
        <v>55961</v>
      </c>
      <c r="W7687" t="s">
        <v>44555</v>
      </c>
      <c r="X7687" t="s">
        <v>47315</v>
      </c>
    </row>
    <row r="7688" spans="1:24">
      <c r="A7688">
        <f>HYPERLINK("https://www.philgeps.gov.ph/GEPSNONPILOT/Tender/SplashBidNoticeAbstractUI.aspx?menuIndex=3&amp;refID=7182286&amp;Result=3","7182286")</f>
        <v>0</v>
      </c>
      <c r="B7688" t="s">
        <v>2474</v>
      </c>
      <c r="C7688" t="s">
        <v>11088</v>
      </c>
      <c r="D7688" t="s">
        <v>19047</v>
      </c>
      <c r="E7688" t="s">
        <v>25774</v>
      </c>
      <c r="F7688" t="s">
        <v>32606</v>
      </c>
      <c r="G7688" t="s">
        <v>32613</v>
      </c>
      <c r="H7688" t="s">
        <v>14201</v>
      </c>
      <c r="I7688" t="s">
        <v>6931</v>
      </c>
      <c r="J7688" t="s">
        <v>37594</v>
      </c>
      <c r="K7688" t="s">
        <v>42623</v>
      </c>
      <c r="M7688" t="s">
        <v>45609</v>
      </c>
      <c r="N7688" t="s">
        <v>47304</v>
      </c>
      <c r="O7688" t="s">
        <v>47305</v>
      </c>
      <c r="P7688">
        <v>0</v>
      </c>
      <c r="Q7688">
        <v>0</v>
      </c>
      <c r="R7688" t="s">
        <v>47312</v>
      </c>
      <c r="S7688" t="s">
        <v>47489</v>
      </c>
      <c r="T7688" t="s">
        <v>49111</v>
      </c>
      <c r="U7688" t="s">
        <v>54806</v>
      </c>
      <c r="W7688" t="s">
        <v>45609</v>
      </c>
      <c r="X7688" t="s">
        <v>47315</v>
      </c>
    </row>
    <row r="7689" spans="1:24">
      <c r="A7689">
        <f>HYPERLINK("https://www.philgeps.gov.ph/GEPSNONPILOT/Tender/SplashBidNoticeAbstractUI.aspx?menuIndex=3&amp;refID=7182261&amp;Result=3","7182261")</f>
        <v>0</v>
      </c>
      <c r="B7689" t="s">
        <v>1551</v>
      </c>
      <c r="C7689" t="s">
        <v>11089</v>
      </c>
      <c r="D7689" t="s">
        <v>19046</v>
      </c>
      <c r="E7689" t="s">
        <v>25775</v>
      </c>
      <c r="F7689" t="s">
        <v>32606</v>
      </c>
      <c r="G7689" t="s">
        <v>32613</v>
      </c>
      <c r="H7689" t="s">
        <v>32623</v>
      </c>
      <c r="I7689" t="s">
        <v>17648</v>
      </c>
      <c r="J7689" t="s">
        <v>37595</v>
      </c>
      <c r="K7689" t="s">
        <v>42648</v>
      </c>
      <c r="M7689" t="s">
        <v>44555</v>
      </c>
      <c r="N7689" t="s">
        <v>47304</v>
      </c>
      <c r="O7689" t="s">
        <v>47305</v>
      </c>
      <c r="P7689">
        <v>0</v>
      </c>
      <c r="Q7689">
        <v>0</v>
      </c>
      <c r="R7689" t="s">
        <v>47312</v>
      </c>
      <c r="S7689" t="s">
        <v>47489</v>
      </c>
      <c r="T7689" t="s">
        <v>49037</v>
      </c>
      <c r="U7689" t="s">
        <v>55962</v>
      </c>
      <c r="W7689" t="s">
        <v>44555</v>
      </c>
      <c r="X7689" t="s">
        <v>47315</v>
      </c>
    </row>
    <row r="7690" spans="1:24">
      <c r="A7690">
        <f>HYPERLINK("https://www.philgeps.gov.ph/GEPSNONPILOT/Tender/SplashBidNoticeAbstractUI.aspx?menuIndex=3&amp;refID=7181844&amp;Result=3","7181844")</f>
        <v>0</v>
      </c>
      <c r="B7690" t="s">
        <v>2115</v>
      </c>
      <c r="C7690" t="s">
        <v>11090</v>
      </c>
      <c r="D7690" t="s">
        <v>19008</v>
      </c>
      <c r="E7690" t="s">
        <v>25776</v>
      </c>
      <c r="F7690" t="s">
        <v>32606</v>
      </c>
      <c r="G7690" t="s">
        <v>32613</v>
      </c>
      <c r="H7690" t="s">
        <v>14201</v>
      </c>
      <c r="I7690" t="s">
        <v>32680</v>
      </c>
      <c r="J7690" t="s">
        <v>35368</v>
      </c>
      <c r="K7690" t="s">
        <v>42638</v>
      </c>
      <c r="M7690" t="s">
        <v>45202</v>
      </c>
      <c r="N7690" t="s">
        <v>47304</v>
      </c>
      <c r="O7690" t="s">
        <v>47305</v>
      </c>
      <c r="P7690">
        <v>0</v>
      </c>
      <c r="Q7690">
        <v>4</v>
      </c>
      <c r="R7690" t="s">
        <v>47312</v>
      </c>
      <c r="S7690" t="s">
        <v>47489</v>
      </c>
      <c r="T7690" t="s">
        <v>49073</v>
      </c>
      <c r="U7690" t="s">
        <v>55963</v>
      </c>
      <c r="V7690" t="s">
        <v>63377</v>
      </c>
      <c r="W7690" t="s">
        <v>45202</v>
      </c>
      <c r="X7690" t="s">
        <v>47315</v>
      </c>
    </row>
    <row r="7691" spans="1:24">
      <c r="A7691">
        <f>HYPERLINK("https://www.philgeps.gov.ph/GEPSNONPILOT/Tender/SplashBidNoticeAbstractUI.aspx?menuIndex=3&amp;refID=7181490&amp;Result=3","7181490")</f>
        <v>0</v>
      </c>
      <c r="B7691" t="s">
        <v>1565</v>
      </c>
      <c r="C7691" t="s">
        <v>11091</v>
      </c>
      <c r="D7691" t="s">
        <v>19029</v>
      </c>
      <c r="E7691" t="s">
        <v>25777</v>
      </c>
      <c r="F7691" t="s">
        <v>32606</v>
      </c>
      <c r="G7691" t="s">
        <v>32613</v>
      </c>
      <c r="H7691" t="s">
        <v>14201</v>
      </c>
      <c r="I7691" t="s">
        <v>7577</v>
      </c>
      <c r="J7691" t="s">
        <v>37596</v>
      </c>
      <c r="K7691" t="s">
        <v>42623</v>
      </c>
      <c r="M7691" t="s">
        <v>45610</v>
      </c>
      <c r="N7691" t="s">
        <v>47304</v>
      </c>
      <c r="O7691" t="s">
        <v>47305</v>
      </c>
      <c r="Q7691">
        <v>6</v>
      </c>
      <c r="R7691" t="s">
        <v>47312</v>
      </c>
      <c r="S7691" t="s">
        <v>47494</v>
      </c>
      <c r="T7691" t="s">
        <v>49074</v>
      </c>
      <c r="U7691" t="s">
        <v>55964</v>
      </c>
      <c r="W7691" t="s">
        <v>45610</v>
      </c>
      <c r="X7691" t="s">
        <v>47315</v>
      </c>
    </row>
    <row r="7692" spans="1:24">
      <c r="A7692">
        <f>HYPERLINK("https://www.philgeps.gov.ph/GEPSNONPILOT/Tender/SplashBidNoticeAbstractUI.aspx?menuIndex=3&amp;refID=7193023&amp;Result=3","7193023")</f>
        <v>0</v>
      </c>
      <c r="B7692" t="s">
        <v>1172</v>
      </c>
      <c r="C7692" t="s">
        <v>11092</v>
      </c>
      <c r="D7692" t="s">
        <v>19002</v>
      </c>
      <c r="E7692" t="s">
        <v>25778</v>
      </c>
      <c r="F7692" t="s">
        <v>32606</v>
      </c>
      <c r="G7692" t="s">
        <v>32614</v>
      </c>
      <c r="H7692" t="s">
        <v>14201</v>
      </c>
      <c r="I7692" t="s">
        <v>32650</v>
      </c>
      <c r="J7692" t="s">
        <v>33994</v>
      </c>
      <c r="K7692" t="s">
        <v>42630</v>
      </c>
      <c r="M7692" t="s">
        <v>44135</v>
      </c>
      <c r="N7692" t="s">
        <v>47304</v>
      </c>
      <c r="O7692" t="s">
        <v>47305</v>
      </c>
      <c r="P7692">
        <v>0</v>
      </c>
      <c r="Q7692">
        <v>1</v>
      </c>
      <c r="R7692" t="s">
        <v>47311</v>
      </c>
      <c r="S7692" t="s">
        <v>47443</v>
      </c>
      <c r="T7692" t="s">
        <v>49053</v>
      </c>
      <c r="U7692" t="s">
        <v>51932</v>
      </c>
      <c r="W7692" t="s">
        <v>44135</v>
      </c>
      <c r="X7692" t="s">
        <v>47312</v>
      </c>
    </row>
    <row r="7693" spans="1:24">
      <c r="A7693">
        <f>HYPERLINK("https://www.philgeps.gov.ph/GEPSNONPILOT/Tender/SplashBidNoticeAbstractUI.aspx?menuIndex=3&amp;refID=7180854&amp;Result=3","7180854")</f>
        <v>0</v>
      </c>
      <c r="B7693" t="s">
        <v>2471</v>
      </c>
      <c r="C7693" t="s">
        <v>11093</v>
      </c>
      <c r="D7693" t="s">
        <v>19006</v>
      </c>
      <c r="E7693" t="s">
        <v>25779</v>
      </c>
      <c r="F7693" t="s">
        <v>32606</v>
      </c>
      <c r="G7693" t="s">
        <v>32613</v>
      </c>
      <c r="H7693" t="s">
        <v>14201</v>
      </c>
      <c r="I7693" t="s">
        <v>6931</v>
      </c>
      <c r="J7693" t="s">
        <v>37597</v>
      </c>
      <c r="K7693" t="s">
        <v>42740</v>
      </c>
      <c r="M7693" t="s">
        <v>45605</v>
      </c>
      <c r="N7693" t="s">
        <v>47304</v>
      </c>
      <c r="O7693" t="s">
        <v>47305</v>
      </c>
      <c r="P7693">
        <v>0</v>
      </c>
      <c r="Q7693">
        <v>0</v>
      </c>
      <c r="R7693" t="s">
        <v>47312</v>
      </c>
      <c r="S7693" t="s">
        <v>47489</v>
      </c>
      <c r="T7693" t="s">
        <v>49197</v>
      </c>
      <c r="U7693" t="s">
        <v>55965</v>
      </c>
      <c r="V7693" t="s">
        <v>63378</v>
      </c>
      <c r="W7693" t="s">
        <v>45605</v>
      </c>
      <c r="X7693" t="s">
        <v>47315</v>
      </c>
    </row>
    <row r="7694" spans="1:24">
      <c r="A7694">
        <f>HYPERLINK("https://www.philgeps.gov.ph/GEPSNONPILOT/Tender/SplashBidNoticeAbstractUI.aspx?menuIndex=3&amp;refID=7180861&amp;Result=3","7180861")</f>
        <v>0</v>
      </c>
      <c r="B7694" t="s">
        <v>2471</v>
      </c>
      <c r="C7694" t="s">
        <v>11094</v>
      </c>
      <c r="D7694" t="s">
        <v>19006</v>
      </c>
      <c r="E7694" t="s">
        <v>25780</v>
      </c>
      <c r="F7694" t="s">
        <v>32606</v>
      </c>
      <c r="G7694" t="s">
        <v>32613</v>
      </c>
      <c r="H7694" t="s">
        <v>14201</v>
      </c>
      <c r="I7694" t="s">
        <v>9013</v>
      </c>
      <c r="J7694" t="s">
        <v>37598</v>
      </c>
      <c r="K7694" t="s">
        <v>42684</v>
      </c>
      <c r="M7694" t="s">
        <v>45605</v>
      </c>
      <c r="N7694" t="s">
        <v>47304</v>
      </c>
      <c r="O7694" t="s">
        <v>47305</v>
      </c>
      <c r="P7694">
        <v>0</v>
      </c>
      <c r="Q7694">
        <v>1</v>
      </c>
      <c r="R7694" t="s">
        <v>47312</v>
      </c>
      <c r="S7694" t="s">
        <v>47489</v>
      </c>
      <c r="T7694" t="s">
        <v>49197</v>
      </c>
      <c r="U7694" t="s">
        <v>55966</v>
      </c>
      <c r="V7694" t="s">
        <v>63376</v>
      </c>
      <c r="W7694" t="s">
        <v>45605</v>
      </c>
      <c r="X7694" t="s">
        <v>47315</v>
      </c>
    </row>
    <row r="7695" spans="1:24">
      <c r="A7695">
        <f>HYPERLINK("https://www.philgeps.gov.ph/GEPSNONPILOT/Tender/SplashBidNoticeAbstractUI.aspx?menuIndex=3&amp;refID=7181618&amp;Result=3","7181618")</f>
        <v>0</v>
      </c>
      <c r="B7695" t="s">
        <v>2473</v>
      </c>
      <c r="C7695" t="s">
        <v>11095</v>
      </c>
      <c r="D7695" t="s">
        <v>19008</v>
      </c>
      <c r="E7695" t="s">
        <v>25781</v>
      </c>
      <c r="F7695" t="s">
        <v>32610</v>
      </c>
      <c r="G7695" t="s">
        <v>32613</v>
      </c>
      <c r="H7695" t="s">
        <v>14201</v>
      </c>
      <c r="I7695" t="s">
        <v>32633</v>
      </c>
      <c r="J7695" t="s">
        <v>37599</v>
      </c>
      <c r="K7695" t="s">
        <v>42622</v>
      </c>
      <c r="M7695" t="s">
        <v>45608</v>
      </c>
      <c r="N7695" t="s">
        <v>47304</v>
      </c>
      <c r="O7695" t="s">
        <v>47305</v>
      </c>
      <c r="P7695">
        <v>0</v>
      </c>
      <c r="Q7695">
        <v>13</v>
      </c>
      <c r="R7695" t="s">
        <v>47312</v>
      </c>
      <c r="S7695" t="s">
        <v>47489</v>
      </c>
      <c r="T7695" t="s">
        <v>49086</v>
      </c>
      <c r="U7695" t="s">
        <v>55967</v>
      </c>
      <c r="W7695" t="s">
        <v>45608</v>
      </c>
      <c r="X7695" t="s">
        <v>47315</v>
      </c>
    </row>
    <row r="7696" spans="1:24">
      <c r="A7696">
        <f>HYPERLINK("https://www.philgeps.gov.ph/GEPSNONPILOT/Tender/SplashBidNoticeAbstractUI.aspx?menuIndex=3&amp;refID=7180859&amp;Result=3","7180859")</f>
        <v>0</v>
      </c>
      <c r="B7696" t="s">
        <v>2471</v>
      </c>
      <c r="C7696" t="s">
        <v>11096</v>
      </c>
      <c r="D7696" t="s">
        <v>19006</v>
      </c>
      <c r="E7696" t="s">
        <v>25782</v>
      </c>
      <c r="F7696" t="s">
        <v>32606</v>
      </c>
      <c r="G7696" t="s">
        <v>32613</v>
      </c>
      <c r="H7696" t="s">
        <v>14201</v>
      </c>
      <c r="I7696" t="s">
        <v>32626</v>
      </c>
      <c r="J7696" t="s">
        <v>33385</v>
      </c>
      <c r="K7696" t="s">
        <v>42677</v>
      </c>
      <c r="M7696" t="s">
        <v>45605</v>
      </c>
      <c r="N7696" t="s">
        <v>47304</v>
      </c>
      <c r="O7696" t="s">
        <v>47305</v>
      </c>
      <c r="P7696">
        <v>0</v>
      </c>
      <c r="Q7696">
        <v>2</v>
      </c>
      <c r="R7696" t="s">
        <v>47312</v>
      </c>
      <c r="S7696" t="s">
        <v>47489</v>
      </c>
      <c r="T7696" t="s">
        <v>49197</v>
      </c>
      <c r="U7696" t="s">
        <v>55968</v>
      </c>
      <c r="V7696" t="s">
        <v>63376</v>
      </c>
      <c r="W7696" t="s">
        <v>45605</v>
      </c>
      <c r="X7696" t="s">
        <v>47315</v>
      </c>
    </row>
    <row r="7697" spans="1:24">
      <c r="A7697">
        <f>HYPERLINK("https://www.philgeps.gov.ph/GEPSNONPILOT/Tender/SplashBidNoticeAbstractUI.aspx?menuIndex=3&amp;refID=7180998&amp;Result=3","7180998")</f>
        <v>0</v>
      </c>
      <c r="B7697" t="s">
        <v>2471</v>
      </c>
      <c r="C7697" t="s">
        <v>11097</v>
      </c>
      <c r="D7697" t="s">
        <v>19006</v>
      </c>
      <c r="E7697" t="s">
        <v>25783</v>
      </c>
      <c r="F7697" t="s">
        <v>32606</v>
      </c>
      <c r="G7697" t="s">
        <v>32613</v>
      </c>
      <c r="H7697" t="s">
        <v>14201</v>
      </c>
      <c r="I7697" t="s">
        <v>32681</v>
      </c>
      <c r="J7697" t="s">
        <v>37600</v>
      </c>
      <c r="K7697" t="s">
        <v>42631</v>
      </c>
      <c r="M7697" t="s">
        <v>45605</v>
      </c>
      <c r="N7697" t="s">
        <v>47304</v>
      </c>
      <c r="O7697" t="s">
        <v>47305</v>
      </c>
      <c r="P7697">
        <v>0</v>
      </c>
      <c r="Q7697">
        <v>3</v>
      </c>
      <c r="R7697" t="s">
        <v>47312</v>
      </c>
      <c r="S7697" t="s">
        <v>47489</v>
      </c>
      <c r="T7697" t="s">
        <v>49197</v>
      </c>
      <c r="U7697" t="s">
        <v>55969</v>
      </c>
      <c r="V7697" t="s">
        <v>63379</v>
      </c>
      <c r="W7697" t="s">
        <v>45605</v>
      </c>
      <c r="X7697" t="s">
        <v>47315</v>
      </c>
    </row>
    <row r="7698" spans="1:24">
      <c r="A7698">
        <f>HYPERLINK("https://www.philgeps.gov.ph/GEPSNONPILOT/Tender/SplashBidNoticeAbstractUI.aspx?menuIndex=3&amp;refID=7183076&amp;Result=3","7183076")</f>
        <v>0</v>
      </c>
      <c r="B7698" t="s">
        <v>2468</v>
      </c>
      <c r="C7698" t="s">
        <v>11098</v>
      </c>
      <c r="D7698" t="s">
        <v>18993</v>
      </c>
      <c r="E7698" t="s">
        <v>25784</v>
      </c>
      <c r="F7698" t="s">
        <v>32606</v>
      </c>
      <c r="G7698" t="s">
        <v>32613</v>
      </c>
      <c r="H7698" t="s">
        <v>32623</v>
      </c>
      <c r="I7698" t="s">
        <v>17648</v>
      </c>
      <c r="J7698" t="s">
        <v>33382</v>
      </c>
      <c r="K7698" t="s">
        <v>42624</v>
      </c>
      <c r="M7698" t="s">
        <v>45602</v>
      </c>
      <c r="N7698" t="s">
        <v>47304</v>
      </c>
      <c r="O7698" t="s">
        <v>47305</v>
      </c>
      <c r="P7698">
        <v>0</v>
      </c>
      <c r="Q7698">
        <v>1</v>
      </c>
      <c r="R7698" t="s">
        <v>47312</v>
      </c>
      <c r="S7698" t="s">
        <v>47489</v>
      </c>
      <c r="T7698" t="s">
        <v>49377</v>
      </c>
      <c r="U7698" t="s">
        <v>55970</v>
      </c>
      <c r="W7698" t="s">
        <v>45602</v>
      </c>
      <c r="X7698" t="s">
        <v>47315</v>
      </c>
    </row>
    <row r="7699" spans="1:24">
      <c r="A7699">
        <f>HYPERLINK("https://www.philgeps.gov.ph/GEPSNONPILOT/Tender/SplashBidNoticeAbstractUI.aspx?menuIndex=3&amp;refID=7182368&amp;Result=3","7182368")</f>
        <v>0</v>
      </c>
      <c r="B7699" t="s">
        <v>50</v>
      </c>
      <c r="C7699" t="s">
        <v>11099</v>
      </c>
      <c r="D7699" t="s">
        <v>19005</v>
      </c>
      <c r="E7699" t="s">
        <v>25785</v>
      </c>
      <c r="F7699" t="s">
        <v>32606</v>
      </c>
      <c r="G7699" t="s">
        <v>32613</v>
      </c>
      <c r="H7699" t="s">
        <v>14201</v>
      </c>
      <c r="I7699" t="s">
        <v>4120</v>
      </c>
      <c r="J7699" t="s">
        <v>37601</v>
      </c>
      <c r="K7699" t="s">
        <v>42623</v>
      </c>
      <c r="M7699" t="s">
        <v>42947</v>
      </c>
      <c r="N7699" t="s">
        <v>47304</v>
      </c>
      <c r="O7699" t="s">
        <v>47305</v>
      </c>
      <c r="P7699">
        <v>0</v>
      </c>
      <c r="Q7699">
        <v>3</v>
      </c>
      <c r="R7699" t="s">
        <v>47312</v>
      </c>
      <c r="S7699" t="s">
        <v>47489</v>
      </c>
      <c r="T7699" t="s">
        <v>49367</v>
      </c>
      <c r="U7699" t="s">
        <v>55971</v>
      </c>
      <c r="V7699" t="s">
        <v>62655</v>
      </c>
      <c r="W7699" t="s">
        <v>42947</v>
      </c>
      <c r="X7699" t="s">
        <v>47315</v>
      </c>
    </row>
    <row r="7700" spans="1:24">
      <c r="A7700">
        <f>HYPERLINK("https://www.philgeps.gov.ph/GEPSNONPILOT/Tender/SplashBidNoticeAbstractUI.aspx?menuIndex=3&amp;refID=7182907&amp;Result=3","7182907")</f>
        <v>0</v>
      </c>
      <c r="B7700" t="s">
        <v>2475</v>
      </c>
      <c r="C7700" t="s">
        <v>3946</v>
      </c>
      <c r="D7700" t="s">
        <v>19000</v>
      </c>
      <c r="E7700" t="s">
        <v>25786</v>
      </c>
      <c r="F7700" t="s">
        <v>32606</v>
      </c>
      <c r="G7700" t="s">
        <v>32613</v>
      </c>
      <c r="H7700" t="s">
        <v>32623</v>
      </c>
      <c r="I7700" t="s">
        <v>17648</v>
      </c>
      <c r="J7700" t="s">
        <v>35460</v>
      </c>
      <c r="K7700" t="s">
        <v>42632</v>
      </c>
      <c r="M7700" t="s">
        <v>45611</v>
      </c>
      <c r="N7700" t="s">
        <v>47304</v>
      </c>
      <c r="O7700" t="s">
        <v>47305</v>
      </c>
      <c r="P7700">
        <v>0</v>
      </c>
      <c r="Q7700">
        <v>0</v>
      </c>
      <c r="R7700" t="s">
        <v>47312</v>
      </c>
      <c r="S7700" t="s">
        <v>47489</v>
      </c>
      <c r="T7700" t="s">
        <v>48998</v>
      </c>
      <c r="U7700" t="s">
        <v>55972</v>
      </c>
      <c r="W7700" t="s">
        <v>45611</v>
      </c>
      <c r="X7700" t="s">
        <v>47315</v>
      </c>
    </row>
    <row r="7701" spans="1:24">
      <c r="A7701">
        <f>HYPERLINK("https://www.philgeps.gov.ph/GEPSNONPILOT/Tender/SplashBidNoticeAbstractUI.aspx?menuIndex=3&amp;refID=7182004&amp;Result=3","7182004")</f>
        <v>0</v>
      </c>
      <c r="B7701" t="s">
        <v>1551</v>
      </c>
      <c r="C7701" t="s">
        <v>11100</v>
      </c>
      <c r="D7701" t="s">
        <v>19046</v>
      </c>
      <c r="E7701" t="s">
        <v>25787</v>
      </c>
      <c r="F7701" t="s">
        <v>32606</v>
      </c>
      <c r="G7701" t="s">
        <v>32613</v>
      </c>
      <c r="H7701" t="s">
        <v>14201</v>
      </c>
      <c r="I7701" t="s">
        <v>7064</v>
      </c>
      <c r="J7701" t="s">
        <v>32767</v>
      </c>
      <c r="K7701" t="s">
        <v>42636</v>
      </c>
      <c r="M7701" t="s">
        <v>44555</v>
      </c>
      <c r="N7701" t="s">
        <v>47304</v>
      </c>
      <c r="O7701" t="s">
        <v>47305</v>
      </c>
      <c r="P7701">
        <v>0</v>
      </c>
      <c r="Q7701">
        <v>2</v>
      </c>
      <c r="R7701" t="s">
        <v>47312</v>
      </c>
      <c r="S7701" t="s">
        <v>47489</v>
      </c>
      <c r="T7701" t="s">
        <v>49037</v>
      </c>
      <c r="U7701" t="s">
        <v>55973</v>
      </c>
      <c r="W7701" t="s">
        <v>44555</v>
      </c>
      <c r="X7701" t="s">
        <v>47315</v>
      </c>
    </row>
    <row r="7702" spans="1:24">
      <c r="A7702">
        <f>HYPERLINK("https://www.philgeps.gov.ph/GEPSNONPILOT/Tender/SplashBidNoticeAbstractUI.aspx?menuIndex=3&amp;refID=7181060&amp;Result=3","7181060")</f>
        <v>0</v>
      </c>
      <c r="B7702" t="s">
        <v>2461</v>
      </c>
      <c r="C7702" t="s">
        <v>11101</v>
      </c>
      <c r="D7702" t="s">
        <v>19003</v>
      </c>
      <c r="E7702" t="s">
        <v>25788</v>
      </c>
      <c r="F7702" t="s">
        <v>32606</v>
      </c>
      <c r="G7702" t="s">
        <v>32613</v>
      </c>
      <c r="H7702" t="s">
        <v>14201</v>
      </c>
      <c r="I7702" t="s">
        <v>7577</v>
      </c>
      <c r="J7702" t="s">
        <v>37602</v>
      </c>
      <c r="K7702" t="s">
        <v>42623</v>
      </c>
      <c r="M7702" t="s">
        <v>45593</v>
      </c>
      <c r="N7702" t="s">
        <v>47304</v>
      </c>
      <c r="O7702" t="s">
        <v>47305</v>
      </c>
      <c r="P7702">
        <v>0</v>
      </c>
      <c r="Q7702">
        <v>1</v>
      </c>
      <c r="R7702" t="s">
        <v>47312</v>
      </c>
      <c r="S7702" t="s">
        <v>47489</v>
      </c>
      <c r="T7702" t="s">
        <v>49068</v>
      </c>
      <c r="U7702" t="s">
        <v>55974</v>
      </c>
      <c r="W7702" t="s">
        <v>45593</v>
      </c>
      <c r="X7702" t="s">
        <v>47315</v>
      </c>
    </row>
    <row r="7703" spans="1:24">
      <c r="A7703">
        <f>HYPERLINK("https://www.philgeps.gov.ph/GEPSNONPILOT/Tender/SplashBidNoticeAbstractUI.aspx?menuIndex=3&amp;refID=7181645&amp;Result=3","7181645")</f>
        <v>0</v>
      </c>
      <c r="B7703" t="s">
        <v>2473</v>
      </c>
      <c r="C7703" t="s">
        <v>11102</v>
      </c>
      <c r="D7703" t="s">
        <v>19008</v>
      </c>
      <c r="E7703" t="s">
        <v>25789</v>
      </c>
      <c r="F7703" t="s">
        <v>32606</v>
      </c>
      <c r="G7703" t="s">
        <v>32613</v>
      </c>
      <c r="H7703" t="s">
        <v>14201</v>
      </c>
      <c r="I7703" t="s">
        <v>32629</v>
      </c>
      <c r="J7703" t="s">
        <v>37603</v>
      </c>
      <c r="K7703" t="s">
        <v>42631</v>
      </c>
      <c r="M7703" t="s">
        <v>45608</v>
      </c>
      <c r="N7703" t="s">
        <v>47304</v>
      </c>
      <c r="O7703" t="s">
        <v>47305</v>
      </c>
      <c r="P7703">
        <v>0</v>
      </c>
      <c r="Q7703">
        <v>0</v>
      </c>
      <c r="R7703" t="s">
        <v>47312</v>
      </c>
      <c r="S7703" t="s">
        <v>47489</v>
      </c>
      <c r="T7703" t="s">
        <v>49053</v>
      </c>
      <c r="U7703" t="s">
        <v>55975</v>
      </c>
      <c r="W7703" t="s">
        <v>45608</v>
      </c>
      <c r="X7703" t="s">
        <v>47315</v>
      </c>
    </row>
    <row r="7704" spans="1:24">
      <c r="A7704">
        <f>HYPERLINK("https://www.philgeps.gov.ph/GEPSNONPILOT/Tender/SplashBidNoticeAbstractUI.aspx?menuIndex=3&amp;refID=7182825&amp;Result=3","7182825")</f>
        <v>0</v>
      </c>
      <c r="B7704" t="s">
        <v>2476</v>
      </c>
      <c r="C7704" t="s">
        <v>11103</v>
      </c>
      <c r="D7704" t="s">
        <v>19015</v>
      </c>
      <c r="E7704" t="s">
        <v>25790</v>
      </c>
      <c r="F7704" t="s">
        <v>32606</v>
      </c>
      <c r="G7704" t="s">
        <v>32613</v>
      </c>
      <c r="H7704" t="s">
        <v>32623</v>
      </c>
      <c r="I7704" t="s">
        <v>17648</v>
      </c>
      <c r="J7704" t="s">
        <v>37604</v>
      </c>
      <c r="K7704" t="s">
        <v>42651</v>
      </c>
      <c r="L7704" t="s">
        <v>2476</v>
      </c>
      <c r="M7704" t="s">
        <v>45612</v>
      </c>
      <c r="N7704" t="s">
        <v>47304</v>
      </c>
      <c r="O7704" t="s">
        <v>47305</v>
      </c>
      <c r="P7704">
        <v>0</v>
      </c>
      <c r="Q7704">
        <v>19</v>
      </c>
      <c r="R7704" t="s">
        <v>47312</v>
      </c>
      <c r="S7704" t="s">
        <v>47489</v>
      </c>
      <c r="T7704" t="s">
        <v>49111</v>
      </c>
      <c r="U7704" t="s">
        <v>55976</v>
      </c>
      <c r="W7704" t="s">
        <v>45612</v>
      </c>
      <c r="X7704" t="s">
        <v>47315</v>
      </c>
    </row>
    <row r="7705" spans="1:24">
      <c r="A7705">
        <f>HYPERLINK("https://www.philgeps.gov.ph/GEPSNONPILOT/Tender/SplashBidNoticeAbstractUI.aspx?menuIndex=3&amp;refID=7182687&amp;Result=3","7182687")</f>
        <v>0</v>
      </c>
      <c r="B7705" t="s">
        <v>1551</v>
      </c>
      <c r="C7705" t="s">
        <v>11104</v>
      </c>
      <c r="D7705" t="s">
        <v>19046</v>
      </c>
      <c r="E7705" t="s">
        <v>25791</v>
      </c>
      <c r="F7705" t="s">
        <v>32606</v>
      </c>
      <c r="G7705" t="s">
        <v>32613</v>
      </c>
      <c r="H7705" t="s">
        <v>32623</v>
      </c>
      <c r="I7705" t="s">
        <v>17648</v>
      </c>
      <c r="J7705" t="s">
        <v>37605</v>
      </c>
      <c r="K7705" t="s">
        <v>42697</v>
      </c>
      <c r="M7705" t="s">
        <v>44555</v>
      </c>
      <c r="N7705" t="s">
        <v>47304</v>
      </c>
      <c r="O7705" t="s">
        <v>47305</v>
      </c>
      <c r="P7705">
        <v>0</v>
      </c>
      <c r="Q7705">
        <v>1</v>
      </c>
      <c r="R7705" t="s">
        <v>47312</v>
      </c>
      <c r="S7705" t="s">
        <v>47489</v>
      </c>
      <c r="T7705" t="s">
        <v>49037</v>
      </c>
      <c r="U7705" t="s">
        <v>55977</v>
      </c>
      <c r="W7705" t="s">
        <v>44555</v>
      </c>
      <c r="X7705" t="s">
        <v>47315</v>
      </c>
    </row>
    <row r="7706" spans="1:24">
      <c r="A7706">
        <f>HYPERLINK("https://www.philgeps.gov.ph/GEPSNONPILOT/Tender/SplashBidNoticeAbstractUI.aspx?menuIndex=3&amp;refID=7183106&amp;Result=3","7183106")</f>
        <v>0</v>
      </c>
      <c r="B7706" t="s">
        <v>42</v>
      </c>
      <c r="C7706" t="s">
        <v>11105</v>
      </c>
      <c r="E7706" t="s">
        <v>25792</v>
      </c>
      <c r="F7706" t="s">
        <v>32606</v>
      </c>
      <c r="G7706" t="s">
        <v>32614</v>
      </c>
      <c r="H7706" t="s">
        <v>32623</v>
      </c>
      <c r="I7706" t="s">
        <v>17648</v>
      </c>
      <c r="J7706" t="s">
        <v>37606</v>
      </c>
      <c r="K7706" t="s">
        <v>42657</v>
      </c>
      <c r="M7706" t="s">
        <v>42939</v>
      </c>
      <c r="N7706" t="s">
        <v>47304</v>
      </c>
      <c r="O7706" t="s">
        <v>47305</v>
      </c>
      <c r="P7706">
        <v>0</v>
      </c>
      <c r="Q7706">
        <v>1</v>
      </c>
      <c r="R7706" t="s">
        <v>47312</v>
      </c>
      <c r="S7706" t="s">
        <v>47489</v>
      </c>
      <c r="T7706" t="s">
        <v>49068</v>
      </c>
      <c r="U7706" t="s">
        <v>55978</v>
      </c>
      <c r="W7706" t="s">
        <v>42939</v>
      </c>
      <c r="X7706" t="s">
        <v>47315</v>
      </c>
    </row>
    <row r="7707" spans="1:24">
      <c r="A7707">
        <f>HYPERLINK("https://www.philgeps.gov.ph/GEPSNONPILOT/Tender/SplashBidNoticeAbstractUI.aspx?menuIndex=3&amp;refID=7182932&amp;Result=3","7182932")</f>
        <v>0</v>
      </c>
      <c r="B7707" t="s">
        <v>192</v>
      </c>
      <c r="C7707" t="s">
        <v>11106</v>
      </c>
      <c r="D7707" t="s">
        <v>19016</v>
      </c>
      <c r="E7707" t="s">
        <v>25793</v>
      </c>
      <c r="F7707" t="s">
        <v>32606</v>
      </c>
      <c r="G7707" t="s">
        <v>32614</v>
      </c>
      <c r="H7707" t="s">
        <v>14201</v>
      </c>
      <c r="I7707" t="s">
        <v>32638</v>
      </c>
      <c r="J7707" t="s">
        <v>32824</v>
      </c>
      <c r="K7707" t="s">
        <v>42624</v>
      </c>
      <c r="M7707" t="s">
        <v>43093</v>
      </c>
      <c r="N7707" t="s">
        <v>47304</v>
      </c>
      <c r="O7707" t="s">
        <v>47305</v>
      </c>
      <c r="P7707">
        <v>0</v>
      </c>
      <c r="Q7707">
        <v>12</v>
      </c>
      <c r="R7707" t="s">
        <v>47312</v>
      </c>
      <c r="S7707" t="s">
        <v>47489</v>
      </c>
      <c r="T7707" t="s">
        <v>49269</v>
      </c>
      <c r="U7707" t="s">
        <v>55979</v>
      </c>
      <c r="V7707" t="s">
        <v>62691</v>
      </c>
      <c r="W7707" t="s">
        <v>43093</v>
      </c>
      <c r="X7707" t="s">
        <v>47315</v>
      </c>
    </row>
    <row r="7708" spans="1:24">
      <c r="A7708">
        <f>HYPERLINK("https://www.philgeps.gov.ph/GEPSNONPILOT/Tender/SplashBidNoticeAbstractUI.aspx?menuIndex=3&amp;refID=7182868&amp;Result=3","7182868")</f>
        <v>0</v>
      </c>
      <c r="B7708" t="s">
        <v>42</v>
      </c>
      <c r="C7708" t="s">
        <v>11107</v>
      </c>
      <c r="E7708" t="s">
        <v>25794</v>
      </c>
      <c r="F7708" t="s">
        <v>32606</v>
      </c>
      <c r="G7708" t="s">
        <v>32614</v>
      </c>
      <c r="H7708" t="s">
        <v>14201</v>
      </c>
      <c r="I7708" t="s">
        <v>7233</v>
      </c>
      <c r="J7708" t="s">
        <v>37607</v>
      </c>
      <c r="K7708" t="s">
        <v>42627</v>
      </c>
      <c r="M7708" t="s">
        <v>42982</v>
      </c>
      <c r="N7708" t="s">
        <v>47304</v>
      </c>
      <c r="O7708" t="s">
        <v>47305</v>
      </c>
      <c r="P7708">
        <v>0</v>
      </c>
      <c r="Q7708">
        <v>0</v>
      </c>
      <c r="R7708" t="s">
        <v>47312</v>
      </c>
      <c r="S7708" t="s">
        <v>47489</v>
      </c>
      <c r="T7708" t="s">
        <v>49072</v>
      </c>
      <c r="U7708" t="s">
        <v>55938</v>
      </c>
      <c r="W7708" t="s">
        <v>42982</v>
      </c>
      <c r="X7708" t="s">
        <v>47315</v>
      </c>
    </row>
    <row r="7709" spans="1:24">
      <c r="A7709">
        <f>HYPERLINK("https://www.philgeps.gov.ph/GEPSNONPILOT/Tender/SplashBidNoticeAbstractUI.aspx?menuIndex=3&amp;refID=7182162&amp;Result=3","7182162")</f>
        <v>0</v>
      </c>
      <c r="B7709" t="s">
        <v>2477</v>
      </c>
      <c r="C7709" t="s">
        <v>11108</v>
      </c>
      <c r="D7709" t="s">
        <v>19047</v>
      </c>
      <c r="E7709" t="s">
        <v>25795</v>
      </c>
      <c r="F7709" t="s">
        <v>32606</v>
      </c>
      <c r="G7709" t="s">
        <v>32613</v>
      </c>
      <c r="H7709" t="s">
        <v>32623</v>
      </c>
      <c r="I7709" t="s">
        <v>17648</v>
      </c>
      <c r="J7709" t="s">
        <v>37608</v>
      </c>
      <c r="K7709" t="s">
        <v>42627</v>
      </c>
      <c r="M7709" t="s">
        <v>45613</v>
      </c>
      <c r="N7709" t="s">
        <v>47304</v>
      </c>
      <c r="O7709" t="s">
        <v>47305</v>
      </c>
      <c r="P7709">
        <v>0</v>
      </c>
      <c r="Q7709">
        <v>1</v>
      </c>
      <c r="R7709" t="s">
        <v>47312</v>
      </c>
      <c r="S7709" t="s">
        <v>47489</v>
      </c>
      <c r="T7709" t="s">
        <v>49111</v>
      </c>
      <c r="U7709" t="s">
        <v>54788</v>
      </c>
      <c r="W7709" t="s">
        <v>45613</v>
      </c>
      <c r="X7709" t="s">
        <v>47315</v>
      </c>
    </row>
    <row r="7710" spans="1:24">
      <c r="A7710">
        <f>HYPERLINK("https://www.philgeps.gov.ph/GEPSNONPILOT/Tender/SplashBidNoticeAbstractUI.aspx?menuIndex=3&amp;refID=7183554&amp;Result=3","7183554")</f>
        <v>0</v>
      </c>
      <c r="B7710" t="s">
        <v>2478</v>
      </c>
      <c r="C7710" t="s">
        <v>11109</v>
      </c>
      <c r="D7710" t="s">
        <v>19010</v>
      </c>
      <c r="E7710" t="s">
        <v>23863</v>
      </c>
      <c r="F7710" t="s">
        <v>32606</v>
      </c>
      <c r="G7710" t="s">
        <v>32613</v>
      </c>
      <c r="H7710" t="s">
        <v>14201</v>
      </c>
      <c r="I7710" t="s">
        <v>6931</v>
      </c>
      <c r="J7710" t="s">
        <v>37609</v>
      </c>
      <c r="K7710" t="s">
        <v>42631</v>
      </c>
      <c r="M7710" t="s">
        <v>45614</v>
      </c>
      <c r="N7710" t="s">
        <v>47304</v>
      </c>
      <c r="O7710" t="s">
        <v>47305</v>
      </c>
      <c r="P7710">
        <v>0</v>
      </c>
      <c r="Q7710">
        <v>1</v>
      </c>
      <c r="R7710" t="s">
        <v>47312</v>
      </c>
      <c r="S7710" t="s">
        <v>47489</v>
      </c>
      <c r="T7710" t="s">
        <v>49219</v>
      </c>
      <c r="U7710" t="s">
        <v>55980</v>
      </c>
      <c r="W7710" t="s">
        <v>45614</v>
      </c>
      <c r="X7710" t="s">
        <v>47315</v>
      </c>
    </row>
    <row r="7711" spans="1:24">
      <c r="A7711">
        <f>HYPERLINK("https://www.philgeps.gov.ph/GEPSNONPILOT/Tender/SplashBidNoticeAbstractUI.aspx?menuIndex=3&amp;refID=7183130&amp;Result=3","7183130")</f>
        <v>0</v>
      </c>
      <c r="B7711" t="s">
        <v>42</v>
      </c>
      <c r="C7711" t="s">
        <v>11110</v>
      </c>
      <c r="E7711" t="s">
        <v>25796</v>
      </c>
      <c r="F7711" t="s">
        <v>32606</v>
      </c>
      <c r="G7711" t="s">
        <v>32614</v>
      </c>
      <c r="H7711" t="s">
        <v>32623</v>
      </c>
      <c r="I7711" t="s">
        <v>17648</v>
      </c>
      <c r="J7711" t="s">
        <v>33913</v>
      </c>
      <c r="K7711" t="s">
        <v>42698</v>
      </c>
      <c r="M7711" t="s">
        <v>42939</v>
      </c>
      <c r="N7711" t="s">
        <v>47304</v>
      </c>
      <c r="O7711" t="s">
        <v>47305</v>
      </c>
      <c r="P7711">
        <v>0</v>
      </c>
      <c r="Q7711">
        <v>0</v>
      </c>
      <c r="R7711" t="s">
        <v>47312</v>
      </c>
      <c r="S7711" t="s">
        <v>47489</v>
      </c>
      <c r="T7711" t="s">
        <v>49068</v>
      </c>
      <c r="U7711" t="s">
        <v>55981</v>
      </c>
      <c r="W7711" t="s">
        <v>42939</v>
      </c>
      <c r="X7711" t="s">
        <v>47315</v>
      </c>
    </row>
    <row r="7712" spans="1:24">
      <c r="A7712">
        <f>HYPERLINK("https://www.philgeps.gov.ph/GEPSNONPILOT/Tender/SplashBidNoticeAbstractUI.aspx?menuIndex=3&amp;refID=7182546&amp;Result=3","7182546")</f>
        <v>0</v>
      </c>
      <c r="B7712" t="s">
        <v>2471</v>
      </c>
      <c r="C7712" t="s">
        <v>11111</v>
      </c>
      <c r="D7712" t="s">
        <v>19006</v>
      </c>
      <c r="E7712" t="s">
        <v>25797</v>
      </c>
      <c r="F7712" t="s">
        <v>32606</v>
      </c>
      <c r="G7712" t="s">
        <v>32613</v>
      </c>
      <c r="H7712" t="s">
        <v>14201</v>
      </c>
      <c r="I7712" t="s">
        <v>7064</v>
      </c>
      <c r="J7712" t="s">
        <v>33190</v>
      </c>
      <c r="K7712" t="s">
        <v>42631</v>
      </c>
      <c r="M7712" t="s">
        <v>45605</v>
      </c>
      <c r="N7712" t="s">
        <v>47304</v>
      </c>
      <c r="O7712" t="s">
        <v>47305</v>
      </c>
      <c r="P7712">
        <v>0</v>
      </c>
      <c r="Q7712">
        <v>6</v>
      </c>
      <c r="R7712" t="s">
        <v>47312</v>
      </c>
      <c r="S7712" t="s">
        <v>47489</v>
      </c>
      <c r="T7712" t="s">
        <v>49197</v>
      </c>
      <c r="U7712" t="s">
        <v>55982</v>
      </c>
      <c r="V7712" t="s">
        <v>63380</v>
      </c>
      <c r="W7712" t="s">
        <v>45605</v>
      </c>
      <c r="X7712" t="s">
        <v>47315</v>
      </c>
    </row>
    <row r="7713" spans="1:24">
      <c r="A7713">
        <f>HYPERLINK("https://www.philgeps.gov.ph/GEPSNONPILOT/Tender/SplashBidNoticeAbstractUI.aspx?menuIndex=3&amp;refID=7182817&amp;Result=3","7182817")</f>
        <v>0</v>
      </c>
      <c r="B7713" t="s">
        <v>1551</v>
      </c>
      <c r="C7713" t="s">
        <v>11112</v>
      </c>
      <c r="D7713" t="s">
        <v>19046</v>
      </c>
      <c r="E7713" t="s">
        <v>25798</v>
      </c>
      <c r="F7713" t="s">
        <v>32606</v>
      </c>
      <c r="G7713" t="s">
        <v>32613</v>
      </c>
      <c r="H7713" t="s">
        <v>32623</v>
      </c>
      <c r="I7713" t="s">
        <v>17648</v>
      </c>
      <c r="J7713" t="s">
        <v>37610</v>
      </c>
      <c r="K7713" t="s">
        <v>42646</v>
      </c>
      <c r="M7713" t="s">
        <v>44555</v>
      </c>
      <c r="N7713" t="s">
        <v>47304</v>
      </c>
      <c r="O7713" t="s">
        <v>47305</v>
      </c>
      <c r="P7713">
        <v>0</v>
      </c>
      <c r="Q7713">
        <v>1</v>
      </c>
      <c r="R7713" t="s">
        <v>47312</v>
      </c>
      <c r="S7713" t="s">
        <v>47489</v>
      </c>
      <c r="T7713" t="s">
        <v>49037</v>
      </c>
      <c r="U7713" t="s">
        <v>55983</v>
      </c>
      <c r="W7713" t="s">
        <v>44555</v>
      </c>
      <c r="X7713" t="s">
        <v>47315</v>
      </c>
    </row>
    <row r="7714" spans="1:24">
      <c r="A7714">
        <f>HYPERLINK("https://www.philgeps.gov.ph/GEPSNONPILOT/Tender/SplashBidNoticeAbstractUI.aspx?menuIndex=3&amp;refID=7182539&amp;Result=3","7182539")</f>
        <v>0</v>
      </c>
      <c r="B7714" t="s">
        <v>50</v>
      </c>
      <c r="C7714" t="s">
        <v>11113</v>
      </c>
      <c r="D7714" t="s">
        <v>19005</v>
      </c>
      <c r="E7714" t="s">
        <v>25799</v>
      </c>
      <c r="F7714" t="s">
        <v>32606</v>
      </c>
      <c r="G7714" t="s">
        <v>32613</v>
      </c>
      <c r="H7714" t="s">
        <v>14201</v>
      </c>
      <c r="I7714" t="s">
        <v>7064</v>
      </c>
      <c r="J7714" t="s">
        <v>37611</v>
      </c>
      <c r="K7714" t="s">
        <v>42636</v>
      </c>
      <c r="M7714" t="s">
        <v>42947</v>
      </c>
      <c r="N7714" t="s">
        <v>47304</v>
      </c>
      <c r="O7714" t="s">
        <v>47305</v>
      </c>
      <c r="P7714">
        <v>0</v>
      </c>
      <c r="Q7714">
        <v>17</v>
      </c>
      <c r="R7714" t="s">
        <v>47312</v>
      </c>
      <c r="S7714" t="s">
        <v>47489</v>
      </c>
      <c r="T7714" t="s">
        <v>49367</v>
      </c>
      <c r="U7714" t="s">
        <v>55984</v>
      </c>
      <c r="V7714" t="s">
        <v>62655</v>
      </c>
      <c r="W7714" t="s">
        <v>42947</v>
      </c>
      <c r="X7714" t="s">
        <v>47315</v>
      </c>
    </row>
    <row r="7715" spans="1:24">
      <c r="A7715">
        <f>HYPERLINK("https://www.philgeps.gov.ph/GEPSNONPILOT/Tender/SplashBidNoticeAbstractUI.aspx?menuIndex=3&amp;refID=7182487&amp;Result=3","7182487")</f>
        <v>0</v>
      </c>
      <c r="B7715" t="s">
        <v>1551</v>
      </c>
      <c r="C7715" t="s">
        <v>11114</v>
      </c>
      <c r="D7715" t="s">
        <v>19046</v>
      </c>
      <c r="E7715" t="s">
        <v>25800</v>
      </c>
      <c r="F7715" t="s">
        <v>32606</v>
      </c>
      <c r="G7715" t="s">
        <v>32613</v>
      </c>
      <c r="H7715" t="s">
        <v>32623</v>
      </c>
      <c r="I7715" t="s">
        <v>17648</v>
      </c>
      <c r="J7715" t="s">
        <v>37612</v>
      </c>
      <c r="K7715" t="s">
        <v>42675</v>
      </c>
      <c r="M7715" t="s">
        <v>44555</v>
      </c>
      <c r="N7715" t="s">
        <v>47304</v>
      </c>
      <c r="O7715" t="s">
        <v>47305</v>
      </c>
      <c r="P7715">
        <v>0</v>
      </c>
      <c r="Q7715">
        <v>1</v>
      </c>
      <c r="R7715" t="s">
        <v>47312</v>
      </c>
      <c r="S7715" t="s">
        <v>47489</v>
      </c>
      <c r="T7715" t="s">
        <v>49037</v>
      </c>
      <c r="U7715" t="s">
        <v>55985</v>
      </c>
      <c r="W7715" t="s">
        <v>44555</v>
      </c>
      <c r="X7715" t="s">
        <v>47315</v>
      </c>
    </row>
    <row r="7716" spans="1:24">
      <c r="A7716">
        <f>HYPERLINK("https://www.philgeps.gov.ph/GEPSNONPILOT/Tender/SplashBidNoticeAbstractUI.aspx?menuIndex=3&amp;refID=7182443&amp;Result=3","7182443")</f>
        <v>0</v>
      </c>
      <c r="B7716" t="s">
        <v>2471</v>
      </c>
      <c r="C7716" t="s">
        <v>11115</v>
      </c>
      <c r="D7716" t="s">
        <v>19006</v>
      </c>
      <c r="E7716" t="s">
        <v>25801</v>
      </c>
      <c r="F7716" t="s">
        <v>32606</v>
      </c>
      <c r="G7716" t="s">
        <v>32613</v>
      </c>
      <c r="H7716" t="s">
        <v>14201</v>
      </c>
      <c r="I7716" t="s">
        <v>7064</v>
      </c>
      <c r="J7716" t="s">
        <v>36711</v>
      </c>
      <c r="K7716" t="s">
        <v>42631</v>
      </c>
      <c r="M7716" t="s">
        <v>45605</v>
      </c>
      <c r="N7716" t="s">
        <v>47304</v>
      </c>
      <c r="O7716" t="s">
        <v>47305</v>
      </c>
      <c r="P7716">
        <v>0</v>
      </c>
      <c r="Q7716">
        <v>8</v>
      </c>
      <c r="R7716" t="s">
        <v>47312</v>
      </c>
      <c r="S7716" t="s">
        <v>47489</v>
      </c>
      <c r="T7716" t="s">
        <v>49197</v>
      </c>
      <c r="U7716" t="s">
        <v>55986</v>
      </c>
      <c r="V7716" t="s">
        <v>63380</v>
      </c>
      <c r="W7716" t="s">
        <v>45605</v>
      </c>
      <c r="X7716" t="s">
        <v>47315</v>
      </c>
    </row>
    <row r="7717" spans="1:24">
      <c r="A7717">
        <f>HYPERLINK("https://www.philgeps.gov.ph/GEPSNONPILOT/Tender/SplashBidNoticeAbstractUI.aspx?menuIndex=3&amp;refID=7183991&amp;Result=3","7183991")</f>
        <v>0</v>
      </c>
      <c r="B7717" t="s">
        <v>2479</v>
      </c>
      <c r="C7717" t="s">
        <v>11116</v>
      </c>
      <c r="D7717" t="s">
        <v>19041</v>
      </c>
      <c r="E7717" t="s">
        <v>19847</v>
      </c>
      <c r="F7717" t="s">
        <v>32607</v>
      </c>
      <c r="G7717" t="s">
        <v>32619</v>
      </c>
      <c r="H7717" t="s">
        <v>14201</v>
      </c>
      <c r="I7717" t="s">
        <v>32714</v>
      </c>
      <c r="J7717" t="s">
        <v>32765</v>
      </c>
      <c r="K7717" t="s">
        <v>42623</v>
      </c>
      <c r="M7717" t="s">
        <v>45615</v>
      </c>
      <c r="N7717" t="s">
        <v>47304</v>
      </c>
      <c r="O7717" t="s">
        <v>47305</v>
      </c>
      <c r="P7717">
        <v>0</v>
      </c>
      <c r="Q7717">
        <v>5</v>
      </c>
      <c r="R7717" t="s">
        <v>47312</v>
      </c>
      <c r="S7717" t="s">
        <v>47489</v>
      </c>
      <c r="T7717" t="s">
        <v>49068</v>
      </c>
      <c r="U7717" t="s">
        <v>55987</v>
      </c>
      <c r="W7717" t="s">
        <v>45615</v>
      </c>
      <c r="X7717" t="s">
        <v>47314</v>
      </c>
    </row>
    <row r="7718" spans="1:24">
      <c r="A7718">
        <f>HYPERLINK("https://www.philgeps.gov.ph/GEPSNONPILOT/Tender/SplashBidNoticeAbstractUI.aspx?menuIndex=3&amp;refID=7183963&amp;Result=3","7183963")</f>
        <v>0</v>
      </c>
      <c r="B7718" t="s">
        <v>191</v>
      </c>
      <c r="C7718" t="s">
        <v>11117</v>
      </c>
      <c r="D7718" t="s">
        <v>19013</v>
      </c>
      <c r="E7718" t="s">
        <v>25802</v>
      </c>
      <c r="F7718" t="s">
        <v>32606</v>
      </c>
      <c r="G7718" t="s">
        <v>32613</v>
      </c>
      <c r="H7718" t="s">
        <v>14201</v>
      </c>
      <c r="I7718" t="s">
        <v>7064</v>
      </c>
      <c r="J7718" t="s">
        <v>33231</v>
      </c>
      <c r="K7718" t="s">
        <v>42648</v>
      </c>
      <c r="M7718" t="s">
        <v>43092</v>
      </c>
      <c r="N7718" t="s">
        <v>47304</v>
      </c>
      <c r="O7718" t="s">
        <v>47305</v>
      </c>
      <c r="P7718">
        <v>0</v>
      </c>
      <c r="Q7718">
        <v>1</v>
      </c>
      <c r="R7718" t="s">
        <v>47312</v>
      </c>
      <c r="S7718" t="s">
        <v>47489</v>
      </c>
      <c r="T7718" t="s">
        <v>49041</v>
      </c>
      <c r="U7718" t="s">
        <v>55988</v>
      </c>
      <c r="W7718" t="s">
        <v>43092</v>
      </c>
      <c r="X7718" t="s">
        <v>47314</v>
      </c>
    </row>
    <row r="7719" spans="1:24">
      <c r="A7719">
        <f>HYPERLINK("https://www.philgeps.gov.ph/GEPSNONPILOT/Tender/SplashBidNoticeAbstractUI.aspx?menuIndex=3&amp;refID=7184322&amp;Result=3","7184322")</f>
        <v>0</v>
      </c>
      <c r="B7719" t="s">
        <v>895</v>
      </c>
      <c r="C7719" t="s">
        <v>11118</v>
      </c>
      <c r="D7719" t="s">
        <v>18993</v>
      </c>
      <c r="E7719" t="s">
        <v>25803</v>
      </c>
      <c r="F7719" t="s">
        <v>32606</v>
      </c>
      <c r="G7719" t="s">
        <v>32613</v>
      </c>
      <c r="H7719" t="s">
        <v>14201</v>
      </c>
      <c r="I7719" t="s">
        <v>32738</v>
      </c>
      <c r="J7719" t="s">
        <v>32893</v>
      </c>
      <c r="K7719" t="s">
        <v>42624</v>
      </c>
      <c r="M7719" t="s">
        <v>45616</v>
      </c>
      <c r="N7719" t="s">
        <v>47304</v>
      </c>
      <c r="O7719" t="s">
        <v>47305</v>
      </c>
      <c r="P7719">
        <v>0</v>
      </c>
      <c r="Q7719">
        <v>1</v>
      </c>
      <c r="R7719" t="s">
        <v>47312</v>
      </c>
      <c r="S7719" t="s">
        <v>47489</v>
      </c>
      <c r="T7719" t="s">
        <v>49234</v>
      </c>
      <c r="U7719" t="s">
        <v>55989</v>
      </c>
      <c r="W7719" t="s">
        <v>45616</v>
      </c>
      <c r="X7719" t="s">
        <v>47314</v>
      </c>
    </row>
    <row r="7720" spans="1:24">
      <c r="A7720">
        <f>HYPERLINK("https://www.philgeps.gov.ph/GEPSNONPILOT/Tender/SplashBidNoticeAbstractUI.aspx?menuIndex=3&amp;refID=7184294&amp;Result=3","7184294")</f>
        <v>0</v>
      </c>
      <c r="B7720" t="s">
        <v>895</v>
      </c>
      <c r="C7720" t="s">
        <v>11119</v>
      </c>
      <c r="D7720" t="s">
        <v>18993</v>
      </c>
      <c r="E7720" t="s">
        <v>25804</v>
      </c>
      <c r="F7720" t="s">
        <v>32606</v>
      </c>
      <c r="G7720" t="s">
        <v>32613</v>
      </c>
      <c r="H7720" t="s">
        <v>14201</v>
      </c>
      <c r="I7720" t="s">
        <v>32738</v>
      </c>
      <c r="J7720" t="s">
        <v>37613</v>
      </c>
      <c r="K7720" t="s">
        <v>42624</v>
      </c>
      <c r="M7720" t="s">
        <v>45616</v>
      </c>
      <c r="N7720" t="s">
        <v>47304</v>
      </c>
      <c r="O7720" t="s">
        <v>47305</v>
      </c>
      <c r="P7720">
        <v>0</v>
      </c>
      <c r="Q7720">
        <v>0</v>
      </c>
      <c r="R7720" t="s">
        <v>47312</v>
      </c>
      <c r="S7720" t="s">
        <v>47489</v>
      </c>
      <c r="T7720" t="s">
        <v>49234</v>
      </c>
      <c r="U7720" t="s">
        <v>55990</v>
      </c>
      <c r="W7720" t="s">
        <v>45616</v>
      </c>
      <c r="X7720" t="s">
        <v>47314</v>
      </c>
    </row>
    <row r="7721" spans="1:24">
      <c r="A7721">
        <f>HYPERLINK("https://www.philgeps.gov.ph/GEPSNONPILOT/Tender/SplashBidNoticeAbstractUI.aspx?menuIndex=3&amp;refID=7184279&amp;Result=3","7184279")</f>
        <v>0</v>
      </c>
      <c r="B7721" t="s">
        <v>895</v>
      </c>
      <c r="C7721" t="s">
        <v>11120</v>
      </c>
      <c r="D7721" t="s">
        <v>18993</v>
      </c>
      <c r="E7721" t="s">
        <v>25805</v>
      </c>
      <c r="F7721" t="s">
        <v>32606</v>
      </c>
      <c r="G7721" t="s">
        <v>32613</v>
      </c>
      <c r="H7721" t="s">
        <v>14201</v>
      </c>
      <c r="I7721" t="s">
        <v>32738</v>
      </c>
      <c r="J7721" t="s">
        <v>37614</v>
      </c>
      <c r="K7721" t="s">
        <v>42624</v>
      </c>
      <c r="M7721" t="s">
        <v>45616</v>
      </c>
      <c r="N7721" t="s">
        <v>47304</v>
      </c>
      <c r="O7721" t="s">
        <v>47305</v>
      </c>
      <c r="P7721">
        <v>0</v>
      </c>
      <c r="Q7721">
        <v>1</v>
      </c>
      <c r="R7721" t="s">
        <v>47312</v>
      </c>
      <c r="S7721" t="s">
        <v>47489</v>
      </c>
      <c r="T7721" t="s">
        <v>49234</v>
      </c>
      <c r="U7721" t="s">
        <v>55991</v>
      </c>
      <c r="W7721" t="s">
        <v>45616</v>
      </c>
      <c r="X7721" t="s">
        <v>47314</v>
      </c>
    </row>
    <row r="7722" spans="1:24">
      <c r="A7722">
        <f>HYPERLINK("https://www.philgeps.gov.ph/GEPSNONPILOT/Tender/SplashBidNoticeAbstractUI.aspx?menuIndex=3&amp;refID=7183440&amp;Result=3","7183440")</f>
        <v>0</v>
      </c>
      <c r="B7722" t="s">
        <v>2480</v>
      </c>
      <c r="C7722" t="s">
        <v>11121</v>
      </c>
      <c r="D7722" t="s">
        <v>19016</v>
      </c>
      <c r="E7722" t="s">
        <v>20176</v>
      </c>
      <c r="F7722" t="s">
        <v>32606</v>
      </c>
      <c r="G7722" t="s">
        <v>32613</v>
      </c>
      <c r="H7722" t="s">
        <v>14201</v>
      </c>
      <c r="I7722" t="s">
        <v>32631</v>
      </c>
      <c r="J7722" t="s">
        <v>37615</v>
      </c>
      <c r="K7722" t="s">
        <v>42623</v>
      </c>
      <c r="M7722" t="s">
        <v>45617</v>
      </c>
      <c r="N7722" t="s">
        <v>47304</v>
      </c>
      <c r="O7722" t="s">
        <v>47305</v>
      </c>
      <c r="P7722">
        <v>0</v>
      </c>
      <c r="Q7722">
        <v>3</v>
      </c>
      <c r="R7722" t="s">
        <v>47312</v>
      </c>
      <c r="S7722" t="s">
        <v>47489</v>
      </c>
      <c r="T7722" t="s">
        <v>49050</v>
      </c>
      <c r="U7722" t="s">
        <v>55992</v>
      </c>
      <c r="W7722" t="s">
        <v>45617</v>
      </c>
      <c r="X7722" t="s">
        <v>47315</v>
      </c>
    </row>
    <row r="7723" spans="1:24">
      <c r="A7723">
        <f>HYPERLINK("https://www.philgeps.gov.ph/GEPSNONPILOT/Tender/SplashBidNoticeAbstractUI.aspx?menuIndex=3&amp;refID=7184404&amp;Result=3","7184404")</f>
        <v>0</v>
      </c>
      <c r="B7723" t="s">
        <v>2481</v>
      </c>
      <c r="C7723" t="s">
        <v>11122</v>
      </c>
      <c r="D7723" t="s">
        <v>19007</v>
      </c>
      <c r="E7723" t="s">
        <v>25806</v>
      </c>
      <c r="F7723" t="s">
        <v>32606</v>
      </c>
      <c r="G7723" t="s">
        <v>32613</v>
      </c>
      <c r="H7723" t="s">
        <v>14201</v>
      </c>
      <c r="I7723" t="s">
        <v>32723</v>
      </c>
      <c r="J7723" t="s">
        <v>34003</v>
      </c>
      <c r="K7723" t="s">
        <v>42631</v>
      </c>
      <c r="M7723" t="s">
        <v>45618</v>
      </c>
      <c r="N7723" t="s">
        <v>47304</v>
      </c>
      <c r="O7723" t="s">
        <v>47305</v>
      </c>
      <c r="P7723">
        <v>0</v>
      </c>
      <c r="Q7723">
        <v>2</v>
      </c>
      <c r="R7723" t="s">
        <v>47312</v>
      </c>
      <c r="S7723" t="s">
        <v>47489</v>
      </c>
      <c r="T7723" t="s">
        <v>48970</v>
      </c>
      <c r="U7723" t="s">
        <v>55993</v>
      </c>
      <c r="W7723" t="s">
        <v>45618</v>
      </c>
      <c r="X7723" t="s">
        <v>47314</v>
      </c>
    </row>
    <row r="7724" spans="1:24">
      <c r="A7724">
        <f>HYPERLINK("https://www.philgeps.gov.ph/GEPSNONPILOT/Tender/SplashBidNoticeAbstractUI.aspx?menuIndex=3&amp;refID=7182684&amp;Result=3","7182684")</f>
        <v>0</v>
      </c>
      <c r="B7724" t="s">
        <v>50</v>
      </c>
      <c r="C7724" t="s">
        <v>11123</v>
      </c>
      <c r="D7724" t="s">
        <v>19005</v>
      </c>
      <c r="E7724" t="s">
        <v>25807</v>
      </c>
      <c r="F7724" t="s">
        <v>32606</v>
      </c>
      <c r="G7724" t="s">
        <v>32613</v>
      </c>
      <c r="H7724" t="s">
        <v>14201</v>
      </c>
      <c r="I7724" t="s">
        <v>32633</v>
      </c>
      <c r="J7724" t="s">
        <v>37616</v>
      </c>
      <c r="K7724" t="s">
        <v>42623</v>
      </c>
      <c r="M7724" t="s">
        <v>42947</v>
      </c>
      <c r="N7724" t="s">
        <v>47304</v>
      </c>
      <c r="O7724" t="s">
        <v>47305</v>
      </c>
      <c r="P7724">
        <v>0</v>
      </c>
      <c r="Q7724">
        <v>14</v>
      </c>
      <c r="R7724" t="s">
        <v>47312</v>
      </c>
      <c r="S7724" t="s">
        <v>47489</v>
      </c>
      <c r="T7724" t="s">
        <v>49367</v>
      </c>
      <c r="U7724" t="s">
        <v>55994</v>
      </c>
      <c r="V7724" t="s">
        <v>62655</v>
      </c>
      <c r="W7724" t="s">
        <v>42947</v>
      </c>
      <c r="X7724" t="s">
        <v>47315</v>
      </c>
    </row>
    <row r="7725" spans="1:24">
      <c r="A7725">
        <f>HYPERLINK("https://www.philgeps.gov.ph/GEPSNONPILOT/Tender/SplashBidNoticeAbstractUI.aspx?menuIndex=3&amp;refID=7184029&amp;Result=3","7184029")</f>
        <v>0</v>
      </c>
      <c r="B7725" t="s">
        <v>53</v>
      </c>
      <c r="C7725" t="s">
        <v>11124</v>
      </c>
      <c r="D7725" t="s">
        <v>19007</v>
      </c>
      <c r="E7725" t="s">
        <v>25808</v>
      </c>
      <c r="F7725" t="s">
        <v>32606</v>
      </c>
      <c r="G7725" t="s">
        <v>32613</v>
      </c>
      <c r="H7725" t="s">
        <v>14201</v>
      </c>
      <c r="I7725" t="s">
        <v>32632</v>
      </c>
      <c r="J7725" t="s">
        <v>32950</v>
      </c>
      <c r="K7725" t="s">
        <v>42631</v>
      </c>
      <c r="M7725" t="s">
        <v>42950</v>
      </c>
      <c r="N7725" t="s">
        <v>47304</v>
      </c>
      <c r="O7725" t="s">
        <v>47305</v>
      </c>
      <c r="P7725">
        <v>0</v>
      </c>
      <c r="Q7725">
        <v>5</v>
      </c>
      <c r="R7725" t="s">
        <v>47312</v>
      </c>
      <c r="S7725" t="s">
        <v>47489</v>
      </c>
      <c r="T7725" t="s">
        <v>49165</v>
      </c>
      <c r="U7725" t="s">
        <v>55995</v>
      </c>
      <c r="W7725" t="s">
        <v>42950</v>
      </c>
      <c r="X7725" t="s">
        <v>47314</v>
      </c>
    </row>
    <row r="7726" spans="1:24">
      <c r="A7726">
        <f>HYPERLINK("https://www.philgeps.gov.ph/GEPSNONPILOT/Tender/SplashBidNoticeAbstractUI.aspx?menuIndex=3&amp;refID=7184370&amp;Result=3","7184370")</f>
        <v>0</v>
      </c>
      <c r="B7726" t="s">
        <v>895</v>
      </c>
      <c r="C7726" t="s">
        <v>11125</v>
      </c>
      <c r="D7726" t="s">
        <v>18993</v>
      </c>
      <c r="E7726" t="s">
        <v>25809</v>
      </c>
      <c r="F7726" t="s">
        <v>32606</v>
      </c>
      <c r="G7726" t="s">
        <v>32613</v>
      </c>
      <c r="H7726" t="s">
        <v>14201</v>
      </c>
      <c r="I7726" t="s">
        <v>32633</v>
      </c>
      <c r="J7726" t="s">
        <v>35904</v>
      </c>
      <c r="K7726" t="s">
        <v>42624</v>
      </c>
      <c r="M7726" t="s">
        <v>45616</v>
      </c>
      <c r="N7726" t="s">
        <v>47304</v>
      </c>
      <c r="O7726" t="s">
        <v>47305</v>
      </c>
      <c r="P7726">
        <v>0</v>
      </c>
      <c r="Q7726">
        <v>13</v>
      </c>
      <c r="R7726" t="s">
        <v>47312</v>
      </c>
      <c r="S7726" t="s">
        <v>47489</v>
      </c>
      <c r="T7726" t="s">
        <v>49234</v>
      </c>
      <c r="U7726" t="s">
        <v>55996</v>
      </c>
      <c r="W7726" t="s">
        <v>45616</v>
      </c>
      <c r="X7726" t="s">
        <v>47314</v>
      </c>
    </row>
    <row r="7727" spans="1:24">
      <c r="A7727">
        <f>HYPERLINK("https://www.philgeps.gov.ph/GEPSNONPILOT/Tender/SplashBidNoticeAbstractUI.aspx?menuIndex=3&amp;refID=7184355&amp;Result=3","7184355")</f>
        <v>0</v>
      </c>
      <c r="B7727" t="s">
        <v>895</v>
      </c>
      <c r="C7727" t="s">
        <v>11126</v>
      </c>
      <c r="D7727" t="s">
        <v>18993</v>
      </c>
      <c r="E7727" t="s">
        <v>25810</v>
      </c>
      <c r="F7727" t="s">
        <v>32606</v>
      </c>
      <c r="G7727" t="s">
        <v>32613</v>
      </c>
      <c r="H7727" t="s">
        <v>14201</v>
      </c>
      <c r="I7727" t="s">
        <v>32633</v>
      </c>
      <c r="J7727" t="s">
        <v>37617</v>
      </c>
      <c r="K7727" t="s">
        <v>42624</v>
      </c>
      <c r="M7727" t="s">
        <v>45616</v>
      </c>
      <c r="N7727" t="s">
        <v>47304</v>
      </c>
      <c r="O7727" t="s">
        <v>47305</v>
      </c>
      <c r="P7727">
        <v>0</v>
      </c>
      <c r="Q7727">
        <v>13</v>
      </c>
      <c r="R7727" t="s">
        <v>47312</v>
      </c>
      <c r="S7727" t="s">
        <v>47489</v>
      </c>
      <c r="T7727" t="s">
        <v>49234</v>
      </c>
      <c r="U7727" t="s">
        <v>55997</v>
      </c>
      <c r="W7727" t="s">
        <v>45616</v>
      </c>
      <c r="X7727" t="s">
        <v>47314</v>
      </c>
    </row>
    <row r="7728" spans="1:24">
      <c r="A7728">
        <f>HYPERLINK("https://www.philgeps.gov.ph/GEPSNONPILOT/Tender/SplashBidNoticeAbstractUI.aspx?menuIndex=3&amp;refID=7184346&amp;Result=3","7184346")</f>
        <v>0</v>
      </c>
      <c r="B7728" t="s">
        <v>2482</v>
      </c>
      <c r="C7728" t="s">
        <v>11127</v>
      </c>
      <c r="D7728" t="s">
        <v>19047</v>
      </c>
      <c r="E7728" t="s">
        <v>25811</v>
      </c>
      <c r="F7728" t="s">
        <v>32606</v>
      </c>
      <c r="G7728" t="s">
        <v>32613</v>
      </c>
      <c r="H7728" t="s">
        <v>14201</v>
      </c>
      <c r="I7728" t="s">
        <v>32673</v>
      </c>
      <c r="J7728" t="s">
        <v>37618</v>
      </c>
      <c r="K7728" t="s">
        <v>42623</v>
      </c>
      <c r="M7728" t="s">
        <v>45619</v>
      </c>
      <c r="N7728" t="s">
        <v>47304</v>
      </c>
      <c r="O7728" t="s">
        <v>47305</v>
      </c>
      <c r="P7728">
        <v>0</v>
      </c>
      <c r="Q7728">
        <v>0</v>
      </c>
      <c r="R7728" t="s">
        <v>47312</v>
      </c>
      <c r="S7728" t="s">
        <v>47489</v>
      </c>
      <c r="T7728" t="s">
        <v>49111</v>
      </c>
      <c r="U7728" t="s">
        <v>54806</v>
      </c>
      <c r="W7728" t="s">
        <v>45619</v>
      </c>
      <c r="X7728" t="s">
        <v>47314</v>
      </c>
    </row>
    <row r="7729" spans="1:24">
      <c r="A7729">
        <f>HYPERLINK("https://www.philgeps.gov.ph/GEPSNONPILOT/Tender/SplashBidNoticeAbstractUI.aspx?menuIndex=3&amp;refID=7184234&amp;Result=3","7184234")</f>
        <v>0</v>
      </c>
      <c r="B7729" t="s">
        <v>895</v>
      </c>
      <c r="C7729" t="s">
        <v>11128</v>
      </c>
      <c r="D7729" t="s">
        <v>18993</v>
      </c>
      <c r="E7729" t="s">
        <v>25812</v>
      </c>
      <c r="F7729" t="s">
        <v>32606</v>
      </c>
      <c r="G7729" t="s">
        <v>32613</v>
      </c>
      <c r="H7729" t="s">
        <v>14201</v>
      </c>
      <c r="I7729" t="s">
        <v>32687</v>
      </c>
      <c r="J7729" t="s">
        <v>37619</v>
      </c>
      <c r="K7729" t="s">
        <v>42624</v>
      </c>
      <c r="M7729" t="s">
        <v>45616</v>
      </c>
      <c r="N7729" t="s">
        <v>47304</v>
      </c>
      <c r="O7729" t="s">
        <v>47305</v>
      </c>
      <c r="P7729">
        <v>0</v>
      </c>
      <c r="Q7729">
        <v>12</v>
      </c>
      <c r="R7729" t="s">
        <v>47312</v>
      </c>
      <c r="S7729" t="s">
        <v>47489</v>
      </c>
      <c r="T7729" t="s">
        <v>49234</v>
      </c>
      <c r="U7729" t="s">
        <v>55998</v>
      </c>
      <c r="W7729" t="s">
        <v>45616</v>
      </c>
      <c r="X7729" t="s">
        <v>47314</v>
      </c>
    </row>
    <row r="7730" spans="1:24">
      <c r="A7730">
        <f>HYPERLINK("https://www.philgeps.gov.ph/GEPSNONPILOT/Tender/SplashBidNoticeAbstractUI.aspx?menuIndex=3&amp;refID=7184399&amp;Result=3","7184399")</f>
        <v>0</v>
      </c>
      <c r="B7730" t="s">
        <v>895</v>
      </c>
      <c r="C7730" t="s">
        <v>11129</v>
      </c>
      <c r="D7730" t="s">
        <v>18993</v>
      </c>
      <c r="E7730" t="s">
        <v>25813</v>
      </c>
      <c r="F7730" t="s">
        <v>32606</v>
      </c>
      <c r="G7730" t="s">
        <v>32613</v>
      </c>
      <c r="H7730" t="s">
        <v>14201</v>
      </c>
      <c r="I7730" t="s">
        <v>32691</v>
      </c>
      <c r="J7730" t="s">
        <v>37620</v>
      </c>
      <c r="K7730" t="s">
        <v>42624</v>
      </c>
      <c r="M7730" t="s">
        <v>45616</v>
      </c>
      <c r="N7730" t="s">
        <v>47304</v>
      </c>
      <c r="O7730" t="s">
        <v>47305</v>
      </c>
      <c r="P7730">
        <v>0</v>
      </c>
      <c r="Q7730">
        <v>2</v>
      </c>
      <c r="R7730" t="s">
        <v>47312</v>
      </c>
      <c r="S7730" t="s">
        <v>47489</v>
      </c>
      <c r="T7730" t="s">
        <v>49234</v>
      </c>
      <c r="U7730" t="s">
        <v>55999</v>
      </c>
      <c r="W7730" t="s">
        <v>45616</v>
      </c>
      <c r="X7730" t="s">
        <v>47314</v>
      </c>
    </row>
    <row r="7731" spans="1:24">
      <c r="A7731">
        <f>HYPERLINK("https://www.philgeps.gov.ph/GEPSNONPILOT/Tender/SplashBidNoticeAbstractUI.aspx?menuIndex=3&amp;refID=7184161&amp;Result=3","7184161")</f>
        <v>0</v>
      </c>
      <c r="B7731" t="s">
        <v>895</v>
      </c>
      <c r="C7731" t="s">
        <v>11130</v>
      </c>
      <c r="D7731" t="s">
        <v>18993</v>
      </c>
      <c r="E7731" t="s">
        <v>25814</v>
      </c>
      <c r="F7731" t="s">
        <v>32606</v>
      </c>
      <c r="G7731" t="s">
        <v>32613</v>
      </c>
      <c r="H7731" t="s">
        <v>14201</v>
      </c>
      <c r="I7731" t="s">
        <v>32687</v>
      </c>
      <c r="J7731" t="s">
        <v>37621</v>
      </c>
      <c r="K7731" t="s">
        <v>42624</v>
      </c>
      <c r="M7731" t="s">
        <v>45616</v>
      </c>
      <c r="N7731" t="s">
        <v>47304</v>
      </c>
      <c r="O7731" t="s">
        <v>47305</v>
      </c>
      <c r="P7731">
        <v>0</v>
      </c>
      <c r="Q7731">
        <v>20</v>
      </c>
      <c r="R7731" t="s">
        <v>47312</v>
      </c>
      <c r="S7731" t="s">
        <v>47489</v>
      </c>
      <c r="T7731" t="s">
        <v>49234</v>
      </c>
      <c r="U7731" t="s">
        <v>56000</v>
      </c>
      <c r="W7731" t="s">
        <v>45616</v>
      </c>
      <c r="X7731" t="s">
        <v>47314</v>
      </c>
    </row>
    <row r="7732" spans="1:24">
      <c r="A7732">
        <f>HYPERLINK("https://www.philgeps.gov.ph/GEPSNONPILOT/Tender/SplashBidNoticeAbstractUI.aspx?menuIndex=3&amp;refID=7184380&amp;Result=3","7184380")</f>
        <v>0</v>
      </c>
      <c r="B7732" t="s">
        <v>2473</v>
      </c>
      <c r="C7732" t="s">
        <v>11131</v>
      </c>
      <c r="E7732" t="s">
        <v>20886</v>
      </c>
      <c r="F7732" t="s">
        <v>32606</v>
      </c>
      <c r="G7732" t="s">
        <v>32613</v>
      </c>
      <c r="H7732" t="s">
        <v>32623</v>
      </c>
      <c r="I7732" t="s">
        <v>17648</v>
      </c>
      <c r="J7732" t="s">
        <v>37029</v>
      </c>
      <c r="K7732" t="s">
        <v>42676</v>
      </c>
      <c r="M7732" t="s">
        <v>45608</v>
      </c>
      <c r="N7732" t="s">
        <v>47304</v>
      </c>
      <c r="O7732" t="s">
        <v>47305</v>
      </c>
      <c r="P7732">
        <v>0</v>
      </c>
      <c r="Q7732">
        <v>0</v>
      </c>
      <c r="R7732" t="s">
        <v>47312</v>
      </c>
      <c r="S7732" t="s">
        <v>47489</v>
      </c>
      <c r="T7732" t="s">
        <v>49086</v>
      </c>
      <c r="U7732" t="s">
        <v>56001</v>
      </c>
      <c r="W7732" t="s">
        <v>45608</v>
      </c>
      <c r="X7732" t="s">
        <v>47314</v>
      </c>
    </row>
    <row r="7733" spans="1:24">
      <c r="A7733">
        <f>HYPERLINK("https://www.philgeps.gov.ph/GEPSNONPILOT/Tender/SplashBidNoticeAbstractUI.aspx?menuIndex=3&amp;refID=7184306&amp;Result=3","7184306")</f>
        <v>0</v>
      </c>
      <c r="B7733" t="s">
        <v>895</v>
      </c>
      <c r="C7733" t="s">
        <v>11132</v>
      </c>
      <c r="D7733" t="s">
        <v>18993</v>
      </c>
      <c r="E7733" t="s">
        <v>25815</v>
      </c>
      <c r="F7733" t="s">
        <v>32606</v>
      </c>
      <c r="G7733" t="s">
        <v>32613</v>
      </c>
      <c r="H7733" t="s">
        <v>14201</v>
      </c>
      <c r="I7733" t="s">
        <v>32738</v>
      </c>
      <c r="J7733" t="s">
        <v>37622</v>
      </c>
      <c r="K7733" t="s">
        <v>42624</v>
      </c>
      <c r="M7733" t="s">
        <v>45616</v>
      </c>
      <c r="N7733" t="s">
        <v>47304</v>
      </c>
      <c r="O7733" t="s">
        <v>47305</v>
      </c>
      <c r="P7733">
        <v>0</v>
      </c>
      <c r="Q7733">
        <v>0</v>
      </c>
      <c r="R7733" t="s">
        <v>47312</v>
      </c>
      <c r="S7733" t="s">
        <v>47489</v>
      </c>
      <c r="T7733" t="s">
        <v>49234</v>
      </c>
      <c r="U7733" t="s">
        <v>56002</v>
      </c>
      <c r="W7733" t="s">
        <v>45616</v>
      </c>
      <c r="X7733" t="s">
        <v>47314</v>
      </c>
    </row>
    <row r="7734" spans="1:24">
      <c r="A7734">
        <f>HYPERLINK("https://www.philgeps.gov.ph/GEPSNONPILOT/Tender/SplashBidNoticeAbstractUI.aspx?menuIndex=3&amp;refID=7184131&amp;Result=3","7184131")</f>
        <v>0</v>
      </c>
      <c r="B7734" t="s">
        <v>2483</v>
      </c>
      <c r="C7734" t="s">
        <v>11133</v>
      </c>
      <c r="D7734" t="s">
        <v>18993</v>
      </c>
      <c r="E7734" t="s">
        <v>11133</v>
      </c>
      <c r="F7734" t="s">
        <v>32606</v>
      </c>
      <c r="G7734" t="s">
        <v>32613</v>
      </c>
      <c r="H7734" t="s">
        <v>32623</v>
      </c>
      <c r="I7734" t="s">
        <v>17648</v>
      </c>
      <c r="J7734" t="s">
        <v>37623</v>
      </c>
      <c r="K7734" t="s">
        <v>42624</v>
      </c>
      <c r="M7734" t="s">
        <v>45620</v>
      </c>
      <c r="N7734" t="s">
        <v>47304</v>
      </c>
      <c r="O7734" t="s">
        <v>47305</v>
      </c>
      <c r="P7734">
        <v>0</v>
      </c>
      <c r="Q7734">
        <v>4</v>
      </c>
      <c r="R7734" t="s">
        <v>47312</v>
      </c>
      <c r="S7734" t="s">
        <v>47489</v>
      </c>
      <c r="T7734" t="s">
        <v>49001</v>
      </c>
      <c r="U7734" t="s">
        <v>56003</v>
      </c>
      <c r="W7734" t="s">
        <v>45620</v>
      </c>
      <c r="X7734" t="s">
        <v>47314</v>
      </c>
    </row>
    <row r="7735" spans="1:24">
      <c r="A7735">
        <f>HYPERLINK("https://www.philgeps.gov.ph/GEPSNONPILOT/Tender/SplashBidNoticeAbstractUI.aspx?menuIndex=3&amp;refID=7184120&amp;Result=3","7184120")</f>
        <v>0</v>
      </c>
      <c r="B7735" t="s">
        <v>2484</v>
      </c>
      <c r="C7735" t="s">
        <v>11134</v>
      </c>
      <c r="D7735" t="s">
        <v>19034</v>
      </c>
      <c r="E7735" t="s">
        <v>25816</v>
      </c>
      <c r="F7735" t="s">
        <v>32606</v>
      </c>
      <c r="G7735" t="s">
        <v>32613</v>
      </c>
      <c r="H7735" t="s">
        <v>14201</v>
      </c>
      <c r="I7735" t="s">
        <v>32635</v>
      </c>
      <c r="J7735" t="s">
        <v>33900</v>
      </c>
      <c r="K7735" t="s">
        <v>42636</v>
      </c>
      <c r="M7735" t="s">
        <v>45621</v>
      </c>
      <c r="N7735" t="s">
        <v>47304</v>
      </c>
      <c r="O7735" t="s">
        <v>47305</v>
      </c>
      <c r="P7735">
        <v>0</v>
      </c>
      <c r="Q7735">
        <v>4</v>
      </c>
      <c r="R7735" t="s">
        <v>47312</v>
      </c>
      <c r="S7735" t="s">
        <v>47489</v>
      </c>
      <c r="T7735" t="s">
        <v>49037</v>
      </c>
      <c r="U7735" t="s">
        <v>56004</v>
      </c>
      <c r="V7735" t="s">
        <v>63381</v>
      </c>
      <c r="W7735" t="s">
        <v>45621</v>
      </c>
      <c r="X7735" t="s">
        <v>47314</v>
      </c>
    </row>
    <row r="7736" spans="1:24">
      <c r="A7736">
        <f>HYPERLINK("https://www.philgeps.gov.ph/GEPSNONPILOT/Tender/SplashBidNoticeAbstractUI.aspx?menuIndex=3&amp;refID=7184419&amp;Result=3","7184419")</f>
        <v>0</v>
      </c>
      <c r="B7736" t="s">
        <v>895</v>
      </c>
      <c r="C7736" t="s">
        <v>11135</v>
      </c>
      <c r="D7736" t="s">
        <v>18993</v>
      </c>
      <c r="E7736" t="s">
        <v>25817</v>
      </c>
      <c r="F7736" t="s">
        <v>32606</v>
      </c>
      <c r="G7736" t="s">
        <v>32613</v>
      </c>
      <c r="H7736" t="s">
        <v>14201</v>
      </c>
      <c r="I7736" t="s">
        <v>32655</v>
      </c>
      <c r="J7736" t="s">
        <v>37624</v>
      </c>
      <c r="K7736" t="s">
        <v>42624</v>
      </c>
      <c r="M7736" t="s">
        <v>45616</v>
      </c>
      <c r="N7736" t="s">
        <v>47304</v>
      </c>
      <c r="O7736" t="s">
        <v>47305</v>
      </c>
      <c r="P7736">
        <v>0</v>
      </c>
      <c r="Q7736">
        <v>10</v>
      </c>
      <c r="R7736" t="s">
        <v>47312</v>
      </c>
      <c r="S7736" t="s">
        <v>47489</v>
      </c>
      <c r="T7736" t="s">
        <v>49234</v>
      </c>
      <c r="U7736" t="s">
        <v>56005</v>
      </c>
      <c r="W7736" t="s">
        <v>45616</v>
      </c>
      <c r="X7736" t="s">
        <v>47314</v>
      </c>
    </row>
    <row r="7737" spans="1:24">
      <c r="A7737">
        <f>HYPERLINK("https://www.philgeps.gov.ph/GEPSNONPILOT/Tender/SplashBidNoticeAbstractUI.aspx?menuIndex=3&amp;refID=7184415&amp;Result=3","7184415")</f>
        <v>0</v>
      </c>
      <c r="B7737" t="s">
        <v>895</v>
      </c>
      <c r="C7737" t="s">
        <v>11136</v>
      </c>
      <c r="D7737" t="s">
        <v>18993</v>
      </c>
      <c r="E7737" t="s">
        <v>25818</v>
      </c>
      <c r="F7737" t="s">
        <v>32606</v>
      </c>
      <c r="G7737" t="s">
        <v>32613</v>
      </c>
      <c r="H7737" t="s">
        <v>14201</v>
      </c>
      <c r="I7737" t="s">
        <v>32691</v>
      </c>
      <c r="J7737" t="s">
        <v>37625</v>
      </c>
      <c r="K7737" t="s">
        <v>42624</v>
      </c>
      <c r="M7737" t="s">
        <v>45616</v>
      </c>
      <c r="N7737" t="s">
        <v>47304</v>
      </c>
      <c r="O7737" t="s">
        <v>47305</v>
      </c>
      <c r="P7737">
        <v>0</v>
      </c>
      <c r="Q7737">
        <v>1</v>
      </c>
      <c r="R7737" t="s">
        <v>47312</v>
      </c>
      <c r="S7737" t="s">
        <v>47489</v>
      </c>
      <c r="T7737" t="s">
        <v>49234</v>
      </c>
      <c r="U7737" t="s">
        <v>56006</v>
      </c>
      <c r="W7737" t="s">
        <v>45616</v>
      </c>
      <c r="X7737" t="s">
        <v>47314</v>
      </c>
    </row>
    <row r="7738" spans="1:24">
      <c r="A7738">
        <f>HYPERLINK("https://www.philgeps.gov.ph/GEPSNONPILOT/Tender/SplashBidNoticeAbstractUI.aspx?menuIndex=3&amp;refID=7184520&amp;Result=3","7184520")</f>
        <v>0</v>
      </c>
      <c r="B7738" t="s">
        <v>895</v>
      </c>
      <c r="C7738" t="s">
        <v>11137</v>
      </c>
      <c r="D7738" t="s">
        <v>18993</v>
      </c>
      <c r="E7738" t="s">
        <v>25819</v>
      </c>
      <c r="F7738" t="s">
        <v>32606</v>
      </c>
      <c r="G7738" t="s">
        <v>32613</v>
      </c>
      <c r="H7738" t="s">
        <v>14201</v>
      </c>
      <c r="I7738" t="s">
        <v>7677</v>
      </c>
      <c r="J7738" t="s">
        <v>37626</v>
      </c>
      <c r="K7738" t="s">
        <v>42624</v>
      </c>
      <c r="M7738" t="s">
        <v>45616</v>
      </c>
      <c r="N7738" t="s">
        <v>47304</v>
      </c>
      <c r="O7738" t="s">
        <v>47305</v>
      </c>
      <c r="P7738">
        <v>0</v>
      </c>
      <c r="Q7738">
        <v>4</v>
      </c>
      <c r="R7738" t="s">
        <v>47312</v>
      </c>
      <c r="S7738" t="s">
        <v>47489</v>
      </c>
      <c r="T7738" t="s">
        <v>49234</v>
      </c>
      <c r="U7738" t="s">
        <v>56007</v>
      </c>
      <c r="W7738" t="s">
        <v>45616</v>
      </c>
      <c r="X7738" t="s">
        <v>47314</v>
      </c>
    </row>
    <row r="7739" spans="1:24">
      <c r="A7739">
        <f>HYPERLINK("https://www.philgeps.gov.ph/GEPSNONPILOT/Tender/SplashBidNoticeAbstractUI.aspx?menuIndex=3&amp;refID=7184342&amp;Result=3","7184342")</f>
        <v>0</v>
      </c>
      <c r="B7739" t="s">
        <v>895</v>
      </c>
      <c r="C7739" t="s">
        <v>11138</v>
      </c>
      <c r="D7739" t="s">
        <v>18993</v>
      </c>
      <c r="E7739" t="s">
        <v>25820</v>
      </c>
      <c r="F7739" t="s">
        <v>32606</v>
      </c>
      <c r="G7739" t="s">
        <v>32613</v>
      </c>
      <c r="H7739" t="s">
        <v>14201</v>
      </c>
      <c r="I7739" t="s">
        <v>32703</v>
      </c>
      <c r="J7739" t="s">
        <v>37627</v>
      </c>
      <c r="K7739" t="s">
        <v>42624</v>
      </c>
      <c r="M7739" t="s">
        <v>45616</v>
      </c>
      <c r="N7739" t="s">
        <v>47304</v>
      </c>
      <c r="O7739" t="s">
        <v>47305</v>
      </c>
      <c r="P7739">
        <v>0</v>
      </c>
      <c r="Q7739">
        <v>1</v>
      </c>
      <c r="R7739" t="s">
        <v>47312</v>
      </c>
      <c r="S7739" t="s">
        <v>47489</v>
      </c>
      <c r="T7739" t="s">
        <v>49234</v>
      </c>
      <c r="U7739" t="s">
        <v>56008</v>
      </c>
      <c r="W7739" t="s">
        <v>45616</v>
      </c>
      <c r="X7739" t="s">
        <v>47314</v>
      </c>
    </row>
    <row r="7740" spans="1:24">
      <c r="A7740">
        <f>HYPERLINK("https://www.philgeps.gov.ph/GEPSNONPILOT/Tender/SplashBidNoticeAbstractUI.aspx?menuIndex=3&amp;refID=7184601&amp;Result=3","7184601")</f>
        <v>0</v>
      </c>
      <c r="B7740" t="s">
        <v>2481</v>
      </c>
      <c r="C7740" t="s">
        <v>11139</v>
      </c>
      <c r="D7740" t="s">
        <v>19007</v>
      </c>
      <c r="E7740" t="s">
        <v>25821</v>
      </c>
      <c r="F7740" t="s">
        <v>32606</v>
      </c>
      <c r="G7740" t="s">
        <v>32613</v>
      </c>
      <c r="H7740" t="s">
        <v>32623</v>
      </c>
      <c r="I7740" t="s">
        <v>17648</v>
      </c>
      <c r="J7740" t="s">
        <v>37628</v>
      </c>
      <c r="K7740" t="s">
        <v>42639</v>
      </c>
      <c r="M7740" t="s">
        <v>45618</v>
      </c>
      <c r="N7740" t="s">
        <v>47304</v>
      </c>
      <c r="O7740" t="s">
        <v>47305</v>
      </c>
      <c r="P7740">
        <v>0</v>
      </c>
      <c r="Q7740">
        <v>0</v>
      </c>
      <c r="R7740" t="s">
        <v>47312</v>
      </c>
      <c r="S7740" t="s">
        <v>47489</v>
      </c>
      <c r="T7740" t="s">
        <v>48970</v>
      </c>
      <c r="U7740" t="s">
        <v>56009</v>
      </c>
      <c r="W7740" t="s">
        <v>45618</v>
      </c>
      <c r="X7740" t="s">
        <v>47314</v>
      </c>
    </row>
    <row r="7741" spans="1:24">
      <c r="A7741">
        <f>HYPERLINK("https://www.philgeps.gov.ph/GEPSNONPILOT/Tender/SplashBidNoticeAbstractUI.aspx?menuIndex=3&amp;refID=7184162&amp;Result=3","7184162")</f>
        <v>0</v>
      </c>
      <c r="B7741" t="s">
        <v>2481</v>
      </c>
      <c r="C7741" t="s">
        <v>11140</v>
      </c>
      <c r="D7741" t="s">
        <v>19007</v>
      </c>
      <c r="E7741" t="s">
        <v>25822</v>
      </c>
      <c r="F7741" t="s">
        <v>32606</v>
      </c>
      <c r="G7741" t="s">
        <v>32613</v>
      </c>
      <c r="H7741" t="s">
        <v>14201</v>
      </c>
      <c r="I7741" t="s">
        <v>32640</v>
      </c>
      <c r="J7741" t="s">
        <v>33561</v>
      </c>
      <c r="K7741" t="s">
        <v>42636</v>
      </c>
      <c r="M7741" t="s">
        <v>45618</v>
      </c>
      <c r="N7741" t="s">
        <v>47304</v>
      </c>
      <c r="O7741" t="s">
        <v>47305</v>
      </c>
      <c r="P7741">
        <v>0</v>
      </c>
      <c r="Q7741">
        <v>2</v>
      </c>
      <c r="R7741" t="s">
        <v>47312</v>
      </c>
      <c r="S7741" t="s">
        <v>47489</v>
      </c>
      <c r="T7741" t="s">
        <v>48970</v>
      </c>
      <c r="U7741" t="s">
        <v>56010</v>
      </c>
      <c r="W7741" t="s">
        <v>45618</v>
      </c>
      <c r="X7741" t="s">
        <v>47314</v>
      </c>
    </row>
    <row r="7742" spans="1:24">
      <c r="A7742">
        <f>HYPERLINK("https://www.philgeps.gov.ph/GEPSNONPILOT/Tender/SplashBidNoticeAbstractUI.aspx?menuIndex=3&amp;refID=7184552&amp;Result=3","7184552")</f>
        <v>0</v>
      </c>
      <c r="B7742" t="s">
        <v>2481</v>
      </c>
      <c r="C7742" t="s">
        <v>11141</v>
      </c>
      <c r="D7742" t="s">
        <v>19007</v>
      </c>
      <c r="E7742" t="s">
        <v>25823</v>
      </c>
      <c r="F7742" t="s">
        <v>32606</v>
      </c>
      <c r="G7742" t="s">
        <v>32613</v>
      </c>
      <c r="H7742" t="s">
        <v>32623</v>
      </c>
      <c r="I7742" t="s">
        <v>17648</v>
      </c>
      <c r="J7742" t="s">
        <v>37629</v>
      </c>
      <c r="K7742" t="s">
        <v>42631</v>
      </c>
      <c r="M7742" t="s">
        <v>45618</v>
      </c>
      <c r="N7742" t="s">
        <v>47304</v>
      </c>
      <c r="O7742" t="s">
        <v>47305</v>
      </c>
      <c r="P7742">
        <v>0</v>
      </c>
      <c r="Q7742">
        <v>0</v>
      </c>
      <c r="R7742" t="s">
        <v>47312</v>
      </c>
      <c r="S7742" t="s">
        <v>47489</v>
      </c>
      <c r="T7742" t="s">
        <v>48970</v>
      </c>
      <c r="U7742" t="s">
        <v>56011</v>
      </c>
      <c r="W7742" t="s">
        <v>45618</v>
      </c>
      <c r="X7742" t="s">
        <v>47314</v>
      </c>
    </row>
    <row r="7743" spans="1:24">
      <c r="A7743">
        <f>HYPERLINK("https://www.philgeps.gov.ph/GEPSNONPILOT/Tender/SplashBidNoticeAbstractUI.aspx?menuIndex=3&amp;refID=7184541&amp;Result=3","7184541")</f>
        <v>0</v>
      </c>
      <c r="B7743" t="s">
        <v>2473</v>
      </c>
      <c r="C7743" t="s">
        <v>11142</v>
      </c>
      <c r="D7743" t="s">
        <v>19008</v>
      </c>
      <c r="E7743" t="s">
        <v>25824</v>
      </c>
      <c r="F7743" t="s">
        <v>32606</v>
      </c>
      <c r="G7743" t="s">
        <v>32613</v>
      </c>
      <c r="H7743" t="s">
        <v>32623</v>
      </c>
      <c r="I7743" t="s">
        <v>17648</v>
      </c>
      <c r="J7743" t="s">
        <v>33039</v>
      </c>
      <c r="K7743" t="s">
        <v>42784</v>
      </c>
      <c r="M7743" t="s">
        <v>45608</v>
      </c>
      <c r="N7743" t="s">
        <v>47304</v>
      </c>
      <c r="O7743" t="s">
        <v>47305</v>
      </c>
      <c r="P7743">
        <v>0</v>
      </c>
      <c r="Q7743">
        <v>1</v>
      </c>
      <c r="R7743" t="s">
        <v>47312</v>
      </c>
      <c r="S7743" t="s">
        <v>47489</v>
      </c>
      <c r="T7743" t="s">
        <v>49086</v>
      </c>
      <c r="U7743" t="s">
        <v>56012</v>
      </c>
      <c r="W7743" t="s">
        <v>45608</v>
      </c>
      <c r="X7743" t="s">
        <v>47314</v>
      </c>
    </row>
    <row r="7744" spans="1:24">
      <c r="A7744">
        <f>HYPERLINK("https://www.philgeps.gov.ph/GEPSNONPILOT/Tender/SplashBidNoticeAbstractUI.aspx?menuIndex=3&amp;refID=7184070&amp;Result=3","7184070")</f>
        <v>0</v>
      </c>
      <c r="B7744" t="s">
        <v>2483</v>
      </c>
      <c r="C7744" t="s">
        <v>11143</v>
      </c>
      <c r="D7744" t="s">
        <v>18993</v>
      </c>
      <c r="E7744" t="s">
        <v>11143</v>
      </c>
      <c r="F7744" t="s">
        <v>32606</v>
      </c>
      <c r="G7744" t="s">
        <v>32613</v>
      </c>
      <c r="H7744" t="s">
        <v>32623</v>
      </c>
      <c r="I7744" t="s">
        <v>17648</v>
      </c>
      <c r="J7744" t="s">
        <v>37630</v>
      </c>
      <c r="K7744" t="s">
        <v>42624</v>
      </c>
      <c r="M7744" t="s">
        <v>45620</v>
      </c>
      <c r="N7744" t="s">
        <v>47304</v>
      </c>
      <c r="O7744" t="s">
        <v>47305</v>
      </c>
      <c r="P7744">
        <v>0</v>
      </c>
      <c r="Q7744">
        <v>7</v>
      </c>
      <c r="R7744" t="s">
        <v>47312</v>
      </c>
      <c r="S7744" t="s">
        <v>47489</v>
      </c>
      <c r="T7744" t="s">
        <v>49079</v>
      </c>
      <c r="U7744" t="s">
        <v>56013</v>
      </c>
      <c r="W7744" t="s">
        <v>45620</v>
      </c>
      <c r="X7744" t="s">
        <v>47314</v>
      </c>
    </row>
    <row r="7745" spans="1:24">
      <c r="A7745">
        <f>HYPERLINK("https://www.philgeps.gov.ph/GEPSNONPILOT/Tender/SplashBidNoticeAbstractUI.aspx?menuIndex=3&amp;refID=7184538&amp;Result=3","7184538")</f>
        <v>0</v>
      </c>
      <c r="B7745" t="s">
        <v>895</v>
      </c>
      <c r="C7745" t="s">
        <v>11144</v>
      </c>
      <c r="D7745" t="s">
        <v>18993</v>
      </c>
      <c r="E7745" t="s">
        <v>25825</v>
      </c>
      <c r="F7745" t="s">
        <v>32606</v>
      </c>
      <c r="G7745" t="s">
        <v>32613</v>
      </c>
      <c r="H7745" t="s">
        <v>14201</v>
      </c>
      <c r="I7745" t="s">
        <v>7677</v>
      </c>
      <c r="J7745" t="s">
        <v>37631</v>
      </c>
      <c r="K7745" t="s">
        <v>42624</v>
      </c>
      <c r="M7745" t="s">
        <v>45616</v>
      </c>
      <c r="N7745" t="s">
        <v>47304</v>
      </c>
      <c r="O7745" t="s">
        <v>47305</v>
      </c>
      <c r="P7745">
        <v>0</v>
      </c>
      <c r="Q7745">
        <v>6</v>
      </c>
      <c r="R7745" t="s">
        <v>47312</v>
      </c>
      <c r="S7745" t="s">
        <v>47489</v>
      </c>
      <c r="T7745" t="s">
        <v>49234</v>
      </c>
      <c r="U7745" t="s">
        <v>56014</v>
      </c>
      <c r="W7745" t="s">
        <v>45616</v>
      </c>
      <c r="X7745" t="s">
        <v>47314</v>
      </c>
    </row>
    <row r="7746" spans="1:24">
      <c r="A7746">
        <f>HYPERLINK("https://www.philgeps.gov.ph/GEPSNONPILOT/Tender/SplashBidNoticeAbstractUI.aspx?menuIndex=3&amp;refID=7184511&amp;Result=3","7184511")</f>
        <v>0</v>
      </c>
      <c r="B7746" t="s">
        <v>2485</v>
      </c>
      <c r="C7746" t="s">
        <v>11145</v>
      </c>
      <c r="D7746" t="s">
        <v>19017</v>
      </c>
      <c r="E7746" t="s">
        <v>25826</v>
      </c>
      <c r="F7746" t="s">
        <v>32606</v>
      </c>
      <c r="G7746" t="s">
        <v>32613</v>
      </c>
      <c r="H7746" t="s">
        <v>32623</v>
      </c>
      <c r="I7746" t="s">
        <v>17648</v>
      </c>
      <c r="J7746" t="s">
        <v>35071</v>
      </c>
      <c r="K7746" t="s">
        <v>42646</v>
      </c>
      <c r="M7746" t="s">
        <v>45622</v>
      </c>
      <c r="N7746" t="s">
        <v>47304</v>
      </c>
      <c r="O7746" t="s">
        <v>47305</v>
      </c>
      <c r="P7746">
        <v>0</v>
      </c>
      <c r="Q7746">
        <v>1</v>
      </c>
      <c r="R7746" t="s">
        <v>47312</v>
      </c>
      <c r="S7746" t="s">
        <v>47489</v>
      </c>
      <c r="T7746" t="s">
        <v>49075</v>
      </c>
      <c r="U7746" t="s">
        <v>56015</v>
      </c>
      <c r="V7746" t="s">
        <v>63382</v>
      </c>
      <c r="W7746" t="s">
        <v>45622</v>
      </c>
      <c r="X7746" t="s">
        <v>47314</v>
      </c>
    </row>
    <row r="7747" spans="1:24">
      <c r="A7747">
        <f>HYPERLINK("https://www.philgeps.gov.ph/GEPSNONPILOT/Tender/SplashBidNoticeAbstractUI.aspx?menuIndex=3&amp;refID=7184498&amp;Result=3","7184498")</f>
        <v>0</v>
      </c>
      <c r="B7747" t="s">
        <v>895</v>
      </c>
      <c r="C7747" t="s">
        <v>11146</v>
      </c>
      <c r="D7747" t="s">
        <v>18993</v>
      </c>
      <c r="E7747" t="s">
        <v>25827</v>
      </c>
      <c r="F7747" t="s">
        <v>32606</v>
      </c>
      <c r="G7747" t="s">
        <v>32613</v>
      </c>
      <c r="H7747" t="s">
        <v>14201</v>
      </c>
      <c r="I7747" t="s">
        <v>7677</v>
      </c>
      <c r="J7747" t="s">
        <v>37632</v>
      </c>
      <c r="K7747" t="s">
        <v>42624</v>
      </c>
      <c r="M7747" t="s">
        <v>45616</v>
      </c>
      <c r="N7747" t="s">
        <v>47304</v>
      </c>
      <c r="O7747" t="s">
        <v>47305</v>
      </c>
      <c r="P7747">
        <v>0</v>
      </c>
      <c r="Q7747">
        <v>12</v>
      </c>
      <c r="R7747" t="s">
        <v>47312</v>
      </c>
      <c r="S7747" t="s">
        <v>47489</v>
      </c>
      <c r="T7747" t="s">
        <v>49234</v>
      </c>
      <c r="U7747" t="s">
        <v>56016</v>
      </c>
      <c r="W7747" t="s">
        <v>45616</v>
      </c>
      <c r="X7747" t="s">
        <v>47314</v>
      </c>
    </row>
    <row r="7748" spans="1:24">
      <c r="A7748">
        <f>HYPERLINK("https://www.philgeps.gov.ph/GEPSNONPILOT/Tender/SplashBidNoticeAbstractUI.aspx?menuIndex=3&amp;refID=7184497&amp;Result=3","7184497")</f>
        <v>0</v>
      </c>
      <c r="B7748" t="s">
        <v>2485</v>
      </c>
      <c r="C7748" t="s">
        <v>11147</v>
      </c>
      <c r="D7748" t="s">
        <v>19017</v>
      </c>
      <c r="E7748" t="s">
        <v>25828</v>
      </c>
      <c r="F7748" t="s">
        <v>32606</v>
      </c>
      <c r="G7748" t="s">
        <v>32613</v>
      </c>
      <c r="H7748" t="s">
        <v>32623</v>
      </c>
      <c r="I7748" t="s">
        <v>17648</v>
      </c>
      <c r="J7748" t="s">
        <v>37633</v>
      </c>
      <c r="K7748" t="s">
        <v>42646</v>
      </c>
      <c r="M7748" t="s">
        <v>45622</v>
      </c>
      <c r="N7748" t="s">
        <v>47304</v>
      </c>
      <c r="O7748" t="s">
        <v>47305</v>
      </c>
      <c r="P7748">
        <v>0</v>
      </c>
      <c r="Q7748">
        <v>1</v>
      </c>
      <c r="R7748" t="s">
        <v>47312</v>
      </c>
      <c r="S7748" t="s">
        <v>47489</v>
      </c>
      <c r="T7748" t="s">
        <v>49075</v>
      </c>
      <c r="U7748" t="s">
        <v>56015</v>
      </c>
      <c r="V7748" t="s">
        <v>63383</v>
      </c>
      <c r="W7748" t="s">
        <v>45622</v>
      </c>
      <c r="X7748" t="s">
        <v>47314</v>
      </c>
    </row>
    <row r="7749" spans="1:24">
      <c r="A7749">
        <f>HYPERLINK("https://www.philgeps.gov.ph/GEPSNONPILOT/Tender/SplashBidNoticeAbstractUI.aspx?menuIndex=3&amp;refID=7184494&amp;Result=3","7184494")</f>
        <v>0</v>
      </c>
      <c r="B7749" t="s">
        <v>2481</v>
      </c>
      <c r="C7749" t="s">
        <v>11148</v>
      </c>
      <c r="D7749" t="s">
        <v>19007</v>
      </c>
      <c r="E7749" t="s">
        <v>25829</v>
      </c>
      <c r="F7749" t="s">
        <v>32606</v>
      </c>
      <c r="G7749" t="s">
        <v>32613</v>
      </c>
      <c r="H7749" t="s">
        <v>32623</v>
      </c>
      <c r="I7749" t="s">
        <v>17648</v>
      </c>
      <c r="J7749" t="s">
        <v>37634</v>
      </c>
      <c r="K7749" t="s">
        <v>42639</v>
      </c>
      <c r="M7749" t="s">
        <v>45618</v>
      </c>
      <c r="N7749" t="s">
        <v>47304</v>
      </c>
      <c r="O7749" t="s">
        <v>47305</v>
      </c>
      <c r="P7749">
        <v>0</v>
      </c>
      <c r="Q7749">
        <v>0</v>
      </c>
      <c r="R7749" t="s">
        <v>47312</v>
      </c>
      <c r="S7749" t="s">
        <v>47489</v>
      </c>
      <c r="T7749" t="s">
        <v>48970</v>
      </c>
      <c r="U7749" t="s">
        <v>56017</v>
      </c>
      <c r="W7749" t="s">
        <v>45618</v>
      </c>
      <c r="X7749" t="s">
        <v>47314</v>
      </c>
    </row>
    <row r="7750" spans="1:24">
      <c r="A7750">
        <f>HYPERLINK("https://www.philgeps.gov.ph/GEPSNONPILOT/Tender/SplashBidNoticeAbstractUI.aspx?menuIndex=3&amp;refID=7184485&amp;Result=3","7184485")</f>
        <v>0</v>
      </c>
      <c r="B7750" t="s">
        <v>895</v>
      </c>
      <c r="C7750" t="s">
        <v>11149</v>
      </c>
      <c r="D7750" t="s">
        <v>18993</v>
      </c>
      <c r="E7750" t="s">
        <v>25830</v>
      </c>
      <c r="F7750" t="s">
        <v>32606</v>
      </c>
      <c r="G7750" t="s">
        <v>32613</v>
      </c>
      <c r="H7750" t="s">
        <v>14201</v>
      </c>
      <c r="I7750" t="s">
        <v>7677</v>
      </c>
      <c r="J7750" t="s">
        <v>37635</v>
      </c>
      <c r="K7750" t="s">
        <v>42624</v>
      </c>
      <c r="M7750" t="s">
        <v>45616</v>
      </c>
      <c r="N7750" t="s">
        <v>47304</v>
      </c>
      <c r="O7750" t="s">
        <v>47305</v>
      </c>
      <c r="P7750">
        <v>0</v>
      </c>
      <c r="Q7750">
        <v>5</v>
      </c>
      <c r="R7750" t="s">
        <v>47312</v>
      </c>
      <c r="S7750" t="s">
        <v>47489</v>
      </c>
      <c r="T7750" t="s">
        <v>49234</v>
      </c>
      <c r="U7750" t="s">
        <v>56018</v>
      </c>
      <c r="W7750" t="s">
        <v>45616</v>
      </c>
      <c r="X7750" t="s">
        <v>47314</v>
      </c>
    </row>
    <row r="7751" spans="1:24">
      <c r="A7751">
        <f>HYPERLINK("https://www.philgeps.gov.ph/GEPSNONPILOT/Tender/SplashBidNoticeAbstractUI.aspx?menuIndex=3&amp;refID=7184481&amp;Result=3","7184481")</f>
        <v>0</v>
      </c>
      <c r="B7751" t="s">
        <v>192</v>
      </c>
      <c r="C7751" t="s">
        <v>11150</v>
      </c>
      <c r="D7751" t="s">
        <v>19016</v>
      </c>
      <c r="E7751" t="s">
        <v>25831</v>
      </c>
      <c r="F7751" t="s">
        <v>32606</v>
      </c>
      <c r="G7751" t="s">
        <v>32613</v>
      </c>
      <c r="H7751" t="s">
        <v>14201</v>
      </c>
      <c r="I7751" t="s">
        <v>32662</v>
      </c>
      <c r="J7751" t="s">
        <v>33382</v>
      </c>
      <c r="K7751" t="s">
        <v>42624</v>
      </c>
      <c r="M7751" t="s">
        <v>43093</v>
      </c>
      <c r="N7751" t="s">
        <v>47304</v>
      </c>
      <c r="O7751" t="s">
        <v>47305</v>
      </c>
      <c r="P7751">
        <v>0</v>
      </c>
      <c r="Q7751">
        <v>21</v>
      </c>
      <c r="R7751" t="s">
        <v>47312</v>
      </c>
      <c r="S7751" t="s">
        <v>47489</v>
      </c>
      <c r="T7751" t="s">
        <v>49077</v>
      </c>
      <c r="U7751" t="s">
        <v>56019</v>
      </c>
      <c r="V7751" t="s">
        <v>63384</v>
      </c>
      <c r="W7751" t="s">
        <v>43093</v>
      </c>
      <c r="X7751" t="s">
        <v>47314</v>
      </c>
    </row>
    <row r="7752" spans="1:24">
      <c r="A7752">
        <f>HYPERLINK("https://www.philgeps.gov.ph/GEPSNONPILOT/Tender/SplashBidNoticeAbstractUI.aspx?menuIndex=3&amp;refID=7184469&amp;Result=3","7184469")</f>
        <v>0</v>
      </c>
      <c r="B7752" t="s">
        <v>2473</v>
      </c>
      <c r="C7752" t="s">
        <v>11151</v>
      </c>
      <c r="D7752" t="s">
        <v>19008</v>
      </c>
      <c r="E7752" t="s">
        <v>20803</v>
      </c>
      <c r="F7752" t="s">
        <v>32606</v>
      </c>
      <c r="G7752" t="s">
        <v>32613</v>
      </c>
      <c r="H7752" t="s">
        <v>32623</v>
      </c>
      <c r="I7752" t="s">
        <v>17648</v>
      </c>
      <c r="J7752" t="s">
        <v>32795</v>
      </c>
      <c r="K7752" t="s">
        <v>42639</v>
      </c>
      <c r="M7752" t="s">
        <v>45608</v>
      </c>
      <c r="N7752" t="s">
        <v>47304</v>
      </c>
      <c r="O7752" t="s">
        <v>47305</v>
      </c>
      <c r="P7752">
        <v>0</v>
      </c>
      <c r="Q7752">
        <v>0</v>
      </c>
      <c r="R7752" t="s">
        <v>47312</v>
      </c>
      <c r="S7752" t="s">
        <v>47489</v>
      </c>
      <c r="T7752" t="s">
        <v>49086</v>
      </c>
      <c r="U7752" t="s">
        <v>56020</v>
      </c>
      <c r="W7752" t="s">
        <v>45608</v>
      </c>
      <c r="X7752" t="s">
        <v>47314</v>
      </c>
    </row>
    <row r="7753" spans="1:24">
      <c r="A7753">
        <f>HYPERLINK("https://www.philgeps.gov.ph/GEPSNONPILOT/Tender/SplashBidNoticeAbstractUI.aspx?menuIndex=3&amp;refID=7184746&amp;Result=3","7184746")</f>
        <v>0</v>
      </c>
      <c r="B7753" t="s">
        <v>1360</v>
      </c>
      <c r="C7753" t="s">
        <v>11152</v>
      </c>
      <c r="D7753" t="s">
        <v>19042</v>
      </c>
      <c r="E7753" t="s">
        <v>25832</v>
      </c>
      <c r="F7753" t="s">
        <v>32606</v>
      </c>
      <c r="G7753" t="s">
        <v>32614</v>
      </c>
      <c r="H7753" t="s">
        <v>14201</v>
      </c>
      <c r="I7753" t="s">
        <v>6298</v>
      </c>
      <c r="J7753" t="s">
        <v>37636</v>
      </c>
      <c r="K7753" t="s">
        <v>42623</v>
      </c>
      <c r="M7753" t="s">
        <v>44336</v>
      </c>
      <c r="N7753" t="s">
        <v>47304</v>
      </c>
      <c r="O7753" t="s">
        <v>47305</v>
      </c>
      <c r="P7753">
        <v>0</v>
      </c>
      <c r="Q7753">
        <v>1</v>
      </c>
      <c r="R7753" t="s">
        <v>47312</v>
      </c>
      <c r="S7753" t="s">
        <v>47489</v>
      </c>
      <c r="T7753" t="s">
        <v>48998</v>
      </c>
      <c r="U7753" t="s">
        <v>52390</v>
      </c>
      <c r="W7753" t="s">
        <v>44336</v>
      </c>
      <c r="X7753" t="s">
        <v>47314</v>
      </c>
    </row>
    <row r="7754" spans="1:24">
      <c r="A7754">
        <f>HYPERLINK("https://www.philgeps.gov.ph/GEPSNONPILOT/Tender/SplashBidNoticeAbstractUI.aspx?menuIndex=3&amp;refID=7184904&amp;Result=3","7184904")</f>
        <v>0</v>
      </c>
      <c r="B7754" t="s">
        <v>2473</v>
      </c>
      <c r="C7754" t="s">
        <v>11153</v>
      </c>
      <c r="D7754" t="s">
        <v>19008</v>
      </c>
      <c r="E7754" t="s">
        <v>25833</v>
      </c>
      <c r="F7754" t="s">
        <v>32606</v>
      </c>
      <c r="G7754" t="s">
        <v>32613</v>
      </c>
      <c r="H7754" t="s">
        <v>32623</v>
      </c>
      <c r="I7754" t="s">
        <v>17648</v>
      </c>
      <c r="J7754" t="s">
        <v>32772</v>
      </c>
      <c r="K7754" t="s">
        <v>42639</v>
      </c>
      <c r="M7754" t="s">
        <v>45608</v>
      </c>
      <c r="N7754" t="s">
        <v>47304</v>
      </c>
      <c r="O7754" t="s">
        <v>47305</v>
      </c>
      <c r="P7754">
        <v>0</v>
      </c>
      <c r="Q7754">
        <v>0</v>
      </c>
      <c r="R7754" t="s">
        <v>47312</v>
      </c>
      <c r="S7754" t="s">
        <v>47489</v>
      </c>
      <c r="T7754" t="s">
        <v>49086</v>
      </c>
      <c r="U7754" t="s">
        <v>56021</v>
      </c>
      <c r="W7754" t="s">
        <v>45608</v>
      </c>
      <c r="X7754" t="s">
        <v>47314</v>
      </c>
    </row>
    <row r="7755" spans="1:24">
      <c r="A7755">
        <f>HYPERLINK("https://www.philgeps.gov.ph/GEPSNONPILOT/Tender/SplashBidNoticeAbstractUI.aspx?menuIndex=3&amp;refID=7184240&amp;Result=3","7184240")</f>
        <v>0</v>
      </c>
      <c r="B7755" t="s">
        <v>2473</v>
      </c>
      <c r="C7755" t="s">
        <v>11154</v>
      </c>
      <c r="D7755" t="s">
        <v>19008</v>
      </c>
      <c r="E7755" t="s">
        <v>25834</v>
      </c>
      <c r="F7755" t="s">
        <v>32606</v>
      </c>
      <c r="G7755" t="s">
        <v>32613</v>
      </c>
      <c r="H7755" t="s">
        <v>32623</v>
      </c>
      <c r="I7755" t="s">
        <v>17648</v>
      </c>
      <c r="J7755" t="s">
        <v>32767</v>
      </c>
      <c r="K7755" t="s">
        <v>42639</v>
      </c>
      <c r="M7755" t="s">
        <v>45608</v>
      </c>
      <c r="N7755" t="s">
        <v>47304</v>
      </c>
      <c r="O7755" t="s">
        <v>47305</v>
      </c>
      <c r="P7755">
        <v>0</v>
      </c>
      <c r="Q7755">
        <v>0</v>
      </c>
      <c r="R7755" t="s">
        <v>47312</v>
      </c>
      <c r="S7755" t="s">
        <v>47489</v>
      </c>
      <c r="T7755" t="s">
        <v>49086</v>
      </c>
      <c r="U7755" t="s">
        <v>56022</v>
      </c>
      <c r="W7755" t="s">
        <v>45608</v>
      </c>
      <c r="X7755" t="s">
        <v>47314</v>
      </c>
    </row>
    <row r="7756" spans="1:24">
      <c r="A7756">
        <f>HYPERLINK("https://www.philgeps.gov.ph/GEPSNONPILOT/Tender/SplashBidNoticeAbstractUI.aspx?menuIndex=3&amp;refID=7184963&amp;Result=3","7184963")</f>
        <v>0</v>
      </c>
      <c r="B7756" t="s">
        <v>626</v>
      </c>
      <c r="C7756" t="s">
        <v>11155</v>
      </c>
      <c r="D7756" t="s">
        <v>19049</v>
      </c>
      <c r="E7756" t="s">
        <v>25835</v>
      </c>
      <c r="F7756" t="s">
        <v>32606</v>
      </c>
      <c r="G7756" t="s">
        <v>32613</v>
      </c>
      <c r="H7756" t="s">
        <v>14201</v>
      </c>
      <c r="I7756" t="s">
        <v>6931</v>
      </c>
      <c r="J7756" t="s">
        <v>37637</v>
      </c>
      <c r="K7756" t="s">
        <v>42624</v>
      </c>
      <c r="M7756" t="s">
        <v>43544</v>
      </c>
      <c r="N7756" t="s">
        <v>47304</v>
      </c>
      <c r="O7756" t="s">
        <v>47305</v>
      </c>
      <c r="P7756">
        <v>0</v>
      </c>
      <c r="Q7756">
        <v>1</v>
      </c>
      <c r="R7756" t="s">
        <v>47312</v>
      </c>
      <c r="S7756" t="s">
        <v>47489</v>
      </c>
      <c r="T7756" t="s">
        <v>49157</v>
      </c>
      <c r="U7756" t="s">
        <v>56023</v>
      </c>
      <c r="W7756" t="s">
        <v>64443</v>
      </c>
      <c r="X7756" t="s">
        <v>47314</v>
      </c>
    </row>
    <row r="7757" spans="1:24">
      <c r="A7757">
        <f>HYPERLINK("https://www.philgeps.gov.ph/GEPSNONPILOT/Tender/SplashBidNoticeAbstractUI.aspx?menuIndex=3&amp;refID=7184951&amp;Result=3","7184951")</f>
        <v>0</v>
      </c>
      <c r="B7757" t="s">
        <v>626</v>
      </c>
      <c r="C7757" t="s">
        <v>11156</v>
      </c>
      <c r="D7757" t="s">
        <v>19049</v>
      </c>
      <c r="E7757" t="s">
        <v>25836</v>
      </c>
      <c r="F7757" t="s">
        <v>32606</v>
      </c>
      <c r="G7757" t="s">
        <v>32613</v>
      </c>
      <c r="H7757" t="s">
        <v>14201</v>
      </c>
      <c r="I7757" t="s">
        <v>6298</v>
      </c>
      <c r="J7757" t="s">
        <v>37638</v>
      </c>
      <c r="K7757" t="s">
        <v>42624</v>
      </c>
      <c r="M7757" t="s">
        <v>43544</v>
      </c>
      <c r="N7757" t="s">
        <v>47304</v>
      </c>
      <c r="O7757" t="s">
        <v>47305</v>
      </c>
      <c r="P7757">
        <v>0</v>
      </c>
      <c r="Q7757">
        <v>1</v>
      </c>
      <c r="R7757" t="s">
        <v>47312</v>
      </c>
      <c r="S7757" t="s">
        <v>47489</v>
      </c>
      <c r="T7757" t="s">
        <v>49157</v>
      </c>
      <c r="U7757" t="s">
        <v>56024</v>
      </c>
      <c r="W7757" t="s">
        <v>64443</v>
      </c>
      <c r="X7757" t="s">
        <v>47314</v>
      </c>
    </row>
    <row r="7758" spans="1:24">
      <c r="A7758">
        <f>HYPERLINK("https://www.philgeps.gov.ph/GEPSNONPILOT/Tender/SplashBidNoticeAbstractUI.aspx?menuIndex=3&amp;refID=7184510&amp;Result=3","7184510")</f>
        <v>0</v>
      </c>
      <c r="B7758" t="s">
        <v>895</v>
      </c>
      <c r="C7758" t="s">
        <v>11157</v>
      </c>
      <c r="D7758" t="s">
        <v>18993</v>
      </c>
      <c r="E7758" t="s">
        <v>25837</v>
      </c>
      <c r="F7758" t="s">
        <v>32606</v>
      </c>
      <c r="G7758" t="s">
        <v>32613</v>
      </c>
      <c r="H7758" t="s">
        <v>14201</v>
      </c>
      <c r="I7758" t="s">
        <v>7677</v>
      </c>
      <c r="J7758" t="s">
        <v>37639</v>
      </c>
      <c r="K7758" t="s">
        <v>42624</v>
      </c>
      <c r="M7758" t="s">
        <v>45616</v>
      </c>
      <c r="N7758" t="s">
        <v>47304</v>
      </c>
      <c r="O7758" t="s">
        <v>47305</v>
      </c>
      <c r="P7758">
        <v>0</v>
      </c>
      <c r="Q7758">
        <v>5</v>
      </c>
      <c r="R7758" t="s">
        <v>47312</v>
      </c>
      <c r="S7758" t="s">
        <v>47489</v>
      </c>
      <c r="T7758" t="s">
        <v>49234</v>
      </c>
      <c r="U7758" t="s">
        <v>56025</v>
      </c>
      <c r="W7758" t="s">
        <v>45616</v>
      </c>
      <c r="X7758" t="s">
        <v>47314</v>
      </c>
    </row>
    <row r="7759" spans="1:24">
      <c r="A7759">
        <f>HYPERLINK("https://www.philgeps.gov.ph/GEPSNONPILOT/Tender/SplashBidNoticeAbstractUI.aspx?menuIndex=3&amp;refID=7184911&amp;Result=3","7184911")</f>
        <v>0</v>
      </c>
      <c r="B7759" t="s">
        <v>2473</v>
      </c>
      <c r="C7759" t="s">
        <v>11158</v>
      </c>
      <c r="D7759" t="s">
        <v>19008</v>
      </c>
      <c r="E7759" t="s">
        <v>25838</v>
      </c>
      <c r="F7759" t="s">
        <v>32606</v>
      </c>
      <c r="G7759" t="s">
        <v>32613</v>
      </c>
      <c r="H7759" t="s">
        <v>32623</v>
      </c>
      <c r="I7759" t="s">
        <v>17648</v>
      </c>
      <c r="J7759" t="s">
        <v>37640</v>
      </c>
      <c r="K7759" t="s">
        <v>42731</v>
      </c>
      <c r="M7759" t="s">
        <v>45608</v>
      </c>
      <c r="N7759" t="s">
        <v>47304</v>
      </c>
      <c r="O7759" t="s">
        <v>47305</v>
      </c>
      <c r="P7759">
        <v>0</v>
      </c>
      <c r="Q7759">
        <v>0</v>
      </c>
      <c r="R7759" t="s">
        <v>47312</v>
      </c>
      <c r="S7759" t="s">
        <v>47489</v>
      </c>
      <c r="T7759" t="s">
        <v>49086</v>
      </c>
      <c r="U7759" t="s">
        <v>56026</v>
      </c>
      <c r="W7759" t="s">
        <v>45608</v>
      </c>
      <c r="X7759" t="s">
        <v>47314</v>
      </c>
    </row>
    <row r="7760" spans="1:24">
      <c r="A7760">
        <f>HYPERLINK("https://www.philgeps.gov.ph/GEPSNONPILOT/Tender/SplashBidNoticeAbstractUI.aspx?menuIndex=3&amp;refID=7184966&amp;Result=3","7184966")</f>
        <v>0</v>
      </c>
      <c r="B7760" t="s">
        <v>2486</v>
      </c>
      <c r="C7760" t="s">
        <v>11159</v>
      </c>
      <c r="D7760" t="s">
        <v>19047</v>
      </c>
      <c r="E7760" t="s">
        <v>25839</v>
      </c>
      <c r="F7760" t="s">
        <v>32606</v>
      </c>
      <c r="G7760" t="s">
        <v>32613</v>
      </c>
      <c r="H7760" t="s">
        <v>14201</v>
      </c>
      <c r="I7760" t="s">
        <v>6931</v>
      </c>
      <c r="J7760" t="s">
        <v>37641</v>
      </c>
      <c r="K7760" t="s">
        <v>42623</v>
      </c>
      <c r="M7760" t="s">
        <v>45623</v>
      </c>
      <c r="N7760" t="s">
        <v>47304</v>
      </c>
      <c r="O7760" t="s">
        <v>47305</v>
      </c>
      <c r="P7760">
        <v>0</v>
      </c>
      <c r="Q7760">
        <v>0</v>
      </c>
      <c r="R7760" t="s">
        <v>47312</v>
      </c>
      <c r="S7760" t="s">
        <v>47489</v>
      </c>
      <c r="T7760" t="s">
        <v>49111</v>
      </c>
      <c r="U7760" t="s">
        <v>54806</v>
      </c>
      <c r="W7760" t="s">
        <v>45623</v>
      </c>
      <c r="X7760" t="s">
        <v>47314</v>
      </c>
    </row>
    <row r="7761" spans="1:24">
      <c r="A7761">
        <f>HYPERLINK("https://www.philgeps.gov.ph/GEPSNONPILOT/Tender/SplashBidNoticeAbstractUI.aspx?menuIndex=3&amp;refID=7184558&amp;Result=3","7184558")</f>
        <v>0</v>
      </c>
      <c r="B7761" t="s">
        <v>895</v>
      </c>
      <c r="C7761" t="s">
        <v>11160</v>
      </c>
      <c r="D7761" t="s">
        <v>18993</v>
      </c>
      <c r="E7761" t="s">
        <v>25840</v>
      </c>
      <c r="F7761" t="s">
        <v>32606</v>
      </c>
      <c r="G7761" t="s">
        <v>32613</v>
      </c>
      <c r="H7761" t="s">
        <v>14201</v>
      </c>
      <c r="I7761" t="s">
        <v>7064</v>
      </c>
      <c r="J7761" t="s">
        <v>37642</v>
      </c>
      <c r="K7761" t="s">
        <v>42624</v>
      </c>
      <c r="M7761" t="s">
        <v>45616</v>
      </c>
      <c r="N7761" t="s">
        <v>47304</v>
      </c>
      <c r="O7761" t="s">
        <v>47305</v>
      </c>
      <c r="P7761">
        <v>0</v>
      </c>
      <c r="Q7761">
        <v>26</v>
      </c>
      <c r="R7761" t="s">
        <v>47312</v>
      </c>
      <c r="S7761" t="s">
        <v>47489</v>
      </c>
      <c r="T7761" t="s">
        <v>49234</v>
      </c>
      <c r="U7761" t="s">
        <v>56027</v>
      </c>
      <c r="W7761" t="s">
        <v>45616</v>
      </c>
      <c r="X7761" t="s">
        <v>47314</v>
      </c>
    </row>
    <row r="7762" spans="1:24">
      <c r="A7762">
        <f>HYPERLINK("https://www.philgeps.gov.ph/GEPSNONPILOT/Tender/SplashBidNoticeAbstractUI.aspx?menuIndex=3&amp;refID=7184891&amp;Result=3","7184891")</f>
        <v>0</v>
      </c>
      <c r="B7762" t="s">
        <v>2484</v>
      </c>
      <c r="C7762" t="s">
        <v>11161</v>
      </c>
      <c r="D7762" t="s">
        <v>19034</v>
      </c>
      <c r="E7762" t="s">
        <v>25841</v>
      </c>
      <c r="F7762" t="s">
        <v>32606</v>
      </c>
      <c r="G7762" t="s">
        <v>32613</v>
      </c>
      <c r="H7762" t="s">
        <v>14201</v>
      </c>
      <c r="I7762" t="s">
        <v>32629</v>
      </c>
      <c r="J7762" t="s">
        <v>37643</v>
      </c>
      <c r="K7762" t="s">
        <v>42631</v>
      </c>
      <c r="M7762" t="s">
        <v>45621</v>
      </c>
      <c r="N7762" t="s">
        <v>47304</v>
      </c>
      <c r="O7762" t="s">
        <v>47305</v>
      </c>
      <c r="P7762">
        <v>0</v>
      </c>
      <c r="Q7762">
        <v>0</v>
      </c>
      <c r="R7762" t="s">
        <v>47312</v>
      </c>
      <c r="S7762" t="s">
        <v>47489</v>
      </c>
      <c r="T7762" t="s">
        <v>49157</v>
      </c>
      <c r="U7762" t="s">
        <v>56028</v>
      </c>
      <c r="V7762" t="s">
        <v>63385</v>
      </c>
      <c r="W7762" t="s">
        <v>45621</v>
      </c>
      <c r="X7762" t="s">
        <v>47314</v>
      </c>
    </row>
    <row r="7763" spans="1:24">
      <c r="A7763">
        <f>HYPERLINK("https://www.philgeps.gov.ph/GEPSNONPILOT/Tender/SplashBidNoticeAbstractUI.aspx?menuIndex=3&amp;refID=7184959&amp;Result=3","7184959")</f>
        <v>0</v>
      </c>
      <c r="B7763" t="s">
        <v>2487</v>
      </c>
      <c r="C7763" t="s">
        <v>11162</v>
      </c>
      <c r="D7763" t="s">
        <v>19033</v>
      </c>
      <c r="E7763" t="s">
        <v>19663</v>
      </c>
      <c r="F7763" t="s">
        <v>32608</v>
      </c>
      <c r="G7763" t="s">
        <v>32619</v>
      </c>
      <c r="H7763" t="s">
        <v>14201</v>
      </c>
      <c r="I7763" t="s">
        <v>32646</v>
      </c>
      <c r="J7763" t="s">
        <v>32973</v>
      </c>
      <c r="K7763" t="s">
        <v>42623</v>
      </c>
      <c r="L7763" t="s">
        <v>2487</v>
      </c>
      <c r="M7763" t="s">
        <v>45624</v>
      </c>
      <c r="N7763" t="s">
        <v>47304</v>
      </c>
      <c r="O7763" t="s">
        <v>47305</v>
      </c>
      <c r="P7763">
        <v>0</v>
      </c>
      <c r="Q7763">
        <v>0</v>
      </c>
      <c r="R7763" t="s">
        <v>47312</v>
      </c>
      <c r="S7763" t="s">
        <v>47489</v>
      </c>
      <c r="T7763" t="s">
        <v>49257</v>
      </c>
      <c r="U7763" t="s">
        <v>56029</v>
      </c>
      <c r="W7763" t="s">
        <v>45624</v>
      </c>
      <c r="X7763" t="s">
        <v>47314</v>
      </c>
    </row>
    <row r="7764" spans="1:24">
      <c r="A7764">
        <f>HYPERLINK("https://www.philgeps.gov.ph/GEPSNONPILOT/Tender/SplashBidNoticeAbstractUI.aspx?menuIndex=3&amp;refID=7184854&amp;Result=3","7184854")</f>
        <v>0</v>
      </c>
      <c r="B7764" t="s">
        <v>2488</v>
      </c>
      <c r="C7764" t="s">
        <v>11163</v>
      </c>
      <c r="D7764" t="s">
        <v>19006</v>
      </c>
      <c r="E7764" t="s">
        <v>25842</v>
      </c>
      <c r="F7764" t="s">
        <v>32606</v>
      </c>
      <c r="G7764" t="s">
        <v>32613</v>
      </c>
      <c r="H7764" t="s">
        <v>14201</v>
      </c>
      <c r="I7764" t="s">
        <v>32638</v>
      </c>
      <c r="J7764" t="s">
        <v>37644</v>
      </c>
      <c r="K7764" t="s">
        <v>42646</v>
      </c>
      <c r="M7764" t="s">
        <v>45625</v>
      </c>
      <c r="N7764" t="s">
        <v>47304</v>
      </c>
      <c r="O7764" t="s">
        <v>47305</v>
      </c>
      <c r="P7764">
        <v>0</v>
      </c>
      <c r="Q7764">
        <v>10</v>
      </c>
      <c r="R7764" t="s">
        <v>47312</v>
      </c>
      <c r="S7764" t="s">
        <v>47489</v>
      </c>
      <c r="T7764" t="s">
        <v>48975</v>
      </c>
      <c r="U7764" t="s">
        <v>56030</v>
      </c>
      <c r="W7764" t="s">
        <v>45625</v>
      </c>
      <c r="X7764" t="s">
        <v>47314</v>
      </c>
    </row>
    <row r="7765" spans="1:24">
      <c r="A7765">
        <f>HYPERLINK("https://www.philgeps.gov.ph/GEPSNONPILOT/Tender/SplashBidNoticeAbstractUI.aspx?menuIndex=3&amp;refID=7184890&amp;Result=3","7184890")</f>
        <v>0</v>
      </c>
      <c r="B7765" t="s">
        <v>2473</v>
      </c>
      <c r="C7765" t="s">
        <v>11164</v>
      </c>
      <c r="D7765" t="s">
        <v>19008</v>
      </c>
      <c r="E7765" t="s">
        <v>25843</v>
      </c>
      <c r="F7765" t="s">
        <v>32606</v>
      </c>
      <c r="G7765" t="s">
        <v>32613</v>
      </c>
      <c r="H7765" t="s">
        <v>32623</v>
      </c>
      <c r="I7765" t="s">
        <v>17648</v>
      </c>
      <c r="J7765" t="s">
        <v>32830</v>
      </c>
      <c r="K7765" t="s">
        <v>42645</v>
      </c>
      <c r="M7765" t="s">
        <v>45608</v>
      </c>
      <c r="N7765" t="s">
        <v>47304</v>
      </c>
      <c r="O7765" t="s">
        <v>47305</v>
      </c>
      <c r="P7765">
        <v>0</v>
      </c>
      <c r="Q7765">
        <v>0</v>
      </c>
      <c r="R7765" t="s">
        <v>47312</v>
      </c>
      <c r="S7765" t="s">
        <v>47489</v>
      </c>
      <c r="T7765" t="s">
        <v>49086</v>
      </c>
      <c r="U7765" t="s">
        <v>56031</v>
      </c>
      <c r="W7765" t="s">
        <v>45608</v>
      </c>
      <c r="X7765" t="s">
        <v>47314</v>
      </c>
    </row>
    <row r="7766" spans="1:24">
      <c r="A7766">
        <f>HYPERLINK("https://www.philgeps.gov.ph/GEPSNONPILOT/Tender/SplashBidNoticeAbstractUI.aspx?menuIndex=3&amp;refID=7184576&amp;Result=3","7184576")</f>
        <v>0</v>
      </c>
      <c r="B7766" t="s">
        <v>2481</v>
      </c>
      <c r="C7766" t="s">
        <v>11165</v>
      </c>
      <c r="D7766" t="s">
        <v>19007</v>
      </c>
      <c r="E7766" t="s">
        <v>25844</v>
      </c>
      <c r="F7766" t="s">
        <v>32606</v>
      </c>
      <c r="G7766" t="s">
        <v>32613</v>
      </c>
      <c r="H7766" t="s">
        <v>32623</v>
      </c>
      <c r="I7766" t="s">
        <v>17648</v>
      </c>
      <c r="J7766" t="s">
        <v>37645</v>
      </c>
      <c r="K7766" t="s">
        <v>42639</v>
      </c>
      <c r="M7766" t="s">
        <v>45618</v>
      </c>
      <c r="N7766" t="s">
        <v>47304</v>
      </c>
      <c r="O7766" t="s">
        <v>47305</v>
      </c>
      <c r="P7766">
        <v>0</v>
      </c>
      <c r="Q7766">
        <v>0</v>
      </c>
      <c r="R7766" t="s">
        <v>47312</v>
      </c>
      <c r="S7766" t="s">
        <v>47489</v>
      </c>
      <c r="T7766" t="s">
        <v>48970</v>
      </c>
      <c r="U7766" t="s">
        <v>56032</v>
      </c>
      <c r="W7766" t="s">
        <v>45618</v>
      </c>
      <c r="X7766" t="s">
        <v>47314</v>
      </c>
    </row>
    <row r="7767" spans="1:24">
      <c r="A7767">
        <f>HYPERLINK("https://www.philgeps.gov.ph/GEPSNONPILOT/Tender/SplashBidNoticeAbstractUI.aspx?menuIndex=3&amp;refID=7185825&amp;Result=3","7185825")</f>
        <v>0</v>
      </c>
      <c r="B7767" t="s">
        <v>2484</v>
      </c>
      <c r="C7767" t="s">
        <v>11166</v>
      </c>
      <c r="D7767" t="s">
        <v>19034</v>
      </c>
      <c r="E7767" t="s">
        <v>25845</v>
      </c>
      <c r="F7767" t="s">
        <v>32606</v>
      </c>
      <c r="G7767" t="s">
        <v>32613</v>
      </c>
      <c r="H7767" t="s">
        <v>14201</v>
      </c>
      <c r="I7767" t="s">
        <v>32629</v>
      </c>
      <c r="J7767" t="s">
        <v>37646</v>
      </c>
      <c r="K7767" t="s">
        <v>42631</v>
      </c>
      <c r="M7767" t="s">
        <v>45621</v>
      </c>
      <c r="N7767" t="s">
        <v>47304</v>
      </c>
      <c r="O7767" t="s">
        <v>47305</v>
      </c>
      <c r="P7767">
        <v>0</v>
      </c>
      <c r="Q7767">
        <v>0</v>
      </c>
      <c r="R7767" t="s">
        <v>47312</v>
      </c>
      <c r="S7767" t="s">
        <v>47489</v>
      </c>
      <c r="T7767" t="s">
        <v>49037</v>
      </c>
      <c r="U7767" t="s">
        <v>56033</v>
      </c>
      <c r="V7767" t="s">
        <v>63381</v>
      </c>
      <c r="W7767" t="s">
        <v>45621</v>
      </c>
      <c r="X7767" t="s">
        <v>47314</v>
      </c>
    </row>
    <row r="7768" spans="1:24">
      <c r="A7768">
        <f>HYPERLINK("https://www.philgeps.gov.ph/GEPSNONPILOT/Tender/SplashBidNoticeAbstractUI.aspx?menuIndex=3&amp;refID=7184192&amp;Result=3","7184192")</f>
        <v>0</v>
      </c>
      <c r="B7768" t="s">
        <v>2473</v>
      </c>
      <c r="C7768" t="s">
        <v>11167</v>
      </c>
      <c r="D7768" t="s">
        <v>19008</v>
      </c>
      <c r="E7768" t="s">
        <v>25846</v>
      </c>
      <c r="F7768" t="s">
        <v>32606</v>
      </c>
      <c r="G7768" t="s">
        <v>32613</v>
      </c>
      <c r="H7768" t="s">
        <v>32623</v>
      </c>
      <c r="I7768" t="s">
        <v>17648</v>
      </c>
      <c r="J7768" t="s">
        <v>32772</v>
      </c>
      <c r="K7768" t="s">
        <v>42718</v>
      </c>
      <c r="M7768" t="s">
        <v>45608</v>
      </c>
      <c r="N7768" t="s">
        <v>47304</v>
      </c>
      <c r="O7768" t="s">
        <v>47305</v>
      </c>
      <c r="P7768">
        <v>0</v>
      </c>
      <c r="Q7768">
        <v>1</v>
      </c>
      <c r="R7768" t="s">
        <v>47312</v>
      </c>
      <c r="S7768" t="s">
        <v>47489</v>
      </c>
      <c r="T7768" t="s">
        <v>49086</v>
      </c>
      <c r="U7768" t="s">
        <v>56034</v>
      </c>
      <c r="W7768" t="s">
        <v>45608</v>
      </c>
      <c r="X7768" t="s">
        <v>47314</v>
      </c>
    </row>
    <row r="7769" spans="1:24">
      <c r="A7769">
        <f>HYPERLINK("https://www.philgeps.gov.ph/GEPSNONPILOT/Tender/SplashBidNoticeAbstractUI.aspx?menuIndex=3&amp;refID=7184861&amp;Result=3","7184861")</f>
        <v>0</v>
      </c>
      <c r="B7769" t="s">
        <v>2489</v>
      </c>
      <c r="C7769" t="s">
        <v>11168</v>
      </c>
      <c r="D7769" t="s">
        <v>19047</v>
      </c>
      <c r="E7769" t="s">
        <v>25847</v>
      </c>
      <c r="F7769" t="s">
        <v>32606</v>
      </c>
      <c r="G7769" t="s">
        <v>32613</v>
      </c>
      <c r="H7769" t="s">
        <v>14201</v>
      </c>
      <c r="I7769" t="s">
        <v>6931</v>
      </c>
      <c r="J7769" t="s">
        <v>37647</v>
      </c>
      <c r="K7769" t="s">
        <v>42623</v>
      </c>
      <c r="M7769" t="s">
        <v>45626</v>
      </c>
      <c r="N7769" t="s">
        <v>47304</v>
      </c>
      <c r="O7769" t="s">
        <v>47305</v>
      </c>
      <c r="P7769">
        <v>0</v>
      </c>
      <c r="Q7769">
        <v>0</v>
      </c>
      <c r="R7769" t="s">
        <v>47312</v>
      </c>
      <c r="S7769" t="s">
        <v>47489</v>
      </c>
      <c r="T7769" t="s">
        <v>49111</v>
      </c>
      <c r="U7769" t="s">
        <v>54806</v>
      </c>
      <c r="W7769" t="s">
        <v>45626</v>
      </c>
      <c r="X7769" t="s">
        <v>47314</v>
      </c>
    </row>
    <row r="7770" spans="1:24">
      <c r="A7770">
        <f>HYPERLINK("https://www.philgeps.gov.ph/GEPSNONPILOT/Tender/SplashBidNoticeAbstractUI.aspx?menuIndex=3&amp;refID=7185790&amp;Result=3","7185790")</f>
        <v>0</v>
      </c>
      <c r="B7770" t="s">
        <v>810</v>
      </c>
      <c r="C7770" t="s">
        <v>11169</v>
      </c>
      <c r="D7770" t="s">
        <v>19013</v>
      </c>
      <c r="E7770" t="s">
        <v>25848</v>
      </c>
      <c r="F7770" t="s">
        <v>32606</v>
      </c>
      <c r="G7770" t="s">
        <v>32614</v>
      </c>
      <c r="H7770" t="s">
        <v>14201</v>
      </c>
      <c r="I7770" t="s">
        <v>6007</v>
      </c>
      <c r="J7770" t="s">
        <v>37260</v>
      </c>
      <c r="K7770" t="s">
        <v>42624</v>
      </c>
      <c r="M7770" t="s">
        <v>43741</v>
      </c>
      <c r="N7770" t="s">
        <v>47304</v>
      </c>
      <c r="O7770" t="s">
        <v>47305</v>
      </c>
      <c r="P7770">
        <v>0</v>
      </c>
      <c r="Q7770">
        <v>2</v>
      </c>
      <c r="R7770" t="s">
        <v>47312</v>
      </c>
      <c r="S7770" t="s">
        <v>47489</v>
      </c>
      <c r="T7770" t="s">
        <v>49068</v>
      </c>
      <c r="U7770" t="s">
        <v>51044</v>
      </c>
      <c r="W7770" t="s">
        <v>43741</v>
      </c>
      <c r="X7770" t="s">
        <v>47314</v>
      </c>
    </row>
    <row r="7771" spans="1:24">
      <c r="A7771">
        <f>HYPERLINK("https://www.philgeps.gov.ph/GEPSNONPILOT/Tender/SplashBidNoticeAbstractUI.aspx?menuIndex=3&amp;refID=7184850&amp;Result=3","7184850")</f>
        <v>0</v>
      </c>
      <c r="B7771" t="s">
        <v>2489</v>
      </c>
      <c r="C7771" t="s">
        <v>11170</v>
      </c>
      <c r="D7771" t="s">
        <v>19047</v>
      </c>
      <c r="E7771" t="s">
        <v>25849</v>
      </c>
      <c r="F7771" t="s">
        <v>32606</v>
      </c>
      <c r="G7771" t="s">
        <v>32613</v>
      </c>
      <c r="H7771" t="s">
        <v>32623</v>
      </c>
      <c r="I7771" t="s">
        <v>17648</v>
      </c>
      <c r="J7771" t="s">
        <v>37648</v>
      </c>
      <c r="K7771" t="s">
        <v>42677</v>
      </c>
      <c r="M7771" t="s">
        <v>45626</v>
      </c>
      <c r="N7771" t="s">
        <v>47304</v>
      </c>
      <c r="O7771" t="s">
        <v>47305</v>
      </c>
      <c r="P7771">
        <v>0</v>
      </c>
      <c r="Q7771">
        <v>0</v>
      </c>
      <c r="R7771" t="s">
        <v>47312</v>
      </c>
      <c r="S7771" t="s">
        <v>47489</v>
      </c>
      <c r="T7771" t="s">
        <v>49111</v>
      </c>
      <c r="U7771" t="s">
        <v>54788</v>
      </c>
      <c r="W7771" t="s">
        <v>45626</v>
      </c>
      <c r="X7771" t="s">
        <v>47314</v>
      </c>
    </row>
    <row r="7772" spans="1:24">
      <c r="A7772">
        <f>HYPERLINK("https://www.philgeps.gov.ph/GEPSNONPILOT/Tender/SplashBidNoticeAbstractUI.aspx?menuIndex=3&amp;refID=7185759&amp;Result=3","7185759")</f>
        <v>0</v>
      </c>
      <c r="B7772" t="s">
        <v>2490</v>
      </c>
      <c r="C7772" t="s">
        <v>11171</v>
      </c>
      <c r="D7772" t="s">
        <v>19006</v>
      </c>
      <c r="E7772" t="s">
        <v>25850</v>
      </c>
      <c r="F7772" t="s">
        <v>32606</v>
      </c>
      <c r="G7772" t="s">
        <v>32614</v>
      </c>
      <c r="H7772" t="s">
        <v>14201</v>
      </c>
      <c r="I7772" t="s">
        <v>6993</v>
      </c>
      <c r="J7772" t="s">
        <v>37649</v>
      </c>
      <c r="K7772" t="s">
        <v>42627</v>
      </c>
      <c r="M7772" t="s">
        <v>45627</v>
      </c>
      <c r="N7772" t="s">
        <v>47304</v>
      </c>
      <c r="O7772" t="s">
        <v>47305</v>
      </c>
      <c r="P7772">
        <v>0</v>
      </c>
      <c r="Q7772">
        <v>3</v>
      </c>
      <c r="R7772" t="s">
        <v>47312</v>
      </c>
      <c r="S7772" t="s">
        <v>47489</v>
      </c>
      <c r="T7772" t="s">
        <v>49269</v>
      </c>
      <c r="U7772" t="s">
        <v>56035</v>
      </c>
      <c r="W7772" t="s">
        <v>45627</v>
      </c>
      <c r="X7772" t="s">
        <v>47314</v>
      </c>
    </row>
    <row r="7773" spans="1:24">
      <c r="A7773">
        <f>HYPERLINK("https://www.philgeps.gov.ph/GEPSNONPILOT/Tender/SplashBidNoticeAbstractUI.aspx?menuIndex=3&amp;refID=7184922&amp;Result=3","7184922")</f>
        <v>0</v>
      </c>
      <c r="B7773" t="s">
        <v>2473</v>
      </c>
      <c r="C7773" t="s">
        <v>11172</v>
      </c>
      <c r="D7773" t="s">
        <v>19008</v>
      </c>
      <c r="E7773" t="s">
        <v>25851</v>
      </c>
      <c r="F7773" t="s">
        <v>32606</v>
      </c>
      <c r="G7773" t="s">
        <v>32613</v>
      </c>
      <c r="H7773" t="s">
        <v>32623</v>
      </c>
      <c r="I7773" t="s">
        <v>17648</v>
      </c>
      <c r="J7773" t="s">
        <v>33617</v>
      </c>
      <c r="K7773" t="s">
        <v>42683</v>
      </c>
      <c r="M7773" t="s">
        <v>45608</v>
      </c>
      <c r="N7773" t="s">
        <v>47304</v>
      </c>
      <c r="O7773" t="s">
        <v>47305</v>
      </c>
      <c r="P7773">
        <v>0</v>
      </c>
      <c r="Q7773">
        <v>0</v>
      </c>
      <c r="R7773" t="s">
        <v>47312</v>
      </c>
      <c r="S7773" t="s">
        <v>47489</v>
      </c>
      <c r="T7773" t="s">
        <v>49086</v>
      </c>
      <c r="U7773" t="s">
        <v>56036</v>
      </c>
      <c r="W7773" t="s">
        <v>45608</v>
      </c>
      <c r="X7773" t="s">
        <v>47314</v>
      </c>
    </row>
    <row r="7774" spans="1:24">
      <c r="A7774">
        <f>HYPERLINK("https://www.philgeps.gov.ph/GEPSNONPILOT/Tender/SplashBidNoticeAbstractUI.aspx?menuIndex=3&amp;refID=7182601&amp;Result=3","7182601")</f>
        <v>0</v>
      </c>
      <c r="B7774" t="s">
        <v>1551</v>
      </c>
      <c r="C7774" t="s">
        <v>11173</v>
      </c>
      <c r="D7774" t="s">
        <v>19046</v>
      </c>
      <c r="E7774" t="s">
        <v>25852</v>
      </c>
      <c r="F7774" t="s">
        <v>32606</v>
      </c>
      <c r="G7774" t="s">
        <v>32613</v>
      </c>
      <c r="H7774" t="s">
        <v>32623</v>
      </c>
      <c r="I7774" t="s">
        <v>17648</v>
      </c>
      <c r="J7774" t="s">
        <v>37650</v>
      </c>
      <c r="K7774" t="s">
        <v>42697</v>
      </c>
      <c r="M7774" t="s">
        <v>44555</v>
      </c>
      <c r="N7774" t="s">
        <v>47304</v>
      </c>
      <c r="O7774" t="s">
        <v>47305</v>
      </c>
      <c r="P7774">
        <v>0</v>
      </c>
      <c r="Q7774">
        <v>1</v>
      </c>
      <c r="R7774" t="s">
        <v>47312</v>
      </c>
      <c r="S7774" t="s">
        <v>47489</v>
      </c>
      <c r="T7774" t="s">
        <v>49037</v>
      </c>
      <c r="U7774" t="s">
        <v>56037</v>
      </c>
      <c r="W7774" t="s">
        <v>44555</v>
      </c>
      <c r="X7774" t="s">
        <v>47315</v>
      </c>
    </row>
    <row r="7775" spans="1:24">
      <c r="A7775">
        <f>HYPERLINK("https://www.philgeps.gov.ph/GEPSNONPILOT/Tender/SplashBidNoticeAbstractUI.aspx?menuIndex=3&amp;refID=7185721&amp;Result=3","7185721")</f>
        <v>0</v>
      </c>
      <c r="B7775" t="s">
        <v>2484</v>
      </c>
      <c r="C7775" t="s">
        <v>11174</v>
      </c>
      <c r="D7775" t="s">
        <v>19034</v>
      </c>
      <c r="E7775" t="s">
        <v>25853</v>
      </c>
      <c r="F7775" t="s">
        <v>32606</v>
      </c>
      <c r="G7775" t="s">
        <v>32613</v>
      </c>
      <c r="H7775" t="s">
        <v>14201</v>
      </c>
      <c r="I7775" t="s">
        <v>32629</v>
      </c>
      <c r="J7775" t="s">
        <v>37651</v>
      </c>
      <c r="K7775" t="s">
        <v>42631</v>
      </c>
      <c r="M7775" t="s">
        <v>45621</v>
      </c>
      <c r="N7775" t="s">
        <v>47304</v>
      </c>
      <c r="O7775" t="s">
        <v>47305</v>
      </c>
      <c r="P7775">
        <v>0</v>
      </c>
      <c r="Q7775">
        <v>0</v>
      </c>
      <c r="R7775" t="s">
        <v>47312</v>
      </c>
      <c r="S7775" t="s">
        <v>47489</v>
      </c>
      <c r="T7775" t="s">
        <v>49037</v>
      </c>
      <c r="U7775" t="s">
        <v>56038</v>
      </c>
      <c r="V7775" t="s">
        <v>63381</v>
      </c>
      <c r="W7775" t="s">
        <v>45621</v>
      </c>
      <c r="X7775" t="s">
        <v>47314</v>
      </c>
    </row>
    <row r="7776" spans="1:24">
      <c r="A7776">
        <f>HYPERLINK("https://www.philgeps.gov.ph/GEPSNONPILOT/Tender/SplashBidNoticeAbstractUI.aspx?menuIndex=3&amp;refID=7185667&amp;Result=3","7185667")</f>
        <v>0</v>
      </c>
      <c r="B7776" t="s">
        <v>2490</v>
      </c>
      <c r="C7776" t="s">
        <v>11175</v>
      </c>
      <c r="D7776" t="s">
        <v>19006</v>
      </c>
      <c r="E7776" t="s">
        <v>25854</v>
      </c>
      <c r="F7776" t="s">
        <v>32606</v>
      </c>
      <c r="G7776" t="s">
        <v>32614</v>
      </c>
      <c r="H7776" t="s">
        <v>14201</v>
      </c>
      <c r="I7776" t="s">
        <v>32629</v>
      </c>
      <c r="J7776" t="s">
        <v>37652</v>
      </c>
      <c r="K7776" t="s">
        <v>42623</v>
      </c>
      <c r="M7776" t="s">
        <v>45627</v>
      </c>
      <c r="N7776" t="s">
        <v>47304</v>
      </c>
      <c r="O7776" t="s">
        <v>47305</v>
      </c>
      <c r="P7776">
        <v>0</v>
      </c>
      <c r="Q7776">
        <v>0</v>
      </c>
      <c r="R7776" t="s">
        <v>47312</v>
      </c>
      <c r="S7776" t="s">
        <v>47489</v>
      </c>
      <c r="T7776" t="s">
        <v>49269</v>
      </c>
      <c r="U7776" t="s">
        <v>56039</v>
      </c>
      <c r="W7776" t="s">
        <v>45627</v>
      </c>
      <c r="X7776" t="s">
        <v>47314</v>
      </c>
    </row>
    <row r="7777" spans="1:24">
      <c r="A7777">
        <f>HYPERLINK("https://www.philgeps.gov.ph/GEPSNONPILOT/Tender/SplashBidNoticeAbstractUI.aspx?menuIndex=3&amp;refID=7185649&amp;Result=3","7185649")</f>
        <v>0</v>
      </c>
      <c r="B7777" t="s">
        <v>2491</v>
      </c>
      <c r="C7777" t="s">
        <v>11176</v>
      </c>
      <c r="D7777" t="s">
        <v>19010</v>
      </c>
      <c r="E7777" t="s">
        <v>25855</v>
      </c>
      <c r="F7777" t="s">
        <v>32606</v>
      </c>
      <c r="G7777" t="s">
        <v>32613</v>
      </c>
      <c r="H7777" t="s">
        <v>14201</v>
      </c>
      <c r="I7777" t="s">
        <v>6298</v>
      </c>
      <c r="J7777" t="s">
        <v>37653</v>
      </c>
      <c r="K7777" t="s">
        <v>42627</v>
      </c>
      <c r="M7777" t="s">
        <v>45628</v>
      </c>
      <c r="N7777" t="s">
        <v>47304</v>
      </c>
      <c r="O7777" t="s">
        <v>47305</v>
      </c>
      <c r="P7777">
        <v>0</v>
      </c>
      <c r="Q7777">
        <v>1</v>
      </c>
      <c r="R7777" t="s">
        <v>47312</v>
      </c>
      <c r="S7777" t="s">
        <v>47489</v>
      </c>
      <c r="T7777" t="s">
        <v>49221</v>
      </c>
      <c r="U7777" t="s">
        <v>56040</v>
      </c>
      <c r="W7777" t="s">
        <v>45628</v>
      </c>
      <c r="X7777" t="s">
        <v>47314</v>
      </c>
    </row>
    <row r="7778" spans="1:24">
      <c r="A7778">
        <f>HYPERLINK("https://www.philgeps.gov.ph/GEPSNONPILOT/Tender/SplashBidNoticeAbstractUI.aspx?menuIndex=3&amp;refID=7185600&amp;Result=3","7185600")</f>
        <v>0</v>
      </c>
      <c r="B7778" t="s">
        <v>2490</v>
      </c>
      <c r="C7778" t="s">
        <v>11177</v>
      </c>
      <c r="D7778" t="s">
        <v>19006</v>
      </c>
      <c r="E7778" t="s">
        <v>25856</v>
      </c>
      <c r="F7778" t="s">
        <v>32606</v>
      </c>
      <c r="G7778" t="s">
        <v>32614</v>
      </c>
      <c r="H7778" t="s">
        <v>14201</v>
      </c>
      <c r="I7778" t="s">
        <v>13131</v>
      </c>
      <c r="J7778" t="s">
        <v>34321</v>
      </c>
      <c r="K7778" t="s">
        <v>42631</v>
      </c>
      <c r="M7778" t="s">
        <v>45627</v>
      </c>
      <c r="N7778" t="s">
        <v>47304</v>
      </c>
      <c r="O7778" t="s">
        <v>47305</v>
      </c>
      <c r="P7778">
        <v>0</v>
      </c>
      <c r="Q7778">
        <v>8</v>
      </c>
      <c r="R7778" t="s">
        <v>47312</v>
      </c>
      <c r="S7778" t="s">
        <v>47489</v>
      </c>
      <c r="T7778" t="s">
        <v>49269</v>
      </c>
      <c r="U7778" t="s">
        <v>56041</v>
      </c>
      <c r="W7778" t="s">
        <v>45627</v>
      </c>
      <c r="X7778" t="s">
        <v>47314</v>
      </c>
    </row>
    <row r="7779" spans="1:24">
      <c r="A7779">
        <f>HYPERLINK("https://www.philgeps.gov.ph/GEPSNONPILOT/Tender/SplashBidNoticeAbstractUI.aspx?menuIndex=3&amp;refID=7185572&amp;Result=3","7185572")</f>
        <v>0</v>
      </c>
      <c r="B7779" t="s">
        <v>2490</v>
      </c>
      <c r="C7779" t="s">
        <v>11178</v>
      </c>
      <c r="D7779" t="s">
        <v>19006</v>
      </c>
      <c r="E7779" t="s">
        <v>25857</v>
      </c>
      <c r="F7779" t="s">
        <v>32606</v>
      </c>
      <c r="G7779" t="s">
        <v>32614</v>
      </c>
      <c r="H7779" t="s">
        <v>14201</v>
      </c>
      <c r="I7779" t="s">
        <v>13131</v>
      </c>
      <c r="J7779" t="s">
        <v>37654</v>
      </c>
      <c r="K7779" t="s">
        <v>42636</v>
      </c>
      <c r="M7779" t="s">
        <v>45627</v>
      </c>
      <c r="N7779" t="s">
        <v>47304</v>
      </c>
      <c r="O7779" t="s">
        <v>47305</v>
      </c>
      <c r="P7779">
        <v>0</v>
      </c>
      <c r="Q7779">
        <v>16</v>
      </c>
      <c r="R7779" t="s">
        <v>47312</v>
      </c>
      <c r="S7779" t="s">
        <v>47489</v>
      </c>
      <c r="T7779" t="s">
        <v>49269</v>
      </c>
      <c r="U7779" t="s">
        <v>56042</v>
      </c>
      <c r="W7779" t="s">
        <v>45627</v>
      </c>
      <c r="X7779" t="s">
        <v>47314</v>
      </c>
    </row>
    <row r="7780" spans="1:24">
      <c r="A7780">
        <f>HYPERLINK("https://www.philgeps.gov.ph/GEPSNONPILOT/Tender/SplashBidNoticeAbstractUI.aspx?menuIndex=3&amp;refID=7185781&amp;Result=3","7185781")</f>
        <v>0</v>
      </c>
      <c r="B7780" t="s">
        <v>2492</v>
      </c>
      <c r="C7780" t="s">
        <v>11179</v>
      </c>
      <c r="D7780" t="s">
        <v>19010</v>
      </c>
      <c r="E7780" t="s">
        <v>25858</v>
      </c>
      <c r="F7780" t="s">
        <v>32606</v>
      </c>
      <c r="G7780" t="s">
        <v>32613</v>
      </c>
      <c r="H7780" t="s">
        <v>14201</v>
      </c>
      <c r="I7780" t="s">
        <v>32686</v>
      </c>
      <c r="J7780" t="s">
        <v>37655</v>
      </c>
      <c r="K7780" t="s">
        <v>42631</v>
      </c>
      <c r="M7780" t="s">
        <v>45629</v>
      </c>
      <c r="N7780" t="s">
        <v>47304</v>
      </c>
      <c r="O7780" t="s">
        <v>47305</v>
      </c>
      <c r="P7780">
        <v>0</v>
      </c>
      <c r="Q7780">
        <v>10</v>
      </c>
      <c r="R7780" t="s">
        <v>47312</v>
      </c>
      <c r="S7780" t="s">
        <v>47489</v>
      </c>
      <c r="T7780" t="s">
        <v>49057</v>
      </c>
      <c r="U7780" t="s">
        <v>56043</v>
      </c>
      <c r="W7780" t="s">
        <v>45629</v>
      </c>
      <c r="X7780" t="s">
        <v>47314</v>
      </c>
    </row>
    <row r="7781" spans="1:24">
      <c r="A7781">
        <f>HYPERLINK("https://www.philgeps.gov.ph/GEPSNONPILOT/Tender/SplashBidNoticeAbstractUI.aspx?menuIndex=3&amp;refID=7185494&amp;Result=3","7185494")</f>
        <v>0</v>
      </c>
      <c r="B7781" t="s">
        <v>704</v>
      </c>
      <c r="C7781" t="s">
        <v>11180</v>
      </c>
      <c r="D7781" t="s">
        <v>19031</v>
      </c>
      <c r="E7781" t="s">
        <v>25859</v>
      </c>
      <c r="F7781" t="s">
        <v>32606</v>
      </c>
      <c r="G7781" t="s">
        <v>32613</v>
      </c>
      <c r="H7781" t="s">
        <v>14201</v>
      </c>
      <c r="I7781" t="s">
        <v>32631</v>
      </c>
      <c r="J7781" t="s">
        <v>37656</v>
      </c>
      <c r="K7781" t="s">
        <v>42624</v>
      </c>
      <c r="M7781" t="s">
        <v>45630</v>
      </c>
      <c r="N7781" t="s">
        <v>47304</v>
      </c>
      <c r="O7781" t="s">
        <v>47305</v>
      </c>
      <c r="P7781">
        <v>0</v>
      </c>
      <c r="Q7781">
        <v>0</v>
      </c>
      <c r="R7781" t="s">
        <v>47312</v>
      </c>
      <c r="S7781" t="s">
        <v>47489</v>
      </c>
      <c r="T7781" t="s">
        <v>49053</v>
      </c>
      <c r="U7781" t="s">
        <v>56044</v>
      </c>
      <c r="V7781" t="s">
        <v>63386</v>
      </c>
      <c r="W7781" t="s">
        <v>43625</v>
      </c>
      <c r="X7781" t="s">
        <v>47314</v>
      </c>
    </row>
    <row r="7782" spans="1:24">
      <c r="A7782">
        <f>HYPERLINK("https://www.philgeps.gov.ph/GEPSNONPILOT/Tender/SplashBidNoticeAbstractUI.aspx?menuIndex=3&amp;refID=7185729&amp;Result=3","7185729")</f>
        <v>0</v>
      </c>
      <c r="B7782" t="s">
        <v>2493</v>
      </c>
      <c r="C7782" t="s">
        <v>11181</v>
      </c>
      <c r="D7782" t="s">
        <v>19036</v>
      </c>
      <c r="E7782" t="s">
        <v>23890</v>
      </c>
      <c r="F7782" t="s">
        <v>32606</v>
      </c>
      <c r="G7782" t="s">
        <v>32613</v>
      </c>
      <c r="H7782" t="s">
        <v>14201</v>
      </c>
      <c r="I7782" t="s">
        <v>32657</v>
      </c>
      <c r="J7782" t="s">
        <v>37657</v>
      </c>
      <c r="K7782" t="s">
        <v>42677</v>
      </c>
      <c r="M7782" t="s">
        <v>45631</v>
      </c>
      <c r="N7782" t="s">
        <v>47304</v>
      </c>
      <c r="O7782" t="s">
        <v>47305</v>
      </c>
      <c r="P7782">
        <v>0</v>
      </c>
      <c r="Q7782">
        <v>4</v>
      </c>
      <c r="R7782" t="s">
        <v>47312</v>
      </c>
      <c r="S7782" t="s">
        <v>47489</v>
      </c>
      <c r="T7782" t="s">
        <v>49257</v>
      </c>
      <c r="U7782" t="s">
        <v>56045</v>
      </c>
      <c r="V7782" t="s">
        <v>63387</v>
      </c>
      <c r="W7782" t="s">
        <v>45631</v>
      </c>
      <c r="X7782" t="s">
        <v>47314</v>
      </c>
    </row>
    <row r="7783" spans="1:24">
      <c r="A7783">
        <f>HYPERLINK("https://www.philgeps.gov.ph/GEPSNONPILOT/Tender/SplashBidNoticeAbstractUI.aspx?menuIndex=3&amp;refID=7185814&amp;Result=3","7185814")</f>
        <v>0</v>
      </c>
      <c r="B7783" t="s">
        <v>810</v>
      </c>
      <c r="C7783" t="s">
        <v>11182</v>
      </c>
      <c r="D7783" t="s">
        <v>19013</v>
      </c>
      <c r="E7783" t="s">
        <v>25860</v>
      </c>
      <c r="F7783" t="s">
        <v>32606</v>
      </c>
      <c r="G7783" t="s">
        <v>32614</v>
      </c>
      <c r="H7783" t="s">
        <v>14201</v>
      </c>
      <c r="I7783" t="s">
        <v>6007</v>
      </c>
      <c r="J7783" t="s">
        <v>37658</v>
      </c>
      <c r="K7783" t="s">
        <v>42624</v>
      </c>
      <c r="M7783" t="s">
        <v>43741</v>
      </c>
      <c r="N7783" t="s">
        <v>47304</v>
      </c>
      <c r="O7783" t="s">
        <v>47305</v>
      </c>
      <c r="P7783">
        <v>0</v>
      </c>
      <c r="Q7783">
        <v>2</v>
      </c>
      <c r="R7783" t="s">
        <v>47312</v>
      </c>
      <c r="S7783" t="s">
        <v>47489</v>
      </c>
      <c r="T7783" t="s">
        <v>49068</v>
      </c>
      <c r="U7783" t="s">
        <v>51044</v>
      </c>
      <c r="W7783" t="s">
        <v>43741</v>
      </c>
      <c r="X7783" t="s">
        <v>47314</v>
      </c>
    </row>
    <row r="7784" spans="1:24">
      <c r="A7784">
        <f>HYPERLINK("https://www.philgeps.gov.ph/GEPSNONPILOT/Tender/SplashBidNoticeAbstractUI.aspx?menuIndex=3&amp;refID=7185702&amp;Result=3","7185702")</f>
        <v>0</v>
      </c>
      <c r="B7784" t="s">
        <v>2490</v>
      </c>
      <c r="C7784" t="s">
        <v>11183</v>
      </c>
      <c r="D7784" t="s">
        <v>19006</v>
      </c>
      <c r="E7784" t="s">
        <v>25861</v>
      </c>
      <c r="F7784" t="s">
        <v>32606</v>
      </c>
      <c r="G7784" t="s">
        <v>32617</v>
      </c>
      <c r="H7784" t="s">
        <v>14201</v>
      </c>
      <c r="I7784" t="s">
        <v>4114</v>
      </c>
      <c r="J7784" t="s">
        <v>37659</v>
      </c>
      <c r="K7784" t="s">
        <v>42694</v>
      </c>
      <c r="M7784" t="s">
        <v>45627</v>
      </c>
      <c r="N7784" t="s">
        <v>47304</v>
      </c>
      <c r="O7784" t="s">
        <v>47305</v>
      </c>
      <c r="P7784">
        <v>0</v>
      </c>
      <c r="Q7784">
        <v>2</v>
      </c>
      <c r="R7784" t="s">
        <v>47312</v>
      </c>
      <c r="S7784" t="s">
        <v>47489</v>
      </c>
      <c r="T7784" t="s">
        <v>49269</v>
      </c>
      <c r="U7784" t="s">
        <v>56046</v>
      </c>
      <c r="W7784" t="s">
        <v>45627</v>
      </c>
      <c r="X7784" t="s">
        <v>47314</v>
      </c>
    </row>
    <row r="7785" spans="1:24">
      <c r="A7785">
        <f>HYPERLINK("https://www.philgeps.gov.ph/GEPSNONPILOT/Tender/SplashBidNoticeAbstractUI.aspx?menuIndex=3&amp;refID=7186173&amp;Result=3","7186173")</f>
        <v>0</v>
      </c>
      <c r="B7785" t="s">
        <v>258</v>
      </c>
      <c r="C7785" t="s">
        <v>11184</v>
      </c>
      <c r="D7785" t="s">
        <v>19038</v>
      </c>
      <c r="E7785" t="s">
        <v>25862</v>
      </c>
      <c r="F7785" t="s">
        <v>32606</v>
      </c>
      <c r="G7785" t="s">
        <v>32615</v>
      </c>
      <c r="H7785" t="s">
        <v>14201</v>
      </c>
      <c r="I7785" t="s">
        <v>32650</v>
      </c>
      <c r="J7785" t="s">
        <v>37660</v>
      </c>
      <c r="K7785" t="s">
        <v>42623</v>
      </c>
      <c r="M7785" t="s">
        <v>44611</v>
      </c>
      <c r="N7785" t="s">
        <v>47304</v>
      </c>
      <c r="O7785" t="s">
        <v>47305</v>
      </c>
      <c r="P7785">
        <v>0</v>
      </c>
      <c r="Q7785">
        <v>2</v>
      </c>
      <c r="R7785" t="s">
        <v>47312</v>
      </c>
      <c r="S7785" t="s">
        <v>47489</v>
      </c>
      <c r="T7785" t="s">
        <v>49165</v>
      </c>
      <c r="U7785" t="s">
        <v>56047</v>
      </c>
      <c r="W7785" t="s">
        <v>44611</v>
      </c>
      <c r="X7785" t="s">
        <v>47314</v>
      </c>
    </row>
    <row r="7786" spans="1:24">
      <c r="A7786">
        <f>HYPERLINK("https://www.philgeps.gov.ph/GEPSNONPILOT/Tender/SplashBidNoticeAbstractUI.aspx?menuIndex=3&amp;refID=7184832&amp;Result=3","7184832")</f>
        <v>0</v>
      </c>
      <c r="B7786" t="s">
        <v>2489</v>
      </c>
      <c r="C7786" t="s">
        <v>11185</v>
      </c>
      <c r="D7786" t="s">
        <v>19047</v>
      </c>
      <c r="E7786" t="s">
        <v>25863</v>
      </c>
      <c r="F7786" t="s">
        <v>32606</v>
      </c>
      <c r="G7786" t="s">
        <v>32613</v>
      </c>
      <c r="H7786" t="s">
        <v>32623</v>
      </c>
      <c r="I7786" t="s">
        <v>17648</v>
      </c>
      <c r="J7786" t="s">
        <v>37661</v>
      </c>
      <c r="K7786" t="s">
        <v>42623</v>
      </c>
      <c r="M7786" t="s">
        <v>45626</v>
      </c>
      <c r="N7786" t="s">
        <v>47304</v>
      </c>
      <c r="O7786" t="s">
        <v>47305</v>
      </c>
      <c r="P7786">
        <v>0</v>
      </c>
      <c r="Q7786">
        <v>0</v>
      </c>
      <c r="R7786" t="s">
        <v>47312</v>
      </c>
      <c r="S7786" t="s">
        <v>47489</v>
      </c>
      <c r="T7786" t="s">
        <v>49111</v>
      </c>
      <c r="U7786" t="s">
        <v>54788</v>
      </c>
      <c r="W7786" t="s">
        <v>45626</v>
      </c>
      <c r="X7786" t="s">
        <v>47314</v>
      </c>
    </row>
    <row r="7787" spans="1:24">
      <c r="A7787">
        <f>HYPERLINK("https://www.philgeps.gov.ph/GEPSNONPILOT/Tender/SplashBidNoticeAbstractUI.aspx?menuIndex=3&amp;refID=7186113&amp;Result=3","7186113")</f>
        <v>0</v>
      </c>
      <c r="B7787" t="s">
        <v>2494</v>
      </c>
      <c r="C7787" t="s">
        <v>11186</v>
      </c>
      <c r="D7787" t="s">
        <v>19060</v>
      </c>
      <c r="E7787" t="s">
        <v>25864</v>
      </c>
      <c r="F7787" t="s">
        <v>32606</v>
      </c>
      <c r="G7787" t="s">
        <v>32613</v>
      </c>
      <c r="H7787" t="s">
        <v>14201</v>
      </c>
      <c r="I7787" t="s">
        <v>7064</v>
      </c>
      <c r="J7787" t="s">
        <v>32767</v>
      </c>
      <c r="K7787" t="s">
        <v>42631</v>
      </c>
      <c r="M7787" t="s">
        <v>45632</v>
      </c>
      <c r="N7787" t="s">
        <v>47304</v>
      </c>
      <c r="O7787" t="s">
        <v>47305</v>
      </c>
      <c r="P7787">
        <v>0</v>
      </c>
      <c r="Q7787">
        <v>0</v>
      </c>
      <c r="R7787" t="s">
        <v>47312</v>
      </c>
      <c r="S7787" t="s">
        <v>47489</v>
      </c>
      <c r="T7787" t="s">
        <v>49234</v>
      </c>
      <c r="U7787" t="s">
        <v>56048</v>
      </c>
      <c r="W7787" t="s">
        <v>45632</v>
      </c>
      <c r="X7787" t="s">
        <v>47314</v>
      </c>
    </row>
    <row r="7788" spans="1:24">
      <c r="A7788">
        <f>HYPERLINK("https://www.philgeps.gov.ph/GEPSNONPILOT/Tender/SplashBidNoticeAbstractUI.aspx?menuIndex=3&amp;refID=7186086&amp;Result=3","7186086")</f>
        <v>0</v>
      </c>
      <c r="B7788" t="s">
        <v>2495</v>
      </c>
      <c r="C7788" t="s">
        <v>11187</v>
      </c>
      <c r="D7788" t="s">
        <v>18993</v>
      </c>
      <c r="E7788" t="s">
        <v>20122</v>
      </c>
      <c r="F7788" t="s">
        <v>32606</v>
      </c>
      <c r="G7788" t="s">
        <v>32613</v>
      </c>
      <c r="H7788" t="s">
        <v>14201</v>
      </c>
      <c r="I7788" t="s">
        <v>6298</v>
      </c>
      <c r="J7788" t="s">
        <v>33578</v>
      </c>
      <c r="K7788" t="s">
        <v>42630</v>
      </c>
      <c r="M7788" t="s">
        <v>45633</v>
      </c>
      <c r="N7788" t="s">
        <v>47304</v>
      </c>
      <c r="O7788" t="s">
        <v>47305</v>
      </c>
      <c r="P7788">
        <v>0</v>
      </c>
      <c r="Q7788">
        <v>4</v>
      </c>
      <c r="R7788" t="s">
        <v>47312</v>
      </c>
      <c r="S7788" t="s">
        <v>47489</v>
      </c>
      <c r="T7788" t="s">
        <v>49016</v>
      </c>
      <c r="U7788" t="s">
        <v>56049</v>
      </c>
      <c r="V7788" t="s">
        <v>63388</v>
      </c>
      <c r="W7788" t="s">
        <v>45633</v>
      </c>
      <c r="X7788" t="s">
        <v>47314</v>
      </c>
    </row>
    <row r="7789" spans="1:24">
      <c r="A7789">
        <f>HYPERLINK("https://www.philgeps.gov.ph/GEPSNONPILOT/Tender/SplashBidNoticeAbstractUI.aspx?menuIndex=3&amp;refID=7186073&amp;Result=3","7186073")</f>
        <v>0</v>
      </c>
      <c r="B7789" t="s">
        <v>2496</v>
      </c>
      <c r="C7789" t="s">
        <v>11188</v>
      </c>
      <c r="D7789" t="s">
        <v>18995</v>
      </c>
      <c r="E7789" t="s">
        <v>25865</v>
      </c>
      <c r="F7789" t="s">
        <v>32606</v>
      </c>
      <c r="G7789" t="s">
        <v>32613</v>
      </c>
      <c r="H7789" t="s">
        <v>32623</v>
      </c>
      <c r="I7789" t="s">
        <v>17648</v>
      </c>
      <c r="J7789" t="s">
        <v>37662</v>
      </c>
      <c r="K7789" t="s">
        <v>42646</v>
      </c>
      <c r="M7789" t="s">
        <v>45634</v>
      </c>
      <c r="N7789" t="s">
        <v>47304</v>
      </c>
      <c r="O7789" t="s">
        <v>47305</v>
      </c>
      <c r="P7789">
        <v>0</v>
      </c>
      <c r="Q7789">
        <v>1</v>
      </c>
      <c r="R7789" t="s">
        <v>47312</v>
      </c>
      <c r="S7789" t="s">
        <v>47489</v>
      </c>
      <c r="T7789" t="s">
        <v>49157</v>
      </c>
      <c r="U7789" t="s">
        <v>56050</v>
      </c>
      <c r="V7789" t="s">
        <v>63389</v>
      </c>
      <c r="W7789" t="s">
        <v>45634</v>
      </c>
      <c r="X7789" t="s">
        <v>47314</v>
      </c>
    </row>
    <row r="7790" spans="1:24">
      <c r="A7790">
        <f>HYPERLINK("https://www.philgeps.gov.ph/GEPSNONPILOT/Tender/SplashBidNoticeAbstractUI.aspx?menuIndex=3&amp;refID=7186050&amp;Result=3","7186050")</f>
        <v>0</v>
      </c>
      <c r="B7790" t="s">
        <v>389</v>
      </c>
      <c r="C7790" t="s">
        <v>11189</v>
      </c>
      <c r="D7790" t="s">
        <v>18999</v>
      </c>
      <c r="E7790" t="s">
        <v>25866</v>
      </c>
      <c r="F7790" t="s">
        <v>32606</v>
      </c>
      <c r="G7790" t="s">
        <v>32613</v>
      </c>
      <c r="H7790" t="s">
        <v>32624</v>
      </c>
      <c r="I7790" t="s">
        <v>32669</v>
      </c>
      <c r="J7790" t="s">
        <v>37663</v>
      </c>
      <c r="K7790" t="s">
        <v>42714</v>
      </c>
      <c r="M7790" t="s">
        <v>43292</v>
      </c>
      <c r="N7790" t="s">
        <v>47304</v>
      </c>
      <c r="O7790" t="s">
        <v>47305</v>
      </c>
      <c r="P7790">
        <v>0</v>
      </c>
      <c r="Q7790">
        <v>5</v>
      </c>
      <c r="R7790" t="s">
        <v>47312</v>
      </c>
      <c r="S7790" t="s">
        <v>47489</v>
      </c>
      <c r="T7790" t="s">
        <v>49334</v>
      </c>
      <c r="U7790" t="s">
        <v>56051</v>
      </c>
      <c r="W7790" t="s">
        <v>43292</v>
      </c>
      <c r="X7790" t="s">
        <v>47314</v>
      </c>
    </row>
    <row r="7791" spans="1:24">
      <c r="A7791">
        <f>HYPERLINK("https://www.philgeps.gov.ph/GEPSNONPILOT/Tender/SplashBidNoticeAbstractUI.aspx?menuIndex=3&amp;refID=7186016&amp;Result=3","7186016")</f>
        <v>0</v>
      </c>
      <c r="B7791" t="s">
        <v>2494</v>
      </c>
      <c r="C7791" t="s">
        <v>11190</v>
      </c>
      <c r="D7791" t="s">
        <v>19060</v>
      </c>
      <c r="E7791" t="s">
        <v>25867</v>
      </c>
      <c r="F7791" t="s">
        <v>32606</v>
      </c>
      <c r="G7791" t="s">
        <v>32613</v>
      </c>
      <c r="H7791" t="s">
        <v>14201</v>
      </c>
      <c r="I7791" t="s">
        <v>6931</v>
      </c>
      <c r="J7791" t="s">
        <v>37664</v>
      </c>
      <c r="K7791" t="s">
        <v>42631</v>
      </c>
      <c r="M7791" t="s">
        <v>45632</v>
      </c>
      <c r="N7791" t="s">
        <v>47304</v>
      </c>
      <c r="O7791" t="s">
        <v>47305</v>
      </c>
      <c r="P7791">
        <v>0</v>
      </c>
      <c r="Q7791">
        <v>1</v>
      </c>
      <c r="R7791" t="s">
        <v>47312</v>
      </c>
      <c r="S7791" t="s">
        <v>47489</v>
      </c>
      <c r="T7791" t="s">
        <v>49234</v>
      </c>
      <c r="U7791" t="s">
        <v>56052</v>
      </c>
      <c r="W7791" t="s">
        <v>45632</v>
      </c>
      <c r="X7791" t="s">
        <v>47314</v>
      </c>
    </row>
    <row r="7792" spans="1:24">
      <c r="A7792">
        <f>HYPERLINK("https://www.philgeps.gov.ph/GEPSNONPILOT/Tender/SplashBidNoticeAbstractUI.aspx?menuIndex=3&amp;refID=7186000&amp;Result=3","7186000")</f>
        <v>0</v>
      </c>
      <c r="B7792" t="s">
        <v>809</v>
      </c>
      <c r="C7792" t="s">
        <v>11191</v>
      </c>
      <c r="D7792" t="s">
        <v>19010</v>
      </c>
      <c r="E7792" t="s">
        <v>25868</v>
      </c>
      <c r="F7792" t="s">
        <v>32606</v>
      </c>
      <c r="G7792" t="s">
        <v>32613</v>
      </c>
      <c r="H7792" t="s">
        <v>32623</v>
      </c>
      <c r="I7792" t="s">
        <v>17648</v>
      </c>
      <c r="J7792" t="s">
        <v>37665</v>
      </c>
      <c r="K7792" t="s">
        <v>42636</v>
      </c>
      <c r="M7792" t="s">
        <v>43740</v>
      </c>
      <c r="N7792" t="s">
        <v>47304</v>
      </c>
      <c r="O7792" t="s">
        <v>47305</v>
      </c>
      <c r="P7792">
        <v>0</v>
      </c>
      <c r="Q7792">
        <v>0</v>
      </c>
      <c r="R7792" t="s">
        <v>47312</v>
      </c>
      <c r="S7792" t="s">
        <v>47489</v>
      </c>
      <c r="T7792" t="s">
        <v>49234</v>
      </c>
      <c r="U7792" t="s">
        <v>52448</v>
      </c>
      <c r="W7792" t="s">
        <v>43740</v>
      </c>
      <c r="X7792" t="s">
        <v>47314</v>
      </c>
    </row>
    <row r="7793" spans="1:24">
      <c r="A7793">
        <f>HYPERLINK("https://www.philgeps.gov.ph/GEPSNONPILOT/Tender/SplashBidNoticeAbstractUI.aspx?menuIndex=3&amp;refID=7185984&amp;Result=3","7185984")</f>
        <v>0</v>
      </c>
      <c r="B7793" t="s">
        <v>2497</v>
      </c>
      <c r="C7793" t="s">
        <v>11192</v>
      </c>
      <c r="D7793" t="s">
        <v>19049</v>
      </c>
      <c r="E7793" t="s">
        <v>25869</v>
      </c>
      <c r="F7793" t="s">
        <v>32606</v>
      </c>
      <c r="G7793" t="s">
        <v>32614</v>
      </c>
      <c r="H7793" t="s">
        <v>14201</v>
      </c>
      <c r="I7793" t="s">
        <v>9013</v>
      </c>
      <c r="J7793" t="s">
        <v>37666</v>
      </c>
      <c r="K7793" t="s">
        <v>42623</v>
      </c>
      <c r="M7793" t="s">
        <v>45635</v>
      </c>
      <c r="N7793" t="s">
        <v>47304</v>
      </c>
      <c r="O7793" t="s">
        <v>47305</v>
      </c>
      <c r="P7793">
        <v>0</v>
      </c>
      <c r="Q7793">
        <v>5</v>
      </c>
      <c r="R7793" t="s">
        <v>47312</v>
      </c>
      <c r="S7793" t="s">
        <v>47489</v>
      </c>
      <c r="T7793" t="s">
        <v>49330</v>
      </c>
      <c r="U7793" t="s">
        <v>56053</v>
      </c>
      <c r="W7793" t="s">
        <v>64506</v>
      </c>
      <c r="X7793" t="s">
        <v>47314</v>
      </c>
    </row>
    <row r="7794" spans="1:24">
      <c r="A7794">
        <f>HYPERLINK("https://www.philgeps.gov.ph/GEPSNONPILOT/Tender/SplashBidNoticeAbstractUI.aspx?menuIndex=3&amp;refID=7186175&amp;Result=3","7186175")</f>
        <v>0</v>
      </c>
      <c r="B7794" t="s">
        <v>2494</v>
      </c>
      <c r="C7794" t="s">
        <v>11193</v>
      </c>
      <c r="D7794" t="s">
        <v>19077</v>
      </c>
      <c r="E7794" t="s">
        <v>25870</v>
      </c>
      <c r="F7794" t="s">
        <v>32606</v>
      </c>
      <c r="G7794" t="s">
        <v>32613</v>
      </c>
      <c r="H7794" t="s">
        <v>14201</v>
      </c>
      <c r="I7794" t="s">
        <v>32635</v>
      </c>
      <c r="J7794" t="s">
        <v>33385</v>
      </c>
      <c r="K7794" t="s">
        <v>42631</v>
      </c>
      <c r="M7794" t="s">
        <v>45632</v>
      </c>
      <c r="N7794" t="s">
        <v>47304</v>
      </c>
      <c r="O7794" t="s">
        <v>47305</v>
      </c>
      <c r="P7794">
        <v>0</v>
      </c>
      <c r="Q7794">
        <v>2</v>
      </c>
      <c r="R7794" t="s">
        <v>47312</v>
      </c>
      <c r="S7794" t="s">
        <v>47489</v>
      </c>
      <c r="T7794" t="s">
        <v>49234</v>
      </c>
      <c r="U7794" t="s">
        <v>56054</v>
      </c>
      <c r="W7794" t="s">
        <v>45632</v>
      </c>
      <c r="X7794" t="s">
        <v>47314</v>
      </c>
    </row>
    <row r="7795" spans="1:24">
      <c r="A7795">
        <f>HYPERLINK("https://www.philgeps.gov.ph/GEPSNONPILOT/Tender/SplashBidNoticeAbstractUI.aspx?menuIndex=3&amp;refID=7185932&amp;Result=3","7185932")</f>
        <v>0</v>
      </c>
      <c r="B7795" t="s">
        <v>810</v>
      </c>
      <c r="C7795" t="s">
        <v>11194</v>
      </c>
      <c r="D7795" t="s">
        <v>19013</v>
      </c>
      <c r="E7795" t="s">
        <v>25871</v>
      </c>
      <c r="F7795" t="s">
        <v>32606</v>
      </c>
      <c r="G7795" t="s">
        <v>32613</v>
      </c>
      <c r="H7795" t="s">
        <v>14201</v>
      </c>
      <c r="I7795" t="s">
        <v>6931</v>
      </c>
      <c r="J7795" t="s">
        <v>37667</v>
      </c>
      <c r="K7795" t="s">
        <v>42624</v>
      </c>
      <c r="M7795" t="s">
        <v>43741</v>
      </c>
      <c r="N7795" t="s">
        <v>47304</v>
      </c>
      <c r="O7795" t="s">
        <v>47305</v>
      </c>
      <c r="P7795">
        <v>0</v>
      </c>
      <c r="Q7795">
        <v>1</v>
      </c>
      <c r="R7795" t="s">
        <v>47312</v>
      </c>
      <c r="S7795" t="s">
        <v>47489</v>
      </c>
      <c r="T7795" t="s">
        <v>49068</v>
      </c>
      <c r="U7795" t="s">
        <v>51044</v>
      </c>
      <c r="W7795" t="s">
        <v>43741</v>
      </c>
      <c r="X7795" t="s">
        <v>47314</v>
      </c>
    </row>
    <row r="7796" spans="1:24">
      <c r="A7796">
        <f>HYPERLINK("https://www.philgeps.gov.ph/GEPSNONPILOT/Tender/SplashBidNoticeAbstractUI.aspx?menuIndex=3&amp;refID=7185920&amp;Result=3","7185920")</f>
        <v>0</v>
      </c>
      <c r="B7796" t="s">
        <v>809</v>
      </c>
      <c r="C7796" t="s">
        <v>11195</v>
      </c>
      <c r="D7796" t="s">
        <v>19010</v>
      </c>
      <c r="E7796" t="s">
        <v>25872</v>
      </c>
      <c r="F7796" t="s">
        <v>32606</v>
      </c>
      <c r="G7796" t="s">
        <v>32613</v>
      </c>
      <c r="H7796" t="s">
        <v>14201</v>
      </c>
      <c r="I7796" t="s">
        <v>4120</v>
      </c>
      <c r="J7796" t="s">
        <v>37668</v>
      </c>
      <c r="K7796" t="s">
        <v>42623</v>
      </c>
      <c r="M7796" t="s">
        <v>43740</v>
      </c>
      <c r="N7796" t="s">
        <v>47304</v>
      </c>
      <c r="O7796" t="s">
        <v>47305</v>
      </c>
      <c r="P7796">
        <v>0</v>
      </c>
      <c r="Q7796">
        <v>1</v>
      </c>
      <c r="R7796" t="s">
        <v>47312</v>
      </c>
      <c r="S7796" t="s">
        <v>47489</v>
      </c>
      <c r="T7796" t="s">
        <v>49004</v>
      </c>
      <c r="U7796" t="s">
        <v>56055</v>
      </c>
      <c r="W7796" t="s">
        <v>43740</v>
      </c>
      <c r="X7796" t="s">
        <v>47314</v>
      </c>
    </row>
    <row r="7797" spans="1:24">
      <c r="A7797">
        <f>HYPERLINK("https://www.philgeps.gov.ph/GEPSNONPILOT/Tender/SplashBidNoticeAbstractUI.aspx?menuIndex=3&amp;refID=7185801&amp;Result=3","7185801")</f>
        <v>0</v>
      </c>
      <c r="B7797" t="s">
        <v>1895</v>
      </c>
      <c r="C7797" t="s">
        <v>11196</v>
      </c>
      <c r="D7797" t="s">
        <v>19034</v>
      </c>
      <c r="E7797" t="s">
        <v>25873</v>
      </c>
      <c r="F7797" t="s">
        <v>32606</v>
      </c>
      <c r="G7797" t="s">
        <v>32614</v>
      </c>
      <c r="H7797" t="s">
        <v>14201</v>
      </c>
      <c r="I7797" t="s">
        <v>4120</v>
      </c>
      <c r="J7797" t="s">
        <v>33830</v>
      </c>
      <c r="K7797" t="s">
        <v>42648</v>
      </c>
      <c r="M7797" t="s">
        <v>44954</v>
      </c>
      <c r="N7797" t="s">
        <v>47304</v>
      </c>
      <c r="O7797" t="s">
        <v>47305</v>
      </c>
      <c r="P7797">
        <v>0</v>
      </c>
      <c r="Q7797">
        <v>0</v>
      </c>
      <c r="R7797" t="s">
        <v>47312</v>
      </c>
      <c r="S7797" t="s">
        <v>47489</v>
      </c>
      <c r="T7797" t="s">
        <v>48980</v>
      </c>
      <c r="U7797" t="s">
        <v>56056</v>
      </c>
      <c r="W7797" t="s">
        <v>44954</v>
      </c>
      <c r="X7797" t="s">
        <v>47314</v>
      </c>
    </row>
    <row r="7798" spans="1:24">
      <c r="A7798">
        <f>HYPERLINK("https://www.philgeps.gov.ph/GEPSNONPILOT/Tender/SplashBidNoticeAbstractUI.aspx?menuIndex=3&amp;refID=7185915&amp;Result=3","7185915")</f>
        <v>0</v>
      </c>
      <c r="B7798" t="s">
        <v>2498</v>
      </c>
      <c r="C7798" t="s">
        <v>11197</v>
      </c>
      <c r="D7798" t="s">
        <v>19038</v>
      </c>
      <c r="E7798" t="s">
        <v>25874</v>
      </c>
      <c r="F7798" t="s">
        <v>32606</v>
      </c>
      <c r="G7798" t="s">
        <v>32613</v>
      </c>
      <c r="H7798" t="s">
        <v>14201</v>
      </c>
      <c r="I7798" t="s">
        <v>32633</v>
      </c>
      <c r="J7798" t="s">
        <v>37669</v>
      </c>
      <c r="K7798" t="s">
        <v>42630</v>
      </c>
      <c r="M7798" t="s">
        <v>45636</v>
      </c>
      <c r="N7798" t="s">
        <v>47304</v>
      </c>
      <c r="O7798" t="s">
        <v>47305</v>
      </c>
      <c r="P7798">
        <v>0</v>
      </c>
      <c r="Q7798">
        <v>10</v>
      </c>
      <c r="R7798" t="s">
        <v>47312</v>
      </c>
      <c r="S7798" t="s">
        <v>47489</v>
      </c>
      <c r="T7798" t="s">
        <v>49068</v>
      </c>
      <c r="U7798" t="s">
        <v>56057</v>
      </c>
      <c r="V7798" t="s">
        <v>63390</v>
      </c>
      <c r="W7798" t="s">
        <v>45636</v>
      </c>
      <c r="X7798" t="s">
        <v>47314</v>
      </c>
    </row>
    <row r="7799" spans="1:24">
      <c r="A7799">
        <f>HYPERLINK("https://www.philgeps.gov.ph/GEPSNONPILOT/Tender/SplashBidNoticeAbstractUI.aspx?menuIndex=3&amp;refID=7185879&amp;Result=3","7185879")</f>
        <v>0</v>
      </c>
      <c r="B7799" t="s">
        <v>2499</v>
      </c>
      <c r="C7799" t="s">
        <v>11198</v>
      </c>
      <c r="D7799" t="s">
        <v>19008</v>
      </c>
      <c r="E7799" t="s">
        <v>25875</v>
      </c>
      <c r="F7799" t="s">
        <v>32608</v>
      </c>
      <c r="G7799" t="s">
        <v>32613</v>
      </c>
      <c r="H7799" t="s">
        <v>14201</v>
      </c>
      <c r="I7799" t="s">
        <v>6931</v>
      </c>
      <c r="J7799" t="s">
        <v>37670</v>
      </c>
      <c r="K7799" t="s">
        <v>42622</v>
      </c>
      <c r="M7799" t="s">
        <v>45637</v>
      </c>
      <c r="N7799" t="s">
        <v>47304</v>
      </c>
      <c r="O7799" t="s">
        <v>47305</v>
      </c>
      <c r="P7799">
        <v>0</v>
      </c>
      <c r="Q7799">
        <v>0</v>
      </c>
      <c r="R7799" t="s">
        <v>47312</v>
      </c>
      <c r="S7799" t="s">
        <v>47489</v>
      </c>
      <c r="T7799" t="s">
        <v>49098</v>
      </c>
      <c r="U7799" t="s">
        <v>56058</v>
      </c>
      <c r="V7799" t="s">
        <v>63391</v>
      </c>
      <c r="W7799" t="s">
        <v>45637</v>
      </c>
      <c r="X7799" t="s">
        <v>47314</v>
      </c>
    </row>
    <row r="7800" spans="1:24">
      <c r="A7800">
        <f>HYPERLINK("https://www.philgeps.gov.ph/GEPSNONPILOT/Tender/SplashBidNoticeAbstractUI.aspx?menuIndex=3&amp;refID=7186037&amp;Result=3","7186037")</f>
        <v>0</v>
      </c>
      <c r="B7800" t="s">
        <v>2500</v>
      </c>
      <c r="C7800" t="s">
        <v>11199</v>
      </c>
      <c r="D7800" t="s">
        <v>19053</v>
      </c>
      <c r="E7800" t="s">
        <v>25876</v>
      </c>
      <c r="F7800" t="s">
        <v>32606</v>
      </c>
      <c r="G7800" t="s">
        <v>32613</v>
      </c>
      <c r="H7800" t="s">
        <v>32623</v>
      </c>
      <c r="I7800" t="s">
        <v>17648</v>
      </c>
      <c r="J7800" t="s">
        <v>37671</v>
      </c>
      <c r="K7800" t="s">
        <v>42675</v>
      </c>
      <c r="M7800" t="s">
        <v>45638</v>
      </c>
      <c r="N7800" t="s">
        <v>47304</v>
      </c>
      <c r="O7800" t="s">
        <v>47305</v>
      </c>
      <c r="P7800">
        <v>0</v>
      </c>
      <c r="Q7800">
        <v>0</v>
      </c>
      <c r="R7800" t="s">
        <v>47312</v>
      </c>
      <c r="S7800" t="s">
        <v>47489</v>
      </c>
      <c r="T7800" t="s">
        <v>49075</v>
      </c>
      <c r="U7800" t="s">
        <v>56059</v>
      </c>
      <c r="V7800" t="s">
        <v>63392</v>
      </c>
      <c r="W7800" t="s">
        <v>45638</v>
      </c>
      <c r="X7800" t="s">
        <v>47314</v>
      </c>
    </row>
    <row r="7801" spans="1:24">
      <c r="A7801">
        <f>HYPERLINK("https://www.philgeps.gov.ph/GEPSNONPILOT/Tender/SplashBidNoticeAbstractUI.aspx?menuIndex=3&amp;refID=7185858&amp;Result=3","7185858")</f>
        <v>0</v>
      </c>
      <c r="B7801" t="s">
        <v>2497</v>
      </c>
      <c r="C7801" t="s">
        <v>3971</v>
      </c>
      <c r="D7801" t="s">
        <v>19049</v>
      </c>
      <c r="E7801" t="s">
        <v>25877</v>
      </c>
      <c r="F7801" t="s">
        <v>32606</v>
      </c>
      <c r="G7801" t="s">
        <v>32614</v>
      </c>
      <c r="H7801" t="s">
        <v>14201</v>
      </c>
      <c r="I7801" t="s">
        <v>4120</v>
      </c>
      <c r="J7801" t="s">
        <v>37672</v>
      </c>
      <c r="K7801" t="s">
        <v>42623</v>
      </c>
      <c r="M7801" t="s">
        <v>45635</v>
      </c>
      <c r="N7801" t="s">
        <v>47304</v>
      </c>
      <c r="O7801" t="s">
        <v>47305</v>
      </c>
      <c r="P7801">
        <v>0</v>
      </c>
      <c r="Q7801">
        <v>3</v>
      </c>
      <c r="R7801" t="s">
        <v>47312</v>
      </c>
      <c r="S7801" t="s">
        <v>47489</v>
      </c>
      <c r="T7801" t="s">
        <v>49330</v>
      </c>
      <c r="U7801" t="s">
        <v>56060</v>
      </c>
      <c r="W7801" t="s">
        <v>64506</v>
      </c>
      <c r="X7801" t="s">
        <v>47314</v>
      </c>
    </row>
    <row r="7802" spans="1:24">
      <c r="A7802">
        <f>HYPERLINK("https://www.philgeps.gov.ph/GEPSNONPILOT/Tender/SplashBidNoticeAbstractUI.aspx?menuIndex=3&amp;refID=7185837&amp;Result=3","7185837")</f>
        <v>0</v>
      </c>
      <c r="B7802" t="s">
        <v>810</v>
      </c>
      <c r="C7802" t="s">
        <v>11200</v>
      </c>
      <c r="D7802" t="s">
        <v>19013</v>
      </c>
      <c r="E7802" t="s">
        <v>25878</v>
      </c>
      <c r="F7802" t="s">
        <v>32606</v>
      </c>
      <c r="G7802" t="s">
        <v>32614</v>
      </c>
      <c r="H7802" t="s">
        <v>14201</v>
      </c>
      <c r="I7802" t="s">
        <v>6007</v>
      </c>
      <c r="J7802" t="s">
        <v>33960</v>
      </c>
      <c r="K7802" t="s">
        <v>42624</v>
      </c>
      <c r="M7802" t="s">
        <v>43741</v>
      </c>
      <c r="N7802" t="s">
        <v>47304</v>
      </c>
      <c r="O7802" t="s">
        <v>47305</v>
      </c>
      <c r="P7802">
        <v>0</v>
      </c>
      <c r="Q7802">
        <v>2</v>
      </c>
      <c r="R7802" t="s">
        <v>47312</v>
      </c>
      <c r="S7802" t="s">
        <v>47489</v>
      </c>
      <c r="T7802" t="s">
        <v>49068</v>
      </c>
      <c r="U7802" t="s">
        <v>51044</v>
      </c>
      <c r="W7802" t="s">
        <v>43741</v>
      </c>
      <c r="X7802" t="s">
        <v>47314</v>
      </c>
    </row>
    <row r="7803" spans="1:24">
      <c r="A7803">
        <f>HYPERLINK("https://www.philgeps.gov.ph/GEPSNONPILOT/Tender/SplashBidNoticeAbstractUI.aspx?menuIndex=3&amp;refID=7185490&amp;Result=3","7185490")</f>
        <v>0</v>
      </c>
      <c r="B7803" t="s">
        <v>2501</v>
      </c>
      <c r="C7803" t="s">
        <v>11201</v>
      </c>
      <c r="D7803" t="s">
        <v>19007</v>
      </c>
      <c r="E7803" t="s">
        <v>24348</v>
      </c>
      <c r="F7803" t="s">
        <v>32606</v>
      </c>
      <c r="G7803" t="s">
        <v>32613</v>
      </c>
      <c r="H7803" t="s">
        <v>14201</v>
      </c>
      <c r="I7803" t="s">
        <v>6298</v>
      </c>
      <c r="J7803" t="s">
        <v>32981</v>
      </c>
      <c r="K7803" t="s">
        <v>42624</v>
      </c>
      <c r="M7803" t="s">
        <v>45639</v>
      </c>
      <c r="N7803" t="s">
        <v>47304</v>
      </c>
      <c r="O7803" t="s">
        <v>47305</v>
      </c>
      <c r="P7803">
        <v>0</v>
      </c>
      <c r="Q7803">
        <v>0</v>
      </c>
      <c r="R7803" t="s">
        <v>47312</v>
      </c>
      <c r="S7803" t="s">
        <v>47489</v>
      </c>
      <c r="T7803" t="s">
        <v>49068</v>
      </c>
      <c r="U7803" t="s">
        <v>56061</v>
      </c>
      <c r="W7803" t="s">
        <v>45639</v>
      </c>
      <c r="X7803" t="s">
        <v>47314</v>
      </c>
    </row>
    <row r="7804" spans="1:24">
      <c r="A7804">
        <f>HYPERLINK("https://www.philgeps.gov.ph/GEPSNONPILOT/Tender/SplashBidNoticeAbstractUI.aspx?menuIndex=3&amp;refID=7185296&amp;Result=3","7185296")</f>
        <v>0</v>
      </c>
      <c r="B7804" t="s">
        <v>2502</v>
      </c>
      <c r="C7804" t="s">
        <v>11202</v>
      </c>
      <c r="E7804" t="s">
        <v>25879</v>
      </c>
      <c r="F7804" t="s">
        <v>32606</v>
      </c>
      <c r="G7804" t="s">
        <v>32613</v>
      </c>
      <c r="H7804" t="s">
        <v>14201</v>
      </c>
      <c r="I7804" t="s">
        <v>32661</v>
      </c>
      <c r="J7804" t="s">
        <v>32778</v>
      </c>
      <c r="K7804" t="s">
        <v>42624</v>
      </c>
      <c r="M7804" t="s">
        <v>45640</v>
      </c>
      <c r="N7804" t="s">
        <v>47304</v>
      </c>
      <c r="O7804" t="s">
        <v>47305</v>
      </c>
      <c r="P7804">
        <v>0</v>
      </c>
      <c r="Q7804">
        <v>2</v>
      </c>
      <c r="R7804" t="s">
        <v>47312</v>
      </c>
      <c r="S7804" t="s">
        <v>47489</v>
      </c>
      <c r="T7804" t="s">
        <v>48992</v>
      </c>
      <c r="U7804" t="s">
        <v>56062</v>
      </c>
      <c r="W7804" t="s">
        <v>45640</v>
      </c>
      <c r="X7804" t="s">
        <v>47314</v>
      </c>
    </row>
    <row r="7805" spans="1:24">
      <c r="A7805">
        <f>HYPERLINK("https://www.philgeps.gov.ph/GEPSNONPILOT/Tender/SplashBidNoticeAbstractUI.aspx?menuIndex=3&amp;refID=7185908&amp;Result=3","7185908")</f>
        <v>0</v>
      </c>
      <c r="B7805" t="s">
        <v>742</v>
      </c>
      <c r="C7805" t="s">
        <v>11203</v>
      </c>
      <c r="D7805" t="s">
        <v>19054</v>
      </c>
      <c r="E7805" t="s">
        <v>25880</v>
      </c>
      <c r="F7805" t="s">
        <v>32606</v>
      </c>
      <c r="G7805" t="s">
        <v>32613</v>
      </c>
      <c r="H7805" t="s">
        <v>14201</v>
      </c>
      <c r="I7805" t="s">
        <v>32681</v>
      </c>
      <c r="J7805" t="s">
        <v>33103</v>
      </c>
      <c r="K7805" t="s">
        <v>42631</v>
      </c>
      <c r="M7805" t="s">
        <v>43665</v>
      </c>
      <c r="N7805" t="s">
        <v>47304</v>
      </c>
      <c r="O7805" t="s">
        <v>47305</v>
      </c>
      <c r="P7805">
        <v>0</v>
      </c>
      <c r="Q7805">
        <v>1</v>
      </c>
      <c r="R7805" t="s">
        <v>47312</v>
      </c>
      <c r="S7805" t="s">
        <v>47489</v>
      </c>
      <c r="T7805" t="s">
        <v>49057</v>
      </c>
      <c r="U7805" t="s">
        <v>56063</v>
      </c>
      <c r="W7805" t="s">
        <v>43665</v>
      </c>
      <c r="X7805" t="s">
        <v>47314</v>
      </c>
    </row>
    <row r="7806" spans="1:24">
      <c r="A7806">
        <f>HYPERLINK("https://www.philgeps.gov.ph/GEPSNONPILOT/Tender/SplashBidNoticeAbstractUI.aspx?menuIndex=3&amp;refID=7184967&amp;Result=3","7184967")</f>
        <v>0</v>
      </c>
      <c r="B7806" t="s">
        <v>2503</v>
      </c>
      <c r="C7806" t="s">
        <v>11204</v>
      </c>
      <c r="D7806" t="s">
        <v>19010</v>
      </c>
      <c r="E7806" t="s">
        <v>25881</v>
      </c>
      <c r="F7806" t="s">
        <v>32606</v>
      </c>
      <c r="G7806" t="s">
        <v>32613</v>
      </c>
      <c r="H7806" t="s">
        <v>32623</v>
      </c>
      <c r="I7806" t="s">
        <v>17648</v>
      </c>
      <c r="J7806" t="s">
        <v>33039</v>
      </c>
      <c r="K7806" t="s">
        <v>42719</v>
      </c>
      <c r="M7806" t="s">
        <v>45641</v>
      </c>
      <c r="N7806" t="s">
        <v>47304</v>
      </c>
      <c r="O7806" t="s">
        <v>47305</v>
      </c>
      <c r="P7806">
        <v>0</v>
      </c>
      <c r="Q7806">
        <v>0</v>
      </c>
      <c r="R7806" t="s">
        <v>47312</v>
      </c>
      <c r="S7806" t="s">
        <v>47489</v>
      </c>
      <c r="T7806" t="s">
        <v>49075</v>
      </c>
      <c r="U7806" t="s">
        <v>56064</v>
      </c>
      <c r="V7806" t="s">
        <v>63393</v>
      </c>
      <c r="W7806" t="s">
        <v>45641</v>
      </c>
      <c r="X7806" t="s">
        <v>47314</v>
      </c>
    </row>
    <row r="7807" spans="1:24">
      <c r="A7807">
        <f>HYPERLINK("https://www.philgeps.gov.ph/GEPSNONPILOT/Tender/SplashBidNoticeAbstractUI.aspx?menuIndex=3&amp;refID=7185862&amp;Result=3","7185862")</f>
        <v>0</v>
      </c>
      <c r="B7807" t="s">
        <v>810</v>
      </c>
      <c r="C7807" t="s">
        <v>11205</v>
      </c>
      <c r="D7807" t="s">
        <v>19013</v>
      </c>
      <c r="E7807" t="s">
        <v>25882</v>
      </c>
      <c r="F7807" t="s">
        <v>32606</v>
      </c>
      <c r="G7807" t="s">
        <v>32613</v>
      </c>
      <c r="H7807" t="s">
        <v>14201</v>
      </c>
      <c r="I7807" t="s">
        <v>9008</v>
      </c>
      <c r="J7807" t="s">
        <v>34198</v>
      </c>
      <c r="K7807" t="s">
        <v>42624</v>
      </c>
      <c r="M7807" t="s">
        <v>43741</v>
      </c>
      <c r="N7807" t="s">
        <v>47304</v>
      </c>
      <c r="O7807" t="s">
        <v>47305</v>
      </c>
      <c r="P7807">
        <v>0</v>
      </c>
      <c r="Q7807">
        <v>7</v>
      </c>
      <c r="R7807" t="s">
        <v>47312</v>
      </c>
      <c r="S7807" t="s">
        <v>47489</v>
      </c>
      <c r="T7807" t="s">
        <v>49040</v>
      </c>
      <c r="U7807" t="s">
        <v>51044</v>
      </c>
      <c r="W7807" t="s">
        <v>43741</v>
      </c>
      <c r="X7807" t="s">
        <v>47314</v>
      </c>
    </row>
    <row r="7808" spans="1:24">
      <c r="A7808">
        <f>HYPERLINK("https://www.philgeps.gov.ph/GEPSNONPILOT/Tender/SplashBidNoticeAbstractUI.aspx?menuIndex=3&amp;refID=7185867&amp;Result=3","7185867")</f>
        <v>0</v>
      </c>
      <c r="B7808" t="s">
        <v>368</v>
      </c>
      <c r="C7808" t="s">
        <v>11206</v>
      </c>
      <c r="D7808" t="s">
        <v>19012</v>
      </c>
      <c r="E7808" t="s">
        <v>25883</v>
      </c>
      <c r="F7808" t="s">
        <v>32606</v>
      </c>
      <c r="G7808" t="s">
        <v>32613</v>
      </c>
      <c r="H7808" t="s">
        <v>14201</v>
      </c>
      <c r="I7808" t="s">
        <v>4678</v>
      </c>
      <c r="J7808" t="s">
        <v>37673</v>
      </c>
      <c r="K7808" t="s">
        <v>42631</v>
      </c>
      <c r="M7808" t="s">
        <v>43270</v>
      </c>
      <c r="N7808" t="s">
        <v>47304</v>
      </c>
      <c r="O7808" t="s">
        <v>47305</v>
      </c>
      <c r="P7808">
        <v>0</v>
      </c>
      <c r="Q7808">
        <v>8</v>
      </c>
      <c r="R7808" t="s">
        <v>47312</v>
      </c>
      <c r="S7808" t="s">
        <v>47489</v>
      </c>
      <c r="T7808" t="s">
        <v>49018</v>
      </c>
      <c r="U7808" t="s">
        <v>56065</v>
      </c>
      <c r="W7808" t="s">
        <v>43270</v>
      </c>
      <c r="X7808" t="s">
        <v>47314</v>
      </c>
    </row>
    <row r="7809" spans="1:24">
      <c r="A7809">
        <f>HYPERLINK("https://www.philgeps.gov.ph/GEPSNONPILOT/Tender/SplashBidNoticeAbstractUI.aspx?menuIndex=3&amp;refID=7184817&amp;Result=3","7184817")</f>
        <v>0</v>
      </c>
      <c r="B7809" t="s">
        <v>2496</v>
      </c>
      <c r="C7809" t="s">
        <v>11207</v>
      </c>
      <c r="D7809" t="s">
        <v>18995</v>
      </c>
      <c r="E7809" t="s">
        <v>25884</v>
      </c>
      <c r="F7809" t="s">
        <v>32606</v>
      </c>
      <c r="G7809" t="s">
        <v>32613</v>
      </c>
      <c r="H7809" t="s">
        <v>32623</v>
      </c>
      <c r="I7809" t="s">
        <v>17648</v>
      </c>
      <c r="J7809" t="s">
        <v>37674</v>
      </c>
      <c r="K7809" t="s">
        <v>42648</v>
      </c>
      <c r="M7809" t="s">
        <v>45634</v>
      </c>
      <c r="N7809" t="s">
        <v>47304</v>
      </c>
      <c r="O7809" t="s">
        <v>47305</v>
      </c>
      <c r="P7809">
        <v>0</v>
      </c>
      <c r="Q7809">
        <v>1</v>
      </c>
      <c r="R7809" t="s">
        <v>47312</v>
      </c>
      <c r="S7809" t="s">
        <v>47489</v>
      </c>
      <c r="T7809" t="s">
        <v>49157</v>
      </c>
      <c r="U7809" t="s">
        <v>56066</v>
      </c>
      <c r="V7809" t="s">
        <v>63389</v>
      </c>
      <c r="W7809" t="s">
        <v>45634</v>
      </c>
      <c r="X7809" t="s">
        <v>47314</v>
      </c>
    </row>
    <row r="7810" spans="1:24">
      <c r="A7810">
        <f>HYPERLINK("https://www.philgeps.gov.ph/GEPSNONPILOT/Tender/SplashBidNoticeAbstractUI.aspx?menuIndex=3&amp;refID=7184773&amp;Result=3","7184773")</f>
        <v>0</v>
      </c>
      <c r="B7810" t="s">
        <v>2484</v>
      </c>
      <c r="C7810" t="s">
        <v>11208</v>
      </c>
      <c r="D7810" t="s">
        <v>19034</v>
      </c>
      <c r="E7810" t="s">
        <v>25885</v>
      </c>
      <c r="F7810" t="s">
        <v>32606</v>
      </c>
      <c r="G7810" t="s">
        <v>32613</v>
      </c>
      <c r="H7810" t="s">
        <v>14201</v>
      </c>
      <c r="I7810" t="s">
        <v>32635</v>
      </c>
      <c r="J7810" t="s">
        <v>32795</v>
      </c>
      <c r="K7810" t="s">
        <v>42636</v>
      </c>
      <c r="M7810" t="s">
        <v>45621</v>
      </c>
      <c r="N7810" t="s">
        <v>47304</v>
      </c>
      <c r="O7810" t="s">
        <v>47305</v>
      </c>
      <c r="P7810">
        <v>0</v>
      </c>
      <c r="Q7810">
        <v>5</v>
      </c>
      <c r="R7810" t="s">
        <v>47312</v>
      </c>
      <c r="S7810" t="s">
        <v>47489</v>
      </c>
      <c r="T7810" t="s">
        <v>49037</v>
      </c>
      <c r="U7810" t="s">
        <v>56067</v>
      </c>
      <c r="V7810" t="s">
        <v>63381</v>
      </c>
      <c r="W7810" t="s">
        <v>45621</v>
      </c>
      <c r="X7810" t="s">
        <v>47314</v>
      </c>
    </row>
    <row r="7811" spans="1:24">
      <c r="A7811">
        <f>HYPERLINK("https://www.philgeps.gov.ph/GEPSNONPILOT/Tender/SplashBidNoticeAbstractUI.aspx?menuIndex=3&amp;refID=7185939&amp;Result=3","7185939")</f>
        <v>0</v>
      </c>
      <c r="B7811" t="s">
        <v>809</v>
      </c>
      <c r="C7811" t="s">
        <v>11209</v>
      </c>
      <c r="D7811" t="s">
        <v>19010</v>
      </c>
      <c r="E7811" t="s">
        <v>25886</v>
      </c>
      <c r="F7811" t="s">
        <v>32606</v>
      </c>
      <c r="G7811" t="s">
        <v>32613</v>
      </c>
      <c r="H7811" t="s">
        <v>14201</v>
      </c>
      <c r="I7811" t="s">
        <v>4678</v>
      </c>
      <c r="J7811" t="s">
        <v>37675</v>
      </c>
      <c r="K7811" t="s">
        <v>42623</v>
      </c>
      <c r="M7811" t="s">
        <v>43740</v>
      </c>
      <c r="N7811" t="s">
        <v>47304</v>
      </c>
      <c r="O7811" t="s">
        <v>47305</v>
      </c>
      <c r="P7811">
        <v>0</v>
      </c>
      <c r="Q7811">
        <v>4</v>
      </c>
      <c r="R7811" t="s">
        <v>47312</v>
      </c>
      <c r="S7811" t="s">
        <v>47489</v>
      </c>
      <c r="T7811" t="s">
        <v>49004</v>
      </c>
      <c r="U7811" t="s">
        <v>56068</v>
      </c>
      <c r="W7811" t="s">
        <v>43740</v>
      </c>
      <c r="X7811" t="s">
        <v>47314</v>
      </c>
    </row>
    <row r="7812" spans="1:24">
      <c r="A7812">
        <f>HYPERLINK("https://www.philgeps.gov.ph/GEPSNONPILOT/Tender/SplashBidNoticeAbstractUI.aspx?menuIndex=3&amp;refID=7184757&amp;Result=3","7184757")</f>
        <v>0</v>
      </c>
      <c r="B7812" t="s">
        <v>2473</v>
      </c>
      <c r="C7812" t="s">
        <v>11210</v>
      </c>
      <c r="D7812" t="s">
        <v>19008</v>
      </c>
      <c r="E7812" t="s">
        <v>25887</v>
      </c>
      <c r="F7812" t="s">
        <v>32606</v>
      </c>
      <c r="G7812" t="s">
        <v>32613</v>
      </c>
      <c r="H7812" t="s">
        <v>32623</v>
      </c>
      <c r="I7812" t="s">
        <v>17648</v>
      </c>
      <c r="J7812" t="s">
        <v>32821</v>
      </c>
      <c r="K7812" t="s">
        <v>42649</v>
      </c>
      <c r="M7812" t="s">
        <v>45608</v>
      </c>
      <c r="N7812" t="s">
        <v>47304</v>
      </c>
      <c r="O7812" t="s">
        <v>47305</v>
      </c>
      <c r="P7812">
        <v>0</v>
      </c>
      <c r="Q7812">
        <v>0</v>
      </c>
      <c r="R7812" t="s">
        <v>47312</v>
      </c>
      <c r="S7812" t="s">
        <v>47489</v>
      </c>
      <c r="T7812" t="s">
        <v>49086</v>
      </c>
      <c r="U7812" t="s">
        <v>56069</v>
      </c>
      <c r="W7812" t="s">
        <v>45608</v>
      </c>
      <c r="X7812" t="s">
        <v>47314</v>
      </c>
    </row>
    <row r="7813" spans="1:24">
      <c r="A7813">
        <f>HYPERLINK("https://www.philgeps.gov.ph/GEPSNONPILOT/Tender/SplashBidNoticeAbstractUI.aspx?menuIndex=3&amp;refID=7184735&amp;Result=3","7184735")</f>
        <v>0</v>
      </c>
      <c r="B7813" t="s">
        <v>2221</v>
      </c>
      <c r="C7813" t="s">
        <v>11211</v>
      </c>
      <c r="D7813" t="s">
        <v>19007</v>
      </c>
      <c r="E7813" t="s">
        <v>25888</v>
      </c>
      <c r="F7813" t="s">
        <v>32606</v>
      </c>
      <c r="G7813" t="s">
        <v>32613</v>
      </c>
      <c r="H7813" t="s">
        <v>14201</v>
      </c>
      <c r="I7813" t="s">
        <v>6931</v>
      </c>
      <c r="J7813" t="s">
        <v>32772</v>
      </c>
      <c r="K7813" t="s">
        <v>42648</v>
      </c>
      <c r="L7813" t="s">
        <v>2221</v>
      </c>
      <c r="M7813" t="s">
        <v>45642</v>
      </c>
      <c r="N7813" t="s">
        <v>47304</v>
      </c>
      <c r="O7813" t="s">
        <v>47305</v>
      </c>
      <c r="P7813">
        <v>0</v>
      </c>
      <c r="Q7813">
        <v>1</v>
      </c>
      <c r="R7813" t="s">
        <v>47312</v>
      </c>
      <c r="S7813" t="s">
        <v>47489</v>
      </c>
      <c r="T7813" t="s">
        <v>49075</v>
      </c>
      <c r="U7813" t="s">
        <v>56070</v>
      </c>
      <c r="W7813" t="s">
        <v>45642</v>
      </c>
      <c r="X7813" t="s">
        <v>47314</v>
      </c>
    </row>
    <row r="7814" spans="1:24">
      <c r="A7814">
        <f>HYPERLINK("https://www.philgeps.gov.ph/GEPSNONPILOT/Tender/SplashBidNoticeAbstractUI.aspx?menuIndex=3&amp;refID=7185483&amp;Result=3","7185483")</f>
        <v>0</v>
      </c>
      <c r="B7814" t="s">
        <v>2484</v>
      </c>
      <c r="C7814" t="s">
        <v>11212</v>
      </c>
      <c r="D7814" t="s">
        <v>19034</v>
      </c>
      <c r="E7814" t="s">
        <v>25889</v>
      </c>
      <c r="F7814" t="s">
        <v>32606</v>
      </c>
      <c r="G7814" t="s">
        <v>32613</v>
      </c>
      <c r="H7814" t="s">
        <v>14201</v>
      </c>
      <c r="I7814" t="s">
        <v>32629</v>
      </c>
      <c r="J7814" t="s">
        <v>37676</v>
      </c>
      <c r="K7814" t="s">
        <v>42631</v>
      </c>
      <c r="M7814" t="s">
        <v>45621</v>
      </c>
      <c r="N7814" t="s">
        <v>47304</v>
      </c>
      <c r="O7814" t="s">
        <v>47305</v>
      </c>
      <c r="P7814">
        <v>0</v>
      </c>
      <c r="Q7814">
        <v>0</v>
      </c>
      <c r="R7814" t="s">
        <v>47312</v>
      </c>
      <c r="S7814" t="s">
        <v>47489</v>
      </c>
      <c r="T7814" t="s">
        <v>49037</v>
      </c>
      <c r="U7814" t="s">
        <v>56071</v>
      </c>
      <c r="V7814" t="s">
        <v>63381</v>
      </c>
      <c r="W7814" t="s">
        <v>45621</v>
      </c>
      <c r="X7814" t="s">
        <v>47314</v>
      </c>
    </row>
    <row r="7815" spans="1:24">
      <c r="A7815">
        <f>HYPERLINK("https://www.philgeps.gov.ph/GEPSNONPILOT/Tender/SplashBidNoticeAbstractUI.aspx?menuIndex=3&amp;refID=7184456&amp;Result=3","7184456")</f>
        <v>0</v>
      </c>
      <c r="B7815" t="s">
        <v>895</v>
      </c>
      <c r="C7815" t="s">
        <v>11213</v>
      </c>
      <c r="D7815" t="s">
        <v>18993</v>
      </c>
      <c r="E7815" t="s">
        <v>25890</v>
      </c>
      <c r="F7815" t="s">
        <v>32606</v>
      </c>
      <c r="G7815" t="s">
        <v>32613</v>
      </c>
      <c r="H7815" t="s">
        <v>14201</v>
      </c>
      <c r="I7815" t="s">
        <v>32691</v>
      </c>
      <c r="J7815" t="s">
        <v>37677</v>
      </c>
      <c r="K7815" t="s">
        <v>42624</v>
      </c>
      <c r="M7815" t="s">
        <v>45616</v>
      </c>
      <c r="N7815" t="s">
        <v>47304</v>
      </c>
      <c r="O7815" t="s">
        <v>47305</v>
      </c>
      <c r="P7815">
        <v>0</v>
      </c>
      <c r="Q7815">
        <v>1</v>
      </c>
      <c r="R7815" t="s">
        <v>47312</v>
      </c>
      <c r="S7815" t="s">
        <v>47489</v>
      </c>
      <c r="T7815" t="s">
        <v>49234</v>
      </c>
      <c r="U7815" t="s">
        <v>56072</v>
      </c>
      <c r="W7815" t="s">
        <v>45616</v>
      </c>
      <c r="X7815" t="s">
        <v>47314</v>
      </c>
    </row>
    <row r="7816" spans="1:24">
      <c r="A7816">
        <f>HYPERLINK("https://www.philgeps.gov.ph/GEPSNONPILOT/Tender/SplashBidNoticeAbstractUI.aspx?menuIndex=3&amp;refID=7184441&amp;Result=3","7184441")</f>
        <v>0</v>
      </c>
      <c r="B7816" t="s">
        <v>2481</v>
      </c>
      <c r="C7816" t="s">
        <v>11214</v>
      </c>
      <c r="D7816" t="s">
        <v>19007</v>
      </c>
      <c r="E7816" t="s">
        <v>25891</v>
      </c>
      <c r="F7816" t="s">
        <v>32606</v>
      </c>
      <c r="G7816" t="s">
        <v>32613</v>
      </c>
      <c r="H7816" t="s">
        <v>32623</v>
      </c>
      <c r="I7816" t="s">
        <v>17648</v>
      </c>
      <c r="J7816" t="s">
        <v>37678</v>
      </c>
      <c r="K7816" t="s">
        <v>42648</v>
      </c>
      <c r="M7816" t="s">
        <v>45618</v>
      </c>
      <c r="N7816" t="s">
        <v>47304</v>
      </c>
      <c r="O7816" t="s">
        <v>47305</v>
      </c>
      <c r="P7816">
        <v>0</v>
      </c>
      <c r="Q7816">
        <v>0</v>
      </c>
      <c r="R7816" t="s">
        <v>47312</v>
      </c>
      <c r="S7816" t="s">
        <v>47489</v>
      </c>
      <c r="T7816" t="s">
        <v>48970</v>
      </c>
      <c r="U7816" t="s">
        <v>56073</v>
      </c>
      <c r="W7816" t="s">
        <v>45618</v>
      </c>
      <c r="X7816" t="s">
        <v>47314</v>
      </c>
    </row>
    <row r="7817" spans="1:24">
      <c r="A7817">
        <f>HYPERLINK("https://www.philgeps.gov.ph/GEPSNONPILOT/Tender/SplashBidNoticeAbstractUI.aspx?menuIndex=3&amp;refID=7186187&amp;Result=3","7186187")</f>
        <v>0</v>
      </c>
      <c r="B7817" t="s">
        <v>809</v>
      </c>
      <c r="C7817" t="s">
        <v>11215</v>
      </c>
      <c r="D7817" t="s">
        <v>19010</v>
      </c>
      <c r="E7817" t="s">
        <v>25892</v>
      </c>
      <c r="F7817" t="s">
        <v>32606</v>
      </c>
      <c r="G7817" t="s">
        <v>32613</v>
      </c>
      <c r="H7817" t="s">
        <v>32623</v>
      </c>
      <c r="I7817" t="s">
        <v>17648</v>
      </c>
      <c r="J7817" t="s">
        <v>37679</v>
      </c>
      <c r="K7817" t="s">
        <v>42648</v>
      </c>
      <c r="M7817" t="s">
        <v>43740</v>
      </c>
      <c r="N7817" t="s">
        <v>47304</v>
      </c>
      <c r="O7817" t="s">
        <v>47305</v>
      </c>
      <c r="P7817">
        <v>0</v>
      </c>
      <c r="Q7817">
        <v>0</v>
      </c>
      <c r="R7817" t="s">
        <v>47312</v>
      </c>
      <c r="S7817" t="s">
        <v>47489</v>
      </c>
      <c r="T7817" t="s">
        <v>49004</v>
      </c>
      <c r="U7817" t="s">
        <v>52448</v>
      </c>
      <c r="W7817" t="s">
        <v>43740</v>
      </c>
      <c r="X7817" t="s">
        <v>47314</v>
      </c>
    </row>
    <row r="7818" spans="1:24">
      <c r="A7818">
        <f>HYPERLINK("https://www.philgeps.gov.ph/GEPSNONPILOT/Tender/SplashBidNoticeAbstractUI.aspx?menuIndex=3&amp;refID=7184997&amp;Result=3","7184997")</f>
        <v>0</v>
      </c>
      <c r="B7818" t="s">
        <v>2504</v>
      </c>
      <c r="C7818" t="s">
        <v>11216</v>
      </c>
      <c r="D7818" t="s">
        <v>19046</v>
      </c>
      <c r="E7818" t="s">
        <v>19315</v>
      </c>
      <c r="F7818" t="s">
        <v>32606</v>
      </c>
      <c r="G7818" t="s">
        <v>32613</v>
      </c>
      <c r="H7818" t="s">
        <v>32623</v>
      </c>
      <c r="I7818" t="s">
        <v>32649</v>
      </c>
      <c r="J7818" t="s">
        <v>37680</v>
      </c>
      <c r="K7818" t="s">
        <v>42648</v>
      </c>
      <c r="M7818" t="s">
        <v>45643</v>
      </c>
      <c r="N7818" t="s">
        <v>47304</v>
      </c>
      <c r="O7818" t="s">
        <v>47305</v>
      </c>
      <c r="P7818">
        <v>0</v>
      </c>
      <c r="Q7818">
        <v>0</v>
      </c>
      <c r="R7818" t="s">
        <v>47312</v>
      </c>
      <c r="S7818" t="s">
        <v>47489</v>
      </c>
      <c r="T7818" t="s">
        <v>49081</v>
      </c>
      <c r="U7818" t="s">
        <v>56074</v>
      </c>
      <c r="W7818" t="s">
        <v>45643</v>
      </c>
      <c r="X7818" t="s">
        <v>47314</v>
      </c>
    </row>
    <row r="7819" spans="1:24">
      <c r="A7819">
        <f>HYPERLINK("https://www.philgeps.gov.ph/GEPSNONPILOT/Tender/SplashBidNoticeAbstractUI.aspx?menuIndex=3&amp;refID=7186569&amp;Result=3","7186569")</f>
        <v>0</v>
      </c>
      <c r="B7819" t="s">
        <v>2505</v>
      </c>
      <c r="C7819" t="s">
        <v>11217</v>
      </c>
      <c r="D7819" t="s">
        <v>19007</v>
      </c>
      <c r="E7819" t="s">
        <v>25893</v>
      </c>
      <c r="F7819" t="s">
        <v>32606</v>
      </c>
      <c r="G7819" t="s">
        <v>32613</v>
      </c>
      <c r="H7819" t="s">
        <v>32623</v>
      </c>
      <c r="I7819" t="s">
        <v>17648</v>
      </c>
      <c r="J7819" t="s">
        <v>32772</v>
      </c>
      <c r="K7819" t="s">
        <v>42636</v>
      </c>
      <c r="M7819" t="s">
        <v>45644</v>
      </c>
      <c r="N7819" t="s">
        <v>47304</v>
      </c>
      <c r="O7819" t="s">
        <v>47305</v>
      </c>
      <c r="P7819">
        <v>0</v>
      </c>
      <c r="Q7819">
        <v>0</v>
      </c>
      <c r="R7819" t="s">
        <v>47312</v>
      </c>
      <c r="S7819" t="s">
        <v>47489</v>
      </c>
      <c r="T7819" t="s">
        <v>49077</v>
      </c>
      <c r="U7819" t="s">
        <v>56075</v>
      </c>
      <c r="V7819" t="s">
        <v>63394</v>
      </c>
      <c r="W7819" t="s">
        <v>45644</v>
      </c>
      <c r="X7819" t="s">
        <v>47314</v>
      </c>
    </row>
    <row r="7820" spans="1:24">
      <c r="A7820">
        <f>HYPERLINK("https://www.philgeps.gov.ph/GEPSNONPILOT/Tender/SplashBidNoticeAbstractUI.aspx?menuIndex=3&amp;refID=7186568&amp;Result=3","7186568")</f>
        <v>0</v>
      </c>
      <c r="B7820" t="s">
        <v>2430</v>
      </c>
      <c r="C7820" t="s">
        <v>11218</v>
      </c>
      <c r="D7820" t="s">
        <v>19010</v>
      </c>
      <c r="E7820" t="s">
        <v>25894</v>
      </c>
      <c r="F7820" t="s">
        <v>32606</v>
      </c>
      <c r="G7820" t="s">
        <v>32619</v>
      </c>
      <c r="H7820" t="s">
        <v>14201</v>
      </c>
      <c r="I7820" t="s">
        <v>4120</v>
      </c>
      <c r="J7820" t="s">
        <v>37681</v>
      </c>
      <c r="K7820" t="s">
        <v>42630</v>
      </c>
      <c r="M7820" t="s">
        <v>45645</v>
      </c>
      <c r="N7820" t="s">
        <v>47304</v>
      </c>
      <c r="O7820" t="s">
        <v>47305</v>
      </c>
      <c r="P7820">
        <v>0</v>
      </c>
      <c r="Q7820">
        <v>3</v>
      </c>
      <c r="R7820" t="s">
        <v>47312</v>
      </c>
      <c r="S7820" t="s">
        <v>47489</v>
      </c>
      <c r="T7820" t="s">
        <v>49107</v>
      </c>
      <c r="U7820" t="s">
        <v>56076</v>
      </c>
      <c r="W7820" t="s">
        <v>45645</v>
      </c>
      <c r="X7820" t="s">
        <v>47314</v>
      </c>
    </row>
    <row r="7821" spans="1:24">
      <c r="A7821">
        <f>HYPERLINK("https://www.philgeps.gov.ph/GEPSNONPILOT/Tender/SplashBidNoticeAbstractUI.aspx?menuIndex=3&amp;refID=7184783&amp;Result=3","7184783")</f>
        <v>0</v>
      </c>
      <c r="B7821" t="s">
        <v>2221</v>
      </c>
      <c r="C7821" t="s">
        <v>11219</v>
      </c>
      <c r="D7821" t="s">
        <v>19007</v>
      </c>
      <c r="E7821" t="s">
        <v>25895</v>
      </c>
      <c r="F7821" t="s">
        <v>32606</v>
      </c>
      <c r="G7821" t="s">
        <v>32613</v>
      </c>
      <c r="H7821" t="s">
        <v>14201</v>
      </c>
      <c r="I7821" t="s">
        <v>6931</v>
      </c>
      <c r="J7821" t="s">
        <v>37682</v>
      </c>
      <c r="K7821" t="s">
        <v>42627</v>
      </c>
      <c r="L7821" t="s">
        <v>2221</v>
      </c>
      <c r="M7821" t="s">
        <v>45642</v>
      </c>
      <c r="N7821" t="s">
        <v>47304</v>
      </c>
      <c r="O7821" t="s">
        <v>47305</v>
      </c>
      <c r="P7821">
        <v>0</v>
      </c>
      <c r="Q7821">
        <v>0</v>
      </c>
      <c r="R7821" t="s">
        <v>47312</v>
      </c>
      <c r="S7821" t="s">
        <v>47489</v>
      </c>
      <c r="T7821" t="s">
        <v>49075</v>
      </c>
      <c r="U7821" t="s">
        <v>56077</v>
      </c>
      <c r="W7821" t="s">
        <v>45642</v>
      </c>
      <c r="X7821" t="s">
        <v>47314</v>
      </c>
    </row>
    <row r="7822" spans="1:24">
      <c r="A7822">
        <f>HYPERLINK("https://www.philgeps.gov.ph/GEPSNONPILOT/Tender/SplashBidNoticeAbstractUI.aspx?menuIndex=3&amp;refID=7186594&amp;Result=3","7186594")</f>
        <v>0</v>
      </c>
      <c r="B7822" t="s">
        <v>2505</v>
      </c>
      <c r="C7822" t="s">
        <v>11220</v>
      </c>
      <c r="D7822" t="s">
        <v>19007</v>
      </c>
      <c r="E7822" t="s">
        <v>25893</v>
      </c>
      <c r="F7822" t="s">
        <v>32606</v>
      </c>
      <c r="G7822" t="s">
        <v>32613</v>
      </c>
      <c r="H7822" t="s">
        <v>32623</v>
      </c>
      <c r="I7822" t="s">
        <v>17648</v>
      </c>
      <c r="J7822" t="s">
        <v>32795</v>
      </c>
      <c r="K7822" t="s">
        <v>42636</v>
      </c>
      <c r="M7822" t="s">
        <v>45644</v>
      </c>
      <c r="N7822" t="s">
        <v>47304</v>
      </c>
      <c r="O7822" t="s">
        <v>47305</v>
      </c>
      <c r="P7822">
        <v>0</v>
      </c>
      <c r="Q7822">
        <v>0</v>
      </c>
      <c r="R7822" t="s">
        <v>47312</v>
      </c>
      <c r="S7822" t="s">
        <v>47489</v>
      </c>
      <c r="T7822" t="s">
        <v>49077</v>
      </c>
      <c r="U7822" t="s">
        <v>56075</v>
      </c>
      <c r="V7822" t="s">
        <v>63395</v>
      </c>
      <c r="W7822" t="s">
        <v>45644</v>
      </c>
      <c r="X7822" t="s">
        <v>47314</v>
      </c>
    </row>
    <row r="7823" spans="1:24">
      <c r="A7823">
        <f>HYPERLINK("https://www.philgeps.gov.ph/GEPSNONPILOT/Tender/SplashBidNoticeAbstractUI.aspx?menuIndex=3&amp;refID=7186591&amp;Result=3","7186591")</f>
        <v>0</v>
      </c>
      <c r="B7823" t="s">
        <v>2430</v>
      </c>
      <c r="C7823" t="s">
        <v>11221</v>
      </c>
      <c r="D7823" t="s">
        <v>19010</v>
      </c>
      <c r="E7823" t="s">
        <v>25896</v>
      </c>
      <c r="F7823" t="s">
        <v>32606</v>
      </c>
      <c r="G7823" t="s">
        <v>32619</v>
      </c>
      <c r="H7823" t="s">
        <v>14201</v>
      </c>
      <c r="I7823" t="s">
        <v>6993</v>
      </c>
      <c r="J7823" t="s">
        <v>32949</v>
      </c>
      <c r="K7823" t="s">
        <v>42630</v>
      </c>
      <c r="M7823" t="s">
        <v>45645</v>
      </c>
      <c r="N7823" t="s">
        <v>47304</v>
      </c>
      <c r="O7823" t="s">
        <v>47305</v>
      </c>
      <c r="P7823">
        <v>0</v>
      </c>
      <c r="Q7823">
        <v>0</v>
      </c>
      <c r="R7823" t="s">
        <v>47312</v>
      </c>
      <c r="S7823" t="s">
        <v>47489</v>
      </c>
      <c r="T7823" t="s">
        <v>49107</v>
      </c>
      <c r="U7823" t="s">
        <v>56078</v>
      </c>
      <c r="W7823" t="s">
        <v>45645</v>
      </c>
      <c r="X7823" t="s">
        <v>47314</v>
      </c>
    </row>
    <row r="7824" spans="1:24">
      <c r="A7824">
        <f>HYPERLINK("https://www.philgeps.gov.ph/GEPSNONPILOT/Tender/SplashBidNoticeAbstractUI.aspx?menuIndex=3&amp;refID=7186585&amp;Result=3","7186585")</f>
        <v>0</v>
      </c>
      <c r="B7824" t="s">
        <v>2430</v>
      </c>
      <c r="C7824" t="s">
        <v>11222</v>
      </c>
      <c r="D7824" t="s">
        <v>19010</v>
      </c>
      <c r="E7824" t="s">
        <v>25897</v>
      </c>
      <c r="F7824" t="s">
        <v>32606</v>
      </c>
      <c r="G7824" t="s">
        <v>32619</v>
      </c>
      <c r="H7824" t="s">
        <v>14201</v>
      </c>
      <c r="I7824" t="s">
        <v>32658</v>
      </c>
      <c r="J7824" t="s">
        <v>37683</v>
      </c>
      <c r="K7824" t="s">
        <v>42630</v>
      </c>
      <c r="M7824" t="s">
        <v>45645</v>
      </c>
      <c r="N7824" t="s">
        <v>47304</v>
      </c>
      <c r="O7824" t="s">
        <v>47305</v>
      </c>
      <c r="P7824">
        <v>0</v>
      </c>
      <c r="Q7824">
        <v>0</v>
      </c>
      <c r="R7824" t="s">
        <v>47312</v>
      </c>
      <c r="S7824" t="s">
        <v>47489</v>
      </c>
      <c r="T7824" t="s">
        <v>49107</v>
      </c>
      <c r="U7824" t="s">
        <v>56079</v>
      </c>
      <c r="W7824" t="s">
        <v>45645</v>
      </c>
      <c r="X7824" t="s">
        <v>47314</v>
      </c>
    </row>
    <row r="7825" spans="1:24">
      <c r="A7825">
        <f>HYPERLINK("https://www.philgeps.gov.ph/GEPSNONPILOT/Tender/SplashBidNoticeAbstractUI.aspx?menuIndex=3&amp;refID=7184443&amp;Result=3","7184443")</f>
        <v>0</v>
      </c>
      <c r="B7825" t="s">
        <v>895</v>
      </c>
      <c r="C7825" t="s">
        <v>11223</v>
      </c>
      <c r="D7825" t="s">
        <v>18993</v>
      </c>
      <c r="E7825" t="s">
        <v>25898</v>
      </c>
      <c r="F7825" t="s">
        <v>32606</v>
      </c>
      <c r="G7825" t="s">
        <v>32613</v>
      </c>
      <c r="H7825" t="s">
        <v>14201</v>
      </c>
      <c r="I7825" t="s">
        <v>32633</v>
      </c>
      <c r="J7825" t="s">
        <v>34725</v>
      </c>
      <c r="K7825" t="s">
        <v>42624</v>
      </c>
      <c r="M7825" t="s">
        <v>45616</v>
      </c>
      <c r="N7825" t="s">
        <v>47304</v>
      </c>
      <c r="O7825" t="s">
        <v>47305</v>
      </c>
      <c r="P7825">
        <v>0</v>
      </c>
      <c r="Q7825">
        <v>11</v>
      </c>
      <c r="R7825" t="s">
        <v>47312</v>
      </c>
      <c r="S7825" t="s">
        <v>47489</v>
      </c>
      <c r="T7825" t="s">
        <v>49234</v>
      </c>
      <c r="U7825" t="s">
        <v>56080</v>
      </c>
      <c r="W7825" t="s">
        <v>45616</v>
      </c>
      <c r="X7825" t="s">
        <v>47314</v>
      </c>
    </row>
    <row r="7826" spans="1:24">
      <c r="A7826">
        <f>HYPERLINK("https://www.philgeps.gov.ph/GEPSNONPILOT/Tender/SplashBidNoticeAbstractUI.aspx?menuIndex=3&amp;refID=7186582&amp;Result=3","7186582")</f>
        <v>0</v>
      </c>
      <c r="B7826" t="s">
        <v>2430</v>
      </c>
      <c r="C7826" t="s">
        <v>11224</v>
      </c>
      <c r="D7826" t="s">
        <v>19010</v>
      </c>
      <c r="E7826" t="s">
        <v>25899</v>
      </c>
      <c r="F7826" t="s">
        <v>32606</v>
      </c>
      <c r="G7826" t="s">
        <v>32619</v>
      </c>
      <c r="H7826" t="s">
        <v>14201</v>
      </c>
      <c r="I7826" t="s">
        <v>4120</v>
      </c>
      <c r="J7826" t="s">
        <v>37684</v>
      </c>
      <c r="K7826" t="s">
        <v>42630</v>
      </c>
      <c r="M7826" t="s">
        <v>45645</v>
      </c>
      <c r="N7826" t="s">
        <v>47304</v>
      </c>
      <c r="O7826" t="s">
        <v>47305</v>
      </c>
      <c r="P7826">
        <v>0</v>
      </c>
      <c r="Q7826">
        <v>0</v>
      </c>
      <c r="R7826" t="s">
        <v>47312</v>
      </c>
      <c r="S7826" t="s">
        <v>47489</v>
      </c>
      <c r="T7826" t="s">
        <v>49107</v>
      </c>
      <c r="U7826" t="s">
        <v>56081</v>
      </c>
      <c r="W7826" t="s">
        <v>45645</v>
      </c>
      <c r="X7826" t="s">
        <v>47314</v>
      </c>
    </row>
    <row r="7827" spans="1:24">
      <c r="A7827">
        <f>HYPERLINK("https://www.philgeps.gov.ph/GEPSNONPILOT/Tender/SplashBidNoticeAbstractUI.aspx?menuIndex=3&amp;refID=7185544&amp;Result=3","7185544")</f>
        <v>0</v>
      </c>
      <c r="B7827" t="s">
        <v>2490</v>
      </c>
      <c r="C7827" t="s">
        <v>11225</v>
      </c>
      <c r="D7827" t="s">
        <v>19006</v>
      </c>
      <c r="E7827" t="s">
        <v>25900</v>
      </c>
      <c r="F7827" t="s">
        <v>32606</v>
      </c>
      <c r="G7827" t="s">
        <v>32614</v>
      </c>
      <c r="H7827" t="s">
        <v>14201</v>
      </c>
      <c r="I7827" t="s">
        <v>32644</v>
      </c>
      <c r="J7827" t="s">
        <v>33155</v>
      </c>
      <c r="K7827" t="s">
        <v>42623</v>
      </c>
      <c r="M7827" t="s">
        <v>45627</v>
      </c>
      <c r="N7827" t="s">
        <v>47304</v>
      </c>
      <c r="O7827" t="s">
        <v>47305</v>
      </c>
      <c r="P7827">
        <v>0</v>
      </c>
      <c r="Q7827">
        <v>0</v>
      </c>
      <c r="R7827" t="s">
        <v>47312</v>
      </c>
      <c r="S7827" t="s">
        <v>47489</v>
      </c>
      <c r="T7827" t="s">
        <v>49269</v>
      </c>
      <c r="U7827" t="s">
        <v>56082</v>
      </c>
      <c r="W7827" t="s">
        <v>45627</v>
      </c>
      <c r="X7827" t="s">
        <v>47314</v>
      </c>
    </row>
    <row r="7828" spans="1:24">
      <c r="A7828">
        <f>HYPERLINK("https://www.philgeps.gov.ph/GEPSNONPILOT/Tender/SplashBidNoticeAbstractUI.aspx?menuIndex=3&amp;refID=7186574&amp;Result=3","7186574")</f>
        <v>0</v>
      </c>
      <c r="B7828" t="s">
        <v>2505</v>
      </c>
      <c r="C7828" t="s">
        <v>11226</v>
      </c>
      <c r="D7828" t="s">
        <v>19007</v>
      </c>
      <c r="E7828" t="s">
        <v>25893</v>
      </c>
      <c r="F7828" t="s">
        <v>32606</v>
      </c>
      <c r="G7828" t="s">
        <v>32613</v>
      </c>
      <c r="H7828" t="s">
        <v>32623</v>
      </c>
      <c r="I7828" t="s">
        <v>17648</v>
      </c>
      <c r="J7828" t="s">
        <v>32772</v>
      </c>
      <c r="K7828" t="s">
        <v>42636</v>
      </c>
      <c r="M7828" t="s">
        <v>45644</v>
      </c>
      <c r="N7828" t="s">
        <v>47304</v>
      </c>
      <c r="O7828" t="s">
        <v>47305</v>
      </c>
      <c r="P7828">
        <v>0</v>
      </c>
      <c r="Q7828">
        <v>0</v>
      </c>
      <c r="R7828" t="s">
        <v>47312</v>
      </c>
      <c r="S7828" t="s">
        <v>47489</v>
      </c>
      <c r="T7828" t="s">
        <v>49077</v>
      </c>
      <c r="U7828" t="s">
        <v>56075</v>
      </c>
      <c r="V7828" t="s">
        <v>63396</v>
      </c>
      <c r="W7828" t="s">
        <v>45644</v>
      </c>
      <c r="X7828" t="s">
        <v>47314</v>
      </c>
    </row>
    <row r="7829" spans="1:24">
      <c r="A7829">
        <f>HYPERLINK("https://www.philgeps.gov.ph/GEPSNONPILOT/Tender/SplashBidNoticeAbstractUI.aspx?menuIndex=3&amp;refID=7186563&amp;Result=3","7186563")</f>
        <v>0</v>
      </c>
      <c r="B7829" t="s">
        <v>2430</v>
      </c>
      <c r="C7829" t="s">
        <v>11227</v>
      </c>
      <c r="D7829" t="s">
        <v>19010</v>
      </c>
      <c r="E7829" t="s">
        <v>25901</v>
      </c>
      <c r="F7829" t="s">
        <v>32606</v>
      </c>
      <c r="G7829" t="s">
        <v>32619</v>
      </c>
      <c r="H7829" t="s">
        <v>14201</v>
      </c>
      <c r="I7829" t="s">
        <v>6993</v>
      </c>
      <c r="J7829" t="s">
        <v>37685</v>
      </c>
      <c r="K7829" t="s">
        <v>42630</v>
      </c>
      <c r="M7829" t="s">
        <v>45645</v>
      </c>
      <c r="N7829" t="s">
        <v>47304</v>
      </c>
      <c r="O7829" t="s">
        <v>47305</v>
      </c>
      <c r="P7829">
        <v>0</v>
      </c>
      <c r="Q7829">
        <v>0</v>
      </c>
      <c r="R7829" t="s">
        <v>47312</v>
      </c>
      <c r="S7829" t="s">
        <v>47489</v>
      </c>
      <c r="T7829" t="s">
        <v>49107</v>
      </c>
      <c r="U7829" t="s">
        <v>56083</v>
      </c>
      <c r="W7829" t="s">
        <v>45645</v>
      </c>
      <c r="X7829" t="s">
        <v>47314</v>
      </c>
    </row>
    <row r="7830" spans="1:24">
      <c r="A7830">
        <f>HYPERLINK("https://www.philgeps.gov.ph/GEPSNONPILOT/Tender/SplashBidNoticeAbstractUI.aspx?menuIndex=3&amp;refID=7186560&amp;Result=3","7186560")</f>
        <v>0</v>
      </c>
      <c r="B7830" t="s">
        <v>2505</v>
      </c>
      <c r="C7830" t="s">
        <v>11228</v>
      </c>
      <c r="D7830" t="s">
        <v>19007</v>
      </c>
      <c r="E7830" t="s">
        <v>25893</v>
      </c>
      <c r="F7830" t="s">
        <v>32606</v>
      </c>
      <c r="G7830" t="s">
        <v>32613</v>
      </c>
      <c r="H7830" t="s">
        <v>32623</v>
      </c>
      <c r="I7830" t="s">
        <v>17648</v>
      </c>
      <c r="J7830" t="s">
        <v>32772</v>
      </c>
      <c r="K7830" t="s">
        <v>42636</v>
      </c>
      <c r="M7830" t="s">
        <v>45644</v>
      </c>
      <c r="N7830" t="s">
        <v>47304</v>
      </c>
      <c r="O7830" t="s">
        <v>47305</v>
      </c>
      <c r="P7830">
        <v>0</v>
      </c>
      <c r="Q7830">
        <v>0</v>
      </c>
      <c r="R7830" t="s">
        <v>47312</v>
      </c>
      <c r="S7830" t="s">
        <v>47489</v>
      </c>
      <c r="T7830" t="s">
        <v>49077</v>
      </c>
      <c r="U7830" t="s">
        <v>56075</v>
      </c>
      <c r="V7830" t="s">
        <v>63397</v>
      </c>
      <c r="W7830" t="s">
        <v>45644</v>
      </c>
      <c r="X7830" t="s">
        <v>47314</v>
      </c>
    </row>
    <row r="7831" spans="1:24">
      <c r="A7831">
        <f>HYPERLINK("https://www.philgeps.gov.ph/GEPSNONPILOT/Tender/SplashBidNoticeAbstractUI.aspx?menuIndex=3&amp;refID=7186557&amp;Result=3","7186557")</f>
        <v>0</v>
      </c>
      <c r="B7831" t="s">
        <v>2505</v>
      </c>
      <c r="C7831" t="s">
        <v>11229</v>
      </c>
      <c r="D7831" t="s">
        <v>19007</v>
      </c>
      <c r="E7831" t="s">
        <v>25893</v>
      </c>
      <c r="F7831" t="s">
        <v>32606</v>
      </c>
      <c r="G7831" t="s">
        <v>32613</v>
      </c>
      <c r="H7831" t="s">
        <v>32623</v>
      </c>
      <c r="I7831" t="s">
        <v>17648</v>
      </c>
      <c r="J7831" t="s">
        <v>33016</v>
      </c>
      <c r="K7831" t="s">
        <v>42636</v>
      </c>
      <c r="M7831" t="s">
        <v>45644</v>
      </c>
      <c r="N7831" t="s">
        <v>47304</v>
      </c>
      <c r="O7831" t="s">
        <v>47305</v>
      </c>
      <c r="P7831">
        <v>0</v>
      </c>
      <c r="Q7831">
        <v>0</v>
      </c>
      <c r="R7831" t="s">
        <v>47312</v>
      </c>
      <c r="S7831" t="s">
        <v>47489</v>
      </c>
      <c r="T7831" t="s">
        <v>49077</v>
      </c>
      <c r="U7831" t="s">
        <v>56075</v>
      </c>
      <c r="V7831" t="s">
        <v>63398</v>
      </c>
      <c r="W7831" t="s">
        <v>45644</v>
      </c>
      <c r="X7831" t="s">
        <v>47314</v>
      </c>
    </row>
    <row r="7832" spans="1:24">
      <c r="A7832">
        <f>HYPERLINK("https://www.philgeps.gov.ph/GEPSNONPILOT/Tender/SplashBidNoticeAbstractUI.aspx?menuIndex=3&amp;refID=7186587&amp;Result=3","7186587")</f>
        <v>0</v>
      </c>
      <c r="B7832" t="s">
        <v>2430</v>
      </c>
      <c r="C7832" t="s">
        <v>11230</v>
      </c>
      <c r="D7832" t="s">
        <v>19010</v>
      </c>
      <c r="E7832" t="s">
        <v>25902</v>
      </c>
      <c r="F7832" t="s">
        <v>32606</v>
      </c>
      <c r="G7832" t="s">
        <v>32619</v>
      </c>
      <c r="H7832" t="s">
        <v>14201</v>
      </c>
      <c r="I7832" t="s">
        <v>6993</v>
      </c>
      <c r="J7832" t="s">
        <v>33526</v>
      </c>
      <c r="K7832" t="s">
        <v>42630</v>
      </c>
      <c r="M7832" t="s">
        <v>45645</v>
      </c>
      <c r="N7832" t="s">
        <v>47304</v>
      </c>
      <c r="O7832" t="s">
        <v>47305</v>
      </c>
      <c r="P7832">
        <v>0</v>
      </c>
      <c r="Q7832">
        <v>0</v>
      </c>
      <c r="R7832" t="s">
        <v>47312</v>
      </c>
      <c r="S7832" t="s">
        <v>47489</v>
      </c>
      <c r="T7832" t="s">
        <v>49107</v>
      </c>
      <c r="U7832" t="s">
        <v>56084</v>
      </c>
      <c r="W7832" t="s">
        <v>45645</v>
      </c>
      <c r="X7832" t="s">
        <v>47314</v>
      </c>
    </row>
    <row r="7833" spans="1:24">
      <c r="A7833">
        <f>HYPERLINK("https://www.philgeps.gov.ph/GEPSNONPILOT/Tender/SplashBidNoticeAbstractUI.aspx?menuIndex=3&amp;refID=7186583&amp;Result=3","7186583")</f>
        <v>0</v>
      </c>
      <c r="B7833" t="s">
        <v>2505</v>
      </c>
      <c r="C7833" t="s">
        <v>11231</v>
      </c>
      <c r="D7833" t="s">
        <v>19007</v>
      </c>
      <c r="E7833" t="s">
        <v>25893</v>
      </c>
      <c r="F7833" t="s">
        <v>32606</v>
      </c>
      <c r="G7833" t="s">
        <v>32613</v>
      </c>
      <c r="H7833" t="s">
        <v>32623</v>
      </c>
      <c r="I7833" t="s">
        <v>17648</v>
      </c>
      <c r="J7833" t="s">
        <v>32772</v>
      </c>
      <c r="K7833" t="s">
        <v>42636</v>
      </c>
      <c r="M7833" t="s">
        <v>45644</v>
      </c>
      <c r="N7833" t="s">
        <v>47304</v>
      </c>
      <c r="O7833" t="s">
        <v>47305</v>
      </c>
      <c r="P7833">
        <v>0</v>
      </c>
      <c r="Q7833">
        <v>0</v>
      </c>
      <c r="R7833" t="s">
        <v>47312</v>
      </c>
      <c r="S7833" t="s">
        <v>47489</v>
      </c>
      <c r="T7833" t="s">
        <v>49077</v>
      </c>
      <c r="U7833" t="s">
        <v>56075</v>
      </c>
      <c r="V7833" t="s">
        <v>63399</v>
      </c>
      <c r="W7833" t="s">
        <v>45644</v>
      </c>
      <c r="X7833" t="s">
        <v>47314</v>
      </c>
    </row>
    <row r="7834" spans="1:24">
      <c r="A7834">
        <f>HYPERLINK("https://www.philgeps.gov.ph/GEPSNONPILOT/Tender/SplashBidNoticeAbstractUI.aspx?menuIndex=3&amp;refID=7186579&amp;Result=3","7186579")</f>
        <v>0</v>
      </c>
      <c r="B7834" t="s">
        <v>2430</v>
      </c>
      <c r="C7834" t="s">
        <v>11232</v>
      </c>
      <c r="D7834" t="s">
        <v>19010</v>
      </c>
      <c r="E7834" t="s">
        <v>25903</v>
      </c>
      <c r="F7834" t="s">
        <v>32606</v>
      </c>
      <c r="G7834" t="s">
        <v>32619</v>
      </c>
      <c r="H7834" t="s">
        <v>14201</v>
      </c>
      <c r="I7834" t="s">
        <v>32658</v>
      </c>
      <c r="J7834" t="s">
        <v>37686</v>
      </c>
      <c r="K7834" t="s">
        <v>42630</v>
      </c>
      <c r="M7834" t="s">
        <v>45645</v>
      </c>
      <c r="N7834" t="s">
        <v>47304</v>
      </c>
      <c r="O7834" t="s">
        <v>47305</v>
      </c>
      <c r="P7834">
        <v>0</v>
      </c>
      <c r="Q7834">
        <v>2</v>
      </c>
      <c r="R7834" t="s">
        <v>47312</v>
      </c>
      <c r="S7834" t="s">
        <v>47489</v>
      </c>
      <c r="T7834" t="s">
        <v>49107</v>
      </c>
      <c r="U7834" t="s">
        <v>56085</v>
      </c>
      <c r="W7834" t="s">
        <v>45645</v>
      </c>
      <c r="X7834" t="s">
        <v>47314</v>
      </c>
    </row>
    <row r="7835" spans="1:24">
      <c r="A7835">
        <f>HYPERLINK("https://www.philgeps.gov.ph/GEPSNONPILOT/Tender/SplashBidNoticeAbstractUI.aspx?menuIndex=3&amp;refID=7186251&amp;Result=3","7186251")</f>
        <v>0</v>
      </c>
      <c r="B7835" t="s">
        <v>809</v>
      </c>
      <c r="C7835" t="s">
        <v>11233</v>
      </c>
      <c r="D7835" t="s">
        <v>19010</v>
      </c>
      <c r="E7835" t="s">
        <v>25904</v>
      </c>
      <c r="F7835" t="s">
        <v>32606</v>
      </c>
      <c r="G7835" t="s">
        <v>32613</v>
      </c>
      <c r="H7835" t="s">
        <v>32623</v>
      </c>
      <c r="I7835" t="s">
        <v>17648</v>
      </c>
      <c r="J7835" t="s">
        <v>37687</v>
      </c>
      <c r="K7835" t="s">
        <v>42639</v>
      </c>
      <c r="M7835" t="s">
        <v>43740</v>
      </c>
      <c r="N7835" t="s">
        <v>47304</v>
      </c>
      <c r="O7835" t="s">
        <v>47305</v>
      </c>
      <c r="P7835">
        <v>0</v>
      </c>
      <c r="Q7835">
        <v>0</v>
      </c>
      <c r="R7835" t="s">
        <v>47312</v>
      </c>
      <c r="S7835" t="s">
        <v>47489</v>
      </c>
      <c r="T7835" t="s">
        <v>49004</v>
      </c>
      <c r="U7835" t="s">
        <v>52448</v>
      </c>
      <c r="W7835" t="s">
        <v>43740</v>
      </c>
      <c r="X7835" t="s">
        <v>47314</v>
      </c>
    </row>
    <row r="7836" spans="1:24">
      <c r="A7836">
        <f>HYPERLINK("https://www.philgeps.gov.ph/GEPSNONPILOT/Tender/SplashBidNoticeAbstractUI.aspx?menuIndex=3&amp;refID=7186230&amp;Result=3","7186230")</f>
        <v>0</v>
      </c>
      <c r="B7836" t="s">
        <v>809</v>
      </c>
      <c r="C7836" t="s">
        <v>11234</v>
      </c>
      <c r="D7836" t="s">
        <v>19010</v>
      </c>
      <c r="E7836" t="s">
        <v>25905</v>
      </c>
      <c r="F7836" t="s">
        <v>32606</v>
      </c>
      <c r="G7836" t="s">
        <v>32613</v>
      </c>
      <c r="H7836" t="s">
        <v>32623</v>
      </c>
      <c r="I7836" t="s">
        <v>17648</v>
      </c>
      <c r="J7836" t="s">
        <v>37688</v>
      </c>
      <c r="K7836" t="s">
        <v>42631</v>
      </c>
      <c r="M7836" t="s">
        <v>43740</v>
      </c>
      <c r="N7836" t="s">
        <v>47304</v>
      </c>
      <c r="O7836" t="s">
        <v>47305</v>
      </c>
      <c r="P7836">
        <v>0</v>
      </c>
      <c r="Q7836">
        <v>0</v>
      </c>
      <c r="R7836" t="s">
        <v>47312</v>
      </c>
      <c r="S7836" t="s">
        <v>47489</v>
      </c>
      <c r="T7836" t="s">
        <v>49004</v>
      </c>
      <c r="U7836" t="s">
        <v>52448</v>
      </c>
      <c r="W7836" t="s">
        <v>43740</v>
      </c>
      <c r="X7836" t="s">
        <v>47314</v>
      </c>
    </row>
    <row r="7837" spans="1:24">
      <c r="A7837">
        <f>HYPERLINK("https://www.philgeps.gov.ph/GEPSNONPILOT/Tender/SplashBidNoticeAbstractUI.aspx?menuIndex=3&amp;refID=7186478&amp;Result=3","7186478")</f>
        <v>0</v>
      </c>
      <c r="B7837" t="s">
        <v>282</v>
      </c>
      <c r="C7837" t="s">
        <v>11235</v>
      </c>
      <c r="D7837" t="s">
        <v>19051</v>
      </c>
      <c r="E7837" t="s">
        <v>25906</v>
      </c>
      <c r="F7837" t="s">
        <v>32606</v>
      </c>
      <c r="G7837" t="s">
        <v>32613</v>
      </c>
      <c r="H7837" t="s">
        <v>14201</v>
      </c>
      <c r="I7837" t="s">
        <v>4120</v>
      </c>
      <c r="J7837" t="s">
        <v>37689</v>
      </c>
      <c r="K7837" t="s">
        <v>42631</v>
      </c>
      <c r="M7837" t="s">
        <v>43183</v>
      </c>
      <c r="N7837" t="s">
        <v>47304</v>
      </c>
      <c r="O7837" t="s">
        <v>47305</v>
      </c>
      <c r="P7837">
        <v>0</v>
      </c>
      <c r="Q7837">
        <v>1</v>
      </c>
      <c r="R7837" t="s">
        <v>47312</v>
      </c>
      <c r="S7837" t="s">
        <v>47489</v>
      </c>
      <c r="T7837" t="s">
        <v>48980</v>
      </c>
      <c r="U7837" t="s">
        <v>56086</v>
      </c>
      <c r="W7837" t="s">
        <v>43183</v>
      </c>
      <c r="X7837" t="s">
        <v>47314</v>
      </c>
    </row>
    <row r="7838" spans="1:24">
      <c r="A7838">
        <f>HYPERLINK("https://www.philgeps.gov.ph/GEPSNONPILOT/Tender/SplashBidNoticeAbstractUI.aspx?menuIndex=3&amp;refID=7186338&amp;Result=3","7186338")</f>
        <v>0</v>
      </c>
      <c r="B7838" t="s">
        <v>1805</v>
      </c>
      <c r="C7838" t="s">
        <v>11236</v>
      </c>
      <c r="D7838" t="s">
        <v>19018</v>
      </c>
      <c r="E7838" t="s">
        <v>25907</v>
      </c>
      <c r="F7838" t="s">
        <v>32606</v>
      </c>
      <c r="G7838" t="s">
        <v>32613</v>
      </c>
      <c r="H7838" t="s">
        <v>14201</v>
      </c>
      <c r="I7838" t="s">
        <v>7064</v>
      </c>
      <c r="J7838" t="s">
        <v>33421</v>
      </c>
      <c r="K7838" t="s">
        <v>42631</v>
      </c>
      <c r="M7838" t="s">
        <v>44846</v>
      </c>
      <c r="N7838" t="s">
        <v>47304</v>
      </c>
      <c r="O7838" t="s">
        <v>47305</v>
      </c>
      <c r="P7838">
        <v>0</v>
      </c>
      <c r="Q7838">
        <v>3</v>
      </c>
      <c r="R7838" t="s">
        <v>47312</v>
      </c>
      <c r="S7838" t="s">
        <v>47489</v>
      </c>
      <c r="T7838" t="s">
        <v>49037</v>
      </c>
      <c r="U7838" t="s">
        <v>56087</v>
      </c>
      <c r="W7838" t="s">
        <v>44846</v>
      </c>
      <c r="X7838" t="s">
        <v>47314</v>
      </c>
    </row>
    <row r="7839" spans="1:24">
      <c r="A7839">
        <f>HYPERLINK("https://www.philgeps.gov.ph/GEPSNONPILOT/Tender/SplashBidNoticeAbstractUI.aspx?menuIndex=3&amp;refID=7186288&amp;Result=3","7186288")</f>
        <v>0</v>
      </c>
      <c r="B7839" t="s">
        <v>809</v>
      </c>
      <c r="C7839" t="s">
        <v>11237</v>
      </c>
      <c r="D7839" t="s">
        <v>19010</v>
      </c>
      <c r="E7839" t="s">
        <v>25908</v>
      </c>
      <c r="F7839" t="s">
        <v>32606</v>
      </c>
      <c r="G7839" t="s">
        <v>32613</v>
      </c>
      <c r="H7839" t="s">
        <v>32623</v>
      </c>
      <c r="I7839" t="s">
        <v>17648</v>
      </c>
      <c r="J7839" t="s">
        <v>37690</v>
      </c>
      <c r="K7839" t="s">
        <v>42627</v>
      </c>
      <c r="M7839" t="s">
        <v>43740</v>
      </c>
      <c r="N7839" t="s">
        <v>47304</v>
      </c>
      <c r="O7839" t="s">
        <v>47305</v>
      </c>
      <c r="P7839">
        <v>0</v>
      </c>
      <c r="Q7839">
        <v>0</v>
      </c>
      <c r="R7839" t="s">
        <v>47312</v>
      </c>
      <c r="S7839" t="s">
        <v>47489</v>
      </c>
      <c r="T7839" t="s">
        <v>49004</v>
      </c>
      <c r="U7839" t="s">
        <v>52448</v>
      </c>
      <c r="W7839" t="s">
        <v>43740</v>
      </c>
      <c r="X7839" t="s">
        <v>47314</v>
      </c>
    </row>
    <row r="7840" spans="1:24">
      <c r="A7840">
        <f>HYPERLINK("https://www.philgeps.gov.ph/GEPSNONPILOT/Tender/SplashBidNoticeAbstractUI.aspx?menuIndex=3&amp;refID=7186266&amp;Result=3","7186266")</f>
        <v>0</v>
      </c>
      <c r="B7840" t="s">
        <v>368</v>
      </c>
      <c r="C7840" t="s">
        <v>11238</v>
      </c>
      <c r="D7840" t="s">
        <v>19012</v>
      </c>
      <c r="E7840" t="s">
        <v>25909</v>
      </c>
      <c r="F7840" t="s">
        <v>32606</v>
      </c>
      <c r="G7840" t="s">
        <v>32613</v>
      </c>
      <c r="H7840" t="s">
        <v>32623</v>
      </c>
      <c r="I7840" t="s">
        <v>17648</v>
      </c>
      <c r="J7840" t="s">
        <v>37691</v>
      </c>
      <c r="K7840" t="s">
        <v>42636</v>
      </c>
      <c r="M7840" t="s">
        <v>43270</v>
      </c>
      <c r="N7840" t="s">
        <v>47304</v>
      </c>
      <c r="O7840" t="s">
        <v>47305</v>
      </c>
      <c r="P7840">
        <v>0</v>
      </c>
      <c r="Q7840">
        <v>0</v>
      </c>
      <c r="R7840" t="s">
        <v>47312</v>
      </c>
      <c r="S7840" t="s">
        <v>47489</v>
      </c>
      <c r="T7840" t="s">
        <v>49378</v>
      </c>
      <c r="U7840" t="s">
        <v>56088</v>
      </c>
      <c r="W7840" t="s">
        <v>43270</v>
      </c>
      <c r="X7840" t="s">
        <v>47314</v>
      </c>
    </row>
    <row r="7841" spans="1:24">
      <c r="A7841">
        <f>HYPERLINK("https://www.philgeps.gov.ph/GEPSNONPILOT/Tender/SplashBidNoticeAbstractUI.aspx?menuIndex=3&amp;refID=7184784&amp;Result=3","7184784")</f>
        <v>0</v>
      </c>
      <c r="B7841" t="s">
        <v>2489</v>
      </c>
      <c r="C7841" t="s">
        <v>11239</v>
      </c>
      <c r="D7841" t="s">
        <v>19047</v>
      </c>
      <c r="E7841" t="s">
        <v>25910</v>
      </c>
      <c r="F7841" t="s">
        <v>32606</v>
      </c>
      <c r="G7841" t="s">
        <v>32613</v>
      </c>
      <c r="H7841" t="s">
        <v>32623</v>
      </c>
      <c r="I7841" t="s">
        <v>32661</v>
      </c>
      <c r="J7841" t="s">
        <v>37692</v>
      </c>
      <c r="K7841" t="s">
        <v>42666</v>
      </c>
      <c r="M7841" t="s">
        <v>45626</v>
      </c>
      <c r="N7841" t="s">
        <v>47304</v>
      </c>
      <c r="O7841" t="s">
        <v>47305</v>
      </c>
      <c r="P7841">
        <v>0</v>
      </c>
      <c r="Q7841">
        <v>0</v>
      </c>
      <c r="R7841" t="s">
        <v>47312</v>
      </c>
      <c r="S7841" t="s">
        <v>47489</v>
      </c>
      <c r="T7841" t="s">
        <v>49111</v>
      </c>
      <c r="U7841" t="s">
        <v>54788</v>
      </c>
      <c r="W7841" t="s">
        <v>45626</v>
      </c>
      <c r="X7841" t="s">
        <v>47314</v>
      </c>
    </row>
    <row r="7842" spans="1:24">
      <c r="A7842">
        <f>HYPERLINK("https://www.philgeps.gov.ph/GEPSNONPILOT/Tender/SplashBidNoticeAbstractUI.aspx?menuIndex=3&amp;refID=7186597&amp;Result=3","7186597")</f>
        <v>0</v>
      </c>
      <c r="B7842" t="s">
        <v>380</v>
      </c>
      <c r="C7842" t="s">
        <v>11240</v>
      </c>
      <c r="D7842" t="s">
        <v>18990</v>
      </c>
      <c r="E7842" t="s">
        <v>25911</v>
      </c>
      <c r="F7842" t="s">
        <v>32606</v>
      </c>
      <c r="G7842" t="s">
        <v>32613</v>
      </c>
      <c r="H7842" t="s">
        <v>32623</v>
      </c>
      <c r="I7842" t="s">
        <v>17648</v>
      </c>
      <c r="J7842" t="s">
        <v>37693</v>
      </c>
      <c r="K7842" t="s">
        <v>42648</v>
      </c>
      <c r="M7842" t="s">
        <v>43282</v>
      </c>
      <c r="N7842" t="s">
        <v>47304</v>
      </c>
      <c r="O7842" t="s">
        <v>47305</v>
      </c>
      <c r="Q7842">
        <v>1</v>
      </c>
      <c r="R7842" t="s">
        <v>47312</v>
      </c>
      <c r="S7842" t="s">
        <v>47495</v>
      </c>
      <c r="T7842" t="s">
        <v>49075</v>
      </c>
      <c r="U7842" t="s">
        <v>56089</v>
      </c>
      <c r="W7842" t="s">
        <v>43282</v>
      </c>
      <c r="X7842" t="s">
        <v>47314</v>
      </c>
    </row>
    <row r="7843" spans="1:24">
      <c r="A7843">
        <f>HYPERLINK("https://www.philgeps.gov.ph/GEPSNONPILOT/Tender/SplashBidNoticeAbstractUI.aspx?menuIndex=3&amp;refID=7186630&amp;Result=3","7186630")</f>
        <v>0</v>
      </c>
      <c r="B7843" t="s">
        <v>2505</v>
      </c>
      <c r="C7843" t="s">
        <v>11241</v>
      </c>
      <c r="D7843" t="s">
        <v>19007</v>
      </c>
      <c r="E7843" t="s">
        <v>25893</v>
      </c>
      <c r="F7843" t="s">
        <v>32606</v>
      </c>
      <c r="G7843" t="s">
        <v>32613</v>
      </c>
      <c r="H7843" t="s">
        <v>32623</v>
      </c>
      <c r="I7843" t="s">
        <v>17648</v>
      </c>
      <c r="J7843" t="s">
        <v>37694</v>
      </c>
      <c r="K7843" t="s">
        <v>42648</v>
      </c>
      <c r="M7843" t="s">
        <v>45644</v>
      </c>
      <c r="N7843" t="s">
        <v>47304</v>
      </c>
      <c r="O7843" t="s">
        <v>47305</v>
      </c>
      <c r="P7843">
        <v>0</v>
      </c>
      <c r="Q7843">
        <v>1</v>
      </c>
      <c r="R7843" t="s">
        <v>47312</v>
      </c>
      <c r="S7843" t="s">
        <v>47489</v>
      </c>
      <c r="T7843" t="s">
        <v>49077</v>
      </c>
      <c r="U7843" t="s">
        <v>56075</v>
      </c>
      <c r="V7843" t="s">
        <v>63400</v>
      </c>
      <c r="W7843" t="s">
        <v>45644</v>
      </c>
      <c r="X7843" t="s">
        <v>47314</v>
      </c>
    </row>
    <row r="7844" spans="1:24">
      <c r="A7844">
        <f>HYPERLINK("https://www.philgeps.gov.ph/GEPSNONPILOT/Tender/SplashBidNoticeAbstractUI.aspx?menuIndex=3&amp;refID=7186605&amp;Result=3","7186605")</f>
        <v>0</v>
      </c>
      <c r="B7844" t="s">
        <v>2505</v>
      </c>
      <c r="C7844" t="s">
        <v>11242</v>
      </c>
      <c r="D7844" t="s">
        <v>19007</v>
      </c>
      <c r="E7844" t="s">
        <v>25893</v>
      </c>
      <c r="F7844" t="s">
        <v>32606</v>
      </c>
      <c r="G7844" t="s">
        <v>32613</v>
      </c>
      <c r="H7844" t="s">
        <v>32623</v>
      </c>
      <c r="I7844" t="s">
        <v>17648</v>
      </c>
      <c r="J7844" t="s">
        <v>32795</v>
      </c>
      <c r="K7844" t="s">
        <v>42636</v>
      </c>
      <c r="M7844" t="s">
        <v>45644</v>
      </c>
      <c r="N7844" t="s">
        <v>47304</v>
      </c>
      <c r="O7844" t="s">
        <v>47305</v>
      </c>
      <c r="P7844">
        <v>0</v>
      </c>
      <c r="Q7844">
        <v>0</v>
      </c>
      <c r="R7844" t="s">
        <v>47312</v>
      </c>
      <c r="S7844" t="s">
        <v>47489</v>
      </c>
      <c r="T7844" t="s">
        <v>49077</v>
      </c>
      <c r="U7844" t="s">
        <v>56075</v>
      </c>
      <c r="V7844" t="s">
        <v>63401</v>
      </c>
      <c r="W7844" t="s">
        <v>45644</v>
      </c>
      <c r="X7844" t="s">
        <v>47314</v>
      </c>
    </row>
    <row r="7845" spans="1:24">
      <c r="A7845">
        <f>HYPERLINK("https://www.philgeps.gov.ph/GEPSNONPILOT/Tender/SplashBidNoticeAbstractUI.aspx?menuIndex=3&amp;refID=7186602&amp;Result=3","7186602")</f>
        <v>0</v>
      </c>
      <c r="B7845" t="s">
        <v>2430</v>
      </c>
      <c r="C7845" t="s">
        <v>11243</v>
      </c>
      <c r="D7845" t="s">
        <v>19010</v>
      </c>
      <c r="E7845" t="s">
        <v>25912</v>
      </c>
      <c r="F7845" t="s">
        <v>32606</v>
      </c>
      <c r="G7845" t="s">
        <v>32619</v>
      </c>
      <c r="H7845" t="s">
        <v>14201</v>
      </c>
      <c r="I7845" t="s">
        <v>4114</v>
      </c>
      <c r="J7845" t="s">
        <v>37695</v>
      </c>
      <c r="K7845" t="s">
        <v>42630</v>
      </c>
      <c r="M7845" t="s">
        <v>45645</v>
      </c>
      <c r="N7845" t="s">
        <v>47304</v>
      </c>
      <c r="O7845" t="s">
        <v>47305</v>
      </c>
      <c r="P7845">
        <v>0</v>
      </c>
      <c r="Q7845">
        <v>3</v>
      </c>
      <c r="R7845" t="s">
        <v>47312</v>
      </c>
      <c r="S7845" t="s">
        <v>47489</v>
      </c>
      <c r="T7845" t="s">
        <v>49107</v>
      </c>
      <c r="U7845" t="s">
        <v>56090</v>
      </c>
      <c r="W7845" t="s">
        <v>45645</v>
      </c>
      <c r="X7845" t="s">
        <v>47314</v>
      </c>
    </row>
    <row r="7846" spans="1:24">
      <c r="A7846">
        <f>HYPERLINK("https://www.philgeps.gov.ph/GEPSNONPILOT/Tender/SplashBidNoticeAbstractUI.aspx?menuIndex=3&amp;refID=7186663&amp;Result=3","7186663")</f>
        <v>0</v>
      </c>
      <c r="B7846" t="s">
        <v>197</v>
      </c>
      <c r="C7846" t="s">
        <v>11244</v>
      </c>
      <c r="D7846" t="s">
        <v>19027</v>
      </c>
      <c r="E7846" t="s">
        <v>25913</v>
      </c>
      <c r="F7846" t="s">
        <v>32606</v>
      </c>
      <c r="G7846" t="s">
        <v>32618</v>
      </c>
      <c r="H7846" t="s">
        <v>14201</v>
      </c>
      <c r="I7846" t="s">
        <v>32626</v>
      </c>
      <c r="J7846" t="s">
        <v>37696</v>
      </c>
      <c r="K7846" t="s">
        <v>42631</v>
      </c>
      <c r="M7846" t="s">
        <v>43098</v>
      </c>
      <c r="N7846" t="s">
        <v>47304</v>
      </c>
      <c r="O7846" t="s">
        <v>47305</v>
      </c>
      <c r="P7846">
        <v>0</v>
      </c>
      <c r="Q7846">
        <v>1</v>
      </c>
      <c r="R7846" t="s">
        <v>47312</v>
      </c>
      <c r="S7846" t="s">
        <v>47489</v>
      </c>
      <c r="T7846" t="s">
        <v>49171</v>
      </c>
      <c r="U7846" t="s">
        <v>56091</v>
      </c>
      <c r="W7846" t="s">
        <v>43098</v>
      </c>
      <c r="X7846" t="s">
        <v>47314</v>
      </c>
    </row>
    <row r="7847" spans="1:24">
      <c r="A7847">
        <f>HYPERLINK("https://www.philgeps.gov.ph/GEPSNONPILOT/Tender/SplashBidNoticeAbstractUI.aspx?menuIndex=3&amp;refID=7186867&amp;Result=3","7186867")</f>
        <v>0</v>
      </c>
      <c r="B7847" t="s">
        <v>2034</v>
      </c>
      <c r="C7847" t="s">
        <v>11245</v>
      </c>
      <c r="D7847" t="s">
        <v>19057</v>
      </c>
      <c r="E7847" t="s">
        <v>25914</v>
      </c>
      <c r="F7847" t="s">
        <v>32606</v>
      </c>
      <c r="G7847" t="s">
        <v>32613</v>
      </c>
      <c r="H7847" t="s">
        <v>14201</v>
      </c>
      <c r="I7847" t="s">
        <v>32681</v>
      </c>
      <c r="J7847" t="s">
        <v>37697</v>
      </c>
      <c r="K7847" t="s">
        <v>42631</v>
      </c>
      <c r="M7847" t="s">
        <v>45110</v>
      </c>
      <c r="N7847" t="s">
        <v>47304</v>
      </c>
      <c r="O7847" t="s">
        <v>47305</v>
      </c>
      <c r="P7847">
        <v>0</v>
      </c>
      <c r="Q7847">
        <v>9</v>
      </c>
      <c r="R7847" t="s">
        <v>47312</v>
      </c>
      <c r="S7847" t="s">
        <v>47489</v>
      </c>
      <c r="T7847" t="s">
        <v>49171</v>
      </c>
      <c r="U7847" t="s">
        <v>56092</v>
      </c>
      <c r="W7847" t="s">
        <v>45110</v>
      </c>
      <c r="X7847" t="s">
        <v>47314</v>
      </c>
    </row>
    <row r="7848" spans="1:24">
      <c r="A7848">
        <f>HYPERLINK("https://www.philgeps.gov.ph/GEPSNONPILOT/Tender/SplashBidNoticeAbstractUI.aspx?menuIndex=3&amp;refID=7186806&amp;Result=3","7186806")</f>
        <v>0</v>
      </c>
      <c r="B7848" t="s">
        <v>2506</v>
      </c>
      <c r="C7848" t="s">
        <v>11246</v>
      </c>
      <c r="D7848" t="s">
        <v>18993</v>
      </c>
      <c r="E7848" t="s">
        <v>25915</v>
      </c>
      <c r="F7848" t="s">
        <v>32606</v>
      </c>
      <c r="G7848" t="s">
        <v>32614</v>
      </c>
      <c r="H7848" t="s">
        <v>14201</v>
      </c>
      <c r="I7848" t="s">
        <v>32655</v>
      </c>
      <c r="J7848" t="s">
        <v>37698</v>
      </c>
      <c r="K7848" t="s">
        <v>42631</v>
      </c>
      <c r="M7848" t="s">
        <v>45646</v>
      </c>
      <c r="N7848" t="s">
        <v>47304</v>
      </c>
      <c r="O7848" t="s">
        <v>47305</v>
      </c>
      <c r="P7848">
        <v>0</v>
      </c>
      <c r="Q7848">
        <v>4</v>
      </c>
      <c r="R7848" t="s">
        <v>47312</v>
      </c>
      <c r="S7848" t="s">
        <v>47489</v>
      </c>
      <c r="T7848" t="s">
        <v>49257</v>
      </c>
      <c r="U7848" t="s">
        <v>56093</v>
      </c>
      <c r="V7848" t="s">
        <v>63402</v>
      </c>
      <c r="W7848" t="s">
        <v>45646</v>
      </c>
      <c r="X7848" t="s">
        <v>47314</v>
      </c>
    </row>
    <row r="7849" spans="1:24">
      <c r="A7849">
        <f>HYPERLINK("https://www.philgeps.gov.ph/GEPSNONPILOT/Tender/SplashBidNoticeAbstractUI.aspx?menuIndex=3&amp;refID=7186599&amp;Result=3","7186599")</f>
        <v>0</v>
      </c>
      <c r="B7849" t="s">
        <v>2430</v>
      </c>
      <c r="C7849" t="s">
        <v>11247</v>
      </c>
      <c r="D7849" t="s">
        <v>19010</v>
      </c>
      <c r="E7849" t="s">
        <v>25916</v>
      </c>
      <c r="F7849" t="s">
        <v>32606</v>
      </c>
      <c r="G7849" t="s">
        <v>32619</v>
      </c>
      <c r="H7849" t="s">
        <v>14201</v>
      </c>
      <c r="I7849" t="s">
        <v>4115</v>
      </c>
      <c r="J7849" t="s">
        <v>37699</v>
      </c>
      <c r="K7849" t="s">
        <v>42630</v>
      </c>
      <c r="M7849" t="s">
        <v>45645</v>
      </c>
      <c r="N7849" t="s">
        <v>47304</v>
      </c>
      <c r="O7849" t="s">
        <v>47305</v>
      </c>
      <c r="P7849">
        <v>0</v>
      </c>
      <c r="Q7849">
        <v>3</v>
      </c>
      <c r="R7849" t="s">
        <v>47312</v>
      </c>
      <c r="S7849" t="s">
        <v>47489</v>
      </c>
      <c r="T7849" t="s">
        <v>49107</v>
      </c>
      <c r="U7849" t="s">
        <v>56094</v>
      </c>
      <c r="W7849" t="s">
        <v>45645</v>
      </c>
      <c r="X7849" t="s">
        <v>47314</v>
      </c>
    </row>
    <row r="7850" spans="1:24">
      <c r="A7850">
        <f>HYPERLINK("https://www.philgeps.gov.ph/GEPSNONPILOT/Tender/SplashBidNoticeAbstractUI.aspx?menuIndex=3&amp;refID=7186799&amp;Result=3","7186799")</f>
        <v>0</v>
      </c>
      <c r="B7850" t="s">
        <v>1893</v>
      </c>
      <c r="C7850" t="s">
        <v>11248</v>
      </c>
      <c r="D7850" t="s">
        <v>19039</v>
      </c>
      <c r="E7850" t="s">
        <v>25917</v>
      </c>
      <c r="F7850" t="s">
        <v>32606</v>
      </c>
      <c r="G7850" t="s">
        <v>32619</v>
      </c>
      <c r="H7850" t="s">
        <v>14201</v>
      </c>
      <c r="I7850" t="s">
        <v>7577</v>
      </c>
      <c r="J7850" t="s">
        <v>37700</v>
      </c>
      <c r="K7850" t="s">
        <v>42624</v>
      </c>
      <c r="M7850" t="s">
        <v>44952</v>
      </c>
      <c r="N7850" t="s">
        <v>47304</v>
      </c>
      <c r="O7850" t="s">
        <v>47305</v>
      </c>
      <c r="Q7850">
        <v>3</v>
      </c>
      <c r="R7850" t="s">
        <v>47312</v>
      </c>
      <c r="S7850" t="s">
        <v>47496</v>
      </c>
      <c r="T7850" t="s">
        <v>49002</v>
      </c>
      <c r="U7850" t="s">
        <v>56095</v>
      </c>
      <c r="W7850" t="s">
        <v>44952</v>
      </c>
      <c r="X7850" t="s">
        <v>47314</v>
      </c>
    </row>
    <row r="7851" spans="1:24">
      <c r="A7851">
        <f>HYPERLINK("https://www.philgeps.gov.ph/GEPSNONPILOT/Tender/SplashBidNoticeAbstractUI.aspx?menuIndex=3&amp;refID=7186710&amp;Result=3","7186710")</f>
        <v>0</v>
      </c>
      <c r="B7851" t="s">
        <v>2507</v>
      </c>
      <c r="C7851" t="s">
        <v>11249</v>
      </c>
      <c r="D7851" t="s">
        <v>19016</v>
      </c>
      <c r="E7851" t="s">
        <v>25918</v>
      </c>
      <c r="F7851" t="s">
        <v>32606</v>
      </c>
      <c r="G7851" t="s">
        <v>32613</v>
      </c>
      <c r="H7851" t="s">
        <v>32623</v>
      </c>
      <c r="I7851" t="s">
        <v>17648</v>
      </c>
      <c r="J7851" t="s">
        <v>37701</v>
      </c>
      <c r="K7851" t="s">
        <v>42630</v>
      </c>
      <c r="M7851" t="s">
        <v>45647</v>
      </c>
      <c r="N7851" t="s">
        <v>47304</v>
      </c>
      <c r="O7851" t="s">
        <v>47305</v>
      </c>
      <c r="P7851">
        <v>0</v>
      </c>
      <c r="Q7851">
        <v>0</v>
      </c>
      <c r="R7851" t="s">
        <v>47312</v>
      </c>
      <c r="S7851" t="s">
        <v>47489</v>
      </c>
      <c r="T7851" t="s">
        <v>49165</v>
      </c>
      <c r="U7851" t="s">
        <v>56096</v>
      </c>
      <c r="V7851" t="s">
        <v>63403</v>
      </c>
      <c r="W7851" t="s">
        <v>45647</v>
      </c>
      <c r="X7851" t="s">
        <v>47314</v>
      </c>
    </row>
    <row r="7852" spans="1:24">
      <c r="A7852">
        <f>HYPERLINK("https://www.philgeps.gov.ph/GEPSNONPILOT/Tender/SplashBidNoticeAbstractUI.aspx?menuIndex=3&amp;refID=7186623&amp;Result=3","7186623")</f>
        <v>0</v>
      </c>
      <c r="B7852" t="s">
        <v>2505</v>
      </c>
      <c r="C7852" t="s">
        <v>11250</v>
      </c>
      <c r="D7852" t="s">
        <v>19007</v>
      </c>
      <c r="E7852" t="s">
        <v>25893</v>
      </c>
      <c r="F7852" t="s">
        <v>32606</v>
      </c>
      <c r="G7852" t="s">
        <v>32613</v>
      </c>
      <c r="H7852" t="s">
        <v>32623</v>
      </c>
      <c r="I7852" t="s">
        <v>17648</v>
      </c>
      <c r="J7852" t="s">
        <v>37702</v>
      </c>
      <c r="K7852" t="s">
        <v>42648</v>
      </c>
      <c r="M7852" t="s">
        <v>45644</v>
      </c>
      <c r="N7852" t="s">
        <v>47304</v>
      </c>
      <c r="O7852" t="s">
        <v>47305</v>
      </c>
      <c r="P7852">
        <v>0</v>
      </c>
      <c r="Q7852">
        <v>1</v>
      </c>
      <c r="R7852" t="s">
        <v>47312</v>
      </c>
      <c r="S7852" t="s">
        <v>47489</v>
      </c>
      <c r="T7852" t="s">
        <v>49077</v>
      </c>
      <c r="U7852" t="s">
        <v>56075</v>
      </c>
      <c r="V7852" t="s">
        <v>63404</v>
      </c>
      <c r="W7852" t="s">
        <v>45644</v>
      </c>
      <c r="X7852" t="s">
        <v>47314</v>
      </c>
    </row>
    <row r="7853" spans="1:24">
      <c r="A7853">
        <f>HYPERLINK("https://www.philgeps.gov.ph/GEPSNONPILOT/Tender/SplashBidNoticeAbstractUI.aspx?menuIndex=3&amp;refID=7186685&amp;Result=3","7186685")</f>
        <v>0</v>
      </c>
      <c r="B7853" t="s">
        <v>2505</v>
      </c>
      <c r="C7853" t="s">
        <v>11251</v>
      </c>
      <c r="D7853" t="s">
        <v>19007</v>
      </c>
      <c r="E7853" t="s">
        <v>25893</v>
      </c>
      <c r="F7853" t="s">
        <v>32606</v>
      </c>
      <c r="G7853" t="s">
        <v>32613</v>
      </c>
      <c r="H7853" t="s">
        <v>32623</v>
      </c>
      <c r="I7853" t="s">
        <v>17648</v>
      </c>
      <c r="J7853" t="s">
        <v>37703</v>
      </c>
      <c r="K7853" t="s">
        <v>42631</v>
      </c>
      <c r="M7853" t="s">
        <v>45644</v>
      </c>
      <c r="N7853" t="s">
        <v>47304</v>
      </c>
      <c r="O7853" t="s">
        <v>47305</v>
      </c>
      <c r="P7853">
        <v>0</v>
      </c>
      <c r="Q7853">
        <v>1</v>
      </c>
      <c r="R7853" t="s">
        <v>47312</v>
      </c>
      <c r="S7853" t="s">
        <v>47489</v>
      </c>
      <c r="T7853" t="s">
        <v>49077</v>
      </c>
      <c r="U7853" t="s">
        <v>56075</v>
      </c>
      <c r="V7853" t="s">
        <v>63405</v>
      </c>
      <c r="W7853" t="s">
        <v>45644</v>
      </c>
      <c r="X7853" t="s">
        <v>47314</v>
      </c>
    </row>
    <row r="7854" spans="1:24">
      <c r="A7854">
        <f>HYPERLINK("https://www.philgeps.gov.ph/GEPSNONPILOT/Tender/SplashBidNoticeAbstractUI.aspx?menuIndex=3&amp;refID=7186807&amp;Result=3","7186807")</f>
        <v>0</v>
      </c>
      <c r="B7854" t="s">
        <v>1893</v>
      </c>
      <c r="C7854" t="s">
        <v>11252</v>
      </c>
      <c r="D7854" t="s">
        <v>19039</v>
      </c>
      <c r="E7854" t="s">
        <v>25919</v>
      </c>
      <c r="F7854" t="s">
        <v>32606</v>
      </c>
      <c r="G7854" t="s">
        <v>32619</v>
      </c>
      <c r="H7854" t="s">
        <v>14201</v>
      </c>
      <c r="I7854" t="s">
        <v>7577</v>
      </c>
      <c r="J7854" t="s">
        <v>37404</v>
      </c>
      <c r="K7854" t="s">
        <v>42624</v>
      </c>
      <c r="M7854" t="s">
        <v>44952</v>
      </c>
      <c r="N7854" t="s">
        <v>47304</v>
      </c>
      <c r="O7854" t="s">
        <v>47305</v>
      </c>
      <c r="Q7854">
        <v>1</v>
      </c>
      <c r="R7854" t="s">
        <v>47312</v>
      </c>
      <c r="S7854" t="s">
        <v>47497</v>
      </c>
      <c r="T7854" t="s">
        <v>49002</v>
      </c>
      <c r="U7854" t="s">
        <v>56097</v>
      </c>
      <c r="W7854" t="s">
        <v>44952</v>
      </c>
      <c r="X7854" t="s">
        <v>47314</v>
      </c>
    </row>
    <row r="7855" spans="1:24">
      <c r="A7855">
        <f>HYPERLINK("https://www.philgeps.gov.ph/GEPSNONPILOT/Tender/SplashBidNoticeAbstractUI.aspx?menuIndex=3&amp;refID=7186672&amp;Result=3","7186672")</f>
        <v>0</v>
      </c>
      <c r="B7855" t="s">
        <v>2505</v>
      </c>
      <c r="C7855" t="s">
        <v>11253</v>
      </c>
      <c r="D7855" t="s">
        <v>19007</v>
      </c>
      <c r="E7855" t="s">
        <v>25893</v>
      </c>
      <c r="F7855" t="s">
        <v>32606</v>
      </c>
      <c r="G7855" t="s">
        <v>32613</v>
      </c>
      <c r="H7855" t="s">
        <v>32623</v>
      </c>
      <c r="I7855" t="s">
        <v>17648</v>
      </c>
      <c r="J7855" t="s">
        <v>37694</v>
      </c>
      <c r="K7855" t="s">
        <v>42648</v>
      </c>
      <c r="M7855" t="s">
        <v>45644</v>
      </c>
      <c r="N7855" t="s">
        <v>47304</v>
      </c>
      <c r="O7855" t="s">
        <v>47305</v>
      </c>
      <c r="P7855">
        <v>0</v>
      </c>
      <c r="Q7855">
        <v>1</v>
      </c>
      <c r="R7855" t="s">
        <v>47312</v>
      </c>
      <c r="S7855" t="s">
        <v>47489</v>
      </c>
      <c r="T7855" t="s">
        <v>49077</v>
      </c>
      <c r="U7855" t="s">
        <v>56075</v>
      </c>
      <c r="V7855" t="s">
        <v>63406</v>
      </c>
      <c r="W7855" t="s">
        <v>45644</v>
      </c>
      <c r="X7855" t="s">
        <v>47314</v>
      </c>
    </row>
    <row r="7856" spans="1:24">
      <c r="A7856">
        <f>HYPERLINK("https://www.philgeps.gov.ph/GEPSNONPILOT/Tender/SplashBidNoticeAbstractUI.aspx?menuIndex=3&amp;refID=7186721&amp;Result=3","7186721")</f>
        <v>0</v>
      </c>
      <c r="B7856" t="s">
        <v>2508</v>
      </c>
      <c r="C7856" t="s">
        <v>11254</v>
      </c>
      <c r="D7856" t="s">
        <v>19050</v>
      </c>
      <c r="E7856" t="s">
        <v>25920</v>
      </c>
      <c r="F7856" t="s">
        <v>32610</v>
      </c>
      <c r="G7856" t="s">
        <v>32617</v>
      </c>
      <c r="H7856" t="s">
        <v>14201</v>
      </c>
      <c r="I7856" t="s">
        <v>4114</v>
      </c>
      <c r="J7856" t="s">
        <v>34971</v>
      </c>
      <c r="K7856" t="s">
        <v>42632</v>
      </c>
      <c r="M7856" t="s">
        <v>45648</v>
      </c>
      <c r="N7856" t="s">
        <v>47304</v>
      </c>
      <c r="O7856" t="s">
        <v>47305</v>
      </c>
      <c r="P7856">
        <v>0</v>
      </c>
      <c r="Q7856">
        <v>0</v>
      </c>
      <c r="R7856" t="s">
        <v>47312</v>
      </c>
      <c r="S7856" t="s">
        <v>47489</v>
      </c>
      <c r="T7856" t="s">
        <v>48998</v>
      </c>
      <c r="U7856" t="s">
        <v>56098</v>
      </c>
      <c r="W7856" t="s">
        <v>45648</v>
      </c>
      <c r="X7856" t="s">
        <v>47314</v>
      </c>
    </row>
    <row r="7857" spans="1:24">
      <c r="A7857">
        <f>HYPERLINK("https://www.philgeps.gov.ph/GEPSNONPILOT/Tender/SplashBidNoticeAbstractUI.aspx?menuIndex=3&amp;refID=7186659&amp;Result=3","7186659")</f>
        <v>0</v>
      </c>
      <c r="B7857" t="s">
        <v>2505</v>
      </c>
      <c r="C7857" t="s">
        <v>11255</v>
      </c>
      <c r="D7857" t="s">
        <v>19007</v>
      </c>
      <c r="E7857" t="s">
        <v>25893</v>
      </c>
      <c r="F7857" t="s">
        <v>32606</v>
      </c>
      <c r="G7857" t="s">
        <v>32613</v>
      </c>
      <c r="H7857" t="s">
        <v>32623</v>
      </c>
      <c r="I7857" t="s">
        <v>17648</v>
      </c>
      <c r="J7857" t="s">
        <v>37704</v>
      </c>
      <c r="K7857" t="s">
        <v>42631</v>
      </c>
      <c r="M7857" t="s">
        <v>45644</v>
      </c>
      <c r="N7857" t="s">
        <v>47304</v>
      </c>
      <c r="O7857" t="s">
        <v>47305</v>
      </c>
      <c r="P7857">
        <v>0</v>
      </c>
      <c r="Q7857">
        <v>1</v>
      </c>
      <c r="R7857" t="s">
        <v>47312</v>
      </c>
      <c r="S7857" t="s">
        <v>47489</v>
      </c>
      <c r="T7857" t="s">
        <v>49077</v>
      </c>
      <c r="U7857" t="s">
        <v>56075</v>
      </c>
      <c r="V7857" t="s">
        <v>63407</v>
      </c>
      <c r="W7857" t="s">
        <v>45644</v>
      </c>
      <c r="X7857" t="s">
        <v>47314</v>
      </c>
    </row>
    <row r="7858" spans="1:24">
      <c r="A7858">
        <f>HYPERLINK("https://www.philgeps.gov.ph/GEPSNONPILOT/Tender/SplashBidNoticeAbstractUI.aspx?menuIndex=3&amp;refID=7186952&amp;Result=3","7186952")</f>
        <v>0</v>
      </c>
      <c r="B7858" t="s">
        <v>2509</v>
      </c>
      <c r="C7858" t="s">
        <v>11256</v>
      </c>
      <c r="D7858" t="s">
        <v>19023</v>
      </c>
      <c r="E7858" t="s">
        <v>25921</v>
      </c>
      <c r="F7858" t="s">
        <v>32606</v>
      </c>
      <c r="G7858" t="s">
        <v>32613</v>
      </c>
      <c r="H7858" t="s">
        <v>32625</v>
      </c>
      <c r="I7858" t="s">
        <v>32625</v>
      </c>
      <c r="J7858" t="s">
        <v>37705</v>
      </c>
      <c r="K7858" t="s">
        <v>42805</v>
      </c>
      <c r="M7858" t="s">
        <v>45649</v>
      </c>
      <c r="N7858" t="s">
        <v>47304</v>
      </c>
      <c r="O7858" t="s">
        <v>47305</v>
      </c>
      <c r="P7858">
        <v>0</v>
      </c>
      <c r="Q7858">
        <v>4</v>
      </c>
      <c r="R7858" t="s">
        <v>47312</v>
      </c>
      <c r="S7858" t="s">
        <v>47489</v>
      </c>
      <c r="T7858" t="s">
        <v>48980</v>
      </c>
      <c r="U7858" t="s">
        <v>56099</v>
      </c>
      <c r="V7858" t="s">
        <v>63408</v>
      </c>
      <c r="W7858" t="s">
        <v>45649</v>
      </c>
      <c r="X7858" t="s">
        <v>47313</v>
      </c>
    </row>
    <row r="7859" spans="1:24">
      <c r="A7859">
        <f>HYPERLINK("https://www.philgeps.gov.ph/GEPSNONPILOT/Tender/SplashBidNoticeAbstractUI.aspx?menuIndex=3&amp;refID=7186951&amp;Result=3","7186951")</f>
        <v>0</v>
      </c>
      <c r="B7859" t="s">
        <v>2510</v>
      </c>
      <c r="C7859" t="s">
        <v>11257</v>
      </c>
      <c r="D7859" t="s">
        <v>18993</v>
      </c>
      <c r="E7859" t="s">
        <v>25922</v>
      </c>
      <c r="F7859" t="s">
        <v>32606</v>
      </c>
      <c r="G7859" t="s">
        <v>32613</v>
      </c>
      <c r="H7859" t="s">
        <v>14201</v>
      </c>
      <c r="I7859" t="s">
        <v>6298</v>
      </c>
      <c r="J7859" t="s">
        <v>37706</v>
      </c>
      <c r="K7859" t="s">
        <v>42624</v>
      </c>
      <c r="M7859" t="s">
        <v>45650</v>
      </c>
      <c r="N7859" t="s">
        <v>47304</v>
      </c>
      <c r="O7859" t="s">
        <v>47305</v>
      </c>
      <c r="P7859">
        <v>0</v>
      </c>
      <c r="Q7859">
        <v>0</v>
      </c>
      <c r="R7859" t="s">
        <v>47312</v>
      </c>
      <c r="S7859" t="s">
        <v>47489</v>
      </c>
      <c r="T7859" t="s">
        <v>49072</v>
      </c>
      <c r="U7859" t="s">
        <v>56100</v>
      </c>
      <c r="W7859" t="s">
        <v>45650</v>
      </c>
      <c r="X7859" t="s">
        <v>47313</v>
      </c>
    </row>
    <row r="7860" spans="1:24">
      <c r="A7860">
        <f>HYPERLINK("https://www.philgeps.gov.ph/GEPSNONPILOT/Tender/SplashBidNoticeAbstractUI.aspx?menuIndex=3&amp;refID=7186949&amp;Result=3","7186949")</f>
        <v>0</v>
      </c>
      <c r="B7860" t="s">
        <v>2509</v>
      </c>
      <c r="C7860" t="s">
        <v>11258</v>
      </c>
      <c r="D7860" t="s">
        <v>19023</v>
      </c>
      <c r="E7860" t="s">
        <v>25923</v>
      </c>
      <c r="F7860" t="s">
        <v>32606</v>
      </c>
      <c r="G7860" t="s">
        <v>32613</v>
      </c>
      <c r="H7860" t="s">
        <v>32625</v>
      </c>
      <c r="I7860" t="s">
        <v>32625</v>
      </c>
      <c r="J7860" t="s">
        <v>37707</v>
      </c>
      <c r="K7860" t="s">
        <v>42731</v>
      </c>
      <c r="M7860" t="s">
        <v>45649</v>
      </c>
      <c r="N7860" t="s">
        <v>47304</v>
      </c>
      <c r="O7860" t="s">
        <v>47305</v>
      </c>
      <c r="P7860">
        <v>0</v>
      </c>
      <c r="Q7860">
        <v>7</v>
      </c>
      <c r="R7860" t="s">
        <v>47312</v>
      </c>
      <c r="S7860" t="s">
        <v>47489</v>
      </c>
      <c r="T7860" t="s">
        <v>48980</v>
      </c>
      <c r="U7860" t="s">
        <v>56099</v>
      </c>
      <c r="V7860" t="s">
        <v>63408</v>
      </c>
      <c r="W7860" t="s">
        <v>45649</v>
      </c>
      <c r="X7860" t="s">
        <v>47313</v>
      </c>
    </row>
    <row r="7861" spans="1:24">
      <c r="A7861">
        <f>HYPERLINK("https://www.philgeps.gov.ph/GEPSNONPILOT/Tender/SplashBidNoticeAbstractUI.aspx?menuIndex=3&amp;refID=7186882&amp;Result=3","7186882")</f>
        <v>0</v>
      </c>
      <c r="B7861" t="s">
        <v>2511</v>
      </c>
      <c r="C7861" t="s">
        <v>11259</v>
      </c>
      <c r="D7861" t="s">
        <v>19010</v>
      </c>
      <c r="E7861" t="s">
        <v>25924</v>
      </c>
      <c r="F7861" t="s">
        <v>32606</v>
      </c>
      <c r="G7861" t="s">
        <v>32614</v>
      </c>
      <c r="H7861" t="s">
        <v>14201</v>
      </c>
      <c r="I7861" t="s">
        <v>4112</v>
      </c>
      <c r="J7861" t="s">
        <v>37708</v>
      </c>
      <c r="K7861" t="s">
        <v>42632</v>
      </c>
      <c r="M7861" t="s">
        <v>45651</v>
      </c>
      <c r="N7861" t="s">
        <v>47304</v>
      </c>
      <c r="O7861" t="s">
        <v>47305</v>
      </c>
      <c r="P7861">
        <v>0</v>
      </c>
      <c r="Q7861">
        <v>1</v>
      </c>
      <c r="R7861" t="s">
        <v>47312</v>
      </c>
      <c r="S7861" t="s">
        <v>47489</v>
      </c>
      <c r="T7861" t="s">
        <v>49221</v>
      </c>
      <c r="U7861" t="s">
        <v>56101</v>
      </c>
      <c r="W7861" t="s">
        <v>45651</v>
      </c>
      <c r="X7861" t="s">
        <v>47314</v>
      </c>
    </row>
    <row r="7862" spans="1:24">
      <c r="A7862">
        <f>HYPERLINK("https://www.philgeps.gov.ph/GEPSNONPILOT/Tender/SplashBidNoticeAbstractUI.aspx?menuIndex=3&amp;refID=7186933&amp;Result=3","7186933")</f>
        <v>0</v>
      </c>
      <c r="B7862" t="s">
        <v>2512</v>
      </c>
      <c r="C7862" t="s">
        <v>11260</v>
      </c>
      <c r="E7862" t="s">
        <v>19318</v>
      </c>
      <c r="F7862" t="s">
        <v>32606</v>
      </c>
      <c r="G7862" t="s">
        <v>32613</v>
      </c>
      <c r="H7862" t="s">
        <v>14201</v>
      </c>
      <c r="I7862" t="s">
        <v>17648</v>
      </c>
      <c r="J7862" t="s">
        <v>37709</v>
      </c>
      <c r="K7862" t="s">
        <v>42624</v>
      </c>
      <c r="M7862" t="s">
        <v>45652</v>
      </c>
      <c r="N7862" t="s">
        <v>47304</v>
      </c>
      <c r="O7862" t="s">
        <v>47305</v>
      </c>
      <c r="P7862">
        <v>0</v>
      </c>
      <c r="Q7862">
        <v>1</v>
      </c>
      <c r="R7862" t="s">
        <v>47312</v>
      </c>
      <c r="S7862" t="s">
        <v>47489</v>
      </c>
      <c r="T7862" t="s">
        <v>48998</v>
      </c>
      <c r="U7862" t="s">
        <v>54855</v>
      </c>
      <c r="W7862" t="s">
        <v>45652</v>
      </c>
      <c r="X7862" t="s">
        <v>47313</v>
      </c>
    </row>
    <row r="7863" spans="1:24">
      <c r="A7863">
        <f>HYPERLINK("https://www.philgeps.gov.ph/GEPSNONPILOT/Tender/SplashBidNoticeAbstractUI.aspx?menuIndex=3&amp;refID=7186680&amp;Result=3","7186680")</f>
        <v>0</v>
      </c>
      <c r="B7863" t="s">
        <v>2505</v>
      </c>
      <c r="C7863" t="s">
        <v>11261</v>
      </c>
      <c r="D7863" t="s">
        <v>19007</v>
      </c>
      <c r="E7863" t="s">
        <v>25893</v>
      </c>
      <c r="F7863" t="s">
        <v>32606</v>
      </c>
      <c r="G7863" t="s">
        <v>32613</v>
      </c>
      <c r="H7863" t="s">
        <v>32623</v>
      </c>
      <c r="I7863" t="s">
        <v>17648</v>
      </c>
      <c r="J7863" t="s">
        <v>37710</v>
      </c>
      <c r="K7863" t="s">
        <v>42636</v>
      </c>
      <c r="M7863" t="s">
        <v>45644</v>
      </c>
      <c r="N7863" t="s">
        <v>47304</v>
      </c>
      <c r="O7863" t="s">
        <v>47305</v>
      </c>
      <c r="P7863">
        <v>0</v>
      </c>
      <c r="Q7863">
        <v>1</v>
      </c>
      <c r="R7863" t="s">
        <v>47312</v>
      </c>
      <c r="S7863" t="s">
        <v>47489</v>
      </c>
      <c r="T7863" t="s">
        <v>49077</v>
      </c>
      <c r="U7863" t="s">
        <v>56075</v>
      </c>
      <c r="V7863" t="s">
        <v>63409</v>
      </c>
      <c r="W7863" t="s">
        <v>45644</v>
      </c>
      <c r="X7863" t="s">
        <v>47314</v>
      </c>
    </row>
    <row r="7864" spans="1:24">
      <c r="A7864">
        <f>HYPERLINK("https://www.philgeps.gov.ph/GEPSNONPILOT/Tender/SplashBidNoticeAbstractUI.aspx?menuIndex=3&amp;refID=7186928&amp;Result=3","7186928")</f>
        <v>0</v>
      </c>
      <c r="B7864" t="s">
        <v>2513</v>
      </c>
      <c r="C7864" t="s">
        <v>11262</v>
      </c>
      <c r="D7864" t="s">
        <v>18988</v>
      </c>
      <c r="E7864" t="s">
        <v>19233</v>
      </c>
      <c r="F7864" t="s">
        <v>32606</v>
      </c>
      <c r="G7864" t="s">
        <v>32614</v>
      </c>
      <c r="H7864" t="s">
        <v>14201</v>
      </c>
      <c r="I7864" t="s">
        <v>6931</v>
      </c>
      <c r="J7864" t="s">
        <v>37711</v>
      </c>
      <c r="K7864" t="s">
        <v>42625</v>
      </c>
      <c r="M7864" t="s">
        <v>45653</v>
      </c>
      <c r="N7864" t="s">
        <v>47304</v>
      </c>
      <c r="O7864" t="s">
        <v>47305</v>
      </c>
      <c r="P7864">
        <v>0</v>
      </c>
      <c r="Q7864">
        <v>0</v>
      </c>
      <c r="R7864" t="s">
        <v>47312</v>
      </c>
      <c r="S7864" t="s">
        <v>47489</v>
      </c>
      <c r="T7864" t="s">
        <v>49268</v>
      </c>
      <c r="U7864" t="s">
        <v>56102</v>
      </c>
      <c r="W7864" t="s">
        <v>45653</v>
      </c>
      <c r="X7864" t="s">
        <v>47313</v>
      </c>
    </row>
    <row r="7865" spans="1:24">
      <c r="A7865">
        <f>HYPERLINK("https://www.philgeps.gov.ph/GEPSNONPILOT/Tender/SplashBidNoticeAbstractUI.aspx?menuIndex=3&amp;refID=7186877&amp;Result=3","7186877")</f>
        <v>0</v>
      </c>
      <c r="B7865" t="s">
        <v>2514</v>
      </c>
      <c r="C7865" t="s">
        <v>11263</v>
      </c>
      <c r="E7865" t="s">
        <v>19145</v>
      </c>
      <c r="F7865" t="s">
        <v>32606</v>
      </c>
      <c r="G7865" t="s">
        <v>32620</v>
      </c>
      <c r="H7865" t="s">
        <v>14201</v>
      </c>
      <c r="I7865" t="s">
        <v>4369</v>
      </c>
      <c r="J7865" t="s">
        <v>37712</v>
      </c>
      <c r="K7865" t="s">
        <v>42623</v>
      </c>
      <c r="M7865" t="s">
        <v>45654</v>
      </c>
      <c r="N7865" t="s">
        <v>47304</v>
      </c>
      <c r="O7865" t="s">
        <v>47305</v>
      </c>
      <c r="P7865">
        <v>0</v>
      </c>
      <c r="Q7865">
        <v>5</v>
      </c>
      <c r="R7865" t="s">
        <v>47312</v>
      </c>
      <c r="S7865" t="s">
        <v>47489</v>
      </c>
      <c r="T7865" t="s">
        <v>49072</v>
      </c>
      <c r="U7865" t="s">
        <v>56103</v>
      </c>
      <c r="W7865" t="s">
        <v>45654</v>
      </c>
      <c r="X7865" t="s">
        <v>47314</v>
      </c>
    </row>
    <row r="7866" spans="1:24">
      <c r="A7866">
        <f>HYPERLINK("https://www.philgeps.gov.ph/GEPSNONPILOT/Tender/SplashBidNoticeAbstractUI.aspx?menuIndex=3&amp;refID=7186921&amp;Result=3","7186921")</f>
        <v>0</v>
      </c>
      <c r="B7866" t="s">
        <v>2515</v>
      </c>
      <c r="C7866" t="s">
        <v>11264</v>
      </c>
      <c r="D7866" t="s">
        <v>19033</v>
      </c>
      <c r="E7866" t="s">
        <v>19279</v>
      </c>
      <c r="F7866" t="s">
        <v>32606</v>
      </c>
      <c r="G7866" t="s">
        <v>32613</v>
      </c>
      <c r="H7866" t="s">
        <v>14201</v>
      </c>
      <c r="I7866" t="s">
        <v>9008</v>
      </c>
      <c r="J7866" t="s">
        <v>32923</v>
      </c>
      <c r="K7866" t="s">
        <v>42631</v>
      </c>
      <c r="M7866" t="s">
        <v>45655</v>
      </c>
      <c r="N7866" t="s">
        <v>47304</v>
      </c>
      <c r="O7866" t="s">
        <v>47305</v>
      </c>
      <c r="P7866">
        <v>0</v>
      </c>
      <c r="Q7866">
        <v>0</v>
      </c>
      <c r="R7866" t="s">
        <v>47312</v>
      </c>
      <c r="S7866" t="s">
        <v>47489</v>
      </c>
      <c r="T7866" t="s">
        <v>49257</v>
      </c>
      <c r="U7866" t="s">
        <v>56104</v>
      </c>
      <c r="W7866" t="s">
        <v>45655</v>
      </c>
      <c r="X7866" t="s">
        <v>47313</v>
      </c>
    </row>
    <row r="7867" spans="1:24">
      <c r="A7867">
        <f>HYPERLINK("https://www.philgeps.gov.ph/GEPSNONPILOT/Tender/SplashBidNoticeAbstractUI.aspx?menuIndex=3&amp;refID=7186948&amp;Result=3","7186948")</f>
        <v>0</v>
      </c>
      <c r="B7867" t="s">
        <v>2510</v>
      </c>
      <c r="C7867" t="s">
        <v>11265</v>
      </c>
      <c r="D7867" t="s">
        <v>18993</v>
      </c>
      <c r="E7867" t="s">
        <v>25925</v>
      </c>
      <c r="F7867" t="s">
        <v>32606</v>
      </c>
      <c r="G7867" t="s">
        <v>32613</v>
      </c>
      <c r="H7867" t="s">
        <v>14201</v>
      </c>
      <c r="I7867" t="s">
        <v>7677</v>
      </c>
      <c r="J7867" t="s">
        <v>32789</v>
      </c>
      <c r="K7867" t="s">
        <v>42624</v>
      </c>
      <c r="M7867" t="s">
        <v>45650</v>
      </c>
      <c r="N7867" t="s">
        <v>47304</v>
      </c>
      <c r="O7867" t="s">
        <v>47305</v>
      </c>
      <c r="P7867">
        <v>0</v>
      </c>
      <c r="Q7867">
        <v>1</v>
      </c>
      <c r="R7867" t="s">
        <v>47312</v>
      </c>
      <c r="S7867" t="s">
        <v>47489</v>
      </c>
      <c r="T7867" t="s">
        <v>49072</v>
      </c>
      <c r="U7867" t="s">
        <v>56105</v>
      </c>
      <c r="W7867" t="s">
        <v>45650</v>
      </c>
      <c r="X7867" t="s">
        <v>47313</v>
      </c>
    </row>
    <row r="7868" spans="1:24">
      <c r="A7868">
        <f>HYPERLINK("https://www.philgeps.gov.ph/GEPSNONPILOT/Tender/SplashBidNoticeAbstractUI.aspx?menuIndex=3&amp;refID=7186919&amp;Result=3","7186919")</f>
        <v>0</v>
      </c>
      <c r="B7868" t="s">
        <v>362</v>
      </c>
      <c r="C7868" t="s">
        <v>11266</v>
      </c>
      <c r="D7868" t="s">
        <v>19023</v>
      </c>
      <c r="E7868" t="s">
        <v>25926</v>
      </c>
      <c r="F7868" t="s">
        <v>32606</v>
      </c>
      <c r="G7868" t="s">
        <v>32614</v>
      </c>
      <c r="H7868" t="s">
        <v>14201</v>
      </c>
      <c r="I7868" t="s">
        <v>32633</v>
      </c>
      <c r="J7868" t="s">
        <v>37713</v>
      </c>
      <c r="K7868" t="s">
        <v>42630</v>
      </c>
      <c r="M7868" t="s">
        <v>45656</v>
      </c>
      <c r="N7868" t="s">
        <v>47304</v>
      </c>
      <c r="O7868" t="s">
        <v>47305</v>
      </c>
      <c r="P7868">
        <v>0</v>
      </c>
      <c r="Q7868">
        <v>2</v>
      </c>
      <c r="R7868" t="s">
        <v>47312</v>
      </c>
      <c r="S7868" t="s">
        <v>47489</v>
      </c>
      <c r="T7868" t="s">
        <v>49071</v>
      </c>
      <c r="U7868" t="s">
        <v>56106</v>
      </c>
      <c r="W7868" t="s">
        <v>45656</v>
      </c>
      <c r="X7868" t="s">
        <v>47313</v>
      </c>
    </row>
    <row r="7869" spans="1:24">
      <c r="A7869">
        <f>HYPERLINK("https://www.philgeps.gov.ph/GEPSNONPILOT/Tender/SplashBidNoticeAbstractUI.aspx?menuIndex=3&amp;refID=7186943&amp;Result=3","7186943")</f>
        <v>0</v>
      </c>
      <c r="B7869" t="s">
        <v>2516</v>
      </c>
      <c r="C7869" t="s">
        <v>11267</v>
      </c>
      <c r="D7869" t="s">
        <v>18995</v>
      </c>
      <c r="E7869" t="s">
        <v>25927</v>
      </c>
      <c r="F7869" t="s">
        <v>32606</v>
      </c>
      <c r="G7869" t="s">
        <v>32613</v>
      </c>
      <c r="H7869" t="s">
        <v>32623</v>
      </c>
      <c r="I7869" t="s">
        <v>17648</v>
      </c>
      <c r="J7869" t="s">
        <v>32920</v>
      </c>
      <c r="K7869" t="s">
        <v>42672</v>
      </c>
      <c r="M7869" t="s">
        <v>45657</v>
      </c>
      <c r="N7869" t="s">
        <v>47304</v>
      </c>
      <c r="O7869" t="s">
        <v>47305</v>
      </c>
      <c r="P7869">
        <v>0</v>
      </c>
      <c r="Q7869">
        <v>2</v>
      </c>
      <c r="R7869" t="s">
        <v>47312</v>
      </c>
      <c r="S7869" t="s">
        <v>47489</v>
      </c>
      <c r="T7869" t="s">
        <v>49007</v>
      </c>
      <c r="U7869" t="s">
        <v>56107</v>
      </c>
      <c r="W7869" t="s">
        <v>45657</v>
      </c>
      <c r="X7869" t="s">
        <v>47313</v>
      </c>
    </row>
    <row r="7870" spans="1:24">
      <c r="A7870">
        <f>HYPERLINK("https://www.philgeps.gov.ph/GEPSNONPILOT/Tender/SplashBidNoticeAbstractUI.aspx?menuIndex=3&amp;refID=7186998&amp;Result=3","7186998")</f>
        <v>0</v>
      </c>
      <c r="B7870" t="s">
        <v>496</v>
      </c>
      <c r="C7870" t="s">
        <v>11268</v>
      </c>
      <c r="E7870" t="s">
        <v>25928</v>
      </c>
      <c r="F7870" t="s">
        <v>32606</v>
      </c>
      <c r="G7870" t="s">
        <v>32614</v>
      </c>
      <c r="H7870" t="s">
        <v>14201</v>
      </c>
      <c r="I7870" t="s">
        <v>32680</v>
      </c>
      <c r="J7870" t="s">
        <v>32949</v>
      </c>
      <c r="K7870" t="s">
        <v>42631</v>
      </c>
      <c r="M7870" t="s">
        <v>45233</v>
      </c>
      <c r="N7870" t="s">
        <v>47304</v>
      </c>
      <c r="O7870" t="s">
        <v>47305</v>
      </c>
      <c r="P7870">
        <v>0</v>
      </c>
      <c r="Q7870">
        <v>0</v>
      </c>
      <c r="R7870" t="s">
        <v>47312</v>
      </c>
      <c r="S7870" t="s">
        <v>47489</v>
      </c>
      <c r="T7870" t="s">
        <v>48997</v>
      </c>
      <c r="U7870" t="s">
        <v>56108</v>
      </c>
      <c r="W7870" t="s">
        <v>64494</v>
      </c>
      <c r="X7870" t="s">
        <v>47313</v>
      </c>
    </row>
    <row r="7871" spans="1:24">
      <c r="A7871">
        <f>HYPERLINK("https://www.philgeps.gov.ph/GEPSNONPILOT/Tender/SplashBidNoticeAbstractUI.aspx?menuIndex=3&amp;refID=7186995&amp;Result=3","7186995")</f>
        <v>0</v>
      </c>
      <c r="B7871" t="s">
        <v>2284</v>
      </c>
      <c r="C7871" t="s">
        <v>11269</v>
      </c>
      <c r="D7871" t="s">
        <v>19011</v>
      </c>
      <c r="E7871" t="s">
        <v>25929</v>
      </c>
      <c r="F7871" t="s">
        <v>32606</v>
      </c>
      <c r="G7871" t="s">
        <v>32613</v>
      </c>
      <c r="H7871" t="s">
        <v>32623</v>
      </c>
      <c r="I7871" t="s">
        <v>17648</v>
      </c>
      <c r="J7871" t="s">
        <v>35368</v>
      </c>
      <c r="K7871" t="s">
        <v>42646</v>
      </c>
      <c r="M7871" t="s">
        <v>45389</v>
      </c>
      <c r="N7871" t="s">
        <v>47304</v>
      </c>
      <c r="O7871" t="s">
        <v>47305</v>
      </c>
      <c r="P7871">
        <v>0</v>
      </c>
      <c r="Q7871">
        <v>0</v>
      </c>
      <c r="R7871" t="s">
        <v>47312</v>
      </c>
      <c r="S7871" t="s">
        <v>47489</v>
      </c>
      <c r="T7871" t="s">
        <v>49074</v>
      </c>
      <c r="U7871" t="s">
        <v>56109</v>
      </c>
      <c r="W7871" t="s">
        <v>45389</v>
      </c>
      <c r="X7871" t="s">
        <v>47313</v>
      </c>
    </row>
    <row r="7872" spans="1:24">
      <c r="A7872">
        <f>HYPERLINK("https://www.philgeps.gov.ph/GEPSNONPILOT/Tender/SplashBidNoticeAbstractUI.aspx?menuIndex=3&amp;refID=7186994&amp;Result=3","7186994")</f>
        <v>0</v>
      </c>
      <c r="B7872" t="s">
        <v>789</v>
      </c>
      <c r="C7872" t="s">
        <v>11270</v>
      </c>
      <c r="D7872" t="s">
        <v>18995</v>
      </c>
      <c r="E7872" t="s">
        <v>25930</v>
      </c>
      <c r="F7872" t="s">
        <v>32606</v>
      </c>
      <c r="G7872" t="s">
        <v>32613</v>
      </c>
      <c r="H7872" t="s">
        <v>32623</v>
      </c>
      <c r="I7872" t="s">
        <v>17648</v>
      </c>
      <c r="J7872" t="s">
        <v>37714</v>
      </c>
      <c r="K7872" t="s">
        <v>42645</v>
      </c>
      <c r="M7872" t="s">
        <v>43720</v>
      </c>
      <c r="N7872" t="s">
        <v>47304</v>
      </c>
      <c r="O7872" t="s">
        <v>47305</v>
      </c>
      <c r="P7872">
        <v>0</v>
      </c>
      <c r="Q7872">
        <v>3</v>
      </c>
      <c r="R7872" t="s">
        <v>47312</v>
      </c>
      <c r="S7872" t="s">
        <v>47489</v>
      </c>
      <c r="T7872" t="s">
        <v>49100</v>
      </c>
      <c r="U7872" t="s">
        <v>56110</v>
      </c>
      <c r="W7872" t="s">
        <v>43720</v>
      </c>
      <c r="X7872" t="s">
        <v>47313</v>
      </c>
    </row>
    <row r="7873" spans="1:24">
      <c r="A7873">
        <f>HYPERLINK("https://www.philgeps.gov.ph/GEPSNONPILOT/Tender/SplashBidNoticeAbstractUI.aspx?menuIndex=3&amp;refID=7186917&amp;Result=3","7186917")</f>
        <v>0</v>
      </c>
      <c r="B7873" t="s">
        <v>362</v>
      </c>
      <c r="C7873" t="s">
        <v>11271</v>
      </c>
      <c r="D7873" t="s">
        <v>19023</v>
      </c>
      <c r="E7873" t="s">
        <v>25931</v>
      </c>
      <c r="F7873" t="s">
        <v>32606</v>
      </c>
      <c r="G7873" t="s">
        <v>32614</v>
      </c>
      <c r="H7873" t="s">
        <v>14201</v>
      </c>
      <c r="I7873" t="s">
        <v>6993</v>
      </c>
      <c r="J7873" t="s">
        <v>34102</v>
      </c>
      <c r="K7873" t="s">
        <v>42630</v>
      </c>
      <c r="M7873" t="s">
        <v>45656</v>
      </c>
      <c r="N7873" t="s">
        <v>47304</v>
      </c>
      <c r="O7873" t="s">
        <v>47305</v>
      </c>
      <c r="P7873">
        <v>0</v>
      </c>
      <c r="Q7873">
        <v>2</v>
      </c>
      <c r="R7873" t="s">
        <v>47312</v>
      </c>
      <c r="S7873" t="s">
        <v>47489</v>
      </c>
      <c r="T7873" t="s">
        <v>49071</v>
      </c>
      <c r="U7873" t="s">
        <v>56111</v>
      </c>
      <c r="W7873" t="s">
        <v>45656</v>
      </c>
      <c r="X7873" t="s">
        <v>47313</v>
      </c>
    </row>
    <row r="7874" spans="1:24">
      <c r="A7874">
        <f>HYPERLINK("https://www.philgeps.gov.ph/GEPSNONPILOT/Tender/SplashBidNoticeAbstractUI.aspx?menuIndex=3&amp;refID=7186987&amp;Result=3","7186987")</f>
        <v>0</v>
      </c>
      <c r="B7874" t="s">
        <v>2505</v>
      </c>
      <c r="C7874" t="s">
        <v>11272</v>
      </c>
      <c r="D7874" t="s">
        <v>19007</v>
      </c>
      <c r="E7874" t="s">
        <v>25893</v>
      </c>
      <c r="F7874" t="s">
        <v>32606</v>
      </c>
      <c r="G7874" t="s">
        <v>32613</v>
      </c>
      <c r="H7874" t="s">
        <v>32623</v>
      </c>
      <c r="I7874" t="s">
        <v>17648</v>
      </c>
      <c r="J7874" t="s">
        <v>32795</v>
      </c>
      <c r="K7874" t="s">
        <v>42636</v>
      </c>
      <c r="M7874" t="s">
        <v>45644</v>
      </c>
      <c r="N7874" t="s">
        <v>47304</v>
      </c>
      <c r="O7874" t="s">
        <v>47305</v>
      </c>
      <c r="P7874">
        <v>0</v>
      </c>
      <c r="Q7874">
        <v>0</v>
      </c>
      <c r="R7874" t="s">
        <v>47312</v>
      </c>
      <c r="S7874" t="s">
        <v>47489</v>
      </c>
      <c r="T7874" t="s">
        <v>49077</v>
      </c>
      <c r="U7874" t="s">
        <v>56075</v>
      </c>
      <c r="V7874" t="s">
        <v>63410</v>
      </c>
      <c r="W7874" t="s">
        <v>45644</v>
      </c>
      <c r="X7874" t="s">
        <v>47313</v>
      </c>
    </row>
    <row r="7875" spans="1:24">
      <c r="A7875">
        <f>HYPERLINK("https://www.philgeps.gov.ph/GEPSNONPILOT/Tender/SplashBidNoticeAbstractUI.aspx?menuIndex=3&amp;refID=7186985&amp;Result=3","7186985")</f>
        <v>0</v>
      </c>
      <c r="B7875" t="s">
        <v>1373</v>
      </c>
      <c r="C7875" t="s">
        <v>11273</v>
      </c>
      <c r="D7875" t="s">
        <v>18994</v>
      </c>
      <c r="E7875" t="s">
        <v>25932</v>
      </c>
      <c r="F7875" t="s">
        <v>32606</v>
      </c>
      <c r="G7875" t="s">
        <v>32614</v>
      </c>
      <c r="H7875" t="s">
        <v>14201</v>
      </c>
      <c r="I7875" t="s">
        <v>6993</v>
      </c>
      <c r="J7875" t="s">
        <v>37715</v>
      </c>
      <c r="K7875" t="s">
        <v>42623</v>
      </c>
      <c r="M7875" t="s">
        <v>44352</v>
      </c>
      <c r="N7875" t="s">
        <v>47304</v>
      </c>
      <c r="O7875" t="s">
        <v>47305</v>
      </c>
      <c r="P7875">
        <v>0</v>
      </c>
      <c r="Q7875">
        <v>1</v>
      </c>
      <c r="R7875" t="s">
        <v>47312</v>
      </c>
      <c r="S7875" t="s">
        <v>47489</v>
      </c>
      <c r="T7875" t="s">
        <v>49050</v>
      </c>
      <c r="U7875" t="s">
        <v>56112</v>
      </c>
      <c r="W7875" t="s">
        <v>44352</v>
      </c>
      <c r="X7875" t="s">
        <v>47313</v>
      </c>
    </row>
    <row r="7876" spans="1:24">
      <c r="A7876">
        <f>HYPERLINK("https://www.philgeps.gov.ph/GEPSNONPILOT/Tender/SplashBidNoticeAbstractUI.aspx?menuIndex=3&amp;refID=7186977&amp;Result=3","7186977")</f>
        <v>0</v>
      </c>
      <c r="B7876" t="s">
        <v>2505</v>
      </c>
      <c r="C7876" t="s">
        <v>11274</v>
      </c>
      <c r="D7876" t="s">
        <v>19007</v>
      </c>
      <c r="E7876" t="s">
        <v>25893</v>
      </c>
      <c r="F7876" t="s">
        <v>32606</v>
      </c>
      <c r="G7876" t="s">
        <v>32613</v>
      </c>
      <c r="H7876" t="s">
        <v>32623</v>
      </c>
      <c r="I7876" t="s">
        <v>17648</v>
      </c>
      <c r="J7876" t="s">
        <v>37710</v>
      </c>
      <c r="K7876" t="s">
        <v>42636</v>
      </c>
      <c r="M7876" t="s">
        <v>45644</v>
      </c>
      <c r="N7876" t="s">
        <v>47304</v>
      </c>
      <c r="O7876" t="s">
        <v>47305</v>
      </c>
      <c r="P7876">
        <v>0</v>
      </c>
      <c r="Q7876">
        <v>1</v>
      </c>
      <c r="R7876" t="s">
        <v>47312</v>
      </c>
      <c r="S7876" t="s">
        <v>47489</v>
      </c>
      <c r="T7876" t="s">
        <v>49077</v>
      </c>
      <c r="U7876" t="s">
        <v>56075</v>
      </c>
      <c r="V7876" t="s">
        <v>63411</v>
      </c>
      <c r="W7876" t="s">
        <v>45644</v>
      </c>
      <c r="X7876" t="s">
        <v>47313</v>
      </c>
    </row>
    <row r="7877" spans="1:24">
      <c r="A7877">
        <f>HYPERLINK("https://www.philgeps.gov.ph/GEPSNONPILOT/Tender/SplashBidNoticeAbstractUI.aspx?menuIndex=3&amp;refID=7186988&amp;Result=3","7186988")</f>
        <v>0</v>
      </c>
      <c r="B7877" t="s">
        <v>2517</v>
      </c>
      <c r="C7877" t="s">
        <v>11275</v>
      </c>
      <c r="D7877" t="s">
        <v>19054</v>
      </c>
      <c r="E7877" t="s">
        <v>25933</v>
      </c>
      <c r="F7877" t="s">
        <v>32606</v>
      </c>
      <c r="G7877" t="s">
        <v>32613</v>
      </c>
      <c r="H7877" t="s">
        <v>32623</v>
      </c>
      <c r="I7877" t="s">
        <v>17648</v>
      </c>
      <c r="J7877" t="s">
        <v>37716</v>
      </c>
      <c r="K7877" t="s">
        <v>42806</v>
      </c>
      <c r="M7877" t="s">
        <v>45658</v>
      </c>
      <c r="N7877" t="s">
        <v>47304</v>
      </c>
      <c r="O7877" t="s">
        <v>47305</v>
      </c>
      <c r="P7877">
        <v>0</v>
      </c>
      <c r="Q7877">
        <v>1</v>
      </c>
      <c r="R7877" t="s">
        <v>47312</v>
      </c>
      <c r="S7877" t="s">
        <v>47489</v>
      </c>
      <c r="T7877" t="s">
        <v>49234</v>
      </c>
      <c r="U7877" t="s">
        <v>56113</v>
      </c>
      <c r="V7877" t="s">
        <v>63412</v>
      </c>
      <c r="W7877" t="s">
        <v>45658</v>
      </c>
      <c r="X7877" t="s">
        <v>47313</v>
      </c>
    </row>
    <row r="7878" spans="1:24">
      <c r="A7878">
        <f>HYPERLINK("https://www.philgeps.gov.ph/GEPSNONPILOT/Tender/SplashBidNoticeAbstractUI.aspx?menuIndex=3&amp;refID=7186976&amp;Result=3","7186976")</f>
        <v>0</v>
      </c>
      <c r="B7878" t="s">
        <v>438</v>
      </c>
      <c r="C7878" t="s">
        <v>11276</v>
      </c>
      <c r="D7878" t="s">
        <v>19003</v>
      </c>
      <c r="E7878" t="s">
        <v>25934</v>
      </c>
      <c r="F7878" t="s">
        <v>32606</v>
      </c>
      <c r="G7878" t="s">
        <v>32614</v>
      </c>
      <c r="H7878" t="s">
        <v>14201</v>
      </c>
      <c r="I7878" t="s">
        <v>32633</v>
      </c>
      <c r="J7878" t="s">
        <v>32833</v>
      </c>
      <c r="K7878" t="s">
        <v>42638</v>
      </c>
      <c r="M7878" t="s">
        <v>43345</v>
      </c>
      <c r="N7878" t="s">
        <v>47304</v>
      </c>
      <c r="O7878" t="s">
        <v>47305</v>
      </c>
      <c r="Q7878">
        <v>3</v>
      </c>
      <c r="R7878" t="s">
        <v>47312</v>
      </c>
      <c r="S7878" t="s">
        <v>47498</v>
      </c>
      <c r="T7878" t="s">
        <v>49017</v>
      </c>
      <c r="U7878" t="s">
        <v>56114</v>
      </c>
      <c r="W7878" t="s">
        <v>43345</v>
      </c>
      <c r="X7878" t="s">
        <v>47313</v>
      </c>
    </row>
    <row r="7879" spans="1:24">
      <c r="A7879">
        <f>HYPERLINK("https://www.philgeps.gov.ph/GEPSNONPILOT/Tender/SplashBidNoticeAbstractUI.aspx?menuIndex=3&amp;refID=7186971&amp;Result=3","7186971")</f>
        <v>0</v>
      </c>
      <c r="B7879" t="s">
        <v>605</v>
      </c>
      <c r="C7879" t="s">
        <v>11277</v>
      </c>
      <c r="D7879" t="s">
        <v>19024</v>
      </c>
      <c r="E7879" t="s">
        <v>25935</v>
      </c>
      <c r="F7879" t="s">
        <v>32606</v>
      </c>
      <c r="G7879" t="s">
        <v>32613</v>
      </c>
      <c r="H7879" t="s">
        <v>32623</v>
      </c>
      <c r="I7879" t="s">
        <v>17648</v>
      </c>
      <c r="J7879" t="s">
        <v>33102</v>
      </c>
      <c r="K7879" t="s">
        <v>42636</v>
      </c>
      <c r="M7879" t="s">
        <v>43521</v>
      </c>
      <c r="N7879" t="s">
        <v>47304</v>
      </c>
      <c r="O7879" t="s">
        <v>47305</v>
      </c>
      <c r="P7879">
        <v>0</v>
      </c>
      <c r="Q7879">
        <v>0</v>
      </c>
      <c r="R7879" t="s">
        <v>47312</v>
      </c>
      <c r="S7879" t="s">
        <v>47489</v>
      </c>
      <c r="T7879" t="s">
        <v>48998</v>
      </c>
      <c r="U7879" t="s">
        <v>56115</v>
      </c>
      <c r="W7879" t="s">
        <v>43521</v>
      </c>
      <c r="X7879" t="s">
        <v>47313</v>
      </c>
    </row>
    <row r="7880" spans="1:24">
      <c r="A7880">
        <f>HYPERLINK("https://www.philgeps.gov.ph/GEPSNONPILOT/Tender/SplashBidNoticeAbstractUI.aspx?menuIndex=3&amp;refID=7186970&amp;Result=3","7186970")</f>
        <v>0</v>
      </c>
      <c r="B7880" t="s">
        <v>2518</v>
      </c>
      <c r="C7880" t="s">
        <v>11278</v>
      </c>
      <c r="D7880" t="s">
        <v>18992</v>
      </c>
      <c r="E7880" t="s">
        <v>25936</v>
      </c>
      <c r="F7880" t="s">
        <v>32606</v>
      </c>
      <c r="G7880" t="s">
        <v>32613</v>
      </c>
      <c r="H7880" t="s">
        <v>14201</v>
      </c>
      <c r="I7880" t="s">
        <v>32626</v>
      </c>
      <c r="J7880" t="s">
        <v>37717</v>
      </c>
      <c r="K7880" t="s">
        <v>42623</v>
      </c>
      <c r="M7880" t="s">
        <v>45659</v>
      </c>
      <c r="N7880" t="s">
        <v>47304</v>
      </c>
      <c r="O7880" t="s">
        <v>47305</v>
      </c>
      <c r="P7880">
        <v>0</v>
      </c>
      <c r="Q7880">
        <v>3</v>
      </c>
      <c r="R7880" t="s">
        <v>47312</v>
      </c>
      <c r="S7880" t="s">
        <v>47489</v>
      </c>
      <c r="T7880" t="s">
        <v>49068</v>
      </c>
      <c r="U7880" t="s">
        <v>56116</v>
      </c>
      <c r="W7880" t="s">
        <v>45659</v>
      </c>
      <c r="X7880" t="s">
        <v>47313</v>
      </c>
    </row>
    <row r="7881" spans="1:24">
      <c r="A7881">
        <f>HYPERLINK("https://www.philgeps.gov.ph/GEPSNONPILOT/Tender/SplashBidNoticeAbstractUI.aspx?menuIndex=3&amp;refID=7186979&amp;Result=3","7186979")</f>
        <v>0</v>
      </c>
      <c r="B7881" t="s">
        <v>1373</v>
      </c>
      <c r="C7881" t="s">
        <v>11279</v>
      </c>
      <c r="D7881" t="s">
        <v>18994</v>
      </c>
      <c r="E7881" t="s">
        <v>25937</v>
      </c>
      <c r="F7881" t="s">
        <v>32606</v>
      </c>
      <c r="G7881" t="s">
        <v>32614</v>
      </c>
      <c r="H7881" t="s">
        <v>14201</v>
      </c>
      <c r="I7881" t="s">
        <v>7233</v>
      </c>
      <c r="J7881" t="s">
        <v>37718</v>
      </c>
      <c r="K7881" t="s">
        <v>42623</v>
      </c>
      <c r="M7881" t="s">
        <v>44352</v>
      </c>
      <c r="N7881" t="s">
        <v>47304</v>
      </c>
      <c r="O7881" t="s">
        <v>47305</v>
      </c>
      <c r="P7881">
        <v>0</v>
      </c>
      <c r="Q7881">
        <v>0</v>
      </c>
      <c r="R7881" t="s">
        <v>47312</v>
      </c>
      <c r="S7881" t="s">
        <v>47489</v>
      </c>
      <c r="T7881" t="s">
        <v>49050</v>
      </c>
      <c r="U7881" t="s">
        <v>56117</v>
      </c>
      <c r="W7881" t="s">
        <v>44352</v>
      </c>
      <c r="X7881" t="s">
        <v>47313</v>
      </c>
    </row>
    <row r="7882" spans="1:24">
      <c r="A7882">
        <f>HYPERLINK("https://www.philgeps.gov.ph/GEPSNONPILOT/Tender/SplashBidNoticeAbstractUI.aspx?menuIndex=3&amp;refID=7186968&amp;Result=3","7186968")</f>
        <v>0</v>
      </c>
      <c r="B7882" t="s">
        <v>438</v>
      </c>
      <c r="C7882" t="s">
        <v>11280</v>
      </c>
      <c r="D7882" t="s">
        <v>19003</v>
      </c>
      <c r="E7882" t="s">
        <v>25938</v>
      </c>
      <c r="F7882" t="s">
        <v>32606</v>
      </c>
      <c r="G7882" t="s">
        <v>32614</v>
      </c>
      <c r="H7882" t="s">
        <v>14201</v>
      </c>
      <c r="I7882" t="s">
        <v>6298</v>
      </c>
      <c r="J7882" t="s">
        <v>35460</v>
      </c>
      <c r="K7882" t="s">
        <v>42638</v>
      </c>
      <c r="M7882" t="s">
        <v>43345</v>
      </c>
      <c r="N7882" t="s">
        <v>47304</v>
      </c>
      <c r="O7882" t="s">
        <v>47305</v>
      </c>
      <c r="P7882">
        <v>0</v>
      </c>
      <c r="Q7882">
        <v>0</v>
      </c>
      <c r="R7882" t="s">
        <v>47312</v>
      </c>
      <c r="S7882" t="s">
        <v>47489</v>
      </c>
      <c r="T7882" t="s">
        <v>49020</v>
      </c>
      <c r="U7882" t="s">
        <v>56118</v>
      </c>
      <c r="W7882" t="s">
        <v>43345</v>
      </c>
      <c r="X7882" t="s">
        <v>47313</v>
      </c>
    </row>
    <row r="7883" spans="1:24">
      <c r="A7883">
        <f>HYPERLINK("https://www.philgeps.gov.ph/GEPSNONPILOT/Tender/SplashBidNoticeAbstractUI.aspx?menuIndex=3&amp;refID=7186972&amp;Result=3","7186972")</f>
        <v>0</v>
      </c>
      <c r="B7883" t="s">
        <v>2284</v>
      </c>
      <c r="C7883" t="s">
        <v>11281</v>
      </c>
      <c r="D7883" t="s">
        <v>19011</v>
      </c>
      <c r="E7883" t="s">
        <v>25939</v>
      </c>
      <c r="F7883" t="s">
        <v>32606</v>
      </c>
      <c r="G7883" t="s">
        <v>32613</v>
      </c>
      <c r="H7883" t="s">
        <v>32623</v>
      </c>
      <c r="I7883" t="s">
        <v>17648</v>
      </c>
      <c r="J7883" t="s">
        <v>35368</v>
      </c>
      <c r="K7883" t="s">
        <v>42646</v>
      </c>
      <c r="M7883" t="s">
        <v>45389</v>
      </c>
      <c r="N7883" t="s">
        <v>47304</v>
      </c>
      <c r="O7883" t="s">
        <v>47305</v>
      </c>
      <c r="P7883">
        <v>0</v>
      </c>
      <c r="Q7883">
        <v>0</v>
      </c>
      <c r="R7883" t="s">
        <v>47312</v>
      </c>
      <c r="S7883" t="s">
        <v>47489</v>
      </c>
      <c r="T7883" t="s">
        <v>49008</v>
      </c>
      <c r="U7883" t="s">
        <v>56119</v>
      </c>
      <c r="W7883" t="s">
        <v>45389</v>
      </c>
      <c r="X7883" t="s">
        <v>47313</v>
      </c>
    </row>
    <row r="7884" spans="1:24">
      <c r="A7884">
        <f>HYPERLINK("https://www.philgeps.gov.ph/GEPSNONPILOT/Tender/SplashBidNoticeAbstractUI.aspx?menuIndex=3&amp;refID=7186926&amp;Result=3","7186926")</f>
        <v>0</v>
      </c>
      <c r="B7884" t="s">
        <v>2519</v>
      </c>
      <c r="C7884" t="s">
        <v>11282</v>
      </c>
      <c r="D7884" t="s">
        <v>19024</v>
      </c>
      <c r="E7884" t="s">
        <v>19365</v>
      </c>
      <c r="F7884" t="s">
        <v>32606</v>
      </c>
      <c r="G7884" t="s">
        <v>32613</v>
      </c>
      <c r="H7884" t="s">
        <v>14201</v>
      </c>
      <c r="I7884" t="s">
        <v>6931</v>
      </c>
      <c r="J7884" t="s">
        <v>37719</v>
      </c>
      <c r="K7884" t="s">
        <v>42631</v>
      </c>
      <c r="M7884" t="s">
        <v>45660</v>
      </c>
      <c r="N7884" t="s">
        <v>47304</v>
      </c>
      <c r="O7884" t="s">
        <v>47305</v>
      </c>
      <c r="P7884">
        <v>0</v>
      </c>
      <c r="Q7884">
        <v>0</v>
      </c>
      <c r="R7884" t="s">
        <v>47312</v>
      </c>
      <c r="S7884" t="s">
        <v>47489</v>
      </c>
      <c r="T7884" t="s">
        <v>49319</v>
      </c>
      <c r="U7884" t="s">
        <v>56120</v>
      </c>
      <c r="W7884" t="s">
        <v>45660</v>
      </c>
      <c r="X7884" t="s">
        <v>47313</v>
      </c>
    </row>
    <row r="7885" spans="1:24">
      <c r="A7885">
        <f>HYPERLINK("https://www.philgeps.gov.ph/GEPSNONPILOT/Tender/SplashBidNoticeAbstractUI.aspx?menuIndex=3&amp;refID=7186965&amp;Result=3","7186965")</f>
        <v>0</v>
      </c>
      <c r="B7885" t="s">
        <v>2284</v>
      </c>
      <c r="C7885" t="s">
        <v>11283</v>
      </c>
      <c r="D7885" t="s">
        <v>19011</v>
      </c>
      <c r="E7885" t="s">
        <v>25940</v>
      </c>
      <c r="F7885" t="s">
        <v>32606</v>
      </c>
      <c r="G7885" t="s">
        <v>32613</v>
      </c>
      <c r="H7885" t="s">
        <v>32623</v>
      </c>
      <c r="I7885" t="s">
        <v>17648</v>
      </c>
      <c r="J7885" t="s">
        <v>32821</v>
      </c>
      <c r="K7885" t="s">
        <v>42648</v>
      </c>
      <c r="M7885" t="s">
        <v>45389</v>
      </c>
      <c r="N7885" t="s">
        <v>47304</v>
      </c>
      <c r="O7885" t="s">
        <v>47305</v>
      </c>
      <c r="P7885">
        <v>0</v>
      </c>
      <c r="Q7885">
        <v>0</v>
      </c>
      <c r="R7885" t="s">
        <v>47312</v>
      </c>
      <c r="S7885" t="s">
        <v>47489</v>
      </c>
      <c r="T7885" t="s">
        <v>48995</v>
      </c>
      <c r="U7885" t="s">
        <v>56121</v>
      </c>
      <c r="W7885" t="s">
        <v>45389</v>
      </c>
      <c r="X7885" t="s">
        <v>47313</v>
      </c>
    </row>
    <row r="7886" spans="1:24">
      <c r="A7886">
        <f>HYPERLINK("https://www.philgeps.gov.ph/GEPSNONPILOT/Tender/SplashBidNoticeAbstractUI.aspx?menuIndex=3&amp;refID=7186616&amp;Result=3","7186616")</f>
        <v>0</v>
      </c>
      <c r="B7886" t="s">
        <v>2505</v>
      </c>
      <c r="C7886" t="s">
        <v>11284</v>
      </c>
      <c r="D7886" t="s">
        <v>19007</v>
      </c>
      <c r="E7886" t="s">
        <v>25893</v>
      </c>
      <c r="F7886" t="s">
        <v>32606</v>
      </c>
      <c r="G7886" t="s">
        <v>32613</v>
      </c>
      <c r="H7886" t="s">
        <v>32623</v>
      </c>
      <c r="I7886" t="s">
        <v>17648</v>
      </c>
      <c r="J7886" t="s">
        <v>37703</v>
      </c>
      <c r="K7886" t="s">
        <v>42631</v>
      </c>
      <c r="M7886" t="s">
        <v>45644</v>
      </c>
      <c r="N7886" t="s">
        <v>47304</v>
      </c>
      <c r="O7886" t="s">
        <v>47305</v>
      </c>
      <c r="P7886">
        <v>0</v>
      </c>
      <c r="Q7886">
        <v>1</v>
      </c>
      <c r="R7886" t="s">
        <v>47312</v>
      </c>
      <c r="S7886" t="s">
        <v>47489</v>
      </c>
      <c r="T7886" t="s">
        <v>49077</v>
      </c>
      <c r="U7886" t="s">
        <v>56075</v>
      </c>
      <c r="V7886" t="s">
        <v>63413</v>
      </c>
      <c r="W7886" t="s">
        <v>45644</v>
      </c>
      <c r="X7886" t="s">
        <v>47314</v>
      </c>
    </row>
    <row r="7887" spans="1:24">
      <c r="A7887">
        <f>HYPERLINK("https://www.philgeps.gov.ph/GEPSNONPILOT/Tender/SplashBidNoticeAbstractUI.aspx?menuIndex=3&amp;refID=7186964&amp;Result=3","7186964")</f>
        <v>0</v>
      </c>
      <c r="B7887" t="s">
        <v>1843</v>
      </c>
      <c r="C7887" t="s">
        <v>11285</v>
      </c>
      <c r="D7887" t="s">
        <v>18993</v>
      </c>
      <c r="E7887" t="s">
        <v>19561</v>
      </c>
      <c r="F7887" t="s">
        <v>32606</v>
      </c>
      <c r="G7887" t="s">
        <v>32614</v>
      </c>
      <c r="H7887" t="s">
        <v>14201</v>
      </c>
      <c r="I7887" t="s">
        <v>7529</v>
      </c>
      <c r="J7887" t="s">
        <v>32820</v>
      </c>
      <c r="K7887" t="s">
        <v>42623</v>
      </c>
      <c r="M7887" t="s">
        <v>44896</v>
      </c>
      <c r="N7887" t="s">
        <v>47304</v>
      </c>
      <c r="O7887" t="s">
        <v>47305</v>
      </c>
      <c r="P7887">
        <v>0</v>
      </c>
      <c r="Q7887">
        <v>2</v>
      </c>
      <c r="R7887" t="s">
        <v>47312</v>
      </c>
      <c r="S7887" t="s">
        <v>47489</v>
      </c>
      <c r="T7887" t="s">
        <v>49062</v>
      </c>
      <c r="U7887" t="s">
        <v>56122</v>
      </c>
      <c r="W7887" t="s">
        <v>44896</v>
      </c>
      <c r="X7887" t="s">
        <v>47313</v>
      </c>
    </row>
    <row r="7888" spans="1:24">
      <c r="A7888">
        <f>HYPERLINK("https://www.philgeps.gov.ph/GEPSNONPILOT/Tender/SplashBidNoticeAbstractUI.aspx?menuIndex=3&amp;refID=7187040&amp;Result=3","7187040")</f>
        <v>0</v>
      </c>
      <c r="B7888" t="s">
        <v>2520</v>
      </c>
      <c r="C7888" t="s">
        <v>11286</v>
      </c>
      <c r="D7888" t="s">
        <v>19018</v>
      </c>
      <c r="E7888" t="s">
        <v>25941</v>
      </c>
      <c r="F7888" t="s">
        <v>32606</v>
      </c>
      <c r="G7888" t="s">
        <v>32613</v>
      </c>
      <c r="H7888" t="s">
        <v>14201</v>
      </c>
      <c r="I7888" t="s">
        <v>7677</v>
      </c>
      <c r="J7888" t="s">
        <v>37720</v>
      </c>
      <c r="K7888" t="s">
        <v>42631</v>
      </c>
      <c r="M7888" t="s">
        <v>45661</v>
      </c>
      <c r="N7888" t="s">
        <v>47304</v>
      </c>
      <c r="O7888" t="s">
        <v>47305</v>
      </c>
      <c r="P7888">
        <v>0</v>
      </c>
      <c r="Q7888">
        <v>5</v>
      </c>
      <c r="R7888" t="s">
        <v>47312</v>
      </c>
      <c r="S7888" t="s">
        <v>47489</v>
      </c>
      <c r="T7888" t="s">
        <v>49009</v>
      </c>
      <c r="U7888" t="s">
        <v>56123</v>
      </c>
      <c r="W7888" t="s">
        <v>45661</v>
      </c>
      <c r="X7888" t="s">
        <v>47313</v>
      </c>
    </row>
    <row r="7889" spans="1:24">
      <c r="A7889">
        <f>HYPERLINK("https://www.philgeps.gov.ph/GEPSNONPILOT/Tender/SplashBidNoticeAbstractUI.aspx?menuIndex=3&amp;refID=7187036&amp;Result=3","7187036")</f>
        <v>0</v>
      </c>
      <c r="B7889" t="s">
        <v>2284</v>
      </c>
      <c r="C7889" t="s">
        <v>11287</v>
      </c>
      <c r="D7889" t="s">
        <v>19011</v>
      </c>
      <c r="E7889" t="s">
        <v>25942</v>
      </c>
      <c r="F7889" t="s">
        <v>32606</v>
      </c>
      <c r="G7889" t="s">
        <v>32613</v>
      </c>
      <c r="H7889" t="s">
        <v>14201</v>
      </c>
      <c r="I7889" t="s">
        <v>6931</v>
      </c>
      <c r="J7889" t="s">
        <v>32778</v>
      </c>
      <c r="K7889" t="s">
        <v>42631</v>
      </c>
      <c r="M7889" t="s">
        <v>45389</v>
      </c>
      <c r="N7889" t="s">
        <v>47304</v>
      </c>
      <c r="O7889" t="s">
        <v>47305</v>
      </c>
      <c r="P7889">
        <v>0</v>
      </c>
      <c r="Q7889">
        <v>1</v>
      </c>
      <c r="R7889" t="s">
        <v>47312</v>
      </c>
      <c r="S7889" t="s">
        <v>47489</v>
      </c>
      <c r="T7889" t="s">
        <v>49101</v>
      </c>
      <c r="U7889" t="s">
        <v>56124</v>
      </c>
      <c r="W7889" t="s">
        <v>45389</v>
      </c>
      <c r="X7889" t="s">
        <v>47313</v>
      </c>
    </row>
    <row r="7890" spans="1:24">
      <c r="A7890">
        <f>HYPERLINK("https://www.philgeps.gov.ph/GEPSNONPILOT/Tender/SplashBidNoticeAbstractUI.aspx?menuIndex=3&amp;refID=7186920&amp;Result=3","7186920")</f>
        <v>0</v>
      </c>
      <c r="B7890" t="s">
        <v>362</v>
      </c>
      <c r="C7890" t="s">
        <v>11288</v>
      </c>
      <c r="D7890" t="s">
        <v>19023</v>
      </c>
      <c r="E7890" t="s">
        <v>25943</v>
      </c>
      <c r="F7890" t="s">
        <v>32606</v>
      </c>
      <c r="G7890" t="s">
        <v>32614</v>
      </c>
      <c r="H7890" t="s">
        <v>14201</v>
      </c>
      <c r="I7890" t="s">
        <v>32629</v>
      </c>
      <c r="J7890" t="s">
        <v>37721</v>
      </c>
      <c r="K7890" t="s">
        <v>42630</v>
      </c>
      <c r="M7890" t="s">
        <v>45656</v>
      </c>
      <c r="N7890" t="s">
        <v>47304</v>
      </c>
      <c r="O7890" t="s">
        <v>47305</v>
      </c>
      <c r="P7890">
        <v>0</v>
      </c>
      <c r="Q7890">
        <v>0</v>
      </c>
      <c r="R7890" t="s">
        <v>47312</v>
      </c>
      <c r="S7890" t="s">
        <v>47489</v>
      </c>
      <c r="T7890" t="s">
        <v>49071</v>
      </c>
      <c r="U7890" t="s">
        <v>56125</v>
      </c>
      <c r="W7890" t="s">
        <v>45656</v>
      </c>
      <c r="X7890" t="s">
        <v>47313</v>
      </c>
    </row>
    <row r="7891" spans="1:24">
      <c r="A7891">
        <f>HYPERLINK("https://www.philgeps.gov.ph/GEPSNONPILOT/Tender/SplashBidNoticeAbstractUI.aspx?menuIndex=3&amp;refID=7186963&amp;Result=3","7186963")</f>
        <v>0</v>
      </c>
      <c r="B7891" t="s">
        <v>2505</v>
      </c>
      <c r="C7891" t="s">
        <v>11289</v>
      </c>
      <c r="D7891" t="s">
        <v>19007</v>
      </c>
      <c r="E7891" t="s">
        <v>25893</v>
      </c>
      <c r="F7891" t="s">
        <v>32606</v>
      </c>
      <c r="G7891" t="s">
        <v>32613</v>
      </c>
      <c r="H7891" t="s">
        <v>32623</v>
      </c>
      <c r="I7891" t="s">
        <v>17648</v>
      </c>
      <c r="J7891" t="s">
        <v>37710</v>
      </c>
      <c r="K7891" t="s">
        <v>42636</v>
      </c>
      <c r="M7891" t="s">
        <v>45644</v>
      </c>
      <c r="N7891" t="s">
        <v>47304</v>
      </c>
      <c r="O7891" t="s">
        <v>47305</v>
      </c>
      <c r="P7891">
        <v>0</v>
      </c>
      <c r="Q7891">
        <v>2</v>
      </c>
      <c r="R7891" t="s">
        <v>47312</v>
      </c>
      <c r="S7891" t="s">
        <v>47489</v>
      </c>
      <c r="T7891" t="s">
        <v>49077</v>
      </c>
      <c r="U7891" t="s">
        <v>56075</v>
      </c>
      <c r="V7891" t="s">
        <v>63414</v>
      </c>
      <c r="W7891" t="s">
        <v>45644</v>
      </c>
      <c r="X7891" t="s">
        <v>47313</v>
      </c>
    </row>
    <row r="7892" spans="1:24">
      <c r="A7892">
        <f>HYPERLINK("https://www.philgeps.gov.ph/GEPSNONPILOT/Tender/SplashBidNoticeAbstractUI.aspx?menuIndex=3&amp;refID=7187032&amp;Result=3","7187032")</f>
        <v>0</v>
      </c>
      <c r="B7892" t="s">
        <v>496</v>
      </c>
      <c r="C7892" t="s">
        <v>11290</v>
      </c>
      <c r="E7892" t="s">
        <v>25944</v>
      </c>
      <c r="F7892" t="s">
        <v>32606</v>
      </c>
      <c r="G7892" t="s">
        <v>32614</v>
      </c>
      <c r="H7892" t="s">
        <v>14201</v>
      </c>
      <c r="I7892" t="s">
        <v>32680</v>
      </c>
      <c r="J7892" t="s">
        <v>33060</v>
      </c>
      <c r="K7892" t="s">
        <v>42631</v>
      </c>
      <c r="M7892" t="s">
        <v>45233</v>
      </c>
      <c r="N7892" t="s">
        <v>47304</v>
      </c>
      <c r="O7892" t="s">
        <v>47305</v>
      </c>
      <c r="P7892">
        <v>0</v>
      </c>
      <c r="Q7892">
        <v>1</v>
      </c>
      <c r="R7892" t="s">
        <v>47312</v>
      </c>
      <c r="S7892" t="s">
        <v>47489</v>
      </c>
      <c r="T7892" t="s">
        <v>48997</v>
      </c>
      <c r="U7892" t="s">
        <v>56126</v>
      </c>
      <c r="W7892" t="s">
        <v>64494</v>
      </c>
      <c r="X7892" t="s">
        <v>47313</v>
      </c>
    </row>
    <row r="7893" spans="1:24">
      <c r="A7893">
        <f>HYPERLINK("https://www.philgeps.gov.ph/GEPSNONPILOT/Tender/SplashBidNoticeAbstractUI.aspx?menuIndex=3&amp;refID=7187024&amp;Result=3","7187024")</f>
        <v>0</v>
      </c>
      <c r="B7893" t="s">
        <v>998</v>
      </c>
      <c r="C7893" t="s">
        <v>11291</v>
      </c>
      <c r="D7893" t="s">
        <v>19009</v>
      </c>
      <c r="E7893" t="s">
        <v>25945</v>
      </c>
      <c r="F7893" t="s">
        <v>32606</v>
      </c>
      <c r="G7893" t="s">
        <v>32613</v>
      </c>
      <c r="H7893" t="s">
        <v>14201</v>
      </c>
      <c r="I7893" t="s">
        <v>32664</v>
      </c>
      <c r="J7893" t="s">
        <v>32821</v>
      </c>
      <c r="K7893" t="s">
        <v>42631</v>
      </c>
      <c r="M7893" t="s">
        <v>43946</v>
      </c>
      <c r="N7893" t="s">
        <v>47304</v>
      </c>
      <c r="O7893" t="s">
        <v>47305</v>
      </c>
      <c r="P7893">
        <v>0</v>
      </c>
      <c r="Q7893">
        <v>6</v>
      </c>
      <c r="R7893" t="s">
        <v>47312</v>
      </c>
      <c r="S7893" t="s">
        <v>47489</v>
      </c>
      <c r="T7893" t="s">
        <v>49234</v>
      </c>
      <c r="U7893" t="s">
        <v>56127</v>
      </c>
      <c r="W7893" t="s">
        <v>43946</v>
      </c>
      <c r="X7893" t="s">
        <v>47313</v>
      </c>
    </row>
    <row r="7894" spans="1:24">
      <c r="A7894">
        <f>HYPERLINK("https://www.philgeps.gov.ph/GEPSNONPILOT/Tender/SplashBidNoticeAbstractUI.aspx?menuIndex=3&amp;refID=7186611&amp;Result=3","7186611")</f>
        <v>0</v>
      </c>
      <c r="B7894" t="s">
        <v>2505</v>
      </c>
      <c r="C7894" t="s">
        <v>11292</v>
      </c>
      <c r="D7894" t="s">
        <v>19007</v>
      </c>
      <c r="E7894" t="s">
        <v>25893</v>
      </c>
      <c r="F7894" t="s">
        <v>32606</v>
      </c>
      <c r="G7894" t="s">
        <v>32613</v>
      </c>
      <c r="H7894" t="s">
        <v>32623</v>
      </c>
      <c r="I7894" t="s">
        <v>17648</v>
      </c>
      <c r="J7894" t="s">
        <v>37694</v>
      </c>
      <c r="K7894" t="s">
        <v>42648</v>
      </c>
      <c r="M7894" t="s">
        <v>45644</v>
      </c>
      <c r="N7894" t="s">
        <v>47304</v>
      </c>
      <c r="O7894" t="s">
        <v>47305</v>
      </c>
      <c r="P7894">
        <v>0</v>
      </c>
      <c r="Q7894">
        <v>1</v>
      </c>
      <c r="R7894" t="s">
        <v>47312</v>
      </c>
      <c r="S7894" t="s">
        <v>47489</v>
      </c>
      <c r="T7894" t="s">
        <v>49077</v>
      </c>
      <c r="U7894" t="s">
        <v>56075</v>
      </c>
      <c r="V7894" t="s">
        <v>63415</v>
      </c>
      <c r="W7894" t="s">
        <v>45644</v>
      </c>
      <c r="X7894" t="s">
        <v>47314</v>
      </c>
    </row>
    <row r="7895" spans="1:24">
      <c r="A7895">
        <f>HYPERLINK("https://www.philgeps.gov.ph/GEPSNONPILOT/Tender/SplashBidNoticeAbstractUI.aspx?menuIndex=3&amp;refID=7187022&amp;Result=3","7187022")</f>
        <v>0</v>
      </c>
      <c r="B7895" t="s">
        <v>2243</v>
      </c>
      <c r="C7895" t="s">
        <v>11293</v>
      </c>
      <c r="D7895" t="s">
        <v>19004</v>
      </c>
      <c r="E7895" t="s">
        <v>25946</v>
      </c>
      <c r="F7895" t="s">
        <v>32606</v>
      </c>
      <c r="G7895" t="s">
        <v>32613</v>
      </c>
      <c r="H7895" t="s">
        <v>14201</v>
      </c>
      <c r="I7895" t="s">
        <v>17648</v>
      </c>
      <c r="J7895" t="s">
        <v>37722</v>
      </c>
      <c r="K7895" t="s">
        <v>42676</v>
      </c>
      <c r="M7895" t="s">
        <v>45347</v>
      </c>
      <c r="N7895" t="s">
        <v>47304</v>
      </c>
      <c r="O7895" t="s">
        <v>47305</v>
      </c>
      <c r="P7895">
        <v>0</v>
      </c>
      <c r="Q7895">
        <v>0</v>
      </c>
      <c r="R7895" t="s">
        <v>47312</v>
      </c>
      <c r="S7895" t="s">
        <v>47489</v>
      </c>
      <c r="T7895" t="s">
        <v>49140</v>
      </c>
      <c r="U7895" t="s">
        <v>55189</v>
      </c>
      <c r="W7895" t="s">
        <v>45347</v>
      </c>
      <c r="X7895" t="s">
        <v>47313</v>
      </c>
    </row>
    <row r="7896" spans="1:24">
      <c r="A7896">
        <f>HYPERLINK("https://www.philgeps.gov.ph/GEPSNONPILOT/Tender/SplashBidNoticeAbstractUI.aspx?menuIndex=3&amp;refID=7187038&amp;Result=3","7187038")</f>
        <v>0</v>
      </c>
      <c r="B7896" t="s">
        <v>2521</v>
      </c>
      <c r="C7896" t="s">
        <v>11294</v>
      </c>
      <c r="D7896" t="s">
        <v>19044</v>
      </c>
      <c r="E7896" t="s">
        <v>20036</v>
      </c>
      <c r="F7896" t="s">
        <v>32606</v>
      </c>
      <c r="G7896" t="s">
        <v>32613</v>
      </c>
      <c r="H7896" t="s">
        <v>14201</v>
      </c>
      <c r="I7896" t="s">
        <v>6931</v>
      </c>
      <c r="J7896" t="s">
        <v>33587</v>
      </c>
      <c r="K7896" t="s">
        <v>42636</v>
      </c>
      <c r="M7896" t="s">
        <v>45662</v>
      </c>
      <c r="N7896" t="s">
        <v>47304</v>
      </c>
      <c r="O7896" t="s">
        <v>47305</v>
      </c>
      <c r="P7896">
        <v>0</v>
      </c>
      <c r="Q7896">
        <v>1</v>
      </c>
      <c r="R7896" t="s">
        <v>47312</v>
      </c>
      <c r="S7896" t="s">
        <v>47489</v>
      </c>
      <c r="T7896" t="s">
        <v>49037</v>
      </c>
      <c r="U7896" t="s">
        <v>56128</v>
      </c>
      <c r="W7896" t="s">
        <v>45662</v>
      </c>
      <c r="X7896" t="s">
        <v>47313</v>
      </c>
    </row>
    <row r="7897" spans="1:24">
      <c r="A7897">
        <f>HYPERLINK("https://www.philgeps.gov.ph/GEPSNONPILOT/Tender/SplashBidNoticeAbstractUI.aspx?menuIndex=3&amp;refID=7187018&amp;Result=3","7187018")</f>
        <v>0</v>
      </c>
      <c r="B7897" t="s">
        <v>745</v>
      </c>
      <c r="C7897" t="s">
        <v>11295</v>
      </c>
      <c r="D7897" t="s">
        <v>19043</v>
      </c>
      <c r="E7897" t="s">
        <v>25947</v>
      </c>
      <c r="F7897" t="s">
        <v>32606</v>
      </c>
      <c r="G7897" t="s">
        <v>32613</v>
      </c>
      <c r="H7897" t="s">
        <v>14201</v>
      </c>
      <c r="I7897" t="s">
        <v>4120</v>
      </c>
      <c r="J7897" t="s">
        <v>32957</v>
      </c>
      <c r="K7897" t="s">
        <v>42622</v>
      </c>
      <c r="M7897" t="s">
        <v>43668</v>
      </c>
      <c r="N7897" t="s">
        <v>47304</v>
      </c>
      <c r="O7897" t="s">
        <v>47305</v>
      </c>
      <c r="P7897">
        <v>0</v>
      </c>
      <c r="Q7897">
        <v>0</v>
      </c>
      <c r="R7897" t="s">
        <v>47312</v>
      </c>
      <c r="S7897" t="s">
        <v>47489</v>
      </c>
      <c r="T7897" t="s">
        <v>49160</v>
      </c>
      <c r="U7897" t="s">
        <v>56129</v>
      </c>
      <c r="W7897" t="s">
        <v>43668</v>
      </c>
      <c r="X7897" t="s">
        <v>47313</v>
      </c>
    </row>
    <row r="7898" spans="1:24">
      <c r="A7898">
        <f>HYPERLINK("https://www.philgeps.gov.ph/GEPSNONPILOT/Tender/SplashBidNoticeAbstractUI.aspx?menuIndex=3&amp;refID=7187015&amp;Result=3","7187015")</f>
        <v>0</v>
      </c>
      <c r="B7898" t="s">
        <v>184</v>
      </c>
      <c r="C7898" t="s">
        <v>11296</v>
      </c>
      <c r="D7898" t="s">
        <v>19042</v>
      </c>
      <c r="E7898" t="s">
        <v>25948</v>
      </c>
      <c r="F7898" t="s">
        <v>32606</v>
      </c>
      <c r="G7898" t="s">
        <v>32619</v>
      </c>
      <c r="H7898" t="s">
        <v>14201</v>
      </c>
      <c r="I7898" t="s">
        <v>32655</v>
      </c>
      <c r="J7898" t="s">
        <v>33276</v>
      </c>
      <c r="K7898" t="s">
        <v>42622</v>
      </c>
      <c r="M7898" t="s">
        <v>43085</v>
      </c>
      <c r="N7898" t="s">
        <v>47304</v>
      </c>
      <c r="O7898" t="s">
        <v>47305</v>
      </c>
      <c r="P7898">
        <v>0</v>
      </c>
      <c r="Q7898">
        <v>2</v>
      </c>
      <c r="R7898" t="s">
        <v>47312</v>
      </c>
      <c r="S7898" t="s">
        <v>47489</v>
      </c>
      <c r="T7898" t="s">
        <v>49268</v>
      </c>
      <c r="U7898" t="s">
        <v>56130</v>
      </c>
      <c r="V7898" t="s">
        <v>62689</v>
      </c>
      <c r="W7898" t="s">
        <v>43085</v>
      </c>
      <c r="X7898" t="s">
        <v>47313</v>
      </c>
    </row>
    <row r="7899" spans="1:24">
      <c r="A7899">
        <f>HYPERLINK("https://www.philgeps.gov.ph/GEPSNONPILOT/Tender/SplashBidNoticeAbstractUI.aspx?menuIndex=3&amp;refID=7187030&amp;Result=3","7187030")</f>
        <v>0</v>
      </c>
      <c r="B7899" t="s">
        <v>1414</v>
      </c>
      <c r="C7899" t="s">
        <v>11297</v>
      </c>
      <c r="D7899" t="s">
        <v>18994</v>
      </c>
      <c r="E7899" t="s">
        <v>25949</v>
      </c>
      <c r="F7899" t="s">
        <v>32606</v>
      </c>
      <c r="G7899" t="s">
        <v>32614</v>
      </c>
      <c r="H7899" t="s">
        <v>14201</v>
      </c>
      <c r="I7899" t="s">
        <v>32634</v>
      </c>
      <c r="J7899" t="s">
        <v>32813</v>
      </c>
      <c r="K7899" t="s">
        <v>42623</v>
      </c>
      <c r="M7899" t="s">
        <v>44402</v>
      </c>
      <c r="N7899" t="s">
        <v>47304</v>
      </c>
      <c r="O7899" t="s">
        <v>47305</v>
      </c>
      <c r="P7899">
        <v>0</v>
      </c>
      <c r="Q7899">
        <v>2</v>
      </c>
      <c r="R7899" t="s">
        <v>47312</v>
      </c>
      <c r="S7899" t="s">
        <v>47489</v>
      </c>
      <c r="T7899" t="s">
        <v>49269</v>
      </c>
      <c r="U7899" t="s">
        <v>56131</v>
      </c>
      <c r="W7899" t="s">
        <v>44402</v>
      </c>
      <c r="X7899" t="s">
        <v>47313</v>
      </c>
    </row>
    <row r="7900" spans="1:24">
      <c r="A7900">
        <f>HYPERLINK("https://www.philgeps.gov.ph/GEPSNONPILOT/Tender/SplashBidNoticeAbstractUI.aspx?menuIndex=3&amp;refID=7187013&amp;Result=3","7187013")</f>
        <v>0</v>
      </c>
      <c r="B7900" t="s">
        <v>2365</v>
      </c>
      <c r="C7900" t="s">
        <v>11298</v>
      </c>
      <c r="D7900" t="s">
        <v>19007</v>
      </c>
      <c r="E7900" t="s">
        <v>25950</v>
      </c>
      <c r="F7900" t="s">
        <v>32606</v>
      </c>
      <c r="G7900" t="s">
        <v>32613</v>
      </c>
      <c r="H7900" t="s">
        <v>32623</v>
      </c>
      <c r="I7900" t="s">
        <v>6931</v>
      </c>
      <c r="J7900" t="s">
        <v>33974</v>
      </c>
      <c r="K7900" t="s">
        <v>42630</v>
      </c>
      <c r="M7900" t="s">
        <v>45479</v>
      </c>
      <c r="N7900" t="s">
        <v>47304</v>
      </c>
      <c r="O7900" t="s">
        <v>47305</v>
      </c>
      <c r="P7900">
        <v>0</v>
      </c>
      <c r="Q7900">
        <v>0</v>
      </c>
      <c r="R7900" t="s">
        <v>47312</v>
      </c>
      <c r="S7900" t="s">
        <v>47489</v>
      </c>
      <c r="T7900" t="s">
        <v>49257</v>
      </c>
      <c r="U7900" t="s">
        <v>56132</v>
      </c>
      <c r="W7900" t="s">
        <v>45479</v>
      </c>
      <c r="X7900" t="s">
        <v>47313</v>
      </c>
    </row>
    <row r="7901" spans="1:24">
      <c r="A7901">
        <f>HYPERLINK("https://www.philgeps.gov.ph/GEPSNONPILOT/Tender/SplashBidNoticeAbstractUI.aspx?menuIndex=3&amp;refID=7187019&amp;Result=3","7187019")</f>
        <v>0</v>
      </c>
      <c r="B7901" t="s">
        <v>2522</v>
      </c>
      <c r="C7901" t="s">
        <v>11299</v>
      </c>
      <c r="D7901" t="s">
        <v>18986</v>
      </c>
      <c r="E7901" t="s">
        <v>25951</v>
      </c>
      <c r="F7901" t="s">
        <v>32606</v>
      </c>
      <c r="G7901" t="s">
        <v>32613</v>
      </c>
      <c r="H7901" t="s">
        <v>14201</v>
      </c>
      <c r="I7901" t="s">
        <v>32660</v>
      </c>
      <c r="J7901" t="s">
        <v>37723</v>
      </c>
      <c r="K7901" t="s">
        <v>42631</v>
      </c>
      <c r="M7901" t="s">
        <v>45663</v>
      </c>
      <c r="N7901" t="s">
        <v>47304</v>
      </c>
      <c r="O7901" t="s">
        <v>47305</v>
      </c>
      <c r="P7901">
        <v>0</v>
      </c>
      <c r="Q7901">
        <v>2</v>
      </c>
      <c r="R7901" t="s">
        <v>47312</v>
      </c>
      <c r="S7901" t="s">
        <v>47489</v>
      </c>
      <c r="T7901" t="s">
        <v>49072</v>
      </c>
      <c r="U7901" t="s">
        <v>56133</v>
      </c>
      <c r="W7901" t="s">
        <v>45663</v>
      </c>
      <c r="X7901" t="s">
        <v>47313</v>
      </c>
    </row>
    <row r="7902" spans="1:24">
      <c r="A7902">
        <f>HYPERLINK("https://www.philgeps.gov.ph/GEPSNONPILOT/Tender/SplashBidNoticeAbstractUI.aspx?menuIndex=3&amp;refID=7187017&amp;Result=3","7187017")</f>
        <v>0</v>
      </c>
      <c r="B7902" t="s">
        <v>1800</v>
      </c>
      <c r="C7902" t="s">
        <v>11300</v>
      </c>
      <c r="D7902" t="s">
        <v>19008</v>
      </c>
      <c r="E7902" t="s">
        <v>25952</v>
      </c>
      <c r="F7902" t="s">
        <v>32606</v>
      </c>
      <c r="G7902" t="s">
        <v>32617</v>
      </c>
      <c r="H7902" t="s">
        <v>14201</v>
      </c>
      <c r="I7902" t="s">
        <v>4120</v>
      </c>
      <c r="J7902" t="s">
        <v>37724</v>
      </c>
      <c r="K7902" t="s">
        <v>42623</v>
      </c>
      <c r="M7902" t="s">
        <v>44841</v>
      </c>
      <c r="N7902" t="s">
        <v>47304</v>
      </c>
      <c r="O7902" t="s">
        <v>47305</v>
      </c>
      <c r="Q7902">
        <v>5</v>
      </c>
      <c r="R7902" t="s">
        <v>47312</v>
      </c>
      <c r="S7902" t="s">
        <v>47499</v>
      </c>
      <c r="T7902" t="s">
        <v>49014</v>
      </c>
      <c r="U7902" t="s">
        <v>53769</v>
      </c>
      <c r="W7902" t="s">
        <v>44841</v>
      </c>
      <c r="X7902" t="s">
        <v>47313</v>
      </c>
    </row>
    <row r="7903" spans="1:24">
      <c r="A7903">
        <f>HYPERLINK("https://www.philgeps.gov.ph/GEPSNONPILOT/Tender/SplashBidNoticeAbstractUI.aspx?menuIndex=3&amp;refID=7187026&amp;Result=3","7187026")</f>
        <v>0</v>
      </c>
      <c r="B7903" t="s">
        <v>789</v>
      </c>
      <c r="C7903" t="s">
        <v>11301</v>
      </c>
      <c r="D7903" t="s">
        <v>18995</v>
      </c>
      <c r="E7903" t="s">
        <v>25953</v>
      </c>
      <c r="F7903" t="s">
        <v>32606</v>
      </c>
      <c r="G7903" t="s">
        <v>32613</v>
      </c>
      <c r="H7903" t="s">
        <v>32623</v>
      </c>
      <c r="I7903" t="s">
        <v>17648</v>
      </c>
      <c r="J7903" t="s">
        <v>32893</v>
      </c>
      <c r="K7903" t="s">
        <v>42648</v>
      </c>
      <c r="M7903" t="s">
        <v>43720</v>
      </c>
      <c r="N7903" t="s">
        <v>47304</v>
      </c>
      <c r="O7903" t="s">
        <v>47305</v>
      </c>
      <c r="P7903">
        <v>0</v>
      </c>
      <c r="Q7903">
        <v>3</v>
      </c>
      <c r="R7903" t="s">
        <v>47312</v>
      </c>
      <c r="S7903" t="s">
        <v>47489</v>
      </c>
      <c r="T7903" t="s">
        <v>49100</v>
      </c>
      <c r="U7903" t="s">
        <v>56110</v>
      </c>
      <c r="W7903" t="s">
        <v>43720</v>
      </c>
      <c r="X7903" t="s">
        <v>47313</v>
      </c>
    </row>
    <row r="7904" spans="1:24">
      <c r="A7904">
        <f>HYPERLINK("https://www.philgeps.gov.ph/GEPSNONPILOT/Tender/SplashBidNoticeAbstractUI.aspx?menuIndex=3&amp;refID=7186666&amp;Result=3","7186666")</f>
        <v>0</v>
      </c>
      <c r="B7904" t="s">
        <v>2505</v>
      </c>
      <c r="C7904" t="s">
        <v>11302</v>
      </c>
      <c r="D7904" t="s">
        <v>19007</v>
      </c>
      <c r="E7904" t="s">
        <v>25893</v>
      </c>
      <c r="F7904" t="s">
        <v>32606</v>
      </c>
      <c r="G7904" t="s">
        <v>32613</v>
      </c>
      <c r="H7904" t="s">
        <v>32623</v>
      </c>
      <c r="I7904" t="s">
        <v>17648</v>
      </c>
      <c r="J7904" t="s">
        <v>37710</v>
      </c>
      <c r="K7904" t="s">
        <v>42636</v>
      </c>
      <c r="M7904" t="s">
        <v>45644</v>
      </c>
      <c r="N7904" t="s">
        <v>47304</v>
      </c>
      <c r="O7904" t="s">
        <v>47305</v>
      </c>
      <c r="P7904">
        <v>0</v>
      </c>
      <c r="Q7904">
        <v>1</v>
      </c>
      <c r="R7904" t="s">
        <v>47312</v>
      </c>
      <c r="S7904" t="s">
        <v>47489</v>
      </c>
      <c r="T7904" t="s">
        <v>49077</v>
      </c>
      <c r="U7904" t="s">
        <v>56075</v>
      </c>
      <c r="V7904" t="s">
        <v>63416</v>
      </c>
      <c r="W7904" t="s">
        <v>45644</v>
      </c>
      <c r="X7904" t="s">
        <v>47314</v>
      </c>
    </row>
    <row r="7905" spans="1:24">
      <c r="A7905">
        <f>HYPERLINK("https://www.philgeps.gov.ph/GEPSNONPILOT/Tender/SplashBidNoticeAbstractUI.aspx?menuIndex=3&amp;refID=7187014&amp;Result=3","7187014")</f>
        <v>0</v>
      </c>
      <c r="B7905" t="s">
        <v>2505</v>
      </c>
      <c r="C7905" t="s">
        <v>11303</v>
      </c>
      <c r="D7905" t="s">
        <v>19007</v>
      </c>
      <c r="E7905" t="s">
        <v>25893</v>
      </c>
      <c r="F7905" t="s">
        <v>32606</v>
      </c>
      <c r="G7905" t="s">
        <v>32613</v>
      </c>
      <c r="H7905" t="s">
        <v>32623</v>
      </c>
      <c r="I7905" t="s">
        <v>17648</v>
      </c>
      <c r="J7905" t="s">
        <v>37725</v>
      </c>
      <c r="K7905" t="s">
        <v>42648</v>
      </c>
      <c r="M7905" t="s">
        <v>45644</v>
      </c>
      <c r="N7905" t="s">
        <v>47304</v>
      </c>
      <c r="O7905" t="s">
        <v>47305</v>
      </c>
      <c r="P7905">
        <v>0</v>
      </c>
      <c r="Q7905">
        <v>0</v>
      </c>
      <c r="R7905" t="s">
        <v>47312</v>
      </c>
      <c r="S7905" t="s">
        <v>47489</v>
      </c>
      <c r="T7905" t="s">
        <v>49077</v>
      </c>
      <c r="U7905" t="s">
        <v>56075</v>
      </c>
      <c r="V7905" t="s">
        <v>63417</v>
      </c>
      <c r="W7905" t="s">
        <v>45644</v>
      </c>
      <c r="X7905" t="s">
        <v>47313</v>
      </c>
    </row>
    <row r="7906" spans="1:24">
      <c r="A7906">
        <f>HYPERLINK("https://www.philgeps.gov.ph/GEPSNONPILOT/Tender/SplashBidNoticeAbstractUI.aspx?menuIndex=3&amp;refID=7186960&amp;Result=3","7186960")</f>
        <v>0</v>
      </c>
      <c r="B7906" t="s">
        <v>2523</v>
      </c>
      <c r="C7906" t="s">
        <v>11304</v>
      </c>
      <c r="D7906" t="s">
        <v>19008</v>
      </c>
      <c r="E7906" t="s">
        <v>25954</v>
      </c>
      <c r="F7906" t="s">
        <v>32606</v>
      </c>
      <c r="G7906" t="s">
        <v>32613</v>
      </c>
      <c r="H7906" t="s">
        <v>14201</v>
      </c>
      <c r="I7906" t="s">
        <v>6931</v>
      </c>
      <c r="J7906" t="s">
        <v>37726</v>
      </c>
      <c r="K7906" t="s">
        <v>42622</v>
      </c>
      <c r="M7906" t="s">
        <v>45664</v>
      </c>
      <c r="N7906" t="s">
        <v>47304</v>
      </c>
      <c r="O7906" t="s">
        <v>47305</v>
      </c>
      <c r="P7906">
        <v>0</v>
      </c>
      <c r="Q7906">
        <v>1</v>
      </c>
      <c r="R7906" t="s">
        <v>47312</v>
      </c>
      <c r="S7906" t="s">
        <v>47489</v>
      </c>
      <c r="T7906" t="s">
        <v>49198</v>
      </c>
      <c r="U7906" t="s">
        <v>53093</v>
      </c>
      <c r="W7906" t="s">
        <v>45664</v>
      </c>
      <c r="X7906" t="s">
        <v>47313</v>
      </c>
    </row>
    <row r="7907" spans="1:24">
      <c r="A7907">
        <f>HYPERLINK("https://www.philgeps.gov.ph/GEPSNONPILOT/Tender/SplashBidNoticeAbstractUI.aspx?menuIndex=3&amp;refID=7187002&amp;Result=3","7187002")</f>
        <v>0</v>
      </c>
      <c r="B7907" t="s">
        <v>2505</v>
      </c>
      <c r="C7907" t="s">
        <v>11305</v>
      </c>
      <c r="D7907" t="s">
        <v>19007</v>
      </c>
      <c r="E7907" t="s">
        <v>25893</v>
      </c>
      <c r="F7907" t="s">
        <v>32606</v>
      </c>
      <c r="G7907" t="s">
        <v>32613</v>
      </c>
      <c r="H7907" t="s">
        <v>32623</v>
      </c>
      <c r="I7907" t="s">
        <v>17648</v>
      </c>
      <c r="J7907" t="s">
        <v>32772</v>
      </c>
      <c r="K7907" t="s">
        <v>42636</v>
      </c>
      <c r="M7907" t="s">
        <v>45644</v>
      </c>
      <c r="N7907" t="s">
        <v>47304</v>
      </c>
      <c r="O7907" t="s">
        <v>47305</v>
      </c>
      <c r="P7907">
        <v>0</v>
      </c>
      <c r="Q7907">
        <v>0</v>
      </c>
      <c r="R7907" t="s">
        <v>47312</v>
      </c>
      <c r="S7907" t="s">
        <v>47489</v>
      </c>
      <c r="T7907" t="s">
        <v>49077</v>
      </c>
      <c r="U7907" t="s">
        <v>56075</v>
      </c>
      <c r="V7907" t="s">
        <v>63418</v>
      </c>
      <c r="W7907" t="s">
        <v>45644</v>
      </c>
      <c r="X7907" t="s">
        <v>47313</v>
      </c>
    </row>
    <row r="7908" spans="1:24">
      <c r="A7908">
        <f>HYPERLINK("https://www.philgeps.gov.ph/GEPSNONPILOT/Tender/SplashBidNoticeAbstractUI.aspx?menuIndex=3&amp;refID=7187009&amp;Result=3","7187009")</f>
        <v>0</v>
      </c>
      <c r="B7908" t="s">
        <v>2524</v>
      </c>
      <c r="C7908" t="s">
        <v>11306</v>
      </c>
      <c r="D7908" t="s">
        <v>18988</v>
      </c>
      <c r="E7908" t="s">
        <v>22604</v>
      </c>
      <c r="F7908" t="s">
        <v>32606</v>
      </c>
      <c r="G7908" t="s">
        <v>32613</v>
      </c>
      <c r="H7908" t="s">
        <v>14201</v>
      </c>
      <c r="I7908" t="s">
        <v>32655</v>
      </c>
      <c r="J7908" t="s">
        <v>37727</v>
      </c>
      <c r="K7908" t="s">
        <v>42623</v>
      </c>
      <c r="M7908" t="s">
        <v>45665</v>
      </c>
      <c r="N7908" t="s">
        <v>47304</v>
      </c>
      <c r="O7908" t="s">
        <v>47305</v>
      </c>
      <c r="P7908">
        <v>0</v>
      </c>
      <c r="Q7908">
        <v>4</v>
      </c>
      <c r="R7908" t="s">
        <v>47312</v>
      </c>
      <c r="S7908" t="s">
        <v>47489</v>
      </c>
      <c r="T7908" t="s">
        <v>49040</v>
      </c>
      <c r="U7908" t="s">
        <v>56134</v>
      </c>
      <c r="W7908" t="s">
        <v>45665</v>
      </c>
      <c r="X7908" t="s">
        <v>47313</v>
      </c>
    </row>
    <row r="7909" spans="1:24">
      <c r="A7909">
        <f>HYPERLINK("https://www.philgeps.gov.ph/GEPSNONPILOT/Tender/SplashBidNoticeAbstractUI.aspx?menuIndex=3&amp;refID=7186959&amp;Result=3","7186959")</f>
        <v>0</v>
      </c>
      <c r="B7909" t="s">
        <v>2525</v>
      </c>
      <c r="C7909" t="s">
        <v>11307</v>
      </c>
      <c r="D7909" t="s">
        <v>18993</v>
      </c>
      <c r="E7909" t="s">
        <v>25955</v>
      </c>
      <c r="F7909" t="s">
        <v>32606</v>
      </c>
      <c r="G7909" t="s">
        <v>32619</v>
      </c>
      <c r="H7909" t="s">
        <v>14201</v>
      </c>
      <c r="I7909" t="s">
        <v>6993</v>
      </c>
      <c r="J7909" t="s">
        <v>37728</v>
      </c>
      <c r="K7909" t="s">
        <v>42631</v>
      </c>
      <c r="M7909" t="s">
        <v>45666</v>
      </c>
      <c r="N7909" t="s">
        <v>47304</v>
      </c>
      <c r="O7909" t="s">
        <v>47305</v>
      </c>
      <c r="P7909">
        <v>0</v>
      </c>
      <c r="Q7909">
        <v>1</v>
      </c>
      <c r="R7909" t="s">
        <v>47312</v>
      </c>
      <c r="S7909" t="s">
        <v>47489</v>
      </c>
      <c r="T7909" t="s">
        <v>48998</v>
      </c>
      <c r="U7909" t="s">
        <v>56135</v>
      </c>
      <c r="W7909" t="s">
        <v>45666</v>
      </c>
      <c r="X7909" t="s">
        <v>47313</v>
      </c>
    </row>
    <row r="7910" spans="1:24">
      <c r="A7910">
        <f>HYPERLINK("https://www.philgeps.gov.ph/GEPSNONPILOT/Tender/SplashBidNoticeAbstractUI.aspx?menuIndex=3&amp;refID=7186915&amp;Result=3","7186915")</f>
        <v>0</v>
      </c>
      <c r="B7910" t="s">
        <v>362</v>
      </c>
      <c r="C7910" t="s">
        <v>11308</v>
      </c>
      <c r="D7910" t="s">
        <v>19023</v>
      </c>
      <c r="E7910" t="s">
        <v>25956</v>
      </c>
      <c r="F7910" t="s">
        <v>32606</v>
      </c>
      <c r="G7910" t="s">
        <v>32614</v>
      </c>
      <c r="H7910" t="s">
        <v>14201</v>
      </c>
      <c r="I7910" t="s">
        <v>6014</v>
      </c>
      <c r="J7910" t="s">
        <v>33140</v>
      </c>
      <c r="K7910" t="s">
        <v>42630</v>
      </c>
      <c r="M7910" t="s">
        <v>45656</v>
      </c>
      <c r="N7910" t="s">
        <v>47304</v>
      </c>
      <c r="O7910" t="s">
        <v>47305</v>
      </c>
      <c r="P7910">
        <v>0</v>
      </c>
      <c r="Q7910">
        <v>0</v>
      </c>
      <c r="R7910" t="s">
        <v>47312</v>
      </c>
      <c r="S7910" t="s">
        <v>47489</v>
      </c>
      <c r="T7910" t="s">
        <v>49071</v>
      </c>
      <c r="U7910" t="s">
        <v>56136</v>
      </c>
      <c r="W7910" t="s">
        <v>45656</v>
      </c>
      <c r="X7910" t="s">
        <v>47313</v>
      </c>
    </row>
    <row r="7911" spans="1:24">
      <c r="A7911">
        <f>HYPERLINK("https://www.philgeps.gov.ph/GEPSNONPILOT/Tender/SplashBidNoticeAbstractUI.aspx?menuIndex=3&amp;refID=7186914&amp;Result=3","7186914")</f>
        <v>0</v>
      </c>
      <c r="B7911" t="s">
        <v>362</v>
      </c>
      <c r="C7911" t="s">
        <v>11309</v>
      </c>
      <c r="D7911" t="s">
        <v>19023</v>
      </c>
      <c r="E7911" t="s">
        <v>25957</v>
      </c>
      <c r="F7911" t="s">
        <v>32606</v>
      </c>
      <c r="G7911" t="s">
        <v>32614</v>
      </c>
      <c r="H7911" t="s">
        <v>14201</v>
      </c>
      <c r="I7911" t="s">
        <v>6993</v>
      </c>
      <c r="J7911" t="s">
        <v>37729</v>
      </c>
      <c r="K7911" t="s">
        <v>42630</v>
      </c>
      <c r="M7911" t="s">
        <v>45656</v>
      </c>
      <c r="N7911" t="s">
        <v>47304</v>
      </c>
      <c r="O7911" t="s">
        <v>47305</v>
      </c>
      <c r="P7911">
        <v>0</v>
      </c>
      <c r="Q7911">
        <v>0</v>
      </c>
      <c r="R7911" t="s">
        <v>47312</v>
      </c>
      <c r="S7911" t="s">
        <v>47489</v>
      </c>
      <c r="T7911" t="s">
        <v>49071</v>
      </c>
      <c r="U7911" t="s">
        <v>56137</v>
      </c>
      <c r="W7911" t="s">
        <v>45656</v>
      </c>
      <c r="X7911" t="s">
        <v>47313</v>
      </c>
    </row>
    <row r="7912" spans="1:24">
      <c r="A7912">
        <f>HYPERLINK("https://www.philgeps.gov.ph/GEPSNONPILOT/Tender/SplashBidNoticeAbstractUI.aspx?menuIndex=3&amp;refID=7187000&amp;Result=3","7187000")</f>
        <v>0</v>
      </c>
      <c r="B7912" t="s">
        <v>2520</v>
      </c>
      <c r="C7912" t="s">
        <v>11310</v>
      </c>
      <c r="D7912" t="s">
        <v>19018</v>
      </c>
      <c r="E7912" t="s">
        <v>25958</v>
      </c>
      <c r="F7912" t="s">
        <v>32606</v>
      </c>
      <c r="G7912" t="s">
        <v>32613</v>
      </c>
      <c r="H7912" t="s">
        <v>14201</v>
      </c>
      <c r="I7912" t="s">
        <v>32633</v>
      </c>
      <c r="J7912" t="s">
        <v>37730</v>
      </c>
      <c r="K7912" t="s">
        <v>42631</v>
      </c>
      <c r="M7912" t="s">
        <v>45661</v>
      </c>
      <c r="N7912" t="s">
        <v>47304</v>
      </c>
      <c r="O7912" t="s">
        <v>47305</v>
      </c>
      <c r="P7912">
        <v>0</v>
      </c>
      <c r="Q7912">
        <v>9</v>
      </c>
      <c r="R7912" t="s">
        <v>47312</v>
      </c>
      <c r="S7912" t="s">
        <v>47489</v>
      </c>
      <c r="T7912" t="s">
        <v>49009</v>
      </c>
      <c r="U7912" t="s">
        <v>56123</v>
      </c>
      <c r="W7912" t="s">
        <v>45661</v>
      </c>
      <c r="X7912" t="s">
        <v>47313</v>
      </c>
    </row>
    <row r="7913" spans="1:24">
      <c r="A7913">
        <f>HYPERLINK("https://www.philgeps.gov.ph/GEPSNONPILOT/Tender/SplashBidNoticeAbstractUI.aspx?menuIndex=3&amp;refID=7186913&amp;Result=3","7186913")</f>
        <v>0</v>
      </c>
      <c r="B7913" t="s">
        <v>362</v>
      </c>
      <c r="C7913" t="s">
        <v>11308</v>
      </c>
      <c r="D7913" t="s">
        <v>19023</v>
      </c>
      <c r="E7913" t="s">
        <v>25959</v>
      </c>
      <c r="F7913" t="s">
        <v>32606</v>
      </c>
      <c r="G7913" t="s">
        <v>32614</v>
      </c>
      <c r="H7913" t="s">
        <v>14201</v>
      </c>
      <c r="I7913" t="s">
        <v>6014</v>
      </c>
      <c r="J7913" t="s">
        <v>37731</v>
      </c>
      <c r="K7913" t="s">
        <v>42630</v>
      </c>
      <c r="M7913" t="s">
        <v>45656</v>
      </c>
      <c r="N7913" t="s">
        <v>47304</v>
      </c>
      <c r="O7913" t="s">
        <v>47305</v>
      </c>
      <c r="P7913">
        <v>0</v>
      </c>
      <c r="Q7913">
        <v>0</v>
      </c>
      <c r="R7913" t="s">
        <v>47312</v>
      </c>
      <c r="S7913" t="s">
        <v>47489</v>
      </c>
      <c r="T7913" t="s">
        <v>49071</v>
      </c>
      <c r="U7913" t="s">
        <v>56138</v>
      </c>
      <c r="W7913" t="s">
        <v>45656</v>
      </c>
      <c r="X7913" t="s">
        <v>47313</v>
      </c>
    </row>
    <row r="7914" spans="1:24">
      <c r="A7914">
        <f>HYPERLINK("https://www.philgeps.gov.ph/GEPSNONPILOT/Tender/SplashBidNoticeAbstractUI.aspx?menuIndex=3&amp;refID=7186912&amp;Result=3","7186912")</f>
        <v>0</v>
      </c>
      <c r="B7914" t="s">
        <v>362</v>
      </c>
      <c r="C7914" t="s">
        <v>11309</v>
      </c>
      <c r="D7914" t="s">
        <v>19023</v>
      </c>
      <c r="E7914" t="s">
        <v>25960</v>
      </c>
      <c r="F7914" t="s">
        <v>32606</v>
      </c>
      <c r="G7914" t="s">
        <v>32614</v>
      </c>
      <c r="H7914" t="s">
        <v>14201</v>
      </c>
      <c r="I7914" t="s">
        <v>6993</v>
      </c>
      <c r="J7914" t="s">
        <v>32752</v>
      </c>
      <c r="K7914" t="s">
        <v>42630</v>
      </c>
      <c r="M7914" t="s">
        <v>45656</v>
      </c>
      <c r="N7914" t="s">
        <v>47304</v>
      </c>
      <c r="O7914" t="s">
        <v>47305</v>
      </c>
      <c r="P7914">
        <v>0</v>
      </c>
      <c r="Q7914">
        <v>1</v>
      </c>
      <c r="R7914" t="s">
        <v>47312</v>
      </c>
      <c r="S7914" t="s">
        <v>47489</v>
      </c>
      <c r="T7914" t="s">
        <v>49071</v>
      </c>
      <c r="U7914" t="s">
        <v>56139</v>
      </c>
      <c r="W7914" t="s">
        <v>45656</v>
      </c>
      <c r="X7914" t="s">
        <v>47313</v>
      </c>
    </row>
    <row r="7915" spans="1:24">
      <c r="A7915">
        <f>HYPERLINK("https://www.philgeps.gov.ph/GEPSNONPILOT/Tender/SplashBidNoticeAbstractUI.aspx?menuIndex=3&amp;refID=7186910&amp;Result=3","7186910")</f>
        <v>0</v>
      </c>
      <c r="B7915" t="s">
        <v>362</v>
      </c>
      <c r="C7915" t="s">
        <v>11311</v>
      </c>
      <c r="D7915" t="s">
        <v>19023</v>
      </c>
      <c r="E7915" t="s">
        <v>25961</v>
      </c>
      <c r="F7915" t="s">
        <v>32606</v>
      </c>
      <c r="G7915" t="s">
        <v>32614</v>
      </c>
      <c r="H7915" t="s">
        <v>14201</v>
      </c>
      <c r="I7915" t="s">
        <v>32650</v>
      </c>
      <c r="J7915" t="s">
        <v>32833</v>
      </c>
      <c r="K7915" t="s">
        <v>42630</v>
      </c>
      <c r="M7915" t="s">
        <v>45656</v>
      </c>
      <c r="N7915" t="s">
        <v>47304</v>
      </c>
      <c r="O7915" t="s">
        <v>47305</v>
      </c>
      <c r="P7915">
        <v>0</v>
      </c>
      <c r="Q7915">
        <v>4</v>
      </c>
      <c r="R7915" t="s">
        <v>47312</v>
      </c>
      <c r="S7915" t="s">
        <v>47489</v>
      </c>
      <c r="T7915" t="s">
        <v>49071</v>
      </c>
      <c r="U7915" t="s">
        <v>56140</v>
      </c>
      <c r="W7915" t="s">
        <v>45656</v>
      </c>
      <c r="X7915" t="s">
        <v>47313</v>
      </c>
    </row>
    <row r="7916" spans="1:24">
      <c r="A7916">
        <f>HYPERLINK("https://www.philgeps.gov.ph/GEPSNONPILOT/Tender/SplashBidNoticeAbstractUI.aspx?menuIndex=3&amp;refID=7187004&amp;Result=3","7187004")</f>
        <v>0</v>
      </c>
      <c r="B7916" t="s">
        <v>220</v>
      </c>
      <c r="C7916" t="s">
        <v>4640</v>
      </c>
      <c r="D7916" t="s">
        <v>19046</v>
      </c>
      <c r="E7916" t="s">
        <v>25962</v>
      </c>
      <c r="F7916" t="s">
        <v>32606</v>
      </c>
      <c r="G7916" t="s">
        <v>32613</v>
      </c>
      <c r="H7916" t="s">
        <v>14201</v>
      </c>
      <c r="I7916" t="s">
        <v>4678</v>
      </c>
      <c r="J7916" t="s">
        <v>32990</v>
      </c>
      <c r="K7916" t="s">
        <v>42622</v>
      </c>
      <c r="M7916" t="s">
        <v>43121</v>
      </c>
      <c r="N7916" t="s">
        <v>47304</v>
      </c>
      <c r="O7916" t="s">
        <v>47305</v>
      </c>
      <c r="P7916">
        <v>0</v>
      </c>
      <c r="Q7916">
        <v>2</v>
      </c>
      <c r="R7916" t="s">
        <v>47312</v>
      </c>
      <c r="S7916" t="s">
        <v>47489</v>
      </c>
      <c r="T7916" t="s">
        <v>49068</v>
      </c>
      <c r="U7916" t="s">
        <v>56141</v>
      </c>
      <c r="W7916" t="s">
        <v>43121</v>
      </c>
      <c r="X7916" t="s">
        <v>47313</v>
      </c>
    </row>
    <row r="7917" spans="1:24">
      <c r="A7917">
        <f>HYPERLINK("https://www.philgeps.gov.ph/GEPSNONPILOT/Tender/SplashBidNoticeAbstractUI.aspx?menuIndex=3&amp;refID=7186954&amp;Result=3","7186954")</f>
        <v>0</v>
      </c>
      <c r="B7917" t="s">
        <v>2510</v>
      </c>
      <c r="C7917" t="s">
        <v>11312</v>
      </c>
      <c r="D7917" t="s">
        <v>18993</v>
      </c>
      <c r="E7917" t="s">
        <v>25963</v>
      </c>
      <c r="F7917" t="s">
        <v>32606</v>
      </c>
      <c r="G7917" t="s">
        <v>32619</v>
      </c>
      <c r="H7917" t="s">
        <v>14201</v>
      </c>
      <c r="I7917" t="s">
        <v>6298</v>
      </c>
      <c r="J7917" t="s">
        <v>35226</v>
      </c>
      <c r="K7917" t="s">
        <v>42624</v>
      </c>
      <c r="M7917" t="s">
        <v>45650</v>
      </c>
      <c r="N7917" t="s">
        <v>47304</v>
      </c>
      <c r="O7917" t="s">
        <v>47305</v>
      </c>
      <c r="P7917">
        <v>0</v>
      </c>
      <c r="Q7917">
        <v>0</v>
      </c>
      <c r="R7917" t="s">
        <v>47312</v>
      </c>
      <c r="S7917" t="s">
        <v>47489</v>
      </c>
      <c r="T7917" t="s">
        <v>49072</v>
      </c>
      <c r="U7917" t="s">
        <v>56142</v>
      </c>
      <c r="W7917" t="s">
        <v>45650</v>
      </c>
      <c r="X7917" t="s">
        <v>47313</v>
      </c>
    </row>
    <row r="7918" spans="1:24">
      <c r="A7918">
        <f>HYPERLINK("https://www.philgeps.gov.ph/GEPSNONPILOT/Tender/SplashBidNoticeAbstractUI.aspx?menuIndex=3&amp;refID=7187078&amp;Result=3","7187078")</f>
        <v>0</v>
      </c>
      <c r="B7918" t="s">
        <v>2524</v>
      </c>
      <c r="C7918" t="s">
        <v>11313</v>
      </c>
      <c r="D7918" t="s">
        <v>18988</v>
      </c>
      <c r="E7918" t="s">
        <v>19232</v>
      </c>
      <c r="F7918" t="s">
        <v>32606</v>
      </c>
      <c r="G7918" t="s">
        <v>32613</v>
      </c>
      <c r="H7918" t="s">
        <v>14201</v>
      </c>
      <c r="I7918" t="s">
        <v>6931</v>
      </c>
      <c r="J7918" t="s">
        <v>37732</v>
      </c>
      <c r="K7918" t="s">
        <v>42622</v>
      </c>
      <c r="M7918" t="s">
        <v>45665</v>
      </c>
      <c r="N7918" t="s">
        <v>47304</v>
      </c>
      <c r="O7918" t="s">
        <v>47305</v>
      </c>
      <c r="P7918">
        <v>0</v>
      </c>
      <c r="Q7918">
        <v>0</v>
      </c>
      <c r="R7918" t="s">
        <v>47312</v>
      </c>
      <c r="S7918" t="s">
        <v>47489</v>
      </c>
      <c r="T7918" t="s">
        <v>49040</v>
      </c>
      <c r="U7918" t="s">
        <v>56143</v>
      </c>
      <c r="W7918" t="s">
        <v>45665</v>
      </c>
      <c r="X7918" t="s">
        <v>47313</v>
      </c>
    </row>
    <row r="7919" spans="1:24">
      <c r="A7919">
        <f>HYPERLINK("https://www.philgeps.gov.ph/GEPSNONPILOT/Tender/SplashBidNoticeAbstractUI.aspx?menuIndex=3&amp;refID=7187044&amp;Result=3","7187044")</f>
        <v>0</v>
      </c>
      <c r="B7919" t="s">
        <v>2526</v>
      </c>
      <c r="C7919" t="s">
        <v>3942</v>
      </c>
      <c r="D7919" t="s">
        <v>19000</v>
      </c>
      <c r="E7919" t="s">
        <v>25964</v>
      </c>
      <c r="F7919" t="s">
        <v>32606</v>
      </c>
      <c r="G7919" t="s">
        <v>32613</v>
      </c>
      <c r="H7919" t="s">
        <v>32623</v>
      </c>
      <c r="I7919" t="s">
        <v>17648</v>
      </c>
      <c r="J7919" t="s">
        <v>32752</v>
      </c>
      <c r="K7919" t="s">
        <v>42630</v>
      </c>
      <c r="M7919" t="s">
        <v>42943</v>
      </c>
      <c r="N7919" t="s">
        <v>47304</v>
      </c>
      <c r="O7919" t="s">
        <v>47305</v>
      </c>
      <c r="P7919">
        <v>0</v>
      </c>
      <c r="Q7919">
        <v>0</v>
      </c>
      <c r="R7919" t="s">
        <v>47312</v>
      </c>
      <c r="S7919" t="s">
        <v>47489</v>
      </c>
      <c r="T7919" t="s">
        <v>48998</v>
      </c>
      <c r="U7919" t="s">
        <v>56144</v>
      </c>
      <c r="W7919" t="s">
        <v>42943</v>
      </c>
      <c r="X7919" t="s">
        <v>47313</v>
      </c>
    </row>
    <row r="7920" spans="1:24">
      <c r="A7920">
        <f>HYPERLINK("https://www.philgeps.gov.ph/GEPSNONPILOT/Tender/SplashBidNoticeAbstractUI.aspx?menuIndex=3&amp;refID=7187074&amp;Result=3","7187074")</f>
        <v>0</v>
      </c>
      <c r="B7920" t="s">
        <v>521</v>
      </c>
      <c r="C7920" t="s">
        <v>11314</v>
      </c>
      <c r="D7920" t="s">
        <v>18992</v>
      </c>
      <c r="E7920" t="s">
        <v>25965</v>
      </c>
      <c r="F7920" t="s">
        <v>32606</v>
      </c>
      <c r="G7920" t="s">
        <v>32613</v>
      </c>
      <c r="H7920" t="s">
        <v>14201</v>
      </c>
      <c r="I7920" t="s">
        <v>6993</v>
      </c>
      <c r="J7920" t="s">
        <v>37733</v>
      </c>
      <c r="K7920" t="s">
        <v>42677</v>
      </c>
      <c r="M7920" t="s">
        <v>43434</v>
      </c>
      <c r="N7920" t="s">
        <v>47304</v>
      </c>
      <c r="O7920" t="s">
        <v>47305</v>
      </c>
      <c r="P7920">
        <v>0</v>
      </c>
      <c r="Q7920">
        <v>0</v>
      </c>
      <c r="R7920" t="s">
        <v>47312</v>
      </c>
      <c r="S7920" t="s">
        <v>47489</v>
      </c>
      <c r="T7920" t="s">
        <v>48998</v>
      </c>
      <c r="U7920" t="s">
        <v>50473</v>
      </c>
      <c r="W7920" t="s">
        <v>43434</v>
      </c>
      <c r="X7920" t="s">
        <v>47313</v>
      </c>
    </row>
    <row r="7921" spans="1:24">
      <c r="A7921">
        <f>HYPERLINK("https://www.philgeps.gov.ph/GEPSNONPILOT/Tender/SplashBidNoticeAbstractUI.aspx?menuIndex=3&amp;refID=7186911&amp;Result=3","7186911")</f>
        <v>0</v>
      </c>
      <c r="B7921" t="s">
        <v>362</v>
      </c>
      <c r="C7921" t="s">
        <v>11315</v>
      </c>
      <c r="D7921" t="s">
        <v>19023</v>
      </c>
      <c r="E7921" t="s">
        <v>25966</v>
      </c>
      <c r="F7921" t="s">
        <v>32606</v>
      </c>
      <c r="G7921" t="s">
        <v>32614</v>
      </c>
      <c r="H7921" t="s">
        <v>14201</v>
      </c>
      <c r="I7921" t="s">
        <v>32678</v>
      </c>
      <c r="J7921" t="s">
        <v>33169</v>
      </c>
      <c r="K7921" t="s">
        <v>42630</v>
      </c>
      <c r="M7921" t="s">
        <v>45656</v>
      </c>
      <c r="N7921" t="s">
        <v>47304</v>
      </c>
      <c r="O7921" t="s">
        <v>47305</v>
      </c>
      <c r="P7921">
        <v>0</v>
      </c>
      <c r="Q7921">
        <v>0</v>
      </c>
      <c r="R7921" t="s">
        <v>47312</v>
      </c>
      <c r="S7921" t="s">
        <v>47489</v>
      </c>
      <c r="T7921" t="s">
        <v>49071</v>
      </c>
      <c r="U7921" t="s">
        <v>56145</v>
      </c>
      <c r="W7921" t="s">
        <v>45656</v>
      </c>
      <c r="X7921" t="s">
        <v>47313</v>
      </c>
    </row>
    <row r="7922" spans="1:24">
      <c r="A7922">
        <f>HYPERLINK("https://www.philgeps.gov.ph/GEPSNONPILOT/Tender/SplashBidNoticeAbstractUI.aspx?menuIndex=3&amp;refID=7187072&amp;Result=3","7187072")</f>
        <v>0</v>
      </c>
      <c r="B7922" t="s">
        <v>2505</v>
      </c>
      <c r="C7922" t="s">
        <v>11316</v>
      </c>
      <c r="D7922" t="s">
        <v>19007</v>
      </c>
      <c r="E7922" t="s">
        <v>25893</v>
      </c>
      <c r="F7922" t="s">
        <v>32606</v>
      </c>
      <c r="G7922" t="s">
        <v>32613</v>
      </c>
      <c r="H7922" t="s">
        <v>32623</v>
      </c>
      <c r="I7922" t="s">
        <v>17648</v>
      </c>
      <c r="J7922" t="s">
        <v>37734</v>
      </c>
      <c r="K7922" t="s">
        <v>42636</v>
      </c>
      <c r="M7922" t="s">
        <v>45644</v>
      </c>
      <c r="N7922" t="s">
        <v>47304</v>
      </c>
      <c r="O7922" t="s">
        <v>47305</v>
      </c>
      <c r="P7922">
        <v>0</v>
      </c>
      <c r="Q7922">
        <v>1</v>
      </c>
      <c r="R7922" t="s">
        <v>47312</v>
      </c>
      <c r="S7922" t="s">
        <v>47489</v>
      </c>
      <c r="T7922" t="s">
        <v>49077</v>
      </c>
      <c r="U7922" t="s">
        <v>56075</v>
      </c>
      <c r="V7922" t="s">
        <v>63419</v>
      </c>
      <c r="W7922" t="s">
        <v>45644</v>
      </c>
      <c r="X7922" t="s">
        <v>47313</v>
      </c>
    </row>
    <row r="7923" spans="1:24">
      <c r="A7923">
        <f>HYPERLINK("https://www.philgeps.gov.ph/GEPSNONPILOT/Tender/SplashBidNoticeAbstractUI.aspx?menuIndex=3&amp;refID=7187068&amp;Result=3","7187068")</f>
        <v>0</v>
      </c>
      <c r="B7923" t="s">
        <v>2289</v>
      </c>
      <c r="C7923" t="s">
        <v>11317</v>
      </c>
      <c r="E7923" t="s">
        <v>25967</v>
      </c>
      <c r="F7923" t="s">
        <v>32606</v>
      </c>
      <c r="G7923" t="s">
        <v>32613</v>
      </c>
      <c r="H7923" t="s">
        <v>14201</v>
      </c>
      <c r="I7923" t="s">
        <v>4120</v>
      </c>
      <c r="J7923" t="s">
        <v>37735</v>
      </c>
      <c r="K7923" t="s">
        <v>42623</v>
      </c>
      <c r="M7923" t="s">
        <v>45394</v>
      </c>
      <c r="N7923" t="s">
        <v>47304</v>
      </c>
      <c r="O7923" t="s">
        <v>47305</v>
      </c>
      <c r="P7923">
        <v>0</v>
      </c>
      <c r="Q7923">
        <v>0</v>
      </c>
      <c r="R7923" t="s">
        <v>47312</v>
      </c>
      <c r="S7923" t="s">
        <v>47489</v>
      </c>
      <c r="T7923" t="s">
        <v>48987</v>
      </c>
      <c r="U7923" t="s">
        <v>55319</v>
      </c>
      <c r="W7923" t="s">
        <v>45394</v>
      </c>
      <c r="X7923" t="s">
        <v>47313</v>
      </c>
    </row>
    <row r="7924" spans="1:24">
      <c r="A7924">
        <f>HYPERLINK("https://www.philgeps.gov.ph/GEPSNONPILOT/Tender/SplashBidNoticeAbstractUI.aspx?menuIndex=3&amp;refID=7187043&amp;Result=3","7187043")</f>
        <v>0</v>
      </c>
      <c r="B7924" t="s">
        <v>2524</v>
      </c>
      <c r="C7924" t="s">
        <v>11318</v>
      </c>
      <c r="D7924" t="s">
        <v>18988</v>
      </c>
      <c r="E7924" t="s">
        <v>19835</v>
      </c>
      <c r="F7924" t="s">
        <v>32606</v>
      </c>
      <c r="G7924" t="s">
        <v>32613</v>
      </c>
      <c r="H7924" t="s">
        <v>14201</v>
      </c>
      <c r="I7924" t="s">
        <v>32655</v>
      </c>
      <c r="J7924" t="s">
        <v>37727</v>
      </c>
      <c r="K7924" t="s">
        <v>42623</v>
      </c>
      <c r="M7924" t="s">
        <v>45665</v>
      </c>
      <c r="N7924" t="s">
        <v>47304</v>
      </c>
      <c r="O7924" t="s">
        <v>47305</v>
      </c>
      <c r="P7924">
        <v>0</v>
      </c>
      <c r="Q7924">
        <v>4</v>
      </c>
      <c r="R7924" t="s">
        <v>47312</v>
      </c>
      <c r="S7924" t="s">
        <v>47489</v>
      </c>
      <c r="T7924" t="s">
        <v>49040</v>
      </c>
      <c r="U7924" t="s">
        <v>56146</v>
      </c>
      <c r="W7924" t="s">
        <v>45665</v>
      </c>
      <c r="X7924" t="s">
        <v>47313</v>
      </c>
    </row>
    <row r="7925" spans="1:24">
      <c r="A7925">
        <f>HYPERLINK("https://www.philgeps.gov.ph/GEPSNONPILOT/Tender/SplashBidNoticeAbstractUI.aspx?menuIndex=3&amp;refID=7187062&amp;Result=3","7187062")</f>
        <v>0</v>
      </c>
      <c r="B7925" t="s">
        <v>998</v>
      </c>
      <c r="C7925" t="s">
        <v>11319</v>
      </c>
      <c r="D7925" t="s">
        <v>19009</v>
      </c>
      <c r="E7925" t="s">
        <v>25968</v>
      </c>
      <c r="F7925" t="s">
        <v>32606</v>
      </c>
      <c r="G7925" t="s">
        <v>32613</v>
      </c>
      <c r="H7925" t="s">
        <v>14201</v>
      </c>
      <c r="I7925" t="s">
        <v>32664</v>
      </c>
      <c r="J7925" t="s">
        <v>33071</v>
      </c>
      <c r="K7925" t="s">
        <v>42639</v>
      </c>
      <c r="M7925" t="s">
        <v>43946</v>
      </c>
      <c r="N7925" t="s">
        <v>47304</v>
      </c>
      <c r="O7925" t="s">
        <v>47305</v>
      </c>
      <c r="P7925">
        <v>0</v>
      </c>
      <c r="Q7925">
        <v>6</v>
      </c>
      <c r="R7925" t="s">
        <v>47312</v>
      </c>
      <c r="S7925" t="s">
        <v>47489</v>
      </c>
      <c r="T7925" t="s">
        <v>49234</v>
      </c>
      <c r="U7925" t="s">
        <v>56147</v>
      </c>
      <c r="W7925" t="s">
        <v>43946</v>
      </c>
      <c r="X7925" t="s">
        <v>47313</v>
      </c>
    </row>
    <row r="7926" spans="1:24">
      <c r="A7926">
        <f>HYPERLINK("https://www.philgeps.gov.ph/GEPSNONPILOT/Tender/SplashBidNoticeAbstractUI.aspx?menuIndex=3&amp;refID=7187075&amp;Result=3","7187075")</f>
        <v>0</v>
      </c>
      <c r="B7926" t="s">
        <v>2527</v>
      </c>
      <c r="C7926" t="s">
        <v>11320</v>
      </c>
      <c r="D7926" t="s">
        <v>19024</v>
      </c>
      <c r="E7926" t="s">
        <v>25969</v>
      </c>
      <c r="F7926" t="s">
        <v>32606</v>
      </c>
      <c r="G7926" t="s">
        <v>32613</v>
      </c>
      <c r="H7926" t="s">
        <v>14201</v>
      </c>
      <c r="I7926" t="s">
        <v>7677</v>
      </c>
      <c r="J7926" t="s">
        <v>32789</v>
      </c>
      <c r="K7926" t="s">
        <v>42623</v>
      </c>
      <c r="M7926" t="s">
        <v>45667</v>
      </c>
      <c r="N7926" t="s">
        <v>47304</v>
      </c>
      <c r="O7926" t="s">
        <v>47305</v>
      </c>
      <c r="P7926">
        <v>0</v>
      </c>
      <c r="Q7926">
        <v>5</v>
      </c>
      <c r="R7926" t="s">
        <v>47312</v>
      </c>
      <c r="S7926" t="s">
        <v>47489</v>
      </c>
      <c r="T7926" t="s">
        <v>48977</v>
      </c>
      <c r="U7926" t="s">
        <v>56148</v>
      </c>
      <c r="V7926" t="s">
        <v>56148</v>
      </c>
      <c r="W7926" t="s">
        <v>45667</v>
      </c>
      <c r="X7926" t="s">
        <v>47313</v>
      </c>
    </row>
    <row r="7927" spans="1:24">
      <c r="A7927">
        <f>HYPERLINK("https://www.philgeps.gov.ph/GEPSNONPILOT/Tender/SplashBidNoticeAbstractUI.aspx?menuIndex=3&amp;refID=7187060&amp;Result=3","7187060")</f>
        <v>0</v>
      </c>
      <c r="B7927" t="s">
        <v>2528</v>
      </c>
      <c r="C7927" t="s">
        <v>11321</v>
      </c>
      <c r="D7927" t="s">
        <v>19007</v>
      </c>
      <c r="E7927" t="s">
        <v>24390</v>
      </c>
      <c r="F7927" t="s">
        <v>32606</v>
      </c>
      <c r="G7927" t="s">
        <v>32613</v>
      </c>
      <c r="H7927" t="s">
        <v>32623</v>
      </c>
      <c r="I7927" t="s">
        <v>17648</v>
      </c>
      <c r="J7927" t="s">
        <v>32923</v>
      </c>
      <c r="K7927" t="s">
        <v>42631</v>
      </c>
      <c r="M7927" t="s">
        <v>45668</v>
      </c>
      <c r="N7927" t="s">
        <v>47304</v>
      </c>
      <c r="O7927" t="s">
        <v>47305</v>
      </c>
      <c r="P7927">
        <v>0</v>
      </c>
      <c r="Q7927">
        <v>2</v>
      </c>
      <c r="R7927" t="s">
        <v>47312</v>
      </c>
      <c r="S7927" t="s">
        <v>47489</v>
      </c>
      <c r="T7927" t="s">
        <v>48971</v>
      </c>
      <c r="U7927" t="s">
        <v>56149</v>
      </c>
      <c r="W7927" t="s">
        <v>45668</v>
      </c>
      <c r="X7927" t="s">
        <v>47313</v>
      </c>
    </row>
    <row r="7928" spans="1:24">
      <c r="A7928">
        <f>HYPERLINK("https://www.philgeps.gov.ph/GEPSNONPILOT/Tender/SplashBidNoticeAbstractUI.aspx?menuIndex=3&amp;refID=7187090&amp;Result=3","7187090")</f>
        <v>0</v>
      </c>
      <c r="B7928" t="s">
        <v>2505</v>
      </c>
      <c r="C7928" t="s">
        <v>11322</v>
      </c>
      <c r="D7928" t="s">
        <v>19007</v>
      </c>
      <c r="E7928" t="s">
        <v>25893</v>
      </c>
      <c r="F7928" t="s">
        <v>32606</v>
      </c>
      <c r="G7928" t="s">
        <v>32613</v>
      </c>
      <c r="H7928" t="s">
        <v>32623</v>
      </c>
      <c r="I7928" t="s">
        <v>17648</v>
      </c>
      <c r="J7928" t="s">
        <v>37734</v>
      </c>
      <c r="K7928" t="s">
        <v>42636</v>
      </c>
      <c r="M7928" t="s">
        <v>45644</v>
      </c>
      <c r="N7928" t="s">
        <v>47304</v>
      </c>
      <c r="O7928" t="s">
        <v>47305</v>
      </c>
      <c r="P7928">
        <v>0</v>
      </c>
      <c r="Q7928">
        <v>1</v>
      </c>
      <c r="R7928" t="s">
        <v>47312</v>
      </c>
      <c r="S7928" t="s">
        <v>47489</v>
      </c>
      <c r="T7928" t="s">
        <v>49077</v>
      </c>
      <c r="U7928" t="s">
        <v>56075</v>
      </c>
      <c r="V7928" t="s">
        <v>63420</v>
      </c>
      <c r="W7928" t="s">
        <v>45644</v>
      </c>
      <c r="X7928" t="s">
        <v>47313</v>
      </c>
    </row>
    <row r="7929" spans="1:24">
      <c r="A7929">
        <f>HYPERLINK("https://www.philgeps.gov.ph/GEPSNONPILOT/Tender/SplashBidNoticeAbstractUI.aspx?menuIndex=3&amp;refID=7187006&amp;Result=3","7187006")</f>
        <v>0</v>
      </c>
      <c r="B7929" t="s">
        <v>2529</v>
      </c>
      <c r="C7929" t="s">
        <v>11323</v>
      </c>
      <c r="D7929" t="s">
        <v>19032</v>
      </c>
      <c r="E7929" t="s">
        <v>19690</v>
      </c>
      <c r="F7929" t="s">
        <v>32606</v>
      </c>
      <c r="G7929" t="s">
        <v>32613</v>
      </c>
      <c r="H7929" t="s">
        <v>32623</v>
      </c>
      <c r="I7929" t="s">
        <v>17648</v>
      </c>
      <c r="J7929" t="s">
        <v>37736</v>
      </c>
      <c r="K7929" t="s">
        <v>42631</v>
      </c>
      <c r="M7929" t="s">
        <v>45669</v>
      </c>
      <c r="N7929" t="s">
        <v>47304</v>
      </c>
      <c r="O7929" t="s">
        <v>47305</v>
      </c>
      <c r="P7929">
        <v>0</v>
      </c>
      <c r="Q7929">
        <v>0</v>
      </c>
      <c r="R7929" t="s">
        <v>47312</v>
      </c>
      <c r="S7929" t="s">
        <v>47489</v>
      </c>
      <c r="T7929" t="s">
        <v>49000</v>
      </c>
      <c r="U7929" t="s">
        <v>56150</v>
      </c>
      <c r="W7929" t="s">
        <v>45669</v>
      </c>
      <c r="X7929" t="s">
        <v>47313</v>
      </c>
    </row>
    <row r="7930" spans="1:24">
      <c r="A7930">
        <f>HYPERLINK("https://www.philgeps.gov.ph/GEPSNONPILOT/Tender/SplashBidNoticeAbstractUI.aspx?menuIndex=3&amp;refID=7187073&amp;Result=3","7187073")</f>
        <v>0</v>
      </c>
      <c r="B7930" t="s">
        <v>2530</v>
      </c>
      <c r="C7930" t="s">
        <v>11324</v>
      </c>
      <c r="D7930" t="s">
        <v>19040</v>
      </c>
      <c r="E7930" t="s">
        <v>25970</v>
      </c>
      <c r="F7930" t="s">
        <v>32606</v>
      </c>
      <c r="G7930" t="s">
        <v>32614</v>
      </c>
      <c r="H7930" t="s">
        <v>14201</v>
      </c>
      <c r="I7930" t="s">
        <v>8682</v>
      </c>
      <c r="J7930" t="s">
        <v>37737</v>
      </c>
      <c r="K7930" t="s">
        <v>42623</v>
      </c>
      <c r="M7930" t="s">
        <v>45670</v>
      </c>
      <c r="N7930" t="s">
        <v>47304</v>
      </c>
      <c r="O7930" t="s">
        <v>47305</v>
      </c>
      <c r="P7930">
        <v>0</v>
      </c>
      <c r="Q7930">
        <v>7</v>
      </c>
      <c r="R7930" t="s">
        <v>47312</v>
      </c>
      <c r="S7930" t="s">
        <v>47489</v>
      </c>
      <c r="T7930" t="s">
        <v>49000</v>
      </c>
      <c r="U7930" t="s">
        <v>56151</v>
      </c>
      <c r="V7930" t="s">
        <v>63421</v>
      </c>
      <c r="W7930" t="s">
        <v>45670</v>
      </c>
      <c r="X7930" t="s">
        <v>47313</v>
      </c>
    </row>
    <row r="7931" spans="1:24">
      <c r="A7931">
        <f>HYPERLINK("https://www.philgeps.gov.ph/GEPSNONPILOT/Tender/SplashBidNoticeAbstractUI.aspx?menuIndex=3&amp;refID=7186955&amp;Result=3","7186955")</f>
        <v>0</v>
      </c>
      <c r="B7931" t="s">
        <v>2531</v>
      </c>
      <c r="C7931" t="s">
        <v>11325</v>
      </c>
      <c r="D7931" t="s">
        <v>18993</v>
      </c>
      <c r="E7931" t="s">
        <v>25971</v>
      </c>
      <c r="F7931" t="s">
        <v>32606</v>
      </c>
      <c r="G7931" t="s">
        <v>32614</v>
      </c>
      <c r="H7931" t="s">
        <v>14201</v>
      </c>
      <c r="I7931" t="s">
        <v>32691</v>
      </c>
      <c r="J7931" t="s">
        <v>37738</v>
      </c>
      <c r="K7931" t="s">
        <v>42624</v>
      </c>
      <c r="M7931" t="s">
        <v>45671</v>
      </c>
      <c r="N7931" t="s">
        <v>47304</v>
      </c>
      <c r="O7931" t="s">
        <v>47305</v>
      </c>
      <c r="P7931">
        <v>0</v>
      </c>
      <c r="Q7931">
        <v>2</v>
      </c>
      <c r="R7931" t="s">
        <v>47312</v>
      </c>
      <c r="S7931" t="s">
        <v>47489</v>
      </c>
      <c r="T7931" t="s">
        <v>48980</v>
      </c>
      <c r="U7931" t="s">
        <v>56152</v>
      </c>
      <c r="W7931" t="s">
        <v>45671</v>
      </c>
      <c r="X7931" t="s">
        <v>47313</v>
      </c>
    </row>
    <row r="7932" spans="1:24">
      <c r="A7932">
        <f>HYPERLINK("https://www.philgeps.gov.ph/GEPSNONPILOT/Tender/SplashBidNoticeAbstractUI.aspx?menuIndex=3&amp;refID=7187089&amp;Result=3","7187089")</f>
        <v>0</v>
      </c>
      <c r="B7932" t="s">
        <v>2532</v>
      </c>
      <c r="C7932" t="s">
        <v>11326</v>
      </c>
      <c r="D7932" t="s">
        <v>19004</v>
      </c>
      <c r="E7932" t="s">
        <v>25972</v>
      </c>
      <c r="F7932" t="s">
        <v>32606</v>
      </c>
      <c r="G7932" t="s">
        <v>32613</v>
      </c>
      <c r="H7932" t="s">
        <v>32623</v>
      </c>
      <c r="I7932" t="s">
        <v>17648</v>
      </c>
      <c r="J7932" t="s">
        <v>34190</v>
      </c>
      <c r="K7932" t="s">
        <v>42637</v>
      </c>
      <c r="M7932" t="s">
        <v>45672</v>
      </c>
      <c r="N7932" t="s">
        <v>47304</v>
      </c>
      <c r="O7932" t="s">
        <v>47305</v>
      </c>
      <c r="P7932">
        <v>0</v>
      </c>
      <c r="Q7932">
        <v>0</v>
      </c>
      <c r="R7932" t="s">
        <v>47312</v>
      </c>
      <c r="S7932" t="s">
        <v>47489</v>
      </c>
      <c r="T7932" t="s">
        <v>48980</v>
      </c>
      <c r="U7932" t="s">
        <v>56153</v>
      </c>
      <c r="W7932" t="s">
        <v>45672</v>
      </c>
      <c r="X7932" t="s">
        <v>47313</v>
      </c>
    </row>
    <row r="7933" spans="1:24">
      <c r="A7933">
        <f>HYPERLINK("https://www.philgeps.gov.ph/GEPSNONPILOT/Tender/SplashBidNoticeAbstractUI.aspx?menuIndex=3&amp;refID=7187087&amp;Result=3","7187087")</f>
        <v>0</v>
      </c>
      <c r="B7933" t="s">
        <v>2533</v>
      </c>
      <c r="C7933" t="s">
        <v>11327</v>
      </c>
      <c r="D7933" t="s">
        <v>18988</v>
      </c>
      <c r="E7933" t="s">
        <v>25973</v>
      </c>
      <c r="F7933" t="s">
        <v>32606</v>
      </c>
      <c r="G7933" t="s">
        <v>32614</v>
      </c>
      <c r="H7933" t="s">
        <v>14201</v>
      </c>
      <c r="I7933" t="s">
        <v>6931</v>
      </c>
      <c r="J7933" t="s">
        <v>37739</v>
      </c>
      <c r="K7933" t="s">
        <v>42623</v>
      </c>
      <c r="M7933" t="s">
        <v>45673</v>
      </c>
      <c r="N7933" t="s">
        <v>47304</v>
      </c>
      <c r="O7933" t="s">
        <v>47305</v>
      </c>
      <c r="P7933">
        <v>0</v>
      </c>
      <c r="Q7933">
        <v>3</v>
      </c>
      <c r="R7933" t="s">
        <v>47312</v>
      </c>
      <c r="S7933" t="s">
        <v>47489</v>
      </c>
      <c r="T7933" t="s">
        <v>49006</v>
      </c>
      <c r="U7933" t="s">
        <v>56154</v>
      </c>
      <c r="W7933" t="s">
        <v>45673</v>
      </c>
      <c r="X7933" t="s">
        <v>47313</v>
      </c>
    </row>
    <row r="7934" spans="1:24">
      <c r="A7934">
        <f>HYPERLINK("https://www.philgeps.gov.ph/GEPSNONPILOT/Tender/SplashBidNoticeAbstractUI.aspx?menuIndex=3&amp;refID=7187054&amp;Result=3","7187054")</f>
        <v>0</v>
      </c>
      <c r="B7934" t="s">
        <v>2534</v>
      </c>
      <c r="C7934" t="s">
        <v>11328</v>
      </c>
      <c r="D7934" t="s">
        <v>19003</v>
      </c>
      <c r="E7934" t="s">
        <v>25974</v>
      </c>
      <c r="F7934" t="s">
        <v>32606</v>
      </c>
      <c r="G7934" t="s">
        <v>32614</v>
      </c>
      <c r="H7934" t="s">
        <v>14201</v>
      </c>
      <c r="I7934" t="s">
        <v>32640</v>
      </c>
      <c r="J7934" t="s">
        <v>33195</v>
      </c>
      <c r="K7934" t="s">
        <v>42623</v>
      </c>
      <c r="M7934" t="s">
        <v>45674</v>
      </c>
      <c r="N7934" t="s">
        <v>47304</v>
      </c>
      <c r="O7934" t="s">
        <v>47305</v>
      </c>
      <c r="P7934">
        <v>0</v>
      </c>
      <c r="Q7934">
        <v>2</v>
      </c>
      <c r="R7934" t="s">
        <v>47312</v>
      </c>
      <c r="S7934" t="s">
        <v>47489</v>
      </c>
      <c r="T7934" t="s">
        <v>49165</v>
      </c>
      <c r="U7934" t="s">
        <v>56155</v>
      </c>
      <c r="W7934" t="s">
        <v>45674</v>
      </c>
      <c r="X7934" t="s">
        <v>47313</v>
      </c>
    </row>
    <row r="7935" spans="1:24">
      <c r="A7935">
        <f>HYPERLINK("https://www.philgeps.gov.ph/GEPSNONPILOT/Tender/SplashBidNoticeAbstractUI.aspx?menuIndex=3&amp;refID=7187047&amp;Result=3","7187047")</f>
        <v>0</v>
      </c>
      <c r="B7935" t="s">
        <v>2535</v>
      </c>
      <c r="C7935" t="s">
        <v>11329</v>
      </c>
      <c r="D7935" t="s">
        <v>19065</v>
      </c>
      <c r="E7935" t="s">
        <v>21264</v>
      </c>
      <c r="F7935" t="s">
        <v>32606</v>
      </c>
      <c r="G7935" t="s">
        <v>32613</v>
      </c>
      <c r="H7935" t="s">
        <v>32623</v>
      </c>
      <c r="I7935" t="s">
        <v>32626</v>
      </c>
      <c r="J7935" t="s">
        <v>37740</v>
      </c>
      <c r="K7935" t="s">
        <v>42807</v>
      </c>
      <c r="M7935" t="s">
        <v>45675</v>
      </c>
      <c r="N7935" t="s">
        <v>47304</v>
      </c>
      <c r="O7935" t="s">
        <v>47305</v>
      </c>
      <c r="P7935">
        <v>0</v>
      </c>
      <c r="Q7935">
        <v>0</v>
      </c>
      <c r="R7935" t="s">
        <v>47312</v>
      </c>
      <c r="S7935" t="s">
        <v>47489</v>
      </c>
      <c r="T7935" t="s">
        <v>49379</v>
      </c>
      <c r="U7935" t="s">
        <v>56156</v>
      </c>
      <c r="W7935" t="s">
        <v>45675</v>
      </c>
      <c r="X7935" t="s">
        <v>47313</v>
      </c>
    </row>
    <row r="7936" spans="1:24">
      <c r="A7936">
        <f>HYPERLINK("https://www.philgeps.gov.ph/GEPSNONPILOT/Tender/SplashBidNoticeAbstractUI.aspx?menuIndex=3&amp;refID=7187039&amp;Result=3","7187039")</f>
        <v>0</v>
      </c>
      <c r="B7936" t="s">
        <v>521</v>
      </c>
      <c r="C7936" t="s">
        <v>11330</v>
      </c>
      <c r="D7936" t="s">
        <v>18992</v>
      </c>
      <c r="E7936" t="s">
        <v>25975</v>
      </c>
      <c r="F7936" t="s">
        <v>32606</v>
      </c>
      <c r="G7936" t="s">
        <v>32613</v>
      </c>
      <c r="H7936" t="s">
        <v>14201</v>
      </c>
      <c r="I7936" t="s">
        <v>4678</v>
      </c>
      <c r="J7936" t="s">
        <v>37741</v>
      </c>
      <c r="K7936" t="s">
        <v>42677</v>
      </c>
      <c r="M7936" t="s">
        <v>43434</v>
      </c>
      <c r="N7936" t="s">
        <v>47304</v>
      </c>
      <c r="O7936" t="s">
        <v>47305</v>
      </c>
      <c r="P7936">
        <v>0</v>
      </c>
      <c r="Q7936">
        <v>3</v>
      </c>
      <c r="R7936" t="s">
        <v>47312</v>
      </c>
      <c r="S7936" t="s">
        <v>47489</v>
      </c>
      <c r="T7936" t="s">
        <v>48998</v>
      </c>
      <c r="U7936" t="s">
        <v>50473</v>
      </c>
      <c r="W7936" t="s">
        <v>43434</v>
      </c>
      <c r="X7936" t="s">
        <v>47313</v>
      </c>
    </row>
    <row r="7937" spans="1:24">
      <c r="A7937">
        <f>HYPERLINK("https://www.philgeps.gov.ph/GEPSNONPILOT/Tender/SplashBidNoticeAbstractUI.aspx?menuIndex=3&amp;refID=7187097&amp;Result=3","7187097")</f>
        <v>0</v>
      </c>
      <c r="B7937" t="s">
        <v>2524</v>
      </c>
      <c r="C7937" t="s">
        <v>11331</v>
      </c>
      <c r="D7937" t="s">
        <v>18988</v>
      </c>
      <c r="E7937" t="s">
        <v>19190</v>
      </c>
      <c r="F7937" t="s">
        <v>32606</v>
      </c>
      <c r="G7937" t="s">
        <v>32613</v>
      </c>
      <c r="H7937" t="s">
        <v>14201</v>
      </c>
      <c r="I7937" t="s">
        <v>6931</v>
      </c>
      <c r="J7937" t="s">
        <v>37742</v>
      </c>
      <c r="K7937" t="s">
        <v>42622</v>
      </c>
      <c r="M7937" t="s">
        <v>45665</v>
      </c>
      <c r="N7937" t="s">
        <v>47304</v>
      </c>
      <c r="O7937" t="s">
        <v>47305</v>
      </c>
      <c r="P7937">
        <v>0</v>
      </c>
      <c r="Q7937">
        <v>0</v>
      </c>
      <c r="R7937" t="s">
        <v>47312</v>
      </c>
      <c r="S7937" t="s">
        <v>47489</v>
      </c>
      <c r="T7937" t="s">
        <v>49040</v>
      </c>
      <c r="U7937" t="s">
        <v>56157</v>
      </c>
      <c r="W7937" t="s">
        <v>45665</v>
      </c>
      <c r="X7937" t="s">
        <v>47313</v>
      </c>
    </row>
    <row r="7938" spans="1:24">
      <c r="A7938">
        <f>HYPERLINK("https://www.philgeps.gov.ph/GEPSNONPILOT/Tender/SplashBidNoticeAbstractUI.aspx?menuIndex=3&amp;refID=7187057&amp;Result=3","7187057")</f>
        <v>0</v>
      </c>
      <c r="B7938" t="s">
        <v>207</v>
      </c>
      <c r="C7938" t="s">
        <v>11332</v>
      </c>
      <c r="D7938" t="s">
        <v>19047</v>
      </c>
      <c r="E7938" t="s">
        <v>25976</v>
      </c>
      <c r="F7938" t="s">
        <v>32606</v>
      </c>
      <c r="G7938" t="s">
        <v>32613</v>
      </c>
      <c r="H7938" t="s">
        <v>14201</v>
      </c>
      <c r="I7938" t="s">
        <v>6007</v>
      </c>
      <c r="J7938" t="s">
        <v>35636</v>
      </c>
      <c r="K7938" t="s">
        <v>42674</v>
      </c>
      <c r="M7938" t="s">
        <v>43108</v>
      </c>
      <c r="N7938" t="s">
        <v>47304</v>
      </c>
      <c r="O7938" t="s">
        <v>47305</v>
      </c>
      <c r="P7938">
        <v>0</v>
      </c>
      <c r="Q7938">
        <v>0</v>
      </c>
      <c r="R7938" t="s">
        <v>47312</v>
      </c>
      <c r="S7938" t="s">
        <v>47489</v>
      </c>
      <c r="T7938" t="s">
        <v>49140</v>
      </c>
      <c r="U7938" t="s">
        <v>49912</v>
      </c>
      <c r="V7938" t="s">
        <v>62695</v>
      </c>
      <c r="W7938" t="s">
        <v>43108</v>
      </c>
      <c r="X7938" t="s">
        <v>47313</v>
      </c>
    </row>
    <row r="7939" spans="1:24">
      <c r="A7939">
        <f>HYPERLINK("https://www.philgeps.gov.ph/GEPSNONPILOT/Tender/SplashBidNoticeAbstractUI.aspx?menuIndex=3&amp;refID=7187094&amp;Result=3","7187094")</f>
        <v>0</v>
      </c>
      <c r="B7939" t="s">
        <v>2289</v>
      </c>
      <c r="C7939" t="s">
        <v>11333</v>
      </c>
      <c r="E7939" t="s">
        <v>25977</v>
      </c>
      <c r="F7939" t="s">
        <v>32606</v>
      </c>
      <c r="G7939" t="s">
        <v>32613</v>
      </c>
      <c r="H7939" t="s">
        <v>14201</v>
      </c>
      <c r="I7939" t="s">
        <v>4678</v>
      </c>
      <c r="J7939" t="s">
        <v>37743</v>
      </c>
      <c r="K7939" t="s">
        <v>42623</v>
      </c>
      <c r="M7939" t="s">
        <v>45394</v>
      </c>
      <c r="N7939" t="s">
        <v>47304</v>
      </c>
      <c r="O7939" t="s">
        <v>47305</v>
      </c>
      <c r="P7939">
        <v>0</v>
      </c>
      <c r="Q7939">
        <v>1</v>
      </c>
      <c r="R7939" t="s">
        <v>47312</v>
      </c>
      <c r="S7939" t="s">
        <v>47489</v>
      </c>
      <c r="T7939" t="s">
        <v>48987</v>
      </c>
      <c r="U7939" t="s">
        <v>55319</v>
      </c>
      <c r="W7939" t="s">
        <v>45394</v>
      </c>
      <c r="X7939" t="s">
        <v>47313</v>
      </c>
    </row>
    <row r="7940" spans="1:24">
      <c r="A7940">
        <f>HYPERLINK("https://www.philgeps.gov.ph/GEPSNONPILOT/Tender/SplashBidNoticeAbstractUI.aspx?menuIndex=3&amp;refID=7187126&amp;Result=3","7187126")</f>
        <v>0</v>
      </c>
      <c r="B7940" t="s">
        <v>998</v>
      </c>
      <c r="C7940" t="s">
        <v>11334</v>
      </c>
      <c r="D7940" t="s">
        <v>19009</v>
      </c>
      <c r="E7940" t="s">
        <v>25978</v>
      </c>
      <c r="F7940" t="s">
        <v>32606</v>
      </c>
      <c r="G7940" t="s">
        <v>32613</v>
      </c>
      <c r="H7940" t="s">
        <v>14201</v>
      </c>
      <c r="I7940" t="s">
        <v>6931</v>
      </c>
      <c r="J7940" t="s">
        <v>37744</v>
      </c>
      <c r="K7940" t="s">
        <v>42721</v>
      </c>
      <c r="M7940" t="s">
        <v>43946</v>
      </c>
      <c r="N7940" t="s">
        <v>47304</v>
      </c>
      <c r="O7940" t="s">
        <v>47305</v>
      </c>
      <c r="P7940">
        <v>0</v>
      </c>
      <c r="Q7940">
        <v>0</v>
      </c>
      <c r="R7940" t="s">
        <v>47312</v>
      </c>
      <c r="S7940" t="s">
        <v>47489</v>
      </c>
      <c r="T7940" t="s">
        <v>49004</v>
      </c>
      <c r="U7940" t="s">
        <v>56158</v>
      </c>
      <c r="W7940" t="s">
        <v>43946</v>
      </c>
      <c r="X7940" t="s">
        <v>47313</v>
      </c>
    </row>
    <row r="7941" spans="1:24">
      <c r="A7941">
        <f>HYPERLINK("https://www.philgeps.gov.ph/GEPSNONPILOT/Tender/SplashBidNoticeAbstractUI.aspx?menuIndex=3&amp;refID=7187046&amp;Result=3","7187046")</f>
        <v>0</v>
      </c>
      <c r="B7941" t="s">
        <v>2505</v>
      </c>
      <c r="C7941" t="s">
        <v>11335</v>
      </c>
      <c r="D7941" t="s">
        <v>19007</v>
      </c>
      <c r="E7941" t="s">
        <v>25893</v>
      </c>
      <c r="F7941" t="s">
        <v>32606</v>
      </c>
      <c r="G7941" t="s">
        <v>32613</v>
      </c>
      <c r="H7941" t="s">
        <v>32623</v>
      </c>
      <c r="I7941" t="s">
        <v>17648</v>
      </c>
      <c r="J7941" t="s">
        <v>37734</v>
      </c>
      <c r="K7941" t="s">
        <v>42636</v>
      </c>
      <c r="M7941" t="s">
        <v>45644</v>
      </c>
      <c r="N7941" t="s">
        <v>47304</v>
      </c>
      <c r="O7941" t="s">
        <v>47305</v>
      </c>
      <c r="P7941">
        <v>0</v>
      </c>
      <c r="Q7941">
        <v>1</v>
      </c>
      <c r="R7941" t="s">
        <v>47312</v>
      </c>
      <c r="S7941" t="s">
        <v>47489</v>
      </c>
      <c r="T7941" t="s">
        <v>49077</v>
      </c>
      <c r="U7941" t="s">
        <v>56075</v>
      </c>
      <c r="V7941" t="s">
        <v>63422</v>
      </c>
      <c r="W7941" t="s">
        <v>45644</v>
      </c>
      <c r="X7941" t="s">
        <v>47313</v>
      </c>
    </row>
    <row r="7942" spans="1:24">
      <c r="A7942">
        <f>HYPERLINK("https://www.philgeps.gov.ph/GEPSNONPILOT/Tender/SplashBidNoticeAbstractUI.aspx?menuIndex=3&amp;refID=7187096&amp;Result=3","7187096")</f>
        <v>0</v>
      </c>
      <c r="B7942" t="s">
        <v>496</v>
      </c>
      <c r="C7942" t="s">
        <v>11336</v>
      </c>
      <c r="E7942" t="s">
        <v>25979</v>
      </c>
      <c r="F7942" t="s">
        <v>32606</v>
      </c>
      <c r="G7942" t="s">
        <v>32617</v>
      </c>
      <c r="H7942" t="s">
        <v>14201</v>
      </c>
      <c r="I7942" t="s">
        <v>4120</v>
      </c>
      <c r="J7942" t="s">
        <v>37745</v>
      </c>
      <c r="K7942" t="s">
        <v>42631</v>
      </c>
      <c r="M7942" t="s">
        <v>45233</v>
      </c>
      <c r="N7942" t="s">
        <v>47304</v>
      </c>
      <c r="O7942" t="s">
        <v>47305</v>
      </c>
      <c r="P7942">
        <v>0</v>
      </c>
      <c r="Q7942">
        <v>0</v>
      </c>
      <c r="R7942" t="s">
        <v>47312</v>
      </c>
      <c r="S7942" t="s">
        <v>47489</v>
      </c>
      <c r="T7942" t="s">
        <v>48997</v>
      </c>
      <c r="U7942" t="s">
        <v>55128</v>
      </c>
      <c r="W7942" t="s">
        <v>64494</v>
      </c>
      <c r="X7942" t="s">
        <v>47313</v>
      </c>
    </row>
    <row r="7943" spans="1:24">
      <c r="A7943">
        <f>HYPERLINK("https://www.philgeps.gov.ph/GEPSNONPILOT/Tender/SplashBidNoticeAbstractUI.aspx?menuIndex=3&amp;refID=7187113&amp;Result=3","7187113")</f>
        <v>0</v>
      </c>
      <c r="B7943" t="s">
        <v>521</v>
      </c>
      <c r="C7943" t="s">
        <v>11337</v>
      </c>
      <c r="D7943" t="s">
        <v>18992</v>
      </c>
      <c r="E7943" t="s">
        <v>25980</v>
      </c>
      <c r="F7943" t="s">
        <v>32606</v>
      </c>
      <c r="G7943" t="s">
        <v>32613</v>
      </c>
      <c r="H7943" t="s">
        <v>14201</v>
      </c>
      <c r="I7943" t="s">
        <v>4120</v>
      </c>
      <c r="J7943" t="s">
        <v>37746</v>
      </c>
      <c r="K7943" t="s">
        <v>42677</v>
      </c>
      <c r="M7943" t="s">
        <v>43434</v>
      </c>
      <c r="N7943" t="s">
        <v>47304</v>
      </c>
      <c r="O7943" t="s">
        <v>47305</v>
      </c>
      <c r="P7943">
        <v>0</v>
      </c>
      <c r="Q7943">
        <v>2</v>
      </c>
      <c r="R7943" t="s">
        <v>47312</v>
      </c>
      <c r="S7943" t="s">
        <v>47489</v>
      </c>
      <c r="T7943" t="s">
        <v>48998</v>
      </c>
      <c r="U7943" t="s">
        <v>50473</v>
      </c>
      <c r="W7943" t="s">
        <v>43434</v>
      </c>
      <c r="X7943" t="s">
        <v>47313</v>
      </c>
    </row>
    <row r="7944" spans="1:24">
      <c r="A7944">
        <f>HYPERLINK("https://www.philgeps.gov.ph/GEPSNONPILOT/Tender/SplashBidNoticeAbstractUI.aspx?menuIndex=3&amp;refID=7187112&amp;Result=3","7187112")</f>
        <v>0</v>
      </c>
      <c r="B7944" t="s">
        <v>1235</v>
      </c>
      <c r="C7944" t="s">
        <v>11338</v>
      </c>
      <c r="D7944" t="s">
        <v>18997</v>
      </c>
      <c r="E7944" t="s">
        <v>19145</v>
      </c>
      <c r="F7944" t="s">
        <v>32608</v>
      </c>
      <c r="G7944" t="s">
        <v>32613</v>
      </c>
      <c r="H7944" t="s">
        <v>14201</v>
      </c>
      <c r="I7944" t="s">
        <v>4120</v>
      </c>
      <c r="J7944" t="s">
        <v>37747</v>
      </c>
      <c r="K7944" t="s">
        <v>42630</v>
      </c>
      <c r="M7944" t="s">
        <v>44200</v>
      </c>
      <c r="N7944" t="s">
        <v>47304</v>
      </c>
      <c r="O7944" t="s">
        <v>47305</v>
      </c>
      <c r="P7944">
        <v>0</v>
      </c>
      <c r="Q7944">
        <v>1</v>
      </c>
      <c r="R7944" t="s">
        <v>47312</v>
      </c>
      <c r="S7944" t="s">
        <v>47489</v>
      </c>
      <c r="T7944" t="s">
        <v>49066</v>
      </c>
      <c r="U7944" t="s">
        <v>56159</v>
      </c>
      <c r="W7944" t="s">
        <v>44200</v>
      </c>
      <c r="X7944" t="s">
        <v>47313</v>
      </c>
    </row>
    <row r="7945" spans="1:24">
      <c r="A7945">
        <f>HYPERLINK("https://www.philgeps.gov.ph/GEPSNONPILOT/Tender/SplashBidNoticeAbstractUI.aspx?menuIndex=3&amp;refID=7187123&amp;Result=3","7187123")</f>
        <v>0</v>
      </c>
      <c r="B7945" t="s">
        <v>2524</v>
      </c>
      <c r="C7945" t="s">
        <v>11339</v>
      </c>
      <c r="D7945" t="s">
        <v>18988</v>
      </c>
      <c r="E7945" t="s">
        <v>19181</v>
      </c>
      <c r="F7945" t="s">
        <v>32606</v>
      </c>
      <c r="G7945" t="s">
        <v>32613</v>
      </c>
      <c r="H7945" t="s">
        <v>14201</v>
      </c>
      <c r="I7945" t="s">
        <v>6931</v>
      </c>
      <c r="J7945" t="s">
        <v>32770</v>
      </c>
      <c r="K7945" t="s">
        <v>42622</v>
      </c>
      <c r="M7945" t="s">
        <v>45665</v>
      </c>
      <c r="N7945" t="s">
        <v>47304</v>
      </c>
      <c r="O7945" t="s">
        <v>47305</v>
      </c>
      <c r="P7945">
        <v>0</v>
      </c>
      <c r="Q7945">
        <v>0</v>
      </c>
      <c r="R7945" t="s">
        <v>47312</v>
      </c>
      <c r="S7945" t="s">
        <v>47489</v>
      </c>
      <c r="T7945" t="s">
        <v>49040</v>
      </c>
      <c r="U7945" t="s">
        <v>56160</v>
      </c>
      <c r="W7945" t="s">
        <v>45665</v>
      </c>
      <c r="X7945" t="s">
        <v>47313</v>
      </c>
    </row>
    <row r="7946" spans="1:24">
      <c r="A7946">
        <f>HYPERLINK("https://www.philgeps.gov.ph/GEPSNONPILOT/Tender/SplashBidNoticeAbstractUI.aspx?menuIndex=3&amp;refID=7187084&amp;Result=3","7187084")</f>
        <v>0</v>
      </c>
      <c r="B7946" t="s">
        <v>2284</v>
      </c>
      <c r="C7946" t="s">
        <v>11340</v>
      </c>
      <c r="D7946" t="s">
        <v>19011</v>
      </c>
      <c r="E7946" t="s">
        <v>25981</v>
      </c>
      <c r="F7946" t="s">
        <v>32606</v>
      </c>
      <c r="G7946" t="s">
        <v>32613</v>
      </c>
      <c r="H7946" t="s">
        <v>14201</v>
      </c>
      <c r="I7946" t="s">
        <v>32633</v>
      </c>
      <c r="J7946" t="s">
        <v>37748</v>
      </c>
      <c r="K7946" t="s">
        <v>42631</v>
      </c>
      <c r="M7946" t="s">
        <v>45389</v>
      </c>
      <c r="N7946" t="s">
        <v>47304</v>
      </c>
      <c r="O7946" t="s">
        <v>47305</v>
      </c>
      <c r="P7946">
        <v>0</v>
      </c>
      <c r="Q7946">
        <v>7</v>
      </c>
      <c r="R7946" t="s">
        <v>47312</v>
      </c>
      <c r="S7946" t="s">
        <v>47489</v>
      </c>
      <c r="T7946" t="s">
        <v>49215</v>
      </c>
      <c r="U7946" t="s">
        <v>56161</v>
      </c>
      <c r="W7946" t="s">
        <v>45389</v>
      </c>
      <c r="X7946" t="s">
        <v>47313</v>
      </c>
    </row>
    <row r="7947" spans="1:24">
      <c r="A7947">
        <f>HYPERLINK("https://www.philgeps.gov.ph/GEPSNONPILOT/Tender/SplashBidNoticeAbstractUI.aspx?menuIndex=3&amp;refID=7187105&amp;Result=3","7187105")</f>
        <v>0</v>
      </c>
      <c r="B7947" t="s">
        <v>932</v>
      </c>
      <c r="C7947" t="s">
        <v>11341</v>
      </c>
      <c r="D7947" t="s">
        <v>19003</v>
      </c>
      <c r="E7947" t="s">
        <v>25982</v>
      </c>
      <c r="F7947" t="s">
        <v>32606</v>
      </c>
      <c r="G7947" t="s">
        <v>32613</v>
      </c>
      <c r="H7947" t="s">
        <v>14201</v>
      </c>
      <c r="I7947" t="s">
        <v>17648</v>
      </c>
      <c r="J7947" t="s">
        <v>37749</v>
      </c>
      <c r="K7947" t="s">
        <v>42631</v>
      </c>
      <c r="M7947" t="s">
        <v>43872</v>
      </c>
      <c r="N7947" t="s">
        <v>47304</v>
      </c>
      <c r="O7947" t="s">
        <v>47305</v>
      </c>
      <c r="P7947">
        <v>0</v>
      </c>
      <c r="Q7947">
        <v>0</v>
      </c>
      <c r="R7947" t="s">
        <v>47312</v>
      </c>
      <c r="S7947" t="s">
        <v>47489</v>
      </c>
      <c r="T7947" t="s">
        <v>48998</v>
      </c>
      <c r="U7947" t="s">
        <v>56162</v>
      </c>
      <c r="V7947" t="s">
        <v>63423</v>
      </c>
      <c r="W7947" t="s">
        <v>43872</v>
      </c>
      <c r="X7947" t="s">
        <v>47313</v>
      </c>
    </row>
    <row r="7948" spans="1:24">
      <c r="A7948">
        <f>HYPERLINK("https://www.philgeps.gov.ph/GEPSNONPILOT/Tender/SplashBidNoticeAbstractUI.aspx?menuIndex=3&amp;refID=7187121&amp;Result=3","7187121")</f>
        <v>0</v>
      </c>
      <c r="B7948" t="s">
        <v>1389</v>
      </c>
      <c r="C7948" t="s">
        <v>11342</v>
      </c>
      <c r="D7948" t="s">
        <v>18992</v>
      </c>
      <c r="E7948" t="s">
        <v>19327</v>
      </c>
      <c r="F7948" t="s">
        <v>32606</v>
      </c>
      <c r="G7948" t="s">
        <v>32614</v>
      </c>
      <c r="H7948" t="s">
        <v>32623</v>
      </c>
      <c r="I7948" t="s">
        <v>6931</v>
      </c>
      <c r="J7948" t="s">
        <v>37750</v>
      </c>
      <c r="K7948" t="s">
        <v>42631</v>
      </c>
      <c r="M7948" t="s">
        <v>44371</v>
      </c>
      <c r="N7948" t="s">
        <v>47304</v>
      </c>
      <c r="O7948" t="s">
        <v>47305</v>
      </c>
      <c r="P7948">
        <v>0</v>
      </c>
      <c r="Q7948">
        <v>0</v>
      </c>
      <c r="R7948" t="s">
        <v>47312</v>
      </c>
      <c r="S7948" t="s">
        <v>47489</v>
      </c>
      <c r="T7948" t="s">
        <v>49268</v>
      </c>
      <c r="U7948" t="s">
        <v>56163</v>
      </c>
      <c r="W7948" t="s">
        <v>44371</v>
      </c>
      <c r="X7948" t="s">
        <v>47313</v>
      </c>
    </row>
    <row r="7949" spans="1:24">
      <c r="A7949">
        <f>HYPERLINK("https://www.philgeps.gov.ph/GEPSNONPILOT/Tender/SplashBidNoticeAbstractUI.aspx?menuIndex=3&amp;refID=7187135&amp;Result=3","7187135")</f>
        <v>0</v>
      </c>
      <c r="B7949" t="s">
        <v>932</v>
      </c>
      <c r="C7949" t="s">
        <v>11343</v>
      </c>
      <c r="D7949" t="s">
        <v>19003</v>
      </c>
      <c r="E7949" t="s">
        <v>25983</v>
      </c>
      <c r="F7949" t="s">
        <v>32606</v>
      </c>
      <c r="G7949" t="s">
        <v>32613</v>
      </c>
      <c r="H7949" t="s">
        <v>32623</v>
      </c>
      <c r="I7949" t="s">
        <v>17648</v>
      </c>
      <c r="J7949" t="s">
        <v>37751</v>
      </c>
      <c r="K7949" t="s">
        <v>42627</v>
      </c>
      <c r="M7949" t="s">
        <v>43872</v>
      </c>
      <c r="N7949" t="s">
        <v>47304</v>
      </c>
      <c r="O7949" t="s">
        <v>47305</v>
      </c>
      <c r="P7949">
        <v>0</v>
      </c>
      <c r="Q7949">
        <v>0</v>
      </c>
      <c r="R7949" t="s">
        <v>47312</v>
      </c>
      <c r="S7949" t="s">
        <v>47489</v>
      </c>
      <c r="T7949" t="s">
        <v>48998</v>
      </c>
      <c r="U7949" t="s">
        <v>56164</v>
      </c>
      <c r="V7949" t="s">
        <v>63424</v>
      </c>
      <c r="W7949" t="s">
        <v>43872</v>
      </c>
      <c r="X7949" t="s">
        <v>47313</v>
      </c>
    </row>
    <row r="7950" spans="1:24">
      <c r="A7950">
        <f>HYPERLINK("https://www.philgeps.gov.ph/GEPSNONPILOT/Tender/SplashBidNoticeAbstractUI.aspx?menuIndex=3&amp;refID=7187134&amp;Result=3","7187134")</f>
        <v>0</v>
      </c>
      <c r="B7950" t="s">
        <v>2536</v>
      </c>
      <c r="C7950" t="s">
        <v>11344</v>
      </c>
      <c r="D7950" t="s">
        <v>18999</v>
      </c>
      <c r="E7950" t="s">
        <v>21778</v>
      </c>
      <c r="F7950" t="s">
        <v>32606</v>
      </c>
      <c r="G7950" t="s">
        <v>32615</v>
      </c>
      <c r="H7950" t="s">
        <v>14201</v>
      </c>
      <c r="I7950" t="s">
        <v>6931</v>
      </c>
      <c r="J7950" t="s">
        <v>37752</v>
      </c>
      <c r="K7950" t="s">
        <v>42622</v>
      </c>
      <c r="M7950" t="s">
        <v>45676</v>
      </c>
      <c r="N7950" t="s">
        <v>47304</v>
      </c>
      <c r="O7950" t="s">
        <v>47305</v>
      </c>
      <c r="P7950">
        <v>0</v>
      </c>
      <c r="Q7950">
        <v>1</v>
      </c>
      <c r="R7950" t="s">
        <v>47312</v>
      </c>
      <c r="S7950" t="s">
        <v>47489</v>
      </c>
      <c r="T7950" t="s">
        <v>49268</v>
      </c>
      <c r="U7950" t="s">
        <v>50046</v>
      </c>
      <c r="V7950" t="s">
        <v>62715</v>
      </c>
      <c r="W7950" t="s">
        <v>45676</v>
      </c>
      <c r="X7950" t="s">
        <v>47313</v>
      </c>
    </row>
    <row r="7951" spans="1:24">
      <c r="A7951">
        <f>HYPERLINK("https://www.philgeps.gov.ph/GEPSNONPILOT/Tender/SplashBidNoticeAbstractUI.aspx?menuIndex=3&amp;refID=7187122&amp;Result=3","7187122")</f>
        <v>0</v>
      </c>
      <c r="B7951" t="s">
        <v>2537</v>
      </c>
      <c r="C7951" t="s">
        <v>11345</v>
      </c>
      <c r="D7951" t="s">
        <v>19059</v>
      </c>
      <c r="E7951" t="s">
        <v>25984</v>
      </c>
      <c r="F7951" t="s">
        <v>32609</v>
      </c>
      <c r="G7951" t="s">
        <v>32619</v>
      </c>
      <c r="H7951" t="s">
        <v>32623</v>
      </c>
      <c r="I7951" t="s">
        <v>4121</v>
      </c>
      <c r="J7951" t="s">
        <v>33291</v>
      </c>
      <c r="K7951" t="s">
        <v>42639</v>
      </c>
      <c r="M7951" t="s">
        <v>45677</v>
      </c>
      <c r="N7951" t="s">
        <v>47304</v>
      </c>
      <c r="O7951" t="s">
        <v>47305</v>
      </c>
      <c r="P7951">
        <v>0</v>
      </c>
      <c r="Q7951">
        <v>0</v>
      </c>
      <c r="R7951" t="s">
        <v>47312</v>
      </c>
      <c r="S7951" t="s">
        <v>47489</v>
      </c>
      <c r="T7951" t="s">
        <v>49071</v>
      </c>
      <c r="U7951" t="s">
        <v>56165</v>
      </c>
      <c r="W7951" t="s">
        <v>45677</v>
      </c>
      <c r="X7951" t="s">
        <v>47313</v>
      </c>
    </row>
    <row r="7952" spans="1:24">
      <c r="A7952">
        <f>HYPERLINK("https://www.philgeps.gov.ph/GEPSNONPILOT/Tender/SplashBidNoticeAbstractUI.aspx?menuIndex=3&amp;refID=7187130&amp;Result=3","7187130")</f>
        <v>0</v>
      </c>
      <c r="B7952" t="s">
        <v>2538</v>
      </c>
      <c r="C7952" t="s">
        <v>11346</v>
      </c>
      <c r="D7952" t="s">
        <v>18986</v>
      </c>
      <c r="E7952" t="s">
        <v>25985</v>
      </c>
      <c r="F7952" t="s">
        <v>32606</v>
      </c>
      <c r="G7952" t="s">
        <v>32615</v>
      </c>
      <c r="H7952" t="s">
        <v>32623</v>
      </c>
      <c r="I7952" t="s">
        <v>9013</v>
      </c>
      <c r="J7952" t="s">
        <v>37753</v>
      </c>
      <c r="K7952" t="s">
        <v>42630</v>
      </c>
      <c r="M7952" t="s">
        <v>45678</v>
      </c>
      <c r="N7952" t="s">
        <v>47304</v>
      </c>
      <c r="O7952" t="s">
        <v>47305</v>
      </c>
      <c r="P7952">
        <v>0</v>
      </c>
      <c r="Q7952">
        <v>2</v>
      </c>
      <c r="R7952" t="s">
        <v>47312</v>
      </c>
      <c r="S7952" t="s">
        <v>47489</v>
      </c>
      <c r="T7952" t="s">
        <v>49380</v>
      </c>
      <c r="U7952" t="s">
        <v>56166</v>
      </c>
      <c r="V7952" t="s">
        <v>63425</v>
      </c>
      <c r="W7952" t="s">
        <v>45678</v>
      </c>
      <c r="X7952" t="s">
        <v>47313</v>
      </c>
    </row>
    <row r="7953" spans="1:24">
      <c r="A7953">
        <f>HYPERLINK("https://www.philgeps.gov.ph/GEPSNONPILOT/Tender/SplashBidNoticeAbstractUI.aspx?menuIndex=3&amp;refID=7187129&amp;Result=3","7187129")</f>
        <v>0</v>
      </c>
      <c r="B7953" t="s">
        <v>2539</v>
      </c>
      <c r="C7953" t="s">
        <v>11347</v>
      </c>
      <c r="D7953" t="s">
        <v>18990</v>
      </c>
      <c r="E7953" t="s">
        <v>25986</v>
      </c>
      <c r="F7953" t="s">
        <v>32606</v>
      </c>
      <c r="G7953" t="s">
        <v>32614</v>
      </c>
      <c r="H7953" t="s">
        <v>14201</v>
      </c>
      <c r="I7953" t="s">
        <v>4678</v>
      </c>
      <c r="J7953" t="s">
        <v>33103</v>
      </c>
      <c r="K7953" t="s">
        <v>42631</v>
      </c>
      <c r="M7953" t="s">
        <v>45679</v>
      </c>
      <c r="N7953" t="s">
        <v>47304</v>
      </c>
      <c r="O7953" t="s">
        <v>47305</v>
      </c>
      <c r="P7953">
        <v>0</v>
      </c>
      <c r="Q7953">
        <v>1</v>
      </c>
      <c r="R7953" t="s">
        <v>47312</v>
      </c>
      <c r="S7953" t="s">
        <v>47489</v>
      </c>
      <c r="T7953" t="s">
        <v>49269</v>
      </c>
      <c r="U7953" t="s">
        <v>56167</v>
      </c>
      <c r="W7953" t="s">
        <v>45679</v>
      </c>
      <c r="X7953" t="s">
        <v>47313</v>
      </c>
    </row>
    <row r="7954" spans="1:24">
      <c r="A7954">
        <f>HYPERLINK("https://www.philgeps.gov.ph/GEPSNONPILOT/Tender/SplashBidNoticeAbstractUI.aspx?menuIndex=3&amp;refID=7187111&amp;Result=3","7187111")</f>
        <v>0</v>
      </c>
      <c r="B7954" t="s">
        <v>2505</v>
      </c>
      <c r="C7954" t="s">
        <v>11348</v>
      </c>
      <c r="D7954" t="s">
        <v>19007</v>
      </c>
      <c r="E7954" t="s">
        <v>25893</v>
      </c>
      <c r="F7954" t="s">
        <v>32606</v>
      </c>
      <c r="G7954" t="s">
        <v>32613</v>
      </c>
      <c r="H7954" t="s">
        <v>32623</v>
      </c>
      <c r="I7954" t="s">
        <v>17648</v>
      </c>
      <c r="J7954" t="s">
        <v>37734</v>
      </c>
      <c r="K7954" t="s">
        <v>42636</v>
      </c>
      <c r="M7954" t="s">
        <v>45644</v>
      </c>
      <c r="N7954" t="s">
        <v>47304</v>
      </c>
      <c r="O7954" t="s">
        <v>47305</v>
      </c>
      <c r="P7954">
        <v>0</v>
      </c>
      <c r="Q7954">
        <v>1</v>
      </c>
      <c r="R7954" t="s">
        <v>47312</v>
      </c>
      <c r="S7954" t="s">
        <v>47489</v>
      </c>
      <c r="T7954" t="s">
        <v>49077</v>
      </c>
      <c r="U7954" t="s">
        <v>56075</v>
      </c>
      <c r="V7954" t="s">
        <v>63426</v>
      </c>
      <c r="W7954" t="s">
        <v>45644</v>
      </c>
      <c r="X7954" t="s">
        <v>47313</v>
      </c>
    </row>
    <row r="7955" spans="1:24">
      <c r="A7955">
        <f>HYPERLINK("https://www.philgeps.gov.ph/GEPSNONPILOT/Tender/SplashBidNoticeAbstractUI.aspx?menuIndex=3&amp;refID=7187103&amp;Result=3","7187103")</f>
        <v>0</v>
      </c>
      <c r="B7955" t="s">
        <v>2540</v>
      </c>
      <c r="C7955" t="s">
        <v>11349</v>
      </c>
      <c r="D7955" t="s">
        <v>18991</v>
      </c>
      <c r="E7955" t="s">
        <v>19372</v>
      </c>
      <c r="F7955" t="s">
        <v>32606</v>
      </c>
      <c r="G7955" t="s">
        <v>32613</v>
      </c>
      <c r="H7955" t="s">
        <v>14201</v>
      </c>
      <c r="I7955" t="s">
        <v>6931</v>
      </c>
      <c r="J7955" t="s">
        <v>37754</v>
      </c>
      <c r="K7955" t="s">
        <v>42623</v>
      </c>
      <c r="M7955" t="s">
        <v>45680</v>
      </c>
      <c r="N7955" t="s">
        <v>47304</v>
      </c>
      <c r="O7955" t="s">
        <v>47305</v>
      </c>
      <c r="P7955">
        <v>0</v>
      </c>
      <c r="Q7955">
        <v>0</v>
      </c>
      <c r="R7955" t="s">
        <v>47312</v>
      </c>
      <c r="S7955" t="s">
        <v>47489</v>
      </c>
      <c r="T7955" t="s">
        <v>49219</v>
      </c>
      <c r="U7955" t="s">
        <v>56168</v>
      </c>
      <c r="W7955" t="s">
        <v>45680</v>
      </c>
      <c r="X7955" t="s">
        <v>47313</v>
      </c>
    </row>
    <row r="7956" spans="1:24">
      <c r="A7956">
        <f>HYPERLINK("https://www.philgeps.gov.ph/GEPSNONPILOT/Tender/SplashBidNoticeAbstractUI.aspx?menuIndex=3&amp;refID=7187136&amp;Result=3","7187136")</f>
        <v>0</v>
      </c>
      <c r="B7956" t="s">
        <v>317</v>
      </c>
      <c r="C7956" t="s">
        <v>11350</v>
      </c>
      <c r="D7956" t="s">
        <v>19011</v>
      </c>
      <c r="E7956" t="s">
        <v>25987</v>
      </c>
      <c r="F7956" t="s">
        <v>32606</v>
      </c>
      <c r="G7956" t="s">
        <v>32614</v>
      </c>
      <c r="H7956" t="s">
        <v>14201</v>
      </c>
      <c r="I7956" t="s">
        <v>4120</v>
      </c>
      <c r="J7956" t="s">
        <v>37755</v>
      </c>
      <c r="K7956" t="s">
        <v>42622</v>
      </c>
      <c r="M7956" t="s">
        <v>43571</v>
      </c>
      <c r="N7956" t="s">
        <v>47304</v>
      </c>
      <c r="O7956" t="s">
        <v>47305</v>
      </c>
      <c r="P7956">
        <v>0</v>
      </c>
      <c r="Q7956">
        <v>8</v>
      </c>
      <c r="R7956" t="s">
        <v>47312</v>
      </c>
      <c r="S7956" t="s">
        <v>47489</v>
      </c>
      <c r="T7956" t="s">
        <v>49165</v>
      </c>
      <c r="U7956" t="s">
        <v>56169</v>
      </c>
      <c r="W7956" t="s">
        <v>43571</v>
      </c>
      <c r="X7956" t="s">
        <v>47313</v>
      </c>
    </row>
    <row r="7957" spans="1:24">
      <c r="A7957">
        <f>HYPERLINK("https://www.philgeps.gov.ph/GEPSNONPILOT/Tender/SplashBidNoticeAbstractUI.aspx?menuIndex=3&amp;refID=7187100&amp;Result=3","7187100")</f>
        <v>0</v>
      </c>
      <c r="B7957" t="s">
        <v>220</v>
      </c>
      <c r="C7957" t="s">
        <v>11351</v>
      </c>
      <c r="D7957" t="s">
        <v>19046</v>
      </c>
      <c r="E7957" t="s">
        <v>25988</v>
      </c>
      <c r="F7957" t="s">
        <v>32606</v>
      </c>
      <c r="G7957" t="s">
        <v>32613</v>
      </c>
      <c r="H7957" t="s">
        <v>14201</v>
      </c>
      <c r="I7957" t="s">
        <v>4120</v>
      </c>
      <c r="J7957" t="s">
        <v>37756</v>
      </c>
      <c r="K7957" t="s">
        <v>42622</v>
      </c>
      <c r="M7957" t="s">
        <v>43121</v>
      </c>
      <c r="N7957" t="s">
        <v>47304</v>
      </c>
      <c r="O7957" t="s">
        <v>47305</v>
      </c>
      <c r="P7957">
        <v>0</v>
      </c>
      <c r="Q7957">
        <v>1</v>
      </c>
      <c r="R7957" t="s">
        <v>47312</v>
      </c>
      <c r="S7957" t="s">
        <v>47489</v>
      </c>
      <c r="T7957" t="s">
        <v>49050</v>
      </c>
      <c r="U7957" t="s">
        <v>56141</v>
      </c>
      <c r="W7957" t="s">
        <v>43121</v>
      </c>
      <c r="X7957" t="s">
        <v>47313</v>
      </c>
    </row>
    <row r="7958" spans="1:24">
      <c r="A7958">
        <f>HYPERLINK("https://www.philgeps.gov.ph/GEPSNONPILOT/Tender/SplashBidNoticeAbstractUI.aspx?menuIndex=3&amp;refID=7187133&amp;Result=3","7187133")</f>
        <v>0</v>
      </c>
      <c r="B7958" t="s">
        <v>2525</v>
      </c>
      <c r="C7958" t="s">
        <v>11352</v>
      </c>
      <c r="D7958" t="s">
        <v>18993</v>
      </c>
      <c r="E7958" t="s">
        <v>25989</v>
      </c>
      <c r="F7958" t="s">
        <v>32606</v>
      </c>
      <c r="G7958" t="s">
        <v>32619</v>
      </c>
      <c r="H7958" t="s">
        <v>14201</v>
      </c>
      <c r="I7958" t="s">
        <v>32640</v>
      </c>
      <c r="J7958" t="s">
        <v>33533</v>
      </c>
      <c r="K7958" t="s">
        <v>42631</v>
      </c>
      <c r="M7958" t="s">
        <v>45666</v>
      </c>
      <c r="N7958" t="s">
        <v>47304</v>
      </c>
      <c r="O7958" t="s">
        <v>47305</v>
      </c>
      <c r="P7958">
        <v>0</v>
      </c>
      <c r="Q7958">
        <v>6</v>
      </c>
      <c r="R7958" t="s">
        <v>47312</v>
      </c>
      <c r="S7958" t="s">
        <v>47489</v>
      </c>
      <c r="T7958" t="s">
        <v>48998</v>
      </c>
      <c r="U7958" t="s">
        <v>56170</v>
      </c>
      <c r="W7958" t="s">
        <v>45666</v>
      </c>
      <c r="X7958" t="s">
        <v>47313</v>
      </c>
    </row>
    <row r="7959" spans="1:24">
      <c r="A7959">
        <f>HYPERLINK("https://www.philgeps.gov.ph/GEPSNONPILOT/Tender/SplashBidNoticeAbstractUI.aspx?menuIndex=3&amp;refID=7187088&amp;Result=3","7187088")</f>
        <v>0</v>
      </c>
      <c r="B7959" t="s">
        <v>2526</v>
      </c>
      <c r="C7959" t="s">
        <v>3942</v>
      </c>
      <c r="D7959" t="s">
        <v>19000</v>
      </c>
      <c r="E7959" t="s">
        <v>25990</v>
      </c>
      <c r="F7959" t="s">
        <v>32606</v>
      </c>
      <c r="G7959" t="s">
        <v>32613</v>
      </c>
      <c r="H7959" t="s">
        <v>32623</v>
      </c>
      <c r="I7959" t="s">
        <v>17648</v>
      </c>
      <c r="J7959" t="s">
        <v>33441</v>
      </c>
      <c r="K7959" t="s">
        <v>42637</v>
      </c>
      <c r="M7959" t="s">
        <v>42943</v>
      </c>
      <c r="N7959" t="s">
        <v>47304</v>
      </c>
      <c r="O7959" t="s">
        <v>47305</v>
      </c>
      <c r="P7959">
        <v>0</v>
      </c>
      <c r="Q7959">
        <v>0</v>
      </c>
      <c r="R7959" t="s">
        <v>47312</v>
      </c>
      <c r="S7959" t="s">
        <v>47489</v>
      </c>
      <c r="T7959" t="s">
        <v>48998</v>
      </c>
      <c r="U7959" t="s">
        <v>56171</v>
      </c>
      <c r="W7959" t="s">
        <v>42943</v>
      </c>
      <c r="X7959" t="s">
        <v>47313</v>
      </c>
    </row>
    <row r="7960" spans="1:24">
      <c r="A7960">
        <f>HYPERLINK("https://www.philgeps.gov.ph/GEPSNONPILOT/Tender/SplashBidNoticeAbstractUI.aspx?menuIndex=3&amp;refID=7187139&amp;Result=3","7187139")</f>
        <v>0</v>
      </c>
      <c r="B7960" t="s">
        <v>2524</v>
      </c>
      <c r="C7960" t="s">
        <v>11353</v>
      </c>
      <c r="D7960" t="s">
        <v>18988</v>
      </c>
      <c r="E7960" t="s">
        <v>19178</v>
      </c>
      <c r="F7960" t="s">
        <v>32606</v>
      </c>
      <c r="G7960" t="s">
        <v>32613</v>
      </c>
      <c r="H7960" t="s">
        <v>14201</v>
      </c>
      <c r="I7960" t="s">
        <v>32633</v>
      </c>
      <c r="J7960" t="s">
        <v>37757</v>
      </c>
      <c r="K7960" t="s">
        <v>42632</v>
      </c>
      <c r="M7960" t="s">
        <v>45665</v>
      </c>
      <c r="N7960" t="s">
        <v>47304</v>
      </c>
      <c r="O7960" t="s">
        <v>47305</v>
      </c>
      <c r="P7960">
        <v>0</v>
      </c>
      <c r="Q7960">
        <v>6</v>
      </c>
      <c r="R7960" t="s">
        <v>47312</v>
      </c>
      <c r="S7960" t="s">
        <v>47489</v>
      </c>
      <c r="T7960" t="s">
        <v>49040</v>
      </c>
      <c r="U7960" t="s">
        <v>56172</v>
      </c>
      <c r="W7960" t="s">
        <v>45665</v>
      </c>
      <c r="X7960" t="s">
        <v>47313</v>
      </c>
    </row>
    <row r="7961" spans="1:24">
      <c r="A7961">
        <f>HYPERLINK("https://www.philgeps.gov.ph/GEPSNONPILOT/Tender/SplashBidNoticeAbstractUI.aspx?menuIndex=3&amp;refID=7187171&amp;Result=3","7187171")</f>
        <v>0</v>
      </c>
      <c r="B7961" t="s">
        <v>2541</v>
      </c>
      <c r="C7961" t="s">
        <v>11354</v>
      </c>
      <c r="D7961" t="s">
        <v>19022</v>
      </c>
      <c r="E7961" t="s">
        <v>25991</v>
      </c>
      <c r="F7961" t="s">
        <v>32606</v>
      </c>
      <c r="G7961" t="s">
        <v>32613</v>
      </c>
      <c r="H7961" t="s">
        <v>14201</v>
      </c>
      <c r="I7961" t="s">
        <v>6931</v>
      </c>
      <c r="J7961" t="s">
        <v>37758</v>
      </c>
      <c r="K7961" t="s">
        <v>42631</v>
      </c>
      <c r="M7961" t="s">
        <v>45681</v>
      </c>
      <c r="N7961" t="s">
        <v>47304</v>
      </c>
      <c r="O7961" t="s">
        <v>47305</v>
      </c>
      <c r="P7961">
        <v>0</v>
      </c>
      <c r="Q7961">
        <v>1</v>
      </c>
      <c r="R7961" t="s">
        <v>47312</v>
      </c>
      <c r="S7961" t="s">
        <v>47489</v>
      </c>
      <c r="T7961" t="s">
        <v>48998</v>
      </c>
      <c r="U7961" t="s">
        <v>56173</v>
      </c>
      <c r="V7961" t="s">
        <v>63427</v>
      </c>
      <c r="W7961" t="s">
        <v>45681</v>
      </c>
      <c r="X7961" t="s">
        <v>47313</v>
      </c>
    </row>
    <row r="7962" spans="1:24">
      <c r="A7962">
        <f>HYPERLINK("https://www.philgeps.gov.ph/GEPSNONPILOT/Tender/SplashBidNoticeAbstractUI.aspx?menuIndex=3&amp;refID=7187164&amp;Result=3","7187164")</f>
        <v>0</v>
      </c>
      <c r="B7962" t="s">
        <v>2542</v>
      </c>
      <c r="C7962" t="s">
        <v>11355</v>
      </c>
      <c r="D7962" t="s">
        <v>19032</v>
      </c>
      <c r="E7962" t="s">
        <v>19372</v>
      </c>
      <c r="F7962" t="s">
        <v>32606</v>
      </c>
      <c r="G7962" t="s">
        <v>32613</v>
      </c>
      <c r="H7962" t="s">
        <v>32623</v>
      </c>
      <c r="I7962" t="s">
        <v>17648</v>
      </c>
      <c r="J7962" t="s">
        <v>37759</v>
      </c>
      <c r="K7962" t="s">
        <v>42693</v>
      </c>
      <c r="M7962" t="s">
        <v>45682</v>
      </c>
      <c r="N7962" t="s">
        <v>47304</v>
      </c>
      <c r="O7962" t="s">
        <v>47305</v>
      </c>
      <c r="P7962">
        <v>0</v>
      </c>
      <c r="Q7962">
        <v>0</v>
      </c>
      <c r="R7962" t="s">
        <v>47312</v>
      </c>
      <c r="S7962" t="s">
        <v>47489</v>
      </c>
      <c r="T7962" t="s">
        <v>49072</v>
      </c>
      <c r="U7962" t="s">
        <v>56174</v>
      </c>
      <c r="W7962" t="s">
        <v>45682</v>
      </c>
      <c r="X7962" t="s">
        <v>47313</v>
      </c>
    </row>
    <row r="7963" spans="1:24">
      <c r="A7963">
        <f>HYPERLINK("https://www.philgeps.gov.ph/GEPSNONPILOT/Tender/SplashBidNoticeAbstractUI.aspx?menuIndex=3&amp;refID=7187065&amp;Result=3","7187065")</f>
        <v>0</v>
      </c>
      <c r="B7963" t="s">
        <v>2535</v>
      </c>
      <c r="C7963" t="s">
        <v>11356</v>
      </c>
      <c r="D7963" t="s">
        <v>19065</v>
      </c>
      <c r="E7963" t="s">
        <v>20001</v>
      </c>
      <c r="F7963" t="s">
        <v>32606</v>
      </c>
      <c r="G7963" t="s">
        <v>32613</v>
      </c>
      <c r="H7963" t="s">
        <v>32623</v>
      </c>
      <c r="I7963" t="s">
        <v>32626</v>
      </c>
      <c r="J7963" t="s">
        <v>37760</v>
      </c>
      <c r="K7963" t="s">
        <v>42808</v>
      </c>
      <c r="M7963" t="s">
        <v>45675</v>
      </c>
      <c r="N7963" t="s">
        <v>47304</v>
      </c>
      <c r="O7963" t="s">
        <v>47305</v>
      </c>
      <c r="P7963">
        <v>0</v>
      </c>
      <c r="Q7963">
        <v>0</v>
      </c>
      <c r="R7963" t="s">
        <v>47312</v>
      </c>
      <c r="S7963" t="s">
        <v>47489</v>
      </c>
      <c r="T7963" t="s">
        <v>49379</v>
      </c>
      <c r="U7963" t="s">
        <v>56156</v>
      </c>
      <c r="W7963" t="s">
        <v>45675</v>
      </c>
      <c r="X7963" t="s">
        <v>47313</v>
      </c>
    </row>
    <row r="7964" spans="1:24">
      <c r="A7964">
        <f>HYPERLINK("https://www.philgeps.gov.ph/GEPSNONPILOT/Tender/SplashBidNoticeAbstractUI.aspx?menuIndex=3&amp;refID=7187152&amp;Result=3","7187152")</f>
        <v>0</v>
      </c>
      <c r="B7964" t="s">
        <v>2520</v>
      </c>
      <c r="C7964" t="s">
        <v>11357</v>
      </c>
      <c r="D7964" t="s">
        <v>19018</v>
      </c>
      <c r="E7964" t="s">
        <v>25992</v>
      </c>
      <c r="F7964" t="s">
        <v>32606</v>
      </c>
      <c r="G7964" t="s">
        <v>32613</v>
      </c>
      <c r="H7964" t="s">
        <v>32623</v>
      </c>
      <c r="I7964" t="s">
        <v>17648</v>
      </c>
      <c r="J7964" t="s">
        <v>32923</v>
      </c>
      <c r="K7964" t="s">
        <v>42661</v>
      </c>
      <c r="M7964" t="s">
        <v>45661</v>
      </c>
      <c r="N7964" t="s">
        <v>47304</v>
      </c>
      <c r="O7964" t="s">
        <v>47305</v>
      </c>
      <c r="P7964">
        <v>0</v>
      </c>
      <c r="Q7964">
        <v>0</v>
      </c>
      <c r="R7964" t="s">
        <v>47312</v>
      </c>
      <c r="S7964" t="s">
        <v>47489</v>
      </c>
      <c r="T7964" t="s">
        <v>49009</v>
      </c>
      <c r="U7964" t="s">
        <v>56175</v>
      </c>
      <c r="W7964" t="s">
        <v>45661</v>
      </c>
      <c r="X7964" t="s">
        <v>47313</v>
      </c>
    </row>
    <row r="7965" spans="1:24">
      <c r="A7965">
        <f>HYPERLINK("https://www.philgeps.gov.ph/GEPSNONPILOT/Tender/SplashBidNoticeAbstractUI.aspx?menuIndex=3&amp;refID=7187150&amp;Result=3","7187150")</f>
        <v>0</v>
      </c>
      <c r="B7965" t="s">
        <v>789</v>
      </c>
      <c r="C7965" t="s">
        <v>11358</v>
      </c>
      <c r="D7965" t="s">
        <v>18995</v>
      </c>
      <c r="E7965" t="s">
        <v>25993</v>
      </c>
      <c r="F7965" t="s">
        <v>32606</v>
      </c>
      <c r="G7965" t="s">
        <v>32613</v>
      </c>
      <c r="H7965" t="s">
        <v>14201</v>
      </c>
      <c r="I7965" t="s">
        <v>32661</v>
      </c>
      <c r="J7965" t="s">
        <v>33269</v>
      </c>
      <c r="K7965" t="s">
        <v>42631</v>
      </c>
      <c r="M7965" t="s">
        <v>43720</v>
      </c>
      <c r="N7965" t="s">
        <v>47304</v>
      </c>
      <c r="O7965" t="s">
        <v>47305</v>
      </c>
      <c r="P7965">
        <v>0</v>
      </c>
      <c r="Q7965">
        <v>6</v>
      </c>
      <c r="R7965" t="s">
        <v>47312</v>
      </c>
      <c r="S7965" t="s">
        <v>47489</v>
      </c>
      <c r="T7965" t="s">
        <v>49100</v>
      </c>
      <c r="U7965" t="s">
        <v>56176</v>
      </c>
      <c r="W7965" t="s">
        <v>43720</v>
      </c>
      <c r="X7965" t="s">
        <v>47313</v>
      </c>
    </row>
    <row r="7966" spans="1:24">
      <c r="A7966">
        <f>HYPERLINK("https://www.philgeps.gov.ph/GEPSNONPILOT/Tender/SplashBidNoticeAbstractUI.aspx?menuIndex=3&amp;refID=7187102&amp;Result=3","7187102")</f>
        <v>0</v>
      </c>
      <c r="B7966" t="s">
        <v>2543</v>
      </c>
      <c r="C7966" t="s">
        <v>11359</v>
      </c>
      <c r="D7966" t="s">
        <v>19039</v>
      </c>
      <c r="E7966" t="s">
        <v>24209</v>
      </c>
      <c r="F7966" t="s">
        <v>32606</v>
      </c>
      <c r="G7966" t="s">
        <v>32615</v>
      </c>
      <c r="H7966" t="s">
        <v>32623</v>
      </c>
      <c r="I7966" t="s">
        <v>6931</v>
      </c>
      <c r="J7966" t="s">
        <v>33148</v>
      </c>
      <c r="K7966" t="s">
        <v>42623</v>
      </c>
      <c r="M7966" t="s">
        <v>45683</v>
      </c>
      <c r="N7966" t="s">
        <v>47304</v>
      </c>
      <c r="O7966" t="s">
        <v>47305</v>
      </c>
      <c r="P7966">
        <v>0</v>
      </c>
      <c r="Q7966">
        <v>0</v>
      </c>
      <c r="R7966" t="s">
        <v>47312</v>
      </c>
      <c r="S7966" t="s">
        <v>47489</v>
      </c>
      <c r="T7966" t="s">
        <v>49065</v>
      </c>
      <c r="U7966" t="s">
        <v>56177</v>
      </c>
      <c r="W7966" t="s">
        <v>45683</v>
      </c>
      <c r="X7966" t="s">
        <v>47313</v>
      </c>
    </row>
    <row r="7967" spans="1:24">
      <c r="A7967">
        <f>HYPERLINK("https://www.philgeps.gov.ph/GEPSNONPILOT/Tender/SplashBidNoticeAbstractUI.aspx?menuIndex=3&amp;refID=7187172&amp;Result=3","7187172")</f>
        <v>0</v>
      </c>
      <c r="B7967" t="s">
        <v>2544</v>
      </c>
      <c r="C7967" t="s">
        <v>11360</v>
      </c>
      <c r="D7967" t="s">
        <v>19003</v>
      </c>
      <c r="E7967" t="s">
        <v>25994</v>
      </c>
      <c r="F7967" t="s">
        <v>32608</v>
      </c>
      <c r="G7967" t="s">
        <v>32614</v>
      </c>
      <c r="H7967" t="s">
        <v>14201</v>
      </c>
      <c r="I7967" t="s">
        <v>6478</v>
      </c>
      <c r="J7967" t="s">
        <v>37761</v>
      </c>
      <c r="K7967" t="s">
        <v>42632</v>
      </c>
      <c r="M7967" t="s">
        <v>45684</v>
      </c>
      <c r="N7967" t="s">
        <v>47304</v>
      </c>
      <c r="O7967" t="s">
        <v>47305</v>
      </c>
      <c r="P7967">
        <v>0</v>
      </c>
      <c r="Q7967">
        <v>1</v>
      </c>
      <c r="R7967" t="s">
        <v>47312</v>
      </c>
      <c r="S7967" t="s">
        <v>47489</v>
      </c>
      <c r="T7967" t="s">
        <v>48975</v>
      </c>
      <c r="U7967" t="s">
        <v>56178</v>
      </c>
      <c r="W7967" t="s">
        <v>45684</v>
      </c>
      <c r="X7967" t="s">
        <v>47313</v>
      </c>
    </row>
    <row r="7968" spans="1:24">
      <c r="A7968">
        <f>HYPERLINK("https://www.philgeps.gov.ph/GEPSNONPILOT/Tender/SplashBidNoticeAbstractUI.aspx?menuIndex=3&amp;refID=7187191&amp;Result=3","7187191")</f>
        <v>0</v>
      </c>
      <c r="B7968" t="s">
        <v>2539</v>
      </c>
      <c r="C7968" t="s">
        <v>11361</v>
      </c>
      <c r="D7968" t="s">
        <v>18990</v>
      </c>
      <c r="E7968" t="s">
        <v>25995</v>
      </c>
      <c r="F7968" t="s">
        <v>32606</v>
      </c>
      <c r="G7968" t="s">
        <v>32614</v>
      </c>
      <c r="H7968" t="s">
        <v>14201</v>
      </c>
      <c r="I7968" t="s">
        <v>17648</v>
      </c>
      <c r="J7968" t="s">
        <v>37762</v>
      </c>
      <c r="K7968" t="s">
        <v>42631</v>
      </c>
      <c r="M7968" t="s">
        <v>45679</v>
      </c>
      <c r="N7968" t="s">
        <v>47304</v>
      </c>
      <c r="O7968" t="s">
        <v>47305</v>
      </c>
      <c r="P7968">
        <v>0</v>
      </c>
      <c r="Q7968">
        <v>1</v>
      </c>
      <c r="R7968" t="s">
        <v>47312</v>
      </c>
      <c r="S7968" t="s">
        <v>47489</v>
      </c>
      <c r="T7968" t="s">
        <v>49269</v>
      </c>
      <c r="U7968" t="s">
        <v>56179</v>
      </c>
      <c r="W7968" t="s">
        <v>45679</v>
      </c>
      <c r="X7968" t="s">
        <v>47313</v>
      </c>
    </row>
    <row r="7969" spans="1:24">
      <c r="A7969">
        <f>HYPERLINK("https://www.philgeps.gov.ph/GEPSNONPILOT/Tender/SplashBidNoticeAbstractUI.aspx?menuIndex=3&amp;refID=7187165&amp;Result=3","7187165")</f>
        <v>0</v>
      </c>
      <c r="B7969" t="s">
        <v>340</v>
      </c>
      <c r="C7969" t="s">
        <v>11362</v>
      </c>
      <c r="D7969" t="s">
        <v>19029</v>
      </c>
      <c r="E7969" t="s">
        <v>25996</v>
      </c>
      <c r="F7969" t="s">
        <v>32606</v>
      </c>
      <c r="G7969" t="s">
        <v>32613</v>
      </c>
      <c r="H7969" t="s">
        <v>32623</v>
      </c>
      <c r="I7969" t="s">
        <v>17648</v>
      </c>
      <c r="J7969" t="s">
        <v>37763</v>
      </c>
      <c r="K7969" t="s">
        <v>42682</v>
      </c>
      <c r="M7969" t="s">
        <v>43242</v>
      </c>
      <c r="N7969" t="s">
        <v>47304</v>
      </c>
      <c r="O7969" t="s">
        <v>47305</v>
      </c>
      <c r="P7969">
        <v>0</v>
      </c>
      <c r="Q7969">
        <v>0</v>
      </c>
      <c r="R7969" t="s">
        <v>47312</v>
      </c>
      <c r="S7969" t="s">
        <v>47489</v>
      </c>
      <c r="T7969" t="s">
        <v>49129</v>
      </c>
      <c r="U7969" t="s">
        <v>56180</v>
      </c>
      <c r="W7969" t="s">
        <v>43242</v>
      </c>
      <c r="X7969" t="s">
        <v>47313</v>
      </c>
    </row>
    <row r="7970" spans="1:24">
      <c r="A7970">
        <f>HYPERLINK("https://www.philgeps.gov.ph/GEPSNONPILOT/Tender/SplashBidNoticeAbstractUI.aspx?menuIndex=3&amp;refID=7187188&amp;Result=3","7187188")</f>
        <v>0</v>
      </c>
      <c r="B7970" t="s">
        <v>340</v>
      </c>
      <c r="C7970" t="s">
        <v>11363</v>
      </c>
      <c r="D7970" t="s">
        <v>19029</v>
      </c>
      <c r="E7970" t="s">
        <v>25997</v>
      </c>
      <c r="F7970" t="s">
        <v>32606</v>
      </c>
      <c r="G7970" t="s">
        <v>32613</v>
      </c>
      <c r="H7970" t="s">
        <v>32623</v>
      </c>
      <c r="I7970" t="s">
        <v>17648</v>
      </c>
      <c r="J7970" t="s">
        <v>37764</v>
      </c>
      <c r="K7970" t="s">
        <v>42645</v>
      </c>
      <c r="M7970" t="s">
        <v>43242</v>
      </c>
      <c r="N7970" t="s">
        <v>47304</v>
      </c>
      <c r="O7970" t="s">
        <v>47305</v>
      </c>
      <c r="P7970">
        <v>0</v>
      </c>
      <c r="Q7970">
        <v>0</v>
      </c>
      <c r="R7970" t="s">
        <v>47312</v>
      </c>
      <c r="S7970" t="s">
        <v>47489</v>
      </c>
      <c r="T7970" t="s">
        <v>49129</v>
      </c>
      <c r="U7970" t="s">
        <v>56181</v>
      </c>
      <c r="W7970" t="s">
        <v>43242</v>
      </c>
      <c r="X7970" t="s">
        <v>47313</v>
      </c>
    </row>
    <row r="7971" spans="1:24">
      <c r="A7971">
        <f>HYPERLINK("https://www.philgeps.gov.ph/GEPSNONPILOT/Tender/SplashBidNoticeAbstractUI.aspx?menuIndex=3&amp;refID=7187186&amp;Result=3","7187186")</f>
        <v>0</v>
      </c>
      <c r="B7971" t="s">
        <v>2525</v>
      </c>
      <c r="C7971" t="s">
        <v>11364</v>
      </c>
      <c r="D7971" t="s">
        <v>18993</v>
      </c>
      <c r="E7971" t="s">
        <v>25998</v>
      </c>
      <c r="F7971" t="s">
        <v>32606</v>
      </c>
      <c r="G7971" t="s">
        <v>32619</v>
      </c>
      <c r="H7971" t="s">
        <v>14201</v>
      </c>
      <c r="I7971" t="s">
        <v>13131</v>
      </c>
      <c r="J7971" t="s">
        <v>36561</v>
      </c>
      <c r="K7971" t="s">
        <v>42631</v>
      </c>
      <c r="M7971" t="s">
        <v>45666</v>
      </c>
      <c r="N7971" t="s">
        <v>47304</v>
      </c>
      <c r="O7971" t="s">
        <v>47305</v>
      </c>
      <c r="P7971">
        <v>0</v>
      </c>
      <c r="Q7971">
        <v>4</v>
      </c>
      <c r="R7971" t="s">
        <v>47312</v>
      </c>
      <c r="S7971" t="s">
        <v>47489</v>
      </c>
      <c r="T7971" t="s">
        <v>48998</v>
      </c>
      <c r="U7971" t="s">
        <v>56182</v>
      </c>
      <c r="W7971" t="s">
        <v>45666</v>
      </c>
      <c r="X7971" t="s">
        <v>47313</v>
      </c>
    </row>
    <row r="7972" spans="1:24">
      <c r="A7972">
        <f>HYPERLINK("https://www.philgeps.gov.ph/GEPSNONPILOT/Tender/SplashBidNoticeAbstractUI.aspx?menuIndex=3&amp;refID=7187181&amp;Result=3","7187181")</f>
        <v>0</v>
      </c>
      <c r="B7972" t="s">
        <v>2545</v>
      </c>
      <c r="C7972" t="s">
        <v>11365</v>
      </c>
      <c r="D7972" t="s">
        <v>19003</v>
      </c>
      <c r="E7972" t="s">
        <v>19370</v>
      </c>
      <c r="F7972" t="s">
        <v>32606</v>
      </c>
      <c r="G7972" t="s">
        <v>32615</v>
      </c>
      <c r="H7972" t="s">
        <v>32623</v>
      </c>
      <c r="I7972" t="s">
        <v>17648</v>
      </c>
      <c r="J7972" t="s">
        <v>32778</v>
      </c>
      <c r="K7972" t="s">
        <v>42649</v>
      </c>
      <c r="M7972" t="s">
        <v>45685</v>
      </c>
      <c r="N7972" t="s">
        <v>47304</v>
      </c>
      <c r="O7972" t="s">
        <v>47305</v>
      </c>
      <c r="P7972">
        <v>0</v>
      </c>
      <c r="Q7972">
        <v>0</v>
      </c>
      <c r="R7972" t="s">
        <v>47312</v>
      </c>
      <c r="S7972" t="s">
        <v>47489</v>
      </c>
      <c r="T7972" t="s">
        <v>49330</v>
      </c>
      <c r="U7972" t="s">
        <v>56183</v>
      </c>
      <c r="W7972" t="s">
        <v>45685</v>
      </c>
      <c r="X7972" t="s">
        <v>47313</v>
      </c>
    </row>
    <row r="7973" spans="1:24">
      <c r="A7973">
        <f>HYPERLINK("https://www.philgeps.gov.ph/GEPSNONPILOT/Tender/SplashBidNoticeAbstractUI.aspx?menuIndex=3&amp;refID=7187147&amp;Result=3","7187147")</f>
        <v>0</v>
      </c>
      <c r="B7973" t="s">
        <v>1235</v>
      </c>
      <c r="C7973" t="s">
        <v>11366</v>
      </c>
      <c r="D7973" t="s">
        <v>18997</v>
      </c>
      <c r="E7973" t="s">
        <v>19690</v>
      </c>
      <c r="F7973" t="s">
        <v>32608</v>
      </c>
      <c r="G7973" t="s">
        <v>32613</v>
      </c>
      <c r="H7973" t="s">
        <v>14201</v>
      </c>
      <c r="I7973" t="s">
        <v>4120</v>
      </c>
      <c r="J7973" t="s">
        <v>37765</v>
      </c>
      <c r="K7973" t="s">
        <v>42630</v>
      </c>
      <c r="M7973" t="s">
        <v>44200</v>
      </c>
      <c r="N7973" t="s">
        <v>47304</v>
      </c>
      <c r="O7973" t="s">
        <v>47305</v>
      </c>
      <c r="P7973">
        <v>0</v>
      </c>
      <c r="Q7973">
        <v>1</v>
      </c>
      <c r="R7973" t="s">
        <v>47312</v>
      </c>
      <c r="S7973" t="s">
        <v>47489</v>
      </c>
      <c r="T7973" t="s">
        <v>49066</v>
      </c>
      <c r="U7973" t="s">
        <v>56184</v>
      </c>
      <c r="W7973" t="s">
        <v>44200</v>
      </c>
      <c r="X7973" t="s">
        <v>47313</v>
      </c>
    </row>
    <row r="7974" spans="1:24">
      <c r="A7974">
        <f>HYPERLINK("https://www.philgeps.gov.ph/GEPSNONPILOT/Tender/SplashBidNoticeAbstractUI.aspx?menuIndex=3&amp;refID=7187148&amp;Result=3","7187148")</f>
        <v>0</v>
      </c>
      <c r="B7974" t="s">
        <v>2505</v>
      </c>
      <c r="C7974" t="s">
        <v>11367</v>
      </c>
      <c r="D7974" t="s">
        <v>19007</v>
      </c>
      <c r="E7974" t="s">
        <v>25893</v>
      </c>
      <c r="F7974" t="s">
        <v>32606</v>
      </c>
      <c r="G7974" t="s">
        <v>32613</v>
      </c>
      <c r="H7974" t="s">
        <v>32623</v>
      </c>
      <c r="I7974" t="s">
        <v>17648</v>
      </c>
      <c r="J7974" t="s">
        <v>37734</v>
      </c>
      <c r="K7974" t="s">
        <v>42636</v>
      </c>
      <c r="M7974" t="s">
        <v>45644</v>
      </c>
      <c r="N7974" t="s">
        <v>47304</v>
      </c>
      <c r="O7974" t="s">
        <v>47305</v>
      </c>
      <c r="P7974">
        <v>0</v>
      </c>
      <c r="Q7974">
        <v>1</v>
      </c>
      <c r="R7974" t="s">
        <v>47312</v>
      </c>
      <c r="S7974" t="s">
        <v>47489</v>
      </c>
      <c r="T7974" t="s">
        <v>49077</v>
      </c>
      <c r="U7974" t="s">
        <v>56075</v>
      </c>
      <c r="V7974" t="s">
        <v>63428</v>
      </c>
      <c r="W7974" t="s">
        <v>45644</v>
      </c>
      <c r="X7974" t="s">
        <v>47313</v>
      </c>
    </row>
    <row r="7975" spans="1:24">
      <c r="A7975">
        <f>HYPERLINK("https://www.philgeps.gov.ph/GEPSNONPILOT/Tender/SplashBidNoticeAbstractUI.aspx?menuIndex=3&amp;refID=7187170&amp;Result=3","7187170")</f>
        <v>0</v>
      </c>
      <c r="B7975" t="s">
        <v>187</v>
      </c>
      <c r="C7975" t="s">
        <v>11368</v>
      </c>
      <c r="D7975" t="s">
        <v>19038</v>
      </c>
      <c r="E7975" t="s">
        <v>25999</v>
      </c>
      <c r="F7975" t="s">
        <v>32606</v>
      </c>
      <c r="G7975" t="s">
        <v>32613</v>
      </c>
      <c r="H7975" t="s">
        <v>14201</v>
      </c>
      <c r="I7975" t="s">
        <v>32661</v>
      </c>
      <c r="J7975" t="s">
        <v>37766</v>
      </c>
      <c r="K7975" t="s">
        <v>42622</v>
      </c>
      <c r="M7975" t="s">
        <v>43088</v>
      </c>
      <c r="N7975" t="s">
        <v>47304</v>
      </c>
      <c r="O7975" t="s">
        <v>47305</v>
      </c>
      <c r="P7975">
        <v>0</v>
      </c>
      <c r="Q7975">
        <v>0</v>
      </c>
      <c r="R7975" t="s">
        <v>47312</v>
      </c>
      <c r="S7975" t="s">
        <v>47489</v>
      </c>
      <c r="T7975" t="s">
        <v>48998</v>
      </c>
      <c r="U7975" t="s">
        <v>56185</v>
      </c>
      <c r="W7975" t="s">
        <v>43088</v>
      </c>
      <c r="X7975" t="s">
        <v>47313</v>
      </c>
    </row>
    <row r="7976" spans="1:24">
      <c r="A7976">
        <f>HYPERLINK("https://www.philgeps.gov.ph/GEPSNONPILOT/Tender/SplashBidNoticeAbstractUI.aspx?menuIndex=3&amp;refID=7187175&amp;Result=3","7187175")</f>
        <v>0</v>
      </c>
      <c r="B7976" t="s">
        <v>2505</v>
      </c>
      <c r="C7976" t="s">
        <v>11369</v>
      </c>
      <c r="D7976" t="s">
        <v>19007</v>
      </c>
      <c r="E7976" t="s">
        <v>25893</v>
      </c>
      <c r="F7976" t="s">
        <v>32606</v>
      </c>
      <c r="G7976" t="s">
        <v>32613</v>
      </c>
      <c r="H7976" t="s">
        <v>32623</v>
      </c>
      <c r="I7976" t="s">
        <v>17648</v>
      </c>
      <c r="J7976" t="s">
        <v>37734</v>
      </c>
      <c r="K7976" t="s">
        <v>42636</v>
      </c>
      <c r="M7976" t="s">
        <v>45644</v>
      </c>
      <c r="N7976" t="s">
        <v>47304</v>
      </c>
      <c r="O7976" t="s">
        <v>47305</v>
      </c>
      <c r="P7976">
        <v>0</v>
      </c>
      <c r="Q7976">
        <v>1</v>
      </c>
      <c r="R7976" t="s">
        <v>47312</v>
      </c>
      <c r="S7976" t="s">
        <v>47489</v>
      </c>
      <c r="T7976" t="s">
        <v>49077</v>
      </c>
      <c r="U7976" t="s">
        <v>56075</v>
      </c>
      <c r="V7976" t="s">
        <v>63429</v>
      </c>
      <c r="W7976" t="s">
        <v>45644</v>
      </c>
      <c r="X7976" t="s">
        <v>47313</v>
      </c>
    </row>
    <row r="7977" spans="1:24">
      <c r="A7977">
        <f>HYPERLINK("https://www.philgeps.gov.ph/GEPSNONPILOT/Tender/SplashBidNoticeAbstractUI.aspx?menuIndex=3&amp;refID=7187174&amp;Result=3","7187174")</f>
        <v>0</v>
      </c>
      <c r="B7977" t="s">
        <v>2532</v>
      </c>
      <c r="C7977" t="s">
        <v>11370</v>
      </c>
      <c r="D7977" t="s">
        <v>19004</v>
      </c>
      <c r="E7977" t="s">
        <v>25972</v>
      </c>
      <c r="F7977" t="s">
        <v>32606</v>
      </c>
      <c r="G7977" t="s">
        <v>32613</v>
      </c>
      <c r="H7977" t="s">
        <v>32623</v>
      </c>
      <c r="I7977" t="s">
        <v>17648</v>
      </c>
      <c r="J7977" t="s">
        <v>33663</v>
      </c>
      <c r="K7977" t="s">
        <v>42637</v>
      </c>
      <c r="M7977" t="s">
        <v>45672</v>
      </c>
      <c r="N7977" t="s">
        <v>47304</v>
      </c>
      <c r="O7977" t="s">
        <v>47305</v>
      </c>
      <c r="P7977">
        <v>0</v>
      </c>
      <c r="Q7977">
        <v>0</v>
      </c>
      <c r="R7977" t="s">
        <v>47312</v>
      </c>
      <c r="S7977" t="s">
        <v>47489</v>
      </c>
      <c r="T7977" t="s">
        <v>48980</v>
      </c>
      <c r="U7977" t="s">
        <v>56186</v>
      </c>
      <c r="W7977" t="s">
        <v>45672</v>
      </c>
      <c r="X7977" t="s">
        <v>47313</v>
      </c>
    </row>
    <row r="7978" spans="1:24">
      <c r="A7978">
        <f>HYPERLINK("https://www.philgeps.gov.ph/GEPSNONPILOT/Tender/SplashBidNoticeAbstractUI.aspx?menuIndex=3&amp;refID=7187218&amp;Result=3","7187218")</f>
        <v>0</v>
      </c>
      <c r="B7978" t="s">
        <v>2530</v>
      </c>
      <c r="C7978" t="s">
        <v>11371</v>
      </c>
      <c r="D7978" t="s">
        <v>19040</v>
      </c>
      <c r="E7978" t="s">
        <v>26000</v>
      </c>
      <c r="F7978" t="s">
        <v>32606</v>
      </c>
      <c r="G7978" t="s">
        <v>32614</v>
      </c>
      <c r="H7978" t="s">
        <v>14201</v>
      </c>
      <c r="I7978" t="s">
        <v>4120</v>
      </c>
      <c r="J7978" t="s">
        <v>37767</v>
      </c>
      <c r="K7978" t="s">
        <v>42622</v>
      </c>
      <c r="M7978" t="s">
        <v>45670</v>
      </c>
      <c r="N7978" t="s">
        <v>47304</v>
      </c>
      <c r="O7978" t="s">
        <v>47305</v>
      </c>
      <c r="P7978">
        <v>0</v>
      </c>
      <c r="Q7978">
        <v>2</v>
      </c>
      <c r="R7978" t="s">
        <v>47312</v>
      </c>
      <c r="S7978" t="s">
        <v>47489</v>
      </c>
      <c r="T7978" t="s">
        <v>49000</v>
      </c>
      <c r="U7978" t="s">
        <v>56187</v>
      </c>
      <c r="V7978" t="s">
        <v>63430</v>
      </c>
      <c r="W7978" t="s">
        <v>45670</v>
      </c>
      <c r="X7978" t="s">
        <v>47313</v>
      </c>
    </row>
    <row r="7979" spans="1:24">
      <c r="A7979">
        <f>HYPERLINK("https://www.philgeps.gov.ph/GEPSNONPILOT/Tender/SplashBidNoticeAbstractUI.aspx?menuIndex=3&amp;refID=7187169&amp;Result=3","7187169")</f>
        <v>0</v>
      </c>
      <c r="B7979" t="s">
        <v>932</v>
      </c>
      <c r="C7979" t="s">
        <v>11372</v>
      </c>
      <c r="D7979" t="s">
        <v>19003</v>
      </c>
      <c r="E7979" t="s">
        <v>26001</v>
      </c>
      <c r="F7979" t="s">
        <v>32606</v>
      </c>
      <c r="G7979" t="s">
        <v>32613</v>
      </c>
      <c r="H7979" t="s">
        <v>32623</v>
      </c>
      <c r="I7979" t="s">
        <v>17648</v>
      </c>
      <c r="J7979" t="s">
        <v>37768</v>
      </c>
      <c r="K7979" t="s">
        <v>42627</v>
      </c>
      <c r="M7979" t="s">
        <v>43872</v>
      </c>
      <c r="N7979" t="s">
        <v>47304</v>
      </c>
      <c r="O7979" t="s">
        <v>47305</v>
      </c>
      <c r="P7979">
        <v>0</v>
      </c>
      <c r="Q7979">
        <v>0</v>
      </c>
      <c r="R7979" t="s">
        <v>47312</v>
      </c>
      <c r="S7979" t="s">
        <v>47489</v>
      </c>
      <c r="T7979" t="s">
        <v>48998</v>
      </c>
      <c r="U7979" t="s">
        <v>56164</v>
      </c>
      <c r="V7979" t="s">
        <v>63431</v>
      </c>
      <c r="W7979" t="s">
        <v>43872</v>
      </c>
      <c r="X7979" t="s">
        <v>47313</v>
      </c>
    </row>
    <row r="7980" spans="1:24">
      <c r="A7980">
        <f>HYPERLINK("https://www.philgeps.gov.ph/GEPSNONPILOT/Tender/SplashBidNoticeAbstractUI.aspx?menuIndex=3&amp;refID=7187213&amp;Result=3","7187213")</f>
        <v>0</v>
      </c>
      <c r="B7980" t="s">
        <v>2546</v>
      </c>
      <c r="C7980" t="s">
        <v>11373</v>
      </c>
      <c r="D7980" t="s">
        <v>19020</v>
      </c>
      <c r="E7980" t="s">
        <v>26002</v>
      </c>
      <c r="F7980" t="s">
        <v>32606</v>
      </c>
      <c r="G7980" t="s">
        <v>32613</v>
      </c>
      <c r="H7980" t="s">
        <v>32623</v>
      </c>
      <c r="I7980" t="s">
        <v>17648</v>
      </c>
      <c r="J7980" t="s">
        <v>37769</v>
      </c>
      <c r="K7980" t="s">
        <v>42627</v>
      </c>
      <c r="M7980" t="s">
        <v>45686</v>
      </c>
      <c r="N7980" t="s">
        <v>47304</v>
      </c>
      <c r="O7980" t="s">
        <v>47305</v>
      </c>
      <c r="P7980">
        <v>0</v>
      </c>
      <c r="Q7980">
        <v>0</v>
      </c>
      <c r="R7980" t="s">
        <v>47312</v>
      </c>
      <c r="S7980" t="s">
        <v>47489</v>
      </c>
      <c r="T7980" t="s">
        <v>49075</v>
      </c>
      <c r="U7980" t="s">
        <v>56188</v>
      </c>
      <c r="W7980" t="s">
        <v>45686</v>
      </c>
      <c r="X7980" t="s">
        <v>47313</v>
      </c>
    </row>
    <row r="7981" spans="1:24">
      <c r="A7981">
        <f>HYPERLINK("https://www.philgeps.gov.ph/GEPSNONPILOT/Tender/SplashBidNoticeAbstractUI.aspx?menuIndex=3&amp;refID=7187211&amp;Result=3","7187211")</f>
        <v>0</v>
      </c>
      <c r="B7981" t="s">
        <v>2547</v>
      </c>
      <c r="C7981" t="s">
        <v>11374</v>
      </c>
      <c r="D7981" t="s">
        <v>19022</v>
      </c>
      <c r="E7981" t="s">
        <v>26003</v>
      </c>
      <c r="F7981" t="s">
        <v>32606</v>
      </c>
      <c r="G7981" t="s">
        <v>32614</v>
      </c>
      <c r="H7981" t="s">
        <v>14201</v>
      </c>
      <c r="I7981" t="s">
        <v>32637</v>
      </c>
      <c r="J7981" t="s">
        <v>33034</v>
      </c>
      <c r="K7981" t="s">
        <v>42624</v>
      </c>
      <c r="M7981" t="s">
        <v>45687</v>
      </c>
      <c r="N7981" t="s">
        <v>47304</v>
      </c>
      <c r="O7981" t="s">
        <v>47305</v>
      </c>
      <c r="P7981">
        <v>0</v>
      </c>
      <c r="Q7981">
        <v>3</v>
      </c>
      <c r="R7981" t="s">
        <v>47312</v>
      </c>
      <c r="S7981" t="s">
        <v>47489</v>
      </c>
      <c r="T7981" t="s">
        <v>49381</v>
      </c>
      <c r="U7981" t="s">
        <v>56189</v>
      </c>
      <c r="V7981" t="s">
        <v>63432</v>
      </c>
      <c r="W7981" t="s">
        <v>45687</v>
      </c>
      <c r="X7981" t="s">
        <v>47313</v>
      </c>
    </row>
    <row r="7982" spans="1:24">
      <c r="A7982">
        <f>HYPERLINK("https://www.philgeps.gov.ph/GEPSNONPILOT/Tender/SplashBidNoticeAbstractUI.aspx?menuIndex=3&amp;refID=7187210&amp;Result=3","7187210")</f>
        <v>0</v>
      </c>
      <c r="B7982" t="s">
        <v>2505</v>
      </c>
      <c r="C7982" t="s">
        <v>11375</v>
      </c>
      <c r="D7982" t="s">
        <v>19007</v>
      </c>
      <c r="E7982" t="s">
        <v>25893</v>
      </c>
      <c r="F7982" t="s">
        <v>32606</v>
      </c>
      <c r="G7982" t="s">
        <v>32613</v>
      </c>
      <c r="H7982" t="s">
        <v>32623</v>
      </c>
      <c r="I7982" t="s">
        <v>17648</v>
      </c>
      <c r="J7982" t="s">
        <v>37710</v>
      </c>
      <c r="K7982" t="s">
        <v>42636</v>
      </c>
      <c r="M7982" t="s">
        <v>45644</v>
      </c>
      <c r="N7982" t="s">
        <v>47304</v>
      </c>
      <c r="O7982" t="s">
        <v>47305</v>
      </c>
      <c r="P7982">
        <v>0</v>
      </c>
      <c r="Q7982">
        <v>1</v>
      </c>
      <c r="R7982" t="s">
        <v>47312</v>
      </c>
      <c r="S7982" t="s">
        <v>47489</v>
      </c>
      <c r="T7982" t="s">
        <v>49077</v>
      </c>
      <c r="U7982" t="s">
        <v>56075</v>
      </c>
      <c r="V7982" t="s">
        <v>63433</v>
      </c>
      <c r="W7982" t="s">
        <v>45644</v>
      </c>
      <c r="X7982" t="s">
        <v>47313</v>
      </c>
    </row>
    <row r="7983" spans="1:24">
      <c r="A7983">
        <f>HYPERLINK("https://www.philgeps.gov.ph/GEPSNONPILOT/Tender/SplashBidNoticeAbstractUI.aspx?menuIndex=3&amp;refID=7187142&amp;Result=3","7187142")</f>
        <v>0</v>
      </c>
      <c r="B7983" t="s">
        <v>397</v>
      </c>
      <c r="C7983" t="s">
        <v>11376</v>
      </c>
      <c r="D7983" t="s">
        <v>18992</v>
      </c>
      <c r="E7983" t="s">
        <v>26004</v>
      </c>
      <c r="F7983" t="s">
        <v>32606</v>
      </c>
      <c r="G7983" t="s">
        <v>32613</v>
      </c>
      <c r="H7983" t="s">
        <v>14201</v>
      </c>
      <c r="I7983" t="s">
        <v>6931</v>
      </c>
      <c r="J7983" t="s">
        <v>37770</v>
      </c>
      <c r="K7983" t="s">
        <v>42636</v>
      </c>
      <c r="M7983" t="s">
        <v>43300</v>
      </c>
      <c r="N7983" t="s">
        <v>47304</v>
      </c>
      <c r="O7983" t="s">
        <v>47305</v>
      </c>
      <c r="P7983">
        <v>0</v>
      </c>
      <c r="Q7983">
        <v>0</v>
      </c>
      <c r="R7983" t="s">
        <v>47312</v>
      </c>
      <c r="S7983" t="s">
        <v>47489</v>
      </c>
      <c r="T7983" t="s">
        <v>48998</v>
      </c>
      <c r="U7983" t="s">
        <v>56190</v>
      </c>
      <c r="W7983" t="s">
        <v>43300</v>
      </c>
      <c r="X7983" t="s">
        <v>47313</v>
      </c>
    </row>
    <row r="7984" spans="1:24">
      <c r="A7984">
        <f>HYPERLINK("https://www.philgeps.gov.ph/GEPSNONPILOT/Tender/SplashBidNoticeAbstractUI.aspx?menuIndex=3&amp;refID=7187234&amp;Result=3","7187234")</f>
        <v>0</v>
      </c>
      <c r="B7984" t="s">
        <v>2284</v>
      </c>
      <c r="C7984" t="s">
        <v>4040</v>
      </c>
      <c r="D7984" t="s">
        <v>19011</v>
      </c>
      <c r="E7984" t="s">
        <v>26005</v>
      </c>
      <c r="F7984" t="s">
        <v>32606</v>
      </c>
      <c r="G7984" t="s">
        <v>32613</v>
      </c>
      <c r="H7984" t="s">
        <v>14201</v>
      </c>
      <c r="I7984" t="s">
        <v>32633</v>
      </c>
      <c r="J7984" t="s">
        <v>37771</v>
      </c>
      <c r="K7984" t="s">
        <v>42631</v>
      </c>
      <c r="M7984" t="s">
        <v>45389</v>
      </c>
      <c r="N7984" t="s">
        <v>47304</v>
      </c>
      <c r="O7984" t="s">
        <v>47305</v>
      </c>
      <c r="P7984">
        <v>0</v>
      </c>
      <c r="Q7984">
        <v>6</v>
      </c>
      <c r="R7984" t="s">
        <v>47312</v>
      </c>
      <c r="S7984" t="s">
        <v>47489</v>
      </c>
      <c r="T7984" t="s">
        <v>48971</v>
      </c>
      <c r="U7984" t="s">
        <v>56191</v>
      </c>
      <c r="W7984" t="s">
        <v>45389</v>
      </c>
      <c r="X7984" t="s">
        <v>47313</v>
      </c>
    </row>
    <row r="7985" spans="1:24">
      <c r="A7985">
        <f>HYPERLINK("https://www.philgeps.gov.ph/GEPSNONPILOT/Tender/SplashBidNoticeAbstractUI.aspx?menuIndex=3&amp;refID=7187230&amp;Result=3","7187230")</f>
        <v>0</v>
      </c>
      <c r="B7985" t="s">
        <v>207</v>
      </c>
      <c r="C7985" t="s">
        <v>11377</v>
      </c>
      <c r="D7985" t="s">
        <v>19047</v>
      </c>
      <c r="E7985" t="s">
        <v>26006</v>
      </c>
      <c r="F7985" t="s">
        <v>32606</v>
      </c>
      <c r="G7985" t="s">
        <v>32613</v>
      </c>
      <c r="H7985" t="s">
        <v>14201</v>
      </c>
      <c r="I7985" t="s">
        <v>32629</v>
      </c>
      <c r="J7985" t="s">
        <v>37772</v>
      </c>
      <c r="K7985" t="s">
        <v>42631</v>
      </c>
      <c r="M7985" t="s">
        <v>43108</v>
      </c>
      <c r="N7985" t="s">
        <v>47304</v>
      </c>
      <c r="O7985" t="s">
        <v>47305</v>
      </c>
      <c r="P7985">
        <v>0</v>
      </c>
      <c r="Q7985">
        <v>0</v>
      </c>
      <c r="R7985" t="s">
        <v>47312</v>
      </c>
      <c r="S7985" t="s">
        <v>47489</v>
      </c>
      <c r="T7985" t="s">
        <v>49140</v>
      </c>
      <c r="U7985" t="s">
        <v>49912</v>
      </c>
      <c r="V7985" t="s">
        <v>62695</v>
      </c>
      <c r="W7985" t="s">
        <v>43108</v>
      </c>
      <c r="X7985" t="s">
        <v>47313</v>
      </c>
    </row>
    <row r="7986" spans="1:24">
      <c r="A7986">
        <f>HYPERLINK("https://www.philgeps.gov.ph/GEPSNONPILOT/Tender/SplashBidNoticeAbstractUI.aspx?menuIndex=3&amp;refID=7187225&amp;Result=3","7187225")</f>
        <v>0</v>
      </c>
      <c r="B7986" t="s">
        <v>2548</v>
      </c>
      <c r="C7986" t="s">
        <v>11378</v>
      </c>
      <c r="D7986" t="s">
        <v>19004</v>
      </c>
      <c r="E7986" t="s">
        <v>26007</v>
      </c>
      <c r="F7986" t="s">
        <v>32606</v>
      </c>
      <c r="G7986" t="s">
        <v>32613</v>
      </c>
      <c r="H7986" t="s">
        <v>14201</v>
      </c>
      <c r="I7986" t="s">
        <v>4678</v>
      </c>
      <c r="J7986" t="s">
        <v>34485</v>
      </c>
      <c r="K7986" t="s">
        <v>42630</v>
      </c>
      <c r="M7986" t="s">
        <v>45688</v>
      </c>
      <c r="N7986" t="s">
        <v>47304</v>
      </c>
      <c r="O7986" t="s">
        <v>47305</v>
      </c>
      <c r="P7986">
        <v>0</v>
      </c>
      <c r="Q7986">
        <v>0</v>
      </c>
      <c r="R7986" t="s">
        <v>47312</v>
      </c>
      <c r="S7986" t="s">
        <v>47489</v>
      </c>
      <c r="T7986" t="s">
        <v>49160</v>
      </c>
      <c r="U7986" t="s">
        <v>56192</v>
      </c>
      <c r="W7986" t="s">
        <v>64507</v>
      </c>
      <c r="X7986" t="s">
        <v>47313</v>
      </c>
    </row>
    <row r="7987" spans="1:24">
      <c r="A7987">
        <f>HYPERLINK("https://www.philgeps.gov.ph/GEPSNONPILOT/Tender/SplashBidNoticeAbstractUI.aspx?menuIndex=3&amp;refID=7187224&amp;Result=3","7187224")</f>
        <v>0</v>
      </c>
      <c r="B7987" t="s">
        <v>313</v>
      </c>
      <c r="C7987" t="s">
        <v>11379</v>
      </c>
      <c r="D7987" t="s">
        <v>18993</v>
      </c>
      <c r="E7987" t="s">
        <v>11379</v>
      </c>
      <c r="F7987" t="s">
        <v>32606</v>
      </c>
      <c r="G7987" t="s">
        <v>32614</v>
      </c>
      <c r="H7987" t="s">
        <v>14201</v>
      </c>
      <c r="I7987" t="s">
        <v>6931</v>
      </c>
      <c r="J7987" t="s">
        <v>37773</v>
      </c>
      <c r="K7987" t="s">
        <v>42623</v>
      </c>
      <c r="M7987" t="s">
        <v>43215</v>
      </c>
      <c r="N7987" t="s">
        <v>47304</v>
      </c>
      <c r="O7987" t="s">
        <v>47305</v>
      </c>
      <c r="P7987">
        <v>0</v>
      </c>
      <c r="Q7987">
        <v>5</v>
      </c>
      <c r="R7987" t="s">
        <v>47312</v>
      </c>
      <c r="S7987" t="s">
        <v>47489</v>
      </c>
      <c r="T7987" t="s">
        <v>49269</v>
      </c>
      <c r="U7987" t="s">
        <v>56193</v>
      </c>
      <c r="W7987" t="s">
        <v>43215</v>
      </c>
      <c r="X7987" t="s">
        <v>47313</v>
      </c>
    </row>
    <row r="7988" spans="1:24">
      <c r="A7988">
        <f>HYPERLINK("https://www.philgeps.gov.ph/GEPSNONPILOT/Tender/SplashBidNoticeAbstractUI.aspx?menuIndex=3&amp;refID=7187183&amp;Result=3","7187183")</f>
        <v>0</v>
      </c>
      <c r="B7988" t="s">
        <v>813</v>
      </c>
      <c r="C7988" t="s">
        <v>11380</v>
      </c>
      <c r="D7988" t="s">
        <v>19044</v>
      </c>
      <c r="E7988" t="s">
        <v>26008</v>
      </c>
      <c r="F7988" t="s">
        <v>32606</v>
      </c>
      <c r="G7988" t="s">
        <v>32614</v>
      </c>
      <c r="H7988" t="s">
        <v>14201</v>
      </c>
      <c r="I7988" t="s">
        <v>32633</v>
      </c>
      <c r="J7988" t="s">
        <v>37774</v>
      </c>
      <c r="K7988" t="s">
        <v>42630</v>
      </c>
      <c r="M7988" t="s">
        <v>43744</v>
      </c>
      <c r="N7988" t="s">
        <v>47304</v>
      </c>
      <c r="O7988" t="s">
        <v>47305</v>
      </c>
      <c r="P7988">
        <v>0</v>
      </c>
      <c r="Q7988">
        <v>8</v>
      </c>
      <c r="R7988" t="s">
        <v>47312</v>
      </c>
      <c r="S7988" t="s">
        <v>47489</v>
      </c>
      <c r="T7988" t="s">
        <v>49068</v>
      </c>
      <c r="U7988" t="s">
        <v>56194</v>
      </c>
      <c r="W7988" t="s">
        <v>43744</v>
      </c>
      <c r="X7988" t="s">
        <v>47313</v>
      </c>
    </row>
    <row r="7989" spans="1:24">
      <c r="A7989">
        <f>HYPERLINK("https://www.philgeps.gov.ph/GEPSNONPILOT/Tender/SplashBidNoticeAbstractUI.aspx?menuIndex=3&amp;refID=7187206&amp;Result=3","7187206")</f>
        <v>0</v>
      </c>
      <c r="B7989" t="s">
        <v>211</v>
      </c>
      <c r="C7989" t="s">
        <v>11381</v>
      </c>
      <c r="D7989" t="s">
        <v>19007</v>
      </c>
      <c r="E7989" t="s">
        <v>26009</v>
      </c>
      <c r="F7989" t="s">
        <v>32606</v>
      </c>
      <c r="G7989" t="s">
        <v>32619</v>
      </c>
      <c r="H7989" t="s">
        <v>14201</v>
      </c>
      <c r="I7989" t="s">
        <v>4120</v>
      </c>
      <c r="J7989" t="s">
        <v>32913</v>
      </c>
      <c r="K7989" t="s">
        <v>42624</v>
      </c>
      <c r="M7989" t="s">
        <v>43112</v>
      </c>
      <c r="N7989" t="s">
        <v>47304</v>
      </c>
      <c r="O7989" t="s">
        <v>47305</v>
      </c>
      <c r="P7989">
        <v>0</v>
      </c>
      <c r="Q7989">
        <v>2</v>
      </c>
      <c r="R7989" t="s">
        <v>47312</v>
      </c>
      <c r="S7989" t="s">
        <v>47489</v>
      </c>
      <c r="T7989" t="s">
        <v>49331</v>
      </c>
      <c r="U7989" t="s">
        <v>56195</v>
      </c>
      <c r="W7989" t="s">
        <v>43112</v>
      </c>
      <c r="X7989" t="s">
        <v>47313</v>
      </c>
    </row>
    <row r="7990" spans="1:24">
      <c r="A7990">
        <f>HYPERLINK("https://www.philgeps.gov.ph/GEPSNONPILOT/Tender/SplashBidNoticeAbstractUI.aspx?menuIndex=3&amp;refID=7187205&amp;Result=3","7187205")</f>
        <v>0</v>
      </c>
      <c r="B7990" t="s">
        <v>2549</v>
      </c>
      <c r="C7990" t="s">
        <v>11382</v>
      </c>
      <c r="D7990" t="s">
        <v>19011</v>
      </c>
      <c r="E7990" t="s">
        <v>11382</v>
      </c>
      <c r="F7990" t="s">
        <v>32606</v>
      </c>
      <c r="G7990" t="s">
        <v>32614</v>
      </c>
      <c r="H7990" t="s">
        <v>14201</v>
      </c>
      <c r="I7990" t="s">
        <v>6931</v>
      </c>
      <c r="J7990" t="s">
        <v>37775</v>
      </c>
      <c r="K7990" t="s">
        <v>42630</v>
      </c>
      <c r="M7990" t="s">
        <v>45689</v>
      </c>
      <c r="N7990" t="s">
        <v>47304</v>
      </c>
      <c r="O7990" t="s">
        <v>47305</v>
      </c>
      <c r="P7990">
        <v>0</v>
      </c>
      <c r="Q7990">
        <v>3</v>
      </c>
      <c r="R7990" t="s">
        <v>47312</v>
      </c>
      <c r="S7990" t="s">
        <v>47489</v>
      </c>
      <c r="T7990" t="s">
        <v>49268</v>
      </c>
      <c r="U7990" t="s">
        <v>52779</v>
      </c>
      <c r="W7990" t="s">
        <v>45689</v>
      </c>
      <c r="X7990" t="s">
        <v>47313</v>
      </c>
    </row>
    <row r="7991" spans="1:24">
      <c r="A7991">
        <f>HYPERLINK("https://www.philgeps.gov.ph/GEPSNONPILOT/Tender/SplashBidNoticeAbstractUI.aspx?menuIndex=3&amp;refID=7187229&amp;Result=3","7187229")</f>
        <v>0</v>
      </c>
      <c r="B7991" t="s">
        <v>2505</v>
      </c>
      <c r="C7991" t="s">
        <v>11383</v>
      </c>
      <c r="D7991" t="s">
        <v>19007</v>
      </c>
      <c r="E7991" t="s">
        <v>25893</v>
      </c>
      <c r="F7991" t="s">
        <v>32606</v>
      </c>
      <c r="G7991" t="s">
        <v>32613</v>
      </c>
      <c r="H7991" t="s">
        <v>32623</v>
      </c>
      <c r="I7991" t="s">
        <v>17648</v>
      </c>
      <c r="J7991" t="s">
        <v>37710</v>
      </c>
      <c r="K7991" t="s">
        <v>42636</v>
      </c>
      <c r="M7991" t="s">
        <v>45644</v>
      </c>
      <c r="N7991" t="s">
        <v>47304</v>
      </c>
      <c r="O7991" t="s">
        <v>47305</v>
      </c>
      <c r="P7991">
        <v>0</v>
      </c>
      <c r="Q7991">
        <v>1</v>
      </c>
      <c r="R7991" t="s">
        <v>47312</v>
      </c>
      <c r="S7991" t="s">
        <v>47489</v>
      </c>
      <c r="T7991" t="s">
        <v>49077</v>
      </c>
      <c r="U7991" t="s">
        <v>56075</v>
      </c>
      <c r="V7991" t="s">
        <v>63434</v>
      </c>
      <c r="W7991" t="s">
        <v>45644</v>
      </c>
      <c r="X7991" t="s">
        <v>47313</v>
      </c>
    </row>
    <row r="7992" spans="1:24">
      <c r="A7992">
        <f>HYPERLINK("https://www.philgeps.gov.ph/GEPSNONPILOT/Tender/SplashBidNoticeAbstractUI.aspx?menuIndex=3&amp;refID=7187199&amp;Result=3","7187199")</f>
        <v>0</v>
      </c>
      <c r="B7992" t="s">
        <v>2550</v>
      </c>
      <c r="C7992" t="s">
        <v>11384</v>
      </c>
      <c r="D7992" t="s">
        <v>19007</v>
      </c>
      <c r="E7992" t="s">
        <v>24390</v>
      </c>
      <c r="F7992" t="s">
        <v>32606</v>
      </c>
      <c r="G7992" t="s">
        <v>32613</v>
      </c>
      <c r="H7992" t="s">
        <v>32623</v>
      </c>
      <c r="I7992" t="s">
        <v>17648</v>
      </c>
      <c r="J7992" t="s">
        <v>34490</v>
      </c>
      <c r="K7992" t="s">
        <v>42631</v>
      </c>
      <c r="M7992" t="s">
        <v>45690</v>
      </c>
      <c r="N7992" t="s">
        <v>47304</v>
      </c>
      <c r="O7992" t="s">
        <v>47305</v>
      </c>
      <c r="P7992">
        <v>0</v>
      </c>
      <c r="Q7992">
        <v>2</v>
      </c>
      <c r="R7992" t="s">
        <v>47312</v>
      </c>
      <c r="S7992" t="s">
        <v>47489</v>
      </c>
      <c r="T7992" t="s">
        <v>49215</v>
      </c>
      <c r="U7992" t="s">
        <v>56196</v>
      </c>
      <c r="W7992" t="s">
        <v>45690</v>
      </c>
      <c r="X7992" t="s">
        <v>47313</v>
      </c>
    </row>
    <row r="7993" spans="1:24">
      <c r="A7993">
        <f>HYPERLINK("https://www.philgeps.gov.ph/GEPSNONPILOT/Tender/SplashBidNoticeAbstractUI.aspx?menuIndex=3&amp;refID=7187197&amp;Result=3","7187197")</f>
        <v>0</v>
      </c>
      <c r="B7993" t="s">
        <v>2551</v>
      </c>
      <c r="C7993" t="s">
        <v>11385</v>
      </c>
      <c r="D7993" t="s">
        <v>19002</v>
      </c>
      <c r="E7993" t="s">
        <v>26010</v>
      </c>
      <c r="F7993" t="s">
        <v>32606</v>
      </c>
      <c r="G7993" t="s">
        <v>32614</v>
      </c>
      <c r="H7993" t="s">
        <v>14201</v>
      </c>
      <c r="I7993" t="s">
        <v>4112</v>
      </c>
      <c r="J7993" t="s">
        <v>33009</v>
      </c>
      <c r="K7993" t="s">
        <v>42623</v>
      </c>
      <c r="M7993" t="s">
        <v>45691</v>
      </c>
      <c r="N7993" t="s">
        <v>47304</v>
      </c>
      <c r="O7993" t="s">
        <v>47305</v>
      </c>
      <c r="P7993">
        <v>0</v>
      </c>
      <c r="Q7993">
        <v>0</v>
      </c>
      <c r="R7993" t="s">
        <v>47312</v>
      </c>
      <c r="S7993" t="s">
        <v>47489</v>
      </c>
      <c r="T7993" t="s">
        <v>48979</v>
      </c>
      <c r="U7993" t="s">
        <v>56197</v>
      </c>
      <c r="V7993" t="s">
        <v>63435</v>
      </c>
      <c r="W7993" t="s">
        <v>45691</v>
      </c>
      <c r="X7993" t="s">
        <v>47313</v>
      </c>
    </row>
    <row r="7994" spans="1:24">
      <c r="A7994">
        <f>HYPERLINK("https://www.philgeps.gov.ph/GEPSNONPILOT/Tender/SplashBidNoticeAbstractUI.aspx?menuIndex=3&amp;refID=7187196&amp;Result=3","7187196")</f>
        <v>0</v>
      </c>
      <c r="B7994" t="s">
        <v>2552</v>
      </c>
      <c r="C7994" t="s">
        <v>11386</v>
      </c>
      <c r="D7994" t="s">
        <v>18986</v>
      </c>
      <c r="E7994" t="s">
        <v>20122</v>
      </c>
      <c r="F7994" t="s">
        <v>32606</v>
      </c>
      <c r="G7994" t="s">
        <v>32613</v>
      </c>
      <c r="H7994" t="s">
        <v>32623</v>
      </c>
      <c r="I7994" t="s">
        <v>17648</v>
      </c>
      <c r="J7994" t="s">
        <v>37776</v>
      </c>
      <c r="K7994" t="s">
        <v>42632</v>
      </c>
      <c r="M7994" t="s">
        <v>45692</v>
      </c>
      <c r="N7994" t="s">
        <v>47304</v>
      </c>
      <c r="O7994" t="s">
        <v>47305</v>
      </c>
      <c r="P7994">
        <v>0</v>
      </c>
      <c r="Q7994">
        <v>0</v>
      </c>
      <c r="R7994" t="s">
        <v>47312</v>
      </c>
      <c r="S7994" t="s">
        <v>47489</v>
      </c>
      <c r="T7994" t="s">
        <v>49382</v>
      </c>
      <c r="U7994" t="s">
        <v>56198</v>
      </c>
      <c r="V7994" t="s">
        <v>63436</v>
      </c>
      <c r="W7994" t="s">
        <v>45692</v>
      </c>
      <c r="X7994" t="s">
        <v>47313</v>
      </c>
    </row>
    <row r="7995" spans="1:24">
      <c r="A7995">
        <f>HYPERLINK("https://www.philgeps.gov.ph/GEPSNONPILOT/Tender/SplashBidNoticeAbstractUI.aspx?menuIndex=3&amp;refID=7187195&amp;Result=3","7187195")</f>
        <v>0</v>
      </c>
      <c r="B7995" t="s">
        <v>2553</v>
      </c>
      <c r="C7995" t="s">
        <v>11387</v>
      </c>
      <c r="D7995" t="s">
        <v>19018</v>
      </c>
      <c r="E7995" t="s">
        <v>26011</v>
      </c>
      <c r="F7995" t="s">
        <v>32606</v>
      </c>
      <c r="G7995" t="s">
        <v>32613</v>
      </c>
      <c r="H7995" t="s">
        <v>14201</v>
      </c>
      <c r="I7995" t="s">
        <v>32633</v>
      </c>
      <c r="J7995" t="s">
        <v>37777</v>
      </c>
      <c r="K7995" t="s">
        <v>42623</v>
      </c>
      <c r="M7995" t="s">
        <v>45693</v>
      </c>
      <c r="N7995" t="s">
        <v>47304</v>
      </c>
      <c r="O7995" t="s">
        <v>47305</v>
      </c>
      <c r="P7995">
        <v>0</v>
      </c>
      <c r="Q7995">
        <v>2</v>
      </c>
      <c r="R7995" t="s">
        <v>47312</v>
      </c>
      <c r="S7995" t="s">
        <v>47489</v>
      </c>
      <c r="T7995" t="s">
        <v>48980</v>
      </c>
      <c r="U7995" t="s">
        <v>56199</v>
      </c>
      <c r="W7995" t="s">
        <v>45693</v>
      </c>
      <c r="X7995" t="s">
        <v>47313</v>
      </c>
    </row>
    <row r="7996" spans="1:24">
      <c r="A7996">
        <f>HYPERLINK("https://www.philgeps.gov.ph/GEPSNONPILOT/Tender/SplashBidNoticeAbstractUI.aspx?menuIndex=3&amp;refID=7187240&amp;Result=3","7187240")</f>
        <v>0</v>
      </c>
      <c r="B7996" t="s">
        <v>1512</v>
      </c>
      <c r="C7996" t="s">
        <v>11388</v>
      </c>
      <c r="D7996" t="s">
        <v>19041</v>
      </c>
      <c r="E7996" t="s">
        <v>26012</v>
      </c>
      <c r="F7996" t="s">
        <v>32606</v>
      </c>
      <c r="G7996" t="s">
        <v>32614</v>
      </c>
      <c r="H7996" t="s">
        <v>14201</v>
      </c>
      <c r="I7996" t="s">
        <v>9013</v>
      </c>
      <c r="J7996" t="s">
        <v>37778</v>
      </c>
      <c r="K7996" t="s">
        <v>42632</v>
      </c>
      <c r="M7996" t="s">
        <v>44512</v>
      </c>
      <c r="N7996" t="s">
        <v>47304</v>
      </c>
      <c r="O7996" t="s">
        <v>47305</v>
      </c>
      <c r="P7996">
        <v>0</v>
      </c>
      <c r="Q7996">
        <v>8</v>
      </c>
      <c r="R7996" t="s">
        <v>47312</v>
      </c>
      <c r="S7996" t="s">
        <v>47489</v>
      </c>
      <c r="T7996" t="s">
        <v>49257</v>
      </c>
      <c r="U7996" t="s">
        <v>56200</v>
      </c>
      <c r="W7996" t="s">
        <v>44512</v>
      </c>
      <c r="X7996" t="s">
        <v>47313</v>
      </c>
    </row>
    <row r="7997" spans="1:24">
      <c r="A7997">
        <f>HYPERLINK("https://www.philgeps.gov.ph/GEPSNONPILOT/Tender/SplashBidNoticeAbstractUI.aspx?menuIndex=3&amp;refID=7187299&amp;Result=3","7187299")</f>
        <v>0</v>
      </c>
      <c r="B7997" t="s">
        <v>2554</v>
      </c>
      <c r="C7997" t="s">
        <v>11389</v>
      </c>
      <c r="D7997" t="s">
        <v>19057</v>
      </c>
      <c r="E7997" t="s">
        <v>26013</v>
      </c>
      <c r="F7997" t="s">
        <v>32606</v>
      </c>
      <c r="G7997" t="s">
        <v>32613</v>
      </c>
      <c r="H7997" t="s">
        <v>32623</v>
      </c>
      <c r="I7997" t="s">
        <v>17648</v>
      </c>
      <c r="J7997" t="s">
        <v>32759</v>
      </c>
      <c r="K7997" t="s">
        <v>42697</v>
      </c>
      <c r="M7997" t="s">
        <v>45694</v>
      </c>
      <c r="N7997" t="s">
        <v>47304</v>
      </c>
      <c r="O7997" t="s">
        <v>47305</v>
      </c>
      <c r="P7997">
        <v>0</v>
      </c>
      <c r="Q7997">
        <v>0</v>
      </c>
      <c r="R7997" t="s">
        <v>47312</v>
      </c>
      <c r="S7997" t="s">
        <v>47489</v>
      </c>
      <c r="T7997" t="s">
        <v>48976</v>
      </c>
      <c r="U7997" t="s">
        <v>56201</v>
      </c>
      <c r="V7997" t="s">
        <v>63437</v>
      </c>
      <c r="W7997" t="s">
        <v>45694</v>
      </c>
      <c r="X7997" t="s">
        <v>47313</v>
      </c>
    </row>
    <row r="7998" spans="1:24">
      <c r="A7998">
        <f>HYPERLINK("https://www.philgeps.gov.ph/GEPSNONPILOT/Tender/SplashBidNoticeAbstractUI.aspx?menuIndex=3&amp;refID=7187201&amp;Result=3","7187201")</f>
        <v>0</v>
      </c>
      <c r="B7998" t="s">
        <v>2555</v>
      </c>
      <c r="C7998" t="s">
        <v>11390</v>
      </c>
      <c r="D7998" t="s">
        <v>19022</v>
      </c>
      <c r="E7998" t="s">
        <v>21941</v>
      </c>
      <c r="F7998" t="s">
        <v>32606</v>
      </c>
      <c r="G7998" t="s">
        <v>32613</v>
      </c>
      <c r="H7998" t="s">
        <v>32623</v>
      </c>
      <c r="I7998" t="s">
        <v>17648</v>
      </c>
      <c r="J7998" t="s">
        <v>32772</v>
      </c>
      <c r="K7998" t="s">
        <v>42631</v>
      </c>
      <c r="M7998" t="s">
        <v>45695</v>
      </c>
      <c r="N7998" t="s">
        <v>47304</v>
      </c>
      <c r="O7998" t="s">
        <v>47305</v>
      </c>
      <c r="P7998">
        <v>0</v>
      </c>
      <c r="Q7998">
        <v>1</v>
      </c>
      <c r="R7998" t="s">
        <v>47312</v>
      </c>
      <c r="S7998" t="s">
        <v>47489</v>
      </c>
      <c r="T7998" t="s">
        <v>49081</v>
      </c>
      <c r="U7998" t="s">
        <v>56202</v>
      </c>
      <c r="W7998" t="s">
        <v>45695</v>
      </c>
      <c r="X7998" t="s">
        <v>47313</v>
      </c>
    </row>
    <row r="7999" spans="1:24">
      <c r="A7999">
        <f>HYPERLINK("https://www.philgeps.gov.ph/GEPSNONPILOT/Tender/SplashBidNoticeAbstractUI.aspx?menuIndex=3&amp;refID=7187288&amp;Result=3","7187288")</f>
        <v>0</v>
      </c>
      <c r="B7999" t="s">
        <v>1512</v>
      </c>
      <c r="C7999" t="s">
        <v>11391</v>
      </c>
      <c r="D7999" t="s">
        <v>19041</v>
      </c>
      <c r="E7999" t="s">
        <v>26014</v>
      </c>
      <c r="F7999" t="s">
        <v>32606</v>
      </c>
      <c r="G7999" t="s">
        <v>32614</v>
      </c>
      <c r="H7999" t="s">
        <v>14201</v>
      </c>
      <c r="I7999" t="s">
        <v>9013</v>
      </c>
      <c r="J7999" t="s">
        <v>37779</v>
      </c>
      <c r="K7999" t="s">
        <v>42632</v>
      </c>
      <c r="M7999" t="s">
        <v>44512</v>
      </c>
      <c r="N7999" t="s">
        <v>47304</v>
      </c>
      <c r="O7999" t="s">
        <v>47305</v>
      </c>
      <c r="P7999">
        <v>0</v>
      </c>
      <c r="Q7999">
        <v>7</v>
      </c>
      <c r="R7999" t="s">
        <v>47312</v>
      </c>
      <c r="S7999" t="s">
        <v>47489</v>
      </c>
      <c r="T7999" t="s">
        <v>49257</v>
      </c>
      <c r="U7999" t="s">
        <v>56203</v>
      </c>
      <c r="W7999" t="s">
        <v>44512</v>
      </c>
      <c r="X7999" t="s">
        <v>47313</v>
      </c>
    </row>
    <row r="8000" spans="1:24">
      <c r="A8000">
        <f>HYPERLINK("https://www.philgeps.gov.ph/GEPSNONPILOT/Tender/SplashBidNoticeAbstractUI.aspx?menuIndex=3&amp;refID=7187223&amp;Result=3","7187223")</f>
        <v>0</v>
      </c>
      <c r="B8000" t="s">
        <v>1235</v>
      </c>
      <c r="C8000" t="s">
        <v>11392</v>
      </c>
      <c r="D8000" t="s">
        <v>18997</v>
      </c>
      <c r="E8000" t="s">
        <v>19372</v>
      </c>
      <c r="F8000" t="s">
        <v>32608</v>
      </c>
      <c r="G8000" t="s">
        <v>32613</v>
      </c>
      <c r="H8000" t="s">
        <v>14201</v>
      </c>
      <c r="I8000" t="s">
        <v>4120</v>
      </c>
      <c r="J8000" t="s">
        <v>37780</v>
      </c>
      <c r="K8000" t="s">
        <v>42630</v>
      </c>
      <c r="M8000" t="s">
        <v>44200</v>
      </c>
      <c r="N8000" t="s">
        <v>47304</v>
      </c>
      <c r="O8000" t="s">
        <v>47305</v>
      </c>
      <c r="P8000">
        <v>0</v>
      </c>
      <c r="Q8000">
        <v>4</v>
      </c>
      <c r="R8000" t="s">
        <v>47312</v>
      </c>
      <c r="S8000" t="s">
        <v>47489</v>
      </c>
      <c r="T8000" t="s">
        <v>49066</v>
      </c>
      <c r="U8000" t="s">
        <v>56204</v>
      </c>
      <c r="W8000" t="s">
        <v>44200</v>
      </c>
      <c r="X8000" t="s">
        <v>47313</v>
      </c>
    </row>
    <row r="8001" spans="1:24">
      <c r="A8001">
        <f>HYPERLINK("https://www.philgeps.gov.ph/GEPSNONPILOT/Tender/SplashBidNoticeAbstractUI.aspx?menuIndex=3&amp;refID=7187286&amp;Result=3","7187286")</f>
        <v>0</v>
      </c>
      <c r="B8001" t="s">
        <v>2556</v>
      </c>
      <c r="C8001" t="s">
        <v>11393</v>
      </c>
      <c r="D8001" t="s">
        <v>19001</v>
      </c>
      <c r="E8001" t="s">
        <v>26015</v>
      </c>
      <c r="F8001" t="s">
        <v>32606</v>
      </c>
      <c r="G8001" t="s">
        <v>32614</v>
      </c>
      <c r="H8001" t="s">
        <v>14201</v>
      </c>
      <c r="I8001" t="s">
        <v>6298</v>
      </c>
      <c r="J8001" t="s">
        <v>32778</v>
      </c>
      <c r="K8001" t="s">
        <v>42632</v>
      </c>
      <c r="M8001" t="s">
        <v>45696</v>
      </c>
      <c r="N8001" t="s">
        <v>47304</v>
      </c>
      <c r="O8001" t="s">
        <v>47305</v>
      </c>
      <c r="P8001">
        <v>0</v>
      </c>
      <c r="Q8001">
        <v>5</v>
      </c>
      <c r="R8001" t="s">
        <v>47312</v>
      </c>
      <c r="S8001" t="s">
        <v>47489</v>
      </c>
      <c r="T8001" t="s">
        <v>49315</v>
      </c>
      <c r="U8001" t="s">
        <v>56205</v>
      </c>
      <c r="W8001" t="s">
        <v>45696</v>
      </c>
      <c r="X8001" t="s">
        <v>47313</v>
      </c>
    </row>
    <row r="8002" spans="1:24">
      <c r="A8002">
        <f>HYPERLINK("https://www.philgeps.gov.ph/GEPSNONPILOT/Tender/SplashBidNoticeAbstractUI.aspx?menuIndex=3&amp;refID=7187279&amp;Result=3","7187279")</f>
        <v>0</v>
      </c>
      <c r="B8002" t="s">
        <v>1035</v>
      </c>
      <c r="C8002" t="s">
        <v>11394</v>
      </c>
      <c r="D8002" t="s">
        <v>19016</v>
      </c>
      <c r="E8002" t="s">
        <v>26016</v>
      </c>
      <c r="F8002" t="s">
        <v>32606</v>
      </c>
      <c r="G8002" t="s">
        <v>32613</v>
      </c>
      <c r="H8002" t="s">
        <v>14201</v>
      </c>
      <c r="I8002" t="s">
        <v>6931</v>
      </c>
      <c r="J8002" t="s">
        <v>37781</v>
      </c>
      <c r="K8002" t="s">
        <v>42622</v>
      </c>
      <c r="M8002" t="s">
        <v>43988</v>
      </c>
      <c r="N8002" t="s">
        <v>47304</v>
      </c>
      <c r="O8002" t="s">
        <v>47305</v>
      </c>
      <c r="P8002">
        <v>0</v>
      </c>
      <c r="Q8002">
        <v>8</v>
      </c>
      <c r="R8002" t="s">
        <v>47312</v>
      </c>
      <c r="S8002" t="s">
        <v>47489</v>
      </c>
      <c r="T8002" t="s">
        <v>49165</v>
      </c>
      <c r="U8002" t="s">
        <v>56206</v>
      </c>
      <c r="W8002" t="s">
        <v>43988</v>
      </c>
      <c r="X8002" t="s">
        <v>47313</v>
      </c>
    </row>
    <row r="8003" spans="1:24">
      <c r="A8003">
        <f>HYPERLINK("https://www.philgeps.gov.ph/GEPSNONPILOT/Tender/SplashBidNoticeAbstractUI.aspx?menuIndex=3&amp;refID=7187278&amp;Result=3","7187278")</f>
        <v>0</v>
      </c>
      <c r="B8003" t="s">
        <v>2557</v>
      </c>
      <c r="C8003" t="s">
        <v>7257</v>
      </c>
      <c r="D8003" t="s">
        <v>19052</v>
      </c>
      <c r="E8003" t="s">
        <v>26017</v>
      </c>
      <c r="F8003" t="s">
        <v>32606</v>
      </c>
      <c r="G8003" t="s">
        <v>32613</v>
      </c>
      <c r="H8003" t="s">
        <v>14201</v>
      </c>
      <c r="I8003" t="s">
        <v>6931</v>
      </c>
      <c r="J8003" t="s">
        <v>37782</v>
      </c>
      <c r="K8003" t="s">
        <v>42631</v>
      </c>
      <c r="M8003" t="s">
        <v>45697</v>
      </c>
      <c r="N8003" t="s">
        <v>47304</v>
      </c>
      <c r="O8003" t="s">
        <v>47305</v>
      </c>
      <c r="P8003">
        <v>0</v>
      </c>
      <c r="Q8003">
        <v>0</v>
      </c>
      <c r="R8003" t="s">
        <v>47312</v>
      </c>
      <c r="S8003" t="s">
        <v>47489</v>
      </c>
      <c r="T8003" t="s">
        <v>49087</v>
      </c>
      <c r="U8003" t="s">
        <v>56207</v>
      </c>
      <c r="W8003" t="s">
        <v>45697</v>
      </c>
      <c r="X8003" t="s">
        <v>47313</v>
      </c>
    </row>
    <row r="8004" spans="1:24">
      <c r="A8004">
        <f>HYPERLINK("https://www.philgeps.gov.ph/GEPSNONPILOT/Tender/SplashBidNoticeAbstractUI.aspx?menuIndex=3&amp;refID=7187219&amp;Result=3","7187219")</f>
        <v>0</v>
      </c>
      <c r="B8004" t="s">
        <v>2558</v>
      </c>
      <c r="C8004" t="s">
        <v>11395</v>
      </c>
      <c r="D8004" t="s">
        <v>19016</v>
      </c>
      <c r="E8004" t="s">
        <v>26018</v>
      </c>
      <c r="F8004" t="s">
        <v>32606</v>
      </c>
      <c r="G8004" t="s">
        <v>32613</v>
      </c>
      <c r="H8004" t="s">
        <v>14201</v>
      </c>
      <c r="I8004" t="s">
        <v>32632</v>
      </c>
      <c r="J8004" t="s">
        <v>37783</v>
      </c>
      <c r="K8004" t="s">
        <v>42631</v>
      </c>
      <c r="M8004" t="s">
        <v>45698</v>
      </c>
      <c r="N8004" t="s">
        <v>47304</v>
      </c>
      <c r="O8004" t="s">
        <v>47305</v>
      </c>
      <c r="P8004">
        <v>0</v>
      </c>
      <c r="Q8004">
        <v>10</v>
      </c>
      <c r="R8004" t="s">
        <v>47312</v>
      </c>
      <c r="S8004" t="s">
        <v>47489</v>
      </c>
      <c r="T8004" t="s">
        <v>49368</v>
      </c>
      <c r="U8004" t="s">
        <v>56208</v>
      </c>
      <c r="W8004" t="s">
        <v>45698</v>
      </c>
      <c r="X8004" t="s">
        <v>47313</v>
      </c>
    </row>
    <row r="8005" spans="1:24">
      <c r="A8005">
        <f>HYPERLINK("https://www.philgeps.gov.ph/GEPSNONPILOT/Tender/SplashBidNoticeAbstractUI.aspx?menuIndex=3&amp;refID=7187271&amp;Result=3","7187271")</f>
        <v>0</v>
      </c>
      <c r="B8005" t="s">
        <v>433</v>
      </c>
      <c r="C8005" t="s">
        <v>11396</v>
      </c>
      <c r="D8005" t="s">
        <v>19012</v>
      </c>
      <c r="E8005" t="s">
        <v>26019</v>
      </c>
      <c r="F8005" t="s">
        <v>32606</v>
      </c>
      <c r="G8005" t="s">
        <v>32613</v>
      </c>
      <c r="H8005" t="s">
        <v>14201</v>
      </c>
      <c r="I8005" t="s">
        <v>32640</v>
      </c>
      <c r="J8005" t="s">
        <v>37784</v>
      </c>
      <c r="K8005" t="s">
        <v>42623</v>
      </c>
      <c r="M8005" t="s">
        <v>43339</v>
      </c>
      <c r="N8005" t="s">
        <v>47304</v>
      </c>
      <c r="O8005" t="s">
        <v>47305</v>
      </c>
      <c r="P8005">
        <v>0</v>
      </c>
      <c r="Q8005">
        <v>9</v>
      </c>
      <c r="R8005" t="s">
        <v>47312</v>
      </c>
      <c r="S8005" t="s">
        <v>47489</v>
      </c>
      <c r="T8005" t="s">
        <v>49086</v>
      </c>
      <c r="U8005" t="s">
        <v>56209</v>
      </c>
      <c r="W8005" t="s">
        <v>43339</v>
      </c>
      <c r="X8005" t="s">
        <v>47313</v>
      </c>
    </row>
    <row r="8006" spans="1:24">
      <c r="A8006">
        <f>HYPERLINK("https://www.philgeps.gov.ph/GEPSNONPILOT/Tender/SplashBidNoticeAbstractUI.aspx?menuIndex=3&amp;refID=7187291&amp;Result=3","7187291")</f>
        <v>0</v>
      </c>
      <c r="B8006" t="s">
        <v>2375</v>
      </c>
      <c r="C8006" t="s">
        <v>11397</v>
      </c>
      <c r="D8006" t="s">
        <v>19014</v>
      </c>
      <c r="E8006" t="s">
        <v>26020</v>
      </c>
      <c r="F8006" t="s">
        <v>32606</v>
      </c>
      <c r="G8006" t="s">
        <v>32614</v>
      </c>
      <c r="H8006" t="s">
        <v>14201</v>
      </c>
      <c r="I8006" t="s">
        <v>7577</v>
      </c>
      <c r="J8006" t="s">
        <v>37785</v>
      </c>
      <c r="K8006" t="s">
        <v>42624</v>
      </c>
      <c r="M8006" t="s">
        <v>45490</v>
      </c>
      <c r="N8006" t="s">
        <v>47304</v>
      </c>
      <c r="O8006" t="s">
        <v>47305</v>
      </c>
      <c r="P8006">
        <v>0</v>
      </c>
      <c r="Q8006">
        <v>1</v>
      </c>
      <c r="R8006" t="s">
        <v>47312</v>
      </c>
      <c r="S8006" t="s">
        <v>47489</v>
      </c>
      <c r="T8006" t="s">
        <v>49268</v>
      </c>
      <c r="U8006" t="s">
        <v>55574</v>
      </c>
      <c r="W8006" t="s">
        <v>45490</v>
      </c>
      <c r="X8006" t="s">
        <v>47313</v>
      </c>
    </row>
    <row r="8007" spans="1:24">
      <c r="A8007">
        <f>HYPERLINK("https://www.philgeps.gov.ph/GEPSNONPILOT/Tender/SplashBidNoticeAbstractUI.aspx?menuIndex=3&amp;refID=7187267&amp;Result=3","7187267")</f>
        <v>0</v>
      </c>
      <c r="B8007" t="s">
        <v>2559</v>
      </c>
      <c r="C8007" t="s">
        <v>11398</v>
      </c>
      <c r="D8007" t="s">
        <v>19039</v>
      </c>
      <c r="E8007" t="s">
        <v>26021</v>
      </c>
      <c r="F8007" t="s">
        <v>32606</v>
      </c>
      <c r="G8007" t="s">
        <v>32613</v>
      </c>
      <c r="H8007" t="s">
        <v>14201</v>
      </c>
      <c r="I8007" t="s">
        <v>6007</v>
      </c>
      <c r="J8007" t="s">
        <v>32981</v>
      </c>
      <c r="K8007" t="s">
        <v>42631</v>
      </c>
      <c r="M8007" t="s">
        <v>45699</v>
      </c>
      <c r="N8007" t="s">
        <v>47304</v>
      </c>
      <c r="O8007" t="s">
        <v>47305</v>
      </c>
      <c r="P8007">
        <v>0</v>
      </c>
      <c r="Q8007">
        <v>0</v>
      </c>
      <c r="R8007" t="s">
        <v>47312</v>
      </c>
      <c r="S8007" t="s">
        <v>47489</v>
      </c>
      <c r="T8007" t="s">
        <v>49320</v>
      </c>
      <c r="U8007" t="s">
        <v>56210</v>
      </c>
      <c r="V8007" t="s">
        <v>63438</v>
      </c>
      <c r="W8007" t="s">
        <v>45699</v>
      </c>
      <c r="X8007" t="s">
        <v>47313</v>
      </c>
    </row>
    <row r="8008" spans="1:24">
      <c r="A8008">
        <f>HYPERLINK("https://www.philgeps.gov.ph/GEPSNONPILOT/Tender/SplashBidNoticeAbstractUI.aspx?menuIndex=3&amp;refID=7187212&amp;Result=3","7187212")</f>
        <v>0</v>
      </c>
      <c r="B8008" t="s">
        <v>340</v>
      </c>
      <c r="C8008" t="s">
        <v>11399</v>
      </c>
      <c r="D8008" t="s">
        <v>19029</v>
      </c>
      <c r="E8008" t="s">
        <v>26022</v>
      </c>
      <c r="F8008" t="s">
        <v>32606</v>
      </c>
      <c r="G8008" t="s">
        <v>32613</v>
      </c>
      <c r="H8008" t="s">
        <v>32623</v>
      </c>
      <c r="I8008" t="s">
        <v>17648</v>
      </c>
      <c r="J8008" t="s">
        <v>37786</v>
      </c>
      <c r="K8008" t="s">
        <v>42731</v>
      </c>
      <c r="M8008" t="s">
        <v>43242</v>
      </c>
      <c r="N8008" t="s">
        <v>47304</v>
      </c>
      <c r="O8008" t="s">
        <v>47305</v>
      </c>
      <c r="P8008">
        <v>0</v>
      </c>
      <c r="Q8008">
        <v>1</v>
      </c>
      <c r="R8008" t="s">
        <v>47312</v>
      </c>
      <c r="S8008" t="s">
        <v>47489</v>
      </c>
      <c r="T8008" t="s">
        <v>49129</v>
      </c>
      <c r="U8008" t="s">
        <v>56211</v>
      </c>
      <c r="W8008" t="s">
        <v>43242</v>
      </c>
      <c r="X8008" t="s">
        <v>47313</v>
      </c>
    </row>
    <row r="8009" spans="1:24">
      <c r="A8009">
        <f>HYPERLINK("https://www.philgeps.gov.ph/GEPSNONPILOT/Tender/SplashBidNoticeAbstractUI.aspx?menuIndex=3&amp;refID=7187261&amp;Result=3","7187261")</f>
        <v>0</v>
      </c>
      <c r="B8009" t="s">
        <v>2533</v>
      </c>
      <c r="C8009" t="s">
        <v>11400</v>
      </c>
      <c r="D8009" t="s">
        <v>18988</v>
      </c>
      <c r="E8009" t="s">
        <v>26023</v>
      </c>
      <c r="F8009" t="s">
        <v>32606</v>
      </c>
      <c r="G8009" t="s">
        <v>32614</v>
      </c>
      <c r="H8009" t="s">
        <v>14201</v>
      </c>
      <c r="I8009" t="s">
        <v>6931</v>
      </c>
      <c r="J8009" t="s">
        <v>33936</v>
      </c>
      <c r="K8009" t="s">
        <v>42623</v>
      </c>
      <c r="M8009" t="s">
        <v>45673</v>
      </c>
      <c r="N8009" t="s">
        <v>47304</v>
      </c>
      <c r="O8009" t="s">
        <v>47305</v>
      </c>
      <c r="P8009">
        <v>0</v>
      </c>
      <c r="Q8009">
        <v>4</v>
      </c>
      <c r="R8009" t="s">
        <v>47312</v>
      </c>
      <c r="S8009" t="s">
        <v>47489</v>
      </c>
      <c r="T8009" t="s">
        <v>49006</v>
      </c>
      <c r="U8009" t="s">
        <v>56154</v>
      </c>
      <c r="W8009" t="s">
        <v>45673</v>
      </c>
      <c r="X8009" t="s">
        <v>47313</v>
      </c>
    </row>
    <row r="8010" spans="1:24">
      <c r="A8010">
        <f>HYPERLINK("https://www.philgeps.gov.ph/GEPSNONPILOT/Tender/SplashBidNoticeAbstractUI.aspx?menuIndex=3&amp;refID=7187284&amp;Result=3","7187284")</f>
        <v>0</v>
      </c>
      <c r="B8010" t="s">
        <v>1392</v>
      </c>
      <c r="C8010" t="s">
        <v>4129</v>
      </c>
      <c r="D8010" t="s">
        <v>19011</v>
      </c>
      <c r="E8010" t="s">
        <v>26024</v>
      </c>
      <c r="F8010" t="s">
        <v>32606</v>
      </c>
      <c r="G8010" t="s">
        <v>32617</v>
      </c>
      <c r="H8010" t="s">
        <v>14201</v>
      </c>
      <c r="I8010" t="s">
        <v>4114</v>
      </c>
      <c r="J8010" t="s">
        <v>37787</v>
      </c>
      <c r="K8010" t="s">
        <v>42630</v>
      </c>
      <c r="M8010" t="s">
        <v>44375</v>
      </c>
      <c r="N8010" t="s">
        <v>47304</v>
      </c>
      <c r="O8010" t="s">
        <v>47305</v>
      </c>
      <c r="P8010">
        <v>0</v>
      </c>
      <c r="Q8010">
        <v>6</v>
      </c>
      <c r="R8010" t="s">
        <v>47312</v>
      </c>
      <c r="S8010" t="s">
        <v>47489</v>
      </c>
      <c r="T8010" t="s">
        <v>49071</v>
      </c>
      <c r="U8010" t="s">
        <v>50406</v>
      </c>
      <c r="W8010" t="s">
        <v>44375</v>
      </c>
      <c r="X8010" t="s">
        <v>47313</v>
      </c>
    </row>
    <row r="8011" spans="1:24">
      <c r="A8011">
        <f>HYPERLINK("https://www.philgeps.gov.ph/GEPSNONPILOT/Tender/SplashBidNoticeAbstractUI.aspx?menuIndex=3&amp;refID=7187260&amp;Result=3","7187260")</f>
        <v>0</v>
      </c>
      <c r="B8011" t="s">
        <v>2560</v>
      </c>
      <c r="C8011" t="s">
        <v>11401</v>
      </c>
      <c r="D8011" t="s">
        <v>19042</v>
      </c>
      <c r="E8011" t="s">
        <v>26025</v>
      </c>
      <c r="F8011" t="s">
        <v>32606</v>
      </c>
      <c r="G8011" t="s">
        <v>32613</v>
      </c>
      <c r="H8011" t="s">
        <v>14201</v>
      </c>
      <c r="I8011" t="s">
        <v>7064</v>
      </c>
      <c r="J8011" t="s">
        <v>34719</v>
      </c>
      <c r="K8011" t="s">
        <v>42639</v>
      </c>
      <c r="M8011" t="s">
        <v>45700</v>
      </c>
      <c r="N8011" t="s">
        <v>47304</v>
      </c>
      <c r="O8011" t="s">
        <v>47305</v>
      </c>
      <c r="P8011">
        <v>0</v>
      </c>
      <c r="Q8011">
        <v>2</v>
      </c>
      <c r="R8011" t="s">
        <v>47312</v>
      </c>
      <c r="S8011" t="s">
        <v>47489</v>
      </c>
      <c r="T8011" t="s">
        <v>48998</v>
      </c>
      <c r="U8011" t="s">
        <v>56212</v>
      </c>
      <c r="V8011" t="s">
        <v>63439</v>
      </c>
      <c r="W8011" t="s">
        <v>45700</v>
      </c>
      <c r="X8011" t="s">
        <v>47313</v>
      </c>
    </row>
    <row r="8012" spans="1:24">
      <c r="A8012">
        <f>HYPERLINK("https://www.philgeps.gov.ph/GEPSNONPILOT/Tender/SplashBidNoticeAbstractUI.aspx?menuIndex=3&amp;refID=7187194&amp;Result=3","7187194")</f>
        <v>0</v>
      </c>
      <c r="B8012" t="s">
        <v>2561</v>
      </c>
      <c r="C8012" t="s">
        <v>11402</v>
      </c>
      <c r="D8012" t="s">
        <v>19022</v>
      </c>
      <c r="E8012" t="s">
        <v>26026</v>
      </c>
      <c r="F8012" t="s">
        <v>32606</v>
      </c>
      <c r="G8012" t="s">
        <v>32614</v>
      </c>
      <c r="H8012" t="s">
        <v>32624</v>
      </c>
      <c r="I8012" t="s">
        <v>7233</v>
      </c>
      <c r="J8012" t="s">
        <v>36030</v>
      </c>
      <c r="K8012" t="s">
        <v>42631</v>
      </c>
      <c r="M8012" t="s">
        <v>45701</v>
      </c>
      <c r="N8012" t="s">
        <v>47304</v>
      </c>
      <c r="O8012" t="s">
        <v>47305</v>
      </c>
      <c r="P8012">
        <v>0</v>
      </c>
      <c r="Q8012">
        <v>0</v>
      </c>
      <c r="R8012" t="s">
        <v>47312</v>
      </c>
      <c r="S8012" t="s">
        <v>47489</v>
      </c>
      <c r="T8012" t="s">
        <v>49053</v>
      </c>
      <c r="U8012" t="s">
        <v>56213</v>
      </c>
      <c r="V8012" t="s">
        <v>63440</v>
      </c>
      <c r="W8012" t="s">
        <v>45701</v>
      </c>
      <c r="X8012" t="s">
        <v>47313</v>
      </c>
    </row>
    <row r="8013" spans="1:24">
      <c r="A8013">
        <f>HYPERLINK("https://www.philgeps.gov.ph/GEPSNONPILOT/Tender/SplashBidNoticeAbstractUI.aspx?menuIndex=3&amp;refID=7187372&amp;Result=3","7187372")</f>
        <v>0</v>
      </c>
      <c r="B8013" t="s">
        <v>2562</v>
      </c>
      <c r="C8013" t="s">
        <v>11403</v>
      </c>
      <c r="D8013" t="s">
        <v>19039</v>
      </c>
      <c r="E8013" t="s">
        <v>26027</v>
      </c>
      <c r="F8013" t="s">
        <v>32606</v>
      </c>
      <c r="G8013" t="s">
        <v>32613</v>
      </c>
      <c r="H8013" t="s">
        <v>14201</v>
      </c>
      <c r="I8013" t="s">
        <v>7064</v>
      </c>
      <c r="J8013" t="s">
        <v>35138</v>
      </c>
      <c r="K8013" t="s">
        <v>42627</v>
      </c>
      <c r="M8013" t="s">
        <v>45702</v>
      </c>
      <c r="N8013" t="s">
        <v>47304</v>
      </c>
      <c r="O8013" t="s">
        <v>47305</v>
      </c>
      <c r="P8013">
        <v>0</v>
      </c>
      <c r="Q8013">
        <v>5</v>
      </c>
      <c r="R8013" t="s">
        <v>47312</v>
      </c>
      <c r="S8013" t="s">
        <v>47489</v>
      </c>
      <c r="T8013" t="s">
        <v>49037</v>
      </c>
      <c r="U8013" t="s">
        <v>56214</v>
      </c>
      <c r="V8013" t="s">
        <v>63043</v>
      </c>
      <c r="W8013" t="s">
        <v>45702</v>
      </c>
      <c r="X8013" t="s">
        <v>47313</v>
      </c>
    </row>
    <row r="8014" spans="1:24">
      <c r="A8014">
        <f>HYPERLINK("https://www.philgeps.gov.ph/GEPSNONPILOT/Tender/SplashBidNoticeAbstractUI.aspx?menuIndex=3&amp;refID=7187184&amp;Result=3","7187184")</f>
        <v>0</v>
      </c>
      <c r="B8014" t="s">
        <v>1221</v>
      </c>
      <c r="C8014" t="s">
        <v>4718</v>
      </c>
      <c r="D8014" t="s">
        <v>19063</v>
      </c>
      <c r="E8014" t="s">
        <v>26028</v>
      </c>
      <c r="F8014" t="s">
        <v>32606</v>
      </c>
      <c r="G8014" t="s">
        <v>32614</v>
      </c>
      <c r="H8014" t="s">
        <v>14201</v>
      </c>
      <c r="I8014" t="s">
        <v>4120</v>
      </c>
      <c r="J8014" t="s">
        <v>37788</v>
      </c>
      <c r="K8014" t="s">
        <v>42630</v>
      </c>
      <c r="M8014" t="s">
        <v>44537</v>
      </c>
      <c r="N8014" t="s">
        <v>47304</v>
      </c>
      <c r="O8014" t="s">
        <v>47305</v>
      </c>
      <c r="P8014">
        <v>0</v>
      </c>
      <c r="Q8014">
        <v>0</v>
      </c>
      <c r="R8014" t="s">
        <v>47312</v>
      </c>
      <c r="S8014" t="s">
        <v>47489</v>
      </c>
      <c r="T8014" t="s">
        <v>49071</v>
      </c>
      <c r="U8014" t="s">
        <v>56215</v>
      </c>
      <c r="W8014" t="s">
        <v>44537</v>
      </c>
      <c r="X8014" t="s">
        <v>47313</v>
      </c>
    </row>
    <row r="8015" spans="1:24">
      <c r="A8015">
        <f>HYPERLINK("https://www.philgeps.gov.ph/GEPSNONPILOT/Tender/SplashBidNoticeAbstractUI.aspx?menuIndex=3&amp;refID=7187358&amp;Result=3","7187358")</f>
        <v>0</v>
      </c>
      <c r="B8015" t="s">
        <v>2563</v>
      </c>
      <c r="C8015" t="s">
        <v>4636</v>
      </c>
      <c r="D8015" t="s">
        <v>19014</v>
      </c>
      <c r="E8015" t="s">
        <v>26029</v>
      </c>
      <c r="F8015" t="s">
        <v>32606</v>
      </c>
      <c r="G8015" t="s">
        <v>32614</v>
      </c>
      <c r="H8015" t="s">
        <v>32624</v>
      </c>
      <c r="I8015" t="s">
        <v>17648</v>
      </c>
      <c r="J8015" t="s">
        <v>34892</v>
      </c>
      <c r="K8015" t="s">
        <v>42646</v>
      </c>
      <c r="M8015" t="s">
        <v>45703</v>
      </c>
      <c r="N8015" t="s">
        <v>47304</v>
      </c>
      <c r="O8015" t="s">
        <v>47305</v>
      </c>
      <c r="P8015">
        <v>0</v>
      </c>
      <c r="Q8015">
        <v>5</v>
      </c>
      <c r="R8015" t="s">
        <v>47312</v>
      </c>
      <c r="S8015" t="s">
        <v>47489</v>
      </c>
      <c r="T8015" t="s">
        <v>48998</v>
      </c>
      <c r="U8015" t="s">
        <v>56216</v>
      </c>
      <c r="W8015" t="s">
        <v>45703</v>
      </c>
      <c r="X8015" t="s">
        <v>47313</v>
      </c>
    </row>
    <row r="8016" spans="1:24">
      <c r="A8016">
        <f>HYPERLINK("https://www.philgeps.gov.ph/GEPSNONPILOT/Tender/SplashBidNoticeAbstractUI.aspx?menuIndex=3&amp;refID=7187265&amp;Result=3","7187265")</f>
        <v>0</v>
      </c>
      <c r="B8016" t="s">
        <v>2564</v>
      </c>
      <c r="C8016" t="s">
        <v>11404</v>
      </c>
      <c r="E8016" t="s">
        <v>26030</v>
      </c>
      <c r="F8016" t="s">
        <v>32606</v>
      </c>
      <c r="G8016" t="s">
        <v>32613</v>
      </c>
      <c r="H8016" t="s">
        <v>32623</v>
      </c>
      <c r="I8016" t="s">
        <v>17648</v>
      </c>
      <c r="J8016" t="s">
        <v>37789</v>
      </c>
      <c r="K8016" t="s">
        <v>42627</v>
      </c>
      <c r="M8016" t="s">
        <v>45704</v>
      </c>
      <c r="N8016" t="s">
        <v>47304</v>
      </c>
      <c r="O8016" t="s">
        <v>47305</v>
      </c>
      <c r="P8016">
        <v>0</v>
      </c>
      <c r="Q8016">
        <v>1</v>
      </c>
      <c r="R8016" t="s">
        <v>47312</v>
      </c>
      <c r="S8016" t="s">
        <v>47489</v>
      </c>
      <c r="T8016" t="s">
        <v>49162</v>
      </c>
      <c r="U8016" t="s">
        <v>56217</v>
      </c>
      <c r="W8016" t="s">
        <v>45704</v>
      </c>
      <c r="X8016" t="s">
        <v>47313</v>
      </c>
    </row>
    <row r="8017" spans="1:24">
      <c r="A8017">
        <f>HYPERLINK("https://www.philgeps.gov.ph/GEPSNONPILOT/Tender/SplashBidNoticeAbstractUI.aspx?menuIndex=3&amp;refID=7187355&amp;Result=3","7187355")</f>
        <v>0</v>
      </c>
      <c r="B8017" t="s">
        <v>2291</v>
      </c>
      <c r="C8017" t="s">
        <v>11405</v>
      </c>
      <c r="D8017" t="s">
        <v>19028</v>
      </c>
      <c r="E8017" t="s">
        <v>26031</v>
      </c>
      <c r="F8017" t="s">
        <v>32606</v>
      </c>
      <c r="G8017" t="s">
        <v>32614</v>
      </c>
      <c r="H8017" t="s">
        <v>14201</v>
      </c>
      <c r="I8017" t="s">
        <v>6298</v>
      </c>
      <c r="J8017" t="s">
        <v>37790</v>
      </c>
      <c r="K8017" t="s">
        <v>42624</v>
      </c>
      <c r="M8017" t="s">
        <v>45397</v>
      </c>
      <c r="N8017" t="s">
        <v>47304</v>
      </c>
      <c r="O8017" t="s">
        <v>47305</v>
      </c>
      <c r="P8017">
        <v>0</v>
      </c>
      <c r="Q8017">
        <v>0</v>
      </c>
      <c r="R8017" t="s">
        <v>47312</v>
      </c>
      <c r="S8017" t="s">
        <v>47489</v>
      </c>
      <c r="T8017" t="s">
        <v>49269</v>
      </c>
      <c r="U8017" t="s">
        <v>56218</v>
      </c>
      <c r="V8017" t="s">
        <v>63310</v>
      </c>
      <c r="W8017" t="s">
        <v>45397</v>
      </c>
      <c r="X8017" t="s">
        <v>47313</v>
      </c>
    </row>
    <row r="8018" spans="1:24">
      <c r="A8018">
        <f>HYPERLINK("https://www.philgeps.gov.ph/GEPSNONPILOT/Tender/SplashBidNoticeAbstractUI.aspx?menuIndex=3&amp;refID=7187257&amp;Result=3","7187257")</f>
        <v>0</v>
      </c>
      <c r="B8018" t="s">
        <v>1235</v>
      </c>
      <c r="C8018" t="s">
        <v>11406</v>
      </c>
      <c r="D8018" t="s">
        <v>18997</v>
      </c>
      <c r="E8018" t="s">
        <v>19358</v>
      </c>
      <c r="F8018" t="s">
        <v>32608</v>
      </c>
      <c r="G8018" t="s">
        <v>32613</v>
      </c>
      <c r="H8018" t="s">
        <v>14201</v>
      </c>
      <c r="I8018" t="s">
        <v>4678</v>
      </c>
      <c r="J8018" t="s">
        <v>34416</v>
      </c>
      <c r="K8018" t="s">
        <v>42630</v>
      </c>
      <c r="M8018" t="s">
        <v>44200</v>
      </c>
      <c r="N8018" t="s">
        <v>47304</v>
      </c>
      <c r="O8018" t="s">
        <v>47305</v>
      </c>
      <c r="P8018">
        <v>0</v>
      </c>
      <c r="Q8018">
        <v>1</v>
      </c>
      <c r="R8018" t="s">
        <v>47312</v>
      </c>
      <c r="S8018" t="s">
        <v>47489</v>
      </c>
      <c r="T8018" t="s">
        <v>49066</v>
      </c>
      <c r="U8018" t="s">
        <v>56219</v>
      </c>
      <c r="W8018" t="s">
        <v>44200</v>
      </c>
      <c r="X8018" t="s">
        <v>47313</v>
      </c>
    </row>
    <row r="8019" spans="1:24">
      <c r="A8019">
        <f>HYPERLINK("https://www.philgeps.gov.ph/GEPSNONPILOT/Tender/SplashBidNoticeAbstractUI.aspx?menuIndex=3&amp;refID=7187341&amp;Result=3","7187341")</f>
        <v>0</v>
      </c>
      <c r="B8019" t="s">
        <v>2565</v>
      </c>
      <c r="C8019" t="s">
        <v>11407</v>
      </c>
      <c r="D8019" t="s">
        <v>18991</v>
      </c>
      <c r="E8019" t="s">
        <v>19522</v>
      </c>
      <c r="F8019" t="s">
        <v>32606</v>
      </c>
      <c r="G8019" t="s">
        <v>32613</v>
      </c>
      <c r="H8019" t="s">
        <v>14201</v>
      </c>
      <c r="I8019" t="s">
        <v>32706</v>
      </c>
      <c r="J8019" t="s">
        <v>32789</v>
      </c>
      <c r="K8019" t="s">
        <v>42631</v>
      </c>
      <c r="M8019" t="s">
        <v>45705</v>
      </c>
      <c r="N8019" t="s">
        <v>47304</v>
      </c>
      <c r="O8019" t="s">
        <v>47305</v>
      </c>
      <c r="P8019">
        <v>0</v>
      </c>
      <c r="Q8019">
        <v>7</v>
      </c>
      <c r="R8019" t="s">
        <v>47312</v>
      </c>
      <c r="S8019" t="s">
        <v>47489</v>
      </c>
      <c r="T8019" t="s">
        <v>49266</v>
      </c>
      <c r="U8019" t="s">
        <v>56220</v>
      </c>
      <c r="W8019" t="s">
        <v>45705</v>
      </c>
      <c r="X8019" t="s">
        <v>47313</v>
      </c>
    </row>
    <row r="8020" spans="1:24">
      <c r="A8020">
        <f>HYPERLINK("https://www.philgeps.gov.ph/GEPSNONPILOT/Tender/SplashBidNoticeAbstractUI.aspx?menuIndex=3&amp;refID=7187369&amp;Result=3","7187369")</f>
        <v>0</v>
      </c>
      <c r="B8020" t="s">
        <v>1235</v>
      </c>
      <c r="C8020" t="s">
        <v>11408</v>
      </c>
      <c r="D8020" t="s">
        <v>18997</v>
      </c>
      <c r="E8020" t="s">
        <v>21066</v>
      </c>
      <c r="F8020" t="s">
        <v>32608</v>
      </c>
      <c r="G8020" t="s">
        <v>32613</v>
      </c>
      <c r="H8020" t="s">
        <v>14201</v>
      </c>
      <c r="I8020" t="s">
        <v>32640</v>
      </c>
      <c r="J8020" t="s">
        <v>32813</v>
      </c>
      <c r="K8020" t="s">
        <v>42630</v>
      </c>
      <c r="M8020" t="s">
        <v>44200</v>
      </c>
      <c r="N8020" t="s">
        <v>47304</v>
      </c>
      <c r="O8020" t="s">
        <v>47305</v>
      </c>
      <c r="P8020">
        <v>0</v>
      </c>
      <c r="Q8020">
        <v>1</v>
      </c>
      <c r="R8020" t="s">
        <v>47312</v>
      </c>
      <c r="S8020" t="s">
        <v>47489</v>
      </c>
      <c r="T8020" t="s">
        <v>49066</v>
      </c>
      <c r="U8020" t="s">
        <v>56221</v>
      </c>
      <c r="W8020" t="s">
        <v>44200</v>
      </c>
      <c r="X8020" t="s">
        <v>47313</v>
      </c>
    </row>
    <row r="8021" spans="1:24">
      <c r="A8021">
        <f>HYPERLINK("https://www.philgeps.gov.ph/GEPSNONPILOT/Tender/SplashBidNoticeAbstractUI.aspx?menuIndex=3&amp;refID=7187336&amp;Result=3","7187336")</f>
        <v>0</v>
      </c>
      <c r="B8021" t="s">
        <v>1235</v>
      </c>
      <c r="C8021" t="s">
        <v>11409</v>
      </c>
      <c r="D8021" t="s">
        <v>18997</v>
      </c>
      <c r="E8021" t="s">
        <v>19233</v>
      </c>
      <c r="F8021" t="s">
        <v>32608</v>
      </c>
      <c r="G8021" t="s">
        <v>32613</v>
      </c>
      <c r="H8021" t="s">
        <v>14201</v>
      </c>
      <c r="I8021" t="s">
        <v>7577</v>
      </c>
      <c r="J8021" t="s">
        <v>34989</v>
      </c>
      <c r="K8021" t="s">
        <v>42630</v>
      </c>
      <c r="M8021" t="s">
        <v>44200</v>
      </c>
      <c r="N8021" t="s">
        <v>47304</v>
      </c>
      <c r="O8021" t="s">
        <v>47305</v>
      </c>
      <c r="P8021">
        <v>0</v>
      </c>
      <c r="Q8021">
        <v>1</v>
      </c>
      <c r="R8021" t="s">
        <v>47312</v>
      </c>
      <c r="S8021" t="s">
        <v>47489</v>
      </c>
      <c r="T8021" t="s">
        <v>49066</v>
      </c>
      <c r="U8021" t="s">
        <v>56222</v>
      </c>
      <c r="W8021" t="s">
        <v>44200</v>
      </c>
      <c r="X8021" t="s">
        <v>47313</v>
      </c>
    </row>
    <row r="8022" spans="1:24">
      <c r="A8022">
        <f>HYPERLINK("https://www.philgeps.gov.ph/GEPSNONPILOT/Tender/SplashBidNoticeAbstractUI.aspx?menuIndex=3&amp;refID=7187262&amp;Result=3","7187262")</f>
        <v>0</v>
      </c>
      <c r="B8022" t="s">
        <v>688</v>
      </c>
      <c r="C8022" t="s">
        <v>11410</v>
      </c>
      <c r="E8022" t="s">
        <v>26032</v>
      </c>
      <c r="F8022" t="s">
        <v>32606</v>
      </c>
      <c r="G8022" t="s">
        <v>32614</v>
      </c>
      <c r="H8022" t="s">
        <v>14201</v>
      </c>
      <c r="I8022" t="s">
        <v>32738</v>
      </c>
      <c r="J8022" t="s">
        <v>37791</v>
      </c>
      <c r="K8022" t="s">
        <v>42624</v>
      </c>
      <c r="M8022" t="s">
        <v>43609</v>
      </c>
      <c r="N8022" t="s">
        <v>47304</v>
      </c>
      <c r="O8022" t="s">
        <v>47305</v>
      </c>
      <c r="P8022">
        <v>0</v>
      </c>
      <c r="Q8022">
        <v>0</v>
      </c>
      <c r="R8022" t="s">
        <v>47312</v>
      </c>
      <c r="S8022" t="s">
        <v>47489</v>
      </c>
      <c r="T8022" t="s">
        <v>49071</v>
      </c>
      <c r="U8022" t="s">
        <v>56223</v>
      </c>
      <c r="W8022" t="s">
        <v>43609</v>
      </c>
      <c r="X8022" t="s">
        <v>47313</v>
      </c>
    </row>
    <row r="8023" spans="1:24">
      <c r="A8023">
        <f>HYPERLINK("https://www.philgeps.gov.ph/GEPSNONPILOT/Tender/SplashBidNoticeAbstractUI.aspx?menuIndex=3&amp;refID=7187281&amp;Result=3","7187281")</f>
        <v>0</v>
      </c>
      <c r="B8023" t="s">
        <v>2520</v>
      </c>
      <c r="C8023" t="s">
        <v>11411</v>
      </c>
      <c r="D8023" t="s">
        <v>19018</v>
      </c>
      <c r="E8023" t="s">
        <v>26033</v>
      </c>
      <c r="F8023" t="s">
        <v>32606</v>
      </c>
      <c r="G8023" t="s">
        <v>32613</v>
      </c>
      <c r="H8023" t="s">
        <v>32623</v>
      </c>
      <c r="I8023" t="s">
        <v>17648</v>
      </c>
      <c r="J8023" t="s">
        <v>32923</v>
      </c>
      <c r="K8023" t="s">
        <v>42661</v>
      </c>
      <c r="M8023" t="s">
        <v>45661</v>
      </c>
      <c r="N8023" t="s">
        <v>47304</v>
      </c>
      <c r="O8023" t="s">
        <v>47305</v>
      </c>
      <c r="P8023">
        <v>0</v>
      </c>
      <c r="Q8023">
        <v>0</v>
      </c>
      <c r="R8023" t="s">
        <v>47312</v>
      </c>
      <c r="S8023" t="s">
        <v>47489</v>
      </c>
      <c r="T8023" t="s">
        <v>49009</v>
      </c>
      <c r="U8023" t="s">
        <v>56224</v>
      </c>
      <c r="W8023" t="s">
        <v>45661</v>
      </c>
      <c r="X8023" t="s">
        <v>47313</v>
      </c>
    </row>
    <row r="8024" spans="1:24">
      <c r="A8024">
        <f>HYPERLINK("https://www.philgeps.gov.ph/GEPSNONPILOT/Tender/SplashBidNoticeAbstractUI.aspx?menuIndex=3&amp;refID=7187332&amp;Result=3","7187332")</f>
        <v>0</v>
      </c>
      <c r="B8024" t="s">
        <v>2566</v>
      </c>
      <c r="C8024" t="s">
        <v>11412</v>
      </c>
      <c r="D8024" t="s">
        <v>19049</v>
      </c>
      <c r="E8024" t="s">
        <v>26034</v>
      </c>
      <c r="F8024" t="s">
        <v>32606</v>
      </c>
      <c r="G8024" t="s">
        <v>32613</v>
      </c>
      <c r="H8024" t="s">
        <v>32623</v>
      </c>
      <c r="I8024" t="s">
        <v>17648</v>
      </c>
      <c r="J8024" t="s">
        <v>37792</v>
      </c>
      <c r="K8024" t="s">
        <v>42648</v>
      </c>
      <c r="M8024" t="s">
        <v>45706</v>
      </c>
      <c r="N8024" t="s">
        <v>47304</v>
      </c>
      <c r="O8024" t="s">
        <v>47305</v>
      </c>
      <c r="P8024">
        <v>0</v>
      </c>
      <c r="Q8024">
        <v>1</v>
      </c>
      <c r="R8024" t="s">
        <v>47312</v>
      </c>
      <c r="S8024" t="s">
        <v>47489</v>
      </c>
      <c r="T8024" t="s">
        <v>48978</v>
      </c>
      <c r="U8024" t="s">
        <v>56225</v>
      </c>
      <c r="V8024" t="s">
        <v>63441</v>
      </c>
      <c r="W8024" t="s">
        <v>45706</v>
      </c>
      <c r="X8024" t="s">
        <v>47313</v>
      </c>
    </row>
    <row r="8025" spans="1:24">
      <c r="A8025">
        <f>HYPERLINK("https://www.philgeps.gov.ph/GEPSNONPILOT/Tender/SplashBidNoticeAbstractUI.aspx?menuIndex=3&amp;refID=7187345&amp;Result=3","7187345")</f>
        <v>0</v>
      </c>
      <c r="B8025" t="s">
        <v>567</v>
      </c>
      <c r="C8025" t="s">
        <v>11413</v>
      </c>
      <c r="E8025" t="s">
        <v>26035</v>
      </c>
      <c r="F8025" t="s">
        <v>32606</v>
      </c>
      <c r="G8025" t="s">
        <v>32619</v>
      </c>
      <c r="H8025" t="s">
        <v>14201</v>
      </c>
      <c r="I8025" t="s">
        <v>32633</v>
      </c>
      <c r="J8025" t="s">
        <v>34709</v>
      </c>
      <c r="K8025" t="s">
        <v>42624</v>
      </c>
      <c r="M8025" t="s">
        <v>43482</v>
      </c>
      <c r="N8025" t="s">
        <v>47304</v>
      </c>
      <c r="O8025" t="s">
        <v>47305</v>
      </c>
      <c r="P8025">
        <v>0</v>
      </c>
      <c r="Q8025">
        <v>5</v>
      </c>
      <c r="R8025" t="s">
        <v>47312</v>
      </c>
      <c r="S8025" t="s">
        <v>47489</v>
      </c>
      <c r="T8025" t="s">
        <v>49269</v>
      </c>
      <c r="U8025" t="s">
        <v>56226</v>
      </c>
      <c r="W8025" t="s">
        <v>43482</v>
      </c>
      <c r="X8025" t="s">
        <v>47313</v>
      </c>
    </row>
    <row r="8026" spans="1:24">
      <c r="A8026">
        <f>HYPERLINK("https://www.philgeps.gov.ph/GEPSNONPILOT/Tender/SplashBidNoticeAbstractUI.aspx?menuIndex=3&amp;refID=7187322&amp;Result=3","7187322")</f>
        <v>0</v>
      </c>
      <c r="B8026" t="s">
        <v>2559</v>
      </c>
      <c r="C8026" t="s">
        <v>11414</v>
      </c>
      <c r="D8026" t="s">
        <v>19039</v>
      </c>
      <c r="E8026" t="s">
        <v>19411</v>
      </c>
      <c r="F8026" t="s">
        <v>32606</v>
      </c>
      <c r="G8026" t="s">
        <v>32613</v>
      </c>
      <c r="H8026" t="s">
        <v>14201</v>
      </c>
      <c r="I8026" t="s">
        <v>7064</v>
      </c>
      <c r="J8026" t="s">
        <v>37793</v>
      </c>
      <c r="K8026" t="s">
        <v>42648</v>
      </c>
      <c r="M8026" t="s">
        <v>45699</v>
      </c>
      <c r="N8026" t="s">
        <v>47304</v>
      </c>
      <c r="O8026" t="s">
        <v>47305</v>
      </c>
      <c r="P8026">
        <v>0</v>
      </c>
      <c r="Q8026">
        <v>4</v>
      </c>
      <c r="R8026" t="s">
        <v>47312</v>
      </c>
      <c r="S8026" t="s">
        <v>47489</v>
      </c>
      <c r="T8026" t="s">
        <v>49320</v>
      </c>
      <c r="U8026" t="s">
        <v>56210</v>
      </c>
      <c r="V8026" t="s">
        <v>63442</v>
      </c>
      <c r="W8026" t="s">
        <v>45699</v>
      </c>
      <c r="X8026" t="s">
        <v>47313</v>
      </c>
    </row>
    <row r="8027" spans="1:24">
      <c r="A8027">
        <f>HYPERLINK("https://www.philgeps.gov.ph/GEPSNONPILOT/Tender/SplashBidNoticeAbstractUI.aspx?menuIndex=3&amp;refID=7187375&amp;Result=3","7187375")</f>
        <v>0</v>
      </c>
      <c r="B8027" t="s">
        <v>2291</v>
      </c>
      <c r="C8027" t="s">
        <v>11415</v>
      </c>
      <c r="D8027" t="s">
        <v>19028</v>
      </c>
      <c r="E8027" t="s">
        <v>26036</v>
      </c>
      <c r="F8027" t="s">
        <v>32606</v>
      </c>
      <c r="G8027" t="s">
        <v>32614</v>
      </c>
      <c r="H8027" t="s">
        <v>14201</v>
      </c>
      <c r="I8027" t="s">
        <v>6298</v>
      </c>
      <c r="J8027" t="s">
        <v>37794</v>
      </c>
      <c r="K8027" t="s">
        <v>42624</v>
      </c>
      <c r="M8027" t="s">
        <v>45397</v>
      </c>
      <c r="N8027" t="s">
        <v>47304</v>
      </c>
      <c r="O8027" t="s">
        <v>47305</v>
      </c>
      <c r="P8027">
        <v>0</v>
      </c>
      <c r="Q8027">
        <v>0</v>
      </c>
      <c r="R8027" t="s">
        <v>47312</v>
      </c>
      <c r="S8027" t="s">
        <v>47489</v>
      </c>
      <c r="T8027" t="s">
        <v>49269</v>
      </c>
      <c r="U8027" t="s">
        <v>56227</v>
      </c>
      <c r="V8027" t="s">
        <v>63310</v>
      </c>
      <c r="W8027" t="s">
        <v>45397</v>
      </c>
      <c r="X8027" t="s">
        <v>47313</v>
      </c>
    </row>
    <row r="8028" spans="1:24">
      <c r="A8028">
        <f>HYPERLINK("https://www.philgeps.gov.ph/GEPSNONPILOT/Tender/SplashBidNoticeAbstractUI.aspx?menuIndex=3&amp;refID=7187359&amp;Result=3","7187359")</f>
        <v>0</v>
      </c>
      <c r="B8028" t="s">
        <v>1458</v>
      </c>
      <c r="C8028" t="s">
        <v>11416</v>
      </c>
      <c r="D8028" t="s">
        <v>18995</v>
      </c>
      <c r="E8028" t="s">
        <v>26037</v>
      </c>
      <c r="F8028" t="s">
        <v>32606</v>
      </c>
      <c r="G8028" t="s">
        <v>32614</v>
      </c>
      <c r="H8028" t="s">
        <v>14201</v>
      </c>
      <c r="I8028" t="s">
        <v>32626</v>
      </c>
      <c r="J8028" t="s">
        <v>37795</v>
      </c>
      <c r="K8028" t="s">
        <v>42622</v>
      </c>
      <c r="M8028" t="s">
        <v>44451</v>
      </c>
      <c r="N8028" t="s">
        <v>47304</v>
      </c>
      <c r="O8028" t="s">
        <v>47305</v>
      </c>
      <c r="P8028">
        <v>0</v>
      </c>
      <c r="Q8028">
        <v>2</v>
      </c>
      <c r="R8028" t="s">
        <v>47312</v>
      </c>
      <c r="S8028" t="s">
        <v>47489</v>
      </c>
      <c r="T8028" t="s">
        <v>49053</v>
      </c>
      <c r="U8028" t="s">
        <v>56228</v>
      </c>
      <c r="W8028" t="s">
        <v>44451</v>
      </c>
      <c r="X8028" t="s">
        <v>47313</v>
      </c>
    </row>
    <row r="8029" spans="1:24">
      <c r="A8029">
        <f>HYPERLINK("https://www.philgeps.gov.ph/GEPSNONPILOT/Tender/SplashBidNoticeAbstractUI.aspx?menuIndex=3&amp;refID=7187417&amp;Result=3","7187417")</f>
        <v>0</v>
      </c>
      <c r="B8029" t="s">
        <v>2562</v>
      </c>
      <c r="C8029" t="s">
        <v>11417</v>
      </c>
      <c r="D8029" t="s">
        <v>19039</v>
      </c>
      <c r="E8029" t="s">
        <v>26038</v>
      </c>
      <c r="F8029" t="s">
        <v>32606</v>
      </c>
      <c r="G8029" t="s">
        <v>32613</v>
      </c>
      <c r="H8029" t="s">
        <v>14201</v>
      </c>
      <c r="I8029" t="s">
        <v>4121</v>
      </c>
      <c r="J8029" t="s">
        <v>33043</v>
      </c>
      <c r="K8029" t="s">
        <v>42636</v>
      </c>
      <c r="M8029" t="s">
        <v>45702</v>
      </c>
      <c r="N8029" t="s">
        <v>47304</v>
      </c>
      <c r="O8029" t="s">
        <v>47305</v>
      </c>
      <c r="P8029">
        <v>0</v>
      </c>
      <c r="Q8029">
        <v>3</v>
      </c>
      <c r="R8029" t="s">
        <v>47312</v>
      </c>
      <c r="S8029" t="s">
        <v>47489</v>
      </c>
      <c r="T8029" t="s">
        <v>49037</v>
      </c>
      <c r="U8029" t="s">
        <v>56229</v>
      </c>
      <c r="V8029" t="s">
        <v>63043</v>
      </c>
      <c r="W8029" t="s">
        <v>45702</v>
      </c>
      <c r="X8029" t="s">
        <v>47313</v>
      </c>
    </row>
    <row r="8030" spans="1:24">
      <c r="A8030">
        <f>HYPERLINK("https://www.philgeps.gov.ph/GEPSNONPILOT/Tender/SplashBidNoticeAbstractUI.aspx?menuIndex=3&amp;refID=7187340&amp;Result=3","7187340")</f>
        <v>0</v>
      </c>
      <c r="B8030" t="s">
        <v>2567</v>
      </c>
      <c r="C8030" t="s">
        <v>11418</v>
      </c>
      <c r="D8030" t="s">
        <v>19002</v>
      </c>
      <c r="E8030" t="s">
        <v>26039</v>
      </c>
      <c r="F8030" t="s">
        <v>32606</v>
      </c>
      <c r="G8030" t="s">
        <v>32619</v>
      </c>
      <c r="H8030" t="s">
        <v>14201</v>
      </c>
      <c r="I8030" t="s">
        <v>32626</v>
      </c>
      <c r="J8030" t="s">
        <v>32752</v>
      </c>
      <c r="K8030" t="s">
        <v>42631</v>
      </c>
      <c r="M8030" t="s">
        <v>45707</v>
      </c>
      <c r="N8030" t="s">
        <v>47304</v>
      </c>
      <c r="O8030" t="s">
        <v>47305</v>
      </c>
      <c r="P8030">
        <v>0</v>
      </c>
      <c r="Q8030">
        <v>4</v>
      </c>
      <c r="R8030" t="s">
        <v>47312</v>
      </c>
      <c r="S8030" t="s">
        <v>47489</v>
      </c>
      <c r="T8030" t="s">
        <v>48998</v>
      </c>
      <c r="U8030" t="s">
        <v>56230</v>
      </c>
      <c r="W8030" t="s">
        <v>45707</v>
      </c>
      <c r="X8030" t="s">
        <v>47313</v>
      </c>
    </row>
    <row r="8031" spans="1:24">
      <c r="A8031">
        <f>HYPERLINK("https://www.philgeps.gov.ph/GEPSNONPILOT/Tender/SplashBidNoticeAbstractUI.aspx?menuIndex=3&amp;refID=7187415&amp;Result=3","7187415")</f>
        <v>0</v>
      </c>
      <c r="B8031" t="s">
        <v>301</v>
      </c>
      <c r="C8031" t="s">
        <v>11419</v>
      </c>
      <c r="D8031" t="s">
        <v>19011</v>
      </c>
      <c r="E8031" t="s">
        <v>26040</v>
      </c>
      <c r="F8031" t="s">
        <v>32606</v>
      </c>
      <c r="G8031" t="s">
        <v>32619</v>
      </c>
      <c r="H8031" t="s">
        <v>14201</v>
      </c>
      <c r="I8031" t="s">
        <v>32646</v>
      </c>
      <c r="J8031" t="s">
        <v>37796</v>
      </c>
      <c r="K8031" t="s">
        <v>42627</v>
      </c>
      <c r="M8031" t="s">
        <v>43203</v>
      </c>
      <c r="N8031" t="s">
        <v>47304</v>
      </c>
      <c r="O8031" t="s">
        <v>47305</v>
      </c>
      <c r="P8031">
        <v>0</v>
      </c>
      <c r="Q8031">
        <v>2</v>
      </c>
      <c r="R8031" t="s">
        <v>47312</v>
      </c>
      <c r="S8031" t="s">
        <v>47489</v>
      </c>
      <c r="T8031" t="s">
        <v>49047</v>
      </c>
      <c r="U8031" t="s">
        <v>56231</v>
      </c>
      <c r="W8031" t="s">
        <v>43203</v>
      </c>
      <c r="X8031" t="s">
        <v>47313</v>
      </c>
    </row>
    <row r="8032" spans="1:24">
      <c r="A8032">
        <f>HYPERLINK("https://www.philgeps.gov.ph/GEPSNONPILOT/Tender/SplashBidNoticeAbstractUI.aspx?menuIndex=3&amp;refID=7187327&amp;Result=3","7187327")</f>
        <v>0</v>
      </c>
      <c r="B8032" t="s">
        <v>207</v>
      </c>
      <c r="C8032" t="s">
        <v>11420</v>
      </c>
      <c r="D8032" t="s">
        <v>19047</v>
      </c>
      <c r="E8032" t="s">
        <v>26041</v>
      </c>
      <c r="F8032" t="s">
        <v>32606</v>
      </c>
      <c r="G8032" t="s">
        <v>32614</v>
      </c>
      <c r="H8032" t="s">
        <v>14201</v>
      </c>
      <c r="I8032" t="s">
        <v>7233</v>
      </c>
      <c r="J8032" t="s">
        <v>37797</v>
      </c>
      <c r="K8032" t="s">
        <v>42630</v>
      </c>
      <c r="M8032" t="s">
        <v>43108</v>
      </c>
      <c r="N8032" t="s">
        <v>47304</v>
      </c>
      <c r="O8032" t="s">
        <v>47305</v>
      </c>
      <c r="P8032">
        <v>0</v>
      </c>
      <c r="Q8032">
        <v>0</v>
      </c>
      <c r="R8032" t="s">
        <v>47312</v>
      </c>
      <c r="S8032" t="s">
        <v>47489</v>
      </c>
      <c r="T8032" t="s">
        <v>48998</v>
      </c>
      <c r="U8032" t="s">
        <v>49912</v>
      </c>
      <c r="V8032" t="s">
        <v>62695</v>
      </c>
      <c r="W8032" t="s">
        <v>43108</v>
      </c>
      <c r="X8032" t="s">
        <v>47313</v>
      </c>
    </row>
    <row r="8033" spans="1:24">
      <c r="A8033">
        <f>HYPERLINK("https://www.philgeps.gov.ph/GEPSNONPILOT/Tender/SplashBidNoticeAbstractUI.aspx?menuIndex=3&amp;refID=7187348&amp;Result=3","7187348")</f>
        <v>0</v>
      </c>
      <c r="B8033" t="s">
        <v>1564</v>
      </c>
      <c r="C8033" t="s">
        <v>11421</v>
      </c>
      <c r="D8033" t="s">
        <v>19011</v>
      </c>
      <c r="E8033" t="s">
        <v>26042</v>
      </c>
      <c r="F8033" t="s">
        <v>32606</v>
      </c>
      <c r="G8033" t="s">
        <v>32613</v>
      </c>
      <c r="H8033" t="s">
        <v>14201</v>
      </c>
      <c r="I8033" t="s">
        <v>32664</v>
      </c>
      <c r="J8033" t="s">
        <v>33994</v>
      </c>
      <c r="K8033" t="s">
        <v>42624</v>
      </c>
      <c r="M8033" t="s">
        <v>44571</v>
      </c>
      <c r="N8033" t="s">
        <v>47304</v>
      </c>
      <c r="O8033" t="s">
        <v>47305</v>
      </c>
      <c r="P8033">
        <v>0</v>
      </c>
      <c r="Q8033">
        <v>0</v>
      </c>
      <c r="R8033" t="s">
        <v>47312</v>
      </c>
      <c r="S8033" t="s">
        <v>47489</v>
      </c>
      <c r="T8033" t="s">
        <v>49068</v>
      </c>
      <c r="U8033" t="s">
        <v>56232</v>
      </c>
      <c r="W8033" t="s">
        <v>44571</v>
      </c>
      <c r="X8033" t="s">
        <v>47313</v>
      </c>
    </row>
    <row r="8034" spans="1:24">
      <c r="A8034">
        <f>HYPERLINK("https://www.philgeps.gov.ph/GEPSNONPILOT/Tender/SplashBidNoticeAbstractUI.aspx?menuIndex=3&amp;refID=7187396&amp;Result=3","7187396")</f>
        <v>0</v>
      </c>
      <c r="B8034" t="s">
        <v>813</v>
      </c>
      <c r="C8034" t="s">
        <v>11422</v>
      </c>
      <c r="D8034" t="s">
        <v>19044</v>
      </c>
      <c r="E8034" t="s">
        <v>26043</v>
      </c>
      <c r="F8034" t="s">
        <v>32606</v>
      </c>
      <c r="G8034" t="s">
        <v>32614</v>
      </c>
      <c r="H8034" t="s">
        <v>14201</v>
      </c>
      <c r="I8034" t="s">
        <v>6298</v>
      </c>
      <c r="J8034" t="s">
        <v>37798</v>
      </c>
      <c r="K8034" t="s">
        <v>42630</v>
      </c>
      <c r="M8034" t="s">
        <v>43744</v>
      </c>
      <c r="N8034" t="s">
        <v>47304</v>
      </c>
      <c r="O8034" t="s">
        <v>47305</v>
      </c>
      <c r="P8034">
        <v>0</v>
      </c>
      <c r="Q8034">
        <v>5</v>
      </c>
      <c r="R8034" t="s">
        <v>47312</v>
      </c>
      <c r="S8034" t="s">
        <v>47489</v>
      </c>
      <c r="T8034" t="s">
        <v>49068</v>
      </c>
      <c r="U8034" t="s">
        <v>56233</v>
      </c>
      <c r="W8034" t="s">
        <v>43744</v>
      </c>
      <c r="X8034" t="s">
        <v>47313</v>
      </c>
    </row>
    <row r="8035" spans="1:24">
      <c r="A8035">
        <f>HYPERLINK("https://www.philgeps.gov.ph/GEPSNONPILOT/Tender/SplashBidNoticeAbstractUI.aspx?menuIndex=3&amp;refID=7187321&amp;Result=3","7187321")</f>
        <v>0</v>
      </c>
      <c r="B8035" t="s">
        <v>211</v>
      </c>
      <c r="C8035" t="s">
        <v>11423</v>
      </c>
      <c r="D8035" t="s">
        <v>19007</v>
      </c>
      <c r="E8035" t="s">
        <v>26044</v>
      </c>
      <c r="F8035" t="s">
        <v>32606</v>
      </c>
      <c r="G8035" t="s">
        <v>32614</v>
      </c>
      <c r="H8035" t="s">
        <v>14201</v>
      </c>
      <c r="I8035" t="s">
        <v>32626</v>
      </c>
      <c r="J8035" t="s">
        <v>32776</v>
      </c>
      <c r="K8035" t="s">
        <v>42624</v>
      </c>
      <c r="M8035" t="s">
        <v>43112</v>
      </c>
      <c r="N8035" t="s">
        <v>47304</v>
      </c>
      <c r="O8035" t="s">
        <v>47305</v>
      </c>
      <c r="P8035">
        <v>0</v>
      </c>
      <c r="Q8035">
        <v>1</v>
      </c>
      <c r="R8035" t="s">
        <v>47312</v>
      </c>
      <c r="S8035" t="s">
        <v>47489</v>
      </c>
      <c r="T8035" t="s">
        <v>49331</v>
      </c>
      <c r="U8035" t="s">
        <v>56234</v>
      </c>
      <c r="W8035" t="s">
        <v>43112</v>
      </c>
      <c r="X8035" t="s">
        <v>47313</v>
      </c>
    </row>
    <row r="8036" spans="1:24">
      <c r="A8036">
        <f>HYPERLINK("https://www.philgeps.gov.ph/GEPSNONPILOT/Tender/SplashBidNoticeAbstractUI.aspx?menuIndex=3&amp;refID=7187393&amp;Result=3","7187393")</f>
        <v>0</v>
      </c>
      <c r="B8036" t="s">
        <v>2505</v>
      </c>
      <c r="C8036" t="s">
        <v>11424</v>
      </c>
      <c r="D8036" t="s">
        <v>19007</v>
      </c>
      <c r="E8036" t="s">
        <v>25893</v>
      </c>
      <c r="F8036" t="s">
        <v>32606</v>
      </c>
      <c r="G8036" t="s">
        <v>32613</v>
      </c>
      <c r="H8036" t="s">
        <v>32623</v>
      </c>
      <c r="I8036" t="s">
        <v>17648</v>
      </c>
      <c r="J8036" t="s">
        <v>37799</v>
      </c>
      <c r="K8036" t="s">
        <v>42636</v>
      </c>
      <c r="M8036" t="s">
        <v>45644</v>
      </c>
      <c r="N8036" t="s">
        <v>47304</v>
      </c>
      <c r="O8036" t="s">
        <v>47305</v>
      </c>
      <c r="P8036">
        <v>0</v>
      </c>
      <c r="Q8036">
        <v>1</v>
      </c>
      <c r="R8036" t="s">
        <v>47312</v>
      </c>
      <c r="S8036" t="s">
        <v>47489</v>
      </c>
      <c r="T8036" t="s">
        <v>49077</v>
      </c>
      <c r="U8036" t="s">
        <v>56075</v>
      </c>
      <c r="V8036" t="s">
        <v>63443</v>
      </c>
      <c r="W8036" t="s">
        <v>45644</v>
      </c>
      <c r="X8036" t="s">
        <v>47313</v>
      </c>
    </row>
    <row r="8037" spans="1:24">
      <c r="A8037">
        <f>HYPERLINK("https://www.philgeps.gov.ph/GEPSNONPILOT/Tender/SplashBidNoticeAbstractUI.aspx?menuIndex=3&amp;refID=7187414&amp;Result=3","7187414")</f>
        <v>0</v>
      </c>
      <c r="B8037" t="s">
        <v>567</v>
      </c>
      <c r="C8037" t="s">
        <v>11425</v>
      </c>
      <c r="E8037" t="s">
        <v>26045</v>
      </c>
      <c r="F8037" t="s">
        <v>32606</v>
      </c>
      <c r="G8037" t="s">
        <v>32619</v>
      </c>
      <c r="H8037" t="s">
        <v>14201</v>
      </c>
      <c r="I8037" t="s">
        <v>32633</v>
      </c>
      <c r="J8037" t="s">
        <v>37800</v>
      </c>
      <c r="K8037" t="s">
        <v>42624</v>
      </c>
      <c r="M8037" t="s">
        <v>43482</v>
      </c>
      <c r="N8037" t="s">
        <v>47304</v>
      </c>
      <c r="O8037" t="s">
        <v>47305</v>
      </c>
      <c r="P8037">
        <v>0</v>
      </c>
      <c r="Q8037">
        <v>6</v>
      </c>
      <c r="R8037" t="s">
        <v>47312</v>
      </c>
      <c r="S8037" t="s">
        <v>47489</v>
      </c>
      <c r="T8037" t="s">
        <v>49269</v>
      </c>
      <c r="U8037" t="s">
        <v>56235</v>
      </c>
      <c r="W8037" t="s">
        <v>43482</v>
      </c>
      <c r="X8037" t="s">
        <v>47313</v>
      </c>
    </row>
    <row r="8038" spans="1:24">
      <c r="A8038">
        <f>HYPERLINK("https://www.philgeps.gov.ph/GEPSNONPILOT/Tender/SplashBidNoticeAbstractUI.aspx?menuIndex=3&amp;refID=7187408&amp;Result=3","7187408")</f>
        <v>0</v>
      </c>
      <c r="B8038" t="s">
        <v>2558</v>
      </c>
      <c r="C8038" t="s">
        <v>11426</v>
      </c>
      <c r="D8038" t="s">
        <v>19016</v>
      </c>
      <c r="E8038" t="s">
        <v>26046</v>
      </c>
      <c r="F8038" t="s">
        <v>32606</v>
      </c>
      <c r="G8038" t="s">
        <v>32613</v>
      </c>
      <c r="H8038" t="s">
        <v>14201</v>
      </c>
      <c r="I8038" t="s">
        <v>32640</v>
      </c>
      <c r="J8038" t="s">
        <v>36030</v>
      </c>
      <c r="K8038" t="s">
        <v>42631</v>
      </c>
      <c r="M8038" t="s">
        <v>45698</v>
      </c>
      <c r="N8038" t="s">
        <v>47304</v>
      </c>
      <c r="O8038" t="s">
        <v>47305</v>
      </c>
      <c r="P8038">
        <v>0</v>
      </c>
      <c r="Q8038">
        <v>2</v>
      </c>
      <c r="R8038" t="s">
        <v>47312</v>
      </c>
      <c r="S8038" t="s">
        <v>47489</v>
      </c>
      <c r="T8038" t="s">
        <v>49167</v>
      </c>
      <c r="U8038" t="s">
        <v>56236</v>
      </c>
      <c r="W8038" t="s">
        <v>45698</v>
      </c>
      <c r="X8038" t="s">
        <v>47313</v>
      </c>
    </row>
    <row r="8039" spans="1:24">
      <c r="A8039">
        <f>HYPERLINK("https://www.philgeps.gov.ph/GEPSNONPILOT/Tender/SplashBidNoticeAbstractUI.aspx?menuIndex=3&amp;refID=7187392&amp;Result=3","7187392")</f>
        <v>0</v>
      </c>
      <c r="B8039" t="s">
        <v>1235</v>
      </c>
      <c r="C8039" t="s">
        <v>4842</v>
      </c>
      <c r="D8039" t="s">
        <v>18997</v>
      </c>
      <c r="E8039" t="s">
        <v>19392</v>
      </c>
      <c r="F8039" t="s">
        <v>32608</v>
      </c>
      <c r="G8039" t="s">
        <v>32613</v>
      </c>
      <c r="H8039" t="s">
        <v>14201</v>
      </c>
      <c r="I8039" t="s">
        <v>6931</v>
      </c>
      <c r="J8039" t="s">
        <v>37801</v>
      </c>
      <c r="K8039" t="s">
        <v>42630</v>
      </c>
      <c r="M8039" t="s">
        <v>44200</v>
      </c>
      <c r="N8039" t="s">
        <v>47304</v>
      </c>
      <c r="O8039" t="s">
        <v>47305</v>
      </c>
      <c r="P8039">
        <v>0</v>
      </c>
      <c r="Q8039">
        <v>0</v>
      </c>
      <c r="R8039" t="s">
        <v>47312</v>
      </c>
      <c r="S8039" t="s">
        <v>47489</v>
      </c>
      <c r="T8039" t="s">
        <v>49066</v>
      </c>
      <c r="U8039" t="s">
        <v>56237</v>
      </c>
      <c r="W8039" t="s">
        <v>44200</v>
      </c>
      <c r="X8039" t="s">
        <v>47313</v>
      </c>
    </row>
    <row r="8040" spans="1:24">
      <c r="A8040">
        <f>HYPERLINK("https://www.philgeps.gov.ph/GEPSNONPILOT/Tender/SplashBidNoticeAbstractUI.aspx?menuIndex=3&amp;refID=7187404&amp;Result=3","7187404")</f>
        <v>0</v>
      </c>
      <c r="B8040" t="s">
        <v>1028</v>
      </c>
      <c r="C8040" t="s">
        <v>11427</v>
      </c>
      <c r="D8040" t="s">
        <v>19008</v>
      </c>
      <c r="E8040" t="s">
        <v>26047</v>
      </c>
      <c r="F8040" t="s">
        <v>32606</v>
      </c>
      <c r="G8040" t="s">
        <v>32613</v>
      </c>
      <c r="H8040" t="s">
        <v>14201</v>
      </c>
      <c r="I8040" t="s">
        <v>32661</v>
      </c>
      <c r="J8040" t="s">
        <v>37802</v>
      </c>
      <c r="K8040" t="s">
        <v>42631</v>
      </c>
      <c r="M8040" t="s">
        <v>43981</v>
      </c>
      <c r="N8040" t="s">
        <v>47304</v>
      </c>
      <c r="O8040" t="s">
        <v>47305</v>
      </c>
      <c r="P8040">
        <v>0</v>
      </c>
      <c r="Q8040">
        <v>0</v>
      </c>
      <c r="R8040" t="s">
        <v>47312</v>
      </c>
      <c r="S8040" t="s">
        <v>47489</v>
      </c>
      <c r="T8040" t="s">
        <v>49017</v>
      </c>
      <c r="U8040" t="s">
        <v>56238</v>
      </c>
      <c r="W8040" t="s">
        <v>43981</v>
      </c>
      <c r="X8040" t="s">
        <v>47313</v>
      </c>
    </row>
    <row r="8041" spans="1:24">
      <c r="A8041">
        <f>HYPERLINK("https://www.philgeps.gov.ph/GEPSNONPILOT/Tender/SplashBidNoticeAbstractUI.aspx?menuIndex=3&amp;refID=7187389&amp;Result=3","7187389")</f>
        <v>0</v>
      </c>
      <c r="B8041" t="s">
        <v>2568</v>
      </c>
      <c r="C8041" t="s">
        <v>11428</v>
      </c>
      <c r="D8041" t="s">
        <v>19038</v>
      </c>
      <c r="E8041" t="s">
        <v>23162</v>
      </c>
      <c r="F8041" t="s">
        <v>32606</v>
      </c>
      <c r="G8041" t="s">
        <v>32613</v>
      </c>
      <c r="H8041" t="s">
        <v>14201</v>
      </c>
      <c r="I8041" t="s">
        <v>6931</v>
      </c>
      <c r="J8041" t="s">
        <v>37803</v>
      </c>
      <c r="K8041" t="s">
        <v>42624</v>
      </c>
      <c r="M8041" t="s">
        <v>45708</v>
      </c>
      <c r="N8041" t="s">
        <v>47304</v>
      </c>
      <c r="O8041" t="s">
        <v>47305</v>
      </c>
      <c r="P8041">
        <v>0</v>
      </c>
      <c r="Q8041">
        <v>0</v>
      </c>
      <c r="R8041" t="s">
        <v>47312</v>
      </c>
      <c r="S8041" t="s">
        <v>47489</v>
      </c>
      <c r="T8041" t="s">
        <v>49087</v>
      </c>
      <c r="U8041" t="s">
        <v>56239</v>
      </c>
      <c r="W8041" t="s">
        <v>45708</v>
      </c>
      <c r="X8041" t="s">
        <v>47313</v>
      </c>
    </row>
    <row r="8042" spans="1:24">
      <c r="A8042">
        <f>HYPERLINK("https://www.philgeps.gov.ph/GEPSNONPILOT/Tender/SplashBidNoticeAbstractUI.aspx?menuIndex=3&amp;refID=7187385&amp;Result=3","7187385")</f>
        <v>0</v>
      </c>
      <c r="B8042" t="s">
        <v>1035</v>
      </c>
      <c r="C8042" t="s">
        <v>11429</v>
      </c>
      <c r="D8042" t="s">
        <v>19016</v>
      </c>
      <c r="E8042" t="s">
        <v>26048</v>
      </c>
      <c r="F8042" t="s">
        <v>32606</v>
      </c>
      <c r="G8042" t="s">
        <v>32613</v>
      </c>
      <c r="H8042" t="s">
        <v>14201</v>
      </c>
      <c r="I8042" t="s">
        <v>6931</v>
      </c>
      <c r="J8042" t="s">
        <v>37804</v>
      </c>
      <c r="K8042" t="s">
        <v>42622</v>
      </c>
      <c r="M8042" t="s">
        <v>43988</v>
      </c>
      <c r="N8042" t="s">
        <v>47304</v>
      </c>
      <c r="O8042" t="s">
        <v>47305</v>
      </c>
      <c r="P8042">
        <v>0</v>
      </c>
      <c r="Q8042">
        <v>8</v>
      </c>
      <c r="R8042" t="s">
        <v>47312</v>
      </c>
      <c r="S8042" t="s">
        <v>47489</v>
      </c>
      <c r="T8042" t="s">
        <v>49165</v>
      </c>
      <c r="U8042" t="s">
        <v>56240</v>
      </c>
      <c r="W8042" t="s">
        <v>43988</v>
      </c>
      <c r="X8042" t="s">
        <v>47313</v>
      </c>
    </row>
    <row r="8043" spans="1:24">
      <c r="A8043">
        <f>HYPERLINK("https://www.philgeps.gov.ph/GEPSNONPILOT/Tender/SplashBidNoticeAbstractUI.aspx?menuIndex=3&amp;refID=7187382&amp;Result=3","7187382")</f>
        <v>0</v>
      </c>
      <c r="B8043" t="s">
        <v>2569</v>
      </c>
      <c r="C8043" t="s">
        <v>11430</v>
      </c>
      <c r="D8043" t="s">
        <v>19044</v>
      </c>
      <c r="E8043" t="s">
        <v>19315</v>
      </c>
      <c r="F8043" t="s">
        <v>32606</v>
      </c>
      <c r="G8043" t="s">
        <v>32613</v>
      </c>
      <c r="H8043" t="s">
        <v>14201</v>
      </c>
      <c r="I8043" t="s">
        <v>6931</v>
      </c>
      <c r="J8043" t="s">
        <v>37805</v>
      </c>
      <c r="K8043" t="s">
        <v>42622</v>
      </c>
      <c r="M8043" t="s">
        <v>45709</v>
      </c>
      <c r="N8043" t="s">
        <v>47304</v>
      </c>
      <c r="O8043" t="s">
        <v>47305</v>
      </c>
      <c r="P8043">
        <v>0</v>
      </c>
      <c r="Q8043">
        <v>1</v>
      </c>
      <c r="R8043" t="s">
        <v>47312</v>
      </c>
      <c r="S8043" t="s">
        <v>47489</v>
      </c>
      <c r="T8043" t="s">
        <v>49383</v>
      </c>
      <c r="U8043" t="s">
        <v>54796</v>
      </c>
      <c r="V8043" t="s">
        <v>63444</v>
      </c>
      <c r="W8043" t="s">
        <v>45709</v>
      </c>
      <c r="X8043" t="s">
        <v>47313</v>
      </c>
    </row>
    <row r="8044" spans="1:24">
      <c r="A8044">
        <f>HYPERLINK("https://www.philgeps.gov.ph/GEPSNONPILOT/Tender/SplashBidNoticeAbstractUI.aspx?menuIndex=3&amp;refID=7187381&amp;Result=3","7187381")</f>
        <v>0</v>
      </c>
      <c r="B8044" t="s">
        <v>99</v>
      </c>
      <c r="C8044" t="s">
        <v>11431</v>
      </c>
      <c r="D8044" t="s">
        <v>19027</v>
      </c>
      <c r="E8044" t="s">
        <v>26049</v>
      </c>
      <c r="F8044" t="s">
        <v>32606</v>
      </c>
      <c r="G8044" t="s">
        <v>32613</v>
      </c>
      <c r="H8044" t="s">
        <v>14201</v>
      </c>
      <c r="I8044" t="s">
        <v>32631</v>
      </c>
      <c r="J8044" t="s">
        <v>37806</v>
      </c>
      <c r="K8044" t="s">
        <v>42623</v>
      </c>
      <c r="L8044" t="s">
        <v>99</v>
      </c>
      <c r="M8044" t="s">
        <v>42997</v>
      </c>
      <c r="N8044" t="s">
        <v>47304</v>
      </c>
      <c r="O8044" t="s">
        <v>47305</v>
      </c>
      <c r="P8044">
        <v>0</v>
      </c>
      <c r="Q8044">
        <v>0</v>
      </c>
      <c r="R8044" t="s">
        <v>47312</v>
      </c>
      <c r="S8044" t="s">
        <v>47489</v>
      </c>
      <c r="T8044" t="s">
        <v>49355</v>
      </c>
      <c r="U8044" t="s">
        <v>56241</v>
      </c>
      <c r="V8044" t="s">
        <v>62669</v>
      </c>
      <c r="W8044" t="s">
        <v>42997</v>
      </c>
      <c r="X8044" t="s">
        <v>47313</v>
      </c>
    </row>
    <row r="8045" spans="1:24">
      <c r="A8045">
        <f>HYPERLINK("https://www.philgeps.gov.ph/GEPSNONPILOT/Tender/SplashBidNoticeAbstractUI.aspx?menuIndex=3&amp;refID=7187347&amp;Result=3","7187347")</f>
        <v>0</v>
      </c>
      <c r="B8045" t="s">
        <v>1602</v>
      </c>
      <c r="C8045" t="s">
        <v>11432</v>
      </c>
      <c r="D8045" t="s">
        <v>19011</v>
      </c>
      <c r="E8045" t="s">
        <v>26050</v>
      </c>
      <c r="F8045" t="s">
        <v>32606</v>
      </c>
      <c r="G8045" t="s">
        <v>32613</v>
      </c>
      <c r="H8045" t="s">
        <v>32623</v>
      </c>
      <c r="I8045" t="s">
        <v>17648</v>
      </c>
      <c r="J8045" t="s">
        <v>32821</v>
      </c>
      <c r="K8045" t="s">
        <v>42809</v>
      </c>
      <c r="M8045" t="s">
        <v>44618</v>
      </c>
      <c r="N8045" t="s">
        <v>47304</v>
      </c>
      <c r="O8045" t="s">
        <v>47305</v>
      </c>
      <c r="P8045">
        <v>0</v>
      </c>
      <c r="Q8045">
        <v>1</v>
      </c>
      <c r="R8045" t="s">
        <v>47312</v>
      </c>
      <c r="S8045" t="s">
        <v>47489</v>
      </c>
      <c r="T8045" t="s">
        <v>48978</v>
      </c>
      <c r="U8045" t="s">
        <v>56242</v>
      </c>
      <c r="V8045" t="s">
        <v>63445</v>
      </c>
      <c r="W8045" t="s">
        <v>44618</v>
      </c>
      <c r="X8045" t="s">
        <v>47313</v>
      </c>
    </row>
    <row r="8046" spans="1:24">
      <c r="A8046">
        <f>HYPERLINK("https://www.philgeps.gov.ph/GEPSNONPILOT/Tender/SplashBidNoticeAbstractUI.aspx?menuIndex=3&amp;refID=7187391&amp;Result=3","7187391")</f>
        <v>0</v>
      </c>
      <c r="B8046" t="s">
        <v>2570</v>
      </c>
      <c r="C8046" t="s">
        <v>11433</v>
      </c>
      <c r="D8046" t="s">
        <v>19007</v>
      </c>
      <c r="E8046" t="s">
        <v>26051</v>
      </c>
      <c r="F8046" t="s">
        <v>32606</v>
      </c>
      <c r="G8046" t="s">
        <v>32613</v>
      </c>
      <c r="H8046" t="s">
        <v>32623</v>
      </c>
      <c r="I8046" t="s">
        <v>17648</v>
      </c>
      <c r="J8046" t="s">
        <v>33102</v>
      </c>
      <c r="K8046" t="s">
        <v>42639</v>
      </c>
      <c r="M8046" t="s">
        <v>45710</v>
      </c>
      <c r="N8046" t="s">
        <v>47304</v>
      </c>
      <c r="O8046" t="s">
        <v>47305</v>
      </c>
      <c r="P8046">
        <v>0</v>
      </c>
      <c r="Q8046">
        <v>0</v>
      </c>
      <c r="R8046" t="s">
        <v>47312</v>
      </c>
      <c r="S8046" t="s">
        <v>47489</v>
      </c>
      <c r="T8046" t="s">
        <v>49140</v>
      </c>
      <c r="U8046" t="s">
        <v>56243</v>
      </c>
      <c r="V8046" t="s">
        <v>63446</v>
      </c>
      <c r="W8046" t="s">
        <v>45710</v>
      </c>
      <c r="X8046" t="s">
        <v>47313</v>
      </c>
    </row>
    <row r="8047" spans="1:24">
      <c r="A8047">
        <f>HYPERLINK("https://www.philgeps.gov.ph/GEPSNONPILOT/Tender/SplashBidNoticeAbstractUI.aspx?menuIndex=3&amp;refID=7187317&amp;Result=3","7187317")</f>
        <v>0</v>
      </c>
      <c r="B8047" t="s">
        <v>2539</v>
      </c>
      <c r="C8047" t="s">
        <v>11434</v>
      </c>
      <c r="D8047" t="s">
        <v>18990</v>
      </c>
      <c r="E8047" t="s">
        <v>26052</v>
      </c>
      <c r="F8047" t="s">
        <v>32606</v>
      </c>
      <c r="G8047" t="s">
        <v>32614</v>
      </c>
      <c r="H8047" t="s">
        <v>14201</v>
      </c>
      <c r="I8047" t="s">
        <v>8606</v>
      </c>
      <c r="J8047" t="s">
        <v>33919</v>
      </c>
      <c r="K8047" t="s">
        <v>42631</v>
      </c>
      <c r="M8047" t="s">
        <v>45679</v>
      </c>
      <c r="N8047" t="s">
        <v>47304</v>
      </c>
      <c r="O8047" t="s">
        <v>47305</v>
      </c>
      <c r="P8047">
        <v>0</v>
      </c>
      <c r="Q8047">
        <v>1</v>
      </c>
      <c r="R8047" t="s">
        <v>47312</v>
      </c>
      <c r="S8047" t="s">
        <v>47489</v>
      </c>
      <c r="T8047" t="s">
        <v>49269</v>
      </c>
      <c r="U8047" t="s">
        <v>56244</v>
      </c>
      <c r="W8047" t="s">
        <v>45679</v>
      </c>
      <c r="X8047" t="s">
        <v>47313</v>
      </c>
    </row>
    <row r="8048" spans="1:24">
      <c r="A8048">
        <f>HYPERLINK("https://www.philgeps.gov.ph/GEPSNONPILOT/Tender/SplashBidNoticeAbstractUI.aspx?menuIndex=3&amp;refID=7187387&amp;Result=3","7187387")</f>
        <v>0</v>
      </c>
      <c r="B8048" t="s">
        <v>2571</v>
      </c>
      <c r="C8048" t="s">
        <v>11435</v>
      </c>
      <c r="D8048" t="s">
        <v>18994</v>
      </c>
      <c r="E8048" t="s">
        <v>20432</v>
      </c>
      <c r="F8048" t="s">
        <v>32606</v>
      </c>
      <c r="G8048" t="s">
        <v>32613</v>
      </c>
      <c r="H8048" t="s">
        <v>32624</v>
      </c>
      <c r="I8048" t="s">
        <v>6931</v>
      </c>
      <c r="J8048" t="s">
        <v>37807</v>
      </c>
      <c r="K8048" t="s">
        <v>42631</v>
      </c>
      <c r="M8048" t="s">
        <v>45711</v>
      </c>
      <c r="N8048" t="s">
        <v>47304</v>
      </c>
      <c r="O8048" t="s">
        <v>47305</v>
      </c>
      <c r="P8048">
        <v>0</v>
      </c>
      <c r="Q8048">
        <v>1</v>
      </c>
      <c r="R8048" t="s">
        <v>47312</v>
      </c>
      <c r="S8048" t="s">
        <v>47489</v>
      </c>
      <c r="T8048" t="s">
        <v>48979</v>
      </c>
      <c r="U8048" t="s">
        <v>56245</v>
      </c>
      <c r="W8048" t="s">
        <v>45711</v>
      </c>
      <c r="X8048" t="s">
        <v>47313</v>
      </c>
    </row>
    <row r="8049" spans="1:24">
      <c r="A8049">
        <f>HYPERLINK("https://www.philgeps.gov.ph/GEPSNONPILOT/Tender/SplashBidNoticeAbstractUI.aspx?menuIndex=3&amp;refID=7187384&amp;Result=3","7187384")</f>
        <v>0</v>
      </c>
      <c r="B8049" t="s">
        <v>882</v>
      </c>
      <c r="C8049" t="s">
        <v>11436</v>
      </c>
      <c r="D8049" t="s">
        <v>18994</v>
      </c>
      <c r="E8049" t="s">
        <v>26053</v>
      </c>
      <c r="F8049" t="s">
        <v>32606</v>
      </c>
      <c r="G8049" t="s">
        <v>32613</v>
      </c>
      <c r="H8049" t="s">
        <v>14201</v>
      </c>
      <c r="I8049" t="s">
        <v>7677</v>
      </c>
      <c r="J8049" t="s">
        <v>37808</v>
      </c>
      <c r="K8049" t="s">
        <v>42631</v>
      </c>
      <c r="M8049" t="s">
        <v>43818</v>
      </c>
      <c r="N8049" t="s">
        <v>47304</v>
      </c>
      <c r="O8049" t="s">
        <v>47305</v>
      </c>
      <c r="P8049">
        <v>0</v>
      </c>
      <c r="Q8049">
        <v>5</v>
      </c>
      <c r="R8049" t="s">
        <v>47312</v>
      </c>
      <c r="S8049" t="s">
        <v>47489</v>
      </c>
      <c r="T8049" t="s">
        <v>49234</v>
      </c>
      <c r="U8049" t="s">
        <v>56246</v>
      </c>
      <c r="W8049" t="s">
        <v>43818</v>
      </c>
      <c r="X8049" t="s">
        <v>47313</v>
      </c>
    </row>
    <row r="8050" spans="1:24">
      <c r="A8050">
        <f>HYPERLINK("https://www.philgeps.gov.ph/GEPSNONPILOT/Tender/SplashBidNoticeAbstractUI.aspx?menuIndex=3&amp;refID=7187312&amp;Result=3","7187312")</f>
        <v>0</v>
      </c>
      <c r="B8050" t="s">
        <v>2525</v>
      </c>
      <c r="C8050" t="s">
        <v>11437</v>
      </c>
      <c r="D8050" t="s">
        <v>18993</v>
      </c>
      <c r="E8050" t="s">
        <v>26054</v>
      </c>
      <c r="F8050" t="s">
        <v>32606</v>
      </c>
      <c r="G8050" t="s">
        <v>32619</v>
      </c>
      <c r="H8050" t="s">
        <v>14201</v>
      </c>
      <c r="I8050" t="s">
        <v>32640</v>
      </c>
      <c r="J8050" t="s">
        <v>33102</v>
      </c>
      <c r="K8050" t="s">
        <v>42631</v>
      </c>
      <c r="M8050" t="s">
        <v>45666</v>
      </c>
      <c r="N8050" t="s">
        <v>47304</v>
      </c>
      <c r="O8050" t="s">
        <v>47305</v>
      </c>
      <c r="P8050">
        <v>0</v>
      </c>
      <c r="Q8050">
        <v>7</v>
      </c>
      <c r="R8050" t="s">
        <v>47312</v>
      </c>
      <c r="S8050" t="s">
        <v>47489</v>
      </c>
      <c r="T8050" t="s">
        <v>48998</v>
      </c>
      <c r="U8050" t="s">
        <v>56247</v>
      </c>
      <c r="W8050" t="s">
        <v>45666</v>
      </c>
      <c r="X8050" t="s">
        <v>47313</v>
      </c>
    </row>
    <row r="8051" spans="1:24">
      <c r="A8051">
        <f>HYPERLINK("https://www.philgeps.gov.ph/GEPSNONPILOT/Tender/SplashBidNoticeAbstractUI.aspx?menuIndex=3&amp;refID=7187394&amp;Result=3","7187394")</f>
        <v>0</v>
      </c>
      <c r="B8051" t="s">
        <v>2572</v>
      </c>
      <c r="C8051" t="s">
        <v>11438</v>
      </c>
      <c r="D8051" t="s">
        <v>19016</v>
      </c>
      <c r="E8051" t="s">
        <v>20537</v>
      </c>
      <c r="F8051" t="s">
        <v>32606</v>
      </c>
      <c r="G8051" t="s">
        <v>32613</v>
      </c>
      <c r="H8051" t="s">
        <v>32623</v>
      </c>
      <c r="I8051" t="s">
        <v>17648</v>
      </c>
      <c r="J8051" t="s">
        <v>37809</v>
      </c>
      <c r="K8051" t="s">
        <v>42718</v>
      </c>
      <c r="M8051" t="s">
        <v>45712</v>
      </c>
      <c r="N8051" t="s">
        <v>47304</v>
      </c>
      <c r="O8051" t="s">
        <v>47305</v>
      </c>
      <c r="P8051">
        <v>0</v>
      </c>
      <c r="Q8051">
        <v>10</v>
      </c>
      <c r="R8051" t="s">
        <v>47312</v>
      </c>
      <c r="S8051" t="s">
        <v>47489</v>
      </c>
      <c r="T8051" t="s">
        <v>49140</v>
      </c>
      <c r="U8051" t="s">
        <v>56248</v>
      </c>
      <c r="V8051" t="s">
        <v>63447</v>
      </c>
      <c r="W8051" t="s">
        <v>45712</v>
      </c>
      <c r="X8051" t="s">
        <v>47313</v>
      </c>
    </row>
    <row r="8052" spans="1:24">
      <c r="A8052">
        <f>HYPERLINK("https://www.philgeps.gov.ph/GEPSNONPILOT/Tender/SplashBidNoticeAbstractUI.aspx?menuIndex=3&amp;refID=7187303&amp;Result=3","7187303")</f>
        <v>0</v>
      </c>
      <c r="B8052" t="s">
        <v>1392</v>
      </c>
      <c r="C8052" t="s">
        <v>4129</v>
      </c>
      <c r="D8052" t="s">
        <v>19011</v>
      </c>
      <c r="E8052" t="s">
        <v>26055</v>
      </c>
      <c r="F8052" t="s">
        <v>32606</v>
      </c>
      <c r="G8052" t="s">
        <v>32617</v>
      </c>
      <c r="H8052" t="s">
        <v>14201</v>
      </c>
      <c r="I8052" t="s">
        <v>4114</v>
      </c>
      <c r="J8052" t="s">
        <v>37810</v>
      </c>
      <c r="K8052" t="s">
        <v>42630</v>
      </c>
      <c r="M8052" t="s">
        <v>44375</v>
      </c>
      <c r="N8052" t="s">
        <v>47304</v>
      </c>
      <c r="O8052" t="s">
        <v>47305</v>
      </c>
      <c r="P8052">
        <v>0</v>
      </c>
      <c r="Q8052">
        <v>7</v>
      </c>
      <c r="R8052" t="s">
        <v>47312</v>
      </c>
      <c r="S8052" t="s">
        <v>47489</v>
      </c>
      <c r="T8052" t="s">
        <v>49071</v>
      </c>
      <c r="U8052" t="s">
        <v>50406</v>
      </c>
      <c r="W8052" t="s">
        <v>44375</v>
      </c>
      <c r="X8052" t="s">
        <v>47313</v>
      </c>
    </row>
    <row r="8053" spans="1:24">
      <c r="A8053">
        <f>HYPERLINK("https://www.philgeps.gov.ph/GEPSNONPILOT/Tender/SplashBidNoticeAbstractUI.aspx?menuIndex=3&amp;refID=7187249&amp;Result=3","7187249")</f>
        <v>0</v>
      </c>
      <c r="B8053" t="s">
        <v>899</v>
      </c>
      <c r="C8053" t="s">
        <v>11439</v>
      </c>
      <c r="E8053" t="s">
        <v>26056</v>
      </c>
      <c r="F8053" t="s">
        <v>32606</v>
      </c>
      <c r="G8053" t="s">
        <v>32614</v>
      </c>
      <c r="H8053" t="s">
        <v>14201</v>
      </c>
      <c r="I8053" t="s">
        <v>6298</v>
      </c>
      <c r="J8053" t="s">
        <v>37811</v>
      </c>
      <c r="K8053" t="s">
        <v>42624</v>
      </c>
      <c r="M8053" t="s">
        <v>43836</v>
      </c>
      <c r="N8053" t="s">
        <v>47304</v>
      </c>
      <c r="O8053" t="s">
        <v>47305</v>
      </c>
      <c r="P8053">
        <v>0</v>
      </c>
      <c r="Q8053">
        <v>3</v>
      </c>
      <c r="R8053" t="s">
        <v>47312</v>
      </c>
      <c r="S8053" t="s">
        <v>47489</v>
      </c>
      <c r="T8053" t="s">
        <v>49004</v>
      </c>
      <c r="U8053" t="s">
        <v>56249</v>
      </c>
      <c r="W8053" t="s">
        <v>43836</v>
      </c>
      <c r="X8053" t="s">
        <v>47313</v>
      </c>
    </row>
    <row r="8054" spans="1:24">
      <c r="A8054">
        <f>HYPERLINK("https://www.philgeps.gov.ph/GEPSNONPILOT/Tender/SplashBidNoticeAbstractUI.aspx?menuIndex=3&amp;refID=7187248&amp;Result=3","7187248")</f>
        <v>0</v>
      </c>
      <c r="B8054" t="s">
        <v>2558</v>
      </c>
      <c r="C8054" t="s">
        <v>11440</v>
      </c>
      <c r="D8054" t="s">
        <v>19016</v>
      </c>
      <c r="E8054" t="s">
        <v>26057</v>
      </c>
      <c r="F8054" t="s">
        <v>32606</v>
      </c>
      <c r="G8054" t="s">
        <v>32613</v>
      </c>
      <c r="H8054" t="s">
        <v>32623</v>
      </c>
      <c r="I8054" t="s">
        <v>17648</v>
      </c>
      <c r="J8054" t="s">
        <v>37812</v>
      </c>
      <c r="K8054" t="s">
        <v>42646</v>
      </c>
      <c r="M8054" t="s">
        <v>45698</v>
      </c>
      <c r="N8054" t="s">
        <v>47304</v>
      </c>
      <c r="O8054" t="s">
        <v>47305</v>
      </c>
      <c r="P8054">
        <v>0</v>
      </c>
      <c r="Q8054">
        <v>46</v>
      </c>
      <c r="R8054" t="s">
        <v>47312</v>
      </c>
      <c r="S8054" t="s">
        <v>47489</v>
      </c>
      <c r="T8054" t="s">
        <v>49368</v>
      </c>
      <c r="U8054" t="s">
        <v>56250</v>
      </c>
      <c r="W8054" t="s">
        <v>45698</v>
      </c>
      <c r="X8054" t="s">
        <v>47313</v>
      </c>
    </row>
    <row r="8055" spans="1:24">
      <c r="A8055">
        <f>HYPERLINK("https://www.philgeps.gov.ph/GEPSNONPILOT/Tender/SplashBidNoticeAbstractUI.aspx?menuIndex=3&amp;refID=7187247&amp;Result=3","7187247")</f>
        <v>0</v>
      </c>
      <c r="B8055" t="s">
        <v>2542</v>
      </c>
      <c r="C8055" t="s">
        <v>11441</v>
      </c>
      <c r="D8055" t="s">
        <v>19032</v>
      </c>
      <c r="E8055" t="s">
        <v>19358</v>
      </c>
      <c r="F8055" t="s">
        <v>32606</v>
      </c>
      <c r="G8055" t="s">
        <v>32613</v>
      </c>
      <c r="H8055" t="s">
        <v>32623</v>
      </c>
      <c r="I8055" t="s">
        <v>17648</v>
      </c>
      <c r="J8055" t="s">
        <v>37813</v>
      </c>
      <c r="K8055" t="s">
        <v>42684</v>
      </c>
      <c r="M8055" t="s">
        <v>45682</v>
      </c>
      <c r="N8055" t="s">
        <v>47304</v>
      </c>
      <c r="O8055" t="s">
        <v>47305</v>
      </c>
      <c r="P8055">
        <v>0</v>
      </c>
      <c r="Q8055">
        <v>0</v>
      </c>
      <c r="R8055" t="s">
        <v>47312</v>
      </c>
      <c r="S8055" t="s">
        <v>47489</v>
      </c>
      <c r="T8055" t="s">
        <v>49072</v>
      </c>
      <c r="U8055" t="s">
        <v>56251</v>
      </c>
      <c r="W8055" t="s">
        <v>45682</v>
      </c>
      <c r="X8055" t="s">
        <v>47313</v>
      </c>
    </row>
    <row r="8056" spans="1:24">
      <c r="A8056">
        <f>HYPERLINK("https://www.philgeps.gov.ph/GEPSNONPILOT/Tender/SplashBidNoticeAbstractUI.aspx?menuIndex=3&amp;refID=7187420&amp;Result=3","7187420")</f>
        <v>0</v>
      </c>
      <c r="B8056" t="s">
        <v>2573</v>
      </c>
      <c r="C8056" t="s">
        <v>11442</v>
      </c>
      <c r="D8056" t="s">
        <v>18994</v>
      </c>
      <c r="E8056" t="s">
        <v>26058</v>
      </c>
      <c r="F8056" t="s">
        <v>32606</v>
      </c>
      <c r="G8056" t="s">
        <v>32614</v>
      </c>
      <c r="H8056" t="s">
        <v>14201</v>
      </c>
      <c r="I8056" t="s">
        <v>6931</v>
      </c>
      <c r="J8056" t="s">
        <v>37814</v>
      </c>
      <c r="K8056" t="s">
        <v>42631</v>
      </c>
      <c r="M8056" t="s">
        <v>45713</v>
      </c>
      <c r="N8056" t="s">
        <v>47304</v>
      </c>
      <c r="O8056" t="s">
        <v>47305</v>
      </c>
      <c r="P8056">
        <v>0</v>
      </c>
      <c r="Q8056">
        <v>0</v>
      </c>
      <c r="R8056" t="s">
        <v>47312</v>
      </c>
      <c r="S8056" t="s">
        <v>47489</v>
      </c>
      <c r="T8056" t="s">
        <v>49257</v>
      </c>
      <c r="U8056" t="s">
        <v>56252</v>
      </c>
      <c r="W8056" t="s">
        <v>45713</v>
      </c>
      <c r="X8056" t="s">
        <v>47313</v>
      </c>
    </row>
    <row r="8057" spans="1:24">
      <c r="A8057">
        <f>HYPERLINK("https://www.philgeps.gov.ph/GEPSNONPILOT/Tender/SplashBidNoticeAbstractUI.aspx?menuIndex=3&amp;refID=7187379&amp;Result=3","7187379")</f>
        <v>0</v>
      </c>
      <c r="B8057" t="s">
        <v>2505</v>
      </c>
      <c r="C8057" t="s">
        <v>11443</v>
      </c>
      <c r="D8057" t="s">
        <v>19007</v>
      </c>
      <c r="E8057" t="s">
        <v>25893</v>
      </c>
      <c r="F8057" t="s">
        <v>32606</v>
      </c>
      <c r="G8057" t="s">
        <v>32613</v>
      </c>
      <c r="H8057" t="s">
        <v>32623</v>
      </c>
      <c r="I8057" t="s">
        <v>17648</v>
      </c>
      <c r="J8057" t="s">
        <v>37703</v>
      </c>
      <c r="K8057" t="s">
        <v>42639</v>
      </c>
      <c r="M8057" t="s">
        <v>45644</v>
      </c>
      <c r="N8057" t="s">
        <v>47304</v>
      </c>
      <c r="O8057" t="s">
        <v>47305</v>
      </c>
      <c r="P8057">
        <v>0</v>
      </c>
      <c r="Q8057">
        <v>1</v>
      </c>
      <c r="R8057" t="s">
        <v>47312</v>
      </c>
      <c r="S8057" t="s">
        <v>47489</v>
      </c>
      <c r="T8057" t="s">
        <v>49077</v>
      </c>
      <c r="U8057" t="s">
        <v>56075</v>
      </c>
      <c r="V8057" t="s">
        <v>63448</v>
      </c>
      <c r="W8057" t="s">
        <v>45644</v>
      </c>
      <c r="X8057" t="s">
        <v>47313</v>
      </c>
    </row>
    <row r="8058" spans="1:24">
      <c r="A8058">
        <f>HYPERLINK("https://www.philgeps.gov.ph/GEPSNONPILOT/Tender/SplashBidNoticeAbstractUI.aspx?menuIndex=3&amp;refID=7187307&amp;Result=3","7187307")</f>
        <v>0</v>
      </c>
      <c r="B8058" t="s">
        <v>745</v>
      </c>
      <c r="C8058" t="s">
        <v>11444</v>
      </c>
      <c r="D8058" t="s">
        <v>19043</v>
      </c>
      <c r="E8058" t="s">
        <v>26059</v>
      </c>
      <c r="F8058" t="s">
        <v>32606</v>
      </c>
      <c r="G8058" t="s">
        <v>32613</v>
      </c>
      <c r="H8058" t="s">
        <v>14201</v>
      </c>
      <c r="I8058" t="s">
        <v>4120</v>
      </c>
      <c r="J8058" t="s">
        <v>34976</v>
      </c>
      <c r="K8058" t="s">
        <v>42622</v>
      </c>
      <c r="M8058" t="s">
        <v>43668</v>
      </c>
      <c r="N8058" t="s">
        <v>47304</v>
      </c>
      <c r="O8058" t="s">
        <v>47305</v>
      </c>
      <c r="P8058">
        <v>0</v>
      </c>
      <c r="Q8058">
        <v>0</v>
      </c>
      <c r="R8058" t="s">
        <v>47312</v>
      </c>
      <c r="S8058" t="s">
        <v>47489</v>
      </c>
      <c r="T8058" t="s">
        <v>49160</v>
      </c>
      <c r="U8058" t="s">
        <v>56253</v>
      </c>
      <c r="W8058" t="s">
        <v>43668</v>
      </c>
      <c r="X8058" t="s">
        <v>47313</v>
      </c>
    </row>
    <row r="8059" spans="1:24">
      <c r="A8059">
        <f>HYPERLINK("https://www.philgeps.gov.ph/GEPSNONPILOT/Tender/SplashBidNoticeAbstractUI.aspx?menuIndex=3&amp;refID=7187446&amp;Result=3","7187446")</f>
        <v>0</v>
      </c>
      <c r="B8059" t="s">
        <v>2574</v>
      </c>
      <c r="C8059" t="s">
        <v>11445</v>
      </c>
      <c r="D8059" t="s">
        <v>18990</v>
      </c>
      <c r="E8059" t="s">
        <v>26060</v>
      </c>
      <c r="F8059" t="s">
        <v>32606</v>
      </c>
      <c r="G8059" t="s">
        <v>32619</v>
      </c>
      <c r="H8059" t="s">
        <v>14201</v>
      </c>
      <c r="I8059" t="s">
        <v>32660</v>
      </c>
      <c r="J8059" t="s">
        <v>33148</v>
      </c>
      <c r="K8059" t="s">
        <v>42625</v>
      </c>
      <c r="M8059" t="s">
        <v>45714</v>
      </c>
      <c r="N8059" t="s">
        <v>47304</v>
      </c>
      <c r="O8059" t="s">
        <v>47305</v>
      </c>
      <c r="P8059">
        <v>0</v>
      </c>
      <c r="Q8059">
        <v>0</v>
      </c>
      <c r="R8059" t="s">
        <v>47312</v>
      </c>
      <c r="S8059" t="s">
        <v>47489</v>
      </c>
      <c r="T8059" t="s">
        <v>49268</v>
      </c>
      <c r="U8059" t="s">
        <v>56254</v>
      </c>
      <c r="V8059" t="s">
        <v>63449</v>
      </c>
      <c r="W8059" t="s">
        <v>45714</v>
      </c>
      <c r="X8059" t="s">
        <v>47313</v>
      </c>
    </row>
    <row r="8060" spans="1:24">
      <c r="A8060">
        <f>HYPERLINK("https://www.philgeps.gov.ph/GEPSNONPILOT/Tender/SplashBidNoticeAbstractUI.aspx?menuIndex=3&amp;refID=7187314&amp;Result=3","7187314")</f>
        <v>0</v>
      </c>
      <c r="B8060" t="s">
        <v>2562</v>
      </c>
      <c r="C8060" t="s">
        <v>11446</v>
      </c>
      <c r="D8060" t="s">
        <v>19039</v>
      </c>
      <c r="E8060" t="s">
        <v>26061</v>
      </c>
      <c r="F8060" t="s">
        <v>32606</v>
      </c>
      <c r="G8060" t="s">
        <v>32613</v>
      </c>
      <c r="H8060" t="s">
        <v>14201</v>
      </c>
      <c r="I8060" t="s">
        <v>32655</v>
      </c>
      <c r="J8060" t="s">
        <v>33750</v>
      </c>
      <c r="K8060" t="s">
        <v>42639</v>
      </c>
      <c r="M8060" t="s">
        <v>45702</v>
      </c>
      <c r="N8060" t="s">
        <v>47304</v>
      </c>
      <c r="O8060" t="s">
        <v>47305</v>
      </c>
      <c r="P8060">
        <v>0</v>
      </c>
      <c r="Q8060">
        <v>8</v>
      </c>
      <c r="R8060" t="s">
        <v>47312</v>
      </c>
      <c r="S8060" t="s">
        <v>47489</v>
      </c>
      <c r="T8060" t="s">
        <v>49037</v>
      </c>
      <c r="U8060" t="s">
        <v>56255</v>
      </c>
      <c r="V8060" t="s">
        <v>63043</v>
      </c>
      <c r="W8060" t="s">
        <v>45702</v>
      </c>
      <c r="X8060" t="s">
        <v>47313</v>
      </c>
    </row>
    <row r="8061" spans="1:24">
      <c r="A8061">
        <f>HYPERLINK("https://www.philgeps.gov.ph/GEPSNONPILOT/Tender/SplashBidNoticeAbstractUI.aspx?menuIndex=3&amp;refID=7187457&amp;Result=3","7187457")</f>
        <v>0</v>
      </c>
      <c r="B8061" t="s">
        <v>790</v>
      </c>
      <c r="C8061" t="s">
        <v>11447</v>
      </c>
      <c r="D8061" t="s">
        <v>19013</v>
      </c>
      <c r="E8061" t="s">
        <v>26062</v>
      </c>
      <c r="F8061" t="s">
        <v>32606</v>
      </c>
      <c r="G8061" t="s">
        <v>32613</v>
      </c>
      <c r="H8061" t="s">
        <v>14201</v>
      </c>
      <c r="I8061" t="s">
        <v>7064</v>
      </c>
      <c r="J8061" t="s">
        <v>33934</v>
      </c>
      <c r="K8061" t="s">
        <v>42631</v>
      </c>
      <c r="M8061" t="s">
        <v>45715</v>
      </c>
      <c r="N8061" t="s">
        <v>47304</v>
      </c>
      <c r="O8061" t="s">
        <v>47305</v>
      </c>
      <c r="P8061">
        <v>0</v>
      </c>
      <c r="Q8061">
        <v>3</v>
      </c>
      <c r="R8061" t="s">
        <v>47312</v>
      </c>
      <c r="S8061" t="s">
        <v>47489</v>
      </c>
      <c r="T8061" t="s">
        <v>49040</v>
      </c>
      <c r="U8061" t="s">
        <v>56256</v>
      </c>
      <c r="W8061" t="s">
        <v>45715</v>
      </c>
      <c r="X8061" t="s">
        <v>47313</v>
      </c>
    </row>
    <row r="8062" spans="1:24">
      <c r="A8062">
        <f>HYPERLINK("https://www.philgeps.gov.ph/GEPSNONPILOT/Tender/SplashBidNoticeAbstractUI.aspx?menuIndex=3&amp;refID=7187256&amp;Result=3","7187256")</f>
        <v>0</v>
      </c>
      <c r="B8062" t="s">
        <v>2505</v>
      </c>
      <c r="C8062" t="s">
        <v>11448</v>
      </c>
      <c r="D8062" t="s">
        <v>19007</v>
      </c>
      <c r="E8062" t="s">
        <v>25893</v>
      </c>
      <c r="F8062" t="s">
        <v>32606</v>
      </c>
      <c r="G8062" t="s">
        <v>32613</v>
      </c>
      <c r="H8062" t="s">
        <v>32623</v>
      </c>
      <c r="I8062" t="s">
        <v>17648</v>
      </c>
      <c r="J8062" t="s">
        <v>37703</v>
      </c>
      <c r="K8062" t="s">
        <v>42631</v>
      </c>
      <c r="M8062" t="s">
        <v>45644</v>
      </c>
      <c r="N8062" t="s">
        <v>47304</v>
      </c>
      <c r="O8062" t="s">
        <v>47305</v>
      </c>
      <c r="P8062">
        <v>0</v>
      </c>
      <c r="Q8062">
        <v>1</v>
      </c>
      <c r="R8062" t="s">
        <v>47312</v>
      </c>
      <c r="S8062" t="s">
        <v>47489</v>
      </c>
      <c r="T8062" t="s">
        <v>49077</v>
      </c>
      <c r="U8062" t="s">
        <v>56075</v>
      </c>
      <c r="V8062" t="s">
        <v>63450</v>
      </c>
      <c r="W8062" t="s">
        <v>45644</v>
      </c>
      <c r="X8062" t="s">
        <v>47313</v>
      </c>
    </row>
    <row r="8063" spans="1:24">
      <c r="A8063">
        <f>HYPERLINK("https://www.philgeps.gov.ph/GEPSNONPILOT/Tender/SplashBidNoticeAbstractUI.aspx?menuIndex=3&amp;refID=7187407&amp;Result=3","7187407")</f>
        <v>0</v>
      </c>
      <c r="B8063" t="s">
        <v>2350</v>
      </c>
      <c r="C8063" t="s">
        <v>11449</v>
      </c>
      <c r="D8063" t="s">
        <v>19007</v>
      </c>
      <c r="E8063" t="s">
        <v>24390</v>
      </c>
      <c r="F8063" t="s">
        <v>32606</v>
      </c>
      <c r="G8063" t="s">
        <v>32613</v>
      </c>
      <c r="H8063" t="s">
        <v>32623</v>
      </c>
      <c r="I8063" t="s">
        <v>17648</v>
      </c>
      <c r="J8063" t="s">
        <v>33263</v>
      </c>
      <c r="K8063" t="s">
        <v>42631</v>
      </c>
      <c r="M8063" t="s">
        <v>45462</v>
      </c>
      <c r="N8063" t="s">
        <v>47304</v>
      </c>
      <c r="O8063" t="s">
        <v>47305</v>
      </c>
      <c r="P8063">
        <v>0</v>
      </c>
      <c r="Q8063">
        <v>0</v>
      </c>
      <c r="R8063" t="s">
        <v>47312</v>
      </c>
      <c r="S8063" t="s">
        <v>47489</v>
      </c>
      <c r="T8063" t="s">
        <v>49017</v>
      </c>
      <c r="U8063" t="s">
        <v>55488</v>
      </c>
      <c r="W8063" t="s">
        <v>45462</v>
      </c>
      <c r="X8063" t="s">
        <v>47313</v>
      </c>
    </row>
    <row r="8064" spans="1:24">
      <c r="A8064">
        <f>HYPERLINK("https://www.philgeps.gov.ph/GEPSNONPILOT/Tender/SplashBidNoticeAbstractUI.aspx?menuIndex=3&amp;refID=7187374&amp;Result=3","7187374")</f>
        <v>0</v>
      </c>
      <c r="B8064" t="s">
        <v>567</v>
      </c>
      <c r="C8064" t="s">
        <v>11450</v>
      </c>
      <c r="E8064" t="s">
        <v>26063</v>
      </c>
      <c r="F8064" t="s">
        <v>32606</v>
      </c>
      <c r="G8064" t="s">
        <v>32619</v>
      </c>
      <c r="H8064" t="s">
        <v>14201</v>
      </c>
      <c r="I8064" t="s">
        <v>32633</v>
      </c>
      <c r="J8064" t="s">
        <v>33897</v>
      </c>
      <c r="K8064" t="s">
        <v>42624</v>
      </c>
      <c r="M8064" t="s">
        <v>43482</v>
      </c>
      <c r="N8064" t="s">
        <v>47304</v>
      </c>
      <c r="O8064" t="s">
        <v>47305</v>
      </c>
      <c r="P8064">
        <v>0</v>
      </c>
      <c r="Q8064">
        <v>4</v>
      </c>
      <c r="R8064" t="s">
        <v>47312</v>
      </c>
      <c r="S8064" t="s">
        <v>47489</v>
      </c>
      <c r="T8064" t="s">
        <v>49269</v>
      </c>
      <c r="U8064" t="s">
        <v>56257</v>
      </c>
      <c r="W8064" t="s">
        <v>43482</v>
      </c>
      <c r="X8064" t="s">
        <v>47313</v>
      </c>
    </row>
    <row r="8065" spans="1:24">
      <c r="A8065">
        <f>HYPERLINK("https://www.philgeps.gov.ph/GEPSNONPILOT/Tender/SplashBidNoticeAbstractUI.aspx?menuIndex=3&amp;refID=7187450&amp;Result=3","7187450")</f>
        <v>0</v>
      </c>
      <c r="B8065" t="s">
        <v>2575</v>
      </c>
      <c r="C8065" t="s">
        <v>11451</v>
      </c>
      <c r="D8065" t="s">
        <v>19019</v>
      </c>
      <c r="E8065" t="s">
        <v>19120</v>
      </c>
      <c r="F8065" t="s">
        <v>32606</v>
      </c>
      <c r="G8065" t="s">
        <v>32613</v>
      </c>
      <c r="H8065" t="s">
        <v>14201</v>
      </c>
      <c r="I8065" t="s">
        <v>4678</v>
      </c>
      <c r="J8065" t="s">
        <v>37815</v>
      </c>
      <c r="K8065" t="s">
        <v>42630</v>
      </c>
      <c r="M8065" t="s">
        <v>45716</v>
      </c>
      <c r="N8065" t="s">
        <v>47304</v>
      </c>
      <c r="O8065" t="s">
        <v>47305</v>
      </c>
      <c r="P8065">
        <v>0</v>
      </c>
      <c r="Q8065">
        <v>3</v>
      </c>
      <c r="R8065" t="s">
        <v>47312</v>
      </c>
      <c r="S8065" t="s">
        <v>47489</v>
      </c>
      <c r="T8065" t="s">
        <v>48998</v>
      </c>
      <c r="U8065" t="s">
        <v>56258</v>
      </c>
      <c r="W8065" t="s">
        <v>45716</v>
      </c>
      <c r="X8065" t="s">
        <v>47313</v>
      </c>
    </row>
    <row r="8066" spans="1:24">
      <c r="A8066">
        <f>HYPERLINK("https://www.philgeps.gov.ph/GEPSNONPILOT/Tender/SplashBidNoticeAbstractUI.aspx?menuIndex=3&amp;refID=7187418&amp;Result=3","7187418")</f>
        <v>0</v>
      </c>
      <c r="B8066" t="s">
        <v>2576</v>
      </c>
      <c r="C8066" t="s">
        <v>11452</v>
      </c>
      <c r="D8066" t="s">
        <v>19005</v>
      </c>
      <c r="E8066" t="s">
        <v>26064</v>
      </c>
      <c r="F8066" t="s">
        <v>32606</v>
      </c>
      <c r="G8066" t="s">
        <v>32614</v>
      </c>
      <c r="H8066" t="s">
        <v>14201</v>
      </c>
      <c r="I8066" t="s">
        <v>32718</v>
      </c>
      <c r="J8066" t="s">
        <v>32841</v>
      </c>
      <c r="K8066" t="s">
        <v>42623</v>
      </c>
      <c r="M8066" t="s">
        <v>45717</v>
      </c>
      <c r="N8066" t="s">
        <v>47304</v>
      </c>
      <c r="O8066" t="s">
        <v>47305</v>
      </c>
      <c r="P8066">
        <v>0</v>
      </c>
      <c r="Q8066">
        <v>8</v>
      </c>
      <c r="R8066" t="s">
        <v>47312</v>
      </c>
      <c r="S8066" t="s">
        <v>47489</v>
      </c>
      <c r="T8066" t="s">
        <v>49268</v>
      </c>
      <c r="U8066" t="s">
        <v>56259</v>
      </c>
      <c r="W8066" t="s">
        <v>45717</v>
      </c>
      <c r="X8066" t="s">
        <v>47313</v>
      </c>
    </row>
    <row r="8067" spans="1:24">
      <c r="A8067">
        <f>HYPERLINK("https://www.philgeps.gov.ph/GEPSNONPILOT/Tender/SplashBidNoticeAbstractUI.aspx?menuIndex=3&amp;refID=7187448&amp;Result=3","7187448")</f>
        <v>0</v>
      </c>
      <c r="B8067" t="s">
        <v>1235</v>
      </c>
      <c r="C8067" t="s">
        <v>11453</v>
      </c>
      <c r="D8067" t="s">
        <v>18997</v>
      </c>
      <c r="E8067" t="s">
        <v>19133</v>
      </c>
      <c r="F8067" t="s">
        <v>32608</v>
      </c>
      <c r="G8067" t="s">
        <v>32613</v>
      </c>
      <c r="H8067" t="s">
        <v>14201</v>
      </c>
      <c r="I8067" t="s">
        <v>4120</v>
      </c>
      <c r="J8067" t="s">
        <v>37816</v>
      </c>
      <c r="K8067" t="s">
        <v>42630</v>
      </c>
      <c r="M8067" t="s">
        <v>44200</v>
      </c>
      <c r="N8067" t="s">
        <v>47304</v>
      </c>
      <c r="O8067" t="s">
        <v>47305</v>
      </c>
      <c r="P8067">
        <v>0</v>
      </c>
      <c r="Q8067">
        <v>0</v>
      </c>
      <c r="R8067" t="s">
        <v>47312</v>
      </c>
      <c r="S8067" t="s">
        <v>47489</v>
      </c>
      <c r="T8067" t="s">
        <v>49066</v>
      </c>
      <c r="U8067" t="s">
        <v>56260</v>
      </c>
      <c r="W8067" t="s">
        <v>44200</v>
      </c>
      <c r="X8067" t="s">
        <v>47313</v>
      </c>
    </row>
    <row r="8068" spans="1:24">
      <c r="A8068">
        <f>HYPERLINK("https://www.philgeps.gov.ph/GEPSNONPILOT/Tender/SplashBidNoticeAbstractUI.aspx?menuIndex=3&amp;refID=7187445&amp;Result=3","7187445")</f>
        <v>0</v>
      </c>
      <c r="B8068" t="s">
        <v>2576</v>
      </c>
      <c r="C8068" t="s">
        <v>11454</v>
      </c>
      <c r="D8068" t="s">
        <v>19005</v>
      </c>
      <c r="E8068" t="s">
        <v>26065</v>
      </c>
      <c r="F8068" t="s">
        <v>32606</v>
      </c>
      <c r="G8068" t="s">
        <v>32614</v>
      </c>
      <c r="H8068" t="s">
        <v>14201</v>
      </c>
      <c r="I8068" t="s">
        <v>32629</v>
      </c>
      <c r="J8068" t="s">
        <v>37817</v>
      </c>
      <c r="K8068" t="s">
        <v>42623</v>
      </c>
      <c r="M8068" t="s">
        <v>45717</v>
      </c>
      <c r="N8068" t="s">
        <v>47304</v>
      </c>
      <c r="O8068" t="s">
        <v>47305</v>
      </c>
      <c r="P8068">
        <v>0</v>
      </c>
      <c r="Q8068">
        <v>0</v>
      </c>
      <c r="R8068" t="s">
        <v>47312</v>
      </c>
      <c r="S8068" t="s">
        <v>47489</v>
      </c>
      <c r="T8068" t="s">
        <v>49268</v>
      </c>
      <c r="U8068" t="s">
        <v>56259</v>
      </c>
      <c r="W8068" t="s">
        <v>45717</v>
      </c>
      <c r="X8068" t="s">
        <v>47313</v>
      </c>
    </row>
    <row r="8069" spans="1:24">
      <c r="A8069">
        <f>HYPERLINK("https://www.philgeps.gov.ph/GEPSNONPILOT/Tender/SplashBidNoticeAbstractUI.aspx?menuIndex=3&amp;refID=7187441&amp;Result=3","7187441")</f>
        <v>0</v>
      </c>
      <c r="B8069" t="s">
        <v>2577</v>
      </c>
      <c r="C8069" t="s">
        <v>11455</v>
      </c>
      <c r="D8069" t="s">
        <v>19009</v>
      </c>
      <c r="E8069" t="s">
        <v>26066</v>
      </c>
      <c r="F8069" t="s">
        <v>32606</v>
      </c>
      <c r="G8069" t="s">
        <v>32614</v>
      </c>
      <c r="H8069" t="s">
        <v>14201</v>
      </c>
      <c r="I8069" t="s">
        <v>32680</v>
      </c>
      <c r="J8069" t="s">
        <v>37818</v>
      </c>
      <c r="K8069" t="s">
        <v>42630</v>
      </c>
      <c r="M8069" t="s">
        <v>45718</v>
      </c>
      <c r="N8069" t="s">
        <v>47304</v>
      </c>
      <c r="O8069" t="s">
        <v>47305</v>
      </c>
      <c r="P8069">
        <v>0</v>
      </c>
      <c r="Q8069">
        <v>2</v>
      </c>
      <c r="R8069" t="s">
        <v>47312</v>
      </c>
      <c r="S8069" t="s">
        <v>47489</v>
      </c>
      <c r="T8069" t="s">
        <v>49068</v>
      </c>
      <c r="U8069" t="s">
        <v>56261</v>
      </c>
      <c r="W8069" t="s">
        <v>45718</v>
      </c>
      <c r="X8069" t="s">
        <v>47313</v>
      </c>
    </row>
    <row r="8070" spans="1:24">
      <c r="A8070">
        <f>HYPERLINK("https://www.philgeps.gov.ph/GEPSNONPILOT/Tender/SplashBidNoticeAbstractUI.aspx?menuIndex=3&amp;refID=7187437&amp;Result=3","7187437")</f>
        <v>0</v>
      </c>
      <c r="B8070" t="s">
        <v>2578</v>
      </c>
      <c r="C8070" t="s">
        <v>11456</v>
      </c>
      <c r="D8070" t="s">
        <v>19006</v>
      </c>
      <c r="E8070" t="s">
        <v>21792</v>
      </c>
      <c r="F8070" t="s">
        <v>32606</v>
      </c>
      <c r="G8070" t="s">
        <v>32613</v>
      </c>
      <c r="H8070" t="s">
        <v>14201</v>
      </c>
      <c r="I8070" t="s">
        <v>6931</v>
      </c>
      <c r="J8070" t="s">
        <v>37819</v>
      </c>
      <c r="K8070" t="s">
        <v>42630</v>
      </c>
      <c r="M8070" t="s">
        <v>45719</v>
      </c>
      <c r="N8070" t="s">
        <v>47304</v>
      </c>
      <c r="O8070" t="s">
        <v>47305</v>
      </c>
      <c r="P8070">
        <v>0</v>
      </c>
      <c r="Q8070">
        <v>0</v>
      </c>
      <c r="R8070" t="s">
        <v>47312</v>
      </c>
      <c r="S8070" t="s">
        <v>47489</v>
      </c>
      <c r="T8070" t="s">
        <v>48997</v>
      </c>
      <c r="U8070" t="s">
        <v>56262</v>
      </c>
      <c r="V8070" t="s">
        <v>63451</v>
      </c>
      <c r="W8070" t="s">
        <v>45719</v>
      </c>
      <c r="X8070" t="s">
        <v>47313</v>
      </c>
    </row>
    <row r="8071" spans="1:24">
      <c r="A8071">
        <f>HYPERLINK("https://www.philgeps.gov.ph/GEPSNONPILOT/Tender/SplashBidNoticeAbstractUI.aspx?menuIndex=3&amp;refID=7187454&amp;Result=3","7187454")</f>
        <v>0</v>
      </c>
      <c r="B8071" t="s">
        <v>2562</v>
      </c>
      <c r="C8071" t="s">
        <v>11457</v>
      </c>
      <c r="D8071" t="s">
        <v>19039</v>
      </c>
      <c r="E8071" t="s">
        <v>26067</v>
      </c>
      <c r="F8071" t="s">
        <v>32606</v>
      </c>
      <c r="G8071" t="s">
        <v>32613</v>
      </c>
      <c r="H8071" t="s">
        <v>14201</v>
      </c>
      <c r="I8071" t="s">
        <v>32640</v>
      </c>
      <c r="J8071" t="s">
        <v>32860</v>
      </c>
      <c r="K8071" t="s">
        <v>42627</v>
      </c>
      <c r="M8071" t="s">
        <v>45702</v>
      </c>
      <c r="N8071" t="s">
        <v>47304</v>
      </c>
      <c r="O8071" t="s">
        <v>47305</v>
      </c>
      <c r="P8071">
        <v>0</v>
      </c>
      <c r="Q8071">
        <v>3</v>
      </c>
      <c r="R8071" t="s">
        <v>47312</v>
      </c>
      <c r="S8071" t="s">
        <v>47489</v>
      </c>
      <c r="T8071" t="s">
        <v>49037</v>
      </c>
      <c r="U8071" t="s">
        <v>56263</v>
      </c>
      <c r="V8071" t="s">
        <v>63043</v>
      </c>
      <c r="W8071" t="s">
        <v>45702</v>
      </c>
      <c r="X8071" t="s">
        <v>47313</v>
      </c>
    </row>
    <row r="8072" spans="1:24">
      <c r="A8072">
        <f>HYPERLINK("https://www.philgeps.gov.ph/GEPSNONPILOT/Tender/SplashBidNoticeAbstractUI.aspx?menuIndex=3&amp;refID=7187433&amp;Result=3","7187433")</f>
        <v>0</v>
      </c>
      <c r="B8072" t="s">
        <v>1710</v>
      </c>
      <c r="C8072" t="s">
        <v>11458</v>
      </c>
      <c r="D8072" t="s">
        <v>18993</v>
      </c>
      <c r="E8072" t="s">
        <v>26068</v>
      </c>
      <c r="F8072" t="s">
        <v>32606</v>
      </c>
      <c r="G8072" t="s">
        <v>32613</v>
      </c>
      <c r="H8072" t="s">
        <v>32623</v>
      </c>
      <c r="I8072" t="s">
        <v>17648</v>
      </c>
      <c r="J8072" t="s">
        <v>37820</v>
      </c>
      <c r="K8072" t="s">
        <v>42631</v>
      </c>
      <c r="M8072" t="s">
        <v>44741</v>
      </c>
      <c r="N8072" t="s">
        <v>47304</v>
      </c>
      <c r="O8072" t="s">
        <v>47305</v>
      </c>
      <c r="Q8072">
        <v>9</v>
      </c>
      <c r="R8072" t="s">
        <v>47312</v>
      </c>
      <c r="S8072" t="s">
        <v>47500</v>
      </c>
      <c r="T8072" t="s">
        <v>48980</v>
      </c>
      <c r="U8072" t="s">
        <v>56264</v>
      </c>
      <c r="V8072" t="s">
        <v>63452</v>
      </c>
      <c r="W8072" t="s">
        <v>44741</v>
      </c>
      <c r="X8072" t="s">
        <v>47313</v>
      </c>
    </row>
    <row r="8073" spans="1:24">
      <c r="A8073">
        <f>HYPERLINK("https://www.philgeps.gov.ph/GEPSNONPILOT/Tender/SplashBidNoticeAbstractUI.aspx?menuIndex=3&amp;refID=7187443&amp;Result=3","7187443")</f>
        <v>0</v>
      </c>
      <c r="B8073" t="s">
        <v>2579</v>
      </c>
      <c r="C8073" t="s">
        <v>8950</v>
      </c>
      <c r="D8073" t="s">
        <v>19033</v>
      </c>
      <c r="E8073" t="s">
        <v>26069</v>
      </c>
      <c r="F8073" t="s">
        <v>32606</v>
      </c>
      <c r="G8073" t="s">
        <v>32613</v>
      </c>
      <c r="H8073" t="s">
        <v>14201</v>
      </c>
      <c r="I8073" t="s">
        <v>9013</v>
      </c>
      <c r="J8073" t="s">
        <v>37821</v>
      </c>
      <c r="K8073" t="s">
        <v>42631</v>
      </c>
      <c r="M8073" t="s">
        <v>45720</v>
      </c>
      <c r="N8073" t="s">
        <v>47304</v>
      </c>
      <c r="O8073" t="s">
        <v>47305</v>
      </c>
      <c r="P8073">
        <v>0</v>
      </c>
      <c r="Q8073">
        <v>2</v>
      </c>
      <c r="R8073" t="s">
        <v>47312</v>
      </c>
      <c r="S8073" t="s">
        <v>47489</v>
      </c>
      <c r="T8073" t="s">
        <v>49176</v>
      </c>
      <c r="U8073" t="s">
        <v>56265</v>
      </c>
      <c r="W8073" t="s">
        <v>45720</v>
      </c>
      <c r="X8073" t="s">
        <v>47313</v>
      </c>
    </row>
    <row r="8074" spans="1:24">
      <c r="A8074">
        <f>HYPERLINK("https://www.philgeps.gov.ph/GEPSNONPILOT/Tender/SplashBidNoticeAbstractUI.aspx?menuIndex=3&amp;refID=7187440&amp;Result=3","7187440")</f>
        <v>0</v>
      </c>
      <c r="B8074" t="s">
        <v>2291</v>
      </c>
      <c r="C8074" t="s">
        <v>11459</v>
      </c>
      <c r="D8074" t="s">
        <v>19028</v>
      </c>
      <c r="E8074" t="s">
        <v>26070</v>
      </c>
      <c r="F8074" t="s">
        <v>32606</v>
      </c>
      <c r="G8074" t="s">
        <v>32614</v>
      </c>
      <c r="H8074" t="s">
        <v>14201</v>
      </c>
      <c r="I8074" t="s">
        <v>7233</v>
      </c>
      <c r="J8074" t="s">
        <v>37822</v>
      </c>
      <c r="K8074" t="s">
        <v>42624</v>
      </c>
      <c r="M8074" t="s">
        <v>45397</v>
      </c>
      <c r="N8074" t="s">
        <v>47304</v>
      </c>
      <c r="O8074" t="s">
        <v>47305</v>
      </c>
      <c r="P8074">
        <v>0</v>
      </c>
      <c r="Q8074">
        <v>0</v>
      </c>
      <c r="R8074" t="s">
        <v>47312</v>
      </c>
      <c r="S8074" t="s">
        <v>47489</v>
      </c>
      <c r="T8074" t="s">
        <v>49269</v>
      </c>
      <c r="U8074" t="s">
        <v>56266</v>
      </c>
      <c r="V8074" t="s">
        <v>63310</v>
      </c>
      <c r="W8074" t="s">
        <v>45397</v>
      </c>
      <c r="X8074" t="s">
        <v>47313</v>
      </c>
    </row>
    <row r="8075" spans="1:24">
      <c r="A8075">
        <f>HYPERLINK("https://www.philgeps.gov.ph/GEPSNONPILOT/Tender/SplashBidNoticeAbstractUI.aspx?menuIndex=3&amp;refID=7187426&amp;Result=3","7187426")</f>
        <v>0</v>
      </c>
      <c r="B8075" t="s">
        <v>2580</v>
      </c>
      <c r="C8075" t="s">
        <v>11460</v>
      </c>
      <c r="D8075" t="s">
        <v>19044</v>
      </c>
      <c r="E8075" t="s">
        <v>19145</v>
      </c>
      <c r="F8075" t="s">
        <v>32606</v>
      </c>
      <c r="G8075" t="s">
        <v>32613</v>
      </c>
      <c r="H8075" t="s">
        <v>14201</v>
      </c>
      <c r="I8075" t="s">
        <v>6931</v>
      </c>
      <c r="J8075" t="s">
        <v>37823</v>
      </c>
      <c r="K8075" t="s">
        <v>42630</v>
      </c>
      <c r="M8075" t="s">
        <v>45721</v>
      </c>
      <c r="N8075" t="s">
        <v>47304</v>
      </c>
      <c r="O8075" t="s">
        <v>47305</v>
      </c>
      <c r="P8075">
        <v>0</v>
      </c>
      <c r="Q8075">
        <v>0</v>
      </c>
      <c r="R8075" t="s">
        <v>47312</v>
      </c>
      <c r="S8075" t="s">
        <v>47489</v>
      </c>
      <c r="T8075" t="s">
        <v>49010</v>
      </c>
      <c r="U8075" t="s">
        <v>56267</v>
      </c>
      <c r="W8075" t="s">
        <v>45721</v>
      </c>
      <c r="X8075" t="s">
        <v>47313</v>
      </c>
    </row>
    <row r="8076" spans="1:24">
      <c r="A8076">
        <f>HYPERLINK("https://www.philgeps.gov.ph/GEPSNONPILOT/Tender/SplashBidNoticeAbstractUI.aspx?menuIndex=3&amp;refID=7187424&amp;Result=3","7187424")</f>
        <v>0</v>
      </c>
      <c r="B8076" t="s">
        <v>2498</v>
      </c>
      <c r="C8076" t="s">
        <v>11461</v>
      </c>
      <c r="D8076" t="s">
        <v>19038</v>
      </c>
      <c r="E8076" t="s">
        <v>26071</v>
      </c>
      <c r="F8076" t="s">
        <v>32606</v>
      </c>
      <c r="G8076" t="s">
        <v>32613</v>
      </c>
      <c r="H8076" t="s">
        <v>32623</v>
      </c>
      <c r="I8076" t="s">
        <v>17648</v>
      </c>
      <c r="J8076" t="s">
        <v>36641</v>
      </c>
      <c r="K8076" t="s">
        <v>42680</v>
      </c>
      <c r="M8076" t="s">
        <v>45636</v>
      </c>
      <c r="N8076" t="s">
        <v>47304</v>
      </c>
      <c r="O8076" t="s">
        <v>47305</v>
      </c>
      <c r="P8076">
        <v>0</v>
      </c>
      <c r="Q8076">
        <v>0</v>
      </c>
      <c r="R8076" t="s">
        <v>47312</v>
      </c>
      <c r="S8076" t="s">
        <v>47489</v>
      </c>
      <c r="T8076" t="s">
        <v>49040</v>
      </c>
      <c r="U8076" t="s">
        <v>56268</v>
      </c>
      <c r="V8076" t="s">
        <v>63390</v>
      </c>
      <c r="W8076" t="s">
        <v>45636</v>
      </c>
      <c r="X8076" t="s">
        <v>47313</v>
      </c>
    </row>
    <row r="8077" spans="1:24">
      <c r="A8077">
        <f>HYPERLINK("https://www.philgeps.gov.ph/GEPSNONPILOT/Tender/SplashBidNoticeAbstractUI.aspx?menuIndex=3&amp;refID=7187431&amp;Result=3","7187431")</f>
        <v>0</v>
      </c>
      <c r="B8077" t="s">
        <v>2533</v>
      </c>
      <c r="C8077" t="s">
        <v>11462</v>
      </c>
      <c r="D8077" t="s">
        <v>18988</v>
      </c>
      <c r="E8077" t="s">
        <v>26072</v>
      </c>
      <c r="F8077" t="s">
        <v>32606</v>
      </c>
      <c r="G8077" t="s">
        <v>32614</v>
      </c>
      <c r="H8077" t="s">
        <v>14201</v>
      </c>
      <c r="I8077" t="s">
        <v>4115</v>
      </c>
      <c r="J8077" t="s">
        <v>33167</v>
      </c>
      <c r="K8077" t="s">
        <v>42623</v>
      </c>
      <c r="M8077" t="s">
        <v>45673</v>
      </c>
      <c r="N8077" t="s">
        <v>47304</v>
      </c>
      <c r="O8077" t="s">
        <v>47305</v>
      </c>
      <c r="P8077">
        <v>0</v>
      </c>
      <c r="Q8077">
        <v>5</v>
      </c>
      <c r="R8077" t="s">
        <v>47312</v>
      </c>
      <c r="S8077" t="s">
        <v>47489</v>
      </c>
      <c r="T8077" t="s">
        <v>49006</v>
      </c>
      <c r="U8077" t="s">
        <v>56154</v>
      </c>
      <c r="W8077" t="s">
        <v>45673</v>
      </c>
      <c r="X8077" t="s">
        <v>47313</v>
      </c>
    </row>
    <row r="8078" spans="1:24">
      <c r="A8078">
        <f>HYPERLINK("https://www.philgeps.gov.ph/GEPSNONPILOT/Tender/SplashBidNoticeAbstractUI.aspx?menuIndex=3&amp;refID=7187430&amp;Result=3","7187430")</f>
        <v>0</v>
      </c>
      <c r="B8078" t="s">
        <v>2505</v>
      </c>
      <c r="C8078" t="s">
        <v>11463</v>
      </c>
      <c r="D8078" t="s">
        <v>19007</v>
      </c>
      <c r="E8078" t="s">
        <v>25893</v>
      </c>
      <c r="F8078" t="s">
        <v>32606</v>
      </c>
      <c r="G8078" t="s">
        <v>32613</v>
      </c>
      <c r="H8078" t="s">
        <v>32623</v>
      </c>
      <c r="I8078" t="s">
        <v>17648</v>
      </c>
      <c r="J8078" t="s">
        <v>37824</v>
      </c>
      <c r="K8078" t="s">
        <v>42636</v>
      </c>
      <c r="M8078" t="s">
        <v>45644</v>
      </c>
      <c r="N8078" t="s">
        <v>47304</v>
      </c>
      <c r="O8078" t="s">
        <v>47305</v>
      </c>
      <c r="P8078">
        <v>0</v>
      </c>
      <c r="Q8078">
        <v>1</v>
      </c>
      <c r="R8078" t="s">
        <v>47312</v>
      </c>
      <c r="S8078" t="s">
        <v>47489</v>
      </c>
      <c r="T8078" t="s">
        <v>49077</v>
      </c>
      <c r="U8078" t="s">
        <v>56075</v>
      </c>
      <c r="V8078" t="s">
        <v>63453</v>
      </c>
      <c r="W8078" t="s">
        <v>45644</v>
      </c>
      <c r="X8078" t="s">
        <v>47313</v>
      </c>
    </row>
    <row r="8079" spans="1:24">
      <c r="A8079">
        <f>HYPERLINK("https://www.philgeps.gov.ph/GEPSNONPILOT/Tender/SplashBidNoticeAbstractUI.aspx?menuIndex=3&amp;refID=7187455&amp;Result=3","7187455")</f>
        <v>0</v>
      </c>
      <c r="B8079" t="s">
        <v>567</v>
      </c>
      <c r="C8079" t="s">
        <v>11464</v>
      </c>
      <c r="E8079" t="s">
        <v>26073</v>
      </c>
      <c r="F8079" t="s">
        <v>32606</v>
      </c>
      <c r="G8079" t="s">
        <v>32619</v>
      </c>
      <c r="H8079" t="s">
        <v>14201</v>
      </c>
      <c r="I8079" t="s">
        <v>32633</v>
      </c>
      <c r="J8079" t="s">
        <v>33363</v>
      </c>
      <c r="K8079" t="s">
        <v>42624</v>
      </c>
      <c r="M8079" t="s">
        <v>43482</v>
      </c>
      <c r="N8079" t="s">
        <v>47304</v>
      </c>
      <c r="O8079" t="s">
        <v>47305</v>
      </c>
      <c r="P8079">
        <v>0</v>
      </c>
      <c r="Q8079">
        <v>4</v>
      </c>
      <c r="R8079" t="s">
        <v>47312</v>
      </c>
      <c r="S8079" t="s">
        <v>47489</v>
      </c>
      <c r="T8079" t="s">
        <v>49269</v>
      </c>
      <c r="U8079" t="s">
        <v>56269</v>
      </c>
      <c r="W8079" t="s">
        <v>43482</v>
      </c>
      <c r="X8079" t="s">
        <v>47313</v>
      </c>
    </row>
    <row r="8080" spans="1:24">
      <c r="A8080">
        <f>HYPERLINK("https://www.philgeps.gov.ph/GEPSNONPILOT/Tender/SplashBidNoticeAbstractUI.aspx?menuIndex=3&amp;refID=7187451&amp;Result=3","7187451")</f>
        <v>0</v>
      </c>
      <c r="B8080" t="s">
        <v>2581</v>
      </c>
      <c r="C8080" t="s">
        <v>11465</v>
      </c>
      <c r="D8080" t="s">
        <v>19001</v>
      </c>
      <c r="E8080" t="s">
        <v>26074</v>
      </c>
      <c r="F8080" t="s">
        <v>32606</v>
      </c>
      <c r="G8080" t="s">
        <v>32613</v>
      </c>
      <c r="H8080" t="s">
        <v>14201</v>
      </c>
      <c r="I8080" t="s">
        <v>6298</v>
      </c>
      <c r="J8080" t="s">
        <v>33263</v>
      </c>
      <c r="K8080" t="s">
        <v>42631</v>
      </c>
      <c r="M8080" t="s">
        <v>45722</v>
      </c>
      <c r="N8080" t="s">
        <v>47304</v>
      </c>
      <c r="O8080" t="s">
        <v>47305</v>
      </c>
      <c r="P8080">
        <v>0</v>
      </c>
      <c r="Q8080">
        <v>2</v>
      </c>
      <c r="R8080" t="s">
        <v>47312</v>
      </c>
      <c r="S8080" t="s">
        <v>47489</v>
      </c>
      <c r="T8080" t="s">
        <v>49327</v>
      </c>
      <c r="U8080" t="s">
        <v>56270</v>
      </c>
      <c r="W8080" t="s">
        <v>45722</v>
      </c>
      <c r="X8080" t="s">
        <v>47313</v>
      </c>
    </row>
    <row r="8081" spans="1:24">
      <c r="A8081">
        <f>HYPERLINK("https://www.philgeps.gov.ph/GEPSNONPILOT/Tender/SplashBidNoticeAbstractUI.aspx?menuIndex=3&amp;refID=7187453&amp;Result=3","7187453")</f>
        <v>0</v>
      </c>
      <c r="B8081" t="s">
        <v>207</v>
      </c>
      <c r="C8081" t="s">
        <v>11466</v>
      </c>
      <c r="D8081" t="s">
        <v>19047</v>
      </c>
      <c r="E8081" t="s">
        <v>26075</v>
      </c>
      <c r="F8081" t="s">
        <v>32606</v>
      </c>
      <c r="G8081" t="s">
        <v>32614</v>
      </c>
      <c r="H8081" t="s">
        <v>14201</v>
      </c>
      <c r="I8081" t="s">
        <v>7064</v>
      </c>
      <c r="J8081" t="s">
        <v>32981</v>
      </c>
      <c r="K8081" t="s">
        <v>42630</v>
      </c>
      <c r="M8081" t="s">
        <v>43108</v>
      </c>
      <c r="N8081" t="s">
        <v>47304</v>
      </c>
      <c r="O8081" t="s">
        <v>47305</v>
      </c>
      <c r="P8081">
        <v>0</v>
      </c>
      <c r="Q8081">
        <v>0</v>
      </c>
      <c r="R8081" t="s">
        <v>47312</v>
      </c>
      <c r="S8081" t="s">
        <v>47489</v>
      </c>
      <c r="T8081" t="s">
        <v>48998</v>
      </c>
      <c r="U8081" t="s">
        <v>49912</v>
      </c>
      <c r="V8081" t="s">
        <v>62695</v>
      </c>
      <c r="W8081" t="s">
        <v>43108</v>
      </c>
      <c r="X8081" t="s">
        <v>47313</v>
      </c>
    </row>
    <row r="8082" spans="1:24">
      <c r="A8082">
        <f>HYPERLINK("https://www.philgeps.gov.ph/GEPSNONPILOT/Tender/SplashBidNoticeAbstractUI.aspx?menuIndex=3&amp;refID=7187485&amp;Result=3","7187485")</f>
        <v>0</v>
      </c>
      <c r="B8082" t="s">
        <v>1235</v>
      </c>
      <c r="C8082" t="s">
        <v>11467</v>
      </c>
      <c r="D8082" t="s">
        <v>18997</v>
      </c>
      <c r="E8082" t="s">
        <v>19415</v>
      </c>
      <c r="F8082" t="s">
        <v>32608</v>
      </c>
      <c r="G8082" t="s">
        <v>32613</v>
      </c>
      <c r="H8082" t="s">
        <v>14201</v>
      </c>
      <c r="I8082" t="s">
        <v>32636</v>
      </c>
      <c r="J8082" t="s">
        <v>32977</v>
      </c>
      <c r="K8082" t="s">
        <v>42630</v>
      </c>
      <c r="M8082" t="s">
        <v>44200</v>
      </c>
      <c r="N8082" t="s">
        <v>47304</v>
      </c>
      <c r="O8082" t="s">
        <v>47305</v>
      </c>
      <c r="P8082">
        <v>0</v>
      </c>
      <c r="Q8082">
        <v>0</v>
      </c>
      <c r="R8082" t="s">
        <v>47312</v>
      </c>
      <c r="S8082" t="s">
        <v>47489</v>
      </c>
      <c r="T8082" t="s">
        <v>49066</v>
      </c>
      <c r="U8082" t="s">
        <v>56271</v>
      </c>
      <c r="W8082" t="s">
        <v>44200</v>
      </c>
      <c r="X8082" t="s">
        <v>47313</v>
      </c>
    </row>
    <row r="8083" spans="1:24">
      <c r="A8083">
        <f>HYPERLINK("https://www.philgeps.gov.ph/GEPSNONPILOT/Tender/SplashBidNoticeAbstractUI.aspx?menuIndex=3&amp;refID=7187458&amp;Result=3","7187458")</f>
        <v>0</v>
      </c>
      <c r="B8083" t="s">
        <v>2505</v>
      </c>
      <c r="C8083" t="s">
        <v>11468</v>
      </c>
      <c r="D8083" t="s">
        <v>19007</v>
      </c>
      <c r="E8083" t="s">
        <v>25893</v>
      </c>
      <c r="F8083" t="s">
        <v>32606</v>
      </c>
      <c r="G8083" t="s">
        <v>32613</v>
      </c>
      <c r="H8083" t="s">
        <v>32623</v>
      </c>
      <c r="I8083" t="s">
        <v>17648</v>
      </c>
      <c r="J8083" t="s">
        <v>37824</v>
      </c>
      <c r="K8083" t="s">
        <v>42636</v>
      </c>
      <c r="M8083" t="s">
        <v>45644</v>
      </c>
      <c r="N8083" t="s">
        <v>47304</v>
      </c>
      <c r="O8083" t="s">
        <v>47305</v>
      </c>
      <c r="P8083">
        <v>0</v>
      </c>
      <c r="Q8083">
        <v>1</v>
      </c>
      <c r="R8083" t="s">
        <v>47312</v>
      </c>
      <c r="S8083" t="s">
        <v>47489</v>
      </c>
      <c r="T8083" t="s">
        <v>49077</v>
      </c>
      <c r="U8083" t="s">
        <v>56075</v>
      </c>
      <c r="V8083" t="s">
        <v>63454</v>
      </c>
      <c r="W8083" t="s">
        <v>45644</v>
      </c>
      <c r="X8083" t="s">
        <v>47313</v>
      </c>
    </row>
    <row r="8084" spans="1:24">
      <c r="A8084">
        <f>HYPERLINK("https://www.philgeps.gov.ph/GEPSNONPILOT/Tender/SplashBidNoticeAbstractUI.aspx?menuIndex=3&amp;refID=7187468&amp;Result=3","7187468")</f>
        <v>0</v>
      </c>
      <c r="B8084" t="s">
        <v>2582</v>
      </c>
      <c r="C8084" t="s">
        <v>11469</v>
      </c>
      <c r="D8084" t="s">
        <v>18997</v>
      </c>
      <c r="E8084" t="s">
        <v>26076</v>
      </c>
      <c r="F8084" t="s">
        <v>32606</v>
      </c>
      <c r="G8084" t="s">
        <v>32613</v>
      </c>
      <c r="H8084" t="s">
        <v>14201</v>
      </c>
      <c r="I8084" t="s">
        <v>4120</v>
      </c>
      <c r="J8084" t="s">
        <v>37825</v>
      </c>
      <c r="K8084" t="s">
        <v>42622</v>
      </c>
      <c r="M8084" t="s">
        <v>45723</v>
      </c>
      <c r="N8084" t="s">
        <v>47304</v>
      </c>
      <c r="O8084" t="s">
        <v>47305</v>
      </c>
      <c r="P8084">
        <v>0</v>
      </c>
      <c r="Q8084">
        <v>5</v>
      </c>
      <c r="R8084" t="s">
        <v>47312</v>
      </c>
      <c r="S8084" t="s">
        <v>47489</v>
      </c>
      <c r="T8084" t="s">
        <v>49068</v>
      </c>
      <c r="U8084" t="s">
        <v>56272</v>
      </c>
      <c r="W8084" t="s">
        <v>45723</v>
      </c>
      <c r="X8084" t="s">
        <v>47313</v>
      </c>
    </row>
    <row r="8085" spans="1:24">
      <c r="A8085">
        <f>HYPERLINK("https://www.philgeps.gov.ph/GEPSNONPILOT/Tender/SplashBidNoticeAbstractUI.aspx?menuIndex=3&amp;refID=7187463&amp;Result=3","7187463")</f>
        <v>0</v>
      </c>
      <c r="B8085" t="s">
        <v>424</v>
      </c>
      <c r="C8085" t="s">
        <v>11470</v>
      </c>
      <c r="D8085" t="s">
        <v>18992</v>
      </c>
      <c r="E8085" t="s">
        <v>26077</v>
      </c>
      <c r="F8085" t="s">
        <v>32606</v>
      </c>
      <c r="G8085" t="s">
        <v>32614</v>
      </c>
      <c r="H8085" t="s">
        <v>14201</v>
      </c>
      <c r="I8085" t="s">
        <v>32626</v>
      </c>
      <c r="J8085" t="s">
        <v>32981</v>
      </c>
      <c r="K8085" t="s">
        <v>42630</v>
      </c>
      <c r="M8085" t="s">
        <v>43328</v>
      </c>
      <c r="N8085" t="s">
        <v>47304</v>
      </c>
      <c r="O8085" t="s">
        <v>47305</v>
      </c>
      <c r="P8085">
        <v>0</v>
      </c>
      <c r="Q8085">
        <v>3</v>
      </c>
      <c r="R8085" t="s">
        <v>47312</v>
      </c>
      <c r="S8085" t="s">
        <v>47489</v>
      </c>
      <c r="T8085" t="s">
        <v>49268</v>
      </c>
      <c r="U8085" t="s">
        <v>56273</v>
      </c>
      <c r="W8085" t="s">
        <v>43328</v>
      </c>
      <c r="X8085" t="s">
        <v>47313</v>
      </c>
    </row>
    <row r="8086" spans="1:24">
      <c r="A8086">
        <f>HYPERLINK("https://www.philgeps.gov.ph/GEPSNONPILOT/Tender/SplashBidNoticeAbstractUI.aspx?menuIndex=3&amp;refID=7187507&amp;Result=3","7187507")</f>
        <v>0</v>
      </c>
      <c r="B8086" t="s">
        <v>2583</v>
      </c>
      <c r="C8086" t="s">
        <v>11471</v>
      </c>
      <c r="D8086" t="s">
        <v>19018</v>
      </c>
      <c r="E8086" t="s">
        <v>26011</v>
      </c>
      <c r="F8086" t="s">
        <v>32606</v>
      </c>
      <c r="G8086" t="s">
        <v>32613</v>
      </c>
      <c r="H8086" t="s">
        <v>14201</v>
      </c>
      <c r="I8086" t="s">
        <v>6931</v>
      </c>
      <c r="J8086" t="s">
        <v>37826</v>
      </c>
      <c r="K8086" t="s">
        <v>42623</v>
      </c>
      <c r="M8086" t="s">
        <v>45724</v>
      </c>
      <c r="N8086" t="s">
        <v>47304</v>
      </c>
      <c r="O8086" t="s">
        <v>47305</v>
      </c>
      <c r="P8086">
        <v>0</v>
      </c>
      <c r="Q8086">
        <v>0</v>
      </c>
      <c r="R8086" t="s">
        <v>47312</v>
      </c>
      <c r="S8086" t="s">
        <v>47489</v>
      </c>
      <c r="T8086" t="s">
        <v>49010</v>
      </c>
      <c r="U8086" t="s">
        <v>56274</v>
      </c>
      <c r="W8086" t="s">
        <v>45724</v>
      </c>
      <c r="X8086" t="s">
        <v>47313</v>
      </c>
    </row>
    <row r="8087" spans="1:24">
      <c r="A8087">
        <f>HYPERLINK("https://www.philgeps.gov.ph/GEPSNONPILOT/Tender/SplashBidNoticeAbstractUI.aspx?menuIndex=3&amp;refID=7187459&amp;Result=3","7187459")</f>
        <v>0</v>
      </c>
      <c r="B8087" t="s">
        <v>882</v>
      </c>
      <c r="C8087" t="s">
        <v>11436</v>
      </c>
      <c r="D8087" t="s">
        <v>18994</v>
      </c>
      <c r="E8087" t="s">
        <v>26078</v>
      </c>
      <c r="F8087" t="s">
        <v>32606</v>
      </c>
      <c r="G8087" t="s">
        <v>32613</v>
      </c>
      <c r="H8087" t="s">
        <v>14201</v>
      </c>
      <c r="I8087" t="s">
        <v>7677</v>
      </c>
      <c r="J8087" t="s">
        <v>37827</v>
      </c>
      <c r="K8087" t="s">
        <v>42631</v>
      </c>
      <c r="M8087" t="s">
        <v>43818</v>
      </c>
      <c r="N8087" t="s">
        <v>47304</v>
      </c>
      <c r="O8087" t="s">
        <v>47305</v>
      </c>
      <c r="P8087">
        <v>0</v>
      </c>
      <c r="Q8087">
        <v>3</v>
      </c>
      <c r="R8087" t="s">
        <v>47312</v>
      </c>
      <c r="S8087" t="s">
        <v>47489</v>
      </c>
      <c r="T8087" t="s">
        <v>49075</v>
      </c>
      <c r="U8087" t="s">
        <v>56275</v>
      </c>
      <c r="W8087" t="s">
        <v>43818</v>
      </c>
      <c r="X8087" t="s">
        <v>47313</v>
      </c>
    </row>
    <row r="8088" spans="1:24">
      <c r="A8088">
        <f>HYPERLINK("https://www.philgeps.gov.ph/GEPSNONPILOT/Tender/SplashBidNoticeAbstractUI.aspx?menuIndex=3&amp;refID=7187483&amp;Result=3","7187483")</f>
        <v>0</v>
      </c>
      <c r="B8088" t="s">
        <v>2576</v>
      </c>
      <c r="C8088" t="s">
        <v>11472</v>
      </c>
      <c r="D8088" t="s">
        <v>19005</v>
      </c>
      <c r="E8088" t="s">
        <v>26079</v>
      </c>
      <c r="F8088" t="s">
        <v>32606</v>
      </c>
      <c r="G8088" t="s">
        <v>32614</v>
      </c>
      <c r="H8088" t="s">
        <v>14201</v>
      </c>
      <c r="I8088" t="s">
        <v>32658</v>
      </c>
      <c r="J8088" t="s">
        <v>37828</v>
      </c>
      <c r="K8088" t="s">
        <v>42623</v>
      </c>
      <c r="M8088" t="s">
        <v>45717</v>
      </c>
      <c r="N8088" t="s">
        <v>47304</v>
      </c>
      <c r="O8088" t="s">
        <v>47305</v>
      </c>
      <c r="P8088">
        <v>0</v>
      </c>
      <c r="Q8088">
        <v>5</v>
      </c>
      <c r="R8088" t="s">
        <v>47312</v>
      </c>
      <c r="S8088" t="s">
        <v>47489</v>
      </c>
      <c r="T8088" t="s">
        <v>49268</v>
      </c>
      <c r="U8088" t="s">
        <v>56259</v>
      </c>
      <c r="W8088" t="s">
        <v>45717</v>
      </c>
      <c r="X8088" t="s">
        <v>47313</v>
      </c>
    </row>
    <row r="8089" spans="1:24">
      <c r="A8089">
        <f>HYPERLINK("https://www.philgeps.gov.ph/GEPSNONPILOT/Tender/SplashBidNoticeAbstractUI.aspx?menuIndex=3&amp;refID=7187503&amp;Result=3","7187503")</f>
        <v>0</v>
      </c>
      <c r="B8089" t="s">
        <v>2552</v>
      </c>
      <c r="C8089" t="s">
        <v>5316</v>
      </c>
      <c r="D8089" t="s">
        <v>18986</v>
      </c>
      <c r="E8089" t="s">
        <v>24209</v>
      </c>
      <c r="F8089" t="s">
        <v>32606</v>
      </c>
      <c r="G8089" t="s">
        <v>32613</v>
      </c>
      <c r="H8089" t="s">
        <v>32623</v>
      </c>
      <c r="I8089" t="s">
        <v>17648</v>
      </c>
      <c r="J8089" t="s">
        <v>37829</v>
      </c>
      <c r="K8089" t="s">
        <v>42678</v>
      </c>
      <c r="M8089" t="s">
        <v>45692</v>
      </c>
      <c r="N8089" t="s">
        <v>47304</v>
      </c>
      <c r="O8089" t="s">
        <v>47305</v>
      </c>
      <c r="P8089">
        <v>0</v>
      </c>
      <c r="Q8089">
        <v>0</v>
      </c>
      <c r="R8089" t="s">
        <v>47312</v>
      </c>
      <c r="S8089" t="s">
        <v>47489</v>
      </c>
      <c r="T8089" t="s">
        <v>49382</v>
      </c>
      <c r="U8089" t="s">
        <v>56276</v>
      </c>
      <c r="V8089" t="s">
        <v>63436</v>
      </c>
      <c r="W8089" t="s">
        <v>45692</v>
      </c>
      <c r="X8089" t="s">
        <v>47313</v>
      </c>
    </row>
    <row r="8090" spans="1:24">
      <c r="A8090">
        <f>HYPERLINK("https://www.philgeps.gov.ph/GEPSNONPILOT/Tender/SplashBidNoticeAbstractUI.aspx?menuIndex=3&amp;refID=7187502&amp;Result=3","7187502")</f>
        <v>0</v>
      </c>
      <c r="B8090" t="s">
        <v>2549</v>
      </c>
      <c r="C8090" t="s">
        <v>11473</v>
      </c>
      <c r="D8090" t="s">
        <v>19011</v>
      </c>
      <c r="E8090" t="s">
        <v>11473</v>
      </c>
      <c r="F8090" t="s">
        <v>32606</v>
      </c>
      <c r="G8090" t="s">
        <v>32614</v>
      </c>
      <c r="H8090" t="s">
        <v>14201</v>
      </c>
      <c r="I8090" t="s">
        <v>13131</v>
      </c>
      <c r="J8090" t="s">
        <v>35553</v>
      </c>
      <c r="K8090" t="s">
        <v>42630</v>
      </c>
      <c r="M8090" t="s">
        <v>45689</v>
      </c>
      <c r="N8090" t="s">
        <v>47304</v>
      </c>
      <c r="O8090" t="s">
        <v>47305</v>
      </c>
      <c r="P8090">
        <v>0</v>
      </c>
      <c r="Q8090">
        <v>6</v>
      </c>
      <c r="R8090" t="s">
        <v>47312</v>
      </c>
      <c r="S8090" t="s">
        <v>47489</v>
      </c>
      <c r="T8090" t="s">
        <v>49268</v>
      </c>
      <c r="U8090" t="s">
        <v>56277</v>
      </c>
      <c r="W8090" t="s">
        <v>45689</v>
      </c>
      <c r="X8090" t="s">
        <v>47313</v>
      </c>
    </row>
    <row r="8091" spans="1:24">
      <c r="A8091">
        <f>HYPERLINK("https://www.philgeps.gov.ph/GEPSNONPILOT/Tender/SplashBidNoticeAbstractUI.aspx?menuIndex=3&amp;refID=7187470&amp;Result=3","7187470")</f>
        <v>0</v>
      </c>
      <c r="B8091" t="s">
        <v>2559</v>
      </c>
      <c r="C8091" t="s">
        <v>11474</v>
      </c>
      <c r="D8091" t="s">
        <v>19039</v>
      </c>
      <c r="E8091" t="s">
        <v>20844</v>
      </c>
      <c r="F8091" t="s">
        <v>32606</v>
      </c>
      <c r="G8091" t="s">
        <v>32613</v>
      </c>
      <c r="H8091" t="s">
        <v>14201</v>
      </c>
      <c r="I8091" t="s">
        <v>6007</v>
      </c>
      <c r="J8091" t="s">
        <v>32799</v>
      </c>
      <c r="K8091" t="s">
        <v>42631</v>
      </c>
      <c r="M8091" t="s">
        <v>45699</v>
      </c>
      <c r="N8091" t="s">
        <v>47304</v>
      </c>
      <c r="O8091" t="s">
        <v>47305</v>
      </c>
      <c r="P8091">
        <v>0</v>
      </c>
      <c r="Q8091">
        <v>1</v>
      </c>
      <c r="R8091" t="s">
        <v>47312</v>
      </c>
      <c r="S8091" t="s">
        <v>47489</v>
      </c>
      <c r="T8091" t="s">
        <v>49320</v>
      </c>
      <c r="U8091" t="s">
        <v>56210</v>
      </c>
      <c r="V8091" t="s">
        <v>63438</v>
      </c>
      <c r="W8091" t="s">
        <v>45699</v>
      </c>
      <c r="X8091" t="s">
        <v>47313</v>
      </c>
    </row>
    <row r="8092" spans="1:24">
      <c r="A8092">
        <f>HYPERLINK("https://www.philgeps.gov.ph/GEPSNONPILOT/Tender/SplashBidNoticeAbstractUI.aspx?menuIndex=3&amp;refID=7187508&amp;Result=3","7187508")</f>
        <v>0</v>
      </c>
      <c r="B8092" t="s">
        <v>2582</v>
      </c>
      <c r="C8092" t="s">
        <v>11475</v>
      </c>
      <c r="D8092" t="s">
        <v>18997</v>
      </c>
      <c r="E8092" t="s">
        <v>26080</v>
      </c>
      <c r="F8092" t="s">
        <v>32606</v>
      </c>
      <c r="G8092" t="s">
        <v>32614</v>
      </c>
      <c r="H8092" t="s">
        <v>14201</v>
      </c>
      <c r="I8092" t="s">
        <v>32634</v>
      </c>
      <c r="J8092" t="s">
        <v>32949</v>
      </c>
      <c r="K8092" t="s">
        <v>42622</v>
      </c>
      <c r="M8092" t="s">
        <v>45723</v>
      </c>
      <c r="N8092" t="s">
        <v>47304</v>
      </c>
      <c r="O8092" t="s">
        <v>47305</v>
      </c>
      <c r="P8092">
        <v>0</v>
      </c>
      <c r="Q8092">
        <v>0</v>
      </c>
      <c r="R8092" t="s">
        <v>47312</v>
      </c>
      <c r="S8092" t="s">
        <v>47489</v>
      </c>
      <c r="T8092" t="s">
        <v>49068</v>
      </c>
      <c r="U8092" t="s">
        <v>56278</v>
      </c>
      <c r="W8092" t="s">
        <v>45723</v>
      </c>
      <c r="X8092" t="s">
        <v>47313</v>
      </c>
    </row>
    <row r="8093" spans="1:24">
      <c r="A8093">
        <f>HYPERLINK("https://www.philgeps.gov.ph/GEPSNONPILOT/Tender/SplashBidNoticeAbstractUI.aspx?menuIndex=3&amp;refID=7187473&amp;Result=3","7187473")</f>
        <v>0</v>
      </c>
      <c r="B8093" t="s">
        <v>2566</v>
      </c>
      <c r="C8093" t="s">
        <v>11476</v>
      </c>
      <c r="D8093" t="s">
        <v>19049</v>
      </c>
      <c r="E8093" t="s">
        <v>26081</v>
      </c>
      <c r="F8093" t="s">
        <v>32606</v>
      </c>
      <c r="G8093" t="s">
        <v>32613</v>
      </c>
      <c r="H8093" t="s">
        <v>32623</v>
      </c>
      <c r="I8093" t="s">
        <v>17648</v>
      </c>
      <c r="J8093" t="s">
        <v>37830</v>
      </c>
      <c r="K8093" t="s">
        <v>42651</v>
      </c>
      <c r="M8093" t="s">
        <v>45706</v>
      </c>
      <c r="N8093" t="s">
        <v>47304</v>
      </c>
      <c r="O8093" t="s">
        <v>47305</v>
      </c>
      <c r="P8093">
        <v>0</v>
      </c>
      <c r="Q8093">
        <v>2</v>
      </c>
      <c r="R8093" t="s">
        <v>47312</v>
      </c>
      <c r="S8093" t="s">
        <v>47489</v>
      </c>
      <c r="T8093" t="s">
        <v>48978</v>
      </c>
      <c r="U8093" t="s">
        <v>56279</v>
      </c>
      <c r="V8093" t="s">
        <v>63441</v>
      </c>
      <c r="W8093" t="s">
        <v>45706</v>
      </c>
      <c r="X8093" t="s">
        <v>47313</v>
      </c>
    </row>
    <row r="8094" spans="1:24">
      <c r="A8094">
        <f>HYPERLINK("https://www.philgeps.gov.ph/GEPSNONPILOT/Tender/SplashBidNoticeAbstractUI.aspx?menuIndex=3&amp;refID=7187491&amp;Result=3","7187491")</f>
        <v>0</v>
      </c>
      <c r="B8094" t="s">
        <v>2317</v>
      </c>
      <c r="C8094" t="s">
        <v>11477</v>
      </c>
      <c r="D8094" t="s">
        <v>19043</v>
      </c>
      <c r="E8094" t="s">
        <v>26082</v>
      </c>
      <c r="F8094" t="s">
        <v>32606</v>
      </c>
      <c r="G8094" t="s">
        <v>32613</v>
      </c>
      <c r="H8094" t="s">
        <v>14201</v>
      </c>
      <c r="I8094" t="s">
        <v>7064</v>
      </c>
      <c r="J8094" t="s">
        <v>32861</v>
      </c>
      <c r="K8094" t="s">
        <v>42624</v>
      </c>
      <c r="M8094" t="s">
        <v>45425</v>
      </c>
      <c r="N8094" t="s">
        <v>47304</v>
      </c>
      <c r="O8094" t="s">
        <v>47305</v>
      </c>
      <c r="P8094">
        <v>0</v>
      </c>
      <c r="Q8094">
        <v>3</v>
      </c>
      <c r="R8094" t="s">
        <v>47312</v>
      </c>
      <c r="S8094" t="s">
        <v>47489</v>
      </c>
      <c r="T8094" t="s">
        <v>49055</v>
      </c>
      <c r="U8094" t="s">
        <v>56280</v>
      </c>
      <c r="W8094" t="s">
        <v>45425</v>
      </c>
      <c r="X8094" t="s">
        <v>47313</v>
      </c>
    </row>
    <row r="8095" spans="1:24">
      <c r="A8095">
        <f>HYPERLINK("https://www.philgeps.gov.ph/GEPSNONPILOT/Tender/SplashBidNoticeAbstractUI.aspx?menuIndex=3&amp;refID=7187497&amp;Result=3","7187497")</f>
        <v>0</v>
      </c>
      <c r="B8095" t="s">
        <v>1677</v>
      </c>
      <c r="C8095" t="s">
        <v>11478</v>
      </c>
      <c r="D8095" t="s">
        <v>19027</v>
      </c>
      <c r="E8095" t="s">
        <v>26083</v>
      </c>
      <c r="F8095" t="s">
        <v>32606</v>
      </c>
      <c r="G8095" t="s">
        <v>32619</v>
      </c>
      <c r="H8095" t="s">
        <v>14201</v>
      </c>
      <c r="I8095" t="s">
        <v>32629</v>
      </c>
      <c r="J8095" t="s">
        <v>32868</v>
      </c>
      <c r="K8095" t="s">
        <v>42623</v>
      </c>
      <c r="M8095" t="s">
        <v>44705</v>
      </c>
      <c r="N8095" t="s">
        <v>47304</v>
      </c>
      <c r="O8095" t="s">
        <v>47305</v>
      </c>
      <c r="P8095">
        <v>0</v>
      </c>
      <c r="Q8095">
        <v>1</v>
      </c>
      <c r="R8095" t="s">
        <v>47312</v>
      </c>
      <c r="S8095" t="s">
        <v>47489</v>
      </c>
      <c r="T8095" t="s">
        <v>49064</v>
      </c>
      <c r="U8095" t="s">
        <v>56281</v>
      </c>
      <c r="W8095" t="s">
        <v>44705</v>
      </c>
      <c r="X8095" t="s">
        <v>47313</v>
      </c>
    </row>
    <row r="8096" spans="1:24">
      <c r="A8096">
        <f>HYPERLINK("https://www.philgeps.gov.ph/GEPSNONPILOT/Tender/SplashBidNoticeAbstractUI.aspx?menuIndex=3&amp;refID=7187464&amp;Result=3","7187464")</f>
        <v>0</v>
      </c>
      <c r="B8096" t="s">
        <v>1221</v>
      </c>
      <c r="C8096" t="s">
        <v>11479</v>
      </c>
      <c r="D8096" t="s">
        <v>19063</v>
      </c>
      <c r="E8096" t="s">
        <v>26084</v>
      </c>
      <c r="F8096" t="s">
        <v>32606</v>
      </c>
      <c r="G8096" t="s">
        <v>32614</v>
      </c>
      <c r="H8096" t="s">
        <v>14201</v>
      </c>
      <c r="I8096" t="s">
        <v>6931</v>
      </c>
      <c r="J8096" t="s">
        <v>37831</v>
      </c>
      <c r="K8096" t="s">
        <v>42630</v>
      </c>
      <c r="M8096" t="s">
        <v>44537</v>
      </c>
      <c r="N8096" t="s">
        <v>47304</v>
      </c>
      <c r="O8096" t="s">
        <v>47305</v>
      </c>
      <c r="P8096">
        <v>0</v>
      </c>
      <c r="Q8096">
        <v>0</v>
      </c>
      <c r="R8096" t="s">
        <v>47312</v>
      </c>
      <c r="S8096" t="s">
        <v>47489</v>
      </c>
      <c r="T8096" t="s">
        <v>49071</v>
      </c>
      <c r="U8096" t="s">
        <v>56282</v>
      </c>
      <c r="W8096" t="s">
        <v>44537</v>
      </c>
      <c r="X8096" t="s">
        <v>47313</v>
      </c>
    </row>
    <row r="8097" spans="1:24">
      <c r="A8097">
        <f>HYPERLINK("https://www.philgeps.gov.ph/GEPSNONPILOT/Tender/SplashBidNoticeAbstractUI.aspx?menuIndex=3&amp;refID=7187489&amp;Result=3","7187489")</f>
        <v>0</v>
      </c>
      <c r="B8097" t="s">
        <v>751</v>
      </c>
      <c r="C8097" t="s">
        <v>11480</v>
      </c>
      <c r="D8097" t="s">
        <v>18995</v>
      </c>
      <c r="E8097" t="s">
        <v>26085</v>
      </c>
      <c r="F8097" t="s">
        <v>32606</v>
      </c>
      <c r="G8097" t="s">
        <v>32613</v>
      </c>
      <c r="H8097" t="s">
        <v>14201</v>
      </c>
      <c r="I8097" t="s">
        <v>7064</v>
      </c>
      <c r="J8097" t="s">
        <v>34409</v>
      </c>
      <c r="K8097" t="s">
        <v>42631</v>
      </c>
      <c r="M8097" t="s">
        <v>43674</v>
      </c>
      <c r="N8097" t="s">
        <v>47304</v>
      </c>
      <c r="O8097" t="s">
        <v>47305</v>
      </c>
      <c r="P8097">
        <v>0</v>
      </c>
      <c r="Q8097">
        <v>1</v>
      </c>
      <c r="R8097" t="s">
        <v>47312</v>
      </c>
      <c r="S8097" t="s">
        <v>47489</v>
      </c>
      <c r="T8097" t="s">
        <v>49171</v>
      </c>
      <c r="U8097" t="s">
        <v>56283</v>
      </c>
      <c r="W8097" t="s">
        <v>43674</v>
      </c>
      <c r="X8097" t="s">
        <v>47313</v>
      </c>
    </row>
    <row r="8098" spans="1:24">
      <c r="A8098">
        <f>HYPERLINK("https://www.philgeps.gov.ph/GEPSNONPILOT/Tender/SplashBidNoticeAbstractUI.aspx?menuIndex=3&amp;refID=7187540&amp;Result=3","7187540")</f>
        <v>0</v>
      </c>
      <c r="B8098" t="s">
        <v>90</v>
      </c>
      <c r="C8098" t="s">
        <v>11481</v>
      </c>
      <c r="D8098" t="s">
        <v>18988</v>
      </c>
      <c r="E8098" t="s">
        <v>26086</v>
      </c>
      <c r="F8098" t="s">
        <v>32606</v>
      </c>
      <c r="G8098" t="s">
        <v>32613</v>
      </c>
      <c r="H8098" t="s">
        <v>14201</v>
      </c>
      <c r="I8098" t="s">
        <v>32661</v>
      </c>
      <c r="J8098" t="s">
        <v>37832</v>
      </c>
      <c r="K8098" t="s">
        <v>42624</v>
      </c>
      <c r="M8098" t="s">
        <v>42988</v>
      </c>
      <c r="N8098" t="s">
        <v>47304</v>
      </c>
      <c r="O8098" t="s">
        <v>47305</v>
      </c>
      <c r="P8098">
        <v>0</v>
      </c>
      <c r="Q8098">
        <v>1</v>
      </c>
      <c r="R8098" t="s">
        <v>47312</v>
      </c>
      <c r="S8098" t="s">
        <v>47489</v>
      </c>
      <c r="T8098" t="s">
        <v>48985</v>
      </c>
      <c r="U8098" t="s">
        <v>56284</v>
      </c>
      <c r="V8098" t="s">
        <v>62665</v>
      </c>
      <c r="W8098" t="s">
        <v>42988</v>
      </c>
      <c r="X8098" t="s">
        <v>47313</v>
      </c>
    </row>
    <row r="8099" spans="1:24">
      <c r="A8099">
        <f>HYPERLINK("https://www.philgeps.gov.ph/GEPSNONPILOT/Tender/SplashBidNoticeAbstractUI.aspx?menuIndex=3&amp;refID=7187533&amp;Result=3","7187533")</f>
        <v>0</v>
      </c>
      <c r="B8099" t="s">
        <v>2576</v>
      </c>
      <c r="C8099" t="s">
        <v>11482</v>
      </c>
      <c r="D8099" t="s">
        <v>19005</v>
      </c>
      <c r="E8099" t="s">
        <v>26087</v>
      </c>
      <c r="F8099" t="s">
        <v>32606</v>
      </c>
      <c r="G8099" t="s">
        <v>32614</v>
      </c>
      <c r="H8099" t="s">
        <v>14201</v>
      </c>
      <c r="I8099" t="s">
        <v>6931</v>
      </c>
      <c r="J8099" t="s">
        <v>37833</v>
      </c>
      <c r="K8099" t="s">
        <v>42623</v>
      </c>
      <c r="M8099" t="s">
        <v>45717</v>
      </c>
      <c r="N8099" t="s">
        <v>47304</v>
      </c>
      <c r="O8099" t="s">
        <v>47305</v>
      </c>
      <c r="P8099">
        <v>0</v>
      </c>
      <c r="Q8099">
        <v>0</v>
      </c>
      <c r="R8099" t="s">
        <v>47312</v>
      </c>
      <c r="S8099" t="s">
        <v>47489</v>
      </c>
      <c r="T8099" t="s">
        <v>49268</v>
      </c>
      <c r="U8099" t="s">
        <v>56259</v>
      </c>
      <c r="W8099" t="s">
        <v>45717</v>
      </c>
      <c r="X8099" t="s">
        <v>47313</v>
      </c>
    </row>
    <row r="8100" spans="1:24">
      <c r="A8100">
        <f>HYPERLINK("https://www.philgeps.gov.ph/GEPSNONPILOT/Tender/SplashBidNoticeAbstractUI.aspx?menuIndex=3&amp;refID=7187494&amp;Result=3","7187494")</f>
        <v>0</v>
      </c>
      <c r="B8100" t="s">
        <v>2584</v>
      </c>
      <c r="C8100" t="s">
        <v>4929</v>
      </c>
      <c r="D8100" t="s">
        <v>18997</v>
      </c>
      <c r="E8100" t="s">
        <v>26088</v>
      </c>
      <c r="F8100" t="s">
        <v>32606</v>
      </c>
      <c r="G8100" t="s">
        <v>32614</v>
      </c>
      <c r="H8100" t="s">
        <v>14201</v>
      </c>
      <c r="I8100" t="s">
        <v>7577</v>
      </c>
      <c r="J8100" t="s">
        <v>32789</v>
      </c>
      <c r="K8100" t="s">
        <v>42631</v>
      </c>
      <c r="M8100" t="s">
        <v>45725</v>
      </c>
      <c r="N8100" t="s">
        <v>47304</v>
      </c>
      <c r="O8100" t="s">
        <v>47305</v>
      </c>
      <c r="P8100">
        <v>0</v>
      </c>
      <c r="Q8100">
        <v>2</v>
      </c>
      <c r="R8100" t="s">
        <v>47312</v>
      </c>
      <c r="S8100" t="s">
        <v>47489</v>
      </c>
      <c r="T8100" t="s">
        <v>49384</v>
      </c>
      <c r="U8100" t="s">
        <v>56285</v>
      </c>
      <c r="W8100" t="s">
        <v>45725</v>
      </c>
      <c r="X8100" t="s">
        <v>47313</v>
      </c>
    </row>
    <row r="8101" spans="1:24">
      <c r="A8101">
        <f>HYPERLINK("https://www.philgeps.gov.ph/GEPSNONPILOT/Tender/SplashBidNoticeAbstractUI.aspx?menuIndex=3&amp;refID=7187495&amp;Result=3","7187495")</f>
        <v>0</v>
      </c>
      <c r="B8101" t="s">
        <v>2559</v>
      </c>
      <c r="C8101" t="s">
        <v>11483</v>
      </c>
      <c r="D8101" t="s">
        <v>19039</v>
      </c>
      <c r="E8101" t="s">
        <v>26089</v>
      </c>
      <c r="F8101" t="s">
        <v>32606</v>
      </c>
      <c r="G8101" t="s">
        <v>32613</v>
      </c>
      <c r="H8101" t="s">
        <v>14201</v>
      </c>
      <c r="I8101" t="s">
        <v>4678</v>
      </c>
      <c r="J8101" t="s">
        <v>35547</v>
      </c>
      <c r="K8101" t="s">
        <v>42631</v>
      </c>
      <c r="M8101" t="s">
        <v>45699</v>
      </c>
      <c r="N8101" t="s">
        <v>47304</v>
      </c>
      <c r="O8101" t="s">
        <v>47305</v>
      </c>
      <c r="P8101">
        <v>0</v>
      </c>
      <c r="Q8101">
        <v>4</v>
      </c>
      <c r="R8101" t="s">
        <v>47312</v>
      </c>
      <c r="S8101" t="s">
        <v>47489</v>
      </c>
      <c r="T8101" t="s">
        <v>49320</v>
      </c>
      <c r="U8101" t="s">
        <v>56210</v>
      </c>
      <c r="V8101" t="s">
        <v>63438</v>
      </c>
      <c r="W8101" t="s">
        <v>45699</v>
      </c>
      <c r="X8101" t="s">
        <v>47313</v>
      </c>
    </row>
    <row r="8102" spans="1:24">
      <c r="A8102">
        <f>HYPERLINK("https://www.philgeps.gov.ph/GEPSNONPILOT/Tender/SplashBidNoticeAbstractUI.aspx?menuIndex=3&amp;refID=7187512&amp;Result=3","7187512")</f>
        <v>0</v>
      </c>
      <c r="B8102" t="s">
        <v>1893</v>
      </c>
      <c r="C8102" t="s">
        <v>11484</v>
      </c>
      <c r="D8102" t="s">
        <v>19039</v>
      </c>
      <c r="E8102" t="s">
        <v>26090</v>
      </c>
      <c r="F8102" t="s">
        <v>32606</v>
      </c>
      <c r="G8102" t="s">
        <v>32619</v>
      </c>
      <c r="H8102" t="s">
        <v>14201</v>
      </c>
      <c r="I8102" t="s">
        <v>4112</v>
      </c>
      <c r="J8102" t="s">
        <v>32926</v>
      </c>
      <c r="K8102" t="s">
        <v>42624</v>
      </c>
      <c r="M8102" t="s">
        <v>44952</v>
      </c>
      <c r="N8102" t="s">
        <v>47304</v>
      </c>
      <c r="O8102" t="s">
        <v>47305</v>
      </c>
      <c r="Q8102">
        <v>1</v>
      </c>
      <c r="R8102" t="s">
        <v>47312</v>
      </c>
      <c r="S8102" t="s">
        <v>47501</v>
      </c>
      <c r="T8102" t="s">
        <v>49002</v>
      </c>
      <c r="U8102" t="s">
        <v>56286</v>
      </c>
      <c r="W8102" t="s">
        <v>44952</v>
      </c>
      <c r="X8102" t="s">
        <v>47313</v>
      </c>
    </row>
    <row r="8103" spans="1:24">
      <c r="A8103">
        <f>HYPERLINK("https://www.philgeps.gov.ph/GEPSNONPILOT/Tender/SplashBidNoticeAbstractUI.aspx?menuIndex=3&amp;refID=7187521&amp;Result=3","7187521")</f>
        <v>0</v>
      </c>
      <c r="B8103" t="s">
        <v>558</v>
      </c>
      <c r="C8103" t="s">
        <v>11485</v>
      </c>
      <c r="D8103" t="s">
        <v>18997</v>
      </c>
      <c r="E8103" t="s">
        <v>26091</v>
      </c>
      <c r="F8103" t="s">
        <v>32606</v>
      </c>
      <c r="G8103" t="s">
        <v>32613</v>
      </c>
      <c r="H8103" t="s">
        <v>32623</v>
      </c>
      <c r="I8103" t="s">
        <v>17648</v>
      </c>
      <c r="J8103" t="s">
        <v>37834</v>
      </c>
      <c r="K8103" t="s">
        <v>42636</v>
      </c>
      <c r="M8103" t="s">
        <v>43473</v>
      </c>
      <c r="N8103" t="s">
        <v>47304</v>
      </c>
      <c r="O8103" t="s">
        <v>47305</v>
      </c>
      <c r="P8103">
        <v>0</v>
      </c>
      <c r="Q8103">
        <v>0</v>
      </c>
      <c r="R8103" t="s">
        <v>47312</v>
      </c>
      <c r="S8103" t="s">
        <v>47489</v>
      </c>
      <c r="T8103" t="s">
        <v>48970</v>
      </c>
      <c r="U8103" t="s">
        <v>56287</v>
      </c>
      <c r="W8103" t="s">
        <v>43473</v>
      </c>
      <c r="X8103" t="s">
        <v>47313</v>
      </c>
    </row>
    <row r="8104" spans="1:24">
      <c r="A8104">
        <f>HYPERLINK("https://www.philgeps.gov.ph/GEPSNONPILOT/Tender/SplashBidNoticeAbstractUI.aspx?menuIndex=3&amp;refID=7187520&amp;Result=3","7187520")</f>
        <v>0</v>
      </c>
      <c r="B8104" t="s">
        <v>207</v>
      </c>
      <c r="C8104" t="s">
        <v>11466</v>
      </c>
      <c r="D8104" t="s">
        <v>19047</v>
      </c>
      <c r="E8104" t="s">
        <v>26092</v>
      </c>
      <c r="F8104" t="s">
        <v>32606</v>
      </c>
      <c r="G8104" t="s">
        <v>32614</v>
      </c>
      <c r="H8104" t="s">
        <v>14201</v>
      </c>
      <c r="I8104" t="s">
        <v>7064</v>
      </c>
      <c r="J8104" t="s">
        <v>32981</v>
      </c>
      <c r="K8104" t="s">
        <v>42630</v>
      </c>
      <c r="M8104" t="s">
        <v>43108</v>
      </c>
      <c r="N8104" t="s">
        <v>47304</v>
      </c>
      <c r="O8104" t="s">
        <v>47305</v>
      </c>
      <c r="P8104">
        <v>0</v>
      </c>
      <c r="Q8104">
        <v>0</v>
      </c>
      <c r="R8104" t="s">
        <v>47312</v>
      </c>
      <c r="S8104" t="s">
        <v>47489</v>
      </c>
      <c r="T8104" t="s">
        <v>48998</v>
      </c>
      <c r="U8104" t="s">
        <v>49912</v>
      </c>
      <c r="V8104" t="s">
        <v>62695</v>
      </c>
      <c r="W8104" t="s">
        <v>43108</v>
      </c>
      <c r="X8104" t="s">
        <v>47313</v>
      </c>
    </row>
    <row r="8105" spans="1:24">
      <c r="A8105">
        <f>HYPERLINK("https://www.philgeps.gov.ph/GEPSNONPILOT/Tender/SplashBidNoticeAbstractUI.aspx?menuIndex=3&amp;refID=7187549&amp;Result=3","7187549")</f>
        <v>0</v>
      </c>
      <c r="B8105" t="s">
        <v>1235</v>
      </c>
      <c r="C8105" t="s">
        <v>11486</v>
      </c>
      <c r="D8105" t="s">
        <v>18997</v>
      </c>
      <c r="E8105" t="s">
        <v>25157</v>
      </c>
      <c r="F8105" t="s">
        <v>32608</v>
      </c>
      <c r="G8105" t="s">
        <v>32613</v>
      </c>
      <c r="H8105" t="s">
        <v>14201</v>
      </c>
      <c r="I8105" t="s">
        <v>4120</v>
      </c>
      <c r="J8105" t="s">
        <v>37835</v>
      </c>
      <c r="K8105" t="s">
        <v>42630</v>
      </c>
      <c r="M8105" t="s">
        <v>44200</v>
      </c>
      <c r="N8105" t="s">
        <v>47304</v>
      </c>
      <c r="O8105" t="s">
        <v>47305</v>
      </c>
      <c r="P8105">
        <v>0</v>
      </c>
      <c r="Q8105">
        <v>1</v>
      </c>
      <c r="R8105" t="s">
        <v>47312</v>
      </c>
      <c r="S8105" t="s">
        <v>47489</v>
      </c>
      <c r="T8105" t="s">
        <v>49066</v>
      </c>
      <c r="U8105" t="s">
        <v>56159</v>
      </c>
      <c r="W8105" t="s">
        <v>44200</v>
      </c>
      <c r="X8105" t="s">
        <v>47313</v>
      </c>
    </row>
    <row r="8106" spans="1:24">
      <c r="A8106">
        <f>HYPERLINK("https://www.philgeps.gov.ph/GEPSNONPILOT/Tender/SplashBidNoticeAbstractUI.aspx?menuIndex=3&amp;refID=7187530&amp;Result=3","7187530")</f>
        <v>0</v>
      </c>
      <c r="B8106" t="s">
        <v>1677</v>
      </c>
      <c r="C8106" t="s">
        <v>11487</v>
      </c>
      <c r="D8106" t="s">
        <v>19027</v>
      </c>
      <c r="E8106" t="s">
        <v>22744</v>
      </c>
      <c r="F8106" t="s">
        <v>32606</v>
      </c>
      <c r="G8106" t="s">
        <v>32619</v>
      </c>
      <c r="H8106" t="s">
        <v>14201</v>
      </c>
      <c r="I8106" t="s">
        <v>6298</v>
      </c>
      <c r="J8106" t="s">
        <v>37836</v>
      </c>
      <c r="K8106" t="s">
        <v>42622</v>
      </c>
      <c r="M8106" t="s">
        <v>44705</v>
      </c>
      <c r="N8106" t="s">
        <v>47304</v>
      </c>
      <c r="O8106" t="s">
        <v>47305</v>
      </c>
      <c r="P8106">
        <v>0</v>
      </c>
      <c r="Q8106">
        <v>0</v>
      </c>
      <c r="R8106" t="s">
        <v>47312</v>
      </c>
      <c r="S8106" t="s">
        <v>47489</v>
      </c>
      <c r="T8106" t="s">
        <v>49064</v>
      </c>
      <c r="U8106" t="s">
        <v>56288</v>
      </c>
      <c r="W8106" t="s">
        <v>44705</v>
      </c>
      <c r="X8106" t="s">
        <v>47313</v>
      </c>
    </row>
    <row r="8107" spans="1:24">
      <c r="A8107">
        <f>HYPERLINK("https://www.philgeps.gov.ph/GEPSNONPILOT/Tender/SplashBidNoticeAbstractUI.aspx?menuIndex=3&amp;refID=7187524&amp;Result=3","7187524")</f>
        <v>0</v>
      </c>
      <c r="B8107" t="s">
        <v>1235</v>
      </c>
      <c r="C8107" t="s">
        <v>11488</v>
      </c>
      <c r="D8107" t="s">
        <v>18997</v>
      </c>
      <c r="E8107" t="s">
        <v>25150</v>
      </c>
      <c r="F8107" t="s">
        <v>32608</v>
      </c>
      <c r="G8107" t="s">
        <v>32613</v>
      </c>
      <c r="H8107" t="s">
        <v>14201</v>
      </c>
      <c r="I8107" t="s">
        <v>4120</v>
      </c>
      <c r="J8107" t="s">
        <v>34071</v>
      </c>
      <c r="K8107" t="s">
        <v>42630</v>
      </c>
      <c r="M8107" t="s">
        <v>44200</v>
      </c>
      <c r="N8107" t="s">
        <v>47304</v>
      </c>
      <c r="O8107" t="s">
        <v>47305</v>
      </c>
      <c r="P8107">
        <v>0</v>
      </c>
      <c r="Q8107">
        <v>1</v>
      </c>
      <c r="R8107" t="s">
        <v>47312</v>
      </c>
      <c r="S8107" t="s">
        <v>47489</v>
      </c>
      <c r="T8107" t="s">
        <v>49066</v>
      </c>
      <c r="U8107" t="s">
        <v>56289</v>
      </c>
      <c r="W8107" t="s">
        <v>44200</v>
      </c>
      <c r="X8107" t="s">
        <v>47313</v>
      </c>
    </row>
    <row r="8108" spans="1:24">
      <c r="A8108">
        <f>HYPERLINK("https://www.philgeps.gov.ph/GEPSNONPILOT/Tender/SplashBidNoticeAbstractUI.aspx?menuIndex=3&amp;refID=7187543&amp;Result=3","7187543")</f>
        <v>0</v>
      </c>
      <c r="B8108" t="s">
        <v>2585</v>
      </c>
      <c r="C8108" t="s">
        <v>11489</v>
      </c>
      <c r="D8108" t="s">
        <v>19033</v>
      </c>
      <c r="E8108" t="s">
        <v>26093</v>
      </c>
      <c r="F8108" t="s">
        <v>32606</v>
      </c>
      <c r="G8108" t="s">
        <v>32613</v>
      </c>
      <c r="H8108" t="s">
        <v>14201</v>
      </c>
      <c r="I8108" t="s">
        <v>6931</v>
      </c>
      <c r="J8108" t="s">
        <v>37837</v>
      </c>
      <c r="K8108" t="s">
        <v>42623</v>
      </c>
      <c r="M8108" t="s">
        <v>45726</v>
      </c>
      <c r="N8108" t="s">
        <v>47304</v>
      </c>
      <c r="O8108" t="s">
        <v>47305</v>
      </c>
      <c r="P8108">
        <v>0</v>
      </c>
      <c r="Q8108">
        <v>0</v>
      </c>
      <c r="R8108" t="s">
        <v>47312</v>
      </c>
      <c r="S8108" t="s">
        <v>47489</v>
      </c>
      <c r="T8108" t="s">
        <v>49257</v>
      </c>
      <c r="U8108" t="s">
        <v>56290</v>
      </c>
      <c r="W8108" t="s">
        <v>45726</v>
      </c>
      <c r="X8108" t="s">
        <v>47313</v>
      </c>
    </row>
    <row r="8109" spans="1:24">
      <c r="A8109">
        <f>HYPERLINK("https://www.philgeps.gov.ph/GEPSNONPILOT/Tender/SplashBidNoticeAbstractUI.aspx?menuIndex=3&amp;refID=7187542&amp;Result=3","7187542")</f>
        <v>0</v>
      </c>
      <c r="B8109" t="s">
        <v>2559</v>
      </c>
      <c r="C8109" t="s">
        <v>11490</v>
      </c>
      <c r="D8109" t="s">
        <v>19039</v>
      </c>
      <c r="E8109" t="s">
        <v>26094</v>
      </c>
      <c r="F8109" t="s">
        <v>32606</v>
      </c>
      <c r="G8109" t="s">
        <v>32613</v>
      </c>
      <c r="H8109" t="s">
        <v>14201</v>
      </c>
      <c r="I8109" t="s">
        <v>6931</v>
      </c>
      <c r="J8109" t="s">
        <v>37838</v>
      </c>
      <c r="K8109" t="s">
        <v>42631</v>
      </c>
      <c r="M8109" t="s">
        <v>45699</v>
      </c>
      <c r="N8109" t="s">
        <v>47304</v>
      </c>
      <c r="O8109" t="s">
        <v>47305</v>
      </c>
      <c r="P8109">
        <v>0</v>
      </c>
      <c r="Q8109">
        <v>0</v>
      </c>
      <c r="R8109" t="s">
        <v>47312</v>
      </c>
      <c r="S8109" t="s">
        <v>47489</v>
      </c>
      <c r="T8109" t="s">
        <v>49320</v>
      </c>
      <c r="U8109" t="s">
        <v>56210</v>
      </c>
      <c r="V8109" t="s">
        <v>63438</v>
      </c>
      <c r="W8109" t="s">
        <v>45699</v>
      </c>
      <c r="X8109" t="s">
        <v>47313</v>
      </c>
    </row>
    <row r="8110" spans="1:24">
      <c r="A8110">
        <f>HYPERLINK("https://www.philgeps.gov.ph/GEPSNONPILOT/Tender/SplashBidNoticeAbstractUI.aspx?menuIndex=3&amp;refID=7187541&amp;Result=3","7187541")</f>
        <v>0</v>
      </c>
      <c r="B8110" t="s">
        <v>2565</v>
      </c>
      <c r="C8110" t="s">
        <v>11491</v>
      </c>
      <c r="D8110" t="s">
        <v>18991</v>
      </c>
      <c r="E8110" t="s">
        <v>19561</v>
      </c>
      <c r="F8110" t="s">
        <v>32606</v>
      </c>
      <c r="G8110" t="s">
        <v>32613</v>
      </c>
      <c r="H8110" t="s">
        <v>14201</v>
      </c>
      <c r="I8110" t="s">
        <v>32701</v>
      </c>
      <c r="J8110" t="s">
        <v>32789</v>
      </c>
      <c r="K8110" t="s">
        <v>42631</v>
      </c>
      <c r="M8110" t="s">
        <v>45705</v>
      </c>
      <c r="N8110" t="s">
        <v>47304</v>
      </c>
      <c r="O8110" t="s">
        <v>47305</v>
      </c>
      <c r="P8110">
        <v>0</v>
      </c>
      <c r="Q8110">
        <v>0</v>
      </c>
      <c r="R8110" t="s">
        <v>47312</v>
      </c>
      <c r="S8110" t="s">
        <v>47489</v>
      </c>
      <c r="T8110" t="s">
        <v>49266</v>
      </c>
      <c r="U8110" t="s">
        <v>56291</v>
      </c>
      <c r="W8110" t="s">
        <v>45705</v>
      </c>
      <c r="X8110" t="s">
        <v>47313</v>
      </c>
    </row>
    <row r="8111" spans="1:24">
      <c r="A8111">
        <f>HYPERLINK("https://www.philgeps.gov.ph/GEPSNONPILOT/Tender/SplashBidNoticeAbstractUI.aspx?menuIndex=3&amp;refID=7187531&amp;Result=3","7187531")</f>
        <v>0</v>
      </c>
      <c r="B8111" t="s">
        <v>99</v>
      </c>
      <c r="C8111" t="s">
        <v>11492</v>
      </c>
      <c r="D8111" t="s">
        <v>19027</v>
      </c>
      <c r="E8111" t="s">
        <v>26095</v>
      </c>
      <c r="F8111" t="s">
        <v>32606</v>
      </c>
      <c r="G8111" t="s">
        <v>32613</v>
      </c>
      <c r="H8111" t="s">
        <v>14201</v>
      </c>
      <c r="I8111" t="s">
        <v>32654</v>
      </c>
      <c r="J8111" t="s">
        <v>37839</v>
      </c>
      <c r="K8111" t="s">
        <v>42623</v>
      </c>
      <c r="L8111" t="s">
        <v>99</v>
      </c>
      <c r="M8111" t="s">
        <v>42997</v>
      </c>
      <c r="N8111" t="s">
        <v>47304</v>
      </c>
      <c r="O8111" t="s">
        <v>47305</v>
      </c>
      <c r="P8111">
        <v>0</v>
      </c>
      <c r="Q8111">
        <v>0</v>
      </c>
      <c r="R8111" t="s">
        <v>47312</v>
      </c>
      <c r="S8111" t="s">
        <v>47489</v>
      </c>
      <c r="T8111" t="s">
        <v>49355</v>
      </c>
      <c r="U8111" t="s">
        <v>56292</v>
      </c>
      <c r="V8111" t="s">
        <v>62669</v>
      </c>
      <c r="W8111" t="s">
        <v>42997</v>
      </c>
      <c r="X8111" t="s">
        <v>47313</v>
      </c>
    </row>
    <row r="8112" spans="1:24">
      <c r="A8112">
        <f>HYPERLINK("https://www.philgeps.gov.ph/GEPSNONPILOT/Tender/SplashBidNoticeAbstractUI.aspx?menuIndex=3&amp;refID=7187519&amp;Result=3","7187519")</f>
        <v>0</v>
      </c>
      <c r="B8112" t="s">
        <v>790</v>
      </c>
      <c r="C8112" t="s">
        <v>11493</v>
      </c>
      <c r="D8112" t="s">
        <v>19013</v>
      </c>
      <c r="E8112" t="s">
        <v>26062</v>
      </c>
      <c r="F8112" t="s">
        <v>32606</v>
      </c>
      <c r="G8112" t="s">
        <v>32613</v>
      </c>
      <c r="H8112" t="s">
        <v>14201</v>
      </c>
      <c r="I8112" t="s">
        <v>7064</v>
      </c>
      <c r="J8112" t="s">
        <v>34198</v>
      </c>
      <c r="K8112" t="s">
        <v>42631</v>
      </c>
      <c r="M8112" t="s">
        <v>45715</v>
      </c>
      <c r="N8112" t="s">
        <v>47304</v>
      </c>
      <c r="O8112" t="s">
        <v>47305</v>
      </c>
      <c r="P8112">
        <v>0</v>
      </c>
      <c r="Q8112">
        <v>0</v>
      </c>
      <c r="R8112" t="s">
        <v>47312</v>
      </c>
      <c r="S8112" t="s">
        <v>47489</v>
      </c>
      <c r="T8112" t="s">
        <v>49040</v>
      </c>
      <c r="U8112" t="s">
        <v>56293</v>
      </c>
      <c r="W8112" t="s">
        <v>45715</v>
      </c>
      <c r="X8112" t="s">
        <v>47313</v>
      </c>
    </row>
    <row r="8113" spans="1:24">
      <c r="A8113">
        <f>HYPERLINK("https://www.philgeps.gov.ph/GEPSNONPILOT/Tender/SplashBidNoticeAbstractUI.aspx?menuIndex=3&amp;refID=7187517&amp;Result=3","7187517")</f>
        <v>0</v>
      </c>
      <c r="B8113" t="s">
        <v>2586</v>
      </c>
      <c r="C8113" t="s">
        <v>11494</v>
      </c>
      <c r="D8113" t="s">
        <v>19036</v>
      </c>
      <c r="E8113" t="s">
        <v>26096</v>
      </c>
      <c r="F8113" t="s">
        <v>32606</v>
      </c>
      <c r="G8113" t="s">
        <v>32613</v>
      </c>
      <c r="H8113" t="s">
        <v>14201</v>
      </c>
      <c r="I8113" t="s">
        <v>4114</v>
      </c>
      <c r="J8113" t="s">
        <v>37840</v>
      </c>
      <c r="K8113" t="s">
        <v>42624</v>
      </c>
      <c r="M8113" t="s">
        <v>45727</v>
      </c>
      <c r="N8113" t="s">
        <v>47304</v>
      </c>
      <c r="O8113" t="s">
        <v>47305</v>
      </c>
      <c r="P8113">
        <v>0</v>
      </c>
      <c r="Q8113">
        <v>2</v>
      </c>
      <c r="R8113" t="s">
        <v>47312</v>
      </c>
      <c r="S8113" t="s">
        <v>47489</v>
      </c>
      <c r="T8113" t="s">
        <v>49385</v>
      </c>
      <c r="U8113" t="s">
        <v>56294</v>
      </c>
      <c r="V8113" t="s">
        <v>63455</v>
      </c>
      <c r="W8113" t="s">
        <v>45727</v>
      </c>
      <c r="X8113" t="s">
        <v>47313</v>
      </c>
    </row>
    <row r="8114" spans="1:24">
      <c r="A8114">
        <f>HYPERLINK("https://www.philgeps.gov.ph/GEPSNONPILOT/Tender/SplashBidNoticeAbstractUI.aspx?menuIndex=3&amp;refID=7187515&amp;Result=3","7187515")</f>
        <v>0</v>
      </c>
      <c r="B8114" t="s">
        <v>2587</v>
      </c>
      <c r="C8114" t="s">
        <v>11495</v>
      </c>
      <c r="D8114" t="s">
        <v>18986</v>
      </c>
      <c r="E8114" t="s">
        <v>24209</v>
      </c>
      <c r="F8114" t="s">
        <v>32606</v>
      </c>
      <c r="G8114" t="s">
        <v>32613</v>
      </c>
      <c r="H8114" t="s">
        <v>14201</v>
      </c>
      <c r="I8114" t="s">
        <v>6931</v>
      </c>
      <c r="J8114" t="s">
        <v>37841</v>
      </c>
      <c r="K8114" t="s">
        <v>42631</v>
      </c>
      <c r="M8114" t="s">
        <v>45728</v>
      </c>
      <c r="N8114" t="s">
        <v>47304</v>
      </c>
      <c r="O8114" t="s">
        <v>47305</v>
      </c>
      <c r="P8114">
        <v>0</v>
      </c>
      <c r="Q8114">
        <v>0</v>
      </c>
      <c r="R8114" t="s">
        <v>47312</v>
      </c>
      <c r="S8114" t="s">
        <v>47489</v>
      </c>
      <c r="T8114" t="s">
        <v>48998</v>
      </c>
      <c r="U8114" t="s">
        <v>56295</v>
      </c>
      <c r="W8114" t="s">
        <v>45728</v>
      </c>
      <c r="X8114" t="s">
        <v>47313</v>
      </c>
    </row>
    <row r="8115" spans="1:24">
      <c r="A8115">
        <f>HYPERLINK("https://www.philgeps.gov.ph/GEPSNONPILOT/Tender/SplashBidNoticeAbstractUI.aspx?menuIndex=3&amp;refID=7187545&amp;Result=3","7187545")</f>
        <v>0</v>
      </c>
      <c r="B8115" t="s">
        <v>424</v>
      </c>
      <c r="C8115" t="s">
        <v>11496</v>
      </c>
      <c r="D8115" t="s">
        <v>18992</v>
      </c>
      <c r="E8115" t="s">
        <v>26097</v>
      </c>
      <c r="F8115" t="s">
        <v>32606</v>
      </c>
      <c r="G8115" t="s">
        <v>32613</v>
      </c>
      <c r="H8115" t="s">
        <v>14201</v>
      </c>
      <c r="I8115" t="s">
        <v>4112</v>
      </c>
      <c r="J8115" t="s">
        <v>33360</v>
      </c>
      <c r="K8115" t="s">
        <v>42714</v>
      </c>
      <c r="M8115" t="s">
        <v>43328</v>
      </c>
      <c r="N8115" t="s">
        <v>47304</v>
      </c>
      <c r="O8115" t="s">
        <v>47305</v>
      </c>
      <c r="P8115">
        <v>0</v>
      </c>
      <c r="Q8115">
        <v>0</v>
      </c>
      <c r="R8115" t="s">
        <v>47312</v>
      </c>
      <c r="S8115" t="s">
        <v>47489</v>
      </c>
      <c r="T8115" t="s">
        <v>49072</v>
      </c>
      <c r="U8115" t="s">
        <v>56296</v>
      </c>
      <c r="W8115" t="s">
        <v>43328</v>
      </c>
      <c r="X8115" t="s">
        <v>47313</v>
      </c>
    </row>
    <row r="8116" spans="1:24">
      <c r="A8116">
        <f>HYPERLINK("https://www.philgeps.gov.ph/GEPSNONPILOT/Tender/SplashBidNoticeAbstractUI.aspx?menuIndex=3&amp;refID=7187513&amp;Result=3","7187513")</f>
        <v>0</v>
      </c>
      <c r="B8116" t="s">
        <v>1221</v>
      </c>
      <c r="C8116" t="s">
        <v>11497</v>
      </c>
      <c r="D8116" t="s">
        <v>19063</v>
      </c>
      <c r="E8116" t="s">
        <v>26098</v>
      </c>
      <c r="F8116" t="s">
        <v>32606</v>
      </c>
      <c r="G8116" t="s">
        <v>32613</v>
      </c>
      <c r="H8116" t="s">
        <v>14201</v>
      </c>
      <c r="I8116" t="s">
        <v>7064</v>
      </c>
      <c r="J8116" t="s">
        <v>35138</v>
      </c>
      <c r="K8116" t="s">
        <v>42631</v>
      </c>
      <c r="M8116" t="s">
        <v>44186</v>
      </c>
      <c r="N8116" t="s">
        <v>47304</v>
      </c>
      <c r="O8116" t="s">
        <v>47305</v>
      </c>
      <c r="P8116">
        <v>0</v>
      </c>
      <c r="Q8116">
        <v>4</v>
      </c>
      <c r="R8116" t="s">
        <v>47312</v>
      </c>
      <c r="S8116" t="s">
        <v>47489</v>
      </c>
      <c r="T8116" t="s">
        <v>49086</v>
      </c>
      <c r="U8116" t="s">
        <v>56297</v>
      </c>
      <c r="W8116" t="s">
        <v>44186</v>
      </c>
      <c r="X8116" t="s">
        <v>47313</v>
      </c>
    </row>
    <row r="8117" spans="1:24">
      <c r="A8117">
        <f>HYPERLINK("https://www.philgeps.gov.ph/GEPSNONPILOT/Tender/SplashBidNoticeAbstractUI.aspx?menuIndex=3&amp;refID=7187570&amp;Result=3","7187570")</f>
        <v>0</v>
      </c>
      <c r="B8117" t="s">
        <v>2422</v>
      </c>
      <c r="C8117" t="s">
        <v>11498</v>
      </c>
      <c r="D8117" t="s">
        <v>19063</v>
      </c>
      <c r="E8117" t="s">
        <v>26099</v>
      </c>
      <c r="F8117" t="s">
        <v>32606</v>
      </c>
      <c r="G8117" t="s">
        <v>32614</v>
      </c>
      <c r="H8117" t="s">
        <v>32623</v>
      </c>
      <c r="I8117" t="s">
        <v>17648</v>
      </c>
      <c r="J8117" t="s">
        <v>37842</v>
      </c>
      <c r="K8117" t="s">
        <v>42631</v>
      </c>
      <c r="M8117" t="s">
        <v>45548</v>
      </c>
      <c r="N8117" t="s">
        <v>47304</v>
      </c>
      <c r="O8117" t="s">
        <v>47305</v>
      </c>
      <c r="P8117">
        <v>0</v>
      </c>
      <c r="Q8117">
        <v>3</v>
      </c>
      <c r="R8117" t="s">
        <v>47312</v>
      </c>
      <c r="S8117" t="s">
        <v>47489</v>
      </c>
      <c r="T8117" t="s">
        <v>48998</v>
      </c>
      <c r="U8117" t="s">
        <v>56298</v>
      </c>
      <c r="W8117" t="s">
        <v>45548</v>
      </c>
      <c r="X8117" t="s">
        <v>47313</v>
      </c>
    </row>
    <row r="8118" spans="1:24">
      <c r="A8118">
        <f>HYPERLINK("https://www.philgeps.gov.ph/GEPSNONPILOT/Tender/SplashBidNoticeAbstractUI.aspx?menuIndex=3&amp;refID=7187488&amp;Result=3","7187488")</f>
        <v>0</v>
      </c>
      <c r="B8118" t="s">
        <v>567</v>
      </c>
      <c r="C8118" t="s">
        <v>11499</v>
      </c>
      <c r="E8118" t="s">
        <v>26100</v>
      </c>
      <c r="F8118" t="s">
        <v>32606</v>
      </c>
      <c r="G8118" t="s">
        <v>32619</v>
      </c>
      <c r="H8118" t="s">
        <v>14201</v>
      </c>
      <c r="I8118" t="s">
        <v>4112</v>
      </c>
      <c r="J8118" t="s">
        <v>32967</v>
      </c>
      <c r="K8118" t="s">
        <v>42624</v>
      </c>
      <c r="M8118" t="s">
        <v>43482</v>
      </c>
      <c r="N8118" t="s">
        <v>47304</v>
      </c>
      <c r="O8118" t="s">
        <v>47305</v>
      </c>
      <c r="P8118">
        <v>0</v>
      </c>
      <c r="Q8118">
        <v>0</v>
      </c>
      <c r="R8118" t="s">
        <v>47312</v>
      </c>
      <c r="S8118" t="s">
        <v>47489</v>
      </c>
      <c r="T8118" t="s">
        <v>49269</v>
      </c>
      <c r="U8118" t="s">
        <v>56299</v>
      </c>
      <c r="W8118" t="s">
        <v>43482</v>
      </c>
      <c r="X8118" t="s">
        <v>47313</v>
      </c>
    </row>
    <row r="8119" spans="1:24">
      <c r="A8119">
        <f>HYPERLINK("https://www.philgeps.gov.ph/GEPSNONPILOT/Tender/SplashBidNoticeAbstractUI.aspx?menuIndex=3&amp;refID=7187567&amp;Result=3","7187567")</f>
        <v>0</v>
      </c>
      <c r="B8119" t="s">
        <v>2505</v>
      </c>
      <c r="C8119" t="s">
        <v>11500</v>
      </c>
      <c r="D8119" t="s">
        <v>19007</v>
      </c>
      <c r="E8119" t="s">
        <v>25893</v>
      </c>
      <c r="F8119" t="s">
        <v>32606</v>
      </c>
      <c r="G8119" t="s">
        <v>32613</v>
      </c>
      <c r="H8119" t="s">
        <v>32623</v>
      </c>
      <c r="I8119" t="s">
        <v>17648</v>
      </c>
      <c r="J8119" t="s">
        <v>37843</v>
      </c>
      <c r="K8119" t="s">
        <v>42646</v>
      </c>
      <c r="M8119" t="s">
        <v>45644</v>
      </c>
      <c r="N8119" t="s">
        <v>47304</v>
      </c>
      <c r="O8119" t="s">
        <v>47305</v>
      </c>
      <c r="P8119">
        <v>0</v>
      </c>
      <c r="Q8119">
        <v>1</v>
      </c>
      <c r="R8119" t="s">
        <v>47312</v>
      </c>
      <c r="S8119" t="s">
        <v>47489</v>
      </c>
      <c r="T8119" t="s">
        <v>49077</v>
      </c>
      <c r="U8119" t="s">
        <v>56075</v>
      </c>
      <c r="V8119" t="s">
        <v>63456</v>
      </c>
      <c r="W8119" t="s">
        <v>45644</v>
      </c>
      <c r="X8119" t="s">
        <v>47313</v>
      </c>
    </row>
    <row r="8120" spans="1:24">
      <c r="A8120">
        <f>HYPERLINK("https://www.philgeps.gov.ph/GEPSNONPILOT/Tender/SplashBidNoticeAbstractUI.aspx?menuIndex=3&amp;refID=7187528&amp;Result=3","7187528")</f>
        <v>0</v>
      </c>
      <c r="B8120" t="s">
        <v>2573</v>
      </c>
      <c r="C8120" t="s">
        <v>11501</v>
      </c>
      <c r="D8120" t="s">
        <v>18994</v>
      </c>
      <c r="E8120" t="s">
        <v>26101</v>
      </c>
      <c r="F8120" t="s">
        <v>32606</v>
      </c>
      <c r="G8120" t="s">
        <v>32613</v>
      </c>
      <c r="H8120" t="s">
        <v>14201</v>
      </c>
      <c r="I8120" t="s">
        <v>6931</v>
      </c>
      <c r="J8120" t="s">
        <v>37844</v>
      </c>
      <c r="K8120" t="s">
        <v>42631</v>
      </c>
      <c r="M8120" t="s">
        <v>45713</v>
      </c>
      <c r="N8120" t="s">
        <v>47304</v>
      </c>
      <c r="O8120" t="s">
        <v>47305</v>
      </c>
      <c r="P8120">
        <v>0</v>
      </c>
      <c r="Q8120">
        <v>1</v>
      </c>
      <c r="R8120" t="s">
        <v>47312</v>
      </c>
      <c r="S8120" t="s">
        <v>47489</v>
      </c>
      <c r="T8120" t="s">
        <v>48970</v>
      </c>
      <c r="U8120" t="s">
        <v>56300</v>
      </c>
      <c r="W8120" t="s">
        <v>45713</v>
      </c>
      <c r="X8120" t="s">
        <v>47313</v>
      </c>
    </row>
    <row r="8121" spans="1:24">
      <c r="A8121">
        <f>HYPERLINK("https://www.philgeps.gov.ph/GEPSNONPILOT/Tender/SplashBidNoticeAbstractUI.aspx?menuIndex=3&amp;refID=7187516&amp;Result=3","7187516")</f>
        <v>0</v>
      </c>
      <c r="B8121" t="s">
        <v>2588</v>
      </c>
      <c r="C8121" t="s">
        <v>7741</v>
      </c>
      <c r="D8121" t="s">
        <v>19014</v>
      </c>
      <c r="E8121" t="s">
        <v>20378</v>
      </c>
      <c r="F8121" t="s">
        <v>32606</v>
      </c>
      <c r="G8121" t="s">
        <v>32613</v>
      </c>
      <c r="H8121" t="s">
        <v>14201</v>
      </c>
      <c r="I8121" t="s">
        <v>7064</v>
      </c>
      <c r="J8121" t="s">
        <v>32981</v>
      </c>
      <c r="K8121" t="s">
        <v>42622</v>
      </c>
      <c r="M8121" t="s">
        <v>45729</v>
      </c>
      <c r="N8121" t="s">
        <v>47304</v>
      </c>
      <c r="O8121" t="s">
        <v>47305</v>
      </c>
      <c r="P8121">
        <v>0</v>
      </c>
      <c r="Q8121">
        <v>0</v>
      </c>
      <c r="R8121" t="s">
        <v>47312</v>
      </c>
      <c r="S8121" t="s">
        <v>47489</v>
      </c>
      <c r="T8121" t="s">
        <v>49010</v>
      </c>
      <c r="U8121" t="s">
        <v>56301</v>
      </c>
      <c r="W8121" t="s">
        <v>45729</v>
      </c>
      <c r="X8121" t="s">
        <v>47313</v>
      </c>
    </row>
    <row r="8122" spans="1:24">
      <c r="A8122">
        <f>HYPERLINK("https://www.philgeps.gov.ph/GEPSNONPILOT/Tender/SplashBidNoticeAbstractUI.aspx?menuIndex=3&amp;refID=7187581&amp;Result=3","7187581")</f>
        <v>0</v>
      </c>
      <c r="B8122" t="s">
        <v>2589</v>
      </c>
      <c r="C8122" t="s">
        <v>11502</v>
      </c>
      <c r="D8122" t="s">
        <v>19018</v>
      </c>
      <c r="E8122" t="s">
        <v>26102</v>
      </c>
      <c r="F8122" t="s">
        <v>32606</v>
      </c>
      <c r="G8122" t="s">
        <v>32613</v>
      </c>
      <c r="H8122" t="s">
        <v>32623</v>
      </c>
      <c r="I8122" t="s">
        <v>6931</v>
      </c>
      <c r="J8122" t="s">
        <v>37845</v>
      </c>
      <c r="K8122" t="s">
        <v>42631</v>
      </c>
      <c r="M8122" t="s">
        <v>45730</v>
      </c>
      <c r="N8122" t="s">
        <v>47304</v>
      </c>
      <c r="O8122" t="s">
        <v>47305</v>
      </c>
      <c r="P8122">
        <v>0</v>
      </c>
      <c r="Q8122">
        <v>1</v>
      </c>
      <c r="R8122" t="s">
        <v>47312</v>
      </c>
      <c r="S8122" t="s">
        <v>47489</v>
      </c>
      <c r="T8122" t="s">
        <v>49386</v>
      </c>
      <c r="U8122" t="s">
        <v>56302</v>
      </c>
      <c r="V8122" t="s">
        <v>63457</v>
      </c>
      <c r="W8122" t="s">
        <v>45730</v>
      </c>
      <c r="X8122" t="s">
        <v>47313</v>
      </c>
    </row>
    <row r="8123" spans="1:24">
      <c r="A8123">
        <f>HYPERLINK("https://www.philgeps.gov.ph/GEPSNONPILOT/Tender/SplashBidNoticeAbstractUI.aspx?menuIndex=3&amp;refID=7187544&amp;Result=3","7187544")</f>
        <v>0</v>
      </c>
      <c r="B8123" t="s">
        <v>2584</v>
      </c>
      <c r="C8123" t="s">
        <v>4929</v>
      </c>
      <c r="D8123" t="s">
        <v>18997</v>
      </c>
      <c r="E8123" t="s">
        <v>26103</v>
      </c>
      <c r="F8123" t="s">
        <v>32606</v>
      </c>
      <c r="G8123" t="s">
        <v>32614</v>
      </c>
      <c r="H8123" t="s">
        <v>14201</v>
      </c>
      <c r="I8123" t="s">
        <v>7577</v>
      </c>
      <c r="J8123" t="s">
        <v>37846</v>
      </c>
      <c r="K8123" t="s">
        <v>42631</v>
      </c>
      <c r="M8123" t="s">
        <v>45725</v>
      </c>
      <c r="N8123" t="s">
        <v>47304</v>
      </c>
      <c r="O8123" t="s">
        <v>47305</v>
      </c>
      <c r="P8123">
        <v>0</v>
      </c>
      <c r="Q8123">
        <v>1</v>
      </c>
      <c r="R8123" t="s">
        <v>47312</v>
      </c>
      <c r="S8123" t="s">
        <v>47489</v>
      </c>
      <c r="T8123" t="s">
        <v>49384</v>
      </c>
      <c r="U8123" t="s">
        <v>56285</v>
      </c>
      <c r="W8123" t="s">
        <v>45725</v>
      </c>
      <c r="X8123" t="s">
        <v>47313</v>
      </c>
    </row>
    <row r="8124" spans="1:24">
      <c r="A8124">
        <f>HYPERLINK("https://www.philgeps.gov.ph/GEPSNONPILOT/Tender/SplashBidNoticeAbstractUI.aspx?menuIndex=3&amp;refID=7187568&amp;Result=3","7187568")</f>
        <v>0</v>
      </c>
      <c r="B8124" t="s">
        <v>2013</v>
      </c>
      <c r="C8124" t="s">
        <v>11503</v>
      </c>
      <c r="D8124" t="s">
        <v>18993</v>
      </c>
      <c r="E8124" t="s">
        <v>20418</v>
      </c>
      <c r="F8124" t="s">
        <v>32606</v>
      </c>
      <c r="G8124" t="s">
        <v>32614</v>
      </c>
      <c r="H8124" t="s">
        <v>14201</v>
      </c>
      <c r="I8124" t="s">
        <v>6931</v>
      </c>
      <c r="J8124" t="s">
        <v>37847</v>
      </c>
      <c r="K8124" t="s">
        <v>42623</v>
      </c>
      <c r="M8124" t="s">
        <v>45085</v>
      </c>
      <c r="N8124" t="s">
        <v>47304</v>
      </c>
      <c r="O8124" t="s">
        <v>47305</v>
      </c>
      <c r="P8124">
        <v>0</v>
      </c>
      <c r="Q8124">
        <v>2</v>
      </c>
      <c r="R8124" t="s">
        <v>47312</v>
      </c>
      <c r="S8124" t="s">
        <v>47489</v>
      </c>
      <c r="T8124" t="s">
        <v>49268</v>
      </c>
      <c r="U8124" t="s">
        <v>56303</v>
      </c>
      <c r="W8124" t="s">
        <v>64490</v>
      </c>
      <c r="X8124" t="s">
        <v>47313</v>
      </c>
    </row>
    <row r="8125" spans="1:24">
      <c r="A8125">
        <f>HYPERLINK("https://www.philgeps.gov.ph/GEPSNONPILOT/Tender/SplashBidNoticeAbstractUI.aspx?menuIndex=3&amp;refID=7187574&amp;Result=3","7187574")</f>
        <v>0</v>
      </c>
      <c r="B8125" t="s">
        <v>2590</v>
      </c>
      <c r="C8125" t="s">
        <v>11504</v>
      </c>
      <c r="D8125" t="s">
        <v>19001</v>
      </c>
      <c r="E8125" t="s">
        <v>26104</v>
      </c>
      <c r="F8125" t="s">
        <v>32606</v>
      </c>
      <c r="G8125" t="s">
        <v>32613</v>
      </c>
      <c r="H8125" t="s">
        <v>32623</v>
      </c>
      <c r="I8125" t="s">
        <v>17648</v>
      </c>
      <c r="J8125" t="s">
        <v>37848</v>
      </c>
      <c r="K8125" t="s">
        <v>42624</v>
      </c>
      <c r="M8125" t="s">
        <v>45731</v>
      </c>
      <c r="N8125" t="s">
        <v>47304</v>
      </c>
      <c r="O8125" t="s">
        <v>47305</v>
      </c>
      <c r="P8125">
        <v>0</v>
      </c>
      <c r="Q8125">
        <v>0</v>
      </c>
      <c r="R8125" t="s">
        <v>47312</v>
      </c>
      <c r="S8125" t="s">
        <v>47489</v>
      </c>
      <c r="T8125" t="s">
        <v>49002</v>
      </c>
      <c r="U8125" t="s">
        <v>56304</v>
      </c>
      <c r="W8125" t="s">
        <v>45731</v>
      </c>
      <c r="X8125" t="s">
        <v>47313</v>
      </c>
    </row>
    <row r="8126" spans="1:24">
      <c r="A8126">
        <f>HYPERLINK("https://www.philgeps.gov.ph/GEPSNONPILOT/Tender/SplashBidNoticeAbstractUI.aspx?menuIndex=3&amp;refID=7187573&amp;Result=3","7187573")</f>
        <v>0</v>
      </c>
      <c r="B8126" t="s">
        <v>1629</v>
      </c>
      <c r="C8126" t="s">
        <v>11505</v>
      </c>
      <c r="D8126" t="s">
        <v>18992</v>
      </c>
      <c r="E8126" t="s">
        <v>26105</v>
      </c>
      <c r="F8126" t="s">
        <v>32606</v>
      </c>
      <c r="G8126" t="s">
        <v>32613</v>
      </c>
      <c r="H8126" t="s">
        <v>32623</v>
      </c>
      <c r="I8126" t="s">
        <v>17648</v>
      </c>
      <c r="J8126" t="s">
        <v>32821</v>
      </c>
      <c r="K8126" t="s">
        <v>42646</v>
      </c>
      <c r="M8126" t="s">
        <v>44649</v>
      </c>
      <c r="N8126" t="s">
        <v>47304</v>
      </c>
      <c r="O8126" t="s">
        <v>47305</v>
      </c>
      <c r="P8126">
        <v>0</v>
      </c>
      <c r="Q8126">
        <v>0</v>
      </c>
      <c r="R8126" t="s">
        <v>47312</v>
      </c>
      <c r="S8126" t="s">
        <v>47489</v>
      </c>
      <c r="T8126" t="s">
        <v>48995</v>
      </c>
      <c r="U8126" t="s">
        <v>56305</v>
      </c>
      <c r="W8126" t="s">
        <v>44649</v>
      </c>
      <c r="X8126" t="s">
        <v>47313</v>
      </c>
    </row>
    <row r="8127" spans="1:24">
      <c r="A8127">
        <f>HYPERLINK("https://www.philgeps.gov.ph/GEPSNONPILOT/Tender/SplashBidNoticeAbstractUI.aspx?menuIndex=3&amp;refID=7187571&amp;Result=3","7187571")</f>
        <v>0</v>
      </c>
      <c r="B8127" t="s">
        <v>2559</v>
      </c>
      <c r="C8127" t="s">
        <v>11506</v>
      </c>
      <c r="D8127" t="s">
        <v>19039</v>
      </c>
      <c r="E8127" t="s">
        <v>20454</v>
      </c>
      <c r="F8127" t="s">
        <v>32606</v>
      </c>
      <c r="G8127" t="s">
        <v>32613</v>
      </c>
      <c r="H8127" t="s">
        <v>14201</v>
      </c>
      <c r="I8127" t="s">
        <v>6931</v>
      </c>
      <c r="J8127" t="s">
        <v>32813</v>
      </c>
      <c r="K8127" t="s">
        <v>42631</v>
      </c>
      <c r="M8127" t="s">
        <v>45699</v>
      </c>
      <c r="N8127" t="s">
        <v>47304</v>
      </c>
      <c r="O8127" t="s">
        <v>47305</v>
      </c>
      <c r="P8127">
        <v>0</v>
      </c>
      <c r="Q8127">
        <v>0</v>
      </c>
      <c r="R8127" t="s">
        <v>47312</v>
      </c>
      <c r="S8127" t="s">
        <v>47489</v>
      </c>
      <c r="T8127" t="s">
        <v>49320</v>
      </c>
      <c r="U8127" t="s">
        <v>56210</v>
      </c>
      <c r="V8127" t="s">
        <v>63438</v>
      </c>
      <c r="W8127" t="s">
        <v>45699</v>
      </c>
      <c r="X8127" t="s">
        <v>47313</v>
      </c>
    </row>
    <row r="8128" spans="1:24">
      <c r="A8128">
        <f>HYPERLINK("https://www.philgeps.gov.ph/GEPSNONPILOT/Tender/SplashBidNoticeAbstractUI.aspx?menuIndex=3&amp;refID=7187472&amp;Result=3","7187472")</f>
        <v>0</v>
      </c>
      <c r="B8128" t="s">
        <v>2505</v>
      </c>
      <c r="C8128" t="s">
        <v>11507</v>
      </c>
      <c r="D8128" t="s">
        <v>19007</v>
      </c>
      <c r="E8128" t="s">
        <v>25893</v>
      </c>
      <c r="F8128" t="s">
        <v>32606</v>
      </c>
      <c r="G8128" t="s">
        <v>32613</v>
      </c>
      <c r="H8128" t="s">
        <v>32623</v>
      </c>
      <c r="I8128" t="s">
        <v>17648</v>
      </c>
      <c r="J8128" t="s">
        <v>37694</v>
      </c>
      <c r="K8128" t="s">
        <v>42648</v>
      </c>
      <c r="M8128" t="s">
        <v>45644</v>
      </c>
      <c r="N8128" t="s">
        <v>47304</v>
      </c>
      <c r="O8128" t="s">
        <v>47305</v>
      </c>
      <c r="P8128">
        <v>0</v>
      </c>
      <c r="Q8128">
        <v>1</v>
      </c>
      <c r="R8128" t="s">
        <v>47312</v>
      </c>
      <c r="S8128" t="s">
        <v>47489</v>
      </c>
      <c r="T8128" t="s">
        <v>49077</v>
      </c>
      <c r="U8128" t="s">
        <v>56075</v>
      </c>
      <c r="V8128" t="s">
        <v>63458</v>
      </c>
      <c r="W8128" t="s">
        <v>45644</v>
      </c>
      <c r="X8128" t="s">
        <v>47313</v>
      </c>
    </row>
    <row r="8129" spans="1:24">
      <c r="A8129">
        <f>HYPERLINK("https://www.philgeps.gov.ph/GEPSNONPILOT/Tender/SplashBidNoticeAbstractUI.aspx?menuIndex=3&amp;refID=7187566&amp;Result=3","7187566")</f>
        <v>0</v>
      </c>
      <c r="B8129" t="s">
        <v>2317</v>
      </c>
      <c r="C8129" t="s">
        <v>11508</v>
      </c>
      <c r="D8129" t="s">
        <v>19043</v>
      </c>
      <c r="E8129" t="s">
        <v>26106</v>
      </c>
      <c r="F8129" t="s">
        <v>32606</v>
      </c>
      <c r="G8129" t="s">
        <v>32613</v>
      </c>
      <c r="H8129" t="s">
        <v>14201</v>
      </c>
      <c r="I8129" t="s">
        <v>7064</v>
      </c>
      <c r="J8129" t="s">
        <v>33332</v>
      </c>
      <c r="K8129" t="s">
        <v>42624</v>
      </c>
      <c r="M8129" t="s">
        <v>45425</v>
      </c>
      <c r="N8129" t="s">
        <v>47304</v>
      </c>
      <c r="O8129" t="s">
        <v>47305</v>
      </c>
      <c r="P8129">
        <v>0</v>
      </c>
      <c r="Q8129">
        <v>3</v>
      </c>
      <c r="R8129" t="s">
        <v>47312</v>
      </c>
      <c r="S8129" t="s">
        <v>47489</v>
      </c>
      <c r="T8129" t="s">
        <v>49055</v>
      </c>
      <c r="U8129" t="s">
        <v>56306</v>
      </c>
      <c r="W8129" t="s">
        <v>45425</v>
      </c>
      <c r="X8129" t="s">
        <v>47313</v>
      </c>
    </row>
    <row r="8130" spans="1:24">
      <c r="A8130">
        <f>HYPERLINK("https://www.philgeps.gov.ph/GEPSNONPILOT/Tender/SplashBidNoticeAbstractUI.aspx?menuIndex=3&amp;refID=7187565&amp;Result=3","7187565")</f>
        <v>0</v>
      </c>
      <c r="B8130" t="s">
        <v>745</v>
      </c>
      <c r="C8130" t="s">
        <v>11509</v>
      </c>
      <c r="D8130" t="s">
        <v>19043</v>
      </c>
      <c r="E8130" t="s">
        <v>26107</v>
      </c>
      <c r="F8130" t="s">
        <v>32606</v>
      </c>
      <c r="G8130" t="s">
        <v>32613</v>
      </c>
      <c r="H8130" t="s">
        <v>14201</v>
      </c>
      <c r="I8130" t="s">
        <v>4678</v>
      </c>
      <c r="J8130" t="s">
        <v>32913</v>
      </c>
      <c r="K8130" t="s">
        <v>42622</v>
      </c>
      <c r="M8130" t="s">
        <v>43668</v>
      </c>
      <c r="N8130" t="s">
        <v>47304</v>
      </c>
      <c r="O8130" t="s">
        <v>47305</v>
      </c>
      <c r="P8130">
        <v>0</v>
      </c>
      <c r="Q8130">
        <v>0</v>
      </c>
      <c r="R8130" t="s">
        <v>47312</v>
      </c>
      <c r="S8130" t="s">
        <v>47489</v>
      </c>
      <c r="T8130" t="s">
        <v>49160</v>
      </c>
      <c r="U8130" t="s">
        <v>56307</v>
      </c>
      <c r="W8130" t="s">
        <v>43668</v>
      </c>
      <c r="X8130" t="s">
        <v>47313</v>
      </c>
    </row>
    <row r="8131" spans="1:24">
      <c r="A8131">
        <f>HYPERLINK("https://www.philgeps.gov.ph/GEPSNONPILOT/Tender/SplashBidNoticeAbstractUI.aspx?menuIndex=3&amp;refID=7187559&amp;Result=3","7187559")</f>
        <v>0</v>
      </c>
      <c r="B8131" t="s">
        <v>2574</v>
      </c>
      <c r="C8131" t="s">
        <v>11510</v>
      </c>
      <c r="D8131" t="s">
        <v>19017</v>
      </c>
      <c r="E8131" t="s">
        <v>26108</v>
      </c>
      <c r="F8131" t="s">
        <v>32606</v>
      </c>
      <c r="G8131" t="s">
        <v>32619</v>
      </c>
      <c r="H8131" t="s">
        <v>14201</v>
      </c>
      <c r="I8131" t="s">
        <v>32660</v>
      </c>
      <c r="J8131" t="s">
        <v>33148</v>
      </c>
      <c r="K8131" t="s">
        <v>42625</v>
      </c>
      <c r="M8131" t="s">
        <v>45714</v>
      </c>
      <c r="N8131" t="s">
        <v>47304</v>
      </c>
      <c r="O8131" t="s">
        <v>47305</v>
      </c>
      <c r="P8131">
        <v>0</v>
      </c>
      <c r="Q8131">
        <v>0</v>
      </c>
      <c r="R8131" t="s">
        <v>47312</v>
      </c>
      <c r="S8131" t="s">
        <v>47489</v>
      </c>
      <c r="T8131" t="s">
        <v>49071</v>
      </c>
      <c r="U8131" t="s">
        <v>56308</v>
      </c>
      <c r="V8131" t="s">
        <v>63459</v>
      </c>
      <c r="W8131" t="s">
        <v>45714</v>
      </c>
      <c r="X8131" t="s">
        <v>47313</v>
      </c>
    </row>
    <row r="8132" spans="1:24">
      <c r="A8132">
        <f>HYPERLINK("https://www.philgeps.gov.ph/GEPSNONPILOT/Tender/SplashBidNoticeAbstractUI.aspx?menuIndex=3&amp;refID=7187550&amp;Result=3","7187550")</f>
        <v>0</v>
      </c>
      <c r="B8132" t="s">
        <v>567</v>
      </c>
      <c r="C8132" t="s">
        <v>11511</v>
      </c>
      <c r="E8132" t="s">
        <v>26109</v>
      </c>
      <c r="F8132" t="s">
        <v>32606</v>
      </c>
      <c r="G8132" t="s">
        <v>32619</v>
      </c>
      <c r="H8132" t="s">
        <v>14201</v>
      </c>
      <c r="I8132" t="s">
        <v>32638</v>
      </c>
      <c r="J8132" t="s">
        <v>37849</v>
      </c>
      <c r="K8132" t="s">
        <v>42624</v>
      </c>
      <c r="M8132" t="s">
        <v>43482</v>
      </c>
      <c r="N8132" t="s">
        <v>47304</v>
      </c>
      <c r="O8132" t="s">
        <v>47305</v>
      </c>
      <c r="P8132">
        <v>0</v>
      </c>
      <c r="Q8132">
        <v>5</v>
      </c>
      <c r="R8132" t="s">
        <v>47312</v>
      </c>
      <c r="S8132" t="s">
        <v>47489</v>
      </c>
      <c r="T8132" t="s">
        <v>49269</v>
      </c>
      <c r="U8132" t="s">
        <v>56309</v>
      </c>
      <c r="W8132" t="s">
        <v>43482</v>
      </c>
      <c r="X8132" t="s">
        <v>47313</v>
      </c>
    </row>
    <row r="8133" spans="1:24">
      <c r="A8133">
        <f>HYPERLINK("https://www.philgeps.gov.ph/GEPSNONPILOT/Tender/SplashBidNoticeAbstractUI.aspx?menuIndex=3&amp;refID=7187578&amp;Result=3","7187578")</f>
        <v>0</v>
      </c>
      <c r="B8133" t="s">
        <v>2284</v>
      </c>
      <c r="C8133" t="s">
        <v>11512</v>
      </c>
      <c r="D8133" t="s">
        <v>19011</v>
      </c>
      <c r="E8133" t="s">
        <v>26110</v>
      </c>
      <c r="F8133" t="s">
        <v>32606</v>
      </c>
      <c r="G8133" t="s">
        <v>32613</v>
      </c>
      <c r="H8133" t="s">
        <v>14201</v>
      </c>
      <c r="I8133" t="s">
        <v>7064</v>
      </c>
      <c r="J8133" t="s">
        <v>32752</v>
      </c>
      <c r="K8133" t="s">
        <v>42631</v>
      </c>
      <c r="M8133" t="s">
        <v>45389</v>
      </c>
      <c r="N8133" t="s">
        <v>47304</v>
      </c>
      <c r="O8133" t="s">
        <v>47305</v>
      </c>
      <c r="P8133">
        <v>0</v>
      </c>
      <c r="Q8133">
        <v>0</v>
      </c>
      <c r="R8133" t="s">
        <v>47312</v>
      </c>
      <c r="S8133" t="s">
        <v>47489</v>
      </c>
      <c r="T8133" t="s">
        <v>48998</v>
      </c>
      <c r="U8133" t="s">
        <v>56310</v>
      </c>
      <c r="W8133" t="s">
        <v>45389</v>
      </c>
      <c r="X8133" t="s">
        <v>47313</v>
      </c>
    </row>
    <row r="8134" spans="1:24">
      <c r="A8134">
        <f>HYPERLINK("https://www.philgeps.gov.ph/GEPSNONPILOT/Tender/SplashBidNoticeAbstractUI.aspx?menuIndex=3&amp;refID=7187558&amp;Result=3","7187558")</f>
        <v>0</v>
      </c>
      <c r="B8134" t="s">
        <v>538</v>
      </c>
      <c r="C8134" t="s">
        <v>11513</v>
      </c>
      <c r="D8134" t="s">
        <v>19046</v>
      </c>
      <c r="E8134" t="s">
        <v>26111</v>
      </c>
      <c r="F8134" t="s">
        <v>32606</v>
      </c>
      <c r="G8134" t="s">
        <v>32613</v>
      </c>
      <c r="H8134" t="s">
        <v>14201</v>
      </c>
      <c r="I8134" t="s">
        <v>6298</v>
      </c>
      <c r="J8134" t="s">
        <v>37850</v>
      </c>
      <c r="K8134" t="s">
        <v>42624</v>
      </c>
      <c r="M8134" t="s">
        <v>43451</v>
      </c>
      <c r="N8134" t="s">
        <v>47304</v>
      </c>
      <c r="O8134" t="s">
        <v>47305</v>
      </c>
      <c r="P8134">
        <v>0</v>
      </c>
      <c r="Q8134">
        <v>0</v>
      </c>
      <c r="R8134" t="s">
        <v>47312</v>
      </c>
      <c r="S8134" t="s">
        <v>47489</v>
      </c>
      <c r="T8134" t="s">
        <v>49050</v>
      </c>
      <c r="U8134" t="s">
        <v>50512</v>
      </c>
      <c r="V8134" t="s">
        <v>62641</v>
      </c>
      <c r="W8134" t="s">
        <v>43451</v>
      </c>
      <c r="X8134" t="s">
        <v>47313</v>
      </c>
    </row>
    <row r="8135" spans="1:24">
      <c r="A8135">
        <f>HYPERLINK("https://www.philgeps.gov.ph/GEPSNONPILOT/Tender/SplashBidNoticeAbstractUI.aspx?menuIndex=3&amp;refID=7187551&amp;Result=3","7187551")</f>
        <v>0</v>
      </c>
      <c r="B8135" t="s">
        <v>1677</v>
      </c>
      <c r="C8135" t="s">
        <v>11514</v>
      </c>
      <c r="D8135" t="s">
        <v>19027</v>
      </c>
      <c r="E8135" t="s">
        <v>20714</v>
      </c>
      <c r="F8135" t="s">
        <v>32606</v>
      </c>
      <c r="G8135" t="s">
        <v>32619</v>
      </c>
      <c r="H8135" t="s">
        <v>14201</v>
      </c>
      <c r="I8135" t="s">
        <v>6993</v>
      </c>
      <c r="J8135" t="s">
        <v>32776</v>
      </c>
      <c r="K8135" t="s">
        <v>42631</v>
      </c>
      <c r="M8135" t="s">
        <v>44705</v>
      </c>
      <c r="N8135" t="s">
        <v>47304</v>
      </c>
      <c r="O8135" t="s">
        <v>47305</v>
      </c>
      <c r="P8135">
        <v>0</v>
      </c>
      <c r="Q8135">
        <v>1</v>
      </c>
      <c r="R8135" t="s">
        <v>47312</v>
      </c>
      <c r="S8135" t="s">
        <v>47489</v>
      </c>
      <c r="T8135" t="s">
        <v>49064</v>
      </c>
      <c r="U8135" t="s">
        <v>56311</v>
      </c>
      <c r="W8135" t="s">
        <v>44705</v>
      </c>
      <c r="X8135" t="s">
        <v>47313</v>
      </c>
    </row>
    <row r="8136" spans="1:24">
      <c r="A8136">
        <f>HYPERLINK("https://www.philgeps.gov.ph/GEPSNONPILOT/Tender/SplashBidNoticeAbstractUI.aspx?menuIndex=3&amp;refID=7187582&amp;Result=3","7187582")</f>
        <v>0</v>
      </c>
      <c r="B8136" t="s">
        <v>343</v>
      </c>
      <c r="C8136" t="s">
        <v>11515</v>
      </c>
      <c r="D8136" t="s">
        <v>18993</v>
      </c>
      <c r="E8136" t="s">
        <v>26112</v>
      </c>
      <c r="F8136" t="s">
        <v>32606</v>
      </c>
      <c r="G8136" t="s">
        <v>32614</v>
      </c>
      <c r="H8136" t="s">
        <v>14201</v>
      </c>
      <c r="I8136" t="s">
        <v>6298</v>
      </c>
      <c r="J8136" t="s">
        <v>37851</v>
      </c>
      <c r="K8136" t="s">
        <v>42624</v>
      </c>
      <c r="M8136" t="s">
        <v>45732</v>
      </c>
      <c r="N8136" t="s">
        <v>47304</v>
      </c>
      <c r="O8136" t="s">
        <v>47305</v>
      </c>
      <c r="P8136">
        <v>0</v>
      </c>
      <c r="Q8136">
        <v>0</v>
      </c>
      <c r="R8136" t="s">
        <v>47312</v>
      </c>
      <c r="S8136" t="s">
        <v>47489</v>
      </c>
      <c r="T8136" t="s">
        <v>49053</v>
      </c>
      <c r="U8136" t="s">
        <v>56312</v>
      </c>
      <c r="W8136" t="s">
        <v>45732</v>
      </c>
      <c r="X8136" t="s">
        <v>47313</v>
      </c>
    </row>
    <row r="8137" spans="1:24">
      <c r="A8137">
        <f>HYPERLINK("https://www.philgeps.gov.ph/GEPSNONPILOT/Tender/SplashBidNoticeAbstractUI.aspx?menuIndex=3&amp;refID=7187561&amp;Result=3","7187561")</f>
        <v>0</v>
      </c>
      <c r="B8137" t="s">
        <v>2576</v>
      </c>
      <c r="C8137" t="s">
        <v>11516</v>
      </c>
      <c r="D8137" t="s">
        <v>19005</v>
      </c>
      <c r="E8137" t="s">
        <v>26113</v>
      </c>
      <c r="F8137" t="s">
        <v>32606</v>
      </c>
      <c r="G8137" t="s">
        <v>32614</v>
      </c>
      <c r="H8137" t="s">
        <v>14201</v>
      </c>
      <c r="I8137" t="s">
        <v>6931</v>
      </c>
      <c r="J8137" t="s">
        <v>37852</v>
      </c>
      <c r="K8137" t="s">
        <v>42623</v>
      </c>
      <c r="M8137" t="s">
        <v>45717</v>
      </c>
      <c r="N8137" t="s">
        <v>47304</v>
      </c>
      <c r="O8137" t="s">
        <v>47305</v>
      </c>
      <c r="P8137">
        <v>0</v>
      </c>
      <c r="Q8137">
        <v>4</v>
      </c>
      <c r="R8137" t="s">
        <v>47312</v>
      </c>
      <c r="S8137" t="s">
        <v>47489</v>
      </c>
      <c r="T8137" t="s">
        <v>49268</v>
      </c>
      <c r="U8137" t="s">
        <v>56259</v>
      </c>
      <c r="W8137" t="s">
        <v>45717</v>
      </c>
      <c r="X8137" t="s">
        <v>47313</v>
      </c>
    </row>
    <row r="8138" spans="1:24">
      <c r="A8138">
        <f>HYPERLINK("https://www.philgeps.gov.ph/GEPSNONPILOT/Tender/SplashBidNoticeAbstractUI.aspx?menuIndex=3&amp;refID=7187580&amp;Result=3","7187580")</f>
        <v>0</v>
      </c>
      <c r="B8138" t="s">
        <v>280</v>
      </c>
      <c r="C8138" t="s">
        <v>11517</v>
      </c>
      <c r="D8138" t="s">
        <v>19028</v>
      </c>
      <c r="E8138" t="s">
        <v>11517</v>
      </c>
      <c r="F8138" t="s">
        <v>32606</v>
      </c>
      <c r="G8138" t="s">
        <v>32614</v>
      </c>
      <c r="H8138" t="s">
        <v>14201</v>
      </c>
      <c r="I8138" t="s">
        <v>6298</v>
      </c>
      <c r="J8138" t="s">
        <v>37853</v>
      </c>
      <c r="K8138" t="s">
        <v>42631</v>
      </c>
      <c r="M8138" t="s">
        <v>43712</v>
      </c>
      <c r="N8138" t="s">
        <v>47304</v>
      </c>
      <c r="O8138" t="s">
        <v>47305</v>
      </c>
      <c r="P8138">
        <v>0</v>
      </c>
      <c r="Q8138">
        <v>0</v>
      </c>
      <c r="R8138" t="s">
        <v>47312</v>
      </c>
      <c r="S8138" t="s">
        <v>47489</v>
      </c>
      <c r="T8138" t="s">
        <v>49053</v>
      </c>
      <c r="U8138" t="s">
        <v>56313</v>
      </c>
      <c r="W8138" t="s">
        <v>43712</v>
      </c>
      <c r="X8138" t="s">
        <v>47313</v>
      </c>
    </row>
    <row r="8139" spans="1:24">
      <c r="A8139">
        <f>HYPERLINK("https://www.philgeps.gov.ph/GEPSNONPILOT/Tender/SplashBidNoticeAbstractUI.aspx?menuIndex=3&amp;refID=7187555&amp;Result=3","7187555")</f>
        <v>0</v>
      </c>
      <c r="B8139" t="s">
        <v>1402</v>
      </c>
      <c r="C8139" t="s">
        <v>11518</v>
      </c>
      <c r="D8139" t="s">
        <v>18992</v>
      </c>
      <c r="E8139" t="s">
        <v>26114</v>
      </c>
      <c r="F8139" t="s">
        <v>32609</v>
      </c>
      <c r="G8139" t="s">
        <v>32619</v>
      </c>
      <c r="H8139" t="s">
        <v>32623</v>
      </c>
      <c r="I8139" t="s">
        <v>17648</v>
      </c>
      <c r="J8139" t="s">
        <v>37854</v>
      </c>
      <c r="K8139" t="s">
        <v>42810</v>
      </c>
      <c r="M8139" t="s">
        <v>45733</v>
      </c>
      <c r="N8139" t="s">
        <v>47304</v>
      </c>
      <c r="O8139" t="s">
        <v>47305</v>
      </c>
      <c r="P8139">
        <v>0</v>
      </c>
      <c r="Q8139">
        <v>1</v>
      </c>
      <c r="R8139" t="s">
        <v>47312</v>
      </c>
      <c r="S8139" t="s">
        <v>47489</v>
      </c>
      <c r="T8139" t="s">
        <v>49107</v>
      </c>
      <c r="U8139" t="s">
        <v>56314</v>
      </c>
      <c r="W8139" t="s">
        <v>45733</v>
      </c>
      <c r="X8139" t="s">
        <v>47313</v>
      </c>
    </row>
    <row r="8140" spans="1:24">
      <c r="A8140">
        <f>HYPERLINK("https://www.philgeps.gov.ph/GEPSNONPILOT/Tender/SplashBidNoticeAbstractUI.aspx?menuIndex=3&amp;refID=7187552&amp;Result=3","7187552")</f>
        <v>0</v>
      </c>
      <c r="B8140" t="s">
        <v>2591</v>
      </c>
      <c r="C8140" t="s">
        <v>11519</v>
      </c>
      <c r="D8140" t="s">
        <v>19029</v>
      </c>
      <c r="E8140" t="s">
        <v>26115</v>
      </c>
      <c r="F8140" t="s">
        <v>32606</v>
      </c>
      <c r="G8140" t="s">
        <v>32613</v>
      </c>
      <c r="H8140" t="s">
        <v>14201</v>
      </c>
      <c r="I8140" t="s">
        <v>32629</v>
      </c>
      <c r="J8140" t="s">
        <v>37855</v>
      </c>
      <c r="K8140" t="s">
        <v>42688</v>
      </c>
      <c r="M8140" t="s">
        <v>45734</v>
      </c>
      <c r="N8140" t="s">
        <v>47304</v>
      </c>
      <c r="O8140" t="s">
        <v>47305</v>
      </c>
      <c r="P8140">
        <v>0</v>
      </c>
      <c r="Q8140">
        <v>0</v>
      </c>
      <c r="R8140" t="s">
        <v>47312</v>
      </c>
      <c r="S8140" t="s">
        <v>47489</v>
      </c>
      <c r="T8140" t="s">
        <v>48988</v>
      </c>
      <c r="U8140" t="s">
        <v>56315</v>
      </c>
      <c r="W8140" t="s">
        <v>45734</v>
      </c>
      <c r="X8140" t="s">
        <v>47313</v>
      </c>
    </row>
    <row r="8141" spans="1:24">
      <c r="A8141">
        <f>HYPERLINK("https://www.philgeps.gov.ph/GEPSNONPILOT/Tender/SplashBidNoticeAbstractUI.aspx?menuIndex=3&amp;refID=7187562&amp;Result=3","7187562")</f>
        <v>0</v>
      </c>
      <c r="B8141" t="s">
        <v>1687</v>
      </c>
      <c r="C8141" t="s">
        <v>11520</v>
      </c>
      <c r="D8141" t="s">
        <v>19008</v>
      </c>
      <c r="E8141" t="s">
        <v>26116</v>
      </c>
      <c r="F8141" t="s">
        <v>32606</v>
      </c>
      <c r="G8141" t="s">
        <v>32613</v>
      </c>
      <c r="H8141" t="s">
        <v>14201</v>
      </c>
      <c r="I8141" t="s">
        <v>6993</v>
      </c>
      <c r="J8141" t="s">
        <v>37856</v>
      </c>
      <c r="K8141" t="s">
        <v>42623</v>
      </c>
      <c r="M8141" t="s">
        <v>44872</v>
      </c>
      <c r="N8141" t="s">
        <v>47304</v>
      </c>
      <c r="O8141" t="s">
        <v>47305</v>
      </c>
      <c r="P8141">
        <v>0</v>
      </c>
      <c r="Q8141">
        <v>0</v>
      </c>
      <c r="R8141" t="s">
        <v>47312</v>
      </c>
      <c r="S8141" t="s">
        <v>47489</v>
      </c>
      <c r="T8141" t="s">
        <v>49272</v>
      </c>
      <c r="U8141" t="s">
        <v>56316</v>
      </c>
      <c r="W8141" t="s">
        <v>44872</v>
      </c>
      <c r="X8141" t="s">
        <v>47313</v>
      </c>
    </row>
    <row r="8142" spans="1:24">
      <c r="A8142">
        <f>HYPERLINK("https://www.philgeps.gov.ph/GEPSNONPILOT/Tender/SplashBidNoticeAbstractUI.aspx?menuIndex=3&amp;refID=7187604&amp;Result=3","7187604")</f>
        <v>0</v>
      </c>
      <c r="B8142" t="s">
        <v>2559</v>
      </c>
      <c r="C8142" t="s">
        <v>11521</v>
      </c>
      <c r="D8142" t="s">
        <v>19076</v>
      </c>
      <c r="E8142" t="s">
        <v>20537</v>
      </c>
      <c r="F8142" t="s">
        <v>32606</v>
      </c>
      <c r="G8142" t="s">
        <v>32613</v>
      </c>
      <c r="H8142" t="s">
        <v>14201</v>
      </c>
      <c r="I8142" t="s">
        <v>6931</v>
      </c>
      <c r="J8142" t="s">
        <v>32981</v>
      </c>
      <c r="K8142" t="s">
        <v>42631</v>
      </c>
      <c r="M8142" t="s">
        <v>45699</v>
      </c>
      <c r="N8142" t="s">
        <v>47304</v>
      </c>
      <c r="O8142" t="s">
        <v>47305</v>
      </c>
      <c r="P8142">
        <v>0</v>
      </c>
      <c r="Q8142">
        <v>0</v>
      </c>
      <c r="R8142" t="s">
        <v>47312</v>
      </c>
      <c r="S8142" t="s">
        <v>47489</v>
      </c>
      <c r="T8142" t="s">
        <v>49320</v>
      </c>
      <c r="U8142" t="s">
        <v>56210</v>
      </c>
      <c r="V8142" t="s">
        <v>63438</v>
      </c>
      <c r="W8142" t="s">
        <v>45699</v>
      </c>
      <c r="X8142" t="s">
        <v>47313</v>
      </c>
    </row>
    <row r="8143" spans="1:24">
      <c r="A8143">
        <f>HYPERLINK("https://www.philgeps.gov.ph/GEPSNONPILOT/Tender/SplashBidNoticeAbstractUI.aspx?menuIndex=3&amp;refID=7187587&amp;Result=3","7187587")</f>
        <v>0</v>
      </c>
      <c r="B8143" t="s">
        <v>1489</v>
      </c>
      <c r="C8143" t="s">
        <v>11522</v>
      </c>
      <c r="D8143" t="s">
        <v>19063</v>
      </c>
      <c r="E8143" t="s">
        <v>26117</v>
      </c>
      <c r="F8143" t="s">
        <v>32606</v>
      </c>
      <c r="G8143" t="s">
        <v>32613</v>
      </c>
      <c r="H8143" t="s">
        <v>14201</v>
      </c>
      <c r="I8143" t="s">
        <v>32635</v>
      </c>
      <c r="J8143" t="s">
        <v>37857</v>
      </c>
      <c r="K8143" t="s">
        <v>42648</v>
      </c>
      <c r="M8143" t="s">
        <v>44484</v>
      </c>
      <c r="N8143" t="s">
        <v>47304</v>
      </c>
      <c r="O8143" t="s">
        <v>47305</v>
      </c>
      <c r="P8143">
        <v>0</v>
      </c>
      <c r="Q8143">
        <v>2</v>
      </c>
      <c r="R8143" t="s">
        <v>47312</v>
      </c>
      <c r="S8143" t="s">
        <v>47489</v>
      </c>
      <c r="T8143" t="s">
        <v>49073</v>
      </c>
      <c r="U8143" t="s">
        <v>56317</v>
      </c>
      <c r="V8143" t="s">
        <v>63460</v>
      </c>
      <c r="W8143" t="s">
        <v>44484</v>
      </c>
      <c r="X8143" t="s">
        <v>47313</v>
      </c>
    </row>
    <row r="8144" spans="1:24">
      <c r="A8144">
        <f>HYPERLINK("https://www.philgeps.gov.ph/GEPSNONPILOT/Tender/SplashBidNoticeAbstractUI.aspx?menuIndex=3&amp;refID=7187601&amp;Result=3","7187601")</f>
        <v>0</v>
      </c>
      <c r="B8144" t="s">
        <v>2592</v>
      </c>
      <c r="C8144" t="s">
        <v>11523</v>
      </c>
      <c r="D8144" t="s">
        <v>19022</v>
      </c>
      <c r="E8144" t="s">
        <v>19145</v>
      </c>
      <c r="F8144" t="s">
        <v>32606</v>
      </c>
      <c r="G8144" t="s">
        <v>32613</v>
      </c>
      <c r="H8144" t="s">
        <v>32623</v>
      </c>
      <c r="I8144" t="s">
        <v>17648</v>
      </c>
      <c r="J8144" t="s">
        <v>32821</v>
      </c>
      <c r="K8144" t="s">
        <v>42811</v>
      </c>
      <c r="M8144" t="s">
        <v>45735</v>
      </c>
      <c r="N8144" t="s">
        <v>47304</v>
      </c>
      <c r="O8144" t="s">
        <v>47305</v>
      </c>
      <c r="P8144">
        <v>0</v>
      </c>
      <c r="Q8144">
        <v>0</v>
      </c>
      <c r="R8144" t="s">
        <v>47312</v>
      </c>
      <c r="S8144" t="s">
        <v>47489</v>
      </c>
      <c r="T8144" t="s">
        <v>49351</v>
      </c>
      <c r="U8144" t="s">
        <v>56318</v>
      </c>
      <c r="V8144" t="s">
        <v>63461</v>
      </c>
      <c r="W8144" t="s">
        <v>45735</v>
      </c>
      <c r="X8144" t="s">
        <v>47313</v>
      </c>
    </row>
    <row r="8145" spans="1:24">
      <c r="A8145">
        <f>HYPERLINK("https://www.philgeps.gov.ph/GEPSNONPILOT/Tender/SplashBidNoticeAbstractUI.aspx?menuIndex=3&amp;refID=7187600&amp;Result=3","7187600")</f>
        <v>0</v>
      </c>
      <c r="B8145" t="s">
        <v>2582</v>
      </c>
      <c r="C8145" t="s">
        <v>11524</v>
      </c>
      <c r="D8145" t="s">
        <v>18997</v>
      </c>
      <c r="E8145" t="s">
        <v>26118</v>
      </c>
      <c r="F8145" t="s">
        <v>32606</v>
      </c>
      <c r="G8145" t="s">
        <v>32614</v>
      </c>
      <c r="H8145" t="s">
        <v>14201</v>
      </c>
      <c r="I8145" t="s">
        <v>4120</v>
      </c>
      <c r="J8145" t="s">
        <v>32813</v>
      </c>
      <c r="K8145" t="s">
        <v>42622</v>
      </c>
      <c r="M8145" t="s">
        <v>45723</v>
      </c>
      <c r="N8145" t="s">
        <v>47304</v>
      </c>
      <c r="O8145" t="s">
        <v>47305</v>
      </c>
      <c r="P8145">
        <v>0</v>
      </c>
      <c r="Q8145">
        <v>1</v>
      </c>
      <c r="R8145" t="s">
        <v>47312</v>
      </c>
      <c r="S8145" t="s">
        <v>47489</v>
      </c>
      <c r="T8145" t="s">
        <v>49068</v>
      </c>
      <c r="U8145" t="s">
        <v>56319</v>
      </c>
      <c r="W8145" t="s">
        <v>45723</v>
      </c>
      <c r="X8145" t="s">
        <v>47313</v>
      </c>
    </row>
    <row r="8146" spans="1:24">
      <c r="A8146">
        <f>HYPERLINK("https://www.philgeps.gov.ph/GEPSNONPILOT/Tender/SplashBidNoticeAbstractUI.aspx?menuIndex=3&amp;refID=7187599&amp;Result=3","7187599")</f>
        <v>0</v>
      </c>
      <c r="B8146" t="s">
        <v>745</v>
      </c>
      <c r="C8146" t="s">
        <v>11525</v>
      </c>
      <c r="D8146" t="s">
        <v>19043</v>
      </c>
      <c r="E8146" t="s">
        <v>26119</v>
      </c>
      <c r="F8146" t="s">
        <v>32606</v>
      </c>
      <c r="G8146" t="s">
        <v>32613</v>
      </c>
      <c r="H8146" t="s">
        <v>14201</v>
      </c>
      <c r="I8146" t="s">
        <v>4678</v>
      </c>
      <c r="J8146" t="s">
        <v>33526</v>
      </c>
      <c r="K8146" t="s">
        <v>42622</v>
      </c>
      <c r="M8146" t="s">
        <v>43668</v>
      </c>
      <c r="N8146" t="s">
        <v>47304</v>
      </c>
      <c r="O8146" t="s">
        <v>47305</v>
      </c>
      <c r="P8146">
        <v>0</v>
      </c>
      <c r="Q8146">
        <v>0</v>
      </c>
      <c r="R8146" t="s">
        <v>47312</v>
      </c>
      <c r="S8146" t="s">
        <v>47489</v>
      </c>
      <c r="T8146" t="s">
        <v>49160</v>
      </c>
      <c r="U8146" t="s">
        <v>56320</v>
      </c>
      <c r="W8146" t="s">
        <v>43668</v>
      </c>
      <c r="X8146" t="s">
        <v>47313</v>
      </c>
    </row>
    <row r="8147" spans="1:24">
      <c r="A8147">
        <f>HYPERLINK("https://www.philgeps.gov.ph/GEPSNONPILOT/Tender/SplashBidNoticeAbstractUI.aspx?menuIndex=3&amp;refID=7187598&amp;Result=3","7187598")</f>
        <v>0</v>
      </c>
      <c r="B8147" t="s">
        <v>751</v>
      </c>
      <c r="C8147" t="s">
        <v>11526</v>
      </c>
      <c r="D8147" t="s">
        <v>18995</v>
      </c>
      <c r="E8147" t="s">
        <v>26120</v>
      </c>
      <c r="F8147" t="s">
        <v>32606</v>
      </c>
      <c r="G8147" t="s">
        <v>32613</v>
      </c>
      <c r="H8147" t="s">
        <v>32623</v>
      </c>
      <c r="I8147" t="s">
        <v>17648</v>
      </c>
      <c r="J8147" t="s">
        <v>32821</v>
      </c>
      <c r="K8147" t="s">
        <v>42676</v>
      </c>
      <c r="M8147" t="s">
        <v>43674</v>
      </c>
      <c r="N8147" t="s">
        <v>47304</v>
      </c>
      <c r="O8147" t="s">
        <v>47305</v>
      </c>
      <c r="P8147">
        <v>0</v>
      </c>
      <c r="Q8147">
        <v>0</v>
      </c>
      <c r="R8147" t="s">
        <v>47312</v>
      </c>
      <c r="S8147" t="s">
        <v>47489</v>
      </c>
      <c r="T8147" t="s">
        <v>49077</v>
      </c>
      <c r="U8147" t="s">
        <v>56321</v>
      </c>
      <c r="W8147" t="s">
        <v>43674</v>
      </c>
      <c r="X8147" t="s">
        <v>47313</v>
      </c>
    </row>
    <row r="8148" spans="1:24">
      <c r="A8148">
        <f>HYPERLINK("https://www.philgeps.gov.ph/GEPSNONPILOT/Tender/SplashBidNoticeAbstractUI.aspx?menuIndex=3&amp;refID=7187597&amp;Result=3","7187597")</f>
        <v>0</v>
      </c>
      <c r="B8148" t="s">
        <v>2013</v>
      </c>
      <c r="C8148" t="s">
        <v>11527</v>
      </c>
      <c r="D8148" t="s">
        <v>18993</v>
      </c>
      <c r="E8148" t="s">
        <v>20522</v>
      </c>
      <c r="F8148" t="s">
        <v>32606</v>
      </c>
      <c r="G8148" t="s">
        <v>32614</v>
      </c>
      <c r="H8148" t="s">
        <v>14201</v>
      </c>
      <c r="I8148" t="s">
        <v>6931</v>
      </c>
      <c r="J8148" t="s">
        <v>37858</v>
      </c>
      <c r="K8148" t="s">
        <v>42623</v>
      </c>
      <c r="M8148" t="s">
        <v>45085</v>
      </c>
      <c r="N8148" t="s">
        <v>47304</v>
      </c>
      <c r="O8148" t="s">
        <v>47305</v>
      </c>
      <c r="P8148">
        <v>0</v>
      </c>
      <c r="Q8148">
        <v>2</v>
      </c>
      <c r="R8148" t="s">
        <v>47312</v>
      </c>
      <c r="S8148" t="s">
        <v>47489</v>
      </c>
      <c r="T8148" t="s">
        <v>49268</v>
      </c>
      <c r="U8148" t="s">
        <v>56322</v>
      </c>
      <c r="W8148" t="s">
        <v>64490</v>
      </c>
      <c r="X8148" t="s">
        <v>47313</v>
      </c>
    </row>
    <row r="8149" spans="1:24">
      <c r="A8149">
        <f>HYPERLINK("https://www.philgeps.gov.ph/GEPSNONPILOT/Tender/SplashBidNoticeAbstractUI.aspx?menuIndex=3&amp;refID=7187596&amp;Result=3","7187596")</f>
        <v>0</v>
      </c>
      <c r="B8149" t="s">
        <v>2593</v>
      </c>
      <c r="C8149" t="s">
        <v>11528</v>
      </c>
      <c r="D8149" t="s">
        <v>18993</v>
      </c>
      <c r="E8149" t="s">
        <v>26121</v>
      </c>
      <c r="F8149" t="s">
        <v>32606</v>
      </c>
      <c r="G8149" t="s">
        <v>32613</v>
      </c>
      <c r="H8149" t="s">
        <v>14201</v>
      </c>
      <c r="I8149" t="s">
        <v>6931</v>
      </c>
      <c r="J8149" t="s">
        <v>37859</v>
      </c>
      <c r="K8149" t="s">
        <v>42681</v>
      </c>
      <c r="M8149" t="s">
        <v>45736</v>
      </c>
      <c r="N8149" t="s">
        <v>47304</v>
      </c>
      <c r="O8149" t="s">
        <v>47305</v>
      </c>
      <c r="P8149">
        <v>0</v>
      </c>
      <c r="Q8149">
        <v>4</v>
      </c>
      <c r="R8149" t="s">
        <v>47312</v>
      </c>
      <c r="S8149" t="s">
        <v>47489</v>
      </c>
      <c r="T8149" t="s">
        <v>49072</v>
      </c>
      <c r="U8149" t="s">
        <v>56323</v>
      </c>
      <c r="W8149" t="s">
        <v>45736</v>
      </c>
      <c r="X8149" t="s">
        <v>47313</v>
      </c>
    </row>
    <row r="8150" spans="1:24">
      <c r="A8150">
        <f>HYPERLINK("https://www.philgeps.gov.ph/GEPSNONPILOT/Tender/SplashBidNoticeAbstractUI.aspx?menuIndex=3&amp;refID=7187613&amp;Result=3","7187613")</f>
        <v>0</v>
      </c>
      <c r="B8150" t="s">
        <v>496</v>
      </c>
      <c r="C8150" t="s">
        <v>11529</v>
      </c>
      <c r="E8150" t="s">
        <v>26122</v>
      </c>
      <c r="F8150" t="s">
        <v>32606</v>
      </c>
      <c r="G8150" t="s">
        <v>32614</v>
      </c>
      <c r="H8150" t="s">
        <v>14201</v>
      </c>
      <c r="I8150" t="s">
        <v>32673</v>
      </c>
      <c r="J8150" t="s">
        <v>37860</v>
      </c>
      <c r="K8150" t="s">
        <v>42631</v>
      </c>
      <c r="M8150" t="s">
        <v>45233</v>
      </c>
      <c r="N8150" t="s">
        <v>47304</v>
      </c>
      <c r="O8150" t="s">
        <v>47305</v>
      </c>
      <c r="P8150">
        <v>0</v>
      </c>
      <c r="Q8150">
        <v>1</v>
      </c>
      <c r="R8150" t="s">
        <v>47312</v>
      </c>
      <c r="S8150" t="s">
        <v>47489</v>
      </c>
      <c r="T8150" t="s">
        <v>48997</v>
      </c>
      <c r="U8150" t="s">
        <v>56324</v>
      </c>
      <c r="W8150" t="s">
        <v>64494</v>
      </c>
      <c r="X8150" t="s">
        <v>47313</v>
      </c>
    </row>
    <row r="8151" spans="1:24">
      <c r="A8151">
        <f>HYPERLINK("https://www.philgeps.gov.ph/GEPSNONPILOT/Tender/SplashBidNoticeAbstractUI.aspx?menuIndex=3&amp;refID=7187631&amp;Result=3","7187631")</f>
        <v>0</v>
      </c>
      <c r="B8151" t="s">
        <v>1613</v>
      </c>
      <c r="C8151" t="s">
        <v>11530</v>
      </c>
      <c r="D8151" t="s">
        <v>19039</v>
      </c>
      <c r="E8151" t="s">
        <v>26123</v>
      </c>
      <c r="F8151" t="s">
        <v>32606</v>
      </c>
      <c r="G8151" t="s">
        <v>32613</v>
      </c>
      <c r="H8151" t="s">
        <v>14201</v>
      </c>
      <c r="I8151" t="s">
        <v>6931</v>
      </c>
      <c r="J8151" t="s">
        <v>34860</v>
      </c>
      <c r="K8151" t="s">
        <v>42624</v>
      </c>
      <c r="M8151" t="s">
        <v>44633</v>
      </c>
      <c r="N8151" t="s">
        <v>47304</v>
      </c>
      <c r="O8151" t="s">
        <v>47305</v>
      </c>
      <c r="P8151">
        <v>0</v>
      </c>
      <c r="Q8151">
        <v>0</v>
      </c>
      <c r="R8151" t="s">
        <v>47312</v>
      </c>
      <c r="S8151" t="s">
        <v>47489</v>
      </c>
      <c r="T8151" t="s">
        <v>48980</v>
      </c>
      <c r="U8151" t="s">
        <v>56325</v>
      </c>
      <c r="W8151" t="s">
        <v>44633</v>
      </c>
      <c r="X8151" t="s">
        <v>47313</v>
      </c>
    </row>
    <row r="8152" spans="1:24">
      <c r="A8152">
        <f>HYPERLINK("https://www.philgeps.gov.ph/GEPSNONPILOT/Tender/SplashBidNoticeAbstractUI.aspx?menuIndex=3&amp;refID=7187630&amp;Result=3","7187630")</f>
        <v>0</v>
      </c>
      <c r="B8152" t="s">
        <v>108</v>
      </c>
      <c r="C8152" t="s">
        <v>11531</v>
      </c>
      <c r="D8152" t="s">
        <v>18997</v>
      </c>
      <c r="E8152" t="s">
        <v>26124</v>
      </c>
      <c r="F8152" t="s">
        <v>32606</v>
      </c>
      <c r="G8152" t="s">
        <v>32613</v>
      </c>
      <c r="H8152" t="s">
        <v>14201</v>
      </c>
      <c r="I8152" t="s">
        <v>6007</v>
      </c>
      <c r="J8152" t="s">
        <v>37861</v>
      </c>
      <c r="K8152" t="s">
        <v>42630</v>
      </c>
      <c r="M8152" t="s">
        <v>43007</v>
      </c>
      <c r="N8152" t="s">
        <v>47304</v>
      </c>
      <c r="O8152" t="s">
        <v>47305</v>
      </c>
      <c r="P8152">
        <v>0</v>
      </c>
      <c r="Q8152">
        <v>0</v>
      </c>
      <c r="R8152" t="s">
        <v>47312</v>
      </c>
      <c r="S8152" t="s">
        <v>47489</v>
      </c>
      <c r="T8152" t="s">
        <v>49257</v>
      </c>
      <c r="U8152" t="s">
        <v>56326</v>
      </c>
      <c r="W8152" t="s">
        <v>43007</v>
      </c>
      <c r="X8152" t="s">
        <v>47313</v>
      </c>
    </row>
    <row r="8153" spans="1:24">
      <c r="A8153">
        <f>HYPERLINK("https://www.philgeps.gov.ph/GEPSNONPILOT/Tender/SplashBidNoticeAbstractUI.aspx?menuIndex=3&amp;refID=7187590&amp;Result=3","7187590")</f>
        <v>0</v>
      </c>
      <c r="B8153" t="s">
        <v>1235</v>
      </c>
      <c r="C8153" t="s">
        <v>11488</v>
      </c>
      <c r="D8153" t="s">
        <v>18997</v>
      </c>
      <c r="E8153" t="s">
        <v>19400</v>
      </c>
      <c r="F8153" t="s">
        <v>32608</v>
      </c>
      <c r="G8153" t="s">
        <v>32613</v>
      </c>
      <c r="H8153" t="s">
        <v>14201</v>
      </c>
      <c r="I8153" t="s">
        <v>32640</v>
      </c>
      <c r="J8153" t="s">
        <v>37862</v>
      </c>
      <c r="K8153" t="s">
        <v>42630</v>
      </c>
      <c r="M8153" t="s">
        <v>44200</v>
      </c>
      <c r="N8153" t="s">
        <v>47304</v>
      </c>
      <c r="O8153" t="s">
        <v>47305</v>
      </c>
      <c r="P8153">
        <v>0</v>
      </c>
      <c r="Q8153">
        <v>1</v>
      </c>
      <c r="R8153" t="s">
        <v>47312</v>
      </c>
      <c r="S8153" t="s">
        <v>47489</v>
      </c>
      <c r="T8153" t="s">
        <v>49066</v>
      </c>
      <c r="U8153" t="s">
        <v>56159</v>
      </c>
      <c r="W8153" t="s">
        <v>44200</v>
      </c>
      <c r="X8153" t="s">
        <v>47313</v>
      </c>
    </row>
    <row r="8154" spans="1:24">
      <c r="A8154">
        <f>HYPERLINK("https://www.philgeps.gov.ph/GEPSNONPILOT/Tender/SplashBidNoticeAbstractUI.aspx?menuIndex=3&amp;refID=7187624&amp;Result=3","7187624")</f>
        <v>0</v>
      </c>
      <c r="B8154" t="s">
        <v>2594</v>
      </c>
      <c r="C8154" t="s">
        <v>11532</v>
      </c>
      <c r="D8154" t="s">
        <v>19009</v>
      </c>
      <c r="E8154" t="s">
        <v>22021</v>
      </c>
      <c r="F8154" t="s">
        <v>32606</v>
      </c>
      <c r="G8154" t="s">
        <v>32613</v>
      </c>
      <c r="H8154" t="s">
        <v>32623</v>
      </c>
      <c r="I8154" t="s">
        <v>17648</v>
      </c>
      <c r="J8154" t="s">
        <v>37863</v>
      </c>
      <c r="K8154" t="s">
        <v>42648</v>
      </c>
      <c r="M8154" t="s">
        <v>45737</v>
      </c>
      <c r="N8154" t="s">
        <v>47304</v>
      </c>
      <c r="O8154" t="s">
        <v>47305</v>
      </c>
      <c r="P8154">
        <v>0</v>
      </c>
      <c r="Q8154">
        <v>0</v>
      </c>
      <c r="R8154" t="s">
        <v>47312</v>
      </c>
      <c r="S8154" t="s">
        <v>47489</v>
      </c>
      <c r="T8154" t="s">
        <v>49064</v>
      </c>
      <c r="U8154" t="s">
        <v>56327</v>
      </c>
      <c r="V8154" t="s">
        <v>63462</v>
      </c>
      <c r="W8154" t="s">
        <v>45737</v>
      </c>
      <c r="X8154" t="s">
        <v>47313</v>
      </c>
    </row>
    <row r="8155" spans="1:24">
      <c r="A8155">
        <f>HYPERLINK("https://www.philgeps.gov.ph/GEPSNONPILOT/Tender/SplashBidNoticeAbstractUI.aspx?menuIndex=3&amp;refID=7187634&amp;Result=3","7187634")</f>
        <v>0</v>
      </c>
      <c r="B8155" t="s">
        <v>2505</v>
      </c>
      <c r="C8155" t="s">
        <v>11533</v>
      </c>
      <c r="D8155" t="s">
        <v>19007</v>
      </c>
      <c r="E8155" t="s">
        <v>25893</v>
      </c>
      <c r="F8155" t="s">
        <v>32606</v>
      </c>
      <c r="G8155" t="s">
        <v>32613</v>
      </c>
      <c r="H8155" t="s">
        <v>32623</v>
      </c>
      <c r="I8155" t="s">
        <v>17648</v>
      </c>
      <c r="J8155" t="s">
        <v>37864</v>
      </c>
      <c r="K8155" t="s">
        <v>42682</v>
      </c>
      <c r="M8155" t="s">
        <v>45644</v>
      </c>
      <c r="N8155" t="s">
        <v>47304</v>
      </c>
      <c r="O8155" t="s">
        <v>47305</v>
      </c>
      <c r="P8155">
        <v>0</v>
      </c>
      <c r="Q8155">
        <v>1</v>
      </c>
      <c r="R8155" t="s">
        <v>47312</v>
      </c>
      <c r="S8155" t="s">
        <v>47489</v>
      </c>
      <c r="T8155" t="s">
        <v>49077</v>
      </c>
      <c r="U8155" t="s">
        <v>56075</v>
      </c>
      <c r="V8155" t="s">
        <v>63463</v>
      </c>
      <c r="W8155" t="s">
        <v>45644</v>
      </c>
      <c r="X8155" t="s">
        <v>47313</v>
      </c>
    </row>
    <row r="8156" spans="1:24">
      <c r="A8156">
        <f>HYPERLINK("https://www.philgeps.gov.ph/GEPSNONPILOT/Tender/SplashBidNoticeAbstractUI.aspx?menuIndex=3&amp;refID=7187632&amp;Result=3","7187632")</f>
        <v>0</v>
      </c>
      <c r="B8156" t="s">
        <v>2473</v>
      </c>
      <c r="C8156" t="s">
        <v>11534</v>
      </c>
      <c r="D8156" t="s">
        <v>19008</v>
      </c>
      <c r="E8156" t="s">
        <v>26125</v>
      </c>
      <c r="F8156" t="s">
        <v>32606</v>
      </c>
      <c r="G8156" t="s">
        <v>32614</v>
      </c>
      <c r="H8156" t="s">
        <v>14201</v>
      </c>
      <c r="I8156" t="s">
        <v>32675</v>
      </c>
      <c r="J8156" t="s">
        <v>37865</v>
      </c>
      <c r="K8156" t="s">
        <v>42624</v>
      </c>
      <c r="M8156" t="s">
        <v>45738</v>
      </c>
      <c r="N8156" t="s">
        <v>47304</v>
      </c>
      <c r="O8156" t="s">
        <v>47305</v>
      </c>
      <c r="P8156">
        <v>0</v>
      </c>
      <c r="Q8156">
        <v>2</v>
      </c>
      <c r="R8156" t="s">
        <v>47312</v>
      </c>
      <c r="S8156" t="s">
        <v>47489</v>
      </c>
      <c r="T8156" t="s">
        <v>48998</v>
      </c>
      <c r="U8156" t="s">
        <v>56328</v>
      </c>
      <c r="W8156" t="s">
        <v>45738</v>
      </c>
      <c r="X8156" t="s">
        <v>47313</v>
      </c>
    </row>
    <row r="8157" spans="1:24">
      <c r="A8157">
        <f>HYPERLINK("https://www.philgeps.gov.ph/GEPSNONPILOT/Tender/SplashBidNoticeAbstractUI.aspx?menuIndex=3&amp;refID=7187626&amp;Result=3","7187626")</f>
        <v>0</v>
      </c>
      <c r="B8157" t="s">
        <v>2582</v>
      </c>
      <c r="C8157" t="s">
        <v>11535</v>
      </c>
      <c r="D8157" t="s">
        <v>18997</v>
      </c>
      <c r="E8157" t="s">
        <v>26126</v>
      </c>
      <c r="F8157" t="s">
        <v>32606</v>
      </c>
      <c r="G8157" t="s">
        <v>32614</v>
      </c>
      <c r="H8157" t="s">
        <v>14201</v>
      </c>
      <c r="I8157" t="s">
        <v>4678</v>
      </c>
      <c r="J8157" t="s">
        <v>33341</v>
      </c>
      <c r="K8157" t="s">
        <v>42622</v>
      </c>
      <c r="M8157" t="s">
        <v>45723</v>
      </c>
      <c r="N8157" t="s">
        <v>47304</v>
      </c>
      <c r="O8157" t="s">
        <v>47305</v>
      </c>
      <c r="P8157">
        <v>0</v>
      </c>
      <c r="Q8157">
        <v>2</v>
      </c>
      <c r="R8157" t="s">
        <v>47312</v>
      </c>
      <c r="S8157" t="s">
        <v>47489</v>
      </c>
      <c r="T8157" t="s">
        <v>49068</v>
      </c>
      <c r="U8157" t="s">
        <v>56278</v>
      </c>
      <c r="W8157" t="s">
        <v>45723</v>
      </c>
      <c r="X8157" t="s">
        <v>47313</v>
      </c>
    </row>
    <row r="8158" spans="1:24">
      <c r="A8158">
        <f>HYPERLINK("https://www.philgeps.gov.ph/GEPSNONPILOT/Tender/SplashBidNoticeAbstractUI.aspx?menuIndex=3&amp;refID=7187647&amp;Result=3","7187647")</f>
        <v>0</v>
      </c>
      <c r="B8158" t="s">
        <v>2559</v>
      </c>
      <c r="C8158" t="s">
        <v>11536</v>
      </c>
      <c r="D8158" t="s">
        <v>19039</v>
      </c>
      <c r="E8158" t="s">
        <v>26127</v>
      </c>
      <c r="F8158" t="s">
        <v>32606</v>
      </c>
      <c r="G8158" t="s">
        <v>32613</v>
      </c>
      <c r="H8158" t="s">
        <v>14201</v>
      </c>
      <c r="I8158" t="s">
        <v>6931</v>
      </c>
      <c r="J8158" t="s">
        <v>37866</v>
      </c>
      <c r="K8158" t="s">
        <v>42631</v>
      </c>
      <c r="M8158" t="s">
        <v>45699</v>
      </c>
      <c r="N8158" t="s">
        <v>47304</v>
      </c>
      <c r="O8158" t="s">
        <v>47305</v>
      </c>
      <c r="P8158">
        <v>0</v>
      </c>
      <c r="Q8158">
        <v>0</v>
      </c>
      <c r="R8158" t="s">
        <v>47312</v>
      </c>
      <c r="S8158" t="s">
        <v>47489</v>
      </c>
      <c r="T8158" t="s">
        <v>49320</v>
      </c>
      <c r="U8158" t="s">
        <v>56210</v>
      </c>
      <c r="V8158" t="s">
        <v>63438</v>
      </c>
      <c r="W8158" t="s">
        <v>45699</v>
      </c>
      <c r="X8158" t="s">
        <v>47313</v>
      </c>
    </row>
    <row r="8159" spans="1:24">
      <c r="A8159">
        <f>HYPERLINK("https://www.philgeps.gov.ph/GEPSNONPILOT/Tender/SplashBidNoticeAbstractUI.aspx?menuIndex=3&amp;refID=7187643&amp;Result=3","7187643")</f>
        <v>0</v>
      </c>
      <c r="B8159" t="s">
        <v>2572</v>
      </c>
      <c r="C8159" t="s">
        <v>11537</v>
      </c>
      <c r="D8159" t="s">
        <v>19016</v>
      </c>
      <c r="E8159" t="s">
        <v>26127</v>
      </c>
      <c r="F8159" t="s">
        <v>32606</v>
      </c>
      <c r="G8159" t="s">
        <v>32614</v>
      </c>
      <c r="H8159" t="s">
        <v>14201</v>
      </c>
      <c r="I8159" t="s">
        <v>4120</v>
      </c>
      <c r="J8159" t="s">
        <v>32949</v>
      </c>
      <c r="K8159" t="s">
        <v>42629</v>
      </c>
      <c r="M8159" t="s">
        <v>45712</v>
      </c>
      <c r="N8159" t="s">
        <v>47304</v>
      </c>
      <c r="O8159" t="s">
        <v>47305</v>
      </c>
      <c r="P8159">
        <v>0</v>
      </c>
      <c r="Q8159">
        <v>0</v>
      </c>
      <c r="R8159" t="s">
        <v>47312</v>
      </c>
      <c r="S8159" t="s">
        <v>47489</v>
      </c>
      <c r="T8159" t="s">
        <v>49268</v>
      </c>
      <c r="U8159" t="s">
        <v>56329</v>
      </c>
      <c r="W8159" t="s">
        <v>45712</v>
      </c>
      <c r="X8159" t="s">
        <v>47313</v>
      </c>
    </row>
    <row r="8160" spans="1:24">
      <c r="A8160">
        <f>HYPERLINK("https://www.philgeps.gov.ph/GEPSNONPILOT/Tender/SplashBidNoticeAbstractUI.aspx?menuIndex=3&amp;refID=7187642&amp;Result=3","7187642")</f>
        <v>0</v>
      </c>
      <c r="B8160" t="s">
        <v>610</v>
      </c>
      <c r="C8160" t="s">
        <v>11538</v>
      </c>
      <c r="D8160" t="s">
        <v>19044</v>
      </c>
      <c r="E8160" t="s">
        <v>26128</v>
      </c>
      <c r="F8160" t="s">
        <v>32606</v>
      </c>
      <c r="G8160" t="s">
        <v>32614</v>
      </c>
      <c r="H8160" t="s">
        <v>14201</v>
      </c>
      <c r="I8160" t="s">
        <v>7233</v>
      </c>
      <c r="J8160" t="s">
        <v>37867</v>
      </c>
      <c r="K8160" t="s">
        <v>42631</v>
      </c>
      <c r="M8160" t="s">
        <v>43527</v>
      </c>
      <c r="N8160" t="s">
        <v>47304</v>
      </c>
      <c r="O8160" t="s">
        <v>47305</v>
      </c>
      <c r="P8160">
        <v>0</v>
      </c>
      <c r="Q8160">
        <v>0</v>
      </c>
      <c r="R8160" t="s">
        <v>47312</v>
      </c>
      <c r="S8160" t="s">
        <v>47489</v>
      </c>
      <c r="T8160" t="s">
        <v>49165</v>
      </c>
      <c r="U8160" t="s">
        <v>50603</v>
      </c>
      <c r="W8160" t="s">
        <v>43527</v>
      </c>
      <c r="X8160" t="s">
        <v>47313</v>
      </c>
    </row>
    <row r="8161" spans="1:24">
      <c r="A8161">
        <f>HYPERLINK("https://www.philgeps.gov.ph/GEPSNONPILOT/Tender/SplashBidNoticeAbstractUI.aspx?menuIndex=3&amp;refID=7187627&amp;Result=3","7187627")</f>
        <v>0</v>
      </c>
      <c r="B8161" t="s">
        <v>2013</v>
      </c>
      <c r="C8161" t="s">
        <v>11539</v>
      </c>
      <c r="D8161" t="s">
        <v>18993</v>
      </c>
      <c r="E8161" t="s">
        <v>20640</v>
      </c>
      <c r="F8161" t="s">
        <v>32606</v>
      </c>
      <c r="G8161" t="s">
        <v>32614</v>
      </c>
      <c r="H8161" t="s">
        <v>14201</v>
      </c>
      <c r="I8161" t="s">
        <v>6931</v>
      </c>
      <c r="J8161" t="s">
        <v>37868</v>
      </c>
      <c r="K8161" t="s">
        <v>42623</v>
      </c>
      <c r="M8161" t="s">
        <v>45085</v>
      </c>
      <c r="N8161" t="s">
        <v>47304</v>
      </c>
      <c r="O8161" t="s">
        <v>47305</v>
      </c>
      <c r="P8161">
        <v>0</v>
      </c>
      <c r="Q8161">
        <v>1</v>
      </c>
      <c r="R8161" t="s">
        <v>47312</v>
      </c>
      <c r="S8161" t="s">
        <v>47489</v>
      </c>
      <c r="T8161" t="s">
        <v>49268</v>
      </c>
      <c r="U8161" t="s">
        <v>56330</v>
      </c>
      <c r="W8161" t="s">
        <v>64490</v>
      </c>
      <c r="X8161" t="s">
        <v>47313</v>
      </c>
    </row>
    <row r="8162" spans="1:24">
      <c r="A8162">
        <f>HYPERLINK("https://www.philgeps.gov.ph/GEPSNONPILOT/Tender/SplashBidNoticeAbstractUI.aspx?menuIndex=3&amp;refID=7187614&amp;Result=3","7187614")</f>
        <v>0</v>
      </c>
      <c r="B8162" t="s">
        <v>2595</v>
      </c>
      <c r="C8162" t="s">
        <v>11540</v>
      </c>
      <c r="D8162" t="s">
        <v>19033</v>
      </c>
      <c r="E8162" t="s">
        <v>26129</v>
      </c>
      <c r="F8162" t="s">
        <v>32606</v>
      </c>
      <c r="G8162" t="s">
        <v>32613</v>
      </c>
      <c r="H8162" t="s">
        <v>14201</v>
      </c>
      <c r="I8162" t="s">
        <v>32669</v>
      </c>
      <c r="J8162" t="s">
        <v>32759</v>
      </c>
      <c r="K8162" t="s">
        <v>42624</v>
      </c>
      <c r="M8162" t="s">
        <v>45739</v>
      </c>
      <c r="N8162" t="s">
        <v>47304</v>
      </c>
      <c r="O8162" t="s">
        <v>47305</v>
      </c>
      <c r="P8162">
        <v>0</v>
      </c>
      <c r="Q8162">
        <v>0</v>
      </c>
      <c r="R8162" t="s">
        <v>47312</v>
      </c>
      <c r="S8162" t="s">
        <v>47489</v>
      </c>
      <c r="T8162" t="s">
        <v>49099</v>
      </c>
      <c r="U8162" t="s">
        <v>56331</v>
      </c>
      <c r="V8162" t="s">
        <v>63464</v>
      </c>
      <c r="W8162" t="s">
        <v>45739</v>
      </c>
      <c r="X8162" t="s">
        <v>47313</v>
      </c>
    </row>
    <row r="8163" spans="1:24">
      <c r="A8163">
        <f>HYPERLINK("https://www.philgeps.gov.ph/GEPSNONPILOT/Tender/SplashBidNoticeAbstractUI.aspx?menuIndex=3&amp;refID=7187637&amp;Result=3","7187637")</f>
        <v>0</v>
      </c>
      <c r="B8163" t="s">
        <v>265</v>
      </c>
      <c r="C8163" t="s">
        <v>11541</v>
      </c>
      <c r="D8163" t="s">
        <v>19035</v>
      </c>
      <c r="E8163" t="s">
        <v>26130</v>
      </c>
      <c r="F8163" t="s">
        <v>32606</v>
      </c>
      <c r="G8163" t="s">
        <v>32614</v>
      </c>
      <c r="H8163" t="s">
        <v>14201</v>
      </c>
      <c r="I8163" t="s">
        <v>6298</v>
      </c>
      <c r="J8163" t="s">
        <v>37869</v>
      </c>
      <c r="K8163" t="s">
        <v>42624</v>
      </c>
      <c r="M8163" t="s">
        <v>43166</v>
      </c>
      <c r="N8163" t="s">
        <v>47304</v>
      </c>
      <c r="O8163" t="s">
        <v>47305</v>
      </c>
      <c r="P8163">
        <v>0</v>
      </c>
      <c r="Q8163">
        <v>3</v>
      </c>
      <c r="R8163" t="s">
        <v>47312</v>
      </c>
      <c r="S8163" t="s">
        <v>47489</v>
      </c>
      <c r="T8163" t="s">
        <v>49020</v>
      </c>
      <c r="U8163" t="s">
        <v>56332</v>
      </c>
      <c r="W8163" t="s">
        <v>43166</v>
      </c>
      <c r="X8163" t="s">
        <v>47313</v>
      </c>
    </row>
    <row r="8164" spans="1:24">
      <c r="A8164">
        <f>HYPERLINK("https://www.philgeps.gov.ph/GEPSNONPILOT/Tender/SplashBidNoticeAbstractUI.aspx?menuIndex=3&amp;refID=7187676&amp;Result=3","7187676")</f>
        <v>0</v>
      </c>
      <c r="B8164" t="s">
        <v>2596</v>
      </c>
      <c r="C8164" t="s">
        <v>11542</v>
      </c>
      <c r="D8164" t="s">
        <v>19014</v>
      </c>
      <c r="E8164" t="s">
        <v>19663</v>
      </c>
      <c r="F8164" t="s">
        <v>32606</v>
      </c>
      <c r="G8164" t="s">
        <v>32613</v>
      </c>
      <c r="H8164" t="s">
        <v>14201</v>
      </c>
      <c r="I8164" t="s">
        <v>6931</v>
      </c>
      <c r="J8164" t="s">
        <v>37870</v>
      </c>
      <c r="K8164" t="s">
        <v>42622</v>
      </c>
      <c r="M8164" t="s">
        <v>45740</v>
      </c>
      <c r="N8164" t="s">
        <v>47304</v>
      </c>
      <c r="O8164" t="s">
        <v>47305</v>
      </c>
      <c r="P8164">
        <v>0</v>
      </c>
      <c r="Q8164">
        <v>1</v>
      </c>
      <c r="R8164" t="s">
        <v>47312</v>
      </c>
      <c r="S8164" t="s">
        <v>47489</v>
      </c>
      <c r="T8164" t="s">
        <v>49050</v>
      </c>
      <c r="U8164" t="s">
        <v>56333</v>
      </c>
      <c r="W8164" t="s">
        <v>45740</v>
      </c>
      <c r="X8164" t="s">
        <v>47313</v>
      </c>
    </row>
    <row r="8165" spans="1:24">
      <c r="A8165">
        <f>HYPERLINK("https://www.philgeps.gov.ph/GEPSNONPILOT/Tender/SplashBidNoticeAbstractUI.aspx?menuIndex=3&amp;refID=7187644&amp;Result=3","7187644")</f>
        <v>0</v>
      </c>
      <c r="B8165" t="s">
        <v>2013</v>
      </c>
      <c r="C8165" t="s">
        <v>11543</v>
      </c>
      <c r="D8165" t="s">
        <v>18993</v>
      </c>
      <c r="E8165" t="s">
        <v>20729</v>
      </c>
      <c r="F8165" t="s">
        <v>32606</v>
      </c>
      <c r="G8165" t="s">
        <v>32614</v>
      </c>
      <c r="H8165" t="s">
        <v>14201</v>
      </c>
      <c r="I8165" t="s">
        <v>4120</v>
      </c>
      <c r="J8165" t="s">
        <v>37871</v>
      </c>
      <c r="K8165" t="s">
        <v>42623</v>
      </c>
      <c r="M8165" t="s">
        <v>45085</v>
      </c>
      <c r="N8165" t="s">
        <v>47304</v>
      </c>
      <c r="O8165" t="s">
        <v>47305</v>
      </c>
      <c r="P8165">
        <v>0</v>
      </c>
      <c r="Q8165">
        <v>4</v>
      </c>
      <c r="R8165" t="s">
        <v>47312</v>
      </c>
      <c r="S8165" t="s">
        <v>47489</v>
      </c>
      <c r="T8165" t="s">
        <v>49268</v>
      </c>
      <c r="U8165" t="s">
        <v>51117</v>
      </c>
      <c r="W8165" t="s">
        <v>64490</v>
      </c>
      <c r="X8165" t="s">
        <v>47313</v>
      </c>
    </row>
    <row r="8166" spans="1:24">
      <c r="A8166">
        <f>HYPERLINK("https://www.philgeps.gov.ph/GEPSNONPILOT/Tender/SplashBidNoticeAbstractUI.aspx?menuIndex=3&amp;refID=7187675&amp;Result=3","7187675")</f>
        <v>0</v>
      </c>
      <c r="B8166" t="s">
        <v>2566</v>
      </c>
      <c r="C8166" t="s">
        <v>11544</v>
      </c>
      <c r="D8166" t="s">
        <v>19049</v>
      </c>
      <c r="E8166" t="s">
        <v>26131</v>
      </c>
      <c r="F8166" t="s">
        <v>32606</v>
      </c>
      <c r="G8166" t="s">
        <v>32613</v>
      </c>
      <c r="H8166" t="s">
        <v>32623</v>
      </c>
      <c r="I8166" t="s">
        <v>17648</v>
      </c>
      <c r="J8166" t="s">
        <v>37872</v>
      </c>
      <c r="K8166" t="s">
        <v>42712</v>
      </c>
      <c r="M8166" t="s">
        <v>45706</v>
      </c>
      <c r="N8166" t="s">
        <v>47304</v>
      </c>
      <c r="O8166" t="s">
        <v>47305</v>
      </c>
      <c r="P8166">
        <v>0</v>
      </c>
      <c r="Q8166">
        <v>2</v>
      </c>
      <c r="R8166" t="s">
        <v>47312</v>
      </c>
      <c r="S8166" t="s">
        <v>47489</v>
      </c>
      <c r="T8166" t="s">
        <v>48978</v>
      </c>
      <c r="U8166" t="s">
        <v>56334</v>
      </c>
      <c r="V8166" t="s">
        <v>63441</v>
      </c>
      <c r="W8166" t="s">
        <v>45706</v>
      </c>
      <c r="X8166" t="s">
        <v>47313</v>
      </c>
    </row>
    <row r="8167" spans="1:24">
      <c r="A8167">
        <f>HYPERLINK("https://www.philgeps.gov.ph/GEPSNONPILOT/Tender/SplashBidNoticeAbstractUI.aspx?menuIndex=3&amp;refID=7187667&amp;Result=3","7187667")</f>
        <v>0</v>
      </c>
      <c r="B8167" t="s">
        <v>2597</v>
      </c>
      <c r="C8167" t="s">
        <v>11545</v>
      </c>
      <c r="D8167" t="s">
        <v>19009</v>
      </c>
      <c r="E8167" t="s">
        <v>26132</v>
      </c>
      <c r="F8167" t="s">
        <v>32607</v>
      </c>
      <c r="G8167" t="s">
        <v>32613</v>
      </c>
      <c r="H8167" t="s">
        <v>32623</v>
      </c>
      <c r="I8167" t="s">
        <v>17648</v>
      </c>
      <c r="J8167" t="s">
        <v>32830</v>
      </c>
      <c r="K8167" t="s">
        <v>42685</v>
      </c>
      <c r="M8167" t="s">
        <v>45741</v>
      </c>
      <c r="N8167" t="s">
        <v>47304</v>
      </c>
      <c r="O8167" t="s">
        <v>47305</v>
      </c>
      <c r="P8167">
        <v>0</v>
      </c>
      <c r="Q8167">
        <v>0</v>
      </c>
      <c r="R8167" t="s">
        <v>47312</v>
      </c>
      <c r="S8167" t="s">
        <v>47489</v>
      </c>
      <c r="T8167" t="s">
        <v>49077</v>
      </c>
      <c r="U8167" t="s">
        <v>56335</v>
      </c>
      <c r="W8167" t="s">
        <v>45741</v>
      </c>
      <c r="X8167" t="s">
        <v>47313</v>
      </c>
    </row>
    <row r="8168" spans="1:24">
      <c r="A8168">
        <f>HYPERLINK("https://www.philgeps.gov.ph/GEPSNONPILOT/Tender/SplashBidNoticeAbstractUI.aspx?menuIndex=3&amp;refID=7187589&amp;Result=3","7187589")</f>
        <v>0</v>
      </c>
      <c r="B8168" t="s">
        <v>2473</v>
      </c>
      <c r="C8168" t="s">
        <v>11546</v>
      </c>
      <c r="D8168" t="s">
        <v>19008</v>
      </c>
      <c r="E8168" t="s">
        <v>26133</v>
      </c>
      <c r="F8168" t="s">
        <v>32606</v>
      </c>
      <c r="G8168" t="s">
        <v>32613</v>
      </c>
      <c r="H8168" t="s">
        <v>32623</v>
      </c>
      <c r="I8168" t="s">
        <v>17648</v>
      </c>
      <c r="J8168" t="s">
        <v>37873</v>
      </c>
      <c r="K8168" t="s">
        <v>42812</v>
      </c>
      <c r="M8168" t="s">
        <v>45608</v>
      </c>
      <c r="N8168" t="s">
        <v>47304</v>
      </c>
      <c r="O8168" t="s">
        <v>47305</v>
      </c>
      <c r="P8168">
        <v>0</v>
      </c>
      <c r="Q8168">
        <v>0</v>
      </c>
      <c r="R8168" t="s">
        <v>47312</v>
      </c>
      <c r="S8168" t="s">
        <v>47489</v>
      </c>
      <c r="T8168" t="s">
        <v>49086</v>
      </c>
      <c r="U8168" t="s">
        <v>56336</v>
      </c>
      <c r="W8168" t="s">
        <v>45608</v>
      </c>
      <c r="X8168" t="s">
        <v>47313</v>
      </c>
    </row>
    <row r="8169" spans="1:24">
      <c r="A8169">
        <f>HYPERLINK("https://www.philgeps.gov.ph/GEPSNONPILOT/Tender/SplashBidNoticeAbstractUI.aspx?menuIndex=3&amp;refID=7187665&amp;Result=3","7187665")</f>
        <v>0</v>
      </c>
      <c r="B8169" t="s">
        <v>2505</v>
      </c>
      <c r="C8169" t="s">
        <v>11547</v>
      </c>
      <c r="D8169" t="s">
        <v>19007</v>
      </c>
      <c r="E8169" t="s">
        <v>25893</v>
      </c>
      <c r="F8169" t="s">
        <v>32606</v>
      </c>
      <c r="G8169" t="s">
        <v>32613</v>
      </c>
      <c r="H8169" t="s">
        <v>32623</v>
      </c>
      <c r="I8169" t="s">
        <v>17648</v>
      </c>
      <c r="J8169" t="s">
        <v>37874</v>
      </c>
      <c r="K8169" t="s">
        <v>42636</v>
      </c>
      <c r="M8169" t="s">
        <v>45644</v>
      </c>
      <c r="N8169" t="s">
        <v>47304</v>
      </c>
      <c r="O8169" t="s">
        <v>47305</v>
      </c>
      <c r="P8169">
        <v>0</v>
      </c>
      <c r="Q8169">
        <v>1</v>
      </c>
      <c r="R8169" t="s">
        <v>47312</v>
      </c>
      <c r="S8169" t="s">
        <v>47489</v>
      </c>
      <c r="T8169" t="s">
        <v>49077</v>
      </c>
      <c r="U8169" t="s">
        <v>56075</v>
      </c>
      <c r="V8169" t="s">
        <v>63465</v>
      </c>
      <c r="W8169" t="s">
        <v>45644</v>
      </c>
      <c r="X8169" t="s">
        <v>47313</v>
      </c>
    </row>
    <row r="8170" spans="1:24">
      <c r="A8170">
        <f>HYPERLINK("https://www.philgeps.gov.ph/GEPSNONPILOT/Tender/SplashBidNoticeAbstractUI.aspx?menuIndex=3&amp;refID=7187662&amp;Result=3","7187662")</f>
        <v>0</v>
      </c>
      <c r="B8170" t="s">
        <v>438</v>
      </c>
      <c r="C8170" t="s">
        <v>11548</v>
      </c>
      <c r="D8170" t="s">
        <v>19003</v>
      </c>
      <c r="E8170" t="s">
        <v>26134</v>
      </c>
      <c r="F8170" t="s">
        <v>32606</v>
      </c>
      <c r="G8170" t="s">
        <v>32614</v>
      </c>
      <c r="H8170" t="s">
        <v>14201</v>
      </c>
      <c r="I8170" t="s">
        <v>32710</v>
      </c>
      <c r="J8170" t="s">
        <v>32885</v>
      </c>
      <c r="K8170" t="s">
        <v>42638</v>
      </c>
      <c r="M8170" t="s">
        <v>43345</v>
      </c>
      <c r="N8170" t="s">
        <v>47304</v>
      </c>
      <c r="O8170" t="s">
        <v>47305</v>
      </c>
      <c r="P8170">
        <v>0</v>
      </c>
      <c r="Q8170">
        <v>2</v>
      </c>
      <c r="R8170" t="s">
        <v>47312</v>
      </c>
      <c r="S8170" t="s">
        <v>47489</v>
      </c>
      <c r="T8170" t="s">
        <v>49020</v>
      </c>
      <c r="U8170" t="s">
        <v>56337</v>
      </c>
      <c r="W8170" t="s">
        <v>43345</v>
      </c>
      <c r="X8170" t="s">
        <v>47313</v>
      </c>
    </row>
    <row r="8171" spans="1:24">
      <c r="A8171">
        <f>HYPERLINK("https://www.philgeps.gov.ph/GEPSNONPILOT/Tender/SplashBidNoticeAbstractUI.aspx?menuIndex=3&amp;refID=7187660&amp;Result=3","7187660")</f>
        <v>0</v>
      </c>
      <c r="B8171" t="s">
        <v>1613</v>
      </c>
      <c r="C8171" t="s">
        <v>11549</v>
      </c>
      <c r="D8171" t="s">
        <v>19039</v>
      </c>
      <c r="E8171" t="s">
        <v>26135</v>
      </c>
      <c r="F8171" t="s">
        <v>32606</v>
      </c>
      <c r="G8171" t="s">
        <v>32613</v>
      </c>
      <c r="H8171" t="s">
        <v>14201</v>
      </c>
      <c r="I8171" t="s">
        <v>6931</v>
      </c>
      <c r="J8171" t="s">
        <v>37875</v>
      </c>
      <c r="K8171" t="s">
        <v>42624</v>
      </c>
      <c r="M8171" t="s">
        <v>44633</v>
      </c>
      <c r="N8171" t="s">
        <v>47304</v>
      </c>
      <c r="O8171" t="s">
        <v>47305</v>
      </c>
      <c r="P8171">
        <v>0</v>
      </c>
      <c r="Q8171">
        <v>0</v>
      </c>
      <c r="R8171" t="s">
        <v>47312</v>
      </c>
      <c r="S8171" t="s">
        <v>47489</v>
      </c>
      <c r="T8171" t="s">
        <v>48980</v>
      </c>
      <c r="U8171" t="s">
        <v>56325</v>
      </c>
      <c r="W8171" t="s">
        <v>44633</v>
      </c>
      <c r="X8171" t="s">
        <v>47313</v>
      </c>
    </row>
    <row r="8172" spans="1:24">
      <c r="A8172">
        <f>HYPERLINK("https://www.philgeps.gov.ph/GEPSNONPILOT/Tender/SplashBidNoticeAbstractUI.aspx?menuIndex=3&amp;refID=7187656&amp;Result=3","7187656")</f>
        <v>0</v>
      </c>
      <c r="B8172" t="s">
        <v>567</v>
      </c>
      <c r="C8172" t="s">
        <v>11550</v>
      </c>
      <c r="E8172" t="s">
        <v>26136</v>
      </c>
      <c r="F8172" t="s">
        <v>32606</v>
      </c>
      <c r="G8172" t="s">
        <v>32619</v>
      </c>
      <c r="H8172" t="s">
        <v>14201</v>
      </c>
      <c r="I8172" t="s">
        <v>32633</v>
      </c>
      <c r="J8172" t="s">
        <v>33572</v>
      </c>
      <c r="K8172" t="s">
        <v>42624</v>
      </c>
      <c r="M8172" t="s">
        <v>43482</v>
      </c>
      <c r="N8172" t="s">
        <v>47304</v>
      </c>
      <c r="O8172" t="s">
        <v>47305</v>
      </c>
      <c r="P8172">
        <v>0</v>
      </c>
      <c r="Q8172">
        <v>2</v>
      </c>
      <c r="R8172" t="s">
        <v>47312</v>
      </c>
      <c r="S8172" t="s">
        <v>47489</v>
      </c>
      <c r="T8172" t="s">
        <v>49269</v>
      </c>
      <c r="U8172" t="s">
        <v>56338</v>
      </c>
      <c r="W8172" t="s">
        <v>43482</v>
      </c>
      <c r="X8172" t="s">
        <v>47313</v>
      </c>
    </row>
    <row r="8173" spans="1:24">
      <c r="A8173">
        <f>HYPERLINK("https://www.philgeps.gov.ph/GEPSNONPILOT/Tender/SplashBidNoticeAbstractUI.aspx?menuIndex=3&amp;refID=7187678&amp;Result=3","7187678")</f>
        <v>0</v>
      </c>
      <c r="B8173" t="s">
        <v>213</v>
      </c>
      <c r="C8173" t="s">
        <v>11551</v>
      </c>
      <c r="D8173" t="s">
        <v>19027</v>
      </c>
      <c r="E8173" t="s">
        <v>26137</v>
      </c>
      <c r="F8173" t="s">
        <v>32606</v>
      </c>
      <c r="G8173" t="s">
        <v>32614</v>
      </c>
      <c r="H8173" t="s">
        <v>14201</v>
      </c>
      <c r="I8173" t="s">
        <v>6931</v>
      </c>
      <c r="J8173" t="s">
        <v>37876</v>
      </c>
      <c r="K8173" t="s">
        <v>42623</v>
      </c>
      <c r="M8173" t="s">
        <v>43114</v>
      </c>
      <c r="N8173" t="s">
        <v>47304</v>
      </c>
      <c r="O8173" t="s">
        <v>47305</v>
      </c>
      <c r="P8173">
        <v>0</v>
      </c>
      <c r="Q8173">
        <v>0</v>
      </c>
      <c r="R8173" t="s">
        <v>47312</v>
      </c>
      <c r="S8173" t="s">
        <v>47489</v>
      </c>
      <c r="T8173" t="s">
        <v>49346</v>
      </c>
      <c r="U8173" t="s">
        <v>56339</v>
      </c>
      <c r="W8173" t="s">
        <v>43114</v>
      </c>
      <c r="X8173" t="s">
        <v>47313</v>
      </c>
    </row>
    <row r="8174" spans="1:24">
      <c r="A8174">
        <f>HYPERLINK("https://www.philgeps.gov.ph/GEPSNONPILOT/Tender/SplashBidNoticeAbstractUI.aspx?menuIndex=3&amp;refID=7187652&amp;Result=3","7187652")</f>
        <v>0</v>
      </c>
      <c r="B8174" t="s">
        <v>2598</v>
      </c>
      <c r="C8174" t="s">
        <v>11552</v>
      </c>
      <c r="D8174" t="s">
        <v>19006</v>
      </c>
      <c r="E8174" t="s">
        <v>26138</v>
      </c>
      <c r="F8174" t="s">
        <v>32606</v>
      </c>
      <c r="G8174" t="s">
        <v>32614</v>
      </c>
      <c r="H8174" t="s">
        <v>14201</v>
      </c>
      <c r="I8174" t="s">
        <v>32631</v>
      </c>
      <c r="J8174" t="s">
        <v>33363</v>
      </c>
      <c r="K8174" t="s">
        <v>42639</v>
      </c>
      <c r="M8174" t="s">
        <v>45742</v>
      </c>
      <c r="N8174" t="s">
        <v>47304</v>
      </c>
      <c r="O8174" t="s">
        <v>47305</v>
      </c>
      <c r="P8174">
        <v>0</v>
      </c>
      <c r="Q8174">
        <v>5</v>
      </c>
      <c r="R8174" t="s">
        <v>47312</v>
      </c>
      <c r="S8174" t="s">
        <v>47489</v>
      </c>
      <c r="T8174" t="s">
        <v>49268</v>
      </c>
      <c r="U8174" t="s">
        <v>49892</v>
      </c>
      <c r="V8174" t="s">
        <v>63466</v>
      </c>
      <c r="W8174" t="s">
        <v>45742</v>
      </c>
      <c r="X8174" t="s">
        <v>47313</v>
      </c>
    </row>
    <row r="8175" spans="1:24">
      <c r="A8175">
        <f>HYPERLINK("https://www.philgeps.gov.ph/GEPSNONPILOT/Tender/SplashBidNoticeAbstractUI.aspx?menuIndex=3&amp;refID=7187651&amp;Result=3","7187651")</f>
        <v>0</v>
      </c>
      <c r="B8175" t="s">
        <v>343</v>
      </c>
      <c r="C8175" t="s">
        <v>11553</v>
      </c>
      <c r="D8175" t="s">
        <v>18993</v>
      </c>
      <c r="E8175" t="s">
        <v>26139</v>
      </c>
      <c r="F8175" t="s">
        <v>32606</v>
      </c>
      <c r="G8175" t="s">
        <v>32614</v>
      </c>
      <c r="H8175" t="s">
        <v>14201</v>
      </c>
      <c r="I8175" t="s">
        <v>6298</v>
      </c>
      <c r="J8175" t="s">
        <v>37877</v>
      </c>
      <c r="K8175" t="s">
        <v>42624</v>
      </c>
      <c r="M8175" t="s">
        <v>45732</v>
      </c>
      <c r="N8175" t="s">
        <v>47304</v>
      </c>
      <c r="O8175" t="s">
        <v>47305</v>
      </c>
      <c r="P8175">
        <v>0</v>
      </c>
      <c r="Q8175">
        <v>0</v>
      </c>
      <c r="R8175" t="s">
        <v>47312</v>
      </c>
      <c r="S8175" t="s">
        <v>47489</v>
      </c>
      <c r="T8175" t="s">
        <v>49053</v>
      </c>
      <c r="U8175" t="s">
        <v>56340</v>
      </c>
      <c r="W8175" t="s">
        <v>45732</v>
      </c>
      <c r="X8175" t="s">
        <v>47313</v>
      </c>
    </row>
    <row r="8176" spans="1:24">
      <c r="A8176">
        <f>HYPERLINK("https://www.philgeps.gov.ph/GEPSNONPILOT/Tender/SplashBidNoticeAbstractUI.aspx?menuIndex=3&amp;refID=7187668&amp;Result=3","7187668")</f>
        <v>0</v>
      </c>
      <c r="B8176" t="s">
        <v>2599</v>
      </c>
      <c r="C8176" t="s">
        <v>11554</v>
      </c>
      <c r="D8176" t="s">
        <v>18992</v>
      </c>
      <c r="E8176" t="s">
        <v>26140</v>
      </c>
      <c r="F8176" t="s">
        <v>32607</v>
      </c>
      <c r="G8176" t="s">
        <v>32621</v>
      </c>
      <c r="H8176" t="s">
        <v>14201</v>
      </c>
      <c r="I8176" t="s">
        <v>6931</v>
      </c>
      <c r="J8176" t="s">
        <v>37878</v>
      </c>
      <c r="K8176" t="s">
        <v>42622</v>
      </c>
      <c r="M8176" t="s">
        <v>45743</v>
      </c>
      <c r="N8176" t="s">
        <v>47304</v>
      </c>
      <c r="O8176" t="s">
        <v>47305</v>
      </c>
      <c r="P8176">
        <v>0</v>
      </c>
      <c r="Q8176">
        <v>0</v>
      </c>
      <c r="R8176" t="s">
        <v>47312</v>
      </c>
      <c r="S8176" t="s">
        <v>47489</v>
      </c>
      <c r="T8176" t="s">
        <v>49107</v>
      </c>
      <c r="U8176" t="s">
        <v>56341</v>
      </c>
      <c r="W8176" t="s">
        <v>45743</v>
      </c>
      <c r="X8176" t="s">
        <v>47313</v>
      </c>
    </row>
    <row r="8177" spans="1:24">
      <c r="A8177">
        <f>HYPERLINK("https://www.philgeps.gov.ph/GEPSNONPILOT/Tender/SplashBidNoticeAbstractUI.aspx?menuIndex=3&amp;refID=7187649&amp;Result=3","7187649")</f>
        <v>0</v>
      </c>
      <c r="B8177" t="s">
        <v>2600</v>
      </c>
      <c r="C8177" t="s">
        <v>11555</v>
      </c>
      <c r="D8177" t="s">
        <v>19007</v>
      </c>
      <c r="E8177" t="s">
        <v>26141</v>
      </c>
      <c r="F8177" t="s">
        <v>32606</v>
      </c>
      <c r="G8177" t="s">
        <v>32613</v>
      </c>
      <c r="H8177" t="s">
        <v>32623</v>
      </c>
      <c r="I8177" t="s">
        <v>17648</v>
      </c>
      <c r="J8177" t="s">
        <v>37879</v>
      </c>
      <c r="K8177" t="s">
        <v>42623</v>
      </c>
      <c r="M8177" t="s">
        <v>45744</v>
      </c>
      <c r="N8177" t="s">
        <v>47304</v>
      </c>
      <c r="O8177" t="s">
        <v>47305</v>
      </c>
      <c r="P8177">
        <v>0</v>
      </c>
      <c r="Q8177">
        <v>2</v>
      </c>
      <c r="R8177" t="s">
        <v>47312</v>
      </c>
      <c r="S8177" t="s">
        <v>47489</v>
      </c>
      <c r="T8177" t="s">
        <v>49002</v>
      </c>
      <c r="U8177" t="s">
        <v>56342</v>
      </c>
      <c r="W8177" t="s">
        <v>45744</v>
      </c>
      <c r="X8177" t="s">
        <v>47313</v>
      </c>
    </row>
    <row r="8178" spans="1:24">
      <c r="A8178">
        <f>HYPERLINK("https://www.philgeps.gov.ph/GEPSNONPILOT/Tender/SplashBidNoticeAbstractUI.aspx?menuIndex=3&amp;refID=7187616&amp;Result=3","7187616")</f>
        <v>0</v>
      </c>
      <c r="B8178" t="s">
        <v>1677</v>
      </c>
      <c r="C8178" t="s">
        <v>11556</v>
      </c>
      <c r="D8178" t="s">
        <v>19027</v>
      </c>
      <c r="E8178" t="s">
        <v>20749</v>
      </c>
      <c r="F8178" t="s">
        <v>32606</v>
      </c>
      <c r="G8178" t="s">
        <v>32619</v>
      </c>
      <c r="H8178" t="s">
        <v>14201</v>
      </c>
      <c r="I8178" t="s">
        <v>4112</v>
      </c>
      <c r="J8178" t="s">
        <v>33897</v>
      </c>
      <c r="K8178" t="s">
        <v>42632</v>
      </c>
      <c r="M8178" t="s">
        <v>44705</v>
      </c>
      <c r="N8178" t="s">
        <v>47304</v>
      </c>
      <c r="O8178" t="s">
        <v>47305</v>
      </c>
      <c r="P8178">
        <v>0</v>
      </c>
      <c r="Q8178">
        <v>0</v>
      </c>
      <c r="R8178" t="s">
        <v>47312</v>
      </c>
      <c r="S8178" t="s">
        <v>47489</v>
      </c>
      <c r="T8178" t="s">
        <v>49098</v>
      </c>
      <c r="U8178" t="s">
        <v>56343</v>
      </c>
      <c r="W8178" t="s">
        <v>44705</v>
      </c>
      <c r="X8178" t="s">
        <v>47313</v>
      </c>
    </row>
    <row r="8179" spans="1:24">
      <c r="A8179">
        <f>HYPERLINK("https://www.philgeps.gov.ph/GEPSNONPILOT/Tender/SplashBidNoticeAbstractUI.aspx?menuIndex=3&amp;refID=7187648&amp;Result=3","7187648")</f>
        <v>0</v>
      </c>
      <c r="B8179" t="s">
        <v>2601</v>
      </c>
      <c r="C8179" t="s">
        <v>11557</v>
      </c>
      <c r="D8179" t="s">
        <v>19042</v>
      </c>
      <c r="E8179" t="s">
        <v>26142</v>
      </c>
      <c r="F8179" t="s">
        <v>32606</v>
      </c>
      <c r="G8179" t="s">
        <v>32613</v>
      </c>
      <c r="H8179" t="s">
        <v>14201</v>
      </c>
      <c r="I8179" t="s">
        <v>7529</v>
      </c>
      <c r="J8179" t="s">
        <v>33263</v>
      </c>
      <c r="K8179" t="s">
        <v>42630</v>
      </c>
      <c r="M8179" t="s">
        <v>45745</v>
      </c>
      <c r="N8179" t="s">
        <v>47304</v>
      </c>
      <c r="O8179" t="s">
        <v>47305</v>
      </c>
      <c r="P8179">
        <v>0</v>
      </c>
      <c r="Q8179">
        <v>3</v>
      </c>
      <c r="R8179" t="s">
        <v>47312</v>
      </c>
      <c r="S8179" t="s">
        <v>47489</v>
      </c>
      <c r="T8179" t="s">
        <v>49068</v>
      </c>
      <c r="U8179" t="s">
        <v>56344</v>
      </c>
      <c r="V8179" t="s">
        <v>63467</v>
      </c>
      <c r="W8179" t="s">
        <v>45745</v>
      </c>
      <c r="X8179" t="s">
        <v>47313</v>
      </c>
    </row>
    <row r="8180" spans="1:24">
      <c r="A8180">
        <f>HYPERLINK("https://www.philgeps.gov.ph/GEPSNONPILOT/Tender/SplashBidNoticeAbstractUI.aspx?menuIndex=3&amp;refID=7187679&amp;Result=3","7187679")</f>
        <v>0</v>
      </c>
      <c r="B8180" t="s">
        <v>2576</v>
      </c>
      <c r="C8180" t="s">
        <v>11558</v>
      </c>
      <c r="D8180" t="s">
        <v>19005</v>
      </c>
      <c r="E8180" t="s">
        <v>26143</v>
      </c>
      <c r="F8180" t="s">
        <v>32606</v>
      </c>
      <c r="G8180" t="s">
        <v>32614</v>
      </c>
      <c r="H8180" t="s">
        <v>14201</v>
      </c>
      <c r="I8180" t="s">
        <v>32631</v>
      </c>
      <c r="J8180" t="s">
        <v>37880</v>
      </c>
      <c r="K8180" t="s">
        <v>42623</v>
      </c>
      <c r="M8180" t="s">
        <v>45717</v>
      </c>
      <c r="N8180" t="s">
        <v>47304</v>
      </c>
      <c r="O8180" t="s">
        <v>47305</v>
      </c>
      <c r="P8180">
        <v>0</v>
      </c>
      <c r="Q8180">
        <v>2</v>
      </c>
      <c r="R8180" t="s">
        <v>47312</v>
      </c>
      <c r="S8180" t="s">
        <v>47489</v>
      </c>
      <c r="T8180" t="s">
        <v>49268</v>
      </c>
      <c r="U8180" t="s">
        <v>56259</v>
      </c>
      <c r="W8180" t="s">
        <v>45717</v>
      </c>
      <c r="X8180" t="s">
        <v>47313</v>
      </c>
    </row>
    <row r="8181" spans="1:24">
      <c r="A8181">
        <f>HYPERLINK("https://www.philgeps.gov.ph/GEPSNONPILOT/Tender/SplashBidNoticeAbstractUI.aspx?menuIndex=3&amp;refID=7187699&amp;Result=3","7187699")</f>
        <v>0</v>
      </c>
      <c r="B8181" t="s">
        <v>2602</v>
      </c>
      <c r="C8181" t="s">
        <v>11559</v>
      </c>
      <c r="D8181" t="s">
        <v>18993</v>
      </c>
      <c r="E8181" t="s">
        <v>26144</v>
      </c>
      <c r="F8181" t="s">
        <v>32606</v>
      </c>
      <c r="G8181" t="s">
        <v>32615</v>
      </c>
      <c r="H8181" t="s">
        <v>14201</v>
      </c>
      <c r="I8181" t="s">
        <v>32633</v>
      </c>
      <c r="J8181" t="s">
        <v>37881</v>
      </c>
      <c r="K8181" t="s">
        <v>42624</v>
      </c>
      <c r="M8181" t="s">
        <v>45746</v>
      </c>
      <c r="N8181" t="s">
        <v>47304</v>
      </c>
      <c r="O8181" t="s">
        <v>47305</v>
      </c>
      <c r="P8181">
        <v>0</v>
      </c>
      <c r="Q8181">
        <v>21</v>
      </c>
      <c r="R8181" t="s">
        <v>47312</v>
      </c>
      <c r="S8181" t="s">
        <v>47489</v>
      </c>
      <c r="T8181" t="s">
        <v>49073</v>
      </c>
      <c r="U8181" t="s">
        <v>56345</v>
      </c>
      <c r="W8181" t="s">
        <v>45746</v>
      </c>
      <c r="X8181" t="s">
        <v>47313</v>
      </c>
    </row>
    <row r="8182" spans="1:24">
      <c r="A8182">
        <f>HYPERLINK("https://www.philgeps.gov.ph/GEPSNONPILOT/Tender/SplashBidNoticeAbstractUI.aspx?menuIndex=3&amp;refID=7187708&amp;Result=3","7187708")</f>
        <v>0</v>
      </c>
      <c r="B8182" t="s">
        <v>2559</v>
      </c>
      <c r="C8182" t="s">
        <v>11560</v>
      </c>
      <c r="D8182" t="s">
        <v>19039</v>
      </c>
      <c r="E8182" t="s">
        <v>26145</v>
      </c>
      <c r="F8182" t="s">
        <v>32606</v>
      </c>
      <c r="G8182" t="s">
        <v>32613</v>
      </c>
      <c r="H8182" t="s">
        <v>14201</v>
      </c>
      <c r="I8182" t="s">
        <v>6931</v>
      </c>
      <c r="J8182" t="s">
        <v>32813</v>
      </c>
      <c r="K8182" t="s">
        <v>42631</v>
      </c>
      <c r="M8182" t="s">
        <v>45699</v>
      </c>
      <c r="N8182" t="s">
        <v>47304</v>
      </c>
      <c r="O8182" t="s">
        <v>47305</v>
      </c>
      <c r="P8182">
        <v>0</v>
      </c>
      <c r="Q8182">
        <v>0</v>
      </c>
      <c r="R8182" t="s">
        <v>47312</v>
      </c>
      <c r="S8182" t="s">
        <v>47489</v>
      </c>
      <c r="T8182" t="s">
        <v>49320</v>
      </c>
      <c r="U8182" t="s">
        <v>56210</v>
      </c>
      <c r="V8182" t="s">
        <v>63438</v>
      </c>
      <c r="W8182" t="s">
        <v>45699</v>
      </c>
      <c r="X8182" t="s">
        <v>47313</v>
      </c>
    </row>
    <row r="8183" spans="1:24">
      <c r="A8183">
        <f>HYPERLINK("https://www.philgeps.gov.ph/GEPSNONPILOT/Tender/SplashBidNoticeAbstractUI.aspx?menuIndex=3&amp;refID=7187696&amp;Result=3","7187696")</f>
        <v>0</v>
      </c>
      <c r="B8183" t="s">
        <v>2547</v>
      </c>
      <c r="C8183" t="s">
        <v>11561</v>
      </c>
      <c r="D8183" t="s">
        <v>19022</v>
      </c>
      <c r="E8183" t="s">
        <v>26146</v>
      </c>
      <c r="F8183" t="s">
        <v>32606</v>
      </c>
      <c r="G8183" t="s">
        <v>32614</v>
      </c>
      <c r="H8183" t="s">
        <v>14201</v>
      </c>
      <c r="I8183" t="s">
        <v>6007</v>
      </c>
      <c r="J8183" t="s">
        <v>34682</v>
      </c>
      <c r="K8183" t="s">
        <v>42624</v>
      </c>
      <c r="M8183" t="s">
        <v>45687</v>
      </c>
      <c r="N8183" t="s">
        <v>47304</v>
      </c>
      <c r="O8183" t="s">
        <v>47305</v>
      </c>
      <c r="P8183">
        <v>0</v>
      </c>
      <c r="Q8183">
        <v>2</v>
      </c>
      <c r="R8183" t="s">
        <v>47312</v>
      </c>
      <c r="S8183" t="s">
        <v>47489</v>
      </c>
      <c r="T8183" t="s">
        <v>49381</v>
      </c>
      <c r="U8183" t="s">
        <v>56346</v>
      </c>
      <c r="V8183" t="s">
        <v>63432</v>
      </c>
      <c r="W8183" t="s">
        <v>45687</v>
      </c>
      <c r="X8183" t="s">
        <v>47313</v>
      </c>
    </row>
    <row r="8184" spans="1:24">
      <c r="A8184">
        <f>HYPERLINK("https://www.philgeps.gov.ph/GEPSNONPILOT/Tender/SplashBidNoticeAbstractUI.aspx?menuIndex=3&amp;refID=7187617&amp;Result=3","7187617")</f>
        <v>0</v>
      </c>
      <c r="B8184" t="s">
        <v>2603</v>
      </c>
      <c r="C8184" t="s">
        <v>11562</v>
      </c>
      <c r="D8184" t="s">
        <v>19017</v>
      </c>
      <c r="E8184" t="s">
        <v>26147</v>
      </c>
      <c r="F8184" t="s">
        <v>32606</v>
      </c>
      <c r="G8184" t="s">
        <v>32613</v>
      </c>
      <c r="H8184" t="s">
        <v>32623</v>
      </c>
      <c r="I8184" t="s">
        <v>17648</v>
      </c>
      <c r="J8184" t="s">
        <v>37882</v>
      </c>
      <c r="K8184" t="s">
        <v>42719</v>
      </c>
      <c r="M8184" t="s">
        <v>45747</v>
      </c>
      <c r="N8184" t="s">
        <v>47304</v>
      </c>
      <c r="O8184" t="s">
        <v>47305</v>
      </c>
      <c r="P8184">
        <v>0</v>
      </c>
      <c r="Q8184">
        <v>1</v>
      </c>
      <c r="R8184" t="s">
        <v>47312</v>
      </c>
      <c r="S8184" t="s">
        <v>47489</v>
      </c>
      <c r="T8184" t="s">
        <v>49256</v>
      </c>
      <c r="U8184" t="s">
        <v>56347</v>
      </c>
      <c r="W8184" t="s">
        <v>45747</v>
      </c>
      <c r="X8184" t="s">
        <v>47313</v>
      </c>
    </row>
    <row r="8185" spans="1:24">
      <c r="A8185">
        <f>HYPERLINK("https://www.philgeps.gov.ph/GEPSNONPILOT/Tender/SplashBidNoticeAbstractUI.aspx?menuIndex=3&amp;refID=7187687&amp;Result=3","7187687")</f>
        <v>0</v>
      </c>
      <c r="B8185" t="s">
        <v>2594</v>
      </c>
      <c r="C8185" t="s">
        <v>11563</v>
      </c>
      <c r="D8185" t="s">
        <v>19009</v>
      </c>
      <c r="E8185" t="s">
        <v>26148</v>
      </c>
      <c r="F8185" t="s">
        <v>32606</v>
      </c>
      <c r="G8185" t="s">
        <v>32613</v>
      </c>
      <c r="H8185" t="s">
        <v>32623</v>
      </c>
      <c r="I8185" t="s">
        <v>17648</v>
      </c>
      <c r="J8185" t="s">
        <v>37883</v>
      </c>
      <c r="K8185" t="s">
        <v>42646</v>
      </c>
      <c r="M8185" t="s">
        <v>45737</v>
      </c>
      <c r="N8185" t="s">
        <v>47304</v>
      </c>
      <c r="O8185" t="s">
        <v>47305</v>
      </c>
      <c r="P8185">
        <v>0</v>
      </c>
      <c r="Q8185">
        <v>0</v>
      </c>
      <c r="R8185" t="s">
        <v>47312</v>
      </c>
      <c r="S8185" t="s">
        <v>47489</v>
      </c>
      <c r="T8185" t="s">
        <v>49064</v>
      </c>
      <c r="U8185" t="s">
        <v>56348</v>
      </c>
      <c r="V8185" t="s">
        <v>63468</v>
      </c>
      <c r="W8185" t="s">
        <v>45737</v>
      </c>
      <c r="X8185" t="s">
        <v>47313</v>
      </c>
    </row>
    <row r="8186" spans="1:24">
      <c r="A8186">
        <f>HYPERLINK("https://www.philgeps.gov.ph/GEPSNONPILOT/Tender/SplashBidNoticeAbstractUI.aspx?menuIndex=3&amp;refID=7187683&amp;Result=3","7187683")</f>
        <v>0</v>
      </c>
      <c r="B8186" t="s">
        <v>2013</v>
      </c>
      <c r="C8186" t="s">
        <v>11564</v>
      </c>
      <c r="D8186" t="s">
        <v>18993</v>
      </c>
      <c r="E8186" t="s">
        <v>20981</v>
      </c>
      <c r="F8186" t="s">
        <v>32606</v>
      </c>
      <c r="G8186" t="s">
        <v>32614</v>
      </c>
      <c r="H8186" t="s">
        <v>14201</v>
      </c>
      <c r="I8186" t="s">
        <v>4115</v>
      </c>
      <c r="J8186" t="s">
        <v>37884</v>
      </c>
      <c r="K8186" t="s">
        <v>42623</v>
      </c>
      <c r="M8186" t="s">
        <v>45085</v>
      </c>
      <c r="N8186" t="s">
        <v>47304</v>
      </c>
      <c r="O8186" t="s">
        <v>47305</v>
      </c>
      <c r="P8186">
        <v>0</v>
      </c>
      <c r="Q8186">
        <v>6</v>
      </c>
      <c r="R8186" t="s">
        <v>47312</v>
      </c>
      <c r="S8186" t="s">
        <v>47489</v>
      </c>
      <c r="T8186" t="s">
        <v>49268</v>
      </c>
      <c r="U8186" t="s">
        <v>56349</v>
      </c>
      <c r="W8186" t="s">
        <v>64490</v>
      </c>
      <c r="X8186" t="s">
        <v>47313</v>
      </c>
    </row>
    <row r="8187" spans="1:24">
      <c r="A8187">
        <f>HYPERLINK("https://www.philgeps.gov.ph/GEPSNONPILOT/Tender/SplashBidNoticeAbstractUI.aspx?menuIndex=3&amp;refID=7187686&amp;Result=3","7187686")</f>
        <v>0</v>
      </c>
      <c r="B8187" t="s">
        <v>2505</v>
      </c>
      <c r="C8187" t="s">
        <v>11565</v>
      </c>
      <c r="D8187" t="s">
        <v>19007</v>
      </c>
      <c r="E8187" t="s">
        <v>25893</v>
      </c>
      <c r="F8187" t="s">
        <v>32606</v>
      </c>
      <c r="G8187" t="s">
        <v>32613</v>
      </c>
      <c r="H8187" t="s">
        <v>32623</v>
      </c>
      <c r="I8187" t="s">
        <v>17648</v>
      </c>
      <c r="J8187" t="s">
        <v>37703</v>
      </c>
      <c r="K8187" t="s">
        <v>42639</v>
      </c>
      <c r="M8187" t="s">
        <v>45644</v>
      </c>
      <c r="N8187" t="s">
        <v>47304</v>
      </c>
      <c r="O8187" t="s">
        <v>47305</v>
      </c>
      <c r="P8187">
        <v>0</v>
      </c>
      <c r="Q8187">
        <v>1</v>
      </c>
      <c r="R8187" t="s">
        <v>47312</v>
      </c>
      <c r="S8187" t="s">
        <v>47489</v>
      </c>
      <c r="T8187" t="s">
        <v>49077</v>
      </c>
      <c r="U8187" t="s">
        <v>56075</v>
      </c>
      <c r="V8187" t="s">
        <v>63469</v>
      </c>
      <c r="W8187" t="s">
        <v>45644</v>
      </c>
      <c r="X8187" t="s">
        <v>47313</v>
      </c>
    </row>
    <row r="8188" spans="1:24">
      <c r="A8188">
        <f>HYPERLINK("https://www.philgeps.gov.ph/GEPSNONPILOT/Tender/SplashBidNoticeAbstractUI.aspx?menuIndex=3&amp;refID=7187716&amp;Result=3","7187716")</f>
        <v>0</v>
      </c>
      <c r="B8188" t="s">
        <v>567</v>
      </c>
      <c r="C8188" t="s">
        <v>11566</v>
      </c>
      <c r="E8188" t="s">
        <v>26149</v>
      </c>
      <c r="F8188" t="s">
        <v>32606</v>
      </c>
      <c r="G8188" t="s">
        <v>32619</v>
      </c>
      <c r="H8188" t="s">
        <v>14201</v>
      </c>
      <c r="I8188" t="s">
        <v>32633</v>
      </c>
      <c r="J8188" t="s">
        <v>33897</v>
      </c>
      <c r="K8188" t="s">
        <v>42624</v>
      </c>
      <c r="M8188" t="s">
        <v>43482</v>
      </c>
      <c r="N8188" t="s">
        <v>47304</v>
      </c>
      <c r="O8188" t="s">
        <v>47305</v>
      </c>
      <c r="P8188">
        <v>0</v>
      </c>
      <c r="Q8188">
        <v>4</v>
      </c>
      <c r="R8188" t="s">
        <v>47312</v>
      </c>
      <c r="S8188" t="s">
        <v>47489</v>
      </c>
      <c r="T8188" t="s">
        <v>49269</v>
      </c>
      <c r="U8188" t="s">
        <v>56350</v>
      </c>
      <c r="W8188" t="s">
        <v>43482</v>
      </c>
      <c r="X8188" t="s">
        <v>47313</v>
      </c>
    </row>
    <row r="8189" spans="1:24">
      <c r="A8189">
        <f>HYPERLINK("https://www.philgeps.gov.ph/GEPSNONPILOT/Tender/SplashBidNoticeAbstractUI.aspx?menuIndex=3&amp;refID=7187734&amp;Result=3","7187734")</f>
        <v>0</v>
      </c>
      <c r="B8189" t="s">
        <v>282</v>
      </c>
      <c r="C8189" t="s">
        <v>11567</v>
      </c>
      <c r="D8189" t="s">
        <v>19051</v>
      </c>
      <c r="E8189" t="s">
        <v>26150</v>
      </c>
      <c r="F8189" t="s">
        <v>32606</v>
      </c>
      <c r="G8189" t="s">
        <v>32617</v>
      </c>
      <c r="H8189" t="s">
        <v>14201</v>
      </c>
      <c r="I8189" t="s">
        <v>7677</v>
      </c>
      <c r="J8189" t="s">
        <v>37885</v>
      </c>
      <c r="K8189" t="s">
        <v>42631</v>
      </c>
      <c r="M8189" t="s">
        <v>43183</v>
      </c>
      <c r="N8189" t="s">
        <v>47304</v>
      </c>
      <c r="O8189" t="s">
        <v>47305</v>
      </c>
      <c r="P8189">
        <v>0</v>
      </c>
      <c r="Q8189">
        <v>0</v>
      </c>
      <c r="R8189" t="s">
        <v>47312</v>
      </c>
      <c r="S8189" t="s">
        <v>47489</v>
      </c>
      <c r="T8189" t="s">
        <v>49268</v>
      </c>
      <c r="U8189" t="s">
        <v>56351</v>
      </c>
      <c r="W8189" t="s">
        <v>43183</v>
      </c>
      <c r="X8189" t="s">
        <v>47313</v>
      </c>
    </row>
    <row r="8190" spans="1:24">
      <c r="A8190">
        <f>HYPERLINK("https://www.philgeps.gov.ph/GEPSNONPILOT/Tender/SplashBidNoticeAbstractUI.aspx?menuIndex=3&amp;refID=7187732&amp;Result=3","7187732")</f>
        <v>0</v>
      </c>
      <c r="B8190" t="s">
        <v>2604</v>
      </c>
      <c r="C8190" t="s">
        <v>11568</v>
      </c>
      <c r="D8190" t="s">
        <v>19056</v>
      </c>
      <c r="E8190" t="s">
        <v>26151</v>
      </c>
      <c r="F8190" t="s">
        <v>32606</v>
      </c>
      <c r="G8190" t="s">
        <v>32613</v>
      </c>
      <c r="H8190" t="s">
        <v>14201</v>
      </c>
      <c r="I8190" t="s">
        <v>6931</v>
      </c>
      <c r="J8190" t="s">
        <v>37886</v>
      </c>
      <c r="K8190" t="s">
        <v>42631</v>
      </c>
      <c r="M8190" t="s">
        <v>45748</v>
      </c>
      <c r="N8190" t="s">
        <v>47304</v>
      </c>
      <c r="O8190" t="s">
        <v>47305</v>
      </c>
      <c r="P8190">
        <v>0</v>
      </c>
      <c r="Q8190">
        <v>0</v>
      </c>
      <c r="R8190" t="s">
        <v>47312</v>
      </c>
      <c r="S8190" t="s">
        <v>47489</v>
      </c>
      <c r="T8190" t="s">
        <v>49057</v>
      </c>
      <c r="U8190" t="s">
        <v>56352</v>
      </c>
      <c r="V8190" t="s">
        <v>63470</v>
      </c>
      <c r="W8190" t="s">
        <v>45748</v>
      </c>
      <c r="X8190" t="s">
        <v>47313</v>
      </c>
    </row>
    <row r="8191" spans="1:24">
      <c r="A8191">
        <f>HYPERLINK("https://www.philgeps.gov.ph/GEPSNONPILOT/Tender/SplashBidNoticeAbstractUI.aspx?menuIndex=3&amp;refID=7187726&amp;Result=3","7187726")</f>
        <v>0</v>
      </c>
      <c r="B8191" t="s">
        <v>2558</v>
      </c>
      <c r="C8191" t="s">
        <v>11569</v>
      </c>
      <c r="D8191" t="s">
        <v>19016</v>
      </c>
      <c r="E8191" t="s">
        <v>26152</v>
      </c>
      <c r="F8191" t="s">
        <v>32606</v>
      </c>
      <c r="G8191" t="s">
        <v>32613</v>
      </c>
      <c r="H8191" t="s">
        <v>14201</v>
      </c>
      <c r="I8191" t="s">
        <v>32631</v>
      </c>
      <c r="J8191" t="s">
        <v>37887</v>
      </c>
      <c r="K8191" t="s">
        <v>42631</v>
      </c>
      <c r="M8191" t="s">
        <v>45698</v>
      </c>
      <c r="N8191" t="s">
        <v>47304</v>
      </c>
      <c r="O8191" t="s">
        <v>47305</v>
      </c>
      <c r="P8191">
        <v>0</v>
      </c>
      <c r="Q8191">
        <v>2</v>
      </c>
      <c r="R8191" t="s">
        <v>47312</v>
      </c>
      <c r="S8191" t="s">
        <v>47489</v>
      </c>
      <c r="T8191" t="s">
        <v>49167</v>
      </c>
      <c r="U8191" t="s">
        <v>56353</v>
      </c>
      <c r="W8191" t="s">
        <v>45698</v>
      </c>
      <c r="X8191" t="s">
        <v>47313</v>
      </c>
    </row>
    <row r="8192" spans="1:24">
      <c r="A8192">
        <f>HYPERLINK("https://www.philgeps.gov.ph/GEPSNONPILOT/Tender/SplashBidNoticeAbstractUI.aspx?menuIndex=3&amp;refID=7187694&amp;Result=3","7187694")</f>
        <v>0</v>
      </c>
      <c r="B8192" t="s">
        <v>2605</v>
      </c>
      <c r="C8192" t="s">
        <v>11570</v>
      </c>
      <c r="D8192" t="s">
        <v>19061</v>
      </c>
      <c r="E8192" t="s">
        <v>26153</v>
      </c>
      <c r="F8192" t="s">
        <v>32606</v>
      </c>
      <c r="G8192" t="s">
        <v>32613</v>
      </c>
      <c r="H8192" t="s">
        <v>14201</v>
      </c>
      <c r="I8192" t="s">
        <v>6478</v>
      </c>
      <c r="J8192" t="s">
        <v>33449</v>
      </c>
      <c r="K8192" t="s">
        <v>42631</v>
      </c>
      <c r="M8192" t="s">
        <v>45749</v>
      </c>
      <c r="N8192" t="s">
        <v>47304</v>
      </c>
      <c r="O8192" t="s">
        <v>47305</v>
      </c>
      <c r="P8192">
        <v>0</v>
      </c>
      <c r="Q8192">
        <v>7</v>
      </c>
      <c r="R8192" t="s">
        <v>47312</v>
      </c>
      <c r="S8192" t="s">
        <v>47489</v>
      </c>
      <c r="T8192" t="s">
        <v>49387</v>
      </c>
      <c r="U8192" t="s">
        <v>56354</v>
      </c>
      <c r="W8192" t="s">
        <v>45749</v>
      </c>
      <c r="X8192" t="s">
        <v>47313</v>
      </c>
    </row>
    <row r="8193" spans="1:24">
      <c r="A8193">
        <f>HYPERLINK("https://www.philgeps.gov.ph/GEPSNONPILOT/Tender/SplashBidNoticeAbstractUI.aspx?menuIndex=3&amp;refID=7187720&amp;Result=3","7187720")</f>
        <v>0</v>
      </c>
      <c r="B8193" t="s">
        <v>2606</v>
      </c>
      <c r="C8193" t="s">
        <v>11571</v>
      </c>
      <c r="D8193" t="s">
        <v>19039</v>
      </c>
      <c r="E8193" t="s">
        <v>26154</v>
      </c>
      <c r="F8193" t="s">
        <v>32606</v>
      </c>
      <c r="G8193" t="s">
        <v>32613</v>
      </c>
      <c r="H8193" t="s">
        <v>14201</v>
      </c>
      <c r="I8193" t="s">
        <v>32626</v>
      </c>
      <c r="J8193" t="s">
        <v>37888</v>
      </c>
      <c r="K8193" t="s">
        <v>42636</v>
      </c>
      <c r="M8193" t="s">
        <v>45750</v>
      </c>
      <c r="N8193" t="s">
        <v>47304</v>
      </c>
      <c r="O8193" t="s">
        <v>47305</v>
      </c>
      <c r="P8193">
        <v>0</v>
      </c>
      <c r="Q8193">
        <v>2</v>
      </c>
      <c r="R8193" t="s">
        <v>47312</v>
      </c>
      <c r="S8193" t="s">
        <v>47489</v>
      </c>
      <c r="T8193" t="s">
        <v>49095</v>
      </c>
      <c r="U8193" t="s">
        <v>56355</v>
      </c>
      <c r="W8193" t="s">
        <v>45750</v>
      </c>
      <c r="X8193" t="s">
        <v>47313</v>
      </c>
    </row>
    <row r="8194" spans="1:24">
      <c r="A8194">
        <f>HYPERLINK("https://www.philgeps.gov.ph/GEPSNONPILOT/Tender/SplashBidNoticeAbstractUI.aspx?menuIndex=3&amp;refID=7187718&amp;Result=3","7187718")</f>
        <v>0</v>
      </c>
      <c r="B8194" t="s">
        <v>280</v>
      </c>
      <c r="C8194" t="s">
        <v>11572</v>
      </c>
      <c r="D8194" t="s">
        <v>19028</v>
      </c>
      <c r="E8194" t="s">
        <v>11572</v>
      </c>
      <c r="F8194" t="s">
        <v>32606</v>
      </c>
      <c r="G8194" t="s">
        <v>32619</v>
      </c>
      <c r="H8194" t="s">
        <v>14201</v>
      </c>
      <c r="I8194" t="s">
        <v>4112</v>
      </c>
      <c r="J8194" t="s">
        <v>37889</v>
      </c>
      <c r="K8194" t="s">
        <v>42631</v>
      </c>
      <c r="M8194" t="s">
        <v>43712</v>
      </c>
      <c r="N8194" t="s">
        <v>47304</v>
      </c>
      <c r="O8194" t="s">
        <v>47305</v>
      </c>
      <c r="P8194">
        <v>0</v>
      </c>
      <c r="Q8194">
        <v>0</v>
      </c>
      <c r="R8194" t="s">
        <v>47312</v>
      </c>
      <c r="S8194" t="s">
        <v>47489</v>
      </c>
      <c r="T8194" t="s">
        <v>49053</v>
      </c>
      <c r="U8194" t="s">
        <v>56356</v>
      </c>
      <c r="W8194" t="s">
        <v>43712</v>
      </c>
      <c r="X8194" t="s">
        <v>47313</v>
      </c>
    </row>
    <row r="8195" spans="1:24">
      <c r="A8195">
        <f>HYPERLINK("https://www.philgeps.gov.ph/GEPSNONPILOT/Tender/SplashBidNoticeAbstractUI.aspx?menuIndex=3&amp;refID=7187717&amp;Result=3","7187717")</f>
        <v>0</v>
      </c>
      <c r="B8195" t="s">
        <v>1278</v>
      </c>
      <c r="C8195" t="s">
        <v>11573</v>
      </c>
      <c r="E8195" t="s">
        <v>26155</v>
      </c>
      <c r="F8195" t="s">
        <v>32606</v>
      </c>
      <c r="G8195" t="s">
        <v>32613</v>
      </c>
      <c r="H8195" t="s">
        <v>14201</v>
      </c>
      <c r="I8195" t="s">
        <v>4678</v>
      </c>
      <c r="J8195" t="s">
        <v>37890</v>
      </c>
      <c r="K8195" t="s">
        <v>42624</v>
      </c>
      <c r="M8195" t="s">
        <v>44248</v>
      </c>
      <c r="N8195" t="s">
        <v>47304</v>
      </c>
      <c r="O8195" t="s">
        <v>47305</v>
      </c>
      <c r="P8195">
        <v>0</v>
      </c>
      <c r="Q8195">
        <v>19</v>
      </c>
      <c r="R8195" t="s">
        <v>47312</v>
      </c>
      <c r="S8195" t="s">
        <v>47489</v>
      </c>
      <c r="T8195" t="s">
        <v>49080</v>
      </c>
      <c r="U8195" t="s">
        <v>56357</v>
      </c>
      <c r="W8195" t="s">
        <v>44248</v>
      </c>
      <c r="X8195" t="s">
        <v>47313</v>
      </c>
    </row>
    <row r="8196" spans="1:24">
      <c r="A8196">
        <f>HYPERLINK("https://www.philgeps.gov.ph/GEPSNONPILOT/Tender/SplashBidNoticeAbstractUI.aspx?menuIndex=3&amp;refID=7187701&amp;Result=3","7187701")</f>
        <v>0</v>
      </c>
      <c r="B8196" t="s">
        <v>877</v>
      </c>
      <c r="C8196" t="s">
        <v>11574</v>
      </c>
      <c r="D8196" t="s">
        <v>19044</v>
      </c>
      <c r="E8196" t="s">
        <v>26156</v>
      </c>
      <c r="F8196" t="s">
        <v>32606</v>
      </c>
      <c r="G8196" t="s">
        <v>32613</v>
      </c>
      <c r="H8196" t="s">
        <v>14201</v>
      </c>
      <c r="I8196" t="s">
        <v>7064</v>
      </c>
      <c r="J8196" t="s">
        <v>37891</v>
      </c>
      <c r="K8196" t="s">
        <v>42631</v>
      </c>
      <c r="M8196" t="s">
        <v>43813</v>
      </c>
      <c r="N8196" t="s">
        <v>47304</v>
      </c>
      <c r="O8196" t="s">
        <v>47305</v>
      </c>
      <c r="P8196">
        <v>0</v>
      </c>
      <c r="Q8196">
        <v>4</v>
      </c>
      <c r="R8196" t="s">
        <v>47312</v>
      </c>
      <c r="S8196" t="s">
        <v>47489</v>
      </c>
      <c r="T8196" t="s">
        <v>49146</v>
      </c>
      <c r="U8196" t="s">
        <v>56358</v>
      </c>
      <c r="V8196" t="s">
        <v>63471</v>
      </c>
      <c r="W8196" t="s">
        <v>43813</v>
      </c>
      <c r="X8196" t="s">
        <v>47313</v>
      </c>
    </row>
    <row r="8197" spans="1:24">
      <c r="A8197">
        <f>HYPERLINK("https://www.philgeps.gov.ph/GEPSNONPILOT/Tender/SplashBidNoticeAbstractUI.aspx?menuIndex=3&amp;refID=7187735&amp;Result=3","7187735")</f>
        <v>0</v>
      </c>
      <c r="B8197" t="s">
        <v>567</v>
      </c>
      <c r="C8197" t="s">
        <v>11575</v>
      </c>
      <c r="E8197" t="s">
        <v>26157</v>
      </c>
      <c r="F8197" t="s">
        <v>32606</v>
      </c>
      <c r="G8197" t="s">
        <v>32619</v>
      </c>
      <c r="H8197" t="s">
        <v>14201</v>
      </c>
      <c r="I8197" t="s">
        <v>32633</v>
      </c>
      <c r="J8197" t="s">
        <v>33783</v>
      </c>
      <c r="K8197" t="s">
        <v>42624</v>
      </c>
      <c r="M8197" t="s">
        <v>43482</v>
      </c>
      <c r="N8197" t="s">
        <v>47304</v>
      </c>
      <c r="O8197" t="s">
        <v>47305</v>
      </c>
      <c r="P8197">
        <v>0</v>
      </c>
      <c r="Q8197">
        <v>4</v>
      </c>
      <c r="R8197" t="s">
        <v>47312</v>
      </c>
      <c r="S8197" t="s">
        <v>47489</v>
      </c>
      <c r="T8197" t="s">
        <v>49269</v>
      </c>
      <c r="U8197" t="s">
        <v>56359</v>
      </c>
      <c r="W8197" t="s">
        <v>43482</v>
      </c>
      <c r="X8197" t="s">
        <v>47313</v>
      </c>
    </row>
    <row r="8198" spans="1:24">
      <c r="A8198">
        <f>HYPERLINK("https://www.philgeps.gov.ph/GEPSNONPILOT/Tender/SplashBidNoticeAbstractUI.aspx?menuIndex=3&amp;refID=7187731&amp;Result=3","7187731")</f>
        <v>0</v>
      </c>
      <c r="B8198" t="s">
        <v>2607</v>
      </c>
      <c r="C8198" t="s">
        <v>11576</v>
      </c>
      <c r="D8198" t="s">
        <v>18993</v>
      </c>
      <c r="E8198" t="s">
        <v>26158</v>
      </c>
      <c r="F8198" t="s">
        <v>32606</v>
      </c>
      <c r="G8198" t="s">
        <v>32614</v>
      </c>
      <c r="H8198" t="s">
        <v>14201</v>
      </c>
      <c r="I8198" t="s">
        <v>6993</v>
      </c>
      <c r="J8198" t="s">
        <v>32977</v>
      </c>
      <c r="K8198" t="s">
        <v>42623</v>
      </c>
      <c r="M8198" t="s">
        <v>45751</v>
      </c>
      <c r="N8198" t="s">
        <v>47304</v>
      </c>
      <c r="O8198" t="s">
        <v>47305</v>
      </c>
      <c r="P8198">
        <v>0</v>
      </c>
      <c r="Q8198">
        <v>1</v>
      </c>
      <c r="R8198" t="s">
        <v>47312</v>
      </c>
      <c r="S8198" t="s">
        <v>47489</v>
      </c>
      <c r="T8198" t="s">
        <v>48997</v>
      </c>
      <c r="U8198" t="s">
        <v>56360</v>
      </c>
      <c r="W8198" t="s">
        <v>45751</v>
      </c>
      <c r="X8198" t="s">
        <v>47313</v>
      </c>
    </row>
    <row r="8199" spans="1:24">
      <c r="A8199">
        <f>HYPERLINK("https://www.philgeps.gov.ph/GEPSNONPILOT/Tender/SplashBidNoticeAbstractUI.aspx?menuIndex=3&amp;refID=7187607&amp;Result=3","7187607")</f>
        <v>0</v>
      </c>
      <c r="B8199" t="s">
        <v>2505</v>
      </c>
      <c r="C8199" t="s">
        <v>11577</v>
      </c>
      <c r="D8199" t="s">
        <v>19007</v>
      </c>
      <c r="E8199" t="s">
        <v>25893</v>
      </c>
      <c r="F8199" t="s">
        <v>32606</v>
      </c>
      <c r="G8199" t="s">
        <v>32613</v>
      </c>
      <c r="H8199" t="s">
        <v>32623</v>
      </c>
      <c r="I8199" t="s">
        <v>17648</v>
      </c>
      <c r="J8199" t="s">
        <v>37710</v>
      </c>
      <c r="K8199" t="s">
        <v>42636</v>
      </c>
      <c r="M8199" t="s">
        <v>45644</v>
      </c>
      <c r="N8199" t="s">
        <v>47304</v>
      </c>
      <c r="O8199" t="s">
        <v>47305</v>
      </c>
      <c r="P8199">
        <v>0</v>
      </c>
      <c r="Q8199">
        <v>2</v>
      </c>
      <c r="R8199" t="s">
        <v>47312</v>
      </c>
      <c r="S8199" t="s">
        <v>47489</v>
      </c>
      <c r="T8199" t="s">
        <v>49077</v>
      </c>
      <c r="U8199" t="s">
        <v>56075</v>
      </c>
      <c r="V8199" t="s">
        <v>63472</v>
      </c>
      <c r="W8199" t="s">
        <v>45644</v>
      </c>
      <c r="X8199" t="s">
        <v>47313</v>
      </c>
    </row>
    <row r="8200" spans="1:24">
      <c r="A8200">
        <f>HYPERLINK("https://www.philgeps.gov.ph/GEPSNONPILOT/Tender/SplashBidNoticeAbstractUI.aspx?menuIndex=3&amp;refID=7187719&amp;Result=3","7187719")</f>
        <v>0</v>
      </c>
      <c r="B8200" t="s">
        <v>2013</v>
      </c>
      <c r="C8200" t="s">
        <v>11578</v>
      </c>
      <c r="D8200" t="s">
        <v>18993</v>
      </c>
      <c r="E8200" t="s">
        <v>21015</v>
      </c>
      <c r="F8200" t="s">
        <v>32606</v>
      </c>
      <c r="G8200" t="s">
        <v>32614</v>
      </c>
      <c r="H8200" t="s">
        <v>14201</v>
      </c>
      <c r="I8200" t="s">
        <v>6993</v>
      </c>
      <c r="J8200" t="s">
        <v>37892</v>
      </c>
      <c r="K8200" t="s">
        <v>42623</v>
      </c>
      <c r="M8200" t="s">
        <v>45085</v>
      </c>
      <c r="N8200" t="s">
        <v>47304</v>
      </c>
      <c r="O8200" t="s">
        <v>47305</v>
      </c>
      <c r="P8200">
        <v>0</v>
      </c>
      <c r="Q8200">
        <v>0</v>
      </c>
      <c r="R8200" t="s">
        <v>47312</v>
      </c>
      <c r="S8200" t="s">
        <v>47489</v>
      </c>
      <c r="T8200" t="s">
        <v>49268</v>
      </c>
      <c r="U8200" t="s">
        <v>56361</v>
      </c>
      <c r="W8200" t="s">
        <v>64490</v>
      </c>
      <c r="X8200" t="s">
        <v>47313</v>
      </c>
    </row>
    <row r="8201" spans="1:24">
      <c r="A8201">
        <f>HYPERLINK("https://www.philgeps.gov.ph/GEPSNONPILOT/Tender/SplashBidNoticeAbstractUI.aspx?menuIndex=3&amp;refID=7187758&amp;Result=3","7187758")</f>
        <v>0</v>
      </c>
      <c r="B8201" t="s">
        <v>282</v>
      </c>
      <c r="C8201" t="s">
        <v>11579</v>
      </c>
      <c r="D8201" t="s">
        <v>19051</v>
      </c>
      <c r="E8201" t="s">
        <v>26159</v>
      </c>
      <c r="F8201" t="s">
        <v>32606</v>
      </c>
      <c r="G8201" t="s">
        <v>32617</v>
      </c>
      <c r="H8201" t="s">
        <v>14201</v>
      </c>
      <c r="I8201" t="s">
        <v>32633</v>
      </c>
      <c r="J8201" t="s">
        <v>37893</v>
      </c>
      <c r="K8201" t="s">
        <v>42631</v>
      </c>
      <c r="M8201" t="s">
        <v>43183</v>
      </c>
      <c r="N8201" t="s">
        <v>47304</v>
      </c>
      <c r="O8201" t="s">
        <v>47305</v>
      </c>
      <c r="P8201">
        <v>0</v>
      </c>
      <c r="Q8201">
        <v>1</v>
      </c>
      <c r="R8201" t="s">
        <v>47312</v>
      </c>
      <c r="S8201" t="s">
        <v>47489</v>
      </c>
      <c r="T8201" t="s">
        <v>49268</v>
      </c>
      <c r="U8201" t="s">
        <v>56362</v>
      </c>
      <c r="W8201" t="s">
        <v>43183</v>
      </c>
      <c r="X8201" t="s">
        <v>47313</v>
      </c>
    </row>
    <row r="8202" spans="1:24">
      <c r="A8202">
        <f>HYPERLINK("https://www.philgeps.gov.ph/GEPSNONPILOT/Tender/SplashBidNoticeAbstractUI.aspx?menuIndex=3&amp;refID=7187713&amp;Result=3","7187713")</f>
        <v>0</v>
      </c>
      <c r="B8202" t="s">
        <v>1893</v>
      </c>
      <c r="C8202" t="s">
        <v>11580</v>
      </c>
      <c r="D8202" t="s">
        <v>19039</v>
      </c>
      <c r="E8202" t="s">
        <v>26160</v>
      </c>
      <c r="F8202" t="s">
        <v>32606</v>
      </c>
      <c r="G8202" t="s">
        <v>32614</v>
      </c>
      <c r="H8202" t="s">
        <v>14201</v>
      </c>
      <c r="I8202" t="s">
        <v>7233</v>
      </c>
      <c r="J8202" t="s">
        <v>37894</v>
      </c>
      <c r="K8202" t="s">
        <v>42624</v>
      </c>
      <c r="M8202" t="s">
        <v>44952</v>
      </c>
      <c r="N8202" t="s">
        <v>47304</v>
      </c>
      <c r="O8202" t="s">
        <v>47305</v>
      </c>
      <c r="Q8202">
        <v>0</v>
      </c>
      <c r="R8202" t="s">
        <v>47312</v>
      </c>
      <c r="S8202" t="s">
        <v>47502</v>
      </c>
      <c r="T8202" t="s">
        <v>49002</v>
      </c>
      <c r="U8202" t="s">
        <v>56363</v>
      </c>
      <c r="W8202" t="s">
        <v>44952</v>
      </c>
      <c r="X8202" t="s">
        <v>47313</v>
      </c>
    </row>
    <row r="8203" spans="1:24">
      <c r="A8203">
        <f>HYPERLINK("https://www.philgeps.gov.ph/GEPSNONPILOT/Tender/SplashBidNoticeAbstractUI.aspx?menuIndex=3&amp;refID=7187754&amp;Result=3","7187754")</f>
        <v>0</v>
      </c>
      <c r="B8203" t="s">
        <v>2608</v>
      </c>
      <c r="C8203" t="s">
        <v>3942</v>
      </c>
      <c r="D8203" t="s">
        <v>19000</v>
      </c>
      <c r="E8203" t="s">
        <v>26161</v>
      </c>
      <c r="F8203" t="s">
        <v>32606</v>
      </c>
      <c r="G8203" t="s">
        <v>32613</v>
      </c>
      <c r="H8203" t="s">
        <v>32623</v>
      </c>
      <c r="I8203" t="s">
        <v>17648</v>
      </c>
      <c r="J8203" t="s">
        <v>32949</v>
      </c>
      <c r="K8203" t="s">
        <v>42632</v>
      </c>
      <c r="M8203" t="s">
        <v>45752</v>
      </c>
      <c r="N8203" t="s">
        <v>47304</v>
      </c>
      <c r="O8203" t="s">
        <v>47305</v>
      </c>
      <c r="P8203">
        <v>0</v>
      </c>
      <c r="Q8203">
        <v>0</v>
      </c>
      <c r="R8203" t="s">
        <v>47312</v>
      </c>
      <c r="S8203" t="s">
        <v>47489</v>
      </c>
      <c r="T8203" t="s">
        <v>48998</v>
      </c>
      <c r="U8203" t="s">
        <v>56364</v>
      </c>
      <c r="W8203" t="s">
        <v>45752</v>
      </c>
      <c r="X8203" t="s">
        <v>47313</v>
      </c>
    </row>
    <row r="8204" spans="1:24">
      <c r="A8204">
        <f>HYPERLINK("https://www.philgeps.gov.ph/GEPSNONPILOT/Tender/SplashBidNoticeAbstractUI.aspx?menuIndex=3&amp;refID=7187765&amp;Result=3","7187765")</f>
        <v>0</v>
      </c>
      <c r="B8204" t="s">
        <v>1648</v>
      </c>
      <c r="C8204" t="s">
        <v>11581</v>
      </c>
      <c r="D8204" t="s">
        <v>19058</v>
      </c>
      <c r="E8204" t="s">
        <v>26162</v>
      </c>
      <c r="F8204" t="s">
        <v>32606</v>
      </c>
      <c r="G8204" t="s">
        <v>32614</v>
      </c>
      <c r="H8204" t="s">
        <v>14201</v>
      </c>
      <c r="I8204" t="s">
        <v>32626</v>
      </c>
      <c r="J8204" t="s">
        <v>37895</v>
      </c>
      <c r="K8204" t="s">
        <v>42632</v>
      </c>
      <c r="M8204" t="s">
        <v>44672</v>
      </c>
      <c r="N8204" t="s">
        <v>47304</v>
      </c>
      <c r="O8204" t="s">
        <v>47305</v>
      </c>
      <c r="P8204">
        <v>0</v>
      </c>
      <c r="Q8204">
        <v>1</v>
      </c>
      <c r="R8204" t="s">
        <v>47312</v>
      </c>
      <c r="S8204" t="s">
        <v>47489</v>
      </c>
      <c r="T8204" t="s">
        <v>49267</v>
      </c>
      <c r="U8204" t="s">
        <v>56365</v>
      </c>
      <c r="W8204" t="s">
        <v>44672</v>
      </c>
      <c r="X8204" t="s">
        <v>47313</v>
      </c>
    </row>
    <row r="8205" spans="1:24">
      <c r="A8205">
        <f>HYPERLINK("https://www.philgeps.gov.ph/GEPSNONPILOT/Tender/SplashBidNoticeAbstractUI.aspx?menuIndex=3&amp;refID=7187800&amp;Result=3","7187800")</f>
        <v>0</v>
      </c>
      <c r="B8205" t="s">
        <v>2609</v>
      </c>
      <c r="C8205" t="s">
        <v>11582</v>
      </c>
      <c r="D8205" t="s">
        <v>19011</v>
      </c>
      <c r="E8205" t="s">
        <v>26163</v>
      </c>
      <c r="F8205" t="s">
        <v>32606</v>
      </c>
      <c r="G8205" t="s">
        <v>32614</v>
      </c>
      <c r="H8205" t="s">
        <v>14201</v>
      </c>
      <c r="I8205" t="s">
        <v>4120</v>
      </c>
      <c r="J8205" t="s">
        <v>32794</v>
      </c>
      <c r="K8205" t="s">
        <v>42630</v>
      </c>
      <c r="M8205" t="s">
        <v>45753</v>
      </c>
      <c r="N8205" t="s">
        <v>47304</v>
      </c>
      <c r="O8205" t="s">
        <v>47305</v>
      </c>
      <c r="P8205">
        <v>0</v>
      </c>
      <c r="Q8205">
        <v>1</v>
      </c>
      <c r="R8205" t="s">
        <v>47312</v>
      </c>
      <c r="S8205" t="s">
        <v>47489</v>
      </c>
      <c r="T8205" t="s">
        <v>49072</v>
      </c>
      <c r="U8205" t="s">
        <v>56366</v>
      </c>
      <c r="W8205" t="s">
        <v>45753</v>
      </c>
      <c r="X8205" t="s">
        <v>47313</v>
      </c>
    </row>
    <row r="8206" spans="1:24">
      <c r="A8206">
        <f>HYPERLINK("https://www.philgeps.gov.ph/GEPSNONPILOT/Tender/SplashBidNoticeAbstractUI.aspx?menuIndex=3&amp;refID=7187760&amp;Result=3","7187760")</f>
        <v>0</v>
      </c>
      <c r="B8206" t="s">
        <v>2559</v>
      </c>
      <c r="C8206" t="s">
        <v>11583</v>
      </c>
      <c r="D8206" t="s">
        <v>19039</v>
      </c>
      <c r="E8206" t="s">
        <v>26164</v>
      </c>
      <c r="F8206" t="s">
        <v>32606</v>
      </c>
      <c r="G8206" t="s">
        <v>32613</v>
      </c>
      <c r="H8206" t="s">
        <v>14201</v>
      </c>
      <c r="I8206" t="s">
        <v>6993</v>
      </c>
      <c r="J8206" t="s">
        <v>37896</v>
      </c>
      <c r="K8206" t="s">
        <v>42631</v>
      </c>
      <c r="M8206" t="s">
        <v>45699</v>
      </c>
      <c r="N8206" t="s">
        <v>47304</v>
      </c>
      <c r="O8206" t="s">
        <v>47305</v>
      </c>
      <c r="P8206">
        <v>0</v>
      </c>
      <c r="Q8206">
        <v>0</v>
      </c>
      <c r="R8206" t="s">
        <v>47312</v>
      </c>
      <c r="S8206" t="s">
        <v>47489</v>
      </c>
      <c r="T8206" t="s">
        <v>49388</v>
      </c>
      <c r="U8206" t="s">
        <v>56210</v>
      </c>
      <c r="V8206" t="s">
        <v>63438</v>
      </c>
      <c r="W8206" t="s">
        <v>45699</v>
      </c>
      <c r="X8206" t="s">
        <v>47313</v>
      </c>
    </row>
    <row r="8207" spans="1:24">
      <c r="A8207">
        <f>HYPERLINK("https://www.philgeps.gov.ph/GEPSNONPILOT/Tender/SplashBidNoticeAbstractUI.aspx?menuIndex=3&amp;refID=7187794&amp;Result=3","7187794")</f>
        <v>0</v>
      </c>
      <c r="B8207" t="s">
        <v>2559</v>
      </c>
      <c r="C8207" t="s">
        <v>11584</v>
      </c>
      <c r="D8207" t="s">
        <v>19039</v>
      </c>
      <c r="E8207" t="s">
        <v>26165</v>
      </c>
      <c r="F8207" t="s">
        <v>32606</v>
      </c>
      <c r="G8207" t="s">
        <v>32613</v>
      </c>
      <c r="H8207" t="s">
        <v>14201</v>
      </c>
      <c r="I8207" t="s">
        <v>6007</v>
      </c>
      <c r="J8207" t="s">
        <v>34207</v>
      </c>
      <c r="K8207" t="s">
        <v>42631</v>
      </c>
      <c r="M8207" t="s">
        <v>45699</v>
      </c>
      <c r="N8207" t="s">
        <v>47304</v>
      </c>
      <c r="O8207" t="s">
        <v>47305</v>
      </c>
      <c r="P8207">
        <v>0</v>
      </c>
      <c r="Q8207">
        <v>1</v>
      </c>
      <c r="R8207" t="s">
        <v>47312</v>
      </c>
      <c r="S8207" t="s">
        <v>47489</v>
      </c>
      <c r="T8207" t="s">
        <v>49320</v>
      </c>
      <c r="U8207" t="s">
        <v>56210</v>
      </c>
      <c r="V8207" t="s">
        <v>63438</v>
      </c>
      <c r="W8207" t="s">
        <v>45699</v>
      </c>
      <c r="X8207" t="s">
        <v>47313</v>
      </c>
    </row>
    <row r="8208" spans="1:24">
      <c r="A8208">
        <f>HYPERLINK("https://www.philgeps.gov.ph/GEPSNONPILOT/Tender/SplashBidNoticeAbstractUI.aspx?menuIndex=3&amp;refID=7187790&amp;Result=3","7187790")</f>
        <v>0</v>
      </c>
      <c r="B8208" t="s">
        <v>1893</v>
      </c>
      <c r="C8208" t="s">
        <v>11585</v>
      </c>
      <c r="D8208" t="s">
        <v>19039</v>
      </c>
      <c r="E8208" t="s">
        <v>26166</v>
      </c>
      <c r="F8208" t="s">
        <v>32606</v>
      </c>
      <c r="G8208" t="s">
        <v>32619</v>
      </c>
      <c r="H8208" t="s">
        <v>14201</v>
      </c>
      <c r="I8208" t="s">
        <v>32633</v>
      </c>
      <c r="J8208" t="s">
        <v>37897</v>
      </c>
      <c r="K8208" t="s">
        <v>42624</v>
      </c>
      <c r="M8208" t="s">
        <v>44952</v>
      </c>
      <c r="N8208" t="s">
        <v>47304</v>
      </c>
      <c r="O8208" t="s">
        <v>47305</v>
      </c>
      <c r="Q8208">
        <v>4</v>
      </c>
      <c r="R8208" t="s">
        <v>47312</v>
      </c>
      <c r="S8208" t="s">
        <v>47503</v>
      </c>
      <c r="T8208" t="s">
        <v>49002</v>
      </c>
      <c r="U8208" t="s">
        <v>56367</v>
      </c>
      <c r="W8208" t="s">
        <v>44952</v>
      </c>
      <c r="X8208" t="s">
        <v>47313</v>
      </c>
    </row>
    <row r="8209" spans="1:24">
      <c r="A8209">
        <f>HYPERLINK("https://www.philgeps.gov.ph/GEPSNONPILOT/Tender/SplashBidNoticeAbstractUI.aspx?menuIndex=3&amp;refID=7187772&amp;Result=3","7187772")</f>
        <v>0</v>
      </c>
      <c r="B8209" t="s">
        <v>2610</v>
      </c>
      <c r="C8209" t="s">
        <v>11586</v>
      </c>
      <c r="D8209" t="s">
        <v>19054</v>
      </c>
      <c r="E8209" t="s">
        <v>21423</v>
      </c>
      <c r="F8209" t="s">
        <v>32606</v>
      </c>
      <c r="G8209" t="s">
        <v>32619</v>
      </c>
      <c r="H8209" t="s">
        <v>14201</v>
      </c>
      <c r="I8209" t="s">
        <v>32658</v>
      </c>
      <c r="J8209" t="s">
        <v>33299</v>
      </c>
      <c r="K8209" t="s">
        <v>42630</v>
      </c>
      <c r="M8209" t="s">
        <v>45754</v>
      </c>
      <c r="N8209" t="s">
        <v>47304</v>
      </c>
      <c r="O8209" t="s">
        <v>47305</v>
      </c>
      <c r="P8209">
        <v>0</v>
      </c>
      <c r="Q8209">
        <v>1</v>
      </c>
      <c r="R8209" t="s">
        <v>47312</v>
      </c>
      <c r="S8209" t="s">
        <v>47489</v>
      </c>
      <c r="T8209" t="s">
        <v>49050</v>
      </c>
      <c r="U8209" t="s">
        <v>56368</v>
      </c>
      <c r="W8209" t="s">
        <v>45754</v>
      </c>
      <c r="X8209" t="s">
        <v>47313</v>
      </c>
    </row>
    <row r="8210" spans="1:24">
      <c r="A8210">
        <f>HYPERLINK("https://www.philgeps.gov.ph/GEPSNONPILOT/Tender/SplashBidNoticeAbstractUI.aspx?menuIndex=3&amp;refID=7187781&amp;Result=3","7187781")</f>
        <v>0</v>
      </c>
      <c r="B8210" t="s">
        <v>1278</v>
      </c>
      <c r="C8210" t="s">
        <v>11587</v>
      </c>
      <c r="E8210" t="s">
        <v>26167</v>
      </c>
      <c r="F8210" t="s">
        <v>32606</v>
      </c>
      <c r="G8210" t="s">
        <v>32613</v>
      </c>
      <c r="H8210" t="s">
        <v>14201</v>
      </c>
      <c r="I8210" t="s">
        <v>32652</v>
      </c>
      <c r="J8210" t="s">
        <v>37898</v>
      </c>
      <c r="K8210" t="s">
        <v>42624</v>
      </c>
      <c r="M8210" t="s">
        <v>44248</v>
      </c>
      <c r="N8210" t="s">
        <v>47304</v>
      </c>
      <c r="O8210" t="s">
        <v>47305</v>
      </c>
      <c r="P8210">
        <v>0</v>
      </c>
      <c r="Q8210">
        <v>0</v>
      </c>
      <c r="R8210" t="s">
        <v>47312</v>
      </c>
      <c r="S8210" t="s">
        <v>47489</v>
      </c>
      <c r="T8210" t="s">
        <v>49080</v>
      </c>
      <c r="U8210" t="s">
        <v>56369</v>
      </c>
      <c r="W8210" t="s">
        <v>44248</v>
      </c>
      <c r="X8210" t="s">
        <v>47313</v>
      </c>
    </row>
    <row r="8211" spans="1:24">
      <c r="A8211">
        <f>HYPERLINK("https://www.philgeps.gov.ph/GEPSNONPILOT/Tender/SplashBidNoticeAbstractUI.aspx?menuIndex=3&amp;refID=7187762&amp;Result=3","7187762")</f>
        <v>0</v>
      </c>
      <c r="B8211" t="s">
        <v>2576</v>
      </c>
      <c r="C8211" t="s">
        <v>11588</v>
      </c>
      <c r="D8211" t="s">
        <v>19005</v>
      </c>
      <c r="E8211" t="s">
        <v>26168</v>
      </c>
      <c r="F8211" t="s">
        <v>32606</v>
      </c>
      <c r="G8211" t="s">
        <v>32614</v>
      </c>
      <c r="H8211" t="s">
        <v>14201</v>
      </c>
      <c r="I8211" t="s">
        <v>32671</v>
      </c>
      <c r="J8211" t="s">
        <v>37899</v>
      </c>
      <c r="K8211" t="s">
        <v>42623</v>
      </c>
      <c r="M8211" t="s">
        <v>45717</v>
      </c>
      <c r="N8211" t="s">
        <v>47304</v>
      </c>
      <c r="O8211" t="s">
        <v>47305</v>
      </c>
      <c r="P8211">
        <v>0</v>
      </c>
      <c r="Q8211">
        <v>5</v>
      </c>
      <c r="R8211" t="s">
        <v>47312</v>
      </c>
      <c r="S8211" t="s">
        <v>47489</v>
      </c>
      <c r="T8211" t="s">
        <v>49268</v>
      </c>
      <c r="U8211" t="s">
        <v>56259</v>
      </c>
      <c r="W8211" t="s">
        <v>45717</v>
      </c>
      <c r="X8211" t="s">
        <v>47313</v>
      </c>
    </row>
    <row r="8212" spans="1:24">
      <c r="A8212">
        <f>HYPERLINK("https://www.philgeps.gov.ph/GEPSNONPILOT/Tender/SplashBidNoticeAbstractUI.aspx?menuIndex=3&amp;refID=7187749&amp;Result=3","7187749")</f>
        <v>0</v>
      </c>
      <c r="B8212" t="s">
        <v>2611</v>
      </c>
      <c r="C8212" t="s">
        <v>11589</v>
      </c>
      <c r="D8212" t="s">
        <v>19035</v>
      </c>
      <c r="E8212" t="s">
        <v>26169</v>
      </c>
      <c r="F8212" t="s">
        <v>32606</v>
      </c>
      <c r="G8212" t="s">
        <v>32613</v>
      </c>
      <c r="H8212" t="s">
        <v>14201</v>
      </c>
      <c r="I8212" t="s">
        <v>6931</v>
      </c>
      <c r="J8212" t="s">
        <v>37900</v>
      </c>
      <c r="K8212" t="s">
        <v>42622</v>
      </c>
      <c r="M8212" t="s">
        <v>45755</v>
      </c>
      <c r="N8212" t="s">
        <v>47304</v>
      </c>
      <c r="O8212" t="s">
        <v>47305</v>
      </c>
      <c r="P8212">
        <v>0</v>
      </c>
      <c r="Q8212">
        <v>5</v>
      </c>
      <c r="R8212" t="s">
        <v>47312</v>
      </c>
      <c r="S8212" t="s">
        <v>47489</v>
      </c>
      <c r="T8212" t="s">
        <v>49004</v>
      </c>
      <c r="U8212" t="s">
        <v>56370</v>
      </c>
      <c r="W8212" t="s">
        <v>45755</v>
      </c>
      <c r="X8212" t="s">
        <v>47313</v>
      </c>
    </row>
    <row r="8213" spans="1:24">
      <c r="A8213">
        <f>HYPERLINK("https://www.philgeps.gov.ph/GEPSNONPILOT/Tender/SplashBidNoticeAbstractUI.aspx?menuIndex=3&amp;refID=7187739&amp;Result=3","7187739")</f>
        <v>0</v>
      </c>
      <c r="B8213" t="s">
        <v>2612</v>
      </c>
      <c r="C8213" t="s">
        <v>11590</v>
      </c>
      <c r="D8213" t="s">
        <v>19058</v>
      </c>
      <c r="E8213" t="s">
        <v>26170</v>
      </c>
      <c r="F8213" t="s">
        <v>32606</v>
      </c>
      <c r="G8213" t="s">
        <v>32613</v>
      </c>
      <c r="H8213" t="s">
        <v>14201</v>
      </c>
      <c r="I8213" t="s">
        <v>32640</v>
      </c>
      <c r="J8213" t="s">
        <v>37901</v>
      </c>
      <c r="K8213" t="s">
        <v>42636</v>
      </c>
      <c r="M8213" t="s">
        <v>45756</v>
      </c>
      <c r="N8213" t="s">
        <v>47304</v>
      </c>
      <c r="O8213" t="s">
        <v>47305</v>
      </c>
      <c r="P8213">
        <v>0</v>
      </c>
      <c r="Q8213">
        <v>5</v>
      </c>
      <c r="R8213" t="s">
        <v>47312</v>
      </c>
      <c r="S8213" t="s">
        <v>47489</v>
      </c>
      <c r="T8213" t="s">
        <v>49351</v>
      </c>
      <c r="U8213" t="s">
        <v>56371</v>
      </c>
      <c r="W8213" t="s">
        <v>45756</v>
      </c>
      <c r="X8213" t="s">
        <v>47313</v>
      </c>
    </row>
    <row r="8214" spans="1:24">
      <c r="A8214">
        <f>HYPERLINK("https://www.philgeps.gov.ph/GEPSNONPILOT/Tender/SplashBidNoticeAbstractUI.aspx?menuIndex=3&amp;refID=7187738&amp;Result=3","7187738")</f>
        <v>0</v>
      </c>
      <c r="B8214" t="s">
        <v>2559</v>
      </c>
      <c r="C8214" t="s">
        <v>11591</v>
      </c>
      <c r="D8214" t="s">
        <v>19039</v>
      </c>
      <c r="E8214" t="s">
        <v>26171</v>
      </c>
      <c r="F8214" t="s">
        <v>32606</v>
      </c>
      <c r="G8214" t="s">
        <v>32613</v>
      </c>
      <c r="H8214" t="s">
        <v>14201</v>
      </c>
      <c r="I8214" t="s">
        <v>6931</v>
      </c>
      <c r="J8214" t="s">
        <v>32765</v>
      </c>
      <c r="K8214" t="s">
        <v>42631</v>
      </c>
      <c r="M8214" t="s">
        <v>45699</v>
      </c>
      <c r="N8214" t="s">
        <v>47304</v>
      </c>
      <c r="O8214" t="s">
        <v>47305</v>
      </c>
      <c r="P8214">
        <v>0</v>
      </c>
      <c r="Q8214">
        <v>0</v>
      </c>
      <c r="R8214" t="s">
        <v>47312</v>
      </c>
      <c r="S8214" t="s">
        <v>47489</v>
      </c>
      <c r="T8214" t="s">
        <v>49320</v>
      </c>
      <c r="U8214" t="s">
        <v>56210</v>
      </c>
      <c r="V8214" t="s">
        <v>63438</v>
      </c>
      <c r="W8214" t="s">
        <v>45699</v>
      </c>
      <c r="X8214" t="s">
        <v>47313</v>
      </c>
    </row>
    <row r="8215" spans="1:24">
      <c r="A8215">
        <f>HYPERLINK("https://www.philgeps.gov.ph/GEPSNONPILOT/Tender/SplashBidNoticeAbstractUI.aspx?menuIndex=3&amp;refID=7187786&amp;Result=3","7187786")</f>
        <v>0</v>
      </c>
      <c r="B8215" t="s">
        <v>2613</v>
      </c>
      <c r="C8215" t="s">
        <v>11592</v>
      </c>
      <c r="E8215" t="s">
        <v>26172</v>
      </c>
      <c r="F8215" t="s">
        <v>32606</v>
      </c>
      <c r="G8215" t="s">
        <v>32613</v>
      </c>
      <c r="H8215" t="s">
        <v>14201</v>
      </c>
      <c r="I8215" t="s">
        <v>6931</v>
      </c>
      <c r="J8215" t="s">
        <v>37902</v>
      </c>
      <c r="K8215" t="s">
        <v>42631</v>
      </c>
      <c r="M8215" t="s">
        <v>45757</v>
      </c>
      <c r="N8215" t="s">
        <v>47304</v>
      </c>
      <c r="O8215" t="s">
        <v>47305</v>
      </c>
      <c r="P8215">
        <v>0</v>
      </c>
      <c r="Q8215">
        <v>0</v>
      </c>
      <c r="R8215" t="s">
        <v>47312</v>
      </c>
      <c r="S8215" t="s">
        <v>47489</v>
      </c>
      <c r="T8215" t="s">
        <v>49040</v>
      </c>
      <c r="U8215" t="s">
        <v>51703</v>
      </c>
      <c r="W8215" t="s">
        <v>45757</v>
      </c>
      <c r="X8215" t="s">
        <v>47313</v>
      </c>
    </row>
    <row r="8216" spans="1:24">
      <c r="A8216">
        <f>HYPERLINK("https://www.philgeps.gov.ph/GEPSNONPILOT/Tender/SplashBidNoticeAbstractUI.aspx?menuIndex=3&amp;refID=7187767&amp;Result=3","7187767")</f>
        <v>0</v>
      </c>
      <c r="B8216" t="s">
        <v>1007</v>
      </c>
      <c r="C8216" t="s">
        <v>11593</v>
      </c>
      <c r="D8216" t="s">
        <v>19039</v>
      </c>
      <c r="E8216" t="s">
        <v>26173</v>
      </c>
      <c r="F8216" t="s">
        <v>32607</v>
      </c>
      <c r="G8216" t="s">
        <v>32615</v>
      </c>
      <c r="H8216" t="s">
        <v>14201</v>
      </c>
      <c r="I8216" t="s">
        <v>13131</v>
      </c>
      <c r="J8216" t="s">
        <v>37903</v>
      </c>
      <c r="K8216" t="s">
        <v>42624</v>
      </c>
      <c r="M8216" t="s">
        <v>43955</v>
      </c>
      <c r="N8216" t="s">
        <v>47304</v>
      </c>
      <c r="O8216" t="s">
        <v>47305</v>
      </c>
      <c r="P8216">
        <v>0</v>
      </c>
      <c r="Q8216">
        <v>4</v>
      </c>
      <c r="R8216" t="s">
        <v>47312</v>
      </c>
      <c r="S8216" t="s">
        <v>47489</v>
      </c>
      <c r="T8216" t="s">
        <v>49072</v>
      </c>
      <c r="U8216" t="s">
        <v>56372</v>
      </c>
      <c r="W8216" t="s">
        <v>43955</v>
      </c>
      <c r="X8216" t="s">
        <v>47313</v>
      </c>
    </row>
    <row r="8217" spans="1:24">
      <c r="A8217">
        <f>HYPERLINK("https://www.philgeps.gov.ph/GEPSNONPILOT/Tender/SplashBidNoticeAbstractUI.aspx?menuIndex=3&amp;refID=7187835&amp;Result=3","7187835")</f>
        <v>0</v>
      </c>
      <c r="B8217" t="s">
        <v>1550</v>
      </c>
      <c r="C8217" t="s">
        <v>11594</v>
      </c>
      <c r="D8217" t="s">
        <v>19049</v>
      </c>
      <c r="E8217" t="s">
        <v>26174</v>
      </c>
      <c r="F8217" t="s">
        <v>32606</v>
      </c>
      <c r="G8217" t="s">
        <v>32613</v>
      </c>
      <c r="H8217" t="s">
        <v>14201</v>
      </c>
      <c r="I8217" t="s">
        <v>7064</v>
      </c>
      <c r="J8217" t="s">
        <v>33043</v>
      </c>
      <c r="K8217" t="s">
        <v>42639</v>
      </c>
      <c r="M8217" t="s">
        <v>44554</v>
      </c>
      <c r="N8217" t="s">
        <v>47304</v>
      </c>
      <c r="O8217" t="s">
        <v>47305</v>
      </c>
      <c r="P8217">
        <v>0</v>
      </c>
      <c r="Q8217">
        <v>2</v>
      </c>
      <c r="R8217" t="s">
        <v>47312</v>
      </c>
      <c r="S8217" t="s">
        <v>47489</v>
      </c>
      <c r="T8217" t="s">
        <v>49109</v>
      </c>
      <c r="U8217" t="s">
        <v>52968</v>
      </c>
      <c r="W8217" t="s">
        <v>44554</v>
      </c>
      <c r="X8217" t="s">
        <v>47313</v>
      </c>
    </row>
    <row r="8218" spans="1:24">
      <c r="A8218">
        <f>HYPERLINK("https://www.philgeps.gov.ph/GEPSNONPILOT/Tender/SplashBidNoticeAbstractUI.aspx?menuIndex=3&amp;refID=7187775&amp;Result=3","7187775")</f>
        <v>0</v>
      </c>
      <c r="B8218" t="s">
        <v>2613</v>
      </c>
      <c r="C8218" t="s">
        <v>11595</v>
      </c>
      <c r="E8218" t="s">
        <v>26175</v>
      </c>
      <c r="F8218" t="s">
        <v>32606</v>
      </c>
      <c r="G8218" t="s">
        <v>32613</v>
      </c>
      <c r="H8218" t="s">
        <v>14201</v>
      </c>
      <c r="I8218" t="s">
        <v>6931</v>
      </c>
      <c r="J8218" t="s">
        <v>37904</v>
      </c>
      <c r="K8218" t="s">
        <v>42631</v>
      </c>
      <c r="M8218" t="s">
        <v>45757</v>
      </c>
      <c r="N8218" t="s">
        <v>47304</v>
      </c>
      <c r="O8218" t="s">
        <v>47305</v>
      </c>
      <c r="P8218">
        <v>0</v>
      </c>
      <c r="Q8218">
        <v>1</v>
      </c>
      <c r="R8218" t="s">
        <v>47312</v>
      </c>
      <c r="S8218" t="s">
        <v>47489</v>
      </c>
      <c r="T8218" t="s">
        <v>49040</v>
      </c>
      <c r="U8218" t="s">
        <v>51703</v>
      </c>
      <c r="W8218" t="s">
        <v>45757</v>
      </c>
      <c r="X8218" t="s">
        <v>47313</v>
      </c>
    </row>
    <row r="8219" spans="1:24">
      <c r="A8219">
        <f>HYPERLINK("https://www.philgeps.gov.ph/GEPSNONPILOT/Tender/SplashBidNoticeAbstractUI.aspx?menuIndex=3&amp;refID=7187796&amp;Result=3","7187796")</f>
        <v>0</v>
      </c>
      <c r="B8219" t="s">
        <v>2613</v>
      </c>
      <c r="C8219" t="s">
        <v>11596</v>
      </c>
      <c r="E8219" t="s">
        <v>26176</v>
      </c>
      <c r="F8219" t="s">
        <v>32606</v>
      </c>
      <c r="G8219" t="s">
        <v>32613</v>
      </c>
      <c r="H8219" t="s">
        <v>14201</v>
      </c>
      <c r="I8219" t="s">
        <v>6931</v>
      </c>
      <c r="J8219" t="s">
        <v>37905</v>
      </c>
      <c r="K8219" t="s">
        <v>42631</v>
      </c>
      <c r="M8219" t="s">
        <v>45757</v>
      </c>
      <c r="N8219" t="s">
        <v>47304</v>
      </c>
      <c r="O8219" t="s">
        <v>47305</v>
      </c>
      <c r="P8219">
        <v>0</v>
      </c>
      <c r="Q8219">
        <v>1</v>
      </c>
      <c r="R8219" t="s">
        <v>47312</v>
      </c>
      <c r="S8219" t="s">
        <v>47489</v>
      </c>
      <c r="T8219" t="s">
        <v>49040</v>
      </c>
      <c r="U8219" t="s">
        <v>51703</v>
      </c>
      <c r="W8219" t="s">
        <v>45757</v>
      </c>
      <c r="X8219" t="s">
        <v>47313</v>
      </c>
    </row>
    <row r="8220" spans="1:24">
      <c r="A8220">
        <f>HYPERLINK("https://www.philgeps.gov.ph/GEPSNONPILOT/Tender/SplashBidNoticeAbstractUI.aspx?menuIndex=3&amp;refID=7187857&amp;Result=3","7187857")</f>
        <v>0</v>
      </c>
      <c r="B8220" t="s">
        <v>794</v>
      </c>
      <c r="C8220" t="s">
        <v>11597</v>
      </c>
      <c r="D8220" t="s">
        <v>18992</v>
      </c>
      <c r="E8220" t="s">
        <v>26177</v>
      </c>
      <c r="F8220" t="s">
        <v>32606</v>
      </c>
      <c r="G8220" t="s">
        <v>32613</v>
      </c>
      <c r="H8220" t="s">
        <v>14201</v>
      </c>
      <c r="I8220" t="s">
        <v>4678</v>
      </c>
      <c r="J8220" t="s">
        <v>35766</v>
      </c>
      <c r="K8220" t="s">
        <v>42622</v>
      </c>
      <c r="L8220" t="s">
        <v>794</v>
      </c>
      <c r="M8220" t="s">
        <v>43725</v>
      </c>
      <c r="N8220" t="s">
        <v>47304</v>
      </c>
      <c r="O8220" t="s">
        <v>47305</v>
      </c>
      <c r="P8220">
        <v>0</v>
      </c>
      <c r="Q8220">
        <v>2</v>
      </c>
      <c r="R8220" t="s">
        <v>47312</v>
      </c>
      <c r="S8220" t="s">
        <v>47489</v>
      </c>
      <c r="T8220" t="s">
        <v>49081</v>
      </c>
      <c r="U8220" t="s">
        <v>56373</v>
      </c>
      <c r="V8220" t="s">
        <v>63473</v>
      </c>
      <c r="W8220" t="s">
        <v>43725</v>
      </c>
      <c r="X8220" t="s">
        <v>47313</v>
      </c>
    </row>
    <row r="8221" spans="1:24">
      <c r="A8221">
        <f>HYPERLINK("https://www.philgeps.gov.ph/GEPSNONPILOT/Tender/SplashBidNoticeAbstractUI.aspx?menuIndex=3&amp;refID=7187855&amp;Result=3","7187855")</f>
        <v>0</v>
      </c>
      <c r="B8221" t="s">
        <v>2559</v>
      </c>
      <c r="C8221" t="s">
        <v>11598</v>
      </c>
      <c r="D8221" t="s">
        <v>19039</v>
      </c>
      <c r="E8221" t="s">
        <v>26178</v>
      </c>
      <c r="F8221" t="s">
        <v>32606</v>
      </c>
      <c r="G8221" t="s">
        <v>32613</v>
      </c>
      <c r="H8221" t="s">
        <v>14201</v>
      </c>
      <c r="I8221" t="s">
        <v>7577</v>
      </c>
      <c r="J8221" t="s">
        <v>33075</v>
      </c>
      <c r="K8221" t="s">
        <v>42631</v>
      </c>
      <c r="M8221" t="s">
        <v>45699</v>
      </c>
      <c r="N8221" t="s">
        <v>47304</v>
      </c>
      <c r="O8221" t="s">
        <v>47305</v>
      </c>
      <c r="P8221">
        <v>0</v>
      </c>
      <c r="Q8221">
        <v>0</v>
      </c>
      <c r="R8221" t="s">
        <v>47312</v>
      </c>
      <c r="S8221" t="s">
        <v>47489</v>
      </c>
      <c r="T8221" t="s">
        <v>49320</v>
      </c>
      <c r="U8221" t="s">
        <v>56210</v>
      </c>
      <c r="V8221" t="s">
        <v>63438</v>
      </c>
      <c r="W8221" t="s">
        <v>45699</v>
      </c>
      <c r="X8221" t="s">
        <v>47313</v>
      </c>
    </row>
    <row r="8222" spans="1:24">
      <c r="A8222">
        <f>HYPERLINK("https://www.philgeps.gov.ph/GEPSNONPILOT/Tender/SplashBidNoticeAbstractUI.aspx?menuIndex=3&amp;refID=7187742&amp;Result=3","7187742")</f>
        <v>0</v>
      </c>
      <c r="B8222" t="s">
        <v>496</v>
      </c>
      <c r="C8222" t="s">
        <v>11599</v>
      </c>
      <c r="E8222" t="s">
        <v>26179</v>
      </c>
      <c r="F8222" t="s">
        <v>32606</v>
      </c>
      <c r="G8222" t="s">
        <v>32614</v>
      </c>
      <c r="H8222" t="s">
        <v>14201</v>
      </c>
      <c r="I8222" t="s">
        <v>32650</v>
      </c>
      <c r="J8222" t="s">
        <v>32833</v>
      </c>
      <c r="K8222" t="s">
        <v>42631</v>
      </c>
      <c r="M8222" t="s">
        <v>45233</v>
      </c>
      <c r="N8222" t="s">
        <v>47304</v>
      </c>
      <c r="O8222" t="s">
        <v>47305</v>
      </c>
      <c r="P8222">
        <v>0</v>
      </c>
      <c r="Q8222">
        <v>1</v>
      </c>
      <c r="R8222" t="s">
        <v>47312</v>
      </c>
      <c r="S8222" t="s">
        <v>47489</v>
      </c>
      <c r="T8222" t="s">
        <v>48997</v>
      </c>
      <c r="U8222" t="s">
        <v>56374</v>
      </c>
      <c r="W8222" t="s">
        <v>64494</v>
      </c>
      <c r="X8222" t="s">
        <v>47313</v>
      </c>
    </row>
    <row r="8223" spans="1:24">
      <c r="A8223">
        <f>HYPERLINK("https://www.philgeps.gov.ph/GEPSNONPILOT/Tender/SplashBidNoticeAbstractUI.aspx?menuIndex=3&amp;refID=7187850&amp;Result=3","7187850")</f>
        <v>0</v>
      </c>
      <c r="B8223" t="s">
        <v>2078</v>
      </c>
      <c r="C8223" t="s">
        <v>11600</v>
      </c>
      <c r="D8223" t="s">
        <v>19049</v>
      </c>
      <c r="E8223" t="s">
        <v>26180</v>
      </c>
      <c r="F8223" t="s">
        <v>32606</v>
      </c>
      <c r="G8223" t="s">
        <v>32614</v>
      </c>
      <c r="H8223" t="s">
        <v>14201</v>
      </c>
      <c r="I8223" t="s">
        <v>32635</v>
      </c>
      <c r="J8223" t="s">
        <v>32770</v>
      </c>
      <c r="K8223" t="s">
        <v>42631</v>
      </c>
      <c r="M8223" t="s">
        <v>45159</v>
      </c>
      <c r="N8223" t="s">
        <v>47304</v>
      </c>
      <c r="O8223" t="s">
        <v>47305</v>
      </c>
      <c r="P8223">
        <v>0</v>
      </c>
      <c r="Q8223">
        <v>0</v>
      </c>
      <c r="R8223" t="s">
        <v>47312</v>
      </c>
      <c r="S8223" t="s">
        <v>47489</v>
      </c>
      <c r="T8223" t="s">
        <v>49068</v>
      </c>
      <c r="U8223" t="s">
        <v>56375</v>
      </c>
      <c r="W8223" t="s">
        <v>45159</v>
      </c>
      <c r="X8223" t="s">
        <v>47313</v>
      </c>
    </row>
    <row r="8224" spans="1:24">
      <c r="A8224">
        <f>HYPERLINK("https://www.philgeps.gov.ph/GEPSNONPILOT/Tender/SplashBidNoticeAbstractUI.aspx?menuIndex=3&amp;refID=7187849&amp;Result=3","7187849")</f>
        <v>0</v>
      </c>
      <c r="B8224" t="s">
        <v>2602</v>
      </c>
      <c r="C8224" t="s">
        <v>11559</v>
      </c>
      <c r="D8224" t="s">
        <v>18993</v>
      </c>
      <c r="E8224" t="s">
        <v>26181</v>
      </c>
      <c r="F8224" t="s">
        <v>32606</v>
      </c>
      <c r="G8224" t="s">
        <v>32613</v>
      </c>
      <c r="H8224" t="s">
        <v>14201</v>
      </c>
      <c r="I8224" t="s">
        <v>32662</v>
      </c>
      <c r="J8224" t="s">
        <v>37906</v>
      </c>
      <c r="K8224" t="s">
        <v>42624</v>
      </c>
      <c r="M8224" t="s">
        <v>45746</v>
      </c>
      <c r="N8224" t="s">
        <v>47304</v>
      </c>
      <c r="O8224" t="s">
        <v>47305</v>
      </c>
      <c r="P8224">
        <v>0</v>
      </c>
      <c r="Q8224">
        <v>48</v>
      </c>
      <c r="R8224" t="s">
        <v>47312</v>
      </c>
      <c r="S8224" t="s">
        <v>47489</v>
      </c>
      <c r="T8224" t="s">
        <v>49073</v>
      </c>
      <c r="U8224" t="s">
        <v>56345</v>
      </c>
      <c r="W8224" t="s">
        <v>45746</v>
      </c>
      <c r="X8224" t="s">
        <v>47313</v>
      </c>
    </row>
    <row r="8225" spans="1:24">
      <c r="A8225">
        <f>HYPERLINK("https://www.philgeps.gov.ph/GEPSNONPILOT/Tender/SplashBidNoticeAbstractUI.aspx?menuIndex=3&amp;refID=7187843&amp;Result=3","7187843")</f>
        <v>0</v>
      </c>
      <c r="B8225" t="s">
        <v>2614</v>
      </c>
      <c r="C8225" t="s">
        <v>11601</v>
      </c>
      <c r="D8225" t="s">
        <v>19008</v>
      </c>
      <c r="E8225" t="s">
        <v>19279</v>
      </c>
      <c r="F8225" t="s">
        <v>32606</v>
      </c>
      <c r="G8225" t="s">
        <v>32613</v>
      </c>
      <c r="H8225" t="s">
        <v>14201</v>
      </c>
      <c r="I8225" t="s">
        <v>6931</v>
      </c>
      <c r="J8225" t="s">
        <v>37907</v>
      </c>
      <c r="K8225" t="s">
        <v>42622</v>
      </c>
      <c r="M8225" t="s">
        <v>45758</v>
      </c>
      <c r="N8225" t="s">
        <v>47304</v>
      </c>
      <c r="O8225" t="s">
        <v>47305</v>
      </c>
      <c r="P8225">
        <v>0</v>
      </c>
      <c r="Q8225">
        <v>1</v>
      </c>
      <c r="R8225" t="s">
        <v>47312</v>
      </c>
      <c r="S8225" t="s">
        <v>47489</v>
      </c>
      <c r="T8225" t="s">
        <v>49053</v>
      </c>
      <c r="U8225" t="s">
        <v>56376</v>
      </c>
      <c r="W8225" t="s">
        <v>45758</v>
      </c>
      <c r="X8225" t="s">
        <v>47313</v>
      </c>
    </row>
    <row r="8226" spans="1:24">
      <c r="A8226">
        <f>HYPERLINK("https://www.philgeps.gov.ph/GEPSNONPILOT/Tender/SplashBidNoticeAbstractUI.aspx?menuIndex=3&amp;refID=7187705&amp;Result=3","7187705")</f>
        <v>0</v>
      </c>
      <c r="B8226" t="s">
        <v>2615</v>
      </c>
      <c r="C8226" t="s">
        <v>11602</v>
      </c>
      <c r="D8226" t="s">
        <v>18994</v>
      </c>
      <c r="E8226" t="s">
        <v>26182</v>
      </c>
      <c r="F8226" t="s">
        <v>32607</v>
      </c>
      <c r="G8226" t="s">
        <v>32614</v>
      </c>
      <c r="H8226" t="s">
        <v>32623</v>
      </c>
      <c r="I8226" t="s">
        <v>32631</v>
      </c>
      <c r="J8226" t="s">
        <v>37908</v>
      </c>
      <c r="K8226" t="s">
        <v>42631</v>
      </c>
      <c r="M8226" t="s">
        <v>45759</v>
      </c>
      <c r="N8226" t="s">
        <v>47304</v>
      </c>
      <c r="O8226" t="s">
        <v>47305</v>
      </c>
      <c r="P8226">
        <v>0</v>
      </c>
      <c r="Q8226">
        <v>1</v>
      </c>
      <c r="R8226" t="s">
        <v>47312</v>
      </c>
      <c r="S8226" t="s">
        <v>47489</v>
      </c>
      <c r="T8226" t="s">
        <v>49002</v>
      </c>
      <c r="U8226" t="s">
        <v>56377</v>
      </c>
      <c r="W8226" t="s">
        <v>64508</v>
      </c>
      <c r="X8226" t="s">
        <v>47313</v>
      </c>
    </row>
    <row r="8227" spans="1:24">
      <c r="A8227">
        <f>HYPERLINK("https://www.philgeps.gov.ph/GEPSNONPILOT/Tender/SplashBidNoticeAbstractUI.aspx?menuIndex=3&amp;refID=7187831&amp;Result=3","7187831")</f>
        <v>0</v>
      </c>
      <c r="B8227" t="s">
        <v>2547</v>
      </c>
      <c r="C8227" t="s">
        <v>11603</v>
      </c>
      <c r="D8227" t="s">
        <v>19022</v>
      </c>
      <c r="E8227" t="s">
        <v>26183</v>
      </c>
      <c r="F8227" t="s">
        <v>32606</v>
      </c>
      <c r="G8227" t="s">
        <v>32614</v>
      </c>
      <c r="H8227" t="s">
        <v>14201</v>
      </c>
      <c r="I8227" t="s">
        <v>6298</v>
      </c>
      <c r="J8227" t="s">
        <v>34401</v>
      </c>
      <c r="K8227" t="s">
        <v>42624</v>
      </c>
      <c r="M8227" t="s">
        <v>45687</v>
      </c>
      <c r="N8227" t="s">
        <v>47304</v>
      </c>
      <c r="O8227" t="s">
        <v>47305</v>
      </c>
      <c r="P8227">
        <v>0</v>
      </c>
      <c r="Q8227">
        <v>0</v>
      </c>
      <c r="R8227" t="s">
        <v>47312</v>
      </c>
      <c r="S8227" t="s">
        <v>47489</v>
      </c>
      <c r="T8227" t="s">
        <v>49381</v>
      </c>
      <c r="U8227" t="s">
        <v>56378</v>
      </c>
      <c r="V8227" t="s">
        <v>63432</v>
      </c>
      <c r="W8227" t="s">
        <v>45687</v>
      </c>
      <c r="X8227" t="s">
        <v>47313</v>
      </c>
    </row>
    <row r="8228" spans="1:24">
      <c r="A8228">
        <f>HYPERLINK("https://www.philgeps.gov.ph/GEPSNONPILOT/Tender/SplashBidNoticeAbstractUI.aspx?menuIndex=3&amp;refID=7187829&amp;Result=3","7187829")</f>
        <v>0</v>
      </c>
      <c r="B8228" t="s">
        <v>2078</v>
      </c>
      <c r="C8228" t="s">
        <v>11604</v>
      </c>
      <c r="D8228" t="s">
        <v>19049</v>
      </c>
      <c r="E8228" t="s">
        <v>26184</v>
      </c>
      <c r="F8228" t="s">
        <v>32606</v>
      </c>
      <c r="G8228" t="s">
        <v>32614</v>
      </c>
      <c r="H8228" t="s">
        <v>14201</v>
      </c>
      <c r="I8228" t="s">
        <v>32638</v>
      </c>
      <c r="J8228" t="s">
        <v>33341</v>
      </c>
      <c r="K8228" t="s">
        <v>42631</v>
      </c>
      <c r="M8228" t="s">
        <v>45159</v>
      </c>
      <c r="N8228" t="s">
        <v>47304</v>
      </c>
      <c r="O8228" t="s">
        <v>47305</v>
      </c>
      <c r="P8228">
        <v>0</v>
      </c>
      <c r="Q8228">
        <v>1</v>
      </c>
      <c r="R8228" t="s">
        <v>47312</v>
      </c>
      <c r="S8228" t="s">
        <v>47489</v>
      </c>
      <c r="T8228" t="s">
        <v>49068</v>
      </c>
      <c r="U8228" t="s">
        <v>56379</v>
      </c>
      <c r="W8228" t="s">
        <v>45159</v>
      </c>
      <c r="X8228" t="s">
        <v>47313</v>
      </c>
    </row>
    <row r="8229" spans="1:24">
      <c r="A8229">
        <f>HYPERLINK("https://www.philgeps.gov.ph/GEPSNONPILOT/Tender/SplashBidNoticeAbstractUI.aspx?menuIndex=3&amp;refID=7187825&amp;Result=3","7187825")</f>
        <v>0</v>
      </c>
      <c r="B8229" t="s">
        <v>2616</v>
      </c>
      <c r="C8229" t="s">
        <v>11605</v>
      </c>
      <c r="D8229" t="s">
        <v>19001</v>
      </c>
      <c r="E8229" t="s">
        <v>26185</v>
      </c>
      <c r="F8229" t="s">
        <v>32606</v>
      </c>
      <c r="G8229" t="s">
        <v>32613</v>
      </c>
      <c r="H8229" t="s">
        <v>14201</v>
      </c>
      <c r="I8229" t="s">
        <v>32633</v>
      </c>
      <c r="J8229" t="s">
        <v>37909</v>
      </c>
      <c r="K8229" t="s">
        <v>42631</v>
      </c>
      <c r="M8229" t="s">
        <v>45760</v>
      </c>
      <c r="N8229" t="s">
        <v>47304</v>
      </c>
      <c r="O8229" t="s">
        <v>47305</v>
      </c>
      <c r="P8229">
        <v>0</v>
      </c>
      <c r="Q8229">
        <v>6</v>
      </c>
      <c r="R8229" t="s">
        <v>47312</v>
      </c>
      <c r="S8229" t="s">
        <v>47489</v>
      </c>
      <c r="T8229" t="s">
        <v>49068</v>
      </c>
      <c r="U8229" t="s">
        <v>56380</v>
      </c>
      <c r="W8229" t="s">
        <v>45760</v>
      </c>
      <c r="X8229" t="s">
        <v>47313</v>
      </c>
    </row>
    <row r="8230" spans="1:24">
      <c r="A8230">
        <f>HYPERLINK("https://www.philgeps.gov.ph/GEPSNONPILOT/Tender/SplashBidNoticeAbstractUI.aspx?menuIndex=3&amp;refID=7187820&amp;Result=3","7187820")</f>
        <v>0</v>
      </c>
      <c r="B8230" t="s">
        <v>2617</v>
      </c>
      <c r="C8230" t="s">
        <v>11606</v>
      </c>
      <c r="D8230" t="s">
        <v>18988</v>
      </c>
      <c r="E8230" t="s">
        <v>26186</v>
      </c>
      <c r="F8230" t="s">
        <v>32606</v>
      </c>
      <c r="G8230" t="s">
        <v>32614</v>
      </c>
      <c r="H8230" t="s">
        <v>14201</v>
      </c>
      <c r="I8230" t="s">
        <v>32704</v>
      </c>
      <c r="J8230" t="s">
        <v>37910</v>
      </c>
      <c r="K8230" t="s">
        <v>42631</v>
      </c>
      <c r="M8230" t="s">
        <v>45761</v>
      </c>
      <c r="N8230" t="s">
        <v>47304</v>
      </c>
      <c r="O8230" t="s">
        <v>47305</v>
      </c>
      <c r="P8230">
        <v>0</v>
      </c>
      <c r="Q8230">
        <v>2</v>
      </c>
      <c r="R8230" t="s">
        <v>47312</v>
      </c>
      <c r="S8230" t="s">
        <v>47489</v>
      </c>
      <c r="T8230" t="s">
        <v>49068</v>
      </c>
      <c r="U8230" t="s">
        <v>56381</v>
      </c>
      <c r="W8230" t="s">
        <v>45761</v>
      </c>
      <c r="X8230" t="s">
        <v>47313</v>
      </c>
    </row>
    <row r="8231" spans="1:24">
      <c r="A8231">
        <f>HYPERLINK("https://www.philgeps.gov.ph/GEPSNONPILOT/Tender/SplashBidNoticeAbstractUI.aspx?menuIndex=3&amp;refID=7187841&amp;Result=3","7187841")</f>
        <v>0</v>
      </c>
      <c r="B8231" t="s">
        <v>1648</v>
      </c>
      <c r="C8231" t="s">
        <v>11607</v>
      </c>
      <c r="D8231" t="s">
        <v>19058</v>
      </c>
      <c r="E8231" t="s">
        <v>26187</v>
      </c>
      <c r="F8231" t="s">
        <v>32606</v>
      </c>
      <c r="G8231" t="s">
        <v>32619</v>
      </c>
      <c r="H8231" t="s">
        <v>14201</v>
      </c>
      <c r="I8231" t="s">
        <v>7577</v>
      </c>
      <c r="J8231" t="s">
        <v>37911</v>
      </c>
      <c r="K8231" t="s">
        <v>42632</v>
      </c>
      <c r="M8231" t="s">
        <v>44672</v>
      </c>
      <c r="N8231" t="s">
        <v>47304</v>
      </c>
      <c r="O8231" t="s">
        <v>47305</v>
      </c>
      <c r="P8231">
        <v>0</v>
      </c>
      <c r="Q8231">
        <v>3</v>
      </c>
      <c r="R8231" t="s">
        <v>47312</v>
      </c>
      <c r="S8231" t="s">
        <v>47489</v>
      </c>
      <c r="T8231" t="s">
        <v>49267</v>
      </c>
      <c r="U8231" t="s">
        <v>56382</v>
      </c>
      <c r="W8231" t="s">
        <v>44672</v>
      </c>
      <c r="X8231" t="s">
        <v>47313</v>
      </c>
    </row>
    <row r="8232" spans="1:24">
      <c r="A8232">
        <f>HYPERLINK("https://www.philgeps.gov.ph/GEPSNONPILOT/Tender/SplashBidNoticeAbstractUI.aspx?menuIndex=3&amp;refID=7187819&amp;Result=3","7187819")</f>
        <v>0</v>
      </c>
      <c r="B8232" t="s">
        <v>2618</v>
      </c>
      <c r="C8232" t="s">
        <v>11608</v>
      </c>
      <c r="D8232" t="s">
        <v>18988</v>
      </c>
      <c r="E8232" t="s">
        <v>26188</v>
      </c>
      <c r="F8232" t="s">
        <v>32606</v>
      </c>
      <c r="G8232" t="s">
        <v>32613</v>
      </c>
      <c r="H8232" t="s">
        <v>14201</v>
      </c>
      <c r="I8232" t="s">
        <v>6298</v>
      </c>
      <c r="J8232" t="s">
        <v>37912</v>
      </c>
      <c r="K8232" t="s">
        <v>42625</v>
      </c>
      <c r="M8232" t="s">
        <v>45762</v>
      </c>
      <c r="N8232" t="s">
        <v>47304</v>
      </c>
      <c r="O8232" t="s">
        <v>47305</v>
      </c>
      <c r="P8232">
        <v>0</v>
      </c>
      <c r="Q8232">
        <v>2</v>
      </c>
      <c r="R8232" t="s">
        <v>47312</v>
      </c>
      <c r="S8232" t="s">
        <v>47489</v>
      </c>
      <c r="T8232" t="s">
        <v>48979</v>
      </c>
      <c r="U8232" t="s">
        <v>56383</v>
      </c>
      <c r="W8232" t="s">
        <v>45762</v>
      </c>
      <c r="X8232" t="s">
        <v>47313</v>
      </c>
    </row>
    <row r="8233" spans="1:24">
      <c r="A8233">
        <f>HYPERLINK("https://www.philgeps.gov.ph/GEPSNONPILOT/Tender/SplashBidNoticeAbstractUI.aspx?menuIndex=3&amp;refID=7187834&amp;Result=3","7187834")</f>
        <v>0</v>
      </c>
      <c r="B8233" t="s">
        <v>2619</v>
      </c>
      <c r="C8233" t="s">
        <v>11609</v>
      </c>
      <c r="D8233" t="s">
        <v>19050</v>
      </c>
      <c r="E8233" t="s">
        <v>26189</v>
      </c>
      <c r="F8233" t="s">
        <v>32606</v>
      </c>
      <c r="G8233" t="s">
        <v>32613</v>
      </c>
      <c r="H8233" t="s">
        <v>32623</v>
      </c>
      <c r="I8233" t="s">
        <v>17648</v>
      </c>
      <c r="J8233" t="s">
        <v>32795</v>
      </c>
      <c r="K8233" t="s">
        <v>42653</v>
      </c>
      <c r="L8233" t="s">
        <v>2619</v>
      </c>
      <c r="M8233" t="s">
        <v>45763</v>
      </c>
      <c r="N8233" t="s">
        <v>47304</v>
      </c>
      <c r="O8233" t="s">
        <v>47305</v>
      </c>
      <c r="P8233">
        <v>0</v>
      </c>
      <c r="Q8233">
        <v>0</v>
      </c>
      <c r="R8233" t="s">
        <v>47312</v>
      </c>
      <c r="S8233" t="s">
        <v>47489</v>
      </c>
      <c r="T8233" t="s">
        <v>49086</v>
      </c>
      <c r="U8233" t="s">
        <v>56384</v>
      </c>
      <c r="W8233" t="s">
        <v>45763</v>
      </c>
      <c r="X8233" t="s">
        <v>47313</v>
      </c>
    </row>
    <row r="8234" spans="1:24">
      <c r="A8234">
        <f>HYPERLINK("https://www.philgeps.gov.ph/GEPSNONPILOT/Tender/SplashBidNoticeAbstractUI.aspx?menuIndex=3&amp;refID=7187817&amp;Result=3","7187817")</f>
        <v>0</v>
      </c>
      <c r="B8234" t="s">
        <v>975</v>
      </c>
      <c r="C8234" t="s">
        <v>11610</v>
      </c>
      <c r="D8234" t="s">
        <v>19016</v>
      </c>
      <c r="E8234" t="s">
        <v>26190</v>
      </c>
      <c r="F8234" t="s">
        <v>32606</v>
      </c>
      <c r="G8234" t="s">
        <v>32613</v>
      </c>
      <c r="H8234" t="s">
        <v>14201</v>
      </c>
      <c r="I8234" t="s">
        <v>4120</v>
      </c>
      <c r="J8234" t="s">
        <v>37913</v>
      </c>
      <c r="K8234" t="s">
        <v>42631</v>
      </c>
      <c r="M8234" t="s">
        <v>43921</v>
      </c>
      <c r="N8234" t="s">
        <v>47304</v>
      </c>
      <c r="O8234" t="s">
        <v>47305</v>
      </c>
      <c r="P8234">
        <v>0</v>
      </c>
      <c r="Q8234">
        <v>5</v>
      </c>
      <c r="R8234" t="s">
        <v>47312</v>
      </c>
      <c r="S8234" t="s">
        <v>47489</v>
      </c>
      <c r="T8234" t="s">
        <v>49077</v>
      </c>
      <c r="U8234" t="s">
        <v>56385</v>
      </c>
      <c r="W8234" t="s">
        <v>43921</v>
      </c>
      <c r="X8234" t="s">
        <v>47313</v>
      </c>
    </row>
    <row r="8235" spans="1:24">
      <c r="A8235">
        <f>HYPERLINK("https://www.philgeps.gov.ph/GEPSNONPILOT/Tender/SplashBidNoticeAbstractUI.aspx?menuIndex=3&amp;refID=7187809&amp;Result=3","7187809")</f>
        <v>0</v>
      </c>
      <c r="B8235" t="s">
        <v>2610</v>
      </c>
      <c r="C8235" t="s">
        <v>11611</v>
      </c>
      <c r="D8235" t="s">
        <v>19054</v>
      </c>
      <c r="E8235" t="s">
        <v>21411</v>
      </c>
      <c r="F8235" t="s">
        <v>32606</v>
      </c>
      <c r="G8235" t="s">
        <v>32619</v>
      </c>
      <c r="H8235" t="s">
        <v>14201</v>
      </c>
      <c r="I8235" t="s">
        <v>32658</v>
      </c>
      <c r="J8235" t="s">
        <v>33299</v>
      </c>
      <c r="K8235" t="s">
        <v>42630</v>
      </c>
      <c r="M8235" t="s">
        <v>45754</v>
      </c>
      <c r="N8235" t="s">
        <v>47304</v>
      </c>
      <c r="O8235" t="s">
        <v>47305</v>
      </c>
      <c r="P8235">
        <v>0</v>
      </c>
      <c r="Q8235">
        <v>0</v>
      </c>
      <c r="R8235" t="s">
        <v>47312</v>
      </c>
      <c r="S8235" t="s">
        <v>47489</v>
      </c>
      <c r="T8235" t="s">
        <v>49176</v>
      </c>
      <c r="U8235" t="s">
        <v>56386</v>
      </c>
      <c r="W8235" t="s">
        <v>45754</v>
      </c>
      <c r="X8235" t="s">
        <v>47313</v>
      </c>
    </row>
    <row r="8236" spans="1:24">
      <c r="A8236">
        <f>HYPERLINK("https://www.philgeps.gov.ph/GEPSNONPILOT/Tender/SplashBidNoticeAbstractUI.aspx?menuIndex=3&amp;refID=7187866&amp;Result=3","7187866")</f>
        <v>0</v>
      </c>
      <c r="B8236" t="s">
        <v>2078</v>
      </c>
      <c r="C8236" t="s">
        <v>11612</v>
      </c>
      <c r="D8236" t="s">
        <v>19049</v>
      </c>
      <c r="E8236" t="s">
        <v>26191</v>
      </c>
      <c r="F8236" t="s">
        <v>32606</v>
      </c>
      <c r="G8236" t="s">
        <v>32614</v>
      </c>
      <c r="H8236" t="s">
        <v>14201</v>
      </c>
      <c r="I8236" t="s">
        <v>32638</v>
      </c>
      <c r="J8236" t="s">
        <v>37396</v>
      </c>
      <c r="K8236" t="s">
        <v>42631</v>
      </c>
      <c r="M8236" t="s">
        <v>45159</v>
      </c>
      <c r="N8236" t="s">
        <v>47304</v>
      </c>
      <c r="O8236" t="s">
        <v>47305</v>
      </c>
      <c r="P8236">
        <v>0</v>
      </c>
      <c r="Q8236">
        <v>10</v>
      </c>
      <c r="R8236" t="s">
        <v>47312</v>
      </c>
      <c r="S8236" t="s">
        <v>47489</v>
      </c>
      <c r="T8236" t="s">
        <v>49068</v>
      </c>
      <c r="U8236" t="s">
        <v>56387</v>
      </c>
      <c r="W8236" t="s">
        <v>45159</v>
      </c>
      <c r="X8236" t="s">
        <v>47313</v>
      </c>
    </row>
    <row r="8237" spans="1:24">
      <c r="A8237">
        <f>HYPERLINK("https://www.philgeps.gov.ph/GEPSNONPILOT/Tender/SplashBidNoticeAbstractUI.aspx?menuIndex=3&amp;refID=7187865&amp;Result=3","7187865")</f>
        <v>0</v>
      </c>
      <c r="B8237" t="s">
        <v>684</v>
      </c>
      <c r="C8237" t="s">
        <v>11613</v>
      </c>
      <c r="D8237" t="s">
        <v>19012</v>
      </c>
      <c r="E8237" t="s">
        <v>26192</v>
      </c>
      <c r="F8237" t="s">
        <v>32606</v>
      </c>
      <c r="G8237" t="s">
        <v>32615</v>
      </c>
      <c r="H8237" t="s">
        <v>14201</v>
      </c>
      <c r="I8237" t="s">
        <v>32638</v>
      </c>
      <c r="J8237" t="s">
        <v>37914</v>
      </c>
      <c r="K8237" t="s">
        <v>42622</v>
      </c>
      <c r="L8237" t="s">
        <v>684</v>
      </c>
      <c r="M8237" t="s">
        <v>43605</v>
      </c>
      <c r="N8237" t="s">
        <v>47304</v>
      </c>
      <c r="O8237" t="s">
        <v>47305</v>
      </c>
      <c r="P8237">
        <v>0</v>
      </c>
      <c r="Q8237">
        <v>16</v>
      </c>
      <c r="R8237" t="s">
        <v>47312</v>
      </c>
      <c r="S8237" t="s">
        <v>47489</v>
      </c>
      <c r="T8237" t="s">
        <v>49053</v>
      </c>
      <c r="U8237" t="s">
        <v>52303</v>
      </c>
      <c r="V8237" t="s">
        <v>63129</v>
      </c>
      <c r="W8237" t="s">
        <v>43605</v>
      </c>
      <c r="X8237" t="s">
        <v>47313</v>
      </c>
    </row>
    <row r="8238" spans="1:24">
      <c r="A8238">
        <f>HYPERLINK("https://www.philgeps.gov.ph/GEPSNONPILOT/Tender/SplashBidNoticeAbstractUI.aspx?menuIndex=3&amp;refID=7187807&amp;Result=3","7187807")</f>
        <v>0</v>
      </c>
      <c r="B8238" t="s">
        <v>2013</v>
      </c>
      <c r="C8238" t="s">
        <v>11614</v>
      </c>
      <c r="D8238" t="s">
        <v>18993</v>
      </c>
      <c r="E8238" t="s">
        <v>19776</v>
      </c>
      <c r="F8238" t="s">
        <v>32606</v>
      </c>
      <c r="G8238" t="s">
        <v>32614</v>
      </c>
      <c r="H8238" t="s">
        <v>14201</v>
      </c>
      <c r="I8238" t="s">
        <v>4120</v>
      </c>
      <c r="J8238" t="s">
        <v>34207</v>
      </c>
      <c r="K8238" t="s">
        <v>42623</v>
      </c>
      <c r="M8238" t="s">
        <v>45085</v>
      </c>
      <c r="N8238" t="s">
        <v>47304</v>
      </c>
      <c r="O8238" t="s">
        <v>47305</v>
      </c>
      <c r="P8238">
        <v>0</v>
      </c>
      <c r="Q8238">
        <v>9</v>
      </c>
      <c r="R8238" t="s">
        <v>47312</v>
      </c>
      <c r="S8238" t="s">
        <v>47489</v>
      </c>
      <c r="T8238" t="s">
        <v>49268</v>
      </c>
      <c r="U8238" t="s">
        <v>56388</v>
      </c>
      <c r="W8238" t="s">
        <v>64490</v>
      </c>
      <c r="X8238" t="s">
        <v>47313</v>
      </c>
    </row>
    <row r="8239" spans="1:24">
      <c r="A8239">
        <f>HYPERLINK("https://www.philgeps.gov.ph/GEPSNONPILOT/Tender/SplashBidNoticeAbstractUI.aspx?menuIndex=3&amp;refID=7187859&amp;Result=3","7187859")</f>
        <v>0</v>
      </c>
      <c r="B8239" t="s">
        <v>383</v>
      </c>
      <c r="C8239" t="s">
        <v>4678</v>
      </c>
      <c r="E8239" t="s">
        <v>26193</v>
      </c>
      <c r="F8239" t="s">
        <v>32606</v>
      </c>
      <c r="G8239" t="s">
        <v>32613</v>
      </c>
      <c r="H8239" t="s">
        <v>14201</v>
      </c>
      <c r="I8239" t="s">
        <v>4678</v>
      </c>
      <c r="J8239" t="s">
        <v>32957</v>
      </c>
      <c r="K8239" t="s">
        <v>42624</v>
      </c>
      <c r="M8239" t="s">
        <v>43286</v>
      </c>
      <c r="N8239" t="s">
        <v>47304</v>
      </c>
      <c r="O8239" t="s">
        <v>47305</v>
      </c>
      <c r="P8239">
        <v>0</v>
      </c>
      <c r="Q8239">
        <v>0</v>
      </c>
      <c r="R8239" t="s">
        <v>47312</v>
      </c>
      <c r="S8239" t="s">
        <v>47489</v>
      </c>
      <c r="T8239" t="s">
        <v>49389</v>
      </c>
      <c r="U8239" t="s">
        <v>56389</v>
      </c>
      <c r="W8239" t="s">
        <v>43286</v>
      </c>
      <c r="X8239" t="s">
        <v>47313</v>
      </c>
    </row>
    <row r="8240" spans="1:24">
      <c r="A8240">
        <f>HYPERLINK("https://www.philgeps.gov.ph/GEPSNONPILOT/Tender/SplashBidNoticeAbstractUI.aspx?menuIndex=3&amp;refID=7187893&amp;Result=3","7187893")</f>
        <v>0</v>
      </c>
      <c r="B8240" t="s">
        <v>1172</v>
      </c>
      <c r="C8240" t="s">
        <v>11615</v>
      </c>
      <c r="D8240" t="s">
        <v>19002</v>
      </c>
      <c r="E8240" t="s">
        <v>26194</v>
      </c>
      <c r="F8240" t="s">
        <v>32607</v>
      </c>
      <c r="G8240" t="s">
        <v>32613</v>
      </c>
      <c r="H8240" t="s">
        <v>14201</v>
      </c>
      <c r="I8240" t="s">
        <v>6298</v>
      </c>
      <c r="J8240" t="s">
        <v>37915</v>
      </c>
      <c r="K8240" t="s">
        <v>42631</v>
      </c>
      <c r="M8240" t="s">
        <v>44135</v>
      </c>
      <c r="N8240" t="s">
        <v>47304</v>
      </c>
      <c r="O8240" t="s">
        <v>47305</v>
      </c>
      <c r="P8240">
        <v>0</v>
      </c>
      <c r="Q8240">
        <v>6</v>
      </c>
      <c r="R8240" t="s">
        <v>47312</v>
      </c>
      <c r="S8240" t="s">
        <v>47489</v>
      </c>
      <c r="T8240" t="s">
        <v>49096</v>
      </c>
      <c r="U8240" t="s">
        <v>56390</v>
      </c>
      <c r="W8240" t="s">
        <v>44135</v>
      </c>
      <c r="X8240" t="s">
        <v>47313</v>
      </c>
    </row>
    <row r="8241" spans="1:24">
      <c r="A8241">
        <f>HYPERLINK("https://www.philgeps.gov.ph/GEPSNONPILOT/Tender/SplashBidNoticeAbstractUI.aspx?menuIndex=3&amp;refID=7187816&amp;Result=3","7187816")</f>
        <v>0</v>
      </c>
      <c r="B8241" t="s">
        <v>2576</v>
      </c>
      <c r="C8241" t="s">
        <v>11616</v>
      </c>
      <c r="D8241" t="s">
        <v>19005</v>
      </c>
      <c r="E8241" t="s">
        <v>26195</v>
      </c>
      <c r="F8241" t="s">
        <v>32606</v>
      </c>
      <c r="G8241" t="s">
        <v>32614</v>
      </c>
      <c r="H8241" t="s">
        <v>14201</v>
      </c>
      <c r="I8241" t="s">
        <v>6931</v>
      </c>
      <c r="J8241" t="s">
        <v>37916</v>
      </c>
      <c r="K8241" t="s">
        <v>42623</v>
      </c>
      <c r="M8241" t="s">
        <v>45717</v>
      </c>
      <c r="N8241" t="s">
        <v>47304</v>
      </c>
      <c r="O8241" t="s">
        <v>47305</v>
      </c>
      <c r="P8241">
        <v>0</v>
      </c>
      <c r="Q8241">
        <v>2</v>
      </c>
      <c r="R8241" t="s">
        <v>47312</v>
      </c>
      <c r="S8241" t="s">
        <v>47489</v>
      </c>
      <c r="T8241" t="s">
        <v>49268</v>
      </c>
      <c r="U8241" t="s">
        <v>56259</v>
      </c>
      <c r="W8241" t="s">
        <v>45717</v>
      </c>
      <c r="X8241" t="s">
        <v>47313</v>
      </c>
    </row>
    <row r="8242" spans="1:24">
      <c r="A8242">
        <f>HYPERLINK("https://www.philgeps.gov.ph/GEPSNONPILOT/Tender/SplashBidNoticeAbstractUI.aspx?menuIndex=3&amp;refID=7187903&amp;Result=3","7187903")</f>
        <v>0</v>
      </c>
      <c r="B8242" t="s">
        <v>2620</v>
      </c>
      <c r="C8242" t="s">
        <v>11617</v>
      </c>
      <c r="D8242" t="s">
        <v>19057</v>
      </c>
      <c r="E8242" t="s">
        <v>26196</v>
      </c>
      <c r="F8242" t="s">
        <v>32606</v>
      </c>
      <c r="G8242" t="s">
        <v>32619</v>
      </c>
      <c r="H8242" t="s">
        <v>14201</v>
      </c>
      <c r="I8242" t="s">
        <v>6007</v>
      </c>
      <c r="J8242" t="s">
        <v>37917</v>
      </c>
      <c r="K8242" t="s">
        <v>42629</v>
      </c>
      <c r="M8242" t="s">
        <v>45764</v>
      </c>
      <c r="N8242" t="s">
        <v>47304</v>
      </c>
      <c r="O8242" t="s">
        <v>47305</v>
      </c>
      <c r="P8242">
        <v>0</v>
      </c>
      <c r="Q8242">
        <v>0</v>
      </c>
      <c r="R8242" t="s">
        <v>47312</v>
      </c>
      <c r="S8242" t="s">
        <v>47489</v>
      </c>
      <c r="T8242" t="s">
        <v>49071</v>
      </c>
      <c r="U8242" t="s">
        <v>56391</v>
      </c>
      <c r="W8242" t="s">
        <v>45764</v>
      </c>
      <c r="X8242" t="s">
        <v>47313</v>
      </c>
    </row>
    <row r="8243" spans="1:24">
      <c r="A8243">
        <f>HYPERLINK("https://www.philgeps.gov.ph/GEPSNONPILOT/Tender/SplashBidNoticeAbstractUI.aspx?menuIndex=3&amp;refID=7187821&amp;Result=3","7187821")</f>
        <v>0</v>
      </c>
      <c r="B8243" t="s">
        <v>2621</v>
      </c>
      <c r="C8243" t="s">
        <v>7653</v>
      </c>
      <c r="E8243" t="s">
        <v>26197</v>
      </c>
      <c r="F8243" t="s">
        <v>32606</v>
      </c>
      <c r="G8243" t="s">
        <v>32613</v>
      </c>
      <c r="H8243" t="s">
        <v>32623</v>
      </c>
      <c r="I8243" t="s">
        <v>17648</v>
      </c>
      <c r="J8243" t="s">
        <v>37918</v>
      </c>
      <c r="K8243" t="s">
        <v>42624</v>
      </c>
      <c r="M8243" t="s">
        <v>45765</v>
      </c>
      <c r="N8243" t="s">
        <v>47304</v>
      </c>
      <c r="O8243" t="s">
        <v>47305</v>
      </c>
      <c r="P8243">
        <v>0</v>
      </c>
      <c r="Q8243">
        <v>0</v>
      </c>
      <c r="R8243" t="s">
        <v>47312</v>
      </c>
      <c r="S8243" t="s">
        <v>47489</v>
      </c>
      <c r="T8243" t="s">
        <v>49072</v>
      </c>
      <c r="U8243" t="s">
        <v>56392</v>
      </c>
      <c r="W8243" t="s">
        <v>45765</v>
      </c>
      <c r="X8243" t="s">
        <v>47313</v>
      </c>
    </row>
    <row r="8244" spans="1:24">
      <c r="A8244">
        <f>HYPERLINK("https://www.philgeps.gov.ph/GEPSNONPILOT/Tender/SplashBidNoticeAbstractUI.aspx?menuIndex=3&amp;refID=7187900&amp;Result=3","7187900")</f>
        <v>0</v>
      </c>
      <c r="B8244" t="s">
        <v>383</v>
      </c>
      <c r="C8244" t="s">
        <v>4572</v>
      </c>
      <c r="E8244" t="s">
        <v>26198</v>
      </c>
      <c r="F8244" t="s">
        <v>32606</v>
      </c>
      <c r="G8244" t="s">
        <v>32613</v>
      </c>
      <c r="H8244" t="s">
        <v>14201</v>
      </c>
      <c r="I8244" t="s">
        <v>32629</v>
      </c>
      <c r="J8244" t="s">
        <v>32778</v>
      </c>
      <c r="K8244" t="s">
        <v>42624</v>
      </c>
      <c r="M8244" t="s">
        <v>43286</v>
      </c>
      <c r="N8244" t="s">
        <v>47304</v>
      </c>
      <c r="O8244" t="s">
        <v>47305</v>
      </c>
      <c r="P8244">
        <v>0</v>
      </c>
      <c r="Q8244">
        <v>0</v>
      </c>
      <c r="R8244" t="s">
        <v>47312</v>
      </c>
      <c r="S8244" t="s">
        <v>47489</v>
      </c>
      <c r="T8244" t="s">
        <v>49389</v>
      </c>
      <c r="U8244" t="s">
        <v>56393</v>
      </c>
      <c r="W8244" t="s">
        <v>43286</v>
      </c>
      <c r="X8244" t="s">
        <v>47313</v>
      </c>
    </row>
    <row r="8245" spans="1:24">
      <c r="A8245">
        <f>HYPERLINK("https://www.philgeps.gov.ph/GEPSNONPILOT/Tender/SplashBidNoticeAbstractUI.aspx?menuIndex=3&amp;refID=7187899&amp;Result=3","7187899")</f>
        <v>0</v>
      </c>
      <c r="B8245" t="s">
        <v>2622</v>
      </c>
      <c r="C8245" t="s">
        <v>11618</v>
      </c>
      <c r="D8245" t="s">
        <v>19007</v>
      </c>
      <c r="E8245" t="s">
        <v>26199</v>
      </c>
      <c r="F8245" t="s">
        <v>32606</v>
      </c>
      <c r="G8245" t="s">
        <v>32617</v>
      </c>
      <c r="H8245" t="s">
        <v>14201</v>
      </c>
      <c r="I8245" t="s">
        <v>4114</v>
      </c>
      <c r="J8245" t="s">
        <v>37919</v>
      </c>
      <c r="K8245" t="s">
        <v>42627</v>
      </c>
      <c r="M8245" t="s">
        <v>45766</v>
      </c>
      <c r="N8245" t="s">
        <v>47304</v>
      </c>
      <c r="O8245" t="s">
        <v>47305</v>
      </c>
      <c r="P8245">
        <v>0</v>
      </c>
      <c r="Q8245">
        <v>15</v>
      </c>
      <c r="R8245" t="s">
        <v>47312</v>
      </c>
      <c r="S8245" t="s">
        <v>47489</v>
      </c>
      <c r="T8245" t="s">
        <v>49311</v>
      </c>
      <c r="U8245" t="s">
        <v>56394</v>
      </c>
      <c r="W8245" t="s">
        <v>45766</v>
      </c>
      <c r="X8245" t="s">
        <v>47313</v>
      </c>
    </row>
    <row r="8246" spans="1:24">
      <c r="A8246">
        <f>HYPERLINK("https://www.philgeps.gov.ph/GEPSNONPILOT/Tender/SplashBidNoticeAbstractUI.aspx?menuIndex=3&amp;refID=7187904&amp;Result=3","7187904")</f>
        <v>0</v>
      </c>
      <c r="B8246" t="s">
        <v>2078</v>
      </c>
      <c r="C8246" t="s">
        <v>11619</v>
      </c>
      <c r="D8246" t="s">
        <v>19049</v>
      </c>
      <c r="E8246" t="s">
        <v>26200</v>
      </c>
      <c r="F8246" t="s">
        <v>32606</v>
      </c>
      <c r="G8246" t="s">
        <v>32614</v>
      </c>
      <c r="H8246" t="s">
        <v>14201</v>
      </c>
      <c r="I8246" t="s">
        <v>32650</v>
      </c>
      <c r="J8246" t="s">
        <v>33102</v>
      </c>
      <c r="K8246" t="s">
        <v>42631</v>
      </c>
      <c r="M8246" t="s">
        <v>45159</v>
      </c>
      <c r="N8246" t="s">
        <v>47304</v>
      </c>
      <c r="O8246" t="s">
        <v>47305</v>
      </c>
      <c r="P8246">
        <v>0</v>
      </c>
      <c r="Q8246">
        <v>1</v>
      </c>
      <c r="R8246" t="s">
        <v>47312</v>
      </c>
      <c r="S8246" t="s">
        <v>47489</v>
      </c>
      <c r="T8246" t="s">
        <v>49068</v>
      </c>
      <c r="U8246" t="s">
        <v>56395</v>
      </c>
      <c r="W8246" t="s">
        <v>45159</v>
      </c>
      <c r="X8246" t="s">
        <v>47313</v>
      </c>
    </row>
    <row r="8247" spans="1:24">
      <c r="A8247">
        <f>HYPERLINK("https://www.philgeps.gov.ph/GEPSNONPILOT/Tender/SplashBidNoticeAbstractUI.aspx?menuIndex=3&amp;refID=7187888&amp;Result=3","7187888")</f>
        <v>0</v>
      </c>
      <c r="B8247" t="s">
        <v>2078</v>
      </c>
      <c r="C8247" t="s">
        <v>11620</v>
      </c>
      <c r="D8247" t="s">
        <v>19049</v>
      </c>
      <c r="E8247" t="s">
        <v>26184</v>
      </c>
      <c r="F8247" t="s">
        <v>32606</v>
      </c>
      <c r="G8247" t="s">
        <v>32614</v>
      </c>
      <c r="H8247" t="s">
        <v>14201</v>
      </c>
      <c r="I8247" t="s">
        <v>7577</v>
      </c>
      <c r="J8247" t="s">
        <v>37920</v>
      </c>
      <c r="K8247" t="s">
        <v>42631</v>
      </c>
      <c r="M8247" t="s">
        <v>45159</v>
      </c>
      <c r="N8247" t="s">
        <v>47304</v>
      </c>
      <c r="O8247" t="s">
        <v>47305</v>
      </c>
      <c r="P8247">
        <v>0</v>
      </c>
      <c r="Q8247">
        <v>1</v>
      </c>
      <c r="R8247" t="s">
        <v>47312</v>
      </c>
      <c r="S8247" t="s">
        <v>47489</v>
      </c>
      <c r="T8247" t="s">
        <v>49068</v>
      </c>
      <c r="U8247" t="s">
        <v>56396</v>
      </c>
      <c r="W8247" t="s">
        <v>45159</v>
      </c>
      <c r="X8247" t="s">
        <v>47313</v>
      </c>
    </row>
    <row r="8248" spans="1:24">
      <c r="A8248">
        <f>HYPERLINK("https://www.philgeps.gov.ph/GEPSNONPILOT/Tender/SplashBidNoticeAbstractUI.aspx?menuIndex=3&amp;refID=7187887&amp;Result=3","7187887")</f>
        <v>0</v>
      </c>
      <c r="B8248" t="s">
        <v>2609</v>
      </c>
      <c r="C8248" t="s">
        <v>11621</v>
      </c>
      <c r="D8248" t="s">
        <v>19011</v>
      </c>
      <c r="E8248" t="s">
        <v>26201</v>
      </c>
      <c r="F8248" t="s">
        <v>32606</v>
      </c>
      <c r="G8248" t="s">
        <v>32614</v>
      </c>
      <c r="H8248" t="s">
        <v>14201</v>
      </c>
      <c r="I8248" t="s">
        <v>32710</v>
      </c>
      <c r="J8248" t="s">
        <v>32951</v>
      </c>
      <c r="K8248" t="s">
        <v>42630</v>
      </c>
      <c r="M8248" t="s">
        <v>45753</v>
      </c>
      <c r="N8248" t="s">
        <v>47304</v>
      </c>
      <c r="O8248" t="s">
        <v>47305</v>
      </c>
      <c r="P8248">
        <v>0</v>
      </c>
      <c r="Q8248">
        <v>0</v>
      </c>
      <c r="R8248" t="s">
        <v>47312</v>
      </c>
      <c r="S8248" t="s">
        <v>47489</v>
      </c>
      <c r="T8248" t="s">
        <v>49068</v>
      </c>
      <c r="U8248" t="s">
        <v>56366</v>
      </c>
      <c r="W8248" t="s">
        <v>45753</v>
      </c>
      <c r="X8248" t="s">
        <v>47313</v>
      </c>
    </row>
    <row r="8249" spans="1:24">
      <c r="A8249">
        <f>HYPERLINK("https://www.philgeps.gov.ph/GEPSNONPILOT/Tender/SplashBidNoticeAbstractUI.aspx?menuIndex=3&amp;refID=7187902&amp;Result=3","7187902")</f>
        <v>0</v>
      </c>
      <c r="B8249" t="s">
        <v>1750</v>
      </c>
      <c r="C8249" t="s">
        <v>11622</v>
      </c>
      <c r="D8249" t="s">
        <v>19038</v>
      </c>
      <c r="E8249" t="s">
        <v>26202</v>
      </c>
      <c r="F8249" t="s">
        <v>32606</v>
      </c>
      <c r="G8249" t="s">
        <v>32614</v>
      </c>
      <c r="H8249" t="s">
        <v>14201</v>
      </c>
      <c r="I8249" t="s">
        <v>32650</v>
      </c>
      <c r="J8249" t="s">
        <v>33092</v>
      </c>
      <c r="K8249" t="s">
        <v>42624</v>
      </c>
      <c r="M8249" t="s">
        <v>44786</v>
      </c>
      <c r="N8249" t="s">
        <v>47304</v>
      </c>
      <c r="O8249" t="s">
        <v>47305</v>
      </c>
      <c r="P8249">
        <v>0</v>
      </c>
      <c r="Q8249">
        <v>1</v>
      </c>
      <c r="R8249" t="s">
        <v>47312</v>
      </c>
      <c r="S8249" t="s">
        <v>47489</v>
      </c>
      <c r="T8249" t="s">
        <v>49071</v>
      </c>
      <c r="U8249" t="s">
        <v>56397</v>
      </c>
      <c r="W8249" t="s">
        <v>44786</v>
      </c>
      <c r="X8249" t="s">
        <v>47313</v>
      </c>
    </row>
    <row r="8250" spans="1:24">
      <c r="A8250">
        <f>HYPERLINK("https://www.philgeps.gov.ph/GEPSNONPILOT/Tender/SplashBidNoticeAbstractUI.aspx?menuIndex=3&amp;refID=7187883&amp;Result=3","7187883")</f>
        <v>0</v>
      </c>
      <c r="B8250" t="s">
        <v>2622</v>
      </c>
      <c r="C8250" t="s">
        <v>11623</v>
      </c>
      <c r="D8250" t="s">
        <v>19007</v>
      </c>
      <c r="E8250" t="s">
        <v>20230</v>
      </c>
      <c r="F8250" t="s">
        <v>32606</v>
      </c>
      <c r="G8250" t="s">
        <v>32614</v>
      </c>
      <c r="H8250" t="s">
        <v>14201</v>
      </c>
      <c r="I8250" t="s">
        <v>32633</v>
      </c>
      <c r="J8250" t="s">
        <v>33009</v>
      </c>
      <c r="K8250" t="s">
        <v>42627</v>
      </c>
      <c r="M8250" t="s">
        <v>45766</v>
      </c>
      <c r="N8250" t="s">
        <v>47304</v>
      </c>
      <c r="O8250" t="s">
        <v>47305</v>
      </c>
      <c r="P8250">
        <v>0</v>
      </c>
      <c r="Q8250">
        <v>8</v>
      </c>
      <c r="R8250" t="s">
        <v>47312</v>
      </c>
      <c r="S8250" t="s">
        <v>47489</v>
      </c>
      <c r="T8250" t="s">
        <v>49311</v>
      </c>
      <c r="U8250" t="s">
        <v>56398</v>
      </c>
      <c r="W8250" t="s">
        <v>45766</v>
      </c>
      <c r="X8250" t="s">
        <v>47313</v>
      </c>
    </row>
    <row r="8251" spans="1:24">
      <c r="A8251">
        <f>HYPERLINK("https://www.philgeps.gov.ph/GEPSNONPILOT/Tender/SplashBidNoticeAbstractUI.aspx?menuIndex=3&amp;refID=7187882&amp;Result=3","7187882")</f>
        <v>0</v>
      </c>
      <c r="B8251" t="s">
        <v>2505</v>
      </c>
      <c r="C8251" t="s">
        <v>11624</v>
      </c>
      <c r="D8251" t="s">
        <v>19007</v>
      </c>
      <c r="E8251" t="s">
        <v>25893</v>
      </c>
      <c r="F8251" t="s">
        <v>32606</v>
      </c>
      <c r="G8251" t="s">
        <v>32613</v>
      </c>
      <c r="H8251" t="s">
        <v>32623</v>
      </c>
      <c r="I8251" t="s">
        <v>17648</v>
      </c>
      <c r="J8251" t="s">
        <v>37710</v>
      </c>
      <c r="K8251" t="s">
        <v>42636</v>
      </c>
      <c r="M8251" t="s">
        <v>45644</v>
      </c>
      <c r="N8251" t="s">
        <v>47304</v>
      </c>
      <c r="O8251" t="s">
        <v>47305</v>
      </c>
      <c r="P8251">
        <v>0</v>
      </c>
      <c r="Q8251">
        <v>1</v>
      </c>
      <c r="R8251" t="s">
        <v>47312</v>
      </c>
      <c r="S8251" t="s">
        <v>47489</v>
      </c>
      <c r="T8251" t="s">
        <v>49077</v>
      </c>
      <c r="U8251" t="s">
        <v>56075</v>
      </c>
      <c r="V8251" t="s">
        <v>63474</v>
      </c>
      <c r="W8251" t="s">
        <v>45644</v>
      </c>
      <c r="X8251" t="s">
        <v>47313</v>
      </c>
    </row>
    <row r="8252" spans="1:24">
      <c r="A8252">
        <f>HYPERLINK("https://www.philgeps.gov.ph/GEPSNONPILOT/Tender/SplashBidNoticeAbstractUI.aspx?menuIndex=3&amp;refID=7187878&amp;Result=3","7187878")</f>
        <v>0</v>
      </c>
      <c r="B8252" t="s">
        <v>2623</v>
      </c>
      <c r="C8252" t="s">
        <v>8950</v>
      </c>
      <c r="D8252" t="s">
        <v>19033</v>
      </c>
      <c r="E8252" t="s">
        <v>26203</v>
      </c>
      <c r="F8252" t="s">
        <v>32606</v>
      </c>
      <c r="G8252" t="s">
        <v>32613</v>
      </c>
      <c r="H8252" t="s">
        <v>14201</v>
      </c>
      <c r="I8252" t="s">
        <v>9013</v>
      </c>
      <c r="J8252" t="s">
        <v>37921</v>
      </c>
      <c r="K8252" t="s">
        <v>42631</v>
      </c>
      <c r="M8252" t="s">
        <v>45767</v>
      </c>
      <c r="N8252" t="s">
        <v>47304</v>
      </c>
      <c r="O8252" t="s">
        <v>47305</v>
      </c>
      <c r="P8252">
        <v>0</v>
      </c>
      <c r="Q8252">
        <v>1</v>
      </c>
      <c r="R8252" t="s">
        <v>47312</v>
      </c>
      <c r="S8252" t="s">
        <v>47489</v>
      </c>
      <c r="T8252" t="s">
        <v>49050</v>
      </c>
      <c r="U8252" t="s">
        <v>56399</v>
      </c>
      <c r="W8252" t="s">
        <v>45767</v>
      </c>
      <c r="X8252" t="s">
        <v>47313</v>
      </c>
    </row>
    <row r="8253" spans="1:24">
      <c r="A8253">
        <f>HYPERLINK("https://www.philgeps.gov.ph/GEPSNONPILOT/Tender/SplashBidNoticeAbstractUI.aspx?menuIndex=3&amp;refID=7187950&amp;Result=3","7187950")</f>
        <v>0</v>
      </c>
      <c r="B8253" t="s">
        <v>2533</v>
      </c>
      <c r="C8253" t="s">
        <v>11625</v>
      </c>
      <c r="D8253" t="s">
        <v>18988</v>
      </c>
      <c r="E8253" t="s">
        <v>26204</v>
      </c>
      <c r="F8253" t="s">
        <v>32606</v>
      </c>
      <c r="G8253" t="s">
        <v>32613</v>
      </c>
      <c r="H8253" t="s">
        <v>14201</v>
      </c>
      <c r="I8253" t="s">
        <v>6931</v>
      </c>
      <c r="J8253" t="s">
        <v>37922</v>
      </c>
      <c r="K8253" t="s">
        <v>42623</v>
      </c>
      <c r="M8253" t="s">
        <v>45673</v>
      </c>
      <c r="N8253" t="s">
        <v>47304</v>
      </c>
      <c r="O8253" t="s">
        <v>47305</v>
      </c>
      <c r="P8253">
        <v>0</v>
      </c>
      <c r="Q8253">
        <v>5</v>
      </c>
      <c r="R8253" t="s">
        <v>47312</v>
      </c>
      <c r="S8253" t="s">
        <v>47489</v>
      </c>
      <c r="T8253" t="s">
        <v>49050</v>
      </c>
      <c r="U8253" t="s">
        <v>56400</v>
      </c>
      <c r="W8253" t="s">
        <v>45673</v>
      </c>
      <c r="X8253" t="s">
        <v>47313</v>
      </c>
    </row>
    <row r="8254" spans="1:24">
      <c r="A8254">
        <f>HYPERLINK("https://www.philgeps.gov.ph/GEPSNONPILOT/Tender/SplashBidNoticeAbstractUI.aspx?menuIndex=3&amp;refID=7187897&amp;Result=3","7187897")</f>
        <v>0</v>
      </c>
      <c r="B8254" t="s">
        <v>2505</v>
      </c>
      <c r="C8254" t="s">
        <v>11626</v>
      </c>
      <c r="D8254" t="s">
        <v>19007</v>
      </c>
      <c r="E8254" t="s">
        <v>25893</v>
      </c>
      <c r="F8254" t="s">
        <v>32606</v>
      </c>
      <c r="G8254" t="s">
        <v>32613</v>
      </c>
      <c r="H8254" t="s">
        <v>32623</v>
      </c>
      <c r="I8254" t="s">
        <v>17648</v>
      </c>
      <c r="J8254" t="s">
        <v>37704</v>
      </c>
      <c r="K8254" t="s">
        <v>42639</v>
      </c>
      <c r="M8254" t="s">
        <v>45644</v>
      </c>
      <c r="N8254" t="s">
        <v>47304</v>
      </c>
      <c r="O8254" t="s">
        <v>47305</v>
      </c>
      <c r="P8254">
        <v>0</v>
      </c>
      <c r="Q8254">
        <v>1</v>
      </c>
      <c r="R8254" t="s">
        <v>47312</v>
      </c>
      <c r="S8254" t="s">
        <v>47489</v>
      </c>
      <c r="T8254" t="s">
        <v>49077</v>
      </c>
      <c r="U8254" t="s">
        <v>56075</v>
      </c>
      <c r="V8254" t="s">
        <v>63475</v>
      </c>
      <c r="W8254" t="s">
        <v>45644</v>
      </c>
      <c r="X8254" t="s">
        <v>47313</v>
      </c>
    </row>
    <row r="8255" spans="1:24">
      <c r="A8255">
        <f>HYPERLINK("https://www.philgeps.gov.ph/GEPSNONPILOT/Tender/SplashBidNoticeAbstractUI.aspx?menuIndex=3&amp;refID=7187886&amp;Result=3","7187886")</f>
        <v>0</v>
      </c>
      <c r="B8255" t="s">
        <v>383</v>
      </c>
      <c r="C8255" t="s">
        <v>4572</v>
      </c>
      <c r="E8255" t="s">
        <v>26205</v>
      </c>
      <c r="F8255" t="s">
        <v>32606</v>
      </c>
      <c r="G8255" t="s">
        <v>32613</v>
      </c>
      <c r="H8255" t="s">
        <v>14201</v>
      </c>
      <c r="I8255" t="s">
        <v>32629</v>
      </c>
      <c r="J8255" t="s">
        <v>35183</v>
      </c>
      <c r="K8255" t="s">
        <v>42624</v>
      </c>
      <c r="M8255" t="s">
        <v>43286</v>
      </c>
      <c r="N8255" t="s">
        <v>47304</v>
      </c>
      <c r="O8255" t="s">
        <v>47305</v>
      </c>
      <c r="P8255">
        <v>0</v>
      </c>
      <c r="Q8255">
        <v>0</v>
      </c>
      <c r="R8255" t="s">
        <v>47312</v>
      </c>
      <c r="S8255" t="s">
        <v>47489</v>
      </c>
      <c r="T8255" t="s">
        <v>49389</v>
      </c>
      <c r="U8255" t="s">
        <v>50782</v>
      </c>
      <c r="W8255" t="s">
        <v>43286</v>
      </c>
      <c r="X8255" t="s">
        <v>47313</v>
      </c>
    </row>
    <row r="8256" spans="1:24">
      <c r="A8256">
        <f>HYPERLINK("https://www.philgeps.gov.ph/GEPSNONPILOT/Tender/SplashBidNoticeAbstractUI.aspx?menuIndex=3&amp;refID=7187945&amp;Result=3","7187945")</f>
        <v>0</v>
      </c>
      <c r="B8256" t="s">
        <v>2622</v>
      </c>
      <c r="C8256" t="s">
        <v>11627</v>
      </c>
      <c r="D8256" t="s">
        <v>19007</v>
      </c>
      <c r="E8256" t="s">
        <v>22555</v>
      </c>
      <c r="F8256" t="s">
        <v>32606</v>
      </c>
      <c r="G8256" t="s">
        <v>32614</v>
      </c>
      <c r="H8256" t="s">
        <v>14201</v>
      </c>
      <c r="I8256" t="s">
        <v>6298</v>
      </c>
      <c r="J8256" t="s">
        <v>37923</v>
      </c>
      <c r="K8256" t="s">
        <v>42627</v>
      </c>
      <c r="M8256" t="s">
        <v>45766</v>
      </c>
      <c r="N8256" t="s">
        <v>47304</v>
      </c>
      <c r="O8256" t="s">
        <v>47305</v>
      </c>
      <c r="P8256">
        <v>0</v>
      </c>
      <c r="Q8256">
        <v>5</v>
      </c>
      <c r="R8256" t="s">
        <v>47312</v>
      </c>
      <c r="S8256" t="s">
        <v>47489</v>
      </c>
      <c r="T8256" t="s">
        <v>49311</v>
      </c>
      <c r="U8256" t="s">
        <v>56401</v>
      </c>
      <c r="W8256" t="s">
        <v>45766</v>
      </c>
      <c r="X8256" t="s">
        <v>47313</v>
      </c>
    </row>
    <row r="8257" spans="1:24">
      <c r="A8257">
        <f>HYPERLINK("https://www.philgeps.gov.ph/GEPSNONPILOT/Tender/SplashBidNoticeAbstractUI.aspx?menuIndex=3&amp;refID=7187944&amp;Result=3","7187944")</f>
        <v>0</v>
      </c>
      <c r="B8257" t="s">
        <v>1018</v>
      </c>
      <c r="C8257" t="s">
        <v>11628</v>
      </c>
      <c r="D8257" t="s">
        <v>19019</v>
      </c>
      <c r="E8257" t="s">
        <v>26206</v>
      </c>
      <c r="F8257" t="s">
        <v>32606</v>
      </c>
      <c r="G8257" t="s">
        <v>32613</v>
      </c>
      <c r="H8257" t="s">
        <v>14201</v>
      </c>
      <c r="I8257" t="s">
        <v>6931</v>
      </c>
      <c r="J8257" t="s">
        <v>37924</v>
      </c>
      <c r="K8257" t="s">
        <v>42631</v>
      </c>
      <c r="M8257" t="s">
        <v>43968</v>
      </c>
      <c r="N8257" t="s">
        <v>47304</v>
      </c>
      <c r="O8257" t="s">
        <v>47305</v>
      </c>
      <c r="P8257">
        <v>0</v>
      </c>
      <c r="Q8257">
        <v>0</v>
      </c>
      <c r="R8257" t="s">
        <v>47312</v>
      </c>
      <c r="S8257" t="s">
        <v>47489</v>
      </c>
      <c r="T8257" t="s">
        <v>49157</v>
      </c>
      <c r="U8257" t="s">
        <v>56402</v>
      </c>
      <c r="W8257" t="s">
        <v>43968</v>
      </c>
      <c r="X8257" t="s">
        <v>47313</v>
      </c>
    </row>
    <row r="8258" spans="1:24">
      <c r="A8258">
        <f>HYPERLINK("https://www.philgeps.gov.ph/GEPSNONPILOT/Tender/SplashBidNoticeAbstractUI.aspx?menuIndex=3&amp;refID=7187942&amp;Result=3","7187942")</f>
        <v>0</v>
      </c>
      <c r="B8258" t="s">
        <v>2505</v>
      </c>
      <c r="C8258" t="s">
        <v>11629</v>
      </c>
      <c r="D8258" t="s">
        <v>19007</v>
      </c>
      <c r="E8258" t="s">
        <v>25893</v>
      </c>
      <c r="F8258" t="s">
        <v>32606</v>
      </c>
      <c r="G8258" t="s">
        <v>32613</v>
      </c>
      <c r="H8258" t="s">
        <v>32623</v>
      </c>
      <c r="I8258" t="s">
        <v>17648</v>
      </c>
      <c r="J8258" t="s">
        <v>34246</v>
      </c>
      <c r="K8258" t="s">
        <v>42712</v>
      </c>
      <c r="M8258" t="s">
        <v>45644</v>
      </c>
      <c r="N8258" t="s">
        <v>47304</v>
      </c>
      <c r="O8258" t="s">
        <v>47305</v>
      </c>
      <c r="P8258">
        <v>0</v>
      </c>
      <c r="Q8258">
        <v>2</v>
      </c>
      <c r="R8258" t="s">
        <v>47312</v>
      </c>
      <c r="S8258" t="s">
        <v>47489</v>
      </c>
      <c r="T8258" t="s">
        <v>49077</v>
      </c>
      <c r="U8258" t="s">
        <v>56075</v>
      </c>
      <c r="V8258" t="s">
        <v>63476</v>
      </c>
      <c r="W8258" t="s">
        <v>45644</v>
      </c>
      <c r="X8258" t="s">
        <v>47313</v>
      </c>
    </row>
    <row r="8259" spans="1:24">
      <c r="A8259">
        <f>HYPERLINK("https://www.philgeps.gov.ph/GEPSNONPILOT/Tender/SplashBidNoticeAbstractUI.aspx?menuIndex=3&amp;refID=7187938&amp;Result=3","7187938")</f>
        <v>0</v>
      </c>
      <c r="B8259" t="s">
        <v>2597</v>
      </c>
      <c r="C8259" t="s">
        <v>11630</v>
      </c>
      <c r="D8259" t="s">
        <v>19009</v>
      </c>
      <c r="E8259" t="s">
        <v>26132</v>
      </c>
      <c r="F8259" t="s">
        <v>32608</v>
      </c>
      <c r="G8259" t="s">
        <v>32613</v>
      </c>
      <c r="H8259" t="s">
        <v>14201</v>
      </c>
      <c r="I8259" t="s">
        <v>6931</v>
      </c>
      <c r="J8259" t="s">
        <v>37925</v>
      </c>
      <c r="K8259" t="s">
        <v>42627</v>
      </c>
      <c r="M8259" t="s">
        <v>45741</v>
      </c>
      <c r="N8259" t="s">
        <v>47304</v>
      </c>
      <c r="O8259" t="s">
        <v>47305</v>
      </c>
      <c r="P8259">
        <v>0</v>
      </c>
      <c r="Q8259">
        <v>0</v>
      </c>
      <c r="R8259" t="s">
        <v>47312</v>
      </c>
      <c r="S8259" t="s">
        <v>47489</v>
      </c>
      <c r="T8259" t="s">
        <v>49103</v>
      </c>
      <c r="U8259" t="s">
        <v>56403</v>
      </c>
      <c r="W8259" t="s">
        <v>45741</v>
      </c>
      <c r="X8259" t="s">
        <v>47313</v>
      </c>
    </row>
    <row r="8260" spans="1:24">
      <c r="A8260">
        <f>HYPERLINK("https://www.philgeps.gov.ph/GEPSNONPILOT/Tender/SplashBidNoticeAbstractUI.aspx?menuIndex=3&amp;refID=7187936&amp;Result=3","7187936")</f>
        <v>0</v>
      </c>
      <c r="B8260" t="s">
        <v>2102</v>
      </c>
      <c r="C8260" t="s">
        <v>11631</v>
      </c>
      <c r="D8260" t="s">
        <v>19050</v>
      </c>
      <c r="E8260" t="s">
        <v>26207</v>
      </c>
      <c r="F8260" t="s">
        <v>32606</v>
      </c>
      <c r="G8260" t="s">
        <v>32613</v>
      </c>
      <c r="H8260" t="s">
        <v>14201</v>
      </c>
      <c r="I8260" t="s">
        <v>6993</v>
      </c>
      <c r="J8260" t="s">
        <v>33102</v>
      </c>
      <c r="K8260" t="s">
        <v>42631</v>
      </c>
      <c r="M8260" t="s">
        <v>45187</v>
      </c>
      <c r="N8260" t="s">
        <v>47304</v>
      </c>
      <c r="O8260" t="s">
        <v>47305</v>
      </c>
      <c r="P8260">
        <v>0</v>
      </c>
      <c r="Q8260">
        <v>2</v>
      </c>
      <c r="R8260" t="s">
        <v>47312</v>
      </c>
      <c r="S8260" t="s">
        <v>47489</v>
      </c>
      <c r="T8260" t="s">
        <v>49095</v>
      </c>
      <c r="U8260" t="s">
        <v>54797</v>
      </c>
      <c r="W8260" t="s">
        <v>45187</v>
      </c>
      <c r="X8260" t="s">
        <v>47313</v>
      </c>
    </row>
    <row r="8261" spans="1:24">
      <c r="A8261">
        <f>HYPERLINK("https://www.philgeps.gov.ph/GEPSNONPILOT/Tender/SplashBidNoticeAbstractUI.aspx?menuIndex=3&amp;refID=7187828&amp;Result=3","7187828")</f>
        <v>0</v>
      </c>
      <c r="B8261" t="s">
        <v>2602</v>
      </c>
      <c r="C8261" t="s">
        <v>11559</v>
      </c>
      <c r="D8261" t="s">
        <v>18993</v>
      </c>
      <c r="E8261" t="s">
        <v>26208</v>
      </c>
      <c r="F8261" t="s">
        <v>32606</v>
      </c>
      <c r="G8261" t="s">
        <v>32613</v>
      </c>
      <c r="H8261" t="s">
        <v>14201</v>
      </c>
      <c r="I8261" t="s">
        <v>32690</v>
      </c>
      <c r="J8261" t="s">
        <v>37926</v>
      </c>
      <c r="K8261" t="s">
        <v>42624</v>
      </c>
      <c r="M8261" t="s">
        <v>45746</v>
      </c>
      <c r="N8261" t="s">
        <v>47304</v>
      </c>
      <c r="O8261" t="s">
        <v>47305</v>
      </c>
      <c r="P8261">
        <v>0</v>
      </c>
      <c r="Q8261">
        <v>7</v>
      </c>
      <c r="R8261" t="s">
        <v>47312</v>
      </c>
      <c r="S8261" t="s">
        <v>47489</v>
      </c>
      <c r="T8261" t="s">
        <v>49073</v>
      </c>
      <c r="U8261" t="s">
        <v>56345</v>
      </c>
      <c r="W8261" t="s">
        <v>45746</v>
      </c>
      <c r="X8261" t="s">
        <v>47313</v>
      </c>
    </row>
    <row r="8262" spans="1:24">
      <c r="A8262">
        <f>HYPERLINK("https://www.philgeps.gov.ph/GEPSNONPILOT/Tender/SplashBidNoticeAbstractUI.aspx?menuIndex=3&amp;refID=7187931&amp;Result=3","7187931")</f>
        <v>0</v>
      </c>
      <c r="B8262" t="s">
        <v>2558</v>
      </c>
      <c r="C8262" t="s">
        <v>11632</v>
      </c>
      <c r="D8262" t="s">
        <v>19016</v>
      </c>
      <c r="E8262" t="s">
        <v>26209</v>
      </c>
      <c r="F8262" t="s">
        <v>32606</v>
      </c>
      <c r="G8262" t="s">
        <v>32613</v>
      </c>
      <c r="H8262" t="s">
        <v>14201</v>
      </c>
      <c r="I8262" t="s">
        <v>6007</v>
      </c>
      <c r="J8262" t="s">
        <v>37927</v>
      </c>
      <c r="K8262" t="s">
        <v>42645</v>
      </c>
      <c r="M8262" t="s">
        <v>45698</v>
      </c>
      <c r="N8262" t="s">
        <v>47304</v>
      </c>
      <c r="O8262" t="s">
        <v>47305</v>
      </c>
      <c r="P8262">
        <v>0</v>
      </c>
      <c r="Q8262">
        <v>0</v>
      </c>
      <c r="R8262" t="s">
        <v>47312</v>
      </c>
      <c r="S8262" t="s">
        <v>47489</v>
      </c>
      <c r="T8262" t="s">
        <v>49167</v>
      </c>
      <c r="U8262" t="s">
        <v>56404</v>
      </c>
      <c r="W8262" t="s">
        <v>45698</v>
      </c>
      <c r="X8262" t="s">
        <v>47313</v>
      </c>
    </row>
    <row r="8263" spans="1:24">
      <c r="A8263">
        <f>HYPERLINK("https://www.philgeps.gov.ph/GEPSNONPILOT/Tender/SplashBidNoticeAbstractUI.aspx?menuIndex=3&amp;refID=7187949&amp;Result=3","7187949")</f>
        <v>0</v>
      </c>
      <c r="B8263" t="s">
        <v>2624</v>
      </c>
      <c r="C8263" t="s">
        <v>11633</v>
      </c>
      <c r="D8263" t="s">
        <v>19033</v>
      </c>
      <c r="E8263" t="s">
        <v>26210</v>
      </c>
      <c r="F8263" t="s">
        <v>32606</v>
      </c>
      <c r="G8263" t="s">
        <v>32613</v>
      </c>
      <c r="H8263" t="s">
        <v>14201</v>
      </c>
      <c r="I8263" t="s">
        <v>4678</v>
      </c>
      <c r="J8263" t="s">
        <v>37928</v>
      </c>
      <c r="K8263" t="s">
        <v>42622</v>
      </c>
      <c r="M8263" t="s">
        <v>45768</v>
      </c>
      <c r="N8263" t="s">
        <v>47304</v>
      </c>
      <c r="O8263" t="s">
        <v>47305</v>
      </c>
      <c r="P8263">
        <v>0</v>
      </c>
      <c r="Q8263">
        <v>6</v>
      </c>
      <c r="R8263" t="s">
        <v>47312</v>
      </c>
      <c r="S8263" t="s">
        <v>47489</v>
      </c>
      <c r="T8263" t="s">
        <v>49390</v>
      </c>
      <c r="U8263" t="s">
        <v>56405</v>
      </c>
      <c r="W8263" t="s">
        <v>45768</v>
      </c>
      <c r="X8263" t="s">
        <v>47313</v>
      </c>
    </row>
    <row r="8264" spans="1:24">
      <c r="A8264">
        <f>HYPERLINK("https://www.philgeps.gov.ph/GEPSNONPILOT/Tender/SplashBidNoticeAbstractUI.aspx?menuIndex=3&amp;refID=7187924&amp;Result=3","7187924")</f>
        <v>0</v>
      </c>
      <c r="B8264" t="s">
        <v>1402</v>
      </c>
      <c r="C8264" t="s">
        <v>11634</v>
      </c>
      <c r="D8264" t="s">
        <v>18992</v>
      </c>
      <c r="E8264" t="s">
        <v>26211</v>
      </c>
      <c r="F8264" t="s">
        <v>32609</v>
      </c>
      <c r="G8264" t="s">
        <v>32619</v>
      </c>
      <c r="H8264" t="s">
        <v>32623</v>
      </c>
      <c r="I8264" t="s">
        <v>17648</v>
      </c>
      <c r="J8264" t="s">
        <v>34489</v>
      </c>
      <c r="K8264" t="s">
        <v>42813</v>
      </c>
      <c r="M8264" t="s">
        <v>45733</v>
      </c>
      <c r="N8264" t="s">
        <v>47304</v>
      </c>
      <c r="O8264" t="s">
        <v>47305</v>
      </c>
      <c r="Q8264">
        <v>1</v>
      </c>
      <c r="R8264" t="s">
        <v>47312</v>
      </c>
      <c r="S8264" t="s">
        <v>47504</v>
      </c>
      <c r="T8264" t="s">
        <v>49107</v>
      </c>
      <c r="U8264" t="s">
        <v>56406</v>
      </c>
      <c r="W8264" t="s">
        <v>45733</v>
      </c>
      <c r="X8264" t="s">
        <v>47313</v>
      </c>
    </row>
    <row r="8265" spans="1:24">
      <c r="A8265">
        <f>HYPERLINK("https://www.philgeps.gov.ph/GEPSNONPILOT/Tender/SplashBidNoticeAbstractUI.aspx?menuIndex=3&amp;refID=7187948&amp;Result=3","7187948")</f>
        <v>0</v>
      </c>
      <c r="B8265" t="s">
        <v>2625</v>
      </c>
      <c r="C8265" t="s">
        <v>11635</v>
      </c>
      <c r="D8265" t="s">
        <v>19056</v>
      </c>
      <c r="E8265" t="s">
        <v>26212</v>
      </c>
      <c r="F8265" t="s">
        <v>32606</v>
      </c>
      <c r="G8265" t="s">
        <v>32613</v>
      </c>
      <c r="H8265" t="s">
        <v>14201</v>
      </c>
      <c r="I8265" t="s">
        <v>32635</v>
      </c>
      <c r="J8265" t="s">
        <v>32821</v>
      </c>
      <c r="K8265" t="s">
        <v>42630</v>
      </c>
      <c r="M8265" t="s">
        <v>45769</v>
      </c>
      <c r="N8265" t="s">
        <v>47304</v>
      </c>
      <c r="O8265" t="s">
        <v>47305</v>
      </c>
      <c r="P8265">
        <v>0</v>
      </c>
      <c r="Q8265">
        <v>3</v>
      </c>
      <c r="R8265" t="s">
        <v>47312</v>
      </c>
      <c r="S8265" t="s">
        <v>47489</v>
      </c>
      <c r="T8265" t="s">
        <v>49257</v>
      </c>
      <c r="U8265" t="s">
        <v>56407</v>
      </c>
      <c r="V8265" t="s">
        <v>63477</v>
      </c>
      <c r="W8265" t="s">
        <v>45769</v>
      </c>
      <c r="X8265" t="s">
        <v>47313</v>
      </c>
    </row>
    <row r="8266" spans="1:24">
      <c r="A8266">
        <f>HYPERLINK("https://www.philgeps.gov.ph/GEPSNONPILOT/Tender/SplashBidNoticeAbstractUI.aspx?menuIndex=3&amp;refID=7187918&amp;Result=3","7187918")</f>
        <v>0</v>
      </c>
      <c r="B8266" t="s">
        <v>2622</v>
      </c>
      <c r="C8266" t="s">
        <v>11636</v>
      </c>
      <c r="D8266" t="s">
        <v>19007</v>
      </c>
      <c r="E8266" t="s">
        <v>26213</v>
      </c>
      <c r="F8266" t="s">
        <v>32606</v>
      </c>
      <c r="G8266" t="s">
        <v>32617</v>
      </c>
      <c r="H8266" t="s">
        <v>14201</v>
      </c>
      <c r="I8266" t="s">
        <v>4114</v>
      </c>
      <c r="J8266" t="s">
        <v>37929</v>
      </c>
      <c r="K8266" t="s">
        <v>42627</v>
      </c>
      <c r="M8266" t="s">
        <v>45766</v>
      </c>
      <c r="N8266" t="s">
        <v>47304</v>
      </c>
      <c r="O8266" t="s">
        <v>47305</v>
      </c>
      <c r="P8266">
        <v>0</v>
      </c>
      <c r="Q8266">
        <v>13</v>
      </c>
      <c r="R8266" t="s">
        <v>47312</v>
      </c>
      <c r="S8266" t="s">
        <v>47489</v>
      </c>
      <c r="T8266" t="s">
        <v>49311</v>
      </c>
      <c r="U8266" t="s">
        <v>56408</v>
      </c>
      <c r="W8266" t="s">
        <v>45766</v>
      </c>
      <c r="X8266" t="s">
        <v>47313</v>
      </c>
    </row>
    <row r="8267" spans="1:24">
      <c r="A8267">
        <f>HYPERLINK("https://www.philgeps.gov.ph/GEPSNONPILOT/Tender/SplashBidNoticeAbstractUI.aspx?menuIndex=3&amp;refID=7188021&amp;Result=3","7188021")</f>
        <v>0</v>
      </c>
      <c r="B8267" t="s">
        <v>1893</v>
      </c>
      <c r="C8267" t="s">
        <v>11637</v>
      </c>
      <c r="D8267" t="s">
        <v>19039</v>
      </c>
      <c r="E8267" t="s">
        <v>26214</v>
      </c>
      <c r="F8267" t="s">
        <v>32606</v>
      </c>
      <c r="G8267" t="s">
        <v>32619</v>
      </c>
      <c r="H8267" t="s">
        <v>14201</v>
      </c>
      <c r="I8267" t="s">
        <v>32633</v>
      </c>
      <c r="J8267" t="s">
        <v>37930</v>
      </c>
      <c r="K8267" t="s">
        <v>42624</v>
      </c>
      <c r="M8267" t="s">
        <v>44952</v>
      </c>
      <c r="N8267" t="s">
        <v>47304</v>
      </c>
      <c r="O8267" t="s">
        <v>47305</v>
      </c>
      <c r="Q8267">
        <v>7</v>
      </c>
      <c r="R8267" t="s">
        <v>47312</v>
      </c>
      <c r="S8267" t="s">
        <v>47505</v>
      </c>
      <c r="T8267" t="s">
        <v>49002</v>
      </c>
      <c r="U8267" t="s">
        <v>56409</v>
      </c>
      <c r="W8267" t="s">
        <v>44952</v>
      </c>
      <c r="X8267" t="s">
        <v>47313</v>
      </c>
    </row>
    <row r="8268" spans="1:24">
      <c r="A8268">
        <f>HYPERLINK("https://www.philgeps.gov.ph/GEPSNONPILOT/Tender/SplashBidNoticeAbstractUI.aspx?menuIndex=3&amp;refID=7187852&amp;Result=3","7187852")</f>
        <v>0</v>
      </c>
      <c r="B8268" t="s">
        <v>2626</v>
      </c>
      <c r="C8268" t="s">
        <v>11638</v>
      </c>
      <c r="D8268" t="s">
        <v>18988</v>
      </c>
      <c r="E8268" t="s">
        <v>19315</v>
      </c>
      <c r="F8268" t="s">
        <v>32606</v>
      </c>
      <c r="G8268" t="s">
        <v>32614</v>
      </c>
      <c r="H8268" t="s">
        <v>32624</v>
      </c>
      <c r="I8268" t="s">
        <v>4114</v>
      </c>
      <c r="J8268" t="s">
        <v>37931</v>
      </c>
      <c r="K8268" t="s">
        <v>42637</v>
      </c>
      <c r="M8268" t="s">
        <v>45770</v>
      </c>
      <c r="N8268" t="s">
        <v>47304</v>
      </c>
      <c r="O8268" t="s">
        <v>47305</v>
      </c>
      <c r="P8268">
        <v>0</v>
      </c>
      <c r="Q8268">
        <v>4</v>
      </c>
      <c r="R8268" t="s">
        <v>47312</v>
      </c>
      <c r="S8268" t="s">
        <v>47489</v>
      </c>
      <c r="T8268" t="s">
        <v>48979</v>
      </c>
      <c r="U8268" t="s">
        <v>56410</v>
      </c>
      <c r="W8268" t="s">
        <v>45770</v>
      </c>
      <c r="X8268" t="s">
        <v>47313</v>
      </c>
    </row>
    <row r="8269" spans="1:24">
      <c r="A8269">
        <f>HYPERLINK("https://www.philgeps.gov.ph/GEPSNONPILOT/Tender/SplashBidNoticeAbstractUI.aspx?menuIndex=3&amp;refID=7188019&amp;Result=3","7188019")</f>
        <v>0</v>
      </c>
      <c r="B8269" t="s">
        <v>2520</v>
      </c>
      <c r="C8269" t="s">
        <v>11639</v>
      </c>
      <c r="D8269" t="s">
        <v>19018</v>
      </c>
      <c r="E8269" t="s">
        <v>26215</v>
      </c>
      <c r="F8269" t="s">
        <v>32606</v>
      </c>
      <c r="G8269" t="s">
        <v>32613</v>
      </c>
      <c r="H8269" t="s">
        <v>32623</v>
      </c>
      <c r="I8269" t="s">
        <v>17648</v>
      </c>
      <c r="J8269" t="s">
        <v>32923</v>
      </c>
      <c r="K8269" t="s">
        <v>42657</v>
      </c>
      <c r="M8269" t="s">
        <v>45661</v>
      </c>
      <c r="N8269" t="s">
        <v>47304</v>
      </c>
      <c r="O8269" t="s">
        <v>47305</v>
      </c>
      <c r="P8269">
        <v>0</v>
      </c>
      <c r="Q8269">
        <v>0</v>
      </c>
      <c r="R8269" t="s">
        <v>47312</v>
      </c>
      <c r="S8269" t="s">
        <v>47489</v>
      </c>
      <c r="T8269" t="s">
        <v>49009</v>
      </c>
      <c r="U8269" t="s">
        <v>56411</v>
      </c>
      <c r="W8269" t="s">
        <v>45661</v>
      </c>
      <c r="X8269" t="s">
        <v>47313</v>
      </c>
    </row>
    <row r="8270" spans="1:24">
      <c r="A8270">
        <f>HYPERLINK("https://www.philgeps.gov.ph/GEPSNONPILOT/Tender/SplashBidNoticeAbstractUI.aspx?menuIndex=3&amp;refID=7187930&amp;Result=3","7187930")</f>
        <v>0</v>
      </c>
      <c r="B8270" t="s">
        <v>2609</v>
      </c>
      <c r="C8270" t="s">
        <v>11640</v>
      </c>
      <c r="E8270" t="s">
        <v>26216</v>
      </c>
      <c r="F8270" t="s">
        <v>32610</v>
      </c>
      <c r="G8270" t="s">
        <v>32614</v>
      </c>
      <c r="H8270" t="s">
        <v>14201</v>
      </c>
      <c r="I8270" t="s">
        <v>32637</v>
      </c>
      <c r="J8270" t="s">
        <v>32977</v>
      </c>
      <c r="K8270" t="s">
        <v>42630</v>
      </c>
      <c r="M8270" t="s">
        <v>45753</v>
      </c>
      <c r="N8270" t="s">
        <v>47304</v>
      </c>
      <c r="O8270" t="s">
        <v>47305</v>
      </c>
      <c r="P8270">
        <v>0</v>
      </c>
      <c r="Q8270">
        <v>1</v>
      </c>
      <c r="R8270" t="s">
        <v>47312</v>
      </c>
      <c r="S8270" t="s">
        <v>47489</v>
      </c>
      <c r="T8270" t="s">
        <v>49072</v>
      </c>
      <c r="U8270" t="s">
        <v>56412</v>
      </c>
      <c r="W8270" t="s">
        <v>45753</v>
      </c>
      <c r="X8270" t="s">
        <v>47313</v>
      </c>
    </row>
    <row r="8271" spans="1:24">
      <c r="A8271">
        <f>HYPERLINK("https://www.philgeps.gov.ph/GEPSNONPILOT/Tender/SplashBidNoticeAbstractUI.aspx?menuIndex=3&amp;refID=7188016&amp;Result=3","7188016")</f>
        <v>0</v>
      </c>
      <c r="B8271" t="s">
        <v>1018</v>
      </c>
      <c r="C8271" t="s">
        <v>11641</v>
      </c>
      <c r="D8271" t="s">
        <v>19019</v>
      </c>
      <c r="E8271" t="s">
        <v>26217</v>
      </c>
      <c r="F8271" t="s">
        <v>32606</v>
      </c>
      <c r="G8271" t="s">
        <v>32613</v>
      </c>
      <c r="H8271" t="s">
        <v>14201</v>
      </c>
      <c r="I8271" t="s">
        <v>6931</v>
      </c>
      <c r="J8271" t="s">
        <v>37932</v>
      </c>
      <c r="K8271" t="s">
        <v>42631</v>
      </c>
      <c r="M8271" t="s">
        <v>43968</v>
      </c>
      <c r="N8271" t="s">
        <v>47304</v>
      </c>
      <c r="O8271" t="s">
        <v>47305</v>
      </c>
      <c r="P8271">
        <v>0</v>
      </c>
      <c r="Q8271">
        <v>0</v>
      </c>
      <c r="R8271" t="s">
        <v>47312</v>
      </c>
      <c r="S8271" t="s">
        <v>47489</v>
      </c>
      <c r="T8271" t="s">
        <v>49157</v>
      </c>
      <c r="U8271" t="s">
        <v>56413</v>
      </c>
      <c r="W8271" t="s">
        <v>43968</v>
      </c>
      <c r="X8271" t="s">
        <v>47313</v>
      </c>
    </row>
    <row r="8272" spans="1:24">
      <c r="A8272">
        <f>HYPERLINK("https://www.philgeps.gov.ph/GEPSNONPILOT/Tender/SplashBidNoticeAbstractUI.aspx?menuIndex=3&amp;refID=7188003&amp;Result=3","7188003")</f>
        <v>0</v>
      </c>
      <c r="B8272" t="s">
        <v>2627</v>
      </c>
      <c r="C8272" t="s">
        <v>11642</v>
      </c>
      <c r="D8272" t="s">
        <v>19006</v>
      </c>
      <c r="E8272" t="s">
        <v>19327</v>
      </c>
      <c r="F8272" t="s">
        <v>32606</v>
      </c>
      <c r="G8272" t="s">
        <v>32613</v>
      </c>
      <c r="H8272" t="s">
        <v>14201</v>
      </c>
      <c r="I8272" t="s">
        <v>13131</v>
      </c>
      <c r="J8272" t="s">
        <v>33189</v>
      </c>
      <c r="K8272" t="s">
        <v>42639</v>
      </c>
      <c r="M8272" t="s">
        <v>45771</v>
      </c>
      <c r="N8272" t="s">
        <v>47304</v>
      </c>
      <c r="O8272" t="s">
        <v>47305</v>
      </c>
      <c r="P8272">
        <v>0</v>
      </c>
      <c r="Q8272">
        <v>5</v>
      </c>
      <c r="R8272" t="s">
        <v>47312</v>
      </c>
      <c r="S8272" t="s">
        <v>47489</v>
      </c>
      <c r="T8272" t="s">
        <v>49157</v>
      </c>
      <c r="U8272" t="s">
        <v>56414</v>
      </c>
      <c r="W8272" t="s">
        <v>45771</v>
      </c>
      <c r="X8272" t="s">
        <v>47313</v>
      </c>
    </row>
    <row r="8273" spans="1:24">
      <c r="A8273">
        <f>HYPERLINK("https://www.philgeps.gov.ph/GEPSNONPILOT/Tender/SplashBidNoticeAbstractUI.aspx?menuIndex=3&amp;refID=7187925&amp;Result=3","7187925")</f>
        <v>0</v>
      </c>
      <c r="B8273" t="s">
        <v>301</v>
      </c>
      <c r="C8273" t="s">
        <v>11643</v>
      </c>
      <c r="D8273" t="s">
        <v>19011</v>
      </c>
      <c r="E8273" t="s">
        <v>26218</v>
      </c>
      <c r="F8273" t="s">
        <v>32606</v>
      </c>
      <c r="G8273" t="s">
        <v>32613</v>
      </c>
      <c r="H8273" t="s">
        <v>14201</v>
      </c>
      <c r="I8273" t="s">
        <v>32648</v>
      </c>
      <c r="J8273" t="s">
        <v>37933</v>
      </c>
      <c r="K8273" t="s">
        <v>42694</v>
      </c>
      <c r="M8273" t="s">
        <v>45606</v>
      </c>
      <c r="N8273" t="s">
        <v>47304</v>
      </c>
      <c r="O8273" t="s">
        <v>47305</v>
      </c>
      <c r="P8273">
        <v>0</v>
      </c>
      <c r="Q8273">
        <v>8</v>
      </c>
      <c r="R8273" t="s">
        <v>47312</v>
      </c>
      <c r="S8273" t="s">
        <v>47489</v>
      </c>
      <c r="T8273" t="s">
        <v>49357</v>
      </c>
      <c r="U8273" t="s">
        <v>56415</v>
      </c>
      <c r="W8273" t="s">
        <v>45606</v>
      </c>
      <c r="X8273" t="s">
        <v>47313</v>
      </c>
    </row>
    <row r="8274" spans="1:24">
      <c r="A8274">
        <f>HYPERLINK("https://www.philgeps.gov.ph/GEPSNONPILOT/Tender/SplashBidNoticeAbstractUI.aspx?menuIndex=3&amp;refID=7187999&amp;Result=3","7187999")</f>
        <v>0</v>
      </c>
      <c r="B8274" t="s">
        <v>2505</v>
      </c>
      <c r="C8274" t="s">
        <v>11644</v>
      </c>
      <c r="D8274" t="s">
        <v>19007</v>
      </c>
      <c r="E8274" t="s">
        <v>25893</v>
      </c>
      <c r="F8274" t="s">
        <v>32606</v>
      </c>
      <c r="G8274" t="s">
        <v>32613</v>
      </c>
      <c r="H8274" t="s">
        <v>32623</v>
      </c>
      <c r="I8274" t="s">
        <v>17648</v>
      </c>
      <c r="J8274" t="s">
        <v>37710</v>
      </c>
      <c r="K8274" t="s">
        <v>42636</v>
      </c>
      <c r="M8274" t="s">
        <v>45644</v>
      </c>
      <c r="N8274" t="s">
        <v>47304</v>
      </c>
      <c r="O8274" t="s">
        <v>47305</v>
      </c>
      <c r="P8274">
        <v>0</v>
      </c>
      <c r="Q8274">
        <v>1</v>
      </c>
      <c r="R8274" t="s">
        <v>47312</v>
      </c>
      <c r="S8274" t="s">
        <v>47489</v>
      </c>
      <c r="T8274" t="s">
        <v>49077</v>
      </c>
      <c r="U8274" t="s">
        <v>56075</v>
      </c>
      <c r="V8274" t="s">
        <v>63478</v>
      </c>
      <c r="W8274" t="s">
        <v>45644</v>
      </c>
      <c r="X8274" t="s">
        <v>47313</v>
      </c>
    </row>
    <row r="8275" spans="1:24">
      <c r="A8275">
        <f>HYPERLINK("https://www.philgeps.gov.ph/GEPSNONPILOT/Tender/SplashBidNoticeAbstractUI.aspx?menuIndex=3&amp;refID=7187951&amp;Result=3","7187951")</f>
        <v>0</v>
      </c>
      <c r="B8275" t="s">
        <v>2628</v>
      </c>
      <c r="C8275" t="s">
        <v>4718</v>
      </c>
      <c r="D8275" t="s">
        <v>18988</v>
      </c>
      <c r="E8275" t="s">
        <v>26219</v>
      </c>
      <c r="F8275" t="s">
        <v>32606</v>
      </c>
      <c r="G8275" t="s">
        <v>32619</v>
      </c>
      <c r="H8275" t="s">
        <v>14201</v>
      </c>
      <c r="I8275" t="s">
        <v>32658</v>
      </c>
      <c r="J8275" t="s">
        <v>37934</v>
      </c>
      <c r="K8275" t="s">
        <v>42632</v>
      </c>
      <c r="M8275" t="s">
        <v>45772</v>
      </c>
      <c r="N8275" t="s">
        <v>47304</v>
      </c>
      <c r="O8275" t="s">
        <v>47305</v>
      </c>
      <c r="P8275">
        <v>0</v>
      </c>
      <c r="Q8275">
        <v>2</v>
      </c>
      <c r="R8275" t="s">
        <v>47312</v>
      </c>
      <c r="S8275" t="s">
        <v>47489</v>
      </c>
      <c r="T8275" t="s">
        <v>49315</v>
      </c>
      <c r="U8275" t="s">
        <v>56416</v>
      </c>
      <c r="W8275" t="s">
        <v>45772</v>
      </c>
      <c r="X8275" t="s">
        <v>47313</v>
      </c>
    </row>
    <row r="8276" spans="1:24">
      <c r="A8276">
        <f>HYPERLINK("https://www.philgeps.gov.ph/GEPSNONPILOT/Tender/SplashBidNoticeAbstractUI.aspx?menuIndex=3&amp;refID=7187988&amp;Result=3","7187988")</f>
        <v>0</v>
      </c>
      <c r="B8276" t="s">
        <v>2505</v>
      </c>
      <c r="C8276" t="s">
        <v>11645</v>
      </c>
      <c r="D8276" t="s">
        <v>19007</v>
      </c>
      <c r="E8276" t="s">
        <v>25893</v>
      </c>
      <c r="F8276" t="s">
        <v>32606</v>
      </c>
      <c r="G8276" t="s">
        <v>32613</v>
      </c>
      <c r="H8276" t="s">
        <v>32623</v>
      </c>
      <c r="I8276" t="s">
        <v>17648</v>
      </c>
      <c r="J8276" t="s">
        <v>32772</v>
      </c>
      <c r="K8276" t="s">
        <v>42636</v>
      </c>
      <c r="M8276" t="s">
        <v>45644</v>
      </c>
      <c r="N8276" t="s">
        <v>47304</v>
      </c>
      <c r="O8276" t="s">
        <v>47305</v>
      </c>
      <c r="P8276">
        <v>0</v>
      </c>
      <c r="Q8276">
        <v>0</v>
      </c>
      <c r="R8276" t="s">
        <v>47312</v>
      </c>
      <c r="S8276" t="s">
        <v>47489</v>
      </c>
      <c r="T8276" t="s">
        <v>49077</v>
      </c>
      <c r="U8276" t="s">
        <v>56075</v>
      </c>
      <c r="V8276" t="s">
        <v>63479</v>
      </c>
      <c r="W8276" t="s">
        <v>45644</v>
      </c>
      <c r="X8276" t="s">
        <v>47313</v>
      </c>
    </row>
    <row r="8277" spans="1:24">
      <c r="A8277">
        <f>HYPERLINK("https://www.philgeps.gov.ph/GEPSNONPILOT/Tender/SplashBidNoticeAbstractUI.aspx?menuIndex=3&amp;refID=7187987&amp;Result=3","7187987")</f>
        <v>0</v>
      </c>
      <c r="B8277" t="s">
        <v>2629</v>
      </c>
      <c r="C8277" t="s">
        <v>11646</v>
      </c>
      <c r="D8277" t="s">
        <v>19043</v>
      </c>
      <c r="E8277" t="s">
        <v>26220</v>
      </c>
      <c r="F8277" t="s">
        <v>32606</v>
      </c>
      <c r="G8277" t="s">
        <v>32614</v>
      </c>
      <c r="H8277" t="s">
        <v>14201</v>
      </c>
      <c r="I8277" t="s">
        <v>32696</v>
      </c>
      <c r="J8277" t="s">
        <v>32799</v>
      </c>
      <c r="K8277" t="s">
        <v>42624</v>
      </c>
      <c r="M8277" t="s">
        <v>45773</v>
      </c>
      <c r="N8277" t="s">
        <v>47304</v>
      </c>
      <c r="O8277" t="s">
        <v>47305</v>
      </c>
      <c r="P8277">
        <v>0</v>
      </c>
      <c r="Q8277">
        <v>2</v>
      </c>
      <c r="R8277" t="s">
        <v>47312</v>
      </c>
      <c r="S8277" t="s">
        <v>47489</v>
      </c>
      <c r="T8277" t="s">
        <v>48998</v>
      </c>
      <c r="U8277" t="s">
        <v>56417</v>
      </c>
      <c r="W8277" t="s">
        <v>45773</v>
      </c>
      <c r="X8277" t="s">
        <v>47313</v>
      </c>
    </row>
    <row r="8278" spans="1:24">
      <c r="A8278">
        <f>HYPERLINK("https://www.philgeps.gov.ph/GEPSNONPILOT/Tender/SplashBidNoticeAbstractUI.aspx?menuIndex=3&amp;refID=7187985&amp;Result=3","7187985")</f>
        <v>0</v>
      </c>
      <c r="B8278" t="s">
        <v>2503</v>
      </c>
      <c r="C8278" t="s">
        <v>11647</v>
      </c>
      <c r="D8278" t="s">
        <v>19010</v>
      </c>
      <c r="E8278" t="s">
        <v>26221</v>
      </c>
      <c r="F8278" t="s">
        <v>32606</v>
      </c>
      <c r="G8278" t="s">
        <v>32613</v>
      </c>
      <c r="H8278" t="s">
        <v>32623</v>
      </c>
      <c r="I8278" t="s">
        <v>17648</v>
      </c>
      <c r="J8278" t="s">
        <v>37935</v>
      </c>
      <c r="K8278" t="s">
        <v>42814</v>
      </c>
      <c r="M8278" t="s">
        <v>45641</v>
      </c>
      <c r="N8278" t="s">
        <v>47304</v>
      </c>
      <c r="O8278" t="s">
        <v>47305</v>
      </c>
      <c r="P8278">
        <v>0</v>
      </c>
      <c r="Q8278">
        <v>0</v>
      </c>
      <c r="R8278" t="s">
        <v>47312</v>
      </c>
      <c r="S8278" t="s">
        <v>47489</v>
      </c>
      <c r="T8278" t="s">
        <v>49075</v>
      </c>
      <c r="U8278" t="s">
        <v>56418</v>
      </c>
      <c r="V8278" t="s">
        <v>63480</v>
      </c>
      <c r="W8278" t="s">
        <v>45641</v>
      </c>
      <c r="X8278" t="s">
        <v>47313</v>
      </c>
    </row>
    <row r="8279" spans="1:24">
      <c r="A8279">
        <f>HYPERLINK("https://www.philgeps.gov.ph/GEPSNONPILOT/Tender/SplashBidNoticeAbstractUI.aspx?menuIndex=3&amp;refID=7187751&amp;Result=3","7187751")</f>
        <v>0</v>
      </c>
      <c r="B8279" t="s">
        <v>2566</v>
      </c>
      <c r="C8279" t="s">
        <v>11648</v>
      </c>
      <c r="D8279" t="s">
        <v>19049</v>
      </c>
      <c r="E8279" t="s">
        <v>26222</v>
      </c>
      <c r="F8279" t="s">
        <v>32606</v>
      </c>
      <c r="G8279" t="s">
        <v>32613</v>
      </c>
      <c r="H8279" t="s">
        <v>32623</v>
      </c>
      <c r="I8279" t="s">
        <v>17648</v>
      </c>
      <c r="J8279" t="s">
        <v>37936</v>
      </c>
      <c r="K8279" t="s">
        <v>42786</v>
      </c>
      <c r="M8279" t="s">
        <v>45706</v>
      </c>
      <c r="N8279" t="s">
        <v>47304</v>
      </c>
      <c r="O8279" t="s">
        <v>47305</v>
      </c>
      <c r="P8279">
        <v>0</v>
      </c>
      <c r="Q8279">
        <v>8</v>
      </c>
      <c r="R8279" t="s">
        <v>47312</v>
      </c>
      <c r="S8279" t="s">
        <v>47489</v>
      </c>
      <c r="T8279" t="s">
        <v>48978</v>
      </c>
      <c r="U8279" t="s">
        <v>56419</v>
      </c>
      <c r="V8279" t="s">
        <v>63441</v>
      </c>
      <c r="W8279" t="s">
        <v>45706</v>
      </c>
      <c r="X8279" t="s">
        <v>47313</v>
      </c>
    </row>
    <row r="8280" spans="1:24">
      <c r="A8280">
        <f>HYPERLINK("https://www.philgeps.gov.ph/GEPSNONPILOT/Tender/SplashBidNoticeAbstractUI.aspx?menuIndex=3&amp;refID=7187984&amp;Result=3","7187984")</f>
        <v>0</v>
      </c>
      <c r="B8280" t="s">
        <v>2559</v>
      </c>
      <c r="C8280" t="s">
        <v>11649</v>
      </c>
      <c r="D8280" t="s">
        <v>19039</v>
      </c>
      <c r="E8280" t="s">
        <v>26223</v>
      </c>
      <c r="F8280" t="s">
        <v>32606</v>
      </c>
      <c r="G8280" t="s">
        <v>32613</v>
      </c>
      <c r="H8280" t="s">
        <v>14201</v>
      </c>
      <c r="I8280" t="s">
        <v>32669</v>
      </c>
      <c r="J8280" t="s">
        <v>32770</v>
      </c>
      <c r="K8280" t="s">
        <v>42636</v>
      </c>
      <c r="M8280" t="s">
        <v>45699</v>
      </c>
      <c r="N8280" t="s">
        <v>47304</v>
      </c>
      <c r="O8280" t="s">
        <v>47305</v>
      </c>
      <c r="P8280">
        <v>0</v>
      </c>
      <c r="Q8280">
        <v>0</v>
      </c>
      <c r="R8280" t="s">
        <v>47312</v>
      </c>
      <c r="S8280" t="s">
        <v>47489</v>
      </c>
      <c r="T8280" t="s">
        <v>49320</v>
      </c>
      <c r="U8280" t="s">
        <v>56210</v>
      </c>
      <c r="V8280" t="s">
        <v>63438</v>
      </c>
      <c r="W8280" t="s">
        <v>45699</v>
      </c>
      <c r="X8280" t="s">
        <v>47313</v>
      </c>
    </row>
    <row r="8281" spans="1:24">
      <c r="A8281">
        <f>HYPERLINK("https://www.philgeps.gov.ph/GEPSNONPILOT/Tender/SplashBidNoticeAbstractUI.aspx?menuIndex=3&amp;refID=7187975&amp;Result=3","7187975")</f>
        <v>0</v>
      </c>
      <c r="B8281" t="s">
        <v>2609</v>
      </c>
      <c r="C8281" t="s">
        <v>11650</v>
      </c>
      <c r="D8281" t="s">
        <v>19011</v>
      </c>
      <c r="E8281" t="s">
        <v>26224</v>
      </c>
      <c r="F8281" t="s">
        <v>32606</v>
      </c>
      <c r="G8281" t="s">
        <v>32613</v>
      </c>
      <c r="H8281" t="s">
        <v>14201</v>
      </c>
      <c r="I8281" t="s">
        <v>4678</v>
      </c>
      <c r="J8281" t="s">
        <v>32885</v>
      </c>
      <c r="K8281" t="s">
        <v>42630</v>
      </c>
      <c r="M8281" t="s">
        <v>45753</v>
      </c>
      <c r="N8281" t="s">
        <v>47304</v>
      </c>
      <c r="O8281" t="s">
        <v>47305</v>
      </c>
      <c r="P8281">
        <v>0</v>
      </c>
      <c r="Q8281">
        <v>1</v>
      </c>
      <c r="R8281" t="s">
        <v>47312</v>
      </c>
      <c r="S8281" t="s">
        <v>47489</v>
      </c>
      <c r="T8281" t="s">
        <v>49391</v>
      </c>
      <c r="U8281" t="s">
        <v>56420</v>
      </c>
      <c r="W8281" t="s">
        <v>45753</v>
      </c>
      <c r="X8281" t="s">
        <v>47313</v>
      </c>
    </row>
    <row r="8282" spans="1:24">
      <c r="A8282">
        <f>HYPERLINK("https://www.philgeps.gov.ph/GEPSNONPILOT/Tender/SplashBidNoticeAbstractUI.aspx?menuIndex=3&amp;refID=7187864&amp;Result=3","7187864")</f>
        <v>0</v>
      </c>
      <c r="B8282" t="s">
        <v>2602</v>
      </c>
      <c r="C8282" t="s">
        <v>11559</v>
      </c>
      <c r="D8282" t="s">
        <v>18993</v>
      </c>
      <c r="E8282" t="s">
        <v>26225</v>
      </c>
      <c r="F8282" t="s">
        <v>32606</v>
      </c>
      <c r="G8282" t="s">
        <v>32613</v>
      </c>
      <c r="H8282" t="s">
        <v>14201</v>
      </c>
      <c r="I8282" t="s">
        <v>32631</v>
      </c>
      <c r="J8282" t="s">
        <v>37937</v>
      </c>
      <c r="K8282" t="s">
        <v>42624</v>
      </c>
      <c r="M8282" t="s">
        <v>45746</v>
      </c>
      <c r="N8282" t="s">
        <v>47304</v>
      </c>
      <c r="O8282" t="s">
        <v>47305</v>
      </c>
      <c r="P8282">
        <v>0</v>
      </c>
      <c r="Q8282">
        <v>4</v>
      </c>
      <c r="R8282" t="s">
        <v>47312</v>
      </c>
      <c r="S8282" t="s">
        <v>47489</v>
      </c>
      <c r="T8282" t="s">
        <v>49073</v>
      </c>
      <c r="U8282" t="s">
        <v>56345</v>
      </c>
      <c r="W8282" t="s">
        <v>45746</v>
      </c>
      <c r="X8282" t="s">
        <v>47313</v>
      </c>
    </row>
    <row r="8283" spans="1:24">
      <c r="A8283">
        <f>HYPERLINK("https://www.philgeps.gov.ph/GEPSNONPILOT/Tender/SplashBidNoticeAbstractUI.aspx?menuIndex=3&amp;refID=7187970&amp;Result=3","7187970")</f>
        <v>0</v>
      </c>
      <c r="B8283" t="s">
        <v>2505</v>
      </c>
      <c r="C8283" t="s">
        <v>11651</v>
      </c>
      <c r="D8283" t="s">
        <v>19007</v>
      </c>
      <c r="E8283" t="s">
        <v>25893</v>
      </c>
      <c r="F8283" t="s">
        <v>32606</v>
      </c>
      <c r="G8283" t="s">
        <v>32613</v>
      </c>
      <c r="H8283" t="s">
        <v>32623</v>
      </c>
      <c r="I8283" t="s">
        <v>17648</v>
      </c>
      <c r="J8283" t="s">
        <v>32795</v>
      </c>
      <c r="K8283" t="s">
        <v>42636</v>
      </c>
      <c r="M8283" t="s">
        <v>45644</v>
      </c>
      <c r="N8283" t="s">
        <v>47304</v>
      </c>
      <c r="O8283" t="s">
        <v>47305</v>
      </c>
      <c r="P8283">
        <v>0</v>
      </c>
      <c r="Q8283">
        <v>0</v>
      </c>
      <c r="R8283" t="s">
        <v>47312</v>
      </c>
      <c r="S8283" t="s">
        <v>47489</v>
      </c>
      <c r="T8283" t="s">
        <v>49077</v>
      </c>
      <c r="U8283" t="s">
        <v>56075</v>
      </c>
      <c r="V8283" t="s">
        <v>63481</v>
      </c>
      <c r="W8283" t="s">
        <v>45644</v>
      </c>
      <c r="X8283" t="s">
        <v>47313</v>
      </c>
    </row>
    <row r="8284" spans="1:24">
      <c r="A8284">
        <f>HYPERLINK("https://www.philgeps.gov.ph/GEPSNONPILOT/Tender/SplashBidNoticeAbstractUI.aspx?menuIndex=3&amp;refID=7187966&amp;Result=3","7187966")</f>
        <v>0</v>
      </c>
      <c r="B8284" t="s">
        <v>2630</v>
      </c>
      <c r="C8284" t="s">
        <v>11652</v>
      </c>
      <c r="D8284" t="s">
        <v>18993</v>
      </c>
      <c r="E8284" t="s">
        <v>19690</v>
      </c>
      <c r="F8284" t="s">
        <v>32606</v>
      </c>
      <c r="G8284" t="s">
        <v>32613</v>
      </c>
      <c r="H8284" t="s">
        <v>14201</v>
      </c>
      <c r="I8284" t="s">
        <v>32631</v>
      </c>
      <c r="J8284" t="s">
        <v>32981</v>
      </c>
      <c r="K8284" t="s">
        <v>42632</v>
      </c>
      <c r="M8284" t="s">
        <v>45774</v>
      </c>
      <c r="N8284" t="s">
        <v>47304</v>
      </c>
      <c r="O8284" t="s">
        <v>47305</v>
      </c>
      <c r="P8284">
        <v>0</v>
      </c>
      <c r="Q8284">
        <v>3</v>
      </c>
      <c r="R8284" t="s">
        <v>47312</v>
      </c>
      <c r="S8284" t="s">
        <v>47489</v>
      </c>
      <c r="T8284" t="s">
        <v>48998</v>
      </c>
      <c r="U8284" t="s">
        <v>56421</v>
      </c>
      <c r="V8284" t="s">
        <v>62965</v>
      </c>
      <c r="W8284" t="s">
        <v>45774</v>
      </c>
      <c r="X8284" t="s">
        <v>47313</v>
      </c>
    </row>
    <row r="8285" spans="1:24">
      <c r="A8285">
        <f>HYPERLINK("https://www.philgeps.gov.ph/GEPSNONPILOT/Tender/SplashBidNoticeAbstractUI.aspx?menuIndex=3&amp;refID=7188089&amp;Result=3","7188089")</f>
        <v>0</v>
      </c>
      <c r="B8285" t="s">
        <v>684</v>
      </c>
      <c r="C8285" t="s">
        <v>11653</v>
      </c>
      <c r="D8285" t="s">
        <v>19012</v>
      </c>
      <c r="E8285" t="s">
        <v>26226</v>
      </c>
      <c r="F8285" t="s">
        <v>32606</v>
      </c>
      <c r="G8285" t="s">
        <v>32615</v>
      </c>
      <c r="H8285" t="s">
        <v>14201</v>
      </c>
      <c r="I8285" t="s">
        <v>32638</v>
      </c>
      <c r="J8285" t="s">
        <v>37938</v>
      </c>
      <c r="K8285" t="s">
        <v>42622</v>
      </c>
      <c r="L8285" t="s">
        <v>684</v>
      </c>
      <c r="M8285" t="s">
        <v>43605</v>
      </c>
      <c r="N8285" t="s">
        <v>47304</v>
      </c>
      <c r="O8285" t="s">
        <v>47305</v>
      </c>
      <c r="P8285">
        <v>0</v>
      </c>
      <c r="Q8285">
        <v>17</v>
      </c>
      <c r="R8285" t="s">
        <v>47312</v>
      </c>
      <c r="S8285" t="s">
        <v>47489</v>
      </c>
      <c r="T8285" t="s">
        <v>49053</v>
      </c>
      <c r="U8285" t="s">
        <v>52303</v>
      </c>
      <c r="V8285" t="s">
        <v>63129</v>
      </c>
      <c r="W8285" t="s">
        <v>43605</v>
      </c>
      <c r="X8285" t="s">
        <v>47313</v>
      </c>
    </row>
    <row r="8286" spans="1:24">
      <c r="A8286">
        <f>HYPERLINK("https://www.philgeps.gov.ph/GEPSNONPILOT/Tender/SplashBidNoticeAbstractUI.aspx?menuIndex=3&amp;refID=7187989&amp;Result=3","7187989")</f>
        <v>0</v>
      </c>
      <c r="B8286" t="s">
        <v>2607</v>
      </c>
      <c r="C8286" t="s">
        <v>11654</v>
      </c>
      <c r="D8286" t="s">
        <v>18993</v>
      </c>
      <c r="E8286" t="s">
        <v>26227</v>
      </c>
      <c r="F8286" t="s">
        <v>32606</v>
      </c>
      <c r="G8286" t="s">
        <v>32614</v>
      </c>
      <c r="H8286" t="s">
        <v>14201</v>
      </c>
      <c r="I8286" t="s">
        <v>32704</v>
      </c>
      <c r="J8286" t="s">
        <v>33526</v>
      </c>
      <c r="K8286" t="s">
        <v>42623</v>
      </c>
      <c r="M8286" t="s">
        <v>45751</v>
      </c>
      <c r="N8286" t="s">
        <v>47304</v>
      </c>
      <c r="O8286" t="s">
        <v>47305</v>
      </c>
      <c r="P8286">
        <v>0</v>
      </c>
      <c r="Q8286">
        <v>2</v>
      </c>
      <c r="R8286" t="s">
        <v>47312</v>
      </c>
      <c r="S8286" t="s">
        <v>47489</v>
      </c>
      <c r="T8286" t="s">
        <v>48997</v>
      </c>
      <c r="U8286" t="s">
        <v>56422</v>
      </c>
      <c r="W8286" t="s">
        <v>45751</v>
      </c>
      <c r="X8286" t="s">
        <v>47313</v>
      </c>
    </row>
    <row r="8287" spans="1:24">
      <c r="A8287">
        <f>HYPERLINK("https://www.philgeps.gov.ph/GEPSNONPILOT/Tender/SplashBidNoticeAbstractUI.aspx?menuIndex=3&amp;refID=7187980&amp;Result=3","7187980")</f>
        <v>0</v>
      </c>
      <c r="B8287" t="s">
        <v>2505</v>
      </c>
      <c r="C8287" t="s">
        <v>11655</v>
      </c>
      <c r="D8287" t="s">
        <v>19007</v>
      </c>
      <c r="E8287" t="s">
        <v>25893</v>
      </c>
      <c r="F8287" t="s">
        <v>32606</v>
      </c>
      <c r="G8287" t="s">
        <v>32613</v>
      </c>
      <c r="H8287" t="s">
        <v>32623</v>
      </c>
      <c r="I8287" t="s">
        <v>17648</v>
      </c>
      <c r="J8287" t="s">
        <v>32772</v>
      </c>
      <c r="K8287" t="s">
        <v>42636</v>
      </c>
      <c r="M8287" t="s">
        <v>45644</v>
      </c>
      <c r="N8287" t="s">
        <v>47304</v>
      </c>
      <c r="O8287" t="s">
        <v>47305</v>
      </c>
      <c r="P8287">
        <v>0</v>
      </c>
      <c r="Q8287">
        <v>0</v>
      </c>
      <c r="R8287" t="s">
        <v>47312</v>
      </c>
      <c r="S8287" t="s">
        <v>47489</v>
      </c>
      <c r="T8287" t="s">
        <v>49077</v>
      </c>
      <c r="U8287" t="s">
        <v>56075</v>
      </c>
      <c r="V8287" t="s">
        <v>63482</v>
      </c>
      <c r="W8287" t="s">
        <v>45644</v>
      </c>
      <c r="X8287" t="s">
        <v>47313</v>
      </c>
    </row>
    <row r="8288" spans="1:24">
      <c r="A8288">
        <f>HYPERLINK("https://www.philgeps.gov.ph/GEPSNONPILOT/Tender/SplashBidNoticeAbstractUI.aspx?menuIndex=3&amp;refID=7188073&amp;Result=3","7188073")</f>
        <v>0</v>
      </c>
      <c r="B8288" t="s">
        <v>1781</v>
      </c>
      <c r="C8288" t="s">
        <v>11656</v>
      </c>
      <c r="D8288" t="s">
        <v>19063</v>
      </c>
      <c r="E8288" t="s">
        <v>26228</v>
      </c>
      <c r="F8288" t="s">
        <v>32606</v>
      </c>
      <c r="G8288" t="s">
        <v>32618</v>
      </c>
      <c r="H8288" t="s">
        <v>14201</v>
      </c>
      <c r="I8288" t="s">
        <v>4678</v>
      </c>
      <c r="J8288" t="s">
        <v>34016</v>
      </c>
      <c r="K8288" t="s">
        <v>42638</v>
      </c>
      <c r="M8288" t="s">
        <v>44821</v>
      </c>
      <c r="N8288" t="s">
        <v>47304</v>
      </c>
      <c r="O8288" t="s">
        <v>47305</v>
      </c>
      <c r="P8288">
        <v>0</v>
      </c>
      <c r="Q8288">
        <v>6</v>
      </c>
      <c r="R8288" t="s">
        <v>47312</v>
      </c>
      <c r="S8288" t="s">
        <v>47489</v>
      </c>
      <c r="T8288" t="s">
        <v>49014</v>
      </c>
      <c r="U8288" t="s">
        <v>56423</v>
      </c>
      <c r="W8288" t="s">
        <v>64480</v>
      </c>
      <c r="X8288" t="s">
        <v>47313</v>
      </c>
    </row>
    <row r="8289" spans="1:24">
      <c r="A8289">
        <f>HYPERLINK("https://www.philgeps.gov.ph/GEPSNONPILOT/Tender/SplashBidNoticeAbstractUI.aspx?menuIndex=3&amp;refID=7187967&amp;Result=3","7187967")</f>
        <v>0</v>
      </c>
      <c r="B8289" t="s">
        <v>2631</v>
      </c>
      <c r="C8289" t="s">
        <v>11657</v>
      </c>
      <c r="D8289" t="s">
        <v>18989</v>
      </c>
      <c r="E8289" t="s">
        <v>19315</v>
      </c>
      <c r="F8289" t="s">
        <v>32606</v>
      </c>
      <c r="G8289" t="s">
        <v>32613</v>
      </c>
      <c r="H8289" t="s">
        <v>14201</v>
      </c>
      <c r="I8289" t="s">
        <v>6931</v>
      </c>
      <c r="J8289" t="s">
        <v>32789</v>
      </c>
      <c r="K8289" t="s">
        <v>42759</v>
      </c>
      <c r="M8289" t="s">
        <v>45775</v>
      </c>
      <c r="N8289" t="s">
        <v>47304</v>
      </c>
      <c r="O8289" t="s">
        <v>47305</v>
      </c>
      <c r="P8289">
        <v>0</v>
      </c>
      <c r="Q8289">
        <v>0</v>
      </c>
      <c r="R8289" t="s">
        <v>47312</v>
      </c>
      <c r="S8289" t="s">
        <v>47489</v>
      </c>
      <c r="T8289" t="s">
        <v>49068</v>
      </c>
      <c r="U8289" t="s">
        <v>56424</v>
      </c>
      <c r="W8289" t="s">
        <v>45775</v>
      </c>
      <c r="X8289" t="s">
        <v>47313</v>
      </c>
    </row>
    <row r="8290" spans="1:24">
      <c r="A8290">
        <f>HYPERLINK("https://www.philgeps.gov.ph/GEPSNONPILOT/Tender/SplashBidNoticeAbstractUI.aspx?menuIndex=3&amp;refID=7187994&amp;Result=3","7187994")</f>
        <v>0</v>
      </c>
      <c r="B8290" t="s">
        <v>2632</v>
      </c>
      <c r="C8290" t="s">
        <v>11658</v>
      </c>
      <c r="D8290" t="s">
        <v>19040</v>
      </c>
      <c r="E8290" t="s">
        <v>26229</v>
      </c>
      <c r="F8290" t="s">
        <v>32606</v>
      </c>
      <c r="G8290" t="s">
        <v>32613</v>
      </c>
      <c r="H8290" t="s">
        <v>32625</v>
      </c>
      <c r="I8290" t="s">
        <v>17648</v>
      </c>
      <c r="J8290" t="s">
        <v>32799</v>
      </c>
      <c r="K8290" t="s">
        <v>42638</v>
      </c>
      <c r="M8290" t="s">
        <v>45776</v>
      </c>
      <c r="N8290" t="s">
        <v>47304</v>
      </c>
      <c r="O8290" t="s">
        <v>47305</v>
      </c>
      <c r="P8290">
        <v>0</v>
      </c>
      <c r="Q8290">
        <v>0</v>
      </c>
      <c r="R8290" t="s">
        <v>47312</v>
      </c>
      <c r="S8290" t="s">
        <v>47489</v>
      </c>
      <c r="T8290" t="s">
        <v>49282</v>
      </c>
      <c r="U8290" t="s">
        <v>56425</v>
      </c>
      <c r="W8290" t="s">
        <v>45776</v>
      </c>
      <c r="X8290" t="s">
        <v>47313</v>
      </c>
    </row>
    <row r="8291" spans="1:24">
      <c r="A8291">
        <f>HYPERLINK("https://www.philgeps.gov.ph/GEPSNONPILOT/Tender/SplashBidNoticeAbstractUI.aspx?menuIndex=3&amp;refID=7188071&amp;Result=3","7188071")</f>
        <v>0</v>
      </c>
      <c r="B8291" t="s">
        <v>2633</v>
      </c>
      <c r="C8291" t="s">
        <v>11659</v>
      </c>
      <c r="D8291" t="s">
        <v>19008</v>
      </c>
      <c r="E8291" t="s">
        <v>26230</v>
      </c>
      <c r="F8291" t="s">
        <v>32606</v>
      </c>
      <c r="G8291" t="s">
        <v>32613</v>
      </c>
      <c r="H8291" t="s">
        <v>14201</v>
      </c>
      <c r="I8291" t="s">
        <v>32686</v>
      </c>
      <c r="J8291" t="s">
        <v>32759</v>
      </c>
      <c r="K8291" t="s">
        <v>42631</v>
      </c>
      <c r="M8291" t="s">
        <v>45777</v>
      </c>
      <c r="N8291" t="s">
        <v>47304</v>
      </c>
      <c r="O8291" t="s">
        <v>47305</v>
      </c>
      <c r="P8291">
        <v>0</v>
      </c>
      <c r="Q8291">
        <v>4</v>
      </c>
      <c r="R8291" t="s">
        <v>47312</v>
      </c>
      <c r="S8291" t="s">
        <v>47489</v>
      </c>
      <c r="T8291" t="s">
        <v>49107</v>
      </c>
      <c r="U8291" t="s">
        <v>56426</v>
      </c>
      <c r="V8291" t="s">
        <v>63483</v>
      </c>
      <c r="W8291" t="s">
        <v>45777</v>
      </c>
      <c r="X8291" t="s">
        <v>47313</v>
      </c>
    </row>
    <row r="8292" spans="1:24">
      <c r="A8292">
        <f>HYPERLINK("https://www.philgeps.gov.ph/GEPSNONPILOT/Tender/SplashBidNoticeAbstractUI.aspx?menuIndex=3&amp;refID=7188069&amp;Result=3","7188069")</f>
        <v>0</v>
      </c>
      <c r="B8292" t="s">
        <v>2219</v>
      </c>
      <c r="C8292" t="s">
        <v>11660</v>
      </c>
      <c r="D8292" t="s">
        <v>19024</v>
      </c>
      <c r="E8292" t="s">
        <v>26231</v>
      </c>
      <c r="F8292" t="s">
        <v>32606</v>
      </c>
      <c r="G8292" t="s">
        <v>32613</v>
      </c>
      <c r="H8292" t="s">
        <v>32623</v>
      </c>
      <c r="I8292" t="s">
        <v>32643</v>
      </c>
      <c r="J8292" t="s">
        <v>33039</v>
      </c>
      <c r="K8292" t="s">
        <v>42712</v>
      </c>
      <c r="M8292" t="s">
        <v>45323</v>
      </c>
      <c r="N8292" t="s">
        <v>47304</v>
      </c>
      <c r="O8292" t="s">
        <v>47305</v>
      </c>
      <c r="P8292">
        <v>0</v>
      </c>
      <c r="Q8292">
        <v>2</v>
      </c>
      <c r="R8292" t="s">
        <v>47312</v>
      </c>
      <c r="S8292" t="s">
        <v>47489</v>
      </c>
      <c r="T8292" t="s">
        <v>49121</v>
      </c>
      <c r="U8292" t="s">
        <v>56427</v>
      </c>
      <c r="V8292" t="s">
        <v>63484</v>
      </c>
      <c r="W8292" t="s">
        <v>45323</v>
      </c>
      <c r="X8292" t="s">
        <v>47313</v>
      </c>
    </row>
    <row r="8293" spans="1:24">
      <c r="A8293">
        <f>HYPERLINK("https://www.philgeps.gov.ph/GEPSNONPILOT/Tender/SplashBidNoticeAbstractUI.aspx?menuIndex=3&amp;refID=7188082&amp;Result=3","7188082")</f>
        <v>0</v>
      </c>
      <c r="B8293" t="s">
        <v>2634</v>
      </c>
      <c r="C8293" t="s">
        <v>11661</v>
      </c>
      <c r="D8293" t="s">
        <v>19015</v>
      </c>
      <c r="E8293" t="s">
        <v>19315</v>
      </c>
      <c r="F8293" t="s">
        <v>32606</v>
      </c>
      <c r="G8293" t="s">
        <v>32613</v>
      </c>
      <c r="H8293" t="s">
        <v>32623</v>
      </c>
      <c r="I8293" t="s">
        <v>17648</v>
      </c>
      <c r="J8293" t="s">
        <v>37939</v>
      </c>
      <c r="K8293" t="s">
        <v>42651</v>
      </c>
      <c r="M8293" t="s">
        <v>45778</v>
      </c>
      <c r="N8293" t="s">
        <v>47304</v>
      </c>
      <c r="O8293" t="s">
        <v>47305</v>
      </c>
      <c r="P8293">
        <v>0</v>
      </c>
      <c r="Q8293">
        <v>63</v>
      </c>
      <c r="R8293" t="s">
        <v>47312</v>
      </c>
      <c r="S8293" t="s">
        <v>47489</v>
      </c>
      <c r="T8293" t="s">
        <v>49040</v>
      </c>
      <c r="U8293" t="s">
        <v>56428</v>
      </c>
      <c r="W8293" t="s">
        <v>64509</v>
      </c>
      <c r="X8293" t="s">
        <v>47313</v>
      </c>
    </row>
    <row r="8294" spans="1:24">
      <c r="A8294">
        <f>HYPERLINK("https://www.philgeps.gov.ph/GEPSNONPILOT/Tender/SplashBidNoticeAbstractUI.aspx?menuIndex=3&amp;refID=7188064&amp;Result=3","7188064")</f>
        <v>0</v>
      </c>
      <c r="B8294" t="s">
        <v>72</v>
      </c>
      <c r="C8294" t="s">
        <v>11662</v>
      </c>
      <c r="D8294" t="s">
        <v>19018</v>
      </c>
      <c r="E8294" t="s">
        <v>26232</v>
      </c>
      <c r="F8294" t="s">
        <v>32606</v>
      </c>
      <c r="G8294" t="s">
        <v>32613</v>
      </c>
      <c r="H8294" t="s">
        <v>32623</v>
      </c>
      <c r="I8294" t="s">
        <v>17648</v>
      </c>
      <c r="J8294" t="s">
        <v>37940</v>
      </c>
      <c r="K8294" t="s">
        <v>42683</v>
      </c>
      <c r="M8294" t="s">
        <v>45779</v>
      </c>
      <c r="N8294" t="s">
        <v>47304</v>
      </c>
      <c r="O8294" t="s">
        <v>47305</v>
      </c>
      <c r="P8294">
        <v>0</v>
      </c>
      <c r="Q8294">
        <v>1</v>
      </c>
      <c r="R8294" t="s">
        <v>47312</v>
      </c>
      <c r="S8294" t="s">
        <v>47489</v>
      </c>
      <c r="T8294" t="s">
        <v>49075</v>
      </c>
      <c r="U8294" t="s">
        <v>56429</v>
      </c>
      <c r="V8294" t="s">
        <v>63485</v>
      </c>
      <c r="W8294" t="s">
        <v>45779</v>
      </c>
      <c r="X8294" t="s">
        <v>47313</v>
      </c>
    </row>
    <row r="8295" spans="1:24">
      <c r="A8295">
        <f>HYPERLINK("https://www.philgeps.gov.ph/GEPSNONPILOT/Tender/SplashBidNoticeAbstractUI.aspx?menuIndex=3&amp;refID=7188009&amp;Result=3","7188009")</f>
        <v>0</v>
      </c>
      <c r="B8295" t="s">
        <v>2635</v>
      </c>
      <c r="C8295" t="s">
        <v>11663</v>
      </c>
      <c r="D8295" t="s">
        <v>19011</v>
      </c>
      <c r="E8295" t="s">
        <v>26233</v>
      </c>
      <c r="F8295" t="s">
        <v>32606</v>
      </c>
      <c r="G8295" t="s">
        <v>32617</v>
      </c>
      <c r="H8295" t="s">
        <v>14201</v>
      </c>
      <c r="I8295" t="s">
        <v>32640</v>
      </c>
      <c r="J8295" t="s">
        <v>32913</v>
      </c>
      <c r="K8295" t="s">
        <v>42630</v>
      </c>
      <c r="M8295" t="s">
        <v>45780</v>
      </c>
      <c r="N8295" t="s">
        <v>47304</v>
      </c>
      <c r="O8295" t="s">
        <v>47305</v>
      </c>
      <c r="P8295">
        <v>0</v>
      </c>
      <c r="Q8295">
        <v>2</v>
      </c>
      <c r="R8295" t="s">
        <v>47312</v>
      </c>
      <c r="S8295" t="s">
        <v>47489</v>
      </c>
      <c r="T8295" t="s">
        <v>49072</v>
      </c>
      <c r="U8295" t="s">
        <v>56430</v>
      </c>
      <c r="V8295" t="s">
        <v>63486</v>
      </c>
      <c r="W8295" t="s">
        <v>45780</v>
      </c>
      <c r="X8295" t="s">
        <v>47313</v>
      </c>
    </row>
    <row r="8296" spans="1:24">
      <c r="A8296">
        <f>HYPERLINK("https://www.philgeps.gov.ph/GEPSNONPILOT/Tender/SplashBidNoticeAbstractUI.aspx?menuIndex=3&amp;refID=7188061&amp;Result=3","7188061")</f>
        <v>0</v>
      </c>
      <c r="B8296" t="s">
        <v>2559</v>
      </c>
      <c r="C8296" t="s">
        <v>11664</v>
      </c>
      <c r="D8296" t="s">
        <v>19039</v>
      </c>
      <c r="E8296" t="s">
        <v>26234</v>
      </c>
      <c r="F8296" t="s">
        <v>32606</v>
      </c>
      <c r="G8296" t="s">
        <v>32613</v>
      </c>
      <c r="H8296" t="s">
        <v>14201</v>
      </c>
      <c r="I8296" t="s">
        <v>32633</v>
      </c>
      <c r="J8296" t="s">
        <v>32813</v>
      </c>
      <c r="K8296" t="s">
        <v>42631</v>
      </c>
      <c r="M8296" t="s">
        <v>45699</v>
      </c>
      <c r="N8296" t="s">
        <v>47304</v>
      </c>
      <c r="O8296" t="s">
        <v>47305</v>
      </c>
      <c r="P8296">
        <v>0</v>
      </c>
      <c r="Q8296">
        <v>3</v>
      </c>
      <c r="R8296" t="s">
        <v>47312</v>
      </c>
      <c r="S8296" t="s">
        <v>47489</v>
      </c>
      <c r="T8296" t="s">
        <v>49320</v>
      </c>
      <c r="U8296" t="s">
        <v>56210</v>
      </c>
      <c r="V8296" t="s">
        <v>63438</v>
      </c>
      <c r="W8296" t="s">
        <v>45699</v>
      </c>
      <c r="X8296" t="s">
        <v>47313</v>
      </c>
    </row>
    <row r="8297" spans="1:24">
      <c r="A8297">
        <f>HYPERLINK("https://www.philgeps.gov.ph/GEPSNONPILOT/Tender/SplashBidNoticeAbstractUI.aspx?menuIndex=3&amp;refID=7188072&amp;Result=3","7188072")</f>
        <v>0</v>
      </c>
      <c r="B8297" t="s">
        <v>2636</v>
      </c>
      <c r="C8297" t="s">
        <v>11665</v>
      </c>
      <c r="D8297" t="s">
        <v>19039</v>
      </c>
      <c r="E8297" t="s">
        <v>26235</v>
      </c>
      <c r="F8297" t="s">
        <v>32606</v>
      </c>
      <c r="G8297" t="s">
        <v>32614</v>
      </c>
      <c r="H8297" t="s">
        <v>14201</v>
      </c>
      <c r="I8297" t="s">
        <v>32691</v>
      </c>
      <c r="J8297" t="s">
        <v>32949</v>
      </c>
      <c r="K8297" t="s">
        <v>42631</v>
      </c>
      <c r="M8297" t="s">
        <v>45781</v>
      </c>
      <c r="N8297" t="s">
        <v>47304</v>
      </c>
      <c r="O8297" t="s">
        <v>47305</v>
      </c>
      <c r="P8297">
        <v>0</v>
      </c>
      <c r="Q8297">
        <v>3</v>
      </c>
      <c r="R8297" t="s">
        <v>47312</v>
      </c>
      <c r="S8297" t="s">
        <v>47489</v>
      </c>
      <c r="T8297" t="s">
        <v>49020</v>
      </c>
      <c r="U8297" t="s">
        <v>56431</v>
      </c>
      <c r="W8297" t="s">
        <v>45781</v>
      </c>
      <c r="X8297" t="s">
        <v>47313</v>
      </c>
    </row>
    <row r="8298" spans="1:24">
      <c r="A8298">
        <f>HYPERLINK("https://www.philgeps.gov.ph/GEPSNONPILOT/Tender/SplashBidNoticeAbstractUI.aspx?menuIndex=3&amp;refID=7188067&amp;Result=3","7188067")</f>
        <v>0</v>
      </c>
      <c r="B8298" t="s">
        <v>2637</v>
      </c>
      <c r="C8298" t="s">
        <v>11666</v>
      </c>
      <c r="D8298" t="s">
        <v>19028</v>
      </c>
      <c r="E8298" t="s">
        <v>26236</v>
      </c>
      <c r="F8298" t="s">
        <v>32606</v>
      </c>
      <c r="G8298" t="s">
        <v>32614</v>
      </c>
      <c r="H8298" t="s">
        <v>14201</v>
      </c>
      <c r="I8298" t="s">
        <v>32714</v>
      </c>
      <c r="J8298" t="s">
        <v>37941</v>
      </c>
      <c r="K8298" t="s">
        <v>42631</v>
      </c>
      <c r="M8298" t="s">
        <v>45782</v>
      </c>
      <c r="N8298" t="s">
        <v>47304</v>
      </c>
      <c r="O8298" t="s">
        <v>47305</v>
      </c>
      <c r="P8298">
        <v>0</v>
      </c>
      <c r="Q8298">
        <v>14</v>
      </c>
      <c r="R8298" t="s">
        <v>47312</v>
      </c>
      <c r="S8298" t="s">
        <v>47489</v>
      </c>
      <c r="T8298" t="s">
        <v>49269</v>
      </c>
      <c r="U8298" t="s">
        <v>56432</v>
      </c>
      <c r="V8298" t="s">
        <v>63487</v>
      </c>
      <c r="W8298" t="s">
        <v>45782</v>
      </c>
      <c r="X8298" t="s">
        <v>47313</v>
      </c>
    </row>
    <row r="8299" spans="1:24">
      <c r="A8299">
        <f>HYPERLINK("https://www.philgeps.gov.ph/GEPSNONPILOT/Tender/SplashBidNoticeAbstractUI.aspx?menuIndex=3&amp;refID=7188080&amp;Result=3","7188080")</f>
        <v>0</v>
      </c>
      <c r="B8299" t="s">
        <v>2638</v>
      </c>
      <c r="C8299" t="s">
        <v>11667</v>
      </c>
      <c r="D8299" t="s">
        <v>19016</v>
      </c>
      <c r="E8299" t="s">
        <v>19310</v>
      </c>
      <c r="F8299" t="s">
        <v>32606</v>
      </c>
      <c r="G8299" t="s">
        <v>32613</v>
      </c>
      <c r="H8299" t="s">
        <v>14201</v>
      </c>
      <c r="I8299" t="s">
        <v>32661</v>
      </c>
      <c r="J8299" t="s">
        <v>37942</v>
      </c>
      <c r="K8299" t="s">
        <v>42631</v>
      </c>
      <c r="M8299" t="s">
        <v>45783</v>
      </c>
      <c r="N8299" t="s">
        <v>47304</v>
      </c>
      <c r="O8299" t="s">
        <v>47305</v>
      </c>
      <c r="P8299">
        <v>0</v>
      </c>
      <c r="Q8299">
        <v>0</v>
      </c>
      <c r="R8299" t="s">
        <v>47312</v>
      </c>
      <c r="S8299" t="s">
        <v>47489</v>
      </c>
      <c r="T8299" t="s">
        <v>49047</v>
      </c>
      <c r="U8299" t="s">
        <v>56433</v>
      </c>
      <c r="W8299" t="s">
        <v>45783</v>
      </c>
      <c r="X8299" t="s">
        <v>47313</v>
      </c>
    </row>
    <row r="8300" spans="1:24">
      <c r="A8300">
        <f>HYPERLINK("https://www.philgeps.gov.ph/GEPSNONPILOT/Tender/SplashBidNoticeAbstractUI.aspx?menuIndex=3&amp;refID=7188079&amp;Result=3","7188079")</f>
        <v>0</v>
      </c>
      <c r="B8300" t="s">
        <v>2559</v>
      </c>
      <c r="C8300" t="s">
        <v>11668</v>
      </c>
      <c r="D8300" t="s">
        <v>19039</v>
      </c>
      <c r="E8300" t="s">
        <v>26237</v>
      </c>
      <c r="F8300" t="s">
        <v>32606</v>
      </c>
      <c r="G8300" t="s">
        <v>32613</v>
      </c>
      <c r="H8300" t="s">
        <v>32625</v>
      </c>
      <c r="I8300" t="s">
        <v>6007</v>
      </c>
      <c r="J8300" t="s">
        <v>32770</v>
      </c>
      <c r="K8300" t="s">
        <v>42631</v>
      </c>
      <c r="M8300" t="s">
        <v>45699</v>
      </c>
      <c r="N8300" t="s">
        <v>47304</v>
      </c>
      <c r="O8300" t="s">
        <v>47305</v>
      </c>
      <c r="P8300">
        <v>0</v>
      </c>
      <c r="Q8300">
        <v>1</v>
      </c>
      <c r="R8300" t="s">
        <v>47312</v>
      </c>
      <c r="S8300" t="s">
        <v>47489</v>
      </c>
      <c r="T8300" t="s">
        <v>49320</v>
      </c>
      <c r="U8300" t="s">
        <v>56210</v>
      </c>
      <c r="V8300" t="s">
        <v>63438</v>
      </c>
      <c r="W8300" t="s">
        <v>45699</v>
      </c>
      <c r="X8300" t="s">
        <v>47313</v>
      </c>
    </row>
    <row r="8301" spans="1:24">
      <c r="A8301">
        <f>HYPERLINK("https://www.philgeps.gov.ph/GEPSNONPILOT/Tender/SplashBidNoticeAbstractUI.aspx?menuIndex=3&amp;refID=7188137&amp;Result=3","7188137")</f>
        <v>0</v>
      </c>
      <c r="B8301" t="s">
        <v>2505</v>
      </c>
      <c r="C8301" t="s">
        <v>11669</v>
      </c>
      <c r="D8301" t="s">
        <v>19007</v>
      </c>
      <c r="E8301" t="s">
        <v>25893</v>
      </c>
      <c r="F8301" t="s">
        <v>32606</v>
      </c>
      <c r="G8301" t="s">
        <v>32613</v>
      </c>
      <c r="H8301" t="s">
        <v>32623</v>
      </c>
      <c r="I8301" t="s">
        <v>17648</v>
      </c>
      <c r="J8301" t="s">
        <v>37864</v>
      </c>
      <c r="K8301" t="s">
        <v>42636</v>
      </c>
      <c r="M8301" t="s">
        <v>45644</v>
      </c>
      <c r="N8301" t="s">
        <v>47304</v>
      </c>
      <c r="O8301" t="s">
        <v>47305</v>
      </c>
      <c r="P8301">
        <v>0</v>
      </c>
      <c r="Q8301">
        <v>1</v>
      </c>
      <c r="R8301" t="s">
        <v>47312</v>
      </c>
      <c r="S8301" t="s">
        <v>47489</v>
      </c>
      <c r="T8301" t="s">
        <v>49077</v>
      </c>
      <c r="U8301" t="s">
        <v>56075</v>
      </c>
      <c r="V8301" t="s">
        <v>63488</v>
      </c>
      <c r="W8301" t="s">
        <v>45644</v>
      </c>
      <c r="X8301" t="s">
        <v>47313</v>
      </c>
    </row>
    <row r="8302" spans="1:24">
      <c r="A8302">
        <f>HYPERLINK("https://www.philgeps.gov.ph/GEPSNONPILOT/Tender/SplashBidNoticeAbstractUI.aspx?menuIndex=3&amp;refID=7188059&amp;Result=3","7188059")</f>
        <v>0</v>
      </c>
      <c r="B8302" t="s">
        <v>2609</v>
      </c>
      <c r="C8302" t="s">
        <v>11670</v>
      </c>
      <c r="D8302" t="s">
        <v>19011</v>
      </c>
      <c r="E8302" t="s">
        <v>26238</v>
      </c>
      <c r="F8302" t="s">
        <v>32606</v>
      </c>
      <c r="G8302" t="s">
        <v>32614</v>
      </c>
      <c r="H8302" t="s">
        <v>14201</v>
      </c>
      <c r="I8302" t="s">
        <v>32634</v>
      </c>
      <c r="J8302" t="s">
        <v>32813</v>
      </c>
      <c r="K8302" t="s">
        <v>42630</v>
      </c>
      <c r="M8302" t="s">
        <v>45753</v>
      </c>
      <c r="N8302" t="s">
        <v>47304</v>
      </c>
      <c r="O8302" t="s">
        <v>47305</v>
      </c>
      <c r="P8302">
        <v>0</v>
      </c>
      <c r="Q8302">
        <v>3</v>
      </c>
      <c r="R8302" t="s">
        <v>47312</v>
      </c>
      <c r="S8302" t="s">
        <v>47489</v>
      </c>
      <c r="T8302" t="s">
        <v>49068</v>
      </c>
      <c r="U8302" t="s">
        <v>56434</v>
      </c>
      <c r="W8302" t="s">
        <v>45753</v>
      </c>
      <c r="X8302" t="s">
        <v>47313</v>
      </c>
    </row>
    <row r="8303" spans="1:24">
      <c r="A8303">
        <f>HYPERLINK("https://www.philgeps.gov.ph/GEPSNONPILOT/Tender/SplashBidNoticeAbstractUI.aspx?menuIndex=3&amp;refID=7188132&amp;Result=3","7188132")</f>
        <v>0</v>
      </c>
      <c r="B8303" t="s">
        <v>2505</v>
      </c>
      <c r="C8303" t="s">
        <v>11671</v>
      </c>
      <c r="D8303" t="s">
        <v>19007</v>
      </c>
      <c r="E8303" t="s">
        <v>25893</v>
      </c>
      <c r="F8303" t="s">
        <v>32606</v>
      </c>
      <c r="G8303" t="s">
        <v>32613</v>
      </c>
      <c r="H8303" t="s">
        <v>32623</v>
      </c>
      <c r="I8303" t="s">
        <v>17648</v>
      </c>
      <c r="J8303" t="s">
        <v>37710</v>
      </c>
      <c r="K8303" t="s">
        <v>42636</v>
      </c>
      <c r="M8303" t="s">
        <v>45644</v>
      </c>
      <c r="N8303" t="s">
        <v>47304</v>
      </c>
      <c r="O8303" t="s">
        <v>47305</v>
      </c>
      <c r="P8303">
        <v>0</v>
      </c>
      <c r="Q8303">
        <v>1</v>
      </c>
      <c r="R8303" t="s">
        <v>47312</v>
      </c>
      <c r="S8303" t="s">
        <v>47489</v>
      </c>
      <c r="T8303" t="s">
        <v>49077</v>
      </c>
      <c r="U8303" t="s">
        <v>56075</v>
      </c>
      <c r="V8303" t="s">
        <v>63489</v>
      </c>
      <c r="W8303" t="s">
        <v>45644</v>
      </c>
      <c r="X8303" t="s">
        <v>47313</v>
      </c>
    </row>
    <row r="8304" spans="1:24">
      <c r="A8304">
        <f>HYPERLINK("https://www.philgeps.gov.ph/GEPSNONPILOT/Tender/SplashBidNoticeAbstractUI.aspx?menuIndex=3&amp;refID=7188057&amp;Result=3","7188057")</f>
        <v>0</v>
      </c>
      <c r="B8304" t="s">
        <v>2275</v>
      </c>
      <c r="C8304" t="s">
        <v>11672</v>
      </c>
      <c r="D8304" t="s">
        <v>19044</v>
      </c>
      <c r="E8304" t="s">
        <v>26239</v>
      </c>
      <c r="F8304" t="s">
        <v>32606</v>
      </c>
      <c r="G8304" t="s">
        <v>32613</v>
      </c>
      <c r="H8304" t="s">
        <v>14201</v>
      </c>
      <c r="I8304" t="s">
        <v>17648</v>
      </c>
      <c r="J8304" t="s">
        <v>37943</v>
      </c>
      <c r="K8304" t="s">
        <v>42631</v>
      </c>
      <c r="M8304" t="s">
        <v>45380</v>
      </c>
      <c r="N8304" t="s">
        <v>47304</v>
      </c>
      <c r="O8304" t="s">
        <v>47305</v>
      </c>
      <c r="P8304">
        <v>0</v>
      </c>
      <c r="Q8304">
        <v>0</v>
      </c>
      <c r="R8304" t="s">
        <v>47312</v>
      </c>
      <c r="S8304" t="s">
        <v>47489</v>
      </c>
      <c r="T8304" t="s">
        <v>48970</v>
      </c>
      <c r="U8304" t="s">
        <v>56435</v>
      </c>
      <c r="W8304" t="s">
        <v>45380</v>
      </c>
      <c r="X8304" t="s">
        <v>47313</v>
      </c>
    </row>
    <row r="8305" spans="1:24">
      <c r="A8305">
        <f>HYPERLINK("https://www.philgeps.gov.ph/GEPSNONPILOT/Tender/SplashBidNoticeAbstractUI.aspx?menuIndex=3&amp;refID=7188126&amp;Result=3","7188126")</f>
        <v>0</v>
      </c>
      <c r="B8305" t="s">
        <v>2503</v>
      </c>
      <c r="C8305" t="s">
        <v>11673</v>
      </c>
      <c r="D8305" t="s">
        <v>19010</v>
      </c>
      <c r="E8305" t="s">
        <v>26240</v>
      </c>
      <c r="F8305" t="s">
        <v>32606</v>
      </c>
      <c r="G8305" t="s">
        <v>32613</v>
      </c>
      <c r="H8305" t="s">
        <v>32623</v>
      </c>
      <c r="I8305" t="s">
        <v>17648</v>
      </c>
      <c r="J8305" t="s">
        <v>37944</v>
      </c>
      <c r="K8305" t="s">
        <v>42815</v>
      </c>
      <c r="M8305" t="s">
        <v>45641</v>
      </c>
      <c r="N8305" t="s">
        <v>47304</v>
      </c>
      <c r="O8305" t="s">
        <v>47305</v>
      </c>
      <c r="P8305">
        <v>0</v>
      </c>
      <c r="Q8305">
        <v>0</v>
      </c>
      <c r="R8305" t="s">
        <v>47312</v>
      </c>
      <c r="S8305" t="s">
        <v>47489</v>
      </c>
      <c r="T8305" t="s">
        <v>49075</v>
      </c>
      <c r="U8305" t="s">
        <v>56436</v>
      </c>
      <c r="V8305" t="s">
        <v>63480</v>
      </c>
      <c r="W8305" t="s">
        <v>45641</v>
      </c>
      <c r="X8305" t="s">
        <v>47313</v>
      </c>
    </row>
    <row r="8306" spans="1:24">
      <c r="A8306">
        <f>HYPERLINK("https://www.philgeps.gov.ph/GEPSNONPILOT/Tender/SplashBidNoticeAbstractUI.aspx?menuIndex=3&amp;refID=7188141&amp;Result=3","7188141")</f>
        <v>0</v>
      </c>
      <c r="B8306" t="s">
        <v>2639</v>
      </c>
      <c r="C8306" t="s">
        <v>11674</v>
      </c>
      <c r="D8306" t="s">
        <v>19004</v>
      </c>
      <c r="E8306" t="s">
        <v>26241</v>
      </c>
      <c r="F8306" t="s">
        <v>32606</v>
      </c>
      <c r="G8306" t="s">
        <v>32621</v>
      </c>
      <c r="H8306" t="s">
        <v>14201</v>
      </c>
      <c r="I8306" t="s">
        <v>4112</v>
      </c>
      <c r="J8306" t="s">
        <v>32981</v>
      </c>
      <c r="K8306" t="s">
        <v>42663</v>
      </c>
      <c r="M8306" t="s">
        <v>45784</v>
      </c>
      <c r="N8306" t="s">
        <v>47304</v>
      </c>
      <c r="O8306" t="s">
        <v>47305</v>
      </c>
      <c r="P8306">
        <v>0</v>
      </c>
      <c r="Q8306">
        <v>0</v>
      </c>
      <c r="R8306" t="s">
        <v>47312</v>
      </c>
      <c r="S8306" t="s">
        <v>47489</v>
      </c>
      <c r="T8306" t="s">
        <v>49072</v>
      </c>
      <c r="U8306" t="s">
        <v>56437</v>
      </c>
      <c r="W8306" t="s">
        <v>45784</v>
      </c>
      <c r="X8306" t="s">
        <v>47313</v>
      </c>
    </row>
    <row r="8307" spans="1:24">
      <c r="A8307">
        <f>HYPERLINK("https://www.philgeps.gov.ph/GEPSNONPILOT/Tender/SplashBidNoticeAbstractUI.aspx?menuIndex=3&amp;refID=7188125&amp;Result=3","7188125")</f>
        <v>0</v>
      </c>
      <c r="B8307" t="s">
        <v>2505</v>
      </c>
      <c r="C8307" t="s">
        <v>11675</v>
      </c>
      <c r="D8307" t="s">
        <v>19007</v>
      </c>
      <c r="E8307" t="s">
        <v>25893</v>
      </c>
      <c r="F8307" t="s">
        <v>32606</v>
      </c>
      <c r="G8307" t="s">
        <v>32613</v>
      </c>
      <c r="H8307" t="s">
        <v>32623</v>
      </c>
      <c r="I8307" t="s">
        <v>17648</v>
      </c>
      <c r="J8307" t="s">
        <v>37864</v>
      </c>
      <c r="K8307" t="s">
        <v>42636</v>
      </c>
      <c r="M8307" t="s">
        <v>45644</v>
      </c>
      <c r="N8307" t="s">
        <v>47304</v>
      </c>
      <c r="O8307" t="s">
        <v>47305</v>
      </c>
      <c r="P8307">
        <v>0</v>
      </c>
      <c r="Q8307">
        <v>1</v>
      </c>
      <c r="R8307" t="s">
        <v>47312</v>
      </c>
      <c r="S8307" t="s">
        <v>47489</v>
      </c>
      <c r="T8307" t="s">
        <v>49077</v>
      </c>
      <c r="U8307" t="s">
        <v>56075</v>
      </c>
      <c r="V8307" t="s">
        <v>63490</v>
      </c>
      <c r="W8307" t="s">
        <v>45644</v>
      </c>
      <c r="X8307" t="s">
        <v>47313</v>
      </c>
    </row>
    <row r="8308" spans="1:24">
      <c r="A8308">
        <f>HYPERLINK("https://www.philgeps.gov.ph/GEPSNONPILOT/Tender/SplashBidNoticeAbstractUI.aspx?menuIndex=3&amp;refID=7188134&amp;Result=3","7188134")</f>
        <v>0</v>
      </c>
      <c r="B8308" t="s">
        <v>195</v>
      </c>
      <c r="C8308" t="s">
        <v>11676</v>
      </c>
      <c r="D8308" t="s">
        <v>19045</v>
      </c>
      <c r="E8308" t="s">
        <v>26242</v>
      </c>
      <c r="F8308" t="s">
        <v>32606</v>
      </c>
      <c r="G8308" t="s">
        <v>32613</v>
      </c>
      <c r="H8308" t="s">
        <v>14201</v>
      </c>
      <c r="I8308" t="s">
        <v>6931</v>
      </c>
      <c r="J8308" t="s">
        <v>37945</v>
      </c>
      <c r="K8308" t="s">
        <v>42622</v>
      </c>
      <c r="M8308" t="s">
        <v>43096</v>
      </c>
      <c r="N8308" t="s">
        <v>47304</v>
      </c>
      <c r="O8308" t="s">
        <v>47305</v>
      </c>
      <c r="P8308">
        <v>0</v>
      </c>
      <c r="Q8308">
        <v>0</v>
      </c>
      <c r="R8308" t="s">
        <v>47312</v>
      </c>
      <c r="S8308" t="s">
        <v>47489</v>
      </c>
      <c r="T8308" t="s">
        <v>49037</v>
      </c>
      <c r="U8308" t="s">
        <v>49892</v>
      </c>
      <c r="V8308" t="s">
        <v>63371</v>
      </c>
      <c r="W8308" t="s">
        <v>43096</v>
      </c>
      <c r="X8308" t="s">
        <v>47313</v>
      </c>
    </row>
    <row r="8309" spans="1:24">
      <c r="A8309">
        <f>HYPERLINK("https://www.philgeps.gov.ph/GEPSNONPILOT/Tender/SplashBidNoticeAbstractUI.aspx?menuIndex=3&amp;refID=7188131&amp;Result=3","7188131")</f>
        <v>0</v>
      </c>
      <c r="B8309" t="s">
        <v>684</v>
      </c>
      <c r="C8309" t="s">
        <v>11677</v>
      </c>
      <c r="D8309" t="s">
        <v>19012</v>
      </c>
      <c r="E8309" t="s">
        <v>26243</v>
      </c>
      <c r="F8309" t="s">
        <v>32606</v>
      </c>
      <c r="G8309" t="s">
        <v>32615</v>
      </c>
      <c r="H8309" t="s">
        <v>14201</v>
      </c>
      <c r="I8309" t="s">
        <v>32638</v>
      </c>
      <c r="J8309" t="s">
        <v>37946</v>
      </c>
      <c r="K8309" t="s">
        <v>42622</v>
      </c>
      <c r="L8309" t="s">
        <v>684</v>
      </c>
      <c r="M8309" t="s">
        <v>43605</v>
      </c>
      <c r="N8309" t="s">
        <v>47304</v>
      </c>
      <c r="O8309" t="s">
        <v>47305</v>
      </c>
      <c r="P8309">
        <v>0</v>
      </c>
      <c r="Q8309">
        <v>18</v>
      </c>
      <c r="R8309" t="s">
        <v>47312</v>
      </c>
      <c r="S8309" t="s">
        <v>47489</v>
      </c>
      <c r="T8309" t="s">
        <v>49053</v>
      </c>
      <c r="U8309" t="s">
        <v>52303</v>
      </c>
      <c r="V8309" t="s">
        <v>63129</v>
      </c>
      <c r="W8309" t="s">
        <v>43605</v>
      </c>
      <c r="X8309" t="s">
        <v>47313</v>
      </c>
    </row>
    <row r="8310" spans="1:24">
      <c r="A8310">
        <f>HYPERLINK("https://www.philgeps.gov.ph/GEPSNONPILOT/Tender/SplashBidNoticeAbstractUI.aspx?menuIndex=3&amp;refID=7188142&amp;Result=3","7188142")</f>
        <v>0</v>
      </c>
      <c r="B8310" t="s">
        <v>195</v>
      </c>
      <c r="C8310" t="s">
        <v>11678</v>
      </c>
      <c r="D8310" t="s">
        <v>19045</v>
      </c>
      <c r="E8310" t="s">
        <v>26244</v>
      </c>
      <c r="F8310" t="s">
        <v>32606</v>
      </c>
      <c r="G8310" t="s">
        <v>32613</v>
      </c>
      <c r="H8310" t="s">
        <v>14201</v>
      </c>
      <c r="I8310" t="s">
        <v>6931</v>
      </c>
      <c r="J8310" t="s">
        <v>34493</v>
      </c>
      <c r="K8310" t="s">
        <v>42622</v>
      </c>
      <c r="M8310" t="s">
        <v>43096</v>
      </c>
      <c r="N8310" t="s">
        <v>47304</v>
      </c>
      <c r="O8310" t="s">
        <v>47305</v>
      </c>
      <c r="P8310">
        <v>0</v>
      </c>
      <c r="Q8310">
        <v>0</v>
      </c>
      <c r="R8310" t="s">
        <v>47312</v>
      </c>
      <c r="S8310" t="s">
        <v>47489</v>
      </c>
      <c r="T8310" t="s">
        <v>49037</v>
      </c>
      <c r="U8310" t="s">
        <v>49892</v>
      </c>
      <c r="V8310" t="s">
        <v>63371</v>
      </c>
      <c r="W8310" t="s">
        <v>43096</v>
      </c>
      <c r="X8310" t="s">
        <v>47313</v>
      </c>
    </row>
    <row r="8311" spans="1:24">
      <c r="A8311">
        <f>HYPERLINK("https://www.philgeps.gov.ph/GEPSNONPILOT/Tender/SplashBidNoticeAbstractUI.aspx?menuIndex=3&amp;refID=7188109&amp;Result=3","7188109")</f>
        <v>0</v>
      </c>
      <c r="B8311" t="s">
        <v>2640</v>
      </c>
      <c r="C8311" t="s">
        <v>11679</v>
      </c>
      <c r="D8311" t="s">
        <v>19035</v>
      </c>
      <c r="E8311" t="s">
        <v>19145</v>
      </c>
      <c r="F8311" t="s">
        <v>32606</v>
      </c>
      <c r="G8311" t="s">
        <v>32613</v>
      </c>
      <c r="H8311" t="s">
        <v>32623</v>
      </c>
      <c r="I8311" t="s">
        <v>17648</v>
      </c>
      <c r="J8311" t="s">
        <v>37947</v>
      </c>
      <c r="K8311" t="s">
        <v>42631</v>
      </c>
      <c r="M8311" t="s">
        <v>45785</v>
      </c>
      <c r="N8311" t="s">
        <v>47304</v>
      </c>
      <c r="O8311" t="s">
        <v>47305</v>
      </c>
      <c r="P8311">
        <v>0</v>
      </c>
      <c r="Q8311">
        <v>0</v>
      </c>
      <c r="R8311" t="s">
        <v>47312</v>
      </c>
      <c r="S8311" t="s">
        <v>47489</v>
      </c>
      <c r="T8311" t="s">
        <v>49053</v>
      </c>
      <c r="U8311" t="s">
        <v>53794</v>
      </c>
      <c r="V8311" t="s">
        <v>63491</v>
      </c>
      <c r="W8311" t="s">
        <v>45785</v>
      </c>
      <c r="X8311" t="s">
        <v>47313</v>
      </c>
    </row>
    <row r="8312" spans="1:24">
      <c r="A8312">
        <f>HYPERLINK("https://www.philgeps.gov.ph/GEPSNONPILOT/Tender/SplashBidNoticeAbstractUI.aspx?menuIndex=3&amp;refID=7188105&amp;Result=3","7188105")</f>
        <v>0</v>
      </c>
      <c r="B8312" t="s">
        <v>2641</v>
      </c>
      <c r="C8312" t="s">
        <v>11680</v>
      </c>
      <c r="D8312" t="s">
        <v>19020</v>
      </c>
      <c r="E8312" t="s">
        <v>20079</v>
      </c>
      <c r="F8312" t="s">
        <v>32606</v>
      </c>
      <c r="G8312" t="s">
        <v>32614</v>
      </c>
      <c r="H8312" t="s">
        <v>14201</v>
      </c>
      <c r="I8312" t="s">
        <v>32641</v>
      </c>
      <c r="J8312" t="s">
        <v>37948</v>
      </c>
      <c r="K8312" t="s">
        <v>42623</v>
      </c>
      <c r="M8312" t="s">
        <v>45786</v>
      </c>
      <c r="N8312" t="s">
        <v>47304</v>
      </c>
      <c r="O8312" t="s">
        <v>47305</v>
      </c>
      <c r="P8312">
        <v>0</v>
      </c>
      <c r="Q8312">
        <v>0</v>
      </c>
      <c r="R8312" t="s">
        <v>47312</v>
      </c>
      <c r="S8312" t="s">
        <v>47489</v>
      </c>
      <c r="T8312" t="s">
        <v>48975</v>
      </c>
      <c r="U8312" t="s">
        <v>56438</v>
      </c>
      <c r="W8312" t="s">
        <v>45786</v>
      </c>
      <c r="X8312" t="s">
        <v>47313</v>
      </c>
    </row>
    <row r="8313" spans="1:24">
      <c r="A8313">
        <f>HYPERLINK("https://www.philgeps.gov.ph/GEPSNONPILOT/Tender/SplashBidNoticeAbstractUI.aspx?menuIndex=3&amp;refID=7188118&amp;Result=3","7188118")</f>
        <v>0</v>
      </c>
      <c r="B8313" t="s">
        <v>2642</v>
      </c>
      <c r="C8313" t="s">
        <v>11681</v>
      </c>
      <c r="D8313" t="s">
        <v>19007</v>
      </c>
      <c r="E8313" t="s">
        <v>23210</v>
      </c>
      <c r="F8313" t="s">
        <v>32606</v>
      </c>
      <c r="G8313" t="s">
        <v>32613</v>
      </c>
      <c r="H8313" t="s">
        <v>32623</v>
      </c>
      <c r="I8313" t="s">
        <v>17648</v>
      </c>
      <c r="J8313" t="s">
        <v>32770</v>
      </c>
      <c r="K8313" t="s">
        <v>42636</v>
      </c>
      <c r="M8313" t="s">
        <v>45787</v>
      </c>
      <c r="N8313" t="s">
        <v>47304</v>
      </c>
      <c r="O8313" t="s">
        <v>47305</v>
      </c>
      <c r="P8313">
        <v>0</v>
      </c>
      <c r="Q8313">
        <v>0</v>
      </c>
      <c r="R8313" t="s">
        <v>47312</v>
      </c>
      <c r="S8313" t="s">
        <v>47489</v>
      </c>
      <c r="T8313" t="s">
        <v>49072</v>
      </c>
      <c r="U8313" t="s">
        <v>56439</v>
      </c>
      <c r="W8313" t="s">
        <v>45787</v>
      </c>
      <c r="X8313" t="s">
        <v>47313</v>
      </c>
    </row>
    <row r="8314" spans="1:24">
      <c r="A8314">
        <f>HYPERLINK("https://www.philgeps.gov.ph/GEPSNONPILOT/Tender/SplashBidNoticeAbstractUI.aspx?menuIndex=3&amp;refID=7188101&amp;Result=3","7188101")</f>
        <v>0</v>
      </c>
      <c r="B8314" t="s">
        <v>2643</v>
      </c>
      <c r="C8314" t="s">
        <v>11682</v>
      </c>
      <c r="E8314" t="s">
        <v>26245</v>
      </c>
      <c r="F8314" t="s">
        <v>32606</v>
      </c>
      <c r="G8314" t="s">
        <v>32619</v>
      </c>
      <c r="H8314" t="s">
        <v>14201</v>
      </c>
      <c r="I8314" t="s">
        <v>6931</v>
      </c>
      <c r="J8314" t="s">
        <v>37949</v>
      </c>
      <c r="K8314" t="s">
        <v>42623</v>
      </c>
      <c r="M8314" t="s">
        <v>45788</v>
      </c>
      <c r="N8314" t="s">
        <v>47304</v>
      </c>
      <c r="O8314" t="s">
        <v>47305</v>
      </c>
      <c r="P8314">
        <v>0</v>
      </c>
      <c r="Q8314">
        <v>0</v>
      </c>
      <c r="R8314" t="s">
        <v>47312</v>
      </c>
      <c r="S8314" t="s">
        <v>47489</v>
      </c>
      <c r="T8314" t="s">
        <v>49050</v>
      </c>
      <c r="U8314" t="s">
        <v>56440</v>
      </c>
      <c r="V8314" t="s">
        <v>63492</v>
      </c>
      <c r="W8314" t="s">
        <v>45788</v>
      </c>
      <c r="X8314" t="s">
        <v>47313</v>
      </c>
    </row>
    <row r="8315" spans="1:24">
      <c r="A8315">
        <f>HYPERLINK("https://www.philgeps.gov.ph/GEPSNONPILOT/Tender/SplashBidNoticeAbstractUI.aspx?menuIndex=3&amp;refID=7188096&amp;Result=3","7188096")</f>
        <v>0</v>
      </c>
      <c r="B8315" t="s">
        <v>2275</v>
      </c>
      <c r="C8315" t="s">
        <v>11683</v>
      </c>
      <c r="D8315" t="s">
        <v>19044</v>
      </c>
      <c r="E8315" t="s">
        <v>26246</v>
      </c>
      <c r="F8315" t="s">
        <v>32606</v>
      </c>
      <c r="G8315" t="s">
        <v>32613</v>
      </c>
      <c r="H8315" t="s">
        <v>14201</v>
      </c>
      <c r="I8315" t="s">
        <v>4678</v>
      </c>
      <c r="J8315" t="s">
        <v>37950</v>
      </c>
      <c r="K8315" t="s">
        <v>42631</v>
      </c>
      <c r="M8315" t="s">
        <v>45380</v>
      </c>
      <c r="N8315" t="s">
        <v>47304</v>
      </c>
      <c r="O8315" t="s">
        <v>47305</v>
      </c>
      <c r="P8315">
        <v>0</v>
      </c>
      <c r="Q8315">
        <v>1</v>
      </c>
      <c r="R8315" t="s">
        <v>47312</v>
      </c>
      <c r="S8315" t="s">
        <v>47489</v>
      </c>
      <c r="T8315" t="s">
        <v>48970</v>
      </c>
      <c r="U8315" t="s">
        <v>56441</v>
      </c>
      <c r="W8315" t="s">
        <v>45380</v>
      </c>
      <c r="X8315" t="s">
        <v>47313</v>
      </c>
    </row>
    <row r="8316" spans="1:24">
      <c r="A8316">
        <f>HYPERLINK("https://www.philgeps.gov.ph/GEPSNONPILOT/Tender/SplashBidNoticeAbstractUI.aspx?menuIndex=3&amp;refID=7188108&amp;Result=3","7188108")</f>
        <v>0</v>
      </c>
      <c r="B8316" t="s">
        <v>2642</v>
      </c>
      <c r="C8316" t="s">
        <v>8428</v>
      </c>
      <c r="D8316" t="s">
        <v>19007</v>
      </c>
      <c r="E8316" t="s">
        <v>23293</v>
      </c>
      <c r="F8316" t="s">
        <v>32606</v>
      </c>
      <c r="G8316" t="s">
        <v>32613</v>
      </c>
      <c r="H8316" t="s">
        <v>32623</v>
      </c>
      <c r="I8316" t="s">
        <v>17648</v>
      </c>
      <c r="J8316" t="s">
        <v>33449</v>
      </c>
      <c r="K8316" t="s">
        <v>42636</v>
      </c>
      <c r="M8316" t="s">
        <v>45787</v>
      </c>
      <c r="N8316" t="s">
        <v>47304</v>
      </c>
      <c r="O8316" t="s">
        <v>47305</v>
      </c>
      <c r="P8316">
        <v>0</v>
      </c>
      <c r="Q8316">
        <v>0</v>
      </c>
      <c r="R8316" t="s">
        <v>47312</v>
      </c>
      <c r="S8316" t="s">
        <v>47489</v>
      </c>
      <c r="T8316" t="s">
        <v>49257</v>
      </c>
      <c r="U8316" t="s">
        <v>56439</v>
      </c>
      <c r="W8316" t="s">
        <v>45787</v>
      </c>
      <c r="X8316" t="s">
        <v>47313</v>
      </c>
    </row>
    <row r="8317" spans="1:24">
      <c r="A8317">
        <f>HYPERLINK("https://www.philgeps.gov.ph/GEPSNONPILOT/Tender/SplashBidNoticeAbstractUI.aspx?menuIndex=3&amp;refID=7188104&amp;Result=3","7188104")</f>
        <v>0</v>
      </c>
      <c r="B8317" t="s">
        <v>2219</v>
      </c>
      <c r="C8317" t="s">
        <v>11684</v>
      </c>
      <c r="D8317" t="s">
        <v>19024</v>
      </c>
      <c r="E8317" t="s">
        <v>26247</v>
      </c>
      <c r="F8317" t="s">
        <v>32606</v>
      </c>
      <c r="G8317" t="s">
        <v>32613</v>
      </c>
      <c r="H8317" t="s">
        <v>14201</v>
      </c>
      <c r="I8317" t="s">
        <v>7064</v>
      </c>
      <c r="J8317" t="s">
        <v>32796</v>
      </c>
      <c r="K8317" t="s">
        <v>42648</v>
      </c>
      <c r="M8317" t="s">
        <v>45323</v>
      </c>
      <c r="N8317" t="s">
        <v>47304</v>
      </c>
      <c r="O8317" t="s">
        <v>47305</v>
      </c>
      <c r="P8317">
        <v>0</v>
      </c>
      <c r="Q8317">
        <v>11</v>
      </c>
      <c r="R8317" t="s">
        <v>47312</v>
      </c>
      <c r="S8317" t="s">
        <v>47489</v>
      </c>
      <c r="T8317" t="s">
        <v>49233</v>
      </c>
      <c r="U8317" t="s">
        <v>56442</v>
      </c>
      <c r="V8317" t="s">
        <v>63493</v>
      </c>
      <c r="W8317" t="s">
        <v>45323</v>
      </c>
      <c r="X8317" t="s">
        <v>47313</v>
      </c>
    </row>
    <row r="8318" spans="1:24">
      <c r="A8318">
        <f>HYPERLINK("https://www.philgeps.gov.ph/GEPSNONPILOT/Tender/SplashBidNoticeAbstractUI.aspx?menuIndex=3&amp;refID=7188087&amp;Result=3","7188087")</f>
        <v>0</v>
      </c>
      <c r="B8318" t="s">
        <v>2115</v>
      </c>
      <c r="C8318" t="s">
        <v>11685</v>
      </c>
      <c r="D8318" t="s">
        <v>19008</v>
      </c>
      <c r="E8318" t="s">
        <v>26248</v>
      </c>
      <c r="F8318" t="s">
        <v>32606</v>
      </c>
      <c r="G8318" t="s">
        <v>32614</v>
      </c>
      <c r="H8318" t="s">
        <v>14201</v>
      </c>
      <c r="I8318" t="s">
        <v>8606</v>
      </c>
      <c r="J8318" t="s">
        <v>32885</v>
      </c>
      <c r="K8318" t="s">
        <v>42638</v>
      </c>
      <c r="M8318" t="s">
        <v>45789</v>
      </c>
      <c r="N8318" t="s">
        <v>47304</v>
      </c>
      <c r="O8318" t="s">
        <v>47305</v>
      </c>
      <c r="P8318">
        <v>0</v>
      </c>
      <c r="Q8318">
        <v>0</v>
      </c>
      <c r="R8318" t="s">
        <v>47312</v>
      </c>
      <c r="S8318" t="s">
        <v>47489</v>
      </c>
      <c r="T8318" t="s">
        <v>49071</v>
      </c>
      <c r="U8318" t="s">
        <v>56443</v>
      </c>
      <c r="V8318" t="s">
        <v>63336</v>
      </c>
      <c r="W8318" t="s">
        <v>45789</v>
      </c>
      <c r="X8318" t="s">
        <v>47313</v>
      </c>
    </row>
    <row r="8319" spans="1:24">
      <c r="A8319">
        <f>HYPERLINK("https://www.philgeps.gov.ph/GEPSNONPILOT/Tender/SplashBidNoticeAbstractUI.aspx?menuIndex=3&amp;refID=7188199&amp;Result=3","7188199")</f>
        <v>0</v>
      </c>
      <c r="B8319" t="s">
        <v>2505</v>
      </c>
      <c r="C8319" t="s">
        <v>11686</v>
      </c>
      <c r="D8319" t="s">
        <v>19007</v>
      </c>
      <c r="E8319" t="s">
        <v>25893</v>
      </c>
      <c r="F8319" t="s">
        <v>32606</v>
      </c>
      <c r="G8319" t="s">
        <v>32613</v>
      </c>
      <c r="H8319" t="s">
        <v>32623</v>
      </c>
      <c r="I8319" t="s">
        <v>17648</v>
      </c>
      <c r="J8319" t="s">
        <v>37951</v>
      </c>
      <c r="K8319" t="s">
        <v>42648</v>
      </c>
      <c r="M8319" t="s">
        <v>45644</v>
      </c>
      <c r="N8319" t="s">
        <v>47304</v>
      </c>
      <c r="O8319" t="s">
        <v>47305</v>
      </c>
      <c r="P8319">
        <v>0</v>
      </c>
      <c r="Q8319">
        <v>0</v>
      </c>
      <c r="R8319" t="s">
        <v>47312</v>
      </c>
      <c r="S8319" t="s">
        <v>47489</v>
      </c>
      <c r="T8319" t="s">
        <v>49077</v>
      </c>
      <c r="U8319" t="s">
        <v>56075</v>
      </c>
      <c r="V8319" t="s">
        <v>63494</v>
      </c>
      <c r="W8319" t="s">
        <v>45644</v>
      </c>
      <c r="X8319" t="s">
        <v>47313</v>
      </c>
    </row>
    <row r="8320" spans="1:24">
      <c r="A8320">
        <f>HYPERLINK("https://www.philgeps.gov.ph/GEPSNONPILOT/Tender/SplashBidNoticeAbstractUI.aspx?menuIndex=3&amp;refID=7188113&amp;Result=3","7188113")</f>
        <v>0</v>
      </c>
      <c r="B8320" t="s">
        <v>2644</v>
      </c>
      <c r="C8320" t="s">
        <v>11687</v>
      </c>
      <c r="D8320" t="s">
        <v>19058</v>
      </c>
      <c r="E8320" t="s">
        <v>26249</v>
      </c>
      <c r="F8320" t="s">
        <v>32606</v>
      </c>
      <c r="G8320" t="s">
        <v>32613</v>
      </c>
      <c r="H8320" t="s">
        <v>14201</v>
      </c>
      <c r="I8320" t="s">
        <v>32656</v>
      </c>
      <c r="J8320" t="s">
        <v>32765</v>
      </c>
      <c r="K8320" t="s">
        <v>42630</v>
      </c>
      <c r="M8320" t="s">
        <v>45790</v>
      </c>
      <c r="N8320" t="s">
        <v>47304</v>
      </c>
      <c r="O8320" t="s">
        <v>47305</v>
      </c>
      <c r="P8320">
        <v>0</v>
      </c>
      <c r="Q8320">
        <v>1</v>
      </c>
      <c r="R8320" t="s">
        <v>47312</v>
      </c>
      <c r="S8320" t="s">
        <v>47489</v>
      </c>
      <c r="T8320" t="s">
        <v>49004</v>
      </c>
      <c r="U8320" t="s">
        <v>56444</v>
      </c>
      <c r="W8320" t="s">
        <v>45790</v>
      </c>
      <c r="X8320" t="s">
        <v>47313</v>
      </c>
    </row>
    <row r="8321" spans="1:24">
      <c r="A8321">
        <f>HYPERLINK("https://www.philgeps.gov.ph/GEPSNONPILOT/Tender/SplashBidNoticeAbstractUI.aspx?menuIndex=3&amp;refID=7188187&amp;Result=3","7188187")</f>
        <v>0</v>
      </c>
      <c r="B8321" t="s">
        <v>2505</v>
      </c>
      <c r="C8321" t="s">
        <v>11688</v>
      </c>
      <c r="D8321" t="s">
        <v>19007</v>
      </c>
      <c r="E8321" t="s">
        <v>25893</v>
      </c>
      <c r="F8321" t="s">
        <v>32606</v>
      </c>
      <c r="G8321" t="s">
        <v>32613</v>
      </c>
      <c r="H8321" t="s">
        <v>32623</v>
      </c>
      <c r="I8321" t="s">
        <v>17648</v>
      </c>
      <c r="J8321" t="s">
        <v>37694</v>
      </c>
      <c r="K8321" t="s">
        <v>42648</v>
      </c>
      <c r="M8321" t="s">
        <v>45644</v>
      </c>
      <c r="N8321" t="s">
        <v>47304</v>
      </c>
      <c r="O8321" t="s">
        <v>47305</v>
      </c>
      <c r="P8321">
        <v>0</v>
      </c>
      <c r="Q8321">
        <v>1</v>
      </c>
      <c r="R8321" t="s">
        <v>47312</v>
      </c>
      <c r="S8321" t="s">
        <v>47489</v>
      </c>
      <c r="T8321" t="s">
        <v>49077</v>
      </c>
      <c r="U8321" t="s">
        <v>56075</v>
      </c>
      <c r="V8321" t="s">
        <v>63495</v>
      </c>
      <c r="W8321" t="s">
        <v>45644</v>
      </c>
      <c r="X8321" t="s">
        <v>47313</v>
      </c>
    </row>
    <row r="8322" spans="1:24">
      <c r="A8322">
        <f>HYPERLINK("https://www.philgeps.gov.ph/GEPSNONPILOT/Tender/SplashBidNoticeAbstractUI.aspx?menuIndex=3&amp;refID=7188190&amp;Result=3","7188190")</f>
        <v>0</v>
      </c>
      <c r="B8322" t="s">
        <v>2505</v>
      </c>
      <c r="C8322" t="s">
        <v>11689</v>
      </c>
      <c r="D8322" t="s">
        <v>19007</v>
      </c>
      <c r="E8322" t="s">
        <v>25893</v>
      </c>
      <c r="F8322" t="s">
        <v>32606</v>
      </c>
      <c r="G8322" t="s">
        <v>32613</v>
      </c>
      <c r="H8322" t="s">
        <v>32623</v>
      </c>
      <c r="I8322" t="s">
        <v>17648</v>
      </c>
      <c r="J8322" t="s">
        <v>34667</v>
      </c>
      <c r="K8322" t="s">
        <v>42636</v>
      </c>
      <c r="M8322" t="s">
        <v>45644</v>
      </c>
      <c r="N8322" t="s">
        <v>47304</v>
      </c>
      <c r="O8322" t="s">
        <v>47305</v>
      </c>
      <c r="P8322">
        <v>0</v>
      </c>
      <c r="Q8322">
        <v>0</v>
      </c>
      <c r="R8322" t="s">
        <v>47312</v>
      </c>
      <c r="S8322" t="s">
        <v>47489</v>
      </c>
      <c r="T8322" t="s">
        <v>49077</v>
      </c>
      <c r="U8322" t="s">
        <v>56075</v>
      </c>
      <c r="V8322" t="s">
        <v>63496</v>
      </c>
      <c r="W8322" t="s">
        <v>45644</v>
      </c>
      <c r="X8322" t="s">
        <v>47313</v>
      </c>
    </row>
    <row r="8323" spans="1:24">
      <c r="A8323">
        <f>HYPERLINK("https://www.philgeps.gov.ph/GEPSNONPILOT/Tender/SplashBidNoticeAbstractUI.aspx?menuIndex=3&amp;refID=7188184&amp;Result=3","7188184")</f>
        <v>0</v>
      </c>
      <c r="B8323" t="s">
        <v>2645</v>
      </c>
      <c r="C8323" t="s">
        <v>11690</v>
      </c>
      <c r="D8323" t="s">
        <v>18999</v>
      </c>
      <c r="E8323" t="s">
        <v>26250</v>
      </c>
      <c r="F8323" t="s">
        <v>32606</v>
      </c>
      <c r="G8323" t="s">
        <v>32613</v>
      </c>
      <c r="H8323" t="s">
        <v>14201</v>
      </c>
      <c r="I8323" t="s">
        <v>32638</v>
      </c>
      <c r="J8323" t="s">
        <v>32830</v>
      </c>
      <c r="K8323" t="s">
        <v>42624</v>
      </c>
      <c r="M8323" t="s">
        <v>45791</v>
      </c>
      <c r="N8323" t="s">
        <v>47304</v>
      </c>
      <c r="O8323" t="s">
        <v>47305</v>
      </c>
      <c r="P8323">
        <v>0</v>
      </c>
      <c r="Q8323">
        <v>7</v>
      </c>
      <c r="R8323" t="s">
        <v>47312</v>
      </c>
      <c r="S8323" t="s">
        <v>47489</v>
      </c>
      <c r="T8323" t="s">
        <v>49300</v>
      </c>
      <c r="U8323" t="s">
        <v>56445</v>
      </c>
      <c r="W8323" t="s">
        <v>45791</v>
      </c>
      <c r="X8323" t="s">
        <v>47313</v>
      </c>
    </row>
    <row r="8324" spans="1:24">
      <c r="A8324">
        <f>HYPERLINK("https://www.philgeps.gov.ph/GEPSNONPILOT/Tender/SplashBidNoticeAbstractUI.aspx?menuIndex=3&amp;refID=7188176&amp;Result=3","7188176")</f>
        <v>0</v>
      </c>
      <c r="B8324" t="s">
        <v>2646</v>
      </c>
      <c r="C8324" t="s">
        <v>11691</v>
      </c>
      <c r="D8324" t="s">
        <v>19033</v>
      </c>
      <c r="E8324" t="s">
        <v>26251</v>
      </c>
      <c r="F8324" t="s">
        <v>32606</v>
      </c>
      <c r="G8324" t="s">
        <v>32613</v>
      </c>
      <c r="H8324" t="s">
        <v>14201</v>
      </c>
      <c r="I8324" t="s">
        <v>4112</v>
      </c>
      <c r="J8324" t="s">
        <v>37952</v>
      </c>
      <c r="K8324" t="s">
        <v>42631</v>
      </c>
      <c r="M8324" t="s">
        <v>45792</v>
      </c>
      <c r="N8324" t="s">
        <v>47304</v>
      </c>
      <c r="O8324" t="s">
        <v>47305</v>
      </c>
      <c r="P8324">
        <v>0</v>
      </c>
      <c r="Q8324">
        <v>0</v>
      </c>
      <c r="R8324" t="s">
        <v>47312</v>
      </c>
      <c r="S8324" t="s">
        <v>47489</v>
      </c>
      <c r="T8324" t="s">
        <v>49263</v>
      </c>
      <c r="U8324" t="s">
        <v>56446</v>
      </c>
      <c r="W8324" t="s">
        <v>45792</v>
      </c>
      <c r="X8324" t="s">
        <v>47313</v>
      </c>
    </row>
    <row r="8325" spans="1:24">
      <c r="A8325">
        <f>HYPERLINK("https://www.philgeps.gov.ph/GEPSNONPILOT/Tender/SplashBidNoticeAbstractUI.aspx?menuIndex=3&amp;refID=7188115&amp;Result=3","7188115")</f>
        <v>0</v>
      </c>
      <c r="B8325" t="s">
        <v>2505</v>
      </c>
      <c r="C8325" t="s">
        <v>11692</v>
      </c>
      <c r="D8325" t="s">
        <v>19007</v>
      </c>
      <c r="E8325" t="s">
        <v>26252</v>
      </c>
      <c r="F8325" t="s">
        <v>32606</v>
      </c>
      <c r="G8325" t="s">
        <v>32613</v>
      </c>
      <c r="H8325" t="s">
        <v>32623</v>
      </c>
      <c r="I8325" t="s">
        <v>17648</v>
      </c>
      <c r="J8325" t="s">
        <v>37710</v>
      </c>
      <c r="K8325" t="s">
        <v>42636</v>
      </c>
      <c r="M8325" t="s">
        <v>45644</v>
      </c>
      <c r="N8325" t="s">
        <v>47304</v>
      </c>
      <c r="O8325" t="s">
        <v>47305</v>
      </c>
      <c r="P8325">
        <v>0</v>
      </c>
      <c r="Q8325">
        <v>1</v>
      </c>
      <c r="R8325" t="s">
        <v>47312</v>
      </c>
      <c r="S8325" t="s">
        <v>47489</v>
      </c>
      <c r="T8325" t="s">
        <v>49077</v>
      </c>
      <c r="U8325" t="s">
        <v>56075</v>
      </c>
      <c r="V8325" t="s">
        <v>63497</v>
      </c>
      <c r="W8325" t="s">
        <v>45644</v>
      </c>
      <c r="X8325" t="s">
        <v>47313</v>
      </c>
    </row>
    <row r="8326" spans="1:24">
      <c r="A8326">
        <f>HYPERLINK("https://www.philgeps.gov.ph/GEPSNONPILOT/Tender/SplashBidNoticeAbstractUI.aspx?menuIndex=3&amp;refID=7188164&amp;Result=3","7188164")</f>
        <v>0</v>
      </c>
      <c r="B8326" t="s">
        <v>2646</v>
      </c>
      <c r="C8326" t="s">
        <v>11693</v>
      </c>
      <c r="D8326" t="s">
        <v>19033</v>
      </c>
      <c r="E8326" t="s">
        <v>26253</v>
      </c>
      <c r="F8326" t="s">
        <v>32606</v>
      </c>
      <c r="G8326" t="s">
        <v>32619</v>
      </c>
      <c r="H8326" t="s">
        <v>14201</v>
      </c>
      <c r="I8326" t="s">
        <v>32629</v>
      </c>
      <c r="J8326" t="s">
        <v>37953</v>
      </c>
      <c r="K8326" t="s">
        <v>42631</v>
      </c>
      <c r="M8326" t="s">
        <v>45792</v>
      </c>
      <c r="N8326" t="s">
        <v>47304</v>
      </c>
      <c r="O8326" t="s">
        <v>47305</v>
      </c>
      <c r="P8326">
        <v>0</v>
      </c>
      <c r="Q8326">
        <v>0</v>
      </c>
      <c r="R8326" t="s">
        <v>47312</v>
      </c>
      <c r="S8326" t="s">
        <v>47489</v>
      </c>
      <c r="T8326" t="s">
        <v>49053</v>
      </c>
      <c r="U8326" t="s">
        <v>56447</v>
      </c>
      <c r="W8326" t="s">
        <v>45792</v>
      </c>
      <c r="X8326" t="s">
        <v>47313</v>
      </c>
    </row>
    <row r="8327" spans="1:24">
      <c r="A8327">
        <f>HYPERLINK("https://www.philgeps.gov.ph/GEPSNONPILOT/Tender/SplashBidNoticeAbstractUI.aspx?menuIndex=3&amp;refID=7188163&amp;Result=3","7188163")</f>
        <v>0</v>
      </c>
      <c r="B8327" t="s">
        <v>195</v>
      </c>
      <c r="C8327" t="s">
        <v>11694</v>
      </c>
      <c r="D8327" t="s">
        <v>19045</v>
      </c>
      <c r="E8327" t="s">
        <v>26254</v>
      </c>
      <c r="F8327" t="s">
        <v>32606</v>
      </c>
      <c r="G8327" t="s">
        <v>32613</v>
      </c>
      <c r="H8327" t="s">
        <v>14201</v>
      </c>
      <c r="I8327" t="s">
        <v>6931</v>
      </c>
      <c r="J8327" t="s">
        <v>37954</v>
      </c>
      <c r="K8327" t="s">
        <v>42622</v>
      </c>
      <c r="M8327" t="s">
        <v>43096</v>
      </c>
      <c r="N8327" t="s">
        <v>47304</v>
      </c>
      <c r="O8327" t="s">
        <v>47305</v>
      </c>
      <c r="P8327">
        <v>0</v>
      </c>
      <c r="Q8327">
        <v>0</v>
      </c>
      <c r="R8327" t="s">
        <v>47312</v>
      </c>
      <c r="S8327" t="s">
        <v>47489</v>
      </c>
      <c r="T8327" t="s">
        <v>49037</v>
      </c>
      <c r="U8327" t="s">
        <v>49892</v>
      </c>
      <c r="V8327" t="s">
        <v>63371</v>
      </c>
      <c r="W8327" t="s">
        <v>43096</v>
      </c>
      <c r="X8327" t="s">
        <v>47313</v>
      </c>
    </row>
    <row r="8328" spans="1:24">
      <c r="A8328">
        <f>HYPERLINK("https://www.philgeps.gov.ph/GEPSNONPILOT/Tender/SplashBidNoticeAbstractUI.aspx?menuIndex=3&amp;refID=7188157&amp;Result=3","7188157")</f>
        <v>0</v>
      </c>
      <c r="B8328" t="s">
        <v>2647</v>
      </c>
      <c r="C8328" t="s">
        <v>11695</v>
      </c>
      <c r="E8328" t="s">
        <v>26255</v>
      </c>
      <c r="F8328" t="s">
        <v>32606</v>
      </c>
      <c r="G8328" t="s">
        <v>32613</v>
      </c>
      <c r="H8328" t="s">
        <v>32623</v>
      </c>
      <c r="I8328" t="s">
        <v>32626</v>
      </c>
      <c r="J8328" t="s">
        <v>37955</v>
      </c>
      <c r="K8328" t="s">
        <v>42624</v>
      </c>
      <c r="M8328" t="s">
        <v>45793</v>
      </c>
      <c r="N8328" t="s">
        <v>47304</v>
      </c>
      <c r="O8328" t="s">
        <v>47305</v>
      </c>
      <c r="P8328">
        <v>0</v>
      </c>
      <c r="Q8328">
        <v>2</v>
      </c>
      <c r="R8328" t="s">
        <v>47312</v>
      </c>
      <c r="S8328" t="s">
        <v>47489</v>
      </c>
      <c r="T8328" t="s">
        <v>49256</v>
      </c>
      <c r="U8328" t="s">
        <v>56448</v>
      </c>
      <c r="W8328" t="s">
        <v>45793</v>
      </c>
      <c r="X8328" t="s">
        <v>47313</v>
      </c>
    </row>
    <row r="8329" spans="1:24">
      <c r="A8329">
        <f>HYPERLINK("https://www.philgeps.gov.ph/GEPSNONPILOT/Tender/SplashBidNoticeAbstractUI.aspx?menuIndex=3&amp;refID=7188175&amp;Result=3","7188175")</f>
        <v>0</v>
      </c>
      <c r="B8329" t="s">
        <v>1213</v>
      </c>
      <c r="C8329" t="s">
        <v>11696</v>
      </c>
      <c r="D8329" t="s">
        <v>19019</v>
      </c>
      <c r="E8329" t="s">
        <v>21264</v>
      </c>
      <c r="F8329" t="s">
        <v>32606</v>
      </c>
      <c r="G8329" t="s">
        <v>32614</v>
      </c>
      <c r="H8329" t="s">
        <v>14201</v>
      </c>
      <c r="I8329" t="s">
        <v>6931</v>
      </c>
      <c r="J8329" t="s">
        <v>32868</v>
      </c>
      <c r="K8329" t="s">
        <v>42624</v>
      </c>
      <c r="M8329" t="s">
        <v>44178</v>
      </c>
      <c r="N8329" t="s">
        <v>47304</v>
      </c>
      <c r="O8329" t="s">
        <v>47305</v>
      </c>
      <c r="P8329">
        <v>0</v>
      </c>
      <c r="Q8329">
        <v>0</v>
      </c>
      <c r="R8329" t="s">
        <v>47312</v>
      </c>
      <c r="S8329" t="s">
        <v>47489</v>
      </c>
      <c r="T8329" t="s">
        <v>49315</v>
      </c>
      <c r="U8329" t="s">
        <v>52046</v>
      </c>
      <c r="W8329" t="s">
        <v>44178</v>
      </c>
      <c r="X8329" t="s">
        <v>47313</v>
      </c>
    </row>
    <row r="8330" spans="1:24">
      <c r="A8330">
        <f>HYPERLINK("https://www.philgeps.gov.ph/GEPSNONPILOT/Tender/SplashBidNoticeAbstractUI.aspx?menuIndex=3&amp;refID=7188179&amp;Result=3","7188179")</f>
        <v>0</v>
      </c>
      <c r="B8330" t="s">
        <v>2505</v>
      </c>
      <c r="C8330" t="s">
        <v>11697</v>
      </c>
      <c r="D8330" t="s">
        <v>19007</v>
      </c>
      <c r="E8330" t="s">
        <v>25893</v>
      </c>
      <c r="F8330" t="s">
        <v>32606</v>
      </c>
      <c r="G8330" t="s">
        <v>32613</v>
      </c>
      <c r="H8330" t="s">
        <v>32623</v>
      </c>
      <c r="I8330" t="s">
        <v>17648</v>
      </c>
      <c r="J8330" t="s">
        <v>37956</v>
      </c>
      <c r="K8330" t="s">
        <v>42636</v>
      </c>
      <c r="M8330" t="s">
        <v>45644</v>
      </c>
      <c r="N8330" t="s">
        <v>47304</v>
      </c>
      <c r="O8330" t="s">
        <v>47305</v>
      </c>
      <c r="P8330">
        <v>0</v>
      </c>
      <c r="Q8330">
        <v>1</v>
      </c>
      <c r="R8330" t="s">
        <v>47312</v>
      </c>
      <c r="S8330" t="s">
        <v>47489</v>
      </c>
      <c r="T8330" t="s">
        <v>49077</v>
      </c>
      <c r="U8330" t="s">
        <v>56075</v>
      </c>
      <c r="V8330" t="s">
        <v>63498</v>
      </c>
      <c r="W8330" t="s">
        <v>45644</v>
      </c>
      <c r="X8330" t="s">
        <v>47313</v>
      </c>
    </row>
    <row r="8331" spans="1:24">
      <c r="A8331">
        <f>HYPERLINK("https://www.philgeps.gov.ph/GEPSNONPILOT/Tender/SplashBidNoticeAbstractUI.aspx?menuIndex=3&amp;refID=7188171&amp;Result=3","7188171")</f>
        <v>0</v>
      </c>
      <c r="B8331" t="s">
        <v>195</v>
      </c>
      <c r="C8331" t="s">
        <v>11698</v>
      </c>
      <c r="D8331" t="s">
        <v>19045</v>
      </c>
      <c r="E8331" t="s">
        <v>26256</v>
      </c>
      <c r="F8331" t="s">
        <v>32606</v>
      </c>
      <c r="G8331" t="s">
        <v>32613</v>
      </c>
      <c r="H8331" t="s">
        <v>14201</v>
      </c>
      <c r="I8331" t="s">
        <v>6931</v>
      </c>
      <c r="J8331" t="s">
        <v>37957</v>
      </c>
      <c r="K8331" t="s">
        <v>42622</v>
      </c>
      <c r="M8331" t="s">
        <v>43096</v>
      </c>
      <c r="N8331" t="s">
        <v>47304</v>
      </c>
      <c r="O8331" t="s">
        <v>47305</v>
      </c>
      <c r="P8331">
        <v>0</v>
      </c>
      <c r="Q8331">
        <v>0</v>
      </c>
      <c r="R8331" t="s">
        <v>47312</v>
      </c>
      <c r="S8331" t="s">
        <v>47489</v>
      </c>
      <c r="T8331" t="s">
        <v>49037</v>
      </c>
      <c r="U8331" t="s">
        <v>49892</v>
      </c>
      <c r="V8331" t="s">
        <v>63371</v>
      </c>
      <c r="W8331" t="s">
        <v>43096</v>
      </c>
      <c r="X8331" t="s">
        <v>47313</v>
      </c>
    </row>
    <row r="8332" spans="1:24">
      <c r="A8332">
        <f>HYPERLINK("https://www.philgeps.gov.ph/GEPSNONPILOT/Tender/SplashBidNoticeAbstractUI.aspx?menuIndex=3&amp;refID=7188155&amp;Result=3","7188155")</f>
        <v>0</v>
      </c>
      <c r="B8332" t="s">
        <v>2648</v>
      </c>
      <c r="C8332" t="s">
        <v>11699</v>
      </c>
      <c r="D8332" t="s">
        <v>19019</v>
      </c>
      <c r="E8332" t="s">
        <v>26257</v>
      </c>
      <c r="F8332" t="s">
        <v>32606</v>
      </c>
      <c r="G8332" t="s">
        <v>32614</v>
      </c>
      <c r="H8332" t="s">
        <v>14201</v>
      </c>
      <c r="I8332" t="s">
        <v>4678</v>
      </c>
      <c r="J8332" t="s">
        <v>33980</v>
      </c>
      <c r="K8332" t="s">
        <v>42631</v>
      </c>
      <c r="M8332" t="s">
        <v>45794</v>
      </c>
      <c r="N8332" t="s">
        <v>47304</v>
      </c>
      <c r="O8332" t="s">
        <v>47305</v>
      </c>
      <c r="P8332">
        <v>0</v>
      </c>
      <c r="Q8332">
        <v>6</v>
      </c>
      <c r="R8332" t="s">
        <v>47312</v>
      </c>
      <c r="S8332" t="s">
        <v>47489</v>
      </c>
      <c r="T8332" t="s">
        <v>49010</v>
      </c>
      <c r="U8332" t="s">
        <v>56449</v>
      </c>
      <c r="W8332" t="s">
        <v>45794</v>
      </c>
      <c r="X8332" t="s">
        <v>47313</v>
      </c>
    </row>
    <row r="8333" spans="1:24">
      <c r="A8333">
        <f>HYPERLINK("https://www.philgeps.gov.ph/GEPSNONPILOT/Tender/SplashBidNoticeAbstractUI.aspx?menuIndex=3&amp;refID=7188151&amp;Result=3","7188151")</f>
        <v>0</v>
      </c>
      <c r="B8333" t="s">
        <v>1807</v>
      </c>
      <c r="C8333" t="s">
        <v>11700</v>
      </c>
      <c r="D8333" t="s">
        <v>19026</v>
      </c>
      <c r="E8333" t="s">
        <v>26258</v>
      </c>
      <c r="F8333" t="s">
        <v>32606</v>
      </c>
      <c r="G8333" t="s">
        <v>32613</v>
      </c>
      <c r="H8333" t="s">
        <v>32623</v>
      </c>
      <c r="I8333" t="s">
        <v>17648</v>
      </c>
      <c r="J8333" t="s">
        <v>37958</v>
      </c>
      <c r="K8333" t="s">
        <v>42707</v>
      </c>
      <c r="M8333" t="s">
        <v>44864</v>
      </c>
      <c r="N8333" t="s">
        <v>47304</v>
      </c>
      <c r="O8333" t="s">
        <v>47305</v>
      </c>
      <c r="P8333">
        <v>0</v>
      </c>
      <c r="Q8333">
        <v>3</v>
      </c>
      <c r="R8333" t="s">
        <v>47312</v>
      </c>
      <c r="S8333" t="s">
        <v>47489</v>
      </c>
      <c r="T8333" t="s">
        <v>49234</v>
      </c>
      <c r="U8333" t="s">
        <v>56450</v>
      </c>
      <c r="W8333" t="s">
        <v>44864</v>
      </c>
      <c r="X8333" t="s">
        <v>47313</v>
      </c>
    </row>
    <row r="8334" spans="1:24">
      <c r="A8334">
        <f>HYPERLINK("https://www.philgeps.gov.ph/GEPSNONPILOT/Tender/SplashBidNoticeAbstractUI.aspx?menuIndex=3&amp;refID=7188144&amp;Result=3","7188144")</f>
        <v>0</v>
      </c>
      <c r="B8334" t="s">
        <v>684</v>
      </c>
      <c r="C8334" t="s">
        <v>11701</v>
      </c>
      <c r="D8334" t="s">
        <v>19012</v>
      </c>
      <c r="E8334" t="s">
        <v>26259</v>
      </c>
      <c r="F8334" t="s">
        <v>32606</v>
      </c>
      <c r="G8334" t="s">
        <v>32615</v>
      </c>
      <c r="H8334" t="s">
        <v>14201</v>
      </c>
      <c r="I8334" t="s">
        <v>6931</v>
      </c>
      <c r="J8334" t="s">
        <v>37959</v>
      </c>
      <c r="K8334" t="s">
        <v>42622</v>
      </c>
      <c r="L8334" t="s">
        <v>684</v>
      </c>
      <c r="M8334" t="s">
        <v>43605</v>
      </c>
      <c r="N8334" t="s">
        <v>47304</v>
      </c>
      <c r="O8334" t="s">
        <v>47305</v>
      </c>
      <c r="P8334">
        <v>0</v>
      </c>
      <c r="Q8334">
        <v>0</v>
      </c>
      <c r="R8334" t="s">
        <v>47312</v>
      </c>
      <c r="S8334" t="s">
        <v>47489</v>
      </c>
      <c r="T8334" t="s">
        <v>49053</v>
      </c>
      <c r="U8334" t="s">
        <v>50747</v>
      </c>
      <c r="V8334" t="s">
        <v>63129</v>
      </c>
      <c r="W8334" t="s">
        <v>43605</v>
      </c>
      <c r="X8334" t="s">
        <v>47313</v>
      </c>
    </row>
    <row r="8335" spans="1:24">
      <c r="A8335">
        <f>HYPERLINK("https://www.philgeps.gov.ph/GEPSNONPILOT/Tender/SplashBidNoticeAbstractUI.aspx?menuIndex=3&amp;refID=7188158&amp;Result=3","7188158")</f>
        <v>0</v>
      </c>
      <c r="B8335" t="s">
        <v>2503</v>
      </c>
      <c r="C8335" t="s">
        <v>11702</v>
      </c>
      <c r="D8335" t="s">
        <v>19010</v>
      </c>
      <c r="E8335" t="s">
        <v>26260</v>
      </c>
      <c r="F8335" t="s">
        <v>32606</v>
      </c>
      <c r="G8335" t="s">
        <v>32613</v>
      </c>
      <c r="H8335" t="s">
        <v>32623</v>
      </c>
      <c r="I8335" t="s">
        <v>17648</v>
      </c>
      <c r="J8335" t="s">
        <v>37960</v>
      </c>
      <c r="K8335" t="s">
        <v>42816</v>
      </c>
      <c r="M8335" t="s">
        <v>45641</v>
      </c>
      <c r="N8335" t="s">
        <v>47304</v>
      </c>
      <c r="O8335" t="s">
        <v>47305</v>
      </c>
      <c r="Q8335">
        <v>0</v>
      </c>
      <c r="R8335" t="s">
        <v>47312</v>
      </c>
      <c r="S8335" t="s">
        <v>47506</v>
      </c>
      <c r="T8335" t="s">
        <v>49075</v>
      </c>
      <c r="U8335" t="s">
        <v>56451</v>
      </c>
      <c r="V8335" t="s">
        <v>63480</v>
      </c>
      <c r="W8335" t="s">
        <v>45641</v>
      </c>
      <c r="X8335" t="s">
        <v>47313</v>
      </c>
    </row>
    <row r="8336" spans="1:24">
      <c r="A8336">
        <f>HYPERLINK("https://www.philgeps.gov.ph/GEPSNONPILOT/Tender/SplashBidNoticeAbstractUI.aspx?menuIndex=3&amp;refID=7188201&amp;Result=3","7188201")</f>
        <v>0</v>
      </c>
      <c r="B8336" t="s">
        <v>2374</v>
      </c>
      <c r="C8336" t="s">
        <v>11703</v>
      </c>
      <c r="D8336" t="s">
        <v>19004</v>
      </c>
      <c r="E8336" t="s">
        <v>26261</v>
      </c>
      <c r="F8336" t="s">
        <v>32606</v>
      </c>
      <c r="G8336" t="s">
        <v>32619</v>
      </c>
      <c r="H8336" t="s">
        <v>14201</v>
      </c>
      <c r="I8336" t="s">
        <v>32652</v>
      </c>
      <c r="J8336" t="s">
        <v>32999</v>
      </c>
      <c r="K8336" t="s">
        <v>42631</v>
      </c>
      <c r="M8336" t="s">
        <v>45489</v>
      </c>
      <c r="N8336" t="s">
        <v>47304</v>
      </c>
      <c r="O8336" t="s">
        <v>47305</v>
      </c>
      <c r="P8336">
        <v>0</v>
      </c>
      <c r="Q8336">
        <v>3</v>
      </c>
      <c r="R8336" t="s">
        <v>47312</v>
      </c>
      <c r="S8336" t="s">
        <v>47489</v>
      </c>
      <c r="T8336" t="s">
        <v>49346</v>
      </c>
      <c r="U8336" t="s">
        <v>56452</v>
      </c>
      <c r="W8336" t="s">
        <v>45489</v>
      </c>
      <c r="X8336" t="s">
        <v>47313</v>
      </c>
    </row>
    <row r="8337" spans="1:24">
      <c r="A8337">
        <f>HYPERLINK("https://www.philgeps.gov.ph/GEPSNONPILOT/Tender/SplashBidNoticeAbstractUI.aspx?menuIndex=3&amp;refID=7188192&amp;Result=3","7188192")</f>
        <v>0</v>
      </c>
      <c r="B8337" t="s">
        <v>1213</v>
      </c>
      <c r="C8337" t="s">
        <v>11704</v>
      </c>
      <c r="D8337" t="s">
        <v>19019</v>
      </c>
      <c r="E8337" t="s">
        <v>20001</v>
      </c>
      <c r="F8337" t="s">
        <v>32606</v>
      </c>
      <c r="G8337" t="s">
        <v>32614</v>
      </c>
      <c r="H8337" t="s">
        <v>14201</v>
      </c>
      <c r="I8337" t="s">
        <v>6931</v>
      </c>
      <c r="J8337" t="s">
        <v>32752</v>
      </c>
      <c r="K8337" t="s">
        <v>42624</v>
      </c>
      <c r="M8337" t="s">
        <v>44178</v>
      </c>
      <c r="N8337" t="s">
        <v>47304</v>
      </c>
      <c r="O8337" t="s">
        <v>47305</v>
      </c>
      <c r="P8337">
        <v>0</v>
      </c>
      <c r="Q8337">
        <v>0</v>
      </c>
      <c r="R8337" t="s">
        <v>47312</v>
      </c>
      <c r="S8337" t="s">
        <v>47489</v>
      </c>
      <c r="T8337" t="s">
        <v>49020</v>
      </c>
      <c r="U8337" t="s">
        <v>52046</v>
      </c>
      <c r="W8337" t="s">
        <v>44178</v>
      </c>
      <c r="X8337" t="s">
        <v>47313</v>
      </c>
    </row>
    <row r="8338" spans="1:24">
      <c r="A8338">
        <f>HYPERLINK("https://www.philgeps.gov.ph/GEPSNONPILOT/Tender/SplashBidNoticeAbstractUI.aspx?menuIndex=3&amp;refID=7188248&amp;Result=3","7188248")</f>
        <v>0</v>
      </c>
      <c r="B8338" t="s">
        <v>2649</v>
      </c>
      <c r="C8338" t="s">
        <v>11705</v>
      </c>
      <c r="D8338" t="s">
        <v>19038</v>
      </c>
      <c r="E8338" t="s">
        <v>26262</v>
      </c>
      <c r="F8338" t="s">
        <v>32606</v>
      </c>
      <c r="G8338" t="s">
        <v>32613</v>
      </c>
      <c r="H8338" t="s">
        <v>14201</v>
      </c>
      <c r="I8338" t="s">
        <v>6298</v>
      </c>
      <c r="J8338" t="s">
        <v>33263</v>
      </c>
      <c r="K8338" t="s">
        <v>42623</v>
      </c>
      <c r="M8338" t="s">
        <v>45795</v>
      </c>
      <c r="N8338" t="s">
        <v>47304</v>
      </c>
      <c r="O8338" t="s">
        <v>47305</v>
      </c>
      <c r="P8338">
        <v>0</v>
      </c>
      <c r="Q8338">
        <v>2</v>
      </c>
      <c r="R8338" t="s">
        <v>47312</v>
      </c>
      <c r="S8338" t="s">
        <v>47489</v>
      </c>
      <c r="T8338" t="s">
        <v>49080</v>
      </c>
      <c r="U8338" t="s">
        <v>56453</v>
      </c>
      <c r="W8338" t="s">
        <v>45795</v>
      </c>
      <c r="X8338" t="s">
        <v>47313</v>
      </c>
    </row>
    <row r="8339" spans="1:24">
      <c r="A8339">
        <f>HYPERLINK("https://www.philgeps.gov.ph/GEPSNONPILOT/Tender/SplashBidNoticeAbstractUI.aspx?menuIndex=3&amp;refID=7188152&amp;Result=3","7188152")</f>
        <v>0</v>
      </c>
      <c r="B8339" t="s">
        <v>384</v>
      </c>
      <c r="C8339" t="s">
        <v>11706</v>
      </c>
      <c r="D8339" t="s">
        <v>18995</v>
      </c>
      <c r="E8339" t="s">
        <v>22091</v>
      </c>
      <c r="F8339" t="s">
        <v>32606</v>
      </c>
      <c r="G8339" t="s">
        <v>32613</v>
      </c>
      <c r="H8339" t="s">
        <v>14201</v>
      </c>
      <c r="I8339" t="s">
        <v>4369</v>
      </c>
      <c r="J8339" t="s">
        <v>37961</v>
      </c>
      <c r="K8339" t="s">
        <v>42631</v>
      </c>
      <c r="M8339" t="s">
        <v>43287</v>
      </c>
      <c r="N8339" t="s">
        <v>47304</v>
      </c>
      <c r="O8339" t="s">
        <v>47305</v>
      </c>
      <c r="P8339">
        <v>0</v>
      </c>
      <c r="Q8339">
        <v>4</v>
      </c>
      <c r="R8339" t="s">
        <v>47312</v>
      </c>
      <c r="S8339" t="s">
        <v>47489</v>
      </c>
      <c r="T8339" t="s">
        <v>49077</v>
      </c>
      <c r="U8339" t="s">
        <v>56454</v>
      </c>
      <c r="W8339" t="s">
        <v>43287</v>
      </c>
      <c r="X8339" t="s">
        <v>47313</v>
      </c>
    </row>
    <row r="8340" spans="1:24">
      <c r="A8340">
        <f>HYPERLINK("https://www.philgeps.gov.ph/GEPSNONPILOT/Tender/SplashBidNoticeAbstractUI.aspx?menuIndex=3&amp;refID=7188245&amp;Result=3","7188245")</f>
        <v>0</v>
      </c>
      <c r="B8340" t="s">
        <v>689</v>
      </c>
      <c r="C8340" t="s">
        <v>11707</v>
      </c>
      <c r="D8340" t="s">
        <v>19004</v>
      </c>
      <c r="E8340" t="s">
        <v>26263</v>
      </c>
      <c r="F8340" t="s">
        <v>32606</v>
      </c>
      <c r="G8340" t="s">
        <v>32619</v>
      </c>
      <c r="H8340" t="s">
        <v>14201</v>
      </c>
      <c r="I8340" t="s">
        <v>32628</v>
      </c>
      <c r="J8340" t="s">
        <v>37962</v>
      </c>
      <c r="K8340" t="s">
        <v>42624</v>
      </c>
      <c r="M8340" t="s">
        <v>43610</v>
      </c>
      <c r="N8340" t="s">
        <v>47304</v>
      </c>
      <c r="O8340" t="s">
        <v>47305</v>
      </c>
      <c r="P8340">
        <v>0</v>
      </c>
      <c r="Q8340">
        <v>3</v>
      </c>
      <c r="R8340" t="s">
        <v>47312</v>
      </c>
      <c r="S8340" t="s">
        <v>47489</v>
      </c>
      <c r="T8340" t="s">
        <v>49267</v>
      </c>
      <c r="U8340" t="s">
        <v>56455</v>
      </c>
      <c r="W8340" t="s">
        <v>43610</v>
      </c>
      <c r="X8340" t="s">
        <v>47313</v>
      </c>
    </row>
    <row r="8341" spans="1:24">
      <c r="A8341">
        <f>HYPERLINK("https://www.philgeps.gov.ph/GEPSNONPILOT/Tender/SplashBidNoticeAbstractUI.aspx?menuIndex=3&amp;refID=7188150&amp;Result=3","7188150")</f>
        <v>0</v>
      </c>
      <c r="B8341" t="s">
        <v>2650</v>
      </c>
      <c r="C8341" t="s">
        <v>11708</v>
      </c>
      <c r="D8341" t="s">
        <v>19039</v>
      </c>
      <c r="E8341" t="s">
        <v>26264</v>
      </c>
      <c r="F8341" t="s">
        <v>32606</v>
      </c>
      <c r="G8341" t="s">
        <v>32619</v>
      </c>
      <c r="H8341" t="s">
        <v>14201</v>
      </c>
      <c r="I8341" t="s">
        <v>4678</v>
      </c>
      <c r="J8341" t="s">
        <v>37963</v>
      </c>
      <c r="K8341" t="s">
        <v>42639</v>
      </c>
      <c r="M8341" t="s">
        <v>45796</v>
      </c>
      <c r="N8341" t="s">
        <v>47304</v>
      </c>
      <c r="O8341" t="s">
        <v>47305</v>
      </c>
      <c r="P8341">
        <v>0</v>
      </c>
      <c r="Q8341">
        <v>0</v>
      </c>
      <c r="R8341" t="s">
        <v>47312</v>
      </c>
      <c r="S8341" t="s">
        <v>47489</v>
      </c>
      <c r="T8341" t="s">
        <v>48998</v>
      </c>
      <c r="U8341" t="s">
        <v>56456</v>
      </c>
      <c r="W8341" t="s">
        <v>45796</v>
      </c>
      <c r="X8341" t="s">
        <v>47313</v>
      </c>
    </row>
    <row r="8342" spans="1:24">
      <c r="A8342">
        <f>HYPERLINK("https://www.philgeps.gov.ph/GEPSNONPILOT/Tender/SplashBidNoticeAbstractUI.aspx?menuIndex=3&amp;refID=7188235&amp;Result=3","7188235")</f>
        <v>0</v>
      </c>
      <c r="B8342" t="s">
        <v>2201</v>
      </c>
      <c r="C8342" t="s">
        <v>11709</v>
      </c>
      <c r="D8342" t="s">
        <v>19018</v>
      </c>
      <c r="E8342" t="s">
        <v>26265</v>
      </c>
      <c r="F8342" t="s">
        <v>32606</v>
      </c>
      <c r="G8342" t="s">
        <v>32613</v>
      </c>
      <c r="H8342" t="s">
        <v>32623</v>
      </c>
      <c r="I8342" t="s">
        <v>17648</v>
      </c>
      <c r="J8342" t="s">
        <v>37964</v>
      </c>
      <c r="K8342" t="s">
        <v>42646</v>
      </c>
      <c r="M8342" t="s">
        <v>45305</v>
      </c>
      <c r="N8342" t="s">
        <v>47304</v>
      </c>
      <c r="O8342" t="s">
        <v>47305</v>
      </c>
      <c r="P8342">
        <v>0</v>
      </c>
      <c r="Q8342">
        <v>0</v>
      </c>
      <c r="R8342" t="s">
        <v>47312</v>
      </c>
      <c r="S8342" t="s">
        <v>47489</v>
      </c>
      <c r="T8342" t="s">
        <v>49057</v>
      </c>
      <c r="U8342" t="s">
        <v>56457</v>
      </c>
      <c r="W8342" t="s">
        <v>45305</v>
      </c>
      <c r="X8342" t="s">
        <v>47313</v>
      </c>
    </row>
    <row r="8343" spans="1:24">
      <c r="A8343">
        <f>HYPERLINK("https://www.philgeps.gov.ph/GEPSNONPILOT/Tender/SplashBidNoticeAbstractUI.aspx?menuIndex=3&amp;refID=7188195&amp;Result=3","7188195")</f>
        <v>0</v>
      </c>
      <c r="B8343" t="s">
        <v>2505</v>
      </c>
      <c r="C8343" t="s">
        <v>11710</v>
      </c>
      <c r="D8343" t="s">
        <v>19007</v>
      </c>
      <c r="E8343" t="s">
        <v>25893</v>
      </c>
      <c r="F8343" t="s">
        <v>32606</v>
      </c>
      <c r="G8343" t="s">
        <v>32613</v>
      </c>
      <c r="H8343" t="s">
        <v>32623</v>
      </c>
      <c r="I8343" t="s">
        <v>17648</v>
      </c>
      <c r="J8343" t="s">
        <v>32772</v>
      </c>
      <c r="K8343" t="s">
        <v>42636</v>
      </c>
      <c r="M8343" t="s">
        <v>45644</v>
      </c>
      <c r="N8343" t="s">
        <v>47304</v>
      </c>
      <c r="O8343" t="s">
        <v>47305</v>
      </c>
      <c r="P8343">
        <v>0</v>
      </c>
      <c r="Q8343">
        <v>0</v>
      </c>
      <c r="R8343" t="s">
        <v>47312</v>
      </c>
      <c r="S8343" t="s">
        <v>47489</v>
      </c>
      <c r="T8343" t="s">
        <v>49077</v>
      </c>
      <c r="U8343" t="s">
        <v>56075</v>
      </c>
      <c r="V8343" t="s">
        <v>63499</v>
      </c>
      <c r="W8343" t="s">
        <v>45644</v>
      </c>
      <c r="X8343" t="s">
        <v>47313</v>
      </c>
    </row>
    <row r="8344" spans="1:24">
      <c r="A8344">
        <f>HYPERLINK("https://www.philgeps.gov.ph/GEPSNONPILOT/Tender/SplashBidNoticeAbstractUI.aspx?menuIndex=3&amp;refID=7188250&amp;Result=3","7188250")</f>
        <v>0</v>
      </c>
      <c r="B8344" t="s">
        <v>2651</v>
      </c>
      <c r="C8344" t="s">
        <v>11711</v>
      </c>
      <c r="D8344" t="s">
        <v>19022</v>
      </c>
      <c r="E8344" t="s">
        <v>26266</v>
      </c>
      <c r="F8344" t="s">
        <v>32606</v>
      </c>
      <c r="G8344" t="s">
        <v>32619</v>
      </c>
      <c r="H8344" t="s">
        <v>14201</v>
      </c>
      <c r="I8344" t="s">
        <v>4120</v>
      </c>
      <c r="J8344" t="s">
        <v>33167</v>
      </c>
      <c r="K8344" t="s">
        <v>42622</v>
      </c>
      <c r="M8344" t="s">
        <v>45797</v>
      </c>
      <c r="N8344" t="s">
        <v>47304</v>
      </c>
      <c r="O8344" t="s">
        <v>47305</v>
      </c>
      <c r="P8344">
        <v>0</v>
      </c>
      <c r="Q8344">
        <v>0</v>
      </c>
      <c r="R8344" t="s">
        <v>47312</v>
      </c>
      <c r="S8344" t="s">
        <v>47489</v>
      </c>
      <c r="T8344" t="s">
        <v>48979</v>
      </c>
      <c r="U8344" t="s">
        <v>56458</v>
      </c>
      <c r="W8344" t="s">
        <v>45797</v>
      </c>
      <c r="X8344" t="s">
        <v>47313</v>
      </c>
    </row>
    <row r="8345" spans="1:24">
      <c r="A8345">
        <f>HYPERLINK("https://www.philgeps.gov.ph/GEPSNONPILOT/Tender/SplashBidNoticeAbstractUI.aspx?menuIndex=3&amp;refID=7188230&amp;Result=3","7188230")</f>
        <v>0</v>
      </c>
      <c r="B8345" t="s">
        <v>2629</v>
      </c>
      <c r="C8345" t="s">
        <v>11712</v>
      </c>
      <c r="E8345" t="s">
        <v>26267</v>
      </c>
      <c r="F8345" t="s">
        <v>32606</v>
      </c>
      <c r="G8345" t="s">
        <v>32614</v>
      </c>
      <c r="H8345" t="s">
        <v>14201</v>
      </c>
      <c r="I8345" t="s">
        <v>32680</v>
      </c>
      <c r="J8345" t="s">
        <v>32765</v>
      </c>
      <c r="K8345" t="s">
        <v>42624</v>
      </c>
      <c r="M8345" t="s">
        <v>45773</v>
      </c>
      <c r="N8345" t="s">
        <v>47304</v>
      </c>
      <c r="O8345" t="s">
        <v>47305</v>
      </c>
      <c r="P8345">
        <v>0</v>
      </c>
      <c r="Q8345">
        <v>2</v>
      </c>
      <c r="R8345" t="s">
        <v>47312</v>
      </c>
      <c r="S8345" t="s">
        <v>47489</v>
      </c>
      <c r="T8345" t="s">
        <v>49072</v>
      </c>
      <c r="U8345" t="s">
        <v>56459</v>
      </c>
      <c r="W8345" t="s">
        <v>45773</v>
      </c>
      <c r="X8345" t="s">
        <v>47313</v>
      </c>
    </row>
    <row r="8346" spans="1:24">
      <c r="A8346">
        <f>HYPERLINK("https://www.philgeps.gov.ph/GEPSNONPILOT/Tender/SplashBidNoticeAbstractUI.aspx?menuIndex=3&amp;refID=7188236&amp;Result=3","7188236")</f>
        <v>0</v>
      </c>
      <c r="B8346" t="s">
        <v>1213</v>
      </c>
      <c r="C8346" t="s">
        <v>11713</v>
      </c>
      <c r="D8346" t="s">
        <v>19019</v>
      </c>
      <c r="E8346" t="s">
        <v>26268</v>
      </c>
      <c r="F8346" t="s">
        <v>32606</v>
      </c>
      <c r="G8346" t="s">
        <v>32613</v>
      </c>
      <c r="H8346" t="s">
        <v>14201</v>
      </c>
      <c r="I8346" t="s">
        <v>6931</v>
      </c>
      <c r="J8346" t="s">
        <v>32778</v>
      </c>
      <c r="K8346" t="s">
        <v>42624</v>
      </c>
      <c r="M8346" t="s">
        <v>44178</v>
      </c>
      <c r="N8346" t="s">
        <v>47304</v>
      </c>
      <c r="O8346" t="s">
        <v>47305</v>
      </c>
      <c r="P8346">
        <v>0</v>
      </c>
      <c r="Q8346">
        <v>0</v>
      </c>
      <c r="R8346" t="s">
        <v>47312</v>
      </c>
      <c r="S8346" t="s">
        <v>47489</v>
      </c>
      <c r="T8346" t="s">
        <v>49116</v>
      </c>
      <c r="U8346" t="s">
        <v>52046</v>
      </c>
      <c r="W8346" t="s">
        <v>44178</v>
      </c>
      <c r="X8346" t="s">
        <v>47313</v>
      </c>
    </row>
    <row r="8347" spans="1:24">
      <c r="A8347">
        <f>HYPERLINK("https://www.philgeps.gov.ph/GEPSNONPILOT/Tender/SplashBidNoticeAbstractUI.aspx?menuIndex=3&amp;refID=7188225&amp;Result=3","7188225")</f>
        <v>0</v>
      </c>
      <c r="B8347" t="s">
        <v>1597</v>
      </c>
      <c r="C8347" t="s">
        <v>11714</v>
      </c>
      <c r="E8347" t="s">
        <v>26269</v>
      </c>
      <c r="F8347" t="s">
        <v>32606</v>
      </c>
      <c r="G8347" t="s">
        <v>32613</v>
      </c>
      <c r="H8347" t="s">
        <v>14201</v>
      </c>
      <c r="I8347" t="s">
        <v>32686</v>
      </c>
      <c r="J8347" t="s">
        <v>37965</v>
      </c>
      <c r="K8347" t="s">
        <v>42623</v>
      </c>
      <c r="L8347" t="s">
        <v>1597</v>
      </c>
      <c r="M8347" t="s">
        <v>44612</v>
      </c>
      <c r="N8347" t="s">
        <v>47304</v>
      </c>
      <c r="O8347" t="s">
        <v>47305</v>
      </c>
      <c r="P8347">
        <v>0</v>
      </c>
      <c r="Q8347">
        <v>5</v>
      </c>
      <c r="R8347" t="s">
        <v>47312</v>
      </c>
      <c r="S8347" t="s">
        <v>47489</v>
      </c>
      <c r="T8347" t="s">
        <v>49037</v>
      </c>
      <c r="U8347" t="s">
        <v>53124</v>
      </c>
      <c r="V8347" t="s">
        <v>63062</v>
      </c>
      <c r="W8347" t="s">
        <v>44612</v>
      </c>
      <c r="X8347" t="s">
        <v>47313</v>
      </c>
    </row>
    <row r="8348" spans="1:24">
      <c r="A8348">
        <f>HYPERLINK("https://www.philgeps.gov.ph/GEPSNONPILOT/Tender/SplashBidNoticeAbstractUI.aspx?menuIndex=3&amp;refID=7188127&amp;Result=3","7188127")</f>
        <v>0</v>
      </c>
      <c r="B8348" t="s">
        <v>195</v>
      </c>
      <c r="C8348" t="s">
        <v>11715</v>
      </c>
      <c r="D8348" t="s">
        <v>19045</v>
      </c>
      <c r="E8348" t="s">
        <v>26270</v>
      </c>
      <c r="F8348" t="s">
        <v>32606</v>
      </c>
      <c r="G8348" t="s">
        <v>32613</v>
      </c>
      <c r="H8348" t="s">
        <v>14201</v>
      </c>
      <c r="I8348" t="s">
        <v>6931</v>
      </c>
      <c r="J8348" t="s">
        <v>37966</v>
      </c>
      <c r="K8348" t="s">
        <v>42622</v>
      </c>
      <c r="M8348" t="s">
        <v>43096</v>
      </c>
      <c r="N8348" t="s">
        <v>47304</v>
      </c>
      <c r="O8348" t="s">
        <v>47305</v>
      </c>
      <c r="P8348">
        <v>0</v>
      </c>
      <c r="Q8348">
        <v>0</v>
      </c>
      <c r="R8348" t="s">
        <v>47312</v>
      </c>
      <c r="S8348" t="s">
        <v>47489</v>
      </c>
      <c r="T8348" t="s">
        <v>49037</v>
      </c>
      <c r="U8348" t="s">
        <v>49892</v>
      </c>
      <c r="V8348" t="s">
        <v>63371</v>
      </c>
      <c r="W8348" t="s">
        <v>43096</v>
      </c>
      <c r="X8348" t="s">
        <v>47313</v>
      </c>
    </row>
    <row r="8349" spans="1:24">
      <c r="A8349">
        <f>HYPERLINK("https://www.philgeps.gov.ph/GEPSNONPILOT/Tender/SplashBidNoticeAbstractUI.aspx?menuIndex=3&amp;refID=7188220&amp;Result=3","7188220")</f>
        <v>0</v>
      </c>
      <c r="B8349" t="s">
        <v>2652</v>
      </c>
      <c r="C8349" t="s">
        <v>11716</v>
      </c>
      <c r="D8349" t="s">
        <v>19040</v>
      </c>
      <c r="E8349" t="s">
        <v>19181</v>
      </c>
      <c r="F8349" t="s">
        <v>32606</v>
      </c>
      <c r="G8349" t="s">
        <v>32614</v>
      </c>
      <c r="H8349" t="s">
        <v>14201</v>
      </c>
      <c r="I8349" t="s">
        <v>6007</v>
      </c>
      <c r="J8349" t="s">
        <v>32914</v>
      </c>
      <c r="K8349" t="s">
        <v>42632</v>
      </c>
      <c r="M8349" t="s">
        <v>45798</v>
      </c>
      <c r="N8349" t="s">
        <v>47304</v>
      </c>
      <c r="O8349" t="s">
        <v>47305</v>
      </c>
      <c r="P8349">
        <v>0</v>
      </c>
      <c r="Q8349">
        <v>8</v>
      </c>
      <c r="R8349" t="s">
        <v>47312</v>
      </c>
      <c r="S8349" t="s">
        <v>47489</v>
      </c>
      <c r="T8349" t="s">
        <v>49221</v>
      </c>
      <c r="U8349" t="s">
        <v>56460</v>
      </c>
      <c r="W8349" t="s">
        <v>45798</v>
      </c>
      <c r="X8349" t="s">
        <v>47313</v>
      </c>
    </row>
    <row r="8350" spans="1:24">
      <c r="A8350">
        <f>HYPERLINK("https://www.philgeps.gov.ph/GEPSNONPILOT/Tender/SplashBidNoticeAbstractUI.aspx?menuIndex=3&amp;refID=7188227&amp;Result=3","7188227")</f>
        <v>0</v>
      </c>
      <c r="B8350" t="s">
        <v>187</v>
      </c>
      <c r="C8350" t="s">
        <v>11717</v>
      </c>
      <c r="D8350" t="s">
        <v>19038</v>
      </c>
      <c r="E8350" t="s">
        <v>26271</v>
      </c>
      <c r="F8350" t="s">
        <v>32606</v>
      </c>
      <c r="G8350" t="s">
        <v>32613</v>
      </c>
      <c r="H8350" t="s">
        <v>14201</v>
      </c>
      <c r="I8350" t="s">
        <v>6931</v>
      </c>
      <c r="J8350" t="s">
        <v>37967</v>
      </c>
      <c r="K8350" t="s">
        <v>42622</v>
      </c>
      <c r="M8350" t="s">
        <v>43088</v>
      </c>
      <c r="N8350" t="s">
        <v>47304</v>
      </c>
      <c r="O8350" t="s">
        <v>47305</v>
      </c>
      <c r="P8350">
        <v>0</v>
      </c>
      <c r="Q8350">
        <v>0</v>
      </c>
      <c r="R8350" t="s">
        <v>47312</v>
      </c>
      <c r="S8350" t="s">
        <v>47489</v>
      </c>
      <c r="T8350" t="s">
        <v>48998</v>
      </c>
      <c r="U8350" t="s">
        <v>56461</v>
      </c>
      <c r="W8350" t="s">
        <v>43088</v>
      </c>
      <c r="X8350" t="s">
        <v>47313</v>
      </c>
    </row>
    <row r="8351" spans="1:24">
      <c r="A8351">
        <f>HYPERLINK("https://www.philgeps.gov.ph/GEPSNONPILOT/Tender/SplashBidNoticeAbstractUI.aspx?menuIndex=3&amp;refID=7188208&amp;Result=3","7188208")</f>
        <v>0</v>
      </c>
      <c r="B8351" t="s">
        <v>108</v>
      </c>
      <c r="C8351" t="s">
        <v>11718</v>
      </c>
      <c r="D8351" t="s">
        <v>18997</v>
      </c>
      <c r="E8351" t="s">
        <v>26272</v>
      </c>
      <c r="F8351" t="s">
        <v>32606</v>
      </c>
      <c r="G8351" t="s">
        <v>32613</v>
      </c>
      <c r="H8351" t="s">
        <v>14201</v>
      </c>
      <c r="I8351" t="s">
        <v>6931</v>
      </c>
      <c r="J8351" t="s">
        <v>37968</v>
      </c>
      <c r="K8351" t="s">
        <v>42630</v>
      </c>
      <c r="M8351" t="s">
        <v>43007</v>
      </c>
      <c r="N8351" t="s">
        <v>47304</v>
      </c>
      <c r="O8351" t="s">
        <v>47305</v>
      </c>
      <c r="P8351">
        <v>0</v>
      </c>
      <c r="Q8351">
        <v>0</v>
      </c>
      <c r="R8351" t="s">
        <v>47312</v>
      </c>
      <c r="S8351" t="s">
        <v>47489</v>
      </c>
      <c r="T8351" t="s">
        <v>49257</v>
      </c>
      <c r="U8351" t="s">
        <v>56462</v>
      </c>
      <c r="W8351" t="s">
        <v>43007</v>
      </c>
      <c r="X8351" t="s">
        <v>47313</v>
      </c>
    </row>
    <row r="8352" spans="1:24">
      <c r="A8352">
        <f>HYPERLINK("https://www.philgeps.gov.ph/GEPSNONPILOT/Tender/SplashBidNoticeAbstractUI.aspx?menuIndex=3&amp;refID=7188207&amp;Result=3","7188207")</f>
        <v>0</v>
      </c>
      <c r="B8352" t="s">
        <v>2505</v>
      </c>
      <c r="C8352" t="s">
        <v>11719</v>
      </c>
      <c r="D8352" t="s">
        <v>19007</v>
      </c>
      <c r="E8352" t="s">
        <v>25893</v>
      </c>
      <c r="F8352" t="s">
        <v>32606</v>
      </c>
      <c r="G8352" t="s">
        <v>32613</v>
      </c>
      <c r="H8352" t="s">
        <v>32623</v>
      </c>
      <c r="I8352" t="s">
        <v>17648</v>
      </c>
      <c r="J8352" t="s">
        <v>37969</v>
      </c>
      <c r="K8352" t="s">
        <v>42648</v>
      </c>
      <c r="M8352" t="s">
        <v>45644</v>
      </c>
      <c r="N8352" t="s">
        <v>47304</v>
      </c>
      <c r="O8352" t="s">
        <v>47305</v>
      </c>
      <c r="P8352">
        <v>0</v>
      </c>
      <c r="Q8352">
        <v>1</v>
      </c>
      <c r="R8352" t="s">
        <v>47312</v>
      </c>
      <c r="S8352" t="s">
        <v>47489</v>
      </c>
      <c r="T8352" t="s">
        <v>49077</v>
      </c>
      <c r="U8352" t="s">
        <v>56075</v>
      </c>
      <c r="V8352" t="s">
        <v>63500</v>
      </c>
      <c r="W8352" t="s">
        <v>45644</v>
      </c>
      <c r="X8352" t="s">
        <v>47313</v>
      </c>
    </row>
    <row r="8353" spans="1:24">
      <c r="A8353">
        <f>HYPERLINK("https://www.philgeps.gov.ph/GEPSNONPILOT/Tender/SplashBidNoticeAbstractUI.aspx?menuIndex=3&amp;refID=7188203&amp;Result=3","7188203")</f>
        <v>0</v>
      </c>
      <c r="B8353" t="s">
        <v>2653</v>
      </c>
      <c r="C8353" t="s">
        <v>11720</v>
      </c>
      <c r="D8353" t="s">
        <v>19014</v>
      </c>
      <c r="E8353" t="s">
        <v>26273</v>
      </c>
      <c r="F8353" t="s">
        <v>32606</v>
      </c>
      <c r="G8353" t="s">
        <v>32613</v>
      </c>
      <c r="H8353" t="s">
        <v>14201</v>
      </c>
      <c r="I8353" t="s">
        <v>6931</v>
      </c>
      <c r="J8353" t="s">
        <v>37970</v>
      </c>
      <c r="K8353" t="s">
        <v>42638</v>
      </c>
      <c r="M8353" t="s">
        <v>45799</v>
      </c>
      <c r="N8353" t="s">
        <v>47304</v>
      </c>
      <c r="O8353" t="s">
        <v>47305</v>
      </c>
      <c r="P8353">
        <v>0</v>
      </c>
      <c r="Q8353">
        <v>1</v>
      </c>
      <c r="R8353" t="s">
        <v>47312</v>
      </c>
      <c r="S8353" t="s">
        <v>47489</v>
      </c>
      <c r="T8353" t="s">
        <v>49072</v>
      </c>
      <c r="U8353" t="s">
        <v>56463</v>
      </c>
      <c r="W8353" t="s">
        <v>45799</v>
      </c>
      <c r="X8353" t="s">
        <v>47313</v>
      </c>
    </row>
    <row r="8354" spans="1:24">
      <c r="A8354">
        <f>HYPERLINK("https://www.philgeps.gov.ph/GEPSNONPILOT/Tender/SplashBidNoticeAbstractUI.aspx?menuIndex=3&amp;refID=7188233&amp;Result=3","7188233")</f>
        <v>0</v>
      </c>
      <c r="B8354" t="s">
        <v>689</v>
      </c>
      <c r="C8354" t="s">
        <v>11721</v>
      </c>
      <c r="D8354" t="s">
        <v>19004</v>
      </c>
      <c r="E8354" t="s">
        <v>26274</v>
      </c>
      <c r="F8354" t="s">
        <v>32606</v>
      </c>
      <c r="G8354" t="s">
        <v>32619</v>
      </c>
      <c r="H8354" t="s">
        <v>14201</v>
      </c>
      <c r="I8354" t="s">
        <v>9297</v>
      </c>
      <c r="J8354" t="s">
        <v>37971</v>
      </c>
      <c r="K8354" t="s">
        <v>42624</v>
      </c>
      <c r="M8354" t="s">
        <v>43610</v>
      </c>
      <c r="N8354" t="s">
        <v>47304</v>
      </c>
      <c r="O8354" t="s">
        <v>47305</v>
      </c>
      <c r="P8354">
        <v>0</v>
      </c>
      <c r="Q8354">
        <v>0</v>
      </c>
      <c r="R8354" t="s">
        <v>47312</v>
      </c>
      <c r="S8354" t="s">
        <v>47489</v>
      </c>
      <c r="T8354" t="s">
        <v>49267</v>
      </c>
      <c r="U8354" t="s">
        <v>56464</v>
      </c>
      <c r="W8354" t="s">
        <v>43610</v>
      </c>
      <c r="X8354" t="s">
        <v>47313</v>
      </c>
    </row>
    <row r="8355" spans="1:24">
      <c r="A8355">
        <f>HYPERLINK("https://www.philgeps.gov.ph/GEPSNONPILOT/Tender/SplashBidNoticeAbstractUI.aspx?menuIndex=3&amp;refID=7188218&amp;Result=3","7188218")</f>
        <v>0</v>
      </c>
      <c r="B8355" t="s">
        <v>2654</v>
      </c>
      <c r="C8355" t="s">
        <v>11722</v>
      </c>
      <c r="D8355" t="s">
        <v>19007</v>
      </c>
      <c r="E8355" t="s">
        <v>20282</v>
      </c>
      <c r="F8355" t="s">
        <v>32606</v>
      </c>
      <c r="G8355" t="s">
        <v>32613</v>
      </c>
      <c r="H8355" t="s">
        <v>32624</v>
      </c>
      <c r="I8355" t="s">
        <v>32732</v>
      </c>
      <c r="J8355" t="s">
        <v>32789</v>
      </c>
      <c r="K8355" t="s">
        <v>42623</v>
      </c>
      <c r="M8355" t="s">
        <v>45800</v>
      </c>
      <c r="N8355" t="s">
        <v>47304</v>
      </c>
      <c r="O8355" t="s">
        <v>47305</v>
      </c>
      <c r="P8355">
        <v>0</v>
      </c>
      <c r="Q8355">
        <v>2</v>
      </c>
      <c r="R8355" t="s">
        <v>47312</v>
      </c>
      <c r="S8355" t="s">
        <v>47489</v>
      </c>
      <c r="T8355" t="s">
        <v>49257</v>
      </c>
      <c r="U8355" t="s">
        <v>56465</v>
      </c>
      <c r="W8355" t="s">
        <v>45800</v>
      </c>
      <c r="X8355" t="s">
        <v>47313</v>
      </c>
    </row>
    <row r="8356" spans="1:24">
      <c r="A8356">
        <f>HYPERLINK("https://www.philgeps.gov.ph/GEPSNONPILOT/Tender/SplashBidNoticeAbstractUI.aspx?menuIndex=3&amp;refID=7188095&amp;Result=3","7188095")</f>
        <v>0</v>
      </c>
      <c r="B8356" t="s">
        <v>2655</v>
      </c>
      <c r="C8356" t="s">
        <v>11723</v>
      </c>
      <c r="D8356" t="s">
        <v>19039</v>
      </c>
      <c r="E8356" t="s">
        <v>25858</v>
      </c>
      <c r="F8356" t="s">
        <v>32606</v>
      </c>
      <c r="G8356" t="s">
        <v>32613</v>
      </c>
      <c r="H8356" t="s">
        <v>32623</v>
      </c>
      <c r="I8356" t="s">
        <v>17648</v>
      </c>
      <c r="J8356" t="s">
        <v>36512</v>
      </c>
      <c r="K8356" t="s">
        <v>42639</v>
      </c>
      <c r="M8356" t="s">
        <v>45801</v>
      </c>
      <c r="N8356" t="s">
        <v>47304</v>
      </c>
      <c r="O8356" t="s">
        <v>47305</v>
      </c>
      <c r="P8356">
        <v>0</v>
      </c>
      <c r="Q8356">
        <v>0</v>
      </c>
      <c r="R8356" t="s">
        <v>47312</v>
      </c>
      <c r="S8356" t="s">
        <v>47489</v>
      </c>
      <c r="T8356" t="s">
        <v>49320</v>
      </c>
      <c r="U8356" t="s">
        <v>56210</v>
      </c>
      <c r="W8356" t="s">
        <v>45801</v>
      </c>
      <c r="X8356" t="s">
        <v>47313</v>
      </c>
    </row>
    <row r="8357" spans="1:24">
      <c r="A8357">
        <f>HYPERLINK("https://www.philgeps.gov.ph/GEPSNONPILOT/Tender/SplashBidNoticeAbstractUI.aspx?menuIndex=3&amp;refID=7188232&amp;Result=3","7188232")</f>
        <v>0</v>
      </c>
      <c r="B8357" t="s">
        <v>384</v>
      </c>
      <c r="C8357" t="s">
        <v>11724</v>
      </c>
      <c r="D8357" t="s">
        <v>18995</v>
      </c>
      <c r="E8357" t="s">
        <v>22091</v>
      </c>
      <c r="F8357" t="s">
        <v>32606</v>
      </c>
      <c r="G8357" t="s">
        <v>32613</v>
      </c>
      <c r="H8357" t="s">
        <v>14201</v>
      </c>
      <c r="I8357" t="s">
        <v>6298</v>
      </c>
      <c r="J8357" t="s">
        <v>37972</v>
      </c>
      <c r="K8357" t="s">
        <v>42631</v>
      </c>
      <c r="M8357" t="s">
        <v>43287</v>
      </c>
      <c r="N8357" t="s">
        <v>47304</v>
      </c>
      <c r="O8357" t="s">
        <v>47305</v>
      </c>
      <c r="P8357">
        <v>0</v>
      </c>
      <c r="Q8357">
        <v>4</v>
      </c>
      <c r="R8357" t="s">
        <v>47312</v>
      </c>
      <c r="S8357" t="s">
        <v>47489</v>
      </c>
      <c r="T8357" t="s">
        <v>49077</v>
      </c>
      <c r="U8357" t="s">
        <v>56466</v>
      </c>
      <c r="W8357" t="s">
        <v>43287</v>
      </c>
      <c r="X8357" t="s">
        <v>47313</v>
      </c>
    </row>
    <row r="8358" spans="1:24">
      <c r="A8358">
        <f>HYPERLINK("https://www.philgeps.gov.ph/GEPSNONPILOT/Tender/SplashBidNoticeAbstractUI.aspx?menuIndex=3&amp;refID=7188094&amp;Result=3","7188094")</f>
        <v>0</v>
      </c>
      <c r="B8358" t="s">
        <v>2656</v>
      </c>
      <c r="C8358" t="s">
        <v>11725</v>
      </c>
      <c r="D8358" t="s">
        <v>19037</v>
      </c>
      <c r="E8358" t="s">
        <v>26275</v>
      </c>
      <c r="F8358" t="s">
        <v>32606</v>
      </c>
      <c r="G8358" t="s">
        <v>32617</v>
      </c>
      <c r="H8358" t="s">
        <v>14201</v>
      </c>
      <c r="I8358" t="s">
        <v>9013</v>
      </c>
      <c r="J8358" t="s">
        <v>37973</v>
      </c>
      <c r="K8358" t="s">
        <v>42623</v>
      </c>
      <c r="M8358" t="s">
        <v>45802</v>
      </c>
      <c r="N8358" t="s">
        <v>47304</v>
      </c>
      <c r="O8358" t="s">
        <v>47305</v>
      </c>
      <c r="P8358">
        <v>0</v>
      </c>
      <c r="Q8358">
        <v>0</v>
      </c>
      <c r="R8358" t="s">
        <v>47312</v>
      </c>
      <c r="S8358" t="s">
        <v>47489</v>
      </c>
      <c r="T8358" t="s">
        <v>49268</v>
      </c>
      <c r="U8358" t="s">
        <v>56467</v>
      </c>
      <c r="W8358" t="s">
        <v>64510</v>
      </c>
      <c r="X8358" t="s">
        <v>47313</v>
      </c>
    </row>
    <row r="8359" spans="1:24">
      <c r="A8359">
        <f>HYPERLINK("https://www.philgeps.gov.ph/GEPSNONPILOT/Tender/SplashBidNoticeAbstractUI.aspx?menuIndex=3&amp;refID=7188041&amp;Result=3","7188041")</f>
        <v>0</v>
      </c>
      <c r="B8359" t="s">
        <v>2637</v>
      </c>
      <c r="C8359" t="s">
        <v>11726</v>
      </c>
      <c r="D8359" t="s">
        <v>19028</v>
      </c>
      <c r="E8359" t="s">
        <v>26276</v>
      </c>
      <c r="F8359" t="s">
        <v>32606</v>
      </c>
      <c r="G8359" t="s">
        <v>32619</v>
      </c>
      <c r="H8359" t="s">
        <v>14201</v>
      </c>
      <c r="I8359" t="s">
        <v>4120</v>
      </c>
      <c r="J8359" t="s">
        <v>37974</v>
      </c>
      <c r="K8359" t="s">
        <v>42623</v>
      </c>
      <c r="M8359" t="s">
        <v>45782</v>
      </c>
      <c r="N8359" t="s">
        <v>47304</v>
      </c>
      <c r="O8359" t="s">
        <v>47305</v>
      </c>
      <c r="P8359">
        <v>0</v>
      </c>
      <c r="Q8359">
        <v>6</v>
      </c>
      <c r="R8359" t="s">
        <v>47312</v>
      </c>
      <c r="S8359" t="s">
        <v>47489</v>
      </c>
      <c r="T8359" t="s">
        <v>49269</v>
      </c>
      <c r="U8359" t="s">
        <v>56468</v>
      </c>
      <c r="V8359" t="s">
        <v>63501</v>
      </c>
      <c r="W8359" t="s">
        <v>45782</v>
      </c>
      <c r="X8359" t="s">
        <v>47313</v>
      </c>
    </row>
    <row r="8360" spans="1:24">
      <c r="A8360">
        <f>HYPERLINK("https://www.philgeps.gov.ph/GEPSNONPILOT/Tender/SplashBidNoticeAbstractUI.aspx?menuIndex=3&amp;refID=7188038&amp;Result=3","7188038")</f>
        <v>0</v>
      </c>
      <c r="B8360" t="s">
        <v>2643</v>
      </c>
      <c r="C8360" t="s">
        <v>11727</v>
      </c>
      <c r="E8360" t="s">
        <v>26277</v>
      </c>
      <c r="F8360" t="s">
        <v>32606</v>
      </c>
      <c r="G8360" t="s">
        <v>32613</v>
      </c>
      <c r="H8360" t="s">
        <v>14201</v>
      </c>
      <c r="I8360" t="s">
        <v>6931</v>
      </c>
      <c r="J8360" t="s">
        <v>37975</v>
      </c>
      <c r="K8360" t="s">
        <v>42623</v>
      </c>
      <c r="M8360" t="s">
        <v>45788</v>
      </c>
      <c r="N8360" t="s">
        <v>47304</v>
      </c>
      <c r="O8360" t="s">
        <v>47305</v>
      </c>
      <c r="P8360">
        <v>0</v>
      </c>
      <c r="Q8360">
        <v>1</v>
      </c>
      <c r="R8360" t="s">
        <v>47312</v>
      </c>
      <c r="S8360" t="s">
        <v>47489</v>
      </c>
      <c r="T8360" t="s">
        <v>49057</v>
      </c>
      <c r="U8360" t="s">
        <v>56469</v>
      </c>
      <c r="V8360" t="s">
        <v>63502</v>
      </c>
      <c r="W8360" t="s">
        <v>45788</v>
      </c>
      <c r="X8360" t="s">
        <v>47313</v>
      </c>
    </row>
    <row r="8361" spans="1:24">
      <c r="A8361">
        <f>HYPERLINK("https://www.philgeps.gov.ph/GEPSNONPILOT/Tender/SplashBidNoticeAbstractUI.aspx?menuIndex=3&amp;refID=7188202&amp;Result=3","7188202")</f>
        <v>0</v>
      </c>
      <c r="B8361" t="s">
        <v>2638</v>
      </c>
      <c r="C8361" t="s">
        <v>11728</v>
      </c>
      <c r="D8361" t="s">
        <v>19016</v>
      </c>
      <c r="E8361" t="s">
        <v>19370</v>
      </c>
      <c r="F8361" t="s">
        <v>32606</v>
      </c>
      <c r="G8361" t="s">
        <v>32613</v>
      </c>
      <c r="H8361" t="s">
        <v>14201</v>
      </c>
      <c r="I8361" t="s">
        <v>6931</v>
      </c>
      <c r="J8361" t="s">
        <v>37976</v>
      </c>
      <c r="K8361" t="s">
        <v>42631</v>
      </c>
      <c r="M8361" t="s">
        <v>45783</v>
      </c>
      <c r="N8361" t="s">
        <v>47304</v>
      </c>
      <c r="O8361" t="s">
        <v>47305</v>
      </c>
      <c r="P8361">
        <v>0</v>
      </c>
      <c r="Q8361">
        <v>0</v>
      </c>
      <c r="R8361" t="s">
        <v>47312</v>
      </c>
      <c r="S8361" t="s">
        <v>47489</v>
      </c>
      <c r="T8361" t="s">
        <v>49047</v>
      </c>
      <c r="U8361" t="s">
        <v>56470</v>
      </c>
      <c r="W8361" t="s">
        <v>45783</v>
      </c>
      <c r="X8361" t="s">
        <v>47313</v>
      </c>
    </row>
    <row r="8362" spans="1:24">
      <c r="A8362">
        <f>HYPERLINK("https://www.philgeps.gov.ph/GEPSNONPILOT/Tender/SplashBidNoticeAbstractUI.aspx?menuIndex=3&amp;refID=7188024&amp;Result=3","7188024")</f>
        <v>0</v>
      </c>
      <c r="B8362" t="s">
        <v>2657</v>
      </c>
      <c r="C8362" t="s">
        <v>11729</v>
      </c>
      <c r="D8362" t="s">
        <v>19050</v>
      </c>
      <c r="E8362" t="s">
        <v>26278</v>
      </c>
      <c r="F8362" t="s">
        <v>32606</v>
      </c>
      <c r="G8362" t="s">
        <v>32613</v>
      </c>
      <c r="H8362" t="s">
        <v>14201</v>
      </c>
      <c r="I8362" t="s">
        <v>4114</v>
      </c>
      <c r="J8362" t="s">
        <v>37977</v>
      </c>
      <c r="K8362" t="s">
        <v>42623</v>
      </c>
      <c r="L8362" t="s">
        <v>2657</v>
      </c>
      <c r="M8362" t="s">
        <v>45803</v>
      </c>
      <c r="N8362" t="s">
        <v>47304</v>
      </c>
      <c r="O8362" t="s">
        <v>47305</v>
      </c>
      <c r="P8362">
        <v>0</v>
      </c>
      <c r="Q8362">
        <v>1</v>
      </c>
      <c r="R8362" t="s">
        <v>47312</v>
      </c>
      <c r="S8362" t="s">
        <v>47489</v>
      </c>
      <c r="T8362" t="s">
        <v>49324</v>
      </c>
      <c r="U8362" t="s">
        <v>56471</v>
      </c>
      <c r="V8362" t="s">
        <v>63503</v>
      </c>
      <c r="W8362" t="s">
        <v>45803</v>
      </c>
      <c r="X8362" t="s">
        <v>47313</v>
      </c>
    </row>
    <row r="8363" spans="1:24">
      <c r="A8363">
        <f>HYPERLINK("https://www.philgeps.gov.ph/GEPSNONPILOT/Tender/SplashBidNoticeAbstractUI.aspx?menuIndex=3&amp;refID=7188200&amp;Result=3","7188200")</f>
        <v>0</v>
      </c>
      <c r="B8363" t="s">
        <v>2658</v>
      </c>
      <c r="C8363" t="s">
        <v>11730</v>
      </c>
      <c r="E8363" t="s">
        <v>26279</v>
      </c>
      <c r="F8363" t="s">
        <v>32606</v>
      </c>
      <c r="G8363" t="s">
        <v>32613</v>
      </c>
      <c r="H8363" t="s">
        <v>14201</v>
      </c>
      <c r="I8363" t="s">
        <v>4112</v>
      </c>
      <c r="J8363" t="s">
        <v>37978</v>
      </c>
      <c r="K8363" t="s">
        <v>42624</v>
      </c>
      <c r="M8363" t="s">
        <v>45804</v>
      </c>
      <c r="N8363" t="s">
        <v>47304</v>
      </c>
      <c r="O8363" t="s">
        <v>47305</v>
      </c>
      <c r="P8363">
        <v>0</v>
      </c>
      <c r="Q8363">
        <v>4</v>
      </c>
      <c r="R8363" t="s">
        <v>47312</v>
      </c>
      <c r="S8363" t="s">
        <v>47489</v>
      </c>
      <c r="T8363" t="s">
        <v>49086</v>
      </c>
      <c r="U8363" t="s">
        <v>56472</v>
      </c>
      <c r="V8363" t="s">
        <v>63504</v>
      </c>
      <c r="W8363" t="s">
        <v>45804</v>
      </c>
      <c r="X8363" t="s">
        <v>47313</v>
      </c>
    </row>
    <row r="8364" spans="1:24">
      <c r="A8364">
        <f>HYPERLINK("https://www.philgeps.gov.ph/GEPSNONPILOT/Tender/SplashBidNoticeAbstractUI.aspx?menuIndex=3&amp;refID=7188149&amp;Result=3","7188149")</f>
        <v>0</v>
      </c>
      <c r="B8364" t="s">
        <v>195</v>
      </c>
      <c r="C8364" t="s">
        <v>11731</v>
      </c>
      <c r="E8364" t="s">
        <v>26280</v>
      </c>
      <c r="F8364" t="s">
        <v>32606</v>
      </c>
      <c r="G8364" t="s">
        <v>32613</v>
      </c>
      <c r="H8364" t="s">
        <v>14201</v>
      </c>
      <c r="I8364" t="s">
        <v>6931</v>
      </c>
      <c r="J8364" t="s">
        <v>37868</v>
      </c>
      <c r="K8364" t="s">
        <v>42622</v>
      </c>
      <c r="M8364" t="s">
        <v>43096</v>
      </c>
      <c r="N8364" t="s">
        <v>47304</v>
      </c>
      <c r="O8364" t="s">
        <v>47305</v>
      </c>
      <c r="P8364">
        <v>0</v>
      </c>
      <c r="Q8364">
        <v>0</v>
      </c>
      <c r="R8364" t="s">
        <v>47312</v>
      </c>
      <c r="S8364" t="s">
        <v>47489</v>
      </c>
      <c r="T8364" t="s">
        <v>49037</v>
      </c>
      <c r="U8364" t="s">
        <v>49892</v>
      </c>
      <c r="V8364" t="s">
        <v>63371</v>
      </c>
      <c r="W8364" t="s">
        <v>43096</v>
      </c>
      <c r="X8364" t="s">
        <v>47313</v>
      </c>
    </row>
    <row r="8365" spans="1:24">
      <c r="A8365">
        <f>HYPERLINK("https://www.philgeps.gov.ph/GEPSNONPILOT/Tender/SplashBidNoticeAbstractUI.aspx?menuIndex=3&amp;refID=7188036&amp;Result=3","7188036")</f>
        <v>0</v>
      </c>
      <c r="B8365" t="s">
        <v>2659</v>
      </c>
      <c r="C8365" t="s">
        <v>11732</v>
      </c>
      <c r="D8365" t="s">
        <v>18989</v>
      </c>
      <c r="E8365" t="s">
        <v>19940</v>
      </c>
      <c r="F8365" t="s">
        <v>32606</v>
      </c>
      <c r="G8365" t="s">
        <v>32614</v>
      </c>
      <c r="H8365" t="s">
        <v>32623</v>
      </c>
      <c r="I8365" t="s">
        <v>32659</v>
      </c>
      <c r="J8365" t="s">
        <v>32913</v>
      </c>
      <c r="K8365" t="s">
        <v>42674</v>
      </c>
      <c r="M8365" t="s">
        <v>45805</v>
      </c>
      <c r="N8365" t="s">
        <v>47304</v>
      </c>
      <c r="O8365" t="s">
        <v>47305</v>
      </c>
      <c r="P8365">
        <v>0</v>
      </c>
      <c r="Q8365">
        <v>0</v>
      </c>
      <c r="R8365" t="s">
        <v>47312</v>
      </c>
      <c r="S8365" t="s">
        <v>47489</v>
      </c>
      <c r="T8365" t="s">
        <v>49353</v>
      </c>
      <c r="U8365" t="s">
        <v>56473</v>
      </c>
      <c r="W8365" t="s">
        <v>45805</v>
      </c>
      <c r="X8365" t="s">
        <v>47313</v>
      </c>
    </row>
    <row r="8366" spans="1:24">
      <c r="A8366">
        <f>HYPERLINK("https://www.philgeps.gov.ph/GEPSNONPILOT/Tender/SplashBidNoticeAbstractUI.aspx?menuIndex=3&amp;refID=7188205&amp;Result=3","7188205")</f>
        <v>0</v>
      </c>
      <c r="B8366" t="s">
        <v>72</v>
      </c>
      <c r="C8366" t="s">
        <v>11733</v>
      </c>
      <c r="D8366" t="s">
        <v>19018</v>
      </c>
      <c r="E8366" t="s">
        <v>26281</v>
      </c>
      <c r="F8366" t="s">
        <v>32606</v>
      </c>
      <c r="G8366" t="s">
        <v>32613</v>
      </c>
      <c r="H8366" t="s">
        <v>32623</v>
      </c>
      <c r="I8366" t="s">
        <v>17648</v>
      </c>
      <c r="J8366" t="s">
        <v>37979</v>
      </c>
      <c r="K8366" t="s">
        <v>42651</v>
      </c>
      <c r="M8366" t="s">
        <v>45779</v>
      </c>
      <c r="N8366" t="s">
        <v>47304</v>
      </c>
      <c r="O8366" t="s">
        <v>47305</v>
      </c>
      <c r="P8366">
        <v>0</v>
      </c>
      <c r="Q8366">
        <v>0</v>
      </c>
      <c r="R8366" t="s">
        <v>47312</v>
      </c>
      <c r="S8366" t="s">
        <v>47489</v>
      </c>
      <c r="T8366" t="s">
        <v>49075</v>
      </c>
      <c r="U8366" t="s">
        <v>56474</v>
      </c>
      <c r="V8366" t="s">
        <v>63505</v>
      </c>
      <c r="W8366" t="s">
        <v>45779</v>
      </c>
      <c r="X8366" t="s">
        <v>47313</v>
      </c>
    </row>
    <row r="8367" spans="1:24">
      <c r="A8367">
        <f>HYPERLINK("https://www.philgeps.gov.ph/GEPSNONPILOT/Tender/SplashBidNoticeAbstractUI.aspx?menuIndex=3&amp;refID=7188032&amp;Result=3","7188032")</f>
        <v>0</v>
      </c>
      <c r="B8367" t="s">
        <v>438</v>
      </c>
      <c r="C8367" t="s">
        <v>11734</v>
      </c>
      <c r="D8367" t="s">
        <v>19003</v>
      </c>
      <c r="E8367" t="s">
        <v>26282</v>
      </c>
      <c r="F8367" t="s">
        <v>32606</v>
      </c>
      <c r="G8367" t="s">
        <v>32614</v>
      </c>
      <c r="H8367" t="s">
        <v>14201</v>
      </c>
      <c r="I8367" t="s">
        <v>6993</v>
      </c>
      <c r="J8367" t="s">
        <v>34102</v>
      </c>
      <c r="K8367" t="s">
        <v>42638</v>
      </c>
      <c r="M8367" t="s">
        <v>43345</v>
      </c>
      <c r="N8367" t="s">
        <v>47304</v>
      </c>
      <c r="O8367" t="s">
        <v>47305</v>
      </c>
      <c r="P8367">
        <v>0</v>
      </c>
      <c r="Q8367">
        <v>0</v>
      </c>
      <c r="R8367" t="s">
        <v>47312</v>
      </c>
      <c r="S8367" t="s">
        <v>47489</v>
      </c>
      <c r="T8367" t="s">
        <v>49020</v>
      </c>
      <c r="U8367" t="s">
        <v>56475</v>
      </c>
      <c r="W8367" t="s">
        <v>43345</v>
      </c>
      <c r="X8367" t="s">
        <v>47313</v>
      </c>
    </row>
    <row r="8368" spans="1:24">
      <c r="A8368">
        <f>HYPERLINK("https://www.philgeps.gov.ph/GEPSNONPILOT/Tender/SplashBidNoticeAbstractUI.aspx?menuIndex=3&amp;refID=7188289&amp;Result=3","7188289")</f>
        <v>0</v>
      </c>
      <c r="B8368" t="s">
        <v>2660</v>
      </c>
      <c r="C8368" t="s">
        <v>11735</v>
      </c>
      <c r="D8368" t="s">
        <v>19061</v>
      </c>
      <c r="E8368" t="s">
        <v>26283</v>
      </c>
      <c r="F8368" t="s">
        <v>32606</v>
      </c>
      <c r="G8368" t="s">
        <v>32613</v>
      </c>
      <c r="H8368" t="s">
        <v>14201</v>
      </c>
      <c r="I8368" t="s">
        <v>7064</v>
      </c>
      <c r="J8368" t="s">
        <v>32772</v>
      </c>
      <c r="K8368" t="s">
        <v>42638</v>
      </c>
      <c r="M8368" t="s">
        <v>45806</v>
      </c>
      <c r="N8368" t="s">
        <v>47304</v>
      </c>
      <c r="O8368" t="s">
        <v>47305</v>
      </c>
      <c r="P8368">
        <v>0</v>
      </c>
      <c r="Q8368">
        <v>1</v>
      </c>
      <c r="R8368" t="s">
        <v>47312</v>
      </c>
      <c r="S8368" t="s">
        <v>47489</v>
      </c>
      <c r="T8368" t="s">
        <v>48996</v>
      </c>
      <c r="U8368" t="s">
        <v>56476</v>
      </c>
      <c r="V8368" t="s">
        <v>63506</v>
      </c>
      <c r="W8368" t="s">
        <v>45806</v>
      </c>
      <c r="X8368" t="s">
        <v>47313</v>
      </c>
    </row>
    <row r="8369" spans="1:24">
      <c r="A8369">
        <f>HYPERLINK("https://www.philgeps.gov.ph/GEPSNONPILOT/Tender/SplashBidNoticeAbstractUI.aspx?menuIndex=3&amp;refID=7188219&amp;Result=3","7188219")</f>
        <v>0</v>
      </c>
      <c r="B8369" t="s">
        <v>1213</v>
      </c>
      <c r="C8369" t="s">
        <v>11736</v>
      </c>
      <c r="D8369" t="s">
        <v>19019</v>
      </c>
      <c r="E8369" t="s">
        <v>26284</v>
      </c>
      <c r="F8369" t="s">
        <v>32606</v>
      </c>
      <c r="G8369" t="s">
        <v>32614</v>
      </c>
      <c r="H8369" t="s">
        <v>14201</v>
      </c>
      <c r="I8369" t="s">
        <v>6931</v>
      </c>
      <c r="J8369" t="s">
        <v>32752</v>
      </c>
      <c r="K8369" t="s">
        <v>42624</v>
      </c>
      <c r="M8369" t="s">
        <v>44178</v>
      </c>
      <c r="N8369" t="s">
        <v>47304</v>
      </c>
      <c r="O8369" t="s">
        <v>47305</v>
      </c>
      <c r="P8369">
        <v>0</v>
      </c>
      <c r="Q8369">
        <v>0</v>
      </c>
      <c r="R8369" t="s">
        <v>47312</v>
      </c>
      <c r="S8369" t="s">
        <v>47489</v>
      </c>
      <c r="T8369" t="s">
        <v>49311</v>
      </c>
      <c r="U8369" t="s">
        <v>52046</v>
      </c>
      <c r="W8369" t="s">
        <v>44178</v>
      </c>
      <c r="X8369" t="s">
        <v>47313</v>
      </c>
    </row>
    <row r="8370" spans="1:24">
      <c r="A8370">
        <f>HYPERLINK("https://www.philgeps.gov.ph/GEPSNONPILOT/Tender/SplashBidNoticeAbstractUI.aspx?menuIndex=3&amp;refID=7188279&amp;Result=3","7188279")</f>
        <v>0</v>
      </c>
      <c r="B8370" t="s">
        <v>187</v>
      </c>
      <c r="C8370" t="s">
        <v>11737</v>
      </c>
      <c r="D8370" t="s">
        <v>19038</v>
      </c>
      <c r="E8370" t="s">
        <v>26285</v>
      </c>
      <c r="F8370" t="s">
        <v>32606</v>
      </c>
      <c r="G8370" t="s">
        <v>32613</v>
      </c>
      <c r="H8370" t="s">
        <v>14201</v>
      </c>
      <c r="I8370" t="s">
        <v>32675</v>
      </c>
      <c r="J8370" t="s">
        <v>37980</v>
      </c>
      <c r="K8370" t="s">
        <v>42622</v>
      </c>
      <c r="M8370" t="s">
        <v>43088</v>
      </c>
      <c r="N8370" t="s">
        <v>47304</v>
      </c>
      <c r="O8370" t="s">
        <v>47305</v>
      </c>
      <c r="P8370">
        <v>0</v>
      </c>
      <c r="Q8370">
        <v>2</v>
      </c>
      <c r="R8370" t="s">
        <v>47312</v>
      </c>
      <c r="S8370" t="s">
        <v>47489</v>
      </c>
      <c r="T8370" t="s">
        <v>48998</v>
      </c>
      <c r="U8370" t="s">
        <v>56477</v>
      </c>
      <c r="W8370" t="s">
        <v>43088</v>
      </c>
      <c r="X8370" t="s">
        <v>47313</v>
      </c>
    </row>
    <row r="8371" spans="1:24">
      <c r="A8371">
        <f>HYPERLINK("https://www.philgeps.gov.ph/GEPSNONPILOT/Tender/SplashBidNoticeAbstractUI.aspx?menuIndex=3&amp;refID=7188296&amp;Result=3","7188296")</f>
        <v>0</v>
      </c>
      <c r="B8371" t="s">
        <v>1497</v>
      </c>
      <c r="C8371" t="s">
        <v>11738</v>
      </c>
      <c r="D8371" t="s">
        <v>19015</v>
      </c>
      <c r="E8371" t="s">
        <v>26286</v>
      </c>
      <c r="F8371" t="s">
        <v>32606</v>
      </c>
      <c r="G8371" t="s">
        <v>32613</v>
      </c>
      <c r="H8371" t="s">
        <v>32624</v>
      </c>
      <c r="I8371" t="s">
        <v>4369</v>
      </c>
      <c r="J8371" t="s">
        <v>32770</v>
      </c>
      <c r="K8371" t="s">
        <v>42631</v>
      </c>
      <c r="M8371" t="s">
        <v>44493</v>
      </c>
      <c r="N8371" t="s">
        <v>47304</v>
      </c>
      <c r="O8371" t="s">
        <v>47305</v>
      </c>
      <c r="P8371">
        <v>0</v>
      </c>
      <c r="Q8371">
        <v>5</v>
      </c>
      <c r="R8371" t="s">
        <v>47312</v>
      </c>
      <c r="S8371" t="s">
        <v>47489</v>
      </c>
      <c r="T8371" t="s">
        <v>49107</v>
      </c>
      <c r="U8371" t="s">
        <v>56478</v>
      </c>
      <c r="V8371" t="s">
        <v>63507</v>
      </c>
      <c r="W8371" t="s">
        <v>44493</v>
      </c>
      <c r="X8371" t="s">
        <v>47313</v>
      </c>
    </row>
    <row r="8372" spans="1:24">
      <c r="A8372">
        <f>HYPERLINK("https://www.philgeps.gov.ph/GEPSNONPILOT/Tender/SplashBidNoticeAbstractUI.aspx?menuIndex=3&amp;refID=7188291&amp;Result=3","7188291")</f>
        <v>0</v>
      </c>
      <c r="B8372" t="s">
        <v>439</v>
      </c>
      <c r="C8372" t="s">
        <v>11739</v>
      </c>
      <c r="D8372" t="s">
        <v>19054</v>
      </c>
      <c r="E8372" t="s">
        <v>26287</v>
      </c>
      <c r="F8372" t="s">
        <v>32606</v>
      </c>
      <c r="G8372" t="s">
        <v>32613</v>
      </c>
      <c r="H8372" t="s">
        <v>14201</v>
      </c>
      <c r="I8372" t="s">
        <v>6298</v>
      </c>
      <c r="J8372" t="s">
        <v>37981</v>
      </c>
      <c r="K8372" t="s">
        <v>42631</v>
      </c>
      <c r="M8372" t="s">
        <v>45807</v>
      </c>
      <c r="N8372" t="s">
        <v>47304</v>
      </c>
      <c r="O8372" t="s">
        <v>47305</v>
      </c>
      <c r="P8372">
        <v>0</v>
      </c>
      <c r="Q8372">
        <v>1</v>
      </c>
      <c r="R8372" t="s">
        <v>47312</v>
      </c>
      <c r="S8372" t="s">
        <v>47489</v>
      </c>
      <c r="T8372" t="s">
        <v>49075</v>
      </c>
      <c r="U8372" t="s">
        <v>56479</v>
      </c>
      <c r="W8372" t="s">
        <v>45807</v>
      </c>
      <c r="X8372" t="s">
        <v>47313</v>
      </c>
    </row>
    <row r="8373" spans="1:24">
      <c r="A8373">
        <f>HYPERLINK("https://www.philgeps.gov.ph/GEPSNONPILOT/Tender/SplashBidNoticeAbstractUI.aspx?menuIndex=3&amp;refID=7188288&amp;Result=3","7188288")</f>
        <v>0</v>
      </c>
      <c r="B8373" t="s">
        <v>187</v>
      </c>
      <c r="C8373" t="s">
        <v>11740</v>
      </c>
      <c r="D8373" t="s">
        <v>19038</v>
      </c>
      <c r="E8373" t="s">
        <v>26288</v>
      </c>
      <c r="F8373" t="s">
        <v>32606</v>
      </c>
      <c r="G8373" t="s">
        <v>32613</v>
      </c>
      <c r="H8373" t="s">
        <v>14201</v>
      </c>
      <c r="I8373" t="s">
        <v>7064</v>
      </c>
      <c r="J8373" t="s">
        <v>37982</v>
      </c>
      <c r="K8373" t="s">
        <v>42624</v>
      </c>
      <c r="M8373" t="s">
        <v>45808</v>
      </c>
      <c r="N8373" t="s">
        <v>47304</v>
      </c>
      <c r="O8373" t="s">
        <v>47305</v>
      </c>
      <c r="P8373">
        <v>0</v>
      </c>
      <c r="Q8373">
        <v>3</v>
      </c>
      <c r="R8373" t="s">
        <v>47312</v>
      </c>
      <c r="S8373" t="s">
        <v>47489</v>
      </c>
      <c r="T8373" t="s">
        <v>49008</v>
      </c>
      <c r="U8373" t="s">
        <v>56480</v>
      </c>
      <c r="W8373" t="s">
        <v>45808</v>
      </c>
      <c r="X8373" t="s">
        <v>47313</v>
      </c>
    </row>
    <row r="8374" spans="1:24">
      <c r="A8374">
        <f>HYPERLINK("https://www.philgeps.gov.ph/GEPSNONPILOT/Tender/SplashBidNoticeAbstractUI.aspx?menuIndex=3&amp;refID=7188281&amp;Result=3","7188281")</f>
        <v>0</v>
      </c>
      <c r="B8374" t="s">
        <v>220</v>
      </c>
      <c r="C8374" t="s">
        <v>11741</v>
      </c>
      <c r="D8374" t="s">
        <v>19046</v>
      </c>
      <c r="E8374" t="s">
        <v>26289</v>
      </c>
      <c r="F8374" t="s">
        <v>32606</v>
      </c>
      <c r="G8374" t="s">
        <v>32613</v>
      </c>
      <c r="H8374" t="s">
        <v>32623</v>
      </c>
      <c r="I8374" t="s">
        <v>17648</v>
      </c>
      <c r="J8374" t="s">
        <v>37983</v>
      </c>
      <c r="K8374" t="s">
        <v>42770</v>
      </c>
      <c r="M8374" t="s">
        <v>43121</v>
      </c>
      <c r="N8374" t="s">
        <v>47304</v>
      </c>
      <c r="O8374" t="s">
        <v>47305</v>
      </c>
      <c r="P8374">
        <v>0</v>
      </c>
      <c r="Q8374">
        <v>0</v>
      </c>
      <c r="R8374" t="s">
        <v>47312</v>
      </c>
      <c r="S8374" t="s">
        <v>47489</v>
      </c>
      <c r="T8374" t="s">
        <v>49050</v>
      </c>
      <c r="U8374" t="s">
        <v>56141</v>
      </c>
      <c r="W8374" t="s">
        <v>43121</v>
      </c>
      <c r="X8374" t="s">
        <v>47313</v>
      </c>
    </row>
    <row r="8375" spans="1:24">
      <c r="A8375">
        <f>HYPERLINK("https://www.philgeps.gov.ph/GEPSNONPILOT/Tender/SplashBidNoticeAbstractUI.aspx?menuIndex=3&amp;refID=7188271&amp;Result=3","7188271")</f>
        <v>0</v>
      </c>
      <c r="B8375" t="s">
        <v>2649</v>
      </c>
      <c r="C8375" t="s">
        <v>11742</v>
      </c>
      <c r="D8375" t="s">
        <v>19038</v>
      </c>
      <c r="E8375" t="s">
        <v>26290</v>
      </c>
      <c r="F8375" t="s">
        <v>32606</v>
      </c>
      <c r="G8375" t="s">
        <v>32613</v>
      </c>
      <c r="H8375" t="s">
        <v>14201</v>
      </c>
      <c r="I8375" t="s">
        <v>6298</v>
      </c>
      <c r="J8375" t="s">
        <v>32923</v>
      </c>
      <c r="K8375" t="s">
        <v>42623</v>
      </c>
      <c r="M8375" t="s">
        <v>45795</v>
      </c>
      <c r="N8375" t="s">
        <v>47304</v>
      </c>
      <c r="O8375" t="s">
        <v>47305</v>
      </c>
      <c r="P8375">
        <v>0</v>
      </c>
      <c r="Q8375">
        <v>4</v>
      </c>
      <c r="R8375" t="s">
        <v>47312</v>
      </c>
      <c r="S8375" t="s">
        <v>47489</v>
      </c>
      <c r="T8375" t="s">
        <v>49080</v>
      </c>
      <c r="U8375" t="s">
        <v>56481</v>
      </c>
      <c r="W8375" t="s">
        <v>45795</v>
      </c>
      <c r="X8375" t="s">
        <v>47313</v>
      </c>
    </row>
    <row r="8376" spans="1:24">
      <c r="A8376">
        <f>HYPERLINK("https://www.philgeps.gov.ph/GEPSNONPILOT/Tender/SplashBidNoticeAbstractUI.aspx?menuIndex=3&amp;refID=7188267&amp;Result=3","7188267")</f>
        <v>0</v>
      </c>
      <c r="B8376" t="s">
        <v>190</v>
      </c>
      <c r="C8376" t="s">
        <v>11743</v>
      </c>
      <c r="D8376" t="s">
        <v>19022</v>
      </c>
      <c r="E8376" t="s">
        <v>26291</v>
      </c>
      <c r="F8376" t="s">
        <v>32606</v>
      </c>
      <c r="G8376" t="s">
        <v>32614</v>
      </c>
      <c r="H8376" t="s">
        <v>14201</v>
      </c>
      <c r="I8376" t="s">
        <v>4112</v>
      </c>
      <c r="J8376" t="s">
        <v>37984</v>
      </c>
      <c r="K8376" t="s">
        <v>42624</v>
      </c>
      <c r="M8376" t="s">
        <v>43091</v>
      </c>
      <c r="N8376" t="s">
        <v>47304</v>
      </c>
      <c r="O8376" t="s">
        <v>47305</v>
      </c>
      <c r="P8376">
        <v>0</v>
      </c>
      <c r="Q8376">
        <v>0</v>
      </c>
      <c r="R8376" t="s">
        <v>47312</v>
      </c>
      <c r="S8376" t="s">
        <v>47489</v>
      </c>
      <c r="T8376" t="s">
        <v>49072</v>
      </c>
      <c r="U8376" t="s">
        <v>56482</v>
      </c>
      <c r="W8376" t="s">
        <v>43091</v>
      </c>
      <c r="X8376" t="s">
        <v>47313</v>
      </c>
    </row>
    <row r="8377" spans="1:24">
      <c r="A8377">
        <f>HYPERLINK("https://www.philgeps.gov.ph/GEPSNONPILOT/Tender/SplashBidNoticeAbstractUI.aspx?menuIndex=3&amp;refID=7188265&amp;Result=3","7188265")</f>
        <v>0</v>
      </c>
      <c r="B8377" t="s">
        <v>2201</v>
      </c>
      <c r="C8377" t="s">
        <v>11744</v>
      </c>
      <c r="D8377" t="s">
        <v>19018</v>
      </c>
      <c r="E8377" t="s">
        <v>26292</v>
      </c>
      <c r="F8377" t="s">
        <v>32606</v>
      </c>
      <c r="G8377" t="s">
        <v>32613</v>
      </c>
      <c r="H8377" t="s">
        <v>14201</v>
      </c>
      <c r="I8377" t="s">
        <v>7233</v>
      </c>
      <c r="J8377" t="s">
        <v>37985</v>
      </c>
      <c r="K8377" t="s">
        <v>42639</v>
      </c>
      <c r="M8377" t="s">
        <v>45305</v>
      </c>
      <c r="N8377" t="s">
        <v>47304</v>
      </c>
      <c r="O8377" t="s">
        <v>47305</v>
      </c>
      <c r="P8377">
        <v>0</v>
      </c>
      <c r="Q8377">
        <v>2</v>
      </c>
      <c r="R8377" t="s">
        <v>47312</v>
      </c>
      <c r="S8377" t="s">
        <v>47489</v>
      </c>
      <c r="T8377" t="s">
        <v>49057</v>
      </c>
      <c r="U8377" t="s">
        <v>56457</v>
      </c>
      <c r="W8377" t="s">
        <v>45305</v>
      </c>
      <c r="X8377" t="s">
        <v>47313</v>
      </c>
    </row>
    <row r="8378" spans="1:24">
      <c r="A8378">
        <f>HYPERLINK("https://www.philgeps.gov.ph/GEPSNONPILOT/Tender/SplashBidNoticeAbstractUI.aspx?menuIndex=3&amp;refID=7188290&amp;Result=3","7188290")</f>
        <v>0</v>
      </c>
      <c r="B8378" t="s">
        <v>2661</v>
      </c>
      <c r="C8378" t="s">
        <v>11745</v>
      </c>
      <c r="D8378" t="s">
        <v>19022</v>
      </c>
      <c r="E8378" t="s">
        <v>26293</v>
      </c>
      <c r="F8378" t="s">
        <v>32606</v>
      </c>
      <c r="G8378" t="s">
        <v>32613</v>
      </c>
      <c r="H8378" t="s">
        <v>32623</v>
      </c>
      <c r="I8378" t="s">
        <v>17648</v>
      </c>
      <c r="J8378" t="s">
        <v>37986</v>
      </c>
      <c r="K8378" t="s">
        <v>42636</v>
      </c>
      <c r="M8378" t="s">
        <v>45809</v>
      </c>
      <c r="N8378" t="s">
        <v>47304</v>
      </c>
      <c r="O8378" t="s">
        <v>47305</v>
      </c>
      <c r="P8378">
        <v>0</v>
      </c>
      <c r="Q8378">
        <v>0</v>
      </c>
      <c r="R8378" t="s">
        <v>47312</v>
      </c>
      <c r="S8378" t="s">
        <v>47489</v>
      </c>
      <c r="T8378" t="s">
        <v>49050</v>
      </c>
      <c r="U8378" t="s">
        <v>56483</v>
      </c>
      <c r="W8378" t="s">
        <v>45809</v>
      </c>
      <c r="X8378" t="s">
        <v>47313</v>
      </c>
    </row>
    <row r="8379" spans="1:24">
      <c r="A8379">
        <f>HYPERLINK("https://www.philgeps.gov.ph/GEPSNONPILOT/Tender/SplashBidNoticeAbstractUI.aspx?menuIndex=3&amp;refID=7188259&amp;Result=3","7188259")</f>
        <v>0</v>
      </c>
      <c r="B8379" t="s">
        <v>2662</v>
      </c>
      <c r="C8379" t="s">
        <v>11746</v>
      </c>
      <c r="D8379" t="s">
        <v>19003</v>
      </c>
      <c r="E8379" t="s">
        <v>26294</v>
      </c>
      <c r="F8379" t="s">
        <v>32606</v>
      </c>
      <c r="G8379" t="s">
        <v>32619</v>
      </c>
      <c r="H8379" t="s">
        <v>14201</v>
      </c>
      <c r="I8379" t="s">
        <v>4120</v>
      </c>
      <c r="J8379" t="s">
        <v>37987</v>
      </c>
      <c r="K8379" t="s">
        <v>42624</v>
      </c>
      <c r="M8379" t="s">
        <v>45810</v>
      </c>
      <c r="N8379" t="s">
        <v>47304</v>
      </c>
      <c r="O8379" t="s">
        <v>47305</v>
      </c>
      <c r="P8379">
        <v>0</v>
      </c>
      <c r="Q8379">
        <v>3</v>
      </c>
      <c r="R8379" t="s">
        <v>47312</v>
      </c>
      <c r="S8379" t="s">
        <v>47489</v>
      </c>
      <c r="T8379" t="s">
        <v>49165</v>
      </c>
      <c r="U8379" t="s">
        <v>56484</v>
      </c>
      <c r="W8379" t="s">
        <v>45810</v>
      </c>
      <c r="X8379" t="s">
        <v>47313</v>
      </c>
    </row>
    <row r="8380" spans="1:24">
      <c r="A8380">
        <f>HYPERLINK("https://www.philgeps.gov.ph/GEPSNONPILOT/Tender/SplashBidNoticeAbstractUI.aspx?menuIndex=3&amp;refID=7188253&amp;Result=3","7188253")</f>
        <v>0</v>
      </c>
      <c r="B8380" t="s">
        <v>187</v>
      </c>
      <c r="C8380" t="s">
        <v>11747</v>
      </c>
      <c r="D8380" t="s">
        <v>19038</v>
      </c>
      <c r="E8380" t="s">
        <v>26295</v>
      </c>
      <c r="F8380" t="s">
        <v>32606</v>
      </c>
      <c r="G8380" t="s">
        <v>32613</v>
      </c>
      <c r="H8380" t="s">
        <v>14201</v>
      </c>
      <c r="I8380" t="s">
        <v>6931</v>
      </c>
      <c r="J8380" t="s">
        <v>37988</v>
      </c>
      <c r="K8380" t="s">
        <v>42622</v>
      </c>
      <c r="M8380" t="s">
        <v>43088</v>
      </c>
      <c r="N8380" t="s">
        <v>47304</v>
      </c>
      <c r="O8380" t="s">
        <v>47305</v>
      </c>
      <c r="P8380">
        <v>0</v>
      </c>
      <c r="Q8380">
        <v>0</v>
      </c>
      <c r="R8380" t="s">
        <v>47312</v>
      </c>
      <c r="S8380" t="s">
        <v>47489</v>
      </c>
      <c r="T8380" t="s">
        <v>48998</v>
      </c>
      <c r="U8380" t="s">
        <v>56485</v>
      </c>
      <c r="W8380" t="s">
        <v>43088</v>
      </c>
      <c r="X8380" t="s">
        <v>47313</v>
      </c>
    </row>
    <row r="8381" spans="1:24">
      <c r="A8381">
        <f>HYPERLINK("https://www.philgeps.gov.ph/GEPSNONPILOT/Tender/SplashBidNoticeAbstractUI.aspx?menuIndex=3&amp;refID=7188272&amp;Result=3","7188272")</f>
        <v>0</v>
      </c>
      <c r="B8381" t="s">
        <v>439</v>
      </c>
      <c r="C8381" t="s">
        <v>11748</v>
      </c>
      <c r="D8381" t="s">
        <v>19054</v>
      </c>
      <c r="E8381" t="s">
        <v>26296</v>
      </c>
      <c r="F8381" t="s">
        <v>32606</v>
      </c>
      <c r="G8381" t="s">
        <v>32613</v>
      </c>
      <c r="H8381" t="s">
        <v>14201</v>
      </c>
      <c r="I8381" t="s">
        <v>4678</v>
      </c>
      <c r="J8381" t="s">
        <v>37989</v>
      </c>
      <c r="K8381" t="s">
        <v>42631</v>
      </c>
      <c r="M8381" t="s">
        <v>45807</v>
      </c>
      <c r="N8381" t="s">
        <v>47304</v>
      </c>
      <c r="O8381" t="s">
        <v>47305</v>
      </c>
      <c r="P8381">
        <v>0</v>
      </c>
      <c r="Q8381">
        <v>4</v>
      </c>
      <c r="R8381" t="s">
        <v>47312</v>
      </c>
      <c r="S8381" t="s">
        <v>47489</v>
      </c>
      <c r="T8381" t="s">
        <v>49075</v>
      </c>
      <c r="U8381" t="s">
        <v>56486</v>
      </c>
      <c r="W8381" t="s">
        <v>45807</v>
      </c>
      <c r="X8381" t="s">
        <v>47313</v>
      </c>
    </row>
    <row r="8382" spans="1:24">
      <c r="A8382">
        <f>HYPERLINK("https://www.philgeps.gov.ph/GEPSNONPILOT/Tender/SplashBidNoticeAbstractUI.aspx?menuIndex=3&amp;refID=7188251&amp;Result=3","7188251")</f>
        <v>0</v>
      </c>
      <c r="B8382" t="s">
        <v>2317</v>
      </c>
      <c r="C8382" t="s">
        <v>11749</v>
      </c>
      <c r="D8382" t="s">
        <v>19043</v>
      </c>
      <c r="E8382" t="s">
        <v>26297</v>
      </c>
      <c r="F8382" t="s">
        <v>32606</v>
      </c>
      <c r="G8382" t="s">
        <v>32613</v>
      </c>
      <c r="H8382" t="s">
        <v>14201</v>
      </c>
      <c r="I8382" t="s">
        <v>7064</v>
      </c>
      <c r="J8382" t="s">
        <v>35086</v>
      </c>
      <c r="K8382" t="s">
        <v>42624</v>
      </c>
      <c r="M8382" t="s">
        <v>45425</v>
      </c>
      <c r="N8382" t="s">
        <v>47304</v>
      </c>
      <c r="O8382" t="s">
        <v>47305</v>
      </c>
      <c r="P8382">
        <v>0</v>
      </c>
      <c r="Q8382">
        <v>1</v>
      </c>
      <c r="R8382" t="s">
        <v>47312</v>
      </c>
      <c r="S8382" t="s">
        <v>47489</v>
      </c>
      <c r="T8382" t="s">
        <v>49081</v>
      </c>
      <c r="U8382" t="s">
        <v>56487</v>
      </c>
      <c r="W8382" t="s">
        <v>45425</v>
      </c>
      <c r="X8382" t="s">
        <v>47313</v>
      </c>
    </row>
    <row r="8383" spans="1:24">
      <c r="A8383">
        <f>HYPERLINK("https://www.philgeps.gov.ph/GEPSNONPILOT/Tender/SplashBidNoticeAbstractUI.aspx?menuIndex=3&amp;refID=7188266&amp;Result=3","7188266")</f>
        <v>0</v>
      </c>
      <c r="B8383" t="s">
        <v>187</v>
      </c>
      <c r="C8383" t="s">
        <v>11750</v>
      </c>
      <c r="D8383" t="s">
        <v>19038</v>
      </c>
      <c r="E8383" t="s">
        <v>26298</v>
      </c>
      <c r="F8383" t="s">
        <v>32606</v>
      </c>
      <c r="G8383" t="s">
        <v>32613</v>
      </c>
      <c r="H8383" t="s">
        <v>14201</v>
      </c>
      <c r="I8383" t="s">
        <v>7064</v>
      </c>
      <c r="J8383" t="s">
        <v>37990</v>
      </c>
      <c r="K8383" t="s">
        <v>42624</v>
      </c>
      <c r="M8383" t="s">
        <v>45808</v>
      </c>
      <c r="N8383" t="s">
        <v>47304</v>
      </c>
      <c r="O8383" t="s">
        <v>47305</v>
      </c>
      <c r="P8383">
        <v>0</v>
      </c>
      <c r="Q8383">
        <v>3</v>
      </c>
      <c r="R8383" t="s">
        <v>47312</v>
      </c>
      <c r="S8383" t="s">
        <v>47489</v>
      </c>
      <c r="T8383" t="s">
        <v>49008</v>
      </c>
      <c r="U8383" t="s">
        <v>56488</v>
      </c>
      <c r="W8383" t="s">
        <v>45808</v>
      </c>
      <c r="X8383" t="s">
        <v>47313</v>
      </c>
    </row>
    <row r="8384" spans="1:24">
      <c r="A8384">
        <f>HYPERLINK("https://www.philgeps.gov.ph/GEPSNONPILOT/Tender/SplashBidNoticeAbstractUI.aspx?menuIndex=3&amp;refID=7187955&amp;Result=3","7187955")</f>
        <v>0</v>
      </c>
      <c r="B8384" t="s">
        <v>2505</v>
      </c>
      <c r="C8384" t="s">
        <v>11751</v>
      </c>
      <c r="D8384" t="s">
        <v>19007</v>
      </c>
      <c r="E8384" t="s">
        <v>25893</v>
      </c>
      <c r="F8384" t="s">
        <v>32606</v>
      </c>
      <c r="G8384" t="s">
        <v>32613</v>
      </c>
      <c r="H8384" t="s">
        <v>32623</v>
      </c>
      <c r="I8384" t="s">
        <v>17648</v>
      </c>
      <c r="J8384" t="s">
        <v>32772</v>
      </c>
      <c r="K8384" t="s">
        <v>42817</v>
      </c>
      <c r="M8384" t="s">
        <v>45644</v>
      </c>
      <c r="N8384" t="s">
        <v>47304</v>
      </c>
      <c r="O8384" t="s">
        <v>47305</v>
      </c>
      <c r="P8384">
        <v>0</v>
      </c>
      <c r="Q8384">
        <v>0</v>
      </c>
      <c r="R8384" t="s">
        <v>47312</v>
      </c>
      <c r="S8384" t="s">
        <v>47489</v>
      </c>
      <c r="T8384" t="s">
        <v>49077</v>
      </c>
      <c r="U8384" t="s">
        <v>56075</v>
      </c>
      <c r="V8384" t="s">
        <v>63508</v>
      </c>
      <c r="W8384" t="s">
        <v>45644</v>
      </c>
      <c r="X8384" t="s">
        <v>47313</v>
      </c>
    </row>
    <row r="8385" spans="1:24">
      <c r="A8385">
        <f>HYPERLINK("https://www.philgeps.gov.ph/GEPSNONPILOT/Tender/SplashBidNoticeAbstractUI.aspx?menuIndex=3&amp;refID=7187954&amp;Result=3","7187954")</f>
        <v>0</v>
      </c>
      <c r="B8385" t="s">
        <v>959</v>
      </c>
      <c r="C8385" t="s">
        <v>11752</v>
      </c>
      <c r="D8385" t="s">
        <v>19038</v>
      </c>
      <c r="E8385" t="s">
        <v>26299</v>
      </c>
      <c r="F8385" t="s">
        <v>32606</v>
      </c>
      <c r="G8385" t="s">
        <v>32613</v>
      </c>
      <c r="H8385" t="s">
        <v>14201</v>
      </c>
      <c r="I8385" t="s">
        <v>7064</v>
      </c>
      <c r="J8385" t="s">
        <v>37991</v>
      </c>
      <c r="K8385" t="s">
        <v>42636</v>
      </c>
      <c r="M8385" t="s">
        <v>43904</v>
      </c>
      <c r="N8385" t="s">
        <v>47304</v>
      </c>
      <c r="O8385" t="s">
        <v>47305</v>
      </c>
      <c r="P8385">
        <v>0</v>
      </c>
      <c r="Q8385">
        <v>3</v>
      </c>
      <c r="R8385" t="s">
        <v>47312</v>
      </c>
      <c r="S8385" t="s">
        <v>47489</v>
      </c>
      <c r="T8385" t="s">
        <v>49157</v>
      </c>
      <c r="U8385" t="s">
        <v>56489</v>
      </c>
      <c r="W8385" t="s">
        <v>43904</v>
      </c>
      <c r="X8385" t="s">
        <v>47313</v>
      </c>
    </row>
    <row r="8386" spans="1:24">
      <c r="A8386">
        <f>HYPERLINK("https://www.philgeps.gov.ph/GEPSNONPILOT/Tender/SplashBidNoticeAbstractUI.aspx?menuIndex=3&amp;refID=7188257&amp;Result=3","7188257")</f>
        <v>0</v>
      </c>
      <c r="B8386" t="s">
        <v>2663</v>
      </c>
      <c r="C8386" t="s">
        <v>11753</v>
      </c>
      <c r="D8386" t="s">
        <v>19007</v>
      </c>
      <c r="E8386" t="s">
        <v>19337</v>
      </c>
      <c r="F8386" t="s">
        <v>32606</v>
      </c>
      <c r="G8386" t="s">
        <v>32613</v>
      </c>
      <c r="H8386" t="s">
        <v>32623</v>
      </c>
      <c r="I8386" t="s">
        <v>17648</v>
      </c>
      <c r="J8386" t="s">
        <v>37992</v>
      </c>
      <c r="K8386" t="s">
        <v>42631</v>
      </c>
      <c r="M8386" t="s">
        <v>45811</v>
      </c>
      <c r="N8386" t="s">
        <v>47304</v>
      </c>
      <c r="O8386" t="s">
        <v>47305</v>
      </c>
      <c r="P8386">
        <v>0</v>
      </c>
      <c r="Q8386">
        <v>0</v>
      </c>
      <c r="R8386" t="s">
        <v>47312</v>
      </c>
      <c r="S8386" t="s">
        <v>47489</v>
      </c>
      <c r="T8386" t="s">
        <v>49257</v>
      </c>
      <c r="U8386" t="s">
        <v>56490</v>
      </c>
      <c r="W8386" t="s">
        <v>45811</v>
      </c>
      <c r="X8386" t="s">
        <v>47313</v>
      </c>
    </row>
    <row r="8387" spans="1:24">
      <c r="A8387">
        <f>HYPERLINK("https://www.philgeps.gov.ph/GEPSNONPILOT/Tender/SplashBidNoticeAbstractUI.aspx?menuIndex=3&amp;refID=7188298&amp;Result=3","7188298")</f>
        <v>0</v>
      </c>
      <c r="B8387" t="s">
        <v>2664</v>
      </c>
      <c r="C8387" t="s">
        <v>10096</v>
      </c>
      <c r="D8387" t="s">
        <v>19007</v>
      </c>
      <c r="E8387" t="s">
        <v>20519</v>
      </c>
      <c r="F8387" t="s">
        <v>32606</v>
      </c>
      <c r="G8387" t="s">
        <v>32613</v>
      </c>
      <c r="H8387" t="s">
        <v>32623</v>
      </c>
      <c r="I8387" t="s">
        <v>17648</v>
      </c>
      <c r="J8387" t="s">
        <v>37993</v>
      </c>
      <c r="K8387" t="s">
        <v>42631</v>
      </c>
      <c r="M8387" t="s">
        <v>45812</v>
      </c>
      <c r="N8387" t="s">
        <v>47304</v>
      </c>
      <c r="O8387" t="s">
        <v>47305</v>
      </c>
      <c r="P8387">
        <v>0</v>
      </c>
      <c r="Q8387">
        <v>0</v>
      </c>
      <c r="R8387" t="s">
        <v>47312</v>
      </c>
      <c r="S8387" t="s">
        <v>47489</v>
      </c>
      <c r="T8387" t="s">
        <v>49257</v>
      </c>
      <c r="U8387" t="s">
        <v>56491</v>
      </c>
      <c r="W8387" t="s">
        <v>45812</v>
      </c>
      <c r="X8387" t="s">
        <v>47313</v>
      </c>
    </row>
    <row r="8388" spans="1:24">
      <c r="A8388">
        <f>HYPERLINK("https://www.philgeps.gov.ph/GEPSNONPILOT/Tender/SplashBidNoticeAbstractUI.aspx?menuIndex=3&amp;refID=7187915&amp;Result=3","7187915")</f>
        <v>0</v>
      </c>
      <c r="B8388" t="s">
        <v>2078</v>
      </c>
      <c r="C8388" t="s">
        <v>11754</v>
      </c>
      <c r="D8388" t="s">
        <v>19049</v>
      </c>
      <c r="E8388" t="s">
        <v>26300</v>
      </c>
      <c r="F8388" t="s">
        <v>32606</v>
      </c>
      <c r="G8388" t="s">
        <v>32614</v>
      </c>
      <c r="H8388" t="s">
        <v>32623</v>
      </c>
      <c r="I8388" t="s">
        <v>17648</v>
      </c>
      <c r="J8388" t="s">
        <v>37994</v>
      </c>
      <c r="K8388" t="s">
        <v>42677</v>
      </c>
      <c r="M8388" t="s">
        <v>45159</v>
      </c>
      <c r="N8388" t="s">
        <v>47304</v>
      </c>
      <c r="O8388" t="s">
        <v>47305</v>
      </c>
      <c r="P8388">
        <v>0</v>
      </c>
      <c r="Q8388">
        <v>0</v>
      </c>
      <c r="R8388" t="s">
        <v>47312</v>
      </c>
      <c r="S8388" t="s">
        <v>47489</v>
      </c>
      <c r="T8388" t="s">
        <v>49068</v>
      </c>
      <c r="U8388" t="s">
        <v>56492</v>
      </c>
      <c r="W8388" t="s">
        <v>45159</v>
      </c>
      <c r="X8388" t="s">
        <v>47313</v>
      </c>
    </row>
    <row r="8389" spans="1:24">
      <c r="A8389">
        <f>HYPERLINK("https://www.philgeps.gov.ph/GEPSNONPILOT/Tender/SplashBidNoticeAbstractUI.aspx?menuIndex=3&amp;refID=7188275&amp;Result=3","7188275")</f>
        <v>0</v>
      </c>
      <c r="B8389" t="s">
        <v>689</v>
      </c>
      <c r="C8389" t="s">
        <v>11755</v>
      </c>
      <c r="D8389" t="s">
        <v>19004</v>
      </c>
      <c r="E8389" t="s">
        <v>26301</v>
      </c>
      <c r="F8389" t="s">
        <v>32606</v>
      </c>
      <c r="G8389" t="s">
        <v>32619</v>
      </c>
      <c r="H8389" t="s">
        <v>14201</v>
      </c>
      <c r="I8389" t="s">
        <v>32633</v>
      </c>
      <c r="J8389" t="s">
        <v>32759</v>
      </c>
      <c r="K8389" t="s">
        <v>42624</v>
      </c>
      <c r="M8389" t="s">
        <v>43610</v>
      </c>
      <c r="N8389" t="s">
        <v>47304</v>
      </c>
      <c r="O8389" t="s">
        <v>47305</v>
      </c>
      <c r="P8389">
        <v>0</v>
      </c>
      <c r="Q8389">
        <v>11</v>
      </c>
      <c r="R8389" t="s">
        <v>47312</v>
      </c>
      <c r="S8389" t="s">
        <v>47489</v>
      </c>
      <c r="T8389" t="s">
        <v>49267</v>
      </c>
      <c r="U8389" t="s">
        <v>56493</v>
      </c>
      <c r="W8389" t="s">
        <v>43610</v>
      </c>
      <c r="X8389" t="s">
        <v>47313</v>
      </c>
    </row>
    <row r="8390" spans="1:24">
      <c r="A8390">
        <f>HYPERLINK("https://www.philgeps.gov.ph/GEPSNONPILOT/Tender/SplashBidNoticeAbstractUI.aspx?menuIndex=3&amp;refID=7188341&amp;Result=3","7188341")</f>
        <v>0</v>
      </c>
      <c r="B8390" t="s">
        <v>2462</v>
      </c>
      <c r="C8390" t="s">
        <v>11756</v>
      </c>
      <c r="D8390" t="s">
        <v>18999</v>
      </c>
      <c r="E8390" t="s">
        <v>26171</v>
      </c>
      <c r="F8390" t="s">
        <v>32606</v>
      </c>
      <c r="G8390" t="s">
        <v>32613</v>
      </c>
      <c r="H8390" t="s">
        <v>32623</v>
      </c>
      <c r="I8390" t="s">
        <v>17648</v>
      </c>
      <c r="J8390" t="s">
        <v>34667</v>
      </c>
      <c r="K8390" t="s">
        <v>42639</v>
      </c>
      <c r="M8390" t="s">
        <v>45594</v>
      </c>
      <c r="N8390" t="s">
        <v>47304</v>
      </c>
      <c r="O8390" t="s">
        <v>47305</v>
      </c>
      <c r="P8390">
        <v>0</v>
      </c>
      <c r="Q8390">
        <v>23</v>
      </c>
      <c r="R8390" t="s">
        <v>47312</v>
      </c>
      <c r="S8390" t="s">
        <v>47489</v>
      </c>
      <c r="T8390" t="s">
        <v>49047</v>
      </c>
      <c r="U8390" t="s">
        <v>56494</v>
      </c>
      <c r="V8390" t="s">
        <v>63372</v>
      </c>
      <c r="W8390" t="s">
        <v>45594</v>
      </c>
      <c r="X8390" t="s">
        <v>47313</v>
      </c>
    </row>
    <row r="8391" spans="1:24">
      <c r="A8391">
        <f>HYPERLINK("https://www.philgeps.gov.ph/GEPSNONPILOT/Tender/SplashBidNoticeAbstractUI.aspx?menuIndex=3&amp;refID=7188258&amp;Result=3","7188258")</f>
        <v>0</v>
      </c>
      <c r="B8391" t="s">
        <v>2472</v>
      </c>
      <c r="C8391" t="s">
        <v>11757</v>
      </c>
      <c r="D8391" t="s">
        <v>18994</v>
      </c>
      <c r="E8391" t="s">
        <v>26302</v>
      </c>
      <c r="F8391" t="s">
        <v>32606</v>
      </c>
      <c r="G8391" t="s">
        <v>32614</v>
      </c>
      <c r="H8391" t="s">
        <v>14201</v>
      </c>
      <c r="I8391" t="s">
        <v>32638</v>
      </c>
      <c r="J8391" t="s">
        <v>32949</v>
      </c>
      <c r="K8391" t="s">
        <v>42622</v>
      </c>
      <c r="M8391" t="s">
        <v>45813</v>
      </c>
      <c r="N8391" t="s">
        <v>47304</v>
      </c>
      <c r="O8391" t="s">
        <v>47305</v>
      </c>
      <c r="P8391">
        <v>0</v>
      </c>
      <c r="Q8391">
        <v>4</v>
      </c>
      <c r="R8391" t="s">
        <v>47312</v>
      </c>
      <c r="S8391" t="s">
        <v>47489</v>
      </c>
      <c r="T8391" t="s">
        <v>49327</v>
      </c>
      <c r="U8391" t="s">
        <v>56495</v>
      </c>
      <c r="W8391" t="s">
        <v>45813</v>
      </c>
      <c r="X8391" t="s">
        <v>47313</v>
      </c>
    </row>
    <row r="8392" spans="1:24">
      <c r="A8392">
        <f>HYPERLINK("https://www.philgeps.gov.ph/GEPSNONPILOT/Tender/SplashBidNoticeAbstractUI.aspx?menuIndex=3&amp;refID=7188340&amp;Result=3","7188340")</f>
        <v>0</v>
      </c>
      <c r="B8392" t="s">
        <v>2629</v>
      </c>
      <c r="C8392" t="s">
        <v>11758</v>
      </c>
      <c r="D8392" t="s">
        <v>19043</v>
      </c>
      <c r="E8392" t="s">
        <v>26303</v>
      </c>
      <c r="F8392" t="s">
        <v>32606</v>
      </c>
      <c r="G8392" t="s">
        <v>32614</v>
      </c>
      <c r="H8392" t="s">
        <v>14201</v>
      </c>
      <c r="I8392" t="s">
        <v>32650</v>
      </c>
      <c r="J8392" t="s">
        <v>32813</v>
      </c>
      <c r="K8392" t="s">
        <v>42624</v>
      </c>
      <c r="M8392" t="s">
        <v>45773</v>
      </c>
      <c r="N8392" t="s">
        <v>47304</v>
      </c>
      <c r="O8392" t="s">
        <v>47305</v>
      </c>
      <c r="P8392">
        <v>0</v>
      </c>
      <c r="Q8392">
        <v>1</v>
      </c>
      <c r="R8392" t="s">
        <v>47312</v>
      </c>
      <c r="S8392" t="s">
        <v>47489</v>
      </c>
      <c r="T8392" t="s">
        <v>48998</v>
      </c>
      <c r="U8392" t="s">
        <v>56496</v>
      </c>
      <c r="W8392" t="s">
        <v>45773</v>
      </c>
      <c r="X8392" t="s">
        <v>47313</v>
      </c>
    </row>
    <row r="8393" spans="1:24">
      <c r="A8393">
        <f>HYPERLINK("https://www.philgeps.gov.ph/GEPSNONPILOT/Tender/SplashBidNoticeAbstractUI.aspx?menuIndex=3&amp;refID=7187916&amp;Result=3","7187916")</f>
        <v>0</v>
      </c>
      <c r="B8393" t="s">
        <v>2505</v>
      </c>
      <c r="C8393" t="s">
        <v>11759</v>
      </c>
      <c r="D8393" t="s">
        <v>19007</v>
      </c>
      <c r="E8393" t="s">
        <v>25893</v>
      </c>
      <c r="F8393" t="s">
        <v>32606</v>
      </c>
      <c r="G8393" t="s">
        <v>32613</v>
      </c>
      <c r="H8393" t="s">
        <v>32623</v>
      </c>
      <c r="I8393" t="s">
        <v>17648</v>
      </c>
      <c r="J8393" t="s">
        <v>37995</v>
      </c>
      <c r="K8393" t="s">
        <v>42639</v>
      </c>
      <c r="M8393" t="s">
        <v>45644</v>
      </c>
      <c r="N8393" t="s">
        <v>47304</v>
      </c>
      <c r="O8393" t="s">
        <v>47305</v>
      </c>
      <c r="P8393">
        <v>0</v>
      </c>
      <c r="Q8393">
        <v>1</v>
      </c>
      <c r="R8393" t="s">
        <v>47312</v>
      </c>
      <c r="S8393" t="s">
        <v>47489</v>
      </c>
      <c r="T8393" t="s">
        <v>49077</v>
      </c>
      <c r="U8393" t="s">
        <v>56075</v>
      </c>
      <c r="V8393" t="s">
        <v>63509</v>
      </c>
      <c r="W8393" t="s">
        <v>45644</v>
      </c>
      <c r="X8393" t="s">
        <v>47313</v>
      </c>
    </row>
    <row r="8394" spans="1:24">
      <c r="A8394">
        <f>HYPERLINK("https://www.philgeps.gov.ph/GEPSNONPILOT/Tender/SplashBidNoticeAbstractUI.aspx?menuIndex=3&amp;refID=7188022&amp;Result=3","7188022")</f>
        <v>0</v>
      </c>
      <c r="B8394" t="s">
        <v>2559</v>
      </c>
      <c r="C8394" t="s">
        <v>11760</v>
      </c>
      <c r="D8394" t="s">
        <v>19039</v>
      </c>
      <c r="E8394" t="s">
        <v>26304</v>
      </c>
      <c r="F8394" t="s">
        <v>32606</v>
      </c>
      <c r="G8394" t="s">
        <v>32613</v>
      </c>
      <c r="H8394" t="s">
        <v>14201</v>
      </c>
      <c r="I8394" t="s">
        <v>4115</v>
      </c>
      <c r="J8394" t="s">
        <v>33147</v>
      </c>
      <c r="K8394" t="s">
        <v>42631</v>
      </c>
      <c r="M8394" t="s">
        <v>45699</v>
      </c>
      <c r="N8394" t="s">
        <v>47304</v>
      </c>
      <c r="O8394" t="s">
        <v>47305</v>
      </c>
      <c r="P8394">
        <v>0</v>
      </c>
      <c r="Q8394">
        <v>1</v>
      </c>
      <c r="R8394" t="s">
        <v>47312</v>
      </c>
      <c r="S8394" t="s">
        <v>47489</v>
      </c>
      <c r="T8394" t="s">
        <v>49320</v>
      </c>
      <c r="U8394" t="s">
        <v>56210</v>
      </c>
      <c r="V8394" t="s">
        <v>63438</v>
      </c>
      <c r="W8394" t="s">
        <v>45699</v>
      </c>
      <c r="X8394" t="s">
        <v>47313</v>
      </c>
    </row>
    <row r="8395" spans="1:24">
      <c r="A8395">
        <f>HYPERLINK("https://www.philgeps.gov.ph/GEPSNONPILOT/Tender/SplashBidNoticeAbstractUI.aspx?menuIndex=3&amp;refID=7188336&amp;Result=3","7188336")</f>
        <v>0</v>
      </c>
      <c r="B8395" t="s">
        <v>2505</v>
      </c>
      <c r="C8395" t="s">
        <v>11761</v>
      </c>
      <c r="D8395" t="s">
        <v>19007</v>
      </c>
      <c r="E8395" t="s">
        <v>25893</v>
      </c>
      <c r="F8395" t="s">
        <v>32606</v>
      </c>
      <c r="G8395" t="s">
        <v>32613</v>
      </c>
      <c r="H8395" t="s">
        <v>32623</v>
      </c>
      <c r="I8395" t="s">
        <v>17648</v>
      </c>
      <c r="J8395" t="s">
        <v>37996</v>
      </c>
      <c r="K8395" t="s">
        <v>42683</v>
      </c>
      <c r="M8395" t="s">
        <v>45644</v>
      </c>
      <c r="N8395" t="s">
        <v>47304</v>
      </c>
      <c r="O8395" t="s">
        <v>47305</v>
      </c>
      <c r="P8395">
        <v>0</v>
      </c>
      <c r="Q8395">
        <v>3</v>
      </c>
      <c r="R8395" t="s">
        <v>47312</v>
      </c>
      <c r="S8395" t="s">
        <v>47489</v>
      </c>
      <c r="T8395" t="s">
        <v>49077</v>
      </c>
      <c r="U8395" t="s">
        <v>56075</v>
      </c>
      <c r="V8395" t="s">
        <v>63510</v>
      </c>
      <c r="W8395" t="s">
        <v>45644</v>
      </c>
      <c r="X8395" t="s">
        <v>47313</v>
      </c>
    </row>
    <row r="8396" spans="1:24">
      <c r="A8396">
        <f>HYPERLINK("https://www.philgeps.gov.ph/GEPSNONPILOT/Tender/SplashBidNoticeAbstractUI.aspx?menuIndex=3&amp;refID=7187914&amp;Result=3","7187914")</f>
        <v>0</v>
      </c>
      <c r="B8396" t="s">
        <v>2299</v>
      </c>
      <c r="C8396" t="s">
        <v>11762</v>
      </c>
      <c r="D8396" t="s">
        <v>19011</v>
      </c>
      <c r="E8396" t="s">
        <v>26305</v>
      </c>
      <c r="F8396" t="s">
        <v>32606</v>
      </c>
      <c r="G8396" t="s">
        <v>32614</v>
      </c>
      <c r="H8396" t="s">
        <v>14201</v>
      </c>
      <c r="I8396" t="s">
        <v>32640</v>
      </c>
      <c r="J8396" t="s">
        <v>35689</v>
      </c>
      <c r="K8396" t="s">
        <v>42630</v>
      </c>
      <c r="M8396" t="s">
        <v>45405</v>
      </c>
      <c r="N8396" t="s">
        <v>47304</v>
      </c>
      <c r="O8396" t="s">
        <v>47305</v>
      </c>
      <c r="P8396">
        <v>0</v>
      </c>
      <c r="Q8396">
        <v>3</v>
      </c>
      <c r="R8396" t="s">
        <v>47312</v>
      </c>
      <c r="S8396" t="s">
        <v>47489</v>
      </c>
      <c r="T8396" t="s">
        <v>49071</v>
      </c>
      <c r="U8396" t="s">
        <v>56497</v>
      </c>
      <c r="W8396" t="s">
        <v>45405</v>
      </c>
      <c r="X8396" t="s">
        <v>47313</v>
      </c>
    </row>
    <row r="8397" spans="1:24">
      <c r="A8397">
        <f>HYPERLINK("https://www.philgeps.gov.ph/GEPSNONPILOT/Tender/SplashBidNoticeAbstractUI.aspx?menuIndex=3&amp;refID=7188334&amp;Result=3","7188334")</f>
        <v>0</v>
      </c>
      <c r="B8397" t="s">
        <v>844</v>
      </c>
      <c r="C8397" t="s">
        <v>11763</v>
      </c>
      <c r="D8397" t="s">
        <v>19056</v>
      </c>
      <c r="E8397" t="s">
        <v>26306</v>
      </c>
      <c r="F8397" t="s">
        <v>32606</v>
      </c>
      <c r="G8397" t="s">
        <v>32614</v>
      </c>
      <c r="H8397" t="s">
        <v>14201</v>
      </c>
      <c r="I8397" t="s">
        <v>4678</v>
      </c>
      <c r="J8397" t="s">
        <v>34669</v>
      </c>
      <c r="K8397" t="s">
        <v>42624</v>
      </c>
      <c r="L8397" t="s">
        <v>844</v>
      </c>
      <c r="M8397" t="s">
        <v>43776</v>
      </c>
      <c r="N8397" t="s">
        <v>47304</v>
      </c>
      <c r="O8397" t="s">
        <v>47305</v>
      </c>
      <c r="P8397">
        <v>0</v>
      </c>
      <c r="Q8397">
        <v>2</v>
      </c>
      <c r="R8397" t="s">
        <v>47312</v>
      </c>
      <c r="S8397" t="s">
        <v>47489</v>
      </c>
      <c r="T8397" t="s">
        <v>49071</v>
      </c>
      <c r="U8397" t="s">
        <v>51130</v>
      </c>
      <c r="W8397" t="s">
        <v>43776</v>
      </c>
      <c r="X8397" t="s">
        <v>47313</v>
      </c>
    </row>
    <row r="8398" spans="1:24">
      <c r="A8398">
        <f>HYPERLINK("https://www.philgeps.gov.ph/GEPSNONPILOT/Tender/SplashBidNoticeAbstractUI.aspx?menuIndex=3&amp;refID=7188330&amp;Result=3","7188330")</f>
        <v>0</v>
      </c>
      <c r="B8398" t="s">
        <v>2333</v>
      </c>
      <c r="C8398" t="s">
        <v>11764</v>
      </c>
      <c r="D8398" t="s">
        <v>19016</v>
      </c>
      <c r="E8398" t="s">
        <v>26307</v>
      </c>
      <c r="F8398" t="s">
        <v>32606</v>
      </c>
      <c r="G8398" t="s">
        <v>32614</v>
      </c>
      <c r="H8398" t="s">
        <v>32623</v>
      </c>
      <c r="I8398" t="s">
        <v>17648</v>
      </c>
      <c r="J8398" t="s">
        <v>37997</v>
      </c>
      <c r="K8398" t="s">
        <v>42624</v>
      </c>
      <c r="M8398" t="s">
        <v>45443</v>
      </c>
      <c r="N8398" t="s">
        <v>47304</v>
      </c>
      <c r="O8398" t="s">
        <v>47305</v>
      </c>
      <c r="P8398">
        <v>0</v>
      </c>
      <c r="Q8398">
        <v>2</v>
      </c>
      <c r="R8398" t="s">
        <v>47312</v>
      </c>
      <c r="S8398" t="s">
        <v>47489</v>
      </c>
      <c r="T8398" t="s">
        <v>49330</v>
      </c>
      <c r="U8398" t="s">
        <v>55416</v>
      </c>
      <c r="V8398" t="s">
        <v>63331</v>
      </c>
      <c r="W8398" t="s">
        <v>45443</v>
      </c>
      <c r="X8398" t="s">
        <v>47313</v>
      </c>
    </row>
    <row r="8399" spans="1:24">
      <c r="A8399">
        <f>HYPERLINK("https://www.philgeps.gov.ph/GEPSNONPILOT/Tender/SplashBidNoticeAbstractUI.aspx?menuIndex=3&amp;refID=7188326&amp;Result=3","7188326")</f>
        <v>0</v>
      </c>
      <c r="B8399" t="s">
        <v>2119</v>
      </c>
      <c r="C8399" t="s">
        <v>11765</v>
      </c>
      <c r="D8399" t="s">
        <v>18993</v>
      </c>
      <c r="E8399" t="s">
        <v>26308</v>
      </c>
      <c r="F8399" t="s">
        <v>32607</v>
      </c>
      <c r="G8399" t="s">
        <v>32613</v>
      </c>
      <c r="H8399" t="s">
        <v>14201</v>
      </c>
      <c r="I8399" t="s">
        <v>32721</v>
      </c>
      <c r="J8399" t="s">
        <v>33529</v>
      </c>
      <c r="K8399" t="s">
        <v>42631</v>
      </c>
      <c r="M8399" t="s">
        <v>45206</v>
      </c>
      <c r="N8399" t="s">
        <v>47304</v>
      </c>
      <c r="O8399" t="s">
        <v>47305</v>
      </c>
      <c r="P8399">
        <v>0</v>
      </c>
      <c r="Q8399">
        <v>4</v>
      </c>
      <c r="R8399" t="s">
        <v>47312</v>
      </c>
      <c r="S8399" t="s">
        <v>47489</v>
      </c>
      <c r="T8399" t="s">
        <v>48992</v>
      </c>
      <c r="U8399" t="s">
        <v>56498</v>
      </c>
      <c r="V8399" t="s">
        <v>63251</v>
      </c>
      <c r="W8399" t="s">
        <v>45206</v>
      </c>
      <c r="X8399" t="s">
        <v>47313</v>
      </c>
    </row>
    <row r="8400" spans="1:24">
      <c r="A8400">
        <f>HYPERLINK("https://www.philgeps.gov.ph/GEPSNONPILOT/Tender/SplashBidNoticeAbstractUI.aspx?menuIndex=3&amp;refID=7188325&amp;Result=3","7188325")</f>
        <v>0</v>
      </c>
      <c r="B8400" t="s">
        <v>2505</v>
      </c>
      <c r="C8400" t="s">
        <v>11766</v>
      </c>
      <c r="D8400" t="s">
        <v>19007</v>
      </c>
      <c r="E8400" t="s">
        <v>25893</v>
      </c>
      <c r="F8400" t="s">
        <v>32606</v>
      </c>
      <c r="G8400" t="s">
        <v>32613</v>
      </c>
      <c r="H8400" t="s">
        <v>32623</v>
      </c>
      <c r="I8400" t="s">
        <v>17648</v>
      </c>
      <c r="J8400" t="s">
        <v>37998</v>
      </c>
      <c r="K8400" t="s">
        <v>42645</v>
      </c>
      <c r="M8400" t="s">
        <v>45644</v>
      </c>
      <c r="N8400" t="s">
        <v>47304</v>
      </c>
      <c r="O8400" t="s">
        <v>47305</v>
      </c>
      <c r="P8400">
        <v>0</v>
      </c>
      <c r="Q8400">
        <v>2</v>
      </c>
      <c r="R8400" t="s">
        <v>47312</v>
      </c>
      <c r="S8400" t="s">
        <v>47489</v>
      </c>
      <c r="T8400" t="s">
        <v>49077</v>
      </c>
      <c r="U8400" t="s">
        <v>56075</v>
      </c>
      <c r="V8400" t="s">
        <v>63511</v>
      </c>
      <c r="W8400" t="s">
        <v>45644</v>
      </c>
      <c r="X8400" t="s">
        <v>47313</v>
      </c>
    </row>
    <row r="8401" spans="1:24">
      <c r="A8401">
        <f>HYPERLINK("https://www.philgeps.gov.ph/GEPSNONPILOT/Tender/SplashBidNoticeAbstractUI.aspx?menuIndex=3&amp;refID=7188322&amp;Result=3","7188322")</f>
        <v>0</v>
      </c>
      <c r="B8401" t="s">
        <v>287</v>
      </c>
      <c r="C8401" t="s">
        <v>11767</v>
      </c>
      <c r="D8401" t="s">
        <v>19007</v>
      </c>
      <c r="E8401" t="s">
        <v>26309</v>
      </c>
      <c r="F8401" t="s">
        <v>32606</v>
      </c>
      <c r="G8401" t="s">
        <v>32613</v>
      </c>
      <c r="H8401" t="s">
        <v>32623</v>
      </c>
      <c r="I8401" t="s">
        <v>17648</v>
      </c>
      <c r="J8401" t="s">
        <v>37999</v>
      </c>
      <c r="K8401" t="s">
        <v>42694</v>
      </c>
      <c r="M8401" t="s">
        <v>43188</v>
      </c>
      <c r="N8401" t="s">
        <v>47304</v>
      </c>
      <c r="O8401" t="s">
        <v>47305</v>
      </c>
      <c r="P8401">
        <v>0</v>
      </c>
      <c r="Q8401">
        <v>0</v>
      </c>
      <c r="R8401" t="s">
        <v>47312</v>
      </c>
      <c r="S8401" t="s">
        <v>47489</v>
      </c>
      <c r="T8401" t="s">
        <v>49165</v>
      </c>
      <c r="U8401" t="s">
        <v>56499</v>
      </c>
      <c r="W8401" t="s">
        <v>43188</v>
      </c>
      <c r="X8401" t="s">
        <v>47313</v>
      </c>
    </row>
    <row r="8402" spans="1:24">
      <c r="A8402">
        <f>HYPERLINK("https://www.philgeps.gov.ph/GEPSNONPILOT/Tender/SplashBidNoticeAbstractUI.aspx?menuIndex=3&amp;refID=7188321&amp;Result=3","7188321")</f>
        <v>0</v>
      </c>
      <c r="B8402" t="s">
        <v>2665</v>
      </c>
      <c r="C8402" t="s">
        <v>11768</v>
      </c>
      <c r="D8402" t="s">
        <v>19023</v>
      </c>
      <c r="E8402" t="s">
        <v>19918</v>
      </c>
      <c r="F8402" t="s">
        <v>32606</v>
      </c>
      <c r="G8402" t="s">
        <v>32617</v>
      </c>
      <c r="H8402" t="s">
        <v>14201</v>
      </c>
      <c r="I8402" t="s">
        <v>6478</v>
      </c>
      <c r="J8402" t="s">
        <v>36517</v>
      </c>
      <c r="K8402" t="s">
        <v>42629</v>
      </c>
      <c r="M8402" t="s">
        <v>45814</v>
      </c>
      <c r="N8402" t="s">
        <v>47304</v>
      </c>
      <c r="O8402" t="s">
        <v>47305</v>
      </c>
      <c r="P8402">
        <v>0</v>
      </c>
      <c r="Q8402">
        <v>1</v>
      </c>
      <c r="R8402" t="s">
        <v>47312</v>
      </c>
      <c r="S8402" t="s">
        <v>47489</v>
      </c>
      <c r="T8402" t="s">
        <v>49268</v>
      </c>
      <c r="U8402" t="s">
        <v>56500</v>
      </c>
      <c r="W8402" t="s">
        <v>45814</v>
      </c>
      <c r="X8402" t="s">
        <v>47313</v>
      </c>
    </row>
    <row r="8403" spans="1:24">
      <c r="A8403">
        <f>HYPERLINK("https://www.philgeps.gov.ph/GEPSNONPILOT/Tender/SplashBidNoticeAbstractUI.aspx?menuIndex=3&amp;refID=7188320&amp;Result=3","7188320")</f>
        <v>0</v>
      </c>
      <c r="B8403" t="s">
        <v>2666</v>
      </c>
      <c r="C8403" t="s">
        <v>11769</v>
      </c>
      <c r="D8403" t="s">
        <v>18989</v>
      </c>
      <c r="E8403" t="s">
        <v>19315</v>
      </c>
      <c r="F8403" t="s">
        <v>32606</v>
      </c>
      <c r="G8403" t="s">
        <v>32613</v>
      </c>
      <c r="H8403" t="s">
        <v>14201</v>
      </c>
      <c r="I8403" t="s">
        <v>6931</v>
      </c>
      <c r="J8403" t="s">
        <v>33650</v>
      </c>
      <c r="K8403" t="s">
        <v>42681</v>
      </c>
      <c r="M8403" t="s">
        <v>45815</v>
      </c>
      <c r="N8403" t="s">
        <v>47304</v>
      </c>
      <c r="O8403" t="s">
        <v>47305</v>
      </c>
      <c r="P8403">
        <v>0</v>
      </c>
      <c r="Q8403">
        <v>0</v>
      </c>
      <c r="R8403" t="s">
        <v>47312</v>
      </c>
      <c r="S8403" t="s">
        <v>47489</v>
      </c>
      <c r="T8403" t="s">
        <v>49392</v>
      </c>
      <c r="U8403" t="s">
        <v>56501</v>
      </c>
      <c r="W8403" t="s">
        <v>45815</v>
      </c>
      <c r="X8403" t="s">
        <v>47313</v>
      </c>
    </row>
    <row r="8404" spans="1:24">
      <c r="A8404">
        <f>HYPERLINK("https://www.philgeps.gov.ph/GEPSNONPILOT/Tender/SplashBidNoticeAbstractUI.aspx?menuIndex=3&amp;refID=7188317&amp;Result=3","7188317")</f>
        <v>0</v>
      </c>
      <c r="B8404" t="s">
        <v>2558</v>
      </c>
      <c r="C8404" t="s">
        <v>11770</v>
      </c>
      <c r="D8404" t="s">
        <v>19016</v>
      </c>
      <c r="E8404" t="s">
        <v>26310</v>
      </c>
      <c r="F8404" t="s">
        <v>32606</v>
      </c>
      <c r="G8404" t="s">
        <v>32613</v>
      </c>
      <c r="H8404" t="s">
        <v>32623</v>
      </c>
      <c r="I8404" t="s">
        <v>17648</v>
      </c>
      <c r="J8404" t="s">
        <v>38000</v>
      </c>
      <c r="K8404" t="s">
        <v>42645</v>
      </c>
      <c r="M8404" t="s">
        <v>45698</v>
      </c>
      <c r="N8404" t="s">
        <v>47304</v>
      </c>
      <c r="O8404" t="s">
        <v>47305</v>
      </c>
      <c r="P8404">
        <v>0</v>
      </c>
      <c r="Q8404">
        <v>46</v>
      </c>
      <c r="R8404" t="s">
        <v>47312</v>
      </c>
      <c r="S8404" t="s">
        <v>47489</v>
      </c>
      <c r="T8404" t="s">
        <v>49368</v>
      </c>
      <c r="U8404" t="s">
        <v>56502</v>
      </c>
      <c r="W8404" t="s">
        <v>45698</v>
      </c>
      <c r="X8404" t="s">
        <v>47313</v>
      </c>
    </row>
    <row r="8405" spans="1:24">
      <c r="A8405">
        <f>HYPERLINK("https://www.philgeps.gov.ph/GEPSNONPILOT/Tender/SplashBidNoticeAbstractUI.aspx?menuIndex=3&amp;refID=7188338&amp;Result=3","7188338")</f>
        <v>0</v>
      </c>
      <c r="B8405" t="s">
        <v>2667</v>
      </c>
      <c r="C8405" t="s">
        <v>11771</v>
      </c>
      <c r="D8405" t="s">
        <v>18989</v>
      </c>
      <c r="E8405" t="s">
        <v>26311</v>
      </c>
      <c r="F8405" t="s">
        <v>32606</v>
      </c>
      <c r="G8405" t="s">
        <v>32614</v>
      </c>
      <c r="H8405" t="s">
        <v>14201</v>
      </c>
      <c r="I8405" t="s">
        <v>7677</v>
      </c>
      <c r="J8405" t="s">
        <v>38001</v>
      </c>
      <c r="K8405" t="s">
        <v>42631</v>
      </c>
      <c r="M8405" t="s">
        <v>45816</v>
      </c>
      <c r="N8405" t="s">
        <v>47304</v>
      </c>
      <c r="O8405" t="s">
        <v>47305</v>
      </c>
      <c r="Q8405">
        <v>1</v>
      </c>
      <c r="R8405" t="s">
        <v>47312</v>
      </c>
      <c r="S8405" t="s">
        <v>47507</v>
      </c>
      <c r="T8405" t="s">
        <v>48980</v>
      </c>
      <c r="U8405" t="s">
        <v>49938</v>
      </c>
      <c r="W8405" t="s">
        <v>45816</v>
      </c>
      <c r="X8405" t="s">
        <v>47313</v>
      </c>
    </row>
    <row r="8406" spans="1:24">
      <c r="A8406">
        <f>HYPERLINK("https://www.philgeps.gov.ph/GEPSNONPILOT/Tender/SplashBidNoticeAbstractUI.aspx?menuIndex=3&amp;refID=7188312&amp;Result=3","7188312")</f>
        <v>0</v>
      </c>
      <c r="B8406" t="s">
        <v>2668</v>
      </c>
      <c r="C8406" t="s">
        <v>11772</v>
      </c>
      <c r="D8406" t="s">
        <v>19044</v>
      </c>
      <c r="E8406" t="s">
        <v>21126</v>
      </c>
      <c r="F8406" t="s">
        <v>32606</v>
      </c>
      <c r="G8406" t="s">
        <v>32613</v>
      </c>
      <c r="H8406" t="s">
        <v>14201</v>
      </c>
      <c r="I8406" t="s">
        <v>6931</v>
      </c>
      <c r="J8406" t="s">
        <v>38002</v>
      </c>
      <c r="K8406" t="s">
        <v>42632</v>
      </c>
      <c r="M8406" t="s">
        <v>45817</v>
      </c>
      <c r="N8406" t="s">
        <v>47304</v>
      </c>
      <c r="O8406" t="s">
        <v>47305</v>
      </c>
      <c r="P8406">
        <v>0</v>
      </c>
      <c r="Q8406">
        <v>0</v>
      </c>
      <c r="R8406" t="s">
        <v>47312</v>
      </c>
      <c r="S8406" t="s">
        <v>47489</v>
      </c>
      <c r="T8406" t="s">
        <v>48986</v>
      </c>
      <c r="U8406" t="s">
        <v>56503</v>
      </c>
      <c r="W8406" t="s">
        <v>45817</v>
      </c>
      <c r="X8406" t="s">
        <v>47313</v>
      </c>
    </row>
    <row r="8407" spans="1:24">
      <c r="A8407">
        <f>HYPERLINK("https://www.philgeps.gov.ph/GEPSNONPILOT/Tender/SplashBidNoticeAbstractUI.aspx?menuIndex=3&amp;refID=7188305&amp;Result=3","7188305")</f>
        <v>0</v>
      </c>
      <c r="B8407" t="s">
        <v>2669</v>
      </c>
      <c r="C8407" t="s">
        <v>11773</v>
      </c>
      <c r="D8407" t="s">
        <v>19051</v>
      </c>
      <c r="E8407" t="s">
        <v>26312</v>
      </c>
      <c r="F8407" t="s">
        <v>32606</v>
      </c>
      <c r="G8407" t="s">
        <v>32613</v>
      </c>
      <c r="H8407" t="s">
        <v>32623</v>
      </c>
      <c r="I8407" t="s">
        <v>17648</v>
      </c>
      <c r="J8407" t="s">
        <v>38003</v>
      </c>
      <c r="K8407" t="s">
        <v>42818</v>
      </c>
      <c r="L8407" t="s">
        <v>2669</v>
      </c>
      <c r="M8407" t="s">
        <v>45818</v>
      </c>
      <c r="N8407" t="s">
        <v>47304</v>
      </c>
      <c r="O8407" t="s">
        <v>47305</v>
      </c>
      <c r="P8407">
        <v>0</v>
      </c>
      <c r="Q8407">
        <v>0</v>
      </c>
      <c r="R8407" t="s">
        <v>47312</v>
      </c>
      <c r="S8407" t="s">
        <v>47489</v>
      </c>
      <c r="T8407" t="s">
        <v>49111</v>
      </c>
      <c r="U8407" t="s">
        <v>56504</v>
      </c>
      <c r="V8407" t="s">
        <v>63512</v>
      </c>
      <c r="W8407" t="s">
        <v>64511</v>
      </c>
      <c r="X8407" t="s">
        <v>47313</v>
      </c>
    </row>
    <row r="8408" spans="1:24">
      <c r="A8408">
        <f>HYPERLINK("https://www.philgeps.gov.ph/GEPSNONPILOT/Tender/SplashBidNoticeAbstractUI.aspx?menuIndex=3&amp;refID=7188327&amp;Result=3","7188327")</f>
        <v>0</v>
      </c>
      <c r="B8408" t="s">
        <v>1210</v>
      </c>
      <c r="C8408" t="s">
        <v>11774</v>
      </c>
      <c r="D8408" t="s">
        <v>18988</v>
      </c>
      <c r="E8408" t="s">
        <v>26313</v>
      </c>
      <c r="F8408" t="s">
        <v>32606</v>
      </c>
      <c r="G8408" t="s">
        <v>32614</v>
      </c>
      <c r="H8408" t="s">
        <v>14201</v>
      </c>
      <c r="I8408" t="s">
        <v>32633</v>
      </c>
      <c r="J8408" t="s">
        <v>38004</v>
      </c>
      <c r="K8408" t="s">
        <v>42624</v>
      </c>
      <c r="M8408" t="s">
        <v>44175</v>
      </c>
      <c r="N8408" t="s">
        <v>47304</v>
      </c>
      <c r="O8408" t="s">
        <v>47305</v>
      </c>
      <c r="P8408">
        <v>0</v>
      </c>
      <c r="Q8408">
        <v>4</v>
      </c>
      <c r="R8408" t="s">
        <v>47312</v>
      </c>
      <c r="S8408" t="s">
        <v>47489</v>
      </c>
      <c r="T8408" t="s">
        <v>48971</v>
      </c>
      <c r="U8408" t="s">
        <v>55004</v>
      </c>
      <c r="W8408" t="s">
        <v>44175</v>
      </c>
      <c r="X8408" t="s">
        <v>47313</v>
      </c>
    </row>
    <row r="8409" spans="1:24">
      <c r="A8409">
        <f>HYPERLINK("https://www.philgeps.gov.ph/GEPSNONPILOT/Tender/SplashBidNoticeAbstractUI.aspx?menuIndex=3&amp;refID=7188301&amp;Result=3","7188301")</f>
        <v>0</v>
      </c>
      <c r="B8409" t="s">
        <v>2505</v>
      </c>
      <c r="C8409" t="s">
        <v>11775</v>
      </c>
      <c r="D8409" t="s">
        <v>19007</v>
      </c>
      <c r="E8409" t="s">
        <v>25893</v>
      </c>
      <c r="F8409" t="s">
        <v>32606</v>
      </c>
      <c r="G8409" t="s">
        <v>32613</v>
      </c>
      <c r="H8409" t="s">
        <v>32623</v>
      </c>
      <c r="I8409" t="s">
        <v>17648</v>
      </c>
      <c r="J8409" t="s">
        <v>38005</v>
      </c>
      <c r="K8409" t="s">
        <v>42646</v>
      </c>
      <c r="M8409" t="s">
        <v>45644</v>
      </c>
      <c r="N8409" t="s">
        <v>47304</v>
      </c>
      <c r="O8409" t="s">
        <v>47305</v>
      </c>
      <c r="P8409">
        <v>0</v>
      </c>
      <c r="Q8409">
        <v>2</v>
      </c>
      <c r="R8409" t="s">
        <v>47312</v>
      </c>
      <c r="S8409" t="s">
        <v>47489</v>
      </c>
      <c r="T8409" t="s">
        <v>49077</v>
      </c>
      <c r="U8409" t="s">
        <v>56075</v>
      </c>
      <c r="V8409" t="s">
        <v>63513</v>
      </c>
      <c r="W8409" t="s">
        <v>45644</v>
      </c>
      <c r="X8409" t="s">
        <v>47313</v>
      </c>
    </row>
    <row r="8410" spans="1:24">
      <c r="A8410">
        <f>HYPERLINK("https://www.philgeps.gov.ph/GEPSNONPILOT/Tender/SplashBidNoticeAbstractUI.aspx?menuIndex=3&amp;refID=7188300&amp;Result=3","7188300")</f>
        <v>0</v>
      </c>
      <c r="B8410" t="s">
        <v>2670</v>
      </c>
      <c r="C8410" t="s">
        <v>11776</v>
      </c>
      <c r="D8410" t="s">
        <v>19028</v>
      </c>
      <c r="E8410" t="s">
        <v>26314</v>
      </c>
      <c r="F8410" t="s">
        <v>32606</v>
      </c>
      <c r="G8410" t="s">
        <v>32613</v>
      </c>
      <c r="H8410" t="s">
        <v>14201</v>
      </c>
      <c r="I8410" t="s">
        <v>7677</v>
      </c>
      <c r="J8410" t="s">
        <v>38006</v>
      </c>
      <c r="K8410" t="s">
        <v>42622</v>
      </c>
      <c r="M8410" t="s">
        <v>45819</v>
      </c>
      <c r="N8410" t="s">
        <v>47304</v>
      </c>
      <c r="O8410" t="s">
        <v>47305</v>
      </c>
      <c r="P8410">
        <v>0</v>
      </c>
      <c r="Q8410">
        <v>2</v>
      </c>
      <c r="R8410" t="s">
        <v>47312</v>
      </c>
      <c r="S8410" t="s">
        <v>47489</v>
      </c>
      <c r="T8410" t="s">
        <v>49010</v>
      </c>
      <c r="U8410" t="s">
        <v>56505</v>
      </c>
      <c r="W8410" t="s">
        <v>45819</v>
      </c>
      <c r="X8410" t="s">
        <v>47313</v>
      </c>
    </row>
    <row r="8411" spans="1:24">
      <c r="A8411">
        <f>HYPERLINK("https://www.philgeps.gov.ph/GEPSNONPILOT/Tender/SplashBidNoticeAbstractUI.aspx?menuIndex=3&amp;refID=7188278&amp;Result=3","7188278")</f>
        <v>0</v>
      </c>
      <c r="B8411" t="s">
        <v>2671</v>
      </c>
      <c r="C8411" t="s">
        <v>11777</v>
      </c>
      <c r="D8411" t="s">
        <v>18994</v>
      </c>
      <c r="E8411" t="s">
        <v>26315</v>
      </c>
      <c r="F8411" t="s">
        <v>32606</v>
      </c>
      <c r="G8411" t="s">
        <v>32614</v>
      </c>
      <c r="H8411" t="s">
        <v>14201</v>
      </c>
      <c r="I8411" t="s">
        <v>32718</v>
      </c>
      <c r="J8411" t="s">
        <v>32789</v>
      </c>
      <c r="K8411" t="s">
        <v>42631</v>
      </c>
      <c r="M8411" t="s">
        <v>45820</v>
      </c>
      <c r="N8411" t="s">
        <v>47304</v>
      </c>
      <c r="O8411" t="s">
        <v>47305</v>
      </c>
      <c r="Q8411">
        <v>4</v>
      </c>
      <c r="R8411" t="s">
        <v>47312</v>
      </c>
      <c r="S8411" t="s">
        <v>47508</v>
      </c>
      <c r="T8411" t="s">
        <v>49072</v>
      </c>
      <c r="U8411" t="s">
        <v>56506</v>
      </c>
      <c r="W8411" t="s">
        <v>45820</v>
      </c>
      <c r="X8411" t="s">
        <v>47313</v>
      </c>
    </row>
    <row r="8412" spans="1:24">
      <c r="A8412">
        <f>HYPERLINK("https://www.philgeps.gov.ph/GEPSNONPILOT/Tender/SplashBidNoticeAbstractUI.aspx?menuIndex=3&amp;refID=7187910&amp;Result=3","7187910")</f>
        <v>0</v>
      </c>
      <c r="B8412" t="s">
        <v>2624</v>
      </c>
      <c r="C8412" t="s">
        <v>11778</v>
      </c>
      <c r="D8412" t="s">
        <v>19016</v>
      </c>
      <c r="E8412" t="s">
        <v>26316</v>
      </c>
      <c r="F8412" t="s">
        <v>32606</v>
      </c>
      <c r="G8412" t="s">
        <v>32613</v>
      </c>
      <c r="H8412" t="s">
        <v>14201</v>
      </c>
      <c r="I8412" t="s">
        <v>4678</v>
      </c>
      <c r="J8412" t="s">
        <v>38007</v>
      </c>
      <c r="K8412" t="s">
        <v>42622</v>
      </c>
      <c r="M8412" t="s">
        <v>45768</v>
      </c>
      <c r="N8412" t="s">
        <v>47304</v>
      </c>
      <c r="O8412" t="s">
        <v>47305</v>
      </c>
      <c r="P8412">
        <v>0</v>
      </c>
      <c r="Q8412">
        <v>6</v>
      </c>
      <c r="R8412" t="s">
        <v>47312</v>
      </c>
      <c r="S8412" t="s">
        <v>47489</v>
      </c>
      <c r="T8412" t="s">
        <v>49256</v>
      </c>
      <c r="U8412" t="s">
        <v>56405</v>
      </c>
      <c r="W8412" t="s">
        <v>45768</v>
      </c>
      <c r="X8412" t="s">
        <v>47313</v>
      </c>
    </row>
    <row r="8413" spans="1:24">
      <c r="A8413">
        <f>HYPERLINK("https://www.philgeps.gov.ph/GEPSNONPILOT/Tender/SplashBidNoticeAbstractUI.aspx?menuIndex=3&amp;refID=7188315&amp;Result=3","7188315")</f>
        <v>0</v>
      </c>
      <c r="B8413" t="s">
        <v>2505</v>
      </c>
      <c r="C8413" t="s">
        <v>11779</v>
      </c>
      <c r="D8413" t="s">
        <v>19007</v>
      </c>
      <c r="E8413" t="s">
        <v>25893</v>
      </c>
      <c r="F8413" t="s">
        <v>32606</v>
      </c>
      <c r="G8413" t="s">
        <v>32613</v>
      </c>
      <c r="H8413" t="s">
        <v>32623</v>
      </c>
      <c r="I8413" t="s">
        <v>17648</v>
      </c>
      <c r="J8413" t="s">
        <v>38008</v>
      </c>
      <c r="K8413" t="s">
        <v>42646</v>
      </c>
      <c r="M8413" t="s">
        <v>45644</v>
      </c>
      <c r="N8413" t="s">
        <v>47304</v>
      </c>
      <c r="O8413" t="s">
        <v>47305</v>
      </c>
      <c r="P8413">
        <v>0</v>
      </c>
      <c r="Q8413">
        <v>2</v>
      </c>
      <c r="R8413" t="s">
        <v>47312</v>
      </c>
      <c r="S8413" t="s">
        <v>47489</v>
      </c>
      <c r="T8413" t="s">
        <v>49077</v>
      </c>
      <c r="U8413" t="s">
        <v>56075</v>
      </c>
      <c r="V8413" t="s">
        <v>63514</v>
      </c>
      <c r="W8413" t="s">
        <v>45644</v>
      </c>
      <c r="X8413" t="s">
        <v>47313</v>
      </c>
    </row>
    <row r="8414" spans="1:24">
      <c r="A8414">
        <f>HYPERLINK("https://www.philgeps.gov.ph/GEPSNONPILOT/Tender/SplashBidNoticeAbstractUI.aspx?menuIndex=3&amp;refID=7187909&amp;Result=3","7187909")</f>
        <v>0</v>
      </c>
      <c r="B8414" t="s">
        <v>2559</v>
      </c>
      <c r="C8414" t="s">
        <v>11780</v>
      </c>
      <c r="D8414" t="s">
        <v>19039</v>
      </c>
      <c r="E8414" t="s">
        <v>26317</v>
      </c>
      <c r="F8414" t="s">
        <v>32606</v>
      </c>
      <c r="G8414" t="s">
        <v>32613</v>
      </c>
      <c r="H8414" t="s">
        <v>14201</v>
      </c>
      <c r="I8414" t="s">
        <v>32650</v>
      </c>
      <c r="J8414" t="s">
        <v>38009</v>
      </c>
      <c r="K8414" t="s">
        <v>42631</v>
      </c>
      <c r="M8414" t="s">
        <v>45699</v>
      </c>
      <c r="N8414" t="s">
        <v>47304</v>
      </c>
      <c r="O8414" t="s">
        <v>47305</v>
      </c>
      <c r="P8414">
        <v>0</v>
      </c>
      <c r="Q8414">
        <v>2</v>
      </c>
      <c r="R8414" t="s">
        <v>47312</v>
      </c>
      <c r="S8414" t="s">
        <v>47489</v>
      </c>
      <c r="T8414" t="s">
        <v>49320</v>
      </c>
      <c r="U8414" t="s">
        <v>56210</v>
      </c>
      <c r="V8414" t="s">
        <v>63515</v>
      </c>
      <c r="W8414" t="s">
        <v>45699</v>
      </c>
      <c r="X8414" t="s">
        <v>47313</v>
      </c>
    </row>
    <row r="8415" spans="1:24">
      <c r="A8415">
        <f>HYPERLINK("https://www.philgeps.gov.ph/GEPSNONPILOT/Tender/SplashBidNoticeAbstractUI.aspx?menuIndex=3&amp;refID=7188311&amp;Result=3","7188311")</f>
        <v>0</v>
      </c>
      <c r="B8415" t="s">
        <v>2672</v>
      </c>
      <c r="C8415" t="s">
        <v>11781</v>
      </c>
      <c r="D8415" t="s">
        <v>19011</v>
      </c>
      <c r="E8415" t="s">
        <v>26318</v>
      </c>
      <c r="F8415" t="s">
        <v>32606</v>
      </c>
      <c r="G8415" t="s">
        <v>32615</v>
      </c>
      <c r="H8415" t="s">
        <v>14201</v>
      </c>
      <c r="I8415" t="s">
        <v>32626</v>
      </c>
      <c r="J8415" t="s">
        <v>38010</v>
      </c>
      <c r="K8415" t="s">
        <v>42631</v>
      </c>
      <c r="M8415" t="s">
        <v>45821</v>
      </c>
      <c r="N8415" t="s">
        <v>47304</v>
      </c>
      <c r="O8415" t="s">
        <v>47305</v>
      </c>
      <c r="P8415">
        <v>0</v>
      </c>
      <c r="Q8415">
        <v>7</v>
      </c>
      <c r="R8415" t="s">
        <v>47312</v>
      </c>
      <c r="S8415" t="s">
        <v>47489</v>
      </c>
      <c r="T8415" t="s">
        <v>49165</v>
      </c>
      <c r="U8415" t="s">
        <v>56507</v>
      </c>
      <c r="W8415" t="s">
        <v>45821</v>
      </c>
      <c r="X8415" t="s">
        <v>47313</v>
      </c>
    </row>
    <row r="8416" spans="1:24">
      <c r="A8416">
        <f>HYPERLINK("https://www.philgeps.gov.ph/GEPSNONPILOT/Tender/SplashBidNoticeAbstractUI.aspx?menuIndex=3&amp;refID=7187873&amp;Result=3","7187873")</f>
        <v>0</v>
      </c>
      <c r="B8416" t="s">
        <v>2602</v>
      </c>
      <c r="C8416" t="s">
        <v>11559</v>
      </c>
      <c r="D8416" t="s">
        <v>18993</v>
      </c>
      <c r="E8416" t="s">
        <v>26319</v>
      </c>
      <c r="F8416" t="s">
        <v>32606</v>
      </c>
      <c r="G8416" t="s">
        <v>32613</v>
      </c>
      <c r="H8416" t="s">
        <v>14201</v>
      </c>
      <c r="I8416" t="s">
        <v>6298</v>
      </c>
      <c r="J8416" t="s">
        <v>38011</v>
      </c>
      <c r="K8416" t="s">
        <v>42624</v>
      </c>
      <c r="M8416" t="s">
        <v>45746</v>
      </c>
      <c r="N8416" t="s">
        <v>47304</v>
      </c>
      <c r="O8416" t="s">
        <v>47305</v>
      </c>
      <c r="P8416">
        <v>0</v>
      </c>
      <c r="Q8416">
        <v>11</v>
      </c>
      <c r="R8416" t="s">
        <v>47312</v>
      </c>
      <c r="S8416" t="s">
        <v>47489</v>
      </c>
      <c r="T8416" t="s">
        <v>49073</v>
      </c>
      <c r="U8416" t="s">
        <v>56345</v>
      </c>
      <c r="W8416" t="s">
        <v>45746</v>
      </c>
      <c r="X8416" t="s">
        <v>47313</v>
      </c>
    </row>
    <row r="8417" spans="1:24">
      <c r="A8417">
        <f>HYPERLINK("https://www.philgeps.gov.ph/GEPSNONPILOT/Tender/SplashBidNoticeAbstractUI.aspx?menuIndex=3&amp;refID=7187871&amp;Result=3","7187871")</f>
        <v>0</v>
      </c>
      <c r="B8417" t="s">
        <v>383</v>
      </c>
      <c r="C8417" t="s">
        <v>4794</v>
      </c>
      <c r="E8417" t="s">
        <v>26320</v>
      </c>
      <c r="F8417" t="s">
        <v>32606</v>
      </c>
      <c r="G8417" t="s">
        <v>32613</v>
      </c>
      <c r="H8417" t="s">
        <v>14201</v>
      </c>
      <c r="I8417" t="s">
        <v>32626</v>
      </c>
      <c r="J8417" t="s">
        <v>38012</v>
      </c>
      <c r="K8417" t="s">
        <v>42624</v>
      </c>
      <c r="M8417" t="s">
        <v>43286</v>
      </c>
      <c r="N8417" t="s">
        <v>47304</v>
      </c>
      <c r="O8417" t="s">
        <v>47305</v>
      </c>
      <c r="P8417">
        <v>0</v>
      </c>
      <c r="Q8417">
        <v>1</v>
      </c>
      <c r="R8417" t="s">
        <v>47312</v>
      </c>
      <c r="S8417" t="s">
        <v>47489</v>
      </c>
      <c r="T8417" t="s">
        <v>49389</v>
      </c>
      <c r="U8417" t="s">
        <v>56508</v>
      </c>
      <c r="W8417" t="s">
        <v>43286</v>
      </c>
      <c r="X8417" t="s">
        <v>47313</v>
      </c>
    </row>
    <row r="8418" spans="1:24">
      <c r="A8418">
        <f>HYPERLINK("https://www.philgeps.gov.ph/GEPSNONPILOT/Tender/SplashBidNoticeAbstractUI.aspx?menuIndex=3&amp;refID=7188303&amp;Result=3","7188303")</f>
        <v>0</v>
      </c>
      <c r="B8418" t="s">
        <v>439</v>
      </c>
      <c r="C8418" t="s">
        <v>11782</v>
      </c>
      <c r="D8418" t="s">
        <v>19054</v>
      </c>
      <c r="E8418" t="s">
        <v>26321</v>
      </c>
      <c r="F8418" t="s">
        <v>32606</v>
      </c>
      <c r="G8418" t="s">
        <v>32613</v>
      </c>
      <c r="H8418" t="s">
        <v>14201</v>
      </c>
      <c r="I8418" t="s">
        <v>6298</v>
      </c>
      <c r="J8418" t="s">
        <v>35364</v>
      </c>
      <c r="K8418" t="s">
        <v>42631</v>
      </c>
      <c r="M8418" t="s">
        <v>45807</v>
      </c>
      <c r="N8418" t="s">
        <v>47304</v>
      </c>
      <c r="O8418" t="s">
        <v>47305</v>
      </c>
      <c r="P8418">
        <v>0</v>
      </c>
      <c r="Q8418">
        <v>1</v>
      </c>
      <c r="R8418" t="s">
        <v>47312</v>
      </c>
      <c r="S8418" t="s">
        <v>47489</v>
      </c>
      <c r="T8418" t="s">
        <v>49075</v>
      </c>
      <c r="U8418" t="s">
        <v>56479</v>
      </c>
      <c r="W8418" t="s">
        <v>45807</v>
      </c>
      <c r="X8418" t="s">
        <v>47313</v>
      </c>
    </row>
    <row r="8419" spans="1:24">
      <c r="A8419">
        <f>HYPERLINK("https://www.philgeps.gov.ph/GEPSNONPILOT/Tender/SplashBidNoticeAbstractUI.aspx?menuIndex=3&amp;refID=7187913&amp;Result=3","7187913")</f>
        <v>0</v>
      </c>
      <c r="B8419" t="s">
        <v>1942</v>
      </c>
      <c r="C8419" t="s">
        <v>11783</v>
      </c>
      <c r="D8419" t="s">
        <v>18993</v>
      </c>
      <c r="E8419" t="s">
        <v>26322</v>
      </c>
      <c r="F8419" t="s">
        <v>32607</v>
      </c>
      <c r="G8419" t="s">
        <v>32614</v>
      </c>
      <c r="H8419" t="s">
        <v>14201</v>
      </c>
      <c r="I8419" t="s">
        <v>32713</v>
      </c>
      <c r="J8419" t="s">
        <v>34709</v>
      </c>
      <c r="K8419" t="s">
        <v>42631</v>
      </c>
      <c r="M8419" t="s">
        <v>45003</v>
      </c>
      <c r="N8419" t="s">
        <v>47304</v>
      </c>
      <c r="O8419" t="s">
        <v>47305</v>
      </c>
      <c r="P8419">
        <v>0</v>
      </c>
      <c r="Q8419">
        <v>2</v>
      </c>
      <c r="R8419" t="s">
        <v>47312</v>
      </c>
      <c r="S8419" t="s">
        <v>47489</v>
      </c>
      <c r="T8419" t="s">
        <v>49351</v>
      </c>
      <c r="U8419" t="s">
        <v>56509</v>
      </c>
      <c r="W8419" t="s">
        <v>45003</v>
      </c>
      <c r="X8419" t="s">
        <v>47313</v>
      </c>
    </row>
    <row r="8420" spans="1:24">
      <c r="A8420">
        <f>HYPERLINK("https://www.philgeps.gov.ph/GEPSNONPILOT/Tender/SplashBidNoticeAbstractUI.aspx?menuIndex=3&amp;refID=7187872&amp;Result=3","7187872")</f>
        <v>0</v>
      </c>
      <c r="B8420" t="s">
        <v>2505</v>
      </c>
      <c r="C8420" t="s">
        <v>11784</v>
      </c>
      <c r="D8420" t="s">
        <v>19007</v>
      </c>
      <c r="E8420" t="s">
        <v>25893</v>
      </c>
      <c r="F8420" t="s">
        <v>32606</v>
      </c>
      <c r="G8420" t="s">
        <v>32613</v>
      </c>
      <c r="H8420" t="s">
        <v>32623</v>
      </c>
      <c r="I8420" t="s">
        <v>17648</v>
      </c>
      <c r="J8420" t="s">
        <v>38013</v>
      </c>
      <c r="K8420" t="s">
        <v>42636</v>
      </c>
      <c r="M8420" t="s">
        <v>45644</v>
      </c>
      <c r="N8420" t="s">
        <v>47304</v>
      </c>
      <c r="O8420" t="s">
        <v>47305</v>
      </c>
      <c r="P8420">
        <v>0</v>
      </c>
      <c r="Q8420">
        <v>1</v>
      </c>
      <c r="R8420" t="s">
        <v>47312</v>
      </c>
      <c r="S8420" t="s">
        <v>47489</v>
      </c>
      <c r="T8420" t="s">
        <v>49077</v>
      </c>
      <c r="U8420" t="s">
        <v>56075</v>
      </c>
      <c r="V8420" t="s">
        <v>63516</v>
      </c>
      <c r="W8420" t="s">
        <v>45644</v>
      </c>
      <c r="X8420" t="s">
        <v>47313</v>
      </c>
    </row>
    <row r="8421" spans="1:24">
      <c r="A8421">
        <f>HYPERLINK("https://www.philgeps.gov.ph/GEPSNONPILOT/Tender/SplashBidNoticeAbstractUI.aspx?menuIndex=3&amp;refID=7188343&amp;Result=3","7188343")</f>
        <v>0</v>
      </c>
      <c r="B8421" t="s">
        <v>2673</v>
      </c>
      <c r="C8421" t="s">
        <v>11785</v>
      </c>
      <c r="D8421" t="s">
        <v>19008</v>
      </c>
      <c r="E8421" t="s">
        <v>26323</v>
      </c>
      <c r="F8421" t="s">
        <v>32612</v>
      </c>
      <c r="G8421" t="s">
        <v>32620</v>
      </c>
      <c r="H8421" t="s">
        <v>32625</v>
      </c>
      <c r="I8421" t="s">
        <v>32625</v>
      </c>
      <c r="J8421" t="s">
        <v>33539</v>
      </c>
      <c r="K8421" t="s">
        <v>42714</v>
      </c>
      <c r="M8421" t="s">
        <v>45822</v>
      </c>
      <c r="N8421" t="s">
        <v>47304</v>
      </c>
      <c r="O8421" t="s">
        <v>47305</v>
      </c>
      <c r="P8421">
        <v>0</v>
      </c>
      <c r="Q8421">
        <v>0</v>
      </c>
      <c r="R8421" t="s">
        <v>47312</v>
      </c>
      <c r="S8421" t="s">
        <v>47489</v>
      </c>
      <c r="T8421" t="s">
        <v>49162</v>
      </c>
      <c r="U8421" t="s">
        <v>56510</v>
      </c>
      <c r="W8421" t="s">
        <v>45822</v>
      </c>
      <c r="X8421" t="s">
        <v>47313</v>
      </c>
    </row>
    <row r="8422" spans="1:24">
      <c r="A8422">
        <f>HYPERLINK("https://www.philgeps.gov.ph/GEPSNONPILOT/Tender/SplashBidNoticeAbstractUI.aspx?menuIndex=3&amp;refID=7188369&amp;Result=3","7188369")</f>
        <v>0</v>
      </c>
      <c r="B8422" t="s">
        <v>2304</v>
      </c>
      <c r="C8422" t="s">
        <v>11786</v>
      </c>
      <c r="D8422" t="s">
        <v>19016</v>
      </c>
      <c r="E8422" t="s">
        <v>26324</v>
      </c>
      <c r="F8422" t="s">
        <v>32606</v>
      </c>
      <c r="G8422" t="s">
        <v>32613</v>
      </c>
      <c r="H8422" t="s">
        <v>14201</v>
      </c>
      <c r="I8422" t="s">
        <v>32631</v>
      </c>
      <c r="J8422" t="s">
        <v>38014</v>
      </c>
      <c r="K8422" t="s">
        <v>42624</v>
      </c>
      <c r="M8422" t="s">
        <v>45410</v>
      </c>
      <c r="N8422" t="s">
        <v>47304</v>
      </c>
      <c r="O8422" t="s">
        <v>47305</v>
      </c>
      <c r="P8422">
        <v>0</v>
      </c>
      <c r="Q8422">
        <v>1</v>
      </c>
      <c r="R8422" t="s">
        <v>47312</v>
      </c>
      <c r="S8422" t="s">
        <v>47489</v>
      </c>
      <c r="T8422" t="s">
        <v>49040</v>
      </c>
      <c r="U8422" t="s">
        <v>55342</v>
      </c>
      <c r="W8422" t="s">
        <v>45410</v>
      </c>
      <c r="X8422" t="s">
        <v>47313</v>
      </c>
    </row>
    <row r="8423" spans="1:24">
      <c r="A8423">
        <f>HYPERLINK("https://www.philgeps.gov.ph/GEPSNONPILOT/Tender/SplashBidNoticeAbstractUI.aspx?menuIndex=3&amp;refID=7188351&amp;Result=3","7188351")</f>
        <v>0</v>
      </c>
      <c r="B8423" t="s">
        <v>243</v>
      </c>
      <c r="C8423" t="s">
        <v>11787</v>
      </c>
      <c r="D8423" t="s">
        <v>19027</v>
      </c>
      <c r="E8423" t="s">
        <v>26325</v>
      </c>
      <c r="F8423" t="s">
        <v>32606</v>
      </c>
      <c r="G8423" t="s">
        <v>32619</v>
      </c>
      <c r="H8423" t="s">
        <v>14201</v>
      </c>
      <c r="I8423" t="s">
        <v>6007</v>
      </c>
      <c r="J8423" t="s">
        <v>34102</v>
      </c>
      <c r="K8423" t="s">
        <v>42624</v>
      </c>
      <c r="M8423" t="s">
        <v>44391</v>
      </c>
      <c r="N8423" t="s">
        <v>47304</v>
      </c>
      <c r="O8423" t="s">
        <v>47305</v>
      </c>
      <c r="P8423">
        <v>0</v>
      </c>
      <c r="Q8423">
        <v>0</v>
      </c>
      <c r="R8423" t="s">
        <v>47312</v>
      </c>
      <c r="S8423" t="s">
        <v>47489</v>
      </c>
      <c r="T8423" t="s">
        <v>48980</v>
      </c>
      <c r="U8423" t="s">
        <v>56511</v>
      </c>
      <c r="W8423" t="s">
        <v>64471</v>
      </c>
      <c r="X8423" t="s">
        <v>47313</v>
      </c>
    </row>
    <row r="8424" spans="1:24">
      <c r="A8424">
        <f>HYPERLINK("https://www.philgeps.gov.ph/GEPSNONPILOT/Tender/SplashBidNoticeAbstractUI.aspx?menuIndex=3&amp;refID=7188350&amp;Result=3","7188350")</f>
        <v>0</v>
      </c>
      <c r="B8424" t="s">
        <v>2674</v>
      </c>
      <c r="C8424" t="s">
        <v>11788</v>
      </c>
      <c r="D8424" t="s">
        <v>18989</v>
      </c>
      <c r="E8424" t="s">
        <v>26326</v>
      </c>
      <c r="F8424" t="s">
        <v>32606</v>
      </c>
      <c r="G8424" t="s">
        <v>32619</v>
      </c>
      <c r="H8424" t="s">
        <v>14201</v>
      </c>
      <c r="I8424" t="s">
        <v>6993</v>
      </c>
      <c r="J8424" t="s">
        <v>33288</v>
      </c>
      <c r="K8424" t="s">
        <v>42623</v>
      </c>
      <c r="M8424" t="s">
        <v>45823</v>
      </c>
      <c r="N8424" t="s">
        <v>47304</v>
      </c>
      <c r="O8424" t="s">
        <v>47305</v>
      </c>
      <c r="P8424">
        <v>0</v>
      </c>
      <c r="Q8424">
        <v>0</v>
      </c>
      <c r="R8424" t="s">
        <v>47312</v>
      </c>
      <c r="S8424" t="s">
        <v>47489</v>
      </c>
      <c r="T8424" t="s">
        <v>49330</v>
      </c>
      <c r="U8424" t="s">
        <v>56512</v>
      </c>
      <c r="W8424" t="s">
        <v>45823</v>
      </c>
      <c r="X8424" t="s">
        <v>47313</v>
      </c>
    </row>
    <row r="8425" spans="1:24">
      <c r="A8425">
        <f>HYPERLINK("https://www.philgeps.gov.ph/GEPSNONPILOT/Tender/SplashBidNoticeAbstractUI.aspx?menuIndex=3&amp;refID=7188347&amp;Result=3","7188347")</f>
        <v>0</v>
      </c>
      <c r="B8425" t="s">
        <v>383</v>
      </c>
      <c r="C8425" t="s">
        <v>4842</v>
      </c>
      <c r="E8425" t="s">
        <v>26327</v>
      </c>
      <c r="F8425" t="s">
        <v>32606</v>
      </c>
      <c r="G8425" t="s">
        <v>32613</v>
      </c>
      <c r="H8425" t="s">
        <v>14201</v>
      </c>
      <c r="I8425" t="s">
        <v>6931</v>
      </c>
      <c r="J8425" t="s">
        <v>38015</v>
      </c>
      <c r="K8425" t="s">
        <v>42624</v>
      </c>
      <c r="M8425" t="s">
        <v>43286</v>
      </c>
      <c r="N8425" t="s">
        <v>47304</v>
      </c>
      <c r="O8425" t="s">
        <v>47305</v>
      </c>
      <c r="P8425">
        <v>0</v>
      </c>
      <c r="Q8425">
        <v>0</v>
      </c>
      <c r="R8425" t="s">
        <v>47312</v>
      </c>
      <c r="S8425" t="s">
        <v>47489</v>
      </c>
      <c r="T8425" t="s">
        <v>49389</v>
      </c>
      <c r="U8425" t="s">
        <v>56513</v>
      </c>
      <c r="W8425" t="s">
        <v>43286</v>
      </c>
      <c r="X8425" t="s">
        <v>47313</v>
      </c>
    </row>
    <row r="8426" spans="1:24">
      <c r="A8426">
        <f>HYPERLINK("https://www.philgeps.gov.ph/GEPSNONPILOT/Tender/SplashBidNoticeAbstractUI.aspx?menuIndex=3&amp;refID=7188346&amp;Result=3","7188346")</f>
        <v>0</v>
      </c>
      <c r="B8426" t="s">
        <v>2242</v>
      </c>
      <c r="C8426" t="s">
        <v>11789</v>
      </c>
      <c r="D8426" t="s">
        <v>19006</v>
      </c>
      <c r="E8426" t="s">
        <v>26328</v>
      </c>
      <c r="F8426" t="s">
        <v>32606</v>
      </c>
      <c r="G8426" t="s">
        <v>32619</v>
      </c>
      <c r="H8426" t="s">
        <v>14201</v>
      </c>
      <c r="I8426" t="s">
        <v>32630</v>
      </c>
      <c r="J8426" t="s">
        <v>33533</v>
      </c>
      <c r="K8426" t="s">
        <v>42623</v>
      </c>
      <c r="M8426" t="s">
        <v>45346</v>
      </c>
      <c r="N8426" t="s">
        <v>47304</v>
      </c>
      <c r="O8426" t="s">
        <v>47305</v>
      </c>
      <c r="P8426">
        <v>0</v>
      </c>
      <c r="Q8426">
        <v>1</v>
      </c>
      <c r="R8426" t="s">
        <v>47312</v>
      </c>
      <c r="S8426" t="s">
        <v>47489</v>
      </c>
      <c r="T8426" t="s">
        <v>49165</v>
      </c>
      <c r="U8426" t="s">
        <v>55186</v>
      </c>
      <c r="W8426" t="s">
        <v>45346</v>
      </c>
      <c r="X8426" t="s">
        <v>47313</v>
      </c>
    </row>
    <row r="8427" spans="1:24">
      <c r="A8427">
        <f>HYPERLINK("https://www.philgeps.gov.ph/GEPSNONPILOT/Tender/SplashBidNoticeAbstractUI.aspx?menuIndex=3&amp;refID=7188348&amp;Result=3","7188348")</f>
        <v>0</v>
      </c>
      <c r="B8427" t="s">
        <v>844</v>
      </c>
      <c r="C8427" t="s">
        <v>11790</v>
      </c>
      <c r="D8427" t="s">
        <v>19056</v>
      </c>
      <c r="E8427" t="s">
        <v>26329</v>
      </c>
      <c r="F8427" t="s">
        <v>32606</v>
      </c>
      <c r="G8427" t="s">
        <v>32619</v>
      </c>
      <c r="H8427" t="s">
        <v>14201</v>
      </c>
      <c r="I8427" t="s">
        <v>6298</v>
      </c>
      <c r="J8427" t="s">
        <v>38016</v>
      </c>
      <c r="K8427" t="s">
        <v>42624</v>
      </c>
      <c r="L8427" t="s">
        <v>844</v>
      </c>
      <c r="M8427" t="s">
        <v>43776</v>
      </c>
      <c r="N8427" t="s">
        <v>47304</v>
      </c>
      <c r="O8427" t="s">
        <v>47305</v>
      </c>
      <c r="P8427">
        <v>0</v>
      </c>
      <c r="Q8427">
        <v>1</v>
      </c>
      <c r="R8427" t="s">
        <v>47312</v>
      </c>
      <c r="S8427" t="s">
        <v>47489</v>
      </c>
      <c r="T8427" t="s">
        <v>49071</v>
      </c>
      <c r="U8427" t="s">
        <v>51130</v>
      </c>
      <c r="W8427" t="s">
        <v>43776</v>
      </c>
      <c r="X8427" t="s">
        <v>47313</v>
      </c>
    </row>
    <row r="8428" spans="1:24">
      <c r="A8428">
        <f>HYPERLINK("https://www.philgeps.gov.ph/GEPSNONPILOT/Tender/SplashBidNoticeAbstractUI.aspx?menuIndex=3&amp;refID=7188354&amp;Result=3","7188354")</f>
        <v>0</v>
      </c>
      <c r="B8428" t="s">
        <v>108</v>
      </c>
      <c r="C8428" t="s">
        <v>11791</v>
      </c>
      <c r="D8428" t="s">
        <v>18997</v>
      </c>
      <c r="E8428" t="s">
        <v>26330</v>
      </c>
      <c r="F8428" t="s">
        <v>32606</v>
      </c>
      <c r="G8428" t="s">
        <v>32613</v>
      </c>
      <c r="H8428" t="s">
        <v>14201</v>
      </c>
      <c r="I8428" t="s">
        <v>4678</v>
      </c>
      <c r="J8428" t="s">
        <v>32977</v>
      </c>
      <c r="K8428" t="s">
        <v>42630</v>
      </c>
      <c r="M8428" t="s">
        <v>43007</v>
      </c>
      <c r="N8428" t="s">
        <v>47304</v>
      </c>
      <c r="O8428" t="s">
        <v>47305</v>
      </c>
      <c r="P8428">
        <v>0</v>
      </c>
      <c r="Q8428">
        <v>0</v>
      </c>
      <c r="R8428" t="s">
        <v>47312</v>
      </c>
      <c r="S8428" t="s">
        <v>47489</v>
      </c>
      <c r="T8428" t="s">
        <v>49257</v>
      </c>
      <c r="U8428" t="s">
        <v>56514</v>
      </c>
      <c r="W8428" t="s">
        <v>43007</v>
      </c>
      <c r="X8428" t="s">
        <v>47313</v>
      </c>
    </row>
    <row r="8429" spans="1:24">
      <c r="A8429">
        <f>HYPERLINK("https://www.philgeps.gov.ph/GEPSNONPILOT/Tender/SplashBidNoticeAbstractUI.aspx?menuIndex=3&amp;refID=7188389&amp;Result=3","7188389")</f>
        <v>0</v>
      </c>
      <c r="B8429" t="s">
        <v>2675</v>
      </c>
      <c r="C8429" t="s">
        <v>11792</v>
      </c>
      <c r="D8429" t="s">
        <v>19013</v>
      </c>
      <c r="E8429" t="s">
        <v>25731</v>
      </c>
      <c r="F8429" t="s">
        <v>32606</v>
      </c>
      <c r="G8429" t="s">
        <v>32613</v>
      </c>
      <c r="H8429" t="s">
        <v>32623</v>
      </c>
      <c r="I8429" t="s">
        <v>17648</v>
      </c>
      <c r="J8429" t="s">
        <v>38017</v>
      </c>
      <c r="K8429" t="s">
        <v>42636</v>
      </c>
      <c r="M8429" t="s">
        <v>45824</v>
      </c>
      <c r="N8429" t="s">
        <v>47304</v>
      </c>
      <c r="O8429" t="s">
        <v>47305</v>
      </c>
      <c r="P8429">
        <v>0</v>
      </c>
      <c r="Q8429">
        <v>0</v>
      </c>
      <c r="R8429" t="s">
        <v>47312</v>
      </c>
      <c r="S8429" t="s">
        <v>47489</v>
      </c>
      <c r="T8429" t="s">
        <v>49038</v>
      </c>
      <c r="U8429" t="s">
        <v>56515</v>
      </c>
      <c r="V8429" t="s">
        <v>63517</v>
      </c>
      <c r="W8429" t="s">
        <v>45824</v>
      </c>
      <c r="X8429" t="s">
        <v>47313</v>
      </c>
    </row>
    <row r="8430" spans="1:24">
      <c r="A8430">
        <f>HYPERLINK("https://www.philgeps.gov.ph/GEPSNONPILOT/Tender/SplashBidNoticeAbstractUI.aspx?menuIndex=3&amp;refID=7188385&amp;Result=3","7188385")</f>
        <v>0</v>
      </c>
      <c r="B8430" t="s">
        <v>2676</v>
      </c>
      <c r="C8430" t="s">
        <v>11793</v>
      </c>
      <c r="D8430" t="s">
        <v>19024</v>
      </c>
      <c r="E8430" t="s">
        <v>26331</v>
      </c>
      <c r="F8430" t="s">
        <v>32606</v>
      </c>
      <c r="G8430" t="s">
        <v>32613</v>
      </c>
      <c r="H8430" t="s">
        <v>14201</v>
      </c>
      <c r="I8430" t="s">
        <v>32635</v>
      </c>
      <c r="J8430" t="s">
        <v>38018</v>
      </c>
      <c r="K8430" t="s">
        <v>42623</v>
      </c>
      <c r="M8430" t="s">
        <v>45825</v>
      </c>
      <c r="N8430" t="s">
        <v>47304</v>
      </c>
      <c r="O8430" t="s">
        <v>47305</v>
      </c>
      <c r="P8430">
        <v>0</v>
      </c>
      <c r="Q8430">
        <v>0</v>
      </c>
      <c r="R8430" t="s">
        <v>47312</v>
      </c>
      <c r="S8430" t="s">
        <v>47489</v>
      </c>
      <c r="T8430" t="s">
        <v>49107</v>
      </c>
      <c r="U8430" t="s">
        <v>56516</v>
      </c>
      <c r="W8430" t="s">
        <v>45825</v>
      </c>
      <c r="X8430" t="s">
        <v>47313</v>
      </c>
    </row>
    <row r="8431" spans="1:24">
      <c r="A8431">
        <f>HYPERLINK("https://www.philgeps.gov.ph/GEPSNONPILOT/Tender/SplashBidNoticeAbstractUI.aspx?menuIndex=3&amp;refID=7188382&amp;Result=3","7188382")</f>
        <v>0</v>
      </c>
      <c r="B8431" t="s">
        <v>836</v>
      </c>
      <c r="C8431" t="s">
        <v>11794</v>
      </c>
      <c r="E8431" t="s">
        <v>26332</v>
      </c>
      <c r="F8431" t="s">
        <v>32606</v>
      </c>
      <c r="G8431" t="s">
        <v>32614</v>
      </c>
      <c r="H8431" t="s">
        <v>32625</v>
      </c>
      <c r="I8431" t="s">
        <v>32705</v>
      </c>
      <c r="J8431" t="s">
        <v>38019</v>
      </c>
      <c r="K8431" t="s">
        <v>42624</v>
      </c>
      <c r="M8431" t="s">
        <v>43768</v>
      </c>
      <c r="N8431" t="s">
        <v>47304</v>
      </c>
      <c r="O8431" t="s">
        <v>47305</v>
      </c>
      <c r="P8431">
        <v>0</v>
      </c>
      <c r="Q8431">
        <v>0</v>
      </c>
      <c r="R8431" t="s">
        <v>47312</v>
      </c>
      <c r="S8431" t="s">
        <v>47489</v>
      </c>
      <c r="T8431" t="s">
        <v>49269</v>
      </c>
      <c r="U8431" t="s">
        <v>56517</v>
      </c>
      <c r="W8431" t="s">
        <v>43768</v>
      </c>
      <c r="X8431" t="s">
        <v>47313</v>
      </c>
    </row>
    <row r="8432" spans="1:24">
      <c r="A8432">
        <f>HYPERLINK("https://www.philgeps.gov.ph/GEPSNONPILOT/Tender/SplashBidNoticeAbstractUI.aspx?menuIndex=3&amp;refID=7187917&amp;Result=3","7187917")</f>
        <v>0</v>
      </c>
      <c r="B8432" t="s">
        <v>2672</v>
      </c>
      <c r="C8432" t="s">
        <v>11795</v>
      </c>
      <c r="D8432" t="s">
        <v>19011</v>
      </c>
      <c r="E8432" t="s">
        <v>22261</v>
      </c>
      <c r="F8432" t="s">
        <v>32606</v>
      </c>
      <c r="G8432" t="s">
        <v>32617</v>
      </c>
      <c r="H8432" t="s">
        <v>14201</v>
      </c>
      <c r="I8432" t="s">
        <v>6993</v>
      </c>
      <c r="J8432" t="s">
        <v>34102</v>
      </c>
      <c r="K8432" t="s">
        <v>42631</v>
      </c>
      <c r="M8432" t="s">
        <v>45821</v>
      </c>
      <c r="N8432" t="s">
        <v>47304</v>
      </c>
      <c r="O8432" t="s">
        <v>47305</v>
      </c>
      <c r="P8432">
        <v>0</v>
      </c>
      <c r="Q8432">
        <v>0</v>
      </c>
      <c r="R8432" t="s">
        <v>47312</v>
      </c>
      <c r="S8432" t="s">
        <v>47489</v>
      </c>
      <c r="T8432" t="s">
        <v>49165</v>
      </c>
      <c r="U8432" t="s">
        <v>56518</v>
      </c>
      <c r="W8432" t="s">
        <v>45821</v>
      </c>
      <c r="X8432" t="s">
        <v>47313</v>
      </c>
    </row>
    <row r="8433" spans="1:24">
      <c r="A8433">
        <f>HYPERLINK("https://www.philgeps.gov.ph/GEPSNONPILOT/Tender/SplashBidNoticeAbstractUI.aspx?menuIndex=3&amp;refID=7188390&amp;Result=3","7188390")</f>
        <v>0</v>
      </c>
      <c r="B8433" t="s">
        <v>2472</v>
      </c>
      <c r="C8433" t="s">
        <v>11796</v>
      </c>
      <c r="D8433" t="s">
        <v>18994</v>
      </c>
      <c r="E8433" t="s">
        <v>26333</v>
      </c>
      <c r="F8433" t="s">
        <v>32606</v>
      </c>
      <c r="G8433" t="s">
        <v>32614</v>
      </c>
      <c r="H8433" t="s">
        <v>14201</v>
      </c>
      <c r="I8433" t="s">
        <v>32626</v>
      </c>
      <c r="J8433" t="s">
        <v>32781</v>
      </c>
      <c r="K8433" t="s">
        <v>42622</v>
      </c>
      <c r="M8433" t="s">
        <v>45813</v>
      </c>
      <c r="N8433" t="s">
        <v>47304</v>
      </c>
      <c r="O8433" t="s">
        <v>47305</v>
      </c>
      <c r="P8433">
        <v>0</v>
      </c>
      <c r="Q8433">
        <v>2</v>
      </c>
      <c r="R8433" t="s">
        <v>47312</v>
      </c>
      <c r="S8433" t="s">
        <v>47489</v>
      </c>
      <c r="T8433" t="s">
        <v>49327</v>
      </c>
      <c r="U8433" t="s">
        <v>56519</v>
      </c>
      <c r="W8433" t="s">
        <v>45813</v>
      </c>
      <c r="X8433" t="s">
        <v>47313</v>
      </c>
    </row>
    <row r="8434" spans="1:24">
      <c r="A8434">
        <f>HYPERLINK("https://www.philgeps.gov.ph/GEPSNONPILOT/Tender/SplashBidNoticeAbstractUI.aspx?menuIndex=3&amp;refID=7188378&amp;Result=3","7188378")</f>
        <v>0</v>
      </c>
      <c r="B8434" t="s">
        <v>406</v>
      </c>
      <c r="C8434" t="s">
        <v>11797</v>
      </c>
      <c r="D8434" t="s">
        <v>19057</v>
      </c>
      <c r="E8434" t="s">
        <v>11797</v>
      </c>
      <c r="F8434" t="s">
        <v>32606</v>
      </c>
      <c r="G8434" t="s">
        <v>32619</v>
      </c>
      <c r="H8434" t="s">
        <v>14201</v>
      </c>
      <c r="I8434" t="s">
        <v>7529</v>
      </c>
      <c r="J8434" t="s">
        <v>38020</v>
      </c>
      <c r="K8434" t="s">
        <v>42623</v>
      </c>
      <c r="M8434" t="s">
        <v>43310</v>
      </c>
      <c r="N8434" t="s">
        <v>47304</v>
      </c>
      <c r="O8434" t="s">
        <v>47305</v>
      </c>
      <c r="P8434">
        <v>0</v>
      </c>
      <c r="Q8434">
        <v>2</v>
      </c>
      <c r="R8434" t="s">
        <v>47312</v>
      </c>
      <c r="S8434" t="s">
        <v>47489</v>
      </c>
      <c r="T8434" t="s">
        <v>49165</v>
      </c>
      <c r="U8434" t="s">
        <v>56520</v>
      </c>
      <c r="W8434" t="s">
        <v>43310</v>
      </c>
      <c r="X8434" t="s">
        <v>47313</v>
      </c>
    </row>
    <row r="8435" spans="1:24">
      <c r="A8435">
        <f>HYPERLINK("https://www.philgeps.gov.ph/GEPSNONPILOT/Tender/SplashBidNoticeAbstractUI.aspx?menuIndex=3&amp;refID=7188391&amp;Result=3","7188391")</f>
        <v>0</v>
      </c>
      <c r="B8435" t="s">
        <v>2411</v>
      </c>
      <c r="C8435" t="s">
        <v>11798</v>
      </c>
      <c r="D8435" t="s">
        <v>19056</v>
      </c>
      <c r="E8435" t="s">
        <v>26334</v>
      </c>
      <c r="F8435" t="s">
        <v>32606</v>
      </c>
      <c r="G8435" t="s">
        <v>32613</v>
      </c>
      <c r="H8435" t="s">
        <v>32623</v>
      </c>
      <c r="I8435" t="s">
        <v>17648</v>
      </c>
      <c r="J8435" t="s">
        <v>38021</v>
      </c>
      <c r="K8435" t="s">
        <v>42631</v>
      </c>
      <c r="M8435" t="s">
        <v>45535</v>
      </c>
      <c r="N8435" t="s">
        <v>47304</v>
      </c>
      <c r="O8435" t="s">
        <v>47305</v>
      </c>
      <c r="P8435">
        <v>0</v>
      </c>
      <c r="Q8435">
        <v>0</v>
      </c>
      <c r="R8435" t="s">
        <v>47312</v>
      </c>
      <c r="S8435" t="s">
        <v>47489</v>
      </c>
      <c r="T8435" t="s">
        <v>49111</v>
      </c>
      <c r="U8435" t="s">
        <v>56521</v>
      </c>
      <c r="W8435" t="s">
        <v>45535</v>
      </c>
      <c r="X8435" t="s">
        <v>47313</v>
      </c>
    </row>
    <row r="8436" spans="1:24">
      <c r="A8436">
        <f>HYPERLINK("https://www.philgeps.gov.ph/GEPSNONPILOT/Tender/SplashBidNoticeAbstractUI.aspx?menuIndex=3&amp;refID=7188411&amp;Result=3","7188411")</f>
        <v>0</v>
      </c>
      <c r="B8436" t="s">
        <v>1749</v>
      </c>
      <c r="C8436" t="s">
        <v>11799</v>
      </c>
      <c r="D8436" t="s">
        <v>19011</v>
      </c>
      <c r="E8436" t="s">
        <v>26335</v>
      </c>
      <c r="F8436" t="s">
        <v>32606</v>
      </c>
      <c r="G8436" t="s">
        <v>32613</v>
      </c>
      <c r="H8436" t="s">
        <v>32623</v>
      </c>
      <c r="I8436" t="s">
        <v>32659</v>
      </c>
      <c r="J8436" t="s">
        <v>38022</v>
      </c>
      <c r="K8436" t="s">
        <v>42819</v>
      </c>
      <c r="M8436" t="s">
        <v>44784</v>
      </c>
      <c r="N8436" t="s">
        <v>47304</v>
      </c>
      <c r="O8436" t="s">
        <v>47305</v>
      </c>
      <c r="P8436">
        <v>0</v>
      </c>
      <c r="Q8436">
        <v>7</v>
      </c>
      <c r="R8436" t="s">
        <v>47312</v>
      </c>
      <c r="S8436" t="s">
        <v>47489</v>
      </c>
      <c r="T8436" t="s">
        <v>49393</v>
      </c>
      <c r="U8436" t="s">
        <v>56522</v>
      </c>
      <c r="W8436" t="s">
        <v>44784</v>
      </c>
      <c r="X8436" t="s">
        <v>47313</v>
      </c>
    </row>
    <row r="8437" spans="1:24">
      <c r="A8437">
        <f>HYPERLINK("https://www.philgeps.gov.ph/GEPSNONPILOT/Tender/SplashBidNoticeAbstractUI.aspx?menuIndex=3&amp;refID=7188379&amp;Result=3","7188379")</f>
        <v>0</v>
      </c>
      <c r="B8437" t="s">
        <v>243</v>
      </c>
      <c r="C8437" t="s">
        <v>11800</v>
      </c>
      <c r="D8437" t="s">
        <v>19027</v>
      </c>
      <c r="E8437" t="s">
        <v>26336</v>
      </c>
      <c r="F8437" t="s">
        <v>32606</v>
      </c>
      <c r="G8437" t="s">
        <v>32619</v>
      </c>
      <c r="H8437" t="s">
        <v>14201</v>
      </c>
      <c r="I8437" t="s">
        <v>6007</v>
      </c>
      <c r="J8437" t="s">
        <v>33119</v>
      </c>
      <c r="K8437" t="s">
        <v>42624</v>
      </c>
      <c r="M8437" t="s">
        <v>44391</v>
      </c>
      <c r="N8437" t="s">
        <v>47304</v>
      </c>
      <c r="O8437" t="s">
        <v>47305</v>
      </c>
      <c r="P8437">
        <v>0</v>
      </c>
      <c r="Q8437">
        <v>0</v>
      </c>
      <c r="R8437" t="s">
        <v>47312</v>
      </c>
      <c r="S8437" t="s">
        <v>47489</v>
      </c>
      <c r="T8437" t="s">
        <v>48980</v>
      </c>
      <c r="U8437" t="s">
        <v>56523</v>
      </c>
      <c r="W8437" t="s">
        <v>64471</v>
      </c>
      <c r="X8437" t="s">
        <v>47313</v>
      </c>
    </row>
    <row r="8438" spans="1:24">
      <c r="A8438">
        <f>HYPERLINK("https://www.philgeps.gov.ph/GEPSNONPILOT/Tender/SplashBidNoticeAbstractUI.aspx?menuIndex=3&amp;refID=7188410&amp;Result=3","7188410")</f>
        <v>0</v>
      </c>
      <c r="B8438" t="s">
        <v>2677</v>
      </c>
      <c r="C8438" t="s">
        <v>11801</v>
      </c>
      <c r="D8438" t="s">
        <v>19020</v>
      </c>
      <c r="E8438" t="s">
        <v>26337</v>
      </c>
      <c r="F8438" t="s">
        <v>32606</v>
      </c>
      <c r="G8438" t="s">
        <v>32614</v>
      </c>
      <c r="H8438" t="s">
        <v>14201</v>
      </c>
      <c r="I8438" t="s">
        <v>4114</v>
      </c>
      <c r="J8438" t="s">
        <v>38023</v>
      </c>
      <c r="K8438" t="s">
        <v>42630</v>
      </c>
      <c r="M8438" t="s">
        <v>45826</v>
      </c>
      <c r="N8438" t="s">
        <v>47304</v>
      </c>
      <c r="O8438" t="s">
        <v>47305</v>
      </c>
      <c r="P8438">
        <v>0</v>
      </c>
      <c r="Q8438">
        <v>0</v>
      </c>
      <c r="R8438" t="s">
        <v>47312</v>
      </c>
      <c r="S8438" t="s">
        <v>47489</v>
      </c>
      <c r="T8438" t="s">
        <v>49165</v>
      </c>
      <c r="U8438" t="s">
        <v>56524</v>
      </c>
      <c r="W8438" t="s">
        <v>45826</v>
      </c>
      <c r="X8438" t="s">
        <v>47313</v>
      </c>
    </row>
    <row r="8439" spans="1:24">
      <c r="A8439">
        <f>HYPERLINK("https://www.philgeps.gov.ph/GEPSNONPILOT/Tender/SplashBidNoticeAbstractUI.aspx?menuIndex=3&amp;refID=7188374&amp;Result=3","7188374")</f>
        <v>0</v>
      </c>
      <c r="B8439" t="s">
        <v>2678</v>
      </c>
      <c r="C8439" t="s">
        <v>11802</v>
      </c>
      <c r="D8439" t="s">
        <v>19035</v>
      </c>
      <c r="E8439" t="s">
        <v>20525</v>
      </c>
      <c r="F8439" t="s">
        <v>32606</v>
      </c>
      <c r="G8439" t="s">
        <v>32613</v>
      </c>
      <c r="H8439" t="s">
        <v>14201</v>
      </c>
      <c r="I8439" t="s">
        <v>6298</v>
      </c>
      <c r="J8439" t="s">
        <v>38024</v>
      </c>
      <c r="K8439" t="s">
        <v>42631</v>
      </c>
      <c r="M8439" t="s">
        <v>45827</v>
      </c>
      <c r="N8439" t="s">
        <v>47304</v>
      </c>
      <c r="O8439" t="s">
        <v>47305</v>
      </c>
      <c r="P8439">
        <v>0</v>
      </c>
      <c r="Q8439">
        <v>5</v>
      </c>
      <c r="R8439" t="s">
        <v>47312</v>
      </c>
      <c r="S8439" t="s">
        <v>47489</v>
      </c>
      <c r="T8439" t="s">
        <v>49004</v>
      </c>
      <c r="U8439" t="s">
        <v>56525</v>
      </c>
      <c r="W8439" t="s">
        <v>45827</v>
      </c>
      <c r="X8439" t="s">
        <v>47313</v>
      </c>
    </row>
    <row r="8440" spans="1:24">
      <c r="A8440">
        <f>HYPERLINK("https://www.philgeps.gov.ph/GEPSNONPILOT/Tender/SplashBidNoticeAbstractUI.aspx?menuIndex=3&amp;refID=7188428&amp;Result=3","7188428")</f>
        <v>0</v>
      </c>
      <c r="B8440" t="s">
        <v>2119</v>
      </c>
      <c r="C8440" t="s">
        <v>11803</v>
      </c>
      <c r="D8440" t="s">
        <v>18993</v>
      </c>
      <c r="E8440" t="s">
        <v>26338</v>
      </c>
      <c r="F8440" t="s">
        <v>32607</v>
      </c>
      <c r="G8440" t="s">
        <v>32613</v>
      </c>
      <c r="H8440" t="s">
        <v>14201</v>
      </c>
      <c r="I8440" t="s">
        <v>32721</v>
      </c>
      <c r="J8440" t="s">
        <v>32789</v>
      </c>
      <c r="K8440" t="s">
        <v>42631</v>
      </c>
      <c r="M8440" t="s">
        <v>45206</v>
      </c>
      <c r="N8440" t="s">
        <v>47304</v>
      </c>
      <c r="O8440" t="s">
        <v>47305</v>
      </c>
      <c r="P8440">
        <v>0</v>
      </c>
      <c r="Q8440">
        <v>0</v>
      </c>
      <c r="R8440" t="s">
        <v>47312</v>
      </c>
      <c r="S8440" t="s">
        <v>47489</v>
      </c>
      <c r="T8440" t="s">
        <v>49084</v>
      </c>
      <c r="U8440" t="s">
        <v>56526</v>
      </c>
      <c r="V8440" t="s">
        <v>63251</v>
      </c>
      <c r="W8440" t="s">
        <v>45206</v>
      </c>
      <c r="X8440" t="s">
        <v>47313</v>
      </c>
    </row>
    <row r="8441" spans="1:24">
      <c r="A8441">
        <f>HYPERLINK("https://www.philgeps.gov.ph/GEPSNONPILOT/Tender/SplashBidNoticeAbstractUI.aspx?menuIndex=3&amp;refID=7188425&amp;Result=3","7188425")</f>
        <v>0</v>
      </c>
      <c r="B8441" t="s">
        <v>2679</v>
      </c>
      <c r="C8441" t="s">
        <v>11804</v>
      </c>
      <c r="D8441" t="s">
        <v>18993</v>
      </c>
      <c r="E8441" t="s">
        <v>26339</v>
      </c>
      <c r="F8441" t="s">
        <v>32606</v>
      </c>
      <c r="G8441" t="s">
        <v>32613</v>
      </c>
      <c r="H8441" t="s">
        <v>14201</v>
      </c>
      <c r="I8441" t="s">
        <v>32715</v>
      </c>
      <c r="J8441" t="s">
        <v>32981</v>
      </c>
      <c r="K8441" t="s">
        <v>42624</v>
      </c>
      <c r="M8441" t="s">
        <v>45828</v>
      </c>
      <c r="N8441" t="s">
        <v>47304</v>
      </c>
      <c r="O8441" t="s">
        <v>47305</v>
      </c>
      <c r="P8441">
        <v>0</v>
      </c>
      <c r="Q8441">
        <v>2</v>
      </c>
      <c r="R8441" t="s">
        <v>47312</v>
      </c>
      <c r="S8441" t="s">
        <v>47489</v>
      </c>
      <c r="T8441" t="s">
        <v>49068</v>
      </c>
      <c r="U8441" t="s">
        <v>56527</v>
      </c>
      <c r="W8441" t="s">
        <v>45828</v>
      </c>
      <c r="X8441" t="s">
        <v>47313</v>
      </c>
    </row>
    <row r="8442" spans="1:24">
      <c r="A8442">
        <f>HYPERLINK("https://www.philgeps.gov.ph/GEPSNONPILOT/Tender/SplashBidNoticeAbstractUI.aspx?menuIndex=3&amp;refID=7188383&amp;Result=3","7188383")</f>
        <v>0</v>
      </c>
      <c r="B8442" t="s">
        <v>2680</v>
      </c>
      <c r="C8442" t="s">
        <v>11805</v>
      </c>
      <c r="D8442" t="s">
        <v>19016</v>
      </c>
      <c r="E8442" t="s">
        <v>26340</v>
      </c>
      <c r="F8442" t="s">
        <v>32606</v>
      </c>
      <c r="G8442" t="s">
        <v>32617</v>
      </c>
      <c r="H8442" t="s">
        <v>14201</v>
      </c>
      <c r="I8442" t="s">
        <v>6298</v>
      </c>
      <c r="J8442" t="s">
        <v>38025</v>
      </c>
      <c r="K8442" t="s">
        <v>42630</v>
      </c>
      <c r="M8442" t="s">
        <v>45829</v>
      </c>
      <c r="N8442" t="s">
        <v>47304</v>
      </c>
      <c r="O8442" t="s">
        <v>47305</v>
      </c>
      <c r="P8442">
        <v>0</v>
      </c>
      <c r="Q8442">
        <v>7</v>
      </c>
      <c r="R8442" t="s">
        <v>47312</v>
      </c>
      <c r="S8442" t="s">
        <v>47489</v>
      </c>
      <c r="T8442" t="s">
        <v>49047</v>
      </c>
      <c r="U8442" t="s">
        <v>56528</v>
      </c>
      <c r="V8442" t="s">
        <v>63518</v>
      </c>
      <c r="W8442" t="s">
        <v>45829</v>
      </c>
      <c r="X8442" t="s">
        <v>47313</v>
      </c>
    </row>
    <row r="8443" spans="1:24">
      <c r="A8443">
        <f>HYPERLINK("https://www.philgeps.gov.ph/GEPSNONPILOT/Tender/SplashBidNoticeAbstractUI.aspx?menuIndex=3&amp;refID=7188422&amp;Result=3","7188422")</f>
        <v>0</v>
      </c>
      <c r="B8443" t="s">
        <v>2681</v>
      </c>
      <c r="C8443" t="s">
        <v>11806</v>
      </c>
      <c r="D8443" t="s">
        <v>18988</v>
      </c>
      <c r="E8443" t="s">
        <v>26341</v>
      </c>
      <c r="F8443" t="s">
        <v>32606</v>
      </c>
      <c r="G8443" t="s">
        <v>32614</v>
      </c>
      <c r="H8443" t="s">
        <v>14201</v>
      </c>
      <c r="I8443" t="s">
        <v>32742</v>
      </c>
      <c r="J8443" t="s">
        <v>34238</v>
      </c>
      <c r="K8443" t="s">
        <v>42624</v>
      </c>
      <c r="M8443" t="s">
        <v>45830</v>
      </c>
      <c r="N8443" t="s">
        <v>47304</v>
      </c>
      <c r="O8443" t="s">
        <v>47305</v>
      </c>
      <c r="P8443">
        <v>0</v>
      </c>
      <c r="Q8443">
        <v>6</v>
      </c>
      <c r="R8443" t="s">
        <v>47312</v>
      </c>
      <c r="S8443" t="s">
        <v>47489</v>
      </c>
      <c r="T8443" t="s">
        <v>49070</v>
      </c>
      <c r="U8443" t="s">
        <v>56529</v>
      </c>
      <c r="V8443" t="s">
        <v>63519</v>
      </c>
      <c r="W8443" t="s">
        <v>45830</v>
      </c>
      <c r="X8443" t="s">
        <v>47313</v>
      </c>
    </row>
    <row r="8444" spans="1:24">
      <c r="A8444">
        <f>HYPERLINK("https://www.philgeps.gov.ph/GEPSNONPILOT/Tender/SplashBidNoticeAbstractUI.aspx?menuIndex=3&amp;refID=7188418&amp;Result=3","7188418")</f>
        <v>0</v>
      </c>
      <c r="B8444" t="s">
        <v>2505</v>
      </c>
      <c r="C8444" t="s">
        <v>11807</v>
      </c>
      <c r="D8444" t="s">
        <v>19007</v>
      </c>
      <c r="E8444" t="s">
        <v>25893</v>
      </c>
      <c r="F8444" t="s">
        <v>32606</v>
      </c>
      <c r="G8444" t="s">
        <v>32613</v>
      </c>
      <c r="H8444" t="s">
        <v>32623</v>
      </c>
      <c r="I8444" t="s">
        <v>17648</v>
      </c>
      <c r="J8444" t="s">
        <v>38026</v>
      </c>
      <c r="K8444" t="s">
        <v>42631</v>
      </c>
      <c r="M8444" t="s">
        <v>45644</v>
      </c>
      <c r="N8444" t="s">
        <v>47304</v>
      </c>
      <c r="O8444" t="s">
        <v>47305</v>
      </c>
      <c r="P8444">
        <v>0</v>
      </c>
      <c r="Q8444">
        <v>0</v>
      </c>
      <c r="R8444" t="s">
        <v>47312</v>
      </c>
      <c r="S8444" t="s">
        <v>47489</v>
      </c>
      <c r="T8444" t="s">
        <v>49077</v>
      </c>
      <c r="U8444" t="s">
        <v>56075</v>
      </c>
      <c r="V8444" t="s">
        <v>63520</v>
      </c>
      <c r="W8444" t="s">
        <v>45644</v>
      </c>
      <c r="X8444" t="s">
        <v>47313</v>
      </c>
    </row>
    <row r="8445" spans="1:24">
      <c r="A8445">
        <f>HYPERLINK("https://www.philgeps.gov.ph/GEPSNONPILOT/Tender/SplashBidNoticeAbstractUI.aspx?menuIndex=3&amp;refID=7188416&amp;Result=3","7188416")</f>
        <v>0</v>
      </c>
      <c r="B8445" t="s">
        <v>383</v>
      </c>
      <c r="C8445" t="s">
        <v>7010</v>
      </c>
      <c r="E8445" t="s">
        <v>26342</v>
      </c>
      <c r="F8445" t="s">
        <v>32606</v>
      </c>
      <c r="G8445" t="s">
        <v>32614</v>
      </c>
      <c r="H8445" t="s">
        <v>14201</v>
      </c>
      <c r="I8445" t="s">
        <v>32633</v>
      </c>
      <c r="J8445" t="s">
        <v>34960</v>
      </c>
      <c r="K8445" t="s">
        <v>42624</v>
      </c>
      <c r="M8445" t="s">
        <v>43286</v>
      </c>
      <c r="N8445" t="s">
        <v>47304</v>
      </c>
      <c r="O8445" t="s">
        <v>47305</v>
      </c>
      <c r="P8445">
        <v>0</v>
      </c>
      <c r="Q8445">
        <v>1</v>
      </c>
      <c r="R8445" t="s">
        <v>47312</v>
      </c>
      <c r="S8445" t="s">
        <v>47489</v>
      </c>
      <c r="T8445" t="s">
        <v>49102</v>
      </c>
      <c r="U8445" t="s">
        <v>51516</v>
      </c>
      <c r="W8445" t="s">
        <v>43286</v>
      </c>
      <c r="X8445" t="s">
        <v>47313</v>
      </c>
    </row>
    <row r="8446" spans="1:24">
      <c r="A8446">
        <f>HYPERLINK("https://www.philgeps.gov.ph/GEPSNONPILOT/Tender/SplashBidNoticeAbstractUI.aspx?menuIndex=3&amp;refID=7188409&amp;Result=3","7188409")</f>
        <v>0</v>
      </c>
      <c r="B8446" t="s">
        <v>1124</v>
      </c>
      <c r="C8446" t="s">
        <v>11808</v>
      </c>
      <c r="D8446" t="s">
        <v>18993</v>
      </c>
      <c r="E8446" t="s">
        <v>26343</v>
      </c>
      <c r="F8446" t="s">
        <v>32606</v>
      </c>
      <c r="G8446" t="s">
        <v>32613</v>
      </c>
      <c r="H8446" t="s">
        <v>14201</v>
      </c>
      <c r="I8446" t="s">
        <v>32640</v>
      </c>
      <c r="J8446" t="s">
        <v>33039</v>
      </c>
      <c r="K8446" t="s">
        <v>42627</v>
      </c>
      <c r="M8446" t="s">
        <v>45831</v>
      </c>
      <c r="N8446" t="s">
        <v>47304</v>
      </c>
      <c r="O8446" t="s">
        <v>47305</v>
      </c>
      <c r="P8446">
        <v>0</v>
      </c>
      <c r="Q8446">
        <v>10</v>
      </c>
      <c r="R8446" t="s">
        <v>47312</v>
      </c>
      <c r="S8446" t="s">
        <v>47489</v>
      </c>
      <c r="T8446" t="s">
        <v>49240</v>
      </c>
      <c r="U8446" t="s">
        <v>56530</v>
      </c>
      <c r="W8446" t="s">
        <v>45831</v>
      </c>
      <c r="X8446" t="s">
        <v>47313</v>
      </c>
    </row>
    <row r="8447" spans="1:24">
      <c r="A8447">
        <f>HYPERLINK("https://www.philgeps.gov.ph/GEPSNONPILOT/Tender/SplashBidNoticeAbstractUI.aspx?menuIndex=3&amp;refID=7188407&amp;Result=3","7188407")</f>
        <v>0</v>
      </c>
      <c r="B8447" t="s">
        <v>2682</v>
      </c>
      <c r="C8447" t="s">
        <v>11809</v>
      </c>
      <c r="D8447" t="s">
        <v>19009</v>
      </c>
      <c r="E8447" t="s">
        <v>26344</v>
      </c>
      <c r="F8447" t="s">
        <v>32606</v>
      </c>
      <c r="G8447" t="s">
        <v>32613</v>
      </c>
      <c r="H8447" t="s">
        <v>14201</v>
      </c>
      <c r="I8447" t="s">
        <v>32630</v>
      </c>
      <c r="J8447" t="s">
        <v>38027</v>
      </c>
      <c r="K8447" t="s">
        <v>42631</v>
      </c>
      <c r="M8447" t="s">
        <v>45832</v>
      </c>
      <c r="N8447" t="s">
        <v>47304</v>
      </c>
      <c r="O8447" t="s">
        <v>47305</v>
      </c>
      <c r="P8447">
        <v>0</v>
      </c>
      <c r="Q8447">
        <v>5</v>
      </c>
      <c r="R8447" t="s">
        <v>47312</v>
      </c>
      <c r="S8447" t="s">
        <v>47489</v>
      </c>
      <c r="T8447" t="s">
        <v>49057</v>
      </c>
      <c r="U8447" t="s">
        <v>56531</v>
      </c>
      <c r="V8447" t="s">
        <v>63521</v>
      </c>
      <c r="W8447" t="s">
        <v>45832</v>
      </c>
      <c r="X8447" t="s">
        <v>47313</v>
      </c>
    </row>
    <row r="8448" spans="1:24">
      <c r="A8448">
        <f>HYPERLINK("https://www.philgeps.gov.ph/GEPSNONPILOT/Tender/SplashBidNoticeAbstractUI.aspx?menuIndex=3&amp;refID=7188403&amp;Result=3","7188403")</f>
        <v>0</v>
      </c>
      <c r="B8448" t="s">
        <v>2505</v>
      </c>
      <c r="C8448" t="s">
        <v>11810</v>
      </c>
      <c r="D8448" t="s">
        <v>19007</v>
      </c>
      <c r="E8448" t="s">
        <v>25893</v>
      </c>
      <c r="F8448" t="s">
        <v>32606</v>
      </c>
      <c r="G8448" t="s">
        <v>32613</v>
      </c>
      <c r="H8448" t="s">
        <v>32623</v>
      </c>
      <c r="I8448" t="s">
        <v>17648</v>
      </c>
      <c r="J8448" t="s">
        <v>38028</v>
      </c>
      <c r="K8448" t="s">
        <v>42646</v>
      </c>
      <c r="M8448" t="s">
        <v>45644</v>
      </c>
      <c r="N8448" t="s">
        <v>47304</v>
      </c>
      <c r="O8448" t="s">
        <v>47305</v>
      </c>
      <c r="P8448">
        <v>0</v>
      </c>
      <c r="Q8448">
        <v>0</v>
      </c>
      <c r="R8448" t="s">
        <v>47312</v>
      </c>
      <c r="S8448" t="s">
        <v>47489</v>
      </c>
      <c r="T8448" t="s">
        <v>49077</v>
      </c>
      <c r="U8448" t="s">
        <v>56075</v>
      </c>
      <c r="V8448" t="s">
        <v>63522</v>
      </c>
      <c r="W8448" t="s">
        <v>45644</v>
      </c>
      <c r="X8448" t="s">
        <v>47313</v>
      </c>
    </row>
    <row r="8449" spans="1:24">
      <c r="A8449">
        <f>HYPERLINK("https://www.philgeps.gov.ph/GEPSNONPILOT/Tender/SplashBidNoticeAbstractUI.aspx?menuIndex=3&amp;refID=7188424&amp;Result=3","7188424")</f>
        <v>0</v>
      </c>
      <c r="B8449" t="s">
        <v>2677</v>
      </c>
      <c r="C8449" t="s">
        <v>11811</v>
      </c>
      <c r="D8449" t="s">
        <v>19020</v>
      </c>
      <c r="E8449" t="s">
        <v>26345</v>
      </c>
      <c r="F8449" t="s">
        <v>32606</v>
      </c>
      <c r="G8449" t="s">
        <v>32614</v>
      </c>
      <c r="H8449" t="s">
        <v>14201</v>
      </c>
      <c r="I8449" t="s">
        <v>4114</v>
      </c>
      <c r="J8449" t="s">
        <v>38029</v>
      </c>
      <c r="K8449" t="s">
        <v>42630</v>
      </c>
      <c r="M8449" t="s">
        <v>45826</v>
      </c>
      <c r="N8449" t="s">
        <v>47304</v>
      </c>
      <c r="O8449" t="s">
        <v>47305</v>
      </c>
      <c r="P8449">
        <v>0</v>
      </c>
      <c r="Q8449">
        <v>0</v>
      </c>
      <c r="R8449" t="s">
        <v>47312</v>
      </c>
      <c r="S8449" t="s">
        <v>47489</v>
      </c>
      <c r="T8449" t="s">
        <v>49165</v>
      </c>
      <c r="U8449" t="s">
        <v>56532</v>
      </c>
      <c r="W8449" t="s">
        <v>45826</v>
      </c>
      <c r="X8449" t="s">
        <v>47313</v>
      </c>
    </row>
    <row r="8450" spans="1:24">
      <c r="A8450">
        <f>HYPERLINK("https://www.philgeps.gov.ph/GEPSNONPILOT/Tender/SplashBidNoticeAbstractUI.aspx?menuIndex=3&amp;refID=7188401&amp;Result=3","7188401")</f>
        <v>0</v>
      </c>
      <c r="B8450" t="s">
        <v>2683</v>
      </c>
      <c r="C8450" t="s">
        <v>11812</v>
      </c>
      <c r="D8450" t="s">
        <v>19012</v>
      </c>
      <c r="E8450" t="s">
        <v>11812</v>
      </c>
      <c r="F8450" t="s">
        <v>32606</v>
      </c>
      <c r="G8450" t="s">
        <v>32614</v>
      </c>
      <c r="H8450" t="s">
        <v>32623</v>
      </c>
      <c r="I8450" t="s">
        <v>17648</v>
      </c>
      <c r="J8450" t="s">
        <v>32967</v>
      </c>
      <c r="K8450" t="s">
        <v>42631</v>
      </c>
      <c r="M8450" t="s">
        <v>45833</v>
      </c>
      <c r="N8450" t="s">
        <v>47304</v>
      </c>
      <c r="O8450" t="s">
        <v>47305</v>
      </c>
      <c r="P8450">
        <v>0</v>
      </c>
      <c r="Q8450">
        <v>1</v>
      </c>
      <c r="R8450" t="s">
        <v>47312</v>
      </c>
      <c r="S8450" t="s">
        <v>47489</v>
      </c>
      <c r="T8450" t="s">
        <v>48986</v>
      </c>
      <c r="U8450" t="s">
        <v>56533</v>
      </c>
      <c r="V8450" t="s">
        <v>63523</v>
      </c>
      <c r="W8450" t="s">
        <v>45833</v>
      </c>
      <c r="X8450" t="s">
        <v>47313</v>
      </c>
    </row>
    <row r="8451" spans="1:24">
      <c r="A8451">
        <f>HYPERLINK("https://www.philgeps.gov.ph/GEPSNONPILOT/Tender/SplashBidNoticeAbstractUI.aspx?menuIndex=3&amp;refID=7188400&amp;Result=3","7188400")</f>
        <v>0</v>
      </c>
      <c r="B8451" t="s">
        <v>383</v>
      </c>
      <c r="C8451" t="s">
        <v>9005</v>
      </c>
      <c r="E8451" t="s">
        <v>26346</v>
      </c>
      <c r="F8451" t="s">
        <v>32606</v>
      </c>
      <c r="G8451" t="s">
        <v>32614</v>
      </c>
      <c r="H8451" t="s">
        <v>14201</v>
      </c>
      <c r="I8451" t="s">
        <v>32638</v>
      </c>
      <c r="J8451" t="s">
        <v>36055</v>
      </c>
      <c r="K8451" t="s">
        <v>42624</v>
      </c>
      <c r="M8451" t="s">
        <v>43286</v>
      </c>
      <c r="N8451" t="s">
        <v>47304</v>
      </c>
      <c r="O8451" t="s">
        <v>47305</v>
      </c>
      <c r="P8451">
        <v>0</v>
      </c>
      <c r="Q8451">
        <v>5</v>
      </c>
      <c r="R8451" t="s">
        <v>47312</v>
      </c>
      <c r="S8451" t="s">
        <v>47489</v>
      </c>
      <c r="T8451" t="s">
        <v>49102</v>
      </c>
      <c r="U8451" t="s">
        <v>56534</v>
      </c>
      <c r="W8451" t="s">
        <v>43286</v>
      </c>
      <c r="X8451" t="s">
        <v>47313</v>
      </c>
    </row>
    <row r="8452" spans="1:24">
      <c r="A8452">
        <f>HYPERLINK("https://www.philgeps.gov.ph/GEPSNONPILOT/Tender/SplashBidNoticeAbstractUI.aspx?menuIndex=3&amp;refID=7188398&amp;Result=3","7188398")</f>
        <v>0</v>
      </c>
      <c r="B8452" t="s">
        <v>2516</v>
      </c>
      <c r="C8452" t="s">
        <v>11813</v>
      </c>
      <c r="D8452" t="s">
        <v>18995</v>
      </c>
      <c r="E8452" t="s">
        <v>26347</v>
      </c>
      <c r="F8452" t="s">
        <v>32606</v>
      </c>
      <c r="G8452" t="s">
        <v>32613</v>
      </c>
      <c r="H8452" t="s">
        <v>32623</v>
      </c>
      <c r="I8452" t="s">
        <v>17648</v>
      </c>
      <c r="J8452" t="s">
        <v>38030</v>
      </c>
      <c r="K8452" t="s">
        <v>42631</v>
      </c>
      <c r="M8452" t="s">
        <v>45657</v>
      </c>
      <c r="N8452" t="s">
        <v>47304</v>
      </c>
      <c r="O8452" t="s">
        <v>47305</v>
      </c>
      <c r="P8452">
        <v>0</v>
      </c>
      <c r="Q8452">
        <v>6</v>
      </c>
      <c r="R8452" t="s">
        <v>47312</v>
      </c>
      <c r="S8452" t="s">
        <v>47489</v>
      </c>
      <c r="T8452" t="s">
        <v>49364</v>
      </c>
      <c r="U8452" t="s">
        <v>56535</v>
      </c>
      <c r="W8452" t="s">
        <v>45657</v>
      </c>
      <c r="X8452" t="s">
        <v>47313</v>
      </c>
    </row>
    <row r="8453" spans="1:24">
      <c r="A8453">
        <f>HYPERLINK("https://www.philgeps.gov.ph/GEPSNONPILOT/Tender/SplashBidNoticeAbstractUI.aspx?menuIndex=3&amp;refID=7188395&amp;Result=3","7188395")</f>
        <v>0</v>
      </c>
      <c r="B8453" t="s">
        <v>243</v>
      </c>
      <c r="C8453" t="s">
        <v>11814</v>
      </c>
      <c r="D8453" t="s">
        <v>19027</v>
      </c>
      <c r="E8453" t="s">
        <v>26348</v>
      </c>
      <c r="F8453" t="s">
        <v>32606</v>
      </c>
      <c r="G8453" t="s">
        <v>32619</v>
      </c>
      <c r="H8453" t="s">
        <v>14201</v>
      </c>
      <c r="I8453" t="s">
        <v>32629</v>
      </c>
      <c r="J8453" t="s">
        <v>38031</v>
      </c>
      <c r="K8453" t="s">
        <v>42624</v>
      </c>
      <c r="M8453" t="s">
        <v>44391</v>
      </c>
      <c r="N8453" t="s">
        <v>47304</v>
      </c>
      <c r="O8453" t="s">
        <v>47305</v>
      </c>
      <c r="P8453">
        <v>0</v>
      </c>
      <c r="Q8453">
        <v>0</v>
      </c>
      <c r="R8453" t="s">
        <v>47312</v>
      </c>
      <c r="S8453" t="s">
        <v>47489</v>
      </c>
      <c r="T8453" t="s">
        <v>48980</v>
      </c>
      <c r="U8453" t="s">
        <v>56536</v>
      </c>
      <c r="W8453" t="s">
        <v>64471</v>
      </c>
      <c r="X8453" t="s">
        <v>47313</v>
      </c>
    </row>
    <row r="8454" spans="1:24">
      <c r="A8454">
        <f>HYPERLINK("https://www.philgeps.gov.ph/GEPSNONPILOT/Tender/SplashBidNoticeAbstractUI.aspx?menuIndex=3&amp;refID=7188394&amp;Result=3","7188394")</f>
        <v>0</v>
      </c>
      <c r="B8454" t="s">
        <v>2119</v>
      </c>
      <c r="C8454" t="s">
        <v>11815</v>
      </c>
      <c r="D8454" t="s">
        <v>18993</v>
      </c>
      <c r="E8454" t="s">
        <v>26349</v>
      </c>
      <c r="F8454" t="s">
        <v>32607</v>
      </c>
      <c r="G8454" t="s">
        <v>32613</v>
      </c>
      <c r="H8454" t="s">
        <v>14201</v>
      </c>
      <c r="I8454" t="s">
        <v>32721</v>
      </c>
      <c r="J8454" t="s">
        <v>32770</v>
      </c>
      <c r="K8454" t="s">
        <v>42631</v>
      </c>
      <c r="M8454" t="s">
        <v>45206</v>
      </c>
      <c r="N8454" t="s">
        <v>47304</v>
      </c>
      <c r="O8454" t="s">
        <v>47305</v>
      </c>
      <c r="P8454">
        <v>0</v>
      </c>
      <c r="Q8454">
        <v>6</v>
      </c>
      <c r="R8454" t="s">
        <v>47312</v>
      </c>
      <c r="S8454" t="s">
        <v>47489</v>
      </c>
      <c r="T8454" t="s">
        <v>49348</v>
      </c>
      <c r="U8454" t="s">
        <v>56537</v>
      </c>
      <c r="V8454" t="s">
        <v>63251</v>
      </c>
      <c r="W8454" t="s">
        <v>45206</v>
      </c>
      <c r="X8454" t="s">
        <v>47313</v>
      </c>
    </row>
    <row r="8455" spans="1:24">
      <c r="A8455">
        <f>HYPERLINK("https://www.philgeps.gov.ph/GEPSNONPILOT/Tender/SplashBidNoticeAbstractUI.aspx?menuIndex=3&amp;refID=7188392&amp;Result=3","7188392")</f>
        <v>0</v>
      </c>
      <c r="B8455" t="s">
        <v>2677</v>
      </c>
      <c r="C8455" t="s">
        <v>11816</v>
      </c>
      <c r="D8455" t="s">
        <v>19020</v>
      </c>
      <c r="E8455" t="s">
        <v>26350</v>
      </c>
      <c r="F8455" t="s">
        <v>32606</v>
      </c>
      <c r="G8455" t="s">
        <v>32614</v>
      </c>
      <c r="H8455" t="s">
        <v>14201</v>
      </c>
      <c r="I8455" t="s">
        <v>4114</v>
      </c>
      <c r="J8455" t="s">
        <v>38032</v>
      </c>
      <c r="K8455" t="s">
        <v>42630</v>
      </c>
      <c r="M8455" t="s">
        <v>45826</v>
      </c>
      <c r="N8455" t="s">
        <v>47304</v>
      </c>
      <c r="O8455" t="s">
        <v>47305</v>
      </c>
      <c r="P8455">
        <v>0</v>
      </c>
      <c r="Q8455">
        <v>0</v>
      </c>
      <c r="R8455" t="s">
        <v>47312</v>
      </c>
      <c r="S8455" t="s">
        <v>47489</v>
      </c>
      <c r="T8455" t="s">
        <v>49165</v>
      </c>
      <c r="U8455" t="s">
        <v>56538</v>
      </c>
      <c r="W8455" t="s">
        <v>45826</v>
      </c>
      <c r="X8455" t="s">
        <v>47313</v>
      </c>
    </row>
    <row r="8456" spans="1:24">
      <c r="A8456">
        <f>HYPERLINK("https://www.philgeps.gov.ph/GEPSNONPILOT/Tender/SplashBidNoticeAbstractUI.aspx?menuIndex=3&amp;refID=7188430&amp;Result=3","7188430")</f>
        <v>0</v>
      </c>
      <c r="B8456" t="s">
        <v>2505</v>
      </c>
      <c r="C8456" t="s">
        <v>11817</v>
      </c>
      <c r="D8456" t="s">
        <v>19007</v>
      </c>
      <c r="E8456" t="s">
        <v>25893</v>
      </c>
      <c r="F8456" t="s">
        <v>32606</v>
      </c>
      <c r="G8456" t="s">
        <v>32613</v>
      </c>
      <c r="H8456" t="s">
        <v>32623</v>
      </c>
      <c r="I8456" t="s">
        <v>17648</v>
      </c>
      <c r="J8456" t="s">
        <v>38033</v>
      </c>
      <c r="K8456" t="s">
        <v>42645</v>
      </c>
      <c r="M8456" t="s">
        <v>45644</v>
      </c>
      <c r="N8456" t="s">
        <v>47304</v>
      </c>
      <c r="O8456" t="s">
        <v>47305</v>
      </c>
      <c r="P8456">
        <v>0</v>
      </c>
      <c r="Q8456">
        <v>2</v>
      </c>
      <c r="R8456" t="s">
        <v>47312</v>
      </c>
      <c r="S8456" t="s">
        <v>47489</v>
      </c>
      <c r="T8456" t="s">
        <v>49077</v>
      </c>
      <c r="U8456" t="s">
        <v>56075</v>
      </c>
      <c r="V8456" t="s">
        <v>63524</v>
      </c>
      <c r="W8456" t="s">
        <v>45644</v>
      </c>
      <c r="X8456" t="s">
        <v>47313</v>
      </c>
    </row>
    <row r="8457" spans="1:24">
      <c r="A8457">
        <f>HYPERLINK("https://www.philgeps.gov.ph/GEPSNONPILOT/Tender/SplashBidNoticeAbstractUI.aspx?menuIndex=3&amp;refID=7188450&amp;Result=3","7188450")</f>
        <v>0</v>
      </c>
      <c r="B8457" t="s">
        <v>2472</v>
      </c>
      <c r="C8457" t="s">
        <v>11818</v>
      </c>
      <c r="D8457" t="s">
        <v>18994</v>
      </c>
      <c r="E8457" t="s">
        <v>26351</v>
      </c>
      <c r="F8457" t="s">
        <v>32606</v>
      </c>
      <c r="G8457" t="s">
        <v>32614</v>
      </c>
      <c r="H8457" t="s">
        <v>14201</v>
      </c>
      <c r="I8457" t="s">
        <v>6993</v>
      </c>
      <c r="J8457" t="s">
        <v>38034</v>
      </c>
      <c r="K8457" t="s">
        <v>42622</v>
      </c>
      <c r="M8457" t="s">
        <v>45813</v>
      </c>
      <c r="N8457" t="s">
        <v>47304</v>
      </c>
      <c r="O8457" t="s">
        <v>47305</v>
      </c>
      <c r="P8457">
        <v>0</v>
      </c>
      <c r="Q8457">
        <v>0</v>
      </c>
      <c r="R8457" t="s">
        <v>47312</v>
      </c>
      <c r="S8457" t="s">
        <v>47489</v>
      </c>
      <c r="T8457" t="s">
        <v>49327</v>
      </c>
      <c r="U8457" t="s">
        <v>56539</v>
      </c>
      <c r="W8457" t="s">
        <v>45813</v>
      </c>
      <c r="X8457" t="s">
        <v>47313</v>
      </c>
    </row>
    <row r="8458" spans="1:24">
      <c r="A8458">
        <f>HYPERLINK("https://www.philgeps.gov.ph/GEPSNONPILOT/Tender/SplashBidNoticeAbstractUI.aspx?menuIndex=3&amp;refID=7188449&amp;Result=3","7188449")</f>
        <v>0</v>
      </c>
      <c r="B8458" t="s">
        <v>494</v>
      </c>
      <c r="C8458" t="s">
        <v>11819</v>
      </c>
      <c r="D8458" t="s">
        <v>19006</v>
      </c>
      <c r="E8458" t="s">
        <v>26352</v>
      </c>
      <c r="F8458" t="s">
        <v>32607</v>
      </c>
      <c r="G8458" t="s">
        <v>32614</v>
      </c>
      <c r="H8458" t="s">
        <v>14201</v>
      </c>
      <c r="I8458" t="s">
        <v>8682</v>
      </c>
      <c r="J8458" t="s">
        <v>38035</v>
      </c>
      <c r="K8458" t="s">
        <v>42623</v>
      </c>
      <c r="M8458" t="s">
        <v>43407</v>
      </c>
      <c r="N8458" t="s">
        <v>47304</v>
      </c>
      <c r="O8458" t="s">
        <v>47305</v>
      </c>
      <c r="P8458">
        <v>0</v>
      </c>
      <c r="Q8458">
        <v>2</v>
      </c>
      <c r="R8458" t="s">
        <v>47312</v>
      </c>
      <c r="S8458" t="s">
        <v>47489</v>
      </c>
      <c r="T8458" t="s">
        <v>48998</v>
      </c>
      <c r="U8458" t="s">
        <v>56540</v>
      </c>
      <c r="W8458" t="s">
        <v>43407</v>
      </c>
      <c r="X8458" t="s">
        <v>47313</v>
      </c>
    </row>
    <row r="8459" spans="1:24">
      <c r="A8459">
        <f>HYPERLINK("https://www.philgeps.gov.ph/GEPSNONPILOT/Tender/SplashBidNoticeAbstractUI.aspx?menuIndex=3&amp;refID=7188426&amp;Result=3","7188426")</f>
        <v>0</v>
      </c>
      <c r="B8459" t="s">
        <v>2684</v>
      </c>
      <c r="C8459" t="s">
        <v>4315</v>
      </c>
      <c r="D8459" t="s">
        <v>18988</v>
      </c>
      <c r="E8459" t="s">
        <v>26353</v>
      </c>
      <c r="F8459" t="s">
        <v>32606</v>
      </c>
      <c r="G8459" t="s">
        <v>32618</v>
      </c>
      <c r="H8459" t="s">
        <v>14201</v>
      </c>
      <c r="I8459" t="s">
        <v>4114</v>
      </c>
      <c r="J8459" t="s">
        <v>38036</v>
      </c>
      <c r="K8459" t="s">
        <v>42632</v>
      </c>
      <c r="M8459" t="s">
        <v>45834</v>
      </c>
      <c r="N8459" t="s">
        <v>47304</v>
      </c>
      <c r="O8459" t="s">
        <v>47305</v>
      </c>
      <c r="P8459">
        <v>0</v>
      </c>
      <c r="Q8459">
        <v>5</v>
      </c>
      <c r="R8459" t="s">
        <v>47312</v>
      </c>
      <c r="S8459" t="s">
        <v>47489</v>
      </c>
      <c r="T8459" t="s">
        <v>49291</v>
      </c>
      <c r="U8459" t="s">
        <v>53348</v>
      </c>
      <c r="V8459" t="s">
        <v>63525</v>
      </c>
      <c r="W8459" t="s">
        <v>45834</v>
      </c>
      <c r="X8459" t="s">
        <v>47313</v>
      </c>
    </row>
    <row r="8460" spans="1:24">
      <c r="A8460">
        <f>HYPERLINK("https://www.philgeps.gov.ph/GEPSNONPILOT/Tender/SplashBidNoticeAbstractUI.aspx?menuIndex=3&amp;refID=7188467&amp;Result=3","7188467")</f>
        <v>0</v>
      </c>
      <c r="B8460" t="s">
        <v>2679</v>
      </c>
      <c r="C8460" t="s">
        <v>11820</v>
      </c>
      <c r="D8460" t="s">
        <v>18993</v>
      </c>
      <c r="E8460" t="s">
        <v>26354</v>
      </c>
      <c r="F8460" t="s">
        <v>32606</v>
      </c>
      <c r="G8460" t="s">
        <v>32613</v>
      </c>
      <c r="H8460" t="s">
        <v>14201</v>
      </c>
      <c r="I8460" t="s">
        <v>32715</v>
      </c>
      <c r="J8460" t="s">
        <v>32767</v>
      </c>
      <c r="K8460" t="s">
        <v>42624</v>
      </c>
      <c r="M8460" t="s">
        <v>45828</v>
      </c>
      <c r="N8460" t="s">
        <v>47304</v>
      </c>
      <c r="O8460" t="s">
        <v>47305</v>
      </c>
      <c r="P8460">
        <v>0</v>
      </c>
      <c r="Q8460">
        <v>3</v>
      </c>
      <c r="R8460" t="s">
        <v>47312</v>
      </c>
      <c r="S8460" t="s">
        <v>47489</v>
      </c>
      <c r="T8460" t="s">
        <v>49068</v>
      </c>
      <c r="U8460" t="s">
        <v>56541</v>
      </c>
      <c r="W8460" t="s">
        <v>45828</v>
      </c>
      <c r="X8460" t="s">
        <v>47313</v>
      </c>
    </row>
    <row r="8461" spans="1:24">
      <c r="A8461">
        <f>HYPERLINK("https://www.philgeps.gov.ph/GEPSNONPILOT/Tender/SplashBidNoticeAbstractUI.aspx?menuIndex=3&amp;refID=7188402&amp;Result=3","7188402")</f>
        <v>0</v>
      </c>
      <c r="B8461" t="s">
        <v>1507</v>
      </c>
      <c r="C8461" t="s">
        <v>11821</v>
      </c>
      <c r="D8461" t="s">
        <v>19039</v>
      </c>
      <c r="E8461" t="s">
        <v>26355</v>
      </c>
      <c r="F8461" t="s">
        <v>32607</v>
      </c>
      <c r="G8461" t="s">
        <v>32614</v>
      </c>
      <c r="H8461" t="s">
        <v>14201</v>
      </c>
      <c r="I8461" t="s">
        <v>6993</v>
      </c>
      <c r="J8461" t="s">
        <v>35487</v>
      </c>
      <c r="K8461" t="s">
        <v>42631</v>
      </c>
      <c r="M8461" t="s">
        <v>44505</v>
      </c>
      <c r="N8461" t="s">
        <v>47304</v>
      </c>
      <c r="O8461" t="s">
        <v>47305</v>
      </c>
      <c r="P8461">
        <v>0</v>
      </c>
      <c r="Q8461">
        <v>0</v>
      </c>
      <c r="R8461" t="s">
        <v>47312</v>
      </c>
      <c r="S8461" t="s">
        <v>47489</v>
      </c>
      <c r="T8461" t="s">
        <v>49257</v>
      </c>
      <c r="U8461" t="s">
        <v>56542</v>
      </c>
      <c r="W8461" t="s">
        <v>44505</v>
      </c>
      <c r="X8461" t="s">
        <v>47313</v>
      </c>
    </row>
    <row r="8462" spans="1:24">
      <c r="A8462">
        <f>HYPERLINK("https://www.philgeps.gov.ph/GEPSNONPILOT/Tender/SplashBidNoticeAbstractUI.aspx?menuIndex=3&amp;refID=7188466&amp;Result=3","7188466")</f>
        <v>0</v>
      </c>
      <c r="B8462" t="s">
        <v>197</v>
      </c>
      <c r="C8462" t="s">
        <v>11822</v>
      </c>
      <c r="D8462" t="s">
        <v>19027</v>
      </c>
      <c r="E8462" t="s">
        <v>26356</v>
      </c>
      <c r="F8462" t="s">
        <v>32606</v>
      </c>
      <c r="G8462" t="s">
        <v>32614</v>
      </c>
      <c r="H8462" t="s">
        <v>14201</v>
      </c>
      <c r="I8462" t="s">
        <v>6931</v>
      </c>
      <c r="J8462" t="s">
        <v>38037</v>
      </c>
      <c r="K8462" t="s">
        <v>42631</v>
      </c>
      <c r="M8462" t="s">
        <v>43098</v>
      </c>
      <c r="N8462" t="s">
        <v>47304</v>
      </c>
      <c r="O8462" t="s">
        <v>47305</v>
      </c>
      <c r="P8462">
        <v>0</v>
      </c>
      <c r="Q8462">
        <v>0</v>
      </c>
      <c r="R8462" t="s">
        <v>47312</v>
      </c>
      <c r="S8462" t="s">
        <v>47489</v>
      </c>
      <c r="T8462" t="s">
        <v>48979</v>
      </c>
      <c r="U8462" t="s">
        <v>56543</v>
      </c>
      <c r="W8462" t="s">
        <v>43098</v>
      </c>
      <c r="X8462" t="s">
        <v>47313</v>
      </c>
    </row>
    <row r="8463" spans="1:24">
      <c r="A8463">
        <f>HYPERLINK("https://www.philgeps.gov.ph/GEPSNONPILOT/Tender/SplashBidNoticeAbstractUI.aspx?menuIndex=3&amp;refID=7188465&amp;Result=3","7188465")</f>
        <v>0</v>
      </c>
      <c r="B8463" t="s">
        <v>823</v>
      </c>
      <c r="C8463" t="s">
        <v>11823</v>
      </c>
      <c r="D8463" t="s">
        <v>19037</v>
      </c>
      <c r="E8463" t="s">
        <v>11797</v>
      </c>
      <c r="F8463" t="s">
        <v>32606</v>
      </c>
      <c r="G8463" t="s">
        <v>32614</v>
      </c>
      <c r="H8463" t="s">
        <v>14201</v>
      </c>
      <c r="I8463" t="s">
        <v>32647</v>
      </c>
      <c r="J8463" t="s">
        <v>32977</v>
      </c>
      <c r="K8463" t="s">
        <v>42630</v>
      </c>
      <c r="M8463" t="s">
        <v>43754</v>
      </c>
      <c r="N8463" t="s">
        <v>47304</v>
      </c>
      <c r="O8463" t="s">
        <v>47305</v>
      </c>
      <c r="P8463">
        <v>0</v>
      </c>
      <c r="Q8463">
        <v>1</v>
      </c>
      <c r="R8463" t="s">
        <v>47312</v>
      </c>
      <c r="S8463" t="s">
        <v>47489</v>
      </c>
      <c r="T8463" t="s">
        <v>49330</v>
      </c>
      <c r="U8463" t="s">
        <v>56544</v>
      </c>
      <c r="W8463" t="s">
        <v>43754</v>
      </c>
      <c r="X8463" t="s">
        <v>47313</v>
      </c>
    </row>
    <row r="8464" spans="1:24">
      <c r="A8464">
        <f>HYPERLINK("https://www.philgeps.gov.ph/GEPSNONPILOT/Tender/SplashBidNoticeAbstractUI.aspx?menuIndex=3&amp;refID=7188463&amp;Result=3","7188463")</f>
        <v>0</v>
      </c>
      <c r="B8464" t="s">
        <v>2685</v>
      </c>
      <c r="C8464" t="s">
        <v>11824</v>
      </c>
      <c r="D8464" t="s">
        <v>18992</v>
      </c>
      <c r="E8464" t="s">
        <v>26357</v>
      </c>
      <c r="F8464" t="s">
        <v>32606</v>
      </c>
      <c r="G8464" t="s">
        <v>32614</v>
      </c>
      <c r="H8464" t="s">
        <v>14201</v>
      </c>
      <c r="I8464" t="s">
        <v>4121</v>
      </c>
      <c r="J8464" t="s">
        <v>32995</v>
      </c>
      <c r="K8464" t="s">
        <v>42627</v>
      </c>
      <c r="M8464" t="s">
        <v>45835</v>
      </c>
      <c r="N8464" t="s">
        <v>47304</v>
      </c>
      <c r="O8464" t="s">
        <v>47305</v>
      </c>
      <c r="P8464">
        <v>0</v>
      </c>
      <c r="Q8464">
        <v>3</v>
      </c>
      <c r="R8464" t="s">
        <v>47312</v>
      </c>
      <c r="S8464" t="s">
        <v>47489</v>
      </c>
      <c r="T8464" t="s">
        <v>49014</v>
      </c>
      <c r="U8464" t="s">
        <v>56545</v>
      </c>
      <c r="W8464" t="s">
        <v>45835</v>
      </c>
      <c r="X8464" t="s">
        <v>47313</v>
      </c>
    </row>
    <row r="8465" spans="1:24">
      <c r="A8465">
        <f>HYPERLINK("https://www.philgeps.gov.ph/GEPSNONPILOT/Tender/SplashBidNoticeAbstractUI.aspx?menuIndex=3&amp;refID=7188448&amp;Result=3","7188448")</f>
        <v>0</v>
      </c>
      <c r="B8465" t="s">
        <v>2686</v>
      </c>
      <c r="C8465" t="s">
        <v>11825</v>
      </c>
      <c r="D8465" t="s">
        <v>19040</v>
      </c>
      <c r="E8465" t="s">
        <v>26358</v>
      </c>
      <c r="F8465" t="s">
        <v>32606</v>
      </c>
      <c r="G8465" t="s">
        <v>32614</v>
      </c>
      <c r="H8465" t="s">
        <v>14201</v>
      </c>
      <c r="I8465" t="s">
        <v>4120</v>
      </c>
      <c r="J8465" t="s">
        <v>38038</v>
      </c>
      <c r="K8465" t="s">
        <v>42631</v>
      </c>
      <c r="M8465" t="s">
        <v>45836</v>
      </c>
      <c r="N8465" t="s">
        <v>47304</v>
      </c>
      <c r="O8465" t="s">
        <v>47305</v>
      </c>
      <c r="P8465">
        <v>0</v>
      </c>
      <c r="Q8465">
        <v>5</v>
      </c>
      <c r="R8465" t="s">
        <v>47312</v>
      </c>
      <c r="S8465" t="s">
        <v>47489</v>
      </c>
      <c r="T8465" t="s">
        <v>49071</v>
      </c>
      <c r="U8465" t="s">
        <v>56546</v>
      </c>
      <c r="V8465" t="s">
        <v>63526</v>
      </c>
      <c r="W8465" t="s">
        <v>45836</v>
      </c>
      <c r="X8465" t="s">
        <v>47313</v>
      </c>
    </row>
    <row r="8466" spans="1:24">
      <c r="A8466">
        <f>HYPERLINK("https://www.philgeps.gov.ph/GEPSNONPILOT/Tender/SplashBidNoticeAbstractUI.aspx?menuIndex=3&amp;refID=7188454&amp;Result=3","7188454")</f>
        <v>0</v>
      </c>
      <c r="B8466" t="s">
        <v>2679</v>
      </c>
      <c r="C8466" t="s">
        <v>11826</v>
      </c>
      <c r="D8466" t="s">
        <v>18993</v>
      </c>
      <c r="E8466" t="s">
        <v>26359</v>
      </c>
      <c r="F8466" t="s">
        <v>32606</v>
      </c>
      <c r="G8466" t="s">
        <v>32613</v>
      </c>
      <c r="H8466" t="s">
        <v>14201</v>
      </c>
      <c r="I8466" t="s">
        <v>32715</v>
      </c>
      <c r="J8466" t="s">
        <v>32853</v>
      </c>
      <c r="K8466" t="s">
        <v>42624</v>
      </c>
      <c r="M8466" t="s">
        <v>45828</v>
      </c>
      <c r="N8466" t="s">
        <v>47304</v>
      </c>
      <c r="O8466" t="s">
        <v>47305</v>
      </c>
      <c r="P8466">
        <v>0</v>
      </c>
      <c r="Q8466">
        <v>3</v>
      </c>
      <c r="R8466" t="s">
        <v>47312</v>
      </c>
      <c r="S8466" t="s">
        <v>47489</v>
      </c>
      <c r="T8466" t="s">
        <v>49068</v>
      </c>
      <c r="U8466" t="s">
        <v>56547</v>
      </c>
      <c r="W8466" t="s">
        <v>45828</v>
      </c>
      <c r="X8466" t="s">
        <v>47313</v>
      </c>
    </row>
    <row r="8467" spans="1:24">
      <c r="A8467">
        <f>HYPERLINK("https://www.philgeps.gov.ph/GEPSNONPILOT/Tender/SplashBidNoticeAbstractUI.aspx?menuIndex=3&amp;refID=7188371&amp;Result=3","7188371")</f>
        <v>0</v>
      </c>
      <c r="B8467" t="s">
        <v>2687</v>
      </c>
      <c r="C8467" t="s">
        <v>11827</v>
      </c>
      <c r="D8467" t="s">
        <v>19020</v>
      </c>
      <c r="E8467" t="s">
        <v>26360</v>
      </c>
      <c r="F8467" t="s">
        <v>32606</v>
      </c>
      <c r="G8467" t="s">
        <v>32613</v>
      </c>
      <c r="H8467" t="s">
        <v>14201</v>
      </c>
      <c r="I8467" t="s">
        <v>17648</v>
      </c>
      <c r="J8467" t="s">
        <v>38039</v>
      </c>
      <c r="K8467" t="s">
        <v>42682</v>
      </c>
      <c r="M8467" t="s">
        <v>45837</v>
      </c>
      <c r="N8467" t="s">
        <v>47304</v>
      </c>
      <c r="O8467" t="s">
        <v>47305</v>
      </c>
      <c r="P8467">
        <v>0</v>
      </c>
      <c r="Q8467">
        <v>0</v>
      </c>
      <c r="R8467" t="s">
        <v>47312</v>
      </c>
      <c r="S8467" t="s">
        <v>47489</v>
      </c>
      <c r="T8467" t="s">
        <v>49324</v>
      </c>
      <c r="U8467" t="s">
        <v>56548</v>
      </c>
      <c r="W8467" t="s">
        <v>45837</v>
      </c>
      <c r="X8467" t="s">
        <v>47313</v>
      </c>
    </row>
    <row r="8468" spans="1:24">
      <c r="A8468">
        <f>HYPERLINK("https://www.philgeps.gov.ph/GEPSNONPILOT/Tender/SplashBidNoticeAbstractUI.aspx?menuIndex=3&amp;refID=7188453&amp;Result=3","7188453")</f>
        <v>0</v>
      </c>
      <c r="B8468" t="s">
        <v>1602</v>
      </c>
      <c r="C8468" t="s">
        <v>11828</v>
      </c>
      <c r="D8468" t="s">
        <v>19011</v>
      </c>
      <c r="E8468" t="s">
        <v>26361</v>
      </c>
      <c r="F8468" t="s">
        <v>32606</v>
      </c>
      <c r="G8468" t="s">
        <v>32613</v>
      </c>
      <c r="H8468" t="s">
        <v>14201</v>
      </c>
      <c r="I8468" t="s">
        <v>7064</v>
      </c>
      <c r="J8468" t="s">
        <v>34264</v>
      </c>
      <c r="K8468" t="s">
        <v>42648</v>
      </c>
      <c r="M8468" t="s">
        <v>44618</v>
      </c>
      <c r="N8468" t="s">
        <v>47304</v>
      </c>
      <c r="O8468" t="s">
        <v>47305</v>
      </c>
      <c r="P8468">
        <v>0</v>
      </c>
      <c r="Q8468">
        <v>4</v>
      </c>
      <c r="R8468" t="s">
        <v>47312</v>
      </c>
      <c r="S8468" t="s">
        <v>47489</v>
      </c>
      <c r="T8468" t="s">
        <v>48978</v>
      </c>
      <c r="U8468" t="s">
        <v>56549</v>
      </c>
      <c r="V8468" t="s">
        <v>63445</v>
      </c>
      <c r="W8468" t="s">
        <v>44618</v>
      </c>
      <c r="X8468" t="s">
        <v>47313</v>
      </c>
    </row>
    <row r="8469" spans="1:24">
      <c r="A8469">
        <f>HYPERLINK("https://www.philgeps.gov.ph/GEPSNONPILOT/Tender/SplashBidNoticeAbstractUI.aspx?menuIndex=3&amp;refID=7188440&amp;Result=3","7188440")</f>
        <v>0</v>
      </c>
      <c r="B8469" t="s">
        <v>2688</v>
      </c>
      <c r="C8469" t="s">
        <v>11829</v>
      </c>
      <c r="D8469" t="s">
        <v>19024</v>
      </c>
      <c r="E8469" t="s">
        <v>26362</v>
      </c>
      <c r="F8469" t="s">
        <v>32606</v>
      </c>
      <c r="G8469" t="s">
        <v>32614</v>
      </c>
      <c r="H8469" t="s">
        <v>14201</v>
      </c>
      <c r="I8469" t="s">
        <v>6931</v>
      </c>
      <c r="J8469" t="s">
        <v>38040</v>
      </c>
      <c r="K8469" t="s">
        <v>42622</v>
      </c>
      <c r="M8469" t="s">
        <v>45838</v>
      </c>
      <c r="N8469" t="s">
        <v>47304</v>
      </c>
      <c r="O8469" t="s">
        <v>47305</v>
      </c>
      <c r="P8469">
        <v>0</v>
      </c>
      <c r="Q8469">
        <v>0</v>
      </c>
      <c r="R8469" t="s">
        <v>47312</v>
      </c>
      <c r="S8469" t="s">
        <v>47489</v>
      </c>
      <c r="T8469" t="s">
        <v>49071</v>
      </c>
      <c r="U8469" t="s">
        <v>56550</v>
      </c>
      <c r="V8469" t="s">
        <v>63527</v>
      </c>
      <c r="W8469" t="s">
        <v>45838</v>
      </c>
      <c r="X8469" t="s">
        <v>47313</v>
      </c>
    </row>
    <row r="8470" spans="1:24">
      <c r="A8470">
        <f>HYPERLINK("https://www.philgeps.gov.ph/GEPSNONPILOT/Tender/SplashBidNoticeAbstractUI.aspx?menuIndex=3&amp;refID=7188439&amp;Result=3","7188439")</f>
        <v>0</v>
      </c>
      <c r="B8470" t="s">
        <v>2689</v>
      </c>
      <c r="C8470" t="s">
        <v>11830</v>
      </c>
      <c r="D8470" t="s">
        <v>18999</v>
      </c>
      <c r="E8470" t="s">
        <v>20124</v>
      </c>
      <c r="F8470" t="s">
        <v>32606</v>
      </c>
      <c r="G8470" t="s">
        <v>32613</v>
      </c>
      <c r="H8470" t="s">
        <v>32623</v>
      </c>
      <c r="I8470" t="s">
        <v>17648</v>
      </c>
      <c r="J8470" t="s">
        <v>33449</v>
      </c>
      <c r="K8470" t="s">
        <v>42636</v>
      </c>
      <c r="M8470" t="s">
        <v>45839</v>
      </c>
      <c r="N8470" t="s">
        <v>47304</v>
      </c>
      <c r="O8470" t="s">
        <v>47305</v>
      </c>
      <c r="P8470">
        <v>0</v>
      </c>
      <c r="Q8470">
        <v>1</v>
      </c>
      <c r="R8470" t="s">
        <v>47312</v>
      </c>
      <c r="S8470" t="s">
        <v>47489</v>
      </c>
      <c r="T8470" t="s">
        <v>48988</v>
      </c>
      <c r="U8470" t="s">
        <v>56551</v>
      </c>
      <c r="W8470" t="s">
        <v>45839</v>
      </c>
      <c r="X8470" t="s">
        <v>47313</v>
      </c>
    </row>
    <row r="8471" spans="1:24">
      <c r="A8471">
        <f>HYPERLINK("https://www.philgeps.gov.ph/GEPSNONPILOT/Tender/SplashBidNoticeAbstractUI.aspx?menuIndex=3&amp;refID=7188436&amp;Result=3","7188436")</f>
        <v>0</v>
      </c>
      <c r="B8471" t="s">
        <v>2102</v>
      </c>
      <c r="C8471" t="s">
        <v>11831</v>
      </c>
      <c r="D8471" t="s">
        <v>19050</v>
      </c>
      <c r="E8471" t="s">
        <v>26363</v>
      </c>
      <c r="F8471" t="s">
        <v>32606</v>
      </c>
      <c r="G8471" t="s">
        <v>32613</v>
      </c>
      <c r="H8471" t="s">
        <v>14201</v>
      </c>
      <c r="I8471" t="s">
        <v>32640</v>
      </c>
      <c r="J8471" t="s">
        <v>38041</v>
      </c>
      <c r="K8471" t="s">
        <v>42631</v>
      </c>
      <c r="M8471" t="s">
        <v>45187</v>
      </c>
      <c r="N8471" t="s">
        <v>47304</v>
      </c>
      <c r="O8471" t="s">
        <v>47305</v>
      </c>
      <c r="P8471">
        <v>0</v>
      </c>
      <c r="Q8471">
        <v>7</v>
      </c>
      <c r="R8471" t="s">
        <v>47312</v>
      </c>
      <c r="S8471" t="s">
        <v>47489</v>
      </c>
      <c r="T8471" t="s">
        <v>49095</v>
      </c>
      <c r="U8471" t="s">
        <v>54797</v>
      </c>
      <c r="W8471" t="s">
        <v>45187</v>
      </c>
      <c r="X8471" t="s">
        <v>47313</v>
      </c>
    </row>
    <row r="8472" spans="1:24">
      <c r="A8472">
        <f>HYPERLINK("https://www.philgeps.gov.ph/GEPSNONPILOT/Tender/SplashBidNoticeAbstractUI.aspx?menuIndex=3&amp;refID=7188435&amp;Result=3","7188435")</f>
        <v>0</v>
      </c>
      <c r="B8472" t="s">
        <v>2690</v>
      </c>
      <c r="C8472" t="s">
        <v>11832</v>
      </c>
      <c r="D8472" t="s">
        <v>19028</v>
      </c>
      <c r="E8472" t="s">
        <v>20122</v>
      </c>
      <c r="F8472" t="s">
        <v>32606</v>
      </c>
      <c r="G8472" t="s">
        <v>32613</v>
      </c>
      <c r="H8472" t="s">
        <v>14201</v>
      </c>
      <c r="I8472" t="s">
        <v>32661</v>
      </c>
      <c r="J8472" t="s">
        <v>38042</v>
      </c>
      <c r="K8472" t="s">
        <v>42630</v>
      </c>
      <c r="M8472" t="s">
        <v>45840</v>
      </c>
      <c r="N8472" t="s">
        <v>47304</v>
      </c>
      <c r="O8472" t="s">
        <v>47305</v>
      </c>
      <c r="P8472">
        <v>0</v>
      </c>
      <c r="Q8472">
        <v>1</v>
      </c>
      <c r="R8472" t="s">
        <v>47312</v>
      </c>
      <c r="S8472" t="s">
        <v>47489</v>
      </c>
      <c r="T8472" t="s">
        <v>49047</v>
      </c>
      <c r="U8472" t="s">
        <v>56552</v>
      </c>
      <c r="W8472" t="s">
        <v>45840</v>
      </c>
      <c r="X8472" t="s">
        <v>47313</v>
      </c>
    </row>
    <row r="8473" spans="1:24">
      <c r="A8473">
        <f>HYPERLINK("https://www.philgeps.gov.ph/GEPSNONPILOT/Tender/SplashBidNoticeAbstractUI.aspx?menuIndex=3&amp;refID=7188434&amp;Result=3","7188434")</f>
        <v>0</v>
      </c>
      <c r="B8473" t="s">
        <v>2691</v>
      </c>
      <c r="C8473" t="s">
        <v>11833</v>
      </c>
      <c r="D8473" t="s">
        <v>18993</v>
      </c>
      <c r="E8473" t="s">
        <v>19326</v>
      </c>
      <c r="F8473" t="s">
        <v>32606</v>
      </c>
      <c r="G8473" t="s">
        <v>32614</v>
      </c>
      <c r="H8473" t="s">
        <v>32623</v>
      </c>
      <c r="I8473" t="s">
        <v>32675</v>
      </c>
      <c r="J8473" t="s">
        <v>33246</v>
      </c>
      <c r="K8473" t="s">
        <v>42623</v>
      </c>
      <c r="M8473" t="s">
        <v>45841</v>
      </c>
      <c r="N8473" t="s">
        <v>47304</v>
      </c>
      <c r="O8473" t="s">
        <v>47305</v>
      </c>
      <c r="P8473">
        <v>0</v>
      </c>
      <c r="Q8473">
        <v>3</v>
      </c>
      <c r="R8473" t="s">
        <v>47312</v>
      </c>
      <c r="S8473" t="s">
        <v>47489</v>
      </c>
      <c r="T8473" t="s">
        <v>49347</v>
      </c>
      <c r="U8473" t="s">
        <v>56553</v>
      </c>
      <c r="W8473" t="s">
        <v>45841</v>
      </c>
      <c r="X8473" t="s">
        <v>47313</v>
      </c>
    </row>
    <row r="8474" spans="1:24">
      <c r="A8474">
        <f>HYPERLINK("https://www.philgeps.gov.ph/GEPSNONPILOT/Tender/SplashBidNoticeAbstractUI.aspx?menuIndex=3&amp;refID=7188433&amp;Result=3","7188433")</f>
        <v>0</v>
      </c>
      <c r="B8474" t="s">
        <v>2692</v>
      </c>
      <c r="C8474" t="s">
        <v>11834</v>
      </c>
      <c r="D8474" t="s">
        <v>18995</v>
      </c>
      <c r="E8474" t="s">
        <v>26364</v>
      </c>
      <c r="F8474" t="s">
        <v>32606</v>
      </c>
      <c r="G8474" t="s">
        <v>32613</v>
      </c>
      <c r="H8474" t="s">
        <v>14201</v>
      </c>
      <c r="I8474" t="s">
        <v>6931</v>
      </c>
      <c r="J8474" t="s">
        <v>33974</v>
      </c>
      <c r="K8474" t="s">
        <v>42623</v>
      </c>
      <c r="M8474" t="s">
        <v>45842</v>
      </c>
      <c r="N8474" t="s">
        <v>47304</v>
      </c>
      <c r="O8474" t="s">
        <v>47305</v>
      </c>
      <c r="P8474">
        <v>0</v>
      </c>
      <c r="Q8474">
        <v>0</v>
      </c>
      <c r="R8474" t="s">
        <v>47312</v>
      </c>
      <c r="S8474" t="s">
        <v>47489</v>
      </c>
      <c r="T8474" t="s">
        <v>49053</v>
      </c>
      <c r="U8474" t="s">
        <v>56554</v>
      </c>
      <c r="W8474" t="s">
        <v>45842</v>
      </c>
      <c r="X8474" t="s">
        <v>47313</v>
      </c>
    </row>
    <row r="8475" spans="1:24">
      <c r="A8475">
        <f>HYPERLINK("https://www.philgeps.gov.ph/GEPSNONPILOT/Tender/SplashBidNoticeAbstractUI.aspx?menuIndex=3&amp;refID=7188476&amp;Result=3","7188476")</f>
        <v>0</v>
      </c>
      <c r="B8475" t="s">
        <v>2267</v>
      </c>
      <c r="C8475" t="s">
        <v>11835</v>
      </c>
      <c r="D8475" t="s">
        <v>18995</v>
      </c>
      <c r="E8475" t="s">
        <v>26365</v>
      </c>
      <c r="F8475" t="s">
        <v>32606</v>
      </c>
      <c r="G8475" t="s">
        <v>32613</v>
      </c>
      <c r="H8475" t="s">
        <v>32623</v>
      </c>
      <c r="I8475" t="s">
        <v>17648</v>
      </c>
      <c r="J8475" t="s">
        <v>33043</v>
      </c>
      <c r="K8475" t="s">
        <v>42627</v>
      </c>
      <c r="M8475" t="s">
        <v>45843</v>
      </c>
      <c r="N8475" t="s">
        <v>47304</v>
      </c>
      <c r="O8475" t="s">
        <v>47305</v>
      </c>
      <c r="P8475">
        <v>0</v>
      </c>
      <c r="Q8475">
        <v>1</v>
      </c>
      <c r="R8475" t="s">
        <v>47312</v>
      </c>
      <c r="S8475" t="s">
        <v>47489</v>
      </c>
      <c r="T8475" t="s">
        <v>49077</v>
      </c>
      <c r="U8475" t="s">
        <v>56555</v>
      </c>
      <c r="W8475" t="s">
        <v>45843</v>
      </c>
      <c r="X8475" t="s">
        <v>47313</v>
      </c>
    </row>
    <row r="8476" spans="1:24">
      <c r="A8476">
        <f>HYPERLINK("https://www.philgeps.gov.ph/GEPSNONPILOT/Tender/SplashBidNoticeAbstractUI.aspx?menuIndex=3&amp;refID=7188472&amp;Result=3","7188472")</f>
        <v>0</v>
      </c>
      <c r="B8476" t="s">
        <v>2119</v>
      </c>
      <c r="C8476" t="s">
        <v>11836</v>
      </c>
      <c r="D8476" t="s">
        <v>18993</v>
      </c>
      <c r="E8476" t="s">
        <v>26366</v>
      </c>
      <c r="F8476" t="s">
        <v>32607</v>
      </c>
      <c r="G8476" t="s">
        <v>32613</v>
      </c>
      <c r="H8476" t="s">
        <v>14201</v>
      </c>
      <c r="I8476" t="s">
        <v>32721</v>
      </c>
      <c r="J8476" t="s">
        <v>32789</v>
      </c>
      <c r="K8476" t="s">
        <v>42631</v>
      </c>
      <c r="M8476" t="s">
        <v>45206</v>
      </c>
      <c r="N8476" t="s">
        <v>47304</v>
      </c>
      <c r="O8476" t="s">
        <v>47305</v>
      </c>
      <c r="P8476">
        <v>0</v>
      </c>
      <c r="Q8476">
        <v>0</v>
      </c>
      <c r="R8476" t="s">
        <v>47312</v>
      </c>
      <c r="S8476" t="s">
        <v>47489</v>
      </c>
      <c r="T8476" t="s">
        <v>49052</v>
      </c>
      <c r="U8476" t="s">
        <v>56556</v>
      </c>
      <c r="V8476" t="s">
        <v>63251</v>
      </c>
      <c r="W8476" t="s">
        <v>45206</v>
      </c>
      <c r="X8476" t="s">
        <v>47313</v>
      </c>
    </row>
    <row r="8477" spans="1:24">
      <c r="A8477">
        <f>HYPERLINK("https://www.philgeps.gov.ph/GEPSNONPILOT/Tender/SplashBidNoticeAbstractUI.aspx?menuIndex=3&amp;refID=7188432&amp;Result=3","7188432")</f>
        <v>0</v>
      </c>
      <c r="B8477" t="s">
        <v>2267</v>
      </c>
      <c r="C8477" t="s">
        <v>11837</v>
      </c>
      <c r="D8477" t="s">
        <v>18995</v>
      </c>
      <c r="E8477" t="s">
        <v>26367</v>
      </c>
      <c r="F8477" t="s">
        <v>32606</v>
      </c>
      <c r="G8477" t="s">
        <v>32613</v>
      </c>
      <c r="H8477" t="s">
        <v>32623</v>
      </c>
      <c r="I8477" t="s">
        <v>17648</v>
      </c>
      <c r="J8477" t="s">
        <v>32772</v>
      </c>
      <c r="K8477" t="s">
        <v>42639</v>
      </c>
      <c r="M8477" t="s">
        <v>45843</v>
      </c>
      <c r="N8477" t="s">
        <v>47304</v>
      </c>
      <c r="O8477" t="s">
        <v>47305</v>
      </c>
      <c r="P8477">
        <v>0</v>
      </c>
      <c r="Q8477">
        <v>1</v>
      </c>
      <c r="R8477" t="s">
        <v>47312</v>
      </c>
      <c r="S8477" t="s">
        <v>47489</v>
      </c>
      <c r="T8477" t="s">
        <v>49077</v>
      </c>
      <c r="U8477" t="s">
        <v>56557</v>
      </c>
      <c r="W8477" t="s">
        <v>45843</v>
      </c>
      <c r="X8477" t="s">
        <v>47313</v>
      </c>
    </row>
    <row r="8478" spans="1:24">
      <c r="A8478">
        <f>HYPERLINK("https://www.philgeps.gov.ph/GEPSNONPILOT/Tender/SplashBidNoticeAbstractUI.aspx?menuIndex=3&amp;refID=7188360&amp;Result=3","7188360")</f>
        <v>0</v>
      </c>
      <c r="B8478" t="s">
        <v>2333</v>
      </c>
      <c r="C8478" t="s">
        <v>11838</v>
      </c>
      <c r="D8478" t="s">
        <v>19016</v>
      </c>
      <c r="E8478" t="s">
        <v>26368</v>
      </c>
      <c r="F8478" t="s">
        <v>32606</v>
      </c>
      <c r="G8478" t="s">
        <v>32613</v>
      </c>
      <c r="H8478" t="s">
        <v>32623</v>
      </c>
      <c r="I8478" t="s">
        <v>17648</v>
      </c>
      <c r="J8478" t="s">
        <v>33231</v>
      </c>
      <c r="K8478" t="s">
        <v>42624</v>
      </c>
      <c r="M8478" t="s">
        <v>45443</v>
      </c>
      <c r="N8478" t="s">
        <v>47304</v>
      </c>
      <c r="O8478" t="s">
        <v>47305</v>
      </c>
      <c r="P8478">
        <v>0</v>
      </c>
      <c r="Q8478">
        <v>17</v>
      </c>
      <c r="R8478" t="s">
        <v>47312</v>
      </c>
      <c r="S8478" t="s">
        <v>47489</v>
      </c>
      <c r="T8478" t="s">
        <v>49334</v>
      </c>
      <c r="U8478" t="s">
        <v>56558</v>
      </c>
      <c r="V8478" t="s">
        <v>63331</v>
      </c>
      <c r="W8478" t="s">
        <v>45443</v>
      </c>
      <c r="X8478" t="s">
        <v>47313</v>
      </c>
    </row>
    <row r="8479" spans="1:24">
      <c r="A8479">
        <f>HYPERLINK("https://www.philgeps.gov.ph/GEPSNONPILOT/Tender/SplashBidNoticeAbstractUI.aspx?menuIndex=3&amp;refID=7188506&amp;Result=3","7188506")</f>
        <v>0</v>
      </c>
      <c r="B8479" t="s">
        <v>243</v>
      </c>
      <c r="C8479" t="s">
        <v>11839</v>
      </c>
      <c r="D8479" t="s">
        <v>19027</v>
      </c>
      <c r="E8479" t="s">
        <v>26369</v>
      </c>
      <c r="F8479" t="s">
        <v>32606</v>
      </c>
      <c r="G8479" t="s">
        <v>32619</v>
      </c>
      <c r="H8479" t="s">
        <v>14201</v>
      </c>
      <c r="I8479" t="s">
        <v>4120</v>
      </c>
      <c r="J8479" t="s">
        <v>38043</v>
      </c>
      <c r="K8479" t="s">
        <v>42624</v>
      </c>
      <c r="M8479" t="s">
        <v>44391</v>
      </c>
      <c r="N8479" t="s">
        <v>47304</v>
      </c>
      <c r="O8479" t="s">
        <v>47305</v>
      </c>
      <c r="P8479">
        <v>0</v>
      </c>
      <c r="Q8479">
        <v>0</v>
      </c>
      <c r="R8479" t="s">
        <v>47312</v>
      </c>
      <c r="S8479" t="s">
        <v>47489</v>
      </c>
      <c r="T8479" t="s">
        <v>48980</v>
      </c>
      <c r="U8479" t="s">
        <v>56559</v>
      </c>
      <c r="W8479" t="s">
        <v>64471</v>
      </c>
      <c r="X8479" t="s">
        <v>47313</v>
      </c>
    </row>
    <row r="8480" spans="1:24">
      <c r="A8480">
        <f>HYPERLINK("https://www.philgeps.gov.ph/GEPSNONPILOT/Tender/SplashBidNoticeAbstractUI.aspx?menuIndex=3&amp;refID=7188464&amp;Result=3","7188464")</f>
        <v>0</v>
      </c>
      <c r="B8480" t="s">
        <v>243</v>
      </c>
      <c r="C8480" t="s">
        <v>11840</v>
      </c>
      <c r="D8480" t="s">
        <v>19027</v>
      </c>
      <c r="E8480" t="s">
        <v>26370</v>
      </c>
      <c r="F8480" t="s">
        <v>32606</v>
      </c>
      <c r="G8480" t="s">
        <v>32619</v>
      </c>
      <c r="H8480" t="s">
        <v>14201</v>
      </c>
      <c r="I8480" t="s">
        <v>9013</v>
      </c>
      <c r="J8480" t="s">
        <v>38044</v>
      </c>
      <c r="K8480" t="s">
        <v>42624</v>
      </c>
      <c r="M8480" t="s">
        <v>44391</v>
      </c>
      <c r="N8480" t="s">
        <v>47304</v>
      </c>
      <c r="O8480" t="s">
        <v>47305</v>
      </c>
      <c r="P8480">
        <v>0</v>
      </c>
      <c r="Q8480">
        <v>2</v>
      </c>
      <c r="R8480" t="s">
        <v>47312</v>
      </c>
      <c r="S8480" t="s">
        <v>47489</v>
      </c>
      <c r="T8480" t="s">
        <v>48980</v>
      </c>
      <c r="U8480" t="s">
        <v>56560</v>
      </c>
      <c r="W8480" t="s">
        <v>64471</v>
      </c>
      <c r="X8480" t="s">
        <v>47313</v>
      </c>
    </row>
    <row r="8481" spans="1:24">
      <c r="A8481">
        <f>HYPERLINK("https://www.philgeps.gov.ph/GEPSNONPILOT/Tender/SplashBidNoticeAbstractUI.aspx?menuIndex=3&amp;refID=7188504&amp;Result=3","7188504")</f>
        <v>0</v>
      </c>
      <c r="B8481" t="s">
        <v>2679</v>
      </c>
      <c r="C8481" t="s">
        <v>11841</v>
      </c>
      <c r="D8481" t="s">
        <v>18993</v>
      </c>
      <c r="E8481" t="s">
        <v>26371</v>
      </c>
      <c r="F8481" t="s">
        <v>32606</v>
      </c>
      <c r="G8481" t="s">
        <v>32613</v>
      </c>
      <c r="H8481" t="s">
        <v>14201</v>
      </c>
      <c r="I8481" t="s">
        <v>32715</v>
      </c>
      <c r="J8481" t="s">
        <v>38045</v>
      </c>
      <c r="K8481" t="s">
        <v>42624</v>
      </c>
      <c r="M8481" t="s">
        <v>45828</v>
      </c>
      <c r="N8481" t="s">
        <v>47304</v>
      </c>
      <c r="O8481" t="s">
        <v>47305</v>
      </c>
      <c r="P8481">
        <v>0</v>
      </c>
      <c r="Q8481">
        <v>2</v>
      </c>
      <c r="R8481" t="s">
        <v>47312</v>
      </c>
      <c r="S8481" t="s">
        <v>47489</v>
      </c>
      <c r="T8481" t="s">
        <v>49068</v>
      </c>
      <c r="U8481" t="s">
        <v>56561</v>
      </c>
      <c r="W8481" t="s">
        <v>45828</v>
      </c>
      <c r="X8481" t="s">
        <v>47313</v>
      </c>
    </row>
    <row r="8482" spans="1:24">
      <c r="A8482">
        <f>HYPERLINK("https://www.philgeps.gov.ph/GEPSNONPILOT/Tender/SplashBidNoticeAbstractUI.aspx?menuIndex=3&amp;refID=7188501&amp;Result=3","7188501")</f>
        <v>0</v>
      </c>
      <c r="B8482" t="s">
        <v>2693</v>
      </c>
      <c r="C8482" t="s">
        <v>11555</v>
      </c>
      <c r="D8482" t="s">
        <v>19007</v>
      </c>
      <c r="E8482" t="s">
        <v>26372</v>
      </c>
      <c r="F8482" t="s">
        <v>32606</v>
      </c>
      <c r="G8482" t="s">
        <v>32613</v>
      </c>
      <c r="H8482" t="s">
        <v>32623</v>
      </c>
      <c r="I8482" t="s">
        <v>17648</v>
      </c>
      <c r="J8482" t="s">
        <v>38046</v>
      </c>
      <c r="K8482" t="s">
        <v>42623</v>
      </c>
      <c r="M8482" t="s">
        <v>45844</v>
      </c>
      <c r="N8482" t="s">
        <v>47304</v>
      </c>
      <c r="O8482" t="s">
        <v>47305</v>
      </c>
      <c r="P8482">
        <v>0</v>
      </c>
      <c r="Q8482">
        <v>2</v>
      </c>
      <c r="R8482" t="s">
        <v>47312</v>
      </c>
      <c r="S8482" t="s">
        <v>47489</v>
      </c>
      <c r="T8482" t="s">
        <v>49175</v>
      </c>
      <c r="U8482" t="s">
        <v>56562</v>
      </c>
      <c r="W8482" t="s">
        <v>45844</v>
      </c>
      <c r="X8482" t="s">
        <v>47313</v>
      </c>
    </row>
    <row r="8483" spans="1:24">
      <c r="A8483">
        <f>HYPERLINK("https://www.philgeps.gov.ph/GEPSNONPILOT/Tender/SplashBidNoticeAbstractUI.aspx?menuIndex=3&amp;refID=7188521&amp;Result=3","7188521")</f>
        <v>0</v>
      </c>
      <c r="B8483" t="s">
        <v>2694</v>
      </c>
      <c r="C8483" t="s">
        <v>11842</v>
      </c>
      <c r="D8483" t="s">
        <v>18995</v>
      </c>
      <c r="E8483" t="s">
        <v>26373</v>
      </c>
      <c r="F8483" t="s">
        <v>32606</v>
      </c>
      <c r="G8483" t="s">
        <v>32613</v>
      </c>
      <c r="H8483" t="s">
        <v>14201</v>
      </c>
      <c r="I8483" t="s">
        <v>6931</v>
      </c>
      <c r="J8483" t="s">
        <v>38047</v>
      </c>
      <c r="K8483" t="s">
        <v>42623</v>
      </c>
      <c r="M8483" t="s">
        <v>45845</v>
      </c>
      <c r="N8483" t="s">
        <v>47304</v>
      </c>
      <c r="O8483" t="s">
        <v>47305</v>
      </c>
      <c r="P8483">
        <v>0</v>
      </c>
      <c r="Q8483">
        <v>0</v>
      </c>
      <c r="R8483" t="s">
        <v>47312</v>
      </c>
      <c r="S8483" t="s">
        <v>47489</v>
      </c>
      <c r="T8483" t="s">
        <v>49053</v>
      </c>
      <c r="U8483" t="s">
        <v>56563</v>
      </c>
      <c r="W8483" t="s">
        <v>45845</v>
      </c>
      <c r="X8483" t="s">
        <v>47313</v>
      </c>
    </row>
    <row r="8484" spans="1:24">
      <c r="A8484">
        <f>HYPERLINK("https://www.philgeps.gov.ph/GEPSNONPILOT/Tender/SplashBidNoticeAbstractUI.aspx?menuIndex=3&amp;refID=7188517&amp;Result=3","7188517")</f>
        <v>0</v>
      </c>
      <c r="B8484" t="s">
        <v>2643</v>
      </c>
      <c r="C8484" t="s">
        <v>11843</v>
      </c>
      <c r="E8484" t="s">
        <v>26374</v>
      </c>
      <c r="F8484" t="s">
        <v>32606</v>
      </c>
      <c r="G8484" t="s">
        <v>32619</v>
      </c>
      <c r="H8484" t="s">
        <v>14201</v>
      </c>
      <c r="I8484" t="s">
        <v>6931</v>
      </c>
      <c r="J8484" t="s">
        <v>38048</v>
      </c>
      <c r="K8484" t="s">
        <v>42623</v>
      </c>
      <c r="M8484" t="s">
        <v>45788</v>
      </c>
      <c r="N8484" t="s">
        <v>47304</v>
      </c>
      <c r="O8484" t="s">
        <v>47305</v>
      </c>
      <c r="P8484">
        <v>0</v>
      </c>
      <c r="Q8484">
        <v>0</v>
      </c>
      <c r="R8484" t="s">
        <v>47312</v>
      </c>
      <c r="S8484" t="s">
        <v>47489</v>
      </c>
      <c r="T8484" t="s">
        <v>49050</v>
      </c>
      <c r="U8484" t="s">
        <v>56440</v>
      </c>
      <c r="V8484" t="s">
        <v>63492</v>
      </c>
      <c r="W8484" t="s">
        <v>45788</v>
      </c>
      <c r="X8484" t="s">
        <v>47313</v>
      </c>
    </row>
    <row r="8485" spans="1:24">
      <c r="A8485">
        <f>HYPERLINK("https://www.philgeps.gov.ph/GEPSNONPILOT/Tender/SplashBidNoticeAbstractUI.aspx?menuIndex=3&amp;refID=7188508&amp;Result=3","7188508")</f>
        <v>0</v>
      </c>
      <c r="B8485" t="s">
        <v>2505</v>
      </c>
      <c r="C8485" t="s">
        <v>11844</v>
      </c>
      <c r="D8485" t="s">
        <v>19007</v>
      </c>
      <c r="E8485" t="s">
        <v>25893</v>
      </c>
      <c r="F8485" t="s">
        <v>32606</v>
      </c>
      <c r="G8485" t="s">
        <v>32613</v>
      </c>
      <c r="H8485" t="s">
        <v>32623</v>
      </c>
      <c r="I8485" t="s">
        <v>17648</v>
      </c>
      <c r="J8485" t="s">
        <v>38049</v>
      </c>
      <c r="K8485" t="s">
        <v>42712</v>
      </c>
      <c r="M8485" t="s">
        <v>45644</v>
      </c>
      <c r="N8485" t="s">
        <v>47304</v>
      </c>
      <c r="O8485" t="s">
        <v>47305</v>
      </c>
      <c r="P8485">
        <v>0</v>
      </c>
      <c r="Q8485">
        <v>3</v>
      </c>
      <c r="R8485" t="s">
        <v>47312</v>
      </c>
      <c r="S8485" t="s">
        <v>47489</v>
      </c>
      <c r="T8485" t="s">
        <v>49077</v>
      </c>
      <c r="U8485" t="s">
        <v>56075</v>
      </c>
      <c r="V8485" t="s">
        <v>63528</v>
      </c>
      <c r="W8485" t="s">
        <v>45644</v>
      </c>
      <c r="X8485" t="s">
        <v>47313</v>
      </c>
    </row>
    <row r="8486" spans="1:24">
      <c r="A8486">
        <f>HYPERLINK("https://www.philgeps.gov.ph/GEPSNONPILOT/Tender/SplashBidNoticeAbstractUI.aspx?menuIndex=3&amp;refID=7188516&amp;Result=3","7188516")</f>
        <v>0</v>
      </c>
      <c r="B8486" t="s">
        <v>2682</v>
      </c>
      <c r="C8486" t="s">
        <v>11845</v>
      </c>
      <c r="D8486" t="s">
        <v>19009</v>
      </c>
      <c r="E8486" t="s">
        <v>26375</v>
      </c>
      <c r="F8486" t="s">
        <v>32606</v>
      </c>
      <c r="G8486" t="s">
        <v>32613</v>
      </c>
      <c r="H8486" t="s">
        <v>32623</v>
      </c>
      <c r="I8486" t="s">
        <v>17648</v>
      </c>
      <c r="J8486" t="s">
        <v>32772</v>
      </c>
      <c r="K8486" t="s">
        <v>42646</v>
      </c>
      <c r="M8486" t="s">
        <v>45832</v>
      </c>
      <c r="N8486" t="s">
        <v>47304</v>
      </c>
      <c r="O8486" t="s">
        <v>47305</v>
      </c>
      <c r="P8486">
        <v>0</v>
      </c>
      <c r="Q8486">
        <v>0</v>
      </c>
      <c r="R8486" t="s">
        <v>47312</v>
      </c>
      <c r="S8486" t="s">
        <v>47489</v>
      </c>
      <c r="T8486" t="s">
        <v>49057</v>
      </c>
      <c r="U8486" t="s">
        <v>56564</v>
      </c>
      <c r="V8486" t="s">
        <v>63521</v>
      </c>
      <c r="W8486" t="s">
        <v>45832</v>
      </c>
      <c r="X8486" t="s">
        <v>47313</v>
      </c>
    </row>
    <row r="8487" spans="1:24">
      <c r="A8487">
        <f>HYPERLINK("https://www.philgeps.gov.ph/GEPSNONPILOT/Tender/SplashBidNoticeAbstractUI.aspx?menuIndex=3&amp;refID=7188510&amp;Result=3","7188510")</f>
        <v>0</v>
      </c>
      <c r="B8487" t="s">
        <v>2695</v>
      </c>
      <c r="C8487" t="s">
        <v>11262</v>
      </c>
      <c r="D8487" t="s">
        <v>18987</v>
      </c>
      <c r="E8487" t="s">
        <v>26376</v>
      </c>
      <c r="F8487" t="s">
        <v>32606</v>
      </c>
      <c r="G8487" t="s">
        <v>32613</v>
      </c>
      <c r="H8487" t="s">
        <v>32623</v>
      </c>
      <c r="I8487" t="s">
        <v>17648</v>
      </c>
      <c r="J8487" t="s">
        <v>38050</v>
      </c>
      <c r="K8487" t="s">
        <v>42631</v>
      </c>
      <c r="M8487" t="s">
        <v>45846</v>
      </c>
      <c r="N8487" t="s">
        <v>47304</v>
      </c>
      <c r="O8487" t="s">
        <v>47305</v>
      </c>
      <c r="P8487">
        <v>0</v>
      </c>
      <c r="Q8487">
        <v>0</v>
      </c>
      <c r="R8487" t="s">
        <v>47312</v>
      </c>
      <c r="S8487" t="s">
        <v>47489</v>
      </c>
      <c r="T8487" t="s">
        <v>49084</v>
      </c>
      <c r="U8487" t="s">
        <v>56565</v>
      </c>
      <c r="V8487" t="s">
        <v>63529</v>
      </c>
      <c r="W8487" t="s">
        <v>45846</v>
      </c>
      <c r="X8487" t="s">
        <v>47313</v>
      </c>
    </row>
    <row r="8488" spans="1:24">
      <c r="A8488">
        <f>HYPERLINK("https://www.philgeps.gov.ph/GEPSNONPILOT/Tender/SplashBidNoticeAbstractUI.aspx?menuIndex=3&amp;refID=7188519&amp;Result=3","7188519")</f>
        <v>0</v>
      </c>
      <c r="B8488" t="s">
        <v>2505</v>
      </c>
      <c r="C8488" t="s">
        <v>11846</v>
      </c>
      <c r="D8488" t="s">
        <v>19007</v>
      </c>
      <c r="E8488" t="s">
        <v>25893</v>
      </c>
      <c r="F8488" t="s">
        <v>32606</v>
      </c>
      <c r="G8488" t="s">
        <v>32613</v>
      </c>
      <c r="H8488" t="s">
        <v>32623</v>
      </c>
      <c r="I8488" t="s">
        <v>17648</v>
      </c>
      <c r="J8488" t="s">
        <v>38051</v>
      </c>
      <c r="K8488" t="s">
        <v>42646</v>
      </c>
      <c r="M8488" t="s">
        <v>45644</v>
      </c>
      <c r="N8488" t="s">
        <v>47304</v>
      </c>
      <c r="O8488" t="s">
        <v>47305</v>
      </c>
      <c r="P8488">
        <v>0</v>
      </c>
      <c r="Q8488">
        <v>2</v>
      </c>
      <c r="R8488" t="s">
        <v>47312</v>
      </c>
      <c r="S8488" t="s">
        <v>47489</v>
      </c>
      <c r="T8488" t="s">
        <v>49077</v>
      </c>
      <c r="U8488" t="s">
        <v>56075</v>
      </c>
      <c r="V8488" t="s">
        <v>63530</v>
      </c>
      <c r="W8488" t="s">
        <v>45644</v>
      </c>
      <c r="X8488" t="s">
        <v>47313</v>
      </c>
    </row>
    <row r="8489" spans="1:24">
      <c r="A8489">
        <f>HYPERLINK("https://www.philgeps.gov.ph/GEPSNONPILOT/Tender/SplashBidNoticeAbstractUI.aspx?menuIndex=3&amp;refID=7188460&amp;Result=3","7188460")</f>
        <v>0</v>
      </c>
      <c r="B8489" t="s">
        <v>2595</v>
      </c>
      <c r="C8489" t="s">
        <v>11847</v>
      </c>
      <c r="D8489" t="s">
        <v>19033</v>
      </c>
      <c r="E8489" t="s">
        <v>26377</v>
      </c>
      <c r="F8489" t="s">
        <v>32606</v>
      </c>
      <c r="G8489" t="s">
        <v>32613</v>
      </c>
      <c r="H8489" t="s">
        <v>32623</v>
      </c>
      <c r="I8489" t="s">
        <v>17648</v>
      </c>
      <c r="J8489" t="s">
        <v>35274</v>
      </c>
      <c r="K8489" t="s">
        <v>42636</v>
      </c>
      <c r="M8489" t="s">
        <v>45847</v>
      </c>
      <c r="N8489" t="s">
        <v>47304</v>
      </c>
      <c r="O8489" t="s">
        <v>47305</v>
      </c>
      <c r="P8489">
        <v>0</v>
      </c>
      <c r="Q8489">
        <v>0</v>
      </c>
      <c r="R8489" t="s">
        <v>47312</v>
      </c>
      <c r="S8489" t="s">
        <v>47489</v>
      </c>
      <c r="T8489" t="s">
        <v>49099</v>
      </c>
      <c r="U8489" t="s">
        <v>56566</v>
      </c>
      <c r="V8489" t="s">
        <v>63531</v>
      </c>
      <c r="W8489" t="s">
        <v>45739</v>
      </c>
      <c r="X8489" t="s">
        <v>47313</v>
      </c>
    </row>
    <row r="8490" spans="1:24">
      <c r="A8490">
        <f>HYPERLINK("https://www.philgeps.gov.ph/GEPSNONPILOT/Tender/SplashBidNoticeAbstractUI.aspx?menuIndex=3&amp;refID=7188431&amp;Result=3","7188431")</f>
        <v>0</v>
      </c>
      <c r="B8490" t="s">
        <v>243</v>
      </c>
      <c r="C8490" t="s">
        <v>11848</v>
      </c>
      <c r="D8490" t="s">
        <v>19027</v>
      </c>
      <c r="E8490" t="s">
        <v>26378</v>
      </c>
      <c r="F8490" t="s">
        <v>32606</v>
      </c>
      <c r="G8490" t="s">
        <v>32619</v>
      </c>
      <c r="H8490" t="s">
        <v>14201</v>
      </c>
      <c r="I8490" t="s">
        <v>32655</v>
      </c>
      <c r="J8490" t="s">
        <v>33363</v>
      </c>
      <c r="K8490" t="s">
        <v>42624</v>
      </c>
      <c r="M8490" t="s">
        <v>44391</v>
      </c>
      <c r="N8490" t="s">
        <v>47304</v>
      </c>
      <c r="O8490" t="s">
        <v>47305</v>
      </c>
      <c r="P8490">
        <v>0</v>
      </c>
      <c r="Q8490">
        <v>1</v>
      </c>
      <c r="R8490" t="s">
        <v>47312</v>
      </c>
      <c r="S8490" t="s">
        <v>47489</v>
      </c>
      <c r="T8490" t="s">
        <v>48980</v>
      </c>
      <c r="U8490" t="s">
        <v>56567</v>
      </c>
      <c r="W8490" t="s">
        <v>64471</v>
      </c>
      <c r="X8490" t="s">
        <v>47313</v>
      </c>
    </row>
    <row r="8491" spans="1:24">
      <c r="A8491">
        <f>HYPERLINK("https://www.philgeps.gov.ph/GEPSNONPILOT/Tender/SplashBidNoticeAbstractUI.aspx?menuIndex=3&amp;refID=7188497&amp;Result=3","7188497")</f>
        <v>0</v>
      </c>
      <c r="B8491" t="s">
        <v>2119</v>
      </c>
      <c r="C8491" t="s">
        <v>11849</v>
      </c>
      <c r="D8491" t="s">
        <v>18993</v>
      </c>
      <c r="E8491" t="s">
        <v>26379</v>
      </c>
      <c r="F8491" t="s">
        <v>32607</v>
      </c>
      <c r="G8491" t="s">
        <v>32613</v>
      </c>
      <c r="H8491" t="s">
        <v>14201</v>
      </c>
      <c r="I8491" t="s">
        <v>32721</v>
      </c>
      <c r="J8491" t="s">
        <v>32789</v>
      </c>
      <c r="K8491" t="s">
        <v>42631</v>
      </c>
      <c r="M8491" t="s">
        <v>45206</v>
      </c>
      <c r="N8491" t="s">
        <v>47304</v>
      </c>
      <c r="O8491" t="s">
        <v>47305</v>
      </c>
      <c r="P8491">
        <v>0</v>
      </c>
      <c r="Q8491">
        <v>0</v>
      </c>
      <c r="R8491" t="s">
        <v>47312</v>
      </c>
      <c r="S8491" t="s">
        <v>47489</v>
      </c>
      <c r="T8491" t="s">
        <v>49109</v>
      </c>
      <c r="U8491" t="s">
        <v>56568</v>
      </c>
      <c r="V8491" t="s">
        <v>63251</v>
      </c>
      <c r="W8491" t="s">
        <v>45206</v>
      </c>
      <c r="X8491" t="s">
        <v>47313</v>
      </c>
    </row>
    <row r="8492" spans="1:24">
      <c r="A8492">
        <f>HYPERLINK("https://www.philgeps.gov.ph/GEPSNONPILOT/Tender/SplashBidNoticeAbstractUI.aspx?menuIndex=3&amp;refID=7188494&amp;Result=3","7188494")</f>
        <v>0</v>
      </c>
      <c r="B8492" t="s">
        <v>2696</v>
      </c>
      <c r="C8492" t="s">
        <v>11850</v>
      </c>
      <c r="D8492" t="s">
        <v>18992</v>
      </c>
      <c r="E8492" t="s">
        <v>26380</v>
      </c>
      <c r="F8492" t="s">
        <v>32606</v>
      </c>
      <c r="G8492" t="s">
        <v>32613</v>
      </c>
      <c r="H8492" t="s">
        <v>14201</v>
      </c>
      <c r="I8492" t="s">
        <v>6931</v>
      </c>
      <c r="J8492" t="s">
        <v>33650</v>
      </c>
      <c r="K8492" t="s">
        <v>42630</v>
      </c>
      <c r="M8492" t="s">
        <v>45848</v>
      </c>
      <c r="N8492" t="s">
        <v>47304</v>
      </c>
      <c r="O8492" t="s">
        <v>47305</v>
      </c>
      <c r="P8492">
        <v>0</v>
      </c>
      <c r="Q8492">
        <v>0</v>
      </c>
      <c r="R8492" t="s">
        <v>47312</v>
      </c>
      <c r="S8492" t="s">
        <v>47489</v>
      </c>
      <c r="T8492" t="s">
        <v>49068</v>
      </c>
      <c r="U8492" t="s">
        <v>52230</v>
      </c>
      <c r="W8492" t="s">
        <v>45848</v>
      </c>
      <c r="X8492" t="s">
        <v>47313</v>
      </c>
    </row>
    <row r="8493" spans="1:24">
      <c r="A8493">
        <f>HYPERLINK("https://www.philgeps.gov.ph/GEPSNONPILOT/Tender/SplashBidNoticeAbstractUI.aspx?menuIndex=3&amp;refID=7188492&amp;Result=3","7188492")</f>
        <v>0</v>
      </c>
      <c r="B8493" t="s">
        <v>2686</v>
      </c>
      <c r="C8493" t="s">
        <v>11851</v>
      </c>
      <c r="D8493" t="s">
        <v>19040</v>
      </c>
      <c r="E8493" t="s">
        <v>26381</v>
      </c>
      <c r="F8493" t="s">
        <v>32606</v>
      </c>
      <c r="G8493" t="s">
        <v>32614</v>
      </c>
      <c r="H8493" t="s">
        <v>14201</v>
      </c>
      <c r="I8493" t="s">
        <v>4114</v>
      </c>
      <c r="J8493" t="s">
        <v>38052</v>
      </c>
      <c r="K8493" t="s">
        <v>42631</v>
      </c>
      <c r="M8493" t="s">
        <v>45836</v>
      </c>
      <c r="N8493" t="s">
        <v>47304</v>
      </c>
      <c r="O8493" t="s">
        <v>47305</v>
      </c>
      <c r="P8493">
        <v>0</v>
      </c>
      <c r="Q8493">
        <v>4</v>
      </c>
      <c r="R8493" t="s">
        <v>47312</v>
      </c>
      <c r="S8493" t="s">
        <v>47489</v>
      </c>
      <c r="T8493" t="s">
        <v>49071</v>
      </c>
      <c r="U8493" t="s">
        <v>56569</v>
      </c>
      <c r="V8493" t="s">
        <v>63532</v>
      </c>
      <c r="W8493" t="s">
        <v>45836</v>
      </c>
      <c r="X8493" t="s">
        <v>47313</v>
      </c>
    </row>
    <row r="8494" spans="1:24">
      <c r="A8494">
        <f>HYPERLINK("https://www.philgeps.gov.ph/GEPSNONPILOT/Tender/SplashBidNoticeAbstractUI.aspx?menuIndex=3&amp;refID=7188489&amp;Result=3","7188489")</f>
        <v>0</v>
      </c>
      <c r="B8494" t="s">
        <v>243</v>
      </c>
      <c r="C8494" t="s">
        <v>11852</v>
      </c>
      <c r="D8494" t="s">
        <v>19027</v>
      </c>
      <c r="E8494" t="s">
        <v>26382</v>
      </c>
      <c r="F8494" t="s">
        <v>32606</v>
      </c>
      <c r="G8494" t="s">
        <v>32619</v>
      </c>
      <c r="H8494" t="s">
        <v>14201</v>
      </c>
      <c r="I8494" t="s">
        <v>4120</v>
      </c>
      <c r="J8494" t="s">
        <v>38053</v>
      </c>
      <c r="K8494" t="s">
        <v>42624</v>
      </c>
      <c r="M8494" t="s">
        <v>44391</v>
      </c>
      <c r="N8494" t="s">
        <v>47304</v>
      </c>
      <c r="O8494" t="s">
        <v>47305</v>
      </c>
      <c r="P8494">
        <v>0</v>
      </c>
      <c r="Q8494">
        <v>2</v>
      </c>
      <c r="R8494" t="s">
        <v>47312</v>
      </c>
      <c r="S8494" t="s">
        <v>47489</v>
      </c>
      <c r="T8494" t="s">
        <v>48980</v>
      </c>
      <c r="U8494" t="s">
        <v>56570</v>
      </c>
      <c r="W8494" t="s">
        <v>64471</v>
      </c>
      <c r="X8494" t="s">
        <v>47313</v>
      </c>
    </row>
    <row r="8495" spans="1:24">
      <c r="A8495">
        <f>HYPERLINK("https://www.philgeps.gov.ph/GEPSNONPILOT/Tender/SplashBidNoticeAbstractUI.aspx?menuIndex=3&amp;refID=7188487&amp;Result=3","7188487")</f>
        <v>0</v>
      </c>
      <c r="B8495" t="s">
        <v>2009</v>
      </c>
      <c r="C8495" t="s">
        <v>11853</v>
      </c>
      <c r="D8495" t="s">
        <v>19049</v>
      </c>
      <c r="E8495" t="s">
        <v>26383</v>
      </c>
      <c r="F8495" t="s">
        <v>32606</v>
      </c>
      <c r="G8495" t="s">
        <v>32613</v>
      </c>
      <c r="H8495" t="s">
        <v>32623</v>
      </c>
      <c r="I8495" t="s">
        <v>17648</v>
      </c>
      <c r="J8495" t="s">
        <v>38054</v>
      </c>
      <c r="K8495" t="s">
        <v>42743</v>
      </c>
      <c r="L8495" t="s">
        <v>2009</v>
      </c>
      <c r="M8495" t="s">
        <v>45849</v>
      </c>
      <c r="N8495" t="s">
        <v>47304</v>
      </c>
      <c r="O8495" t="s">
        <v>47305</v>
      </c>
      <c r="P8495">
        <v>0</v>
      </c>
      <c r="Q8495">
        <v>1</v>
      </c>
      <c r="R8495" t="s">
        <v>47312</v>
      </c>
      <c r="S8495" t="s">
        <v>47489</v>
      </c>
      <c r="T8495" t="s">
        <v>49075</v>
      </c>
      <c r="U8495" t="s">
        <v>56571</v>
      </c>
      <c r="V8495" t="s">
        <v>63533</v>
      </c>
      <c r="W8495" t="s">
        <v>45849</v>
      </c>
      <c r="X8495" t="s">
        <v>47313</v>
      </c>
    </row>
    <row r="8496" spans="1:24">
      <c r="A8496">
        <f>HYPERLINK("https://www.philgeps.gov.ph/GEPSNONPILOT/Tender/SplashBidNoticeAbstractUI.aspx?menuIndex=3&amp;refID=7188352&amp;Result=3","7188352")</f>
        <v>0</v>
      </c>
      <c r="B8496" t="s">
        <v>2697</v>
      </c>
      <c r="C8496" t="s">
        <v>11854</v>
      </c>
      <c r="D8496" t="s">
        <v>19066</v>
      </c>
      <c r="E8496" t="s">
        <v>26384</v>
      </c>
      <c r="F8496" t="s">
        <v>32606</v>
      </c>
      <c r="G8496" t="s">
        <v>32614</v>
      </c>
      <c r="H8496" t="s">
        <v>14201</v>
      </c>
      <c r="I8496" t="s">
        <v>32626</v>
      </c>
      <c r="J8496" t="s">
        <v>38055</v>
      </c>
      <c r="K8496" t="s">
        <v>42631</v>
      </c>
      <c r="M8496" t="s">
        <v>45850</v>
      </c>
      <c r="N8496" t="s">
        <v>47304</v>
      </c>
      <c r="O8496" t="s">
        <v>47305</v>
      </c>
      <c r="P8496">
        <v>0</v>
      </c>
      <c r="Q8496">
        <v>10</v>
      </c>
      <c r="R8496" t="s">
        <v>47312</v>
      </c>
      <c r="S8496" t="s">
        <v>47489</v>
      </c>
      <c r="T8496" t="s">
        <v>49072</v>
      </c>
      <c r="U8496" t="s">
        <v>56572</v>
      </c>
      <c r="W8496" t="s">
        <v>45850</v>
      </c>
      <c r="X8496" t="s">
        <v>47313</v>
      </c>
    </row>
    <row r="8497" spans="1:24">
      <c r="A8497">
        <f>HYPERLINK("https://www.philgeps.gov.ph/GEPSNONPILOT/Tender/SplashBidNoticeAbstractUI.aspx?menuIndex=3&amp;refID=7188493&amp;Result=3","7188493")</f>
        <v>0</v>
      </c>
      <c r="B8497" t="s">
        <v>190</v>
      </c>
      <c r="C8497" t="s">
        <v>11855</v>
      </c>
      <c r="D8497" t="s">
        <v>19022</v>
      </c>
      <c r="E8497" t="s">
        <v>26385</v>
      </c>
      <c r="F8497" t="s">
        <v>32606</v>
      </c>
      <c r="G8497" t="s">
        <v>32614</v>
      </c>
      <c r="H8497" t="s">
        <v>14201</v>
      </c>
      <c r="I8497" t="s">
        <v>32633</v>
      </c>
      <c r="J8497" t="s">
        <v>33113</v>
      </c>
      <c r="K8497" t="s">
        <v>42624</v>
      </c>
      <c r="M8497" t="s">
        <v>43091</v>
      </c>
      <c r="N8497" t="s">
        <v>47304</v>
      </c>
      <c r="O8497" t="s">
        <v>47305</v>
      </c>
      <c r="P8497">
        <v>0</v>
      </c>
      <c r="Q8497">
        <v>9</v>
      </c>
      <c r="R8497" t="s">
        <v>47312</v>
      </c>
      <c r="S8497" t="s">
        <v>47489</v>
      </c>
      <c r="T8497" t="s">
        <v>49256</v>
      </c>
      <c r="U8497" t="s">
        <v>56482</v>
      </c>
      <c r="W8497" t="s">
        <v>43091</v>
      </c>
      <c r="X8497" t="s">
        <v>47313</v>
      </c>
    </row>
    <row r="8498" spans="1:24">
      <c r="A8498">
        <f>HYPERLINK("https://www.philgeps.gov.ph/GEPSNONPILOT/Tender/SplashBidNoticeAbstractUI.aspx?menuIndex=3&amp;refID=7188514&amp;Result=3","7188514")</f>
        <v>0</v>
      </c>
      <c r="B8498" t="s">
        <v>220</v>
      </c>
      <c r="C8498" t="s">
        <v>11856</v>
      </c>
      <c r="D8498" t="s">
        <v>19046</v>
      </c>
      <c r="E8498" t="s">
        <v>26386</v>
      </c>
      <c r="F8498" t="s">
        <v>32606</v>
      </c>
      <c r="G8498" t="s">
        <v>32613</v>
      </c>
      <c r="H8498" t="s">
        <v>32623</v>
      </c>
      <c r="I8498" t="s">
        <v>17648</v>
      </c>
      <c r="J8498" t="s">
        <v>38056</v>
      </c>
      <c r="K8498" t="s">
        <v>42636</v>
      </c>
      <c r="M8498" t="s">
        <v>43121</v>
      </c>
      <c r="N8498" t="s">
        <v>47304</v>
      </c>
      <c r="O8498" t="s">
        <v>47305</v>
      </c>
      <c r="P8498">
        <v>0</v>
      </c>
      <c r="Q8498">
        <v>0</v>
      </c>
      <c r="R8498" t="s">
        <v>47312</v>
      </c>
      <c r="S8498" t="s">
        <v>47489</v>
      </c>
      <c r="T8498" t="s">
        <v>49057</v>
      </c>
      <c r="U8498" t="s">
        <v>56141</v>
      </c>
      <c r="W8498" t="s">
        <v>43121</v>
      </c>
      <c r="X8498" t="s">
        <v>47313</v>
      </c>
    </row>
    <row r="8499" spans="1:24">
      <c r="A8499">
        <f>HYPERLINK("https://www.philgeps.gov.ph/GEPSNONPILOT/Tender/SplashBidNoticeAbstractUI.aspx?menuIndex=3&amp;refID=7188524&amp;Result=3","7188524")</f>
        <v>0</v>
      </c>
      <c r="B8499" t="s">
        <v>2693</v>
      </c>
      <c r="C8499" t="s">
        <v>11857</v>
      </c>
      <c r="D8499" t="s">
        <v>19007</v>
      </c>
      <c r="E8499" t="s">
        <v>26141</v>
      </c>
      <c r="F8499" t="s">
        <v>32606</v>
      </c>
      <c r="G8499" t="s">
        <v>32613</v>
      </c>
      <c r="H8499" t="s">
        <v>32623</v>
      </c>
      <c r="I8499" t="s">
        <v>17648</v>
      </c>
      <c r="J8499" t="s">
        <v>38057</v>
      </c>
      <c r="K8499" t="s">
        <v>42623</v>
      </c>
      <c r="M8499" t="s">
        <v>45844</v>
      </c>
      <c r="N8499" t="s">
        <v>47304</v>
      </c>
      <c r="O8499" t="s">
        <v>47305</v>
      </c>
      <c r="P8499">
        <v>0</v>
      </c>
      <c r="Q8499">
        <v>2</v>
      </c>
      <c r="R8499" t="s">
        <v>47312</v>
      </c>
      <c r="S8499" t="s">
        <v>47489</v>
      </c>
      <c r="T8499" t="s">
        <v>49175</v>
      </c>
      <c r="U8499" t="s">
        <v>56573</v>
      </c>
      <c r="W8499" t="s">
        <v>45844</v>
      </c>
      <c r="X8499" t="s">
        <v>47313</v>
      </c>
    </row>
    <row r="8500" spans="1:24">
      <c r="A8500">
        <f>HYPERLINK("https://www.philgeps.gov.ph/GEPSNONPILOT/Tender/SplashBidNoticeAbstractUI.aspx?menuIndex=3&amp;refID=7188555&amp;Result=3","7188555")</f>
        <v>0</v>
      </c>
      <c r="B8500" t="s">
        <v>1929</v>
      </c>
      <c r="C8500" t="s">
        <v>11858</v>
      </c>
      <c r="D8500" t="s">
        <v>19032</v>
      </c>
      <c r="E8500" t="s">
        <v>26387</v>
      </c>
      <c r="F8500" t="s">
        <v>32606</v>
      </c>
      <c r="G8500" t="s">
        <v>32613</v>
      </c>
      <c r="H8500" t="s">
        <v>14201</v>
      </c>
      <c r="I8500" t="s">
        <v>6931</v>
      </c>
      <c r="J8500" t="s">
        <v>38058</v>
      </c>
      <c r="K8500" t="s">
        <v>42623</v>
      </c>
      <c r="M8500" t="s">
        <v>44989</v>
      </c>
      <c r="N8500" t="s">
        <v>47304</v>
      </c>
      <c r="O8500" t="s">
        <v>47305</v>
      </c>
      <c r="P8500">
        <v>0</v>
      </c>
      <c r="Q8500">
        <v>0</v>
      </c>
      <c r="R8500" t="s">
        <v>47312</v>
      </c>
      <c r="S8500" t="s">
        <v>47489</v>
      </c>
      <c r="T8500" t="s">
        <v>49047</v>
      </c>
      <c r="U8500" t="s">
        <v>54532</v>
      </c>
      <c r="W8500" t="s">
        <v>44989</v>
      </c>
      <c r="X8500" t="s">
        <v>47313</v>
      </c>
    </row>
    <row r="8501" spans="1:24">
      <c r="A8501">
        <f>HYPERLINK("https://www.philgeps.gov.ph/GEPSNONPILOT/Tender/SplashBidNoticeAbstractUI.aspx?menuIndex=3&amp;refID=7188486&amp;Result=3","7188486")</f>
        <v>0</v>
      </c>
      <c r="B8501" t="s">
        <v>2698</v>
      </c>
      <c r="C8501" t="s">
        <v>11859</v>
      </c>
      <c r="D8501" t="s">
        <v>18999</v>
      </c>
      <c r="E8501" t="s">
        <v>20242</v>
      </c>
      <c r="F8501" t="s">
        <v>32606</v>
      </c>
      <c r="G8501" t="s">
        <v>32617</v>
      </c>
      <c r="H8501" t="s">
        <v>32624</v>
      </c>
      <c r="I8501" t="s">
        <v>32693</v>
      </c>
      <c r="J8501" t="s">
        <v>32949</v>
      </c>
      <c r="K8501" t="s">
        <v>42638</v>
      </c>
      <c r="M8501" t="s">
        <v>45851</v>
      </c>
      <c r="N8501" t="s">
        <v>47304</v>
      </c>
      <c r="O8501" t="s">
        <v>47305</v>
      </c>
      <c r="P8501">
        <v>0</v>
      </c>
      <c r="Q8501">
        <v>2</v>
      </c>
      <c r="R8501" t="s">
        <v>47312</v>
      </c>
      <c r="S8501" t="s">
        <v>47489</v>
      </c>
      <c r="T8501" t="s">
        <v>49072</v>
      </c>
      <c r="U8501" t="s">
        <v>56574</v>
      </c>
      <c r="W8501" t="s">
        <v>45851</v>
      </c>
      <c r="X8501" t="s">
        <v>47313</v>
      </c>
    </row>
    <row r="8502" spans="1:24">
      <c r="A8502">
        <f>HYPERLINK("https://www.philgeps.gov.ph/GEPSNONPILOT/Tender/SplashBidNoticeAbstractUI.aspx?menuIndex=3&amp;refID=7188548&amp;Result=3","7188548")</f>
        <v>0</v>
      </c>
      <c r="B8502" t="s">
        <v>2697</v>
      </c>
      <c r="C8502" t="s">
        <v>11860</v>
      </c>
      <c r="D8502" t="s">
        <v>19066</v>
      </c>
      <c r="E8502" t="s">
        <v>26388</v>
      </c>
      <c r="F8502" t="s">
        <v>32606</v>
      </c>
      <c r="G8502" t="s">
        <v>32617</v>
      </c>
      <c r="H8502" t="s">
        <v>14201</v>
      </c>
      <c r="I8502" t="s">
        <v>32626</v>
      </c>
      <c r="J8502" t="s">
        <v>33853</v>
      </c>
      <c r="K8502" t="s">
        <v>42631</v>
      </c>
      <c r="M8502" t="s">
        <v>45850</v>
      </c>
      <c r="N8502" t="s">
        <v>47304</v>
      </c>
      <c r="O8502" t="s">
        <v>47305</v>
      </c>
      <c r="P8502">
        <v>0</v>
      </c>
      <c r="Q8502">
        <v>9</v>
      </c>
      <c r="R8502" t="s">
        <v>47312</v>
      </c>
      <c r="S8502" t="s">
        <v>47489</v>
      </c>
      <c r="T8502" t="s">
        <v>49068</v>
      </c>
      <c r="U8502" t="s">
        <v>56575</v>
      </c>
      <c r="W8502" t="s">
        <v>45850</v>
      </c>
      <c r="X8502" t="s">
        <v>47313</v>
      </c>
    </row>
    <row r="8503" spans="1:24">
      <c r="A8503">
        <f>HYPERLINK("https://www.philgeps.gov.ph/GEPSNONPILOT/Tender/SplashBidNoticeAbstractUI.aspx?menuIndex=3&amp;refID=7188373&amp;Result=3","7188373")</f>
        <v>0</v>
      </c>
      <c r="B8503" t="s">
        <v>2670</v>
      </c>
      <c r="C8503" t="s">
        <v>11861</v>
      </c>
      <c r="D8503" t="s">
        <v>19028</v>
      </c>
      <c r="E8503" t="s">
        <v>24981</v>
      </c>
      <c r="F8503" t="s">
        <v>32606</v>
      </c>
      <c r="G8503" t="s">
        <v>32613</v>
      </c>
      <c r="H8503" t="s">
        <v>32623</v>
      </c>
      <c r="I8503" t="s">
        <v>17648</v>
      </c>
      <c r="J8503" t="s">
        <v>32821</v>
      </c>
      <c r="K8503" t="s">
        <v>42645</v>
      </c>
      <c r="M8503" t="s">
        <v>45819</v>
      </c>
      <c r="N8503" t="s">
        <v>47304</v>
      </c>
      <c r="O8503" t="s">
        <v>47305</v>
      </c>
      <c r="P8503">
        <v>0</v>
      </c>
      <c r="Q8503">
        <v>2</v>
      </c>
      <c r="R8503" t="s">
        <v>47312</v>
      </c>
      <c r="S8503" t="s">
        <v>47489</v>
      </c>
      <c r="T8503" t="s">
        <v>49195</v>
      </c>
      <c r="U8503" t="s">
        <v>56576</v>
      </c>
      <c r="W8503" t="s">
        <v>45819</v>
      </c>
      <c r="X8503" t="s">
        <v>47313</v>
      </c>
    </row>
    <row r="8504" spans="1:24">
      <c r="A8504">
        <f>HYPERLINK("https://www.philgeps.gov.ph/GEPSNONPILOT/Tender/SplashBidNoticeAbstractUI.aspx?menuIndex=3&amp;refID=7188546&amp;Result=3","7188546")</f>
        <v>0</v>
      </c>
      <c r="B8504" t="s">
        <v>2699</v>
      </c>
      <c r="C8504" t="s">
        <v>11862</v>
      </c>
      <c r="E8504" t="s">
        <v>26389</v>
      </c>
      <c r="F8504" t="s">
        <v>32606</v>
      </c>
      <c r="G8504" t="s">
        <v>32613</v>
      </c>
      <c r="H8504" t="s">
        <v>32623</v>
      </c>
      <c r="I8504" t="s">
        <v>17648</v>
      </c>
      <c r="J8504" t="s">
        <v>38059</v>
      </c>
      <c r="K8504" t="s">
        <v>42820</v>
      </c>
      <c r="M8504" t="s">
        <v>45852</v>
      </c>
      <c r="N8504" t="s">
        <v>47304</v>
      </c>
      <c r="O8504" t="s">
        <v>47305</v>
      </c>
      <c r="Q8504">
        <v>9</v>
      </c>
      <c r="R8504" t="s">
        <v>47312</v>
      </c>
      <c r="S8504" t="s">
        <v>47509</v>
      </c>
      <c r="T8504" t="s">
        <v>48973</v>
      </c>
      <c r="U8504" t="s">
        <v>56577</v>
      </c>
      <c r="W8504" t="s">
        <v>45852</v>
      </c>
      <c r="X8504" t="s">
        <v>47313</v>
      </c>
    </row>
    <row r="8505" spans="1:24">
      <c r="A8505">
        <f>HYPERLINK("https://www.philgeps.gov.ph/GEPSNONPILOT/Tender/SplashBidNoticeAbstractUI.aspx?menuIndex=3&amp;refID=7188543&amp;Result=3","7188543")</f>
        <v>0</v>
      </c>
      <c r="B8505" t="s">
        <v>2700</v>
      </c>
      <c r="C8505" t="s">
        <v>11863</v>
      </c>
      <c r="D8505" t="s">
        <v>18994</v>
      </c>
      <c r="E8505" t="s">
        <v>26390</v>
      </c>
      <c r="F8505" t="s">
        <v>32608</v>
      </c>
      <c r="G8505" t="s">
        <v>32614</v>
      </c>
      <c r="H8505" t="s">
        <v>14201</v>
      </c>
      <c r="I8505" t="s">
        <v>4369</v>
      </c>
      <c r="J8505" t="s">
        <v>32789</v>
      </c>
      <c r="K8505" t="s">
        <v>42622</v>
      </c>
      <c r="M8505" t="s">
        <v>45853</v>
      </c>
      <c r="N8505" t="s">
        <v>47304</v>
      </c>
      <c r="O8505" t="s">
        <v>47305</v>
      </c>
      <c r="P8505">
        <v>0</v>
      </c>
      <c r="Q8505">
        <v>8</v>
      </c>
      <c r="R8505" t="s">
        <v>47312</v>
      </c>
      <c r="S8505" t="s">
        <v>47489</v>
      </c>
      <c r="T8505" t="s">
        <v>49165</v>
      </c>
      <c r="U8505" t="s">
        <v>56578</v>
      </c>
      <c r="V8505" t="s">
        <v>63534</v>
      </c>
      <c r="W8505" t="s">
        <v>45853</v>
      </c>
      <c r="X8505" t="s">
        <v>47313</v>
      </c>
    </row>
    <row r="8506" spans="1:24">
      <c r="A8506">
        <f>HYPERLINK("https://www.philgeps.gov.ph/GEPSNONPILOT/Tender/SplashBidNoticeAbstractUI.aspx?menuIndex=3&amp;refID=7188539&amp;Result=3","7188539")</f>
        <v>0</v>
      </c>
      <c r="B8506" t="s">
        <v>2505</v>
      </c>
      <c r="C8506" t="s">
        <v>11864</v>
      </c>
      <c r="D8506" t="s">
        <v>19007</v>
      </c>
      <c r="E8506" t="s">
        <v>25893</v>
      </c>
      <c r="F8506" t="s">
        <v>32606</v>
      </c>
      <c r="G8506" t="s">
        <v>32613</v>
      </c>
      <c r="H8506" t="s">
        <v>32623</v>
      </c>
      <c r="I8506" t="s">
        <v>17648</v>
      </c>
      <c r="J8506" t="s">
        <v>38060</v>
      </c>
      <c r="K8506" t="s">
        <v>42646</v>
      </c>
      <c r="M8506" t="s">
        <v>45644</v>
      </c>
      <c r="N8506" t="s">
        <v>47304</v>
      </c>
      <c r="O8506" t="s">
        <v>47305</v>
      </c>
      <c r="P8506">
        <v>0</v>
      </c>
      <c r="Q8506">
        <v>1</v>
      </c>
      <c r="R8506" t="s">
        <v>47312</v>
      </c>
      <c r="S8506" t="s">
        <v>47489</v>
      </c>
      <c r="T8506" t="s">
        <v>49077</v>
      </c>
      <c r="U8506" t="s">
        <v>56075</v>
      </c>
      <c r="V8506" t="s">
        <v>63535</v>
      </c>
      <c r="W8506" t="s">
        <v>45644</v>
      </c>
      <c r="X8506" t="s">
        <v>47313</v>
      </c>
    </row>
    <row r="8507" spans="1:24">
      <c r="A8507">
        <f>HYPERLINK("https://www.philgeps.gov.ph/GEPSNONPILOT/Tender/SplashBidNoticeAbstractUI.aspx?menuIndex=3&amp;refID=7188523&amp;Result=3","7188523")</f>
        <v>0</v>
      </c>
      <c r="B8507" t="s">
        <v>889</v>
      </c>
      <c r="C8507" t="s">
        <v>11865</v>
      </c>
      <c r="D8507" t="s">
        <v>18997</v>
      </c>
      <c r="E8507" t="s">
        <v>26391</v>
      </c>
      <c r="F8507" t="s">
        <v>32606</v>
      </c>
      <c r="G8507" t="s">
        <v>32613</v>
      </c>
      <c r="H8507" t="s">
        <v>32623</v>
      </c>
      <c r="I8507" t="s">
        <v>32625</v>
      </c>
      <c r="J8507" t="s">
        <v>38061</v>
      </c>
      <c r="K8507" t="s">
        <v>42682</v>
      </c>
      <c r="L8507" t="s">
        <v>889</v>
      </c>
      <c r="M8507" t="s">
        <v>43825</v>
      </c>
      <c r="N8507" t="s">
        <v>47304</v>
      </c>
      <c r="O8507" t="s">
        <v>47305</v>
      </c>
      <c r="P8507">
        <v>0</v>
      </c>
      <c r="Q8507">
        <v>0</v>
      </c>
      <c r="R8507" t="s">
        <v>47312</v>
      </c>
      <c r="S8507" t="s">
        <v>47489</v>
      </c>
      <c r="T8507" t="s">
        <v>49023</v>
      </c>
      <c r="U8507" t="s">
        <v>56579</v>
      </c>
      <c r="V8507" t="s">
        <v>62853</v>
      </c>
      <c r="W8507" t="s">
        <v>43825</v>
      </c>
      <c r="X8507" t="s">
        <v>47313</v>
      </c>
    </row>
    <row r="8508" spans="1:24">
      <c r="A8508">
        <f>HYPERLINK("https://www.philgeps.gov.ph/GEPSNONPILOT/Tender/SplashBidNoticeAbstractUI.aspx?menuIndex=3&amp;refID=7188549&amp;Result=3","7188549")</f>
        <v>0</v>
      </c>
      <c r="B8508" t="s">
        <v>243</v>
      </c>
      <c r="C8508" t="s">
        <v>11866</v>
      </c>
      <c r="D8508" t="s">
        <v>19027</v>
      </c>
      <c r="E8508" t="s">
        <v>26392</v>
      </c>
      <c r="F8508" t="s">
        <v>32606</v>
      </c>
      <c r="G8508" t="s">
        <v>32619</v>
      </c>
      <c r="H8508" t="s">
        <v>14201</v>
      </c>
      <c r="I8508" t="s">
        <v>4678</v>
      </c>
      <c r="J8508" t="s">
        <v>37332</v>
      </c>
      <c r="K8508" t="s">
        <v>42624</v>
      </c>
      <c r="M8508" t="s">
        <v>44391</v>
      </c>
      <c r="N8508" t="s">
        <v>47304</v>
      </c>
      <c r="O8508" t="s">
        <v>47305</v>
      </c>
      <c r="P8508">
        <v>0</v>
      </c>
      <c r="Q8508">
        <v>0</v>
      </c>
      <c r="R8508" t="s">
        <v>47312</v>
      </c>
      <c r="S8508" t="s">
        <v>47489</v>
      </c>
      <c r="T8508" t="s">
        <v>48980</v>
      </c>
      <c r="U8508" t="s">
        <v>56580</v>
      </c>
      <c r="W8508" t="s">
        <v>64471</v>
      </c>
      <c r="X8508" t="s">
        <v>47313</v>
      </c>
    </row>
    <row r="8509" spans="1:24">
      <c r="A8509">
        <f>HYPERLINK("https://www.philgeps.gov.ph/GEPSNONPILOT/Tender/SplashBidNoticeAbstractUI.aspx?menuIndex=3&amp;refID=7188568&amp;Result=3","7188568")</f>
        <v>0</v>
      </c>
      <c r="B8509" t="s">
        <v>105</v>
      </c>
      <c r="C8509" t="s">
        <v>11867</v>
      </c>
      <c r="D8509" t="s">
        <v>18993</v>
      </c>
      <c r="E8509" t="s">
        <v>26393</v>
      </c>
      <c r="F8509" t="s">
        <v>32606</v>
      </c>
      <c r="G8509" t="s">
        <v>32613</v>
      </c>
      <c r="H8509" t="s">
        <v>14201</v>
      </c>
      <c r="I8509" t="s">
        <v>32640</v>
      </c>
      <c r="J8509" t="s">
        <v>38062</v>
      </c>
      <c r="K8509" t="s">
        <v>42636</v>
      </c>
      <c r="M8509" t="s">
        <v>43003</v>
      </c>
      <c r="N8509" t="s">
        <v>47304</v>
      </c>
      <c r="O8509" t="s">
        <v>47305</v>
      </c>
      <c r="P8509">
        <v>0</v>
      </c>
      <c r="Q8509">
        <v>24</v>
      </c>
      <c r="R8509" t="s">
        <v>47312</v>
      </c>
      <c r="S8509" t="s">
        <v>47489</v>
      </c>
      <c r="T8509" t="s">
        <v>49390</v>
      </c>
      <c r="U8509" t="s">
        <v>51680</v>
      </c>
      <c r="W8509" t="s">
        <v>43003</v>
      </c>
      <c r="X8509" t="s">
        <v>47313</v>
      </c>
    </row>
    <row r="8510" spans="1:24">
      <c r="A8510">
        <f>HYPERLINK("https://www.philgeps.gov.ph/GEPSNONPILOT/Tender/SplashBidNoticeAbstractUI.aspx?menuIndex=3&amp;refID=7188550&amp;Result=3","7188550")</f>
        <v>0</v>
      </c>
      <c r="B8510" t="s">
        <v>2505</v>
      </c>
      <c r="C8510" t="s">
        <v>11868</v>
      </c>
      <c r="D8510" t="s">
        <v>19007</v>
      </c>
      <c r="E8510" t="s">
        <v>25893</v>
      </c>
      <c r="F8510" t="s">
        <v>32606</v>
      </c>
      <c r="G8510" t="s">
        <v>32613</v>
      </c>
      <c r="H8510" t="s">
        <v>32623</v>
      </c>
      <c r="I8510" t="s">
        <v>17648</v>
      </c>
      <c r="J8510" t="s">
        <v>38063</v>
      </c>
      <c r="K8510" t="s">
        <v>42646</v>
      </c>
      <c r="M8510" t="s">
        <v>45644</v>
      </c>
      <c r="N8510" t="s">
        <v>47304</v>
      </c>
      <c r="O8510" t="s">
        <v>47305</v>
      </c>
      <c r="P8510">
        <v>0</v>
      </c>
      <c r="Q8510">
        <v>1</v>
      </c>
      <c r="R8510" t="s">
        <v>47312</v>
      </c>
      <c r="S8510" t="s">
        <v>47489</v>
      </c>
      <c r="T8510" t="s">
        <v>49077</v>
      </c>
      <c r="U8510" t="s">
        <v>56075</v>
      </c>
      <c r="V8510" t="s">
        <v>63536</v>
      </c>
      <c r="W8510" t="s">
        <v>45644</v>
      </c>
      <c r="X8510" t="s">
        <v>47313</v>
      </c>
    </row>
    <row r="8511" spans="1:24">
      <c r="A8511">
        <f>HYPERLINK("https://www.philgeps.gov.ph/GEPSNONPILOT/Tender/SplashBidNoticeAbstractUI.aspx?menuIndex=3&amp;refID=7188563&amp;Result=3","7188563")</f>
        <v>0</v>
      </c>
      <c r="B8511" t="s">
        <v>2634</v>
      </c>
      <c r="C8511" t="s">
        <v>11869</v>
      </c>
      <c r="D8511" t="s">
        <v>19015</v>
      </c>
      <c r="E8511" t="s">
        <v>19809</v>
      </c>
      <c r="F8511" t="s">
        <v>32606</v>
      </c>
      <c r="G8511" t="s">
        <v>32613</v>
      </c>
      <c r="H8511" t="s">
        <v>32623</v>
      </c>
      <c r="I8511" t="s">
        <v>17648</v>
      </c>
      <c r="J8511" t="s">
        <v>35904</v>
      </c>
      <c r="K8511" t="s">
        <v>42712</v>
      </c>
      <c r="M8511" t="s">
        <v>45778</v>
      </c>
      <c r="N8511" t="s">
        <v>47304</v>
      </c>
      <c r="O8511" t="s">
        <v>47305</v>
      </c>
      <c r="P8511">
        <v>0</v>
      </c>
      <c r="Q8511">
        <v>64</v>
      </c>
      <c r="R8511" t="s">
        <v>47312</v>
      </c>
      <c r="S8511" t="s">
        <v>47489</v>
      </c>
      <c r="T8511" t="s">
        <v>49040</v>
      </c>
      <c r="U8511" t="s">
        <v>56581</v>
      </c>
      <c r="W8511" t="s">
        <v>64509</v>
      </c>
      <c r="X8511" t="s">
        <v>47313</v>
      </c>
    </row>
    <row r="8512" spans="1:24">
      <c r="A8512">
        <f>HYPERLINK("https://www.philgeps.gov.ph/GEPSNONPILOT/Tender/SplashBidNoticeAbstractUI.aspx?menuIndex=3&amp;refID=7188545&amp;Result=3","7188545")</f>
        <v>0</v>
      </c>
      <c r="B8512" t="s">
        <v>2675</v>
      </c>
      <c r="C8512" t="s">
        <v>11870</v>
      </c>
      <c r="D8512" t="s">
        <v>19013</v>
      </c>
      <c r="E8512" t="s">
        <v>26394</v>
      </c>
      <c r="F8512" t="s">
        <v>32606</v>
      </c>
      <c r="G8512" t="s">
        <v>32613</v>
      </c>
      <c r="H8512" t="s">
        <v>32623</v>
      </c>
      <c r="I8512" t="s">
        <v>17648</v>
      </c>
      <c r="J8512" t="s">
        <v>38064</v>
      </c>
      <c r="K8512" t="s">
        <v>42630</v>
      </c>
      <c r="M8512" t="s">
        <v>45824</v>
      </c>
      <c r="N8512" t="s">
        <v>47304</v>
      </c>
      <c r="O8512" t="s">
        <v>47305</v>
      </c>
      <c r="P8512">
        <v>0</v>
      </c>
      <c r="Q8512">
        <v>0</v>
      </c>
      <c r="R8512" t="s">
        <v>47312</v>
      </c>
      <c r="S8512" t="s">
        <v>47489</v>
      </c>
      <c r="T8512" t="s">
        <v>49045</v>
      </c>
      <c r="U8512" t="s">
        <v>56582</v>
      </c>
      <c r="V8512" t="s">
        <v>63537</v>
      </c>
      <c r="W8512" t="s">
        <v>45824</v>
      </c>
      <c r="X8512" t="s">
        <v>47313</v>
      </c>
    </row>
    <row r="8513" spans="1:24">
      <c r="A8513">
        <f>HYPERLINK("https://www.philgeps.gov.ph/GEPSNONPILOT/Tender/SplashBidNoticeAbstractUI.aspx?menuIndex=3&amp;refID=7188557&amp;Result=3","7188557")</f>
        <v>0</v>
      </c>
      <c r="B8513" t="s">
        <v>1629</v>
      </c>
      <c r="C8513" t="s">
        <v>11871</v>
      </c>
      <c r="D8513" t="s">
        <v>18992</v>
      </c>
      <c r="E8513" t="s">
        <v>26395</v>
      </c>
      <c r="F8513" t="s">
        <v>32606</v>
      </c>
      <c r="G8513" t="s">
        <v>32613</v>
      </c>
      <c r="H8513" t="s">
        <v>32623</v>
      </c>
      <c r="I8513" t="s">
        <v>17648</v>
      </c>
      <c r="J8513" t="s">
        <v>34667</v>
      </c>
      <c r="K8513" t="s">
        <v>42646</v>
      </c>
      <c r="M8513" t="s">
        <v>44649</v>
      </c>
      <c r="N8513" t="s">
        <v>47304</v>
      </c>
      <c r="O8513" t="s">
        <v>47305</v>
      </c>
      <c r="P8513">
        <v>0</v>
      </c>
      <c r="Q8513">
        <v>0</v>
      </c>
      <c r="R8513" t="s">
        <v>47312</v>
      </c>
      <c r="S8513" t="s">
        <v>47489</v>
      </c>
      <c r="T8513" t="s">
        <v>48995</v>
      </c>
      <c r="U8513" t="s">
        <v>52172</v>
      </c>
      <c r="W8513" t="s">
        <v>44649</v>
      </c>
      <c r="X8513" t="s">
        <v>47313</v>
      </c>
    </row>
    <row r="8514" spans="1:24">
      <c r="A8514">
        <f>HYPERLINK("https://www.philgeps.gov.ph/GEPSNONPILOT/Tender/SplashBidNoticeAbstractUI.aspx?menuIndex=3&amp;refID=7188537&amp;Result=3","7188537")</f>
        <v>0</v>
      </c>
      <c r="B8514" t="s">
        <v>2701</v>
      </c>
      <c r="C8514" t="s">
        <v>11872</v>
      </c>
      <c r="D8514" t="s">
        <v>18992</v>
      </c>
      <c r="E8514" t="s">
        <v>19358</v>
      </c>
      <c r="F8514" t="s">
        <v>32606</v>
      </c>
      <c r="G8514" t="s">
        <v>32613</v>
      </c>
      <c r="H8514" t="s">
        <v>14201</v>
      </c>
      <c r="I8514" t="s">
        <v>6931</v>
      </c>
      <c r="J8514" t="s">
        <v>38065</v>
      </c>
      <c r="K8514" t="s">
        <v>42630</v>
      </c>
      <c r="L8514" t="s">
        <v>2701</v>
      </c>
      <c r="M8514" t="s">
        <v>45854</v>
      </c>
      <c r="N8514" t="s">
        <v>47304</v>
      </c>
      <c r="O8514" t="s">
        <v>47305</v>
      </c>
      <c r="P8514">
        <v>0</v>
      </c>
      <c r="Q8514">
        <v>0</v>
      </c>
      <c r="R8514" t="s">
        <v>47312</v>
      </c>
      <c r="S8514" t="s">
        <v>47489</v>
      </c>
      <c r="T8514" t="s">
        <v>49068</v>
      </c>
      <c r="U8514" t="s">
        <v>56583</v>
      </c>
      <c r="W8514" t="s">
        <v>45854</v>
      </c>
      <c r="X8514" t="s">
        <v>47313</v>
      </c>
    </row>
    <row r="8515" spans="1:24">
      <c r="A8515">
        <f>HYPERLINK("https://www.philgeps.gov.ph/GEPSNONPILOT/Tender/SplashBidNoticeAbstractUI.aspx?menuIndex=3&amp;refID=7188527&amp;Result=3","7188527")</f>
        <v>0</v>
      </c>
      <c r="B8515" t="s">
        <v>2702</v>
      </c>
      <c r="C8515" t="s">
        <v>11873</v>
      </c>
      <c r="D8515" t="s">
        <v>18995</v>
      </c>
      <c r="E8515" t="s">
        <v>26396</v>
      </c>
      <c r="F8515" t="s">
        <v>32606</v>
      </c>
      <c r="G8515" t="s">
        <v>32613</v>
      </c>
      <c r="H8515" t="s">
        <v>14201</v>
      </c>
      <c r="I8515" t="s">
        <v>32681</v>
      </c>
      <c r="J8515" t="s">
        <v>32821</v>
      </c>
      <c r="K8515" t="s">
        <v>42630</v>
      </c>
      <c r="M8515" t="s">
        <v>45855</v>
      </c>
      <c r="N8515" t="s">
        <v>47304</v>
      </c>
      <c r="O8515" t="s">
        <v>47305</v>
      </c>
      <c r="P8515">
        <v>0</v>
      </c>
      <c r="Q8515">
        <v>3</v>
      </c>
      <c r="R8515" t="s">
        <v>47312</v>
      </c>
      <c r="S8515" t="s">
        <v>47489</v>
      </c>
      <c r="T8515" t="s">
        <v>49165</v>
      </c>
      <c r="U8515" t="s">
        <v>56584</v>
      </c>
      <c r="W8515" t="s">
        <v>45855</v>
      </c>
      <c r="X8515" t="s">
        <v>47313</v>
      </c>
    </row>
    <row r="8516" spans="1:24">
      <c r="A8516">
        <f>HYPERLINK("https://www.philgeps.gov.ph/GEPSNONPILOT/Tender/SplashBidNoticeAbstractUI.aspx?menuIndex=3&amp;refID=7188554&amp;Result=3","7188554")</f>
        <v>0</v>
      </c>
      <c r="B8516" t="s">
        <v>376</v>
      </c>
      <c r="C8516" t="s">
        <v>4562</v>
      </c>
      <c r="D8516" t="s">
        <v>19039</v>
      </c>
      <c r="E8516" t="s">
        <v>26397</v>
      </c>
      <c r="F8516" t="s">
        <v>32606</v>
      </c>
      <c r="G8516" t="s">
        <v>32614</v>
      </c>
      <c r="H8516" t="s">
        <v>14201</v>
      </c>
      <c r="I8516" t="s">
        <v>6007</v>
      </c>
      <c r="J8516" t="s">
        <v>33024</v>
      </c>
      <c r="K8516" t="s">
        <v>42630</v>
      </c>
      <c r="M8516" t="s">
        <v>43278</v>
      </c>
      <c r="N8516" t="s">
        <v>47304</v>
      </c>
      <c r="O8516" t="s">
        <v>47305</v>
      </c>
      <c r="P8516">
        <v>0</v>
      </c>
      <c r="Q8516">
        <v>0</v>
      </c>
      <c r="R8516" t="s">
        <v>47312</v>
      </c>
      <c r="S8516" t="s">
        <v>47489</v>
      </c>
      <c r="T8516" t="s">
        <v>49315</v>
      </c>
      <c r="U8516" t="s">
        <v>56585</v>
      </c>
      <c r="W8516" t="s">
        <v>43278</v>
      </c>
      <c r="X8516" t="s">
        <v>47313</v>
      </c>
    </row>
    <row r="8517" spans="1:24">
      <c r="A8517">
        <f>HYPERLINK("https://www.philgeps.gov.ph/GEPSNONPILOT/Tender/SplashBidNoticeAbstractUI.aspx?menuIndex=3&amp;refID=7188577&amp;Result=3","7188577")</f>
        <v>0</v>
      </c>
      <c r="B8517" t="s">
        <v>2299</v>
      </c>
      <c r="C8517" t="s">
        <v>11874</v>
      </c>
      <c r="D8517" t="s">
        <v>19011</v>
      </c>
      <c r="E8517" t="s">
        <v>26398</v>
      </c>
      <c r="F8517" t="s">
        <v>32606</v>
      </c>
      <c r="G8517" t="s">
        <v>32614</v>
      </c>
      <c r="H8517" t="s">
        <v>14201</v>
      </c>
      <c r="I8517" t="s">
        <v>6993</v>
      </c>
      <c r="J8517" t="s">
        <v>38066</v>
      </c>
      <c r="K8517" t="s">
        <v>42630</v>
      </c>
      <c r="M8517" t="s">
        <v>45405</v>
      </c>
      <c r="N8517" t="s">
        <v>47304</v>
      </c>
      <c r="O8517" t="s">
        <v>47305</v>
      </c>
      <c r="P8517">
        <v>0</v>
      </c>
      <c r="Q8517">
        <v>0</v>
      </c>
      <c r="R8517" t="s">
        <v>47312</v>
      </c>
      <c r="S8517" t="s">
        <v>47489</v>
      </c>
      <c r="T8517" t="s">
        <v>49071</v>
      </c>
      <c r="U8517" t="s">
        <v>56586</v>
      </c>
      <c r="W8517" t="s">
        <v>45405</v>
      </c>
      <c r="X8517" t="s">
        <v>47313</v>
      </c>
    </row>
    <row r="8518" spans="1:24">
      <c r="A8518">
        <f>HYPERLINK("https://www.philgeps.gov.ph/GEPSNONPILOT/Tender/SplashBidNoticeAbstractUI.aspx?menuIndex=3&amp;refID=7188574&amp;Result=3","7188574")</f>
        <v>0</v>
      </c>
      <c r="B8518" t="s">
        <v>2682</v>
      </c>
      <c r="C8518" t="s">
        <v>11875</v>
      </c>
      <c r="D8518" t="s">
        <v>19009</v>
      </c>
      <c r="E8518" t="s">
        <v>26399</v>
      </c>
      <c r="F8518" t="s">
        <v>32606</v>
      </c>
      <c r="G8518" t="s">
        <v>32614</v>
      </c>
      <c r="H8518" t="s">
        <v>32623</v>
      </c>
      <c r="I8518" t="s">
        <v>17648</v>
      </c>
      <c r="J8518" t="s">
        <v>38067</v>
      </c>
      <c r="K8518" t="s">
        <v>42636</v>
      </c>
      <c r="M8518" t="s">
        <v>45832</v>
      </c>
      <c r="N8518" t="s">
        <v>47304</v>
      </c>
      <c r="O8518" t="s">
        <v>47305</v>
      </c>
      <c r="P8518">
        <v>0</v>
      </c>
      <c r="Q8518">
        <v>0</v>
      </c>
      <c r="R8518" t="s">
        <v>47312</v>
      </c>
      <c r="S8518" t="s">
        <v>47489</v>
      </c>
      <c r="T8518" t="s">
        <v>49068</v>
      </c>
      <c r="U8518" t="s">
        <v>56587</v>
      </c>
      <c r="V8518" t="s">
        <v>63521</v>
      </c>
      <c r="W8518" t="s">
        <v>45832</v>
      </c>
      <c r="X8518" t="s">
        <v>47313</v>
      </c>
    </row>
    <row r="8519" spans="1:24">
      <c r="A8519">
        <f>HYPERLINK("https://www.philgeps.gov.ph/GEPSNONPILOT/Tender/SplashBidNoticeAbstractUI.aspx?menuIndex=3&amp;refID=7188603&amp;Result=3","7188603")</f>
        <v>0</v>
      </c>
      <c r="B8519" t="s">
        <v>397</v>
      </c>
      <c r="C8519" t="s">
        <v>11876</v>
      </c>
      <c r="D8519" t="s">
        <v>18992</v>
      </c>
      <c r="E8519" t="s">
        <v>26400</v>
      </c>
      <c r="F8519" t="s">
        <v>32606</v>
      </c>
      <c r="G8519" t="s">
        <v>32613</v>
      </c>
      <c r="H8519" t="s">
        <v>14201</v>
      </c>
      <c r="I8519" t="s">
        <v>6931</v>
      </c>
      <c r="J8519" t="s">
        <v>38068</v>
      </c>
      <c r="K8519" t="s">
        <v>42631</v>
      </c>
      <c r="M8519" t="s">
        <v>43300</v>
      </c>
      <c r="N8519" t="s">
        <v>47304</v>
      </c>
      <c r="O8519" t="s">
        <v>47305</v>
      </c>
      <c r="P8519">
        <v>0</v>
      </c>
      <c r="Q8519">
        <v>0</v>
      </c>
      <c r="R8519" t="s">
        <v>47312</v>
      </c>
      <c r="S8519" t="s">
        <v>47489</v>
      </c>
      <c r="T8519" t="s">
        <v>48998</v>
      </c>
      <c r="U8519" t="s">
        <v>56588</v>
      </c>
      <c r="W8519" t="s">
        <v>43300</v>
      </c>
      <c r="X8519" t="s">
        <v>47313</v>
      </c>
    </row>
    <row r="8520" spans="1:24">
      <c r="A8520">
        <f>HYPERLINK("https://www.philgeps.gov.ph/GEPSNONPILOT/Tender/SplashBidNoticeAbstractUI.aspx?menuIndex=3&amp;refID=7188567&amp;Result=3","7188567")</f>
        <v>0</v>
      </c>
      <c r="B8520" t="s">
        <v>190</v>
      </c>
      <c r="C8520" t="s">
        <v>4288</v>
      </c>
      <c r="D8520" t="s">
        <v>19022</v>
      </c>
      <c r="E8520" t="s">
        <v>26401</v>
      </c>
      <c r="F8520" t="s">
        <v>32606</v>
      </c>
      <c r="G8520" t="s">
        <v>32614</v>
      </c>
      <c r="H8520" t="s">
        <v>14201</v>
      </c>
      <c r="I8520" t="s">
        <v>7233</v>
      </c>
      <c r="J8520" t="s">
        <v>33376</v>
      </c>
      <c r="K8520" t="s">
        <v>42624</v>
      </c>
      <c r="M8520" t="s">
        <v>43091</v>
      </c>
      <c r="N8520" t="s">
        <v>47304</v>
      </c>
      <c r="O8520" t="s">
        <v>47305</v>
      </c>
      <c r="P8520">
        <v>0</v>
      </c>
      <c r="Q8520">
        <v>0</v>
      </c>
      <c r="R8520" t="s">
        <v>47312</v>
      </c>
      <c r="S8520" t="s">
        <v>47489</v>
      </c>
      <c r="T8520" t="s">
        <v>49256</v>
      </c>
      <c r="U8520" t="s">
        <v>56482</v>
      </c>
      <c r="W8520" t="s">
        <v>43091</v>
      </c>
      <c r="X8520" t="s">
        <v>47313</v>
      </c>
    </row>
    <row r="8521" spans="1:24">
      <c r="A8521">
        <f>HYPERLINK("https://www.philgeps.gov.ph/GEPSNONPILOT/Tender/SplashBidNoticeAbstractUI.aspx?menuIndex=3&amp;refID=7188592&amp;Result=3","7188592")</f>
        <v>0</v>
      </c>
      <c r="B8521" t="s">
        <v>2699</v>
      </c>
      <c r="C8521" t="s">
        <v>11877</v>
      </c>
      <c r="E8521" t="s">
        <v>26402</v>
      </c>
      <c r="F8521" t="s">
        <v>32606</v>
      </c>
      <c r="G8521" t="s">
        <v>32613</v>
      </c>
      <c r="H8521" t="s">
        <v>32623</v>
      </c>
      <c r="I8521" t="s">
        <v>17648</v>
      </c>
      <c r="J8521" t="s">
        <v>38069</v>
      </c>
      <c r="K8521" t="s">
        <v>42815</v>
      </c>
      <c r="M8521" t="s">
        <v>45852</v>
      </c>
      <c r="N8521" t="s">
        <v>47304</v>
      </c>
      <c r="O8521" t="s">
        <v>47305</v>
      </c>
      <c r="Q8521">
        <v>6</v>
      </c>
      <c r="R8521" t="s">
        <v>47312</v>
      </c>
      <c r="S8521" t="s">
        <v>47510</v>
      </c>
      <c r="T8521" t="s">
        <v>48973</v>
      </c>
      <c r="U8521" t="s">
        <v>56589</v>
      </c>
      <c r="W8521" t="s">
        <v>45852</v>
      </c>
      <c r="X8521" t="s">
        <v>47313</v>
      </c>
    </row>
    <row r="8522" spans="1:24">
      <c r="A8522">
        <f>HYPERLINK("https://www.philgeps.gov.ph/GEPSNONPILOT/Tender/SplashBidNoticeAbstractUI.aspx?menuIndex=3&amp;refID=7188533&amp;Result=3","7188533")</f>
        <v>0</v>
      </c>
      <c r="B8522" t="s">
        <v>243</v>
      </c>
      <c r="C8522" t="s">
        <v>11878</v>
      </c>
      <c r="D8522" t="s">
        <v>19027</v>
      </c>
      <c r="E8522" t="s">
        <v>26403</v>
      </c>
      <c r="F8522" t="s">
        <v>32606</v>
      </c>
      <c r="G8522" t="s">
        <v>32619</v>
      </c>
      <c r="H8522" t="s">
        <v>14201</v>
      </c>
      <c r="I8522" t="s">
        <v>6007</v>
      </c>
      <c r="J8522" t="s">
        <v>38070</v>
      </c>
      <c r="K8522" t="s">
        <v>42624</v>
      </c>
      <c r="M8522" t="s">
        <v>44391</v>
      </c>
      <c r="N8522" t="s">
        <v>47304</v>
      </c>
      <c r="O8522" t="s">
        <v>47305</v>
      </c>
      <c r="P8522">
        <v>0</v>
      </c>
      <c r="Q8522">
        <v>0</v>
      </c>
      <c r="R8522" t="s">
        <v>47312</v>
      </c>
      <c r="S8522" t="s">
        <v>47489</v>
      </c>
      <c r="T8522" t="s">
        <v>48980</v>
      </c>
      <c r="U8522" t="s">
        <v>56590</v>
      </c>
      <c r="W8522" t="s">
        <v>64471</v>
      </c>
      <c r="X8522" t="s">
        <v>47313</v>
      </c>
    </row>
    <row r="8523" spans="1:24">
      <c r="A8523">
        <f>HYPERLINK("https://www.philgeps.gov.ph/GEPSNONPILOT/Tender/SplashBidNoticeAbstractUI.aspx?menuIndex=3&amp;refID=7188500&amp;Result=3","7188500")</f>
        <v>0</v>
      </c>
      <c r="B8523" t="s">
        <v>2674</v>
      </c>
      <c r="C8523" t="s">
        <v>11879</v>
      </c>
      <c r="D8523" t="s">
        <v>18989</v>
      </c>
      <c r="E8523" t="s">
        <v>26404</v>
      </c>
      <c r="F8523" t="s">
        <v>32606</v>
      </c>
      <c r="G8523" t="s">
        <v>32619</v>
      </c>
      <c r="H8523" t="s">
        <v>14201</v>
      </c>
      <c r="I8523" t="s">
        <v>6931</v>
      </c>
      <c r="J8523" t="s">
        <v>38071</v>
      </c>
      <c r="K8523" t="s">
        <v>42623</v>
      </c>
      <c r="M8523" t="s">
        <v>45823</v>
      </c>
      <c r="N8523" t="s">
        <v>47304</v>
      </c>
      <c r="O8523" t="s">
        <v>47305</v>
      </c>
      <c r="P8523">
        <v>0</v>
      </c>
      <c r="Q8523">
        <v>2</v>
      </c>
      <c r="R8523" t="s">
        <v>47312</v>
      </c>
      <c r="S8523" t="s">
        <v>47489</v>
      </c>
      <c r="T8523" t="s">
        <v>49330</v>
      </c>
      <c r="U8523" t="s">
        <v>56591</v>
      </c>
      <c r="W8523" t="s">
        <v>45823</v>
      </c>
      <c r="X8523" t="s">
        <v>47313</v>
      </c>
    </row>
    <row r="8524" spans="1:24">
      <c r="A8524">
        <f>HYPERLINK("https://www.philgeps.gov.ph/GEPSNONPILOT/Tender/SplashBidNoticeAbstractUI.aspx?menuIndex=3&amp;refID=7188620&amp;Result=3","7188620")</f>
        <v>0</v>
      </c>
      <c r="B8524" t="s">
        <v>763</v>
      </c>
      <c r="C8524" t="s">
        <v>11880</v>
      </c>
      <c r="D8524" t="s">
        <v>19037</v>
      </c>
      <c r="E8524" t="s">
        <v>25157</v>
      </c>
      <c r="F8524" t="s">
        <v>32606</v>
      </c>
      <c r="G8524" t="s">
        <v>32613</v>
      </c>
      <c r="H8524" t="s">
        <v>14201</v>
      </c>
      <c r="I8524" t="s">
        <v>17648</v>
      </c>
      <c r="J8524" t="s">
        <v>32830</v>
      </c>
      <c r="K8524" t="s">
        <v>42648</v>
      </c>
      <c r="M8524" t="s">
        <v>43688</v>
      </c>
      <c r="N8524" t="s">
        <v>47304</v>
      </c>
      <c r="O8524" t="s">
        <v>47305</v>
      </c>
      <c r="P8524">
        <v>0</v>
      </c>
      <c r="Q8524">
        <v>0</v>
      </c>
      <c r="R8524" t="s">
        <v>47312</v>
      </c>
      <c r="S8524" t="s">
        <v>47489</v>
      </c>
      <c r="T8524" t="s">
        <v>48970</v>
      </c>
      <c r="U8524" t="s">
        <v>56592</v>
      </c>
      <c r="V8524" t="s">
        <v>62822</v>
      </c>
      <c r="W8524" t="s">
        <v>43688</v>
      </c>
      <c r="X8524" t="s">
        <v>47313</v>
      </c>
    </row>
    <row r="8525" spans="1:24">
      <c r="A8525">
        <f>HYPERLINK("https://www.philgeps.gov.ph/GEPSNONPILOT/Tender/SplashBidNoticeAbstractUI.aspx?menuIndex=3&amp;refID=7188617&amp;Result=3","7188617")</f>
        <v>0</v>
      </c>
      <c r="B8525" t="s">
        <v>2505</v>
      </c>
      <c r="C8525" t="s">
        <v>11881</v>
      </c>
      <c r="D8525" t="s">
        <v>19007</v>
      </c>
      <c r="E8525" t="s">
        <v>25893</v>
      </c>
      <c r="F8525" t="s">
        <v>32606</v>
      </c>
      <c r="G8525" t="s">
        <v>32613</v>
      </c>
      <c r="H8525" t="s">
        <v>32623</v>
      </c>
      <c r="I8525" t="s">
        <v>17648</v>
      </c>
      <c r="J8525" t="s">
        <v>38072</v>
      </c>
      <c r="K8525" t="s">
        <v>42712</v>
      </c>
      <c r="M8525" t="s">
        <v>45644</v>
      </c>
      <c r="N8525" t="s">
        <v>47304</v>
      </c>
      <c r="O8525" t="s">
        <v>47305</v>
      </c>
      <c r="P8525">
        <v>0</v>
      </c>
      <c r="Q8525">
        <v>1</v>
      </c>
      <c r="R8525" t="s">
        <v>47312</v>
      </c>
      <c r="S8525" t="s">
        <v>47489</v>
      </c>
      <c r="T8525" t="s">
        <v>49077</v>
      </c>
      <c r="U8525" t="s">
        <v>56075</v>
      </c>
      <c r="V8525" t="s">
        <v>63538</v>
      </c>
      <c r="W8525" t="s">
        <v>45644</v>
      </c>
      <c r="X8525" t="s">
        <v>47313</v>
      </c>
    </row>
    <row r="8526" spans="1:24">
      <c r="A8526">
        <f>HYPERLINK("https://www.philgeps.gov.ph/GEPSNONPILOT/Tender/SplashBidNoticeAbstractUI.aspx?menuIndex=3&amp;refID=7188562&amp;Result=3","7188562")</f>
        <v>0</v>
      </c>
      <c r="B8526" t="s">
        <v>2703</v>
      </c>
      <c r="C8526" t="s">
        <v>11882</v>
      </c>
      <c r="D8526" t="s">
        <v>19051</v>
      </c>
      <c r="E8526" t="s">
        <v>20660</v>
      </c>
      <c r="F8526" t="s">
        <v>32606</v>
      </c>
      <c r="G8526" t="s">
        <v>32613</v>
      </c>
      <c r="H8526" t="s">
        <v>14201</v>
      </c>
      <c r="I8526" t="s">
        <v>7577</v>
      </c>
      <c r="J8526" t="s">
        <v>32833</v>
      </c>
      <c r="K8526" t="s">
        <v>42631</v>
      </c>
      <c r="M8526" t="s">
        <v>45856</v>
      </c>
      <c r="N8526" t="s">
        <v>47304</v>
      </c>
      <c r="O8526" t="s">
        <v>47305</v>
      </c>
      <c r="P8526">
        <v>0</v>
      </c>
      <c r="Q8526">
        <v>1</v>
      </c>
      <c r="R8526" t="s">
        <v>47312</v>
      </c>
      <c r="S8526" t="s">
        <v>47489</v>
      </c>
      <c r="T8526" t="s">
        <v>49087</v>
      </c>
      <c r="U8526" t="s">
        <v>56593</v>
      </c>
      <c r="W8526" t="s">
        <v>45856</v>
      </c>
      <c r="X8526" t="s">
        <v>47313</v>
      </c>
    </row>
    <row r="8527" spans="1:24">
      <c r="A8527">
        <f>HYPERLINK("https://www.philgeps.gov.ph/GEPSNONPILOT/Tender/SplashBidNoticeAbstractUI.aspx?menuIndex=3&amp;refID=7188614&amp;Result=3","7188614")</f>
        <v>0</v>
      </c>
      <c r="B8527" t="s">
        <v>1929</v>
      </c>
      <c r="C8527" t="s">
        <v>11883</v>
      </c>
      <c r="D8527" t="s">
        <v>19032</v>
      </c>
      <c r="E8527" t="s">
        <v>26405</v>
      </c>
      <c r="F8527" t="s">
        <v>32606</v>
      </c>
      <c r="G8527" t="s">
        <v>32613</v>
      </c>
      <c r="H8527" t="s">
        <v>14201</v>
      </c>
      <c r="I8527" t="s">
        <v>6931</v>
      </c>
      <c r="J8527" t="s">
        <v>38073</v>
      </c>
      <c r="K8527" t="s">
        <v>42623</v>
      </c>
      <c r="M8527" t="s">
        <v>44989</v>
      </c>
      <c r="N8527" t="s">
        <v>47304</v>
      </c>
      <c r="O8527" t="s">
        <v>47305</v>
      </c>
      <c r="P8527">
        <v>0</v>
      </c>
      <c r="Q8527">
        <v>0</v>
      </c>
      <c r="R8527" t="s">
        <v>47312</v>
      </c>
      <c r="S8527" t="s">
        <v>47489</v>
      </c>
      <c r="T8527" t="s">
        <v>49047</v>
      </c>
      <c r="U8527" t="s">
        <v>54532</v>
      </c>
      <c r="W8527" t="s">
        <v>44989</v>
      </c>
      <c r="X8527" t="s">
        <v>47313</v>
      </c>
    </row>
    <row r="8528" spans="1:24">
      <c r="A8528">
        <f>HYPERLINK("https://www.philgeps.gov.ph/GEPSNONPILOT/Tender/SplashBidNoticeAbstractUI.aspx?menuIndex=3&amp;refID=7188588&amp;Result=3","7188588")</f>
        <v>0</v>
      </c>
      <c r="B8528" t="s">
        <v>1929</v>
      </c>
      <c r="C8528" t="s">
        <v>11884</v>
      </c>
      <c r="D8528" t="s">
        <v>19032</v>
      </c>
      <c r="E8528" t="s">
        <v>26406</v>
      </c>
      <c r="F8528" t="s">
        <v>32606</v>
      </c>
      <c r="G8528" t="s">
        <v>32613</v>
      </c>
      <c r="H8528" t="s">
        <v>14201</v>
      </c>
      <c r="I8528" t="s">
        <v>6931</v>
      </c>
      <c r="J8528" t="s">
        <v>38074</v>
      </c>
      <c r="K8528" t="s">
        <v>42623</v>
      </c>
      <c r="M8528" t="s">
        <v>44989</v>
      </c>
      <c r="N8528" t="s">
        <v>47304</v>
      </c>
      <c r="O8528" t="s">
        <v>47305</v>
      </c>
      <c r="P8528">
        <v>0</v>
      </c>
      <c r="Q8528">
        <v>0</v>
      </c>
      <c r="R8528" t="s">
        <v>47312</v>
      </c>
      <c r="S8528" t="s">
        <v>47489</v>
      </c>
      <c r="T8528" t="s">
        <v>49047</v>
      </c>
      <c r="U8528" t="s">
        <v>54532</v>
      </c>
      <c r="W8528" t="s">
        <v>44989</v>
      </c>
      <c r="X8528" t="s">
        <v>47313</v>
      </c>
    </row>
    <row r="8529" spans="1:24">
      <c r="A8529">
        <f>HYPERLINK("https://www.philgeps.gov.ph/GEPSNONPILOT/Tender/SplashBidNoticeAbstractUI.aspx?menuIndex=3&amp;refID=7188619&amp;Result=3","7188619")</f>
        <v>0</v>
      </c>
      <c r="B8529" t="s">
        <v>2008</v>
      </c>
      <c r="C8529" t="s">
        <v>11885</v>
      </c>
      <c r="D8529" t="s">
        <v>19011</v>
      </c>
      <c r="E8529" t="s">
        <v>26407</v>
      </c>
      <c r="F8529" t="s">
        <v>32606</v>
      </c>
      <c r="G8529" t="s">
        <v>32615</v>
      </c>
      <c r="H8529" t="s">
        <v>14201</v>
      </c>
      <c r="I8529" t="s">
        <v>32707</v>
      </c>
      <c r="J8529" t="s">
        <v>38075</v>
      </c>
      <c r="K8529" t="s">
        <v>42638</v>
      </c>
      <c r="M8529" t="s">
        <v>45079</v>
      </c>
      <c r="N8529" t="s">
        <v>47304</v>
      </c>
      <c r="O8529" t="s">
        <v>47305</v>
      </c>
      <c r="P8529">
        <v>0</v>
      </c>
      <c r="Q8529">
        <v>13</v>
      </c>
      <c r="R8529" t="s">
        <v>47312</v>
      </c>
      <c r="S8529" t="s">
        <v>47489</v>
      </c>
      <c r="T8529" t="s">
        <v>49269</v>
      </c>
      <c r="U8529" t="s">
        <v>56594</v>
      </c>
      <c r="V8529" t="s">
        <v>63539</v>
      </c>
      <c r="W8529" t="s">
        <v>45079</v>
      </c>
      <c r="X8529" t="s">
        <v>47313</v>
      </c>
    </row>
    <row r="8530" spans="1:24">
      <c r="A8530">
        <f>HYPERLINK("https://www.philgeps.gov.ph/GEPSNONPILOT/Tender/SplashBidNoticeAbstractUI.aspx?menuIndex=3&amp;refID=7188612&amp;Result=3","7188612")</f>
        <v>0</v>
      </c>
      <c r="B8530" t="s">
        <v>2682</v>
      </c>
      <c r="C8530" t="s">
        <v>11886</v>
      </c>
      <c r="D8530" t="s">
        <v>19009</v>
      </c>
      <c r="E8530" t="s">
        <v>26408</v>
      </c>
      <c r="F8530" t="s">
        <v>32606</v>
      </c>
      <c r="G8530" t="s">
        <v>32613</v>
      </c>
      <c r="H8530" t="s">
        <v>32623</v>
      </c>
      <c r="I8530" t="s">
        <v>17648</v>
      </c>
      <c r="J8530" t="s">
        <v>32772</v>
      </c>
      <c r="K8530" t="s">
        <v>42646</v>
      </c>
      <c r="M8530" t="s">
        <v>45832</v>
      </c>
      <c r="N8530" t="s">
        <v>47304</v>
      </c>
      <c r="O8530" t="s">
        <v>47305</v>
      </c>
      <c r="P8530">
        <v>0</v>
      </c>
      <c r="Q8530">
        <v>0</v>
      </c>
      <c r="R8530" t="s">
        <v>47312</v>
      </c>
      <c r="S8530" t="s">
        <v>47489</v>
      </c>
      <c r="T8530" t="s">
        <v>49057</v>
      </c>
      <c r="U8530" t="s">
        <v>56595</v>
      </c>
      <c r="V8530" t="s">
        <v>63521</v>
      </c>
      <c r="W8530" t="s">
        <v>45832</v>
      </c>
      <c r="X8530" t="s">
        <v>47313</v>
      </c>
    </row>
    <row r="8531" spans="1:24">
      <c r="A8531">
        <f>HYPERLINK("https://www.philgeps.gov.ph/GEPSNONPILOT/Tender/SplashBidNoticeAbstractUI.aspx?menuIndex=3&amp;refID=7188582&amp;Result=3","7188582")</f>
        <v>0</v>
      </c>
      <c r="B8531" t="s">
        <v>1210</v>
      </c>
      <c r="C8531" t="s">
        <v>11887</v>
      </c>
      <c r="D8531" t="s">
        <v>18988</v>
      </c>
      <c r="E8531" t="s">
        <v>26409</v>
      </c>
      <c r="F8531" t="s">
        <v>32606</v>
      </c>
      <c r="G8531" t="s">
        <v>32614</v>
      </c>
      <c r="H8531" t="s">
        <v>14201</v>
      </c>
      <c r="I8531" t="s">
        <v>9013</v>
      </c>
      <c r="J8531" t="s">
        <v>38076</v>
      </c>
      <c r="K8531" t="s">
        <v>42624</v>
      </c>
      <c r="M8531" t="s">
        <v>44175</v>
      </c>
      <c r="N8531" t="s">
        <v>47304</v>
      </c>
      <c r="O8531" t="s">
        <v>47305</v>
      </c>
      <c r="P8531">
        <v>0</v>
      </c>
      <c r="Q8531">
        <v>1</v>
      </c>
      <c r="R8531" t="s">
        <v>47312</v>
      </c>
      <c r="S8531" t="s">
        <v>47489</v>
      </c>
      <c r="T8531" t="s">
        <v>48996</v>
      </c>
      <c r="U8531" t="s">
        <v>52031</v>
      </c>
      <c r="W8531" t="s">
        <v>44175</v>
      </c>
      <c r="X8531" t="s">
        <v>47313</v>
      </c>
    </row>
    <row r="8532" spans="1:24">
      <c r="A8532">
        <f>HYPERLINK("https://www.philgeps.gov.ph/GEPSNONPILOT/Tender/SplashBidNoticeAbstractUI.aspx?menuIndex=3&amp;refID=7188581&amp;Result=3","7188581")</f>
        <v>0</v>
      </c>
      <c r="B8532" t="s">
        <v>243</v>
      </c>
      <c r="C8532" t="s">
        <v>11888</v>
      </c>
      <c r="D8532" t="s">
        <v>19027</v>
      </c>
      <c r="E8532" t="s">
        <v>26410</v>
      </c>
      <c r="F8532" t="s">
        <v>32606</v>
      </c>
      <c r="G8532" t="s">
        <v>32619</v>
      </c>
      <c r="H8532" t="s">
        <v>14201</v>
      </c>
      <c r="I8532" t="s">
        <v>7677</v>
      </c>
      <c r="J8532" t="s">
        <v>32981</v>
      </c>
      <c r="K8532" t="s">
        <v>42624</v>
      </c>
      <c r="M8532" t="s">
        <v>44391</v>
      </c>
      <c r="N8532" t="s">
        <v>47304</v>
      </c>
      <c r="O8532" t="s">
        <v>47305</v>
      </c>
      <c r="P8532">
        <v>0</v>
      </c>
      <c r="Q8532">
        <v>1</v>
      </c>
      <c r="R8532" t="s">
        <v>47312</v>
      </c>
      <c r="S8532" t="s">
        <v>47489</v>
      </c>
      <c r="T8532" t="s">
        <v>48980</v>
      </c>
      <c r="U8532" t="s">
        <v>56596</v>
      </c>
      <c r="W8532" t="s">
        <v>64471</v>
      </c>
      <c r="X8532" t="s">
        <v>47313</v>
      </c>
    </row>
    <row r="8533" spans="1:24">
      <c r="A8533">
        <f>HYPERLINK("https://www.philgeps.gov.ph/GEPSNONPILOT/Tender/SplashBidNoticeAbstractUI.aspx?menuIndex=3&amp;refID=7188580&amp;Result=3","7188580")</f>
        <v>0</v>
      </c>
      <c r="B8533" t="s">
        <v>1245</v>
      </c>
      <c r="C8533" t="s">
        <v>11889</v>
      </c>
      <c r="D8533" t="s">
        <v>19039</v>
      </c>
      <c r="E8533" t="s">
        <v>26411</v>
      </c>
      <c r="F8533" t="s">
        <v>32606</v>
      </c>
      <c r="G8533" t="s">
        <v>32614</v>
      </c>
      <c r="H8533" t="s">
        <v>14201</v>
      </c>
      <c r="I8533" t="s">
        <v>4112</v>
      </c>
      <c r="J8533" t="s">
        <v>34076</v>
      </c>
      <c r="K8533" t="s">
        <v>42624</v>
      </c>
      <c r="M8533" t="s">
        <v>44211</v>
      </c>
      <c r="N8533" t="s">
        <v>47304</v>
      </c>
      <c r="O8533" t="s">
        <v>47305</v>
      </c>
      <c r="P8533">
        <v>0</v>
      </c>
      <c r="Q8533">
        <v>0</v>
      </c>
      <c r="R8533" t="s">
        <v>47312</v>
      </c>
      <c r="S8533" t="s">
        <v>47489</v>
      </c>
      <c r="T8533" t="s">
        <v>49268</v>
      </c>
      <c r="U8533" t="s">
        <v>52134</v>
      </c>
      <c r="W8533" t="s">
        <v>44211</v>
      </c>
      <c r="X8533" t="s">
        <v>47313</v>
      </c>
    </row>
    <row r="8534" spans="1:24">
      <c r="A8534">
        <f>HYPERLINK("https://www.philgeps.gov.ph/GEPSNONPILOT/Tender/SplashBidNoticeAbstractUI.aspx?menuIndex=3&amp;refID=7188579&amp;Result=3","7188579")</f>
        <v>0</v>
      </c>
      <c r="B8534" t="s">
        <v>2666</v>
      </c>
      <c r="C8534" t="s">
        <v>11890</v>
      </c>
      <c r="D8534" t="s">
        <v>18989</v>
      </c>
      <c r="E8534" t="s">
        <v>19809</v>
      </c>
      <c r="F8534" t="s">
        <v>32606</v>
      </c>
      <c r="G8534" t="s">
        <v>32613</v>
      </c>
      <c r="H8534" t="s">
        <v>14201</v>
      </c>
      <c r="I8534" t="s">
        <v>6931</v>
      </c>
      <c r="J8534" t="s">
        <v>33748</v>
      </c>
      <c r="K8534" t="s">
        <v>42637</v>
      </c>
      <c r="M8534" t="s">
        <v>45815</v>
      </c>
      <c r="N8534" t="s">
        <v>47304</v>
      </c>
      <c r="O8534" t="s">
        <v>47305</v>
      </c>
      <c r="P8534">
        <v>0</v>
      </c>
      <c r="Q8534">
        <v>0</v>
      </c>
      <c r="R8534" t="s">
        <v>47312</v>
      </c>
      <c r="S8534" t="s">
        <v>47489</v>
      </c>
      <c r="T8534" t="s">
        <v>49068</v>
      </c>
      <c r="U8534" t="s">
        <v>56597</v>
      </c>
      <c r="W8534" t="s">
        <v>45815</v>
      </c>
      <c r="X8534" t="s">
        <v>47313</v>
      </c>
    </row>
    <row r="8535" spans="1:24">
      <c r="A8535">
        <f>HYPERLINK("https://www.philgeps.gov.ph/GEPSNONPILOT/Tender/SplashBidNoticeAbstractUI.aspx?menuIndex=3&amp;refID=7188578&amp;Result=3","7188578")</f>
        <v>0</v>
      </c>
      <c r="B8535" t="s">
        <v>2699</v>
      </c>
      <c r="C8535" t="s">
        <v>11891</v>
      </c>
      <c r="E8535" t="s">
        <v>26412</v>
      </c>
      <c r="F8535" t="s">
        <v>32606</v>
      </c>
      <c r="G8535" t="s">
        <v>32613</v>
      </c>
      <c r="H8535" t="s">
        <v>32623</v>
      </c>
      <c r="I8535" t="s">
        <v>17648</v>
      </c>
      <c r="J8535" t="s">
        <v>38077</v>
      </c>
      <c r="K8535" t="s">
        <v>42821</v>
      </c>
      <c r="M8535" t="s">
        <v>45852</v>
      </c>
      <c r="N8535" t="s">
        <v>47304</v>
      </c>
      <c r="O8535" t="s">
        <v>47305</v>
      </c>
      <c r="Q8535">
        <v>6</v>
      </c>
      <c r="R8535" t="s">
        <v>47312</v>
      </c>
      <c r="S8535" t="s">
        <v>47511</v>
      </c>
      <c r="T8535" t="s">
        <v>48973</v>
      </c>
      <c r="U8535" t="s">
        <v>56598</v>
      </c>
      <c r="W8535" t="s">
        <v>45852</v>
      </c>
      <c r="X8535" t="s">
        <v>47313</v>
      </c>
    </row>
    <row r="8536" spans="1:24">
      <c r="A8536">
        <f>HYPERLINK("https://www.philgeps.gov.ph/GEPSNONPILOT/Tender/SplashBidNoticeAbstractUI.aspx?menuIndex=3&amp;refID=7188598&amp;Result=3","7188598")</f>
        <v>0</v>
      </c>
      <c r="B8536" t="s">
        <v>2505</v>
      </c>
      <c r="C8536" t="s">
        <v>11892</v>
      </c>
      <c r="D8536" t="s">
        <v>19007</v>
      </c>
      <c r="E8536" t="s">
        <v>25893</v>
      </c>
      <c r="F8536" t="s">
        <v>32606</v>
      </c>
      <c r="G8536" t="s">
        <v>32613</v>
      </c>
      <c r="H8536" t="s">
        <v>32623</v>
      </c>
      <c r="I8536" t="s">
        <v>17648</v>
      </c>
      <c r="J8536" t="s">
        <v>38078</v>
      </c>
      <c r="K8536" t="s">
        <v>42651</v>
      </c>
      <c r="M8536" t="s">
        <v>45644</v>
      </c>
      <c r="N8536" t="s">
        <v>47304</v>
      </c>
      <c r="O8536" t="s">
        <v>47305</v>
      </c>
      <c r="P8536">
        <v>0</v>
      </c>
      <c r="Q8536">
        <v>1</v>
      </c>
      <c r="R8536" t="s">
        <v>47312</v>
      </c>
      <c r="S8536" t="s">
        <v>47489</v>
      </c>
      <c r="T8536" t="s">
        <v>49077</v>
      </c>
      <c r="U8536" t="s">
        <v>56075</v>
      </c>
      <c r="V8536" t="s">
        <v>63540</v>
      </c>
      <c r="W8536" t="s">
        <v>45644</v>
      </c>
      <c r="X8536" t="s">
        <v>47313</v>
      </c>
    </row>
    <row r="8537" spans="1:24">
      <c r="A8537">
        <f>HYPERLINK("https://www.philgeps.gov.ph/GEPSNONPILOT/Tender/SplashBidNoticeAbstractUI.aspx?menuIndex=3&amp;refID=7188622&amp;Result=3","7188622")</f>
        <v>0</v>
      </c>
      <c r="B8537" t="s">
        <v>2704</v>
      </c>
      <c r="C8537" t="s">
        <v>11893</v>
      </c>
      <c r="D8537" t="s">
        <v>18989</v>
      </c>
      <c r="E8537" t="s">
        <v>21778</v>
      </c>
      <c r="F8537" t="s">
        <v>32606</v>
      </c>
      <c r="G8537" t="s">
        <v>32613</v>
      </c>
      <c r="H8537" t="s">
        <v>14201</v>
      </c>
      <c r="I8537" t="s">
        <v>6931</v>
      </c>
      <c r="J8537" t="s">
        <v>33195</v>
      </c>
      <c r="K8537" t="s">
        <v>42681</v>
      </c>
      <c r="M8537" t="s">
        <v>45857</v>
      </c>
      <c r="N8537" t="s">
        <v>47304</v>
      </c>
      <c r="O8537" t="s">
        <v>47305</v>
      </c>
      <c r="P8537">
        <v>0</v>
      </c>
      <c r="Q8537">
        <v>0</v>
      </c>
      <c r="R8537" t="s">
        <v>47312</v>
      </c>
      <c r="S8537" t="s">
        <v>47489</v>
      </c>
      <c r="T8537" t="s">
        <v>49068</v>
      </c>
      <c r="U8537" t="s">
        <v>56599</v>
      </c>
      <c r="W8537" t="s">
        <v>45857</v>
      </c>
      <c r="X8537" t="s">
        <v>47313</v>
      </c>
    </row>
    <row r="8538" spans="1:24">
      <c r="A8538">
        <f>HYPERLINK("https://www.philgeps.gov.ph/GEPSNONPILOT/Tender/SplashBidNoticeAbstractUI.aspx?menuIndex=3&amp;refID=7188593&amp;Result=3","7188593")</f>
        <v>0</v>
      </c>
      <c r="B8538" t="s">
        <v>2705</v>
      </c>
      <c r="C8538" t="s">
        <v>11894</v>
      </c>
      <c r="D8538" t="s">
        <v>18992</v>
      </c>
      <c r="E8538" t="s">
        <v>26413</v>
      </c>
      <c r="F8538" t="s">
        <v>32606</v>
      </c>
      <c r="G8538" t="s">
        <v>32614</v>
      </c>
      <c r="H8538" t="s">
        <v>14201</v>
      </c>
      <c r="I8538" t="s">
        <v>32689</v>
      </c>
      <c r="J8538" t="s">
        <v>36204</v>
      </c>
      <c r="K8538" t="s">
        <v>42622</v>
      </c>
      <c r="M8538" t="s">
        <v>45858</v>
      </c>
      <c r="N8538" t="s">
        <v>47304</v>
      </c>
      <c r="O8538" t="s">
        <v>47305</v>
      </c>
      <c r="P8538">
        <v>0</v>
      </c>
      <c r="Q8538">
        <v>0</v>
      </c>
      <c r="R8538" t="s">
        <v>47312</v>
      </c>
      <c r="S8538" t="s">
        <v>47489</v>
      </c>
      <c r="T8538" t="s">
        <v>48998</v>
      </c>
      <c r="U8538" t="s">
        <v>56600</v>
      </c>
      <c r="W8538" t="s">
        <v>45858</v>
      </c>
      <c r="X8538" t="s">
        <v>47313</v>
      </c>
    </row>
    <row r="8539" spans="1:24">
      <c r="A8539">
        <f>HYPERLINK("https://www.philgeps.gov.ph/GEPSNONPILOT/Tender/SplashBidNoticeAbstractUI.aspx?menuIndex=3&amp;refID=7188649&amp;Result=3","7188649")</f>
        <v>0</v>
      </c>
      <c r="B8539" t="s">
        <v>2682</v>
      </c>
      <c r="C8539" t="s">
        <v>11895</v>
      </c>
      <c r="D8539" t="s">
        <v>19009</v>
      </c>
      <c r="E8539" t="s">
        <v>26414</v>
      </c>
      <c r="F8539" t="s">
        <v>32606</v>
      </c>
      <c r="G8539" t="s">
        <v>32613</v>
      </c>
      <c r="H8539" t="s">
        <v>32623</v>
      </c>
      <c r="I8539" t="s">
        <v>17648</v>
      </c>
      <c r="J8539" t="s">
        <v>38079</v>
      </c>
      <c r="K8539" t="s">
        <v>42646</v>
      </c>
      <c r="M8539" t="s">
        <v>45832</v>
      </c>
      <c r="N8539" t="s">
        <v>47304</v>
      </c>
      <c r="O8539" t="s">
        <v>47305</v>
      </c>
      <c r="P8539">
        <v>0</v>
      </c>
      <c r="Q8539">
        <v>0</v>
      </c>
      <c r="R8539" t="s">
        <v>47312</v>
      </c>
      <c r="S8539" t="s">
        <v>47489</v>
      </c>
      <c r="T8539" t="s">
        <v>49057</v>
      </c>
      <c r="U8539" t="s">
        <v>56601</v>
      </c>
      <c r="V8539" t="s">
        <v>63521</v>
      </c>
      <c r="W8539" t="s">
        <v>45832</v>
      </c>
      <c r="X8539" t="s">
        <v>47313</v>
      </c>
    </row>
    <row r="8540" spans="1:24">
      <c r="A8540">
        <f>HYPERLINK("https://www.philgeps.gov.ph/GEPSNONPILOT/Tender/SplashBidNoticeAbstractUI.aspx?menuIndex=3&amp;refID=7188651&amp;Result=3","7188651")</f>
        <v>0</v>
      </c>
      <c r="B8540" t="s">
        <v>2706</v>
      </c>
      <c r="C8540" t="s">
        <v>11896</v>
      </c>
      <c r="D8540" t="s">
        <v>19003</v>
      </c>
      <c r="E8540" t="s">
        <v>26415</v>
      </c>
      <c r="F8540" t="s">
        <v>32607</v>
      </c>
      <c r="G8540" t="s">
        <v>32619</v>
      </c>
      <c r="H8540" t="s">
        <v>14201</v>
      </c>
      <c r="I8540" t="s">
        <v>6298</v>
      </c>
      <c r="J8540" t="s">
        <v>33529</v>
      </c>
      <c r="K8540" t="s">
        <v>42629</v>
      </c>
      <c r="M8540" t="s">
        <v>45859</v>
      </c>
      <c r="N8540" t="s">
        <v>47304</v>
      </c>
      <c r="O8540" t="s">
        <v>47305</v>
      </c>
      <c r="P8540">
        <v>0</v>
      </c>
      <c r="Q8540">
        <v>0</v>
      </c>
      <c r="R8540" t="s">
        <v>47312</v>
      </c>
      <c r="S8540" t="s">
        <v>47489</v>
      </c>
      <c r="T8540" t="s">
        <v>49047</v>
      </c>
      <c r="U8540" t="s">
        <v>56602</v>
      </c>
      <c r="W8540" t="s">
        <v>45859</v>
      </c>
      <c r="X8540" t="s">
        <v>47313</v>
      </c>
    </row>
    <row r="8541" spans="1:24">
      <c r="A8541">
        <f>HYPERLINK("https://www.philgeps.gov.ph/GEPSNONPILOT/Tender/SplashBidNoticeAbstractUI.aspx?menuIndex=3&amp;refID=7188648&amp;Result=3","7188648")</f>
        <v>0</v>
      </c>
      <c r="B8541" t="s">
        <v>2645</v>
      </c>
      <c r="C8541" t="s">
        <v>11897</v>
      </c>
      <c r="D8541" t="s">
        <v>18999</v>
      </c>
      <c r="E8541" t="s">
        <v>26416</v>
      </c>
      <c r="F8541" t="s">
        <v>32606</v>
      </c>
      <c r="G8541" t="s">
        <v>32613</v>
      </c>
      <c r="H8541" t="s">
        <v>14201</v>
      </c>
      <c r="I8541" t="s">
        <v>13131</v>
      </c>
      <c r="J8541" t="s">
        <v>38080</v>
      </c>
      <c r="K8541" t="s">
        <v>42624</v>
      </c>
      <c r="M8541" t="s">
        <v>45791</v>
      </c>
      <c r="N8541" t="s">
        <v>47304</v>
      </c>
      <c r="O8541" t="s">
        <v>47305</v>
      </c>
      <c r="P8541">
        <v>0</v>
      </c>
      <c r="Q8541">
        <v>8</v>
      </c>
      <c r="R8541" t="s">
        <v>47312</v>
      </c>
      <c r="S8541" t="s">
        <v>47489</v>
      </c>
      <c r="T8541" t="s">
        <v>49300</v>
      </c>
      <c r="U8541" t="s">
        <v>56603</v>
      </c>
      <c r="W8541" t="s">
        <v>45791</v>
      </c>
      <c r="X8541" t="s">
        <v>47313</v>
      </c>
    </row>
    <row r="8542" spans="1:24">
      <c r="A8542">
        <f>HYPERLINK("https://www.philgeps.gov.ph/GEPSNONPILOT/Tender/SplashBidNoticeAbstractUI.aspx?menuIndex=3&amp;refID=7188586&amp;Result=3","7188586")</f>
        <v>0</v>
      </c>
      <c r="B8542" t="s">
        <v>376</v>
      </c>
      <c r="C8542" t="s">
        <v>11898</v>
      </c>
      <c r="D8542" t="s">
        <v>19039</v>
      </c>
      <c r="E8542" t="s">
        <v>26417</v>
      </c>
      <c r="F8542" t="s">
        <v>32606</v>
      </c>
      <c r="G8542" t="s">
        <v>32614</v>
      </c>
      <c r="H8542" t="s">
        <v>14201</v>
      </c>
      <c r="I8542" t="s">
        <v>32640</v>
      </c>
      <c r="J8542" t="s">
        <v>32981</v>
      </c>
      <c r="K8542" t="s">
        <v>42630</v>
      </c>
      <c r="M8542" t="s">
        <v>43278</v>
      </c>
      <c r="N8542" t="s">
        <v>47304</v>
      </c>
      <c r="O8542" t="s">
        <v>47305</v>
      </c>
      <c r="P8542">
        <v>0</v>
      </c>
      <c r="Q8542">
        <v>0</v>
      </c>
      <c r="R8542" t="s">
        <v>47312</v>
      </c>
      <c r="S8542" t="s">
        <v>47489</v>
      </c>
      <c r="T8542" t="s">
        <v>49394</v>
      </c>
      <c r="U8542" t="s">
        <v>56604</v>
      </c>
      <c r="W8542" t="s">
        <v>43278</v>
      </c>
      <c r="X8542" t="s">
        <v>47313</v>
      </c>
    </row>
    <row r="8543" spans="1:24">
      <c r="A8543">
        <f>HYPERLINK("https://www.philgeps.gov.ph/GEPSNONPILOT/Tender/SplashBidNoticeAbstractUI.aspx?menuIndex=3&amp;refID=7188646&amp;Result=3","7188646")</f>
        <v>0</v>
      </c>
      <c r="B8543" t="s">
        <v>641</v>
      </c>
      <c r="C8543" t="s">
        <v>11899</v>
      </c>
      <c r="D8543" t="s">
        <v>19068</v>
      </c>
      <c r="E8543" t="s">
        <v>25048</v>
      </c>
      <c r="F8543" t="s">
        <v>32606</v>
      </c>
      <c r="G8543" t="s">
        <v>32614</v>
      </c>
      <c r="H8543" t="s">
        <v>14201</v>
      </c>
      <c r="I8543" t="s">
        <v>32633</v>
      </c>
      <c r="J8543" t="s">
        <v>38081</v>
      </c>
      <c r="K8543" t="s">
        <v>42631</v>
      </c>
      <c r="M8543" t="s">
        <v>43559</v>
      </c>
      <c r="N8543" t="s">
        <v>47304</v>
      </c>
      <c r="O8543" t="s">
        <v>47305</v>
      </c>
      <c r="P8543">
        <v>0</v>
      </c>
      <c r="Q8543">
        <v>20</v>
      </c>
      <c r="R8543" t="s">
        <v>47312</v>
      </c>
      <c r="S8543" t="s">
        <v>47489</v>
      </c>
      <c r="T8543" t="s">
        <v>49384</v>
      </c>
      <c r="U8543" t="s">
        <v>56605</v>
      </c>
      <c r="W8543" t="s">
        <v>43559</v>
      </c>
      <c r="X8543" t="s">
        <v>47313</v>
      </c>
    </row>
    <row r="8544" spans="1:24">
      <c r="A8544">
        <f>HYPERLINK("https://www.philgeps.gov.ph/GEPSNONPILOT/Tender/SplashBidNoticeAbstractUI.aspx?menuIndex=3&amp;refID=7188663&amp;Result=3","7188663")</f>
        <v>0</v>
      </c>
      <c r="B8544" t="s">
        <v>2707</v>
      </c>
      <c r="C8544" t="s">
        <v>11900</v>
      </c>
      <c r="D8544" t="s">
        <v>19016</v>
      </c>
      <c r="E8544" t="s">
        <v>26418</v>
      </c>
      <c r="F8544" t="s">
        <v>32606</v>
      </c>
      <c r="G8544" t="s">
        <v>32613</v>
      </c>
      <c r="H8544" t="s">
        <v>32623</v>
      </c>
      <c r="I8544" t="s">
        <v>17648</v>
      </c>
      <c r="J8544" t="s">
        <v>38082</v>
      </c>
      <c r="K8544" t="s">
        <v>42639</v>
      </c>
      <c r="M8544" t="s">
        <v>45860</v>
      </c>
      <c r="N8544" t="s">
        <v>47304</v>
      </c>
      <c r="O8544" t="s">
        <v>47305</v>
      </c>
      <c r="P8544">
        <v>0</v>
      </c>
      <c r="Q8544">
        <v>8</v>
      </c>
      <c r="R8544" t="s">
        <v>47312</v>
      </c>
      <c r="S8544" t="s">
        <v>47489</v>
      </c>
      <c r="T8544" t="s">
        <v>48976</v>
      </c>
      <c r="U8544" t="s">
        <v>56606</v>
      </c>
      <c r="W8544" t="s">
        <v>45860</v>
      </c>
      <c r="X8544" t="s">
        <v>47313</v>
      </c>
    </row>
    <row r="8545" spans="1:24">
      <c r="A8545">
        <f>HYPERLINK("https://www.philgeps.gov.ph/GEPSNONPILOT/Tender/SplashBidNoticeAbstractUI.aspx?menuIndex=3&amp;refID=7188662&amp;Result=3","7188662")</f>
        <v>0</v>
      </c>
      <c r="B8545" t="s">
        <v>748</v>
      </c>
      <c r="C8545" t="s">
        <v>7900</v>
      </c>
      <c r="D8545" t="s">
        <v>18993</v>
      </c>
      <c r="E8545" t="s">
        <v>26419</v>
      </c>
      <c r="F8545" t="s">
        <v>32606</v>
      </c>
      <c r="G8545" t="s">
        <v>32614</v>
      </c>
      <c r="H8545" t="s">
        <v>14201</v>
      </c>
      <c r="I8545" t="s">
        <v>4120</v>
      </c>
      <c r="J8545" t="s">
        <v>32967</v>
      </c>
      <c r="K8545" t="s">
        <v>42623</v>
      </c>
      <c r="M8545" t="s">
        <v>43671</v>
      </c>
      <c r="N8545" t="s">
        <v>47304</v>
      </c>
      <c r="O8545" t="s">
        <v>47305</v>
      </c>
      <c r="P8545">
        <v>0</v>
      </c>
      <c r="Q8545">
        <v>2</v>
      </c>
      <c r="R8545" t="s">
        <v>47312</v>
      </c>
      <c r="S8545" t="s">
        <v>47489</v>
      </c>
      <c r="T8545" t="s">
        <v>49268</v>
      </c>
      <c r="U8545" t="s">
        <v>56607</v>
      </c>
      <c r="V8545" t="s">
        <v>63541</v>
      </c>
      <c r="W8545" t="s">
        <v>43671</v>
      </c>
      <c r="X8545" t="s">
        <v>47313</v>
      </c>
    </row>
    <row r="8546" spans="1:24">
      <c r="A8546">
        <f>HYPERLINK("https://www.philgeps.gov.ph/GEPSNONPILOT/Tender/SplashBidNoticeAbstractUI.aspx?menuIndex=3&amp;refID=7188583&amp;Result=3","7188583")</f>
        <v>0</v>
      </c>
      <c r="B8546" t="s">
        <v>2505</v>
      </c>
      <c r="C8546" t="s">
        <v>11901</v>
      </c>
      <c r="D8546" t="s">
        <v>19007</v>
      </c>
      <c r="E8546" t="s">
        <v>25893</v>
      </c>
      <c r="F8546" t="s">
        <v>32606</v>
      </c>
      <c r="G8546" t="s">
        <v>32613</v>
      </c>
      <c r="H8546" t="s">
        <v>32623</v>
      </c>
      <c r="I8546" t="s">
        <v>17648</v>
      </c>
      <c r="J8546" t="s">
        <v>38083</v>
      </c>
      <c r="K8546" t="s">
        <v>42648</v>
      </c>
      <c r="M8546" t="s">
        <v>45644</v>
      </c>
      <c r="N8546" t="s">
        <v>47304</v>
      </c>
      <c r="O8546" t="s">
        <v>47305</v>
      </c>
      <c r="P8546">
        <v>0</v>
      </c>
      <c r="Q8546">
        <v>0</v>
      </c>
      <c r="R8546" t="s">
        <v>47312</v>
      </c>
      <c r="S8546" t="s">
        <v>47489</v>
      </c>
      <c r="T8546" t="s">
        <v>49077</v>
      </c>
      <c r="U8546" t="s">
        <v>56075</v>
      </c>
      <c r="V8546" t="s">
        <v>63542</v>
      </c>
      <c r="W8546" t="s">
        <v>45644</v>
      </c>
      <c r="X8546" t="s">
        <v>47313</v>
      </c>
    </row>
    <row r="8547" spans="1:24">
      <c r="A8547">
        <f>HYPERLINK("https://www.philgeps.gov.ph/GEPSNONPILOT/Tender/SplashBidNoticeAbstractUI.aspx?menuIndex=3&amp;refID=7188655&amp;Result=3","7188655")</f>
        <v>0</v>
      </c>
      <c r="B8547" t="s">
        <v>2705</v>
      </c>
      <c r="C8547" t="s">
        <v>11902</v>
      </c>
      <c r="D8547" t="s">
        <v>18992</v>
      </c>
      <c r="E8547" t="s">
        <v>26420</v>
      </c>
      <c r="F8547" t="s">
        <v>32606</v>
      </c>
      <c r="G8547" t="s">
        <v>32617</v>
      </c>
      <c r="H8547" t="s">
        <v>14201</v>
      </c>
      <c r="I8547" t="s">
        <v>4114</v>
      </c>
      <c r="J8547" t="s">
        <v>38084</v>
      </c>
      <c r="K8547" t="s">
        <v>42622</v>
      </c>
      <c r="M8547" t="s">
        <v>45858</v>
      </c>
      <c r="N8547" t="s">
        <v>47304</v>
      </c>
      <c r="O8547" t="s">
        <v>47305</v>
      </c>
      <c r="P8547">
        <v>0</v>
      </c>
      <c r="Q8547">
        <v>0</v>
      </c>
      <c r="R8547" t="s">
        <v>47312</v>
      </c>
      <c r="S8547" t="s">
        <v>47489</v>
      </c>
      <c r="T8547" t="s">
        <v>48998</v>
      </c>
      <c r="U8547" t="s">
        <v>56600</v>
      </c>
      <c r="W8547" t="s">
        <v>45858</v>
      </c>
      <c r="X8547" t="s">
        <v>47313</v>
      </c>
    </row>
    <row r="8548" spans="1:24">
      <c r="A8548">
        <f>HYPERLINK("https://www.philgeps.gov.ph/GEPSNONPILOT/Tender/SplashBidNoticeAbstractUI.aspx?menuIndex=3&amp;refID=7188654&amp;Result=3","7188654")</f>
        <v>0</v>
      </c>
      <c r="B8548" t="s">
        <v>2708</v>
      </c>
      <c r="C8548" t="s">
        <v>11903</v>
      </c>
      <c r="D8548" t="s">
        <v>19058</v>
      </c>
      <c r="E8548" t="s">
        <v>26421</v>
      </c>
      <c r="F8548" t="s">
        <v>32606</v>
      </c>
      <c r="G8548" t="s">
        <v>32613</v>
      </c>
      <c r="H8548" t="s">
        <v>32623</v>
      </c>
      <c r="I8548" t="s">
        <v>17648</v>
      </c>
      <c r="J8548" t="s">
        <v>32770</v>
      </c>
      <c r="K8548" t="s">
        <v>42639</v>
      </c>
      <c r="M8548" t="s">
        <v>45861</v>
      </c>
      <c r="N8548" t="s">
        <v>47304</v>
      </c>
      <c r="O8548" t="s">
        <v>47305</v>
      </c>
      <c r="P8548">
        <v>0</v>
      </c>
      <c r="Q8548">
        <v>2</v>
      </c>
      <c r="R8548" t="s">
        <v>47312</v>
      </c>
      <c r="S8548" t="s">
        <v>47489</v>
      </c>
      <c r="T8548" t="s">
        <v>49364</v>
      </c>
      <c r="U8548" t="s">
        <v>56608</v>
      </c>
      <c r="W8548" t="s">
        <v>45861</v>
      </c>
      <c r="X8548" t="s">
        <v>47313</v>
      </c>
    </row>
    <row r="8549" spans="1:24">
      <c r="A8549">
        <f>HYPERLINK("https://www.philgeps.gov.ph/GEPSNONPILOT/Tender/SplashBidNoticeAbstractUI.aspx?menuIndex=3&amp;refID=7188653&amp;Result=3","7188653")</f>
        <v>0</v>
      </c>
      <c r="B8549" t="s">
        <v>2505</v>
      </c>
      <c r="C8549" t="s">
        <v>11904</v>
      </c>
      <c r="D8549" t="s">
        <v>19007</v>
      </c>
      <c r="E8549" t="s">
        <v>25893</v>
      </c>
      <c r="F8549" t="s">
        <v>32606</v>
      </c>
      <c r="G8549" t="s">
        <v>32613</v>
      </c>
      <c r="H8549" t="s">
        <v>32623</v>
      </c>
      <c r="I8549" t="s">
        <v>17648</v>
      </c>
      <c r="J8549" t="s">
        <v>38085</v>
      </c>
      <c r="K8549" t="s">
        <v>42775</v>
      </c>
      <c r="M8549" t="s">
        <v>45644</v>
      </c>
      <c r="N8549" t="s">
        <v>47304</v>
      </c>
      <c r="O8549" t="s">
        <v>47305</v>
      </c>
      <c r="P8549">
        <v>0</v>
      </c>
      <c r="Q8549">
        <v>1</v>
      </c>
      <c r="R8549" t="s">
        <v>47312</v>
      </c>
      <c r="S8549" t="s">
        <v>47489</v>
      </c>
      <c r="T8549" t="s">
        <v>49077</v>
      </c>
      <c r="U8549" t="s">
        <v>56075</v>
      </c>
      <c r="V8549" t="s">
        <v>63543</v>
      </c>
      <c r="W8549" t="s">
        <v>45644</v>
      </c>
      <c r="X8549" t="s">
        <v>47313</v>
      </c>
    </row>
    <row r="8550" spans="1:24">
      <c r="A8550">
        <f>HYPERLINK("https://www.philgeps.gov.ph/GEPSNONPILOT/Tender/SplashBidNoticeAbstractUI.aspx?menuIndex=3&amp;refID=7188641&amp;Result=3","7188641")</f>
        <v>0</v>
      </c>
      <c r="B8550" t="s">
        <v>2505</v>
      </c>
      <c r="C8550" t="s">
        <v>11905</v>
      </c>
      <c r="D8550" t="s">
        <v>19007</v>
      </c>
      <c r="E8550" t="s">
        <v>25893</v>
      </c>
      <c r="F8550" t="s">
        <v>32606</v>
      </c>
      <c r="G8550" t="s">
        <v>32613</v>
      </c>
      <c r="H8550" t="s">
        <v>32623</v>
      </c>
      <c r="I8550" t="s">
        <v>17648</v>
      </c>
      <c r="J8550" t="s">
        <v>37703</v>
      </c>
      <c r="K8550" t="s">
        <v>42639</v>
      </c>
      <c r="M8550" t="s">
        <v>45644</v>
      </c>
      <c r="N8550" t="s">
        <v>47304</v>
      </c>
      <c r="O8550" t="s">
        <v>47305</v>
      </c>
      <c r="P8550">
        <v>0</v>
      </c>
      <c r="Q8550">
        <v>1</v>
      </c>
      <c r="R8550" t="s">
        <v>47312</v>
      </c>
      <c r="S8550" t="s">
        <v>47489</v>
      </c>
      <c r="T8550" t="s">
        <v>49077</v>
      </c>
      <c r="U8550" t="s">
        <v>56075</v>
      </c>
      <c r="V8550" t="s">
        <v>63544</v>
      </c>
      <c r="W8550" t="s">
        <v>45644</v>
      </c>
      <c r="X8550" t="s">
        <v>47313</v>
      </c>
    </row>
    <row r="8551" spans="1:24">
      <c r="A8551">
        <f>HYPERLINK("https://www.philgeps.gov.ph/GEPSNONPILOT/Tender/SplashBidNoticeAbstractUI.aspx?menuIndex=3&amp;refID=7188637&amp;Result=3","7188637")</f>
        <v>0</v>
      </c>
      <c r="B8551" t="s">
        <v>2645</v>
      </c>
      <c r="C8551" t="s">
        <v>11906</v>
      </c>
      <c r="D8551" t="s">
        <v>18999</v>
      </c>
      <c r="E8551" t="s">
        <v>26416</v>
      </c>
      <c r="F8551" t="s">
        <v>32606</v>
      </c>
      <c r="G8551" t="s">
        <v>32613</v>
      </c>
      <c r="H8551" t="s">
        <v>14201</v>
      </c>
      <c r="I8551" t="s">
        <v>32664</v>
      </c>
      <c r="J8551" t="s">
        <v>33757</v>
      </c>
      <c r="K8551" t="s">
        <v>42624</v>
      </c>
      <c r="M8551" t="s">
        <v>45791</v>
      </c>
      <c r="N8551" t="s">
        <v>47304</v>
      </c>
      <c r="O8551" t="s">
        <v>47305</v>
      </c>
      <c r="P8551">
        <v>0</v>
      </c>
      <c r="Q8551">
        <v>0</v>
      </c>
      <c r="R8551" t="s">
        <v>47312</v>
      </c>
      <c r="S8551" t="s">
        <v>47489</v>
      </c>
      <c r="T8551" t="s">
        <v>49300</v>
      </c>
      <c r="U8551" t="s">
        <v>56603</v>
      </c>
      <c r="W8551" t="s">
        <v>45791</v>
      </c>
      <c r="X8551" t="s">
        <v>47313</v>
      </c>
    </row>
    <row r="8552" spans="1:24">
      <c r="A8552">
        <f>HYPERLINK("https://www.philgeps.gov.ph/GEPSNONPILOT/Tender/SplashBidNoticeAbstractUI.aspx?menuIndex=3&amp;refID=7188636&amp;Result=3","7188636")</f>
        <v>0</v>
      </c>
      <c r="B8552" t="s">
        <v>2709</v>
      </c>
      <c r="C8552" t="s">
        <v>11907</v>
      </c>
      <c r="D8552" t="s">
        <v>19043</v>
      </c>
      <c r="E8552" t="s">
        <v>26422</v>
      </c>
      <c r="F8552" t="s">
        <v>32606</v>
      </c>
      <c r="G8552" t="s">
        <v>32613</v>
      </c>
      <c r="H8552" t="s">
        <v>14201</v>
      </c>
      <c r="I8552" t="s">
        <v>6298</v>
      </c>
      <c r="J8552" t="s">
        <v>38086</v>
      </c>
      <c r="K8552" t="s">
        <v>42622</v>
      </c>
      <c r="M8552" t="s">
        <v>45862</v>
      </c>
      <c r="N8552" t="s">
        <v>47304</v>
      </c>
      <c r="O8552" t="s">
        <v>47305</v>
      </c>
      <c r="P8552">
        <v>0</v>
      </c>
      <c r="Q8552">
        <v>1</v>
      </c>
      <c r="R8552" t="s">
        <v>47312</v>
      </c>
      <c r="S8552" t="s">
        <v>47489</v>
      </c>
      <c r="T8552" t="s">
        <v>49165</v>
      </c>
      <c r="U8552" t="s">
        <v>56609</v>
      </c>
      <c r="V8552" t="s">
        <v>63545</v>
      </c>
      <c r="W8552" t="s">
        <v>45862</v>
      </c>
      <c r="X8552" t="s">
        <v>47313</v>
      </c>
    </row>
    <row r="8553" spans="1:24">
      <c r="A8553">
        <f>HYPERLINK("https://www.philgeps.gov.ph/GEPSNONPILOT/Tender/SplashBidNoticeAbstractUI.aspx?menuIndex=3&amp;refID=7188635&amp;Result=3","7188635")</f>
        <v>0</v>
      </c>
      <c r="B8553" t="s">
        <v>2705</v>
      </c>
      <c r="C8553" t="s">
        <v>11908</v>
      </c>
      <c r="D8553" t="s">
        <v>18992</v>
      </c>
      <c r="E8553" t="s">
        <v>26423</v>
      </c>
      <c r="F8553" t="s">
        <v>32606</v>
      </c>
      <c r="G8553" t="s">
        <v>32617</v>
      </c>
      <c r="H8553" t="s">
        <v>14201</v>
      </c>
      <c r="I8553" t="s">
        <v>4114</v>
      </c>
      <c r="J8553" t="s">
        <v>38087</v>
      </c>
      <c r="K8553" t="s">
        <v>42622</v>
      </c>
      <c r="M8553" t="s">
        <v>45858</v>
      </c>
      <c r="N8553" t="s">
        <v>47304</v>
      </c>
      <c r="O8553" t="s">
        <v>47305</v>
      </c>
      <c r="P8553">
        <v>0</v>
      </c>
      <c r="Q8553">
        <v>1</v>
      </c>
      <c r="R8553" t="s">
        <v>47312</v>
      </c>
      <c r="S8553" t="s">
        <v>47489</v>
      </c>
      <c r="T8553" t="s">
        <v>48998</v>
      </c>
      <c r="U8553" t="s">
        <v>56600</v>
      </c>
      <c r="W8553" t="s">
        <v>45858</v>
      </c>
      <c r="X8553" t="s">
        <v>47313</v>
      </c>
    </row>
    <row r="8554" spans="1:24">
      <c r="A8554">
        <f>HYPERLINK("https://www.philgeps.gov.ph/GEPSNONPILOT/Tender/SplashBidNoticeAbstractUI.aspx?menuIndex=3&amp;refID=7188608&amp;Result=3","7188608")</f>
        <v>0</v>
      </c>
      <c r="B8554" t="s">
        <v>2710</v>
      </c>
      <c r="C8554" t="s">
        <v>11909</v>
      </c>
      <c r="D8554" t="s">
        <v>19003</v>
      </c>
      <c r="E8554" t="s">
        <v>19522</v>
      </c>
      <c r="F8554" t="s">
        <v>32606</v>
      </c>
      <c r="G8554" t="s">
        <v>32614</v>
      </c>
      <c r="H8554" t="s">
        <v>14201</v>
      </c>
      <c r="I8554" t="s">
        <v>6478</v>
      </c>
      <c r="J8554" t="s">
        <v>32770</v>
      </c>
      <c r="K8554" t="s">
        <v>42629</v>
      </c>
      <c r="L8554" t="s">
        <v>2710</v>
      </c>
      <c r="M8554" t="s">
        <v>45863</v>
      </c>
      <c r="N8554" t="s">
        <v>47304</v>
      </c>
      <c r="O8554" t="s">
        <v>47305</v>
      </c>
      <c r="P8554">
        <v>0</v>
      </c>
      <c r="Q8554">
        <v>1</v>
      </c>
      <c r="R8554" t="s">
        <v>47312</v>
      </c>
      <c r="S8554" t="s">
        <v>47489</v>
      </c>
      <c r="T8554" t="s">
        <v>48975</v>
      </c>
      <c r="U8554" t="s">
        <v>56610</v>
      </c>
      <c r="W8554" t="s">
        <v>45863</v>
      </c>
      <c r="X8554" t="s">
        <v>47313</v>
      </c>
    </row>
    <row r="8555" spans="1:24">
      <c r="A8555">
        <f>HYPERLINK("https://www.philgeps.gov.ph/GEPSNONPILOT/Tender/SplashBidNoticeAbstractUI.aspx?menuIndex=3&amp;refID=7188634&amp;Result=3","7188634")</f>
        <v>0</v>
      </c>
      <c r="B8555" t="s">
        <v>2711</v>
      </c>
      <c r="C8555" t="s">
        <v>11910</v>
      </c>
      <c r="D8555" t="s">
        <v>19046</v>
      </c>
      <c r="E8555" t="s">
        <v>26424</v>
      </c>
      <c r="F8555" t="s">
        <v>32606</v>
      </c>
      <c r="G8555" t="s">
        <v>32615</v>
      </c>
      <c r="H8555" t="s">
        <v>14201</v>
      </c>
      <c r="I8555" t="s">
        <v>6931</v>
      </c>
      <c r="J8555" t="s">
        <v>38088</v>
      </c>
      <c r="K8555" t="s">
        <v>42623</v>
      </c>
      <c r="M8555" t="s">
        <v>45864</v>
      </c>
      <c r="N8555" t="s">
        <v>47304</v>
      </c>
      <c r="O8555" t="s">
        <v>47305</v>
      </c>
      <c r="P8555">
        <v>0</v>
      </c>
      <c r="Q8555">
        <v>0</v>
      </c>
      <c r="R8555" t="s">
        <v>47312</v>
      </c>
      <c r="S8555" t="s">
        <v>47489</v>
      </c>
      <c r="T8555" t="s">
        <v>49020</v>
      </c>
      <c r="U8555" t="s">
        <v>56611</v>
      </c>
      <c r="W8555" t="s">
        <v>45864</v>
      </c>
      <c r="X8555" t="s">
        <v>47313</v>
      </c>
    </row>
    <row r="8556" spans="1:24">
      <c r="A8556">
        <f>HYPERLINK("https://www.philgeps.gov.ph/GEPSNONPILOT/Tender/SplashBidNoticeAbstractUI.aspx?menuIndex=3&amp;refID=7188630&amp;Result=3","7188630")</f>
        <v>0</v>
      </c>
      <c r="B8556" t="s">
        <v>1829</v>
      </c>
      <c r="C8556" t="s">
        <v>11911</v>
      </c>
      <c r="D8556" t="s">
        <v>19007</v>
      </c>
      <c r="E8556" t="s">
        <v>26425</v>
      </c>
      <c r="F8556" t="s">
        <v>32606</v>
      </c>
      <c r="G8556" t="s">
        <v>32613</v>
      </c>
      <c r="H8556" t="s">
        <v>14201</v>
      </c>
      <c r="I8556" t="s">
        <v>32671</v>
      </c>
      <c r="J8556" t="s">
        <v>38089</v>
      </c>
      <c r="K8556" t="s">
        <v>42631</v>
      </c>
      <c r="L8556" t="s">
        <v>1829</v>
      </c>
      <c r="M8556" t="s">
        <v>45865</v>
      </c>
      <c r="N8556" t="s">
        <v>47304</v>
      </c>
      <c r="O8556" t="s">
        <v>47305</v>
      </c>
      <c r="P8556">
        <v>0</v>
      </c>
      <c r="Q8556">
        <v>4</v>
      </c>
      <c r="R8556" t="s">
        <v>47312</v>
      </c>
      <c r="S8556" t="s">
        <v>47489</v>
      </c>
      <c r="T8556" t="s">
        <v>49390</v>
      </c>
      <c r="U8556" t="s">
        <v>56612</v>
      </c>
      <c r="W8556" t="s">
        <v>45865</v>
      </c>
      <c r="X8556" t="s">
        <v>47313</v>
      </c>
    </row>
    <row r="8557" spans="1:24">
      <c r="A8557">
        <f>HYPERLINK("https://www.philgeps.gov.ph/GEPSNONPILOT/Tender/SplashBidNoticeAbstractUI.aspx?menuIndex=3&amp;refID=7188667&amp;Result=3","7188667")</f>
        <v>0</v>
      </c>
      <c r="B8557" t="s">
        <v>2711</v>
      </c>
      <c r="C8557" t="s">
        <v>11912</v>
      </c>
      <c r="D8557" t="s">
        <v>19046</v>
      </c>
      <c r="E8557" t="s">
        <v>26426</v>
      </c>
      <c r="F8557" t="s">
        <v>32606</v>
      </c>
      <c r="G8557" t="s">
        <v>32615</v>
      </c>
      <c r="H8557" t="s">
        <v>14201</v>
      </c>
      <c r="I8557" t="s">
        <v>6931</v>
      </c>
      <c r="J8557" t="s">
        <v>38090</v>
      </c>
      <c r="K8557" t="s">
        <v>42623</v>
      </c>
      <c r="M8557" t="s">
        <v>45864</v>
      </c>
      <c r="N8557" t="s">
        <v>47304</v>
      </c>
      <c r="O8557" t="s">
        <v>47305</v>
      </c>
      <c r="P8557">
        <v>0</v>
      </c>
      <c r="Q8557">
        <v>0</v>
      </c>
      <c r="R8557" t="s">
        <v>47312</v>
      </c>
      <c r="S8557" t="s">
        <v>47489</v>
      </c>
      <c r="T8557" t="s">
        <v>49020</v>
      </c>
      <c r="U8557" t="s">
        <v>56613</v>
      </c>
      <c r="W8557" t="s">
        <v>45864</v>
      </c>
      <c r="X8557" t="s">
        <v>47313</v>
      </c>
    </row>
    <row r="8558" spans="1:24">
      <c r="A8558">
        <f>HYPERLINK("https://www.philgeps.gov.ph/GEPSNONPILOT/Tender/SplashBidNoticeAbstractUI.aspx?menuIndex=3&amp;refID=7188627&amp;Result=3","7188627")</f>
        <v>0</v>
      </c>
      <c r="B8558" t="s">
        <v>243</v>
      </c>
      <c r="C8558" t="s">
        <v>11913</v>
      </c>
      <c r="D8558" t="s">
        <v>19027</v>
      </c>
      <c r="E8558" t="s">
        <v>26427</v>
      </c>
      <c r="F8558" t="s">
        <v>32606</v>
      </c>
      <c r="G8558" t="s">
        <v>32619</v>
      </c>
      <c r="H8558" t="s">
        <v>14201</v>
      </c>
      <c r="I8558" t="s">
        <v>4120</v>
      </c>
      <c r="J8558" t="s">
        <v>38091</v>
      </c>
      <c r="K8558" t="s">
        <v>42624</v>
      </c>
      <c r="M8558" t="s">
        <v>44391</v>
      </c>
      <c r="N8558" t="s">
        <v>47304</v>
      </c>
      <c r="O8558" t="s">
        <v>47305</v>
      </c>
      <c r="P8558">
        <v>0</v>
      </c>
      <c r="Q8558">
        <v>1</v>
      </c>
      <c r="R8558" t="s">
        <v>47312</v>
      </c>
      <c r="S8558" t="s">
        <v>47489</v>
      </c>
      <c r="T8558" t="s">
        <v>48980</v>
      </c>
      <c r="U8558" t="s">
        <v>56614</v>
      </c>
      <c r="W8558" t="s">
        <v>64471</v>
      </c>
      <c r="X8558" t="s">
        <v>47313</v>
      </c>
    </row>
    <row r="8559" spans="1:24">
      <c r="A8559">
        <f>HYPERLINK("https://www.philgeps.gov.ph/GEPSNONPILOT/Tender/SplashBidNoticeAbstractUI.aspx?menuIndex=3&amp;refID=7188683&amp;Result=3","7188683")</f>
        <v>0</v>
      </c>
      <c r="B8559" t="s">
        <v>2505</v>
      </c>
      <c r="C8559" t="s">
        <v>11914</v>
      </c>
      <c r="D8559" t="s">
        <v>19007</v>
      </c>
      <c r="E8559" t="s">
        <v>25893</v>
      </c>
      <c r="F8559" t="s">
        <v>32606</v>
      </c>
      <c r="G8559" t="s">
        <v>32613</v>
      </c>
      <c r="H8559" t="s">
        <v>32623</v>
      </c>
      <c r="I8559" t="s">
        <v>17648</v>
      </c>
      <c r="J8559" t="s">
        <v>38092</v>
      </c>
      <c r="K8559" t="s">
        <v>42646</v>
      </c>
      <c r="M8559" t="s">
        <v>45644</v>
      </c>
      <c r="N8559" t="s">
        <v>47304</v>
      </c>
      <c r="O8559" t="s">
        <v>47305</v>
      </c>
      <c r="P8559">
        <v>0</v>
      </c>
      <c r="Q8559">
        <v>2</v>
      </c>
      <c r="R8559" t="s">
        <v>47312</v>
      </c>
      <c r="S8559" t="s">
        <v>47489</v>
      </c>
      <c r="T8559" t="s">
        <v>49077</v>
      </c>
      <c r="U8559" t="s">
        <v>56075</v>
      </c>
      <c r="V8559" t="s">
        <v>63546</v>
      </c>
      <c r="W8559" t="s">
        <v>45644</v>
      </c>
      <c r="X8559" t="s">
        <v>47313</v>
      </c>
    </row>
    <row r="8560" spans="1:24">
      <c r="A8560">
        <f>HYPERLINK("https://www.philgeps.gov.ph/GEPSNONPILOT/Tender/SplashBidNoticeAbstractUI.aspx?menuIndex=3&amp;refID=7188680&amp;Result=3","7188680")</f>
        <v>0</v>
      </c>
      <c r="B8560" t="s">
        <v>2712</v>
      </c>
      <c r="C8560" t="s">
        <v>11915</v>
      </c>
      <c r="D8560" t="s">
        <v>19011</v>
      </c>
      <c r="E8560" t="s">
        <v>26428</v>
      </c>
      <c r="F8560" t="s">
        <v>32606</v>
      </c>
      <c r="G8560" t="s">
        <v>32613</v>
      </c>
      <c r="H8560" t="s">
        <v>14201</v>
      </c>
      <c r="I8560" t="s">
        <v>7064</v>
      </c>
      <c r="J8560" t="s">
        <v>32752</v>
      </c>
      <c r="K8560" t="s">
        <v>42630</v>
      </c>
      <c r="M8560" t="s">
        <v>45866</v>
      </c>
      <c r="N8560" t="s">
        <v>47304</v>
      </c>
      <c r="O8560" t="s">
        <v>47305</v>
      </c>
      <c r="P8560">
        <v>0</v>
      </c>
      <c r="Q8560">
        <v>0</v>
      </c>
      <c r="R8560" t="s">
        <v>47312</v>
      </c>
      <c r="S8560" t="s">
        <v>47489</v>
      </c>
      <c r="T8560" t="s">
        <v>49165</v>
      </c>
      <c r="U8560" t="s">
        <v>56615</v>
      </c>
      <c r="W8560" t="s">
        <v>45866</v>
      </c>
      <c r="X8560" t="s">
        <v>47313</v>
      </c>
    </row>
    <row r="8561" spans="1:24">
      <c r="A8561">
        <f>HYPERLINK("https://www.philgeps.gov.ph/GEPSNONPILOT/Tender/SplashBidNoticeAbstractUI.aspx?menuIndex=3&amp;refID=7188676&amp;Result=3","7188676")</f>
        <v>0</v>
      </c>
      <c r="B8561" t="s">
        <v>2713</v>
      </c>
      <c r="C8561" t="s">
        <v>11916</v>
      </c>
      <c r="D8561" t="s">
        <v>19002</v>
      </c>
      <c r="E8561" t="s">
        <v>21701</v>
      </c>
      <c r="F8561" t="s">
        <v>32606</v>
      </c>
      <c r="G8561" t="s">
        <v>32614</v>
      </c>
      <c r="H8561" t="s">
        <v>14201</v>
      </c>
      <c r="I8561" t="s">
        <v>6007</v>
      </c>
      <c r="J8561" t="s">
        <v>33989</v>
      </c>
      <c r="K8561" t="s">
        <v>42623</v>
      </c>
      <c r="M8561" t="s">
        <v>45867</v>
      </c>
      <c r="N8561" t="s">
        <v>47304</v>
      </c>
      <c r="O8561" t="s">
        <v>47305</v>
      </c>
      <c r="P8561">
        <v>0</v>
      </c>
      <c r="Q8561">
        <v>0</v>
      </c>
      <c r="R8561" t="s">
        <v>47312</v>
      </c>
      <c r="S8561" t="s">
        <v>47489</v>
      </c>
      <c r="T8561" t="s">
        <v>49072</v>
      </c>
      <c r="U8561" t="s">
        <v>56616</v>
      </c>
      <c r="W8561" t="s">
        <v>45867</v>
      </c>
      <c r="X8561" t="s">
        <v>47313</v>
      </c>
    </row>
    <row r="8562" spans="1:24">
      <c r="A8562">
        <f>HYPERLINK("https://www.philgeps.gov.ph/GEPSNONPILOT/Tender/SplashBidNoticeAbstractUI.aspx?menuIndex=3&amp;refID=7188640&amp;Result=3","7188640")</f>
        <v>0</v>
      </c>
      <c r="B8562" t="s">
        <v>2685</v>
      </c>
      <c r="C8562" t="s">
        <v>11917</v>
      </c>
      <c r="D8562" t="s">
        <v>18992</v>
      </c>
      <c r="E8562" t="s">
        <v>26429</v>
      </c>
      <c r="F8562" t="s">
        <v>32606</v>
      </c>
      <c r="G8562" t="s">
        <v>32614</v>
      </c>
      <c r="H8562" t="s">
        <v>14201</v>
      </c>
      <c r="I8562" t="s">
        <v>32643</v>
      </c>
      <c r="J8562" t="s">
        <v>38093</v>
      </c>
      <c r="K8562" t="s">
        <v>42631</v>
      </c>
      <c r="M8562" t="s">
        <v>45835</v>
      </c>
      <c r="N8562" t="s">
        <v>47304</v>
      </c>
      <c r="O8562" t="s">
        <v>47305</v>
      </c>
      <c r="P8562">
        <v>0</v>
      </c>
      <c r="Q8562">
        <v>1</v>
      </c>
      <c r="R8562" t="s">
        <v>47312</v>
      </c>
      <c r="S8562" t="s">
        <v>47489</v>
      </c>
      <c r="T8562" t="s">
        <v>49014</v>
      </c>
      <c r="U8562" t="s">
        <v>56545</v>
      </c>
      <c r="W8562" t="s">
        <v>45835</v>
      </c>
      <c r="X8562" t="s">
        <v>47313</v>
      </c>
    </row>
    <row r="8563" spans="1:24">
      <c r="A8563">
        <f>HYPERLINK("https://www.philgeps.gov.ph/GEPSNONPILOT/Tender/SplashBidNoticeAbstractUI.aspx?menuIndex=3&amp;refID=7188644&amp;Result=3","7188644")</f>
        <v>0</v>
      </c>
      <c r="B8563" t="s">
        <v>1556</v>
      </c>
      <c r="C8563" t="s">
        <v>11918</v>
      </c>
      <c r="D8563" t="s">
        <v>19011</v>
      </c>
      <c r="E8563" t="s">
        <v>19315</v>
      </c>
      <c r="F8563" t="s">
        <v>32606</v>
      </c>
      <c r="G8563" t="s">
        <v>32613</v>
      </c>
      <c r="H8563" t="s">
        <v>14201</v>
      </c>
      <c r="I8563" t="s">
        <v>32661</v>
      </c>
      <c r="J8563" t="s">
        <v>34922</v>
      </c>
      <c r="K8563" t="s">
        <v>42624</v>
      </c>
      <c r="M8563" t="s">
        <v>44561</v>
      </c>
      <c r="N8563" t="s">
        <v>47304</v>
      </c>
      <c r="O8563" t="s">
        <v>47305</v>
      </c>
      <c r="P8563">
        <v>0</v>
      </c>
      <c r="Q8563">
        <v>1</v>
      </c>
      <c r="R8563" t="s">
        <v>47312</v>
      </c>
      <c r="S8563" t="s">
        <v>47489</v>
      </c>
      <c r="T8563" t="s">
        <v>49016</v>
      </c>
      <c r="U8563" t="s">
        <v>56617</v>
      </c>
      <c r="W8563" t="s">
        <v>44561</v>
      </c>
      <c r="X8563" t="s">
        <v>47313</v>
      </c>
    </row>
    <row r="8564" spans="1:24">
      <c r="A8564">
        <f>HYPERLINK("https://www.philgeps.gov.ph/GEPSNONPILOT/Tender/SplashBidNoticeAbstractUI.aspx?menuIndex=3&amp;refID=7188692&amp;Result=3","7188692")</f>
        <v>0</v>
      </c>
      <c r="B8564" t="s">
        <v>2714</v>
      </c>
      <c r="C8564" t="s">
        <v>11919</v>
      </c>
      <c r="D8564" t="s">
        <v>19065</v>
      </c>
      <c r="E8564" t="s">
        <v>26430</v>
      </c>
      <c r="F8564" t="s">
        <v>32606</v>
      </c>
      <c r="G8564" t="s">
        <v>32613</v>
      </c>
      <c r="H8564" t="s">
        <v>14201</v>
      </c>
      <c r="I8564" t="s">
        <v>4120</v>
      </c>
      <c r="J8564" t="s">
        <v>38094</v>
      </c>
      <c r="K8564" t="s">
        <v>42630</v>
      </c>
      <c r="M8564" t="s">
        <v>45868</v>
      </c>
      <c r="N8564" t="s">
        <v>47304</v>
      </c>
      <c r="O8564" t="s">
        <v>47305</v>
      </c>
      <c r="P8564">
        <v>0</v>
      </c>
      <c r="Q8564">
        <v>0</v>
      </c>
      <c r="R8564" t="s">
        <v>47312</v>
      </c>
      <c r="S8564" t="s">
        <v>47489</v>
      </c>
      <c r="T8564" t="s">
        <v>49004</v>
      </c>
      <c r="U8564" t="s">
        <v>56618</v>
      </c>
      <c r="W8564" t="s">
        <v>45868</v>
      </c>
      <c r="X8564" t="s">
        <v>47313</v>
      </c>
    </row>
    <row r="8565" spans="1:24">
      <c r="A8565">
        <f>HYPERLINK("https://www.philgeps.gov.ph/GEPSNONPILOT/Tender/SplashBidNoticeAbstractUI.aspx?menuIndex=3&amp;refID=7188688&amp;Result=3","7188688")</f>
        <v>0</v>
      </c>
      <c r="B8565" t="s">
        <v>2715</v>
      </c>
      <c r="C8565" t="s">
        <v>11920</v>
      </c>
      <c r="D8565" t="s">
        <v>18993</v>
      </c>
      <c r="E8565" t="s">
        <v>26431</v>
      </c>
      <c r="F8565" t="s">
        <v>32606</v>
      </c>
      <c r="G8565" t="s">
        <v>32614</v>
      </c>
      <c r="H8565" t="s">
        <v>14201</v>
      </c>
      <c r="I8565" t="s">
        <v>32640</v>
      </c>
      <c r="J8565" t="s">
        <v>32770</v>
      </c>
      <c r="K8565" t="s">
        <v>42688</v>
      </c>
      <c r="M8565" t="s">
        <v>45869</v>
      </c>
      <c r="N8565" t="s">
        <v>47304</v>
      </c>
      <c r="O8565" t="s">
        <v>47305</v>
      </c>
      <c r="P8565">
        <v>0</v>
      </c>
      <c r="Q8565">
        <v>6</v>
      </c>
      <c r="R8565" t="s">
        <v>47312</v>
      </c>
      <c r="S8565" t="s">
        <v>47489</v>
      </c>
      <c r="T8565" t="s">
        <v>49327</v>
      </c>
      <c r="U8565" t="s">
        <v>56619</v>
      </c>
      <c r="V8565" t="s">
        <v>63547</v>
      </c>
      <c r="W8565" t="s">
        <v>45869</v>
      </c>
      <c r="X8565" t="s">
        <v>47313</v>
      </c>
    </row>
    <row r="8566" spans="1:24">
      <c r="A8566">
        <f>HYPERLINK("https://www.philgeps.gov.ph/GEPSNONPILOT/Tender/SplashBidNoticeAbstractUI.aspx?menuIndex=3&amp;refID=7188681&amp;Result=3","7188681")</f>
        <v>0</v>
      </c>
      <c r="B8566" t="s">
        <v>2716</v>
      </c>
      <c r="C8566" t="s">
        <v>8074</v>
      </c>
      <c r="E8566" t="s">
        <v>19315</v>
      </c>
      <c r="F8566" t="s">
        <v>32607</v>
      </c>
      <c r="G8566" t="s">
        <v>32614</v>
      </c>
      <c r="H8566" t="s">
        <v>14201</v>
      </c>
      <c r="I8566" t="s">
        <v>4114</v>
      </c>
      <c r="J8566" t="s">
        <v>33692</v>
      </c>
      <c r="K8566" t="s">
        <v>42624</v>
      </c>
      <c r="M8566" t="s">
        <v>45870</v>
      </c>
      <c r="N8566" t="s">
        <v>47304</v>
      </c>
      <c r="O8566" t="s">
        <v>47305</v>
      </c>
      <c r="P8566">
        <v>0</v>
      </c>
      <c r="Q8566">
        <v>1</v>
      </c>
      <c r="R8566" t="s">
        <v>47312</v>
      </c>
      <c r="S8566" t="s">
        <v>47489</v>
      </c>
      <c r="T8566" t="s">
        <v>48979</v>
      </c>
      <c r="U8566" t="s">
        <v>56620</v>
      </c>
      <c r="W8566" t="s">
        <v>45870</v>
      </c>
      <c r="X8566" t="s">
        <v>47313</v>
      </c>
    </row>
    <row r="8567" spans="1:24">
      <c r="A8567">
        <f>HYPERLINK("https://www.philgeps.gov.ph/GEPSNONPILOT/Tender/SplashBidNoticeAbstractUI.aspx?menuIndex=3&amp;refID=7188687&amp;Result=3","7188687")</f>
        <v>0</v>
      </c>
      <c r="B8567" t="s">
        <v>2717</v>
      </c>
      <c r="C8567" t="s">
        <v>11921</v>
      </c>
      <c r="D8567" t="s">
        <v>18989</v>
      </c>
      <c r="E8567" t="s">
        <v>19378</v>
      </c>
      <c r="F8567" t="s">
        <v>32606</v>
      </c>
      <c r="G8567" t="s">
        <v>32613</v>
      </c>
      <c r="H8567" t="s">
        <v>32623</v>
      </c>
      <c r="I8567" t="s">
        <v>17648</v>
      </c>
      <c r="J8567" t="s">
        <v>32778</v>
      </c>
      <c r="K8567" t="s">
        <v>42657</v>
      </c>
      <c r="M8567" t="s">
        <v>45871</v>
      </c>
      <c r="N8567" t="s">
        <v>47304</v>
      </c>
      <c r="O8567" t="s">
        <v>47305</v>
      </c>
      <c r="P8567">
        <v>0</v>
      </c>
      <c r="Q8567">
        <v>0</v>
      </c>
      <c r="R8567" t="s">
        <v>47312</v>
      </c>
      <c r="S8567" t="s">
        <v>47489</v>
      </c>
      <c r="T8567" t="s">
        <v>49047</v>
      </c>
      <c r="U8567" t="s">
        <v>55857</v>
      </c>
      <c r="V8567" t="s">
        <v>63548</v>
      </c>
      <c r="W8567" t="s">
        <v>45871</v>
      </c>
      <c r="X8567" t="s">
        <v>47313</v>
      </c>
    </row>
    <row r="8568" spans="1:24">
      <c r="A8568">
        <f>HYPERLINK("https://www.philgeps.gov.ph/GEPSNONPILOT/Tender/SplashBidNoticeAbstractUI.aspx?menuIndex=3&amp;refID=7188691&amp;Result=3","7188691")</f>
        <v>0</v>
      </c>
      <c r="B8568" t="s">
        <v>2712</v>
      </c>
      <c r="C8568" t="s">
        <v>11922</v>
      </c>
      <c r="D8568" t="s">
        <v>19011</v>
      </c>
      <c r="E8568" t="s">
        <v>26432</v>
      </c>
      <c r="F8568" t="s">
        <v>32606</v>
      </c>
      <c r="G8568" t="s">
        <v>32613</v>
      </c>
      <c r="H8568" t="s">
        <v>14201</v>
      </c>
      <c r="I8568" t="s">
        <v>32655</v>
      </c>
      <c r="J8568" t="s">
        <v>38095</v>
      </c>
      <c r="K8568" t="s">
        <v>42630</v>
      </c>
      <c r="M8568" t="s">
        <v>45866</v>
      </c>
      <c r="N8568" t="s">
        <v>47304</v>
      </c>
      <c r="O8568" t="s">
        <v>47305</v>
      </c>
      <c r="P8568">
        <v>0</v>
      </c>
      <c r="Q8568">
        <v>4</v>
      </c>
      <c r="R8568" t="s">
        <v>47312</v>
      </c>
      <c r="S8568" t="s">
        <v>47489</v>
      </c>
      <c r="T8568" t="s">
        <v>49165</v>
      </c>
      <c r="U8568" t="s">
        <v>56615</v>
      </c>
      <c r="W8568" t="s">
        <v>45866</v>
      </c>
      <c r="X8568" t="s">
        <v>47313</v>
      </c>
    </row>
    <row r="8569" spans="1:24">
      <c r="A8569">
        <f>HYPERLINK("https://www.philgeps.gov.ph/GEPSNONPILOT/Tender/SplashBidNoticeAbstractUI.aspx?menuIndex=3&amp;refID=7188689&amp;Result=3","7188689")</f>
        <v>0</v>
      </c>
      <c r="B8569" t="s">
        <v>1602</v>
      </c>
      <c r="C8569" t="s">
        <v>11923</v>
      </c>
      <c r="D8569" t="s">
        <v>19011</v>
      </c>
      <c r="E8569" t="s">
        <v>26433</v>
      </c>
      <c r="F8569" t="s">
        <v>32606</v>
      </c>
      <c r="G8569" t="s">
        <v>32613</v>
      </c>
      <c r="H8569" t="s">
        <v>14201</v>
      </c>
      <c r="I8569" t="s">
        <v>4121</v>
      </c>
      <c r="J8569" t="s">
        <v>32770</v>
      </c>
      <c r="K8569" t="s">
        <v>42666</v>
      </c>
      <c r="M8569" t="s">
        <v>44618</v>
      </c>
      <c r="N8569" t="s">
        <v>47304</v>
      </c>
      <c r="O8569" t="s">
        <v>47305</v>
      </c>
      <c r="P8569">
        <v>0</v>
      </c>
      <c r="Q8569">
        <v>3</v>
      </c>
      <c r="R8569" t="s">
        <v>47312</v>
      </c>
      <c r="S8569" t="s">
        <v>47489</v>
      </c>
      <c r="T8569" t="s">
        <v>48978</v>
      </c>
      <c r="U8569" t="s">
        <v>56621</v>
      </c>
      <c r="V8569" t="s">
        <v>63445</v>
      </c>
      <c r="W8569" t="s">
        <v>44618</v>
      </c>
      <c r="X8569" t="s">
        <v>47313</v>
      </c>
    </row>
    <row r="8570" spans="1:24">
      <c r="A8570">
        <f>HYPERLINK("https://www.philgeps.gov.ph/GEPSNONPILOT/Tender/SplashBidNoticeAbstractUI.aspx?menuIndex=3&amp;refID=7188674&amp;Result=3","7188674")</f>
        <v>0</v>
      </c>
      <c r="B8570" t="s">
        <v>1497</v>
      </c>
      <c r="C8570" t="s">
        <v>11924</v>
      </c>
      <c r="D8570" t="s">
        <v>19015</v>
      </c>
      <c r="E8570" t="s">
        <v>26434</v>
      </c>
      <c r="F8570" t="s">
        <v>32606</v>
      </c>
      <c r="G8570" t="s">
        <v>32613</v>
      </c>
      <c r="H8570" t="s">
        <v>32623</v>
      </c>
      <c r="I8570" t="s">
        <v>17648</v>
      </c>
      <c r="J8570" t="s">
        <v>38096</v>
      </c>
      <c r="K8570" t="s">
        <v>42697</v>
      </c>
      <c r="M8570" t="s">
        <v>44493</v>
      </c>
      <c r="N8570" t="s">
        <v>47304</v>
      </c>
      <c r="O8570" t="s">
        <v>47305</v>
      </c>
      <c r="P8570">
        <v>0</v>
      </c>
      <c r="Q8570">
        <v>15</v>
      </c>
      <c r="R8570" t="s">
        <v>47312</v>
      </c>
      <c r="S8570" t="s">
        <v>47489</v>
      </c>
      <c r="T8570" t="s">
        <v>49107</v>
      </c>
      <c r="U8570" t="s">
        <v>56622</v>
      </c>
      <c r="V8570" t="s">
        <v>63549</v>
      </c>
      <c r="W8570" t="s">
        <v>44493</v>
      </c>
      <c r="X8570" t="s">
        <v>47313</v>
      </c>
    </row>
    <row r="8571" spans="1:24">
      <c r="A8571">
        <f>HYPERLINK("https://www.philgeps.gov.ph/GEPSNONPILOT/Tender/SplashBidNoticeAbstractUI.aspx?menuIndex=3&amp;refID=7188673&amp;Result=3","7188673")</f>
        <v>0</v>
      </c>
      <c r="B8571" t="s">
        <v>763</v>
      </c>
      <c r="C8571" t="s">
        <v>11925</v>
      </c>
      <c r="D8571" t="s">
        <v>19037</v>
      </c>
      <c r="E8571" t="s">
        <v>19400</v>
      </c>
      <c r="F8571" t="s">
        <v>32606</v>
      </c>
      <c r="G8571" t="s">
        <v>32613</v>
      </c>
      <c r="H8571" t="s">
        <v>14201</v>
      </c>
      <c r="I8571" t="s">
        <v>17648</v>
      </c>
      <c r="J8571" t="s">
        <v>32767</v>
      </c>
      <c r="K8571" t="s">
        <v>42636</v>
      </c>
      <c r="M8571" t="s">
        <v>43688</v>
      </c>
      <c r="N8571" t="s">
        <v>47304</v>
      </c>
      <c r="O8571" t="s">
        <v>47305</v>
      </c>
      <c r="P8571">
        <v>0</v>
      </c>
      <c r="Q8571">
        <v>0</v>
      </c>
      <c r="R8571" t="s">
        <v>47312</v>
      </c>
      <c r="S8571" t="s">
        <v>47489</v>
      </c>
      <c r="T8571" t="s">
        <v>48970</v>
      </c>
      <c r="U8571" t="s">
        <v>56623</v>
      </c>
      <c r="V8571" t="s">
        <v>62822</v>
      </c>
      <c r="W8571" t="s">
        <v>43688</v>
      </c>
      <c r="X8571" t="s">
        <v>47313</v>
      </c>
    </row>
    <row r="8572" spans="1:24">
      <c r="A8572">
        <f>HYPERLINK("https://www.philgeps.gov.ph/GEPSNONPILOT/Tender/SplashBidNoticeAbstractUI.aspx?menuIndex=3&amp;refID=7188671&amp;Result=3","7188671")</f>
        <v>0</v>
      </c>
      <c r="B8572" t="s">
        <v>2702</v>
      </c>
      <c r="C8572" t="s">
        <v>11926</v>
      </c>
      <c r="D8572" t="s">
        <v>18995</v>
      </c>
      <c r="E8572" t="s">
        <v>26435</v>
      </c>
      <c r="F8572" t="s">
        <v>32606</v>
      </c>
      <c r="G8572" t="s">
        <v>32613</v>
      </c>
      <c r="H8572" t="s">
        <v>14201</v>
      </c>
      <c r="I8572" t="s">
        <v>32681</v>
      </c>
      <c r="J8572" t="s">
        <v>32795</v>
      </c>
      <c r="K8572" t="s">
        <v>42630</v>
      </c>
      <c r="M8572" t="s">
        <v>45855</v>
      </c>
      <c r="N8572" t="s">
        <v>47304</v>
      </c>
      <c r="O8572" t="s">
        <v>47305</v>
      </c>
      <c r="P8572">
        <v>0</v>
      </c>
      <c r="Q8572">
        <v>3</v>
      </c>
      <c r="R8572" t="s">
        <v>47312</v>
      </c>
      <c r="S8572" t="s">
        <v>47489</v>
      </c>
      <c r="T8572" t="s">
        <v>49165</v>
      </c>
      <c r="U8572" t="s">
        <v>56624</v>
      </c>
      <c r="W8572" t="s">
        <v>45855</v>
      </c>
      <c r="X8572" t="s">
        <v>47313</v>
      </c>
    </row>
    <row r="8573" spans="1:24">
      <c r="A8573">
        <f>HYPERLINK("https://www.philgeps.gov.ph/GEPSNONPILOT/Tender/SplashBidNoticeAbstractUI.aspx?menuIndex=3&amp;refID=7188670&amp;Result=3","7188670")</f>
        <v>0</v>
      </c>
      <c r="B8573" t="s">
        <v>243</v>
      </c>
      <c r="C8573" t="s">
        <v>11927</v>
      </c>
      <c r="D8573" t="s">
        <v>19027</v>
      </c>
      <c r="E8573" t="s">
        <v>26436</v>
      </c>
      <c r="F8573" t="s">
        <v>32606</v>
      </c>
      <c r="G8573" t="s">
        <v>32619</v>
      </c>
      <c r="H8573" t="s">
        <v>14201</v>
      </c>
      <c r="I8573" t="s">
        <v>32638</v>
      </c>
      <c r="J8573" t="s">
        <v>32981</v>
      </c>
      <c r="K8573" t="s">
        <v>42624</v>
      </c>
      <c r="M8573" t="s">
        <v>44391</v>
      </c>
      <c r="N8573" t="s">
        <v>47304</v>
      </c>
      <c r="O8573" t="s">
        <v>47305</v>
      </c>
      <c r="P8573">
        <v>0</v>
      </c>
      <c r="Q8573">
        <v>10</v>
      </c>
      <c r="R8573" t="s">
        <v>47312</v>
      </c>
      <c r="S8573" t="s">
        <v>47489</v>
      </c>
      <c r="T8573" t="s">
        <v>48980</v>
      </c>
      <c r="U8573" t="s">
        <v>56625</v>
      </c>
      <c r="W8573" t="s">
        <v>64471</v>
      </c>
      <c r="X8573" t="s">
        <v>47313</v>
      </c>
    </row>
    <row r="8574" spans="1:24">
      <c r="A8574">
        <f>HYPERLINK("https://www.philgeps.gov.ph/GEPSNONPILOT/Tender/SplashBidNoticeAbstractUI.aspx?menuIndex=3&amp;refID=7188669&amp;Result=3","7188669")</f>
        <v>0</v>
      </c>
      <c r="B8574" t="s">
        <v>1210</v>
      </c>
      <c r="C8574" t="s">
        <v>11928</v>
      </c>
      <c r="D8574" t="s">
        <v>18988</v>
      </c>
      <c r="E8574" t="s">
        <v>26437</v>
      </c>
      <c r="F8574" t="s">
        <v>32606</v>
      </c>
      <c r="G8574" t="s">
        <v>32614</v>
      </c>
      <c r="H8574" t="s">
        <v>14201</v>
      </c>
      <c r="I8574" t="s">
        <v>6931</v>
      </c>
      <c r="J8574" t="s">
        <v>34415</v>
      </c>
      <c r="K8574" t="s">
        <v>42624</v>
      </c>
      <c r="M8574" t="s">
        <v>44175</v>
      </c>
      <c r="N8574" t="s">
        <v>47304</v>
      </c>
      <c r="O8574" t="s">
        <v>47305</v>
      </c>
      <c r="P8574">
        <v>0</v>
      </c>
      <c r="Q8574">
        <v>0</v>
      </c>
      <c r="R8574" t="s">
        <v>47312</v>
      </c>
      <c r="S8574" t="s">
        <v>47489</v>
      </c>
      <c r="T8574" t="s">
        <v>49215</v>
      </c>
      <c r="U8574" t="s">
        <v>52031</v>
      </c>
      <c r="W8574" t="s">
        <v>44175</v>
      </c>
      <c r="X8574" t="s">
        <v>47313</v>
      </c>
    </row>
    <row r="8575" spans="1:24">
      <c r="A8575">
        <f>HYPERLINK("https://www.philgeps.gov.ph/GEPSNONPILOT/Tender/SplashBidNoticeAbstractUI.aspx?menuIndex=3&amp;refID=7188668&amp;Result=3","7188668")</f>
        <v>0</v>
      </c>
      <c r="B8575" t="s">
        <v>2712</v>
      </c>
      <c r="C8575" t="s">
        <v>11929</v>
      </c>
      <c r="D8575" t="s">
        <v>19011</v>
      </c>
      <c r="E8575" t="s">
        <v>26438</v>
      </c>
      <c r="F8575" t="s">
        <v>32606</v>
      </c>
      <c r="G8575" t="s">
        <v>32613</v>
      </c>
      <c r="H8575" t="s">
        <v>14201</v>
      </c>
      <c r="I8575" t="s">
        <v>7064</v>
      </c>
      <c r="J8575" t="s">
        <v>33363</v>
      </c>
      <c r="K8575" t="s">
        <v>42630</v>
      </c>
      <c r="M8575" t="s">
        <v>45866</v>
      </c>
      <c r="N8575" t="s">
        <v>47304</v>
      </c>
      <c r="O8575" t="s">
        <v>47305</v>
      </c>
      <c r="P8575">
        <v>0</v>
      </c>
      <c r="Q8575">
        <v>0</v>
      </c>
      <c r="R8575" t="s">
        <v>47312</v>
      </c>
      <c r="S8575" t="s">
        <v>47489</v>
      </c>
      <c r="T8575" t="s">
        <v>49165</v>
      </c>
      <c r="U8575" t="s">
        <v>56615</v>
      </c>
      <c r="W8575" t="s">
        <v>45866</v>
      </c>
      <c r="X8575" t="s">
        <v>47313</v>
      </c>
    </row>
    <row r="8576" spans="1:24">
      <c r="A8576">
        <f>HYPERLINK("https://www.philgeps.gov.ph/GEPSNONPILOT/Tender/SplashBidNoticeAbstractUI.aspx?menuIndex=3&amp;refID=7188695&amp;Result=3","7188695")</f>
        <v>0</v>
      </c>
      <c r="B8576" t="s">
        <v>704</v>
      </c>
      <c r="C8576" t="s">
        <v>11930</v>
      </c>
      <c r="D8576" t="s">
        <v>19031</v>
      </c>
      <c r="E8576" t="s">
        <v>26439</v>
      </c>
      <c r="F8576" t="s">
        <v>32606</v>
      </c>
      <c r="G8576" t="s">
        <v>32613</v>
      </c>
      <c r="H8576" t="s">
        <v>32623</v>
      </c>
      <c r="I8576" t="s">
        <v>32659</v>
      </c>
      <c r="J8576" t="s">
        <v>38097</v>
      </c>
      <c r="K8576" t="s">
        <v>42624</v>
      </c>
      <c r="M8576" t="s">
        <v>45630</v>
      </c>
      <c r="N8576" t="s">
        <v>47304</v>
      </c>
      <c r="O8576" t="s">
        <v>47305</v>
      </c>
      <c r="P8576">
        <v>0</v>
      </c>
      <c r="Q8576">
        <v>0</v>
      </c>
      <c r="R8576" t="s">
        <v>47312</v>
      </c>
      <c r="S8576" t="s">
        <v>47489</v>
      </c>
      <c r="T8576" t="s">
        <v>49234</v>
      </c>
      <c r="U8576" t="s">
        <v>56626</v>
      </c>
      <c r="V8576" t="s">
        <v>63550</v>
      </c>
      <c r="W8576" t="s">
        <v>43625</v>
      </c>
      <c r="X8576" t="s">
        <v>47313</v>
      </c>
    </row>
    <row r="8577" spans="1:24">
      <c r="A8577">
        <f>HYPERLINK("https://www.philgeps.gov.ph/GEPSNONPILOT/Tender/SplashBidNoticeAbstractUI.aspx?menuIndex=3&amp;refID=7188528&amp;Result=3","7188528")</f>
        <v>0</v>
      </c>
      <c r="B8577" t="s">
        <v>2472</v>
      </c>
      <c r="C8577" t="s">
        <v>11931</v>
      </c>
      <c r="D8577" t="s">
        <v>18994</v>
      </c>
      <c r="E8577" t="s">
        <v>26440</v>
      </c>
      <c r="F8577" t="s">
        <v>32606</v>
      </c>
      <c r="G8577" t="s">
        <v>32614</v>
      </c>
      <c r="H8577" t="s">
        <v>14201</v>
      </c>
      <c r="I8577" t="s">
        <v>6993</v>
      </c>
      <c r="J8577" t="s">
        <v>38098</v>
      </c>
      <c r="K8577" t="s">
        <v>42622</v>
      </c>
      <c r="M8577" t="s">
        <v>45813</v>
      </c>
      <c r="N8577" t="s">
        <v>47304</v>
      </c>
      <c r="O8577" t="s">
        <v>47305</v>
      </c>
      <c r="P8577">
        <v>0</v>
      </c>
      <c r="Q8577">
        <v>2</v>
      </c>
      <c r="R8577" t="s">
        <v>47312</v>
      </c>
      <c r="S8577" t="s">
        <v>47489</v>
      </c>
      <c r="T8577" t="s">
        <v>49327</v>
      </c>
      <c r="U8577" t="s">
        <v>56627</v>
      </c>
      <c r="W8577" t="s">
        <v>45813</v>
      </c>
      <c r="X8577" t="s">
        <v>47313</v>
      </c>
    </row>
    <row r="8578" spans="1:24">
      <c r="A8578">
        <f>HYPERLINK("https://www.philgeps.gov.ph/GEPSNONPILOT/Tender/SplashBidNoticeAbstractUI.aspx?menuIndex=3&amp;refID=7188693&amp;Result=3","7188693")</f>
        <v>0</v>
      </c>
      <c r="B8578" t="s">
        <v>2718</v>
      </c>
      <c r="C8578" t="s">
        <v>4129</v>
      </c>
      <c r="D8578" t="s">
        <v>19002</v>
      </c>
      <c r="E8578" t="s">
        <v>26441</v>
      </c>
      <c r="F8578" t="s">
        <v>32606</v>
      </c>
      <c r="G8578" t="s">
        <v>32613</v>
      </c>
      <c r="H8578" t="s">
        <v>14201</v>
      </c>
      <c r="I8578" t="s">
        <v>4120</v>
      </c>
      <c r="J8578" t="s">
        <v>38099</v>
      </c>
      <c r="K8578" t="s">
        <v>42623</v>
      </c>
      <c r="M8578" t="s">
        <v>45872</v>
      </c>
      <c r="N8578" t="s">
        <v>47304</v>
      </c>
      <c r="O8578" t="s">
        <v>47305</v>
      </c>
      <c r="P8578">
        <v>0</v>
      </c>
      <c r="Q8578">
        <v>3</v>
      </c>
      <c r="R8578" t="s">
        <v>47312</v>
      </c>
      <c r="S8578" t="s">
        <v>47489</v>
      </c>
      <c r="T8578" t="s">
        <v>48996</v>
      </c>
      <c r="U8578" t="s">
        <v>54564</v>
      </c>
      <c r="W8578" t="s">
        <v>45872</v>
      </c>
      <c r="X8578" t="s">
        <v>47313</v>
      </c>
    </row>
    <row r="8579" spans="1:24">
      <c r="A8579">
        <f>HYPERLINK("https://www.philgeps.gov.ph/GEPSNONPILOT/Tender/SplashBidNoticeAbstractUI.aspx?menuIndex=3&amp;refID=7188722&amp;Result=3","7188722")</f>
        <v>0</v>
      </c>
      <c r="B8579" t="s">
        <v>2274</v>
      </c>
      <c r="C8579" t="s">
        <v>11932</v>
      </c>
      <c r="D8579" t="s">
        <v>19028</v>
      </c>
      <c r="E8579" t="s">
        <v>26442</v>
      </c>
      <c r="F8579" t="s">
        <v>32606</v>
      </c>
      <c r="G8579" t="s">
        <v>32613</v>
      </c>
      <c r="H8579" t="s">
        <v>14201</v>
      </c>
      <c r="I8579" t="s">
        <v>6298</v>
      </c>
      <c r="J8579" t="s">
        <v>37640</v>
      </c>
      <c r="K8579" t="s">
        <v>42631</v>
      </c>
      <c r="M8579" t="s">
        <v>45873</v>
      </c>
      <c r="N8579" t="s">
        <v>47304</v>
      </c>
      <c r="O8579" t="s">
        <v>47305</v>
      </c>
      <c r="P8579">
        <v>0</v>
      </c>
      <c r="Q8579">
        <v>9</v>
      </c>
      <c r="R8579" t="s">
        <v>47312</v>
      </c>
      <c r="S8579" t="s">
        <v>47489</v>
      </c>
      <c r="T8579" t="s">
        <v>49064</v>
      </c>
      <c r="U8579" t="s">
        <v>56628</v>
      </c>
      <c r="W8579" t="s">
        <v>45873</v>
      </c>
      <c r="X8579" t="s">
        <v>47313</v>
      </c>
    </row>
    <row r="8580" spans="1:24">
      <c r="A8580">
        <f>HYPERLINK("https://www.philgeps.gov.ph/GEPSNONPILOT/Tender/SplashBidNoticeAbstractUI.aspx?menuIndex=3&amp;refID=7188721&amp;Result=3","7188721")</f>
        <v>0</v>
      </c>
      <c r="B8580" t="s">
        <v>2702</v>
      </c>
      <c r="C8580" t="s">
        <v>11933</v>
      </c>
      <c r="D8580" t="s">
        <v>18995</v>
      </c>
      <c r="E8580" t="s">
        <v>26443</v>
      </c>
      <c r="F8580" t="s">
        <v>32606</v>
      </c>
      <c r="G8580" t="s">
        <v>32613</v>
      </c>
      <c r="H8580" t="s">
        <v>14201</v>
      </c>
      <c r="I8580" t="s">
        <v>4678</v>
      </c>
      <c r="J8580" t="s">
        <v>34207</v>
      </c>
      <c r="K8580" t="s">
        <v>42630</v>
      </c>
      <c r="M8580" t="s">
        <v>45855</v>
      </c>
      <c r="N8580" t="s">
        <v>47304</v>
      </c>
      <c r="O8580" t="s">
        <v>47305</v>
      </c>
      <c r="P8580">
        <v>0</v>
      </c>
      <c r="Q8580">
        <v>2</v>
      </c>
      <c r="R8580" t="s">
        <v>47312</v>
      </c>
      <c r="S8580" t="s">
        <v>47489</v>
      </c>
      <c r="T8580" t="s">
        <v>49165</v>
      </c>
      <c r="U8580" t="s">
        <v>56629</v>
      </c>
      <c r="W8580" t="s">
        <v>45855</v>
      </c>
      <c r="X8580" t="s">
        <v>47313</v>
      </c>
    </row>
    <row r="8581" spans="1:24">
      <c r="A8581">
        <f>HYPERLINK("https://www.philgeps.gov.ph/GEPSNONPILOT/Tender/SplashBidNoticeAbstractUI.aspx?menuIndex=3&amp;refID=7188716&amp;Result=3","7188716")</f>
        <v>0</v>
      </c>
      <c r="B8581" t="s">
        <v>2602</v>
      </c>
      <c r="C8581" t="s">
        <v>11559</v>
      </c>
      <c r="D8581" t="s">
        <v>18993</v>
      </c>
      <c r="E8581" t="s">
        <v>26444</v>
      </c>
      <c r="F8581" t="s">
        <v>32606</v>
      </c>
      <c r="G8581" t="s">
        <v>32613</v>
      </c>
      <c r="H8581" t="s">
        <v>14201</v>
      </c>
      <c r="I8581" t="s">
        <v>32662</v>
      </c>
      <c r="J8581" t="s">
        <v>33039</v>
      </c>
      <c r="K8581" t="s">
        <v>42624</v>
      </c>
      <c r="M8581" t="s">
        <v>45746</v>
      </c>
      <c r="N8581" t="s">
        <v>47304</v>
      </c>
      <c r="O8581" t="s">
        <v>47305</v>
      </c>
      <c r="P8581">
        <v>0</v>
      </c>
      <c r="Q8581">
        <v>49</v>
      </c>
      <c r="R8581" t="s">
        <v>47312</v>
      </c>
      <c r="S8581" t="s">
        <v>47489</v>
      </c>
      <c r="T8581" t="s">
        <v>49073</v>
      </c>
      <c r="U8581" t="s">
        <v>56345</v>
      </c>
      <c r="W8581" t="s">
        <v>45746</v>
      </c>
      <c r="X8581" t="s">
        <v>47313</v>
      </c>
    </row>
    <row r="8582" spans="1:24">
      <c r="A8582">
        <f>HYPERLINK("https://www.philgeps.gov.ph/GEPSNONPILOT/Tender/SplashBidNoticeAbstractUI.aspx?menuIndex=3&amp;refID=7188672&amp;Result=3","7188672")</f>
        <v>0</v>
      </c>
      <c r="B8582" t="s">
        <v>2505</v>
      </c>
      <c r="C8582" t="s">
        <v>11934</v>
      </c>
      <c r="D8582" t="s">
        <v>19007</v>
      </c>
      <c r="E8582" t="s">
        <v>25893</v>
      </c>
      <c r="F8582" t="s">
        <v>32606</v>
      </c>
      <c r="G8582" t="s">
        <v>32613</v>
      </c>
      <c r="H8582" t="s">
        <v>32623</v>
      </c>
      <c r="I8582" t="s">
        <v>17648</v>
      </c>
      <c r="J8582" t="s">
        <v>38100</v>
      </c>
      <c r="K8582" t="s">
        <v>42646</v>
      </c>
      <c r="M8582" t="s">
        <v>45644</v>
      </c>
      <c r="N8582" t="s">
        <v>47304</v>
      </c>
      <c r="O8582" t="s">
        <v>47305</v>
      </c>
      <c r="P8582">
        <v>0</v>
      </c>
      <c r="Q8582">
        <v>2</v>
      </c>
      <c r="R8582" t="s">
        <v>47312</v>
      </c>
      <c r="S8582" t="s">
        <v>47489</v>
      </c>
      <c r="T8582" t="s">
        <v>49077</v>
      </c>
      <c r="U8582" t="s">
        <v>56075</v>
      </c>
      <c r="V8582" t="s">
        <v>63551</v>
      </c>
      <c r="W8582" t="s">
        <v>45644</v>
      </c>
      <c r="X8582" t="s">
        <v>47313</v>
      </c>
    </row>
    <row r="8583" spans="1:24">
      <c r="A8583">
        <f>HYPERLINK("https://www.philgeps.gov.ph/GEPSNONPILOT/Tender/SplashBidNoticeAbstractUI.aspx?menuIndex=3&amp;refID=7188715&amp;Result=3","7188715")</f>
        <v>0</v>
      </c>
      <c r="B8583" t="s">
        <v>2472</v>
      </c>
      <c r="C8583" t="s">
        <v>11935</v>
      </c>
      <c r="D8583" t="s">
        <v>18994</v>
      </c>
      <c r="E8583" t="s">
        <v>26445</v>
      </c>
      <c r="F8583" t="s">
        <v>32606</v>
      </c>
      <c r="G8583" t="s">
        <v>32614</v>
      </c>
      <c r="H8583" t="s">
        <v>14201</v>
      </c>
      <c r="I8583" t="s">
        <v>32638</v>
      </c>
      <c r="J8583" t="s">
        <v>35117</v>
      </c>
      <c r="K8583" t="s">
        <v>42622</v>
      </c>
      <c r="M8583" t="s">
        <v>45813</v>
      </c>
      <c r="N8583" t="s">
        <v>47304</v>
      </c>
      <c r="O8583" t="s">
        <v>47305</v>
      </c>
      <c r="P8583">
        <v>0</v>
      </c>
      <c r="Q8583">
        <v>4</v>
      </c>
      <c r="R8583" t="s">
        <v>47312</v>
      </c>
      <c r="S8583" t="s">
        <v>47489</v>
      </c>
      <c r="T8583" t="s">
        <v>49327</v>
      </c>
      <c r="U8583" t="s">
        <v>56630</v>
      </c>
      <c r="W8583" t="s">
        <v>45813</v>
      </c>
      <c r="X8583" t="s">
        <v>47313</v>
      </c>
    </row>
    <row r="8584" spans="1:24">
      <c r="A8584">
        <f>HYPERLINK("https://www.philgeps.gov.ph/GEPSNONPILOT/Tender/SplashBidNoticeAbstractUI.aspx?menuIndex=3&amp;refID=7188736&amp;Result=3","7188736")</f>
        <v>0</v>
      </c>
      <c r="B8584" t="s">
        <v>2295</v>
      </c>
      <c r="C8584" t="s">
        <v>11936</v>
      </c>
      <c r="E8584" t="s">
        <v>26446</v>
      </c>
      <c r="F8584" t="s">
        <v>32606</v>
      </c>
      <c r="G8584" t="s">
        <v>32613</v>
      </c>
      <c r="H8584" t="s">
        <v>32625</v>
      </c>
      <c r="I8584" t="s">
        <v>17648</v>
      </c>
      <c r="J8584" t="s">
        <v>38101</v>
      </c>
      <c r="K8584" t="s">
        <v>42624</v>
      </c>
      <c r="M8584" t="s">
        <v>45401</v>
      </c>
      <c r="N8584" t="s">
        <v>47304</v>
      </c>
      <c r="O8584" t="s">
        <v>47305</v>
      </c>
      <c r="P8584">
        <v>0</v>
      </c>
      <c r="Q8584">
        <v>7</v>
      </c>
      <c r="R8584" t="s">
        <v>47312</v>
      </c>
      <c r="S8584" t="s">
        <v>47489</v>
      </c>
      <c r="T8584" t="s">
        <v>48998</v>
      </c>
      <c r="U8584" t="s">
        <v>56631</v>
      </c>
      <c r="W8584" t="s">
        <v>45401</v>
      </c>
      <c r="X8584" t="s">
        <v>47313</v>
      </c>
    </row>
    <row r="8585" spans="1:24">
      <c r="A8585">
        <f>HYPERLINK("https://www.philgeps.gov.ph/GEPSNONPILOT/Tender/SplashBidNoticeAbstractUI.aspx?menuIndex=3&amp;refID=7188684&amp;Result=3","7188684")</f>
        <v>0</v>
      </c>
      <c r="B8585" t="s">
        <v>2274</v>
      </c>
      <c r="C8585" t="s">
        <v>11937</v>
      </c>
      <c r="D8585" t="s">
        <v>19028</v>
      </c>
      <c r="E8585" t="s">
        <v>26447</v>
      </c>
      <c r="F8585" t="s">
        <v>32606</v>
      </c>
      <c r="G8585" t="s">
        <v>32613</v>
      </c>
      <c r="H8585" t="s">
        <v>14201</v>
      </c>
      <c r="I8585" t="s">
        <v>6298</v>
      </c>
      <c r="J8585" t="s">
        <v>38102</v>
      </c>
      <c r="K8585" t="s">
        <v>42631</v>
      </c>
      <c r="M8585" t="s">
        <v>45873</v>
      </c>
      <c r="N8585" t="s">
        <v>47304</v>
      </c>
      <c r="O8585" t="s">
        <v>47305</v>
      </c>
      <c r="P8585">
        <v>0</v>
      </c>
      <c r="Q8585">
        <v>11</v>
      </c>
      <c r="R8585" t="s">
        <v>47312</v>
      </c>
      <c r="S8585" t="s">
        <v>47489</v>
      </c>
      <c r="T8585" t="s">
        <v>49286</v>
      </c>
      <c r="U8585" t="s">
        <v>56632</v>
      </c>
      <c r="W8585" t="s">
        <v>45873</v>
      </c>
      <c r="X8585" t="s">
        <v>47313</v>
      </c>
    </row>
    <row r="8586" spans="1:24">
      <c r="A8586">
        <f>HYPERLINK("https://www.philgeps.gov.ph/GEPSNONPILOT/Tender/SplashBidNoticeAbstractUI.aspx?menuIndex=3&amp;refID=7188675&amp;Result=3","7188675")</f>
        <v>0</v>
      </c>
      <c r="B8586" t="s">
        <v>1755</v>
      </c>
      <c r="C8586" t="s">
        <v>11938</v>
      </c>
      <c r="D8586" t="s">
        <v>19029</v>
      </c>
      <c r="E8586" t="s">
        <v>26448</v>
      </c>
      <c r="F8586" t="s">
        <v>32606</v>
      </c>
      <c r="G8586" t="s">
        <v>32613</v>
      </c>
      <c r="H8586" t="s">
        <v>14201</v>
      </c>
      <c r="I8586" t="s">
        <v>32652</v>
      </c>
      <c r="J8586" t="s">
        <v>38103</v>
      </c>
      <c r="K8586" t="s">
        <v>42665</v>
      </c>
      <c r="M8586" t="s">
        <v>44792</v>
      </c>
      <c r="N8586" t="s">
        <v>47304</v>
      </c>
      <c r="O8586" t="s">
        <v>47305</v>
      </c>
      <c r="P8586">
        <v>0</v>
      </c>
      <c r="Q8586">
        <v>1</v>
      </c>
      <c r="R8586" t="s">
        <v>47312</v>
      </c>
      <c r="S8586" t="s">
        <v>47489</v>
      </c>
      <c r="T8586" t="s">
        <v>49395</v>
      </c>
      <c r="U8586" t="s">
        <v>53645</v>
      </c>
      <c r="W8586" t="s">
        <v>44792</v>
      </c>
      <c r="X8586" t="s">
        <v>47313</v>
      </c>
    </row>
    <row r="8587" spans="1:24">
      <c r="A8587">
        <f>HYPERLINK("https://www.philgeps.gov.ph/GEPSNONPILOT/Tender/SplashBidNoticeAbstractUI.aspx?menuIndex=3&amp;refID=7188718&amp;Result=3","7188718")</f>
        <v>0</v>
      </c>
      <c r="B8587" t="s">
        <v>2719</v>
      </c>
      <c r="C8587" t="s">
        <v>11939</v>
      </c>
      <c r="D8587" t="s">
        <v>18989</v>
      </c>
      <c r="E8587" t="s">
        <v>21778</v>
      </c>
      <c r="F8587" t="s">
        <v>32606</v>
      </c>
      <c r="G8587" t="s">
        <v>32616</v>
      </c>
      <c r="H8587" t="s">
        <v>14201</v>
      </c>
      <c r="I8587" t="s">
        <v>6931</v>
      </c>
      <c r="J8587" t="s">
        <v>32981</v>
      </c>
      <c r="K8587" t="s">
        <v>42629</v>
      </c>
      <c r="M8587" t="s">
        <v>45874</v>
      </c>
      <c r="N8587" t="s">
        <v>47304</v>
      </c>
      <c r="O8587" t="s">
        <v>47305</v>
      </c>
      <c r="P8587">
        <v>0</v>
      </c>
      <c r="Q8587">
        <v>0</v>
      </c>
      <c r="R8587" t="s">
        <v>47312</v>
      </c>
      <c r="S8587" t="s">
        <v>47489</v>
      </c>
      <c r="T8587" t="s">
        <v>49068</v>
      </c>
      <c r="U8587" t="s">
        <v>56633</v>
      </c>
      <c r="W8587" t="s">
        <v>45874</v>
      </c>
      <c r="X8587" t="s">
        <v>47313</v>
      </c>
    </row>
    <row r="8588" spans="1:24">
      <c r="A8588">
        <f>HYPERLINK("https://www.philgeps.gov.ph/GEPSNONPILOT/Tender/SplashBidNoticeAbstractUI.aspx?menuIndex=3&amp;refID=7188726&amp;Result=3","7188726")</f>
        <v>0</v>
      </c>
      <c r="B8588" t="s">
        <v>2119</v>
      </c>
      <c r="C8588" t="s">
        <v>11940</v>
      </c>
      <c r="D8588" t="s">
        <v>18993</v>
      </c>
      <c r="E8588" t="s">
        <v>26449</v>
      </c>
      <c r="F8588" t="s">
        <v>32607</v>
      </c>
      <c r="G8588" t="s">
        <v>32613</v>
      </c>
      <c r="H8588" t="s">
        <v>14201</v>
      </c>
      <c r="I8588" t="s">
        <v>32721</v>
      </c>
      <c r="J8588" t="s">
        <v>32789</v>
      </c>
      <c r="K8588" t="s">
        <v>42631</v>
      </c>
      <c r="M8588" t="s">
        <v>45206</v>
      </c>
      <c r="N8588" t="s">
        <v>47304</v>
      </c>
      <c r="O8588" t="s">
        <v>47305</v>
      </c>
      <c r="P8588">
        <v>0</v>
      </c>
      <c r="Q8588">
        <v>0</v>
      </c>
      <c r="R8588" t="s">
        <v>47312</v>
      </c>
      <c r="S8588" t="s">
        <v>47489</v>
      </c>
      <c r="T8588" t="s">
        <v>49320</v>
      </c>
      <c r="U8588" t="s">
        <v>56634</v>
      </c>
      <c r="V8588" t="s">
        <v>63251</v>
      </c>
      <c r="W8588" t="s">
        <v>45206</v>
      </c>
      <c r="X8588" t="s">
        <v>47313</v>
      </c>
    </row>
    <row r="8589" spans="1:24">
      <c r="A8589">
        <f>HYPERLINK("https://www.philgeps.gov.ph/GEPSNONPILOT/Tender/SplashBidNoticeAbstractUI.aspx?menuIndex=3&amp;refID=7188723&amp;Result=3","7188723")</f>
        <v>0</v>
      </c>
      <c r="B8589" t="s">
        <v>534</v>
      </c>
      <c r="C8589" t="s">
        <v>4862</v>
      </c>
      <c r="D8589" t="s">
        <v>19006</v>
      </c>
      <c r="E8589" t="s">
        <v>26450</v>
      </c>
      <c r="F8589" t="s">
        <v>32606</v>
      </c>
      <c r="G8589" t="s">
        <v>32613</v>
      </c>
      <c r="H8589" t="s">
        <v>14201</v>
      </c>
      <c r="I8589" t="s">
        <v>4120</v>
      </c>
      <c r="J8589" t="s">
        <v>38104</v>
      </c>
      <c r="K8589" t="s">
        <v>42622</v>
      </c>
      <c r="M8589" t="s">
        <v>43447</v>
      </c>
      <c r="N8589" t="s">
        <v>47304</v>
      </c>
      <c r="O8589" t="s">
        <v>47305</v>
      </c>
      <c r="P8589">
        <v>0</v>
      </c>
      <c r="Q8589">
        <v>3</v>
      </c>
      <c r="R8589" t="s">
        <v>47312</v>
      </c>
      <c r="S8589" t="s">
        <v>47489</v>
      </c>
      <c r="T8589" t="s">
        <v>49057</v>
      </c>
      <c r="U8589" t="s">
        <v>56635</v>
      </c>
      <c r="W8589" t="s">
        <v>43447</v>
      </c>
      <c r="X8589" t="s">
        <v>47313</v>
      </c>
    </row>
    <row r="8590" spans="1:24">
      <c r="A8590">
        <f>HYPERLINK("https://www.philgeps.gov.ph/GEPSNONPILOT/Tender/SplashBidNoticeAbstractUI.aspx?menuIndex=3&amp;refID=7188710&amp;Result=3","7188710")</f>
        <v>0</v>
      </c>
      <c r="B8590" t="s">
        <v>2712</v>
      </c>
      <c r="C8590" t="s">
        <v>9062</v>
      </c>
      <c r="D8590" t="s">
        <v>19011</v>
      </c>
      <c r="E8590" t="s">
        <v>26451</v>
      </c>
      <c r="F8590" t="s">
        <v>32606</v>
      </c>
      <c r="G8590" t="s">
        <v>32613</v>
      </c>
      <c r="H8590" t="s">
        <v>14201</v>
      </c>
      <c r="I8590" t="s">
        <v>32655</v>
      </c>
      <c r="J8590" t="s">
        <v>38105</v>
      </c>
      <c r="K8590" t="s">
        <v>42630</v>
      </c>
      <c r="M8590" t="s">
        <v>45866</v>
      </c>
      <c r="N8590" t="s">
        <v>47304</v>
      </c>
      <c r="O8590" t="s">
        <v>47305</v>
      </c>
      <c r="P8590">
        <v>0</v>
      </c>
      <c r="Q8590">
        <v>4</v>
      </c>
      <c r="R8590" t="s">
        <v>47312</v>
      </c>
      <c r="S8590" t="s">
        <v>47489</v>
      </c>
      <c r="T8590" t="s">
        <v>49165</v>
      </c>
      <c r="U8590" t="s">
        <v>56615</v>
      </c>
      <c r="W8590" t="s">
        <v>45866</v>
      </c>
      <c r="X8590" t="s">
        <v>47313</v>
      </c>
    </row>
    <row r="8591" spans="1:24">
      <c r="A8591">
        <f>HYPERLINK("https://www.philgeps.gov.ph/GEPSNONPILOT/Tender/SplashBidNoticeAbstractUI.aspx?menuIndex=3&amp;refID=7188733&amp;Result=3","7188733")</f>
        <v>0</v>
      </c>
      <c r="B8591" t="s">
        <v>900</v>
      </c>
      <c r="C8591" t="s">
        <v>11941</v>
      </c>
      <c r="D8591" t="s">
        <v>19005</v>
      </c>
      <c r="E8591" t="s">
        <v>21655</v>
      </c>
      <c r="F8591" t="s">
        <v>32606</v>
      </c>
      <c r="G8591" t="s">
        <v>32613</v>
      </c>
      <c r="H8591" t="s">
        <v>14201</v>
      </c>
      <c r="I8591" t="s">
        <v>32650</v>
      </c>
      <c r="J8591" t="s">
        <v>33533</v>
      </c>
      <c r="K8591" t="s">
        <v>42631</v>
      </c>
      <c r="M8591" t="s">
        <v>43837</v>
      </c>
      <c r="N8591" t="s">
        <v>47304</v>
      </c>
      <c r="O8591" t="s">
        <v>47305</v>
      </c>
      <c r="P8591">
        <v>0</v>
      </c>
      <c r="Q8591">
        <v>6</v>
      </c>
      <c r="R8591" t="s">
        <v>47312</v>
      </c>
      <c r="S8591" t="s">
        <v>47489</v>
      </c>
      <c r="T8591" t="s">
        <v>49064</v>
      </c>
      <c r="U8591" t="s">
        <v>56636</v>
      </c>
      <c r="W8591" t="s">
        <v>43837</v>
      </c>
      <c r="X8591" t="s">
        <v>47313</v>
      </c>
    </row>
    <row r="8592" spans="1:24">
      <c r="A8592">
        <f>HYPERLINK("https://www.philgeps.gov.ph/GEPSNONPILOT/Tender/SplashBidNoticeAbstractUI.aspx?menuIndex=3&amp;refID=7188727&amp;Result=3","7188727")</f>
        <v>0</v>
      </c>
      <c r="B8592" t="s">
        <v>2717</v>
      </c>
      <c r="C8592" t="s">
        <v>11942</v>
      </c>
      <c r="D8592" t="s">
        <v>18989</v>
      </c>
      <c r="E8592" t="s">
        <v>19404</v>
      </c>
      <c r="F8592" t="s">
        <v>32606</v>
      </c>
      <c r="G8592" t="s">
        <v>32613</v>
      </c>
      <c r="H8592" t="s">
        <v>32623</v>
      </c>
      <c r="I8592" t="s">
        <v>17648</v>
      </c>
      <c r="J8592" t="s">
        <v>38106</v>
      </c>
      <c r="K8592" t="s">
        <v>42671</v>
      </c>
      <c r="M8592" t="s">
        <v>45871</v>
      </c>
      <c r="N8592" t="s">
        <v>47304</v>
      </c>
      <c r="O8592" t="s">
        <v>47305</v>
      </c>
      <c r="P8592">
        <v>0</v>
      </c>
      <c r="Q8592">
        <v>0</v>
      </c>
      <c r="R8592" t="s">
        <v>47312</v>
      </c>
      <c r="S8592" t="s">
        <v>47489</v>
      </c>
      <c r="T8592" t="s">
        <v>49197</v>
      </c>
      <c r="U8592" t="s">
        <v>55857</v>
      </c>
      <c r="V8592" t="s">
        <v>63552</v>
      </c>
      <c r="W8592" t="s">
        <v>45871</v>
      </c>
      <c r="X8592" t="s">
        <v>47313</v>
      </c>
    </row>
    <row r="8593" spans="1:24">
      <c r="A8593">
        <f>HYPERLINK("https://www.philgeps.gov.ph/GEPSNONPILOT/Tender/SplashBidNoticeAbstractUI.aspx?menuIndex=3&amp;refID=7188706&amp;Result=3","7188706")</f>
        <v>0</v>
      </c>
      <c r="B8593" t="s">
        <v>2708</v>
      </c>
      <c r="C8593" t="s">
        <v>11943</v>
      </c>
      <c r="D8593" t="s">
        <v>19058</v>
      </c>
      <c r="E8593" t="s">
        <v>26452</v>
      </c>
      <c r="F8593" t="s">
        <v>32606</v>
      </c>
      <c r="G8593" t="s">
        <v>32613</v>
      </c>
      <c r="H8593" t="s">
        <v>32623</v>
      </c>
      <c r="I8593" t="s">
        <v>17648</v>
      </c>
      <c r="J8593" t="s">
        <v>32770</v>
      </c>
      <c r="K8593" t="s">
        <v>42675</v>
      </c>
      <c r="M8593" t="s">
        <v>45861</v>
      </c>
      <c r="N8593" t="s">
        <v>47304</v>
      </c>
      <c r="O8593" t="s">
        <v>47305</v>
      </c>
      <c r="P8593">
        <v>0</v>
      </c>
      <c r="Q8593">
        <v>2</v>
      </c>
      <c r="R8593" t="s">
        <v>47312</v>
      </c>
      <c r="S8593" t="s">
        <v>47489</v>
      </c>
      <c r="T8593" t="s">
        <v>49364</v>
      </c>
      <c r="U8593" t="s">
        <v>56608</v>
      </c>
      <c r="W8593" t="s">
        <v>45861</v>
      </c>
      <c r="X8593" t="s">
        <v>47313</v>
      </c>
    </row>
    <row r="8594" spans="1:24">
      <c r="A8594">
        <f>HYPERLINK("https://www.philgeps.gov.ph/GEPSNONPILOT/Tender/SplashBidNoticeAbstractUI.aspx?menuIndex=3&amp;refID=7188704&amp;Result=3","7188704")</f>
        <v>0</v>
      </c>
      <c r="B8594" t="s">
        <v>2720</v>
      </c>
      <c r="C8594" t="s">
        <v>11944</v>
      </c>
      <c r="D8594" t="s">
        <v>19058</v>
      </c>
      <c r="E8594" t="s">
        <v>20544</v>
      </c>
      <c r="F8594" t="s">
        <v>32606</v>
      </c>
      <c r="G8594" t="s">
        <v>32613</v>
      </c>
      <c r="H8594" t="s">
        <v>14201</v>
      </c>
      <c r="I8594" t="s">
        <v>4114</v>
      </c>
      <c r="J8594" t="s">
        <v>38107</v>
      </c>
      <c r="K8594" t="s">
        <v>42630</v>
      </c>
      <c r="M8594" t="s">
        <v>45875</v>
      </c>
      <c r="N8594" t="s">
        <v>47304</v>
      </c>
      <c r="O8594" t="s">
        <v>47305</v>
      </c>
      <c r="P8594">
        <v>0</v>
      </c>
      <c r="Q8594">
        <v>1</v>
      </c>
      <c r="R8594" t="s">
        <v>47312</v>
      </c>
      <c r="S8594" t="s">
        <v>47489</v>
      </c>
      <c r="T8594" t="s">
        <v>49257</v>
      </c>
      <c r="U8594" t="s">
        <v>56637</v>
      </c>
      <c r="W8594" t="s">
        <v>45875</v>
      </c>
      <c r="X8594" t="s">
        <v>47313</v>
      </c>
    </row>
    <row r="8595" spans="1:24">
      <c r="A8595">
        <f>HYPERLINK("https://www.philgeps.gov.ph/GEPSNONPILOT/Tender/SplashBidNoticeAbstractUI.aspx?menuIndex=3&amp;refID=7188701&amp;Result=3","7188701")</f>
        <v>0</v>
      </c>
      <c r="B8595" t="s">
        <v>243</v>
      </c>
      <c r="C8595" t="s">
        <v>11945</v>
      </c>
      <c r="D8595" t="s">
        <v>19027</v>
      </c>
      <c r="E8595" t="s">
        <v>26453</v>
      </c>
      <c r="F8595" t="s">
        <v>32606</v>
      </c>
      <c r="G8595" t="s">
        <v>32619</v>
      </c>
      <c r="H8595" t="s">
        <v>14201</v>
      </c>
      <c r="I8595" t="s">
        <v>4120</v>
      </c>
      <c r="J8595" t="s">
        <v>38108</v>
      </c>
      <c r="K8595" t="s">
        <v>42624</v>
      </c>
      <c r="M8595" t="s">
        <v>44391</v>
      </c>
      <c r="N8595" t="s">
        <v>47304</v>
      </c>
      <c r="O8595" t="s">
        <v>47305</v>
      </c>
      <c r="P8595">
        <v>0</v>
      </c>
      <c r="Q8595">
        <v>1</v>
      </c>
      <c r="R8595" t="s">
        <v>47312</v>
      </c>
      <c r="S8595" t="s">
        <v>47489</v>
      </c>
      <c r="T8595" t="s">
        <v>48980</v>
      </c>
      <c r="U8595" t="s">
        <v>56638</v>
      </c>
      <c r="W8595" t="s">
        <v>64471</v>
      </c>
      <c r="X8595" t="s">
        <v>47313</v>
      </c>
    </row>
    <row r="8596" spans="1:24">
      <c r="A8596">
        <f>HYPERLINK("https://www.philgeps.gov.ph/GEPSNONPILOT/Tender/SplashBidNoticeAbstractUI.aspx?menuIndex=3&amp;refID=7188699&amp;Result=3","7188699")</f>
        <v>0</v>
      </c>
      <c r="B8596" t="s">
        <v>2375</v>
      </c>
      <c r="C8596" t="s">
        <v>11946</v>
      </c>
      <c r="D8596" t="s">
        <v>19014</v>
      </c>
      <c r="E8596" t="s">
        <v>26454</v>
      </c>
      <c r="F8596" t="s">
        <v>32606</v>
      </c>
      <c r="G8596" t="s">
        <v>32614</v>
      </c>
      <c r="H8596" t="s">
        <v>14201</v>
      </c>
      <c r="I8596" t="s">
        <v>32652</v>
      </c>
      <c r="J8596" t="s">
        <v>32781</v>
      </c>
      <c r="K8596" t="s">
        <v>42624</v>
      </c>
      <c r="M8596" t="s">
        <v>45490</v>
      </c>
      <c r="N8596" t="s">
        <v>47304</v>
      </c>
      <c r="O8596" t="s">
        <v>47305</v>
      </c>
      <c r="P8596">
        <v>0</v>
      </c>
      <c r="Q8596">
        <v>0</v>
      </c>
      <c r="R8596" t="s">
        <v>47312</v>
      </c>
      <c r="S8596" t="s">
        <v>47489</v>
      </c>
      <c r="T8596" t="s">
        <v>49268</v>
      </c>
      <c r="U8596" t="s">
        <v>56639</v>
      </c>
      <c r="W8596" t="s">
        <v>45490</v>
      </c>
      <c r="X8596" t="s">
        <v>47313</v>
      </c>
    </row>
    <row r="8597" spans="1:24">
      <c r="A8597">
        <f>HYPERLINK("https://www.philgeps.gov.ph/GEPSNONPILOT/Tender/SplashBidNoticeAbstractUI.aspx?menuIndex=3&amp;refID=7188741&amp;Result=3","7188741")</f>
        <v>0</v>
      </c>
      <c r="B8597" t="s">
        <v>2721</v>
      </c>
      <c r="C8597" t="s">
        <v>11947</v>
      </c>
      <c r="D8597" t="s">
        <v>18999</v>
      </c>
      <c r="E8597" t="s">
        <v>26455</v>
      </c>
      <c r="F8597" t="s">
        <v>32606</v>
      </c>
      <c r="G8597" t="s">
        <v>32614</v>
      </c>
      <c r="H8597" t="s">
        <v>14201</v>
      </c>
      <c r="I8597" t="s">
        <v>32634</v>
      </c>
      <c r="J8597" t="s">
        <v>32868</v>
      </c>
      <c r="K8597" t="s">
        <v>42623</v>
      </c>
      <c r="M8597" t="s">
        <v>45876</v>
      </c>
      <c r="N8597" t="s">
        <v>47304</v>
      </c>
      <c r="O8597" t="s">
        <v>47305</v>
      </c>
      <c r="P8597">
        <v>0</v>
      </c>
      <c r="Q8597">
        <v>6</v>
      </c>
      <c r="R8597" t="s">
        <v>47312</v>
      </c>
      <c r="S8597" t="s">
        <v>47489</v>
      </c>
      <c r="T8597" t="s">
        <v>49268</v>
      </c>
      <c r="U8597" t="s">
        <v>56640</v>
      </c>
      <c r="W8597" t="s">
        <v>45876</v>
      </c>
      <c r="X8597" t="s">
        <v>47313</v>
      </c>
    </row>
    <row r="8598" spans="1:24">
      <c r="A8598">
        <f>HYPERLINK("https://www.philgeps.gov.ph/GEPSNONPILOT/Tender/SplashBidNoticeAbstractUI.aspx?menuIndex=3&amp;refID=7188712&amp;Result=3","7188712")</f>
        <v>0</v>
      </c>
      <c r="B8598" t="s">
        <v>2722</v>
      </c>
      <c r="C8598" t="s">
        <v>11948</v>
      </c>
      <c r="D8598" t="s">
        <v>19042</v>
      </c>
      <c r="E8598" t="s">
        <v>26456</v>
      </c>
      <c r="F8598" t="s">
        <v>32606</v>
      </c>
      <c r="G8598" t="s">
        <v>32613</v>
      </c>
      <c r="H8598" t="s">
        <v>32623</v>
      </c>
      <c r="I8598" t="s">
        <v>17648</v>
      </c>
      <c r="J8598" t="s">
        <v>38109</v>
      </c>
      <c r="K8598" t="s">
        <v>42646</v>
      </c>
      <c r="M8598" t="s">
        <v>45877</v>
      </c>
      <c r="N8598" t="s">
        <v>47304</v>
      </c>
      <c r="O8598" t="s">
        <v>47305</v>
      </c>
      <c r="P8598">
        <v>0</v>
      </c>
      <c r="Q8598">
        <v>1</v>
      </c>
      <c r="R8598" t="s">
        <v>47312</v>
      </c>
      <c r="S8598" t="s">
        <v>47489</v>
      </c>
      <c r="T8598" t="s">
        <v>49040</v>
      </c>
      <c r="U8598" t="s">
        <v>56641</v>
      </c>
      <c r="W8598" t="s">
        <v>45877</v>
      </c>
      <c r="X8598" t="s">
        <v>47313</v>
      </c>
    </row>
    <row r="8599" spans="1:24">
      <c r="A8599">
        <f>HYPERLINK("https://www.philgeps.gov.ph/GEPSNONPILOT/Tender/SplashBidNoticeAbstractUI.aspx?menuIndex=3&amp;refID=7188773&amp;Result=3","7188773")</f>
        <v>0</v>
      </c>
      <c r="B8599" t="s">
        <v>2722</v>
      </c>
      <c r="C8599" t="s">
        <v>11949</v>
      </c>
      <c r="D8599" t="s">
        <v>19042</v>
      </c>
      <c r="E8599" t="s">
        <v>26457</v>
      </c>
      <c r="F8599" t="s">
        <v>32606</v>
      </c>
      <c r="G8599" t="s">
        <v>32613</v>
      </c>
      <c r="H8599" t="s">
        <v>32623</v>
      </c>
      <c r="I8599" t="s">
        <v>17648</v>
      </c>
      <c r="J8599" t="s">
        <v>38110</v>
      </c>
      <c r="K8599" t="s">
        <v>42646</v>
      </c>
      <c r="M8599" t="s">
        <v>45877</v>
      </c>
      <c r="N8599" t="s">
        <v>47304</v>
      </c>
      <c r="O8599" t="s">
        <v>47305</v>
      </c>
      <c r="P8599">
        <v>0</v>
      </c>
      <c r="Q8599">
        <v>1</v>
      </c>
      <c r="R8599" t="s">
        <v>47312</v>
      </c>
      <c r="S8599" t="s">
        <v>47489</v>
      </c>
      <c r="T8599" t="s">
        <v>49040</v>
      </c>
      <c r="U8599" t="s">
        <v>56641</v>
      </c>
      <c r="W8599" t="s">
        <v>45877</v>
      </c>
      <c r="X8599" t="s">
        <v>47313</v>
      </c>
    </row>
    <row r="8600" spans="1:24">
      <c r="A8600">
        <f>HYPERLINK("https://www.philgeps.gov.ph/GEPSNONPILOT/Tender/SplashBidNoticeAbstractUI.aspx?menuIndex=3&amp;refID=7188664&amp;Result=3","7188664")</f>
        <v>0</v>
      </c>
      <c r="B8600" t="s">
        <v>2472</v>
      </c>
      <c r="C8600" t="s">
        <v>11950</v>
      </c>
      <c r="D8600" t="s">
        <v>18994</v>
      </c>
      <c r="E8600" t="s">
        <v>26458</v>
      </c>
      <c r="F8600" t="s">
        <v>32606</v>
      </c>
      <c r="G8600" t="s">
        <v>32614</v>
      </c>
      <c r="H8600" t="s">
        <v>14201</v>
      </c>
      <c r="I8600" t="s">
        <v>32649</v>
      </c>
      <c r="J8600" t="s">
        <v>33001</v>
      </c>
      <c r="K8600" t="s">
        <v>42622</v>
      </c>
      <c r="M8600" t="s">
        <v>45813</v>
      </c>
      <c r="N8600" t="s">
        <v>47304</v>
      </c>
      <c r="O8600" t="s">
        <v>47305</v>
      </c>
      <c r="P8600">
        <v>0</v>
      </c>
      <c r="Q8600">
        <v>0</v>
      </c>
      <c r="R8600" t="s">
        <v>47312</v>
      </c>
      <c r="S8600" t="s">
        <v>47489</v>
      </c>
      <c r="T8600" t="s">
        <v>49327</v>
      </c>
      <c r="U8600" t="s">
        <v>56642</v>
      </c>
      <c r="W8600" t="s">
        <v>45813</v>
      </c>
      <c r="X8600" t="s">
        <v>47313</v>
      </c>
    </row>
    <row r="8601" spans="1:24">
      <c r="A8601">
        <f>HYPERLINK("https://www.philgeps.gov.ph/GEPSNONPILOT/Tender/SplashBidNoticeAbstractUI.aspx?menuIndex=3&amp;refID=7188772&amp;Result=3","7188772")</f>
        <v>0</v>
      </c>
      <c r="B8601" t="s">
        <v>2723</v>
      </c>
      <c r="C8601" t="s">
        <v>11951</v>
      </c>
      <c r="D8601" t="s">
        <v>18997</v>
      </c>
      <c r="E8601" t="s">
        <v>26459</v>
      </c>
      <c r="F8601" t="s">
        <v>32606</v>
      </c>
      <c r="G8601" t="s">
        <v>32613</v>
      </c>
      <c r="H8601" t="s">
        <v>32623</v>
      </c>
      <c r="I8601" t="s">
        <v>17648</v>
      </c>
      <c r="J8601" t="s">
        <v>33936</v>
      </c>
      <c r="K8601" t="s">
        <v>42636</v>
      </c>
      <c r="M8601" t="s">
        <v>45878</v>
      </c>
      <c r="N8601" t="s">
        <v>47304</v>
      </c>
      <c r="O8601" t="s">
        <v>47305</v>
      </c>
      <c r="P8601">
        <v>0</v>
      </c>
      <c r="Q8601">
        <v>0</v>
      </c>
      <c r="R8601" t="s">
        <v>47312</v>
      </c>
      <c r="S8601" t="s">
        <v>47489</v>
      </c>
      <c r="T8601" t="s">
        <v>49234</v>
      </c>
      <c r="U8601" t="s">
        <v>56643</v>
      </c>
      <c r="W8601" t="s">
        <v>45878</v>
      </c>
      <c r="X8601" t="s">
        <v>47313</v>
      </c>
    </row>
    <row r="8602" spans="1:24">
      <c r="A8602">
        <f>HYPERLINK("https://www.philgeps.gov.ph/GEPSNONPILOT/Tender/SplashBidNoticeAbstractUI.aspx?menuIndex=3&amp;refID=7188765&amp;Result=3","7188765")</f>
        <v>0</v>
      </c>
      <c r="B8602" t="s">
        <v>2711</v>
      </c>
      <c r="C8602" t="s">
        <v>11952</v>
      </c>
      <c r="D8602" t="s">
        <v>19046</v>
      </c>
      <c r="E8602" t="s">
        <v>26460</v>
      </c>
      <c r="F8602" t="s">
        <v>32606</v>
      </c>
      <c r="G8602" t="s">
        <v>32614</v>
      </c>
      <c r="H8602" t="s">
        <v>14201</v>
      </c>
      <c r="I8602" t="s">
        <v>32633</v>
      </c>
      <c r="J8602" t="s">
        <v>32813</v>
      </c>
      <c r="K8602" t="s">
        <v>42623</v>
      </c>
      <c r="M8602" t="s">
        <v>45864</v>
      </c>
      <c r="N8602" t="s">
        <v>47304</v>
      </c>
      <c r="O8602" t="s">
        <v>47305</v>
      </c>
      <c r="P8602">
        <v>0</v>
      </c>
      <c r="Q8602">
        <v>1</v>
      </c>
      <c r="R8602" t="s">
        <v>47312</v>
      </c>
      <c r="S8602" t="s">
        <v>47489</v>
      </c>
      <c r="T8602" t="s">
        <v>49020</v>
      </c>
      <c r="U8602" t="s">
        <v>56644</v>
      </c>
      <c r="W8602" t="s">
        <v>45864</v>
      </c>
      <c r="X8602" t="s">
        <v>47313</v>
      </c>
    </row>
    <row r="8603" spans="1:24">
      <c r="A8603">
        <f>HYPERLINK("https://www.philgeps.gov.ph/GEPSNONPILOT/Tender/SplashBidNoticeAbstractUI.aspx?menuIndex=3&amp;refID=7188759&amp;Result=3","7188759")</f>
        <v>0</v>
      </c>
      <c r="B8603" t="s">
        <v>2724</v>
      </c>
      <c r="C8603" t="s">
        <v>11953</v>
      </c>
      <c r="D8603" t="s">
        <v>18997</v>
      </c>
      <c r="E8603" t="s">
        <v>26461</v>
      </c>
      <c r="F8603" t="s">
        <v>32606</v>
      </c>
      <c r="G8603" t="s">
        <v>32613</v>
      </c>
      <c r="H8603" t="s">
        <v>14201</v>
      </c>
      <c r="I8603" t="s">
        <v>7064</v>
      </c>
      <c r="J8603" t="s">
        <v>38111</v>
      </c>
      <c r="K8603" t="s">
        <v>42623</v>
      </c>
      <c r="M8603" t="s">
        <v>45879</v>
      </c>
      <c r="N8603" t="s">
        <v>47304</v>
      </c>
      <c r="O8603" t="s">
        <v>47305</v>
      </c>
      <c r="P8603">
        <v>0</v>
      </c>
      <c r="Q8603">
        <v>1</v>
      </c>
      <c r="R8603" t="s">
        <v>47312</v>
      </c>
      <c r="S8603" t="s">
        <v>47489</v>
      </c>
      <c r="T8603" t="s">
        <v>49195</v>
      </c>
      <c r="U8603" t="s">
        <v>56645</v>
      </c>
      <c r="W8603" t="s">
        <v>64512</v>
      </c>
      <c r="X8603" t="s">
        <v>47313</v>
      </c>
    </row>
    <row r="8604" spans="1:24">
      <c r="A8604">
        <f>HYPERLINK("https://www.philgeps.gov.ph/GEPSNONPILOT/Tender/SplashBidNoticeAbstractUI.aspx?menuIndex=3&amp;refID=7188751&amp;Result=3","7188751")</f>
        <v>0</v>
      </c>
      <c r="B8604" t="s">
        <v>1893</v>
      </c>
      <c r="C8604" t="s">
        <v>11954</v>
      </c>
      <c r="D8604" t="s">
        <v>19039</v>
      </c>
      <c r="E8604" t="s">
        <v>26462</v>
      </c>
      <c r="F8604" t="s">
        <v>32606</v>
      </c>
      <c r="G8604" t="s">
        <v>32619</v>
      </c>
      <c r="H8604" t="s">
        <v>14201</v>
      </c>
      <c r="I8604" t="s">
        <v>32652</v>
      </c>
      <c r="J8604" t="s">
        <v>38112</v>
      </c>
      <c r="K8604" t="s">
        <v>42624</v>
      </c>
      <c r="M8604" t="s">
        <v>44952</v>
      </c>
      <c r="N8604" t="s">
        <v>47304</v>
      </c>
      <c r="O8604" t="s">
        <v>47305</v>
      </c>
      <c r="Q8604">
        <v>0</v>
      </c>
      <c r="R8604" t="s">
        <v>47312</v>
      </c>
      <c r="S8604" t="s">
        <v>47512</v>
      </c>
      <c r="T8604" t="s">
        <v>49002</v>
      </c>
      <c r="U8604" t="s">
        <v>56646</v>
      </c>
      <c r="W8604" t="s">
        <v>44952</v>
      </c>
      <c r="X8604" t="s">
        <v>47313</v>
      </c>
    </row>
    <row r="8605" spans="1:24">
      <c r="A8605">
        <f>HYPERLINK("https://www.philgeps.gov.ph/GEPSNONPILOT/Tender/SplashBidNoticeAbstractUI.aspx?menuIndex=3&amp;refID=7188749&amp;Result=3","7188749")</f>
        <v>0</v>
      </c>
      <c r="B8605" t="s">
        <v>2725</v>
      </c>
      <c r="C8605" t="s">
        <v>11955</v>
      </c>
      <c r="D8605" t="s">
        <v>19004</v>
      </c>
      <c r="E8605" t="s">
        <v>26463</v>
      </c>
      <c r="F8605" t="s">
        <v>32606</v>
      </c>
      <c r="G8605" t="s">
        <v>32613</v>
      </c>
      <c r="H8605" t="s">
        <v>14201</v>
      </c>
      <c r="I8605" t="s">
        <v>32626</v>
      </c>
      <c r="J8605" t="s">
        <v>32776</v>
      </c>
      <c r="K8605" t="s">
        <v>42623</v>
      </c>
      <c r="M8605" t="s">
        <v>45880</v>
      </c>
      <c r="N8605" t="s">
        <v>47304</v>
      </c>
      <c r="O8605" t="s">
        <v>47305</v>
      </c>
      <c r="P8605">
        <v>0</v>
      </c>
      <c r="Q8605">
        <v>2</v>
      </c>
      <c r="R8605" t="s">
        <v>47312</v>
      </c>
      <c r="S8605" t="s">
        <v>47489</v>
      </c>
      <c r="T8605" t="s">
        <v>48998</v>
      </c>
      <c r="U8605" t="s">
        <v>56647</v>
      </c>
      <c r="W8605" t="s">
        <v>45880</v>
      </c>
      <c r="X8605" t="s">
        <v>47313</v>
      </c>
    </row>
    <row r="8606" spans="1:24">
      <c r="A8606">
        <f>HYPERLINK("https://www.philgeps.gov.ph/GEPSNONPILOT/Tender/SplashBidNoticeAbstractUI.aspx?menuIndex=3&amp;refID=7188745&amp;Result=3","7188745")</f>
        <v>0</v>
      </c>
      <c r="B8606" t="s">
        <v>2221</v>
      </c>
      <c r="C8606" t="s">
        <v>11956</v>
      </c>
      <c r="D8606" t="s">
        <v>19007</v>
      </c>
      <c r="E8606" t="s">
        <v>26464</v>
      </c>
      <c r="F8606" t="s">
        <v>32606</v>
      </c>
      <c r="G8606" t="s">
        <v>32614</v>
      </c>
      <c r="H8606" t="s">
        <v>14201</v>
      </c>
      <c r="I8606" t="s">
        <v>4120</v>
      </c>
      <c r="J8606" t="s">
        <v>32949</v>
      </c>
      <c r="K8606" t="s">
        <v>42631</v>
      </c>
      <c r="L8606" t="s">
        <v>2221</v>
      </c>
      <c r="M8606" t="s">
        <v>45642</v>
      </c>
      <c r="N8606" t="s">
        <v>47304</v>
      </c>
      <c r="O8606" t="s">
        <v>47305</v>
      </c>
      <c r="P8606">
        <v>0</v>
      </c>
      <c r="Q8606">
        <v>2</v>
      </c>
      <c r="R8606" t="s">
        <v>47312</v>
      </c>
      <c r="S8606" t="s">
        <v>47489</v>
      </c>
      <c r="T8606" t="s">
        <v>49075</v>
      </c>
      <c r="U8606" t="s">
        <v>56648</v>
      </c>
      <c r="W8606" t="s">
        <v>45642</v>
      </c>
      <c r="X8606" t="s">
        <v>47313</v>
      </c>
    </row>
    <row r="8607" spans="1:24">
      <c r="A8607">
        <f>HYPERLINK("https://www.philgeps.gov.ph/GEPSNONPILOT/Tender/SplashBidNoticeAbstractUI.aspx?menuIndex=3&amp;refID=7188628&amp;Result=3","7188628")</f>
        <v>0</v>
      </c>
      <c r="B8607" t="s">
        <v>2726</v>
      </c>
      <c r="C8607" t="s">
        <v>11957</v>
      </c>
      <c r="D8607" t="s">
        <v>19018</v>
      </c>
      <c r="E8607" t="s">
        <v>26465</v>
      </c>
      <c r="F8607" t="s">
        <v>32606</v>
      </c>
      <c r="G8607" t="s">
        <v>32613</v>
      </c>
      <c r="H8607" t="s">
        <v>14201</v>
      </c>
      <c r="I8607" t="s">
        <v>6931</v>
      </c>
      <c r="J8607" t="s">
        <v>38113</v>
      </c>
      <c r="K8607" t="s">
        <v>42624</v>
      </c>
      <c r="M8607" t="s">
        <v>45881</v>
      </c>
      <c r="N8607" t="s">
        <v>47304</v>
      </c>
      <c r="O8607" t="s">
        <v>47305</v>
      </c>
      <c r="P8607">
        <v>0</v>
      </c>
      <c r="Q8607">
        <v>0</v>
      </c>
      <c r="R8607" t="s">
        <v>47312</v>
      </c>
      <c r="S8607" t="s">
        <v>47489</v>
      </c>
      <c r="T8607" t="s">
        <v>48980</v>
      </c>
      <c r="U8607" t="s">
        <v>56649</v>
      </c>
      <c r="W8607" t="s">
        <v>45881</v>
      </c>
      <c r="X8607" t="s">
        <v>47313</v>
      </c>
    </row>
    <row r="8608" spans="1:24">
      <c r="A8608">
        <f>HYPERLINK("https://www.philgeps.gov.ph/GEPSNONPILOT/Tender/SplashBidNoticeAbstractUI.aspx?menuIndex=3&amp;refID=7188816&amp;Result=3","7188816")</f>
        <v>0</v>
      </c>
      <c r="B8608" t="s">
        <v>2722</v>
      </c>
      <c r="C8608" t="s">
        <v>11958</v>
      </c>
      <c r="D8608" t="s">
        <v>19042</v>
      </c>
      <c r="E8608" t="s">
        <v>26466</v>
      </c>
      <c r="F8608" t="s">
        <v>32606</v>
      </c>
      <c r="G8608" t="s">
        <v>32613</v>
      </c>
      <c r="H8608" t="s">
        <v>32623</v>
      </c>
      <c r="I8608" t="s">
        <v>17648</v>
      </c>
      <c r="J8608" t="s">
        <v>37657</v>
      </c>
      <c r="K8608" t="s">
        <v>42645</v>
      </c>
      <c r="M8608" t="s">
        <v>45877</v>
      </c>
      <c r="N8608" t="s">
        <v>47304</v>
      </c>
      <c r="O8608" t="s">
        <v>47305</v>
      </c>
      <c r="P8608">
        <v>0</v>
      </c>
      <c r="Q8608">
        <v>1</v>
      </c>
      <c r="R8608" t="s">
        <v>47312</v>
      </c>
      <c r="S8608" t="s">
        <v>47489</v>
      </c>
      <c r="T8608" t="s">
        <v>49040</v>
      </c>
      <c r="U8608" t="s">
        <v>56641</v>
      </c>
      <c r="W8608" t="s">
        <v>45877</v>
      </c>
      <c r="X8608" t="s">
        <v>47313</v>
      </c>
    </row>
    <row r="8609" spans="1:24">
      <c r="A8609">
        <f>HYPERLINK("https://www.philgeps.gov.ph/GEPSNONPILOT/Tender/SplashBidNoticeAbstractUI.aspx?menuIndex=3&amp;refID=7188783&amp;Result=3","7188783")</f>
        <v>0</v>
      </c>
      <c r="B8609" t="s">
        <v>2727</v>
      </c>
      <c r="C8609" t="s">
        <v>11959</v>
      </c>
      <c r="D8609" t="s">
        <v>19011</v>
      </c>
      <c r="E8609" t="s">
        <v>19663</v>
      </c>
      <c r="F8609" t="s">
        <v>32606</v>
      </c>
      <c r="G8609" t="s">
        <v>32619</v>
      </c>
      <c r="H8609" t="s">
        <v>14201</v>
      </c>
      <c r="I8609" t="s">
        <v>6931</v>
      </c>
      <c r="J8609" t="s">
        <v>34239</v>
      </c>
      <c r="K8609" t="s">
        <v>42631</v>
      </c>
      <c r="M8609" t="s">
        <v>45882</v>
      </c>
      <c r="N8609" t="s">
        <v>47304</v>
      </c>
      <c r="O8609" t="s">
        <v>47305</v>
      </c>
      <c r="P8609">
        <v>0</v>
      </c>
      <c r="Q8609">
        <v>0</v>
      </c>
      <c r="R8609" t="s">
        <v>47312</v>
      </c>
      <c r="S8609" t="s">
        <v>47489</v>
      </c>
      <c r="T8609" t="s">
        <v>49268</v>
      </c>
      <c r="U8609" t="s">
        <v>56650</v>
      </c>
      <c r="V8609" t="s">
        <v>63553</v>
      </c>
      <c r="W8609" t="s">
        <v>45882</v>
      </c>
      <c r="X8609" t="s">
        <v>47313</v>
      </c>
    </row>
    <row r="8610" spans="1:24">
      <c r="A8610">
        <f>HYPERLINK("https://www.philgeps.gov.ph/GEPSNONPILOT/Tender/SplashBidNoticeAbstractUI.aspx?menuIndex=3&amp;refID=7188814&amp;Result=3","7188814")</f>
        <v>0</v>
      </c>
      <c r="B8610" t="s">
        <v>2634</v>
      </c>
      <c r="C8610" t="s">
        <v>11960</v>
      </c>
      <c r="D8610" t="s">
        <v>19015</v>
      </c>
      <c r="E8610" t="s">
        <v>19833</v>
      </c>
      <c r="F8610" t="s">
        <v>32606</v>
      </c>
      <c r="G8610" t="s">
        <v>32613</v>
      </c>
      <c r="H8610" t="s">
        <v>32623</v>
      </c>
      <c r="I8610" t="s">
        <v>17648</v>
      </c>
      <c r="J8610" t="s">
        <v>32795</v>
      </c>
      <c r="K8610" t="s">
        <v>42645</v>
      </c>
      <c r="M8610" t="s">
        <v>45778</v>
      </c>
      <c r="N8610" t="s">
        <v>47304</v>
      </c>
      <c r="O8610" t="s">
        <v>47305</v>
      </c>
      <c r="P8610">
        <v>0</v>
      </c>
      <c r="Q8610">
        <v>63</v>
      </c>
      <c r="R8610" t="s">
        <v>47312</v>
      </c>
      <c r="S8610" t="s">
        <v>47489</v>
      </c>
      <c r="T8610" t="s">
        <v>49040</v>
      </c>
      <c r="U8610" t="s">
        <v>56651</v>
      </c>
      <c r="W8610" t="s">
        <v>64509</v>
      </c>
      <c r="X8610" t="s">
        <v>47313</v>
      </c>
    </row>
    <row r="8611" spans="1:24">
      <c r="A8611">
        <f>HYPERLINK("https://www.philgeps.gov.ph/GEPSNONPILOT/Tender/SplashBidNoticeAbstractUI.aspx?menuIndex=3&amp;refID=7188810&amp;Result=3","7188810")</f>
        <v>0</v>
      </c>
      <c r="B8611" t="s">
        <v>726</v>
      </c>
      <c r="C8611" t="s">
        <v>11961</v>
      </c>
      <c r="D8611" t="s">
        <v>19009</v>
      </c>
      <c r="E8611" t="s">
        <v>26467</v>
      </c>
      <c r="F8611" t="s">
        <v>32606</v>
      </c>
      <c r="G8611" t="s">
        <v>32614</v>
      </c>
      <c r="H8611" t="s">
        <v>14201</v>
      </c>
      <c r="I8611" t="s">
        <v>32640</v>
      </c>
      <c r="J8611" t="s">
        <v>32949</v>
      </c>
      <c r="K8611" t="s">
        <v>42623</v>
      </c>
      <c r="M8611" t="s">
        <v>45264</v>
      </c>
      <c r="N8611" t="s">
        <v>47304</v>
      </c>
      <c r="O8611" t="s">
        <v>47305</v>
      </c>
      <c r="P8611">
        <v>0</v>
      </c>
      <c r="Q8611">
        <v>0</v>
      </c>
      <c r="R8611" t="s">
        <v>47312</v>
      </c>
      <c r="S8611" t="s">
        <v>47489</v>
      </c>
      <c r="T8611" t="s">
        <v>49339</v>
      </c>
      <c r="U8611" t="s">
        <v>56652</v>
      </c>
      <c r="V8611" t="s">
        <v>62814</v>
      </c>
      <c r="W8611" t="s">
        <v>45264</v>
      </c>
      <c r="X8611" t="s">
        <v>47313</v>
      </c>
    </row>
    <row r="8612" spans="1:24">
      <c r="A8612">
        <f>HYPERLINK("https://www.philgeps.gov.ph/GEPSNONPILOT/Tender/SplashBidNoticeAbstractUI.aspx?menuIndex=3&amp;refID=7188768&amp;Result=3","7188768")</f>
        <v>0</v>
      </c>
      <c r="B8612" t="s">
        <v>2274</v>
      </c>
      <c r="C8612" t="s">
        <v>11962</v>
      </c>
      <c r="D8612" t="s">
        <v>19028</v>
      </c>
      <c r="E8612" t="s">
        <v>26468</v>
      </c>
      <c r="F8612" t="s">
        <v>32606</v>
      </c>
      <c r="G8612" t="s">
        <v>32613</v>
      </c>
      <c r="H8612" t="s">
        <v>14201</v>
      </c>
      <c r="I8612" t="s">
        <v>6298</v>
      </c>
      <c r="J8612" t="s">
        <v>35368</v>
      </c>
      <c r="K8612" t="s">
        <v>42623</v>
      </c>
      <c r="M8612" t="s">
        <v>45873</v>
      </c>
      <c r="N8612" t="s">
        <v>47304</v>
      </c>
      <c r="O8612" t="s">
        <v>47305</v>
      </c>
      <c r="P8612">
        <v>0</v>
      </c>
      <c r="Q8612">
        <v>9</v>
      </c>
      <c r="R8612" t="s">
        <v>47312</v>
      </c>
      <c r="S8612" t="s">
        <v>47489</v>
      </c>
      <c r="T8612" t="s">
        <v>49351</v>
      </c>
      <c r="U8612" t="s">
        <v>56653</v>
      </c>
      <c r="W8612" t="s">
        <v>45873</v>
      </c>
      <c r="X8612" t="s">
        <v>47313</v>
      </c>
    </row>
    <row r="8613" spans="1:24">
      <c r="A8613">
        <f>HYPERLINK("https://www.philgeps.gov.ph/GEPSNONPILOT/Tender/SplashBidNoticeAbstractUI.aspx?menuIndex=3&amp;refID=7188800&amp;Result=3","7188800")</f>
        <v>0</v>
      </c>
      <c r="B8613" t="s">
        <v>2728</v>
      </c>
      <c r="C8613" t="s">
        <v>11963</v>
      </c>
      <c r="D8613" t="s">
        <v>19003</v>
      </c>
      <c r="E8613" t="s">
        <v>25204</v>
      </c>
      <c r="F8613" t="s">
        <v>32606</v>
      </c>
      <c r="G8613" t="s">
        <v>32613</v>
      </c>
      <c r="H8613" t="s">
        <v>14201</v>
      </c>
      <c r="I8613" t="s">
        <v>32640</v>
      </c>
      <c r="J8613" t="s">
        <v>32975</v>
      </c>
      <c r="K8613" t="s">
        <v>42622</v>
      </c>
      <c r="M8613" t="s">
        <v>45883</v>
      </c>
      <c r="N8613" t="s">
        <v>47304</v>
      </c>
      <c r="O8613" t="s">
        <v>47305</v>
      </c>
      <c r="P8613">
        <v>0</v>
      </c>
      <c r="Q8613">
        <v>2</v>
      </c>
      <c r="R8613" t="s">
        <v>47312</v>
      </c>
      <c r="S8613" t="s">
        <v>47489</v>
      </c>
      <c r="T8613" t="s">
        <v>49256</v>
      </c>
      <c r="U8613" t="s">
        <v>56654</v>
      </c>
      <c r="V8613" t="s">
        <v>63554</v>
      </c>
      <c r="W8613" t="s">
        <v>45883</v>
      </c>
      <c r="X8613" t="s">
        <v>47313</v>
      </c>
    </row>
    <row r="8614" spans="1:24">
      <c r="A8614">
        <f>HYPERLINK("https://www.philgeps.gov.ph/GEPSNONPILOT/Tender/SplashBidNoticeAbstractUI.aspx?menuIndex=3&amp;refID=7188797&amp;Result=3","7188797")</f>
        <v>0</v>
      </c>
      <c r="B8614" t="s">
        <v>406</v>
      </c>
      <c r="C8614" t="s">
        <v>11964</v>
      </c>
      <c r="D8614" t="s">
        <v>19057</v>
      </c>
      <c r="E8614" t="s">
        <v>11964</v>
      </c>
      <c r="F8614" t="s">
        <v>32606</v>
      </c>
      <c r="G8614" t="s">
        <v>32614</v>
      </c>
      <c r="H8614" t="s">
        <v>14201</v>
      </c>
      <c r="I8614" t="s">
        <v>7529</v>
      </c>
      <c r="J8614" t="s">
        <v>35570</v>
      </c>
      <c r="K8614" t="s">
        <v>42623</v>
      </c>
      <c r="M8614" t="s">
        <v>43310</v>
      </c>
      <c r="N8614" t="s">
        <v>47304</v>
      </c>
      <c r="O8614" t="s">
        <v>47305</v>
      </c>
      <c r="P8614">
        <v>0</v>
      </c>
      <c r="Q8614">
        <v>2</v>
      </c>
      <c r="R8614" t="s">
        <v>47312</v>
      </c>
      <c r="S8614" t="s">
        <v>47489</v>
      </c>
      <c r="T8614" t="s">
        <v>49165</v>
      </c>
      <c r="U8614" t="s">
        <v>56655</v>
      </c>
      <c r="W8614" t="s">
        <v>43310</v>
      </c>
      <c r="X8614" t="s">
        <v>47313</v>
      </c>
    </row>
    <row r="8615" spans="1:24">
      <c r="A8615">
        <f>HYPERLINK("https://www.philgeps.gov.ph/GEPSNONPILOT/Tender/SplashBidNoticeAbstractUI.aspx?menuIndex=3&amp;refID=7188788&amp;Result=3","7188788")</f>
        <v>0</v>
      </c>
      <c r="B8615" t="s">
        <v>2729</v>
      </c>
      <c r="C8615" t="s">
        <v>11965</v>
      </c>
      <c r="D8615" t="s">
        <v>19024</v>
      </c>
      <c r="E8615" t="s">
        <v>23162</v>
      </c>
      <c r="F8615" t="s">
        <v>32606</v>
      </c>
      <c r="G8615" t="s">
        <v>32613</v>
      </c>
      <c r="H8615" t="s">
        <v>32623</v>
      </c>
      <c r="I8615" t="s">
        <v>17648</v>
      </c>
      <c r="J8615" t="s">
        <v>32789</v>
      </c>
      <c r="K8615" t="s">
        <v>42630</v>
      </c>
      <c r="M8615" t="s">
        <v>45884</v>
      </c>
      <c r="N8615" t="s">
        <v>47304</v>
      </c>
      <c r="O8615" t="s">
        <v>47305</v>
      </c>
      <c r="P8615">
        <v>0</v>
      </c>
      <c r="Q8615">
        <v>0</v>
      </c>
      <c r="R8615" t="s">
        <v>47312</v>
      </c>
      <c r="S8615" t="s">
        <v>47489</v>
      </c>
      <c r="T8615" t="s">
        <v>48998</v>
      </c>
      <c r="U8615" t="s">
        <v>56656</v>
      </c>
      <c r="W8615" t="s">
        <v>45884</v>
      </c>
      <c r="X8615" t="s">
        <v>47313</v>
      </c>
    </row>
    <row r="8616" spans="1:24">
      <c r="A8616">
        <f>HYPERLINK("https://www.philgeps.gov.ph/GEPSNONPILOT/Tender/SplashBidNoticeAbstractUI.aspx?menuIndex=3&amp;refID=7188732&amp;Result=3","7188732")</f>
        <v>0</v>
      </c>
      <c r="B8616" t="s">
        <v>640</v>
      </c>
      <c r="C8616" t="s">
        <v>11966</v>
      </c>
      <c r="D8616" t="s">
        <v>19066</v>
      </c>
      <c r="E8616" t="s">
        <v>26469</v>
      </c>
      <c r="F8616" t="s">
        <v>32606</v>
      </c>
      <c r="G8616" t="s">
        <v>32613</v>
      </c>
      <c r="H8616" t="s">
        <v>14201</v>
      </c>
      <c r="I8616" t="s">
        <v>32662</v>
      </c>
      <c r="J8616" t="s">
        <v>32795</v>
      </c>
      <c r="K8616" t="s">
        <v>42631</v>
      </c>
      <c r="M8616" t="s">
        <v>43558</v>
      </c>
      <c r="N8616" t="s">
        <v>47304</v>
      </c>
      <c r="O8616" t="s">
        <v>47305</v>
      </c>
      <c r="P8616">
        <v>0</v>
      </c>
      <c r="Q8616">
        <v>9</v>
      </c>
      <c r="R8616" t="s">
        <v>47312</v>
      </c>
      <c r="S8616" t="s">
        <v>47489</v>
      </c>
      <c r="T8616" t="s">
        <v>49157</v>
      </c>
      <c r="U8616" t="s">
        <v>56657</v>
      </c>
      <c r="W8616" t="s">
        <v>43558</v>
      </c>
      <c r="X8616" t="s">
        <v>47313</v>
      </c>
    </row>
    <row r="8617" spans="1:24">
      <c r="A8617">
        <f>HYPERLINK("https://www.philgeps.gov.ph/GEPSNONPILOT/Tender/SplashBidNoticeAbstractUI.aspx?menuIndex=3&amp;refID=7188793&amp;Result=3","7188793")</f>
        <v>0</v>
      </c>
      <c r="B8617" t="s">
        <v>786</v>
      </c>
      <c r="C8617" t="s">
        <v>11967</v>
      </c>
      <c r="D8617" t="s">
        <v>19046</v>
      </c>
      <c r="E8617" t="s">
        <v>26470</v>
      </c>
      <c r="F8617" t="s">
        <v>32606</v>
      </c>
      <c r="G8617" t="s">
        <v>32613</v>
      </c>
      <c r="H8617" t="s">
        <v>32623</v>
      </c>
      <c r="I8617" t="s">
        <v>17648</v>
      </c>
      <c r="J8617" t="s">
        <v>38114</v>
      </c>
      <c r="K8617" t="s">
        <v>42676</v>
      </c>
      <c r="M8617" t="s">
        <v>45885</v>
      </c>
      <c r="N8617" t="s">
        <v>47304</v>
      </c>
      <c r="O8617" t="s">
        <v>47305</v>
      </c>
      <c r="P8617">
        <v>0</v>
      </c>
      <c r="Q8617">
        <v>1</v>
      </c>
      <c r="R8617" t="s">
        <v>47312</v>
      </c>
      <c r="S8617" t="s">
        <v>47489</v>
      </c>
      <c r="T8617" t="s">
        <v>49075</v>
      </c>
      <c r="U8617" t="s">
        <v>56658</v>
      </c>
      <c r="W8617" t="s">
        <v>45885</v>
      </c>
      <c r="X8617" t="s">
        <v>47313</v>
      </c>
    </row>
    <row r="8618" spans="1:24">
      <c r="A8618">
        <f>HYPERLINK("https://www.philgeps.gov.ph/GEPSNONPILOT/Tender/SplashBidNoticeAbstractUI.aspx?menuIndex=3&amp;refID=7188813&amp;Result=3","7188813")</f>
        <v>0</v>
      </c>
      <c r="B8618" t="s">
        <v>2730</v>
      </c>
      <c r="C8618" t="s">
        <v>11968</v>
      </c>
      <c r="D8618" t="s">
        <v>19040</v>
      </c>
      <c r="E8618" t="s">
        <v>26471</v>
      </c>
      <c r="F8618" t="s">
        <v>32606</v>
      </c>
      <c r="G8618" t="s">
        <v>32613</v>
      </c>
      <c r="H8618" t="s">
        <v>32623</v>
      </c>
      <c r="I8618" t="s">
        <v>17648</v>
      </c>
      <c r="J8618" t="s">
        <v>38115</v>
      </c>
      <c r="K8618" t="s">
        <v>42624</v>
      </c>
      <c r="M8618" t="s">
        <v>45886</v>
      </c>
      <c r="N8618" t="s">
        <v>47304</v>
      </c>
      <c r="O8618" t="s">
        <v>47305</v>
      </c>
      <c r="P8618">
        <v>0</v>
      </c>
      <c r="Q8618">
        <v>0</v>
      </c>
      <c r="R8618" t="s">
        <v>47312</v>
      </c>
      <c r="S8618" t="s">
        <v>47489</v>
      </c>
      <c r="T8618" t="s">
        <v>48971</v>
      </c>
      <c r="U8618" t="s">
        <v>56659</v>
      </c>
      <c r="W8618" t="s">
        <v>45886</v>
      </c>
      <c r="X8618" t="s">
        <v>47313</v>
      </c>
    </row>
    <row r="8619" spans="1:24">
      <c r="A8619">
        <f>HYPERLINK("https://www.philgeps.gov.ph/GEPSNONPILOT/Tender/SplashBidNoticeAbstractUI.aspx?menuIndex=3&amp;refID=7188743&amp;Result=3","7188743")</f>
        <v>0</v>
      </c>
      <c r="B8619" t="s">
        <v>2708</v>
      </c>
      <c r="C8619" t="s">
        <v>11969</v>
      </c>
      <c r="D8619" t="s">
        <v>19058</v>
      </c>
      <c r="E8619" t="s">
        <v>26472</v>
      </c>
      <c r="F8619" t="s">
        <v>32606</v>
      </c>
      <c r="G8619" t="s">
        <v>32613</v>
      </c>
      <c r="H8619" t="s">
        <v>32623</v>
      </c>
      <c r="I8619" t="s">
        <v>17648</v>
      </c>
      <c r="J8619" t="s">
        <v>38116</v>
      </c>
      <c r="K8619" t="s">
        <v>42697</v>
      </c>
      <c r="M8619" t="s">
        <v>45861</v>
      </c>
      <c r="N8619" t="s">
        <v>47304</v>
      </c>
      <c r="O8619" t="s">
        <v>47305</v>
      </c>
      <c r="P8619">
        <v>0</v>
      </c>
      <c r="Q8619">
        <v>0</v>
      </c>
      <c r="R8619" t="s">
        <v>47312</v>
      </c>
      <c r="S8619" t="s">
        <v>47489</v>
      </c>
      <c r="T8619" t="s">
        <v>49364</v>
      </c>
      <c r="U8619" t="s">
        <v>56608</v>
      </c>
      <c r="W8619" t="s">
        <v>45861</v>
      </c>
      <c r="X8619" t="s">
        <v>47313</v>
      </c>
    </row>
    <row r="8620" spans="1:24">
      <c r="A8620">
        <f>HYPERLINK("https://www.philgeps.gov.ph/GEPSNONPILOT/Tender/SplashBidNoticeAbstractUI.aspx?menuIndex=3&amp;refID=7188825&amp;Result=3","7188825")</f>
        <v>0</v>
      </c>
      <c r="B8620" t="s">
        <v>2023</v>
      </c>
      <c r="C8620" t="s">
        <v>11970</v>
      </c>
      <c r="D8620" t="s">
        <v>19000</v>
      </c>
      <c r="E8620" t="s">
        <v>26473</v>
      </c>
      <c r="F8620" t="s">
        <v>32606</v>
      </c>
      <c r="G8620" t="s">
        <v>32613</v>
      </c>
      <c r="H8620" t="s">
        <v>14201</v>
      </c>
      <c r="I8620" t="s">
        <v>4120</v>
      </c>
      <c r="J8620" t="s">
        <v>38117</v>
      </c>
      <c r="K8620" t="s">
        <v>42624</v>
      </c>
      <c r="M8620" t="s">
        <v>45097</v>
      </c>
      <c r="N8620" t="s">
        <v>47304</v>
      </c>
      <c r="O8620" t="s">
        <v>47305</v>
      </c>
      <c r="P8620">
        <v>0</v>
      </c>
      <c r="Q8620">
        <v>6</v>
      </c>
      <c r="R8620" t="s">
        <v>47312</v>
      </c>
      <c r="S8620" t="s">
        <v>47489</v>
      </c>
      <c r="T8620" t="s">
        <v>49037</v>
      </c>
      <c r="U8620" t="s">
        <v>56660</v>
      </c>
      <c r="W8620" t="s">
        <v>45097</v>
      </c>
      <c r="X8620" t="s">
        <v>47313</v>
      </c>
    </row>
    <row r="8621" spans="1:24">
      <c r="A8621">
        <f>HYPERLINK("https://www.philgeps.gov.ph/GEPSNONPILOT/Tender/SplashBidNoticeAbstractUI.aspx?menuIndex=3&amp;refID=7188857&amp;Result=3","7188857")</f>
        <v>0</v>
      </c>
      <c r="B8621" t="s">
        <v>2731</v>
      </c>
      <c r="C8621" t="s">
        <v>11971</v>
      </c>
      <c r="D8621" t="s">
        <v>18991</v>
      </c>
      <c r="E8621" t="s">
        <v>26015</v>
      </c>
      <c r="F8621" t="s">
        <v>32606</v>
      </c>
      <c r="G8621" t="s">
        <v>32613</v>
      </c>
      <c r="H8621" t="s">
        <v>14201</v>
      </c>
      <c r="I8621" t="s">
        <v>6931</v>
      </c>
      <c r="J8621" t="s">
        <v>38118</v>
      </c>
      <c r="K8621" t="s">
        <v>42623</v>
      </c>
      <c r="M8621" t="s">
        <v>45887</v>
      </c>
      <c r="N8621" t="s">
        <v>47304</v>
      </c>
      <c r="O8621" t="s">
        <v>47305</v>
      </c>
      <c r="P8621">
        <v>0</v>
      </c>
      <c r="Q8621">
        <v>0</v>
      </c>
      <c r="R8621" t="s">
        <v>47312</v>
      </c>
      <c r="S8621" t="s">
        <v>47489</v>
      </c>
      <c r="T8621" t="s">
        <v>49052</v>
      </c>
      <c r="U8621" t="s">
        <v>56661</v>
      </c>
      <c r="W8621" t="s">
        <v>45887</v>
      </c>
      <c r="X8621" t="s">
        <v>47313</v>
      </c>
    </row>
    <row r="8622" spans="1:24">
      <c r="A8622">
        <f>HYPERLINK("https://www.philgeps.gov.ph/GEPSNONPILOT/Tender/SplashBidNoticeAbstractUI.aspx?menuIndex=3&amp;refID=7188851&amp;Result=3","7188851")</f>
        <v>0</v>
      </c>
      <c r="B8622" t="s">
        <v>713</v>
      </c>
      <c r="C8622" t="s">
        <v>11972</v>
      </c>
      <c r="D8622" t="s">
        <v>19040</v>
      </c>
      <c r="E8622" t="s">
        <v>26474</v>
      </c>
      <c r="F8622" t="s">
        <v>32606</v>
      </c>
      <c r="G8622" t="s">
        <v>32614</v>
      </c>
      <c r="H8622" t="s">
        <v>14201</v>
      </c>
      <c r="I8622" t="s">
        <v>32678</v>
      </c>
      <c r="J8622" t="s">
        <v>33897</v>
      </c>
      <c r="K8622" t="s">
        <v>42622</v>
      </c>
      <c r="M8622" t="s">
        <v>43634</v>
      </c>
      <c r="N8622" t="s">
        <v>47304</v>
      </c>
      <c r="O8622" t="s">
        <v>47305</v>
      </c>
      <c r="Q8622">
        <v>1</v>
      </c>
      <c r="R8622" t="s">
        <v>47312</v>
      </c>
      <c r="S8622" t="s">
        <v>47513</v>
      </c>
      <c r="T8622" t="s">
        <v>48980</v>
      </c>
      <c r="U8622" t="s">
        <v>56662</v>
      </c>
      <c r="W8622" t="s">
        <v>43634</v>
      </c>
      <c r="X8622" t="s">
        <v>47313</v>
      </c>
    </row>
    <row r="8623" spans="1:24">
      <c r="A8623">
        <f>HYPERLINK("https://www.philgeps.gov.ph/GEPSNONPILOT/Tender/SplashBidNoticeAbstractUI.aspx?menuIndex=3&amp;refID=7188844&amp;Result=3","7188844")</f>
        <v>0</v>
      </c>
      <c r="B8623" t="s">
        <v>2730</v>
      </c>
      <c r="C8623" t="s">
        <v>11973</v>
      </c>
      <c r="D8623" t="s">
        <v>19040</v>
      </c>
      <c r="E8623" t="s">
        <v>26475</v>
      </c>
      <c r="F8623" t="s">
        <v>32606</v>
      </c>
      <c r="G8623" t="s">
        <v>32613</v>
      </c>
      <c r="H8623" t="s">
        <v>32623</v>
      </c>
      <c r="I8623" t="s">
        <v>17648</v>
      </c>
      <c r="J8623" t="s">
        <v>32767</v>
      </c>
      <c r="K8623" t="s">
        <v>42624</v>
      </c>
      <c r="M8623" t="s">
        <v>45886</v>
      </c>
      <c r="N8623" t="s">
        <v>47304</v>
      </c>
      <c r="O8623" t="s">
        <v>47305</v>
      </c>
      <c r="P8623">
        <v>0</v>
      </c>
      <c r="Q8623">
        <v>0</v>
      </c>
      <c r="R8623" t="s">
        <v>47312</v>
      </c>
      <c r="S8623" t="s">
        <v>47489</v>
      </c>
      <c r="T8623" t="s">
        <v>49157</v>
      </c>
      <c r="U8623" t="s">
        <v>56663</v>
      </c>
      <c r="W8623" t="s">
        <v>45886</v>
      </c>
      <c r="X8623" t="s">
        <v>47313</v>
      </c>
    </row>
    <row r="8624" spans="1:24">
      <c r="A8624">
        <f>HYPERLINK("https://www.philgeps.gov.ph/GEPSNONPILOT/Tender/SplashBidNoticeAbstractUI.aspx?menuIndex=3&amp;refID=7188839&amp;Result=3","7188839")</f>
        <v>0</v>
      </c>
      <c r="B8624" t="s">
        <v>2713</v>
      </c>
      <c r="C8624" t="s">
        <v>11974</v>
      </c>
      <c r="D8624" t="s">
        <v>19002</v>
      </c>
      <c r="E8624" t="s">
        <v>22141</v>
      </c>
      <c r="F8624" t="s">
        <v>32606</v>
      </c>
      <c r="G8624" t="s">
        <v>32614</v>
      </c>
      <c r="H8624" t="s">
        <v>14201</v>
      </c>
      <c r="I8624" t="s">
        <v>32650</v>
      </c>
      <c r="J8624" t="s">
        <v>38119</v>
      </c>
      <c r="K8624" t="s">
        <v>42623</v>
      </c>
      <c r="M8624" t="s">
        <v>45867</v>
      </c>
      <c r="N8624" t="s">
        <v>47304</v>
      </c>
      <c r="O8624" t="s">
        <v>47305</v>
      </c>
      <c r="P8624">
        <v>0</v>
      </c>
      <c r="Q8624">
        <v>2</v>
      </c>
      <c r="R8624" t="s">
        <v>47312</v>
      </c>
      <c r="S8624" t="s">
        <v>47489</v>
      </c>
      <c r="T8624" t="s">
        <v>49072</v>
      </c>
      <c r="U8624" t="s">
        <v>56664</v>
      </c>
      <c r="W8624" t="s">
        <v>45867</v>
      </c>
      <c r="X8624" t="s">
        <v>47313</v>
      </c>
    </row>
    <row r="8625" spans="1:24">
      <c r="A8625">
        <f>HYPERLINK("https://www.philgeps.gov.ph/GEPSNONPILOT/Tender/SplashBidNoticeAbstractUI.aspx?menuIndex=3&amp;refID=7188762&amp;Result=3","7188762")</f>
        <v>0</v>
      </c>
      <c r="B8625" t="s">
        <v>2732</v>
      </c>
      <c r="C8625" t="s">
        <v>11975</v>
      </c>
      <c r="D8625" t="s">
        <v>19042</v>
      </c>
      <c r="E8625" t="s">
        <v>26476</v>
      </c>
      <c r="F8625" t="s">
        <v>32606</v>
      </c>
      <c r="G8625" t="s">
        <v>32613</v>
      </c>
      <c r="H8625" t="s">
        <v>32623</v>
      </c>
      <c r="I8625" t="s">
        <v>17648</v>
      </c>
      <c r="J8625" t="s">
        <v>38120</v>
      </c>
      <c r="K8625" t="s">
        <v>42636</v>
      </c>
      <c r="M8625" t="s">
        <v>45888</v>
      </c>
      <c r="N8625" t="s">
        <v>47304</v>
      </c>
      <c r="O8625" t="s">
        <v>47305</v>
      </c>
      <c r="P8625">
        <v>0</v>
      </c>
      <c r="Q8625">
        <v>1</v>
      </c>
      <c r="R8625" t="s">
        <v>47312</v>
      </c>
      <c r="S8625" t="s">
        <v>47489</v>
      </c>
      <c r="T8625" t="s">
        <v>48987</v>
      </c>
      <c r="U8625" t="s">
        <v>56665</v>
      </c>
      <c r="V8625" t="s">
        <v>63555</v>
      </c>
      <c r="W8625" t="s">
        <v>45888</v>
      </c>
      <c r="X8625" t="s">
        <v>47313</v>
      </c>
    </row>
    <row r="8626" spans="1:24">
      <c r="A8626">
        <f>HYPERLINK("https://www.philgeps.gov.ph/GEPSNONPILOT/Tender/SplashBidNoticeAbstractUI.aspx?menuIndex=3&amp;refID=7188838&amp;Result=3","7188838")</f>
        <v>0</v>
      </c>
      <c r="B8626" t="s">
        <v>534</v>
      </c>
      <c r="C8626" t="s">
        <v>11976</v>
      </c>
      <c r="D8626" t="s">
        <v>19006</v>
      </c>
      <c r="E8626" t="s">
        <v>26477</v>
      </c>
      <c r="F8626" t="s">
        <v>32606</v>
      </c>
      <c r="G8626" t="s">
        <v>32614</v>
      </c>
      <c r="H8626" t="s">
        <v>14201</v>
      </c>
      <c r="I8626" t="s">
        <v>4112</v>
      </c>
      <c r="J8626" t="s">
        <v>34000</v>
      </c>
      <c r="K8626" t="s">
        <v>42622</v>
      </c>
      <c r="M8626" t="s">
        <v>43447</v>
      </c>
      <c r="N8626" t="s">
        <v>47304</v>
      </c>
      <c r="O8626" t="s">
        <v>47305</v>
      </c>
      <c r="Q8626">
        <v>0</v>
      </c>
      <c r="R8626" t="s">
        <v>47312</v>
      </c>
      <c r="S8626" t="s">
        <v>47514</v>
      </c>
      <c r="T8626" t="s">
        <v>49373</v>
      </c>
      <c r="U8626" t="s">
        <v>56666</v>
      </c>
      <c r="W8626" t="s">
        <v>43447</v>
      </c>
      <c r="X8626" t="s">
        <v>47313</v>
      </c>
    </row>
    <row r="8627" spans="1:24">
      <c r="A8627">
        <f>HYPERLINK("https://www.philgeps.gov.ph/GEPSNONPILOT/Tender/SplashBidNoticeAbstractUI.aspx?menuIndex=3&amp;refID=7188837&amp;Result=3","7188837")</f>
        <v>0</v>
      </c>
      <c r="B8627" t="s">
        <v>726</v>
      </c>
      <c r="C8627" t="s">
        <v>11977</v>
      </c>
      <c r="D8627" t="s">
        <v>19009</v>
      </c>
      <c r="E8627" t="s">
        <v>26478</v>
      </c>
      <c r="F8627" t="s">
        <v>32606</v>
      </c>
      <c r="G8627" t="s">
        <v>32614</v>
      </c>
      <c r="H8627" t="s">
        <v>14201</v>
      </c>
      <c r="I8627" t="s">
        <v>4678</v>
      </c>
      <c r="J8627" t="s">
        <v>32765</v>
      </c>
      <c r="K8627" t="s">
        <v>42623</v>
      </c>
      <c r="M8627" t="s">
        <v>45264</v>
      </c>
      <c r="N8627" t="s">
        <v>47304</v>
      </c>
      <c r="O8627" t="s">
        <v>47305</v>
      </c>
      <c r="P8627">
        <v>0</v>
      </c>
      <c r="Q8627">
        <v>3</v>
      </c>
      <c r="R8627" t="s">
        <v>47312</v>
      </c>
      <c r="S8627" t="s">
        <v>47489</v>
      </c>
      <c r="T8627" t="s">
        <v>49339</v>
      </c>
      <c r="U8627" t="s">
        <v>56667</v>
      </c>
      <c r="V8627" t="s">
        <v>62814</v>
      </c>
      <c r="W8627" t="s">
        <v>45264</v>
      </c>
      <c r="X8627" t="s">
        <v>47313</v>
      </c>
    </row>
    <row r="8628" spans="1:24">
      <c r="A8628">
        <f>HYPERLINK("https://www.philgeps.gov.ph/GEPSNONPILOT/Tender/SplashBidNoticeAbstractUI.aspx?menuIndex=3&amp;refID=7188836&amp;Result=3","7188836")</f>
        <v>0</v>
      </c>
      <c r="B8628" t="s">
        <v>2733</v>
      </c>
      <c r="C8628" t="s">
        <v>11978</v>
      </c>
      <c r="D8628" t="s">
        <v>19061</v>
      </c>
      <c r="E8628" t="s">
        <v>26479</v>
      </c>
      <c r="F8628" t="s">
        <v>32606</v>
      </c>
      <c r="G8628" t="s">
        <v>32619</v>
      </c>
      <c r="H8628" t="s">
        <v>14201</v>
      </c>
      <c r="I8628" t="s">
        <v>4120</v>
      </c>
      <c r="J8628" t="s">
        <v>38121</v>
      </c>
      <c r="K8628" t="s">
        <v>42624</v>
      </c>
      <c r="M8628" t="s">
        <v>45889</v>
      </c>
      <c r="N8628" t="s">
        <v>47304</v>
      </c>
      <c r="O8628" t="s">
        <v>47305</v>
      </c>
      <c r="P8628">
        <v>0</v>
      </c>
      <c r="Q8628">
        <v>1</v>
      </c>
      <c r="R8628" t="s">
        <v>47312</v>
      </c>
      <c r="S8628" t="s">
        <v>47489</v>
      </c>
      <c r="T8628" t="s">
        <v>48998</v>
      </c>
      <c r="U8628" t="s">
        <v>56668</v>
      </c>
      <c r="V8628" t="s">
        <v>63556</v>
      </c>
      <c r="W8628" t="s">
        <v>64513</v>
      </c>
      <c r="X8628" t="s">
        <v>47313</v>
      </c>
    </row>
    <row r="8629" spans="1:24">
      <c r="A8629">
        <f>HYPERLINK("https://www.philgeps.gov.ph/GEPSNONPILOT/Tender/SplashBidNoticeAbstractUI.aspx?menuIndex=3&amp;refID=7188831&amp;Result=3","7188831")</f>
        <v>0</v>
      </c>
      <c r="B8629" t="s">
        <v>2734</v>
      </c>
      <c r="C8629" t="s">
        <v>11979</v>
      </c>
      <c r="E8629" t="s">
        <v>26480</v>
      </c>
      <c r="F8629" t="s">
        <v>32606</v>
      </c>
      <c r="G8629" t="s">
        <v>32613</v>
      </c>
      <c r="H8629" t="s">
        <v>14201</v>
      </c>
      <c r="I8629" t="s">
        <v>17648</v>
      </c>
      <c r="J8629" t="s">
        <v>33039</v>
      </c>
      <c r="K8629" t="s">
        <v>42624</v>
      </c>
      <c r="M8629" t="s">
        <v>45890</v>
      </c>
      <c r="N8629" t="s">
        <v>47304</v>
      </c>
      <c r="O8629" t="s">
        <v>47305</v>
      </c>
      <c r="P8629">
        <v>0</v>
      </c>
      <c r="Q8629">
        <v>7</v>
      </c>
      <c r="R8629" t="s">
        <v>47312</v>
      </c>
      <c r="S8629" t="s">
        <v>47489</v>
      </c>
      <c r="T8629" t="s">
        <v>49094</v>
      </c>
      <c r="U8629" t="s">
        <v>56669</v>
      </c>
      <c r="W8629" t="s">
        <v>45890</v>
      </c>
      <c r="X8629" t="s">
        <v>47313</v>
      </c>
    </row>
    <row r="8630" spans="1:24">
      <c r="A8630">
        <f>HYPERLINK("https://www.philgeps.gov.ph/GEPSNONPILOT/Tender/SplashBidNoticeAbstractUI.aspx?menuIndex=3&amp;refID=7188870&amp;Result=3","7188870")</f>
        <v>0</v>
      </c>
      <c r="B8630" t="s">
        <v>762</v>
      </c>
      <c r="C8630" t="s">
        <v>11980</v>
      </c>
      <c r="D8630" t="s">
        <v>18989</v>
      </c>
      <c r="E8630" t="s">
        <v>26481</v>
      </c>
      <c r="F8630" t="s">
        <v>32606</v>
      </c>
      <c r="G8630" t="s">
        <v>32614</v>
      </c>
      <c r="H8630" t="s">
        <v>14201</v>
      </c>
      <c r="I8630" t="s">
        <v>32681</v>
      </c>
      <c r="J8630" t="s">
        <v>32752</v>
      </c>
      <c r="K8630" t="s">
        <v>42624</v>
      </c>
      <c r="M8630" t="s">
        <v>43686</v>
      </c>
      <c r="N8630" t="s">
        <v>47304</v>
      </c>
      <c r="O8630" t="s">
        <v>47305</v>
      </c>
      <c r="P8630">
        <v>0</v>
      </c>
      <c r="Q8630">
        <v>9</v>
      </c>
      <c r="R8630" t="s">
        <v>47312</v>
      </c>
      <c r="S8630" t="s">
        <v>47489</v>
      </c>
      <c r="T8630" t="s">
        <v>49068</v>
      </c>
      <c r="U8630" t="s">
        <v>56670</v>
      </c>
      <c r="W8630" t="s">
        <v>43686</v>
      </c>
      <c r="X8630" t="s">
        <v>47313</v>
      </c>
    </row>
    <row r="8631" spans="1:24">
      <c r="A8631">
        <f>HYPERLINK("https://www.philgeps.gov.ph/GEPSNONPILOT/Tender/SplashBidNoticeAbstractUI.aspx?menuIndex=3&amp;refID=7188826&amp;Result=3","7188826")</f>
        <v>0</v>
      </c>
      <c r="B8631" t="s">
        <v>2732</v>
      </c>
      <c r="C8631" t="s">
        <v>11981</v>
      </c>
      <c r="D8631" t="s">
        <v>19042</v>
      </c>
      <c r="E8631" t="s">
        <v>26482</v>
      </c>
      <c r="F8631" t="s">
        <v>32606</v>
      </c>
      <c r="G8631" t="s">
        <v>32613</v>
      </c>
      <c r="H8631" t="s">
        <v>32623</v>
      </c>
      <c r="I8631" t="s">
        <v>17648</v>
      </c>
      <c r="J8631" t="s">
        <v>32833</v>
      </c>
      <c r="K8631" t="s">
        <v>42636</v>
      </c>
      <c r="M8631" t="s">
        <v>45888</v>
      </c>
      <c r="N8631" t="s">
        <v>47304</v>
      </c>
      <c r="O8631" t="s">
        <v>47305</v>
      </c>
      <c r="P8631">
        <v>0</v>
      </c>
      <c r="Q8631">
        <v>0</v>
      </c>
      <c r="R8631" t="s">
        <v>47312</v>
      </c>
      <c r="S8631" t="s">
        <v>47489</v>
      </c>
      <c r="T8631" t="s">
        <v>48987</v>
      </c>
      <c r="U8631" t="s">
        <v>56671</v>
      </c>
      <c r="V8631" t="s">
        <v>63555</v>
      </c>
      <c r="W8631" t="s">
        <v>45888</v>
      </c>
      <c r="X8631" t="s">
        <v>47313</v>
      </c>
    </row>
    <row r="8632" spans="1:24">
      <c r="A8632">
        <f>HYPERLINK("https://www.philgeps.gov.ph/GEPSNONPILOT/Tender/SplashBidNoticeAbstractUI.aspx?menuIndex=3&amp;refID=7188868&amp;Result=3","7188868")</f>
        <v>0</v>
      </c>
      <c r="B8632" t="s">
        <v>2735</v>
      </c>
      <c r="C8632" t="s">
        <v>11982</v>
      </c>
      <c r="D8632" t="s">
        <v>19044</v>
      </c>
      <c r="E8632" t="s">
        <v>26483</v>
      </c>
      <c r="F8632" t="s">
        <v>32606</v>
      </c>
      <c r="G8632" t="s">
        <v>32619</v>
      </c>
      <c r="H8632" t="s">
        <v>14201</v>
      </c>
      <c r="I8632" t="s">
        <v>32636</v>
      </c>
      <c r="J8632" t="s">
        <v>32874</v>
      </c>
      <c r="K8632" t="s">
        <v>42622</v>
      </c>
      <c r="M8632" t="s">
        <v>45891</v>
      </c>
      <c r="N8632" t="s">
        <v>47304</v>
      </c>
      <c r="O8632" t="s">
        <v>47305</v>
      </c>
      <c r="P8632">
        <v>0</v>
      </c>
      <c r="Q8632">
        <v>2</v>
      </c>
      <c r="R8632" t="s">
        <v>47312</v>
      </c>
      <c r="S8632" t="s">
        <v>47489</v>
      </c>
      <c r="T8632" t="s">
        <v>49020</v>
      </c>
      <c r="U8632" t="s">
        <v>56672</v>
      </c>
      <c r="V8632" t="s">
        <v>63557</v>
      </c>
      <c r="W8632" t="s">
        <v>45891</v>
      </c>
      <c r="X8632" t="s">
        <v>47313</v>
      </c>
    </row>
    <row r="8633" spans="1:24">
      <c r="A8633">
        <f>HYPERLINK("https://www.philgeps.gov.ph/GEPSNONPILOT/Tender/SplashBidNoticeAbstractUI.aspx?menuIndex=3&amp;refID=7188709&amp;Result=3","7188709")</f>
        <v>0</v>
      </c>
      <c r="B8633" t="s">
        <v>1245</v>
      </c>
      <c r="C8633" t="s">
        <v>11983</v>
      </c>
      <c r="D8633" t="s">
        <v>19039</v>
      </c>
      <c r="E8633" t="s">
        <v>26484</v>
      </c>
      <c r="F8633" t="s">
        <v>32606</v>
      </c>
      <c r="G8633" t="s">
        <v>32614</v>
      </c>
      <c r="H8633" t="s">
        <v>14201</v>
      </c>
      <c r="I8633" t="s">
        <v>4112</v>
      </c>
      <c r="J8633" t="s">
        <v>33113</v>
      </c>
      <c r="K8633" t="s">
        <v>42624</v>
      </c>
      <c r="M8633" t="s">
        <v>44211</v>
      </c>
      <c r="N8633" t="s">
        <v>47304</v>
      </c>
      <c r="O8633" t="s">
        <v>47305</v>
      </c>
      <c r="P8633">
        <v>0</v>
      </c>
      <c r="Q8633">
        <v>0</v>
      </c>
      <c r="R8633" t="s">
        <v>47312</v>
      </c>
      <c r="S8633" t="s">
        <v>47489</v>
      </c>
      <c r="T8633" t="s">
        <v>49268</v>
      </c>
      <c r="U8633" t="s">
        <v>52134</v>
      </c>
      <c r="W8633" t="s">
        <v>44211</v>
      </c>
      <c r="X8633" t="s">
        <v>47313</v>
      </c>
    </row>
    <row r="8634" spans="1:24">
      <c r="A8634">
        <f>HYPERLINK("https://www.philgeps.gov.ph/GEPSNONPILOT/Tender/SplashBidNoticeAbstractUI.aspx?menuIndex=3&amp;refID=7188864&amp;Result=3","7188864")</f>
        <v>0</v>
      </c>
      <c r="B8634" t="s">
        <v>845</v>
      </c>
      <c r="C8634" t="s">
        <v>11984</v>
      </c>
      <c r="D8634" t="s">
        <v>19030</v>
      </c>
      <c r="E8634" t="s">
        <v>26485</v>
      </c>
      <c r="F8634" t="s">
        <v>32606</v>
      </c>
      <c r="G8634" t="s">
        <v>32619</v>
      </c>
      <c r="H8634" t="s">
        <v>14201</v>
      </c>
      <c r="I8634" t="s">
        <v>4369</v>
      </c>
      <c r="J8634" t="s">
        <v>32999</v>
      </c>
      <c r="K8634" t="s">
        <v>42630</v>
      </c>
      <c r="M8634" t="s">
        <v>43777</v>
      </c>
      <c r="N8634" t="s">
        <v>47304</v>
      </c>
      <c r="O8634" t="s">
        <v>47305</v>
      </c>
      <c r="P8634">
        <v>0</v>
      </c>
      <c r="Q8634">
        <v>1</v>
      </c>
      <c r="R8634" t="s">
        <v>47312</v>
      </c>
      <c r="S8634" t="s">
        <v>47489</v>
      </c>
      <c r="T8634" t="s">
        <v>49050</v>
      </c>
      <c r="U8634" t="s">
        <v>56673</v>
      </c>
      <c r="W8634" t="s">
        <v>43777</v>
      </c>
      <c r="X8634" t="s">
        <v>47313</v>
      </c>
    </row>
    <row r="8635" spans="1:24">
      <c r="A8635">
        <f>HYPERLINK("https://www.philgeps.gov.ph/GEPSNONPILOT/Tender/SplashBidNoticeAbstractUI.aspx?menuIndex=3&amp;refID=7188860&amp;Result=3","7188860")</f>
        <v>0</v>
      </c>
      <c r="B8635" t="s">
        <v>2736</v>
      </c>
      <c r="C8635" t="s">
        <v>11985</v>
      </c>
      <c r="D8635" t="s">
        <v>19008</v>
      </c>
      <c r="E8635" t="s">
        <v>21066</v>
      </c>
      <c r="F8635" t="s">
        <v>32606</v>
      </c>
      <c r="G8635" t="s">
        <v>32614</v>
      </c>
      <c r="H8635" t="s">
        <v>14201</v>
      </c>
      <c r="I8635" t="s">
        <v>4114</v>
      </c>
      <c r="J8635" t="s">
        <v>38122</v>
      </c>
      <c r="K8635" t="s">
        <v>42639</v>
      </c>
      <c r="M8635" t="s">
        <v>45892</v>
      </c>
      <c r="N8635" t="s">
        <v>47304</v>
      </c>
      <c r="O8635" t="s">
        <v>47305</v>
      </c>
      <c r="P8635">
        <v>0</v>
      </c>
      <c r="Q8635">
        <v>15</v>
      </c>
      <c r="R8635" t="s">
        <v>47312</v>
      </c>
      <c r="S8635" t="s">
        <v>47489</v>
      </c>
      <c r="T8635" t="s">
        <v>49268</v>
      </c>
      <c r="U8635" t="s">
        <v>56674</v>
      </c>
      <c r="W8635" t="s">
        <v>45892</v>
      </c>
      <c r="X8635" t="s">
        <v>47313</v>
      </c>
    </row>
    <row r="8636" spans="1:24">
      <c r="A8636">
        <f>HYPERLINK("https://www.philgeps.gov.ph/GEPSNONPILOT/Tender/SplashBidNoticeAbstractUI.aspx?menuIndex=3&amp;refID=7188829&amp;Result=3","7188829")</f>
        <v>0</v>
      </c>
      <c r="B8636" t="s">
        <v>2018</v>
      </c>
      <c r="C8636" t="s">
        <v>11986</v>
      </c>
      <c r="D8636" t="s">
        <v>19002</v>
      </c>
      <c r="E8636" t="s">
        <v>26486</v>
      </c>
      <c r="F8636" t="s">
        <v>32606</v>
      </c>
      <c r="G8636" t="s">
        <v>32613</v>
      </c>
      <c r="H8636" t="s">
        <v>14201</v>
      </c>
      <c r="I8636" t="s">
        <v>32660</v>
      </c>
      <c r="J8636" t="s">
        <v>32923</v>
      </c>
      <c r="K8636" t="s">
        <v>42631</v>
      </c>
      <c r="M8636" t="s">
        <v>45091</v>
      </c>
      <c r="N8636" t="s">
        <v>47304</v>
      </c>
      <c r="O8636" t="s">
        <v>47305</v>
      </c>
      <c r="P8636">
        <v>0</v>
      </c>
      <c r="Q8636">
        <v>1</v>
      </c>
      <c r="R8636" t="s">
        <v>47312</v>
      </c>
      <c r="S8636" t="s">
        <v>47489</v>
      </c>
      <c r="T8636" t="s">
        <v>49396</v>
      </c>
      <c r="U8636" t="s">
        <v>50046</v>
      </c>
      <c r="V8636" t="s">
        <v>63558</v>
      </c>
      <c r="W8636" t="s">
        <v>45091</v>
      </c>
      <c r="X8636" t="s">
        <v>47313</v>
      </c>
    </row>
    <row r="8637" spans="1:24">
      <c r="A8637">
        <f>HYPERLINK("https://www.philgeps.gov.ph/GEPSNONPILOT/Tender/SplashBidNoticeAbstractUI.aspx?menuIndex=3&amp;refID=7188828&amp;Result=3","7188828")</f>
        <v>0</v>
      </c>
      <c r="B8637" t="s">
        <v>2737</v>
      </c>
      <c r="C8637" t="s">
        <v>11987</v>
      </c>
      <c r="D8637" t="s">
        <v>19023</v>
      </c>
      <c r="E8637" t="s">
        <v>19127</v>
      </c>
      <c r="F8637" t="s">
        <v>32606</v>
      </c>
      <c r="G8637" t="s">
        <v>32613</v>
      </c>
      <c r="H8637" t="s">
        <v>14201</v>
      </c>
      <c r="I8637" t="s">
        <v>6931</v>
      </c>
      <c r="J8637" t="s">
        <v>38123</v>
      </c>
      <c r="K8637" t="s">
        <v>42632</v>
      </c>
      <c r="M8637" t="s">
        <v>45893</v>
      </c>
      <c r="N8637" t="s">
        <v>47304</v>
      </c>
      <c r="O8637" t="s">
        <v>47305</v>
      </c>
      <c r="P8637">
        <v>0</v>
      </c>
      <c r="Q8637">
        <v>0</v>
      </c>
      <c r="R8637" t="s">
        <v>47312</v>
      </c>
      <c r="S8637" t="s">
        <v>47489</v>
      </c>
      <c r="T8637" t="s">
        <v>48976</v>
      </c>
      <c r="U8637" t="s">
        <v>56675</v>
      </c>
      <c r="W8637" t="s">
        <v>45893</v>
      </c>
      <c r="X8637" t="s">
        <v>47313</v>
      </c>
    </row>
    <row r="8638" spans="1:24">
      <c r="A8638">
        <f>HYPERLINK("https://www.philgeps.gov.ph/GEPSNONPILOT/Tender/SplashBidNoticeAbstractUI.aspx?menuIndex=3&amp;refID=7188834&amp;Result=3","7188834")</f>
        <v>0</v>
      </c>
      <c r="B8638" t="s">
        <v>2738</v>
      </c>
      <c r="C8638" t="s">
        <v>11988</v>
      </c>
      <c r="D8638" t="s">
        <v>19006</v>
      </c>
      <c r="E8638" t="s">
        <v>26487</v>
      </c>
      <c r="F8638" t="s">
        <v>32606</v>
      </c>
      <c r="G8638" t="s">
        <v>32613</v>
      </c>
      <c r="H8638" t="s">
        <v>32623</v>
      </c>
      <c r="I8638" t="s">
        <v>17648</v>
      </c>
      <c r="J8638" t="s">
        <v>38124</v>
      </c>
      <c r="K8638" t="s">
        <v>42631</v>
      </c>
      <c r="M8638" t="s">
        <v>45894</v>
      </c>
      <c r="N8638" t="s">
        <v>47304</v>
      </c>
      <c r="O8638" t="s">
        <v>47305</v>
      </c>
      <c r="P8638">
        <v>0</v>
      </c>
      <c r="Q8638">
        <v>0</v>
      </c>
      <c r="R8638" t="s">
        <v>47312</v>
      </c>
      <c r="S8638" t="s">
        <v>47489</v>
      </c>
      <c r="T8638" t="s">
        <v>49064</v>
      </c>
      <c r="U8638" t="s">
        <v>56676</v>
      </c>
      <c r="W8638" t="s">
        <v>45894</v>
      </c>
      <c r="X8638" t="s">
        <v>47313</v>
      </c>
    </row>
    <row r="8639" spans="1:24">
      <c r="A8639">
        <f>HYPERLINK("https://www.philgeps.gov.ph/GEPSNONPILOT/Tender/SplashBidNoticeAbstractUI.aspx?menuIndex=3&amp;refID=7188861&amp;Result=3","7188861")</f>
        <v>0</v>
      </c>
      <c r="B8639" t="s">
        <v>2494</v>
      </c>
      <c r="C8639" t="s">
        <v>11989</v>
      </c>
      <c r="D8639" t="s">
        <v>19060</v>
      </c>
      <c r="E8639" t="s">
        <v>26488</v>
      </c>
      <c r="F8639" t="s">
        <v>32606</v>
      </c>
      <c r="G8639" t="s">
        <v>32614</v>
      </c>
      <c r="H8639" t="s">
        <v>14201</v>
      </c>
      <c r="I8639" t="s">
        <v>4678</v>
      </c>
      <c r="J8639" t="s">
        <v>33380</v>
      </c>
      <c r="K8639" t="s">
        <v>42623</v>
      </c>
      <c r="M8639" t="s">
        <v>45632</v>
      </c>
      <c r="N8639" t="s">
        <v>47304</v>
      </c>
      <c r="O8639" t="s">
        <v>47305</v>
      </c>
      <c r="P8639">
        <v>0</v>
      </c>
      <c r="Q8639">
        <v>2</v>
      </c>
      <c r="R8639" t="s">
        <v>47312</v>
      </c>
      <c r="S8639" t="s">
        <v>47489</v>
      </c>
      <c r="T8639" t="s">
        <v>49269</v>
      </c>
      <c r="U8639" t="s">
        <v>56677</v>
      </c>
      <c r="W8639" t="s">
        <v>45632</v>
      </c>
      <c r="X8639" t="s">
        <v>47313</v>
      </c>
    </row>
    <row r="8640" spans="1:24">
      <c r="A8640">
        <f>HYPERLINK("https://www.philgeps.gov.ph/GEPSNONPILOT/Tender/SplashBidNoticeAbstractUI.aspx?menuIndex=3&amp;refID=7188872&amp;Result=3","7188872")</f>
        <v>0</v>
      </c>
      <c r="B8640" t="s">
        <v>2732</v>
      </c>
      <c r="C8640" t="s">
        <v>11990</v>
      </c>
      <c r="D8640" t="s">
        <v>19042</v>
      </c>
      <c r="E8640" t="s">
        <v>26489</v>
      </c>
      <c r="F8640" t="s">
        <v>32606</v>
      </c>
      <c r="G8640" t="s">
        <v>32613</v>
      </c>
      <c r="H8640" t="s">
        <v>32623</v>
      </c>
      <c r="I8640" t="s">
        <v>17648</v>
      </c>
      <c r="J8640" t="s">
        <v>32770</v>
      </c>
      <c r="K8640" t="s">
        <v>42639</v>
      </c>
      <c r="M8640" t="s">
        <v>45888</v>
      </c>
      <c r="N8640" t="s">
        <v>47304</v>
      </c>
      <c r="O8640" t="s">
        <v>47305</v>
      </c>
      <c r="P8640">
        <v>0</v>
      </c>
      <c r="Q8640">
        <v>0</v>
      </c>
      <c r="R8640" t="s">
        <v>47312</v>
      </c>
      <c r="S8640" t="s">
        <v>47489</v>
      </c>
      <c r="T8640" t="s">
        <v>48987</v>
      </c>
      <c r="U8640" t="s">
        <v>56678</v>
      </c>
      <c r="V8640" t="s">
        <v>63555</v>
      </c>
      <c r="W8640" t="s">
        <v>45888</v>
      </c>
      <c r="X8640" t="s">
        <v>47313</v>
      </c>
    </row>
    <row r="8641" spans="1:24">
      <c r="A8641">
        <f>HYPERLINK("https://www.philgeps.gov.ph/GEPSNONPILOT/Tender/SplashBidNoticeAbstractUI.aspx?menuIndex=3&amp;refID=7188891&amp;Result=3","7188891")</f>
        <v>0</v>
      </c>
      <c r="B8641" t="s">
        <v>2468</v>
      </c>
      <c r="C8641" t="s">
        <v>11991</v>
      </c>
      <c r="D8641" t="s">
        <v>18993</v>
      </c>
      <c r="E8641" t="s">
        <v>26490</v>
      </c>
      <c r="F8641" t="s">
        <v>32606</v>
      </c>
      <c r="G8641" t="s">
        <v>32613</v>
      </c>
      <c r="H8641" t="s">
        <v>14201</v>
      </c>
      <c r="I8641" t="s">
        <v>32633</v>
      </c>
      <c r="J8641" t="s">
        <v>38125</v>
      </c>
      <c r="K8641" t="s">
        <v>42624</v>
      </c>
      <c r="M8641" t="s">
        <v>45602</v>
      </c>
      <c r="N8641" t="s">
        <v>47304</v>
      </c>
      <c r="O8641" t="s">
        <v>47305</v>
      </c>
      <c r="P8641">
        <v>0</v>
      </c>
      <c r="Q8641">
        <v>8</v>
      </c>
      <c r="R8641" t="s">
        <v>47312</v>
      </c>
      <c r="S8641" t="s">
        <v>47489</v>
      </c>
      <c r="T8641" t="s">
        <v>49377</v>
      </c>
      <c r="U8641" t="s">
        <v>56679</v>
      </c>
      <c r="W8641" t="s">
        <v>45602</v>
      </c>
      <c r="X8641" t="s">
        <v>47313</v>
      </c>
    </row>
    <row r="8642" spans="1:24">
      <c r="A8642">
        <f>HYPERLINK("https://www.philgeps.gov.ph/GEPSNONPILOT/Tender/SplashBidNoticeAbstractUI.aspx?menuIndex=3&amp;refID=7188854&amp;Result=3","7188854")</f>
        <v>0</v>
      </c>
      <c r="B8642" t="s">
        <v>2725</v>
      </c>
      <c r="C8642" t="s">
        <v>11992</v>
      </c>
      <c r="D8642" t="s">
        <v>19004</v>
      </c>
      <c r="E8642" t="s">
        <v>25434</v>
      </c>
      <c r="F8642" t="s">
        <v>32606</v>
      </c>
      <c r="G8642" t="s">
        <v>32613</v>
      </c>
      <c r="H8642" t="s">
        <v>14201</v>
      </c>
      <c r="I8642" t="s">
        <v>32647</v>
      </c>
      <c r="J8642" t="s">
        <v>32926</v>
      </c>
      <c r="K8642" t="s">
        <v>42693</v>
      </c>
      <c r="M8642" t="s">
        <v>45880</v>
      </c>
      <c r="N8642" t="s">
        <v>47304</v>
      </c>
      <c r="O8642" t="s">
        <v>47305</v>
      </c>
      <c r="P8642">
        <v>0</v>
      </c>
      <c r="Q8642">
        <v>3</v>
      </c>
      <c r="R8642" t="s">
        <v>47312</v>
      </c>
      <c r="S8642" t="s">
        <v>47489</v>
      </c>
      <c r="T8642" t="s">
        <v>48998</v>
      </c>
      <c r="U8642" t="s">
        <v>56647</v>
      </c>
      <c r="W8642" t="s">
        <v>45880</v>
      </c>
      <c r="X8642" t="s">
        <v>47313</v>
      </c>
    </row>
    <row r="8643" spans="1:24">
      <c r="A8643">
        <f>HYPERLINK("https://www.philgeps.gov.ph/GEPSNONPILOT/Tender/SplashBidNoticeAbstractUI.aspx?menuIndex=3&amp;refID=7188888&amp;Result=3","7188888")</f>
        <v>0</v>
      </c>
      <c r="B8643" t="s">
        <v>2739</v>
      </c>
      <c r="C8643" t="s">
        <v>11993</v>
      </c>
      <c r="D8643" t="s">
        <v>19056</v>
      </c>
      <c r="E8643" t="s">
        <v>26491</v>
      </c>
      <c r="F8643" t="s">
        <v>32606</v>
      </c>
      <c r="G8643" t="s">
        <v>32615</v>
      </c>
      <c r="H8643" t="s">
        <v>32623</v>
      </c>
      <c r="I8643" t="s">
        <v>32661</v>
      </c>
      <c r="J8643" t="s">
        <v>38126</v>
      </c>
      <c r="K8643" t="s">
        <v>42623</v>
      </c>
      <c r="M8643" t="s">
        <v>45895</v>
      </c>
      <c r="N8643" t="s">
        <v>47304</v>
      </c>
      <c r="O8643" t="s">
        <v>47305</v>
      </c>
      <c r="P8643">
        <v>0</v>
      </c>
      <c r="Q8643">
        <v>1</v>
      </c>
      <c r="R8643" t="s">
        <v>47312</v>
      </c>
      <c r="S8643" t="s">
        <v>47489</v>
      </c>
      <c r="T8643" t="s">
        <v>48998</v>
      </c>
      <c r="U8643" t="s">
        <v>56680</v>
      </c>
      <c r="W8643" t="s">
        <v>45895</v>
      </c>
      <c r="X8643" t="s">
        <v>47313</v>
      </c>
    </row>
    <row r="8644" spans="1:24">
      <c r="A8644">
        <f>HYPERLINK("https://www.philgeps.gov.ph/GEPSNONPILOT/Tender/SplashBidNoticeAbstractUI.aspx?menuIndex=3&amp;refID=7188883&amp;Result=3","7188883")</f>
        <v>0</v>
      </c>
      <c r="B8644" t="s">
        <v>2740</v>
      </c>
      <c r="C8644" t="s">
        <v>11994</v>
      </c>
      <c r="D8644" t="s">
        <v>18992</v>
      </c>
      <c r="E8644" t="s">
        <v>26492</v>
      </c>
      <c r="F8644" t="s">
        <v>32606</v>
      </c>
      <c r="G8644" t="s">
        <v>32613</v>
      </c>
      <c r="H8644" t="s">
        <v>32623</v>
      </c>
      <c r="I8644" t="s">
        <v>17648</v>
      </c>
      <c r="J8644" t="s">
        <v>38127</v>
      </c>
      <c r="K8644" t="s">
        <v>42683</v>
      </c>
      <c r="M8644" t="s">
        <v>45896</v>
      </c>
      <c r="N8644" t="s">
        <v>47304</v>
      </c>
      <c r="O8644" t="s">
        <v>47305</v>
      </c>
      <c r="P8644">
        <v>0</v>
      </c>
      <c r="Q8644">
        <v>0</v>
      </c>
      <c r="R8644" t="s">
        <v>47312</v>
      </c>
      <c r="S8644" t="s">
        <v>47489</v>
      </c>
      <c r="T8644" t="s">
        <v>48970</v>
      </c>
      <c r="U8644" t="s">
        <v>56681</v>
      </c>
      <c r="W8644" t="s">
        <v>45896</v>
      </c>
      <c r="X8644" t="s">
        <v>47313</v>
      </c>
    </row>
    <row r="8645" spans="1:24">
      <c r="A8645">
        <f>HYPERLINK("https://www.philgeps.gov.ph/GEPSNONPILOT/Tender/SplashBidNoticeAbstractUI.aspx?menuIndex=3&amp;refID=7188904&amp;Result=3","7188904")</f>
        <v>0</v>
      </c>
      <c r="B8645" t="s">
        <v>2741</v>
      </c>
      <c r="C8645" t="s">
        <v>11995</v>
      </c>
      <c r="D8645" t="s">
        <v>19004</v>
      </c>
      <c r="E8645" t="s">
        <v>26493</v>
      </c>
      <c r="F8645" t="s">
        <v>32606</v>
      </c>
      <c r="G8645" t="s">
        <v>32613</v>
      </c>
      <c r="H8645" t="s">
        <v>32623</v>
      </c>
      <c r="I8645" t="s">
        <v>17648</v>
      </c>
      <c r="J8645" t="s">
        <v>32772</v>
      </c>
      <c r="K8645" t="s">
        <v>42636</v>
      </c>
      <c r="M8645" t="s">
        <v>45897</v>
      </c>
      <c r="N8645" t="s">
        <v>47304</v>
      </c>
      <c r="O8645" t="s">
        <v>47305</v>
      </c>
      <c r="P8645">
        <v>0</v>
      </c>
      <c r="Q8645">
        <v>0</v>
      </c>
      <c r="R8645" t="s">
        <v>47312</v>
      </c>
      <c r="S8645" t="s">
        <v>47489</v>
      </c>
      <c r="T8645" t="s">
        <v>49075</v>
      </c>
      <c r="U8645" t="s">
        <v>56682</v>
      </c>
      <c r="V8645" t="s">
        <v>63559</v>
      </c>
      <c r="W8645" t="s">
        <v>45897</v>
      </c>
      <c r="X8645" t="s">
        <v>47313</v>
      </c>
    </row>
    <row r="8646" spans="1:24">
      <c r="A8646">
        <f>HYPERLINK("https://www.philgeps.gov.ph/GEPSNONPILOT/Tender/SplashBidNoticeAbstractUI.aspx?menuIndex=3&amp;refID=7188884&amp;Result=3","7188884")</f>
        <v>0</v>
      </c>
      <c r="B8646" t="s">
        <v>718</v>
      </c>
      <c r="C8646" t="s">
        <v>11996</v>
      </c>
      <c r="D8646" t="s">
        <v>19002</v>
      </c>
      <c r="E8646" t="s">
        <v>26494</v>
      </c>
      <c r="F8646" t="s">
        <v>32606</v>
      </c>
      <c r="G8646" t="s">
        <v>32614</v>
      </c>
      <c r="H8646" t="s">
        <v>32623</v>
      </c>
      <c r="I8646" t="s">
        <v>17648</v>
      </c>
      <c r="J8646" t="s">
        <v>38128</v>
      </c>
      <c r="K8646" t="s">
        <v>42648</v>
      </c>
      <c r="M8646" t="s">
        <v>43880</v>
      </c>
      <c r="N8646" t="s">
        <v>47304</v>
      </c>
      <c r="O8646" t="s">
        <v>47305</v>
      </c>
      <c r="Q8646">
        <v>1</v>
      </c>
      <c r="R8646" t="s">
        <v>47312</v>
      </c>
      <c r="S8646" t="s">
        <v>47515</v>
      </c>
      <c r="T8646" t="s">
        <v>48977</v>
      </c>
      <c r="U8646" t="s">
        <v>56683</v>
      </c>
      <c r="W8646" t="s">
        <v>43880</v>
      </c>
      <c r="X8646" t="s">
        <v>47313</v>
      </c>
    </row>
    <row r="8647" spans="1:24">
      <c r="A8647">
        <f>HYPERLINK("https://www.philgeps.gov.ph/GEPSNONPILOT/Tender/SplashBidNoticeAbstractUI.aspx?menuIndex=3&amp;refID=7188875&amp;Result=3","7188875")</f>
        <v>0</v>
      </c>
      <c r="B8647" t="s">
        <v>2119</v>
      </c>
      <c r="C8647" t="s">
        <v>11997</v>
      </c>
      <c r="D8647" t="s">
        <v>18993</v>
      </c>
      <c r="E8647" t="s">
        <v>26495</v>
      </c>
      <c r="F8647" t="s">
        <v>32607</v>
      </c>
      <c r="G8647" t="s">
        <v>32613</v>
      </c>
      <c r="H8647" t="s">
        <v>14201</v>
      </c>
      <c r="I8647" t="s">
        <v>32721</v>
      </c>
      <c r="J8647" t="s">
        <v>32789</v>
      </c>
      <c r="K8647" t="s">
        <v>42631</v>
      </c>
      <c r="M8647" t="s">
        <v>45206</v>
      </c>
      <c r="N8647" t="s">
        <v>47304</v>
      </c>
      <c r="O8647" t="s">
        <v>47305</v>
      </c>
      <c r="P8647">
        <v>0</v>
      </c>
      <c r="Q8647">
        <v>1</v>
      </c>
      <c r="R8647" t="s">
        <v>47312</v>
      </c>
      <c r="S8647" t="s">
        <v>47489</v>
      </c>
      <c r="T8647" t="s">
        <v>49040</v>
      </c>
      <c r="U8647" t="s">
        <v>56684</v>
      </c>
      <c r="V8647" t="s">
        <v>63251</v>
      </c>
      <c r="W8647" t="s">
        <v>45206</v>
      </c>
      <c r="X8647" t="s">
        <v>47313</v>
      </c>
    </row>
    <row r="8648" spans="1:24">
      <c r="A8648">
        <f>HYPERLINK("https://www.philgeps.gov.ph/GEPSNONPILOT/Tender/SplashBidNoticeAbstractUI.aspx?menuIndex=3&amp;refID=7188896&amp;Result=3","7188896")</f>
        <v>0</v>
      </c>
      <c r="B8648" t="s">
        <v>2742</v>
      </c>
      <c r="C8648" t="s">
        <v>11998</v>
      </c>
      <c r="D8648" t="s">
        <v>19019</v>
      </c>
      <c r="E8648" t="s">
        <v>26496</v>
      </c>
      <c r="F8648" t="s">
        <v>32606</v>
      </c>
      <c r="G8648" t="s">
        <v>32613</v>
      </c>
      <c r="H8648" t="s">
        <v>14201</v>
      </c>
      <c r="I8648" t="s">
        <v>32664</v>
      </c>
      <c r="J8648" t="s">
        <v>37511</v>
      </c>
      <c r="K8648" t="s">
        <v>42623</v>
      </c>
      <c r="M8648" t="s">
        <v>45898</v>
      </c>
      <c r="N8648" t="s">
        <v>47304</v>
      </c>
      <c r="O8648" t="s">
        <v>47305</v>
      </c>
      <c r="P8648">
        <v>0</v>
      </c>
      <c r="Q8648">
        <v>3</v>
      </c>
      <c r="R8648" t="s">
        <v>47312</v>
      </c>
      <c r="S8648" t="s">
        <v>47489</v>
      </c>
      <c r="T8648" t="s">
        <v>49189</v>
      </c>
      <c r="U8648" t="s">
        <v>56685</v>
      </c>
      <c r="W8648" t="s">
        <v>45898</v>
      </c>
      <c r="X8648" t="s">
        <v>47313</v>
      </c>
    </row>
    <row r="8649" spans="1:24">
      <c r="A8649">
        <f>HYPERLINK("https://www.philgeps.gov.ph/GEPSNONPILOT/Tender/SplashBidNoticeAbstractUI.aspx?menuIndex=3&amp;refID=7188927&amp;Result=3","7188927")</f>
        <v>0</v>
      </c>
      <c r="B8649" t="s">
        <v>775</v>
      </c>
      <c r="C8649" t="s">
        <v>11999</v>
      </c>
      <c r="D8649" t="s">
        <v>19047</v>
      </c>
      <c r="E8649" t="s">
        <v>26497</v>
      </c>
      <c r="F8649" t="s">
        <v>32606</v>
      </c>
      <c r="G8649" t="s">
        <v>32614</v>
      </c>
      <c r="H8649" t="s">
        <v>14201</v>
      </c>
      <c r="I8649" t="s">
        <v>7577</v>
      </c>
      <c r="J8649" t="s">
        <v>37486</v>
      </c>
      <c r="K8649" t="s">
        <v>42630</v>
      </c>
      <c r="M8649" t="s">
        <v>43841</v>
      </c>
      <c r="N8649" t="s">
        <v>47304</v>
      </c>
      <c r="O8649" t="s">
        <v>47305</v>
      </c>
      <c r="P8649">
        <v>0</v>
      </c>
      <c r="Q8649">
        <v>1</v>
      </c>
      <c r="R8649" t="s">
        <v>47312</v>
      </c>
      <c r="S8649" t="s">
        <v>47489</v>
      </c>
      <c r="T8649" t="s">
        <v>49072</v>
      </c>
      <c r="U8649" t="s">
        <v>56686</v>
      </c>
      <c r="W8649" t="s">
        <v>43841</v>
      </c>
      <c r="X8649" t="s">
        <v>47313</v>
      </c>
    </row>
    <row r="8650" spans="1:24">
      <c r="A8650">
        <f>HYPERLINK("https://www.philgeps.gov.ph/GEPSNONPILOT/Tender/SplashBidNoticeAbstractUI.aspx?menuIndex=3&amp;refID=7188877&amp;Result=3","7188877")</f>
        <v>0</v>
      </c>
      <c r="B8650" t="s">
        <v>1014</v>
      </c>
      <c r="C8650" t="s">
        <v>12000</v>
      </c>
      <c r="D8650" t="s">
        <v>18989</v>
      </c>
      <c r="E8650" t="s">
        <v>26498</v>
      </c>
      <c r="F8650" t="s">
        <v>32606</v>
      </c>
      <c r="G8650" t="s">
        <v>32614</v>
      </c>
      <c r="H8650" t="s">
        <v>14201</v>
      </c>
      <c r="I8650" t="s">
        <v>4112</v>
      </c>
      <c r="J8650" t="s">
        <v>32759</v>
      </c>
      <c r="K8650" t="s">
        <v>42646</v>
      </c>
      <c r="M8650" t="s">
        <v>44868</v>
      </c>
      <c r="N8650" t="s">
        <v>47304</v>
      </c>
      <c r="O8650" t="s">
        <v>47305</v>
      </c>
      <c r="P8650">
        <v>0</v>
      </c>
      <c r="Q8650">
        <v>5</v>
      </c>
      <c r="R8650" t="s">
        <v>47312</v>
      </c>
      <c r="S8650" t="s">
        <v>47489</v>
      </c>
      <c r="T8650" t="s">
        <v>49019</v>
      </c>
      <c r="U8650" t="s">
        <v>56687</v>
      </c>
      <c r="W8650" t="s">
        <v>44868</v>
      </c>
      <c r="X8650" t="s">
        <v>47313</v>
      </c>
    </row>
    <row r="8651" spans="1:24">
      <c r="A8651">
        <f>HYPERLINK("https://www.philgeps.gov.ph/GEPSNONPILOT/Tender/SplashBidNoticeAbstractUI.aspx?menuIndex=3&amp;refID=7188925&amp;Result=3","7188925")</f>
        <v>0</v>
      </c>
      <c r="B8651" t="s">
        <v>634</v>
      </c>
      <c r="C8651" t="s">
        <v>12001</v>
      </c>
      <c r="D8651" t="s">
        <v>19056</v>
      </c>
      <c r="E8651" t="s">
        <v>26499</v>
      </c>
      <c r="F8651" t="s">
        <v>32606</v>
      </c>
      <c r="G8651" t="s">
        <v>32613</v>
      </c>
      <c r="H8651" t="s">
        <v>14201</v>
      </c>
      <c r="I8651" t="s">
        <v>32631</v>
      </c>
      <c r="J8651" t="s">
        <v>32795</v>
      </c>
      <c r="K8651" t="s">
        <v>42648</v>
      </c>
      <c r="M8651" t="s">
        <v>43552</v>
      </c>
      <c r="N8651" t="s">
        <v>47304</v>
      </c>
      <c r="O8651" t="s">
        <v>47305</v>
      </c>
      <c r="P8651">
        <v>0</v>
      </c>
      <c r="Q8651">
        <v>1</v>
      </c>
      <c r="R8651" t="s">
        <v>47312</v>
      </c>
      <c r="S8651" t="s">
        <v>47489</v>
      </c>
      <c r="T8651" t="s">
        <v>48970</v>
      </c>
      <c r="U8651" t="s">
        <v>56688</v>
      </c>
      <c r="W8651" t="s">
        <v>43552</v>
      </c>
      <c r="X8651" t="s">
        <v>47313</v>
      </c>
    </row>
    <row r="8652" spans="1:24">
      <c r="A8652">
        <f>HYPERLINK("https://www.philgeps.gov.ph/GEPSNONPILOT/Tender/SplashBidNoticeAbstractUI.aspx?menuIndex=3&amp;refID=7188914&amp;Result=3","7188914")</f>
        <v>0</v>
      </c>
      <c r="B8652" t="s">
        <v>762</v>
      </c>
      <c r="C8652" t="s">
        <v>12002</v>
      </c>
      <c r="D8652" t="s">
        <v>18989</v>
      </c>
      <c r="E8652" t="s">
        <v>26500</v>
      </c>
      <c r="F8652" t="s">
        <v>32606</v>
      </c>
      <c r="G8652" t="s">
        <v>32614</v>
      </c>
      <c r="H8652" t="s">
        <v>14201</v>
      </c>
      <c r="I8652" t="s">
        <v>32691</v>
      </c>
      <c r="J8652" t="s">
        <v>33561</v>
      </c>
      <c r="K8652" t="s">
        <v>42624</v>
      </c>
      <c r="M8652" t="s">
        <v>43686</v>
      </c>
      <c r="N8652" t="s">
        <v>47304</v>
      </c>
      <c r="O8652" t="s">
        <v>47305</v>
      </c>
      <c r="P8652">
        <v>0</v>
      </c>
      <c r="Q8652">
        <v>2</v>
      </c>
      <c r="R8652" t="s">
        <v>47312</v>
      </c>
      <c r="S8652" t="s">
        <v>47489</v>
      </c>
      <c r="T8652" t="s">
        <v>49020</v>
      </c>
      <c r="U8652" t="s">
        <v>56670</v>
      </c>
      <c r="W8652" t="s">
        <v>43686</v>
      </c>
      <c r="X8652" t="s">
        <v>47313</v>
      </c>
    </row>
    <row r="8653" spans="1:24">
      <c r="A8653">
        <f>HYPERLINK("https://www.philgeps.gov.ph/GEPSNONPILOT/Tender/SplashBidNoticeAbstractUI.aspx?menuIndex=3&amp;refID=7188912&amp;Result=3","7188912")</f>
        <v>0</v>
      </c>
      <c r="B8653" t="s">
        <v>2730</v>
      </c>
      <c r="C8653" t="s">
        <v>12003</v>
      </c>
      <c r="D8653" t="s">
        <v>19040</v>
      </c>
      <c r="E8653" t="s">
        <v>26501</v>
      </c>
      <c r="F8653" t="s">
        <v>32606</v>
      </c>
      <c r="G8653" t="s">
        <v>32613</v>
      </c>
      <c r="H8653" t="s">
        <v>32623</v>
      </c>
      <c r="I8653" t="s">
        <v>17648</v>
      </c>
      <c r="J8653" t="s">
        <v>38129</v>
      </c>
      <c r="K8653" t="s">
        <v>42624</v>
      </c>
      <c r="M8653" t="s">
        <v>45886</v>
      </c>
      <c r="N8653" t="s">
        <v>47304</v>
      </c>
      <c r="O8653" t="s">
        <v>47305</v>
      </c>
      <c r="P8653">
        <v>0</v>
      </c>
      <c r="Q8653">
        <v>0</v>
      </c>
      <c r="R8653" t="s">
        <v>47312</v>
      </c>
      <c r="S8653" t="s">
        <v>47489</v>
      </c>
      <c r="T8653" t="s">
        <v>48971</v>
      </c>
      <c r="U8653" t="s">
        <v>56689</v>
      </c>
      <c r="W8653" t="s">
        <v>45886</v>
      </c>
      <c r="X8653" t="s">
        <v>47313</v>
      </c>
    </row>
    <row r="8654" spans="1:24">
      <c r="A8654">
        <f>HYPERLINK("https://www.philgeps.gov.ph/GEPSNONPILOT/Tender/SplashBidNoticeAbstractUI.aspx?menuIndex=3&amp;refID=7188878&amp;Result=3","7188878")</f>
        <v>0</v>
      </c>
      <c r="B8654" t="s">
        <v>2739</v>
      </c>
      <c r="C8654" t="s">
        <v>12004</v>
      </c>
      <c r="D8654" t="s">
        <v>19056</v>
      </c>
      <c r="E8654" t="s">
        <v>26502</v>
      </c>
      <c r="F8654" t="s">
        <v>32606</v>
      </c>
      <c r="G8654" t="s">
        <v>32615</v>
      </c>
      <c r="H8654" t="s">
        <v>32623</v>
      </c>
      <c r="I8654" t="s">
        <v>17648</v>
      </c>
      <c r="J8654" t="s">
        <v>33360</v>
      </c>
      <c r="K8654" t="s">
        <v>42623</v>
      </c>
      <c r="M8654" t="s">
        <v>45895</v>
      </c>
      <c r="N8654" t="s">
        <v>47304</v>
      </c>
      <c r="O8654" t="s">
        <v>47305</v>
      </c>
      <c r="P8654">
        <v>0</v>
      </c>
      <c r="Q8654">
        <v>0</v>
      </c>
      <c r="R8654" t="s">
        <v>47312</v>
      </c>
      <c r="S8654" t="s">
        <v>47489</v>
      </c>
      <c r="T8654" t="s">
        <v>49053</v>
      </c>
      <c r="U8654" t="s">
        <v>56690</v>
      </c>
      <c r="W8654" t="s">
        <v>45895</v>
      </c>
      <c r="X8654" t="s">
        <v>47313</v>
      </c>
    </row>
    <row r="8655" spans="1:24">
      <c r="A8655">
        <f>HYPERLINK("https://www.philgeps.gov.ph/GEPSNONPILOT/Tender/SplashBidNoticeAbstractUI.aspx?menuIndex=3&amp;refID=7188909&amp;Result=3","7188909")</f>
        <v>0</v>
      </c>
      <c r="B8655" t="s">
        <v>2743</v>
      </c>
      <c r="C8655" t="s">
        <v>12005</v>
      </c>
      <c r="D8655" t="s">
        <v>19028</v>
      </c>
      <c r="E8655" t="s">
        <v>12005</v>
      </c>
      <c r="F8655" t="s">
        <v>32606</v>
      </c>
      <c r="G8655" t="s">
        <v>32614</v>
      </c>
      <c r="H8655" t="s">
        <v>32623</v>
      </c>
      <c r="I8655" t="s">
        <v>17648</v>
      </c>
      <c r="J8655" t="s">
        <v>38130</v>
      </c>
      <c r="K8655" t="s">
        <v>42623</v>
      </c>
      <c r="M8655" t="s">
        <v>45899</v>
      </c>
      <c r="N8655" t="s">
        <v>47304</v>
      </c>
      <c r="O8655" t="s">
        <v>47305</v>
      </c>
      <c r="P8655">
        <v>0</v>
      </c>
      <c r="Q8655">
        <v>3</v>
      </c>
      <c r="R8655" t="s">
        <v>47312</v>
      </c>
      <c r="S8655" t="s">
        <v>47489</v>
      </c>
      <c r="T8655" t="s">
        <v>49346</v>
      </c>
      <c r="U8655" t="s">
        <v>56691</v>
      </c>
      <c r="W8655" t="s">
        <v>45899</v>
      </c>
      <c r="X8655" t="s">
        <v>47313</v>
      </c>
    </row>
    <row r="8656" spans="1:24">
      <c r="A8656">
        <f>HYPERLINK("https://www.philgeps.gov.ph/GEPSNONPILOT/Tender/SplashBidNoticeAbstractUI.aspx?menuIndex=3&amp;refID=7188907&amp;Result=3","7188907")</f>
        <v>0</v>
      </c>
      <c r="B8656" t="s">
        <v>2744</v>
      </c>
      <c r="C8656" t="s">
        <v>12006</v>
      </c>
      <c r="D8656" t="s">
        <v>18987</v>
      </c>
      <c r="E8656" t="s">
        <v>26503</v>
      </c>
      <c r="F8656" t="s">
        <v>32606</v>
      </c>
      <c r="G8656" t="s">
        <v>32613</v>
      </c>
      <c r="H8656" t="s">
        <v>32623</v>
      </c>
      <c r="I8656" t="s">
        <v>17648</v>
      </c>
      <c r="J8656" t="s">
        <v>32830</v>
      </c>
      <c r="K8656" t="s">
        <v>42682</v>
      </c>
      <c r="M8656" t="s">
        <v>45900</v>
      </c>
      <c r="N8656" t="s">
        <v>47304</v>
      </c>
      <c r="O8656" t="s">
        <v>47305</v>
      </c>
      <c r="P8656">
        <v>0</v>
      </c>
      <c r="Q8656">
        <v>2</v>
      </c>
      <c r="R8656" t="s">
        <v>47312</v>
      </c>
      <c r="S8656" t="s">
        <v>47489</v>
      </c>
      <c r="T8656" t="s">
        <v>49057</v>
      </c>
      <c r="U8656" t="s">
        <v>56692</v>
      </c>
      <c r="V8656" t="s">
        <v>63560</v>
      </c>
      <c r="W8656" t="s">
        <v>45900</v>
      </c>
      <c r="X8656" t="s">
        <v>47313</v>
      </c>
    </row>
    <row r="8657" spans="1:24">
      <c r="A8657">
        <f>HYPERLINK("https://www.philgeps.gov.ph/GEPSNONPILOT/Tender/SplashBidNoticeAbstractUI.aspx?menuIndex=3&amp;refID=7188922&amp;Result=3","7188922")</f>
        <v>0</v>
      </c>
      <c r="B8657" t="s">
        <v>1014</v>
      </c>
      <c r="C8657" t="s">
        <v>12007</v>
      </c>
      <c r="D8657" t="s">
        <v>18989</v>
      </c>
      <c r="E8657" t="s">
        <v>26504</v>
      </c>
      <c r="F8657" t="s">
        <v>32606</v>
      </c>
      <c r="G8657" t="s">
        <v>32614</v>
      </c>
      <c r="H8657" t="s">
        <v>14201</v>
      </c>
      <c r="I8657" t="s">
        <v>4112</v>
      </c>
      <c r="J8657" t="s">
        <v>33123</v>
      </c>
      <c r="K8657" t="s">
        <v>42646</v>
      </c>
      <c r="M8657" t="s">
        <v>44868</v>
      </c>
      <c r="N8657" t="s">
        <v>47304</v>
      </c>
      <c r="O8657" t="s">
        <v>47305</v>
      </c>
      <c r="P8657">
        <v>0</v>
      </c>
      <c r="Q8657">
        <v>2</v>
      </c>
      <c r="R8657" t="s">
        <v>47312</v>
      </c>
      <c r="S8657" t="s">
        <v>47489</v>
      </c>
      <c r="T8657" t="s">
        <v>49019</v>
      </c>
      <c r="U8657" t="s">
        <v>56693</v>
      </c>
      <c r="W8657" t="s">
        <v>44868</v>
      </c>
      <c r="X8657" t="s">
        <v>47313</v>
      </c>
    </row>
    <row r="8658" spans="1:24">
      <c r="A8658">
        <f>HYPERLINK("https://www.philgeps.gov.ph/GEPSNONPILOT/Tender/SplashBidNoticeAbstractUI.aspx?menuIndex=3&amp;refID=7188936&amp;Result=3","7188936")</f>
        <v>0</v>
      </c>
      <c r="B8658" t="s">
        <v>873</v>
      </c>
      <c r="C8658" t="s">
        <v>12008</v>
      </c>
      <c r="D8658" t="s">
        <v>19002</v>
      </c>
      <c r="E8658" t="s">
        <v>25204</v>
      </c>
      <c r="F8658" t="s">
        <v>32606</v>
      </c>
      <c r="G8658" t="s">
        <v>32613</v>
      </c>
      <c r="H8658" t="s">
        <v>32623</v>
      </c>
      <c r="I8658" t="s">
        <v>17648</v>
      </c>
      <c r="J8658" t="s">
        <v>32770</v>
      </c>
      <c r="K8658" t="s">
        <v>42636</v>
      </c>
      <c r="M8658" t="s">
        <v>43809</v>
      </c>
      <c r="N8658" t="s">
        <v>47304</v>
      </c>
      <c r="O8658" t="s">
        <v>47305</v>
      </c>
      <c r="P8658">
        <v>0</v>
      </c>
      <c r="Q8658">
        <v>1</v>
      </c>
      <c r="R8658" t="s">
        <v>47312</v>
      </c>
      <c r="S8658" t="s">
        <v>47489</v>
      </c>
      <c r="T8658" t="s">
        <v>49397</v>
      </c>
      <c r="U8658" t="s">
        <v>56694</v>
      </c>
      <c r="W8658" t="s">
        <v>43809</v>
      </c>
      <c r="X8658" t="s">
        <v>47313</v>
      </c>
    </row>
    <row r="8659" spans="1:24">
      <c r="A8659">
        <f>HYPERLINK("https://www.philgeps.gov.ph/GEPSNONPILOT/Tender/SplashBidNoticeAbstractUI.aspx?menuIndex=3&amp;refID=7188972&amp;Result=3","7188972")</f>
        <v>0</v>
      </c>
      <c r="B8659" t="s">
        <v>2745</v>
      </c>
      <c r="C8659" t="s">
        <v>12009</v>
      </c>
      <c r="D8659" t="s">
        <v>19011</v>
      </c>
      <c r="E8659" t="s">
        <v>26505</v>
      </c>
      <c r="F8659" t="s">
        <v>32606</v>
      </c>
      <c r="G8659" t="s">
        <v>32613</v>
      </c>
      <c r="H8659" t="s">
        <v>14201</v>
      </c>
      <c r="I8659" t="s">
        <v>32630</v>
      </c>
      <c r="J8659" t="s">
        <v>32820</v>
      </c>
      <c r="K8659" t="s">
        <v>42623</v>
      </c>
      <c r="L8659" t="s">
        <v>2745</v>
      </c>
      <c r="M8659" t="s">
        <v>45901</v>
      </c>
      <c r="N8659" t="s">
        <v>47304</v>
      </c>
      <c r="O8659" t="s">
        <v>47305</v>
      </c>
      <c r="P8659">
        <v>0</v>
      </c>
      <c r="Q8659">
        <v>0</v>
      </c>
      <c r="R8659" t="s">
        <v>47312</v>
      </c>
      <c r="S8659" t="s">
        <v>47489</v>
      </c>
      <c r="T8659" t="s">
        <v>48987</v>
      </c>
      <c r="U8659" t="s">
        <v>56695</v>
      </c>
      <c r="W8659" t="s">
        <v>45901</v>
      </c>
      <c r="X8659" t="s">
        <v>47313</v>
      </c>
    </row>
    <row r="8660" spans="1:24">
      <c r="A8660">
        <f>HYPERLINK("https://www.philgeps.gov.ph/GEPSNONPILOT/Tender/SplashBidNoticeAbstractUI.aspx?menuIndex=3&amp;refID=7188893&amp;Result=3","7188893")</f>
        <v>0</v>
      </c>
      <c r="B8660" t="s">
        <v>726</v>
      </c>
      <c r="C8660" t="s">
        <v>12010</v>
      </c>
      <c r="D8660" t="s">
        <v>19009</v>
      </c>
      <c r="E8660" t="s">
        <v>26506</v>
      </c>
      <c r="F8660" t="s">
        <v>32606</v>
      </c>
      <c r="G8660" t="s">
        <v>32614</v>
      </c>
      <c r="H8660" t="s">
        <v>14201</v>
      </c>
      <c r="I8660" t="s">
        <v>6931</v>
      </c>
      <c r="J8660" t="s">
        <v>35335</v>
      </c>
      <c r="K8660" t="s">
        <v>42623</v>
      </c>
      <c r="M8660" t="s">
        <v>45264</v>
      </c>
      <c r="N8660" t="s">
        <v>47304</v>
      </c>
      <c r="O8660" t="s">
        <v>47305</v>
      </c>
      <c r="P8660">
        <v>0</v>
      </c>
      <c r="Q8660">
        <v>0</v>
      </c>
      <c r="R8660" t="s">
        <v>47312</v>
      </c>
      <c r="S8660" t="s">
        <v>47489</v>
      </c>
      <c r="T8660" t="s">
        <v>49339</v>
      </c>
      <c r="U8660" t="s">
        <v>56696</v>
      </c>
      <c r="V8660" t="s">
        <v>62814</v>
      </c>
      <c r="W8660" t="s">
        <v>45264</v>
      </c>
      <c r="X8660" t="s">
        <v>47313</v>
      </c>
    </row>
    <row r="8661" spans="1:24">
      <c r="A8661">
        <f>HYPERLINK("https://www.philgeps.gov.ph/GEPSNONPILOT/Tender/SplashBidNoticeAbstractUI.aspx?menuIndex=3&amp;refID=7188965&amp;Result=3","7188965")</f>
        <v>0</v>
      </c>
      <c r="B8661" t="s">
        <v>537</v>
      </c>
      <c r="C8661" t="s">
        <v>12011</v>
      </c>
      <c r="D8661" t="s">
        <v>19053</v>
      </c>
      <c r="E8661" t="s">
        <v>26507</v>
      </c>
      <c r="F8661" t="s">
        <v>32606</v>
      </c>
      <c r="G8661" t="s">
        <v>32614</v>
      </c>
      <c r="H8661" t="s">
        <v>14201</v>
      </c>
      <c r="I8661" t="s">
        <v>6007</v>
      </c>
      <c r="J8661" t="s">
        <v>32949</v>
      </c>
      <c r="K8661" t="s">
        <v>42630</v>
      </c>
      <c r="M8661" t="s">
        <v>43450</v>
      </c>
      <c r="N8661" t="s">
        <v>47304</v>
      </c>
      <c r="O8661" t="s">
        <v>47305</v>
      </c>
      <c r="P8661">
        <v>0</v>
      </c>
      <c r="Q8661">
        <v>0</v>
      </c>
      <c r="R8661" t="s">
        <v>47312</v>
      </c>
      <c r="S8661" t="s">
        <v>47489</v>
      </c>
      <c r="T8661" t="s">
        <v>49347</v>
      </c>
      <c r="U8661" t="s">
        <v>56697</v>
      </c>
      <c r="W8661" t="s">
        <v>43450</v>
      </c>
      <c r="X8661" t="s">
        <v>47313</v>
      </c>
    </row>
    <row r="8662" spans="1:24">
      <c r="A8662">
        <f>HYPERLINK("https://www.philgeps.gov.ph/GEPSNONPILOT/Tender/SplashBidNoticeAbstractUI.aspx?menuIndex=3&amp;refID=7188964&amp;Result=3","7188964")</f>
        <v>0</v>
      </c>
      <c r="B8662" t="s">
        <v>2746</v>
      </c>
      <c r="C8662" t="s">
        <v>12012</v>
      </c>
      <c r="D8662" t="s">
        <v>19036</v>
      </c>
      <c r="E8662" t="s">
        <v>26508</v>
      </c>
      <c r="F8662" t="s">
        <v>32608</v>
      </c>
      <c r="G8662" t="s">
        <v>32619</v>
      </c>
      <c r="H8662" t="s">
        <v>14201</v>
      </c>
      <c r="I8662" t="s">
        <v>32626</v>
      </c>
      <c r="J8662" t="s">
        <v>32752</v>
      </c>
      <c r="K8662" t="s">
        <v>42622</v>
      </c>
      <c r="M8662" t="s">
        <v>45902</v>
      </c>
      <c r="N8662" t="s">
        <v>47304</v>
      </c>
      <c r="O8662" t="s">
        <v>47305</v>
      </c>
      <c r="P8662">
        <v>0</v>
      </c>
      <c r="Q8662">
        <v>3</v>
      </c>
      <c r="R8662" t="s">
        <v>47312</v>
      </c>
      <c r="S8662" t="s">
        <v>47489</v>
      </c>
      <c r="T8662" t="s">
        <v>49398</v>
      </c>
      <c r="U8662" t="s">
        <v>56698</v>
      </c>
      <c r="W8662" t="s">
        <v>45902</v>
      </c>
      <c r="X8662" t="s">
        <v>47313</v>
      </c>
    </row>
    <row r="8663" spans="1:24">
      <c r="A8663">
        <f>HYPERLINK("https://www.philgeps.gov.ph/GEPSNONPILOT/Tender/SplashBidNoticeAbstractUI.aspx?menuIndex=3&amp;refID=7188962&amp;Result=3","7188962")</f>
        <v>0</v>
      </c>
      <c r="B8663" t="s">
        <v>823</v>
      </c>
      <c r="C8663" t="s">
        <v>12013</v>
      </c>
      <c r="D8663" t="s">
        <v>19037</v>
      </c>
      <c r="E8663" t="s">
        <v>26509</v>
      </c>
      <c r="F8663" t="s">
        <v>32606</v>
      </c>
      <c r="G8663" t="s">
        <v>32613</v>
      </c>
      <c r="H8663" t="s">
        <v>32623</v>
      </c>
      <c r="I8663" t="s">
        <v>17648</v>
      </c>
      <c r="J8663" t="s">
        <v>33861</v>
      </c>
      <c r="K8663" t="s">
        <v>42636</v>
      </c>
      <c r="M8663" t="s">
        <v>43754</v>
      </c>
      <c r="N8663" t="s">
        <v>47304</v>
      </c>
      <c r="O8663" t="s">
        <v>47305</v>
      </c>
      <c r="P8663">
        <v>0</v>
      </c>
      <c r="Q8663">
        <v>2</v>
      </c>
      <c r="R8663" t="s">
        <v>47312</v>
      </c>
      <c r="S8663" t="s">
        <v>47489</v>
      </c>
      <c r="T8663" t="s">
        <v>49101</v>
      </c>
      <c r="U8663" t="s">
        <v>56699</v>
      </c>
      <c r="W8663" t="s">
        <v>43754</v>
      </c>
      <c r="X8663" t="s">
        <v>47313</v>
      </c>
    </row>
    <row r="8664" spans="1:24">
      <c r="A8664">
        <f>HYPERLINK("https://www.philgeps.gov.ph/GEPSNONPILOT/Tender/SplashBidNoticeAbstractUI.aspx?menuIndex=3&amp;refID=7188960&amp;Result=3","7188960")</f>
        <v>0</v>
      </c>
      <c r="B8664" t="s">
        <v>1262</v>
      </c>
      <c r="C8664" t="s">
        <v>12014</v>
      </c>
      <c r="D8664" t="s">
        <v>19021</v>
      </c>
      <c r="E8664" t="s">
        <v>26510</v>
      </c>
      <c r="F8664" t="s">
        <v>32606</v>
      </c>
      <c r="G8664" t="s">
        <v>32613</v>
      </c>
      <c r="H8664" t="s">
        <v>14201</v>
      </c>
      <c r="I8664" t="s">
        <v>4114</v>
      </c>
      <c r="J8664" t="s">
        <v>32981</v>
      </c>
      <c r="K8664" t="s">
        <v>42631</v>
      </c>
      <c r="M8664" t="s">
        <v>44230</v>
      </c>
      <c r="N8664" t="s">
        <v>47304</v>
      </c>
      <c r="O8664" t="s">
        <v>47305</v>
      </c>
      <c r="P8664">
        <v>0</v>
      </c>
      <c r="Q8664">
        <v>1</v>
      </c>
      <c r="R8664" t="s">
        <v>47312</v>
      </c>
      <c r="S8664" t="s">
        <v>47489</v>
      </c>
      <c r="T8664" t="s">
        <v>49196</v>
      </c>
      <c r="U8664" t="s">
        <v>56700</v>
      </c>
      <c r="V8664" t="s">
        <v>63257</v>
      </c>
      <c r="W8664" t="s">
        <v>44230</v>
      </c>
      <c r="X8664" t="s">
        <v>47313</v>
      </c>
    </row>
    <row r="8665" spans="1:24">
      <c r="A8665">
        <f>HYPERLINK("https://www.philgeps.gov.ph/GEPSNONPILOT/Tender/SplashBidNoticeAbstractUI.aspx?menuIndex=3&amp;refID=7188958&amp;Result=3","7188958")</f>
        <v>0</v>
      </c>
      <c r="B8665" t="s">
        <v>2741</v>
      </c>
      <c r="C8665" t="s">
        <v>12015</v>
      </c>
      <c r="D8665" t="s">
        <v>19004</v>
      </c>
      <c r="E8665" t="s">
        <v>26511</v>
      </c>
      <c r="F8665" t="s">
        <v>32606</v>
      </c>
      <c r="G8665" t="s">
        <v>32613</v>
      </c>
      <c r="H8665" t="s">
        <v>32623</v>
      </c>
      <c r="I8665" t="s">
        <v>17648</v>
      </c>
      <c r="J8665" t="s">
        <v>32860</v>
      </c>
      <c r="K8665" t="s">
        <v>42648</v>
      </c>
      <c r="M8665" t="s">
        <v>45897</v>
      </c>
      <c r="N8665" t="s">
        <v>47304</v>
      </c>
      <c r="O8665" t="s">
        <v>47305</v>
      </c>
      <c r="P8665">
        <v>0</v>
      </c>
      <c r="Q8665">
        <v>0</v>
      </c>
      <c r="R8665" t="s">
        <v>47312</v>
      </c>
      <c r="S8665" t="s">
        <v>47489</v>
      </c>
      <c r="T8665" t="s">
        <v>49075</v>
      </c>
      <c r="U8665" t="s">
        <v>56682</v>
      </c>
      <c r="V8665" t="s">
        <v>63559</v>
      </c>
      <c r="W8665" t="s">
        <v>45897</v>
      </c>
      <c r="X8665" t="s">
        <v>47313</v>
      </c>
    </row>
    <row r="8666" spans="1:24">
      <c r="A8666">
        <f>HYPERLINK("https://www.philgeps.gov.ph/GEPSNONPILOT/Tender/SplashBidNoticeAbstractUI.aspx?menuIndex=3&amp;refID=7188957&amp;Result=3","7188957")</f>
        <v>0</v>
      </c>
      <c r="B8666" t="s">
        <v>534</v>
      </c>
      <c r="C8666" t="s">
        <v>12016</v>
      </c>
      <c r="D8666" t="s">
        <v>19006</v>
      </c>
      <c r="E8666" t="s">
        <v>26512</v>
      </c>
      <c r="F8666" t="s">
        <v>32606</v>
      </c>
      <c r="G8666" t="s">
        <v>32614</v>
      </c>
      <c r="H8666" t="s">
        <v>14201</v>
      </c>
      <c r="I8666" t="s">
        <v>32650</v>
      </c>
      <c r="J8666" t="s">
        <v>38131</v>
      </c>
      <c r="K8666" t="s">
        <v>42622</v>
      </c>
      <c r="M8666" t="s">
        <v>43447</v>
      </c>
      <c r="N8666" t="s">
        <v>47304</v>
      </c>
      <c r="O8666" t="s">
        <v>47305</v>
      </c>
      <c r="P8666">
        <v>0</v>
      </c>
      <c r="Q8666">
        <v>1</v>
      </c>
      <c r="R8666" t="s">
        <v>47312</v>
      </c>
      <c r="S8666" t="s">
        <v>47489</v>
      </c>
      <c r="T8666" t="s">
        <v>49373</v>
      </c>
      <c r="U8666" t="s">
        <v>56701</v>
      </c>
      <c r="W8666" t="s">
        <v>43447</v>
      </c>
      <c r="X8666" t="s">
        <v>47313</v>
      </c>
    </row>
    <row r="8667" spans="1:24">
      <c r="A8667">
        <f>HYPERLINK("https://www.philgeps.gov.ph/GEPSNONPILOT/Tender/SplashBidNoticeAbstractUI.aspx?menuIndex=3&amp;refID=7188956&amp;Result=3","7188956")</f>
        <v>0</v>
      </c>
      <c r="B8667" t="s">
        <v>108</v>
      </c>
      <c r="C8667" t="s">
        <v>12017</v>
      </c>
      <c r="D8667" t="s">
        <v>18997</v>
      </c>
      <c r="E8667" t="s">
        <v>26513</v>
      </c>
      <c r="F8667" t="s">
        <v>32606</v>
      </c>
      <c r="G8667" t="s">
        <v>32613</v>
      </c>
      <c r="H8667" t="s">
        <v>14201</v>
      </c>
      <c r="I8667" t="s">
        <v>4114</v>
      </c>
      <c r="J8667" t="s">
        <v>38132</v>
      </c>
      <c r="K8667" t="s">
        <v>42630</v>
      </c>
      <c r="M8667" t="s">
        <v>43007</v>
      </c>
      <c r="N8667" t="s">
        <v>47304</v>
      </c>
      <c r="O8667" t="s">
        <v>47305</v>
      </c>
      <c r="P8667">
        <v>0</v>
      </c>
      <c r="Q8667">
        <v>0</v>
      </c>
      <c r="R8667" t="s">
        <v>47312</v>
      </c>
      <c r="S8667" t="s">
        <v>47489</v>
      </c>
      <c r="T8667" t="s">
        <v>49257</v>
      </c>
      <c r="U8667" t="s">
        <v>56702</v>
      </c>
      <c r="W8667" t="s">
        <v>43007</v>
      </c>
      <c r="X8667" t="s">
        <v>47313</v>
      </c>
    </row>
    <row r="8668" spans="1:24">
      <c r="A8668">
        <f>HYPERLINK("https://www.philgeps.gov.ph/GEPSNONPILOT/Tender/SplashBidNoticeAbstractUI.aspx?menuIndex=3&amp;refID=7188892&amp;Result=3","7188892")</f>
        <v>0</v>
      </c>
      <c r="B8668" t="s">
        <v>762</v>
      </c>
      <c r="C8668" t="s">
        <v>12018</v>
      </c>
      <c r="D8668" t="s">
        <v>18989</v>
      </c>
      <c r="E8668" t="s">
        <v>26514</v>
      </c>
      <c r="F8668" t="s">
        <v>32606</v>
      </c>
      <c r="G8668" t="s">
        <v>32614</v>
      </c>
      <c r="H8668" t="s">
        <v>14201</v>
      </c>
      <c r="I8668" t="s">
        <v>32681</v>
      </c>
      <c r="J8668" t="s">
        <v>38133</v>
      </c>
      <c r="K8668" t="s">
        <v>42624</v>
      </c>
      <c r="M8668" t="s">
        <v>43686</v>
      </c>
      <c r="N8668" t="s">
        <v>47304</v>
      </c>
      <c r="O8668" t="s">
        <v>47305</v>
      </c>
      <c r="P8668">
        <v>0</v>
      </c>
      <c r="Q8668">
        <v>8</v>
      </c>
      <c r="R8668" t="s">
        <v>47312</v>
      </c>
      <c r="S8668" t="s">
        <v>47489</v>
      </c>
      <c r="T8668" t="s">
        <v>49068</v>
      </c>
      <c r="U8668" t="s">
        <v>56670</v>
      </c>
      <c r="W8668" t="s">
        <v>43686</v>
      </c>
      <c r="X8668" t="s">
        <v>47313</v>
      </c>
    </row>
    <row r="8669" spans="1:24">
      <c r="A8669">
        <f>HYPERLINK("https://www.philgeps.gov.ph/GEPSNONPILOT/Tender/SplashBidNoticeAbstractUI.aspx?menuIndex=3&amp;refID=7188978&amp;Result=3","7188978")</f>
        <v>0</v>
      </c>
      <c r="B8669" t="s">
        <v>2747</v>
      </c>
      <c r="C8669" t="s">
        <v>6869</v>
      </c>
      <c r="E8669" t="s">
        <v>26515</v>
      </c>
      <c r="F8669" t="s">
        <v>32606</v>
      </c>
      <c r="G8669" t="s">
        <v>32613</v>
      </c>
      <c r="H8669" t="s">
        <v>14201</v>
      </c>
      <c r="I8669" t="s">
        <v>6931</v>
      </c>
      <c r="J8669" t="s">
        <v>38134</v>
      </c>
      <c r="K8669" t="s">
        <v>42624</v>
      </c>
      <c r="M8669" t="s">
        <v>45903</v>
      </c>
      <c r="N8669" t="s">
        <v>47304</v>
      </c>
      <c r="O8669" t="s">
        <v>47305</v>
      </c>
      <c r="P8669">
        <v>0</v>
      </c>
      <c r="Q8669">
        <v>0</v>
      </c>
      <c r="R8669" t="s">
        <v>47312</v>
      </c>
      <c r="S8669" t="s">
        <v>47489</v>
      </c>
      <c r="T8669" t="s">
        <v>48980</v>
      </c>
      <c r="U8669" t="s">
        <v>52287</v>
      </c>
      <c r="W8669" t="s">
        <v>45903</v>
      </c>
      <c r="X8669" t="s">
        <v>47313</v>
      </c>
    </row>
    <row r="8670" spans="1:24">
      <c r="A8670">
        <f>HYPERLINK("https://www.philgeps.gov.ph/GEPSNONPILOT/Tender/SplashBidNoticeAbstractUI.aspx?menuIndex=3&amp;refID=7188932&amp;Result=3","7188932")</f>
        <v>0</v>
      </c>
      <c r="B8670" t="s">
        <v>2741</v>
      </c>
      <c r="C8670" t="s">
        <v>12019</v>
      </c>
      <c r="D8670" t="s">
        <v>19004</v>
      </c>
      <c r="E8670" t="s">
        <v>26516</v>
      </c>
      <c r="F8670" t="s">
        <v>32606</v>
      </c>
      <c r="G8670" t="s">
        <v>32613</v>
      </c>
      <c r="H8670" t="s">
        <v>32623</v>
      </c>
      <c r="I8670" t="s">
        <v>17648</v>
      </c>
      <c r="J8670" t="s">
        <v>32772</v>
      </c>
      <c r="K8670" t="s">
        <v>42636</v>
      </c>
      <c r="M8670" t="s">
        <v>45897</v>
      </c>
      <c r="N8670" t="s">
        <v>47304</v>
      </c>
      <c r="O8670" t="s">
        <v>47305</v>
      </c>
      <c r="P8670">
        <v>0</v>
      </c>
      <c r="Q8670">
        <v>0</v>
      </c>
      <c r="R8670" t="s">
        <v>47312</v>
      </c>
      <c r="S8670" t="s">
        <v>47489</v>
      </c>
      <c r="T8670" t="s">
        <v>49075</v>
      </c>
      <c r="U8670" t="s">
        <v>56682</v>
      </c>
      <c r="V8670" t="s">
        <v>63559</v>
      </c>
      <c r="W8670" t="s">
        <v>45897</v>
      </c>
      <c r="X8670" t="s">
        <v>47313</v>
      </c>
    </row>
    <row r="8671" spans="1:24">
      <c r="A8671">
        <f>HYPERLINK("https://www.philgeps.gov.ph/GEPSNONPILOT/Tender/SplashBidNoticeAbstractUI.aspx?menuIndex=3&amp;refID=7188971&amp;Result=3","7188971")</f>
        <v>0</v>
      </c>
      <c r="B8671" t="s">
        <v>2748</v>
      </c>
      <c r="C8671" t="s">
        <v>12020</v>
      </c>
      <c r="D8671" t="s">
        <v>19018</v>
      </c>
      <c r="E8671" t="s">
        <v>26517</v>
      </c>
      <c r="F8671" t="s">
        <v>32606</v>
      </c>
      <c r="G8671" t="s">
        <v>32613</v>
      </c>
      <c r="H8671" t="s">
        <v>14201</v>
      </c>
      <c r="I8671" t="s">
        <v>4678</v>
      </c>
      <c r="J8671" t="s">
        <v>32781</v>
      </c>
      <c r="K8671" t="s">
        <v>42623</v>
      </c>
      <c r="L8671" t="s">
        <v>2748</v>
      </c>
      <c r="M8671" t="s">
        <v>45904</v>
      </c>
      <c r="N8671" t="s">
        <v>47304</v>
      </c>
      <c r="O8671" t="s">
        <v>47305</v>
      </c>
      <c r="P8671">
        <v>0</v>
      </c>
      <c r="Q8671">
        <v>2</v>
      </c>
      <c r="R8671" t="s">
        <v>47312</v>
      </c>
      <c r="S8671" t="s">
        <v>47489</v>
      </c>
      <c r="T8671" t="s">
        <v>49037</v>
      </c>
      <c r="U8671" t="s">
        <v>56703</v>
      </c>
      <c r="W8671" t="s">
        <v>45904</v>
      </c>
      <c r="X8671" t="s">
        <v>47313</v>
      </c>
    </row>
    <row r="8672" spans="1:24">
      <c r="A8672">
        <f>HYPERLINK("https://www.philgeps.gov.ph/GEPSNONPILOT/Tender/SplashBidNoticeAbstractUI.aspx?menuIndex=3&amp;refID=7188975&amp;Result=3","7188975")</f>
        <v>0</v>
      </c>
      <c r="B8672" t="s">
        <v>873</v>
      </c>
      <c r="C8672" t="s">
        <v>12021</v>
      </c>
      <c r="D8672" t="s">
        <v>19002</v>
      </c>
      <c r="E8672" t="s">
        <v>25222</v>
      </c>
      <c r="F8672" t="s">
        <v>32606</v>
      </c>
      <c r="G8672" t="s">
        <v>32613</v>
      </c>
      <c r="H8672" t="s">
        <v>32623</v>
      </c>
      <c r="I8672" t="s">
        <v>17648</v>
      </c>
      <c r="J8672" t="s">
        <v>38135</v>
      </c>
      <c r="K8672" t="s">
        <v>42726</v>
      </c>
      <c r="M8672" t="s">
        <v>43809</v>
      </c>
      <c r="N8672" t="s">
        <v>47304</v>
      </c>
      <c r="O8672" t="s">
        <v>47305</v>
      </c>
      <c r="P8672">
        <v>0</v>
      </c>
      <c r="Q8672">
        <v>0</v>
      </c>
      <c r="R8672" t="s">
        <v>47312</v>
      </c>
      <c r="S8672" t="s">
        <v>47489</v>
      </c>
      <c r="T8672" t="s">
        <v>49397</v>
      </c>
      <c r="U8672" t="s">
        <v>53660</v>
      </c>
      <c r="W8672" t="s">
        <v>43809</v>
      </c>
      <c r="X8672" t="s">
        <v>47313</v>
      </c>
    </row>
    <row r="8673" spans="1:24">
      <c r="A8673">
        <f>HYPERLINK("https://www.philgeps.gov.ph/GEPSNONPILOT/Tender/SplashBidNoticeAbstractUI.aspx?menuIndex=3&amp;refID=7188951&amp;Result=3","7188951")</f>
        <v>0</v>
      </c>
      <c r="B8673" t="s">
        <v>65</v>
      </c>
      <c r="C8673" t="s">
        <v>12022</v>
      </c>
      <c r="D8673" t="s">
        <v>19015</v>
      </c>
      <c r="E8673" t="s">
        <v>20027</v>
      </c>
      <c r="F8673" t="s">
        <v>32606</v>
      </c>
      <c r="G8673" t="s">
        <v>32613</v>
      </c>
      <c r="H8673" t="s">
        <v>14201</v>
      </c>
      <c r="I8673" t="s">
        <v>17648</v>
      </c>
      <c r="J8673" t="s">
        <v>38136</v>
      </c>
      <c r="K8673" t="s">
        <v>42622</v>
      </c>
      <c r="M8673" t="s">
        <v>42962</v>
      </c>
      <c r="N8673" t="s">
        <v>47304</v>
      </c>
      <c r="O8673" t="s">
        <v>47305</v>
      </c>
      <c r="P8673">
        <v>0</v>
      </c>
      <c r="Q8673">
        <v>1</v>
      </c>
      <c r="R8673" t="s">
        <v>47312</v>
      </c>
      <c r="S8673" t="s">
        <v>47489</v>
      </c>
      <c r="T8673" t="s">
        <v>49257</v>
      </c>
      <c r="U8673" t="s">
        <v>56704</v>
      </c>
      <c r="W8673" t="s">
        <v>42962</v>
      </c>
      <c r="X8673" t="s">
        <v>47313</v>
      </c>
    </row>
    <row r="8674" spans="1:24">
      <c r="A8674">
        <f>HYPERLINK("https://www.philgeps.gov.ph/GEPSNONPILOT/Tender/SplashBidNoticeAbstractUI.aspx?menuIndex=3&amp;refID=7188948&amp;Result=3","7188948")</f>
        <v>0</v>
      </c>
      <c r="B8674" t="s">
        <v>2718</v>
      </c>
      <c r="C8674" t="s">
        <v>12023</v>
      </c>
      <c r="D8674" t="s">
        <v>19002</v>
      </c>
      <c r="E8674" t="s">
        <v>26518</v>
      </c>
      <c r="F8674" t="s">
        <v>32606</v>
      </c>
      <c r="G8674" t="s">
        <v>32613</v>
      </c>
      <c r="H8674" t="s">
        <v>14201</v>
      </c>
      <c r="I8674" t="s">
        <v>17648</v>
      </c>
      <c r="J8674" t="s">
        <v>38137</v>
      </c>
      <c r="K8674" t="s">
        <v>42636</v>
      </c>
      <c r="M8674" t="s">
        <v>45872</v>
      </c>
      <c r="N8674" t="s">
        <v>47304</v>
      </c>
      <c r="O8674" t="s">
        <v>47305</v>
      </c>
      <c r="P8674">
        <v>0</v>
      </c>
      <c r="Q8674">
        <v>3</v>
      </c>
      <c r="R8674" t="s">
        <v>47312</v>
      </c>
      <c r="S8674" t="s">
        <v>47489</v>
      </c>
      <c r="T8674" t="s">
        <v>48996</v>
      </c>
      <c r="U8674" t="s">
        <v>56705</v>
      </c>
      <c r="W8674" t="s">
        <v>45872</v>
      </c>
      <c r="X8674" t="s">
        <v>47313</v>
      </c>
    </row>
    <row r="8675" spans="1:24">
      <c r="A8675">
        <f>HYPERLINK("https://www.philgeps.gov.ph/GEPSNONPILOT/Tender/SplashBidNoticeAbstractUI.aspx?menuIndex=3&amp;refID=7188946&amp;Result=3","7188946")</f>
        <v>0</v>
      </c>
      <c r="B8675" t="s">
        <v>2749</v>
      </c>
      <c r="C8675" t="s">
        <v>12024</v>
      </c>
      <c r="D8675" t="s">
        <v>19031</v>
      </c>
      <c r="E8675" t="s">
        <v>26519</v>
      </c>
      <c r="F8675" t="s">
        <v>32606</v>
      </c>
      <c r="G8675" t="s">
        <v>32613</v>
      </c>
      <c r="H8675" t="s">
        <v>14201</v>
      </c>
      <c r="I8675" t="s">
        <v>6931</v>
      </c>
      <c r="J8675" t="s">
        <v>38138</v>
      </c>
      <c r="K8675" t="s">
        <v>42639</v>
      </c>
      <c r="M8675" t="s">
        <v>45905</v>
      </c>
      <c r="N8675" t="s">
        <v>47304</v>
      </c>
      <c r="O8675" t="s">
        <v>47305</v>
      </c>
      <c r="P8675">
        <v>0</v>
      </c>
      <c r="Q8675">
        <v>0</v>
      </c>
      <c r="R8675" t="s">
        <v>47312</v>
      </c>
      <c r="S8675" t="s">
        <v>47489</v>
      </c>
      <c r="T8675" t="s">
        <v>49065</v>
      </c>
      <c r="U8675" t="s">
        <v>56706</v>
      </c>
      <c r="V8675" t="s">
        <v>63561</v>
      </c>
      <c r="W8675" t="s">
        <v>45905</v>
      </c>
      <c r="X8675" t="s">
        <v>47313</v>
      </c>
    </row>
    <row r="8676" spans="1:24">
      <c r="A8676">
        <f>HYPERLINK("https://www.philgeps.gov.ph/GEPSNONPILOT/Tender/SplashBidNoticeAbstractUI.aspx?menuIndex=3&amp;refID=7188991&amp;Result=3","7188991")</f>
        <v>0</v>
      </c>
      <c r="B8676" t="s">
        <v>2741</v>
      </c>
      <c r="C8676" t="s">
        <v>12025</v>
      </c>
      <c r="D8676" t="s">
        <v>19004</v>
      </c>
      <c r="E8676" t="s">
        <v>26520</v>
      </c>
      <c r="F8676" t="s">
        <v>32606</v>
      </c>
      <c r="G8676" t="s">
        <v>32613</v>
      </c>
      <c r="H8676" t="s">
        <v>32623</v>
      </c>
      <c r="I8676" t="s">
        <v>17648</v>
      </c>
      <c r="J8676" t="s">
        <v>32795</v>
      </c>
      <c r="K8676" t="s">
        <v>42648</v>
      </c>
      <c r="M8676" t="s">
        <v>45897</v>
      </c>
      <c r="N8676" t="s">
        <v>47304</v>
      </c>
      <c r="O8676" t="s">
        <v>47305</v>
      </c>
      <c r="P8676">
        <v>0</v>
      </c>
      <c r="Q8676">
        <v>0</v>
      </c>
      <c r="R8676" t="s">
        <v>47312</v>
      </c>
      <c r="S8676" t="s">
        <v>47489</v>
      </c>
      <c r="T8676" t="s">
        <v>49075</v>
      </c>
      <c r="U8676" t="s">
        <v>56682</v>
      </c>
      <c r="V8676" t="s">
        <v>63559</v>
      </c>
      <c r="W8676" t="s">
        <v>45897</v>
      </c>
      <c r="X8676" t="s">
        <v>47313</v>
      </c>
    </row>
    <row r="8677" spans="1:24">
      <c r="A8677">
        <f>HYPERLINK("https://www.philgeps.gov.ph/GEPSNONPILOT/Tender/SplashBidNoticeAbstractUI.aspx?menuIndex=3&amp;refID=7188989&amp;Result=3","7188989")</f>
        <v>0</v>
      </c>
      <c r="B8677" t="s">
        <v>726</v>
      </c>
      <c r="C8677" t="s">
        <v>12026</v>
      </c>
      <c r="D8677" t="s">
        <v>19009</v>
      </c>
      <c r="E8677" t="s">
        <v>26521</v>
      </c>
      <c r="F8677" t="s">
        <v>32606</v>
      </c>
      <c r="G8677" t="s">
        <v>32617</v>
      </c>
      <c r="H8677" t="s">
        <v>14201</v>
      </c>
      <c r="I8677" t="s">
        <v>4120</v>
      </c>
      <c r="J8677" t="s">
        <v>38139</v>
      </c>
      <c r="K8677" t="s">
        <v>42623</v>
      </c>
      <c r="M8677" t="s">
        <v>45264</v>
      </c>
      <c r="N8677" t="s">
        <v>47304</v>
      </c>
      <c r="O8677" t="s">
        <v>47305</v>
      </c>
      <c r="P8677">
        <v>0</v>
      </c>
      <c r="Q8677">
        <v>1</v>
      </c>
      <c r="R8677" t="s">
        <v>47312</v>
      </c>
      <c r="S8677" t="s">
        <v>47489</v>
      </c>
      <c r="T8677" t="s">
        <v>49339</v>
      </c>
      <c r="U8677" t="s">
        <v>56707</v>
      </c>
      <c r="V8677" t="s">
        <v>62814</v>
      </c>
      <c r="W8677" t="s">
        <v>45264</v>
      </c>
      <c r="X8677" t="s">
        <v>47313</v>
      </c>
    </row>
    <row r="8678" spans="1:24">
      <c r="A8678">
        <f>HYPERLINK("https://www.philgeps.gov.ph/GEPSNONPILOT/Tender/SplashBidNoticeAbstractUI.aspx?menuIndex=3&amp;refID=7188973&amp;Result=3","7188973")</f>
        <v>0</v>
      </c>
      <c r="B8678" t="s">
        <v>2744</v>
      </c>
      <c r="C8678" t="s">
        <v>12027</v>
      </c>
      <c r="D8678" t="s">
        <v>18987</v>
      </c>
      <c r="E8678" t="s">
        <v>26522</v>
      </c>
      <c r="F8678" t="s">
        <v>32606</v>
      </c>
      <c r="G8678" t="s">
        <v>32613</v>
      </c>
      <c r="H8678" t="s">
        <v>32623</v>
      </c>
      <c r="I8678" t="s">
        <v>17648</v>
      </c>
      <c r="J8678" t="s">
        <v>38140</v>
      </c>
      <c r="K8678" t="s">
        <v>42712</v>
      </c>
      <c r="M8678" t="s">
        <v>45900</v>
      </c>
      <c r="N8678" t="s">
        <v>47304</v>
      </c>
      <c r="O8678" t="s">
        <v>47305</v>
      </c>
      <c r="P8678">
        <v>0</v>
      </c>
      <c r="Q8678">
        <v>0</v>
      </c>
      <c r="R8678" t="s">
        <v>47312</v>
      </c>
      <c r="S8678" t="s">
        <v>47489</v>
      </c>
      <c r="T8678" t="s">
        <v>49171</v>
      </c>
      <c r="U8678" t="s">
        <v>56708</v>
      </c>
      <c r="V8678" t="s">
        <v>63560</v>
      </c>
      <c r="W8678" t="s">
        <v>45900</v>
      </c>
      <c r="X8678" t="s">
        <v>47313</v>
      </c>
    </row>
    <row r="8679" spans="1:24">
      <c r="A8679">
        <f>HYPERLINK("https://www.philgeps.gov.ph/GEPSNONPILOT/Tender/SplashBidNoticeAbstractUI.aspx?menuIndex=3&amp;refID=7188895&amp;Result=3","7188895")</f>
        <v>0</v>
      </c>
      <c r="B8679" t="s">
        <v>537</v>
      </c>
      <c r="C8679" t="s">
        <v>12028</v>
      </c>
      <c r="D8679" t="s">
        <v>19049</v>
      </c>
      <c r="E8679" t="s">
        <v>26523</v>
      </c>
      <c r="F8679" t="s">
        <v>32606</v>
      </c>
      <c r="G8679" t="s">
        <v>32614</v>
      </c>
      <c r="H8679" t="s">
        <v>14201</v>
      </c>
      <c r="I8679" t="s">
        <v>32652</v>
      </c>
      <c r="J8679" t="s">
        <v>38141</v>
      </c>
      <c r="K8679" t="s">
        <v>42646</v>
      </c>
      <c r="M8679" t="s">
        <v>43450</v>
      </c>
      <c r="N8679" t="s">
        <v>47304</v>
      </c>
      <c r="O8679" t="s">
        <v>47305</v>
      </c>
      <c r="P8679">
        <v>0</v>
      </c>
      <c r="Q8679">
        <v>1</v>
      </c>
      <c r="R8679" t="s">
        <v>47312</v>
      </c>
      <c r="S8679" t="s">
        <v>47489</v>
      </c>
      <c r="T8679" t="s">
        <v>49256</v>
      </c>
      <c r="U8679" t="s">
        <v>56709</v>
      </c>
      <c r="W8679" t="s">
        <v>43450</v>
      </c>
      <c r="X8679" t="s">
        <v>47313</v>
      </c>
    </row>
    <row r="8680" spans="1:24">
      <c r="A8680">
        <f>HYPERLINK("https://www.philgeps.gov.ph/GEPSNONPILOT/Tender/SplashBidNoticeAbstractUI.aspx?menuIndex=3&amp;refID=7188943&amp;Result=3","7188943")</f>
        <v>0</v>
      </c>
      <c r="B8680" t="s">
        <v>2713</v>
      </c>
      <c r="C8680" t="s">
        <v>12029</v>
      </c>
      <c r="D8680" t="s">
        <v>19002</v>
      </c>
      <c r="E8680" t="s">
        <v>26524</v>
      </c>
      <c r="F8680" t="s">
        <v>32606</v>
      </c>
      <c r="G8680" t="s">
        <v>32614</v>
      </c>
      <c r="H8680" t="s">
        <v>14201</v>
      </c>
      <c r="I8680" t="s">
        <v>32654</v>
      </c>
      <c r="J8680" t="s">
        <v>38142</v>
      </c>
      <c r="K8680" t="s">
        <v>42623</v>
      </c>
      <c r="M8680" t="s">
        <v>45867</v>
      </c>
      <c r="N8680" t="s">
        <v>47304</v>
      </c>
      <c r="O8680" t="s">
        <v>47305</v>
      </c>
      <c r="P8680">
        <v>0</v>
      </c>
      <c r="Q8680">
        <v>0</v>
      </c>
      <c r="R8680" t="s">
        <v>47312</v>
      </c>
      <c r="S8680" t="s">
        <v>47489</v>
      </c>
      <c r="T8680" t="s">
        <v>49072</v>
      </c>
      <c r="U8680" t="s">
        <v>56710</v>
      </c>
      <c r="W8680" t="s">
        <v>45867</v>
      </c>
      <c r="X8680" t="s">
        <v>47313</v>
      </c>
    </row>
    <row r="8681" spans="1:24">
      <c r="A8681">
        <f>HYPERLINK("https://www.philgeps.gov.ph/GEPSNONPILOT/Tender/SplashBidNoticeAbstractUI.aspx?menuIndex=3&amp;refID=7188852&amp;Result=3","7188852")</f>
        <v>0</v>
      </c>
      <c r="B8681" t="s">
        <v>2708</v>
      </c>
      <c r="C8681" t="s">
        <v>12030</v>
      </c>
      <c r="D8681" t="s">
        <v>19058</v>
      </c>
      <c r="E8681" t="s">
        <v>26525</v>
      </c>
      <c r="F8681" t="s">
        <v>32606</v>
      </c>
      <c r="G8681" t="s">
        <v>32613</v>
      </c>
      <c r="H8681" t="s">
        <v>32623</v>
      </c>
      <c r="I8681" t="s">
        <v>17648</v>
      </c>
      <c r="J8681" t="s">
        <v>32795</v>
      </c>
      <c r="K8681" t="s">
        <v>42682</v>
      </c>
      <c r="M8681" t="s">
        <v>45861</v>
      </c>
      <c r="N8681" t="s">
        <v>47304</v>
      </c>
      <c r="O8681" t="s">
        <v>47305</v>
      </c>
      <c r="P8681">
        <v>0</v>
      </c>
      <c r="Q8681">
        <v>1</v>
      </c>
      <c r="R8681" t="s">
        <v>47312</v>
      </c>
      <c r="S8681" t="s">
        <v>47489</v>
      </c>
      <c r="T8681" t="s">
        <v>49075</v>
      </c>
      <c r="U8681" t="s">
        <v>56608</v>
      </c>
      <c r="W8681" t="s">
        <v>45861</v>
      </c>
      <c r="X8681" t="s">
        <v>47313</v>
      </c>
    </row>
    <row r="8682" spans="1:24">
      <c r="A8682">
        <f>HYPERLINK("https://www.philgeps.gov.ph/GEPSNONPILOT/Tender/SplashBidNoticeAbstractUI.aspx?menuIndex=3&amp;refID=7188998&amp;Result=3","7188998")</f>
        <v>0</v>
      </c>
      <c r="B8682" t="s">
        <v>2713</v>
      </c>
      <c r="C8682" t="s">
        <v>12031</v>
      </c>
      <c r="D8682" t="s">
        <v>19002</v>
      </c>
      <c r="E8682" t="s">
        <v>26526</v>
      </c>
      <c r="F8682" t="s">
        <v>32606</v>
      </c>
      <c r="G8682" t="s">
        <v>32614</v>
      </c>
      <c r="H8682" t="s">
        <v>14201</v>
      </c>
      <c r="I8682" t="s">
        <v>32660</v>
      </c>
      <c r="J8682" t="s">
        <v>33748</v>
      </c>
      <c r="K8682" t="s">
        <v>42623</v>
      </c>
      <c r="M8682" t="s">
        <v>45867</v>
      </c>
      <c r="N8682" t="s">
        <v>47304</v>
      </c>
      <c r="O8682" t="s">
        <v>47305</v>
      </c>
      <c r="P8682">
        <v>0</v>
      </c>
      <c r="Q8682">
        <v>1</v>
      </c>
      <c r="R8682" t="s">
        <v>47312</v>
      </c>
      <c r="S8682" t="s">
        <v>47489</v>
      </c>
      <c r="T8682" t="s">
        <v>49072</v>
      </c>
      <c r="U8682" t="s">
        <v>56711</v>
      </c>
      <c r="W8682" t="s">
        <v>45867</v>
      </c>
      <c r="X8682" t="s">
        <v>47313</v>
      </c>
    </row>
    <row r="8683" spans="1:24">
      <c r="A8683">
        <f>HYPERLINK("https://www.philgeps.gov.ph/GEPSNONPILOT/Tender/SplashBidNoticeAbstractUI.aspx?menuIndex=3&amp;refID=7189040&amp;Result=3","7189040")</f>
        <v>0</v>
      </c>
      <c r="B8683" t="s">
        <v>2749</v>
      </c>
      <c r="C8683" t="s">
        <v>12032</v>
      </c>
      <c r="D8683" t="s">
        <v>19031</v>
      </c>
      <c r="E8683" t="s">
        <v>26527</v>
      </c>
      <c r="F8683" t="s">
        <v>32606</v>
      </c>
      <c r="G8683" t="s">
        <v>32613</v>
      </c>
      <c r="H8683" t="s">
        <v>14201</v>
      </c>
      <c r="I8683" t="s">
        <v>6931</v>
      </c>
      <c r="J8683" t="s">
        <v>38143</v>
      </c>
      <c r="K8683" t="s">
        <v>42639</v>
      </c>
      <c r="M8683" t="s">
        <v>45905</v>
      </c>
      <c r="N8683" t="s">
        <v>47304</v>
      </c>
      <c r="O8683" t="s">
        <v>47305</v>
      </c>
      <c r="P8683">
        <v>0</v>
      </c>
      <c r="Q8683">
        <v>0</v>
      </c>
      <c r="R8683" t="s">
        <v>47312</v>
      </c>
      <c r="S8683" t="s">
        <v>47489</v>
      </c>
      <c r="T8683" t="s">
        <v>49065</v>
      </c>
      <c r="U8683" t="s">
        <v>56712</v>
      </c>
      <c r="V8683" t="s">
        <v>63562</v>
      </c>
      <c r="W8683" t="s">
        <v>45905</v>
      </c>
      <c r="X8683" t="s">
        <v>47313</v>
      </c>
    </row>
    <row r="8684" spans="1:24">
      <c r="A8684">
        <f>HYPERLINK("https://www.philgeps.gov.ph/GEPSNONPILOT/Tender/SplashBidNoticeAbstractUI.aspx?menuIndex=3&amp;refID=7189053&amp;Result=3","7189053")</f>
        <v>0</v>
      </c>
      <c r="B8684" t="s">
        <v>505</v>
      </c>
      <c r="C8684" t="s">
        <v>12033</v>
      </c>
      <c r="D8684" t="s">
        <v>19043</v>
      </c>
      <c r="E8684" t="s">
        <v>26528</v>
      </c>
      <c r="F8684" t="s">
        <v>32606</v>
      </c>
      <c r="G8684" t="s">
        <v>32613</v>
      </c>
      <c r="H8684" t="s">
        <v>14201</v>
      </c>
      <c r="I8684" t="s">
        <v>17648</v>
      </c>
      <c r="J8684" t="s">
        <v>38144</v>
      </c>
      <c r="K8684" t="s">
        <v>42622</v>
      </c>
      <c r="M8684" t="s">
        <v>45287</v>
      </c>
      <c r="N8684" t="s">
        <v>47304</v>
      </c>
      <c r="O8684" t="s">
        <v>47305</v>
      </c>
      <c r="P8684">
        <v>0</v>
      </c>
      <c r="Q8684">
        <v>3</v>
      </c>
      <c r="R8684" t="s">
        <v>47312</v>
      </c>
      <c r="S8684" t="s">
        <v>47489</v>
      </c>
      <c r="T8684" t="s">
        <v>49111</v>
      </c>
      <c r="U8684" t="s">
        <v>56713</v>
      </c>
      <c r="V8684" t="s">
        <v>63276</v>
      </c>
      <c r="W8684" t="s">
        <v>45287</v>
      </c>
      <c r="X8684" t="s">
        <v>47313</v>
      </c>
    </row>
    <row r="8685" spans="1:24">
      <c r="A8685">
        <f>HYPERLINK("https://www.philgeps.gov.ph/GEPSNONPILOT/Tender/SplashBidNoticeAbstractUI.aspx?menuIndex=3&amp;refID=7189025&amp;Result=3","7189025")</f>
        <v>0</v>
      </c>
      <c r="B8685" t="s">
        <v>762</v>
      </c>
      <c r="C8685" t="s">
        <v>12034</v>
      </c>
      <c r="D8685" t="s">
        <v>18989</v>
      </c>
      <c r="E8685" t="s">
        <v>26529</v>
      </c>
      <c r="F8685" t="s">
        <v>32606</v>
      </c>
      <c r="G8685" t="s">
        <v>32617</v>
      </c>
      <c r="H8685" t="s">
        <v>14201</v>
      </c>
      <c r="I8685" t="s">
        <v>32638</v>
      </c>
      <c r="J8685" t="s">
        <v>32949</v>
      </c>
      <c r="K8685" t="s">
        <v>42624</v>
      </c>
      <c r="M8685" t="s">
        <v>43686</v>
      </c>
      <c r="N8685" t="s">
        <v>47304</v>
      </c>
      <c r="O8685" t="s">
        <v>47305</v>
      </c>
      <c r="P8685">
        <v>0</v>
      </c>
      <c r="Q8685">
        <v>10</v>
      </c>
      <c r="R8685" t="s">
        <v>47312</v>
      </c>
      <c r="S8685" t="s">
        <v>47489</v>
      </c>
      <c r="T8685" t="s">
        <v>49068</v>
      </c>
      <c r="U8685" t="s">
        <v>56714</v>
      </c>
      <c r="W8685" t="s">
        <v>43686</v>
      </c>
      <c r="X8685" t="s">
        <v>47313</v>
      </c>
    </row>
    <row r="8686" spans="1:24">
      <c r="A8686">
        <f>HYPERLINK("https://www.philgeps.gov.ph/GEPSNONPILOT/Tender/SplashBidNoticeAbstractUI.aspx?menuIndex=3&amp;refID=7189018&amp;Result=3","7189018")</f>
        <v>0</v>
      </c>
      <c r="B8686" t="s">
        <v>2711</v>
      </c>
      <c r="C8686" t="s">
        <v>5048</v>
      </c>
      <c r="D8686" t="s">
        <v>19046</v>
      </c>
      <c r="E8686" t="s">
        <v>26530</v>
      </c>
      <c r="F8686" t="s">
        <v>32606</v>
      </c>
      <c r="G8686" t="s">
        <v>32614</v>
      </c>
      <c r="H8686" t="s">
        <v>14201</v>
      </c>
      <c r="I8686" t="s">
        <v>4678</v>
      </c>
      <c r="J8686" t="s">
        <v>32999</v>
      </c>
      <c r="K8686" t="s">
        <v>42623</v>
      </c>
      <c r="M8686" t="s">
        <v>45864</v>
      </c>
      <c r="N8686" t="s">
        <v>47304</v>
      </c>
      <c r="O8686" t="s">
        <v>47305</v>
      </c>
      <c r="P8686">
        <v>0</v>
      </c>
      <c r="Q8686">
        <v>0</v>
      </c>
      <c r="R8686" t="s">
        <v>47312</v>
      </c>
      <c r="S8686" t="s">
        <v>47489</v>
      </c>
      <c r="T8686" t="s">
        <v>49020</v>
      </c>
      <c r="U8686" t="s">
        <v>56715</v>
      </c>
      <c r="W8686" t="s">
        <v>45864</v>
      </c>
      <c r="X8686" t="s">
        <v>47313</v>
      </c>
    </row>
    <row r="8687" spans="1:24">
      <c r="A8687">
        <f>HYPERLINK("https://www.philgeps.gov.ph/GEPSNONPILOT/Tender/SplashBidNoticeAbstractUI.aspx?menuIndex=3&amp;refID=7189016&amp;Result=3","7189016")</f>
        <v>0</v>
      </c>
      <c r="B8687" t="s">
        <v>1208</v>
      </c>
      <c r="C8687" t="s">
        <v>6007</v>
      </c>
      <c r="D8687" t="s">
        <v>19026</v>
      </c>
      <c r="E8687" t="s">
        <v>26531</v>
      </c>
      <c r="F8687" t="s">
        <v>32606</v>
      </c>
      <c r="G8687" t="s">
        <v>32613</v>
      </c>
      <c r="H8687" t="s">
        <v>14201</v>
      </c>
      <c r="I8687" t="s">
        <v>6007</v>
      </c>
      <c r="J8687" t="s">
        <v>32789</v>
      </c>
      <c r="K8687" t="s">
        <v>42624</v>
      </c>
      <c r="M8687" t="s">
        <v>44173</v>
      </c>
      <c r="N8687" t="s">
        <v>47304</v>
      </c>
      <c r="O8687" t="s">
        <v>47305</v>
      </c>
      <c r="P8687">
        <v>0</v>
      </c>
      <c r="Q8687">
        <v>0</v>
      </c>
      <c r="R8687" t="s">
        <v>47312</v>
      </c>
      <c r="S8687" t="s">
        <v>47489</v>
      </c>
      <c r="T8687" t="s">
        <v>49014</v>
      </c>
      <c r="U8687" t="s">
        <v>56716</v>
      </c>
      <c r="W8687" t="s">
        <v>44173</v>
      </c>
      <c r="X8687" t="s">
        <v>47313</v>
      </c>
    </row>
    <row r="8688" spans="1:24">
      <c r="A8688">
        <f>HYPERLINK("https://www.philgeps.gov.ph/GEPSNONPILOT/Tender/SplashBidNoticeAbstractUI.aspx?menuIndex=3&amp;refID=7189013&amp;Result=3","7189013")</f>
        <v>0</v>
      </c>
      <c r="B8688" t="s">
        <v>778</v>
      </c>
      <c r="C8688" t="s">
        <v>12035</v>
      </c>
      <c r="D8688" t="s">
        <v>19012</v>
      </c>
      <c r="E8688" t="s">
        <v>19394</v>
      </c>
      <c r="F8688" t="s">
        <v>32606</v>
      </c>
      <c r="G8688" t="s">
        <v>32613</v>
      </c>
      <c r="H8688" t="s">
        <v>14201</v>
      </c>
      <c r="I8688" t="s">
        <v>7577</v>
      </c>
      <c r="J8688" t="s">
        <v>33927</v>
      </c>
      <c r="K8688" t="s">
        <v>42623</v>
      </c>
      <c r="M8688" t="s">
        <v>43708</v>
      </c>
      <c r="N8688" t="s">
        <v>47304</v>
      </c>
      <c r="O8688" t="s">
        <v>47305</v>
      </c>
      <c r="P8688">
        <v>0</v>
      </c>
      <c r="Q8688">
        <v>4</v>
      </c>
      <c r="R8688" t="s">
        <v>47312</v>
      </c>
      <c r="S8688" t="s">
        <v>47489</v>
      </c>
      <c r="T8688" t="s">
        <v>49050</v>
      </c>
      <c r="U8688" t="s">
        <v>56717</v>
      </c>
      <c r="W8688" t="s">
        <v>43708</v>
      </c>
      <c r="X8688" t="s">
        <v>47313</v>
      </c>
    </row>
    <row r="8689" spans="1:24">
      <c r="A8689">
        <f>HYPERLINK("https://www.philgeps.gov.ph/GEPSNONPILOT/Tender/SplashBidNoticeAbstractUI.aspx?menuIndex=3&amp;refID=7189008&amp;Result=3","7189008")</f>
        <v>0</v>
      </c>
      <c r="B8689" t="s">
        <v>873</v>
      </c>
      <c r="C8689" t="s">
        <v>12036</v>
      </c>
      <c r="D8689" t="s">
        <v>19002</v>
      </c>
      <c r="E8689" t="s">
        <v>25237</v>
      </c>
      <c r="F8689" t="s">
        <v>32606</v>
      </c>
      <c r="G8689" t="s">
        <v>32613</v>
      </c>
      <c r="H8689" t="s">
        <v>32623</v>
      </c>
      <c r="I8689" t="s">
        <v>17648</v>
      </c>
      <c r="J8689" t="s">
        <v>38135</v>
      </c>
      <c r="K8689" t="s">
        <v>42726</v>
      </c>
      <c r="M8689" t="s">
        <v>43809</v>
      </c>
      <c r="N8689" t="s">
        <v>47304</v>
      </c>
      <c r="O8689" t="s">
        <v>47305</v>
      </c>
      <c r="P8689">
        <v>0</v>
      </c>
      <c r="Q8689">
        <v>1</v>
      </c>
      <c r="R8689" t="s">
        <v>47312</v>
      </c>
      <c r="S8689" t="s">
        <v>47489</v>
      </c>
      <c r="T8689" t="s">
        <v>49397</v>
      </c>
      <c r="U8689" t="s">
        <v>53660</v>
      </c>
      <c r="W8689" t="s">
        <v>43809</v>
      </c>
      <c r="X8689" t="s">
        <v>47313</v>
      </c>
    </row>
    <row r="8690" spans="1:24">
      <c r="A8690">
        <f>HYPERLINK("https://www.philgeps.gov.ph/GEPSNONPILOT/Tender/SplashBidNoticeAbstractUI.aspx?menuIndex=3&amp;refID=7189034&amp;Result=3","7189034")</f>
        <v>0</v>
      </c>
      <c r="B8690" t="s">
        <v>873</v>
      </c>
      <c r="C8690" t="s">
        <v>12037</v>
      </c>
      <c r="D8690" t="s">
        <v>19002</v>
      </c>
      <c r="E8690" t="s">
        <v>25313</v>
      </c>
      <c r="F8690" t="s">
        <v>32606</v>
      </c>
      <c r="G8690" t="s">
        <v>32613</v>
      </c>
      <c r="H8690" t="s">
        <v>32623</v>
      </c>
      <c r="I8690" t="s">
        <v>17648</v>
      </c>
      <c r="J8690" t="s">
        <v>38145</v>
      </c>
      <c r="K8690" t="s">
        <v>42743</v>
      </c>
      <c r="M8690" t="s">
        <v>43809</v>
      </c>
      <c r="N8690" t="s">
        <v>47304</v>
      </c>
      <c r="O8690" t="s">
        <v>47305</v>
      </c>
      <c r="P8690">
        <v>0</v>
      </c>
      <c r="Q8690">
        <v>0</v>
      </c>
      <c r="R8690" t="s">
        <v>47312</v>
      </c>
      <c r="S8690" t="s">
        <v>47489</v>
      </c>
      <c r="T8690" t="s">
        <v>49397</v>
      </c>
      <c r="U8690" t="s">
        <v>53660</v>
      </c>
      <c r="W8690" t="s">
        <v>43809</v>
      </c>
      <c r="X8690" t="s">
        <v>47313</v>
      </c>
    </row>
    <row r="8691" spans="1:24">
      <c r="A8691">
        <f>HYPERLINK("https://www.philgeps.gov.ph/GEPSNONPILOT/Tender/SplashBidNoticeAbstractUI.aspx?menuIndex=3&amp;refID=7189047&amp;Result=3","7189047")</f>
        <v>0</v>
      </c>
      <c r="B8691" t="s">
        <v>2750</v>
      </c>
      <c r="C8691" t="s">
        <v>12038</v>
      </c>
      <c r="D8691" t="s">
        <v>19016</v>
      </c>
      <c r="E8691" t="s">
        <v>26532</v>
      </c>
      <c r="F8691" t="s">
        <v>32606</v>
      </c>
      <c r="G8691" t="s">
        <v>32614</v>
      </c>
      <c r="H8691" t="s">
        <v>14201</v>
      </c>
      <c r="I8691" t="s">
        <v>7529</v>
      </c>
      <c r="J8691" t="s">
        <v>38146</v>
      </c>
      <c r="K8691" t="s">
        <v>42648</v>
      </c>
      <c r="M8691" t="s">
        <v>45906</v>
      </c>
      <c r="N8691" t="s">
        <v>47304</v>
      </c>
      <c r="O8691" t="s">
        <v>47305</v>
      </c>
      <c r="P8691">
        <v>0</v>
      </c>
      <c r="Q8691">
        <v>1</v>
      </c>
      <c r="R8691" t="s">
        <v>47312</v>
      </c>
      <c r="S8691" t="s">
        <v>47489</v>
      </c>
      <c r="T8691" t="s">
        <v>49399</v>
      </c>
      <c r="U8691" t="s">
        <v>56718</v>
      </c>
      <c r="W8691" t="s">
        <v>45906</v>
      </c>
      <c r="X8691" t="s">
        <v>47313</v>
      </c>
    </row>
    <row r="8692" spans="1:24">
      <c r="A8692">
        <f>HYPERLINK("https://www.philgeps.gov.ph/GEPSNONPILOT/Tender/SplashBidNoticeAbstractUI.aspx?menuIndex=3&amp;refID=7189070&amp;Result=3","7189070")</f>
        <v>0</v>
      </c>
      <c r="B8692" t="s">
        <v>2516</v>
      </c>
      <c r="C8692" t="s">
        <v>12039</v>
      </c>
      <c r="D8692" t="s">
        <v>18995</v>
      </c>
      <c r="E8692" t="s">
        <v>26533</v>
      </c>
      <c r="F8692" t="s">
        <v>32606</v>
      </c>
      <c r="G8692" t="s">
        <v>32613</v>
      </c>
      <c r="H8692" t="s">
        <v>32623</v>
      </c>
      <c r="I8692" t="s">
        <v>17648</v>
      </c>
      <c r="J8692" t="s">
        <v>38147</v>
      </c>
      <c r="K8692" t="s">
        <v>42791</v>
      </c>
      <c r="M8692" t="s">
        <v>45657</v>
      </c>
      <c r="N8692" t="s">
        <v>47304</v>
      </c>
      <c r="O8692" t="s">
        <v>47305</v>
      </c>
      <c r="P8692">
        <v>0</v>
      </c>
      <c r="Q8692">
        <v>3</v>
      </c>
      <c r="R8692" t="s">
        <v>47312</v>
      </c>
      <c r="S8692" t="s">
        <v>47489</v>
      </c>
      <c r="T8692" t="s">
        <v>49364</v>
      </c>
      <c r="U8692" t="s">
        <v>56719</v>
      </c>
      <c r="W8692" t="s">
        <v>45657</v>
      </c>
      <c r="X8692" t="s">
        <v>47313</v>
      </c>
    </row>
    <row r="8693" spans="1:24">
      <c r="A8693">
        <f>HYPERLINK("https://www.philgeps.gov.ph/GEPSNONPILOT/Tender/SplashBidNoticeAbstractUI.aspx?menuIndex=3&amp;refID=7189069&amp;Result=3","7189069")</f>
        <v>0</v>
      </c>
      <c r="B8693" t="s">
        <v>873</v>
      </c>
      <c r="C8693" t="s">
        <v>12040</v>
      </c>
      <c r="D8693" t="s">
        <v>19002</v>
      </c>
      <c r="E8693" t="s">
        <v>26534</v>
      </c>
      <c r="F8693" t="s">
        <v>32606</v>
      </c>
      <c r="G8693" t="s">
        <v>32613</v>
      </c>
      <c r="H8693" t="s">
        <v>32623</v>
      </c>
      <c r="I8693" t="s">
        <v>17648</v>
      </c>
      <c r="J8693" t="s">
        <v>38148</v>
      </c>
      <c r="K8693" t="s">
        <v>42822</v>
      </c>
      <c r="M8693" t="s">
        <v>43809</v>
      </c>
      <c r="N8693" t="s">
        <v>47304</v>
      </c>
      <c r="O8693" t="s">
        <v>47305</v>
      </c>
      <c r="P8693">
        <v>0</v>
      </c>
      <c r="Q8693">
        <v>0</v>
      </c>
      <c r="R8693" t="s">
        <v>47312</v>
      </c>
      <c r="S8693" t="s">
        <v>47489</v>
      </c>
      <c r="T8693" t="s">
        <v>49397</v>
      </c>
      <c r="U8693" t="s">
        <v>53660</v>
      </c>
      <c r="W8693" t="s">
        <v>43809</v>
      </c>
      <c r="X8693" t="s">
        <v>47313</v>
      </c>
    </row>
    <row r="8694" spans="1:24">
      <c r="A8694">
        <f>HYPERLINK("https://www.philgeps.gov.ph/GEPSNONPILOT/Tender/SplashBidNoticeAbstractUI.aspx?menuIndex=3&amp;refID=7189066&amp;Result=3","7189066")</f>
        <v>0</v>
      </c>
      <c r="B8694" t="s">
        <v>360</v>
      </c>
      <c r="C8694" t="s">
        <v>12041</v>
      </c>
      <c r="D8694" t="s">
        <v>19040</v>
      </c>
      <c r="E8694" t="s">
        <v>26535</v>
      </c>
      <c r="F8694" t="s">
        <v>32606</v>
      </c>
      <c r="G8694" t="s">
        <v>32613</v>
      </c>
      <c r="H8694" t="s">
        <v>14201</v>
      </c>
      <c r="I8694" t="s">
        <v>7064</v>
      </c>
      <c r="J8694" t="s">
        <v>33617</v>
      </c>
      <c r="K8694" t="s">
        <v>42646</v>
      </c>
      <c r="M8694" t="s">
        <v>43332</v>
      </c>
      <c r="N8694" t="s">
        <v>47304</v>
      </c>
      <c r="O8694" t="s">
        <v>47305</v>
      </c>
      <c r="P8694">
        <v>0</v>
      </c>
      <c r="Q8694">
        <v>12</v>
      </c>
      <c r="R8694" t="s">
        <v>47312</v>
      </c>
      <c r="S8694" t="s">
        <v>47489</v>
      </c>
      <c r="T8694" t="s">
        <v>49073</v>
      </c>
      <c r="U8694" t="s">
        <v>56720</v>
      </c>
      <c r="W8694" t="s">
        <v>43332</v>
      </c>
      <c r="X8694" t="s">
        <v>47313</v>
      </c>
    </row>
    <row r="8695" spans="1:24">
      <c r="A8695">
        <f>HYPERLINK("https://www.philgeps.gov.ph/GEPSNONPILOT/Tender/SplashBidNoticeAbstractUI.aspx?menuIndex=3&amp;refID=7189061&amp;Result=3","7189061")</f>
        <v>0</v>
      </c>
      <c r="B8695" t="s">
        <v>2115</v>
      </c>
      <c r="C8695" t="s">
        <v>12042</v>
      </c>
      <c r="D8695" t="s">
        <v>19008</v>
      </c>
      <c r="E8695" t="s">
        <v>26536</v>
      </c>
      <c r="F8695" t="s">
        <v>32606</v>
      </c>
      <c r="G8695" t="s">
        <v>32613</v>
      </c>
      <c r="H8695" t="s">
        <v>14201</v>
      </c>
      <c r="I8695" t="s">
        <v>32655</v>
      </c>
      <c r="J8695" t="s">
        <v>38149</v>
      </c>
      <c r="K8695" t="s">
        <v>42631</v>
      </c>
      <c r="M8695" t="s">
        <v>45789</v>
      </c>
      <c r="N8695" t="s">
        <v>47304</v>
      </c>
      <c r="O8695" t="s">
        <v>47305</v>
      </c>
      <c r="P8695">
        <v>0</v>
      </c>
      <c r="Q8695">
        <v>2</v>
      </c>
      <c r="R8695" t="s">
        <v>47312</v>
      </c>
      <c r="S8695" t="s">
        <v>47489</v>
      </c>
      <c r="T8695" t="s">
        <v>49073</v>
      </c>
      <c r="U8695" t="s">
        <v>56721</v>
      </c>
      <c r="V8695" t="s">
        <v>63563</v>
      </c>
      <c r="W8695" t="s">
        <v>45789</v>
      </c>
      <c r="X8695" t="s">
        <v>47313</v>
      </c>
    </row>
    <row r="8696" spans="1:24">
      <c r="A8696">
        <f>HYPERLINK("https://www.philgeps.gov.ph/GEPSNONPILOT/Tender/SplashBidNoticeAbstractUI.aspx?menuIndex=3&amp;refID=7189059&amp;Result=3","7189059")</f>
        <v>0</v>
      </c>
      <c r="B8696" t="s">
        <v>1034</v>
      </c>
      <c r="C8696" t="s">
        <v>12043</v>
      </c>
      <c r="D8696" t="s">
        <v>19022</v>
      </c>
      <c r="E8696" t="s">
        <v>26537</v>
      </c>
      <c r="F8696" t="s">
        <v>32606</v>
      </c>
      <c r="G8696" t="s">
        <v>32614</v>
      </c>
      <c r="H8696" t="s">
        <v>14201</v>
      </c>
      <c r="I8696" t="s">
        <v>32653</v>
      </c>
      <c r="J8696" t="s">
        <v>32789</v>
      </c>
      <c r="K8696" t="s">
        <v>42624</v>
      </c>
      <c r="M8696" t="s">
        <v>45118</v>
      </c>
      <c r="N8696" t="s">
        <v>47304</v>
      </c>
      <c r="O8696" t="s">
        <v>47305</v>
      </c>
      <c r="Q8696">
        <v>4</v>
      </c>
      <c r="R8696" t="s">
        <v>47312</v>
      </c>
      <c r="S8696" t="s">
        <v>47516</v>
      </c>
      <c r="T8696" t="s">
        <v>48997</v>
      </c>
      <c r="U8696" t="s">
        <v>54635</v>
      </c>
      <c r="W8696" t="s">
        <v>45118</v>
      </c>
      <c r="X8696" t="s">
        <v>47313</v>
      </c>
    </row>
    <row r="8697" spans="1:24">
      <c r="A8697">
        <f>HYPERLINK("https://www.philgeps.gov.ph/GEPSNONPILOT/Tender/SplashBidNoticeAbstractUI.aspx?menuIndex=3&amp;refID=7189074&amp;Result=3","7189074")</f>
        <v>0</v>
      </c>
      <c r="B8697" t="s">
        <v>1149</v>
      </c>
      <c r="C8697" t="s">
        <v>12044</v>
      </c>
      <c r="D8697" t="s">
        <v>19016</v>
      </c>
      <c r="E8697" t="s">
        <v>26538</v>
      </c>
      <c r="F8697" t="s">
        <v>32606</v>
      </c>
      <c r="G8697" t="s">
        <v>32619</v>
      </c>
      <c r="H8697" t="s">
        <v>14201</v>
      </c>
      <c r="I8697" t="s">
        <v>32633</v>
      </c>
      <c r="J8697" t="s">
        <v>38150</v>
      </c>
      <c r="K8697" t="s">
        <v>42624</v>
      </c>
      <c r="M8697" t="s">
        <v>45907</v>
      </c>
      <c r="N8697" t="s">
        <v>47304</v>
      </c>
      <c r="O8697" t="s">
        <v>47305</v>
      </c>
      <c r="Q8697">
        <v>3</v>
      </c>
      <c r="R8697" t="s">
        <v>47312</v>
      </c>
      <c r="S8697" t="s">
        <v>47517</v>
      </c>
      <c r="T8697" t="s">
        <v>49165</v>
      </c>
      <c r="U8697" t="s">
        <v>56722</v>
      </c>
      <c r="W8697" t="s">
        <v>64514</v>
      </c>
      <c r="X8697" t="s">
        <v>47313</v>
      </c>
    </row>
    <row r="8698" spans="1:24">
      <c r="A8698">
        <f>HYPERLINK("https://www.philgeps.gov.ph/GEPSNONPILOT/Tender/SplashBidNoticeAbstractUI.aspx?menuIndex=3&amp;refID=7189107&amp;Result=3","7189107")</f>
        <v>0</v>
      </c>
      <c r="B8698" t="s">
        <v>379</v>
      </c>
      <c r="C8698" t="s">
        <v>12045</v>
      </c>
      <c r="D8698" t="s">
        <v>19049</v>
      </c>
      <c r="E8698" t="s">
        <v>21069</v>
      </c>
      <c r="F8698" t="s">
        <v>32606</v>
      </c>
      <c r="G8698" t="s">
        <v>32619</v>
      </c>
      <c r="H8698" t="s">
        <v>14201</v>
      </c>
      <c r="I8698" t="s">
        <v>32638</v>
      </c>
      <c r="J8698" t="s">
        <v>32999</v>
      </c>
      <c r="K8698" t="s">
        <v>42631</v>
      </c>
      <c r="M8698" t="s">
        <v>43281</v>
      </c>
      <c r="N8698" t="s">
        <v>47304</v>
      </c>
      <c r="O8698" t="s">
        <v>47305</v>
      </c>
      <c r="P8698">
        <v>0</v>
      </c>
      <c r="Q8698">
        <v>16</v>
      </c>
      <c r="R8698" t="s">
        <v>47312</v>
      </c>
      <c r="S8698" t="s">
        <v>47489</v>
      </c>
      <c r="T8698" t="s">
        <v>49331</v>
      </c>
      <c r="U8698" t="s">
        <v>56723</v>
      </c>
      <c r="W8698" t="s">
        <v>43281</v>
      </c>
      <c r="X8698" t="s">
        <v>47313</v>
      </c>
    </row>
    <row r="8699" spans="1:24">
      <c r="A8699">
        <f>HYPERLINK("https://www.philgeps.gov.ph/GEPSNONPILOT/Tender/SplashBidNoticeAbstractUI.aspx?menuIndex=3&amp;refID=7189104&amp;Result=3","7189104")</f>
        <v>0</v>
      </c>
      <c r="B8699" t="s">
        <v>1512</v>
      </c>
      <c r="C8699" t="s">
        <v>12046</v>
      </c>
      <c r="D8699" t="s">
        <v>18993</v>
      </c>
      <c r="E8699" t="s">
        <v>26539</v>
      </c>
      <c r="F8699" t="s">
        <v>32606</v>
      </c>
      <c r="G8699" t="s">
        <v>32614</v>
      </c>
      <c r="H8699" t="s">
        <v>14201</v>
      </c>
      <c r="I8699" t="s">
        <v>13131</v>
      </c>
      <c r="J8699" t="s">
        <v>38151</v>
      </c>
      <c r="K8699" t="s">
        <v>42632</v>
      </c>
      <c r="M8699" t="s">
        <v>44512</v>
      </c>
      <c r="N8699" t="s">
        <v>47304</v>
      </c>
      <c r="O8699" t="s">
        <v>47305</v>
      </c>
      <c r="P8699">
        <v>0</v>
      </c>
      <c r="Q8699">
        <v>10</v>
      </c>
      <c r="R8699" t="s">
        <v>47312</v>
      </c>
      <c r="S8699" t="s">
        <v>47489</v>
      </c>
      <c r="T8699" t="s">
        <v>49257</v>
      </c>
      <c r="U8699" t="s">
        <v>56724</v>
      </c>
      <c r="W8699" t="s">
        <v>44512</v>
      </c>
      <c r="X8699" t="s">
        <v>47313</v>
      </c>
    </row>
    <row r="8700" spans="1:24">
      <c r="A8700">
        <f>HYPERLINK("https://www.philgeps.gov.ph/GEPSNONPILOT/Tender/SplashBidNoticeAbstractUI.aspx?menuIndex=3&amp;refID=7189100&amp;Result=3","7189100")</f>
        <v>0</v>
      </c>
      <c r="B8700" t="s">
        <v>1333</v>
      </c>
      <c r="C8700" t="s">
        <v>12047</v>
      </c>
      <c r="D8700" t="s">
        <v>19005</v>
      </c>
      <c r="E8700" t="s">
        <v>26540</v>
      </c>
      <c r="F8700" t="s">
        <v>32606</v>
      </c>
      <c r="G8700" t="s">
        <v>32613</v>
      </c>
      <c r="H8700" t="s">
        <v>14201</v>
      </c>
      <c r="I8700" t="s">
        <v>4120</v>
      </c>
      <c r="J8700" t="s">
        <v>38152</v>
      </c>
      <c r="K8700" t="s">
        <v>42622</v>
      </c>
      <c r="M8700" t="s">
        <v>44307</v>
      </c>
      <c r="N8700" t="s">
        <v>47304</v>
      </c>
      <c r="O8700" t="s">
        <v>47305</v>
      </c>
      <c r="P8700">
        <v>0</v>
      </c>
      <c r="Q8700">
        <v>5</v>
      </c>
      <c r="R8700" t="s">
        <v>47312</v>
      </c>
      <c r="S8700" t="s">
        <v>47489</v>
      </c>
      <c r="T8700" t="s">
        <v>48986</v>
      </c>
      <c r="U8700" t="s">
        <v>56725</v>
      </c>
      <c r="W8700" t="s">
        <v>44307</v>
      </c>
      <c r="X8700" t="s">
        <v>47313</v>
      </c>
    </row>
    <row r="8701" spans="1:24">
      <c r="A8701">
        <f>HYPERLINK("https://www.philgeps.gov.ph/GEPSNONPILOT/Tender/SplashBidNoticeAbstractUI.aspx?menuIndex=3&amp;refID=7189091&amp;Result=3","7189091")</f>
        <v>0</v>
      </c>
      <c r="B8701" t="s">
        <v>2713</v>
      </c>
      <c r="C8701" t="s">
        <v>12048</v>
      </c>
      <c r="D8701" t="s">
        <v>19002</v>
      </c>
      <c r="E8701" t="s">
        <v>22401</v>
      </c>
      <c r="F8701" t="s">
        <v>32606</v>
      </c>
      <c r="G8701" t="s">
        <v>32614</v>
      </c>
      <c r="H8701" t="s">
        <v>14201</v>
      </c>
      <c r="I8701" t="s">
        <v>32629</v>
      </c>
      <c r="J8701" t="s">
        <v>32759</v>
      </c>
      <c r="K8701" t="s">
        <v>42623</v>
      </c>
      <c r="M8701" t="s">
        <v>45867</v>
      </c>
      <c r="N8701" t="s">
        <v>47304</v>
      </c>
      <c r="O8701" t="s">
        <v>47305</v>
      </c>
      <c r="P8701">
        <v>0</v>
      </c>
      <c r="Q8701">
        <v>0</v>
      </c>
      <c r="R8701" t="s">
        <v>47312</v>
      </c>
      <c r="S8701" t="s">
        <v>47489</v>
      </c>
      <c r="T8701" t="s">
        <v>49072</v>
      </c>
      <c r="U8701" t="s">
        <v>56726</v>
      </c>
      <c r="W8701" t="s">
        <v>45867</v>
      </c>
      <c r="X8701" t="s">
        <v>47313</v>
      </c>
    </row>
    <row r="8702" spans="1:24">
      <c r="A8702">
        <f>HYPERLINK("https://www.philgeps.gov.ph/GEPSNONPILOT/Tender/SplashBidNoticeAbstractUI.aspx?menuIndex=3&amp;refID=7189090&amp;Result=3","7189090")</f>
        <v>0</v>
      </c>
      <c r="B8702" t="s">
        <v>1086</v>
      </c>
      <c r="C8702" t="s">
        <v>12049</v>
      </c>
      <c r="E8702" t="s">
        <v>26541</v>
      </c>
      <c r="F8702" t="s">
        <v>32609</v>
      </c>
      <c r="G8702" t="s">
        <v>32619</v>
      </c>
      <c r="H8702" t="s">
        <v>14201</v>
      </c>
      <c r="I8702" t="s">
        <v>6007</v>
      </c>
      <c r="J8702" t="s">
        <v>38153</v>
      </c>
      <c r="K8702" t="s">
        <v>42624</v>
      </c>
      <c r="M8702" t="s">
        <v>45908</v>
      </c>
      <c r="N8702" t="s">
        <v>47304</v>
      </c>
      <c r="O8702" t="s">
        <v>47305</v>
      </c>
      <c r="P8702">
        <v>0</v>
      </c>
      <c r="Q8702">
        <v>2</v>
      </c>
      <c r="R8702" t="s">
        <v>47312</v>
      </c>
      <c r="S8702" t="s">
        <v>47489</v>
      </c>
      <c r="T8702" t="s">
        <v>49053</v>
      </c>
      <c r="U8702" t="s">
        <v>56727</v>
      </c>
      <c r="W8702" t="s">
        <v>44041</v>
      </c>
      <c r="X8702" t="s">
        <v>47313</v>
      </c>
    </row>
    <row r="8703" spans="1:24">
      <c r="A8703">
        <f>HYPERLINK("https://www.philgeps.gov.ph/GEPSNONPILOT/Tender/SplashBidNoticeAbstractUI.aspx?menuIndex=3&amp;refID=7189049&amp;Result=3","7189049")</f>
        <v>0</v>
      </c>
      <c r="B8703" t="s">
        <v>726</v>
      </c>
      <c r="C8703" t="s">
        <v>12050</v>
      </c>
      <c r="D8703" t="s">
        <v>19009</v>
      </c>
      <c r="E8703" t="s">
        <v>26542</v>
      </c>
      <c r="F8703" t="s">
        <v>32606</v>
      </c>
      <c r="G8703" t="s">
        <v>32617</v>
      </c>
      <c r="H8703" t="s">
        <v>14201</v>
      </c>
      <c r="I8703" t="s">
        <v>6014</v>
      </c>
      <c r="J8703" t="s">
        <v>38154</v>
      </c>
      <c r="K8703" t="s">
        <v>42623</v>
      </c>
      <c r="M8703" t="s">
        <v>45264</v>
      </c>
      <c r="N8703" t="s">
        <v>47304</v>
      </c>
      <c r="O8703" t="s">
        <v>47305</v>
      </c>
      <c r="P8703">
        <v>0</v>
      </c>
      <c r="Q8703">
        <v>1</v>
      </c>
      <c r="R8703" t="s">
        <v>47312</v>
      </c>
      <c r="S8703" t="s">
        <v>47489</v>
      </c>
      <c r="T8703" t="s">
        <v>49339</v>
      </c>
      <c r="U8703" t="s">
        <v>56728</v>
      </c>
      <c r="V8703" t="s">
        <v>62814</v>
      </c>
      <c r="W8703" t="s">
        <v>45264</v>
      </c>
      <c r="X8703" t="s">
        <v>47313</v>
      </c>
    </row>
    <row r="8704" spans="1:24">
      <c r="A8704">
        <f>HYPERLINK("https://www.philgeps.gov.ph/GEPSNONPILOT/Tender/SplashBidNoticeAbstractUI.aspx?menuIndex=3&amp;refID=7189097&amp;Result=3","7189097")</f>
        <v>0</v>
      </c>
      <c r="B8704" t="s">
        <v>2115</v>
      </c>
      <c r="C8704" t="s">
        <v>12051</v>
      </c>
      <c r="D8704" t="s">
        <v>19008</v>
      </c>
      <c r="E8704" t="s">
        <v>26543</v>
      </c>
      <c r="F8704" t="s">
        <v>32606</v>
      </c>
      <c r="G8704" t="s">
        <v>32613</v>
      </c>
      <c r="H8704" t="s">
        <v>14201</v>
      </c>
      <c r="I8704" t="s">
        <v>32646</v>
      </c>
      <c r="J8704" t="s">
        <v>33986</v>
      </c>
      <c r="K8704" t="s">
        <v>42638</v>
      </c>
      <c r="M8704" t="s">
        <v>45789</v>
      </c>
      <c r="N8704" t="s">
        <v>47304</v>
      </c>
      <c r="O8704" t="s">
        <v>47305</v>
      </c>
      <c r="P8704">
        <v>0</v>
      </c>
      <c r="Q8704">
        <v>1</v>
      </c>
      <c r="R8704" t="s">
        <v>47312</v>
      </c>
      <c r="S8704" t="s">
        <v>47489</v>
      </c>
      <c r="T8704" t="s">
        <v>49073</v>
      </c>
      <c r="U8704" t="s">
        <v>56729</v>
      </c>
      <c r="V8704" t="s">
        <v>63563</v>
      </c>
      <c r="W8704" t="s">
        <v>45789</v>
      </c>
      <c r="X8704" t="s">
        <v>47313</v>
      </c>
    </row>
    <row r="8705" spans="1:24">
      <c r="A8705">
        <f>HYPERLINK("https://www.philgeps.gov.ph/GEPSNONPILOT/Tender/SplashBidNoticeAbstractUI.aspx?menuIndex=3&amp;refID=7189060&amp;Result=3","7189060")</f>
        <v>0</v>
      </c>
      <c r="B8705" t="s">
        <v>786</v>
      </c>
      <c r="C8705" t="s">
        <v>12052</v>
      </c>
      <c r="D8705" t="s">
        <v>19046</v>
      </c>
      <c r="E8705" t="s">
        <v>26544</v>
      </c>
      <c r="F8705" t="s">
        <v>32606</v>
      </c>
      <c r="G8705" t="s">
        <v>32613</v>
      </c>
      <c r="H8705" t="s">
        <v>32623</v>
      </c>
      <c r="I8705" t="s">
        <v>17648</v>
      </c>
      <c r="J8705" t="s">
        <v>38155</v>
      </c>
      <c r="K8705" t="s">
        <v>42811</v>
      </c>
      <c r="M8705" t="s">
        <v>45885</v>
      </c>
      <c r="N8705" t="s">
        <v>47304</v>
      </c>
      <c r="O8705" t="s">
        <v>47305</v>
      </c>
      <c r="P8705">
        <v>0</v>
      </c>
      <c r="Q8705">
        <v>2</v>
      </c>
      <c r="R8705" t="s">
        <v>47312</v>
      </c>
      <c r="S8705" t="s">
        <v>47489</v>
      </c>
      <c r="T8705" t="s">
        <v>49075</v>
      </c>
      <c r="U8705" t="s">
        <v>56658</v>
      </c>
      <c r="W8705" t="s">
        <v>45885</v>
      </c>
      <c r="X8705" t="s">
        <v>47313</v>
      </c>
    </row>
    <row r="8706" spans="1:24">
      <c r="A8706">
        <f>HYPERLINK("https://www.philgeps.gov.ph/GEPSNONPILOT/Tender/SplashBidNoticeAbstractUI.aspx?menuIndex=3&amp;refID=7189140&amp;Result=3","7189140")</f>
        <v>0</v>
      </c>
      <c r="B8706" t="s">
        <v>1014</v>
      </c>
      <c r="C8706" t="s">
        <v>12053</v>
      </c>
      <c r="D8706" t="s">
        <v>18989</v>
      </c>
      <c r="E8706" t="s">
        <v>26545</v>
      </c>
      <c r="F8706" t="s">
        <v>32606</v>
      </c>
      <c r="G8706" t="s">
        <v>32614</v>
      </c>
      <c r="H8706" t="s">
        <v>14201</v>
      </c>
      <c r="I8706" t="s">
        <v>4112</v>
      </c>
      <c r="J8706" t="s">
        <v>33861</v>
      </c>
      <c r="K8706" t="s">
        <v>42646</v>
      </c>
      <c r="M8706" t="s">
        <v>44868</v>
      </c>
      <c r="N8706" t="s">
        <v>47304</v>
      </c>
      <c r="O8706" t="s">
        <v>47305</v>
      </c>
      <c r="P8706">
        <v>0</v>
      </c>
      <c r="Q8706">
        <v>2</v>
      </c>
      <c r="R8706" t="s">
        <v>47312</v>
      </c>
      <c r="S8706" t="s">
        <v>47489</v>
      </c>
      <c r="T8706" t="s">
        <v>49019</v>
      </c>
      <c r="U8706" t="s">
        <v>56730</v>
      </c>
      <c r="W8706" t="s">
        <v>44868</v>
      </c>
      <c r="X8706" t="s">
        <v>47313</v>
      </c>
    </row>
    <row r="8707" spans="1:24">
      <c r="A8707">
        <f>HYPERLINK("https://www.philgeps.gov.ph/GEPSNONPILOT/Tender/SplashBidNoticeAbstractUI.aspx?menuIndex=3&amp;refID=7189084&amp;Result=3","7189084")</f>
        <v>0</v>
      </c>
      <c r="B8707" t="s">
        <v>2739</v>
      </c>
      <c r="C8707" t="s">
        <v>12054</v>
      </c>
      <c r="D8707" t="s">
        <v>19056</v>
      </c>
      <c r="E8707" t="s">
        <v>26546</v>
      </c>
      <c r="F8707" t="s">
        <v>32606</v>
      </c>
      <c r="G8707" t="s">
        <v>32613</v>
      </c>
      <c r="H8707" t="s">
        <v>32623</v>
      </c>
      <c r="I8707" t="s">
        <v>17648</v>
      </c>
      <c r="J8707" t="s">
        <v>33263</v>
      </c>
      <c r="K8707" t="s">
        <v>42623</v>
      </c>
      <c r="M8707" t="s">
        <v>45895</v>
      </c>
      <c r="N8707" t="s">
        <v>47304</v>
      </c>
      <c r="O8707" t="s">
        <v>47305</v>
      </c>
      <c r="P8707">
        <v>0</v>
      </c>
      <c r="Q8707">
        <v>0</v>
      </c>
      <c r="R8707" t="s">
        <v>47312</v>
      </c>
      <c r="S8707" t="s">
        <v>47489</v>
      </c>
      <c r="T8707" t="s">
        <v>49234</v>
      </c>
      <c r="U8707" t="s">
        <v>56731</v>
      </c>
      <c r="W8707" t="s">
        <v>45895</v>
      </c>
      <c r="X8707" t="s">
        <v>47313</v>
      </c>
    </row>
    <row r="8708" spans="1:24">
      <c r="A8708">
        <f>HYPERLINK("https://www.philgeps.gov.ph/GEPSNONPILOT/Tender/SplashBidNoticeAbstractUI.aspx?menuIndex=3&amp;refID=7189136&amp;Result=3","7189136")</f>
        <v>0</v>
      </c>
      <c r="B8708" t="s">
        <v>873</v>
      </c>
      <c r="C8708" t="s">
        <v>12055</v>
      </c>
      <c r="D8708" t="s">
        <v>19002</v>
      </c>
      <c r="E8708" t="s">
        <v>25406</v>
      </c>
      <c r="F8708" t="s">
        <v>32606</v>
      </c>
      <c r="G8708" t="s">
        <v>32613</v>
      </c>
      <c r="H8708" t="s">
        <v>32623</v>
      </c>
      <c r="I8708" t="s">
        <v>17648</v>
      </c>
      <c r="J8708" t="s">
        <v>38156</v>
      </c>
      <c r="K8708" t="s">
        <v>42823</v>
      </c>
      <c r="M8708" t="s">
        <v>43809</v>
      </c>
      <c r="N8708" t="s">
        <v>47304</v>
      </c>
      <c r="O8708" t="s">
        <v>47305</v>
      </c>
      <c r="P8708">
        <v>0</v>
      </c>
      <c r="Q8708">
        <v>1</v>
      </c>
      <c r="R8708" t="s">
        <v>47312</v>
      </c>
      <c r="S8708" t="s">
        <v>47489</v>
      </c>
      <c r="T8708" t="s">
        <v>49397</v>
      </c>
      <c r="U8708" t="s">
        <v>56732</v>
      </c>
      <c r="W8708" t="s">
        <v>43809</v>
      </c>
      <c r="X8708" t="s">
        <v>47313</v>
      </c>
    </row>
    <row r="8709" spans="1:24">
      <c r="A8709">
        <f>HYPERLINK("https://www.philgeps.gov.ph/GEPSNONPILOT/Tender/SplashBidNoticeAbstractUI.aspx?menuIndex=3&amp;refID=7189133&amp;Result=3","7189133")</f>
        <v>0</v>
      </c>
      <c r="B8709" t="s">
        <v>2751</v>
      </c>
      <c r="C8709" t="s">
        <v>12056</v>
      </c>
      <c r="D8709" t="s">
        <v>19034</v>
      </c>
      <c r="E8709" t="s">
        <v>26547</v>
      </c>
      <c r="F8709" t="s">
        <v>32606</v>
      </c>
      <c r="G8709" t="s">
        <v>32613</v>
      </c>
      <c r="H8709" t="s">
        <v>14201</v>
      </c>
      <c r="I8709" t="s">
        <v>4678</v>
      </c>
      <c r="J8709" t="s">
        <v>35279</v>
      </c>
      <c r="K8709" t="s">
        <v>42632</v>
      </c>
      <c r="M8709" t="s">
        <v>45909</v>
      </c>
      <c r="N8709" t="s">
        <v>47304</v>
      </c>
      <c r="O8709" t="s">
        <v>47305</v>
      </c>
      <c r="P8709">
        <v>0</v>
      </c>
      <c r="Q8709">
        <v>3</v>
      </c>
      <c r="R8709" t="s">
        <v>47312</v>
      </c>
      <c r="S8709" t="s">
        <v>47489</v>
      </c>
      <c r="T8709" t="s">
        <v>48998</v>
      </c>
      <c r="U8709" t="s">
        <v>56733</v>
      </c>
      <c r="W8709" t="s">
        <v>45909</v>
      </c>
      <c r="X8709" t="s">
        <v>47313</v>
      </c>
    </row>
    <row r="8710" spans="1:24">
      <c r="A8710">
        <f>HYPERLINK("https://www.philgeps.gov.ph/GEPSNONPILOT/Tender/SplashBidNoticeAbstractUI.aspx?menuIndex=3&amp;refID=7189077&amp;Result=3","7189077")</f>
        <v>0</v>
      </c>
      <c r="B8710" t="s">
        <v>2115</v>
      </c>
      <c r="C8710" t="s">
        <v>12057</v>
      </c>
      <c r="D8710" t="s">
        <v>19008</v>
      </c>
      <c r="E8710" t="s">
        <v>26548</v>
      </c>
      <c r="F8710" t="s">
        <v>32606</v>
      </c>
      <c r="G8710" t="s">
        <v>32613</v>
      </c>
      <c r="H8710" t="s">
        <v>14201</v>
      </c>
      <c r="I8710" t="s">
        <v>32655</v>
      </c>
      <c r="J8710" t="s">
        <v>33669</v>
      </c>
      <c r="K8710" t="s">
        <v>42631</v>
      </c>
      <c r="M8710" t="s">
        <v>45789</v>
      </c>
      <c r="N8710" t="s">
        <v>47304</v>
      </c>
      <c r="O8710" t="s">
        <v>47305</v>
      </c>
      <c r="P8710">
        <v>0</v>
      </c>
      <c r="Q8710">
        <v>1</v>
      </c>
      <c r="R8710" t="s">
        <v>47312</v>
      </c>
      <c r="S8710" t="s">
        <v>47489</v>
      </c>
      <c r="T8710" t="s">
        <v>49073</v>
      </c>
      <c r="U8710" t="s">
        <v>56734</v>
      </c>
      <c r="V8710" t="s">
        <v>63563</v>
      </c>
      <c r="W8710" t="s">
        <v>45789</v>
      </c>
      <c r="X8710" t="s">
        <v>47313</v>
      </c>
    </row>
    <row r="8711" spans="1:24">
      <c r="A8711">
        <f>HYPERLINK("https://www.philgeps.gov.ph/GEPSNONPILOT/Tender/SplashBidNoticeAbstractUI.aspx?menuIndex=3&amp;refID=7189132&amp;Result=3","7189132")</f>
        <v>0</v>
      </c>
      <c r="B8711" t="s">
        <v>1684</v>
      </c>
      <c r="C8711" t="s">
        <v>12058</v>
      </c>
      <c r="D8711" t="s">
        <v>19032</v>
      </c>
      <c r="E8711" t="s">
        <v>26549</v>
      </c>
      <c r="F8711" t="s">
        <v>32606</v>
      </c>
      <c r="G8711" t="s">
        <v>32613</v>
      </c>
      <c r="H8711" t="s">
        <v>14201</v>
      </c>
      <c r="I8711" t="s">
        <v>7064</v>
      </c>
      <c r="J8711" t="s">
        <v>34128</v>
      </c>
      <c r="K8711" t="s">
        <v>42631</v>
      </c>
      <c r="M8711" t="s">
        <v>44878</v>
      </c>
      <c r="N8711" t="s">
        <v>47304</v>
      </c>
      <c r="O8711" t="s">
        <v>47305</v>
      </c>
      <c r="P8711">
        <v>0</v>
      </c>
      <c r="Q8711">
        <v>4</v>
      </c>
      <c r="R8711" t="s">
        <v>47312</v>
      </c>
      <c r="S8711" t="s">
        <v>47489</v>
      </c>
      <c r="T8711" t="s">
        <v>49355</v>
      </c>
      <c r="U8711" t="s">
        <v>56735</v>
      </c>
      <c r="W8711" t="s">
        <v>44878</v>
      </c>
      <c r="X8711" t="s">
        <v>47313</v>
      </c>
    </row>
    <row r="8712" spans="1:24">
      <c r="A8712">
        <f>HYPERLINK("https://www.philgeps.gov.ph/GEPSNONPILOT/Tender/SplashBidNoticeAbstractUI.aspx?menuIndex=3&amp;refID=7189129&amp;Result=3","7189129")</f>
        <v>0</v>
      </c>
      <c r="B8712" t="s">
        <v>2752</v>
      </c>
      <c r="C8712" t="s">
        <v>12059</v>
      </c>
      <c r="D8712" t="s">
        <v>18993</v>
      </c>
      <c r="E8712" t="s">
        <v>26550</v>
      </c>
      <c r="F8712" t="s">
        <v>32606</v>
      </c>
      <c r="G8712" t="s">
        <v>32617</v>
      </c>
      <c r="H8712" t="s">
        <v>14201</v>
      </c>
      <c r="I8712" t="s">
        <v>4120</v>
      </c>
      <c r="J8712" t="s">
        <v>38157</v>
      </c>
      <c r="K8712" t="s">
        <v>42630</v>
      </c>
      <c r="M8712" t="s">
        <v>45910</v>
      </c>
      <c r="N8712" t="s">
        <v>47304</v>
      </c>
      <c r="O8712" t="s">
        <v>47305</v>
      </c>
      <c r="P8712">
        <v>0</v>
      </c>
      <c r="Q8712">
        <v>5</v>
      </c>
      <c r="R8712" t="s">
        <v>47312</v>
      </c>
      <c r="S8712" t="s">
        <v>47489</v>
      </c>
      <c r="T8712" t="s">
        <v>49020</v>
      </c>
      <c r="U8712" t="s">
        <v>56736</v>
      </c>
      <c r="W8712" t="s">
        <v>64515</v>
      </c>
      <c r="X8712" t="s">
        <v>47313</v>
      </c>
    </row>
    <row r="8713" spans="1:24">
      <c r="A8713">
        <f>HYPERLINK("https://www.philgeps.gov.ph/GEPSNONPILOT/Tender/SplashBidNoticeAbstractUI.aspx?menuIndex=3&amp;refID=7189127&amp;Result=3","7189127")</f>
        <v>0</v>
      </c>
      <c r="B8713" t="s">
        <v>688</v>
      </c>
      <c r="C8713" t="s">
        <v>12060</v>
      </c>
      <c r="E8713" t="s">
        <v>26551</v>
      </c>
      <c r="F8713" t="s">
        <v>32606</v>
      </c>
      <c r="G8713" t="s">
        <v>32614</v>
      </c>
      <c r="H8713" t="s">
        <v>14201</v>
      </c>
      <c r="I8713" t="s">
        <v>4678</v>
      </c>
      <c r="J8713" t="s">
        <v>32949</v>
      </c>
      <c r="K8713" t="s">
        <v>42624</v>
      </c>
      <c r="M8713" t="s">
        <v>43609</v>
      </c>
      <c r="N8713" t="s">
        <v>47304</v>
      </c>
      <c r="O8713" t="s">
        <v>47305</v>
      </c>
      <c r="P8713">
        <v>0</v>
      </c>
      <c r="Q8713">
        <v>4</v>
      </c>
      <c r="R8713" t="s">
        <v>47312</v>
      </c>
      <c r="S8713" t="s">
        <v>47489</v>
      </c>
      <c r="T8713" t="s">
        <v>49071</v>
      </c>
      <c r="U8713" t="s">
        <v>56737</v>
      </c>
      <c r="W8713" t="s">
        <v>43609</v>
      </c>
      <c r="X8713" t="s">
        <v>47313</v>
      </c>
    </row>
    <row r="8714" spans="1:24">
      <c r="A8714">
        <f>HYPERLINK("https://www.philgeps.gov.ph/GEPSNONPILOT/Tender/SplashBidNoticeAbstractUI.aspx?menuIndex=3&amp;refID=7189121&amp;Result=3","7189121")</f>
        <v>0</v>
      </c>
      <c r="B8714" t="s">
        <v>360</v>
      </c>
      <c r="C8714" t="s">
        <v>12061</v>
      </c>
      <c r="D8714" t="s">
        <v>19040</v>
      </c>
      <c r="E8714" t="s">
        <v>26552</v>
      </c>
      <c r="F8714" t="s">
        <v>32606</v>
      </c>
      <c r="G8714" t="s">
        <v>32613</v>
      </c>
      <c r="H8714" t="s">
        <v>14201</v>
      </c>
      <c r="I8714" t="s">
        <v>32631</v>
      </c>
      <c r="J8714" t="s">
        <v>38158</v>
      </c>
      <c r="K8714" t="s">
        <v>42623</v>
      </c>
      <c r="M8714" t="s">
        <v>43332</v>
      </c>
      <c r="N8714" t="s">
        <v>47304</v>
      </c>
      <c r="O8714" t="s">
        <v>47305</v>
      </c>
      <c r="P8714">
        <v>0</v>
      </c>
      <c r="Q8714">
        <v>6</v>
      </c>
      <c r="R8714" t="s">
        <v>47312</v>
      </c>
      <c r="S8714" t="s">
        <v>47489</v>
      </c>
      <c r="T8714" t="s">
        <v>49073</v>
      </c>
      <c r="U8714" t="s">
        <v>56738</v>
      </c>
      <c r="W8714" t="s">
        <v>43332</v>
      </c>
      <c r="X8714" t="s">
        <v>47313</v>
      </c>
    </row>
    <row r="8715" spans="1:24">
      <c r="A8715">
        <f>HYPERLINK("https://www.philgeps.gov.ph/GEPSNONPILOT/Tender/SplashBidNoticeAbstractUI.aspx?menuIndex=3&amp;refID=7189113&amp;Result=3","7189113")</f>
        <v>0</v>
      </c>
      <c r="B8715" t="s">
        <v>1254</v>
      </c>
      <c r="C8715" t="s">
        <v>12062</v>
      </c>
      <c r="E8715" t="s">
        <v>26553</v>
      </c>
      <c r="F8715" t="s">
        <v>32606</v>
      </c>
      <c r="G8715" t="s">
        <v>32613</v>
      </c>
      <c r="H8715" t="s">
        <v>14201</v>
      </c>
      <c r="I8715" t="s">
        <v>32687</v>
      </c>
      <c r="J8715" t="s">
        <v>38159</v>
      </c>
      <c r="K8715" t="s">
        <v>42624</v>
      </c>
      <c r="M8715" t="s">
        <v>44221</v>
      </c>
      <c r="N8715" t="s">
        <v>47304</v>
      </c>
      <c r="O8715" t="s">
        <v>47305</v>
      </c>
      <c r="Q8715">
        <v>10</v>
      </c>
      <c r="R8715" t="s">
        <v>47312</v>
      </c>
      <c r="S8715" t="s">
        <v>47518</v>
      </c>
      <c r="T8715" t="s">
        <v>48990</v>
      </c>
      <c r="U8715" t="s">
        <v>56739</v>
      </c>
      <c r="W8715" t="s">
        <v>44221</v>
      </c>
      <c r="X8715" t="s">
        <v>47313</v>
      </c>
    </row>
    <row r="8716" spans="1:24">
      <c r="A8716">
        <f>HYPERLINK("https://www.philgeps.gov.ph/GEPSNONPILOT/Tender/SplashBidNoticeAbstractUI.aspx?menuIndex=3&amp;refID=7189054&amp;Result=3","7189054")</f>
        <v>0</v>
      </c>
      <c r="B8716" t="s">
        <v>492</v>
      </c>
      <c r="C8716" t="s">
        <v>12063</v>
      </c>
      <c r="D8716" t="s">
        <v>18997</v>
      </c>
      <c r="E8716" t="s">
        <v>26554</v>
      </c>
      <c r="F8716" t="s">
        <v>32607</v>
      </c>
      <c r="G8716" t="s">
        <v>32614</v>
      </c>
      <c r="H8716" t="s">
        <v>14201</v>
      </c>
      <c r="I8716" t="s">
        <v>7233</v>
      </c>
      <c r="J8716" t="s">
        <v>38160</v>
      </c>
      <c r="K8716" t="s">
        <v>42630</v>
      </c>
      <c r="M8716" t="s">
        <v>43405</v>
      </c>
      <c r="N8716" t="s">
        <v>47304</v>
      </c>
      <c r="O8716" t="s">
        <v>47305</v>
      </c>
      <c r="P8716">
        <v>0</v>
      </c>
      <c r="Q8716">
        <v>1</v>
      </c>
      <c r="R8716" t="s">
        <v>47312</v>
      </c>
      <c r="S8716" t="s">
        <v>47489</v>
      </c>
      <c r="T8716" t="s">
        <v>49068</v>
      </c>
      <c r="U8716" t="s">
        <v>50411</v>
      </c>
      <c r="V8716" t="s">
        <v>62762</v>
      </c>
      <c r="W8716" t="s">
        <v>64437</v>
      </c>
      <c r="X8716" t="s">
        <v>47313</v>
      </c>
    </row>
    <row r="8717" spans="1:24">
      <c r="A8717">
        <f>HYPERLINK("https://www.philgeps.gov.ph/GEPSNONPILOT/Tender/SplashBidNoticeAbstractUI.aspx?menuIndex=3&amp;refID=7189141&amp;Result=3","7189141")</f>
        <v>0</v>
      </c>
      <c r="B8717" t="s">
        <v>1278</v>
      </c>
      <c r="C8717" t="s">
        <v>12064</v>
      </c>
      <c r="E8717" t="s">
        <v>26555</v>
      </c>
      <c r="F8717" t="s">
        <v>32606</v>
      </c>
      <c r="G8717" t="s">
        <v>32614</v>
      </c>
      <c r="H8717" t="s">
        <v>14201</v>
      </c>
      <c r="I8717" t="s">
        <v>4678</v>
      </c>
      <c r="J8717" t="s">
        <v>38161</v>
      </c>
      <c r="K8717" t="s">
        <v>42624</v>
      </c>
      <c r="M8717" t="s">
        <v>44248</v>
      </c>
      <c r="N8717" t="s">
        <v>47304</v>
      </c>
      <c r="O8717" t="s">
        <v>47305</v>
      </c>
      <c r="P8717">
        <v>0</v>
      </c>
      <c r="Q8717">
        <v>3</v>
      </c>
      <c r="R8717" t="s">
        <v>47312</v>
      </c>
      <c r="S8717" t="s">
        <v>47489</v>
      </c>
      <c r="T8717" t="s">
        <v>49023</v>
      </c>
      <c r="U8717" t="s">
        <v>56740</v>
      </c>
      <c r="V8717" t="s">
        <v>63564</v>
      </c>
      <c r="W8717" t="s">
        <v>44248</v>
      </c>
      <c r="X8717" t="s">
        <v>47313</v>
      </c>
    </row>
    <row r="8718" spans="1:24">
      <c r="A8718">
        <f>HYPERLINK("https://www.philgeps.gov.ph/GEPSNONPILOT/Tender/SplashBidNoticeAbstractUI.aspx?menuIndex=3&amp;refID=7189075&amp;Result=3","7189075")</f>
        <v>0</v>
      </c>
      <c r="B8718" t="s">
        <v>2494</v>
      </c>
      <c r="C8718" t="s">
        <v>12065</v>
      </c>
      <c r="D8718" t="s">
        <v>19060</v>
      </c>
      <c r="E8718" t="s">
        <v>26556</v>
      </c>
      <c r="F8718" t="s">
        <v>32606</v>
      </c>
      <c r="G8718" t="s">
        <v>32614</v>
      </c>
      <c r="H8718" t="s">
        <v>14201</v>
      </c>
      <c r="I8718" t="s">
        <v>4678</v>
      </c>
      <c r="J8718" t="s">
        <v>38162</v>
      </c>
      <c r="K8718" t="s">
        <v>42623</v>
      </c>
      <c r="M8718" t="s">
        <v>45632</v>
      </c>
      <c r="N8718" t="s">
        <v>47304</v>
      </c>
      <c r="O8718" t="s">
        <v>47305</v>
      </c>
      <c r="P8718">
        <v>0</v>
      </c>
      <c r="Q8718">
        <v>2</v>
      </c>
      <c r="R8718" t="s">
        <v>47312</v>
      </c>
      <c r="S8718" t="s">
        <v>47489</v>
      </c>
      <c r="T8718" t="s">
        <v>49165</v>
      </c>
      <c r="U8718" t="s">
        <v>56741</v>
      </c>
      <c r="W8718" t="s">
        <v>45632</v>
      </c>
      <c r="X8718" t="s">
        <v>47313</v>
      </c>
    </row>
    <row r="8719" spans="1:24">
      <c r="A8719">
        <f>HYPERLINK("https://www.philgeps.gov.ph/GEPSNONPILOT/Tender/SplashBidNoticeAbstractUI.aspx?menuIndex=3&amp;refID=7189172&amp;Result=3","7189172")</f>
        <v>0</v>
      </c>
      <c r="B8719" t="s">
        <v>1278</v>
      </c>
      <c r="C8719" t="s">
        <v>12066</v>
      </c>
      <c r="E8719" t="s">
        <v>26557</v>
      </c>
      <c r="F8719" t="s">
        <v>32606</v>
      </c>
      <c r="G8719" t="s">
        <v>32614</v>
      </c>
      <c r="H8719" t="s">
        <v>14201</v>
      </c>
      <c r="I8719" t="s">
        <v>13131</v>
      </c>
      <c r="J8719" t="s">
        <v>38163</v>
      </c>
      <c r="K8719" t="s">
        <v>42624</v>
      </c>
      <c r="M8719" t="s">
        <v>44248</v>
      </c>
      <c r="N8719" t="s">
        <v>47304</v>
      </c>
      <c r="O8719" t="s">
        <v>47305</v>
      </c>
      <c r="P8719">
        <v>0</v>
      </c>
      <c r="Q8719">
        <v>9</v>
      </c>
      <c r="R8719" t="s">
        <v>47312</v>
      </c>
      <c r="S8719" t="s">
        <v>47489</v>
      </c>
      <c r="T8719" t="s">
        <v>49023</v>
      </c>
      <c r="U8719" t="s">
        <v>56742</v>
      </c>
      <c r="V8719" t="s">
        <v>63564</v>
      </c>
      <c r="W8719" t="s">
        <v>44248</v>
      </c>
      <c r="X8719" t="s">
        <v>47313</v>
      </c>
    </row>
    <row r="8720" spans="1:24">
      <c r="A8720">
        <f>HYPERLINK("https://www.philgeps.gov.ph/GEPSNONPILOT/Tender/SplashBidNoticeAbstractUI.aspx?menuIndex=3&amp;refID=7189168&amp;Result=3","7189168")</f>
        <v>0</v>
      </c>
      <c r="B8720" t="s">
        <v>2753</v>
      </c>
      <c r="C8720" t="s">
        <v>12067</v>
      </c>
      <c r="D8720" t="s">
        <v>18993</v>
      </c>
      <c r="E8720" t="s">
        <v>26558</v>
      </c>
      <c r="F8720" t="s">
        <v>32606</v>
      </c>
      <c r="G8720" t="s">
        <v>32619</v>
      </c>
      <c r="H8720" t="s">
        <v>14201</v>
      </c>
      <c r="I8720" t="s">
        <v>6298</v>
      </c>
      <c r="J8720" t="s">
        <v>38164</v>
      </c>
      <c r="K8720" t="s">
        <v>42630</v>
      </c>
      <c r="M8720" t="s">
        <v>45911</v>
      </c>
      <c r="N8720" t="s">
        <v>47304</v>
      </c>
      <c r="O8720" t="s">
        <v>47305</v>
      </c>
      <c r="P8720">
        <v>0</v>
      </c>
      <c r="Q8720">
        <v>3</v>
      </c>
      <c r="R8720" t="s">
        <v>47312</v>
      </c>
      <c r="S8720" t="s">
        <v>47489</v>
      </c>
      <c r="T8720" t="s">
        <v>49010</v>
      </c>
      <c r="U8720" t="s">
        <v>56743</v>
      </c>
      <c r="W8720" t="s">
        <v>45911</v>
      </c>
      <c r="X8720" t="s">
        <v>47313</v>
      </c>
    </row>
    <row r="8721" spans="1:24">
      <c r="A8721">
        <f>HYPERLINK("https://www.philgeps.gov.ph/GEPSNONPILOT/Tender/SplashBidNoticeAbstractUI.aspx?menuIndex=3&amp;refID=7189173&amp;Result=3","7189173")</f>
        <v>0</v>
      </c>
      <c r="B8721" t="s">
        <v>360</v>
      </c>
      <c r="C8721" t="s">
        <v>12068</v>
      </c>
      <c r="D8721" t="s">
        <v>19040</v>
      </c>
      <c r="E8721" t="s">
        <v>26559</v>
      </c>
      <c r="F8721" t="s">
        <v>32606</v>
      </c>
      <c r="G8721" t="s">
        <v>32613</v>
      </c>
      <c r="H8721" t="s">
        <v>14201</v>
      </c>
      <c r="I8721" t="s">
        <v>32718</v>
      </c>
      <c r="J8721" t="s">
        <v>36907</v>
      </c>
      <c r="K8721" t="s">
        <v>42623</v>
      </c>
      <c r="M8721" t="s">
        <v>43332</v>
      </c>
      <c r="N8721" t="s">
        <v>47304</v>
      </c>
      <c r="O8721" t="s">
        <v>47305</v>
      </c>
      <c r="P8721">
        <v>0</v>
      </c>
      <c r="Q8721">
        <v>11</v>
      </c>
      <c r="R8721" t="s">
        <v>47312</v>
      </c>
      <c r="S8721" t="s">
        <v>47489</v>
      </c>
      <c r="T8721" t="s">
        <v>49073</v>
      </c>
      <c r="U8721" t="s">
        <v>56744</v>
      </c>
      <c r="W8721" t="s">
        <v>43332</v>
      </c>
      <c r="X8721" t="s">
        <v>47313</v>
      </c>
    </row>
    <row r="8722" spans="1:24">
      <c r="A8722">
        <f>HYPERLINK("https://www.philgeps.gov.ph/GEPSNONPILOT/Tender/SplashBidNoticeAbstractUI.aspx?menuIndex=3&amp;refID=7189119&amp;Result=3","7189119")</f>
        <v>0</v>
      </c>
      <c r="B8722" t="s">
        <v>2331</v>
      </c>
      <c r="C8722" t="s">
        <v>12069</v>
      </c>
      <c r="D8722" t="s">
        <v>19015</v>
      </c>
      <c r="E8722" t="s">
        <v>26560</v>
      </c>
      <c r="F8722" t="s">
        <v>32606</v>
      </c>
      <c r="G8722" t="s">
        <v>32619</v>
      </c>
      <c r="H8722" t="s">
        <v>14201</v>
      </c>
      <c r="I8722" t="s">
        <v>9013</v>
      </c>
      <c r="J8722" t="s">
        <v>33060</v>
      </c>
      <c r="K8722" t="s">
        <v>42631</v>
      </c>
      <c r="M8722" t="s">
        <v>45441</v>
      </c>
      <c r="N8722" t="s">
        <v>47304</v>
      </c>
      <c r="O8722" t="s">
        <v>47305</v>
      </c>
      <c r="P8722">
        <v>0</v>
      </c>
      <c r="Q8722">
        <v>9</v>
      </c>
      <c r="R8722" t="s">
        <v>47312</v>
      </c>
      <c r="S8722" t="s">
        <v>47489</v>
      </c>
      <c r="T8722" t="s">
        <v>49268</v>
      </c>
      <c r="U8722" t="s">
        <v>56745</v>
      </c>
      <c r="W8722" t="s">
        <v>45441</v>
      </c>
      <c r="X8722" t="s">
        <v>47313</v>
      </c>
    </row>
    <row r="8723" spans="1:24">
      <c r="A8723">
        <f>HYPERLINK("https://www.philgeps.gov.ph/GEPSNONPILOT/Tender/SplashBidNoticeAbstractUI.aspx?menuIndex=3&amp;refID=7189191&amp;Result=3","7189191")</f>
        <v>0</v>
      </c>
      <c r="B8723" t="s">
        <v>688</v>
      </c>
      <c r="C8723" t="s">
        <v>12070</v>
      </c>
      <c r="E8723" t="s">
        <v>26561</v>
      </c>
      <c r="F8723" t="s">
        <v>32606</v>
      </c>
      <c r="G8723" t="s">
        <v>32614</v>
      </c>
      <c r="H8723" t="s">
        <v>14201</v>
      </c>
      <c r="I8723" t="s">
        <v>4678</v>
      </c>
      <c r="J8723" t="s">
        <v>32999</v>
      </c>
      <c r="K8723" t="s">
        <v>42624</v>
      </c>
      <c r="M8723" t="s">
        <v>43609</v>
      </c>
      <c r="N8723" t="s">
        <v>47304</v>
      </c>
      <c r="O8723" t="s">
        <v>47305</v>
      </c>
      <c r="P8723">
        <v>0</v>
      </c>
      <c r="Q8723">
        <v>3</v>
      </c>
      <c r="R8723" t="s">
        <v>47312</v>
      </c>
      <c r="S8723" t="s">
        <v>47489</v>
      </c>
      <c r="T8723" t="s">
        <v>49071</v>
      </c>
      <c r="U8723" t="s">
        <v>56746</v>
      </c>
      <c r="W8723" t="s">
        <v>43609</v>
      </c>
      <c r="X8723" t="s">
        <v>47313</v>
      </c>
    </row>
    <row r="8724" spans="1:24">
      <c r="A8724">
        <f>HYPERLINK("https://www.philgeps.gov.ph/GEPSNONPILOT/Tender/SplashBidNoticeAbstractUI.aspx?menuIndex=3&amp;refID=7189120&amp;Result=3","7189120")</f>
        <v>0</v>
      </c>
      <c r="B8724" t="s">
        <v>2115</v>
      </c>
      <c r="C8724" t="s">
        <v>12071</v>
      </c>
      <c r="D8724" t="s">
        <v>19008</v>
      </c>
      <c r="E8724" t="s">
        <v>26562</v>
      </c>
      <c r="F8724" t="s">
        <v>32606</v>
      </c>
      <c r="G8724" t="s">
        <v>32613</v>
      </c>
      <c r="H8724" t="s">
        <v>14201</v>
      </c>
      <c r="I8724" t="s">
        <v>32686</v>
      </c>
      <c r="J8724" t="s">
        <v>33043</v>
      </c>
      <c r="K8724" t="s">
        <v>42623</v>
      </c>
      <c r="M8724" t="s">
        <v>45789</v>
      </c>
      <c r="N8724" t="s">
        <v>47304</v>
      </c>
      <c r="O8724" t="s">
        <v>47305</v>
      </c>
      <c r="P8724">
        <v>0</v>
      </c>
      <c r="Q8724">
        <v>5</v>
      </c>
      <c r="R8724" t="s">
        <v>47312</v>
      </c>
      <c r="S8724" t="s">
        <v>47489</v>
      </c>
      <c r="T8724" t="s">
        <v>49073</v>
      </c>
      <c r="U8724" t="s">
        <v>56747</v>
      </c>
      <c r="V8724" t="s">
        <v>63565</v>
      </c>
      <c r="W8724" t="s">
        <v>45789</v>
      </c>
      <c r="X8724" t="s">
        <v>47313</v>
      </c>
    </row>
    <row r="8725" spans="1:24">
      <c r="A8725">
        <f>HYPERLINK("https://www.philgeps.gov.ph/GEPSNONPILOT/Tender/SplashBidNoticeAbstractUI.aspx?menuIndex=3&amp;refID=7189076&amp;Result=3","7189076")</f>
        <v>0</v>
      </c>
      <c r="B8725" t="s">
        <v>2754</v>
      </c>
      <c r="C8725" t="s">
        <v>12072</v>
      </c>
      <c r="D8725" t="s">
        <v>19061</v>
      </c>
      <c r="E8725" t="s">
        <v>26563</v>
      </c>
      <c r="F8725" t="s">
        <v>32606</v>
      </c>
      <c r="G8725" t="s">
        <v>32613</v>
      </c>
      <c r="H8725" t="s">
        <v>14201</v>
      </c>
      <c r="I8725" t="s">
        <v>7064</v>
      </c>
      <c r="J8725" t="s">
        <v>38165</v>
      </c>
      <c r="K8725" t="s">
        <v>42631</v>
      </c>
      <c r="M8725" t="s">
        <v>45912</v>
      </c>
      <c r="N8725" t="s">
        <v>47304</v>
      </c>
      <c r="O8725" t="s">
        <v>47305</v>
      </c>
      <c r="P8725">
        <v>0</v>
      </c>
      <c r="Q8725">
        <v>5</v>
      </c>
      <c r="R8725" t="s">
        <v>47312</v>
      </c>
      <c r="S8725" t="s">
        <v>47489</v>
      </c>
      <c r="T8725" t="s">
        <v>49400</v>
      </c>
      <c r="U8725" t="s">
        <v>56748</v>
      </c>
      <c r="V8725" t="s">
        <v>63566</v>
      </c>
      <c r="W8725" t="s">
        <v>64516</v>
      </c>
      <c r="X8725" t="s">
        <v>47313</v>
      </c>
    </row>
    <row r="8726" spans="1:24">
      <c r="A8726">
        <f>HYPERLINK("https://www.philgeps.gov.ph/GEPSNONPILOT/Tender/SplashBidNoticeAbstractUI.aspx?menuIndex=3&amp;refID=7189180&amp;Result=3","7189180")</f>
        <v>0</v>
      </c>
      <c r="B8726" t="s">
        <v>2755</v>
      </c>
      <c r="C8726" t="s">
        <v>12073</v>
      </c>
      <c r="D8726" t="s">
        <v>19024</v>
      </c>
      <c r="E8726" t="s">
        <v>26564</v>
      </c>
      <c r="F8726" t="s">
        <v>32606</v>
      </c>
      <c r="G8726" t="s">
        <v>32613</v>
      </c>
      <c r="H8726" t="s">
        <v>32623</v>
      </c>
      <c r="I8726" t="s">
        <v>17648</v>
      </c>
      <c r="J8726" t="s">
        <v>38166</v>
      </c>
      <c r="K8726" t="s">
        <v>42624</v>
      </c>
      <c r="M8726" t="s">
        <v>45913</v>
      </c>
      <c r="N8726" t="s">
        <v>47304</v>
      </c>
      <c r="O8726" t="s">
        <v>47305</v>
      </c>
      <c r="P8726">
        <v>0</v>
      </c>
      <c r="Q8726">
        <v>0</v>
      </c>
      <c r="R8726" t="s">
        <v>47312</v>
      </c>
      <c r="S8726" t="s">
        <v>47489</v>
      </c>
      <c r="T8726" t="s">
        <v>49073</v>
      </c>
      <c r="U8726" t="s">
        <v>56749</v>
      </c>
      <c r="W8726" t="s">
        <v>45913</v>
      </c>
      <c r="X8726" t="s">
        <v>47313</v>
      </c>
    </row>
    <row r="8727" spans="1:24">
      <c r="A8727">
        <f>HYPERLINK("https://www.philgeps.gov.ph/GEPSNONPILOT/Tender/SplashBidNoticeAbstractUI.aspx?menuIndex=3&amp;refID=7189055&amp;Result=3","7189055")</f>
        <v>0</v>
      </c>
      <c r="B8727" t="s">
        <v>2756</v>
      </c>
      <c r="C8727" t="s">
        <v>12074</v>
      </c>
      <c r="D8727" t="s">
        <v>19063</v>
      </c>
      <c r="E8727" t="s">
        <v>19279</v>
      </c>
      <c r="F8727" t="s">
        <v>32606</v>
      </c>
      <c r="G8727" t="s">
        <v>32613</v>
      </c>
      <c r="H8727" t="s">
        <v>32623</v>
      </c>
      <c r="I8727" t="s">
        <v>17648</v>
      </c>
      <c r="J8727" t="s">
        <v>38167</v>
      </c>
      <c r="K8727" t="s">
        <v>42658</v>
      </c>
      <c r="M8727" t="s">
        <v>45914</v>
      </c>
      <c r="N8727" t="s">
        <v>47304</v>
      </c>
      <c r="O8727" t="s">
        <v>47305</v>
      </c>
      <c r="P8727">
        <v>0</v>
      </c>
      <c r="Q8727">
        <v>0</v>
      </c>
      <c r="R8727" t="s">
        <v>47312</v>
      </c>
      <c r="S8727" t="s">
        <v>47489</v>
      </c>
      <c r="T8727" t="s">
        <v>49157</v>
      </c>
      <c r="U8727" t="s">
        <v>56750</v>
      </c>
      <c r="W8727" t="s">
        <v>45914</v>
      </c>
      <c r="X8727" t="s">
        <v>47313</v>
      </c>
    </row>
    <row r="8728" spans="1:24">
      <c r="A8728">
        <f>HYPERLINK("https://www.philgeps.gov.ph/GEPSNONPILOT/Tender/SplashBidNoticeAbstractUI.aspx?menuIndex=3&amp;refID=7189179&amp;Result=3","7189179")</f>
        <v>0</v>
      </c>
      <c r="B8728" t="s">
        <v>1516</v>
      </c>
      <c r="C8728" t="s">
        <v>12075</v>
      </c>
      <c r="D8728" t="s">
        <v>18995</v>
      </c>
      <c r="E8728" t="s">
        <v>12075</v>
      </c>
      <c r="F8728" t="s">
        <v>32606</v>
      </c>
      <c r="G8728" t="s">
        <v>32614</v>
      </c>
      <c r="H8728" t="s">
        <v>14201</v>
      </c>
      <c r="I8728" t="s">
        <v>7233</v>
      </c>
      <c r="J8728" t="s">
        <v>38168</v>
      </c>
      <c r="K8728" t="s">
        <v>42622</v>
      </c>
      <c r="M8728" t="s">
        <v>44517</v>
      </c>
      <c r="N8728" t="s">
        <v>47304</v>
      </c>
      <c r="O8728" t="s">
        <v>47305</v>
      </c>
      <c r="P8728">
        <v>0</v>
      </c>
      <c r="Q8728">
        <v>1</v>
      </c>
      <c r="R8728" t="s">
        <v>47312</v>
      </c>
      <c r="S8728" t="s">
        <v>47489</v>
      </c>
      <c r="T8728" t="s">
        <v>49075</v>
      </c>
      <c r="U8728" t="s">
        <v>56751</v>
      </c>
      <c r="W8728" t="s">
        <v>44517</v>
      </c>
      <c r="X8728" t="s">
        <v>47313</v>
      </c>
    </row>
    <row r="8729" spans="1:24">
      <c r="A8729">
        <f>HYPERLINK("https://www.philgeps.gov.ph/GEPSNONPILOT/Tender/SplashBidNoticeAbstractUI.aspx?menuIndex=3&amp;refID=7189178&amp;Result=3","7189178")</f>
        <v>0</v>
      </c>
      <c r="B8729" t="s">
        <v>2461</v>
      </c>
      <c r="C8729" t="s">
        <v>12076</v>
      </c>
      <c r="D8729" t="s">
        <v>19003</v>
      </c>
      <c r="E8729" t="s">
        <v>26565</v>
      </c>
      <c r="F8729" t="s">
        <v>32606</v>
      </c>
      <c r="G8729" t="s">
        <v>32613</v>
      </c>
      <c r="H8729" t="s">
        <v>14201</v>
      </c>
      <c r="I8729" t="s">
        <v>6931</v>
      </c>
      <c r="J8729" t="s">
        <v>38169</v>
      </c>
      <c r="K8729" t="s">
        <v>42623</v>
      </c>
      <c r="M8729" t="s">
        <v>45593</v>
      </c>
      <c r="N8729" t="s">
        <v>47304</v>
      </c>
      <c r="O8729" t="s">
        <v>47305</v>
      </c>
      <c r="P8729">
        <v>0</v>
      </c>
      <c r="Q8729">
        <v>1</v>
      </c>
      <c r="R8729" t="s">
        <v>47312</v>
      </c>
      <c r="S8729" t="s">
        <v>47489</v>
      </c>
      <c r="T8729" t="s">
        <v>48998</v>
      </c>
      <c r="U8729" t="s">
        <v>56752</v>
      </c>
      <c r="W8729" t="s">
        <v>45593</v>
      </c>
      <c r="X8729" t="s">
        <v>47313</v>
      </c>
    </row>
    <row r="8730" spans="1:24">
      <c r="A8730">
        <f>HYPERLINK("https://www.philgeps.gov.ph/GEPSNONPILOT/Tender/SplashBidNoticeAbstractUI.aspx?menuIndex=3&amp;refID=7189164&amp;Result=3","7189164")</f>
        <v>0</v>
      </c>
      <c r="B8730" t="s">
        <v>2752</v>
      </c>
      <c r="C8730" t="s">
        <v>12077</v>
      </c>
      <c r="D8730" t="s">
        <v>18993</v>
      </c>
      <c r="E8730" t="s">
        <v>26566</v>
      </c>
      <c r="F8730" t="s">
        <v>32606</v>
      </c>
      <c r="G8730" t="s">
        <v>32614</v>
      </c>
      <c r="H8730" t="s">
        <v>14201</v>
      </c>
      <c r="I8730" t="s">
        <v>4120</v>
      </c>
      <c r="J8730" t="s">
        <v>35542</v>
      </c>
      <c r="K8730" t="s">
        <v>42630</v>
      </c>
      <c r="M8730" t="s">
        <v>45910</v>
      </c>
      <c r="N8730" t="s">
        <v>47304</v>
      </c>
      <c r="O8730" t="s">
        <v>47305</v>
      </c>
      <c r="P8730">
        <v>0</v>
      </c>
      <c r="Q8730">
        <v>1</v>
      </c>
      <c r="R8730" t="s">
        <v>47312</v>
      </c>
      <c r="S8730" t="s">
        <v>47489</v>
      </c>
      <c r="T8730" t="s">
        <v>49020</v>
      </c>
      <c r="U8730" t="s">
        <v>56753</v>
      </c>
      <c r="W8730" t="s">
        <v>64515</v>
      </c>
      <c r="X8730" t="s">
        <v>47313</v>
      </c>
    </row>
    <row r="8731" spans="1:24">
      <c r="A8731">
        <f>HYPERLINK("https://www.philgeps.gov.ph/GEPSNONPILOT/Tender/SplashBidNoticeAbstractUI.aspx?menuIndex=3&amp;refID=7189159&amp;Result=3","7189159")</f>
        <v>0</v>
      </c>
      <c r="B8731" t="s">
        <v>1914</v>
      </c>
      <c r="C8731" t="s">
        <v>12078</v>
      </c>
      <c r="D8731" t="s">
        <v>19047</v>
      </c>
      <c r="E8731" t="s">
        <v>26567</v>
      </c>
      <c r="F8731" t="s">
        <v>32606</v>
      </c>
      <c r="G8731" t="s">
        <v>32613</v>
      </c>
      <c r="H8731" t="s">
        <v>14201</v>
      </c>
      <c r="I8731" t="s">
        <v>32650</v>
      </c>
      <c r="J8731" t="s">
        <v>38170</v>
      </c>
      <c r="K8731" t="s">
        <v>42627</v>
      </c>
      <c r="M8731" t="s">
        <v>44973</v>
      </c>
      <c r="N8731" t="s">
        <v>47304</v>
      </c>
      <c r="O8731" t="s">
        <v>47305</v>
      </c>
      <c r="P8731">
        <v>0</v>
      </c>
      <c r="Q8731">
        <v>0</v>
      </c>
      <c r="R8731" t="s">
        <v>47312</v>
      </c>
      <c r="S8731" t="s">
        <v>47489</v>
      </c>
      <c r="T8731" t="s">
        <v>49234</v>
      </c>
      <c r="U8731" t="s">
        <v>56754</v>
      </c>
      <c r="W8731" t="s">
        <v>44973</v>
      </c>
      <c r="X8731" t="s">
        <v>47313</v>
      </c>
    </row>
    <row r="8732" spans="1:24">
      <c r="A8732">
        <f>HYPERLINK("https://www.philgeps.gov.ph/GEPSNONPILOT/Tender/SplashBidNoticeAbstractUI.aspx?menuIndex=3&amp;refID=7189165&amp;Result=3","7189165")</f>
        <v>0</v>
      </c>
      <c r="B8732" t="s">
        <v>1684</v>
      </c>
      <c r="C8732" t="s">
        <v>12079</v>
      </c>
      <c r="D8732" t="s">
        <v>19032</v>
      </c>
      <c r="E8732" t="s">
        <v>26568</v>
      </c>
      <c r="F8732" t="s">
        <v>32606</v>
      </c>
      <c r="G8732" t="s">
        <v>32613</v>
      </c>
      <c r="H8732" t="s">
        <v>14201</v>
      </c>
      <c r="I8732" t="s">
        <v>7064</v>
      </c>
      <c r="J8732" t="s">
        <v>38171</v>
      </c>
      <c r="K8732" t="s">
        <v>42631</v>
      </c>
      <c r="M8732" t="s">
        <v>44878</v>
      </c>
      <c r="N8732" t="s">
        <v>47304</v>
      </c>
      <c r="O8732" t="s">
        <v>47305</v>
      </c>
      <c r="P8732">
        <v>0</v>
      </c>
      <c r="Q8732">
        <v>8</v>
      </c>
      <c r="R8732" t="s">
        <v>47312</v>
      </c>
      <c r="S8732" t="s">
        <v>47489</v>
      </c>
      <c r="T8732" t="s">
        <v>49355</v>
      </c>
      <c r="U8732" t="s">
        <v>56755</v>
      </c>
      <c r="W8732" t="s">
        <v>44878</v>
      </c>
      <c r="X8732" t="s">
        <v>47313</v>
      </c>
    </row>
    <row r="8733" spans="1:24">
      <c r="A8733">
        <f>HYPERLINK("https://www.philgeps.gov.ph/GEPSNONPILOT/Tender/SplashBidNoticeAbstractUI.aspx?menuIndex=3&amp;refID=7189152&amp;Result=3","7189152")</f>
        <v>0</v>
      </c>
      <c r="B8733" t="s">
        <v>1262</v>
      </c>
      <c r="C8733" t="s">
        <v>12080</v>
      </c>
      <c r="D8733" t="s">
        <v>19021</v>
      </c>
      <c r="E8733" t="s">
        <v>26569</v>
      </c>
      <c r="F8733" t="s">
        <v>32606</v>
      </c>
      <c r="G8733" t="s">
        <v>32613</v>
      </c>
      <c r="H8733" t="s">
        <v>14201</v>
      </c>
      <c r="I8733" t="s">
        <v>32650</v>
      </c>
      <c r="J8733" t="s">
        <v>32778</v>
      </c>
      <c r="K8733" t="s">
        <v>42631</v>
      </c>
      <c r="M8733" t="s">
        <v>44230</v>
      </c>
      <c r="N8733" t="s">
        <v>47304</v>
      </c>
      <c r="O8733" t="s">
        <v>47305</v>
      </c>
      <c r="P8733">
        <v>0</v>
      </c>
      <c r="Q8733">
        <v>1</v>
      </c>
      <c r="R8733" t="s">
        <v>47312</v>
      </c>
      <c r="S8733" t="s">
        <v>47489</v>
      </c>
      <c r="T8733" t="s">
        <v>49004</v>
      </c>
      <c r="U8733" t="s">
        <v>56756</v>
      </c>
      <c r="V8733" t="s">
        <v>63257</v>
      </c>
      <c r="W8733" t="s">
        <v>44230</v>
      </c>
      <c r="X8733" t="s">
        <v>47313</v>
      </c>
    </row>
    <row r="8734" spans="1:24">
      <c r="A8734">
        <f>HYPERLINK("https://www.philgeps.gov.ph/GEPSNONPILOT/Tender/SplashBidNoticeAbstractUI.aspx?menuIndex=3&amp;refID=7189146&amp;Result=3","7189146")</f>
        <v>0</v>
      </c>
      <c r="B8734" t="s">
        <v>2676</v>
      </c>
      <c r="C8734" t="s">
        <v>12081</v>
      </c>
      <c r="D8734" t="s">
        <v>19024</v>
      </c>
      <c r="E8734" t="s">
        <v>26570</v>
      </c>
      <c r="F8734" t="s">
        <v>32606</v>
      </c>
      <c r="G8734" t="s">
        <v>32613</v>
      </c>
      <c r="H8734" t="s">
        <v>14201</v>
      </c>
      <c r="I8734" t="s">
        <v>4121</v>
      </c>
      <c r="J8734" t="s">
        <v>38172</v>
      </c>
      <c r="K8734" t="s">
        <v>42623</v>
      </c>
      <c r="M8734" t="s">
        <v>45825</v>
      </c>
      <c r="N8734" t="s">
        <v>47304</v>
      </c>
      <c r="O8734" t="s">
        <v>47305</v>
      </c>
      <c r="P8734">
        <v>0</v>
      </c>
      <c r="Q8734">
        <v>2</v>
      </c>
      <c r="R8734" t="s">
        <v>47312</v>
      </c>
      <c r="S8734" t="s">
        <v>47489</v>
      </c>
      <c r="T8734" t="s">
        <v>49107</v>
      </c>
      <c r="U8734" t="s">
        <v>56757</v>
      </c>
      <c r="W8734" t="s">
        <v>45825</v>
      </c>
      <c r="X8734" t="s">
        <v>47313</v>
      </c>
    </row>
    <row r="8735" spans="1:24">
      <c r="A8735">
        <f>HYPERLINK("https://www.philgeps.gov.ph/GEPSNONPILOT/Tender/SplashBidNoticeAbstractUI.aspx?menuIndex=3&amp;refID=7189158&amp;Result=3","7189158")</f>
        <v>0</v>
      </c>
      <c r="B8735" t="s">
        <v>2754</v>
      </c>
      <c r="C8735" t="s">
        <v>12082</v>
      </c>
      <c r="D8735" t="s">
        <v>19061</v>
      </c>
      <c r="E8735" t="s">
        <v>26571</v>
      </c>
      <c r="F8735" t="s">
        <v>32606</v>
      </c>
      <c r="G8735" t="s">
        <v>32613</v>
      </c>
      <c r="H8735" t="s">
        <v>14201</v>
      </c>
      <c r="I8735" t="s">
        <v>4120</v>
      </c>
      <c r="J8735" t="s">
        <v>38173</v>
      </c>
      <c r="K8735" t="s">
        <v>42631</v>
      </c>
      <c r="M8735" t="s">
        <v>45912</v>
      </c>
      <c r="N8735" t="s">
        <v>47304</v>
      </c>
      <c r="O8735" t="s">
        <v>47305</v>
      </c>
      <c r="P8735">
        <v>0</v>
      </c>
      <c r="Q8735">
        <v>0</v>
      </c>
      <c r="R8735" t="s">
        <v>47312</v>
      </c>
      <c r="S8735" t="s">
        <v>47489</v>
      </c>
      <c r="T8735" t="s">
        <v>49061</v>
      </c>
      <c r="U8735" t="s">
        <v>56758</v>
      </c>
      <c r="V8735" t="s">
        <v>63567</v>
      </c>
      <c r="W8735" t="s">
        <v>64516</v>
      </c>
      <c r="X8735" t="s">
        <v>47313</v>
      </c>
    </row>
    <row r="8736" spans="1:24">
      <c r="A8736">
        <f>HYPERLINK("https://www.philgeps.gov.ph/GEPSNONPILOT/Tender/SplashBidNoticeAbstractUI.aspx?menuIndex=3&amp;refID=7189151&amp;Result=3","7189151")</f>
        <v>0</v>
      </c>
      <c r="B8736" t="s">
        <v>1684</v>
      </c>
      <c r="C8736" t="s">
        <v>12083</v>
      </c>
      <c r="D8736" t="s">
        <v>19032</v>
      </c>
      <c r="E8736" t="s">
        <v>26572</v>
      </c>
      <c r="F8736" t="s">
        <v>32606</v>
      </c>
      <c r="G8736" t="s">
        <v>32613</v>
      </c>
      <c r="H8736" t="s">
        <v>14201</v>
      </c>
      <c r="I8736" t="s">
        <v>7064</v>
      </c>
      <c r="J8736" t="s">
        <v>34128</v>
      </c>
      <c r="K8736" t="s">
        <v>42631</v>
      </c>
      <c r="M8736" t="s">
        <v>44878</v>
      </c>
      <c r="N8736" t="s">
        <v>47304</v>
      </c>
      <c r="O8736" t="s">
        <v>47305</v>
      </c>
      <c r="P8736">
        <v>0</v>
      </c>
      <c r="Q8736">
        <v>3</v>
      </c>
      <c r="R8736" t="s">
        <v>47312</v>
      </c>
      <c r="S8736" t="s">
        <v>47489</v>
      </c>
      <c r="T8736" t="s">
        <v>49355</v>
      </c>
      <c r="U8736" t="s">
        <v>56759</v>
      </c>
      <c r="W8736" t="s">
        <v>44878</v>
      </c>
      <c r="X8736" t="s">
        <v>47313</v>
      </c>
    </row>
    <row r="8737" spans="1:24">
      <c r="A8737">
        <f>HYPERLINK("https://www.philgeps.gov.ph/GEPSNONPILOT/Tender/SplashBidNoticeAbstractUI.aspx?menuIndex=3&amp;refID=7189225&amp;Result=3","7189225")</f>
        <v>0</v>
      </c>
      <c r="B8737" t="s">
        <v>1278</v>
      </c>
      <c r="C8737" t="s">
        <v>12084</v>
      </c>
      <c r="E8737" t="s">
        <v>26573</v>
      </c>
      <c r="F8737" t="s">
        <v>32606</v>
      </c>
      <c r="G8737" t="s">
        <v>32614</v>
      </c>
      <c r="H8737" t="s">
        <v>14201</v>
      </c>
      <c r="I8737" t="s">
        <v>32686</v>
      </c>
      <c r="J8737" t="s">
        <v>34697</v>
      </c>
      <c r="K8737" t="s">
        <v>42624</v>
      </c>
      <c r="M8737" t="s">
        <v>44248</v>
      </c>
      <c r="N8737" t="s">
        <v>47304</v>
      </c>
      <c r="O8737" t="s">
        <v>47305</v>
      </c>
      <c r="P8737">
        <v>0</v>
      </c>
      <c r="Q8737">
        <v>5</v>
      </c>
      <c r="R8737" t="s">
        <v>47312</v>
      </c>
      <c r="S8737" t="s">
        <v>47489</v>
      </c>
      <c r="T8737" t="s">
        <v>49023</v>
      </c>
      <c r="U8737" t="s">
        <v>56760</v>
      </c>
      <c r="V8737" t="s">
        <v>63564</v>
      </c>
      <c r="W8737" t="s">
        <v>44248</v>
      </c>
      <c r="X8737" t="s">
        <v>47313</v>
      </c>
    </row>
    <row r="8738" spans="1:24">
      <c r="A8738">
        <f>HYPERLINK("https://www.philgeps.gov.ph/GEPSNONPILOT/Tender/SplashBidNoticeAbstractUI.aspx?menuIndex=3&amp;refID=7189190&amp;Result=3","7189190")</f>
        <v>0</v>
      </c>
      <c r="B8738" t="s">
        <v>2331</v>
      </c>
      <c r="C8738" t="s">
        <v>12085</v>
      </c>
      <c r="D8738" t="s">
        <v>19015</v>
      </c>
      <c r="E8738" t="s">
        <v>24102</v>
      </c>
      <c r="F8738" t="s">
        <v>32606</v>
      </c>
      <c r="G8738" t="s">
        <v>32619</v>
      </c>
      <c r="H8738" t="s">
        <v>14201</v>
      </c>
      <c r="I8738" t="s">
        <v>32636</v>
      </c>
      <c r="J8738" t="s">
        <v>32752</v>
      </c>
      <c r="K8738" t="s">
        <v>42622</v>
      </c>
      <c r="M8738" t="s">
        <v>45441</v>
      </c>
      <c r="N8738" t="s">
        <v>47304</v>
      </c>
      <c r="O8738" t="s">
        <v>47305</v>
      </c>
      <c r="P8738">
        <v>0</v>
      </c>
      <c r="Q8738">
        <v>5</v>
      </c>
      <c r="R8738" t="s">
        <v>47312</v>
      </c>
      <c r="S8738" t="s">
        <v>47489</v>
      </c>
      <c r="T8738" t="s">
        <v>49268</v>
      </c>
      <c r="U8738" t="s">
        <v>56745</v>
      </c>
      <c r="W8738" t="s">
        <v>45441</v>
      </c>
      <c r="X8738" t="s">
        <v>47313</v>
      </c>
    </row>
    <row r="8739" spans="1:24">
      <c r="A8739">
        <f>HYPERLINK("https://www.philgeps.gov.ph/GEPSNONPILOT/Tender/SplashBidNoticeAbstractUI.aspx?menuIndex=3&amp;refID=7189224&amp;Result=3","7189224")</f>
        <v>0</v>
      </c>
      <c r="B8739" t="s">
        <v>873</v>
      </c>
      <c r="C8739" t="s">
        <v>6011</v>
      </c>
      <c r="D8739" t="s">
        <v>19002</v>
      </c>
      <c r="E8739" t="s">
        <v>22396</v>
      </c>
      <c r="F8739" t="s">
        <v>32606</v>
      </c>
      <c r="G8739" t="s">
        <v>32613</v>
      </c>
      <c r="H8739" t="s">
        <v>14201</v>
      </c>
      <c r="I8739" t="s">
        <v>32633</v>
      </c>
      <c r="J8739" t="s">
        <v>38174</v>
      </c>
      <c r="K8739" t="s">
        <v>42631</v>
      </c>
      <c r="M8739" t="s">
        <v>43809</v>
      </c>
      <c r="N8739" t="s">
        <v>47304</v>
      </c>
      <c r="O8739" t="s">
        <v>47305</v>
      </c>
      <c r="P8739">
        <v>0</v>
      </c>
      <c r="Q8739">
        <v>4</v>
      </c>
      <c r="R8739" t="s">
        <v>47312</v>
      </c>
      <c r="S8739" t="s">
        <v>47489</v>
      </c>
      <c r="T8739" t="s">
        <v>49397</v>
      </c>
      <c r="U8739" t="s">
        <v>51516</v>
      </c>
      <c r="W8739" t="s">
        <v>43809</v>
      </c>
      <c r="X8739" t="s">
        <v>47313</v>
      </c>
    </row>
    <row r="8740" spans="1:24">
      <c r="A8740">
        <f>HYPERLINK("https://www.philgeps.gov.ph/GEPSNONPILOT/Tender/SplashBidNoticeAbstractUI.aspx?menuIndex=3&amp;refID=7189223&amp;Result=3","7189223")</f>
        <v>0</v>
      </c>
      <c r="B8740" t="s">
        <v>2757</v>
      </c>
      <c r="C8740" t="s">
        <v>12086</v>
      </c>
      <c r="D8740" t="s">
        <v>18987</v>
      </c>
      <c r="E8740" t="s">
        <v>26574</v>
      </c>
      <c r="F8740" t="s">
        <v>32606</v>
      </c>
      <c r="G8740" t="s">
        <v>32617</v>
      </c>
      <c r="H8740" t="s">
        <v>14201</v>
      </c>
      <c r="I8740" t="s">
        <v>4120</v>
      </c>
      <c r="J8740" t="s">
        <v>33251</v>
      </c>
      <c r="K8740" t="s">
        <v>42623</v>
      </c>
      <c r="M8740" t="s">
        <v>45915</v>
      </c>
      <c r="N8740" t="s">
        <v>47304</v>
      </c>
      <c r="O8740" t="s">
        <v>47305</v>
      </c>
      <c r="P8740">
        <v>0</v>
      </c>
      <c r="Q8740">
        <v>1</v>
      </c>
      <c r="R8740" t="s">
        <v>47312</v>
      </c>
      <c r="S8740" t="s">
        <v>47489</v>
      </c>
      <c r="T8740" t="s">
        <v>49311</v>
      </c>
      <c r="U8740" t="s">
        <v>56761</v>
      </c>
      <c r="W8740" t="s">
        <v>45915</v>
      </c>
      <c r="X8740" t="s">
        <v>47313</v>
      </c>
    </row>
    <row r="8741" spans="1:24">
      <c r="A8741">
        <f>HYPERLINK("https://www.philgeps.gov.ph/GEPSNONPILOT/Tender/SplashBidNoticeAbstractUI.aspx?menuIndex=3&amp;refID=7189147&amp;Result=3","7189147")</f>
        <v>0</v>
      </c>
      <c r="B8741" t="s">
        <v>2758</v>
      </c>
      <c r="C8741" t="s">
        <v>12087</v>
      </c>
      <c r="D8741" t="s">
        <v>19012</v>
      </c>
      <c r="E8741" t="s">
        <v>26575</v>
      </c>
      <c r="F8741" t="s">
        <v>32606</v>
      </c>
      <c r="G8741" t="s">
        <v>32614</v>
      </c>
      <c r="H8741" t="s">
        <v>14201</v>
      </c>
      <c r="I8741" t="s">
        <v>32651</v>
      </c>
      <c r="J8741" t="s">
        <v>38175</v>
      </c>
      <c r="K8741" t="s">
        <v>42624</v>
      </c>
      <c r="M8741" t="s">
        <v>45916</v>
      </c>
      <c r="N8741" t="s">
        <v>47304</v>
      </c>
      <c r="O8741" t="s">
        <v>47305</v>
      </c>
      <c r="P8741">
        <v>0</v>
      </c>
      <c r="Q8741">
        <v>1</v>
      </c>
      <c r="R8741" t="s">
        <v>47312</v>
      </c>
      <c r="S8741" t="s">
        <v>47489</v>
      </c>
      <c r="T8741" t="s">
        <v>49269</v>
      </c>
      <c r="U8741" t="s">
        <v>56762</v>
      </c>
      <c r="W8741" t="s">
        <v>45916</v>
      </c>
      <c r="X8741" t="s">
        <v>47313</v>
      </c>
    </row>
    <row r="8742" spans="1:24">
      <c r="A8742">
        <f>HYPERLINK("https://www.philgeps.gov.ph/GEPSNONPILOT/Tender/SplashBidNoticeAbstractUI.aspx?menuIndex=3&amp;refID=7189192&amp;Result=3","7189192")</f>
        <v>0</v>
      </c>
      <c r="B8742" t="s">
        <v>2713</v>
      </c>
      <c r="C8742" t="s">
        <v>12088</v>
      </c>
      <c r="D8742" t="s">
        <v>19002</v>
      </c>
      <c r="E8742" t="s">
        <v>26576</v>
      </c>
      <c r="F8742" t="s">
        <v>32606</v>
      </c>
      <c r="G8742" t="s">
        <v>32614</v>
      </c>
      <c r="H8742" t="s">
        <v>14201</v>
      </c>
      <c r="I8742" t="s">
        <v>4120</v>
      </c>
      <c r="J8742" t="s">
        <v>38176</v>
      </c>
      <c r="K8742" t="s">
        <v>42623</v>
      </c>
      <c r="M8742" t="s">
        <v>45867</v>
      </c>
      <c r="N8742" t="s">
        <v>47304</v>
      </c>
      <c r="O8742" t="s">
        <v>47305</v>
      </c>
      <c r="P8742">
        <v>0</v>
      </c>
      <c r="Q8742">
        <v>3</v>
      </c>
      <c r="R8742" t="s">
        <v>47312</v>
      </c>
      <c r="S8742" t="s">
        <v>47489</v>
      </c>
      <c r="T8742" t="s">
        <v>49072</v>
      </c>
      <c r="U8742" t="s">
        <v>56763</v>
      </c>
      <c r="W8742" t="s">
        <v>45867</v>
      </c>
      <c r="X8742" t="s">
        <v>47313</v>
      </c>
    </row>
    <row r="8743" spans="1:24">
      <c r="A8743">
        <f>HYPERLINK("https://www.philgeps.gov.ph/GEPSNONPILOT/Tender/SplashBidNoticeAbstractUI.aspx?menuIndex=3&amp;refID=7189243&amp;Result=3","7189243")</f>
        <v>0</v>
      </c>
      <c r="B8743" t="s">
        <v>2759</v>
      </c>
      <c r="C8743" t="s">
        <v>12089</v>
      </c>
      <c r="E8743" t="s">
        <v>26577</v>
      </c>
      <c r="F8743" t="s">
        <v>32606</v>
      </c>
      <c r="G8743" t="s">
        <v>32614</v>
      </c>
      <c r="H8743" t="s">
        <v>14201</v>
      </c>
      <c r="I8743" t="s">
        <v>6931</v>
      </c>
      <c r="J8743" t="s">
        <v>38177</v>
      </c>
      <c r="K8743" t="s">
        <v>42624</v>
      </c>
      <c r="M8743" t="s">
        <v>45917</v>
      </c>
      <c r="N8743" t="s">
        <v>47304</v>
      </c>
      <c r="O8743" t="s">
        <v>47305</v>
      </c>
      <c r="P8743">
        <v>0</v>
      </c>
      <c r="Q8743">
        <v>1</v>
      </c>
      <c r="R8743" t="s">
        <v>47312</v>
      </c>
      <c r="S8743" t="s">
        <v>47489</v>
      </c>
      <c r="T8743" t="s">
        <v>48998</v>
      </c>
      <c r="U8743" t="s">
        <v>56764</v>
      </c>
      <c r="W8743" t="s">
        <v>45917</v>
      </c>
      <c r="X8743" t="s">
        <v>47313</v>
      </c>
    </row>
    <row r="8744" spans="1:24">
      <c r="A8744">
        <f>HYPERLINK("https://www.philgeps.gov.ph/GEPSNONPILOT/Tender/SplashBidNoticeAbstractUI.aspx?menuIndex=3&amp;refID=7189162&amp;Result=3","7189162")</f>
        <v>0</v>
      </c>
      <c r="B8744" t="s">
        <v>2119</v>
      </c>
      <c r="C8744" t="s">
        <v>12090</v>
      </c>
      <c r="D8744" t="s">
        <v>18993</v>
      </c>
      <c r="E8744" t="s">
        <v>26578</v>
      </c>
      <c r="F8744" t="s">
        <v>32607</v>
      </c>
      <c r="G8744" t="s">
        <v>32613</v>
      </c>
      <c r="H8744" t="s">
        <v>14201</v>
      </c>
      <c r="I8744" t="s">
        <v>32721</v>
      </c>
      <c r="J8744" t="s">
        <v>32789</v>
      </c>
      <c r="K8744" t="s">
        <v>42631</v>
      </c>
      <c r="M8744" t="s">
        <v>45206</v>
      </c>
      <c r="N8744" t="s">
        <v>47304</v>
      </c>
      <c r="O8744" t="s">
        <v>47305</v>
      </c>
      <c r="P8744">
        <v>0</v>
      </c>
      <c r="Q8744">
        <v>1</v>
      </c>
      <c r="R8744" t="s">
        <v>47312</v>
      </c>
      <c r="S8744" t="s">
        <v>47489</v>
      </c>
      <c r="T8744" t="s">
        <v>49157</v>
      </c>
      <c r="U8744" t="s">
        <v>56765</v>
      </c>
      <c r="V8744" t="s">
        <v>63251</v>
      </c>
      <c r="W8744" t="s">
        <v>45206</v>
      </c>
      <c r="X8744" t="s">
        <v>47313</v>
      </c>
    </row>
    <row r="8745" spans="1:24">
      <c r="A8745">
        <f>HYPERLINK("https://www.philgeps.gov.ph/GEPSNONPILOT/Tender/SplashBidNoticeAbstractUI.aspx?menuIndex=3&amp;refID=7189233&amp;Result=3","7189233")</f>
        <v>0</v>
      </c>
      <c r="B8745" t="s">
        <v>1914</v>
      </c>
      <c r="C8745" t="s">
        <v>12091</v>
      </c>
      <c r="D8745" t="s">
        <v>19047</v>
      </c>
      <c r="E8745" t="s">
        <v>26579</v>
      </c>
      <c r="F8745" t="s">
        <v>32606</v>
      </c>
      <c r="G8745" t="s">
        <v>32613</v>
      </c>
      <c r="H8745" t="s">
        <v>14201</v>
      </c>
      <c r="I8745" t="s">
        <v>6931</v>
      </c>
      <c r="J8745" t="s">
        <v>38178</v>
      </c>
      <c r="K8745" t="s">
        <v>42623</v>
      </c>
      <c r="M8745" t="s">
        <v>44973</v>
      </c>
      <c r="N8745" t="s">
        <v>47304</v>
      </c>
      <c r="O8745" t="s">
        <v>47305</v>
      </c>
      <c r="P8745">
        <v>0</v>
      </c>
      <c r="Q8745">
        <v>0</v>
      </c>
      <c r="R8745" t="s">
        <v>47312</v>
      </c>
      <c r="S8745" t="s">
        <v>47489</v>
      </c>
      <c r="T8745" t="s">
        <v>49234</v>
      </c>
      <c r="U8745" t="s">
        <v>56766</v>
      </c>
      <c r="W8745" t="s">
        <v>44973</v>
      </c>
      <c r="X8745" t="s">
        <v>47313</v>
      </c>
    </row>
    <row r="8746" spans="1:24">
      <c r="A8746">
        <f>HYPERLINK("https://www.philgeps.gov.ph/GEPSNONPILOT/Tender/SplashBidNoticeAbstractUI.aspx?menuIndex=3&amp;refID=7189227&amp;Result=3","7189227")</f>
        <v>0</v>
      </c>
      <c r="B8746" t="s">
        <v>2054</v>
      </c>
      <c r="C8746" t="s">
        <v>12092</v>
      </c>
      <c r="D8746" t="s">
        <v>19008</v>
      </c>
      <c r="E8746" t="s">
        <v>26580</v>
      </c>
      <c r="F8746" t="s">
        <v>32606</v>
      </c>
      <c r="G8746" t="s">
        <v>32613</v>
      </c>
      <c r="H8746" t="s">
        <v>14201</v>
      </c>
      <c r="I8746" t="s">
        <v>32633</v>
      </c>
      <c r="J8746" t="s">
        <v>38179</v>
      </c>
      <c r="K8746" t="s">
        <v>42624</v>
      </c>
      <c r="M8746" t="s">
        <v>45133</v>
      </c>
      <c r="N8746" t="s">
        <v>47304</v>
      </c>
      <c r="O8746" t="s">
        <v>47305</v>
      </c>
      <c r="P8746">
        <v>0</v>
      </c>
      <c r="Q8746">
        <v>29</v>
      </c>
      <c r="R8746" t="s">
        <v>47312</v>
      </c>
      <c r="S8746" t="s">
        <v>47489</v>
      </c>
      <c r="T8746" t="s">
        <v>49040</v>
      </c>
      <c r="U8746" t="s">
        <v>56767</v>
      </c>
      <c r="W8746" t="s">
        <v>45133</v>
      </c>
      <c r="X8746" t="s">
        <v>47313</v>
      </c>
    </row>
    <row r="8747" spans="1:24">
      <c r="A8747">
        <f>HYPERLINK("https://www.philgeps.gov.ph/GEPSNONPILOT/Tender/SplashBidNoticeAbstractUI.aspx?menuIndex=3&amp;refID=7189215&amp;Result=3","7189215")</f>
        <v>0</v>
      </c>
      <c r="B8747" t="s">
        <v>438</v>
      </c>
      <c r="C8747" t="s">
        <v>12093</v>
      </c>
      <c r="D8747" t="s">
        <v>19003</v>
      </c>
      <c r="E8747" t="s">
        <v>26581</v>
      </c>
      <c r="F8747" t="s">
        <v>32606</v>
      </c>
      <c r="G8747" t="s">
        <v>32619</v>
      </c>
      <c r="H8747" t="s">
        <v>14201</v>
      </c>
      <c r="I8747" t="s">
        <v>4114</v>
      </c>
      <c r="J8747" t="s">
        <v>38180</v>
      </c>
      <c r="K8747" t="s">
        <v>42638</v>
      </c>
      <c r="M8747" t="s">
        <v>43345</v>
      </c>
      <c r="N8747" t="s">
        <v>47304</v>
      </c>
      <c r="O8747" t="s">
        <v>47305</v>
      </c>
      <c r="P8747">
        <v>0</v>
      </c>
      <c r="Q8747">
        <v>0</v>
      </c>
      <c r="R8747" t="s">
        <v>47312</v>
      </c>
      <c r="S8747" t="s">
        <v>47489</v>
      </c>
      <c r="T8747" t="s">
        <v>49020</v>
      </c>
      <c r="U8747" t="s">
        <v>56768</v>
      </c>
      <c r="W8747" t="s">
        <v>43345</v>
      </c>
      <c r="X8747" t="s">
        <v>47313</v>
      </c>
    </row>
    <row r="8748" spans="1:24">
      <c r="A8748">
        <f>HYPERLINK("https://www.philgeps.gov.ph/GEPSNONPILOT/Tender/SplashBidNoticeAbstractUI.aspx?menuIndex=3&amp;refID=7189212&amp;Result=3","7189212")</f>
        <v>0</v>
      </c>
      <c r="B8748" t="s">
        <v>2738</v>
      </c>
      <c r="C8748" t="s">
        <v>12094</v>
      </c>
      <c r="D8748" t="s">
        <v>19006</v>
      </c>
      <c r="E8748" t="s">
        <v>26487</v>
      </c>
      <c r="F8748" t="s">
        <v>32606</v>
      </c>
      <c r="G8748" t="s">
        <v>32613</v>
      </c>
      <c r="H8748" t="s">
        <v>32623</v>
      </c>
      <c r="I8748" t="s">
        <v>17648</v>
      </c>
      <c r="J8748" t="s">
        <v>38181</v>
      </c>
      <c r="K8748" t="s">
        <v>42631</v>
      </c>
      <c r="M8748" t="s">
        <v>45894</v>
      </c>
      <c r="N8748" t="s">
        <v>47304</v>
      </c>
      <c r="O8748" t="s">
        <v>47305</v>
      </c>
      <c r="P8748">
        <v>0</v>
      </c>
      <c r="Q8748">
        <v>0</v>
      </c>
      <c r="R8748" t="s">
        <v>47312</v>
      </c>
      <c r="S8748" t="s">
        <v>47489</v>
      </c>
      <c r="T8748" t="s">
        <v>49064</v>
      </c>
      <c r="U8748" t="s">
        <v>56769</v>
      </c>
      <c r="W8748" t="s">
        <v>45894</v>
      </c>
      <c r="X8748" t="s">
        <v>47313</v>
      </c>
    </row>
    <row r="8749" spans="1:24">
      <c r="A8749">
        <f>HYPERLINK("https://www.philgeps.gov.ph/GEPSNONPILOT/Tender/SplashBidNoticeAbstractUI.aspx?menuIndex=3&amp;refID=7189187&amp;Result=3","7189187")</f>
        <v>0</v>
      </c>
      <c r="B8749" t="s">
        <v>1684</v>
      </c>
      <c r="C8749" t="s">
        <v>12095</v>
      </c>
      <c r="D8749" t="s">
        <v>19032</v>
      </c>
      <c r="E8749" t="s">
        <v>26582</v>
      </c>
      <c r="F8749" t="s">
        <v>32606</v>
      </c>
      <c r="G8749" t="s">
        <v>32613</v>
      </c>
      <c r="H8749" t="s">
        <v>14201</v>
      </c>
      <c r="I8749" t="s">
        <v>7064</v>
      </c>
      <c r="J8749" t="s">
        <v>34591</v>
      </c>
      <c r="K8749" t="s">
        <v>42631</v>
      </c>
      <c r="M8749" t="s">
        <v>44878</v>
      </c>
      <c r="N8749" t="s">
        <v>47304</v>
      </c>
      <c r="O8749" t="s">
        <v>47305</v>
      </c>
      <c r="P8749">
        <v>0</v>
      </c>
      <c r="Q8749">
        <v>2</v>
      </c>
      <c r="R8749" t="s">
        <v>47312</v>
      </c>
      <c r="S8749" t="s">
        <v>47489</v>
      </c>
      <c r="T8749" t="s">
        <v>49355</v>
      </c>
      <c r="U8749" t="s">
        <v>56770</v>
      </c>
      <c r="W8749" t="s">
        <v>44878</v>
      </c>
      <c r="X8749" t="s">
        <v>47313</v>
      </c>
    </row>
    <row r="8750" spans="1:24">
      <c r="A8750">
        <f>HYPERLINK("https://www.philgeps.gov.ph/GEPSNONPILOT/Tender/SplashBidNoticeAbstractUI.aspx?menuIndex=3&amp;refID=7189206&amp;Result=3","7189206")</f>
        <v>0</v>
      </c>
      <c r="B8750" t="s">
        <v>2760</v>
      </c>
      <c r="C8750" t="s">
        <v>12096</v>
      </c>
      <c r="D8750" t="s">
        <v>19042</v>
      </c>
      <c r="E8750" t="s">
        <v>26583</v>
      </c>
      <c r="F8750" t="s">
        <v>32606</v>
      </c>
      <c r="G8750" t="s">
        <v>32614</v>
      </c>
      <c r="H8750" t="s">
        <v>14201</v>
      </c>
      <c r="I8750" t="s">
        <v>4120</v>
      </c>
      <c r="J8750" t="s">
        <v>32799</v>
      </c>
      <c r="K8750" t="s">
        <v>42632</v>
      </c>
      <c r="M8750" t="s">
        <v>45918</v>
      </c>
      <c r="N8750" t="s">
        <v>47304</v>
      </c>
      <c r="O8750" t="s">
        <v>47305</v>
      </c>
      <c r="P8750">
        <v>0</v>
      </c>
      <c r="Q8750">
        <v>1</v>
      </c>
      <c r="R8750" t="s">
        <v>47312</v>
      </c>
      <c r="S8750" t="s">
        <v>47489</v>
      </c>
      <c r="T8750" t="s">
        <v>49257</v>
      </c>
      <c r="U8750" t="s">
        <v>56771</v>
      </c>
      <c r="W8750" t="s">
        <v>45918</v>
      </c>
      <c r="X8750" t="s">
        <v>47313</v>
      </c>
    </row>
    <row r="8751" spans="1:24">
      <c r="A8751">
        <f>HYPERLINK("https://www.philgeps.gov.ph/GEPSNONPILOT/Tender/SplashBidNoticeAbstractUI.aspx?menuIndex=3&amp;refID=7189240&amp;Result=3","7189240")</f>
        <v>0</v>
      </c>
      <c r="B8751" t="s">
        <v>2755</v>
      </c>
      <c r="C8751" t="s">
        <v>12097</v>
      </c>
      <c r="D8751" t="s">
        <v>19024</v>
      </c>
      <c r="E8751" t="s">
        <v>26584</v>
      </c>
      <c r="F8751" t="s">
        <v>32606</v>
      </c>
      <c r="G8751" t="s">
        <v>32613</v>
      </c>
      <c r="H8751" t="s">
        <v>32623</v>
      </c>
      <c r="I8751" t="s">
        <v>17648</v>
      </c>
      <c r="J8751" t="s">
        <v>38182</v>
      </c>
      <c r="K8751" t="s">
        <v>42624</v>
      </c>
      <c r="M8751" t="s">
        <v>45913</v>
      </c>
      <c r="N8751" t="s">
        <v>47304</v>
      </c>
      <c r="O8751" t="s">
        <v>47305</v>
      </c>
      <c r="P8751">
        <v>0</v>
      </c>
      <c r="Q8751">
        <v>0</v>
      </c>
      <c r="R8751" t="s">
        <v>47312</v>
      </c>
      <c r="S8751" t="s">
        <v>47489</v>
      </c>
      <c r="T8751" t="s">
        <v>49073</v>
      </c>
      <c r="U8751" t="s">
        <v>56772</v>
      </c>
      <c r="W8751" t="s">
        <v>45913</v>
      </c>
      <c r="X8751" t="s">
        <v>47313</v>
      </c>
    </row>
    <row r="8752" spans="1:24">
      <c r="A8752">
        <f>HYPERLINK("https://www.philgeps.gov.ph/GEPSNONPILOT/Tender/SplashBidNoticeAbstractUI.aspx?menuIndex=3&amp;refID=7189218&amp;Result=3","7189218")</f>
        <v>0</v>
      </c>
      <c r="B8752" t="s">
        <v>2119</v>
      </c>
      <c r="C8752" t="s">
        <v>12098</v>
      </c>
      <c r="D8752" t="s">
        <v>18993</v>
      </c>
      <c r="E8752" t="s">
        <v>26585</v>
      </c>
      <c r="F8752" t="s">
        <v>32607</v>
      </c>
      <c r="G8752" t="s">
        <v>32613</v>
      </c>
      <c r="H8752" t="s">
        <v>14201</v>
      </c>
      <c r="I8752" t="s">
        <v>32721</v>
      </c>
      <c r="J8752" t="s">
        <v>32778</v>
      </c>
      <c r="K8752" t="s">
        <v>42631</v>
      </c>
      <c r="M8752" t="s">
        <v>45206</v>
      </c>
      <c r="N8752" t="s">
        <v>47304</v>
      </c>
      <c r="O8752" t="s">
        <v>47305</v>
      </c>
      <c r="P8752">
        <v>0</v>
      </c>
      <c r="Q8752">
        <v>1</v>
      </c>
      <c r="R8752" t="s">
        <v>47312</v>
      </c>
      <c r="S8752" t="s">
        <v>47489</v>
      </c>
      <c r="T8752" t="s">
        <v>49035</v>
      </c>
      <c r="U8752" t="s">
        <v>56773</v>
      </c>
      <c r="V8752" t="s">
        <v>63251</v>
      </c>
      <c r="W8752" t="s">
        <v>45206</v>
      </c>
      <c r="X8752" t="s">
        <v>47313</v>
      </c>
    </row>
    <row r="8753" spans="1:24">
      <c r="A8753">
        <f>HYPERLINK("https://www.philgeps.gov.ph/GEPSNONPILOT/Tender/SplashBidNoticeAbstractUI.aspx?menuIndex=3&amp;refID=7189202&amp;Result=3","7189202")</f>
        <v>0</v>
      </c>
      <c r="B8753" t="s">
        <v>33</v>
      </c>
      <c r="C8753" t="s">
        <v>12099</v>
      </c>
      <c r="D8753" t="s">
        <v>18992</v>
      </c>
      <c r="E8753" t="s">
        <v>20432</v>
      </c>
      <c r="F8753" t="s">
        <v>32606</v>
      </c>
      <c r="G8753" t="s">
        <v>32613</v>
      </c>
      <c r="H8753" t="s">
        <v>14201</v>
      </c>
      <c r="I8753" t="s">
        <v>6931</v>
      </c>
      <c r="J8753" t="s">
        <v>38183</v>
      </c>
      <c r="K8753" t="s">
        <v>42627</v>
      </c>
      <c r="M8753" t="s">
        <v>42930</v>
      </c>
      <c r="N8753" t="s">
        <v>47304</v>
      </c>
      <c r="O8753" t="s">
        <v>47305</v>
      </c>
      <c r="P8753">
        <v>0</v>
      </c>
      <c r="Q8753">
        <v>0</v>
      </c>
      <c r="R8753" t="s">
        <v>47312</v>
      </c>
      <c r="S8753" t="s">
        <v>47489</v>
      </c>
      <c r="T8753" t="s">
        <v>48980</v>
      </c>
      <c r="U8753" t="s">
        <v>56774</v>
      </c>
      <c r="W8753" t="s">
        <v>42930</v>
      </c>
      <c r="X8753" t="s">
        <v>47313</v>
      </c>
    </row>
    <row r="8754" spans="1:24">
      <c r="A8754">
        <f>HYPERLINK("https://www.philgeps.gov.ph/GEPSNONPILOT/Tender/SplashBidNoticeAbstractUI.aspx?menuIndex=3&amp;refID=7189201&amp;Result=3","7189201")</f>
        <v>0</v>
      </c>
      <c r="B8754" t="s">
        <v>2754</v>
      </c>
      <c r="C8754" t="s">
        <v>12100</v>
      </c>
      <c r="D8754" t="s">
        <v>19061</v>
      </c>
      <c r="E8754" t="s">
        <v>26586</v>
      </c>
      <c r="F8754" t="s">
        <v>32606</v>
      </c>
      <c r="G8754" t="s">
        <v>32613</v>
      </c>
      <c r="H8754" t="s">
        <v>14201</v>
      </c>
      <c r="I8754" t="s">
        <v>32640</v>
      </c>
      <c r="J8754" t="s">
        <v>38184</v>
      </c>
      <c r="K8754" t="s">
        <v>42631</v>
      </c>
      <c r="M8754" t="s">
        <v>45912</v>
      </c>
      <c r="N8754" t="s">
        <v>47304</v>
      </c>
      <c r="O8754" t="s">
        <v>47305</v>
      </c>
      <c r="P8754">
        <v>0</v>
      </c>
      <c r="Q8754">
        <v>0</v>
      </c>
      <c r="R8754" t="s">
        <v>47312</v>
      </c>
      <c r="S8754" t="s">
        <v>47489</v>
      </c>
      <c r="T8754" t="s">
        <v>49061</v>
      </c>
      <c r="U8754" t="s">
        <v>56775</v>
      </c>
      <c r="V8754" t="s">
        <v>63567</v>
      </c>
      <c r="W8754" t="s">
        <v>64516</v>
      </c>
      <c r="X8754" t="s">
        <v>47313</v>
      </c>
    </row>
    <row r="8755" spans="1:24">
      <c r="A8755">
        <f>HYPERLINK("https://www.philgeps.gov.ph/GEPSNONPILOT/Tender/SplashBidNoticeAbstractUI.aspx?menuIndex=3&amp;refID=7189295&amp;Result=3","7189295")</f>
        <v>0</v>
      </c>
      <c r="B8755" t="s">
        <v>2761</v>
      </c>
      <c r="C8755" t="s">
        <v>12101</v>
      </c>
      <c r="D8755" t="s">
        <v>19014</v>
      </c>
      <c r="E8755" t="s">
        <v>26587</v>
      </c>
      <c r="F8755" t="s">
        <v>32606</v>
      </c>
      <c r="G8755" t="s">
        <v>32614</v>
      </c>
      <c r="H8755" t="s">
        <v>14201</v>
      </c>
      <c r="I8755" t="s">
        <v>7577</v>
      </c>
      <c r="J8755" t="s">
        <v>38185</v>
      </c>
      <c r="K8755" t="s">
        <v>42631</v>
      </c>
      <c r="M8755" t="s">
        <v>45919</v>
      </c>
      <c r="N8755" t="s">
        <v>47304</v>
      </c>
      <c r="O8755" t="s">
        <v>47305</v>
      </c>
      <c r="P8755">
        <v>0</v>
      </c>
      <c r="Q8755">
        <v>3</v>
      </c>
      <c r="R8755" t="s">
        <v>47312</v>
      </c>
      <c r="S8755" t="s">
        <v>47489</v>
      </c>
      <c r="T8755" t="s">
        <v>49268</v>
      </c>
      <c r="U8755" t="s">
        <v>56776</v>
      </c>
      <c r="W8755" t="s">
        <v>45919</v>
      </c>
      <c r="X8755" t="s">
        <v>47313</v>
      </c>
    </row>
    <row r="8756" spans="1:24">
      <c r="A8756">
        <f>HYPERLINK("https://www.philgeps.gov.ph/GEPSNONPILOT/Tender/SplashBidNoticeAbstractUI.aspx?menuIndex=3&amp;refID=7189216&amp;Result=3","7189216")</f>
        <v>0</v>
      </c>
      <c r="B8756" t="s">
        <v>1333</v>
      </c>
      <c r="C8756" t="s">
        <v>12102</v>
      </c>
      <c r="D8756" t="s">
        <v>19005</v>
      </c>
      <c r="E8756" t="s">
        <v>26411</v>
      </c>
      <c r="F8756" t="s">
        <v>32606</v>
      </c>
      <c r="G8756" t="s">
        <v>32613</v>
      </c>
      <c r="H8756" t="s">
        <v>14201</v>
      </c>
      <c r="I8756" t="s">
        <v>4120</v>
      </c>
      <c r="J8756" t="s">
        <v>38186</v>
      </c>
      <c r="K8756" t="s">
        <v>42622</v>
      </c>
      <c r="M8756" t="s">
        <v>44307</v>
      </c>
      <c r="N8756" t="s">
        <v>47304</v>
      </c>
      <c r="O8756" t="s">
        <v>47305</v>
      </c>
      <c r="P8756">
        <v>0</v>
      </c>
      <c r="Q8756">
        <v>2</v>
      </c>
      <c r="R8756" t="s">
        <v>47312</v>
      </c>
      <c r="S8756" t="s">
        <v>47489</v>
      </c>
      <c r="T8756" t="s">
        <v>48980</v>
      </c>
      <c r="U8756" t="s">
        <v>56777</v>
      </c>
      <c r="W8756" t="s">
        <v>44307</v>
      </c>
      <c r="X8756" t="s">
        <v>47313</v>
      </c>
    </row>
    <row r="8757" spans="1:24">
      <c r="A8757">
        <f>HYPERLINK("https://www.philgeps.gov.ph/GEPSNONPILOT/Tender/SplashBidNoticeAbstractUI.aspx?menuIndex=3&amp;refID=7189294&amp;Result=3","7189294")</f>
        <v>0</v>
      </c>
      <c r="B8757" t="s">
        <v>1278</v>
      </c>
      <c r="C8757" t="s">
        <v>12103</v>
      </c>
      <c r="E8757" t="s">
        <v>26588</v>
      </c>
      <c r="F8757" t="s">
        <v>32606</v>
      </c>
      <c r="G8757" t="s">
        <v>32614</v>
      </c>
      <c r="H8757" t="s">
        <v>14201</v>
      </c>
      <c r="I8757" t="s">
        <v>32671</v>
      </c>
      <c r="J8757" t="s">
        <v>38187</v>
      </c>
      <c r="K8757" t="s">
        <v>42624</v>
      </c>
      <c r="M8757" t="s">
        <v>44248</v>
      </c>
      <c r="N8757" t="s">
        <v>47304</v>
      </c>
      <c r="O8757" t="s">
        <v>47305</v>
      </c>
      <c r="P8757">
        <v>0</v>
      </c>
      <c r="Q8757">
        <v>8</v>
      </c>
      <c r="R8757" t="s">
        <v>47312</v>
      </c>
      <c r="S8757" t="s">
        <v>47489</v>
      </c>
      <c r="T8757" t="s">
        <v>49023</v>
      </c>
      <c r="U8757" t="s">
        <v>56778</v>
      </c>
      <c r="V8757" t="s">
        <v>63564</v>
      </c>
      <c r="W8757" t="s">
        <v>44248</v>
      </c>
      <c r="X8757" t="s">
        <v>47313</v>
      </c>
    </row>
    <row r="8758" spans="1:24">
      <c r="A8758">
        <f>HYPERLINK("https://www.philgeps.gov.ph/GEPSNONPILOT/Tender/SplashBidNoticeAbstractUI.aspx?menuIndex=3&amp;refID=7189290&amp;Result=3","7189290")</f>
        <v>0</v>
      </c>
      <c r="B8758" t="s">
        <v>2762</v>
      </c>
      <c r="C8758" t="s">
        <v>12104</v>
      </c>
      <c r="D8758" t="s">
        <v>19014</v>
      </c>
      <c r="E8758" t="s">
        <v>26589</v>
      </c>
      <c r="F8758" t="s">
        <v>32606</v>
      </c>
      <c r="G8758" t="s">
        <v>32614</v>
      </c>
      <c r="H8758" t="s">
        <v>14201</v>
      </c>
      <c r="I8758" t="s">
        <v>32634</v>
      </c>
      <c r="J8758" t="s">
        <v>38188</v>
      </c>
      <c r="K8758" t="s">
        <v>42639</v>
      </c>
      <c r="M8758" t="s">
        <v>45920</v>
      </c>
      <c r="N8758" t="s">
        <v>47304</v>
      </c>
      <c r="O8758" t="s">
        <v>47305</v>
      </c>
      <c r="P8758">
        <v>0</v>
      </c>
      <c r="Q8758">
        <v>2</v>
      </c>
      <c r="R8758" t="s">
        <v>47312</v>
      </c>
      <c r="S8758" t="s">
        <v>47489</v>
      </c>
      <c r="T8758" t="s">
        <v>49068</v>
      </c>
      <c r="U8758" t="s">
        <v>56779</v>
      </c>
      <c r="W8758" t="s">
        <v>45920</v>
      </c>
      <c r="X8758" t="s">
        <v>47313</v>
      </c>
    </row>
    <row r="8759" spans="1:24">
      <c r="A8759">
        <f>HYPERLINK("https://www.philgeps.gov.ph/GEPSNONPILOT/Tender/SplashBidNoticeAbstractUI.aspx?menuIndex=3&amp;refID=7189287&amp;Result=3","7189287")</f>
        <v>0</v>
      </c>
      <c r="B8759" t="s">
        <v>940</v>
      </c>
      <c r="C8759" t="s">
        <v>12105</v>
      </c>
      <c r="D8759" t="s">
        <v>19024</v>
      </c>
      <c r="E8759" t="s">
        <v>26590</v>
      </c>
      <c r="F8759" t="s">
        <v>32606</v>
      </c>
      <c r="G8759" t="s">
        <v>32613</v>
      </c>
      <c r="H8759" t="s">
        <v>14201</v>
      </c>
      <c r="I8759" t="s">
        <v>32640</v>
      </c>
      <c r="J8759" t="s">
        <v>32981</v>
      </c>
      <c r="K8759" t="s">
        <v>42623</v>
      </c>
      <c r="M8759" t="s">
        <v>43881</v>
      </c>
      <c r="N8759" t="s">
        <v>47304</v>
      </c>
      <c r="O8759" t="s">
        <v>47305</v>
      </c>
      <c r="P8759">
        <v>0</v>
      </c>
      <c r="Q8759">
        <v>1</v>
      </c>
      <c r="R8759" t="s">
        <v>47312</v>
      </c>
      <c r="S8759" t="s">
        <v>47489</v>
      </c>
      <c r="T8759" t="s">
        <v>49075</v>
      </c>
      <c r="U8759" t="s">
        <v>56780</v>
      </c>
      <c r="W8759" t="s">
        <v>43881</v>
      </c>
      <c r="X8759" t="s">
        <v>47313</v>
      </c>
    </row>
    <row r="8760" spans="1:24">
      <c r="A8760">
        <f>HYPERLINK("https://www.philgeps.gov.ph/GEPSNONPILOT/Tender/SplashBidNoticeAbstractUI.aspx?menuIndex=3&amp;refID=7189276&amp;Result=3","7189276")</f>
        <v>0</v>
      </c>
      <c r="B8760" t="s">
        <v>2763</v>
      </c>
      <c r="C8760" t="s">
        <v>12106</v>
      </c>
      <c r="D8760" t="s">
        <v>19037</v>
      </c>
      <c r="E8760" t="s">
        <v>26591</v>
      </c>
      <c r="F8760" t="s">
        <v>32606</v>
      </c>
      <c r="G8760" t="s">
        <v>32619</v>
      </c>
      <c r="H8760" t="s">
        <v>14201</v>
      </c>
      <c r="I8760" t="s">
        <v>32631</v>
      </c>
      <c r="J8760" t="s">
        <v>33693</v>
      </c>
      <c r="K8760" t="s">
        <v>42632</v>
      </c>
      <c r="M8760" t="s">
        <v>45921</v>
      </c>
      <c r="N8760" t="s">
        <v>47304</v>
      </c>
      <c r="O8760" t="s">
        <v>47305</v>
      </c>
      <c r="P8760">
        <v>0</v>
      </c>
      <c r="Q8760">
        <v>0</v>
      </c>
      <c r="R8760" t="s">
        <v>47312</v>
      </c>
      <c r="S8760" t="s">
        <v>47489</v>
      </c>
      <c r="T8760" t="s">
        <v>49315</v>
      </c>
      <c r="U8760" t="s">
        <v>56781</v>
      </c>
      <c r="W8760" t="s">
        <v>45921</v>
      </c>
      <c r="X8760" t="s">
        <v>47313</v>
      </c>
    </row>
    <row r="8761" spans="1:24">
      <c r="A8761">
        <f>HYPERLINK("https://www.philgeps.gov.ph/GEPSNONPILOT/Tender/SplashBidNoticeAbstractUI.aspx?menuIndex=3&amp;refID=7189274&amp;Result=3","7189274")</f>
        <v>0</v>
      </c>
      <c r="B8761" t="s">
        <v>2764</v>
      </c>
      <c r="C8761" t="s">
        <v>3942</v>
      </c>
      <c r="D8761" t="s">
        <v>19018</v>
      </c>
      <c r="E8761" t="s">
        <v>19145</v>
      </c>
      <c r="F8761" t="s">
        <v>32606</v>
      </c>
      <c r="G8761" t="s">
        <v>32613</v>
      </c>
      <c r="H8761" t="s">
        <v>32623</v>
      </c>
      <c r="I8761" t="s">
        <v>17648</v>
      </c>
      <c r="J8761" t="s">
        <v>38189</v>
      </c>
      <c r="K8761" t="s">
        <v>42636</v>
      </c>
      <c r="M8761" t="s">
        <v>45922</v>
      </c>
      <c r="N8761" t="s">
        <v>47304</v>
      </c>
      <c r="O8761" t="s">
        <v>47305</v>
      </c>
      <c r="P8761">
        <v>0</v>
      </c>
      <c r="Q8761">
        <v>0</v>
      </c>
      <c r="R8761" t="s">
        <v>47312</v>
      </c>
      <c r="S8761" t="s">
        <v>47489</v>
      </c>
      <c r="T8761" t="s">
        <v>49057</v>
      </c>
      <c r="U8761" t="s">
        <v>56782</v>
      </c>
      <c r="W8761" t="s">
        <v>45922</v>
      </c>
      <c r="X8761" t="s">
        <v>47313</v>
      </c>
    </row>
    <row r="8762" spans="1:24">
      <c r="A8762">
        <f>HYPERLINK("https://www.philgeps.gov.ph/GEPSNONPILOT/Tender/SplashBidNoticeAbstractUI.aspx?menuIndex=3&amp;refID=7189241&amp;Result=3","7189241")</f>
        <v>0</v>
      </c>
      <c r="B8762" t="s">
        <v>1684</v>
      </c>
      <c r="C8762" t="s">
        <v>12107</v>
      </c>
      <c r="D8762" t="s">
        <v>19032</v>
      </c>
      <c r="E8762" t="s">
        <v>26592</v>
      </c>
      <c r="F8762" t="s">
        <v>32606</v>
      </c>
      <c r="G8762" t="s">
        <v>32613</v>
      </c>
      <c r="H8762" t="s">
        <v>14201</v>
      </c>
      <c r="I8762" t="s">
        <v>4121</v>
      </c>
      <c r="J8762" t="s">
        <v>34128</v>
      </c>
      <c r="K8762" t="s">
        <v>42631</v>
      </c>
      <c r="M8762" t="s">
        <v>44878</v>
      </c>
      <c r="N8762" t="s">
        <v>47304</v>
      </c>
      <c r="O8762" t="s">
        <v>47305</v>
      </c>
      <c r="P8762">
        <v>0</v>
      </c>
      <c r="Q8762">
        <v>4</v>
      </c>
      <c r="R8762" t="s">
        <v>47312</v>
      </c>
      <c r="S8762" t="s">
        <v>47489</v>
      </c>
      <c r="T8762" t="s">
        <v>49355</v>
      </c>
      <c r="U8762" t="s">
        <v>56783</v>
      </c>
      <c r="W8762" t="s">
        <v>44878</v>
      </c>
      <c r="X8762" t="s">
        <v>47313</v>
      </c>
    </row>
    <row r="8763" spans="1:24">
      <c r="A8763">
        <f>HYPERLINK("https://www.philgeps.gov.ph/GEPSNONPILOT/Tender/SplashBidNoticeAbstractUI.aspx?menuIndex=3&amp;refID=7189273&amp;Result=3","7189273")</f>
        <v>0</v>
      </c>
      <c r="B8763" t="s">
        <v>2765</v>
      </c>
      <c r="C8763" t="s">
        <v>12108</v>
      </c>
      <c r="D8763" t="s">
        <v>19005</v>
      </c>
      <c r="E8763" t="s">
        <v>20122</v>
      </c>
      <c r="F8763" t="s">
        <v>32606</v>
      </c>
      <c r="G8763" t="s">
        <v>32613</v>
      </c>
      <c r="H8763" t="s">
        <v>32623</v>
      </c>
      <c r="I8763" t="s">
        <v>17648</v>
      </c>
      <c r="J8763" t="s">
        <v>38190</v>
      </c>
      <c r="K8763" t="s">
        <v>42624</v>
      </c>
      <c r="M8763" t="s">
        <v>45923</v>
      </c>
      <c r="N8763" t="s">
        <v>47304</v>
      </c>
      <c r="O8763" t="s">
        <v>47305</v>
      </c>
      <c r="P8763">
        <v>0</v>
      </c>
      <c r="Q8763">
        <v>0</v>
      </c>
      <c r="R8763" t="s">
        <v>47312</v>
      </c>
      <c r="S8763" t="s">
        <v>47489</v>
      </c>
      <c r="T8763" t="s">
        <v>49072</v>
      </c>
      <c r="U8763" t="s">
        <v>52230</v>
      </c>
      <c r="W8763" t="s">
        <v>45923</v>
      </c>
      <c r="X8763" t="s">
        <v>47313</v>
      </c>
    </row>
    <row r="8764" spans="1:24">
      <c r="A8764">
        <f>HYPERLINK("https://www.philgeps.gov.ph/GEPSNONPILOT/Tender/SplashBidNoticeAbstractUI.aspx?menuIndex=3&amp;refID=7189271&amp;Result=3","7189271")</f>
        <v>0</v>
      </c>
      <c r="B8764" t="s">
        <v>2766</v>
      </c>
      <c r="C8764" t="s">
        <v>12109</v>
      </c>
      <c r="D8764" t="s">
        <v>18989</v>
      </c>
      <c r="E8764" t="s">
        <v>19940</v>
      </c>
      <c r="F8764" t="s">
        <v>32606</v>
      </c>
      <c r="G8764" t="s">
        <v>32613</v>
      </c>
      <c r="H8764" t="s">
        <v>32623</v>
      </c>
      <c r="I8764" t="s">
        <v>32659</v>
      </c>
      <c r="J8764" t="s">
        <v>32789</v>
      </c>
      <c r="K8764" t="s">
        <v>42689</v>
      </c>
      <c r="M8764" t="s">
        <v>45924</v>
      </c>
      <c r="N8764" t="s">
        <v>47304</v>
      </c>
      <c r="O8764" t="s">
        <v>47305</v>
      </c>
      <c r="P8764">
        <v>0</v>
      </c>
      <c r="Q8764">
        <v>0</v>
      </c>
      <c r="R8764" t="s">
        <v>47312</v>
      </c>
      <c r="S8764" t="s">
        <v>47489</v>
      </c>
      <c r="T8764" t="s">
        <v>49353</v>
      </c>
      <c r="U8764" t="s">
        <v>56784</v>
      </c>
      <c r="W8764" t="s">
        <v>45924</v>
      </c>
      <c r="X8764" t="s">
        <v>47313</v>
      </c>
    </row>
    <row r="8765" spans="1:24">
      <c r="A8765">
        <f>HYPERLINK("https://www.philgeps.gov.ph/GEPSNONPILOT/Tender/SplashBidNoticeAbstractUI.aspx?menuIndex=3&amp;refID=7189268&amp;Result=3","7189268")</f>
        <v>0</v>
      </c>
      <c r="B8765" t="s">
        <v>823</v>
      </c>
      <c r="C8765" t="s">
        <v>12110</v>
      </c>
      <c r="D8765" t="s">
        <v>19037</v>
      </c>
      <c r="E8765" t="s">
        <v>26593</v>
      </c>
      <c r="F8765" t="s">
        <v>32606</v>
      </c>
      <c r="G8765" t="s">
        <v>32613</v>
      </c>
      <c r="H8765" t="s">
        <v>14201</v>
      </c>
      <c r="I8765" t="s">
        <v>17648</v>
      </c>
      <c r="J8765" t="s">
        <v>38191</v>
      </c>
      <c r="K8765" t="s">
        <v>42636</v>
      </c>
      <c r="M8765" t="s">
        <v>43754</v>
      </c>
      <c r="N8765" t="s">
        <v>47304</v>
      </c>
      <c r="O8765" t="s">
        <v>47305</v>
      </c>
      <c r="P8765">
        <v>0</v>
      </c>
      <c r="Q8765">
        <v>1</v>
      </c>
      <c r="R8765" t="s">
        <v>47312</v>
      </c>
      <c r="S8765" t="s">
        <v>47489</v>
      </c>
      <c r="T8765" t="s">
        <v>49101</v>
      </c>
      <c r="U8765" t="s">
        <v>56785</v>
      </c>
      <c r="W8765" t="s">
        <v>43754</v>
      </c>
      <c r="X8765" t="s">
        <v>47313</v>
      </c>
    </row>
    <row r="8766" spans="1:24">
      <c r="A8766">
        <f>HYPERLINK("https://www.philgeps.gov.ph/GEPSNONPILOT/Tender/SplashBidNoticeAbstractUI.aspx?menuIndex=3&amp;refID=7189264&amp;Result=3","7189264")</f>
        <v>0</v>
      </c>
      <c r="B8766" t="s">
        <v>1014</v>
      </c>
      <c r="C8766" t="s">
        <v>12111</v>
      </c>
      <c r="D8766" t="s">
        <v>18989</v>
      </c>
      <c r="E8766" t="s">
        <v>26594</v>
      </c>
      <c r="F8766" t="s">
        <v>32606</v>
      </c>
      <c r="G8766" t="s">
        <v>32614</v>
      </c>
      <c r="H8766" t="s">
        <v>14201</v>
      </c>
      <c r="I8766" t="s">
        <v>4112</v>
      </c>
      <c r="J8766" t="s">
        <v>32798</v>
      </c>
      <c r="K8766" t="s">
        <v>42646</v>
      </c>
      <c r="M8766" t="s">
        <v>44868</v>
      </c>
      <c r="N8766" t="s">
        <v>47304</v>
      </c>
      <c r="O8766" t="s">
        <v>47305</v>
      </c>
      <c r="P8766">
        <v>0</v>
      </c>
      <c r="Q8766">
        <v>3</v>
      </c>
      <c r="R8766" t="s">
        <v>47312</v>
      </c>
      <c r="S8766" t="s">
        <v>47489</v>
      </c>
      <c r="T8766" t="s">
        <v>49019</v>
      </c>
      <c r="U8766" t="s">
        <v>56786</v>
      </c>
      <c r="W8766" t="s">
        <v>44868</v>
      </c>
      <c r="X8766" t="s">
        <v>47313</v>
      </c>
    </row>
    <row r="8767" spans="1:24">
      <c r="A8767">
        <f>HYPERLINK("https://www.philgeps.gov.ph/GEPSNONPILOT/Tender/SplashBidNoticeAbstractUI.aspx?menuIndex=3&amp;refID=7189262&amp;Result=3","7189262")</f>
        <v>0</v>
      </c>
      <c r="B8767" t="s">
        <v>467</v>
      </c>
      <c r="C8767" t="s">
        <v>12112</v>
      </c>
      <c r="D8767" t="s">
        <v>19004</v>
      </c>
      <c r="E8767" t="s">
        <v>26595</v>
      </c>
      <c r="F8767" t="s">
        <v>32606</v>
      </c>
      <c r="G8767" t="s">
        <v>32613</v>
      </c>
      <c r="H8767" t="s">
        <v>14201</v>
      </c>
      <c r="I8767" t="s">
        <v>32691</v>
      </c>
      <c r="J8767" t="s">
        <v>38192</v>
      </c>
      <c r="K8767" t="s">
        <v>42624</v>
      </c>
      <c r="M8767" t="s">
        <v>45925</v>
      </c>
      <c r="N8767" t="s">
        <v>47304</v>
      </c>
      <c r="O8767" t="s">
        <v>47305</v>
      </c>
      <c r="P8767">
        <v>0</v>
      </c>
      <c r="Q8767">
        <v>10</v>
      </c>
      <c r="R8767" t="s">
        <v>47312</v>
      </c>
      <c r="S8767" t="s">
        <v>47489</v>
      </c>
      <c r="T8767" t="s">
        <v>49401</v>
      </c>
      <c r="U8767" t="s">
        <v>56787</v>
      </c>
      <c r="V8767" t="s">
        <v>63568</v>
      </c>
      <c r="W8767" t="s">
        <v>45925</v>
      </c>
      <c r="X8767" t="s">
        <v>47313</v>
      </c>
    </row>
    <row r="8768" spans="1:24">
      <c r="A8768">
        <f>HYPERLINK("https://www.philgeps.gov.ph/GEPSNONPILOT/Tender/SplashBidNoticeAbstractUI.aspx?menuIndex=3&amp;refID=7189258&amp;Result=3","7189258")</f>
        <v>0</v>
      </c>
      <c r="B8768" t="s">
        <v>438</v>
      </c>
      <c r="C8768" t="s">
        <v>12113</v>
      </c>
      <c r="D8768" t="s">
        <v>19003</v>
      </c>
      <c r="E8768" t="s">
        <v>26596</v>
      </c>
      <c r="F8768" t="s">
        <v>32606</v>
      </c>
      <c r="G8768" t="s">
        <v>32614</v>
      </c>
      <c r="H8768" t="s">
        <v>14201</v>
      </c>
      <c r="I8768" t="s">
        <v>6298</v>
      </c>
      <c r="J8768" t="s">
        <v>38193</v>
      </c>
      <c r="K8768" t="s">
        <v>42638</v>
      </c>
      <c r="M8768" t="s">
        <v>43345</v>
      </c>
      <c r="N8768" t="s">
        <v>47304</v>
      </c>
      <c r="O8768" t="s">
        <v>47305</v>
      </c>
      <c r="P8768">
        <v>0</v>
      </c>
      <c r="Q8768">
        <v>0</v>
      </c>
      <c r="R8768" t="s">
        <v>47312</v>
      </c>
      <c r="S8768" t="s">
        <v>47489</v>
      </c>
      <c r="T8768" t="s">
        <v>49020</v>
      </c>
      <c r="U8768" t="s">
        <v>56788</v>
      </c>
      <c r="W8768" t="s">
        <v>43345</v>
      </c>
      <c r="X8768" t="s">
        <v>47313</v>
      </c>
    </row>
    <row r="8769" spans="1:24">
      <c r="A8769">
        <f>HYPERLINK("https://www.philgeps.gov.ph/GEPSNONPILOT/Tender/SplashBidNoticeAbstractUI.aspx?menuIndex=3&amp;refID=7189283&amp;Result=3","7189283")</f>
        <v>0</v>
      </c>
      <c r="B8769" t="s">
        <v>2767</v>
      </c>
      <c r="C8769" t="s">
        <v>12114</v>
      </c>
      <c r="D8769" t="s">
        <v>19013</v>
      </c>
      <c r="E8769" t="s">
        <v>26597</v>
      </c>
      <c r="F8769" t="s">
        <v>32606</v>
      </c>
      <c r="G8769" t="s">
        <v>32613</v>
      </c>
      <c r="H8769" t="s">
        <v>14201</v>
      </c>
      <c r="I8769" t="s">
        <v>4678</v>
      </c>
      <c r="J8769" t="s">
        <v>33363</v>
      </c>
      <c r="K8769" t="s">
        <v>42631</v>
      </c>
      <c r="M8769" t="s">
        <v>45926</v>
      </c>
      <c r="N8769" t="s">
        <v>47304</v>
      </c>
      <c r="O8769" t="s">
        <v>47305</v>
      </c>
      <c r="P8769">
        <v>0</v>
      </c>
      <c r="Q8769">
        <v>3</v>
      </c>
      <c r="R8769" t="s">
        <v>47312</v>
      </c>
      <c r="S8769" t="s">
        <v>47489</v>
      </c>
      <c r="T8769" t="s">
        <v>49011</v>
      </c>
      <c r="U8769" t="s">
        <v>56789</v>
      </c>
      <c r="W8769" t="s">
        <v>45926</v>
      </c>
      <c r="X8769" t="s">
        <v>47313</v>
      </c>
    </row>
    <row r="8770" spans="1:24">
      <c r="A8770">
        <f>HYPERLINK("https://www.philgeps.gov.ph/GEPSNONPILOT/Tender/SplashBidNoticeAbstractUI.aspx?menuIndex=3&amp;refID=7189256&amp;Result=3","7189256")</f>
        <v>0</v>
      </c>
      <c r="B8770" t="s">
        <v>873</v>
      </c>
      <c r="C8770" t="s">
        <v>12115</v>
      </c>
      <c r="D8770" t="s">
        <v>19002</v>
      </c>
      <c r="E8770" t="s">
        <v>20106</v>
      </c>
      <c r="F8770" t="s">
        <v>32606</v>
      </c>
      <c r="G8770" t="s">
        <v>32613</v>
      </c>
      <c r="H8770" t="s">
        <v>32623</v>
      </c>
      <c r="I8770" t="s">
        <v>17648</v>
      </c>
      <c r="J8770" t="s">
        <v>33039</v>
      </c>
      <c r="K8770" t="s">
        <v>42712</v>
      </c>
      <c r="M8770" t="s">
        <v>43809</v>
      </c>
      <c r="N8770" t="s">
        <v>47304</v>
      </c>
      <c r="O8770" t="s">
        <v>47305</v>
      </c>
      <c r="P8770">
        <v>0</v>
      </c>
      <c r="Q8770">
        <v>0</v>
      </c>
      <c r="R8770" t="s">
        <v>47312</v>
      </c>
      <c r="S8770" t="s">
        <v>47489</v>
      </c>
      <c r="T8770" t="s">
        <v>49397</v>
      </c>
      <c r="U8770" t="s">
        <v>53660</v>
      </c>
      <c r="W8770" t="s">
        <v>43809</v>
      </c>
      <c r="X8770" t="s">
        <v>47313</v>
      </c>
    </row>
    <row r="8771" spans="1:24">
      <c r="A8771">
        <f>HYPERLINK("https://www.philgeps.gov.ph/GEPSNONPILOT/Tender/SplashBidNoticeAbstractUI.aspx?menuIndex=3&amp;refID=7189145&amp;Result=3","7189145")</f>
        <v>0</v>
      </c>
      <c r="B8771" t="s">
        <v>2768</v>
      </c>
      <c r="C8771" t="s">
        <v>12116</v>
      </c>
      <c r="D8771" t="s">
        <v>19011</v>
      </c>
      <c r="E8771" t="s">
        <v>26598</v>
      </c>
      <c r="F8771" t="s">
        <v>32606</v>
      </c>
      <c r="G8771" t="s">
        <v>32613</v>
      </c>
      <c r="H8771" t="s">
        <v>14201</v>
      </c>
      <c r="I8771" t="s">
        <v>6931</v>
      </c>
      <c r="J8771" t="s">
        <v>38194</v>
      </c>
      <c r="K8771" t="s">
        <v>42623</v>
      </c>
      <c r="M8771" t="s">
        <v>45927</v>
      </c>
      <c r="N8771" t="s">
        <v>47304</v>
      </c>
      <c r="O8771" t="s">
        <v>47305</v>
      </c>
      <c r="P8771">
        <v>0</v>
      </c>
      <c r="Q8771">
        <v>0</v>
      </c>
      <c r="R8771" t="s">
        <v>47312</v>
      </c>
      <c r="S8771" t="s">
        <v>47489</v>
      </c>
      <c r="T8771" t="s">
        <v>48998</v>
      </c>
      <c r="U8771" t="s">
        <v>56790</v>
      </c>
      <c r="W8771" t="s">
        <v>45927</v>
      </c>
      <c r="X8771" t="s">
        <v>47313</v>
      </c>
    </row>
    <row r="8772" spans="1:24">
      <c r="A8772">
        <f>HYPERLINK("https://www.philgeps.gov.ph/GEPSNONPILOT/Tender/SplashBidNoticeAbstractUI.aspx?menuIndex=3&amp;refID=7189254&amp;Result=3","7189254")</f>
        <v>0</v>
      </c>
      <c r="B8772" t="s">
        <v>477</v>
      </c>
      <c r="C8772" t="s">
        <v>12117</v>
      </c>
      <c r="D8772" t="s">
        <v>19019</v>
      </c>
      <c r="E8772" t="s">
        <v>26599</v>
      </c>
      <c r="F8772" t="s">
        <v>32606</v>
      </c>
      <c r="G8772" t="s">
        <v>32613</v>
      </c>
      <c r="H8772" t="s">
        <v>32623</v>
      </c>
      <c r="I8772" t="s">
        <v>17648</v>
      </c>
      <c r="J8772" t="s">
        <v>38195</v>
      </c>
      <c r="K8772" t="s">
        <v>42646</v>
      </c>
      <c r="M8772" t="s">
        <v>43388</v>
      </c>
      <c r="N8772" t="s">
        <v>47304</v>
      </c>
      <c r="O8772" t="s">
        <v>47305</v>
      </c>
      <c r="P8772">
        <v>0</v>
      </c>
      <c r="Q8772">
        <v>0</v>
      </c>
      <c r="R8772" t="s">
        <v>47312</v>
      </c>
      <c r="S8772" t="s">
        <v>47489</v>
      </c>
      <c r="T8772" t="s">
        <v>49157</v>
      </c>
      <c r="U8772" t="s">
        <v>56791</v>
      </c>
      <c r="W8772" t="s">
        <v>43388</v>
      </c>
      <c r="X8772" t="s">
        <v>47313</v>
      </c>
    </row>
    <row r="8773" spans="1:24">
      <c r="A8773">
        <f>HYPERLINK("https://www.philgeps.gov.ph/GEPSNONPILOT/Tender/SplashBidNoticeAbstractUI.aspx?menuIndex=3&amp;refID=7189251&amp;Result=3","7189251")</f>
        <v>0</v>
      </c>
      <c r="B8773" t="s">
        <v>2758</v>
      </c>
      <c r="C8773" t="s">
        <v>12118</v>
      </c>
      <c r="D8773" t="s">
        <v>19012</v>
      </c>
      <c r="E8773" t="s">
        <v>26600</v>
      </c>
      <c r="F8773" t="s">
        <v>32606</v>
      </c>
      <c r="G8773" t="s">
        <v>32617</v>
      </c>
      <c r="H8773" t="s">
        <v>14201</v>
      </c>
      <c r="I8773" t="s">
        <v>4120</v>
      </c>
      <c r="J8773" t="s">
        <v>38196</v>
      </c>
      <c r="K8773" t="s">
        <v>42624</v>
      </c>
      <c r="M8773" t="s">
        <v>45916</v>
      </c>
      <c r="N8773" t="s">
        <v>47304</v>
      </c>
      <c r="O8773" t="s">
        <v>47305</v>
      </c>
      <c r="P8773">
        <v>0</v>
      </c>
      <c r="Q8773">
        <v>6</v>
      </c>
      <c r="R8773" t="s">
        <v>47312</v>
      </c>
      <c r="S8773" t="s">
        <v>47489</v>
      </c>
      <c r="T8773" t="s">
        <v>49269</v>
      </c>
      <c r="U8773" t="s">
        <v>56792</v>
      </c>
      <c r="W8773" t="s">
        <v>45916</v>
      </c>
      <c r="X8773" t="s">
        <v>47313</v>
      </c>
    </row>
    <row r="8774" spans="1:24">
      <c r="A8774">
        <f>HYPERLINK("https://www.philgeps.gov.ph/GEPSNONPILOT/Tender/SplashBidNoticeAbstractUI.aspx?menuIndex=3&amp;refID=7189247&amp;Result=3","7189247")</f>
        <v>0</v>
      </c>
      <c r="B8774" t="s">
        <v>650</v>
      </c>
      <c r="C8774" t="s">
        <v>12119</v>
      </c>
      <c r="D8774" t="s">
        <v>19057</v>
      </c>
      <c r="E8774" t="s">
        <v>26601</v>
      </c>
      <c r="F8774" t="s">
        <v>32606</v>
      </c>
      <c r="G8774" t="s">
        <v>32613</v>
      </c>
      <c r="H8774" t="s">
        <v>14201</v>
      </c>
      <c r="I8774" t="s">
        <v>32655</v>
      </c>
      <c r="J8774" t="s">
        <v>38197</v>
      </c>
      <c r="K8774" t="s">
        <v>42646</v>
      </c>
      <c r="M8774" t="s">
        <v>43569</v>
      </c>
      <c r="N8774" t="s">
        <v>47304</v>
      </c>
      <c r="O8774" t="s">
        <v>47305</v>
      </c>
      <c r="P8774">
        <v>0</v>
      </c>
      <c r="Q8774">
        <v>36</v>
      </c>
      <c r="R8774" t="s">
        <v>47312</v>
      </c>
      <c r="S8774" t="s">
        <v>47489</v>
      </c>
      <c r="T8774" t="s">
        <v>49197</v>
      </c>
      <c r="U8774" t="s">
        <v>56793</v>
      </c>
      <c r="W8774" t="s">
        <v>43569</v>
      </c>
      <c r="X8774" t="s">
        <v>47313</v>
      </c>
    </row>
    <row r="8775" spans="1:24">
      <c r="A8775">
        <f>HYPERLINK("https://www.philgeps.gov.ph/GEPSNONPILOT/Tender/SplashBidNoticeAbstractUI.aspx?menuIndex=3&amp;refID=7189200&amp;Result=3","7189200")</f>
        <v>0</v>
      </c>
      <c r="B8775" t="s">
        <v>1914</v>
      </c>
      <c r="C8775" t="s">
        <v>12120</v>
      </c>
      <c r="D8775" t="s">
        <v>19047</v>
      </c>
      <c r="E8775" t="s">
        <v>26602</v>
      </c>
      <c r="F8775" t="s">
        <v>32606</v>
      </c>
      <c r="G8775" t="s">
        <v>32613</v>
      </c>
      <c r="H8775" t="s">
        <v>14201</v>
      </c>
      <c r="I8775" t="s">
        <v>4120</v>
      </c>
      <c r="J8775" t="s">
        <v>35576</v>
      </c>
      <c r="K8775" t="s">
        <v>42632</v>
      </c>
      <c r="M8775" t="s">
        <v>44973</v>
      </c>
      <c r="N8775" t="s">
        <v>47304</v>
      </c>
      <c r="O8775" t="s">
        <v>47305</v>
      </c>
      <c r="P8775">
        <v>0</v>
      </c>
      <c r="Q8775">
        <v>0</v>
      </c>
      <c r="R8775" t="s">
        <v>47312</v>
      </c>
      <c r="S8775" t="s">
        <v>47489</v>
      </c>
      <c r="T8775" t="s">
        <v>49234</v>
      </c>
      <c r="U8775" t="s">
        <v>56794</v>
      </c>
      <c r="W8775" t="s">
        <v>44973</v>
      </c>
      <c r="X8775" t="s">
        <v>47313</v>
      </c>
    </row>
    <row r="8776" spans="1:24">
      <c r="A8776">
        <f>HYPERLINK("https://www.philgeps.gov.ph/GEPSNONPILOT/Tender/SplashBidNoticeAbstractUI.aspx?menuIndex=3&amp;refID=7189195&amp;Result=3","7189195")</f>
        <v>0</v>
      </c>
      <c r="B8776" t="s">
        <v>873</v>
      </c>
      <c r="C8776" t="s">
        <v>12121</v>
      </c>
      <c r="D8776" t="s">
        <v>19002</v>
      </c>
      <c r="E8776" t="s">
        <v>25480</v>
      </c>
      <c r="F8776" t="s">
        <v>32606</v>
      </c>
      <c r="G8776" t="s">
        <v>32613</v>
      </c>
      <c r="H8776" t="s">
        <v>14201</v>
      </c>
      <c r="I8776" t="s">
        <v>32633</v>
      </c>
      <c r="J8776" t="s">
        <v>34415</v>
      </c>
      <c r="K8776" t="s">
        <v>42631</v>
      </c>
      <c r="M8776" t="s">
        <v>43809</v>
      </c>
      <c r="N8776" t="s">
        <v>47304</v>
      </c>
      <c r="O8776" t="s">
        <v>47305</v>
      </c>
      <c r="P8776">
        <v>0</v>
      </c>
      <c r="Q8776">
        <v>4</v>
      </c>
      <c r="R8776" t="s">
        <v>47312</v>
      </c>
      <c r="S8776" t="s">
        <v>47489</v>
      </c>
      <c r="T8776" t="s">
        <v>49397</v>
      </c>
      <c r="U8776" t="s">
        <v>56795</v>
      </c>
      <c r="W8776" t="s">
        <v>43809</v>
      </c>
      <c r="X8776" t="s">
        <v>47313</v>
      </c>
    </row>
    <row r="8777" spans="1:24">
      <c r="A8777">
        <f>HYPERLINK("https://www.philgeps.gov.ph/GEPSNONPILOT/Tender/SplashBidNoticeAbstractUI.aspx?menuIndex=3&amp;refID=7189194&amp;Result=3","7189194")</f>
        <v>0</v>
      </c>
      <c r="B8777" t="s">
        <v>1014</v>
      </c>
      <c r="C8777" t="s">
        <v>12122</v>
      </c>
      <c r="D8777" t="s">
        <v>18989</v>
      </c>
      <c r="E8777" t="s">
        <v>26603</v>
      </c>
      <c r="F8777" t="s">
        <v>32606</v>
      </c>
      <c r="G8777" t="s">
        <v>32614</v>
      </c>
      <c r="H8777" t="s">
        <v>14201</v>
      </c>
      <c r="I8777" t="s">
        <v>4112</v>
      </c>
      <c r="J8777" t="s">
        <v>38198</v>
      </c>
      <c r="K8777" t="s">
        <v>42646</v>
      </c>
      <c r="M8777" t="s">
        <v>44868</v>
      </c>
      <c r="N8777" t="s">
        <v>47304</v>
      </c>
      <c r="O8777" t="s">
        <v>47305</v>
      </c>
      <c r="P8777">
        <v>0</v>
      </c>
      <c r="Q8777">
        <v>3</v>
      </c>
      <c r="R8777" t="s">
        <v>47312</v>
      </c>
      <c r="S8777" t="s">
        <v>47489</v>
      </c>
      <c r="T8777" t="s">
        <v>49019</v>
      </c>
      <c r="U8777" t="s">
        <v>56796</v>
      </c>
      <c r="W8777" t="s">
        <v>44868</v>
      </c>
      <c r="X8777" t="s">
        <v>47313</v>
      </c>
    </row>
    <row r="8778" spans="1:24">
      <c r="A8778">
        <f>HYPERLINK("https://www.philgeps.gov.ph/GEPSNONPILOT/Tender/SplashBidNoticeAbstractUI.aspx?menuIndex=3&amp;refID=7189213&amp;Result=3","7189213")</f>
        <v>0</v>
      </c>
      <c r="B8778" t="s">
        <v>1684</v>
      </c>
      <c r="C8778" t="s">
        <v>12123</v>
      </c>
      <c r="D8778" t="s">
        <v>19032</v>
      </c>
      <c r="E8778" t="s">
        <v>26604</v>
      </c>
      <c r="F8778" t="s">
        <v>32606</v>
      </c>
      <c r="G8778" t="s">
        <v>32613</v>
      </c>
      <c r="H8778" t="s">
        <v>14201</v>
      </c>
      <c r="I8778" t="s">
        <v>32649</v>
      </c>
      <c r="J8778" t="s">
        <v>35368</v>
      </c>
      <c r="K8778" t="s">
        <v>42631</v>
      </c>
      <c r="M8778" t="s">
        <v>44878</v>
      </c>
      <c r="N8778" t="s">
        <v>47304</v>
      </c>
      <c r="O8778" t="s">
        <v>47305</v>
      </c>
      <c r="P8778">
        <v>0</v>
      </c>
      <c r="Q8778">
        <v>0</v>
      </c>
      <c r="R8778" t="s">
        <v>47312</v>
      </c>
      <c r="S8778" t="s">
        <v>47489</v>
      </c>
      <c r="T8778" t="s">
        <v>49355</v>
      </c>
      <c r="U8778" t="s">
        <v>56797</v>
      </c>
      <c r="W8778" t="s">
        <v>44878</v>
      </c>
      <c r="X8778" t="s">
        <v>47313</v>
      </c>
    </row>
    <row r="8779" spans="1:24">
      <c r="A8779">
        <f>HYPERLINK("https://www.philgeps.gov.ph/GEPSNONPILOT/Tender/SplashBidNoticeAbstractUI.aspx?menuIndex=3&amp;refID=7189245&amp;Result=3","7189245")</f>
        <v>0</v>
      </c>
      <c r="B8779" t="s">
        <v>823</v>
      </c>
      <c r="C8779" t="s">
        <v>12124</v>
      </c>
      <c r="D8779" t="s">
        <v>19037</v>
      </c>
      <c r="E8779" t="s">
        <v>26605</v>
      </c>
      <c r="F8779" t="s">
        <v>32606</v>
      </c>
      <c r="G8779" t="s">
        <v>32613</v>
      </c>
      <c r="H8779" t="s">
        <v>32623</v>
      </c>
      <c r="I8779" t="s">
        <v>17648</v>
      </c>
      <c r="J8779" t="s">
        <v>38199</v>
      </c>
      <c r="K8779" t="s">
        <v>42675</v>
      </c>
      <c r="M8779" t="s">
        <v>43754</v>
      </c>
      <c r="N8779" t="s">
        <v>47304</v>
      </c>
      <c r="O8779" t="s">
        <v>47305</v>
      </c>
      <c r="P8779">
        <v>0</v>
      </c>
      <c r="Q8779">
        <v>3</v>
      </c>
      <c r="R8779" t="s">
        <v>47312</v>
      </c>
      <c r="S8779" t="s">
        <v>47489</v>
      </c>
      <c r="T8779" t="s">
        <v>49101</v>
      </c>
      <c r="U8779" t="s">
        <v>56798</v>
      </c>
      <c r="W8779" t="s">
        <v>43754</v>
      </c>
      <c r="X8779" t="s">
        <v>47313</v>
      </c>
    </row>
    <row r="8780" spans="1:24">
      <c r="A8780">
        <f>HYPERLINK("https://www.philgeps.gov.ph/GEPSNONPILOT/Tender/SplashBidNoticeAbstractUI.aspx?menuIndex=3&amp;refID=7189300&amp;Result=3","7189300")</f>
        <v>0</v>
      </c>
      <c r="B8780" t="s">
        <v>1629</v>
      </c>
      <c r="C8780" t="s">
        <v>12125</v>
      </c>
      <c r="D8780" t="s">
        <v>18992</v>
      </c>
      <c r="E8780" t="s">
        <v>26606</v>
      </c>
      <c r="F8780" t="s">
        <v>32606</v>
      </c>
      <c r="G8780" t="s">
        <v>32613</v>
      </c>
      <c r="H8780" t="s">
        <v>14201</v>
      </c>
      <c r="I8780" t="s">
        <v>7677</v>
      </c>
      <c r="J8780" t="s">
        <v>38200</v>
      </c>
      <c r="K8780" t="s">
        <v>42631</v>
      </c>
      <c r="M8780" t="s">
        <v>44649</v>
      </c>
      <c r="N8780" t="s">
        <v>47304</v>
      </c>
      <c r="O8780" t="s">
        <v>47305</v>
      </c>
      <c r="P8780">
        <v>0</v>
      </c>
      <c r="Q8780">
        <v>2</v>
      </c>
      <c r="R8780" t="s">
        <v>47312</v>
      </c>
      <c r="S8780" t="s">
        <v>47489</v>
      </c>
      <c r="T8780" t="s">
        <v>49023</v>
      </c>
      <c r="U8780" t="s">
        <v>56799</v>
      </c>
      <c r="W8780" t="s">
        <v>44649</v>
      </c>
      <c r="X8780" t="s">
        <v>47313</v>
      </c>
    </row>
    <row r="8781" spans="1:24">
      <c r="A8781">
        <f>HYPERLINK("https://www.philgeps.gov.ph/GEPSNONPILOT/Tender/SplashBidNoticeAbstractUI.aspx?menuIndex=3&amp;refID=7189327&amp;Result=3","7189327")</f>
        <v>0</v>
      </c>
      <c r="B8781" t="s">
        <v>2468</v>
      </c>
      <c r="C8781" t="s">
        <v>12126</v>
      </c>
      <c r="D8781" t="s">
        <v>18993</v>
      </c>
      <c r="E8781" t="s">
        <v>26607</v>
      </c>
      <c r="F8781" t="s">
        <v>32606</v>
      </c>
      <c r="G8781" t="s">
        <v>32613</v>
      </c>
      <c r="H8781" t="s">
        <v>14201</v>
      </c>
      <c r="I8781" t="s">
        <v>7577</v>
      </c>
      <c r="J8781" t="s">
        <v>38201</v>
      </c>
      <c r="K8781" t="s">
        <v>42624</v>
      </c>
      <c r="M8781" t="s">
        <v>45602</v>
      </c>
      <c r="N8781" t="s">
        <v>47304</v>
      </c>
      <c r="O8781" t="s">
        <v>47305</v>
      </c>
      <c r="P8781">
        <v>0</v>
      </c>
      <c r="Q8781">
        <v>11</v>
      </c>
      <c r="R8781" t="s">
        <v>47312</v>
      </c>
      <c r="S8781" t="s">
        <v>47489</v>
      </c>
      <c r="T8781" t="s">
        <v>49377</v>
      </c>
      <c r="U8781" t="s">
        <v>56800</v>
      </c>
      <c r="W8781" t="s">
        <v>45602</v>
      </c>
      <c r="X8781" t="s">
        <v>47313</v>
      </c>
    </row>
    <row r="8782" spans="1:24">
      <c r="A8782">
        <f>HYPERLINK("https://www.philgeps.gov.ph/GEPSNONPILOT/Tender/SplashBidNoticeAbstractUI.aspx?menuIndex=3&amp;refID=7189321&amp;Result=3","7189321")</f>
        <v>0</v>
      </c>
      <c r="B8782" t="s">
        <v>1684</v>
      </c>
      <c r="C8782" t="s">
        <v>12127</v>
      </c>
      <c r="D8782" t="s">
        <v>19032</v>
      </c>
      <c r="E8782" t="s">
        <v>26608</v>
      </c>
      <c r="F8782" t="s">
        <v>32606</v>
      </c>
      <c r="G8782" t="s">
        <v>32613</v>
      </c>
      <c r="H8782" t="s">
        <v>14201</v>
      </c>
      <c r="I8782" t="s">
        <v>7577</v>
      </c>
      <c r="J8782" t="s">
        <v>38202</v>
      </c>
      <c r="K8782" t="s">
        <v>42622</v>
      </c>
      <c r="M8782" t="s">
        <v>44878</v>
      </c>
      <c r="N8782" t="s">
        <v>47304</v>
      </c>
      <c r="O8782" t="s">
        <v>47305</v>
      </c>
      <c r="P8782">
        <v>0</v>
      </c>
      <c r="Q8782">
        <v>1</v>
      </c>
      <c r="R8782" t="s">
        <v>47312</v>
      </c>
      <c r="S8782" t="s">
        <v>47489</v>
      </c>
      <c r="T8782" t="s">
        <v>49355</v>
      </c>
      <c r="U8782" t="s">
        <v>56801</v>
      </c>
      <c r="W8782" t="s">
        <v>44878</v>
      </c>
      <c r="X8782" t="s">
        <v>47313</v>
      </c>
    </row>
    <row r="8783" spans="1:24">
      <c r="A8783">
        <f>HYPERLINK("https://www.philgeps.gov.ph/GEPSNONPILOT/Tender/SplashBidNoticeAbstractUI.aspx?menuIndex=3&amp;refID=7189279&amp;Result=3","7189279")</f>
        <v>0</v>
      </c>
      <c r="B8783" t="s">
        <v>1684</v>
      </c>
      <c r="C8783" t="s">
        <v>12128</v>
      </c>
      <c r="D8783" t="s">
        <v>19032</v>
      </c>
      <c r="E8783" t="s">
        <v>26609</v>
      </c>
      <c r="F8783" t="s">
        <v>32606</v>
      </c>
      <c r="G8783" t="s">
        <v>32613</v>
      </c>
      <c r="H8783" t="s">
        <v>14201</v>
      </c>
      <c r="I8783" t="s">
        <v>6298</v>
      </c>
      <c r="J8783" t="s">
        <v>38203</v>
      </c>
      <c r="K8783" t="s">
        <v>42622</v>
      </c>
      <c r="M8783" t="s">
        <v>44878</v>
      </c>
      <c r="N8783" t="s">
        <v>47304</v>
      </c>
      <c r="O8783" t="s">
        <v>47305</v>
      </c>
      <c r="P8783">
        <v>0</v>
      </c>
      <c r="Q8783">
        <v>1</v>
      </c>
      <c r="R8783" t="s">
        <v>47312</v>
      </c>
      <c r="S8783" t="s">
        <v>47489</v>
      </c>
      <c r="T8783" t="s">
        <v>49355</v>
      </c>
      <c r="U8783" t="s">
        <v>56802</v>
      </c>
      <c r="W8783" t="s">
        <v>44878</v>
      </c>
      <c r="X8783" t="s">
        <v>47313</v>
      </c>
    </row>
    <row r="8784" spans="1:24">
      <c r="A8784">
        <f>HYPERLINK("https://www.philgeps.gov.ph/GEPSNONPILOT/Tender/SplashBidNoticeAbstractUI.aspx?menuIndex=3&amp;refID=7189319&amp;Result=3","7189319")</f>
        <v>0</v>
      </c>
      <c r="B8784" t="s">
        <v>1377</v>
      </c>
      <c r="C8784" t="s">
        <v>12129</v>
      </c>
      <c r="D8784" t="s">
        <v>19061</v>
      </c>
      <c r="E8784" t="s">
        <v>26610</v>
      </c>
      <c r="F8784" t="s">
        <v>32606</v>
      </c>
      <c r="G8784" t="s">
        <v>32613</v>
      </c>
      <c r="H8784" t="s">
        <v>32624</v>
      </c>
      <c r="I8784" t="s">
        <v>4369</v>
      </c>
      <c r="J8784" t="s">
        <v>38204</v>
      </c>
      <c r="K8784" t="s">
        <v>42626</v>
      </c>
      <c r="M8784" t="s">
        <v>45928</v>
      </c>
      <c r="N8784" t="s">
        <v>47304</v>
      </c>
      <c r="O8784" t="s">
        <v>47305</v>
      </c>
      <c r="Q8784">
        <v>5</v>
      </c>
      <c r="R8784" t="s">
        <v>47312</v>
      </c>
      <c r="S8784" t="s">
        <v>47519</v>
      </c>
      <c r="T8784" t="s">
        <v>48983</v>
      </c>
      <c r="U8784" t="s">
        <v>56803</v>
      </c>
      <c r="W8784" t="s">
        <v>64517</v>
      </c>
      <c r="X8784" t="s">
        <v>47313</v>
      </c>
    </row>
    <row r="8785" spans="1:24">
      <c r="A8785">
        <f>HYPERLINK("https://www.philgeps.gov.ph/GEPSNONPILOT/Tender/SplashBidNoticeAbstractUI.aspx?menuIndex=3&amp;refID=7189315&amp;Result=3","7189315")</f>
        <v>0</v>
      </c>
      <c r="B8785" t="s">
        <v>963</v>
      </c>
      <c r="C8785" t="s">
        <v>12130</v>
      </c>
      <c r="D8785" t="s">
        <v>19024</v>
      </c>
      <c r="E8785" t="s">
        <v>26611</v>
      </c>
      <c r="F8785" t="s">
        <v>32606</v>
      </c>
      <c r="G8785" t="s">
        <v>32614</v>
      </c>
      <c r="H8785" t="s">
        <v>14201</v>
      </c>
      <c r="I8785" t="s">
        <v>6931</v>
      </c>
      <c r="J8785" t="s">
        <v>38205</v>
      </c>
      <c r="K8785" t="s">
        <v>42627</v>
      </c>
      <c r="M8785" t="s">
        <v>43908</v>
      </c>
      <c r="N8785" t="s">
        <v>47304</v>
      </c>
      <c r="O8785" t="s">
        <v>47305</v>
      </c>
      <c r="P8785">
        <v>0</v>
      </c>
      <c r="Q8785">
        <v>1</v>
      </c>
      <c r="R8785" t="s">
        <v>47312</v>
      </c>
      <c r="S8785" t="s">
        <v>47489</v>
      </c>
      <c r="T8785" t="s">
        <v>49331</v>
      </c>
      <c r="U8785" t="s">
        <v>56804</v>
      </c>
      <c r="W8785" t="s">
        <v>43908</v>
      </c>
      <c r="X8785" t="s">
        <v>47313</v>
      </c>
    </row>
    <row r="8786" spans="1:24">
      <c r="A8786">
        <f>HYPERLINK("https://www.philgeps.gov.ph/GEPSNONPILOT/Tender/SplashBidNoticeAbstractUI.aspx?menuIndex=3&amp;refID=7189313&amp;Result=3","7189313")</f>
        <v>0</v>
      </c>
      <c r="B8786" t="s">
        <v>2755</v>
      </c>
      <c r="C8786" t="s">
        <v>12131</v>
      </c>
      <c r="D8786" t="s">
        <v>19024</v>
      </c>
      <c r="E8786" t="s">
        <v>26612</v>
      </c>
      <c r="F8786" t="s">
        <v>32606</v>
      </c>
      <c r="G8786" t="s">
        <v>32613</v>
      </c>
      <c r="H8786" t="s">
        <v>32623</v>
      </c>
      <c r="I8786" t="s">
        <v>17648</v>
      </c>
      <c r="J8786" t="s">
        <v>38206</v>
      </c>
      <c r="K8786" t="s">
        <v>42624</v>
      </c>
      <c r="M8786" t="s">
        <v>45913</v>
      </c>
      <c r="N8786" t="s">
        <v>47304</v>
      </c>
      <c r="O8786" t="s">
        <v>47305</v>
      </c>
      <c r="P8786">
        <v>0</v>
      </c>
      <c r="Q8786">
        <v>0</v>
      </c>
      <c r="R8786" t="s">
        <v>47312</v>
      </c>
      <c r="S8786" t="s">
        <v>47489</v>
      </c>
      <c r="T8786" t="s">
        <v>49073</v>
      </c>
      <c r="U8786" t="s">
        <v>56805</v>
      </c>
      <c r="W8786" t="s">
        <v>45913</v>
      </c>
      <c r="X8786" t="s">
        <v>47313</v>
      </c>
    </row>
    <row r="8787" spans="1:24">
      <c r="A8787">
        <f>HYPERLINK("https://www.philgeps.gov.ph/GEPSNONPILOT/Tender/SplashBidNoticeAbstractUI.aspx?menuIndex=3&amp;refID=7189307&amp;Result=3","7189307")</f>
        <v>0</v>
      </c>
      <c r="B8787" t="s">
        <v>2769</v>
      </c>
      <c r="C8787" t="s">
        <v>12132</v>
      </c>
      <c r="D8787" t="s">
        <v>19035</v>
      </c>
      <c r="E8787" t="s">
        <v>19145</v>
      </c>
      <c r="F8787" t="s">
        <v>32606</v>
      </c>
      <c r="G8787" t="s">
        <v>32613</v>
      </c>
      <c r="H8787" t="s">
        <v>32623</v>
      </c>
      <c r="I8787" t="s">
        <v>17648</v>
      </c>
      <c r="J8787" t="s">
        <v>38207</v>
      </c>
      <c r="K8787" t="s">
        <v>42694</v>
      </c>
      <c r="M8787" t="s">
        <v>45929</v>
      </c>
      <c r="N8787" t="s">
        <v>47304</v>
      </c>
      <c r="O8787" t="s">
        <v>47305</v>
      </c>
      <c r="P8787">
        <v>0</v>
      </c>
      <c r="Q8787">
        <v>2</v>
      </c>
      <c r="R8787" t="s">
        <v>47312</v>
      </c>
      <c r="S8787" t="s">
        <v>47489</v>
      </c>
      <c r="T8787" t="s">
        <v>49053</v>
      </c>
      <c r="U8787" t="s">
        <v>56806</v>
      </c>
      <c r="V8787" t="s">
        <v>63569</v>
      </c>
      <c r="W8787" t="s">
        <v>45929</v>
      </c>
      <c r="X8787" t="s">
        <v>47313</v>
      </c>
    </row>
    <row r="8788" spans="1:24">
      <c r="A8788">
        <f>HYPERLINK("https://www.philgeps.gov.ph/GEPSNONPILOT/Tender/SplashBidNoticeAbstractUI.aspx?menuIndex=3&amp;refID=7189304&amp;Result=3","7189304")</f>
        <v>0</v>
      </c>
      <c r="B8788" t="s">
        <v>1675</v>
      </c>
      <c r="C8788" t="s">
        <v>12133</v>
      </c>
      <c r="D8788" t="s">
        <v>19006</v>
      </c>
      <c r="E8788" t="s">
        <v>26613</v>
      </c>
      <c r="F8788" t="s">
        <v>32606</v>
      </c>
      <c r="G8788" t="s">
        <v>32613</v>
      </c>
      <c r="H8788" t="s">
        <v>14201</v>
      </c>
      <c r="I8788" t="s">
        <v>4120</v>
      </c>
      <c r="J8788" t="s">
        <v>38208</v>
      </c>
      <c r="K8788" t="s">
        <v>42631</v>
      </c>
      <c r="M8788" t="s">
        <v>45930</v>
      </c>
      <c r="N8788" t="s">
        <v>47304</v>
      </c>
      <c r="O8788" t="s">
        <v>47305</v>
      </c>
      <c r="P8788">
        <v>0</v>
      </c>
      <c r="Q8788">
        <v>9</v>
      </c>
      <c r="R8788" t="s">
        <v>47312</v>
      </c>
      <c r="S8788" t="s">
        <v>47489</v>
      </c>
      <c r="T8788" t="s">
        <v>49402</v>
      </c>
      <c r="U8788" t="s">
        <v>56807</v>
      </c>
      <c r="W8788" t="s">
        <v>45930</v>
      </c>
      <c r="X8788" t="s">
        <v>47313</v>
      </c>
    </row>
    <row r="8789" spans="1:24">
      <c r="A8789">
        <f>HYPERLINK("https://www.philgeps.gov.ph/GEPSNONPILOT/Tender/SplashBidNoticeAbstractUI.aspx?menuIndex=3&amp;refID=7189299&amp;Result=3","7189299")</f>
        <v>0</v>
      </c>
      <c r="B8789" t="s">
        <v>2602</v>
      </c>
      <c r="C8789" t="s">
        <v>11559</v>
      </c>
      <c r="D8789" t="s">
        <v>18993</v>
      </c>
      <c r="E8789" t="s">
        <v>26614</v>
      </c>
      <c r="F8789" t="s">
        <v>32606</v>
      </c>
      <c r="G8789" t="s">
        <v>32613</v>
      </c>
      <c r="H8789" t="s">
        <v>14201</v>
      </c>
      <c r="I8789" t="s">
        <v>32632</v>
      </c>
      <c r="J8789" t="s">
        <v>38209</v>
      </c>
      <c r="K8789" t="s">
        <v>42624</v>
      </c>
      <c r="M8789" t="s">
        <v>45746</v>
      </c>
      <c r="N8789" t="s">
        <v>47304</v>
      </c>
      <c r="O8789" t="s">
        <v>47305</v>
      </c>
      <c r="P8789">
        <v>0</v>
      </c>
      <c r="Q8789">
        <v>25</v>
      </c>
      <c r="R8789" t="s">
        <v>47312</v>
      </c>
      <c r="S8789" t="s">
        <v>47489</v>
      </c>
      <c r="T8789" t="s">
        <v>49073</v>
      </c>
      <c r="U8789" t="s">
        <v>56345</v>
      </c>
      <c r="W8789" t="s">
        <v>45746</v>
      </c>
      <c r="X8789" t="s">
        <v>47313</v>
      </c>
    </row>
    <row r="8790" spans="1:24">
      <c r="A8790">
        <f>HYPERLINK("https://www.philgeps.gov.ph/GEPSNONPILOT/Tender/SplashBidNoticeAbstractUI.aspx?menuIndex=3&amp;refID=7189348&amp;Result=3","7189348")</f>
        <v>0</v>
      </c>
      <c r="B8790" t="s">
        <v>379</v>
      </c>
      <c r="C8790" t="s">
        <v>12134</v>
      </c>
      <c r="D8790" t="s">
        <v>19049</v>
      </c>
      <c r="E8790" t="s">
        <v>21328</v>
      </c>
      <c r="F8790" t="s">
        <v>32606</v>
      </c>
      <c r="G8790" t="s">
        <v>32613</v>
      </c>
      <c r="H8790" t="s">
        <v>14201</v>
      </c>
      <c r="I8790" t="s">
        <v>13131</v>
      </c>
      <c r="J8790" t="s">
        <v>33016</v>
      </c>
      <c r="K8790" t="s">
        <v>42631</v>
      </c>
      <c r="M8790" t="s">
        <v>43281</v>
      </c>
      <c r="N8790" t="s">
        <v>47304</v>
      </c>
      <c r="O8790" t="s">
        <v>47305</v>
      </c>
      <c r="P8790">
        <v>0</v>
      </c>
      <c r="Q8790">
        <v>6</v>
      </c>
      <c r="R8790" t="s">
        <v>47312</v>
      </c>
      <c r="S8790" t="s">
        <v>47489</v>
      </c>
      <c r="T8790" t="s">
        <v>49197</v>
      </c>
      <c r="U8790" t="s">
        <v>56808</v>
      </c>
      <c r="V8790" t="s">
        <v>63570</v>
      </c>
      <c r="W8790" t="s">
        <v>43281</v>
      </c>
      <c r="X8790" t="s">
        <v>47313</v>
      </c>
    </row>
    <row r="8791" spans="1:24">
      <c r="A8791">
        <f>HYPERLINK("https://www.philgeps.gov.ph/GEPSNONPILOT/Tender/SplashBidNoticeAbstractUI.aspx?menuIndex=3&amp;refID=7189322&amp;Result=3","7189322")</f>
        <v>0</v>
      </c>
      <c r="B8791" t="s">
        <v>848</v>
      </c>
      <c r="C8791" t="s">
        <v>12135</v>
      </c>
      <c r="D8791" t="s">
        <v>19063</v>
      </c>
      <c r="E8791" t="s">
        <v>26615</v>
      </c>
      <c r="F8791" t="s">
        <v>32606</v>
      </c>
      <c r="G8791" t="s">
        <v>32613</v>
      </c>
      <c r="H8791" t="s">
        <v>14201</v>
      </c>
      <c r="I8791" t="s">
        <v>32686</v>
      </c>
      <c r="J8791" t="s">
        <v>32770</v>
      </c>
      <c r="K8791" t="s">
        <v>42639</v>
      </c>
      <c r="M8791" t="s">
        <v>43780</v>
      </c>
      <c r="N8791" t="s">
        <v>47304</v>
      </c>
      <c r="O8791" t="s">
        <v>47305</v>
      </c>
      <c r="P8791">
        <v>0</v>
      </c>
      <c r="Q8791">
        <v>2</v>
      </c>
      <c r="R8791" t="s">
        <v>47312</v>
      </c>
      <c r="S8791" t="s">
        <v>47489</v>
      </c>
      <c r="T8791" t="s">
        <v>49234</v>
      </c>
      <c r="U8791" t="s">
        <v>56809</v>
      </c>
      <c r="W8791" t="s">
        <v>43780</v>
      </c>
      <c r="X8791" t="s">
        <v>47313</v>
      </c>
    </row>
    <row r="8792" spans="1:24">
      <c r="A8792">
        <f>HYPERLINK("https://www.philgeps.gov.ph/GEPSNONPILOT/Tender/SplashBidNoticeAbstractUI.aspx?menuIndex=3&amp;refID=7189346&amp;Result=3","7189346")</f>
        <v>0</v>
      </c>
      <c r="B8792" t="s">
        <v>1262</v>
      </c>
      <c r="C8792" t="s">
        <v>12136</v>
      </c>
      <c r="D8792" t="s">
        <v>19021</v>
      </c>
      <c r="E8792" t="s">
        <v>26616</v>
      </c>
      <c r="F8792" t="s">
        <v>32606</v>
      </c>
      <c r="G8792" t="s">
        <v>32613</v>
      </c>
      <c r="H8792" t="s">
        <v>32623</v>
      </c>
      <c r="I8792" t="s">
        <v>32650</v>
      </c>
      <c r="J8792" t="s">
        <v>38210</v>
      </c>
      <c r="K8792" t="s">
        <v>42631</v>
      </c>
      <c r="M8792" t="s">
        <v>44230</v>
      </c>
      <c r="N8792" t="s">
        <v>47304</v>
      </c>
      <c r="O8792" t="s">
        <v>47305</v>
      </c>
      <c r="P8792">
        <v>0</v>
      </c>
      <c r="Q8792">
        <v>2</v>
      </c>
      <c r="R8792" t="s">
        <v>47312</v>
      </c>
      <c r="S8792" t="s">
        <v>47489</v>
      </c>
      <c r="T8792" t="s">
        <v>49019</v>
      </c>
      <c r="U8792" t="s">
        <v>56810</v>
      </c>
      <c r="V8792" t="s">
        <v>63257</v>
      </c>
      <c r="W8792" t="s">
        <v>44230</v>
      </c>
      <c r="X8792" t="s">
        <v>47313</v>
      </c>
    </row>
    <row r="8793" spans="1:24">
      <c r="A8793">
        <f>HYPERLINK("https://www.philgeps.gov.ph/GEPSNONPILOT/Tender/SplashBidNoticeAbstractUI.aspx?menuIndex=3&amp;refID=7189344&amp;Result=3","7189344")</f>
        <v>0</v>
      </c>
      <c r="B8793" t="s">
        <v>2769</v>
      </c>
      <c r="C8793" t="s">
        <v>12137</v>
      </c>
      <c r="D8793" t="s">
        <v>19035</v>
      </c>
      <c r="E8793" t="s">
        <v>19690</v>
      </c>
      <c r="F8793" t="s">
        <v>32606</v>
      </c>
      <c r="G8793" t="s">
        <v>32613</v>
      </c>
      <c r="H8793" t="s">
        <v>14201</v>
      </c>
      <c r="I8793" t="s">
        <v>6298</v>
      </c>
      <c r="J8793" t="s">
        <v>38211</v>
      </c>
      <c r="K8793" t="s">
        <v>42622</v>
      </c>
      <c r="M8793" t="s">
        <v>45929</v>
      </c>
      <c r="N8793" t="s">
        <v>47304</v>
      </c>
      <c r="O8793" t="s">
        <v>47305</v>
      </c>
      <c r="P8793">
        <v>0</v>
      </c>
      <c r="Q8793">
        <v>3</v>
      </c>
      <c r="R8793" t="s">
        <v>47312</v>
      </c>
      <c r="S8793" t="s">
        <v>47489</v>
      </c>
      <c r="T8793" t="s">
        <v>49053</v>
      </c>
      <c r="U8793" t="s">
        <v>56811</v>
      </c>
      <c r="V8793" t="s">
        <v>63571</v>
      </c>
      <c r="W8793" t="s">
        <v>45929</v>
      </c>
      <c r="X8793" t="s">
        <v>47313</v>
      </c>
    </row>
    <row r="8794" spans="1:24">
      <c r="A8794">
        <f>HYPERLINK("https://www.philgeps.gov.ph/GEPSNONPILOT/Tender/SplashBidNoticeAbstractUI.aspx?menuIndex=3&amp;refID=7189338&amp;Result=3","7189338")</f>
        <v>0</v>
      </c>
      <c r="B8794" t="s">
        <v>1684</v>
      </c>
      <c r="C8794" t="s">
        <v>12138</v>
      </c>
      <c r="D8794" t="s">
        <v>19032</v>
      </c>
      <c r="E8794" t="s">
        <v>26617</v>
      </c>
      <c r="F8794" t="s">
        <v>32606</v>
      </c>
      <c r="G8794" t="s">
        <v>32613</v>
      </c>
      <c r="H8794" t="s">
        <v>14201</v>
      </c>
      <c r="I8794" t="s">
        <v>6298</v>
      </c>
      <c r="J8794" t="s">
        <v>38212</v>
      </c>
      <c r="K8794" t="s">
        <v>42622</v>
      </c>
      <c r="M8794" t="s">
        <v>44878</v>
      </c>
      <c r="N8794" t="s">
        <v>47304</v>
      </c>
      <c r="O8794" t="s">
        <v>47305</v>
      </c>
      <c r="P8794">
        <v>0</v>
      </c>
      <c r="Q8794">
        <v>0</v>
      </c>
      <c r="R8794" t="s">
        <v>47312</v>
      </c>
      <c r="S8794" t="s">
        <v>47489</v>
      </c>
      <c r="T8794" t="s">
        <v>49355</v>
      </c>
      <c r="U8794" t="s">
        <v>56812</v>
      </c>
      <c r="W8794" t="s">
        <v>44878</v>
      </c>
      <c r="X8794" t="s">
        <v>47313</v>
      </c>
    </row>
    <row r="8795" spans="1:24">
      <c r="A8795">
        <f>HYPERLINK("https://www.philgeps.gov.ph/GEPSNONPILOT/Tender/SplashBidNoticeAbstractUI.aspx?menuIndex=3&amp;refID=7189331&amp;Result=3","7189331")</f>
        <v>0</v>
      </c>
      <c r="B8795" t="s">
        <v>2770</v>
      </c>
      <c r="C8795" t="s">
        <v>12139</v>
      </c>
      <c r="D8795" t="s">
        <v>19011</v>
      </c>
      <c r="E8795" t="s">
        <v>26618</v>
      </c>
      <c r="F8795" t="s">
        <v>32606</v>
      </c>
      <c r="G8795" t="s">
        <v>32614</v>
      </c>
      <c r="H8795" t="s">
        <v>14201</v>
      </c>
      <c r="I8795" t="s">
        <v>4678</v>
      </c>
      <c r="J8795" t="s">
        <v>38213</v>
      </c>
      <c r="K8795" t="s">
        <v>42631</v>
      </c>
      <c r="M8795" t="s">
        <v>45931</v>
      </c>
      <c r="N8795" t="s">
        <v>47304</v>
      </c>
      <c r="O8795" t="s">
        <v>47305</v>
      </c>
      <c r="P8795">
        <v>0</v>
      </c>
      <c r="Q8795">
        <v>0</v>
      </c>
      <c r="R8795" t="s">
        <v>47312</v>
      </c>
      <c r="S8795" t="s">
        <v>47489</v>
      </c>
      <c r="T8795" t="s">
        <v>49403</v>
      </c>
      <c r="U8795" t="s">
        <v>56813</v>
      </c>
      <c r="W8795" t="s">
        <v>45931</v>
      </c>
      <c r="X8795" t="s">
        <v>47313</v>
      </c>
    </row>
    <row r="8796" spans="1:24">
      <c r="A8796">
        <f>HYPERLINK("https://www.philgeps.gov.ph/GEPSNONPILOT/Tender/SplashBidNoticeAbstractUI.aspx?menuIndex=3&amp;refID=7189301&amp;Result=3","7189301")</f>
        <v>0</v>
      </c>
      <c r="B8796" t="s">
        <v>2771</v>
      </c>
      <c r="C8796" t="s">
        <v>12140</v>
      </c>
      <c r="D8796" t="s">
        <v>19012</v>
      </c>
      <c r="E8796" t="s">
        <v>26619</v>
      </c>
      <c r="F8796" t="s">
        <v>32609</v>
      </c>
      <c r="G8796" t="s">
        <v>32619</v>
      </c>
      <c r="H8796" t="s">
        <v>14201</v>
      </c>
      <c r="I8796" t="s">
        <v>32637</v>
      </c>
      <c r="J8796" t="s">
        <v>34405</v>
      </c>
      <c r="K8796" t="s">
        <v>42623</v>
      </c>
      <c r="M8796" t="s">
        <v>45932</v>
      </c>
      <c r="N8796" t="s">
        <v>47304</v>
      </c>
      <c r="O8796" t="s">
        <v>47305</v>
      </c>
      <c r="P8796">
        <v>0</v>
      </c>
      <c r="Q8796">
        <v>3</v>
      </c>
      <c r="R8796" t="s">
        <v>47312</v>
      </c>
      <c r="S8796" t="s">
        <v>47489</v>
      </c>
      <c r="T8796" t="s">
        <v>49269</v>
      </c>
      <c r="U8796" t="s">
        <v>56814</v>
      </c>
      <c r="W8796" t="s">
        <v>45932</v>
      </c>
      <c r="X8796" t="s">
        <v>47313</v>
      </c>
    </row>
    <row r="8797" spans="1:24">
      <c r="A8797">
        <f>HYPERLINK("https://www.philgeps.gov.ph/GEPSNONPILOT/Tender/SplashBidNoticeAbstractUI.aspx?menuIndex=3&amp;refID=7189325&amp;Result=3","7189325")</f>
        <v>0</v>
      </c>
      <c r="B8797" t="s">
        <v>2709</v>
      </c>
      <c r="C8797" t="s">
        <v>12141</v>
      </c>
      <c r="D8797" t="s">
        <v>19043</v>
      </c>
      <c r="E8797" t="s">
        <v>26620</v>
      </c>
      <c r="F8797" t="s">
        <v>32606</v>
      </c>
      <c r="G8797" t="s">
        <v>32613</v>
      </c>
      <c r="H8797" t="s">
        <v>14201</v>
      </c>
      <c r="I8797" t="s">
        <v>32655</v>
      </c>
      <c r="J8797" t="s">
        <v>38214</v>
      </c>
      <c r="K8797" t="s">
        <v>42622</v>
      </c>
      <c r="M8797" t="s">
        <v>45862</v>
      </c>
      <c r="N8797" t="s">
        <v>47304</v>
      </c>
      <c r="O8797" t="s">
        <v>47305</v>
      </c>
      <c r="P8797">
        <v>0</v>
      </c>
      <c r="Q8797">
        <v>4</v>
      </c>
      <c r="R8797" t="s">
        <v>47312</v>
      </c>
      <c r="S8797" t="s">
        <v>47489</v>
      </c>
      <c r="T8797" t="s">
        <v>49165</v>
      </c>
      <c r="U8797" t="s">
        <v>56815</v>
      </c>
      <c r="V8797" t="s">
        <v>63545</v>
      </c>
      <c r="W8797" t="s">
        <v>45862</v>
      </c>
      <c r="X8797" t="s">
        <v>47313</v>
      </c>
    </row>
    <row r="8798" spans="1:24">
      <c r="A8798">
        <f>HYPERLINK("https://www.philgeps.gov.ph/GEPSNONPILOT/Tender/SplashBidNoticeAbstractUI.aspx?menuIndex=3&amp;refID=7189342&amp;Result=3","7189342")</f>
        <v>0</v>
      </c>
      <c r="B8798" t="s">
        <v>2764</v>
      </c>
      <c r="C8798" t="s">
        <v>3942</v>
      </c>
      <c r="D8798" t="s">
        <v>19018</v>
      </c>
      <c r="E8798" t="s">
        <v>19690</v>
      </c>
      <c r="F8798" t="s">
        <v>32606</v>
      </c>
      <c r="G8798" t="s">
        <v>32613</v>
      </c>
      <c r="H8798" t="s">
        <v>32623</v>
      </c>
      <c r="I8798" t="s">
        <v>17648</v>
      </c>
      <c r="J8798" t="s">
        <v>32765</v>
      </c>
      <c r="K8798" t="s">
        <v>42636</v>
      </c>
      <c r="M8798" t="s">
        <v>45922</v>
      </c>
      <c r="N8798" t="s">
        <v>47304</v>
      </c>
      <c r="O8798" t="s">
        <v>47305</v>
      </c>
      <c r="P8798">
        <v>0</v>
      </c>
      <c r="Q8798">
        <v>0</v>
      </c>
      <c r="R8798" t="s">
        <v>47312</v>
      </c>
      <c r="S8798" t="s">
        <v>47489</v>
      </c>
      <c r="T8798" t="s">
        <v>49057</v>
      </c>
      <c r="U8798" t="s">
        <v>56782</v>
      </c>
      <c r="W8798" t="s">
        <v>45922</v>
      </c>
      <c r="X8798" t="s">
        <v>47313</v>
      </c>
    </row>
    <row r="8799" spans="1:24">
      <c r="A8799">
        <f>HYPERLINK("https://www.philgeps.gov.ph/GEPSNONPILOT/Tender/SplashBidNoticeAbstractUI.aspx?menuIndex=3&amp;refID=7189270&amp;Result=3","7189270")</f>
        <v>0</v>
      </c>
      <c r="B8799" t="s">
        <v>2397</v>
      </c>
      <c r="C8799" t="s">
        <v>12142</v>
      </c>
      <c r="E8799" t="s">
        <v>26621</v>
      </c>
      <c r="F8799" t="s">
        <v>32606</v>
      </c>
      <c r="G8799" t="s">
        <v>32613</v>
      </c>
      <c r="H8799" t="s">
        <v>32623</v>
      </c>
      <c r="I8799" t="s">
        <v>17648</v>
      </c>
      <c r="J8799" t="s">
        <v>38215</v>
      </c>
      <c r="K8799" t="s">
        <v>42624</v>
      </c>
      <c r="M8799" t="s">
        <v>45518</v>
      </c>
      <c r="N8799" t="s">
        <v>47304</v>
      </c>
      <c r="O8799" t="s">
        <v>47305</v>
      </c>
      <c r="P8799">
        <v>0</v>
      </c>
      <c r="Q8799">
        <v>13</v>
      </c>
      <c r="R8799" t="s">
        <v>47312</v>
      </c>
      <c r="S8799" t="s">
        <v>47489</v>
      </c>
      <c r="T8799" t="s">
        <v>49075</v>
      </c>
      <c r="U8799" t="s">
        <v>56816</v>
      </c>
      <c r="W8799" t="s">
        <v>64504</v>
      </c>
      <c r="X8799" t="s">
        <v>47313</v>
      </c>
    </row>
    <row r="8800" spans="1:24">
      <c r="A8800">
        <f>HYPERLINK("https://www.philgeps.gov.ph/GEPSNONPILOT/Tender/SplashBidNoticeAbstractUI.aspx?menuIndex=3&amp;refID=7189306&amp;Result=3","7189306")</f>
        <v>0</v>
      </c>
      <c r="B8800" t="s">
        <v>873</v>
      </c>
      <c r="C8800" t="s">
        <v>12143</v>
      </c>
      <c r="D8800" t="s">
        <v>19002</v>
      </c>
      <c r="E8800" t="s">
        <v>20445</v>
      </c>
      <c r="F8800" t="s">
        <v>32606</v>
      </c>
      <c r="G8800" t="s">
        <v>32613</v>
      </c>
      <c r="H8800" t="s">
        <v>32623</v>
      </c>
      <c r="I8800" t="s">
        <v>17648</v>
      </c>
      <c r="J8800" t="s">
        <v>32772</v>
      </c>
      <c r="K8800" t="s">
        <v>42639</v>
      </c>
      <c r="M8800" t="s">
        <v>43809</v>
      </c>
      <c r="N8800" t="s">
        <v>47304</v>
      </c>
      <c r="O8800" t="s">
        <v>47305</v>
      </c>
      <c r="P8800">
        <v>0</v>
      </c>
      <c r="Q8800">
        <v>1</v>
      </c>
      <c r="R8800" t="s">
        <v>47312</v>
      </c>
      <c r="S8800" t="s">
        <v>47489</v>
      </c>
      <c r="T8800" t="s">
        <v>49397</v>
      </c>
      <c r="U8800" t="s">
        <v>56817</v>
      </c>
      <c r="W8800" t="s">
        <v>43809</v>
      </c>
      <c r="X8800" t="s">
        <v>47313</v>
      </c>
    </row>
    <row r="8801" spans="1:24">
      <c r="A8801">
        <f>HYPERLINK("https://www.philgeps.gov.ph/GEPSNONPILOT/Tender/SplashBidNoticeAbstractUI.aspx?menuIndex=3&amp;refID=7189353&amp;Result=3","7189353")</f>
        <v>0</v>
      </c>
      <c r="B8801" t="s">
        <v>2204</v>
      </c>
      <c r="C8801" t="s">
        <v>12144</v>
      </c>
      <c r="E8801" t="s">
        <v>26622</v>
      </c>
      <c r="F8801" t="s">
        <v>32606</v>
      </c>
      <c r="G8801" t="s">
        <v>32614</v>
      </c>
      <c r="H8801" t="s">
        <v>14201</v>
      </c>
      <c r="I8801" t="s">
        <v>6993</v>
      </c>
      <c r="J8801" t="s">
        <v>33748</v>
      </c>
      <c r="K8801" t="s">
        <v>42624</v>
      </c>
      <c r="M8801" t="s">
        <v>45308</v>
      </c>
      <c r="N8801" t="s">
        <v>47304</v>
      </c>
      <c r="O8801" t="s">
        <v>47305</v>
      </c>
      <c r="Q8801">
        <v>2</v>
      </c>
      <c r="R8801" t="s">
        <v>47312</v>
      </c>
      <c r="S8801" t="s">
        <v>47520</v>
      </c>
      <c r="T8801" t="s">
        <v>49162</v>
      </c>
      <c r="U8801" t="s">
        <v>56818</v>
      </c>
      <c r="W8801" t="s">
        <v>45308</v>
      </c>
      <c r="X8801" t="s">
        <v>47313</v>
      </c>
    </row>
    <row r="8802" spans="1:24">
      <c r="A8802">
        <f>HYPERLINK("https://www.philgeps.gov.ph/GEPSNONPILOT/Tender/SplashBidNoticeAbstractUI.aspx?menuIndex=3&amp;refID=7189369&amp;Result=3","7189369")</f>
        <v>0</v>
      </c>
      <c r="B8802" t="s">
        <v>2767</v>
      </c>
      <c r="C8802" t="s">
        <v>12145</v>
      </c>
      <c r="D8802" t="s">
        <v>19013</v>
      </c>
      <c r="E8802" t="s">
        <v>26623</v>
      </c>
      <c r="F8802" t="s">
        <v>32606</v>
      </c>
      <c r="G8802" t="s">
        <v>32613</v>
      </c>
      <c r="H8802" t="s">
        <v>14201</v>
      </c>
      <c r="I8802" t="s">
        <v>4678</v>
      </c>
      <c r="J8802" t="s">
        <v>38216</v>
      </c>
      <c r="K8802" t="s">
        <v>42631</v>
      </c>
      <c r="M8802" t="s">
        <v>45926</v>
      </c>
      <c r="N8802" t="s">
        <v>47304</v>
      </c>
      <c r="O8802" t="s">
        <v>47305</v>
      </c>
      <c r="P8802">
        <v>0</v>
      </c>
      <c r="Q8802">
        <v>5</v>
      </c>
      <c r="R8802" t="s">
        <v>47312</v>
      </c>
      <c r="S8802" t="s">
        <v>47489</v>
      </c>
      <c r="T8802" t="s">
        <v>49011</v>
      </c>
      <c r="U8802" t="s">
        <v>56789</v>
      </c>
      <c r="W8802" t="s">
        <v>45926</v>
      </c>
      <c r="X8802" t="s">
        <v>47313</v>
      </c>
    </row>
    <row r="8803" spans="1:24">
      <c r="A8803">
        <f>HYPERLINK("https://www.philgeps.gov.ph/GEPSNONPILOT/Tender/SplashBidNoticeAbstractUI.aspx?menuIndex=3&amp;refID=7189382&amp;Result=3","7189382")</f>
        <v>0</v>
      </c>
      <c r="B8803" t="s">
        <v>2358</v>
      </c>
      <c r="C8803" t="s">
        <v>12146</v>
      </c>
      <c r="D8803" t="s">
        <v>19012</v>
      </c>
      <c r="E8803" t="s">
        <v>26624</v>
      </c>
      <c r="F8803" t="s">
        <v>32606</v>
      </c>
      <c r="G8803" t="s">
        <v>32613</v>
      </c>
      <c r="H8803" t="s">
        <v>32623</v>
      </c>
      <c r="I8803" t="s">
        <v>17648</v>
      </c>
      <c r="J8803" t="s">
        <v>38217</v>
      </c>
      <c r="K8803" t="s">
        <v>42651</v>
      </c>
      <c r="M8803" t="s">
        <v>45470</v>
      </c>
      <c r="N8803" t="s">
        <v>47304</v>
      </c>
      <c r="O8803" t="s">
        <v>47305</v>
      </c>
      <c r="P8803">
        <v>0</v>
      </c>
      <c r="Q8803">
        <v>1</v>
      </c>
      <c r="R8803" t="s">
        <v>47312</v>
      </c>
      <c r="S8803" t="s">
        <v>47489</v>
      </c>
      <c r="T8803" t="s">
        <v>49075</v>
      </c>
      <c r="U8803" t="s">
        <v>56819</v>
      </c>
      <c r="W8803" t="s">
        <v>45470</v>
      </c>
      <c r="X8803" t="s">
        <v>47313</v>
      </c>
    </row>
    <row r="8804" spans="1:24">
      <c r="A8804">
        <f>HYPERLINK("https://www.philgeps.gov.ph/GEPSNONPILOT/Tender/SplashBidNoticeAbstractUI.aspx?menuIndex=3&amp;refID=7189368&amp;Result=3","7189368")</f>
        <v>0</v>
      </c>
      <c r="B8804" t="s">
        <v>1014</v>
      </c>
      <c r="C8804" t="s">
        <v>12147</v>
      </c>
      <c r="D8804" t="s">
        <v>18989</v>
      </c>
      <c r="E8804" t="s">
        <v>26625</v>
      </c>
      <c r="F8804" t="s">
        <v>32606</v>
      </c>
      <c r="G8804" t="s">
        <v>32614</v>
      </c>
      <c r="H8804" t="s">
        <v>14201</v>
      </c>
      <c r="I8804" t="s">
        <v>4112</v>
      </c>
      <c r="J8804" t="s">
        <v>33861</v>
      </c>
      <c r="K8804" t="s">
        <v>42646</v>
      </c>
      <c r="M8804" t="s">
        <v>44868</v>
      </c>
      <c r="N8804" t="s">
        <v>47304</v>
      </c>
      <c r="O8804" t="s">
        <v>47305</v>
      </c>
      <c r="P8804">
        <v>0</v>
      </c>
      <c r="Q8804">
        <v>2</v>
      </c>
      <c r="R8804" t="s">
        <v>47312</v>
      </c>
      <c r="S8804" t="s">
        <v>47489</v>
      </c>
      <c r="T8804" t="s">
        <v>49019</v>
      </c>
      <c r="U8804" t="s">
        <v>56820</v>
      </c>
      <c r="W8804" t="s">
        <v>44868</v>
      </c>
      <c r="X8804" t="s">
        <v>47313</v>
      </c>
    </row>
    <row r="8805" spans="1:24">
      <c r="A8805">
        <f>HYPERLINK("https://www.philgeps.gov.ph/GEPSNONPILOT/Tender/SplashBidNoticeAbstractUI.aspx?menuIndex=3&amp;refID=7189365&amp;Result=3","7189365")</f>
        <v>0</v>
      </c>
      <c r="B8805" t="s">
        <v>2772</v>
      </c>
      <c r="C8805" t="s">
        <v>12148</v>
      </c>
      <c r="D8805" t="s">
        <v>19030</v>
      </c>
      <c r="E8805" t="s">
        <v>19501</v>
      </c>
      <c r="F8805" t="s">
        <v>32606</v>
      </c>
      <c r="G8805" t="s">
        <v>32619</v>
      </c>
      <c r="H8805" t="s">
        <v>14201</v>
      </c>
      <c r="I8805" t="s">
        <v>32687</v>
      </c>
      <c r="J8805" t="s">
        <v>38218</v>
      </c>
      <c r="K8805" t="s">
        <v>42622</v>
      </c>
      <c r="M8805" t="s">
        <v>45933</v>
      </c>
      <c r="N8805" t="s">
        <v>47304</v>
      </c>
      <c r="O8805" t="s">
        <v>47305</v>
      </c>
      <c r="Q8805">
        <v>1</v>
      </c>
      <c r="R8805" t="s">
        <v>47312</v>
      </c>
      <c r="S8805" t="s">
        <v>47521</v>
      </c>
      <c r="T8805" t="s">
        <v>49072</v>
      </c>
      <c r="U8805" t="s">
        <v>56821</v>
      </c>
      <c r="W8805" t="s">
        <v>45933</v>
      </c>
      <c r="X8805" t="s">
        <v>47313</v>
      </c>
    </row>
    <row r="8806" spans="1:24">
      <c r="A8806">
        <f>HYPERLINK("https://www.philgeps.gov.ph/GEPSNONPILOT/Tender/SplashBidNoticeAbstractUI.aspx?menuIndex=3&amp;refID=7189364&amp;Result=3","7189364")</f>
        <v>0</v>
      </c>
      <c r="B8806" t="s">
        <v>2761</v>
      </c>
      <c r="C8806" t="s">
        <v>12149</v>
      </c>
      <c r="D8806" t="s">
        <v>19014</v>
      </c>
      <c r="E8806" t="s">
        <v>26626</v>
      </c>
      <c r="F8806" t="s">
        <v>32606</v>
      </c>
      <c r="G8806" t="s">
        <v>32614</v>
      </c>
      <c r="H8806" t="s">
        <v>14201</v>
      </c>
      <c r="I8806" t="s">
        <v>4678</v>
      </c>
      <c r="J8806" t="s">
        <v>32914</v>
      </c>
      <c r="K8806" t="s">
        <v>42631</v>
      </c>
      <c r="M8806" t="s">
        <v>45919</v>
      </c>
      <c r="N8806" t="s">
        <v>47304</v>
      </c>
      <c r="O8806" t="s">
        <v>47305</v>
      </c>
      <c r="P8806">
        <v>0</v>
      </c>
      <c r="Q8806">
        <v>3</v>
      </c>
      <c r="R8806" t="s">
        <v>47312</v>
      </c>
      <c r="S8806" t="s">
        <v>47489</v>
      </c>
      <c r="T8806" t="s">
        <v>49384</v>
      </c>
      <c r="U8806" t="s">
        <v>56776</v>
      </c>
      <c r="W8806" t="s">
        <v>45919</v>
      </c>
      <c r="X8806" t="s">
        <v>47313</v>
      </c>
    </row>
    <row r="8807" spans="1:24">
      <c r="A8807">
        <f>HYPERLINK("https://www.philgeps.gov.ph/GEPSNONPILOT/Tender/SplashBidNoticeAbstractUI.aspx?menuIndex=3&amp;refID=7189360&amp;Result=3","7189360")</f>
        <v>0</v>
      </c>
      <c r="B8807" t="s">
        <v>873</v>
      </c>
      <c r="C8807" t="s">
        <v>12150</v>
      </c>
      <c r="D8807" t="s">
        <v>19002</v>
      </c>
      <c r="E8807" t="s">
        <v>20950</v>
      </c>
      <c r="F8807" t="s">
        <v>32606</v>
      </c>
      <c r="G8807" t="s">
        <v>32613</v>
      </c>
      <c r="H8807" t="s">
        <v>14201</v>
      </c>
      <c r="I8807" t="s">
        <v>32633</v>
      </c>
      <c r="J8807" t="s">
        <v>38219</v>
      </c>
      <c r="K8807" t="s">
        <v>42631</v>
      </c>
      <c r="M8807" t="s">
        <v>43809</v>
      </c>
      <c r="N8807" t="s">
        <v>47304</v>
      </c>
      <c r="O8807" t="s">
        <v>47305</v>
      </c>
      <c r="P8807">
        <v>0</v>
      </c>
      <c r="Q8807">
        <v>2</v>
      </c>
      <c r="R8807" t="s">
        <v>47312</v>
      </c>
      <c r="S8807" t="s">
        <v>47489</v>
      </c>
      <c r="T8807" t="s">
        <v>49397</v>
      </c>
      <c r="U8807" t="s">
        <v>56534</v>
      </c>
      <c r="W8807" t="s">
        <v>43809</v>
      </c>
      <c r="X8807" t="s">
        <v>47313</v>
      </c>
    </row>
    <row r="8808" spans="1:24">
      <c r="A8808">
        <f>HYPERLINK("https://www.philgeps.gov.ph/GEPSNONPILOT/Tender/SplashBidNoticeAbstractUI.aspx?menuIndex=3&amp;refID=7189359&amp;Result=3","7189359")</f>
        <v>0</v>
      </c>
      <c r="B8808" t="s">
        <v>2763</v>
      </c>
      <c r="C8808" t="s">
        <v>12151</v>
      </c>
      <c r="D8808" t="s">
        <v>19037</v>
      </c>
      <c r="E8808" t="s">
        <v>26627</v>
      </c>
      <c r="F8808" t="s">
        <v>32606</v>
      </c>
      <c r="G8808" t="s">
        <v>32619</v>
      </c>
      <c r="H8808" t="s">
        <v>14201</v>
      </c>
      <c r="I8808" t="s">
        <v>32631</v>
      </c>
      <c r="J8808" t="s">
        <v>38220</v>
      </c>
      <c r="K8808" t="s">
        <v>42632</v>
      </c>
      <c r="M8808" t="s">
        <v>45921</v>
      </c>
      <c r="N8808" t="s">
        <v>47304</v>
      </c>
      <c r="O8808" t="s">
        <v>47305</v>
      </c>
      <c r="P8808">
        <v>0</v>
      </c>
      <c r="Q8808">
        <v>0</v>
      </c>
      <c r="R8808" t="s">
        <v>47312</v>
      </c>
      <c r="S8808" t="s">
        <v>47489</v>
      </c>
      <c r="T8808" t="s">
        <v>49315</v>
      </c>
      <c r="U8808" t="s">
        <v>56822</v>
      </c>
      <c r="W8808" t="s">
        <v>45921</v>
      </c>
      <c r="X8808" t="s">
        <v>47313</v>
      </c>
    </row>
    <row r="8809" spans="1:24">
      <c r="A8809">
        <f>HYPERLINK("https://www.philgeps.gov.ph/GEPSNONPILOT/Tender/SplashBidNoticeAbstractUI.aspx?menuIndex=3&amp;refID=7189392&amp;Result=3","7189392")</f>
        <v>0</v>
      </c>
      <c r="B8809" t="s">
        <v>1749</v>
      </c>
      <c r="C8809" t="s">
        <v>12152</v>
      </c>
      <c r="E8809" t="s">
        <v>26628</v>
      </c>
      <c r="F8809" t="s">
        <v>32606</v>
      </c>
      <c r="G8809" t="s">
        <v>32613</v>
      </c>
      <c r="H8809" t="s">
        <v>14201</v>
      </c>
      <c r="I8809" t="s">
        <v>7064</v>
      </c>
      <c r="J8809" t="s">
        <v>37029</v>
      </c>
      <c r="K8809" t="s">
        <v>42631</v>
      </c>
      <c r="M8809" t="s">
        <v>45934</v>
      </c>
      <c r="N8809" t="s">
        <v>47304</v>
      </c>
      <c r="O8809" t="s">
        <v>47305</v>
      </c>
      <c r="P8809">
        <v>0</v>
      </c>
      <c r="Q8809">
        <v>7</v>
      </c>
      <c r="R8809" t="s">
        <v>47312</v>
      </c>
      <c r="S8809" t="s">
        <v>47489</v>
      </c>
      <c r="T8809" t="s">
        <v>49121</v>
      </c>
      <c r="U8809" t="s">
        <v>56823</v>
      </c>
      <c r="W8809" t="s">
        <v>46485</v>
      </c>
      <c r="X8809" t="s">
        <v>47313</v>
      </c>
    </row>
    <row r="8810" spans="1:24">
      <c r="A8810">
        <f>HYPERLINK("https://www.philgeps.gov.ph/GEPSNONPILOT/Tender/SplashBidNoticeAbstractUI.aspx?menuIndex=3&amp;refID=7189381&amp;Result=3","7189381")</f>
        <v>0</v>
      </c>
      <c r="B8810" t="s">
        <v>1684</v>
      </c>
      <c r="C8810" t="s">
        <v>12153</v>
      </c>
      <c r="D8810" t="s">
        <v>19032</v>
      </c>
      <c r="E8810" t="s">
        <v>26629</v>
      </c>
      <c r="F8810" t="s">
        <v>32606</v>
      </c>
      <c r="G8810" t="s">
        <v>32613</v>
      </c>
      <c r="H8810" t="s">
        <v>14201</v>
      </c>
      <c r="I8810" t="s">
        <v>6993</v>
      </c>
      <c r="J8810" t="s">
        <v>38221</v>
      </c>
      <c r="K8810" t="s">
        <v>42622</v>
      </c>
      <c r="M8810" t="s">
        <v>44878</v>
      </c>
      <c r="N8810" t="s">
        <v>47304</v>
      </c>
      <c r="O8810" t="s">
        <v>47305</v>
      </c>
      <c r="P8810">
        <v>0</v>
      </c>
      <c r="Q8810">
        <v>2</v>
      </c>
      <c r="R8810" t="s">
        <v>47312</v>
      </c>
      <c r="S8810" t="s">
        <v>47489</v>
      </c>
      <c r="T8810" t="s">
        <v>49355</v>
      </c>
      <c r="U8810" t="s">
        <v>56824</v>
      </c>
      <c r="W8810" t="s">
        <v>44878</v>
      </c>
      <c r="X8810" t="s">
        <v>47313</v>
      </c>
    </row>
    <row r="8811" spans="1:24">
      <c r="A8811">
        <f>HYPERLINK("https://www.philgeps.gov.ph/GEPSNONPILOT/Tender/SplashBidNoticeAbstractUI.aspx?menuIndex=3&amp;refID=7189387&amp;Result=3","7189387")</f>
        <v>0</v>
      </c>
      <c r="B8811" t="s">
        <v>2054</v>
      </c>
      <c r="C8811" t="s">
        <v>12154</v>
      </c>
      <c r="D8811" t="s">
        <v>19008</v>
      </c>
      <c r="E8811" t="s">
        <v>26630</v>
      </c>
      <c r="F8811" t="s">
        <v>32606</v>
      </c>
      <c r="G8811" t="s">
        <v>32613</v>
      </c>
      <c r="H8811" t="s">
        <v>32623</v>
      </c>
      <c r="I8811" t="s">
        <v>17648</v>
      </c>
      <c r="J8811" t="s">
        <v>38222</v>
      </c>
      <c r="K8811" t="s">
        <v>42624</v>
      </c>
      <c r="M8811" t="s">
        <v>45133</v>
      </c>
      <c r="N8811" t="s">
        <v>47304</v>
      </c>
      <c r="O8811" t="s">
        <v>47305</v>
      </c>
      <c r="P8811">
        <v>0</v>
      </c>
      <c r="Q8811">
        <v>1</v>
      </c>
      <c r="R8811" t="s">
        <v>47312</v>
      </c>
      <c r="S8811" t="s">
        <v>47489</v>
      </c>
      <c r="T8811" t="s">
        <v>49037</v>
      </c>
      <c r="U8811" t="s">
        <v>56825</v>
      </c>
      <c r="W8811" t="s">
        <v>45133</v>
      </c>
      <c r="X8811" t="s">
        <v>47313</v>
      </c>
    </row>
    <row r="8812" spans="1:24">
      <c r="A8812">
        <f>HYPERLINK("https://www.philgeps.gov.ph/GEPSNONPILOT/Tender/SplashBidNoticeAbstractUI.aspx?menuIndex=3&amp;refID=7189366&amp;Result=3","7189366")</f>
        <v>0</v>
      </c>
      <c r="B8812" t="s">
        <v>2773</v>
      </c>
      <c r="C8812" t="s">
        <v>12155</v>
      </c>
      <c r="D8812" t="s">
        <v>19011</v>
      </c>
      <c r="E8812" t="s">
        <v>26631</v>
      </c>
      <c r="F8812" t="s">
        <v>32606</v>
      </c>
      <c r="G8812" t="s">
        <v>32614</v>
      </c>
      <c r="H8812" t="s">
        <v>14201</v>
      </c>
      <c r="I8812" t="s">
        <v>32631</v>
      </c>
      <c r="J8812" t="s">
        <v>38223</v>
      </c>
      <c r="K8812" t="s">
        <v>42624</v>
      </c>
      <c r="M8812" t="s">
        <v>45935</v>
      </c>
      <c r="N8812" t="s">
        <v>47304</v>
      </c>
      <c r="O8812" t="s">
        <v>47305</v>
      </c>
      <c r="P8812">
        <v>0</v>
      </c>
      <c r="Q8812">
        <v>0</v>
      </c>
      <c r="R8812" t="s">
        <v>47312</v>
      </c>
      <c r="S8812" t="s">
        <v>47489</v>
      </c>
      <c r="T8812" t="s">
        <v>48975</v>
      </c>
      <c r="U8812" t="s">
        <v>56826</v>
      </c>
      <c r="W8812" t="s">
        <v>45935</v>
      </c>
      <c r="X8812" t="s">
        <v>47313</v>
      </c>
    </row>
    <row r="8813" spans="1:24">
      <c r="A8813">
        <f>HYPERLINK("https://www.philgeps.gov.ph/GEPSNONPILOT/Tender/SplashBidNoticeAbstractUI.aspx?menuIndex=3&amp;refID=7189377&amp;Result=3","7189377")</f>
        <v>0</v>
      </c>
      <c r="B8813" t="s">
        <v>2494</v>
      </c>
      <c r="C8813" t="s">
        <v>12156</v>
      </c>
      <c r="D8813" t="s">
        <v>19060</v>
      </c>
      <c r="E8813" t="s">
        <v>25104</v>
      </c>
      <c r="F8813" t="s">
        <v>32606</v>
      </c>
      <c r="G8813" t="s">
        <v>32613</v>
      </c>
      <c r="H8813" t="s">
        <v>14201</v>
      </c>
      <c r="I8813" t="s">
        <v>32673</v>
      </c>
      <c r="J8813" t="s">
        <v>32920</v>
      </c>
      <c r="K8813" t="s">
        <v>42631</v>
      </c>
      <c r="M8813" t="s">
        <v>45632</v>
      </c>
      <c r="N8813" t="s">
        <v>47304</v>
      </c>
      <c r="O8813" t="s">
        <v>47305</v>
      </c>
      <c r="P8813">
        <v>0</v>
      </c>
      <c r="Q8813">
        <v>3</v>
      </c>
      <c r="R8813" t="s">
        <v>47312</v>
      </c>
      <c r="S8813" t="s">
        <v>47489</v>
      </c>
      <c r="T8813" t="s">
        <v>49234</v>
      </c>
      <c r="U8813" t="s">
        <v>56827</v>
      </c>
      <c r="W8813" t="s">
        <v>45632</v>
      </c>
      <c r="X8813" t="s">
        <v>47313</v>
      </c>
    </row>
    <row r="8814" spans="1:24">
      <c r="A8814">
        <f>HYPERLINK("https://www.philgeps.gov.ph/GEPSNONPILOT/Tender/SplashBidNoticeAbstractUI.aspx?menuIndex=3&amp;refID=7189390&amp;Result=3","7189390")</f>
        <v>0</v>
      </c>
      <c r="B8814" t="s">
        <v>2774</v>
      </c>
      <c r="C8814" t="s">
        <v>12157</v>
      </c>
      <c r="D8814" t="s">
        <v>19010</v>
      </c>
      <c r="E8814" t="s">
        <v>26632</v>
      </c>
      <c r="F8814" t="s">
        <v>32606</v>
      </c>
      <c r="G8814" t="s">
        <v>32613</v>
      </c>
      <c r="H8814" t="s">
        <v>14201</v>
      </c>
      <c r="I8814" t="s">
        <v>6931</v>
      </c>
      <c r="J8814" t="s">
        <v>38224</v>
      </c>
      <c r="K8814" t="s">
        <v>42630</v>
      </c>
      <c r="M8814" t="s">
        <v>45936</v>
      </c>
      <c r="N8814" t="s">
        <v>47304</v>
      </c>
      <c r="O8814" t="s">
        <v>47305</v>
      </c>
      <c r="P8814">
        <v>0</v>
      </c>
      <c r="Q8814">
        <v>1</v>
      </c>
      <c r="R8814" t="s">
        <v>47312</v>
      </c>
      <c r="S8814" t="s">
        <v>47489</v>
      </c>
      <c r="T8814" t="s">
        <v>49012</v>
      </c>
      <c r="U8814" t="s">
        <v>56828</v>
      </c>
      <c r="W8814" t="s">
        <v>45936</v>
      </c>
      <c r="X8814" t="s">
        <v>47313</v>
      </c>
    </row>
    <row r="8815" spans="1:24">
      <c r="A8815">
        <f>HYPERLINK("https://www.philgeps.gov.ph/GEPSNONPILOT/Tender/SplashBidNoticeAbstractUI.aspx?menuIndex=3&amp;refID=7189355&amp;Result=3","7189355")</f>
        <v>0</v>
      </c>
      <c r="B8815" t="s">
        <v>940</v>
      </c>
      <c r="C8815" t="s">
        <v>12158</v>
      </c>
      <c r="D8815" t="s">
        <v>19024</v>
      </c>
      <c r="E8815" t="s">
        <v>26633</v>
      </c>
      <c r="F8815" t="s">
        <v>32606</v>
      </c>
      <c r="G8815" t="s">
        <v>32614</v>
      </c>
      <c r="H8815" t="s">
        <v>14201</v>
      </c>
      <c r="I8815" t="s">
        <v>32711</v>
      </c>
      <c r="J8815" t="s">
        <v>33034</v>
      </c>
      <c r="K8815" t="s">
        <v>42623</v>
      </c>
      <c r="M8815" t="s">
        <v>43881</v>
      </c>
      <c r="N8815" t="s">
        <v>47304</v>
      </c>
      <c r="O8815" t="s">
        <v>47305</v>
      </c>
      <c r="P8815">
        <v>0</v>
      </c>
      <c r="Q8815">
        <v>3</v>
      </c>
      <c r="R8815" t="s">
        <v>47312</v>
      </c>
      <c r="S8815" t="s">
        <v>47489</v>
      </c>
      <c r="T8815" t="s">
        <v>49257</v>
      </c>
      <c r="U8815" t="s">
        <v>56829</v>
      </c>
      <c r="W8815" t="s">
        <v>43881</v>
      </c>
      <c r="X8815" t="s">
        <v>47313</v>
      </c>
    </row>
    <row r="8816" spans="1:24">
      <c r="A8816">
        <f>HYPERLINK("https://www.philgeps.gov.ph/GEPSNONPILOT/Tender/SplashBidNoticeAbstractUI.aspx?menuIndex=3&amp;refID=7189394&amp;Result=3","7189394")</f>
        <v>0</v>
      </c>
      <c r="B8816" t="s">
        <v>1770</v>
      </c>
      <c r="C8816" t="s">
        <v>9576</v>
      </c>
      <c r="D8816" t="s">
        <v>19054</v>
      </c>
      <c r="E8816" t="s">
        <v>26634</v>
      </c>
      <c r="F8816" t="s">
        <v>32606</v>
      </c>
      <c r="G8816" t="s">
        <v>32613</v>
      </c>
      <c r="H8816" t="s">
        <v>14201</v>
      </c>
      <c r="I8816" t="s">
        <v>7677</v>
      </c>
      <c r="J8816" t="s">
        <v>38225</v>
      </c>
      <c r="K8816" t="s">
        <v>42631</v>
      </c>
      <c r="M8816" t="s">
        <v>44808</v>
      </c>
      <c r="N8816" t="s">
        <v>47304</v>
      </c>
      <c r="O8816" t="s">
        <v>47305</v>
      </c>
      <c r="P8816">
        <v>0</v>
      </c>
      <c r="Q8816">
        <v>2</v>
      </c>
      <c r="R8816" t="s">
        <v>47312</v>
      </c>
      <c r="S8816" t="s">
        <v>47489</v>
      </c>
      <c r="T8816" t="s">
        <v>48970</v>
      </c>
      <c r="U8816" t="s">
        <v>56830</v>
      </c>
      <c r="W8816" t="s">
        <v>44808</v>
      </c>
      <c r="X8816" t="s">
        <v>47313</v>
      </c>
    </row>
    <row r="8817" spans="1:24">
      <c r="A8817">
        <f>HYPERLINK("https://www.philgeps.gov.ph/GEPSNONPILOT/Tender/SplashBidNoticeAbstractUI.aspx?menuIndex=3&amp;refID=7189415&amp;Result=3","7189415")</f>
        <v>0</v>
      </c>
      <c r="B8817" t="s">
        <v>1008</v>
      </c>
      <c r="C8817" t="s">
        <v>12159</v>
      </c>
      <c r="D8817" t="s">
        <v>19005</v>
      </c>
      <c r="E8817" t="s">
        <v>26635</v>
      </c>
      <c r="F8817" t="s">
        <v>32606</v>
      </c>
      <c r="G8817" t="s">
        <v>32619</v>
      </c>
      <c r="H8817" t="s">
        <v>14201</v>
      </c>
      <c r="I8817" t="s">
        <v>32633</v>
      </c>
      <c r="J8817" t="s">
        <v>38226</v>
      </c>
      <c r="K8817" t="s">
        <v>42624</v>
      </c>
      <c r="M8817" t="s">
        <v>43956</v>
      </c>
      <c r="N8817" t="s">
        <v>47304</v>
      </c>
      <c r="O8817" t="s">
        <v>47305</v>
      </c>
      <c r="P8817">
        <v>0</v>
      </c>
      <c r="Q8817">
        <v>21</v>
      </c>
      <c r="R8817" t="s">
        <v>47312</v>
      </c>
      <c r="S8817" t="s">
        <v>47489</v>
      </c>
      <c r="T8817" t="s">
        <v>49041</v>
      </c>
      <c r="U8817" t="s">
        <v>56831</v>
      </c>
      <c r="W8817" t="s">
        <v>43956</v>
      </c>
      <c r="X8817" t="s">
        <v>47313</v>
      </c>
    </row>
    <row r="8818" spans="1:24">
      <c r="A8818">
        <f>HYPERLINK("https://www.philgeps.gov.ph/GEPSNONPILOT/Tender/SplashBidNoticeAbstractUI.aspx?menuIndex=3&amp;refID=7189412&amp;Result=3","7189412")</f>
        <v>0</v>
      </c>
      <c r="B8818" t="s">
        <v>1014</v>
      </c>
      <c r="C8818" t="s">
        <v>12160</v>
      </c>
      <c r="D8818" t="s">
        <v>18989</v>
      </c>
      <c r="E8818" t="s">
        <v>26636</v>
      </c>
      <c r="F8818" t="s">
        <v>32606</v>
      </c>
      <c r="G8818" t="s">
        <v>32614</v>
      </c>
      <c r="H8818" t="s">
        <v>14201</v>
      </c>
      <c r="I8818" t="s">
        <v>4112</v>
      </c>
      <c r="J8818" t="s">
        <v>37059</v>
      </c>
      <c r="K8818" t="s">
        <v>42646</v>
      </c>
      <c r="M8818" t="s">
        <v>44868</v>
      </c>
      <c r="N8818" t="s">
        <v>47304</v>
      </c>
      <c r="O8818" t="s">
        <v>47305</v>
      </c>
      <c r="P8818">
        <v>0</v>
      </c>
      <c r="Q8818">
        <v>3</v>
      </c>
      <c r="R8818" t="s">
        <v>47312</v>
      </c>
      <c r="S8818" t="s">
        <v>47489</v>
      </c>
      <c r="T8818" t="s">
        <v>49019</v>
      </c>
      <c r="U8818" t="s">
        <v>56832</v>
      </c>
      <c r="W8818" t="s">
        <v>44868</v>
      </c>
      <c r="X8818" t="s">
        <v>47313</v>
      </c>
    </row>
    <row r="8819" spans="1:24">
      <c r="A8819">
        <f>HYPERLINK("https://www.philgeps.gov.ph/GEPSNONPILOT/Tender/SplashBidNoticeAbstractUI.aspx?menuIndex=3&amp;refID=7189329&amp;Result=3","7189329")</f>
        <v>0</v>
      </c>
      <c r="B8819" t="s">
        <v>494</v>
      </c>
      <c r="C8819" t="s">
        <v>12161</v>
      </c>
      <c r="D8819" t="s">
        <v>19006</v>
      </c>
      <c r="E8819" t="s">
        <v>26637</v>
      </c>
      <c r="F8819" t="s">
        <v>32607</v>
      </c>
      <c r="G8819" t="s">
        <v>32613</v>
      </c>
      <c r="H8819" t="s">
        <v>14201</v>
      </c>
      <c r="I8819" t="s">
        <v>32633</v>
      </c>
      <c r="J8819" t="s">
        <v>38227</v>
      </c>
      <c r="K8819" t="s">
        <v>42631</v>
      </c>
      <c r="M8819" t="s">
        <v>43407</v>
      </c>
      <c r="N8819" t="s">
        <v>47304</v>
      </c>
      <c r="O8819" t="s">
        <v>47305</v>
      </c>
      <c r="P8819">
        <v>0</v>
      </c>
      <c r="Q8819">
        <v>5</v>
      </c>
      <c r="R8819" t="s">
        <v>47312</v>
      </c>
      <c r="S8819" t="s">
        <v>47489</v>
      </c>
      <c r="T8819" t="s">
        <v>49037</v>
      </c>
      <c r="U8819" t="s">
        <v>50440</v>
      </c>
      <c r="V8819" t="s">
        <v>62764</v>
      </c>
      <c r="W8819" t="s">
        <v>43407</v>
      </c>
      <c r="X8819" t="s">
        <v>47313</v>
      </c>
    </row>
    <row r="8820" spans="1:24">
      <c r="A8820">
        <f>HYPERLINK("https://www.philgeps.gov.ph/GEPSNONPILOT/Tender/SplashBidNoticeAbstractUI.aspx?menuIndex=3&amp;refID=7189375&amp;Result=3","7189375")</f>
        <v>0</v>
      </c>
      <c r="B8820" t="s">
        <v>220</v>
      </c>
      <c r="C8820" t="s">
        <v>12162</v>
      </c>
      <c r="D8820" t="s">
        <v>19046</v>
      </c>
      <c r="E8820" t="s">
        <v>26638</v>
      </c>
      <c r="F8820" t="s">
        <v>32606</v>
      </c>
      <c r="G8820" t="s">
        <v>32613</v>
      </c>
      <c r="H8820" t="s">
        <v>14201</v>
      </c>
      <c r="I8820" t="s">
        <v>4678</v>
      </c>
      <c r="J8820" t="s">
        <v>33800</v>
      </c>
      <c r="K8820" t="s">
        <v>42622</v>
      </c>
      <c r="M8820" t="s">
        <v>43121</v>
      </c>
      <c r="N8820" t="s">
        <v>47304</v>
      </c>
      <c r="O8820" t="s">
        <v>47305</v>
      </c>
      <c r="P8820">
        <v>0</v>
      </c>
      <c r="Q8820">
        <v>4</v>
      </c>
      <c r="R8820" t="s">
        <v>47312</v>
      </c>
      <c r="S8820" t="s">
        <v>47489</v>
      </c>
      <c r="T8820" t="s">
        <v>49068</v>
      </c>
      <c r="U8820" t="s">
        <v>56141</v>
      </c>
      <c r="W8820" t="s">
        <v>43121</v>
      </c>
      <c r="X8820" t="s">
        <v>47313</v>
      </c>
    </row>
    <row r="8821" spans="1:24">
      <c r="A8821">
        <f>HYPERLINK("https://www.philgeps.gov.ph/GEPSNONPILOT/Tender/SplashBidNoticeAbstractUI.aspx?menuIndex=3&amp;refID=7189411&amp;Result=3","7189411")</f>
        <v>0</v>
      </c>
      <c r="B8821" t="s">
        <v>1684</v>
      </c>
      <c r="C8821" t="s">
        <v>12163</v>
      </c>
      <c r="D8821" t="s">
        <v>19032</v>
      </c>
      <c r="E8821" t="s">
        <v>26639</v>
      </c>
      <c r="F8821" t="s">
        <v>32606</v>
      </c>
      <c r="G8821" t="s">
        <v>32613</v>
      </c>
      <c r="H8821" t="s">
        <v>14201</v>
      </c>
      <c r="I8821" t="s">
        <v>32680</v>
      </c>
      <c r="J8821" t="s">
        <v>38228</v>
      </c>
      <c r="K8821" t="s">
        <v>42622</v>
      </c>
      <c r="M8821" t="s">
        <v>44878</v>
      </c>
      <c r="N8821" t="s">
        <v>47304</v>
      </c>
      <c r="O8821" t="s">
        <v>47305</v>
      </c>
      <c r="P8821">
        <v>0</v>
      </c>
      <c r="Q8821">
        <v>2</v>
      </c>
      <c r="R8821" t="s">
        <v>47312</v>
      </c>
      <c r="S8821" t="s">
        <v>47489</v>
      </c>
      <c r="T8821" t="s">
        <v>49355</v>
      </c>
      <c r="U8821" t="s">
        <v>56833</v>
      </c>
      <c r="W8821" t="s">
        <v>44878</v>
      </c>
      <c r="X8821" t="s">
        <v>47313</v>
      </c>
    </row>
    <row r="8822" spans="1:24">
      <c r="A8822">
        <f>HYPERLINK("https://www.philgeps.gov.ph/GEPSNONPILOT/Tender/SplashBidNoticeAbstractUI.aspx?menuIndex=3&amp;refID=7189373&amp;Result=3","7189373")</f>
        <v>0</v>
      </c>
      <c r="B8822" t="s">
        <v>2775</v>
      </c>
      <c r="C8822" t="s">
        <v>12164</v>
      </c>
      <c r="D8822" t="s">
        <v>18997</v>
      </c>
      <c r="E8822" t="s">
        <v>26640</v>
      </c>
      <c r="F8822" t="s">
        <v>32606</v>
      </c>
      <c r="G8822" t="s">
        <v>32613</v>
      </c>
      <c r="H8822" t="s">
        <v>14201</v>
      </c>
      <c r="I8822" t="s">
        <v>6931</v>
      </c>
      <c r="J8822" t="s">
        <v>38229</v>
      </c>
      <c r="K8822" t="s">
        <v>42622</v>
      </c>
      <c r="M8822" t="s">
        <v>45937</v>
      </c>
      <c r="N8822" t="s">
        <v>47304</v>
      </c>
      <c r="O8822" t="s">
        <v>47305</v>
      </c>
      <c r="P8822">
        <v>0</v>
      </c>
      <c r="Q8822">
        <v>0</v>
      </c>
      <c r="R8822" t="s">
        <v>47312</v>
      </c>
      <c r="S8822" t="s">
        <v>47489</v>
      </c>
      <c r="T8822" t="s">
        <v>49037</v>
      </c>
      <c r="U8822" t="s">
        <v>56834</v>
      </c>
      <c r="W8822" t="s">
        <v>45937</v>
      </c>
      <c r="X8822" t="s">
        <v>47313</v>
      </c>
    </row>
    <row r="8823" spans="1:24">
      <c r="A8823">
        <f>HYPERLINK("https://www.philgeps.gov.ph/GEPSNONPILOT/Tender/SplashBidNoticeAbstractUI.aspx?menuIndex=3&amp;refID=7189437&amp;Result=3","7189437")</f>
        <v>0</v>
      </c>
      <c r="B8823" t="s">
        <v>2776</v>
      </c>
      <c r="C8823" t="s">
        <v>12165</v>
      </c>
      <c r="D8823" t="s">
        <v>18993</v>
      </c>
      <c r="E8823" t="s">
        <v>26641</v>
      </c>
      <c r="F8823" t="s">
        <v>32606</v>
      </c>
      <c r="G8823" t="s">
        <v>32613</v>
      </c>
      <c r="H8823" t="s">
        <v>32623</v>
      </c>
      <c r="I8823" t="s">
        <v>32634</v>
      </c>
      <c r="J8823" t="s">
        <v>38230</v>
      </c>
      <c r="K8823" t="s">
        <v>42624</v>
      </c>
      <c r="M8823" t="s">
        <v>45938</v>
      </c>
      <c r="N8823" t="s">
        <v>47304</v>
      </c>
      <c r="O8823" t="s">
        <v>47305</v>
      </c>
      <c r="P8823">
        <v>0</v>
      </c>
      <c r="Q8823">
        <v>6</v>
      </c>
      <c r="R8823" t="s">
        <v>47312</v>
      </c>
      <c r="S8823" t="s">
        <v>47489</v>
      </c>
      <c r="T8823" t="s">
        <v>49111</v>
      </c>
      <c r="U8823" t="s">
        <v>56835</v>
      </c>
      <c r="V8823" t="s">
        <v>63572</v>
      </c>
      <c r="W8823" t="s">
        <v>45938</v>
      </c>
      <c r="X8823" t="s">
        <v>47313</v>
      </c>
    </row>
    <row r="8824" spans="1:24">
      <c r="A8824">
        <f>HYPERLINK("https://www.philgeps.gov.ph/GEPSNONPILOT/Tender/SplashBidNoticeAbstractUI.aspx?menuIndex=3&amp;refID=7189429&amp;Result=3","7189429")</f>
        <v>0</v>
      </c>
      <c r="B8824" t="s">
        <v>903</v>
      </c>
      <c r="C8824" t="s">
        <v>12166</v>
      </c>
      <c r="D8824" t="s">
        <v>19049</v>
      </c>
      <c r="E8824" t="s">
        <v>12166</v>
      </c>
      <c r="F8824" t="s">
        <v>32606</v>
      </c>
      <c r="G8824" t="s">
        <v>32613</v>
      </c>
      <c r="H8824" t="s">
        <v>14201</v>
      </c>
      <c r="I8824" t="s">
        <v>32664</v>
      </c>
      <c r="J8824" t="s">
        <v>34435</v>
      </c>
      <c r="K8824" t="s">
        <v>42712</v>
      </c>
      <c r="M8824" t="s">
        <v>43840</v>
      </c>
      <c r="N8824" t="s">
        <v>47304</v>
      </c>
      <c r="O8824" t="s">
        <v>47305</v>
      </c>
      <c r="P8824">
        <v>0</v>
      </c>
      <c r="Q8824">
        <v>3</v>
      </c>
      <c r="R8824" t="s">
        <v>47312</v>
      </c>
      <c r="S8824" t="s">
        <v>47489</v>
      </c>
      <c r="T8824" t="s">
        <v>49119</v>
      </c>
      <c r="U8824" t="s">
        <v>56836</v>
      </c>
      <c r="W8824" t="s">
        <v>43840</v>
      </c>
      <c r="X8824" t="s">
        <v>47313</v>
      </c>
    </row>
    <row r="8825" spans="1:24">
      <c r="A8825">
        <f>HYPERLINK("https://www.philgeps.gov.ph/GEPSNONPILOT/Tender/SplashBidNoticeAbstractUI.aspx?menuIndex=3&amp;refID=7189423&amp;Result=3","7189423")</f>
        <v>0</v>
      </c>
      <c r="B8825" t="s">
        <v>1770</v>
      </c>
      <c r="C8825" t="s">
        <v>12167</v>
      </c>
      <c r="D8825" t="s">
        <v>19054</v>
      </c>
      <c r="E8825" t="s">
        <v>26642</v>
      </c>
      <c r="F8825" t="s">
        <v>32606</v>
      </c>
      <c r="G8825" t="s">
        <v>32613</v>
      </c>
      <c r="H8825" t="s">
        <v>14201</v>
      </c>
      <c r="I8825" t="s">
        <v>32633</v>
      </c>
      <c r="J8825" t="s">
        <v>38231</v>
      </c>
      <c r="K8825" t="s">
        <v>42623</v>
      </c>
      <c r="M8825" t="s">
        <v>44808</v>
      </c>
      <c r="N8825" t="s">
        <v>47304</v>
      </c>
      <c r="O8825" t="s">
        <v>47305</v>
      </c>
      <c r="P8825">
        <v>0</v>
      </c>
      <c r="Q8825">
        <v>1</v>
      </c>
      <c r="R8825" t="s">
        <v>47312</v>
      </c>
      <c r="S8825" t="s">
        <v>47489</v>
      </c>
      <c r="T8825" t="s">
        <v>48970</v>
      </c>
      <c r="U8825" t="s">
        <v>56837</v>
      </c>
      <c r="W8825" t="s">
        <v>44808</v>
      </c>
      <c r="X8825" t="s">
        <v>47313</v>
      </c>
    </row>
    <row r="8826" spans="1:24">
      <c r="A8826">
        <f>HYPERLINK("https://www.philgeps.gov.ph/GEPSNONPILOT/Tender/SplashBidNoticeAbstractUI.aspx?menuIndex=3&amp;refID=7189408&amp;Result=3","7189408")</f>
        <v>0</v>
      </c>
      <c r="B8826" t="s">
        <v>903</v>
      </c>
      <c r="C8826" t="s">
        <v>12168</v>
      </c>
      <c r="D8826" t="s">
        <v>19049</v>
      </c>
      <c r="E8826" t="s">
        <v>12168</v>
      </c>
      <c r="F8826" t="s">
        <v>32606</v>
      </c>
      <c r="G8826" t="s">
        <v>32613</v>
      </c>
      <c r="H8826" t="s">
        <v>14201</v>
      </c>
      <c r="I8826" t="s">
        <v>32640</v>
      </c>
      <c r="J8826" t="s">
        <v>34667</v>
      </c>
      <c r="K8826" t="s">
        <v>42631</v>
      </c>
      <c r="M8826" t="s">
        <v>43840</v>
      </c>
      <c r="N8826" t="s">
        <v>47304</v>
      </c>
      <c r="O8826" t="s">
        <v>47305</v>
      </c>
      <c r="P8826">
        <v>0</v>
      </c>
      <c r="Q8826">
        <v>3</v>
      </c>
      <c r="R8826" t="s">
        <v>47312</v>
      </c>
      <c r="S8826" t="s">
        <v>47489</v>
      </c>
      <c r="T8826" t="s">
        <v>49119</v>
      </c>
      <c r="U8826" t="s">
        <v>56838</v>
      </c>
      <c r="W8826" t="s">
        <v>43840</v>
      </c>
      <c r="X8826" t="s">
        <v>47313</v>
      </c>
    </row>
    <row r="8827" spans="1:24">
      <c r="A8827">
        <f>HYPERLINK("https://www.philgeps.gov.ph/GEPSNONPILOT/Tender/SplashBidNoticeAbstractUI.aspx?menuIndex=3&amp;refID=7189422&amp;Result=3","7189422")</f>
        <v>0</v>
      </c>
      <c r="B8827" t="s">
        <v>2761</v>
      </c>
      <c r="C8827" t="s">
        <v>12169</v>
      </c>
      <c r="D8827" t="s">
        <v>19014</v>
      </c>
      <c r="E8827" t="s">
        <v>26643</v>
      </c>
      <c r="F8827" t="s">
        <v>32606</v>
      </c>
      <c r="G8827" t="s">
        <v>32614</v>
      </c>
      <c r="H8827" t="s">
        <v>14201</v>
      </c>
      <c r="I8827" t="s">
        <v>32718</v>
      </c>
      <c r="J8827" t="s">
        <v>38232</v>
      </c>
      <c r="K8827" t="s">
        <v>42631</v>
      </c>
      <c r="M8827" t="s">
        <v>45919</v>
      </c>
      <c r="N8827" t="s">
        <v>47304</v>
      </c>
      <c r="O8827" t="s">
        <v>47305</v>
      </c>
      <c r="Q8827">
        <v>9</v>
      </c>
      <c r="R8827" t="s">
        <v>47312</v>
      </c>
      <c r="S8827" t="s">
        <v>47522</v>
      </c>
      <c r="T8827" t="s">
        <v>49267</v>
      </c>
      <c r="U8827" t="s">
        <v>56776</v>
      </c>
      <c r="W8827" t="s">
        <v>45919</v>
      </c>
      <c r="X8827" t="s">
        <v>47313</v>
      </c>
    </row>
    <row r="8828" spans="1:24">
      <c r="A8828">
        <f>HYPERLINK("https://www.philgeps.gov.ph/GEPSNONPILOT/Tender/SplashBidNoticeAbstractUI.aspx?menuIndex=3&amp;refID=7189420&amp;Result=3","7189420")</f>
        <v>0</v>
      </c>
      <c r="B8828" t="s">
        <v>2777</v>
      </c>
      <c r="C8828" t="s">
        <v>12170</v>
      </c>
      <c r="D8828" t="s">
        <v>18994</v>
      </c>
      <c r="E8828" t="s">
        <v>26644</v>
      </c>
      <c r="F8828" t="s">
        <v>32606</v>
      </c>
      <c r="G8828" t="s">
        <v>32614</v>
      </c>
      <c r="H8828" t="s">
        <v>14201</v>
      </c>
      <c r="I8828" t="s">
        <v>4678</v>
      </c>
      <c r="J8828" t="s">
        <v>38233</v>
      </c>
      <c r="K8828" t="s">
        <v>42630</v>
      </c>
      <c r="M8828" t="s">
        <v>45939</v>
      </c>
      <c r="N8828" t="s">
        <v>47304</v>
      </c>
      <c r="O8828" t="s">
        <v>47305</v>
      </c>
      <c r="P8828">
        <v>0</v>
      </c>
      <c r="Q8828">
        <v>1</v>
      </c>
      <c r="R8828" t="s">
        <v>47312</v>
      </c>
      <c r="S8828" t="s">
        <v>47489</v>
      </c>
      <c r="T8828" t="s">
        <v>49165</v>
      </c>
      <c r="U8828" t="s">
        <v>56839</v>
      </c>
      <c r="V8828" t="s">
        <v>63573</v>
      </c>
      <c r="W8828" t="s">
        <v>45939</v>
      </c>
      <c r="X8828" t="s">
        <v>47313</v>
      </c>
    </row>
    <row r="8829" spans="1:24">
      <c r="A8829">
        <f>HYPERLINK("https://www.philgeps.gov.ph/GEPSNONPILOT/Tender/SplashBidNoticeAbstractUI.aspx?menuIndex=3&amp;refID=7189413&amp;Result=3","7189413")</f>
        <v>0</v>
      </c>
      <c r="B8829" t="s">
        <v>2102</v>
      </c>
      <c r="C8829" t="s">
        <v>12171</v>
      </c>
      <c r="D8829" t="s">
        <v>19050</v>
      </c>
      <c r="E8829" t="s">
        <v>26645</v>
      </c>
      <c r="F8829" t="s">
        <v>32606</v>
      </c>
      <c r="G8829" t="s">
        <v>32613</v>
      </c>
      <c r="H8829" t="s">
        <v>14201</v>
      </c>
      <c r="I8829" t="s">
        <v>4114</v>
      </c>
      <c r="J8829" t="s">
        <v>38234</v>
      </c>
      <c r="K8829" t="s">
        <v>42631</v>
      </c>
      <c r="M8829" t="s">
        <v>45187</v>
      </c>
      <c r="N8829" t="s">
        <v>47304</v>
      </c>
      <c r="O8829" t="s">
        <v>47305</v>
      </c>
      <c r="P8829">
        <v>0</v>
      </c>
      <c r="Q8829">
        <v>5</v>
      </c>
      <c r="R8829" t="s">
        <v>47312</v>
      </c>
      <c r="S8829" t="s">
        <v>47489</v>
      </c>
      <c r="T8829" t="s">
        <v>49095</v>
      </c>
      <c r="U8829" t="s">
        <v>54797</v>
      </c>
      <c r="W8829" t="s">
        <v>45187</v>
      </c>
      <c r="X8829" t="s">
        <v>47313</v>
      </c>
    </row>
    <row r="8830" spans="1:24">
      <c r="A8830">
        <f>HYPERLINK("https://www.philgeps.gov.ph/GEPSNONPILOT/Tender/SplashBidNoticeAbstractUI.aspx?menuIndex=3&amp;refID=7189416&amp;Result=3","7189416")</f>
        <v>0</v>
      </c>
      <c r="B8830" t="s">
        <v>723</v>
      </c>
      <c r="C8830" t="s">
        <v>12172</v>
      </c>
      <c r="D8830" t="s">
        <v>18994</v>
      </c>
      <c r="E8830" t="s">
        <v>26646</v>
      </c>
      <c r="F8830" t="s">
        <v>32606</v>
      </c>
      <c r="G8830" t="s">
        <v>32614</v>
      </c>
      <c r="H8830" t="s">
        <v>14201</v>
      </c>
      <c r="I8830" t="s">
        <v>7577</v>
      </c>
      <c r="J8830" t="s">
        <v>38235</v>
      </c>
      <c r="K8830" t="s">
        <v>42630</v>
      </c>
      <c r="M8830" t="s">
        <v>43644</v>
      </c>
      <c r="N8830" t="s">
        <v>47304</v>
      </c>
      <c r="O8830" t="s">
        <v>47305</v>
      </c>
      <c r="P8830">
        <v>0</v>
      </c>
      <c r="Q8830">
        <v>1</v>
      </c>
      <c r="R8830" t="s">
        <v>47312</v>
      </c>
      <c r="S8830" t="s">
        <v>47489</v>
      </c>
      <c r="T8830" t="s">
        <v>49331</v>
      </c>
      <c r="U8830" t="s">
        <v>50845</v>
      </c>
      <c r="W8830" t="s">
        <v>43644</v>
      </c>
      <c r="X8830" t="s">
        <v>47313</v>
      </c>
    </row>
    <row r="8831" spans="1:24">
      <c r="A8831">
        <f>HYPERLINK("https://www.philgeps.gov.ph/GEPSNONPILOT/Tender/SplashBidNoticeAbstractUI.aspx?menuIndex=3&amp;refID=7189407&amp;Result=3","7189407")</f>
        <v>0</v>
      </c>
      <c r="B8831" t="s">
        <v>2762</v>
      </c>
      <c r="C8831" t="s">
        <v>12173</v>
      </c>
      <c r="D8831" t="s">
        <v>19014</v>
      </c>
      <c r="E8831" t="s">
        <v>26647</v>
      </c>
      <c r="F8831" t="s">
        <v>32606</v>
      </c>
      <c r="G8831" t="s">
        <v>32614</v>
      </c>
      <c r="H8831" t="s">
        <v>14201</v>
      </c>
      <c r="I8831" t="s">
        <v>32632</v>
      </c>
      <c r="J8831" t="s">
        <v>33775</v>
      </c>
      <c r="K8831" t="s">
        <v>42636</v>
      </c>
      <c r="M8831" t="s">
        <v>45920</v>
      </c>
      <c r="N8831" t="s">
        <v>47304</v>
      </c>
      <c r="O8831" t="s">
        <v>47305</v>
      </c>
      <c r="P8831">
        <v>0</v>
      </c>
      <c r="Q8831">
        <v>11</v>
      </c>
      <c r="R8831" t="s">
        <v>47312</v>
      </c>
      <c r="S8831" t="s">
        <v>47489</v>
      </c>
      <c r="T8831" t="s">
        <v>49068</v>
      </c>
      <c r="U8831" t="s">
        <v>56840</v>
      </c>
      <c r="W8831" t="s">
        <v>45920</v>
      </c>
      <c r="X8831" t="s">
        <v>47313</v>
      </c>
    </row>
    <row r="8832" spans="1:24">
      <c r="A8832">
        <f>HYPERLINK("https://www.philgeps.gov.ph/GEPSNONPILOT/Tender/SplashBidNoticeAbstractUI.aspx?menuIndex=3&amp;refID=7189403&amp;Result=3","7189403")</f>
        <v>0</v>
      </c>
      <c r="B8832" t="s">
        <v>2763</v>
      </c>
      <c r="C8832" t="s">
        <v>12174</v>
      </c>
      <c r="D8832" t="s">
        <v>19037</v>
      </c>
      <c r="E8832" t="s">
        <v>26648</v>
      </c>
      <c r="F8832" t="s">
        <v>32606</v>
      </c>
      <c r="G8832" t="s">
        <v>32619</v>
      </c>
      <c r="H8832" t="s">
        <v>14201</v>
      </c>
      <c r="I8832" t="s">
        <v>32631</v>
      </c>
      <c r="J8832" t="s">
        <v>35373</v>
      </c>
      <c r="K8832" t="s">
        <v>42632</v>
      </c>
      <c r="M8832" t="s">
        <v>45921</v>
      </c>
      <c r="N8832" t="s">
        <v>47304</v>
      </c>
      <c r="O8832" t="s">
        <v>47305</v>
      </c>
      <c r="P8832">
        <v>0</v>
      </c>
      <c r="Q8832">
        <v>0</v>
      </c>
      <c r="R8832" t="s">
        <v>47312</v>
      </c>
      <c r="S8832" t="s">
        <v>47489</v>
      </c>
      <c r="T8832" t="s">
        <v>49315</v>
      </c>
      <c r="U8832" t="s">
        <v>56841</v>
      </c>
      <c r="W8832" t="s">
        <v>45921</v>
      </c>
      <c r="X8832" t="s">
        <v>47313</v>
      </c>
    </row>
    <row r="8833" spans="1:24">
      <c r="A8833">
        <f>HYPERLINK("https://www.philgeps.gov.ph/GEPSNONPILOT/Tender/SplashBidNoticeAbstractUI.aspx?menuIndex=3&amp;refID=7189397&amp;Result=3","7189397")</f>
        <v>0</v>
      </c>
      <c r="B8833" t="s">
        <v>552</v>
      </c>
      <c r="C8833" t="s">
        <v>12175</v>
      </c>
      <c r="D8833" t="s">
        <v>19042</v>
      </c>
      <c r="E8833" t="s">
        <v>21126</v>
      </c>
      <c r="F8833" t="s">
        <v>32606</v>
      </c>
      <c r="G8833" t="s">
        <v>32613</v>
      </c>
      <c r="H8833" t="s">
        <v>32623</v>
      </c>
      <c r="I8833" t="s">
        <v>32661</v>
      </c>
      <c r="J8833" t="s">
        <v>38236</v>
      </c>
      <c r="K8833" t="s">
        <v>42631</v>
      </c>
      <c r="M8833" t="s">
        <v>43467</v>
      </c>
      <c r="N8833" t="s">
        <v>47304</v>
      </c>
      <c r="O8833" t="s">
        <v>47305</v>
      </c>
      <c r="P8833">
        <v>0</v>
      </c>
      <c r="Q8833">
        <v>1</v>
      </c>
      <c r="R8833" t="s">
        <v>47312</v>
      </c>
      <c r="S8833" t="s">
        <v>47489</v>
      </c>
      <c r="T8833" t="s">
        <v>48996</v>
      </c>
      <c r="U8833" t="s">
        <v>56842</v>
      </c>
      <c r="W8833" t="s">
        <v>43467</v>
      </c>
      <c r="X8833" t="s">
        <v>47313</v>
      </c>
    </row>
    <row r="8834" spans="1:24">
      <c r="A8834">
        <f>HYPERLINK("https://www.philgeps.gov.ph/GEPSNONPILOT/Tender/SplashBidNoticeAbstractUI.aspx?menuIndex=3&amp;refID=7189383&amp;Result=3","7189383")</f>
        <v>0</v>
      </c>
      <c r="B8834" t="s">
        <v>2778</v>
      </c>
      <c r="C8834" t="s">
        <v>12176</v>
      </c>
      <c r="D8834" t="s">
        <v>19011</v>
      </c>
      <c r="E8834" t="s">
        <v>12176</v>
      </c>
      <c r="F8834" t="s">
        <v>32606</v>
      </c>
      <c r="G8834" t="s">
        <v>32614</v>
      </c>
      <c r="H8834" t="s">
        <v>14201</v>
      </c>
      <c r="I8834" t="s">
        <v>4678</v>
      </c>
      <c r="J8834" t="s">
        <v>38237</v>
      </c>
      <c r="K8834" t="s">
        <v>42624</v>
      </c>
      <c r="M8834" t="s">
        <v>45940</v>
      </c>
      <c r="N8834" t="s">
        <v>47304</v>
      </c>
      <c r="O8834" t="s">
        <v>47305</v>
      </c>
      <c r="P8834">
        <v>0</v>
      </c>
      <c r="Q8834">
        <v>3</v>
      </c>
      <c r="R8834" t="s">
        <v>47312</v>
      </c>
      <c r="S8834" t="s">
        <v>47489</v>
      </c>
      <c r="T8834" t="s">
        <v>48997</v>
      </c>
      <c r="U8834" t="s">
        <v>56843</v>
      </c>
      <c r="W8834" t="s">
        <v>45940</v>
      </c>
      <c r="X8834" t="s">
        <v>47313</v>
      </c>
    </row>
    <row r="8835" spans="1:24">
      <c r="A8835">
        <f>HYPERLINK("https://www.philgeps.gov.ph/GEPSNONPILOT/Tender/SplashBidNoticeAbstractUI.aspx?menuIndex=3&amp;refID=7189421&amp;Result=3","7189421")</f>
        <v>0</v>
      </c>
      <c r="B8835" t="s">
        <v>2767</v>
      </c>
      <c r="C8835" t="s">
        <v>12177</v>
      </c>
      <c r="D8835" t="s">
        <v>19013</v>
      </c>
      <c r="E8835" t="s">
        <v>26649</v>
      </c>
      <c r="F8835" t="s">
        <v>32606</v>
      </c>
      <c r="G8835" t="s">
        <v>32613</v>
      </c>
      <c r="H8835" t="s">
        <v>14201</v>
      </c>
      <c r="I8835" t="s">
        <v>4120</v>
      </c>
      <c r="J8835" t="s">
        <v>35504</v>
      </c>
      <c r="K8835" t="s">
        <v>42631</v>
      </c>
      <c r="M8835" t="s">
        <v>45926</v>
      </c>
      <c r="N8835" t="s">
        <v>47304</v>
      </c>
      <c r="O8835" t="s">
        <v>47305</v>
      </c>
      <c r="P8835">
        <v>0</v>
      </c>
      <c r="Q8835">
        <v>3</v>
      </c>
      <c r="R8835" t="s">
        <v>47312</v>
      </c>
      <c r="S8835" t="s">
        <v>47489</v>
      </c>
      <c r="T8835" t="s">
        <v>49011</v>
      </c>
      <c r="U8835" t="s">
        <v>56789</v>
      </c>
      <c r="W8835" t="s">
        <v>45926</v>
      </c>
      <c r="X8835" t="s">
        <v>47313</v>
      </c>
    </row>
    <row r="8836" spans="1:24">
      <c r="A8836">
        <f>HYPERLINK("https://www.philgeps.gov.ph/GEPSNONPILOT/Tender/SplashBidNoticeAbstractUI.aspx?menuIndex=3&amp;refID=7189386&amp;Result=3","7189386")</f>
        <v>0</v>
      </c>
      <c r="B8836" t="s">
        <v>903</v>
      </c>
      <c r="C8836" t="s">
        <v>12178</v>
      </c>
      <c r="D8836" t="s">
        <v>19049</v>
      </c>
      <c r="E8836" t="s">
        <v>12178</v>
      </c>
      <c r="F8836" t="s">
        <v>32606</v>
      </c>
      <c r="G8836" t="s">
        <v>32613</v>
      </c>
      <c r="H8836" t="s">
        <v>14201</v>
      </c>
      <c r="I8836" t="s">
        <v>32664</v>
      </c>
      <c r="J8836" t="s">
        <v>38238</v>
      </c>
      <c r="K8836" t="s">
        <v>42631</v>
      </c>
      <c r="M8836" t="s">
        <v>43840</v>
      </c>
      <c r="N8836" t="s">
        <v>47304</v>
      </c>
      <c r="O8836" t="s">
        <v>47305</v>
      </c>
      <c r="P8836">
        <v>0</v>
      </c>
      <c r="Q8836">
        <v>1</v>
      </c>
      <c r="R8836" t="s">
        <v>47312</v>
      </c>
      <c r="S8836" t="s">
        <v>47489</v>
      </c>
      <c r="T8836" t="s">
        <v>49119</v>
      </c>
      <c r="U8836" t="s">
        <v>56844</v>
      </c>
      <c r="W8836" t="s">
        <v>43840</v>
      </c>
      <c r="X8836" t="s">
        <v>47313</v>
      </c>
    </row>
    <row r="8837" spans="1:24">
      <c r="A8837">
        <f>HYPERLINK("https://www.philgeps.gov.ph/GEPSNONPILOT/Tender/SplashBidNoticeAbstractUI.aspx?menuIndex=3&amp;refID=7189406&amp;Result=3","7189406")</f>
        <v>0</v>
      </c>
      <c r="B8837" t="s">
        <v>2779</v>
      </c>
      <c r="C8837" t="s">
        <v>12179</v>
      </c>
      <c r="D8837" t="s">
        <v>18995</v>
      </c>
      <c r="E8837" t="s">
        <v>26650</v>
      </c>
      <c r="F8837" t="s">
        <v>32606</v>
      </c>
      <c r="G8837" t="s">
        <v>32613</v>
      </c>
      <c r="H8837" t="s">
        <v>32623</v>
      </c>
      <c r="I8837" t="s">
        <v>17648</v>
      </c>
      <c r="J8837" t="s">
        <v>32770</v>
      </c>
      <c r="K8837" t="s">
        <v>42623</v>
      </c>
      <c r="M8837" t="s">
        <v>45941</v>
      </c>
      <c r="N8837" t="s">
        <v>47304</v>
      </c>
      <c r="O8837" t="s">
        <v>47305</v>
      </c>
      <c r="P8837">
        <v>0</v>
      </c>
      <c r="Q8837">
        <v>1</v>
      </c>
      <c r="R8837" t="s">
        <v>47312</v>
      </c>
      <c r="S8837" t="s">
        <v>47489</v>
      </c>
      <c r="T8837" t="s">
        <v>49041</v>
      </c>
      <c r="U8837" t="s">
        <v>56845</v>
      </c>
      <c r="W8837" t="s">
        <v>45941</v>
      </c>
      <c r="X8837" t="s">
        <v>47313</v>
      </c>
    </row>
    <row r="8838" spans="1:24">
      <c r="A8838">
        <f>HYPERLINK("https://www.philgeps.gov.ph/GEPSNONPILOT/Tender/SplashBidNoticeAbstractUI.aspx?menuIndex=3&amp;refID=7189401&amp;Result=3","7189401")</f>
        <v>0</v>
      </c>
      <c r="B8838" t="s">
        <v>1684</v>
      </c>
      <c r="C8838" t="s">
        <v>12180</v>
      </c>
      <c r="D8838" t="s">
        <v>19032</v>
      </c>
      <c r="E8838" t="s">
        <v>26651</v>
      </c>
      <c r="F8838" t="s">
        <v>32606</v>
      </c>
      <c r="G8838" t="s">
        <v>32613</v>
      </c>
      <c r="H8838" t="s">
        <v>14201</v>
      </c>
      <c r="I8838" t="s">
        <v>32650</v>
      </c>
      <c r="J8838" t="s">
        <v>33738</v>
      </c>
      <c r="K8838" t="s">
        <v>42622</v>
      </c>
      <c r="M8838" t="s">
        <v>44878</v>
      </c>
      <c r="N8838" t="s">
        <v>47304</v>
      </c>
      <c r="O8838" t="s">
        <v>47305</v>
      </c>
      <c r="P8838">
        <v>0</v>
      </c>
      <c r="Q8838">
        <v>2</v>
      </c>
      <c r="R8838" t="s">
        <v>47312</v>
      </c>
      <c r="S8838" t="s">
        <v>47489</v>
      </c>
      <c r="T8838" t="s">
        <v>49355</v>
      </c>
      <c r="U8838" t="s">
        <v>56846</v>
      </c>
      <c r="W8838" t="s">
        <v>44878</v>
      </c>
      <c r="X8838" t="s">
        <v>47313</v>
      </c>
    </row>
    <row r="8839" spans="1:24">
      <c r="A8839">
        <f>HYPERLINK("https://www.philgeps.gov.ph/GEPSNONPILOT/Tender/SplashBidNoticeAbstractUI.aspx?menuIndex=3&amp;refID=7189396&amp;Result=3","7189396")</f>
        <v>0</v>
      </c>
      <c r="B8839" t="s">
        <v>2780</v>
      </c>
      <c r="C8839" t="s">
        <v>12181</v>
      </c>
      <c r="D8839" t="s">
        <v>19037</v>
      </c>
      <c r="E8839" t="s">
        <v>21074</v>
      </c>
      <c r="F8839" t="s">
        <v>32606</v>
      </c>
      <c r="G8839" t="s">
        <v>32613</v>
      </c>
      <c r="H8839" t="s">
        <v>14201</v>
      </c>
      <c r="I8839" t="s">
        <v>6931</v>
      </c>
      <c r="J8839" t="s">
        <v>38239</v>
      </c>
      <c r="K8839" t="s">
        <v>42631</v>
      </c>
      <c r="M8839" t="s">
        <v>45942</v>
      </c>
      <c r="N8839" t="s">
        <v>47304</v>
      </c>
      <c r="O8839" t="s">
        <v>47305</v>
      </c>
      <c r="P8839">
        <v>0</v>
      </c>
      <c r="Q8839">
        <v>1</v>
      </c>
      <c r="R8839" t="s">
        <v>47312</v>
      </c>
      <c r="S8839" t="s">
        <v>47489</v>
      </c>
      <c r="T8839" t="s">
        <v>49014</v>
      </c>
      <c r="U8839" t="s">
        <v>56847</v>
      </c>
      <c r="W8839" t="s">
        <v>45942</v>
      </c>
      <c r="X8839" t="s">
        <v>47313</v>
      </c>
    </row>
    <row r="8840" spans="1:24">
      <c r="A8840">
        <f>HYPERLINK("https://www.philgeps.gov.ph/GEPSNONPILOT/Tender/SplashBidNoticeAbstractUI.aspx?menuIndex=3&amp;refID=7189395&amp;Result=3","7189395")</f>
        <v>0</v>
      </c>
      <c r="B8840" t="s">
        <v>2781</v>
      </c>
      <c r="C8840" t="s">
        <v>12182</v>
      </c>
      <c r="D8840" t="s">
        <v>19005</v>
      </c>
      <c r="E8840" t="s">
        <v>26652</v>
      </c>
      <c r="F8840" t="s">
        <v>32606</v>
      </c>
      <c r="G8840" t="s">
        <v>32613</v>
      </c>
      <c r="H8840" t="s">
        <v>14201</v>
      </c>
      <c r="I8840" t="s">
        <v>6298</v>
      </c>
      <c r="J8840" t="s">
        <v>32853</v>
      </c>
      <c r="K8840" t="s">
        <v>42623</v>
      </c>
      <c r="M8840" t="s">
        <v>45943</v>
      </c>
      <c r="N8840" t="s">
        <v>47304</v>
      </c>
      <c r="O8840" t="s">
        <v>47305</v>
      </c>
      <c r="P8840">
        <v>0</v>
      </c>
      <c r="Q8840">
        <v>5</v>
      </c>
      <c r="R8840" t="s">
        <v>47312</v>
      </c>
      <c r="S8840" t="s">
        <v>47489</v>
      </c>
      <c r="T8840" t="s">
        <v>48998</v>
      </c>
      <c r="U8840" t="s">
        <v>56848</v>
      </c>
      <c r="W8840" t="s">
        <v>45943</v>
      </c>
      <c r="X8840" t="s">
        <v>47313</v>
      </c>
    </row>
    <row r="8841" spans="1:24">
      <c r="A8841">
        <f>HYPERLINK("https://www.philgeps.gov.ph/GEPSNONPILOT/Tender/SplashBidNoticeAbstractUI.aspx?menuIndex=3&amp;refID=7189385&amp;Result=3","7189385")</f>
        <v>0</v>
      </c>
      <c r="B8841" t="s">
        <v>1629</v>
      </c>
      <c r="C8841" t="s">
        <v>12183</v>
      </c>
      <c r="D8841" t="s">
        <v>18992</v>
      </c>
      <c r="E8841" t="s">
        <v>26653</v>
      </c>
      <c r="F8841" t="s">
        <v>32606</v>
      </c>
      <c r="G8841" t="s">
        <v>32613</v>
      </c>
      <c r="H8841" t="s">
        <v>32624</v>
      </c>
      <c r="I8841" t="s">
        <v>32652</v>
      </c>
      <c r="J8841" t="s">
        <v>33103</v>
      </c>
      <c r="K8841" t="s">
        <v>42622</v>
      </c>
      <c r="M8841" t="s">
        <v>44649</v>
      </c>
      <c r="N8841" t="s">
        <v>47304</v>
      </c>
      <c r="O8841" t="s">
        <v>47305</v>
      </c>
      <c r="P8841">
        <v>0</v>
      </c>
      <c r="Q8841">
        <v>0</v>
      </c>
      <c r="R8841" t="s">
        <v>47312</v>
      </c>
      <c r="S8841" t="s">
        <v>47489</v>
      </c>
      <c r="T8841" t="s">
        <v>49023</v>
      </c>
      <c r="U8841" t="s">
        <v>56849</v>
      </c>
      <c r="W8841" t="s">
        <v>44649</v>
      </c>
      <c r="X8841" t="s">
        <v>47313</v>
      </c>
    </row>
    <row r="8842" spans="1:24">
      <c r="A8842">
        <f>HYPERLINK("https://www.philgeps.gov.ph/GEPSNONPILOT/Tender/SplashBidNoticeAbstractUI.aspx?menuIndex=3&amp;refID=7189438&amp;Result=3","7189438")</f>
        <v>0</v>
      </c>
      <c r="B8842" t="s">
        <v>723</v>
      </c>
      <c r="C8842" t="s">
        <v>12184</v>
      </c>
      <c r="D8842" t="s">
        <v>18994</v>
      </c>
      <c r="E8842" t="s">
        <v>26654</v>
      </c>
      <c r="F8842" t="s">
        <v>32606</v>
      </c>
      <c r="G8842" t="s">
        <v>32614</v>
      </c>
      <c r="H8842" t="s">
        <v>14201</v>
      </c>
      <c r="I8842" t="s">
        <v>13131</v>
      </c>
      <c r="J8842" t="s">
        <v>38240</v>
      </c>
      <c r="K8842" t="s">
        <v>42630</v>
      </c>
      <c r="M8842" t="s">
        <v>43644</v>
      </c>
      <c r="N8842" t="s">
        <v>47304</v>
      </c>
      <c r="O8842" t="s">
        <v>47305</v>
      </c>
      <c r="P8842">
        <v>0</v>
      </c>
      <c r="Q8842">
        <v>3</v>
      </c>
      <c r="R8842" t="s">
        <v>47312</v>
      </c>
      <c r="S8842" t="s">
        <v>47489</v>
      </c>
      <c r="T8842" t="s">
        <v>49331</v>
      </c>
      <c r="U8842" t="s">
        <v>56850</v>
      </c>
      <c r="W8842" t="s">
        <v>43644</v>
      </c>
      <c r="X8842" t="s">
        <v>47313</v>
      </c>
    </row>
    <row r="8843" spans="1:24">
      <c r="A8843">
        <f>HYPERLINK("https://www.philgeps.gov.ph/GEPSNONPILOT/Tender/SplashBidNoticeAbstractUI.aspx?menuIndex=3&amp;refID=7189453&amp;Result=3","7189453")</f>
        <v>0</v>
      </c>
      <c r="B8843" t="s">
        <v>2782</v>
      </c>
      <c r="C8843" t="s">
        <v>12185</v>
      </c>
      <c r="D8843" t="s">
        <v>18992</v>
      </c>
      <c r="E8843" t="s">
        <v>26011</v>
      </c>
      <c r="F8843" t="s">
        <v>32606</v>
      </c>
      <c r="G8843" t="s">
        <v>32613</v>
      </c>
      <c r="H8843" t="s">
        <v>14201</v>
      </c>
      <c r="I8843" t="s">
        <v>32631</v>
      </c>
      <c r="J8843" t="s">
        <v>38241</v>
      </c>
      <c r="K8843" t="s">
        <v>42622</v>
      </c>
      <c r="M8843" t="s">
        <v>45944</v>
      </c>
      <c r="N8843" t="s">
        <v>47304</v>
      </c>
      <c r="O8843" t="s">
        <v>47305</v>
      </c>
      <c r="P8843">
        <v>0</v>
      </c>
      <c r="Q8843">
        <v>0</v>
      </c>
      <c r="R8843" t="s">
        <v>47312</v>
      </c>
      <c r="S8843" t="s">
        <v>47489</v>
      </c>
      <c r="T8843" t="s">
        <v>48996</v>
      </c>
      <c r="U8843" t="s">
        <v>56851</v>
      </c>
      <c r="W8843" t="s">
        <v>46157</v>
      </c>
      <c r="X8843" t="s">
        <v>47313</v>
      </c>
    </row>
    <row r="8844" spans="1:24">
      <c r="A8844">
        <f>HYPERLINK("https://www.philgeps.gov.ph/GEPSNONPILOT/Tender/SplashBidNoticeAbstractUI.aspx?menuIndex=3&amp;refID=7189448&amp;Result=3","7189448")</f>
        <v>0</v>
      </c>
      <c r="B8844" t="s">
        <v>903</v>
      </c>
      <c r="C8844" t="s">
        <v>12186</v>
      </c>
      <c r="D8844" t="s">
        <v>19049</v>
      </c>
      <c r="E8844" t="s">
        <v>26655</v>
      </c>
      <c r="F8844" t="s">
        <v>32606</v>
      </c>
      <c r="G8844" t="s">
        <v>32613</v>
      </c>
      <c r="H8844" t="s">
        <v>14201</v>
      </c>
      <c r="I8844" t="s">
        <v>32664</v>
      </c>
      <c r="J8844" t="s">
        <v>38242</v>
      </c>
      <c r="K8844" t="s">
        <v>42636</v>
      </c>
      <c r="M8844" t="s">
        <v>43840</v>
      </c>
      <c r="N8844" t="s">
        <v>47304</v>
      </c>
      <c r="O8844" t="s">
        <v>47305</v>
      </c>
      <c r="P8844">
        <v>0</v>
      </c>
      <c r="Q8844">
        <v>0</v>
      </c>
      <c r="R8844" t="s">
        <v>47312</v>
      </c>
      <c r="S8844" t="s">
        <v>47489</v>
      </c>
      <c r="T8844" t="s">
        <v>49119</v>
      </c>
      <c r="U8844" t="s">
        <v>56852</v>
      </c>
      <c r="W8844" t="s">
        <v>43840</v>
      </c>
      <c r="X8844" t="s">
        <v>47313</v>
      </c>
    </row>
    <row r="8845" spans="1:24">
      <c r="A8845">
        <f>HYPERLINK("https://www.philgeps.gov.ph/GEPSNONPILOT/Tender/SplashBidNoticeAbstractUI.aspx?menuIndex=3&amp;refID=7189446&amp;Result=3","7189446")</f>
        <v>0</v>
      </c>
      <c r="B8845" t="s">
        <v>2777</v>
      </c>
      <c r="C8845" t="s">
        <v>12187</v>
      </c>
      <c r="D8845" t="s">
        <v>19065</v>
      </c>
      <c r="E8845" t="s">
        <v>26656</v>
      </c>
      <c r="F8845" t="s">
        <v>32606</v>
      </c>
      <c r="G8845" t="s">
        <v>32614</v>
      </c>
      <c r="H8845" t="s">
        <v>14201</v>
      </c>
      <c r="I8845" t="s">
        <v>32676</v>
      </c>
      <c r="J8845" t="s">
        <v>38243</v>
      </c>
      <c r="K8845" t="s">
        <v>42630</v>
      </c>
      <c r="M8845" t="s">
        <v>45939</v>
      </c>
      <c r="N8845" t="s">
        <v>47304</v>
      </c>
      <c r="O8845" t="s">
        <v>47305</v>
      </c>
      <c r="P8845">
        <v>0</v>
      </c>
      <c r="Q8845">
        <v>0</v>
      </c>
      <c r="R8845" t="s">
        <v>47312</v>
      </c>
      <c r="S8845" t="s">
        <v>47489</v>
      </c>
      <c r="T8845" t="s">
        <v>49165</v>
      </c>
      <c r="U8845" t="s">
        <v>56839</v>
      </c>
      <c r="W8845" t="s">
        <v>45939</v>
      </c>
      <c r="X8845" t="s">
        <v>47313</v>
      </c>
    </row>
    <row r="8846" spans="1:24">
      <c r="A8846">
        <f>HYPERLINK("https://www.philgeps.gov.ph/GEPSNONPILOT/Tender/SplashBidNoticeAbstractUI.aspx?menuIndex=3&amp;refID=7189444&amp;Result=3","7189444")</f>
        <v>0</v>
      </c>
      <c r="B8846" t="s">
        <v>2783</v>
      </c>
      <c r="C8846" t="s">
        <v>12188</v>
      </c>
      <c r="D8846" t="s">
        <v>19050</v>
      </c>
      <c r="E8846" t="s">
        <v>26657</v>
      </c>
      <c r="F8846" t="s">
        <v>32606</v>
      </c>
      <c r="G8846" t="s">
        <v>32613</v>
      </c>
      <c r="H8846" t="s">
        <v>32623</v>
      </c>
      <c r="I8846" t="s">
        <v>17648</v>
      </c>
      <c r="J8846" t="s">
        <v>38244</v>
      </c>
      <c r="K8846" t="s">
        <v>42648</v>
      </c>
      <c r="M8846" t="s">
        <v>45945</v>
      </c>
      <c r="N8846" t="s">
        <v>47304</v>
      </c>
      <c r="O8846" t="s">
        <v>47305</v>
      </c>
      <c r="P8846">
        <v>0</v>
      </c>
      <c r="Q8846">
        <v>0</v>
      </c>
      <c r="R8846" t="s">
        <v>47312</v>
      </c>
      <c r="S8846" t="s">
        <v>47489</v>
      </c>
      <c r="T8846" t="s">
        <v>49234</v>
      </c>
      <c r="U8846" t="s">
        <v>56853</v>
      </c>
      <c r="V8846" t="s">
        <v>63574</v>
      </c>
      <c r="W8846" t="s">
        <v>45945</v>
      </c>
      <c r="X8846" t="s">
        <v>47313</v>
      </c>
    </row>
    <row r="8847" spans="1:24">
      <c r="A8847">
        <f>HYPERLINK("https://www.philgeps.gov.ph/GEPSNONPILOT/Tender/SplashBidNoticeAbstractUI.aspx?menuIndex=3&amp;refID=7189441&amp;Result=3","7189441")</f>
        <v>0</v>
      </c>
      <c r="B8847" t="s">
        <v>2204</v>
      </c>
      <c r="C8847" t="s">
        <v>12189</v>
      </c>
      <c r="E8847" t="s">
        <v>26658</v>
      </c>
      <c r="F8847" t="s">
        <v>32606</v>
      </c>
      <c r="G8847" t="s">
        <v>32614</v>
      </c>
      <c r="H8847" t="s">
        <v>14201</v>
      </c>
      <c r="I8847" t="s">
        <v>32629</v>
      </c>
      <c r="J8847" t="s">
        <v>38245</v>
      </c>
      <c r="K8847" t="s">
        <v>42624</v>
      </c>
      <c r="M8847" t="s">
        <v>45308</v>
      </c>
      <c r="N8847" t="s">
        <v>47304</v>
      </c>
      <c r="O8847" t="s">
        <v>47305</v>
      </c>
      <c r="Q8847">
        <v>0</v>
      </c>
      <c r="R8847" t="s">
        <v>47312</v>
      </c>
      <c r="S8847" t="s">
        <v>47523</v>
      </c>
      <c r="T8847" t="s">
        <v>49162</v>
      </c>
      <c r="U8847" t="s">
        <v>56854</v>
      </c>
      <c r="W8847" t="s">
        <v>45308</v>
      </c>
      <c r="X8847" t="s">
        <v>47313</v>
      </c>
    </row>
    <row r="8848" spans="1:24">
      <c r="A8848">
        <f>HYPERLINK("https://www.philgeps.gov.ph/GEPSNONPILOT/Tender/SplashBidNoticeAbstractUI.aspx?menuIndex=3&amp;refID=7189440&amp;Result=3","7189440")</f>
        <v>0</v>
      </c>
      <c r="B8848" t="s">
        <v>2706</v>
      </c>
      <c r="C8848" t="s">
        <v>12190</v>
      </c>
      <c r="D8848" t="s">
        <v>19003</v>
      </c>
      <c r="E8848" t="s">
        <v>26659</v>
      </c>
      <c r="F8848" t="s">
        <v>32606</v>
      </c>
      <c r="G8848" t="s">
        <v>32619</v>
      </c>
      <c r="H8848" t="s">
        <v>14201</v>
      </c>
      <c r="I8848" t="s">
        <v>6298</v>
      </c>
      <c r="J8848" t="s">
        <v>32765</v>
      </c>
      <c r="K8848" t="s">
        <v>42629</v>
      </c>
      <c r="M8848" t="s">
        <v>45859</v>
      </c>
      <c r="N8848" t="s">
        <v>47304</v>
      </c>
      <c r="O8848" t="s">
        <v>47305</v>
      </c>
      <c r="P8848">
        <v>0</v>
      </c>
      <c r="Q8848">
        <v>0</v>
      </c>
      <c r="R8848" t="s">
        <v>47312</v>
      </c>
      <c r="S8848" t="s">
        <v>47489</v>
      </c>
      <c r="T8848" t="s">
        <v>49072</v>
      </c>
      <c r="U8848" t="s">
        <v>56855</v>
      </c>
      <c r="W8848" t="s">
        <v>45859</v>
      </c>
      <c r="X8848" t="s">
        <v>47313</v>
      </c>
    </row>
    <row r="8849" spans="1:24">
      <c r="A8849">
        <f>HYPERLINK("https://www.philgeps.gov.ph/GEPSNONPILOT/Tender/SplashBidNoticeAbstractUI.aspx?menuIndex=3&amp;refID=7189474&amp;Result=3","7189474")</f>
        <v>0</v>
      </c>
      <c r="B8849" t="s">
        <v>1632</v>
      </c>
      <c r="C8849" t="s">
        <v>12191</v>
      </c>
      <c r="D8849" t="s">
        <v>18999</v>
      </c>
      <c r="E8849" t="s">
        <v>26660</v>
      </c>
      <c r="F8849" t="s">
        <v>32606</v>
      </c>
      <c r="G8849" t="s">
        <v>32619</v>
      </c>
      <c r="H8849" t="s">
        <v>14201</v>
      </c>
      <c r="I8849" t="s">
        <v>4120</v>
      </c>
      <c r="J8849" t="s">
        <v>33131</v>
      </c>
      <c r="K8849" t="s">
        <v>42624</v>
      </c>
      <c r="M8849" t="s">
        <v>44652</v>
      </c>
      <c r="N8849" t="s">
        <v>47304</v>
      </c>
      <c r="O8849" t="s">
        <v>47305</v>
      </c>
      <c r="P8849">
        <v>0</v>
      </c>
      <c r="Q8849">
        <v>7</v>
      </c>
      <c r="R8849" t="s">
        <v>47312</v>
      </c>
      <c r="S8849" t="s">
        <v>47489</v>
      </c>
      <c r="T8849" t="s">
        <v>49047</v>
      </c>
      <c r="U8849" t="s">
        <v>56856</v>
      </c>
      <c r="V8849" t="s">
        <v>63068</v>
      </c>
      <c r="W8849" t="s">
        <v>44652</v>
      </c>
      <c r="X8849" t="s">
        <v>47313</v>
      </c>
    </row>
    <row r="8850" spans="1:24">
      <c r="A8850">
        <f>HYPERLINK("https://www.philgeps.gov.ph/GEPSNONPILOT/Tender/SplashBidNoticeAbstractUI.aspx?menuIndex=3&amp;refID=7189457&amp;Result=3","7189457")</f>
        <v>0</v>
      </c>
      <c r="B8850" t="s">
        <v>2761</v>
      </c>
      <c r="C8850" t="s">
        <v>12192</v>
      </c>
      <c r="D8850" t="s">
        <v>19014</v>
      </c>
      <c r="E8850" t="s">
        <v>26661</v>
      </c>
      <c r="F8850" t="s">
        <v>32606</v>
      </c>
      <c r="G8850" t="s">
        <v>32617</v>
      </c>
      <c r="H8850" t="s">
        <v>14201</v>
      </c>
      <c r="I8850" t="s">
        <v>4120</v>
      </c>
      <c r="J8850" t="s">
        <v>38246</v>
      </c>
      <c r="K8850" t="s">
        <v>42631</v>
      </c>
      <c r="M8850" t="s">
        <v>45919</v>
      </c>
      <c r="N8850" t="s">
        <v>47304</v>
      </c>
      <c r="O8850" t="s">
        <v>47305</v>
      </c>
      <c r="P8850">
        <v>0</v>
      </c>
      <c r="Q8850">
        <v>8</v>
      </c>
      <c r="R8850" t="s">
        <v>47312</v>
      </c>
      <c r="S8850" t="s">
        <v>47489</v>
      </c>
      <c r="T8850" t="s">
        <v>49004</v>
      </c>
      <c r="U8850" t="s">
        <v>56776</v>
      </c>
      <c r="W8850" t="s">
        <v>45919</v>
      </c>
      <c r="X8850" t="s">
        <v>47313</v>
      </c>
    </row>
    <row r="8851" spans="1:24">
      <c r="A8851">
        <f>HYPERLINK("https://www.philgeps.gov.ph/GEPSNONPILOT/Tender/SplashBidNoticeAbstractUI.aspx?menuIndex=3&amp;refID=7189471&amp;Result=3","7189471")</f>
        <v>0</v>
      </c>
      <c r="B8851" t="s">
        <v>2778</v>
      </c>
      <c r="C8851" t="s">
        <v>12193</v>
      </c>
      <c r="D8851" t="s">
        <v>19011</v>
      </c>
      <c r="E8851" t="s">
        <v>26662</v>
      </c>
      <c r="F8851" t="s">
        <v>32606</v>
      </c>
      <c r="G8851" t="s">
        <v>32614</v>
      </c>
      <c r="H8851" t="s">
        <v>14201</v>
      </c>
      <c r="I8851" t="s">
        <v>4678</v>
      </c>
      <c r="J8851" t="s">
        <v>35335</v>
      </c>
      <c r="K8851" t="s">
        <v>42624</v>
      </c>
      <c r="M8851" t="s">
        <v>45940</v>
      </c>
      <c r="N8851" t="s">
        <v>47304</v>
      </c>
      <c r="O8851" t="s">
        <v>47305</v>
      </c>
      <c r="P8851">
        <v>0</v>
      </c>
      <c r="Q8851">
        <v>3</v>
      </c>
      <c r="R8851" t="s">
        <v>47312</v>
      </c>
      <c r="S8851" t="s">
        <v>47489</v>
      </c>
      <c r="T8851" t="s">
        <v>48997</v>
      </c>
      <c r="U8851" t="s">
        <v>56857</v>
      </c>
      <c r="W8851" t="s">
        <v>45940</v>
      </c>
      <c r="X8851" t="s">
        <v>47313</v>
      </c>
    </row>
    <row r="8852" spans="1:24">
      <c r="A8852">
        <f>HYPERLINK("https://www.philgeps.gov.ph/GEPSNONPILOT/Tender/SplashBidNoticeAbstractUI.aspx?menuIndex=3&amp;refID=7189462&amp;Result=3","7189462")</f>
        <v>0</v>
      </c>
      <c r="B8852" t="s">
        <v>2784</v>
      </c>
      <c r="C8852" t="s">
        <v>12194</v>
      </c>
      <c r="D8852" t="s">
        <v>19039</v>
      </c>
      <c r="E8852" t="s">
        <v>26663</v>
      </c>
      <c r="F8852" t="s">
        <v>32606</v>
      </c>
      <c r="G8852" t="s">
        <v>32613</v>
      </c>
      <c r="H8852" t="s">
        <v>32623</v>
      </c>
      <c r="I8852" t="s">
        <v>17648</v>
      </c>
      <c r="J8852" t="s">
        <v>32789</v>
      </c>
      <c r="K8852" t="s">
        <v>42622</v>
      </c>
      <c r="M8852" t="s">
        <v>45946</v>
      </c>
      <c r="N8852" t="s">
        <v>47304</v>
      </c>
      <c r="O8852" t="s">
        <v>47305</v>
      </c>
      <c r="P8852">
        <v>0</v>
      </c>
      <c r="Q8852">
        <v>0</v>
      </c>
      <c r="R8852" t="s">
        <v>47312</v>
      </c>
      <c r="S8852" t="s">
        <v>47489</v>
      </c>
      <c r="T8852" t="s">
        <v>48998</v>
      </c>
      <c r="U8852" t="s">
        <v>56858</v>
      </c>
      <c r="W8852" t="s">
        <v>45946</v>
      </c>
      <c r="X8852" t="s">
        <v>47313</v>
      </c>
    </row>
    <row r="8853" spans="1:24">
      <c r="A8853">
        <f>HYPERLINK("https://www.philgeps.gov.ph/GEPSNONPILOT/Tender/SplashBidNoticeAbstractUI.aspx?menuIndex=3&amp;refID=7189461&amp;Result=3","7189461")</f>
        <v>0</v>
      </c>
      <c r="B8853" t="s">
        <v>2783</v>
      </c>
      <c r="C8853" t="s">
        <v>12195</v>
      </c>
      <c r="D8853" t="s">
        <v>19050</v>
      </c>
      <c r="E8853" t="s">
        <v>26664</v>
      </c>
      <c r="F8853" t="s">
        <v>32606</v>
      </c>
      <c r="G8853" t="s">
        <v>32613</v>
      </c>
      <c r="H8853" t="s">
        <v>32623</v>
      </c>
      <c r="I8853" t="s">
        <v>17648</v>
      </c>
      <c r="J8853" t="s">
        <v>38247</v>
      </c>
      <c r="K8853" t="s">
        <v>42636</v>
      </c>
      <c r="M8853" t="s">
        <v>45945</v>
      </c>
      <c r="N8853" t="s">
        <v>47304</v>
      </c>
      <c r="O8853" t="s">
        <v>47305</v>
      </c>
      <c r="P8853">
        <v>0</v>
      </c>
      <c r="Q8853">
        <v>0</v>
      </c>
      <c r="R8853" t="s">
        <v>47312</v>
      </c>
      <c r="S8853" t="s">
        <v>47489</v>
      </c>
      <c r="T8853" t="s">
        <v>49234</v>
      </c>
      <c r="U8853" t="s">
        <v>56853</v>
      </c>
      <c r="V8853" t="s">
        <v>63575</v>
      </c>
      <c r="W8853" t="s">
        <v>45945</v>
      </c>
      <c r="X8853" t="s">
        <v>47313</v>
      </c>
    </row>
    <row r="8854" spans="1:24">
      <c r="A8854">
        <f>HYPERLINK("https://www.philgeps.gov.ph/GEPSNONPILOT/Tender/SplashBidNoticeAbstractUI.aspx?menuIndex=3&amp;refID=7189459&amp;Result=3","7189459")</f>
        <v>0</v>
      </c>
      <c r="B8854" t="s">
        <v>2204</v>
      </c>
      <c r="C8854" t="s">
        <v>12196</v>
      </c>
      <c r="E8854" t="s">
        <v>26665</v>
      </c>
      <c r="F8854" t="s">
        <v>32606</v>
      </c>
      <c r="G8854" t="s">
        <v>32614</v>
      </c>
      <c r="H8854" t="s">
        <v>14201</v>
      </c>
      <c r="I8854" t="s">
        <v>32629</v>
      </c>
      <c r="J8854" t="s">
        <v>32981</v>
      </c>
      <c r="K8854" t="s">
        <v>42624</v>
      </c>
      <c r="M8854" t="s">
        <v>45308</v>
      </c>
      <c r="N8854" t="s">
        <v>47304</v>
      </c>
      <c r="O8854" t="s">
        <v>47305</v>
      </c>
      <c r="Q8854">
        <v>0</v>
      </c>
      <c r="R8854" t="s">
        <v>47312</v>
      </c>
      <c r="S8854" t="s">
        <v>47524</v>
      </c>
      <c r="T8854" t="s">
        <v>49162</v>
      </c>
      <c r="U8854" t="s">
        <v>56859</v>
      </c>
      <c r="W8854" t="s">
        <v>45308</v>
      </c>
      <c r="X8854" t="s">
        <v>47313</v>
      </c>
    </row>
    <row r="8855" spans="1:24">
      <c r="A8855">
        <f>HYPERLINK("https://www.philgeps.gov.ph/GEPSNONPILOT/Tender/SplashBidNoticeAbstractUI.aspx?menuIndex=3&amp;refID=7189481&amp;Result=3","7189481")</f>
        <v>0</v>
      </c>
      <c r="B8855" t="s">
        <v>2774</v>
      </c>
      <c r="C8855" t="s">
        <v>12197</v>
      </c>
      <c r="D8855" t="s">
        <v>19010</v>
      </c>
      <c r="E8855" t="s">
        <v>26666</v>
      </c>
      <c r="F8855" t="s">
        <v>32606</v>
      </c>
      <c r="G8855" t="s">
        <v>32613</v>
      </c>
      <c r="H8855" t="s">
        <v>14201</v>
      </c>
      <c r="I8855" t="s">
        <v>6931</v>
      </c>
      <c r="J8855" t="s">
        <v>32765</v>
      </c>
      <c r="K8855" t="s">
        <v>42630</v>
      </c>
      <c r="M8855" t="s">
        <v>45936</v>
      </c>
      <c r="N8855" t="s">
        <v>47304</v>
      </c>
      <c r="O8855" t="s">
        <v>47305</v>
      </c>
      <c r="P8855">
        <v>0</v>
      </c>
      <c r="Q8855">
        <v>1</v>
      </c>
      <c r="R8855" t="s">
        <v>47312</v>
      </c>
      <c r="S8855" t="s">
        <v>47489</v>
      </c>
      <c r="T8855" t="s">
        <v>49012</v>
      </c>
      <c r="U8855" t="s">
        <v>56860</v>
      </c>
      <c r="W8855" t="s">
        <v>45936</v>
      </c>
      <c r="X8855" t="s">
        <v>47313</v>
      </c>
    </row>
    <row r="8856" spans="1:24">
      <c r="A8856">
        <f>HYPERLINK("https://www.philgeps.gov.ph/GEPSNONPILOT/Tender/SplashBidNoticeAbstractUI.aspx?menuIndex=3&amp;refID=7189470&amp;Result=3","7189470")</f>
        <v>0</v>
      </c>
      <c r="B8856" t="s">
        <v>2568</v>
      </c>
      <c r="C8856" t="s">
        <v>12198</v>
      </c>
      <c r="D8856" t="s">
        <v>19038</v>
      </c>
      <c r="E8856" t="s">
        <v>19380</v>
      </c>
      <c r="F8856" t="s">
        <v>32606</v>
      </c>
      <c r="G8856" t="s">
        <v>32615</v>
      </c>
      <c r="H8856" t="s">
        <v>14201</v>
      </c>
      <c r="I8856" t="s">
        <v>6931</v>
      </c>
      <c r="J8856" t="s">
        <v>38248</v>
      </c>
      <c r="K8856" t="s">
        <v>42624</v>
      </c>
      <c r="M8856" t="s">
        <v>45708</v>
      </c>
      <c r="N8856" t="s">
        <v>47304</v>
      </c>
      <c r="O8856" t="s">
        <v>47305</v>
      </c>
      <c r="P8856">
        <v>0</v>
      </c>
      <c r="Q8856">
        <v>0</v>
      </c>
      <c r="R8856" t="s">
        <v>47312</v>
      </c>
      <c r="S8856" t="s">
        <v>47489</v>
      </c>
      <c r="T8856" t="s">
        <v>49087</v>
      </c>
      <c r="U8856" t="s">
        <v>56861</v>
      </c>
      <c r="W8856" t="s">
        <v>45708</v>
      </c>
      <c r="X8856" t="s">
        <v>47313</v>
      </c>
    </row>
    <row r="8857" spans="1:24">
      <c r="A8857">
        <f>HYPERLINK("https://www.philgeps.gov.ph/GEPSNONPILOT/Tender/SplashBidNoticeAbstractUI.aspx?menuIndex=3&amp;refID=7189467&amp;Result=3","7189467")</f>
        <v>0</v>
      </c>
      <c r="B8857" t="s">
        <v>1014</v>
      </c>
      <c r="C8857" t="s">
        <v>12199</v>
      </c>
      <c r="D8857" t="s">
        <v>18989</v>
      </c>
      <c r="E8857" t="s">
        <v>26667</v>
      </c>
      <c r="F8857" t="s">
        <v>32606</v>
      </c>
      <c r="G8857" t="s">
        <v>32614</v>
      </c>
      <c r="H8857" t="s">
        <v>14201</v>
      </c>
      <c r="I8857" t="s">
        <v>4112</v>
      </c>
      <c r="J8857" t="s">
        <v>38198</v>
      </c>
      <c r="K8857" t="s">
        <v>42646</v>
      </c>
      <c r="M8857" t="s">
        <v>44868</v>
      </c>
      <c r="N8857" t="s">
        <v>47304</v>
      </c>
      <c r="O8857" t="s">
        <v>47305</v>
      </c>
      <c r="P8857">
        <v>0</v>
      </c>
      <c r="Q8857">
        <v>2</v>
      </c>
      <c r="R8857" t="s">
        <v>47312</v>
      </c>
      <c r="S8857" t="s">
        <v>47489</v>
      </c>
      <c r="T8857" t="s">
        <v>49019</v>
      </c>
      <c r="U8857" t="s">
        <v>56862</v>
      </c>
      <c r="W8857" t="s">
        <v>44868</v>
      </c>
      <c r="X8857" t="s">
        <v>47313</v>
      </c>
    </row>
    <row r="8858" spans="1:24">
      <c r="A8858">
        <f>HYPERLINK("https://www.philgeps.gov.ph/GEPSNONPILOT/Tender/SplashBidNoticeAbstractUI.aspx?menuIndex=3&amp;refID=7189501&amp;Result=3","7189501")</f>
        <v>0</v>
      </c>
      <c r="B8858" t="s">
        <v>2783</v>
      </c>
      <c r="C8858" t="s">
        <v>12200</v>
      </c>
      <c r="D8858" t="s">
        <v>19050</v>
      </c>
      <c r="E8858" t="s">
        <v>26668</v>
      </c>
      <c r="F8858" t="s">
        <v>32606</v>
      </c>
      <c r="G8858" t="s">
        <v>32613</v>
      </c>
      <c r="H8858" t="s">
        <v>32623</v>
      </c>
      <c r="I8858" t="s">
        <v>17648</v>
      </c>
      <c r="J8858" t="s">
        <v>38249</v>
      </c>
      <c r="K8858" t="s">
        <v>42824</v>
      </c>
      <c r="M8858" t="s">
        <v>45945</v>
      </c>
      <c r="N8858" t="s">
        <v>47304</v>
      </c>
      <c r="O8858" t="s">
        <v>47305</v>
      </c>
      <c r="P8858">
        <v>0</v>
      </c>
      <c r="Q8858">
        <v>0</v>
      </c>
      <c r="R8858" t="s">
        <v>47312</v>
      </c>
      <c r="S8858" t="s">
        <v>47489</v>
      </c>
      <c r="T8858" t="s">
        <v>49234</v>
      </c>
      <c r="U8858" t="s">
        <v>56853</v>
      </c>
      <c r="V8858" t="s">
        <v>63576</v>
      </c>
      <c r="W8858" t="s">
        <v>45945</v>
      </c>
      <c r="X8858" t="s">
        <v>47313</v>
      </c>
    </row>
    <row r="8859" spans="1:24">
      <c r="A8859">
        <f>HYPERLINK("https://www.philgeps.gov.ph/GEPSNONPILOT/Tender/SplashBidNoticeAbstractUI.aspx?menuIndex=3&amp;refID=7189497&amp;Result=3","7189497")</f>
        <v>0</v>
      </c>
      <c r="B8859" t="s">
        <v>2785</v>
      </c>
      <c r="C8859" t="s">
        <v>12201</v>
      </c>
      <c r="D8859" t="s">
        <v>19040</v>
      </c>
      <c r="E8859" t="s">
        <v>23530</v>
      </c>
      <c r="F8859" t="s">
        <v>32606</v>
      </c>
      <c r="G8859" t="s">
        <v>32614</v>
      </c>
      <c r="H8859" t="s">
        <v>14201</v>
      </c>
      <c r="I8859" t="s">
        <v>32686</v>
      </c>
      <c r="J8859" t="s">
        <v>38250</v>
      </c>
      <c r="K8859" t="s">
        <v>42631</v>
      </c>
      <c r="M8859" t="s">
        <v>45947</v>
      </c>
      <c r="N8859" t="s">
        <v>47304</v>
      </c>
      <c r="O8859" t="s">
        <v>47305</v>
      </c>
      <c r="P8859">
        <v>0</v>
      </c>
      <c r="Q8859">
        <v>5</v>
      </c>
      <c r="R8859" t="s">
        <v>47312</v>
      </c>
      <c r="S8859" t="s">
        <v>47489</v>
      </c>
      <c r="T8859" t="s">
        <v>49071</v>
      </c>
      <c r="U8859" t="s">
        <v>56863</v>
      </c>
      <c r="V8859" t="s">
        <v>63577</v>
      </c>
      <c r="W8859" t="s">
        <v>45947</v>
      </c>
      <c r="X8859" t="s">
        <v>47313</v>
      </c>
    </row>
    <row r="8860" spans="1:24">
      <c r="A8860">
        <f>HYPERLINK("https://www.philgeps.gov.ph/GEPSNONPILOT/Tender/SplashBidNoticeAbstractUI.aspx?menuIndex=3&amp;refID=7189495&amp;Result=3","7189495")</f>
        <v>0</v>
      </c>
      <c r="B8860" t="s">
        <v>1632</v>
      </c>
      <c r="C8860" t="s">
        <v>12202</v>
      </c>
      <c r="D8860" t="s">
        <v>18999</v>
      </c>
      <c r="E8860" t="s">
        <v>26669</v>
      </c>
      <c r="F8860" t="s">
        <v>32606</v>
      </c>
      <c r="G8860" t="s">
        <v>32619</v>
      </c>
      <c r="H8860" t="s">
        <v>14201</v>
      </c>
      <c r="I8860" t="s">
        <v>32633</v>
      </c>
      <c r="J8860" t="s">
        <v>38251</v>
      </c>
      <c r="K8860" t="s">
        <v>42624</v>
      </c>
      <c r="M8860" t="s">
        <v>44652</v>
      </c>
      <c r="N8860" t="s">
        <v>47304</v>
      </c>
      <c r="O8860" t="s">
        <v>47305</v>
      </c>
      <c r="P8860">
        <v>0</v>
      </c>
      <c r="Q8860">
        <v>10</v>
      </c>
      <c r="R8860" t="s">
        <v>47312</v>
      </c>
      <c r="S8860" t="s">
        <v>47489</v>
      </c>
      <c r="T8860" t="s">
        <v>49047</v>
      </c>
      <c r="U8860" t="s">
        <v>56864</v>
      </c>
      <c r="V8860" t="s">
        <v>63068</v>
      </c>
      <c r="W8860" t="s">
        <v>44652</v>
      </c>
      <c r="X8860" t="s">
        <v>47313</v>
      </c>
    </row>
    <row r="8861" spans="1:24">
      <c r="A8861">
        <f>HYPERLINK("https://www.philgeps.gov.ph/GEPSNONPILOT/Tender/SplashBidNoticeAbstractUI.aspx?menuIndex=3&amp;refID=7189494&amp;Result=3","7189494")</f>
        <v>0</v>
      </c>
      <c r="B8861" t="s">
        <v>903</v>
      </c>
      <c r="C8861" t="s">
        <v>12203</v>
      </c>
      <c r="D8861" t="s">
        <v>19053</v>
      </c>
      <c r="E8861" t="s">
        <v>12203</v>
      </c>
      <c r="F8861" t="s">
        <v>32606</v>
      </c>
      <c r="G8861" t="s">
        <v>32613</v>
      </c>
      <c r="H8861" t="s">
        <v>14201</v>
      </c>
      <c r="I8861" t="s">
        <v>7064</v>
      </c>
      <c r="J8861" t="s">
        <v>38252</v>
      </c>
      <c r="K8861" t="s">
        <v>42631</v>
      </c>
      <c r="M8861" t="s">
        <v>43840</v>
      </c>
      <c r="N8861" t="s">
        <v>47304</v>
      </c>
      <c r="O8861" t="s">
        <v>47305</v>
      </c>
      <c r="P8861">
        <v>0</v>
      </c>
      <c r="Q8861">
        <v>2</v>
      </c>
      <c r="R8861" t="s">
        <v>47312</v>
      </c>
      <c r="S8861" t="s">
        <v>47489</v>
      </c>
      <c r="T8861" t="s">
        <v>49119</v>
      </c>
      <c r="U8861" t="s">
        <v>56865</v>
      </c>
      <c r="W8861" t="s">
        <v>43840</v>
      </c>
      <c r="X8861" t="s">
        <v>47313</v>
      </c>
    </row>
    <row r="8862" spans="1:24">
      <c r="A8862">
        <f>HYPERLINK("https://www.philgeps.gov.ph/GEPSNONPILOT/Tender/SplashBidNoticeAbstractUI.aspx?menuIndex=3&amp;refID=7189492&amp;Result=3","7189492")</f>
        <v>0</v>
      </c>
      <c r="B8862" t="s">
        <v>231</v>
      </c>
      <c r="C8862" t="s">
        <v>6298</v>
      </c>
      <c r="D8862" t="s">
        <v>18993</v>
      </c>
      <c r="E8862" t="s">
        <v>26670</v>
      </c>
      <c r="F8862" t="s">
        <v>32606</v>
      </c>
      <c r="G8862" t="s">
        <v>32613</v>
      </c>
      <c r="H8862" t="s">
        <v>14201</v>
      </c>
      <c r="I8862" t="s">
        <v>6298</v>
      </c>
      <c r="J8862" t="s">
        <v>38253</v>
      </c>
      <c r="K8862" t="s">
        <v>42624</v>
      </c>
      <c r="M8862" t="s">
        <v>43132</v>
      </c>
      <c r="N8862" t="s">
        <v>47304</v>
      </c>
      <c r="O8862" t="s">
        <v>47305</v>
      </c>
      <c r="P8862">
        <v>0</v>
      </c>
      <c r="Q8862">
        <v>5</v>
      </c>
      <c r="R8862" t="s">
        <v>47312</v>
      </c>
      <c r="S8862" t="s">
        <v>47489</v>
      </c>
      <c r="T8862" t="s">
        <v>49257</v>
      </c>
      <c r="U8862" t="s">
        <v>56866</v>
      </c>
      <c r="W8862" t="s">
        <v>43132</v>
      </c>
      <c r="X8862" t="s">
        <v>47313</v>
      </c>
    </row>
    <row r="8863" spans="1:24">
      <c r="A8863">
        <f>HYPERLINK("https://www.philgeps.gov.ph/GEPSNONPILOT/Tender/SplashBidNoticeAbstractUI.aspx?menuIndex=3&amp;refID=7189515&amp;Result=3","7189515")</f>
        <v>0</v>
      </c>
      <c r="B8863" t="s">
        <v>1914</v>
      </c>
      <c r="C8863" t="s">
        <v>12204</v>
      </c>
      <c r="D8863" t="s">
        <v>19047</v>
      </c>
      <c r="E8863" t="s">
        <v>26671</v>
      </c>
      <c r="F8863" t="s">
        <v>32606</v>
      </c>
      <c r="G8863" t="s">
        <v>32613</v>
      </c>
      <c r="H8863" t="s">
        <v>14201</v>
      </c>
      <c r="I8863" t="s">
        <v>7064</v>
      </c>
      <c r="J8863" t="s">
        <v>33231</v>
      </c>
      <c r="K8863" t="s">
        <v>42631</v>
      </c>
      <c r="M8863" t="s">
        <v>44973</v>
      </c>
      <c r="N8863" t="s">
        <v>47304</v>
      </c>
      <c r="O8863" t="s">
        <v>47305</v>
      </c>
      <c r="P8863">
        <v>0</v>
      </c>
      <c r="Q8863">
        <v>1</v>
      </c>
      <c r="R8863" t="s">
        <v>47312</v>
      </c>
      <c r="S8863" t="s">
        <v>47489</v>
      </c>
      <c r="T8863" t="s">
        <v>49234</v>
      </c>
      <c r="U8863" t="s">
        <v>56867</v>
      </c>
      <c r="W8863" t="s">
        <v>44973</v>
      </c>
      <c r="X8863" t="s">
        <v>47313</v>
      </c>
    </row>
    <row r="8864" spans="1:24">
      <c r="A8864">
        <f>HYPERLINK("https://www.philgeps.gov.ph/GEPSNONPILOT/Tender/SplashBidNoticeAbstractUI.aspx?menuIndex=3&amp;refID=7189510&amp;Result=3","7189510")</f>
        <v>0</v>
      </c>
      <c r="B8864" t="s">
        <v>2490</v>
      </c>
      <c r="C8864" t="s">
        <v>12205</v>
      </c>
      <c r="D8864" t="s">
        <v>19006</v>
      </c>
      <c r="E8864" t="s">
        <v>26672</v>
      </c>
      <c r="F8864" t="s">
        <v>32606</v>
      </c>
      <c r="G8864" t="s">
        <v>32614</v>
      </c>
      <c r="H8864" t="s">
        <v>14201</v>
      </c>
      <c r="I8864" t="s">
        <v>6931</v>
      </c>
      <c r="J8864" t="s">
        <v>38254</v>
      </c>
      <c r="K8864" t="s">
        <v>42666</v>
      </c>
      <c r="M8864" t="s">
        <v>45627</v>
      </c>
      <c r="N8864" t="s">
        <v>47304</v>
      </c>
      <c r="O8864" t="s">
        <v>47305</v>
      </c>
      <c r="P8864">
        <v>0</v>
      </c>
      <c r="Q8864">
        <v>1</v>
      </c>
      <c r="R8864" t="s">
        <v>47312</v>
      </c>
      <c r="S8864" t="s">
        <v>47489</v>
      </c>
      <c r="T8864" t="s">
        <v>49269</v>
      </c>
      <c r="U8864" t="s">
        <v>56868</v>
      </c>
      <c r="W8864" t="s">
        <v>45627</v>
      </c>
      <c r="X8864" t="s">
        <v>47313</v>
      </c>
    </row>
    <row r="8865" spans="1:24">
      <c r="A8865">
        <f>HYPERLINK("https://www.philgeps.gov.ph/GEPSNONPILOT/Tender/SplashBidNoticeAbstractUI.aspx?menuIndex=3&amp;refID=7189509&amp;Result=3","7189509")</f>
        <v>0</v>
      </c>
      <c r="B8865" t="s">
        <v>1262</v>
      </c>
      <c r="C8865" t="s">
        <v>12206</v>
      </c>
      <c r="D8865" t="s">
        <v>19021</v>
      </c>
      <c r="E8865" t="s">
        <v>26673</v>
      </c>
      <c r="F8865" t="s">
        <v>32606</v>
      </c>
      <c r="G8865" t="s">
        <v>32613</v>
      </c>
      <c r="H8865" t="s">
        <v>14201</v>
      </c>
      <c r="I8865" t="s">
        <v>32660</v>
      </c>
      <c r="J8865" t="s">
        <v>34381</v>
      </c>
      <c r="K8865" t="s">
        <v>42631</v>
      </c>
      <c r="M8865" t="s">
        <v>44230</v>
      </c>
      <c r="N8865" t="s">
        <v>47304</v>
      </c>
      <c r="O8865" t="s">
        <v>47305</v>
      </c>
      <c r="P8865">
        <v>0</v>
      </c>
      <c r="Q8865">
        <v>0</v>
      </c>
      <c r="R8865" t="s">
        <v>47312</v>
      </c>
      <c r="S8865" t="s">
        <v>47489</v>
      </c>
      <c r="T8865" t="s">
        <v>48997</v>
      </c>
      <c r="U8865" t="s">
        <v>56869</v>
      </c>
      <c r="V8865" t="s">
        <v>63257</v>
      </c>
      <c r="W8865" t="s">
        <v>44230</v>
      </c>
      <c r="X8865" t="s">
        <v>47313</v>
      </c>
    </row>
    <row r="8866" spans="1:24">
      <c r="A8866">
        <f>HYPERLINK("https://www.philgeps.gov.ph/GEPSNONPILOT/Tender/SplashBidNoticeAbstractUI.aspx?menuIndex=3&amp;refID=7189496&amp;Result=3","7189496")</f>
        <v>0</v>
      </c>
      <c r="B8866" t="s">
        <v>2786</v>
      </c>
      <c r="C8866" t="s">
        <v>12207</v>
      </c>
      <c r="D8866" t="s">
        <v>19067</v>
      </c>
      <c r="E8866" t="s">
        <v>26674</v>
      </c>
      <c r="F8866" t="s">
        <v>32606</v>
      </c>
      <c r="G8866" t="s">
        <v>32613</v>
      </c>
      <c r="H8866" t="s">
        <v>32623</v>
      </c>
      <c r="I8866" t="s">
        <v>6931</v>
      </c>
      <c r="J8866" t="s">
        <v>32923</v>
      </c>
      <c r="K8866" t="s">
        <v>42631</v>
      </c>
      <c r="M8866" t="s">
        <v>45948</v>
      </c>
      <c r="N8866" t="s">
        <v>47304</v>
      </c>
      <c r="O8866" t="s">
        <v>47305</v>
      </c>
      <c r="P8866">
        <v>0</v>
      </c>
      <c r="Q8866">
        <v>0</v>
      </c>
      <c r="R8866" t="s">
        <v>47312</v>
      </c>
      <c r="S8866" t="s">
        <v>47489</v>
      </c>
      <c r="T8866" t="s">
        <v>48980</v>
      </c>
      <c r="U8866" t="s">
        <v>56870</v>
      </c>
      <c r="W8866" t="s">
        <v>45948</v>
      </c>
      <c r="X8866" t="s">
        <v>47313</v>
      </c>
    </row>
    <row r="8867" spans="1:24">
      <c r="A8867">
        <f>HYPERLINK("https://www.philgeps.gov.ph/GEPSNONPILOT/Tender/SplashBidNoticeAbstractUI.aspx?menuIndex=3&amp;refID=7189506&amp;Result=3","7189506")</f>
        <v>0</v>
      </c>
      <c r="B8867" t="s">
        <v>2787</v>
      </c>
      <c r="C8867" t="s">
        <v>12208</v>
      </c>
      <c r="D8867" t="s">
        <v>19014</v>
      </c>
      <c r="E8867" t="s">
        <v>26675</v>
      </c>
      <c r="F8867" t="s">
        <v>32606</v>
      </c>
      <c r="G8867" t="s">
        <v>32614</v>
      </c>
      <c r="H8867" t="s">
        <v>14201</v>
      </c>
      <c r="I8867" t="s">
        <v>32696</v>
      </c>
      <c r="J8867" t="s">
        <v>33441</v>
      </c>
      <c r="K8867" t="s">
        <v>42624</v>
      </c>
      <c r="M8867" t="s">
        <v>45949</v>
      </c>
      <c r="N8867" t="s">
        <v>47304</v>
      </c>
      <c r="O8867" t="s">
        <v>47305</v>
      </c>
      <c r="P8867">
        <v>0</v>
      </c>
      <c r="Q8867">
        <v>1</v>
      </c>
      <c r="R8867" t="s">
        <v>47312</v>
      </c>
      <c r="S8867" t="s">
        <v>47489</v>
      </c>
      <c r="T8867" t="s">
        <v>49165</v>
      </c>
      <c r="U8867" t="s">
        <v>56871</v>
      </c>
      <c r="W8867" t="s">
        <v>45949</v>
      </c>
      <c r="X8867" t="s">
        <v>47313</v>
      </c>
    </row>
    <row r="8868" spans="1:24">
      <c r="A8868">
        <f>HYPERLINK("https://www.philgeps.gov.ph/GEPSNONPILOT/Tender/SplashBidNoticeAbstractUI.aspx?menuIndex=3&amp;refID=7189456&amp;Result=3","7189456")</f>
        <v>0</v>
      </c>
      <c r="B8868" t="s">
        <v>2517</v>
      </c>
      <c r="C8868" t="s">
        <v>12209</v>
      </c>
      <c r="D8868" t="s">
        <v>19054</v>
      </c>
      <c r="E8868" t="s">
        <v>26676</v>
      </c>
      <c r="F8868" t="s">
        <v>32606</v>
      </c>
      <c r="G8868" t="s">
        <v>32614</v>
      </c>
      <c r="H8868" t="s">
        <v>32625</v>
      </c>
      <c r="I8868" t="s">
        <v>32625</v>
      </c>
      <c r="J8868" t="s">
        <v>38255</v>
      </c>
      <c r="K8868" t="s">
        <v>42627</v>
      </c>
      <c r="M8868" t="s">
        <v>45658</v>
      </c>
      <c r="N8868" t="s">
        <v>47304</v>
      </c>
      <c r="O8868" t="s">
        <v>47305</v>
      </c>
      <c r="P8868">
        <v>0</v>
      </c>
      <c r="Q8868">
        <v>2</v>
      </c>
      <c r="R8868" t="s">
        <v>47312</v>
      </c>
      <c r="S8868" t="s">
        <v>47489</v>
      </c>
      <c r="T8868" t="s">
        <v>49053</v>
      </c>
      <c r="U8868" t="s">
        <v>56872</v>
      </c>
      <c r="V8868" t="s">
        <v>63578</v>
      </c>
      <c r="W8868" t="s">
        <v>45658</v>
      </c>
      <c r="X8868" t="s">
        <v>47313</v>
      </c>
    </row>
    <row r="8869" spans="1:24">
      <c r="A8869">
        <f>HYPERLINK("https://www.philgeps.gov.ph/GEPSNONPILOT/Tender/SplashBidNoticeAbstractUI.aspx?menuIndex=3&amp;refID=7189502&amp;Result=3","7189502")</f>
        <v>0</v>
      </c>
      <c r="B8869" t="s">
        <v>723</v>
      </c>
      <c r="C8869" t="s">
        <v>12210</v>
      </c>
      <c r="D8869" t="s">
        <v>18994</v>
      </c>
      <c r="E8869" t="s">
        <v>26677</v>
      </c>
      <c r="F8869" t="s">
        <v>32606</v>
      </c>
      <c r="G8869" t="s">
        <v>32614</v>
      </c>
      <c r="H8869" t="s">
        <v>14201</v>
      </c>
      <c r="I8869" t="s">
        <v>13131</v>
      </c>
      <c r="J8869" t="s">
        <v>33441</v>
      </c>
      <c r="K8869" t="s">
        <v>42630</v>
      </c>
      <c r="M8869" t="s">
        <v>43644</v>
      </c>
      <c r="N8869" t="s">
        <v>47304</v>
      </c>
      <c r="O8869" t="s">
        <v>47305</v>
      </c>
      <c r="P8869">
        <v>0</v>
      </c>
      <c r="Q8869">
        <v>2</v>
      </c>
      <c r="R8869" t="s">
        <v>47312</v>
      </c>
      <c r="S8869" t="s">
        <v>47489</v>
      </c>
      <c r="T8869" t="s">
        <v>49331</v>
      </c>
      <c r="U8869" t="s">
        <v>50845</v>
      </c>
      <c r="W8869" t="s">
        <v>43644</v>
      </c>
      <c r="X8869" t="s">
        <v>47313</v>
      </c>
    </row>
    <row r="8870" spans="1:24">
      <c r="A8870">
        <f>HYPERLINK("https://www.philgeps.gov.ph/GEPSNONPILOT/Tender/SplashBidNoticeAbstractUI.aspx?menuIndex=3&amp;refID=7189503&amp;Result=3","7189503")</f>
        <v>0</v>
      </c>
      <c r="B8870" t="s">
        <v>2788</v>
      </c>
      <c r="C8870" t="s">
        <v>12211</v>
      </c>
      <c r="D8870" t="s">
        <v>18997</v>
      </c>
      <c r="E8870" t="s">
        <v>26678</v>
      </c>
      <c r="F8870" t="s">
        <v>32606</v>
      </c>
      <c r="G8870" t="s">
        <v>32615</v>
      </c>
      <c r="H8870" t="s">
        <v>14201</v>
      </c>
      <c r="I8870" t="s">
        <v>4678</v>
      </c>
      <c r="J8870" t="s">
        <v>32981</v>
      </c>
      <c r="K8870" t="s">
        <v>42624</v>
      </c>
      <c r="M8870" t="s">
        <v>45950</v>
      </c>
      <c r="N8870" t="s">
        <v>47304</v>
      </c>
      <c r="O8870" t="s">
        <v>47305</v>
      </c>
      <c r="P8870">
        <v>0</v>
      </c>
      <c r="Q8870">
        <v>0</v>
      </c>
      <c r="R8870" t="s">
        <v>47312</v>
      </c>
      <c r="S8870" t="s">
        <v>47489</v>
      </c>
      <c r="T8870" t="s">
        <v>49018</v>
      </c>
      <c r="U8870" t="s">
        <v>56873</v>
      </c>
      <c r="W8870" t="s">
        <v>45950</v>
      </c>
      <c r="X8870" t="s">
        <v>47313</v>
      </c>
    </row>
    <row r="8871" spans="1:24">
      <c r="A8871">
        <f>HYPERLINK("https://www.philgeps.gov.ph/GEPSNONPILOT/Tender/SplashBidNoticeAbstractUI.aspx?menuIndex=3&amp;refID=7189489&amp;Result=3","7189489")</f>
        <v>0</v>
      </c>
      <c r="B8871" t="s">
        <v>2784</v>
      </c>
      <c r="C8871" t="s">
        <v>12212</v>
      </c>
      <c r="D8871" t="s">
        <v>19039</v>
      </c>
      <c r="E8871" t="s">
        <v>26679</v>
      </c>
      <c r="F8871" t="s">
        <v>32606</v>
      </c>
      <c r="G8871" t="s">
        <v>32613</v>
      </c>
      <c r="H8871" t="s">
        <v>32623</v>
      </c>
      <c r="I8871" t="s">
        <v>17648</v>
      </c>
      <c r="J8871" t="s">
        <v>32765</v>
      </c>
      <c r="K8871" t="s">
        <v>42681</v>
      </c>
      <c r="M8871" t="s">
        <v>45946</v>
      </c>
      <c r="N8871" t="s">
        <v>47304</v>
      </c>
      <c r="O8871" t="s">
        <v>47305</v>
      </c>
      <c r="P8871">
        <v>0</v>
      </c>
      <c r="Q8871">
        <v>0</v>
      </c>
      <c r="R8871" t="s">
        <v>47312</v>
      </c>
      <c r="S8871" t="s">
        <v>47489</v>
      </c>
      <c r="T8871" t="s">
        <v>48998</v>
      </c>
      <c r="U8871" t="s">
        <v>56874</v>
      </c>
      <c r="W8871" t="s">
        <v>45946</v>
      </c>
      <c r="X8871" t="s">
        <v>47313</v>
      </c>
    </row>
    <row r="8872" spans="1:24">
      <c r="A8872">
        <f>HYPERLINK("https://www.philgeps.gov.ph/GEPSNONPILOT/Tender/SplashBidNoticeAbstractUI.aspx?menuIndex=3&amp;refID=7189487&amp;Result=3","7189487")</f>
        <v>0</v>
      </c>
      <c r="B8872" t="s">
        <v>2777</v>
      </c>
      <c r="C8872" t="s">
        <v>12213</v>
      </c>
      <c r="D8872" t="s">
        <v>19053</v>
      </c>
      <c r="E8872" t="s">
        <v>26680</v>
      </c>
      <c r="F8872" t="s">
        <v>32606</v>
      </c>
      <c r="G8872" t="s">
        <v>32614</v>
      </c>
      <c r="H8872" t="s">
        <v>14201</v>
      </c>
      <c r="I8872" t="s">
        <v>6007</v>
      </c>
      <c r="J8872" t="s">
        <v>38256</v>
      </c>
      <c r="K8872" t="s">
        <v>42630</v>
      </c>
      <c r="M8872" t="s">
        <v>45939</v>
      </c>
      <c r="N8872" t="s">
        <v>47304</v>
      </c>
      <c r="O8872" t="s">
        <v>47305</v>
      </c>
      <c r="P8872">
        <v>0</v>
      </c>
      <c r="Q8872">
        <v>0</v>
      </c>
      <c r="R8872" t="s">
        <v>47312</v>
      </c>
      <c r="S8872" t="s">
        <v>47489</v>
      </c>
      <c r="T8872" t="s">
        <v>49165</v>
      </c>
      <c r="U8872" t="s">
        <v>56839</v>
      </c>
      <c r="V8872" t="s">
        <v>63579</v>
      </c>
      <c r="W8872" t="s">
        <v>45939</v>
      </c>
      <c r="X8872" t="s">
        <v>47313</v>
      </c>
    </row>
    <row r="8873" spans="1:24">
      <c r="A8873">
        <f>HYPERLINK("https://www.philgeps.gov.ph/GEPSNONPILOT/Tender/SplashBidNoticeAbstractUI.aspx?menuIndex=3&amp;refID=7189486&amp;Result=3","7189486")</f>
        <v>0</v>
      </c>
      <c r="B8873" t="s">
        <v>33</v>
      </c>
      <c r="C8873" t="s">
        <v>12214</v>
      </c>
      <c r="D8873" t="s">
        <v>18992</v>
      </c>
      <c r="E8873" t="s">
        <v>20432</v>
      </c>
      <c r="F8873" t="s">
        <v>32606</v>
      </c>
      <c r="G8873" t="s">
        <v>32613</v>
      </c>
      <c r="H8873" t="s">
        <v>14201</v>
      </c>
      <c r="I8873" t="s">
        <v>4112</v>
      </c>
      <c r="J8873" t="s">
        <v>33189</v>
      </c>
      <c r="K8873" t="s">
        <v>42627</v>
      </c>
      <c r="M8873" t="s">
        <v>42930</v>
      </c>
      <c r="N8873" t="s">
        <v>47304</v>
      </c>
      <c r="O8873" t="s">
        <v>47305</v>
      </c>
      <c r="P8873">
        <v>0</v>
      </c>
      <c r="Q8873">
        <v>0</v>
      </c>
      <c r="R8873" t="s">
        <v>47312</v>
      </c>
      <c r="S8873" t="s">
        <v>47489</v>
      </c>
      <c r="T8873" t="s">
        <v>48980</v>
      </c>
      <c r="U8873" t="s">
        <v>56875</v>
      </c>
      <c r="W8873" t="s">
        <v>42930</v>
      </c>
      <c r="X8873" t="s">
        <v>47313</v>
      </c>
    </row>
    <row r="8874" spans="1:24">
      <c r="A8874">
        <f>HYPERLINK("https://www.philgeps.gov.ph/GEPSNONPILOT/Tender/SplashBidNoticeAbstractUI.aspx?menuIndex=3&amp;refID=7189484&amp;Result=3","7189484")</f>
        <v>0</v>
      </c>
      <c r="B8874" t="s">
        <v>2789</v>
      </c>
      <c r="C8874" t="s">
        <v>12215</v>
      </c>
      <c r="D8874" t="s">
        <v>19027</v>
      </c>
      <c r="E8874" t="s">
        <v>21283</v>
      </c>
      <c r="F8874" t="s">
        <v>32606</v>
      </c>
      <c r="G8874" t="s">
        <v>32613</v>
      </c>
      <c r="H8874" t="s">
        <v>14201</v>
      </c>
      <c r="I8874" t="s">
        <v>32626</v>
      </c>
      <c r="J8874" t="s">
        <v>38257</v>
      </c>
      <c r="K8874" t="s">
        <v>42631</v>
      </c>
      <c r="M8874" t="s">
        <v>45951</v>
      </c>
      <c r="N8874" t="s">
        <v>47304</v>
      </c>
      <c r="O8874" t="s">
        <v>47305</v>
      </c>
      <c r="P8874">
        <v>0</v>
      </c>
      <c r="Q8874">
        <v>10</v>
      </c>
      <c r="R8874" t="s">
        <v>47312</v>
      </c>
      <c r="S8874" t="s">
        <v>47489</v>
      </c>
      <c r="T8874" t="s">
        <v>49036</v>
      </c>
      <c r="U8874" t="s">
        <v>56876</v>
      </c>
      <c r="W8874" t="s">
        <v>45951</v>
      </c>
      <c r="X8874" t="s">
        <v>47313</v>
      </c>
    </row>
    <row r="8875" spans="1:24">
      <c r="A8875">
        <f>HYPERLINK("https://www.philgeps.gov.ph/GEPSNONPILOT/Tender/SplashBidNoticeAbstractUI.aspx?menuIndex=3&amp;refID=7189517&amp;Result=3","7189517")</f>
        <v>0</v>
      </c>
      <c r="B8875" t="s">
        <v>2790</v>
      </c>
      <c r="C8875" t="s">
        <v>12216</v>
      </c>
      <c r="D8875" t="s">
        <v>19028</v>
      </c>
      <c r="E8875" t="s">
        <v>26681</v>
      </c>
      <c r="F8875" t="s">
        <v>32606</v>
      </c>
      <c r="G8875" t="s">
        <v>32613</v>
      </c>
      <c r="H8875" t="s">
        <v>32623</v>
      </c>
      <c r="I8875" t="s">
        <v>17648</v>
      </c>
      <c r="J8875" t="s">
        <v>38258</v>
      </c>
      <c r="K8875" t="s">
        <v>42639</v>
      </c>
      <c r="M8875" t="s">
        <v>45952</v>
      </c>
      <c r="N8875" t="s">
        <v>47304</v>
      </c>
      <c r="O8875" t="s">
        <v>47305</v>
      </c>
      <c r="P8875">
        <v>0</v>
      </c>
      <c r="Q8875">
        <v>3</v>
      </c>
      <c r="R8875" t="s">
        <v>47312</v>
      </c>
      <c r="S8875" t="s">
        <v>47489</v>
      </c>
      <c r="T8875" t="s">
        <v>49037</v>
      </c>
      <c r="U8875" t="s">
        <v>56877</v>
      </c>
      <c r="V8875" t="s">
        <v>63580</v>
      </c>
      <c r="W8875" t="s">
        <v>45952</v>
      </c>
      <c r="X8875" t="s">
        <v>47313</v>
      </c>
    </row>
    <row r="8876" spans="1:24">
      <c r="A8876">
        <f>HYPERLINK("https://www.philgeps.gov.ph/GEPSNONPILOT/Tender/SplashBidNoticeAbstractUI.aspx?menuIndex=3&amp;refID=7189458&amp;Result=3","7189458")</f>
        <v>0</v>
      </c>
      <c r="B8876" t="s">
        <v>2791</v>
      </c>
      <c r="C8876" t="s">
        <v>12217</v>
      </c>
      <c r="D8876" t="s">
        <v>19040</v>
      </c>
      <c r="E8876" t="s">
        <v>26682</v>
      </c>
      <c r="F8876" t="s">
        <v>32606</v>
      </c>
      <c r="G8876" t="s">
        <v>32613</v>
      </c>
      <c r="H8876" t="s">
        <v>14201</v>
      </c>
      <c r="I8876" t="s">
        <v>4678</v>
      </c>
      <c r="J8876" t="s">
        <v>38259</v>
      </c>
      <c r="K8876" t="s">
        <v>42623</v>
      </c>
      <c r="M8876" t="s">
        <v>45953</v>
      </c>
      <c r="N8876" t="s">
        <v>47304</v>
      </c>
      <c r="O8876" t="s">
        <v>47305</v>
      </c>
      <c r="P8876">
        <v>0</v>
      </c>
      <c r="Q8876">
        <v>4</v>
      </c>
      <c r="R8876" t="s">
        <v>47312</v>
      </c>
      <c r="S8876" t="s">
        <v>47489</v>
      </c>
      <c r="T8876" t="s">
        <v>49075</v>
      </c>
      <c r="U8876" t="s">
        <v>56878</v>
      </c>
      <c r="V8876" t="s">
        <v>63581</v>
      </c>
      <c r="W8876" t="s">
        <v>64518</v>
      </c>
      <c r="X8876" t="s">
        <v>47313</v>
      </c>
    </row>
    <row r="8877" spans="1:24">
      <c r="A8877">
        <f>HYPERLINK("https://www.philgeps.gov.ph/GEPSNONPILOT/Tender/SplashBidNoticeAbstractUI.aspx?menuIndex=3&amp;refID=7189553&amp;Result=3","7189553")</f>
        <v>0</v>
      </c>
      <c r="B8877" t="s">
        <v>2792</v>
      </c>
      <c r="C8877" t="s">
        <v>12218</v>
      </c>
      <c r="D8877" t="s">
        <v>19044</v>
      </c>
      <c r="E8877" t="s">
        <v>26683</v>
      </c>
      <c r="F8877" t="s">
        <v>32606</v>
      </c>
      <c r="G8877" t="s">
        <v>32614</v>
      </c>
      <c r="H8877" t="s">
        <v>14201</v>
      </c>
      <c r="I8877" t="s">
        <v>32737</v>
      </c>
      <c r="J8877" t="s">
        <v>32923</v>
      </c>
      <c r="K8877" t="s">
        <v>42624</v>
      </c>
      <c r="M8877" t="s">
        <v>45954</v>
      </c>
      <c r="N8877" t="s">
        <v>47304</v>
      </c>
      <c r="O8877" t="s">
        <v>47305</v>
      </c>
      <c r="P8877">
        <v>0</v>
      </c>
      <c r="Q8877">
        <v>0</v>
      </c>
      <c r="R8877" t="s">
        <v>47312</v>
      </c>
      <c r="S8877" t="s">
        <v>47489</v>
      </c>
      <c r="T8877" t="s">
        <v>49268</v>
      </c>
      <c r="U8877" t="s">
        <v>56879</v>
      </c>
      <c r="W8877" t="s">
        <v>45954</v>
      </c>
      <c r="X8877" t="s">
        <v>47313</v>
      </c>
    </row>
    <row r="8878" spans="1:24">
      <c r="A8878">
        <f>HYPERLINK("https://www.philgeps.gov.ph/GEPSNONPILOT/Tender/SplashBidNoticeAbstractUI.aspx?menuIndex=3&amp;refID=7189550&amp;Result=3","7189550")</f>
        <v>0</v>
      </c>
      <c r="B8878" t="s">
        <v>2777</v>
      </c>
      <c r="C8878" t="s">
        <v>12219</v>
      </c>
      <c r="D8878" t="s">
        <v>18994</v>
      </c>
      <c r="E8878" t="s">
        <v>26684</v>
      </c>
      <c r="F8878" t="s">
        <v>32606</v>
      </c>
      <c r="G8878" t="s">
        <v>32614</v>
      </c>
      <c r="H8878" t="s">
        <v>14201</v>
      </c>
      <c r="I8878" t="s">
        <v>32669</v>
      </c>
      <c r="J8878" t="s">
        <v>38260</v>
      </c>
      <c r="K8878" t="s">
        <v>42630</v>
      </c>
      <c r="M8878" t="s">
        <v>45939</v>
      </c>
      <c r="N8878" t="s">
        <v>47304</v>
      </c>
      <c r="O8878" t="s">
        <v>47305</v>
      </c>
      <c r="P8878">
        <v>0</v>
      </c>
      <c r="Q8878">
        <v>0</v>
      </c>
      <c r="R8878" t="s">
        <v>47312</v>
      </c>
      <c r="S8878" t="s">
        <v>47489</v>
      </c>
      <c r="T8878" t="s">
        <v>49165</v>
      </c>
      <c r="U8878" t="s">
        <v>56839</v>
      </c>
      <c r="V8878" t="s">
        <v>63579</v>
      </c>
      <c r="W8878" t="s">
        <v>45939</v>
      </c>
      <c r="X8878" t="s">
        <v>47313</v>
      </c>
    </row>
    <row r="8879" spans="1:24">
      <c r="A8879">
        <f>HYPERLINK("https://www.philgeps.gov.ph/GEPSNONPILOT/Tender/SplashBidNoticeAbstractUI.aspx?menuIndex=3&amp;refID=7189488&amp;Result=3","7189488")</f>
        <v>0</v>
      </c>
      <c r="B8879" t="s">
        <v>2783</v>
      </c>
      <c r="C8879" t="s">
        <v>12220</v>
      </c>
      <c r="D8879" t="s">
        <v>19050</v>
      </c>
      <c r="E8879" t="s">
        <v>26685</v>
      </c>
      <c r="F8879" t="s">
        <v>32606</v>
      </c>
      <c r="G8879" t="s">
        <v>32613</v>
      </c>
      <c r="H8879" t="s">
        <v>32623</v>
      </c>
      <c r="I8879" t="s">
        <v>17648</v>
      </c>
      <c r="J8879" t="s">
        <v>38261</v>
      </c>
      <c r="K8879" t="s">
        <v>42631</v>
      </c>
      <c r="M8879" t="s">
        <v>45945</v>
      </c>
      <c r="N8879" t="s">
        <v>47304</v>
      </c>
      <c r="O8879" t="s">
        <v>47305</v>
      </c>
      <c r="P8879">
        <v>0</v>
      </c>
      <c r="Q8879">
        <v>0</v>
      </c>
      <c r="R8879" t="s">
        <v>47312</v>
      </c>
      <c r="S8879" t="s">
        <v>47489</v>
      </c>
      <c r="T8879" t="s">
        <v>49234</v>
      </c>
      <c r="U8879" t="s">
        <v>56853</v>
      </c>
      <c r="V8879" t="s">
        <v>63582</v>
      </c>
      <c r="W8879" t="s">
        <v>45945</v>
      </c>
      <c r="X8879" t="s">
        <v>47313</v>
      </c>
    </row>
    <row r="8880" spans="1:24">
      <c r="A8880">
        <f>HYPERLINK("https://www.philgeps.gov.ph/GEPSNONPILOT/Tender/SplashBidNoticeAbstractUI.aspx?menuIndex=3&amp;refID=7189547&amp;Result=3","7189547")</f>
        <v>0</v>
      </c>
      <c r="B8880" t="s">
        <v>1123</v>
      </c>
      <c r="C8880" t="s">
        <v>12221</v>
      </c>
      <c r="D8880" t="s">
        <v>18993</v>
      </c>
      <c r="E8880" t="s">
        <v>26686</v>
      </c>
      <c r="F8880" t="s">
        <v>32606</v>
      </c>
      <c r="G8880" t="s">
        <v>32614</v>
      </c>
      <c r="H8880" t="s">
        <v>14201</v>
      </c>
      <c r="I8880" t="s">
        <v>32633</v>
      </c>
      <c r="J8880" t="s">
        <v>38262</v>
      </c>
      <c r="K8880" t="s">
        <v>42623</v>
      </c>
      <c r="M8880" t="s">
        <v>45234</v>
      </c>
      <c r="N8880" t="s">
        <v>47304</v>
      </c>
      <c r="O8880" t="s">
        <v>47305</v>
      </c>
      <c r="Q8880">
        <v>1</v>
      </c>
      <c r="R8880" t="s">
        <v>47312</v>
      </c>
      <c r="S8880" t="s">
        <v>47525</v>
      </c>
      <c r="T8880" t="s">
        <v>49015</v>
      </c>
      <c r="U8880" t="s">
        <v>56880</v>
      </c>
      <c r="V8880" t="s">
        <v>63258</v>
      </c>
      <c r="W8880" t="s">
        <v>45234</v>
      </c>
      <c r="X8880" t="s">
        <v>47313</v>
      </c>
    </row>
    <row r="8881" spans="1:24">
      <c r="A8881">
        <f>HYPERLINK("https://www.philgeps.gov.ph/GEPSNONPILOT/Tender/SplashBidNoticeAbstractUI.aspx?menuIndex=3&amp;refID=7189450&amp;Result=3","7189450")</f>
        <v>0</v>
      </c>
      <c r="B8881" t="s">
        <v>1770</v>
      </c>
      <c r="C8881" t="s">
        <v>12222</v>
      </c>
      <c r="D8881" t="s">
        <v>19054</v>
      </c>
      <c r="E8881" t="s">
        <v>26687</v>
      </c>
      <c r="F8881" t="s">
        <v>32606</v>
      </c>
      <c r="G8881" t="s">
        <v>32613</v>
      </c>
      <c r="H8881" t="s">
        <v>14201</v>
      </c>
      <c r="I8881" t="s">
        <v>7064</v>
      </c>
      <c r="J8881" t="s">
        <v>32830</v>
      </c>
      <c r="K8881" t="s">
        <v>42631</v>
      </c>
      <c r="M8881" t="s">
        <v>44808</v>
      </c>
      <c r="N8881" t="s">
        <v>47304</v>
      </c>
      <c r="O8881" t="s">
        <v>47305</v>
      </c>
      <c r="P8881">
        <v>0</v>
      </c>
      <c r="Q8881">
        <v>4</v>
      </c>
      <c r="R8881" t="s">
        <v>47312</v>
      </c>
      <c r="S8881" t="s">
        <v>47489</v>
      </c>
      <c r="T8881" t="s">
        <v>48970</v>
      </c>
      <c r="U8881" t="s">
        <v>56881</v>
      </c>
      <c r="W8881" t="s">
        <v>44808</v>
      </c>
      <c r="X8881" t="s">
        <v>47313</v>
      </c>
    </row>
    <row r="8882" spans="1:24">
      <c r="A8882">
        <f>HYPERLINK("https://www.philgeps.gov.ph/GEPSNONPILOT/Tender/SplashBidNoticeAbstractUI.aspx?menuIndex=3&amp;refID=7189540&amp;Result=3","7189540")</f>
        <v>0</v>
      </c>
      <c r="B8882" t="s">
        <v>2572</v>
      </c>
      <c r="C8882" t="s">
        <v>12223</v>
      </c>
      <c r="D8882" t="s">
        <v>19016</v>
      </c>
      <c r="E8882" t="s">
        <v>26145</v>
      </c>
      <c r="F8882" t="s">
        <v>32606</v>
      </c>
      <c r="G8882" t="s">
        <v>32614</v>
      </c>
      <c r="H8882" t="s">
        <v>14201</v>
      </c>
      <c r="I8882" t="s">
        <v>6931</v>
      </c>
      <c r="J8882" t="s">
        <v>38263</v>
      </c>
      <c r="K8882" t="s">
        <v>42629</v>
      </c>
      <c r="M8882" t="s">
        <v>45712</v>
      </c>
      <c r="N8882" t="s">
        <v>47304</v>
      </c>
      <c r="O8882" t="s">
        <v>47305</v>
      </c>
      <c r="P8882">
        <v>0</v>
      </c>
      <c r="Q8882">
        <v>0</v>
      </c>
      <c r="R8882" t="s">
        <v>47312</v>
      </c>
      <c r="S8882" t="s">
        <v>47489</v>
      </c>
      <c r="T8882" t="s">
        <v>49268</v>
      </c>
      <c r="U8882" t="s">
        <v>56882</v>
      </c>
      <c r="W8882" t="s">
        <v>45712</v>
      </c>
      <c r="X8882" t="s">
        <v>47313</v>
      </c>
    </row>
    <row r="8883" spans="1:24">
      <c r="A8883">
        <f>HYPERLINK("https://www.philgeps.gov.ph/GEPSNONPILOT/Tender/SplashBidNoticeAbstractUI.aspx?menuIndex=3&amp;refID=7189551&amp;Result=3","7189551")</f>
        <v>0</v>
      </c>
      <c r="B8883" t="s">
        <v>2793</v>
      </c>
      <c r="C8883" t="s">
        <v>12224</v>
      </c>
      <c r="D8883" t="s">
        <v>18999</v>
      </c>
      <c r="E8883" t="s">
        <v>26688</v>
      </c>
      <c r="F8883" t="s">
        <v>32606</v>
      </c>
      <c r="G8883" t="s">
        <v>32614</v>
      </c>
      <c r="H8883" t="s">
        <v>14201</v>
      </c>
      <c r="I8883" t="s">
        <v>4114</v>
      </c>
      <c r="J8883" t="s">
        <v>38264</v>
      </c>
      <c r="K8883" t="s">
        <v>42631</v>
      </c>
      <c r="M8883" t="s">
        <v>45955</v>
      </c>
      <c r="N8883" t="s">
        <v>47304</v>
      </c>
      <c r="O8883" t="s">
        <v>47305</v>
      </c>
      <c r="P8883">
        <v>0</v>
      </c>
      <c r="Q8883">
        <v>2</v>
      </c>
      <c r="R8883" t="s">
        <v>47312</v>
      </c>
      <c r="S8883" t="s">
        <v>47489</v>
      </c>
      <c r="T8883" t="s">
        <v>49053</v>
      </c>
      <c r="U8883" t="s">
        <v>56883</v>
      </c>
      <c r="W8883" t="s">
        <v>45955</v>
      </c>
      <c r="X8883" t="s">
        <v>47313</v>
      </c>
    </row>
    <row r="8884" spans="1:24">
      <c r="A8884">
        <f>HYPERLINK("https://www.philgeps.gov.ph/GEPSNONPILOT/Tender/SplashBidNoticeAbstractUI.aspx?menuIndex=3&amp;refID=7189536&amp;Result=3","7189536")</f>
        <v>0</v>
      </c>
      <c r="B8884" t="s">
        <v>2794</v>
      </c>
      <c r="C8884" t="s">
        <v>12225</v>
      </c>
      <c r="D8884" t="s">
        <v>18989</v>
      </c>
      <c r="E8884" t="s">
        <v>26689</v>
      </c>
      <c r="F8884" t="s">
        <v>32606</v>
      </c>
      <c r="G8884" t="s">
        <v>32614</v>
      </c>
      <c r="H8884" t="s">
        <v>14201</v>
      </c>
      <c r="I8884" t="s">
        <v>6298</v>
      </c>
      <c r="J8884" t="s">
        <v>34557</v>
      </c>
      <c r="K8884" t="s">
        <v>42624</v>
      </c>
      <c r="M8884" t="s">
        <v>45956</v>
      </c>
      <c r="N8884" t="s">
        <v>47304</v>
      </c>
      <c r="O8884" t="s">
        <v>47305</v>
      </c>
      <c r="P8884">
        <v>0</v>
      </c>
      <c r="Q8884">
        <v>0</v>
      </c>
      <c r="R8884" t="s">
        <v>47312</v>
      </c>
      <c r="S8884" t="s">
        <v>47489</v>
      </c>
      <c r="T8884" t="s">
        <v>49330</v>
      </c>
      <c r="U8884" t="s">
        <v>56884</v>
      </c>
      <c r="W8884" t="s">
        <v>45956</v>
      </c>
      <c r="X8884" t="s">
        <v>47313</v>
      </c>
    </row>
    <row r="8885" spans="1:24">
      <c r="A8885">
        <f>HYPERLINK("https://www.philgeps.gov.ph/GEPSNONPILOT/Tender/SplashBidNoticeAbstractUI.aspx?menuIndex=3&amp;refID=7189542&amp;Result=3","7189542")</f>
        <v>0</v>
      </c>
      <c r="B8885" t="s">
        <v>2795</v>
      </c>
      <c r="C8885" t="s">
        <v>12226</v>
      </c>
      <c r="D8885" t="s">
        <v>19011</v>
      </c>
      <c r="E8885" t="s">
        <v>20501</v>
      </c>
      <c r="F8885" t="s">
        <v>32606</v>
      </c>
      <c r="G8885" t="s">
        <v>32613</v>
      </c>
      <c r="H8885" t="s">
        <v>14201</v>
      </c>
      <c r="I8885" t="s">
        <v>4678</v>
      </c>
      <c r="J8885" t="s">
        <v>33060</v>
      </c>
      <c r="K8885" t="s">
        <v>42624</v>
      </c>
      <c r="M8885" t="s">
        <v>45957</v>
      </c>
      <c r="N8885" t="s">
        <v>47304</v>
      </c>
      <c r="O8885" t="s">
        <v>47305</v>
      </c>
      <c r="P8885">
        <v>0</v>
      </c>
      <c r="Q8885">
        <v>7</v>
      </c>
      <c r="R8885" t="s">
        <v>47312</v>
      </c>
      <c r="S8885" t="s">
        <v>47489</v>
      </c>
      <c r="T8885" t="s">
        <v>49094</v>
      </c>
      <c r="U8885" t="s">
        <v>56885</v>
      </c>
      <c r="W8885" t="s">
        <v>45957</v>
      </c>
      <c r="X8885" t="s">
        <v>47313</v>
      </c>
    </row>
    <row r="8886" spans="1:24">
      <c r="A8886">
        <f>HYPERLINK("https://www.philgeps.gov.ph/GEPSNONPILOT/Tender/SplashBidNoticeAbstractUI.aspx?menuIndex=3&amp;refID=7189534&amp;Result=3","7189534")</f>
        <v>0</v>
      </c>
      <c r="B8886" t="s">
        <v>1497</v>
      </c>
      <c r="C8886" t="s">
        <v>12227</v>
      </c>
      <c r="D8886" t="s">
        <v>19015</v>
      </c>
      <c r="E8886" t="s">
        <v>26690</v>
      </c>
      <c r="F8886" t="s">
        <v>32606</v>
      </c>
      <c r="G8886" t="s">
        <v>32613</v>
      </c>
      <c r="H8886" t="s">
        <v>32623</v>
      </c>
      <c r="I8886" t="s">
        <v>17648</v>
      </c>
      <c r="J8886" t="s">
        <v>38265</v>
      </c>
      <c r="K8886" t="s">
        <v>42712</v>
      </c>
      <c r="M8886" t="s">
        <v>44493</v>
      </c>
      <c r="N8886" t="s">
        <v>47304</v>
      </c>
      <c r="O8886" t="s">
        <v>47305</v>
      </c>
      <c r="Q8886">
        <v>62</v>
      </c>
      <c r="R8886" t="s">
        <v>47312</v>
      </c>
      <c r="S8886" t="s">
        <v>47526</v>
      </c>
      <c r="T8886" t="s">
        <v>48973</v>
      </c>
      <c r="U8886" t="s">
        <v>56886</v>
      </c>
      <c r="V8886" t="s">
        <v>63583</v>
      </c>
      <c r="W8886" t="s">
        <v>44493</v>
      </c>
      <c r="X8886" t="s">
        <v>47313</v>
      </c>
    </row>
    <row r="8887" spans="1:24">
      <c r="A8887">
        <f>HYPERLINK("https://www.philgeps.gov.ph/GEPSNONPILOT/Tender/SplashBidNoticeAbstractUI.aspx?menuIndex=3&amp;refID=7189530&amp;Result=3","7189530")</f>
        <v>0</v>
      </c>
      <c r="B8887" t="s">
        <v>467</v>
      </c>
      <c r="C8887" t="s">
        <v>12228</v>
      </c>
      <c r="D8887" t="s">
        <v>19004</v>
      </c>
      <c r="E8887" t="s">
        <v>26691</v>
      </c>
      <c r="F8887" t="s">
        <v>32606</v>
      </c>
      <c r="G8887" t="s">
        <v>32613</v>
      </c>
      <c r="H8887" t="s">
        <v>14201</v>
      </c>
      <c r="I8887" t="s">
        <v>32713</v>
      </c>
      <c r="J8887" t="s">
        <v>32772</v>
      </c>
      <c r="K8887" t="s">
        <v>42624</v>
      </c>
      <c r="M8887" t="s">
        <v>45925</v>
      </c>
      <c r="N8887" t="s">
        <v>47304</v>
      </c>
      <c r="O8887" t="s">
        <v>47305</v>
      </c>
      <c r="P8887">
        <v>0</v>
      </c>
      <c r="Q8887">
        <v>5</v>
      </c>
      <c r="R8887" t="s">
        <v>47312</v>
      </c>
      <c r="S8887" t="s">
        <v>47489</v>
      </c>
      <c r="T8887" t="s">
        <v>49401</v>
      </c>
      <c r="U8887" t="s">
        <v>56887</v>
      </c>
      <c r="V8887" t="s">
        <v>63568</v>
      </c>
      <c r="W8887" t="s">
        <v>45925</v>
      </c>
      <c r="X8887" t="s">
        <v>47313</v>
      </c>
    </row>
    <row r="8888" spans="1:24">
      <c r="A8888">
        <f>HYPERLINK("https://www.philgeps.gov.ph/GEPSNONPILOT/Tender/SplashBidNoticeAbstractUI.aspx?menuIndex=3&amp;refID=7189537&amp;Result=3","7189537")</f>
        <v>0</v>
      </c>
      <c r="B8888" t="s">
        <v>921</v>
      </c>
      <c r="C8888" t="s">
        <v>12229</v>
      </c>
      <c r="D8888" t="s">
        <v>19008</v>
      </c>
      <c r="E8888" t="s">
        <v>26692</v>
      </c>
      <c r="F8888" t="s">
        <v>32606</v>
      </c>
      <c r="G8888" t="s">
        <v>32613</v>
      </c>
      <c r="H8888" t="s">
        <v>32625</v>
      </c>
      <c r="I8888" t="s">
        <v>32625</v>
      </c>
      <c r="J8888" t="s">
        <v>38266</v>
      </c>
      <c r="K8888" t="s">
        <v>42695</v>
      </c>
      <c r="M8888" t="s">
        <v>43861</v>
      </c>
      <c r="N8888" t="s">
        <v>47304</v>
      </c>
      <c r="O8888" t="s">
        <v>47305</v>
      </c>
      <c r="P8888">
        <v>0</v>
      </c>
      <c r="Q8888">
        <v>2</v>
      </c>
      <c r="R8888" t="s">
        <v>47312</v>
      </c>
      <c r="S8888" t="s">
        <v>47489</v>
      </c>
      <c r="T8888" t="s">
        <v>48980</v>
      </c>
      <c r="U8888" t="s">
        <v>56888</v>
      </c>
      <c r="W8888" t="s">
        <v>43861</v>
      </c>
      <c r="X8888" t="s">
        <v>47313</v>
      </c>
    </row>
    <row r="8889" spans="1:24">
      <c r="A8889">
        <f>HYPERLINK("https://www.philgeps.gov.ph/GEPSNONPILOT/Tender/SplashBidNoticeAbstractUI.aspx?menuIndex=3&amp;refID=7189528&amp;Result=3","7189528")</f>
        <v>0</v>
      </c>
      <c r="B8889" t="s">
        <v>2796</v>
      </c>
      <c r="C8889" t="s">
        <v>12230</v>
      </c>
      <c r="D8889" t="s">
        <v>19012</v>
      </c>
      <c r="E8889" t="s">
        <v>24971</v>
      </c>
      <c r="F8889" t="s">
        <v>32606</v>
      </c>
      <c r="G8889" t="s">
        <v>32614</v>
      </c>
      <c r="H8889" t="s">
        <v>14201</v>
      </c>
      <c r="I8889" t="s">
        <v>32677</v>
      </c>
      <c r="J8889" t="s">
        <v>38267</v>
      </c>
      <c r="K8889" t="s">
        <v>42624</v>
      </c>
      <c r="M8889" t="s">
        <v>45958</v>
      </c>
      <c r="N8889" t="s">
        <v>47304</v>
      </c>
      <c r="O8889" t="s">
        <v>47305</v>
      </c>
      <c r="P8889">
        <v>0</v>
      </c>
      <c r="Q8889">
        <v>1</v>
      </c>
      <c r="R8889" t="s">
        <v>47312</v>
      </c>
      <c r="S8889" t="s">
        <v>47489</v>
      </c>
      <c r="T8889" t="s">
        <v>49350</v>
      </c>
      <c r="U8889" t="s">
        <v>56889</v>
      </c>
      <c r="W8889" t="s">
        <v>45958</v>
      </c>
      <c r="X8889" t="s">
        <v>47313</v>
      </c>
    </row>
    <row r="8890" spans="1:24">
      <c r="A8890">
        <f>HYPERLINK("https://www.philgeps.gov.ph/GEPSNONPILOT/Tender/SplashBidNoticeAbstractUI.aspx?menuIndex=3&amp;refID=7189548&amp;Result=3","7189548")</f>
        <v>0</v>
      </c>
      <c r="B8890" t="s">
        <v>1142</v>
      </c>
      <c r="C8890" t="s">
        <v>12231</v>
      </c>
      <c r="D8890" t="s">
        <v>19040</v>
      </c>
      <c r="E8890" t="s">
        <v>26693</v>
      </c>
      <c r="F8890" t="s">
        <v>32606</v>
      </c>
      <c r="G8890" t="s">
        <v>32614</v>
      </c>
      <c r="H8890" t="s">
        <v>14201</v>
      </c>
      <c r="I8890" t="s">
        <v>32693</v>
      </c>
      <c r="J8890" t="s">
        <v>38268</v>
      </c>
      <c r="K8890" t="s">
        <v>42630</v>
      </c>
      <c r="M8890" t="s">
        <v>44104</v>
      </c>
      <c r="N8890" t="s">
        <v>47304</v>
      </c>
      <c r="O8890" t="s">
        <v>47305</v>
      </c>
      <c r="P8890">
        <v>0</v>
      </c>
      <c r="Q8890">
        <v>0</v>
      </c>
      <c r="R8890" t="s">
        <v>47312</v>
      </c>
      <c r="S8890" t="s">
        <v>47489</v>
      </c>
      <c r="T8890" t="s">
        <v>49053</v>
      </c>
      <c r="U8890" t="s">
        <v>56890</v>
      </c>
      <c r="W8890" t="s">
        <v>44104</v>
      </c>
      <c r="X8890" t="s">
        <v>47313</v>
      </c>
    </row>
    <row r="8891" spans="1:24">
      <c r="A8891">
        <f>HYPERLINK("https://www.philgeps.gov.ph/GEPSNONPILOT/Tender/SplashBidNoticeAbstractUI.aspx?menuIndex=3&amp;refID=7189508&amp;Result=3","7189508")</f>
        <v>0</v>
      </c>
      <c r="B8891" t="s">
        <v>231</v>
      </c>
      <c r="C8891" t="s">
        <v>12232</v>
      </c>
      <c r="D8891" t="s">
        <v>18993</v>
      </c>
      <c r="E8891" t="s">
        <v>19506</v>
      </c>
      <c r="F8891" t="s">
        <v>32606</v>
      </c>
      <c r="G8891" t="s">
        <v>32613</v>
      </c>
      <c r="H8891" t="s">
        <v>14201</v>
      </c>
      <c r="I8891" t="s">
        <v>7064</v>
      </c>
      <c r="J8891" t="s">
        <v>37252</v>
      </c>
      <c r="K8891" t="s">
        <v>42624</v>
      </c>
      <c r="M8891" t="s">
        <v>43132</v>
      </c>
      <c r="N8891" t="s">
        <v>47304</v>
      </c>
      <c r="O8891" t="s">
        <v>47305</v>
      </c>
      <c r="P8891">
        <v>0</v>
      </c>
      <c r="Q8891">
        <v>4</v>
      </c>
      <c r="R8891" t="s">
        <v>47312</v>
      </c>
      <c r="S8891" t="s">
        <v>47489</v>
      </c>
      <c r="T8891" t="s">
        <v>49257</v>
      </c>
      <c r="U8891" t="s">
        <v>56891</v>
      </c>
      <c r="W8891" t="s">
        <v>43132</v>
      </c>
      <c r="X8891" t="s">
        <v>47313</v>
      </c>
    </row>
    <row r="8892" spans="1:24">
      <c r="A8892">
        <f>HYPERLINK("https://www.philgeps.gov.ph/GEPSNONPILOT/Tender/SplashBidNoticeAbstractUI.aspx?menuIndex=3&amp;refID=7189592&amp;Result=3","7189592")</f>
        <v>0</v>
      </c>
      <c r="B8892" t="s">
        <v>2797</v>
      </c>
      <c r="C8892" t="s">
        <v>12233</v>
      </c>
      <c r="D8892" t="s">
        <v>18995</v>
      </c>
      <c r="E8892" t="s">
        <v>26694</v>
      </c>
      <c r="F8892" t="s">
        <v>32606</v>
      </c>
      <c r="G8892" t="s">
        <v>32619</v>
      </c>
      <c r="H8892" t="s">
        <v>14201</v>
      </c>
      <c r="I8892" t="s">
        <v>7577</v>
      </c>
      <c r="J8892" t="s">
        <v>38269</v>
      </c>
      <c r="K8892" t="s">
        <v>42629</v>
      </c>
      <c r="M8892" t="s">
        <v>45959</v>
      </c>
      <c r="N8892" t="s">
        <v>47304</v>
      </c>
      <c r="O8892" t="s">
        <v>47305</v>
      </c>
      <c r="P8892">
        <v>0</v>
      </c>
      <c r="Q8892">
        <v>4</v>
      </c>
      <c r="R8892" t="s">
        <v>47312</v>
      </c>
      <c r="S8892" t="s">
        <v>47489</v>
      </c>
      <c r="T8892" t="s">
        <v>49268</v>
      </c>
      <c r="U8892" t="s">
        <v>56892</v>
      </c>
      <c r="W8892" t="s">
        <v>45959</v>
      </c>
      <c r="X8892" t="s">
        <v>47313</v>
      </c>
    </row>
    <row r="8893" spans="1:24">
      <c r="A8893">
        <f>HYPERLINK("https://www.philgeps.gov.ph/GEPSNONPILOT/Tender/SplashBidNoticeAbstractUI.aspx?menuIndex=3&amp;refID=7189591&amp;Result=3","7189591")</f>
        <v>0</v>
      </c>
      <c r="B8893" t="s">
        <v>949</v>
      </c>
      <c r="C8893" t="s">
        <v>12234</v>
      </c>
      <c r="D8893" t="s">
        <v>19044</v>
      </c>
      <c r="E8893" t="s">
        <v>26695</v>
      </c>
      <c r="F8893" t="s">
        <v>32606</v>
      </c>
      <c r="G8893" t="s">
        <v>32613</v>
      </c>
      <c r="H8893" t="s">
        <v>14201</v>
      </c>
      <c r="I8893" t="s">
        <v>4114</v>
      </c>
      <c r="J8893" t="s">
        <v>38270</v>
      </c>
      <c r="K8893" t="s">
        <v>42631</v>
      </c>
      <c r="M8893" t="s">
        <v>43891</v>
      </c>
      <c r="N8893" t="s">
        <v>47304</v>
      </c>
      <c r="O8893" t="s">
        <v>47305</v>
      </c>
      <c r="Q8893">
        <v>7</v>
      </c>
      <c r="R8893" t="s">
        <v>47312</v>
      </c>
      <c r="S8893" t="s">
        <v>47527</v>
      </c>
      <c r="T8893" t="s">
        <v>49165</v>
      </c>
      <c r="U8893" t="s">
        <v>56893</v>
      </c>
      <c r="W8893" t="s">
        <v>43891</v>
      </c>
      <c r="X8893" t="s">
        <v>47313</v>
      </c>
    </row>
    <row r="8894" spans="1:24">
      <c r="A8894">
        <f>HYPERLINK("https://www.philgeps.gov.ph/GEPSNONPILOT/Tender/SplashBidNoticeAbstractUI.aspx?menuIndex=3&amp;refID=7189539&amp;Result=3","7189539")</f>
        <v>0</v>
      </c>
      <c r="B8894" t="s">
        <v>2634</v>
      </c>
      <c r="C8894" t="s">
        <v>12235</v>
      </c>
      <c r="D8894" t="s">
        <v>19015</v>
      </c>
      <c r="E8894" t="s">
        <v>19847</v>
      </c>
      <c r="F8894" t="s">
        <v>32606</v>
      </c>
      <c r="G8894" t="s">
        <v>32613</v>
      </c>
      <c r="H8894" t="s">
        <v>14201</v>
      </c>
      <c r="I8894" t="s">
        <v>7064</v>
      </c>
      <c r="J8894" t="s">
        <v>32772</v>
      </c>
      <c r="K8894" t="s">
        <v>42646</v>
      </c>
      <c r="M8894" t="s">
        <v>45778</v>
      </c>
      <c r="N8894" t="s">
        <v>47304</v>
      </c>
      <c r="O8894" t="s">
        <v>47305</v>
      </c>
      <c r="P8894">
        <v>0</v>
      </c>
      <c r="Q8894">
        <v>5</v>
      </c>
      <c r="R8894" t="s">
        <v>47312</v>
      </c>
      <c r="S8894" t="s">
        <v>47489</v>
      </c>
      <c r="T8894" t="s">
        <v>49040</v>
      </c>
      <c r="U8894" t="s">
        <v>56894</v>
      </c>
      <c r="W8894" t="s">
        <v>64509</v>
      </c>
      <c r="X8894" t="s">
        <v>47313</v>
      </c>
    </row>
    <row r="8895" spans="1:24">
      <c r="A8895">
        <f>HYPERLINK("https://www.philgeps.gov.ph/GEPSNONPILOT/Tender/SplashBidNoticeAbstractUI.aspx?menuIndex=3&amp;refID=7189588&amp;Result=3","7189588")</f>
        <v>0</v>
      </c>
      <c r="B8895" t="s">
        <v>1142</v>
      </c>
      <c r="C8895" t="s">
        <v>12236</v>
      </c>
      <c r="D8895" t="s">
        <v>19040</v>
      </c>
      <c r="E8895" t="s">
        <v>26696</v>
      </c>
      <c r="F8895" t="s">
        <v>32606</v>
      </c>
      <c r="G8895" t="s">
        <v>32614</v>
      </c>
      <c r="H8895" t="s">
        <v>14201</v>
      </c>
      <c r="I8895" t="s">
        <v>6931</v>
      </c>
      <c r="J8895" t="s">
        <v>38271</v>
      </c>
      <c r="K8895" t="s">
        <v>42630</v>
      </c>
      <c r="M8895" t="s">
        <v>44104</v>
      </c>
      <c r="N8895" t="s">
        <v>47304</v>
      </c>
      <c r="O8895" t="s">
        <v>47305</v>
      </c>
      <c r="P8895">
        <v>0</v>
      </c>
      <c r="Q8895">
        <v>3</v>
      </c>
      <c r="R8895" t="s">
        <v>47312</v>
      </c>
      <c r="S8895" t="s">
        <v>47489</v>
      </c>
      <c r="T8895" t="s">
        <v>48997</v>
      </c>
      <c r="U8895" t="s">
        <v>56895</v>
      </c>
      <c r="W8895" t="s">
        <v>44104</v>
      </c>
      <c r="X8895" t="s">
        <v>47313</v>
      </c>
    </row>
    <row r="8896" spans="1:24">
      <c r="A8896">
        <f>HYPERLINK("https://www.philgeps.gov.ph/GEPSNONPILOT/Tender/SplashBidNoticeAbstractUI.aspx?menuIndex=3&amp;refID=7189527&amp;Result=3","7189527")</f>
        <v>0</v>
      </c>
      <c r="B8896" t="s">
        <v>2798</v>
      </c>
      <c r="C8896" t="s">
        <v>12237</v>
      </c>
      <c r="D8896" t="s">
        <v>19038</v>
      </c>
      <c r="E8896" t="s">
        <v>26697</v>
      </c>
      <c r="F8896" t="s">
        <v>32606</v>
      </c>
      <c r="G8896" t="s">
        <v>32613</v>
      </c>
      <c r="H8896" t="s">
        <v>14201</v>
      </c>
      <c r="I8896" t="s">
        <v>32633</v>
      </c>
      <c r="J8896" t="s">
        <v>38272</v>
      </c>
      <c r="K8896" t="s">
        <v>42622</v>
      </c>
      <c r="M8896" t="s">
        <v>45960</v>
      </c>
      <c r="N8896" t="s">
        <v>47304</v>
      </c>
      <c r="O8896" t="s">
        <v>47305</v>
      </c>
      <c r="P8896">
        <v>0</v>
      </c>
      <c r="Q8896">
        <v>6</v>
      </c>
      <c r="R8896" t="s">
        <v>47312</v>
      </c>
      <c r="S8896" t="s">
        <v>47489</v>
      </c>
      <c r="T8896" t="s">
        <v>49037</v>
      </c>
      <c r="U8896" t="s">
        <v>56896</v>
      </c>
      <c r="W8896" t="s">
        <v>45960</v>
      </c>
      <c r="X8896" t="s">
        <v>47313</v>
      </c>
    </row>
    <row r="8897" spans="1:24">
      <c r="A8897">
        <f>HYPERLINK("https://www.philgeps.gov.ph/GEPSNONPILOT/Tender/SplashBidNoticeAbstractUI.aspx?menuIndex=3&amp;refID=7189586&amp;Result=3","7189586")</f>
        <v>0</v>
      </c>
      <c r="B8897" t="s">
        <v>2777</v>
      </c>
      <c r="C8897" t="s">
        <v>12238</v>
      </c>
      <c r="D8897" t="s">
        <v>19038</v>
      </c>
      <c r="E8897" t="s">
        <v>26698</v>
      </c>
      <c r="F8897" t="s">
        <v>32606</v>
      </c>
      <c r="G8897" t="s">
        <v>32614</v>
      </c>
      <c r="H8897" t="s">
        <v>14201</v>
      </c>
      <c r="I8897" t="s">
        <v>7677</v>
      </c>
      <c r="J8897" t="s">
        <v>38273</v>
      </c>
      <c r="K8897" t="s">
        <v>42630</v>
      </c>
      <c r="M8897" t="s">
        <v>45939</v>
      </c>
      <c r="N8897" t="s">
        <v>47304</v>
      </c>
      <c r="O8897" t="s">
        <v>47305</v>
      </c>
      <c r="P8897">
        <v>0</v>
      </c>
      <c r="Q8897">
        <v>0</v>
      </c>
      <c r="R8897" t="s">
        <v>47312</v>
      </c>
      <c r="S8897" t="s">
        <v>47489</v>
      </c>
      <c r="T8897" t="s">
        <v>49165</v>
      </c>
      <c r="U8897" t="s">
        <v>56839</v>
      </c>
      <c r="V8897" t="s">
        <v>63584</v>
      </c>
      <c r="W8897" t="s">
        <v>45939</v>
      </c>
      <c r="X8897" t="s">
        <v>47313</v>
      </c>
    </row>
    <row r="8898" spans="1:24">
      <c r="A8898">
        <f>HYPERLINK("https://www.philgeps.gov.ph/GEPSNONPILOT/Tender/SplashBidNoticeAbstractUI.aspx?menuIndex=3&amp;refID=7189584&amp;Result=3","7189584")</f>
        <v>0</v>
      </c>
      <c r="B8898" t="s">
        <v>2776</v>
      </c>
      <c r="C8898" t="s">
        <v>12239</v>
      </c>
      <c r="D8898" t="s">
        <v>18993</v>
      </c>
      <c r="E8898" t="s">
        <v>26699</v>
      </c>
      <c r="F8898" t="s">
        <v>32606</v>
      </c>
      <c r="G8898" t="s">
        <v>32613</v>
      </c>
      <c r="H8898" t="s">
        <v>32623</v>
      </c>
      <c r="I8898" t="s">
        <v>17648</v>
      </c>
      <c r="J8898" t="s">
        <v>38274</v>
      </c>
      <c r="K8898" t="s">
        <v>42624</v>
      </c>
      <c r="M8898" t="s">
        <v>45938</v>
      </c>
      <c r="N8898" t="s">
        <v>47304</v>
      </c>
      <c r="O8898" t="s">
        <v>47305</v>
      </c>
      <c r="Q8898">
        <v>7</v>
      </c>
      <c r="R8898" t="s">
        <v>47312</v>
      </c>
      <c r="S8898" t="s">
        <v>47528</v>
      </c>
      <c r="T8898" t="s">
        <v>49111</v>
      </c>
      <c r="U8898" t="s">
        <v>56897</v>
      </c>
      <c r="V8898" t="s">
        <v>63572</v>
      </c>
      <c r="W8898" t="s">
        <v>45938</v>
      </c>
      <c r="X8898" t="s">
        <v>47313</v>
      </c>
    </row>
    <row r="8899" spans="1:24">
      <c r="A8899">
        <f>HYPERLINK("https://www.philgeps.gov.ph/GEPSNONPILOT/Tender/SplashBidNoticeAbstractUI.aspx?menuIndex=3&amp;refID=7189593&amp;Result=3","7189593")</f>
        <v>0</v>
      </c>
      <c r="B8899" t="s">
        <v>1734</v>
      </c>
      <c r="C8899" t="s">
        <v>12240</v>
      </c>
      <c r="D8899" t="s">
        <v>19078</v>
      </c>
      <c r="E8899" t="s">
        <v>26700</v>
      </c>
      <c r="F8899" t="s">
        <v>32606</v>
      </c>
      <c r="G8899" t="s">
        <v>32614</v>
      </c>
      <c r="H8899" t="s">
        <v>32624</v>
      </c>
      <c r="I8899" t="s">
        <v>9297</v>
      </c>
      <c r="J8899" t="s">
        <v>33103</v>
      </c>
      <c r="K8899" t="s">
        <v>42688</v>
      </c>
      <c r="M8899" t="s">
        <v>44766</v>
      </c>
      <c r="N8899" t="s">
        <v>47304</v>
      </c>
      <c r="O8899" t="s">
        <v>47305</v>
      </c>
      <c r="P8899">
        <v>0</v>
      </c>
      <c r="Q8899">
        <v>0</v>
      </c>
      <c r="R8899" t="s">
        <v>47312</v>
      </c>
      <c r="S8899" t="s">
        <v>47489</v>
      </c>
      <c r="T8899" t="s">
        <v>48988</v>
      </c>
      <c r="U8899" t="s">
        <v>56898</v>
      </c>
      <c r="W8899" t="s">
        <v>44766</v>
      </c>
      <c r="X8899" t="s">
        <v>47313</v>
      </c>
    </row>
    <row r="8900" spans="1:24">
      <c r="A8900">
        <f>HYPERLINK("https://www.philgeps.gov.ph/GEPSNONPILOT/Tender/SplashBidNoticeAbstractUI.aspx?menuIndex=3&amp;refID=7189577&amp;Result=3","7189577")</f>
        <v>0</v>
      </c>
      <c r="B8900" t="s">
        <v>2795</v>
      </c>
      <c r="C8900" t="s">
        <v>12241</v>
      </c>
      <c r="D8900" t="s">
        <v>19011</v>
      </c>
      <c r="E8900" t="s">
        <v>23545</v>
      </c>
      <c r="F8900" t="s">
        <v>32606</v>
      </c>
      <c r="G8900" t="s">
        <v>32613</v>
      </c>
      <c r="H8900" t="s">
        <v>14201</v>
      </c>
      <c r="I8900" t="s">
        <v>32626</v>
      </c>
      <c r="J8900" t="s">
        <v>35749</v>
      </c>
      <c r="K8900" t="s">
        <v>42624</v>
      </c>
      <c r="M8900" t="s">
        <v>45957</v>
      </c>
      <c r="N8900" t="s">
        <v>47304</v>
      </c>
      <c r="O8900" t="s">
        <v>47305</v>
      </c>
      <c r="P8900">
        <v>0</v>
      </c>
      <c r="Q8900">
        <v>6</v>
      </c>
      <c r="R8900" t="s">
        <v>47312</v>
      </c>
      <c r="S8900" t="s">
        <v>47489</v>
      </c>
      <c r="T8900" t="s">
        <v>49094</v>
      </c>
      <c r="U8900" t="s">
        <v>56885</v>
      </c>
      <c r="W8900" t="s">
        <v>45957</v>
      </c>
      <c r="X8900" t="s">
        <v>47313</v>
      </c>
    </row>
    <row r="8901" spans="1:24">
      <c r="A8901">
        <f>HYPERLINK("https://www.philgeps.gov.ph/GEPSNONPILOT/Tender/SplashBidNoticeAbstractUI.aspx?menuIndex=3&amp;refID=7189575&amp;Result=3","7189575")</f>
        <v>0</v>
      </c>
      <c r="B8901" t="s">
        <v>2572</v>
      </c>
      <c r="C8901" t="s">
        <v>12242</v>
      </c>
      <c r="D8901" t="s">
        <v>19016</v>
      </c>
      <c r="E8901" t="s">
        <v>26171</v>
      </c>
      <c r="F8901" t="s">
        <v>32606</v>
      </c>
      <c r="G8901" t="s">
        <v>32613</v>
      </c>
      <c r="H8901" t="s">
        <v>14201</v>
      </c>
      <c r="I8901" t="s">
        <v>7064</v>
      </c>
      <c r="J8901" t="s">
        <v>32795</v>
      </c>
      <c r="K8901" t="s">
        <v>42629</v>
      </c>
      <c r="M8901" t="s">
        <v>45712</v>
      </c>
      <c r="N8901" t="s">
        <v>47304</v>
      </c>
      <c r="O8901" t="s">
        <v>47305</v>
      </c>
      <c r="P8901">
        <v>0</v>
      </c>
      <c r="Q8901">
        <v>3</v>
      </c>
      <c r="R8901" t="s">
        <v>47312</v>
      </c>
      <c r="S8901" t="s">
        <v>47489</v>
      </c>
      <c r="T8901" t="s">
        <v>49140</v>
      </c>
      <c r="U8901" t="s">
        <v>56899</v>
      </c>
      <c r="V8901" t="s">
        <v>63447</v>
      </c>
      <c r="W8901" t="s">
        <v>45712</v>
      </c>
      <c r="X8901" t="s">
        <v>47313</v>
      </c>
    </row>
    <row r="8902" spans="1:24">
      <c r="A8902">
        <f>HYPERLINK("https://www.philgeps.gov.ph/GEPSNONPILOT/Tender/SplashBidNoticeAbstractUI.aspx?menuIndex=3&amp;refID=7189590&amp;Result=3","7189590")</f>
        <v>0</v>
      </c>
      <c r="B8902" t="s">
        <v>742</v>
      </c>
      <c r="C8902" t="s">
        <v>12243</v>
      </c>
      <c r="D8902" t="s">
        <v>19054</v>
      </c>
      <c r="E8902" t="s">
        <v>26701</v>
      </c>
      <c r="F8902" t="s">
        <v>32606</v>
      </c>
      <c r="G8902" t="s">
        <v>32614</v>
      </c>
      <c r="H8902" t="s">
        <v>32623</v>
      </c>
      <c r="I8902" t="s">
        <v>32675</v>
      </c>
      <c r="J8902" t="s">
        <v>38275</v>
      </c>
      <c r="K8902" t="s">
        <v>42636</v>
      </c>
      <c r="M8902" t="s">
        <v>43665</v>
      </c>
      <c r="N8902" t="s">
        <v>47304</v>
      </c>
      <c r="O8902" t="s">
        <v>47305</v>
      </c>
      <c r="P8902">
        <v>0</v>
      </c>
      <c r="Q8902">
        <v>1</v>
      </c>
      <c r="R8902" t="s">
        <v>47312</v>
      </c>
      <c r="S8902" t="s">
        <v>47489</v>
      </c>
      <c r="T8902" t="s">
        <v>49004</v>
      </c>
      <c r="U8902" t="s">
        <v>50889</v>
      </c>
      <c r="W8902" t="s">
        <v>43665</v>
      </c>
      <c r="X8902" t="s">
        <v>47313</v>
      </c>
    </row>
    <row r="8903" spans="1:24">
      <c r="A8903">
        <f>HYPERLINK("https://www.philgeps.gov.ph/GEPSNONPILOT/Tender/SplashBidNoticeAbstractUI.aspx?menuIndex=3&amp;refID=7189571&amp;Result=3","7189571")</f>
        <v>0</v>
      </c>
      <c r="B8903" t="s">
        <v>2584</v>
      </c>
      <c r="C8903" t="s">
        <v>12244</v>
      </c>
      <c r="D8903" t="s">
        <v>18997</v>
      </c>
      <c r="E8903" t="s">
        <v>26702</v>
      </c>
      <c r="F8903" t="s">
        <v>32606</v>
      </c>
      <c r="G8903" t="s">
        <v>32614</v>
      </c>
      <c r="H8903" t="s">
        <v>14201</v>
      </c>
      <c r="I8903" t="s">
        <v>32629</v>
      </c>
      <c r="J8903" t="s">
        <v>38276</v>
      </c>
      <c r="K8903" t="s">
        <v>42631</v>
      </c>
      <c r="M8903" t="s">
        <v>45725</v>
      </c>
      <c r="N8903" t="s">
        <v>47304</v>
      </c>
      <c r="O8903" t="s">
        <v>47305</v>
      </c>
      <c r="P8903">
        <v>0</v>
      </c>
      <c r="Q8903">
        <v>0</v>
      </c>
      <c r="R8903" t="s">
        <v>47312</v>
      </c>
      <c r="S8903" t="s">
        <v>47489</v>
      </c>
      <c r="T8903" t="s">
        <v>49384</v>
      </c>
      <c r="U8903" t="s">
        <v>56900</v>
      </c>
      <c r="W8903" t="s">
        <v>45725</v>
      </c>
      <c r="X8903" t="s">
        <v>47313</v>
      </c>
    </row>
    <row r="8904" spans="1:24">
      <c r="A8904">
        <f>HYPERLINK("https://www.philgeps.gov.ph/GEPSNONPILOT/Tender/SplashBidNoticeAbstractUI.aspx?menuIndex=3&amp;refID=7189451&amp;Result=3","7189451")</f>
        <v>0</v>
      </c>
      <c r="B8904" t="s">
        <v>1632</v>
      </c>
      <c r="C8904" t="s">
        <v>12245</v>
      </c>
      <c r="D8904" t="s">
        <v>18999</v>
      </c>
      <c r="E8904" t="s">
        <v>26703</v>
      </c>
      <c r="F8904" t="s">
        <v>32606</v>
      </c>
      <c r="G8904" t="s">
        <v>32619</v>
      </c>
      <c r="H8904" t="s">
        <v>14201</v>
      </c>
      <c r="I8904" t="s">
        <v>32655</v>
      </c>
      <c r="J8904" t="s">
        <v>38277</v>
      </c>
      <c r="K8904" t="s">
        <v>42624</v>
      </c>
      <c r="M8904" t="s">
        <v>44652</v>
      </c>
      <c r="N8904" t="s">
        <v>47304</v>
      </c>
      <c r="O8904" t="s">
        <v>47305</v>
      </c>
      <c r="P8904">
        <v>0</v>
      </c>
      <c r="Q8904">
        <v>7</v>
      </c>
      <c r="R8904" t="s">
        <v>47312</v>
      </c>
      <c r="S8904" t="s">
        <v>47489</v>
      </c>
      <c r="T8904" t="s">
        <v>49047</v>
      </c>
      <c r="U8904" t="s">
        <v>56901</v>
      </c>
      <c r="V8904" t="s">
        <v>63068</v>
      </c>
      <c r="W8904" t="s">
        <v>44652</v>
      </c>
      <c r="X8904" t="s">
        <v>47313</v>
      </c>
    </row>
    <row r="8905" spans="1:24">
      <c r="A8905">
        <f>HYPERLINK("https://www.philgeps.gov.ph/GEPSNONPILOT/Tender/SplashBidNoticeAbstractUI.aspx?menuIndex=3&amp;refID=7189580&amp;Result=3","7189580")</f>
        <v>0</v>
      </c>
      <c r="B8905" t="s">
        <v>2788</v>
      </c>
      <c r="C8905" t="s">
        <v>12246</v>
      </c>
      <c r="D8905" t="s">
        <v>18997</v>
      </c>
      <c r="E8905" t="s">
        <v>26704</v>
      </c>
      <c r="F8905" t="s">
        <v>32606</v>
      </c>
      <c r="G8905" t="s">
        <v>32614</v>
      </c>
      <c r="H8905" t="s">
        <v>14201</v>
      </c>
      <c r="I8905" t="s">
        <v>4120</v>
      </c>
      <c r="J8905" t="s">
        <v>32951</v>
      </c>
      <c r="K8905" t="s">
        <v>42624</v>
      </c>
      <c r="M8905" t="s">
        <v>45950</v>
      </c>
      <c r="N8905" t="s">
        <v>47304</v>
      </c>
      <c r="O8905" t="s">
        <v>47305</v>
      </c>
      <c r="P8905">
        <v>0</v>
      </c>
      <c r="Q8905">
        <v>0</v>
      </c>
      <c r="R8905" t="s">
        <v>47312</v>
      </c>
      <c r="S8905" t="s">
        <v>47489</v>
      </c>
      <c r="T8905" t="s">
        <v>49018</v>
      </c>
      <c r="U8905" t="s">
        <v>56902</v>
      </c>
      <c r="W8905" t="s">
        <v>45950</v>
      </c>
      <c r="X8905" t="s">
        <v>47313</v>
      </c>
    </row>
    <row r="8906" spans="1:24">
      <c r="A8906">
        <f>HYPERLINK("https://www.philgeps.gov.ph/GEPSNONPILOT/Tender/SplashBidNoticeAbstractUI.aspx?menuIndex=3&amp;refID=7189634&amp;Result=3","7189634")</f>
        <v>0</v>
      </c>
      <c r="B8906" t="s">
        <v>2777</v>
      </c>
      <c r="C8906" t="s">
        <v>12247</v>
      </c>
      <c r="D8906" t="s">
        <v>18994</v>
      </c>
      <c r="E8906" t="s">
        <v>26705</v>
      </c>
      <c r="F8906" t="s">
        <v>32606</v>
      </c>
      <c r="G8906" t="s">
        <v>32614</v>
      </c>
      <c r="H8906" t="s">
        <v>14201</v>
      </c>
      <c r="I8906" t="s">
        <v>4678</v>
      </c>
      <c r="J8906" t="s">
        <v>32885</v>
      </c>
      <c r="K8906" t="s">
        <v>42630</v>
      </c>
      <c r="M8906" t="s">
        <v>45939</v>
      </c>
      <c r="N8906" t="s">
        <v>47304</v>
      </c>
      <c r="O8906" t="s">
        <v>47305</v>
      </c>
      <c r="P8906">
        <v>0</v>
      </c>
      <c r="Q8906">
        <v>1</v>
      </c>
      <c r="R8906" t="s">
        <v>47312</v>
      </c>
      <c r="S8906" t="s">
        <v>47489</v>
      </c>
      <c r="T8906" t="s">
        <v>49165</v>
      </c>
      <c r="U8906" t="s">
        <v>56839</v>
      </c>
      <c r="V8906" t="s">
        <v>63585</v>
      </c>
      <c r="W8906" t="s">
        <v>45939</v>
      </c>
      <c r="X8906" t="s">
        <v>47313</v>
      </c>
    </row>
    <row r="8907" spans="1:24">
      <c r="A8907">
        <f>HYPERLINK("https://www.philgeps.gov.ph/GEPSNONPILOT/Tender/SplashBidNoticeAbstractUI.aspx?menuIndex=3&amp;refID=7189583&amp;Result=3","7189583")</f>
        <v>0</v>
      </c>
      <c r="B8907" t="s">
        <v>1123</v>
      </c>
      <c r="C8907" t="s">
        <v>12248</v>
      </c>
      <c r="D8907" t="s">
        <v>18993</v>
      </c>
      <c r="E8907" t="s">
        <v>26706</v>
      </c>
      <c r="F8907" t="s">
        <v>32606</v>
      </c>
      <c r="G8907" t="s">
        <v>32614</v>
      </c>
      <c r="H8907" t="s">
        <v>14201</v>
      </c>
      <c r="I8907" t="s">
        <v>6993</v>
      </c>
      <c r="J8907" t="s">
        <v>38278</v>
      </c>
      <c r="K8907" t="s">
        <v>42623</v>
      </c>
      <c r="M8907" t="s">
        <v>45234</v>
      </c>
      <c r="N8907" t="s">
        <v>47304</v>
      </c>
      <c r="O8907" t="s">
        <v>47305</v>
      </c>
      <c r="Q8907">
        <v>0</v>
      </c>
      <c r="R8907" t="s">
        <v>47312</v>
      </c>
      <c r="S8907" t="s">
        <v>47529</v>
      </c>
      <c r="T8907" t="s">
        <v>49015</v>
      </c>
      <c r="U8907" t="s">
        <v>56903</v>
      </c>
      <c r="V8907" t="s">
        <v>63258</v>
      </c>
      <c r="W8907" t="s">
        <v>45234</v>
      </c>
      <c r="X8907" t="s">
        <v>47313</v>
      </c>
    </row>
    <row r="8908" spans="1:24">
      <c r="A8908">
        <f>HYPERLINK("https://www.philgeps.gov.ph/GEPSNONPILOT/Tender/SplashBidNoticeAbstractUI.aspx?menuIndex=3&amp;refID=7189629&amp;Result=3","7189629")</f>
        <v>0</v>
      </c>
      <c r="B8908" t="s">
        <v>2799</v>
      </c>
      <c r="C8908" t="s">
        <v>12249</v>
      </c>
      <c r="E8908" t="s">
        <v>19809</v>
      </c>
      <c r="F8908" t="s">
        <v>32606</v>
      </c>
      <c r="G8908" t="s">
        <v>32619</v>
      </c>
      <c r="H8908" t="s">
        <v>14201</v>
      </c>
      <c r="I8908" t="s">
        <v>4114</v>
      </c>
      <c r="J8908" t="s">
        <v>32778</v>
      </c>
      <c r="K8908" t="s">
        <v>42624</v>
      </c>
      <c r="M8908" t="s">
        <v>45961</v>
      </c>
      <c r="N8908" t="s">
        <v>47304</v>
      </c>
      <c r="O8908" t="s">
        <v>47305</v>
      </c>
      <c r="P8908">
        <v>0</v>
      </c>
      <c r="Q8908">
        <v>2</v>
      </c>
      <c r="R8908" t="s">
        <v>47312</v>
      </c>
      <c r="S8908" t="s">
        <v>47489</v>
      </c>
      <c r="T8908" t="s">
        <v>49071</v>
      </c>
      <c r="U8908" t="s">
        <v>56904</v>
      </c>
      <c r="W8908" t="s">
        <v>45961</v>
      </c>
      <c r="X8908" t="s">
        <v>47313</v>
      </c>
    </row>
    <row r="8909" spans="1:24">
      <c r="A8909">
        <f>HYPERLINK("https://www.philgeps.gov.ph/GEPSNONPILOT/Tender/SplashBidNoticeAbstractUI.aspx?menuIndex=3&amp;refID=7189572&amp;Result=3","7189572")</f>
        <v>0</v>
      </c>
      <c r="B8909" t="s">
        <v>2296</v>
      </c>
      <c r="C8909" t="s">
        <v>12250</v>
      </c>
      <c r="D8909" t="s">
        <v>19019</v>
      </c>
      <c r="E8909" t="s">
        <v>26707</v>
      </c>
      <c r="F8909" t="s">
        <v>32606</v>
      </c>
      <c r="G8909" t="s">
        <v>32614</v>
      </c>
      <c r="H8909" t="s">
        <v>32624</v>
      </c>
      <c r="I8909" t="s">
        <v>32633</v>
      </c>
      <c r="J8909" t="s">
        <v>32923</v>
      </c>
      <c r="K8909" t="s">
        <v>42622</v>
      </c>
      <c r="M8909" t="s">
        <v>45402</v>
      </c>
      <c r="N8909" t="s">
        <v>47304</v>
      </c>
      <c r="O8909" t="s">
        <v>47305</v>
      </c>
      <c r="P8909">
        <v>0</v>
      </c>
      <c r="Q8909">
        <v>2</v>
      </c>
      <c r="R8909" t="s">
        <v>47312</v>
      </c>
      <c r="S8909" t="s">
        <v>47489</v>
      </c>
      <c r="T8909" t="s">
        <v>49165</v>
      </c>
      <c r="U8909" t="s">
        <v>56905</v>
      </c>
      <c r="W8909" t="s">
        <v>45402</v>
      </c>
      <c r="X8909" t="s">
        <v>47313</v>
      </c>
    </row>
    <row r="8910" spans="1:24">
      <c r="A8910">
        <f>HYPERLINK("https://www.philgeps.gov.ph/GEPSNONPILOT/Tender/SplashBidNoticeAbstractUI.aspx?menuIndex=3&amp;refID=7189623&amp;Result=3","7189623")</f>
        <v>0</v>
      </c>
      <c r="B8910" t="s">
        <v>2800</v>
      </c>
      <c r="C8910" t="s">
        <v>12251</v>
      </c>
      <c r="D8910" t="s">
        <v>18993</v>
      </c>
      <c r="E8910" t="s">
        <v>26708</v>
      </c>
      <c r="F8910" t="s">
        <v>32606</v>
      </c>
      <c r="G8910" t="s">
        <v>32613</v>
      </c>
      <c r="H8910" t="s">
        <v>14201</v>
      </c>
      <c r="I8910" t="s">
        <v>6298</v>
      </c>
      <c r="J8910" t="s">
        <v>38279</v>
      </c>
      <c r="K8910" t="s">
        <v>42622</v>
      </c>
      <c r="M8910" t="s">
        <v>45962</v>
      </c>
      <c r="N8910" t="s">
        <v>47304</v>
      </c>
      <c r="O8910" t="s">
        <v>47305</v>
      </c>
      <c r="P8910">
        <v>0</v>
      </c>
      <c r="Q8910">
        <v>3</v>
      </c>
      <c r="R8910" t="s">
        <v>47312</v>
      </c>
      <c r="S8910" t="s">
        <v>47489</v>
      </c>
      <c r="T8910" t="s">
        <v>49047</v>
      </c>
      <c r="U8910" t="s">
        <v>56906</v>
      </c>
      <c r="W8910" t="s">
        <v>45962</v>
      </c>
      <c r="X8910" t="s">
        <v>47313</v>
      </c>
    </row>
    <row r="8911" spans="1:24">
      <c r="A8911">
        <f>HYPERLINK("https://www.philgeps.gov.ph/GEPSNONPILOT/Tender/SplashBidNoticeAbstractUI.aspx?menuIndex=3&amp;refID=7189621&amp;Result=3","7189621")</f>
        <v>0</v>
      </c>
      <c r="B8911" t="s">
        <v>2797</v>
      </c>
      <c r="C8911" t="s">
        <v>12252</v>
      </c>
      <c r="D8911" t="s">
        <v>18995</v>
      </c>
      <c r="E8911" t="s">
        <v>26709</v>
      </c>
      <c r="F8911" t="s">
        <v>32606</v>
      </c>
      <c r="G8911" t="s">
        <v>32614</v>
      </c>
      <c r="H8911" t="s">
        <v>14201</v>
      </c>
      <c r="I8911" t="s">
        <v>4120</v>
      </c>
      <c r="J8911" t="s">
        <v>33650</v>
      </c>
      <c r="K8911" t="s">
        <v>42630</v>
      </c>
      <c r="M8911" t="s">
        <v>45959</v>
      </c>
      <c r="N8911" t="s">
        <v>47304</v>
      </c>
      <c r="O8911" t="s">
        <v>47305</v>
      </c>
      <c r="P8911">
        <v>0</v>
      </c>
      <c r="Q8911">
        <v>5</v>
      </c>
      <c r="R8911" t="s">
        <v>47312</v>
      </c>
      <c r="S8911" t="s">
        <v>47489</v>
      </c>
      <c r="T8911" t="s">
        <v>49268</v>
      </c>
      <c r="U8911" t="s">
        <v>56892</v>
      </c>
      <c r="W8911" t="s">
        <v>45959</v>
      </c>
      <c r="X8911" t="s">
        <v>47313</v>
      </c>
    </row>
    <row r="8912" spans="1:24">
      <c r="A8912">
        <f>HYPERLINK("https://www.philgeps.gov.ph/GEPSNONPILOT/Tender/SplashBidNoticeAbstractUI.aspx?menuIndex=3&amp;refID=7189616&amp;Result=3","7189616")</f>
        <v>0</v>
      </c>
      <c r="B8912" t="s">
        <v>1142</v>
      </c>
      <c r="C8912" t="s">
        <v>12253</v>
      </c>
      <c r="D8912" t="s">
        <v>19040</v>
      </c>
      <c r="E8912" t="s">
        <v>26710</v>
      </c>
      <c r="F8912" t="s">
        <v>32606</v>
      </c>
      <c r="G8912" t="s">
        <v>32614</v>
      </c>
      <c r="H8912" t="s">
        <v>14201</v>
      </c>
      <c r="I8912" t="s">
        <v>4369</v>
      </c>
      <c r="J8912" t="s">
        <v>38280</v>
      </c>
      <c r="K8912" t="s">
        <v>42623</v>
      </c>
      <c r="M8912" t="s">
        <v>44104</v>
      </c>
      <c r="N8912" t="s">
        <v>47304</v>
      </c>
      <c r="O8912" t="s">
        <v>47305</v>
      </c>
      <c r="P8912">
        <v>0</v>
      </c>
      <c r="Q8912">
        <v>7</v>
      </c>
      <c r="R8912" t="s">
        <v>47312</v>
      </c>
      <c r="S8912" t="s">
        <v>47489</v>
      </c>
      <c r="T8912" t="s">
        <v>48997</v>
      </c>
      <c r="U8912" t="s">
        <v>56907</v>
      </c>
      <c r="W8912" t="s">
        <v>44104</v>
      </c>
      <c r="X8912" t="s">
        <v>47313</v>
      </c>
    </row>
    <row r="8913" spans="1:24">
      <c r="A8913">
        <f>HYPERLINK("https://www.philgeps.gov.ph/GEPSNONPILOT/Tender/SplashBidNoticeAbstractUI.aspx?menuIndex=3&amp;refID=7189638&amp;Result=3","7189638")</f>
        <v>0</v>
      </c>
      <c r="B8913" t="s">
        <v>2797</v>
      </c>
      <c r="C8913" t="s">
        <v>12254</v>
      </c>
      <c r="E8913" t="s">
        <v>26711</v>
      </c>
      <c r="F8913" t="s">
        <v>32606</v>
      </c>
      <c r="G8913" t="s">
        <v>32614</v>
      </c>
      <c r="H8913" t="s">
        <v>14201</v>
      </c>
      <c r="I8913" t="s">
        <v>6298</v>
      </c>
      <c r="J8913" t="s">
        <v>33215</v>
      </c>
      <c r="K8913" t="s">
        <v>42630</v>
      </c>
      <c r="M8913" t="s">
        <v>45959</v>
      </c>
      <c r="N8913" t="s">
        <v>47304</v>
      </c>
      <c r="O8913" t="s">
        <v>47305</v>
      </c>
      <c r="P8913">
        <v>0</v>
      </c>
      <c r="Q8913">
        <v>6</v>
      </c>
      <c r="R8913" t="s">
        <v>47312</v>
      </c>
      <c r="S8913" t="s">
        <v>47489</v>
      </c>
      <c r="T8913" t="s">
        <v>49268</v>
      </c>
      <c r="U8913" t="s">
        <v>56892</v>
      </c>
      <c r="W8913" t="s">
        <v>45959</v>
      </c>
      <c r="X8913" t="s">
        <v>47313</v>
      </c>
    </row>
    <row r="8914" spans="1:24">
      <c r="A8914">
        <f>HYPERLINK("https://www.philgeps.gov.ph/GEPSNONPILOT/Tender/SplashBidNoticeAbstractUI.aspx?menuIndex=3&amp;refID=7189614&amp;Result=3","7189614")</f>
        <v>0</v>
      </c>
      <c r="B8914" t="s">
        <v>2776</v>
      </c>
      <c r="C8914" t="s">
        <v>12255</v>
      </c>
      <c r="D8914" t="s">
        <v>18993</v>
      </c>
      <c r="E8914" t="s">
        <v>26712</v>
      </c>
      <c r="F8914" t="s">
        <v>32606</v>
      </c>
      <c r="G8914" t="s">
        <v>32613</v>
      </c>
      <c r="H8914" t="s">
        <v>14201</v>
      </c>
      <c r="I8914" t="s">
        <v>32669</v>
      </c>
      <c r="J8914" t="s">
        <v>38281</v>
      </c>
      <c r="K8914" t="s">
        <v>42624</v>
      </c>
      <c r="M8914" t="s">
        <v>45938</v>
      </c>
      <c r="N8914" t="s">
        <v>47304</v>
      </c>
      <c r="O8914" t="s">
        <v>47305</v>
      </c>
      <c r="Q8914">
        <v>6</v>
      </c>
      <c r="R8914" t="s">
        <v>47312</v>
      </c>
      <c r="S8914" t="s">
        <v>47530</v>
      </c>
      <c r="T8914" t="s">
        <v>49111</v>
      </c>
      <c r="U8914" t="s">
        <v>56908</v>
      </c>
      <c r="V8914" t="s">
        <v>63572</v>
      </c>
      <c r="W8914" t="s">
        <v>45938</v>
      </c>
      <c r="X8914" t="s">
        <v>47313</v>
      </c>
    </row>
    <row r="8915" spans="1:24">
      <c r="A8915">
        <f>HYPERLINK("https://www.philgeps.gov.ph/GEPSNONPILOT/Tender/SplashBidNoticeAbstractUI.aspx?menuIndex=3&amp;refID=7189626&amp;Result=3","7189626")</f>
        <v>0</v>
      </c>
      <c r="B8915" t="s">
        <v>1734</v>
      </c>
      <c r="C8915" t="s">
        <v>12256</v>
      </c>
      <c r="D8915" t="s">
        <v>18993</v>
      </c>
      <c r="E8915" t="s">
        <v>26713</v>
      </c>
      <c r="F8915" t="s">
        <v>32606</v>
      </c>
      <c r="G8915" t="s">
        <v>32614</v>
      </c>
      <c r="H8915" t="s">
        <v>32624</v>
      </c>
      <c r="I8915" t="s">
        <v>32652</v>
      </c>
      <c r="J8915" t="s">
        <v>38282</v>
      </c>
      <c r="K8915" t="s">
        <v>42688</v>
      </c>
      <c r="M8915" t="s">
        <v>44766</v>
      </c>
      <c r="N8915" t="s">
        <v>47304</v>
      </c>
      <c r="O8915" t="s">
        <v>47305</v>
      </c>
      <c r="P8915">
        <v>0</v>
      </c>
      <c r="Q8915">
        <v>1</v>
      </c>
      <c r="R8915" t="s">
        <v>47312</v>
      </c>
      <c r="S8915" t="s">
        <v>47489</v>
      </c>
      <c r="T8915" t="s">
        <v>49186</v>
      </c>
      <c r="U8915" t="s">
        <v>56898</v>
      </c>
      <c r="W8915" t="s">
        <v>44766</v>
      </c>
      <c r="X8915" t="s">
        <v>47313</v>
      </c>
    </row>
    <row r="8916" spans="1:24">
      <c r="A8916">
        <f>HYPERLINK("https://www.philgeps.gov.ph/GEPSNONPILOT/Tender/SplashBidNoticeAbstractUI.aspx?menuIndex=3&amp;refID=7189630&amp;Result=3","7189630")</f>
        <v>0</v>
      </c>
      <c r="B8916" t="s">
        <v>2788</v>
      </c>
      <c r="C8916" t="s">
        <v>12257</v>
      </c>
      <c r="D8916" t="s">
        <v>18997</v>
      </c>
      <c r="E8916" t="s">
        <v>26714</v>
      </c>
      <c r="F8916" t="s">
        <v>32606</v>
      </c>
      <c r="G8916" t="s">
        <v>32614</v>
      </c>
      <c r="H8916" t="s">
        <v>14201</v>
      </c>
      <c r="I8916" t="s">
        <v>6014</v>
      </c>
      <c r="J8916" t="s">
        <v>38283</v>
      </c>
      <c r="K8916" t="s">
        <v>42624</v>
      </c>
      <c r="M8916" t="s">
        <v>45950</v>
      </c>
      <c r="N8916" t="s">
        <v>47304</v>
      </c>
      <c r="O8916" t="s">
        <v>47305</v>
      </c>
      <c r="P8916">
        <v>0</v>
      </c>
      <c r="Q8916">
        <v>0</v>
      </c>
      <c r="R8916" t="s">
        <v>47312</v>
      </c>
      <c r="S8916" t="s">
        <v>47489</v>
      </c>
      <c r="T8916" t="s">
        <v>49018</v>
      </c>
      <c r="U8916" t="s">
        <v>56902</v>
      </c>
      <c r="W8916" t="s">
        <v>45950</v>
      </c>
      <c r="X8916" t="s">
        <v>47313</v>
      </c>
    </row>
    <row r="8917" spans="1:24">
      <c r="A8917">
        <f>HYPERLINK("https://www.philgeps.gov.ph/GEPSNONPILOT/Tender/SplashBidNoticeAbstractUI.aspx?menuIndex=3&amp;refID=7189608&amp;Result=3","7189608")</f>
        <v>0</v>
      </c>
      <c r="B8917" t="s">
        <v>2793</v>
      </c>
      <c r="C8917" t="s">
        <v>12258</v>
      </c>
      <c r="D8917" t="s">
        <v>18999</v>
      </c>
      <c r="E8917" t="s">
        <v>26715</v>
      </c>
      <c r="F8917" t="s">
        <v>32606</v>
      </c>
      <c r="G8917" t="s">
        <v>32614</v>
      </c>
      <c r="H8917" t="s">
        <v>14201</v>
      </c>
      <c r="I8917" t="s">
        <v>32644</v>
      </c>
      <c r="J8917" t="s">
        <v>33529</v>
      </c>
      <c r="K8917" t="s">
        <v>42636</v>
      </c>
      <c r="M8917" t="s">
        <v>45955</v>
      </c>
      <c r="N8917" t="s">
        <v>47304</v>
      </c>
      <c r="O8917" t="s">
        <v>47305</v>
      </c>
      <c r="P8917">
        <v>0</v>
      </c>
      <c r="Q8917">
        <v>7</v>
      </c>
      <c r="R8917" t="s">
        <v>47312</v>
      </c>
      <c r="S8917" t="s">
        <v>47489</v>
      </c>
      <c r="T8917" t="s">
        <v>49071</v>
      </c>
      <c r="U8917" t="s">
        <v>56909</v>
      </c>
      <c r="W8917" t="s">
        <v>45955</v>
      </c>
      <c r="X8917" t="s">
        <v>47313</v>
      </c>
    </row>
    <row r="8918" spans="1:24">
      <c r="A8918">
        <f>HYPERLINK("https://www.philgeps.gov.ph/GEPSNONPILOT/Tender/SplashBidNoticeAbstractUI.aspx?menuIndex=3&amp;refID=7189639&amp;Result=3","7189639")</f>
        <v>0</v>
      </c>
      <c r="B8918" t="s">
        <v>1476</v>
      </c>
      <c r="C8918" t="s">
        <v>12259</v>
      </c>
      <c r="D8918" t="s">
        <v>18995</v>
      </c>
      <c r="E8918" t="s">
        <v>19315</v>
      </c>
      <c r="F8918" t="s">
        <v>32606</v>
      </c>
      <c r="G8918" t="s">
        <v>32613</v>
      </c>
      <c r="H8918" t="s">
        <v>14201</v>
      </c>
      <c r="I8918" t="s">
        <v>4369</v>
      </c>
      <c r="J8918" t="s">
        <v>38284</v>
      </c>
      <c r="K8918" t="s">
        <v>42631</v>
      </c>
      <c r="M8918" t="s">
        <v>45519</v>
      </c>
      <c r="N8918" t="s">
        <v>47304</v>
      </c>
      <c r="O8918" t="s">
        <v>47305</v>
      </c>
      <c r="P8918">
        <v>0</v>
      </c>
      <c r="Q8918">
        <v>10</v>
      </c>
      <c r="R8918" t="s">
        <v>47312</v>
      </c>
      <c r="S8918" t="s">
        <v>47489</v>
      </c>
      <c r="T8918" t="s">
        <v>49029</v>
      </c>
      <c r="U8918" t="s">
        <v>56910</v>
      </c>
      <c r="W8918" t="s">
        <v>45519</v>
      </c>
      <c r="X8918" t="s">
        <v>47313</v>
      </c>
    </row>
    <row r="8919" spans="1:24">
      <c r="A8919">
        <f>HYPERLINK("https://www.philgeps.gov.ph/GEPSNONPILOT/Tender/SplashBidNoticeAbstractUI.aspx?menuIndex=3&amp;refID=7189613&amp;Result=3","7189613")</f>
        <v>0</v>
      </c>
      <c r="B8919" t="s">
        <v>2788</v>
      </c>
      <c r="C8919" t="s">
        <v>12260</v>
      </c>
      <c r="D8919" t="s">
        <v>18997</v>
      </c>
      <c r="E8919" t="s">
        <v>26716</v>
      </c>
      <c r="F8919" t="s">
        <v>32606</v>
      </c>
      <c r="G8919" t="s">
        <v>32614</v>
      </c>
      <c r="H8919" t="s">
        <v>14201</v>
      </c>
      <c r="I8919" t="s">
        <v>4678</v>
      </c>
      <c r="J8919" t="s">
        <v>33986</v>
      </c>
      <c r="K8919" t="s">
        <v>42624</v>
      </c>
      <c r="M8919" t="s">
        <v>45950</v>
      </c>
      <c r="N8919" t="s">
        <v>47304</v>
      </c>
      <c r="O8919" t="s">
        <v>47305</v>
      </c>
      <c r="P8919">
        <v>0</v>
      </c>
      <c r="Q8919">
        <v>1</v>
      </c>
      <c r="R8919" t="s">
        <v>47312</v>
      </c>
      <c r="S8919" t="s">
        <v>47489</v>
      </c>
      <c r="T8919" t="s">
        <v>49018</v>
      </c>
      <c r="U8919" t="s">
        <v>56902</v>
      </c>
      <c r="W8919" t="s">
        <v>45950</v>
      </c>
      <c r="X8919" t="s">
        <v>47313</v>
      </c>
    </row>
    <row r="8920" spans="1:24">
      <c r="A8920">
        <f>HYPERLINK("https://www.philgeps.gov.ph/GEPSNONPILOT/Tender/SplashBidNoticeAbstractUI.aspx?menuIndex=3&amp;refID=7189627&amp;Result=3","7189627")</f>
        <v>0</v>
      </c>
      <c r="B8920" t="s">
        <v>500</v>
      </c>
      <c r="C8920" t="s">
        <v>12261</v>
      </c>
      <c r="D8920" t="s">
        <v>19024</v>
      </c>
      <c r="E8920" t="s">
        <v>26717</v>
      </c>
      <c r="F8920" t="s">
        <v>32607</v>
      </c>
      <c r="G8920" t="s">
        <v>32614</v>
      </c>
      <c r="H8920" t="s">
        <v>14201</v>
      </c>
      <c r="I8920" t="s">
        <v>32650</v>
      </c>
      <c r="J8920" t="s">
        <v>38285</v>
      </c>
      <c r="K8920" t="s">
        <v>42632</v>
      </c>
      <c r="M8920" t="s">
        <v>43413</v>
      </c>
      <c r="N8920" t="s">
        <v>47304</v>
      </c>
      <c r="O8920" t="s">
        <v>47305</v>
      </c>
      <c r="P8920">
        <v>0</v>
      </c>
      <c r="Q8920">
        <v>0</v>
      </c>
      <c r="R8920" t="s">
        <v>47312</v>
      </c>
      <c r="S8920" t="s">
        <v>47489</v>
      </c>
      <c r="T8920" t="s">
        <v>49072</v>
      </c>
      <c r="U8920" t="s">
        <v>56911</v>
      </c>
      <c r="W8920" t="s">
        <v>43413</v>
      </c>
      <c r="X8920" t="s">
        <v>47313</v>
      </c>
    </row>
    <row r="8921" spans="1:24">
      <c r="A8921">
        <f>HYPERLINK("https://www.philgeps.gov.ph/GEPSNONPILOT/Tender/SplashBidNoticeAbstractUI.aspx?menuIndex=3&amp;refID=7189688&amp;Result=3","7189688")</f>
        <v>0</v>
      </c>
      <c r="B8921" t="s">
        <v>2801</v>
      </c>
      <c r="C8921" t="s">
        <v>12262</v>
      </c>
      <c r="D8921" t="s">
        <v>19019</v>
      </c>
      <c r="E8921" t="s">
        <v>26718</v>
      </c>
      <c r="F8921" t="s">
        <v>32606</v>
      </c>
      <c r="G8921" t="s">
        <v>32619</v>
      </c>
      <c r="H8921" t="s">
        <v>14201</v>
      </c>
      <c r="I8921" t="s">
        <v>32633</v>
      </c>
      <c r="J8921" t="s">
        <v>33610</v>
      </c>
      <c r="K8921" t="s">
        <v>42631</v>
      </c>
      <c r="M8921" t="s">
        <v>45963</v>
      </c>
      <c r="N8921" t="s">
        <v>47304</v>
      </c>
      <c r="O8921" t="s">
        <v>47305</v>
      </c>
      <c r="P8921">
        <v>0</v>
      </c>
      <c r="Q8921">
        <v>12</v>
      </c>
      <c r="R8921" t="s">
        <v>47312</v>
      </c>
      <c r="S8921" t="s">
        <v>47489</v>
      </c>
      <c r="T8921" t="s">
        <v>49257</v>
      </c>
      <c r="U8921" t="s">
        <v>56912</v>
      </c>
      <c r="W8921" t="s">
        <v>45963</v>
      </c>
      <c r="X8921" t="s">
        <v>47313</v>
      </c>
    </row>
    <row r="8922" spans="1:24">
      <c r="A8922">
        <f>HYPERLINK("https://www.philgeps.gov.ph/GEPSNONPILOT/Tender/SplashBidNoticeAbstractUI.aspx?menuIndex=3&amp;refID=7189684&amp;Result=3","7189684")</f>
        <v>0</v>
      </c>
      <c r="B8922" t="s">
        <v>2788</v>
      </c>
      <c r="C8922" t="s">
        <v>12263</v>
      </c>
      <c r="D8922" t="s">
        <v>18997</v>
      </c>
      <c r="E8922" t="s">
        <v>26719</v>
      </c>
      <c r="F8922" t="s">
        <v>32606</v>
      </c>
      <c r="G8922" t="s">
        <v>32614</v>
      </c>
      <c r="H8922" t="s">
        <v>14201</v>
      </c>
      <c r="I8922" t="s">
        <v>6007</v>
      </c>
      <c r="J8922" t="s">
        <v>32813</v>
      </c>
      <c r="K8922" t="s">
        <v>42624</v>
      </c>
      <c r="M8922" t="s">
        <v>45950</v>
      </c>
      <c r="N8922" t="s">
        <v>47304</v>
      </c>
      <c r="O8922" t="s">
        <v>47305</v>
      </c>
      <c r="P8922">
        <v>0</v>
      </c>
      <c r="Q8922">
        <v>0</v>
      </c>
      <c r="R8922" t="s">
        <v>47312</v>
      </c>
      <c r="S8922" t="s">
        <v>47489</v>
      </c>
      <c r="T8922" t="s">
        <v>49404</v>
      </c>
      <c r="U8922" t="s">
        <v>56902</v>
      </c>
      <c r="W8922" t="s">
        <v>45950</v>
      </c>
      <c r="X8922" t="s">
        <v>47313</v>
      </c>
    </row>
    <row r="8923" spans="1:24">
      <c r="A8923">
        <f>HYPERLINK("https://www.philgeps.gov.ph/GEPSNONPILOT/Tender/SplashBidNoticeAbstractUI.aspx?menuIndex=3&amp;refID=7189682&amp;Result=3","7189682")</f>
        <v>0</v>
      </c>
      <c r="B8923" t="s">
        <v>2802</v>
      </c>
      <c r="C8923" t="s">
        <v>12264</v>
      </c>
      <c r="D8923" t="s">
        <v>19014</v>
      </c>
      <c r="E8923" t="s">
        <v>26720</v>
      </c>
      <c r="F8923" t="s">
        <v>32606</v>
      </c>
      <c r="G8923" t="s">
        <v>32613</v>
      </c>
      <c r="H8923" t="s">
        <v>14201</v>
      </c>
      <c r="I8923" t="s">
        <v>6931</v>
      </c>
      <c r="J8923" t="s">
        <v>38286</v>
      </c>
      <c r="K8923" t="s">
        <v>42622</v>
      </c>
      <c r="M8923" t="s">
        <v>45964</v>
      </c>
      <c r="N8923" t="s">
        <v>47304</v>
      </c>
      <c r="O8923" t="s">
        <v>47305</v>
      </c>
      <c r="P8923">
        <v>0</v>
      </c>
      <c r="Q8923">
        <v>2</v>
      </c>
      <c r="R8923" t="s">
        <v>47312</v>
      </c>
      <c r="S8923" t="s">
        <v>47489</v>
      </c>
      <c r="T8923" t="s">
        <v>49072</v>
      </c>
      <c r="U8923" t="s">
        <v>56913</v>
      </c>
      <c r="W8923" t="s">
        <v>45964</v>
      </c>
      <c r="X8923" t="s">
        <v>47313</v>
      </c>
    </row>
    <row r="8924" spans="1:24">
      <c r="A8924">
        <f>HYPERLINK("https://www.philgeps.gov.ph/GEPSNONPILOT/Tender/SplashBidNoticeAbstractUI.aspx?menuIndex=3&amp;refID=7189681&amp;Result=3","7189681")</f>
        <v>0</v>
      </c>
      <c r="B8924" t="s">
        <v>2803</v>
      </c>
      <c r="C8924" t="s">
        <v>12265</v>
      </c>
      <c r="D8924" t="s">
        <v>18997</v>
      </c>
      <c r="E8924" t="s">
        <v>26721</v>
      </c>
      <c r="F8924" t="s">
        <v>32606</v>
      </c>
      <c r="G8924" t="s">
        <v>32614</v>
      </c>
      <c r="H8924" t="s">
        <v>14201</v>
      </c>
      <c r="I8924" t="s">
        <v>8682</v>
      </c>
      <c r="J8924" t="s">
        <v>38287</v>
      </c>
      <c r="K8924" t="s">
        <v>42631</v>
      </c>
      <c r="M8924" t="s">
        <v>45965</v>
      </c>
      <c r="N8924" t="s">
        <v>47304</v>
      </c>
      <c r="O8924" t="s">
        <v>47305</v>
      </c>
      <c r="P8924">
        <v>0</v>
      </c>
      <c r="Q8924">
        <v>3</v>
      </c>
      <c r="R8924" t="s">
        <v>47312</v>
      </c>
      <c r="S8924" t="s">
        <v>47489</v>
      </c>
      <c r="T8924" t="s">
        <v>49053</v>
      </c>
      <c r="U8924" t="s">
        <v>56914</v>
      </c>
      <c r="W8924" t="s">
        <v>45965</v>
      </c>
      <c r="X8924" t="s">
        <v>47313</v>
      </c>
    </row>
    <row r="8925" spans="1:24">
      <c r="A8925">
        <f>HYPERLINK("https://www.philgeps.gov.ph/GEPSNONPILOT/Tender/SplashBidNoticeAbstractUI.aspx?menuIndex=3&amp;refID=7189677&amp;Result=3","7189677")</f>
        <v>0</v>
      </c>
      <c r="B8925" t="s">
        <v>2296</v>
      </c>
      <c r="C8925" t="s">
        <v>12266</v>
      </c>
      <c r="D8925" t="s">
        <v>19019</v>
      </c>
      <c r="E8925" t="s">
        <v>26722</v>
      </c>
      <c r="F8925" t="s">
        <v>32606</v>
      </c>
      <c r="G8925" t="s">
        <v>32619</v>
      </c>
      <c r="H8925" t="s">
        <v>32624</v>
      </c>
      <c r="I8925" t="s">
        <v>4114</v>
      </c>
      <c r="J8925" t="s">
        <v>32813</v>
      </c>
      <c r="K8925" t="s">
        <v>42622</v>
      </c>
      <c r="M8925" t="s">
        <v>45402</v>
      </c>
      <c r="N8925" t="s">
        <v>47304</v>
      </c>
      <c r="O8925" t="s">
        <v>47305</v>
      </c>
      <c r="P8925">
        <v>0</v>
      </c>
      <c r="Q8925">
        <v>2</v>
      </c>
      <c r="R8925" t="s">
        <v>47312</v>
      </c>
      <c r="S8925" t="s">
        <v>47489</v>
      </c>
      <c r="T8925" t="s">
        <v>49165</v>
      </c>
      <c r="U8925" t="s">
        <v>56915</v>
      </c>
      <c r="W8925" t="s">
        <v>45402</v>
      </c>
      <c r="X8925" t="s">
        <v>47313</v>
      </c>
    </row>
    <row r="8926" spans="1:24">
      <c r="A8926">
        <f>HYPERLINK("https://www.philgeps.gov.ph/GEPSNONPILOT/Tender/SplashBidNoticeAbstractUI.aspx?menuIndex=3&amp;refID=7189671&amp;Result=3","7189671")</f>
        <v>0</v>
      </c>
      <c r="B8926" t="s">
        <v>1694</v>
      </c>
      <c r="C8926" t="s">
        <v>12267</v>
      </c>
      <c r="D8926" t="s">
        <v>19061</v>
      </c>
      <c r="E8926" t="s">
        <v>26723</v>
      </c>
      <c r="F8926" t="s">
        <v>32606</v>
      </c>
      <c r="G8926" t="s">
        <v>32613</v>
      </c>
      <c r="H8926" t="s">
        <v>32623</v>
      </c>
      <c r="I8926" t="s">
        <v>17648</v>
      </c>
      <c r="J8926" t="s">
        <v>32830</v>
      </c>
      <c r="K8926" t="s">
        <v>42648</v>
      </c>
      <c r="M8926" t="s">
        <v>44723</v>
      </c>
      <c r="N8926" t="s">
        <v>47304</v>
      </c>
      <c r="O8926" t="s">
        <v>47305</v>
      </c>
      <c r="P8926">
        <v>0</v>
      </c>
      <c r="Q8926">
        <v>3</v>
      </c>
      <c r="R8926" t="s">
        <v>47312</v>
      </c>
      <c r="S8926" t="s">
        <v>47489</v>
      </c>
      <c r="T8926" t="s">
        <v>48988</v>
      </c>
      <c r="U8926" t="s">
        <v>56916</v>
      </c>
      <c r="W8926" t="s">
        <v>44723</v>
      </c>
      <c r="X8926" t="s">
        <v>47313</v>
      </c>
    </row>
    <row r="8927" spans="1:24">
      <c r="A8927">
        <f>HYPERLINK("https://www.philgeps.gov.ph/GEPSNONPILOT/Tender/SplashBidNoticeAbstractUI.aspx?menuIndex=3&amp;refID=7189669&amp;Result=3","7189669")</f>
        <v>0</v>
      </c>
      <c r="B8927" t="s">
        <v>2803</v>
      </c>
      <c r="C8927" t="s">
        <v>12268</v>
      </c>
      <c r="D8927" t="s">
        <v>18997</v>
      </c>
      <c r="E8927" t="s">
        <v>26724</v>
      </c>
      <c r="F8927" t="s">
        <v>32606</v>
      </c>
      <c r="G8927" t="s">
        <v>32614</v>
      </c>
      <c r="H8927" t="s">
        <v>14201</v>
      </c>
      <c r="I8927" t="s">
        <v>32640</v>
      </c>
      <c r="J8927" t="s">
        <v>32813</v>
      </c>
      <c r="K8927" t="s">
        <v>42631</v>
      </c>
      <c r="M8927" t="s">
        <v>45965</v>
      </c>
      <c r="N8927" t="s">
        <v>47304</v>
      </c>
      <c r="O8927" t="s">
        <v>47305</v>
      </c>
      <c r="P8927">
        <v>0</v>
      </c>
      <c r="Q8927">
        <v>4</v>
      </c>
      <c r="R8927" t="s">
        <v>47312</v>
      </c>
      <c r="S8927" t="s">
        <v>47489</v>
      </c>
      <c r="T8927" t="s">
        <v>49053</v>
      </c>
      <c r="U8927" t="s">
        <v>56917</v>
      </c>
      <c r="W8927" t="s">
        <v>45965</v>
      </c>
      <c r="X8927" t="s">
        <v>47313</v>
      </c>
    </row>
    <row r="8928" spans="1:24">
      <c r="A8928">
        <f>HYPERLINK("https://www.philgeps.gov.ph/GEPSNONPILOT/Tender/SplashBidNoticeAbstractUI.aspx?menuIndex=3&amp;refID=7189663&amp;Result=3","7189663")</f>
        <v>0</v>
      </c>
      <c r="B8928" t="s">
        <v>2804</v>
      </c>
      <c r="C8928" t="s">
        <v>12269</v>
      </c>
      <c r="D8928" t="s">
        <v>19023</v>
      </c>
      <c r="E8928" t="s">
        <v>26725</v>
      </c>
      <c r="F8928" t="s">
        <v>32606</v>
      </c>
      <c r="G8928" t="s">
        <v>32613</v>
      </c>
      <c r="H8928" t="s">
        <v>14201</v>
      </c>
      <c r="I8928" t="s">
        <v>32737</v>
      </c>
      <c r="J8928" t="s">
        <v>32833</v>
      </c>
      <c r="K8928" t="s">
        <v>42630</v>
      </c>
      <c r="M8928" t="s">
        <v>45966</v>
      </c>
      <c r="N8928" t="s">
        <v>47304</v>
      </c>
      <c r="O8928" t="s">
        <v>47305</v>
      </c>
      <c r="P8928">
        <v>0</v>
      </c>
      <c r="Q8928">
        <v>0</v>
      </c>
      <c r="R8928" t="s">
        <v>47312</v>
      </c>
      <c r="S8928" t="s">
        <v>47489</v>
      </c>
      <c r="T8928" t="s">
        <v>48979</v>
      </c>
      <c r="U8928" t="s">
        <v>56918</v>
      </c>
      <c r="W8928" t="s">
        <v>45966</v>
      </c>
      <c r="X8928" t="s">
        <v>47313</v>
      </c>
    </row>
    <row r="8929" spans="1:24">
      <c r="A8929">
        <f>HYPERLINK("https://www.philgeps.gov.ph/GEPSNONPILOT/Tender/SplashBidNoticeAbstractUI.aspx?menuIndex=3&amp;refID=7189661&amp;Result=3","7189661")</f>
        <v>0</v>
      </c>
      <c r="B8929" t="s">
        <v>271</v>
      </c>
      <c r="C8929" t="s">
        <v>12270</v>
      </c>
      <c r="D8929" t="s">
        <v>19040</v>
      </c>
      <c r="E8929" t="s">
        <v>26726</v>
      </c>
      <c r="F8929" t="s">
        <v>32606</v>
      </c>
      <c r="G8929" t="s">
        <v>32614</v>
      </c>
      <c r="H8929" t="s">
        <v>32623</v>
      </c>
      <c r="I8929" t="s">
        <v>17648</v>
      </c>
      <c r="J8929" t="s">
        <v>33102</v>
      </c>
      <c r="K8929" t="s">
        <v>42636</v>
      </c>
      <c r="M8929" t="s">
        <v>43172</v>
      </c>
      <c r="N8929" t="s">
        <v>47304</v>
      </c>
      <c r="O8929" t="s">
        <v>47305</v>
      </c>
      <c r="P8929">
        <v>0</v>
      </c>
      <c r="Q8929">
        <v>0</v>
      </c>
      <c r="R8929" t="s">
        <v>47312</v>
      </c>
      <c r="S8929" t="s">
        <v>47489</v>
      </c>
      <c r="T8929" t="s">
        <v>49068</v>
      </c>
      <c r="U8929" t="s">
        <v>56919</v>
      </c>
      <c r="W8929" t="s">
        <v>43172</v>
      </c>
      <c r="X8929" t="s">
        <v>47313</v>
      </c>
    </row>
    <row r="8930" spans="1:24">
      <c r="A8930">
        <f>HYPERLINK("https://www.philgeps.gov.ph/GEPSNONPILOT/Tender/SplashBidNoticeAbstractUI.aspx?menuIndex=3&amp;refID=7189657&amp;Result=3","7189657")</f>
        <v>0</v>
      </c>
      <c r="B8930" t="s">
        <v>2805</v>
      </c>
      <c r="C8930" t="s">
        <v>4636</v>
      </c>
      <c r="E8930" t="s">
        <v>21944</v>
      </c>
      <c r="F8930" t="s">
        <v>32606</v>
      </c>
      <c r="G8930" t="s">
        <v>32613</v>
      </c>
      <c r="H8930" t="s">
        <v>14201</v>
      </c>
      <c r="I8930" t="s">
        <v>6931</v>
      </c>
      <c r="J8930" t="s">
        <v>38288</v>
      </c>
      <c r="K8930" t="s">
        <v>42624</v>
      </c>
      <c r="M8930" t="s">
        <v>45967</v>
      </c>
      <c r="N8930" t="s">
        <v>47304</v>
      </c>
      <c r="O8930" t="s">
        <v>47305</v>
      </c>
      <c r="P8930">
        <v>0</v>
      </c>
      <c r="Q8930">
        <v>0</v>
      </c>
      <c r="R8930" t="s">
        <v>47312</v>
      </c>
      <c r="S8930" t="s">
        <v>47489</v>
      </c>
      <c r="T8930" t="s">
        <v>48980</v>
      </c>
      <c r="U8930" t="s">
        <v>56920</v>
      </c>
      <c r="W8930" t="s">
        <v>45967</v>
      </c>
      <c r="X8930" t="s">
        <v>47313</v>
      </c>
    </row>
    <row r="8931" spans="1:24">
      <c r="A8931">
        <f>HYPERLINK("https://www.philgeps.gov.ph/GEPSNONPILOT/Tender/SplashBidNoticeAbstractUI.aspx?menuIndex=3&amp;refID=7189651&amp;Result=3","7189651")</f>
        <v>0</v>
      </c>
      <c r="B8931" t="s">
        <v>1595</v>
      </c>
      <c r="C8931" t="s">
        <v>12271</v>
      </c>
      <c r="D8931" t="s">
        <v>19050</v>
      </c>
      <c r="E8931" t="s">
        <v>26727</v>
      </c>
      <c r="F8931" t="s">
        <v>32606</v>
      </c>
      <c r="G8931" t="s">
        <v>32614</v>
      </c>
      <c r="H8931" t="s">
        <v>14201</v>
      </c>
      <c r="I8931" t="s">
        <v>6931</v>
      </c>
      <c r="J8931" t="s">
        <v>32868</v>
      </c>
      <c r="K8931" t="s">
        <v>42622</v>
      </c>
      <c r="M8931" t="s">
        <v>44609</v>
      </c>
      <c r="N8931" t="s">
        <v>47304</v>
      </c>
      <c r="O8931" t="s">
        <v>47305</v>
      </c>
      <c r="P8931">
        <v>0</v>
      </c>
      <c r="Q8931">
        <v>0</v>
      </c>
      <c r="R8931" t="s">
        <v>47312</v>
      </c>
      <c r="S8931" t="s">
        <v>47489</v>
      </c>
      <c r="T8931" t="s">
        <v>49269</v>
      </c>
      <c r="U8931" t="s">
        <v>56921</v>
      </c>
      <c r="W8931" t="s">
        <v>44609</v>
      </c>
      <c r="X8931" t="s">
        <v>47313</v>
      </c>
    </row>
    <row r="8932" spans="1:24">
      <c r="A8932">
        <f>HYPERLINK("https://www.philgeps.gov.ph/GEPSNONPILOT/Tender/SplashBidNoticeAbstractUI.aspx?menuIndex=3&amp;refID=7189606&amp;Result=3","7189606")</f>
        <v>0</v>
      </c>
      <c r="B8932" t="s">
        <v>1497</v>
      </c>
      <c r="C8932" t="s">
        <v>12272</v>
      </c>
      <c r="D8932" t="s">
        <v>19015</v>
      </c>
      <c r="E8932" t="s">
        <v>26728</v>
      </c>
      <c r="F8932" t="s">
        <v>32606</v>
      </c>
      <c r="G8932" t="s">
        <v>32613</v>
      </c>
      <c r="H8932" t="s">
        <v>14201</v>
      </c>
      <c r="I8932" t="s">
        <v>7064</v>
      </c>
      <c r="J8932" t="s">
        <v>33757</v>
      </c>
      <c r="K8932" t="s">
        <v>42636</v>
      </c>
      <c r="M8932" t="s">
        <v>44493</v>
      </c>
      <c r="N8932" t="s">
        <v>47304</v>
      </c>
      <c r="O8932" t="s">
        <v>47305</v>
      </c>
      <c r="Q8932">
        <v>7</v>
      </c>
      <c r="R8932" t="s">
        <v>47312</v>
      </c>
      <c r="S8932" t="s">
        <v>47531</v>
      </c>
      <c r="T8932" t="s">
        <v>48973</v>
      </c>
      <c r="U8932" t="s">
        <v>56922</v>
      </c>
      <c r="V8932" t="s">
        <v>63586</v>
      </c>
      <c r="W8932" t="s">
        <v>44493</v>
      </c>
      <c r="X8932" t="s">
        <v>47313</v>
      </c>
    </row>
    <row r="8933" spans="1:24">
      <c r="A8933">
        <f>HYPERLINK("https://www.philgeps.gov.ph/GEPSNONPILOT/Tender/SplashBidNoticeAbstractUI.aspx?menuIndex=3&amp;refID=7189533&amp;Result=3","7189533")</f>
        <v>0</v>
      </c>
      <c r="B8933" t="s">
        <v>2102</v>
      </c>
      <c r="C8933" t="s">
        <v>12273</v>
      </c>
      <c r="D8933" t="s">
        <v>19050</v>
      </c>
      <c r="E8933" t="s">
        <v>26729</v>
      </c>
      <c r="F8933" t="s">
        <v>32606</v>
      </c>
      <c r="G8933" t="s">
        <v>32613</v>
      </c>
      <c r="H8933" t="s">
        <v>14201</v>
      </c>
      <c r="I8933" t="s">
        <v>32637</v>
      </c>
      <c r="J8933" t="s">
        <v>38289</v>
      </c>
      <c r="K8933" t="s">
        <v>42631</v>
      </c>
      <c r="M8933" t="s">
        <v>45187</v>
      </c>
      <c r="N8933" t="s">
        <v>47304</v>
      </c>
      <c r="O8933" t="s">
        <v>47305</v>
      </c>
      <c r="P8933">
        <v>0</v>
      </c>
      <c r="Q8933">
        <v>7</v>
      </c>
      <c r="R8933" t="s">
        <v>47312</v>
      </c>
      <c r="S8933" t="s">
        <v>47489</v>
      </c>
      <c r="T8933" t="s">
        <v>49095</v>
      </c>
      <c r="U8933" t="s">
        <v>54797</v>
      </c>
      <c r="W8933" t="s">
        <v>45187</v>
      </c>
      <c r="X8933" t="s">
        <v>47313</v>
      </c>
    </row>
    <row r="8934" spans="1:24">
      <c r="A8934">
        <f>HYPERLINK("https://www.philgeps.gov.ph/GEPSNONPILOT/Tender/SplashBidNoticeAbstractUI.aspx?menuIndex=3&amp;refID=7189690&amp;Result=3","7189690")</f>
        <v>0</v>
      </c>
      <c r="B8934" t="s">
        <v>437</v>
      </c>
      <c r="C8934" t="s">
        <v>12274</v>
      </c>
      <c r="D8934" t="s">
        <v>19003</v>
      </c>
      <c r="E8934" t="s">
        <v>26730</v>
      </c>
      <c r="F8934" t="s">
        <v>32606</v>
      </c>
      <c r="G8934" t="s">
        <v>32614</v>
      </c>
      <c r="H8934" t="s">
        <v>14201</v>
      </c>
      <c r="I8934" t="s">
        <v>32633</v>
      </c>
      <c r="J8934" t="s">
        <v>32799</v>
      </c>
      <c r="K8934" t="s">
        <v>42623</v>
      </c>
      <c r="M8934" t="s">
        <v>43343</v>
      </c>
      <c r="N8934" t="s">
        <v>47304</v>
      </c>
      <c r="O8934" t="s">
        <v>47305</v>
      </c>
      <c r="P8934">
        <v>0</v>
      </c>
      <c r="Q8934">
        <v>7</v>
      </c>
      <c r="R8934" t="s">
        <v>47312</v>
      </c>
      <c r="S8934" t="s">
        <v>47489</v>
      </c>
      <c r="T8934" t="s">
        <v>49315</v>
      </c>
      <c r="U8934" t="s">
        <v>56923</v>
      </c>
      <c r="V8934" t="s">
        <v>63587</v>
      </c>
      <c r="W8934" t="s">
        <v>43343</v>
      </c>
      <c r="X8934" t="s">
        <v>47313</v>
      </c>
    </row>
    <row r="8935" spans="1:24">
      <c r="A8935">
        <f>HYPERLINK("https://www.philgeps.gov.ph/GEPSNONPILOT/Tender/SplashBidNoticeAbstractUI.aspx?menuIndex=3&amp;refID=7189716&amp;Result=3","7189716")</f>
        <v>0</v>
      </c>
      <c r="B8935" t="s">
        <v>2806</v>
      </c>
      <c r="C8935" t="s">
        <v>12275</v>
      </c>
      <c r="D8935" t="s">
        <v>19024</v>
      </c>
      <c r="E8935" t="s">
        <v>26731</v>
      </c>
      <c r="F8935" t="s">
        <v>32606</v>
      </c>
      <c r="G8935" t="s">
        <v>32614</v>
      </c>
      <c r="H8935" t="s">
        <v>32623</v>
      </c>
      <c r="I8935" t="s">
        <v>17648</v>
      </c>
      <c r="J8935" t="s">
        <v>32789</v>
      </c>
      <c r="K8935" t="s">
        <v>42623</v>
      </c>
      <c r="M8935" t="s">
        <v>45968</v>
      </c>
      <c r="N8935" t="s">
        <v>47304</v>
      </c>
      <c r="O8935" t="s">
        <v>47305</v>
      </c>
      <c r="P8935">
        <v>0</v>
      </c>
      <c r="Q8935">
        <v>0</v>
      </c>
      <c r="R8935" t="s">
        <v>47312</v>
      </c>
      <c r="S8935" t="s">
        <v>47489</v>
      </c>
      <c r="T8935" t="s">
        <v>49047</v>
      </c>
      <c r="U8935" t="s">
        <v>56924</v>
      </c>
      <c r="W8935" t="s">
        <v>45968</v>
      </c>
      <c r="X8935" t="s">
        <v>47313</v>
      </c>
    </row>
    <row r="8936" spans="1:24">
      <c r="A8936">
        <f>HYPERLINK("https://www.philgeps.gov.ph/GEPSNONPILOT/Tender/SplashBidNoticeAbstractUI.aspx?menuIndex=3&amp;refID=7189615&amp;Result=3","7189615")</f>
        <v>0</v>
      </c>
      <c r="B8936" t="s">
        <v>1088</v>
      </c>
      <c r="C8936" t="s">
        <v>12276</v>
      </c>
      <c r="D8936" t="s">
        <v>19006</v>
      </c>
      <c r="E8936" t="s">
        <v>26732</v>
      </c>
      <c r="F8936" t="s">
        <v>32606</v>
      </c>
      <c r="G8936" t="s">
        <v>32617</v>
      </c>
      <c r="H8936" t="s">
        <v>14201</v>
      </c>
      <c r="I8936" t="s">
        <v>4120</v>
      </c>
      <c r="J8936" t="s">
        <v>38290</v>
      </c>
      <c r="K8936" t="s">
        <v>42627</v>
      </c>
      <c r="M8936" t="s">
        <v>44043</v>
      </c>
      <c r="N8936" t="s">
        <v>47304</v>
      </c>
      <c r="O8936" t="s">
        <v>47305</v>
      </c>
      <c r="P8936">
        <v>0</v>
      </c>
      <c r="Q8936">
        <v>2</v>
      </c>
      <c r="R8936" t="s">
        <v>47312</v>
      </c>
      <c r="S8936" t="s">
        <v>47489</v>
      </c>
      <c r="T8936" t="s">
        <v>49268</v>
      </c>
      <c r="U8936" t="s">
        <v>51746</v>
      </c>
      <c r="W8936" t="s">
        <v>44043</v>
      </c>
      <c r="X8936" t="s">
        <v>47313</v>
      </c>
    </row>
    <row r="8937" spans="1:24">
      <c r="A8937">
        <f>HYPERLINK("https://www.philgeps.gov.ph/GEPSNONPILOT/Tender/SplashBidNoticeAbstractUI.aspx?menuIndex=3&amp;refID=7189666&amp;Result=3","7189666")</f>
        <v>0</v>
      </c>
      <c r="B8937" t="s">
        <v>2788</v>
      </c>
      <c r="C8937" t="s">
        <v>12277</v>
      </c>
      <c r="D8937" t="s">
        <v>18997</v>
      </c>
      <c r="E8937" t="s">
        <v>26733</v>
      </c>
      <c r="F8937" t="s">
        <v>32606</v>
      </c>
      <c r="G8937" t="s">
        <v>32614</v>
      </c>
      <c r="H8937" t="s">
        <v>14201</v>
      </c>
      <c r="I8937" t="s">
        <v>4678</v>
      </c>
      <c r="J8937" t="s">
        <v>32958</v>
      </c>
      <c r="K8937" t="s">
        <v>42624</v>
      </c>
      <c r="M8937" t="s">
        <v>45950</v>
      </c>
      <c r="N8937" t="s">
        <v>47304</v>
      </c>
      <c r="O8937" t="s">
        <v>47305</v>
      </c>
      <c r="P8937">
        <v>0</v>
      </c>
      <c r="Q8937">
        <v>1</v>
      </c>
      <c r="R8937" t="s">
        <v>47312</v>
      </c>
      <c r="S8937" t="s">
        <v>47489</v>
      </c>
      <c r="T8937" t="s">
        <v>49018</v>
      </c>
      <c r="U8937" t="s">
        <v>56902</v>
      </c>
      <c r="W8937" t="s">
        <v>45950</v>
      </c>
      <c r="X8937" t="s">
        <v>47313</v>
      </c>
    </row>
    <row r="8938" spans="1:24">
      <c r="A8938">
        <f>HYPERLINK("https://www.philgeps.gov.ph/GEPSNONPILOT/Tender/SplashBidNoticeAbstractUI.aspx?menuIndex=3&amp;refID=7189720&amp;Result=3","7189720")</f>
        <v>0</v>
      </c>
      <c r="B8938" t="s">
        <v>2803</v>
      </c>
      <c r="C8938" t="s">
        <v>12278</v>
      </c>
      <c r="D8938" t="s">
        <v>18997</v>
      </c>
      <c r="E8938" t="s">
        <v>26734</v>
      </c>
      <c r="F8938" t="s">
        <v>32606</v>
      </c>
      <c r="G8938" t="s">
        <v>32614</v>
      </c>
      <c r="H8938" t="s">
        <v>14201</v>
      </c>
      <c r="I8938" t="s">
        <v>32640</v>
      </c>
      <c r="J8938" t="s">
        <v>33125</v>
      </c>
      <c r="K8938" t="s">
        <v>42631</v>
      </c>
      <c r="M8938" t="s">
        <v>45965</v>
      </c>
      <c r="N8938" t="s">
        <v>47304</v>
      </c>
      <c r="O8938" t="s">
        <v>47305</v>
      </c>
      <c r="P8938">
        <v>0</v>
      </c>
      <c r="Q8938">
        <v>1</v>
      </c>
      <c r="R8938" t="s">
        <v>47312</v>
      </c>
      <c r="S8938" t="s">
        <v>47489</v>
      </c>
      <c r="T8938" t="s">
        <v>49053</v>
      </c>
      <c r="U8938" t="s">
        <v>56925</v>
      </c>
      <c r="W8938" t="s">
        <v>45965</v>
      </c>
      <c r="X8938" t="s">
        <v>47313</v>
      </c>
    </row>
    <row r="8939" spans="1:24">
      <c r="A8939">
        <f>HYPERLINK("https://www.philgeps.gov.ph/GEPSNONPILOT/Tender/SplashBidNoticeAbstractUI.aspx?menuIndex=3&amp;refID=7189719&amp;Result=3","7189719")</f>
        <v>0</v>
      </c>
      <c r="B8939" t="s">
        <v>555</v>
      </c>
      <c r="C8939" t="s">
        <v>12279</v>
      </c>
      <c r="D8939" t="s">
        <v>18993</v>
      </c>
      <c r="E8939" t="s">
        <v>26735</v>
      </c>
      <c r="F8939" t="s">
        <v>32606</v>
      </c>
      <c r="G8939" t="s">
        <v>32613</v>
      </c>
      <c r="H8939" t="s">
        <v>14201</v>
      </c>
      <c r="I8939" t="s">
        <v>32638</v>
      </c>
      <c r="J8939" t="s">
        <v>38291</v>
      </c>
      <c r="K8939" t="s">
        <v>42630</v>
      </c>
      <c r="M8939" t="s">
        <v>45969</v>
      </c>
      <c r="N8939" t="s">
        <v>47304</v>
      </c>
      <c r="O8939" t="s">
        <v>47305</v>
      </c>
      <c r="P8939">
        <v>0</v>
      </c>
      <c r="Q8939">
        <v>6</v>
      </c>
      <c r="R8939" t="s">
        <v>47312</v>
      </c>
      <c r="S8939" t="s">
        <v>47489</v>
      </c>
      <c r="T8939" t="s">
        <v>49390</v>
      </c>
      <c r="U8939" t="s">
        <v>56926</v>
      </c>
      <c r="W8939" t="s">
        <v>45969</v>
      </c>
      <c r="X8939" t="s">
        <v>47313</v>
      </c>
    </row>
    <row r="8940" spans="1:24">
      <c r="A8940">
        <f>HYPERLINK("https://www.philgeps.gov.ph/GEPSNONPILOT/Tender/SplashBidNoticeAbstractUI.aspx?menuIndex=3&amp;refID=7189715&amp;Result=3","7189715")</f>
        <v>0</v>
      </c>
      <c r="B8940" t="s">
        <v>2807</v>
      </c>
      <c r="C8940" t="s">
        <v>12280</v>
      </c>
      <c r="D8940" t="s">
        <v>18988</v>
      </c>
      <c r="E8940" t="s">
        <v>26736</v>
      </c>
      <c r="F8940" t="s">
        <v>32607</v>
      </c>
      <c r="G8940" t="s">
        <v>32614</v>
      </c>
      <c r="H8940" t="s">
        <v>14201</v>
      </c>
      <c r="I8940" t="s">
        <v>4120</v>
      </c>
      <c r="J8940" t="s">
        <v>32913</v>
      </c>
      <c r="K8940" t="s">
        <v>42629</v>
      </c>
      <c r="M8940" t="s">
        <v>45970</v>
      </c>
      <c r="N8940" t="s">
        <v>47304</v>
      </c>
      <c r="O8940" t="s">
        <v>47305</v>
      </c>
      <c r="P8940">
        <v>0</v>
      </c>
      <c r="Q8940">
        <v>1</v>
      </c>
      <c r="R8940" t="s">
        <v>47312</v>
      </c>
      <c r="S8940" t="s">
        <v>47489</v>
      </c>
      <c r="T8940" t="s">
        <v>49072</v>
      </c>
      <c r="U8940" t="s">
        <v>56927</v>
      </c>
      <c r="W8940" t="s">
        <v>45970</v>
      </c>
      <c r="X8940" t="s">
        <v>47313</v>
      </c>
    </row>
    <row r="8941" spans="1:24">
      <c r="A8941">
        <f>HYPERLINK("https://www.philgeps.gov.ph/GEPSNONPILOT/Tender/SplashBidNoticeAbstractUI.aspx?menuIndex=3&amp;refID=7189710&amp;Result=3","7189710")</f>
        <v>0</v>
      </c>
      <c r="B8941" t="s">
        <v>2788</v>
      </c>
      <c r="C8941" t="s">
        <v>12281</v>
      </c>
      <c r="D8941" t="s">
        <v>18997</v>
      </c>
      <c r="E8941" t="s">
        <v>26737</v>
      </c>
      <c r="F8941" t="s">
        <v>32606</v>
      </c>
      <c r="G8941" t="s">
        <v>32614</v>
      </c>
      <c r="H8941" t="s">
        <v>14201</v>
      </c>
      <c r="I8941" t="s">
        <v>6007</v>
      </c>
      <c r="J8941" t="s">
        <v>32813</v>
      </c>
      <c r="K8941" t="s">
        <v>42624</v>
      </c>
      <c r="M8941" t="s">
        <v>45950</v>
      </c>
      <c r="N8941" t="s">
        <v>47304</v>
      </c>
      <c r="O8941" t="s">
        <v>47305</v>
      </c>
      <c r="P8941">
        <v>0</v>
      </c>
      <c r="Q8941">
        <v>0</v>
      </c>
      <c r="R8941" t="s">
        <v>47312</v>
      </c>
      <c r="S8941" t="s">
        <v>47489</v>
      </c>
      <c r="T8941" t="s">
        <v>49018</v>
      </c>
      <c r="U8941" t="s">
        <v>56902</v>
      </c>
      <c r="W8941" t="s">
        <v>45950</v>
      </c>
      <c r="X8941" t="s">
        <v>47313</v>
      </c>
    </row>
    <row r="8942" spans="1:24">
      <c r="A8942">
        <f>HYPERLINK("https://www.philgeps.gov.ph/GEPSNONPILOT/Tender/SplashBidNoticeAbstractUI.aspx?menuIndex=3&amp;refID=7189707&amp;Result=3","7189707")</f>
        <v>0</v>
      </c>
      <c r="B8942" t="s">
        <v>2807</v>
      </c>
      <c r="C8942" t="s">
        <v>12282</v>
      </c>
      <c r="D8942" t="s">
        <v>18988</v>
      </c>
      <c r="E8942" t="s">
        <v>26738</v>
      </c>
      <c r="F8942" t="s">
        <v>32607</v>
      </c>
      <c r="G8942" t="s">
        <v>32614</v>
      </c>
      <c r="H8942" t="s">
        <v>14201</v>
      </c>
      <c r="I8942" t="s">
        <v>17648</v>
      </c>
      <c r="J8942" t="s">
        <v>32951</v>
      </c>
      <c r="K8942" t="s">
        <v>42632</v>
      </c>
      <c r="M8942" t="s">
        <v>45970</v>
      </c>
      <c r="N8942" t="s">
        <v>47304</v>
      </c>
      <c r="O8942" t="s">
        <v>47305</v>
      </c>
      <c r="P8942">
        <v>0</v>
      </c>
      <c r="Q8942">
        <v>0</v>
      </c>
      <c r="R8942" t="s">
        <v>47312</v>
      </c>
      <c r="S8942" t="s">
        <v>47489</v>
      </c>
      <c r="T8942" t="s">
        <v>49072</v>
      </c>
      <c r="U8942" t="s">
        <v>56928</v>
      </c>
      <c r="W8942" t="s">
        <v>45970</v>
      </c>
      <c r="X8942" t="s">
        <v>47313</v>
      </c>
    </row>
    <row r="8943" spans="1:24">
      <c r="A8943">
        <f>HYPERLINK("https://www.philgeps.gov.ph/GEPSNONPILOT/Tender/SplashBidNoticeAbstractUI.aspx?menuIndex=3&amp;refID=7189706&amp;Result=3","7189706")</f>
        <v>0</v>
      </c>
      <c r="B8943" t="s">
        <v>2125</v>
      </c>
      <c r="C8943" t="s">
        <v>12283</v>
      </c>
      <c r="D8943" t="s">
        <v>19061</v>
      </c>
      <c r="E8943" t="s">
        <v>26739</v>
      </c>
      <c r="F8943" t="s">
        <v>32606</v>
      </c>
      <c r="G8943" t="s">
        <v>32613</v>
      </c>
      <c r="H8943" t="s">
        <v>14201</v>
      </c>
      <c r="I8943" t="s">
        <v>32650</v>
      </c>
      <c r="J8943" t="s">
        <v>38292</v>
      </c>
      <c r="K8943" t="s">
        <v>42623</v>
      </c>
      <c r="M8943" t="s">
        <v>45212</v>
      </c>
      <c r="N8943" t="s">
        <v>47304</v>
      </c>
      <c r="O8943" t="s">
        <v>47305</v>
      </c>
      <c r="P8943">
        <v>0</v>
      </c>
      <c r="Q8943">
        <v>2</v>
      </c>
      <c r="R8943" t="s">
        <v>47312</v>
      </c>
      <c r="S8943" t="s">
        <v>47489</v>
      </c>
      <c r="T8943" t="s">
        <v>49400</v>
      </c>
      <c r="U8943" t="s">
        <v>56929</v>
      </c>
      <c r="W8943" t="s">
        <v>45212</v>
      </c>
      <c r="X8943" t="s">
        <v>47313</v>
      </c>
    </row>
    <row r="8944" spans="1:24">
      <c r="A8944">
        <f>HYPERLINK("https://www.philgeps.gov.ph/GEPSNONPILOT/Tender/SplashBidNoticeAbstractUI.aspx?menuIndex=3&amp;refID=7189656&amp;Result=3","7189656")</f>
        <v>0</v>
      </c>
      <c r="B8944" t="s">
        <v>1212</v>
      </c>
      <c r="C8944" t="s">
        <v>12284</v>
      </c>
      <c r="D8944" t="s">
        <v>19014</v>
      </c>
      <c r="E8944" t="s">
        <v>26740</v>
      </c>
      <c r="F8944" t="s">
        <v>32606</v>
      </c>
      <c r="G8944" t="s">
        <v>32614</v>
      </c>
      <c r="H8944" t="s">
        <v>14201</v>
      </c>
      <c r="I8944" t="s">
        <v>7577</v>
      </c>
      <c r="J8944" t="s">
        <v>38293</v>
      </c>
      <c r="K8944" t="s">
        <v>42623</v>
      </c>
      <c r="M8944" t="s">
        <v>44177</v>
      </c>
      <c r="N8944" t="s">
        <v>47304</v>
      </c>
      <c r="O8944" t="s">
        <v>47305</v>
      </c>
      <c r="P8944">
        <v>0</v>
      </c>
      <c r="Q8944">
        <v>1</v>
      </c>
      <c r="R8944" t="s">
        <v>47312</v>
      </c>
      <c r="S8944" t="s">
        <v>47489</v>
      </c>
      <c r="T8944" t="s">
        <v>49165</v>
      </c>
      <c r="U8944" t="s">
        <v>56930</v>
      </c>
      <c r="W8944" t="s">
        <v>44177</v>
      </c>
      <c r="X8944" t="s">
        <v>47313</v>
      </c>
    </row>
    <row r="8945" spans="1:24">
      <c r="A8945">
        <f>HYPERLINK("https://www.philgeps.gov.ph/GEPSNONPILOT/Tender/SplashBidNoticeAbstractUI.aspx?menuIndex=3&amp;refID=7189705&amp;Result=3","7189705")</f>
        <v>0</v>
      </c>
      <c r="B8945" t="s">
        <v>503</v>
      </c>
      <c r="C8945" t="s">
        <v>12285</v>
      </c>
      <c r="D8945" t="s">
        <v>19033</v>
      </c>
      <c r="E8945" t="s">
        <v>26741</v>
      </c>
      <c r="F8945" t="s">
        <v>32606</v>
      </c>
      <c r="G8945" t="s">
        <v>32619</v>
      </c>
      <c r="H8945" t="s">
        <v>14201</v>
      </c>
      <c r="I8945" t="s">
        <v>4678</v>
      </c>
      <c r="J8945" t="s">
        <v>38294</v>
      </c>
      <c r="K8945" t="s">
        <v>42630</v>
      </c>
      <c r="M8945" t="s">
        <v>43416</v>
      </c>
      <c r="N8945" t="s">
        <v>47304</v>
      </c>
      <c r="O8945" t="s">
        <v>47305</v>
      </c>
      <c r="P8945">
        <v>0</v>
      </c>
      <c r="Q8945">
        <v>2</v>
      </c>
      <c r="R8945" t="s">
        <v>47312</v>
      </c>
      <c r="S8945" t="s">
        <v>47489</v>
      </c>
      <c r="T8945" t="s">
        <v>48998</v>
      </c>
      <c r="U8945" t="s">
        <v>56931</v>
      </c>
      <c r="W8945" t="s">
        <v>43416</v>
      </c>
      <c r="X8945" t="s">
        <v>47313</v>
      </c>
    </row>
    <row r="8946" spans="1:24">
      <c r="A8946">
        <f>HYPERLINK("https://www.philgeps.gov.ph/GEPSNONPILOT/Tender/SplashBidNoticeAbstractUI.aspx?menuIndex=3&amp;refID=7189700&amp;Result=3","7189700")</f>
        <v>0</v>
      </c>
      <c r="B8946" t="s">
        <v>2808</v>
      </c>
      <c r="C8946" t="s">
        <v>12286</v>
      </c>
      <c r="D8946" t="s">
        <v>19024</v>
      </c>
      <c r="E8946" t="s">
        <v>24209</v>
      </c>
      <c r="F8946" t="s">
        <v>32606</v>
      </c>
      <c r="G8946" t="s">
        <v>32613</v>
      </c>
      <c r="H8946" t="s">
        <v>14201</v>
      </c>
      <c r="I8946" t="s">
        <v>6931</v>
      </c>
      <c r="J8946" t="s">
        <v>38295</v>
      </c>
      <c r="K8946" t="s">
        <v>42631</v>
      </c>
      <c r="M8946" t="s">
        <v>45971</v>
      </c>
      <c r="N8946" t="s">
        <v>47304</v>
      </c>
      <c r="O8946" t="s">
        <v>47305</v>
      </c>
      <c r="P8946">
        <v>0</v>
      </c>
      <c r="Q8946">
        <v>0</v>
      </c>
      <c r="R8946" t="s">
        <v>47312</v>
      </c>
      <c r="S8946" t="s">
        <v>47489</v>
      </c>
      <c r="T8946" t="s">
        <v>49053</v>
      </c>
      <c r="U8946" t="s">
        <v>56932</v>
      </c>
      <c r="V8946" t="s">
        <v>63588</v>
      </c>
      <c r="W8946" t="s">
        <v>45971</v>
      </c>
      <c r="X8946" t="s">
        <v>47313</v>
      </c>
    </row>
    <row r="8947" spans="1:24">
      <c r="A8947">
        <f>HYPERLINK("https://www.philgeps.gov.ph/GEPSNONPILOT/Tender/SplashBidNoticeAbstractUI.aspx?menuIndex=3&amp;refID=7189702&amp;Result=3","7189702")</f>
        <v>0</v>
      </c>
      <c r="B8947" t="s">
        <v>1040</v>
      </c>
      <c r="C8947" t="s">
        <v>12287</v>
      </c>
      <c r="D8947" t="s">
        <v>19011</v>
      </c>
      <c r="E8947" t="s">
        <v>26742</v>
      </c>
      <c r="F8947" t="s">
        <v>32606</v>
      </c>
      <c r="G8947" t="s">
        <v>32613</v>
      </c>
      <c r="H8947" t="s">
        <v>14201</v>
      </c>
      <c r="I8947" t="s">
        <v>6931</v>
      </c>
      <c r="J8947" t="s">
        <v>38296</v>
      </c>
      <c r="K8947" t="s">
        <v>42648</v>
      </c>
      <c r="M8947" t="s">
        <v>43993</v>
      </c>
      <c r="N8947" t="s">
        <v>47304</v>
      </c>
      <c r="O8947" t="s">
        <v>47305</v>
      </c>
      <c r="P8947">
        <v>0</v>
      </c>
      <c r="Q8947">
        <v>0</v>
      </c>
      <c r="R8947" t="s">
        <v>47312</v>
      </c>
      <c r="S8947" t="s">
        <v>47489</v>
      </c>
      <c r="T8947" t="s">
        <v>48985</v>
      </c>
      <c r="U8947" t="s">
        <v>56933</v>
      </c>
      <c r="V8947" t="s">
        <v>63589</v>
      </c>
      <c r="W8947" t="s">
        <v>45575</v>
      </c>
      <c r="X8947" t="s">
        <v>47313</v>
      </c>
    </row>
    <row r="8948" spans="1:24">
      <c r="A8948">
        <f>HYPERLINK("https://www.philgeps.gov.ph/GEPSNONPILOT/Tender/SplashBidNoticeAbstractUI.aspx?menuIndex=3&amp;refID=7189698&amp;Result=3","7189698")</f>
        <v>0</v>
      </c>
      <c r="B8948" t="s">
        <v>1058</v>
      </c>
      <c r="C8948" t="s">
        <v>12288</v>
      </c>
      <c r="D8948" t="s">
        <v>19039</v>
      </c>
      <c r="E8948" t="s">
        <v>26743</v>
      </c>
      <c r="F8948" t="s">
        <v>32606</v>
      </c>
      <c r="G8948" t="s">
        <v>32614</v>
      </c>
      <c r="H8948" t="s">
        <v>14201</v>
      </c>
      <c r="I8948" t="s">
        <v>32640</v>
      </c>
      <c r="J8948" t="s">
        <v>38297</v>
      </c>
      <c r="K8948" t="s">
        <v>42623</v>
      </c>
      <c r="M8948" t="s">
        <v>44011</v>
      </c>
      <c r="N8948" t="s">
        <v>47304</v>
      </c>
      <c r="O8948" t="s">
        <v>47305</v>
      </c>
      <c r="P8948">
        <v>0</v>
      </c>
      <c r="Q8948">
        <v>1</v>
      </c>
      <c r="R8948" t="s">
        <v>47312</v>
      </c>
      <c r="S8948" t="s">
        <v>47489</v>
      </c>
      <c r="T8948" t="s">
        <v>49268</v>
      </c>
      <c r="U8948" t="s">
        <v>52100</v>
      </c>
      <c r="W8948" t="s">
        <v>44011</v>
      </c>
      <c r="X8948" t="s">
        <v>47313</v>
      </c>
    </row>
    <row r="8949" spans="1:24">
      <c r="A8949">
        <f>HYPERLINK("https://www.philgeps.gov.ph/GEPSNONPILOT/Tender/SplashBidNoticeAbstractUI.aspx?menuIndex=3&amp;refID=7189611&amp;Result=3","7189611")</f>
        <v>0</v>
      </c>
      <c r="B8949" t="s">
        <v>1058</v>
      </c>
      <c r="C8949" t="s">
        <v>12288</v>
      </c>
      <c r="D8949" t="s">
        <v>19039</v>
      </c>
      <c r="E8949" t="s">
        <v>26744</v>
      </c>
      <c r="F8949" t="s">
        <v>32606</v>
      </c>
      <c r="G8949" t="s">
        <v>32614</v>
      </c>
      <c r="H8949" t="s">
        <v>14201</v>
      </c>
      <c r="I8949" t="s">
        <v>13131</v>
      </c>
      <c r="J8949" t="s">
        <v>38298</v>
      </c>
      <c r="K8949" t="s">
        <v>42623</v>
      </c>
      <c r="M8949" t="s">
        <v>44011</v>
      </c>
      <c r="N8949" t="s">
        <v>47304</v>
      </c>
      <c r="O8949" t="s">
        <v>47305</v>
      </c>
      <c r="P8949">
        <v>0</v>
      </c>
      <c r="Q8949">
        <v>1</v>
      </c>
      <c r="R8949" t="s">
        <v>47312</v>
      </c>
      <c r="S8949" t="s">
        <v>47489</v>
      </c>
      <c r="T8949" t="s">
        <v>49268</v>
      </c>
      <c r="U8949" t="s">
        <v>52100</v>
      </c>
      <c r="W8949" t="s">
        <v>44011</v>
      </c>
      <c r="X8949" t="s">
        <v>47313</v>
      </c>
    </row>
    <row r="8950" spans="1:24">
      <c r="A8950">
        <f>HYPERLINK("https://www.philgeps.gov.ph/GEPSNONPILOT/Tender/SplashBidNoticeAbstractUI.aspx?menuIndex=3&amp;refID=7189695&amp;Result=3","7189695")</f>
        <v>0</v>
      </c>
      <c r="B8950" t="s">
        <v>2803</v>
      </c>
      <c r="C8950" t="s">
        <v>12289</v>
      </c>
      <c r="D8950" t="s">
        <v>18997</v>
      </c>
      <c r="E8950" t="s">
        <v>26745</v>
      </c>
      <c r="F8950" t="s">
        <v>32606</v>
      </c>
      <c r="G8950" t="s">
        <v>32614</v>
      </c>
      <c r="H8950" t="s">
        <v>14201</v>
      </c>
      <c r="I8950" t="s">
        <v>32640</v>
      </c>
      <c r="J8950" t="s">
        <v>32752</v>
      </c>
      <c r="K8950" t="s">
        <v>42631</v>
      </c>
      <c r="M8950" t="s">
        <v>45965</v>
      </c>
      <c r="N8950" t="s">
        <v>47304</v>
      </c>
      <c r="O8950" t="s">
        <v>47305</v>
      </c>
      <c r="P8950">
        <v>0</v>
      </c>
      <c r="Q8950">
        <v>1</v>
      </c>
      <c r="R8950" t="s">
        <v>47312</v>
      </c>
      <c r="S8950" t="s">
        <v>47489</v>
      </c>
      <c r="T8950" t="s">
        <v>49053</v>
      </c>
      <c r="U8950" t="s">
        <v>56934</v>
      </c>
      <c r="W8950" t="s">
        <v>45965</v>
      </c>
      <c r="X8950" t="s">
        <v>47313</v>
      </c>
    </row>
    <row r="8951" spans="1:24">
      <c r="A8951">
        <f>HYPERLINK("https://www.philgeps.gov.ph/GEPSNONPILOT/Tender/SplashBidNoticeAbstractUI.aspx?menuIndex=3&amp;refID=7189708&amp;Result=3","7189708")</f>
        <v>0</v>
      </c>
      <c r="B8951" t="s">
        <v>2803</v>
      </c>
      <c r="C8951" t="s">
        <v>12290</v>
      </c>
      <c r="D8951" t="s">
        <v>18997</v>
      </c>
      <c r="E8951" t="s">
        <v>26746</v>
      </c>
      <c r="F8951" t="s">
        <v>32606</v>
      </c>
      <c r="G8951" t="s">
        <v>32614</v>
      </c>
      <c r="H8951" t="s">
        <v>14201</v>
      </c>
      <c r="I8951" t="s">
        <v>32640</v>
      </c>
      <c r="J8951" t="s">
        <v>32752</v>
      </c>
      <c r="K8951" t="s">
        <v>42631</v>
      </c>
      <c r="M8951" t="s">
        <v>45965</v>
      </c>
      <c r="N8951" t="s">
        <v>47304</v>
      </c>
      <c r="O8951" t="s">
        <v>47305</v>
      </c>
      <c r="P8951">
        <v>0</v>
      </c>
      <c r="Q8951">
        <v>1</v>
      </c>
      <c r="R8951" t="s">
        <v>47312</v>
      </c>
      <c r="S8951" t="s">
        <v>47489</v>
      </c>
      <c r="T8951" t="s">
        <v>49072</v>
      </c>
      <c r="U8951" t="s">
        <v>56935</v>
      </c>
      <c r="W8951" t="s">
        <v>45965</v>
      </c>
      <c r="X8951" t="s">
        <v>47313</v>
      </c>
    </row>
    <row r="8952" spans="1:24">
      <c r="A8952">
        <f>HYPERLINK("https://www.philgeps.gov.ph/GEPSNONPILOT/Tender/SplashBidNoticeAbstractUI.aspx?menuIndex=3&amp;refID=7189694&amp;Result=3","7189694")</f>
        <v>0</v>
      </c>
      <c r="B8952" t="s">
        <v>437</v>
      </c>
      <c r="C8952" t="s">
        <v>12291</v>
      </c>
      <c r="D8952" t="s">
        <v>19003</v>
      </c>
      <c r="E8952" t="s">
        <v>26747</v>
      </c>
      <c r="F8952" t="s">
        <v>32606</v>
      </c>
      <c r="G8952" t="s">
        <v>32614</v>
      </c>
      <c r="H8952" t="s">
        <v>14201</v>
      </c>
      <c r="I8952" t="s">
        <v>32631</v>
      </c>
      <c r="J8952" t="s">
        <v>32752</v>
      </c>
      <c r="K8952" t="s">
        <v>42623</v>
      </c>
      <c r="M8952" t="s">
        <v>43343</v>
      </c>
      <c r="N8952" t="s">
        <v>47304</v>
      </c>
      <c r="O8952" t="s">
        <v>47305</v>
      </c>
      <c r="P8952">
        <v>0</v>
      </c>
      <c r="Q8952">
        <v>2</v>
      </c>
      <c r="R8952" t="s">
        <v>47312</v>
      </c>
      <c r="S8952" t="s">
        <v>47489</v>
      </c>
      <c r="T8952" t="s">
        <v>49315</v>
      </c>
      <c r="U8952" t="s">
        <v>56936</v>
      </c>
      <c r="V8952" t="s">
        <v>63587</v>
      </c>
      <c r="W8952" t="s">
        <v>43343</v>
      </c>
      <c r="X8952" t="s">
        <v>47313</v>
      </c>
    </row>
    <row r="8953" spans="1:24">
      <c r="A8953">
        <f>HYPERLINK("https://www.philgeps.gov.ph/GEPSNONPILOT/Tender/SplashBidNoticeAbstractUI.aspx?menuIndex=3&amp;refID=7189692&amp;Result=3","7189692")</f>
        <v>0</v>
      </c>
      <c r="B8953" t="s">
        <v>2296</v>
      </c>
      <c r="C8953" t="s">
        <v>12292</v>
      </c>
      <c r="D8953" t="s">
        <v>19019</v>
      </c>
      <c r="E8953" t="s">
        <v>26748</v>
      </c>
      <c r="F8953" t="s">
        <v>32606</v>
      </c>
      <c r="G8953" t="s">
        <v>32614</v>
      </c>
      <c r="H8953" t="s">
        <v>32624</v>
      </c>
      <c r="I8953" t="s">
        <v>32681</v>
      </c>
      <c r="J8953" t="s">
        <v>33570</v>
      </c>
      <c r="K8953" t="s">
        <v>42622</v>
      </c>
      <c r="M8953" t="s">
        <v>45402</v>
      </c>
      <c r="N8953" t="s">
        <v>47304</v>
      </c>
      <c r="O8953" t="s">
        <v>47305</v>
      </c>
      <c r="P8953">
        <v>0</v>
      </c>
      <c r="Q8953">
        <v>1</v>
      </c>
      <c r="R8953" t="s">
        <v>47312</v>
      </c>
      <c r="S8953" t="s">
        <v>47489</v>
      </c>
      <c r="T8953" t="s">
        <v>49165</v>
      </c>
      <c r="U8953" t="s">
        <v>56937</v>
      </c>
      <c r="W8953" t="s">
        <v>45402</v>
      </c>
      <c r="X8953" t="s">
        <v>47313</v>
      </c>
    </row>
    <row r="8954" spans="1:24">
      <c r="A8954">
        <f>HYPERLINK("https://www.philgeps.gov.ph/GEPSNONPILOT/Tender/SplashBidNoticeAbstractUI.aspx?menuIndex=3&amp;refID=7189704&amp;Result=3","7189704")</f>
        <v>0</v>
      </c>
      <c r="B8954" t="s">
        <v>2806</v>
      </c>
      <c r="C8954" t="s">
        <v>12293</v>
      </c>
      <c r="D8954" t="s">
        <v>19024</v>
      </c>
      <c r="E8954" t="s">
        <v>26749</v>
      </c>
      <c r="F8954" t="s">
        <v>32606</v>
      </c>
      <c r="G8954" t="s">
        <v>32614</v>
      </c>
      <c r="H8954" t="s">
        <v>32623</v>
      </c>
      <c r="I8954" t="s">
        <v>17648</v>
      </c>
      <c r="J8954" t="s">
        <v>32789</v>
      </c>
      <c r="K8954" t="s">
        <v>42622</v>
      </c>
      <c r="M8954" t="s">
        <v>45968</v>
      </c>
      <c r="N8954" t="s">
        <v>47304</v>
      </c>
      <c r="O8954" t="s">
        <v>47305</v>
      </c>
      <c r="P8954">
        <v>0</v>
      </c>
      <c r="Q8954">
        <v>0</v>
      </c>
      <c r="R8954" t="s">
        <v>47312</v>
      </c>
      <c r="S8954" t="s">
        <v>47489</v>
      </c>
      <c r="T8954" t="s">
        <v>49047</v>
      </c>
      <c r="U8954" t="s">
        <v>56924</v>
      </c>
      <c r="W8954" t="s">
        <v>45968</v>
      </c>
      <c r="X8954" t="s">
        <v>47313</v>
      </c>
    </row>
    <row r="8955" spans="1:24">
      <c r="A8955">
        <f>HYPERLINK("https://www.philgeps.gov.ph/GEPSNONPILOT/Tender/SplashBidNoticeAbstractUI.aspx?menuIndex=3&amp;refID=7189648&amp;Result=3","7189648")</f>
        <v>0</v>
      </c>
      <c r="B8955" t="s">
        <v>2797</v>
      </c>
      <c r="C8955" t="s">
        <v>12294</v>
      </c>
      <c r="D8955" t="s">
        <v>18995</v>
      </c>
      <c r="E8955" t="s">
        <v>26750</v>
      </c>
      <c r="F8955" t="s">
        <v>32606</v>
      </c>
      <c r="G8955" t="s">
        <v>32619</v>
      </c>
      <c r="H8955" t="s">
        <v>14201</v>
      </c>
      <c r="I8955" t="s">
        <v>6298</v>
      </c>
      <c r="J8955" t="s">
        <v>38299</v>
      </c>
      <c r="K8955" t="s">
        <v>42630</v>
      </c>
      <c r="M8955" t="s">
        <v>45959</v>
      </c>
      <c r="N8955" t="s">
        <v>47304</v>
      </c>
      <c r="O8955" t="s">
        <v>47305</v>
      </c>
      <c r="P8955">
        <v>0</v>
      </c>
      <c r="Q8955">
        <v>4</v>
      </c>
      <c r="R8955" t="s">
        <v>47312</v>
      </c>
      <c r="S8955" t="s">
        <v>47489</v>
      </c>
      <c r="T8955" t="s">
        <v>49268</v>
      </c>
      <c r="U8955" t="s">
        <v>56892</v>
      </c>
      <c r="W8955" t="s">
        <v>45959</v>
      </c>
      <c r="X8955" t="s">
        <v>47313</v>
      </c>
    </row>
    <row r="8956" spans="1:24">
      <c r="A8956">
        <f>HYPERLINK("https://www.philgeps.gov.ph/GEPSNONPILOT/Tender/SplashBidNoticeAbstractUI.aspx?menuIndex=3&amp;refID=7189714&amp;Result=3","7189714")</f>
        <v>0</v>
      </c>
      <c r="B8956" t="s">
        <v>503</v>
      </c>
      <c r="C8956" t="s">
        <v>12295</v>
      </c>
      <c r="D8956" t="s">
        <v>19033</v>
      </c>
      <c r="E8956" t="s">
        <v>26751</v>
      </c>
      <c r="F8956" t="s">
        <v>32606</v>
      </c>
      <c r="G8956" t="s">
        <v>32619</v>
      </c>
      <c r="H8956" t="s">
        <v>14201</v>
      </c>
      <c r="I8956" t="s">
        <v>6931</v>
      </c>
      <c r="J8956" t="s">
        <v>38300</v>
      </c>
      <c r="K8956" t="s">
        <v>42630</v>
      </c>
      <c r="M8956" t="s">
        <v>43416</v>
      </c>
      <c r="N8956" t="s">
        <v>47304</v>
      </c>
      <c r="O8956" t="s">
        <v>47305</v>
      </c>
      <c r="P8956">
        <v>0</v>
      </c>
      <c r="Q8956">
        <v>2</v>
      </c>
      <c r="R8956" t="s">
        <v>47312</v>
      </c>
      <c r="S8956" t="s">
        <v>47489</v>
      </c>
      <c r="T8956" t="s">
        <v>48998</v>
      </c>
      <c r="U8956" t="s">
        <v>56938</v>
      </c>
      <c r="W8956" t="s">
        <v>43416</v>
      </c>
      <c r="X8956" t="s">
        <v>47313</v>
      </c>
    </row>
    <row r="8957" spans="1:24">
      <c r="A8957">
        <f>HYPERLINK("https://www.philgeps.gov.ph/GEPSNONPILOT/Tender/SplashBidNoticeAbstractUI.aspx?menuIndex=3&amp;refID=7189449&amp;Result=3","7189449")</f>
        <v>0</v>
      </c>
      <c r="B8957" t="s">
        <v>2809</v>
      </c>
      <c r="C8957" t="s">
        <v>12296</v>
      </c>
      <c r="D8957" t="s">
        <v>19004</v>
      </c>
      <c r="E8957" t="s">
        <v>23925</v>
      </c>
      <c r="F8957" t="s">
        <v>32606</v>
      </c>
      <c r="G8957" t="s">
        <v>32619</v>
      </c>
      <c r="H8957" t="s">
        <v>14201</v>
      </c>
      <c r="I8957" t="s">
        <v>4114</v>
      </c>
      <c r="J8957" t="s">
        <v>38301</v>
      </c>
      <c r="K8957" t="s">
        <v>42681</v>
      </c>
      <c r="M8957" t="s">
        <v>45972</v>
      </c>
      <c r="N8957" t="s">
        <v>47304</v>
      </c>
      <c r="O8957" t="s">
        <v>47305</v>
      </c>
      <c r="P8957">
        <v>0</v>
      </c>
      <c r="Q8957">
        <v>2</v>
      </c>
      <c r="R8957" t="s">
        <v>47312</v>
      </c>
      <c r="S8957" t="s">
        <v>47489</v>
      </c>
      <c r="T8957" t="s">
        <v>49047</v>
      </c>
      <c r="U8957" t="s">
        <v>56939</v>
      </c>
      <c r="W8957" t="s">
        <v>45972</v>
      </c>
      <c r="X8957" t="s">
        <v>47313</v>
      </c>
    </row>
    <row r="8958" spans="1:24">
      <c r="A8958">
        <f>HYPERLINK("https://www.philgeps.gov.ph/GEPSNONPILOT/Tender/SplashBidNoticeAbstractUI.aspx?menuIndex=3&amp;refID=7189645&amp;Result=3","7189645")</f>
        <v>0</v>
      </c>
      <c r="B8958" t="s">
        <v>2788</v>
      </c>
      <c r="C8958" t="s">
        <v>12297</v>
      </c>
      <c r="D8958" t="s">
        <v>18997</v>
      </c>
      <c r="E8958" t="s">
        <v>26752</v>
      </c>
      <c r="F8958" t="s">
        <v>32606</v>
      </c>
      <c r="G8958" t="s">
        <v>32614</v>
      </c>
      <c r="H8958" t="s">
        <v>14201</v>
      </c>
      <c r="I8958" t="s">
        <v>32633</v>
      </c>
      <c r="J8958" t="s">
        <v>34885</v>
      </c>
      <c r="K8958" t="s">
        <v>42624</v>
      </c>
      <c r="M8958" t="s">
        <v>45950</v>
      </c>
      <c r="N8958" t="s">
        <v>47304</v>
      </c>
      <c r="O8958" t="s">
        <v>47305</v>
      </c>
      <c r="P8958">
        <v>0</v>
      </c>
      <c r="Q8958">
        <v>2</v>
      </c>
      <c r="R8958" t="s">
        <v>47312</v>
      </c>
      <c r="S8958" t="s">
        <v>47489</v>
      </c>
      <c r="T8958" t="s">
        <v>49018</v>
      </c>
      <c r="U8958" t="s">
        <v>56902</v>
      </c>
      <c r="W8958" t="s">
        <v>45950</v>
      </c>
      <c r="X8958" t="s">
        <v>47313</v>
      </c>
    </row>
    <row r="8959" spans="1:24">
      <c r="A8959">
        <f>HYPERLINK("https://www.philgeps.gov.ph/GEPSNONPILOT/Tender/SplashBidNoticeAbstractUI.aspx?menuIndex=3&amp;refID=7189640&amp;Result=3","7189640")</f>
        <v>0</v>
      </c>
      <c r="B8959" t="s">
        <v>1123</v>
      </c>
      <c r="C8959" t="s">
        <v>12298</v>
      </c>
      <c r="D8959" t="s">
        <v>18993</v>
      </c>
      <c r="E8959" t="s">
        <v>26753</v>
      </c>
      <c r="F8959" t="s">
        <v>32606</v>
      </c>
      <c r="G8959" t="s">
        <v>32614</v>
      </c>
      <c r="H8959" t="s">
        <v>14201</v>
      </c>
      <c r="I8959" t="s">
        <v>32640</v>
      </c>
      <c r="J8959" t="s">
        <v>38302</v>
      </c>
      <c r="K8959" t="s">
        <v>42631</v>
      </c>
      <c r="M8959" t="s">
        <v>45234</v>
      </c>
      <c r="N8959" t="s">
        <v>47304</v>
      </c>
      <c r="O8959" t="s">
        <v>47305</v>
      </c>
      <c r="Q8959">
        <v>5</v>
      </c>
      <c r="R8959" t="s">
        <v>47312</v>
      </c>
      <c r="S8959" t="s">
        <v>47532</v>
      </c>
      <c r="T8959" t="s">
        <v>49015</v>
      </c>
      <c r="U8959" t="s">
        <v>56940</v>
      </c>
      <c r="V8959" t="s">
        <v>63258</v>
      </c>
      <c r="W8959" t="s">
        <v>45234</v>
      </c>
      <c r="X8959" t="s">
        <v>47313</v>
      </c>
    </row>
    <row r="8960" spans="1:24">
      <c r="A8960">
        <f>HYPERLINK("https://www.philgeps.gov.ph/GEPSNONPILOT/Tender/SplashBidNoticeAbstractUI.aspx?menuIndex=3&amp;refID=7189603&amp;Result=3","7189603")</f>
        <v>0</v>
      </c>
      <c r="B8960" t="s">
        <v>2774</v>
      </c>
      <c r="C8960" t="s">
        <v>12299</v>
      </c>
      <c r="D8960" t="s">
        <v>19010</v>
      </c>
      <c r="E8960" t="s">
        <v>26754</v>
      </c>
      <c r="F8960" t="s">
        <v>32606</v>
      </c>
      <c r="G8960" t="s">
        <v>32613</v>
      </c>
      <c r="H8960" t="s">
        <v>14201</v>
      </c>
      <c r="I8960" t="s">
        <v>32706</v>
      </c>
      <c r="J8960" t="s">
        <v>32981</v>
      </c>
      <c r="K8960" t="s">
        <v>42630</v>
      </c>
      <c r="M8960" t="s">
        <v>45936</v>
      </c>
      <c r="N8960" t="s">
        <v>47304</v>
      </c>
      <c r="O8960" t="s">
        <v>47305</v>
      </c>
      <c r="P8960">
        <v>0</v>
      </c>
      <c r="Q8960">
        <v>0</v>
      </c>
      <c r="R8960" t="s">
        <v>47312</v>
      </c>
      <c r="S8960" t="s">
        <v>47489</v>
      </c>
      <c r="T8960" t="s">
        <v>49012</v>
      </c>
      <c r="U8960" t="s">
        <v>56941</v>
      </c>
      <c r="W8960" t="s">
        <v>45936</v>
      </c>
      <c r="X8960" t="s">
        <v>47313</v>
      </c>
    </row>
    <row r="8961" spans="1:24">
      <c r="A8961">
        <f>HYPERLINK("https://www.philgeps.gov.ph/GEPSNONPILOT/Tender/SplashBidNoticeAbstractUI.aspx?menuIndex=3&amp;refID=7189650&amp;Result=3","7189650")</f>
        <v>0</v>
      </c>
      <c r="B8961" t="s">
        <v>2804</v>
      </c>
      <c r="C8961" t="s">
        <v>12300</v>
      </c>
      <c r="D8961" t="s">
        <v>19023</v>
      </c>
      <c r="E8961" t="s">
        <v>26755</v>
      </c>
      <c r="F8961" t="s">
        <v>32606</v>
      </c>
      <c r="G8961" t="s">
        <v>32613</v>
      </c>
      <c r="H8961" t="s">
        <v>14201</v>
      </c>
      <c r="I8961" t="s">
        <v>32676</v>
      </c>
      <c r="J8961" t="s">
        <v>32781</v>
      </c>
      <c r="K8961" t="s">
        <v>42630</v>
      </c>
      <c r="M8961" t="s">
        <v>45966</v>
      </c>
      <c r="N8961" t="s">
        <v>47304</v>
      </c>
      <c r="O8961" t="s">
        <v>47305</v>
      </c>
      <c r="P8961">
        <v>0</v>
      </c>
      <c r="Q8961">
        <v>0</v>
      </c>
      <c r="R8961" t="s">
        <v>47312</v>
      </c>
      <c r="S8961" t="s">
        <v>47489</v>
      </c>
      <c r="T8961" t="s">
        <v>49010</v>
      </c>
      <c r="U8961" t="s">
        <v>56942</v>
      </c>
      <c r="V8961" t="s">
        <v>63590</v>
      </c>
      <c r="W8961" t="s">
        <v>45966</v>
      </c>
      <c r="X8961" t="s">
        <v>47313</v>
      </c>
    </row>
    <row r="8962" spans="1:24">
      <c r="A8962">
        <f>HYPERLINK("https://www.philgeps.gov.ph/GEPSNONPILOT/Tender/SplashBidNoticeAbstractUI.aspx?menuIndex=3&amp;refID=7189601&amp;Result=3","7189601")</f>
        <v>0</v>
      </c>
      <c r="B8962" t="s">
        <v>2776</v>
      </c>
      <c r="C8962" t="s">
        <v>12301</v>
      </c>
      <c r="D8962" t="s">
        <v>18993</v>
      </c>
      <c r="E8962" t="s">
        <v>26756</v>
      </c>
      <c r="F8962" t="s">
        <v>32606</v>
      </c>
      <c r="G8962" t="s">
        <v>32613</v>
      </c>
      <c r="H8962" t="s">
        <v>14201</v>
      </c>
      <c r="I8962" t="s">
        <v>32634</v>
      </c>
      <c r="J8962" t="s">
        <v>38303</v>
      </c>
      <c r="K8962" t="s">
        <v>42624</v>
      </c>
      <c r="M8962" t="s">
        <v>45938</v>
      </c>
      <c r="N8962" t="s">
        <v>47304</v>
      </c>
      <c r="O8962" t="s">
        <v>47305</v>
      </c>
      <c r="P8962">
        <v>0</v>
      </c>
      <c r="Q8962">
        <v>11</v>
      </c>
      <c r="R8962" t="s">
        <v>47312</v>
      </c>
      <c r="S8962" t="s">
        <v>47489</v>
      </c>
      <c r="T8962" t="s">
        <v>49111</v>
      </c>
      <c r="U8962" t="s">
        <v>56943</v>
      </c>
      <c r="V8962" t="s">
        <v>63572</v>
      </c>
      <c r="W8962" t="s">
        <v>45938</v>
      </c>
      <c r="X8962" t="s">
        <v>47313</v>
      </c>
    </row>
    <row r="8963" spans="1:24">
      <c r="A8963">
        <f>HYPERLINK("https://www.philgeps.gov.ph/GEPSNONPILOT/Tender/SplashBidNoticeAbstractUI.aspx?menuIndex=3&amp;refID=7189598&amp;Result=3","7189598")</f>
        <v>0</v>
      </c>
      <c r="B8963" t="s">
        <v>2396</v>
      </c>
      <c r="C8963" t="s">
        <v>12302</v>
      </c>
      <c r="D8963" t="s">
        <v>19014</v>
      </c>
      <c r="E8963" t="s">
        <v>26757</v>
      </c>
      <c r="F8963" t="s">
        <v>32606</v>
      </c>
      <c r="G8963" t="s">
        <v>32613</v>
      </c>
      <c r="H8963" t="s">
        <v>14201</v>
      </c>
      <c r="I8963" t="s">
        <v>32635</v>
      </c>
      <c r="J8963" t="s">
        <v>32772</v>
      </c>
      <c r="K8963" t="s">
        <v>42631</v>
      </c>
      <c r="M8963" t="s">
        <v>45517</v>
      </c>
      <c r="N8963" t="s">
        <v>47304</v>
      </c>
      <c r="O8963" t="s">
        <v>47305</v>
      </c>
      <c r="P8963">
        <v>0</v>
      </c>
      <c r="Q8963">
        <v>8</v>
      </c>
      <c r="R8963" t="s">
        <v>47312</v>
      </c>
      <c r="S8963" t="s">
        <v>47489</v>
      </c>
      <c r="T8963" t="s">
        <v>49072</v>
      </c>
      <c r="U8963" t="s">
        <v>56944</v>
      </c>
      <c r="V8963" t="s">
        <v>63591</v>
      </c>
      <c r="W8963" t="s">
        <v>45517</v>
      </c>
      <c r="X8963" t="s">
        <v>47313</v>
      </c>
    </row>
    <row r="8964" spans="1:24">
      <c r="A8964">
        <f>HYPERLINK("https://www.philgeps.gov.ph/GEPSNONPILOT/Tender/SplashBidNoticeAbstractUI.aspx?menuIndex=3&amp;refID=7189647&amp;Result=3","7189647")</f>
        <v>0</v>
      </c>
      <c r="B8964" t="s">
        <v>2650</v>
      </c>
      <c r="C8964" t="s">
        <v>12303</v>
      </c>
      <c r="D8964" t="s">
        <v>19039</v>
      </c>
      <c r="E8964" t="s">
        <v>23135</v>
      </c>
      <c r="F8964" t="s">
        <v>32606</v>
      </c>
      <c r="G8964" t="s">
        <v>32619</v>
      </c>
      <c r="H8964" t="s">
        <v>14201</v>
      </c>
      <c r="I8964" t="s">
        <v>8606</v>
      </c>
      <c r="J8964" t="s">
        <v>33147</v>
      </c>
      <c r="K8964" t="s">
        <v>42631</v>
      </c>
      <c r="M8964" t="s">
        <v>45796</v>
      </c>
      <c r="N8964" t="s">
        <v>47304</v>
      </c>
      <c r="O8964" t="s">
        <v>47305</v>
      </c>
      <c r="P8964">
        <v>0</v>
      </c>
      <c r="Q8964">
        <v>2</v>
      </c>
      <c r="R8964" t="s">
        <v>47312</v>
      </c>
      <c r="S8964" t="s">
        <v>47489</v>
      </c>
      <c r="T8964" t="s">
        <v>48998</v>
      </c>
      <c r="U8964" t="s">
        <v>56945</v>
      </c>
      <c r="W8964" t="s">
        <v>45796</v>
      </c>
      <c r="X8964" t="s">
        <v>47313</v>
      </c>
    </row>
    <row r="8965" spans="1:24">
      <c r="A8965">
        <f>HYPERLINK("https://www.philgeps.gov.ph/GEPSNONPILOT/Tender/SplashBidNoticeAbstractUI.aspx?menuIndex=3&amp;refID=7189569&amp;Result=3","7189569")</f>
        <v>0</v>
      </c>
      <c r="B8965" t="s">
        <v>2787</v>
      </c>
      <c r="C8965" t="s">
        <v>12304</v>
      </c>
      <c r="D8965" t="s">
        <v>19014</v>
      </c>
      <c r="E8965" t="s">
        <v>26758</v>
      </c>
      <c r="F8965" t="s">
        <v>32606</v>
      </c>
      <c r="G8965" t="s">
        <v>32614</v>
      </c>
      <c r="H8965" t="s">
        <v>14201</v>
      </c>
      <c r="I8965" t="s">
        <v>32638</v>
      </c>
      <c r="J8965" t="s">
        <v>32765</v>
      </c>
      <c r="K8965" t="s">
        <v>42624</v>
      </c>
      <c r="M8965" t="s">
        <v>45949</v>
      </c>
      <c r="N8965" t="s">
        <v>47304</v>
      </c>
      <c r="O8965" t="s">
        <v>47305</v>
      </c>
      <c r="P8965">
        <v>0</v>
      </c>
      <c r="Q8965">
        <v>3</v>
      </c>
      <c r="R8965" t="s">
        <v>47312</v>
      </c>
      <c r="S8965" t="s">
        <v>47489</v>
      </c>
      <c r="T8965" t="s">
        <v>49072</v>
      </c>
      <c r="U8965" t="s">
        <v>56946</v>
      </c>
      <c r="W8965" t="s">
        <v>45949</v>
      </c>
      <c r="X8965" t="s">
        <v>47313</v>
      </c>
    </row>
    <row r="8966" spans="1:24">
      <c r="A8966">
        <f>HYPERLINK("https://www.philgeps.gov.ph/GEPSNONPILOT/Tender/SplashBidNoticeAbstractUI.aspx?menuIndex=3&amp;refID=7189564&amp;Result=3","7189564")</f>
        <v>0</v>
      </c>
      <c r="B8966" t="s">
        <v>2809</v>
      </c>
      <c r="C8966" t="s">
        <v>12305</v>
      </c>
      <c r="D8966" t="s">
        <v>19004</v>
      </c>
      <c r="E8966" t="s">
        <v>26759</v>
      </c>
      <c r="F8966" t="s">
        <v>32606</v>
      </c>
      <c r="G8966" t="s">
        <v>32619</v>
      </c>
      <c r="H8966" t="s">
        <v>14201</v>
      </c>
      <c r="I8966" t="s">
        <v>4114</v>
      </c>
      <c r="J8966" t="s">
        <v>38301</v>
      </c>
      <c r="K8966" t="s">
        <v>42681</v>
      </c>
      <c r="M8966" t="s">
        <v>45972</v>
      </c>
      <c r="N8966" t="s">
        <v>47304</v>
      </c>
      <c r="O8966" t="s">
        <v>47305</v>
      </c>
      <c r="P8966">
        <v>0</v>
      </c>
      <c r="Q8966">
        <v>3</v>
      </c>
      <c r="R8966" t="s">
        <v>47312</v>
      </c>
      <c r="S8966" t="s">
        <v>47489</v>
      </c>
      <c r="T8966" t="s">
        <v>49047</v>
      </c>
      <c r="U8966" t="s">
        <v>56939</v>
      </c>
      <c r="W8966" t="s">
        <v>45972</v>
      </c>
      <c r="X8966" t="s">
        <v>47313</v>
      </c>
    </row>
    <row r="8967" spans="1:24">
      <c r="A8967">
        <f>HYPERLINK("https://www.philgeps.gov.ph/GEPSNONPILOT/Tender/SplashBidNoticeAbstractUI.aspx?menuIndex=3&amp;refID=7189646&amp;Result=3","7189646")</f>
        <v>0</v>
      </c>
      <c r="B8967" t="s">
        <v>2810</v>
      </c>
      <c r="C8967" t="s">
        <v>9062</v>
      </c>
      <c r="D8967" t="s">
        <v>19037</v>
      </c>
      <c r="E8967" t="s">
        <v>19404</v>
      </c>
      <c r="F8967" t="s">
        <v>32606</v>
      </c>
      <c r="G8967" t="s">
        <v>32613</v>
      </c>
      <c r="H8967" t="s">
        <v>14201</v>
      </c>
      <c r="I8967" t="s">
        <v>32633</v>
      </c>
      <c r="J8967" t="s">
        <v>32789</v>
      </c>
      <c r="K8967" t="s">
        <v>42631</v>
      </c>
      <c r="M8967" t="s">
        <v>45973</v>
      </c>
      <c r="N8967" t="s">
        <v>47304</v>
      </c>
      <c r="O8967" t="s">
        <v>47305</v>
      </c>
      <c r="P8967">
        <v>0</v>
      </c>
      <c r="Q8967">
        <v>8</v>
      </c>
      <c r="R8967" t="s">
        <v>47312</v>
      </c>
      <c r="S8967" t="s">
        <v>47489</v>
      </c>
      <c r="T8967" t="s">
        <v>49063</v>
      </c>
      <c r="U8967" t="s">
        <v>56947</v>
      </c>
      <c r="W8967" t="s">
        <v>45973</v>
      </c>
      <c r="X8967" t="s">
        <v>47313</v>
      </c>
    </row>
    <row r="8968" spans="1:24">
      <c r="A8968">
        <f>HYPERLINK("https://www.philgeps.gov.ph/GEPSNONPILOT/Tender/SplashBidNoticeAbstractUI.aspx?menuIndex=3&amp;refID=7189561&amp;Result=3","7189561")</f>
        <v>0</v>
      </c>
      <c r="B8968" t="s">
        <v>921</v>
      </c>
      <c r="C8968" t="s">
        <v>12306</v>
      </c>
      <c r="D8968" t="s">
        <v>19008</v>
      </c>
      <c r="E8968" t="s">
        <v>26760</v>
      </c>
      <c r="F8968" t="s">
        <v>32606</v>
      </c>
      <c r="G8968" t="s">
        <v>32613</v>
      </c>
      <c r="H8968" t="s">
        <v>32625</v>
      </c>
      <c r="I8968" t="s">
        <v>32625</v>
      </c>
      <c r="J8968" t="s">
        <v>38304</v>
      </c>
      <c r="K8968" t="s">
        <v>42657</v>
      </c>
      <c r="M8968" t="s">
        <v>43861</v>
      </c>
      <c r="N8968" t="s">
        <v>47304</v>
      </c>
      <c r="O8968" t="s">
        <v>47305</v>
      </c>
      <c r="P8968">
        <v>0</v>
      </c>
      <c r="Q8968">
        <v>3</v>
      </c>
      <c r="R8968" t="s">
        <v>47312</v>
      </c>
      <c r="S8968" t="s">
        <v>47489</v>
      </c>
      <c r="T8968" t="s">
        <v>48980</v>
      </c>
      <c r="U8968" t="s">
        <v>56948</v>
      </c>
      <c r="W8968" t="s">
        <v>43861</v>
      </c>
      <c r="X8968" t="s">
        <v>47313</v>
      </c>
    </row>
    <row r="8969" spans="1:24">
      <c r="A8969">
        <f>HYPERLINK("https://www.philgeps.gov.ph/GEPSNONPILOT/Tender/SplashBidNoticeAbstractUI.aspx?menuIndex=3&amp;refID=7189693&amp;Result=3","7189693")</f>
        <v>0</v>
      </c>
      <c r="B8969" t="s">
        <v>2806</v>
      </c>
      <c r="C8969" t="s">
        <v>12307</v>
      </c>
      <c r="D8969" t="s">
        <v>19024</v>
      </c>
      <c r="E8969" t="s">
        <v>26761</v>
      </c>
      <c r="F8969" t="s">
        <v>32606</v>
      </c>
      <c r="G8969" t="s">
        <v>32614</v>
      </c>
      <c r="H8969" t="s">
        <v>32623</v>
      </c>
      <c r="I8969" t="s">
        <v>17648</v>
      </c>
      <c r="J8969" t="s">
        <v>32789</v>
      </c>
      <c r="K8969" t="s">
        <v>42627</v>
      </c>
      <c r="M8969" t="s">
        <v>45968</v>
      </c>
      <c r="N8969" t="s">
        <v>47304</v>
      </c>
      <c r="O8969" t="s">
        <v>47305</v>
      </c>
      <c r="P8969">
        <v>0</v>
      </c>
      <c r="Q8969">
        <v>0</v>
      </c>
      <c r="R8969" t="s">
        <v>47312</v>
      </c>
      <c r="S8969" t="s">
        <v>47489</v>
      </c>
      <c r="T8969" t="s">
        <v>49047</v>
      </c>
      <c r="U8969" t="s">
        <v>56924</v>
      </c>
      <c r="W8969" t="s">
        <v>45968</v>
      </c>
      <c r="X8969" t="s">
        <v>47313</v>
      </c>
    </row>
    <row r="8970" spans="1:24">
      <c r="A8970">
        <f>HYPERLINK("https://www.philgeps.gov.ph/GEPSNONPILOT/Tender/SplashBidNoticeAbstractUI.aspx?menuIndex=3&amp;refID=7189595&amp;Result=3","7189595")</f>
        <v>0</v>
      </c>
      <c r="B8970" t="s">
        <v>2788</v>
      </c>
      <c r="C8970" t="s">
        <v>12308</v>
      </c>
      <c r="D8970" t="s">
        <v>18997</v>
      </c>
      <c r="E8970" t="s">
        <v>26762</v>
      </c>
      <c r="F8970" t="s">
        <v>32606</v>
      </c>
      <c r="G8970" t="s">
        <v>32614</v>
      </c>
      <c r="H8970" t="s">
        <v>14201</v>
      </c>
      <c r="I8970" t="s">
        <v>32631</v>
      </c>
      <c r="J8970" t="s">
        <v>38305</v>
      </c>
      <c r="K8970" t="s">
        <v>42624</v>
      </c>
      <c r="M8970" t="s">
        <v>45950</v>
      </c>
      <c r="N8970" t="s">
        <v>47304</v>
      </c>
      <c r="O8970" t="s">
        <v>47305</v>
      </c>
      <c r="P8970">
        <v>0</v>
      </c>
      <c r="Q8970">
        <v>1</v>
      </c>
      <c r="R8970" t="s">
        <v>47312</v>
      </c>
      <c r="S8970" t="s">
        <v>47489</v>
      </c>
      <c r="T8970" t="s">
        <v>49018</v>
      </c>
      <c r="U8970" t="s">
        <v>56902</v>
      </c>
      <c r="W8970" t="s">
        <v>45950</v>
      </c>
      <c r="X8970" t="s">
        <v>47313</v>
      </c>
    </row>
    <row r="8971" spans="1:24">
      <c r="A8971">
        <f>HYPERLINK("https://www.philgeps.gov.ph/GEPSNONPILOT/Tender/SplashBidNoticeAbstractUI.aspx?menuIndex=3&amp;refID=7189600&amp;Result=3","7189600")</f>
        <v>0</v>
      </c>
      <c r="B8971" t="s">
        <v>2811</v>
      </c>
      <c r="C8971" t="s">
        <v>12309</v>
      </c>
      <c r="D8971" t="s">
        <v>19006</v>
      </c>
      <c r="E8971" t="s">
        <v>19125</v>
      </c>
      <c r="F8971" t="s">
        <v>32606</v>
      </c>
      <c r="G8971" t="s">
        <v>32619</v>
      </c>
      <c r="H8971" t="s">
        <v>14201</v>
      </c>
      <c r="I8971" t="s">
        <v>6931</v>
      </c>
      <c r="J8971" t="s">
        <v>38006</v>
      </c>
      <c r="K8971" t="s">
        <v>42622</v>
      </c>
      <c r="M8971" t="s">
        <v>45974</v>
      </c>
      <c r="N8971" t="s">
        <v>47304</v>
      </c>
      <c r="O8971" t="s">
        <v>47305</v>
      </c>
      <c r="P8971">
        <v>0</v>
      </c>
      <c r="Q8971">
        <v>0</v>
      </c>
      <c r="R8971" t="s">
        <v>47312</v>
      </c>
      <c r="S8971" t="s">
        <v>47489</v>
      </c>
      <c r="T8971" t="s">
        <v>49039</v>
      </c>
      <c r="U8971" t="s">
        <v>56949</v>
      </c>
      <c r="W8971" t="s">
        <v>45974</v>
      </c>
      <c r="X8971" t="s">
        <v>47313</v>
      </c>
    </row>
    <row r="8972" spans="1:24">
      <c r="A8972">
        <f>HYPERLINK("https://www.philgeps.gov.ph/GEPSNONPILOT/Tender/SplashBidNoticeAbstractUI.aspx?menuIndex=3&amp;refID=7189522&amp;Result=3","7189522")</f>
        <v>0</v>
      </c>
      <c r="B8972" t="s">
        <v>2812</v>
      </c>
      <c r="C8972" t="s">
        <v>12310</v>
      </c>
      <c r="D8972" t="s">
        <v>19020</v>
      </c>
      <c r="E8972" t="s">
        <v>26763</v>
      </c>
      <c r="F8972" t="s">
        <v>32606</v>
      </c>
      <c r="G8972" t="s">
        <v>32613</v>
      </c>
      <c r="H8972" t="s">
        <v>32623</v>
      </c>
      <c r="I8972" t="s">
        <v>32659</v>
      </c>
      <c r="J8972" t="s">
        <v>38306</v>
      </c>
      <c r="K8972" t="s">
        <v>42636</v>
      </c>
      <c r="M8972" t="s">
        <v>45975</v>
      </c>
      <c r="N8972" t="s">
        <v>47304</v>
      </c>
      <c r="O8972" t="s">
        <v>47305</v>
      </c>
      <c r="P8972">
        <v>0</v>
      </c>
      <c r="Q8972">
        <v>0</v>
      </c>
      <c r="R8972" t="s">
        <v>47312</v>
      </c>
      <c r="S8972" t="s">
        <v>47489</v>
      </c>
      <c r="T8972" t="s">
        <v>49037</v>
      </c>
      <c r="U8972" t="s">
        <v>56950</v>
      </c>
      <c r="W8972" t="s">
        <v>45975</v>
      </c>
      <c r="X8972" t="s">
        <v>47313</v>
      </c>
    </row>
    <row r="8973" spans="1:24">
      <c r="A8973">
        <f>HYPERLINK("https://www.philgeps.gov.ph/GEPSNONPILOT/Tender/SplashBidNoticeAbstractUI.aspx?menuIndex=3&amp;refID=7189563&amp;Result=3","7189563")</f>
        <v>0</v>
      </c>
      <c r="B8973" t="s">
        <v>2788</v>
      </c>
      <c r="C8973" t="s">
        <v>12311</v>
      </c>
      <c r="D8973" t="s">
        <v>18997</v>
      </c>
      <c r="E8973" t="s">
        <v>26764</v>
      </c>
      <c r="F8973" t="s">
        <v>32606</v>
      </c>
      <c r="G8973" t="s">
        <v>32614</v>
      </c>
      <c r="H8973" t="s">
        <v>14201</v>
      </c>
      <c r="I8973" t="s">
        <v>6007</v>
      </c>
      <c r="J8973" t="s">
        <v>33034</v>
      </c>
      <c r="K8973" t="s">
        <v>42624</v>
      </c>
      <c r="M8973" t="s">
        <v>45950</v>
      </c>
      <c r="N8973" t="s">
        <v>47304</v>
      </c>
      <c r="O8973" t="s">
        <v>47305</v>
      </c>
      <c r="P8973">
        <v>0</v>
      </c>
      <c r="Q8973">
        <v>0</v>
      </c>
      <c r="R8973" t="s">
        <v>47312</v>
      </c>
      <c r="S8973" t="s">
        <v>47489</v>
      </c>
      <c r="T8973" t="s">
        <v>49018</v>
      </c>
      <c r="U8973" t="s">
        <v>56902</v>
      </c>
      <c r="W8973" t="s">
        <v>45950</v>
      </c>
      <c r="X8973" t="s">
        <v>47313</v>
      </c>
    </row>
    <row r="8974" spans="1:24">
      <c r="A8974">
        <f>HYPERLINK("https://www.philgeps.gov.ph/GEPSNONPILOT/Tender/SplashBidNoticeAbstractUI.aspx?menuIndex=3&amp;refID=7189556&amp;Result=3","7189556")</f>
        <v>0</v>
      </c>
      <c r="B8974" t="s">
        <v>2774</v>
      </c>
      <c r="C8974" t="s">
        <v>12312</v>
      </c>
      <c r="D8974" t="s">
        <v>19010</v>
      </c>
      <c r="E8974" t="s">
        <v>26765</v>
      </c>
      <c r="F8974" t="s">
        <v>32606</v>
      </c>
      <c r="G8974" t="s">
        <v>32613</v>
      </c>
      <c r="H8974" t="s">
        <v>14201</v>
      </c>
      <c r="I8974" t="s">
        <v>9013</v>
      </c>
      <c r="J8974" t="s">
        <v>32926</v>
      </c>
      <c r="K8974" t="s">
        <v>42630</v>
      </c>
      <c r="M8974" t="s">
        <v>45936</v>
      </c>
      <c r="N8974" t="s">
        <v>47304</v>
      </c>
      <c r="O8974" t="s">
        <v>47305</v>
      </c>
      <c r="P8974">
        <v>0</v>
      </c>
      <c r="Q8974">
        <v>2</v>
      </c>
      <c r="R8974" t="s">
        <v>47312</v>
      </c>
      <c r="S8974" t="s">
        <v>47489</v>
      </c>
      <c r="T8974" t="s">
        <v>49012</v>
      </c>
      <c r="U8974" t="s">
        <v>56951</v>
      </c>
      <c r="W8974" t="s">
        <v>45936</v>
      </c>
      <c r="X8974" t="s">
        <v>47313</v>
      </c>
    </row>
    <row r="8975" spans="1:24">
      <c r="A8975">
        <f>HYPERLINK("https://www.philgeps.gov.ph/GEPSNONPILOT/Tender/SplashBidNoticeAbstractUI.aspx?menuIndex=3&amp;refID=7189519&amp;Result=3","7189519")</f>
        <v>0</v>
      </c>
      <c r="B8975" t="s">
        <v>1595</v>
      </c>
      <c r="C8975" t="s">
        <v>12313</v>
      </c>
      <c r="D8975" t="s">
        <v>19014</v>
      </c>
      <c r="E8975" t="s">
        <v>26766</v>
      </c>
      <c r="F8975" t="s">
        <v>32606</v>
      </c>
      <c r="G8975" t="s">
        <v>32614</v>
      </c>
      <c r="H8975" t="s">
        <v>14201</v>
      </c>
      <c r="I8975" t="s">
        <v>32631</v>
      </c>
      <c r="J8975" t="s">
        <v>38307</v>
      </c>
      <c r="K8975" t="s">
        <v>42622</v>
      </c>
      <c r="M8975" t="s">
        <v>44609</v>
      </c>
      <c r="N8975" t="s">
        <v>47304</v>
      </c>
      <c r="O8975" t="s">
        <v>47305</v>
      </c>
      <c r="P8975">
        <v>0</v>
      </c>
      <c r="Q8975">
        <v>0</v>
      </c>
      <c r="R8975" t="s">
        <v>47312</v>
      </c>
      <c r="S8975" t="s">
        <v>47489</v>
      </c>
      <c r="T8975" t="s">
        <v>49269</v>
      </c>
      <c r="U8975" t="s">
        <v>56952</v>
      </c>
      <c r="W8975" t="s">
        <v>44609</v>
      </c>
      <c r="X8975" t="s">
        <v>47313</v>
      </c>
    </row>
    <row r="8976" spans="1:24">
      <c r="A8976">
        <f>HYPERLINK("https://www.philgeps.gov.ph/GEPSNONPILOT/Tender/SplashBidNoticeAbstractUI.aspx?menuIndex=3&amp;refID=7189518&amp;Result=3","7189518")</f>
        <v>0</v>
      </c>
      <c r="B8976" t="s">
        <v>723</v>
      </c>
      <c r="C8976" t="s">
        <v>12314</v>
      </c>
      <c r="D8976" t="s">
        <v>18994</v>
      </c>
      <c r="E8976" t="s">
        <v>26767</v>
      </c>
      <c r="F8976" t="s">
        <v>32606</v>
      </c>
      <c r="G8976" t="s">
        <v>32614</v>
      </c>
      <c r="H8976" t="s">
        <v>14201</v>
      </c>
      <c r="I8976" t="s">
        <v>13131</v>
      </c>
      <c r="J8976" t="s">
        <v>34294</v>
      </c>
      <c r="K8976" t="s">
        <v>42630</v>
      </c>
      <c r="M8976" t="s">
        <v>43644</v>
      </c>
      <c r="N8976" t="s">
        <v>47304</v>
      </c>
      <c r="O8976" t="s">
        <v>47305</v>
      </c>
      <c r="P8976">
        <v>0</v>
      </c>
      <c r="Q8976">
        <v>1</v>
      </c>
      <c r="R8976" t="s">
        <v>47312</v>
      </c>
      <c r="S8976" t="s">
        <v>47489</v>
      </c>
      <c r="T8976" t="s">
        <v>49331</v>
      </c>
      <c r="U8976" t="s">
        <v>52396</v>
      </c>
      <c r="W8976" t="s">
        <v>43644</v>
      </c>
      <c r="X8976" t="s">
        <v>47313</v>
      </c>
    </row>
    <row r="8977" spans="1:24">
      <c r="A8977">
        <f>HYPERLINK("https://www.philgeps.gov.ph/GEPSNONPILOT/Tender/SplashBidNoticeAbstractUI.aspx?menuIndex=3&amp;refID=7189555&amp;Result=3","7189555")</f>
        <v>0</v>
      </c>
      <c r="B8977" t="s">
        <v>1058</v>
      </c>
      <c r="C8977" t="s">
        <v>12315</v>
      </c>
      <c r="D8977" t="s">
        <v>19039</v>
      </c>
      <c r="E8977" t="s">
        <v>26768</v>
      </c>
      <c r="F8977" t="s">
        <v>32606</v>
      </c>
      <c r="G8977" t="s">
        <v>32614</v>
      </c>
      <c r="H8977" t="s">
        <v>14201</v>
      </c>
      <c r="I8977" t="s">
        <v>4678</v>
      </c>
      <c r="J8977" t="s">
        <v>32885</v>
      </c>
      <c r="K8977" t="s">
        <v>42623</v>
      </c>
      <c r="M8977" t="s">
        <v>44011</v>
      </c>
      <c r="N8977" t="s">
        <v>47304</v>
      </c>
      <c r="O8977" t="s">
        <v>47305</v>
      </c>
      <c r="P8977">
        <v>0</v>
      </c>
      <c r="Q8977">
        <v>0</v>
      </c>
      <c r="R8977" t="s">
        <v>47312</v>
      </c>
      <c r="S8977" t="s">
        <v>47489</v>
      </c>
      <c r="T8977" t="s">
        <v>49268</v>
      </c>
      <c r="U8977" t="s">
        <v>52100</v>
      </c>
      <c r="W8977" t="s">
        <v>44011</v>
      </c>
      <c r="X8977" t="s">
        <v>47313</v>
      </c>
    </row>
    <row r="8978" spans="1:24">
      <c r="A8978">
        <f>HYPERLINK("https://www.philgeps.gov.ph/GEPSNONPILOT/Tender/SplashBidNoticeAbstractUI.aspx?menuIndex=3&amp;refID=7189521&amp;Result=3","7189521")</f>
        <v>0</v>
      </c>
      <c r="B8978" t="s">
        <v>2241</v>
      </c>
      <c r="C8978" t="s">
        <v>12316</v>
      </c>
      <c r="D8978" t="s">
        <v>18999</v>
      </c>
      <c r="E8978" t="s">
        <v>26769</v>
      </c>
      <c r="F8978" t="s">
        <v>32606</v>
      </c>
      <c r="G8978" t="s">
        <v>32614</v>
      </c>
      <c r="H8978" t="s">
        <v>14201</v>
      </c>
      <c r="I8978" t="s">
        <v>32732</v>
      </c>
      <c r="J8978" t="s">
        <v>32981</v>
      </c>
      <c r="K8978" t="s">
        <v>42631</v>
      </c>
      <c r="M8978" t="s">
        <v>45345</v>
      </c>
      <c r="N8978" t="s">
        <v>47304</v>
      </c>
      <c r="O8978" t="s">
        <v>47305</v>
      </c>
      <c r="P8978">
        <v>0</v>
      </c>
      <c r="Q8978">
        <v>3</v>
      </c>
      <c r="R8978" t="s">
        <v>47312</v>
      </c>
      <c r="S8978" t="s">
        <v>47489</v>
      </c>
      <c r="T8978" t="s">
        <v>49330</v>
      </c>
      <c r="U8978" t="s">
        <v>56953</v>
      </c>
      <c r="W8978" t="s">
        <v>45345</v>
      </c>
      <c r="X8978" t="s">
        <v>47313</v>
      </c>
    </row>
    <row r="8979" spans="1:24">
      <c r="A8979">
        <f>HYPERLINK("https://www.philgeps.gov.ph/GEPSNONPILOT/Tender/SplashBidNoticeAbstractUI.aspx?menuIndex=3&amp;refID=7189697&amp;Result=3","7189697")</f>
        <v>0</v>
      </c>
      <c r="B8979" t="s">
        <v>2788</v>
      </c>
      <c r="C8979" t="s">
        <v>12317</v>
      </c>
      <c r="D8979" t="s">
        <v>18997</v>
      </c>
      <c r="E8979" t="s">
        <v>26770</v>
      </c>
      <c r="F8979" t="s">
        <v>32606</v>
      </c>
      <c r="G8979" t="s">
        <v>32614</v>
      </c>
      <c r="H8979" t="s">
        <v>14201</v>
      </c>
      <c r="I8979" t="s">
        <v>6007</v>
      </c>
      <c r="J8979" t="s">
        <v>33526</v>
      </c>
      <c r="K8979" t="s">
        <v>42624</v>
      </c>
      <c r="M8979" t="s">
        <v>45950</v>
      </c>
      <c r="N8979" t="s">
        <v>47304</v>
      </c>
      <c r="O8979" t="s">
        <v>47305</v>
      </c>
      <c r="P8979">
        <v>0</v>
      </c>
      <c r="Q8979">
        <v>0</v>
      </c>
      <c r="R8979" t="s">
        <v>47312</v>
      </c>
      <c r="S8979" t="s">
        <v>47489</v>
      </c>
      <c r="T8979" t="s">
        <v>49018</v>
      </c>
      <c r="U8979" t="s">
        <v>56902</v>
      </c>
      <c r="W8979" t="s">
        <v>45950</v>
      </c>
      <c r="X8979" t="s">
        <v>47313</v>
      </c>
    </row>
    <row r="8980" spans="1:24">
      <c r="A8980">
        <f>HYPERLINK("https://www.philgeps.gov.ph/GEPSNONPILOT/Tender/SplashBidNoticeAbstractUI.aspx?menuIndex=3&amp;refID=7189726&amp;Result=3","7189726")</f>
        <v>0</v>
      </c>
      <c r="B8980" t="s">
        <v>1058</v>
      </c>
      <c r="C8980" t="s">
        <v>12318</v>
      </c>
      <c r="D8980" t="s">
        <v>19039</v>
      </c>
      <c r="E8980" t="s">
        <v>26771</v>
      </c>
      <c r="F8980" t="s">
        <v>32606</v>
      </c>
      <c r="G8980" t="s">
        <v>32614</v>
      </c>
      <c r="H8980" t="s">
        <v>14201</v>
      </c>
      <c r="I8980" t="s">
        <v>32640</v>
      </c>
      <c r="J8980" t="s">
        <v>38308</v>
      </c>
      <c r="K8980" t="s">
        <v>42623</v>
      </c>
      <c r="M8980" t="s">
        <v>44011</v>
      </c>
      <c r="N8980" t="s">
        <v>47304</v>
      </c>
      <c r="O8980" t="s">
        <v>47305</v>
      </c>
      <c r="P8980">
        <v>0</v>
      </c>
      <c r="Q8980">
        <v>0</v>
      </c>
      <c r="R8980" t="s">
        <v>47312</v>
      </c>
      <c r="S8980" t="s">
        <v>47489</v>
      </c>
      <c r="T8980" t="s">
        <v>49268</v>
      </c>
      <c r="U8980" t="s">
        <v>52100</v>
      </c>
      <c r="W8980" t="s">
        <v>44011</v>
      </c>
      <c r="X8980" t="s">
        <v>47313</v>
      </c>
    </row>
    <row r="8981" spans="1:24">
      <c r="A8981">
        <f>HYPERLINK("https://www.philgeps.gov.ph/GEPSNONPILOT/Tender/SplashBidNoticeAbstractUI.aspx?menuIndex=3&amp;refID=7189745&amp;Result=3","7189745")</f>
        <v>0</v>
      </c>
      <c r="B8981" t="s">
        <v>2115</v>
      </c>
      <c r="C8981" t="s">
        <v>12319</v>
      </c>
      <c r="D8981" t="s">
        <v>19008</v>
      </c>
      <c r="E8981" t="s">
        <v>26772</v>
      </c>
      <c r="F8981" t="s">
        <v>32606</v>
      </c>
      <c r="G8981" t="s">
        <v>32613</v>
      </c>
      <c r="H8981" t="s">
        <v>14201</v>
      </c>
      <c r="I8981" t="s">
        <v>32638</v>
      </c>
      <c r="J8981" t="s">
        <v>38309</v>
      </c>
      <c r="K8981" t="s">
        <v>42638</v>
      </c>
      <c r="M8981" t="s">
        <v>45202</v>
      </c>
      <c r="N8981" t="s">
        <v>47304</v>
      </c>
      <c r="O8981" t="s">
        <v>47305</v>
      </c>
      <c r="P8981">
        <v>0</v>
      </c>
      <c r="Q8981">
        <v>4</v>
      </c>
      <c r="R8981" t="s">
        <v>47312</v>
      </c>
      <c r="S8981" t="s">
        <v>47489</v>
      </c>
      <c r="T8981" t="s">
        <v>49004</v>
      </c>
      <c r="U8981" t="s">
        <v>56954</v>
      </c>
      <c r="V8981" t="s">
        <v>63377</v>
      </c>
      <c r="W8981" t="s">
        <v>45202</v>
      </c>
      <c r="X8981" t="s">
        <v>47313</v>
      </c>
    </row>
    <row r="8982" spans="1:24">
      <c r="A8982">
        <f>HYPERLINK("https://www.philgeps.gov.ph/GEPSNONPILOT/Tender/SplashBidNoticeAbstractUI.aspx?menuIndex=3&amp;refID=7189741&amp;Result=3","7189741")</f>
        <v>0</v>
      </c>
      <c r="B8982" t="s">
        <v>2813</v>
      </c>
      <c r="C8982" t="s">
        <v>12320</v>
      </c>
      <c r="D8982" t="s">
        <v>18995</v>
      </c>
      <c r="E8982" t="s">
        <v>19412</v>
      </c>
      <c r="F8982" t="s">
        <v>32606</v>
      </c>
      <c r="G8982" t="s">
        <v>32614</v>
      </c>
      <c r="H8982" t="s">
        <v>14201</v>
      </c>
      <c r="I8982" t="s">
        <v>6478</v>
      </c>
      <c r="J8982" t="s">
        <v>38310</v>
      </c>
      <c r="K8982" t="s">
        <v>42630</v>
      </c>
      <c r="M8982" t="s">
        <v>45976</v>
      </c>
      <c r="N8982" t="s">
        <v>47304</v>
      </c>
      <c r="O8982" t="s">
        <v>47305</v>
      </c>
      <c r="P8982">
        <v>0</v>
      </c>
      <c r="Q8982">
        <v>0</v>
      </c>
      <c r="R8982" t="s">
        <v>47312</v>
      </c>
      <c r="S8982" t="s">
        <v>47489</v>
      </c>
      <c r="T8982" t="s">
        <v>49268</v>
      </c>
      <c r="U8982" t="s">
        <v>56955</v>
      </c>
      <c r="W8982" t="s">
        <v>45976</v>
      </c>
      <c r="X8982" t="s">
        <v>47313</v>
      </c>
    </row>
    <row r="8983" spans="1:24">
      <c r="A8983">
        <f>HYPERLINK("https://www.philgeps.gov.ph/GEPSNONPILOT/Tender/SplashBidNoticeAbstractUI.aspx?menuIndex=3&amp;refID=7189739&amp;Result=3","7189739")</f>
        <v>0</v>
      </c>
      <c r="B8983" t="s">
        <v>2115</v>
      </c>
      <c r="C8983" t="s">
        <v>12321</v>
      </c>
      <c r="D8983" t="s">
        <v>19008</v>
      </c>
      <c r="E8983" t="s">
        <v>26773</v>
      </c>
      <c r="F8983" t="s">
        <v>32606</v>
      </c>
      <c r="G8983" t="s">
        <v>32613</v>
      </c>
      <c r="H8983" t="s">
        <v>14201</v>
      </c>
      <c r="I8983" t="s">
        <v>7677</v>
      </c>
      <c r="J8983" t="s">
        <v>38311</v>
      </c>
      <c r="K8983" t="s">
        <v>42638</v>
      </c>
      <c r="M8983" t="s">
        <v>45202</v>
      </c>
      <c r="N8983" t="s">
        <v>47304</v>
      </c>
      <c r="O8983" t="s">
        <v>47305</v>
      </c>
      <c r="P8983">
        <v>0</v>
      </c>
      <c r="Q8983">
        <v>0</v>
      </c>
      <c r="R8983" t="s">
        <v>47312</v>
      </c>
      <c r="S8983" t="s">
        <v>47489</v>
      </c>
      <c r="T8983" t="s">
        <v>49004</v>
      </c>
      <c r="U8983" t="s">
        <v>56956</v>
      </c>
      <c r="V8983" t="s">
        <v>63377</v>
      </c>
      <c r="W8983" t="s">
        <v>45202</v>
      </c>
      <c r="X8983" t="s">
        <v>47313</v>
      </c>
    </row>
    <row r="8984" spans="1:24">
      <c r="A8984">
        <f>HYPERLINK("https://www.philgeps.gov.ph/GEPSNONPILOT/Tender/SplashBidNoticeAbstractUI.aspx?menuIndex=3&amp;refID=7189738&amp;Result=3","7189738")</f>
        <v>0</v>
      </c>
      <c r="B8984" t="s">
        <v>2814</v>
      </c>
      <c r="C8984" t="s">
        <v>12322</v>
      </c>
      <c r="D8984" t="s">
        <v>19049</v>
      </c>
      <c r="E8984" t="s">
        <v>26774</v>
      </c>
      <c r="F8984" t="s">
        <v>32606</v>
      </c>
      <c r="G8984" t="s">
        <v>32613</v>
      </c>
      <c r="H8984" t="s">
        <v>14201</v>
      </c>
      <c r="I8984" t="s">
        <v>6931</v>
      </c>
      <c r="J8984" t="s">
        <v>38312</v>
      </c>
      <c r="K8984" t="s">
        <v>42630</v>
      </c>
      <c r="M8984" t="s">
        <v>45977</v>
      </c>
      <c r="N8984" t="s">
        <v>47304</v>
      </c>
      <c r="O8984" t="s">
        <v>47305</v>
      </c>
      <c r="P8984">
        <v>0</v>
      </c>
      <c r="Q8984">
        <v>1</v>
      </c>
      <c r="R8984" t="s">
        <v>47312</v>
      </c>
      <c r="S8984" t="s">
        <v>47489</v>
      </c>
      <c r="T8984" t="s">
        <v>49068</v>
      </c>
      <c r="U8984" t="s">
        <v>56957</v>
      </c>
      <c r="W8984" t="s">
        <v>45977</v>
      </c>
      <c r="X8984" t="s">
        <v>47313</v>
      </c>
    </row>
    <row r="8985" spans="1:24">
      <c r="A8985">
        <f>HYPERLINK("https://www.philgeps.gov.ph/GEPSNONPILOT/Tender/SplashBidNoticeAbstractUI.aspx?menuIndex=3&amp;refID=7189554&amp;Result=3","7189554")</f>
        <v>0</v>
      </c>
      <c r="B8985" t="s">
        <v>742</v>
      </c>
      <c r="C8985" t="s">
        <v>12323</v>
      </c>
      <c r="D8985" t="s">
        <v>19054</v>
      </c>
      <c r="E8985" t="s">
        <v>26775</v>
      </c>
      <c r="F8985" t="s">
        <v>32606</v>
      </c>
      <c r="G8985" t="s">
        <v>32614</v>
      </c>
      <c r="H8985" t="s">
        <v>14201</v>
      </c>
      <c r="I8985" t="s">
        <v>6298</v>
      </c>
      <c r="J8985" t="s">
        <v>38313</v>
      </c>
      <c r="K8985" t="s">
        <v>42631</v>
      </c>
      <c r="M8985" t="s">
        <v>43665</v>
      </c>
      <c r="N8985" t="s">
        <v>47304</v>
      </c>
      <c r="O8985" t="s">
        <v>47305</v>
      </c>
      <c r="P8985">
        <v>0</v>
      </c>
      <c r="Q8985">
        <v>0</v>
      </c>
      <c r="R8985" t="s">
        <v>47312</v>
      </c>
      <c r="S8985" t="s">
        <v>47489</v>
      </c>
      <c r="T8985" t="s">
        <v>49004</v>
      </c>
      <c r="U8985" t="s">
        <v>50889</v>
      </c>
      <c r="W8985" t="s">
        <v>43665</v>
      </c>
      <c r="X8985" t="s">
        <v>47313</v>
      </c>
    </row>
    <row r="8986" spans="1:24">
      <c r="A8986">
        <f>HYPERLINK("https://www.philgeps.gov.ph/GEPSNONPILOT/Tender/SplashBidNoticeAbstractUI.aspx?menuIndex=3&amp;refID=7189737&amp;Result=3","7189737")</f>
        <v>0</v>
      </c>
      <c r="B8986" t="s">
        <v>2815</v>
      </c>
      <c r="C8986" t="s">
        <v>12324</v>
      </c>
      <c r="D8986" t="s">
        <v>19058</v>
      </c>
      <c r="E8986" t="s">
        <v>26776</v>
      </c>
      <c r="F8986" t="s">
        <v>32606</v>
      </c>
      <c r="G8986" t="s">
        <v>32619</v>
      </c>
      <c r="H8986" t="s">
        <v>14201</v>
      </c>
      <c r="I8986" t="s">
        <v>4121</v>
      </c>
      <c r="J8986" t="s">
        <v>34726</v>
      </c>
      <c r="K8986" t="s">
        <v>42622</v>
      </c>
      <c r="M8986" t="s">
        <v>45978</v>
      </c>
      <c r="N8986" t="s">
        <v>47304</v>
      </c>
      <c r="O8986" t="s">
        <v>47305</v>
      </c>
      <c r="P8986">
        <v>0</v>
      </c>
      <c r="Q8986">
        <v>4</v>
      </c>
      <c r="R8986" t="s">
        <v>47312</v>
      </c>
      <c r="S8986" t="s">
        <v>47489</v>
      </c>
      <c r="T8986" t="s">
        <v>49269</v>
      </c>
      <c r="U8986" t="s">
        <v>56958</v>
      </c>
      <c r="V8986" t="s">
        <v>63592</v>
      </c>
      <c r="W8986" t="s">
        <v>45978</v>
      </c>
      <c r="X8986" t="s">
        <v>47313</v>
      </c>
    </row>
    <row r="8987" spans="1:24">
      <c r="A8987">
        <f>HYPERLINK("https://www.philgeps.gov.ph/GEPSNONPILOT/Tender/SplashBidNoticeAbstractUI.aspx?menuIndex=3&amp;refID=7189733&amp;Result=3","7189733")</f>
        <v>0</v>
      </c>
      <c r="B8987" t="s">
        <v>1068</v>
      </c>
      <c r="C8987" t="s">
        <v>12325</v>
      </c>
      <c r="D8987" t="s">
        <v>19057</v>
      </c>
      <c r="E8987" t="s">
        <v>26777</v>
      </c>
      <c r="F8987" t="s">
        <v>32606</v>
      </c>
      <c r="G8987" t="s">
        <v>32613</v>
      </c>
      <c r="H8987" t="s">
        <v>14201</v>
      </c>
      <c r="I8987" t="s">
        <v>6931</v>
      </c>
      <c r="J8987" t="s">
        <v>38314</v>
      </c>
      <c r="K8987" t="s">
        <v>42623</v>
      </c>
      <c r="M8987" t="s">
        <v>44021</v>
      </c>
      <c r="N8987" t="s">
        <v>47304</v>
      </c>
      <c r="O8987" t="s">
        <v>47305</v>
      </c>
      <c r="P8987">
        <v>0</v>
      </c>
      <c r="Q8987">
        <v>1</v>
      </c>
      <c r="R8987" t="s">
        <v>47312</v>
      </c>
      <c r="S8987" t="s">
        <v>47489</v>
      </c>
      <c r="T8987" t="s">
        <v>49095</v>
      </c>
      <c r="U8987" t="s">
        <v>56959</v>
      </c>
      <c r="W8987" t="s">
        <v>44021</v>
      </c>
      <c r="X8987" t="s">
        <v>47313</v>
      </c>
    </row>
    <row r="8988" spans="1:24">
      <c r="A8988">
        <f>HYPERLINK("https://www.philgeps.gov.ph/GEPSNONPILOT/Tender/SplashBidNoticeAbstractUI.aspx?menuIndex=3&amp;refID=7189732&amp;Result=3","7189732")</f>
        <v>0</v>
      </c>
      <c r="B8988" t="s">
        <v>2803</v>
      </c>
      <c r="C8988" t="s">
        <v>12326</v>
      </c>
      <c r="D8988" t="s">
        <v>18997</v>
      </c>
      <c r="E8988" t="s">
        <v>26778</v>
      </c>
      <c r="F8988" t="s">
        <v>32606</v>
      </c>
      <c r="G8988" t="s">
        <v>32614</v>
      </c>
      <c r="H8988" t="s">
        <v>14201</v>
      </c>
      <c r="I8988" t="s">
        <v>13131</v>
      </c>
      <c r="J8988" t="s">
        <v>38315</v>
      </c>
      <c r="K8988" t="s">
        <v>42631</v>
      </c>
      <c r="M8988" t="s">
        <v>45965</v>
      </c>
      <c r="N8988" t="s">
        <v>47304</v>
      </c>
      <c r="O8988" t="s">
        <v>47305</v>
      </c>
      <c r="P8988">
        <v>0</v>
      </c>
      <c r="Q8988">
        <v>2</v>
      </c>
      <c r="R8988" t="s">
        <v>47312</v>
      </c>
      <c r="S8988" t="s">
        <v>47489</v>
      </c>
      <c r="T8988" t="s">
        <v>49053</v>
      </c>
      <c r="U8988" t="s">
        <v>56960</v>
      </c>
      <c r="W8988" t="s">
        <v>45965</v>
      </c>
      <c r="X8988" t="s">
        <v>47313</v>
      </c>
    </row>
    <row r="8989" spans="1:24">
      <c r="A8989">
        <f>HYPERLINK("https://www.philgeps.gov.ph/GEPSNONPILOT/Tender/SplashBidNoticeAbstractUI.aspx?menuIndex=3&amp;refID=7189482&amp;Result=3","7189482")</f>
        <v>0</v>
      </c>
      <c r="B8989" t="s">
        <v>2816</v>
      </c>
      <c r="C8989" t="s">
        <v>12327</v>
      </c>
      <c r="D8989" t="s">
        <v>19004</v>
      </c>
      <c r="E8989" t="s">
        <v>26015</v>
      </c>
      <c r="F8989" t="s">
        <v>32606</v>
      </c>
      <c r="G8989" t="s">
        <v>32613</v>
      </c>
      <c r="H8989" t="s">
        <v>14201</v>
      </c>
      <c r="I8989" t="s">
        <v>6931</v>
      </c>
      <c r="J8989" t="s">
        <v>38316</v>
      </c>
      <c r="K8989" t="s">
        <v>42623</v>
      </c>
      <c r="M8989" t="s">
        <v>45979</v>
      </c>
      <c r="N8989" t="s">
        <v>47304</v>
      </c>
      <c r="O8989" t="s">
        <v>47305</v>
      </c>
      <c r="P8989">
        <v>0</v>
      </c>
      <c r="Q8989">
        <v>3</v>
      </c>
      <c r="R8989" t="s">
        <v>47312</v>
      </c>
      <c r="S8989" t="s">
        <v>47489</v>
      </c>
      <c r="T8989" t="s">
        <v>49165</v>
      </c>
      <c r="U8989" t="s">
        <v>56961</v>
      </c>
      <c r="W8989" t="s">
        <v>45979</v>
      </c>
      <c r="X8989" t="s">
        <v>47313</v>
      </c>
    </row>
    <row r="8990" spans="1:24">
      <c r="A8990">
        <f>HYPERLINK("https://www.philgeps.gov.ph/GEPSNONPILOT/Tender/SplashBidNoticeAbstractUI.aspx?menuIndex=3&amp;refID=7189748&amp;Result=3","7189748")</f>
        <v>0</v>
      </c>
      <c r="B8990" t="s">
        <v>2788</v>
      </c>
      <c r="C8990" t="s">
        <v>12328</v>
      </c>
      <c r="D8990" t="s">
        <v>18997</v>
      </c>
      <c r="E8990" t="s">
        <v>26779</v>
      </c>
      <c r="F8990" t="s">
        <v>32606</v>
      </c>
      <c r="G8990" t="s">
        <v>32614</v>
      </c>
      <c r="H8990" t="s">
        <v>14201</v>
      </c>
      <c r="I8990" t="s">
        <v>6298</v>
      </c>
      <c r="J8990" t="s">
        <v>32765</v>
      </c>
      <c r="K8990" t="s">
        <v>42624</v>
      </c>
      <c r="M8990" t="s">
        <v>45950</v>
      </c>
      <c r="N8990" t="s">
        <v>47304</v>
      </c>
      <c r="O8990" t="s">
        <v>47305</v>
      </c>
      <c r="P8990">
        <v>0</v>
      </c>
      <c r="Q8990">
        <v>0</v>
      </c>
      <c r="R8990" t="s">
        <v>47312</v>
      </c>
      <c r="S8990" t="s">
        <v>47489</v>
      </c>
      <c r="T8990" t="s">
        <v>49018</v>
      </c>
      <c r="U8990" t="s">
        <v>56902</v>
      </c>
      <c r="W8990" t="s">
        <v>45950</v>
      </c>
      <c r="X8990" t="s">
        <v>47313</v>
      </c>
    </row>
    <row r="8991" spans="1:24">
      <c r="A8991">
        <f>HYPERLINK("https://www.philgeps.gov.ph/GEPSNONPILOT/Tender/SplashBidNoticeAbstractUI.aspx?menuIndex=3&amp;refID=7189759&amp;Result=3","7189759")</f>
        <v>0</v>
      </c>
      <c r="B8991" t="s">
        <v>2817</v>
      </c>
      <c r="C8991" t="s">
        <v>12329</v>
      </c>
      <c r="D8991" t="s">
        <v>19003</v>
      </c>
      <c r="E8991" t="s">
        <v>19314</v>
      </c>
      <c r="F8991" t="s">
        <v>32606</v>
      </c>
      <c r="G8991" t="s">
        <v>32614</v>
      </c>
      <c r="H8991" t="s">
        <v>14201</v>
      </c>
      <c r="I8991" t="s">
        <v>6478</v>
      </c>
      <c r="J8991" t="s">
        <v>38317</v>
      </c>
      <c r="K8991" t="s">
        <v>42624</v>
      </c>
      <c r="M8991" t="s">
        <v>45980</v>
      </c>
      <c r="N8991" t="s">
        <v>47304</v>
      </c>
      <c r="O8991" t="s">
        <v>47305</v>
      </c>
      <c r="P8991">
        <v>0</v>
      </c>
      <c r="Q8991">
        <v>2</v>
      </c>
      <c r="R8991" t="s">
        <v>47312</v>
      </c>
      <c r="S8991" t="s">
        <v>47489</v>
      </c>
      <c r="T8991" t="s">
        <v>49363</v>
      </c>
      <c r="U8991" t="s">
        <v>56962</v>
      </c>
      <c r="W8991" t="s">
        <v>45980</v>
      </c>
      <c r="X8991" t="s">
        <v>47313</v>
      </c>
    </row>
    <row r="8992" spans="1:24">
      <c r="A8992">
        <f>HYPERLINK("https://www.philgeps.gov.ph/GEPSNONPILOT/Tender/SplashBidNoticeAbstractUI.aspx?menuIndex=3&amp;refID=7189740&amp;Result=3","7189740")</f>
        <v>0</v>
      </c>
      <c r="B8992" t="s">
        <v>2818</v>
      </c>
      <c r="C8992" t="s">
        <v>12330</v>
      </c>
      <c r="D8992" t="s">
        <v>19024</v>
      </c>
      <c r="E8992" t="s">
        <v>20122</v>
      </c>
      <c r="F8992" t="s">
        <v>32606</v>
      </c>
      <c r="G8992" t="s">
        <v>32613</v>
      </c>
      <c r="H8992" t="s">
        <v>14201</v>
      </c>
      <c r="I8992" t="s">
        <v>6931</v>
      </c>
      <c r="J8992" t="s">
        <v>38318</v>
      </c>
      <c r="K8992" t="s">
        <v>42631</v>
      </c>
      <c r="M8992" t="s">
        <v>45981</v>
      </c>
      <c r="N8992" t="s">
        <v>47304</v>
      </c>
      <c r="O8992" t="s">
        <v>47305</v>
      </c>
      <c r="P8992">
        <v>0</v>
      </c>
      <c r="Q8992">
        <v>0</v>
      </c>
      <c r="R8992" t="s">
        <v>47312</v>
      </c>
      <c r="S8992" t="s">
        <v>47489</v>
      </c>
      <c r="T8992" t="s">
        <v>49405</v>
      </c>
      <c r="U8992" t="s">
        <v>56963</v>
      </c>
      <c r="V8992" t="s">
        <v>63593</v>
      </c>
      <c r="W8992" t="s">
        <v>45981</v>
      </c>
      <c r="X8992" t="s">
        <v>47313</v>
      </c>
    </row>
    <row r="8993" spans="1:24">
      <c r="A8993">
        <f>HYPERLINK("https://www.philgeps.gov.ph/GEPSNONPILOT/Tender/SplashBidNoticeAbstractUI.aspx?menuIndex=3&amp;refID=7189753&amp;Result=3","7189753")</f>
        <v>0</v>
      </c>
      <c r="B8993" t="s">
        <v>2819</v>
      </c>
      <c r="C8993" t="s">
        <v>12331</v>
      </c>
      <c r="E8993" t="s">
        <v>26780</v>
      </c>
      <c r="F8993" t="s">
        <v>32607</v>
      </c>
      <c r="G8993" t="s">
        <v>32614</v>
      </c>
      <c r="H8993" t="s">
        <v>14201</v>
      </c>
      <c r="I8993" t="s">
        <v>6478</v>
      </c>
      <c r="J8993" t="s">
        <v>38319</v>
      </c>
      <c r="K8993" t="s">
        <v>42624</v>
      </c>
      <c r="M8993" t="s">
        <v>45982</v>
      </c>
      <c r="N8993" t="s">
        <v>47304</v>
      </c>
      <c r="O8993" t="s">
        <v>47305</v>
      </c>
      <c r="P8993">
        <v>0</v>
      </c>
      <c r="Q8993">
        <v>1</v>
      </c>
      <c r="R8993" t="s">
        <v>47312</v>
      </c>
      <c r="S8993" t="s">
        <v>47489</v>
      </c>
      <c r="T8993" t="s">
        <v>48975</v>
      </c>
      <c r="U8993" t="s">
        <v>56964</v>
      </c>
      <c r="W8993" t="s">
        <v>45982</v>
      </c>
      <c r="X8993" t="s">
        <v>47313</v>
      </c>
    </row>
    <row r="8994" spans="1:24">
      <c r="A8994">
        <f>HYPERLINK("https://www.philgeps.gov.ph/GEPSNONPILOT/Tender/SplashBidNoticeAbstractUI.aspx?menuIndex=3&amp;refID=7189728&amp;Result=3","7189728")</f>
        <v>0</v>
      </c>
      <c r="B8994" t="s">
        <v>2788</v>
      </c>
      <c r="C8994" t="s">
        <v>12332</v>
      </c>
      <c r="D8994" t="s">
        <v>18997</v>
      </c>
      <c r="E8994" t="s">
        <v>26781</v>
      </c>
      <c r="F8994" t="s">
        <v>32606</v>
      </c>
      <c r="G8994" t="s">
        <v>32614</v>
      </c>
      <c r="H8994" t="s">
        <v>14201</v>
      </c>
      <c r="I8994" t="s">
        <v>32680</v>
      </c>
      <c r="J8994" t="s">
        <v>33291</v>
      </c>
      <c r="K8994" t="s">
        <v>42624</v>
      </c>
      <c r="M8994" t="s">
        <v>45950</v>
      </c>
      <c r="N8994" t="s">
        <v>47304</v>
      </c>
      <c r="O8994" t="s">
        <v>47305</v>
      </c>
      <c r="P8994">
        <v>0</v>
      </c>
      <c r="Q8994">
        <v>1</v>
      </c>
      <c r="R8994" t="s">
        <v>47312</v>
      </c>
      <c r="S8994" t="s">
        <v>47489</v>
      </c>
      <c r="T8994" t="s">
        <v>49018</v>
      </c>
      <c r="U8994" t="s">
        <v>56902</v>
      </c>
      <c r="W8994" t="s">
        <v>45950</v>
      </c>
      <c r="X8994" t="s">
        <v>47313</v>
      </c>
    </row>
    <row r="8995" spans="1:24">
      <c r="A8995">
        <f>HYPERLINK("https://www.philgeps.gov.ph/GEPSNONPILOT/Tender/SplashBidNoticeAbstractUI.aspx?menuIndex=3&amp;refID=7189735&amp;Result=3","7189735")</f>
        <v>0</v>
      </c>
      <c r="B8995" t="s">
        <v>2296</v>
      </c>
      <c r="C8995" t="s">
        <v>12333</v>
      </c>
      <c r="D8995" t="s">
        <v>19019</v>
      </c>
      <c r="E8995" t="s">
        <v>26782</v>
      </c>
      <c r="F8995" t="s">
        <v>32606</v>
      </c>
      <c r="G8995" t="s">
        <v>32614</v>
      </c>
      <c r="H8995" t="s">
        <v>32624</v>
      </c>
      <c r="I8995" t="s">
        <v>4678</v>
      </c>
      <c r="J8995" t="s">
        <v>38320</v>
      </c>
      <c r="K8995" t="s">
        <v>42622</v>
      </c>
      <c r="M8995" t="s">
        <v>45402</v>
      </c>
      <c r="N8995" t="s">
        <v>47304</v>
      </c>
      <c r="O8995" t="s">
        <v>47305</v>
      </c>
      <c r="P8995">
        <v>0</v>
      </c>
      <c r="Q8995">
        <v>0</v>
      </c>
      <c r="R8995" t="s">
        <v>47312</v>
      </c>
      <c r="S8995" t="s">
        <v>47489</v>
      </c>
      <c r="T8995" t="s">
        <v>49165</v>
      </c>
      <c r="U8995" t="s">
        <v>56965</v>
      </c>
      <c r="W8995" t="s">
        <v>45402</v>
      </c>
      <c r="X8995" t="s">
        <v>47313</v>
      </c>
    </row>
    <row r="8996" spans="1:24">
      <c r="A8996">
        <f>HYPERLINK("https://www.philgeps.gov.ph/GEPSNONPILOT/Tender/SplashBidNoticeAbstractUI.aspx?menuIndex=3&amp;refID=7189791&amp;Result=3","7189791")</f>
        <v>0</v>
      </c>
      <c r="B8996" t="s">
        <v>2820</v>
      </c>
      <c r="C8996" t="s">
        <v>12334</v>
      </c>
      <c r="D8996" t="s">
        <v>18993</v>
      </c>
      <c r="E8996" t="s">
        <v>26783</v>
      </c>
      <c r="F8996" t="s">
        <v>32606</v>
      </c>
      <c r="G8996" t="s">
        <v>32615</v>
      </c>
      <c r="H8996" t="s">
        <v>14201</v>
      </c>
      <c r="I8996" t="s">
        <v>32655</v>
      </c>
      <c r="J8996" t="s">
        <v>38321</v>
      </c>
      <c r="K8996" t="s">
        <v>42624</v>
      </c>
      <c r="L8996" t="s">
        <v>2820</v>
      </c>
      <c r="M8996" t="s">
        <v>45983</v>
      </c>
      <c r="N8996" t="s">
        <v>47304</v>
      </c>
      <c r="O8996" t="s">
        <v>47305</v>
      </c>
      <c r="P8996">
        <v>0</v>
      </c>
      <c r="Q8996">
        <v>8</v>
      </c>
      <c r="R8996" t="s">
        <v>47312</v>
      </c>
      <c r="S8996" t="s">
        <v>47489</v>
      </c>
      <c r="T8996" t="s">
        <v>49240</v>
      </c>
      <c r="U8996" t="s">
        <v>56966</v>
      </c>
      <c r="W8996" t="s">
        <v>45983</v>
      </c>
      <c r="X8996" t="s">
        <v>47313</v>
      </c>
    </row>
    <row r="8997" spans="1:24">
      <c r="A8997">
        <f>HYPERLINK("https://www.philgeps.gov.ph/GEPSNONPILOT/Tender/SplashBidNoticeAbstractUI.aspx?menuIndex=3&amp;refID=7189743&amp;Result=3","7189743")</f>
        <v>0</v>
      </c>
      <c r="B8997" t="s">
        <v>1040</v>
      </c>
      <c r="C8997" t="s">
        <v>12335</v>
      </c>
      <c r="D8997" t="s">
        <v>19038</v>
      </c>
      <c r="E8997" t="s">
        <v>19886</v>
      </c>
      <c r="F8997" t="s">
        <v>32606</v>
      </c>
      <c r="G8997" t="s">
        <v>32613</v>
      </c>
      <c r="H8997" t="s">
        <v>14201</v>
      </c>
      <c r="I8997" t="s">
        <v>32656</v>
      </c>
      <c r="J8997" t="s">
        <v>38322</v>
      </c>
      <c r="K8997" t="s">
        <v>42648</v>
      </c>
      <c r="M8997" t="s">
        <v>43993</v>
      </c>
      <c r="N8997" t="s">
        <v>47304</v>
      </c>
      <c r="O8997" t="s">
        <v>47305</v>
      </c>
      <c r="P8997">
        <v>0</v>
      </c>
      <c r="Q8997">
        <v>6</v>
      </c>
      <c r="R8997" t="s">
        <v>47312</v>
      </c>
      <c r="S8997" t="s">
        <v>47489</v>
      </c>
      <c r="T8997" t="s">
        <v>49258</v>
      </c>
      <c r="U8997" t="s">
        <v>56967</v>
      </c>
      <c r="V8997" t="s">
        <v>63594</v>
      </c>
      <c r="W8997" t="s">
        <v>45575</v>
      </c>
      <c r="X8997" t="s">
        <v>47313</v>
      </c>
    </row>
    <row r="8998" spans="1:24">
      <c r="A8998">
        <f>HYPERLINK("https://www.philgeps.gov.ph/GEPSNONPILOT/Tender/SplashBidNoticeAbstractUI.aspx?menuIndex=3&amp;refID=7189758&amp;Result=3","7189758")</f>
        <v>0</v>
      </c>
      <c r="B8998" t="s">
        <v>2788</v>
      </c>
      <c r="C8998" t="s">
        <v>12336</v>
      </c>
      <c r="D8998" t="s">
        <v>18997</v>
      </c>
      <c r="E8998" t="s">
        <v>26784</v>
      </c>
      <c r="F8998" t="s">
        <v>32606</v>
      </c>
      <c r="G8998" t="s">
        <v>32614</v>
      </c>
      <c r="H8998" t="s">
        <v>14201</v>
      </c>
      <c r="I8998" t="s">
        <v>32668</v>
      </c>
      <c r="J8998" t="s">
        <v>32981</v>
      </c>
      <c r="K8998" t="s">
        <v>42624</v>
      </c>
      <c r="M8998" t="s">
        <v>45950</v>
      </c>
      <c r="N8998" t="s">
        <v>47304</v>
      </c>
      <c r="O8998" t="s">
        <v>47305</v>
      </c>
      <c r="P8998">
        <v>0</v>
      </c>
      <c r="Q8998">
        <v>2</v>
      </c>
      <c r="R8998" t="s">
        <v>47312</v>
      </c>
      <c r="S8998" t="s">
        <v>47489</v>
      </c>
      <c r="T8998" t="s">
        <v>49018</v>
      </c>
      <c r="U8998" t="s">
        <v>56902</v>
      </c>
      <c r="W8998" t="s">
        <v>45950</v>
      </c>
      <c r="X8998" t="s">
        <v>47313</v>
      </c>
    </row>
    <row r="8999" spans="1:24">
      <c r="A8999">
        <f>HYPERLINK("https://www.philgeps.gov.ph/GEPSNONPILOT/Tender/SplashBidNoticeAbstractUI.aspx?menuIndex=3&amp;refID=7189754&amp;Result=3","7189754")</f>
        <v>0</v>
      </c>
      <c r="B8999" t="s">
        <v>2815</v>
      </c>
      <c r="C8999" t="s">
        <v>12337</v>
      </c>
      <c r="D8999" t="s">
        <v>19058</v>
      </c>
      <c r="E8999" t="s">
        <v>26785</v>
      </c>
      <c r="F8999" t="s">
        <v>32606</v>
      </c>
      <c r="G8999" t="s">
        <v>32619</v>
      </c>
      <c r="H8999" t="s">
        <v>14201</v>
      </c>
      <c r="I8999" t="s">
        <v>32634</v>
      </c>
      <c r="J8999" t="s">
        <v>33650</v>
      </c>
      <c r="K8999" t="s">
        <v>42622</v>
      </c>
      <c r="M8999" t="s">
        <v>45978</v>
      </c>
      <c r="N8999" t="s">
        <v>47304</v>
      </c>
      <c r="O8999" t="s">
        <v>47305</v>
      </c>
      <c r="P8999">
        <v>0</v>
      </c>
      <c r="Q8999">
        <v>6</v>
      </c>
      <c r="R8999" t="s">
        <v>47312</v>
      </c>
      <c r="S8999" t="s">
        <v>47489</v>
      </c>
      <c r="T8999" t="s">
        <v>49269</v>
      </c>
      <c r="U8999" t="s">
        <v>56968</v>
      </c>
      <c r="V8999" t="s">
        <v>63592</v>
      </c>
      <c r="W8999" t="s">
        <v>45978</v>
      </c>
      <c r="X8999" t="s">
        <v>47313</v>
      </c>
    </row>
    <row r="9000" spans="1:24">
      <c r="A9000">
        <f>HYPERLINK("https://www.philgeps.gov.ph/GEPSNONPILOT/Tender/SplashBidNoticeAbstractUI.aspx?menuIndex=3&amp;refID=7189784&amp;Result=3","7189784")</f>
        <v>0</v>
      </c>
      <c r="B9000" t="s">
        <v>555</v>
      </c>
      <c r="C9000" t="s">
        <v>12338</v>
      </c>
      <c r="D9000" t="s">
        <v>18993</v>
      </c>
      <c r="E9000" t="s">
        <v>26786</v>
      </c>
      <c r="F9000" t="s">
        <v>32606</v>
      </c>
      <c r="G9000" t="s">
        <v>32613</v>
      </c>
      <c r="H9000" t="s">
        <v>14201</v>
      </c>
      <c r="I9000" t="s">
        <v>32638</v>
      </c>
      <c r="J9000" t="s">
        <v>34761</v>
      </c>
      <c r="K9000" t="s">
        <v>42636</v>
      </c>
      <c r="M9000" t="s">
        <v>45969</v>
      </c>
      <c r="N9000" t="s">
        <v>47304</v>
      </c>
      <c r="O9000" t="s">
        <v>47305</v>
      </c>
      <c r="P9000">
        <v>0</v>
      </c>
      <c r="Q9000">
        <v>7</v>
      </c>
      <c r="R9000" t="s">
        <v>47312</v>
      </c>
      <c r="S9000" t="s">
        <v>47489</v>
      </c>
      <c r="T9000" t="s">
        <v>49406</v>
      </c>
      <c r="U9000" t="s">
        <v>56969</v>
      </c>
      <c r="W9000" t="s">
        <v>45969</v>
      </c>
      <c r="X9000" t="s">
        <v>47313</v>
      </c>
    </row>
    <row r="9001" spans="1:24">
      <c r="A9001">
        <f>HYPERLINK("https://www.philgeps.gov.ph/GEPSNONPILOT/Tender/SplashBidNoticeAbstractUI.aspx?menuIndex=3&amp;refID=7189730&amp;Result=3","7189730")</f>
        <v>0</v>
      </c>
      <c r="B9001" t="s">
        <v>2115</v>
      </c>
      <c r="C9001" t="s">
        <v>12339</v>
      </c>
      <c r="D9001" t="s">
        <v>19008</v>
      </c>
      <c r="E9001" t="s">
        <v>26787</v>
      </c>
      <c r="F9001" t="s">
        <v>32606</v>
      </c>
      <c r="G9001" t="s">
        <v>32613</v>
      </c>
      <c r="H9001" t="s">
        <v>14201</v>
      </c>
      <c r="I9001" t="s">
        <v>7677</v>
      </c>
      <c r="J9001" t="s">
        <v>38323</v>
      </c>
      <c r="K9001" t="s">
        <v>42638</v>
      </c>
      <c r="M9001" t="s">
        <v>45202</v>
      </c>
      <c r="N9001" t="s">
        <v>47304</v>
      </c>
      <c r="O9001" t="s">
        <v>47305</v>
      </c>
      <c r="P9001">
        <v>0</v>
      </c>
      <c r="Q9001">
        <v>0</v>
      </c>
      <c r="R9001" t="s">
        <v>47312</v>
      </c>
      <c r="S9001" t="s">
        <v>47489</v>
      </c>
      <c r="T9001" t="s">
        <v>49004</v>
      </c>
      <c r="U9001" t="s">
        <v>56970</v>
      </c>
      <c r="V9001" t="s">
        <v>63377</v>
      </c>
      <c r="W9001" t="s">
        <v>45202</v>
      </c>
      <c r="X9001" t="s">
        <v>47313</v>
      </c>
    </row>
    <row r="9002" spans="1:24">
      <c r="A9002">
        <f>HYPERLINK("https://www.philgeps.gov.ph/GEPSNONPILOT/Tender/SplashBidNoticeAbstractUI.aspx?menuIndex=3&amp;refID=7189721&amp;Result=3","7189721")</f>
        <v>0</v>
      </c>
      <c r="B9002" t="s">
        <v>2807</v>
      </c>
      <c r="C9002" t="s">
        <v>12340</v>
      </c>
      <c r="D9002" t="s">
        <v>18988</v>
      </c>
      <c r="E9002" t="s">
        <v>26788</v>
      </c>
      <c r="F9002" t="s">
        <v>32607</v>
      </c>
      <c r="G9002" t="s">
        <v>32614</v>
      </c>
      <c r="H9002" t="s">
        <v>14201</v>
      </c>
      <c r="I9002" t="s">
        <v>4678</v>
      </c>
      <c r="J9002" t="s">
        <v>38324</v>
      </c>
      <c r="K9002" t="s">
        <v>42629</v>
      </c>
      <c r="M9002" t="s">
        <v>45970</v>
      </c>
      <c r="N9002" t="s">
        <v>47304</v>
      </c>
      <c r="O9002" t="s">
        <v>47305</v>
      </c>
      <c r="P9002">
        <v>0</v>
      </c>
      <c r="Q9002">
        <v>2</v>
      </c>
      <c r="R9002" t="s">
        <v>47312</v>
      </c>
      <c r="S9002" t="s">
        <v>47489</v>
      </c>
      <c r="T9002" t="s">
        <v>49072</v>
      </c>
      <c r="U9002" t="s">
        <v>56971</v>
      </c>
      <c r="W9002" t="s">
        <v>45970</v>
      </c>
      <c r="X9002" t="s">
        <v>47313</v>
      </c>
    </row>
    <row r="9003" spans="1:24">
      <c r="A9003">
        <f>HYPERLINK("https://www.philgeps.gov.ph/GEPSNONPILOT/Tender/SplashBidNoticeAbstractUI.aspx?menuIndex=3&amp;refID=7189787&amp;Result=3","7189787")</f>
        <v>0</v>
      </c>
      <c r="B9003" t="s">
        <v>2820</v>
      </c>
      <c r="C9003" t="s">
        <v>12341</v>
      </c>
      <c r="D9003" t="s">
        <v>18993</v>
      </c>
      <c r="E9003" t="s">
        <v>26789</v>
      </c>
      <c r="F9003" t="s">
        <v>32606</v>
      </c>
      <c r="G9003" t="s">
        <v>32613</v>
      </c>
      <c r="H9003" t="s">
        <v>14201</v>
      </c>
      <c r="I9003" t="s">
        <v>32633</v>
      </c>
      <c r="J9003" t="s">
        <v>38325</v>
      </c>
      <c r="K9003" t="s">
        <v>42624</v>
      </c>
      <c r="L9003" t="s">
        <v>2820</v>
      </c>
      <c r="M9003" t="s">
        <v>45983</v>
      </c>
      <c r="N9003" t="s">
        <v>47304</v>
      </c>
      <c r="O9003" t="s">
        <v>47305</v>
      </c>
      <c r="P9003">
        <v>0</v>
      </c>
      <c r="Q9003">
        <v>9</v>
      </c>
      <c r="R9003" t="s">
        <v>47312</v>
      </c>
      <c r="S9003" t="s">
        <v>47489</v>
      </c>
      <c r="T9003" t="s">
        <v>49240</v>
      </c>
      <c r="U9003" t="s">
        <v>56966</v>
      </c>
      <c r="W9003" t="s">
        <v>45983</v>
      </c>
      <c r="X9003" t="s">
        <v>47313</v>
      </c>
    </row>
    <row r="9004" spans="1:24">
      <c r="A9004">
        <f>HYPERLINK("https://www.philgeps.gov.ph/GEPSNONPILOT/Tender/SplashBidNoticeAbstractUI.aspx?menuIndex=3&amp;refID=7189762&amp;Result=3","7189762")</f>
        <v>0</v>
      </c>
      <c r="B9004" t="s">
        <v>197</v>
      </c>
      <c r="C9004" t="s">
        <v>12342</v>
      </c>
      <c r="E9004" t="s">
        <v>26790</v>
      </c>
      <c r="F9004" t="s">
        <v>32606</v>
      </c>
      <c r="G9004" t="s">
        <v>32618</v>
      </c>
      <c r="H9004" t="s">
        <v>14201</v>
      </c>
      <c r="I9004" t="s">
        <v>32633</v>
      </c>
      <c r="J9004" t="s">
        <v>38326</v>
      </c>
      <c r="K9004" t="s">
        <v>42623</v>
      </c>
      <c r="M9004" t="s">
        <v>43098</v>
      </c>
      <c r="N9004" t="s">
        <v>47304</v>
      </c>
      <c r="O9004" t="s">
        <v>47305</v>
      </c>
      <c r="P9004">
        <v>0</v>
      </c>
      <c r="Q9004">
        <v>5</v>
      </c>
      <c r="R9004" t="s">
        <v>47312</v>
      </c>
      <c r="S9004" t="s">
        <v>47489</v>
      </c>
      <c r="T9004" t="s">
        <v>49171</v>
      </c>
      <c r="U9004" t="s">
        <v>56972</v>
      </c>
      <c r="V9004" t="s">
        <v>63595</v>
      </c>
      <c r="W9004" t="s">
        <v>43098</v>
      </c>
      <c r="X9004" t="s">
        <v>47313</v>
      </c>
    </row>
    <row r="9005" spans="1:24">
      <c r="A9005">
        <f>HYPERLINK("https://www.philgeps.gov.ph/GEPSNONPILOT/Tender/SplashBidNoticeAbstractUI.aspx?menuIndex=3&amp;refID=7189788&amp;Result=3","7189788")</f>
        <v>0</v>
      </c>
      <c r="B9005" t="s">
        <v>197</v>
      </c>
      <c r="C9005" t="s">
        <v>12343</v>
      </c>
      <c r="D9005" t="s">
        <v>19027</v>
      </c>
      <c r="E9005" t="s">
        <v>26791</v>
      </c>
      <c r="F9005" t="s">
        <v>32606</v>
      </c>
      <c r="G9005" t="s">
        <v>32614</v>
      </c>
      <c r="H9005" t="s">
        <v>14201</v>
      </c>
      <c r="I9005" t="s">
        <v>7233</v>
      </c>
      <c r="J9005" t="s">
        <v>38327</v>
      </c>
      <c r="K9005" t="s">
        <v>42625</v>
      </c>
      <c r="M9005" t="s">
        <v>43098</v>
      </c>
      <c r="N9005" t="s">
        <v>47304</v>
      </c>
      <c r="O9005" t="s">
        <v>47305</v>
      </c>
      <c r="P9005">
        <v>0</v>
      </c>
      <c r="Q9005">
        <v>0</v>
      </c>
      <c r="R9005" t="s">
        <v>47312</v>
      </c>
      <c r="S9005" t="s">
        <v>47489</v>
      </c>
      <c r="T9005" t="s">
        <v>48975</v>
      </c>
      <c r="U9005" t="s">
        <v>56973</v>
      </c>
      <c r="W9005" t="s">
        <v>43098</v>
      </c>
      <c r="X9005" t="s">
        <v>47313</v>
      </c>
    </row>
    <row r="9006" spans="1:24">
      <c r="A9006">
        <f>HYPERLINK("https://www.philgeps.gov.ph/GEPSNONPILOT/Tender/SplashBidNoticeAbstractUI.aspx?menuIndex=3&amp;refID=7189809&amp;Result=3","7189809")</f>
        <v>0</v>
      </c>
      <c r="B9006" t="s">
        <v>2821</v>
      </c>
      <c r="C9006" t="s">
        <v>12344</v>
      </c>
      <c r="D9006" t="s">
        <v>19016</v>
      </c>
      <c r="E9006" t="s">
        <v>19315</v>
      </c>
      <c r="F9006" t="s">
        <v>32606</v>
      </c>
      <c r="G9006" t="s">
        <v>32613</v>
      </c>
      <c r="H9006" t="s">
        <v>14201</v>
      </c>
      <c r="I9006" t="s">
        <v>32631</v>
      </c>
      <c r="J9006" t="s">
        <v>38328</v>
      </c>
      <c r="K9006" t="s">
        <v>42623</v>
      </c>
      <c r="M9006" t="s">
        <v>45984</v>
      </c>
      <c r="N9006" t="s">
        <v>47304</v>
      </c>
      <c r="O9006" t="s">
        <v>47305</v>
      </c>
      <c r="P9006">
        <v>0</v>
      </c>
      <c r="Q9006">
        <v>1</v>
      </c>
      <c r="R9006" t="s">
        <v>47312</v>
      </c>
      <c r="S9006" t="s">
        <v>47489</v>
      </c>
      <c r="T9006" t="s">
        <v>49050</v>
      </c>
      <c r="U9006" t="s">
        <v>56974</v>
      </c>
      <c r="W9006" t="s">
        <v>45984</v>
      </c>
      <c r="X9006" t="s">
        <v>47313</v>
      </c>
    </row>
    <row r="9007" spans="1:24">
      <c r="A9007">
        <f>HYPERLINK("https://www.philgeps.gov.ph/GEPSNONPILOT/Tender/SplashBidNoticeAbstractUI.aspx?menuIndex=3&amp;refID=7189806&amp;Result=3","7189806")</f>
        <v>0</v>
      </c>
      <c r="B9007" t="s">
        <v>2820</v>
      </c>
      <c r="C9007" t="s">
        <v>12345</v>
      </c>
      <c r="D9007" t="s">
        <v>18993</v>
      </c>
      <c r="E9007" t="s">
        <v>26792</v>
      </c>
      <c r="F9007" t="s">
        <v>32606</v>
      </c>
      <c r="G9007" t="s">
        <v>32615</v>
      </c>
      <c r="H9007" t="s">
        <v>14201</v>
      </c>
      <c r="I9007" t="s">
        <v>32638</v>
      </c>
      <c r="J9007" t="s">
        <v>38329</v>
      </c>
      <c r="K9007" t="s">
        <v>42624</v>
      </c>
      <c r="L9007" t="s">
        <v>2820</v>
      </c>
      <c r="M9007" t="s">
        <v>45983</v>
      </c>
      <c r="N9007" t="s">
        <v>47304</v>
      </c>
      <c r="O9007" t="s">
        <v>47305</v>
      </c>
      <c r="P9007">
        <v>0</v>
      </c>
      <c r="Q9007">
        <v>3</v>
      </c>
      <c r="R9007" t="s">
        <v>47312</v>
      </c>
      <c r="S9007" t="s">
        <v>47489</v>
      </c>
      <c r="T9007" t="s">
        <v>49240</v>
      </c>
      <c r="U9007" t="s">
        <v>56966</v>
      </c>
      <c r="W9007" t="s">
        <v>45983</v>
      </c>
      <c r="X9007" t="s">
        <v>47313</v>
      </c>
    </row>
    <row r="9008" spans="1:24">
      <c r="A9008">
        <f>HYPERLINK("https://www.philgeps.gov.ph/GEPSNONPILOT/Tender/SplashBidNoticeAbstractUI.aspx?menuIndex=3&amp;refID=7189804&amp;Result=3","7189804")</f>
        <v>0</v>
      </c>
      <c r="B9008" t="s">
        <v>2820</v>
      </c>
      <c r="C9008" t="s">
        <v>12346</v>
      </c>
      <c r="D9008" t="s">
        <v>18993</v>
      </c>
      <c r="E9008" t="s">
        <v>26793</v>
      </c>
      <c r="F9008" t="s">
        <v>32606</v>
      </c>
      <c r="G9008" t="s">
        <v>32615</v>
      </c>
      <c r="H9008" t="s">
        <v>14201</v>
      </c>
      <c r="I9008" t="s">
        <v>32638</v>
      </c>
      <c r="J9008" t="s">
        <v>38330</v>
      </c>
      <c r="K9008" t="s">
        <v>42624</v>
      </c>
      <c r="L9008" t="s">
        <v>2820</v>
      </c>
      <c r="M9008" t="s">
        <v>45983</v>
      </c>
      <c r="N9008" t="s">
        <v>47304</v>
      </c>
      <c r="O9008" t="s">
        <v>47305</v>
      </c>
      <c r="P9008">
        <v>0</v>
      </c>
      <c r="Q9008">
        <v>10</v>
      </c>
      <c r="R9008" t="s">
        <v>47312</v>
      </c>
      <c r="S9008" t="s">
        <v>47489</v>
      </c>
      <c r="T9008" t="s">
        <v>49240</v>
      </c>
      <c r="U9008" t="s">
        <v>56966</v>
      </c>
      <c r="W9008" t="s">
        <v>45983</v>
      </c>
      <c r="X9008" t="s">
        <v>47313</v>
      </c>
    </row>
    <row r="9009" spans="1:24">
      <c r="A9009">
        <f>HYPERLINK("https://www.philgeps.gov.ph/GEPSNONPILOT/Tender/SplashBidNoticeAbstractUI.aspx?menuIndex=3&amp;refID=7189783&amp;Result=3","7189783")</f>
        <v>0</v>
      </c>
      <c r="B9009" t="s">
        <v>855</v>
      </c>
      <c r="C9009" t="s">
        <v>12347</v>
      </c>
      <c r="D9009" t="s">
        <v>19040</v>
      </c>
      <c r="E9009" t="s">
        <v>26794</v>
      </c>
      <c r="F9009" t="s">
        <v>32606</v>
      </c>
      <c r="G9009" t="s">
        <v>32613</v>
      </c>
      <c r="H9009" t="s">
        <v>14201</v>
      </c>
      <c r="I9009" t="s">
        <v>4112</v>
      </c>
      <c r="J9009" t="s">
        <v>38331</v>
      </c>
      <c r="K9009" t="s">
        <v>42624</v>
      </c>
      <c r="M9009" t="s">
        <v>45985</v>
      </c>
      <c r="N9009" t="s">
        <v>47304</v>
      </c>
      <c r="O9009" t="s">
        <v>47305</v>
      </c>
      <c r="P9009">
        <v>0</v>
      </c>
      <c r="Q9009">
        <v>4</v>
      </c>
      <c r="R9009" t="s">
        <v>47312</v>
      </c>
      <c r="S9009" t="s">
        <v>47489</v>
      </c>
      <c r="T9009" t="s">
        <v>49157</v>
      </c>
      <c r="U9009" t="s">
        <v>56975</v>
      </c>
      <c r="V9009" t="s">
        <v>63596</v>
      </c>
      <c r="W9009" t="s">
        <v>45985</v>
      </c>
      <c r="X9009" t="s">
        <v>47313</v>
      </c>
    </row>
    <row r="9010" spans="1:24">
      <c r="A9010">
        <f>HYPERLINK("https://www.philgeps.gov.ph/GEPSNONPILOT/Tender/SplashBidNoticeAbstractUI.aspx?menuIndex=3&amp;refID=7189801&amp;Result=3","7189801")</f>
        <v>0</v>
      </c>
      <c r="B9010" t="s">
        <v>2820</v>
      </c>
      <c r="C9010" t="s">
        <v>12348</v>
      </c>
      <c r="D9010" t="s">
        <v>18993</v>
      </c>
      <c r="E9010" t="s">
        <v>26795</v>
      </c>
      <c r="F9010" t="s">
        <v>32606</v>
      </c>
      <c r="G9010" t="s">
        <v>32615</v>
      </c>
      <c r="H9010" t="s">
        <v>14201</v>
      </c>
      <c r="I9010" t="s">
        <v>32638</v>
      </c>
      <c r="J9010" t="s">
        <v>38332</v>
      </c>
      <c r="K9010" t="s">
        <v>42624</v>
      </c>
      <c r="L9010" t="s">
        <v>2820</v>
      </c>
      <c r="M9010" t="s">
        <v>45983</v>
      </c>
      <c r="N9010" t="s">
        <v>47304</v>
      </c>
      <c r="O9010" t="s">
        <v>47305</v>
      </c>
      <c r="P9010">
        <v>0</v>
      </c>
      <c r="Q9010">
        <v>5</v>
      </c>
      <c r="R9010" t="s">
        <v>47312</v>
      </c>
      <c r="S9010" t="s">
        <v>47489</v>
      </c>
      <c r="T9010" t="s">
        <v>49240</v>
      </c>
      <c r="U9010" t="s">
        <v>56966</v>
      </c>
      <c r="W9010" t="s">
        <v>45983</v>
      </c>
      <c r="X9010" t="s">
        <v>47313</v>
      </c>
    </row>
    <row r="9011" spans="1:24">
      <c r="A9011">
        <f>HYPERLINK("https://www.philgeps.gov.ph/GEPSNONPILOT/Tender/SplashBidNoticeAbstractUI.aspx?menuIndex=3&amp;refID=7189776&amp;Result=3","7189776")</f>
        <v>0</v>
      </c>
      <c r="B9011" t="s">
        <v>2820</v>
      </c>
      <c r="C9011" t="s">
        <v>12349</v>
      </c>
      <c r="D9011" t="s">
        <v>18993</v>
      </c>
      <c r="E9011" t="s">
        <v>26796</v>
      </c>
      <c r="F9011" t="s">
        <v>32606</v>
      </c>
      <c r="G9011" t="s">
        <v>32613</v>
      </c>
      <c r="H9011" t="s">
        <v>14201</v>
      </c>
      <c r="I9011" t="s">
        <v>32655</v>
      </c>
      <c r="J9011" t="s">
        <v>38333</v>
      </c>
      <c r="K9011" t="s">
        <v>42624</v>
      </c>
      <c r="L9011" t="s">
        <v>2820</v>
      </c>
      <c r="M9011" t="s">
        <v>45983</v>
      </c>
      <c r="N9011" t="s">
        <v>47304</v>
      </c>
      <c r="O9011" t="s">
        <v>47305</v>
      </c>
      <c r="P9011">
        <v>0</v>
      </c>
      <c r="Q9011">
        <v>11</v>
      </c>
      <c r="R9011" t="s">
        <v>47312</v>
      </c>
      <c r="S9011" t="s">
        <v>47489</v>
      </c>
      <c r="T9011" t="s">
        <v>49240</v>
      </c>
      <c r="U9011" t="s">
        <v>56966</v>
      </c>
      <c r="W9011" t="s">
        <v>45983</v>
      </c>
      <c r="X9011" t="s">
        <v>47313</v>
      </c>
    </row>
    <row r="9012" spans="1:24">
      <c r="A9012">
        <f>HYPERLINK("https://www.philgeps.gov.ph/GEPSNONPILOT/Tender/SplashBidNoticeAbstractUI.aspx?menuIndex=3&amp;refID=7189778&amp;Result=3","7189778")</f>
        <v>0</v>
      </c>
      <c r="B9012" t="s">
        <v>2822</v>
      </c>
      <c r="C9012" t="s">
        <v>12350</v>
      </c>
      <c r="D9012" t="s">
        <v>18993</v>
      </c>
      <c r="E9012" t="s">
        <v>26797</v>
      </c>
      <c r="F9012" t="s">
        <v>32606</v>
      </c>
      <c r="G9012" t="s">
        <v>32613</v>
      </c>
      <c r="H9012" t="s">
        <v>14201</v>
      </c>
      <c r="I9012" t="s">
        <v>6478</v>
      </c>
      <c r="J9012" t="s">
        <v>34546</v>
      </c>
      <c r="K9012" t="s">
        <v>42632</v>
      </c>
      <c r="M9012" t="s">
        <v>45986</v>
      </c>
      <c r="N9012" t="s">
        <v>47304</v>
      </c>
      <c r="O9012" t="s">
        <v>47305</v>
      </c>
      <c r="P9012">
        <v>0</v>
      </c>
      <c r="Q9012">
        <v>6</v>
      </c>
      <c r="R9012" t="s">
        <v>47312</v>
      </c>
      <c r="S9012" t="s">
        <v>47489</v>
      </c>
      <c r="T9012" t="s">
        <v>48998</v>
      </c>
      <c r="U9012" t="s">
        <v>56976</v>
      </c>
      <c r="V9012" t="s">
        <v>63597</v>
      </c>
      <c r="W9012" t="s">
        <v>45986</v>
      </c>
      <c r="X9012" t="s">
        <v>47313</v>
      </c>
    </row>
    <row r="9013" spans="1:24">
      <c r="A9013">
        <f>HYPERLINK("https://www.philgeps.gov.ph/GEPSNONPILOT/Tender/SplashBidNoticeAbstractUI.aspx?menuIndex=3&amp;refID=7189811&amp;Result=3","7189811")</f>
        <v>0</v>
      </c>
      <c r="B9013" t="s">
        <v>2823</v>
      </c>
      <c r="C9013" t="s">
        <v>12351</v>
      </c>
      <c r="E9013" t="s">
        <v>26798</v>
      </c>
      <c r="F9013" t="s">
        <v>32606</v>
      </c>
      <c r="G9013" t="s">
        <v>32615</v>
      </c>
      <c r="H9013" t="s">
        <v>14201</v>
      </c>
      <c r="I9013" t="s">
        <v>32660</v>
      </c>
      <c r="J9013" t="s">
        <v>38334</v>
      </c>
      <c r="K9013" t="s">
        <v>42627</v>
      </c>
      <c r="M9013" t="s">
        <v>45987</v>
      </c>
      <c r="N9013" t="s">
        <v>47304</v>
      </c>
      <c r="O9013" t="s">
        <v>47305</v>
      </c>
      <c r="P9013">
        <v>0</v>
      </c>
      <c r="Q9013">
        <v>1</v>
      </c>
      <c r="R9013" t="s">
        <v>47312</v>
      </c>
      <c r="S9013" t="s">
        <v>47489</v>
      </c>
      <c r="T9013" t="s">
        <v>49221</v>
      </c>
      <c r="U9013" t="s">
        <v>56977</v>
      </c>
      <c r="W9013" t="s">
        <v>45987</v>
      </c>
      <c r="X9013" t="s">
        <v>47313</v>
      </c>
    </row>
    <row r="9014" spans="1:24">
      <c r="A9014">
        <f>HYPERLINK("https://www.philgeps.gov.ph/GEPSNONPILOT/Tender/SplashBidNoticeAbstractUI.aspx?menuIndex=3&amp;refID=7189765&amp;Result=3","7189765")</f>
        <v>0</v>
      </c>
      <c r="B9014" t="s">
        <v>2824</v>
      </c>
      <c r="C9014" t="s">
        <v>12352</v>
      </c>
      <c r="D9014" t="s">
        <v>18993</v>
      </c>
      <c r="E9014" t="s">
        <v>26799</v>
      </c>
      <c r="F9014" t="s">
        <v>32606</v>
      </c>
      <c r="G9014" t="s">
        <v>32614</v>
      </c>
      <c r="H9014" t="s">
        <v>14201</v>
      </c>
      <c r="I9014" t="s">
        <v>6298</v>
      </c>
      <c r="J9014" t="s">
        <v>32981</v>
      </c>
      <c r="K9014" t="s">
        <v>42631</v>
      </c>
      <c r="M9014" t="s">
        <v>45988</v>
      </c>
      <c r="N9014" t="s">
        <v>47304</v>
      </c>
      <c r="O9014" t="s">
        <v>47305</v>
      </c>
      <c r="P9014">
        <v>0</v>
      </c>
      <c r="Q9014">
        <v>0</v>
      </c>
      <c r="R9014" t="s">
        <v>47312</v>
      </c>
      <c r="S9014" t="s">
        <v>47489</v>
      </c>
      <c r="T9014" t="s">
        <v>48998</v>
      </c>
      <c r="U9014" t="s">
        <v>56978</v>
      </c>
      <c r="W9014" t="s">
        <v>45988</v>
      </c>
      <c r="X9014" t="s">
        <v>47313</v>
      </c>
    </row>
    <row r="9015" spans="1:24">
      <c r="A9015">
        <f>HYPERLINK("https://www.philgeps.gov.ph/GEPSNONPILOT/Tender/SplashBidNoticeAbstractUI.aspx?menuIndex=3&amp;refID=7189794&amp;Result=3","7189794")</f>
        <v>0</v>
      </c>
      <c r="B9015" t="s">
        <v>2820</v>
      </c>
      <c r="C9015" t="s">
        <v>12353</v>
      </c>
      <c r="D9015" t="s">
        <v>18993</v>
      </c>
      <c r="E9015" t="s">
        <v>26800</v>
      </c>
      <c r="F9015" t="s">
        <v>32606</v>
      </c>
      <c r="G9015" t="s">
        <v>32615</v>
      </c>
      <c r="H9015" t="s">
        <v>14201</v>
      </c>
      <c r="I9015" t="s">
        <v>32638</v>
      </c>
      <c r="J9015" t="s">
        <v>32778</v>
      </c>
      <c r="K9015" t="s">
        <v>42624</v>
      </c>
      <c r="L9015" t="s">
        <v>2820</v>
      </c>
      <c r="M9015" t="s">
        <v>45983</v>
      </c>
      <c r="N9015" t="s">
        <v>47304</v>
      </c>
      <c r="O9015" t="s">
        <v>47305</v>
      </c>
      <c r="P9015">
        <v>0</v>
      </c>
      <c r="Q9015">
        <v>11</v>
      </c>
      <c r="R9015" t="s">
        <v>47312</v>
      </c>
      <c r="S9015" t="s">
        <v>47489</v>
      </c>
      <c r="T9015" t="s">
        <v>49240</v>
      </c>
      <c r="U9015" t="s">
        <v>56966</v>
      </c>
      <c r="W9015" t="s">
        <v>45983</v>
      </c>
      <c r="X9015" t="s">
        <v>47313</v>
      </c>
    </row>
    <row r="9016" spans="1:24">
      <c r="A9016">
        <f>HYPERLINK("https://www.philgeps.gov.ph/GEPSNONPILOT/Tender/SplashBidNoticeAbstractUI.aspx?menuIndex=3&amp;refID=7189812&amp;Result=3","7189812")</f>
        <v>0</v>
      </c>
      <c r="B9016" t="s">
        <v>2820</v>
      </c>
      <c r="C9016" t="s">
        <v>12354</v>
      </c>
      <c r="D9016" t="s">
        <v>18993</v>
      </c>
      <c r="E9016" t="s">
        <v>26801</v>
      </c>
      <c r="F9016" t="s">
        <v>32606</v>
      </c>
      <c r="G9016" t="s">
        <v>32615</v>
      </c>
      <c r="H9016" t="s">
        <v>14201</v>
      </c>
      <c r="I9016" t="s">
        <v>32638</v>
      </c>
      <c r="J9016" t="s">
        <v>38335</v>
      </c>
      <c r="K9016" t="s">
        <v>42624</v>
      </c>
      <c r="L9016" t="s">
        <v>2820</v>
      </c>
      <c r="M9016" t="s">
        <v>45983</v>
      </c>
      <c r="N9016" t="s">
        <v>47304</v>
      </c>
      <c r="O9016" t="s">
        <v>47305</v>
      </c>
      <c r="P9016">
        <v>0</v>
      </c>
      <c r="Q9016">
        <v>10</v>
      </c>
      <c r="R9016" t="s">
        <v>47312</v>
      </c>
      <c r="S9016" t="s">
        <v>47489</v>
      </c>
      <c r="T9016" t="s">
        <v>49240</v>
      </c>
      <c r="U9016" t="s">
        <v>56966</v>
      </c>
      <c r="W9016" t="s">
        <v>45983</v>
      </c>
      <c r="X9016" t="s">
        <v>47313</v>
      </c>
    </row>
    <row r="9017" spans="1:24">
      <c r="A9017">
        <f>HYPERLINK("https://www.philgeps.gov.ph/GEPSNONPILOT/Tender/SplashBidNoticeAbstractUI.aspx?menuIndex=3&amp;refID=7189839&amp;Result=3","7189839")</f>
        <v>0</v>
      </c>
      <c r="B9017" t="s">
        <v>1040</v>
      </c>
      <c r="C9017" t="s">
        <v>12355</v>
      </c>
      <c r="D9017" t="s">
        <v>19011</v>
      </c>
      <c r="E9017" t="s">
        <v>26802</v>
      </c>
      <c r="F9017" t="s">
        <v>32606</v>
      </c>
      <c r="G9017" t="s">
        <v>32613</v>
      </c>
      <c r="H9017" t="s">
        <v>14201</v>
      </c>
      <c r="I9017" t="s">
        <v>7064</v>
      </c>
      <c r="J9017" t="s">
        <v>38336</v>
      </c>
      <c r="K9017" t="s">
        <v>42636</v>
      </c>
      <c r="M9017" t="s">
        <v>43993</v>
      </c>
      <c r="N9017" t="s">
        <v>47304</v>
      </c>
      <c r="O9017" t="s">
        <v>47305</v>
      </c>
      <c r="P9017">
        <v>0</v>
      </c>
      <c r="Q9017">
        <v>4</v>
      </c>
      <c r="R9017" t="s">
        <v>47312</v>
      </c>
      <c r="S9017" t="s">
        <v>47489</v>
      </c>
      <c r="T9017" t="s">
        <v>49407</v>
      </c>
      <c r="U9017" t="s">
        <v>56979</v>
      </c>
      <c r="V9017" t="s">
        <v>63589</v>
      </c>
      <c r="W9017" t="s">
        <v>45575</v>
      </c>
      <c r="X9017" t="s">
        <v>47313</v>
      </c>
    </row>
    <row r="9018" spans="1:24">
      <c r="A9018">
        <f>HYPERLINK("https://www.philgeps.gov.ph/GEPSNONPILOT/Tender/SplashBidNoticeAbstractUI.aspx?menuIndex=3&amp;refID=7189755&amp;Result=3","7189755")</f>
        <v>0</v>
      </c>
      <c r="B9018" t="s">
        <v>2296</v>
      </c>
      <c r="C9018" t="s">
        <v>12356</v>
      </c>
      <c r="D9018" t="s">
        <v>19019</v>
      </c>
      <c r="E9018" t="s">
        <v>26803</v>
      </c>
      <c r="F9018" t="s">
        <v>32606</v>
      </c>
      <c r="G9018" t="s">
        <v>32614</v>
      </c>
      <c r="H9018" t="s">
        <v>32624</v>
      </c>
      <c r="I9018" t="s">
        <v>4678</v>
      </c>
      <c r="J9018" t="s">
        <v>32845</v>
      </c>
      <c r="K9018" t="s">
        <v>42622</v>
      </c>
      <c r="M9018" t="s">
        <v>45402</v>
      </c>
      <c r="N9018" t="s">
        <v>47304</v>
      </c>
      <c r="O9018" t="s">
        <v>47305</v>
      </c>
      <c r="P9018">
        <v>0</v>
      </c>
      <c r="Q9018">
        <v>0</v>
      </c>
      <c r="R9018" t="s">
        <v>47312</v>
      </c>
      <c r="S9018" t="s">
        <v>47489</v>
      </c>
      <c r="T9018" t="s">
        <v>49165</v>
      </c>
      <c r="U9018" t="s">
        <v>56980</v>
      </c>
      <c r="W9018" t="s">
        <v>45402</v>
      </c>
      <c r="X9018" t="s">
        <v>47313</v>
      </c>
    </row>
    <row r="9019" spans="1:24">
      <c r="A9019">
        <f>HYPERLINK("https://www.philgeps.gov.ph/GEPSNONPILOT/Tender/SplashBidNoticeAbstractUI.aspx?menuIndex=3&amp;refID=7189768&amp;Result=3","7189768")</f>
        <v>0</v>
      </c>
      <c r="B9019" t="s">
        <v>2820</v>
      </c>
      <c r="C9019" t="s">
        <v>12357</v>
      </c>
      <c r="D9019" t="s">
        <v>18993</v>
      </c>
      <c r="E9019" t="s">
        <v>26804</v>
      </c>
      <c r="F9019" t="s">
        <v>32606</v>
      </c>
      <c r="G9019" t="s">
        <v>32613</v>
      </c>
      <c r="H9019" t="s">
        <v>14201</v>
      </c>
      <c r="I9019" t="s">
        <v>32655</v>
      </c>
      <c r="J9019" t="s">
        <v>38337</v>
      </c>
      <c r="K9019" t="s">
        <v>42624</v>
      </c>
      <c r="L9019" t="s">
        <v>2820</v>
      </c>
      <c r="M9019" t="s">
        <v>45983</v>
      </c>
      <c r="N9019" t="s">
        <v>47304</v>
      </c>
      <c r="O9019" t="s">
        <v>47305</v>
      </c>
      <c r="P9019">
        <v>0</v>
      </c>
      <c r="Q9019">
        <v>35</v>
      </c>
      <c r="R9019" t="s">
        <v>47312</v>
      </c>
      <c r="S9019" t="s">
        <v>47489</v>
      </c>
      <c r="T9019" t="s">
        <v>49240</v>
      </c>
      <c r="U9019" t="s">
        <v>56966</v>
      </c>
      <c r="W9019" t="s">
        <v>45983</v>
      </c>
      <c r="X9019" t="s">
        <v>47313</v>
      </c>
    </row>
    <row r="9020" spans="1:24">
      <c r="A9020">
        <f>HYPERLINK("https://www.philgeps.gov.ph/GEPSNONPILOT/Tender/SplashBidNoticeAbstractUI.aspx?menuIndex=3&amp;refID=7189829&amp;Result=3","7189829")</f>
        <v>0</v>
      </c>
      <c r="B9020" t="s">
        <v>2820</v>
      </c>
      <c r="C9020" t="s">
        <v>12358</v>
      </c>
      <c r="D9020" t="s">
        <v>18993</v>
      </c>
      <c r="E9020" t="s">
        <v>26805</v>
      </c>
      <c r="F9020" t="s">
        <v>32606</v>
      </c>
      <c r="G9020" t="s">
        <v>32615</v>
      </c>
      <c r="H9020" t="s">
        <v>14201</v>
      </c>
      <c r="I9020" t="s">
        <v>32638</v>
      </c>
      <c r="J9020" t="s">
        <v>38338</v>
      </c>
      <c r="K9020" t="s">
        <v>42624</v>
      </c>
      <c r="L9020" t="s">
        <v>2820</v>
      </c>
      <c r="M9020" t="s">
        <v>45983</v>
      </c>
      <c r="N9020" t="s">
        <v>47304</v>
      </c>
      <c r="O9020" t="s">
        <v>47305</v>
      </c>
      <c r="P9020">
        <v>0</v>
      </c>
      <c r="Q9020">
        <v>8</v>
      </c>
      <c r="R9020" t="s">
        <v>47312</v>
      </c>
      <c r="S9020" t="s">
        <v>47489</v>
      </c>
      <c r="T9020" t="s">
        <v>49240</v>
      </c>
      <c r="U9020" t="s">
        <v>56966</v>
      </c>
      <c r="W9020" t="s">
        <v>45983</v>
      </c>
      <c r="X9020" t="s">
        <v>47313</v>
      </c>
    </row>
    <row r="9021" spans="1:24">
      <c r="A9021">
        <f>HYPERLINK("https://www.philgeps.gov.ph/GEPSNONPILOT/Tender/SplashBidNoticeAbstractUI.aspx?menuIndex=3&amp;refID=7189782&amp;Result=3","7189782")</f>
        <v>0</v>
      </c>
      <c r="B9021" t="s">
        <v>2820</v>
      </c>
      <c r="C9021" t="s">
        <v>12359</v>
      </c>
      <c r="D9021" t="s">
        <v>18993</v>
      </c>
      <c r="E9021" t="s">
        <v>26806</v>
      </c>
      <c r="F9021" t="s">
        <v>32606</v>
      </c>
      <c r="G9021" t="s">
        <v>32613</v>
      </c>
      <c r="H9021" t="s">
        <v>14201</v>
      </c>
      <c r="I9021" t="s">
        <v>32638</v>
      </c>
      <c r="J9021" t="s">
        <v>38339</v>
      </c>
      <c r="K9021" t="s">
        <v>42624</v>
      </c>
      <c r="L9021" t="s">
        <v>2820</v>
      </c>
      <c r="M9021" t="s">
        <v>45983</v>
      </c>
      <c r="N9021" t="s">
        <v>47304</v>
      </c>
      <c r="O9021" t="s">
        <v>47305</v>
      </c>
      <c r="P9021">
        <v>0</v>
      </c>
      <c r="Q9021">
        <v>29</v>
      </c>
      <c r="R9021" t="s">
        <v>47312</v>
      </c>
      <c r="S9021" t="s">
        <v>47489</v>
      </c>
      <c r="T9021" t="s">
        <v>49240</v>
      </c>
      <c r="U9021" t="s">
        <v>56966</v>
      </c>
      <c r="W9021" t="s">
        <v>45983</v>
      </c>
      <c r="X9021" t="s">
        <v>47313</v>
      </c>
    </row>
    <row r="9022" spans="1:24">
      <c r="A9022">
        <f>HYPERLINK("https://www.philgeps.gov.ph/GEPSNONPILOT/Tender/SplashBidNoticeAbstractUI.aspx?menuIndex=3&amp;refID=7189828&amp;Result=3","7189828")</f>
        <v>0</v>
      </c>
      <c r="B9022" t="s">
        <v>2823</v>
      </c>
      <c r="C9022" t="s">
        <v>12360</v>
      </c>
      <c r="E9022" t="s">
        <v>26807</v>
      </c>
      <c r="F9022" t="s">
        <v>32606</v>
      </c>
      <c r="G9022" t="s">
        <v>32613</v>
      </c>
      <c r="H9022" t="s">
        <v>14201</v>
      </c>
      <c r="I9022" t="s">
        <v>32633</v>
      </c>
      <c r="J9022" t="s">
        <v>38340</v>
      </c>
      <c r="K9022" t="s">
        <v>42627</v>
      </c>
      <c r="M9022" t="s">
        <v>45987</v>
      </c>
      <c r="N9022" t="s">
        <v>47304</v>
      </c>
      <c r="O9022" t="s">
        <v>47305</v>
      </c>
      <c r="P9022">
        <v>0</v>
      </c>
      <c r="Q9022">
        <v>2</v>
      </c>
      <c r="R9022" t="s">
        <v>47312</v>
      </c>
      <c r="S9022" t="s">
        <v>47489</v>
      </c>
      <c r="T9022" t="s">
        <v>49221</v>
      </c>
      <c r="U9022" t="s">
        <v>56981</v>
      </c>
      <c r="W9022" t="s">
        <v>45987</v>
      </c>
      <c r="X9022" t="s">
        <v>47313</v>
      </c>
    </row>
    <row r="9023" spans="1:24">
      <c r="A9023">
        <f>HYPERLINK("https://www.philgeps.gov.ph/GEPSNONPILOT/Tender/SplashBidNoticeAbstractUI.aspx?menuIndex=3&amp;refID=7189764&amp;Result=3","7189764")</f>
        <v>0</v>
      </c>
      <c r="B9023" t="s">
        <v>2123</v>
      </c>
      <c r="C9023" t="s">
        <v>4830</v>
      </c>
      <c r="D9023" t="s">
        <v>19003</v>
      </c>
      <c r="E9023" t="s">
        <v>24644</v>
      </c>
      <c r="F9023" t="s">
        <v>32608</v>
      </c>
      <c r="G9023" t="s">
        <v>32619</v>
      </c>
      <c r="H9023" t="s">
        <v>14201</v>
      </c>
      <c r="I9023" t="s">
        <v>4114</v>
      </c>
      <c r="J9023" t="s">
        <v>33060</v>
      </c>
      <c r="K9023" t="s">
        <v>42629</v>
      </c>
      <c r="M9023" t="s">
        <v>45210</v>
      </c>
      <c r="N9023" t="s">
        <v>47304</v>
      </c>
      <c r="O9023" t="s">
        <v>47305</v>
      </c>
      <c r="P9023">
        <v>0</v>
      </c>
      <c r="Q9023">
        <v>2</v>
      </c>
      <c r="R9023" t="s">
        <v>47312</v>
      </c>
      <c r="S9023" t="s">
        <v>47489</v>
      </c>
      <c r="T9023" t="s">
        <v>49408</v>
      </c>
      <c r="U9023" t="s">
        <v>56982</v>
      </c>
      <c r="W9023" t="s">
        <v>45210</v>
      </c>
      <c r="X9023" t="s">
        <v>47313</v>
      </c>
    </row>
    <row r="9024" spans="1:24">
      <c r="A9024">
        <f>HYPERLINK("https://www.philgeps.gov.ph/GEPSNONPILOT/Tender/SplashBidNoticeAbstractUI.aspx?menuIndex=3&amp;refID=7189826&amp;Result=3","7189826")</f>
        <v>0</v>
      </c>
      <c r="B9024" t="s">
        <v>2128</v>
      </c>
      <c r="C9024" t="s">
        <v>12361</v>
      </c>
      <c r="D9024" t="s">
        <v>19018</v>
      </c>
      <c r="E9024" t="s">
        <v>23858</v>
      </c>
      <c r="F9024" t="s">
        <v>32606</v>
      </c>
      <c r="G9024" t="s">
        <v>32613</v>
      </c>
      <c r="H9024" t="s">
        <v>32623</v>
      </c>
      <c r="I9024" t="s">
        <v>6931</v>
      </c>
      <c r="J9024" t="s">
        <v>38341</v>
      </c>
      <c r="K9024" t="s">
        <v>42623</v>
      </c>
      <c r="M9024" t="s">
        <v>45215</v>
      </c>
      <c r="N9024" t="s">
        <v>47304</v>
      </c>
      <c r="O9024" t="s">
        <v>47305</v>
      </c>
      <c r="P9024">
        <v>0</v>
      </c>
      <c r="Q9024">
        <v>0</v>
      </c>
      <c r="R9024" t="s">
        <v>47312</v>
      </c>
      <c r="S9024" t="s">
        <v>47489</v>
      </c>
      <c r="T9024" t="s">
        <v>49050</v>
      </c>
      <c r="U9024" t="s">
        <v>56983</v>
      </c>
      <c r="V9024" t="s">
        <v>63231</v>
      </c>
      <c r="W9024" t="s">
        <v>45215</v>
      </c>
      <c r="X9024" t="s">
        <v>47313</v>
      </c>
    </row>
    <row r="9025" spans="1:24">
      <c r="A9025">
        <f>HYPERLINK("https://www.philgeps.gov.ph/GEPSNONPILOT/Tender/SplashBidNoticeAbstractUI.aspx?menuIndex=3&amp;refID=7189821&amp;Result=3","7189821")</f>
        <v>0</v>
      </c>
      <c r="B9025" t="s">
        <v>2820</v>
      </c>
      <c r="C9025" t="s">
        <v>12362</v>
      </c>
      <c r="D9025" t="s">
        <v>18993</v>
      </c>
      <c r="E9025" t="s">
        <v>26808</v>
      </c>
      <c r="F9025" t="s">
        <v>32606</v>
      </c>
      <c r="G9025" t="s">
        <v>32615</v>
      </c>
      <c r="H9025" t="s">
        <v>14201</v>
      </c>
      <c r="I9025" t="s">
        <v>32638</v>
      </c>
      <c r="J9025" t="s">
        <v>32752</v>
      </c>
      <c r="K9025" t="s">
        <v>42624</v>
      </c>
      <c r="L9025" t="s">
        <v>2820</v>
      </c>
      <c r="M9025" t="s">
        <v>45983</v>
      </c>
      <c r="N9025" t="s">
        <v>47304</v>
      </c>
      <c r="O9025" t="s">
        <v>47305</v>
      </c>
      <c r="P9025">
        <v>0</v>
      </c>
      <c r="Q9025">
        <v>1</v>
      </c>
      <c r="R9025" t="s">
        <v>47312</v>
      </c>
      <c r="S9025" t="s">
        <v>47489</v>
      </c>
      <c r="T9025" t="s">
        <v>49240</v>
      </c>
      <c r="U9025" t="s">
        <v>56966</v>
      </c>
      <c r="W9025" t="s">
        <v>45983</v>
      </c>
      <c r="X9025" t="s">
        <v>47313</v>
      </c>
    </row>
    <row r="9026" spans="1:24">
      <c r="A9026">
        <f>HYPERLINK("https://www.philgeps.gov.ph/GEPSNONPILOT/Tender/SplashBidNoticeAbstractUI.aspx?menuIndex=3&amp;refID=7189772&amp;Result=3","7189772")</f>
        <v>0</v>
      </c>
      <c r="B9026" t="s">
        <v>2811</v>
      </c>
      <c r="C9026" t="s">
        <v>12363</v>
      </c>
      <c r="D9026" t="s">
        <v>19006</v>
      </c>
      <c r="E9026" t="s">
        <v>23863</v>
      </c>
      <c r="F9026" t="s">
        <v>32606</v>
      </c>
      <c r="G9026" t="s">
        <v>32619</v>
      </c>
      <c r="H9026" t="s">
        <v>14201</v>
      </c>
      <c r="I9026" t="s">
        <v>6931</v>
      </c>
      <c r="J9026" t="s">
        <v>38342</v>
      </c>
      <c r="K9026" t="s">
        <v>42622</v>
      </c>
      <c r="M9026" t="s">
        <v>45974</v>
      </c>
      <c r="N9026" t="s">
        <v>47304</v>
      </c>
      <c r="O9026" t="s">
        <v>47305</v>
      </c>
      <c r="P9026">
        <v>0</v>
      </c>
      <c r="Q9026">
        <v>0</v>
      </c>
      <c r="R9026" t="s">
        <v>47312</v>
      </c>
      <c r="S9026" t="s">
        <v>47489</v>
      </c>
      <c r="T9026" t="s">
        <v>48970</v>
      </c>
      <c r="U9026" t="s">
        <v>56984</v>
      </c>
      <c r="W9026" t="s">
        <v>45974</v>
      </c>
      <c r="X9026" t="s">
        <v>47313</v>
      </c>
    </row>
    <row r="9027" spans="1:24">
      <c r="A9027">
        <f>HYPERLINK("https://www.philgeps.gov.ph/GEPSNONPILOT/Tender/SplashBidNoticeAbstractUI.aspx?menuIndex=3&amp;refID=7189836&amp;Result=3","7189836")</f>
        <v>0</v>
      </c>
      <c r="B9027" t="s">
        <v>2823</v>
      </c>
      <c r="C9027" t="s">
        <v>12364</v>
      </c>
      <c r="E9027" t="s">
        <v>26809</v>
      </c>
      <c r="F9027" t="s">
        <v>32606</v>
      </c>
      <c r="G9027" t="s">
        <v>32613</v>
      </c>
      <c r="H9027" t="s">
        <v>14201</v>
      </c>
      <c r="I9027" t="s">
        <v>32633</v>
      </c>
      <c r="J9027" t="s">
        <v>38343</v>
      </c>
      <c r="K9027" t="s">
        <v>42623</v>
      </c>
      <c r="M9027" t="s">
        <v>45987</v>
      </c>
      <c r="N9027" t="s">
        <v>47304</v>
      </c>
      <c r="O9027" t="s">
        <v>47305</v>
      </c>
      <c r="P9027">
        <v>0</v>
      </c>
      <c r="Q9027">
        <v>2</v>
      </c>
      <c r="R9027" t="s">
        <v>47312</v>
      </c>
      <c r="S9027" t="s">
        <v>47489</v>
      </c>
      <c r="T9027" t="s">
        <v>49221</v>
      </c>
      <c r="U9027" t="s">
        <v>56981</v>
      </c>
      <c r="W9027" t="s">
        <v>45987</v>
      </c>
      <c r="X9027" t="s">
        <v>47313</v>
      </c>
    </row>
    <row r="9028" spans="1:24">
      <c r="A9028">
        <f>HYPERLINK("https://www.philgeps.gov.ph/GEPSNONPILOT/Tender/SplashBidNoticeAbstractUI.aspx?menuIndex=3&amp;refID=7189891&amp;Result=3","7189891")</f>
        <v>0</v>
      </c>
      <c r="B9028" t="s">
        <v>2754</v>
      </c>
      <c r="C9028" t="s">
        <v>12365</v>
      </c>
      <c r="D9028" t="s">
        <v>19061</v>
      </c>
      <c r="E9028" t="s">
        <v>26810</v>
      </c>
      <c r="F9028" t="s">
        <v>32606</v>
      </c>
      <c r="G9028" t="s">
        <v>32613</v>
      </c>
      <c r="H9028" t="s">
        <v>32623</v>
      </c>
      <c r="I9028" t="s">
        <v>17648</v>
      </c>
      <c r="J9028" t="s">
        <v>38344</v>
      </c>
      <c r="K9028" t="s">
        <v>42760</v>
      </c>
      <c r="M9028" t="s">
        <v>45912</v>
      </c>
      <c r="N9028" t="s">
        <v>47304</v>
      </c>
      <c r="O9028" t="s">
        <v>47305</v>
      </c>
      <c r="P9028">
        <v>0</v>
      </c>
      <c r="Q9028">
        <v>0</v>
      </c>
      <c r="R9028" t="s">
        <v>47312</v>
      </c>
      <c r="S9028" t="s">
        <v>47489</v>
      </c>
      <c r="T9028" t="s">
        <v>49061</v>
      </c>
      <c r="U9028" t="s">
        <v>56985</v>
      </c>
      <c r="V9028" t="s">
        <v>63598</v>
      </c>
      <c r="W9028" t="s">
        <v>64516</v>
      </c>
      <c r="X9028" t="s">
        <v>47313</v>
      </c>
    </row>
    <row r="9029" spans="1:24">
      <c r="A9029">
        <f>HYPERLINK("https://www.philgeps.gov.ph/GEPSNONPILOT/Tender/SplashBidNoticeAbstractUI.aspx?menuIndex=3&amp;refID=7189888&amp;Result=3","7189888")</f>
        <v>0</v>
      </c>
      <c r="B9029" t="s">
        <v>2825</v>
      </c>
      <c r="C9029" t="s">
        <v>12366</v>
      </c>
      <c r="D9029" t="s">
        <v>19004</v>
      </c>
      <c r="E9029" t="s">
        <v>26811</v>
      </c>
      <c r="F9029" t="s">
        <v>32606</v>
      </c>
      <c r="G9029" t="s">
        <v>32613</v>
      </c>
      <c r="H9029" t="s">
        <v>14201</v>
      </c>
      <c r="I9029" t="s">
        <v>32640</v>
      </c>
      <c r="J9029" t="s">
        <v>32981</v>
      </c>
      <c r="K9029" t="s">
        <v>42630</v>
      </c>
      <c r="M9029" t="s">
        <v>45989</v>
      </c>
      <c r="N9029" t="s">
        <v>47304</v>
      </c>
      <c r="O9029" t="s">
        <v>47305</v>
      </c>
      <c r="P9029">
        <v>0</v>
      </c>
      <c r="Q9029">
        <v>0</v>
      </c>
      <c r="R9029" t="s">
        <v>47312</v>
      </c>
      <c r="S9029" t="s">
        <v>47489</v>
      </c>
      <c r="T9029" t="s">
        <v>49072</v>
      </c>
      <c r="U9029" t="s">
        <v>56986</v>
      </c>
      <c r="W9029" t="s">
        <v>45989</v>
      </c>
      <c r="X9029" t="s">
        <v>47313</v>
      </c>
    </row>
    <row r="9030" spans="1:24">
      <c r="A9030">
        <f>HYPERLINK("https://www.philgeps.gov.ph/GEPSNONPILOT/Tender/SplashBidNoticeAbstractUI.aspx?menuIndex=3&amp;refID=7189882&amp;Result=3","7189882")</f>
        <v>0</v>
      </c>
      <c r="B9030" t="s">
        <v>1778</v>
      </c>
      <c r="C9030" t="s">
        <v>12367</v>
      </c>
      <c r="D9030" t="s">
        <v>18993</v>
      </c>
      <c r="E9030" t="s">
        <v>26812</v>
      </c>
      <c r="F9030" t="s">
        <v>32606</v>
      </c>
      <c r="G9030" t="s">
        <v>32613</v>
      </c>
      <c r="H9030" t="s">
        <v>14201</v>
      </c>
      <c r="I9030" t="s">
        <v>4114</v>
      </c>
      <c r="J9030" t="s">
        <v>38345</v>
      </c>
      <c r="K9030" t="s">
        <v>42631</v>
      </c>
      <c r="M9030" t="s">
        <v>44817</v>
      </c>
      <c r="N9030" t="s">
        <v>47304</v>
      </c>
      <c r="O9030" t="s">
        <v>47305</v>
      </c>
      <c r="P9030">
        <v>0</v>
      </c>
      <c r="Q9030">
        <v>4</v>
      </c>
      <c r="R9030" t="s">
        <v>47312</v>
      </c>
      <c r="S9030" t="s">
        <v>47489</v>
      </c>
      <c r="T9030" t="s">
        <v>49053</v>
      </c>
      <c r="U9030" t="s">
        <v>56987</v>
      </c>
      <c r="W9030" t="s">
        <v>44817</v>
      </c>
      <c r="X9030" t="s">
        <v>47313</v>
      </c>
    </row>
    <row r="9031" spans="1:24">
      <c r="A9031">
        <f>HYPERLINK("https://www.philgeps.gov.ph/GEPSNONPILOT/Tender/SplashBidNoticeAbstractUI.aspx?menuIndex=3&amp;refID=7189856&amp;Result=3","7189856")</f>
        <v>0</v>
      </c>
      <c r="B9031" t="s">
        <v>2826</v>
      </c>
      <c r="C9031" t="s">
        <v>6246</v>
      </c>
      <c r="D9031" t="s">
        <v>19006</v>
      </c>
      <c r="E9031" t="s">
        <v>26813</v>
      </c>
      <c r="F9031" t="s">
        <v>32606</v>
      </c>
      <c r="G9031" t="s">
        <v>32613</v>
      </c>
      <c r="H9031" t="s">
        <v>32623</v>
      </c>
      <c r="I9031" t="s">
        <v>17648</v>
      </c>
      <c r="J9031" t="s">
        <v>38346</v>
      </c>
      <c r="K9031" t="s">
        <v>42689</v>
      </c>
      <c r="M9031" t="s">
        <v>45990</v>
      </c>
      <c r="N9031" t="s">
        <v>47304</v>
      </c>
      <c r="O9031" t="s">
        <v>47305</v>
      </c>
      <c r="P9031">
        <v>0</v>
      </c>
      <c r="Q9031">
        <v>0</v>
      </c>
      <c r="R9031" t="s">
        <v>47312</v>
      </c>
      <c r="S9031" t="s">
        <v>47489</v>
      </c>
      <c r="T9031" t="s">
        <v>49081</v>
      </c>
      <c r="U9031" t="s">
        <v>56988</v>
      </c>
      <c r="W9031" t="s">
        <v>45990</v>
      </c>
      <c r="X9031" t="s">
        <v>47313</v>
      </c>
    </row>
    <row r="9032" spans="1:24">
      <c r="A9032">
        <f>HYPERLINK("https://www.philgeps.gov.ph/GEPSNONPILOT/Tender/SplashBidNoticeAbstractUI.aspx?menuIndex=3&amp;refID=7189852&amp;Result=3","7189852")</f>
        <v>0</v>
      </c>
      <c r="B9032" t="s">
        <v>1093</v>
      </c>
      <c r="C9032" t="s">
        <v>12368</v>
      </c>
      <c r="D9032" t="s">
        <v>19037</v>
      </c>
      <c r="E9032" t="s">
        <v>26814</v>
      </c>
      <c r="F9032" t="s">
        <v>32606</v>
      </c>
      <c r="G9032" t="s">
        <v>32613</v>
      </c>
      <c r="H9032" t="s">
        <v>14201</v>
      </c>
      <c r="I9032" t="s">
        <v>6478</v>
      </c>
      <c r="J9032" t="s">
        <v>33936</v>
      </c>
      <c r="K9032" t="s">
        <v>42631</v>
      </c>
      <c r="M9032" t="s">
        <v>44049</v>
      </c>
      <c r="N9032" t="s">
        <v>47304</v>
      </c>
      <c r="O9032" t="s">
        <v>47305</v>
      </c>
      <c r="P9032">
        <v>0</v>
      </c>
      <c r="Q9032">
        <v>4</v>
      </c>
      <c r="R9032" t="s">
        <v>47312</v>
      </c>
      <c r="S9032" t="s">
        <v>47489</v>
      </c>
      <c r="T9032" t="s">
        <v>49072</v>
      </c>
      <c r="U9032" t="s">
        <v>56989</v>
      </c>
      <c r="W9032" t="s">
        <v>44049</v>
      </c>
      <c r="X9032" t="s">
        <v>47313</v>
      </c>
    </row>
    <row r="9033" spans="1:24">
      <c r="A9033">
        <f>HYPERLINK("https://www.philgeps.gov.ph/GEPSNONPILOT/Tender/SplashBidNoticeAbstractUI.aspx?menuIndex=3&amp;refID=7189818&amp;Result=3","7189818")</f>
        <v>0</v>
      </c>
      <c r="B9033" t="s">
        <v>2823</v>
      </c>
      <c r="C9033" t="s">
        <v>12369</v>
      </c>
      <c r="E9033" t="s">
        <v>26815</v>
      </c>
      <c r="F9033" t="s">
        <v>32606</v>
      </c>
      <c r="G9033" t="s">
        <v>32615</v>
      </c>
      <c r="H9033" t="s">
        <v>14201</v>
      </c>
      <c r="I9033" t="s">
        <v>32660</v>
      </c>
      <c r="J9033" t="s">
        <v>38347</v>
      </c>
      <c r="K9033" t="s">
        <v>42627</v>
      </c>
      <c r="M9033" t="s">
        <v>45987</v>
      </c>
      <c r="N9033" t="s">
        <v>47304</v>
      </c>
      <c r="O9033" t="s">
        <v>47305</v>
      </c>
      <c r="P9033">
        <v>0</v>
      </c>
      <c r="Q9033">
        <v>0</v>
      </c>
      <c r="R9033" t="s">
        <v>47312</v>
      </c>
      <c r="S9033" t="s">
        <v>47489</v>
      </c>
      <c r="T9033" t="s">
        <v>49221</v>
      </c>
      <c r="U9033" t="s">
        <v>56977</v>
      </c>
      <c r="W9033" t="s">
        <v>45987</v>
      </c>
      <c r="X9033" t="s">
        <v>47313</v>
      </c>
    </row>
    <row r="9034" spans="1:24">
      <c r="A9034">
        <f>HYPERLINK("https://www.philgeps.gov.ph/GEPSNONPILOT/Tender/SplashBidNoticeAbstractUI.aspx?menuIndex=3&amp;refID=7189867&amp;Result=3","7189867")</f>
        <v>0</v>
      </c>
      <c r="B9034" t="s">
        <v>2827</v>
      </c>
      <c r="C9034" t="s">
        <v>6246</v>
      </c>
      <c r="D9034" t="s">
        <v>19006</v>
      </c>
      <c r="E9034" t="s">
        <v>26816</v>
      </c>
      <c r="F9034" t="s">
        <v>32606</v>
      </c>
      <c r="G9034" t="s">
        <v>32613</v>
      </c>
      <c r="H9034" t="s">
        <v>32623</v>
      </c>
      <c r="I9034" t="s">
        <v>17648</v>
      </c>
      <c r="J9034" t="s">
        <v>38346</v>
      </c>
      <c r="K9034" t="s">
        <v>42689</v>
      </c>
      <c r="M9034" t="s">
        <v>45991</v>
      </c>
      <c r="N9034" t="s">
        <v>47304</v>
      </c>
      <c r="O9034" t="s">
        <v>47305</v>
      </c>
      <c r="P9034">
        <v>0</v>
      </c>
      <c r="Q9034">
        <v>0</v>
      </c>
      <c r="R9034" t="s">
        <v>47312</v>
      </c>
      <c r="S9034" t="s">
        <v>47489</v>
      </c>
      <c r="T9034" t="s">
        <v>49081</v>
      </c>
      <c r="U9034" t="s">
        <v>56990</v>
      </c>
      <c r="W9034" t="s">
        <v>45991</v>
      </c>
      <c r="X9034" t="s">
        <v>47313</v>
      </c>
    </row>
    <row r="9035" spans="1:24">
      <c r="A9035">
        <f>HYPERLINK("https://www.philgeps.gov.ph/GEPSNONPILOT/Tender/SplashBidNoticeAbstractUI.aspx?menuIndex=3&amp;refID=7189814&amp;Result=3","7189814")</f>
        <v>0</v>
      </c>
      <c r="B9035" t="s">
        <v>855</v>
      </c>
      <c r="C9035" t="s">
        <v>12370</v>
      </c>
      <c r="D9035" t="s">
        <v>19040</v>
      </c>
      <c r="E9035" t="s">
        <v>26817</v>
      </c>
      <c r="F9035" t="s">
        <v>32606</v>
      </c>
      <c r="G9035" t="s">
        <v>32613</v>
      </c>
      <c r="H9035" t="s">
        <v>14201</v>
      </c>
      <c r="I9035" t="s">
        <v>4112</v>
      </c>
      <c r="J9035" t="s">
        <v>38348</v>
      </c>
      <c r="K9035" t="s">
        <v>42624</v>
      </c>
      <c r="M9035" t="s">
        <v>45985</v>
      </c>
      <c r="N9035" t="s">
        <v>47304</v>
      </c>
      <c r="O9035" t="s">
        <v>47305</v>
      </c>
      <c r="P9035">
        <v>0</v>
      </c>
      <c r="Q9035">
        <v>9</v>
      </c>
      <c r="R9035" t="s">
        <v>47312</v>
      </c>
      <c r="S9035" t="s">
        <v>47489</v>
      </c>
      <c r="T9035" t="s">
        <v>48970</v>
      </c>
      <c r="U9035" t="s">
        <v>56991</v>
      </c>
      <c r="V9035" t="s">
        <v>63596</v>
      </c>
      <c r="W9035" t="s">
        <v>45985</v>
      </c>
      <c r="X9035" t="s">
        <v>47313</v>
      </c>
    </row>
    <row r="9036" spans="1:24">
      <c r="A9036">
        <f>HYPERLINK("https://www.philgeps.gov.ph/GEPSNONPILOT/Tender/SplashBidNoticeAbstractUI.aspx?menuIndex=3&amp;refID=7189903&amp;Result=3","7189903")</f>
        <v>0</v>
      </c>
      <c r="B9036" t="s">
        <v>1560</v>
      </c>
      <c r="C9036" t="s">
        <v>12371</v>
      </c>
      <c r="D9036" t="s">
        <v>18993</v>
      </c>
      <c r="E9036" t="s">
        <v>19896</v>
      </c>
      <c r="F9036" t="s">
        <v>32606</v>
      </c>
      <c r="G9036" t="s">
        <v>32613</v>
      </c>
      <c r="H9036" t="s">
        <v>14201</v>
      </c>
      <c r="I9036" t="s">
        <v>32657</v>
      </c>
      <c r="J9036" t="s">
        <v>38349</v>
      </c>
      <c r="K9036" t="s">
        <v>42650</v>
      </c>
      <c r="M9036" t="s">
        <v>45992</v>
      </c>
      <c r="N9036" t="s">
        <v>47304</v>
      </c>
      <c r="O9036" t="s">
        <v>47305</v>
      </c>
      <c r="P9036">
        <v>0</v>
      </c>
      <c r="Q9036">
        <v>2</v>
      </c>
      <c r="R9036" t="s">
        <v>47312</v>
      </c>
      <c r="S9036" t="s">
        <v>47489</v>
      </c>
      <c r="T9036" t="s">
        <v>49197</v>
      </c>
      <c r="U9036" t="s">
        <v>56992</v>
      </c>
      <c r="W9036" t="s">
        <v>64519</v>
      </c>
      <c r="X9036" t="s">
        <v>47313</v>
      </c>
    </row>
    <row r="9037" spans="1:24">
      <c r="A9037">
        <f>HYPERLINK("https://www.philgeps.gov.ph/GEPSNONPILOT/Tender/SplashBidNoticeAbstractUI.aspx?menuIndex=3&amp;refID=7189895&amp;Result=3","7189895")</f>
        <v>0</v>
      </c>
      <c r="B9037" t="s">
        <v>2754</v>
      </c>
      <c r="C9037" t="s">
        <v>12372</v>
      </c>
      <c r="D9037" t="s">
        <v>19061</v>
      </c>
      <c r="E9037" t="s">
        <v>26818</v>
      </c>
      <c r="F9037" t="s">
        <v>32606</v>
      </c>
      <c r="G9037" t="s">
        <v>32613</v>
      </c>
      <c r="H9037" t="s">
        <v>32623</v>
      </c>
      <c r="I9037" t="s">
        <v>17648</v>
      </c>
      <c r="J9037" t="s">
        <v>38350</v>
      </c>
      <c r="K9037" t="s">
        <v>42800</v>
      </c>
      <c r="M9037" t="s">
        <v>45912</v>
      </c>
      <c r="N9037" t="s">
        <v>47304</v>
      </c>
      <c r="O9037" t="s">
        <v>47305</v>
      </c>
      <c r="P9037">
        <v>0</v>
      </c>
      <c r="Q9037">
        <v>0</v>
      </c>
      <c r="R9037" t="s">
        <v>47312</v>
      </c>
      <c r="S9037" t="s">
        <v>47489</v>
      </c>
      <c r="T9037" t="s">
        <v>49400</v>
      </c>
      <c r="U9037" t="s">
        <v>56993</v>
      </c>
      <c r="V9037" t="s">
        <v>63599</v>
      </c>
      <c r="W9037" t="s">
        <v>64516</v>
      </c>
      <c r="X9037" t="s">
        <v>47313</v>
      </c>
    </row>
    <row r="9038" spans="1:24">
      <c r="A9038">
        <f>HYPERLINK("https://www.philgeps.gov.ph/GEPSNONPILOT/Tender/SplashBidNoticeAbstractUI.aspx?menuIndex=3&amp;refID=7189892&amp;Result=3","7189892")</f>
        <v>0</v>
      </c>
      <c r="B9038" t="s">
        <v>1560</v>
      </c>
      <c r="C9038" t="s">
        <v>12373</v>
      </c>
      <c r="D9038" t="s">
        <v>18993</v>
      </c>
      <c r="E9038" t="s">
        <v>19896</v>
      </c>
      <c r="F9038" t="s">
        <v>32606</v>
      </c>
      <c r="G9038" t="s">
        <v>32613</v>
      </c>
      <c r="H9038" t="s">
        <v>14201</v>
      </c>
      <c r="I9038" t="s">
        <v>32640</v>
      </c>
      <c r="J9038" t="s">
        <v>38351</v>
      </c>
      <c r="K9038" t="s">
        <v>42650</v>
      </c>
      <c r="M9038" t="s">
        <v>45992</v>
      </c>
      <c r="N9038" t="s">
        <v>47304</v>
      </c>
      <c r="O9038" t="s">
        <v>47305</v>
      </c>
      <c r="P9038">
        <v>0</v>
      </c>
      <c r="Q9038">
        <v>19</v>
      </c>
      <c r="R9038" t="s">
        <v>47312</v>
      </c>
      <c r="S9038" t="s">
        <v>47489</v>
      </c>
      <c r="T9038" t="s">
        <v>49197</v>
      </c>
      <c r="U9038" t="s">
        <v>56992</v>
      </c>
      <c r="W9038" t="s">
        <v>64519</v>
      </c>
      <c r="X9038" t="s">
        <v>47313</v>
      </c>
    </row>
    <row r="9039" spans="1:24">
      <c r="A9039">
        <f>HYPERLINK("https://www.philgeps.gov.ph/GEPSNONPILOT/Tender/SplashBidNoticeAbstractUI.aspx?menuIndex=3&amp;refID=7189931&amp;Result=3","7189931")</f>
        <v>0</v>
      </c>
      <c r="B9039" t="s">
        <v>1093</v>
      </c>
      <c r="C9039" t="s">
        <v>12374</v>
      </c>
      <c r="D9039" t="s">
        <v>19037</v>
      </c>
      <c r="E9039" t="s">
        <v>26819</v>
      </c>
      <c r="F9039" t="s">
        <v>32606</v>
      </c>
      <c r="G9039" t="s">
        <v>32613</v>
      </c>
      <c r="H9039" t="s">
        <v>32623</v>
      </c>
      <c r="I9039" t="s">
        <v>17648</v>
      </c>
      <c r="J9039" t="s">
        <v>38352</v>
      </c>
      <c r="K9039" t="s">
        <v>42697</v>
      </c>
      <c r="M9039" t="s">
        <v>44049</v>
      </c>
      <c r="N9039" t="s">
        <v>47304</v>
      </c>
      <c r="O9039" t="s">
        <v>47305</v>
      </c>
      <c r="P9039">
        <v>0</v>
      </c>
      <c r="Q9039">
        <v>0</v>
      </c>
      <c r="R9039" t="s">
        <v>47312</v>
      </c>
      <c r="S9039" t="s">
        <v>47489</v>
      </c>
      <c r="T9039" t="s">
        <v>49072</v>
      </c>
      <c r="U9039" t="s">
        <v>56994</v>
      </c>
      <c r="W9039" t="s">
        <v>44049</v>
      </c>
      <c r="X9039" t="s">
        <v>47313</v>
      </c>
    </row>
    <row r="9040" spans="1:24">
      <c r="A9040">
        <f>HYPERLINK("https://www.philgeps.gov.ph/GEPSNONPILOT/Tender/SplashBidNoticeAbstractUI.aspx?menuIndex=3&amp;refID=7189929&amp;Result=3","7189929")</f>
        <v>0</v>
      </c>
      <c r="B9040" t="s">
        <v>2828</v>
      </c>
      <c r="C9040" t="s">
        <v>10190</v>
      </c>
      <c r="D9040" t="s">
        <v>19010</v>
      </c>
      <c r="E9040" t="s">
        <v>20242</v>
      </c>
      <c r="F9040" t="s">
        <v>32606</v>
      </c>
      <c r="G9040" t="s">
        <v>32613</v>
      </c>
      <c r="H9040" t="s">
        <v>14201</v>
      </c>
      <c r="I9040" t="s">
        <v>6931</v>
      </c>
      <c r="J9040" t="s">
        <v>38353</v>
      </c>
      <c r="K9040" t="s">
        <v>42622</v>
      </c>
      <c r="M9040" t="s">
        <v>45993</v>
      </c>
      <c r="N9040" t="s">
        <v>47304</v>
      </c>
      <c r="O9040" t="s">
        <v>47305</v>
      </c>
      <c r="P9040">
        <v>0</v>
      </c>
      <c r="Q9040">
        <v>0</v>
      </c>
      <c r="R9040" t="s">
        <v>47312</v>
      </c>
      <c r="S9040" t="s">
        <v>47489</v>
      </c>
      <c r="T9040" t="s">
        <v>49010</v>
      </c>
      <c r="U9040" t="s">
        <v>56995</v>
      </c>
      <c r="W9040" t="s">
        <v>45993</v>
      </c>
      <c r="X9040" t="s">
        <v>47313</v>
      </c>
    </row>
    <row r="9041" spans="1:24">
      <c r="A9041">
        <f>HYPERLINK("https://www.philgeps.gov.ph/GEPSNONPILOT/Tender/SplashBidNoticeAbstractUI.aspx?menuIndex=3&amp;refID=7189830&amp;Result=3","7189830")</f>
        <v>0</v>
      </c>
      <c r="B9041" t="s">
        <v>2829</v>
      </c>
      <c r="C9041" t="s">
        <v>12375</v>
      </c>
      <c r="D9041" t="s">
        <v>18993</v>
      </c>
      <c r="E9041" t="s">
        <v>26820</v>
      </c>
      <c r="F9041" t="s">
        <v>32606</v>
      </c>
      <c r="G9041" t="s">
        <v>32613</v>
      </c>
      <c r="H9041" t="s">
        <v>14201</v>
      </c>
      <c r="I9041" t="s">
        <v>13131</v>
      </c>
      <c r="J9041" t="s">
        <v>38354</v>
      </c>
      <c r="K9041" t="s">
        <v>42631</v>
      </c>
      <c r="M9041" t="s">
        <v>45994</v>
      </c>
      <c r="N9041" t="s">
        <v>47304</v>
      </c>
      <c r="O9041" t="s">
        <v>47305</v>
      </c>
      <c r="P9041">
        <v>0</v>
      </c>
      <c r="Q9041">
        <v>10</v>
      </c>
      <c r="R9041" t="s">
        <v>47312</v>
      </c>
      <c r="S9041" t="s">
        <v>47489</v>
      </c>
      <c r="T9041" t="s">
        <v>49086</v>
      </c>
      <c r="U9041" t="s">
        <v>56996</v>
      </c>
      <c r="V9041" t="s">
        <v>63600</v>
      </c>
      <c r="W9041" t="s">
        <v>45994</v>
      </c>
      <c r="X9041" t="s">
        <v>47313</v>
      </c>
    </row>
    <row r="9042" spans="1:24">
      <c r="A9042">
        <f>HYPERLINK("https://www.philgeps.gov.ph/GEPSNONPILOT/Tender/SplashBidNoticeAbstractUI.aspx?menuIndex=3&amp;refID=7189926&amp;Result=3","7189926")</f>
        <v>0</v>
      </c>
      <c r="B9042" t="s">
        <v>1769</v>
      </c>
      <c r="C9042" t="s">
        <v>12376</v>
      </c>
      <c r="D9042" t="s">
        <v>19037</v>
      </c>
      <c r="E9042" t="s">
        <v>26821</v>
      </c>
      <c r="F9042" t="s">
        <v>32606</v>
      </c>
      <c r="G9042" t="s">
        <v>32613</v>
      </c>
      <c r="H9042" t="s">
        <v>14201</v>
      </c>
      <c r="I9042" t="s">
        <v>6931</v>
      </c>
      <c r="J9042" t="s">
        <v>38355</v>
      </c>
      <c r="K9042" t="s">
        <v>42623</v>
      </c>
      <c r="M9042" t="s">
        <v>44807</v>
      </c>
      <c r="N9042" t="s">
        <v>47304</v>
      </c>
      <c r="O9042" t="s">
        <v>47305</v>
      </c>
      <c r="P9042">
        <v>0</v>
      </c>
      <c r="Q9042">
        <v>0</v>
      </c>
      <c r="R9042" t="s">
        <v>47312</v>
      </c>
      <c r="S9042" t="s">
        <v>47489</v>
      </c>
      <c r="T9042" t="s">
        <v>49242</v>
      </c>
      <c r="U9042" t="s">
        <v>56997</v>
      </c>
      <c r="W9042" t="s">
        <v>44807</v>
      </c>
      <c r="X9042" t="s">
        <v>47313</v>
      </c>
    </row>
    <row r="9043" spans="1:24">
      <c r="A9043">
        <f>HYPERLINK("https://www.philgeps.gov.ph/GEPSNONPILOT/Tender/SplashBidNoticeAbstractUI.aspx?menuIndex=3&amp;refID=7189925&amp;Result=3","7189925")</f>
        <v>0</v>
      </c>
      <c r="B9043" t="s">
        <v>2830</v>
      </c>
      <c r="C9043" t="s">
        <v>12377</v>
      </c>
      <c r="D9043" t="s">
        <v>19010</v>
      </c>
      <c r="E9043" t="s">
        <v>26822</v>
      </c>
      <c r="F9043" t="s">
        <v>32606</v>
      </c>
      <c r="G9043" t="s">
        <v>32613</v>
      </c>
      <c r="H9043" t="s">
        <v>14201</v>
      </c>
      <c r="I9043" t="s">
        <v>6931</v>
      </c>
      <c r="J9043" t="s">
        <v>38356</v>
      </c>
      <c r="K9043" t="s">
        <v>42622</v>
      </c>
      <c r="M9043" t="s">
        <v>45995</v>
      </c>
      <c r="N9043" t="s">
        <v>47304</v>
      </c>
      <c r="O9043" t="s">
        <v>47305</v>
      </c>
      <c r="P9043">
        <v>0</v>
      </c>
      <c r="Q9043">
        <v>0</v>
      </c>
      <c r="R9043" t="s">
        <v>47312</v>
      </c>
      <c r="S9043" t="s">
        <v>47489</v>
      </c>
      <c r="T9043" t="s">
        <v>49053</v>
      </c>
      <c r="U9043" t="s">
        <v>56998</v>
      </c>
      <c r="W9043" t="s">
        <v>45995</v>
      </c>
      <c r="X9043" t="s">
        <v>47313</v>
      </c>
    </row>
    <row r="9044" spans="1:24">
      <c r="A9044">
        <f>HYPERLINK("https://www.philgeps.gov.ph/GEPSNONPILOT/Tender/SplashBidNoticeAbstractUI.aspx?menuIndex=3&amp;refID=7189921&amp;Result=3","7189921")</f>
        <v>0</v>
      </c>
      <c r="B9044" t="s">
        <v>996</v>
      </c>
      <c r="C9044" t="s">
        <v>12378</v>
      </c>
      <c r="D9044" t="s">
        <v>19020</v>
      </c>
      <c r="E9044" t="s">
        <v>26823</v>
      </c>
      <c r="F9044" t="s">
        <v>32606</v>
      </c>
      <c r="G9044" t="s">
        <v>32613</v>
      </c>
      <c r="H9044" t="s">
        <v>14201</v>
      </c>
      <c r="I9044" t="s">
        <v>7064</v>
      </c>
      <c r="J9044" t="s">
        <v>33804</v>
      </c>
      <c r="K9044" t="s">
        <v>42631</v>
      </c>
      <c r="M9044" t="s">
        <v>43944</v>
      </c>
      <c r="N9044" t="s">
        <v>47304</v>
      </c>
      <c r="O9044" t="s">
        <v>47305</v>
      </c>
      <c r="P9044">
        <v>0</v>
      </c>
      <c r="Q9044">
        <v>6</v>
      </c>
      <c r="R9044" t="s">
        <v>47312</v>
      </c>
      <c r="S9044" t="s">
        <v>47489</v>
      </c>
      <c r="T9044" t="s">
        <v>49409</v>
      </c>
      <c r="U9044" t="s">
        <v>56999</v>
      </c>
      <c r="W9044" t="s">
        <v>43944</v>
      </c>
      <c r="X9044" t="s">
        <v>47313</v>
      </c>
    </row>
    <row r="9045" spans="1:24">
      <c r="A9045">
        <f>HYPERLINK("https://www.philgeps.gov.ph/GEPSNONPILOT/Tender/SplashBidNoticeAbstractUI.aspx?menuIndex=3&amp;refID=7189938&amp;Result=3","7189938")</f>
        <v>0</v>
      </c>
      <c r="B9045" t="s">
        <v>1769</v>
      </c>
      <c r="C9045" t="s">
        <v>12379</v>
      </c>
      <c r="D9045" t="s">
        <v>19037</v>
      </c>
      <c r="E9045" t="s">
        <v>26824</v>
      </c>
      <c r="F9045" t="s">
        <v>32606</v>
      </c>
      <c r="G9045" t="s">
        <v>32613</v>
      </c>
      <c r="H9045" t="s">
        <v>14201</v>
      </c>
      <c r="I9045" t="s">
        <v>32631</v>
      </c>
      <c r="J9045" t="s">
        <v>38357</v>
      </c>
      <c r="K9045" t="s">
        <v>42623</v>
      </c>
      <c r="M9045" t="s">
        <v>44807</v>
      </c>
      <c r="N9045" t="s">
        <v>47304</v>
      </c>
      <c r="O9045" t="s">
        <v>47305</v>
      </c>
      <c r="P9045">
        <v>0</v>
      </c>
      <c r="Q9045">
        <v>1</v>
      </c>
      <c r="R9045" t="s">
        <v>47312</v>
      </c>
      <c r="S9045" t="s">
        <v>47489</v>
      </c>
      <c r="T9045" t="s">
        <v>49242</v>
      </c>
      <c r="U9045" t="s">
        <v>57000</v>
      </c>
      <c r="W9045" t="s">
        <v>44807</v>
      </c>
      <c r="X9045" t="s">
        <v>47313</v>
      </c>
    </row>
    <row r="9046" spans="1:24">
      <c r="A9046">
        <f>HYPERLINK("https://www.philgeps.gov.ph/GEPSNONPILOT/Tender/SplashBidNoticeAbstractUI.aspx?menuIndex=3&amp;refID=7189937&amp;Result=3","7189937")</f>
        <v>0</v>
      </c>
      <c r="B9046" t="s">
        <v>2831</v>
      </c>
      <c r="C9046" t="s">
        <v>12380</v>
      </c>
      <c r="D9046" t="s">
        <v>19013</v>
      </c>
      <c r="E9046" t="s">
        <v>26825</v>
      </c>
      <c r="F9046" t="s">
        <v>32606</v>
      </c>
      <c r="G9046" t="s">
        <v>32614</v>
      </c>
      <c r="H9046" t="s">
        <v>14201</v>
      </c>
      <c r="I9046" t="s">
        <v>6014</v>
      </c>
      <c r="J9046" t="s">
        <v>38358</v>
      </c>
      <c r="K9046" t="s">
        <v>42627</v>
      </c>
      <c r="M9046" t="s">
        <v>45996</v>
      </c>
      <c r="N9046" t="s">
        <v>47304</v>
      </c>
      <c r="O9046" t="s">
        <v>47305</v>
      </c>
      <c r="P9046">
        <v>0</v>
      </c>
      <c r="Q9046">
        <v>2</v>
      </c>
      <c r="R9046" t="s">
        <v>47312</v>
      </c>
      <c r="S9046" t="s">
        <v>47489</v>
      </c>
      <c r="T9046" t="s">
        <v>49053</v>
      </c>
      <c r="U9046" t="s">
        <v>57001</v>
      </c>
      <c r="W9046" t="s">
        <v>45996</v>
      </c>
      <c r="X9046" t="s">
        <v>47313</v>
      </c>
    </row>
    <row r="9047" spans="1:24">
      <c r="A9047">
        <f>HYPERLINK("https://www.philgeps.gov.ph/GEPSNONPILOT/Tender/SplashBidNoticeAbstractUI.aspx?menuIndex=3&amp;refID=7189832&amp;Result=3","7189832")</f>
        <v>0</v>
      </c>
      <c r="B9047" t="s">
        <v>2823</v>
      </c>
      <c r="C9047" t="s">
        <v>12381</v>
      </c>
      <c r="E9047" t="s">
        <v>26826</v>
      </c>
      <c r="F9047" t="s">
        <v>32606</v>
      </c>
      <c r="G9047" t="s">
        <v>32613</v>
      </c>
      <c r="H9047" t="s">
        <v>14201</v>
      </c>
      <c r="I9047" t="s">
        <v>32638</v>
      </c>
      <c r="J9047" t="s">
        <v>33051</v>
      </c>
      <c r="K9047" t="s">
        <v>42627</v>
      </c>
      <c r="M9047" t="s">
        <v>45987</v>
      </c>
      <c r="N9047" t="s">
        <v>47304</v>
      </c>
      <c r="O9047" t="s">
        <v>47305</v>
      </c>
      <c r="P9047">
        <v>0</v>
      </c>
      <c r="Q9047">
        <v>5</v>
      </c>
      <c r="R9047" t="s">
        <v>47312</v>
      </c>
      <c r="S9047" t="s">
        <v>47489</v>
      </c>
      <c r="T9047" t="s">
        <v>49221</v>
      </c>
      <c r="U9047" t="s">
        <v>56981</v>
      </c>
      <c r="W9047" t="s">
        <v>45987</v>
      </c>
      <c r="X9047" t="s">
        <v>47313</v>
      </c>
    </row>
    <row r="9048" spans="1:24">
      <c r="A9048">
        <f>HYPERLINK("https://www.philgeps.gov.ph/GEPSNONPILOT/Tender/SplashBidNoticeAbstractUI.aspx?menuIndex=3&amp;refID=7189935&amp;Result=3","7189935")</f>
        <v>0</v>
      </c>
      <c r="B9048" t="s">
        <v>282</v>
      </c>
      <c r="C9048" t="s">
        <v>12382</v>
      </c>
      <c r="D9048" t="s">
        <v>19051</v>
      </c>
      <c r="E9048" t="s">
        <v>26827</v>
      </c>
      <c r="F9048" t="s">
        <v>32606</v>
      </c>
      <c r="G9048" t="s">
        <v>32613</v>
      </c>
      <c r="H9048" t="s">
        <v>14201</v>
      </c>
      <c r="I9048" t="s">
        <v>32629</v>
      </c>
      <c r="J9048" t="s">
        <v>38359</v>
      </c>
      <c r="K9048" t="s">
        <v>42685</v>
      </c>
      <c r="M9048" t="s">
        <v>43183</v>
      </c>
      <c r="N9048" t="s">
        <v>47304</v>
      </c>
      <c r="O9048" t="s">
        <v>47305</v>
      </c>
      <c r="P9048">
        <v>0</v>
      </c>
      <c r="Q9048">
        <v>0</v>
      </c>
      <c r="R9048" t="s">
        <v>47312</v>
      </c>
      <c r="S9048" t="s">
        <v>47489</v>
      </c>
      <c r="T9048" t="s">
        <v>48980</v>
      </c>
      <c r="U9048" t="s">
        <v>57002</v>
      </c>
      <c r="W9048" t="s">
        <v>43183</v>
      </c>
      <c r="X9048" t="s">
        <v>47313</v>
      </c>
    </row>
    <row r="9049" spans="1:24">
      <c r="A9049">
        <f>HYPERLINK("https://www.philgeps.gov.ph/GEPSNONPILOT/Tender/SplashBidNoticeAbstractUI.aspx?menuIndex=3&amp;refID=7189816&amp;Result=3","7189816")</f>
        <v>0</v>
      </c>
      <c r="B9049" t="s">
        <v>2078</v>
      </c>
      <c r="C9049" t="s">
        <v>12383</v>
      </c>
      <c r="D9049" t="s">
        <v>19049</v>
      </c>
      <c r="E9049" t="s">
        <v>26828</v>
      </c>
      <c r="F9049" t="s">
        <v>32606</v>
      </c>
      <c r="G9049" t="s">
        <v>32614</v>
      </c>
      <c r="H9049" t="s">
        <v>14201</v>
      </c>
      <c r="I9049" t="s">
        <v>4678</v>
      </c>
      <c r="J9049" t="s">
        <v>32923</v>
      </c>
      <c r="K9049" t="s">
        <v>42631</v>
      </c>
      <c r="M9049" t="s">
        <v>45159</v>
      </c>
      <c r="N9049" t="s">
        <v>47304</v>
      </c>
      <c r="O9049" t="s">
        <v>47305</v>
      </c>
      <c r="P9049">
        <v>0</v>
      </c>
      <c r="Q9049">
        <v>5</v>
      </c>
      <c r="R9049" t="s">
        <v>47312</v>
      </c>
      <c r="S9049" t="s">
        <v>47489</v>
      </c>
      <c r="T9049" t="s">
        <v>49068</v>
      </c>
      <c r="U9049" t="s">
        <v>57003</v>
      </c>
      <c r="W9049" t="s">
        <v>45159</v>
      </c>
      <c r="X9049" t="s">
        <v>47313</v>
      </c>
    </row>
    <row r="9050" spans="1:24">
      <c r="A9050">
        <f>HYPERLINK("https://www.philgeps.gov.ph/GEPSNONPILOT/Tender/SplashBidNoticeAbstractUI.aspx?menuIndex=3&amp;refID=7189934&amp;Result=3","7189934")</f>
        <v>0</v>
      </c>
      <c r="B9050" t="s">
        <v>2832</v>
      </c>
      <c r="C9050" t="s">
        <v>12384</v>
      </c>
      <c r="D9050" t="s">
        <v>19011</v>
      </c>
      <c r="E9050" t="s">
        <v>26829</v>
      </c>
      <c r="F9050" t="s">
        <v>32606</v>
      </c>
      <c r="G9050" t="s">
        <v>32613</v>
      </c>
      <c r="H9050" t="s">
        <v>14201</v>
      </c>
      <c r="I9050" t="s">
        <v>32655</v>
      </c>
      <c r="J9050" t="s">
        <v>38360</v>
      </c>
      <c r="K9050" t="s">
        <v>42631</v>
      </c>
      <c r="M9050" t="s">
        <v>45997</v>
      </c>
      <c r="N9050" t="s">
        <v>47304</v>
      </c>
      <c r="O9050" t="s">
        <v>47305</v>
      </c>
      <c r="P9050">
        <v>0</v>
      </c>
      <c r="Q9050">
        <v>9</v>
      </c>
      <c r="R9050" t="s">
        <v>47312</v>
      </c>
      <c r="S9050" t="s">
        <v>47489</v>
      </c>
      <c r="T9050" t="s">
        <v>49157</v>
      </c>
      <c r="U9050" t="s">
        <v>57004</v>
      </c>
      <c r="W9050" t="s">
        <v>45997</v>
      </c>
      <c r="X9050" t="s">
        <v>47313</v>
      </c>
    </row>
    <row r="9051" spans="1:24">
      <c r="A9051">
        <f>HYPERLINK("https://www.philgeps.gov.ph/GEPSNONPILOT/Tender/SplashBidNoticeAbstractUI.aspx?menuIndex=3&amp;refID=7189922&amp;Result=3","7189922")</f>
        <v>0</v>
      </c>
      <c r="B9051" t="s">
        <v>622</v>
      </c>
      <c r="C9051" t="s">
        <v>12385</v>
      </c>
      <c r="D9051" t="s">
        <v>18989</v>
      </c>
      <c r="E9051" t="s">
        <v>26830</v>
      </c>
      <c r="F9051" t="s">
        <v>32606</v>
      </c>
      <c r="G9051" t="s">
        <v>32613</v>
      </c>
      <c r="H9051" t="s">
        <v>32623</v>
      </c>
      <c r="I9051" t="s">
        <v>17648</v>
      </c>
      <c r="J9051" t="s">
        <v>38361</v>
      </c>
      <c r="K9051" t="s">
        <v>42667</v>
      </c>
      <c r="M9051" t="s">
        <v>45998</v>
      </c>
      <c r="N9051" t="s">
        <v>47304</v>
      </c>
      <c r="O9051" t="s">
        <v>47305</v>
      </c>
      <c r="P9051">
        <v>0</v>
      </c>
      <c r="Q9051">
        <v>6</v>
      </c>
      <c r="R9051" t="s">
        <v>47312</v>
      </c>
      <c r="S9051" t="s">
        <v>47489</v>
      </c>
      <c r="T9051" t="s">
        <v>49272</v>
      </c>
      <c r="U9051" t="s">
        <v>57005</v>
      </c>
      <c r="W9051" t="s">
        <v>43540</v>
      </c>
      <c r="X9051" t="s">
        <v>47313</v>
      </c>
    </row>
    <row r="9052" spans="1:24">
      <c r="A9052">
        <f>HYPERLINK("https://www.philgeps.gov.ph/GEPSNONPILOT/Tender/SplashBidNoticeAbstractUI.aspx?menuIndex=3&amp;refID=7189933&amp;Result=3","7189933")</f>
        <v>0</v>
      </c>
      <c r="B9052" t="s">
        <v>1517</v>
      </c>
      <c r="C9052" t="s">
        <v>11910</v>
      </c>
      <c r="D9052" t="s">
        <v>18992</v>
      </c>
      <c r="E9052" t="s">
        <v>26831</v>
      </c>
      <c r="F9052" t="s">
        <v>32606</v>
      </c>
      <c r="G9052" t="s">
        <v>32613</v>
      </c>
      <c r="H9052" t="s">
        <v>32623</v>
      </c>
      <c r="I9052" t="s">
        <v>17648</v>
      </c>
      <c r="J9052" t="s">
        <v>38362</v>
      </c>
      <c r="K9052" t="s">
        <v>42639</v>
      </c>
      <c r="M9052" t="s">
        <v>44518</v>
      </c>
      <c r="N9052" t="s">
        <v>47304</v>
      </c>
      <c r="O9052" t="s">
        <v>47305</v>
      </c>
      <c r="P9052">
        <v>0</v>
      </c>
      <c r="Q9052">
        <v>0</v>
      </c>
      <c r="R9052" t="s">
        <v>47312</v>
      </c>
      <c r="S9052" t="s">
        <v>47489</v>
      </c>
      <c r="T9052" t="s">
        <v>49165</v>
      </c>
      <c r="U9052" t="s">
        <v>57006</v>
      </c>
      <c r="V9052" t="s">
        <v>63601</v>
      </c>
      <c r="W9052" t="s">
        <v>44518</v>
      </c>
      <c r="X9052" t="s">
        <v>47313</v>
      </c>
    </row>
    <row r="9053" spans="1:24">
      <c r="A9053">
        <f>HYPERLINK("https://www.philgeps.gov.ph/GEPSNONPILOT/Tender/SplashBidNoticeAbstractUI.aspx?menuIndex=3&amp;refID=7189909&amp;Result=3","7189909")</f>
        <v>0</v>
      </c>
      <c r="B9053" t="s">
        <v>814</v>
      </c>
      <c r="C9053" t="s">
        <v>12386</v>
      </c>
      <c r="D9053" t="s">
        <v>18993</v>
      </c>
      <c r="E9053" t="s">
        <v>26213</v>
      </c>
      <c r="F9053" t="s">
        <v>32606</v>
      </c>
      <c r="G9053" t="s">
        <v>32614</v>
      </c>
      <c r="H9053" t="s">
        <v>14201</v>
      </c>
      <c r="I9053" t="s">
        <v>6298</v>
      </c>
      <c r="J9053" t="s">
        <v>38363</v>
      </c>
      <c r="K9053" t="s">
        <v>42630</v>
      </c>
      <c r="M9053" t="s">
        <v>43745</v>
      </c>
      <c r="N9053" t="s">
        <v>47304</v>
      </c>
      <c r="O9053" t="s">
        <v>47305</v>
      </c>
      <c r="P9053">
        <v>0</v>
      </c>
      <c r="Q9053">
        <v>4</v>
      </c>
      <c r="R9053" t="s">
        <v>47312</v>
      </c>
      <c r="S9053" t="s">
        <v>47489</v>
      </c>
      <c r="T9053" t="s">
        <v>49061</v>
      </c>
      <c r="U9053" t="s">
        <v>57007</v>
      </c>
      <c r="W9053" t="s">
        <v>64520</v>
      </c>
      <c r="X9053" t="s">
        <v>47313</v>
      </c>
    </row>
    <row r="9054" spans="1:24">
      <c r="A9054">
        <f>HYPERLINK("https://www.philgeps.gov.ph/GEPSNONPILOT/Tender/SplashBidNoticeAbstractUI.aspx?menuIndex=3&amp;refID=7189798&amp;Result=3","7189798")</f>
        <v>0</v>
      </c>
      <c r="B9054" t="s">
        <v>2820</v>
      </c>
      <c r="C9054" t="s">
        <v>12387</v>
      </c>
      <c r="D9054" t="s">
        <v>18993</v>
      </c>
      <c r="E9054" t="s">
        <v>26832</v>
      </c>
      <c r="F9054" t="s">
        <v>32606</v>
      </c>
      <c r="G9054" t="s">
        <v>32615</v>
      </c>
      <c r="H9054" t="s">
        <v>14201</v>
      </c>
      <c r="I9054" t="s">
        <v>32638</v>
      </c>
      <c r="J9054" t="s">
        <v>32871</v>
      </c>
      <c r="K9054" t="s">
        <v>42624</v>
      </c>
      <c r="L9054" t="s">
        <v>2820</v>
      </c>
      <c r="M9054" t="s">
        <v>45983</v>
      </c>
      <c r="N9054" t="s">
        <v>47304</v>
      </c>
      <c r="O9054" t="s">
        <v>47305</v>
      </c>
      <c r="P9054">
        <v>0</v>
      </c>
      <c r="Q9054">
        <v>4</v>
      </c>
      <c r="R9054" t="s">
        <v>47312</v>
      </c>
      <c r="S9054" t="s">
        <v>47489</v>
      </c>
      <c r="T9054" t="s">
        <v>49240</v>
      </c>
      <c r="U9054" t="s">
        <v>56966</v>
      </c>
      <c r="W9054" t="s">
        <v>45983</v>
      </c>
      <c r="X9054" t="s">
        <v>47313</v>
      </c>
    </row>
    <row r="9055" spans="1:24">
      <c r="A9055">
        <f>HYPERLINK("https://www.philgeps.gov.ph/GEPSNONPILOT/Tender/SplashBidNoticeAbstractUI.aspx?menuIndex=3&amp;refID=7189907&amp;Result=3","7189907")</f>
        <v>0</v>
      </c>
      <c r="B9055" t="s">
        <v>1560</v>
      </c>
      <c r="C9055" t="s">
        <v>12388</v>
      </c>
      <c r="D9055" t="s">
        <v>18993</v>
      </c>
      <c r="E9055" t="s">
        <v>19873</v>
      </c>
      <c r="F9055" t="s">
        <v>32606</v>
      </c>
      <c r="G9055" t="s">
        <v>32613</v>
      </c>
      <c r="H9055" t="s">
        <v>14201</v>
      </c>
      <c r="I9055" t="s">
        <v>32640</v>
      </c>
      <c r="J9055" t="s">
        <v>38364</v>
      </c>
      <c r="K9055" t="s">
        <v>42648</v>
      </c>
      <c r="M9055" t="s">
        <v>45992</v>
      </c>
      <c r="N9055" t="s">
        <v>47304</v>
      </c>
      <c r="O9055" t="s">
        <v>47305</v>
      </c>
      <c r="P9055">
        <v>0</v>
      </c>
      <c r="Q9055">
        <v>15</v>
      </c>
      <c r="R9055" t="s">
        <v>47312</v>
      </c>
      <c r="S9055" t="s">
        <v>47489</v>
      </c>
      <c r="T9055" t="s">
        <v>49197</v>
      </c>
      <c r="U9055" t="s">
        <v>56992</v>
      </c>
      <c r="W9055" t="s">
        <v>64519</v>
      </c>
      <c r="X9055" t="s">
        <v>47313</v>
      </c>
    </row>
    <row r="9056" spans="1:24">
      <c r="A9056">
        <f>HYPERLINK("https://www.philgeps.gov.ph/GEPSNONPILOT/Tender/SplashBidNoticeAbstractUI.aspx?menuIndex=3&amp;refID=7189905&amp;Result=3","7189905")</f>
        <v>0</v>
      </c>
      <c r="B9056" t="s">
        <v>622</v>
      </c>
      <c r="C9056" t="s">
        <v>12389</v>
      </c>
      <c r="D9056" t="s">
        <v>18989</v>
      </c>
      <c r="E9056" t="s">
        <v>26833</v>
      </c>
      <c r="F9056" t="s">
        <v>32606</v>
      </c>
      <c r="G9056" t="s">
        <v>32613</v>
      </c>
      <c r="H9056" t="s">
        <v>32623</v>
      </c>
      <c r="I9056" t="s">
        <v>17648</v>
      </c>
      <c r="J9056" t="s">
        <v>38365</v>
      </c>
      <c r="K9056" t="s">
        <v>42670</v>
      </c>
      <c r="M9056" t="s">
        <v>45998</v>
      </c>
      <c r="N9056" t="s">
        <v>47304</v>
      </c>
      <c r="O9056" t="s">
        <v>47305</v>
      </c>
      <c r="P9056">
        <v>0</v>
      </c>
      <c r="Q9056">
        <v>6</v>
      </c>
      <c r="R9056" t="s">
        <v>47312</v>
      </c>
      <c r="S9056" t="s">
        <v>47489</v>
      </c>
      <c r="T9056" t="s">
        <v>49272</v>
      </c>
      <c r="U9056" t="s">
        <v>57008</v>
      </c>
      <c r="W9056" t="s">
        <v>43540</v>
      </c>
      <c r="X9056" t="s">
        <v>47313</v>
      </c>
    </row>
    <row r="9057" spans="1:24">
      <c r="A9057">
        <f>HYPERLINK("https://www.philgeps.gov.ph/GEPSNONPILOT/Tender/SplashBidNoticeAbstractUI.aspx?menuIndex=3&amp;refID=7189917&amp;Result=3","7189917")</f>
        <v>0</v>
      </c>
      <c r="B9057" t="s">
        <v>622</v>
      </c>
      <c r="C9057" t="s">
        <v>12390</v>
      </c>
      <c r="D9057" t="s">
        <v>18989</v>
      </c>
      <c r="E9057" t="s">
        <v>26834</v>
      </c>
      <c r="F9057" t="s">
        <v>32606</v>
      </c>
      <c r="G9057" t="s">
        <v>32613</v>
      </c>
      <c r="H9057" t="s">
        <v>32623</v>
      </c>
      <c r="I9057" t="s">
        <v>17648</v>
      </c>
      <c r="J9057" t="s">
        <v>38366</v>
      </c>
      <c r="K9057" t="s">
        <v>42741</v>
      </c>
      <c r="M9057" t="s">
        <v>45998</v>
      </c>
      <c r="N9057" t="s">
        <v>47304</v>
      </c>
      <c r="O9057" t="s">
        <v>47305</v>
      </c>
      <c r="P9057">
        <v>0</v>
      </c>
      <c r="Q9057">
        <v>7</v>
      </c>
      <c r="R9057" t="s">
        <v>47312</v>
      </c>
      <c r="S9057" t="s">
        <v>47489</v>
      </c>
      <c r="T9057" t="s">
        <v>49272</v>
      </c>
      <c r="U9057" t="s">
        <v>57005</v>
      </c>
      <c r="W9057" t="s">
        <v>43540</v>
      </c>
      <c r="X9057" t="s">
        <v>47313</v>
      </c>
    </row>
    <row r="9058" spans="1:24">
      <c r="A9058">
        <f>HYPERLINK("https://www.philgeps.gov.ph/GEPSNONPILOT/Tender/SplashBidNoticeAbstractUI.aspx?menuIndex=3&amp;refID=7189928&amp;Result=3","7189928")</f>
        <v>0</v>
      </c>
      <c r="B9058" t="s">
        <v>2454</v>
      </c>
      <c r="C9058" t="s">
        <v>12391</v>
      </c>
      <c r="D9058" t="s">
        <v>18993</v>
      </c>
      <c r="E9058" t="s">
        <v>26835</v>
      </c>
      <c r="F9058" t="s">
        <v>32606</v>
      </c>
      <c r="G9058" t="s">
        <v>32614</v>
      </c>
      <c r="H9058" t="s">
        <v>32625</v>
      </c>
      <c r="I9058" t="s">
        <v>32625</v>
      </c>
      <c r="J9058" t="s">
        <v>33449</v>
      </c>
      <c r="K9058" t="s">
        <v>42624</v>
      </c>
      <c r="M9058" t="s">
        <v>45584</v>
      </c>
      <c r="N9058" t="s">
        <v>47304</v>
      </c>
      <c r="O9058" t="s">
        <v>47305</v>
      </c>
      <c r="Q9058">
        <v>8</v>
      </c>
      <c r="R9058" t="s">
        <v>47312</v>
      </c>
      <c r="S9058" t="s">
        <v>47533</v>
      </c>
      <c r="T9058" t="s">
        <v>49165</v>
      </c>
      <c r="U9058" t="s">
        <v>57009</v>
      </c>
      <c r="W9058" t="s">
        <v>45584</v>
      </c>
      <c r="X9058" t="s">
        <v>47313</v>
      </c>
    </row>
    <row r="9059" spans="1:24">
      <c r="A9059">
        <f>HYPERLINK("https://www.philgeps.gov.ph/GEPSNONPILOT/Tender/SplashBidNoticeAbstractUI.aspx?menuIndex=3&amp;refID=7189919&amp;Result=3","7189919")</f>
        <v>0</v>
      </c>
      <c r="B9059" t="s">
        <v>1867</v>
      </c>
      <c r="C9059" t="s">
        <v>12392</v>
      </c>
      <c r="D9059" t="s">
        <v>18993</v>
      </c>
      <c r="E9059" t="s">
        <v>26836</v>
      </c>
      <c r="F9059" t="s">
        <v>32606</v>
      </c>
      <c r="G9059" t="s">
        <v>32613</v>
      </c>
      <c r="H9059" t="s">
        <v>14201</v>
      </c>
      <c r="I9059" t="s">
        <v>4120</v>
      </c>
      <c r="J9059" t="s">
        <v>38367</v>
      </c>
      <c r="K9059" t="s">
        <v>42632</v>
      </c>
      <c r="M9059" t="s">
        <v>44924</v>
      </c>
      <c r="N9059" t="s">
        <v>47304</v>
      </c>
      <c r="O9059" t="s">
        <v>47305</v>
      </c>
      <c r="P9059">
        <v>0</v>
      </c>
      <c r="Q9059">
        <v>8</v>
      </c>
      <c r="R9059" t="s">
        <v>47312</v>
      </c>
      <c r="S9059" t="s">
        <v>47489</v>
      </c>
      <c r="T9059" t="s">
        <v>48998</v>
      </c>
      <c r="U9059" t="s">
        <v>57010</v>
      </c>
      <c r="V9059" t="s">
        <v>63602</v>
      </c>
      <c r="W9059" t="s">
        <v>44924</v>
      </c>
      <c r="X9059" t="s">
        <v>47313</v>
      </c>
    </row>
    <row r="9060" spans="1:24">
      <c r="A9060">
        <f>HYPERLINK("https://www.philgeps.gov.ph/GEPSNONPILOT/Tender/SplashBidNoticeAbstractUI.aspx?menuIndex=3&amp;refID=7189910&amp;Result=3","7189910")</f>
        <v>0</v>
      </c>
      <c r="B9060" t="s">
        <v>2833</v>
      </c>
      <c r="C9060" t="s">
        <v>8822</v>
      </c>
      <c r="D9060" t="s">
        <v>19008</v>
      </c>
      <c r="E9060" t="s">
        <v>19279</v>
      </c>
      <c r="F9060" t="s">
        <v>32606</v>
      </c>
      <c r="G9060" t="s">
        <v>32613</v>
      </c>
      <c r="H9060" t="s">
        <v>14201</v>
      </c>
      <c r="I9060" t="s">
        <v>17648</v>
      </c>
      <c r="J9060" t="s">
        <v>37821</v>
      </c>
      <c r="K9060" t="s">
        <v>42624</v>
      </c>
      <c r="M9060" t="s">
        <v>45999</v>
      </c>
      <c r="N9060" t="s">
        <v>47304</v>
      </c>
      <c r="O9060" t="s">
        <v>47305</v>
      </c>
      <c r="P9060">
        <v>0</v>
      </c>
      <c r="Q9060">
        <v>0</v>
      </c>
      <c r="R9060" t="s">
        <v>47312</v>
      </c>
      <c r="S9060" t="s">
        <v>47489</v>
      </c>
      <c r="T9060" t="s">
        <v>48998</v>
      </c>
      <c r="U9060" t="s">
        <v>57011</v>
      </c>
      <c r="W9060" t="s">
        <v>45999</v>
      </c>
      <c r="X9060" t="s">
        <v>47313</v>
      </c>
    </row>
    <row r="9061" spans="1:24">
      <c r="A9061">
        <f>HYPERLINK("https://www.philgeps.gov.ph/GEPSNONPILOT/Tender/SplashBidNoticeAbstractUI.aspx?menuIndex=3&amp;refID=7189940&amp;Result=3","7189940")</f>
        <v>0</v>
      </c>
      <c r="B9061" t="s">
        <v>282</v>
      </c>
      <c r="C9061" t="s">
        <v>12393</v>
      </c>
      <c r="D9061" t="s">
        <v>19051</v>
      </c>
      <c r="E9061" t="s">
        <v>21411</v>
      </c>
      <c r="F9061" t="s">
        <v>32606</v>
      </c>
      <c r="G9061" t="s">
        <v>32613</v>
      </c>
      <c r="H9061" t="s">
        <v>14201</v>
      </c>
      <c r="I9061" t="s">
        <v>4114</v>
      </c>
      <c r="J9061" t="s">
        <v>38368</v>
      </c>
      <c r="K9061" t="s">
        <v>42631</v>
      </c>
      <c r="M9061" t="s">
        <v>43183</v>
      </c>
      <c r="N9061" t="s">
        <v>47304</v>
      </c>
      <c r="O9061" t="s">
        <v>47305</v>
      </c>
      <c r="P9061">
        <v>0</v>
      </c>
      <c r="Q9061">
        <v>2</v>
      </c>
      <c r="R9061" t="s">
        <v>47312</v>
      </c>
      <c r="S9061" t="s">
        <v>47489</v>
      </c>
      <c r="T9061" t="s">
        <v>48980</v>
      </c>
      <c r="U9061" t="s">
        <v>57012</v>
      </c>
      <c r="W9061" t="s">
        <v>43183</v>
      </c>
      <c r="X9061" t="s">
        <v>47313</v>
      </c>
    </row>
    <row r="9062" spans="1:24">
      <c r="A9062">
        <f>HYPERLINK("https://www.philgeps.gov.ph/GEPSNONPILOT/Tender/SplashBidNoticeAbstractUI.aspx?menuIndex=3&amp;refID=7189956&amp;Result=3","7189956")</f>
        <v>0</v>
      </c>
      <c r="B9062" t="s">
        <v>2507</v>
      </c>
      <c r="C9062" t="s">
        <v>12394</v>
      </c>
      <c r="D9062" t="s">
        <v>19016</v>
      </c>
      <c r="E9062" t="s">
        <v>22592</v>
      </c>
      <c r="F9062" t="s">
        <v>32606</v>
      </c>
      <c r="G9062" t="s">
        <v>32613</v>
      </c>
      <c r="H9062" t="s">
        <v>32623</v>
      </c>
      <c r="I9062" t="s">
        <v>17648</v>
      </c>
      <c r="J9062" t="s">
        <v>32789</v>
      </c>
      <c r="K9062" t="s">
        <v>42630</v>
      </c>
      <c r="M9062" t="s">
        <v>45647</v>
      </c>
      <c r="N9062" t="s">
        <v>47304</v>
      </c>
      <c r="O9062" t="s">
        <v>47305</v>
      </c>
      <c r="P9062">
        <v>0</v>
      </c>
      <c r="Q9062">
        <v>0</v>
      </c>
      <c r="R9062" t="s">
        <v>47312</v>
      </c>
      <c r="S9062" t="s">
        <v>47489</v>
      </c>
      <c r="T9062" t="s">
        <v>49165</v>
      </c>
      <c r="U9062" t="s">
        <v>57013</v>
      </c>
      <c r="V9062" t="s">
        <v>63603</v>
      </c>
      <c r="W9062" t="s">
        <v>45647</v>
      </c>
      <c r="X9062" t="s">
        <v>47313</v>
      </c>
    </row>
    <row r="9063" spans="1:24">
      <c r="A9063">
        <f>HYPERLINK("https://www.philgeps.gov.ph/GEPSNONPILOT/Tender/SplashBidNoticeAbstractUI.aspx?menuIndex=3&amp;refID=7189963&amp;Result=3","7189963")</f>
        <v>0</v>
      </c>
      <c r="B9063" t="s">
        <v>2834</v>
      </c>
      <c r="C9063" t="s">
        <v>12395</v>
      </c>
      <c r="D9063" t="s">
        <v>19039</v>
      </c>
      <c r="E9063" t="s">
        <v>19315</v>
      </c>
      <c r="F9063" t="s">
        <v>32606</v>
      </c>
      <c r="G9063" t="s">
        <v>32613</v>
      </c>
      <c r="H9063" t="s">
        <v>14201</v>
      </c>
      <c r="I9063" t="s">
        <v>6931</v>
      </c>
      <c r="J9063" t="s">
        <v>32776</v>
      </c>
      <c r="K9063" t="s">
        <v>42627</v>
      </c>
      <c r="M9063" t="s">
        <v>46000</v>
      </c>
      <c r="N9063" t="s">
        <v>47304</v>
      </c>
      <c r="O9063" t="s">
        <v>47305</v>
      </c>
      <c r="P9063">
        <v>0</v>
      </c>
      <c r="Q9063">
        <v>0</v>
      </c>
      <c r="R9063" t="s">
        <v>47312</v>
      </c>
      <c r="S9063" t="s">
        <v>47489</v>
      </c>
      <c r="T9063" t="s">
        <v>49100</v>
      </c>
      <c r="U9063" t="s">
        <v>57014</v>
      </c>
      <c r="W9063" t="s">
        <v>46000</v>
      </c>
      <c r="X9063" t="s">
        <v>47313</v>
      </c>
    </row>
    <row r="9064" spans="1:24">
      <c r="A9064">
        <f>HYPERLINK("https://www.philgeps.gov.ph/GEPSNONPILOT/Tender/SplashBidNoticeAbstractUI.aspx?menuIndex=3&amp;refID=7189868&amp;Result=3","7189868")</f>
        <v>0</v>
      </c>
      <c r="B9064" t="s">
        <v>2754</v>
      </c>
      <c r="C9064" t="s">
        <v>12396</v>
      </c>
      <c r="D9064" t="s">
        <v>19061</v>
      </c>
      <c r="E9064" t="s">
        <v>26837</v>
      </c>
      <c r="F9064" t="s">
        <v>32606</v>
      </c>
      <c r="G9064" t="s">
        <v>32613</v>
      </c>
      <c r="H9064" t="s">
        <v>32623</v>
      </c>
      <c r="I9064" t="s">
        <v>17648</v>
      </c>
      <c r="J9064" t="s">
        <v>32767</v>
      </c>
      <c r="K9064" t="s">
        <v>42682</v>
      </c>
      <c r="M9064" t="s">
        <v>45912</v>
      </c>
      <c r="N9064" t="s">
        <v>47304</v>
      </c>
      <c r="O9064" t="s">
        <v>47305</v>
      </c>
      <c r="P9064">
        <v>0</v>
      </c>
      <c r="Q9064">
        <v>0</v>
      </c>
      <c r="R9064" t="s">
        <v>47312</v>
      </c>
      <c r="S9064" t="s">
        <v>47489</v>
      </c>
      <c r="T9064" t="s">
        <v>49400</v>
      </c>
      <c r="U9064" t="s">
        <v>57015</v>
      </c>
      <c r="V9064" t="s">
        <v>63599</v>
      </c>
      <c r="W9064" t="s">
        <v>64516</v>
      </c>
      <c r="X9064" t="s">
        <v>47313</v>
      </c>
    </row>
    <row r="9065" spans="1:24">
      <c r="A9065">
        <f>HYPERLINK("https://www.philgeps.gov.ph/GEPSNONPILOT/Tender/SplashBidNoticeAbstractUI.aspx?menuIndex=3&amp;refID=7189952&amp;Result=3","7189952")</f>
        <v>0</v>
      </c>
      <c r="B9065" t="s">
        <v>2835</v>
      </c>
      <c r="C9065" t="s">
        <v>12397</v>
      </c>
      <c r="D9065" t="s">
        <v>18993</v>
      </c>
      <c r="E9065" t="s">
        <v>19372</v>
      </c>
      <c r="F9065" t="s">
        <v>32606</v>
      </c>
      <c r="G9065" t="s">
        <v>32613</v>
      </c>
      <c r="H9065" t="s">
        <v>14201</v>
      </c>
      <c r="I9065" t="s">
        <v>32631</v>
      </c>
      <c r="J9065" t="s">
        <v>38369</v>
      </c>
      <c r="K9065" t="s">
        <v>42632</v>
      </c>
      <c r="M9065" t="s">
        <v>46001</v>
      </c>
      <c r="N9065" t="s">
        <v>47304</v>
      </c>
      <c r="O9065" t="s">
        <v>47305</v>
      </c>
      <c r="P9065">
        <v>0</v>
      </c>
      <c r="Q9065">
        <v>6</v>
      </c>
      <c r="R9065" t="s">
        <v>47312</v>
      </c>
      <c r="S9065" t="s">
        <v>47489</v>
      </c>
      <c r="T9065" t="s">
        <v>49257</v>
      </c>
      <c r="U9065" t="s">
        <v>57016</v>
      </c>
      <c r="V9065" t="s">
        <v>62965</v>
      </c>
      <c r="W9065" t="s">
        <v>46001</v>
      </c>
      <c r="X9065" t="s">
        <v>47313</v>
      </c>
    </row>
    <row r="9066" spans="1:24">
      <c r="A9066">
        <f>HYPERLINK("https://www.philgeps.gov.ph/GEPSNONPILOT/Tender/SplashBidNoticeAbstractUI.aspx?menuIndex=3&amp;refID=7189953&amp;Result=3","7189953")</f>
        <v>0</v>
      </c>
      <c r="B9066" t="s">
        <v>480</v>
      </c>
      <c r="C9066" t="s">
        <v>12398</v>
      </c>
      <c r="D9066" t="s">
        <v>19011</v>
      </c>
      <c r="E9066" t="s">
        <v>26838</v>
      </c>
      <c r="F9066" t="s">
        <v>32606</v>
      </c>
      <c r="G9066" t="s">
        <v>32613</v>
      </c>
      <c r="H9066" t="s">
        <v>32624</v>
      </c>
      <c r="I9066" t="s">
        <v>32627</v>
      </c>
      <c r="J9066" t="s">
        <v>33382</v>
      </c>
      <c r="K9066" t="s">
        <v>42679</v>
      </c>
      <c r="M9066" t="s">
        <v>43391</v>
      </c>
      <c r="N9066" t="s">
        <v>47304</v>
      </c>
      <c r="O9066" t="s">
        <v>47305</v>
      </c>
      <c r="P9066">
        <v>0</v>
      </c>
      <c r="Q9066">
        <v>7</v>
      </c>
      <c r="R9066" t="s">
        <v>47312</v>
      </c>
      <c r="S9066" t="s">
        <v>47489</v>
      </c>
      <c r="T9066" t="s">
        <v>49075</v>
      </c>
      <c r="U9066" t="s">
        <v>57017</v>
      </c>
      <c r="W9066" t="s">
        <v>43391</v>
      </c>
      <c r="X9066" t="s">
        <v>47313</v>
      </c>
    </row>
    <row r="9067" spans="1:24">
      <c r="A9067">
        <f>HYPERLINK("https://www.philgeps.gov.ph/GEPSNONPILOT/Tender/SplashBidNoticeAbstractUI.aspx?menuIndex=3&amp;refID=7189949&amp;Result=3","7189949")</f>
        <v>0</v>
      </c>
      <c r="B9067" t="s">
        <v>2836</v>
      </c>
      <c r="C9067" t="s">
        <v>12399</v>
      </c>
      <c r="D9067" t="s">
        <v>18993</v>
      </c>
      <c r="E9067" t="s">
        <v>19145</v>
      </c>
      <c r="F9067" t="s">
        <v>32606</v>
      </c>
      <c r="G9067" t="s">
        <v>32613</v>
      </c>
      <c r="H9067" t="s">
        <v>14201</v>
      </c>
      <c r="I9067" t="s">
        <v>32656</v>
      </c>
      <c r="J9067" t="s">
        <v>38370</v>
      </c>
      <c r="K9067" t="s">
        <v>42632</v>
      </c>
      <c r="M9067" t="s">
        <v>46002</v>
      </c>
      <c r="N9067" t="s">
        <v>47304</v>
      </c>
      <c r="O9067" t="s">
        <v>47305</v>
      </c>
      <c r="P9067">
        <v>0</v>
      </c>
      <c r="Q9067">
        <v>3</v>
      </c>
      <c r="R9067" t="s">
        <v>47312</v>
      </c>
      <c r="S9067" t="s">
        <v>47489</v>
      </c>
      <c r="T9067" t="s">
        <v>49263</v>
      </c>
      <c r="U9067" t="s">
        <v>57018</v>
      </c>
      <c r="V9067" t="s">
        <v>62965</v>
      </c>
      <c r="W9067" t="s">
        <v>46002</v>
      </c>
      <c r="X9067" t="s">
        <v>47313</v>
      </c>
    </row>
    <row r="9068" spans="1:24">
      <c r="A9068">
        <f>HYPERLINK("https://www.philgeps.gov.ph/GEPSNONPILOT/Tender/SplashBidNoticeAbstractUI.aspx?menuIndex=3&amp;refID=7189946&amp;Result=3","7189946")</f>
        <v>0</v>
      </c>
      <c r="B9068" t="s">
        <v>996</v>
      </c>
      <c r="C9068" t="s">
        <v>4129</v>
      </c>
      <c r="D9068" t="s">
        <v>19020</v>
      </c>
      <c r="E9068" t="s">
        <v>26839</v>
      </c>
      <c r="F9068" t="s">
        <v>32606</v>
      </c>
      <c r="G9068" t="s">
        <v>32613</v>
      </c>
      <c r="H9068" t="s">
        <v>14201</v>
      </c>
      <c r="I9068" t="s">
        <v>4120</v>
      </c>
      <c r="J9068" t="s">
        <v>38371</v>
      </c>
      <c r="K9068" t="s">
        <v>42622</v>
      </c>
      <c r="M9068" t="s">
        <v>43944</v>
      </c>
      <c r="N9068" t="s">
        <v>47304</v>
      </c>
      <c r="O9068" t="s">
        <v>47305</v>
      </c>
      <c r="P9068">
        <v>0</v>
      </c>
      <c r="Q9068">
        <v>0</v>
      </c>
      <c r="R9068" t="s">
        <v>47312</v>
      </c>
      <c r="S9068" t="s">
        <v>47489</v>
      </c>
      <c r="T9068" t="s">
        <v>49075</v>
      </c>
      <c r="U9068" t="s">
        <v>57019</v>
      </c>
      <c r="W9068" t="s">
        <v>43944</v>
      </c>
      <c r="X9068" t="s">
        <v>47313</v>
      </c>
    </row>
    <row r="9069" spans="1:24">
      <c r="A9069">
        <f>HYPERLINK("https://www.philgeps.gov.ph/GEPSNONPILOT/Tender/SplashBidNoticeAbstractUI.aspx?menuIndex=3&amp;refID=7189944&amp;Result=3","7189944")</f>
        <v>0</v>
      </c>
      <c r="B9069" t="s">
        <v>2837</v>
      </c>
      <c r="C9069" t="s">
        <v>12400</v>
      </c>
      <c r="D9069" t="s">
        <v>18993</v>
      </c>
      <c r="E9069" t="s">
        <v>26840</v>
      </c>
      <c r="F9069" t="s">
        <v>32606</v>
      </c>
      <c r="G9069" t="s">
        <v>32613</v>
      </c>
      <c r="H9069" t="s">
        <v>14201</v>
      </c>
      <c r="I9069" t="s">
        <v>6298</v>
      </c>
      <c r="J9069" t="s">
        <v>32799</v>
      </c>
      <c r="K9069" t="s">
        <v>42632</v>
      </c>
      <c r="M9069" t="s">
        <v>46003</v>
      </c>
      <c r="N9069" t="s">
        <v>47304</v>
      </c>
      <c r="O9069" t="s">
        <v>47305</v>
      </c>
      <c r="P9069">
        <v>0</v>
      </c>
      <c r="Q9069">
        <v>4</v>
      </c>
      <c r="R9069" t="s">
        <v>47312</v>
      </c>
      <c r="S9069" t="s">
        <v>47489</v>
      </c>
      <c r="T9069" t="s">
        <v>48980</v>
      </c>
      <c r="U9069" t="s">
        <v>57020</v>
      </c>
      <c r="V9069" t="s">
        <v>63604</v>
      </c>
      <c r="W9069" t="s">
        <v>46003</v>
      </c>
      <c r="X9069" t="s">
        <v>47313</v>
      </c>
    </row>
    <row r="9070" spans="1:24">
      <c r="A9070">
        <f>HYPERLINK("https://www.philgeps.gov.ph/GEPSNONPILOT/Tender/SplashBidNoticeAbstractUI.aspx?menuIndex=3&amp;refID=7189975&amp;Result=3","7189975")</f>
        <v>0</v>
      </c>
      <c r="B9070" t="s">
        <v>2838</v>
      </c>
      <c r="C9070" t="s">
        <v>12401</v>
      </c>
      <c r="D9070" t="s">
        <v>18994</v>
      </c>
      <c r="E9070" t="s">
        <v>26841</v>
      </c>
      <c r="F9070" t="s">
        <v>32606</v>
      </c>
      <c r="G9070" t="s">
        <v>32618</v>
      </c>
      <c r="H9070" t="s">
        <v>14201</v>
      </c>
      <c r="I9070" t="s">
        <v>32647</v>
      </c>
      <c r="J9070" t="s">
        <v>33685</v>
      </c>
      <c r="K9070" t="s">
        <v>42636</v>
      </c>
      <c r="M9070" t="s">
        <v>46004</v>
      </c>
      <c r="N9070" t="s">
        <v>47304</v>
      </c>
      <c r="O9070" t="s">
        <v>47305</v>
      </c>
      <c r="Q9070">
        <v>2</v>
      </c>
      <c r="R9070" t="s">
        <v>47312</v>
      </c>
      <c r="S9070" t="s">
        <v>47534</v>
      </c>
      <c r="T9070" t="s">
        <v>49165</v>
      </c>
      <c r="U9070" t="s">
        <v>57021</v>
      </c>
      <c r="V9070" t="s">
        <v>63605</v>
      </c>
      <c r="W9070" t="s">
        <v>46004</v>
      </c>
      <c r="X9070" t="s">
        <v>47313</v>
      </c>
    </row>
    <row r="9071" spans="1:24">
      <c r="A9071">
        <f>HYPERLINK("https://www.philgeps.gov.ph/GEPSNONPILOT/Tender/SplashBidNoticeAbstractUI.aspx?menuIndex=3&amp;refID=7189973&amp;Result=3","7189973")</f>
        <v>0</v>
      </c>
      <c r="B9071" t="s">
        <v>652</v>
      </c>
      <c r="C9071" t="s">
        <v>12402</v>
      </c>
      <c r="D9071" t="s">
        <v>18993</v>
      </c>
      <c r="E9071" t="s">
        <v>26842</v>
      </c>
      <c r="F9071" t="s">
        <v>32606</v>
      </c>
      <c r="G9071" t="s">
        <v>32613</v>
      </c>
      <c r="H9071" t="s">
        <v>14201</v>
      </c>
      <c r="I9071" t="s">
        <v>32640</v>
      </c>
      <c r="J9071" t="s">
        <v>37918</v>
      </c>
      <c r="K9071" t="s">
        <v>42783</v>
      </c>
      <c r="M9071" t="s">
        <v>46005</v>
      </c>
      <c r="N9071" t="s">
        <v>47304</v>
      </c>
      <c r="O9071" t="s">
        <v>47305</v>
      </c>
      <c r="P9071">
        <v>0</v>
      </c>
      <c r="Q9071">
        <v>10</v>
      </c>
      <c r="R9071" t="s">
        <v>47312</v>
      </c>
      <c r="S9071" t="s">
        <v>47489</v>
      </c>
      <c r="T9071" t="s">
        <v>49272</v>
      </c>
      <c r="U9071" t="s">
        <v>57022</v>
      </c>
      <c r="W9071" t="s">
        <v>46005</v>
      </c>
      <c r="X9071" t="s">
        <v>47313</v>
      </c>
    </row>
    <row r="9072" spans="1:24">
      <c r="A9072">
        <f>HYPERLINK("https://www.philgeps.gov.ph/GEPSNONPILOT/Tender/SplashBidNoticeAbstractUI.aspx?menuIndex=3&amp;refID=7189970&amp;Result=3","7189970")</f>
        <v>0</v>
      </c>
      <c r="B9072" t="s">
        <v>1441</v>
      </c>
      <c r="C9072" t="s">
        <v>12403</v>
      </c>
      <c r="D9072" t="s">
        <v>18999</v>
      </c>
      <c r="E9072" t="s">
        <v>19690</v>
      </c>
      <c r="F9072" t="s">
        <v>32606</v>
      </c>
      <c r="G9072" t="s">
        <v>32614</v>
      </c>
      <c r="H9072" t="s">
        <v>14201</v>
      </c>
      <c r="I9072" t="s">
        <v>32701</v>
      </c>
      <c r="J9072" t="s">
        <v>32981</v>
      </c>
      <c r="K9072" t="s">
        <v>42631</v>
      </c>
      <c r="M9072" t="s">
        <v>44430</v>
      </c>
      <c r="N9072" t="s">
        <v>47304</v>
      </c>
      <c r="O9072" t="s">
        <v>47305</v>
      </c>
      <c r="P9072">
        <v>0</v>
      </c>
      <c r="Q9072">
        <v>2</v>
      </c>
      <c r="R9072" t="s">
        <v>47312</v>
      </c>
      <c r="S9072" t="s">
        <v>47489</v>
      </c>
      <c r="T9072" t="s">
        <v>49014</v>
      </c>
      <c r="U9072" t="s">
        <v>57023</v>
      </c>
      <c r="V9072" t="s">
        <v>63606</v>
      </c>
      <c r="W9072" t="s">
        <v>44430</v>
      </c>
      <c r="X9072" t="s">
        <v>47313</v>
      </c>
    </row>
    <row r="9073" spans="1:24">
      <c r="A9073">
        <f>HYPERLINK("https://www.philgeps.gov.ph/GEPSNONPILOT/Tender/SplashBidNoticeAbstractUI.aspx?menuIndex=3&amp;refID=7189969&amp;Result=3","7189969")</f>
        <v>0</v>
      </c>
      <c r="B9073" t="s">
        <v>2839</v>
      </c>
      <c r="C9073" t="s">
        <v>12404</v>
      </c>
      <c r="D9073" t="s">
        <v>18995</v>
      </c>
      <c r="E9073" t="s">
        <v>26843</v>
      </c>
      <c r="F9073" t="s">
        <v>32607</v>
      </c>
      <c r="G9073" t="s">
        <v>32613</v>
      </c>
      <c r="H9073" t="s">
        <v>14201</v>
      </c>
      <c r="I9073" t="s">
        <v>6298</v>
      </c>
      <c r="J9073" t="s">
        <v>32868</v>
      </c>
      <c r="K9073" t="s">
        <v>42663</v>
      </c>
      <c r="M9073" t="s">
        <v>46006</v>
      </c>
      <c r="N9073" t="s">
        <v>47304</v>
      </c>
      <c r="O9073" t="s">
        <v>47305</v>
      </c>
      <c r="P9073">
        <v>0</v>
      </c>
      <c r="Q9073">
        <v>2</v>
      </c>
      <c r="R9073" t="s">
        <v>47312</v>
      </c>
      <c r="S9073" t="s">
        <v>47489</v>
      </c>
      <c r="T9073" t="s">
        <v>49410</v>
      </c>
      <c r="U9073" t="s">
        <v>57024</v>
      </c>
      <c r="W9073" t="s">
        <v>46006</v>
      </c>
      <c r="X9073" t="s">
        <v>47313</v>
      </c>
    </row>
    <row r="9074" spans="1:24">
      <c r="A9074">
        <f>HYPERLINK("https://www.philgeps.gov.ph/GEPSNONPILOT/Tender/SplashBidNoticeAbstractUI.aspx?menuIndex=3&amp;refID=7189968&amp;Result=3","7189968")</f>
        <v>0</v>
      </c>
      <c r="B9074" t="s">
        <v>282</v>
      </c>
      <c r="C9074" t="s">
        <v>12405</v>
      </c>
      <c r="D9074" t="s">
        <v>19051</v>
      </c>
      <c r="E9074" t="s">
        <v>21423</v>
      </c>
      <c r="F9074" t="s">
        <v>32606</v>
      </c>
      <c r="G9074" t="s">
        <v>32613</v>
      </c>
      <c r="H9074" t="s">
        <v>14201</v>
      </c>
      <c r="I9074" t="s">
        <v>4112</v>
      </c>
      <c r="J9074" t="s">
        <v>38372</v>
      </c>
      <c r="K9074" t="s">
        <v>42631</v>
      </c>
      <c r="M9074" t="s">
        <v>43183</v>
      </c>
      <c r="N9074" t="s">
        <v>47304</v>
      </c>
      <c r="O9074" t="s">
        <v>47305</v>
      </c>
      <c r="P9074">
        <v>0</v>
      </c>
      <c r="Q9074">
        <v>0</v>
      </c>
      <c r="R9074" t="s">
        <v>47312</v>
      </c>
      <c r="S9074" t="s">
        <v>47489</v>
      </c>
      <c r="T9074" t="s">
        <v>49037</v>
      </c>
      <c r="U9074" t="s">
        <v>57025</v>
      </c>
      <c r="W9074" t="s">
        <v>43183</v>
      </c>
      <c r="X9074" t="s">
        <v>47313</v>
      </c>
    </row>
    <row r="9075" spans="1:24">
      <c r="A9075">
        <f>HYPERLINK("https://www.philgeps.gov.ph/GEPSNONPILOT/Tender/SplashBidNoticeAbstractUI.aspx?menuIndex=3&amp;refID=7189967&amp;Result=3","7189967")</f>
        <v>0</v>
      </c>
      <c r="B9075" t="s">
        <v>2831</v>
      </c>
      <c r="C9075" t="s">
        <v>12406</v>
      </c>
      <c r="D9075" t="s">
        <v>19013</v>
      </c>
      <c r="E9075" t="s">
        <v>26844</v>
      </c>
      <c r="F9075" t="s">
        <v>32606</v>
      </c>
      <c r="G9075" t="s">
        <v>32614</v>
      </c>
      <c r="H9075" t="s">
        <v>14201</v>
      </c>
      <c r="I9075" t="s">
        <v>32631</v>
      </c>
      <c r="J9075" t="s">
        <v>38373</v>
      </c>
      <c r="K9075" t="s">
        <v>42677</v>
      </c>
      <c r="M9075" t="s">
        <v>45996</v>
      </c>
      <c r="N9075" t="s">
        <v>47304</v>
      </c>
      <c r="O9075" t="s">
        <v>47305</v>
      </c>
      <c r="P9075">
        <v>0</v>
      </c>
      <c r="Q9075">
        <v>0</v>
      </c>
      <c r="R9075" t="s">
        <v>47312</v>
      </c>
      <c r="S9075" t="s">
        <v>47489</v>
      </c>
      <c r="T9075" t="s">
        <v>49053</v>
      </c>
      <c r="U9075" t="s">
        <v>57026</v>
      </c>
      <c r="W9075" t="s">
        <v>45996</v>
      </c>
      <c r="X9075" t="s">
        <v>47313</v>
      </c>
    </row>
    <row r="9076" spans="1:24">
      <c r="A9076">
        <f>HYPERLINK("https://www.philgeps.gov.ph/GEPSNONPILOT/Tender/SplashBidNoticeAbstractUI.aspx?menuIndex=3&amp;refID=7189943&amp;Result=3","7189943")</f>
        <v>0</v>
      </c>
      <c r="B9076" t="s">
        <v>1312</v>
      </c>
      <c r="C9076" t="s">
        <v>12407</v>
      </c>
      <c r="D9076" t="s">
        <v>19000</v>
      </c>
      <c r="E9076" t="s">
        <v>23556</v>
      </c>
      <c r="F9076" t="s">
        <v>32606</v>
      </c>
      <c r="G9076" t="s">
        <v>32613</v>
      </c>
      <c r="H9076" t="s">
        <v>32623</v>
      </c>
      <c r="I9076" t="s">
        <v>17648</v>
      </c>
      <c r="J9076" t="s">
        <v>38374</v>
      </c>
      <c r="K9076" t="s">
        <v>42636</v>
      </c>
      <c r="M9076" t="s">
        <v>44286</v>
      </c>
      <c r="N9076" t="s">
        <v>47304</v>
      </c>
      <c r="O9076" t="s">
        <v>47305</v>
      </c>
      <c r="P9076">
        <v>0</v>
      </c>
      <c r="Q9076">
        <v>3</v>
      </c>
      <c r="R9076" t="s">
        <v>47312</v>
      </c>
      <c r="S9076" t="s">
        <v>47489</v>
      </c>
      <c r="T9076" t="s">
        <v>48998</v>
      </c>
      <c r="U9076" t="s">
        <v>57027</v>
      </c>
      <c r="W9076" t="s">
        <v>44286</v>
      </c>
      <c r="X9076" t="s">
        <v>47313</v>
      </c>
    </row>
    <row r="9077" spans="1:24">
      <c r="A9077">
        <f>HYPERLINK("https://www.philgeps.gov.ph/GEPSNONPILOT/Tender/SplashBidNoticeAbstractUI.aspx?menuIndex=3&amp;refID=7189981&amp;Result=3","7189981")</f>
        <v>0</v>
      </c>
      <c r="B9077" t="s">
        <v>480</v>
      </c>
      <c r="C9077" t="s">
        <v>12408</v>
      </c>
      <c r="D9077" t="s">
        <v>19011</v>
      </c>
      <c r="E9077" t="s">
        <v>26845</v>
      </c>
      <c r="F9077" t="s">
        <v>32606</v>
      </c>
      <c r="G9077" t="s">
        <v>32613</v>
      </c>
      <c r="H9077" t="s">
        <v>14201</v>
      </c>
      <c r="I9077" t="s">
        <v>4114</v>
      </c>
      <c r="J9077" t="s">
        <v>38375</v>
      </c>
      <c r="K9077" t="s">
        <v>42631</v>
      </c>
      <c r="M9077" t="s">
        <v>43391</v>
      </c>
      <c r="N9077" t="s">
        <v>47304</v>
      </c>
      <c r="O9077" t="s">
        <v>47305</v>
      </c>
      <c r="P9077">
        <v>0</v>
      </c>
      <c r="Q9077">
        <v>7</v>
      </c>
      <c r="R9077" t="s">
        <v>47312</v>
      </c>
      <c r="S9077" t="s">
        <v>47489</v>
      </c>
      <c r="T9077" t="s">
        <v>49129</v>
      </c>
      <c r="U9077" t="s">
        <v>57028</v>
      </c>
      <c r="W9077" t="s">
        <v>43391</v>
      </c>
      <c r="X9077" t="s">
        <v>47313</v>
      </c>
    </row>
    <row r="9078" spans="1:24">
      <c r="A9078">
        <f>HYPERLINK("https://www.philgeps.gov.ph/GEPSNONPILOT/Tender/SplashBidNoticeAbstractUI.aspx?menuIndex=3&amp;refID=7190001&amp;Result=3","7190001")</f>
        <v>0</v>
      </c>
      <c r="B9078" t="s">
        <v>2463</v>
      </c>
      <c r="C9078" t="s">
        <v>12409</v>
      </c>
      <c r="D9078" t="s">
        <v>19053</v>
      </c>
      <c r="E9078" t="s">
        <v>19327</v>
      </c>
      <c r="F9078" t="s">
        <v>32606</v>
      </c>
      <c r="G9078" t="s">
        <v>32613</v>
      </c>
      <c r="H9078" t="s">
        <v>14201</v>
      </c>
      <c r="I9078" t="s">
        <v>32634</v>
      </c>
      <c r="J9078" t="s">
        <v>38376</v>
      </c>
      <c r="K9078" t="s">
        <v>42631</v>
      </c>
      <c r="M9078" t="s">
        <v>45595</v>
      </c>
      <c r="N9078" t="s">
        <v>47304</v>
      </c>
      <c r="O9078" t="s">
        <v>47305</v>
      </c>
      <c r="P9078">
        <v>0</v>
      </c>
      <c r="Q9078">
        <v>4</v>
      </c>
      <c r="R9078" t="s">
        <v>47312</v>
      </c>
      <c r="S9078" t="s">
        <v>47489</v>
      </c>
      <c r="T9078" t="s">
        <v>48992</v>
      </c>
      <c r="U9078" t="s">
        <v>57029</v>
      </c>
      <c r="W9078" t="s">
        <v>45595</v>
      </c>
      <c r="X9078" t="s">
        <v>47313</v>
      </c>
    </row>
    <row r="9079" spans="1:24">
      <c r="A9079">
        <f>HYPERLINK("https://www.philgeps.gov.ph/GEPSNONPILOT/Tender/SplashBidNoticeAbstractUI.aspx?menuIndex=3&amp;refID=7190000&amp;Result=3","7190000")</f>
        <v>0</v>
      </c>
      <c r="B9079" t="s">
        <v>2682</v>
      </c>
      <c r="C9079" t="s">
        <v>12410</v>
      </c>
      <c r="D9079" t="s">
        <v>19009</v>
      </c>
      <c r="E9079" t="s">
        <v>26846</v>
      </c>
      <c r="F9079" t="s">
        <v>32606</v>
      </c>
      <c r="G9079" t="s">
        <v>32613</v>
      </c>
      <c r="H9079" t="s">
        <v>32623</v>
      </c>
      <c r="I9079" t="s">
        <v>17648</v>
      </c>
      <c r="J9079" t="s">
        <v>38377</v>
      </c>
      <c r="K9079" t="s">
        <v>42645</v>
      </c>
      <c r="M9079" t="s">
        <v>45832</v>
      </c>
      <c r="N9079" t="s">
        <v>47304</v>
      </c>
      <c r="O9079" t="s">
        <v>47305</v>
      </c>
      <c r="P9079">
        <v>0</v>
      </c>
      <c r="Q9079">
        <v>1</v>
      </c>
      <c r="R9079" t="s">
        <v>47312</v>
      </c>
      <c r="S9079" t="s">
        <v>47489</v>
      </c>
      <c r="T9079" t="s">
        <v>49057</v>
      </c>
      <c r="U9079" t="s">
        <v>57030</v>
      </c>
      <c r="V9079" t="s">
        <v>63607</v>
      </c>
      <c r="W9079" t="s">
        <v>45832</v>
      </c>
      <c r="X9079" t="s">
        <v>47313</v>
      </c>
    </row>
    <row r="9080" spans="1:24">
      <c r="A9080">
        <f>HYPERLINK("https://www.philgeps.gov.ph/GEPSNONPILOT/Tender/SplashBidNoticeAbstractUI.aspx?menuIndex=3&amp;refID=7189997&amp;Result=3","7189997")</f>
        <v>0</v>
      </c>
      <c r="B9080" t="s">
        <v>1769</v>
      </c>
      <c r="C9080" t="s">
        <v>8470</v>
      </c>
      <c r="D9080" t="s">
        <v>19037</v>
      </c>
      <c r="E9080" t="s">
        <v>26847</v>
      </c>
      <c r="F9080" t="s">
        <v>32606</v>
      </c>
      <c r="G9080" t="s">
        <v>32613</v>
      </c>
      <c r="H9080" t="s">
        <v>32623</v>
      </c>
      <c r="I9080" t="s">
        <v>17648</v>
      </c>
      <c r="J9080" t="s">
        <v>38378</v>
      </c>
      <c r="K9080" t="s">
        <v>42645</v>
      </c>
      <c r="M9080" t="s">
        <v>44807</v>
      </c>
      <c r="N9080" t="s">
        <v>47304</v>
      </c>
      <c r="O9080" t="s">
        <v>47305</v>
      </c>
      <c r="P9080">
        <v>0</v>
      </c>
      <c r="Q9080">
        <v>1</v>
      </c>
      <c r="R9080" t="s">
        <v>47312</v>
      </c>
      <c r="S9080" t="s">
        <v>47489</v>
      </c>
      <c r="T9080" t="s">
        <v>49164</v>
      </c>
      <c r="U9080" t="s">
        <v>57031</v>
      </c>
      <c r="W9080" t="s">
        <v>44807</v>
      </c>
      <c r="X9080" t="s">
        <v>47313</v>
      </c>
    </row>
    <row r="9081" spans="1:24">
      <c r="A9081">
        <f>HYPERLINK("https://www.philgeps.gov.ph/GEPSNONPILOT/Tender/SplashBidNoticeAbstractUI.aspx?menuIndex=3&amp;refID=7189996&amp;Result=3","7189996")</f>
        <v>0</v>
      </c>
      <c r="B9081" t="s">
        <v>1093</v>
      </c>
      <c r="C9081" t="s">
        <v>12411</v>
      </c>
      <c r="D9081" t="s">
        <v>19037</v>
      </c>
      <c r="E9081" t="s">
        <v>26848</v>
      </c>
      <c r="F9081" t="s">
        <v>32606</v>
      </c>
      <c r="G9081" t="s">
        <v>32613</v>
      </c>
      <c r="H9081" t="s">
        <v>32623</v>
      </c>
      <c r="I9081" t="s">
        <v>17648</v>
      </c>
      <c r="J9081" t="s">
        <v>32830</v>
      </c>
      <c r="K9081" t="s">
        <v>42643</v>
      </c>
      <c r="M9081" t="s">
        <v>44049</v>
      </c>
      <c r="N9081" t="s">
        <v>47304</v>
      </c>
      <c r="O9081" t="s">
        <v>47305</v>
      </c>
      <c r="P9081">
        <v>0</v>
      </c>
      <c r="Q9081">
        <v>1</v>
      </c>
      <c r="R9081" t="s">
        <v>47312</v>
      </c>
      <c r="S9081" t="s">
        <v>47489</v>
      </c>
      <c r="T9081" t="s">
        <v>49072</v>
      </c>
      <c r="U9081" t="s">
        <v>57032</v>
      </c>
      <c r="W9081" t="s">
        <v>44049</v>
      </c>
      <c r="X9081" t="s">
        <v>47313</v>
      </c>
    </row>
    <row r="9082" spans="1:24">
      <c r="A9082">
        <f>HYPERLINK("https://www.philgeps.gov.ph/GEPSNONPILOT/Tender/SplashBidNoticeAbstractUI.aspx?menuIndex=3&amp;refID=7190002&amp;Result=3","7190002")</f>
        <v>0</v>
      </c>
      <c r="B9082" t="s">
        <v>1093</v>
      </c>
      <c r="C9082" t="s">
        <v>12412</v>
      </c>
      <c r="D9082" t="s">
        <v>19037</v>
      </c>
      <c r="E9082" t="s">
        <v>26849</v>
      </c>
      <c r="F9082" t="s">
        <v>32606</v>
      </c>
      <c r="G9082" t="s">
        <v>32613</v>
      </c>
      <c r="H9082" t="s">
        <v>32623</v>
      </c>
      <c r="I9082" t="s">
        <v>17648</v>
      </c>
      <c r="J9082" t="s">
        <v>38379</v>
      </c>
      <c r="K9082" t="s">
        <v>42643</v>
      </c>
      <c r="M9082" t="s">
        <v>44049</v>
      </c>
      <c r="N9082" t="s">
        <v>47304</v>
      </c>
      <c r="O9082" t="s">
        <v>47305</v>
      </c>
      <c r="P9082">
        <v>0</v>
      </c>
      <c r="Q9082">
        <v>1</v>
      </c>
      <c r="R9082" t="s">
        <v>47312</v>
      </c>
      <c r="S9082" t="s">
        <v>47489</v>
      </c>
      <c r="T9082" t="s">
        <v>49072</v>
      </c>
      <c r="U9082" t="s">
        <v>57033</v>
      </c>
      <c r="W9082" t="s">
        <v>44049</v>
      </c>
      <c r="X9082" t="s">
        <v>47313</v>
      </c>
    </row>
    <row r="9083" spans="1:24">
      <c r="A9083">
        <f>HYPERLINK("https://www.philgeps.gov.ph/GEPSNONPILOT/Tender/SplashBidNoticeAbstractUI.aspx?menuIndex=3&amp;refID=7189998&amp;Result=3","7189998")</f>
        <v>0</v>
      </c>
      <c r="B9083" t="s">
        <v>2840</v>
      </c>
      <c r="C9083" t="s">
        <v>12413</v>
      </c>
      <c r="D9083" t="s">
        <v>19019</v>
      </c>
      <c r="E9083" t="s">
        <v>26850</v>
      </c>
      <c r="F9083" t="s">
        <v>32606</v>
      </c>
      <c r="G9083" t="s">
        <v>32613</v>
      </c>
      <c r="H9083" t="s">
        <v>14201</v>
      </c>
      <c r="I9083" t="s">
        <v>17648</v>
      </c>
      <c r="J9083" t="s">
        <v>38380</v>
      </c>
      <c r="K9083" t="s">
        <v>42646</v>
      </c>
      <c r="M9083" t="s">
        <v>46007</v>
      </c>
      <c r="N9083" t="s">
        <v>47304</v>
      </c>
      <c r="O9083" t="s">
        <v>47305</v>
      </c>
      <c r="P9083">
        <v>0</v>
      </c>
      <c r="Q9083">
        <v>0</v>
      </c>
      <c r="R9083" t="s">
        <v>47312</v>
      </c>
      <c r="S9083" t="s">
        <v>47489</v>
      </c>
      <c r="T9083" t="s">
        <v>49075</v>
      </c>
      <c r="U9083" t="s">
        <v>57034</v>
      </c>
      <c r="W9083" t="s">
        <v>46007</v>
      </c>
      <c r="X9083" t="s">
        <v>47313</v>
      </c>
    </row>
    <row r="9084" spans="1:24">
      <c r="A9084">
        <f>HYPERLINK("https://www.philgeps.gov.ph/GEPSNONPILOT/Tender/SplashBidNoticeAbstractUI.aspx?menuIndex=3&amp;refID=7190013&amp;Result=3","7190013")</f>
        <v>0</v>
      </c>
      <c r="B9084" t="s">
        <v>2841</v>
      </c>
      <c r="C9084" t="s">
        <v>12414</v>
      </c>
      <c r="D9084" t="s">
        <v>19054</v>
      </c>
      <c r="E9084" t="s">
        <v>26851</v>
      </c>
      <c r="F9084" t="s">
        <v>32606</v>
      </c>
      <c r="G9084" t="s">
        <v>32613</v>
      </c>
      <c r="H9084" t="s">
        <v>32623</v>
      </c>
      <c r="I9084" t="s">
        <v>17648</v>
      </c>
      <c r="J9084" t="s">
        <v>32936</v>
      </c>
      <c r="K9084" t="s">
        <v>42639</v>
      </c>
      <c r="M9084" t="s">
        <v>46008</v>
      </c>
      <c r="N9084" t="s">
        <v>47304</v>
      </c>
      <c r="O9084" t="s">
        <v>47305</v>
      </c>
      <c r="P9084">
        <v>0</v>
      </c>
      <c r="Q9084">
        <v>0</v>
      </c>
      <c r="R9084" t="s">
        <v>47312</v>
      </c>
      <c r="S9084" t="s">
        <v>47489</v>
      </c>
      <c r="T9084" t="s">
        <v>49119</v>
      </c>
      <c r="U9084" t="s">
        <v>57035</v>
      </c>
      <c r="W9084" t="s">
        <v>46008</v>
      </c>
      <c r="X9084" t="s">
        <v>47313</v>
      </c>
    </row>
    <row r="9085" spans="1:24">
      <c r="A9085">
        <f>HYPERLINK("https://www.philgeps.gov.ph/GEPSNONPILOT/Tender/SplashBidNoticeAbstractUI.aspx?menuIndex=3&amp;refID=7189985&amp;Result=3","7189985")</f>
        <v>0</v>
      </c>
      <c r="B9085" t="s">
        <v>2842</v>
      </c>
      <c r="C9085" t="s">
        <v>12415</v>
      </c>
      <c r="D9085" t="s">
        <v>19003</v>
      </c>
      <c r="E9085" t="s">
        <v>26852</v>
      </c>
      <c r="F9085" t="s">
        <v>32606</v>
      </c>
      <c r="G9085" t="s">
        <v>32613</v>
      </c>
      <c r="H9085" t="s">
        <v>14201</v>
      </c>
      <c r="I9085" t="s">
        <v>32690</v>
      </c>
      <c r="J9085" t="s">
        <v>32772</v>
      </c>
      <c r="K9085" t="s">
        <v>42631</v>
      </c>
      <c r="M9085" t="s">
        <v>46009</v>
      </c>
      <c r="N9085" t="s">
        <v>47304</v>
      </c>
      <c r="O9085" t="s">
        <v>47305</v>
      </c>
      <c r="P9085">
        <v>0</v>
      </c>
      <c r="Q9085">
        <v>2</v>
      </c>
      <c r="R9085" t="s">
        <v>47312</v>
      </c>
      <c r="S9085" t="s">
        <v>47489</v>
      </c>
      <c r="T9085" t="s">
        <v>49101</v>
      </c>
      <c r="U9085" t="s">
        <v>57036</v>
      </c>
      <c r="V9085" t="s">
        <v>63608</v>
      </c>
      <c r="W9085" t="s">
        <v>46009</v>
      </c>
      <c r="X9085" t="s">
        <v>47313</v>
      </c>
    </row>
    <row r="9086" spans="1:24">
      <c r="A9086">
        <f>HYPERLINK("https://www.philgeps.gov.ph/GEPSNONPILOT/Tender/SplashBidNoticeAbstractUI.aspx?menuIndex=3&amp;refID=7190009&amp;Result=3","7190009")</f>
        <v>0</v>
      </c>
      <c r="B9086" t="s">
        <v>2843</v>
      </c>
      <c r="C9086" t="s">
        <v>12416</v>
      </c>
      <c r="D9086" t="s">
        <v>18993</v>
      </c>
      <c r="E9086" t="s">
        <v>20122</v>
      </c>
      <c r="F9086" t="s">
        <v>32606</v>
      </c>
      <c r="G9086" t="s">
        <v>32613</v>
      </c>
      <c r="H9086" t="s">
        <v>14201</v>
      </c>
      <c r="I9086" t="s">
        <v>6298</v>
      </c>
      <c r="J9086" t="s">
        <v>32770</v>
      </c>
      <c r="K9086" t="s">
        <v>42632</v>
      </c>
      <c r="M9086" t="s">
        <v>46010</v>
      </c>
      <c r="N9086" t="s">
        <v>47304</v>
      </c>
      <c r="O9086" t="s">
        <v>47305</v>
      </c>
      <c r="P9086">
        <v>0</v>
      </c>
      <c r="Q9086">
        <v>5</v>
      </c>
      <c r="R9086" t="s">
        <v>47312</v>
      </c>
      <c r="S9086" t="s">
        <v>47489</v>
      </c>
      <c r="T9086" t="s">
        <v>49257</v>
      </c>
      <c r="U9086" t="s">
        <v>57037</v>
      </c>
      <c r="W9086" t="s">
        <v>46010</v>
      </c>
      <c r="X9086" t="s">
        <v>47313</v>
      </c>
    </row>
    <row r="9087" spans="1:24">
      <c r="A9087">
        <f>HYPERLINK("https://www.philgeps.gov.ph/GEPSNONPILOT/Tender/SplashBidNoticeAbstractUI.aspx?menuIndex=3&amp;refID=7190008&amp;Result=3","7190008")</f>
        <v>0</v>
      </c>
      <c r="B9087" t="s">
        <v>2832</v>
      </c>
      <c r="C9087" t="s">
        <v>12417</v>
      </c>
      <c r="D9087" t="s">
        <v>19011</v>
      </c>
      <c r="E9087" t="s">
        <v>26853</v>
      </c>
      <c r="F9087" t="s">
        <v>32606</v>
      </c>
      <c r="G9087" t="s">
        <v>32613</v>
      </c>
      <c r="H9087" t="s">
        <v>14201</v>
      </c>
      <c r="I9087" t="s">
        <v>6478</v>
      </c>
      <c r="J9087" t="s">
        <v>38381</v>
      </c>
      <c r="K9087" t="s">
        <v>42677</v>
      </c>
      <c r="M9087" t="s">
        <v>45997</v>
      </c>
      <c r="N9087" t="s">
        <v>47304</v>
      </c>
      <c r="O9087" t="s">
        <v>47305</v>
      </c>
      <c r="P9087">
        <v>0</v>
      </c>
      <c r="Q9087">
        <v>4</v>
      </c>
      <c r="R9087" t="s">
        <v>47312</v>
      </c>
      <c r="S9087" t="s">
        <v>47489</v>
      </c>
      <c r="T9087" t="s">
        <v>49057</v>
      </c>
      <c r="U9087" t="s">
        <v>57038</v>
      </c>
      <c r="W9087" t="s">
        <v>45997</v>
      </c>
      <c r="X9087" t="s">
        <v>47313</v>
      </c>
    </row>
    <row r="9088" spans="1:24">
      <c r="A9088">
        <f>HYPERLINK("https://www.philgeps.gov.ph/GEPSNONPILOT/Tender/SplashBidNoticeAbstractUI.aspx?menuIndex=3&amp;refID=7190005&amp;Result=3","7190005")</f>
        <v>0</v>
      </c>
      <c r="B9088" t="s">
        <v>1769</v>
      </c>
      <c r="C9088" t="s">
        <v>12418</v>
      </c>
      <c r="D9088" t="s">
        <v>19037</v>
      </c>
      <c r="E9088" t="s">
        <v>26854</v>
      </c>
      <c r="F9088" t="s">
        <v>32606</v>
      </c>
      <c r="G9088" t="s">
        <v>32613</v>
      </c>
      <c r="H9088" t="s">
        <v>32623</v>
      </c>
      <c r="I9088" t="s">
        <v>17648</v>
      </c>
      <c r="J9088" t="s">
        <v>38382</v>
      </c>
      <c r="K9088" t="s">
        <v>42645</v>
      </c>
      <c r="M9088" t="s">
        <v>44807</v>
      </c>
      <c r="N9088" t="s">
        <v>47304</v>
      </c>
      <c r="O9088" t="s">
        <v>47305</v>
      </c>
      <c r="P9088">
        <v>0</v>
      </c>
      <c r="Q9088">
        <v>2</v>
      </c>
      <c r="R9088" t="s">
        <v>47312</v>
      </c>
      <c r="S9088" t="s">
        <v>47489</v>
      </c>
      <c r="T9088" t="s">
        <v>49164</v>
      </c>
      <c r="U9088" t="s">
        <v>57039</v>
      </c>
      <c r="W9088" t="s">
        <v>44807</v>
      </c>
      <c r="X9088" t="s">
        <v>47313</v>
      </c>
    </row>
    <row r="9089" spans="1:24">
      <c r="A9089">
        <f>HYPERLINK("https://www.philgeps.gov.ph/GEPSNONPILOT/Tender/SplashBidNoticeAbstractUI.aspx?menuIndex=3&amp;refID=7190004&amp;Result=3","7190004")</f>
        <v>0</v>
      </c>
      <c r="B9089" t="s">
        <v>2832</v>
      </c>
      <c r="C9089" t="s">
        <v>12419</v>
      </c>
      <c r="D9089" t="s">
        <v>19011</v>
      </c>
      <c r="E9089" t="s">
        <v>26855</v>
      </c>
      <c r="F9089" t="s">
        <v>32606</v>
      </c>
      <c r="G9089" t="s">
        <v>32613</v>
      </c>
      <c r="H9089" t="s">
        <v>14201</v>
      </c>
      <c r="I9089" t="s">
        <v>6478</v>
      </c>
      <c r="J9089" t="s">
        <v>38383</v>
      </c>
      <c r="K9089" t="s">
        <v>42677</v>
      </c>
      <c r="M9089" t="s">
        <v>45997</v>
      </c>
      <c r="N9089" t="s">
        <v>47304</v>
      </c>
      <c r="O9089" t="s">
        <v>47305</v>
      </c>
      <c r="P9089">
        <v>0</v>
      </c>
      <c r="Q9089">
        <v>7</v>
      </c>
      <c r="R9089" t="s">
        <v>47312</v>
      </c>
      <c r="S9089" t="s">
        <v>47489</v>
      </c>
      <c r="T9089" t="s">
        <v>48970</v>
      </c>
      <c r="U9089" t="s">
        <v>57040</v>
      </c>
      <c r="W9089" t="s">
        <v>45997</v>
      </c>
      <c r="X9089" t="s">
        <v>47313</v>
      </c>
    </row>
    <row r="9090" spans="1:24">
      <c r="A9090">
        <f>HYPERLINK("https://www.philgeps.gov.ph/GEPSNONPILOT/Tender/SplashBidNoticeAbstractUI.aspx?menuIndex=3&amp;refID=7190012&amp;Result=3","7190012")</f>
        <v>0</v>
      </c>
      <c r="B9090" t="s">
        <v>2841</v>
      </c>
      <c r="C9090" t="s">
        <v>12420</v>
      </c>
      <c r="D9090" t="s">
        <v>19054</v>
      </c>
      <c r="E9090" t="s">
        <v>26856</v>
      </c>
      <c r="F9090" t="s">
        <v>32606</v>
      </c>
      <c r="G9090" t="s">
        <v>32613</v>
      </c>
      <c r="H9090" t="s">
        <v>32623</v>
      </c>
      <c r="I9090" t="s">
        <v>17648</v>
      </c>
      <c r="J9090" t="s">
        <v>33735</v>
      </c>
      <c r="K9090" t="s">
        <v>42636</v>
      </c>
      <c r="M9090" t="s">
        <v>46008</v>
      </c>
      <c r="N9090" t="s">
        <v>47304</v>
      </c>
      <c r="O9090" t="s">
        <v>47305</v>
      </c>
      <c r="P9090">
        <v>0</v>
      </c>
      <c r="Q9090">
        <v>1</v>
      </c>
      <c r="R9090" t="s">
        <v>47312</v>
      </c>
      <c r="S9090" t="s">
        <v>47489</v>
      </c>
      <c r="T9090" t="s">
        <v>49119</v>
      </c>
      <c r="U9090" t="s">
        <v>57041</v>
      </c>
      <c r="W9090" t="s">
        <v>46008</v>
      </c>
      <c r="X9090" t="s">
        <v>47313</v>
      </c>
    </row>
    <row r="9091" spans="1:24">
      <c r="A9091">
        <f>HYPERLINK("https://www.philgeps.gov.ph/GEPSNONPILOT/Tender/SplashBidNoticeAbstractUI.aspx?menuIndex=3&amp;refID=7189995&amp;Result=3","7189995")</f>
        <v>0</v>
      </c>
      <c r="B9091" t="s">
        <v>2832</v>
      </c>
      <c r="C9091" t="s">
        <v>12421</v>
      </c>
      <c r="D9091" t="s">
        <v>19011</v>
      </c>
      <c r="E9091" t="s">
        <v>26857</v>
      </c>
      <c r="F9091" t="s">
        <v>32606</v>
      </c>
      <c r="G9091" t="s">
        <v>32613</v>
      </c>
      <c r="H9091" t="s">
        <v>14201</v>
      </c>
      <c r="I9091" t="s">
        <v>6478</v>
      </c>
      <c r="J9091" t="s">
        <v>38384</v>
      </c>
      <c r="K9091" t="s">
        <v>42677</v>
      </c>
      <c r="M9091" t="s">
        <v>45997</v>
      </c>
      <c r="N9091" t="s">
        <v>47304</v>
      </c>
      <c r="O9091" t="s">
        <v>47305</v>
      </c>
      <c r="P9091">
        <v>0</v>
      </c>
      <c r="Q9091">
        <v>6</v>
      </c>
      <c r="R9091" t="s">
        <v>47312</v>
      </c>
      <c r="S9091" t="s">
        <v>47489</v>
      </c>
      <c r="T9091" t="s">
        <v>49037</v>
      </c>
      <c r="U9091" t="s">
        <v>57042</v>
      </c>
      <c r="W9091" t="s">
        <v>45997</v>
      </c>
      <c r="X9091" t="s">
        <v>47313</v>
      </c>
    </row>
    <row r="9092" spans="1:24">
      <c r="A9092">
        <f>HYPERLINK("https://www.philgeps.gov.ph/GEPSNONPILOT/Tender/SplashBidNoticeAbstractUI.aspx?menuIndex=3&amp;refID=7189993&amp;Result=3","7189993")</f>
        <v>0</v>
      </c>
      <c r="B9092" t="s">
        <v>2844</v>
      </c>
      <c r="C9092" t="s">
        <v>12422</v>
      </c>
      <c r="D9092" t="s">
        <v>19022</v>
      </c>
      <c r="E9092" t="s">
        <v>26858</v>
      </c>
      <c r="F9092" t="s">
        <v>32606</v>
      </c>
      <c r="G9092" t="s">
        <v>32613</v>
      </c>
      <c r="H9092" t="s">
        <v>32623</v>
      </c>
      <c r="I9092" t="s">
        <v>17648</v>
      </c>
      <c r="J9092" t="s">
        <v>33039</v>
      </c>
      <c r="K9092" t="s">
        <v>42683</v>
      </c>
      <c r="M9092" t="s">
        <v>46011</v>
      </c>
      <c r="N9092" t="s">
        <v>47304</v>
      </c>
      <c r="O9092" t="s">
        <v>47305</v>
      </c>
      <c r="P9092">
        <v>0</v>
      </c>
      <c r="Q9092">
        <v>0</v>
      </c>
      <c r="R9092" t="s">
        <v>47312</v>
      </c>
      <c r="S9092" t="s">
        <v>47489</v>
      </c>
      <c r="T9092" t="s">
        <v>49087</v>
      </c>
      <c r="U9092" t="s">
        <v>57043</v>
      </c>
      <c r="W9092" t="s">
        <v>46011</v>
      </c>
      <c r="X9092" t="s">
        <v>47313</v>
      </c>
    </row>
    <row r="9093" spans="1:24">
      <c r="A9093">
        <f>HYPERLINK("https://www.philgeps.gov.ph/GEPSNONPILOT/Tender/SplashBidNoticeAbstractUI.aspx?menuIndex=3&amp;refID=7189992&amp;Result=3","7189992")</f>
        <v>0</v>
      </c>
      <c r="B9093" t="s">
        <v>2845</v>
      </c>
      <c r="C9093" t="s">
        <v>12423</v>
      </c>
      <c r="D9093" t="s">
        <v>18993</v>
      </c>
      <c r="E9093" t="s">
        <v>26859</v>
      </c>
      <c r="F9093" t="s">
        <v>32606</v>
      </c>
      <c r="G9093" t="s">
        <v>32613</v>
      </c>
      <c r="H9093" t="s">
        <v>14201</v>
      </c>
      <c r="I9093" t="s">
        <v>32640</v>
      </c>
      <c r="J9093" t="s">
        <v>38385</v>
      </c>
      <c r="K9093" t="s">
        <v>42632</v>
      </c>
      <c r="M9093" t="s">
        <v>46012</v>
      </c>
      <c r="N9093" t="s">
        <v>47304</v>
      </c>
      <c r="O9093" t="s">
        <v>47305</v>
      </c>
      <c r="P9093">
        <v>0</v>
      </c>
      <c r="Q9093">
        <v>8</v>
      </c>
      <c r="R9093" t="s">
        <v>47312</v>
      </c>
      <c r="S9093" t="s">
        <v>47489</v>
      </c>
      <c r="T9093" t="s">
        <v>48998</v>
      </c>
      <c r="U9093" t="s">
        <v>57044</v>
      </c>
      <c r="V9093" t="s">
        <v>63609</v>
      </c>
      <c r="W9093" t="s">
        <v>46012</v>
      </c>
      <c r="X9093" t="s">
        <v>47313</v>
      </c>
    </row>
    <row r="9094" spans="1:24">
      <c r="A9094">
        <f>HYPERLINK("https://www.philgeps.gov.ph/GEPSNONPILOT/Tender/SplashBidNoticeAbstractUI.aspx?menuIndex=3&amp;refID=7189990&amp;Result=3","7189990")</f>
        <v>0</v>
      </c>
      <c r="B9094" t="s">
        <v>1769</v>
      </c>
      <c r="C9094" t="s">
        <v>12424</v>
      </c>
      <c r="D9094" t="s">
        <v>19037</v>
      </c>
      <c r="E9094" t="s">
        <v>26860</v>
      </c>
      <c r="F9094" t="s">
        <v>32606</v>
      </c>
      <c r="G9094" t="s">
        <v>32613</v>
      </c>
      <c r="H9094" t="s">
        <v>14201</v>
      </c>
      <c r="I9094" t="s">
        <v>32633</v>
      </c>
      <c r="J9094" t="s">
        <v>38386</v>
      </c>
      <c r="K9094" t="s">
        <v>42623</v>
      </c>
      <c r="M9094" t="s">
        <v>44807</v>
      </c>
      <c r="N9094" t="s">
        <v>47304</v>
      </c>
      <c r="O9094" t="s">
        <v>47305</v>
      </c>
      <c r="P9094">
        <v>0</v>
      </c>
      <c r="Q9094">
        <v>11</v>
      </c>
      <c r="R9094" t="s">
        <v>47312</v>
      </c>
      <c r="S9094" t="s">
        <v>47489</v>
      </c>
      <c r="T9094" t="s">
        <v>49164</v>
      </c>
      <c r="U9094" t="s">
        <v>57045</v>
      </c>
      <c r="W9094" t="s">
        <v>44807</v>
      </c>
      <c r="X9094" t="s">
        <v>47313</v>
      </c>
    </row>
    <row r="9095" spans="1:24">
      <c r="A9095">
        <f>HYPERLINK("https://www.philgeps.gov.ph/GEPSNONPILOT/Tender/SplashBidNoticeAbstractUI.aspx?menuIndex=3&amp;refID=7189959&amp;Result=3","7189959")</f>
        <v>0</v>
      </c>
      <c r="B9095" t="s">
        <v>2831</v>
      </c>
      <c r="C9095" t="s">
        <v>12425</v>
      </c>
      <c r="D9095" t="s">
        <v>19013</v>
      </c>
      <c r="E9095" t="s">
        <v>26861</v>
      </c>
      <c r="F9095" t="s">
        <v>32606</v>
      </c>
      <c r="G9095" t="s">
        <v>32614</v>
      </c>
      <c r="H9095" t="s">
        <v>14201</v>
      </c>
      <c r="I9095" t="s">
        <v>32626</v>
      </c>
      <c r="J9095" t="s">
        <v>38387</v>
      </c>
      <c r="K9095" t="s">
        <v>42677</v>
      </c>
      <c r="M9095" t="s">
        <v>45996</v>
      </c>
      <c r="N9095" t="s">
        <v>47304</v>
      </c>
      <c r="O9095" t="s">
        <v>47305</v>
      </c>
      <c r="P9095">
        <v>0</v>
      </c>
      <c r="Q9095">
        <v>0</v>
      </c>
      <c r="R9095" t="s">
        <v>47312</v>
      </c>
      <c r="S9095" t="s">
        <v>47489</v>
      </c>
      <c r="T9095" t="s">
        <v>49053</v>
      </c>
      <c r="U9095" t="s">
        <v>57046</v>
      </c>
      <c r="W9095" t="s">
        <v>45996</v>
      </c>
      <c r="X9095" t="s">
        <v>47313</v>
      </c>
    </row>
    <row r="9096" spans="1:24">
      <c r="A9096">
        <f>HYPERLINK("https://www.philgeps.gov.ph/GEPSNONPILOT/Tender/SplashBidNoticeAbstractUI.aspx?menuIndex=3&amp;refID=7189987&amp;Result=3","7189987")</f>
        <v>0</v>
      </c>
      <c r="B9096" t="s">
        <v>1441</v>
      </c>
      <c r="C9096" t="s">
        <v>12426</v>
      </c>
      <c r="D9096" t="s">
        <v>18999</v>
      </c>
      <c r="E9096" t="s">
        <v>19372</v>
      </c>
      <c r="F9096" t="s">
        <v>32606</v>
      </c>
      <c r="G9096" t="s">
        <v>32614</v>
      </c>
      <c r="H9096" t="s">
        <v>14201</v>
      </c>
      <c r="I9096" t="s">
        <v>4678</v>
      </c>
      <c r="J9096" t="s">
        <v>32813</v>
      </c>
      <c r="K9096" t="s">
        <v>42631</v>
      </c>
      <c r="M9096" t="s">
        <v>44430</v>
      </c>
      <c r="N9096" t="s">
        <v>47304</v>
      </c>
      <c r="O9096" t="s">
        <v>47305</v>
      </c>
      <c r="P9096">
        <v>0</v>
      </c>
      <c r="Q9096">
        <v>6</v>
      </c>
      <c r="R9096" t="s">
        <v>47312</v>
      </c>
      <c r="S9096" t="s">
        <v>47489</v>
      </c>
      <c r="T9096" t="s">
        <v>49014</v>
      </c>
      <c r="U9096" t="s">
        <v>57047</v>
      </c>
      <c r="V9096" t="s">
        <v>63610</v>
      </c>
      <c r="W9096" t="s">
        <v>44430</v>
      </c>
      <c r="X9096" t="s">
        <v>47313</v>
      </c>
    </row>
    <row r="9097" spans="1:24">
      <c r="A9097">
        <f>HYPERLINK("https://www.philgeps.gov.ph/GEPSNONPILOT/Tender/SplashBidNoticeAbstractUI.aspx?menuIndex=3&amp;refID=7189988&amp;Result=3","7189988")</f>
        <v>0</v>
      </c>
      <c r="B9097" t="s">
        <v>1168</v>
      </c>
      <c r="C9097" t="s">
        <v>12427</v>
      </c>
      <c r="E9097" t="s">
        <v>26862</v>
      </c>
      <c r="F9097" t="s">
        <v>32606</v>
      </c>
      <c r="G9097" t="s">
        <v>32613</v>
      </c>
      <c r="H9097" t="s">
        <v>32623</v>
      </c>
      <c r="I9097" t="s">
        <v>17648</v>
      </c>
      <c r="J9097" t="s">
        <v>35071</v>
      </c>
      <c r="K9097" t="s">
        <v>42753</v>
      </c>
      <c r="L9097" t="s">
        <v>1168</v>
      </c>
      <c r="M9097" t="s">
        <v>44131</v>
      </c>
      <c r="N9097" t="s">
        <v>47304</v>
      </c>
      <c r="O9097" t="s">
        <v>47305</v>
      </c>
      <c r="P9097">
        <v>0</v>
      </c>
      <c r="Q9097">
        <v>0</v>
      </c>
      <c r="R9097" t="s">
        <v>47312</v>
      </c>
      <c r="S9097" t="s">
        <v>47489</v>
      </c>
      <c r="T9097" t="s">
        <v>49037</v>
      </c>
      <c r="U9097" t="s">
        <v>57048</v>
      </c>
      <c r="W9097" t="s">
        <v>44131</v>
      </c>
      <c r="X9097" t="s">
        <v>47313</v>
      </c>
    </row>
    <row r="9098" spans="1:24">
      <c r="A9098">
        <f>HYPERLINK("https://www.philgeps.gov.ph/GEPSNONPILOT/Tender/SplashBidNoticeAbstractUI.aspx?menuIndex=3&amp;refID=7190014&amp;Result=3","7190014")</f>
        <v>0</v>
      </c>
      <c r="B9098" t="s">
        <v>2843</v>
      </c>
      <c r="C9098" t="s">
        <v>12428</v>
      </c>
      <c r="D9098" t="s">
        <v>18993</v>
      </c>
      <c r="E9098" t="s">
        <v>24209</v>
      </c>
      <c r="F9098" t="s">
        <v>32606</v>
      </c>
      <c r="G9098" t="s">
        <v>32613</v>
      </c>
      <c r="H9098" t="s">
        <v>14201</v>
      </c>
      <c r="I9098" t="s">
        <v>4120</v>
      </c>
      <c r="J9098" t="s">
        <v>32770</v>
      </c>
      <c r="K9098" t="s">
        <v>42632</v>
      </c>
      <c r="M9098" t="s">
        <v>46010</v>
      </c>
      <c r="N9098" t="s">
        <v>47304</v>
      </c>
      <c r="O9098" t="s">
        <v>47305</v>
      </c>
      <c r="P9098">
        <v>0</v>
      </c>
      <c r="Q9098">
        <v>6</v>
      </c>
      <c r="R9098" t="s">
        <v>47312</v>
      </c>
      <c r="S9098" t="s">
        <v>47489</v>
      </c>
      <c r="T9098" t="s">
        <v>49257</v>
      </c>
      <c r="U9098" t="s">
        <v>57049</v>
      </c>
      <c r="W9098" t="s">
        <v>46010</v>
      </c>
      <c r="X9098" t="s">
        <v>47313</v>
      </c>
    </row>
    <row r="9099" spans="1:24">
      <c r="A9099">
        <f>HYPERLINK("https://www.philgeps.gov.ph/GEPSNONPILOT/Tender/SplashBidNoticeAbstractUI.aspx?menuIndex=3&amp;refID=7190015&amp;Result=3","7190015")</f>
        <v>0</v>
      </c>
      <c r="B9099" t="s">
        <v>2841</v>
      </c>
      <c r="C9099" t="s">
        <v>12429</v>
      </c>
      <c r="D9099" t="s">
        <v>19054</v>
      </c>
      <c r="E9099" t="s">
        <v>26863</v>
      </c>
      <c r="F9099" t="s">
        <v>32606</v>
      </c>
      <c r="G9099" t="s">
        <v>32613</v>
      </c>
      <c r="H9099" t="s">
        <v>32623</v>
      </c>
      <c r="I9099" t="s">
        <v>17648</v>
      </c>
      <c r="J9099" t="s">
        <v>38388</v>
      </c>
      <c r="K9099" t="s">
        <v>42648</v>
      </c>
      <c r="M9099" t="s">
        <v>46008</v>
      </c>
      <c r="N9099" t="s">
        <v>47304</v>
      </c>
      <c r="O9099" t="s">
        <v>47305</v>
      </c>
      <c r="P9099">
        <v>0</v>
      </c>
      <c r="Q9099">
        <v>0</v>
      </c>
      <c r="R9099" t="s">
        <v>47312</v>
      </c>
      <c r="S9099" t="s">
        <v>47489</v>
      </c>
      <c r="T9099" t="s">
        <v>49119</v>
      </c>
      <c r="U9099" t="s">
        <v>57050</v>
      </c>
      <c r="W9099" t="s">
        <v>46008</v>
      </c>
      <c r="X9099" t="s">
        <v>47313</v>
      </c>
    </row>
    <row r="9100" spans="1:24">
      <c r="A9100">
        <f>HYPERLINK("https://www.philgeps.gov.ph/GEPSNONPILOT/Tender/SplashBidNoticeAbstractUI.aspx?menuIndex=3&amp;refID=7190024&amp;Result=3","7190024")</f>
        <v>0</v>
      </c>
      <c r="B9100" t="s">
        <v>2846</v>
      </c>
      <c r="C9100" t="s">
        <v>12430</v>
      </c>
      <c r="D9100" t="s">
        <v>19033</v>
      </c>
      <c r="E9100" t="s">
        <v>19392</v>
      </c>
      <c r="F9100" t="s">
        <v>32606</v>
      </c>
      <c r="G9100" t="s">
        <v>32613</v>
      </c>
      <c r="H9100" t="s">
        <v>14201</v>
      </c>
      <c r="I9100" t="s">
        <v>7577</v>
      </c>
      <c r="J9100" t="s">
        <v>38389</v>
      </c>
      <c r="K9100" t="s">
        <v>42627</v>
      </c>
      <c r="M9100" t="s">
        <v>46013</v>
      </c>
      <c r="N9100" t="s">
        <v>47304</v>
      </c>
      <c r="O9100" t="s">
        <v>47305</v>
      </c>
      <c r="P9100">
        <v>0</v>
      </c>
      <c r="Q9100">
        <v>2</v>
      </c>
      <c r="R9100" t="s">
        <v>47312</v>
      </c>
      <c r="S9100" t="s">
        <v>47489</v>
      </c>
      <c r="T9100" t="s">
        <v>49257</v>
      </c>
      <c r="U9100" t="s">
        <v>57051</v>
      </c>
      <c r="V9100" t="s">
        <v>63611</v>
      </c>
      <c r="W9100" t="s">
        <v>46013</v>
      </c>
      <c r="X9100" t="s">
        <v>47313</v>
      </c>
    </row>
    <row r="9101" spans="1:24">
      <c r="A9101">
        <f>HYPERLINK("https://www.philgeps.gov.ph/GEPSNONPILOT/Tender/SplashBidNoticeAbstractUI.aspx?menuIndex=3&amp;refID=7190021&amp;Result=3","7190021")</f>
        <v>0</v>
      </c>
      <c r="B9101" t="s">
        <v>2841</v>
      </c>
      <c r="C9101" t="s">
        <v>12431</v>
      </c>
      <c r="D9101" t="s">
        <v>19054</v>
      </c>
      <c r="E9101" t="s">
        <v>26864</v>
      </c>
      <c r="F9101" t="s">
        <v>32606</v>
      </c>
      <c r="G9101" t="s">
        <v>32613</v>
      </c>
      <c r="H9101" t="s">
        <v>32623</v>
      </c>
      <c r="I9101" t="s">
        <v>17648</v>
      </c>
      <c r="J9101" t="s">
        <v>38390</v>
      </c>
      <c r="K9101" t="s">
        <v>42636</v>
      </c>
      <c r="M9101" t="s">
        <v>46008</v>
      </c>
      <c r="N9101" t="s">
        <v>47304</v>
      </c>
      <c r="O9101" t="s">
        <v>47305</v>
      </c>
      <c r="P9101">
        <v>0</v>
      </c>
      <c r="Q9101">
        <v>2</v>
      </c>
      <c r="R9101" t="s">
        <v>47312</v>
      </c>
      <c r="S9101" t="s">
        <v>47489</v>
      </c>
      <c r="T9101" t="s">
        <v>49119</v>
      </c>
      <c r="U9101" t="s">
        <v>57052</v>
      </c>
      <c r="W9101" t="s">
        <v>46008</v>
      </c>
      <c r="X9101" t="s">
        <v>47313</v>
      </c>
    </row>
    <row r="9102" spans="1:24">
      <c r="A9102">
        <f>HYPERLINK("https://www.philgeps.gov.ph/GEPSNONPILOT/Tender/SplashBidNoticeAbstractUI.aspx?menuIndex=3&amp;refID=7189966&amp;Result=3","7189966")</f>
        <v>0</v>
      </c>
      <c r="B9102" t="s">
        <v>1769</v>
      </c>
      <c r="C9102" t="s">
        <v>12432</v>
      </c>
      <c r="D9102" t="s">
        <v>19037</v>
      </c>
      <c r="E9102" t="s">
        <v>26865</v>
      </c>
      <c r="F9102" t="s">
        <v>32606</v>
      </c>
      <c r="G9102" t="s">
        <v>32613</v>
      </c>
      <c r="H9102" t="s">
        <v>14201</v>
      </c>
      <c r="I9102" t="s">
        <v>7677</v>
      </c>
      <c r="J9102" t="s">
        <v>38391</v>
      </c>
      <c r="K9102" t="s">
        <v>42623</v>
      </c>
      <c r="M9102" t="s">
        <v>44807</v>
      </c>
      <c r="N9102" t="s">
        <v>47304</v>
      </c>
      <c r="O9102" t="s">
        <v>47305</v>
      </c>
      <c r="P9102">
        <v>0</v>
      </c>
      <c r="Q9102">
        <v>9</v>
      </c>
      <c r="R9102" t="s">
        <v>47312</v>
      </c>
      <c r="S9102" t="s">
        <v>47489</v>
      </c>
      <c r="T9102" t="s">
        <v>49164</v>
      </c>
      <c r="U9102" t="s">
        <v>57053</v>
      </c>
      <c r="W9102" t="s">
        <v>44807</v>
      </c>
      <c r="X9102" t="s">
        <v>47313</v>
      </c>
    </row>
    <row r="9103" spans="1:24">
      <c r="A9103">
        <f>HYPERLINK("https://www.philgeps.gov.ph/GEPSNONPILOT/Tender/SplashBidNoticeAbstractUI.aspx?menuIndex=3&amp;refID=7190020&amp;Result=3","7190020")</f>
        <v>0</v>
      </c>
      <c r="B9103" t="s">
        <v>2843</v>
      </c>
      <c r="C9103" t="s">
        <v>12433</v>
      </c>
      <c r="D9103" t="s">
        <v>18993</v>
      </c>
      <c r="E9103" t="s">
        <v>22592</v>
      </c>
      <c r="F9103" t="s">
        <v>32606</v>
      </c>
      <c r="G9103" t="s">
        <v>32613</v>
      </c>
      <c r="H9103" t="s">
        <v>14201</v>
      </c>
      <c r="I9103" t="s">
        <v>6298</v>
      </c>
      <c r="J9103" t="s">
        <v>32770</v>
      </c>
      <c r="K9103" t="s">
        <v>42632</v>
      </c>
      <c r="M9103" t="s">
        <v>46010</v>
      </c>
      <c r="N9103" t="s">
        <v>47304</v>
      </c>
      <c r="O9103" t="s">
        <v>47305</v>
      </c>
      <c r="P9103">
        <v>0</v>
      </c>
      <c r="Q9103">
        <v>4</v>
      </c>
      <c r="R9103" t="s">
        <v>47312</v>
      </c>
      <c r="S9103" t="s">
        <v>47489</v>
      </c>
      <c r="T9103" t="s">
        <v>49257</v>
      </c>
      <c r="U9103" t="s">
        <v>57054</v>
      </c>
      <c r="W9103" t="s">
        <v>46010</v>
      </c>
      <c r="X9103" t="s">
        <v>47313</v>
      </c>
    </row>
    <row r="9104" spans="1:24">
      <c r="A9104">
        <f>HYPERLINK("https://www.philgeps.gov.ph/GEPSNONPILOT/Tender/SplashBidNoticeAbstractUI.aspx?menuIndex=3&amp;refID=7190019&amp;Result=3","7190019")</f>
        <v>0</v>
      </c>
      <c r="B9104" t="s">
        <v>2847</v>
      </c>
      <c r="C9104" t="s">
        <v>12434</v>
      </c>
      <c r="D9104" t="s">
        <v>19016</v>
      </c>
      <c r="E9104" t="s">
        <v>19370</v>
      </c>
      <c r="F9104" t="s">
        <v>32606</v>
      </c>
      <c r="G9104" t="s">
        <v>32617</v>
      </c>
      <c r="H9104" t="s">
        <v>14201</v>
      </c>
      <c r="I9104" t="s">
        <v>32658</v>
      </c>
      <c r="J9104" t="s">
        <v>38392</v>
      </c>
      <c r="K9104" t="s">
        <v>42625</v>
      </c>
      <c r="M9104" t="s">
        <v>46014</v>
      </c>
      <c r="N9104" t="s">
        <v>47304</v>
      </c>
      <c r="O9104" t="s">
        <v>47305</v>
      </c>
      <c r="P9104">
        <v>0</v>
      </c>
      <c r="Q9104">
        <v>1</v>
      </c>
      <c r="R9104" t="s">
        <v>47312</v>
      </c>
      <c r="S9104" t="s">
        <v>47489</v>
      </c>
      <c r="T9104" t="s">
        <v>49257</v>
      </c>
      <c r="U9104" t="s">
        <v>57055</v>
      </c>
      <c r="W9104" t="s">
        <v>46014</v>
      </c>
      <c r="X9104" t="s">
        <v>47313</v>
      </c>
    </row>
    <row r="9105" spans="1:24">
      <c r="A9105">
        <f>HYPERLINK("https://www.philgeps.gov.ph/GEPSNONPILOT/Tender/SplashBidNoticeAbstractUI.aspx?menuIndex=3&amp;refID=7190018&amp;Result=3","7190018")</f>
        <v>0</v>
      </c>
      <c r="B9105" t="s">
        <v>2841</v>
      </c>
      <c r="C9105" t="s">
        <v>12435</v>
      </c>
      <c r="D9105" t="s">
        <v>19054</v>
      </c>
      <c r="E9105" t="s">
        <v>26866</v>
      </c>
      <c r="F9105" t="s">
        <v>32606</v>
      </c>
      <c r="G9105" t="s">
        <v>32613</v>
      </c>
      <c r="H9105" t="s">
        <v>32623</v>
      </c>
      <c r="I9105" t="s">
        <v>17648</v>
      </c>
      <c r="J9105" t="s">
        <v>38393</v>
      </c>
      <c r="K9105" t="s">
        <v>42722</v>
      </c>
      <c r="M9105" t="s">
        <v>46008</v>
      </c>
      <c r="N9105" t="s">
        <v>47304</v>
      </c>
      <c r="O9105" t="s">
        <v>47305</v>
      </c>
      <c r="P9105">
        <v>0</v>
      </c>
      <c r="Q9105">
        <v>1</v>
      </c>
      <c r="R9105" t="s">
        <v>47312</v>
      </c>
      <c r="S9105" t="s">
        <v>47489</v>
      </c>
      <c r="T9105" t="s">
        <v>49119</v>
      </c>
      <c r="U9105" t="s">
        <v>57056</v>
      </c>
      <c r="W9105" t="s">
        <v>46008</v>
      </c>
      <c r="X9105" t="s">
        <v>47313</v>
      </c>
    </row>
    <row r="9106" spans="1:24">
      <c r="A9106">
        <f>HYPERLINK("https://www.philgeps.gov.ph/GEPSNONPILOT/Tender/SplashBidNoticeAbstractUI.aspx?menuIndex=3&amp;refID=7125605-2&amp;Result=3","7125605-2")</f>
        <v>0</v>
      </c>
      <c r="B9106" t="s">
        <v>2198</v>
      </c>
      <c r="C9106" t="s">
        <v>12436</v>
      </c>
      <c r="D9106" t="s">
        <v>19008</v>
      </c>
      <c r="E9106" t="s">
        <v>26867</v>
      </c>
      <c r="F9106" t="s">
        <v>32606</v>
      </c>
      <c r="G9106" t="s">
        <v>32613</v>
      </c>
      <c r="H9106" t="s">
        <v>32625</v>
      </c>
      <c r="I9106" t="s">
        <v>32625</v>
      </c>
      <c r="J9106" t="s">
        <v>38394</v>
      </c>
      <c r="K9106" t="s">
        <v>42623</v>
      </c>
      <c r="M9106" t="s">
        <v>45298</v>
      </c>
      <c r="N9106" t="s">
        <v>47304</v>
      </c>
      <c r="O9106" t="s">
        <v>47305</v>
      </c>
      <c r="P9106">
        <v>0</v>
      </c>
      <c r="Q9106">
        <v>1</v>
      </c>
      <c r="R9106" t="s">
        <v>47313</v>
      </c>
      <c r="S9106" t="s">
        <v>47535</v>
      </c>
      <c r="T9106" t="s">
        <v>48986</v>
      </c>
      <c r="U9106" t="s">
        <v>57057</v>
      </c>
      <c r="W9106" t="s">
        <v>45298</v>
      </c>
      <c r="X9106" t="s">
        <v>47315</v>
      </c>
    </row>
    <row r="9107" spans="1:24">
      <c r="A9107">
        <f>HYPERLINK("https://www.philgeps.gov.ph/GEPSNONPILOT/Tender/SplashBidNoticeAbstractUI.aspx?menuIndex=3&amp;refID=7163734&amp;Result=3","7163734")</f>
        <v>0</v>
      </c>
      <c r="B9107" t="s">
        <v>192</v>
      </c>
      <c r="C9107" t="s">
        <v>12437</v>
      </c>
      <c r="D9107" t="s">
        <v>19016</v>
      </c>
      <c r="E9107" t="s">
        <v>26868</v>
      </c>
      <c r="F9107" t="s">
        <v>32606</v>
      </c>
      <c r="G9107" t="s">
        <v>32613</v>
      </c>
      <c r="H9107" t="s">
        <v>14201</v>
      </c>
      <c r="I9107" t="s">
        <v>7677</v>
      </c>
      <c r="J9107" t="s">
        <v>38395</v>
      </c>
      <c r="K9107" t="s">
        <v>42624</v>
      </c>
      <c r="M9107" t="s">
        <v>43093</v>
      </c>
      <c r="N9107" t="s">
        <v>47304</v>
      </c>
      <c r="O9107" t="s">
        <v>47305</v>
      </c>
      <c r="P9107">
        <v>0</v>
      </c>
      <c r="Q9107">
        <v>21</v>
      </c>
      <c r="R9107" t="s">
        <v>47313</v>
      </c>
      <c r="S9107" t="s">
        <v>47535</v>
      </c>
      <c r="T9107" t="s">
        <v>49390</v>
      </c>
      <c r="U9107" t="s">
        <v>57058</v>
      </c>
      <c r="V9107" t="s">
        <v>63612</v>
      </c>
      <c r="W9107" t="s">
        <v>43093</v>
      </c>
      <c r="X9107" t="s">
        <v>47325</v>
      </c>
    </row>
    <row r="9108" spans="1:24">
      <c r="A9108">
        <f>HYPERLINK("https://www.philgeps.gov.ph/GEPSNONPILOT/Tender/SplashBidNoticeAbstractUI.aspx?menuIndex=3&amp;refID=7189960&amp;Result=3","7189960")</f>
        <v>0</v>
      </c>
      <c r="B9108" t="s">
        <v>2848</v>
      </c>
      <c r="C9108" t="s">
        <v>12438</v>
      </c>
      <c r="D9108" t="s">
        <v>19025</v>
      </c>
      <c r="E9108" t="s">
        <v>26869</v>
      </c>
      <c r="F9108" t="s">
        <v>32606</v>
      </c>
      <c r="G9108" t="s">
        <v>32613</v>
      </c>
      <c r="H9108" t="s">
        <v>32623</v>
      </c>
      <c r="I9108" t="s">
        <v>32661</v>
      </c>
      <c r="J9108" t="s">
        <v>38396</v>
      </c>
      <c r="K9108" t="s">
        <v>42636</v>
      </c>
      <c r="M9108" t="s">
        <v>46015</v>
      </c>
      <c r="N9108" t="s">
        <v>47304</v>
      </c>
      <c r="O9108" t="s">
        <v>47305</v>
      </c>
      <c r="P9108">
        <v>0</v>
      </c>
      <c r="Q9108">
        <v>1</v>
      </c>
      <c r="R9108" t="s">
        <v>47312</v>
      </c>
      <c r="S9108" t="s">
        <v>47489</v>
      </c>
      <c r="T9108" t="s">
        <v>49057</v>
      </c>
      <c r="U9108" t="s">
        <v>57059</v>
      </c>
      <c r="W9108" t="s">
        <v>46015</v>
      </c>
      <c r="X9108" t="s">
        <v>47313</v>
      </c>
    </row>
    <row r="9109" spans="1:24">
      <c r="A9109">
        <f>HYPERLINK("https://www.philgeps.gov.ph/GEPSNONPILOT/Tender/SplashBidNoticeAbstractUI.aspx?menuIndex=3&amp;refID=7159947&amp;Result=3","7159947")</f>
        <v>0</v>
      </c>
      <c r="B9109" t="s">
        <v>2012</v>
      </c>
      <c r="C9109" t="s">
        <v>12439</v>
      </c>
      <c r="D9109" t="s">
        <v>19010</v>
      </c>
      <c r="E9109" t="s">
        <v>26870</v>
      </c>
      <c r="F9109" t="s">
        <v>32606</v>
      </c>
      <c r="G9109" t="s">
        <v>32613</v>
      </c>
      <c r="H9109" t="s">
        <v>32623</v>
      </c>
      <c r="I9109" t="s">
        <v>17648</v>
      </c>
      <c r="J9109" t="s">
        <v>33071</v>
      </c>
      <c r="K9109" t="s">
        <v>42645</v>
      </c>
      <c r="M9109" t="s">
        <v>46016</v>
      </c>
      <c r="N9109" t="s">
        <v>47304</v>
      </c>
      <c r="O9109" t="s">
        <v>47305</v>
      </c>
      <c r="P9109">
        <v>0</v>
      </c>
      <c r="Q9109">
        <v>0</v>
      </c>
      <c r="R9109" t="s">
        <v>47313</v>
      </c>
      <c r="S9109" t="s">
        <v>47535</v>
      </c>
      <c r="T9109" t="s">
        <v>49111</v>
      </c>
      <c r="U9109" t="s">
        <v>57060</v>
      </c>
      <c r="V9109" t="s">
        <v>63215</v>
      </c>
      <c r="W9109" t="s">
        <v>46016</v>
      </c>
      <c r="X9109" t="s">
        <v>47326</v>
      </c>
    </row>
    <row r="9110" spans="1:24">
      <c r="A9110">
        <f>HYPERLINK("https://www.philgeps.gov.ph/GEPSNONPILOT/Tender/SplashBidNoticeAbstractUI.aspx?menuIndex=3&amp;refID=7190025&amp;Result=3","7190025")</f>
        <v>0</v>
      </c>
      <c r="B9110" t="s">
        <v>2034</v>
      </c>
      <c r="C9110" t="s">
        <v>12440</v>
      </c>
      <c r="D9110" t="s">
        <v>19057</v>
      </c>
      <c r="E9110" t="s">
        <v>26871</v>
      </c>
      <c r="F9110" t="s">
        <v>32606</v>
      </c>
      <c r="G9110" t="s">
        <v>32613</v>
      </c>
      <c r="H9110" t="s">
        <v>32623</v>
      </c>
      <c r="I9110" t="s">
        <v>32661</v>
      </c>
      <c r="J9110" t="s">
        <v>38397</v>
      </c>
      <c r="K9110" t="s">
        <v>42648</v>
      </c>
      <c r="M9110" t="s">
        <v>45110</v>
      </c>
      <c r="N9110" t="s">
        <v>47304</v>
      </c>
      <c r="O9110" t="s">
        <v>47305</v>
      </c>
      <c r="Q9110">
        <v>5</v>
      </c>
      <c r="R9110" t="s">
        <v>47312</v>
      </c>
      <c r="S9110" t="s">
        <v>47536</v>
      </c>
      <c r="T9110" t="s">
        <v>49411</v>
      </c>
      <c r="U9110" t="s">
        <v>57061</v>
      </c>
      <c r="W9110" t="s">
        <v>45110</v>
      </c>
      <c r="X9110" t="s">
        <v>47313</v>
      </c>
    </row>
    <row r="9111" spans="1:24">
      <c r="A9111">
        <f>HYPERLINK("https://www.philgeps.gov.ph/GEPSNONPILOT/Tender/SplashBidNoticeAbstractUI.aspx?menuIndex=3&amp;refID=7159810&amp;Result=3","7159810")</f>
        <v>0</v>
      </c>
      <c r="B9111" t="s">
        <v>2012</v>
      </c>
      <c r="C9111" t="s">
        <v>12441</v>
      </c>
      <c r="D9111" t="s">
        <v>19010</v>
      </c>
      <c r="E9111" t="s">
        <v>26872</v>
      </c>
      <c r="F9111" t="s">
        <v>32606</v>
      </c>
      <c r="G9111" t="s">
        <v>32613</v>
      </c>
      <c r="H9111" t="s">
        <v>32623</v>
      </c>
      <c r="I9111" t="s">
        <v>17648</v>
      </c>
      <c r="J9111" t="s">
        <v>38398</v>
      </c>
      <c r="K9111" t="s">
        <v>42645</v>
      </c>
      <c r="M9111" t="s">
        <v>46016</v>
      </c>
      <c r="N9111" t="s">
        <v>47304</v>
      </c>
      <c r="O9111" t="s">
        <v>47305</v>
      </c>
      <c r="P9111">
        <v>0</v>
      </c>
      <c r="Q9111">
        <v>0</v>
      </c>
      <c r="R9111" t="s">
        <v>47313</v>
      </c>
      <c r="S9111" t="s">
        <v>47535</v>
      </c>
      <c r="T9111" t="s">
        <v>49111</v>
      </c>
      <c r="U9111" t="s">
        <v>57062</v>
      </c>
      <c r="V9111" t="s">
        <v>63215</v>
      </c>
      <c r="W9111" t="s">
        <v>46016</v>
      </c>
      <c r="X9111" t="s">
        <v>47326</v>
      </c>
    </row>
    <row r="9112" spans="1:24">
      <c r="A9112">
        <f>HYPERLINK("https://www.philgeps.gov.ph/GEPSNONPILOT/Tender/SplashBidNoticeAbstractUI.aspx?menuIndex=3&amp;refID=7155220&amp;Result=3","7155220")</f>
        <v>0</v>
      </c>
      <c r="B9112" t="s">
        <v>2849</v>
      </c>
      <c r="C9112" t="s">
        <v>12442</v>
      </c>
      <c r="D9112" t="s">
        <v>19031</v>
      </c>
      <c r="E9112" t="s">
        <v>26873</v>
      </c>
      <c r="F9112" t="s">
        <v>32606</v>
      </c>
      <c r="G9112" t="s">
        <v>32613</v>
      </c>
      <c r="H9112" t="s">
        <v>14201</v>
      </c>
      <c r="I9112" t="s">
        <v>32626</v>
      </c>
      <c r="J9112" t="s">
        <v>32923</v>
      </c>
      <c r="K9112" t="s">
        <v>42623</v>
      </c>
      <c r="M9112" t="s">
        <v>46017</v>
      </c>
      <c r="N9112" t="s">
        <v>47304</v>
      </c>
      <c r="O9112" t="s">
        <v>47305</v>
      </c>
      <c r="P9112">
        <v>0</v>
      </c>
      <c r="Q9112">
        <v>4</v>
      </c>
      <c r="R9112" t="s">
        <v>47313</v>
      </c>
      <c r="S9112" t="s">
        <v>47535</v>
      </c>
      <c r="T9112" t="s">
        <v>49412</v>
      </c>
      <c r="U9112" t="s">
        <v>57063</v>
      </c>
      <c r="V9112" t="s">
        <v>62846</v>
      </c>
      <c r="W9112" t="s">
        <v>46017</v>
      </c>
      <c r="X9112" t="s">
        <v>47328</v>
      </c>
    </row>
    <row r="9113" spans="1:24">
      <c r="A9113">
        <f>HYPERLINK("https://www.philgeps.gov.ph/GEPSNONPILOT/Tender/SplashBidNoticeAbstractUI.aspx?menuIndex=3&amp;refID=7163138&amp;Result=3","7163138")</f>
        <v>0</v>
      </c>
      <c r="B9113" t="s">
        <v>2850</v>
      </c>
      <c r="C9113" t="s">
        <v>12443</v>
      </c>
      <c r="D9113" t="s">
        <v>19028</v>
      </c>
      <c r="E9113" t="s">
        <v>19145</v>
      </c>
      <c r="F9113" t="s">
        <v>32606</v>
      </c>
      <c r="G9113" t="s">
        <v>32613</v>
      </c>
      <c r="H9113" t="s">
        <v>14201</v>
      </c>
      <c r="I9113" t="s">
        <v>32656</v>
      </c>
      <c r="J9113" t="s">
        <v>34188</v>
      </c>
      <c r="K9113" t="s">
        <v>42636</v>
      </c>
      <c r="M9113" t="s">
        <v>46018</v>
      </c>
      <c r="N9113" t="s">
        <v>47304</v>
      </c>
      <c r="O9113" t="s">
        <v>47305</v>
      </c>
      <c r="P9113">
        <v>0</v>
      </c>
      <c r="Q9113">
        <v>3</v>
      </c>
      <c r="R9113" t="s">
        <v>47313</v>
      </c>
      <c r="S9113" t="s">
        <v>47535</v>
      </c>
      <c r="T9113" t="s">
        <v>49315</v>
      </c>
      <c r="U9113" t="s">
        <v>57064</v>
      </c>
      <c r="W9113" t="s">
        <v>46018</v>
      </c>
      <c r="X9113" t="s">
        <v>47325</v>
      </c>
    </row>
    <row r="9114" spans="1:24">
      <c r="A9114">
        <f>HYPERLINK("https://www.philgeps.gov.ph/GEPSNONPILOT/Tender/SplashBidNoticeAbstractUI.aspx?menuIndex=3&amp;refID=7189962&amp;Result=3","7189962")</f>
        <v>0</v>
      </c>
      <c r="B9114" t="s">
        <v>2851</v>
      </c>
      <c r="C9114" t="s">
        <v>12444</v>
      </c>
      <c r="D9114" t="s">
        <v>18992</v>
      </c>
      <c r="E9114" t="s">
        <v>26874</v>
      </c>
      <c r="F9114" t="s">
        <v>32606</v>
      </c>
      <c r="G9114" t="s">
        <v>32613</v>
      </c>
      <c r="H9114" t="s">
        <v>14201</v>
      </c>
      <c r="I9114" t="s">
        <v>32633</v>
      </c>
      <c r="J9114" t="s">
        <v>33060</v>
      </c>
      <c r="K9114" t="s">
        <v>42632</v>
      </c>
      <c r="M9114" t="s">
        <v>46019</v>
      </c>
      <c r="N9114" t="s">
        <v>47304</v>
      </c>
      <c r="O9114" t="s">
        <v>47305</v>
      </c>
      <c r="P9114">
        <v>0</v>
      </c>
      <c r="Q9114">
        <v>3</v>
      </c>
      <c r="R9114" t="s">
        <v>47312</v>
      </c>
      <c r="S9114" t="s">
        <v>47489</v>
      </c>
      <c r="T9114" t="s">
        <v>49081</v>
      </c>
      <c r="U9114" t="s">
        <v>57065</v>
      </c>
      <c r="W9114" t="s">
        <v>46019</v>
      </c>
      <c r="X9114" t="s">
        <v>47313</v>
      </c>
    </row>
    <row r="9115" spans="1:24">
      <c r="A9115">
        <f>HYPERLINK("https://www.philgeps.gov.ph/GEPSNONPILOT/Tender/SplashBidNoticeAbstractUI.aspx?menuIndex=3&amp;refID=7165139&amp;Result=3","7165139")</f>
        <v>0</v>
      </c>
      <c r="B9115" t="s">
        <v>2852</v>
      </c>
      <c r="C9115" t="s">
        <v>3942</v>
      </c>
      <c r="D9115" t="s">
        <v>19000</v>
      </c>
      <c r="E9115" t="s">
        <v>26875</v>
      </c>
      <c r="F9115" t="s">
        <v>32606</v>
      </c>
      <c r="G9115" t="s">
        <v>32613</v>
      </c>
      <c r="H9115" t="s">
        <v>32623</v>
      </c>
      <c r="I9115" t="s">
        <v>17648</v>
      </c>
      <c r="J9115" t="s">
        <v>32868</v>
      </c>
      <c r="K9115" t="s">
        <v>42674</v>
      </c>
      <c r="M9115" t="s">
        <v>46020</v>
      </c>
      <c r="N9115" t="s">
        <v>47304</v>
      </c>
      <c r="O9115" t="s">
        <v>47305</v>
      </c>
      <c r="P9115">
        <v>0</v>
      </c>
      <c r="Q9115">
        <v>0</v>
      </c>
      <c r="R9115" t="s">
        <v>47313</v>
      </c>
      <c r="S9115" t="s">
        <v>47535</v>
      </c>
      <c r="T9115" t="s">
        <v>49268</v>
      </c>
      <c r="U9115" t="s">
        <v>57066</v>
      </c>
      <c r="W9115" t="s">
        <v>46020</v>
      </c>
      <c r="X9115" t="s">
        <v>47322</v>
      </c>
    </row>
    <row r="9116" spans="1:24">
      <c r="A9116">
        <f>HYPERLINK("https://www.philgeps.gov.ph/GEPSNONPILOT/Tender/SplashBidNoticeAbstractUI.aspx?menuIndex=3&amp;refID=7159180&amp;Result=3","7159180")</f>
        <v>0</v>
      </c>
      <c r="B9116" t="s">
        <v>2853</v>
      </c>
      <c r="C9116" t="s">
        <v>12445</v>
      </c>
      <c r="D9116" t="s">
        <v>18988</v>
      </c>
      <c r="E9116" t="s">
        <v>26876</v>
      </c>
      <c r="F9116" t="s">
        <v>32606</v>
      </c>
      <c r="G9116" t="s">
        <v>32619</v>
      </c>
      <c r="H9116" t="s">
        <v>32623</v>
      </c>
      <c r="I9116" t="s">
        <v>17648</v>
      </c>
      <c r="J9116" t="s">
        <v>38399</v>
      </c>
      <c r="K9116" t="s">
        <v>42636</v>
      </c>
      <c r="M9116" t="s">
        <v>46021</v>
      </c>
      <c r="N9116" t="s">
        <v>47304</v>
      </c>
      <c r="O9116" t="s">
        <v>47305</v>
      </c>
      <c r="P9116">
        <v>0</v>
      </c>
      <c r="Q9116">
        <v>0</v>
      </c>
      <c r="R9116" t="s">
        <v>47313</v>
      </c>
      <c r="S9116" t="s">
        <v>47535</v>
      </c>
      <c r="T9116" t="s">
        <v>49269</v>
      </c>
      <c r="U9116" t="s">
        <v>57067</v>
      </c>
      <c r="W9116" t="s">
        <v>46021</v>
      </c>
      <c r="X9116" t="s">
        <v>47326</v>
      </c>
    </row>
    <row r="9117" spans="1:24">
      <c r="A9117">
        <f>HYPERLINK("https://www.philgeps.gov.ph/GEPSNONPILOT/Tender/SplashBidNoticeAbstractUI.aspx?menuIndex=3&amp;refID=7190022&amp;Result=3","7190022")</f>
        <v>0</v>
      </c>
      <c r="B9117" t="s">
        <v>1769</v>
      </c>
      <c r="C9117" t="s">
        <v>12446</v>
      </c>
      <c r="D9117" t="s">
        <v>19037</v>
      </c>
      <c r="E9117" t="s">
        <v>26877</v>
      </c>
      <c r="F9117" t="s">
        <v>32606</v>
      </c>
      <c r="G9117" t="s">
        <v>32613</v>
      </c>
      <c r="H9117" t="s">
        <v>14201</v>
      </c>
      <c r="I9117" t="s">
        <v>6931</v>
      </c>
      <c r="J9117" t="s">
        <v>38400</v>
      </c>
      <c r="K9117" t="s">
        <v>42631</v>
      </c>
      <c r="M9117" t="s">
        <v>44807</v>
      </c>
      <c r="N9117" t="s">
        <v>47304</v>
      </c>
      <c r="O9117" t="s">
        <v>47305</v>
      </c>
      <c r="P9117">
        <v>0</v>
      </c>
      <c r="Q9117">
        <v>0</v>
      </c>
      <c r="R9117" t="s">
        <v>47312</v>
      </c>
      <c r="S9117" t="s">
        <v>47489</v>
      </c>
      <c r="T9117" t="s">
        <v>49164</v>
      </c>
      <c r="U9117" t="s">
        <v>57068</v>
      </c>
      <c r="W9117" t="s">
        <v>44807</v>
      </c>
      <c r="X9117" t="s">
        <v>47313</v>
      </c>
    </row>
    <row r="9118" spans="1:24">
      <c r="A9118">
        <f>HYPERLINK("https://www.philgeps.gov.ph/GEPSNONPILOT/Tender/SplashBidNoticeAbstractUI.aspx?menuIndex=3&amp;refID=7171289&amp;Result=3","7171289")</f>
        <v>0</v>
      </c>
      <c r="B9118" t="s">
        <v>776</v>
      </c>
      <c r="C9118" t="s">
        <v>12447</v>
      </c>
      <c r="E9118" t="s">
        <v>26878</v>
      </c>
      <c r="F9118" t="s">
        <v>32606</v>
      </c>
      <c r="G9118" t="s">
        <v>32613</v>
      </c>
      <c r="H9118" t="s">
        <v>14201</v>
      </c>
      <c r="I9118" t="s">
        <v>7064</v>
      </c>
      <c r="J9118" t="s">
        <v>33060</v>
      </c>
      <c r="K9118" t="s">
        <v>42622</v>
      </c>
      <c r="M9118" t="s">
        <v>43705</v>
      </c>
      <c r="N9118" t="s">
        <v>47304</v>
      </c>
      <c r="O9118" t="s">
        <v>47305</v>
      </c>
      <c r="P9118">
        <v>0</v>
      </c>
      <c r="Q9118">
        <v>1</v>
      </c>
      <c r="R9118" t="s">
        <v>47313</v>
      </c>
      <c r="S9118" t="s">
        <v>47535</v>
      </c>
      <c r="T9118" t="s">
        <v>49373</v>
      </c>
      <c r="U9118" t="s">
        <v>50960</v>
      </c>
      <c r="V9118" t="s">
        <v>62826</v>
      </c>
      <c r="W9118" t="s">
        <v>43705</v>
      </c>
      <c r="X9118" t="s">
        <v>47320</v>
      </c>
    </row>
    <row r="9119" spans="1:24">
      <c r="A9119">
        <f>HYPERLINK("https://www.philgeps.gov.ph/GEPSNONPILOT/Tender/SplashBidNoticeAbstractUI.aspx?menuIndex=3&amp;refID=7152555&amp;Result=3","7152555")</f>
        <v>0</v>
      </c>
      <c r="B9119" t="s">
        <v>1895</v>
      </c>
      <c r="C9119" t="s">
        <v>12448</v>
      </c>
      <c r="D9119" t="s">
        <v>19034</v>
      </c>
      <c r="E9119" t="s">
        <v>26879</v>
      </c>
      <c r="F9119" t="s">
        <v>32606</v>
      </c>
      <c r="G9119" t="s">
        <v>32614</v>
      </c>
      <c r="H9119" t="s">
        <v>14201</v>
      </c>
      <c r="I9119" t="s">
        <v>6993</v>
      </c>
      <c r="J9119" t="s">
        <v>32752</v>
      </c>
      <c r="K9119" t="s">
        <v>42648</v>
      </c>
      <c r="M9119" t="s">
        <v>44954</v>
      </c>
      <c r="N9119" t="s">
        <v>47304</v>
      </c>
      <c r="O9119" t="s">
        <v>47305</v>
      </c>
      <c r="P9119">
        <v>0</v>
      </c>
      <c r="Q9119">
        <v>0</v>
      </c>
      <c r="R9119" t="s">
        <v>47313</v>
      </c>
      <c r="S9119" t="s">
        <v>47535</v>
      </c>
      <c r="T9119" t="s">
        <v>49136</v>
      </c>
      <c r="U9119" t="s">
        <v>56056</v>
      </c>
      <c r="W9119" t="s">
        <v>44954</v>
      </c>
      <c r="X9119" t="s">
        <v>47328</v>
      </c>
    </row>
    <row r="9120" spans="1:24">
      <c r="A9120">
        <f>HYPERLINK("https://www.philgeps.gov.ph/GEPSNONPILOT/Tender/SplashBidNoticeAbstractUI.aspx?menuIndex=3&amp;refID=7133826&amp;Result=3","7133826")</f>
        <v>0</v>
      </c>
      <c r="B9120" t="s">
        <v>2012</v>
      </c>
      <c r="C9120" t="s">
        <v>12449</v>
      </c>
      <c r="D9120" t="s">
        <v>19010</v>
      </c>
      <c r="E9120" t="s">
        <v>26880</v>
      </c>
      <c r="F9120" t="s">
        <v>32606</v>
      </c>
      <c r="G9120" t="s">
        <v>32613</v>
      </c>
      <c r="H9120" t="s">
        <v>32623</v>
      </c>
      <c r="I9120" t="s">
        <v>17648</v>
      </c>
      <c r="J9120" t="s">
        <v>38401</v>
      </c>
      <c r="K9120" t="s">
        <v>42683</v>
      </c>
      <c r="M9120" t="s">
        <v>46016</v>
      </c>
      <c r="N9120" t="s">
        <v>47304</v>
      </c>
      <c r="O9120" t="s">
        <v>47305</v>
      </c>
      <c r="P9120">
        <v>0</v>
      </c>
      <c r="Q9120">
        <v>0</v>
      </c>
      <c r="R9120" t="s">
        <v>47313</v>
      </c>
      <c r="S9120" t="s">
        <v>47535</v>
      </c>
      <c r="T9120" t="s">
        <v>49111</v>
      </c>
      <c r="U9120" t="s">
        <v>57069</v>
      </c>
      <c r="V9120" t="s">
        <v>63215</v>
      </c>
      <c r="W9120" t="s">
        <v>46016</v>
      </c>
      <c r="X9120" t="s">
        <v>47337</v>
      </c>
    </row>
    <row r="9121" spans="1:24">
      <c r="A9121">
        <f>HYPERLINK("https://www.philgeps.gov.ph/GEPSNONPILOT/Tender/SplashBidNoticeAbstractUI.aspx?menuIndex=3&amp;refID=7171271&amp;Result=3","7171271")</f>
        <v>0</v>
      </c>
      <c r="B9121" t="s">
        <v>2115</v>
      </c>
      <c r="C9121" t="s">
        <v>12450</v>
      </c>
      <c r="D9121" t="s">
        <v>19008</v>
      </c>
      <c r="E9121" t="s">
        <v>26881</v>
      </c>
      <c r="F9121" t="s">
        <v>32606</v>
      </c>
      <c r="G9121" t="s">
        <v>32613</v>
      </c>
      <c r="H9121" t="s">
        <v>14201</v>
      </c>
      <c r="I9121" t="s">
        <v>4369</v>
      </c>
      <c r="J9121" t="s">
        <v>33441</v>
      </c>
      <c r="K9121" t="s">
        <v>42638</v>
      </c>
      <c r="M9121" t="s">
        <v>45202</v>
      </c>
      <c r="N9121" t="s">
        <v>47304</v>
      </c>
      <c r="O9121" t="s">
        <v>47305</v>
      </c>
      <c r="P9121">
        <v>0</v>
      </c>
      <c r="Q9121">
        <v>6</v>
      </c>
      <c r="R9121" t="s">
        <v>47313</v>
      </c>
      <c r="S9121" t="s">
        <v>47535</v>
      </c>
      <c r="T9121" t="s">
        <v>49071</v>
      </c>
      <c r="U9121" t="s">
        <v>57070</v>
      </c>
      <c r="V9121" t="s">
        <v>62846</v>
      </c>
      <c r="W9121" t="s">
        <v>45202</v>
      </c>
      <c r="X9121" t="s">
        <v>47320</v>
      </c>
    </row>
    <row r="9122" spans="1:24">
      <c r="A9122">
        <f>HYPERLINK("https://www.philgeps.gov.ph/GEPSNONPILOT/Tender/SplashBidNoticeAbstractUI.aspx?menuIndex=3&amp;refID=7172171&amp;Result=3","7172171")</f>
        <v>0</v>
      </c>
      <c r="B9122" t="s">
        <v>1808</v>
      </c>
      <c r="C9122" t="s">
        <v>12451</v>
      </c>
      <c r="D9122" t="s">
        <v>19023</v>
      </c>
      <c r="E9122" t="s">
        <v>26882</v>
      </c>
      <c r="F9122" t="s">
        <v>32606</v>
      </c>
      <c r="G9122" t="s">
        <v>32613</v>
      </c>
      <c r="H9122" t="s">
        <v>14201</v>
      </c>
      <c r="I9122" t="s">
        <v>32629</v>
      </c>
      <c r="J9122" t="s">
        <v>32789</v>
      </c>
      <c r="K9122" t="s">
        <v>42623</v>
      </c>
      <c r="M9122" t="s">
        <v>44849</v>
      </c>
      <c r="N9122" t="s">
        <v>47304</v>
      </c>
      <c r="O9122" t="s">
        <v>47305</v>
      </c>
      <c r="P9122">
        <v>0</v>
      </c>
      <c r="Q9122">
        <v>0</v>
      </c>
      <c r="R9122" t="s">
        <v>47313</v>
      </c>
      <c r="S9122" t="s">
        <v>47535</v>
      </c>
      <c r="T9122" t="s">
        <v>49256</v>
      </c>
      <c r="U9122" t="s">
        <v>57071</v>
      </c>
      <c r="V9122" t="s">
        <v>63110</v>
      </c>
      <c r="W9122" t="s">
        <v>44849</v>
      </c>
      <c r="X9122" t="s">
        <v>47320</v>
      </c>
    </row>
    <row r="9123" spans="1:24">
      <c r="A9123">
        <f>HYPERLINK("https://www.philgeps.gov.ph/GEPSNONPILOT/Tender/SplashBidNoticeAbstractUI.aspx?menuIndex=3&amp;refID=7176799&amp;Result=3","7176799")</f>
        <v>0</v>
      </c>
      <c r="B9123" t="s">
        <v>2854</v>
      </c>
      <c r="C9123" t="s">
        <v>12452</v>
      </c>
      <c r="D9123" t="s">
        <v>19019</v>
      </c>
      <c r="E9123" t="s">
        <v>26883</v>
      </c>
      <c r="F9123" t="s">
        <v>32606</v>
      </c>
      <c r="G9123" t="s">
        <v>32618</v>
      </c>
      <c r="H9123" t="s">
        <v>32623</v>
      </c>
      <c r="I9123" t="s">
        <v>17648</v>
      </c>
      <c r="J9123" t="s">
        <v>32769</v>
      </c>
      <c r="K9123" t="s">
        <v>42648</v>
      </c>
      <c r="M9123" t="s">
        <v>46022</v>
      </c>
      <c r="N9123" t="s">
        <v>47304</v>
      </c>
      <c r="O9123" t="s">
        <v>47305</v>
      </c>
      <c r="Q9123">
        <v>5</v>
      </c>
      <c r="R9123" t="s">
        <v>47313</v>
      </c>
      <c r="S9123" t="s">
        <v>47537</v>
      </c>
      <c r="T9123" t="s">
        <v>49052</v>
      </c>
      <c r="U9123" t="s">
        <v>57072</v>
      </c>
      <c r="W9123" t="s">
        <v>46022</v>
      </c>
      <c r="X9123" t="s">
        <v>47319</v>
      </c>
    </row>
    <row r="9124" spans="1:24">
      <c r="A9124">
        <f>HYPERLINK("https://www.philgeps.gov.ph/GEPSNONPILOT/Tender/SplashBidNoticeAbstractUI.aspx?menuIndex=3&amp;refID=7175631&amp;Result=3","7175631")</f>
        <v>0</v>
      </c>
      <c r="B9124" t="s">
        <v>84</v>
      </c>
      <c r="C9124" t="s">
        <v>12453</v>
      </c>
      <c r="D9124" t="s">
        <v>19079</v>
      </c>
      <c r="E9124" t="s">
        <v>26884</v>
      </c>
      <c r="F9124" t="s">
        <v>32606</v>
      </c>
      <c r="G9124" t="s">
        <v>32613</v>
      </c>
      <c r="H9124" t="s">
        <v>32625</v>
      </c>
      <c r="I9124" t="s">
        <v>32625</v>
      </c>
      <c r="J9124" t="s">
        <v>38402</v>
      </c>
      <c r="K9124" t="s">
        <v>42742</v>
      </c>
      <c r="M9124" t="s">
        <v>46023</v>
      </c>
      <c r="N9124" t="s">
        <v>47304</v>
      </c>
      <c r="O9124" t="s">
        <v>47305</v>
      </c>
      <c r="P9124">
        <v>0</v>
      </c>
      <c r="Q9124">
        <v>5</v>
      </c>
      <c r="R9124" t="s">
        <v>47313</v>
      </c>
      <c r="S9124" t="s">
        <v>47535</v>
      </c>
      <c r="T9124" t="s">
        <v>48998</v>
      </c>
      <c r="U9124" t="s">
        <v>57073</v>
      </c>
      <c r="V9124" t="s">
        <v>63613</v>
      </c>
      <c r="W9124" t="s">
        <v>46023</v>
      </c>
      <c r="X9124" t="s">
        <v>47319</v>
      </c>
    </row>
    <row r="9125" spans="1:24">
      <c r="A9125">
        <f>HYPERLINK("https://www.philgeps.gov.ph/GEPSNONPILOT/Tender/SplashBidNoticeAbstractUI.aspx?menuIndex=3&amp;refID=7174867&amp;Result=3","7174867")</f>
        <v>0</v>
      </c>
      <c r="B9125" t="s">
        <v>2855</v>
      </c>
      <c r="C9125" t="s">
        <v>12454</v>
      </c>
      <c r="D9125" t="s">
        <v>19010</v>
      </c>
      <c r="E9125" t="s">
        <v>19279</v>
      </c>
      <c r="F9125" t="s">
        <v>32606</v>
      </c>
      <c r="G9125" t="s">
        <v>32613</v>
      </c>
      <c r="H9125" t="s">
        <v>14201</v>
      </c>
      <c r="I9125" t="s">
        <v>6931</v>
      </c>
      <c r="J9125" t="s">
        <v>38403</v>
      </c>
      <c r="K9125" t="s">
        <v>42630</v>
      </c>
      <c r="M9125" t="s">
        <v>46024</v>
      </c>
      <c r="N9125" t="s">
        <v>47304</v>
      </c>
      <c r="O9125" t="s">
        <v>47305</v>
      </c>
      <c r="P9125">
        <v>0</v>
      </c>
      <c r="Q9125">
        <v>2</v>
      </c>
      <c r="R9125" t="s">
        <v>47313</v>
      </c>
      <c r="S9125" t="s">
        <v>47535</v>
      </c>
      <c r="T9125" t="s">
        <v>49315</v>
      </c>
      <c r="U9125" t="s">
        <v>57074</v>
      </c>
      <c r="W9125" t="s">
        <v>46024</v>
      </c>
      <c r="X9125" t="s">
        <v>47319</v>
      </c>
    </row>
    <row r="9126" spans="1:24">
      <c r="A9126">
        <f>HYPERLINK("https://www.philgeps.gov.ph/GEPSNONPILOT/Tender/SplashBidNoticeAbstractUI.aspx?menuIndex=3&amp;refID=7174153&amp;Result=3","7174153")</f>
        <v>0</v>
      </c>
      <c r="B9126" t="s">
        <v>1808</v>
      </c>
      <c r="C9126" t="s">
        <v>12455</v>
      </c>
      <c r="D9126" t="s">
        <v>19023</v>
      </c>
      <c r="E9126" t="s">
        <v>26885</v>
      </c>
      <c r="F9126" t="s">
        <v>32606</v>
      </c>
      <c r="G9126" t="s">
        <v>32613</v>
      </c>
      <c r="H9126" t="s">
        <v>14201</v>
      </c>
      <c r="I9126" t="s">
        <v>7064</v>
      </c>
      <c r="J9126" t="s">
        <v>32767</v>
      </c>
      <c r="K9126" t="s">
        <v>42636</v>
      </c>
      <c r="M9126" t="s">
        <v>44849</v>
      </c>
      <c r="N9126" t="s">
        <v>47304</v>
      </c>
      <c r="O9126" t="s">
        <v>47305</v>
      </c>
      <c r="P9126">
        <v>0</v>
      </c>
      <c r="Q9126">
        <v>2</v>
      </c>
      <c r="R9126" t="s">
        <v>47313</v>
      </c>
      <c r="S9126" t="s">
        <v>47535</v>
      </c>
      <c r="T9126" t="s">
        <v>49349</v>
      </c>
      <c r="U9126" t="s">
        <v>57075</v>
      </c>
      <c r="V9126" t="s">
        <v>63110</v>
      </c>
      <c r="W9126" t="s">
        <v>44849</v>
      </c>
      <c r="X9126" t="s">
        <v>47320</v>
      </c>
    </row>
    <row r="9127" spans="1:24">
      <c r="A9127">
        <f>HYPERLINK("https://www.philgeps.gov.ph/GEPSNONPILOT/Tender/SplashBidNoticeAbstractUI.aspx?menuIndex=3&amp;refID=7136355&amp;Result=3","7136355")</f>
        <v>0</v>
      </c>
      <c r="B9127" t="s">
        <v>2856</v>
      </c>
      <c r="C9127" t="s">
        <v>12456</v>
      </c>
      <c r="D9127" t="s">
        <v>19050</v>
      </c>
      <c r="E9127" t="s">
        <v>26886</v>
      </c>
      <c r="F9127" t="s">
        <v>32606</v>
      </c>
      <c r="G9127" t="s">
        <v>32613</v>
      </c>
      <c r="H9127" t="s">
        <v>14201</v>
      </c>
      <c r="I9127" t="s">
        <v>32661</v>
      </c>
      <c r="J9127" t="s">
        <v>38404</v>
      </c>
      <c r="K9127" t="s">
        <v>42631</v>
      </c>
      <c r="M9127" t="s">
        <v>46025</v>
      </c>
      <c r="N9127" t="s">
        <v>47304</v>
      </c>
      <c r="O9127" t="s">
        <v>47305</v>
      </c>
      <c r="P9127">
        <v>0</v>
      </c>
      <c r="Q9127">
        <v>0</v>
      </c>
      <c r="R9127" t="s">
        <v>47313</v>
      </c>
      <c r="S9127" t="s">
        <v>47535</v>
      </c>
      <c r="T9127" t="s">
        <v>49197</v>
      </c>
      <c r="U9127" t="s">
        <v>57076</v>
      </c>
      <c r="W9127" t="s">
        <v>46025</v>
      </c>
      <c r="X9127" t="s">
        <v>47335</v>
      </c>
    </row>
    <row r="9128" spans="1:24">
      <c r="A9128">
        <f>HYPERLINK("https://www.philgeps.gov.ph/GEPSNONPILOT/Tender/SplashBidNoticeAbstractUI.aspx?menuIndex=3&amp;refID=7172757&amp;Result=3","7172757")</f>
        <v>0</v>
      </c>
      <c r="B9128" t="s">
        <v>48</v>
      </c>
      <c r="C9128" t="s">
        <v>12457</v>
      </c>
      <c r="D9128" t="s">
        <v>19003</v>
      </c>
      <c r="E9128" t="s">
        <v>26887</v>
      </c>
      <c r="F9128" t="s">
        <v>32606</v>
      </c>
      <c r="G9128" t="s">
        <v>32618</v>
      </c>
      <c r="H9128" t="s">
        <v>32623</v>
      </c>
      <c r="I9128" t="s">
        <v>17648</v>
      </c>
      <c r="J9128" t="s">
        <v>38405</v>
      </c>
      <c r="K9128" t="s">
        <v>42624</v>
      </c>
      <c r="L9128" t="s">
        <v>48</v>
      </c>
      <c r="M9128" t="s">
        <v>42945</v>
      </c>
      <c r="N9128" t="s">
        <v>47304</v>
      </c>
      <c r="O9128" t="s">
        <v>47305</v>
      </c>
      <c r="Q9128">
        <v>3</v>
      </c>
      <c r="R9128" t="s">
        <v>47313</v>
      </c>
      <c r="S9128" t="s">
        <v>47538</v>
      </c>
      <c r="T9128" t="s">
        <v>49066</v>
      </c>
      <c r="U9128" t="s">
        <v>57077</v>
      </c>
      <c r="W9128" t="s">
        <v>42945</v>
      </c>
      <c r="X9128" t="s">
        <v>47320</v>
      </c>
    </row>
    <row r="9129" spans="1:24">
      <c r="A9129">
        <f>HYPERLINK("https://www.philgeps.gov.ph/GEPSNONPILOT/Tender/SplashBidNoticeAbstractUI.aspx?menuIndex=3&amp;refID=7172717&amp;Result=3","7172717")</f>
        <v>0</v>
      </c>
      <c r="B9129" t="s">
        <v>48</v>
      </c>
      <c r="C9129" t="s">
        <v>12458</v>
      </c>
      <c r="D9129" t="s">
        <v>19003</v>
      </c>
      <c r="E9129" t="s">
        <v>26888</v>
      </c>
      <c r="F9129" t="s">
        <v>32606</v>
      </c>
      <c r="G9129" t="s">
        <v>32618</v>
      </c>
      <c r="H9129" t="s">
        <v>32623</v>
      </c>
      <c r="I9129" t="s">
        <v>17648</v>
      </c>
      <c r="J9129" t="s">
        <v>38405</v>
      </c>
      <c r="K9129" t="s">
        <v>42624</v>
      </c>
      <c r="L9129" t="s">
        <v>48</v>
      </c>
      <c r="M9129" t="s">
        <v>42945</v>
      </c>
      <c r="N9129" t="s">
        <v>47304</v>
      </c>
      <c r="O9129" t="s">
        <v>47305</v>
      </c>
      <c r="Q9129">
        <v>3</v>
      </c>
      <c r="R9129" t="s">
        <v>47313</v>
      </c>
      <c r="S9129" t="s">
        <v>47539</v>
      </c>
      <c r="T9129" t="s">
        <v>49066</v>
      </c>
      <c r="U9129" t="s">
        <v>57078</v>
      </c>
      <c r="W9129" t="s">
        <v>42945</v>
      </c>
      <c r="X9129" t="s">
        <v>47320</v>
      </c>
    </row>
    <row r="9130" spans="1:24">
      <c r="A9130">
        <f>HYPERLINK("https://www.philgeps.gov.ph/GEPSNONPILOT/Tender/SplashBidNoticeAbstractUI.aspx?menuIndex=3&amp;refID=7170748&amp;Result=3","7170748")</f>
        <v>0</v>
      </c>
      <c r="B9130" t="s">
        <v>2857</v>
      </c>
      <c r="C9130" t="s">
        <v>12459</v>
      </c>
      <c r="D9130" t="s">
        <v>19034</v>
      </c>
      <c r="E9130" t="s">
        <v>26889</v>
      </c>
      <c r="F9130" t="s">
        <v>32606</v>
      </c>
      <c r="G9130" t="s">
        <v>32613</v>
      </c>
      <c r="H9130" t="s">
        <v>32623</v>
      </c>
      <c r="I9130" t="s">
        <v>17648</v>
      </c>
      <c r="J9130" t="s">
        <v>38406</v>
      </c>
      <c r="K9130" t="s">
        <v>42623</v>
      </c>
      <c r="L9130" t="s">
        <v>2857</v>
      </c>
      <c r="M9130" t="s">
        <v>46026</v>
      </c>
      <c r="N9130" t="s">
        <v>47304</v>
      </c>
      <c r="O9130" t="s">
        <v>47305</v>
      </c>
      <c r="P9130">
        <v>0</v>
      </c>
      <c r="Q9130">
        <v>2</v>
      </c>
      <c r="R9130" t="s">
        <v>47313</v>
      </c>
      <c r="S9130" t="s">
        <v>47535</v>
      </c>
      <c r="T9130" t="s">
        <v>49020</v>
      </c>
      <c r="U9130" t="s">
        <v>57079</v>
      </c>
      <c r="W9130" t="s">
        <v>46026</v>
      </c>
      <c r="X9130" t="s">
        <v>47320</v>
      </c>
    </row>
    <row r="9131" spans="1:24">
      <c r="A9131">
        <f>HYPERLINK("https://www.philgeps.gov.ph/GEPSNONPILOT/Tender/SplashBidNoticeAbstractUI.aspx?menuIndex=3&amp;refID=7170752&amp;Result=3","7170752")</f>
        <v>0</v>
      </c>
      <c r="B9131" t="s">
        <v>2857</v>
      </c>
      <c r="C9131" t="s">
        <v>12460</v>
      </c>
      <c r="D9131" t="s">
        <v>19034</v>
      </c>
      <c r="E9131" t="s">
        <v>26890</v>
      </c>
      <c r="F9131" t="s">
        <v>32606</v>
      </c>
      <c r="G9131" t="s">
        <v>32613</v>
      </c>
      <c r="H9131" t="s">
        <v>14201</v>
      </c>
      <c r="I9131" t="s">
        <v>6931</v>
      </c>
      <c r="J9131" t="s">
        <v>38407</v>
      </c>
      <c r="K9131" t="s">
        <v>42639</v>
      </c>
      <c r="L9131" t="s">
        <v>2857</v>
      </c>
      <c r="M9131" t="s">
        <v>46026</v>
      </c>
      <c r="N9131" t="s">
        <v>47304</v>
      </c>
      <c r="O9131" t="s">
        <v>47305</v>
      </c>
      <c r="P9131">
        <v>0</v>
      </c>
      <c r="Q9131">
        <v>2</v>
      </c>
      <c r="R9131" t="s">
        <v>47313</v>
      </c>
      <c r="S9131" t="s">
        <v>47535</v>
      </c>
      <c r="T9131" t="s">
        <v>49020</v>
      </c>
      <c r="U9131" t="s">
        <v>57080</v>
      </c>
      <c r="W9131" t="s">
        <v>46026</v>
      </c>
      <c r="X9131" t="s">
        <v>47320</v>
      </c>
    </row>
    <row r="9132" spans="1:24">
      <c r="A9132">
        <f>HYPERLINK("https://www.philgeps.gov.ph/GEPSNONPILOT/Tender/SplashBidNoticeAbstractUI.aspx?menuIndex=3&amp;refID=7175534&amp;Result=3","7175534")</f>
        <v>0</v>
      </c>
      <c r="B9132" t="s">
        <v>84</v>
      </c>
      <c r="C9132" t="s">
        <v>12461</v>
      </c>
      <c r="D9132" t="s">
        <v>19080</v>
      </c>
      <c r="E9132" t="s">
        <v>26891</v>
      </c>
      <c r="F9132" t="s">
        <v>32606</v>
      </c>
      <c r="G9132" t="s">
        <v>32613</v>
      </c>
      <c r="H9132" t="s">
        <v>32625</v>
      </c>
      <c r="I9132" t="s">
        <v>32625</v>
      </c>
      <c r="J9132" t="s">
        <v>38408</v>
      </c>
      <c r="K9132" t="s">
        <v>42679</v>
      </c>
      <c r="M9132" t="s">
        <v>46023</v>
      </c>
      <c r="N9132" t="s">
        <v>47304</v>
      </c>
      <c r="O9132" t="s">
        <v>47305</v>
      </c>
      <c r="P9132">
        <v>0</v>
      </c>
      <c r="Q9132">
        <v>5</v>
      </c>
      <c r="R9132" t="s">
        <v>47313</v>
      </c>
      <c r="S9132" t="s">
        <v>47535</v>
      </c>
      <c r="T9132" t="s">
        <v>48998</v>
      </c>
      <c r="U9132" t="s">
        <v>57081</v>
      </c>
      <c r="V9132" t="s">
        <v>63613</v>
      </c>
      <c r="W9132" t="s">
        <v>46023</v>
      </c>
      <c r="X9132" t="s">
        <v>47319</v>
      </c>
    </row>
    <row r="9133" spans="1:24">
      <c r="A9133">
        <f>HYPERLINK("https://www.philgeps.gov.ph/GEPSNONPILOT/Tender/SplashBidNoticeAbstractUI.aspx?menuIndex=3&amp;refID=7171676&amp;Result=3","7171676")</f>
        <v>0</v>
      </c>
      <c r="B9133" t="s">
        <v>776</v>
      </c>
      <c r="C9133" t="s">
        <v>12462</v>
      </c>
      <c r="D9133" t="s">
        <v>19003</v>
      </c>
      <c r="E9133" t="s">
        <v>26892</v>
      </c>
      <c r="F9133" t="s">
        <v>32606</v>
      </c>
      <c r="G9133" t="s">
        <v>32613</v>
      </c>
      <c r="H9133" t="s">
        <v>14201</v>
      </c>
      <c r="I9133" t="s">
        <v>32633</v>
      </c>
      <c r="J9133" t="s">
        <v>38409</v>
      </c>
      <c r="K9133" t="s">
        <v>42622</v>
      </c>
      <c r="M9133" t="s">
        <v>43705</v>
      </c>
      <c r="N9133" t="s">
        <v>47304</v>
      </c>
      <c r="O9133" t="s">
        <v>47305</v>
      </c>
      <c r="P9133">
        <v>0</v>
      </c>
      <c r="Q9133">
        <v>5</v>
      </c>
      <c r="R9133" t="s">
        <v>47313</v>
      </c>
      <c r="S9133" t="s">
        <v>47535</v>
      </c>
      <c r="T9133" t="s">
        <v>49373</v>
      </c>
      <c r="U9133" t="s">
        <v>50960</v>
      </c>
      <c r="V9133" t="s">
        <v>62826</v>
      </c>
      <c r="W9133" t="s">
        <v>43705</v>
      </c>
      <c r="X9133" t="s">
        <v>47320</v>
      </c>
    </row>
    <row r="9134" spans="1:24">
      <c r="A9134">
        <f>HYPERLINK("https://www.philgeps.gov.ph/GEPSNONPILOT/Tender/SplashBidNoticeAbstractUI.aspx?menuIndex=3&amp;refID=7170246&amp;Result=3","7170246")</f>
        <v>0</v>
      </c>
      <c r="B9134" t="s">
        <v>776</v>
      </c>
      <c r="C9134" t="s">
        <v>12463</v>
      </c>
      <c r="D9134" t="s">
        <v>19003</v>
      </c>
      <c r="E9134" t="s">
        <v>26893</v>
      </c>
      <c r="F9134" t="s">
        <v>32606</v>
      </c>
      <c r="G9134" t="s">
        <v>32613</v>
      </c>
      <c r="H9134" t="s">
        <v>14201</v>
      </c>
      <c r="I9134" t="s">
        <v>7233</v>
      </c>
      <c r="J9134" t="s">
        <v>33578</v>
      </c>
      <c r="K9134" t="s">
        <v>42622</v>
      </c>
      <c r="M9134" t="s">
        <v>43705</v>
      </c>
      <c r="N9134" t="s">
        <v>47304</v>
      </c>
      <c r="O9134" t="s">
        <v>47305</v>
      </c>
      <c r="P9134">
        <v>0</v>
      </c>
      <c r="Q9134">
        <v>0</v>
      </c>
      <c r="R9134" t="s">
        <v>47313</v>
      </c>
      <c r="S9134" t="s">
        <v>47535</v>
      </c>
      <c r="T9134" t="s">
        <v>49373</v>
      </c>
      <c r="U9134" t="s">
        <v>50960</v>
      </c>
      <c r="V9134" t="s">
        <v>62826</v>
      </c>
      <c r="W9134" t="s">
        <v>43705</v>
      </c>
      <c r="X9134" t="s">
        <v>47321</v>
      </c>
    </row>
    <row r="9135" spans="1:24">
      <c r="A9135">
        <f>HYPERLINK("https://www.philgeps.gov.ph/GEPSNONPILOT/Tender/SplashBidNoticeAbstractUI.aspx?menuIndex=3&amp;refID=7166391&amp;Result=3","7166391")</f>
        <v>0</v>
      </c>
      <c r="B9135" t="s">
        <v>2858</v>
      </c>
      <c r="C9135" t="s">
        <v>3946</v>
      </c>
      <c r="D9135" t="s">
        <v>19000</v>
      </c>
      <c r="E9135" t="s">
        <v>26894</v>
      </c>
      <c r="F9135" t="s">
        <v>32606</v>
      </c>
      <c r="G9135" t="s">
        <v>32613</v>
      </c>
      <c r="H9135" t="s">
        <v>32623</v>
      </c>
      <c r="I9135" t="s">
        <v>17648</v>
      </c>
      <c r="J9135" t="s">
        <v>32885</v>
      </c>
      <c r="K9135" t="s">
        <v>42630</v>
      </c>
      <c r="M9135" t="s">
        <v>46027</v>
      </c>
      <c r="N9135" t="s">
        <v>47304</v>
      </c>
      <c r="O9135" t="s">
        <v>47305</v>
      </c>
      <c r="P9135">
        <v>0</v>
      </c>
      <c r="Q9135">
        <v>0</v>
      </c>
      <c r="R9135" t="s">
        <v>47313</v>
      </c>
      <c r="S9135" t="s">
        <v>47535</v>
      </c>
      <c r="T9135" t="s">
        <v>49268</v>
      </c>
      <c r="U9135" t="s">
        <v>57082</v>
      </c>
      <c r="W9135" t="s">
        <v>46027</v>
      </c>
      <c r="X9135" t="s">
        <v>47322</v>
      </c>
    </row>
    <row r="9136" spans="1:24">
      <c r="A9136">
        <f>HYPERLINK("https://www.philgeps.gov.ph/GEPSNONPILOT/Tender/SplashBidNoticeAbstractUI.aspx?menuIndex=3&amp;refID=7172521&amp;Result=3","7172521")</f>
        <v>0</v>
      </c>
      <c r="B9136" t="s">
        <v>2859</v>
      </c>
      <c r="C9136" t="s">
        <v>12464</v>
      </c>
      <c r="D9136" t="s">
        <v>19002</v>
      </c>
      <c r="E9136" t="s">
        <v>26895</v>
      </c>
      <c r="F9136" t="s">
        <v>32606</v>
      </c>
      <c r="G9136" t="s">
        <v>32613</v>
      </c>
      <c r="H9136" t="s">
        <v>32623</v>
      </c>
      <c r="I9136" t="s">
        <v>17648</v>
      </c>
      <c r="J9136" t="s">
        <v>38410</v>
      </c>
      <c r="K9136" t="s">
        <v>42645</v>
      </c>
      <c r="M9136" t="s">
        <v>46028</v>
      </c>
      <c r="N9136" t="s">
        <v>47304</v>
      </c>
      <c r="O9136" t="s">
        <v>47305</v>
      </c>
      <c r="P9136">
        <v>0</v>
      </c>
      <c r="Q9136">
        <v>3</v>
      </c>
      <c r="R9136" t="s">
        <v>47313</v>
      </c>
      <c r="S9136" t="s">
        <v>47535</v>
      </c>
      <c r="T9136" t="s">
        <v>49032</v>
      </c>
      <c r="U9136" t="s">
        <v>57083</v>
      </c>
      <c r="W9136" t="s">
        <v>46028</v>
      </c>
      <c r="X9136" t="s">
        <v>47320</v>
      </c>
    </row>
    <row r="9137" spans="1:24">
      <c r="A9137">
        <f>HYPERLINK("https://www.philgeps.gov.ph/GEPSNONPILOT/Tender/SplashBidNoticeAbstractUI.aspx?menuIndex=3&amp;refID=7172187&amp;Result=3","7172187")</f>
        <v>0</v>
      </c>
      <c r="B9137" t="s">
        <v>2860</v>
      </c>
      <c r="C9137" t="s">
        <v>12465</v>
      </c>
      <c r="D9137" t="s">
        <v>19038</v>
      </c>
      <c r="E9137" t="s">
        <v>26896</v>
      </c>
      <c r="F9137" t="s">
        <v>32606</v>
      </c>
      <c r="G9137" t="s">
        <v>32613</v>
      </c>
      <c r="H9137" t="s">
        <v>32623</v>
      </c>
      <c r="I9137" t="s">
        <v>17648</v>
      </c>
      <c r="J9137" t="s">
        <v>38411</v>
      </c>
      <c r="K9137" t="s">
        <v>42646</v>
      </c>
      <c r="M9137" t="s">
        <v>46029</v>
      </c>
      <c r="N9137" t="s">
        <v>47304</v>
      </c>
      <c r="O9137" t="s">
        <v>47305</v>
      </c>
      <c r="P9137">
        <v>0</v>
      </c>
      <c r="Q9137">
        <v>1</v>
      </c>
      <c r="R9137" t="s">
        <v>47313</v>
      </c>
      <c r="S9137" t="s">
        <v>47535</v>
      </c>
      <c r="T9137" t="s">
        <v>49047</v>
      </c>
      <c r="U9137" t="s">
        <v>57084</v>
      </c>
      <c r="W9137" t="s">
        <v>46029</v>
      </c>
      <c r="X9137" t="s">
        <v>47320</v>
      </c>
    </row>
    <row r="9138" spans="1:24">
      <c r="A9138">
        <f>HYPERLINK("https://www.philgeps.gov.ph/GEPSNONPILOT/Tender/SplashBidNoticeAbstractUI.aspx?menuIndex=3&amp;refID=7179044&amp;Result=3","7179044")</f>
        <v>0</v>
      </c>
      <c r="B9138" t="s">
        <v>2367</v>
      </c>
      <c r="C9138" t="s">
        <v>5233</v>
      </c>
      <c r="D9138" t="s">
        <v>19025</v>
      </c>
      <c r="E9138" t="s">
        <v>26897</v>
      </c>
      <c r="F9138" t="s">
        <v>32606</v>
      </c>
      <c r="G9138" t="s">
        <v>32613</v>
      </c>
      <c r="H9138" t="s">
        <v>14201</v>
      </c>
      <c r="I9138" t="s">
        <v>5233</v>
      </c>
      <c r="J9138" t="s">
        <v>34196</v>
      </c>
      <c r="K9138" t="s">
        <v>42631</v>
      </c>
      <c r="M9138" t="s">
        <v>45481</v>
      </c>
      <c r="N9138" t="s">
        <v>47304</v>
      </c>
      <c r="O9138" t="s">
        <v>47305</v>
      </c>
      <c r="P9138">
        <v>0</v>
      </c>
      <c r="Q9138">
        <v>0</v>
      </c>
      <c r="R9138" t="s">
        <v>47313</v>
      </c>
      <c r="S9138" t="s">
        <v>47535</v>
      </c>
      <c r="T9138" t="s">
        <v>49071</v>
      </c>
      <c r="U9138" t="s">
        <v>57085</v>
      </c>
      <c r="W9138" t="s">
        <v>45481</v>
      </c>
      <c r="X9138" t="s">
        <v>47318</v>
      </c>
    </row>
    <row r="9139" spans="1:24">
      <c r="A9139">
        <f>HYPERLINK("https://www.philgeps.gov.ph/GEPSNONPILOT/Tender/SplashBidNoticeAbstractUI.aspx?menuIndex=3&amp;refID=7178805&amp;Result=3","7178805")</f>
        <v>0</v>
      </c>
      <c r="B9139" t="s">
        <v>37</v>
      </c>
      <c r="C9139" t="s">
        <v>12466</v>
      </c>
      <c r="D9139" t="s">
        <v>18997</v>
      </c>
      <c r="E9139" t="s">
        <v>26898</v>
      </c>
      <c r="F9139" t="s">
        <v>32606</v>
      </c>
      <c r="G9139" t="s">
        <v>32613</v>
      </c>
      <c r="H9139" t="s">
        <v>14201</v>
      </c>
      <c r="I9139" t="s">
        <v>7577</v>
      </c>
      <c r="J9139" t="s">
        <v>38412</v>
      </c>
      <c r="K9139" t="s">
        <v>42631</v>
      </c>
      <c r="M9139" t="s">
        <v>42934</v>
      </c>
      <c r="N9139" t="s">
        <v>47304</v>
      </c>
      <c r="O9139" t="s">
        <v>47305</v>
      </c>
      <c r="P9139">
        <v>0</v>
      </c>
      <c r="Q9139">
        <v>2</v>
      </c>
      <c r="R9139" t="s">
        <v>47313</v>
      </c>
      <c r="S9139" t="s">
        <v>47535</v>
      </c>
      <c r="T9139" t="s">
        <v>49068</v>
      </c>
      <c r="U9139" t="s">
        <v>57086</v>
      </c>
      <c r="W9139" t="s">
        <v>42934</v>
      </c>
      <c r="X9139" t="s">
        <v>47318</v>
      </c>
    </row>
    <row r="9140" spans="1:24">
      <c r="A9140">
        <f>HYPERLINK("https://www.philgeps.gov.ph/GEPSNONPILOT/Tender/SplashBidNoticeAbstractUI.aspx?menuIndex=3&amp;refID=7178697&amp;Result=3","7178697")</f>
        <v>0</v>
      </c>
      <c r="B9140" t="s">
        <v>2367</v>
      </c>
      <c r="C9140" t="s">
        <v>12467</v>
      </c>
      <c r="D9140" t="s">
        <v>19025</v>
      </c>
      <c r="E9140" t="s">
        <v>26899</v>
      </c>
      <c r="F9140" t="s">
        <v>32606</v>
      </c>
      <c r="G9140" t="s">
        <v>32613</v>
      </c>
      <c r="H9140" t="s">
        <v>14201</v>
      </c>
      <c r="I9140" t="s">
        <v>32664</v>
      </c>
      <c r="J9140" t="s">
        <v>33449</v>
      </c>
      <c r="K9140" t="s">
        <v>42631</v>
      </c>
      <c r="M9140" t="s">
        <v>45481</v>
      </c>
      <c r="N9140" t="s">
        <v>47304</v>
      </c>
      <c r="O9140" t="s">
        <v>47305</v>
      </c>
      <c r="P9140">
        <v>0</v>
      </c>
      <c r="Q9140">
        <v>0</v>
      </c>
      <c r="R9140" t="s">
        <v>47313</v>
      </c>
      <c r="S9140" t="s">
        <v>47535</v>
      </c>
      <c r="T9140" t="s">
        <v>49071</v>
      </c>
      <c r="U9140" t="s">
        <v>57087</v>
      </c>
      <c r="W9140" t="s">
        <v>45481</v>
      </c>
      <c r="X9140" t="s">
        <v>47318</v>
      </c>
    </row>
    <row r="9141" spans="1:24">
      <c r="A9141">
        <f>HYPERLINK("https://www.philgeps.gov.ph/GEPSNONPILOT/Tender/SplashBidNoticeAbstractUI.aspx?menuIndex=3&amp;refID=7178683&amp;Result=3","7178683")</f>
        <v>0</v>
      </c>
      <c r="B9141" t="s">
        <v>2861</v>
      </c>
      <c r="C9141" t="s">
        <v>12468</v>
      </c>
      <c r="D9141" t="s">
        <v>19015</v>
      </c>
      <c r="E9141" t="s">
        <v>26900</v>
      </c>
      <c r="F9141" t="s">
        <v>32606</v>
      </c>
      <c r="G9141" t="s">
        <v>32613</v>
      </c>
      <c r="H9141" t="s">
        <v>32623</v>
      </c>
      <c r="I9141" t="s">
        <v>32675</v>
      </c>
      <c r="J9141" t="s">
        <v>38413</v>
      </c>
      <c r="K9141" t="s">
        <v>42636</v>
      </c>
      <c r="M9141" t="s">
        <v>46030</v>
      </c>
      <c r="N9141" t="s">
        <v>47304</v>
      </c>
      <c r="O9141" t="s">
        <v>47305</v>
      </c>
      <c r="P9141">
        <v>0</v>
      </c>
      <c r="Q9141">
        <v>27</v>
      </c>
      <c r="R9141" t="s">
        <v>47313</v>
      </c>
      <c r="S9141" t="s">
        <v>47535</v>
      </c>
      <c r="T9141" t="s">
        <v>49200</v>
      </c>
      <c r="U9141" t="s">
        <v>57088</v>
      </c>
      <c r="W9141" t="s">
        <v>46030</v>
      </c>
      <c r="X9141" t="s">
        <v>47318</v>
      </c>
    </row>
    <row r="9142" spans="1:24">
      <c r="A9142">
        <f>HYPERLINK("https://www.philgeps.gov.ph/GEPSNONPILOT/Tender/SplashBidNoticeAbstractUI.aspx?menuIndex=3&amp;refID=7178644&amp;Result=3","7178644")</f>
        <v>0</v>
      </c>
      <c r="B9142" t="s">
        <v>2861</v>
      </c>
      <c r="C9142" t="s">
        <v>12469</v>
      </c>
      <c r="D9142" t="s">
        <v>19015</v>
      </c>
      <c r="E9142" t="s">
        <v>26901</v>
      </c>
      <c r="F9142" t="s">
        <v>32606</v>
      </c>
      <c r="G9142" t="s">
        <v>32613</v>
      </c>
      <c r="H9142" t="s">
        <v>32623</v>
      </c>
      <c r="I9142" t="s">
        <v>32675</v>
      </c>
      <c r="J9142" t="s">
        <v>38414</v>
      </c>
      <c r="K9142" t="s">
        <v>42636</v>
      </c>
      <c r="M9142" t="s">
        <v>46030</v>
      </c>
      <c r="N9142" t="s">
        <v>47304</v>
      </c>
      <c r="O9142" t="s">
        <v>47305</v>
      </c>
      <c r="P9142">
        <v>0</v>
      </c>
      <c r="Q9142">
        <v>26</v>
      </c>
      <c r="R9142" t="s">
        <v>47313</v>
      </c>
      <c r="S9142" t="s">
        <v>47535</v>
      </c>
      <c r="T9142" t="s">
        <v>49076</v>
      </c>
      <c r="U9142" t="s">
        <v>57089</v>
      </c>
      <c r="W9142" t="s">
        <v>46030</v>
      </c>
      <c r="X9142" t="s">
        <v>47318</v>
      </c>
    </row>
    <row r="9143" spans="1:24">
      <c r="A9143">
        <f>HYPERLINK("https://www.philgeps.gov.ph/GEPSNONPILOT/Tender/SplashBidNoticeAbstractUI.aspx?menuIndex=3&amp;refID=7178630&amp;Result=3","7178630")</f>
        <v>0</v>
      </c>
      <c r="B9143" t="s">
        <v>2862</v>
      </c>
      <c r="C9143" t="s">
        <v>12470</v>
      </c>
      <c r="D9143" t="s">
        <v>19011</v>
      </c>
      <c r="E9143" t="s">
        <v>26902</v>
      </c>
      <c r="F9143" t="s">
        <v>32606</v>
      </c>
      <c r="G9143" t="s">
        <v>32613</v>
      </c>
      <c r="H9143" t="s">
        <v>32623</v>
      </c>
      <c r="I9143" t="s">
        <v>32675</v>
      </c>
      <c r="J9143" t="s">
        <v>38415</v>
      </c>
      <c r="K9143" t="s">
        <v>42712</v>
      </c>
      <c r="M9143" t="s">
        <v>46031</v>
      </c>
      <c r="N9143" t="s">
        <v>47304</v>
      </c>
      <c r="O9143" t="s">
        <v>47305</v>
      </c>
      <c r="P9143">
        <v>0</v>
      </c>
      <c r="Q9143">
        <v>2</v>
      </c>
      <c r="R9143" t="s">
        <v>47313</v>
      </c>
      <c r="S9143" t="s">
        <v>47535</v>
      </c>
      <c r="T9143" t="s">
        <v>49052</v>
      </c>
      <c r="U9143" t="s">
        <v>57090</v>
      </c>
      <c r="W9143" t="s">
        <v>46031</v>
      </c>
      <c r="X9143" t="s">
        <v>47318</v>
      </c>
    </row>
    <row r="9144" spans="1:24">
      <c r="A9144">
        <f>HYPERLINK("https://www.philgeps.gov.ph/GEPSNONPILOT/Tender/SplashBidNoticeAbstractUI.aspx?menuIndex=3&amp;refID=7177485&amp;Result=3","7177485")</f>
        <v>0</v>
      </c>
      <c r="B9144" t="s">
        <v>1379</v>
      </c>
      <c r="C9144" t="s">
        <v>12471</v>
      </c>
      <c r="D9144" t="s">
        <v>19011</v>
      </c>
      <c r="E9144" t="s">
        <v>26903</v>
      </c>
      <c r="F9144" t="s">
        <v>32606</v>
      </c>
      <c r="G9144" t="s">
        <v>32613</v>
      </c>
      <c r="H9144" t="s">
        <v>32623</v>
      </c>
      <c r="I9144" t="s">
        <v>17648</v>
      </c>
      <c r="J9144" t="s">
        <v>32772</v>
      </c>
      <c r="K9144" t="s">
        <v>42648</v>
      </c>
      <c r="M9144" t="s">
        <v>44361</v>
      </c>
      <c r="N9144" t="s">
        <v>47304</v>
      </c>
      <c r="O9144" t="s">
        <v>47305</v>
      </c>
      <c r="P9144">
        <v>0</v>
      </c>
      <c r="Q9144">
        <v>1</v>
      </c>
      <c r="R9144" t="s">
        <v>47313</v>
      </c>
      <c r="S9144" t="s">
        <v>47535</v>
      </c>
      <c r="T9144" t="s">
        <v>49111</v>
      </c>
      <c r="U9144" t="s">
        <v>57091</v>
      </c>
      <c r="W9144" t="s">
        <v>44361</v>
      </c>
      <c r="X9144" t="s">
        <v>47318</v>
      </c>
    </row>
    <row r="9145" spans="1:24">
      <c r="A9145">
        <f>HYPERLINK("https://www.philgeps.gov.ph/GEPSNONPILOT/Tender/SplashBidNoticeAbstractUI.aspx?menuIndex=3&amp;refID=7178566&amp;Result=3","7178566")</f>
        <v>0</v>
      </c>
      <c r="B9145" t="s">
        <v>2861</v>
      </c>
      <c r="C9145" t="s">
        <v>12472</v>
      </c>
      <c r="D9145" t="s">
        <v>19015</v>
      </c>
      <c r="E9145" t="s">
        <v>26904</v>
      </c>
      <c r="F9145" t="s">
        <v>32606</v>
      </c>
      <c r="G9145" t="s">
        <v>32613</v>
      </c>
      <c r="H9145" t="s">
        <v>32623</v>
      </c>
      <c r="I9145" t="s">
        <v>32675</v>
      </c>
      <c r="J9145" t="s">
        <v>38416</v>
      </c>
      <c r="K9145" t="s">
        <v>42648</v>
      </c>
      <c r="M9145" t="s">
        <v>46030</v>
      </c>
      <c r="N9145" t="s">
        <v>47304</v>
      </c>
      <c r="O9145" t="s">
        <v>47305</v>
      </c>
      <c r="P9145">
        <v>0</v>
      </c>
      <c r="Q9145">
        <v>24</v>
      </c>
      <c r="R9145" t="s">
        <v>47313</v>
      </c>
      <c r="S9145" t="s">
        <v>47535</v>
      </c>
      <c r="T9145" t="s">
        <v>49015</v>
      </c>
      <c r="U9145" t="s">
        <v>57092</v>
      </c>
      <c r="W9145" t="s">
        <v>46030</v>
      </c>
      <c r="X9145" t="s">
        <v>47318</v>
      </c>
    </row>
    <row r="9146" spans="1:24">
      <c r="A9146">
        <f>HYPERLINK("https://www.philgeps.gov.ph/GEPSNONPILOT/Tender/SplashBidNoticeAbstractUI.aspx?menuIndex=3&amp;refID=7177931&amp;Result=3","7177931")</f>
        <v>0</v>
      </c>
      <c r="B9146" t="s">
        <v>37</v>
      </c>
      <c r="C9146" t="s">
        <v>12473</v>
      </c>
      <c r="D9146" t="s">
        <v>18997</v>
      </c>
      <c r="E9146" t="s">
        <v>26905</v>
      </c>
      <c r="F9146" t="s">
        <v>32606</v>
      </c>
      <c r="G9146" t="s">
        <v>32613</v>
      </c>
      <c r="H9146" t="s">
        <v>14201</v>
      </c>
      <c r="I9146" t="s">
        <v>32631</v>
      </c>
      <c r="J9146" t="s">
        <v>38417</v>
      </c>
      <c r="K9146" t="s">
        <v>42631</v>
      </c>
      <c r="M9146" t="s">
        <v>42934</v>
      </c>
      <c r="N9146" t="s">
        <v>47304</v>
      </c>
      <c r="O9146" t="s">
        <v>47305</v>
      </c>
      <c r="P9146">
        <v>0</v>
      </c>
      <c r="Q9146">
        <v>0</v>
      </c>
      <c r="R9146" t="s">
        <v>47313</v>
      </c>
      <c r="S9146" t="s">
        <v>47535</v>
      </c>
      <c r="T9146" t="s">
        <v>49068</v>
      </c>
      <c r="U9146" t="s">
        <v>57093</v>
      </c>
      <c r="W9146" t="s">
        <v>42934</v>
      </c>
      <c r="X9146" t="s">
        <v>47318</v>
      </c>
    </row>
    <row r="9147" spans="1:24">
      <c r="A9147">
        <f>HYPERLINK("https://www.philgeps.gov.ph/GEPSNONPILOT/Tender/SplashBidNoticeAbstractUI.aspx?menuIndex=3&amp;refID=7177892&amp;Result=3","7177892")</f>
        <v>0</v>
      </c>
      <c r="B9147" t="s">
        <v>37</v>
      </c>
      <c r="C9147" t="s">
        <v>12474</v>
      </c>
      <c r="D9147" t="s">
        <v>18997</v>
      </c>
      <c r="E9147" t="s">
        <v>26906</v>
      </c>
      <c r="F9147" t="s">
        <v>32606</v>
      </c>
      <c r="G9147" t="s">
        <v>32613</v>
      </c>
      <c r="H9147" t="s">
        <v>14201</v>
      </c>
      <c r="I9147" t="s">
        <v>4678</v>
      </c>
      <c r="J9147" t="s">
        <v>34961</v>
      </c>
      <c r="K9147" t="s">
        <v>42631</v>
      </c>
      <c r="M9147" t="s">
        <v>42934</v>
      </c>
      <c r="N9147" t="s">
        <v>47304</v>
      </c>
      <c r="O9147" t="s">
        <v>47305</v>
      </c>
      <c r="P9147">
        <v>0</v>
      </c>
      <c r="Q9147">
        <v>1</v>
      </c>
      <c r="R9147" t="s">
        <v>47313</v>
      </c>
      <c r="S9147" t="s">
        <v>47535</v>
      </c>
      <c r="T9147" t="s">
        <v>49068</v>
      </c>
      <c r="U9147" t="s">
        <v>57094</v>
      </c>
      <c r="W9147" t="s">
        <v>42934</v>
      </c>
      <c r="X9147" t="s">
        <v>47318</v>
      </c>
    </row>
    <row r="9148" spans="1:24">
      <c r="A9148">
        <f>HYPERLINK("https://www.philgeps.gov.ph/GEPSNONPILOT/Tender/SplashBidNoticeAbstractUI.aspx?menuIndex=3&amp;refID=7177884&amp;Result=3","7177884")</f>
        <v>0</v>
      </c>
      <c r="B9148" t="s">
        <v>2862</v>
      </c>
      <c r="C9148" t="s">
        <v>12475</v>
      </c>
      <c r="D9148" t="s">
        <v>19011</v>
      </c>
      <c r="E9148" t="s">
        <v>26907</v>
      </c>
      <c r="F9148" t="s">
        <v>32606</v>
      </c>
      <c r="G9148" t="s">
        <v>32613</v>
      </c>
      <c r="H9148" t="s">
        <v>32623</v>
      </c>
      <c r="I9148" t="s">
        <v>17648</v>
      </c>
      <c r="J9148" t="s">
        <v>38418</v>
      </c>
      <c r="K9148" t="s">
        <v>42788</v>
      </c>
      <c r="M9148" t="s">
        <v>46031</v>
      </c>
      <c r="N9148" t="s">
        <v>47304</v>
      </c>
      <c r="O9148" t="s">
        <v>47305</v>
      </c>
      <c r="P9148">
        <v>0</v>
      </c>
      <c r="Q9148">
        <v>12</v>
      </c>
      <c r="R9148" t="s">
        <v>47313</v>
      </c>
      <c r="S9148" t="s">
        <v>47535</v>
      </c>
      <c r="T9148" t="s">
        <v>49052</v>
      </c>
      <c r="U9148" t="s">
        <v>57095</v>
      </c>
      <c r="W9148" t="s">
        <v>46031</v>
      </c>
      <c r="X9148" t="s">
        <v>47318</v>
      </c>
    </row>
    <row r="9149" spans="1:24">
      <c r="A9149">
        <f>HYPERLINK("https://www.philgeps.gov.ph/GEPSNONPILOT/Tender/SplashBidNoticeAbstractUI.aspx?menuIndex=3&amp;refID=7177815&amp;Result=3","7177815")</f>
        <v>0</v>
      </c>
      <c r="B9149" t="s">
        <v>37</v>
      </c>
      <c r="C9149" t="s">
        <v>12476</v>
      </c>
      <c r="D9149" t="s">
        <v>18997</v>
      </c>
      <c r="E9149" t="s">
        <v>26908</v>
      </c>
      <c r="F9149" t="s">
        <v>32606</v>
      </c>
      <c r="G9149" t="s">
        <v>32613</v>
      </c>
      <c r="H9149" t="s">
        <v>14201</v>
      </c>
      <c r="I9149" t="s">
        <v>6931</v>
      </c>
      <c r="J9149" t="s">
        <v>38419</v>
      </c>
      <c r="K9149" t="s">
        <v>42631</v>
      </c>
      <c r="M9149" t="s">
        <v>42934</v>
      </c>
      <c r="N9149" t="s">
        <v>47304</v>
      </c>
      <c r="O9149" t="s">
        <v>47305</v>
      </c>
      <c r="P9149">
        <v>0</v>
      </c>
      <c r="Q9149">
        <v>0</v>
      </c>
      <c r="R9149" t="s">
        <v>47313</v>
      </c>
      <c r="S9149" t="s">
        <v>47535</v>
      </c>
      <c r="T9149" t="s">
        <v>49068</v>
      </c>
      <c r="U9149" t="s">
        <v>57096</v>
      </c>
      <c r="W9149" t="s">
        <v>42934</v>
      </c>
      <c r="X9149" t="s">
        <v>47318</v>
      </c>
    </row>
    <row r="9150" spans="1:24">
      <c r="A9150">
        <f>HYPERLINK("https://www.philgeps.gov.ph/GEPSNONPILOT/Tender/SplashBidNoticeAbstractUI.aspx?menuIndex=3&amp;refID=7178463&amp;Result=3","7178463")</f>
        <v>0</v>
      </c>
      <c r="B9150" t="s">
        <v>197</v>
      </c>
      <c r="C9150" t="s">
        <v>12477</v>
      </c>
      <c r="D9150" t="s">
        <v>19027</v>
      </c>
      <c r="E9150" t="s">
        <v>26909</v>
      </c>
      <c r="F9150" t="s">
        <v>32606</v>
      </c>
      <c r="G9150" t="s">
        <v>32614</v>
      </c>
      <c r="H9150" t="s">
        <v>32624</v>
      </c>
      <c r="I9150" t="s">
        <v>32629</v>
      </c>
      <c r="J9150" t="s">
        <v>32885</v>
      </c>
      <c r="K9150" t="s">
        <v>42625</v>
      </c>
      <c r="M9150" t="s">
        <v>43098</v>
      </c>
      <c r="N9150" t="s">
        <v>47304</v>
      </c>
      <c r="O9150" t="s">
        <v>47305</v>
      </c>
      <c r="P9150">
        <v>0</v>
      </c>
      <c r="Q9150">
        <v>0</v>
      </c>
      <c r="R9150" t="s">
        <v>47313</v>
      </c>
      <c r="S9150" t="s">
        <v>47535</v>
      </c>
      <c r="T9150" t="s">
        <v>49072</v>
      </c>
      <c r="U9150" t="s">
        <v>57097</v>
      </c>
      <c r="W9150" t="s">
        <v>43098</v>
      </c>
      <c r="X9150" t="s">
        <v>47318</v>
      </c>
    </row>
    <row r="9151" spans="1:24">
      <c r="A9151">
        <f>HYPERLINK("https://www.philgeps.gov.ph/GEPSNONPILOT/Tender/SplashBidNoticeAbstractUI.aspx?menuIndex=3&amp;refID=7177757&amp;Result=3","7177757")</f>
        <v>0</v>
      </c>
      <c r="B9151" t="s">
        <v>37</v>
      </c>
      <c r="C9151" t="s">
        <v>12478</v>
      </c>
      <c r="D9151" t="s">
        <v>18997</v>
      </c>
      <c r="E9151" t="s">
        <v>26910</v>
      </c>
      <c r="F9151" t="s">
        <v>32606</v>
      </c>
      <c r="G9151" t="s">
        <v>32613</v>
      </c>
      <c r="H9151" t="s">
        <v>14201</v>
      </c>
      <c r="I9151" t="s">
        <v>4678</v>
      </c>
      <c r="J9151" t="s">
        <v>32813</v>
      </c>
      <c r="K9151" t="s">
        <v>42631</v>
      </c>
      <c r="M9151" t="s">
        <v>42934</v>
      </c>
      <c r="N9151" t="s">
        <v>47304</v>
      </c>
      <c r="O9151" t="s">
        <v>47305</v>
      </c>
      <c r="P9151">
        <v>0</v>
      </c>
      <c r="Q9151">
        <v>1</v>
      </c>
      <c r="R9151" t="s">
        <v>47313</v>
      </c>
      <c r="S9151" t="s">
        <v>47535</v>
      </c>
      <c r="T9151" t="s">
        <v>49068</v>
      </c>
      <c r="U9151" t="s">
        <v>57098</v>
      </c>
      <c r="W9151" t="s">
        <v>42934</v>
      </c>
      <c r="X9151" t="s">
        <v>47318</v>
      </c>
    </row>
    <row r="9152" spans="1:24">
      <c r="A9152">
        <f>HYPERLINK("https://www.philgeps.gov.ph/GEPSNONPILOT/Tender/SplashBidNoticeAbstractUI.aspx?menuIndex=3&amp;refID=7170732&amp;Result=3","7170732")</f>
        <v>0</v>
      </c>
      <c r="B9152" t="s">
        <v>1808</v>
      </c>
      <c r="C9152" t="s">
        <v>12479</v>
      </c>
      <c r="D9152" t="s">
        <v>19023</v>
      </c>
      <c r="E9152" t="s">
        <v>26911</v>
      </c>
      <c r="F9152" t="s">
        <v>32606</v>
      </c>
      <c r="G9152" t="s">
        <v>32613</v>
      </c>
      <c r="H9152" t="s">
        <v>14201</v>
      </c>
      <c r="I9152" t="s">
        <v>32648</v>
      </c>
      <c r="J9152" t="s">
        <v>38420</v>
      </c>
      <c r="K9152" t="s">
        <v>42631</v>
      </c>
      <c r="M9152" t="s">
        <v>44849</v>
      </c>
      <c r="N9152" t="s">
        <v>47304</v>
      </c>
      <c r="O9152" t="s">
        <v>47305</v>
      </c>
      <c r="P9152">
        <v>0</v>
      </c>
      <c r="Q9152">
        <v>0</v>
      </c>
      <c r="R9152" t="s">
        <v>47313</v>
      </c>
      <c r="S9152" t="s">
        <v>47535</v>
      </c>
      <c r="T9152" t="s">
        <v>49256</v>
      </c>
      <c r="U9152" t="s">
        <v>57099</v>
      </c>
      <c r="V9152" t="s">
        <v>63262</v>
      </c>
      <c r="W9152" t="s">
        <v>44849</v>
      </c>
      <c r="X9152" t="s">
        <v>47321</v>
      </c>
    </row>
    <row r="9153" spans="1:24">
      <c r="A9153">
        <f>HYPERLINK("https://www.philgeps.gov.ph/GEPSNONPILOT/Tender/SplashBidNoticeAbstractUI.aspx?menuIndex=3&amp;refID=7168884&amp;Result=3","7168884")</f>
        <v>0</v>
      </c>
      <c r="B9153" t="s">
        <v>2863</v>
      </c>
      <c r="C9153" t="s">
        <v>12480</v>
      </c>
      <c r="D9153" t="s">
        <v>19028</v>
      </c>
      <c r="E9153" t="s">
        <v>26912</v>
      </c>
      <c r="F9153" t="s">
        <v>32606</v>
      </c>
      <c r="G9153" t="s">
        <v>32613</v>
      </c>
      <c r="H9153" t="s">
        <v>32623</v>
      </c>
      <c r="I9153" t="s">
        <v>32661</v>
      </c>
      <c r="J9153" t="s">
        <v>38421</v>
      </c>
      <c r="K9153" t="s">
        <v>42749</v>
      </c>
      <c r="M9153" t="s">
        <v>46032</v>
      </c>
      <c r="N9153" t="s">
        <v>47304</v>
      </c>
      <c r="O9153" t="s">
        <v>47305</v>
      </c>
      <c r="P9153">
        <v>0</v>
      </c>
      <c r="Q9153">
        <v>1</v>
      </c>
      <c r="R9153" t="s">
        <v>47313</v>
      </c>
      <c r="S9153" t="s">
        <v>47535</v>
      </c>
      <c r="T9153" t="s">
        <v>49268</v>
      </c>
      <c r="U9153" t="s">
        <v>57100</v>
      </c>
      <c r="W9153" t="s">
        <v>46032</v>
      </c>
      <c r="X9153" t="s">
        <v>47321</v>
      </c>
    </row>
    <row r="9154" spans="1:24">
      <c r="A9154">
        <f>HYPERLINK("https://www.philgeps.gov.ph/GEPSNONPILOT/Tender/SplashBidNoticeAbstractUI.aspx?menuIndex=3&amp;refID=7177517&amp;Result=3","7177517")</f>
        <v>0</v>
      </c>
      <c r="B9154" t="s">
        <v>1379</v>
      </c>
      <c r="C9154" t="s">
        <v>12481</v>
      </c>
      <c r="D9154" t="s">
        <v>19011</v>
      </c>
      <c r="E9154" t="s">
        <v>26913</v>
      </c>
      <c r="F9154" t="s">
        <v>32606</v>
      </c>
      <c r="G9154" t="s">
        <v>32613</v>
      </c>
      <c r="H9154" t="s">
        <v>32623</v>
      </c>
      <c r="I9154" t="s">
        <v>17648</v>
      </c>
      <c r="J9154" t="s">
        <v>32795</v>
      </c>
      <c r="K9154" t="s">
        <v>42648</v>
      </c>
      <c r="M9154" t="s">
        <v>44361</v>
      </c>
      <c r="N9154" t="s">
        <v>47304</v>
      </c>
      <c r="O9154" t="s">
        <v>47305</v>
      </c>
      <c r="P9154">
        <v>0</v>
      </c>
      <c r="Q9154">
        <v>1</v>
      </c>
      <c r="R9154" t="s">
        <v>47313</v>
      </c>
      <c r="S9154" t="s">
        <v>47535</v>
      </c>
      <c r="T9154" t="s">
        <v>49111</v>
      </c>
      <c r="U9154" t="s">
        <v>57101</v>
      </c>
      <c r="W9154" t="s">
        <v>44361</v>
      </c>
      <c r="X9154" t="s">
        <v>47318</v>
      </c>
    </row>
    <row r="9155" spans="1:24">
      <c r="A9155">
        <f>HYPERLINK("https://www.philgeps.gov.ph/GEPSNONPILOT/Tender/SplashBidNoticeAbstractUI.aspx?menuIndex=3&amp;refID=7177499&amp;Result=3","7177499")</f>
        <v>0</v>
      </c>
      <c r="B9155" t="s">
        <v>1379</v>
      </c>
      <c r="C9155" t="s">
        <v>12482</v>
      </c>
      <c r="D9155" t="s">
        <v>19011</v>
      </c>
      <c r="E9155" t="s">
        <v>26914</v>
      </c>
      <c r="F9155" t="s">
        <v>32606</v>
      </c>
      <c r="G9155" t="s">
        <v>32613</v>
      </c>
      <c r="H9155" t="s">
        <v>32623</v>
      </c>
      <c r="I9155" t="s">
        <v>17648</v>
      </c>
      <c r="J9155" t="s">
        <v>32795</v>
      </c>
      <c r="K9155" t="s">
        <v>42648</v>
      </c>
      <c r="M9155" t="s">
        <v>44361</v>
      </c>
      <c r="N9155" t="s">
        <v>47304</v>
      </c>
      <c r="O9155" t="s">
        <v>47305</v>
      </c>
      <c r="P9155">
        <v>0</v>
      </c>
      <c r="Q9155">
        <v>1</v>
      </c>
      <c r="R9155" t="s">
        <v>47313</v>
      </c>
      <c r="S9155" t="s">
        <v>47535</v>
      </c>
      <c r="T9155" t="s">
        <v>49111</v>
      </c>
      <c r="U9155" t="s">
        <v>57101</v>
      </c>
      <c r="W9155" t="s">
        <v>44361</v>
      </c>
      <c r="X9155" t="s">
        <v>47318</v>
      </c>
    </row>
    <row r="9156" spans="1:24">
      <c r="A9156">
        <f>HYPERLINK("https://www.philgeps.gov.ph/GEPSNONPILOT/Tender/SplashBidNoticeAbstractUI.aspx?menuIndex=3&amp;refID=7177208&amp;Result=3","7177208")</f>
        <v>0</v>
      </c>
      <c r="B9156" t="s">
        <v>280</v>
      </c>
      <c r="C9156" t="s">
        <v>12483</v>
      </c>
      <c r="D9156" t="s">
        <v>19028</v>
      </c>
      <c r="E9156" t="s">
        <v>26915</v>
      </c>
      <c r="F9156" t="s">
        <v>32606</v>
      </c>
      <c r="G9156" t="s">
        <v>32614</v>
      </c>
      <c r="H9156" t="s">
        <v>14201</v>
      </c>
      <c r="I9156" t="s">
        <v>6298</v>
      </c>
      <c r="J9156" t="s">
        <v>38422</v>
      </c>
      <c r="K9156" t="s">
        <v>42631</v>
      </c>
      <c r="M9156" t="s">
        <v>43712</v>
      </c>
      <c r="N9156" t="s">
        <v>47304</v>
      </c>
      <c r="O9156" t="s">
        <v>47305</v>
      </c>
      <c r="P9156">
        <v>0</v>
      </c>
      <c r="Q9156">
        <v>0</v>
      </c>
      <c r="R9156" t="s">
        <v>47313</v>
      </c>
      <c r="S9156" t="s">
        <v>47535</v>
      </c>
      <c r="T9156" t="s">
        <v>49311</v>
      </c>
      <c r="U9156" t="s">
        <v>57102</v>
      </c>
      <c r="W9156" t="s">
        <v>43712</v>
      </c>
      <c r="X9156" t="s">
        <v>47319</v>
      </c>
    </row>
    <row r="9157" spans="1:24">
      <c r="A9157">
        <f>HYPERLINK("https://www.philgeps.gov.ph/GEPSNONPILOT/Tender/SplashBidNoticeAbstractUI.aspx?menuIndex=3&amp;refID=7178599&amp;Result=3","7178599")</f>
        <v>0</v>
      </c>
      <c r="B9157" t="s">
        <v>2861</v>
      </c>
      <c r="C9157" t="s">
        <v>12484</v>
      </c>
      <c r="D9157" t="s">
        <v>19015</v>
      </c>
      <c r="E9157" t="s">
        <v>26916</v>
      </c>
      <c r="F9157" t="s">
        <v>32606</v>
      </c>
      <c r="G9157" t="s">
        <v>32613</v>
      </c>
      <c r="H9157" t="s">
        <v>32623</v>
      </c>
      <c r="I9157" t="s">
        <v>32675</v>
      </c>
      <c r="J9157" t="s">
        <v>38423</v>
      </c>
      <c r="K9157" t="s">
        <v>42639</v>
      </c>
      <c r="M9157" t="s">
        <v>46030</v>
      </c>
      <c r="N9157" t="s">
        <v>47304</v>
      </c>
      <c r="O9157" t="s">
        <v>47305</v>
      </c>
      <c r="P9157">
        <v>0</v>
      </c>
      <c r="Q9157">
        <v>26</v>
      </c>
      <c r="R9157" t="s">
        <v>47313</v>
      </c>
      <c r="S9157" t="s">
        <v>47535</v>
      </c>
      <c r="T9157" t="s">
        <v>49237</v>
      </c>
      <c r="U9157" t="s">
        <v>57103</v>
      </c>
      <c r="W9157" t="s">
        <v>46030</v>
      </c>
      <c r="X9157" t="s">
        <v>47318</v>
      </c>
    </row>
    <row r="9158" spans="1:24">
      <c r="A9158">
        <f>HYPERLINK("https://www.philgeps.gov.ph/GEPSNONPILOT/Tender/SplashBidNoticeAbstractUI.aspx?menuIndex=3&amp;refID=7179530&amp;Result=3","7179530")</f>
        <v>0</v>
      </c>
      <c r="B9158" t="s">
        <v>2864</v>
      </c>
      <c r="C9158" t="s">
        <v>12485</v>
      </c>
      <c r="D9158" t="s">
        <v>18993</v>
      </c>
      <c r="E9158" t="s">
        <v>26917</v>
      </c>
      <c r="F9158" t="s">
        <v>32606</v>
      </c>
      <c r="G9158" t="s">
        <v>32613</v>
      </c>
      <c r="H9158" t="s">
        <v>14201</v>
      </c>
      <c r="I9158" t="s">
        <v>6478</v>
      </c>
      <c r="J9158" t="s">
        <v>38424</v>
      </c>
      <c r="K9158" t="s">
        <v>42631</v>
      </c>
      <c r="M9158" t="s">
        <v>46033</v>
      </c>
      <c r="N9158" t="s">
        <v>47304</v>
      </c>
      <c r="O9158" t="s">
        <v>47305</v>
      </c>
      <c r="P9158">
        <v>0</v>
      </c>
      <c r="Q9158">
        <v>4</v>
      </c>
      <c r="R9158" t="s">
        <v>47313</v>
      </c>
      <c r="S9158" t="s">
        <v>47535</v>
      </c>
      <c r="T9158" t="s">
        <v>49040</v>
      </c>
      <c r="U9158" t="s">
        <v>57104</v>
      </c>
      <c r="W9158" t="s">
        <v>46033</v>
      </c>
      <c r="X9158" t="s">
        <v>47318</v>
      </c>
    </row>
    <row r="9159" spans="1:24">
      <c r="A9159">
        <f>HYPERLINK("https://www.philgeps.gov.ph/GEPSNONPILOT/Tender/SplashBidNoticeAbstractUI.aspx?menuIndex=3&amp;refID=7179637&amp;Result=3","7179637")</f>
        <v>0</v>
      </c>
      <c r="B9159" t="s">
        <v>2864</v>
      </c>
      <c r="C9159" t="s">
        <v>12486</v>
      </c>
      <c r="D9159" t="s">
        <v>18993</v>
      </c>
      <c r="E9159" t="s">
        <v>26918</v>
      </c>
      <c r="F9159" t="s">
        <v>32606</v>
      </c>
      <c r="G9159" t="s">
        <v>32613</v>
      </c>
      <c r="H9159" t="s">
        <v>14201</v>
      </c>
      <c r="I9159" t="s">
        <v>9013</v>
      </c>
      <c r="J9159" t="s">
        <v>38425</v>
      </c>
      <c r="K9159" t="s">
        <v>42631</v>
      </c>
      <c r="M9159" t="s">
        <v>46033</v>
      </c>
      <c r="N9159" t="s">
        <v>47304</v>
      </c>
      <c r="O9159" t="s">
        <v>47305</v>
      </c>
      <c r="P9159">
        <v>0</v>
      </c>
      <c r="Q9159">
        <v>4</v>
      </c>
      <c r="R9159" t="s">
        <v>47313</v>
      </c>
      <c r="S9159" t="s">
        <v>47535</v>
      </c>
      <c r="T9159" t="s">
        <v>49040</v>
      </c>
      <c r="U9159" t="s">
        <v>57105</v>
      </c>
      <c r="W9159" t="s">
        <v>46033</v>
      </c>
      <c r="X9159" t="s">
        <v>47318</v>
      </c>
    </row>
    <row r="9160" spans="1:24">
      <c r="A9160">
        <f>HYPERLINK("https://www.philgeps.gov.ph/GEPSNONPILOT/Tender/SplashBidNoticeAbstractUI.aspx?menuIndex=3&amp;refID=7165437&amp;Result=3","7165437")</f>
        <v>0</v>
      </c>
      <c r="B9160" t="s">
        <v>2409</v>
      </c>
      <c r="C9160" t="s">
        <v>3946</v>
      </c>
      <c r="D9160" t="s">
        <v>19000</v>
      </c>
      <c r="E9160" t="s">
        <v>26919</v>
      </c>
      <c r="F9160" t="s">
        <v>32606</v>
      </c>
      <c r="G9160" t="s">
        <v>32613</v>
      </c>
      <c r="H9160" t="s">
        <v>32623</v>
      </c>
      <c r="I9160" t="s">
        <v>17648</v>
      </c>
      <c r="J9160" t="s">
        <v>32778</v>
      </c>
      <c r="K9160" t="s">
        <v>42661</v>
      </c>
      <c r="M9160" t="s">
        <v>45533</v>
      </c>
      <c r="N9160" t="s">
        <v>47304</v>
      </c>
      <c r="O9160" t="s">
        <v>47305</v>
      </c>
      <c r="P9160">
        <v>0</v>
      </c>
      <c r="Q9160">
        <v>0</v>
      </c>
      <c r="R9160" t="s">
        <v>47313</v>
      </c>
      <c r="S9160" t="s">
        <v>47535</v>
      </c>
      <c r="T9160" t="s">
        <v>49268</v>
      </c>
      <c r="U9160" t="s">
        <v>57106</v>
      </c>
      <c r="W9160" t="s">
        <v>45533</v>
      </c>
      <c r="X9160" t="s">
        <v>47322</v>
      </c>
    </row>
    <row r="9161" spans="1:24">
      <c r="A9161">
        <f>HYPERLINK("https://www.philgeps.gov.ph/GEPSNONPILOT/Tender/SplashBidNoticeAbstractUI.aspx?menuIndex=3&amp;refID=7179627&amp;Result=3","7179627")</f>
        <v>0</v>
      </c>
      <c r="B9161" t="s">
        <v>2864</v>
      </c>
      <c r="C9161" t="s">
        <v>12487</v>
      </c>
      <c r="D9161" t="s">
        <v>18993</v>
      </c>
      <c r="E9161" t="s">
        <v>26920</v>
      </c>
      <c r="F9161" t="s">
        <v>32606</v>
      </c>
      <c r="G9161" t="s">
        <v>32613</v>
      </c>
      <c r="H9161" t="s">
        <v>14201</v>
      </c>
      <c r="I9161" t="s">
        <v>32633</v>
      </c>
      <c r="J9161" t="s">
        <v>38426</v>
      </c>
      <c r="K9161" t="s">
        <v>42631</v>
      </c>
      <c r="M9161" t="s">
        <v>46033</v>
      </c>
      <c r="N9161" t="s">
        <v>47304</v>
      </c>
      <c r="O9161" t="s">
        <v>47305</v>
      </c>
      <c r="P9161">
        <v>0</v>
      </c>
      <c r="Q9161">
        <v>2</v>
      </c>
      <c r="R9161" t="s">
        <v>47313</v>
      </c>
      <c r="S9161" t="s">
        <v>47535</v>
      </c>
      <c r="T9161" t="s">
        <v>49040</v>
      </c>
      <c r="U9161" t="s">
        <v>57107</v>
      </c>
      <c r="W9161" t="s">
        <v>46033</v>
      </c>
      <c r="X9161" t="s">
        <v>47318</v>
      </c>
    </row>
    <row r="9162" spans="1:24">
      <c r="A9162">
        <f>HYPERLINK("https://www.philgeps.gov.ph/GEPSNONPILOT/Tender/SplashBidNoticeAbstractUI.aspx?menuIndex=3&amp;refID=7179603&amp;Result=3","7179603")</f>
        <v>0</v>
      </c>
      <c r="B9162" t="s">
        <v>42</v>
      </c>
      <c r="C9162" t="s">
        <v>12488</v>
      </c>
      <c r="E9162" t="s">
        <v>26921</v>
      </c>
      <c r="F9162" t="s">
        <v>32606</v>
      </c>
      <c r="G9162" t="s">
        <v>32614</v>
      </c>
      <c r="H9162" t="s">
        <v>14201</v>
      </c>
      <c r="I9162" t="s">
        <v>6298</v>
      </c>
      <c r="J9162" t="s">
        <v>38427</v>
      </c>
      <c r="K9162" t="s">
        <v>42630</v>
      </c>
      <c r="M9162" t="s">
        <v>46034</v>
      </c>
      <c r="N9162" t="s">
        <v>47304</v>
      </c>
      <c r="O9162" t="s">
        <v>47305</v>
      </c>
      <c r="P9162">
        <v>0</v>
      </c>
      <c r="Q9162">
        <v>6</v>
      </c>
      <c r="R9162" t="s">
        <v>47313</v>
      </c>
      <c r="S9162" t="s">
        <v>47535</v>
      </c>
      <c r="T9162" t="s">
        <v>49020</v>
      </c>
      <c r="U9162" t="s">
        <v>57108</v>
      </c>
      <c r="W9162" t="s">
        <v>46034</v>
      </c>
      <c r="X9162" t="s">
        <v>47318</v>
      </c>
    </row>
    <row r="9163" spans="1:24">
      <c r="A9163">
        <f>HYPERLINK("https://www.philgeps.gov.ph/GEPSNONPILOT/Tender/SplashBidNoticeAbstractUI.aspx?menuIndex=3&amp;refID=7179081&amp;Result=3","7179081")</f>
        <v>0</v>
      </c>
      <c r="B9163" t="s">
        <v>37</v>
      </c>
      <c r="C9163" t="s">
        <v>12489</v>
      </c>
      <c r="D9163" t="s">
        <v>18997</v>
      </c>
      <c r="E9163" t="s">
        <v>26922</v>
      </c>
      <c r="F9163" t="s">
        <v>32606</v>
      </c>
      <c r="G9163" t="s">
        <v>32613</v>
      </c>
      <c r="H9163" t="s">
        <v>32623</v>
      </c>
      <c r="I9163" t="s">
        <v>17648</v>
      </c>
      <c r="J9163" t="s">
        <v>36001</v>
      </c>
      <c r="K9163" t="s">
        <v>42648</v>
      </c>
      <c r="M9163" t="s">
        <v>42934</v>
      </c>
      <c r="N9163" t="s">
        <v>47304</v>
      </c>
      <c r="O9163" t="s">
        <v>47305</v>
      </c>
      <c r="P9163">
        <v>0</v>
      </c>
      <c r="Q9163">
        <v>0</v>
      </c>
      <c r="R9163" t="s">
        <v>47313</v>
      </c>
      <c r="S9163" t="s">
        <v>47535</v>
      </c>
      <c r="T9163" t="s">
        <v>49068</v>
      </c>
      <c r="U9163" t="s">
        <v>57109</v>
      </c>
      <c r="W9163" t="s">
        <v>42934</v>
      </c>
      <c r="X9163" t="s">
        <v>47318</v>
      </c>
    </row>
    <row r="9164" spans="1:24">
      <c r="A9164">
        <f>HYPERLINK("https://www.philgeps.gov.ph/GEPSNONPILOT/Tender/SplashBidNoticeAbstractUI.aspx?menuIndex=3&amp;refID=7179571&amp;Result=3","7179571")</f>
        <v>0</v>
      </c>
      <c r="B9164" t="s">
        <v>2865</v>
      </c>
      <c r="C9164" t="s">
        <v>12490</v>
      </c>
      <c r="D9164" t="s">
        <v>19020</v>
      </c>
      <c r="E9164" t="s">
        <v>26923</v>
      </c>
      <c r="F9164" t="s">
        <v>32609</v>
      </c>
      <c r="G9164" t="s">
        <v>32618</v>
      </c>
      <c r="H9164" t="s">
        <v>32623</v>
      </c>
      <c r="I9164" t="s">
        <v>17648</v>
      </c>
      <c r="J9164" t="s">
        <v>38428</v>
      </c>
      <c r="K9164" t="s">
        <v>42731</v>
      </c>
      <c r="M9164" t="s">
        <v>46035</v>
      </c>
      <c r="N9164" t="s">
        <v>47304</v>
      </c>
      <c r="O9164" t="s">
        <v>47305</v>
      </c>
      <c r="P9164">
        <v>0</v>
      </c>
      <c r="Q9164">
        <v>1</v>
      </c>
      <c r="R9164" t="s">
        <v>47313</v>
      </c>
      <c r="S9164" t="s">
        <v>47535</v>
      </c>
      <c r="T9164" t="s">
        <v>49207</v>
      </c>
      <c r="U9164" t="s">
        <v>57110</v>
      </c>
      <c r="W9164" t="s">
        <v>46035</v>
      </c>
      <c r="X9164" t="s">
        <v>47318</v>
      </c>
    </row>
    <row r="9165" spans="1:24">
      <c r="A9165">
        <f>HYPERLINK("https://www.philgeps.gov.ph/GEPSNONPILOT/Tender/SplashBidNoticeAbstractUI.aspx?menuIndex=3&amp;refID=7179567&amp;Result=3","7179567")</f>
        <v>0</v>
      </c>
      <c r="B9165" t="s">
        <v>2864</v>
      </c>
      <c r="C9165" t="s">
        <v>12491</v>
      </c>
      <c r="D9165" t="s">
        <v>18993</v>
      </c>
      <c r="E9165" t="s">
        <v>26924</v>
      </c>
      <c r="F9165" t="s">
        <v>32606</v>
      </c>
      <c r="G9165" t="s">
        <v>32613</v>
      </c>
      <c r="H9165" t="s">
        <v>14201</v>
      </c>
      <c r="I9165" t="s">
        <v>6298</v>
      </c>
      <c r="J9165" t="s">
        <v>36641</v>
      </c>
      <c r="K9165" t="s">
        <v>42631</v>
      </c>
      <c r="M9165" t="s">
        <v>46033</v>
      </c>
      <c r="N9165" t="s">
        <v>47304</v>
      </c>
      <c r="O9165" t="s">
        <v>47305</v>
      </c>
      <c r="P9165">
        <v>0</v>
      </c>
      <c r="Q9165">
        <v>7</v>
      </c>
      <c r="R9165" t="s">
        <v>47313</v>
      </c>
      <c r="S9165" t="s">
        <v>47535</v>
      </c>
      <c r="T9165" t="s">
        <v>49040</v>
      </c>
      <c r="U9165" t="s">
        <v>57111</v>
      </c>
      <c r="W9165" t="s">
        <v>46033</v>
      </c>
      <c r="X9165" t="s">
        <v>47318</v>
      </c>
    </row>
    <row r="9166" spans="1:24">
      <c r="A9166">
        <f>HYPERLINK("https://www.philgeps.gov.ph/GEPSNONPILOT/Tender/SplashBidNoticeAbstractUI.aspx?menuIndex=3&amp;refID=7179342&amp;Result=3","7179342")</f>
        <v>0</v>
      </c>
      <c r="B9166" t="s">
        <v>2367</v>
      </c>
      <c r="C9166" t="s">
        <v>4830</v>
      </c>
      <c r="D9166" t="s">
        <v>19025</v>
      </c>
      <c r="E9166" t="s">
        <v>26925</v>
      </c>
      <c r="F9166" t="s">
        <v>32606</v>
      </c>
      <c r="G9166" t="s">
        <v>32613</v>
      </c>
      <c r="H9166" t="s">
        <v>14201</v>
      </c>
      <c r="I9166" t="s">
        <v>4114</v>
      </c>
      <c r="J9166" t="s">
        <v>38429</v>
      </c>
      <c r="K9166" t="s">
        <v>42631</v>
      </c>
      <c r="M9166" t="s">
        <v>45481</v>
      </c>
      <c r="N9166" t="s">
        <v>47304</v>
      </c>
      <c r="O9166" t="s">
        <v>47305</v>
      </c>
      <c r="P9166">
        <v>0</v>
      </c>
      <c r="Q9166">
        <v>0</v>
      </c>
      <c r="R9166" t="s">
        <v>47313</v>
      </c>
      <c r="S9166" t="s">
        <v>47535</v>
      </c>
      <c r="T9166" t="s">
        <v>49071</v>
      </c>
      <c r="U9166" t="s">
        <v>57112</v>
      </c>
      <c r="W9166" t="s">
        <v>45481</v>
      </c>
      <c r="X9166" t="s">
        <v>47318</v>
      </c>
    </row>
    <row r="9167" spans="1:24">
      <c r="A9167">
        <f>HYPERLINK("https://www.philgeps.gov.ph/GEPSNONPILOT/Tender/SplashBidNoticeAbstractUI.aspx?menuIndex=3&amp;refID=7177537&amp;Result=3","7177537")</f>
        <v>0</v>
      </c>
      <c r="B9167" t="s">
        <v>1379</v>
      </c>
      <c r="C9167" t="s">
        <v>12492</v>
      </c>
      <c r="D9167" t="s">
        <v>19011</v>
      </c>
      <c r="E9167" t="s">
        <v>26926</v>
      </c>
      <c r="F9167" t="s">
        <v>32606</v>
      </c>
      <c r="G9167" t="s">
        <v>32613</v>
      </c>
      <c r="H9167" t="s">
        <v>32623</v>
      </c>
      <c r="I9167" t="s">
        <v>17648</v>
      </c>
      <c r="J9167" t="s">
        <v>32795</v>
      </c>
      <c r="K9167" t="s">
        <v>42648</v>
      </c>
      <c r="M9167" t="s">
        <v>44361</v>
      </c>
      <c r="N9167" t="s">
        <v>47304</v>
      </c>
      <c r="O9167" t="s">
        <v>47305</v>
      </c>
      <c r="P9167">
        <v>0</v>
      </c>
      <c r="Q9167">
        <v>1</v>
      </c>
      <c r="R9167" t="s">
        <v>47313</v>
      </c>
      <c r="S9167" t="s">
        <v>47535</v>
      </c>
      <c r="T9167" t="s">
        <v>49111</v>
      </c>
      <c r="U9167" t="s">
        <v>57101</v>
      </c>
      <c r="W9167" t="s">
        <v>44361</v>
      </c>
      <c r="X9167" t="s">
        <v>47318</v>
      </c>
    </row>
    <row r="9168" spans="1:24">
      <c r="A9168">
        <f>HYPERLINK("https://www.philgeps.gov.ph/GEPSNONPILOT/Tender/SplashBidNoticeAbstractUI.aspx?menuIndex=3&amp;refID=7179607&amp;Result=3","7179607")</f>
        <v>0</v>
      </c>
      <c r="B9168" t="s">
        <v>2864</v>
      </c>
      <c r="C9168" t="s">
        <v>12493</v>
      </c>
      <c r="D9168" t="s">
        <v>18993</v>
      </c>
      <c r="E9168" t="s">
        <v>26927</v>
      </c>
      <c r="F9168" t="s">
        <v>32606</v>
      </c>
      <c r="G9168" t="s">
        <v>32613</v>
      </c>
      <c r="H9168" t="s">
        <v>14201</v>
      </c>
      <c r="I9168" t="s">
        <v>4112</v>
      </c>
      <c r="J9168" t="s">
        <v>38430</v>
      </c>
      <c r="K9168" t="s">
        <v>42631</v>
      </c>
      <c r="M9168" t="s">
        <v>46033</v>
      </c>
      <c r="N9168" t="s">
        <v>47304</v>
      </c>
      <c r="O9168" t="s">
        <v>47305</v>
      </c>
      <c r="P9168">
        <v>0</v>
      </c>
      <c r="Q9168">
        <v>1</v>
      </c>
      <c r="R9168" t="s">
        <v>47313</v>
      </c>
      <c r="S9168" t="s">
        <v>47535</v>
      </c>
      <c r="T9168" t="s">
        <v>49040</v>
      </c>
      <c r="U9168" t="s">
        <v>57113</v>
      </c>
      <c r="W9168" t="s">
        <v>46033</v>
      </c>
      <c r="X9168" t="s">
        <v>47318</v>
      </c>
    </row>
    <row r="9169" spans="1:24">
      <c r="A9169">
        <f>HYPERLINK("https://www.philgeps.gov.ph/GEPSNONPILOT/Tender/SplashBidNoticeAbstractUI.aspx?menuIndex=3&amp;refID=7179304&amp;Result=3","7179304")</f>
        <v>0</v>
      </c>
      <c r="B9169" t="s">
        <v>2367</v>
      </c>
      <c r="C9169" t="s">
        <v>12494</v>
      </c>
      <c r="D9169" t="s">
        <v>19025</v>
      </c>
      <c r="E9169" t="s">
        <v>26928</v>
      </c>
      <c r="F9169" t="s">
        <v>32606</v>
      </c>
      <c r="G9169" t="s">
        <v>32613</v>
      </c>
      <c r="H9169" t="s">
        <v>14201</v>
      </c>
      <c r="I9169" t="s">
        <v>6298</v>
      </c>
      <c r="J9169" t="s">
        <v>33526</v>
      </c>
      <c r="K9169" t="s">
        <v>42631</v>
      </c>
      <c r="M9169" t="s">
        <v>45481</v>
      </c>
      <c r="N9169" t="s">
        <v>47304</v>
      </c>
      <c r="O9169" t="s">
        <v>47305</v>
      </c>
      <c r="P9169">
        <v>0</v>
      </c>
      <c r="Q9169">
        <v>0</v>
      </c>
      <c r="R9169" t="s">
        <v>47313</v>
      </c>
      <c r="S9169" t="s">
        <v>47535</v>
      </c>
      <c r="T9169" t="s">
        <v>49071</v>
      </c>
      <c r="U9169" t="s">
        <v>57114</v>
      </c>
      <c r="W9169" t="s">
        <v>45481</v>
      </c>
      <c r="X9169" t="s">
        <v>47318</v>
      </c>
    </row>
    <row r="9170" spans="1:24">
      <c r="A9170">
        <f>HYPERLINK("https://www.philgeps.gov.ph/GEPSNONPILOT/Tender/SplashBidNoticeAbstractUI.aspx?menuIndex=3&amp;refID=7179283&amp;Result=3","7179283")</f>
        <v>0</v>
      </c>
      <c r="B9170" t="s">
        <v>2866</v>
      </c>
      <c r="C9170" t="s">
        <v>12495</v>
      </c>
      <c r="D9170" t="s">
        <v>18993</v>
      </c>
      <c r="E9170" t="s">
        <v>26929</v>
      </c>
      <c r="F9170" t="s">
        <v>32606</v>
      </c>
      <c r="G9170" t="s">
        <v>32613</v>
      </c>
      <c r="H9170" t="s">
        <v>32625</v>
      </c>
      <c r="I9170" t="s">
        <v>32709</v>
      </c>
      <c r="J9170" t="s">
        <v>38431</v>
      </c>
      <c r="K9170" t="s">
        <v>42644</v>
      </c>
      <c r="M9170" t="s">
        <v>46036</v>
      </c>
      <c r="N9170" t="s">
        <v>47304</v>
      </c>
      <c r="O9170" t="s">
        <v>47305</v>
      </c>
      <c r="P9170">
        <v>0</v>
      </c>
      <c r="Q9170">
        <v>4</v>
      </c>
      <c r="R9170" t="s">
        <v>47313</v>
      </c>
      <c r="S9170" t="s">
        <v>47535</v>
      </c>
      <c r="T9170" t="s">
        <v>49279</v>
      </c>
      <c r="U9170" t="s">
        <v>57115</v>
      </c>
      <c r="V9170" t="s">
        <v>63614</v>
      </c>
      <c r="W9170" t="s">
        <v>46036</v>
      </c>
      <c r="X9170" t="s">
        <v>47318</v>
      </c>
    </row>
    <row r="9171" spans="1:24">
      <c r="A9171">
        <f>HYPERLINK("https://www.philgeps.gov.ph/GEPSNONPILOT/Tender/SplashBidNoticeAbstractUI.aspx?menuIndex=3&amp;refID=7190026&amp;Result=3","7190026")</f>
        <v>0</v>
      </c>
      <c r="B9171" t="s">
        <v>2102</v>
      </c>
      <c r="C9171" t="s">
        <v>12496</v>
      </c>
      <c r="D9171" t="s">
        <v>19050</v>
      </c>
      <c r="E9171" t="s">
        <v>26930</v>
      </c>
      <c r="F9171" t="s">
        <v>32606</v>
      </c>
      <c r="G9171" t="s">
        <v>32613</v>
      </c>
      <c r="H9171" t="s">
        <v>14201</v>
      </c>
      <c r="I9171" t="s">
        <v>4114</v>
      </c>
      <c r="J9171" t="s">
        <v>38432</v>
      </c>
      <c r="K9171" t="s">
        <v>42631</v>
      </c>
      <c r="M9171" t="s">
        <v>45187</v>
      </c>
      <c r="N9171" t="s">
        <v>47304</v>
      </c>
      <c r="O9171" t="s">
        <v>47305</v>
      </c>
      <c r="P9171">
        <v>0</v>
      </c>
      <c r="Q9171">
        <v>6</v>
      </c>
      <c r="R9171" t="s">
        <v>47312</v>
      </c>
      <c r="S9171" t="s">
        <v>47489</v>
      </c>
      <c r="T9171" t="s">
        <v>49095</v>
      </c>
      <c r="U9171" t="s">
        <v>54797</v>
      </c>
      <c r="W9171" t="s">
        <v>45187</v>
      </c>
      <c r="X9171" t="s">
        <v>47313</v>
      </c>
    </row>
    <row r="9172" spans="1:24">
      <c r="A9172">
        <f>HYPERLINK("https://www.philgeps.gov.ph/GEPSNONPILOT/Tender/SplashBidNoticeAbstractUI.aspx?menuIndex=3&amp;refID=7179247&amp;Result=3","7179247")</f>
        <v>0</v>
      </c>
      <c r="B9172" t="s">
        <v>233</v>
      </c>
      <c r="C9172" t="s">
        <v>12497</v>
      </c>
      <c r="D9172" t="s">
        <v>18997</v>
      </c>
      <c r="E9172" t="s">
        <v>26931</v>
      </c>
      <c r="F9172" t="s">
        <v>32606</v>
      </c>
      <c r="G9172" t="s">
        <v>32613</v>
      </c>
      <c r="H9172" t="s">
        <v>14201</v>
      </c>
      <c r="I9172" t="s">
        <v>32633</v>
      </c>
      <c r="J9172" t="s">
        <v>38433</v>
      </c>
      <c r="K9172" t="s">
        <v>42631</v>
      </c>
      <c r="M9172" t="s">
        <v>46037</v>
      </c>
      <c r="N9172" t="s">
        <v>47304</v>
      </c>
      <c r="O9172" t="s">
        <v>47305</v>
      </c>
      <c r="P9172">
        <v>0</v>
      </c>
      <c r="Q9172">
        <v>13</v>
      </c>
      <c r="R9172" t="s">
        <v>47313</v>
      </c>
      <c r="S9172" t="s">
        <v>47535</v>
      </c>
      <c r="T9172" t="s">
        <v>49086</v>
      </c>
      <c r="U9172" t="s">
        <v>57116</v>
      </c>
      <c r="V9172" t="s">
        <v>63002</v>
      </c>
      <c r="W9172" t="s">
        <v>46037</v>
      </c>
      <c r="X9172" t="s">
        <v>47318</v>
      </c>
    </row>
    <row r="9173" spans="1:24">
      <c r="A9173">
        <f>HYPERLINK("https://www.philgeps.gov.ph/GEPSNONPILOT/Tender/SplashBidNoticeAbstractUI.aspx?menuIndex=3&amp;refID=7180566&amp;Result=3","7180566")</f>
        <v>0</v>
      </c>
      <c r="B9173" t="s">
        <v>49</v>
      </c>
      <c r="C9173" t="s">
        <v>12498</v>
      </c>
      <c r="D9173" t="s">
        <v>19004</v>
      </c>
      <c r="E9173" t="s">
        <v>26932</v>
      </c>
      <c r="F9173" t="s">
        <v>32606</v>
      </c>
      <c r="G9173" t="s">
        <v>32613</v>
      </c>
      <c r="H9173" t="s">
        <v>14201</v>
      </c>
      <c r="I9173" t="s">
        <v>4678</v>
      </c>
      <c r="J9173" t="s">
        <v>38434</v>
      </c>
      <c r="K9173" t="s">
        <v>42638</v>
      </c>
      <c r="M9173" t="s">
        <v>42946</v>
      </c>
      <c r="N9173" t="s">
        <v>47304</v>
      </c>
      <c r="O9173" t="s">
        <v>47305</v>
      </c>
      <c r="P9173">
        <v>0</v>
      </c>
      <c r="Q9173">
        <v>20</v>
      </c>
      <c r="R9173" t="s">
        <v>47313</v>
      </c>
      <c r="S9173" t="s">
        <v>47535</v>
      </c>
      <c r="T9173" t="s">
        <v>49057</v>
      </c>
      <c r="U9173" t="s">
        <v>57117</v>
      </c>
      <c r="V9173" t="s">
        <v>62654</v>
      </c>
      <c r="W9173" t="s">
        <v>42946</v>
      </c>
      <c r="X9173" t="s">
        <v>47316</v>
      </c>
    </row>
    <row r="9174" spans="1:24">
      <c r="A9174">
        <f>HYPERLINK("https://www.philgeps.gov.ph/GEPSNONPILOT/Tender/SplashBidNoticeAbstractUI.aspx?menuIndex=3&amp;refID=7179301&amp;Result=3","7179301")</f>
        <v>0</v>
      </c>
      <c r="B9174" t="s">
        <v>2867</v>
      </c>
      <c r="C9174" t="s">
        <v>12499</v>
      </c>
      <c r="D9174" t="s">
        <v>19037</v>
      </c>
      <c r="E9174" t="s">
        <v>26933</v>
      </c>
      <c r="F9174" t="s">
        <v>32606</v>
      </c>
      <c r="G9174" t="s">
        <v>32613</v>
      </c>
      <c r="H9174" t="s">
        <v>32623</v>
      </c>
      <c r="I9174" t="s">
        <v>17648</v>
      </c>
      <c r="J9174" t="s">
        <v>38435</v>
      </c>
      <c r="K9174" t="s">
        <v>42649</v>
      </c>
      <c r="M9174" t="s">
        <v>46038</v>
      </c>
      <c r="N9174" t="s">
        <v>47304</v>
      </c>
      <c r="O9174" t="s">
        <v>47305</v>
      </c>
      <c r="P9174">
        <v>0</v>
      </c>
      <c r="Q9174">
        <v>5</v>
      </c>
      <c r="R9174" t="s">
        <v>47313</v>
      </c>
      <c r="S9174" t="s">
        <v>47535</v>
      </c>
      <c r="T9174" t="s">
        <v>49197</v>
      </c>
      <c r="U9174" t="s">
        <v>57118</v>
      </c>
      <c r="W9174" t="s">
        <v>64521</v>
      </c>
      <c r="X9174" t="s">
        <v>47318</v>
      </c>
    </row>
    <row r="9175" spans="1:24">
      <c r="A9175">
        <f>HYPERLINK("https://www.philgeps.gov.ph/GEPSNONPILOT/Tender/SplashBidNoticeAbstractUI.aspx?menuIndex=3&amp;refID=7179586&amp;Result=3","7179586")</f>
        <v>0</v>
      </c>
      <c r="B9175" t="s">
        <v>2864</v>
      </c>
      <c r="C9175" t="s">
        <v>12500</v>
      </c>
      <c r="D9175" t="s">
        <v>18993</v>
      </c>
      <c r="E9175" t="s">
        <v>26934</v>
      </c>
      <c r="F9175" t="s">
        <v>32606</v>
      </c>
      <c r="G9175" t="s">
        <v>32613</v>
      </c>
      <c r="H9175" t="s">
        <v>14201</v>
      </c>
      <c r="I9175" t="s">
        <v>4120</v>
      </c>
      <c r="J9175" t="s">
        <v>38436</v>
      </c>
      <c r="K9175" t="s">
        <v>42631</v>
      </c>
      <c r="M9175" t="s">
        <v>46033</v>
      </c>
      <c r="N9175" t="s">
        <v>47304</v>
      </c>
      <c r="O9175" t="s">
        <v>47305</v>
      </c>
      <c r="P9175">
        <v>0</v>
      </c>
      <c r="Q9175">
        <v>0</v>
      </c>
      <c r="R9175" t="s">
        <v>47313</v>
      </c>
      <c r="S9175" t="s">
        <v>47535</v>
      </c>
      <c r="T9175" t="s">
        <v>49040</v>
      </c>
      <c r="U9175" t="s">
        <v>57119</v>
      </c>
      <c r="W9175" t="s">
        <v>46033</v>
      </c>
      <c r="X9175" t="s">
        <v>47318</v>
      </c>
    </row>
    <row r="9176" spans="1:24">
      <c r="A9176">
        <f>HYPERLINK("https://www.philgeps.gov.ph/GEPSNONPILOT/Tender/SplashBidNoticeAbstractUI.aspx?menuIndex=3&amp;refID=7180544&amp;Result=3","7180544")</f>
        <v>0</v>
      </c>
      <c r="B9176" t="s">
        <v>49</v>
      </c>
      <c r="C9176" t="s">
        <v>12501</v>
      </c>
      <c r="D9176" t="s">
        <v>19004</v>
      </c>
      <c r="E9176" t="s">
        <v>26935</v>
      </c>
      <c r="F9176" t="s">
        <v>32606</v>
      </c>
      <c r="G9176" t="s">
        <v>32613</v>
      </c>
      <c r="H9176" t="s">
        <v>14201</v>
      </c>
      <c r="I9176" t="s">
        <v>6298</v>
      </c>
      <c r="J9176" t="s">
        <v>38437</v>
      </c>
      <c r="K9176" t="s">
        <v>42638</v>
      </c>
      <c r="M9176" t="s">
        <v>42946</v>
      </c>
      <c r="N9176" t="s">
        <v>47304</v>
      </c>
      <c r="O9176" t="s">
        <v>47305</v>
      </c>
      <c r="P9176">
        <v>0</v>
      </c>
      <c r="Q9176">
        <v>1</v>
      </c>
      <c r="R9176" t="s">
        <v>47313</v>
      </c>
      <c r="S9176" t="s">
        <v>47535</v>
      </c>
      <c r="T9176" t="s">
        <v>49057</v>
      </c>
      <c r="U9176" t="s">
        <v>57120</v>
      </c>
      <c r="V9176" t="s">
        <v>62654</v>
      </c>
      <c r="W9176" t="s">
        <v>42946</v>
      </c>
      <c r="X9176" t="s">
        <v>47316</v>
      </c>
    </row>
    <row r="9177" spans="1:24">
      <c r="A9177">
        <f>HYPERLINK("https://www.philgeps.gov.ph/GEPSNONPILOT/Tender/SplashBidNoticeAbstractUI.aspx?menuIndex=3&amp;refID=7179268&amp;Result=3","7179268")</f>
        <v>0</v>
      </c>
      <c r="B9177" t="s">
        <v>2115</v>
      </c>
      <c r="C9177" t="s">
        <v>12502</v>
      </c>
      <c r="D9177" t="s">
        <v>19008</v>
      </c>
      <c r="E9177" t="s">
        <v>26936</v>
      </c>
      <c r="F9177" t="s">
        <v>32606</v>
      </c>
      <c r="G9177" t="s">
        <v>32613</v>
      </c>
      <c r="H9177" t="s">
        <v>14201</v>
      </c>
      <c r="I9177" t="s">
        <v>32662</v>
      </c>
      <c r="J9177" t="s">
        <v>38438</v>
      </c>
      <c r="K9177" t="s">
        <v>42636</v>
      </c>
      <c r="M9177" t="s">
        <v>45474</v>
      </c>
      <c r="N9177" t="s">
        <v>47304</v>
      </c>
      <c r="O9177" t="s">
        <v>47305</v>
      </c>
      <c r="P9177">
        <v>0</v>
      </c>
      <c r="Q9177">
        <v>3</v>
      </c>
      <c r="R9177" t="s">
        <v>47313</v>
      </c>
      <c r="S9177" t="s">
        <v>47535</v>
      </c>
      <c r="T9177" t="s">
        <v>49157</v>
      </c>
      <c r="U9177" t="s">
        <v>57121</v>
      </c>
      <c r="V9177" t="s">
        <v>63615</v>
      </c>
      <c r="W9177" t="s">
        <v>45474</v>
      </c>
      <c r="X9177" t="s">
        <v>47318</v>
      </c>
    </row>
    <row r="9178" spans="1:24">
      <c r="A9178">
        <f>HYPERLINK("https://www.philgeps.gov.ph/GEPSNONPILOT/Tender/SplashBidNoticeAbstractUI.aspx?menuIndex=3&amp;refID=7180538&amp;Result=3","7180538")</f>
        <v>0</v>
      </c>
      <c r="B9178" t="s">
        <v>49</v>
      </c>
      <c r="C9178" t="s">
        <v>12503</v>
      </c>
      <c r="D9178" t="s">
        <v>19004</v>
      </c>
      <c r="E9178" t="s">
        <v>26937</v>
      </c>
      <c r="F9178" t="s">
        <v>32606</v>
      </c>
      <c r="G9178" t="s">
        <v>32613</v>
      </c>
      <c r="H9178" t="s">
        <v>14201</v>
      </c>
      <c r="I9178" t="s">
        <v>32654</v>
      </c>
      <c r="J9178" t="s">
        <v>38439</v>
      </c>
      <c r="K9178" t="s">
        <v>42630</v>
      </c>
      <c r="M9178" t="s">
        <v>42946</v>
      </c>
      <c r="N9178" t="s">
        <v>47304</v>
      </c>
      <c r="O9178" t="s">
        <v>47305</v>
      </c>
      <c r="P9178">
        <v>0</v>
      </c>
      <c r="Q9178">
        <v>1</v>
      </c>
      <c r="R9178" t="s">
        <v>47313</v>
      </c>
      <c r="S9178" t="s">
        <v>47535</v>
      </c>
      <c r="T9178" t="s">
        <v>49057</v>
      </c>
      <c r="U9178" t="s">
        <v>57122</v>
      </c>
      <c r="V9178" t="s">
        <v>62654</v>
      </c>
      <c r="W9178" t="s">
        <v>42946</v>
      </c>
      <c r="X9178" t="s">
        <v>47316</v>
      </c>
    </row>
    <row r="9179" spans="1:24">
      <c r="A9179">
        <f>HYPERLINK("https://www.philgeps.gov.ph/GEPSNONPILOT/Tender/SplashBidNoticeAbstractUI.aspx?menuIndex=3&amp;refID=7179482&amp;Result=3","7179482")</f>
        <v>0</v>
      </c>
      <c r="B9179" t="s">
        <v>2864</v>
      </c>
      <c r="C9179" t="s">
        <v>12504</v>
      </c>
      <c r="D9179" t="s">
        <v>18993</v>
      </c>
      <c r="E9179" t="s">
        <v>26938</v>
      </c>
      <c r="F9179" t="s">
        <v>32606</v>
      </c>
      <c r="G9179" t="s">
        <v>32613</v>
      </c>
      <c r="H9179" t="s">
        <v>14201</v>
      </c>
      <c r="I9179" t="s">
        <v>4120</v>
      </c>
      <c r="J9179" t="s">
        <v>38440</v>
      </c>
      <c r="K9179" t="s">
        <v>42631</v>
      </c>
      <c r="M9179" t="s">
        <v>46033</v>
      </c>
      <c r="N9179" t="s">
        <v>47304</v>
      </c>
      <c r="O9179" t="s">
        <v>47305</v>
      </c>
      <c r="P9179">
        <v>0</v>
      </c>
      <c r="Q9179">
        <v>4</v>
      </c>
      <c r="R9179" t="s">
        <v>47313</v>
      </c>
      <c r="S9179" t="s">
        <v>47535</v>
      </c>
      <c r="T9179" t="s">
        <v>49040</v>
      </c>
      <c r="U9179" t="s">
        <v>57123</v>
      </c>
      <c r="W9179" t="s">
        <v>46033</v>
      </c>
      <c r="X9179" t="s">
        <v>47318</v>
      </c>
    </row>
    <row r="9180" spans="1:24">
      <c r="A9180">
        <f>HYPERLINK("https://www.philgeps.gov.ph/GEPSNONPILOT/Tender/SplashBidNoticeAbstractUI.aspx?menuIndex=3&amp;refID=7180341&amp;Result=3","7180341")</f>
        <v>0</v>
      </c>
      <c r="B9180" t="s">
        <v>2868</v>
      </c>
      <c r="C9180" t="s">
        <v>12505</v>
      </c>
      <c r="D9180" t="s">
        <v>19010</v>
      </c>
      <c r="E9180" t="s">
        <v>26939</v>
      </c>
      <c r="F9180" t="s">
        <v>32606</v>
      </c>
      <c r="G9180" t="s">
        <v>32613</v>
      </c>
      <c r="H9180" t="s">
        <v>14201</v>
      </c>
      <c r="I9180" t="s">
        <v>7677</v>
      </c>
      <c r="J9180" t="s">
        <v>38031</v>
      </c>
      <c r="K9180" t="s">
        <v>42622</v>
      </c>
      <c r="M9180" t="s">
        <v>46039</v>
      </c>
      <c r="N9180" t="s">
        <v>47304</v>
      </c>
      <c r="O9180" t="s">
        <v>47305</v>
      </c>
      <c r="P9180">
        <v>0</v>
      </c>
      <c r="Q9180">
        <v>5</v>
      </c>
      <c r="R9180" t="s">
        <v>47313</v>
      </c>
      <c r="S9180" t="s">
        <v>47535</v>
      </c>
      <c r="T9180" t="s">
        <v>49075</v>
      </c>
      <c r="U9180" t="s">
        <v>57124</v>
      </c>
      <c r="W9180" t="s">
        <v>46039</v>
      </c>
      <c r="X9180" t="s">
        <v>47317</v>
      </c>
    </row>
    <row r="9181" spans="1:24">
      <c r="A9181">
        <f>HYPERLINK("https://www.philgeps.gov.ph/GEPSNONPILOT/Tender/SplashBidNoticeAbstractUI.aspx?menuIndex=3&amp;refID=7180339&amp;Result=3","7180339")</f>
        <v>0</v>
      </c>
      <c r="B9181" t="s">
        <v>2868</v>
      </c>
      <c r="C9181" t="s">
        <v>12506</v>
      </c>
      <c r="D9181" t="s">
        <v>19010</v>
      </c>
      <c r="E9181" t="s">
        <v>26940</v>
      </c>
      <c r="F9181" t="s">
        <v>32606</v>
      </c>
      <c r="G9181" t="s">
        <v>32613</v>
      </c>
      <c r="H9181" t="s">
        <v>14201</v>
      </c>
      <c r="I9181" t="s">
        <v>32638</v>
      </c>
      <c r="J9181" t="s">
        <v>33363</v>
      </c>
      <c r="K9181" t="s">
        <v>42622</v>
      </c>
      <c r="M9181" t="s">
        <v>46039</v>
      </c>
      <c r="N9181" t="s">
        <v>47304</v>
      </c>
      <c r="O9181" t="s">
        <v>47305</v>
      </c>
      <c r="P9181">
        <v>0</v>
      </c>
      <c r="Q9181">
        <v>11</v>
      </c>
      <c r="R9181" t="s">
        <v>47313</v>
      </c>
      <c r="S9181" t="s">
        <v>47535</v>
      </c>
      <c r="T9181" t="s">
        <v>49075</v>
      </c>
      <c r="U9181" t="s">
        <v>57125</v>
      </c>
      <c r="W9181" t="s">
        <v>46039</v>
      </c>
      <c r="X9181" t="s">
        <v>47317</v>
      </c>
    </row>
    <row r="9182" spans="1:24">
      <c r="A9182">
        <f>HYPERLINK("https://www.philgeps.gov.ph/GEPSNONPILOT/Tender/SplashBidNoticeAbstractUI.aspx?menuIndex=3&amp;refID=7180338&amp;Result=3","7180338")</f>
        <v>0</v>
      </c>
      <c r="B9182" t="s">
        <v>2868</v>
      </c>
      <c r="C9182" t="s">
        <v>12507</v>
      </c>
      <c r="D9182" t="s">
        <v>19010</v>
      </c>
      <c r="E9182" t="s">
        <v>26941</v>
      </c>
      <c r="F9182" t="s">
        <v>32606</v>
      </c>
      <c r="G9182" t="s">
        <v>32613</v>
      </c>
      <c r="H9182" t="s">
        <v>14201</v>
      </c>
      <c r="I9182" t="s">
        <v>4120</v>
      </c>
      <c r="J9182" t="s">
        <v>38441</v>
      </c>
      <c r="K9182" t="s">
        <v>42623</v>
      </c>
      <c r="M9182" t="s">
        <v>46039</v>
      </c>
      <c r="N9182" t="s">
        <v>47304</v>
      </c>
      <c r="O9182" t="s">
        <v>47305</v>
      </c>
      <c r="P9182">
        <v>0</v>
      </c>
      <c r="Q9182">
        <v>5</v>
      </c>
      <c r="R9182" t="s">
        <v>47313</v>
      </c>
      <c r="S9182" t="s">
        <v>47535</v>
      </c>
      <c r="T9182" t="s">
        <v>49075</v>
      </c>
      <c r="U9182" t="s">
        <v>57126</v>
      </c>
      <c r="W9182" t="s">
        <v>46039</v>
      </c>
      <c r="X9182" t="s">
        <v>47317</v>
      </c>
    </row>
    <row r="9183" spans="1:24">
      <c r="A9183">
        <f>HYPERLINK("https://www.philgeps.gov.ph/GEPSNONPILOT/Tender/SplashBidNoticeAbstractUI.aspx?menuIndex=3&amp;refID=7180557&amp;Result=3","7180557")</f>
        <v>0</v>
      </c>
      <c r="B9183" t="s">
        <v>49</v>
      </c>
      <c r="C9183" t="s">
        <v>12508</v>
      </c>
      <c r="D9183" t="s">
        <v>19004</v>
      </c>
      <c r="E9183" t="s">
        <v>26942</v>
      </c>
      <c r="F9183" t="s">
        <v>32606</v>
      </c>
      <c r="G9183" t="s">
        <v>32613</v>
      </c>
      <c r="H9183" t="s">
        <v>14201</v>
      </c>
      <c r="I9183" t="s">
        <v>4369</v>
      </c>
      <c r="J9183" t="s">
        <v>38442</v>
      </c>
      <c r="K9183" t="s">
        <v>42638</v>
      </c>
      <c r="M9183" t="s">
        <v>42946</v>
      </c>
      <c r="N9183" t="s">
        <v>47304</v>
      </c>
      <c r="O9183" t="s">
        <v>47305</v>
      </c>
      <c r="P9183">
        <v>0</v>
      </c>
      <c r="Q9183">
        <v>10</v>
      </c>
      <c r="R9183" t="s">
        <v>47313</v>
      </c>
      <c r="S9183" t="s">
        <v>47535</v>
      </c>
      <c r="T9183" t="s">
        <v>49057</v>
      </c>
      <c r="U9183" t="s">
        <v>57127</v>
      </c>
      <c r="V9183" t="s">
        <v>62654</v>
      </c>
      <c r="W9183" t="s">
        <v>42946</v>
      </c>
      <c r="X9183" t="s">
        <v>47316</v>
      </c>
    </row>
    <row r="9184" spans="1:24">
      <c r="A9184">
        <f>HYPERLINK("https://www.philgeps.gov.ph/GEPSNONPILOT/Tender/SplashBidNoticeAbstractUI.aspx?menuIndex=3&amp;refID=7179815&amp;Result=3","7179815")</f>
        <v>0</v>
      </c>
      <c r="B9184" t="s">
        <v>2864</v>
      </c>
      <c r="C9184" t="s">
        <v>12509</v>
      </c>
      <c r="D9184" t="s">
        <v>18993</v>
      </c>
      <c r="E9184" t="s">
        <v>26943</v>
      </c>
      <c r="F9184" t="s">
        <v>32606</v>
      </c>
      <c r="G9184" t="s">
        <v>32613</v>
      </c>
      <c r="H9184" t="s">
        <v>32623</v>
      </c>
      <c r="I9184" t="s">
        <v>17648</v>
      </c>
      <c r="J9184" t="s">
        <v>38443</v>
      </c>
      <c r="K9184" t="s">
        <v>42624</v>
      </c>
      <c r="M9184" t="s">
        <v>46033</v>
      </c>
      <c r="N9184" t="s">
        <v>47304</v>
      </c>
      <c r="O9184" t="s">
        <v>47305</v>
      </c>
      <c r="P9184">
        <v>0</v>
      </c>
      <c r="Q9184">
        <v>2</v>
      </c>
      <c r="R9184" t="s">
        <v>47313</v>
      </c>
      <c r="S9184" t="s">
        <v>47535</v>
      </c>
      <c r="T9184" t="s">
        <v>49040</v>
      </c>
      <c r="U9184" t="s">
        <v>57128</v>
      </c>
      <c r="W9184" t="s">
        <v>46033</v>
      </c>
      <c r="X9184" t="s">
        <v>47318</v>
      </c>
    </row>
    <row r="9185" spans="1:24">
      <c r="A9185">
        <f>HYPERLINK("https://www.philgeps.gov.ph/GEPSNONPILOT/Tender/SplashBidNoticeAbstractUI.aspx?menuIndex=3&amp;refID=7179808&amp;Result=3","7179808")</f>
        <v>0</v>
      </c>
      <c r="B9185" t="s">
        <v>2864</v>
      </c>
      <c r="C9185" t="s">
        <v>12510</v>
      </c>
      <c r="D9185" t="s">
        <v>18993</v>
      </c>
      <c r="E9185" t="s">
        <v>26944</v>
      </c>
      <c r="F9185" t="s">
        <v>32606</v>
      </c>
      <c r="G9185" t="s">
        <v>32613</v>
      </c>
      <c r="H9185" t="s">
        <v>32623</v>
      </c>
      <c r="I9185" t="s">
        <v>17648</v>
      </c>
      <c r="J9185" t="s">
        <v>38444</v>
      </c>
      <c r="K9185" t="s">
        <v>42624</v>
      </c>
      <c r="M9185" t="s">
        <v>46033</v>
      </c>
      <c r="N9185" t="s">
        <v>47304</v>
      </c>
      <c r="O9185" t="s">
        <v>47305</v>
      </c>
      <c r="P9185">
        <v>0</v>
      </c>
      <c r="Q9185">
        <v>2</v>
      </c>
      <c r="R9185" t="s">
        <v>47313</v>
      </c>
      <c r="S9185" t="s">
        <v>47535</v>
      </c>
      <c r="T9185" t="s">
        <v>49040</v>
      </c>
      <c r="U9185" t="s">
        <v>57129</v>
      </c>
      <c r="W9185" t="s">
        <v>46033</v>
      </c>
      <c r="X9185" t="s">
        <v>47318</v>
      </c>
    </row>
    <row r="9186" spans="1:24">
      <c r="A9186">
        <f>HYPERLINK("https://www.philgeps.gov.ph/GEPSNONPILOT/Tender/SplashBidNoticeAbstractUI.aspx?menuIndex=3&amp;refID=7179803&amp;Result=3","7179803")</f>
        <v>0</v>
      </c>
      <c r="B9186" t="s">
        <v>2864</v>
      </c>
      <c r="C9186" t="s">
        <v>12511</v>
      </c>
      <c r="D9186" t="s">
        <v>18993</v>
      </c>
      <c r="E9186" t="s">
        <v>26945</v>
      </c>
      <c r="F9186" t="s">
        <v>32606</v>
      </c>
      <c r="G9186" t="s">
        <v>32613</v>
      </c>
      <c r="H9186" t="s">
        <v>32623</v>
      </c>
      <c r="I9186" t="s">
        <v>17648</v>
      </c>
      <c r="J9186" t="s">
        <v>38445</v>
      </c>
      <c r="K9186" t="s">
        <v>42624</v>
      </c>
      <c r="M9186" t="s">
        <v>46033</v>
      </c>
      <c r="N9186" t="s">
        <v>47304</v>
      </c>
      <c r="O9186" t="s">
        <v>47305</v>
      </c>
      <c r="P9186">
        <v>0</v>
      </c>
      <c r="Q9186">
        <v>6</v>
      </c>
      <c r="R9186" t="s">
        <v>47313</v>
      </c>
      <c r="S9186" t="s">
        <v>47535</v>
      </c>
      <c r="T9186" t="s">
        <v>49040</v>
      </c>
      <c r="U9186" t="s">
        <v>57130</v>
      </c>
      <c r="W9186" t="s">
        <v>46033</v>
      </c>
      <c r="X9186" t="s">
        <v>47318</v>
      </c>
    </row>
    <row r="9187" spans="1:24">
      <c r="A9187">
        <f>HYPERLINK("https://www.philgeps.gov.ph/GEPSNONPILOT/Tender/SplashBidNoticeAbstractUI.aspx?menuIndex=3&amp;refID=7180551&amp;Result=3","7180551")</f>
        <v>0</v>
      </c>
      <c r="B9187" t="s">
        <v>49</v>
      </c>
      <c r="C9187" t="s">
        <v>12512</v>
      </c>
      <c r="D9187" t="s">
        <v>19004</v>
      </c>
      <c r="E9187" t="s">
        <v>26946</v>
      </c>
      <c r="F9187" t="s">
        <v>32606</v>
      </c>
      <c r="G9187" t="s">
        <v>32613</v>
      </c>
      <c r="H9187" t="s">
        <v>14201</v>
      </c>
      <c r="I9187" t="s">
        <v>6931</v>
      </c>
      <c r="J9187" t="s">
        <v>38446</v>
      </c>
      <c r="K9187" t="s">
        <v>42630</v>
      </c>
      <c r="M9187" t="s">
        <v>42946</v>
      </c>
      <c r="N9187" t="s">
        <v>47304</v>
      </c>
      <c r="O9187" t="s">
        <v>47305</v>
      </c>
      <c r="P9187">
        <v>0</v>
      </c>
      <c r="Q9187">
        <v>1</v>
      </c>
      <c r="R9187" t="s">
        <v>47313</v>
      </c>
      <c r="S9187" t="s">
        <v>47535</v>
      </c>
      <c r="T9187" t="s">
        <v>49057</v>
      </c>
      <c r="U9187" t="s">
        <v>57131</v>
      </c>
      <c r="V9187" t="s">
        <v>62654</v>
      </c>
      <c r="W9187" t="s">
        <v>42946</v>
      </c>
      <c r="X9187" t="s">
        <v>47316</v>
      </c>
    </row>
    <row r="9188" spans="1:24">
      <c r="A9188">
        <f>HYPERLINK("https://www.philgeps.gov.ph/GEPSNONPILOT/Tender/SplashBidNoticeAbstractUI.aspx?menuIndex=3&amp;refID=7179736&amp;Result=3","7179736")</f>
        <v>0</v>
      </c>
      <c r="B9188" t="s">
        <v>2864</v>
      </c>
      <c r="C9188" t="s">
        <v>12513</v>
      </c>
      <c r="D9188" t="s">
        <v>18993</v>
      </c>
      <c r="E9188" t="s">
        <v>26947</v>
      </c>
      <c r="F9188" t="s">
        <v>32606</v>
      </c>
      <c r="G9188" t="s">
        <v>32613</v>
      </c>
      <c r="H9188" t="s">
        <v>32623</v>
      </c>
      <c r="I9188" t="s">
        <v>17648</v>
      </c>
      <c r="J9188" t="s">
        <v>38447</v>
      </c>
      <c r="K9188" t="s">
        <v>42624</v>
      </c>
      <c r="M9188" t="s">
        <v>46033</v>
      </c>
      <c r="N9188" t="s">
        <v>47304</v>
      </c>
      <c r="O9188" t="s">
        <v>47305</v>
      </c>
      <c r="P9188">
        <v>0</v>
      </c>
      <c r="Q9188">
        <v>2</v>
      </c>
      <c r="R9188" t="s">
        <v>47313</v>
      </c>
      <c r="S9188" t="s">
        <v>47535</v>
      </c>
      <c r="T9188" t="s">
        <v>49040</v>
      </c>
      <c r="U9188" t="s">
        <v>57129</v>
      </c>
      <c r="W9188" t="s">
        <v>46033</v>
      </c>
      <c r="X9188" t="s">
        <v>47318</v>
      </c>
    </row>
    <row r="9189" spans="1:24">
      <c r="A9189">
        <f>HYPERLINK("https://www.philgeps.gov.ph/GEPSNONPILOT/Tender/SplashBidNoticeAbstractUI.aspx?menuIndex=3&amp;refID=7180583&amp;Result=3","7180583")</f>
        <v>0</v>
      </c>
      <c r="B9189" t="s">
        <v>49</v>
      </c>
      <c r="C9189" t="s">
        <v>12514</v>
      </c>
      <c r="D9189" t="s">
        <v>19004</v>
      </c>
      <c r="E9189" t="s">
        <v>26948</v>
      </c>
      <c r="F9189" t="s">
        <v>32606</v>
      </c>
      <c r="G9189" t="s">
        <v>32613</v>
      </c>
      <c r="H9189" t="s">
        <v>14201</v>
      </c>
      <c r="I9189" t="s">
        <v>32658</v>
      </c>
      <c r="J9189" t="s">
        <v>38448</v>
      </c>
      <c r="K9189" t="s">
        <v>42630</v>
      </c>
      <c r="M9189" t="s">
        <v>42946</v>
      </c>
      <c r="N9189" t="s">
        <v>47304</v>
      </c>
      <c r="O9189" t="s">
        <v>47305</v>
      </c>
      <c r="P9189">
        <v>0</v>
      </c>
      <c r="Q9189">
        <v>11</v>
      </c>
      <c r="R9189" t="s">
        <v>47313</v>
      </c>
      <c r="S9189" t="s">
        <v>47535</v>
      </c>
      <c r="T9189" t="s">
        <v>49057</v>
      </c>
      <c r="U9189" t="s">
        <v>57132</v>
      </c>
      <c r="V9189" t="s">
        <v>62654</v>
      </c>
      <c r="W9189" t="s">
        <v>42946</v>
      </c>
      <c r="X9189" t="s">
        <v>47316</v>
      </c>
    </row>
    <row r="9190" spans="1:24">
      <c r="A9190">
        <f>HYPERLINK("https://www.philgeps.gov.ph/GEPSNONPILOT/Tender/SplashBidNoticeAbstractUI.aspx?menuIndex=3&amp;refID=7181098&amp;Result=3","7181098")</f>
        <v>0</v>
      </c>
      <c r="B9190" t="s">
        <v>2367</v>
      </c>
      <c r="C9190" t="s">
        <v>12515</v>
      </c>
      <c r="D9190" t="s">
        <v>19025</v>
      </c>
      <c r="E9190" t="s">
        <v>26949</v>
      </c>
      <c r="F9190" t="s">
        <v>32606</v>
      </c>
      <c r="G9190" t="s">
        <v>32613</v>
      </c>
      <c r="H9190" t="s">
        <v>14201</v>
      </c>
      <c r="I9190" t="s">
        <v>32650</v>
      </c>
      <c r="J9190" t="s">
        <v>38449</v>
      </c>
      <c r="K9190" t="s">
        <v>42631</v>
      </c>
      <c r="M9190" t="s">
        <v>45481</v>
      </c>
      <c r="N9190" t="s">
        <v>47304</v>
      </c>
      <c r="O9190" t="s">
        <v>47305</v>
      </c>
      <c r="P9190">
        <v>0</v>
      </c>
      <c r="Q9190">
        <v>1</v>
      </c>
      <c r="R9190" t="s">
        <v>47313</v>
      </c>
      <c r="S9190" t="s">
        <v>47535</v>
      </c>
      <c r="T9190" t="s">
        <v>49234</v>
      </c>
      <c r="U9190" t="s">
        <v>57133</v>
      </c>
      <c r="W9190" t="s">
        <v>45481</v>
      </c>
      <c r="X9190" t="s">
        <v>47315</v>
      </c>
    </row>
    <row r="9191" spans="1:24">
      <c r="A9191">
        <f>HYPERLINK("https://www.philgeps.gov.ph/GEPSNONPILOT/Tender/SplashBidNoticeAbstractUI.aspx?menuIndex=3&amp;refID=7179547&amp;Result=3","7179547")</f>
        <v>0</v>
      </c>
      <c r="B9191" t="s">
        <v>2864</v>
      </c>
      <c r="C9191" t="s">
        <v>12516</v>
      </c>
      <c r="D9191" t="s">
        <v>18993</v>
      </c>
      <c r="E9191" t="s">
        <v>26950</v>
      </c>
      <c r="F9191" t="s">
        <v>32606</v>
      </c>
      <c r="G9191" t="s">
        <v>32613</v>
      </c>
      <c r="H9191" t="s">
        <v>14201</v>
      </c>
      <c r="I9191" t="s">
        <v>7064</v>
      </c>
      <c r="J9191" t="s">
        <v>38450</v>
      </c>
      <c r="K9191" t="s">
        <v>42631</v>
      </c>
      <c r="M9191" t="s">
        <v>46033</v>
      </c>
      <c r="N9191" t="s">
        <v>47304</v>
      </c>
      <c r="O9191" t="s">
        <v>47305</v>
      </c>
      <c r="P9191">
        <v>0</v>
      </c>
      <c r="Q9191">
        <v>2</v>
      </c>
      <c r="R9191" t="s">
        <v>47313</v>
      </c>
      <c r="S9191" t="s">
        <v>47535</v>
      </c>
      <c r="T9191" t="s">
        <v>49040</v>
      </c>
      <c r="U9191" t="s">
        <v>57134</v>
      </c>
      <c r="W9191" t="s">
        <v>46033</v>
      </c>
      <c r="X9191" t="s">
        <v>47318</v>
      </c>
    </row>
    <row r="9192" spans="1:24">
      <c r="A9192">
        <f>HYPERLINK("https://www.philgeps.gov.ph/GEPSNONPILOT/Tender/SplashBidNoticeAbstractUI.aspx?menuIndex=3&amp;refID=7179821&amp;Result=3","7179821")</f>
        <v>0</v>
      </c>
      <c r="B9192" t="s">
        <v>2864</v>
      </c>
      <c r="C9192" t="s">
        <v>12517</v>
      </c>
      <c r="D9192" t="s">
        <v>18993</v>
      </c>
      <c r="E9192" t="s">
        <v>26951</v>
      </c>
      <c r="F9192" t="s">
        <v>32606</v>
      </c>
      <c r="G9192" t="s">
        <v>32613</v>
      </c>
      <c r="H9192" t="s">
        <v>32623</v>
      </c>
      <c r="I9192" t="s">
        <v>17648</v>
      </c>
      <c r="J9192" t="s">
        <v>38451</v>
      </c>
      <c r="K9192" t="s">
        <v>42624</v>
      </c>
      <c r="M9192" t="s">
        <v>46033</v>
      </c>
      <c r="N9192" t="s">
        <v>47304</v>
      </c>
      <c r="O9192" t="s">
        <v>47305</v>
      </c>
      <c r="P9192">
        <v>0</v>
      </c>
      <c r="Q9192">
        <v>2</v>
      </c>
      <c r="R9192" t="s">
        <v>47313</v>
      </c>
      <c r="S9192" t="s">
        <v>47535</v>
      </c>
      <c r="T9192" t="s">
        <v>49040</v>
      </c>
      <c r="U9192" t="s">
        <v>57135</v>
      </c>
      <c r="W9192" t="s">
        <v>46033</v>
      </c>
      <c r="X9192" t="s">
        <v>47318</v>
      </c>
    </row>
    <row r="9193" spans="1:24">
      <c r="A9193">
        <f>HYPERLINK("https://www.philgeps.gov.ph/GEPSNONPILOT/Tender/SplashBidNoticeAbstractUI.aspx?menuIndex=3&amp;refID=7181057&amp;Result=3","7181057")</f>
        <v>0</v>
      </c>
      <c r="B9193" t="s">
        <v>648</v>
      </c>
      <c r="C9193" t="s">
        <v>12518</v>
      </c>
      <c r="D9193" t="s">
        <v>19059</v>
      </c>
      <c r="E9193" t="s">
        <v>26952</v>
      </c>
      <c r="F9193" t="s">
        <v>32606</v>
      </c>
      <c r="G9193" t="s">
        <v>32613</v>
      </c>
      <c r="H9193" t="s">
        <v>14201</v>
      </c>
      <c r="I9193" t="s">
        <v>6931</v>
      </c>
      <c r="J9193" t="s">
        <v>38452</v>
      </c>
      <c r="K9193" t="s">
        <v>42639</v>
      </c>
      <c r="M9193" t="s">
        <v>43566</v>
      </c>
      <c r="N9193" t="s">
        <v>47304</v>
      </c>
      <c r="O9193" t="s">
        <v>47305</v>
      </c>
      <c r="P9193">
        <v>0</v>
      </c>
      <c r="Q9193">
        <v>0</v>
      </c>
      <c r="R9193" t="s">
        <v>47313</v>
      </c>
      <c r="S9193" t="s">
        <v>47535</v>
      </c>
      <c r="T9193" t="s">
        <v>49020</v>
      </c>
      <c r="U9193" t="s">
        <v>57136</v>
      </c>
      <c r="W9193" t="s">
        <v>43566</v>
      </c>
      <c r="X9193" t="s">
        <v>47315</v>
      </c>
    </row>
    <row r="9194" spans="1:24">
      <c r="A9194">
        <f>HYPERLINK("https://www.philgeps.gov.ph/GEPSNONPILOT/Tender/SplashBidNoticeAbstractUI.aspx?menuIndex=3&amp;refID=7181010&amp;Result=3","7181010")</f>
        <v>0</v>
      </c>
      <c r="B9194" t="s">
        <v>84</v>
      </c>
      <c r="C9194" t="s">
        <v>12519</v>
      </c>
      <c r="D9194" t="s">
        <v>19014</v>
      </c>
      <c r="E9194" t="s">
        <v>26953</v>
      </c>
      <c r="F9194" t="s">
        <v>32606</v>
      </c>
      <c r="G9194" t="s">
        <v>32618</v>
      </c>
      <c r="H9194" t="s">
        <v>14201</v>
      </c>
      <c r="I9194" t="s">
        <v>4678</v>
      </c>
      <c r="J9194" t="s">
        <v>38453</v>
      </c>
      <c r="K9194" t="s">
        <v>42631</v>
      </c>
      <c r="M9194" t="s">
        <v>42981</v>
      </c>
      <c r="N9194" t="s">
        <v>47304</v>
      </c>
      <c r="O9194" t="s">
        <v>47305</v>
      </c>
      <c r="P9194">
        <v>0</v>
      </c>
      <c r="Q9194">
        <v>3</v>
      </c>
      <c r="R9194" t="s">
        <v>47313</v>
      </c>
      <c r="S9194" t="s">
        <v>47535</v>
      </c>
      <c r="T9194" t="s">
        <v>49037</v>
      </c>
      <c r="U9194" t="s">
        <v>57137</v>
      </c>
      <c r="V9194" t="s">
        <v>63616</v>
      </c>
      <c r="W9194" t="s">
        <v>42981</v>
      </c>
      <c r="X9194" t="s">
        <v>47315</v>
      </c>
    </row>
    <row r="9195" spans="1:24">
      <c r="A9195">
        <f>HYPERLINK("https://www.philgeps.gov.ph/GEPSNONPILOT/Tender/SplashBidNoticeAbstractUI.aspx?menuIndex=3&amp;refID=7180986&amp;Result=3","7180986")</f>
        <v>0</v>
      </c>
      <c r="B9195" t="s">
        <v>648</v>
      </c>
      <c r="C9195" t="s">
        <v>12520</v>
      </c>
      <c r="D9195" t="s">
        <v>19059</v>
      </c>
      <c r="E9195" t="s">
        <v>26954</v>
      </c>
      <c r="F9195" t="s">
        <v>32606</v>
      </c>
      <c r="G9195" t="s">
        <v>32613</v>
      </c>
      <c r="H9195" t="s">
        <v>14201</v>
      </c>
      <c r="I9195" t="s">
        <v>32640</v>
      </c>
      <c r="J9195" t="s">
        <v>38454</v>
      </c>
      <c r="K9195" t="s">
        <v>42639</v>
      </c>
      <c r="M9195" t="s">
        <v>43566</v>
      </c>
      <c r="N9195" t="s">
        <v>47304</v>
      </c>
      <c r="O9195" t="s">
        <v>47305</v>
      </c>
      <c r="P9195">
        <v>0</v>
      </c>
      <c r="Q9195">
        <v>1</v>
      </c>
      <c r="R9195" t="s">
        <v>47313</v>
      </c>
      <c r="S9195" t="s">
        <v>47535</v>
      </c>
      <c r="T9195" t="s">
        <v>49020</v>
      </c>
      <c r="U9195" t="s">
        <v>57138</v>
      </c>
      <c r="W9195" t="s">
        <v>43566</v>
      </c>
      <c r="X9195" t="s">
        <v>47315</v>
      </c>
    </row>
    <row r="9196" spans="1:24">
      <c r="A9196">
        <f>HYPERLINK("https://www.philgeps.gov.ph/GEPSNONPILOT/Tender/SplashBidNoticeAbstractUI.aspx?menuIndex=3&amp;refID=7180981&amp;Result=3","7180981")</f>
        <v>0</v>
      </c>
      <c r="B9196" t="s">
        <v>2869</v>
      </c>
      <c r="C9196" t="s">
        <v>12521</v>
      </c>
      <c r="D9196" t="s">
        <v>19081</v>
      </c>
      <c r="E9196" t="s">
        <v>26955</v>
      </c>
      <c r="F9196" t="s">
        <v>32606</v>
      </c>
      <c r="G9196" t="s">
        <v>32613</v>
      </c>
      <c r="H9196" t="s">
        <v>32624</v>
      </c>
      <c r="I9196" t="s">
        <v>32726</v>
      </c>
      <c r="J9196" t="s">
        <v>32861</v>
      </c>
      <c r="K9196" t="s">
        <v>42688</v>
      </c>
      <c r="M9196" t="s">
        <v>46040</v>
      </c>
      <c r="N9196" t="s">
        <v>47304</v>
      </c>
      <c r="O9196" t="s">
        <v>47305</v>
      </c>
      <c r="P9196">
        <v>0</v>
      </c>
      <c r="Q9196">
        <v>1</v>
      </c>
      <c r="R9196" t="s">
        <v>47313</v>
      </c>
      <c r="S9196" t="s">
        <v>47535</v>
      </c>
      <c r="T9196" t="s">
        <v>49355</v>
      </c>
      <c r="U9196" t="s">
        <v>57139</v>
      </c>
      <c r="W9196" t="s">
        <v>46040</v>
      </c>
      <c r="X9196" t="s">
        <v>47315</v>
      </c>
    </row>
    <row r="9197" spans="1:24">
      <c r="A9197">
        <f>HYPERLINK("https://www.philgeps.gov.ph/GEPSNONPILOT/Tender/SplashBidNoticeAbstractUI.aspx?menuIndex=3&amp;refID=7180395&amp;Result=3","7180395")</f>
        <v>0</v>
      </c>
      <c r="B9197" t="s">
        <v>2870</v>
      </c>
      <c r="C9197" t="s">
        <v>12522</v>
      </c>
      <c r="D9197" t="s">
        <v>19038</v>
      </c>
      <c r="E9197" t="s">
        <v>25726</v>
      </c>
      <c r="F9197" t="s">
        <v>32606</v>
      </c>
      <c r="G9197" t="s">
        <v>32613</v>
      </c>
      <c r="H9197" t="s">
        <v>14201</v>
      </c>
      <c r="I9197" t="s">
        <v>8606</v>
      </c>
      <c r="J9197" t="s">
        <v>32885</v>
      </c>
      <c r="K9197" t="s">
        <v>42622</v>
      </c>
      <c r="M9197" t="s">
        <v>46041</v>
      </c>
      <c r="N9197" t="s">
        <v>47304</v>
      </c>
      <c r="O9197" t="s">
        <v>47305</v>
      </c>
      <c r="P9197">
        <v>0</v>
      </c>
      <c r="Q9197">
        <v>1</v>
      </c>
      <c r="R9197" t="s">
        <v>47313</v>
      </c>
      <c r="S9197" t="s">
        <v>47535</v>
      </c>
      <c r="T9197" t="s">
        <v>49257</v>
      </c>
      <c r="U9197" t="s">
        <v>57140</v>
      </c>
      <c r="W9197" t="s">
        <v>46041</v>
      </c>
      <c r="X9197" t="s">
        <v>47317</v>
      </c>
    </row>
    <row r="9198" spans="1:24">
      <c r="A9198">
        <f>HYPERLINK("https://www.philgeps.gov.ph/GEPSNONPILOT/Tender/SplashBidNoticeAbstractUI.aspx?menuIndex=3&amp;refID=7180941&amp;Result=3","7180941")</f>
        <v>0</v>
      </c>
      <c r="B9198" t="s">
        <v>2166</v>
      </c>
      <c r="C9198" t="s">
        <v>12523</v>
      </c>
      <c r="D9198" t="s">
        <v>19024</v>
      </c>
      <c r="E9198" t="s">
        <v>26956</v>
      </c>
      <c r="F9198" t="s">
        <v>32606</v>
      </c>
      <c r="G9198" t="s">
        <v>32613</v>
      </c>
      <c r="H9198" t="s">
        <v>32623</v>
      </c>
      <c r="I9198" t="s">
        <v>17648</v>
      </c>
      <c r="J9198" t="s">
        <v>38455</v>
      </c>
      <c r="K9198" t="s">
        <v>42718</v>
      </c>
      <c r="M9198" t="s">
        <v>45260</v>
      </c>
      <c r="N9198" t="s">
        <v>47304</v>
      </c>
      <c r="O9198" t="s">
        <v>47305</v>
      </c>
      <c r="Q9198">
        <v>0</v>
      </c>
      <c r="R9198" t="s">
        <v>47313</v>
      </c>
      <c r="S9198" t="s">
        <v>47540</v>
      </c>
      <c r="T9198" t="s">
        <v>49234</v>
      </c>
      <c r="U9198" t="s">
        <v>57141</v>
      </c>
      <c r="W9198" t="s">
        <v>45260</v>
      </c>
      <c r="X9198" t="s">
        <v>47315</v>
      </c>
    </row>
    <row r="9199" spans="1:24">
      <c r="A9199">
        <f>HYPERLINK("https://www.philgeps.gov.ph/GEPSNONPILOT/Tender/SplashBidNoticeAbstractUI.aspx?menuIndex=3&amp;refID=7180896&amp;Result=3","7180896")</f>
        <v>0</v>
      </c>
      <c r="B9199" t="s">
        <v>1421</v>
      </c>
      <c r="C9199" t="s">
        <v>12524</v>
      </c>
      <c r="D9199" t="s">
        <v>18995</v>
      </c>
      <c r="E9199" t="s">
        <v>26957</v>
      </c>
      <c r="F9199" t="s">
        <v>32606</v>
      </c>
      <c r="G9199" t="s">
        <v>32613</v>
      </c>
      <c r="H9199" t="s">
        <v>32623</v>
      </c>
      <c r="I9199" t="s">
        <v>17648</v>
      </c>
      <c r="J9199" t="s">
        <v>32770</v>
      </c>
      <c r="K9199" t="s">
        <v>42631</v>
      </c>
      <c r="M9199" t="s">
        <v>44409</v>
      </c>
      <c r="N9199" t="s">
        <v>47304</v>
      </c>
      <c r="O9199" t="s">
        <v>47305</v>
      </c>
      <c r="P9199">
        <v>0</v>
      </c>
      <c r="Q9199">
        <v>1</v>
      </c>
      <c r="R9199" t="s">
        <v>47313</v>
      </c>
      <c r="S9199" t="s">
        <v>47535</v>
      </c>
      <c r="T9199" t="s">
        <v>49020</v>
      </c>
      <c r="U9199" t="s">
        <v>57142</v>
      </c>
      <c r="W9199" t="s">
        <v>44409</v>
      </c>
      <c r="X9199" t="s">
        <v>47315</v>
      </c>
    </row>
    <row r="9200" spans="1:24">
      <c r="A9200">
        <f>HYPERLINK("https://www.philgeps.gov.ph/GEPSNONPILOT/Tender/SplashBidNoticeAbstractUI.aspx?menuIndex=3&amp;refID=7181145&amp;Result=3","7181145")</f>
        <v>0</v>
      </c>
      <c r="B9200" t="s">
        <v>2871</v>
      </c>
      <c r="C9200" t="s">
        <v>12525</v>
      </c>
      <c r="D9200" t="s">
        <v>19025</v>
      </c>
      <c r="E9200" t="s">
        <v>26958</v>
      </c>
      <c r="F9200" t="s">
        <v>32606</v>
      </c>
      <c r="G9200" t="s">
        <v>32613</v>
      </c>
      <c r="H9200" t="s">
        <v>14201</v>
      </c>
      <c r="I9200" t="s">
        <v>7677</v>
      </c>
      <c r="J9200" t="s">
        <v>38456</v>
      </c>
      <c r="K9200" t="s">
        <v>42622</v>
      </c>
      <c r="M9200" t="s">
        <v>46042</v>
      </c>
      <c r="N9200" t="s">
        <v>47304</v>
      </c>
      <c r="O9200" t="s">
        <v>47305</v>
      </c>
      <c r="P9200">
        <v>0</v>
      </c>
      <c r="Q9200">
        <v>7</v>
      </c>
      <c r="R9200" t="s">
        <v>47313</v>
      </c>
      <c r="S9200" t="s">
        <v>47535</v>
      </c>
      <c r="T9200" t="s">
        <v>49390</v>
      </c>
      <c r="U9200" t="s">
        <v>57143</v>
      </c>
      <c r="W9200" t="s">
        <v>46042</v>
      </c>
      <c r="X9200" t="s">
        <v>47315</v>
      </c>
    </row>
    <row r="9201" spans="1:24">
      <c r="A9201">
        <f>HYPERLINK("https://www.philgeps.gov.ph/GEPSNONPILOT/Tender/SplashBidNoticeAbstractUI.aspx?menuIndex=3&amp;refID=7180604&amp;Result=3","7180604")</f>
        <v>0</v>
      </c>
      <c r="B9201" t="s">
        <v>2872</v>
      </c>
      <c r="C9201" t="s">
        <v>12526</v>
      </c>
      <c r="D9201" t="s">
        <v>18995</v>
      </c>
      <c r="E9201" t="s">
        <v>26959</v>
      </c>
      <c r="F9201" t="s">
        <v>32606</v>
      </c>
      <c r="G9201" t="s">
        <v>32613</v>
      </c>
      <c r="H9201" t="s">
        <v>14201</v>
      </c>
      <c r="I9201" t="s">
        <v>32656</v>
      </c>
      <c r="J9201" t="s">
        <v>38457</v>
      </c>
      <c r="K9201" t="s">
        <v>42627</v>
      </c>
      <c r="M9201" t="s">
        <v>46043</v>
      </c>
      <c r="N9201" t="s">
        <v>47304</v>
      </c>
      <c r="O9201" t="s">
        <v>47305</v>
      </c>
      <c r="P9201">
        <v>0</v>
      </c>
      <c r="Q9201">
        <v>2</v>
      </c>
      <c r="R9201" t="s">
        <v>47313</v>
      </c>
      <c r="S9201" t="s">
        <v>47535</v>
      </c>
      <c r="T9201" t="s">
        <v>49020</v>
      </c>
      <c r="U9201" t="s">
        <v>57144</v>
      </c>
      <c r="W9201" t="s">
        <v>46043</v>
      </c>
      <c r="X9201" t="s">
        <v>47316</v>
      </c>
    </row>
    <row r="9202" spans="1:24">
      <c r="A9202">
        <f>HYPERLINK("https://www.philgeps.gov.ph/GEPSNONPILOT/Tender/SplashBidNoticeAbstractUI.aspx?menuIndex=3&amp;refID=7181062&amp;Result=3","7181062")</f>
        <v>0</v>
      </c>
      <c r="B9202" t="s">
        <v>2873</v>
      </c>
      <c r="C9202" t="s">
        <v>12527</v>
      </c>
      <c r="D9202" t="s">
        <v>19040</v>
      </c>
      <c r="E9202" t="s">
        <v>26960</v>
      </c>
      <c r="F9202" t="s">
        <v>32606</v>
      </c>
      <c r="G9202" t="s">
        <v>32613</v>
      </c>
      <c r="H9202" t="s">
        <v>14201</v>
      </c>
      <c r="I9202" t="s">
        <v>6931</v>
      </c>
      <c r="J9202" t="s">
        <v>38458</v>
      </c>
      <c r="K9202" t="s">
        <v>42623</v>
      </c>
      <c r="M9202" t="s">
        <v>46044</v>
      </c>
      <c r="N9202" t="s">
        <v>47304</v>
      </c>
      <c r="O9202" t="s">
        <v>47305</v>
      </c>
      <c r="P9202">
        <v>0</v>
      </c>
      <c r="Q9202">
        <v>4</v>
      </c>
      <c r="R9202" t="s">
        <v>47313</v>
      </c>
      <c r="S9202" t="s">
        <v>47535</v>
      </c>
      <c r="T9202" t="s">
        <v>49075</v>
      </c>
      <c r="U9202" t="s">
        <v>57145</v>
      </c>
      <c r="W9202" t="s">
        <v>46044</v>
      </c>
      <c r="X9202" t="s">
        <v>47315</v>
      </c>
    </row>
    <row r="9203" spans="1:24">
      <c r="A9203">
        <f>HYPERLINK("https://www.philgeps.gov.ph/GEPSNONPILOT/Tender/SplashBidNoticeAbstractUI.aspx?menuIndex=3&amp;refID=7180602&amp;Result=3","7180602")</f>
        <v>0</v>
      </c>
      <c r="B9203" t="s">
        <v>49</v>
      </c>
      <c r="C9203" t="s">
        <v>12528</v>
      </c>
      <c r="D9203" t="s">
        <v>19004</v>
      </c>
      <c r="E9203" t="s">
        <v>26961</v>
      </c>
      <c r="F9203" t="s">
        <v>32606</v>
      </c>
      <c r="G9203" t="s">
        <v>32613</v>
      </c>
      <c r="H9203" t="s">
        <v>32623</v>
      </c>
      <c r="I9203" t="s">
        <v>17648</v>
      </c>
      <c r="J9203" t="s">
        <v>38459</v>
      </c>
      <c r="K9203" t="s">
        <v>42651</v>
      </c>
      <c r="M9203" t="s">
        <v>42946</v>
      </c>
      <c r="N9203" t="s">
        <v>47304</v>
      </c>
      <c r="O9203" t="s">
        <v>47305</v>
      </c>
      <c r="P9203">
        <v>0</v>
      </c>
      <c r="Q9203">
        <v>2</v>
      </c>
      <c r="R9203" t="s">
        <v>47313</v>
      </c>
      <c r="S9203" t="s">
        <v>47535</v>
      </c>
      <c r="T9203" t="s">
        <v>49057</v>
      </c>
      <c r="U9203" t="s">
        <v>57146</v>
      </c>
      <c r="V9203" t="s">
        <v>62654</v>
      </c>
      <c r="W9203" t="s">
        <v>42946</v>
      </c>
      <c r="X9203" t="s">
        <v>47316</v>
      </c>
    </row>
    <row r="9204" spans="1:24">
      <c r="A9204">
        <f>HYPERLINK("https://www.philgeps.gov.ph/GEPSNONPILOT/Tender/SplashBidNoticeAbstractUI.aspx?menuIndex=3&amp;refID=7180594&amp;Result=3","7180594")</f>
        <v>0</v>
      </c>
      <c r="B9204" t="s">
        <v>49</v>
      </c>
      <c r="C9204" t="s">
        <v>12529</v>
      </c>
      <c r="D9204" t="s">
        <v>19004</v>
      </c>
      <c r="E9204" t="s">
        <v>26962</v>
      </c>
      <c r="F9204" t="s">
        <v>32606</v>
      </c>
      <c r="G9204" t="s">
        <v>32613</v>
      </c>
      <c r="H9204" t="s">
        <v>14201</v>
      </c>
      <c r="I9204" t="s">
        <v>13131</v>
      </c>
      <c r="J9204" t="s">
        <v>38460</v>
      </c>
      <c r="K9204" t="s">
        <v>42638</v>
      </c>
      <c r="M9204" t="s">
        <v>42946</v>
      </c>
      <c r="N9204" t="s">
        <v>47304</v>
      </c>
      <c r="O9204" t="s">
        <v>47305</v>
      </c>
      <c r="P9204">
        <v>0</v>
      </c>
      <c r="Q9204">
        <v>12</v>
      </c>
      <c r="R9204" t="s">
        <v>47313</v>
      </c>
      <c r="S9204" t="s">
        <v>47535</v>
      </c>
      <c r="T9204" t="s">
        <v>49057</v>
      </c>
      <c r="U9204" t="s">
        <v>57147</v>
      </c>
      <c r="V9204" t="s">
        <v>62654</v>
      </c>
      <c r="W9204" t="s">
        <v>42946</v>
      </c>
      <c r="X9204" t="s">
        <v>47316</v>
      </c>
    </row>
    <row r="9205" spans="1:24">
      <c r="A9205">
        <f>HYPERLINK("https://www.philgeps.gov.ph/GEPSNONPILOT/Tender/SplashBidNoticeAbstractUI.aspx?menuIndex=3&amp;refID=7180593&amp;Result=3","7180593")</f>
        <v>0</v>
      </c>
      <c r="B9205" t="s">
        <v>49</v>
      </c>
      <c r="C9205" t="s">
        <v>12530</v>
      </c>
      <c r="D9205" t="s">
        <v>19004</v>
      </c>
      <c r="E9205" t="s">
        <v>26963</v>
      </c>
      <c r="F9205" t="s">
        <v>32606</v>
      </c>
      <c r="G9205" t="s">
        <v>32613</v>
      </c>
      <c r="H9205" t="s">
        <v>14201</v>
      </c>
      <c r="I9205" t="s">
        <v>4678</v>
      </c>
      <c r="J9205" t="s">
        <v>38461</v>
      </c>
      <c r="K9205" t="s">
        <v>42666</v>
      </c>
      <c r="M9205" t="s">
        <v>42946</v>
      </c>
      <c r="N9205" t="s">
        <v>47304</v>
      </c>
      <c r="O9205" t="s">
        <v>47305</v>
      </c>
      <c r="P9205">
        <v>0</v>
      </c>
      <c r="Q9205">
        <v>7</v>
      </c>
      <c r="R9205" t="s">
        <v>47313</v>
      </c>
      <c r="S9205" t="s">
        <v>47535</v>
      </c>
      <c r="T9205" t="s">
        <v>49057</v>
      </c>
      <c r="U9205" t="s">
        <v>57148</v>
      </c>
      <c r="V9205" t="s">
        <v>62654</v>
      </c>
      <c r="W9205" t="s">
        <v>42946</v>
      </c>
      <c r="X9205" t="s">
        <v>47316</v>
      </c>
    </row>
    <row r="9206" spans="1:24">
      <c r="A9206">
        <f>HYPERLINK("https://www.philgeps.gov.ph/GEPSNONPILOT/Tender/SplashBidNoticeAbstractUI.aspx?menuIndex=3&amp;refID=7181156&amp;Result=3","7181156")</f>
        <v>0</v>
      </c>
      <c r="B9206" t="s">
        <v>2367</v>
      </c>
      <c r="C9206" t="s">
        <v>12531</v>
      </c>
      <c r="D9206" t="s">
        <v>19025</v>
      </c>
      <c r="E9206" t="s">
        <v>26964</v>
      </c>
      <c r="F9206" t="s">
        <v>32606</v>
      </c>
      <c r="G9206" t="s">
        <v>32613</v>
      </c>
      <c r="H9206" t="s">
        <v>14201</v>
      </c>
      <c r="I9206" t="s">
        <v>32629</v>
      </c>
      <c r="J9206" t="s">
        <v>38462</v>
      </c>
      <c r="K9206" t="s">
        <v>42631</v>
      </c>
      <c r="M9206" t="s">
        <v>45481</v>
      </c>
      <c r="N9206" t="s">
        <v>47304</v>
      </c>
      <c r="O9206" t="s">
        <v>47305</v>
      </c>
      <c r="P9206">
        <v>0</v>
      </c>
      <c r="Q9206">
        <v>0</v>
      </c>
      <c r="R9206" t="s">
        <v>47313</v>
      </c>
      <c r="S9206" t="s">
        <v>47535</v>
      </c>
      <c r="T9206" t="s">
        <v>49234</v>
      </c>
      <c r="U9206" t="s">
        <v>57149</v>
      </c>
      <c r="W9206" t="s">
        <v>45481</v>
      </c>
      <c r="X9206" t="s">
        <v>47315</v>
      </c>
    </row>
    <row r="9207" spans="1:24">
      <c r="A9207">
        <f>HYPERLINK("https://www.philgeps.gov.ph/GEPSNONPILOT/Tender/SplashBidNoticeAbstractUI.aspx?menuIndex=3&amp;refID=7180927&amp;Result=3","7180927")</f>
        <v>0</v>
      </c>
      <c r="B9207" t="s">
        <v>2869</v>
      </c>
      <c r="C9207" t="s">
        <v>12532</v>
      </c>
      <c r="D9207" t="s">
        <v>19081</v>
      </c>
      <c r="E9207" t="s">
        <v>26965</v>
      </c>
      <c r="F9207" t="s">
        <v>32606</v>
      </c>
      <c r="G9207" t="s">
        <v>32613</v>
      </c>
      <c r="H9207" t="s">
        <v>14201</v>
      </c>
      <c r="I9207" t="s">
        <v>32634</v>
      </c>
      <c r="J9207" t="s">
        <v>38463</v>
      </c>
      <c r="K9207" t="s">
        <v>42636</v>
      </c>
      <c r="M9207" t="s">
        <v>46040</v>
      </c>
      <c r="N9207" t="s">
        <v>47304</v>
      </c>
      <c r="O9207" t="s">
        <v>47305</v>
      </c>
      <c r="P9207">
        <v>0</v>
      </c>
      <c r="Q9207">
        <v>9</v>
      </c>
      <c r="R9207" t="s">
        <v>47313</v>
      </c>
      <c r="S9207" t="s">
        <v>47535</v>
      </c>
      <c r="T9207" t="s">
        <v>49395</v>
      </c>
      <c r="U9207" t="s">
        <v>57150</v>
      </c>
      <c r="W9207" t="s">
        <v>46040</v>
      </c>
      <c r="X9207" t="s">
        <v>47315</v>
      </c>
    </row>
    <row r="9208" spans="1:24">
      <c r="A9208">
        <f>HYPERLINK("https://www.philgeps.gov.ph/GEPSNONPILOT/Tender/SplashBidNoticeAbstractUI.aspx?menuIndex=3&amp;refID=7181308&amp;Result=3","7181308")</f>
        <v>0</v>
      </c>
      <c r="B9208" t="s">
        <v>362</v>
      </c>
      <c r="C9208" t="s">
        <v>8446</v>
      </c>
      <c r="D9208" t="s">
        <v>19023</v>
      </c>
      <c r="E9208" t="s">
        <v>26966</v>
      </c>
      <c r="F9208" t="s">
        <v>32606</v>
      </c>
      <c r="G9208" t="s">
        <v>32613</v>
      </c>
      <c r="H9208" t="s">
        <v>14201</v>
      </c>
      <c r="I9208" t="s">
        <v>32629</v>
      </c>
      <c r="J9208" t="s">
        <v>38464</v>
      </c>
      <c r="K9208" t="s">
        <v>42630</v>
      </c>
      <c r="M9208" t="s">
        <v>43264</v>
      </c>
      <c r="N9208" t="s">
        <v>47304</v>
      </c>
      <c r="O9208" t="s">
        <v>47305</v>
      </c>
      <c r="P9208">
        <v>0</v>
      </c>
      <c r="Q9208">
        <v>0</v>
      </c>
      <c r="R9208" t="s">
        <v>47313</v>
      </c>
      <c r="S9208" t="s">
        <v>47535</v>
      </c>
      <c r="T9208" t="s">
        <v>49347</v>
      </c>
      <c r="U9208" t="s">
        <v>53681</v>
      </c>
      <c r="V9208" t="s">
        <v>63617</v>
      </c>
      <c r="W9208" t="s">
        <v>43264</v>
      </c>
      <c r="X9208" t="s">
        <v>47315</v>
      </c>
    </row>
    <row r="9209" spans="1:24">
      <c r="A9209">
        <f>HYPERLINK("https://www.philgeps.gov.ph/GEPSNONPILOT/Tender/SplashBidNoticeAbstractUI.aspx?menuIndex=3&amp;refID=7180334&amp;Result=3","7180334")</f>
        <v>0</v>
      </c>
      <c r="B9209" t="s">
        <v>2868</v>
      </c>
      <c r="C9209" t="s">
        <v>12533</v>
      </c>
      <c r="D9209" t="s">
        <v>19010</v>
      </c>
      <c r="E9209" t="s">
        <v>26967</v>
      </c>
      <c r="F9209" t="s">
        <v>32606</v>
      </c>
      <c r="G9209" t="s">
        <v>32613</v>
      </c>
      <c r="H9209" t="s">
        <v>14201</v>
      </c>
      <c r="I9209" t="s">
        <v>4678</v>
      </c>
      <c r="J9209" t="s">
        <v>38465</v>
      </c>
      <c r="K9209" t="s">
        <v>42623</v>
      </c>
      <c r="M9209" t="s">
        <v>46039</v>
      </c>
      <c r="N9209" t="s">
        <v>47304</v>
      </c>
      <c r="O9209" t="s">
        <v>47305</v>
      </c>
      <c r="P9209">
        <v>0</v>
      </c>
      <c r="Q9209">
        <v>4</v>
      </c>
      <c r="R9209" t="s">
        <v>47313</v>
      </c>
      <c r="S9209" t="s">
        <v>47535</v>
      </c>
      <c r="T9209" t="s">
        <v>49075</v>
      </c>
      <c r="U9209" t="s">
        <v>57151</v>
      </c>
      <c r="W9209" t="s">
        <v>46039</v>
      </c>
      <c r="X9209" t="s">
        <v>47317</v>
      </c>
    </row>
    <row r="9210" spans="1:24">
      <c r="A9210">
        <f>HYPERLINK("https://www.philgeps.gov.ph/GEPSNONPILOT/Tender/SplashBidNoticeAbstractUI.aspx?menuIndex=3&amp;refID=7181461&amp;Result=3","7181461")</f>
        <v>0</v>
      </c>
      <c r="B9210" t="s">
        <v>2367</v>
      </c>
      <c r="C9210" t="s">
        <v>4830</v>
      </c>
      <c r="D9210" t="s">
        <v>19025</v>
      </c>
      <c r="E9210" t="s">
        <v>26968</v>
      </c>
      <c r="F9210" t="s">
        <v>32606</v>
      </c>
      <c r="G9210" t="s">
        <v>32613</v>
      </c>
      <c r="H9210" t="s">
        <v>14201</v>
      </c>
      <c r="I9210" t="s">
        <v>4120</v>
      </c>
      <c r="J9210" t="s">
        <v>38466</v>
      </c>
      <c r="K9210" t="s">
        <v>42631</v>
      </c>
      <c r="M9210" t="s">
        <v>45481</v>
      </c>
      <c r="N9210" t="s">
        <v>47304</v>
      </c>
      <c r="O9210" t="s">
        <v>47305</v>
      </c>
      <c r="P9210">
        <v>0</v>
      </c>
      <c r="Q9210">
        <v>0</v>
      </c>
      <c r="R9210" t="s">
        <v>47313</v>
      </c>
      <c r="S9210" t="s">
        <v>47535</v>
      </c>
      <c r="T9210" t="s">
        <v>49071</v>
      </c>
      <c r="U9210" t="s">
        <v>57152</v>
      </c>
      <c r="W9210" t="s">
        <v>45481</v>
      </c>
      <c r="X9210" t="s">
        <v>47315</v>
      </c>
    </row>
    <row r="9211" spans="1:24">
      <c r="A9211">
        <f>HYPERLINK("https://www.philgeps.gov.ph/GEPSNONPILOT/Tender/SplashBidNoticeAbstractUI.aspx?menuIndex=3&amp;refID=7181173&amp;Result=3","7181173")</f>
        <v>0</v>
      </c>
      <c r="B9211" t="s">
        <v>2595</v>
      </c>
      <c r="C9211" t="s">
        <v>12534</v>
      </c>
      <c r="D9211" t="s">
        <v>19033</v>
      </c>
      <c r="E9211" t="s">
        <v>26969</v>
      </c>
      <c r="F9211" t="s">
        <v>32606</v>
      </c>
      <c r="G9211" t="s">
        <v>32613</v>
      </c>
      <c r="H9211" t="s">
        <v>14201</v>
      </c>
      <c r="I9211" t="s">
        <v>7064</v>
      </c>
      <c r="J9211" t="s">
        <v>34667</v>
      </c>
      <c r="K9211" t="s">
        <v>42624</v>
      </c>
      <c r="M9211" t="s">
        <v>45739</v>
      </c>
      <c r="N9211" t="s">
        <v>47304</v>
      </c>
      <c r="O9211" t="s">
        <v>47305</v>
      </c>
      <c r="P9211">
        <v>0</v>
      </c>
      <c r="Q9211">
        <v>3</v>
      </c>
      <c r="R9211" t="s">
        <v>47313</v>
      </c>
      <c r="S9211" t="s">
        <v>47535</v>
      </c>
      <c r="T9211" t="s">
        <v>49099</v>
      </c>
      <c r="U9211" t="s">
        <v>57153</v>
      </c>
      <c r="V9211" t="s">
        <v>63464</v>
      </c>
      <c r="W9211" t="s">
        <v>45739</v>
      </c>
      <c r="X9211" t="s">
        <v>47315</v>
      </c>
    </row>
    <row r="9212" spans="1:24">
      <c r="A9212">
        <f>HYPERLINK("https://www.philgeps.gov.ph/GEPSNONPILOT/Tender/SplashBidNoticeAbstractUI.aspx?menuIndex=3&amp;refID=7181432&amp;Result=3","7181432")</f>
        <v>0</v>
      </c>
      <c r="B9212" t="s">
        <v>2367</v>
      </c>
      <c r="C9212" t="s">
        <v>4830</v>
      </c>
      <c r="D9212" t="s">
        <v>19025</v>
      </c>
      <c r="E9212" t="s">
        <v>26970</v>
      </c>
      <c r="F9212" t="s">
        <v>32606</v>
      </c>
      <c r="G9212" t="s">
        <v>32613</v>
      </c>
      <c r="H9212" t="s">
        <v>14201</v>
      </c>
      <c r="I9212" t="s">
        <v>4114</v>
      </c>
      <c r="J9212" t="s">
        <v>33526</v>
      </c>
      <c r="K9212" t="s">
        <v>42631</v>
      </c>
      <c r="M9212" t="s">
        <v>45481</v>
      </c>
      <c r="N9212" t="s">
        <v>47304</v>
      </c>
      <c r="O9212" t="s">
        <v>47305</v>
      </c>
      <c r="P9212">
        <v>0</v>
      </c>
      <c r="Q9212">
        <v>0</v>
      </c>
      <c r="R9212" t="s">
        <v>47313</v>
      </c>
      <c r="S9212" t="s">
        <v>47535</v>
      </c>
      <c r="T9212" t="s">
        <v>49071</v>
      </c>
      <c r="U9212" t="s">
        <v>57154</v>
      </c>
      <c r="W9212" t="s">
        <v>45481</v>
      </c>
      <c r="X9212" t="s">
        <v>47315</v>
      </c>
    </row>
    <row r="9213" spans="1:24">
      <c r="A9213">
        <f>HYPERLINK("https://www.philgeps.gov.ph/GEPSNONPILOT/Tender/SplashBidNoticeAbstractUI.aspx?menuIndex=3&amp;refID=7180596&amp;Result=3","7180596")</f>
        <v>0</v>
      </c>
      <c r="B9213" t="s">
        <v>49</v>
      </c>
      <c r="C9213" t="s">
        <v>12535</v>
      </c>
      <c r="D9213" t="s">
        <v>19004</v>
      </c>
      <c r="E9213" t="s">
        <v>26971</v>
      </c>
      <c r="F9213" t="s">
        <v>32606</v>
      </c>
      <c r="G9213" t="s">
        <v>32613</v>
      </c>
      <c r="H9213" t="s">
        <v>14201</v>
      </c>
      <c r="I9213" t="s">
        <v>32656</v>
      </c>
      <c r="J9213" t="s">
        <v>38467</v>
      </c>
      <c r="K9213" t="s">
        <v>42630</v>
      </c>
      <c r="M9213" t="s">
        <v>42946</v>
      </c>
      <c r="N9213" t="s">
        <v>47304</v>
      </c>
      <c r="O9213" t="s">
        <v>47305</v>
      </c>
      <c r="P9213">
        <v>0</v>
      </c>
      <c r="Q9213">
        <v>6</v>
      </c>
      <c r="R9213" t="s">
        <v>47313</v>
      </c>
      <c r="S9213" t="s">
        <v>47535</v>
      </c>
      <c r="T9213" t="s">
        <v>49057</v>
      </c>
      <c r="U9213" t="s">
        <v>57155</v>
      </c>
      <c r="V9213" t="s">
        <v>62654</v>
      </c>
      <c r="W9213" t="s">
        <v>42946</v>
      </c>
      <c r="X9213" t="s">
        <v>47316</v>
      </c>
    </row>
    <row r="9214" spans="1:24">
      <c r="A9214">
        <f>HYPERLINK("https://www.philgeps.gov.ph/GEPSNONPILOT/Tender/SplashBidNoticeAbstractUI.aspx?menuIndex=3&amp;refID=7181306&amp;Result=3","7181306")</f>
        <v>0</v>
      </c>
      <c r="B9214" t="s">
        <v>2874</v>
      </c>
      <c r="C9214" t="s">
        <v>12536</v>
      </c>
      <c r="D9214" t="s">
        <v>19023</v>
      </c>
      <c r="E9214" t="s">
        <v>26972</v>
      </c>
      <c r="F9214" t="s">
        <v>32606</v>
      </c>
      <c r="G9214" t="s">
        <v>32618</v>
      </c>
      <c r="H9214" t="s">
        <v>14201</v>
      </c>
      <c r="I9214" t="s">
        <v>6931</v>
      </c>
      <c r="J9214" t="s">
        <v>38468</v>
      </c>
      <c r="K9214" t="s">
        <v>42630</v>
      </c>
      <c r="M9214" t="s">
        <v>46045</v>
      </c>
      <c r="N9214" t="s">
        <v>47304</v>
      </c>
      <c r="O9214" t="s">
        <v>47305</v>
      </c>
      <c r="P9214">
        <v>0</v>
      </c>
      <c r="Q9214">
        <v>0</v>
      </c>
      <c r="R9214" t="s">
        <v>47313</v>
      </c>
      <c r="S9214" t="s">
        <v>47535</v>
      </c>
      <c r="T9214" t="s">
        <v>49315</v>
      </c>
      <c r="U9214" t="s">
        <v>57156</v>
      </c>
      <c r="V9214" t="s">
        <v>63618</v>
      </c>
      <c r="W9214" t="s">
        <v>46045</v>
      </c>
      <c r="X9214" t="s">
        <v>47315</v>
      </c>
    </row>
    <row r="9215" spans="1:24">
      <c r="A9215">
        <f>HYPERLINK("https://www.philgeps.gov.ph/GEPSNONPILOT/Tender/SplashBidNoticeAbstractUI.aspx?menuIndex=3&amp;refID=7181354&amp;Result=3","7181354")</f>
        <v>0</v>
      </c>
      <c r="B9215" t="s">
        <v>1021</v>
      </c>
      <c r="C9215" t="s">
        <v>12537</v>
      </c>
      <c r="D9215" t="s">
        <v>18993</v>
      </c>
      <c r="E9215" t="s">
        <v>26973</v>
      </c>
      <c r="F9215" t="s">
        <v>32606</v>
      </c>
      <c r="G9215" t="s">
        <v>32613</v>
      </c>
      <c r="H9215" t="s">
        <v>32623</v>
      </c>
      <c r="I9215" t="s">
        <v>17648</v>
      </c>
      <c r="J9215" t="s">
        <v>38469</v>
      </c>
      <c r="K9215" t="s">
        <v>42639</v>
      </c>
      <c r="M9215" t="s">
        <v>43972</v>
      </c>
      <c r="N9215" t="s">
        <v>47304</v>
      </c>
      <c r="O9215" t="s">
        <v>47305</v>
      </c>
      <c r="Q9215">
        <v>5</v>
      </c>
      <c r="R9215" t="s">
        <v>47313</v>
      </c>
      <c r="S9215" t="s">
        <v>47541</v>
      </c>
      <c r="T9215" t="s">
        <v>49157</v>
      </c>
      <c r="U9215" t="s">
        <v>57157</v>
      </c>
      <c r="V9215" t="s">
        <v>62900</v>
      </c>
      <c r="W9215" t="s">
        <v>43972</v>
      </c>
      <c r="X9215" t="s">
        <v>47315</v>
      </c>
    </row>
    <row r="9216" spans="1:24">
      <c r="A9216">
        <f>HYPERLINK("https://www.philgeps.gov.ph/GEPSNONPILOT/Tender/SplashBidNoticeAbstractUI.aspx?menuIndex=3&amp;refID=7177772&amp;Result=3","7177772")</f>
        <v>0</v>
      </c>
      <c r="B9216" t="s">
        <v>37</v>
      </c>
      <c r="C9216" t="s">
        <v>12538</v>
      </c>
      <c r="D9216" t="s">
        <v>18997</v>
      </c>
      <c r="E9216" t="s">
        <v>26974</v>
      </c>
      <c r="F9216" t="s">
        <v>32606</v>
      </c>
      <c r="G9216" t="s">
        <v>32613</v>
      </c>
      <c r="H9216" t="s">
        <v>14201</v>
      </c>
      <c r="I9216" t="s">
        <v>32680</v>
      </c>
      <c r="J9216" t="s">
        <v>38470</v>
      </c>
      <c r="K9216" t="s">
        <v>42631</v>
      </c>
      <c r="M9216" t="s">
        <v>42934</v>
      </c>
      <c r="N9216" t="s">
        <v>47304</v>
      </c>
      <c r="O9216" t="s">
        <v>47305</v>
      </c>
      <c r="P9216">
        <v>0</v>
      </c>
      <c r="Q9216">
        <v>0</v>
      </c>
      <c r="R9216" t="s">
        <v>47313</v>
      </c>
      <c r="S9216" t="s">
        <v>47535</v>
      </c>
      <c r="T9216" t="s">
        <v>49068</v>
      </c>
      <c r="U9216" t="s">
        <v>57158</v>
      </c>
      <c r="W9216" t="s">
        <v>42934</v>
      </c>
      <c r="X9216" t="s">
        <v>47318</v>
      </c>
    </row>
    <row r="9217" spans="1:24">
      <c r="A9217">
        <f>HYPERLINK("https://www.philgeps.gov.ph/GEPSNONPILOT/Tender/SplashBidNoticeAbstractUI.aspx?menuIndex=3&amp;refID=7181276&amp;Result=3","7181276")</f>
        <v>0</v>
      </c>
      <c r="B9217" t="s">
        <v>1041</v>
      </c>
      <c r="C9217" t="s">
        <v>12539</v>
      </c>
      <c r="D9217" t="s">
        <v>19011</v>
      </c>
      <c r="E9217" t="s">
        <v>26975</v>
      </c>
      <c r="F9217" t="s">
        <v>32606</v>
      </c>
      <c r="G9217" t="s">
        <v>32613</v>
      </c>
      <c r="H9217" t="s">
        <v>14201</v>
      </c>
      <c r="I9217" t="s">
        <v>6931</v>
      </c>
      <c r="J9217" t="s">
        <v>38471</v>
      </c>
      <c r="K9217" t="s">
        <v>42624</v>
      </c>
      <c r="M9217" t="s">
        <v>43994</v>
      </c>
      <c r="N9217" t="s">
        <v>47304</v>
      </c>
      <c r="O9217" t="s">
        <v>47305</v>
      </c>
      <c r="Q9217">
        <v>2</v>
      </c>
      <c r="R9217" t="s">
        <v>47313</v>
      </c>
      <c r="S9217" t="s">
        <v>47542</v>
      </c>
      <c r="T9217" t="s">
        <v>49064</v>
      </c>
      <c r="U9217" t="s">
        <v>57159</v>
      </c>
      <c r="W9217" t="s">
        <v>64459</v>
      </c>
      <c r="X9217" t="s">
        <v>47315</v>
      </c>
    </row>
    <row r="9218" spans="1:24">
      <c r="A9218">
        <f>HYPERLINK("https://www.philgeps.gov.ph/GEPSNONPILOT/Tender/SplashBidNoticeAbstractUI.aspx?menuIndex=3&amp;refID=7181246&amp;Result=3","7181246")</f>
        <v>0</v>
      </c>
      <c r="B9218" t="s">
        <v>1021</v>
      </c>
      <c r="C9218" t="s">
        <v>12540</v>
      </c>
      <c r="D9218" t="s">
        <v>18993</v>
      </c>
      <c r="E9218" t="s">
        <v>26976</v>
      </c>
      <c r="F9218" t="s">
        <v>32606</v>
      </c>
      <c r="G9218" t="s">
        <v>32613</v>
      </c>
      <c r="H9218" t="s">
        <v>32623</v>
      </c>
      <c r="I9218" t="s">
        <v>17648</v>
      </c>
      <c r="J9218" t="s">
        <v>38472</v>
      </c>
      <c r="K9218" t="s">
        <v>42648</v>
      </c>
      <c r="M9218" t="s">
        <v>43972</v>
      </c>
      <c r="N9218" t="s">
        <v>47304</v>
      </c>
      <c r="O9218" t="s">
        <v>47305</v>
      </c>
      <c r="Q9218">
        <v>3</v>
      </c>
      <c r="R9218" t="s">
        <v>47313</v>
      </c>
      <c r="S9218" t="s">
        <v>47543</v>
      </c>
      <c r="T9218" t="s">
        <v>49157</v>
      </c>
      <c r="U9218" t="s">
        <v>57160</v>
      </c>
      <c r="V9218" t="s">
        <v>62900</v>
      </c>
      <c r="W9218" t="s">
        <v>43972</v>
      </c>
      <c r="X9218" t="s">
        <v>47315</v>
      </c>
    </row>
    <row r="9219" spans="1:24">
      <c r="A9219">
        <f>HYPERLINK("https://www.philgeps.gov.ph/GEPSNONPILOT/Tender/SplashBidNoticeAbstractUI.aspx?menuIndex=3&amp;refID=7181243&amp;Result=3","7181243")</f>
        <v>0</v>
      </c>
      <c r="B9219" t="s">
        <v>1041</v>
      </c>
      <c r="C9219" t="s">
        <v>12541</v>
      </c>
      <c r="D9219" t="s">
        <v>19011</v>
      </c>
      <c r="E9219" t="s">
        <v>26977</v>
      </c>
      <c r="F9219" t="s">
        <v>32606</v>
      </c>
      <c r="G9219" t="s">
        <v>32613</v>
      </c>
      <c r="H9219" t="s">
        <v>14201</v>
      </c>
      <c r="I9219" t="s">
        <v>6931</v>
      </c>
      <c r="J9219" t="s">
        <v>38473</v>
      </c>
      <c r="K9219" t="s">
        <v>42624</v>
      </c>
      <c r="M9219" t="s">
        <v>43994</v>
      </c>
      <c r="N9219" t="s">
        <v>47304</v>
      </c>
      <c r="O9219" t="s">
        <v>47305</v>
      </c>
      <c r="Q9219">
        <v>2</v>
      </c>
      <c r="R9219" t="s">
        <v>47313</v>
      </c>
      <c r="S9219" t="s">
        <v>47544</v>
      </c>
      <c r="T9219" t="s">
        <v>49064</v>
      </c>
      <c r="U9219" t="s">
        <v>57159</v>
      </c>
      <c r="W9219" t="s">
        <v>64459</v>
      </c>
      <c r="X9219" t="s">
        <v>47315</v>
      </c>
    </row>
    <row r="9220" spans="1:24">
      <c r="A9220">
        <f>HYPERLINK("https://www.philgeps.gov.ph/GEPSNONPILOT/Tender/SplashBidNoticeAbstractUI.aspx?menuIndex=3&amp;refID=7180600&amp;Result=3","7180600")</f>
        <v>0</v>
      </c>
      <c r="B9220" t="s">
        <v>1086</v>
      </c>
      <c r="C9220" t="s">
        <v>12542</v>
      </c>
      <c r="E9220" t="s">
        <v>26978</v>
      </c>
      <c r="F9220" t="s">
        <v>32606</v>
      </c>
      <c r="G9220" t="s">
        <v>32613</v>
      </c>
      <c r="H9220" t="s">
        <v>32623</v>
      </c>
      <c r="I9220" t="s">
        <v>17648</v>
      </c>
      <c r="J9220" t="s">
        <v>38474</v>
      </c>
      <c r="K9220" t="s">
        <v>42624</v>
      </c>
      <c r="M9220" t="s">
        <v>46046</v>
      </c>
      <c r="N9220" t="s">
        <v>47304</v>
      </c>
      <c r="O9220" t="s">
        <v>47305</v>
      </c>
      <c r="P9220">
        <v>0</v>
      </c>
      <c r="Q9220">
        <v>6</v>
      </c>
      <c r="R9220" t="s">
        <v>47313</v>
      </c>
      <c r="S9220" t="s">
        <v>47535</v>
      </c>
      <c r="T9220" t="s">
        <v>49140</v>
      </c>
      <c r="U9220" t="s">
        <v>57161</v>
      </c>
      <c r="W9220" t="s">
        <v>46046</v>
      </c>
      <c r="X9220" t="s">
        <v>47316</v>
      </c>
    </row>
    <row r="9221" spans="1:24">
      <c r="A9221">
        <f>HYPERLINK("https://www.philgeps.gov.ph/GEPSNONPILOT/Tender/SplashBidNoticeAbstractUI.aspx?menuIndex=3&amp;refID=7181227&amp;Result=3","7181227")</f>
        <v>0</v>
      </c>
      <c r="B9221" t="s">
        <v>648</v>
      </c>
      <c r="C9221" t="s">
        <v>12543</v>
      </c>
      <c r="D9221" t="s">
        <v>19059</v>
      </c>
      <c r="E9221" t="s">
        <v>26979</v>
      </c>
      <c r="F9221" t="s">
        <v>32606</v>
      </c>
      <c r="G9221" t="s">
        <v>32613</v>
      </c>
      <c r="H9221" t="s">
        <v>14201</v>
      </c>
      <c r="I9221" t="s">
        <v>32650</v>
      </c>
      <c r="J9221" t="s">
        <v>38475</v>
      </c>
      <c r="K9221" t="s">
        <v>42639</v>
      </c>
      <c r="M9221" t="s">
        <v>43566</v>
      </c>
      <c r="N9221" t="s">
        <v>47304</v>
      </c>
      <c r="O9221" t="s">
        <v>47305</v>
      </c>
      <c r="P9221">
        <v>0</v>
      </c>
      <c r="Q9221">
        <v>2</v>
      </c>
      <c r="R9221" t="s">
        <v>47313</v>
      </c>
      <c r="S9221" t="s">
        <v>47535</v>
      </c>
      <c r="T9221" t="s">
        <v>49020</v>
      </c>
      <c r="U9221" t="s">
        <v>57162</v>
      </c>
      <c r="W9221" t="s">
        <v>43566</v>
      </c>
      <c r="X9221" t="s">
        <v>47315</v>
      </c>
    </row>
    <row r="9222" spans="1:24">
      <c r="A9222">
        <f>HYPERLINK("https://www.philgeps.gov.ph/GEPSNONPILOT/Tender/SplashBidNoticeAbstractUI.aspx?menuIndex=3&amp;refID=7181408&amp;Result=3","7181408")</f>
        <v>0</v>
      </c>
      <c r="B9222" t="s">
        <v>648</v>
      </c>
      <c r="C9222" t="s">
        <v>12544</v>
      </c>
      <c r="D9222" t="s">
        <v>19059</v>
      </c>
      <c r="E9222" t="s">
        <v>26980</v>
      </c>
      <c r="F9222" t="s">
        <v>32606</v>
      </c>
      <c r="G9222" t="s">
        <v>32613</v>
      </c>
      <c r="H9222" t="s">
        <v>14201</v>
      </c>
      <c r="I9222" t="s">
        <v>32635</v>
      </c>
      <c r="J9222" t="s">
        <v>33263</v>
      </c>
      <c r="K9222" t="s">
        <v>42636</v>
      </c>
      <c r="M9222" t="s">
        <v>43566</v>
      </c>
      <c r="N9222" t="s">
        <v>47304</v>
      </c>
      <c r="O9222" t="s">
        <v>47305</v>
      </c>
      <c r="P9222">
        <v>0</v>
      </c>
      <c r="Q9222">
        <v>1</v>
      </c>
      <c r="R9222" t="s">
        <v>47313</v>
      </c>
      <c r="S9222" t="s">
        <v>47535</v>
      </c>
      <c r="T9222" t="s">
        <v>49020</v>
      </c>
      <c r="U9222" t="s">
        <v>57163</v>
      </c>
      <c r="W9222" t="s">
        <v>43566</v>
      </c>
      <c r="X9222" t="s">
        <v>47315</v>
      </c>
    </row>
    <row r="9223" spans="1:24">
      <c r="A9223">
        <f>HYPERLINK("https://www.philgeps.gov.ph/GEPSNONPILOT/Tender/SplashBidNoticeAbstractUI.aspx?menuIndex=3&amp;refID=7181194&amp;Result=3","7181194")</f>
        <v>0</v>
      </c>
      <c r="B9223" t="s">
        <v>2572</v>
      </c>
      <c r="C9223" t="s">
        <v>12545</v>
      </c>
      <c r="D9223" t="s">
        <v>19016</v>
      </c>
      <c r="E9223" t="s">
        <v>20844</v>
      </c>
      <c r="F9223" t="s">
        <v>32606</v>
      </c>
      <c r="G9223" t="s">
        <v>32613</v>
      </c>
      <c r="H9223" t="s">
        <v>32623</v>
      </c>
      <c r="I9223" t="s">
        <v>17648</v>
      </c>
      <c r="J9223" t="s">
        <v>38476</v>
      </c>
      <c r="K9223" t="s">
        <v>42639</v>
      </c>
      <c r="M9223" t="s">
        <v>45712</v>
      </c>
      <c r="N9223" t="s">
        <v>47304</v>
      </c>
      <c r="O9223" t="s">
        <v>47305</v>
      </c>
      <c r="P9223">
        <v>0</v>
      </c>
      <c r="Q9223">
        <v>1</v>
      </c>
      <c r="R9223" t="s">
        <v>47313</v>
      </c>
      <c r="S9223" t="s">
        <v>47535</v>
      </c>
      <c r="T9223" t="s">
        <v>49140</v>
      </c>
      <c r="U9223" t="s">
        <v>57164</v>
      </c>
      <c r="V9223" t="s">
        <v>63619</v>
      </c>
      <c r="W9223" t="s">
        <v>45712</v>
      </c>
      <c r="X9223" t="s">
        <v>47315</v>
      </c>
    </row>
    <row r="9224" spans="1:24">
      <c r="A9224">
        <f>HYPERLINK("https://www.philgeps.gov.ph/GEPSNONPILOT/Tender/SplashBidNoticeAbstractUI.aspx?menuIndex=3&amp;refID=7181183&amp;Result=3","7181183")</f>
        <v>0</v>
      </c>
      <c r="B9224" t="s">
        <v>2875</v>
      </c>
      <c r="C9224" t="s">
        <v>12546</v>
      </c>
      <c r="E9224" t="s">
        <v>26981</v>
      </c>
      <c r="F9224" t="s">
        <v>32606</v>
      </c>
      <c r="G9224" t="s">
        <v>32613</v>
      </c>
      <c r="H9224" t="s">
        <v>14201</v>
      </c>
      <c r="I9224" t="s">
        <v>6931</v>
      </c>
      <c r="J9224" t="s">
        <v>38477</v>
      </c>
      <c r="K9224" t="s">
        <v>42624</v>
      </c>
      <c r="M9224" t="s">
        <v>46047</v>
      </c>
      <c r="N9224" t="s">
        <v>47304</v>
      </c>
      <c r="O9224" t="s">
        <v>47305</v>
      </c>
      <c r="P9224">
        <v>0</v>
      </c>
      <c r="Q9224">
        <v>1</v>
      </c>
      <c r="R9224" t="s">
        <v>47313</v>
      </c>
      <c r="S9224" t="s">
        <v>47535</v>
      </c>
      <c r="T9224" t="s">
        <v>49053</v>
      </c>
      <c r="U9224" t="s">
        <v>57165</v>
      </c>
      <c r="V9224" t="s">
        <v>63620</v>
      </c>
      <c r="W9224" t="s">
        <v>46047</v>
      </c>
      <c r="X9224" t="s">
        <v>47315</v>
      </c>
    </row>
    <row r="9225" spans="1:24">
      <c r="A9225">
        <f>HYPERLINK("https://www.philgeps.gov.ph/GEPSNONPILOT/Tender/SplashBidNoticeAbstractUI.aspx?menuIndex=3&amp;refID=7180590&amp;Result=3","7180590")</f>
        <v>0</v>
      </c>
      <c r="B9225" t="s">
        <v>49</v>
      </c>
      <c r="C9225" t="s">
        <v>12547</v>
      </c>
      <c r="D9225" t="s">
        <v>19004</v>
      </c>
      <c r="E9225" t="s">
        <v>26982</v>
      </c>
      <c r="F9225" t="s">
        <v>32606</v>
      </c>
      <c r="G9225" t="s">
        <v>32613</v>
      </c>
      <c r="H9225" t="s">
        <v>14201</v>
      </c>
      <c r="I9225" t="s">
        <v>32658</v>
      </c>
      <c r="J9225" t="s">
        <v>38478</v>
      </c>
      <c r="K9225" t="s">
        <v>42630</v>
      </c>
      <c r="M9225" t="s">
        <v>42946</v>
      </c>
      <c r="N9225" t="s">
        <v>47304</v>
      </c>
      <c r="O9225" t="s">
        <v>47305</v>
      </c>
      <c r="P9225">
        <v>0</v>
      </c>
      <c r="Q9225">
        <v>8</v>
      </c>
      <c r="R9225" t="s">
        <v>47313</v>
      </c>
      <c r="S9225" t="s">
        <v>47535</v>
      </c>
      <c r="T9225" t="s">
        <v>49057</v>
      </c>
      <c r="U9225" t="s">
        <v>57166</v>
      </c>
      <c r="V9225" t="s">
        <v>62654</v>
      </c>
      <c r="W9225" t="s">
        <v>42946</v>
      </c>
      <c r="X9225" t="s">
        <v>47316</v>
      </c>
    </row>
    <row r="9226" spans="1:24">
      <c r="A9226">
        <f>HYPERLINK("https://www.philgeps.gov.ph/GEPSNONPILOT/Tender/SplashBidNoticeAbstractUI.aspx?menuIndex=3&amp;refID=7181234&amp;Result=3","7181234")</f>
        <v>0</v>
      </c>
      <c r="B9226" t="s">
        <v>2876</v>
      </c>
      <c r="C9226" t="s">
        <v>12548</v>
      </c>
      <c r="D9226" t="s">
        <v>18988</v>
      </c>
      <c r="E9226" t="s">
        <v>26983</v>
      </c>
      <c r="F9226" t="s">
        <v>32606</v>
      </c>
      <c r="G9226" t="s">
        <v>32619</v>
      </c>
      <c r="H9226" t="s">
        <v>32623</v>
      </c>
      <c r="I9226" t="s">
        <v>17648</v>
      </c>
      <c r="J9226" t="s">
        <v>32950</v>
      </c>
      <c r="K9226" t="s">
        <v>42648</v>
      </c>
      <c r="M9226" t="s">
        <v>46048</v>
      </c>
      <c r="N9226" t="s">
        <v>47304</v>
      </c>
      <c r="O9226" t="s">
        <v>47305</v>
      </c>
      <c r="P9226">
        <v>0</v>
      </c>
      <c r="Q9226">
        <v>0</v>
      </c>
      <c r="R9226" t="s">
        <v>47313</v>
      </c>
      <c r="S9226" t="s">
        <v>47535</v>
      </c>
      <c r="T9226" t="s">
        <v>49311</v>
      </c>
      <c r="U9226" t="s">
        <v>57167</v>
      </c>
      <c r="V9226" t="s">
        <v>63621</v>
      </c>
      <c r="W9226" t="s">
        <v>46048</v>
      </c>
      <c r="X9226" t="s">
        <v>47315</v>
      </c>
    </row>
    <row r="9227" spans="1:24">
      <c r="A9227">
        <f>HYPERLINK("https://www.philgeps.gov.ph/GEPSNONPILOT/Tender/SplashBidNoticeAbstractUI.aspx?menuIndex=3&amp;refID=7181317&amp;Result=3","7181317")</f>
        <v>0</v>
      </c>
      <c r="B9227" t="s">
        <v>362</v>
      </c>
      <c r="C9227" t="s">
        <v>12549</v>
      </c>
      <c r="D9227" t="s">
        <v>19023</v>
      </c>
      <c r="E9227" t="s">
        <v>26984</v>
      </c>
      <c r="F9227" t="s">
        <v>32606</v>
      </c>
      <c r="G9227" t="s">
        <v>32613</v>
      </c>
      <c r="H9227" t="s">
        <v>14201</v>
      </c>
      <c r="I9227" t="s">
        <v>6993</v>
      </c>
      <c r="J9227" t="s">
        <v>38479</v>
      </c>
      <c r="K9227" t="s">
        <v>42630</v>
      </c>
      <c r="M9227" t="s">
        <v>43264</v>
      </c>
      <c r="N9227" t="s">
        <v>47304</v>
      </c>
      <c r="O9227" t="s">
        <v>47305</v>
      </c>
      <c r="P9227">
        <v>0</v>
      </c>
      <c r="Q9227">
        <v>1</v>
      </c>
      <c r="R9227" t="s">
        <v>47313</v>
      </c>
      <c r="S9227" t="s">
        <v>47535</v>
      </c>
      <c r="T9227" t="s">
        <v>49347</v>
      </c>
      <c r="U9227" t="s">
        <v>53681</v>
      </c>
      <c r="V9227" t="s">
        <v>63622</v>
      </c>
      <c r="W9227" t="s">
        <v>43264</v>
      </c>
      <c r="X9227" t="s">
        <v>47315</v>
      </c>
    </row>
    <row r="9228" spans="1:24">
      <c r="A9228">
        <f>HYPERLINK("https://www.philgeps.gov.ph/GEPSNONPILOT/Tender/SplashBidNoticeAbstractUI.aspx?menuIndex=3&amp;refID=7181218&amp;Result=3","7181218")</f>
        <v>0</v>
      </c>
      <c r="B9228" t="s">
        <v>1041</v>
      </c>
      <c r="C9228" t="s">
        <v>12550</v>
      </c>
      <c r="D9228" t="s">
        <v>19011</v>
      </c>
      <c r="E9228" t="s">
        <v>26985</v>
      </c>
      <c r="F9228" t="s">
        <v>32606</v>
      </c>
      <c r="G9228" t="s">
        <v>32613</v>
      </c>
      <c r="H9228" t="s">
        <v>14201</v>
      </c>
      <c r="I9228" t="s">
        <v>6931</v>
      </c>
      <c r="J9228" t="s">
        <v>38480</v>
      </c>
      <c r="K9228" t="s">
        <v>42624</v>
      </c>
      <c r="M9228" t="s">
        <v>43994</v>
      </c>
      <c r="N9228" t="s">
        <v>47304</v>
      </c>
      <c r="O9228" t="s">
        <v>47305</v>
      </c>
      <c r="Q9228">
        <v>4</v>
      </c>
      <c r="R9228" t="s">
        <v>47313</v>
      </c>
      <c r="S9228" t="s">
        <v>47545</v>
      </c>
      <c r="T9228" t="s">
        <v>49064</v>
      </c>
      <c r="U9228" t="s">
        <v>57159</v>
      </c>
      <c r="W9228" t="s">
        <v>64459</v>
      </c>
      <c r="X9228" t="s">
        <v>47315</v>
      </c>
    </row>
    <row r="9229" spans="1:24">
      <c r="A9229">
        <f>HYPERLINK("https://www.philgeps.gov.ph/GEPSNONPILOT/Tender/SplashBidNoticeAbstractUI.aspx?menuIndex=3&amp;refID=7179687&amp;Result=3","7179687")</f>
        <v>0</v>
      </c>
      <c r="B9229" t="s">
        <v>2864</v>
      </c>
      <c r="C9229" t="s">
        <v>12551</v>
      </c>
      <c r="D9229" t="s">
        <v>18993</v>
      </c>
      <c r="E9229" t="s">
        <v>26986</v>
      </c>
      <c r="F9229" t="s">
        <v>32606</v>
      </c>
      <c r="G9229" t="s">
        <v>32613</v>
      </c>
      <c r="H9229" t="s">
        <v>32623</v>
      </c>
      <c r="I9229" t="s">
        <v>17648</v>
      </c>
      <c r="J9229" t="s">
        <v>38481</v>
      </c>
      <c r="K9229" t="s">
        <v>42624</v>
      </c>
      <c r="M9229" t="s">
        <v>46033</v>
      </c>
      <c r="N9229" t="s">
        <v>47304</v>
      </c>
      <c r="O9229" t="s">
        <v>47305</v>
      </c>
      <c r="P9229">
        <v>0</v>
      </c>
      <c r="Q9229">
        <v>2</v>
      </c>
      <c r="R9229" t="s">
        <v>47313</v>
      </c>
      <c r="S9229" t="s">
        <v>47535</v>
      </c>
      <c r="T9229" t="s">
        <v>49040</v>
      </c>
      <c r="U9229" t="s">
        <v>57168</v>
      </c>
      <c r="W9229" t="s">
        <v>46033</v>
      </c>
      <c r="X9229" t="s">
        <v>47318</v>
      </c>
    </row>
    <row r="9230" spans="1:24">
      <c r="A9230">
        <f>HYPERLINK("https://www.philgeps.gov.ph/GEPSNONPILOT/Tender/SplashBidNoticeAbstractUI.aspx?menuIndex=3&amp;refID=7180568&amp;Result=3","7180568")</f>
        <v>0</v>
      </c>
      <c r="B9230" t="s">
        <v>49</v>
      </c>
      <c r="C9230" t="s">
        <v>12552</v>
      </c>
      <c r="D9230" t="s">
        <v>19004</v>
      </c>
      <c r="E9230" t="s">
        <v>26987</v>
      </c>
      <c r="F9230" t="s">
        <v>32608</v>
      </c>
      <c r="G9230" t="s">
        <v>32613</v>
      </c>
      <c r="H9230" t="s">
        <v>14201</v>
      </c>
      <c r="I9230" t="s">
        <v>32648</v>
      </c>
      <c r="J9230" t="s">
        <v>38482</v>
      </c>
      <c r="K9230" t="s">
        <v>42666</v>
      </c>
      <c r="M9230" t="s">
        <v>42946</v>
      </c>
      <c r="N9230" t="s">
        <v>47304</v>
      </c>
      <c r="O9230" t="s">
        <v>47305</v>
      </c>
      <c r="P9230">
        <v>0</v>
      </c>
      <c r="Q9230">
        <v>8</v>
      </c>
      <c r="R9230" t="s">
        <v>47313</v>
      </c>
      <c r="S9230" t="s">
        <v>47535</v>
      </c>
      <c r="T9230" t="s">
        <v>49057</v>
      </c>
      <c r="U9230" t="s">
        <v>57169</v>
      </c>
      <c r="V9230" t="s">
        <v>62654</v>
      </c>
      <c r="W9230" t="s">
        <v>42946</v>
      </c>
      <c r="X9230" t="s">
        <v>47316</v>
      </c>
    </row>
    <row r="9231" spans="1:24">
      <c r="A9231">
        <f>HYPERLINK("https://www.philgeps.gov.ph/GEPSNONPILOT/Tender/SplashBidNoticeAbstractUI.aspx?menuIndex=3&amp;refID=7179668&amp;Result=3","7179668")</f>
        <v>0</v>
      </c>
      <c r="B9231" t="s">
        <v>2864</v>
      </c>
      <c r="C9231" t="s">
        <v>12553</v>
      </c>
      <c r="D9231" t="s">
        <v>18993</v>
      </c>
      <c r="E9231" t="s">
        <v>26988</v>
      </c>
      <c r="F9231" t="s">
        <v>32606</v>
      </c>
      <c r="G9231" t="s">
        <v>32613</v>
      </c>
      <c r="H9231" t="s">
        <v>32623</v>
      </c>
      <c r="I9231" t="s">
        <v>17648</v>
      </c>
      <c r="J9231" t="s">
        <v>38483</v>
      </c>
      <c r="K9231" t="s">
        <v>42624</v>
      </c>
      <c r="M9231" t="s">
        <v>46033</v>
      </c>
      <c r="N9231" t="s">
        <v>47304</v>
      </c>
      <c r="O9231" t="s">
        <v>47305</v>
      </c>
      <c r="P9231">
        <v>0</v>
      </c>
      <c r="Q9231">
        <v>3</v>
      </c>
      <c r="R9231" t="s">
        <v>47313</v>
      </c>
      <c r="S9231" t="s">
        <v>47535</v>
      </c>
      <c r="T9231" t="s">
        <v>49040</v>
      </c>
      <c r="U9231" t="s">
        <v>57170</v>
      </c>
      <c r="W9231" t="s">
        <v>46033</v>
      </c>
      <c r="X9231" t="s">
        <v>47318</v>
      </c>
    </row>
    <row r="9232" spans="1:24">
      <c r="A9232">
        <f>HYPERLINK("https://www.philgeps.gov.ph/GEPSNONPILOT/Tender/SplashBidNoticeAbstractUI.aspx?menuIndex=3&amp;refID=7179659&amp;Result=3","7179659")</f>
        <v>0</v>
      </c>
      <c r="B9232" t="s">
        <v>2864</v>
      </c>
      <c r="C9232" t="s">
        <v>12554</v>
      </c>
      <c r="D9232" t="s">
        <v>18993</v>
      </c>
      <c r="E9232" t="s">
        <v>26989</v>
      </c>
      <c r="F9232" t="s">
        <v>32606</v>
      </c>
      <c r="G9232" t="s">
        <v>32613</v>
      </c>
      <c r="H9232" t="s">
        <v>32624</v>
      </c>
      <c r="I9232" t="s">
        <v>32641</v>
      </c>
      <c r="J9232" t="s">
        <v>38484</v>
      </c>
      <c r="K9232" t="s">
        <v>42751</v>
      </c>
      <c r="M9232" t="s">
        <v>46033</v>
      </c>
      <c r="N9232" t="s">
        <v>47304</v>
      </c>
      <c r="O9232" t="s">
        <v>47305</v>
      </c>
      <c r="P9232">
        <v>0</v>
      </c>
      <c r="Q9232">
        <v>8</v>
      </c>
      <c r="R9232" t="s">
        <v>47313</v>
      </c>
      <c r="S9232" t="s">
        <v>47535</v>
      </c>
      <c r="T9232" t="s">
        <v>49040</v>
      </c>
      <c r="U9232" t="s">
        <v>57171</v>
      </c>
      <c r="W9232" t="s">
        <v>46033</v>
      </c>
      <c r="X9232" t="s">
        <v>47318</v>
      </c>
    </row>
    <row r="9233" spans="1:24">
      <c r="A9233">
        <f>HYPERLINK("https://www.philgeps.gov.ph/GEPSNONPILOT/Tender/SplashBidNoticeAbstractUI.aspx?menuIndex=3&amp;refID=7181233&amp;Result=3","7181233")</f>
        <v>0</v>
      </c>
      <c r="B9233" t="s">
        <v>1041</v>
      </c>
      <c r="C9233" t="s">
        <v>12555</v>
      </c>
      <c r="D9233" t="s">
        <v>19011</v>
      </c>
      <c r="E9233" t="s">
        <v>26990</v>
      </c>
      <c r="F9233" t="s">
        <v>32606</v>
      </c>
      <c r="G9233" t="s">
        <v>32613</v>
      </c>
      <c r="H9233" t="s">
        <v>14201</v>
      </c>
      <c r="I9233" t="s">
        <v>32629</v>
      </c>
      <c r="J9233" t="s">
        <v>38485</v>
      </c>
      <c r="K9233" t="s">
        <v>42624</v>
      </c>
      <c r="M9233" t="s">
        <v>43994</v>
      </c>
      <c r="N9233" t="s">
        <v>47304</v>
      </c>
      <c r="O9233" t="s">
        <v>47305</v>
      </c>
      <c r="Q9233">
        <v>0</v>
      </c>
      <c r="R9233" t="s">
        <v>47313</v>
      </c>
      <c r="S9233" t="s">
        <v>47546</v>
      </c>
      <c r="T9233" t="s">
        <v>49064</v>
      </c>
      <c r="U9233" t="s">
        <v>57159</v>
      </c>
      <c r="W9233" t="s">
        <v>64459</v>
      </c>
      <c r="X9233" t="s">
        <v>47315</v>
      </c>
    </row>
    <row r="9234" spans="1:24">
      <c r="A9234">
        <f>HYPERLINK("https://www.philgeps.gov.ph/GEPSNONPILOT/Tender/SplashBidNoticeAbstractUI.aspx?menuIndex=3&amp;refID=7179237&amp;Result=3","7179237")</f>
        <v>0</v>
      </c>
      <c r="B9234" t="s">
        <v>233</v>
      </c>
      <c r="C9234" t="s">
        <v>12556</v>
      </c>
      <c r="D9234" t="s">
        <v>18997</v>
      </c>
      <c r="E9234" t="s">
        <v>26991</v>
      </c>
      <c r="F9234" t="s">
        <v>32606</v>
      </c>
      <c r="G9234" t="s">
        <v>32613</v>
      </c>
      <c r="H9234" t="s">
        <v>14201</v>
      </c>
      <c r="I9234" t="s">
        <v>32629</v>
      </c>
      <c r="J9234" t="s">
        <v>35368</v>
      </c>
      <c r="K9234" t="s">
        <v>42631</v>
      </c>
      <c r="M9234" t="s">
        <v>46037</v>
      </c>
      <c r="N9234" t="s">
        <v>47304</v>
      </c>
      <c r="O9234" t="s">
        <v>47305</v>
      </c>
      <c r="P9234">
        <v>0</v>
      </c>
      <c r="Q9234">
        <v>0</v>
      </c>
      <c r="R9234" t="s">
        <v>47313</v>
      </c>
      <c r="S9234" t="s">
        <v>47535</v>
      </c>
      <c r="T9234" t="s">
        <v>49086</v>
      </c>
      <c r="U9234" t="s">
        <v>57116</v>
      </c>
      <c r="V9234" t="s">
        <v>63002</v>
      </c>
      <c r="W9234" t="s">
        <v>46037</v>
      </c>
      <c r="X9234" t="s">
        <v>47318</v>
      </c>
    </row>
    <row r="9235" spans="1:24">
      <c r="A9235">
        <f>HYPERLINK("https://www.philgeps.gov.ph/GEPSNONPILOT/Tender/SplashBidNoticeAbstractUI.aspx?menuIndex=3&amp;refID=7181191&amp;Result=3","7181191")</f>
        <v>0</v>
      </c>
      <c r="B9235" t="s">
        <v>2877</v>
      </c>
      <c r="C9235" t="s">
        <v>12557</v>
      </c>
      <c r="D9235" t="s">
        <v>19019</v>
      </c>
      <c r="E9235" t="s">
        <v>23191</v>
      </c>
      <c r="F9235" t="s">
        <v>32606</v>
      </c>
      <c r="G9235" t="s">
        <v>32613</v>
      </c>
      <c r="H9235" t="s">
        <v>32623</v>
      </c>
      <c r="I9235" t="s">
        <v>17648</v>
      </c>
      <c r="J9235" t="s">
        <v>32772</v>
      </c>
      <c r="K9235" t="s">
        <v>42694</v>
      </c>
      <c r="M9235" t="s">
        <v>46049</v>
      </c>
      <c r="N9235" t="s">
        <v>47304</v>
      </c>
      <c r="O9235" t="s">
        <v>47305</v>
      </c>
      <c r="P9235">
        <v>0</v>
      </c>
      <c r="Q9235">
        <v>0</v>
      </c>
      <c r="R9235" t="s">
        <v>47313</v>
      </c>
      <c r="S9235" t="s">
        <v>47535</v>
      </c>
      <c r="T9235" t="s">
        <v>49156</v>
      </c>
      <c r="U9235" t="s">
        <v>57172</v>
      </c>
      <c r="W9235" t="s">
        <v>46049</v>
      </c>
      <c r="X9235" t="s">
        <v>47315</v>
      </c>
    </row>
    <row r="9236" spans="1:24">
      <c r="A9236">
        <f>HYPERLINK("https://www.philgeps.gov.ph/GEPSNONPILOT/Tender/SplashBidNoticeAbstractUI.aspx?menuIndex=3&amp;refID=7182016&amp;Result=3","7182016")</f>
        <v>0</v>
      </c>
      <c r="B9236" t="s">
        <v>2115</v>
      </c>
      <c r="C9236" t="s">
        <v>12558</v>
      </c>
      <c r="D9236" t="s">
        <v>19008</v>
      </c>
      <c r="E9236" t="s">
        <v>26992</v>
      </c>
      <c r="F9236" t="s">
        <v>32606</v>
      </c>
      <c r="G9236" t="s">
        <v>32613</v>
      </c>
      <c r="H9236" t="s">
        <v>14201</v>
      </c>
      <c r="I9236" t="s">
        <v>32633</v>
      </c>
      <c r="J9236" t="s">
        <v>38486</v>
      </c>
      <c r="K9236" t="s">
        <v>42638</v>
      </c>
      <c r="M9236" t="s">
        <v>45789</v>
      </c>
      <c r="N9236" t="s">
        <v>47304</v>
      </c>
      <c r="O9236" t="s">
        <v>47305</v>
      </c>
      <c r="P9236">
        <v>0</v>
      </c>
      <c r="Q9236">
        <v>2</v>
      </c>
      <c r="R9236" t="s">
        <v>47313</v>
      </c>
      <c r="S9236" t="s">
        <v>47535</v>
      </c>
      <c r="T9236" t="s">
        <v>49071</v>
      </c>
      <c r="U9236" t="s">
        <v>57173</v>
      </c>
      <c r="V9236" t="s">
        <v>63377</v>
      </c>
      <c r="W9236" t="s">
        <v>45789</v>
      </c>
      <c r="X9236" t="s">
        <v>47315</v>
      </c>
    </row>
    <row r="9237" spans="1:24">
      <c r="A9237">
        <f>HYPERLINK("https://www.philgeps.gov.ph/GEPSNONPILOT/Tender/SplashBidNoticeAbstractUI.aspx?menuIndex=3&amp;refID=7181997&amp;Result=3","7181997")</f>
        <v>0</v>
      </c>
      <c r="B9237" t="s">
        <v>37</v>
      </c>
      <c r="C9237" t="s">
        <v>12559</v>
      </c>
      <c r="D9237" t="s">
        <v>18997</v>
      </c>
      <c r="E9237" t="s">
        <v>26993</v>
      </c>
      <c r="F9237" t="s">
        <v>32606</v>
      </c>
      <c r="G9237" t="s">
        <v>32613</v>
      </c>
      <c r="H9237" t="s">
        <v>14201</v>
      </c>
      <c r="I9237" t="s">
        <v>32631</v>
      </c>
      <c r="J9237" t="s">
        <v>38487</v>
      </c>
      <c r="K9237" t="s">
        <v>42623</v>
      </c>
      <c r="M9237" t="s">
        <v>42934</v>
      </c>
      <c r="N9237" t="s">
        <v>47304</v>
      </c>
      <c r="O9237" t="s">
        <v>47305</v>
      </c>
      <c r="P9237">
        <v>0</v>
      </c>
      <c r="Q9237">
        <v>0</v>
      </c>
      <c r="R9237" t="s">
        <v>47313</v>
      </c>
      <c r="S9237" t="s">
        <v>47535</v>
      </c>
      <c r="T9237" t="s">
        <v>49068</v>
      </c>
      <c r="U9237" t="s">
        <v>57174</v>
      </c>
      <c r="W9237" t="s">
        <v>42934</v>
      </c>
      <c r="X9237" t="s">
        <v>47315</v>
      </c>
    </row>
    <row r="9238" spans="1:24">
      <c r="A9238">
        <f>HYPERLINK("https://www.philgeps.gov.ph/GEPSNONPILOT/Tender/SplashBidNoticeAbstractUI.aspx?menuIndex=3&amp;refID=7181958&amp;Result=3","7181958")</f>
        <v>0</v>
      </c>
      <c r="B9238" t="s">
        <v>233</v>
      </c>
      <c r="C9238" t="s">
        <v>12560</v>
      </c>
      <c r="D9238" t="s">
        <v>18997</v>
      </c>
      <c r="E9238" t="s">
        <v>26994</v>
      </c>
      <c r="F9238" t="s">
        <v>32606</v>
      </c>
      <c r="G9238" t="s">
        <v>32613</v>
      </c>
      <c r="H9238" t="s">
        <v>14201</v>
      </c>
      <c r="I9238" t="s">
        <v>6931</v>
      </c>
      <c r="J9238" t="s">
        <v>38488</v>
      </c>
      <c r="K9238" t="s">
        <v>42631</v>
      </c>
      <c r="M9238" t="s">
        <v>44359</v>
      </c>
      <c r="N9238" t="s">
        <v>47304</v>
      </c>
      <c r="O9238" t="s">
        <v>47305</v>
      </c>
      <c r="P9238">
        <v>0</v>
      </c>
      <c r="Q9238">
        <v>1</v>
      </c>
      <c r="R9238" t="s">
        <v>47313</v>
      </c>
      <c r="S9238" t="s">
        <v>47535</v>
      </c>
      <c r="T9238" t="s">
        <v>49086</v>
      </c>
      <c r="U9238" t="s">
        <v>57116</v>
      </c>
      <c r="V9238" t="s">
        <v>63002</v>
      </c>
      <c r="W9238" t="s">
        <v>44359</v>
      </c>
      <c r="X9238" t="s">
        <v>47315</v>
      </c>
    </row>
    <row r="9239" spans="1:24">
      <c r="A9239">
        <f>HYPERLINK("https://www.philgeps.gov.ph/GEPSNONPILOT/Tender/SplashBidNoticeAbstractUI.aspx?menuIndex=3&amp;refID=7182047&amp;Result=3","7182047")</f>
        <v>0</v>
      </c>
      <c r="B9239" t="s">
        <v>2115</v>
      </c>
      <c r="C9239" t="s">
        <v>12561</v>
      </c>
      <c r="D9239" t="s">
        <v>19008</v>
      </c>
      <c r="E9239" t="s">
        <v>26995</v>
      </c>
      <c r="F9239" t="s">
        <v>32606</v>
      </c>
      <c r="G9239" t="s">
        <v>32613</v>
      </c>
      <c r="H9239" t="s">
        <v>14201</v>
      </c>
      <c r="I9239" t="s">
        <v>32633</v>
      </c>
      <c r="J9239" t="s">
        <v>38489</v>
      </c>
      <c r="K9239" t="s">
        <v>42638</v>
      </c>
      <c r="M9239" t="s">
        <v>45789</v>
      </c>
      <c r="N9239" t="s">
        <v>47304</v>
      </c>
      <c r="O9239" t="s">
        <v>47305</v>
      </c>
      <c r="P9239">
        <v>0</v>
      </c>
      <c r="Q9239">
        <v>2</v>
      </c>
      <c r="R9239" t="s">
        <v>47313</v>
      </c>
      <c r="S9239" t="s">
        <v>47535</v>
      </c>
      <c r="T9239" t="s">
        <v>49071</v>
      </c>
      <c r="U9239" t="s">
        <v>57175</v>
      </c>
      <c r="V9239" t="s">
        <v>63377</v>
      </c>
      <c r="W9239" t="s">
        <v>45789</v>
      </c>
      <c r="X9239" t="s">
        <v>47315</v>
      </c>
    </row>
    <row r="9240" spans="1:24">
      <c r="A9240">
        <f>HYPERLINK("https://www.philgeps.gov.ph/GEPSNONPILOT/Tender/SplashBidNoticeAbstractUI.aspx?menuIndex=3&amp;refID=7179702&amp;Result=3","7179702")</f>
        <v>0</v>
      </c>
      <c r="B9240" t="s">
        <v>2864</v>
      </c>
      <c r="C9240" t="s">
        <v>12562</v>
      </c>
      <c r="D9240" t="s">
        <v>18993</v>
      </c>
      <c r="E9240" t="s">
        <v>26996</v>
      </c>
      <c r="F9240" t="s">
        <v>32606</v>
      </c>
      <c r="G9240" t="s">
        <v>32613</v>
      </c>
      <c r="H9240" t="s">
        <v>32623</v>
      </c>
      <c r="I9240" t="s">
        <v>17648</v>
      </c>
      <c r="J9240" t="s">
        <v>38490</v>
      </c>
      <c r="K9240" t="s">
        <v>42624</v>
      </c>
      <c r="M9240" t="s">
        <v>46033</v>
      </c>
      <c r="N9240" t="s">
        <v>47304</v>
      </c>
      <c r="O9240" t="s">
        <v>47305</v>
      </c>
      <c r="P9240">
        <v>0</v>
      </c>
      <c r="Q9240">
        <v>2</v>
      </c>
      <c r="R9240" t="s">
        <v>47313</v>
      </c>
      <c r="S9240" t="s">
        <v>47535</v>
      </c>
      <c r="T9240" t="s">
        <v>49040</v>
      </c>
      <c r="U9240" t="s">
        <v>57129</v>
      </c>
      <c r="W9240" t="s">
        <v>46033</v>
      </c>
      <c r="X9240" t="s">
        <v>47318</v>
      </c>
    </row>
    <row r="9241" spans="1:24">
      <c r="A9241">
        <f>HYPERLINK("https://www.philgeps.gov.ph/GEPSNONPILOT/Tender/SplashBidNoticeAbstractUI.aspx?menuIndex=3&amp;refID=7181945&amp;Result=3","7181945")</f>
        <v>0</v>
      </c>
      <c r="B9241" t="s">
        <v>233</v>
      </c>
      <c r="C9241" t="s">
        <v>12563</v>
      </c>
      <c r="D9241" t="s">
        <v>18997</v>
      </c>
      <c r="E9241" t="s">
        <v>26997</v>
      </c>
      <c r="F9241" t="s">
        <v>32606</v>
      </c>
      <c r="G9241" t="s">
        <v>32613</v>
      </c>
      <c r="H9241" t="s">
        <v>14201</v>
      </c>
      <c r="I9241" t="s">
        <v>32661</v>
      </c>
      <c r="J9241" t="s">
        <v>38491</v>
      </c>
      <c r="K9241" t="s">
        <v>42631</v>
      </c>
      <c r="M9241" t="s">
        <v>44359</v>
      </c>
      <c r="N9241" t="s">
        <v>47304</v>
      </c>
      <c r="O9241" t="s">
        <v>47305</v>
      </c>
      <c r="P9241">
        <v>0</v>
      </c>
      <c r="Q9241">
        <v>1</v>
      </c>
      <c r="R9241" t="s">
        <v>47313</v>
      </c>
      <c r="S9241" t="s">
        <v>47535</v>
      </c>
      <c r="T9241" t="s">
        <v>49086</v>
      </c>
      <c r="U9241" t="s">
        <v>57116</v>
      </c>
      <c r="V9241" t="s">
        <v>63002</v>
      </c>
      <c r="W9241" t="s">
        <v>44359</v>
      </c>
      <c r="X9241" t="s">
        <v>47315</v>
      </c>
    </row>
    <row r="9242" spans="1:24">
      <c r="A9242">
        <f>HYPERLINK("https://www.philgeps.gov.ph/GEPSNONPILOT/Tender/SplashBidNoticeAbstractUI.aspx?menuIndex=3&amp;refID=7181941&amp;Result=3","7181941")</f>
        <v>0</v>
      </c>
      <c r="B9242" t="s">
        <v>37</v>
      </c>
      <c r="C9242" t="s">
        <v>12564</v>
      </c>
      <c r="D9242" t="s">
        <v>18997</v>
      </c>
      <c r="E9242" t="s">
        <v>26998</v>
      </c>
      <c r="F9242" t="s">
        <v>32606</v>
      </c>
      <c r="G9242" t="s">
        <v>32613</v>
      </c>
      <c r="H9242" t="s">
        <v>14201</v>
      </c>
      <c r="I9242" t="s">
        <v>32646</v>
      </c>
      <c r="J9242" t="s">
        <v>32975</v>
      </c>
      <c r="K9242" t="s">
        <v>42631</v>
      </c>
      <c r="M9242" t="s">
        <v>42934</v>
      </c>
      <c r="N9242" t="s">
        <v>47304</v>
      </c>
      <c r="O9242" t="s">
        <v>47305</v>
      </c>
      <c r="P9242">
        <v>0</v>
      </c>
      <c r="Q9242">
        <v>1</v>
      </c>
      <c r="R9242" t="s">
        <v>47313</v>
      </c>
      <c r="S9242" t="s">
        <v>47535</v>
      </c>
      <c r="T9242" t="s">
        <v>49068</v>
      </c>
      <c r="U9242" t="s">
        <v>57176</v>
      </c>
      <c r="W9242" t="s">
        <v>42934</v>
      </c>
      <c r="X9242" t="s">
        <v>47315</v>
      </c>
    </row>
    <row r="9243" spans="1:24">
      <c r="A9243">
        <f>HYPERLINK("https://www.philgeps.gov.ph/GEPSNONPILOT/Tender/SplashBidNoticeAbstractUI.aspx?menuIndex=3&amp;refID=7181608&amp;Result=3","7181608")</f>
        <v>0</v>
      </c>
      <c r="B9243" t="s">
        <v>2367</v>
      </c>
      <c r="C9243" t="s">
        <v>12565</v>
      </c>
      <c r="D9243" t="s">
        <v>19025</v>
      </c>
      <c r="E9243" t="s">
        <v>26999</v>
      </c>
      <c r="F9243" t="s">
        <v>32606</v>
      </c>
      <c r="G9243" t="s">
        <v>32613</v>
      </c>
      <c r="H9243" t="s">
        <v>14201</v>
      </c>
      <c r="I9243" t="s">
        <v>7233</v>
      </c>
      <c r="J9243" t="s">
        <v>33022</v>
      </c>
      <c r="K9243" t="s">
        <v>42631</v>
      </c>
      <c r="M9243" t="s">
        <v>45481</v>
      </c>
      <c r="N9243" t="s">
        <v>47304</v>
      </c>
      <c r="O9243" t="s">
        <v>47305</v>
      </c>
      <c r="P9243">
        <v>0</v>
      </c>
      <c r="Q9243">
        <v>1</v>
      </c>
      <c r="R9243" t="s">
        <v>47313</v>
      </c>
      <c r="S9243" t="s">
        <v>47535</v>
      </c>
      <c r="T9243" t="s">
        <v>49071</v>
      </c>
      <c r="U9243" t="s">
        <v>57177</v>
      </c>
      <c r="W9243" t="s">
        <v>45481</v>
      </c>
      <c r="X9243" t="s">
        <v>47315</v>
      </c>
    </row>
    <row r="9244" spans="1:24">
      <c r="A9244">
        <f>HYPERLINK("https://www.philgeps.gov.ph/GEPSNONPILOT/Tender/SplashBidNoticeAbstractUI.aspx?menuIndex=3&amp;refID=7179716&amp;Result=3","7179716")</f>
        <v>0</v>
      </c>
      <c r="B9244" t="s">
        <v>2864</v>
      </c>
      <c r="C9244" t="s">
        <v>12566</v>
      </c>
      <c r="D9244" t="s">
        <v>18993</v>
      </c>
      <c r="E9244" t="s">
        <v>27000</v>
      </c>
      <c r="F9244" t="s">
        <v>32606</v>
      </c>
      <c r="G9244" t="s">
        <v>32613</v>
      </c>
      <c r="H9244" t="s">
        <v>32623</v>
      </c>
      <c r="I9244" t="s">
        <v>17648</v>
      </c>
      <c r="J9244" t="s">
        <v>38492</v>
      </c>
      <c r="K9244" t="s">
        <v>42624</v>
      </c>
      <c r="M9244" t="s">
        <v>46033</v>
      </c>
      <c r="N9244" t="s">
        <v>47304</v>
      </c>
      <c r="O9244" t="s">
        <v>47305</v>
      </c>
      <c r="P9244">
        <v>0</v>
      </c>
      <c r="Q9244">
        <v>2</v>
      </c>
      <c r="R9244" t="s">
        <v>47313</v>
      </c>
      <c r="S9244" t="s">
        <v>47535</v>
      </c>
      <c r="T9244" t="s">
        <v>49040</v>
      </c>
      <c r="U9244" t="s">
        <v>57178</v>
      </c>
      <c r="W9244" t="s">
        <v>46033</v>
      </c>
      <c r="X9244" t="s">
        <v>47318</v>
      </c>
    </row>
    <row r="9245" spans="1:24">
      <c r="A9245">
        <f>HYPERLINK("https://www.philgeps.gov.ph/GEPSNONPILOT/Tender/SplashBidNoticeAbstractUI.aspx?menuIndex=3&amp;refID=7181951&amp;Result=3","7181951")</f>
        <v>0</v>
      </c>
      <c r="B9245" t="s">
        <v>2115</v>
      </c>
      <c r="C9245" t="s">
        <v>12567</v>
      </c>
      <c r="D9245" t="s">
        <v>19008</v>
      </c>
      <c r="E9245" t="s">
        <v>27001</v>
      </c>
      <c r="F9245" t="s">
        <v>32606</v>
      </c>
      <c r="G9245" t="s">
        <v>32613</v>
      </c>
      <c r="H9245" t="s">
        <v>14201</v>
      </c>
      <c r="I9245" t="s">
        <v>32638</v>
      </c>
      <c r="J9245" t="s">
        <v>38493</v>
      </c>
      <c r="K9245" t="s">
        <v>42638</v>
      </c>
      <c r="M9245" t="s">
        <v>45789</v>
      </c>
      <c r="N9245" t="s">
        <v>47304</v>
      </c>
      <c r="O9245" t="s">
        <v>47305</v>
      </c>
      <c r="P9245">
        <v>0</v>
      </c>
      <c r="Q9245">
        <v>2</v>
      </c>
      <c r="R9245" t="s">
        <v>47313</v>
      </c>
      <c r="S9245" t="s">
        <v>47535</v>
      </c>
      <c r="T9245" t="s">
        <v>49071</v>
      </c>
      <c r="U9245" t="s">
        <v>57179</v>
      </c>
      <c r="V9245" t="s">
        <v>63377</v>
      </c>
      <c r="W9245" t="s">
        <v>45789</v>
      </c>
      <c r="X9245" t="s">
        <v>47315</v>
      </c>
    </row>
    <row r="9246" spans="1:24">
      <c r="A9246">
        <f>HYPERLINK("https://www.philgeps.gov.ph/GEPSNONPILOT/Tender/SplashBidNoticeAbstractUI.aspx?menuIndex=3&amp;refID=7181601&amp;Result=3","7181601")</f>
        <v>0</v>
      </c>
      <c r="B9246" t="s">
        <v>2367</v>
      </c>
      <c r="C9246" t="s">
        <v>4678</v>
      </c>
      <c r="D9246" t="s">
        <v>19025</v>
      </c>
      <c r="E9246" t="s">
        <v>27002</v>
      </c>
      <c r="F9246" t="s">
        <v>32606</v>
      </c>
      <c r="G9246" t="s">
        <v>32613</v>
      </c>
      <c r="H9246" t="s">
        <v>14201</v>
      </c>
      <c r="I9246" t="s">
        <v>7529</v>
      </c>
      <c r="J9246" t="s">
        <v>38494</v>
      </c>
      <c r="K9246" t="s">
        <v>42631</v>
      </c>
      <c r="M9246" t="s">
        <v>45481</v>
      </c>
      <c r="N9246" t="s">
        <v>47304</v>
      </c>
      <c r="O9246" t="s">
        <v>47305</v>
      </c>
      <c r="P9246">
        <v>0</v>
      </c>
      <c r="Q9246">
        <v>0</v>
      </c>
      <c r="R9246" t="s">
        <v>47313</v>
      </c>
      <c r="S9246" t="s">
        <v>47535</v>
      </c>
      <c r="T9246" t="s">
        <v>49071</v>
      </c>
      <c r="U9246" t="s">
        <v>57180</v>
      </c>
      <c r="W9246" t="s">
        <v>45481</v>
      </c>
      <c r="X9246" t="s">
        <v>47315</v>
      </c>
    </row>
    <row r="9247" spans="1:24">
      <c r="A9247">
        <f>HYPERLINK("https://www.philgeps.gov.ph/GEPSNONPILOT/Tender/SplashBidNoticeAbstractUI.aspx?menuIndex=3&amp;refID=7181573&amp;Result=3","7181573")</f>
        <v>0</v>
      </c>
      <c r="B9247" t="s">
        <v>2878</v>
      </c>
      <c r="C9247" t="s">
        <v>12568</v>
      </c>
      <c r="D9247" t="s">
        <v>19031</v>
      </c>
      <c r="E9247" t="s">
        <v>27003</v>
      </c>
      <c r="F9247" t="s">
        <v>32606</v>
      </c>
      <c r="G9247" t="s">
        <v>32613</v>
      </c>
      <c r="H9247" t="s">
        <v>14201</v>
      </c>
      <c r="I9247" t="s">
        <v>6931</v>
      </c>
      <c r="J9247" t="s">
        <v>38495</v>
      </c>
      <c r="K9247" t="s">
        <v>42623</v>
      </c>
      <c r="M9247" t="s">
        <v>46050</v>
      </c>
      <c r="N9247" t="s">
        <v>47304</v>
      </c>
      <c r="O9247" t="s">
        <v>47305</v>
      </c>
      <c r="P9247">
        <v>0</v>
      </c>
      <c r="Q9247">
        <v>1</v>
      </c>
      <c r="R9247" t="s">
        <v>47313</v>
      </c>
      <c r="S9247" t="s">
        <v>47535</v>
      </c>
      <c r="T9247" t="s">
        <v>48998</v>
      </c>
      <c r="U9247" t="s">
        <v>50216</v>
      </c>
      <c r="W9247" t="s">
        <v>46050</v>
      </c>
      <c r="X9247" t="s">
        <v>47315</v>
      </c>
    </row>
    <row r="9248" spans="1:24">
      <c r="A9248">
        <f>HYPERLINK("https://www.philgeps.gov.ph/GEPSNONPILOT/Tender/SplashBidNoticeAbstractUI.aspx?menuIndex=3&amp;refID=7181556&amp;Result=3","7181556")</f>
        <v>0</v>
      </c>
      <c r="B9248" t="s">
        <v>2367</v>
      </c>
      <c r="C9248" t="s">
        <v>12569</v>
      </c>
      <c r="D9248" t="s">
        <v>19025</v>
      </c>
      <c r="E9248" t="s">
        <v>27004</v>
      </c>
      <c r="F9248" t="s">
        <v>32606</v>
      </c>
      <c r="G9248" t="s">
        <v>32613</v>
      </c>
      <c r="H9248" t="s">
        <v>32623</v>
      </c>
      <c r="I9248" t="s">
        <v>17648</v>
      </c>
      <c r="J9248" t="s">
        <v>38496</v>
      </c>
      <c r="K9248" t="s">
        <v>42631</v>
      </c>
      <c r="M9248" t="s">
        <v>45481</v>
      </c>
      <c r="N9248" t="s">
        <v>47304</v>
      </c>
      <c r="O9248" t="s">
        <v>47305</v>
      </c>
      <c r="P9248">
        <v>0</v>
      </c>
      <c r="Q9248">
        <v>0</v>
      </c>
      <c r="R9248" t="s">
        <v>47313</v>
      </c>
      <c r="S9248" t="s">
        <v>47535</v>
      </c>
      <c r="T9248" t="s">
        <v>49071</v>
      </c>
      <c r="U9248" t="s">
        <v>57181</v>
      </c>
      <c r="W9248" t="s">
        <v>45481</v>
      </c>
      <c r="X9248" t="s">
        <v>47315</v>
      </c>
    </row>
    <row r="9249" spans="1:24">
      <c r="A9249">
        <f>HYPERLINK("https://www.philgeps.gov.ph/GEPSNONPILOT/Tender/SplashBidNoticeAbstractUI.aspx?menuIndex=3&amp;refID=7181571&amp;Result=3","7181571")</f>
        <v>0</v>
      </c>
      <c r="B9249" t="s">
        <v>2367</v>
      </c>
      <c r="C9249" t="s">
        <v>12570</v>
      </c>
      <c r="D9249" t="s">
        <v>19025</v>
      </c>
      <c r="E9249" t="s">
        <v>27005</v>
      </c>
      <c r="F9249" t="s">
        <v>32606</v>
      </c>
      <c r="G9249" t="s">
        <v>32613</v>
      </c>
      <c r="H9249" t="s">
        <v>14201</v>
      </c>
      <c r="I9249" t="s">
        <v>4121</v>
      </c>
      <c r="J9249" t="s">
        <v>38497</v>
      </c>
      <c r="K9249" t="s">
        <v>42631</v>
      </c>
      <c r="M9249" t="s">
        <v>45481</v>
      </c>
      <c r="N9249" t="s">
        <v>47304</v>
      </c>
      <c r="O9249" t="s">
        <v>47305</v>
      </c>
      <c r="P9249">
        <v>0</v>
      </c>
      <c r="Q9249">
        <v>1</v>
      </c>
      <c r="R9249" t="s">
        <v>47313</v>
      </c>
      <c r="S9249" t="s">
        <v>47535</v>
      </c>
      <c r="T9249" t="s">
        <v>49071</v>
      </c>
      <c r="U9249" t="s">
        <v>57182</v>
      </c>
      <c r="W9249" t="s">
        <v>45481</v>
      </c>
      <c r="X9249" t="s">
        <v>47315</v>
      </c>
    </row>
    <row r="9250" spans="1:24">
      <c r="A9250">
        <f>HYPERLINK("https://www.philgeps.gov.ph/GEPSNONPILOT/Tender/SplashBidNoticeAbstractUI.aspx?menuIndex=3&amp;refID=7181514&amp;Result=3","7181514")</f>
        <v>0</v>
      </c>
      <c r="B9250" t="s">
        <v>2879</v>
      </c>
      <c r="C9250" t="s">
        <v>12571</v>
      </c>
      <c r="D9250" t="s">
        <v>19038</v>
      </c>
      <c r="E9250" t="s">
        <v>27006</v>
      </c>
      <c r="F9250" t="s">
        <v>32606</v>
      </c>
      <c r="G9250" t="s">
        <v>32613</v>
      </c>
      <c r="H9250" t="s">
        <v>14201</v>
      </c>
      <c r="I9250" t="s">
        <v>6931</v>
      </c>
      <c r="J9250" t="s">
        <v>38498</v>
      </c>
      <c r="K9250" t="s">
        <v>42631</v>
      </c>
      <c r="M9250" t="s">
        <v>46051</v>
      </c>
      <c r="N9250" t="s">
        <v>47304</v>
      </c>
      <c r="O9250" t="s">
        <v>47305</v>
      </c>
      <c r="P9250">
        <v>0</v>
      </c>
      <c r="Q9250">
        <v>0</v>
      </c>
      <c r="R9250" t="s">
        <v>47313</v>
      </c>
      <c r="S9250" t="s">
        <v>47535</v>
      </c>
      <c r="T9250" t="s">
        <v>49020</v>
      </c>
      <c r="U9250" t="s">
        <v>57183</v>
      </c>
      <c r="V9250" t="s">
        <v>63623</v>
      </c>
      <c r="W9250" t="s">
        <v>46051</v>
      </c>
      <c r="X9250" t="s">
        <v>47315</v>
      </c>
    </row>
    <row r="9251" spans="1:24">
      <c r="A9251">
        <f>HYPERLINK("https://www.philgeps.gov.ph/GEPSNONPILOT/Tender/SplashBidNoticeAbstractUI.aspx?menuIndex=3&amp;refID=7181591&amp;Result=3","7181591")</f>
        <v>0</v>
      </c>
      <c r="B9251" t="s">
        <v>2367</v>
      </c>
      <c r="C9251" t="s">
        <v>9730</v>
      </c>
      <c r="D9251" t="s">
        <v>19025</v>
      </c>
      <c r="E9251" t="s">
        <v>27007</v>
      </c>
      <c r="F9251" t="s">
        <v>32606</v>
      </c>
      <c r="G9251" t="s">
        <v>32613</v>
      </c>
      <c r="H9251" t="s">
        <v>14201</v>
      </c>
      <c r="I9251" t="s">
        <v>7064</v>
      </c>
      <c r="J9251" t="s">
        <v>38499</v>
      </c>
      <c r="K9251" t="s">
        <v>42636</v>
      </c>
      <c r="M9251" t="s">
        <v>45481</v>
      </c>
      <c r="N9251" t="s">
        <v>47304</v>
      </c>
      <c r="O9251" t="s">
        <v>47305</v>
      </c>
      <c r="P9251">
        <v>0</v>
      </c>
      <c r="Q9251">
        <v>1</v>
      </c>
      <c r="R9251" t="s">
        <v>47313</v>
      </c>
      <c r="S9251" t="s">
        <v>47535</v>
      </c>
      <c r="T9251" t="s">
        <v>49071</v>
      </c>
      <c r="U9251" t="s">
        <v>57184</v>
      </c>
      <c r="W9251" t="s">
        <v>45481</v>
      </c>
      <c r="X9251" t="s">
        <v>47315</v>
      </c>
    </row>
    <row r="9252" spans="1:24">
      <c r="A9252">
        <f>HYPERLINK("https://www.philgeps.gov.ph/GEPSNONPILOT/Tender/SplashBidNoticeAbstractUI.aspx?menuIndex=3&amp;refID=7181480&amp;Result=3","7181480")</f>
        <v>0</v>
      </c>
      <c r="B9252" t="s">
        <v>648</v>
      </c>
      <c r="C9252" t="s">
        <v>12572</v>
      </c>
      <c r="D9252" t="s">
        <v>19059</v>
      </c>
      <c r="E9252" t="s">
        <v>27008</v>
      </c>
      <c r="F9252" t="s">
        <v>32606</v>
      </c>
      <c r="G9252" t="s">
        <v>32613</v>
      </c>
      <c r="H9252" t="s">
        <v>14201</v>
      </c>
      <c r="I9252" t="s">
        <v>4120</v>
      </c>
      <c r="J9252" t="s">
        <v>33148</v>
      </c>
      <c r="K9252" t="s">
        <v>42639</v>
      </c>
      <c r="M9252" t="s">
        <v>43566</v>
      </c>
      <c r="N9252" t="s">
        <v>47304</v>
      </c>
      <c r="O9252" t="s">
        <v>47305</v>
      </c>
      <c r="P9252">
        <v>0</v>
      </c>
      <c r="Q9252">
        <v>0</v>
      </c>
      <c r="R9252" t="s">
        <v>47313</v>
      </c>
      <c r="S9252" t="s">
        <v>47535</v>
      </c>
      <c r="T9252" t="s">
        <v>49020</v>
      </c>
      <c r="U9252" t="s">
        <v>57185</v>
      </c>
      <c r="W9252" t="s">
        <v>43566</v>
      </c>
      <c r="X9252" t="s">
        <v>47315</v>
      </c>
    </row>
    <row r="9253" spans="1:24">
      <c r="A9253">
        <f>HYPERLINK("https://www.philgeps.gov.ph/GEPSNONPILOT/Tender/SplashBidNoticeAbstractUI.aspx?menuIndex=3&amp;refID=7181975&amp;Result=3","7181975")</f>
        <v>0</v>
      </c>
      <c r="B9253" t="s">
        <v>2880</v>
      </c>
      <c r="C9253" t="s">
        <v>12573</v>
      </c>
      <c r="D9253" t="s">
        <v>19011</v>
      </c>
      <c r="E9253" t="s">
        <v>27009</v>
      </c>
      <c r="F9253" t="s">
        <v>32606</v>
      </c>
      <c r="G9253" t="s">
        <v>32614</v>
      </c>
      <c r="H9253" t="s">
        <v>14201</v>
      </c>
      <c r="I9253" t="s">
        <v>32641</v>
      </c>
      <c r="J9253" t="s">
        <v>32781</v>
      </c>
      <c r="K9253" t="s">
        <v>42679</v>
      </c>
      <c r="M9253" t="s">
        <v>46052</v>
      </c>
      <c r="N9253" t="s">
        <v>47304</v>
      </c>
      <c r="O9253" t="s">
        <v>47305</v>
      </c>
      <c r="P9253">
        <v>0</v>
      </c>
      <c r="Q9253">
        <v>1</v>
      </c>
      <c r="R9253" t="s">
        <v>47313</v>
      </c>
      <c r="S9253" t="s">
        <v>47535</v>
      </c>
      <c r="T9253" t="s">
        <v>49165</v>
      </c>
      <c r="U9253" t="s">
        <v>57186</v>
      </c>
      <c r="W9253" t="s">
        <v>46052</v>
      </c>
      <c r="X9253" t="s">
        <v>47315</v>
      </c>
    </row>
    <row r="9254" spans="1:24">
      <c r="A9254">
        <f>HYPERLINK("https://www.philgeps.gov.ph/GEPSNONPILOT/Tender/SplashBidNoticeAbstractUI.aspx?menuIndex=3&amp;refID=7181615&amp;Result=3","7181615")</f>
        <v>0</v>
      </c>
      <c r="B9254" t="s">
        <v>648</v>
      </c>
      <c r="C9254" t="s">
        <v>12574</v>
      </c>
      <c r="D9254" t="s">
        <v>19059</v>
      </c>
      <c r="E9254" t="s">
        <v>27010</v>
      </c>
      <c r="F9254" t="s">
        <v>32606</v>
      </c>
      <c r="G9254" t="s">
        <v>32613</v>
      </c>
      <c r="H9254" t="s">
        <v>14201</v>
      </c>
      <c r="I9254" t="s">
        <v>4678</v>
      </c>
      <c r="J9254" t="s">
        <v>38500</v>
      </c>
      <c r="K9254" t="s">
        <v>42639</v>
      </c>
      <c r="M9254" t="s">
        <v>43566</v>
      </c>
      <c r="N9254" t="s">
        <v>47304</v>
      </c>
      <c r="O9254" t="s">
        <v>47305</v>
      </c>
      <c r="P9254">
        <v>0</v>
      </c>
      <c r="Q9254">
        <v>0</v>
      </c>
      <c r="R9254" t="s">
        <v>47313</v>
      </c>
      <c r="S9254" t="s">
        <v>47535</v>
      </c>
      <c r="T9254" t="s">
        <v>49020</v>
      </c>
      <c r="U9254" t="s">
        <v>57187</v>
      </c>
      <c r="W9254" t="s">
        <v>43566</v>
      </c>
      <c r="X9254" t="s">
        <v>47315</v>
      </c>
    </row>
    <row r="9255" spans="1:24">
      <c r="A9255">
        <f>HYPERLINK("https://www.philgeps.gov.ph/GEPSNONPILOT/Tender/SplashBidNoticeAbstractUI.aspx?menuIndex=3&amp;refID=7182565&amp;Result=3","7182565")</f>
        <v>0</v>
      </c>
      <c r="B9255" t="s">
        <v>2727</v>
      </c>
      <c r="C9255" t="s">
        <v>12575</v>
      </c>
      <c r="D9255" t="s">
        <v>19011</v>
      </c>
      <c r="E9255" t="s">
        <v>27011</v>
      </c>
      <c r="F9255" t="s">
        <v>32606</v>
      </c>
      <c r="G9255" t="s">
        <v>32613</v>
      </c>
      <c r="H9255" t="s">
        <v>14201</v>
      </c>
      <c r="I9255" t="s">
        <v>32649</v>
      </c>
      <c r="J9255" t="s">
        <v>38501</v>
      </c>
      <c r="K9255" t="s">
        <v>42717</v>
      </c>
      <c r="M9255" t="s">
        <v>46053</v>
      </c>
      <c r="N9255" t="s">
        <v>47304</v>
      </c>
      <c r="O9255" t="s">
        <v>47305</v>
      </c>
      <c r="P9255">
        <v>0</v>
      </c>
      <c r="Q9255">
        <v>1</v>
      </c>
      <c r="R9255" t="s">
        <v>47313</v>
      </c>
      <c r="S9255" t="s">
        <v>47535</v>
      </c>
      <c r="T9255" t="s">
        <v>49040</v>
      </c>
      <c r="U9255" t="s">
        <v>57188</v>
      </c>
      <c r="W9255" t="s">
        <v>46053</v>
      </c>
      <c r="X9255" t="s">
        <v>47315</v>
      </c>
    </row>
    <row r="9256" spans="1:24">
      <c r="A9256">
        <f>HYPERLINK("https://www.philgeps.gov.ph/GEPSNONPILOT/Tender/SplashBidNoticeAbstractUI.aspx?menuIndex=3&amp;refID=7182591&amp;Result=3","7182591")</f>
        <v>0</v>
      </c>
      <c r="B9256" t="s">
        <v>2115</v>
      </c>
      <c r="C9256" t="s">
        <v>12576</v>
      </c>
      <c r="D9256" t="s">
        <v>19008</v>
      </c>
      <c r="E9256" t="s">
        <v>27012</v>
      </c>
      <c r="F9256" t="s">
        <v>32606</v>
      </c>
      <c r="G9256" t="s">
        <v>32613</v>
      </c>
      <c r="H9256" t="s">
        <v>14201</v>
      </c>
      <c r="I9256" t="s">
        <v>32633</v>
      </c>
      <c r="J9256" t="s">
        <v>38502</v>
      </c>
      <c r="K9256" t="s">
        <v>42638</v>
      </c>
      <c r="M9256" t="s">
        <v>45789</v>
      </c>
      <c r="N9256" t="s">
        <v>47304</v>
      </c>
      <c r="O9256" t="s">
        <v>47305</v>
      </c>
      <c r="P9256">
        <v>0</v>
      </c>
      <c r="Q9256">
        <v>2</v>
      </c>
      <c r="R9256" t="s">
        <v>47313</v>
      </c>
      <c r="S9256" t="s">
        <v>47535</v>
      </c>
      <c r="T9256" t="s">
        <v>49071</v>
      </c>
      <c r="U9256" t="s">
        <v>57189</v>
      </c>
      <c r="V9256" t="s">
        <v>63377</v>
      </c>
      <c r="W9256" t="s">
        <v>45789</v>
      </c>
      <c r="X9256" t="s">
        <v>47315</v>
      </c>
    </row>
    <row r="9257" spans="1:24">
      <c r="A9257">
        <f>HYPERLINK("https://www.philgeps.gov.ph/GEPSNONPILOT/Tender/SplashBidNoticeAbstractUI.aspx?menuIndex=3&amp;refID=7182556&amp;Result=3","7182556")</f>
        <v>0</v>
      </c>
      <c r="B9257" t="s">
        <v>2881</v>
      </c>
      <c r="C9257" t="s">
        <v>12577</v>
      </c>
      <c r="D9257" t="s">
        <v>19024</v>
      </c>
      <c r="E9257" t="s">
        <v>27013</v>
      </c>
      <c r="F9257" t="s">
        <v>32606</v>
      </c>
      <c r="G9257" t="s">
        <v>32613</v>
      </c>
      <c r="H9257" t="s">
        <v>32623</v>
      </c>
      <c r="I9257" t="s">
        <v>17648</v>
      </c>
      <c r="J9257" t="s">
        <v>38503</v>
      </c>
      <c r="K9257" t="s">
        <v>42646</v>
      </c>
      <c r="M9257" t="s">
        <v>46054</v>
      </c>
      <c r="N9257" t="s">
        <v>47304</v>
      </c>
      <c r="O9257" t="s">
        <v>47305</v>
      </c>
      <c r="P9257">
        <v>0</v>
      </c>
      <c r="Q9257">
        <v>0</v>
      </c>
      <c r="R9257" t="s">
        <v>47313</v>
      </c>
      <c r="S9257" t="s">
        <v>47535</v>
      </c>
      <c r="T9257" t="s">
        <v>49037</v>
      </c>
      <c r="U9257" t="s">
        <v>57190</v>
      </c>
      <c r="W9257" t="s">
        <v>46054</v>
      </c>
      <c r="X9257" t="s">
        <v>47315</v>
      </c>
    </row>
    <row r="9258" spans="1:24">
      <c r="A9258">
        <f>HYPERLINK("https://www.philgeps.gov.ph/GEPSNONPILOT/Tender/SplashBidNoticeAbstractUI.aspx?menuIndex=3&amp;refID=7182515&amp;Result=3","7182515")</f>
        <v>0</v>
      </c>
      <c r="B9258" t="s">
        <v>2115</v>
      </c>
      <c r="C9258" t="s">
        <v>12578</v>
      </c>
      <c r="D9258" t="s">
        <v>19008</v>
      </c>
      <c r="E9258" t="s">
        <v>27014</v>
      </c>
      <c r="F9258" t="s">
        <v>32606</v>
      </c>
      <c r="G9258" t="s">
        <v>32613</v>
      </c>
      <c r="H9258" t="s">
        <v>14201</v>
      </c>
      <c r="I9258" t="s">
        <v>32633</v>
      </c>
      <c r="J9258" t="s">
        <v>38504</v>
      </c>
      <c r="K9258" t="s">
        <v>42638</v>
      </c>
      <c r="M9258" t="s">
        <v>45789</v>
      </c>
      <c r="N9258" t="s">
        <v>47304</v>
      </c>
      <c r="O9258" t="s">
        <v>47305</v>
      </c>
      <c r="P9258">
        <v>0</v>
      </c>
      <c r="Q9258">
        <v>3</v>
      </c>
      <c r="R9258" t="s">
        <v>47313</v>
      </c>
      <c r="S9258" t="s">
        <v>47535</v>
      </c>
      <c r="T9258" t="s">
        <v>49071</v>
      </c>
      <c r="U9258" t="s">
        <v>57191</v>
      </c>
      <c r="V9258" t="s">
        <v>63377</v>
      </c>
      <c r="W9258" t="s">
        <v>45789</v>
      </c>
      <c r="X9258" t="s">
        <v>47315</v>
      </c>
    </row>
    <row r="9259" spans="1:24">
      <c r="A9259">
        <f>HYPERLINK("https://www.philgeps.gov.ph/GEPSNONPILOT/Tender/SplashBidNoticeAbstractUI.aspx?menuIndex=3&amp;refID=7182406&amp;Result=3","7182406")</f>
        <v>0</v>
      </c>
      <c r="B9259" t="s">
        <v>2115</v>
      </c>
      <c r="C9259" t="s">
        <v>12579</v>
      </c>
      <c r="D9259" t="s">
        <v>19008</v>
      </c>
      <c r="E9259" t="s">
        <v>27015</v>
      </c>
      <c r="F9259" t="s">
        <v>32606</v>
      </c>
      <c r="G9259" t="s">
        <v>32613</v>
      </c>
      <c r="H9259" t="s">
        <v>14201</v>
      </c>
      <c r="I9259" t="s">
        <v>32633</v>
      </c>
      <c r="J9259" t="s">
        <v>38505</v>
      </c>
      <c r="K9259" t="s">
        <v>42638</v>
      </c>
      <c r="M9259" t="s">
        <v>45789</v>
      </c>
      <c r="N9259" t="s">
        <v>47304</v>
      </c>
      <c r="O9259" t="s">
        <v>47305</v>
      </c>
      <c r="P9259">
        <v>0</v>
      </c>
      <c r="Q9259">
        <v>1</v>
      </c>
      <c r="R9259" t="s">
        <v>47313</v>
      </c>
      <c r="S9259" t="s">
        <v>47535</v>
      </c>
      <c r="T9259" t="s">
        <v>49071</v>
      </c>
      <c r="U9259" t="s">
        <v>57192</v>
      </c>
      <c r="V9259" t="s">
        <v>63377</v>
      </c>
      <c r="W9259" t="s">
        <v>45789</v>
      </c>
      <c r="X9259" t="s">
        <v>47315</v>
      </c>
    </row>
    <row r="9260" spans="1:24">
      <c r="A9260">
        <f>HYPERLINK("https://www.philgeps.gov.ph/GEPSNONPILOT/Tender/SplashBidNoticeAbstractUI.aspx?menuIndex=3&amp;refID=7181855&amp;Result=3","7181855")</f>
        <v>0</v>
      </c>
      <c r="B9260" t="s">
        <v>648</v>
      </c>
      <c r="C9260" t="s">
        <v>12580</v>
      </c>
      <c r="D9260" t="s">
        <v>19059</v>
      </c>
      <c r="E9260" t="s">
        <v>27016</v>
      </c>
      <c r="F9260" t="s">
        <v>32606</v>
      </c>
      <c r="G9260" t="s">
        <v>32613</v>
      </c>
      <c r="H9260" t="s">
        <v>14201</v>
      </c>
      <c r="I9260" t="s">
        <v>6931</v>
      </c>
      <c r="J9260" t="s">
        <v>38506</v>
      </c>
      <c r="K9260" t="s">
        <v>42639</v>
      </c>
      <c r="M9260" t="s">
        <v>43566</v>
      </c>
      <c r="N9260" t="s">
        <v>47304</v>
      </c>
      <c r="O9260" t="s">
        <v>47305</v>
      </c>
      <c r="P9260">
        <v>0</v>
      </c>
      <c r="Q9260">
        <v>0</v>
      </c>
      <c r="R9260" t="s">
        <v>47313</v>
      </c>
      <c r="S9260" t="s">
        <v>47535</v>
      </c>
      <c r="T9260" t="s">
        <v>49020</v>
      </c>
      <c r="U9260" t="s">
        <v>57193</v>
      </c>
      <c r="W9260" t="s">
        <v>43566</v>
      </c>
      <c r="X9260" t="s">
        <v>47315</v>
      </c>
    </row>
    <row r="9261" spans="1:24">
      <c r="A9261">
        <f>HYPERLINK("https://www.philgeps.gov.ph/GEPSNONPILOT/Tender/SplashBidNoticeAbstractUI.aspx?menuIndex=3&amp;refID=7182652&amp;Result=3","7182652")</f>
        <v>0</v>
      </c>
      <c r="B9261" t="s">
        <v>2728</v>
      </c>
      <c r="C9261" t="s">
        <v>12581</v>
      </c>
      <c r="D9261" t="s">
        <v>19003</v>
      </c>
      <c r="E9261" t="s">
        <v>23535</v>
      </c>
      <c r="F9261" t="s">
        <v>32606</v>
      </c>
      <c r="G9261" t="s">
        <v>32613</v>
      </c>
      <c r="H9261" t="s">
        <v>14201</v>
      </c>
      <c r="I9261" t="s">
        <v>32664</v>
      </c>
      <c r="J9261" t="s">
        <v>34264</v>
      </c>
      <c r="K9261" t="s">
        <v>42631</v>
      </c>
      <c r="M9261" t="s">
        <v>45883</v>
      </c>
      <c r="N9261" t="s">
        <v>47304</v>
      </c>
      <c r="O9261" t="s">
        <v>47305</v>
      </c>
      <c r="P9261">
        <v>0</v>
      </c>
      <c r="Q9261">
        <v>3</v>
      </c>
      <c r="R9261" t="s">
        <v>47313</v>
      </c>
      <c r="S9261" t="s">
        <v>47535</v>
      </c>
      <c r="T9261" t="s">
        <v>49103</v>
      </c>
      <c r="U9261" t="s">
        <v>57194</v>
      </c>
      <c r="V9261" t="s">
        <v>63624</v>
      </c>
      <c r="W9261" t="s">
        <v>45883</v>
      </c>
      <c r="X9261" t="s">
        <v>47315</v>
      </c>
    </row>
    <row r="9262" spans="1:24">
      <c r="A9262">
        <f>HYPERLINK("https://www.philgeps.gov.ph/GEPSNONPILOT/Tender/SplashBidNoticeAbstractUI.aspx?menuIndex=3&amp;refID=7182354&amp;Result=3","7182354")</f>
        <v>0</v>
      </c>
      <c r="B9262" t="s">
        <v>1021</v>
      </c>
      <c r="C9262" t="s">
        <v>12582</v>
      </c>
      <c r="D9262" t="s">
        <v>18993</v>
      </c>
      <c r="E9262" t="s">
        <v>27017</v>
      </c>
      <c r="F9262" t="s">
        <v>32606</v>
      </c>
      <c r="G9262" t="s">
        <v>32613</v>
      </c>
      <c r="H9262" t="s">
        <v>14201</v>
      </c>
      <c r="I9262" t="s">
        <v>32658</v>
      </c>
      <c r="J9262" t="s">
        <v>38507</v>
      </c>
      <c r="K9262" t="s">
        <v>42712</v>
      </c>
      <c r="M9262" t="s">
        <v>43972</v>
      </c>
      <c r="N9262" t="s">
        <v>47304</v>
      </c>
      <c r="O9262" t="s">
        <v>47305</v>
      </c>
      <c r="Q9262">
        <v>1</v>
      </c>
      <c r="R9262" t="s">
        <v>47313</v>
      </c>
      <c r="S9262" t="s">
        <v>47547</v>
      </c>
      <c r="T9262" t="s">
        <v>49157</v>
      </c>
      <c r="U9262" t="s">
        <v>57195</v>
      </c>
      <c r="V9262" t="s">
        <v>62900</v>
      </c>
      <c r="W9262" t="s">
        <v>43972</v>
      </c>
      <c r="X9262" t="s">
        <v>47315</v>
      </c>
    </row>
    <row r="9263" spans="1:24">
      <c r="A9263">
        <f>HYPERLINK("https://www.philgeps.gov.ph/GEPSNONPILOT/Tender/SplashBidNoticeAbstractUI.aspx?menuIndex=3&amp;refID=7182335&amp;Result=3","7182335")</f>
        <v>0</v>
      </c>
      <c r="B9263" t="s">
        <v>689</v>
      </c>
      <c r="C9263" t="s">
        <v>12583</v>
      </c>
      <c r="D9263" t="s">
        <v>19004</v>
      </c>
      <c r="E9263" t="s">
        <v>27018</v>
      </c>
      <c r="F9263" t="s">
        <v>32606</v>
      </c>
      <c r="G9263" t="s">
        <v>32613</v>
      </c>
      <c r="H9263" t="s">
        <v>32623</v>
      </c>
      <c r="I9263" t="s">
        <v>17648</v>
      </c>
      <c r="J9263" t="s">
        <v>33382</v>
      </c>
      <c r="K9263" t="s">
        <v>42676</v>
      </c>
      <c r="M9263" t="s">
        <v>43610</v>
      </c>
      <c r="N9263" t="s">
        <v>47304</v>
      </c>
      <c r="O9263" t="s">
        <v>47305</v>
      </c>
      <c r="P9263">
        <v>0</v>
      </c>
      <c r="Q9263">
        <v>3</v>
      </c>
      <c r="R9263" t="s">
        <v>47313</v>
      </c>
      <c r="S9263" t="s">
        <v>47535</v>
      </c>
      <c r="T9263" t="s">
        <v>49075</v>
      </c>
      <c r="U9263" t="s">
        <v>57196</v>
      </c>
      <c r="W9263" t="s">
        <v>43610</v>
      </c>
      <c r="X9263" t="s">
        <v>47315</v>
      </c>
    </row>
    <row r="9264" spans="1:24">
      <c r="A9264">
        <f>HYPERLINK("https://www.philgeps.gov.ph/GEPSNONPILOT/Tender/SplashBidNoticeAbstractUI.aspx?menuIndex=3&amp;refID=7182296&amp;Result=3","7182296")</f>
        <v>0</v>
      </c>
      <c r="B9264" t="s">
        <v>2882</v>
      </c>
      <c r="C9264" t="s">
        <v>12584</v>
      </c>
      <c r="E9264" t="s">
        <v>27019</v>
      </c>
      <c r="F9264" t="s">
        <v>32607</v>
      </c>
      <c r="G9264" t="s">
        <v>32613</v>
      </c>
      <c r="H9264" t="s">
        <v>32623</v>
      </c>
      <c r="I9264" t="s">
        <v>6931</v>
      </c>
      <c r="J9264" t="s">
        <v>32868</v>
      </c>
      <c r="K9264" t="s">
        <v>42624</v>
      </c>
      <c r="M9264" t="s">
        <v>46055</v>
      </c>
      <c r="N9264" t="s">
        <v>47304</v>
      </c>
      <c r="O9264" t="s">
        <v>47305</v>
      </c>
      <c r="P9264">
        <v>0</v>
      </c>
      <c r="Q9264">
        <v>0</v>
      </c>
      <c r="R9264" t="s">
        <v>47313</v>
      </c>
      <c r="S9264" t="s">
        <v>47535</v>
      </c>
      <c r="T9264" t="s">
        <v>48992</v>
      </c>
      <c r="U9264" t="s">
        <v>57197</v>
      </c>
      <c r="W9264" t="s">
        <v>46055</v>
      </c>
      <c r="X9264" t="s">
        <v>47315</v>
      </c>
    </row>
    <row r="9265" spans="1:24">
      <c r="A9265">
        <f>HYPERLINK("https://www.philgeps.gov.ph/GEPSNONPILOT/Tender/SplashBidNoticeAbstractUI.aspx?menuIndex=3&amp;refID=7182452&amp;Result=3","7182452")</f>
        <v>0</v>
      </c>
      <c r="B9265" t="s">
        <v>2115</v>
      </c>
      <c r="C9265" t="s">
        <v>12585</v>
      </c>
      <c r="D9265" t="s">
        <v>19008</v>
      </c>
      <c r="E9265" t="s">
        <v>27020</v>
      </c>
      <c r="F9265" t="s">
        <v>32606</v>
      </c>
      <c r="G9265" t="s">
        <v>32613</v>
      </c>
      <c r="H9265" t="s">
        <v>14201</v>
      </c>
      <c r="I9265" t="s">
        <v>7677</v>
      </c>
      <c r="J9265" t="s">
        <v>38508</v>
      </c>
      <c r="K9265" t="s">
        <v>42638</v>
      </c>
      <c r="M9265" t="s">
        <v>45789</v>
      </c>
      <c r="N9265" t="s">
        <v>47304</v>
      </c>
      <c r="O9265" t="s">
        <v>47305</v>
      </c>
      <c r="P9265">
        <v>0</v>
      </c>
      <c r="Q9265">
        <v>1</v>
      </c>
      <c r="R9265" t="s">
        <v>47313</v>
      </c>
      <c r="S9265" t="s">
        <v>47535</v>
      </c>
      <c r="T9265" t="s">
        <v>49071</v>
      </c>
      <c r="U9265" t="s">
        <v>57198</v>
      </c>
      <c r="V9265" t="s">
        <v>63377</v>
      </c>
      <c r="W9265" t="s">
        <v>45789</v>
      </c>
      <c r="X9265" t="s">
        <v>47315</v>
      </c>
    </row>
    <row r="9266" spans="1:24">
      <c r="A9266">
        <f>HYPERLINK("https://www.philgeps.gov.ph/GEPSNONPILOT/Tender/SplashBidNoticeAbstractUI.aspx?menuIndex=3&amp;refID=7182379&amp;Result=3","7182379")</f>
        <v>0</v>
      </c>
      <c r="B9266" t="s">
        <v>2115</v>
      </c>
      <c r="C9266" t="s">
        <v>12586</v>
      </c>
      <c r="D9266" t="s">
        <v>19008</v>
      </c>
      <c r="E9266" t="s">
        <v>27021</v>
      </c>
      <c r="F9266" t="s">
        <v>32606</v>
      </c>
      <c r="G9266" t="s">
        <v>32613</v>
      </c>
      <c r="H9266" t="s">
        <v>14201</v>
      </c>
      <c r="I9266" t="s">
        <v>7677</v>
      </c>
      <c r="J9266" t="s">
        <v>38509</v>
      </c>
      <c r="K9266" t="s">
        <v>42638</v>
      </c>
      <c r="M9266" t="s">
        <v>45789</v>
      </c>
      <c r="N9266" t="s">
        <v>47304</v>
      </c>
      <c r="O9266" t="s">
        <v>47305</v>
      </c>
      <c r="P9266">
        <v>0</v>
      </c>
      <c r="Q9266">
        <v>0</v>
      </c>
      <c r="R9266" t="s">
        <v>47313</v>
      </c>
      <c r="S9266" t="s">
        <v>47535</v>
      </c>
      <c r="T9266" t="s">
        <v>49071</v>
      </c>
      <c r="U9266" t="s">
        <v>57199</v>
      </c>
      <c r="V9266" t="s">
        <v>63377</v>
      </c>
      <c r="W9266" t="s">
        <v>45789</v>
      </c>
      <c r="X9266" t="s">
        <v>47315</v>
      </c>
    </row>
    <row r="9267" spans="1:24">
      <c r="A9267">
        <f>HYPERLINK("https://www.philgeps.gov.ph/GEPSNONPILOT/Tender/SplashBidNoticeAbstractUI.aspx?menuIndex=3&amp;refID=7181522&amp;Result=3","7181522")</f>
        <v>0</v>
      </c>
      <c r="B9267" t="s">
        <v>2367</v>
      </c>
      <c r="C9267" t="s">
        <v>12587</v>
      </c>
      <c r="D9267" t="s">
        <v>19025</v>
      </c>
      <c r="E9267" t="s">
        <v>27022</v>
      </c>
      <c r="F9267" t="s">
        <v>32606</v>
      </c>
      <c r="G9267" t="s">
        <v>32613</v>
      </c>
      <c r="H9267" t="s">
        <v>14201</v>
      </c>
      <c r="I9267" t="s">
        <v>32711</v>
      </c>
      <c r="J9267" t="s">
        <v>32765</v>
      </c>
      <c r="K9267" t="s">
        <v>42631</v>
      </c>
      <c r="M9267" t="s">
        <v>45481</v>
      </c>
      <c r="N9267" t="s">
        <v>47304</v>
      </c>
      <c r="O9267" t="s">
        <v>47305</v>
      </c>
      <c r="P9267">
        <v>0</v>
      </c>
      <c r="Q9267">
        <v>2</v>
      </c>
      <c r="R9267" t="s">
        <v>47313</v>
      </c>
      <c r="S9267" t="s">
        <v>47535</v>
      </c>
      <c r="T9267" t="s">
        <v>49071</v>
      </c>
      <c r="U9267" t="s">
        <v>57200</v>
      </c>
      <c r="W9267" t="s">
        <v>45481</v>
      </c>
      <c r="X9267" t="s">
        <v>47315</v>
      </c>
    </row>
    <row r="9268" spans="1:24">
      <c r="A9268">
        <f>HYPERLINK("https://www.philgeps.gov.ph/GEPSNONPILOT/Tender/SplashBidNoticeAbstractUI.aspx?menuIndex=3&amp;refID=7183435&amp;Result=3","7183435")</f>
        <v>0</v>
      </c>
      <c r="B9268" t="s">
        <v>2883</v>
      </c>
      <c r="C9268" t="s">
        <v>12588</v>
      </c>
      <c r="D9268" t="s">
        <v>19057</v>
      </c>
      <c r="E9268" t="s">
        <v>27023</v>
      </c>
      <c r="F9268" t="s">
        <v>32606</v>
      </c>
      <c r="G9268" t="s">
        <v>32613</v>
      </c>
      <c r="H9268" t="s">
        <v>32623</v>
      </c>
      <c r="I9268" t="s">
        <v>17648</v>
      </c>
      <c r="J9268" t="s">
        <v>38510</v>
      </c>
      <c r="K9268" t="s">
        <v>42651</v>
      </c>
      <c r="M9268" t="s">
        <v>46056</v>
      </c>
      <c r="N9268" t="s">
        <v>47304</v>
      </c>
      <c r="O9268" t="s">
        <v>47305</v>
      </c>
      <c r="P9268">
        <v>0</v>
      </c>
      <c r="Q9268">
        <v>0</v>
      </c>
      <c r="R9268" t="s">
        <v>47313</v>
      </c>
      <c r="S9268" t="s">
        <v>47535</v>
      </c>
      <c r="T9268" t="s">
        <v>49269</v>
      </c>
      <c r="U9268" t="s">
        <v>57201</v>
      </c>
      <c r="W9268" t="s">
        <v>46056</v>
      </c>
      <c r="X9268" t="s">
        <v>47315</v>
      </c>
    </row>
    <row r="9269" spans="1:24">
      <c r="A9269">
        <f>HYPERLINK("https://www.philgeps.gov.ph/GEPSNONPILOT/Tender/SplashBidNoticeAbstractUI.aspx?menuIndex=3&amp;refID=7182310&amp;Result=3","7182310")</f>
        <v>0</v>
      </c>
      <c r="B9269" t="s">
        <v>1021</v>
      </c>
      <c r="C9269" t="s">
        <v>12589</v>
      </c>
      <c r="D9269" t="s">
        <v>18993</v>
      </c>
      <c r="E9269" t="s">
        <v>27024</v>
      </c>
      <c r="F9269" t="s">
        <v>32606</v>
      </c>
      <c r="G9269" t="s">
        <v>32613</v>
      </c>
      <c r="H9269" t="s">
        <v>14201</v>
      </c>
      <c r="I9269" t="s">
        <v>32629</v>
      </c>
      <c r="J9269" t="s">
        <v>38511</v>
      </c>
      <c r="K9269" t="s">
        <v>42665</v>
      </c>
      <c r="M9269" t="s">
        <v>43972</v>
      </c>
      <c r="N9269" t="s">
        <v>47304</v>
      </c>
      <c r="O9269" t="s">
        <v>47305</v>
      </c>
      <c r="Q9269">
        <v>1</v>
      </c>
      <c r="R9269" t="s">
        <v>47313</v>
      </c>
      <c r="S9269" t="s">
        <v>47548</v>
      </c>
      <c r="T9269" t="s">
        <v>49157</v>
      </c>
      <c r="U9269" t="s">
        <v>57202</v>
      </c>
      <c r="V9269" t="s">
        <v>62900</v>
      </c>
      <c r="W9269" t="s">
        <v>43972</v>
      </c>
      <c r="X9269" t="s">
        <v>47315</v>
      </c>
    </row>
    <row r="9270" spans="1:24">
      <c r="A9270">
        <f>HYPERLINK("https://www.philgeps.gov.ph/GEPSNONPILOT/Tender/SplashBidNoticeAbstractUI.aspx?menuIndex=3&amp;refID=7182278&amp;Result=3","7182278")</f>
        <v>0</v>
      </c>
      <c r="B9270" t="s">
        <v>2115</v>
      </c>
      <c r="C9270" t="s">
        <v>12590</v>
      </c>
      <c r="D9270" t="s">
        <v>19008</v>
      </c>
      <c r="E9270" t="s">
        <v>27025</v>
      </c>
      <c r="F9270" t="s">
        <v>32606</v>
      </c>
      <c r="G9270" t="s">
        <v>32613</v>
      </c>
      <c r="H9270" t="s">
        <v>14201</v>
      </c>
      <c r="I9270" t="s">
        <v>7677</v>
      </c>
      <c r="J9270" t="s">
        <v>38512</v>
      </c>
      <c r="K9270" t="s">
        <v>42638</v>
      </c>
      <c r="M9270" t="s">
        <v>45789</v>
      </c>
      <c r="N9270" t="s">
        <v>47304</v>
      </c>
      <c r="O9270" t="s">
        <v>47305</v>
      </c>
      <c r="P9270">
        <v>0</v>
      </c>
      <c r="Q9270">
        <v>0</v>
      </c>
      <c r="R9270" t="s">
        <v>47313</v>
      </c>
      <c r="S9270" t="s">
        <v>47535</v>
      </c>
      <c r="T9270" t="s">
        <v>49071</v>
      </c>
      <c r="U9270" t="s">
        <v>57203</v>
      </c>
      <c r="V9270" t="s">
        <v>63377</v>
      </c>
      <c r="W9270" t="s">
        <v>45789</v>
      </c>
      <c r="X9270" t="s">
        <v>47315</v>
      </c>
    </row>
    <row r="9271" spans="1:24">
      <c r="A9271">
        <f>HYPERLINK("https://www.philgeps.gov.ph/GEPSNONPILOT/Tender/SplashBidNoticeAbstractUI.aspx?menuIndex=3&amp;refID=7183392&amp;Result=3","7183392")</f>
        <v>0</v>
      </c>
      <c r="B9271" t="s">
        <v>2884</v>
      </c>
      <c r="C9271" t="s">
        <v>12591</v>
      </c>
      <c r="D9271" t="s">
        <v>19051</v>
      </c>
      <c r="E9271" t="s">
        <v>27026</v>
      </c>
      <c r="F9271" t="s">
        <v>32606</v>
      </c>
      <c r="G9271" t="s">
        <v>32613</v>
      </c>
      <c r="H9271" t="s">
        <v>14201</v>
      </c>
      <c r="I9271" t="s">
        <v>32633</v>
      </c>
      <c r="J9271" t="s">
        <v>33598</v>
      </c>
      <c r="K9271" t="s">
        <v>42623</v>
      </c>
      <c r="M9271" t="s">
        <v>46057</v>
      </c>
      <c r="N9271" t="s">
        <v>47304</v>
      </c>
      <c r="O9271" t="s">
        <v>47305</v>
      </c>
      <c r="P9271">
        <v>0</v>
      </c>
      <c r="Q9271">
        <v>4</v>
      </c>
      <c r="R9271" t="s">
        <v>47313</v>
      </c>
      <c r="S9271" t="s">
        <v>47535</v>
      </c>
      <c r="T9271" t="s">
        <v>49052</v>
      </c>
      <c r="U9271" t="s">
        <v>57204</v>
      </c>
      <c r="W9271" t="s">
        <v>46057</v>
      </c>
      <c r="X9271" t="s">
        <v>47315</v>
      </c>
    </row>
    <row r="9272" spans="1:24">
      <c r="A9272">
        <f>HYPERLINK("https://www.philgeps.gov.ph/GEPSNONPILOT/Tender/SplashBidNoticeAbstractUI.aspx?menuIndex=3&amp;refID=7183376&amp;Result=3","7183376")</f>
        <v>0</v>
      </c>
      <c r="B9272" t="s">
        <v>2883</v>
      </c>
      <c r="C9272" t="s">
        <v>12592</v>
      </c>
      <c r="D9272" t="s">
        <v>19057</v>
      </c>
      <c r="E9272" t="s">
        <v>27027</v>
      </c>
      <c r="F9272" t="s">
        <v>32606</v>
      </c>
      <c r="G9272" t="s">
        <v>32613</v>
      </c>
      <c r="H9272" t="s">
        <v>32623</v>
      </c>
      <c r="I9272" t="s">
        <v>17648</v>
      </c>
      <c r="J9272" t="s">
        <v>38513</v>
      </c>
      <c r="K9272" t="s">
        <v>42636</v>
      </c>
      <c r="M9272" t="s">
        <v>46056</v>
      </c>
      <c r="N9272" t="s">
        <v>47304</v>
      </c>
      <c r="O9272" t="s">
        <v>47305</v>
      </c>
      <c r="P9272">
        <v>0</v>
      </c>
      <c r="Q9272">
        <v>0</v>
      </c>
      <c r="R9272" t="s">
        <v>47313</v>
      </c>
      <c r="S9272" t="s">
        <v>47535</v>
      </c>
      <c r="T9272" t="s">
        <v>49269</v>
      </c>
      <c r="U9272" t="s">
        <v>57201</v>
      </c>
      <c r="W9272" t="s">
        <v>46056</v>
      </c>
      <c r="X9272" t="s">
        <v>47315</v>
      </c>
    </row>
    <row r="9273" spans="1:24">
      <c r="A9273">
        <f>HYPERLINK("https://www.philgeps.gov.ph/GEPSNONPILOT/Tender/SplashBidNoticeAbstractUI.aspx?menuIndex=3&amp;refID=7183374&amp;Result=3","7183374")</f>
        <v>0</v>
      </c>
      <c r="B9273" t="s">
        <v>2885</v>
      </c>
      <c r="C9273" t="s">
        <v>12593</v>
      </c>
      <c r="D9273" t="s">
        <v>18997</v>
      </c>
      <c r="E9273" t="s">
        <v>24207</v>
      </c>
      <c r="F9273" t="s">
        <v>32606</v>
      </c>
      <c r="G9273" t="s">
        <v>32613</v>
      </c>
      <c r="H9273" t="s">
        <v>32624</v>
      </c>
      <c r="I9273" t="s">
        <v>7064</v>
      </c>
      <c r="J9273" t="s">
        <v>38514</v>
      </c>
      <c r="K9273" t="s">
        <v>42630</v>
      </c>
      <c r="M9273" t="s">
        <v>46058</v>
      </c>
      <c r="N9273" t="s">
        <v>47304</v>
      </c>
      <c r="O9273" t="s">
        <v>47305</v>
      </c>
      <c r="P9273">
        <v>0</v>
      </c>
      <c r="Q9273">
        <v>1</v>
      </c>
      <c r="R9273" t="s">
        <v>47313</v>
      </c>
      <c r="S9273" t="s">
        <v>47535</v>
      </c>
      <c r="T9273" t="s">
        <v>49010</v>
      </c>
      <c r="U9273" t="s">
        <v>57205</v>
      </c>
      <c r="W9273" t="s">
        <v>46058</v>
      </c>
      <c r="X9273" t="s">
        <v>47315</v>
      </c>
    </row>
    <row r="9274" spans="1:24">
      <c r="A9274">
        <f>HYPERLINK("https://www.philgeps.gov.ph/GEPSNONPILOT/Tender/SplashBidNoticeAbstractUI.aspx?menuIndex=3&amp;refID=7183419&amp;Result=3","7183419")</f>
        <v>0</v>
      </c>
      <c r="B9274" t="s">
        <v>2883</v>
      </c>
      <c r="C9274" t="s">
        <v>12594</v>
      </c>
      <c r="D9274" t="s">
        <v>19057</v>
      </c>
      <c r="E9274" t="s">
        <v>27028</v>
      </c>
      <c r="F9274" t="s">
        <v>32606</v>
      </c>
      <c r="G9274" t="s">
        <v>32613</v>
      </c>
      <c r="H9274" t="s">
        <v>32623</v>
      </c>
      <c r="I9274" t="s">
        <v>17648</v>
      </c>
      <c r="J9274" t="s">
        <v>38515</v>
      </c>
      <c r="K9274" t="s">
        <v>42636</v>
      </c>
      <c r="M9274" t="s">
        <v>46056</v>
      </c>
      <c r="N9274" t="s">
        <v>47304</v>
      </c>
      <c r="O9274" t="s">
        <v>47305</v>
      </c>
      <c r="P9274">
        <v>0</v>
      </c>
      <c r="Q9274">
        <v>4</v>
      </c>
      <c r="R9274" t="s">
        <v>47313</v>
      </c>
      <c r="S9274" t="s">
        <v>47535</v>
      </c>
      <c r="T9274" t="s">
        <v>49269</v>
      </c>
      <c r="U9274" t="s">
        <v>57201</v>
      </c>
      <c r="W9274" t="s">
        <v>46056</v>
      </c>
      <c r="X9274" t="s">
        <v>47315</v>
      </c>
    </row>
    <row r="9275" spans="1:24">
      <c r="A9275">
        <f>HYPERLINK("https://www.philgeps.gov.ph/GEPSNONPILOT/Tender/SplashBidNoticeAbstractUI.aspx?menuIndex=3&amp;refID=7183403&amp;Result=3","7183403")</f>
        <v>0</v>
      </c>
      <c r="B9275" t="s">
        <v>2883</v>
      </c>
      <c r="C9275" t="s">
        <v>12595</v>
      </c>
      <c r="D9275" t="s">
        <v>19057</v>
      </c>
      <c r="E9275" t="s">
        <v>27029</v>
      </c>
      <c r="F9275" t="s">
        <v>32606</v>
      </c>
      <c r="G9275" t="s">
        <v>32613</v>
      </c>
      <c r="H9275" t="s">
        <v>32623</v>
      </c>
      <c r="I9275" t="s">
        <v>17648</v>
      </c>
      <c r="J9275" t="s">
        <v>38516</v>
      </c>
      <c r="K9275" t="s">
        <v>42645</v>
      </c>
      <c r="M9275" t="s">
        <v>46056</v>
      </c>
      <c r="N9275" t="s">
        <v>47304</v>
      </c>
      <c r="O9275" t="s">
        <v>47305</v>
      </c>
      <c r="P9275">
        <v>0</v>
      </c>
      <c r="Q9275">
        <v>0</v>
      </c>
      <c r="R9275" t="s">
        <v>47313</v>
      </c>
      <c r="S9275" t="s">
        <v>47535</v>
      </c>
      <c r="T9275" t="s">
        <v>49269</v>
      </c>
      <c r="U9275" t="s">
        <v>57201</v>
      </c>
      <c r="W9275" t="s">
        <v>46056</v>
      </c>
      <c r="X9275" t="s">
        <v>47315</v>
      </c>
    </row>
    <row r="9276" spans="1:24">
      <c r="A9276">
        <f>HYPERLINK("https://www.philgeps.gov.ph/GEPSNONPILOT/Tender/SplashBidNoticeAbstractUI.aspx?menuIndex=3&amp;refID=7183363&amp;Result=3","7183363")</f>
        <v>0</v>
      </c>
      <c r="B9276" t="s">
        <v>2883</v>
      </c>
      <c r="C9276" t="s">
        <v>12596</v>
      </c>
      <c r="D9276" t="s">
        <v>19057</v>
      </c>
      <c r="E9276" t="s">
        <v>27030</v>
      </c>
      <c r="F9276" t="s">
        <v>32606</v>
      </c>
      <c r="G9276" t="s">
        <v>32613</v>
      </c>
      <c r="H9276" t="s">
        <v>32623</v>
      </c>
      <c r="I9276" t="s">
        <v>17648</v>
      </c>
      <c r="J9276" t="s">
        <v>38517</v>
      </c>
      <c r="K9276" t="s">
        <v>42634</v>
      </c>
      <c r="M9276" t="s">
        <v>46056</v>
      </c>
      <c r="N9276" t="s">
        <v>47304</v>
      </c>
      <c r="O9276" t="s">
        <v>47305</v>
      </c>
      <c r="P9276">
        <v>0</v>
      </c>
      <c r="Q9276">
        <v>0</v>
      </c>
      <c r="R9276" t="s">
        <v>47313</v>
      </c>
      <c r="S9276" t="s">
        <v>47535</v>
      </c>
      <c r="T9276" t="s">
        <v>49269</v>
      </c>
      <c r="U9276" t="s">
        <v>57201</v>
      </c>
      <c r="W9276" t="s">
        <v>46056</v>
      </c>
      <c r="X9276" t="s">
        <v>47315</v>
      </c>
    </row>
    <row r="9277" spans="1:24">
      <c r="A9277">
        <f>HYPERLINK("https://www.philgeps.gov.ph/GEPSNONPILOT/Tender/SplashBidNoticeAbstractUI.aspx?menuIndex=3&amp;refID=7183384&amp;Result=3","7183384")</f>
        <v>0</v>
      </c>
      <c r="B9277" t="s">
        <v>2883</v>
      </c>
      <c r="C9277" t="s">
        <v>12597</v>
      </c>
      <c r="D9277" t="s">
        <v>19057</v>
      </c>
      <c r="E9277" t="s">
        <v>27031</v>
      </c>
      <c r="F9277" t="s">
        <v>32606</v>
      </c>
      <c r="G9277" t="s">
        <v>32613</v>
      </c>
      <c r="H9277" t="s">
        <v>32623</v>
      </c>
      <c r="I9277" t="s">
        <v>17648</v>
      </c>
      <c r="J9277" t="s">
        <v>38518</v>
      </c>
      <c r="K9277" t="s">
        <v>42646</v>
      </c>
      <c r="M9277" t="s">
        <v>46056</v>
      </c>
      <c r="N9277" t="s">
        <v>47304</v>
      </c>
      <c r="O9277" t="s">
        <v>47305</v>
      </c>
      <c r="P9277">
        <v>0</v>
      </c>
      <c r="Q9277">
        <v>0</v>
      </c>
      <c r="R9277" t="s">
        <v>47313</v>
      </c>
      <c r="S9277" t="s">
        <v>47535</v>
      </c>
      <c r="T9277" t="s">
        <v>49269</v>
      </c>
      <c r="U9277" t="s">
        <v>57201</v>
      </c>
      <c r="W9277" t="s">
        <v>46056</v>
      </c>
      <c r="X9277" t="s">
        <v>47315</v>
      </c>
    </row>
    <row r="9278" spans="1:24">
      <c r="A9278">
        <f>HYPERLINK("https://www.philgeps.gov.ph/GEPSNONPILOT/Tender/SplashBidNoticeAbstractUI.aspx?menuIndex=3&amp;refID=7183179&amp;Result=3","7183179")</f>
        <v>0</v>
      </c>
      <c r="B9278" t="s">
        <v>2803</v>
      </c>
      <c r="C9278" t="s">
        <v>12598</v>
      </c>
      <c r="D9278" t="s">
        <v>18997</v>
      </c>
      <c r="E9278" t="s">
        <v>27032</v>
      </c>
      <c r="F9278" t="s">
        <v>32606</v>
      </c>
      <c r="G9278" t="s">
        <v>32613</v>
      </c>
      <c r="H9278" t="s">
        <v>32623</v>
      </c>
      <c r="I9278" t="s">
        <v>17648</v>
      </c>
      <c r="J9278" t="s">
        <v>34128</v>
      </c>
      <c r="K9278" t="s">
        <v>42646</v>
      </c>
      <c r="M9278" t="s">
        <v>45965</v>
      </c>
      <c r="N9278" t="s">
        <v>47304</v>
      </c>
      <c r="O9278" t="s">
        <v>47305</v>
      </c>
      <c r="P9278">
        <v>0</v>
      </c>
      <c r="Q9278">
        <v>0</v>
      </c>
      <c r="R9278" t="s">
        <v>47313</v>
      </c>
      <c r="S9278" t="s">
        <v>47535</v>
      </c>
      <c r="T9278" t="s">
        <v>49234</v>
      </c>
      <c r="U9278" t="s">
        <v>57206</v>
      </c>
      <c r="W9278" t="s">
        <v>45965</v>
      </c>
      <c r="X9278" t="s">
        <v>47315</v>
      </c>
    </row>
    <row r="9279" spans="1:24">
      <c r="A9279">
        <f>HYPERLINK("https://www.philgeps.gov.ph/GEPSNONPILOT/Tender/SplashBidNoticeAbstractUI.aspx?menuIndex=3&amp;refID=7183127&amp;Result=3","7183127")</f>
        <v>0</v>
      </c>
      <c r="B9279" t="s">
        <v>776</v>
      </c>
      <c r="C9279" t="s">
        <v>12599</v>
      </c>
      <c r="D9279" t="s">
        <v>19003</v>
      </c>
      <c r="E9279" t="s">
        <v>27033</v>
      </c>
      <c r="F9279" t="s">
        <v>32606</v>
      </c>
      <c r="G9279" t="s">
        <v>32614</v>
      </c>
      <c r="H9279" t="s">
        <v>14201</v>
      </c>
      <c r="I9279" t="s">
        <v>6931</v>
      </c>
      <c r="J9279" t="s">
        <v>38519</v>
      </c>
      <c r="K9279" t="s">
        <v>42622</v>
      </c>
      <c r="M9279" t="s">
        <v>43705</v>
      </c>
      <c r="N9279" t="s">
        <v>47304</v>
      </c>
      <c r="O9279" t="s">
        <v>47305</v>
      </c>
      <c r="P9279">
        <v>0</v>
      </c>
      <c r="Q9279">
        <v>0</v>
      </c>
      <c r="R9279" t="s">
        <v>47313</v>
      </c>
      <c r="S9279" t="s">
        <v>47535</v>
      </c>
      <c r="T9279" t="s">
        <v>49373</v>
      </c>
      <c r="U9279" t="s">
        <v>57207</v>
      </c>
      <c r="V9279" t="s">
        <v>63625</v>
      </c>
      <c r="W9279" t="s">
        <v>43705</v>
      </c>
      <c r="X9279" t="s">
        <v>47315</v>
      </c>
    </row>
    <row r="9280" spans="1:24">
      <c r="A9280">
        <f>HYPERLINK("https://www.philgeps.gov.ph/GEPSNONPILOT/Tender/SplashBidNoticeAbstractUI.aspx?menuIndex=3&amp;refID=7182255&amp;Result=3","7182255")</f>
        <v>0</v>
      </c>
      <c r="B9280" t="s">
        <v>2115</v>
      </c>
      <c r="C9280" t="s">
        <v>12600</v>
      </c>
      <c r="D9280" t="s">
        <v>19008</v>
      </c>
      <c r="E9280" t="s">
        <v>27034</v>
      </c>
      <c r="F9280" t="s">
        <v>32606</v>
      </c>
      <c r="G9280" t="s">
        <v>32613</v>
      </c>
      <c r="H9280" t="s">
        <v>14201</v>
      </c>
      <c r="I9280" t="s">
        <v>7677</v>
      </c>
      <c r="J9280" t="s">
        <v>38520</v>
      </c>
      <c r="K9280" t="s">
        <v>42638</v>
      </c>
      <c r="M9280" t="s">
        <v>45789</v>
      </c>
      <c r="N9280" t="s">
        <v>47304</v>
      </c>
      <c r="O9280" t="s">
        <v>47305</v>
      </c>
      <c r="P9280">
        <v>0</v>
      </c>
      <c r="Q9280">
        <v>0</v>
      </c>
      <c r="R9280" t="s">
        <v>47313</v>
      </c>
      <c r="S9280" t="s">
        <v>47535</v>
      </c>
      <c r="T9280" t="s">
        <v>49071</v>
      </c>
      <c r="U9280" t="s">
        <v>57208</v>
      </c>
      <c r="V9280" t="s">
        <v>63377</v>
      </c>
      <c r="W9280" t="s">
        <v>45789</v>
      </c>
      <c r="X9280" t="s">
        <v>47315</v>
      </c>
    </row>
    <row r="9281" spans="1:24">
      <c r="A9281">
        <f>HYPERLINK("https://www.philgeps.gov.ph/GEPSNONPILOT/Tender/SplashBidNoticeAbstractUI.aspx?menuIndex=3&amp;refID=7183357&amp;Result=3","7183357")</f>
        <v>0</v>
      </c>
      <c r="B9281" t="s">
        <v>2886</v>
      </c>
      <c r="C9281" t="s">
        <v>12601</v>
      </c>
      <c r="D9281" t="s">
        <v>19049</v>
      </c>
      <c r="E9281" t="s">
        <v>27035</v>
      </c>
      <c r="F9281" t="s">
        <v>32606</v>
      </c>
      <c r="G9281" t="s">
        <v>32613</v>
      </c>
      <c r="H9281" t="s">
        <v>14201</v>
      </c>
      <c r="I9281" t="s">
        <v>32640</v>
      </c>
      <c r="J9281" t="s">
        <v>38521</v>
      </c>
      <c r="K9281" t="s">
        <v>42636</v>
      </c>
      <c r="M9281" t="s">
        <v>46059</v>
      </c>
      <c r="N9281" t="s">
        <v>47304</v>
      </c>
      <c r="O9281" t="s">
        <v>47305</v>
      </c>
      <c r="P9281">
        <v>0</v>
      </c>
      <c r="Q9281">
        <v>13</v>
      </c>
      <c r="R9281" t="s">
        <v>47313</v>
      </c>
      <c r="S9281" t="s">
        <v>47535</v>
      </c>
      <c r="T9281" t="s">
        <v>49052</v>
      </c>
      <c r="U9281" t="s">
        <v>57209</v>
      </c>
      <c r="W9281" t="s">
        <v>46059</v>
      </c>
      <c r="X9281" t="s">
        <v>47315</v>
      </c>
    </row>
    <row r="9282" spans="1:24">
      <c r="A9282">
        <f>HYPERLINK("https://www.philgeps.gov.ph/GEPSNONPILOT/Tender/SplashBidNoticeAbstractUI.aspx?menuIndex=3&amp;refID=7183180&amp;Result=3","7183180")</f>
        <v>0</v>
      </c>
      <c r="B9282" t="s">
        <v>2887</v>
      </c>
      <c r="C9282" t="s">
        <v>12602</v>
      </c>
      <c r="D9282" t="s">
        <v>18997</v>
      </c>
      <c r="E9282" t="s">
        <v>27036</v>
      </c>
      <c r="F9282" t="s">
        <v>32606</v>
      </c>
      <c r="G9282" t="s">
        <v>32613</v>
      </c>
      <c r="H9282" t="s">
        <v>32623</v>
      </c>
      <c r="I9282" t="s">
        <v>17648</v>
      </c>
      <c r="J9282" t="s">
        <v>38522</v>
      </c>
      <c r="K9282" t="s">
        <v>42638</v>
      </c>
      <c r="M9282" t="s">
        <v>46060</v>
      </c>
      <c r="N9282" t="s">
        <v>47304</v>
      </c>
      <c r="O9282" t="s">
        <v>47305</v>
      </c>
      <c r="P9282">
        <v>0</v>
      </c>
      <c r="Q9282">
        <v>1</v>
      </c>
      <c r="R9282" t="s">
        <v>47313</v>
      </c>
      <c r="S9282" t="s">
        <v>47535</v>
      </c>
      <c r="T9282" t="s">
        <v>49023</v>
      </c>
      <c r="U9282" t="s">
        <v>57210</v>
      </c>
      <c r="W9282" t="s">
        <v>46060</v>
      </c>
      <c r="X9282" t="s">
        <v>47315</v>
      </c>
    </row>
    <row r="9283" spans="1:24">
      <c r="A9283">
        <f>HYPERLINK("https://www.philgeps.gov.ph/GEPSNONPILOT/Tender/SplashBidNoticeAbstractUI.aspx?menuIndex=3&amp;refID=7183354&amp;Result=3","7183354")</f>
        <v>0</v>
      </c>
      <c r="B9283" t="s">
        <v>2885</v>
      </c>
      <c r="C9283" t="s">
        <v>12603</v>
      </c>
      <c r="D9283" t="s">
        <v>18997</v>
      </c>
      <c r="E9283" t="s">
        <v>27037</v>
      </c>
      <c r="F9283" t="s">
        <v>32606</v>
      </c>
      <c r="G9283" t="s">
        <v>32613</v>
      </c>
      <c r="H9283" t="s">
        <v>32623</v>
      </c>
      <c r="I9283" t="s">
        <v>32709</v>
      </c>
      <c r="J9283" t="s">
        <v>32820</v>
      </c>
      <c r="K9283" t="s">
        <v>42630</v>
      </c>
      <c r="M9283" t="s">
        <v>46058</v>
      </c>
      <c r="N9283" t="s">
        <v>47304</v>
      </c>
      <c r="O9283" t="s">
        <v>47305</v>
      </c>
      <c r="P9283">
        <v>0</v>
      </c>
      <c r="Q9283">
        <v>0</v>
      </c>
      <c r="R9283" t="s">
        <v>47313</v>
      </c>
      <c r="S9283" t="s">
        <v>47535</v>
      </c>
      <c r="T9283" t="s">
        <v>49010</v>
      </c>
      <c r="U9283" t="s">
        <v>57205</v>
      </c>
      <c r="W9283" t="s">
        <v>46058</v>
      </c>
      <c r="X9283" t="s">
        <v>47315</v>
      </c>
    </row>
    <row r="9284" spans="1:24">
      <c r="A9284">
        <f>HYPERLINK("https://www.philgeps.gov.ph/GEPSNONPILOT/Tender/SplashBidNoticeAbstractUI.aspx?menuIndex=3&amp;refID=7183011&amp;Result=3","7183011")</f>
        <v>0</v>
      </c>
      <c r="B9284" t="s">
        <v>42</v>
      </c>
      <c r="C9284" t="s">
        <v>12604</v>
      </c>
      <c r="E9284" t="s">
        <v>27038</v>
      </c>
      <c r="F9284" t="s">
        <v>32606</v>
      </c>
      <c r="G9284" t="s">
        <v>32613</v>
      </c>
      <c r="H9284" t="s">
        <v>32623</v>
      </c>
      <c r="I9284" t="s">
        <v>17648</v>
      </c>
      <c r="J9284" t="s">
        <v>38523</v>
      </c>
      <c r="K9284" t="s">
        <v>42660</v>
      </c>
      <c r="M9284" t="s">
        <v>42939</v>
      </c>
      <c r="N9284" t="s">
        <v>47304</v>
      </c>
      <c r="O9284" t="s">
        <v>47305</v>
      </c>
      <c r="P9284">
        <v>0</v>
      </c>
      <c r="Q9284">
        <v>1</v>
      </c>
      <c r="R9284" t="s">
        <v>47313</v>
      </c>
      <c r="S9284" t="s">
        <v>47535</v>
      </c>
      <c r="T9284" t="s">
        <v>49064</v>
      </c>
      <c r="U9284" t="s">
        <v>57211</v>
      </c>
      <c r="W9284" t="s">
        <v>42939</v>
      </c>
      <c r="X9284" t="s">
        <v>47315</v>
      </c>
    </row>
    <row r="9285" spans="1:24">
      <c r="A9285">
        <f>HYPERLINK("https://www.philgeps.gov.ph/GEPSNONPILOT/Tender/SplashBidNoticeAbstractUI.aspx?menuIndex=3&amp;refID=7182803&amp;Result=3","7182803")</f>
        <v>0</v>
      </c>
      <c r="B9285" t="s">
        <v>2888</v>
      </c>
      <c r="C9285" t="s">
        <v>12605</v>
      </c>
      <c r="D9285" t="s">
        <v>19070</v>
      </c>
      <c r="E9285" t="s">
        <v>27039</v>
      </c>
      <c r="F9285" t="s">
        <v>32606</v>
      </c>
      <c r="G9285" t="s">
        <v>32615</v>
      </c>
      <c r="H9285" t="s">
        <v>32623</v>
      </c>
      <c r="I9285" t="s">
        <v>17648</v>
      </c>
      <c r="J9285" t="s">
        <v>38524</v>
      </c>
      <c r="K9285" t="s">
        <v>42668</v>
      </c>
      <c r="M9285" t="s">
        <v>46061</v>
      </c>
      <c r="N9285" t="s">
        <v>47304</v>
      </c>
      <c r="O9285" t="s">
        <v>47305</v>
      </c>
      <c r="P9285">
        <v>0</v>
      </c>
      <c r="Q9285">
        <v>0</v>
      </c>
      <c r="R9285" t="s">
        <v>47313</v>
      </c>
      <c r="S9285" t="s">
        <v>47535</v>
      </c>
      <c r="T9285" t="s">
        <v>49099</v>
      </c>
      <c r="U9285" t="s">
        <v>57212</v>
      </c>
      <c r="W9285" t="s">
        <v>46061</v>
      </c>
      <c r="X9285" t="s">
        <v>47315</v>
      </c>
    </row>
    <row r="9286" spans="1:24">
      <c r="A9286">
        <f>HYPERLINK("https://www.philgeps.gov.ph/GEPSNONPILOT/Tender/SplashBidNoticeAbstractUI.aspx?menuIndex=3&amp;refID=7182800&amp;Result=3","7182800")</f>
        <v>0</v>
      </c>
      <c r="B9286" t="s">
        <v>2889</v>
      </c>
      <c r="C9286" t="s">
        <v>12606</v>
      </c>
      <c r="D9286" t="s">
        <v>18988</v>
      </c>
      <c r="E9286" t="s">
        <v>27040</v>
      </c>
      <c r="F9286" t="s">
        <v>32606</v>
      </c>
      <c r="G9286" t="s">
        <v>32619</v>
      </c>
      <c r="H9286" t="s">
        <v>14201</v>
      </c>
      <c r="I9286" t="s">
        <v>4114</v>
      </c>
      <c r="J9286" t="s">
        <v>38525</v>
      </c>
      <c r="K9286" t="s">
        <v>42624</v>
      </c>
      <c r="M9286" t="s">
        <v>46062</v>
      </c>
      <c r="N9286" t="s">
        <v>47304</v>
      </c>
      <c r="O9286" t="s">
        <v>47305</v>
      </c>
      <c r="P9286">
        <v>0</v>
      </c>
      <c r="Q9286">
        <v>6</v>
      </c>
      <c r="R9286" t="s">
        <v>47313</v>
      </c>
      <c r="S9286" t="s">
        <v>47535</v>
      </c>
      <c r="T9286" t="s">
        <v>49330</v>
      </c>
      <c r="U9286" t="s">
        <v>57213</v>
      </c>
      <c r="W9286" t="s">
        <v>46062</v>
      </c>
      <c r="X9286" t="s">
        <v>47315</v>
      </c>
    </row>
    <row r="9287" spans="1:24">
      <c r="A9287">
        <f>HYPERLINK("https://www.philgeps.gov.ph/GEPSNONPILOT/Tender/SplashBidNoticeAbstractUI.aspx?menuIndex=3&amp;refID=7183096&amp;Result=3","7183096")</f>
        <v>0</v>
      </c>
      <c r="B9287" t="s">
        <v>1529</v>
      </c>
      <c r="C9287" t="s">
        <v>12607</v>
      </c>
      <c r="D9287" t="s">
        <v>18993</v>
      </c>
      <c r="E9287" t="s">
        <v>27041</v>
      </c>
      <c r="F9287" t="s">
        <v>32606</v>
      </c>
      <c r="G9287" t="s">
        <v>32614</v>
      </c>
      <c r="H9287" t="s">
        <v>14201</v>
      </c>
      <c r="I9287" t="s">
        <v>32646</v>
      </c>
      <c r="J9287" t="s">
        <v>38526</v>
      </c>
      <c r="K9287" t="s">
        <v>42623</v>
      </c>
      <c r="M9287" t="s">
        <v>44532</v>
      </c>
      <c r="N9287" t="s">
        <v>47304</v>
      </c>
      <c r="O9287" t="s">
        <v>47305</v>
      </c>
      <c r="P9287">
        <v>0</v>
      </c>
      <c r="Q9287">
        <v>10</v>
      </c>
      <c r="R9287" t="s">
        <v>47313</v>
      </c>
      <c r="S9287" t="s">
        <v>47535</v>
      </c>
      <c r="T9287" t="s">
        <v>49014</v>
      </c>
      <c r="U9287" t="s">
        <v>52911</v>
      </c>
      <c r="W9287" t="s">
        <v>44532</v>
      </c>
      <c r="X9287" t="s">
        <v>47315</v>
      </c>
    </row>
    <row r="9288" spans="1:24">
      <c r="A9288">
        <f>HYPERLINK("https://www.philgeps.gov.ph/GEPSNONPILOT/Tender/SplashBidNoticeAbstractUI.aspx?menuIndex=3&amp;refID=7183024&amp;Result=3","7183024")</f>
        <v>0</v>
      </c>
      <c r="B9288" t="s">
        <v>2890</v>
      </c>
      <c r="C9288" t="s">
        <v>12608</v>
      </c>
      <c r="D9288" t="s">
        <v>19013</v>
      </c>
      <c r="E9288" t="s">
        <v>27042</v>
      </c>
      <c r="F9288" t="s">
        <v>32606</v>
      </c>
      <c r="G9288" t="s">
        <v>32613</v>
      </c>
      <c r="H9288" t="s">
        <v>14201</v>
      </c>
      <c r="I9288" t="s">
        <v>4114</v>
      </c>
      <c r="J9288" t="s">
        <v>34578</v>
      </c>
      <c r="K9288" t="s">
        <v>42623</v>
      </c>
      <c r="M9288" t="s">
        <v>46063</v>
      </c>
      <c r="N9288" t="s">
        <v>47304</v>
      </c>
      <c r="O9288" t="s">
        <v>47305</v>
      </c>
      <c r="P9288">
        <v>0</v>
      </c>
      <c r="Q9288">
        <v>5</v>
      </c>
      <c r="R9288" t="s">
        <v>47313</v>
      </c>
      <c r="S9288" t="s">
        <v>47535</v>
      </c>
      <c r="T9288" t="s">
        <v>48970</v>
      </c>
      <c r="U9288" t="s">
        <v>57214</v>
      </c>
      <c r="W9288" t="s">
        <v>46063</v>
      </c>
      <c r="X9288" t="s">
        <v>47315</v>
      </c>
    </row>
    <row r="9289" spans="1:24">
      <c r="A9289">
        <f>HYPERLINK("https://www.philgeps.gov.ph/GEPSNONPILOT/Tender/SplashBidNoticeAbstractUI.aspx?menuIndex=3&amp;refID=7181257&amp;Result=3","7181257")</f>
        <v>0</v>
      </c>
      <c r="B9289" t="s">
        <v>1041</v>
      </c>
      <c r="C9289" t="s">
        <v>12609</v>
      </c>
      <c r="D9289" t="s">
        <v>19011</v>
      </c>
      <c r="E9289" t="s">
        <v>27043</v>
      </c>
      <c r="F9289" t="s">
        <v>32606</v>
      </c>
      <c r="G9289" t="s">
        <v>32613</v>
      </c>
      <c r="H9289" t="s">
        <v>14201</v>
      </c>
      <c r="I9289" t="s">
        <v>6931</v>
      </c>
      <c r="J9289" t="s">
        <v>38527</v>
      </c>
      <c r="K9289" t="s">
        <v>42624</v>
      </c>
      <c r="M9289" t="s">
        <v>43994</v>
      </c>
      <c r="N9289" t="s">
        <v>47304</v>
      </c>
      <c r="O9289" t="s">
        <v>47305</v>
      </c>
      <c r="Q9289">
        <v>1</v>
      </c>
      <c r="R9289" t="s">
        <v>47313</v>
      </c>
      <c r="S9289" t="s">
        <v>47549</v>
      </c>
      <c r="T9289" t="s">
        <v>49064</v>
      </c>
      <c r="U9289" t="s">
        <v>57159</v>
      </c>
      <c r="W9289" t="s">
        <v>64459</v>
      </c>
      <c r="X9289" t="s">
        <v>47315</v>
      </c>
    </row>
    <row r="9290" spans="1:24">
      <c r="A9290">
        <f>HYPERLINK("https://www.philgeps.gov.ph/GEPSNONPILOT/Tender/SplashBidNoticeAbstractUI.aspx?menuIndex=3&amp;refID=7182220&amp;Result=3","7182220")</f>
        <v>0</v>
      </c>
      <c r="B9290" t="s">
        <v>37</v>
      </c>
      <c r="C9290" t="s">
        <v>12610</v>
      </c>
      <c r="D9290" t="s">
        <v>18997</v>
      </c>
      <c r="E9290" t="s">
        <v>27044</v>
      </c>
      <c r="F9290" t="s">
        <v>32606</v>
      </c>
      <c r="G9290" t="s">
        <v>32613</v>
      </c>
      <c r="H9290" t="s">
        <v>14201</v>
      </c>
      <c r="I9290" t="s">
        <v>6993</v>
      </c>
      <c r="J9290" t="s">
        <v>38528</v>
      </c>
      <c r="K9290" t="s">
        <v>42631</v>
      </c>
      <c r="M9290" t="s">
        <v>42934</v>
      </c>
      <c r="N9290" t="s">
        <v>47304</v>
      </c>
      <c r="O9290" t="s">
        <v>47305</v>
      </c>
      <c r="P9290">
        <v>0</v>
      </c>
      <c r="Q9290">
        <v>0</v>
      </c>
      <c r="R9290" t="s">
        <v>47313</v>
      </c>
      <c r="S9290" t="s">
        <v>47535</v>
      </c>
      <c r="T9290" t="s">
        <v>49068</v>
      </c>
      <c r="U9290" t="s">
        <v>57215</v>
      </c>
      <c r="W9290" t="s">
        <v>42934</v>
      </c>
      <c r="X9290" t="s">
        <v>47315</v>
      </c>
    </row>
    <row r="9291" spans="1:24">
      <c r="A9291">
        <f>HYPERLINK("https://www.philgeps.gov.ph/GEPSNONPILOT/Tender/SplashBidNoticeAbstractUI.aspx?menuIndex=3&amp;refID=7182979&amp;Result=3","7182979")</f>
        <v>0</v>
      </c>
      <c r="B9291" t="s">
        <v>1529</v>
      </c>
      <c r="C9291" t="s">
        <v>12611</v>
      </c>
      <c r="D9291" t="s">
        <v>18993</v>
      </c>
      <c r="E9291" t="s">
        <v>27045</v>
      </c>
      <c r="F9291" t="s">
        <v>32606</v>
      </c>
      <c r="G9291" t="s">
        <v>32614</v>
      </c>
      <c r="H9291" t="s">
        <v>14201</v>
      </c>
      <c r="I9291" t="s">
        <v>4678</v>
      </c>
      <c r="J9291" t="s">
        <v>32999</v>
      </c>
      <c r="K9291" t="s">
        <v>42623</v>
      </c>
      <c r="M9291" t="s">
        <v>44532</v>
      </c>
      <c r="N9291" t="s">
        <v>47304</v>
      </c>
      <c r="O9291" t="s">
        <v>47305</v>
      </c>
      <c r="P9291">
        <v>0</v>
      </c>
      <c r="Q9291">
        <v>8</v>
      </c>
      <c r="R9291" t="s">
        <v>47313</v>
      </c>
      <c r="S9291" t="s">
        <v>47535</v>
      </c>
      <c r="T9291" t="s">
        <v>49014</v>
      </c>
      <c r="U9291" t="s">
        <v>52911</v>
      </c>
      <c r="W9291" t="s">
        <v>44532</v>
      </c>
      <c r="X9291" t="s">
        <v>47315</v>
      </c>
    </row>
    <row r="9292" spans="1:24">
      <c r="A9292">
        <f>HYPERLINK("https://www.philgeps.gov.ph/GEPSNONPILOT/Tender/SplashBidNoticeAbstractUI.aspx?menuIndex=3&amp;refID=7183724&amp;Result=3","7183724")</f>
        <v>0</v>
      </c>
      <c r="B9292" t="s">
        <v>1917</v>
      </c>
      <c r="C9292" t="s">
        <v>12612</v>
      </c>
      <c r="D9292" t="s">
        <v>19070</v>
      </c>
      <c r="E9292" t="s">
        <v>27046</v>
      </c>
      <c r="F9292" t="s">
        <v>32606</v>
      </c>
      <c r="G9292" t="s">
        <v>32613</v>
      </c>
      <c r="H9292" t="s">
        <v>32623</v>
      </c>
      <c r="I9292" t="s">
        <v>17648</v>
      </c>
      <c r="J9292" t="s">
        <v>38529</v>
      </c>
      <c r="K9292" t="s">
        <v>42773</v>
      </c>
      <c r="M9292" t="s">
        <v>46064</v>
      </c>
      <c r="N9292" t="s">
        <v>47304</v>
      </c>
      <c r="O9292" t="s">
        <v>47305</v>
      </c>
      <c r="P9292">
        <v>0</v>
      </c>
      <c r="Q9292">
        <v>0</v>
      </c>
      <c r="R9292" t="s">
        <v>47313</v>
      </c>
      <c r="S9292" t="s">
        <v>47535</v>
      </c>
      <c r="T9292" t="s">
        <v>49071</v>
      </c>
      <c r="U9292" t="s">
        <v>57216</v>
      </c>
      <c r="W9292" t="s">
        <v>46064</v>
      </c>
      <c r="X9292" t="s">
        <v>47314</v>
      </c>
    </row>
    <row r="9293" spans="1:24">
      <c r="A9293">
        <f>HYPERLINK("https://www.philgeps.gov.ph/GEPSNONPILOT/Tender/SplashBidNoticeAbstractUI.aspx?menuIndex=3&amp;refID=7182247&amp;Result=3","7182247")</f>
        <v>0</v>
      </c>
      <c r="B9293" t="s">
        <v>436</v>
      </c>
      <c r="C9293" t="s">
        <v>12613</v>
      </c>
      <c r="D9293" t="s">
        <v>19050</v>
      </c>
      <c r="E9293" t="s">
        <v>27047</v>
      </c>
      <c r="F9293" t="s">
        <v>32606</v>
      </c>
      <c r="G9293" t="s">
        <v>32613</v>
      </c>
      <c r="H9293" t="s">
        <v>14201</v>
      </c>
      <c r="I9293" t="s">
        <v>32632</v>
      </c>
      <c r="J9293" t="s">
        <v>38530</v>
      </c>
      <c r="K9293" t="s">
        <v>42631</v>
      </c>
      <c r="M9293" t="s">
        <v>43342</v>
      </c>
      <c r="N9293" t="s">
        <v>47304</v>
      </c>
      <c r="O9293" t="s">
        <v>47305</v>
      </c>
      <c r="P9293">
        <v>0</v>
      </c>
      <c r="Q9293">
        <v>7</v>
      </c>
      <c r="R9293" t="s">
        <v>47313</v>
      </c>
      <c r="S9293" t="s">
        <v>47535</v>
      </c>
      <c r="T9293" t="s">
        <v>49075</v>
      </c>
      <c r="U9293" t="s">
        <v>57217</v>
      </c>
      <c r="V9293" t="s">
        <v>63626</v>
      </c>
      <c r="W9293" t="s">
        <v>43342</v>
      </c>
      <c r="X9293" t="s">
        <v>47315</v>
      </c>
    </row>
    <row r="9294" spans="1:24">
      <c r="A9294">
        <f>HYPERLINK("https://www.philgeps.gov.ph/GEPSNONPILOT/Tender/SplashBidNoticeAbstractUI.aspx?menuIndex=3&amp;refID=7183723&amp;Result=3","7183723")</f>
        <v>0</v>
      </c>
      <c r="B9294" t="s">
        <v>362</v>
      </c>
      <c r="C9294" t="s">
        <v>12614</v>
      </c>
      <c r="D9294" t="s">
        <v>19023</v>
      </c>
      <c r="E9294" t="s">
        <v>27048</v>
      </c>
      <c r="F9294" t="s">
        <v>32606</v>
      </c>
      <c r="G9294" t="s">
        <v>32614</v>
      </c>
      <c r="H9294" t="s">
        <v>14201</v>
      </c>
      <c r="I9294" t="s">
        <v>32629</v>
      </c>
      <c r="J9294" t="s">
        <v>38531</v>
      </c>
      <c r="K9294" t="s">
        <v>42630</v>
      </c>
      <c r="M9294" t="s">
        <v>45656</v>
      </c>
      <c r="N9294" t="s">
        <v>47304</v>
      </c>
      <c r="O9294" t="s">
        <v>47305</v>
      </c>
      <c r="P9294">
        <v>0</v>
      </c>
      <c r="Q9294">
        <v>0</v>
      </c>
      <c r="R9294" t="s">
        <v>47313</v>
      </c>
      <c r="S9294" t="s">
        <v>47535</v>
      </c>
      <c r="T9294" t="s">
        <v>49071</v>
      </c>
      <c r="U9294" t="s">
        <v>57218</v>
      </c>
      <c r="W9294" t="s">
        <v>45656</v>
      </c>
      <c r="X9294" t="s">
        <v>47314</v>
      </c>
    </row>
    <row r="9295" spans="1:24">
      <c r="A9295">
        <f>HYPERLINK("https://www.philgeps.gov.ph/GEPSNONPILOT/Tender/SplashBidNoticeAbstractUI.aspx?menuIndex=3&amp;refID=7182222&amp;Result=3","7182222")</f>
        <v>0</v>
      </c>
      <c r="B9295" t="s">
        <v>2115</v>
      </c>
      <c r="C9295" t="s">
        <v>12615</v>
      </c>
      <c r="D9295" t="s">
        <v>19008</v>
      </c>
      <c r="E9295" t="s">
        <v>27049</v>
      </c>
      <c r="F9295" t="s">
        <v>32606</v>
      </c>
      <c r="G9295" t="s">
        <v>32613</v>
      </c>
      <c r="H9295" t="s">
        <v>14201</v>
      </c>
      <c r="I9295" t="s">
        <v>32638</v>
      </c>
      <c r="J9295" t="s">
        <v>38532</v>
      </c>
      <c r="K9295" t="s">
        <v>42638</v>
      </c>
      <c r="M9295" t="s">
        <v>45789</v>
      </c>
      <c r="N9295" t="s">
        <v>47304</v>
      </c>
      <c r="O9295" t="s">
        <v>47305</v>
      </c>
      <c r="P9295">
        <v>0</v>
      </c>
      <c r="Q9295">
        <v>4</v>
      </c>
      <c r="R9295" t="s">
        <v>47313</v>
      </c>
      <c r="S9295" t="s">
        <v>47535</v>
      </c>
      <c r="T9295" t="s">
        <v>49071</v>
      </c>
      <c r="U9295" t="s">
        <v>57219</v>
      </c>
      <c r="V9295" t="s">
        <v>63377</v>
      </c>
      <c r="W9295" t="s">
        <v>45789</v>
      </c>
      <c r="X9295" t="s">
        <v>47315</v>
      </c>
    </row>
    <row r="9296" spans="1:24">
      <c r="A9296">
        <f>HYPERLINK("https://www.philgeps.gov.ph/GEPSNONPILOT/Tender/SplashBidNoticeAbstractUI.aspx?menuIndex=3&amp;refID=7182186&amp;Result=3","7182186")</f>
        <v>0</v>
      </c>
      <c r="B9296" t="s">
        <v>2115</v>
      </c>
      <c r="C9296" t="s">
        <v>12616</v>
      </c>
      <c r="D9296" t="s">
        <v>19008</v>
      </c>
      <c r="E9296" t="s">
        <v>27050</v>
      </c>
      <c r="F9296" t="s">
        <v>32606</v>
      </c>
      <c r="G9296" t="s">
        <v>32613</v>
      </c>
      <c r="H9296" t="s">
        <v>14201</v>
      </c>
      <c r="I9296" t="s">
        <v>7677</v>
      </c>
      <c r="J9296" t="s">
        <v>38533</v>
      </c>
      <c r="K9296" t="s">
        <v>42638</v>
      </c>
      <c r="M9296" t="s">
        <v>45789</v>
      </c>
      <c r="N9296" t="s">
        <v>47304</v>
      </c>
      <c r="O9296" t="s">
        <v>47305</v>
      </c>
      <c r="P9296">
        <v>0</v>
      </c>
      <c r="Q9296">
        <v>1</v>
      </c>
      <c r="R9296" t="s">
        <v>47313</v>
      </c>
      <c r="S9296" t="s">
        <v>47535</v>
      </c>
      <c r="T9296" t="s">
        <v>49071</v>
      </c>
      <c r="U9296" t="s">
        <v>57220</v>
      </c>
      <c r="V9296" t="s">
        <v>63377</v>
      </c>
      <c r="W9296" t="s">
        <v>45789</v>
      </c>
      <c r="X9296" t="s">
        <v>47315</v>
      </c>
    </row>
    <row r="9297" spans="1:24">
      <c r="A9297">
        <f>HYPERLINK("https://www.philgeps.gov.ph/GEPSNONPILOT/Tender/SplashBidNoticeAbstractUI.aspx?menuIndex=3&amp;refID=7180890&amp;Result=3","7180890")</f>
        <v>0</v>
      </c>
      <c r="B9297" t="s">
        <v>2891</v>
      </c>
      <c r="C9297" t="s">
        <v>12617</v>
      </c>
      <c r="D9297" t="s">
        <v>19003</v>
      </c>
      <c r="E9297" t="s">
        <v>19279</v>
      </c>
      <c r="F9297" t="s">
        <v>32606</v>
      </c>
      <c r="G9297" t="s">
        <v>32619</v>
      </c>
      <c r="H9297" t="s">
        <v>32624</v>
      </c>
      <c r="I9297" t="s">
        <v>6478</v>
      </c>
      <c r="J9297" t="s">
        <v>38534</v>
      </c>
      <c r="K9297" t="s">
        <v>42632</v>
      </c>
      <c r="M9297" t="s">
        <v>46065</v>
      </c>
      <c r="N9297" t="s">
        <v>47304</v>
      </c>
      <c r="O9297" t="s">
        <v>47305</v>
      </c>
      <c r="P9297">
        <v>0</v>
      </c>
      <c r="Q9297">
        <v>1</v>
      </c>
      <c r="R9297" t="s">
        <v>47313</v>
      </c>
      <c r="S9297" t="s">
        <v>47535</v>
      </c>
      <c r="T9297" t="s">
        <v>49269</v>
      </c>
      <c r="U9297" t="s">
        <v>57221</v>
      </c>
      <c r="V9297" t="s">
        <v>63627</v>
      </c>
      <c r="W9297" t="s">
        <v>46065</v>
      </c>
      <c r="X9297" t="s">
        <v>47315</v>
      </c>
    </row>
    <row r="9298" spans="1:24">
      <c r="A9298">
        <f>HYPERLINK("https://www.philgeps.gov.ph/GEPSNONPILOT/Tender/SplashBidNoticeAbstractUI.aspx?menuIndex=3&amp;refID=7183722&amp;Result=3","7183722")</f>
        <v>0</v>
      </c>
      <c r="B9298" t="s">
        <v>2892</v>
      </c>
      <c r="C9298" t="s">
        <v>12618</v>
      </c>
      <c r="D9298" t="s">
        <v>19007</v>
      </c>
      <c r="E9298" t="s">
        <v>27051</v>
      </c>
      <c r="F9298" t="s">
        <v>32606</v>
      </c>
      <c r="G9298" t="s">
        <v>32614</v>
      </c>
      <c r="H9298" t="s">
        <v>32624</v>
      </c>
      <c r="I9298" t="s">
        <v>17648</v>
      </c>
      <c r="J9298" t="s">
        <v>38535</v>
      </c>
      <c r="K9298" t="s">
        <v>42664</v>
      </c>
      <c r="M9298" t="s">
        <v>46066</v>
      </c>
      <c r="N9298" t="s">
        <v>47304</v>
      </c>
      <c r="O9298" t="s">
        <v>47305</v>
      </c>
      <c r="P9298">
        <v>0</v>
      </c>
      <c r="Q9298">
        <v>0</v>
      </c>
      <c r="R9298" t="s">
        <v>47313</v>
      </c>
      <c r="S9298" t="s">
        <v>47535</v>
      </c>
      <c r="T9298" t="s">
        <v>49257</v>
      </c>
      <c r="U9298" t="s">
        <v>57222</v>
      </c>
      <c r="W9298" t="s">
        <v>46066</v>
      </c>
      <c r="X9298" t="s">
        <v>47314</v>
      </c>
    </row>
    <row r="9299" spans="1:24">
      <c r="A9299">
        <f>HYPERLINK("https://www.philgeps.gov.ph/GEPSNONPILOT/Tender/SplashBidNoticeAbstractUI.aspx?menuIndex=3&amp;refID=7183717&amp;Result=3","7183717")</f>
        <v>0</v>
      </c>
      <c r="B9299" t="s">
        <v>362</v>
      </c>
      <c r="C9299" t="s">
        <v>11288</v>
      </c>
      <c r="D9299" t="s">
        <v>19023</v>
      </c>
      <c r="E9299" t="s">
        <v>27052</v>
      </c>
      <c r="F9299" t="s">
        <v>32606</v>
      </c>
      <c r="G9299" t="s">
        <v>32614</v>
      </c>
      <c r="H9299" t="s">
        <v>14201</v>
      </c>
      <c r="I9299" t="s">
        <v>32629</v>
      </c>
      <c r="J9299" t="s">
        <v>38536</v>
      </c>
      <c r="K9299" t="s">
        <v>42630</v>
      </c>
      <c r="M9299" t="s">
        <v>45656</v>
      </c>
      <c r="N9299" t="s">
        <v>47304</v>
      </c>
      <c r="O9299" t="s">
        <v>47305</v>
      </c>
      <c r="P9299">
        <v>0</v>
      </c>
      <c r="Q9299">
        <v>0</v>
      </c>
      <c r="R9299" t="s">
        <v>47313</v>
      </c>
      <c r="S9299" t="s">
        <v>47535</v>
      </c>
      <c r="T9299" t="s">
        <v>49071</v>
      </c>
      <c r="U9299" t="s">
        <v>57223</v>
      </c>
      <c r="W9299" t="s">
        <v>45656</v>
      </c>
      <c r="X9299" t="s">
        <v>47314</v>
      </c>
    </row>
    <row r="9300" spans="1:24">
      <c r="A9300">
        <f>HYPERLINK("https://www.philgeps.gov.ph/GEPSNONPILOT/Tender/SplashBidNoticeAbstractUI.aspx?menuIndex=3&amp;refID=7183714&amp;Result=3","7183714")</f>
        <v>0</v>
      </c>
      <c r="B9300" t="s">
        <v>2892</v>
      </c>
      <c r="C9300" t="s">
        <v>12619</v>
      </c>
      <c r="D9300" t="s">
        <v>19007</v>
      </c>
      <c r="E9300" t="s">
        <v>27053</v>
      </c>
      <c r="F9300" t="s">
        <v>32606</v>
      </c>
      <c r="G9300" t="s">
        <v>32613</v>
      </c>
      <c r="H9300" t="s">
        <v>32624</v>
      </c>
      <c r="I9300" t="s">
        <v>17648</v>
      </c>
      <c r="J9300" t="s">
        <v>38537</v>
      </c>
      <c r="K9300" t="s">
        <v>42757</v>
      </c>
      <c r="M9300" t="s">
        <v>46066</v>
      </c>
      <c r="N9300" t="s">
        <v>47304</v>
      </c>
      <c r="O9300" t="s">
        <v>47305</v>
      </c>
      <c r="Q9300">
        <v>0</v>
      </c>
      <c r="R9300" t="s">
        <v>47313</v>
      </c>
      <c r="S9300" t="s">
        <v>47550</v>
      </c>
      <c r="T9300" t="s">
        <v>49002</v>
      </c>
      <c r="U9300" t="s">
        <v>57224</v>
      </c>
      <c r="W9300" t="s">
        <v>46066</v>
      </c>
      <c r="X9300" t="s">
        <v>47314</v>
      </c>
    </row>
    <row r="9301" spans="1:24">
      <c r="A9301">
        <f>HYPERLINK("https://www.philgeps.gov.ph/GEPSNONPILOT/Tender/SplashBidNoticeAbstractUI.aspx?menuIndex=3&amp;refID=7183725&amp;Result=3","7183725")</f>
        <v>0</v>
      </c>
      <c r="B9301" t="s">
        <v>1917</v>
      </c>
      <c r="C9301" t="s">
        <v>12620</v>
      </c>
      <c r="D9301" t="s">
        <v>19070</v>
      </c>
      <c r="E9301" t="s">
        <v>27054</v>
      </c>
      <c r="F9301" t="s">
        <v>32606</v>
      </c>
      <c r="G9301" t="s">
        <v>32613</v>
      </c>
      <c r="H9301" t="s">
        <v>32623</v>
      </c>
      <c r="I9301" t="s">
        <v>17648</v>
      </c>
      <c r="J9301" t="s">
        <v>38538</v>
      </c>
      <c r="K9301" t="s">
        <v>42677</v>
      </c>
      <c r="M9301" t="s">
        <v>46064</v>
      </c>
      <c r="N9301" t="s">
        <v>47304</v>
      </c>
      <c r="O9301" t="s">
        <v>47305</v>
      </c>
      <c r="P9301">
        <v>0</v>
      </c>
      <c r="Q9301">
        <v>0</v>
      </c>
      <c r="R9301" t="s">
        <v>47313</v>
      </c>
      <c r="S9301" t="s">
        <v>47535</v>
      </c>
      <c r="T9301" t="s">
        <v>49071</v>
      </c>
      <c r="U9301" t="s">
        <v>57216</v>
      </c>
      <c r="W9301" t="s">
        <v>46064</v>
      </c>
      <c r="X9301" t="s">
        <v>47314</v>
      </c>
    </row>
    <row r="9302" spans="1:24">
      <c r="A9302">
        <f>HYPERLINK("https://www.philgeps.gov.ph/GEPSNONPILOT/Tender/SplashBidNoticeAbstractUI.aspx?menuIndex=3&amp;refID=7183712&amp;Result=3","7183712")</f>
        <v>0</v>
      </c>
      <c r="B9302" t="s">
        <v>2893</v>
      </c>
      <c r="C9302" t="s">
        <v>12621</v>
      </c>
      <c r="D9302" t="s">
        <v>18992</v>
      </c>
      <c r="E9302" t="s">
        <v>27055</v>
      </c>
      <c r="F9302" t="s">
        <v>32606</v>
      </c>
      <c r="G9302" t="s">
        <v>32613</v>
      </c>
      <c r="H9302" t="s">
        <v>14201</v>
      </c>
      <c r="I9302" t="s">
        <v>32634</v>
      </c>
      <c r="J9302" t="s">
        <v>38539</v>
      </c>
      <c r="K9302" t="s">
        <v>42631</v>
      </c>
      <c r="M9302" t="s">
        <v>46067</v>
      </c>
      <c r="N9302" t="s">
        <v>47304</v>
      </c>
      <c r="O9302" t="s">
        <v>47305</v>
      </c>
      <c r="P9302">
        <v>0</v>
      </c>
      <c r="Q9302">
        <v>2</v>
      </c>
      <c r="R9302" t="s">
        <v>47313</v>
      </c>
      <c r="S9302" t="s">
        <v>47535</v>
      </c>
      <c r="T9302" t="s">
        <v>49349</v>
      </c>
      <c r="U9302" t="s">
        <v>57225</v>
      </c>
      <c r="W9302" t="s">
        <v>46067</v>
      </c>
      <c r="X9302" t="s">
        <v>47315</v>
      </c>
    </row>
    <row r="9303" spans="1:24">
      <c r="A9303">
        <f>HYPERLINK("https://www.philgeps.gov.ph/GEPSNONPILOT/Tender/SplashBidNoticeAbstractUI.aspx?menuIndex=3&amp;refID=7183719&amp;Result=3","7183719")</f>
        <v>0</v>
      </c>
      <c r="B9303" t="s">
        <v>2894</v>
      </c>
      <c r="C9303" t="s">
        <v>12622</v>
      </c>
      <c r="D9303" t="s">
        <v>19007</v>
      </c>
      <c r="E9303" t="s">
        <v>27056</v>
      </c>
      <c r="F9303" t="s">
        <v>32606</v>
      </c>
      <c r="G9303" t="s">
        <v>32614</v>
      </c>
      <c r="H9303" t="s">
        <v>32624</v>
      </c>
      <c r="I9303" t="s">
        <v>17648</v>
      </c>
      <c r="J9303" t="s">
        <v>38540</v>
      </c>
      <c r="K9303" t="s">
        <v>42664</v>
      </c>
      <c r="M9303" t="s">
        <v>46068</v>
      </c>
      <c r="N9303" t="s">
        <v>47304</v>
      </c>
      <c r="O9303" t="s">
        <v>47305</v>
      </c>
      <c r="P9303">
        <v>0</v>
      </c>
      <c r="Q9303">
        <v>0</v>
      </c>
      <c r="R9303" t="s">
        <v>47313</v>
      </c>
      <c r="S9303" t="s">
        <v>47535</v>
      </c>
      <c r="T9303" t="s">
        <v>49257</v>
      </c>
      <c r="U9303" t="s">
        <v>57226</v>
      </c>
      <c r="W9303" t="s">
        <v>46068</v>
      </c>
      <c r="X9303" t="s">
        <v>47314</v>
      </c>
    </row>
    <row r="9304" spans="1:24">
      <c r="A9304">
        <f>HYPERLINK("https://www.philgeps.gov.ph/GEPSNONPILOT/Tender/SplashBidNoticeAbstractUI.aspx?menuIndex=3&amp;refID=7183697&amp;Result=3","7183697")</f>
        <v>0</v>
      </c>
      <c r="B9304" t="s">
        <v>1808</v>
      </c>
      <c r="C9304" t="s">
        <v>12623</v>
      </c>
      <c r="D9304" t="s">
        <v>19023</v>
      </c>
      <c r="E9304" t="s">
        <v>27057</v>
      </c>
      <c r="F9304" t="s">
        <v>32606</v>
      </c>
      <c r="G9304" t="s">
        <v>32613</v>
      </c>
      <c r="H9304" t="s">
        <v>14201</v>
      </c>
      <c r="I9304" t="s">
        <v>32718</v>
      </c>
      <c r="J9304" t="s">
        <v>32795</v>
      </c>
      <c r="K9304" t="s">
        <v>42636</v>
      </c>
      <c r="M9304" t="s">
        <v>44849</v>
      </c>
      <c r="N9304" t="s">
        <v>47304</v>
      </c>
      <c r="O9304" t="s">
        <v>47305</v>
      </c>
      <c r="P9304">
        <v>0</v>
      </c>
      <c r="Q9304">
        <v>9</v>
      </c>
      <c r="R9304" t="s">
        <v>47313</v>
      </c>
      <c r="S9304" t="s">
        <v>47535</v>
      </c>
      <c r="T9304" t="s">
        <v>49349</v>
      </c>
      <c r="U9304" t="s">
        <v>57227</v>
      </c>
      <c r="V9304" t="s">
        <v>63110</v>
      </c>
      <c r="W9304" t="s">
        <v>44849</v>
      </c>
      <c r="X9304" t="s">
        <v>47315</v>
      </c>
    </row>
    <row r="9305" spans="1:24">
      <c r="A9305">
        <f>HYPERLINK("https://www.philgeps.gov.ph/GEPSNONPILOT/Tender/SplashBidNoticeAbstractUI.aspx?menuIndex=3&amp;refID=7183524&amp;Result=3","7183524")</f>
        <v>0</v>
      </c>
      <c r="B9305" t="s">
        <v>2895</v>
      </c>
      <c r="C9305" t="s">
        <v>12624</v>
      </c>
      <c r="D9305" t="s">
        <v>19022</v>
      </c>
      <c r="E9305" t="s">
        <v>19690</v>
      </c>
      <c r="F9305" t="s">
        <v>32606</v>
      </c>
      <c r="G9305" t="s">
        <v>32613</v>
      </c>
      <c r="H9305" t="s">
        <v>14201</v>
      </c>
      <c r="I9305" t="s">
        <v>4120</v>
      </c>
      <c r="J9305" t="s">
        <v>38541</v>
      </c>
      <c r="K9305" t="s">
        <v>42631</v>
      </c>
      <c r="M9305" t="s">
        <v>46069</v>
      </c>
      <c r="N9305" t="s">
        <v>47304</v>
      </c>
      <c r="O9305" t="s">
        <v>47305</v>
      </c>
      <c r="P9305">
        <v>0</v>
      </c>
      <c r="Q9305">
        <v>0</v>
      </c>
      <c r="R9305" t="s">
        <v>47313</v>
      </c>
      <c r="S9305" t="s">
        <v>47535</v>
      </c>
      <c r="T9305" t="s">
        <v>48998</v>
      </c>
      <c r="U9305" t="s">
        <v>57228</v>
      </c>
      <c r="W9305" t="s">
        <v>46069</v>
      </c>
      <c r="X9305" t="s">
        <v>47315</v>
      </c>
    </row>
    <row r="9306" spans="1:24">
      <c r="A9306">
        <f>HYPERLINK("https://www.philgeps.gov.ph/GEPSNONPILOT/Tender/SplashBidNoticeAbstractUI.aspx?menuIndex=3&amp;refID=7183721&amp;Result=3","7183721")</f>
        <v>0</v>
      </c>
      <c r="B9306" t="s">
        <v>362</v>
      </c>
      <c r="C9306" t="s">
        <v>11288</v>
      </c>
      <c r="D9306" t="s">
        <v>19023</v>
      </c>
      <c r="E9306" t="s">
        <v>27058</v>
      </c>
      <c r="F9306" t="s">
        <v>32606</v>
      </c>
      <c r="G9306" t="s">
        <v>32614</v>
      </c>
      <c r="H9306" t="s">
        <v>14201</v>
      </c>
      <c r="I9306" t="s">
        <v>32629</v>
      </c>
      <c r="J9306" t="s">
        <v>38542</v>
      </c>
      <c r="K9306" t="s">
        <v>42630</v>
      </c>
      <c r="M9306" t="s">
        <v>45656</v>
      </c>
      <c r="N9306" t="s">
        <v>47304</v>
      </c>
      <c r="O9306" t="s">
        <v>47305</v>
      </c>
      <c r="P9306">
        <v>0</v>
      </c>
      <c r="Q9306">
        <v>0</v>
      </c>
      <c r="R9306" t="s">
        <v>47313</v>
      </c>
      <c r="S9306" t="s">
        <v>47535</v>
      </c>
      <c r="T9306" t="s">
        <v>49071</v>
      </c>
      <c r="U9306" t="s">
        <v>57229</v>
      </c>
      <c r="W9306" t="s">
        <v>45656</v>
      </c>
      <c r="X9306" t="s">
        <v>47314</v>
      </c>
    </row>
    <row r="9307" spans="1:24">
      <c r="A9307">
        <f>HYPERLINK("https://www.philgeps.gov.ph/GEPSNONPILOT/Tender/SplashBidNoticeAbstractUI.aspx?menuIndex=3&amp;refID=7183478&amp;Result=3","7183478")</f>
        <v>0</v>
      </c>
      <c r="B9307" t="s">
        <v>2883</v>
      </c>
      <c r="C9307" t="s">
        <v>12625</v>
      </c>
      <c r="D9307" t="s">
        <v>19057</v>
      </c>
      <c r="E9307" t="s">
        <v>27059</v>
      </c>
      <c r="F9307" t="s">
        <v>32606</v>
      </c>
      <c r="G9307" t="s">
        <v>32613</v>
      </c>
      <c r="H9307" t="s">
        <v>14201</v>
      </c>
      <c r="I9307" t="s">
        <v>32629</v>
      </c>
      <c r="J9307" t="s">
        <v>38543</v>
      </c>
      <c r="K9307" t="s">
        <v>42631</v>
      </c>
      <c r="M9307" t="s">
        <v>46056</v>
      </c>
      <c r="N9307" t="s">
        <v>47304</v>
      </c>
      <c r="O9307" t="s">
        <v>47305</v>
      </c>
      <c r="P9307">
        <v>0</v>
      </c>
      <c r="Q9307">
        <v>0</v>
      </c>
      <c r="R9307" t="s">
        <v>47313</v>
      </c>
      <c r="S9307" t="s">
        <v>47535</v>
      </c>
      <c r="T9307" t="s">
        <v>49269</v>
      </c>
      <c r="U9307" t="s">
        <v>57230</v>
      </c>
      <c r="W9307" t="s">
        <v>46056</v>
      </c>
      <c r="X9307" t="s">
        <v>47315</v>
      </c>
    </row>
    <row r="9308" spans="1:24">
      <c r="A9308">
        <f>HYPERLINK("https://www.philgeps.gov.ph/GEPSNONPILOT/Tender/SplashBidNoticeAbstractUI.aspx?menuIndex=3&amp;refID=7183699&amp;Result=3","7183699")</f>
        <v>0</v>
      </c>
      <c r="B9308" t="s">
        <v>2896</v>
      </c>
      <c r="C9308" t="s">
        <v>9857</v>
      </c>
      <c r="D9308" t="s">
        <v>19016</v>
      </c>
      <c r="E9308" t="s">
        <v>19096</v>
      </c>
      <c r="F9308" t="s">
        <v>32606</v>
      </c>
      <c r="G9308" t="s">
        <v>32613</v>
      </c>
      <c r="H9308" t="s">
        <v>14201</v>
      </c>
      <c r="I9308" t="s">
        <v>6931</v>
      </c>
      <c r="J9308" t="s">
        <v>38544</v>
      </c>
      <c r="K9308" t="s">
        <v>42630</v>
      </c>
      <c r="M9308" t="s">
        <v>46070</v>
      </c>
      <c r="N9308" t="s">
        <v>47304</v>
      </c>
      <c r="O9308" t="s">
        <v>47305</v>
      </c>
      <c r="P9308">
        <v>0</v>
      </c>
      <c r="Q9308">
        <v>1</v>
      </c>
      <c r="R9308" t="s">
        <v>47313</v>
      </c>
      <c r="S9308" t="s">
        <v>47535</v>
      </c>
      <c r="T9308" t="s">
        <v>49330</v>
      </c>
      <c r="U9308" t="s">
        <v>57231</v>
      </c>
      <c r="W9308" t="s">
        <v>46070</v>
      </c>
      <c r="X9308" t="s">
        <v>47315</v>
      </c>
    </row>
    <row r="9309" spans="1:24">
      <c r="A9309">
        <f>HYPERLINK("https://www.philgeps.gov.ph/GEPSNONPILOT/Tender/SplashBidNoticeAbstractUI.aspx?menuIndex=3&amp;refID=7183740&amp;Result=3","7183740")</f>
        <v>0</v>
      </c>
      <c r="B9309" t="s">
        <v>1917</v>
      </c>
      <c r="C9309" t="s">
        <v>12626</v>
      </c>
      <c r="D9309" t="s">
        <v>19070</v>
      </c>
      <c r="E9309" t="s">
        <v>27060</v>
      </c>
      <c r="F9309" t="s">
        <v>32606</v>
      </c>
      <c r="G9309" t="s">
        <v>32613</v>
      </c>
      <c r="H9309" t="s">
        <v>32623</v>
      </c>
      <c r="I9309" t="s">
        <v>17648</v>
      </c>
      <c r="J9309" t="s">
        <v>38545</v>
      </c>
      <c r="K9309" t="s">
        <v>42622</v>
      </c>
      <c r="M9309" t="s">
        <v>46064</v>
      </c>
      <c r="N9309" t="s">
        <v>47304</v>
      </c>
      <c r="O9309" t="s">
        <v>47305</v>
      </c>
      <c r="P9309">
        <v>0</v>
      </c>
      <c r="Q9309">
        <v>0</v>
      </c>
      <c r="R9309" t="s">
        <v>47313</v>
      </c>
      <c r="S9309" t="s">
        <v>47535</v>
      </c>
      <c r="T9309" t="s">
        <v>49071</v>
      </c>
      <c r="U9309" t="s">
        <v>57216</v>
      </c>
      <c r="W9309" t="s">
        <v>46064</v>
      </c>
      <c r="X9309" t="s">
        <v>47314</v>
      </c>
    </row>
    <row r="9310" spans="1:24">
      <c r="A9310">
        <f>HYPERLINK("https://www.philgeps.gov.ph/GEPSNONPILOT/Tender/SplashBidNoticeAbstractUI.aspx?menuIndex=3&amp;refID=7183638&amp;Result=3","7183638")</f>
        <v>0</v>
      </c>
      <c r="B9310" t="s">
        <v>652</v>
      </c>
      <c r="C9310" t="s">
        <v>12627</v>
      </c>
      <c r="D9310" t="s">
        <v>18993</v>
      </c>
      <c r="E9310" t="s">
        <v>27061</v>
      </c>
      <c r="F9310" t="s">
        <v>32606</v>
      </c>
      <c r="G9310" t="s">
        <v>32613</v>
      </c>
      <c r="H9310" t="s">
        <v>14201</v>
      </c>
      <c r="I9310" t="s">
        <v>32640</v>
      </c>
      <c r="J9310" t="s">
        <v>38546</v>
      </c>
      <c r="K9310" t="s">
        <v>42665</v>
      </c>
      <c r="M9310" t="s">
        <v>46071</v>
      </c>
      <c r="N9310" t="s">
        <v>47304</v>
      </c>
      <c r="O9310" t="s">
        <v>47305</v>
      </c>
      <c r="P9310">
        <v>0</v>
      </c>
      <c r="Q9310">
        <v>7</v>
      </c>
      <c r="R9310" t="s">
        <v>47313</v>
      </c>
      <c r="S9310" t="s">
        <v>47535</v>
      </c>
      <c r="T9310" t="s">
        <v>49351</v>
      </c>
      <c r="U9310" t="s">
        <v>57232</v>
      </c>
      <c r="V9310" t="s">
        <v>63628</v>
      </c>
      <c r="W9310" t="s">
        <v>46071</v>
      </c>
      <c r="X9310" t="s">
        <v>47315</v>
      </c>
    </row>
    <row r="9311" spans="1:24">
      <c r="A9311">
        <f>HYPERLINK("https://www.philgeps.gov.ph/GEPSNONPILOT/Tender/SplashBidNoticeAbstractUI.aspx?menuIndex=3&amp;refID=7183775&amp;Result=3","7183775")</f>
        <v>0</v>
      </c>
      <c r="B9311" t="s">
        <v>1437</v>
      </c>
      <c r="C9311" t="s">
        <v>12628</v>
      </c>
      <c r="E9311" t="s">
        <v>27062</v>
      </c>
      <c r="F9311" t="s">
        <v>32606</v>
      </c>
      <c r="G9311" t="s">
        <v>32613</v>
      </c>
      <c r="H9311" t="s">
        <v>14201</v>
      </c>
      <c r="I9311" t="s">
        <v>32655</v>
      </c>
      <c r="J9311" t="s">
        <v>38547</v>
      </c>
      <c r="K9311" t="s">
        <v>42624</v>
      </c>
      <c r="M9311" t="s">
        <v>46072</v>
      </c>
      <c r="N9311" t="s">
        <v>47304</v>
      </c>
      <c r="O9311" t="s">
        <v>47305</v>
      </c>
      <c r="P9311">
        <v>0</v>
      </c>
      <c r="Q9311">
        <v>36</v>
      </c>
      <c r="R9311" t="s">
        <v>47313</v>
      </c>
      <c r="S9311" t="s">
        <v>47535</v>
      </c>
      <c r="T9311" t="s">
        <v>49234</v>
      </c>
      <c r="U9311" t="s">
        <v>57233</v>
      </c>
      <c r="W9311" t="s">
        <v>46072</v>
      </c>
      <c r="X9311" t="s">
        <v>47314</v>
      </c>
    </row>
    <row r="9312" spans="1:24">
      <c r="A9312">
        <f>HYPERLINK("https://www.philgeps.gov.ph/GEPSNONPILOT/Tender/SplashBidNoticeAbstractUI.aspx?menuIndex=3&amp;refID=7183495&amp;Result=3","7183495")</f>
        <v>0</v>
      </c>
      <c r="B9312" t="s">
        <v>2883</v>
      </c>
      <c r="C9312" t="s">
        <v>12629</v>
      </c>
      <c r="D9312" t="s">
        <v>19057</v>
      </c>
      <c r="E9312" t="s">
        <v>27063</v>
      </c>
      <c r="F9312" t="s">
        <v>32606</v>
      </c>
      <c r="G9312" t="s">
        <v>32613</v>
      </c>
      <c r="H9312" t="s">
        <v>14201</v>
      </c>
      <c r="I9312" t="s">
        <v>32706</v>
      </c>
      <c r="J9312" t="s">
        <v>36766</v>
      </c>
      <c r="K9312" t="s">
        <v>42623</v>
      </c>
      <c r="M9312" t="s">
        <v>46056</v>
      </c>
      <c r="N9312" t="s">
        <v>47304</v>
      </c>
      <c r="O9312" t="s">
        <v>47305</v>
      </c>
      <c r="P9312">
        <v>0</v>
      </c>
      <c r="Q9312">
        <v>0</v>
      </c>
      <c r="R9312" t="s">
        <v>47313</v>
      </c>
      <c r="S9312" t="s">
        <v>47535</v>
      </c>
      <c r="T9312" t="s">
        <v>49269</v>
      </c>
      <c r="U9312" t="s">
        <v>57230</v>
      </c>
      <c r="W9312" t="s">
        <v>46056</v>
      </c>
      <c r="X9312" t="s">
        <v>47315</v>
      </c>
    </row>
    <row r="9313" spans="1:24">
      <c r="A9313">
        <f>HYPERLINK("https://www.philgeps.gov.ph/GEPSNONPILOT/Tender/SplashBidNoticeAbstractUI.aspx?menuIndex=3&amp;refID=7183771&amp;Result=3","7183771")</f>
        <v>0</v>
      </c>
      <c r="B9313" t="s">
        <v>2897</v>
      </c>
      <c r="C9313" t="s">
        <v>12630</v>
      </c>
      <c r="D9313" t="s">
        <v>18988</v>
      </c>
      <c r="E9313" t="s">
        <v>19096</v>
      </c>
      <c r="F9313" t="s">
        <v>32608</v>
      </c>
      <c r="G9313" t="s">
        <v>32613</v>
      </c>
      <c r="H9313" t="s">
        <v>14201</v>
      </c>
      <c r="I9313" t="s">
        <v>32650</v>
      </c>
      <c r="J9313" t="s">
        <v>38548</v>
      </c>
      <c r="K9313" t="s">
        <v>42630</v>
      </c>
      <c r="M9313" t="s">
        <v>46073</v>
      </c>
      <c r="N9313" t="s">
        <v>47304</v>
      </c>
      <c r="O9313" t="s">
        <v>47305</v>
      </c>
      <c r="P9313">
        <v>0</v>
      </c>
      <c r="Q9313">
        <v>1</v>
      </c>
      <c r="R9313" t="s">
        <v>47313</v>
      </c>
      <c r="S9313" t="s">
        <v>47535</v>
      </c>
      <c r="T9313" t="s">
        <v>49240</v>
      </c>
      <c r="U9313" t="s">
        <v>57234</v>
      </c>
      <c r="W9313" t="s">
        <v>46073</v>
      </c>
      <c r="X9313" t="s">
        <v>47314</v>
      </c>
    </row>
    <row r="9314" spans="1:24">
      <c r="A9314">
        <f>HYPERLINK("https://www.philgeps.gov.ph/GEPSNONPILOT/Tender/SplashBidNoticeAbstractUI.aspx?menuIndex=3&amp;refID=7183765&amp;Result=3","7183765")</f>
        <v>0</v>
      </c>
      <c r="B9314" t="s">
        <v>2898</v>
      </c>
      <c r="C9314" t="s">
        <v>12378</v>
      </c>
      <c r="D9314" t="s">
        <v>19022</v>
      </c>
      <c r="E9314" t="s">
        <v>27064</v>
      </c>
      <c r="F9314" t="s">
        <v>32606</v>
      </c>
      <c r="G9314" t="s">
        <v>32613</v>
      </c>
      <c r="H9314" t="s">
        <v>14201</v>
      </c>
      <c r="I9314" t="s">
        <v>7064</v>
      </c>
      <c r="J9314" t="s">
        <v>38549</v>
      </c>
      <c r="K9314" t="s">
        <v>42636</v>
      </c>
      <c r="M9314" t="s">
        <v>46074</v>
      </c>
      <c r="N9314" t="s">
        <v>47304</v>
      </c>
      <c r="O9314" t="s">
        <v>47305</v>
      </c>
      <c r="P9314">
        <v>0</v>
      </c>
      <c r="Q9314">
        <v>3</v>
      </c>
      <c r="R9314" t="s">
        <v>47313</v>
      </c>
      <c r="S9314" t="s">
        <v>47535</v>
      </c>
      <c r="T9314" t="s">
        <v>49101</v>
      </c>
      <c r="U9314" t="s">
        <v>57235</v>
      </c>
      <c r="V9314" t="s">
        <v>63629</v>
      </c>
      <c r="W9314" t="s">
        <v>46074</v>
      </c>
      <c r="X9314" t="s">
        <v>47314</v>
      </c>
    </row>
    <row r="9315" spans="1:24">
      <c r="A9315">
        <f>HYPERLINK("https://www.philgeps.gov.ph/GEPSNONPILOT/Tender/SplashBidNoticeAbstractUI.aspx?menuIndex=3&amp;refID=7183465&amp;Result=3","7183465")</f>
        <v>0</v>
      </c>
      <c r="B9315" t="s">
        <v>2883</v>
      </c>
      <c r="C9315" t="s">
        <v>12631</v>
      </c>
      <c r="D9315" t="s">
        <v>19057</v>
      </c>
      <c r="E9315" t="s">
        <v>27065</v>
      </c>
      <c r="F9315" t="s">
        <v>32606</v>
      </c>
      <c r="G9315" t="s">
        <v>32613</v>
      </c>
      <c r="H9315" t="s">
        <v>14201</v>
      </c>
      <c r="I9315" t="s">
        <v>4678</v>
      </c>
      <c r="J9315" t="s">
        <v>35435</v>
      </c>
      <c r="K9315" t="s">
        <v>42623</v>
      </c>
      <c r="M9315" t="s">
        <v>46056</v>
      </c>
      <c r="N9315" t="s">
        <v>47304</v>
      </c>
      <c r="O9315" t="s">
        <v>47305</v>
      </c>
      <c r="P9315">
        <v>0</v>
      </c>
      <c r="Q9315">
        <v>10</v>
      </c>
      <c r="R9315" t="s">
        <v>47313</v>
      </c>
      <c r="S9315" t="s">
        <v>47535</v>
      </c>
      <c r="T9315" t="s">
        <v>49269</v>
      </c>
      <c r="U9315" t="s">
        <v>57230</v>
      </c>
      <c r="W9315" t="s">
        <v>46056</v>
      </c>
      <c r="X9315" t="s">
        <v>47315</v>
      </c>
    </row>
    <row r="9316" spans="1:24">
      <c r="A9316">
        <f>HYPERLINK("https://www.philgeps.gov.ph/GEPSNONPILOT/Tender/SplashBidNoticeAbstractUI.aspx?menuIndex=3&amp;refID=7183759&amp;Result=3","7183759")</f>
        <v>0</v>
      </c>
      <c r="B9316" t="s">
        <v>2899</v>
      </c>
      <c r="C9316" t="s">
        <v>12632</v>
      </c>
      <c r="D9316" t="s">
        <v>19016</v>
      </c>
      <c r="E9316" t="s">
        <v>19145</v>
      </c>
      <c r="F9316" t="s">
        <v>32606</v>
      </c>
      <c r="G9316" t="s">
        <v>32613</v>
      </c>
      <c r="H9316" t="s">
        <v>32623</v>
      </c>
      <c r="I9316" t="s">
        <v>17648</v>
      </c>
      <c r="J9316" t="s">
        <v>32923</v>
      </c>
      <c r="K9316" t="s">
        <v>42631</v>
      </c>
      <c r="M9316" t="s">
        <v>46075</v>
      </c>
      <c r="N9316" t="s">
        <v>47304</v>
      </c>
      <c r="O9316" t="s">
        <v>47305</v>
      </c>
      <c r="P9316">
        <v>0</v>
      </c>
      <c r="Q9316">
        <v>2</v>
      </c>
      <c r="R9316" t="s">
        <v>47313</v>
      </c>
      <c r="S9316" t="s">
        <v>47535</v>
      </c>
      <c r="T9316" t="s">
        <v>48997</v>
      </c>
      <c r="U9316" t="s">
        <v>57236</v>
      </c>
      <c r="V9316" t="s">
        <v>63630</v>
      </c>
      <c r="W9316" t="s">
        <v>46075</v>
      </c>
      <c r="X9316" t="s">
        <v>47314</v>
      </c>
    </row>
    <row r="9317" spans="1:24">
      <c r="A9317">
        <f>HYPERLINK("https://www.philgeps.gov.ph/GEPSNONPILOT/Tender/SplashBidNoticeAbstractUI.aspx?menuIndex=3&amp;refID=7183756&amp;Result=3","7183756")</f>
        <v>0</v>
      </c>
      <c r="B9317" t="s">
        <v>56</v>
      </c>
      <c r="C9317" t="s">
        <v>12633</v>
      </c>
      <c r="D9317" t="s">
        <v>19009</v>
      </c>
      <c r="E9317" t="s">
        <v>27066</v>
      </c>
      <c r="F9317" t="s">
        <v>32606</v>
      </c>
      <c r="G9317" t="s">
        <v>32613</v>
      </c>
      <c r="H9317" t="s">
        <v>32623</v>
      </c>
      <c r="I9317" t="s">
        <v>17648</v>
      </c>
      <c r="J9317" t="s">
        <v>32765</v>
      </c>
      <c r="K9317" t="s">
        <v>42623</v>
      </c>
      <c r="M9317" t="s">
        <v>42953</v>
      </c>
      <c r="N9317" t="s">
        <v>47304</v>
      </c>
      <c r="O9317" t="s">
        <v>47305</v>
      </c>
      <c r="P9317">
        <v>0</v>
      </c>
      <c r="Q9317">
        <v>0</v>
      </c>
      <c r="R9317" t="s">
        <v>47313</v>
      </c>
      <c r="S9317" t="s">
        <v>47535</v>
      </c>
      <c r="T9317" t="s">
        <v>49268</v>
      </c>
      <c r="U9317" t="s">
        <v>57237</v>
      </c>
      <c r="W9317" t="s">
        <v>42953</v>
      </c>
      <c r="X9317" t="s">
        <v>47314</v>
      </c>
    </row>
    <row r="9318" spans="1:24">
      <c r="A9318">
        <f>HYPERLINK("https://www.philgeps.gov.ph/GEPSNONPILOT/Tender/SplashBidNoticeAbstractUI.aspx?menuIndex=3&amp;refID=7183739&amp;Result=3","7183739")</f>
        <v>0</v>
      </c>
      <c r="B9318" t="s">
        <v>1917</v>
      </c>
      <c r="C9318" t="s">
        <v>12634</v>
      </c>
      <c r="D9318" t="s">
        <v>19070</v>
      </c>
      <c r="E9318" t="s">
        <v>27067</v>
      </c>
      <c r="F9318" t="s">
        <v>32606</v>
      </c>
      <c r="G9318" t="s">
        <v>32613</v>
      </c>
      <c r="H9318" t="s">
        <v>32623</v>
      </c>
      <c r="I9318" t="s">
        <v>17648</v>
      </c>
      <c r="J9318" t="s">
        <v>38550</v>
      </c>
      <c r="K9318" t="s">
        <v>42627</v>
      </c>
      <c r="M9318" t="s">
        <v>46064</v>
      </c>
      <c r="N9318" t="s">
        <v>47304</v>
      </c>
      <c r="O9318" t="s">
        <v>47305</v>
      </c>
      <c r="P9318">
        <v>0</v>
      </c>
      <c r="Q9318">
        <v>0</v>
      </c>
      <c r="R9318" t="s">
        <v>47313</v>
      </c>
      <c r="S9318" t="s">
        <v>47535</v>
      </c>
      <c r="T9318" t="s">
        <v>49071</v>
      </c>
      <c r="U9318" t="s">
        <v>57216</v>
      </c>
      <c r="W9318" t="s">
        <v>46064</v>
      </c>
      <c r="X9318" t="s">
        <v>47314</v>
      </c>
    </row>
    <row r="9319" spans="1:24">
      <c r="A9319">
        <f>HYPERLINK("https://www.philgeps.gov.ph/GEPSNONPILOT/Tender/SplashBidNoticeAbstractUI.aspx?menuIndex=3&amp;refID=7183738&amp;Result=3","7183738")</f>
        <v>0</v>
      </c>
      <c r="B9319" t="s">
        <v>1917</v>
      </c>
      <c r="C9319" t="s">
        <v>12635</v>
      </c>
      <c r="D9319" t="s">
        <v>19070</v>
      </c>
      <c r="E9319" t="s">
        <v>27068</v>
      </c>
      <c r="F9319" t="s">
        <v>32606</v>
      </c>
      <c r="G9319" t="s">
        <v>32613</v>
      </c>
      <c r="H9319" t="s">
        <v>32623</v>
      </c>
      <c r="I9319" t="s">
        <v>17648</v>
      </c>
      <c r="J9319" t="s">
        <v>38551</v>
      </c>
      <c r="K9319" t="s">
        <v>42622</v>
      </c>
      <c r="M9319" t="s">
        <v>46064</v>
      </c>
      <c r="N9319" t="s">
        <v>47304</v>
      </c>
      <c r="O9319" t="s">
        <v>47305</v>
      </c>
      <c r="P9319">
        <v>0</v>
      </c>
      <c r="Q9319">
        <v>0</v>
      </c>
      <c r="R9319" t="s">
        <v>47313</v>
      </c>
      <c r="S9319" t="s">
        <v>47535</v>
      </c>
      <c r="T9319" t="s">
        <v>49071</v>
      </c>
      <c r="U9319" t="s">
        <v>57216</v>
      </c>
      <c r="W9319" t="s">
        <v>46064</v>
      </c>
      <c r="X9319" t="s">
        <v>47314</v>
      </c>
    </row>
    <row r="9320" spans="1:24">
      <c r="A9320">
        <f>HYPERLINK("https://www.philgeps.gov.ph/GEPSNONPILOT/Tender/SplashBidNoticeAbstractUI.aspx?menuIndex=3&amp;refID=7183762&amp;Result=3","7183762")</f>
        <v>0</v>
      </c>
      <c r="B9320" t="s">
        <v>2900</v>
      </c>
      <c r="C9320" t="s">
        <v>12636</v>
      </c>
      <c r="D9320" t="s">
        <v>18988</v>
      </c>
      <c r="E9320" t="s">
        <v>19522</v>
      </c>
      <c r="F9320" t="s">
        <v>32608</v>
      </c>
      <c r="G9320" t="s">
        <v>32613</v>
      </c>
      <c r="H9320" t="s">
        <v>14201</v>
      </c>
      <c r="I9320" t="s">
        <v>6931</v>
      </c>
      <c r="J9320" t="s">
        <v>32778</v>
      </c>
      <c r="K9320" t="s">
        <v>42630</v>
      </c>
      <c r="M9320" t="s">
        <v>46076</v>
      </c>
      <c r="N9320" t="s">
        <v>47304</v>
      </c>
      <c r="O9320" t="s">
        <v>47305</v>
      </c>
      <c r="P9320">
        <v>0</v>
      </c>
      <c r="Q9320">
        <v>0</v>
      </c>
      <c r="R9320" t="s">
        <v>47313</v>
      </c>
      <c r="S9320" t="s">
        <v>47535</v>
      </c>
      <c r="T9320" t="s">
        <v>48970</v>
      </c>
      <c r="U9320" t="s">
        <v>57238</v>
      </c>
      <c r="W9320" t="s">
        <v>46076</v>
      </c>
      <c r="X9320" t="s">
        <v>47314</v>
      </c>
    </row>
    <row r="9321" spans="1:24">
      <c r="A9321">
        <f>HYPERLINK("https://www.philgeps.gov.ph/GEPSNONPILOT/Tender/SplashBidNoticeAbstractUI.aspx?menuIndex=3&amp;refID=7183772&amp;Result=3","7183772")</f>
        <v>0</v>
      </c>
      <c r="B9321" t="s">
        <v>2901</v>
      </c>
      <c r="C9321" t="s">
        <v>12637</v>
      </c>
      <c r="D9321" t="s">
        <v>18988</v>
      </c>
      <c r="E9321" t="s">
        <v>19522</v>
      </c>
      <c r="F9321" t="s">
        <v>32608</v>
      </c>
      <c r="G9321" t="s">
        <v>32613</v>
      </c>
      <c r="H9321" t="s">
        <v>14201</v>
      </c>
      <c r="I9321" t="s">
        <v>32626</v>
      </c>
      <c r="J9321" t="s">
        <v>36517</v>
      </c>
      <c r="K9321" t="s">
        <v>42630</v>
      </c>
      <c r="M9321" t="s">
        <v>46077</v>
      </c>
      <c r="N9321" t="s">
        <v>47304</v>
      </c>
      <c r="O9321" t="s">
        <v>47305</v>
      </c>
      <c r="P9321">
        <v>0</v>
      </c>
      <c r="Q9321">
        <v>1</v>
      </c>
      <c r="R9321" t="s">
        <v>47313</v>
      </c>
      <c r="S9321" t="s">
        <v>47535</v>
      </c>
      <c r="T9321" t="s">
        <v>49116</v>
      </c>
      <c r="U9321" t="s">
        <v>57239</v>
      </c>
      <c r="W9321" t="s">
        <v>46077</v>
      </c>
      <c r="X9321" t="s">
        <v>47314</v>
      </c>
    </row>
    <row r="9322" spans="1:24">
      <c r="A9322">
        <f>HYPERLINK("https://www.philgeps.gov.ph/GEPSNONPILOT/Tender/SplashBidNoticeAbstractUI.aspx?menuIndex=3&amp;refID=7183769&amp;Result=3","7183769")</f>
        <v>0</v>
      </c>
      <c r="B9322" t="s">
        <v>56</v>
      </c>
      <c r="C9322" t="s">
        <v>12638</v>
      </c>
      <c r="D9322" t="s">
        <v>19009</v>
      </c>
      <c r="E9322" t="s">
        <v>27069</v>
      </c>
      <c r="F9322" t="s">
        <v>32606</v>
      </c>
      <c r="G9322" t="s">
        <v>32613</v>
      </c>
      <c r="H9322" t="s">
        <v>14201</v>
      </c>
      <c r="I9322" t="s">
        <v>7064</v>
      </c>
      <c r="J9322" t="s">
        <v>32778</v>
      </c>
      <c r="K9322" t="s">
        <v>42622</v>
      </c>
      <c r="M9322" t="s">
        <v>42953</v>
      </c>
      <c r="N9322" t="s">
        <v>47304</v>
      </c>
      <c r="O9322" t="s">
        <v>47305</v>
      </c>
      <c r="P9322">
        <v>0</v>
      </c>
      <c r="Q9322">
        <v>0</v>
      </c>
      <c r="R9322" t="s">
        <v>47313</v>
      </c>
      <c r="S9322" t="s">
        <v>47535</v>
      </c>
      <c r="T9322" t="s">
        <v>49268</v>
      </c>
      <c r="U9322" t="s">
        <v>57240</v>
      </c>
      <c r="W9322" t="s">
        <v>42953</v>
      </c>
      <c r="X9322" t="s">
        <v>47314</v>
      </c>
    </row>
    <row r="9323" spans="1:24">
      <c r="A9323">
        <f>HYPERLINK("https://www.philgeps.gov.ph/GEPSNONPILOT/Tender/SplashBidNoticeAbstractUI.aspx?menuIndex=3&amp;refID=7183736&amp;Result=3","7183736")</f>
        <v>0</v>
      </c>
      <c r="B9323" t="s">
        <v>1917</v>
      </c>
      <c r="C9323" t="s">
        <v>12639</v>
      </c>
      <c r="D9323" t="s">
        <v>19070</v>
      </c>
      <c r="E9323" t="s">
        <v>27070</v>
      </c>
      <c r="F9323" t="s">
        <v>32606</v>
      </c>
      <c r="G9323" t="s">
        <v>32613</v>
      </c>
      <c r="H9323" t="s">
        <v>32623</v>
      </c>
      <c r="I9323" t="s">
        <v>17648</v>
      </c>
      <c r="J9323" t="s">
        <v>38552</v>
      </c>
      <c r="K9323" t="s">
        <v>42622</v>
      </c>
      <c r="M9323" t="s">
        <v>46064</v>
      </c>
      <c r="N9323" t="s">
        <v>47304</v>
      </c>
      <c r="O9323" t="s">
        <v>47305</v>
      </c>
      <c r="P9323">
        <v>0</v>
      </c>
      <c r="Q9323">
        <v>0</v>
      </c>
      <c r="R9323" t="s">
        <v>47313</v>
      </c>
      <c r="S9323" t="s">
        <v>47535</v>
      </c>
      <c r="T9323" t="s">
        <v>49071</v>
      </c>
      <c r="U9323" t="s">
        <v>57216</v>
      </c>
      <c r="W9323" t="s">
        <v>46064</v>
      </c>
      <c r="X9323" t="s">
        <v>47314</v>
      </c>
    </row>
    <row r="9324" spans="1:24">
      <c r="A9324">
        <f>HYPERLINK("https://www.philgeps.gov.ph/GEPSNONPILOT/Tender/SplashBidNoticeAbstractUI.aspx?menuIndex=3&amp;refID=7183734&amp;Result=3","7183734")</f>
        <v>0</v>
      </c>
      <c r="B9324" t="s">
        <v>1917</v>
      </c>
      <c r="C9324" t="s">
        <v>12640</v>
      </c>
      <c r="D9324" t="s">
        <v>19070</v>
      </c>
      <c r="E9324" t="s">
        <v>27071</v>
      </c>
      <c r="F9324" t="s">
        <v>32606</v>
      </c>
      <c r="G9324" t="s">
        <v>32613</v>
      </c>
      <c r="H9324" t="s">
        <v>32623</v>
      </c>
      <c r="I9324" t="s">
        <v>17648</v>
      </c>
      <c r="J9324" t="s">
        <v>38553</v>
      </c>
      <c r="K9324" t="s">
        <v>42623</v>
      </c>
      <c r="M9324" t="s">
        <v>46064</v>
      </c>
      <c r="N9324" t="s">
        <v>47304</v>
      </c>
      <c r="O9324" t="s">
        <v>47305</v>
      </c>
      <c r="P9324">
        <v>0</v>
      </c>
      <c r="Q9324">
        <v>0</v>
      </c>
      <c r="R9324" t="s">
        <v>47313</v>
      </c>
      <c r="S9324" t="s">
        <v>47535</v>
      </c>
      <c r="T9324" t="s">
        <v>49071</v>
      </c>
      <c r="U9324" t="s">
        <v>57216</v>
      </c>
      <c r="W9324" t="s">
        <v>46064</v>
      </c>
      <c r="X9324" t="s">
        <v>47314</v>
      </c>
    </row>
    <row r="9325" spans="1:24">
      <c r="A9325">
        <f>HYPERLINK("https://www.philgeps.gov.ph/GEPSNONPILOT/Tender/SplashBidNoticeAbstractUI.aspx?menuIndex=3&amp;refID=7183716&amp;Result=3","7183716")</f>
        <v>0</v>
      </c>
      <c r="B9325" t="s">
        <v>2902</v>
      </c>
      <c r="C9325" t="s">
        <v>12641</v>
      </c>
      <c r="D9325" t="s">
        <v>19007</v>
      </c>
      <c r="E9325" t="s">
        <v>27072</v>
      </c>
      <c r="F9325" t="s">
        <v>32606</v>
      </c>
      <c r="G9325" t="s">
        <v>32613</v>
      </c>
      <c r="H9325" t="s">
        <v>32624</v>
      </c>
      <c r="I9325" t="s">
        <v>17648</v>
      </c>
      <c r="J9325" t="s">
        <v>38554</v>
      </c>
      <c r="K9325" t="s">
        <v>42757</v>
      </c>
      <c r="M9325" t="s">
        <v>46078</v>
      </c>
      <c r="N9325" t="s">
        <v>47304</v>
      </c>
      <c r="O9325" t="s">
        <v>47305</v>
      </c>
      <c r="Q9325">
        <v>0</v>
      </c>
      <c r="R9325" t="s">
        <v>47313</v>
      </c>
      <c r="S9325" t="s">
        <v>47551</v>
      </c>
      <c r="T9325" t="s">
        <v>49002</v>
      </c>
      <c r="U9325" t="s">
        <v>57241</v>
      </c>
      <c r="W9325" t="s">
        <v>46078</v>
      </c>
      <c r="X9325" t="s">
        <v>47314</v>
      </c>
    </row>
    <row r="9326" spans="1:24">
      <c r="A9326">
        <f>HYPERLINK("https://www.philgeps.gov.ph/GEPSNONPILOT/Tender/SplashBidNoticeAbstractUI.aspx?menuIndex=3&amp;refID=7183720&amp;Result=3","7183720")</f>
        <v>0</v>
      </c>
      <c r="B9326" t="s">
        <v>1917</v>
      </c>
      <c r="C9326" t="s">
        <v>12642</v>
      </c>
      <c r="D9326" t="s">
        <v>19070</v>
      </c>
      <c r="E9326" t="s">
        <v>27073</v>
      </c>
      <c r="F9326" t="s">
        <v>32606</v>
      </c>
      <c r="G9326" t="s">
        <v>32613</v>
      </c>
      <c r="H9326" t="s">
        <v>32623</v>
      </c>
      <c r="I9326" t="s">
        <v>17648</v>
      </c>
      <c r="J9326" t="s">
        <v>38555</v>
      </c>
      <c r="K9326" t="s">
        <v>42623</v>
      </c>
      <c r="M9326" t="s">
        <v>46064</v>
      </c>
      <c r="N9326" t="s">
        <v>47304</v>
      </c>
      <c r="O9326" t="s">
        <v>47305</v>
      </c>
      <c r="P9326">
        <v>0</v>
      </c>
      <c r="Q9326">
        <v>0</v>
      </c>
      <c r="R9326" t="s">
        <v>47313</v>
      </c>
      <c r="S9326" t="s">
        <v>47535</v>
      </c>
      <c r="T9326" t="s">
        <v>49071</v>
      </c>
      <c r="U9326" t="s">
        <v>57216</v>
      </c>
      <c r="W9326" t="s">
        <v>46064</v>
      </c>
      <c r="X9326" t="s">
        <v>47314</v>
      </c>
    </row>
    <row r="9327" spans="1:24">
      <c r="A9327">
        <f>HYPERLINK("https://www.philgeps.gov.ph/GEPSNONPILOT/Tender/SplashBidNoticeAbstractUI.aspx?menuIndex=3&amp;refID=7183737&amp;Result=3","7183737")</f>
        <v>0</v>
      </c>
      <c r="B9327" t="s">
        <v>1917</v>
      </c>
      <c r="C9327" t="s">
        <v>12643</v>
      </c>
      <c r="D9327" t="s">
        <v>19070</v>
      </c>
      <c r="E9327" t="s">
        <v>27074</v>
      </c>
      <c r="F9327" t="s">
        <v>32606</v>
      </c>
      <c r="G9327" t="s">
        <v>32613</v>
      </c>
      <c r="H9327" t="s">
        <v>32623</v>
      </c>
      <c r="I9327" t="s">
        <v>17648</v>
      </c>
      <c r="J9327" t="s">
        <v>38556</v>
      </c>
      <c r="K9327" t="s">
        <v>42627</v>
      </c>
      <c r="M9327" t="s">
        <v>46064</v>
      </c>
      <c r="N9327" t="s">
        <v>47304</v>
      </c>
      <c r="O9327" t="s">
        <v>47305</v>
      </c>
      <c r="P9327">
        <v>0</v>
      </c>
      <c r="Q9327">
        <v>0</v>
      </c>
      <c r="R9327" t="s">
        <v>47313</v>
      </c>
      <c r="S9327" t="s">
        <v>47535</v>
      </c>
      <c r="T9327" t="s">
        <v>49071</v>
      </c>
      <c r="U9327" t="s">
        <v>57216</v>
      </c>
      <c r="W9327" t="s">
        <v>46064</v>
      </c>
      <c r="X9327" t="s">
        <v>47314</v>
      </c>
    </row>
    <row r="9328" spans="1:24">
      <c r="A9328">
        <f>HYPERLINK("https://www.philgeps.gov.ph/GEPSNONPILOT/Tender/SplashBidNoticeAbstractUI.aspx?menuIndex=3&amp;refID=7183863&amp;Result=3","7183863")</f>
        <v>0</v>
      </c>
      <c r="B9328" t="s">
        <v>1854</v>
      </c>
      <c r="C9328" t="s">
        <v>12644</v>
      </c>
      <c r="D9328" t="s">
        <v>19034</v>
      </c>
      <c r="E9328" t="s">
        <v>27075</v>
      </c>
      <c r="F9328" t="s">
        <v>32606</v>
      </c>
      <c r="G9328" t="s">
        <v>32613</v>
      </c>
      <c r="H9328" t="s">
        <v>32623</v>
      </c>
      <c r="I9328" t="s">
        <v>17648</v>
      </c>
      <c r="J9328" t="s">
        <v>33263</v>
      </c>
      <c r="K9328" t="s">
        <v>42623</v>
      </c>
      <c r="M9328" t="s">
        <v>44908</v>
      </c>
      <c r="N9328" t="s">
        <v>47304</v>
      </c>
      <c r="O9328" t="s">
        <v>47305</v>
      </c>
      <c r="P9328">
        <v>0</v>
      </c>
      <c r="Q9328">
        <v>2</v>
      </c>
      <c r="R9328" t="s">
        <v>47313</v>
      </c>
      <c r="S9328" t="s">
        <v>47535</v>
      </c>
      <c r="T9328" t="s">
        <v>49075</v>
      </c>
      <c r="U9328" t="s">
        <v>57242</v>
      </c>
      <c r="W9328" t="s">
        <v>44908</v>
      </c>
      <c r="X9328" t="s">
        <v>47314</v>
      </c>
    </row>
    <row r="9329" spans="1:24">
      <c r="A9329">
        <f>HYPERLINK("https://www.philgeps.gov.ph/GEPSNONPILOT/Tender/SplashBidNoticeAbstractUI.aspx?menuIndex=3&amp;refID=7183858&amp;Result=3","7183858")</f>
        <v>0</v>
      </c>
      <c r="B9329" t="s">
        <v>2018</v>
      </c>
      <c r="C9329" t="s">
        <v>12645</v>
      </c>
      <c r="D9329" t="s">
        <v>19002</v>
      </c>
      <c r="E9329" t="s">
        <v>27076</v>
      </c>
      <c r="F9329" t="s">
        <v>32606</v>
      </c>
      <c r="G9329" t="s">
        <v>32613</v>
      </c>
      <c r="H9329" t="s">
        <v>14201</v>
      </c>
      <c r="I9329" t="s">
        <v>32635</v>
      </c>
      <c r="J9329" t="s">
        <v>38557</v>
      </c>
      <c r="K9329" t="s">
        <v>42631</v>
      </c>
      <c r="M9329" t="s">
        <v>45091</v>
      </c>
      <c r="N9329" t="s">
        <v>47304</v>
      </c>
      <c r="O9329" t="s">
        <v>47305</v>
      </c>
      <c r="P9329">
        <v>0</v>
      </c>
      <c r="Q9329">
        <v>10</v>
      </c>
      <c r="R9329" t="s">
        <v>47313</v>
      </c>
      <c r="S9329" t="s">
        <v>47535</v>
      </c>
      <c r="T9329" t="s">
        <v>49413</v>
      </c>
      <c r="U9329" t="s">
        <v>50046</v>
      </c>
      <c r="V9329" t="s">
        <v>63631</v>
      </c>
      <c r="W9329" t="s">
        <v>45091</v>
      </c>
      <c r="X9329" t="s">
        <v>47314</v>
      </c>
    </row>
    <row r="9330" spans="1:24">
      <c r="A9330">
        <f>HYPERLINK("https://www.philgeps.gov.ph/GEPSNONPILOT/Tender/SplashBidNoticeAbstractUI.aspx?menuIndex=3&amp;refID=7183864&amp;Result=3","7183864")</f>
        <v>0</v>
      </c>
      <c r="B9330" t="s">
        <v>2903</v>
      </c>
      <c r="C9330" t="s">
        <v>12646</v>
      </c>
      <c r="D9330" t="s">
        <v>18989</v>
      </c>
      <c r="E9330" t="s">
        <v>19809</v>
      </c>
      <c r="F9330" t="s">
        <v>32606</v>
      </c>
      <c r="G9330" t="s">
        <v>32613</v>
      </c>
      <c r="H9330" t="s">
        <v>14201</v>
      </c>
      <c r="I9330" t="s">
        <v>6931</v>
      </c>
      <c r="J9330" t="s">
        <v>33102</v>
      </c>
      <c r="K9330" t="s">
        <v>42636</v>
      </c>
      <c r="M9330" t="s">
        <v>46079</v>
      </c>
      <c r="N9330" t="s">
        <v>47304</v>
      </c>
      <c r="O9330" t="s">
        <v>47305</v>
      </c>
      <c r="P9330">
        <v>0</v>
      </c>
      <c r="Q9330">
        <v>1</v>
      </c>
      <c r="R9330" t="s">
        <v>47313</v>
      </c>
      <c r="S9330" t="s">
        <v>47535</v>
      </c>
      <c r="T9330" t="s">
        <v>49020</v>
      </c>
      <c r="U9330" t="s">
        <v>57243</v>
      </c>
      <c r="W9330" t="s">
        <v>46079</v>
      </c>
      <c r="X9330" t="s">
        <v>47314</v>
      </c>
    </row>
    <row r="9331" spans="1:24">
      <c r="A9331">
        <f>HYPERLINK("https://www.philgeps.gov.ph/GEPSNONPILOT/Tender/SplashBidNoticeAbstractUI.aspx?menuIndex=3&amp;refID=7183851&amp;Result=3","7183851")</f>
        <v>0</v>
      </c>
      <c r="B9331" t="s">
        <v>1687</v>
      </c>
      <c r="C9331" t="s">
        <v>12647</v>
      </c>
      <c r="D9331" t="s">
        <v>19008</v>
      </c>
      <c r="E9331" t="s">
        <v>27077</v>
      </c>
      <c r="F9331" t="s">
        <v>32606</v>
      </c>
      <c r="G9331" t="s">
        <v>32613</v>
      </c>
      <c r="H9331" t="s">
        <v>32623</v>
      </c>
      <c r="I9331" t="s">
        <v>17648</v>
      </c>
      <c r="J9331" t="s">
        <v>38558</v>
      </c>
      <c r="K9331" t="s">
        <v>42636</v>
      </c>
      <c r="M9331" t="s">
        <v>44716</v>
      </c>
      <c r="N9331" t="s">
        <v>47304</v>
      </c>
      <c r="O9331" t="s">
        <v>47305</v>
      </c>
      <c r="Q9331">
        <v>3</v>
      </c>
      <c r="R9331" t="s">
        <v>47313</v>
      </c>
      <c r="S9331" t="s">
        <v>47552</v>
      </c>
      <c r="T9331" t="s">
        <v>49024</v>
      </c>
      <c r="U9331" t="s">
        <v>57244</v>
      </c>
      <c r="W9331" t="s">
        <v>44716</v>
      </c>
      <c r="X9331" t="s">
        <v>47314</v>
      </c>
    </row>
    <row r="9332" spans="1:24">
      <c r="A9332">
        <f>HYPERLINK("https://www.philgeps.gov.ph/GEPSNONPILOT/Tender/SplashBidNoticeAbstractUI.aspx?menuIndex=3&amp;refID=7183057&amp;Result=3","7183057")</f>
        <v>0</v>
      </c>
      <c r="B9332" t="s">
        <v>776</v>
      </c>
      <c r="C9332" t="s">
        <v>12648</v>
      </c>
      <c r="D9332" t="s">
        <v>19003</v>
      </c>
      <c r="E9332" t="s">
        <v>27078</v>
      </c>
      <c r="F9332" t="s">
        <v>32606</v>
      </c>
      <c r="G9332" t="s">
        <v>32614</v>
      </c>
      <c r="H9332" t="s">
        <v>14201</v>
      </c>
      <c r="I9332" t="s">
        <v>6931</v>
      </c>
      <c r="J9332" t="s">
        <v>38559</v>
      </c>
      <c r="K9332" t="s">
        <v>42622</v>
      </c>
      <c r="M9332" t="s">
        <v>43705</v>
      </c>
      <c r="N9332" t="s">
        <v>47304</v>
      </c>
      <c r="O9332" t="s">
        <v>47305</v>
      </c>
      <c r="P9332">
        <v>0</v>
      </c>
      <c r="Q9332">
        <v>0</v>
      </c>
      <c r="R9332" t="s">
        <v>47313</v>
      </c>
      <c r="S9332" t="s">
        <v>47535</v>
      </c>
      <c r="T9332" t="s">
        <v>49373</v>
      </c>
      <c r="U9332" t="s">
        <v>57207</v>
      </c>
      <c r="V9332" t="s">
        <v>63625</v>
      </c>
      <c r="W9332" t="s">
        <v>43705</v>
      </c>
      <c r="X9332" t="s">
        <v>47315</v>
      </c>
    </row>
    <row r="9333" spans="1:24">
      <c r="A9333">
        <f>HYPERLINK("https://www.philgeps.gov.ph/GEPSNONPILOT/Tender/SplashBidNoticeAbstractUI.aspx?menuIndex=3&amp;refID=7183862&amp;Result=3","7183862")</f>
        <v>0</v>
      </c>
      <c r="B9333" t="s">
        <v>2904</v>
      </c>
      <c r="C9333" t="s">
        <v>12649</v>
      </c>
      <c r="D9333" t="s">
        <v>19000</v>
      </c>
      <c r="E9333" t="s">
        <v>23162</v>
      </c>
      <c r="F9333" t="s">
        <v>32606</v>
      </c>
      <c r="G9333" t="s">
        <v>32613</v>
      </c>
      <c r="H9333" t="s">
        <v>32623</v>
      </c>
      <c r="I9333" t="s">
        <v>17648</v>
      </c>
      <c r="J9333" t="s">
        <v>32765</v>
      </c>
      <c r="K9333" t="s">
        <v>42631</v>
      </c>
      <c r="M9333" t="s">
        <v>46080</v>
      </c>
      <c r="N9333" t="s">
        <v>47304</v>
      </c>
      <c r="O9333" t="s">
        <v>47305</v>
      </c>
      <c r="P9333">
        <v>0</v>
      </c>
      <c r="Q9333">
        <v>0</v>
      </c>
      <c r="R9333" t="s">
        <v>47313</v>
      </c>
      <c r="S9333" t="s">
        <v>47535</v>
      </c>
      <c r="T9333" t="s">
        <v>49053</v>
      </c>
      <c r="U9333" t="s">
        <v>57245</v>
      </c>
      <c r="W9333" t="s">
        <v>46080</v>
      </c>
      <c r="X9333" t="s">
        <v>47314</v>
      </c>
    </row>
    <row r="9334" spans="1:24">
      <c r="A9334">
        <f>HYPERLINK("https://www.philgeps.gov.ph/GEPSNONPILOT/Tender/SplashBidNoticeAbstractUI.aspx?menuIndex=3&amp;refID=7183849&amp;Result=3","7183849")</f>
        <v>0</v>
      </c>
      <c r="B9334" t="s">
        <v>2904</v>
      </c>
      <c r="C9334" t="s">
        <v>12650</v>
      </c>
      <c r="D9334" t="s">
        <v>19000</v>
      </c>
      <c r="E9334" t="s">
        <v>20378</v>
      </c>
      <c r="F9334" t="s">
        <v>32606</v>
      </c>
      <c r="G9334" t="s">
        <v>32614</v>
      </c>
      <c r="H9334" t="s">
        <v>32624</v>
      </c>
      <c r="I9334" t="s">
        <v>32641</v>
      </c>
      <c r="J9334" t="s">
        <v>32999</v>
      </c>
      <c r="K9334" t="s">
        <v>42631</v>
      </c>
      <c r="M9334" t="s">
        <v>46080</v>
      </c>
      <c r="N9334" t="s">
        <v>47304</v>
      </c>
      <c r="O9334" t="s">
        <v>47305</v>
      </c>
      <c r="P9334">
        <v>0</v>
      </c>
      <c r="Q9334">
        <v>4</v>
      </c>
      <c r="R9334" t="s">
        <v>47313</v>
      </c>
      <c r="S9334" t="s">
        <v>47535</v>
      </c>
      <c r="T9334" t="s">
        <v>49053</v>
      </c>
      <c r="U9334" t="s">
        <v>57246</v>
      </c>
      <c r="W9334" t="s">
        <v>46080</v>
      </c>
      <c r="X9334" t="s">
        <v>47314</v>
      </c>
    </row>
    <row r="9335" spans="1:24">
      <c r="A9335">
        <f>HYPERLINK("https://www.philgeps.gov.ph/GEPSNONPILOT/Tender/SplashBidNoticeAbstractUI.aspx?menuIndex=3&amp;refID=7183733&amp;Result=3","7183733")</f>
        <v>0</v>
      </c>
      <c r="B9335" t="s">
        <v>1917</v>
      </c>
      <c r="C9335" t="s">
        <v>12651</v>
      </c>
      <c r="D9335" t="s">
        <v>19070</v>
      </c>
      <c r="E9335" t="s">
        <v>27079</v>
      </c>
      <c r="F9335" t="s">
        <v>32606</v>
      </c>
      <c r="G9335" t="s">
        <v>32613</v>
      </c>
      <c r="H9335" t="s">
        <v>32623</v>
      </c>
      <c r="I9335" t="s">
        <v>17648</v>
      </c>
      <c r="J9335" t="s">
        <v>38560</v>
      </c>
      <c r="K9335" t="s">
        <v>42623</v>
      </c>
      <c r="M9335" t="s">
        <v>46064</v>
      </c>
      <c r="N9335" t="s">
        <v>47304</v>
      </c>
      <c r="O9335" t="s">
        <v>47305</v>
      </c>
      <c r="P9335">
        <v>0</v>
      </c>
      <c r="Q9335">
        <v>0</v>
      </c>
      <c r="R9335" t="s">
        <v>47313</v>
      </c>
      <c r="S9335" t="s">
        <v>47535</v>
      </c>
      <c r="T9335" t="s">
        <v>49071</v>
      </c>
      <c r="U9335" t="s">
        <v>57216</v>
      </c>
      <c r="W9335" t="s">
        <v>46064</v>
      </c>
      <c r="X9335" t="s">
        <v>47314</v>
      </c>
    </row>
    <row r="9336" spans="1:24">
      <c r="A9336">
        <f>HYPERLINK("https://www.philgeps.gov.ph/GEPSNONPILOT/Tender/SplashBidNoticeAbstractUI.aspx?menuIndex=3&amp;refID=7183857&amp;Result=3","7183857")</f>
        <v>0</v>
      </c>
      <c r="B9336" t="s">
        <v>2905</v>
      </c>
      <c r="C9336" t="s">
        <v>12652</v>
      </c>
      <c r="D9336" t="s">
        <v>18995</v>
      </c>
      <c r="E9336" t="s">
        <v>27080</v>
      </c>
      <c r="F9336" t="s">
        <v>32606</v>
      </c>
      <c r="G9336" t="s">
        <v>32613</v>
      </c>
      <c r="H9336" t="s">
        <v>32623</v>
      </c>
      <c r="I9336" t="s">
        <v>17648</v>
      </c>
      <c r="J9336" t="s">
        <v>32789</v>
      </c>
      <c r="K9336" t="s">
        <v>42630</v>
      </c>
      <c r="M9336" t="s">
        <v>46081</v>
      </c>
      <c r="N9336" t="s">
        <v>47304</v>
      </c>
      <c r="O9336" t="s">
        <v>47305</v>
      </c>
      <c r="P9336">
        <v>0</v>
      </c>
      <c r="Q9336">
        <v>0</v>
      </c>
      <c r="R9336" t="s">
        <v>47313</v>
      </c>
      <c r="S9336" t="s">
        <v>47535</v>
      </c>
      <c r="T9336" t="s">
        <v>49330</v>
      </c>
      <c r="U9336" t="s">
        <v>57247</v>
      </c>
      <c r="W9336" t="s">
        <v>46081</v>
      </c>
      <c r="X9336" t="s">
        <v>47314</v>
      </c>
    </row>
    <row r="9337" spans="1:24">
      <c r="A9337">
        <f>HYPERLINK("https://www.philgeps.gov.ph/GEPSNONPILOT/Tender/SplashBidNoticeAbstractUI.aspx?menuIndex=3&amp;refID=7183844&amp;Result=3","7183844")</f>
        <v>0</v>
      </c>
      <c r="B9337" t="s">
        <v>187</v>
      </c>
      <c r="C9337" t="s">
        <v>12653</v>
      </c>
      <c r="D9337" t="s">
        <v>19038</v>
      </c>
      <c r="E9337" t="s">
        <v>27081</v>
      </c>
      <c r="F9337" t="s">
        <v>32606</v>
      </c>
      <c r="G9337" t="s">
        <v>32613</v>
      </c>
      <c r="H9337" t="s">
        <v>14201</v>
      </c>
      <c r="I9337" t="s">
        <v>6931</v>
      </c>
      <c r="J9337" t="s">
        <v>38561</v>
      </c>
      <c r="K9337" t="s">
        <v>42622</v>
      </c>
      <c r="M9337" t="s">
        <v>43088</v>
      </c>
      <c r="N9337" t="s">
        <v>47304</v>
      </c>
      <c r="O9337" t="s">
        <v>47305</v>
      </c>
      <c r="P9337">
        <v>0</v>
      </c>
      <c r="Q9337">
        <v>0</v>
      </c>
      <c r="R9337" t="s">
        <v>47313</v>
      </c>
      <c r="S9337" t="s">
        <v>47535</v>
      </c>
      <c r="T9337" t="s">
        <v>48998</v>
      </c>
      <c r="U9337" t="s">
        <v>57248</v>
      </c>
      <c r="W9337" t="s">
        <v>43088</v>
      </c>
      <c r="X9337" t="s">
        <v>47314</v>
      </c>
    </row>
    <row r="9338" spans="1:24">
      <c r="A9338">
        <f>HYPERLINK("https://www.philgeps.gov.ph/GEPSNONPILOT/Tender/SplashBidNoticeAbstractUI.aspx?menuIndex=3&amp;refID=7183838&amp;Result=3","7183838")</f>
        <v>0</v>
      </c>
      <c r="B9338" t="s">
        <v>1014</v>
      </c>
      <c r="C9338" t="s">
        <v>12654</v>
      </c>
      <c r="D9338" t="s">
        <v>19056</v>
      </c>
      <c r="E9338" t="s">
        <v>27082</v>
      </c>
      <c r="F9338" t="s">
        <v>32606</v>
      </c>
      <c r="G9338" t="s">
        <v>32614</v>
      </c>
      <c r="H9338" t="s">
        <v>14201</v>
      </c>
      <c r="I9338" t="s">
        <v>4112</v>
      </c>
      <c r="J9338" t="s">
        <v>38562</v>
      </c>
      <c r="K9338" t="s">
        <v>42646</v>
      </c>
      <c r="M9338" t="s">
        <v>46082</v>
      </c>
      <c r="N9338" t="s">
        <v>47304</v>
      </c>
      <c r="O9338" t="s">
        <v>47305</v>
      </c>
      <c r="Q9338">
        <v>1</v>
      </c>
      <c r="R9338" t="s">
        <v>47313</v>
      </c>
      <c r="S9338" t="s">
        <v>47553</v>
      </c>
      <c r="T9338" t="s">
        <v>49200</v>
      </c>
      <c r="U9338" t="s">
        <v>57249</v>
      </c>
      <c r="W9338" t="s">
        <v>46082</v>
      </c>
      <c r="X9338" t="s">
        <v>47314</v>
      </c>
    </row>
    <row r="9339" spans="1:24">
      <c r="A9339">
        <f>HYPERLINK("https://www.philgeps.gov.ph/GEPSNONPILOT/Tender/SplashBidNoticeAbstractUI.aspx?menuIndex=3&amp;refID=7183846&amp;Result=3","7183846")</f>
        <v>0</v>
      </c>
      <c r="B9339" t="s">
        <v>2650</v>
      </c>
      <c r="C9339" t="s">
        <v>12655</v>
      </c>
      <c r="D9339" t="s">
        <v>19039</v>
      </c>
      <c r="E9339" t="s">
        <v>23346</v>
      </c>
      <c r="F9339" t="s">
        <v>32606</v>
      </c>
      <c r="G9339" t="s">
        <v>32619</v>
      </c>
      <c r="H9339" t="s">
        <v>14201</v>
      </c>
      <c r="I9339" t="s">
        <v>4120</v>
      </c>
      <c r="J9339" t="s">
        <v>38563</v>
      </c>
      <c r="K9339" t="s">
        <v>42639</v>
      </c>
      <c r="M9339" t="s">
        <v>45796</v>
      </c>
      <c r="N9339" t="s">
        <v>47304</v>
      </c>
      <c r="O9339" t="s">
        <v>47305</v>
      </c>
      <c r="P9339">
        <v>0</v>
      </c>
      <c r="Q9339">
        <v>1</v>
      </c>
      <c r="R9339" t="s">
        <v>47313</v>
      </c>
      <c r="S9339" t="s">
        <v>47535</v>
      </c>
      <c r="T9339" t="s">
        <v>49268</v>
      </c>
      <c r="U9339" t="s">
        <v>57250</v>
      </c>
      <c r="W9339" t="s">
        <v>45796</v>
      </c>
      <c r="X9339" t="s">
        <v>47314</v>
      </c>
    </row>
    <row r="9340" spans="1:24">
      <c r="A9340">
        <f>HYPERLINK("https://www.philgeps.gov.ph/GEPSNONPILOT/Tender/SplashBidNoticeAbstractUI.aspx?menuIndex=3&amp;refID=7183845&amp;Result=3","7183845")</f>
        <v>0</v>
      </c>
      <c r="B9340" t="s">
        <v>2906</v>
      </c>
      <c r="C9340" t="s">
        <v>12656</v>
      </c>
      <c r="D9340" t="s">
        <v>18995</v>
      </c>
      <c r="E9340" t="s">
        <v>27083</v>
      </c>
      <c r="F9340" t="s">
        <v>32606</v>
      </c>
      <c r="G9340" t="s">
        <v>32613</v>
      </c>
      <c r="H9340" t="s">
        <v>32623</v>
      </c>
      <c r="I9340" t="s">
        <v>17648</v>
      </c>
      <c r="J9340" t="s">
        <v>32765</v>
      </c>
      <c r="K9340" t="s">
        <v>42630</v>
      </c>
      <c r="M9340" t="s">
        <v>46083</v>
      </c>
      <c r="N9340" t="s">
        <v>47304</v>
      </c>
      <c r="O9340" t="s">
        <v>47305</v>
      </c>
      <c r="P9340">
        <v>0</v>
      </c>
      <c r="Q9340">
        <v>0</v>
      </c>
      <c r="R9340" t="s">
        <v>47313</v>
      </c>
      <c r="S9340" t="s">
        <v>47535</v>
      </c>
      <c r="T9340" t="s">
        <v>49330</v>
      </c>
      <c r="U9340" t="s">
        <v>57251</v>
      </c>
      <c r="W9340" t="s">
        <v>46083</v>
      </c>
      <c r="X9340" t="s">
        <v>47314</v>
      </c>
    </row>
    <row r="9341" spans="1:24">
      <c r="A9341">
        <f>HYPERLINK("https://www.philgeps.gov.ph/GEPSNONPILOT/Tender/SplashBidNoticeAbstractUI.aspx?menuIndex=3&amp;refID=7183825&amp;Result=3","7183825")</f>
        <v>0</v>
      </c>
      <c r="B9341" t="s">
        <v>1014</v>
      </c>
      <c r="C9341" t="s">
        <v>12657</v>
      </c>
      <c r="D9341" t="s">
        <v>19056</v>
      </c>
      <c r="E9341" t="s">
        <v>27084</v>
      </c>
      <c r="F9341" t="s">
        <v>32606</v>
      </c>
      <c r="G9341" t="s">
        <v>32614</v>
      </c>
      <c r="H9341" t="s">
        <v>14201</v>
      </c>
      <c r="I9341" t="s">
        <v>4112</v>
      </c>
      <c r="J9341" t="s">
        <v>36259</v>
      </c>
      <c r="K9341" t="s">
        <v>42646</v>
      </c>
      <c r="M9341" t="s">
        <v>46082</v>
      </c>
      <c r="N9341" t="s">
        <v>47304</v>
      </c>
      <c r="O9341" t="s">
        <v>47305</v>
      </c>
      <c r="Q9341">
        <v>4</v>
      </c>
      <c r="R9341" t="s">
        <v>47313</v>
      </c>
      <c r="S9341" t="s">
        <v>47554</v>
      </c>
      <c r="T9341" t="s">
        <v>49200</v>
      </c>
      <c r="U9341" t="s">
        <v>57252</v>
      </c>
      <c r="W9341" t="s">
        <v>46082</v>
      </c>
      <c r="X9341" t="s">
        <v>47314</v>
      </c>
    </row>
    <row r="9342" spans="1:24">
      <c r="A9342">
        <f>HYPERLINK("https://www.philgeps.gov.ph/GEPSNONPILOT/Tender/SplashBidNoticeAbstractUI.aspx?menuIndex=3&amp;refID=7183802&amp;Result=3","7183802")</f>
        <v>0</v>
      </c>
      <c r="B9342" t="s">
        <v>2907</v>
      </c>
      <c r="C9342" t="s">
        <v>10190</v>
      </c>
      <c r="D9342" t="s">
        <v>19010</v>
      </c>
      <c r="E9342" t="s">
        <v>20242</v>
      </c>
      <c r="F9342" t="s">
        <v>32606</v>
      </c>
      <c r="G9342" t="s">
        <v>32613</v>
      </c>
      <c r="H9342" t="s">
        <v>14201</v>
      </c>
      <c r="I9342" t="s">
        <v>6931</v>
      </c>
      <c r="J9342" t="s">
        <v>38564</v>
      </c>
      <c r="K9342" t="s">
        <v>42622</v>
      </c>
      <c r="M9342" t="s">
        <v>46084</v>
      </c>
      <c r="N9342" t="s">
        <v>47304</v>
      </c>
      <c r="O9342" t="s">
        <v>47305</v>
      </c>
      <c r="P9342">
        <v>0</v>
      </c>
      <c r="Q9342">
        <v>0</v>
      </c>
      <c r="R9342" t="s">
        <v>47313</v>
      </c>
      <c r="S9342" t="s">
        <v>47535</v>
      </c>
      <c r="T9342" t="s">
        <v>49257</v>
      </c>
      <c r="U9342" t="s">
        <v>57253</v>
      </c>
      <c r="W9342" t="s">
        <v>46084</v>
      </c>
      <c r="X9342" t="s">
        <v>47314</v>
      </c>
    </row>
    <row r="9343" spans="1:24">
      <c r="A9343">
        <f>HYPERLINK("https://www.philgeps.gov.ph/GEPSNONPILOT/Tender/SplashBidNoticeAbstractUI.aspx?menuIndex=3&amp;refID=7183873&amp;Result=3","7183873")</f>
        <v>0</v>
      </c>
      <c r="B9343" t="s">
        <v>2331</v>
      </c>
      <c r="C9343" t="s">
        <v>12658</v>
      </c>
      <c r="D9343" t="s">
        <v>19015</v>
      </c>
      <c r="E9343" t="s">
        <v>27085</v>
      </c>
      <c r="F9343" t="s">
        <v>32606</v>
      </c>
      <c r="G9343" t="s">
        <v>32613</v>
      </c>
      <c r="H9343" t="s">
        <v>32623</v>
      </c>
      <c r="I9343" t="s">
        <v>17648</v>
      </c>
      <c r="J9343" t="s">
        <v>38565</v>
      </c>
      <c r="K9343" t="s">
        <v>42646</v>
      </c>
      <c r="M9343" t="s">
        <v>45441</v>
      </c>
      <c r="N9343" t="s">
        <v>47304</v>
      </c>
      <c r="O9343" t="s">
        <v>47305</v>
      </c>
      <c r="P9343">
        <v>0</v>
      </c>
      <c r="Q9343">
        <v>15</v>
      </c>
      <c r="R9343" t="s">
        <v>47313</v>
      </c>
      <c r="S9343" t="s">
        <v>47535</v>
      </c>
      <c r="T9343" t="s">
        <v>49140</v>
      </c>
      <c r="U9343" t="s">
        <v>57254</v>
      </c>
      <c r="W9343" t="s">
        <v>45441</v>
      </c>
      <c r="X9343" t="s">
        <v>47314</v>
      </c>
    </row>
    <row r="9344" spans="1:24">
      <c r="A9344">
        <f>HYPERLINK("https://www.philgeps.gov.ph/GEPSNONPILOT/Tender/SplashBidNoticeAbstractUI.aspx?menuIndex=3&amp;refID=7183783&amp;Result=3","7183783")</f>
        <v>0</v>
      </c>
      <c r="B9344" t="s">
        <v>2908</v>
      </c>
      <c r="C9344" t="s">
        <v>12659</v>
      </c>
      <c r="D9344" t="s">
        <v>19010</v>
      </c>
      <c r="E9344" t="s">
        <v>20242</v>
      </c>
      <c r="F9344" t="s">
        <v>32606</v>
      </c>
      <c r="G9344" t="s">
        <v>32613</v>
      </c>
      <c r="H9344" t="s">
        <v>14201</v>
      </c>
      <c r="I9344" t="s">
        <v>6931</v>
      </c>
      <c r="J9344" t="s">
        <v>38566</v>
      </c>
      <c r="K9344" t="s">
        <v>42622</v>
      </c>
      <c r="M9344" t="s">
        <v>46085</v>
      </c>
      <c r="N9344" t="s">
        <v>47304</v>
      </c>
      <c r="O9344" t="s">
        <v>47305</v>
      </c>
      <c r="P9344">
        <v>0</v>
      </c>
      <c r="Q9344">
        <v>0</v>
      </c>
      <c r="R9344" t="s">
        <v>47313</v>
      </c>
      <c r="S9344" t="s">
        <v>47535</v>
      </c>
      <c r="T9344" t="s">
        <v>49257</v>
      </c>
      <c r="U9344" t="s">
        <v>57255</v>
      </c>
      <c r="W9344" t="s">
        <v>46085</v>
      </c>
      <c r="X9344" t="s">
        <v>47314</v>
      </c>
    </row>
    <row r="9345" spans="1:24">
      <c r="A9345">
        <f>HYPERLINK("https://www.philgeps.gov.ph/GEPSNONPILOT/Tender/SplashBidNoticeAbstractUI.aspx?menuIndex=3&amp;refID=7183839&amp;Result=3","7183839")</f>
        <v>0</v>
      </c>
      <c r="B9345" t="s">
        <v>194</v>
      </c>
      <c r="C9345" t="s">
        <v>12660</v>
      </c>
      <c r="D9345" t="s">
        <v>19003</v>
      </c>
      <c r="E9345" t="s">
        <v>27086</v>
      </c>
      <c r="F9345" t="s">
        <v>32606</v>
      </c>
      <c r="G9345" t="s">
        <v>32614</v>
      </c>
      <c r="H9345" t="s">
        <v>14201</v>
      </c>
      <c r="I9345" t="s">
        <v>4114</v>
      </c>
      <c r="J9345" t="s">
        <v>33072</v>
      </c>
      <c r="K9345" t="s">
        <v>42629</v>
      </c>
      <c r="M9345" t="s">
        <v>43095</v>
      </c>
      <c r="N9345" t="s">
        <v>47304</v>
      </c>
      <c r="O9345" t="s">
        <v>47305</v>
      </c>
      <c r="P9345">
        <v>0</v>
      </c>
      <c r="Q9345">
        <v>1</v>
      </c>
      <c r="R9345" t="s">
        <v>47313</v>
      </c>
      <c r="S9345" t="s">
        <v>47535</v>
      </c>
      <c r="T9345" t="s">
        <v>49330</v>
      </c>
      <c r="U9345" t="s">
        <v>57256</v>
      </c>
      <c r="W9345" t="s">
        <v>43095</v>
      </c>
      <c r="X9345" t="s">
        <v>47314</v>
      </c>
    </row>
    <row r="9346" spans="1:24">
      <c r="A9346">
        <f>HYPERLINK("https://www.philgeps.gov.ph/GEPSNONPILOT/Tender/SplashBidNoticeAbstractUI.aspx?menuIndex=3&amp;refID=7183731&amp;Result=3","7183731")</f>
        <v>0</v>
      </c>
      <c r="B9346" t="s">
        <v>1769</v>
      </c>
      <c r="C9346" t="s">
        <v>12661</v>
      </c>
      <c r="D9346" t="s">
        <v>18989</v>
      </c>
      <c r="E9346" t="s">
        <v>27087</v>
      </c>
      <c r="F9346" t="s">
        <v>32606</v>
      </c>
      <c r="G9346" t="s">
        <v>32613</v>
      </c>
      <c r="H9346" t="s">
        <v>14201</v>
      </c>
      <c r="I9346" t="s">
        <v>32634</v>
      </c>
      <c r="J9346" t="s">
        <v>38567</v>
      </c>
      <c r="K9346" t="s">
        <v>42631</v>
      </c>
      <c r="M9346" t="s">
        <v>44807</v>
      </c>
      <c r="N9346" t="s">
        <v>47304</v>
      </c>
      <c r="O9346" t="s">
        <v>47305</v>
      </c>
      <c r="P9346">
        <v>0</v>
      </c>
      <c r="Q9346">
        <v>2</v>
      </c>
      <c r="R9346" t="s">
        <v>47313</v>
      </c>
      <c r="S9346" t="s">
        <v>47535</v>
      </c>
      <c r="T9346" t="s">
        <v>49353</v>
      </c>
      <c r="U9346" t="s">
        <v>57257</v>
      </c>
      <c r="W9346" t="s">
        <v>44807</v>
      </c>
      <c r="X9346" t="s">
        <v>47314</v>
      </c>
    </row>
    <row r="9347" spans="1:24">
      <c r="A9347">
        <f>HYPERLINK("https://www.philgeps.gov.ph/GEPSNONPILOT/Tender/SplashBidNoticeAbstractUI.aspx?menuIndex=3&amp;refID=7183805&amp;Result=3","7183805")</f>
        <v>0</v>
      </c>
      <c r="B9347" t="s">
        <v>212</v>
      </c>
      <c r="C9347" t="s">
        <v>12662</v>
      </c>
      <c r="D9347" t="s">
        <v>19007</v>
      </c>
      <c r="E9347" t="s">
        <v>19473</v>
      </c>
      <c r="F9347" t="s">
        <v>32606</v>
      </c>
      <c r="G9347" t="s">
        <v>32614</v>
      </c>
      <c r="H9347" t="s">
        <v>14201</v>
      </c>
      <c r="I9347" t="s">
        <v>8606</v>
      </c>
      <c r="J9347" t="s">
        <v>38568</v>
      </c>
      <c r="K9347" t="s">
        <v>42639</v>
      </c>
      <c r="M9347" t="s">
        <v>43113</v>
      </c>
      <c r="N9347" t="s">
        <v>47304</v>
      </c>
      <c r="O9347" t="s">
        <v>47305</v>
      </c>
      <c r="P9347">
        <v>0</v>
      </c>
      <c r="Q9347">
        <v>4</v>
      </c>
      <c r="R9347" t="s">
        <v>47313</v>
      </c>
      <c r="S9347" t="s">
        <v>47535</v>
      </c>
      <c r="T9347" t="s">
        <v>49269</v>
      </c>
      <c r="U9347" t="s">
        <v>57258</v>
      </c>
      <c r="W9347" t="s">
        <v>43113</v>
      </c>
      <c r="X9347" t="s">
        <v>47314</v>
      </c>
    </row>
    <row r="9348" spans="1:24">
      <c r="A9348">
        <f>HYPERLINK("https://www.philgeps.gov.ph/GEPSNONPILOT/Tender/SplashBidNoticeAbstractUI.aspx?menuIndex=3&amp;refID=7183877&amp;Result=3","7183877")</f>
        <v>0</v>
      </c>
      <c r="B9348" t="s">
        <v>1854</v>
      </c>
      <c r="C9348" t="s">
        <v>12663</v>
      </c>
      <c r="D9348" t="s">
        <v>19034</v>
      </c>
      <c r="E9348" t="s">
        <v>27088</v>
      </c>
      <c r="F9348" t="s">
        <v>32606</v>
      </c>
      <c r="G9348" t="s">
        <v>32613</v>
      </c>
      <c r="H9348" t="s">
        <v>32623</v>
      </c>
      <c r="I9348" t="s">
        <v>17648</v>
      </c>
      <c r="J9348" t="s">
        <v>38569</v>
      </c>
      <c r="K9348" t="s">
        <v>42623</v>
      </c>
      <c r="M9348" t="s">
        <v>44908</v>
      </c>
      <c r="N9348" t="s">
        <v>47304</v>
      </c>
      <c r="O9348" t="s">
        <v>47305</v>
      </c>
      <c r="P9348">
        <v>0</v>
      </c>
      <c r="Q9348">
        <v>1</v>
      </c>
      <c r="R9348" t="s">
        <v>47313</v>
      </c>
      <c r="S9348" t="s">
        <v>47535</v>
      </c>
      <c r="T9348" t="s">
        <v>49075</v>
      </c>
      <c r="U9348" t="s">
        <v>57259</v>
      </c>
      <c r="W9348" t="s">
        <v>44908</v>
      </c>
      <c r="X9348" t="s">
        <v>47314</v>
      </c>
    </row>
    <row r="9349" spans="1:24">
      <c r="A9349">
        <f>HYPERLINK("https://www.philgeps.gov.ph/GEPSNONPILOT/Tender/SplashBidNoticeAbstractUI.aspx?menuIndex=3&amp;refID=7183735&amp;Result=3","7183735")</f>
        <v>0</v>
      </c>
      <c r="B9349" t="s">
        <v>1917</v>
      </c>
      <c r="C9349" t="s">
        <v>12664</v>
      </c>
      <c r="D9349" t="s">
        <v>19070</v>
      </c>
      <c r="E9349" t="s">
        <v>27089</v>
      </c>
      <c r="F9349" t="s">
        <v>32606</v>
      </c>
      <c r="G9349" t="s">
        <v>32613</v>
      </c>
      <c r="H9349" t="s">
        <v>32623</v>
      </c>
      <c r="I9349" t="s">
        <v>17648</v>
      </c>
      <c r="J9349" t="s">
        <v>38570</v>
      </c>
      <c r="K9349" t="s">
        <v>42684</v>
      </c>
      <c r="M9349" t="s">
        <v>46064</v>
      </c>
      <c r="N9349" t="s">
        <v>47304</v>
      </c>
      <c r="O9349" t="s">
        <v>47305</v>
      </c>
      <c r="P9349">
        <v>0</v>
      </c>
      <c r="Q9349">
        <v>0</v>
      </c>
      <c r="R9349" t="s">
        <v>47313</v>
      </c>
      <c r="S9349" t="s">
        <v>47535</v>
      </c>
      <c r="T9349" t="s">
        <v>49071</v>
      </c>
      <c r="U9349" t="s">
        <v>57216</v>
      </c>
      <c r="W9349" t="s">
        <v>46064</v>
      </c>
      <c r="X9349" t="s">
        <v>47314</v>
      </c>
    </row>
    <row r="9350" spans="1:24">
      <c r="A9350">
        <f>HYPERLINK("https://www.philgeps.gov.ph/GEPSNONPILOT/Tender/SplashBidNoticeAbstractUI.aspx?menuIndex=3&amp;refID=7183964&amp;Result=3","7183964")</f>
        <v>0</v>
      </c>
      <c r="B9350" t="s">
        <v>2909</v>
      </c>
      <c r="C9350" t="s">
        <v>12665</v>
      </c>
      <c r="D9350" t="s">
        <v>18995</v>
      </c>
      <c r="E9350" t="s">
        <v>27090</v>
      </c>
      <c r="F9350" t="s">
        <v>32606</v>
      </c>
      <c r="G9350" t="s">
        <v>32614</v>
      </c>
      <c r="H9350" t="s">
        <v>32623</v>
      </c>
      <c r="I9350" t="s">
        <v>17648</v>
      </c>
      <c r="J9350" t="s">
        <v>38571</v>
      </c>
      <c r="K9350" t="s">
        <v>42631</v>
      </c>
      <c r="M9350" t="s">
        <v>46086</v>
      </c>
      <c r="N9350" t="s">
        <v>47304</v>
      </c>
      <c r="O9350" t="s">
        <v>47305</v>
      </c>
      <c r="P9350">
        <v>0</v>
      </c>
      <c r="Q9350">
        <v>2</v>
      </c>
      <c r="R9350" t="s">
        <v>47313</v>
      </c>
      <c r="S9350" t="s">
        <v>47535</v>
      </c>
      <c r="T9350" t="s">
        <v>49315</v>
      </c>
      <c r="U9350" t="s">
        <v>57260</v>
      </c>
      <c r="W9350" t="s">
        <v>46086</v>
      </c>
      <c r="X9350" t="s">
        <v>47314</v>
      </c>
    </row>
    <row r="9351" spans="1:24">
      <c r="A9351">
        <f>HYPERLINK("https://www.philgeps.gov.ph/GEPSNONPILOT/Tender/SplashBidNoticeAbstractUI.aspx?menuIndex=3&amp;refID=7183796&amp;Result=3","7183796")</f>
        <v>0</v>
      </c>
      <c r="B9351" t="s">
        <v>1437</v>
      </c>
      <c r="C9351" t="s">
        <v>12666</v>
      </c>
      <c r="E9351" t="s">
        <v>27091</v>
      </c>
      <c r="F9351" t="s">
        <v>32606</v>
      </c>
      <c r="G9351" t="s">
        <v>32613</v>
      </c>
      <c r="H9351" t="s">
        <v>14201</v>
      </c>
      <c r="I9351" t="s">
        <v>32633</v>
      </c>
      <c r="J9351" t="s">
        <v>33598</v>
      </c>
      <c r="K9351" t="s">
        <v>42624</v>
      </c>
      <c r="M9351" t="s">
        <v>46087</v>
      </c>
      <c r="N9351" t="s">
        <v>47304</v>
      </c>
      <c r="O9351" t="s">
        <v>47305</v>
      </c>
      <c r="P9351">
        <v>0</v>
      </c>
      <c r="Q9351">
        <v>19</v>
      </c>
      <c r="R9351" t="s">
        <v>47313</v>
      </c>
      <c r="S9351" t="s">
        <v>47535</v>
      </c>
      <c r="T9351" t="s">
        <v>49086</v>
      </c>
      <c r="U9351" t="s">
        <v>57261</v>
      </c>
      <c r="W9351" t="s">
        <v>46087</v>
      </c>
      <c r="X9351" t="s">
        <v>47314</v>
      </c>
    </row>
    <row r="9352" spans="1:24">
      <c r="A9352">
        <f>HYPERLINK("https://www.philgeps.gov.ph/GEPSNONPILOT/Tender/SplashBidNoticeAbstractUI.aspx?menuIndex=3&amp;refID=7183958&amp;Result=3","7183958")</f>
        <v>0</v>
      </c>
      <c r="B9352" t="s">
        <v>2910</v>
      </c>
      <c r="C9352" t="s">
        <v>12667</v>
      </c>
      <c r="D9352" t="s">
        <v>19031</v>
      </c>
      <c r="E9352" t="s">
        <v>27092</v>
      </c>
      <c r="F9352" t="s">
        <v>32606</v>
      </c>
      <c r="G9352" t="s">
        <v>32617</v>
      </c>
      <c r="H9352" t="s">
        <v>14201</v>
      </c>
      <c r="I9352" t="s">
        <v>7577</v>
      </c>
      <c r="J9352" t="s">
        <v>33870</v>
      </c>
      <c r="K9352" t="s">
        <v>42623</v>
      </c>
      <c r="M9352" t="s">
        <v>46088</v>
      </c>
      <c r="N9352" t="s">
        <v>47304</v>
      </c>
      <c r="O9352" t="s">
        <v>47305</v>
      </c>
      <c r="P9352">
        <v>0</v>
      </c>
      <c r="Q9352">
        <v>2</v>
      </c>
      <c r="R9352" t="s">
        <v>47313</v>
      </c>
      <c r="S9352" t="s">
        <v>47535</v>
      </c>
      <c r="T9352" t="s">
        <v>49353</v>
      </c>
      <c r="U9352" t="s">
        <v>57262</v>
      </c>
      <c r="W9352" t="s">
        <v>46088</v>
      </c>
      <c r="X9352" t="s">
        <v>47314</v>
      </c>
    </row>
    <row r="9353" spans="1:24">
      <c r="A9353">
        <f>HYPERLINK("https://www.philgeps.gov.ph/GEPSNONPILOT/Tender/SplashBidNoticeAbstractUI.aspx?menuIndex=3&amp;refID=7183850&amp;Result=3","7183850")</f>
        <v>0</v>
      </c>
      <c r="B9353" t="s">
        <v>2911</v>
      </c>
      <c r="C9353" t="s">
        <v>12668</v>
      </c>
      <c r="D9353" t="s">
        <v>18995</v>
      </c>
      <c r="E9353" t="s">
        <v>27093</v>
      </c>
      <c r="F9353" t="s">
        <v>32606</v>
      </c>
      <c r="G9353" t="s">
        <v>32613</v>
      </c>
      <c r="H9353" t="s">
        <v>14201</v>
      </c>
      <c r="I9353" t="s">
        <v>32633</v>
      </c>
      <c r="J9353" t="s">
        <v>32825</v>
      </c>
      <c r="K9353" t="s">
        <v>42632</v>
      </c>
      <c r="M9353" t="s">
        <v>46089</v>
      </c>
      <c r="N9353" t="s">
        <v>47304</v>
      </c>
      <c r="O9353" t="s">
        <v>47305</v>
      </c>
      <c r="P9353">
        <v>0</v>
      </c>
      <c r="Q9353">
        <v>4</v>
      </c>
      <c r="R9353" t="s">
        <v>47313</v>
      </c>
      <c r="S9353" t="s">
        <v>47535</v>
      </c>
      <c r="T9353" t="s">
        <v>49053</v>
      </c>
      <c r="U9353" t="s">
        <v>57263</v>
      </c>
      <c r="W9353" t="s">
        <v>46089</v>
      </c>
      <c r="X9353" t="s">
        <v>47314</v>
      </c>
    </row>
    <row r="9354" spans="1:24">
      <c r="A9354">
        <f>HYPERLINK("https://www.philgeps.gov.ph/GEPSNONPILOT/Tender/SplashBidNoticeAbstractUI.aspx?menuIndex=3&amp;refID=7183837&amp;Result=3","7183837")</f>
        <v>0</v>
      </c>
      <c r="B9354" t="s">
        <v>2904</v>
      </c>
      <c r="C9354" t="s">
        <v>12669</v>
      </c>
      <c r="D9354" t="s">
        <v>19000</v>
      </c>
      <c r="E9354" t="s">
        <v>19663</v>
      </c>
      <c r="F9354" t="s">
        <v>32606</v>
      </c>
      <c r="G9354" t="s">
        <v>32614</v>
      </c>
      <c r="H9354" t="s">
        <v>32624</v>
      </c>
      <c r="I9354" t="s">
        <v>32641</v>
      </c>
      <c r="J9354" t="s">
        <v>32949</v>
      </c>
      <c r="K9354" t="s">
        <v>42631</v>
      </c>
      <c r="M9354" t="s">
        <v>46080</v>
      </c>
      <c r="N9354" t="s">
        <v>47304</v>
      </c>
      <c r="O9354" t="s">
        <v>47305</v>
      </c>
      <c r="P9354">
        <v>0</v>
      </c>
      <c r="Q9354">
        <v>1</v>
      </c>
      <c r="R9354" t="s">
        <v>47313</v>
      </c>
      <c r="S9354" t="s">
        <v>47535</v>
      </c>
      <c r="T9354" t="s">
        <v>49053</v>
      </c>
      <c r="U9354" t="s">
        <v>57264</v>
      </c>
      <c r="W9354" t="s">
        <v>46080</v>
      </c>
      <c r="X9354" t="s">
        <v>47314</v>
      </c>
    </row>
    <row r="9355" spans="1:24">
      <c r="A9355">
        <f>HYPERLINK("https://www.philgeps.gov.ph/GEPSNONPILOT/Tender/SplashBidNoticeAbstractUI.aspx?menuIndex=3&amp;refID=7183952&amp;Result=3","7183952")</f>
        <v>0</v>
      </c>
      <c r="B9355" t="s">
        <v>243</v>
      </c>
      <c r="C9355" t="s">
        <v>12670</v>
      </c>
      <c r="D9355" t="s">
        <v>19027</v>
      </c>
      <c r="E9355" t="s">
        <v>27094</v>
      </c>
      <c r="F9355" t="s">
        <v>32606</v>
      </c>
      <c r="G9355" t="s">
        <v>32619</v>
      </c>
      <c r="H9355" t="s">
        <v>14201</v>
      </c>
      <c r="I9355" t="s">
        <v>4120</v>
      </c>
      <c r="J9355" t="s">
        <v>38572</v>
      </c>
      <c r="K9355" t="s">
        <v>42624</v>
      </c>
      <c r="M9355" t="s">
        <v>44391</v>
      </c>
      <c r="N9355" t="s">
        <v>47304</v>
      </c>
      <c r="O9355" t="s">
        <v>47305</v>
      </c>
      <c r="P9355">
        <v>0</v>
      </c>
      <c r="Q9355">
        <v>1</v>
      </c>
      <c r="R9355" t="s">
        <v>47313</v>
      </c>
      <c r="S9355" t="s">
        <v>47535</v>
      </c>
      <c r="T9355" t="s">
        <v>48998</v>
      </c>
      <c r="U9355" t="s">
        <v>57265</v>
      </c>
      <c r="W9355" t="s">
        <v>64471</v>
      </c>
      <c r="X9355" t="s">
        <v>47314</v>
      </c>
    </row>
    <row r="9356" spans="1:24">
      <c r="A9356">
        <f>HYPERLINK("https://www.philgeps.gov.ph/GEPSNONPILOT/Tender/SplashBidNoticeAbstractUI.aspx?menuIndex=3&amp;refID=7183948&amp;Result=3","7183948")</f>
        <v>0</v>
      </c>
      <c r="B9356" t="s">
        <v>1854</v>
      </c>
      <c r="C9356" t="s">
        <v>12671</v>
      </c>
      <c r="D9356" t="s">
        <v>19034</v>
      </c>
      <c r="E9356" t="s">
        <v>27095</v>
      </c>
      <c r="F9356" t="s">
        <v>32606</v>
      </c>
      <c r="G9356" t="s">
        <v>32613</v>
      </c>
      <c r="H9356" t="s">
        <v>14201</v>
      </c>
      <c r="I9356" t="s">
        <v>32664</v>
      </c>
      <c r="J9356" t="s">
        <v>33103</v>
      </c>
      <c r="K9356" t="s">
        <v>42623</v>
      </c>
      <c r="M9356" t="s">
        <v>44908</v>
      </c>
      <c r="N9356" t="s">
        <v>47304</v>
      </c>
      <c r="O9356" t="s">
        <v>47305</v>
      </c>
      <c r="P9356">
        <v>0</v>
      </c>
      <c r="Q9356">
        <v>2</v>
      </c>
      <c r="R9356" t="s">
        <v>47313</v>
      </c>
      <c r="S9356" t="s">
        <v>47535</v>
      </c>
      <c r="T9356" t="s">
        <v>49075</v>
      </c>
      <c r="U9356" t="s">
        <v>57266</v>
      </c>
      <c r="W9356" t="s">
        <v>44908</v>
      </c>
      <c r="X9356" t="s">
        <v>47314</v>
      </c>
    </row>
    <row r="9357" spans="1:24">
      <c r="A9357">
        <f>HYPERLINK("https://www.philgeps.gov.ph/GEPSNONPILOT/Tender/SplashBidNoticeAbstractUI.aspx?menuIndex=3&amp;refID=7183933&amp;Result=3","7183933")</f>
        <v>0</v>
      </c>
      <c r="B9357" t="s">
        <v>1014</v>
      </c>
      <c r="C9357" t="s">
        <v>12672</v>
      </c>
      <c r="D9357" t="s">
        <v>19056</v>
      </c>
      <c r="E9357" t="s">
        <v>27096</v>
      </c>
      <c r="F9357" t="s">
        <v>32606</v>
      </c>
      <c r="G9357" t="s">
        <v>32614</v>
      </c>
      <c r="H9357" t="s">
        <v>14201</v>
      </c>
      <c r="I9357" t="s">
        <v>4112</v>
      </c>
      <c r="J9357" t="s">
        <v>32798</v>
      </c>
      <c r="K9357" t="s">
        <v>42646</v>
      </c>
      <c r="M9357" t="s">
        <v>46082</v>
      </c>
      <c r="N9357" t="s">
        <v>47304</v>
      </c>
      <c r="O9357" t="s">
        <v>47305</v>
      </c>
      <c r="Q9357">
        <v>1</v>
      </c>
      <c r="R9357" t="s">
        <v>47313</v>
      </c>
      <c r="S9357" t="s">
        <v>47428</v>
      </c>
      <c r="T9357" t="s">
        <v>49200</v>
      </c>
      <c r="U9357" t="s">
        <v>57267</v>
      </c>
      <c r="W9357" t="s">
        <v>46082</v>
      </c>
      <c r="X9357" t="s">
        <v>47314</v>
      </c>
    </row>
    <row r="9358" spans="1:24">
      <c r="A9358">
        <f>HYPERLINK("https://www.philgeps.gov.ph/GEPSNONPILOT/Tender/SplashBidNoticeAbstractUI.aspx?menuIndex=3&amp;refID=7183930&amp;Result=3","7183930")</f>
        <v>0</v>
      </c>
      <c r="B9358" t="s">
        <v>2887</v>
      </c>
      <c r="C9358" t="s">
        <v>12673</v>
      </c>
      <c r="D9358" t="s">
        <v>18997</v>
      </c>
      <c r="E9358" t="s">
        <v>27097</v>
      </c>
      <c r="F9358" t="s">
        <v>32606</v>
      </c>
      <c r="G9358" t="s">
        <v>32613</v>
      </c>
      <c r="H9358" t="s">
        <v>32623</v>
      </c>
      <c r="I9358" t="s">
        <v>17648</v>
      </c>
      <c r="J9358" t="s">
        <v>38573</v>
      </c>
      <c r="K9358" t="s">
        <v>42623</v>
      </c>
      <c r="M9358" t="s">
        <v>46060</v>
      </c>
      <c r="N9358" t="s">
        <v>47304</v>
      </c>
      <c r="O9358" t="s">
        <v>47305</v>
      </c>
      <c r="P9358">
        <v>0</v>
      </c>
      <c r="Q9358">
        <v>1</v>
      </c>
      <c r="R9358" t="s">
        <v>47313</v>
      </c>
      <c r="S9358" t="s">
        <v>47535</v>
      </c>
      <c r="T9358" t="s">
        <v>49023</v>
      </c>
      <c r="U9358" t="s">
        <v>57268</v>
      </c>
      <c r="W9358" t="s">
        <v>46060</v>
      </c>
      <c r="X9358" t="s">
        <v>47314</v>
      </c>
    </row>
    <row r="9359" spans="1:24">
      <c r="A9359">
        <f>HYPERLINK("https://www.philgeps.gov.ph/GEPSNONPILOT/Tender/SplashBidNoticeAbstractUI.aspx?menuIndex=3&amp;refID=7183915&amp;Result=3","7183915")</f>
        <v>0</v>
      </c>
      <c r="B9359" t="s">
        <v>2888</v>
      </c>
      <c r="C9359" t="s">
        <v>12674</v>
      </c>
      <c r="D9359" t="s">
        <v>19070</v>
      </c>
      <c r="E9359" t="s">
        <v>27098</v>
      </c>
      <c r="F9359" t="s">
        <v>32606</v>
      </c>
      <c r="G9359" t="s">
        <v>32615</v>
      </c>
      <c r="H9359" t="s">
        <v>32623</v>
      </c>
      <c r="I9359" t="s">
        <v>17648</v>
      </c>
      <c r="J9359" t="s">
        <v>38574</v>
      </c>
      <c r="K9359" t="s">
        <v>42717</v>
      </c>
      <c r="M9359" t="s">
        <v>46061</v>
      </c>
      <c r="N9359" t="s">
        <v>47304</v>
      </c>
      <c r="O9359" t="s">
        <v>47305</v>
      </c>
      <c r="P9359">
        <v>0</v>
      </c>
      <c r="Q9359">
        <v>0</v>
      </c>
      <c r="R9359" t="s">
        <v>47313</v>
      </c>
      <c r="S9359" t="s">
        <v>47535</v>
      </c>
      <c r="T9359" t="s">
        <v>49099</v>
      </c>
      <c r="U9359" t="s">
        <v>57269</v>
      </c>
      <c r="W9359" t="s">
        <v>46061</v>
      </c>
      <c r="X9359" t="s">
        <v>47314</v>
      </c>
    </row>
    <row r="9360" spans="1:24">
      <c r="A9360">
        <f>HYPERLINK("https://www.philgeps.gov.ph/GEPSNONPILOT/Tender/SplashBidNoticeAbstractUI.aspx?menuIndex=3&amp;refID=7183913&amp;Result=3","7183913")</f>
        <v>0</v>
      </c>
      <c r="B9360" t="s">
        <v>2560</v>
      </c>
      <c r="C9360" t="s">
        <v>12675</v>
      </c>
      <c r="D9360" t="s">
        <v>19042</v>
      </c>
      <c r="E9360" t="s">
        <v>27099</v>
      </c>
      <c r="F9360" t="s">
        <v>32606</v>
      </c>
      <c r="G9360" t="s">
        <v>32613</v>
      </c>
      <c r="H9360" t="s">
        <v>14201</v>
      </c>
      <c r="I9360" t="s">
        <v>4678</v>
      </c>
      <c r="J9360" t="s">
        <v>38575</v>
      </c>
      <c r="K9360" t="s">
        <v>42639</v>
      </c>
      <c r="M9360" t="s">
        <v>45700</v>
      </c>
      <c r="N9360" t="s">
        <v>47304</v>
      </c>
      <c r="O9360" t="s">
        <v>47305</v>
      </c>
      <c r="P9360">
        <v>0</v>
      </c>
      <c r="Q9360">
        <v>6</v>
      </c>
      <c r="R9360" t="s">
        <v>47313</v>
      </c>
      <c r="S9360" t="s">
        <v>47535</v>
      </c>
      <c r="T9360" t="s">
        <v>49268</v>
      </c>
      <c r="U9360" t="s">
        <v>57270</v>
      </c>
      <c r="W9360" t="s">
        <v>45700</v>
      </c>
      <c r="X9360" t="s">
        <v>47314</v>
      </c>
    </row>
    <row r="9361" spans="1:24">
      <c r="A9361">
        <f>HYPERLINK("https://www.philgeps.gov.ph/GEPSNONPILOT/Tender/SplashBidNoticeAbstractUI.aspx?menuIndex=3&amp;refID=7183955&amp;Result=3","7183955")</f>
        <v>0</v>
      </c>
      <c r="B9361" t="s">
        <v>2912</v>
      </c>
      <c r="C9361" t="s">
        <v>12676</v>
      </c>
      <c r="D9361" t="s">
        <v>19011</v>
      </c>
      <c r="E9361" t="s">
        <v>27100</v>
      </c>
      <c r="F9361" t="s">
        <v>32606</v>
      </c>
      <c r="G9361" t="s">
        <v>32613</v>
      </c>
      <c r="H9361" t="s">
        <v>14201</v>
      </c>
      <c r="I9361" t="s">
        <v>6931</v>
      </c>
      <c r="J9361" t="s">
        <v>38576</v>
      </c>
      <c r="K9361" t="s">
        <v>42631</v>
      </c>
      <c r="M9361" t="s">
        <v>46090</v>
      </c>
      <c r="N9361" t="s">
        <v>47304</v>
      </c>
      <c r="O9361" t="s">
        <v>47305</v>
      </c>
      <c r="P9361">
        <v>0</v>
      </c>
      <c r="Q9361">
        <v>2</v>
      </c>
      <c r="R9361" t="s">
        <v>47313</v>
      </c>
      <c r="S9361" t="s">
        <v>47535</v>
      </c>
      <c r="T9361" t="s">
        <v>48995</v>
      </c>
      <c r="U9361" t="s">
        <v>57271</v>
      </c>
      <c r="W9361" t="s">
        <v>46090</v>
      </c>
      <c r="X9361" t="s">
        <v>47314</v>
      </c>
    </row>
    <row r="9362" spans="1:24">
      <c r="A9362">
        <f>HYPERLINK("https://www.philgeps.gov.ph/GEPSNONPILOT/Tender/SplashBidNoticeAbstractUI.aspx?menuIndex=3&amp;refID=7183931&amp;Result=3","7183931")</f>
        <v>0</v>
      </c>
      <c r="B9362" t="s">
        <v>1410</v>
      </c>
      <c r="C9362" t="s">
        <v>12677</v>
      </c>
      <c r="D9362" t="s">
        <v>19056</v>
      </c>
      <c r="E9362" t="s">
        <v>27101</v>
      </c>
      <c r="F9362" t="s">
        <v>32606</v>
      </c>
      <c r="G9362" t="s">
        <v>32613</v>
      </c>
      <c r="H9362" t="s">
        <v>14201</v>
      </c>
      <c r="I9362" t="s">
        <v>32656</v>
      </c>
      <c r="J9362" t="s">
        <v>38577</v>
      </c>
      <c r="K9362" t="s">
        <v>42631</v>
      </c>
      <c r="M9362" t="s">
        <v>44397</v>
      </c>
      <c r="N9362" t="s">
        <v>47304</v>
      </c>
      <c r="O9362" t="s">
        <v>47305</v>
      </c>
      <c r="P9362">
        <v>0</v>
      </c>
      <c r="Q9362">
        <v>1</v>
      </c>
      <c r="R9362" t="s">
        <v>47313</v>
      </c>
      <c r="S9362" t="s">
        <v>47535</v>
      </c>
      <c r="T9362" t="s">
        <v>49066</v>
      </c>
      <c r="U9362" t="s">
        <v>57272</v>
      </c>
      <c r="W9362" t="s">
        <v>44397</v>
      </c>
      <c r="X9362" t="s">
        <v>47314</v>
      </c>
    </row>
    <row r="9363" spans="1:24">
      <c r="A9363">
        <f>HYPERLINK("https://www.philgeps.gov.ph/GEPSNONPILOT/Tender/SplashBidNoticeAbstractUI.aspx?menuIndex=3&amp;refID=7183896&amp;Result=3","7183896")</f>
        <v>0</v>
      </c>
      <c r="B9363" t="s">
        <v>776</v>
      </c>
      <c r="C9363" t="s">
        <v>12678</v>
      </c>
      <c r="D9363" t="s">
        <v>19003</v>
      </c>
      <c r="E9363" t="s">
        <v>27102</v>
      </c>
      <c r="F9363" t="s">
        <v>32606</v>
      </c>
      <c r="G9363" t="s">
        <v>32614</v>
      </c>
      <c r="H9363" t="s">
        <v>14201</v>
      </c>
      <c r="I9363" t="s">
        <v>4112</v>
      </c>
      <c r="J9363" t="s">
        <v>38578</v>
      </c>
      <c r="K9363" t="s">
        <v>42622</v>
      </c>
      <c r="M9363" t="s">
        <v>43705</v>
      </c>
      <c r="N9363" t="s">
        <v>47304</v>
      </c>
      <c r="O9363" t="s">
        <v>47305</v>
      </c>
      <c r="P9363">
        <v>0</v>
      </c>
      <c r="Q9363">
        <v>0</v>
      </c>
      <c r="R9363" t="s">
        <v>47313</v>
      </c>
      <c r="S9363" t="s">
        <v>47535</v>
      </c>
      <c r="T9363" t="s">
        <v>49373</v>
      </c>
      <c r="U9363" t="s">
        <v>51470</v>
      </c>
      <c r="V9363" t="s">
        <v>62886</v>
      </c>
      <c r="W9363" t="s">
        <v>43705</v>
      </c>
      <c r="X9363" t="s">
        <v>47314</v>
      </c>
    </row>
    <row r="9364" spans="1:24">
      <c r="A9364">
        <f>HYPERLINK("https://www.philgeps.gov.ph/GEPSNONPILOT/Tender/SplashBidNoticeAbstractUI.aspx?menuIndex=3&amp;refID=7183893&amp;Result=3","7183893")</f>
        <v>0</v>
      </c>
      <c r="B9364" t="s">
        <v>1014</v>
      </c>
      <c r="C9364" t="s">
        <v>12679</v>
      </c>
      <c r="D9364" t="s">
        <v>19056</v>
      </c>
      <c r="E9364" t="s">
        <v>27103</v>
      </c>
      <c r="F9364" t="s">
        <v>32606</v>
      </c>
      <c r="G9364" t="s">
        <v>32614</v>
      </c>
      <c r="H9364" t="s">
        <v>14201</v>
      </c>
      <c r="I9364" t="s">
        <v>4112</v>
      </c>
      <c r="J9364" t="s">
        <v>33816</v>
      </c>
      <c r="K9364" t="s">
        <v>42646</v>
      </c>
      <c r="M9364" t="s">
        <v>46082</v>
      </c>
      <c r="N9364" t="s">
        <v>47304</v>
      </c>
      <c r="O9364" t="s">
        <v>47305</v>
      </c>
      <c r="Q9364">
        <v>0</v>
      </c>
      <c r="R9364" t="s">
        <v>47313</v>
      </c>
      <c r="S9364" t="s">
        <v>47555</v>
      </c>
      <c r="T9364" t="s">
        <v>49200</v>
      </c>
      <c r="U9364" t="s">
        <v>57273</v>
      </c>
      <c r="W9364" t="s">
        <v>46082</v>
      </c>
      <c r="X9364" t="s">
        <v>47314</v>
      </c>
    </row>
    <row r="9365" spans="1:24">
      <c r="A9365">
        <f>HYPERLINK("https://www.philgeps.gov.ph/GEPSNONPILOT/Tender/SplashBidNoticeAbstractUI.aspx?menuIndex=3&amp;refID=7183884&amp;Result=3","7183884")</f>
        <v>0</v>
      </c>
      <c r="B9365" t="s">
        <v>2913</v>
      </c>
      <c r="C9365" t="s">
        <v>12680</v>
      </c>
      <c r="D9365" t="s">
        <v>19044</v>
      </c>
      <c r="E9365" t="s">
        <v>27104</v>
      </c>
      <c r="F9365" t="s">
        <v>32606</v>
      </c>
      <c r="G9365" t="s">
        <v>32615</v>
      </c>
      <c r="H9365" t="s">
        <v>14201</v>
      </c>
      <c r="I9365" t="s">
        <v>7064</v>
      </c>
      <c r="J9365" t="s">
        <v>38579</v>
      </c>
      <c r="K9365" t="s">
        <v>42623</v>
      </c>
      <c r="M9365" t="s">
        <v>46091</v>
      </c>
      <c r="N9365" t="s">
        <v>47304</v>
      </c>
      <c r="O9365" t="s">
        <v>47305</v>
      </c>
      <c r="P9365">
        <v>0</v>
      </c>
      <c r="Q9365">
        <v>0</v>
      </c>
      <c r="R9365" t="s">
        <v>47313</v>
      </c>
      <c r="S9365" t="s">
        <v>47535</v>
      </c>
      <c r="T9365" t="s">
        <v>49004</v>
      </c>
      <c r="U9365" t="s">
        <v>57274</v>
      </c>
      <c r="W9365" t="s">
        <v>46091</v>
      </c>
      <c r="X9365" t="s">
        <v>47314</v>
      </c>
    </row>
    <row r="9366" spans="1:24">
      <c r="A9366">
        <f>HYPERLINK("https://www.philgeps.gov.ph/GEPSNONPILOT/Tender/SplashBidNoticeAbstractUI.aspx?menuIndex=3&amp;refID=7183883&amp;Result=3","7183883")</f>
        <v>0</v>
      </c>
      <c r="B9366" t="s">
        <v>2262</v>
      </c>
      <c r="C9366" t="s">
        <v>12681</v>
      </c>
      <c r="D9366" t="s">
        <v>19029</v>
      </c>
      <c r="E9366" t="s">
        <v>27105</v>
      </c>
      <c r="F9366" t="s">
        <v>32607</v>
      </c>
      <c r="G9366" t="s">
        <v>32619</v>
      </c>
      <c r="H9366" t="s">
        <v>14201</v>
      </c>
      <c r="I9366" t="s">
        <v>6309</v>
      </c>
      <c r="J9366" t="s">
        <v>38580</v>
      </c>
      <c r="K9366" t="s">
        <v>42630</v>
      </c>
      <c r="M9366" t="s">
        <v>45367</v>
      </c>
      <c r="N9366" t="s">
        <v>47304</v>
      </c>
      <c r="O9366" t="s">
        <v>47305</v>
      </c>
      <c r="P9366">
        <v>0</v>
      </c>
      <c r="Q9366">
        <v>1</v>
      </c>
      <c r="R9366" t="s">
        <v>47313</v>
      </c>
      <c r="S9366" t="s">
        <v>47535</v>
      </c>
      <c r="T9366" t="s">
        <v>49414</v>
      </c>
      <c r="U9366" t="s">
        <v>57275</v>
      </c>
      <c r="W9366" t="s">
        <v>45367</v>
      </c>
      <c r="X9366" t="s">
        <v>47314</v>
      </c>
    </row>
    <row r="9367" spans="1:24">
      <c r="A9367">
        <f>HYPERLINK("https://www.philgeps.gov.ph/GEPSNONPILOT/Tender/SplashBidNoticeAbstractUI.aspx?menuIndex=3&amp;refID=7183876&amp;Result=3","7183876")</f>
        <v>0</v>
      </c>
      <c r="B9367" t="s">
        <v>1014</v>
      </c>
      <c r="C9367" t="s">
        <v>12682</v>
      </c>
      <c r="D9367" t="s">
        <v>19056</v>
      </c>
      <c r="E9367" t="s">
        <v>27106</v>
      </c>
      <c r="F9367" t="s">
        <v>32606</v>
      </c>
      <c r="G9367" t="s">
        <v>32614</v>
      </c>
      <c r="H9367" t="s">
        <v>14201</v>
      </c>
      <c r="I9367" t="s">
        <v>4112</v>
      </c>
      <c r="J9367" t="s">
        <v>32871</v>
      </c>
      <c r="K9367" t="s">
        <v>42646</v>
      </c>
      <c r="M9367" t="s">
        <v>46082</v>
      </c>
      <c r="N9367" t="s">
        <v>47304</v>
      </c>
      <c r="O9367" t="s">
        <v>47305</v>
      </c>
      <c r="Q9367">
        <v>0</v>
      </c>
      <c r="R9367" t="s">
        <v>47313</v>
      </c>
      <c r="S9367" t="s">
        <v>47556</v>
      </c>
      <c r="T9367" t="s">
        <v>49200</v>
      </c>
      <c r="U9367" t="s">
        <v>57276</v>
      </c>
      <c r="W9367" t="s">
        <v>46082</v>
      </c>
      <c r="X9367" t="s">
        <v>47314</v>
      </c>
    </row>
    <row r="9368" spans="1:24">
      <c r="A9368">
        <f>HYPERLINK("https://www.philgeps.gov.ph/GEPSNONPILOT/Tender/SplashBidNoticeAbstractUI.aspx?menuIndex=3&amp;refID=7183726&amp;Result=3","7183726")</f>
        <v>0</v>
      </c>
      <c r="B9368" t="s">
        <v>1917</v>
      </c>
      <c r="C9368" t="s">
        <v>12683</v>
      </c>
      <c r="D9368" t="s">
        <v>19070</v>
      </c>
      <c r="E9368" t="s">
        <v>27107</v>
      </c>
      <c r="F9368" t="s">
        <v>32606</v>
      </c>
      <c r="G9368" t="s">
        <v>32613</v>
      </c>
      <c r="H9368" t="s">
        <v>32623</v>
      </c>
      <c r="I9368" t="s">
        <v>17648</v>
      </c>
      <c r="J9368" t="s">
        <v>38581</v>
      </c>
      <c r="K9368" t="s">
        <v>42627</v>
      </c>
      <c r="M9368" t="s">
        <v>46064</v>
      </c>
      <c r="N9368" t="s">
        <v>47304</v>
      </c>
      <c r="O9368" t="s">
        <v>47305</v>
      </c>
      <c r="P9368">
        <v>0</v>
      </c>
      <c r="Q9368">
        <v>0</v>
      </c>
      <c r="R9368" t="s">
        <v>47313</v>
      </c>
      <c r="S9368" t="s">
        <v>47535</v>
      </c>
      <c r="T9368" t="s">
        <v>49071</v>
      </c>
      <c r="U9368" t="s">
        <v>57216</v>
      </c>
      <c r="W9368" t="s">
        <v>46064</v>
      </c>
      <c r="X9368" t="s">
        <v>47314</v>
      </c>
    </row>
    <row r="9369" spans="1:24">
      <c r="A9369">
        <f>HYPERLINK("https://www.philgeps.gov.ph/GEPSNONPILOT/Tender/SplashBidNoticeAbstractUI.aspx?menuIndex=3&amp;refID=7183728&amp;Result=3","7183728")</f>
        <v>0</v>
      </c>
      <c r="B9369" t="s">
        <v>1917</v>
      </c>
      <c r="C9369" t="s">
        <v>12684</v>
      </c>
      <c r="D9369" t="s">
        <v>19070</v>
      </c>
      <c r="E9369" t="s">
        <v>27108</v>
      </c>
      <c r="F9369" t="s">
        <v>32606</v>
      </c>
      <c r="G9369" t="s">
        <v>32613</v>
      </c>
      <c r="H9369" t="s">
        <v>32623</v>
      </c>
      <c r="I9369" t="s">
        <v>17648</v>
      </c>
      <c r="J9369" t="s">
        <v>38582</v>
      </c>
      <c r="K9369" t="s">
        <v>42684</v>
      </c>
      <c r="M9369" t="s">
        <v>46064</v>
      </c>
      <c r="N9369" t="s">
        <v>47304</v>
      </c>
      <c r="O9369" t="s">
        <v>47305</v>
      </c>
      <c r="P9369">
        <v>0</v>
      </c>
      <c r="Q9369">
        <v>0</v>
      </c>
      <c r="R9369" t="s">
        <v>47313</v>
      </c>
      <c r="S9369" t="s">
        <v>47535</v>
      </c>
      <c r="T9369" t="s">
        <v>49071</v>
      </c>
      <c r="U9369" t="s">
        <v>57216</v>
      </c>
      <c r="W9369" t="s">
        <v>46064</v>
      </c>
      <c r="X9369" t="s">
        <v>47314</v>
      </c>
    </row>
    <row r="9370" spans="1:24">
      <c r="A9370">
        <f>HYPERLINK("https://www.philgeps.gov.ph/GEPSNONPILOT/Tender/SplashBidNoticeAbstractUI.aspx?menuIndex=3&amp;refID=7183450&amp;Result=3","7183450")</f>
        <v>0</v>
      </c>
      <c r="B9370" t="s">
        <v>2883</v>
      </c>
      <c r="C9370" t="s">
        <v>12685</v>
      </c>
      <c r="D9370" t="s">
        <v>19057</v>
      </c>
      <c r="E9370" t="s">
        <v>27109</v>
      </c>
      <c r="F9370" t="s">
        <v>32606</v>
      </c>
      <c r="G9370" t="s">
        <v>32613</v>
      </c>
      <c r="H9370" t="s">
        <v>14201</v>
      </c>
      <c r="I9370" t="s">
        <v>32685</v>
      </c>
      <c r="J9370" t="s">
        <v>38583</v>
      </c>
      <c r="K9370" t="s">
        <v>42639</v>
      </c>
      <c r="M9370" t="s">
        <v>46056</v>
      </c>
      <c r="N9370" t="s">
        <v>47304</v>
      </c>
      <c r="O9370" t="s">
        <v>47305</v>
      </c>
      <c r="P9370">
        <v>0</v>
      </c>
      <c r="Q9370">
        <v>0</v>
      </c>
      <c r="R9370" t="s">
        <v>47313</v>
      </c>
      <c r="S9370" t="s">
        <v>47535</v>
      </c>
      <c r="T9370" t="s">
        <v>49269</v>
      </c>
      <c r="U9370" t="s">
        <v>57230</v>
      </c>
      <c r="W9370" t="s">
        <v>46056</v>
      </c>
      <c r="X9370" t="s">
        <v>47315</v>
      </c>
    </row>
    <row r="9371" spans="1:24">
      <c r="A9371">
        <f>HYPERLINK("https://www.philgeps.gov.ph/GEPSNONPILOT/Tender/SplashBidNoticeAbstractUI.aspx?menuIndex=3&amp;refID=7182067&amp;Result=3","7182067")</f>
        <v>0</v>
      </c>
      <c r="B9371" t="s">
        <v>2115</v>
      </c>
      <c r="C9371" t="s">
        <v>12686</v>
      </c>
      <c r="D9371" t="s">
        <v>19008</v>
      </c>
      <c r="E9371" t="s">
        <v>27110</v>
      </c>
      <c r="F9371" t="s">
        <v>32606</v>
      </c>
      <c r="G9371" t="s">
        <v>32613</v>
      </c>
      <c r="H9371" t="s">
        <v>14201</v>
      </c>
      <c r="I9371" t="s">
        <v>32633</v>
      </c>
      <c r="J9371" t="s">
        <v>38584</v>
      </c>
      <c r="K9371" t="s">
        <v>42638</v>
      </c>
      <c r="M9371" t="s">
        <v>45789</v>
      </c>
      <c r="N9371" t="s">
        <v>47304</v>
      </c>
      <c r="O9371" t="s">
        <v>47305</v>
      </c>
      <c r="P9371">
        <v>0</v>
      </c>
      <c r="Q9371">
        <v>1</v>
      </c>
      <c r="R9371" t="s">
        <v>47313</v>
      </c>
      <c r="S9371" t="s">
        <v>47535</v>
      </c>
      <c r="T9371" t="s">
        <v>49071</v>
      </c>
      <c r="U9371" t="s">
        <v>57277</v>
      </c>
      <c r="V9371" t="s">
        <v>63377</v>
      </c>
      <c r="W9371" t="s">
        <v>45789</v>
      </c>
      <c r="X9371" t="s">
        <v>47315</v>
      </c>
    </row>
    <row r="9372" spans="1:24">
      <c r="A9372">
        <f>HYPERLINK("https://www.philgeps.gov.ph/GEPSNONPILOT/Tender/SplashBidNoticeAbstractUI.aspx?menuIndex=3&amp;refID=7183463&amp;Result=3","7183463")</f>
        <v>0</v>
      </c>
      <c r="B9372" t="s">
        <v>2914</v>
      </c>
      <c r="C9372" t="s">
        <v>12687</v>
      </c>
      <c r="E9372" t="s">
        <v>24957</v>
      </c>
      <c r="F9372" t="s">
        <v>32606</v>
      </c>
      <c r="G9372" t="s">
        <v>32614</v>
      </c>
      <c r="H9372" t="s">
        <v>14201</v>
      </c>
      <c r="I9372" t="s">
        <v>32625</v>
      </c>
      <c r="J9372" t="s">
        <v>33051</v>
      </c>
      <c r="K9372" t="s">
        <v>42624</v>
      </c>
      <c r="M9372" t="s">
        <v>46092</v>
      </c>
      <c r="N9372" t="s">
        <v>47304</v>
      </c>
      <c r="O9372" t="s">
        <v>47305</v>
      </c>
      <c r="P9372">
        <v>0</v>
      </c>
      <c r="Q9372">
        <v>8</v>
      </c>
      <c r="R9372" t="s">
        <v>47313</v>
      </c>
      <c r="S9372" t="s">
        <v>47535</v>
      </c>
      <c r="T9372" t="s">
        <v>49268</v>
      </c>
      <c r="U9372" t="s">
        <v>57278</v>
      </c>
      <c r="W9372" t="s">
        <v>64522</v>
      </c>
      <c r="X9372" t="s">
        <v>47315</v>
      </c>
    </row>
    <row r="9373" spans="1:24">
      <c r="A9373">
        <f>HYPERLINK("https://www.philgeps.gov.ph/GEPSNONPILOT/Tender/SplashBidNoticeAbstractUI.aspx?menuIndex=3&amp;refID=7183888&amp;Result=3","7183888")</f>
        <v>0</v>
      </c>
      <c r="B9373" t="s">
        <v>2871</v>
      </c>
      <c r="C9373" t="s">
        <v>12688</v>
      </c>
      <c r="D9373" t="s">
        <v>19025</v>
      </c>
      <c r="E9373" t="s">
        <v>25067</v>
      </c>
      <c r="F9373" t="s">
        <v>32606</v>
      </c>
      <c r="G9373" t="s">
        <v>32613</v>
      </c>
      <c r="H9373" t="s">
        <v>14201</v>
      </c>
      <c r="I9373" t="s">
        <v>6931</v>
      </c>
      <c r="J9373" t="s">
        <v>38585</v>
      </c>
      <c r="K9373" t="s">
        <v>42624</v>
      </c>
      <c r="M9373" t="s">
        <v>46093</v>
      </c>
      <c r="N9373" t="s">
        <v>47304</v>
      </c>
      <c r="O9373" t="s">
        <v>47305</v>
      </c>
      <c r="P9373">
        <v>0</v>
      </c>
      <c r="Q9373">
        <v>2</v>
      </c>
      <c r="R9373" t="s">
        <v>47313</v>
      </c>
      <c r="S9373" t="s">
        <v>47535</v>
      </c>
      <c r="T9373" t="s">
        <v>49390</v>
      </c>
      <c r="U9373" t="s">
        <v>57279</v>
      </c>
      <c r="W9373" t="s">
        <v>46093</v>
      </c>
      <c r="X9373" t="s">
        <v>47314</v>
      </c>
    </row>
    <row r="9374" spans="1:24">
      <c r="A9374">
        <f>HYPERLINK("https://www.philgeps.gov.ph/GEPSNONPILOT/Tender/SplashBidNoticeAbstractUI.aspx?menuIndex=3&amp;refID=7182161&amp;Result=3","7182161")</f>
        <v>0</v>
      </c>
      <c r="B9374" t="s">
        <v>2115</v>
      </c>
      <c r="C9374" t="s">
        <v>12689</v>
      </c>
      <c r="D9374" t="s">
        <v>19008</v>
      </c>
      <c r="E9374" t="s">
        <v>27111</v>
      </c>
      <c r="F9374" t="s">
        <v>32606</v>
      </c>
      <c r="G9374" t="s">
        <v>32613</v>
      </c>
      <c r="H9374" t="s">
        <v>14201</v>
      </c>
      <c r="I9374" t="s">
        <v>32633</v>
      </c>
      <c r="J9374" t="s">
        <v>32813</v>
      </c>
      <c r="K9374" t="s">
        <v>42638</v>
      </c>
      <c r="M9374" t="s">
        <v>45789</v>
      </c>
      <c r="N9374" t="s">
        <v>47304</v>
      </c>
      <c r="O9374" t="s">
        <v>47305</v>
      </c>
      <c r="P9374">
        <v>0</v>
      </c>
      <c r="Q9374">
        <v>2</v>
      </c>
      <c r="R9374" t="s">
        <v>47313</v>
      </c>
      <c r="S9374" t="s">
        <v>47535</v>
      </c>
      <c r="T9374" t="s">
        <v>49071</v>
      </c>
      <c r="U9374" t="s">
        <v>57280</v>
      </c>
      <c r="V9374" t="s">
        <v>63377</v>
      </c>
      <c r="W9374" t="s">
        <v>45789</v>
      </c>
      <c r="X9374" t="s">
        <v>47315</v>
      </c>
    </row>
    <row r="9375" spans="1:24">
      <c r="A9375">
        <f>HYPERLINK("https://www.philgeps.gov.ph/GEPSNONPILOT/Tender/SplashBidNoticeAbstractUI.aspx?menuIndex=3&amp;refID=7183730&amp;Result=3","7183730")</f>
        <v>0</v>
      </c>
      <c r="B9375" t="s">
        <v>1917</v>
      </c>
      <c r="C9375" t="s">
        <v>12690</v>
      </c>
      <c r="D9375" t="s">
        <v>19070</v>
      </c>
      <c r="E9375" t="s">
        <v>27112</v>
      </c>
      <c r="F9375" t="s">
        <v>32606</v>
      </c>
      <c r="G9375" t="s">
        <v>32613</v>
      </c>
      <c r="H9375" t="s">
        <v>32623</v>
      </c>
      <c r="I9375" t="s">
        <v>17648</v>
      </c>
      <c r="J9375" t="s">
        <v>38586</v>
      </c>
      <c r="K9375" t="s">
        <v>42627</v>
      </c>
      <c r="M9375" t="s">
        <v>46064</v>
      </c>
      <c r="N9375" t="s">
        <v>47304</v>
      </c>
      <c r="O9375" t="s">
        <v>47305</v>
      </c>
      <c r="P9375">
        <v>0</v>
      </c>
      <c r="Q9375">
        <v>0</v>
      </c>
      <c r="R9375" t="s">
        <v>47313</v>
      </c>
      <c r="S9375" t="s">
        <v>47535</v>
      </c>
      <c r="T9375" t="s">
        <v>49071</v>
      </c>
      <c r="U9375" t="s">
        <v>57216</v>
      </c>
      <c r="W9375" t="s">
        <v>46064</v>
      </c>
      <c r="X9375" t="s">
        <v>47314</v>
      </c>
    </row>
    <row r="9376" spans="1:24">
      <c r="A9376">
        <f>HYPERLINK("https://www.philgeps.gov.ph/GEPSNONPILOT/Tender/SplashBidNoticeAbstractUI.aspx?menuIndex=3&amp;refID=7184027&amp;Result=3","7184027")</f>
        <v>0</v>
      </c>
      <c r="B9376" t="s">
        <v>487</v>
      </c>
      <c r="C9376" t="s">
        <v>12691</v>
      </c>
      <c r="D9376" t="s">
        <v>19027</v>
      </c>
      <c r="E9376" t="s">
        <v>27113</v>
      </c>
      <c r="F9376" t="s">
        <v>32606</v>
      </c>
      <c r="G9376" t="s">
        <v>32614</v>
      </c>
      <c r="H9376" t="s">
        <v>14201</v>
      </c>
      <c r="I9376" t="s">
        <v>32629</v>
      </c>
      <c r="J9376" t="s">
        <v>33738</v>
      </c>
      <c r="K9376" t="s">
        <v>42623</v>
      </c>
      <c r="M9376" t="s">
        <v>43399</v>
      </c>
      <c r="N9376" t="s">
        <v>47304</v>
      </c>
      <c r="O9376" t="s">
        <v>47305</v>
      </c>
      <c r="P9376">
        <v>0</v>
      </c>
      <c r="Q9376">
        <v>0</v>
      </c>
      <c r="R9376" t="s">
        <v>47313</v>
      </c>
      <c r="S9376" t="s">
        <v>47535</v>
      </c>
      <c r="T9376" t="s">
        <v>49020</v>
      </c>
      <c r="U9376" t="s">
        <v>57281</v>
      </c>
      <c r="W9376" t="s">
        <v>43399</v>
      </c>
      <c r="X9376" t="s">
        <v>47314</v>
      </c>
    </row>
    <row r="9377" spans="1:24">
      <c r="A9377">
        <f>HYPERLINK("https://www.philgeps.gov.ph/GEPSNONPILOT/Tender/SplashBidNoticeAbstractUI.aspx?menuIndex=3&amp;refID=7183966&amp;Result=3","7183966")</f>
        <v>0</v>
      </c>
      <c r="B9377" t="s">
        <v>2915</v>
      </c>
      <c r="C9377" t="s">
        <v>12692</v>
      </c>
      <c r="D9377" t="s">
        <v>19006</v>
      </c>
      <c r="E9377" t="s">
        <v>27114</v>
      </c>
      <c r="F9377" t="s">
        <v>32607</v>
      </c>
      <c r="G9377" t="s">
        <v>32613</v>
      </c>
      <c r="H9377" t="s">
        <v>14201</v>
      </c>
      <c r="I9377" t="s">
        <v>6931</v>
      </c>
      <c r="J9377" t="s">
        <v>38587</v>
      </c>
      <c r="K9377" t="s">
        <v>42622</v>
      </c>
      <c r="M9377" t="s">
        <v>46094</v>
      </c>
      <c r="N9377" t="s">
        <v>47304</v>
      </c>
      <c r="O9377" t="s">
        <v>47305</v>
      </c>
      <c r="P9377">
        <v>0</v>
      </c>
      <c r="Q9377">
        <v>0</v>
      </c>
      <c r="R9377" t="s">
        <v>47313</v>
      </c>
      <c r="S9377" t="s">
        <v>47535</v>
      </c>
      <c r="T9377" t="s">
        <v>49157</v>
      </c>
      <c r="U9377" t="s">
        <v>57282</v>
      </c>
      <c r="V9377" t="s">
        <v>53861</v>
      </c>
      <c r="W9377" t="s">
        <v>46094</v>
      </c>
      <c r="X9377" t="s">
        <v>47314</v>
      </c>
    </row>
    <row r="9378" spans="1:24">
      <c r="A9378">
        <f>HYPERLINK("https://www.philgeps.gov.ph/GEPSNONPILOT/Tender/SplashBidNoticeAbstractUI.aspx?menuIndex=3&amp;refID=7184013&amp;Result=3","7184013")</f>
        <v>0</v>
      </c>
      <c r="B9378" t="s">
        <v>1805</v>
      </c>
      <c r="C9378" t="s">
        <v>12693</v>
      </c>
      <c r="D9378" t="s">
        <v>19018</v>
      </c>
      <c r="E9378" t="s">
        <v>27115</v>
      </c>
      <c r="F9378" t="s">
        <v>32606</v>
      </c>
      <c r="G9378" t="s">
        <v>32615</v>
      </c>
      <c r="H9378" t="s">
        <v>14201</v>
      </c>
      <c r="I9378" t="s">
        <v>6298</v>
      </c>
      <c r="J9378" t="s">
        <v>37902</v>
      </c>
      <c r="K9378" t="s">
        <v>42624</v>
      </c>
      <c r="M9378" t="s">
        <v>44846</v>
      </c>
      <c r="N9378" t="s">
        <v>47304</v>
      </c>
      <c r="O9378" t="s">
        <v>47305</v>
      </c>
      <c r="P9378">
        <v>0</v>
      </c>
      <c r="Q9378">
        <v>0</v>
      </c>
      <c r="R9378" t="s">
        <v>47313</v>
      </c>
      <c r="S9378" t="s">
        <v>47535</v>
      </c>
      <c r="T9378" t="s">
        <v>48998</v>
      </c>
      <c r="U9378" t="s">
        <v>57283</v>
      </c>
      <c r="W9378" t="s">
        <v>44846</v>
      </c>
      <c r="X9378" t="s">
        <v>47314</v>
      </c>
    </row>
    <row r="9379" spans="1:24">
      <c r="A9379">
        <f>HYPERLINK("https://www.philgeps.gov.ph/GEPSNONPILOT/Tender/SplashBidNoticeAbstractUI.aspx?menuIndex=3&amp;refID=7184034&amp;Result=3","7184034")</f>
        <v>0</v>
      </c>
      <c r="B9379" t="s">
        <v>2916</v>
      </c>
      <c r="C9379" t="s">
        <v>12694</v>
      </c>
      <c r="D9379" t="s">
        <v>19002</v>
      </c>
      <c r="E9379" t="s">
        <v>19819</v>
      </c>
      <c r="F9379" t="s">
        <v>32607</v>
      </c>
      <c r="G9379" t="s">
        <v>32614</v>
      </c>
      <c r="H9379" t="s">
        <v>14201</v>
      </c>
      <c r="I9379" t="s">
        <v>4678</v>
      </c>
      <c r="J9379" t="s">
        <v>38588</v>
      </c>
      <c r="K9379" t="s">
        <v>42632</v>
      </c>
      <c r="M9379" t="s">
        <v>46095</v>
      </c>
      <c r="N9379" t="s">
        <v>47304</v>
      </c>
      <c r="O9379" t="s">
        <v>47305</v>
      </c>
      <c r="P9379">
        <v>0</v>
      </c>
      <c r="Q9379">
        <v>0</v>
      </c>
      <c r="R9379" t="s">
        <v>47313</v>
      </c>
      <c r="S9379" t="s">
        <v>47535</v>
      </c>
      <c r="T9379" t="s">
        <v>49330</v>
      </c>
      <c r="U9379" t="s">
        <v>57284</v>
      </c>
      <c r="V9379" t="s">
        <v>63632</v>
      </c>
      <c r="W9379" t="s">
        <v>46095</v>
      </c>
      <c r="X9379" t="s">
        <v>47314</v>
      </c>
    </row>
    <row r="9380" spans="1:24">
      <c r="A9380">
        <f>HYPERLINK("https://www.philgeps.gov.ph/GEPSNONPILOT/Tender/SplashBidNoticeAbstractUI.aspx?menuIndex=3&amp;refID=7184008&amp;Result=3","7184008")</f>
        <v>0</v>
      </c>
      <c r="B9380" t="s">
        <v>2917</v>
      </c>
      <c r="C9380" t="s">
        <v>12695</v>
      </c>
      <c r="D9380" t="s">
        <v>19056</v>
      </c>
      <c r="E9380" t="s">
        <v>27116</v>
      </c>
      <c r="F9380" t="s">
        <v>32606</v>
      </c>
      <c r="G9380" t="s">
        <v>32614</v>
      </c>
      <c r="H9380" t="s">
        <v>14201</v>
      </c>
      <c r="I9380" t="s">
        <v>4678</v>
      </c>
      <c r="J9380" t="s">
        <v>36616</v>
      </c>
      <c r="K9380" t="s">
        <v>42623</v>
      </c>
      <c r="M9380" t="s">
        <v>46096</v>
      </c>
      <c r="N9380" t="s">
        <v>47304</v>
      </c>
      <c r="O9380" t="s">
        <v>47305</v>
      </c>
      <c r="P9380">
        <v>0</v>
      </c>
      <c r="Q9380">
        <v>2</v>
      </c>
      <c r="R9380" t="s">
        <v>47313</v>
      </c>
      <c r="S9380" t="s">
        <v>47535</v>
      </c>
      <c r="T9380" t="s">
        <v>48998</v>
      </c>
      <c r="U9380" t="s">
        <v>57285</v>
      </c>
      <c r="W9380" t="s">
        <v>46525</v>
      </c>
      <c r="X9380" t="s">
        <v>47314</v>
      </c>
    </row>
    <row r="9381" spans="1:24">
      <c r="A9381">
        <f>HYPERLINK("https://www.philgeps.gov.ph/GEPSNONPILOT/Tender/SplashBidNoticeAbstractUI.aspx?menuIndex=3&amp;refID=7184007&amp;Result=3","7184007")</f>
        <v>0</v>
      </c>
      <c r="B9381" t="s">
        <v>609</v>
      </c>
      <c r="C9381" t="s">
        <v>12696</v>
      </c>
      <c r="D9381" t="s">
        <v>19024</v>
      </c>
      <c r="E9381" t="s">
        <v>27117</v>
      </c>
      <c r="F9381" t="s">
        <v>32606</v>
      </c>
      <c r="G9381" t="s">
        <v>32619</v>
      </c>
      <c r="H9381" t="s">
        <v>14201</v>
      </c>
      <c r="I9381" t="s">
        <v>32631</v>
      </c>
      <c r="J9381" t="s">
        <v>38589</v>
      </c>
      <c r="K9381" t="s">
        <v>42624</v>
      </c>
      <c r="M9381" t="s">
        <v>43526</v>
      </c>
      <c r="N9381" t="s">
        <v>47304</v>
      </c>
      <c r="O9381" t="s">
        <v>47305</v>
      </c>
      <c r="P9381">
        <v>0</v>
      </c>
      <c r="Q9381">
        <v>0</v>
      </c>
      <c r="R9381" t="s">
        <v>47313</v>
      </c>
      <c r="S9381" t="s">
        <v>47535</v>
      </c>
      <c r="T9381" t="s">
        <v>49374</v>
      </c>
      <c r="U9381" t="s">
        <v>57286</v>
      </c>
      <c r="W9381" t="s">
        <v>43526</v>
      </c>
      <c r="X9381" t="s">
        <v>47314</v>
      </c>
    </row>
    <row r="9382" spans="1:24">
      <c r="A9382">
        <f>HYPERLINK("https://www.philgeps.gov.ph/GEPSNONPILOT/Tender/SplashBidNoticeAbstractUI.aspx?menuIndex=3&amp;refID=7184002&amp;Result=3","7184002")</f>
        <v>0</v>
      </c>
      <c r="B9382" t="s">
        <v>801</v>
      </c>
      <c r="C9382" t="s">
        <v>12697</v>
      </c>
      <c r="D9382" t="s">
        <v>19008</v>
      </c>
      <c r="E9382" t="s">
        <v>27118</v>
      </c>
      <c r="F9382" t="s">
        <v>32606</v>
      </c>
      <c r="G9382" t="s">
        <v>32619</v>
      </c>
      <c r="H9382" t="s">
        <v>14201</v>
      </c>
      <c r="I9382" t="s">
        <v>6007</v>
      </c>
      <c r="J9382" t="s">
        <v>32799</v>
      </c>
      <c r="K9382" t="s">
        <v>42661</v>
      </c>
      <c r="M9382" t="s">
        <v>43732</v>
      </c>
      <c r="N9382" t="s">
        <v>47304</v>
      </c>
      <c r="O9382" t="s">
        <v>47305</v>
      </c>
      <c r="P9382">
        <v>0</v>
      </c>
      <c r="Q9382">
        <v>2</v>
      </c>
      <c r="R9382" t="s">
        <v>47313</v>
      </c>
      <c r="S9382" t="s">
        <v>47535</v>
      </c>
      <c r="T9382" t="s">
        <v>49268</v>
      </c>
      <c r="U9382" t="s">
        <v>57287</v>
      </c>
      <c r="V9382" t="s">
        <v>63633</v>
      </c>
      <c r="W9382" t="s">
        <v>43732</v>
      </c>
      <c r="X9382" t="s">
        <v>47314</v>
      </c>
    </row>
    <row r="9383" spans="1:24">
      <c r="A9383">
        <f>HYPERLINK("https://www.philgeps.gov.ph/GEPSNONPILOT/Tender/SplashBidNoticeAbstractUI.aspx?menuIndex=3&amp;refID=7183992&amp;Result=3","7183992")</f>
        <v>0</v>
      </c>
      <c r="B9383" t="s">
        <v>1854</v>
      </c>
      <c r="C9383" t="s">
        <v>12698</v>
      </c>
      <c r="D9383" t="s">
        <v>19034</v>
      </c>
      <c r="E9383" t="s">
        <v>27119</v>
      </c>
      <c r="F9383" t="s">
        <v>32606</v>
      </c>
      <c r="G9383" t="s">
        <v>32613</v>
      </c>
      <c r="H9383" t="s">
        <v>14201</v>
      </c>
      <c r="I9383" t="s">
        <v>17648</v>
      </c>
      <c r="J9383" t="s">
        <v>32778</v>
      </c>
      <c r="K9383" t="s">
        <v>42623</v>
      </c>
      <c r="M9383" t="s">
        <v>44908</v>
      </c>
      <c r="N9383" t="s">
        <v>47304</v>
      </c>
      <c r="O9383" t="s">
        <v>47305</v>
      </c>
      <c r="P9383">
        <v>0</v>
      </c>
      <c r="Q9383">
        <v>4</v>
      </c>
      <c r="R9383" t="s">
        <v>47313</v>
      </c>
      <c r="S9383" t="s">
        <v>47535</v>
      </c>
      <c r="T9383" t="s">
        <v>49075</v>
      </c>
      <c r="U9383" t="s">
        <v>57288</v>
      </c>
      <c r="W9383" t="s">
        <v>44908</v>
      </c>
      <c r="X9383" t="s">
        <v>47314</v>
      </c>
    </row>
    <row r="9384" spans="1:24">
      <c r="A9384">
        <f>HYPERLINK("https://www.philgeps.gov.ph/GEPSNONPILOT/Tender/SplashBidNoticeAbstractUI.aspx?menuIndex=3&amp;refID=7184023&amp;Result=3","7184023")</f>
        <v>0</v>
      </c>
      <c r="B9384" t="s">
        <v>401</v>
      </c>
      <c r="C9384" t="s">
        <v>12699</v>
      </c>
      <c r="D9384" t="s">
        <v>19033</v>
      </c>
      <c r="E9384" t="s">
        <v>27120</v>
      </c>
      <c r="F9384" t="s">
        <v>32606</v>
      </c>
      <c r="G9384" t="s">
        <v>32614</v>
      </c>
      <c r="H9384" t="s">
        <v>14201</v>
      </c>
      <c r="I9384" t="s">
        <v>4678</v>
      </c>
      <c r="J9384" t="s">
        <v>33859</v>
      </c>
      <c r="K9384" t="s">
        <v>42630</v>
      </c>
      <c r="M9384" t="s">
        <v>43304</v>
      </c>
      <c r="N9384" t="s">
        <v>47304</v>
      </c>
      <c r="O9384" t="s">
        <v>47305</v>
      </c>
      <c r="P9384">
        <v>0</v>
      </c>
      <c r="Q9384">
        <v>0</v>
      </c>
      <c r="R9384" t="s">
        <v>47313</v>
      </c>
      <c r="S9384" t="s">
        <v>47535</v>
      </c>
      <c r="T9384" t="s">
        <v>49315</v>
      </c>
      <c r="U9384" t="s">
        <v>50248</v>
      </c>
      <c r="W9384" t="s">
        <v>43304</v>
      </c>
      <c r="X9384" t="s">
        <v>47314</v>
      </c>
    </row>
    <row r="9385" spans="1:24">
      <c r="A9385">
        <f>HYPERLINK("https://www.philgeps.gov.ph/GEPSNONPILOT/Tender/SplashBidNoticeAbstractUI.aspx?menuIndex=3&amp;refID=7183986&amp;Result=3","7183986")</f>
        <v>0</v>
      </c>
      <c r="B9385" t="s">
        <v>2310</v>
      </c>
      <c r="C9385" t="s">
        <v>12700</v>
      </c>
      <c r="D9385" t="s">
        <v>19003</v>
      </c>
      <c r="E9385" t="s">
        <v>21941</v>
      </c>
      <c r="F9385" t="s">
        <v>32606</v>
      </c>
      <c r="G9385" t="s">
        <v>32613</v>
      </c>
      <c r="H9385" t="s">
        <v>14201</v>
      </c>
      <c r="I9385" t="s">
        <v>6931</v>
      </c>
      <c r="J9385" t="s">
        <v>38590</v>
      </c>
      <c r="K9385" t="s">
        <v>42623</v>
      </c>
      <c r="M9385" t="s">
        <v>45416</v>
      </c>
      <c r="N9385" t="s">
        <v>47304</v>
      </c>
      <c r="O9385" t="s">
        <v>47305</v>
      </c>
      <c r="P9385">
        <v>0</v>
      </c>
      <c r="Q9385">
        <v>0</v>
      </c>
      <c r="R9385" t="s">
        <v>47313</v>
      </c>
      <c r="S9385" t="s">
        <v>47535</v>
      </c>
      <c r="T9385" t="s">
        <v>49268</v>
      </c>
      <c r="U9385" t="s">
        <v>57289</v>
      </c>
      <c r="V9385" t="s">
        <v>63318</v>
      </c>
      <c r="W9385" t="s">
        <v>45416</v>
      </c>
      <c r="X9385" t="s">
        <v>47314</v>
      </c>
    </row>
    <row r="9386" spans="1:24">
      <c r="A9386">
        <f>HYPERLINK("https://www.philgeps.gov.ph/GEPSNONPILOT/Tender/SplashBidNoticeAbstractUI.aspx?menuIndex=3&amp;refID=7183921&amp;Result=3","7183921")</f>
        <v>0</v>
      </c>
      <c r="B9386" t="s">
        <v>1854</v>
      </c>
      <c r="C9386" t="s">
        <v>12701</v>
      </c>
      <c r="D9386" t="s">
        <v>19034</v>
      </c>
      <c r="E9386" t="s">
        <v>27121</v>
      </c>
      <c r="F9386" t="s">
        <v>32606</v>
      </c>
      <c r="G9386" t="s">
        <v>32613</v>
      </c>
      <c r="H9386" t="s">
        <v>32623</v>
      </c>
      <c r="I9386" t="s">
        <v>32659</v>
      </c>
      <c r="J9386" t="s">
        <v>38591</v>
      </c>
      <c r="K9386" t="s">
        <v>42623</v>
      </c>
      <c r="M9386" t="s">
        <v>44908</v>
      </c>
      <c r="N9386" t="s">
        <v>47304</v>
      </c>
      <c r="O9386" t="s">
        <v>47305</v>
      </c>
      <c r="P9386">
        <v>0</v>
      </c>
      <c r="Q9386">
        <v>5</v>
      </c>
      <c r="R9386" t="s">
        <v>47313</v>
      </c>
      <c r="S9386" t="s">
        <v>47535</v>
      </c>
      <c r="T9386" t="s">
        <v>49075</v>
      </c>
      <c r="U9386" t="s">
        <v>57290</v>
      </c>
      <c r="W9386" t="s">
        <v>44908</v>
      </c>
      <c r="X9386" t="s">
        <v>47314</v>
      </c>
    </row>
    <row r="9387" spans="1:24">
      <c r="A9387">
        <f>HYPERLINK("https://www.philgeps.gov.ph/GEPSNONPILOT/Tender/SplashBidNoticeAbstractUI.aspx?menuIndex=3&amp;refID=7183983&amp;Result=3","7183983")</f>
        <v>0</v>
      </c>
      <c r="B9387" t="s">
        <v>2887</v>
      </c>
      <c r="C9387" t="s">
        <v>12702</v>
      </c>
      <c r="D9387" t="s">
        <v>18997</v>
      </c>
      <c r="E9387" t="s">
        <v>27122</v>
      </c>
      <c r="F9387" t="s">
        <v>32606</v>
      </c>
      <c r="G9387" t="s">
        <v>32613</v>
      </c>
      <c r="H9387" t="s">
        <v>14201</v>
      </c>
      <c r="I9387" t="s">
        <v>6931</v>
      </c>
      <c r="J9387" t="s">
        <v>38592</v>
      </c>
      <c r="K9387" t="s">
        <v>42627</v>
      </c>
      <c r="M9387" t="s">
        <v>46060</v>
      </c>
      <c r="N9387" t="s">
        <v>47304</v>
      </c>
      <c r="O9387" t="s">
        <v>47305</v>
      </c>
      <c r="P9387">
        <v>0</v>
      </c>
      <c r="Q9387">
        <v>0</v>
      </c>
      <c r="R9387" t="s">
        <v>47313</v>
      </c>
      <c r="S9387" t="s">
        <v>47535</v>
      </c>
      <c r="T9387" t="s">
        <v>49023</v>
      </c>
      <c r="U9387" t="s">
        <v>57291</v>
      </c>
      <c r="W9387" t="s">
        <v>46060</v>
      </c>
      <c r="X9387" t="s">
        <v>47314</v>
      </c>
    </row>
    <row r="9388" spans="1:24">
      <c r="A9388">
        <f>HYPERLINK("https://www.philgeps.gov.ph/GEPSNONPILOT/Tender/SplashBidNoticeAbstractUI.aspx?menuIndex=3&amp;refID=7183974&amp;Result=3","7183974")</f>
        <v>0</v>
      </c>
      <c r="B9388" t="s">
        <v>243</v>
      </c>
      <c r="C9388" t="s">
        <v>12703</v>
      </c>
      <c r="D9388" t="s">
        <v>19027</v>
      </c>
      <c r="E9388" t="s">
        <v>27123</v>
      </c>
      <c r="F9388" t="s">
        <v>32606</v>
      </c>
      <c r="G9388" t="s">
        <v>32619</v>
      </c>
      <c r="H9388" t="s">
        <v>14201</v>
      </c>
      <c r="I9388" t="s">
        <v>6993</v>
      </c>
      <c r="J9388" t="s">
        <v>33092</v>
      </c>
      <c r="K9388" t="s">
        <v>42624</v>
      </c>
      <c r="M9388" t="s">
        <v>44391</v>
      </c>
      <c r="N9388" t="s">
        <v>47304</v>
      </c>
      <c r="O9388" t="s">
        <v>47305</v>
      </c>
      <c r="P9388">
        <v>0</v>
      </c>
      <c r="Q9388">
        <v>1</v>
      </c>
      <c r="R9388" t="s">
        <v>47313</v>
      </c>
      <c r="S9388" t="s">
        <v>47535</v>
      </c>
      <c r="T9388" t="s">
        <v>48998</v>
      </c>
      <c r="U9388" t="s">
        <v>57292</v>
      </c>
      <c r="W9388" t="s">
        <v>64471</v>
      </c>
      <c r="X9388" t="s">
        <v>47314</v>
      </c>
    </row>
    <row r="9389" spans="1:24">
      <c r="A9389">
        <f>HYPERLINK("https://www.philgeps.gov.ph/GEPSNONPILOT/Tender/SplashBidNoticeAbstractUI.aspx?menuIndex=3&amp;refID=7183973&amp;Result=3","7183973")</f>
        <v>0</v>
      </c>
      <c r="B9389" t="s">
        <v>2912</v>
      </c>
      <c r="C9389" t="s">
        <v>12704</v>
      </c>
      <c r="D9389" t="s">
        <v>19011</v>
      </c>
      <c r="E9389" t="s">
        <v>27124</v>
      </c>
      <c r="F9389" t="s">
        <v>32606</v>
      </c>
      <c r="G9389" t="s">
        <v>32613</v>
      </c>
      <c r="H9389" t="s">
        <v>14201</v>
      </c>
      <c r="I9389" t="s">
        <v>7677</v>
      </c>
      <c r="J9389" t="s">
        <v>32765</v>
      </c>
      <c r="K9389" t="s">
        <v>42631</v>
      </c>
      <c r="M9389" t="s">
        <v>46090</v>
      </c>
      <c r="N9389" t="s">
        <v>47304</v>
      </c>
      <c r="O9389" t="s">
        <v>47305</v>
      </c>
      <c r="P9389">
        <v>0</v>
      </c>
      <c r="Q9389">
        <v>1</v>
      </c>
      <c r="R9389" t="s">
        <v>47313</v>
      </c>
      <c r="S9389" t="s">
        <v>47535</v>
      </c>
      <c r="T9389" t="s">
        <v>48995</v>
      </c>
      <c r="U9389" t="s">
        <v>57293</v>
      </c>
      <c r="W9389" t="s">
        <v>46090</v>
      </c>
      <c r="X9389" t="s">
        <v>47314</v>
      </c>
    </row>
    <row r="9390" spans="1:24">
      <c r="A9390">
        <f>HYPERLINK("https://www.philgeps.gov.ph/GEPSNONPILOT/Tender/SplashBidNoticeAbstractUI.aspx?menuIndex=3&amp;refID=7184004&amp;Result=3","7184004")</f>
        <v>0</v>
      </c>
      <c r="B9390" t="s">
        <v>2918</v>
      </c>
      <c r="C9390" t="s">
        <v>6869</v>
      </c>
      <c r="E9390" t="s">
        <v>21944</v>
      </c>
      <c r="F9390" t="s">
        <v>32606</v>
      </c>
      <c r="G9390" t="s">
        <v>32613</v>
      </c>
      <c r="H9390" t="s">
        <v>14201</v>
      </c>
      <c r="I9390" t="s">
        <v>6931</v>
      </c>
      <c r="J9390" t="s">
        <v>38593</v>
      </c>
      <c r="K9390" t="s">
        <v>42624</v>
      </c>
      <c r="M9390" t="s">
        <v>46097</v>
      </c>
      <c r="N9390" t="s">
        <v>47304</v>
      </c>
      <c r="O9390" t="s">
        <v>47305</v>
      </c>
      <c r="P9390">
        <v>0</v>
      </c>
      <c r="Q9390">
        <v>0</v>
      </c>
      <c r="R9390" t="s">
        <v>47313</v>
      </c>
      <c r="S9390" t="s">
        <v>47535</v>
      </c>
      <c r="T9390" t="s">
        <v>49268</v>
      </c>
      <c r="U9390" t="s">
        <v>52287</v>
      </c>
      <c r="W9390" t="s">
        <v>46097</v>
      </c>
      <c r="X9390" t="s">
        <v>47314</v>
      </c>
    </row>
    <row r="9391" spans="1:24">
      <c r="A9391">
        <f>HYPERLINK("https://www.philgeps.gov.ph/GEPSNONPILOT/Tender/SplashBidNoticeAbstractUI.aspx?menuIndex=3&amp;refID=7183968&amp;Result=3","7183968")</f>
        <v>0</v>
      </c>
      <c r="B9391" t="s">
        <v>1014</v>
      </c>
      <c r="C9391" t="s">
        <v>12705</v>
      </c>
      <c r="D9391" t="s">
        <v>19005</v>
      </c>
      <c r="E9391" t="s">
        <v>27125</v>
      </c>
      <c r="F9391" t="s">
        <v>32606</v>
      </c>
      <c r="G9391" t="s">
        <v>32614</v>
      </c>
      <c r="H9391" t="s">
        <v>14201</v>
      </c>
      <c r="I9391" t="s">
        <v>4112</v>
      </c>
      <c r="J9391" t="s">
        <v>33861</v>
      </c>
      <c r="K9391" t="s">
        <v>42646</v>
      </c>
      <c r="M9391" t="s">
        <v>46082</v>
      </c>
      <c r="N9391" t="s">
        <v>47304</v>
      </c>
      <c r="O9391" t="s">
        <v>47305</v>
      </c>
      <c r="Q9391">
        <v>0</v>
      </c>
      <c r="R9391" t="s">
        <v>47313</v>
      </c>
      <c r="S9391" t="s">
        <v>47557</v>
      </c>
      <c r="T9391" t="s">
        <v>49200</v>
      </c>
      <c r="U9391" t="s">
        <v>57294</v>
      </c>
      <c r="W9391" t="s">
        <v>46082</v>
      </c>
      <c r="X9391" t="s">
        <v>47314</v>
      </c>
    </row>
    <row r="9392" spans="1:24">
      <c r="A9392">
        <f>HYPERLINK("https://www.philgeps.gov.ph/GEPSNONPILOT/Tender/SplashBidNoticeAbstractUI.aspx?menuIndex=3&amp;refID=7183989&amp;Result=3","7183989")</f>
        <v>0</v>
      </c>
      <c r="B9392" t="s">
        <v>778</v>
      </c>
      <c r="C9392" t="s">
        <v>12706</v>
      </c>
      <c r="D9392" t="s">
        <v>19012</v>
      </c>
      <c r="E9392" t="s">
        <v>19410</v>
      </c>
      <c r="F9392" t="s">
        <v>32606</v>
      </c>
      <c r="G9392" t="s">
        <v>32615</v>
      </c>
      <c r="H9392" t="s">
        <v>14201</v>
      </c>
      <c r="I9392" t="s">
        <v>32631</v>
      </c>
      <c r="J9392" t="s">
        <v>38594</v>
      </c>
      <c r="K9392" t="s">
        <v>42623</v>
      </c>
      <c r="M9392" t="s">
        <v>43708</v>
      </c>
      <c r="N9392" t="s">
        <v>47304</v>
      </c>
      <c r="O9392" t="s">
        <v>47305</v>
      </c>
      <c r="P9392">
        <v>0</v>
      </c>
      <c r="Q9392">
        <v>0</v>
      </c>
      <c r="R9392" t="s">
        <v>47313</v>
      </c>
      <c r="S9392" t="s">
        <v>47535</v>
      </c>
      <c r="T9392" t="s">
        <v>49020</v>
      </c>
      <c r="U9392" t="s">
        <v>57295</v>
      </c>
      <c r="W9392" t="s">
        <v>43708</v>
      </c>
      <c r="X9392" t="s">
        <v>47314</v>
      </c>
    </row>
    <row r="9393" spans="1:24">
      <c r="A9393">
        <f>HYPERLINK("https://www.philgeps.gov.ph/GEPSNONPILOT/Tender/SplashBidNoticeAbstractUI.aspx?menuIndex=3&amp;refID=7183967&amp;Result=3","7183967")</f>
        <v>0</v>
      </c>
      <c r="B9393" t="s">
        <v>187</v>
      </c>
      <c r="C9393" t="s">
        <v>12707</v>
      </c>
      <c r="D9393" t="s">
        <v>19038</v>
      </c>
      <c r="E9393" t="s">
        <v>27126</v>
      </c>
      <c r="F9393" t="s">
        <v>32606</v>
      </c>
      <c r="G9393" t="s">
        <v>32613</v>
      </c>
      <c r="H9393" t="s">
        <v>14201</v>
      </c>
      <c r="I9393" t="s">
        <v>6298</v>
      </c>
      <c r="J9393" t="s">
        <v>38595</v>
      </c>
      <c r="K9393" t="s">
        <v>42622</v>
      </c>
      <c r="M9393" t="s">
        <v>43088</v>
      </c>
      <c r="N9393" t="s">
        <v>47304</v>
      </c>
      <c r="O9393" t="s">
        <v>47305</v>
      </c>
      <c r="P9393">
        <v>0</v>
      </c>
      <c r="Q9393">
        <v>0</v>
      </c>
      <c r="R9393" t="s">
        <v>47313</v>
      </c>
      <c r="S9393" t="s">
        <v>47535</v>
      </c>
      <c r="T9393" t="s">
        <v>48998</v>
      </c>
      <c r="U9393" t="s">
        <v>57296</v>
      </c>
      <c r="W9393" t="s">
        <v>43088</v>
      </c>
      <c r="X9393" t="s">
        <v>47314</v>
      </c>
    </row>
    <row r="9394" spans="1:24">
      <c r="A9394">
        <f>HYPERLINK("https://www.philgeps.gov.ph/GEPSNONPILOT/Tender/SplashBidNoticeAbstractUI.aspx?menuIndex=3&amp;refID=7184089&amp;Result=3","7184089")</f>
        <v>0</v>
      </c>
      <c r="B9394" t="s">
        <v>1014</v>
      </c>
      <c r="C9394" t="s">
        <v>12708</v>
      </c>
      <c r="D9394" t="s">
        <v>19056</v>
      </c>
      <c r="E9394" t="s">
        <v>27127</v>
      </c>
      <c r="F9394" t="s">
        <v>32606</v>
      </c>
      <c r="G9394" t="s">
        <v>32614</v>
      </c>
      <c r="H9394" t="s">
        <v>14201</v>
      </c>
      <c r="I9394" t="s">
        <v>4112</v>
      </c>
      <c r="J9394" t="s">
        <v>38596</v>
      </c>
      <c r="K9394" t="s">
        <v>42646</v>
      </c>
      <c r="M9394" t="s">
        <v>46082</v>
      </c>
      <c r="N9394" t="s">
        <v>47304</v>
      </c>
      <c r="O9394" t="s">
        <v>47305</v>
      </c>
      <c r="Q9394">
        <v>0</v>
      </c>
      <c r="R9394" t="s">
        <v>47313</v>
      </c>
      <c r="S9394" t="s">
        <v>47558</v>
      </c>
      <c r="T9394" t="s">
        <v>49200</v>
      </c>
      <c r="U9394" t="s">
        <v>57297</v>
      </c>
      <c r="W9394" t="s">
        <v>46082</v>
      </c>
      <c r="X9394" t="s">
        <v>47314</v>
      </c>
    </row>
    <row r="9395" spans="1:24">
      <c r="A9395">
        <f>HYPERLINK("https://www.philgeps.gov.ph/GEPSNONPILOT/Tender/SplashBidNoticeAbstractUI.aspx?menuIndex=3&amp;refID=7183980&amp;Result=3","7183980")</f>
        <v>0</v>
      </c>
      <c r="B9395" t="s">
        <v>2919</v>
      </c>
      <c r="C9395" t="s">
        <v>12709</v>
      </c>
      <c r="D9395" t="s">
        <v>18992</v>
      </c>
      <c r="E9395" t="s">
        <v>27128</v>
      </c>
      <c r="F9395" t="s">
        <v>32606</v>
      </c>
      <c r="G9395" t="s">
        <v>32613</v>
      </c>
      <c r="H9395" t="s">
        <v>14201</v>
      </c>
      <c r="I9395" t="s">
        <v>6931</v>
      </c>
      <c r="J9395" t="s">
        <v>32799</v>
      </c>
      <c r="K9395" t="s">
        <v>42623</v>
      </c>
      <c r="M9395" t="s">
        <v>46098</v>
      </c>
      <c r="N9395" t="s">
        <v>47304</v>
      </c>
      <c r="O9395" t="s">
        <v>47305</v>
      </c>
      <c r="P9395">
        <v>0</v>
      </c>
      <c r="Q9395">
        <v>0</v>
      </c>
      <c r="R9395" t="s">
        <v>47313</v>
      </c>
      <c r="S9395" t="s">
        <v>47535</v>
      </c>
      <c r="T9395" t="s">
        <v>49268</v>
      </c>
      <c r="U9395" t="s">
        <v>57298</v>
      </c>
      <c r="W9395" t="s">
        <v>46098</v>
      </c>
      <c r="X9395" t="s">
        <v>47314</v>
      </c>
    </row>
    <row r="9396" spans="1:24">
      <c r="A9396">
        <f>HYPERLINK("https://www.philgeps.gov.ph/GEPSNONPILOT/Tender/SplashBidNoticeAbstractUI.aspx?menuIndex=3&amp;refID=7184088&amp;Result=3","7184088")</f>
        <v>0</v>
      </c>
      <c r="B9396" t="s">
        <v>401</v>
      </c>
      <c r="C9396" t="s">
        <v>12710</v>
      </c>
      <c r="D9396" t="s">
        <v>19033</v>
      </c>
      <c r="E9396" t="s">
        <v>27129</v>
      </c>
      <c r="F9396" t="s">
        <v>32606</v>
      </c>
      <c r="G9396" t="s">
        <v>32614</v>
      </c>
      <c r="H9396" t="s">
        <v>14201</v>
      </c>
      <c r="I9396" t="s">
        <v>6007</v>
      </c>
      <c r="J9396" t="s">
        <v>35867</v>
      </c>
      <c r="K9396" t="s">
        <v>42630</v>
      </c>
      <c r="M9396" t="s">
        <v>43304</v>
      </c>
      <c r="N9396" t="s">
        <v>47304</v>
      </c>
      <c r="O9396" t="s">
        <v>47305</v>
      </c>
      <c r="P9396">
        <v>0</v>
      </c>
      <c r="Q9396">
        <v>0</v>
      </c>
      <c r="R9396" t="s">
        <v>47313</v>
      </c>
      <c r="S9396" t="s">
        <v>47535</v>
      </c>
      <c r="T9396" t="s">
        <v>49315</v>
      </c>
      <c r="U9396" t="s">
        <v>50248</v>
      </c>
      <c r="W9396" t="s">
        <v>43304</v>
      </c>
      <c r="X9396" t="s">
        <v>47314</v>
      </c>
    </row>
    <row r="9397" spans="1:24">
      <c r="A9397">
        <f>HYPERLINK("https://www.philgeps.gov.ph/GEPSNONPILOT/Tender/SplashBidNoticeAbstractUI.aspx?menuIndex=3&amp;refID=7184080&amp;Result=3","7184080")</f>
        <v>0</v>
      </c>
      <c r="B9397" t="s">
        <v>1854</v>
      </c>
      <c r="C9397" t="s">
        <v>12711</v>
      </c>
      <c r="D9397" t="s">
        <v>19034</v>
      </c>
      <c r="E9397" t="s">
        <v>27130</v>
      </c>
      <c r="F9397" t="s">
        <v>32606</v>
      </c>
      <c r="G9397" t="s">
        <v>32613</v>
      </c>
      <c r="H9397" t="s">
        <v>14201</v>
      </c>
      <c r="I9397" t="s">
        <v>17648</v>
      </c>
      <c r="J9397" t="s">
        <v>32789</v>
      </c>
      <c r="K9397" t="s">
        <v>42623</v>
      </c>
      <c r="M9397" t="s">
        <v>44908</v>
      </c>
      <c r="N9397" t="s">
        <v>47304</v>
      </c>
      <c r="O9397" t="s">
        <v>47305</v>
      </c>
      <c r="P9397">
        <v>0</v>
      </c>
      <c r="Q9397">
        <v>4</v>
      </c>
      <c r="R9397" t="s">
        <v>47313</v>
      </c>
      <c r="S9397" t="s">
        <v>47535</v>
      </c>
      <c r="T9397" t="s">
        <v>49075</v>
      </c>
      <c r="U9397" t="s">
        <v>57299</v>
      </c>
      <c r="W9397" t="s">
        <v>44908</v>
      </c>
      <c r="X9397" t="s">
        <v>47314</v>
      </c>
    </row>
    <row r="9398" spans="1:24">
      <c r="A9398">
        <f>HYPERLINK("https://www.philgeps.gov.ph/GEPSNONPILOT/Tender/SplashBidNoticeAbstractUI.aspx?menuIndex=3&amp;refID=7184028&amp;Result=3","7184028")</f>
        <v>0</v>
      </c>
      <c r="B9398" t="s">
        <v>188</v>
      </c>
      <c r="C9398" t="s">
        <v>12712</v>
      </c>
      <c r="D9398" t="s">
        <v>19043</v>
      </c>
      <c r="E9398" t="s">
        <v>27131</v>
      </c>
      <c r="F9398" t="s">
        <v>32606</v>
      </c>
      <c r="G9398" t="s">
        <v>32613</v>
      </c>
      <c r="H9398" t="s">
        <v>14201</v>
      </c>
      <c r="I9398" t="s">
        <v>6931</v>
      </c>
      <c r="J9398" t="s">
        <v>38597</v>
      </c>
      <c r="K9398" t="s">
        <v>42624</v>
      </c>
      <c r="M9398" t="s">
        <v>43089</v>
      </c>
      <c r="N9398" t="s">
        <v>47304</v>
      </c>
      <c r="O9398" t="s">
        <v>47305</v>
      </c>
      <c r="P9398">
        <v>0</v>
      </c>
      <c r="Q9398">
        <v>0</v>
      </c>
      <c r="R9398" t="s">
        <v>47313</v>
      </c>
      <c r="S9398" t="s">
        <v>47535</v>
      </c>
      <c r="T9398" t="s">
        <v>49068</v>
      </c>
      <c r="U9398" t="s">
        <v>57300</v>
      </c>
      <c r="W9398" t="s">
        <v>43089</v>
      </c>
      <c r="X9398" t="s">
        <v>47314</v>
      </c>
    </row>
    <row r="9399" spans="1:24">
      <c r="A9399">
        <f>HYPERLINK("https://www.philgeps.gov.ph/GEPSNONPILOT/Tender/SplashBidNoticeAbstractUI.aspx?menuIndex=3&amp;refID=7184077&amp;Result=3","7184077")</f>
        <v>0</v>
      </c>
      <c r="B9399" t="s">
        <v>776</v>
      </c>
      <c r="C9399" t="s">
        <v>12713</v>
      </c>
      <c r="D9399" t="s">
        <v>19003</v>
      </c>
      <c r="E9399" t="s">
        <v>27132</v>
      </c>
      <c r="F9399" t="s">
        <v>32606</v>
      </c>
      <c r="G9399" t="s">
        <v>32614</v>
      </c>
      <c r="H9399" t="s">
        <v>14201</v>
      </c>
      <c r="I9399" t="s">
        <v>4112</v>
      </c>
      <c r="J9399" t="s">
        <v>38598</v>
      </c>
      <c r="K9399" t="s">
        <v>42622</v>
      </c>
      <c r="M9399" t="s">
        <v>43705</v>
      </c>
      <c r="N9399" t="s">
        <v>47304</v>
      </c>
      <c r="O9399" t="s">
        <v>47305</v>
      </c>
      <c r="P9399">
        <v>0</v>
      </c>
      <c r="Q9399">
        <v>1</v>
      </c>
      <c r="R9399" t="s">
        <v>47313</v>
      </c>
      <c r="S9399" t="s">
        <v>47535</v>
      </c>
      <c r="T9399" t="s">
        <v>49373</v>
      </c>
      <c r="U9399" t="s">
        <v>51470</v>
      </c>
      <c r="V9399" t="s">
        <v>62886</v>
      </c>
      <c r="W9399" t="s">
        <v>43705</v>
      </c>
      <c r="X9399" t="s">
        <v>47314</v>
      </c>
    </row>
    <row r="9400" spans="1:24">
      <c r="A9400">
        <f>HYPERLINK("https://www.philgeps.gov.ph/GEPSNONPILOT/Tender/SplashBidNoticeAbstractUI.aspx?menuIndex=3&amp;refID=7184076&amp;Result=3","7184076")</f>
        <v>0</v>
      </c>
      <c r="B9400" t="s">
        <v>716</v>
      </c>
      <c r="C9400" t="s">
        <v>12714</v>
      </c>
      <c r="D9400" t="s">
        <v>19008</v>
      </c>
      <c r="E9400" t="s">
        <v>27133</v>
      </c>
      <c r="F9400" t="s">
        <v>32606</v>
      </c>
      <c r="G9400" t="s">
        <v>32613</v>
      </c>
      <c r="H9400" t="s">
        <v>32623</v>
      </c>
      <c r="I9400" t="s">
        <v>17648</v>
      </c>
      <c r="J9400" t="s">
        <v>32770</v>
      </c>
      <c r="K9400" t="s">
        <v>42624</v>
      </c>
      <c r="M9400" t="s">
        <v>43637</v>
      </c>
      <c r="N9400" t="s">
        <v>47304</v>
      </c>
      <c r="O9400" t="s">
        <v>47305</v>
      </c>
      <c r="P9400">
        <v>0</v>
      </c>
      <c r="Q9400">
        <v>1</v>
      </c>
      <c r="R9400" t="s">
        <v>47313</v>
      </c>
      <c r="S9400" t="s">
        <v>47535</v>
      </c>
      <c r="T9400" t="s">
        <v>49014</v>
      </c>
      <c r="U9400" t="s">
        <v>57301</v>
      </c>
      <c r="W9400" t="s">
        <v>43637</v>
      </c>
      <c r="X9400" t="s">
        <v>47314</v>
      </c>
    </row>
    <row r="9401" spans="1:24">
      <c r="A9401">
        <f>HYPERLINK("https://www.philgeps.gov.ph/GEPSNONPILOT/Tender/SplashBidNoticeAbstractUI.aspx?menuIndex=3&amp;refID=7184081&amp;Result=3","7184081")</f>
        <v>0</v>
      </c>
      <c r="B9401" t="s">
        <v>716</v>
      </c>
      <c r="C9401" t="s">
        <v>12715</v>
      </c>
      <c r="D9401" t="s">
        <v>19008</v>
      </c>
      <c r="E9401" t="s">
        <v>27134</v>
      </c>
      <c r="F9401" t="s">
        <v>32606</v>
      </c>
      <c r="G9401" t="s">
        <v>32613</v>
      </c>
      <c r="H9401" t="s">
        <v>32623</v>
      </c>
      <c r="I9401" t="s">
        <v>17648</v>
      </c>
      <c r="J9401" t="s">
        <v>32772</v>
      </c>
      <c r="K9401" t="s">
        <v>42624</v>
      </c>
      <c r="M9401" t="s">
        <v>43637</v>
      </c>
      <c r="N9401" t="s">
        <v>47304</v>
      </c>
      <c r="O9401" t="s">
        <v>47305</v>
      </c>
      <c r="P9401">
        <v>0</v>
      </c>
      <c r="Q9401">
        <v>2</v>
      </c>
      <c r="R9401" t="s">
        <v>47313</v>
      </c>
      <c r="S9401" t="s">
        <v>47535</v>
      </c>
      <c r="T9401" t="s">
        <v>49014</v>
      </c>
      <c r="U9401" t="s">
        <v>57302</v>
      </c>
      <c r="W9401" t="s">
        <v>43637</v>
      </c>
      <c r="X9401" t="s">
        <v>47314</v>
      </c>
    </row>
    <row r="9402" spans="1:24">
      <c r="A9402">
        <f>HYPERLINK("https://www.philgeps.gov.ph/GEPSNONPILOT/Tender/SplashBidNoticeAbstractUI.aspx?menuIndex=3&amp;refID=7183890&amp;Result=3","7183890")</f>
        <v>0</v>
      </c>
      <c r="B9402" t="s">
        <v>778</v>
      </c>
      <c r="C9402" t="s">
        <v>12716</v>
      </c>
      <c r="D9402" t="s">
        <v>19012</v>
      </c>
      <c r="E9402" t="s">
        <v>27135</v>
      </c>
      <c r="F9402" t="s">
        <v>32606</v>
      </c>
      <c r="G9402" t="s">
        <v>32615</v>
      </c>
      <c r="H9402" t="s">
        <v>14201</v>
      </c>
      <c r="I9402" t="s">
        <v>6993</v>
      </c>
      <c r="J9402" t="s">
        <v>38599</v>
      </c>
      <c r="K9402" t="s">
        <v>42623</v>
      </c>
      <c r="M9402" t="s">
        <v>43708</v>
      </c>
      <c r="N9402" t="s">
        <v>47304</v>
      </c>
      <c r="O9402" t="s">
        <v>47305</v>
      </c>
      <c r="P9402">
        <v>0</v>
      </c>
      <c r="Q9402">
        <v>0</v>
      </c>
      <c r="R9402" t="s">
        <v>47313</v>
      </c>
      <c r="S9402" t="s">
        <v>47535</v>
      </c>
      <c r="T9402" t="s">
        <v>49020</v>
      </c>
      <c r="U9402" t="s">
        <v>57295</v>
      </c>
      <c r="W9402" t="s">
        <v>43708</v>
      </c>
      <c r="X9402" t="s">
        <v>47314</v>
      </c>
    </row>
    <row r="9403" spans="1:24">
      <c r="A9403">
        <f>HYPERLINK("https://www.philgeps.gov.ph/GEPSNONPILOT/Tender/SplashBidNoticeAbstractUI.aspx?menuIndex=3&amp;refID=7184061&amp;Result=3","7184061")</f>
        <v>0</v>
      </c>
      <c r="B9403" t="s">
        <v>716</v>
      </c>
      <c r="C9403" t="s">
        <v>12717</v>
      </c>
      <c r="D9403" t="s">
        <v>19008</v>
      </c>
      <c r="E9403" t="s">
        <v>27136</v>
      </c>
      <c r="F9403" t="s">
        <v>32606</v>
      </c>
      <c r="G9403" t="s">
        <v>32613</v>
      </c>
      <c r="H9403" t="s">
        <v>32623</v>
      </c>
      <c r="I9403" t="s">
        <v>17648</v>
      </c>
      <c r="J9403" t="s">
        <v>32821</v>
      </c>
      <c r="K9403" t="s">
        <v>42624</v>
      </c>
      <c r="M9403" t="s">
        <v>43637</v>
      </c>
      <c r="N9403" t="s">
        <v>47304</v>
      </c>
      <c r="O9403" t="s">
        <v>47305</v>
      </c>
      <c r="P9403">
        <v>0</v>
      </c>
      <c r="Q9403">
        <v>4</v>
      </c>
      <c r="R9403" t="s">
        <v>47313</v>
      </c>
      <c r="S9403" t="s">
        <v>47535</v>
      </c>
      <c r="T9403" t="s">
        <v>49014</v>
      </c>
      <c r="U9403" t="s">
        <v>57303</v>
      </c>
      <c r="W9403" t="s">
        <v>43637</v>
      </c>
      <c r="X9403" t="s">
        <v>47314</v>
      </c>
    </row>
    <row r="9404" spans="1:24">
      <c r="A9404">
        <f>HYPERLINK("https://www.philgeps.gov.ph/GEPSNONPILOT/Tender/SplashBidNoticeAbstractUI.aspx?menuIndex=3&amp;refID=7184060&amp;Result=3","7184060")</f>
        <v>0</v>
      </c>
      <c r="B9404" t="s">
        <v>2770</v>
      </c>
      <c r="C9404" t="s">
        <v>12718</v>
      </c>
      <c r="D9404" t="s">
        <v>19011</v>
      </c>
      <c r="E9404" t="s">
        <v>27137</v>
      </c>
      <c r="F9404" t="s">
        <v>32606</v>
      </c>
      <c r="G9404" t="s">
        <v>32614</v>
      </c>
      <c r="H9404" t="s">
        <v>14201</v>
      </c>
      <c r="I9404" t="s">
        <v>6931</v>
      </c>
      <c r="J9404" t="s">
        <v>33148</v>
      </c>
      <c r="K9404" t="s">
        <v>42631</v>
      </c>
      <c r="M9404" t="s">
        <v>45931</v>
      </c>
      <c r="N9404" t="s">
        <v>47304</v>
      </c>
      <c r="O9404" t="s">
        <v>47305</v>
      </c>
      <c r="P9404">
        <v>0</v>
      </c>
      <c r="Q9404">
        <v>1</v>
      </c>
      <c r="R9404" t="s">
        <v>47313</v>
      </c>
      <c r="S9404" t="s">
        <v>47535</v>
      </c>
      <c r="T9404" t="s">
        <v>49268</v>
      </c>
      <c r="U9404" t="s">
        <v>57304</v>
      </c>
      <c r="W9404" t="s">
        <v>45931</v>
      </c>
      <c r="X9404" t="s">
        <v>47314</v>
      </c>
    </row>
    <row r="9405" spans="1:24">
      <c r="A9405">
        <f>HYPERLINK("https://www.philgeps.gov.ph/GEPSNONPILOT/Tender/SplashBidNoticeAbstractUI.aspx?menuIndex=3&amp;refID=7184058&amp;Result=3","7184058")</f>
        <v>0</v>
      </c>
      <c r="B9405" t="s">
        <v>2920</v>
      </c>
      <c r="C9405" t="s">
        <v>12719</v>
      </c>
      <c r="D9405" t="s">
        <v>19040</v>
      </c>
      <c r="E9405" t="s">
        <v>20122</v>
      </c>
      <c r="F9405" t="s">
        <v>32606</v>
      </c>
      <c r="G9405" t="s">
        <v>32613</v>
      </c>
      <c r="H9405" t="s">
        <v>32623</v>
      </c>
      <c r="I9405" t="s">
        <v>17648</v>
      </c>
      <c r="J9405" t="s">
        <v>38600</v>
      </c>
      <c r="K9405" t="s">
        <v>42791</v>
      </c>
      <c r="M9405" t="s">
        <v>46099</v>
      </c>
      <c r="N9405" t="s">
        <v>47304</v>
      </c>
      <c r="O9405" t="s">
        <v>47305</v>
      </c>
      <c r="P9405">
        <v>0</v>
      </c>
      <c r="Q9405">
        <v>0</v>
      </c>
      <c r="R9405" t="s">
        <v>47313</v>
      </c>
      <c r="S9405" t="s">
        <v>47535</v>
      </c>
      <c r="T9405" t="s">
        <v>49268</v>
      </c>
      <c r="U9405" t="s">
        <v>57305</v>
      </c>
      <c r="W9405" t="s">
        <v>64523</v>
      </c>
      <c r="X9405" t="s">
        <v>47314</v>
      </c>
    </row>
    <row r="9406" spans="1:24">
      <c r="A9406">
        <f>HYPERLINK("https://www.philgeps.gov.ph/GEPSNONPILOT/Tender/SplashBidNoticeAbstractUI.aspx?menuIndex=3&amp;refID=7184056&amp;Result=3","7184056")</f>
        <v>0</v>
      </c>
      <c r="B9406" t="s">
        <v>401</v>
      </c>
      <c r="C9406" t="s">
        <v>12720</v>
      </c>
      <c r="D9406" t="s">
        <v>19033</v>
      </c>
      <c r="E9406" t="s">
        <v>27138</v>
      </c>
      <c r="F9406" t="s">
        <v>32606</v>
      </c>
      <c r="G9406" t="s">
        <v>32614</v>
      </c>
      <c r="H9406" t="s">
        <v>14201</v>
      </c>
      <c r="I9406" t="s">
        <v>32631</v>
      </c>
      <c r="J9406" t="s">
        <v>38601</v>
      </c>
      <c r="K9406" t="s">
        <v>42630</v>
      </c>
      <c r="M9406" t="s">
        <v>43304</v>
      </c>
      <c r="N9406" t="s">
        <v>47304</v>
      </c>
      <c r="O9406" t="s">
        <v>47305</v>
      </c>
      <c r="P9406">
        <v>0</v>
      </c>
      <c r="Q9406">
        <v>0</v>
      </c>
      <c r="R9406" t="s">
        <v>47313</v>
      </c>
      <c r="S9406" t="s">
        <v>47535</v>
      </c>
      <c r="T9406" t="s">
        <v>49315</v>
      </c>
      <c r="U9406" t="s">
        <v>50248</v>
      </c>
      <c r="W9406" t="s">
        <v>43304</v>
      </c>
      <c r="X9406" t="s">
        <v>47314</v>
      </c>
    </row>
    <row r="9407" spans="1:24">
      <c r="A9407">
        <f>HYPERLINK("https://www.philgeps.gov.ph/GEPSNONPILOT/Tender/SplashBidNoticeAbstractUI.aspx?menuIndex=3&amp;refID=7184072&amp;Result=3","7184072")</f>
        <v>0</v>
      </c>
      <c r="B9407" t="s">
        <v>401</v>
      </c>
      <c r="C9407" t="s">
        <v>6988</v>
      </c>
      <c r="D9407" t="s">
        <v>19033</v>
      </c>
      <c r="E9407" t="s">
        <v>27139</v>
      </c>
      <c r="F9407" t="s">
        <v>32606</v>
      </c>
      <c r="G9407" t="s">
        <v>32614</v>
      </c>
      <c r="H9407" t="s">
        <v>14201</v>
      </c>
      <c r="I9407" t="s">
        <v>4120</v>
      </c>
      <c r="J9407" t="s">
        <v>38602</v>
      </c>
      <c r="K9407" t="s">
        <v>42630</v>
      </c>
      <c r="M9407" t="s">
        <v>43304</v>
      </c>
      <c r="N9407" t="s">
        <v>47304</v>
      </c>
      <c r="O9407" t="s">
        <v>47305</v>
      </c>
      <c r="P9407">
        <v>0</v>
      </c>
      <c r="Q9407">
        <v>2</v>
      </c>
      <c r="R9407" t="s">
        <v>47313</v>
      </c>
      <c r="S9407" t="s">
        <v>47535</v>
      </c>
      <c r="T9407" t="s">
        <v>49315</v>
      </c>
      <c r="U9407" t="s">
        <v>50248</v>
      </c>
      <c r="W9407" t="s">
        <v>43304</v>
      </c>
      <c r="X9407" t="s">
        <v>47314</v>
      </c>
    </row>
    <row r="9408" spans="1:24">
      <c r="A9408">
        <f>HYPERLINK("https://www.philgeps.gov.ph/GEPSNONPILOT/Tender/SplashBidNoticeAbstractUI.aspx?menuIndex=3&amp;refID=7184052&amp;Result=3","7184052")</f>
        <v>0</v>
      </c>
      <c r="B9408" t="s">
        <v>487</v>
      </c>
      <c r="C9408" t="s">
        <v>12721</v>
      </c>
      <c r="D9408" t="s">
        <v>19027</v>
      </c>
      <c r="E9408" t="s">
        <v>27140</v>
      </c>
      <c r="F9408" t="s">
        <v>32606</v>
      </c>
      <c r="G9408" t="s">
        <v>32614</v>
      </c>
      <c r="H9408" t="s">
        <v>14201</v>
      </c>
      <c r="I9408" t="s">
        <v>32629</v>
      </c>
      <c r="J9408" t="s">
        <v>33738</v>
      </c>
      <c r="K9408" t="s">
        <v>42623</v>
      </c>
      <c r="M9408" t="s">
        <v>43399</v>
      </c>
      <c r="N9408" t="s">
        <v>47304</v>
      </c>
      <c r="O9408" t="s">
        <v>47305</v>
      </c>
      <c r="P9408">
        <v>0</v>
      </c>
      <c r="Q9408">
        <v>0</v>
      </c>
      <c r="R9408" t="s">
        <v>47313</v>
      </c>
      <c r="S9408" t="s">
        <v>47535</v>
      </c>
      <c r="T9408" t="s">
        <v>49020</v>
      </c>
      <c r="U9408" t="s">
        <v>57281</v>
      </c>
      <c r="W9408" t="s">
        <v>43399</v>
      </c>
      <c r="X9408" t="s">
        <v>47314</v>
      </c>
    </row>
    <row r="9409" spans="1:24">
      <c r="A9409">
        <f>HYPERLINK("https://www.philgeps.gov.ph/GEPSNONPILOT/Tender/SplashBidNoticeAbstractUI.aspx?menuIndex=3&amp;refID=7184051&amp;Result=3","7184051")</f>
        <v>0</v>
      </c>
      <c r="B9409" t="s">
        <v>1014</v>
      </c>
      <c r="C9409" t="s">
        <v>12722</v>
      </c>
      <c r="D9409" t="s">
        <v>19056</v>
      </c>
      <c r="E9409" t="s">
        <v>27141</v>
      </c>
      <c r="F9409" t="s">
        <v>32606</v>
      </c>
      <c r="G9409" t="s">
        <v>32614</v>
      </c>
      <c r="H9409" t="s">
        <v>14201</v>
      </c>
      <c r="I9409" t="s">
        <v>4112</v>
      </c>
      <c r="J9409" t="s">
        <v>33771</v>
      </c>
      <c r="K9409" t="s">
        <v>42646</v>
      </c>
      <c r="M9409" t="s">
        <v>46082</v>
      </c>
      <c r="N9409" t="s">
        <v>47304</v>
      </c>
      <c r="O9409" t="s">
        <v>47305</v>
      </c>
      <c r="Q9409">
        <v>1</v>
      </c>
      <c r="R9409" t="s">
        <v>47313</v>
      </c>
      <c r="S9409" t="s">
        <v>47559</v>
      </c>
      <c r="T9409" t="s">
        <v>49200</v>
      </c>
      <c r="U9409" t="s">
        <v>57306</v>
      </c>
      <c r="W9409" t="s">
        <v>46082</v>
      </c>
      <c r="X9409" t="s">
        <v>47314</v>
      </c>
    </row>
    <row r="9410" spans="1:24">
      <c r="A9410">
        <f>HYPERLINK("https://www.philgeps.gov.ph/GEPSNONPILOT/Tender/SplashBidNoticeAbstractUI.aspx?menuIndex=3&amp;refID=7184049&amp;Result=3","7184049")</f>
        <v>0</v>
      </c>
      <c r="B9410" t="s">
        <v>2319</v>
      </c>
      <c r="C9410" t="s">
        <v>12723</v>
      </c>
      <c r="D9410" t="s">
        <v>19045</v>
      </c>
      <c r="E9410" t="s">
        <v>27142</v>
      </c>
      <c r="F9410" t="s">
        <v>32606</v>
      </c>
      <c r="G9410" t="s">
        <v>32613</v>
      </c>
      <c r="H9410" t="s">
        <v>14201</v>
      </c>
      <c r="I9410" t="s">
        <v>32677</v>
      </c>
      <c r="J9410" t="s">
        <v>38603</v>
      </c>
      <c r="K9410" t="s">
        <v>42712</v>
      </c>
      <c r="M9410" t="s">
        <v>45427</v>
      </c>
      <c r="N9410" t="s">
        <v>47304</v>
      </c>
      <c r="O9410" t="s">
        <v>47305</v>
      </c>
      <c r="P9410">
        <v>0</v>
      </c>
      <c r="Q9410">
        <v>5</v>
      </c>
      <c r="R9410" t="s">
        <v>47313</v>
      </c>
      <c r="S9410" t="s">
        <v>47535</v>
      </c>
      <c r="T9410" t="s">
        <v>49086</v>
      </c>
      <c r="U9410" t="s">
        <v>57307</v>
      </c>
      <c r="W9410" t="s">
        <v>45427</v>
      </c>
      <c r="X9410" t="s">
        <v>47314</v>
      </c>
    </row>
    <row r="9411" spans="1:24">
      <c r="A9411">
        <f>HYPERLINK("https://www.philgeps.gov.ph/GEPSNONPILOT/Tender/SplashBidNoticeAbstractUI.aspx?menuIndex=3&amp;refID=7184046&amp;Result=3","7184046")</f>
        <v>0</v>
      </c>
      <c r="B9411" t="s">
        <v>425</v>
      </c>
      <c r="C9411" t="s">
        <v>12724</v>
      </c>
      <c r="D9411" t="s">
        <v>19015</v>
      </c>
      <c r="E9411" t="s">
        <v>19840</v>
      </c>
      <c r="F9411" t="s">
        <v>32606</v>
      </c>
      <c r="G9411" t="s">
        <v>32613</v>
      </c>
      <c r="H9411" t="s">
        <v>14201</v>
      </c>
      <c r="I9411" t="s">
        <v>32640</v>
      </c>
      <c r="J9411" t="s">
        <v>38604</v>
      </c>
      <c r="K9411" t="s">
        <v>42631</v>
      </c>
      <c r="M9411" t="s">
        <v>43329</v>
      </c>
      <c r="N9411" t="s">
        <v>47304</v>
      </c>
      <c r="O9411" t="s">
        <v>47305</v>
      </c>
      <c r="P9411">
        <v>0</v>
      </c>
      <c r="Q9411">
        <v>6</v>
      </c>
      <c r="R9411" t="s">
        <v>47313</v>
      </c>
      <c r="S9411" t="s">
        <v>47535</v>
      </c>
      <c r="T9411" t="s">
        <v>49066</v>
      </c>
      <c r="U9411" t="s">
        <v>57308</v>
      </c>
      <c r="W9411" t="s">
        <v>64432</v>
      </c>
      <c r="X9411" t="s">
        <v>47314</v>
      </c>
    </row>
    <row r="9412" spans="1:24">
      <c r="A9412">
        <f>HYPERLINK("https://www.philgeps.gov.ph/GEPSNONPILOT/Tender/SplashBidNoticeAbstractUI.aspx?menuIndex=3&amp;refID=7184045&amp;Result=3","7184045")</f>
        <v>0</v>
      </c>
      <c r="B9412" t="s">
        <v>453</v>
      </c>
      <c r="C9412" t="s">
        <v>12725</v>
      </c>
      <c r="D9412" t="s">
        <v>19001</v>
      </c>
      <c r="E9412" t="s">
        <v>27143</v>
      </c>
      <c r="F9412" t="s">
        <v>32606</v>
      </c>
      <c r="G9412" t="s">
        <v>32613</v>
      </c>
      <c r="H9412" t="s">
        <v>32623</v>
      </c>
      <c r="I9412" t="s">
        <v>17648</v>
      </c>
      <c r="J9412" t="s">
        <v>38605</v>
      </c>
      <c r="K9412" t="s">
        <v>42677</v>
      </c>
      <c r="M9412" t="s">
        <v>43363</v>
      </c>
      <c r="N9412" t="s">
        <v>47304</v>
      </c>
      <c r="O9412" t="s">
        <v>47305</v>
      </c>
      <c r="P9412">
        <v>0</v>
      </c>
      <c r="Q9412">
        <v>0</v>
      </c>
      <c r="R9412" t="s">
        <v>47313</v>
      </c>
      <c r="S9412" t="s">
        <v>47535</v>
      </c>
      <c r="T9412" t="s">
        <v>49053</v>
      </c>
      <c r="U9412" t="s">
        <v>57309</v>
      </c>
      <c r="W9412" t="s">
        <v>43363</v>
      </c>
      <c r="X9412" t="s">
        <v>47314</v>
      </c>
    </row>
    <row r="9413" spans="1:24">
      <c r="A9413">
        <f>HYPERLINK("https://www.philgeps.gov.ph/GEPSNONPILOT/Tender/SplashBidNoticeAbstractUI.aspx?menuIndex=3&amp;refID=7184037&amp;Result=3","7184037")</f>
        <v>0</v>
      </c>
      <c r="B9413" t="s">
        <v>401</v>
      </c>
      <c r="C9413" t="s">
        <v>12726</v>
      </c>
      <c r="D9413" t="s">
        <v>19033</v>
      </c>
      <c r="E9413" t="s">
        <v>27144</v>
      </c>
      <c r="F9413" t="s">
        <v>32606</v>
      </c>
      <c r="G9413" t="s">
        <v>32614</v>
      </c>
      <c r="H9413" t="s">
        <v>14201</v>
      </c>
      <c r="I9413" t="s">
        <v>6298</v>
      </c>
      <c r="J9413" t="s">
        <v>32789</v>
      </c>
      <c r="K9413" t="s">
        <v>42630</v>
      </c>
      <c r="M9413" t="s">
        <v>43304</v>
      </c>
      <c r="N9413" t="s">
        <v>47304</v>
      </c>
      <c r="O9413" t="s">
        <v>47305</v>
      </c>
      <c r="P9413">
        <v>0</v>
      </c>
      <c r="Q9413">
        <v>0</v>
      </c>
      <c r="R9413" t="s">
        <v>47313</v>
      </c>
      <c r="S9413" t="s">
        <v>47535</v>
      </c>
      <c r="T9413" t="s">
        <v>49315</v>
      </c>
      <c r="U9413" t="s">
        <v>50248</v>
      </c>
      <c r="W9413" t="s">
        <v>43304</v>
      </c>
      <c r="X9413" t="s">
        <v>47314</v>
      </c>
    </row>
    <row r="9414" spans="1:24">
      <c r="A9414">
        <f>HYPERLINK("https://www.philgeps.gov.ph/GEPSNONPILOT/Tender/SplashBidNoticeAbstractUI.aspx?menuIndex=3&amp;refID=7181469&amp;Result=3","7181469")</f>
        <v>0</v>
      </c>
      <c r="B9414" t="s">
        <v>2367</v>
      </c>
      <c r="C9414" t="s">
        <v>4830</v>
      </c>
      <c r="D9414" t="s">
        <v>19025</v>
      </c>
      <c r="E9414" t="s">
        <v>27145</v>
      </c>
      <c r="F9414" t="s">
        <v>32606</v>
      </c>
      <c r="G9414" t="s">
        <v>32613</v>
      </c>
      <c r="H9414" t="s">
        <v>14201</v>
      </c>
      <c r="I9414" t="s">
        <v>4120</v>
      </c>
      <c r="J9414" t="s">
        <v>38606</v>
      </c>
      <c r="K9414" t="s">
        <v>42631</v>
      </c>
      <c r="M9414" t="s">
        <v>45481</v>
      </c>
      <c r="N9414" t="s">
        <v>47304</v>
      </c>
      <c r="O9414" t="s">
        <v>47305</v>
      </c>
      <c r="P9414">
        <v>0</v>
      </c>
      <c r="Q9414">
        <v>0</v>
      </c>
      <c r="R9414" t="s">
        <v>47313</v>
      </c>
      <c r="S9414" t="s">
        <v>47535</v>
      </c>
      <c r="T9414" t="s">
        <v>49071</v>
      </c>
      <c r="U9414" t="s">
        <v>57310</v>
      </c>
      <c r="W9414" t="s">
        <v>45481</v>
      </c>
      <c r="X9414" t="s">
        <v>47315</v>
      </c>
    </row>
    <row r="9415" spans="1:24">
      <c r="A9415">
        <f>HYPERLINK("https://www.philgeps.gov.ph/GEPSNONPILOT/Tender/SplashBidNoticeAbstractUI.aspx?menuIndex=3&amp;refID=7184066&amp;Result=3","7184066")</f>
        <v>0</v>
      </c>
      <c r="B9415" t="s">
        <v>2649</v>
      </c>
      <c r="C9415" t="s">
        <v>12727</v>
      </c>
      <c r="D9415" t="s">
        <v>19038</v>
      </c>
      <c r="E9415" t="s">
        <v>27146</v>
      </c>
      <c r="F9415" t="s">
        <v>32606</v>
      </c>
      <c r="G9415" t="s">
        <v>32613</v>
      </c>
      <c r="H9415" t="s">
        <v>32623</v>
      </c>
      <c r="I9415" t="s">
        <v>17648</v>
      </c>
      <c r="J9415" t="s">
        <v>38607</v>
      </c>
      <c r="K9415" t="s">
        <v>42719</v>
      </c>
      <c r="M9415" t="s">
        <v>45795</v>
      </c>
      <c r="N9415" t="s">
        <v>47304</v>
      </c>
      <c r="O9415" t="s">
        <v>47305</v>
      </c>
      <c r="P9415">
        <v>0</v>
      </c>
      <c r="Q9415">
        <v>0</v>
      </c>
      <c r="R9415" t="s">
        <v>47313</v>
      </c>
      <c r="S9415" t="s">
        <v>47535</v>
      </c>
      <c r="T9415" t="s">
        <v>49037</v>
      </c>
      <c r="U9415" t="s">
        <v>57311</v>
      </c>
      <c r="W9415" t="s">
        <v>45795</v>
      </c>
      <c r="X9415" t="s">
        <v>47314</v>
      </c>
    </row>
    <row r="9416" spans="1:24">
      <c r="A9416">
        <f>HYPERLINK("https://www.philgeps.gov.ph/GEPSNONPILOT/Tender/SplashBidNoticeAbstractUI.aspx?menuIndex=3&amp;refID=7183944&amp;Result=3","7183944")</f>
        <v>0</v>
      </c>
      <c r="B9416" t="s">
        <v>2921</v>
      </c>
      <c r="C9416" t="s">
        <v>12728</v>
      </c>
      <c r="D9416" t="s">
        <v>19006</v>
      </c>
      <c r="E9416" t="s">
        <v>27147</v>
      </c>
      <c r="F9416" t="s">
        <v>32606</v>
      </c>
      <c r="G9416" t="s">
        <v>32613</v>
      </c>
      <c r="H9416" t="s">
        <v>14201</v>
      </c>
      <c r="I9416" t="s">
        <v>6931</v>
      </c>
      <c r="J9416" t="s">
        <v>38608</v>
      </c>
      <c r="K9416" t="s">
        <v>42631</v>
      </c>
      <c r="M9416" t="s">
        <v>46100</v>
      </c>
      <c r="N9416" t="s">
        <v>47304</v>
      </c>
      <c r="O9416" t="s">
        <v>47305</v>
      </c>
      <c r="P9416">
        <v>0</v>
      </c>
      <c r="Q9416">
        <v>0</v>
      </c>
      <c r="R9416" t="s">
        <v>47313</v>
      </c>
      <c r="S9416" t="s">
        <v>47535</v>
      </c>
      <c r="T9416" t="s">
        <v>49119</v>
      </c>
      <c r="U9416" t="s">
        <v>57312</v>
      </c>
      <c r="W9416" t="s">
        <v>46100</v>
      </c>
      <c r="X9416" t="s">
        <v>47314</v>
      </c>
    </row>
    <row r="9417" spans="1:24">
      <c r="A9417">
        <f>HYPERLINK("https://www.philgeps.gov.ph/GEPSNONPILOT/Tender/SplashBidNoticeAbstractUI.aspx?menuIndex=3&amp;refID=7184038&amp;Result=3","7184038")</f>
        <v>0</v>
      </c>
      <c r="B9417" t="s">
        <v>2649</v>
      </c>
      <c r="C9417" t="s">
        <v>12729</v>
      </c>
      <c r="D9417" t="s">
        <v>19038</v>
      </c>
      <c r="E9417" t="s">
        <v>27148</v>
      </c>
      <c r="F9417" t="s">
        <v>32606</v>
      </c>
      <c r="G9417" t="s">
        <v>32613</v>
      </c>
      <c r="H9417" t="s">
        <v>32623</v>
      </c>
      <c r="I9417" t="s">
        <v>17648</v>
      </c>
      <c r="J9417" t="s">
        <v>38609</v>
      </c>
      <c r="K9417" t="s">
        <v>42675</v>
      </c>
      <c r="M9417" t="s">
        <v>45795</v>
      </c>
      <c r="N9417" t="s">
        <v>47304</v>
      </c>
      <c r="O9417" t="s">
        <v>47305</v>
      </c>
      <c r="P9417">
        <v>0</v>
      </c>
      <c r="Q9417">
        <v>1</v>
      </c>
      <c r="R9417" t="s">
        <v>47313</v>
      </c>
      <c r="S9417" t="s">
        <v>47535</v>
      </c>
      <c r="T9417" t="s">
        <v>49037</v>
      </c>
      <c r="U9417" t="s">
        <v>57313</v>
      </c>
      <c r="W9417" t="s">
        <v>45795</v>
      </c>
      <c r="X9417" t="s">
        <v>47314</v>
      </c>
    </row>
    <row r="9418" spans="1:24">
      <c r="A9418">
        <f>HYPERLINK("https://www.philgeps.gov.ph/GEPSNONPILOT/Tender/SplashBidNoticeAbstractUI.aspx?menuIndex=3&amp;refID=7179228&amp;Result=3","7179228")</f>
        <v>0</v>
      </c>
      <c r="B9418" t="s">
        <v>2367</v>
      </c>
      <c r="C9418" t="s">
        <v>12494</v>
      </c>
      <c r="D9418" t="s">
        <v>19025</v>
      </c>
      <c r="E9418" t="s">
        <v>27149</v>
      </c>
      <c r="F9418" t="s">
        <v>32606</v>
      </c>
      <c r="G9418" t="s">
        <v>32613</v>
      </c>
      <c r="H9418" t="s">
        <v>14201</v>
      </c>
      <c r="I9418" t="s">
        <v>6298</v>
      </c>
      <c r="J9418" t="s">
        <v>33526</v>
      </c>
      <c r="K9418" t="s">
        <v>42631</v>
      </c>
      <c r="M9418" t="s">
        <v>45481</v>
      </c>
      <c r="N9418" t="s">
        <v>47304</v>
      </c>
      <c r="O9418" t="s">
        <v>47305</v>
      </c>
      <c r="P9418">
        <v>0</v>
      </c>
      <c r="Q9418">
        <v>0</v>
      </c>
      <c r="R9418" t="s">
        <v>47313</v>
      </c>
      <c r="S9418" t="s">
        <v>47535</v>
      </c>
      <c r="T9418" t="s">
        <v>49071</v>
      </c>
      <c r="U9418" t="s">
        <v>57314</v>
      </c>
      <c r="W9418" t="s">
        <v>45481</v>
      </c>
      <c r="X9418" t="s">
        <v>47318</v>
      </c>
    </row>
    <row r="9419" spans="1:24">
      <c r="A9419">
        <f>HYPERLINK("https://www.philgeps.gov.ph/GEPSNONPILOT/Tender/SplashBidNoticeAbstractUI.aspx?menuIndex=3&amp;refID=7179136&amp;Result=3","7179136")</f>
        <v>0</v>
      </c>
      <c r="B9419" t="s">
        <v>48</v>
      </c>
      <c r="C9419" t="s">
        <v>12730</v>
      </c>
      <c r="D9419" t="s">
        <v>18994</v>
      </c>
      <c r="E9419" t="s">
        <v>27150</v>
      </c>
      <c r="F9419" t="s">
        <v>32606</v>
      </c>
      <c r="G9419" t="s">
        <v>32618</v>
      </c>
      <c r="H9419" t="s">
        <v>32625</v>
      </c>
      <c r="I9419" t="s">
        <v>32625</v>
      </c>
      <c r="J9419" t="s">
        <v>33382</v>
      </c>
      <c r="K9419" t="s">
        <v>42624</v>
      </c>
      <c r="L9419" t="s">
        <v>48</v>
      </c>
      <c r="M9419" t="s">
        <v>42945</v>
      </c>
      <c r="N9419" t="s">
        <v>47304</v>
      </c>
      <c r="O9419" t="s">
        <v>47305</v>
      </c>
      <c r="P9419">
        <v>0</v>
      </c>
      <c r="Q9419">
        <v>3</v>
      </c>
      <c r="R9419" t="s">
        <v>47313</v>
      </c>
      <c r="S9419" t="s">
        <v>47535</v>
      </c>
      <c r="T9419" t="s">
        <v>49246</v>
      </c>
      <c r="U9419" t="s">
        <v>57315</v>
      </c>
      <c r="W9419" t="s">
        <v>42945</v>
      </c>
      <c r="X9419" t="s">
        <v>47318</v>
      </c>
    </row>
    <row r="9420" spans="1:24">
      <c r="A9420">
        <f>HYPERLINK("https://www.philgeps.gov.ph/GEPSNONPILOT/Tender/SplashBidNoticeAbstractUI.aspx?menuIndex=3&amp;refID=7183969&amp;Result=3","7183969")</f>
        <v>0</v>
      </c>
      <c r="B9420" t="s">
        <v>487</v>
      </c>
      <c r="C9420" t="s">
        <v>12731</v>
      </c>
      <c r="D9420" t="s">
        <v>19027</v>
      </c>
      <c r="E9420" t="s">
        <v>27151</v>
      </c>
      <c r="F9420" t="s">
        <v>32606</v>
      </c>
      <c r="G9420" t="s">
        <v>32614</v>
      </c>
      <c r="H9420" t="s">
        <v>14201</v>
      </c>
      <c r="I9420" t="s">
        <v>32638</v>
      </c>
      <c r="J9420" t="s">
        <v>38610</v>
      </c>
      <c r="K9420" t="s">
        <v>42623</v>
      </c>
      <c r="M9420" t="s">
        <v>43399</v>
      </c>
      <c r="N9420" t="s">
        <v>47304</v>
      </c>
      <c r="O9420" t="s">
        <v>47305</v>
      </c>
      <c r="P9420">
        <v>0</v>
      </c>
      <c r="Q9420">
        <v>6</v>
      </c>
      <c r="R9420" t="s">
        <v>47313</v>
      </c>
      <c r="S9420" t="s">
        <v>47535</v>
      </c>
      <c r="T9420" t="s">
        <v>49020</v>
      </c>
      <c r="U9420" t="s">
        <v>57316</v>
      </c>
      <c r="W9420" t="s">
        <v>43399</v>
      </c>
      <c r="X9420" t="s">
        <v>47314</v>
      </c>
    </row>
    <row r="9421" spans="1:24">
      <c r="A9421">
        <f>HYPERLINK("https://www.philgeps.gov.ph/GEPSNONPILOT/Tender/SplashBidNoticeAbstractUI.aspx?menuIndex=3&amp;refID=7184085&amp;Result=3","7184085")</f>
        <v>0</v>
      </c>
      <c r="B9421" t="s">
        <v>425</v>
      </c>
      <c r="C9421" t="s">
        <v>12732</v>
      </c>
      <c r="D9421" t="s">
        <v>19015</v>
      </c>
      <c r="E9421" t="s">
        <v>27152</v>
      </c>
      <c r="F9421" t="s">
        <v>32606</v>
      </c>
      <c r="G9421" t="s">
        <v>32613</v>
      </c>
      <c r="H9421" t="s">
        <v>14201</v>
      </c>
      <c r="I9421" t="s">
        <v>7677</v>
      </c>
      <c r="J9421" t="s">
        <v>38611</v>
      </c>
      <c r="K9421" t="s">
        <v>42631</v>
      </c>
      <c r="M9421" t="s">
        <v>43329</v>
      </c>
      <c r="N9421" t="s">
        <v>47304</v>
      </c>
      <c r="O9421" t="s">
        <v>47305</v>
      </c>
      <c r="P9421">
        <v>0</v>
      </c>
      <c r="Q9421">
        <v>6</v>
      </c>
      <c r="R9421" t="s">
        <v>47313</v>
      </c>
      <c r="S9421" t="s">
        <v>47535</v>
      </c>
      <c r="T9421" t="s">
        <v>49066</v>
      </c>
      <c r="U9421" t="s">
        <v>57308</v>
      </c>
      <c r="W9421" t="s">
        <v>64432</v>
      </c>
      <c r="X9421" t="s">
        <v>47314</v>
      </c>
    </row>
    <row r="9422" spans="1:24">
      <c r="A9422">
        <f>HYPERLINK("https://www.philgeps.gov.ph/GEPSNONPILOT/Tender/SplashBidNoticeAbstractUI.aspx?menuIndex=3&amp;refID=7184090&amp;Result=3","7184090")</f>
        <v>0</v>
      </c>
      <c r="B9422" t="s">
        <v>2649</v>
      </c>
      <c r="C9422" t="s">
        <v>12733</v>
      </c>
      <c r="D9422" t="s">
        <v>19038</v>
      </c>
      <c r="E9422" t="s">
        <v>27153</v>
      </c>
      <c r="F9422" t="s">
        <v>32606</v>
      </c>
      <c r="G9422" t="s">
        <v>32613</v>
      </c>
      <c r="H9422" t="s">
        <v>32623</v>
      </c>
      <c r="I9422" t="s">
        <v>17648</v>
      </c>
      <c r="J9422" t="s">
        <v>38612</v>
      </c>
      <c r="K9422" t="s">
        <v>42631</v>
      </c>
      <c r="M9422" t="s">
        <v>45795</v>
      </c>
      <c r="N9422" t="s">
        <v>47304</v>
      </c>
      <c r="O9422" t="s">
        <v>47305</v>
      </c>
      <c r="P9422">
        <v>0</v>
      </c>
      <c r="Q9422">
        <v>0</v>
      </c>
      <c r="R9422" t="s">
        <v>47313</v>
      </c>
      <c r="S9422" t="s">
        <v>47535</v>
      </c>
      <c r="T9422" t="s">
        <v>49037</v>
      </c>
      <c r="U9422" t="s">
        <v>57317</v>
      </c>
      <c r="W9422" t="s">
        <v>45795</v>
      </c>
      <c r="X9422" t="s">
        <v>47314</v>
      </c>
    </row>
    <row r="9423" spans="1:24">
      <c r="A9423">
        <f>HYPERLINK("https://www.philgeps.gov.ph/GEPSNONPILOT/Tender/SplashBidNoticeAbstractUI.aspx?menuIndex=3&amp;refID=7184106&amp;Result=3","7184106")</f>
        <v>0</v>
      </c>
      <c r="B9423" t="s">
        <v>2922</v>
      </c>
      <c r="C9423" t="s">
        <v>12734</v>
      </c>
      <c r="D9423" t="s">
        <v>19053</v>
      </c>
      <c r="E9423" t="s">
        <v>27154</v>
      </c>
      <c r="F9423" t="s">
        <v>32606</v>
      </c>
      <c r="G9423" t="s">
        <v>32613</v>
      </c>
      <c r="H9423" t="s">
        <v>32623</v>
      </c>
      <c r="I9423" t="s">
        <v>6931</v>
      </c>
      <c r="J9423" t="s">
        <v>38613</v>
      </c>
      <c r="K9423" t="s">
        <v>42623</v>
      </c>
      <c r="M9423" t="s">
        <v>46101</v>
      </c>
      <c r="N9423" t="s">
        <v>47304</v>
      </c>
      <c r="O9423" t="s">
        <v>47305</v>
      </c>
      <c r="P9423">
        <v>0</v>
      </c>
      <c r="Q9423">
        <v>0</v>
      </c>
      <c r="R9423" t="s">
        <v>47313</v>
      </c>
      <c r="S9423" t="s">
        <v>47535</v>
      </c>
      <c r="T9423" t="s">
        <v>49086</v>
      </c>
      <c r="U9423" t="s">
        <v>57318</v>
      </c>
      <c r="W9423" t="s">
        <v>46101</v>
      </c>
      <c r="X9423" t="s">
        <v>47314</v>
      </c>
    </row>
    <row r="9424" spans="1:24">
      <c r="A9424">
        <f>HYPERLINK("https://www.philgeps.gov.ph/GEPSNONPILOT/Tender/SplashBidNoticeAbstractUI.aspx?menuIndex=3&amp;refID=7184103&amp;Result=3","7184103")</f>
        <v>0</v>
      </c>
      <c r="B9424" t="s">
        <v>344</v>
      </c>
      <c r="C9424" t="s">
        <v>12735</v>
      </c>
      <c r="D9424" t="s">
        <v>19002</v>
      </c>
      <c r="E9424" t="s">
        <v>27155</v>
      </c>
      <c r="F9424" t="s">
        <v>32606</v>
      </c>
      <c r="G9424" t="s">
        <v>32614</v>
      </c>
      <c r="H9424" t="s">
        <v>14201</v>
      </c>
      <c r="I9424" t="s">
        <v>32637</v>
      </c>
      <c r="J9424" t="s">
        <v>38614</v>
      </c>
      <c r="K9424" t="s">
        <v>42622</v>
      </c>
      <c r="M9424" t="s">
        <v>43246</v>
      </c>
      <c r="N9424" t="s">
        <v>47304</v>
      </c>
      <c r="O9424" t="s">
        <v>47305</v>
      </c>
      <c r="P9424">
        <v>0</v>
      </c>
      <c r="Q9424">
        <v>7</v>
      </c>
      <c r="R9424" t="s">
        <v>47313</v>
      </c>
      <c r="S9424" t="s">
        <v>47535</v>
      </c>
      <c r="T9424" t="s">
        <v>49268</v>
      </c>
      <c r="U9424" t="s">
        <v>57319</v>
      </c>
      <c r="W9424" t="s">
        <v>43246</v>
      </c>
      <c r="X9424" t="s">
        <v>47314</v>
      </c>
    </row>
    <row r="9425" spans="1:24">
      <c r="A9425">
        <f>HYPERLINK("https://www.philgeps.gov.ph/GEPSNONPILOT/Tender/SplashBidNoticeAbstractUI.aspx?menuIndex=3&amp;refID=7184097&amp;Result=3","7184097")</f>
        <v>0</v>
      </c>
      <c r="B9425" t="s">
        <v>487</v>
      </c>
      <c r="C9425" t="s">
        <v>12736</v>
      </c>
      <c r="D9425" t="s">
        <v>19027</v>
      </c>
      <c r="E9425" t="s">
        <v>27156</v>
      </c>
      <c r="F9425" t="s">
        <v>32606</v>
      </c>
      <c r="G9425" t="s">
        <v>32613</v>
      </c>
      <c r="H9425" t="s">
        <v>14201</v>
      </c>
      <c r="I9425" t="s">
        <v>32629</v>
      </c>
      <c r="J9425" t="s">
        <v>38615</v>
      </c>
      <c r="K9425" t="s">
        <v>42623</v>
      </c>
      <c r="M9425" t="s">
        <v>43399</v>
      </c>
      <c r="N9425" t="s">
        <v>47304</v>
      </c>
      <c r="O9425" t="s">
        <v>47305</v>
      </c>
      <c r="P9425">
        <v>0</v>
      </c>
      <c r="Q9425">
        <v>0</v>
      </c>
      <c r="R9425" t="s">
        <v>47313</v>
      </c>
      <c r="S9425" t="s">
        <v>47535</v>
      </c>
      <c r="T9425" t="s">
        <v>48987</v>
      </c>
      <c r="U9425" t="s">
        <v>57320</v>
      </c>
      <c r="W9425" t="s">
        <v>43399</v>
      </c>
      <c r="X9425" t="s">
        <v>47314</v>
      </c>
    </row>
    <row r="9426" spans="1:24">
      <c r="A9426">
        <f>HYPERLINK("https://www.philgeps.gov.ph/GEPSNONPILOT/Tender/SplashBidNoticeAbstractUI.aspx?menuIndex=3&amp;refID=7184110&amp;Result=3","7184110")</f>
        <v>0</v>
      </c>
      <c r="B9426" t="s">
        <v>648</v>
      </c>
      <c r="C9426" t="s">
        <v>12737</v>
      </c>
      <c r="D9426" t="s">
        <v>19059</v>
      </c>
      <c r="E9426" t="s">
        <v>27157</v>
      </c>
      <c r="F9426" t="s">
        <v>32606</v>
      </c>
      <c r="G9426" t="s">
        <v>32613</v>
      </c>
      <c r="H9426" t="s">
        <v>14201</v>
      </c>
      <c r="I9426" t="s">
        <v>6931</v>
      </c>
      <c r="J9426" t="s">
        <v>38616</v>
      </c>
      <c r="K9426" t="s">
        <v>42636</v>
      </c>
      <c r="M9426" t="s">
        <v>43566</v>
      </c>
      <c r="N9426" t="s">
        <v>47304</v>
      </c>
      <c r="O9426" t="s">
        <v>47305</v>
      </c>
      <c r="P9426">
        <v>0</v>
      </c>
      <c r="Q9426">
        <v>0</v>
      </c>
      <c r="R9426" t="s">
        <v>47313</v>
      </c>
      <c r="S9426" t="s">
        <v>47535</v>
      </c>
      <c r="T9426" t="s">
        <v>49020</v>
      </c>
      <c r="U9426" t="s">
        <v>57321</v>
      </c>
      <c r="W9426" t="s">
        <v>43566</v>
      </c>
      <c r="X9426" t="s">
        <v>47314</v>
      </c>
    </row>
    <row r="9427" spans="1:24">
      <c r="A9427">
        <f>HYPERLINK("https://www.philgeps.gov.ph/GEPSNONPILOT/Tender/SplashBidNoticeAbstractUI.aspx?menuIndex=3&amp;refID=7184150&amp;Result=3","7184150")</f>
        <v>0</v>
      </c>
      <c r="B9427" t="s">
        <v>2923</v>
      </c>
      <c r="C9427" t="s">
        <v>12738</v>
      </c>
      <c r="D9427" t="s">
        <v>19007</v>
      </c>
      <c r="E9427" t="s">
        <v>24209</v>
      </c>
      <c r="F9427" t="s">
        <v>32606</v>
      </c>
      <c r="G9427" t="s">
        <v>32613</v>
      </c>
      <c r="H9427" t="s">
        <v>14201</v>
      </c>
      <c r="I9427" t="s">
        <v>32626</v>
      </c>
      <c r="J9427" t="s">
        <v>34669</v>
      </c>
      <c r="K9427" t="s">
        <v>42623</v>
      </c>
      <c r="M9427" t="s">
        <v>46102</v>
      </c>
      <c r="N9427" t="s">
        <v>47304</v>
      </c>
      <c r="O9427" t="s">
        <v>47305</v>
      </c>
      <c r="P9427">
        <v>0</v>
      </c>
      <c r="Q9427">
        <v>1</v>
      </c>
      <c r="R9427" t="s">
        <v>47313</v>
      </c>
      <c r="S9427" t="s">
        <v>47535</v>
      </c>
      <c r="T9427" t="s">
        <v>49072</v>
      </c>
      <c r="U9427" t="s">
        <v>57322</v>
      </c>
      <c r="W9427" t="s">
        <v>46102</v>
      </c>
      <c r="X9427" t="s">
        <v>47314</v>
      </c>
    </row>
    <row r="9428" spans="1:24">
      <c r="A9428">
        <f>HYPERLINK("https://www.philgeps.gov.ph/GEPSNONPILOT/Tender/SplashBidNoticeAbstractUI.aspx?menuIndex=3&amp;refID=7184104&amp;Result=3","7184104")</f>
        <v>0</v>
      </c>
      <c r="B9428" t="s">
        <v>401</v>
      </c>
      <c r="C9428" t="s">
        <v>12739</v>
      </c>
      <c r="D9428" t="s">
        <v>19033</v>
      </c>
      <c r="E9428" t="s">
        <v>27158</v>
      </c>
      <c r="F9428" t="s">
        <v>32606</v>
      </c>
      <c r="G9428" t="s">
        <v>32614</v>
      </c>
      <c r="H9428" t="s">
        <v>14201</v>
      </c>
      <c r="I9428" t="s">
        <v>4112</v>
      </c>
      <c r="J9428" t="s">
        <v>34282</v>
      </c>
      <c r="K9428" t="s">
        <v>42630</v>
      </c>
      <c r="M9428" t="s">
        <v>43304</v>
      </c>
      <c r="N9428" t="s">
        <v>47304</v>
      </c>
      <c r="O9428" t="s">
        <v>47305</v>
      </c>
      <c r="P9428">
        <v>0</v>
      </c>
      <c r="Q9428">
        <v>0</v>
      </c>
      <c r="R9428" t="s">
        <v>47313</v>
      </c>
      <c r="S9428" t="s">
        <v>47535</v>
      </c>
      <c r="T9428" t="s">
        <v>49315</v>
      </c>
      <c r="U9428" t="s">
        <v>50248</v>
      </c>
      <c r="W9428" t="s">
        <v>43304</v>
      </c>
      <c r="X9428" t="s">
        <v>47314</v>
      </c>
    </row>
    <row r="9429" spans="1:24">
      <c r="A9429">
        <f>HYPERLINK("https://www.philgeps.gov.ph/GEPSNONPILOT/Tender/SplashBidNoticeAbstractUI.aspx?menuIndex=3&amp;refID=7184115&amp;Result=3","7184115")</f>
        <v>0</v>
      </c>
      <c r="B9429" t="s">
        <v>1540</v>
      </c>
      <c r="C9429" t="s">
        <v>12740</v>
      </c>
      <c r="D9429" t="s">
        <v>18989</v>
      </c>
      <c r="E9429" t="s">
        <v>27159</v>
      </c>
      <c r="F9429" t="s">
        <v>32606</v>
      </c>
      <c r="G9429" t="s">
        <v>32613</v>
      </c>
      <c r="H9429" t="s">
        <v>14201</v>
      </c>
      <c r="I9429" t="s">
        <v>32640</v>
      </c>
      <c r="J9429" t="s">
        <v>38617</v>
      </c>
      <c r="K9429" t="s">
        <v>42631</v>
      </c>
      <c r="M9429" t="s">
        <v>44544</v>
      </c>
      <c r="N9429" t="s">
        <v>47304</v>
      </c>
      <c r="O9429" t="s">
        <v>47305</v>
      </c>
      <c r="P9429">
        <v>0</v>
      </c>
      <c r="Q9429">
        <v>3</v>
      </c>
      <c r="R9429" t="s">
        <v>47313</v>
      </c>
      <c r="S9429" t="s">
        <v>47535</v>
      </c>
      <c r="T9429" t="s">
        <v>49098</v>
      </c>
      <c r="U9429" t="s">
        <v>57323</v>
      </c>
      <c r="W9429" t="s">
        <v>44544</v>
      </c>
      <c r="X9429" t="s">
        <v>47314</v>
      </c>
    </row>
    <row r="9430" spans="1:24">
      <c r="A9430">
        <f>HYPERLINK("https://www.philgeps.gov.ph/GEPSNONPILOT/Tender/SplashBidNoticeAbstractUI.aspx?menuIndex=3&amp;refID=7184134&amp;Result=3","7184134")</f>
        <v>0</v>
      </c>
      <c r="B9430" t="s">
        <v>2924</v>
      </c>
      <c r="C9430" t="s">
        <v>12741</v>
      </c>
      <c r="D9430" t="s">
        <v>19008</v>
      </c>
      <c r="E9430" t="s">
        <v>20959</v>
      </c>
      <c r="F9430" t="s">
        <v>32606</v>
      </c>
      <c r="G9430" t="s">
        <v>32613</v>
      </c>
      <c r="H9430" t="s">
        <v>14201</v>
      </c>
      <c r="I9430" t="s">
        <v>32658</v>
      </c>
      <c r="J9430" t="s">
        <v>38618</v>
      </c>
      <c r="K9430" t="s">
        <v>42631</v>
      </c>
      <c r="M9430" t="s">
        <v>46103</v>
      </c>
      <c r="N9430" t="s">
        <v>47304</v>
      </c>
      <c r="O9430" t="s">
        <v>47305</v>
      </c>
      <c r="P9430">
        <v>0</v>
      </c>
      <c r="Q9430">
        <v>4</v>
      </c>
      <c r="R9430" t="s">
        <v>47313</v>
      </c>
      <c r="S9430" t="s">
        <v>47535</v>
      </c>
      <c r="T9430" t="s">
        <v>49140</v>
      </c>
      <c r="U9430" t="s">
        <v>57324</v>
      </c>
      <c r="V9430" t="s">
        <v>63634</v>
      </c>
      <c r="W9430" t="s">
        <v>46103</v>
      </c>
      <c r="X9430" t="s">
        <v>47314</v>
      </c>
    </row>
    <row r="9431" spans="1:24">
      <c r="A9431">
        <f>HYPERLINK("https://www.philgeps.gov.ph/GEPSNONPILOT/Tender/SplashBidNoticeAbstractUI.aspx?menuIndex=3&amp;refID=7184128&amp;Result=3","7184128")</f>
        <v>0</v>
      </c>
      <c r="B9431" t="s">
        <v>2925</v>
      </c>
      <c r="C9431" t="s">
        <v>12742</v>
      </c>
      <c r="D9431" t="s">
        <v>19048</v>
      </c>
      <c r="E9431" t="s">
        <v>27160</v>
      </c>
      <c r="F9431" t="s">
        <v>32606</v>
      </c>
      <c r="G9431" t="s">
        <v>32613</v>
      </c>
      <c r="H9431" t="s">
        <v>32623</v>
      </c>
      <c r="I9431" t="s">
        <v>17648</v>
      </c>
      <c r="J9431" t="s">
        <v>38619</v>
      </c>
      <c r="K9431" t="s">
        <v>42648</v>
      </c>
      <c r="M9431" t="s">
        <v>46104</v>
      </c>
      <c r="N9431" t="s">
        <v>47304</v>
      </c>
      <c r="O9431" t="s">
        <v>47305</v>
      </c>
      <c r="P9431">
        <v>0</v>
      </c>
      <c r="Q9431">
        <v>2</v>
      </c>
      <c r="R9431" t="s">
        <v>47313</v>
      </c>
      <c r="S9431" t="s">
        <v>47535</v>
      </c>
      <c r="T9431" t="s">
        <v>49140</v>
      </c>
      <c r="U9431" t="s">
        <v>57325</v>
      </c>
      <c r="W9431" t="s">
        <v>46104</v>
      </c>
      <c r="X9431" t="s">
        <v>47314</v>
      </c>
    </row>
    <row r="9432" spans="1:24">
      <c r="A9432">
        <f>HYPERLINK("https://www.philgeps.gov.ph/GEPSNONPILOT/Tender/SplashBidNoticeAbstractUI.aspx?menuIndex=3&amp;refID=7184125&amp;Result=3","7184125")</f>
        <v>0</v>
      </c>
      <c r="B9432" t="s">
        <v>487</v>
      </c>
      <c r="C9432" t="s">
        <v>12743</v>
      </c>
      <c r="D9432" t="s">
        <v>19027</v>
      </c>
      <c r="E9432" t="s">
        <v>27161</v>
      </c>
      <c r="F9432" t="s">
        <v>32606</v>
      </c>
      <c r="G9432" t="s">
        <v>32613</v>
      </c>
      <c r="H9432" t="s">
        <v>14201</v>
      </c>
      <c r="I9432" t="s">
        <v>32629</v>
      </c>
      <c r="J9432" t="s">
        <v>38620</v>
      </c>
      <c r="K9432" t="s">
        <v>42623</v>
      </c>
      <c r="M9432" t="s">
        <v>43399</v>
      </c>
      <c r="N9432" t="s">
        <v>47304</v>
      </c>
      <c r="O9432" t="s">
        <v>47305</v>
      </c>
      <c r="P9432">
        <v>0</v>
      </c>
      <c r="Q9432">
        <v>0</v>
      </c>
      <c r="R9432" t="s">
        <v>47313</v>
      </c>
      <c r="S9432" t="s">
        <v>47535</v>
      </c>
      <c r="T9432" t="s">
        <v>48987</v>
      </c>
      <c r="U9432" t="s">
        <v>57326</v>
      </c>
      <c r="W9432" t="s">
        <v>43399</v>
      </c>
      <c r="X9432" t="s">
        <v>47314</v>
      </c>
    </row>
    <row r="9433" spans="1:24">
      <c r="A9433">
        <f>HYPERLINK("https://www.philgeps.gov.ph/GEPSNONPILOT/Tender/SplashBidNoticeAbstractUI.aspx?menuIndex=3&amp;refID=7184146&amp;Result=3","7184146")</f>
        <v>0</v>
      </c>
      <c r="B9433" t="s">
        <v>257</v>
      </c>
      <c r="C9433" t="s">
        <v>12744</v>
      </c>
      <c r="D9433" t="s">
        <v>19019</v>
      </c>
      <c r="E9433" t="s">
        <v>27162</v>
      </c>
      <c r="F9433" t="s">
        <v>32606</v>
      </c>
      <c r="G9433" t="s">
        <v>32613</v>
      </c>
      <c r="H9433" t="s">
        <v>32623</v>
      </c>
      <c r="I9433" t="s">
        <v>17648</v>
      </c>
      <c r="J9433" t="s">
        <v>38621</v>
      </c>
      <c r="K9433" t="s">
        <v>42636</v>
      </c>
      <c r="M9433" t="s">
        <v>43158</v>
      </c>
      <c r="N9433" t="s">
        <v>47304</v>
      </c>
      <c r="O9433" t="s">
        <v>47305</v>
      </c>
      <c r="P9433">
        <v>0</v>
      </c>
      <c r="Q9433">
        <v>0</v>
      </c>
      <c r="R9433" t="s">
        <v>47313</v>
      </c>
      <c r="S9433" t="s">
        <v>47535</v>
      </c>
      <c r="T9433" t="s">
        <v>49140</v>
      </c>
      <c r="U9433" t="s">
        <v>57327</v>
      </c>
      <c r="W9433" t="s">
        <v>43158</v>
      </c>
      <c r="X9433" t="s">
        <v>47314</v>
      </c>
    </row>
    <row r="9434" spans="1:24">
      <c r="A9434">
        <f>HYPERLINK("https://www.philgeps.gov.ph/GEPSNONPILOT/Tender/SplashBidNoticeAbstractUI.aspx?menuIndex=3&amp;refID=7184124&amp;Result=3","7184124")</f>
        <v>0</v>
      </c>
      <c r="B9434" t="s">
        <v>425</v>
      </c>
      <c r="C9434" t="s">
        <v>6491</v>
      </c>
      <c r="D9434" t="s">
        <v>19015</v>
      </c>
      <c r="E9434" t="s">
        <v>27163</v>
      </c>
      <c r="F9434" t="s">
        <v>32606</v>
      </c>
      <c r="G9434" t="s">
        <v>32613</v>
      </c>
      <c r="H9434" t="s">
        <v>14201</v>
      </c>
      <c r="I9434" t="s">
        <v>32633</v>
      </c>
      <c r="J9434" t="s">
        <v>38622</v>
      </c>
      <c r="K9434" t="s">
        <v>42631</v>
      </c>
      <c r="M9434" t="s">
        <v>43329</v>
      </c>
      <c r="N9434" t="s">
        <v>47304</v>
      </c>
      <c r="O9434" t="s">
        <v>47305</v>
      </c>
      <c r="P9434">
        <v>0</v>
      </c>
      <c r="Q9434">
        <v>14</v>
      </c>
      <c r="R9434" t="s">
        <v>47313</v>
      </c>
      <c r="S9434" t="s">
        <v>47535</v>
      </c>
      <c r="T9434" t="s">
        <v>49066</v>
      </c>
      <c r="U9434" t="s">
        <v>57308</v>
      </c>
      <c r="W9434" t="s">
        <v>64432</v>
      </c>
      <c r="X9434" t="s">
        <v>47314</v>
      </c>
    </row>
    <row r="9435" spans="1:24">
      <c r="A9435">
        <f>HYPERLINK("https://www.philgeps.gov.ph/GEPSNONPILOT/Tender/SplashBidNoticeAbstractUI.aspx?menuIndex=3&amp;refID=7184121&amp;Result=3","7184121")</f>
        <v>0</v>
      </c>
      <c r="B9435" t="s">
        <v>401</v>
      </c>
      <c r="C9435" t="s">
        <v>12745</v>
      </c>
      <c r="D9435" t="s">
        <v>19033</v>
      </c>
      <c r="E9435" t="s">
        <v>27164</v>
      </c>
      <c r="F9435" t="s">
        <v>32606</v>
      </c>
      <c r="G9435" t="s">
        <v>32614</v>
      </c>
      <c r="H9435" t="s">
        <v>14201</v>
      </c>
      <c r="I9435" t="s">
        <v>6298</v>
      </c>
      <c r="J9435" t="s">
        <v>38623</v>
      </c>
      <c r="K9435" t="s">
        <v>42630</v>
      </c>
      <c r="M9435" t="s">
        <v>43304</v>
      </c>
      <c r="N9435" t="s">
        <v>47304</v>
      </c>
      <c r="O9435" t="s">
        <v>47305</v>
      </c>
      <c r="P9435">
        <v>0</v>
      </c>
      <c r="Q9435">
        <v>1</v>
      </c>
      <c r="R9435" t="s">
        <v>47313</v>
      </c>
      <c r="S9435" t="s">
        <v>47535</v>
      </c>
      <c r="T9435" t="s">
        <v>49315</v>
      </c>
      <c r="U9435" t="s">
        <v>50248</v>
      </c>
      <c r="W9435" t="s">
        <v>43304</v>
      </c>
      <c r="X9435" t="s">
        <v>47314</v>
      </c>
    </row>
    <row r="9436" spans="1:24">
      <c r="A9436">
        <f>HYPERLINK("https://www.philgeps.gov.ph/GEPSNONPILOT/Tender/SplashBidNoticeAbstractUI.aspx?menuIndex=3&amp;refID=7184152&amp;Result=3","7184152")</f>
        <v>0</v>
      </c>
      <c r="B9436" t="s">
        <v>2105</v>
      </c>
      <c r="C9436" t="s">
        <v>12746</v>
      </c>
      <c r="D9436" t="s">
        <v>18993</v>
      </c>
      <c r="E9436" t="s">
        <v>23530</v>
      </c>
      <c r="F9436" t="s">
        <v>32606</v>
      </c>
      <c r="G9436" t="s">
        <v>32613</v>
      </c>
      <c r="H9436" t="s">
        <v>14201</v>
      </c>
      <c r="I9436" t="s">
        <v>6478</v>
      </c>
      <c r="J9436" t="s">
        <v>38624</v>
      </c>
      <c r="K9436" t="s">
        <v>42627</v>
      </c>
      <c r="M9436" t="s">
        <v>45190</v>
      </c>
      <c r="N9436" t="s">
        <v>47304</v>
      </c>
      <c r="O9436" t="s">
        <v>47305</v>
      </c>
      <c r="P9436">
        <v>0</v>
      </c>
      <c r="Q9436">
        <v>20</v>
      </c>
      <c r="R9436" t="s">
        <v>47313</v>
      </c>
      <c r="S9436" t="s">
        <v>47535</v>
      </c>
      <c r="T9436" t="s">
        <v>49341</v>
      </c>
      <c r="U9436" t="s">
        <v>57328</v>
      </c>
      <c r="W9436" t="s">
        <v>45190</v>
      </c>
      <c r="X9436" t="s">
        <v>47314</v>
      </c>
    </row>
    <row r="9437" spans="1:24">
      <c r="A9437">
        <f>HYPERLINK("https://www.philgeps.gov.ph/GEPSNONPILOT/Tender/SplashBidNoticeAbstractUI.aspx?menuIndex=3&amp;refID=7184202&amp;Result=3","7184202")</f>
        <v>0</v>
      </c>
      <c r="B9437" t="s">
        <v>665</v>
      </c>
      <c r="C9437" t="s">
        <v>12747</v>
      </c>
      <c r="D9437" t="s">
        <v>19032</v>
      </c>
      <c r="E9437" t="s">
        <v>27165</v>
      </c>
      <c r="F9437" t="s">
        <v>32606</v>
      </c>
      <c r="G9437" t="s">
        <v>32613</v>
      </c>
      <c r="H9437" t="s">
        <v>14201</v>
      </c>
      <c r="I9437" t="s">
        <v>4369</v>
      </c>
      <c r="J9437" t="s">
        <v>32765</v>
      </c>
      <c r="K9437" t="s">
        <v>42624</v>
      </c>
      <c r="L9437" t="s">
        <v>665</v>
      </c>
      <c r="M9437" t="s">
        <v>43585</v>
      </c>
      <c r="N9437" t="s">
        <v>47304</v>
      </c>
      <c r="O9437" t="s">
        <v>47305</v>
      </c>
      <c r="P9437">
        <v>0</v>
      </c>
      <c r="Q9437">
        <v>4</v>
      </c>
      <c r="R9437" t="s">
        <v>47313</v>
      </c>
      <c r="S9437" t="s">
        <v>47535</v>
      </c>
      <c r="T9437" t="s">
        <v>49339</v>
      </c>
      <c r="U9437" t="s">
        <v>57329</v>
      </c>
      <c r="W9437" t="s">
        <v>43585</v>
      </c>
      <c r="X9437" t="s">
        <v>47314</v>
      </c>
    </row>
    <row r="9438" spans="1:24">
      <c r="A9438">
        <f>HYPERLINK("https://www.philgeps.gov.ph/GEPSNONPILOT/Tender/SplashBidNoticeAbstractUI.aspx?menuIndex=3&amp;refID=7184229&amp;Result=3","7184229")</f>
        <v>0</v>
      </c>
      <c r="B9438" t="s">
        <v>1832</v>
      </c>
      <c r="C9438" t="s">
        <v>12748</v>
      </c>
      <c r="D9438" t="s">
        <v>18992</v>
      </c>
      <c r="E9438" t="s">
        <v>27166</v>
      </c>
      <c r="F9438" t="s">
        <v>32606</v>
      </c>
      <c r="G9438" t="s">
        <v>32613</v>
      </c>
      <c r="H9438" t="s">
        <v>14201</v>
      </c>
      <c r="I9438" t="s">
        <v>32626</v>
      </c>
      <c r="J9438" t="s">
        <v>38625</v>
      </c>
      <c r="K9438" t="s">
        <v>42623</v>
      </c>
      <c r="M9438" t="s">
        <v>44882</v>
      </c>
      <c r="N9438" t="s">
        <v>47304</v>
      </c>
      <c r="O9438" t="s">
        <v>47305</v>
      </c>
      <c r="P9438">
        <v>0</v>
      </c>
      <c r="Q9438">
        <v>2</v>
      </c>
      <c r="R9438" t="s">
        <v>47313</v>
      </c>
      <c r="S9438" t="s">
        <v>47535</v>
      </c>
      <c r="T9438" t="s">
        <v>49012</v>
      </c>
      <c r="U9438" t="s">
        <v>57330</v>
      </c>
      <c r="V9438" t="s">
        <v>63635</v>
      </c>
      <c r="W9438" t="s">
        <v>44882</v>
      </c>
      <c r="X9438" t="s">
        <v>47314</v>
      </c>
    </row>
    <row r="9439" spans="1:24">
      <c r="A9439">
        <f>HYPERLINK("https://www.philgeps.gov.ph/GEPSNONPILOT/Tender/SplashBidNoticeAbstractUI.aspx?menuIndex=3&amp;refID=7184222&amp;Result=3","7184222")</f>
        <v>0</v>
      </c>
      <c r="B9439" t="s">
        <v>2926</v>
      </c>
      <c r="C9439" t="s">
        <v>12749</v>
      </c>
      <c r="E9439" t="s">
        <v>27167</v>
      </c>
      <c r="F9439" t="s">
        <v>32606</v>
      </c>
      <c r="G9439" t="s">
        <v>32613</v>
      </c>
      <c r="H9439" t="s">
        <v>32623</v>
      </c>
      <c r="I9439" t="s">
        <v>32675</v>
      </c>
      <c r="J9439" t="s">
        <v>38626</v>
      </c>
      <c r="K9439" t="s">
        <v>42624</v>
      </c>
      <c r="M9439" t="s">
        <v>46105</v>
      </c>
      <c r="N9439" t="s">
        <v>47304</v>
      </c>
      <c r="O9439" t="s">
        <v>47305</v>
      </c>
      <c r="P9439">
        <v>0</v>
      </c>
      <c r="Q9439">
        <v>61</v>
      </c>
      <c r="R9439" t="s">
        <v>47313</v>
      </c>
      <c r="S9439" t="s">
        <v>47535</v>
      </c>
      <c r="T9439" t="s">
        <v>49196</v>
      </c>
      <c r="U9439" t="s">
        <v>57331</v>
      </c>
      <c r="W9439" t="s">
        <v>46105</v>
      </c>
      <c r="X9439" t="s">
        <v>47314</v>
      </c>
    </row>
    <row r="9440" spans="1:24">
      <c r="A9440">
        <f>HYPERLINK("https://www.philgeps.gov.ph/GEPSNONPILOT/Tender/SplashBidNoticeAbstractUI.aspx?menuIndex=3&amp;refID=7184217&amp;Result=3","7184217")</f>
        <v>0</v>
      </c>
      <c r="B9440" t="s">
        <v>2319</v>
      </c>
      <c r="C9440" t="s">
        <v>9488</v>
      </c>
      <c r="D9440" t="s">
        <v>19045</v>
      </c>
      <c r="E9440" t="s">
        <v>27168</v>
      </c>
      <c r="F9440" t="s">
        <v>32606</v>
      </c>
      <c r="G9440" t="s">
        <v>32613</v>
      </c>
      <c r="H9440" t="s">
        <v>14201</v>
      </c>
      <c r="I9440" t="s">
        <v>4120</v>
      </c>
      <c r="J9440" t="s">
        <v>38627</v>
      </c>
      <c r="K9440" t="s">
        <v>42627</v>
      </c>
      <c r="M9440" t="s">
        <v>45427</v>
      </c>
      <c r="N9440" t="s">
        <v>47304</v>
      </c>
      <c r="O9440" t="s">
        <v>47305</v>
      </c>
      <c r="P9440">
        <v>0</v>
      </c>
      <c r="Q9440">
        <v>0</v>
      </c>
      <c r="R9440" t="s">
        <v>47313</v>
      </c>
      <c r="S9440" t="s">
        <v>47535</v>
      </c>
      <c r="T9440" t="s">
        <v>49086</v>
      </c>
      <c r="U9440" t="s">
        <v>57332</v>
      </c>
      <c r="W9440" t="s">
        <v>45427</v>
      </c>
      <c r="X9440" t="s">
        <v>47314</v>
      </c>
    </row>
    <row r="9441" spans="1:24">
      <c r="A9441">
        <f>HYPERLINK("https://www.philgeps.gov.ph/GEPSNONPILOT/Tender/SplashBidNoticeAbstractUI.aspx?menuIndex=3&amp;refID=7184116&amp;Result=3","7184116")</f>
        <v>0</v>
      </c>
      <c r="B9441" t="s">
        <v>1854</v>
      </c>
      <c r="C9441" t="s">
        <v>12750</v>
      </c>
      <c r="D9441" t="s">
        <v>19034</v>
      </c>
      <c r="E9441" t="s">
        <v>27169</v>
      </c>
      <c r="F9441" t="s">
        <v>32606</v>
      </c>
      <c r="G9441" t="s">
        <v>32613</v>
      </c>
      <c r="H9441" t="s">
        <v>14201</v>
      </c>
      <c r="I9441" t="s">
        <v>32629</v>
      </c>
      <c r="J9441" t="s">
        <v>32981</v>
      </c>
      <c r="K9441" t="s">
        <v>42623</v>
      </c>
      <c r="M9441" t="s">
        <v>44908</v>
      </c>
      <c r="N9441" t="s">
        <v>47304</v>
      </c>
      <c r="O9441" t="s">
        <v>47305</v>
      </c>
      <c r="P9441">
        <v>0</v>
      </c>
      <c r="Q9441">
        <v>1</v>
      </c>
      <c r="R9441" t="s">
        <v>47313</v>
      </c>
      <c r="S9441" t="s">
        <v>47535</v>
      </c>
      <c r="T9441" t="s">
        <v>49075</v>
      </c>
      <c r="U9441" t="s">
        <v>57333</v>
      </c>
      <c r="W9441" t="s">
        <v>44908</v>
      </c>
      <c r="X9441" t="s">
        <v>47314</v>
      </c>
    </row>
    <row r="9442" spans="1:24">
      <c r="A9442">
        <f>HYPERLINK("https://www.philgeps.gov.ph/GEPSNONPILOT/Tender/SplashBidNoticeAbstractUI.aspx?menuIndex=3&amp;refID=7184212&amp;Result=3","7184212")</f>
        <v>0</v>
      </c>
      <c r="B9442" t="s">
        <v>2927</v>
      </c>
      <c r="C9442" t="s">
        <v>12751</v>
      </c>
      <c r="D9442" t="s">
        <v>19029</v>
      </c>
      <c r="E9442" t="s">
        <v>27170</v>
      </c>
      <c r="F9442" t="s">
        <v>32606</v>
      </c>
      <c r="G9442" t="s">
        <v>32613</v>
      </c>
      <c r="H9442" t="s">
        <v>14201</v>
      </c>
      <c r="I9442" t="s">
        <v>32710</v>
      </c>
      <c r="J9442" t="s">
        <v>38628</v>
      </c>
      <c r="K9442" t="s">
        <v>42712</v>
      </c>
      <c r="M9442" t="s">
        <v>46106</v>
      </c>
      <c r="N9442" t="s">
        <v>47304</v>
      </c>
      <c r="O9442" t="s">
        <v>47305</v>
      </c>
      <c r="P9442">
        <v>0</v>
      </c>
      <c r="Q9442">
        <v>8</v>
      </c>
      <c r="R9442" t="s">
        <v>47313</v>
      </c>
      <c r="S9442" t="s">
        <v>47535</v>
      </c>
      <c r="T9442" t="s">
        <v>49037</v>
      </c>
      <c r="U9442" t="s">
        <v>57334</v>
      </c>
      <c r="W9442" t="s">
        <v>46106</v>
      </c>
      <c r="X9442" t="s">
        <v>47314</v>
      </c>
    </row>
    <row r="9443" spans="1:24">
      <c r="A9443">
        <f>HYPERLINK("https://www.philgeps.gov.ph/GEPSNONPILOT/Tender/SplashBidNoticeAbstractUI.aspx?menuIndex=3&amp;refID=7184210&amp;Result=3","7184210")</f>
        <v>0</v>
      </c>
      <c r="B9443" t="s">
        <v>2928</v>
      </c>
      <c r="C9443" t="s">
        <v>12752</v>
      </c>
      <c r="D9443" t="s">
        <v>19037</v>
      </c>
      <c r="E9443" t="s">
        <v>27171</v>
      </c>
      <c r="F9443" t="s">
        <v>32606</v>
      </c>
      <c r="G9443" t="s">
        <v>32613</v>
      </c>
      <c r="H9443" t="s">
        <v>14201</v>
      </c>
      <c r="I9443" t="s">
        <v>7064</v>
      </c>
      <c r="J9443" t="s">
        <v>32830</v>
      </c>
      <c r="K9443" t="s">
        <v>42631</v>
      </c>
      <c r="M9443" t="s">
        <v>46107</v>
      </c>
      <c r="N9443" t="s">
        <v>47304</v>
      </c>
      <c r="O9443" t="s">
        <v>47305</v>
      </c>
      <c r="P9443">
        <v>0</v>
      </c>
      <c r="Q9443">
        <v>6</v>
      </c>
      <c r="R9443" t="s">
        <v>47313</v>
      </c>
      <c r="S9443" t="s">
        <v>47535</v>
      </c>
      <c r="T9443" t="s">
        <v>49075</v>
      </c>
      <c r="U9443" t="s">
        <v>57335</v>
      </c>
      <c r="V9443" t="s">
        <v>63636</v>
      </c>
      <c r="W9443" t="s">
        <v>46107</v>
      </c>
      <c r="X9443" t="s">
        <v>47314</v>
      </c>
    </row>
    <row r="9444" spans="1:24">
      <c r="A9444">
        <f>HYPERLINK("https://www.philgeps.gov.ph/GEPSNONPILOT/Tender/SplashBidNoticeAbstractUI.aspx?menuIndex=3&amp;refID=7184200&amp;Result=3","7184200")</f>
        <v>0</v>
      </c>
      <c r="B9444" t="s">
        <v>492</v>
      </c>
      <c r="C9444" t="s">
        <v>12753</v>
      </c>
      <c r="D9444" t="s">
        <v>18997</v>
      </c>
      <c r="E9444" t="s">
        <v>27172</v>
      </c>
      <c r="F9444" t="s">
        <v>32607</v>
      </c>
      <c r="G9444" t="s">
        <v>32614</v>
      </c>
      <c r="H9444" t="s">
        <v>14201</v>
      </c>
      <c r="I9444" t="s">
        <v>6931</v>
      </c>
      <c r="J9444" t="s">
        <v>34118</v>
      </c>
      <c r="K9444" t="s">
        <v>42630</v>
      </c>
      <c r="M9444" t="s">
        <v>43405</v>
      </c>
      <c r="N9444" t="s">
        <v>47304</v>
      </c>
      <c r="O9444" t="s">
        <v>47305</v>
      </c>
      <c r="P9444">
        <v>0</v>
      </c>
      <c r="Q9444">
        <v>1</v>
      </c>
      <c r="R9444" t="s">
        <v>47313</v>
      </c>
      <c r="S9444" t="s">
        <v>47535</v>
      </c>
      <c r="T9444" t="s">
        <v>49020</v>
      </c>
      <c r="U9444" t="s">
        <v>50411</v>
      </c>
      <c r="V9444" t="s">
        <v>62762</v>
      </c>
      <c r="W9444" t="s">
        <v>64437</v>
      </c>
      <c r="X9444" t="s">
        <v>47314</v>
      </c>
    </row>
    <row r="9445" spans="1:24">
      <c r="A9445">
        <f>HYPERLINK("https://www.philgeps.gov.ph/GEPSNONPILOT/Tender/SplashBidNoticeAbstractUI.aspx?menuIndex=3&amp;refID=7184199&amp;Result=3","7184199")</f>
        <v>0</v>
      </c>
      <c r="B9445" t="s">
        <v>257</v>
      </c>
      <c r="C9445" t="s">
        <v>12754</v>
      </c>
      <c r="D9445" t="s">
        <v>19019</v>
      </c>
      <c r="E9445" t="s">
        <v>27173</v>
      </c>
      <c r="F9445" t="s">
        <v>32606</v>
      </c>
      <c r="G9445" t="s">
        <v>32613</v>
      </c>
      <c r="H9445" t="s">
        <v>32623</v>
      </c>
      <c r="I9445" t="s">
        <v>17648</v>
      </c>
      <c r="J9445" t="s">
        <v>38629</v>
      </c>
      <c r="K9445" t="s">
        <v>42646</v>
      </c>
      <c r="M9445" t="s">
        <v>43158</v>
      </c>
      <c r="N9445" t="s">
        <v>47304</v>
      </c>
      <c r="O9445" t="s">
        <v>47305</v>
      </c>
      <c r="P9445">
        <v>0</v>
      </c>
      <c r="Q9445">
        <v>0</v>
      </c>
      <c r="R9445" t="s">
        <v>47313</v>
      </c>
      <c r="S9445" t="s">
        <v>47535</v>
      </c>
      <c r="T9445" t="s">
        <v>49140</v>
      </c>
      <c r="U9445" t="s">
        <v>57327</v>
      </c>
      <c r="W9445" t="s">
        <v>43158</v>
      </c>
      <c r="X9445" t="s">
        <v>47314</v>
      </c>
    </row>
    <row r="9446" spans="1:24">
      <c r="A9446">
        <f>HYPERLINK("https://www.philgeps.gov.ph/GEPSNONPILOT/Tender/SplashBidNoticeAbstractUI.aspx?menuIndex=3&amp;refID=7184195&amp;Result=3","7184195")</f>
        <v>0</v>
      </c>
      <c r="B9446" t="s">
        <v>2925</v>
      </c>
      <c r="C9446" t="s">
        <v>12755</v>
      </c>
      <c r="D9446" t="s">
        <v>19048</v>
      </c>
      <c r="E9446" t="s">
        <v>27174</v>
      </c>
      <c r="F9446" t="s">
        <v>32606</v>
      </c>
      <c r="G9446" t="s">
        <v>32613</v>
      </c>
      <c r="H9446" t="s">
        <v>32623</v>
      </c>
      <c r="I9446" t="s">
        <v>17648</v>
      </c>
      <c r="J9446" t="s">
        <v>38630</v>
      </c>
      <c r="K9446" t="s">
        <v>42798</v>
      </c>
      <c r="M9446" t="s">
        <v>46104</v>
      </c>
      <c r="N9446" t="s">
        <v>47304</v>
      </c>
      <c r="O9446" t="s">
        <v>47305</v>
      </c>
      <c r="P9446">
        <v>0</v>
      </c>
      <c r="Q9446">
        <v>3</v>
      </c>
      <c r="R9446" t="s">
        <v>47313</v>
      </c>
      <c r="S9446" t="s">
        <v>47535</v>
      </c>
      <c r="T9446" t="s">
        <v>49140</v>
      </c>
      <c r="U9446" t="s">
        <v>57336</v>
      </c>
      <c r="W9446" t="s">
        <v>46104</v>
      </c>
      <c r="X9446" t="s">
        <v>47314</v>
      </c>
    </row>
    <row r="9447" spans="1:24">
      <c r="A9447">
        <f>HYPERLINK("https://www.philgeps.gov.ph/GEPSNONPILOT/Tender/SplashBidNoticeAbstractUI.aspx?menuIndex=3&amp;refID=7184215&amp;Result=3","7184215")</f>
        <v>0</v>
      </c>
      <c r="B9447" t="s">
        <v>2929</v>
      </c>
      <c r="C9447" t="s">
        <v>12756</v>
      </c>
      <c r="D9447" t="s">
        <v>19007</v>
      </c>
      <c r="E9447" t="s">
        <v>26372</v>
      </c>
      <c r="F9447" t="s">
        <v>32606</v>
      </c>
      <c r="G9447" t="s">
        <v>32613</v>
      </c>
      <c r="H9447" t="s">
        <v>32623</v>
      </c>
      <c r="I9447" t="s">
        <v>17648</v>
      </c>
      <c r="J9447" t="s">
        <v>38631</v>
      </c>
      <c r="K9447" t="s">
        <v>42623</v>
      </c>
      <c r="M9447" t="s">
        <v>46108</v>
      </c>
      <c r="N9447" t="s">
        <v>47304</v>
      </c>
      <c r="O9447" t="s">
        <v>47305</v>
      </c>
      <c r="P9447">
        <v>0</v>
      </c>
      <c r="Q9447">
        <v>2</v>
      </c>
      <c r="R9447" t="s">
        <v>47313</v>
      </c>
      <c r="S9447" t="s">
        <v>47535</v>
      </c>
      <c r="T9447" t="s">
        <v>49076</v>
      </c>
      <c r="U9447" t="s">
        <v>57337</v>
      </c>
      <c r="W9447" t="s">
        <v>46108</v>
      </c>
      <c r="X9447" t="s">
        <v>47314</v>
      </c>
    </row>
    <row r="9448" spans="1:24">
      <c r="A9448">
        <f>HYPERLINK("https://www.philgeps.gov.ph/GEPSNONPILOT/Tender/SplashBidNoticeAbstractUI.aspx?menuIndex=3&amp;refID=7184137&amp;Result=3","7184137")</f>
        <v>0</v>
      </c>
      <c r="B9448" t="s">
        <v>1014</v>
      </c>
      <c r="C9448" t="s">
        <v>12757</v>
      </c>
      <c r="D9448" t="s">
        <v>19056</v>
      </c>
      <c r="E9448" t="s">
        <v>27175</v>
      </c>
      <c r="F9448" t="s">
        <v>32606</v>
      </c>
      <c r="G9448" t="s">
        <v>32614</v>
      </c>
      <c r="H9448" t="s">
        <v>14201</v>
      </c>
      <c r="I9448" t="s">
        <v>4112</v>
      </c>
      <c r="J9448" t="s">
        <v>37739</v>
      </c>
      <c r="K9448" t="s">
        <v>42646</v>
      </c>
      <c r="M9448" t="s">
        <v>46082</v>
      </c>
      <c r="N9448" t="s">
        <v>47304</v>
      </c>
      <c r="O9448" t="s">
        <v>47305</v>
      </c>
      <c r="Q9448">
        <v>0</v>
      </c>
      <c r="R9448" t="s">
        <v>47313</v>
      </c>
      <c r="S9448" t="s">
        <v>47560</v>
      </c>
      <c r="T9448" t="s">
        <v>49200</v>
      </c>
      <c r="U9448" t="s">
        <v>57338</v>
      </c>
      <c r="W9448" t="s">
        <v>46082</v>
      </c>
      <c r="X9448" t="s">
        <v>47314</v>
      </c>
    </row>
    <row r="9449" spans="1:24">
      <c r="A9449">
        <f>HYPERLINK("https://www.philgeps.gov.ph/GEPSNONPILOT/Tender/SplashBidNoticeAbstractUI.aspx?menuIndex=3&amp;refID=7184186&amp;Result=3","7184186")</f>
        <v>0</v>
      </c>
      <c r="B9449" t="s">
        <v>1017</v>
      </c>
      <c r="C9449" t="s">
        <v>12758</v>
      </c>
      <c r="D9449" t="s">
        <v>19040</v>
      </c>
      <c r="E9449" t="s">
        <v>27176</v>
      </c>
      <c r="F9449" t="s">
        <v>32606</v>
      </c>
      <c r="G9449" t="s">
        <v>32614</v>
      </c>
      <c r="H9449" t="s">
        <v>14201</v>
      </c>
      <c r="I9449" t="s">
        <v>6298</v>
      </c>
      <c r="J9449" t="s">
        <v>38632</v>
      </c>
      <c r="K9449" t="s">
        <v>42623</v>
      </c>
      <c r="M9449" t="s">
        <v>46109</v>
      </c>
      <c r="N9449" t="s">
        <v>47304</v>
      </c>
      <c r="O9449" t="s">
        <v>47305</v>
      </c>
      <c r="P9449">
        <v>0</v>
      </c>
      <c r="Q9449">
        <v>6</v>
      </c>
      <c r="R9449" t="s">
        <v>47313</v>
      </c>
      <c r="S9449" t="s">
        <v>47535</v>
      </c>
      <c r="T9449" t="s">
        <v>49268</v>
      </c>
      <c r="U9449" t="s">
        <v>51446</v>
      </c>
      <c r="W9449" t="s">
        <v>46109</v>
      </c>
      <c r="X9449" t="s">
        <v>47314</v>
      </c>
    </row>
    <row r="9450" spans="1:24">
      <c r="A9450">
        <f>HYPERLINK("https://www.philgeps.gov.ph/GEPSNONPILOT/Tender/SplashBidNoticeAbstractUI.aspx?menuIndex=3&amp;refID=7184182&amp;Result=3","7184182")</f>
        <v>0</v>
      </c>
      <c r="B9450" t="s">
        <v>1457</v>
      </c>
      <c r="C9450" t="s">
        <v>12759</v>
      </c>
      <c r="D9450" t="s">
        <v>19056</v>
      </c>
      <c r="E9450" t="s">
        <v>26526</v>
      </c>
      <c r="F9450" t="s">
        <v>32606</v>
      </c>
      <c r="G9450" t="s">
        <v>32617</v>
      </c>
      <c r="H9450" t="s">
        <v>14201</v>
      </c>
      <c r="I9450" t="s">
        <v>6931</v>
      </c>
      <c r="J9450" t="s">
        <v>34085</v>
      </c>
      <c r="K9450" t="s">
        <v>42623</v>
      </c>
      <c r="M9450" t="s">
        <v>44448</v>
      </c>
      <c r="N9450" t="s">
        <v>47304</v>
      </c>
      <c r="O9450" t="s">
        <v>47305</v>
      </c>
      <c r="P9450">
        <v>0</v>
      </c>
      <c r="Q9450">
        <v>4</v>
      </c>
      <c r="R9450" t="s">
        <v>47313</v>
      </c>
      <c r="S9450" t="s">
        <v>47535</v>
      </c>
      <c r="T9450" t="s">
        <v>49269</v>
      </c>
      <c r="U9450" t="s">
        <v>57339</v>
      </c>
      <c r="W9450" t="s">
        <v>44448</v>
      </c>
      <c r="X9450" t="s">
        <v>47314</v>
      </c>
    </row>
    <row r="9451" spans="1:24">
      <c r="A9451">
        <f>HYPERLINK("https://www.philgeps.gov.ph/GEPSNONPILOT/Tender/SplashBidNoticeAbstractUI.aspx?menuIndex=3&amp;refID=7184316&amp;Result=3","7184316")</f>
        <v>0</v>
      </c>
      <c r="B9451" t="s">
        <v>2930</v>
      </c>
      <c r="C9451" t="s">
        <v>12760</v>
      </c>
      <c r="E9451" t="s">
        <v>27177</v>
      </c>
      <c r="F9451" t="s">
        <v>32606</v>
      </c>
      <c r="G9451" t="s">
        <v>32613</v>
      </c>
      <c r="H9451" t="s">
        <v>14201</v>
      </c>
      <c r="I9451" t="s">
        <v>6931</v>
      </c>
      <c r="J9451" t="s">
        <v>38633</v>
      </c>
      <c r="K9451" t="s">
        <v>42624</v>
      </c>
      <c r="M9451" t="s">
        <v>46110</v>
      </c>
      <c r="N9451" t="s">
        <v>47304</v>
      </c>
      <c r="O9451" t="s">
        <v>47305</v>
      </c>
      <c r="P9451">
        <v>0</v>
      </c>
      <c r="Q9451">
        <v>1</v>
      </c>
      <c r="R9451" t="s">
        <v>47313</v>
      </c>
      <c r="S9451" t="s">
        <v>47535</v>
      </c>
      <c r="T9451" t="s">
        <v>49008</v>
      </c>
      <c r="U9451" t="s">
        <v>57340</v>
      </c>
      <c r="W9451" t="s">
        <v>46110</v>
      </c>
      <c r="X9451" t="s">
        <v>47314</v>
      </c>
    </row>
    <row r="9452" spans="1:24">
      <c r="A9452">
        <f>HYPERLINK("https://www.philgeps.gov.ph/GEPSNONPILOT/Tender/SplashBidNoticeAbstractUI.aspx?menuIndex=3&amp;refID=7184315&amp;Result=3","7184315")</f>
        <v>0</v>
      </c>
      <c r="B9452" t="s">
        <v>1532</v>
      </c>
      <c r="C9452" t="s">
        <v>12761</v>
      </c>
      <c r="D9452" t="s">
        <v>19057</v>
      </c>
      <c r="E9452" t="s">
        <v>27178</v>
      </c>
      <c r="F9452" t="s">
        <v>32606</v>
      </c>
      <c r="G9452" t="s">
        <v>32613</v>
      </c>
      <c r="H9452" t="s">
        <v>32623</v>
      </c>
      <c r="I9452" t="s">
        <v>17648</v>
      </c>
      <c r="J9452" t="s">
        <v>38634</v>
      </c>
      <c r="K9452" t="s">
        <v>42636</v>
      </c>
      <c r="M9452" t="s">
        <v>44535</v>
      </c>
      <c r="N9452" t="s">
        <v>47304</v>
      </c>
      <c r="O9452" t="s">
        <v>47305</v>
      </c>
      <c r="P9452">
        <v>0</v>
      </c>
      <c r="Q9452">
        <v>0</v>
      </c>
      <c r="R9452" t="s">
        <v>47313</v>
      </c>
      <c r="S9452" t="s">
        <v>47535</v>
      </c>
      <c r="T9452" t="s">
        <v>49119</v>
      </c>
      <c r="U9452" t="s">
        <v>57341</v>
      </c>
      <c r="W9452" t="s">
        <v>44535</v>
      </c>
      <c r="X9452" t="s">
        <v>47314</v>
      </c>
    </row>
    <row r="9453" spans="1:24">
      <c r="A9453">
        <f>HYPERLINK("https://www.philgeps.gov.ph/GEPSNONPILOT/Tender/SplashBidNoticeAbstractUI.aspx?menuIndex=3&amp;refID=7184304&amp;Result=3","7184304")</f>
        <v>0</v>
      </c>
      <c r="B9453" t="s">
        <v>2252</v>
      </c>
      <c r="C9453" t="s">
        <v>12762</v>
      </c>
      <c r="E9453" t="s">
        <v>27179</v>
      </c>
      <c r="F9453" t="s">
        <v>32606</v>
      </c>
      <c r="G9453" t="s">
        <v>32613</v>
      </c>
      <c r="H9453" t="s">
        <v>32623</v>
      </c>
      <c r="I9453" t="s">
        <v>17648</v>
      </c>
      <c r="J9453" t="s">
        <v>38635</v>
      </c>
      <c r="K9453" t="s">
        <v>42624</v>
      </c>
      <c r="M9453" t="s">
        <v>45357</v>
      </c>
      <c r="N9453" t="s">
        <v>47304</v>
      </c>
      <c r="O9453" t="s">
        <v>47305</v>
      </c>
      <c r="P9453">
        <v>0</v>
      </c>
      <c r="Q9453">
        <v>0</v>
      </c>
      <c r="R9453" t="s">
        <v>47313</v>
      </c>
      <c r="S9453" t="s">
        <v>47535</v>
      </c>
      <c r="T9453" t="s">
        <v>49157</v>
      </c>
      <c r="U9453" t="s">
        <v>57342</v>
      </c>
      <c r="W9453" t="s">
        <v>45357</v>
      </c>
      <c r="X9453" t="s">
        <v>47314</v>
      </c>
    </row>
    <row r="9454" spans="1:24">
      <c r="A9454">
        <f>HYPERLINK("https://www.philgeps.gov.ph/GEPSNONPILOT/Tender/SplashBidNoticeAbstractUI.aspx?menuIndex=3&amp;refID=7184293&amp;Result=3","7184293")</f>
        <v>0</v>
      </c>
      <c r="B9454" t="s">
        <v>1383</v>
      </c>
      <c r="C9454" t="s">
        <v>12763</v>
      </c>
      <c r="D9454" t="s">
        <v>19029</v>
      </c>
      <c r="E9454" t="s">
        <v>19314</v>
      </c>
      <c r="F9454" t="s">
        <v>32607</v>
      </c>
      <c r="G9454" t="s">
        <v>32613</v>
      </c>
      <c r="H9454" t="s">
        <v>32623</v>
      </c>
      <c r="I9454" t="s">
        <v>17648</v>
      </c>
      <c r="J9454" t="s">
        <v>38636</v>
      </c>
      <c r="K9454" t="s">
        <v>42648</v>
      </c>
      <c r="M9454" t="s">
        <v>44365</v>
      </c>
      <c r="N9454" t="s">
        <v>47304</v>
      </c>
      <c r="O9454" t="s">
        <v>47305</v>
      </c>
      <c r="P9454">
        <v>0</v>
      </c>
      <c r="Q9454">
        <v>29</v>
      </c>
      <c r="R9454" t="s">
        <v>47313</v>
      </c>
      <c r="S9454" t="s">
        <v>47535</v>
      </c>
      <c r="T9454" t="s">
        <v>49028</v>
      </c>
      <c r="U9454" t="s">
        <v>57343</v>
      </c>
      <c r="W9454" t="s">
        <v>44365</v>
      </c>
      <c r="X9454" t="s">
        <v>47314</v>
      </c>
    </row>
    <row r="9455" spans="1:24">
      <c r="A9455">
        <f>HYPERLINK("https://www.philgeps.gov.ph/GEPSNONPILOT/Tender/SplashBidNoticeAbstractUI.aspx?menuIndex=3&amp;refID=7184193&amp;Result=3","7184193")</f>
        <v>0</v>
      </c>
      <c r="B9455" t="s">
        <v>1383</v>
      </c>
      <c r="C9455" t="s">
        <v>12764</v>
      </c>
      <c r="D9455" t="s">
        <v>19029</v>
      </c>
      <c r="E9455" t="s">
        <v>19370</v>
      </c>
      <c r="F9455" t="s">
        <v>32607</v>
      </c>
      <c r="G9455" t="s">
        <v>32613</v>
      </c>
      <c r="H9455" t="s">
        <v>32623</v>
      </c>
      <c r="I9455" t="s">
        <v>17648</v>
      </c>
      <c r="J9455" t="s">
        <v>38637</v>
      </c>
      <c r="K9455" t="s">
        <v>42646</v>
      </c>
      <c r="M9455" t="s">
        <v>44365</v>
      </c>
      <c r="N9455" t="s">
        <v>47304</v>
      </c>
      <c r="O9455" t="s">
        <v>47305</v>
      </c>
      <c r="P9455">
        <v>0</v>
      </c>
      <c r="Q9455">
        <v>30</v>
      </c>
      <c r="R9455" t="s">
        <v>47313</v>
      </c>
      <c r="S9455" t="s">
        <v>47535</v>
      </c>
      <c r="T9455" t="s">
        <v>49028</v>
      </c>
      <c r="U9455" t="s">
        <v>57344</v>
      </c>
      <c r="W9455" t="s">
        <v>44365</v>
      </c>
      <c r="X9455" t="s">
        <v>47314</v>
      </c>
    </row>
    <row r="9456" spans="1:24">
      <c r="A9456">
        <f>HYPERLINK("https://www.philgeps.gov.ph/GEPSNONPILOT/Tender/SplashBidNoticeAbstractUI.aspx?menuIndex=3&amp;refID=7184284&amp;Result=3","7184284")</f>
        <v>0</v>
      </c>
      <c r="B9456" t="s">
        <v>2931</v>
      </c>
      <c r="C9456" t="s">
        <v>12765</v>
      </c>
      <c r="D9456" t="s">
        <v>18994</v>
      </c>
      <c r="E9456" t="s">
        <v>19315</v>
      </c>
      <c r="F9456" t="s">
        <v>32606</v>
      </c>
      <c r="G9456" t="s">
        <v>32613</v>
      </c>
      <c r="H9456" t="s">
        <v>14201</v>
      </c>
      <c r="I9456" t="s">
        <v>5233</v>
      </c>
      <c r="J9456" t="s">
        <v>38638</v>
      </c>
      <c r="K9456" t="s">
        <v>42630</v>
      </c>
      <c r="M9456" t="s">
        <v>46111</v>
      </c>
      <c r="N9456" t="s">
        <v>47304</v>
      </c>
      <c r="O9456" t="s">
        <v>47305</v>
      </c>
      <c r="P9456">
        <v>0</v>
      </c>
      <c r="Q9456">
        <v>2</v>
      </c>
      <c r="R9456" t="s">
        <v>47313</v>
      </c>
      <c r="S9456" t="s">
        <v>47535</v>
      </c>
      <c r="T9456" t="s">
        <v>49057</v>
      </c>
      <c r="U9456" t="s">
        <v>57345</v>
      </c>
      <c r="W9456" t="s">
        <v>46111</v>
      </c>
      <c r="X9456" t="s">
        <v>47314</v>
      </c>
    </row>
    <row r="9457" spans="1:24">
      <c r="A9457">
        <f>HYPERLINK("https://www.philgeps.gov.ph/GEPSNONPILOT/Tender/SplashBidNoticeAbstractUI.aspx?menuIndex=3&amp;refID=7184287&amp;Result=3","7184287")</f>
        <v>0</v>
      </c>
      <c r="B9457" t="s">
        <v>1221</v>
      </c>
      <c r="C9457" t="s">
        <v>12766</v>
      </c>
      <c r="D9457" t="s">
        <v>19063</v>
      </c>
      <c r="E9457" t="s">
        <v>27180</v>
      </c>
      <c r="F9457" t="s">
        <v>32606</v>
      </c>
      <c r="G9457" t="s">
        <v>32613</v>
      </c>
      <c r="H9457" t="s">
        <v>14201</v>
      </c>
      <c r="I9457" t="s">
        <v>32635</v>
      </c>
      <c r="J9457" t="s">
        <v>38639</v>
      </c>
      <c r="K9457" t="s">
        <v>42648</v>
      </c>
      <c r="M9457" t="s">
        <v>44186</v>
      </c>
      <c r="N9457" t="s">
        <v>47304</v>
      </c>
      <c r="O9457" t="s">
        <v>47305</v>
      </c>
      <c r="P9457">
        <v>0</v>
      </c>
      <c r="Q9457">
        <v>6</v>
      </c>
      <c r="R9457" t="s">
        <v>47313</v>
      </c>
      <c r="S9457" t="s">
        <v>47535</v>
      </c>
      <c r="T9457" t="s">
        <v>49086</v>
      </c>
      <c r="U9457" t="s">
        <v>57346</v>
      </c>
      <c r="W9457" t="s">
        <v>44186</v>
      </c>
      <c r="X9457" t="s">
        <v>47314</v>
      </c>
    </row>
    <row r="9458" spans="1:24">
      <c r="A9458">
        <f>HYPERLINK("https://www.philgeps.gov.ph/GEPSNONPILOT/Tender/SplashBidNoticeAbstractUI.aspx?menuIndex=3&amp;refID=7184280&amp;Result=3","7184280")</f>
        <v>0</v>
      </c>
      <c r="B9458" t="s">
        <v>2932</v>
      </c>
      <c r="C9458" t="s">
        <v>12767</v>
      </c>
      <c r="D9458" t="s">
        <v>19008</v>
      </c>
      <c r="E9458" t="s">
        <v>27181</v>
      </c>
      <c r="F9458" t="s">
        <v>32606</v>
      </c>
      <c r="G9458" t="s">
        <v>32613</v>
      </c>
      <c r="H9458" t="s">
        <v>14201</v>
      </c>
      <c r="I9458" t="s">
        <v>13131</v>
      </c>
      <c r="J9458" t="s">
        <v>38640</v>
      </c>
      <c r="K9458" t="s">
        <v>42631</v>
      </c>
      <c r="M9458" t="s">
        <v>46112</v>
      </c>
      <c r="N9458" t="s">
        <v>47304</v>
      </c>
      <c r="O9458" t="s">
        <v>47305</v>
      </c>
      <c r="Q9458">
        <v>3</v>
      </c>
      <c r="R9458" t="s">
        <v>47313</v>
      </c>
      <c r="S9458" t="s">
        <v>47561</v>
      </c>
      <c r="T9458" t="s">
        <v>49087</v>
      </c>
      <c r="U9458" t="s">
        <v>57347</v>
      </c>
      <c r="W9458" t="s">
        <v>46112</v>
      </c>
      <c r="X9458" t="s">
        <v>47314</v>
      </c>
    </row>
    <row r="9459" spans="1:24">
      <c r="A9459">
        <f>HYPERLINK("https://www.philgeps.gov.ph/GEPSNONPILOT/Tender/SplashBidNoticeAbstractUI.aspx?menuIndex=3&amp;refID=7184277&amp;Result=3","7184277")</f>
        <v>0</v>
      </c>
      <c r="B9459" t="s">
        <v>1543</v>
      </c>
      <c r="C9459" t="s">
        <v>12768</v>
      </c>
      <c r="D9459" t="s">
        <v>19013</v>
      </c>
      <c r="E9459" t="s">
        <v>27182</v>
      </c>
      <c r="F9459" t="s">
        <v>32606</v>
      </c>
      <c r="G9459" t="s">
        <v>32615</v>
      </c>
      <c r="H9459" t="s">
        <v>14201</v>
      </c>
      <c r="I9459" t="s">
        <v>7577</v>
      </c>
      <c r="J9459" t="s">
        <v>32923</v>
      </c>
      <c r="K9459" t="s">
        <v>42624</v>
      </c>
      <c r="M9459" t="s">
        <v>44547</v>
      </c>
      <c r="N9459" t="s">
        <v>47304</v>
      </c>
      <c r="O9459" t="s">
        <v>47305</v>
      </c>
      <c r="P9459">
        <v>0</v>
      </c>
      <c r="Q9459">
        <v>1</v>
      </c>
      <c r="R9459" t="s">
        <v>47313</v>
      </c>
      <c r="S9459" t="s">
        <v>47535</v>
      </c>
      <c r="T9459" t="s">
        <v>49263</v>
      </c>
      <c r="U9459" t="s">
        <v>57348</v>
      </c>
      <c r="W9459" t="s">
        <v>44547</v>
      </c>
      <c r="X9459" t="s">
        <v>47314</v>
      </c>
    </row>
    <row r="9460" spans="1:24">
      <c r="A9460">
        <f>HYPERLINK("https://www.philgeps.gov.ph/GEPSNONPILOT/Tender/SplashBidNoticeAbstractUI.aspx?menuIndex=3&amp;refID=7184265&amp;Result=3","7184265")</f>
        <v>0</v>
      </c>
      <c r="B9460" t="s">
        <v>1803</v>
      </c>
      <c r="C9460" t="s">
        <v>12769</v>
      </c>
      <c r="E9460" t="s">
        <v>27183</v>
      </c>
      <c r="F9460" t="s">
        <v>32606</v>
      </c>
      <c r="G9460" t="s">
        <v>32613</v>
      </c>
      <c r="H9460" t="s">
        <v>14201</v>
      </c>
      <c r="I9460" t="s">
        <v>32680</v>
      </c>
      <c r="J9460" t="s">
        <v>38641</v>
      </c>
      <c r="K9460" t="s">
        <v>42623</v>
      </c>
      <c r="M9460" t="s">
        <v>44844</v>
      </c>
      <c r="N9460" t="s">
        <v>47304</v>
      </c>
      <c r="O9460" t="s">
        <v>47305</v>
      </c>
      <c r="P9460">
        <v>0</v>
      </c>
      <c r="Q9460">
        <v>3</v>
      </c>
      <c r="R9460" t="s">
        <v>47313</v>
      </c>
      <c r="S9460" t="s">
        <v>47535</v>
      </c>
      <c r="T9460" t="s">
        <v>49071</v>
      </c>
      <c r="U9460" t="s">
        <v>57349</v>
      </c>
      <c r="W9460" t="s">
        <v>44844</v>
      </c>
      <c r="X9460" t="s">
        <v>47314</v>
      </c>
    </row>
    <row r="9461" spans="1:24">
      <c r="A9461">
        <f>HYPERLINK("https://www.philgeps.gov.ph/GEPSNONPILOT/Tender/SplashBidNoticeAbstractUI.aspx?menuIndex=3&amp;refID=7184263&amp;Result=3","7184263")</f>
        <v>0</v>
      </c>
      <c r="B9461" t="s">
        <v>2498</v>
      </c>
      <c r="C9461" t="s">
        <v>12770</v>
      </c>
      <c r="D9461" t="s">
        <v>19038</v>
      </c>
      <c r="E9461" t="s">
        <v>20667</v>
      </c>
      <c r="F9461" t="s">
        <v>32606</v>
      </c>
      <c r="G9461" t="s">
        <v>32613</v>
      </c>
      <c r="H9461" t="s">
        <v>14201</v>
      </c>
      <c r="I9461" t="s">
        <v>6931</v>
      </c>
      <c r="J9461" t="s">
        <v>38642</v>
      </c>
      <c r="K9461" t="s">
        <v>42630</v>
      </c>
      <c r="M9461" t="s">
        <v>45636</v>
      </c>
      <c r="N9461" t="s">
        <v>47304</v>
      </c>
      <c r="O9461" t="s">
        <v>47305</v>
      </c>
      <c r="P9461">
        <v>0</v>
      </c>
      <c r="Q9461">
        <v>0</v>
      </c>
      <c r="R9461" t="s">
        <v>47313</v>
      </c>
      <c r="S9461" t="s">
        <v>47535</v>
      </c>
      <c r="T9461" t="s">
        <v>49020</v>
      </c>
      <c r="U9461" t="s">
        <v>57350</v>
      </c>
      <c r="V9461" t="s">
        <v>63390</v>
      </c>
      <c r="W9461" t="s">
        <v>45636</v>
      </c>
      <c r="X9461" t="s">
        <v>47314</v>
      </c>
    </row>
    <row r="9462" spans="1:24">
      <c r="A9462">
        <f>HYPERLINK("https://www.philgeps.gov.ph/GEPSNONPILOT/Tender/SplashBidNoticeAbstractUI.aspx?menuIndex=3&amp;refID=7184119&amp;Result=3","7184119")</f>
        <v>0</v>
      </c>
      <c r="B9462" t="s">
        <v>2933</v>
      </c>
      <c r="C9462" t="s">
        <v>12771</v>
      </c>
      <c r="D9462" t="s">
        <v>19039</v>
      </c>
      <c r="E9462" t="s">
        <v>27184</v>
      </c>
      <c r="F9462" t="s">
        <v>32606</v>
      </c>
      <c r="G9462" t="s">
        <v>32613</v>
      </c>
      <c r="H9462" t="s">
        <v>32624</v>
      </c>
      <c r="I9462" t="s">
        <v>7233</v>
      </c>
      <c r="J9462" t="s">
        <v>32799</v>
      </c>
      <c r="K9462" t="s">
        <v>42631</v>
      </c>
      <c r="M9462" t="s">
        <v>46113</v>
      </c>
      <c r="N9462" t="s">
        <v>47304</v>
      </c>
      <c r="O9462" t="s">
        <v>47305</v>
      </c>
      <c r="P9462">
        <v>0</v>
      </c>
      <c r="Q9462">
        <v>0</v>
      </c>
      <c r="R9462" t="s">
        <v>47313</v>
      </c>
      <c r="S9462" t="s">
        <v>47535</v>
      </c>
      <c r="T9462" t="s">
        <v>49066</v>
      </c>
      <c r="U9462" t="s">
        <v>57351</v>
      </c>
      <c r="W9462" t="s">
        <v>46113</v>
      </c>
      <c r="X9462" t="s">
        <v>47314</v>
      </c>
    </row>
    <row r="9463" spans="1:24">
      <c r="A9463">
        <f>HYPERLINK("https://www.philgeps.gov.ph/GEPSNONPILOT/Tender/SplashBidNoticeAbstractUI.aspx?menuIndex=3&amp;refID=7184258&amp;Result=3","7184258")</f>
        <v>0</v>
      </c>
      <c r="B9463" t="s">
        <v>492</v>
      </c>
      <c r="C9463" t="s">
        <v>12772</v>
      </c>
      <c r="D9463" t="s">
        <v>18997</v>
      </c>
      <c r="E9463" t="s">
        <v>27185</v>
      </c>
      <c r="F9463" t="s">
        <v>32607</v>
      </c>
      <c r="G9463" t="s">
        <v>32614</v>
      </c>
      <c r="H9463" t="s">
        <v>14201</v>
      </c>
      <c r="I9463" t="s">
        <v>32626</v>
      </c>
      <c r="J9463" t="s">
        <v>32781</v>
      </c>
      <c r="K9463" t="s">
        <v>42631</v>
      </c>
      <c r="M9463" t="s">
        <v>43405</v>
      </c>
      <c r="N9463" t="s">
        <v>47304</v>
      </c>
      <c r="O9463" t="s">
        <v>47305</v>
      </c>
      <c r="P9463">
        <v>0</v>
      </c>
      <c r="Q9463">
        <v>3</v>
      </c>
      <c r="R9463" t="s">
        <v>47313</v>
      </c>
      <c r="S9463" t="s">
        <v>47535</v>
      </c>
      <c r="T9463" t="s">
        <v>49020</v>
      </c>
      <c r="U9463" t="s">
        <v>50411</v>
      </c>
      <c r="V9463" t="s">
        <v>62762</v>
      </c>
      <c r="W9463" t="s">
        <v>64437</v>
      </c>
      <c r="X9463" t="s">
        <v>47314</v>
      </c>
    </row>
    <row r="9464" spans="1:24">
      <c r="A9464">
        <f>HYPERLINK("https://www.philgeps.gov.ph/GEPSNONPILOT/Tender/SplashBidNoticeAbstractUI.aspx?menuIndex=3&amp;refID=7184256&amp;Result=3","7184256")</f>
        <v>0</v>
      </c>
      <c r="B9464" t="s">
        <v>801</v>
      </c>
      <c r="C9464" t="s">
        <v>12773</v>
      </c>
      <c r="D9464" t="s">
        <v>19008</v>
      </c>
      <c r="E9464" t="s">
        <v>27186</v>
      </c>
      <c r="F9464" t="s">
        <v>32606</v>
      </c>
      <c r="G9464" t="s">
        <v>32619</v>
      </c>
      <c r="H9464" t="s">
        <v>14201</v>
      </c>
      <c r="I9464" t="s">
        <v>6993</v>
      </c>
      <c r="J9464" t="s">
        <v>38643</v>
      </c>
      <c r="K9464" t="s">
        <v>42623</v>
      </c>
      <c r="M9464" t="s">
        <v>43732</v>
      </c>
      <c r="N9464" t="s">
        <v>47304</v>
      </c>
      <c r="O9464" t="s">
        <v>47305</v>
      </c>
      <c r="P9464">
        <v>0</v>
      </c>
      <c r="Q9464">
        <v>0</v>
      </c>
      <c r="R9464" t="s">
        <v>47313</v>
      </c>
      <c r="S9464" t="s">
        <v>47535</v>
      </c>
      <c r="T9464" t="s">
        <v>49268</v>
      </c>
      <c r="U9464" t="s">
        <v>57352</v>
      </c>
      <c r="V9464" t="s">
        <v>63637</v>
      </c>
      <c r="W9464" t="s">
        <v>43732</v>
      </c>
      <c r="X9464" t="s">
        <v>47314</v>
      </c>
    </row>
    <row r="9465" spans="1:24">
      <c r="A9465">
        <f>HYPERLINK("https://www.philgeps.gov.ph/GEPSNONPILOT/Tender/SplashBidNoticeAbstractUI.aspx?menuIndex=3&amp;refID=7184255&amp;Result=3","7184255")</f>
        <v>0</v>
      </c>
      <c r="B9465" t="s">
        <v>755</v>
      </c>
      <c r="C9465" t="s">
        <v>12774</v>
      </c>
      <c r="D9465" t="s">
        <v>18988</v>
      </c>
      <c r="E9465" t="s">
        <v>27187</v>
      </c>
      <c r="F9465" t="s">
        <v>32606</v>
      </c>
      <c r="G9465" t="s">
        <v>32613</v>
      </c>
      <c r="H9465" t="s">
        <v>14201</v>
      </c>
      <c r="I9465" t="s">
        <v>32634</v>
      </c>
      <c r="J9465" t="s">
        <v>38644</v>
      </c>
      <c r="K9465" t="s">
        <v>42631</v>
      </c>
      <c r="M9465" t="s">
        <v>43679</v>
      </c>
      <c r="N9465" t="s">
        <v>47304</v>
      </c>
      <c r="O9465" t="s">
        <v>47305</v>
      </c>
      <c r="P9465">
        <v>0</v>
      </c>
      <c r="Q9465">
        <v>3</v>
      </c>
      <c r="R9465" t="s">
        <v>47313</v>
      </c>
      <c r="S9465" t="s">
        <v>47535</v>
      </c>
      <c r="T9465" t="s">
        <v>49020</v>
      </c>
      <c r="U9465" t="s">
        <v>57353</v>
      </c>
      <c r="W9465" t="s">
        <v>43679</v>
      </c>
      <c r="X9465" t="s">
        <v>47314</v>
      </c>
    </row>
    <row r="9466" spans="1:24">
      <c r="A9466">
        <f>HYPERLINK("https://www.philgeps.gov.ph/GEPSNONPILOT/Tender/SplashBidNoticeAbstractUI.aspx?menuIndex=3&amp;refID=7184252&amp;Result=3","7184252")</f>
        <v>0</v>
      </c>
      <c r="B9466" t="s">
        <v>2930</v>
      </c>
      <c r="C9466" t="s">
        <v>12775</v>
      </c>
      <c r="E9466" t="s">
        <v>27188</v>
      </c>
      <c r="F9466" t="s">
        <v>32606</v>
      </c>
      <c r="G9466" t="s">
        <v>32613</v>
      </c>
      <c r="H9466" t="s">
        <v>14201</v>
      </c>
      <c r="I9466" t="s">
        <v>6931</v>
      </c>
      <c r="J9466" t="s">
        <v>38645</v>
      </c>
      <c r="K9466" t="s">
        <v>42624</v>
      </c>
      <c r="M9466" t="s">
        <v>46110</v>
      </c>
      <c r="N9466" t="s">
        <v>47304</v>
      </c>
      <c r="O9466" t="s">
        <v>47305</v>
      </c>
      <c r="P9466">
        <v>0</v>
      </c>
      <c r="Q9466">
        <v>4</v>
      </c>
      <c r="R9466" t="s">
        <v>47313</v>
      </c>
      <c r="S9466" t="s">
        <v>47535</v>
      </c>
      <c r="T9466" t="s">
        <v>49008</v>
      </c>
      <c r="U9466" t="s">
        <v>50216</v>
      </c>
      <c r="W9466" t="s">
        <v>46110</v>
      </c>
      <c r="X9466" t="s">
        <v>47314</v>
      </c>
    </row>
    <row r="9467" spans="1:24">
      <c r="A9467">
        <f>HYPERLINK("https://www.philgeps.gov.ph/GEPSNONPILOT/Tender/SplashBidNoticeAbstractUI.aspx?menuIndex=3&amp;refID=7184235&amp;Result=3","7184235")</f>
        <v>0</v>
      </c>
      <c r="B9467" t="s">
        <v>2219</v>
      </c>
      <c r="C9467" t="s">
        <v>12776</v>
      </c>
      <c r="D9467" t="s">
        <v>19024</v>
      </c>
      <c r="E9467" t="s">
        <v>27189</v>
      </c>
      <c r="F9467" t="s">
        <v>32606</v>
      </c>
      <c r="G9467" t="s">
        <v>32613</v>
      </c>
      <c r="H9467" t="s">
        <v>32623</v>
      </c>
      <c r="I9467" t="s">
        <v>17648</v>
      </c>
      <c r="J9467" t="s">
        <v>38646</v>
      </c>
      <c r="K9467" t="s">
        <v>42650</v>
      </c>
      <c r="M9467" t="s">
        <v>45323</v>
      </c>
      <c r="N9467" t="s">
        <v>47304</v>
      </c>
      <c r="O9467" t="s">
        <v>47305</v>
      </c>
      <c r="Q9467">
        <v>1</v>
      </c>
      <c r="R9467" t="s">
        <v>47313</v>
      </c>
      <c r="S9467" t="s">
        <v>47562</v>
      </c>
      <c r="T9467" t="s">
        <v>49415</v>
      </c>
      <c r="U9467" t="s">
        <v>57354</v>
      </c>
      <c r="V9467" t="s">
        <v>63638</v>
      </c>
      <c r="W9467" t="s">
        <v>45323</v>
      </c>
      <c r="X9467" t="s">
        <v>47314</v>
      </c>
    </row>
    <row r="9468" spans="1:24">
      <c r="A9468">
        <f>HYPERLINK("https://www.philgeps.gov.ph/GEPSNONPILOT/Tender/SplashBidNoticeAbstractUI.aspx?menuIndex=3&amp;refID=7184259&amp;Result=3","7184259")</f>
        <v>0</v>
      </c>
      <c r="B9468" t="s">
        <v>1383</v>
      </c>
      <c r="C9468" t="s">
        <v>12777</v>
      </c>
      <c r="D9468" t="s">
        <v>19029</v>
      </c>
      <c r="E9468" t="s">
        <v>20525</v>
      </c>
      <c r="F9468" t="s">
        <v>32607</v>
      </c>
      <c r="G9468" t="s">
        <v>32613</v>
      </c>
      <c r="H9468" t="s">
        <v>32623</v>
      </c>
      <c r="I9468" t="s">
        <v>17648</v>
      </c>
      <c r="J9468" t="s">
        <v>38647</v>
      </c>
      <c r="K9468" t="s">
        <v>42646</v>
      </c>
      <c r="M9468" t="s">
        <v>44365</v>
      </c>
      <c r="N9468" t="s">
        <v>47304</v>
      </c>
      <c r="O9468" t="s">
        <v>47305</v>
      </c>
      <c r="P9468">
        <v>0</v>
      </c>
      <c r="Q9468">
        <v>28</v>
      </c>
      <c r="R9468" t="s">
        <v>47313</v>
      </c>
      <c r="S9468" t="s">
        <v>47535</v>
      </c>
      <c r="T9468" t="s">
        <v>49028</v>
      </c>
      <c r="U9468" t="s">
        <v>57355</v>
      </c>
      <c r="W9468" t="s">
        <v>44365</v>
      </c>
      <c r="X9468" t="s">
        <v>47314</v>
      </c>
    </row>
    <row r="9469" spans="1:24">
      <c r="A9469">
        <f>HYPERLINK("https://www.philgeps.gov.ph/GEPSNONPILOT/Tender/SplashBidNoticeAbstractUI.aspx?menuIndex=3&amp;refID=7184233&amp;Result=3","7184233")</f>
        <v>0</v>
      </c>
      <c r="B9469" t="s">
        <v>492</v>
      </c>
      <c r="C9469" t="s">
        <v>12778</v>
      </c>
      <c r="D9469" t="s">
        <v>18997</v>
      </c>
      <c r="E9469" t="s">
        <v>27190</v>
      </c>
      <c r="F9469" t="s">
        <v>32607</v>
      </c>
      <c r="G9469" t="s">
        <v>32614</v>
      </c>
      <c r="H9469" t="s">
        <v>14201</v>
      </c>
      <c r="I9469" t="s">
        <v>6931</v>
      </c>
      <c r="J9469" t="s">
        <v>38648</v>
      </c>
      <c r="K9469" t="s">
        <v>42630</v>
      </c>
      <c r="M9469" t="s">
        <v>43405</v>
      </c>
      <c r="N9469" t="s">
        <v>47304</v>
      </c>
      <c r="O9469" t="s">
        <v>47305</v>
      </c>
      <c r="P9469">
        <v>0</v>
      </c>
      <c r="Q9469">
        <v>1</v>
      </c>
      <c r="R9469" t="s">
        <v>47313</v>
      </c>
      <c r="S9469" t="s">
        <v>47535</v>
      </c>
      <c r="T9469" t="s">
        <v>49020</v>
      </c>
      <c r="U9469" t="s">
        <v>50411</v>
      </c>
      <c r="V9469" t="s">
        <v>62762</v>
      </c>
      <c r="W9469" t="s">
        <v>64437</v>
      </c>
      <c r="X9469" t="s">
        <v>47314</v>
      </c>
    </row>
    <row r="9470" spans="1:24">
      <c r="A9470">
        <f>HYPERLINK("https://www.philgeps.gov.ph/GEPSNONPILOT/Tender/SplashBidNoticeAbstractUI.aspx?menuIndex=3&amp;refID=7184231&amp;Result=3","7184231")</f>
        <v>0</v>
      </c>
      <c r="B9470" t="s">
        <v>2934</v>
      </c>
      <c r="C9470" t="s">
        <v>12779</v>
      </c>
      <c r="D9470" t="s">
        <v>19003</v>
      </c>
      <c r="E9470" t="s">
        <v>20253</v>
      </c>
      <c r="F9470" t="s">
        <v>32606</v>
      </c>
      <c r="G9470" t="s">
        <v>32617</v>
      </c>
      <c r="H9470" t="s">
        <v>14201</v>
      </c>
      <c r="I9470" t="s">
        <v>4114</v>
      </c>
      <c r="J9470" t="s">
        <v>38649</v>
      </c>
      <c r="K9470" t="s">
        <v>42632</v>
      </c>
      <c r="M9470" t="s">
        <v>46114</v>
      </c>
      <c r="N9470" t="s">
        <v>47304</v>
      </c>
      <c r="O9470" t="s">
        <v>47305</v>
      </c>
      <c r="Q9470">
        <v>3</v>
      </c>
      <c r="R9470" t="s">
        <v>47313</v>
      </c>
      <c r="S9470" t="s">
        <v>47563</v>
      </c>
      <c r="T9470" t="s">
        <v>49072</v>
      </c>
      <c r="U9470" t="s">
        <v>57356</v>
      </c>
      <c r="W9470" t="s">
        <v>46114</v>
      </c>
      <c r="X9470" t="s">
        <v>47314</v>
      </c>
    </row>
    <row r="9471" spans="1:24">
      <c r="A9471">
        <f>HYPERLINK("https://www.philgeps.gov.ph/GEPSNONPILOT/Tender/SplashBidNoticeAbstractUI.aspx?menuIndex=3&amp;refID=7184177&amp;Result=3","7184177")</f>
        <v>0</v>
      </c>
      <c r="B9471" t="s">
        <v>1014</v>
      </c>
      <c r="C9471" t="s">
        <v>12780</v>
      </c>
      <c r="D9471" t="s">
        <v>19056</v>
      </c>
      <c r="E9471" t="s">
        <v>27191</v>
      </c>
      <c r="F9471" t="s">
        <v>32606</v>
      </c>
      <c r="G9471" t="s">
        <v>32614</v>
      </c>
      <c r="H9471" t="s">
        <v>14201</v>
      </c>
      <c r="I9471" t="s">
        <v>4112</v>
      </c>
      <c r="J9471" t="s">
        <v>34149</v>
      </c>
      <c r="K9471" t="s">
        <v>42646</v>
      </c>
      <c r="M9471" t="s">
        <v>46082</v>
      </c>
      <c r="N9471" t="s">
        <v>47304</v>
      </c>
      <c r="O9471" t="s">
        <v>47305</v>
      </c>
      <c r="Q9471">
        <v>0</v>
      </c>
      <c r="R9471" t="s">
        <v>47313</v>
      </c>
      <c r="S9471" t="s">
        <v>47564</v>
      </c>
      <c r="T9471" t="s">
        <v>49200</v>
      </c>
      <c r="U9471" t="s">
        <v>57357</v>
      </c>
      <c r="W9471" t="s">
        <v>46082</v>
      </c>
      <c r="X9471" t="s">
        <v>47314</v>
      </c>
    </row>
    <row r="9472" spans="1:24">
      <c r="A9472">
        <f>HYPERLINK("https://www.philgeps.gov.ph/GEPSNONPILOT/Tender/SplashBidNoticeAbstractUI.aspx?menuIndex=3&amp;refID=7184244&amp;Result=3","7184244")</f>
        <v>0</v>
      </c>
      <c r="B9472" t="s">
        <v>2929</v>
      </c>
      <c r="C9472" t="s">
        <v>11555</v>
      </c>
      <c r="D9472" t="s">
        <v>19007</v>
      </c>
      <c r="E9472" t="s">
        <v>26141</v>
      </c>
      <c r="F9472" t="s">
        <v>32606</v>
      </c>
      <c r="G9472" t="s">
        <v>32613</v>
      </c>
      <c r="H9472" t="s">
        <v>32623</v>
      </c>
      <c r="I9472" t="s">
        <v>17648</v>
      </c>
      <c r="J9472" t="s">
        <v>38650</v>
      </c>
      <c r="K9472" t="s">
        <v>42623</v>
      </c>
      <c r="M9472" t="s">
        <v>46108</v>
      </c>
      <c r="N9472" t="s">
        <v>47304</v>
      </c>
      <c r="O9472" t="s">
        <v>47305</v>
      </c>
      <c r="P9472">
        <v>0</v>
      </c>
      <c r="Q9472">
        <v>2</v>
      </c>
      <c r="R9472" t="s">
        <v>47313</v>
      </c>
      <c r="S9472" t="s">
        <v>47535</v>
      </c>
      <c r="T9472" t="s">
        <v>49076</v>
      </c>
      <c r="U9472" t="s">
        <v>57358</v>
      </c>
      <c r="W9472" t="s">
        <v>46108</v>
      </c>
      <c r="X9472" t="s">
        <v>47314</v>
      </c>
    </row>
    <row r="9473" spans="1:24">
      <c r="A9473">
        <f>HYPERLINK("https://www.philgeps.gov.ph/GEPSNONPILOT/Tender/SplashBidNoticeAbstractUI.aspx?menuIndex=3&amp;refID=7184156&amp;Result=3","7184156")</f>
        <v>0</v>
      </c>
      <c r="B9473" t="s">
        <v>2492</v>
      </c>
      <c r="C9473" t="s">
        <v>12781</v>
      </c>
      <c r="D9473" t="s">
        <v>19010</v>
      </c>
      <c r="E9473" t="s">
        <v>27192</v>
      </c>
      <c r="F9473" t="s">
        <v>32606</v>
      </c>
      <c r="G9473" t="s">
        <v>32613</v>
      </c>
      <c r="H9473" t="s">
        <v>14201</v>
      </c>
      <c r="I9473" t="s">
        <v>6931</v>
      </c>
      <c r="J9473" t="s">
        <v>38651</v>
      </c>
      <c r="K9473" t="s">
        <v>42622</v>
      </c>
      <c r="M9473" t="s">
        <v>45629</v>
      </c>
      <c r="N9473" t="s">
        <v>47304</v>
      </c>
      <c r="O9473" t="s">
        <v>47305</v>
      </c>
      <c r="P9473">
        <v>0</v>
      </c>
      <c r="Q9473">
        <v>0</v>
      </c>
      <c r="R9473" t="s">
        <v>47313</v>
      </c>
      <c r="S9473" t="s">
        <v>47535</v>
      </c>
      <c r="T9473" t="s">
        <v>48998</v>
      </c>
      <c r="U9473" t="s">
        <v>57359</v>
      </c>
      <c r="W9473" t="s">
        <v>45629</v>
      </c>
      <c r="X9473" t="s">
        <v>47314</v>
      </c>
    </row>
    <row r="9474" spans="1:24">
      <c r="A9474">
        <f>HYPERLINK("https://www.philgeps.gov.ph/GEPSNONPILOT/Tender/SplashBidNoticeAbstractUI.aspx?menuIndex=3&amp;refID=7184290&amp;Result=3","7184290")</f>
        <v>0</v>
      </c>
      <c r="B9474" t="s">
        <v>257</v>
      </c>
      <c r="C9474" t="s">
        <v>12782</v>
      </c>
      <c r="D9474" t="s">
        <v>19019</v>
      </c>
      <c r="E9474" t="s">
        <v>27193</v>
      </c>
      <c r="F9474" t="s">
        <v>32606</v>
      </c>
      <c r="G9474" t="s">
        <v>32613</v>
      </c>
      <c r="H9474" t="s">
        <v>32623</v>
      </c>
      <c r="I9474" t="s">
        <v>17648</v>
      </c>
      <c r="J9474" t="s">
        <v>38652</v>
      </c>
      <c r="K9474" t="s">
        <v>42683</v>
      </c>
      <c r="M9474" t="s">
        <v>43158</v>
      </c>
      <c r="N9474" t="s">
        <v>47304</v>
      </c>
      <c r="O9474" t="s">
        <v>47305</v>
      </c>
      <c r="P9474">
        <v>0</v>
      </c>
      <c r="Q9474">
        <v>0</v>
      </c>
      <c r="R9474" t="s">
        <v>47313</v>
      </c>
      <c r="S9474" t="s">
        <v>47535</v>
      </c>
      <c r="T9474" t="s">
        <v>49140</v>
      </c>
      <c r="U9474" t="s">
        <v>57327</v>
      </c>
      <c r="W9474" t="s">
        <v>43158</v>
      </c>
      <c r="X9474" t="s">
        <v>47314</v>
      </c>
    </row>
    <row r="9475" spans="1:24">
      <c r="A9475">
        <f>HYPERLINK("https://www.philgeps.gov.ph/GEPSNONPILOT/Tender/SplashBidNoticeAbstractUI.aspx?menuIndex=3&amp;refID=7184153&amp;Result=3","7184153")</f>
        <v>0</v>
      </c>
      <c r="B9475" t="s">
        <v>1031</v>
      </c>
      <c r="C9475" t="s">
        <v>12783</v>
      </c>
      <c r="D9475" t="s">
        <v>19070</v>
      </c>
      <c r="E9475" t="s">
        <v>27194</v>
      </c>
      <c r="F9475" t="s">
        <v>32606</v>
      </c>
      <c r="G9475" t="s">
        <v>32613</v>
      </c>
      <c r="H9475" t="s">
        <v>14201</v>
      </c>
      <c r="I9475" t="s">
        <v>7677</v>
      </c>
      <c r="J9475" t="s">
        <v>38653</v>
      </c>
      <c r="K9475" t="s">
        <v>42623</v>
      </c>
      <c r="M9475" t="s">
        <v>43984</v>
      </c>
      <c r="N9475" t="s">
        <v>47304</v>
      </c>
      <c r="O9475" t="s">
        <v>47305</v>
      </c>
      <c r="P9475">
        <v>0</v>
      </c>
      <c r="Q9475">
        <v>4</v>
      </c>
      <c r="R9475" t="s">
        <v>47313</v>
      </c>
      <c r="S9475" t="s">
        <v>47535</v>
      </c>
      <c r="T9475" t="s">
        <v>49416</v>
      </c>
      <c r="U9475" t="s">
        <v>57360</v>
      </c>
      <c r="W9475" t="s">
        <v>46511</v>
      </c>
      <c r="X9475" t="s">
        <v>47314</v>
      </c>
    </row>
    <row r="9476" spans="1:24">
      <c r="A9476">
        <f>HYPERLINK("https://www.philgeps.gov.ph/GEPSNONPILOT/Tender/SplashBidNoticeAbstractUI.aspx?menuIndex=3&amp;refID=7184317&amp;Result=3","7184317")</f>
        <v>0</v>
      </c>
      <c r="B9476" t="s">
        <v>755</v>
      </c>
      <c r="C9476" t="s">
        <v>12784</v>
      </c>
      <c r="D9476" t="s">
        <v>18988</v>
      </c>
      <c r="E9476" t="s">
        <v>27195</v>
      </c>
      <c r="F9476" t="s">
        <v>32606</v>
      </c>
      <c r="G9476" t="s">
        <v>32613</v>
      </c>
      <c r="H9476" t="s">
        <v>14201</v>
      </c>
      <c r="I9476" t="s">
        <v>32640</v>
      </c>
      <c r="J9476" t="s">
        <v>32820</v>
      </c>
      <c r="K9476" t="s">
        <v>42631</v>
      </c>
      <c r="M9476" t="s">
        <v>43679</v>
      </c>
      <c r="N9476" t="s">
        <v>47304</v>
      </c>
      <c r="O9476" t="s">
        <v>47305</v>
      </c>
      <c r="P9476">
        <v>0</v>
      </c>
      <c r="Q9476">
        <v>3</v>
      </c>
      <c r="R9476" t="s">
        <v>47313</v>
      </c>
      <c r="S9476" t="s">
        <v>47535</v>
      </c>
      <c r="T9476" t="s">
        <v>49020</v>
      </c>
      <c r="U9476" t="s">
        <v>57361</v>
      </c>
      <c r="W9476" t="s">
        <v>43679</v>
      </c>
      <c r="X9476" t="s">
        <v>47314</v>
      </c>
    </row>
    <row r="9477" spans="1:24">
      <c r="A9477">
        <f>HYPERLINK("https://www.philgeps.gov.ph/GEPSNONPILOT/Tender/SplashBidNoticeAbstractUI.aspx?menuIndex=3&amp;refID=7184373&amp;Result=3","7184373")</f>
        <v>0</v>
      </c>
      <c r="B9477" t="s">
        <v>755</v>
      </c>
      <c r="C9477" t="s">
        <v>12785</v>
      </c>
      <c r="D9477" t="s">
        <v>18988</v>
      </c>
      <c r="E9477" t="s">
        <v>27196</v>
      </c>
      <c r="F9477" t="s">
        <v>32606</v>
      </c>
      <c r="G9477" t="s">
        <v>32613</v>
      </c>
      <c r="H9477" t="s">
        <v>14201</v>
      </c>
      <c r="I9477" t="s">
        <v>4114</v>
      </c>
      <c r="J9477" t="s">
        <v>38654</v>
      </c>
      <c r="K9477" t="s">
        <v>42631</v>
      </c>
      <c r="M9477" t="s">
        <v>43679</v>
      </c>
      <c r="N9477" t="s">
        <v>47304</v>
      </c>
      <c r="O9477" t="s">
        <v>47305</v>
      </c>
      <c r="P9477">
        <v>0</v>
      </c>
      <c r="Q9477">
        <v>2</v>
      </c>
      <c r="R9477" t="s">
        <v>47313</v>
      </c>
      <c r="S9477" t="s">
        <v>47535</v>
      </c>
      <c r="T9477" t="s">
        <v>49020</v>
      </c>
      <c r="U9477" t="s">
        <v>57362</v>
      </c>
      <c r="W9477" t="s">
        <v>43679</v>
      </c>
      <c r="X9477" t="s">
        <v>47314</v>
      </c>
    </row>
    <row r="9478" spans="1:24">
      <c r="A9478">
        <f>HYPERLINK("https://www.philgeps.gov.ph/GEPSNONPILOT/Tender/SplashBidNoticeAbstractUI.aspx?menuIndex=3&amp;refID=7184171&amp;Result=3","7184171")</f>
        <v>0</v>
      </c>
      <c r="B9478" t="s">
        <v>492</v>
      </c>
      <c r="C9478" t="s">
        <v>12786</v>
      </c>
      <c r="D9478" t="s">
        <v>18997</v>
      </c>
      <c r="E9478" t="s">
        <v>27197</v>
      </c>
      <c r="F9478" t="s">
        <v>32607</v>
      </c>
      <c r="G9478" t="s">
        <v>32614</v>
      </c>
      <c r="H9478" t="s">
        <v>14201</v>
      </c>
      <c r="I9478" t="s">
        <v>7233</v>
      </c>
      <c r="J9478" t="s">
        <v>33341</v>
      </c>
      <c r="K9478" t="s">
        <v>42630</v>
      </c>
      <c r="M9478" t="s">
        <v>43405</v>
      </c>
      <c r="N9478" t="s">
        <v>47304</v>
      </c>
      <c r="O9478" t="s">
        <v>47305</v>
      </c>
      <c r="P9478">
        <v>0</v>
      </c>
      <c r="Q9478">
        <v>1</v>
      </c>
      <c r="R9478" t="s">
        <v>47313</v>
      </c>
      <c r="S9478" t="s">
        <v>47535</v>
      </c>
      <c r="T9478" t="s">
        <v>49020</v>
      </c>
      <c r="U9478" t="s">
        <v>50411</v>
      </c>
      <c r="V9478" t="s">
        <v>62762</v>
      </c>
      <c r="W9478" t="s">
        <v>64437</v>
      </c>
      <c r="X9478" t="s">
        <v>47314</v>
      </c>
    </row>
    <row r="9479" spans="1:24">
      <c r="A9479">
        <f>HYPERLINK("https://www.philgeps.gov.ph/GEPSNONPILOT/Tender/SplashBidNoticeAbstractUI.aspx?menuIndex=3&amp;refID=7184362&amp;Result=3","7184362")</f>
        <v>0</v>
      </c>
      <c r="B9479" t="s">
        <v>2930</v>
      </c>
      <c r="C9479" t="s">
        <v>12787</v>
      </c>
      <c r="E9479" t="s">
        <v>27198</v>
      </c>
      <c r="F9479" t="s">
        <v>32606</v>
      </c>
      <c r="G9479" t="s">
        <v>32613</v>
      </c>
      <c r="H9479" t="s">
        <v>14201</v>
      </c>
      <c r="I9479" t="s">
        <v>6931</v>
      </c>
      <c r="J9479" t="s">
        <v>38655</v>
      </c>
      <c r="K9479" t="s">
        <v>42624</v>
      </c>
      <c r="M9479" t="s">
        <v>46110</v>
      </c>
      <c r="N9479" t="s">
        <v>47304</v>
      </c>
      <c r="O9479" t="s">
        <v>47305</v>
      </c>
      <c r="P9479">
        <v>0</v>
      </c>
      <c r="Q9479">
        <v>2</v>
      </c>
      <c r="R9479" t="s">
        <v>47313</v>
      </c>
      <c r="S9479" t="s">
        <v>47535</v>
      </c>
      <c r="T9479" t="s">
        <v>49008</v>
      </c>
      <c r="U9479" t="s">
        <v>57340</v>
      </c>
      <c r="W9479" t="s">
        <v>46110</v>
      </c>
      <c r="X9479" t="s">
        <v>47314</v>
      </c>
    </row>
    <row r="9480" spans="1:24">
      <c r="A9480">
        <f>HYPERLINK("https://www.philgeps.gov.ph/GEPSNONPILOT/Tender/SplashBidNoticeAbstractUI.aspx?menuIndex=3&amp;refID=7184349&amp;Result=3","7184349")</f>
        <v>0</v>
      </c>
      <c r="B9480" t="s">
        <v>681</v>
      </c>
      <c r="C9480" t="s">
        <v>12788</v>
      </c>
      <c r="D9480" t="s">
        <v>19054</v>
      </c>
      <c r="E9480" t="s">
        <v>27199</v>
      </c>
      <c r="F9480" t="s">
        <v>32606</v>
      </c>
      <c r="G9480" t="s">
        <v>32613</v>
      </c>
      <c r="H9480" t="s">
        <v>32624</v>
      </c>
      <c r="I9480" t="s">
        <v>4120</v>
      </c>
      <c r="J9480" t="s">
        <v>33079</v>
      </c>
      <c r="K9480" t="s">
        <v>42631</v>
      </c>
      <c r="M9480" t="s">
        <v>43601</v>
      </c>
      <c r="N9480" t="s">
        <v>47304</v>
      </c>
      <c r="O9480" t="s">
        <v>47305</v>
      </c>
      <c r="P9480">
        <v>0</v>
      </c>
      <c r="Q9480">
        <v>1</v>
      </c>
      <c r="R9480" t="s">
        <v>47313</v>
      </c>
      <c r="S9480" t="s">
        <v>47535</v>
      </c>
      <c r="T9480" t="s">
        <v>49016</v>
      </c>
      <c r="U9480" t="s">
        <v>57363</v>
      </c>
      <c r="V9480" t="s">
        <v>63639</v>
      </c>
      <c r="W9480" t="s">
        <v>43601</v>
      </c>
      <c r="X9480" t="s">
        <v>47314</v>
      </c>
    </row>
    <row r="9481" spans="1:24">
      <c r="A9481">
        <f>HYPERLINK("https://www.philgeps.gov.ph/GEPSNONPILOT/Tender/SplashBidNoticeAbstractUI.aspx?menuIndex=3&amp;refID=7184108&amp;Result=3","7184108")</f>
        <v>0</v>
      </c>
      <c r="B9481" t="s">
        <v>2935</v>
      </c>
      <c r="C9481" t="s">
        <v>12789</v>
      </c>
      <c r="D9481" t="s">
        <v>19050</v>
      </c>
      <c r="E9481" t="s">
        <v>27200</v>
      </c>
      <c r="F9481" t="s">
        <v>32606</v>
      </c>
      <c r="G9481" t="s">
        <v>32614</v>
      </c>
      <c r="H9481" t="s">
        <v>14201</v>
      </c>
      <c r="I9481" t="s">
        <v>6007</v>
      </c>
      <c r="J9481" t="s">
        <v>33380</v>
      </c>
      <c r="K9481" t="s">
        <v>42674</v>
      </c>
      <c r="M9481" t="s">
        <v>46115</v>
      </c>
      <c r="N9481" t="s">
        <v>47304</v>
      </c>
      <c r="O9481" t="s">
        <v>47305</v>
      </c>
      <c r="P9481">
        <v>0</v>
      </c>
      <c r="Q9481">
        <v>0</v>
      </c>
      <c r="R9481" t="s">
        <v>47313</v>
      </c>
      <c r="S9481" t="s">
        <v>47535</v>
      </c>
      <c r="T9481" t="s">
        <v>49268</v>
      </c>
      <c r="U9481" t="s">
        <v>57364</v>
      </c>
      <c r="W9481" t="s">
        <v>46115</v>
      </c>
      <c r="X9481" t="s">
        <v>47314</v>
      </c>
    </row>
    <row r="9482" spans="1:24">
      <c r="A9482">
        <f>HYPERLINK("https://www.philgeps.gov.ph/GEPSNONPILOT/Tender/SplashBidNoticeAbstractUI.aspx?menuIndex=3&amp;refID=7184172&amp;Result=3","7184172")</f>
        <v>0</v>
      </c>
      <c r="B9482" t="s">
        <v>1488</v>
      </c>
      <c r="C9482" t="s">
        <v>12790</v>
      </c>
      <c r="D9482" t="s">
        <v>19043</v>
      </c>
      <c r="E9482" t="s">
        <v>27201</v>
      </c>
      <c r="F9482" t="s">
        <v>32606</v>
      </c>
      <c r="G9482" t="s">
        <v>32614</v>
      </c>
      <c r="H9482" t="s">
        <v>14201</v>
      </c>
      <c r="I9482" t="s">
        <v>6993</v>
      </c>
      <c r="J9482" t="s">
        <v>33087</v>
      </c>
      <c r="K9482" t="s">
        <v>42623</v>
      </c>
      <c r="M9482" t="s">
        <v>44483</v>
      </c>
      <c r="N9482" t="s">
        <v>47304</v>
      </c>
      <c r="O9482" t="s">
        <v>47305</v>
      </c>
      <c r="P9482">
        <v>0</v>
      </c>
      <c r="Q9482">
        <v>1</v>
      </c>
      <c r="R9482" t="s">
        <v>47313</v>
      </c>
      <c r="S9482" t="s">
        <v>47535</v>
      </c>
      <c r="T9482" t="s">
        <v>49268</v>
      </c>
      <c r="U9482" t="s">
        <v>52798</v>
      </c>
      <c r="W9482" t="s">
        <v>44483</v>
      </c>
      <c r="X9482" t="s">
        <v>47314</v>
      </c>
    </row>
    <row r="9483" spans="1:24">
      <c r="A9483">
        <f>HYPERLINK("https://www.philgeps.gov.ph/GEPSNONPILOT/Tender/SplashBidNoticeAbstractUI.aspx?menuIndex=3&amp;refID=7184363&amp;Result=3","7184363")</f>
        <v>0</v>
      </c>
      <c r="B9483" t="s">
        <v>2927</v>
      </c>
      <c r="C9483" t="s">
        <v>12791</v>
      </c>
      <c r="D9483" t="s">
        <v>19029</v>
      </c>
      <c r="E9483" t="s">
        <v>27202</v>
      </c>
      <c r="F9483" t="s">
        <v>32606</v>
      </c>
      <c r="G9483" t="s">
        <v>32613</v>
      </c>
      <c r="H9483" t="s">
        <v>14201</v>
      </c>
      <c r="I9483" t="s">
        <v>32715</v>
      </c>
      <c r="J9483" t="s">
        <v>38656</v>
      </c>
      <c r="K9483" t="s">
        <v>42648</v>
      </c>
      <c r="M9483" t="s">
        <v>46106</v>
      </c>
      <c r="N9483" t="s">
        <v>47304</v>
      </c>
      <c r="O9483" t="s">
        <v>47305</v>
      </c>
      <c r="P9483">
        <v>0</v>
      </c>
      <c r="Q9483">
        <v>5</v>
      </c>
      <c r="R9483" t="s">
        <v>47313</v>
      </c>
      <c r="S9483" t="s">
        <v>47535</v>
      </c>
      <c r="T9483" t="s">
        <v>49035</v>
      </c>
      <c r="U9483" t="s">
        <v>57365</v>
      </c>
      <c r="W9483" t="s">
        <v>46106</v>
      </c>
      <c r="X9483" t="s">
        <v>47314</v>
      </c>
    </row>
    <row r="9484" spans="1:24">
      <c r="A9484">
        <f>HYPERLINK("https://www.philgeps.gov.ph/GEPSNONPILOT/Tender/SplashBidNoticeAbstractUI.aspx?menuIndex=3&amp;refID=7184401&amp;Result=3","7184401")</f>
        <v>0</v>
      </c>
      <c r="B9484" t="s">
        <v>406</v>
      </c>
      <c r="C9484" t="s">
        <v>12792</v>
      </c>
      <c r="D9484" t="s">
        <v>19057</v>
      </c>
      <c r="E9484" t="s">
        <v>27203</v>
      </c>
      <c r="F9484" t="s">
        <v>32606</v>
      </c>
      <c r="G9484" t="s">
        <v>32614</v>
      </c>
      <c r="H9484" t="s">
        <v>14201</v>
      </c>
      <c r="I9484" t="s">
        <v>7577</v>
      </c>
      <c r="J9484" t="s">
        <v>33670</v>
      </c>
      <c r="K9484" t="s">
        <v>42623</v>
      </c>
      <c r="M9484" t="s">
        <v>43310</v>
      </c>
      <c r="N9484" t="s">
        <v>47304</v>
      </c>
      <c r="O9484" t="s">
        <v>47305</v>
      </c>
      <c r="P9484">
        <v>0</v>
      </c>
      <c r="Q9484">
        <v>3</v>
      </c>
      <c r="R9484" t="s">
        <v>47313</v>
      </c>
      <c r="S9484" t="s">
        <v>47535</v>
      </c>
      <c r="T9484" t="s">
        <v>49269</v>
      </c>
      <c r="U9484" t="s">
        <v>57366</v>
      </c>
      <c r="W9484" t="s">
        <v>43310</v>
      </c>
      <c r="X9484" t="s">
        <v>47314</v>
      </c>
    </row>
    <row r="9485" spans="1:24">
      <c r="A9485">
        <f>HYPERLINK("https://www.philgeps.gov.ph/GEPSNONPILOT/Tender/SplashBidNoticeAbstractUI.aspx?menuIndex=3&amp;refID=7184114&amp;Result=3","7184114")</f>
        <v>0</v>
      </c>
      <c r="B9485" t="s">
        <v>2319</v>
      </c>
      <c r="C9485" t="s">
        <v>12793</v>
      </c>
      <c r="D9485" t="s">
        <v>19045</v>
      </c>
      <c r="E9485" t="s">
        <v>19888</v>
      </c>
      <c r="F9485" t="s">
        <v>32606</v>
      </c>
      <c r="G9485" t="s">
        <v>32613</v>
      </c>
      <c r="H9485" t="s">
        <v>14201</v>
      </c>
      <c r="I9485" t="s">
        <v>6993</v>
      </c>
      <c r="J9485" t="s">
        <v>38657</v>
      </c>
      <c r="K9485" t="s">
        <v>42631</v>
      </c>
      <c r="M9485" t="s">
        <v>45427</v>
      </c>
      <c r="N9485" t="s">
        <v>47304</v>
      </c>
      <c r="O9485" t="s">
        <v>47305</v>
      </c>
      <c r="P9485">
        <v>0</v>
      </c>
      <c r="Q9485">
        <v>0</v>
      </c>
      <c r="R9485" t="s">
        <v>47313</v>
      </c>
      <c r="S9485" t="s">
        <v>47535</v>
      </c>
      <c r="T9485" t="s">
        <v>49053</v>
      </c>
      <c r="U9485" t="s">
        <v>57367</v>
      </c>
      <c r="W9485" t="s">
        <v>45427</v>
      </c>
      <c r="X9485" t="s">
        <v>47314</v>
      </c>
    </row>
    <row r="9486" spans="1:24">
      <c r="A9486">
        <f>HYPERLINK("https://www.philgeps.gov.ph/GEPSNONPILOT/Tender/SplashBidNoticeAbstractUI.aspx?menuIndex=3&amp;refID=7184397&amp;Result=3","7184397")</f>
        <v>0</v>
      </c>
      <c r="B9486" t="s">
        <v>1221</v>
      </c>
      <c r="C9486" t="s">
        <v>12794</v>
      </c>
      <c r="D9486" t="s">
        <v>19063</v>
      </c>
      <c r="E9486" t="s">
        <v>27204</v>
      </c>
      <c r="F9486" t="s">
        <v>32606</v>
      </c>
      <c r="G9486" t="s">
        <v>32615</v>
      </c>
      <c r="H9486" t="s">
        <v>14201</v>
      </c>
      <c r="I9486" t="s">
        <v>7064</v>
      </c>
      <c r="J9486" t="s">
        <v>38658</v>
      </c>
      <c r="K9486" t="s">
        <v>42631</v>
      </c>
      <c r="M9486" t="s">
        <v>44186</v>
      </c>
      <c r="N9486" t="s">
        <v>47304</v>
      </c>
      <c r="O9486" t="s">
        <v>47305</v>
      </c>
      <c r="P9486">
        <v>0</v>
      </c>
      <c r="Q9486">
        <v>6</v>
      </c>
      <c r="R9486" t="s">
        <v>47313</v>
      </c>
      <c r="S9486" t="s">
        <v>47535</v>
      </c>
      <c r="T9486" t="s">
        <v>49009</v>
      </c>
      <c r="U9486" t="s">
        <v>57368</v>
      </c>
      <c r="W9486" t="s">
        <v>44186</v>
      </c>
      <c r="X9486" t="s">
        <v>47314</v>
      </c>
    </row>
    <row r="9487" spans="1:24">
      <c r="A9487">
        <f>HYPERLINK("https://www.philgeps.gov.ph/GEPSNONPILOT/Tender/SplashBidNoticeAbstractUI.aspx?menuIndex=3&amp;refID=7184390&amp;Result=3","7184390")</f>
        <v>0</v>
      </c>
      <c r="B9487" t="s">
        <v>2936</v>
      </c>
      <c r="C9487" t="s">
        <v>12795</v>
      </c>
      <c r="D9487" t="s">
        <v>19067</v>
      </c>
      <c r="E9487" t="s">
        <v>20122</v>
      </c>
      <c r="F9487" t="s">
        <v>32606</v>
      </c>
      <c r="G9487" t="s">
        <v>32613</v>
      </c>
      <c r="H9487" t="s">
        <v>14201</v>
      </c>
      <c r="I9487" t="s">
        <v>6931</v>
      </c>
      <c r="J9487" t="s">
        <v>38659</v>
      </c>
      <c r="K9487" t="s">
        <v>42624</v>
      </c>
      <c r="M9487" t="s">
        <v>46116</v>
      </c>
      <c r="N9487" t="s">
        <v>47304</v>
      </c>
      <c r="O9487" t="s">
        <v>47305</v>
      </c>
      <c r="P9487">
        <v>0</v>
      </c>
      <c r="Q9487">
        <v>0</v>
      </c>
      <c r="R9487" t="s">
        <v>47313</v>
      </c>
      <c r="S9487" t="s">
        <v>47535</v>
      </c>
      <c r="T9487" t="s">
        <v>49118</v>
      </c>
      <c r="U9487" t="s">
        <v>57369</v>
      </c>
      <c r="W9487" t="s">
        <v>46116</v>
      </c>
      <c r="X9487" t="s">
        <v>47314</v>
      </c>
    </row>
    <row r="9488" spans="1:24">
      <c r="A9488">
        <f>HYPERLINK("https://www.philgeps.gov.ph/GEPSNONPILOT/Tender/SplashBidNoticeAbstractUI.aspx?menuIndex=3&amp;refID=7184388&amp;Result=3","7184388")</f>
        <v>0</v>
      </c>
      <c r="B9488" t="s">
        <v>2937</v>
      </c>
      <c r="C9488" t="s">
        <v>12796</v>
      </c>
      <c r="D9488" t="s">
        <v>19025</v>
      </c>
      <c r="E9488" t="s">
        <v>20536</v>
      </c>
      <c r="F9488" t="s">
        <v>32606</v>
      </c>
      <c r="G9488" t="s">
        <v>32613</v>
      </c>
      <c r="H9488" t="s">
        <v>14201</v>
      </c>
      <c r="I9488" t="s">
        <v>17648</v>
      </c>
      <c r="J9488" t="s">
        <v>32765</v>
      </c>
      <c r="K9488" t="s">
        <v>42623</v>
      </c>
      <c r="M9488" t="s">
        <v>46117</v>
      </c>
      <c r="N9488" t="s">
        <v>47304</v>
      </c>
      <c r="O9488" t="s">
        <v>47305</v>
      </c>
      <c r="P9488">
        <v>0</v>
      </c>
      <c r="Q9488">
        <v>1</v>
      </c>
      <c r="R9488" t="s">
        <v>47313</v>
      </c>
      <c r="S9488" t="s">
        <v>47535</v>
      </c>
      <c r="T9488" t="s">
        <v>49004</v>
      </c>
      <c r="U9488" t="s">
        <v>57370</v>
      </c>
      <c r="W9488" t="s">
        <v>46117</v>
      </c>
      <c r="X9488" t="s">
        <v>47314</v>
      </c>
    </row>
    <row r="9489" spans="1:24">
      <c r="A9489">
        <f>HYPERLINK("https://www.philgeps.gov.ph/GEPSNONPILOT/Tender/SplashBidNoticeAbstractUI.aspx?menuIndex=3&amp;refID=7184384&amp;Result=3","7184384")</f>
        <v>0</v>
      </c>
      <c r="B9489" t="s">
        <v>2938</v>
      </c>
      <c r="C9489" t="s">
        <v>12797</v>
      </c>
      <c r="D9489" t="s">
        <v>19004</v>
      </c>
      <c r="E9489" t="s">
        <v>27205</v>
      </c>
      <c r="F9489" t="s">
        <v>32606</v>
      </c>
      <c r="G9489" t="s">
        <v>32613</v>
      </c>
      <c r="H9489" t="s">
        <v>14201</v>
      </c>
      <c r="I9489" t="s">
        <v>4678</v>
      </c>
      <c r="J9489" t="s">
        <v>38660</v>
      </c>
      <c r="K9489" t="s">
        <v>42630</v>
      </c>
      <c r="M9489" t="s">
        <v>46118</v>
      </c>
      <c r="N9489" t="s">
        <v>47304</v>
      </c>
      <c r="O9489" t="s">
        <v>47305</v>
      </c>
      <c r="P9489">
        <v>0</v>
      </c>
      <c r="Q9489">
        <v>8</v>
      </c>
      <c r="R9489" t="s">
        <v>47313</v>
      </c>
      <c r="S9489" t="s">
        <v>47535</v>
      </c>
      <c r="T9489" t="s">
        <v>49197</v>
      </c>
      <c r="U9489" t="s">
        <v>52088</v>
      </c>
      <c r="W9489" t="s">
        <v>46118</v>
      </c>
      <c r="X9489" t="s">
        <v>47314</v>
      </c>
    </row>
    <row r="9490" spans="1:24">
      <c r="A9490">
        <f>HYPERLINK("https://www.philgeps.gov.ph/GEPSNONPILOT/Tender/SplashBidNoticeAbstractUI.aspx?menuIndex=3&amp;refID=7184383&amp;Result=3","7184383")</f>
        <v>0</v>
      </c>
      <c r="B9490" t="s">
        <v>1210</v>
      </c>
      <c r="C9490" t="s">
        <v>7115</v>
      </c>
      <c r="D9490" t="s">
        <v>18988</v>
      </c>
      <c r="E9490" t="s">
        <v>27206</v>
      </c>
      <c r="F9490" t="s">
        <v>32606</v>
      </c>
      <c r="G9490" t="s">
        <v>32614</v>
      </c>
      <c r="H9490" t="s">
        <v>14201</v>
      </c>
      <c r="I9490" t="s">
        <v>32724</v>
      </c>
      <c r="J9490" t="s">
        <v>38661</v>
      </c>
      <c r="K9490" t="s">
        <v>42624</v>
      </c>
      <c r="M9490" t="s">
        <v>44175</v>
      </c>
      <c r="N9490" t="s">
        <v>47304</v>
      </c>
      <c r="O9490" t="s">
        <v>47305</v>
      </c>
      <c r="P9490">
        <v>0</v>
      </c>
      <c r="Q9490">
        <v>0</v>
      </c>
      <c r="R9490" t="s">
        <v>47313</v>
      </c>
      <c r="S9490" t="s">
        <v>47535</v>
      </c>
      <c r="T9490" t="s">
        <v>49004</v>
      </c>
      <c r="U9490" t="s">
        <v>52510</v>
      </c>
      <c r="W9490" t="s">
        <v>44175</v>
      </c>
      <c r="X9490" t="s">
        <v>47314</v>
      </c>
    </row>
    <row r="9491" spans="1:24">
      <c r="A9491">
        <f>HYPERLINK("https://www.philgeps.gov.ph/GEPSNONPILOT/Tender/SplashBidNoticeAbstractUI.aspx?menuIndex=3&amp;refID=7184336&amp;Result=3","7184336")</f>
        <v>0</v>
      </c>
      <c r="B9491" t="s">
        <v>2363</v>
      </c>
      <c r="C9491" t="s">
        <v>12798</v>
      </c>
      <c r="D9491" t="s">
        <v>18993</v>
      </c>
      <c r="E9491" t="s">
        <v>27207</v>
      </c>
      <c r="F9491" t="s">
        <v>32606</v>
      </c>
      <c r="G9491" t="s">
        <v>32614</v>
      </c>
      <c r="H9491" t="s">
        <v>32624</v>
      </c>
      <c r="I9491" t="s">
        <v>7233</v>
      </c>
      <c r="J9491" t="s">
        <v>32868</v>
      </c>
      <c r="K9491" t="s">
        <v>42757</v>
      </c>
      <c r="M9491" t="s">
        <v>46119</v>
      </c>
      <c r="N9491" t="s">
        <v>47304</v>
      </c>
      <c r="O9491" t="s">
        <v>47305</v>
      </c>
      <c r="P9491">
        <v>0</v>
      </c>
      <c r="Q9491">
        <v>3</v>
      </c>
      <c r="R9491" t="s">
        <v>47313</v>
      </c>
      <c r="S9491" t="s">
        <v>47535</v>
      </c>
      <c r="T9491" t="s">
        <v>49417</v>
      </c>
      <c r="U9491" t="s">
        <v>57371</v>
      </c>
      <c r="V9491" t="s">
        <v>63640</v>
      </c>
      <c r="W9491" t="s">
        <v>46119</v>
      </c>
      <c r="X9491" t="s">
        <v>47314</v>
      </c>
    </row>
    <row r="9492" spans="1:24">
      <c r="A9492">
        <f>HYPERLINK("https://www.philgeps.gov.ph/GEPSNONPILOT/Tender/SplashBidNoticeAbstractUI.aspx?menuIndex=3&amp;refID=7184324&amp;Result=3","7184324")</f>
        <v>0</v>
      </c>
      <c r="B9492" t="s">
        <v>188</v>
      </c>
      <c r="C9492" t="s">
        <v>12799</v>
      </c>
      <c r="D9492" t="s">
        <v>19043</v>
      </c>
      <c r="E9492" t="s">
        <v>27208</v>
      </c>
      <c r="F9492" t="s">
        <v>32606</v>
      </c>
      <c r="G9492" t="s">
        <v>32613</v>
      </c>
      <c r="H9492" t="s">
        <v>14201</v>
      </c>
      <c r="I9492" t="s">
        <v>32650</v>
      </c>
      <c r="J9492" t="s">
        <v>36587</v>
      </c>
      <c r="K9492" t="s">
        <v>42624</v>
      </c>
      <c r="M9492" t="s">
        <v>43089</v>
      </c>
      <c r="N9492" t="s">
        <v>47304</v>
      </c>
      <c r="O9492" t="s">
        <v>47305</v>
      </c>
      <c r="P9492">
        <v>0</v>
      </c>
      <c r="Q9492">
        <v>2</v>
      </c>
      <c r="R9492" t="s">
        <v>47313</v>
      </c>
      <c r="S9492" t="s">
        <v>47535</v>
      </c>
      <c r="T9492" t="s">
        <v>49068</v>
      </c>
      <c r="U9492" t="s">
        <v>57372</v>
      </c>
      <c r="W9492" t="s">
        <v>43089</v>
      </c>
      <c r="X9492" t="s">
        <v>47314</v>
      </c>
    </row>
    <row r="9493" spans="1:24">
      <c r="A9493">
        <f>HYPERLINK("https://www.philgeps.gov.ph/GEPSNONPILOT/Tender/SplashBidNoticeAbstractUI.aspx?menuIndex=3&amp;refID=7184410&amp;Result=3","7184410")</f>
        <v>0</v>
      </c>
      <c r="B9493" t="s">
        <v>2939</v>
      </c>
      <c r="C9493" t="s">
        <v>12800</v>
      </c>
      <c r="E9493" t="s">
        <v>27209</v>
      </c>
      <c r="F9493" t="s">
        <v>32606</v>
      </c>
      <c r="G9493" t="s">
        <v>32613</v>
      </c>
      <c r="H9493" t="s">
        <v>14201</v>
      </c>
      <c r="I9493" t="s">
        <v>32661</v>
      </c>
      <c r="J9493" t="s">
        <v>38662</v>
      </c>
      <c r="K9493" t="s">
        <v>42624</v>
      </c>
      <c r="M9493" t="s">
        <v>46120</v>
      </c>
      <c r="N9493" t="s">
        <v>47304</v>
      </c>
      <c r="O9493" t="s">
        <v>47305</v>
      </c>
      <c r="P9493">
        <v>0</v>
      </c>
      <c r="Q9493">
        <v>5</v>
      </c>
      <c r="R9493" t="s">
        <v>47313</v>
      </c>
      <c r="S9493" t="s">
        <v>47535</v>
      </c>
      <c r="T9493" t="s">
        <v>49063</v>
      </c>
      <c r="U9493" t="s">
        <v>57373</v>
      </c>
      <c r="W9493" t="s">
        <v>46120</v>
      </c>
      <c r="X9493" t="s">
        <v>47314</v>
      </c>
    </row>
    <row r="9494" spans="1:24">
      <c r="A9494">
        <f>HYPERLINK("https://www.philgeps.gov.ph/GEPSNONPILOT/Tender/SplashBidNoticeAbstractUI.aspx?menuIndex=3&amp;refID=7184158&amp;Result=3","7184158")</f>
        <v>0</v>
      </c>
      <c r="B9494" t="s">
        <v>1687</v>
      </c>
      <c r="C9494" t="s">
        <v>12801</v>
      </c>
      <c r="D9494" t="s">
        <v>19008</v>
      </c>
      <c r="E9494" t="s">
        <v>27210</v>
      </c>
      <c r="F9494" t="s">
        <v>32606</v>
      </c>
      <c r="G9494" t="s">
        <v>32613</v>
      </c>
      <c r="H9494" t="s">
        <v>32623</v>
      </c>
      <c r="I9494" t="s">
        <v>17648</v>
      </c>
      <c r="J9494" t="s">
        <v>38663</v>
      </c>
      <c r="K9494" t="s">
        <v>42694</v>
      </c>
      <c r="M9494" t="s">
        <v>44716</v>
      </c>
      <c r="N9494" t="s">
        <v>47304</v>
      </c>
      <c r="O9494" t="s">
        <v>47305</v>
      </c>
      <c r="P9494">
        <v>0</v>
      </c>
      <c r="Q9494">
        <v>0</v>
      </c>
      <c r="R9494" t="s">
        <v>47313</v>
      </c>
      <c r="S9494" t="s">
        <v>47535</v>
      </c>
      <c r="T9494" t="s">
        <v>49002</v>
      </c>
      <c r="U9494" t="s">
        <v>57374</v>
      </c>
      <c r="W9494" t="s">
        <v>44716</v>
      </c>
      <c r="X9494" t="s">
        <v>47314</v>
      </c>
    </row>
    <row r="9495" spans="1:24">
      <c r="A9495">
        <f>HYPERLINK("https://www.philgeps.gov.ph/GEPSNONPILOT/Tender/SplashBidNoticeAbstractUI.aspx?menuIndex=3&amp;refID=7184482&amp;Result=3","7184482")</f>
        <v>0</v>
      </c>
      <c r="B9495" t="s">
        <v>2940</v>
      </c>
      <c r="C9495" t="s">
        <v>12802</v>
      </c>
      <c r="D9495" t="s">
        <v>18999</v>
      </c>
      <c r="E9495" t="s">
        <v>27211</v>
      </c>
      <c r="F9495" t="s">
        <v>32606</v>
      </c>
      <c r="G9495" t="s">
        <v>32614</v>
      </c>
      <c r="H9495" t="s">
        <v>14201</v>
      </c>
      <c r="I9495" t="s">
        <v>6931</v>
      </c>
      <c r="J9495" t="s">
        <v>32789</v>
      </c>
      <c r="K9495" t="s">
        <v>42749</v>
      </c>
      <c r="M9495" t="s">
        <v>46121</v>
      </c>
      <c r="N9495" t="s">
        <v>47304</v>
      </c>
      <c r="O9495" t="s">
        <v>47305</v>
      </c>
      <c r="P9495">
        <v>0</v>
      </c>
      <c r="Q9495">
        <v>0</v>
      </c>
      <c r="R9495" t="s">
        <v>47313</v>
      </c>
      <c r="S9495" t="s">
        <v>47535</v>
      </c>
      <c r="T9495" t="s">
        <v>49268</v>
      </c>
      <c r="U9495" t="s">
        <v>57375</v>
      </c>
      <c r="W9495" t="s">
        <v>46121</v>
      </c>
      <c r="X9495" t="s">
        <v>47314</v>
      </c>
    </row>
    <row r="9496" spans="1:24">
      <c r="A9496">
        <f>HYPERLINK("https://www.philgeps.gov.ph/GEPSNONPILOT/Tender/SplashBidNoticeAbstractUI.aspx?menuIndex=3&amp;refID=7184331&amp;Result=3","7184331")</f>
        <v>0</v>
      </c>
      <c r="B9496" t="s">
        <v>2319</v>
      </c>
      <c r="C9496" t="s">
        <v>9388</v>
      </c>
      <c r="D9496" t="s">
        <v>19045</v>
      </c>
      <c r="E9496" t="s">
        <v>26494</v>
      </c>
      <c r="F9496" t="s">
        <v>32606</v>
      </c>
      <c r="G9496" t="s">
        <v>32613</v>
      </c>
      <c r="H9496" t="s">
        <v>14201</v>
      </c>
      <c r="I9496" t="s">
        <v>7677</v>
      </c>
      <c r="J9496" t="s">
        <v>34861</v>
      </c>
      <c r="K9496" t="s">
        <v>42622</v>
      </c>
      <c r="M9496" t="s">
        <v>45427</v>
      </c>
      <c r="N9496" t="s">
        <v>47304</v>
      </c>
      <c r="O9496" t="s">
        <v>47305</v>
      </c>
      <c r="P9496">
        <v>0</v>
      </c>
      <c r="Q9496">
        <v>5</v>
      </c>
      <c r="R9496" t="s">
        <v>47313</v>
      </c>
      <c r="S9496" t="s">
        <v>47535</v>
      </c>
      <c r="T9496" t="s">
        <v>49086</v>
      </c>
      <c r="U9496" t="s">
        <v>57376</v>
      </c>
      <c r="W9496" t="s">
        <v>45427</v>
      </c>
      <c r="X9496" t="s">
        <v>47314</v>
      </c>
    </row>
    <row r="9497" spans="1:24">
      <c r="A9497">
        <f>HYPERLINK("https://www.philgeps.gov.ph/GEPSNONPILOT/Tender/SplashBidNoticeAbstractUI.aspx?menuIndex=3&amp;refID=7184477&amp;Result=3","7184477")</f>
        <v>0</v>
      </c>
      <c r="B9497" t="s">
        <v>817</v>
      </c>
      <c r="C9497" t="s">
        <v>12803</v>
      </c>
      <c r="D9497" t="s">
        <v>18993</v>
      </c>
      <c r="E9497" t="s">
        <v>27212</v>
      </c>
      <c r="F9497" t="s">
        <v>32606</v>
      </c>
      <c r="G9497" t="s">
        <v>32613</v>
      </c>
      <c r="H9497" t="s">
        <v>14201</v>
      </c>
      <c r="I9497" t="s">
        <v>32634</v>
      </c>
      <c r="J9497" t="s">
        <v>32752</v>
      </c>
      <c r="K9497" t="s">
        <v>42630</v>
      </c>
      <c r="M9497" t="s">
        <v>43748</v>
      </c>
      <c r="N9497" t="s">
        <v>47304</v>
      </c>
      <c r="O9497" t="s">
        <v>47305</v>
      </c>
      <c r="P9497">
        <v>0</v>
      </c>
      <c r="Q9497">
        <v>1</v>
      </c>
      <c r="R9497" t="s">
        <v>47313</v>
      </c>
      <c r="S9497" t="s">
        <v>47535</v>
      </c>
      <c r="T9497" t="s">
        <v>49257</v>
      </c>
      <c r="U9497" t="s">
        <v>57377</v>
      </c>
      <c r="W9497" t="s">
        <v>43748</v>
      </c>
      <c r="X9497" t="s">
        <v>47314</v>
      </c>
    </row>
    <row r="9498" spans="1:24">
      <c r="A9498">
        <f>HYPERLINK("https://www.philgeps.gov.ph/GEPSNONPILOT/Tender/SplashBidNoticeAbstractUI.aspx?menuIndex=3&amp;refID=7184476&amp;Result=3","7184476")</f>
        <v>0</v>
      </c>
      <c r="B9498" t="s">
        <v>1383</v>
      </c>
      <c r="C9498" t="s">
        <v>12804</v>
      </c>
      <c r="D9498" t="s">
        <v>19029</v>
      </c>
      <c r="E9498" t="s">
        <v>19313</v>
      </c>
      <c r="F9498" t="s">
        <v>32607</v>
      </c>
      <c r="G9498" t="s">
        <v>32613</v>
      </c>
      <c r="H9498" t="s">
        <v>32623</v>
      </c>
      <c r="I9498" t="s">
        <v>17648</v>
      </c>
      <c r="J9498" t="s">
        <v>38664</v>
      </c>
      <c r="K9498" t="s">
        <v>42636</v>
      </c>
      <c r="M9498" t="s">
        <v>44365</v>
      </c>
      <c r="N9498" t="s">
        <v>47304</v>
      </c>
      <c r="O9498" t="s">
        <v>47305</v>
      </c>
      <c r="P9498">
        <v>0</v>
      </c>
      <c r="Q9498">
        <v>28</v>
      </c>
      <c r="R9498" t="s">
        <v>47313</v>
      </c>
      <c r="S9498" t="s">
        <v>47535</v>
      </c>
      <c r="T9498" t="s">
        <v>49028</v>
      </c>
      <c r="U9498" t="s">
        <v>57378</v>
      </c>
      <c r="W9498" t="s">
        <v>44365</v>
      </c>
      <c r="X9498" t="s">
        <v>47314</v>
      </c>
    </row>
    <row r="9499" spans="1:24">
      <c r="A9499">
        <f>HYPERLINK("https://www.philgeps.gov.ph/GEPSNONPILOT/Tender/SplashBidNoticeAbstractUI.aspx?menuIndex=3&amp;refID=7184473&amp;Result=3","7184473")</f>
        <v>0</v>
      </c>
      <c r="B9499" t="s">
        <v>1228</v>
      </c>
      <c r="C9499" t="s">
        <v>12805</v>
      </c>
      <c r="D9499" t="s">
        <v>19048</v>
      </c>
      <c r="E9499" t="s">
        <v>21205</v>
      </c>
      <c r="F9499" t="s">
        <v>32606</v>
      </c>
      <c r="G9499" t="s">
        <v>32613</v>
      </c>
      <c r="H9499" t="s">
        <v>32623</v>
      </c>
      <c r="I9499" t="s">
        <v>17648</v>
      </c>
      <c r="J9499" t="s">
        <v>33529</v>
      </c>
      <c r="K9499" t="s">
        <v>42636</v>
      </c>
      <c r="M9499" t="s">
        <v>44193</v>
      </c>
      <c r="N9499" t="s">
        <v>47304</v>
      </c>
      <c r="O9499" t="s">
        <v>47305</v>
      </c>
      <c r="P9499">
        <v>0</v>
      </c>
      <c r="Q9499">
        <v>0</v>
      </c>
      <c r="R9499" t="s">
        <v>47313</v>
      </c>
      <c r="S9499" t="s">
        <v>47535</v>
      </c>
      <c r="T9499" t="s">
        <v>49254</v>
      </c>
      <c r="U9499" t="s">
        <v>57379</v>
      </c>
      <c r="W9499" t="s">
        <v>44193</v>
      </c>
      <c r="X9499" t="s">
        <v>47314</v>
      </c>
    </row>
    <row r="9500" spans="1:24">
      <c r="A9500">
        <f>HYPERLINK("https://www.philgeps.gov.ph/GEPSNONPILOT/Tender/SplashBidNoticeAbstractUI.aspx?menuIndex=3&amp;refID=7184471&amp;Result=3","7184471")</f>
        <v>0</v>
      </c>
      <c r="B9500" t="s">
        <v>2941</v>
      </c>
      <c r="C9500" t="s">
        <v>12806</v>
      </c>
      <c r="D9500" t="s">
        <v>19049</v>
      </c>
      <c r="E9500" t="s">
        <v>19313</v>
      </c>
      <c r="F9500" t="s">
        <v>32606</v>
      </c>
      <c r="G9500" t="s">
        <v>32613</v>
      </c>
      <c r="H9500" t="s">
        <v>14201</v>
      </c>
      <c r="I9500" t="s">
        <v>17648</v>
      </c>
      <c r="J9500" t="s">
        <v>34667</v>
      </c>
      <c r="K9500" t="s">
        <v>42648</v>
      </c>
      <c r="M9500" t="s">
        <v>46122</v>
      </c>
      <c r="N9500" t="s">
        <v>47304</v>
      </c>
      <c r="O9500" t="s">
        <v>47305</v>
      </c>
      <c r="P9500">
        <v>0</v>
      </c>
      <c r="Q9500">
        <v>0</v>
      </c>
      <c r="R9500" t="s">
        <v>47313</v>
      </c>
      <c r="S9500" t="s">
        <v>47535</v>
      </c>
      <c r="T9500" t="s">
        <v>48996</v>
      </c>
      <c r="U9500" t="s">
        <v>57380</v>
      </c>
      <c r="W9500" t="s">
        <v>46122</v>
      </c>
      <c r="X9500" t="s">
        <v>47314</v>
      </c>
    </row>
    <row r="9501" spans="1:24">
      <c r="A9501">
        <f>HYPERLINK("https://www.philgeps.gov.ph/GEPSNONPILOT/Tender/SplashBidNoticeAbstractUI.aspx?menuIndex=3&amp;refID=7184468&amp;Result=3","7184468")</f>
        <v>0</v>
      </c>
      <c r="B9501" t="s">
        <v>386</v>
      </c>
      <c r="C9501" t="s">
        <v>12807</v>
      </c>
      <c r="D9501" t="s">
        <v>19028</v>
      </c>
      <c r="E9501" t="s">
        <v>27213</v>
      </c>
      <c r="F9501" t="s">
        <v>32606</v>
      </c>
      <c r="G9501" t="s">
        <v>32613</v>
      </c>
      <c r="H9501" t="s">
        <v>32623</v>
      </c>
      <c r="I9501" t="s">
        <v>17648</v>
      </c>
      <c r="J9501" t="s">
        <v>38665</v>
      </c>
      <c r="K9501" t="s">
        <v>42657</v>
      </c>
      <c r="M9501" t="s">
        <v>43289</v>
      </c>
      <c r="N9501" t="s">
        <v>47304</v>
      </c>
      <c r="O9501" t="s">
        <v>47305</v>
      </c>
      <c r="P9501">
        <v>0</v>
      </c>
      <c r="Q9501">
        <v>2</v>
      </c>
      <c r="R9501" t="s">
        <v>47313</v>
      </c>
      <c r="S9501" t="s">
        <v>47535</v>
      </c>
      <c r="T9501" t="s">
        <v>49014</v>
      </c>
      <c r="U9501" t="s">
        <v>57381</v>
      </c>
      <c r="W9501" t="s">
        <v>43289</v>
      </c>
      <c r="X9501" t="s">
        <v>47314</v>
      </c>
    </row>
    <row r="9502" spans="1:24">
      <c r="A9502">
        <f>HYPERLINK("https://www.philgeps.gov.ph/GEPSNONPILOT/Tender/SplashBidNoticeAbstractUI.aspx?menuIndex=3&amp;refID=7184467&amp;Result=3","7184467")</f>
        <v>0</v>
      </c>
      <c r="B9502" t="s">
        <v>2942</v>
      </c>
      <c r="C9502" t="s">
        <v>4442</v>
      </c>
      <c r="D9502" t="s">
        <v>19011</v>
      </c>
      <c r="E9502" t="s">
        <v>27214</v>
      </c>
      <c r="F9502" t="s">
        <v>32606</v>
      </c>
      <c r="G9502" t="s">
        <v>32613</v>
      </c>
      <c r="H9502" t="s">
        <v>14201</v>
      </c>
      <c r="I9502" t="s">
        <v>7577</v>
      </c>
      <c r="J9502" t="s">
        <v>38666</v>
      </c>
      <c r="K9502" t="s">
        <v>42631</v>
      </c>
      <c r="M9502" t="s">
        <v>46123</v>
      </c>
      <c r="N9502" t="s">
        <v>47304</v>
      </c>
      <c r="O9502" t="s">
        <v>47305</v>
      </c>
      <c r="P9502">
        <v>0</v>
      </c>
      <c r="Q9502">
        <v>8</v>
      </c>
      <c r="R9502" t="s">
        <v>47313</v>
      </c>
      <c r="S9502" t="s">
        <v>47535</v>
      </c>
      <c r="T9502" t="s">
        <v>49066</v>
      </c>
      <c r="U9502" t="s">
        <v>57382</v>
      </c>
      <c r="W9502" t="s">
        <v>46123</v>
      </c>
      <c r="X9502" t="s">
        <v>47314</v>
      </c>
    </row>
    <row r="9503" spans="1:24">
      <c r="A9503">
        <f>HYPERLINK("https://www.philgeps.gov.ph/GEPSNONPILOT/Tender/SplashBidNoticeAbstractUI.aspx?menuIndex=3&amp;refID=7184465&amp;Result=3","7184465")</f>
        <v>0</v>
      </c>
      <c r="B9503" t="s">
        <v>2718</v>
      </c>
      <c r="C9503" t="s">
        <v>12808</v>
      </c>
      <c r="D9503" t="s">
        <v>19002</v>
      </c>
      <c r="E9503" t="s">
        <v>27215</v>
      </c>
      <c r="F9503" t="s">
        <v>32606</v>
      </c>
      <c r="G9503" t="s">
        <v>32619</v>
      </c>
      <c r="H9503" t="s">
        <v>14201</v>
      </c>
      <c r="I9503" t="s">
        <v>4114</v>
      </c>
      <c r="J9503" t="s">
        <v>33147</v>
      </c>
      <c r="K9503" t="s">
        <v>42623</v>
      </c>
      <c r="M9503" t="s">
        <v>45872</v>
      </c>
      <c r="N9503" t="s">
        <v>47304</v>
      </c>
      <c r="O9503" t="s">
        <v>47305</v>
      </c>
      <c r="P9503">
        <v>0</v>
      </c>
      <c r="Q9503">
        <v>0</v>
      </c>
      <c r="R9503" t="s">
        <v>47313</v>
      </c>
      <c r="S9503" t="s">
        <v>47535</v>
      </c>
      <c r="T9503" t="s">
        <v>48980</v>
      </c>
      <c r="U9503" t="s">
        <v>57383</v>
      </c>
      <c r="W9503" t="s">
        <v>45872</v>
      </c>
      <c r="X9503" t="s">
        <v>47314</v>
      </c>
    </row>
    <row r="9504" spans="1:24">
      <c r="A9504">
        <f>HYPERLINK("https://www.philgeps.gov.ph/GEPSNONPILOT/Tender/SplashBidNoticeAbstractUI.aspx?menuIndex=3&amp;refID=7184333&amp;Result=3","7184333")</f>
        <v>0</v>
      </c>
      <c r="B9504" t="s">
        <v>1512</v>
      </c>
      <c r="C9504" t="s">
        <v>12809</v>
      </c>
      <c r="D9504" t="s">
        <v>19038</v>
      </c>
      <c r="E9504" t="s">
        <v>27216</v>
      </c>
      <c r="F9504" t="s">
        <v>32606</v>
      </c>
      <c r="G9504" t="s">
        <v>32614</v>
      </c>
      <c r="H9504" t="s">
        <v>14201</v>
      </c>
      <c r="I9504" t="s">
        <v>6931</v>
      </c>
      <c r="J9504" t="s">
        <v>38667</v>
      </c>
      <c r="K9504" t="s">
        <v>42632</v>
      </c>
      <c r="M9504" t="s">
        <v>44512</v>
      </c>
      <c r="N9504" t="s">
        <v>47304</v>
      </c>
      <c r="O9504" t="s">
        <v>47305</v>
      </c>
      <c r="P9504">
        <v>0</v>
      </c>
      <c r="Q9504">
        <v>0</v>
      </c>
      <c r="R9504" t="s">
        <v>47313</v>
      </c>
      <c r="S9504" t="s">
        <v>47535</v>
      </c>
      <c r="T9504" t="s">
        <v>49315</v>
      </c>
      <c r="U9504" t="s">
        <v>57384</v>
      </c>
      <c r="W9504" t="s">
        <v>44512</v>
      </c>
      <c r="X9504" t="s">
        <v>47314</v>
      </c>
    </row>
    <row r="9505" spans="1:24">
      <c r="A9505">
        <f>HYPERLINK("https://www.philgeps.gov.ph/GEPSNONPILOT/Tender/SplashBidNoticeAbstractUI.aspx?menuIndex=3&amp;refID=7184449&amp;Result=3","7184449")</f>
        <v>0</v>
      </c>
      <c r="B9505" t="s">
        <v>2319</v>
      </c>
      <c r="C9505" t="s">
        <v>9388</v>
      </c>
      <c r="D9505" t="s">
        <v>19045</v>
      </c>
      <c r="E9505" t="s">
        <v>27217</v>
      </c>
      <c r="F9505" t="s">
        <v>32606</v>
      </c>
      <c r="G9505" t="s">
        <v>32613</v>
      </c>
      <c r="H9505" t="s">
        <v>14201</v>
      </c>
      <c r="I9505" t="s">
        <v>7677</v>
      </c>
      <c r="J9505" t="s">
        <v>38668</v>
      </c>
      <c r="K9505" t="s">
        <v>42622</v>
      </c>
      <c r="M9505" t="s">
        <v>45427</v>
      </c>
      <c r="N9505" t="s">
        <v>47304</v>
      </c>
      <c r="O9505" t="s">
        <v>47305</v>
      </c>
      <c r="P9505">
        <v>0</v>
      </c>
      <c r="Q9505">
        <v>2</v>
      </c>
      <c r="R9505" t="s">
        <v>47313</v>
      </c>
      <c r="S9505" t="s">
        <v>47535</v>
      </c>
      <c r="T9505" t="s">
        <v>49053</v>
      </c>
      <c r="U9505" t="s">
        <v>57385</v>
      </c>
      <c r="W9505" t="s">
        <v>45427</v>
      </c>
      <c r="X9505" t="s">
        <v>47314</v>
      </c>
    </row>
    <row r="9506" spans="1:24">
      <c r="A9506">
        <f>HYPERLINK("https://www.philgeps.gov.ph/GEPSNONPILOT/Tender/SplashBidNoticeAbstractUI.aspx?menuIndex=3&amp;refID=7184448&amp;Result=3","7184448")</f>
        <v>0</v>
      </c>
      <c r="B9506" t="s">
        <v>2562</v>
      </c>
      <c r="C9506" t="s">
        <v>12810</v>
      </c>
      <c r="D9506" t="s">
        <v>19039</v>
      </c>
      <c r="E9506" t="s">
        <v>27218</v>
      </c>
      <c r="F9506" t="s">
        <v>32606</v>
      </c>
      <c r="G9506" t="s">
        <v>32613</v>
      </c>
      <c r="H9506" t="s">
        <v>32623</v>
      </c>
      <c r="I9506" t="s">
        <v>17648</v>
      </c>
      <c r="J9506" t="s">
        <v>38669</v>
      </c>
      <c r="K9506" t="s">
        <v>42752</v>
      </c>
      <c r="M9506" t="s">
        <v>46124</v>
      </c>
      <c r="N9506" t="s">
        <v>47304</v>
      </c>
      <c r="O9506" t="s">
        <v>47305</v>
      </c>
      <c r="P9506">
        <v>0</v>
      </c>
      <c r="Q9506">
        <v>3</v>
      </c>
      <c r="R9506" t="s">
        <v>47313</v>
      </c>
      <c r="S9506" t="s">
        <v>47535</v>
      </c>
      <c r="T9506" t="s">
        <v>49075</v>
      </c>
      <c r="U9506" t="s">
        <v>57386</v>
      </c>
      <c r="W9506" t="s">
        <v>46124</v>
      </c>
      <c r="X9506" t="s">
        <v>47314</v>
      </c>
    </row>
    <row r="9507" spans="1:24">
      <c r="A9507">
        <f>HYPERLINK("https://www.philgeps.gov.ph/GEPSNONPILOT/Tender/SplashBidNoticeAbstractUI.aspx?menuIndex=3&amp;refID=7184445&amp;Result=3","7184445")</f>
        <v>0</v>
      </c>
      <c r="B9507" t="s">
        <v>2226</v>
      </c>
      <c r="C9507" t="s">
        <v>12811</v>
      </c>
      <c r="D9507" t="s">
        <v>19058</v>
      </c>
      <c r="E9507" t="s">
        <v>27219</v>
      </c>
      <c r="F9507" t="s">
        <v>32606</v>
      </c>
      <c r="G9507" t="s">
        <v>32614</v>
      </c>
      <c r="H9507" t="s">
        <v>14201</v>
      </c>
      <c r="I9507" t="s">
        <v>8682</v>
      </c>
      <c r="J9507" t="s">
        <v>35655</v>
      </c>
      <c r="K9507" t="s">
        <v>42630</v>
      </c>
      <c r="M9507" t="s">
        <v>45330</v>
      </c>
      <c r="N9507" t="s">
        <v>47304</v>
      </c>
      <c r="O9507" t="s">
        <v>47305</v>
      </c>
      <c r="P9507">
        <v>0</v>
      </c>
      <c r="Q9507">
        <v>3</v>
      </c>
      <c r="R9507" t="s">
        <v>47313</v>
      </c>
      <c r="S9507" t="s">
        <v>47535</v>
      </c>
      <c r="T9507" t="s">
        <v>49268</v>
      </c>
      <c r="U9507" t="s">
        <v>51703</v>
      </c>
      <c r="W9507" t="s">
        <v>45330</v>
      </c>
      <c r="X9507" t="s">
        <v>47314</v>
      </c>
    </row>
    <row r="9508" spans="1:24">
      <c r="A9508">
        <f>HYPERLINK("https://www.philgeps.gov.ph/GEPSNONPILOT/Tender/SplashBidNoticeAbstractUI.aspx?menuIndex=3&amp;refID=7184427&amp;Result=3","7184427")</f>
        <v>0</v>
      </c>
      <c r="B9508" t="s">
        <v>2943</v>
      </c>
      <c r="C9508" t="s">
        <v>12812</v>
      </c>
      <c r="E9508" t="s">
        <v>27220</v>
      </c>
      <c r="F9508" t="s">
        <v>32606</v>
      </c>
      <c r="G9508" t="s">
        <v>32613</v>
      </c>
      <c r="H9508" t="s">
        <v>14201</v>
      </c>
      <c r="I9508" t="s">
        <v>32633</v>
      </c>
      <c r="J9508" t="s">
        <v>38670</v>
      </c>
      <c r="K9508" t="s">
        <v>42625</v>
      </c>
      <c r="M9508" t="s">
        <v>46125</v>
      </c>
      <c r="N9508" t="s">
        <v>47304</v>
      </c>
      <c r="O9508" t="s">
        <v>47305</v>
      </c>
      <c r="P9508">
        <v>0</v>
      </c>
      <c r="Q9508">
        <v>2</v>
      </c>
      <c r="R9508" t="s">
        <v>47313</v>
      </c>
      <c r="S9508" t="s">
        <v>47535</v>
      </c>
      <c r="T9508" t="s">
        <v>49334</v>
      </c>
      <c r="U9508" t="s">
        <v>57387</v>
      </c>
      <c r="W9508" t="s">
        <v>46125</v>
      </c>
      <c r="X9508" t="s">
        <v>47314</v>
      </c>
    </row>
    <row r="9509" spans="1:24">
      <c r="A9509">
        <f>HYPERLINK("https://www.philgeps.gov.ph/GEPSNONPILOT/Tender/SplashBidNoticeAbstractUI.aspx?menuIndex=3&amp;refID=7184425&amp;Result=3","7184425")</f>
        <v>0</v>
      </c>
      <c r="B9509" t="s">
        <v>2944</v>
      </c>
      <c r="C9509" t="s">
        <v>12813</v>
      </c>
      <c r="D9509" t="s">
        <v>19022</v>
      </c>
      <c r="E9509" t="s">
        <v>27221</v>
      </c>
      <c r="F9509" t="s">
        <v>32606</v>
      </c>
      <c r="G9509" t="s">
        <v>32613</v>
      </c>
      <c r="H9509" t="s">
        <v>14201</v>
      </c>
      <c r="I9509" t="s">
        <v>7233</v>
      </c>
      <c r="J9509" t="s">
        <v>38671</v>
      </c>
      <c r="K9509" t="s">
        <v>42632</v>
      </c>
      <c r="M9509" t="s">
        <v>46126</v>
      </c>
      <c r="N9509" t="s">
        <v>47304</v>
      </c>
      <c r="O9509" t="s">
        <v>47305</v>
      </c>
      <c r="P9509">
        <v>0</v>
      </c>
      <c r="Q9509">
        <v>0</v>
      </c>
      <c r="R9509" t="s">
        <v>47313</v>
      </c>
      <c r="S9509" t="s">
        <v>47535</v>
      </c>
      <c r="T9509" t="s">
        <v>49071</v>
      </c>
      <c r="U9509" t="s">
        <v>57388</v>
      </c>
      <c r="W9509" t="s">
        <v>46126</v>
      </c>
      <c r="X9509" t="s">
        <v>47314</v>
      </c>
    </row>
    <row r="9510" spans="1:24">
      <c r="A9510">
        <f>HYPERLINK("https://www.philgeps.gov.ph/GEPSNONPILOT/Tender/SplashBidNoticeAbstractUI.aspx?menuIndex=3&amp;refID=7184420&amp;Result=3","7184420")</f>
        <v>0</v>
      </c>
      <c r="B9510" t="s">
        <v>317</v>
      </c>
      <c r="C9510" t="s">
        <v>12814</v>
      </c>
      <c r="D9510" t="s">
        <v>19011</v>
      </c>
      <c r="E9510" t="s">
        <v>27222</v>
      </c>
      <c r="F9510" t="s">
        <v>32606</v>
      </c>
      <c r="G9510" t="s">
        <v>32613</v>
      </c>
      <c r="H9510" t="s">
        <v>14201</v>
      </c>
      <c r="I9510" t="s">
        <v>32696</v>
      </c>
      <c r="J9510" t="s">
        <v>34591</v>
      </c>
      <c r="K9510" t="s">
        <v>42622</v>
      </c>
      <c r="M9510" t="s">
        <v>43571</v>
      </c>
      <c r="N9510" t="s">
        <v>47304</v>
      </c>
      <c r="O9510" t="s">
        <v>47305</v>
      </c>
      <c r="P9510">
        <v>0</v>
      </c>
      <c r="Q9510">
        <v>2</v>
      </c>
      <c r="R9510" t="s">
        <v>47313</v>
      </c>
      <c r="S9510" t="s">
        <v>47535</v>
      </c>
      <c r="T9510" t="s">
        <v>49364</v>
      </c>
      <c r="U9510" t="s">
        <v>57389</v>
      </c>
      <c r="W9510" t="s">
        <v>43571</v>
      </c>
      <c r="X9510" t="s">
        <v>47314</v>
      </c>
    </row>
    <row r="9511" spans="1:24">
      <c r="A9511">
        <f>HYPERLINK("https://www.philgeps.gov.ph/GEPSNONPILOT/Tender/SplashBidNoticeAbstractUI.aspx?menuIndex=3&amp;refID=7184460&amp;Result=3","7184460")</f>
        <v>0</v>
      </c>
      <c r="B9511" t="s">
        <v>2939</v>
      </c>
      <c r="C9511" t="s">
        <v>12815</v>
      </c>
      <c r="E9511" t="s">
        <v>27223</v>
      </c>
      <c r="F9511" t="s">
        <v>32606</v>
      </c>
      <c r="G9511" t="s">
        <v>32613</v>
      </c>
      <c r="H9511" t="s">
        <v>14201</v>
      </c>
      <c r="I9511" t="s">
        <v>6931</v>
      </c>
      <c r="J9511" t="s">
        <v>38672</v>
      </c>
      <c r="K9511" t="s">
        <v>42624</v>
      </c>
      <c r="M9511" t="s">
        <v>46120</v>
      </c>
      <c r="N9511" t="s">
        <v>47304</v>
      </c>
      <c r="O9511" t="s">
        <v>47305</v>
      </c>
      <c r="P9511">
        <v>0</v>
      </c>
      <c r="Q9511">
        <v>3</v>
      </c>
      <c r="R9511" t="s">
        <v>47313</v>
      </c>
      <c r="S9511" t="s">
        <v>47535</v>
      </c>
      <c r="T9511" t="s">
        <v>49063</v>
      </c>
      <c r="U9511" t="s">
        <v>57390</v>
      </c>
      <c r="W9511" t="s">
        <v>46120</v>
      </c>
      <c r="X9511" t="s">
        <v>47314</v>
      </c>
    </row>
    <row r="9512" spans="1:24">
      <c r="A9512">
        <f>HYPERLINK("https://www.philgeps.gov.ph/GEPSNONPILOT/Tender/SplashBidNoticeAbstractUI.aspx?menuIndex=3&amp;refID=7184438&amp;Result=3","7184438")</f>
        <v>0</v>
      </c>
      <c r="B9512" t="s">
        <v>2945</v>
      </c>
      <c r="C9512" t="s">
        <v>12816</v>
      </c>
      <c r="D9512" t="s">
        <v>19049</v>
      </c>
      <c r="E9512" t="s">
        <v>27224</v>
      </c>
      <c r="F9512" t="s">
        <v>32606</v>
      </c>
      <c r="G9512" t="s">
        <v>32619</v>
      </c>
      <c r="H9512" t="s">
        <v>14201</v>
      </c>
      <c r="I9512" t="s">
        <v>32652</v>
      </c>
      <c r="J9512" t="s">
        <v>33667</v>
      </c>
      <c r="K9512" t="s">
        <v>42630</v>
      </c>
      <c r="M9512" t="s">
        <v>46127</v>
      </c>
      <c r="N9512" t="s">
        <v>47304</v>
      </c>
      <c r="O9512" t="s">
        <v>47305</v>
      </c>
      <c r="P9512">
        <v>0</v>
      </c>
      <c r="Q9512">
        <v>0</v>
      </c>
      <c r="R9512" t="s">
        <v>47313</v>
      </c>
      <c r="S9512" t="s">
        <v>47535</v>
      </c>
      <c r="T9512" t="s">
        <v>49267</v>
      </c>
      <c r="U9512" t="s">
        <v>52089</v>
      </c>
      <c r="W9512" t="s">
        <v>46127</v>
      </c>
      <c r="X9512" t="s">
        <v>47314</v>
      </c>
    </row>
    <row r="9513" spans="1:24">
      <c r="A9513">
        <f>HYPERLINK("https://www.philgeps.gov.ph/GEPSNONPILOT/Tender/SplashBidNoticeAbstractUI.aspx?menuIndex=3&amp;refID=7184402&amp;Result=3","7184402")</f>
        <v>0</v>
      </c>
      <c r="B9513" t="s">
        <v>2946</v>
      </c>
      <c r="C9513" t="s">
        <v>12817</v>
      </c>
      <c r="D9513" t="s">
        <v>18986</v>
      </c>
      <c r="E9513" t="s">
        <v>27225</v>
      </c>
      <c r="F9513" t="s">
        <v>32606</v>
      </c>
      <c r="G9513" t="s">
        <v>32613</v>
      </c>
      <c r="H9513" t="s">
        <v>32623</v>
      </c>
      <c r="I9513" t="s">
        <v>17648</v>
      </c>
      <c r="J9513" t="s">
        <v>38673</v>
      </c>
      <c r="K9513" t="s">
        <v>42630</v>
      </c>
      <c r="M9513" t="s">
        <v>46128</v>
      </c>
      <c r="N9513" t="s">
        <v>47304</v>
      </c>
      <c r="O9513" t="s">
        <v>47305</v>
      </c>
      <c r="P9513">
        <v>0</v>
      </c>
      <c r="Q9513">
        <v>0</v>
      </c>
      <c r="R9513" t="s">
        <v>47313</v>
      </c>
      <c r="S9513" t="s">
        <v>47535</v>
      </c>
      <c r="T9513" t="s">
        <v>49052</v>
      </c>
      <c r="U9513" t="s">
        <v>57391</v>
      </c>
      <c r="W9513" t="s">
        <v>46128</v>
      </c>
      <c r="X9513" t="s">
        <v>47314</v>
      </c>
    </row>
    <row r="9514" spans="1:24">
      <c r="A9514">
        <f>HYPERLINK("https://www.philgeps.gov.ph/GEPSNONPILOT/Tender/SplashBidNoticeAbstractUI.aspx?menuIndex=3&amp;refID=7184478&amp;Result=3","7184478")</f>
        <v>0</v>
      </c>
      <c r="B9514" t="s">
        <v>2947</v>
      </c>
      <c r="C9514" t="s">
        <v>12818</v>
      </c>
      <c r="D9514" t="s">
        <v>19034</v>
      </c>
      <c r="E9514" t="s">
        <v>20478</v>
      </c>
      <c r="F9514" t="s">
        <v>32606</v>
      </c>
      <c r="G9514" t="s">
        <v>32613</v>
      </c>
      <c r="H9514" t="s">
        <v>14201</v>
      </c>
      <c r="I9514" t="s">
        <v>7064</v>
      </c>
      <c r="J9514" t="s">
        <v>34128</v>
      </c>
      <c r="K9514" t="s">
        <v>42664</v>
      </c>
      <c r="M9514" t="s">
        <v>46129</v>
      </c>
      <c r="N9514" t="s">
        <v>47304</v>
      </c>
      <c r="O9514" t="s">
        <v>47305</v>
      </c>
      <c r="P9514">
        <v>0</v>
      </c>
      <c r="Q9514">
        <v>2</v>
      </c>
      <c r="R9514" t="s">
        <v>47313</v>
      </c>
      <c r="S9514" t="s">
        <v>47535</v>
      </c>
      <c r="T9514" t="s">
        <v>49197</v>
      </c>
      <c r="U9514" t="s">
        <v>57392</v>
      </c>
      <c r="W9514" t="s">
        <v>46129</v>
      </c>
      <c r="X9514" t="s">
        <v>47314</v>
      </c>
    </row>
    <row r="9515" spans="1:24">
      <c r="A9515">
        <f>HYPERLINK("https://www.philgeps.gov.ph/GEPSNONPILOT/Tender/SplashBidNoticeAbstractUI.aspx?menuIndex=3&amp;refID=7184320&amp;Result=3","7184320")</f>
        <v>0</v>
      </c>
      <c r="B9515" t="s">
        <v>775</v>
      </c>
      <c r="C9515" t="s">
        <v>12819</v>
      </c>
      <c r="D9515" t="s">
        <v>19024</v>
      </c>
      <c r="E9515" t="s">
        <v>22690</v>
      </c>
      <c r="F9515" t="s">
        <v>32606</v>
      </c>
      <c r="G9515" t="s">
        <v>32613</v>
      </c>
      <c r="H9515" t="s">
        <v>14201</v>
      </c>
      <c r="I9515" t="s">
        <v>32660</v>
      </c>
      <c r="J9515" t="s">
        <v>38674</v>
      </c>
      <c r="K9515" t="s">
        <v>42636</v>
      </c>
      <c r="M9515" t="s">
        <v>46130</v>
      </c>
      <c r="N9515" t="s">
        <v>47304</v>
      </c>
      <c r="O9515" t="s">
        <v>47305</v>
      </c>
      <c r="P9515">
        <v>0</v>
      </c>
      <c r="Q9515">
        <v>1</v>
      </c>
      <c r="R9515" t="s">
        <v>47313</v>
      </c>
      <c r="S9515" t="s">
        <v>47535</v>
      </c>
      <c r="T9515" t="s">
        <v>49119</v>
      </c>
      <c r="U9515" t="s">
        <v>57393</v>
      </c>
      <c r="V9515" t="s">
        <v>63641</v>
      </c>
      <c r="W9515" t="s">
        <v>46130</v>
      </c>
      <c r="X9515" t="s">
        <v>47314</v>
      </c>
    </row>
    <row r="9516" spans="1:24">
      <c r="A9516">
        <f>HYPERLINK("https://www.philgeps.gov.ph/GEPSNONPILOT/Tender/SplashBidNoticeAbstractUI.aspx?menuIndex=3&amp;refID=7184489&amp;Result=3","7184489")</f>
        <v>0</v>
      </c>
      <c r="B9516" t="s">
        <v>2939</v>
      </c>
      <c r="C9516" t="s">
        <v>12820</v>
      </c>
      <c r="E9516" t="s">
        <v>27226</v>
      </c>
      <c r="F9516" t="s">
        <v>32606</v>
      </c>
      <c r="G9516" t="s">
        <v>32613</v>
      </c>
      <c r="H9516" t="s">
        <v>14201</v>
      </c>
      <c r="I9516" t="s">
        <v>32652</v>
      </c>
      <c r="J9516" t="s">
        <v>38675</v>
      </c>
      <c r="K9516" t="s">
        <v>42624</v>
      </c>
      <c r="M9516" t="s">
        <v>46120</v>
      </c>
      <c r="N9516" t="s">
        <v>47304</v>
      </c>
      <c r="O9516" t="s">
        <v>47305</v>
      </c>
      <c r="P9516">
        <v>0</v>
      </c>
      <c r="Q9516">
        <v>3</v>
      </c>
      <c r="R9516" t="s">
        <v>47313</v>
      </c>
      <c r="S9516" t="s">
        <v>47535</v>
      </c>
      <c r="T9516" t="s">
        <v>49063</v>
      </c>
      <c r="U9516" t="s">
        <v>57394</v>
      </c>
      <c r="W9516" t="s">
        <v>46120</v>
      </c>
      <c r="X9516" t="s">
        <v>47314</v>
      </c>
    </row>
    <row r="9517" spans="1:24">
      <c r="A9517">
        <f>HYPERLINK("https://www.philgeps.gov.ph/GEPSNONPILOT/Tender/SplashBidNoticeAbstractUI.aspx?menuIndex=3&amp;refID=7184539&amp;Result=3","7184539")</f>
        <v>0</v>
      </c>
      <c r="B9517" t="s">
        <v>2562</v>
      </c>
      <c r="C9517" t="s">
        <v>12821</v>
      </c>
      <c r="D9517" t="s">
        <v>19039</v>
      </c>
      <c r="E9517" t="s">
        <v>27227</v>
      </c>
      <c r="F9517" t="s">
        <v>32606</v>
      </c>
      <c r="G9517" t="s">
        <v>32613</v>
      </c>
      <c r="H9517" t="s">
        <v>32623</v>
      </c>
      <c r="I9517" t="s">
        <v>17648</v>
      </c>
      <c r="J9517" t="s">
        <v>38676</v>
      </c>
      <c r="K9517" t="s">
        <v>42825</v>
      </c>
      <c r="M9517" t="s">
        <v>46124</v>
      </c>
      <c r="N9517" t="s">
        <v>47304</v>
      </c>
      <c r="O9517" t="s">
        <v>47305</v>
      </c>
      <c r="P9517">
        <v>0</v>
      </c>
      <c r="Q9517">
        <v>1</v>
      </c>
      <c r="R9517" t="s">
        <v>47313</v>
      </c>
      <c r="S9517" t="s">
        <v>47535</v>
      </c>
      <c r="T9517" t="s">
        <v>49075</v>
      </c>
      <c r="U9517" t="s">
        <v>57395</v>
      </c>
      <c r="W9517" t="s">
        <v>46124</v>
      </c>
      <c r="X9517" t="s">
        <v>47314</v>
      </c>
    </row>
    <row r="9518" spans="1:24">
      <c r="A9518">
        <f>HYPERLINK("https://www.philgeps.gov.ph/GEPSNONPILOT/Tender/SplashBidNoticeAbstractUI.aspx?menuIndex=3&amp;refID=7184534&amp;Result=3","7184534")</f>
        <v>0</v>
      </c>
      <c r="B9518" t="s">
        <v>2941</v>
      </c>
      <c r="C9518" t="s">
        <v>12822</v>
      </c>
      <c r="D9518" t="s">
        <v>19049</v>
      </c>
      <c r="E9518" t="s">
        <v>19318</v>
      </c>
      <c r="F9518" t="s">
        <v>32606</v>
      </c>
      <c r="G9518" t="s">
        <v>32613</v>
      </c>
      <c r="H9518" t="s">
        <v>14201</v>
      </c>
      <c r="I9518" t="s">
        <v>17648</v>
      </c>
      <c r="J9518" t="s">
        <v>38677</v>
      </c>
      <c r="K9518" t="s">
        <v>42631</v>
      </c>
      <c r="M9518" t="s">
        <v>46122</v>
      </c>
      <c r="N9518" t="s">
        <v>47304</v>
      </c>
      <c r="O9518" t="s">
        <v>47305</v>
      </c>
      <c r="P9518">
        <v>0</v>
      </c>
      <c r="Q9518">
        <v>1</v>
      </c>
      <c r="R9518" t="s">
        <v>47313</v>
      </c>
      <c r="S9518" t="s">
        <v>47535</v>
      </c>
      <c r="T9518" t="s">
        <v>48996</v>
      </c>
      <c r="U9518" t="s">
        <v>57396</v>
      </c>
      <c r="W9518" t="s">
        <v>46122</v>
      </c>
      <c r="X9518" t="s">
        <v>47314</v>
      </c>
    </row>
    <row r="9519" spans="1:24">
      <c r="A9519">
        <f>HYPERLINK("https://www.philgeps.gov.ph/GEPSNONPILOT/Tender/SplashBidNoticeAbstractUI.aspx?menuIndex=3&amp;refID=7184405&amp;Result=3","7184405")</f>
        <v>0</v>
      </c>
      <c r="B9519" t="s">
        <v>823</v>
      </c>
      <c r="C9519" t="s">
        <v>12823</v>
      </c>
      <c r="D9519" t="s">
        <v>19037</v>
      </c>
      <c r="E9519" t="s">
        <v>27228</v>
      </c>
      <c r="F9519" t="s">
        <v>32606</v>
      </c>
      <c r="G9519" t="s">
        <v>32619</v>
      </c>
      <c r="H9519" t="s">
        <v>14201</v>
      </c>
      <c r="I9519" t="s">
        <v>4120</v>
      </c>
      <c r="J9519" t="s">
        <v>38678</v>
      </c>
      <c r="K9519" t="s">
        <v>42631</v>
      </c>
      <c r="M9519" t="s">
        <v>43754</v>
      </c>
      <c r="N9519" t="s">
        <v>47304</v>
      </c>
      <c r="O9519" t="s">
        <v>47305</v>
      </c>
      <c r="P9519">
        <v>0</v>
      </c>
      <c r="Q9519">
        <v>3</v>
      </c>
      <c r="R9519" t="s">
        <v>47313</v>
      </c>
      <c r="S9519" t="s">
        <v>47535</v>
      </c>
      <c r="T9519" t="s">
        <v>49330</v>
      </c>
      <c r="U9519" t="s">
        <v>57397</v>
      </c>
      <c r="W9519" t="s">
        <v>43754</v>
      </c>
      <c r="X9519" t="s">
        <v>47314</v>
      </c>
    </row>
    <row r="9520" spans="1:24">
      <c r="A9520">
        <f>HYPERLINK("https://www.philgeps.gov.ph/GEPSNONPILOT/Tender/SplashBidNoticeAbstractUI.aspx?menuIndex=3&amp;refID=7184531&amp;Result=3","7184531")</f>
        <v>0</v>
      </c>
      <c r="B9520" t="s">
        <v>2948</v>
      </c>
      <c r="C9520" t="s">
        <v>12824</v>
      </c>
      <c r="D9520" t="s">
        <v>19011</v>
      </c>
      <c r="E9520" t="s">
        <v>27229</v>
      </c>
      <c r="F9520" t="s">
        <v>32606</v>
      </c>
      <c r="G9520" t="s">
        <v>32615</v>
      </c>
      <c r="H9520" t="s">
        <v>14201</v>
      </c>
      <c r="I9520" t="s">
        <v>7233</v>
      </c>
      <c r="J9520" t="s">
        <v>33650</v>
      </c>
      <c r="K9520" t="s">
        <v>42631</v>
      </c>
      <c r="M9520" t="s">
        <v>46131</v>
      </c>
      <c r="N9520" t="s">
        <v>47304</v>
      </c>
      <c r="O9520" t="s">
        <v>47305</v>
      </c>
      <c r="P9520">
        <v>0</v>
      </c>
      <c r="Q9520">
        <v>0</v>
      </c>
      <c r="R9520" t="s">
        <v>47313</v>
      </c>
      <c r="S9520" t="s">
        <v>47535</v>
      </c>
      <c r="T9520" t="s">
        <v>49268</v>
      </c>
      <c r="U9520" t="s">
        <v>57398</v>
      </c>
      <c r="W9520" t="s">
        <v>46131</v>
      </c>
      <c r="X9520" t="s">
        <v>47314</v>
      </c>
    </row>
    <row r="9521" spans="1:24">
      <c r="A9521">
        <f>HYPERLINK("https://www.philgeps.gov.ph/GEPSNONPILOT/Tender/SplashBidNoticeAbstractUI.aspx?menuIndex=3&amp;refID=7184525&amp;Result=3","7184525")</f>
        <v>0</v>
      </c>
      <c r="B9521" t="s">
        <v>2776</v>
      </c>
      <c r="C9521" t="s">
        <v>12825</v>
      </c>
      <c r="D9521" t="s">
        <v>18993</v>
      </c>
      <c r="E9521" t="s">
        <v>27230</v>
      </c>
      <c r="F9521" t="s">
        <v>32606</v>
      </c>
      <c r="G9521" t="s">
        <v>32617</v>
      </c>
      <c r="H9521" t="s">
        <v>14201</v>
      </c>
      <c r="I9521" t="s">
        <v>32738</v>
      </c>
      <c r="J9521" t="s">
        <v>38679</v>
      </c>
      <c r="K9521" t="s">
        <v>42623</v>
      </c>
      <c r="M9521" t="s">
        <v>46132</v>
      </c>
      <c r="N9521" t="s">
        <v>47304</v>
      </c>
      <c r="O9521" t="s">
        <v>47305</v>
      </c>
      <c r="P9521">
        <v>0</v>
      </c>
      <c r="Q9521">
        <v>2</v>
      </c>
      <c r="R9521" t="s">
        <v>47313</v>
      </c>
      <c r="S9521" t="s">
        <v>47535</v>
      </c>
      <c r="T9521" t="s">
        <v>49269</v>
      </c>
      <c r="U9521" t="s">
        <v>57399</v>
      </c>
      <c r="W9521" t="s">
        <v>46132</v>
      </c>
      <c r="X9521" t="s">
        <v>47314</v>
      </c>
    </row>
    <row r="9522" spans="1:24">
      <c r="A9522">
        <f>HYPERLINK("https://www.philgeps.gov.ph/GEPSNONPILOT/Tender/SplashBidNoticeAbstractUI.aspx?menuIndex=3&amp;refID=7184563&amp;Result=3","7184563")</f>
        <v>0</v>
      </c>
      <c r="B9522" t="s">
        <v>2718</v>
      </c>
      <c r="C9522" t="s">
        <v>12826</v>
      </c>
      <c r="D9522" t="s">
        <v>19002</v>
      </c>
      <c r="E9522" t="s">
        <v>27231</v>
      </c>
      <c r="F9522" t="s">
        <v>32606</v>
      </c>
      <c r="G9522" t="s">
        <v>32619</v>
      </c>
      <c r="H9522" t="s">
        <v>14201</v>
      </c>
      <c r="I9522" t="s">
        <v>4112</v>
      </c>
      <c r="J9522" t="s">
        <v>35966</v>
      </c>
      <c r="K9522" t="s">
        <v>42623</v>
      </c>
      <c r="M9522" t="s">
        <v>45872</v>
      </c>
      <c r="N9522" t="s">
        <v>47304</v>
      </c>
      <c r="O9522" t="s">
        <v>47305</v>
      </c>
      <c r="P9522">
        <v>0</v>
      </c>
      <c r="Q9522">
        <v>0</v>
      </c>
      <c r="R9522" t="s">
        <v>47313</v>
      </c>
      <c r="S9522" t="s">
        <v>47535</v>
      </c>
      <c r="T9522" t="s">
        <v>48980</v>
      </c>
      <c r="U9522" t="s">
        <v>57400</v>
      </c>
      <c r="W9522" t="s">
        <v>45872</v>
      </c>
      <c r="X9522" t="s">
        <v>47314</v>
      </c>
    </row>
    <row r="9523" spans="1:24">
      <c r="A9523">
        <f>HYPERLINK("https://www.philgeps.gov.ph/GEPSNONPILOT/Tender/SplashBidNoticeAbstractUI.aspx?menuIndex=3&amp;refID=7184561&amp;Result=3","7184561")</f>
        <v>0</v>
      </c>
      <c r="B9523" t="s">
        <v>2562</v>
      </c>
      <c r="C9523" t="s">
        <v>12827</v>
      </c>
      <c r="D9523" t="s">
        <v>19039</v>
      </c>
      <c r="E9523" t="s">
        <v>27232</v>
      </c>
      <c r="F9523" t="s">
        <v>32606</v>
      </c>
      <c r="G9523" t="s">
        <v>32613</v>
      </c>
      <c r="H9523" t="s">
        <v>32623</v>
      </c>
      <c r="I9523" t="s">
        <v>17648</v>
      </c>
      <c r="J9523" t="s">
        <v>38680</v>
      </c>
      <c r="K9523" t="s">
        <v>42826</v>
      </c>
      <c r="M9523" t="s">
        <v>46124</v>
      </c>
      <c r="N9523" t="s">
        <v>47304</v>
      </c>
      <c r="O9523" t="s">
        <v>47305</v>
      </c>
      <c r="P9523">
        <v>0</v>
      </c>
      <c r="Q9523">
        <v>0</v>
      </c>
      <c r="R9523" t="s">
        <v>47313</v>
      </c>
      <c r="S9523" t="s">
        <v>47535</v>
      </c>
      <c r="T9523" t="s">
        <v>49075</v>
      </c>
      <c r="U9523" t="s">
        <v>57401</v>
      </c>
      <c r="W9523" t="s">
        <v>46124</v>
      </c>
      <c r="X9523" t="s">
        <v>47314</v>
      </c>
    </row>
    <row r="9524" spans="1:24">
      <c r="A9524">
        <f>HYPERLINK("https://www.philgeps.gov.ph/GEPSNONPILOT/Tender/SplashBidNoticeAbstractUI.aspx?menuIndex=3&amp;refID=7184411&amp;Result=3","7184411")</f>
        <v>0</v>
      </c>
      <c r="B9524" t="s">
        <v>2949</v>
      </c>
      <c r="C9524" t="s">
        <v>12828</v>
      </c>
      <c r="D9524" t="s">
        <v>19046</v>
      </c>
      <c r="E9524" t="s">
        <v>27233</v>
      </c>
      <c r="F9524" t="s">
        <v>32606</v>
      </c>
      <c r="G9524" t="s">
        <v>32613</v>
      </c>
      <c r="H9524" t="s">
        <v>14201</v>
      </c>
      <c r="I9524" t="s">
        <v>6931</v>
      </c>
      <c r="J9524" t="s">
        <v>33263</v>
      </c>
      <c r="K9524" t="s">
        <v>42627</v>
      </c>
      <c r="M9524" t="s">
        <v>46133</v>
      </c>
      <c r="N9524" t="s">
        <v>47304</v>
      </c>
      <c r="O9524" t="s">
        <v>47305</v>
      </c>
      <c r="P9524">
        <v>0</v>
      </c>
      <c r="Q9524">
        <v>0</v>
      </c>
      <c r="R9524" t="s">
        <v>47313</v>
      </c>
      <c r="S9524" t="s">
        <v>47535</v>
      </c>
      <c r="T9524" t="s">
        <v>48998</v>
      </c>
      <c r="U9524" t="s">
        <v>57402</v>
      </c>
      <c r="V9524" t="s">
        <v>63642</v>
      </c>
      <c r="W9524" t="s">
        <v>46133</v>
      </c>
      <c r="X9524" t="s">
        <v>47314</v>
      </c>
    </row>
    <row r="9525" spans="1:24">
      <c r="A9525">
        <f>HYPERLINK("https://www.philgeps.gov.ph/GEPSNONPILOT/Tender/SplashBidNoticeAbstractUI.aspx?menuIndex=3&amp;refID=7184533&amp;Result=3","7184533")</f>
        <v>0</v>
      </c>
      <c r="B9525" t="s">
        <v>496</v>
      </c>
      <c r="C9525" t="s">
        <v>12829</v>
      </c>
      <c r="E9525" t="s">
        <v>27234</v>
      </c>
      <c r="F9525" t="s">
        <v>32606</v>
      </c>
      <c r="G9525" t="s">
        <v>32614</v>
      </c>
      <c r="H9525" t="s">
        <v>14201</v>
      </c>
      <c r="I9525" t="s">
        <v>32654</v>
      </c>
      <c r="J9525" t="s">
        <v>32981</v>
      </c>
      <c r="K9525" t="s">
        <v>42631</v>
      </c>
      <c r="M9525" t="s">
        <v>45233</v>
      </c>
      <c r="N9525" t="s">
        <v>47304</v>
      </c>
      <c r="O9525" t="s">
        <v>47305</v>
      </c>
      <c r="P9525">
        <v>0</v>
      </c>
      <c r="Q9525">
        <v>0</v>
      </c>
      <c r="R9525" t="s">
        <v>47313</v>
      </c>
      <c r="S9525" t="s">
        <v>47535</v>
      </c>
      <c r="T9525" t="s">
        <v>48997</v>
      </c>
      <c r="U9525" t="s">
        <v>57403</v>
      </c>
      <c r="W9525" t="s">
        <v>64494</v>
      </c>
      <c r="X9525" t="s">
        <v>47314</v>
      </c>
    </row>
    <row r="9526" spans="1:24">
      <c r="A9526">
        <f>HYPERLINK("https://www.philgeps.gov.ph/GEPSNONPILOT/Tender/SplashBidNoticeAbstractUI.aspx?menuIndex=3&amp;refID=7184548&amp;Result=3","7184548")</f>
        <v>0</v>
      </c>
      <c r="B9526" t="s">
        <v>344</v>
      </c>
      <c r="C9526" t="s">
        <v>12830</v>
      </c>
      <c r="D9526" t="s">
        <v>19002</v>
      </c>
      <c r="E9526" t="s">
        <v>27235</v>
      </c>
      <c r="F9526" t="s">
        <v>32606</v>
      </c>
      <c r="G9526" t="s">
        <v>32614</v>
      </c>
      <c r="H9526" t="s">
        <v>14201</v>
      </c>
      <c r="I9526" t="s">
        <v>32634</v>
      </c>
      <c r="J9526" t="s">
        <v>32789</v>
      </c>
      <c r="K9526" t="s">
        <v>42631</v>
      </c>
      <c r="M9526" t="s">
        <v>43246</v>
      </c>
      <c r="N9526" t="s">
        <v>47304</v>
      </c>
      <c r="O9526" t="s">
        <v>47305</v>
      </c>
      <c r="P9526">
        <v>0</v>
      </c>
      <c r="Q9526">
        <v>0</v>
      </c>
      <c r="R9526" t="s">
        <v>47313</v>
      </c>
      <c r="S9526" t="s">
        <v>47535</v>
      </c>
      <c r="T9526" t="s">
        <v>49268</v>
      </c>
      <c r="U9526" t="s">
        <v>57404</v>
      </c>
      <c r="W9526" t="s">
        <v>43246</v>
      </c>
      <c r="X9526" t="s">
        <v>47314</v>
      </c>
    </row>
    <row r="9527" spans="1:24">
      <c r="A9527">
        <f>HYPERLINK("https://www.philgeps.gov.ph/GEPSNONPILOT/Tender/SplashBidNoticeAbstractUI.aspx?menuIndex=3&amp;refID=7184323&amp;Result=3","7184323")</f>
        <v>0</v>
      </c>
      <c r="B9527" t="s">
        <v>2887</v>
      </c>
      <c r="C9527" t="s">
        <v>12831</v>
      </c>
      <c r="D9527" t="s">
        <v>18997</v>
      </c>
      <c r="E9527" t="s">
        <v>27236</v>
      </c>
      <c r="F9527" t="s">
        <v>32606</v>
      </c>
      <c r="G9527" t="s">
        <v>32619</v>
      </c>
      <c r="H9527" t="s">
        <v>14201</v>
      </c>
      <c r="I9527" t="s">
        <v>4120</v>
      </c>
      <c r="J9527" t="s">
        <v>33830</v>
      </c>
      <c r="K9527" t="s">
        <v>42630</v>
      </c>
      <c r="M9527" t="s">
        <v>46060</v>
      </c>
      <c r="N9527" t="s">
        <v>47304</v>
      </c>
      <c r="O9527" t="s">
        <v>47305</v>
      </c>
      <c r="P9527">
        <v>0</v>
      </c>
      <c r="Q9527">
        <v>0</v>
      </c>
      <c r="R9527" t="s">
        <v>47313</v>
      </c>
      <c r="S9527" t="s">
        <v>47535</v>
      </c>
      <c r="T9527" t="s">
        <v>49218</v>
      </c>
      <c r="U9527" t="s">
        <v>57405</v>
      </c>
      <c r="W9527" t="s">
        <v>46060</v>
      </c>
      <c r="X9527" t="s">
        <v>47314</v>
      </c>
    </row>
    <row r="9528" spans="1:24">
      <c r="A9528">
        <f>HYPERLINK("https://www.philgeps.gov.ph/GEPSNONPILOT/Tender/SplashBidNoticeAbstractUI.aspx?menuIndex=3&amp;refID=7184545&amp;Result=3","7184545")</f>
        <v>0</v>
      </c>
      <c r="B9528" t="s">
        <v>1383</v>
      </c>
      <c r="C9528" t="s">
        <v>12832</v>
      </c>
      <c r="D9528" t="s">
        <v>19029</v>
      </c>
      <c r="E9528" t="s">
        <v>19318</v>
      </c>
      <c r="F9528" t="s">
        <v>32607</v>
      </c>
      <c r="G9528" t="s">
        <v>32613</v>
      </c>
      <c r="H9528" t="s">
        <v>32623</v>
      </c>
      <c r="I9528" t="s">
        <v>17648</v>
      </c>
      <c r="J9528" t="s">
        <v>38681</v>
      </c>
      <c r="K9528" t="s">
        <v>42648</v>
      </c>
      <c r="M9528" t="s">
        <v>44365</v>
      </c>
      <c r="N9528" t="s">
        <v>47304</v>
      </c>
      <c r="O9528" t="s">
        <v>47305</v>
      </c>
      <c r="P9528">
        <v>0</v>
      </c>
      <c r="Q9528">
        <v>28</v>
      </c>
      <c r="R9528" t="s">
        <v>47313</v>
      </c>
      <c r="S9528" t="s">
        <v>47535</v>
      </c>
      <c r="T9528" t="s">
        <v>49028</v>
      </c>
      <c r="U9528" t="s">
        <v>57406</v>
      </c>
      <c r="W9528" t="s">
        <v>44365</v>
      </c>
      <c r="X9528" t="s">
        <v>47314</v>
      </c>
    </row>
    <row r="9529" spans="1:24">
      <c r="A9529">
        <f>HYPERLINK("https://www.philgeps.gov.ph/GEPSNONPILOT/Tender/SplashBidNoticeAbstractUI.aspx?menuIndex=3&amp;refID=7184523&amp;Result=3","7184523")</f>
        <v>0</v>
      </c>
      <c r="B9529" t="s">
        <v>2950</v>
      </c>
      <c r="C9529" t="s">
        <v>12833</v>
      </c>
      <c r="D9529" t="s">
        <v>19054</v>
      </c>
      <c r="E9529" t="s">
        <v>27237</v>
      </c>
      <c r="F9529" t="s">
        <v>32606</v>
      </c>
      <c r="G9529" t="s">
        <v>32613</v>
      </c>
      <c r="H9529" t="s">
        <v>32623</v>
      </c>
      <c r="I9529" t="s">
        <v>17648</v>
      </c>
      <c r="J9529" t="s">
        <v>38682</v>
      </c>
      <c r="K9529" t="s">
        <v>42636</v>
      </c>
      <c r="M9529" t="s">
        <v>46134</v>
      </c>
      <c r="N9529" t="s">
        <v>47304</v>
      </c>
      <c r="O9529" t="s">
        <v>47305</v>
      </c>
      <c r="P9529">
        <v>0</v>
      </c>
      <c r="Q9529">
        <v>1</v>
      </c>
      <c r="R9529" t="s">
        <v>47313</v>
      </c>
      <c r="S9529" t="s">
        <v>47535</v>
      </c>
      <c r="T9529" t="s">
        <v>49390</v>
      </c>
      <c r="U9529" t="s">
        <v>57407</v>
      </c>
      <c r="V9529" t="s">
        <v>63643</v>
      </c>
      <c r="W9529" t="s">
        <v>46134</v>
      </c>
      <c r="X9529" t="s">
        <v>47314</v>
      </c>
    </row>
    <row r="9530" spans="1:24">
      <c r="A9530">
        <f>HYPERLINK("https://www.philgeps.gov.ph/GEPSNONPILOT/Tender/SplashBidNoticeAbstractUI.aspx?menuIndex=3&amp;refID=7184519&amp;Result=3","7184519")</f>
        <v>0</v>
      </c>
      <c r="B9530" t="s">
        <v>2562</v>
      </c>
      <c r="C9530" t="s">
        <v>12834</v>
      </c>
      <c r="D9530" t="s">
        <v>19039</v>
      </c>
      <c r="E9530" t="s">
        <v>27238</v>
      </c>
      <c r="F9530" t="s">
        <v>32606</v>
      </c>
      <c r="G9530" t="s">
        <v>32613</v>
      </c>
      <c r="H9530" t="s">
        <v>32623</v>
      </c>
      <c r="I9530" t="s">
        <v>17648</v>
      </c>
      <c r="J9530" t="s">
        <v>38683</v>
      </c>
      <c r="K9530" t="s">
        <v>42708</v>
      </c>
      <c r="M9530" t="s">
        <v>46124</v>
      </c>
      <c r="N9530" t="s">
        <v>47304</v>
      </c>
      <c r="O9530" t="s">
        <v>47305</v>
      </c>
      <c r="P9530">
        <v>0</v>
      </c>
      <c r="Q9530">
        <v>1</v>
      </c>
      <c r="R9530" t="s">
        <v>47313</v>
      </c>
      <c r="S9530" t="s">
        <v>47535</v>
      </c>
      <c r="T9530" t="s">
        <v>49075</v>
      </c>
      <c r="U9530" t="s">
        <v>57408</v>
      </c>
      <c r="W9530" t="s">
        <v>46124</v>
      </c>
      <c r="X9530" t="s">
        <v>47314</v>
      </c>
    </row>
    <row r="9531" spans="1:24">
      <c r="A9531">
        <f>HYPERLINK("https://www.philgeps.gov.ph/GEPSNONPILOT/Tender/SplashBidNoticeAbstractUI.aspx?menuIndex=3&amp;refID=7184417&amp;Result=3","7184417")</f>
        <v>0</v>
      </c>
      <c r="B9531" t="s">
        <v>2252</v>
      </c>
      <c r="C9531" t="s">
        <v>12835</v>
      </c>
      <c r="E9531" t="s">
        <v>27239</v>
      </c>
      <c r="F9531" t="s">
        <v>32606</v>
      </c>
      <c r="G9531" t="s">
        <v>32613</v>
      </c>
      <c r="H9531" t="s">
        <v>32623</v>
      </c>
      <c r="I9531" t="s">
        <v>17648</v>
      </c>
      <c r="J9531" t="s">
        <v>32765</v>
      </c>
      <c r="K9531" t="s">
        <v>42624</v>
      </c>
      <c r="M9531" t="s">
        <v>45357</v>
      </c>
      <c r="N9531" t="s">
        <v>47304</v>
      </c>
      <c r="O9531" t="s">
        <v>47305</v>
      </c>
      <c r="P9531">
        <v>0</v>
      </c>
      <c r="Q9531">
        <v>0</v>
      </c>
      <c r="R9531" t="s">
        <v>47313</v>
      </c>
      <c r="S9531" t="s">
        <v>47535</v>
      </c>
      <c r="T9531" t="s">
        <v>49157</v>
      </c>
      <c r="U9531" t="s">
        <v>57409</v>
      </c>
      <c r="W9531" t="s">
        <v>45357</v>
      </c>
      <c r="X9531" t="s">
        <v>47314</v>
      </c>
    </row>
    <row r="9532" spans="1:24">
      <c r="A9532">
        <f>HYPERLINK("https://www.philgeps.gov.ph/GEPSNONPILOT/Tender/SplashBidNoticeAbstractUI.aspx?menuIndex=3&amp;refID=7184517&amp;Result=3","7184517")</f>
        <v>0</v>
      </c>
      <c r="B9532" t="s">
        <v>2718</v>
      </c>
      <c r="C9532" t="s">
        <v>12836</v>
      </c>
      <c r="D9532" t="s">
        <v>19002</v>
      </c>
      <c r="E9532" t="s">
        <v>26518</v>
      </c>
      <c r="F9532" t="s">
        <v>32606</v>
      </c>
      <c r="G9532" t="s">
        <v>32619</v>
      </c>
      <c r="H9532" t="s">
        <v>14201</v>
      </c>
      <c r="I9532" t="s">
        <v>4112</v>
      </c>
      <c r="J9532" t="s">
        <v>35985</v>
      </c>
      <c r="K9532" t="s">
        <v>42623</v>
      </c>
      <c r="M9532" t="s">
        <v>45872</v>
      </c>
      <c r="N9532" t="s">
        <v>47304</v>
      </c>
      <c r="O9532" t="s">
        <v>47305</v>
      </c>
      <c r="P9532">
        <v>0</v>
      </c>
      <c r="Q9532">
        <v>0</v>
      </c>
      <c r="R9532" t="s">
        <v>47313</v>
      </c>
      <c r="S9532" t="s">
        <v>47535</v>
      </c>
      <c r="T9532" t="s">
        <v>48980</v>
      </c>
      <c r="U9532" t="s">
        <v>57410</v>
      </c>
      <c r="W9532" t="s">
        <v>45872</v>
      </c>
      <c r="X9532" t="s">
        <v>47314</v>
      </c>
    </row>
    <row r="9533" spans="1:24">
      <c r="A9533">
        <f>HYPERLINK("https://www.philgeps.gov.ph/GEPSNONPILOT/Tender/SplashBidNoticeAbstractUI.aspx?menuIndex=3&amp;refID=7184113&amp;Result=3","7184113")</f>
        <v>0</v>
      </c>
      <c r="B9533" t="s">
        <v>2534</v>
      </c>
      <c r="C9533" t="s">
        <v>12837</v>
      </c>
      <c r="D9533" t="s">
        <v>19003</v>
      </c>
      <c r="E9533" t="s">
        <v>27240</v>
      </c>
      <c r="F9533" t="s">
        <v>32606</v>
      </c>
      <c r="G9533" t="s">
        <v>32613</v>
      </c>
      <c r="H9533" t="s">
        <v>32623</v>
      </c>
      <c r="I9533" t="s">
        <v>17648</v>
      </c>
      <c r="J9533" t="s">
        <v>38684</v>
      </c>
      <c r="K9533" t="s">
        <v>42827</v>
      </c>
      <c r="M9533" t="s">
        <v>45674</v>
      </c>
      <c r="N9533" t="s">
        <v>47304</v>
      </c>
      <c r="O9533" t="s">
        <v>47305</v>
      </c>
      <c r="P9533">
        <v>0</v>
      </c>
      <c r="Q9533">
        <v>2</v>
      </c>
      <c r="R9533" t="s">
        <v>47313</v>
      </c>
      <c r="S9533" t="s">
        <v>47535</v>
      </c>
      <c r="T9533" t="s">
        <v>49111</v>
      </c>
      <c r="U9533" t="s">
        <v>57411</v>
      </c>
      <c r="V9533" t="s">
        <v>63644</v>
      </c>
      <c r="W9533" t="s">
        <v>45674</v>
      </c>
      <c r="X9533" t="s">
        <v>47314</v>
      </c>
    </row>
    <row r="9534" spans="1:24">
      <c r="A9534">
        <f>HYPERLINK("https://www.philgeps.gov.ph/GEPSNONPILOT/Tender/SplashBidNoticeAbstractUI.aspx?menuIndex=3&amp;refID=7184509&amp;Result=3","7184509")</f>
        <v>0</v>
      </c>
      <c r="B9534" t="s">
        <v>1228</v>
      </c>
      <c r="C9534" t="s">
        <v>12838</v>
      </c>
      <c r="D9534" t="s">
        <v>19048</v>
      </c>
      <c r="E9534" t="s">
        <v>21271</v>
      </c>
      <c r="F9534" t="s">
        <v>32606</v>
      </c>
      <c r="G9534" t="s">
        <v>32613</v>
      </c>
      <c r="H9534" t="s">
        <v>32623</v>
      </c>
      <c r="I9534" t="s">
        <v>17648</v>
      </c>
      <c r="J9534" t="s">
        <v>32770</v>
      </c>
      <c r="K9534" t="s">
        <v>42694</v>
      </c>
      <c r="M9534" t="s">
        <v>44193</v>
      </c>
      <c r="N9534" t="s">
        <v>47304</v>
      </c>
      <c r="O9534" t="s">
        <v>47305</v>
      </c>
      <c r="P9534">
        <v>0</v>
      </c>
      <c r="Q9534">
        <v>0</v>
      </c>
      <c r="R9534" t="s">
        <v>47313</v>
      </c>
      <c r="S9534" t="s">
        <v>47535</v>
      </c>
      <c r="T9534" t="s">
        <v>49254</v>
      </c>
      <c r="U9534" t="s">
        <v>57379</v>
      </c>
      <c r="W9534" t="s">
        <v>44193</v>
      </c>
      <c r="X9534" t="s">
        <v>47314</v>
      </c>
    </row>
    <row r="9535" spans="1:24">
      <c r="A9535">
        <f>HYPERLINK("https://www.philgeps.gov.ph/GEPSNONPILOT/Tender/SplashBidNoticeAbstractUI.aspx?menuIndex=3&amp;refID=7184508&amp;Result=3","7184508")</f>
        <v>0</v>
      </c>
      <c r="B9535" t="s">
        <v>2562</v>
      </c>
      <c r="C9535" t="s">
        <v>12839</v>
      </c>
      <c r="D9535" t="s">
        <v>19039</v>
      </c>
      <c r="E9535" t="s">
        <v>27241</v>
      </c>
      <c r="F9535" t="s">
        <v>32606</v>
      </c>
      <c r="G9535" t="s">
        <v>32613</v>
      </c>
      <c r="H9535" t="s">
        <v>32623</v>
      </c>
      <c r="I9535" t="s">
        <v>17648</v>
      </c>
      <c r="J9535" t="s">
        <v>36046</v>
      </c>
      <c r="K9535" t="s">
        <v>42752</v>
      </c>
      <c r="M9535" t="s">
        <v>46124</v>
      </c>
      <c r="N9535" t="s">
        <v>47304</v>
      </c>
      <c r="O9535" t="s">
        <v>47305</v>
      </c>
      <c r="P9535">
        <v>0</v>
      </c>
      <c r="Q9535">
        <v>2</v>
      </c>
      <c r="R9535" t="s">
        <v>47313</v>
      </c>
      <c r="S9535" t="s">
        <v>47535</v>
      </c>
      <c r="T9535" t="s">
        <v>49075</v>
      </c>
      <c r="U9535" t="s">
        <v>57412</v>
      </c>
      <c r="W9535" t="s">
        <v>46124</v>
      </c>
      <c r="X9535" t="s">
        <v>47314</v>
      </c>
    </row>
    <row r="9536" spans="1:24">
      <c r="A9536">
        <f>HYPERLINK("https://www.philgeps.gov.ph/GEPSNONPILOT/Tender/SplashBidNoticeAbstractUI.aspx?menuIndex=3&amp;refID=7184504&amp;Result=3","7184504")</f>
        <v>0</v>
      </c>
      <c r="B9536" t="s">
        <v>2226</v>
      </c>
      <c r="C9536" t="s">
        <v>12840</v>
      </c>
      <c r="E9536" t="s">
        <v>27242</v>
      </c>
      <c r="F9536" t="s">
        <v>32606</v>
      </c>
      <c r="G9536" t="s">
        <v>32614</v>
      </c>
      <c r="H9536" t="s">
        <v>32623</v>
      </c>
      <c r="I9536" t="s">
        <v>17648</v>
      </c>
      <c r="J9536" t="s">
        <v>38685</v>
      </c>
      <c r="K9536" t="s">
        <v>42630</v>
      </c>
      <c r="M9536" t="s">
        <v>45330</v>
      </c>
      <c r="N9536" t="s">
        <v>47304</v>
      </c>
      <c r="O9536" t="s">
        <v>47305</v>
      </c>
      <c r="P9536">
        <v>0</v>
      </c>
      <c r="Q9536">
        <v>0</v>
      </c>
      <c r="R9536" t="s">
        <v>47313</v>
      </c>
      <c r="S9536" t="s">
        <v>47535</v>
      </c>
      <c r="T9536" t="s">
        <v>49268</v>
      </c>
      <c r="U9536" t="s">
        <v>51703</v>
      </c>
      <c r="W9536" t="s">
        <v>45330</v>
      </c>
      <c r="X9536" t="s">
        <v>47314</v>
      </c>
    </row>
    <row r="9537" spans="1:24">
      <c r="A9537">
        <f>HYPERLINK("https://www.philgeps.gov.ph/GEPSNONPILOT/Tender/SplashBidNoticeAbstractUI.aspx?menuIndex=3&amp;refID=7184502&amp;Result=3","7184502")</f>
        <v>0</v>
      </c>
      <c r="B9537" t="s">
        <v>2810</v>
      </c>
      <c r="C9537" t="s">
        <v>11857</v>
      </c>
      <c r="D9537" t="s">
        <v>19037</v>
      </c>
      <c r="E9537" t="s">
        <v>19382</v>
      </c>
      <c r="F9537" t="s">
        <v>32606</v>
      </c>
      <c r="G9537" t="s">
        <v>32613</v>
      </c>
      <c r="H9537" t="s">
        <v>32623</v>
      </c>
      <c r="I9537" t="s">
        <v>17648</v>
      </c>
      <c r="J9537" t="s">
        <v>38686</v>
      </c>
      <c r="K9537" t="s">
        <v>42828</v>
      </c>
      <c r="M9537" t="s">
        <v>45973</v>
      </c>
      <c r="N9537" t="s">
        <v>47304</v>
      </c>
      <c r="O9537" t="s">
        <v>47305</v>
      </c>
      <c r="P9537">
        <v>0</v>
      </c>
      <c r="Q9537">
        <v>2</v>
      </c>
      <c r="R9537" t="s">
        <v>47313</v>
      </c>
      <c r="S9537" t="s">
        <v>47535</v>
      </c>
      <c r="T9537" t="s">
        <v>49063</v>
      </c>
      <c r="U9537" t="s">
        <v>57413</v>
      </c>
      <c r="W9537" t="s">
        <v>45973</v>
      </c>
      <c r="X9537" t="s">
        <v>47314</v>
      </c>
    </row>
    <row r="9538" spans="1:24">
      <c r="A9538">
        <f>HYPERLINK("https://www.philgeps.gov.ph/GEPSNONPILOT/Tender/SplashBidNoticeAbstractUI.aspx?menuIndex=3&amp;refID=7184522&amp;Result=3","7184522")</f>
        <v>0</v>
      </c>
      <c r="B9538" t="s">
        <v>2951</v>
      </c>
      <c r="C9538" t="s">
        <v>12841</v>
      </c>
      <c r="D9538" t="s">
        <v>19007</v>
      </c>
      <c r="E9538" t="s">
        <v>27243</v>
      </c>
      <c r="F9538" t="s">
        <v>32606</v>
      </c>
      <c r="G9538" t="s">
        <v>32613</v>
      </c>
      <c r="H9538" t="s">
        <v>32624</v>
      </c>
      <c r="I9538" t="s">
        <v>7233</v>
      </c>
      <c r="J9538" t="s">
        <v>32981</v>
      </c>
      <c r="K9538" t="s">
        <v>42623</v>
      </c>
      <c r="M9538" t="s">
        <v>46135</v>
      </c>
      <c r="N9538" t="s">
        <v>47304</v>
      </c>
      <c r="O9538" t="s">
        <v>47305</v>
      </c>
      <c r="P9538">
        <v>0</v>
      </c>
      <c r="Q9538">
        <v>0</v>
      </c>
      <c r="R9538" t="s">
        <v>47313</v>
      </c>
      <c r="S9538" t="s">
        <v>47535</v>
      </c>
      <c r="T9538" t="s">
        <v>49315</v>
      </c>
      <c r="U9538" t="s">
        <v>57414</v>
      </c>
      <c r="W9538" t="s">
        <v>46135</v>
      </c>
      <c r="X9538" t="s">
        <v>47314</v>
      </c>
    </row>
    <row r="9539" spans="1:24">
      <c r="A9539">
        <f>HYPERLINK("https://www.philgeps.gov.ph/GEPSNONPILOT/Tender/SplashBidNoticeAbstractUI.aspx?menuIndex=3&amp;refID=7184559&amp;Result=3","7184559")</f>
        <v>0</v>
      </c>
      <c r="B9539" t="s">
        <v>2952</v>
      </c>
      <c r="C9539" t="s">
        <v>12842</v>
      </c>
      <c r="D9539" t="s">
        <v>19067</v>
      </c>
      <c r="E9539" t="s">
        <v>27244</v>
      </c>
      <c r="F9539" t="s">
        <v>32606</v>
      </c>
      <c r="G9539" t="s">
        <v>32613</v>
      </c>
      <c r="H9539" t="s">
        <v>14201</v>
      </c>
      <c r="I9539" t="s">
        <v>32658</v>
      </c>
      <c r="J9539" t="s">
        <v>33060</v>
      </c>
      <c r="K9539" t="s">
        <v>42631</v>
      </c>
      <c r="M9539" t="s">
        <v>46136</v>
      </c>
      <c r="N9539" t="s">
        <v>47304</v>
      </c>
      <c r="O9539" t="s">
        <v>47305</v>
      </c>
      <c r="P9539">
        <v>0</v>
      </c>
      <c r="Q9539">
        <v>2</v>
      </c>
      <c r="R9539" t="s">
        <v>47313</v>
      </c>
      <c r="S9539" t="s">
        <v>47535</v>
      </c>
      <c r="T9539" t="s">
        <v>48980</v>
      </c>
      <c r="U9539" t="s">
        <v>57415</v>
      </c>
      <c r="W9539" t="s">
        <v>46136</v>
      </c>
      <c r="X9539" t="s">
        <v>47314</v>
      </c>
    </row>
    <row r="9540" spans="1:24">
      <c r="A9540">
        <f>HYPERLINK("https://www.philgeps.gov.ph/GEPSNONPILOT/Tender/SplashBidNoticeAbstractUI.aspx?menuIndex=3&amp;refID=7184416&amp;Result=3","7184416")</f>
        <v>0</v>
      </c>
      <c r="B9540" t="s">
        <v>1210</v>
      </c>
      <c r="C9540" t="s">
        <v>4572</v>
      </c>
      <c r="D9540" t="s">
        <v>18988</v>
      </c>
      <c r="E9540" t="s">
        <v>27245</v>
      </c>
      <c r="F9540" t="s">
        <v>32606</v>
      </c>
      <c r="G9540" t="s">
        <v>32614</v>
      </c>
      <c r="H9540" t="s">
        <v>14201</v>
      </c>
      <c r="I9540" t="s">
        <v>32629</v>
      </c>
      <c r="J9540" t="s">
        <v>38687</v>
      </c>
      <c r="K9540" t="s">
        <v>42624</v>
      </c>
      <c r="M9540" t="s">
        <v>44175</v>
      </c>
      <c r="N9540" t="s">
        <v>47304</v>
      </c>
      <c r="O9540" t="s">
        <v>47305</v>
      </c>
      <c r="P9540">
        <v>0</v>
      </c>
      <c r="Q9540">
        <v>0</v>
      </c>
      <c r="R9540" t="s">
        <v>47313</v>
      </c>
      <c r="S9540" t="s">
        <v>47535</v>
      </c>
      <c r="T9540" t="s">
        <v>49196</v>
      </c>
      <c r="U9540" t="s">
        <v>55004</v>
      </c>
      <c r="W9540" t="s">
        <v>44175</v>
      </c>
      <c r="X9540" t="s">
        <v>47314</v>
      </c>
    </row>
    <row r="9541" spans="1:24">
      <c r="A9541">
        <f>HYPERLINK("https://www.philgeps.gov.ph/GEPSNONPILOT/Tender/SplashBidNoticeAbstractUI.aspx?menuIndex=3&amp;refID=7184556&amp;Result=3","7184556")</f>
        <v>0</v>
      </c>
      <c r="B9541" t="s">
        <v>889</v>
      </c>
      <c r="C9541" t="s">
        <v>12843</v>
      </c>
      <c r="D9541" t="s">
        <v>18997</v>
      </c>
      <c r="E9541" t="s">
        <v>27246</v>
      </c>
      <c r="F9541" t="s">
        <v>32606</v>
      </c>
      <c r="G9541" t="s">
        <v>32613</v>
      </c>
      <c r="H9541" t="s">
        <v>14201</v>
      </c>
      <c r="I9541" t="s">
        <v>32663</v>
      </c>
      <c r="J9541" t="s">
        <v>35793</v>
      </c>
      <c r="K9541" t="s">
        <v>42631</v>
      </c>
      <c r="L9541" t="s">
        <v>889</v>
      </c>
      <c r="M9541" t="s">
        <v>43825</v>
      </c>
      <c r="N9541" t="s">
        <v>47304</v>
      </c>
      <c r="O9541" t="s">
        <v>47305</v>
      </c>
      <c r="P9541">
        <v>0</v>
      </c>
      <c r="Q9541">
        <v>1</v>
      </c>
      <c r="R9541" t="s">
        <v>47313</v>
      </c>
      <c r="S9541" t="s">
        <v>47535</v>
      </c>
      <c r="T9541" t="s">
        <v>49023</v>
      </c>
      <c r="U9541" t="s">
        <v>57416</v>
      </c>
      <c r="V9541" t="s">
        <v>62853</v>
      </c>
      <c r="W9541" t="s">
        <v>43825</v>
      </c>
      <c r="X9541" t="s">
        <v>47314</v>
      </c>
    </row>
    <row r="9542" spans="1:24">
      <c r="A9542">
        <f>HYPERLINK("https://www.philgeps.gov.ph/GEPSNONPILOT/Tender/SplashBidNoticeAbstractUI.aspx?menuIndex=3&amp;refID=7184564&amp;Result=3","7184564")</f>
        <v>0</v>
      </c>
      <c r="B9542" t="s">
        <v>2319</v>
      </c>
      <c r="C9542" t="s">
        <v>9388</v>
      </c>
      <c r="D9542" t="s">
        <v>19045</v>
      </c>
      <c r="E9542" t="s">
        <v>27247</v>
      </c>
      <c r="F9542" t="s">
        <v>32606</v>
      </c>
      <c r="G9542" t="s">
        <v>32613</v>
      </c>
      <c r="H9542" t="s">
        <v>14201</v>
      </c>
      <c r="I9542" t="s">
        <v>7677</v>
      </c>
      <c r="J9542" t="s">
        <v>38688</v>
      </c>
      <c r="K9542" t="s">
        <v>42622</v>
      </c>
      <c r="M9542" t="s">
        <v>45427</v>
      </c>
      <c r="N9542" t="s">
        <v>47304</v>
      </c>
      <c r="O9542" t="s">
        <v>47305</v>
      </c>
      <c r="P9542">
        <v>0</v>
      </c>
      <c r="Q9542">
        <v>1</v>
      </c>
      <c r="R9542" t="s">
        <v>47313</v>
      </c>
      <c r="S9542" t="s">
        <v>47535</v>
      </c>
      <c r="T9542" t="s">
        <v>49053</v>
      </c>
      <c r="U9542" t="s">
        <v>57417</v>
      </c>
      <c r="W9542" t="s">
        <v>45427</v>
      </c>
      <c r="X9542" t="s">
        <v>47314</v>
      </c>
    </row>
    <row r="9543" spans="1:24">
      <c r="A9543">
        <f>HYPERLINK("https://www.philgeps.gov.ph/GEPSNONPILOT/Tender/SplashBidNoticeAbstractUI.aspx?menuIndex=3&amp;refID=7184634&amp;Result=3","7184634")</f>
        <v>0</v>
      </c>
      <c r="B9543" t="s">
        <v>767</v>
      </c>
      <c r="C9543" t="s">
        <v>12844</v>
      </c>
      <c r="D9543" t="s">
        <v>19009</v>
      </c>
      <c r="E9543" t="s">
        <v>27248</v>
      </c>
      <c r="F9543" t="s">
        <v>32606</v>
      </c>
      <c r="G9543" t="s">
        <v>32613</v>
      </c>
      <c r="H9543" t="s">
        <v>14201</v>
      </c>
      <c r="I9543" t="s">
        <v>32718</v>
      </c>
      <c r="J9543" t="s">
        <v>38689</v>
      </c>
      <c r="K9543" t="s">
        <v>42631</v>
      </c>
      <c r="M9543" t="s">
        <v>43693</v>
      </c>
      <c r="N9543" t="s">
        <v>47304</v>
      </c>
      <c r="O9543" t="s">
        <v>47305</v>
      </c>
      <c r="P9543">
        <v>0</v>
      </c>
      <c r="Q9543">
        <v>13</v>
      </c>
      <c r="R9543" t="s">
        <v>47313</v>
      </c>
      <c r="S9543" t="s">
        <v>47535</v>
      </c>
      <c r="T9543" t="s">
        <v>49075</v>
      </c>
      <c r="U9543" t="s">
        <v>57418</v>
      </c>
      <c r="V9543" t="s">
        <v>63645</v>
      </c>
      <c r="W9543" t="s">
        <v>43693</v>
      </c>
      <c r="X9543" t="s">
        <v>47314</v>
      </c>
    </row>
    <row r="9544" spans="1:24">
      <c r="A9544">
        <f>HYPERLINK("https://www.philgeps.gov.ph/GEPSNONPILOT/Tender/SplashBidNoticeAbstractUI.aspx?menuIndex=3&amp;refID=7184600&amp;Result=3","7184600")</f>
        <v>0</v>
      </c>
      <c r="B9544" t="s">
        <v>2776</v>
      </c>
      <c r="C9544" t="s">
        <v>12845</v>
      </c>
      <c r="D9544" t="s">
        <v>18993</v>
      </c>
      <c r="E9544" t="s">
        <v>27249</v>
      </c>
      <c r="F9544" t="s">
        <v>32606</v>
      </c>
      <c r="G9544" t="s">
        <v>32614</v>
      </c>
      <c r="H9544" t="s">
        <v>14201</v>
      </c>
      <c r="I9544" t="s">
        <v>32658</v>
      </c>
      <c r="J9544" t="s">
        <v>38690</v>
      </c>
      <c r="K9544" t="s">
        <v>42623</v>
      </c>
      <c r="M9544" t="s">
        <v>46132</v>
      </c>
      <c r="N9544" t="s">
        <v>47304</v>
      </c>
      <c r="O9544" t="s">
        <v>47305</v>
      </c>
      <c r="P9544">
        <v>0</v>
      </c>
      <c r="Q9544">
        <v>1</v>
      </c>
      <c r="R9544" t="s">
        <v>47313</v>
      </c>
      <c r="S9544" t="s">
        <v>47535</v>
      </c>
      <c r="T9544" t="s">
        <v>49269</v>
      </c>
      <c r="U9544" t="s">
        <v>57419</v>
      </c>
      <c r="W9544" t="s">
        <v>46132</v>
      </c>
      <c r="X9544" t="s">
        <v>47314</v>
      </c>
    </row>
    <row r="9545" spans="1:24">
      <c r="A9545">
        <f>HYPERLINK("https://www.philgeps.gov.ph/GEPSNONPILOT/Tender/SplashBidNoticeAbstractUI.aspx?menuIndex=3&amp;refID=7184588&amp;Result=3","7184588")</f>
        <v>0</v>
      </c>
      <c r="B9545" t="s">
        <v>197</v>
      </c>
      <c r="C9545" t="s">
        <v>12846</v>
      </c>
      <c r="D9545" t="s">
        <v>19027</v>
      </c>
      <c r="E9545" t="s">
        <v>27250</v>
      </c>
      <c r="F9545" t="s">
        <v>32606</v>
      </c>
      <c r="G9545" t="s">
        <v>32618</v>
      </c>
      <c r="H9545" t="s">
        <v>32624</v>
      </c>
      <c r="I9545" t="s">
        <v>32670</v>
      </c>
      <c r="J9545" t="s">
        <v>32789</v>
      </c>
      <c r="K9545" t="s">
        <v>42631</v>
      </c>
      <c r="M9545" t="s">
        <v>43098</v>
      </c>
      <c r="N9545" t="s">
        <v>47304</v>
      </c>
      <c r="O9545" t="s">
        <v>47305</v>
      </c>
      <c r="P9545">
        <v>0</v>
      </c>
      <c r="Q9545">
        <v>1</v>
      </c>
      <c r="R9545" t="s">
        <v>47313</v>
      </c>
      <c r="S9545" t="s">
        <v>47535</v>
      </c>
      <c r="T9545" t="s">
        <v>49197</v>
      </c>
      <c r="U9545" t="s">
        <v>57420</v>
      </c>
      <c r="W9545" t="s">
        <v>43098</v>
      </c>
      <c r="X9545" t="s">
        <v>47314</v>
      </c>
    </row>
    <row r="9546" spans="1:24">
      <c r="A9546">
        <f>HYPERLINK("https://www.philgeps.gov.ph/GEPSNONPILOT/Tender/SplashBidNoticeAbstractUI.aspx?menuIndex=3&amp;refID=7184574&amp;Result=3","7184574")</f>
        <v>0</v>
      </c>
      <c r="B9546" t="s">
        <v>1383</v>
      </c>
      <c r="C9546" t="s">
        <v>12847</v>
      </c>
      <c r="D9546" t="s">
        <v>19029</v>
      </c>
      <c r="E9546" t="s">
        <v>19317</v>
      </c>
      <c r="F9546" t="s">
        <v>32607</v>
      </c>
      <c r="G9546" t="s">
        <v>32613</v>
      </c>
      <c r="H9546" t="s">
        <v>32623</v>
      </c>
      <c r="I9546" t="s">
        <v>17648</v>
      </c>
      <c r="J9546" t="s">
        <v>38691</v>
      </c>
      <c r="K9546" t="s">
        <v>42648</v>
      </c>
      <c r="M9546" t="s">
        <v>44365</v>
      </c>
      <c r="N9546" t="s">
        <v>47304</v>
      </c>
      <c r="O9546" t="s">
        <v>47305</v>
      </c>
      <c r="P9546">
        <v>0</v>
      </c>
      <c r="Q9546">
        <v>28</v>
      </c>
      <c r="R9546" t="s">
        <v>47313</v>
      </c>
      <c r="S9546" t="s">
        <v>47535</v>
      </c>
      <c r="T9546" t="s">
        <v>49028</v>
      </c>
      <c r="U9546" t="s">
        <v>57421</v>
      </c>
      <c r="W9546" t="s">
        <v>44365</v>
      </c>
      <c r="X9546" t="s">
        <v>47314</v>
      </c>
    </row>
    <row r="9547" spans="1:24">
      <c r="A9547">
        <f>HYPERLINK("https://www.philgeps.gov.ph/GEPSNONPILOT/Tender/SplashBidNoticeAbstractUI.aspx?menuIndex=3&amp;refID=7184622&amp;Result=3","7184622")</f>
        <v>0</v>
      </c>
      <c r="B9547" t="s">
        <v>1228</v>
      </c>
      <c r="C9547" t="s">
        <v>12848</v>
      </c>
      <c r="D9547" t="s">
        <v>19048</v>
      </c>
      <c r="E9547" t="s">
        <v>21307</v>
      </c>
      <c r="F9547" t="s">
        <v>32606</v>
      </c>
      <c r="G9547" t="s">
        <v>32613</v>
      </c>
      <c r="H9547" t="s">
        <v>32623</v>
      </c>
      <c r="I9547" t="s">
        <v>17648</v>
      </c>
      <c r="J9547" t="s">
        <v>33102</v>
      </c>
      <c r="K9547" t="s">
        <v>42694</v>
      </c>
      <c r="M9547" t="s">
        <v>44193</v>
      </c>
      <c r="N9547" t="s">
        <v>47304</v>
      </c>
      <c r="O9547" t="s">
        <v>47305</v>
      </c>
      <c r="P9547">
        <v>0</v>
      </c>
      <c r="Q9547">
        <v>0</v>
      </c>
      <c r="R9547" t="s">
        <v>47313</v>
      </c>
      <c r="S9547" t="s">
        <v>47535</v>
      </c>
      <c r="T9547" t="s">
        <v>49254</v>
      </c>
      <c r="U9547" t="s">
        <v>57422</v>
      </c>
      <c r="W9547" t="s">
        <v>44193</v>
      </c>
      <c r="X9547" t="s">
        <v>47314</v>
      </c>
    </row>
    <row r="9548" spans="1:24">
      <c r="A9548">
        <f>HYPERLINK("https://www.philgeps.gov.ph/GEPSNONPILOT/Tender/SplashBidNoticeAbstractUI.aspx?menuIndex=3&amp;refID=7184569&amp;Result=3","7184569")</f>
        <v>0</v>
      </c>
      <c r="B9548" t="s">
        <v>2953</v>
      </c>
      <c r="C9548" t="s">
        <v>12849</v>
      </c>
      <c r="D9548" t="s">
        <v>19020</v>
      </c>
      <c r="E9548" t="s">
        <v>27251</v>
      </c>
      <c r="F9548" t="s">
        <v>32606</v>
      </c>
      <c r="G9548" t="s">
        <v>32619</v>
      </c>
      <c r="H9548" t="s">
        <v>14201</v>
      </c>
      <c r="I9548" t="s">
        <v>7577</v>
      </c>
      <c r="J9548" t="s">
        <v>33948</v>
      </c>
      <c r="K9548" t="s">
        <v>42623</v>
      </c>
      <c r="M9548" t="s">
        <v>46137</v>
      </c>
      <c r="N9548" t="s">
        <v>47304</v>
      </c>
      <c r="O9548" t="s">
        <v>47305</v>
      </c>
      <c r="P9548">
        <v>0</v>
      </c>
      <c r="Q9548">
        <v>1</v>
      </c>
      <c r="R9548" t="s">
        <v>47313</v>
      </c>
      <c r="S9548" t="s">
        <v>47535</v>
      </c>
      <c r="T9548" t="s">
        <v>49418</v>
      </c>
      <c r="U9548" t="s">
        <v>57423</v>
      </c>
      <c r="W9548" t="s">
        <v>46137</v>
      </c>
      <c r="X9548" t="s">
        <v>47314</v>
      </c>
    </row>
    <row r="9549" spans="1:24">
      <c r="A9549">
        <f>HYPERLINK("https://www.philgeps.gov.ph/GEPSNONPILOT/Tender/SplashBidNoticeAbstractUI.aspx?menuIndex=3&amp;refID=7184582&amp;Result=3","7184582")</f>
        <v>0</v>
      </c>
      <c r="B9549" t="s">
        <v>2776</v>
      </c>
      <c r="C9549" t="s">
        <v>12850</v>
      </c>
      <c r="D9549" t="s">
        <v>18993</v>
      </c>
      <c r="E9549" t="s">
        <v>27252</v>
      </c>
      <c r="F9549" t="s">
        <v>32606</v>
      </c>
      <c r="G9549" t="s">
        <v>32614</v>
      </c>
      <c r="H9549" t="s">
        <v>14201</v>
      </c>
      <c r="I9549" t="s">
        <v>17648</v>
      </c>
      <c r="J9549" t="s">
        <v>38692</v>
      </c>
      <c r="K9549" t="s">
        <v>42623</v>
      </c>
      <c r="M9549" t="s">
        <v>46132</v>
      </c>
      <c r="N9549" t="s">
        <v>47304</v>
      </c>
      <c r="O9549" t="s">
        <v>47305</v>
      </c>
      <c r="P9549">
        <v>0</v>
      </c>
      <c r="Q9549">
        <v>1</v>
      </c>
      <c r="R9549" t="s">
        <v>47313</v>
      </c>
      <c r="S9549" t="s">
        <v>47535</v>
      </c>
      <c r="T9549" t="s">
        <v>49269</v>
      </c>
      <c r="U9549" t="s">
        <v>57424</v>
      </c>
      <c r="W9549" t="s">
        <v>46132</v>
      </c>
      <c r="X9549" t="s">
        <v>47314</v>
      </c>
    </row>
    <row r="9550" spans="1:24">
      <c r="A9550">
        <f>HYPERLINK("https://www.philgeps.gov.ph/GEPSNONPILOT/Tender/SplashBidNoticeAbstractUI.aspx?menuIndex=3&amp;refID=7184667&amp;Result=3","7184667")</f>
        <v>0</v>
      </c>
      <c r="B9550" t="s">
        <v>2252</v>
      </c>
      <c r="C9550" t="s">
        <v>12851</v>
      </c>
      <c r="E9550" t="s">
        <v>27253</v>
      </c>
      <c r="F9550" t="s">
        <v>32606</v>
      </c>
      <c r="G9550" t="s">
        <v>32613</v>
      </c>
      <c r="H9550" t="s">
        <v>32623</v>
      </c>
      <c r="I9550" t="s">
        <v>17648</v>
      </c>
      <c r="J9550" t="s">
        <v>38693</v>
      </c>
      <c r="K9550" t="s">
        <v>42677</v>
      </c>
      <c r="M9550" t="s">
        <v>45357</v>
      </c>
      <c r="N9550" t="s">
        <v>47304</v>
      </c>
      <c r="O9550" t="s">
        <v>47305</v>
      </c>
      <c r="P9550">
        <v>0</v>
      </c>
      <c r="Q9550">
        <v>0</v>
      </c>
      <c r="R9550" t="s">
        <v>47313</v>
      </c>
      <c r="S9550" t="s">
        <v>47535</v>
      </c>
      <c r="T9550" t="s">
        <v>49037</v>
      </c>
      <c r="U9550" t="s">
        <v>57425</v>
      </c>
      <c r="W9550" t="s">
        <v>45357</v>
      </c>
      <c r="X9550" t="s">
        <v>47314</v>
      </c>
    </row>
    <row r="9551" spans="1:24">
      <c r="A9551">
        <f>HYPERLINK("https://www.philgeps.gov.ph/GEPSNONPILOT/Tender/SplashBidNoticeAbstractUI.aspx?menuIndex=3&amp;refID=7184571&amp;Result=3","7184571")</f>
        <v>0</v>
      </c>
      <c r="B9551" t="s">
        <v>479</v>
      </c>
      <c r="C9551" t="s">
        <v>12852</v>
      </c>
      <c r="E9551" t="s">
        <v>27254</v>
      </c>
      <c r="F9551" t="s">
        <v>32606</v>
      </c>
      <c r="G9551" t="s">
        <v>32614</v>
      </c>
      <c r="H9551" t="s">
        <v>14201</v>
      </c>
      <c r="I9551" t="s">
        <v>6298</v>
      </c>
      <c r="J9551" t="s">
        <v>36515</v>
      </c>
      <c r="K9551" t="s">
        <v>42624</v>
      </c>
      <c r="M9551" t="s">
        <v>43390</v>
      </c>
      <c r="N9551" t="s">
        <v>47304</v>
      </c>
      <c r="O9551" t="s">
        <v>47305</v>
      </c>
      <c r="P9551">
        <v>0</v>
      </c>
      <c r="Q9551">
        <v>1</v>
      </c>
      <c r="R9551" t="s">
        <v>47313</v>
      </c>
      <c r="S9551" t="s">
        <v>47535</v>
      </c>
      <c r="T9551" t="s">
        <v>49268</v>
      </c>
      <c r="U9551" t="s">
        <v>57426</v>
      </c>
      <c r="W9551" t="s">
        <v>43390</v>
      </c>
      <c r="X9551" t="s">
        <v>47314</v>
      </c>
    </row>
    <row r="9552" spans="1:24">
      <c r="A9552">
        <f>HYPERLINK("https://www.philgeps.gov.ph/GEPSNONPILOT/Tender/SplashBidNoticeAbstractUI.aspx?menuIndex=3&amp;refID=7184656&amp;Result=3","7184656")</f>
        <v>0</v>
      </c>
      <c r="B9552" t="s">
        <v>755</v>
      </c>
      <c r="C9552" t="s">
        <v>12853</v>
      </c>
      <c r="D9552" t="s">
        <v>18988</v>
      </c>
      <c r="E9552" t="s">
        <v>27255</v>
      </c>
      <c r="F9552" t="s">
        <v>32606</v>
      </c>
      <c r="G9552" t="s">
        <v>32613</v>
      </c>
      <c r="H9552" t="s">
        <v>32623</v>
      </c>
      <c r="I9552" t="s">
        <v>17648</v>
      </c>
      <c r="J9552" t="s">
        <v>32772</v>
      </c>
      <c r="K9552" t="s">
        <v>42624</v>
      </c>
      <c r="M9552" t="s">
        <v>44863</v>
      </c>
      <c r="N9552" t="s">
        <v>47304</v>
      </c>
      <c r="O9552" t="s">
        <v>47305</v>
      </c>
      <c r="P9552">
        <v>0</v>
      </c>
      <c r="Q9552">
        <v>0</v>
      </c>
      <c r="R9552" t="s">
        <v>47313</v>
      </c>
      <c r="S9552" t="s">
        <v>47535</v>
      </c>
      <c r="T9552" t="s">
        <v>49068</v>
      </c>
      <c r="U9552" t="s">
        <v>57427</v>
      </c>
      <c r="W9552" t="s">
        <v>44863</v>
      </c>
      <c r="X9552" t="s">
        <v>47314</v>
      </c>
    </row>
    <row r="9553" spans="1:24">
      <c r="A9553">
        <f>HYPERLINK("https://www.philgeps.gov.ph/GEPSNONPILOT/Tender/SplashBidNoticeAbstractUI.aspx?menuIndex=3&amp;refID=7184654&amp;Result=3","7184654")</f>
        <v>0</v>
      </c>
      <c r="B9553" t="s">
        <v>1383</v>
      </c>
      <c r="C9553" t="s">
        <v>12854</v>
      </c>
      <c r="D9553" t="s">
        <v>19029</v>
      </c>
      <c r="E9553" t="s">
        <v>19316</v>
      </c>
      <c r="F9553" t="s">
        <v>32607</v>
      </c>
      <c r="G9553" t="s">
        <v>32613</v>
      </c>
      <c r="H9553" t="s">
        <v>32623</v>
      </c>
      <c r="I9553" t="s">
        <v>17648</v>
      </c>
      <c r="J9553" t="s">
        <v>38694</v>
      </c>
      <c r="K9553" t="s">
        <v>42636</v>
      </c>
      <c r="M9553" t="s">
        <v>44365</v>
      </c>
      <c r="N9553" t="s">
        <v>47304</v>
      </c>
      <c r="O9553" t="s">
        <v>47305</v>
      </c>
      <c r="P9553">
        <v>0</v>
      </c>
      <c r="Q9553">
        <v>28</v>
      </c>
      <c r="R9553" t="s">
        <v>47313</v>
      </c>
      <c r="S9553" t="s">
        <v>47535</v>
      </c>
      <c r="T9553" t="s">
        <v>49028</v>
      </c>
      <c r="U9553" t="s">
        <v>57428</v>
      </c>
      <c r="W9553" t="s">
        <v>44365</v>
      </c>
      <c r="X9553" t="s">
        <v>47314</v>
      </c>
    </row>
    <row r="9554" spans="1:24">
      <c r="A9554">
        <f>HYPERLINK("https://www.philgeps.gov.ph/GEPSNONPILOT/Tender/SplashBidNoticeAbstractUI.aspx?menuIndex=3&amp;refID=7184651&amp;Result=3","7184651")</f>
        <v>0</v>
      </c>
      <c r="B9554" t="s">
        <v>2017</v>
      </c>
      <c r="C9554" t="s">
        <v>12855</v>
      </c>
      <c r="D9554" t="s">
        <v>19023</v>
      </c>
      <c r="E9554" t="s">
        <v>27256</v>
      </c>
      <c r="F9554" t="s">
        <v>32606</v>
      </c>
      <c r="G9554" t="s">
        <v>32613</v>
      </c>
      <c r="H9554" t="s">
        <v>14201</v>
      </c>
      <c r="I9554" t="s">
        <v>6931</v>
      </c>
      <c r="J9554" t="s">
        <v>38695</v>
      </c>
      <c r="K9554" t="s">
        <v>42638</v>
      </c>
      <c r="M9554" t="s">
        <v>45090</v>
      </c>
      <c r="N9554" t="s">
        <v>47304</v>
      </c>
      <c r="O9554" t="s">
        <v>47305</v>
      </c>
      <c r="P9554">
        <v>0</v>
      </c>
      <c r="Q9554">
        <v>1</v>
      </c>
      <c r="R9554" t="s">
        <v>47313</v>
      </c>
      <c r="S9554" t="s">
        <v>47535</v>
      </c>
      <c r="T9554" t="s">
        <v>49399</v>
      </c>
      <c r="U9554" t="s">
        <v>57429</v>
      </c>
      <c r="V9554" t="s">
        <v>63225</v>
      </c>
      <c r="W9554" t="s">
        <v>45090</v>
      </c>
      <c r="X9554" t="s">
        <v>47314</v>
      </c>
    </row>
    <row r="9555" spans="1:24">
      <c r="A9555">
        <f>HYPERLINK("https://www.philgeps.gov.ph/GEPSNONPILOT/Tender/SplashBidNoticeAbstractUI.aspx?menuIndex=3&amp;refID=7184650&amp;Result=3","7184650")</f>
        <v>0</v>
      </c>
      <c r="B9555" t="s">
        <v>2562</v>
      </c>
      <c r="C9555" t="s">
        <v>12856</v>
      </c>
      <c r="D9555" t="s">
        <v>19039</v>
      </c>
      <c r="E9555" t="s">
        <v>27257</v>
      </c>
      <c r="F9555" t="s">
        <v>32606</v>
      </c>
      <c r="G9555" t="s">
        <v>32613</v>
      </c>
      <c r="H9555" t="s">
        <v>32623</v>
      </c>
      <c r="I9555" t="s">
        <v>17648</v>
      </c>
      <c r="J9555" t="s">
        <v>34426</v>
      </c>
      <c r="K9555" t="s">
        <v>42646</v>
      </c>
      <c r="M9555" t="s">
        <v>46124</v>
      </c>
      <c r="N9555" t="s">
        <v>47304</v>
      </c>
      <c r="O9555" t="s">
        <v>47305</v>
      </c>
      <c r="P9555">
        <v>0</v>
      </c>
      <c r="Q9555">
        <v>0</v>
      </c>
      <c r="R9555" t="s">
        <v>47313</v>
      </c>
      <c r="S9555" t="s">
        <v>47535</v>
      </c>
      <c r="T9555" t="s">
        <v>49075</v>
      </c>
      <c r="U9555" t="s">
        <v>57430</v>
      </c>
      <c r="W9555" t="s">
        <v>46124</v>
      </c>
      <c r="X9555" t="s">
        <v>47314</v>
      </c>
    </row>
    <row r="9556" spans="1:24">
      <c r="A9556">
        <f>HYPERLINK("https://www.philgeps.gov.ph/GEPSNONPILOT/Tender/SplashBidNoticeAbstractUI.aspx?menuIndex=3&amp;refID=7184642&amp;Result=3","7184642")</f>
        <v>0</v>
      </c>
      <c r="B9556" t="s">
        <v>2562</v>
      </c>
      <c r="C9556" t="s">
        <v>12857</v>
      </c>
      <c r="D9556" t="s">
        <v>19039</v>
      </c>
      <c r="E9556" t="s">
        <v>27258</v>
      </c>
      <c r="F9556" t="s">
        <v>32606</v>
      </c>
      <c r="G9556" t="s">
        <v>32613</v>
      </c>
      <c r="H9556" t="s">
        <v>32623</v>
      </c>
      <c r="I9556" t="s">
        <v>17648</v>
      </c>
      <c r="J9556" t="s">
        <v>33071</v>
      </c>
      <c r="K9556" t="s">
        <v>42824</v>
      </c>
      <c r="M9556" t="s">
        <v>46124</v>
      </c>
      <c r="N9556" t="s">
        <v>47304</v>
      </c>
      <c r="O9556" t="s">
        <v>47305</v>
      </c>
      <c r="P9556">
        <v>0</v>
      </c>
      <c r="Q9556">
        <v>0</v>
      </c>
      <c r="R9556" t="s">
        <v>47313</v>
      </c>
      <c r="S9556" t="s">
        <v>47535</v>
      </c>
      <c r="T9556" t="s">
        <v>49075</v>
      </c>
      <c r="U9556" t="s">
        <v>57431</v>
      </c>
      <c r="W9556" t="s">
        <v>46124</v>
      </c>
      <c r="X9556" t="s">
        <v>47314</v>
      </c>
    </row>
    <row r="9557" spans="1:24">
      <c r="A9557">
        <f>HYPERLINK("https://www.philgeps.gov.ph/GEPSNONPILOT/Tender/SplashBidNoticeAbstractUI.aspx?menuIndex=3&amp;refID=7184668&amp;Result=3","7184668")</f>
        <v>0</v>
      </c>
      <c r="B9557" t="s">
        <v>1228</v>
      </c>
      <c r="C9557" t="s">
        <v>12858</v>
      </c>
      <c r="D9557" t="s">
        <v>19048</v>
      </c>
      <c r="E9557" t="s">
        <v>27259</v>
      </c>
      <c r="F9557" t="s">
        <v>32606</v>
      </c>
      <c r="G9557" t="s">
        <v>32613</v>
      </c>
      <c r="H9557" t="s">
        <v>14201</v>
      </c>
      <c r="I9557" t="s">
        <v>4678</v>
      </c>
      <c r="J9557" t="s">
        <v>38696</v>
      </c>
      <c r="K9557" t="s">
        <v>42632</v>
      </c>
      <c r="M9557" t="s">
        <v>44193</v>
      </c>
      <c r="N9557" t="s">
        <v>47304</v>
      </c>
      <c r="O9557" t="s">
        <v>47305</v>
      </c>
      <c r="P9557">
        <v>0</v>
      </c>
      <c r="Q9557">
        <v>2</v>
      </c>
      <c r="R9557" t="s">
        <v>47313</v>
      </c>
      <c r="S9557" t="s">
        <v>47535</v>
      </c>
      <c r="T9557" t="s">
        <v>49254</v>
      </c>
      <c r="U9557" t="s">
        <v>57422</v>
      </c>
      <c r="W9557" t="s">
        <v>44193</v>
      </c>
      <c r="X9557" t="s">
        <v>47314</v>
      </c>
    </row>
    <row r="9558" spans="1:24">
      <c r="A9558">
        <f>HYPERLINK("https://www.philgeps.gov.ph/GEPSNONPILOT/Tender/SplashBidNoticeAbstractUI.aspx?menuIndex=3&amp;refID=7184710&amp;Result=3","7184710")</f>
        <v>0</v>
      </c>
      <c r="B9558" t="s">
        <v>2954</v>
      </c>
      <c r="C9558" t="s">
        <v>12859</v>
      </c>
      <c r="D9558" t="s">
        <v>19019</v>
      </c>
      <c r="E9558" t="s">
        <v>20658</v>
      </c>
      <c r="F9558" t="s">
        <v>32606</v>
      </c>
      <c r="G9558" t="s">
        <v>32613</v>
      </c>
      <c r="H9558" t="s">
        <v>14201</v>
      </c>
      <c r="I9558" t="s">
        <v>4114</v>
      </c>
      <c r="J9558" t="s">
        <v>35749</v>
      </c>
      <c r="K9558" t="s">
        <v>42631</v>
      </c>
      <c r="M9558" t="s">
        <v>46138</v>
      </c>
      <c r="N9558" t="s">
        <v>47304</v>
      </c>
      <c r="O9558" t="s">
        <v>47305</v>
      </c>
      <c r="P9558">
        <v>0</v>
      </c>
      <c r="Q9558">
        <v>5</v>
      </c>
      <c r="R9558" t="s">
        <v>47313</v>
      </c>
      <c r="S9558" t="s">
        <v>47535</v>
      </c>
      <c r="T9558" t="s">
        <v>49040</v>
      </c>
      <c r="U9558" t="s">
        <v>57432</v>
      </c>
      <c r="V9558" t="s">
        <v>63646</v>
      </c>
      <c r="W9558" t="s">
        <v>46138</v>
      </c>
      <c r="X9558" t="s">
        <v>47314</v>
      </c>
    </row>
    <row r="9559" spans="1:24">
      <c r="A9559">
        <f>HYPERLINK("https://www.philgeps.gov.ph/GEPSNONPILOT/Tender/SplashBidNoticeAbstractUI.aspx?menuIndex=3&amp;refID=7184709&amp;Result=3","7184709")</f>
        <v>0</v>
      </c>
      <c r="B9559" t="s">
        <v>1189</v>
      </c>
      <c r="C9559" t="s">
        <v>12860</v>
      </c>
      <c r="D9559" t="s">
        <v>19016</v>
      </c>
      <c r="E9559" t="s">
        <v>27260</v>
      </c>
      <c r="F9559" t="s">
        <v>32606</v>
      </c>
      <c r="G9559" t="s">
        <v>32613</v>
      </c>
      <c r="H9559" t="s">
        <v>14201</v>
      </c>
      <c r="I9559" t="s">
        <v>32678</v>
      </c>
      <c r="J9559" t="s">
        <v>34044</v>
      </c>
      <c r="K9559" t="s">
        <v>42623</v>
      </c>
      <c r="M9559" t="s">
        <v>44153</v>
      </c>
      <c r="N9559" t="s">
        <v>47304</v>
      </c>
      <c r="O9559" t="s">
        <v>47305</v>
      </c>
      <c r="P9559">
        <v>0</v>
      </c>
      <c r="Q9559">
        <v>0</v>
      </c>
      <c r="R9559" t="s">
        <v>47313</v>
      </c>
      <c r="S9559" t="s">
        <v>47535</v>
      </c>
      <c r="T9559" t="s">
        <v>49071</v>
      </c>
      <c r="U9559" t="s">
        <v>57433</v>
      </c>
      <c r="V9559" t="s">
        <v>63647</v>
      </c>
      <c r="W9559" t="s">
        <v>44153</v>
      </c>
      <c r="X9559" t="s">
        <v>47314</v>
      </c>
    </row>
    <row r="9560" spans="1:24">
      <c r="A9560">
        <f>HYPERLINK("https://www.philgeps.gov.ph/GEPSNONPILOT/Tender/SplashBidNoticeAbstractUI.aspx?menuIndex=3&amp;refID=7184707&amp;Result=3","7184707")</f>
        <v>0</v>
      </c>
      <c r="B9560" t="s">
        <v>2562</v>
      </c>
      <c r="C9560" t="s">
        <v>12861</v>
      </c>
      <c r="D9560" t="s">
        <v>19039</v>
      </c>
      <c r="E9560" t="s">
        <v>27261</v>
      </c>
      <c r="F9560" t="s">
        <v>32606</v>
      </c>
      <c r="G9560" t="s">
        <v>32613</v>
      </c>
      <c r="H9560" t="s">
        <v>32623</v>
      </c>
      <c r="I9560" t="s">
        <v>17648</v>
      </c>
      <c r="J9560" t="s">
        <v>34773</v>
      </c>
      <c r="K9560" t="s">
        <v>42744</v>
      </c>
      <c r="M9560" t="s">
        <v>46124</v>
      </c>
      <c r="N9560" t="s">
        <v>47304</v>
      </c>
      <c r="O9560" t="s">
        <v>47305</v>
      </c>
      <c r="P9560">
        <v>0</v>
      </c>
      <c r="Q9560">
        <v>1</v>
      </c>
      <c r="R9560" t="s">
        <v>47313</v>
      </c>
      <c r="S9560" t="s">
        <v>47535</v>
      </c>
      <c r="T9560" t="s">
        <v>49075</v>
      </c>
      <c r="U9560" t="s">
        <v>57434</v>
      </c>
      <c r="W9560" t="s">
        <v>46124</v>
      </c>
      <c r="X9560" t="s">
        <v>47314</v>
      </c>
    </row>
    <row r="9561" spans="1:24">
      <c r="A9561">
        <f>HYPERLINK("https://www.philgeps.gov.ph/GEPSNONPILOT/Tender/SplashBidNoticeAbstractUI.aspx?menuIndex=3&amp;refID=7184673&amp;Result=3","7184673")</f>
        <v>0</v>
      </c>
      <c r="B9561" t="s">
        <v>651</v>
      </c>
      <c r="C9561" t="s">
        <v>12862</v>
      </c>
      <c r="D9561" t="s">
        <v>19060</v>
      </c>
      <c r="E9561" t="s">
        <v>24223</v>
      </c>
      <c r="F9561" t="s">
        <v>32606</v>
      </c>
      <c r="G9561" t="s">
        <v>32613</v>
      </c>
      <c r="H9561" t="s">
        <v>14201</v>
      </c>
      <c r="I9561" t="s">
        <v>32633</v>
      </c>
      <c r="J9561" t="s">
        <v>38697</v>
      </c>
      <c r="K9561" t="s">
        <v>42631</v>
      </c>
      <c r="M9561" t="s">
        <v>43570</v>
      </c>
      <c r="N9561" t="s">
        <v>47304</v>
      </c>
      <c r="O9561" t="s">
        <v>47305</v>
      </c>
      <c r="P9561">
        <v>0</v>
      </c>
      <c r="Q9561">
        <v>15</v>
      </c>
      <c r="R9561" t="s">
        <v>47313</v>
      </c>
      <c r="S9561" t="s">
        <v>47535</v>
      </c>
      <c r="T9561" t="s">
        <v>49197</v>
      </c>
      <c r="U9561" t="s">
        <v>57435</v>
      </c>
      <c r="W9561" t="s">
        <v>43570</v>
      </c>
      <c r="X9561" t="s">
        <v>47314</v>
      </c>
    </row>
    <row r="9562" spans="1:24">
      <c r="A9562">
        <f>HYPERLINK("https://www.philgeps.gov.ph/GEPSNONPILOT/Tender/SplashBidNoticeAbstractUI.aspx?menuIndex=3&amp;refID=7184625&amp;Result=3","7184625")</f>
        <v>0</v>
      </c>
      <c r="B9562" t="s">
        <v>2955</v>
      </c>
      <c r="C9562" t="s">
        <v>12863</v>
      </c>
      <c r="D9562" t="s">
        <v>19014</v>
      </c>
      <c r="E9562" t="s">
        <v>22048</v>
      </c>
      <c r="F9562" t="s">
        <v>32606</v>
      </c>
      <c r="G9562" t="s">
        <v>32613</v>
      </c>
      <c r="H9562" t="s">
        <v>14201</v>
      </c>
      <c r="I9562" t="s">
        <v>6931</v>
      </c>
      <c r="J9562" t="s">
        <v>38698</v>
      </c>
      <c r="K9562" t="s">
        <v>42622</v>
      </c>
      <c r="L9562" t="s">
        <v>2955</v>
      </c>
      <c r="M9562" t="s">
        <v>46139</v>
      </c>
      <c r="N9562" t="s">
        <v>47304</v>
      </c>
      <c r="O9562" t="s">
        <v>47305</v>
      </c>
      <c r="P9562">
        <v>0</v>
      </c>
      <c r="Q9562">
        <v>2</v>
      </c>
      <c r="R9562" t="s">
        <v>47313</v>
      </c>
      <c r="S9562" t="s">
        <v>47535</v>
      </c>
      <c r="T9562" t="s">
        <v>49068</v>
      </c>
      <c r="U9562" t="s">
        <v>57436</v>
      </c>
      <c r="W9562" t="s">
        <v>46139</v>
      </c>
      <c r="X9562" t="s">
        <v>47314</v>
      </c>
    </row>
    <row r="9563" spans="1:24">
      <c r="A9563">
        <f>HYPERLINK("https://www.philgeps.gov.ph/GEPSNONPILOT/Tender/SplashBidNoticeAbstractUI.aspx?menuIndex=3&amp;refID=7184703&amp;Result=3","7184703")</f>
        <v>0</v>
      </c>
      <c r="B9563" t="s">
        <v>2956</v>
      </c>
      <c r="C9563" t="s">
        <v>12864</v>
      </c>
      <c r="D9563" t="s">
        <v>19019</v>
      </c>
      <c r="E9563" t="s">
        <v>27262</v>
      </c>
      <c r="F9563" t="s">
        <v>32606</v>
      </c>
      <c r="G9563" t="s">
        <v>32614</v>
      </c>
      <c r="H9563" t="s">
        <v>14201</v>
      </c>
      <c r="I9563" t="s">
        <v>6478</v>
      </c>
      <c r="J9563" t="s">
        <v>33263</v>
      </c>
      <c r="K9563" t="s">
        <v>42630</v>
      </c>
      <c r="M9563" t="s">
        <v>46140</v>
      </c>
      <c r="N9563" t="s">
        <v>47304</v>
      </c>
      <c r="O9563" t="s">
        <v>47305</v>
      </c>
      <c r="P9563">
        <v>0</v>
      </c>
      <c r="Q9563">
        <v>2</v>
      </c>
      <c r="R9563" t="s">
        <v>47313</v>
      </c>
      <c r="S9563" t="s">
        <v>47535</v>
      </c>
      <c r="T9563" t="s">
        <v>49071</v>
      </c>
      <c r="U9563" t="s">
        <v>57437</v>
      </c>
      <c r="W9563" t="s">
        <v>46140</v>
      </c>
      <c r="X9563" t="s">
        <v>47314</v>
      </c>
    </row>
    <row r="9564" spans="1:24">
      <c r="A9564">
        <f>HYPERLINK("https://www.philgeps.gov.ph/GEPSNONPILOT/Tender/SplashBidNoticeAbstractUI.aspx?menuIndex=3&amp;refID=7184702&amp;Result=3","7184702")</f>
        <v>0</v>
      </c>
      <c r="B9564" t="s">
        <v>651</v>
      </c>
      <c r="C9564" t="s">
        <v>12865</v>
      </c>
      <c r="D9564" t="s">
        <v>19060</v>
      </c>
      <c r="E9564" t="s">
        <v>24228</v>
      </c>
      <c r="F9564" t="s">
        <v>32606</v>
      </c>
      <c r="G9564" t="s">
        <v>32613</v>
      </c>
      <c r="H9564" t="s">
        <v>14201</v>
      </c>
      <c r="I9564" t="s">
        <v>32633</v>
      </c>
      <c r="J9564" t="s">
        <v>38699</v>
      </c>
      <c r="K9564" t="s">
        <v>42631</v>
      </c>
      <c r="M9564" t="s">
        <v>43570</v>
      </c>
      <c r="N9564" t="s">
        <v>47304</v>
      </c>
      <c r="O9564" t="s">
        <v>47305</v>
      </c>
      <c r="P9564">
        <v>0</v>
      </c>
      <c r="Q9564">
        <v>10</v>
      </c>
      <c r="R9564" t="s">
        <v>47313</v>
      </c>
      <c r="S9564" t="s">
        <v>47535</v>
      </c>
      <c r="T9564" t="s">
        <v>49197</v>
      </c>
      <c r="U9564" t="s">
        <v>57438</v>
      </c>
      <c r="W9564" t="s">
        <v>43570</v>
      </c>
      <c r="X9564" t="s">
        <v>47314</v>
      </c>
    </row>
    <row r="9565" spans="1:24">
      <c r="A9565">
        <f>HYPERLINK("https://www.philgeps.gov.ph/GEPSNONPILOT/Tender/SplashBidNoticeAbstractUI.aspx?menuIndex=3&amp;refID=7184694&amp;Result=3","7184694")</f>
        <v>0</v>
      </c>
      <c r="B9565" t="s">
        <v>1383</v>
      </c>
      <c r="C9565" t="s">
        <v>12866</v>
      </c>
      <c r="D9565" t="s">
        <v>19029</v>
      </c>
      <c r="E9565" t="s">
        <v>19120</v>
      </c>
      <c r="F9565" t="s">
        <v>32607</v>
      </c>
      <c r="G9565" t="s">
        <v>32613</v>
      </c>
      <c r="H9565" t="s">
        <v>32623</v>
      </c>
      <c r="I9565" t="s">
        <v>17648</v>
      </c>
      <c r="J9565" t="s">
        <v>38700</v>
      </c>
      <c r="K9565" t="s">
        <v>42648</v>
      </c>
      <c r="M9565" t="s">
        <v>44365</v>
      </c>
      <c r="N9565" t="s">
        <v>47304</v>
      </c>
      <c r="O9565" t="s">
        <v>47305</v>
      </c>
      <c r="P9565">
        <v>0</v>
      </c>
      <c r="Q9565">
        <v>29</v>
      </c>
      <c r="R9565" t="s">
        <v>47313</v>
      </c>
      <c r="S9565" t="s">
        <v>47535</v>
      </c>
      <c r="T9565" t="s">
        <v>49028</v>
      </c>
      <c r="U9565" t="s">
        <v>57439</v>
      </c>
      <c r="W9565" t="s">
        <v>44365</v>
      </c>
      <c r="X9565" t="s">
        <v>47314</v>
      </c>
    </row>
    <row r="9566" spans="1:24">
      <c r="A9566">
        <f>HYPERLINK("https://www.philgeps.gov.ph/GEPSNONPILOT/Tender/SplashBidNoticeAbstractUI.aspx?menuIndex=3&amp;refID=7184687&amp;Result=3","7184687")</f>
        <v>0</v>
      </c>
      <c r="B9566" t="s">
        <v>2562</v>
      </c>
      <c r="C9566" t="s">
        <v>12867</v>
      </c>
      <c r="D9566" t="s">
        <v>19039</v>
      </c>
      <c r="E9566" t="s">
        <v>27263</v>
      </c>
      <c r="F9566" t="s">
        <v>32606</v>
      </c>
      <c r="G9566" t="s">
        <v>32613</v>
      </c>
      <c r="H9566" t="s">
        <v>32623</v>
      </c>
      <c r="I9566" t="s">
        <v>17648</v>
      </c>
      <c r="J9566" t="s">
        <v>38701</v>
      </c>
      <c r="K9566" t="s">
        <v>42829</v>
      </c>
      <c r="M9566" t="s">
        <v>46124</v>
      </c>
      <c r="N9566" t="s">
        <v>47304</v>
      </c>
      <c r="O9566" t="s">
        <v>47305</v>
      </c>
      <c r="P9566">
        <v>0</v>
      </c>
      <c r="Q9566">
        <v>0</v>
      </c>
      <c r="R9566" t="s">
        <v>47313</v>
      </c>
      <c r="S9566" t="s">
        <v>47535</v>
      </c>
      <c r="T9566" t="s">
        <v>49075</v>
      </c>
      <c r="U9566" t="s">
        <v>57440</v>
      </c>
      <c r="W9566" t="s">
        <v>46124</v>
      </c>
      <c r="X9566" t="s">
        <v>47314</v>
      </c>
    </row>
    <row r="9567" spans="1:24">
      <c r="A9567">
        <f>HYPERLINK("https://www.philgeps.gov.ph/GEPSNONPILOT/Tender/SplashBidNoticeAbstractUI.aspx?menuIndex=3&amp;refID=7184723&amp;Result=3","7184723")</f>
        <v>0</v>
      </c>
      <c r="B9567" t="s">
        <v>664</v>
      </c>
      <c r="C9567" t="s">
        <v>12868</v>
      </c>
      <c r="E9567" t="s">
        <v>27264</v>
      </c>
      <c r="F9567" t="s">
        <v>32606</v>
      </c>
      <c r="G9567" t="s">
        <v>32613</v>
      </c>
      <c r="H9567" t="s">
        <v>14201</v>
      </c>
      <c r="I9567" t="s">
        <v>4114</v>
      </c>
      <c r="J9567" t="s">
        <v>38702</v>
      </c>
      <c r="K9567" t="s">
        <v>42624</v>
      </c>
      <c r="M9567" t="s">
        <v>43584</v>
      </c>
      <c r="N9567" t="s">
        <v>47304</v>
      </c>
      <c r="O9567" t="s">
        <v>47305</v>
      </c>
      <c r="P9567">
        <v>0</v>
      </c>
      <c r="Q9567">
        <v>4</v>
      </c>
      <c r="R9567" t="s">
        <v>47313</v>
      </c>
      <c r="S9567" t="s">
        <v>47535</v>
      </c>
      <c r="T9567" t="s">
        <v>49052</v>
      </c>
      <c r="U9567" t="s">
        <v>57441</v>
      </c>
      <c r="W9567" t="s">
        <v>43584</v>
      </c>
      <c r="X9567" t="s">
        <v>47314</v>
      </c>
    </row>
    <row r="9568" spans="1:24">
      <c r="A9568">
        <f>HYPERLINK("https://www.philgeps.gov.ph/GEPSNONPILOT/Tender/SplashBidNoticeAbstractUI.aspx?menuIndex=3&amp;refID=7184706&amp;Result=3","7184706")</f>
        <v>0</v>
      </c>
      <c r="B9568" t="s">
        <v>2695</v>
      </c>
      <c r="C9568" t="s">
        <v>12869</v>
      </c>
      <c r="D9568" t="s">
        <v>18987</v>
      </c>
      <c r="E9568" t="s">
        <v>27265</v>
      </c>
      <c r="F9568" t="s">
        <v>32606</v>
      </c>
      <c r="G9568" t="s">
        <v>32613</v>
      </c>
      <c r="H9568" t="s">
        <v>32623</v>
      </c>
      <c r="I9568" t="s">
        <v>17648</v>
      </c>
      <c r="J9568" t="s">
        <v>38703</v>
      </c>
      <c r="K9568" t="s">
        <v>42648</v>
      </c>
      <c r="M9568" t="s">
        <v>45846</v>
      </c>
      <c r="N9568" t="s">
        <v>47304</v>
      </c>
      <c r="O9568" t="s">
        <v>47305</v>
      </c>
      <c r="P9568">
        <v>0</v>
      </c>
      <c r="Q9568">
        <v>1</v>
      </c>
      <c r="R9568" t="s">
        <v>47313</v>
      </c>
      <c r="S9568" t="s">
        <v>47535</v>
      </c>
      <c r="T9568" t="s">
        <v>49084</v>
      </c>
      <c r="U9568" t="s">
        <v>57442</v>
      </c>
      <c r="V9568" t="s">
        <v>63648</v>
      </c>
      <c r="W9568" t="s">
        <v>45846</v>
      </c>
      <c r="X9568" t="s">
        <v>47314</v>
      </c>
    </row>
    <row r="9569" spans="1:24">
      <c r="A9569">
        <f>HYPERLINK("https://www.philgeps.gov.ph/GEPSNONPILOT/Tender/SplashBidNoticeAbstractUI.aspx?menuIndex=3&amp;refID=7184722&amp;Result=3","7184722")</f>
        <v>0</v>
      </c>
      <c r="B9569" t="s">
        <v>1228</v>
      </c>
      <c r="C9569" t="s">
        <v>12870</v>
      </c>
      <c r="D9569" t="s">
        <v>19048</v>
      </c>
      <c r="E9569" t="s">
        <v>27266</v>
      </c>
      <c r="F9569" t="s">
        <v>32606</v>
      </c>
      <c r="G9569" t="s">
        <v>32613</v>
      </c>
      <c r="H9569" t="s">
        <v>14201</v>
      </c>
      <c r="I9569" t="s">
        <v>9008</v>
      </c>
      <c r="J9569" t="s">
        <v>32923</v>
      </c>
      <c r="K9569" t="s">
        <v>42625</v>
      </c>
      <c r="M9569" t="s">
        <v>44193</v>
      </c>
      <c r="N9569" t="s">
        <v>47304</v>
      </c>
      <c r="O9569" t="s">
        <v>47305</v>
      </c>
      <c r="P9569">
        <v>0</v>
      </c>
      <c r="Q9569">
        <v>3</v>
      </c>
      <c r="R9569" t="s">
        <v>47313</v>
      </c>
      <c r="S9569" t="s">
        <v>47535</v>
      </c>
      <c r="T9569" t="s">
        <v>49254</v>
      </c>
      <c r="U9569" t="s">
        <v>57379</v>
      </c>
      <c r="W9569" t="s">
        <v>44193</v>
      </c>
      <c r="X9569" t="s">
        <v>47314</v>
      </c>
    </row>
    <row r="9570" spans="1:24">
      <c r="A9570">
        <f>HYPERLINK("https://www.philgeps.gov.ph/GEPSNONPILOT/Tender/SplashBidNoticeAbstractUI.aspx?menuIndex=3&amp;refID=7184720&amp;Result=3","7184720")</f>
        <v>0</v>
      </c>
      <c r="B9570" t="s">
        <v>2957</v>
      </c>
      <c r="C9570" t="s">
        <v>12871</v>
      </c>
      <c r="D9570" t="s">
        <v>19024</v>
      </c>
      <c r="E9570" t="s">
        <v>20154</v>
      </c>
      <c r="F9570" t="s">
        <v>32606</v>
      </c>
      <c r="G9570" t="s">
        <v>32613</v>
      </c>
      <c r="H9570" t="s">
        <v>14201</v>
      </c>
      <c r="I9570" t="s">
        <v>6931</v>
      </c>
      <c r="J9570" t="s">
        <v>38704</v>
      </c>
      <c r="K9570" t="s">
        <v>42622</v>
      </c>
      <c r="M9570" t="s">
        <v>46141</v>
      </c>
      <c r="N9570" t="s">
        <v>47304</v>
      </c>
      <c r="O9570" t="s">
        <v>47305</v>
      </c>
      <c r="P9570">
        <v>0</v>
      </c>
      <c r="Q9570">
        <v>0</v>
      </c>
      <c r="R9570" t="s">
        <v>47313</v>
      </c>
      <c r="S9570" t="s">
        <v>47535</v>
      </c>
      <c r="T9570" t="s">
        <v>49071</v>
      </c>
      <c r="U9570" t="s">
        <v>57443</v>
      </c>
      <c r="W9570" t="s">
        <v>46141</v>
      </c>
      <c r="X9570" t="s">
        <v>47314</v>
      </c>
    </row>
    <row r="9571" spans="1:24">
      <c r="A9571">
        <f>HYPERLINK("https://www.philgeps.gov.ph/GEPSNONPILOT/Tender/SplashBidNoticeAbstractUI.aspx?menuIndex=3&amp;refID=7184712&amp;Result=3","7184712")</f>
        <v>0</v>
      </c>
      <c r="B9571" t="s">
        <v>609</v>
      </c>
      <c r="C9571" t="s">
        <v>12872</v>
      </c>
      <c r="D9571" t="s">
        <v>19024</v>
      </c>
      <c r="E9571" t="s">
        <v>27267</v>
      </c>
      <c r="F9571" t="s">
        <v>32606</v>
      </c>
      <c r="G9571" t="s">
        <v>32619</v>
      </c>
      <c r="H9571" t="s">
        <v>14201</v>
      </c>
      <c r="I9571" t="s">
        <v>6993</v>
      </c>
      <c r="J9571" t="s">
        <v>32752</v>
      </c>
      <c r="K9571" t="s">
        <v>42624</v>
      </c>
      <c r="M9571" t="s">
        <v>43526</v>
      </c>
      <c r="N9571" t="s">
        <v>47304</v>
      </c>
      <c r="O9571" t="s">
        <v>47305</v>
      </c>
      <c r="P9571">
        <v>0</v>
      </c>
      <c r="Q9571">
        <v>2</v>
      </c>
      <c r="R9571" t="s">
        <v>47313</v>
      </c>
      <c r="S9571" t="s">
        <v>47535</v>
      </c>
      <c r="T9571" t="s">
        <v>49374</v>
      </c>
      <c r="U9571" t="s">
        <v>57444</v>
      </c>
      <c r="W9571" t="s">
        <v>43526</v>
      </c>
      <c r="X9571" t="s">
        <v>47314</v>
      </c>
    </row>
    <row r="9572" spans="1:24">
      <c r="A9572">
        <f>HYPERLINK("https://www.philgeps.gov.ph/GEPSNONPILOT/Tender/SplashBidNoticeAbstractUI.aspx?menuIndex=3&amp;refID=7184683&amp;Result=3","7184683")</f>
        <v>0</v>
      </c>
      <c r="B9572" t="s">
        <v>2958</v>
      </c>
      <c r="C9572" t="s">
        <v>12873</v>
      </c>
      <c r="D9572" t="s">
        <v>19011</v>
      </c>
      <c r="E9572" t="s">
        <v>27268</v>
      </c>
      <c r="F9572" t="s">
        <v>32606</v>
      </c>
      <c r="G9572" t="s">
        <v>32614</v>
      </c>
      <c r="H9572" t="s">
        <v>14201</v>
      </c>
      <c r="I9572" t="s">
        <v>32640</v>
      </c>
      <c r="J9572" t="s">
        <v>35166</v>
      </c>
      <c r="K9572" t="s">
        <v>42624</v>
      </c>
      <c r="M9572" t="s">
        <v>46142</v>
      </c>
      <c r="N9572" t="s">
        <v>47304</v>
      </c>
      <c r="O9572" t="s">
        <v>47305</v>
      </c>
      <c r="P9572">
        <v>0</v>
      </c>
      <c r="Q9572">
        <v>4</v>
      </c>
      <c r="R9572" t="s">
        <v>47313</v>
      </c>
      <c r="S9572" t="s">
        <v>47535</v>
      </c>
      <c r="T9572" t="s">
        <v>49050</v>
      </c>
      <c r="U9572" t="s">
        <v>57445</v>
      </c>
      <c r="W9572" t="s">
        <v>46142</v>
      </c>
      <c r="X9572" t="s">
        <v>47314</v>
      </c>
    </row>
    <row r="9573" spans="1:24">
      <c r="A9573">
        <f>HYPERLINK("https://www.philgeps.gov.ph/GEPSNONPILOT/Tender/SplashBidNoticeAbstractUI.aspx?menuIndex=3&amp;refID=7184711&amp;Result=3","7184711")</f>
        <v>0</v>
      </c>
      <c r="B9573" t="s">
        <v>552</v>
      </c>
      <c r="C9573" t="s">
        <v>12874</v>
      </c>
      <c r="E9573" t="s">
        <v>21126</v>
      </c>
      <c r="F9573" t="s">
        <v>32606</v>
      </c>
      <c r="G9573" t="s">
        <v>32613</v>
      </c>
      <c r="H9573" t="s">
        <v>32623</v>
      </c>
      <c r="I9573" t="s">
        <v>17648</v>
      </c>
      <c r="J9573" t="s">
        <v>32923</v>
      </c>
      <c r="K9573" t="s">
        <v>42631</v>
      </c>
      <c r="M9573" t="s">
        <v>43467</v>
      </c>
      <c r="N9573" t="s">
        <v>47304</v>
      </c>
      <c r="O9573" t="s">
        <v>47305</v>
      </c>
      <c r="P9573">
        <v>0</v>
      </c>
      <c r="Q9573">
        <v>0</v>
      </c>
      <c r="R9573" t="s">
        <v>47313</v>
      </c>
      <c r="S9573" t="s">
        <v>47535</v>
      </c>
      <c r="T9573" t="s">
        <v>48986</v>
      </c>
      <c r="U9573" t="s">
        <v>57446</v>
      </c>
      <c r="W9573" t="s">
        <v>43467</v>
      </c>
      <c r="X9573" t="s">
        <v>47314</v>
      </c>
    </row>
    <row r="9574" spans="1:24">
      <c r="A9574">
        <f>HYPERLINK("https://www.philgeps.gov.ph/GEPSNONPILOT/Tender/SplashBidNoticeAbstractUI.aspx?menuIndex=3&amp;refID=7184615&amp;Result=3","7184615")</f>
        <v>0</v>
      </c>
      <c r="B9574" t="s">
        <v>2959</v>
      </c>
      <c r="C9574" t="s">
        <v>12875</v>
      </c>
      <c r="D9574" t="s">
        <v>19026</v>
      </c>
      <c r="E9574" t="s">
        <v>27269</v>
      </c>
      <c r="F9574" t="s">
        <v>32606</v>
      </c>
      <c r="G9574" t="s">
        <v>32613</v>
      </c>
      <c r="H9574" t="s">
        <v>14201</v>
      </c>
      <c r="I9574" t="s">
        <v>4121</v>
      </c>
      <c r="J9574" t="s">
        <v>32789</v>
      </c>
      <c r="K9574" t="s">
        <v>42624</v>
      </c>
      <c r="M9574" t="s">
        <v>46143</v>
      </c>
      <c r="N9574" t="s">
        <v>47304</v>
      </c>
      <c r="O9574" t="s">
        <v>47305</v>
      </c>
      <c r="P9574">
        <v>0</v>
      </c>
      <c r="Q9574">
        <v>2</v>
      </c>
      <c r="R9574" t="s">
        <v>47313</v>
      </c>
      <c r="S9574" t="s">
        <v>47535</v>
      </c>
      <c r="T9574" t="s">
        <v>49165</v>
      </c>
      <c r="U9574" t="s">
        <v>57447</v>
      </c>
      <c r="W9574" t="s">
        <v>46143</v>
      </c>
      <c r="X9574" t="s">
        <v>47314</v>
      </c>
    </row>
    <row r="9575" spans="1:24">
      <c r="A9575">
        <f>HYPERLINK("https://www.philgeps.gov.ph/GEPSNONPILOT/Tender/SplashBidNoticeAbstractUI.aspx?menuIndex=3&amp;refID=7184721&amp;Result=3","7184721")</f>
        <v>0</v>
      </c>
      <c r="B9575" t="s">
        <v>2562</v>
      </c>
      <c r="C9575" t="s">
        <v>12876</v>
      </c>
      <c r="D9575" t="s">
        <v>19039</v>
      </c>
      <c r="E9575" t="s">
        <v>27270</v>
      </c>
      <c r="F9575" t="s">
        <v>32606</v>
      </c>
      <c r="G9575" t="s">
        <v>32613</v>
      </c>
      <c r="H9575" t="s">
        <v>32623</v>
      </c>
      <c r="I9575" t="s">
        <v>17648</v>
      </c>
      <c r="J9575" t="s">
        <v>32795</v>
      </c>
      <c r="K9575" t="s">
        <v>42830</v>
      </c>
      <c r="M9575" t="s">
        <v>46124</v>
      </c>
      <c r="N9575" t="s">
        <v>47304</v>
      </c>
      <c r="O9575" t="s">
        <v>47305</v>
      </c>
      <c r="P9575">
        <v>0</v>
      </c>
      <c r="Q9575">
        <v>0</v>
      </c>
      <c r="R9575" t="s">
        <v>47313</v>
      </c>
      <c r="S9575" t="s">
        <v>47535</v>
      </c>
      <c r="T9575" t="s">
        <v>49075</v>
      </c>
      <c r="U9575" t="s">
        <v>57448</v>
      </c>
      <c r="W9575" t="s">
        <v>46124</v>
      </c>
      <c r="X9575" t="s">
        <v>47314</v>
      </c>
    </row>
    <row r="9576" spans="1:24">
      <c r="A9576">
        <f>HYPERLINK("https://www.philgeps.gov.ph/GEPSNONPILOT/Tender/SplashBidNoticeAbstractUI.aspx?menuIndex=3&amp;refID=7184678&amp;Result=3","7184678")</f>
        <v>0</v>
      </c>
      <c r="B9576" t="s">
        <v>2960</v>
      </c>
      <c r="C9576" t="s">
        <v>12877</v>
      </c>
      <c r="D9576" t="s">
        <v>19022</v>
      </c>
      <c r="E9576" t="s">
        <v>21154</v>
      </c>
      <c r="F9576" t="s">
        <v>32606</v>
      </c>
      <c r="G9576" t="s">
        <v>32613</v>
      </c>
      <c r="H9576" t="s">
        <v>14201</v>
      </c>
      <c r="I9576" t="s">
        <v>6931</v>
      </c>
      <c r="J9576" t="s">
        <v>38705</v>
      </c>
      <c r="K9576" t="s">
        <v>42631</v>
      </c>
      <c r="M9576" t="s">
        <v>46144</v>
      </c>
      <c r="N9576" t="s">
        <v>47304</v>
      </c>
      <c r="O9576" t="s">
        <v>47305</v>
      </c>
      <c r="P9576">
        <v>0</v>
      </c>
      <c r="Q9576">
        <v>0</v>
      </c>
      <c r="R9576" t="s">
        <v>47313</v>
      </c>
      <c r="S9576" t="s">
        <v>47535</v>
      </c>
      <c r="T9576" t="s">
        <v>49071</v>
      </c>
      <c r="U9576" t="s">
        <v>57449</v>
      </c>
      <c r="W9576" t="s">
        <v>46144</v>
      </c>
      <c r="X9576" t="s">
        <v>47314</v>
      </c>
    </row>
    <row r="9577" spans="1:24">
      <c r="A9577">
        <f>HYPERLINK("https://www.philgeps.gov.ph/GEPSNONPILOT/Tender/SplashBidNoticeAbstractUI.aspx?menuIndex=3&amp;refID=7184724&amp;Result=3","7184724")</f>
        <v>0</v>
      </c>
      <c r="B9577" t="s">
        <v>1804</v>
      </c>
      <c r="C9577" t="s">
        <v>12878</v>
      </c>
      <c r="D9577" t="s">
        <v>18987</v>
      </c>
      <c r="E9577" t="s">
        <v>27271</v>
      </c>
      <c r="F9577" t="s">
        <v>32606</v>
      </c>
      <c r="G9577" t="s">
        <v>32613</v>
      </c>
      <c r="H9577" t="s">
        <v>32623</v>
      </c>
      <c r="I9577" t="s">
        <v>32659</v>
      </c>
      <c r="J9577" t="s">
        <v>38706</v>
      </c>
      <c r="K9577" t="s">
        <v>42624</v>
      </c>
      <c r="M9577" t="s">
        <v>44845</v>
      </c>
      <c r="N9577" t="s">
        <v>47304</v>
      </c>
      <c r="O9577" t="s">
        <v>47305</v>
      </c>
      <c r="P9577">
        <v>0</v>
      </c>
      <c r="Q9577">
        <v>0</v>
      </c>
      <c r="R9577" t="s">
        <v>47313</v>
      </c>
      <c r="S9577" t="s">
        <v>47535</v>
      </c>
      <c r="T9577" t="s">
        <v>49263</v>
      </c>
      <c r="U9577" t="s">
        <v>57450</v>
      </c>
      <c r="V9577" t="s">
        <v>63107</v>
      </c>
      <c r="W9577" t="s">
        <v>44845</v>
      </c>
      <c r="X9577" t="s">
        <v>47314</v>
      </c>
    </row>
    <row r="9578" spans="1:24">
      <c r="A9578">
        <f>HYPERLINK("https://www.philgeps.gov.ph/GEPSNONPILOT/Tender/SplashBidNoticeAbstractUI.aspx?menuIndex=3&amp;refID=7184771&amp;Result=3","7184771")</f>
        <v>0</v>
      </c>
      <c r="B9578" t="s">
        <v>1383</v>
      </c>
      <c r="C9578" t="s">
        <v>12879</v>
      </c>
      <c r="D9578" t="s">
        <v>19029</v>
      </c>
      <c r="E9578" t="s">
        <v>24942</v>
      </c>
      <c r="F9578" t="s">
        <v>32607</v>
      </c>
      <c r="G9578" t="s">
        <v>32613</v>
      </c>
      <c r="H9578" t="s">
        <v>32623</v>
      </c>
      <c r="I9578" t="s">
        <v>17648</v>
      </c>
      <c r="J9578" t="s">
        <v>38707</v>
      </c>
      <c r="K9578" t="s">
        <v>42648</v>
      </c>
      <c r="M9578" t="s">
        <v>44365</v>
      </c>
      <c r="N9578" t="s">
        <v>47304</v>
      </c>
      <c r="O9578" t="s">
        <v>47305</v>
      </c>
      <c r="P9578">
        <v>0</v>
      </c>
      <c r="Q9578">
        <v>29</v>
      </c>
      <c r="R9578" t="s">
        <v>47313</v>
      </c>
      <c r="S9578" t="s">
        <v>47535</v>
      </c>
      <c r="T9578" t="s">
        <v>49028</v>
      </c>
      <c r="U9578" t="s">
        <v>57451</v>
      </c>
      <c r="W9578" t="s">
        <v>44365</v>
      </c>
      <c r="X9578" t="s">
        <v>47314</v>
      </c>
    </row>
    <row r="9579" spans="1:24">
      <c r="A9579">
        <f>HYPERLINK("https://www.philgeps.gov.ph/GEPSNONPILOT/Tender/SplashBidNoticeAbstractUI.aspx?menuIndex=3&amp;refID=7184769&amp;Result=3","7184769")</f>
        <v>0</v>
      </c>
      <c r="B9579" t="s">
        <v>2961</v>
      </c>
      <c r="C9579" t="s">
        <v>12880</v>
      </c>
      <c r="D9579" t="s">
        <v>18986</v>
      </c>
      <c r="E9579" t="s">
        <v>27272</v>
      </c>
      <c r="F9579" t="s">
        <v>32606</v>
      </c>
      <c r="G9579" t="s">
        <v>32613</v>
      </c>
      <c r="H9579" t="s">
        <v>32623</v>
      </c>
      <c r="I9579" t="s">
        <v>17648</v>
      </c>
      <c r="J9579" t="s">
        <v>32795</v>
      </c>
      <c r="K9579" t="s">
        <v>42648</v>
      </c>
      <c r="M9579" t="s">
        <v>46145</v>
      </c>
      <c r="N9579" t="s">
        <v>47304</v>
      </c>
      <c r="O9579" t="s">
        <v>47305</v>
      </c>
      <c r="P9579">
        <v>0</v>
      </c>
      <c r="Q9579">
        <v>0</v>
      </c>
      <c r="R9579" t="s">
        <v>47313</v>
      </c>
      <c r="S9579" t="s">
        <v>47535</v>
      </c>
      <c r="T9579" t="s">
        <v>49246</v>
      </c>
      <c r="U9579" t="s">
        <v>57452</v>
      </c>
      <c r="W9579" t="s">
        <v>46145</v>
      </c>
      <c r="X9579" t="s">
        <v>47314</v>
      </c>
    </row>
    <row r="9580" spans="1:24">
      <c r="A9580">
        <f>HYPERLINK("https://www.philgeps.gov.ph/GEPSNONPILOT/Tender/SplashBidNoticeAbstractUI.aspx?menuIndex=3&amp;refID=7184765&amp;Result=3","7184765")</f>
        <v>0</v>
      </c>
      <c r="B9580" t="s">
        <v>2017</v>
      </c>
      <c r="C9580" t="s">
        <v>12881</v>
      </c>
      <c r="D9580" t="s">
        <v>19023</v>
      </c>
      <c r="E9580" t="s">
        <v>27273</v>
      </c>
      <c r="F9580" t="s">
        <v>32606</v>
      </c>
      <c r="G9580" t="s">
        <v>32613</v>
      </c>
      <c r="H9580" t="s">
        <v>14201</v>
      </c>
      <c r="I9580" t="s">
        <v>6298</v>
      </c>
      <c r="J9580" t="s">
        <v>38708</v>
      </c>
      <c r="K9580" t="s">
        <v>42638</v>
      </c>
      <c r="M9580" t="s">
        <v>45090</v>
      </c>
      <c r="N9580" t="s">
        <v>47304</v>
      </c>
      <c r="O9580" t="s">
        <v>47305</v>
      </c>
      <c r="P9580">
        <v>0</v>
      </c>
      <c r="Q9580">
        <v>2</v>
      </c>
      <c r="R9580" t="s">
        <v>47313</v>
      </c>
      <c r="S9580" t="s">
        <v>47535</v>
      </c>
      <c r="T9580" t="s">
        <v>49419</v>
      </c>
      <c r="U9580" t="s">
        <v>57453</v>
      </c>
      <c r="V9580" t="s">
        <v>63225</v>
      </c>
      <c r="W9580" t="s">
        <v>45090</v>
      </c>
      <c r="X9580" t="s">
        <v>47314</v>
      </c>
    </row>
    <row r="9581" spans="1:24">
      <c r="A9581">
        <f>HYPERLINK("https://www.philgeps.gov.ph/GEPSNONPILOT/Tender/SplashBidNoticeAbstractUI.aspx?menuIndex=3&amp;refID=7184764&amp;Result=3","7184764")</f>
        <v>0</v>
      </c>
      <c r="B9581" t="s">
        <v>2962</v>
      </c>
      <c r="C9581" t="s">
        <v>12882</v>
      </c>
      <c r="D9581" t="s">
        <v>19006</v>
      </c>
      <c r="E9581" t="s">
        <v>27274</v>
      </c>
      <c r="F9581" t="s">
        <v>32606</v>
      </c>
      <c r="G9581" t="s">
        <v>32614</v>
      </c>
      <c r="H9581" t="s">
        <v>14201</v>
      </c>
      <c r="I9581" t="s">
        <v>32631</v>
      </c>
      <c r="J9581" t="s">
        <v>36126</v>
      </c>
      <c r="K9581" t="s">
        <v>42624</v>
      </c>
      <c r="M9581" t="s">
        <v>46146</v>
      </c>
      <c r="N9581" t="s">
        <v>47304</v>
      </c>
      <c r="O9581" t="s">
        <v>47305</v>
      </c>
      <c r="P9581">
        <v>0</v>
      </c>
      <c r="Q9581">
        <v>2</v>
      </c>
      <c r="R9581" t="s">
        <v>47313</v>
      </c>
      <c r="S9581" t="s">
        <v>47535</v>
      </c>
      <c r="T9581" t="s">
        <v>49020</v>
      </c>
      <c r="U9581" t="s">
        <v>57454</v>
      </c>
      <c r="W9581" t="s">
        <v>46146</v>
      </c>
      <c r="X9581" t="s">
        <v>47314</v>
      </c>
    </row>
    <row r="9582" spans="1:24">
      <c r="A9582">
        <f>HYPERLINK("https://www.philgeps.gov.ph/GEPSNONPILOT/Tender/SplashBidNoticeAbstractUI.aspx?menuIndex=3&amp;refID=7184791&amp;Result=3","7184791")</f>
        <v>0</v>
      </c>
      <c r="B9582" t="s">
        <v>1228</v>
      </c>
      <c r="C9582" t="s">
        <v>12858</v>
      </c>
      <c r="D9582" t="s">
        <v>19048</v>
      </c>
      <c r="E9582" t="s">
        <v>27275</v>
      </c>
      <c r="F9582" t="s">
        <v>32606</v>
      </c>
      <c r="G9582" t="s">
        <v>32613</v>
      </c>
      <c r="H9582" t="s">
        <v>14201</v>
      </c>
      <c r="I9582" t="s">
        <v>4678</v>
      </c>
      <c r="J9582" t="s">
        <v>38709</v>
      </c>
      <c r="K9582" t="s">
        <v>42632</v>
      </c>
      <c r="M9582" t="s">
        <v>44193</v>
      </c>
      <c r="N9582" t="s">
        <v>47304</v>
      </c>
      <c r="O9582" t="s">
        <v>47305</v>
      </c>
      <c r="P9582">
        <v>0</v>
      </c>
      <c r="Q9582">
        <v>2</v>
      </c>
      <c r="R9582" t="s">
        <v>47313</v>
      </c>
      <c r="S9582" t="s">
        <v>47535</v>
      </c>
      <c r="T9582" t="s">
        <v>49254</v>
      </c>
      <c r="U9582" t="s">
        <v>57422</v>
      </c>
      <c r="W9582" t="s">
        <v>44193</v>
      </c>
      <c r="X9582" t="s">
        <v>47314</v>
      </c>
    </row>
    <row r="9583" spans="1:24">
      <c r="A9583">
        <f>HYPERLINK("https://www.philgeps.gov.ph/GEPSNONPILOT/Tender/SplashBidNoticeAbstractUI.aspx?menuIndex=3&amp;refID=7184790&amp;Result=3","7184790")</f>
        <v>0</v>
      </c>
      <c r="B9583" t="s">
        <v>2961</v>
      </c>
      <c r="C9583" t="s">
        <v>12883</v>
      </c>
      <c r="D9583" t="s">
        <v>18986</v>
      </c>
      <c r="E9583" t="s">
        <v>27276</v>
      </c>
      <c r="F9583" t="s">
        <v>32606</v>
      </c>
      <c r="G9583" t="s">
        <v>32613</v>
      </c>
      <c r="H9583" t="s">
        <v>32623</v>
      </c>
      <c r="I9583" t="s">
        <v>17648</v>
      </c>
      <c r="J9583" t="s">
        <v>32759</v>
      </c>
      <c r="K9583" t="s">
        <v>42694</v>
      </c>
      <c r="M9583" t="s">
        <v>46145</v>
      </c>
      <c r="N9583" t="s">
        <v>47304</v>
      </c>
      <c r="O9583" t="s">
        <v>47305</v>
      </c>
      <c r="P9583">
        <v>0</v>
      </c>
      <c r="Q9583">
        <v>0</v>
      </c>
      <c r="R9583" t="s">
        <v>47313</v>
      </c>
      <c r="S9583" t="s">
        <v>47535</v>
      </c>
      <c r="T9583" t="s">
        <v>49134</v>
      </c>
      <c r="U9583" t="s">
        <v>57455</v>
      </c>
      <c r="W9583" t="s">
        <v>46145</v>
      </c>
      <c r="X9583" t="s">
        <v>47314</v>
      </c>
    </row>
    <row r="9584" spans="1:24">
      <c r="A9584">
        <f>HYPERLINK("https://www.philgeps.gov.ph/GEPSNONPILOT/Tender/SplashBidNoticeAbstractUI.aspx?menuIndex=3&amp;refID=7184786&amp;Result=3","7184786")</f>
        <v>0</v>
      </c>
      <c r="B9584" t="s">
        <v>2695</v>
      </c>
      <c r="C9584" t="s">
        <v>12884</v>
      </c>
      <c r="D9584" t="s">
        <v>18987</v>
      </c>
      <c r="E9584" t="s">
        <v>27277</v>
      </c>
      <c r="F9584" t="s">
        <v>32606</v>
      </c>
      <c r="G9584" t="s">
        <v>32613</v>
      </c>
      <c r="H9584" t="s">
        <v>32623</v>
      </c>
      <c r="I9584" t="s">
        <v>17648</v>
      </c>
      <c r="J9584" t="s">
        <v>38710</v>
      </c>
      <c r="K9584" t="s">
        <v>42719</v>
      </c>
      <c r="M9584" t="s">
        <v>45846</v>
      </c>
      <c r="N9584" t="s">
        <v>47304</v>
      </c>
      <c r="O9584" t="s">
        <v>47305</v>
      </c>
      <c r="P9584">
        <v>0</v>
      </c>
      <c r="Q9584">
        <v>0</v>
      </c>
      <c r="R9584" t="s">
        <v>47313</v>
      </c>
      <c r="S9584" t="s">
        <v>47535</v>
      </c>
      <c r="T9584" t="s">
        <v>49084</v>
      </c>
      <c r="U9584" t="s">
        <v>57456</v>
      </c>
      <c r="V9584" t="s">
        <v>63648</v>
      </c>
      <c r="W9584" t="s">
        <v>45846</v>
      </c>
      <c r="X9584" t="s">
        <v>47314</v>
      </c>
    </row>
    <row r="9585" spans="1:24">
      <c r="A9585">
        <f>HYPERLINK("https://www.philgeps.gov.ph/GEPSNONPILOT/Tender/SplashBidNoticeAbstractUI.aspx?menuIndex=3&amp;refID=7184778&amp;Result=3","7184778")</f>
        <v>0</v>
      </c>
      <c r="B9585" t="s">
        <v>496</v>
      </c>
      <c r="C9585" t="s">
        <v>12885</v>
      </c>
      <c r="E9585" t="s">
        <v>27278</v>
      </c>
      <c r="F9585" t="s">
        <v>32606</v>
      </c>
      <c r="G9585" t="s">
        <v>32614</v>
      </c>
      <c r="H9585" t="s">
        <v>14201</v>
      </c>
      <c r="I9585" t="s">
        <v>32654</v>
      </c>
      <c r="J9585" t="s">
        <v>33764</v>
      </c>
      <c r="K9585" t="s">
        <v>42631</v>
      </c>
      <c r="M9585" t="s">
        <v>45233</v>
      </c>
      <c r="N9585" t="s">
        <v>47304</v>
      </c>
      <c r="O9585" t="s">
        <v>47305</v>
      </c>
      <c r="P9585">
        <v>0</v>
      </c>
      <c r="Q9585">
        <v>0</v>
      </c>
      <c r="R9585" t="s">
        <v>47313</v>
      </c>
      <c r="S9585" t="s">
        <v>47535</v>
      </c>
      <c r="T9585" t="s">
        <v>48997</v>
      </c>
      <c r="U9585" t="s">
        <v>57457</v>
      </c>
      <c r="W9585" t="s">
        <v>64494</v>
      </c>
      <c r="X9585" t="s">
        <v>47314</v>
      </c>
    </row>
    <row r="9586" spans="1:24">
      <c r="A9586">
        <f>HYPERLINK("https://www.philgeps.gov.ph/GEPSNONPILOT/Tender/SplashBidNoticeAbstractUI.aspx?menuIndex=3&amp;refID=7184718&amp;Result=3","7184718")</f>
        <v>0</v>
      </c>
      <c r="B9586" t="s">
        <v>257</v>
      </c>
      <c r="C9586" t="s">
        <v>12886</v>
      </c>
      <c r="D9586" t="s">
        <v>19019</v>
      </c>
      <c r="E9586" t="s">
        <v>27279</v>
      </c>
      <c r="F9586" t="s">
        <v>32606</v>
      </c>
      <c r="G9586" t="s">
        <v>32613</v>
      </c>
      <c r="H9586" t="s">
        <v>14201</v>
      </c>
      <c r="I9586" t="s">
        <v>6478</v>
      </c>
      <c r="J9586" t="s">
        <v>34584</v>
      </c>
      <c r="K9586" t="s">
        <v>42627</v>
      </c>
      <c r="M9586" t="s">
        <v>43158</v>
      </c>
      <c r="N9586" t="s">
        <v>47304</v>
      </c>
      <c r="O9586" t="s">
        <v>47305</v>
      </c>
      <c r="P9586">
        <v>0</v>
      </c>
      <c r="Q9586">
        <v>7</v>
      </c>
      <c r="R9586" t="s">
        <v>47313</v>
      </c>
      <c r="S9586" t="s">
        <v>47535</v>
      </c>
      <c r="T9586" t="s">
        <v>49140</v>
      </c>
      <c r="U9586" t="s">
        <v>57458</v>
      </c>
      <c r="W9586" t="s">
        <v>43158</v>
      </c>
      <c r="X9586" t="s">
        <v>47314</v>
      </c>
    </row>
    <row r="9587" spans="1:24">
      <c r="A9587">
        <f>HYPERLINK("https://www.philgeps.gov.ph/GEPSNONPILOT/Tender/SplashBidNoticeAbstractUI.aspx?menuIndex=3&amp;refID=7184763&amp;Result=3","7184763")</f>
        <v>0</v>
      </c>
      <c r="B9587" t="s">
        <v>1529</v>
      </c>
      <c r="C9587" t="s">
        <v>12887</v>
      </c>
      <c r="D9587" t="s">
        <v>18993</v>
      </c>
      <c r="E9587" t="s">
        <v>27280</v>
      </c>
      <c r="F9587" t="s">
        <v>32606</v>
      </c>
      <c r="G9587" t="s">
        <v>32614</v>
      </c>
      <c r="H9587" t="s">
        <v>14201</v>
      </c>
      <c r="I9587" t="s">
        <v>32640</v>
      </c>
      <c r="J9587" t="s">
        <v>38711</v>
      </c>
      <c r="K9587" t="s">
        <v>42623</v>
      </c>
      <c r="M9587" t="s">
        <v>44532</v>
      </c>
      <c r="N9587" t="s">
        <v>47304</v>
      </c>
      <c r="O9587" t="s">
        <v>47305</v>
      </c>
      <c r="P9587">
        <v>0</v>
      </c>
      <c r="Q9587">
        <v>10</v>
      </c>
      <c r="R9587" t="s">
        <v>47313</v>
      </c>
      <c r="S9587" t="s">
        <v>47535</v>
      </c>
      <c r="T9587" t="s">
        <v>49014</v>
      </c>
      <c r="U9587" t="s">
        <v>52911</v>
      </c>
      <c r="W9587" t="s">
        <v>44532</v>
      </c>
      <c r="X9587" t="s">
        <v>47314</v>
      </c>
    </row>
    <row r="9588" spans="1:24">
      <c r="A9588">
        <f>HYPERLINK("https://www.philgeps.gov.ph/GEPSNONPILOT/Tender/SplashBidNoticeAbstractUI.aspx?menuIndex=3&amp;refID=7184750&amp;Result=3","7184750")</f>
        <v>0</v>
      </c>
      <c r="B9588" t="s">
        <v>889</v>
      </c>
      <c r="C9588" t="s">
        <v>12888</v>
      </c>
      <c r="D9588" t="s">
        <v>18997</v>
      </c>
      <c r="E9588" t="s">
        <v>27281</v>
      </c>
      <c r="F9588" t="s">
        <v>32606</v>
      </c>
      <c r="G9588" t="s">
        <v>32613</v>
      </c>
      <c r="H9588" t="s">
        <v>14201</v>
      </c>
      <c r="I9588" t="s">
        <v>32663</v>
      </c>
      <c r="J9588" t="s">
        <v>32981</v>
      </c>
      <c r="K9588" t="s">
        <v>42631</v>
      </c>
      <c r="L9588" t="s">
        <v>889</v>
      </c>
      <c r="M9588" t="s">
        <v>43825</v>
      </c>
      <c r="N9588" t="s">
        <v>47304</v>
      </c>
      <c r="O9588" t="s">
        <v>47305</v>
      </c>
      <c r="P9588">
        <v>0</v>
      </c>
      <c r="Q9588">
        <v>0</v>
      </c>
      <c r="R9588" t="s">
        <v>47313</v>
      </c>
      <c r="S9588" t="s">
        <v>47535</v>
      </c>
      <c r="T9588" t="s">
        <v>49023</v>
      </c>
      <c r="U9588" t="s">
        <v>57459</v>
      </c>
      <c r="V9588" t="s">
        <v>62853</v>
      </c>
      <c r="W9588" t="s">
        <v>43825</v>
      </c>
      <c r="X9588" t="s">
        <v>47314</v>
      </c>
    </row>
    <row r="9589" spans="1:24">
      <c r="A9589">
        <f>HYPERLINK("https://www.philgeps.gov.ph/GEPSNONPILOT/Tender/SplashBidNoticeAbstractUI.aspx?menuIndex=3&amp;refID=7184749&amp;Result=3","7184749")</f>
        <v>0</v>
      </c>
      <c r="B9589" t="s">
        <v>1854</v>
      </c>
      <c r="C9589" t="s">
        <v>12889</v>
      </c>
      <c r="D9589" t="s">
        <v>19034</v>
      </c>
      <c r="E9589" t="s">
        <v>27282</v>
      </c>
      <c r="F9589" t="s">
        <v>32606</v>
      </c>
      <c r="G9589" t="s">
        <v>32613</v>
      </c>
      <c r="H9589" t="s">
        <v>14201</v>
      </c>
      <c r="I9589" t="s">
        <v>32629</v>
      </c>
      <c r="J9589" t="s">
        <v>38712</v>
      </c>
      <c r="K9589" t="s">
        <v>42623</v>
      </c>
      <c r="M9589" t="s">
        <v>44908</v>
      </c>
      <c r="N9589" t="s">
        <v>47304</v>
      </c>
      <c r="O9589" t="s">
        <v>47305</v>
      </c>
      <c r="P9589">
        <v>0</v>
      </c>
      <c r="Q9589">
        <v>1</v>
      </c>
      <c r="R9589" t="s">
        <v>47313</v>
      </c>
      <c r="S9589" t="s">
        <v>47535</v>
      </c>
      <c r="T9589" t="s">
        <v>49075</v>
      </c>
      <c r="U9589" t="s">
        <v>57460</v>
      </c>
      <c r="W9589" t="s">
        <v>44908</v>
      </c>
      <c r="X9589" t="s">
        <v>47314</v>
      </c>
    </row>
    <row r="9590" spans="1:24">
      <c r="A9590">
        <f>HYPERLINK("https://www.philgeps.gov.ph/GEPSNONPILOT/Tender/SplashBidNoticeAbstractUI.aspx?menuIndex=3&amp;refID=7184747&amp;Result=3","7184747")</f>
        <v>0</v>
      </c>
      <c r="B9590" t="s">
        <v>2962</v>
      </c>
      <c r="C9590" t="s">
        <v>12890</v>
      </c>
      <c r="D9590" t="s">
        <v>19006</v>
      </c>
      <c r="E9590" t="s">
        <v>27283</v>
      </c>
      <c r="F9590" t="s">
        <v>32606</v>
      </c>
      <c r="G9590" t="s">
        <v>32614</v>
      </c>
      <c r="H9590" t="s">
        <v>14201</v>
      </c>
      <c r="I9590" t="s">
        <v>32631</v>
      </c>
      <c r="J9590" t="s">
        <v>32963</v>
      </c>
      <c r="K9590" t="s">
        <v>42624</v>
      </c>
      <c r="M9590" t="s">
        <v>46146</v>
      </c>
      <c r="N9590" t="s">
        <v>47304</v>
      </c>
      <c r="O9590" t="s">
        <v>47305</v>
      </c>
      <c r="P9590">
        <v>0</v>
      </c>
      <c r="Q9590">
        <v>2</v>
      </c>
      <c r="R9590" t="s">
        <v>47313</v>
      </c>
      <c r="S9590" t="s">
        <v>47535</v>
      </c>
      <c r="T9590" t="s">
        <v>49020</v>
      </c>
      <c r="U9590" t="s">
        <v>57454</v>
      </c>
      <c r="W9590" t="s">
        <v>46146</v>
      </c>
      <c r="X9590" t="s">
        <v>47314</v>
      </c>
    </row>
    <row r="9591" spans="1:24">
      <c r="A9591">
        <f>HYPERLINK("https://www.philgeps.gov.ph/GEPSNONPILOT/Tender/SplashBidNoticeAbstractUI.aspx?menuIndex=3&amp;refID=7184681&amp;Result=3","7184681")</f>
        <v>0</v>
      </c>
      <c r="B9591" t="s">
        <v>186</v>
      </c>
      <c r="C9591" t="s">
        <v>12891</v>
      </c>
      <c r="E9591" t="s">
        <v>27284</v>
      </c>
      <c r="F9591" t="s">
        <v>32606</v>
      </c>
      <c r="G9591" t="s">
        <v>32613</v>
      </c>
      <c r="H9591" t="s">
        <v>14201</v>
      </c>
      <c r="I9591" t="s">
        <v>7677</v>
      </c>
      <c r="J9591" t="s">
        <v>38713</v>
      </c>
      <c r="K9591" t="s">
        <v>42624</v>
      </c>
      <c r="M9591" t="s">
        <v>46147</v>
      </c>
      <c r="N9591" t="s">
        <v>47304</v>
      </c>
      <c r="O9591" t="s">
        <v>47305</v>
      </c>
      <c r="P9591">
        <v>0</v>
      </c>
      <c r="Q9591">
        <v>17</v>
      </c>
      <c r="R9591" t="s">
        <v>47313</v>
      </c>
      <c r="S9591" t="s">
        <v>47535</v>
      </c>
      <c r="T9591" t="s">
        <v>49140</v>
      </c>
      <c r="U9591" t="s">
        <v>57461</v>
      </c>
      <c r="W9591" t="s">
        <v>64524</v>
      </c>
      <c r="X9591" t="s">
        <v>47314</v>
      </c>
    </row>
    <row r="9592" spans="1:24">
      <c r="A9592">
        <f>HYPERLINK("https://www.philgeps.gov.ph/GEPSNONPILOT/Tender/SplashBidNoticeAbstractUI.aspx?menuIndex=3&amp;refID=7184740&amp;Result=3","7184740")</f>
        <v>0</v>
      </c>
      <c r="B9592" t="s">
        <v>651</v>
      </c>
      <c r="C9592" t="s">
        <v>12892</v>
      </c>
      <c r="D9592" t="s">
        <v>19060</v>
      </c>
      <c r="E9592" t="s">
        <v>24220</v>
      </c>
      <c r="F9592" t="s">
        <v>32606</v>
      </c>
      <c r="G9592" t="s">
        <v>32613</v>
      </c>
      <c r="H9592" t="s">
        <v>14201</v>
      </c>
      <c r="I9592" t="s">
        <v>32640</v>
      </c>
      <c r="J9592" t="s">
        <v>38714</v>
      </c>
      <c r="K9592" t="s">
        <v>42631</v>
      </c>
      <c r="M9592" t="s">
        <v>43570</v>
      </c>
      <c r="N9592" t="s">
        <v>47304</v>
      </c>
      <c r="O9592" t="s">
        <v>47305</v>
      </c>
      <c r="P9592">
        <v>0</v>
      </c>
      <c r="Q9592">
        <v>5</v>
      </c>
      <c r="R9592" t="s">
        <v>47313</v>
      </c>
      <c r="S9592" t="s">
        <v>47535</v>
      </c>
      <c r="T9592" t="s">
        <v>49197</v>
      </c>
      <c r="U9592" t="s">
        <v>57462</v>
      </c>
      <c r="W9592" t="s">
        <v>43570</v>
      </c>
      <c r="X9592" t="s">
        <v>47314</v>
      </c>
    </row>
    <row r="9593" spans="1:24">
      <c r="A9593">
        <f>HYPERLINK("https://www.philgeps.gov.ph/GEPSNONPILOT/Tender/SplashBidNoticeAbstractUI.aspx?menuIndex=3&amp;refID=7184730&amp;Result=3","7184730")</f>
        <v>0</v>
      </c>
      <c r="B9593" t="s">
        <v>1383</v>
      </c>
      <c r="C9593" t="s">
        <v>12893</v>
      </c>
      <c r="D9593" t="s">
        <v>19029</v>
      </c>
      <c r="E9593" t="s">
        <v>19326</v>
      </c>
      <c r="F9593" t="s">
        <v>32607</v>
      </c>
      <c r="G9593" t="s">
        <v>32613</v>
      </c>
      <c r="H9593" t="s">
        <v>32623</v>
      </c>
      <c r="I9593" t="s">
        <v>17648</v>
      </c>
      <c r="J9593" t="s">
        <v>38715</v>
      </c>
      <c r="K9593" t="s">
        <v>42648</v>
      </c>
      <c r="M9593" t="s">
        <v>44365</v>
      </c>
      <c r="N9593" t="s">
        <v>47304</v>
      </c>
      <c r="O9593" t="s">
        <v>47305</v>
      </c>
      <c r="P9593">
        <v>0</v>
      </c>
      <c r="Q9593">
        <v>29</v>
      </c>
      <c r="R9593" t="s">
        <v>47313</v>
      </c>
      <c r="S9593" t="s">
        <v>47535</v>
      </c>
      <c r="T9593" t="s">
        <v>49028</v>
      </c>
      <c r="U9593" t="s">
        <v>57463</v>
      </c>
      <c r="W9593" t="s">
        <v>44365</v>
      </c>
      <c r="X9593" t="s">
        <v>47314</v>
      </c>
    </row>
    <row r="9594" spans="1:24">
      <c r="A9594">
        <f>HYPERLINK("https://www.philgeps.gov.ph/GEPSNONPILOT/Tender/SplashBidNoticeAbstractUI.aspx?menuIndex=3&amp;refID=7184777&amp;Result=3","7184777")</f>
        <v>0</v>
      </c>
      <c r="B9594" t="s">
        <v>2943</v>
      </c>
      <c r="C9594" t="s">
        <v>12894</v>
      </c>
      <c r="E9594" t="s">
        <v>27285</v>
      </c>
      <c r="F9594" t="s">
        <v>32606</v>
      </c>
      <c r="G9594" t="s">
        <v>32613</v>
      </c>
      <c r="H9594" t="s">
        <v>14201</v>
      </c>
      <c r="I9594" t="s">
        <v>4114</v>
      </c>
      <c r="J9594" t="s">
        <v>38716</v>
      </c>
      <c r="K9594" t="s">
        <v>42625</v>
      </c>
      <c r="M9594" t="s">
        <v>46125</v>
      </c>
      <c r="N9594" t="s">
        <v>47304</v>
      </c>
      <c r="O9594" t="s">
        <v>47305</v>
      </c>
      <c r="P9594">
        <v>0</v>
      </c>
      <c r="Q9594">
        <v>0</v>
      </c>
      <c r="R9594" t="s">
        <v>47313</v>
      </c>
      <c r="S9594" t="s">
        <v>47535</v>
      </c>
      <c r="T9594" t="s">
        <v>49334</v>
      </c>
      <c r="U9594" t="s">
        <v>57464</v>
      </c>
      <c r="W9594" t="s">
        <v>46125</v>
      </c>
      <c r="X9594" t="s">
        <v>47314</v>
      </c>
    </row>
    <row r="9595" spans="1:24">
      <c r="A9595">
        <f>HYPERLINK("https://www.philgeps.gov.ph/GEPSNONPILOT/Tender/SplashBidNoticeAbstractUI.aspx?menuIndex=3&amp;refID=7184828&amp;Result=3","7184828")</f>
        <v>0</v>
      </c>
      <c r="B9595" t="s">
        <v>2963</v>
      </c>
      <c r="C9595" t="s">
        <v>12895</v>
      </c>
      <c r="D9595" t="s">
        <v>19023</v>
      </c>
      <c r="E9595" t="s">
        <v>27286</v>
      </c>
      <c r="F9595" t="s">
        <v>32606</v>
      </c>
      <c r="G9595" t="s">
        <v>32613</v>
      </c>
      <c r="H9595" t="s">
        <v>32623</v>
      </c>
      <c r="I9595" t="s">
        <v>17648</v>
      </c>
      <c r="J9595" t="s">
        <v>37581</v>
      </c>
      <c r="K9595" t="s">
        <v>42712</v>
      </c>
      <c r="M9595" t="s">
        <v>46148</v>
      </c>
      <c r="N9595" t="s">
        <v>47304</v>
      </c>
      <c r="O9595" t="s">
        <v>47305</v>
      </c>
      <c r="P9595">
        <v>0</v>
      </c>
      <c r="Q9595">
        <v>7</v>
      </c>
      <c r="R9595" t="s">
        <v>47313</v>
      </c>
      <c r="S9595" t="s">
        <v>47535</v>
      </c>
      <c r="T9595" t="s">
        <v>49075</v>
      </c>
      <c r="U9595" t="s">
        <v>57465</v>
      </c>
      <c r="V9595" t="s">
        <v>63649</v>
      </c>
      <c r="W9595" t="s">
        <v>46148</v>
      </c>
      <c r="X9595" t="s">
        <v>47314</v>
      </c>
    </row>
    <row r="9596" spans="1:24">
      <c r="A9596">
        <f>HYPERLINK("https://www.philgeps.gov.ph/GEPSNONPILOT/Tender/SplashBidNoticeAbstractUI.aspx?menuIndex=3&amp;refID=7184619&amp;Result=3","7184619")</f>
        <v>0</v>
      </c>
      <c r="B9596" t="s">
        <v>440</v>
      </c>
      <c r="C9596" t="s">
        <v>12896</v>
      </c>
      <c r="D9596" t="s">
        <v>19049</v>
      </c>
      <c r="E9596" t="s">
        <v>27287</v>
      </c>
      <c r="F9596" t="s">
        <v>32606</v>
      </c>
      <c r="G9596" t="s">
        <v>32614</v>
      </c>
      <c r="H9596" t="s">
        <v>32624</v>
      </c>
      <c r="I9596" t="s">
        <v>32686</v>
      </c>
      <c r="J9596" t="s">
        <v>38717</v>
      </c>
      <c r="K9596" t="s">
        <v>42631</v>
      </c>
      <c r="M9596" t="s">
        <v>43347</v>
      </c>
      <c r="N9596" t="s">
        <v>47304</v>
      </c>
      <c r="O9596" t="s">
        <v>47305</v>
      </c>
      <c r="P9596">
        <v>0</v>
      </c>
      <c r="Q9596">
        <v>1</v>
      </c>
      <c r="R9596" t="s">
        <v>47313</v>
      </c>
      <c r="S9596" t="s">
        <v>47535</v>
      </c>
      <c r="T9596" t="s">
        <v>49175</v>
      </c>
      <c r="U9596" t="s">
        <v>57466</v>
      </c>
      <c r="W9596" t="s">
        <v>43347</v>
      </c>
      <c r="X9596" t="s">
        <v>47314</v>
      </c>
    </row>
    <row r="9597" spans="1:24">
      <c r="A9597">
        <f>HYPERLINK("https://www.philgeps.gov.ph/GEPSNONPILOT/Tender/SplashBidNoticeAbstractUI.aspx?menuIndex=3&amp;refID=7184867&amp;Result=3","7184867")</f>
        <v>0</v>
      </c>
      <c r="B9597" t="s">
        <v>273</v>
      </c>
      <c r="C9597" t="s">
        <v>12897</v>
      </c>
      <c r="D9597" t="s">
        <v>19037</v>
      </c>
      <c r="E9597" t="s">
        <v>27288</v>
      </c>
      <c r="F9597" t="s">
        <v>32606</v>
      </c>
      <c r="G9597" t="s">
        <v>32614</v>
      </c>
      <c r="H9597" t="s">
        <v>14201</v>
      </c>
      <c r="I9597" t="s">
        <v>4678</v>
      </c>
      <c r="J9597" t="s">
        <v>34102</v>
      </c>
      <c r="K9597" t="s">
        <v>42630</v>
      </c>
      <c r="M9597" t="s">
        <v>43174</v>
      </c>
      <c r="N9597" t="s">
        <v>47304</v>
      </c>
      <c r="O9597" t="s">
        <v>47305</v>
      </c>
      <c r="P9597">
        <v>0</v>
      </c>
      <c r="Q9597">
        <v>2</v>
      </c>
      <c r="R9597" t="s">
        <v>47313</v>
      </c>
      <c r="S9597" t="s">
        <v>47535</v>
      </c>
      <c r="T9597" t="s">
        <v>49020</v>
      </c>
      <c r="U9597" t="s">
        <v>50011</v>
      </c>
      <c r="W9597" t="s">
        <v>43174</v>
      </c>
      <c r="X9597" t="s">
        <v>47314</v>
      </c>
    </row>
    <row r="9598" spans="1:24">
      <c r="A9598">
        <f>HYPERLINK("https://www.philgeps.gov.ph/GEPSNONPILOT/Tender/SplashBidNoticeAbstractUI.aspx?menuIndex=3&amp;refID=7184860&amp;Result=3","7184860")</f>
        <v>0</v>
      </c>
      <c r="B9598" t="s">
        <v>1228</v>
      </c>
      <c r="C9598" t="s">
        <v>12898</v>
      </c>
      <c r="D9598" t="s">
        <v>19048</v>
      </c>
      <c r="E9598" t="s">
        <v>27289</v>
      </c>
      <c r="F9598" t="s">
        <v>32606</v>
      </c>
      <c r="G9598" t="s">
        <v>32613</v>
      </c>
      <c r="H9598" t="s">
        <v>14201</v>
      </c>
      <c r="I9598" t="s">
        <v>32633</v>
      </c>
      <c r="J9598" t="s">
        <v>38718</v>
      </c>
      <c r="K9598" t="s">
        <v>42632</v>
      </c>
      <c r="M9598" t="s">
        <v>44193</v>
      </c>
      <c r="N9598" t="s">
        <v>47304</v>
      </c>
      <c r="O9598" t="s">
        <v>47305</v>
      </c>
      <c r="P9598">
        <v>0</v>
      </c>
      <c r="Q9598">
        <v>3</v>
      </c>
      <c r="R9598" t="s">
        <v>47313</v>
      </c>
      <c r="S9598" t="s">
        <v>47535</v>
      </c>
      <c r="T9598" t="s">
        <v>49254</v>
      </c>
      <c r="U9598" t="s">
        <v>57422</v>
      </c>
      <c r="W9598" t="s">
        <v>44193</v>
      </c>
      <c r="X9598" t="s">
        <v>47314</v>
      </c>
    </row>
    <row r="9599" spans="1:24">
      <c r="A9599">
        <f>HYPERLINK("https://www.philgeps.gov.ph/GEPSNONPILOT/Tender/SplashBidNoticeAbstractUI.aspx?menuIndex=3&amp;refID=7184789&amp;Result=3","7184789")</f>
        <v>0</v>
      </c>
      <c r="B9599" t="s">
        <v>1197</v>
      </c>
      <c r="C9599" t="s">
        <v>12899</v>
      </c>
      <c r="D9599" t="s">
        <v>19011</v>
      </c>
      <c r="E9599" t="s">
        <v>27290</v>
      </c>
      <c r="F9599" t="s">
        <v>32606</v>
      </c>
      <c r="G9599" t="s">
        <v>32613</v>
      </c>
      <c r="H9599" t="s">
        <v>32623</v>
      </c>
      <c r="I9599" t="s">
        <v>17648</v>
      </c>
      <c r="J9599" t="s">
        <v>38719</v>
      </c>
      <c r="K9599" t="s">
        <v>42623</v>
      </c>
      <c r="M9599" t="s">
        <v>44161</v>
      </c>
      <c r="N9599" t="s">
        <v>47304</v>
      </c>
      <c r="O9599" t="s">
        <v>47305</v>
      </c>
      <c r="P9599">
        <v>0</v>
      </c>
      <c r="Q9599">
        <v>1</v>
      </c>
      <c r="R9599" t="s">
        <v>47313</v>
      </c>
      <c r="S9599" t="s">
        <v>47535</v>
      </c>
      <c r="T9599" t="s">
        <v>49111</v>
      </c>
      <c r="U9599" t="s">
        <v>57467</v>
      </c>
      <c r="V9599" t="s">
        <v>62953</v>
      </c>
      <c r="W9599" t="s">
        <v>44161</v>
      </c>
      <c r="X9599" t="s">
        <v>47314</v>
      </c>
    </row>
    <row r="9600" spans="1:24">
      <c r="A9600">
        <f>HYPERLINK("https://www.philgeps.gov.ph/GEPSNONPILOT/Tender/SplashBidNoticeAbstractUI.aspx?menuIndex=3&amp;refID=7184857&amp;Result=3","7184857")</f>
        <v>0</v>
      </c>
      <c r="B9600" t="s">
        <v>2964</v>
      </c>
      <c r="C9600" t="s">
        <v>12900</v>
      </c>
      <c r="D9600" t="s">
        <v>19034</v>
      </c>
      <c r="E9600" t="s">
        <v>27291</v>
      </c>
      <c r="F9600" t="s">
        <v>32606</v>
      </c>
      <c r="G9600" t="s">
        <v>32619</v>
      </c>
      <c r="H9600" t="s">
        <v>14201</v>
      </c>
      <c r="I9600" t="s">
        <v>6931</v>
      </c>
      <c r="J9600" t="s">
        <v>38720</v>
      </c>
      <c r="K9600" t="s">
        <v>42623</v>
      </c>
      <c r="M9600" t="s">
        <v>46149</v>
      </c>
      <c r="N9600" t="s">
        <v>47304</v>
      </c>
      <c r="O9600" t="s">
        <v>47305</v>
      </c>
      <c r="P9600">
        <v>0</v>
      </c>
      <c r="Q9600">
        <v>0</v>
      </c>
      <c r="R9600" t="s">
        <v>47313</v>
      </c>
      <c r="S9600" t="s">
        <v>47535</v>
      </c>
      <c r="T9600" t="s">
        <v>49067</v>
      </c>
      <c r="U9600" t="s">
        <v>57468</v>
      </c>
      <c r="W9600" t="s">
        <v>46149</v>
      </c>
      <c r="X9600" t="s">
        <v>47314</v>
      </c>
    </row>
    <row r="9601" spans="1:24">
      <c r="A9601">
        <f>HYPERLINK("https://www.philgeps.gov.ph/GEPSNONPILOT/Tender/SplashBidNoticeAbstractUI.aspx?menuIndex=3&amp;refID=7184733&amp;Result=3","7184733")</f>
        <v>0</v>
      </c>
      <c r="B9601" t="s">
        <v>2965</v>
      </c>
      <c r="C9601" t="s">
        <v>12901</v>
      </c>
      <c r="D9601" t="s">
        <v>19016</v>
      </c>
      <c r="E9601" t="s">
        <v>27292</v>
      </c>
      <c r="F9601" t="s">
        <v>32606</v>
      </c>
      <c r="G9601" t="s">
        <v>32613</v>
      </c>
      <c r="H9601" t="s">
        <v>32623</v>
      </c>
      <c r="I9601" t="s">
        <v>17648</v>
      </c>
      <c r="J9601" t="s">
        <v>34198</v>
      </c>
      <c r="K9601" t="s">
        <v>42646</v>
      </c>
      <c r="M9601" t="s">
        <v>46150</v>
      </c>
      <c r="N9601" t="s">
        <v>47304</v>
      </c>
      <c r="O9601" t="s">
        <v>47305</v>
      </c>
      <c r="P9601">
        <v>0</v>
      </c>
      <c r="Q9601">
        <v>48</v>
      </c>
      <c r="R9601" t="s">
        <v>47313</v>
      </c>
      <c r="S9601" t="s">
        <v>47535</v>
      </c>
      <c r="T9601" t="s">
        <v>49234</v>
      </c>
      <c r="U9601" t="s">
        <v>57469</v>
      </c>
      <c r="V9601" t="s">
        <v>63650</v>
      </c>
      <c r="W9601" t="s">
        <v>46150</v>
      </c>
      <c r="X9601" t="s">
        <v>47314</v>
      </c>
    </row>
    <row r="9602" spans="1:24">
      <c r="A9602">
        <f>HYPERLINK("https://www.philgeps.gov.ph/GEPSNONPILOT/Tender/SplashBidNoticeAbstractUI.aspx?menuIndex=3&amp;refID=7184845&amp;Result=3","7184845")</f>
        <v>0</v>
      </c>
      <c r="B9602" t="s">
        <v>1228</v>
      </c>
      <c r="C9602" t="s">
        <v>12902</v>
      </c>
      <c r="D9602" t="s">
        <v>19048</v>
      </c>
      <c r="E9602" t="s">
        <v>26264</v>
      </c>
      <c r="F9602" t="s">
        <v>32606</v>
      </c>
      <c r="G9602" t="s">
        <v>32613</v>
      </c>
      <c r="H9602" t="s">
        <v>32623</v>
      </c>
      <c r="I9602" t="s">
        <v>17648</v>
      </c>
      <c r="J9602" t="s">
        <v>32770</v>
      </c>
      <c r="K9602" t="s">
        <v>42639</v>
      </c>
      <c r="M9602" t="s">
        <v>44193</v>
      </c>
      <c r="N9602" t="s">
        <v>47304</v>
      </c>
      <c r="O9602" t="s">
        <v>47305</v>
      </c>
      <c r="P9602">
        <v>0</v>
      </c>
      <c r="Q9602">
        <v>0</v>
      </c>
      <c r="R9602" t="s">
        <v>47313</v>
      </c>
      <c r="S9602" t="s">
        <v>47535</v>
      </c>
      <c r="T9602" t="s">
        <v>49254</v>
      </c>
      <c r="U9602" t="s">
        <v>57422</v>
      </c>
      <c r="W9602" t="s">
        <v>44193</v>
      </c>
      <c r="X9602" t="s">
        <v>47314</v>
      </c>
    </row>
    <row r="9603" spans="1:24">
      <c r="A9603">
        <f>HYPERLINK("https://www.philgeps.gov.ph/GEPSNONPILOT/Tender/SplashBidNoticeAbstractUI.aspx?menuIndex=3&amp;refID=7184842&amp;Result=3","7184842")</f>
        <v>0</v>
      </c>
      <c r="B9603" t="s">
        <v>339</v>
      </c>
      <c r="C9603" t="s">
        <v>12903</v>
      </c>
      <c r="D9603" t="s">
        <v>19024</v>
      </c>
      <c r="E9603" t="s">
        <v>27293</v>
      </c>
      <c r="F9603" t="s">
        <v>32606</v>
      </c>
      <c r="G9603" t="s">
        <v>32613</v>
      </c>
      <c r="H9603" t="s">
        <v>14201</v>
      </c>
      <c r="I9603" t="s">
        <v>6931</v>
      </c>
      <c r="J9603" t="s">
        <v>38721</v>
      </c>
      <c r="K9603" t="s">
        <v>42624</v>
      </c>
      <c r="M9603" t="s">
        <v>43241</v>
      </c>
      <c r="N9603" t="s">
        <v>47304</v>
      </c>
      <c r="O9603" t="s">
        <v>47305</v>
      </c>
      <c r="P9603">
        <v>0</v>
      </c>
      <c r="Q9603">
        <v>0</v>
      </c>
      <c r="R9603" t="s">
        <v>47313</v>
      </c>
      <c r="S9603" t="s">
        <v>47535</v>
      </c>
      <c r="T9603" t="s">
        <v>49346</v>
      </c>
      <c r="U9603" t="s">
        <v>57470</v>
      </c>
      <c r="W9603" t="s">
        <v>43241</v>
      </c>
      <c r="X9603" t="s">
        <v>47314</v>
      </c>
    </row>
    <row r="9604" spans="1:24">
      <c r="A9604">
        <f>HYPERLINK("https://www.philgeps.gov.ph/GEPSNONPILOT/Tender/SplashBidNoticeAbstractUI.aspx?menuIndex=3&amp;refID=7184831&amp;Result=3","7184831")</f>
        <v>0</v>
      </c>
      <c r="B9604" t="s">
        <v>462</v>
      </c>
      <c r="C9604" t="s">
        <v>12904</v>
      </c>
      <c r="D9604" t="s">
        <v>19040</v>
      </c>
      <c r="E9604" t="s">
        <v>27294</v>
      </c>
      <c r="F9604" t="s">
        <v>32606</v>
      </c>
      <c r="G9604" t="s">
        <v>32614</v>
      </c>
      <c r="H9604" t="s">
        <v>14201</v>
      </c>
      <c r="I9604" t="s">
        <v>4678</v>
      </c>
      <c r="J9604" t="s">
        <v>32981</v>
      </c>
      <c r="K9604" t="s">
        <v>42631</v>
      </c>
      <c r="M9604" t="s">
        <v>43372</v>
      </c>
      <c r="N9604" t="s">
        <v>47304</v>
      </c>
      <c r="O9604" t="s">
        <v>47305</v>
      </c>
      <c r="P9604">
        <v>0</v>
      </c>
      <c r="Q9604">
        <v>12</v>
      </c>
      <c r="R9604" t="s">
        <v>47313</v>
      </c>
      <c r="S9604" t="s">
        <v>47535</v>
      </c>
      <c r="T9604" t="s">
        <v>49156</v>
      </c>
      <c r="U9604" t="s">
        <v>57471</v>
      </c>
      <c r="W9604" t="s">
        <v>64454</v>
      </c>
      <c r="X9604" t="s">
        <v>47314</v>
      </c>
    </row>
    <row r="9605" spans="1:24">
      <c r="A9605">
        <f>HYPERLINK("https://www.philgeps.gov.ph/GEPSNONPILOT/Tender/SplashBidNoticeAbstractUI.aspx?menuIndex=3&amp;refID=7184736&amp;Result=3","7184736")</f>
        <v>0</v>
      </c>
      <c r="B9605" t="s">
        <v>2961</v>
      </c>
      <c r="C9605" t="s">
        <v>12905</v>
      </c>
      <c r="D9605" t="s">
        <v>18986</v>
      </c>
      <c r="E9605" t="s">
        <v>27295</v>
      </c>
      <c r="F9605" t="s">
        <v>32606</v>
      </c>
      <c r="G9605" t="s">
        <v>32613</v>
      </c>
      <c r="H9605" t="s">
        <v>32623</v>
      </c>
      <c r="I9605" t="s">
        <v>17648</v>
      </c>
      <c r="J9605" t="s">
        <v>32770</v>
      </c>
      <c r="K9605" t="s">
        <v>42631</v>
      </c>
      <c r="M9605" t="s">
        <v>46145</v>
      </c>
      <c r="N9605" t="s">
        <v>47304</v>
      </c>
      <c r="O9605" t="s">
        <v>47305</v>
      </c>
      <c r="P9605">
        <v>0</v>
      </c>
      <c r="Q9605">
        <v>1</v>
      </c>
      <c r="R9605" t="s">
        <v>47313</v>
      </c>
      <c r="S9605" t="s">
        <v>47535</v>
      </c>
      <c r="T9605" t="s">
        <v>49136</v>
      </c>
      <c r="U9605" t="s">
        <v>57472</v>
      </c>
      <c r="W9605" t="s">
        <v>46145</v>
      </c>
      <c r="X9605" t="s">
        <v>47314</v>
      </c>
    </row>
    <row r="9606" spans="1:24">
      <c r="A9606">
        <f>HYPERLINK("https://www.philgeps.gov.ph/GEPSNONPILOT/Tender/SplashBidNoticeAbstractUI.aspx?menuIndex=3&amp;refID=7184825&amp;Result=3","7184825")</f>
        <v>0</v>
      </c>
      <c r="B9606" t="s">
        <v>534</v>
      </c>
      <c r="C9606" t="s">
        <v>12906</v>
      </c>
      <c r="D9606" t="s">
        <v>19006</v>
      </c>
      <c r="E9606" t="s">
        <v>27296</v>
      </c>
      <c r="F9606" t="s">
        <v>32606</v>
      </c>
      <c r="G9606" t="s">
        <v>32613</v>
      </c>
      <c r="H9606" t="s">
        <v>14201</v>
      </c>
      <c r="I9606" t="s">
        <v>4678</v>
      </c>
      <c r="J9606" t="s">
        <v>35226</v>
      </c>
      <c r="K9606" t="s">
        <v>42622</v>
      </c>
      <c r="M9606" t="s">
        <v>43447</v>
      </c>
      <c r="N9606" t="s">
        <v>47304</v>
      </c>
      <c r="O9606" t="s">
        <v>47305</v>
      </c>
      <c r="P9606">
        <v>0</v>
      </c>
      <c r="Q9606">
        <v>1</v>
      </c>
      <c r="R9606" t="s">
        <v>47313</v>
      </c>
      <c r="S9606" t="s">
        <v>47535</v>
      </c>
      <c r="T9606" t="s">
        <v>49040</v>
      </c>
      <c r="U9606" t="s">
        <v>57473</v>
      </c>
      <c r="W9606" t="s">
        <v>43447</v>
      </c>
      <c r="X9606" t="s">
        <v>47314</v>
      </c>
    </row>
    <row r="9607" spans="1:24">
      <c r="A9607">
        <f>HYPERLINK("https://www.philgeps.gov.ph/GEPSNONPILOT/Tender/SplashBidNoticeAbstractUI.aspx?menuIndex=3&amp;refID=7184821&amp;Result=3","7184821")</f>
        <v>0</v>
      </c>
      <c r="B9607" t="s">
        <v>271</v>
      </c>
      <c r="C9607" t="s">
        <v>12907</v>
      </c>
      <c r="D9607" t="s">
        <v>19040</v>
      </c>
      <c r="E9607" t="s">
        <v>27297</v>
      </c>
      <c r="F9607" t="s">
        <v>32606</v>
      </c>
      <c r="G9607" t="s">
        <v>32613</v>
      </c>
      <c r="H9607" t="s">
        <v>14201</v>
      </c>
      <c r="I9607" t="s">
        <v>13131</v>
      </c>
      <c r="J9607" t="s">
        <v>38722</v>
      </c>
      <c r="K9607" t="s">
        <v>42636</v>
      </c>
      <c r="M9607" t="s">
        <v>43172</v>
      </c>
      <c r="N9607" t="s">
        <v>47304</v>
      </c>
      <c r="O9607" t="s">
        <v>47305</v>
      </c>
      <c r="P9607">
        <v>0</v>
      </c>
      <c r="Q9607">
        <v>11</v>
      </c>
      <c r="R9607" t="s">
        <v>47313</v>
      </c>
      <c r="S9607" t="s">
        <v>47535</v>
      </c>
      <c r="T9607" t="s">
        <v>49234</v>
      </c>
      <c r="U9607" t="s">
        <v>57474</v>
      </c>
      <c r="W9607" t="s">
        <v>43172</v>
      </c>
      <c r="X9607" t="s">
        <v>47314</v>
      </c>
    </row>
    <row r="9608" spans="1:24">
      <c r="A9608">
        <f>HYPERLINK("https://www.philgeps.gov.ph/GEPSNONPILOT/Tender/SplashBidNoticeAbstractUI.aspx?menuIndex=3&amp;refID=7184818&amp;Result=3","7184818")</f>
        <v>0</v>
      </c>
      <c r="B9608" t="s">
        <v>1529</v>
      </c>
      <c r="C9608" t="s">
        <v>12908</v>
      </c>
      <c r="D9608" t="s">
        <v>18993</v>
      </c>
      <c r="E9608" t="s">
        <v>27298</v>
      </c>
      <c r="F9608" t="s">
        <v>32606</v>
      </c>
      <c r="G9608" t="s">
        <v>32614</v>
      </c>
      <c r="H9608" t="s">
        <v>14201</v>
      </c>
      <c r="I9608" t="s">
        <v>4120</v>
      </c>
      <c r="J9608" t="s">
        <v>33255</v>
      </c>
      <c r="K9608" t="s">
        <v>42631</v>
      </c>
      <c r="M9608" t="s">
        <v>44532</v>
      </c>
      <c r="N9608" t="s">
        <v>47304</v>
      </c>
      <c r="O9608" t="s">
        <v>47305</v>
      </c>
      <c r="P9608">
        <v>0</v>
      </c>
      <c r="Q9608">
        <v>15</v>
      </c>
      <c r="R9608" t="s">
        <v>47313</v>
      </c>
      <c r="S9608" t="s">
        <v>47535</v>
      </c>
      <c r="T9608" t="s">
        <v>49014</v>
      </c>
      <c r="U9608" t="s">
        <v>52911</v>
      </c>
      <c r="W9608" t="s">
        <v>44532</v>
      </c>
      <c r="X9608" t="s">
        <v>47314</v>
      </c>
    </row>
    <row r="9609" spans="1:24">
      <c r="A9609">
        <f>HYPERLINK("https://www.philgeps.gov.ph/GEPSNONPILOT/Tender/SplashBidNoticeAbstractUI.aspx?menuIndex=3&amp;refID=7184809&amp;Result=3","7184809")</f>
        <v>0</v>
      </c>
      <c r="B9609" t="s">
        <v>2966</v>
      </c>
      <c r="C9609" t="s">
        <v>12909</v>
      </c>
      <c r="D9609" t="s">
        <v>18995</v>
      </c>
      <c r="E9609" t="s">
        <v>24981</v>
      </c>
      <c r="F9609" t="s">
        <v>32606</v>
      </c>
      <c r="G9609" t="s">
        <v>32614</v>
      </c>
      <c r="H9609" t="s">
        <v>14201</v>
      </c>
      <c r="I9609" t="s">
        <v>4115</v>
      </c>
      <c r="J9609" t="s">
        <v>32949</v>
      </c>
      <c r="K9609" t="s">
        <v>42623</v>
      </c>
      <c r="M9609" t="s">
        <v>46151</v>
      </c>
      <c r="N9609" t="s">
        <v>47304</v>
      </c>
      <c r="O9609" t="s">
        <v>47305</v>
      </c>
      <c r="P9609">
        <v>0</v>
      </c>
      <c r="Q9609">
        <v>3</v>
      </c>
      <c r="R9609" t="s">
        <v>47313</v>
      </c>
      <c r="S9609" t="s">
        <v>47535</v>
      </c>
      <c r="T9609" t="s">
        <v>49071</v>
      </c>
      <c r="U9609" t="s">
        <v>57475</v>
      </c>
      <c r="V9609" t="s">
        <v>63651</v>
      </c>
      <c r="W9609" t="s">
        <v>46151</v>
      </c>
      <c r="X9609" t="s">
        <v>47314</v>
      </c>
    </row>
    <row r="9610" spans="1:24">
      <c r="A9610">
        <f>HYPERLINK("https://www.philgeps.gov.ph/GEPSNONPILOT/Tender/SplashBidNoticeAbstractUI.aspx?menuIndex=3&amp;refID=7184859&amp;Result=3","7184859")</f>
        <v>0</v>
      </c>
      <c r="B9610" t="s">
        <v>273</v>
      </c>
      <c r="C9610" t="s">
        <v>12910</v>
      </c>
      <c r="D9610" t="s">
        <v>19037</v>
      </c>
      <c r="E9610" t="s">
        <v>27299</v>
      </c>
      <c r="F9610" t="s">
        <v>32606</v>
      </c>
      <c r="G9610" t="s">
        <v>32614</v>
      </c>
      <c r="H9610" t="s">
        <v>14201</v>
      </c>
      <c r="I9610" t="s">
        <v>32732</v>
      </c>
      <c r="J9610" t="s">
        <v>33870</v>
      </c>
      <c r="K9610" t="s">
        <v>42623</v>
      </c>
      <c r="M9610" t="s">
        <v>43174</v>
      </c>
      <c r="N9610" t="s">
        <v>47304</v>
      </c>
      <c r="O9610" t="s">
        <v>47305</v>
      </c>
      <c r="P9610">
        <v>0</v>
      </c>
      <c r="Q9610">
        <v>1</v>
      </c>
      <c r="R9610" t="s">
        <v>47313</v>
      </c>
      <c r="S9610" t="s">
        <v>47535</v>
      </c>
      <c r="T9610" t="s">
        <v>49020</v>
      </c>
      <c r="U9610" t="s">
        <v>50011</v>
      </c>
      <c r="W9610" t="s">
        <v>43174</v>
      </c>
      <c r="X9610" t="s">
        <v>47314</v>
      </c>
    </row>
    <row r="9611" spans="1:24">
      <c r="A9611">
        <f>HYPERLINK("https://www.philgeps.gov.ph/GEPSNONPILOT/Tender/SplashBidNoticeAbstractUI.aspx?menuIndex=3&amp;refID=7184837&amp;Result=3","7184837")</f>
        <v>0</v>
      </c>
      <c r="B9611" t="s">
        <v>2017</v>
      </c>
      <c r="C9611" t="s">
        <v>12911</v>
      </c>
      <c r="D9611" t="s">
        <v>19023</v>
      </c>
      <c r="E9611" t="s">
        <v>27300</v>
      </c>
      <c r="F9611" t="s">
        <v>32606</v>
      </c>
      <c r="G9611" t="s">
        <v>32613</v>
      </c>
      <c r="H9611" t="s">
        <v>14201</v>
      </c>
      <c r="I9611" t="s">
        <v>6993</v>
      </c>
      <c r="J9611" t="s">
        <v>34128</v>
      </c>
      <c r="K9611" t="s">
        <v>42631</v>
      </c>
      <c r="M9611" t="s">
        <v>45090</v>
      </c>
      <c r="N9611" t="s">
        <v>47304</v>
      </c>
      <c r="O9611" t="s">
        <v>47305</v>
      </c>
      <c r="P9611">
        <v>0</v>
      </c>
      <c r="Q9611">
        <v>1</v>
      </c>
      <c r="R9611" t="s">
        <v>47313</v>
      </c>
      <c r="S9611" t="s">
        <v>47535</v>
      </c>
      <c r="T9611" t="s">
        <v>49420</v>
      </c>
      <c r="U9611" t="s">
        <v>57476</v>
      </c>
      <c r="V9611" t="s">
        <v>63225</v>
      </c>
      <c r="W9611" t="s">
        <v>45090</v>
      </c>
      <c r="X9611" t="s">
        <v>47314</v>
      </c>
    </row>
    <row r="9612" spans="1:24">
      <c r="A9612">
        <f>HYPERLINK("https://www.philgeps.gov.ph/GEPSNONPILOT/Tender/SplashBidNoticeAbstractUI.aspx?menuIndex=3&amp;refID=7184807&amp;Result=3","7184807")</f>
        <v>0</v>
      </c>
      <c r="B9612" t="s">
        <v>462</v>
      </c>
      <c r="C9612" t="s">
        <v>12912</v>
      </c>
      <c r="D9612" t="s">
        <v>19040</v>
      </c>
      <c r="E9612" t="s">
        <v>27301</v>
      </c>
      <c r="F9612" t="s">
        <v>32606</v>
      </c>
      <c r="G9612" t="s">
        <v>32614</v>
      </c>
      <c r="H9612" t="s">
        <v>14201</v>
      </c>
      <c r="I9612" t="s">
        <v>4678</v>
      </c>
      <c r="J9612" t="s">
        <v>32981</v>
      </c>
      <c r="K9612" t="s">
        <v>42631</v>
      </c>
      <c r="M9612" t="s">
        <v>43372</v>
      </c>
      <c r="N9612" t="s">
        <v>47304</v>
      </c>
      <c r="O9612" t="s">
        <v>47305</v>
      </c>
      <c r="P9612">
        <v>0</v>
      </c>
      <c r="Q9612">
        <v>3</v>
      </c>
      <c r="R9612" t="s">
        <v>47313</v>
      </c>
      <c r="S9612" t="s">
        <v>47535</v>
      </c>
      <c r="T9612" t="s">
        <v>49156</v>
      </c>
      <c r="U9612" t="s">
        <v>57477</v>
      </c>
      <c r="W9612" t="s">
        <v>64454</v>
      </c>
      <c r="X9612" t="s">
        <v>47314</v>
      </c>
    </row>
    <row r="9613" spans="1:24">
      <c r="A9613">
        <f>HYPERLINK("https://www.philgeps.gov.ph/GEPSNONPILOT/Tender/SplashBidNoticeAbstractUI.aspx?menuIndex=3&amp;refID=7184806&amp;Result=3","7184806")</f>
        <v>0</v>
      </c>
      <c r="B9613" t="s">
        <v>1529</v>
      </c>
      <c r="C9613" t="s">
        <v>12913</v>
      </c>
      <c r="D9613" t="s">
        <v>18993</v>
      </c>
      <c r="E9613" t="s">
        <v>27302</v>
      </c>
      <c r="F9613" t="s">
        <v>32606</v>
      </c>
      <c r="G9613" t="s">
        <v>32614</v>
      </c>
      <c r="H9613" t="s">
        <v>14201</v>
      </c>
      <c r="I9613" t="s">
        <v>4120</v>
      </c>
      <c r="J9613" t="s">
        <v>38723</v>
      </c>
      <c r="K9613" t="s">
        <v>42623</v>
      </c>
      <c r="M9613" t="s">
        <v>44532</v>
      </c>
      <c r="N9613" t="s">
        <v>47304</v>
      </c>
      <c r="O9613" t="s">
        <v>47305</v>
      </c>
      <c r="P9613">
        <v>0</v>
      </c>
      <c r="Q9613">
        <v>15</v>
      </c>
      <c r="R9613" t="s">
        <v>47313</v>
      </c>
      <c r="S9613" t="s">
        <v>47535</v>
      </c>
      <c r="T9613" t="s">
        <v>49014</v>
      </c>
      <c r="U9613" t="s">
        <v>52911</v>
      </c>
      <c r="W9613" t="s">
        <v>44532</v>
      </c>
      <c r="X9613" t="s">
        <v>47314</v>
      </c>
    </row>
    <row r="9614" spans="1:24">
      <c r="A9614">
        <f>HYPERLINK("https://www.philgeps.gov.ph/GEPSNONPILOT/Tender/SplashBidNoticeAbstractUI.aspx?menuIndex=3&amp;refID=7184799&amp;Result=3","7184799")</f>
        <v>0</v>
      </c>
      <c r="B9614" t="s">
        <v>2963</v>
      </c>
      <c r="C9614" t="s">
        <v>12914</v>
      </c>
      <c r="D9614" t="s">
        <v>19023</v>
      </c>
      <c r="E9614" t="s">
        <v>27303</v>
      </c>
      <c r="F9614" t="s">
        <v>32606</v>
      </c>
      <c r="G9614" t="s">
        <v>32613</v>
      </c>
      <c r="H9614" t="s">
        <v>32623</v>
      </c>
      <c r="I9614" t="s">
        <v>17648</v>
      </c>
      <c r="J9614" t="s">
        <v>35267</v>
      </c>
      <c r="K9614" t="s">
        <v>42634</v>
      </c>
      <c r="M9614" t="s">
        <v>46148</v>
      </c>
      <c r="N9614" t="s">
        <v>47304</v>
      </c>
      <c r="O9614" t="s">
        <v>47305</v>
      </c>
      <c r="P9614">
        <v>0</v>
      </c>
      <c r="Q9614">
        <v>7</v>
      </c>
      <c r="R9614" t="s">
        <v>47313</v>
      </c>
      <c r="S9614" t="s">
        <v>47535</v>
      </c>
      <c r="T9614" t="s">
        <v>49075</v>
      </c>
      <c r="U9614" t="s">
        <v>57478</v>
      </c>
      <c r="V9614" t="s">
        <v>63649</v>
      </c>
      <c r="W9614" t="s">
        <v>46148</v>
      </c>
      <c r="X9614" t="s">
        <v>47314</v>
      </c>
    </row>
    <row r="9615" spans="1:24">
      <c r="A9615">
        <f>HYPERLINK("https://www.philgeps.gov.ph/GEPSNONPILOT/Tender/SplashBidNoticeAbstractUI.aspx?menuIndex=3&amp;refID=7184954&amp;Result=3","7184954")</f>
        <v>0</v>
      </c>
      <c r="B9615" t="s">
        <v>2017</v>
      </c>
      <c r="C9615" t="s">
        <v>12915</v>
      </c>
      <c r="D9615" t="s">
        <v>19023</v>
      </c>
      <c r="E9615" t="s">
        <v>27304</v>
      </c>
      <c r="F9615" t="s">
        <v>32606</v>
      </c>
      <c r="G9615" t="s">
        <v>32613</v>
      </c>
      <c r="H9615" t="s">
        <v>14201</v>
      </c>
      <c r="I9615" t="s">
        <v>6993</v>
      </c>
      <c r="J9615" t="s">
        <v>38724</v>
      </c>
      <c r="K9615" t="s">
        <v>42622</v>
      </c>
      <c r="M9615" t="s">
        <v>45090</v>
      </c>
      <c r="N9615" t="s">
        <v>47304</v>
      </c>
      <c r="O9615" t="s">
        <v>47305</v>
      </c>
      <c r="P9615">
        <v>0</v>
      </c>
      <c r="Q9615">
        <v>1</v>
      </c>
      <c r="R9615" t="s">
        <v>47313</v>
      </c>
      <c r="S9615" t="s">
        <v>47535</v>
      </c>
      <c r="T9615" t="s">
        <v>49384</v>
      </c>
      <c r="U9615" t="s">
        <v>57479</v>
      </c>
      <c r="V9615" t="s">
        <v>63652</v>
      </c>
      <c r="W9615" t="s">
        <v>45090</v>
      </c>
      <c r="X9615" t="s">
        <v>47314</v>
      </c>
    </row>
    <row r="9616" spans="1:24">
      <c r="A9616">
        <f>HYPERLINK("https://www.philgeps.gov.ph/GEPSNONPILOT/Tender/SplashBidNoticeAbstractUI.aspx?menuIndex=3&amp;refID=7184843&amp;Result=3","7184843")</f>
        <v>0</v>
      </c>
      <c r="B9616" t="s">
        <v>2967</v>
      </c>
      <c r="C9616" t="s">
        <v>12916</v>
      </c>
      <c r="D9616" t="s">
        <v>19011</v>
      </c>
      <c r="E9616" t="s">
        <v>27305</v>
      </c>
      <c r="F9616" t="s">
        <v>32606</v>
      </c>
      <c r="G9616" t="s">
        <v>32613</v>
      </c>
      <c r="H9616" t="s">
        <v>14201</v>
      </c>
      <c r="I9616" t="s">
        <v>32686</v>
      </c>
      <c r="J9616" t="s">
        <v>33994</v>
      </c>
      <c r="K9616" t="s">
        <v>42631</v>
      </c>
      <c r="M9616" t="s">
        <v>46152</v>
      </c>
      <c r="N9616" t="s">
        <v>47304</v>
      </c>
      <c r="O9616" t="s">
        <v>47305</v>
      </c>
      <c r="P9616">
        <v>0</v>
      </c>
      <c r="Q9616">
        <v>1</v>
      </c>
      <c r="R9616" t="s">
        <v>47313</v>
      </c>
      <c r="S9616" t="s">
        <v>47535</v>
      </c>
      <c r="T9616" t="s">
        <v>48998</v>
      </c>
      <c r="U9616" t="s">
        <v>57480</v>
      </c>
      <c r="V9616" t="s">
        <v>63653</v>
      </c>
      <c r="W9616" t="s">
        <v>46152</v>
      </c>
      <c r="X9616" t="s">
        <v>47314</v>
      </c>
    </row>
    <row r="9617" spans="1:24">
      <c r="A9617">
        <f>HYPERLINK("https://www.philgeps.gov.ph/GEPSNONPILOT/Tender/SplashBidNoticeAbstractUI.aspx?menuIndex=3&amp;refID=7184953&amp;Result=3","7184953")</f>
        <v>0</v>
      </c>
      <c r="B9617" t="s">
        <v>2968</v>
      </c>
      <c r="C9617" t="s">
        <v>12917</v>
      </c>
      <c r="D9617" t="s">
        <v>19002</v>
      </c>
      <c r="E9617" t="s">
        <v>27306</v>
      </c>
      <c r="F9617" t="s">
        <v>32606</v>
      </c>
      <c r="G9617" t="s">
        <v>32613</v>
      </c>
      <c r="H9617" t="s">
        <v>14201</v>
      </c>
      <c r="I9617" t="s">
        <v>7064</v>
      </c>
      <c r="J9617" t="s">
        <v>33936</v>
      </c>
      <c r="K9617" t="s">
        <v>42623</v>
      </c>
      <c r="M9617" t="s">
        <v>46153</v>
      </c>
      <c r="N9617" t="s">
        <v>47304</v>
      </c>
      <c r="O9617" t="s">
        <v>47305</v>
      </c>
      <c r="P9617">
        <v>0</v>
      </c>
      <c r="Q9617">
        <v>0</v>
      </c>
      <c r="R9617" t="s">
        <v>47313</v>
      </c>
      <c r="S9617" t="s">
        <v>47535</v>
      </c>
      <c r="T9617" t="s">
        <v>49053</v>
      </c>
      <c r="U9617" t="s">
        <v>57481</v>
      </c>
      <c r="V9617" t="s">
        <v>63654</v>
      </c>
      <c r="W9617" t="s">
        <v>46153</v>
      </c>
      <c r="X9617" t="s">
        <v>47314</v>
      </c>
    </row>
    <row r="9618" spans="1:24">
      <c r="A9618">
        <f>HYPERLINK("https://www.philgeps.gov.ph/GEPSNONPILOT/Tender/SplashBidNoticeAbstractUI.aspx?menuIndex=3&amp;refID=7184813&amp;Result=3","7184813")</f>
        <v>0</v>
      </c>
      <c r="B9618" t="s">
        <v>2963</v>
      </c>
      <c r="C9618" t="s">
        <v>12918</v>
      </c>
      <c r="D9618" t="s">
        <v>19023</v>
      </c>
      <c r="E9618" t="s">
        <v>27307</v>
      </c>
      <c r="F9618" t="s">
        <v>32606</v>
      </c>
      <c r="G9618" t="s">
        <v>32613</v>
      </c>
      <c r="H9618" t="s">
        <v>32623</v>
      </c>
      <c r="I9618" t="s">
        <v>17648</v>
      </c>
      <c r="J9618" t="s">
        <v>35267</v>
      </c>
      <c r="K9618" t="s">
        <v>42831</v>
      </c>
      <c r="M9618" t="s">
        <v>46148</v>
      </c>
      <c r="N9618" t="s">
        <v>47304</v>
      </c>
      <c r="O9618" t="s">
        <v>47305</v>
      </c>
      <c r="P9618">
        <v>0</v>
      </c>
      <c r="Q9618">
        <v>7</v>
      </c>
      <c r="R9618" t="s">
        <v>47313</v>
      </c>
      <c r="S9618" t="s">
        <v>47535</v>
      </c>
      <c r="T9618" t="s">
        <v>49075</v>
      </c>
      <c r="U9618" t="s">
        <v>57482</v>
      </c>
      <c r="V9618" t="s">
        <v>63649</v>
      </c>
      <c r="W9618" t="s">
        <v>46148</v>
      </c>
      <c r="X9618" t="s">
        <v>47314</v>
      </c>
    </row>
    <row r="9619" spans="1:24">
      <c r="A9619">
        <f>HYPERLINK("https://www.philgeps.gov.ph/GEPSNONPILOT/Tender/SplashBidNoticeAbstractUI.aspx?menuIndex=3&amp;refID=7184852&amp;Result=3","7184852")</f>
        <v>0</v>
      </c>
      <c r="B9619" t="s">
        <v>664</v>
      </c>
      <c r="C9619" t="s">
        <v>12919</v>
      </c>
      <c r="E9619" t="s">
        <v>27308</v>
      </c>
      <c r="F9619" t="s">
        <v>32606</v>
      </c>
      <c r="G9619" t="s">
        <v>32613</v>
      </c>
      <c r="H9619" t="s">
        <v>14201</v>
      </c>
      <c r="I9619" t="s">
        <v>32660</v>
      </c>
      <c r="J9619" t="s">
        <v>38725</v>
      </c>
      <c r="K9619" t="s">
        <v>42624</v>
      </c>
      <c r="M9619" t="s">
        <v>43584</v>
      </c>
      <c r="N9619" t="s">
        <v>47304</v>
      </c>
      <c r="O9619" t="s">
        <v>47305</v>
      </c>
      <c r="P9619">
        <v>0</v>
      </c>
      <c r="Q9619">
        <v>1</v>
      </c>
      <c r="R9619" t="s">
        <v>47313</v>
      </c>
      <c r="S9619" t="s">
        <v>47535</v>
      </c>
      <c r="T9619" t="s">
        <v>49071</v>
      </c>
      <c r="U9619" t="s">
        <v>57483</v>
      </c>
      <c r="W9619" t="s">
        <v>43584</v>
      </c>
      <c r="X9619" t="s">
        <v>47314</v>
      </c>
    </row>
    <row r="9620" spans="1:24">
      <c r="A9620">
        <f>HYPERLINK("https://www.philgeps.gov.ph/GEPSNONPILOT/Tender/SplashBidNoticeAbstractUI.aspx?menuIndex=3&amp;refID=7184941&amp;Result=3","7184941")</f>
        <v>0</v>
      </c>
      <c r="B9620" t="s">
        <v>1962</v>
      </c>
      <c r="C9620" t="s">
        <v>12920</v>
      </c>
      <c r="D9620" t="s">
        <v>19060</v>
      </c>
      <c r="E9620" t="s">
        <v>27309</v>
      </c>
      <c r="F9620" t="s">
        <v>32606</v>
      </c>
      <c r="G9620" t="s">
        <v>32613</v>
      </c>
      <c r="H9620" t="s">
        <v>14201</v>
      </c>
      <c r="I9620" t="s">
        <v>6931</v>
      </c>
      <c r="J9620" t="s">
        <v>38726</v>
      </c>
      <c r="K9620" t="s">
        <v>42832</v>
      </c>
      <c r="L9620" t="s">
        <v>1962</v>
      </c>
      <c r="M9620" t="s">
        <v>45025</v>
      </c>
      <c r="N9620" t="s">
        <v>47304</v>
      </c>
      <c r="O9620" t="s">
        <v>47305</v>
      </c>
      <c r="P9620">
        <v>0</v>
      </c>
      <c r="Q9620">
        <v>1</v>
      </c>
      <c r="R9620" t="s">
        <v>47313</v>
      </c>
      <c r="S9620" t="s">
        <v>47535</v>
      </c>
      <c r="T9620" t="s">
        <v>49351</v>
      </c>
      <c r="U9620" t="s">
        <v>57484</v>
      </c>
      <c r="W9620" t="s">
        <v>45025</v>
      </c>
      <c r="X9620" t="s">
        <v>47314</v>
      </c>
    </row>
    <row r="9621" spans="1:24">
      <c r="A9621">
        <f>HYPERLINK("https://www.philgeps.gov.ph/GEPSNONPILOT/Tender/SplashBidNoticeAbstractUI.aspx?menuIndex=3&amp;refID=7184872&amp;Result=3","7184872")</f>
        <v>0</v>
      </c>
      <c r="B9621" t="s">
        <v>2969</v>
      </c>
      <c r="C9621" t="s">
        <v>12921</v>
      </c>
      <c r="D9621" t="s">
        <v>19055</v>
      </c>
      <c r="E9621" t="s">
        <v>27310</v>
      </c>
      <c r="F9621" t="s">
        <v>32606</v>
      </c>
      <c r="G9621" t="s">
        <v>32613</v>
      </c>
      <c r="H9621" t="s">
        <v>32623</v>
      </c>
      <c r="I9621" t="s">
        <v>17648</v>
      </c>
      <c r="J9621" t="s">
        <v>38727</v>
      </c>
      <c r="K9621" t="s">
        <v>42624</v>
      </c>
      <c r="M9621" t="s">
        <v>46154</v>
      </c>
      <c r="N9621" t="s">
        <v>47304</v>
      </c>
      <c r="O9621" t="s">
        <v>47305</v>
      </c>
      <c r="P9621">
        <v>0</v>
      </c>
      <c r="Q9621">
        <v>0</v>
      </c>
      <c r="R9621" t="s">
        <v>47313</v>
      </c>
      <c r="S9621" t="s">
        <v>47535</v>
      </c>
      <c r="T9621" t="s">
        <v>49157</v>
      </c>
      <c r="U9621" t="s">
        <v>57485</v>
      </c>
      <c r="W9621" t="s">
        <v>46154</v>
      </c>
      <c r="X9621" t="s">
        <v>47314</v>
      </c>
    </row>
    <row r="9622" spans="1:24">
      <c r="A9622">
        <f>HYPERLINK("https://www.philgeps.gov.ph/GEPSNONPILOT/Tender/SplashBidNoticeAbstractUI.aspx?menuIndex=3&amp;refID=7184928&amp;Result=3","7184928")</f>
        <v>0</v>
      </c>
      <c r="B9622" t="s">
        <v>433</v>
      </c>
      <c r="C9622" t="s">
        <v>12922</v>
      </c>
      <c r="D9622" t="s">
        <v>19012</v>
      </c>
      <c r="E9622" t="s">
        <v>27311</v>
      </c>
      <c r="F9622" t="s">
        <v>32606</v>
      </c>
      <c r="G9622" t="s">
        <v>32614</v>
      </c>
      <c r="H9622" t="s">
        <v>14201</v>
      </c>
      <c r="I9622" t="s">
        <v>32625</v>
      </c>
      <c r="J9622" t="s">
        <v>33529</v>
      </c>
      <c r="K9622" t="s">
        <v>42639</v>
      </c>
      <c r="M9622" t="s">
        <v>46155</v>
      </c>
      <c r="N9622" t="s">
        <v>47304</v>
      </c>
      <c r="O9622" t="s">
        <v>47305</v>
      </c>
      <c r="P9622">
        <v>0</v>
      </c>
      <c r="Q9622">
        <v>3</v>
      </c>
      <c r="R9622" t="s">
        <v>47313</v>
      </c>
      <c r="S9622" t="s">
        <v>47535</v>
      </c>
      <c r="T9622" t="s">
        <v>49071</v>
      </c>
      <c r="U9622" t="s">
        <v>57486</v>
      </c>
      <c r="W9622" t="s">
        <v>46155</v>
      </c>
      <c r="X9622" t="s">
        <v>47314</v>
      </c>
    </row>
    <row r="9623" spans="1:24">
      <c r="A9623">
        <f>HYPERLINK("https://www.philgeps.gov.ph/GEPSNONPILOT/Tender/SplashBidNoticeAbstractUI.aspx?menuIndex=3&amp;refID=7184926&amp;Result=3","7184926")</f>
        <v>0</v>
      </c>
      <c r="B9623" t="s">
        <v>1627</v>
      </c>
      <c r="C9623" t="s">
        <v>12923</v>
      </c>
      <c r="D9623" t="s">
        <v>19028</v>
      </c>
      <c r="E9623" t="s">
        <v>27312</v>
      </c>
      <c r="F9623" t="s">
        <v>32606</v>
      </c>
      <c r="G9623" t="s">
        <v>32613</v>
      </c>
      <c r="H9623" t="s">
        <v>14201</v>
      </c>
      <c r="I9623" t="s">
        <v>7064</v>
      </c>
      <c r="J9623" t="s">
        <v>32767</v>
      </c>
      <c r="K9623" t="s">
        <v>42624</v>
      </c>
      <c r="M9623" t="s">
        <v>44647</v>
      </c>
      <c r="N9623" t="s">
        <v>47304</v>
      </c>
      <c r="O9623" t="s">
        <v>47305</v>
      </c>
      <c r="P9623">
        <v>0</v>
      </c>
      <c r="Q9623">
        <v>5</v>
      </c>
      <c r="R9623" t="s">
        <v>47313</v>
      </c>
      <c r="S9623" t="s">
        <v>47535</v>
      </c>
      <c r="T9623" t="s">
        <v>49330</v>
      </c>
      <c r="U9623" t="s">
        <v>57487</v>
      </c>
      <c r="W9623" t="s">
        <v>44647</v>
      </c>
      <c r="X9623" t="s">
        <v>47314</v>
      </c>
    </row>
    <row r="9624" spans="1:24">
      <c r="A9624">
        <f>HYPERLINK("https://www.philgeps.gov.ph/GEPSNONPILOT/Tender/SplashBidNoticeAbstractUI.aspx?menuIndex=3&amp;refID=7184913&amp;Result=3","7184913")</f>
        <v>0</v>
      </c>
      <c r="B9624" t="s">
        <v>2970</v>
      </c>
      <c r="C9624" t="s">
        <v>4123</v>
      </c>
      <c r="D9624" t="s">
        <v>18993</v>
      </c>
      <c r="E9624" t="s">
        <v>27313</v>
      </c>
      <c r="F9624" t="s">
        <v>32606</v>
      </c>
      <c r="G9624" t="s">
        <v>32613</v>
      </c>
      <c r="H9624" t="s">
        <v>14201</v>
      </c>
      <c r="I9624" t="s">
        <v>4678</v>
      </c>
      <c r="J9624" t="s">
        <v>32789</v>
      </c>
      <c r="K9624" t="s">
        <v>42630</v>
      </c>
      <c r="M9624" t="s">
        <v>46156</v>
      </c>
      <c r="N9624" t="s">
        <v>47304</v>
      </c>
      <c r="O9624" t="s">
        <v>47305</v>
      </c>
      <c r="P9624">
        <v>0</v>
      </c>
      <c r="Q9624">
        <v>3</v>
      </c>
      <c r="R9624" t="s">
        <v>47313</v>
      </c>
      <c r="S9624" t="s">
        <v>47535</v>
      </c>
      <c r="T9624" t="s">
        <v>49071</v>
      </c>
      <c r="U9624" t="s">
        <v>57488</v>
      </c>
      <c r="W9624" t="s">
        <v>46156</v>
      </c>
      <c r="X9624" t="s">
        <v>47314</v>
      </c>
    </row>
    <row r="9625" spans="1:24">
      <c r="A9625">
        <f>HYPERLINK("https://www.philgeps.gov.ph/GEPSNONPILOT/Tender/SplashBidNoticeAbstractUI.aspx?menuIndex=3&amp;refID=7184950&amp;Result=3","7184950")</f>
        <v>0</v>
      </c>
      <c r="B9625" t="s">
        <v>2782</v>
      </c>
      <c r="C9625" t="s">
        <v>12924</v>
      </c>
      <c r="D9625" t="s">
        <v>18992</v>
      </c>
      <c r="E9625" t="s">
        <v>23890</v>
      </c>
      <c r="F9625" t="s">
        <v>32606</v>
      </c>
      <c r="G9625" t="s">
        <v>32613</v>
      </c>
      <c r="H9625" t="s">
        <v>14201</v>
      </c>
      <c r="I9625" t="s">
        <v>32699</v>
      </c>
      <c r="J9625" t="s">
        <v>33617</v>
      </c>
      <c r="K9625" t="s">
        <v>42622</v>
      </c>
      <c r="M9625" t="s">
        <v>46157</v>
      </c>
      <c r="N9625" t="s">
        <v>47304</v>
      </c>
      <c r="O9625" t="s">
        <v>47305</v>
      </c>
      <c r="P9625">
        <v>0</v>
      </c>
      <c r="Q9625">
        <v>0</v>
      </c>
      <c r="R9625" t="s">
        <v>47313</v>
      </c>
      <c r="S9625" t="s">
        <v>47535</v>
      </c>
      <c r="T9625" t="s">
        <v>49291</v>
      </c>
      <c r="U9625" t="s">
        <v>57489</v>
      </c>
      <c r="W9625" t="s">
        <v>46157</v>
      </c>
      <c r="X9625" t="s">
        <v>47314</v>
      </c>
    </row>
    <row r="9626" spans="1:24">
      <c r="A9626">
        <f>HYPERLINK("https://www.philgeps.gov.ph/GEPSNONPILOT/Tender/SplashBidNoticeAbstractUI.aspx?menuIndex=3&amp;refID=7184910&amp;Result=3","7184910")</f>
        <v>0</v>
      </c>
      <c r="B9626" t="s">
        <v>2970</v>
      </c>
      <c r="C9626" t="s">
        <v>12925</v>
      </c>
      <c r="D9626" t="s">
        <v>18993</v>
      </c>
      <c r="E9626" t="s">
        <v>27314</v>
      </c>
      <c r="F9626" t="s">
        <v>32606</v>
      </c>
      <c r="G9626" t="s">
        <v>32613</v>
      </c>
      <c r="H9626" t="s">
        <v>14201</v>
      </c>
      <c r="I9626" t="s">
        <v>13131</v>
      </c>
      <c r="J9626" t="s">
        <v>32981</v>
      </c>
      <c r="K9626" t="s">
        <v>42630</v>
      </c>
      <c r="M9626" t="s">
        <v>46156</v>
      </c>
      <c r="N9626" t="s">
        <v>47304</v>
      </c>
      <c r="O9626" t="s">
        <v>47305</v>
      </c>
      <c r="P9626">
        <v>0</v>
      </c>
      <c r="Q9626">
        <v>4</v>
      </c>
      <c r="R9626" t="s">
        <v>47313</v>
      </c>
      <c r="S9626" t="s">
        <v>47535</v>
      </c>
      <c r="T9626" t="s">
        <v>49071</v>
      </c>
      <c r="U9626" t="s">
        <v>57490</v>
      </c>
      <c r="W9626" t="s">
        <v>46156</v>
      </c>
      <c r="X9626" t="s">
        <v>47314</v>
      </c>
    </row>
    <row r="9627" spans="1:24">
      <c r="A9627">
        <f>HYPERLINK("https://www.philgeps.gov.ph/GEPSNONPILOT/Tender/SplashBidNoticeAbstractUI.aspx?menuIndex=3&amp;refID=7184948&amp;Result=3","7184948")</f>
        <v>0</v>
      </c>
      <c r="B9627" t="s">
        <v>2968</v>
      </c>
      <c r="C9627" t="s">
        <v>12926</v>
      </c>
      <c r="D9627" t="s">
        <v>19002</v>
      </c>
      <c r="E9627" t="s">
        <v>27315</v>
      </c>
      <c r="F9627" t="s">
        <v>32606</v>
      </c>
      <c r="G9627" t="s">
        <v>32613</v>
      </c>
      <c r="H9627" t="s">
        <v>14201</v>
      </c>
      <c r="I9627" t="s">
        <v>4120</v>
      </c>
      <c r="J9627" t="s">
        <v>38728</v>
      </c>
      <c r="K9627" t="s">
        <v>42622</v>
      </c>
      <c r="M9627" t="s">
        <v>46153</v>
      </c>
      <c r="N9627" t="s">
        <v>47304</v>
      </c>
      <c r="O9627" t="s">
        <v>47305</v>
      </c>
      <c r="P9627">
        <v>0</v>
      </c>
      <c r="Q9627">
        <v>0</v>
      </c>
      <c r="R9627" t="s">
        <v>47313</v>
      </c>
      <c r="S9627" t="s">
        <v>47535</v>
      </c>
      <c r="T9627" t="s">
        <v>49053</v>
      </c>
      <c r="U9627" t="s">
        <v>57491</v>
      </c>
      <c r="V9627" t="s">
        <v>63654</v>
      </c>
      <c r="W9627" t="s">
        <v>46153</v>
      </c>
      <c r="X9627" t="s">
        <v>47314</v>
      </c>
    </row>
    <row r="9628" spans="1:24">
      <c r="A9628">
        <f>HYPERLINK("https://www.philgeps.gov.ph/GEPSNONPILOT/Tender/SplashBidNoticeAbstractUI.aspx?menuIndex=3&amp;refID=7184897&amp;Result=3","7184897")</f>
        <v>0</v>
      </c>
      <c r="B9628" t="s">
        <v>2968</v>
      </c>
      <c r="C9628" t="s">
        <v>12927</v>
      </c>
      <c r="D9628" t="s">
        <v>19002</v>
      </c>
      <c r="E9628" t="s">
        <v>27316</v>
      </c>
      <c r="F9628" t="s">
        <v>32606</v>
      </c>
      <c r="G9628" t="s">
        <v>32613</v>
      </c>
      <c r="H9628" t="s">
        <v>14201</v>
      </c>
      <c r="I9628" t="s">
        <v>4120</v>
      </c>
      <c r="J9628" t="s">
        <v>38729</v>
      </c>
      <c r="K9628" t="s">
        <v>42622</v>
      </c>
      <c r="M9628" t="s">
        <v>46153</v>
      </c>
      <c r="N9628" t="s">
        <v>47304</v>
      </c>
      <c r="O9628" t="s">
        <v>47305</v>
      </c>
      <c r="P9628">
        <v>0</v>
      </c>
      <c r="Q9628">
        <v>0</v>
      </c>
      <c r="R9628" t="s">
        <v>47313</v>
      </c>
      <c r="S9628" t="s">
        <v>47535</v>
      </c>
      <c r="T9628" t="s">
        <v>49053</v>
      </c>
      <c r="U9628" t="s">
        <v>57492</v>
      </c>
      <c r="V9628" t="s">
        <v>63654</v>
      </c>
      <c r="W9628" t="s">
        <v>46153</v>
      </c>
      <c r="X9628" t="s">
        <v>47314</v>
      </c>
    </row>
    <row r="9629" spans="1:24">
      <c r="A9629">
        <f>HYPERLINK("https://www.philgeps.gov.ph/GEPSNONPILOT/Tender/SplashBidNoticeAbstractUI.aspx?menuIndex=3&amp;refID=7184628&amp;Result=3","7184628")</f>
        <v>0</v>
      </c>
      <c r="B9629" t="s">
        <v>2971</v>
      </c>
      <c r="C9629" t="s">
        <v>12928</v>
      </c>
      <c r="D9629" t="s">
        <v>19013</v>
      </c>
      <c r="E9629" t="s">
        <v>19358</v>
      </c>
      <c r="F9629" t="s">
        <v>32606</v>
      </c>
      <c r="G9629" t="s">
        <v>32619</v>
      </c>
      <c r="H9629" t="s">
        <v>14201</v>
      </c>
      <c r="I9629" t="s">
        <v>4121</v>
      </c>
      <c r="J9629" t="s">
        <v>38730</v>
      </c>
      <c r="K9629" t="s">
        <v>42630</v>
      </c>
      <c r="M9629" t="s">
        <v>46158</v>
      </c>
      <c r="N9629" t="s">
        <v>47304</v>
      </c>
      <c r="O9629" t="s">
        <v>47305</v>
      </c>
      <c r="P9629">
        <v>0</v>
      </c>
      <c r="Q9629">
        <v>7</v>
      </c>
      <c r="R9629" t="s">
        <v>47313</v>
      </c>
      <c r="S9629" t="s">
        <v>47535</v>
      </c>
      <c r="T9629" t="s">
        <v>49165</v>
      </c>
      <c r="U9629" t="s">
        <v>57493</v>
      </c>
      <c r="W9629" t="s">
        <v>46158</v>
      </c>
      <c r="X9629" t="s">
        <v>47314</v>
      </c>
    </row>
    <row r="9630" spans="1:24">
      <c r="A9630">
        <f>HYPERLINK("https://www.philgeps.gov.ph/GEPSNONPILOT/Tender/SplashBidNoticeAbstractUI.aspx?menuIndex=3&amp;refID=7184938&amp;Result=3","7184938")</f>
        <v>0</v>
      </c>
      <c r="B9630" t="s">
        <v>2782</v>
      </c>
      <c r="C9630" t="s">
        <v>12929</v>
      </c>
      <c r="D9630" t="s">
        <v>18992</v>
      </c>
      <c r="E9630" t="s">
        <v>27317</v>
      </c>
      <c r="F9630" t="s">
        <v>32606</v>
      </c>
      <c r="G9630" t="s">
        <v>32613</v>
      </c>
      <c r="H9630" t="s">
        <v>14201</v>
      </c>
      <c r="I9630" t="s">
        <v>4121</v>
      </c>
      <c r="J9630" t="s">
        <v>38731</v>
      </c>
      <c r="K9630" t="s">
        <v>42622</v>
      </c>
      <c r="M9630" t="s">
        <v>46157</v>
      </c>
      <c r="N9630" t="s">
        <v>47304</v>
      </c>
      <c r="O9630" t="s">
        <v>47305</v>
      </c>
      <c r="P9630">
        <v>0</v>
      </c>
      <c r="Q9630">
        <v>0</v>
      </c>
      <c r="R9630" t="s">
        <v>47313</v>
      </c>
      <c r="S9630" t="s">
        <v>47535</v>
      </c>
      <c r="T9630" t="s">
        <v>49347</v>
      </c>
      <c r="U9630" t="s">
        <v>57494</v>
      </c>
      <c r="W9630" t="s">
        <v>46157</v>
      </c>
      <c r="X9630" t="s">
        <v>47314</v>
      </c>
    </row>
    <row r="9631" spans="1:24">
      <c r="A9631">
        <f>HYPERLINK("https://www.philgeps.gov.ph/GEPSNONPILOT/Tender/SplashBidNoticeAbstractUI.aspx?menuIndex=3&amp;refID=7184896&amp;Result=3","7184896")</f>
        <v>0</v>
      </c>
      <c r="B9631" t="s">
        <v>2972</v>
      </c>
      <c r="C9631" t="s">
        <v>12930</v>
      </c>
      <c r="D9631" t="s">
        <v>18986</v>
      </c>
      <c r="E9631" t="s">
        <v>19145</v>
      </c>
      <c r="F9631" t="s">
        <v>32606</v>
      </c>
      <c r="G9631" t="s">
        <v>32613</v>
      </c>
      <c r="H9631" t="s">
        <v>14201</v>
      </c>
      <c r="I9631" t="s">
        <v>32725</v>
      </c>
      <c r="J9631" t="s">
        <v>38732</v>
      </c>
      <c r="K9631" t="s">
        <v>42631</v>
      </c>
      <c r="M9631" t="s">
        <v>46159</v>
      </c>
      <c r="N9631" t="s">
        <v>47304</v>
      </c>
      <c r="O9631" t="s">
        <v>47305</v>
      </c>
      <c r="P9631">
        <v>0</v>
      </c>
      <c r="Q9631">
        <v>0</v>
      </c>
      <c r="R9631" t="s">
        <v>47313</v>
      </c>
      <c r="S9631" t="s">
        <v>47535</v>
      </c>
      <c r="T9631" t="s">
        <v>49268</v>
      </c>
      <c r="U9631" t="s">
        <v>57495</v>
      </c>
      <c r="W9631" t="s">
        <v>46159</v>
      </c>
      <c r="X9631" t="s">
        <v>47314</v>
      </c>
    </row>
    <row r="9632" spans="1:24">
      <c r="A9632">
        <f>HYPERLINK("https://www.philgeps.gov.ph/GEPSNONPILOT/Tender/SplashBidNoticeAbstractUI.aspx?menuIndex=3&amp;refID=7184883&amp;Result=3","7184883")</f>
        <v>0</v>
      </c>
      <c r="B9632" t="s">
        <v>2973</v>
      </c>
      <c r="C9632" t="s">
        <v>7476</v>
      </c>
      <c r="D9632" t="s">
        <v>19035</v>
      </c>
      <c r="E9632" t="s">
        <v>19145</v>
      </c>
      <c r="F9632" t="s">
        <v>32606</v>
      </c>
      <c r="G9632" t="s">
        <v>32613</v>
      </c>
      <c r="H9632" t="s">
        <v>14201</v>
      </c>
      <c r="I9632" t="s">
        <v>6931</v>
      </c>
      <c r="J9632" t="s">
        <v>38733</v>
      </c>
      <c r="K9632" t="s">
        <v>42638</v>
      </c>
      <c r="M9632" t="s">
        <v>46160</v>
      </c>
      <c r="N9632" t="s">
        <v>47304</v>
      </c>
      <c r="O9632" t="s">
        <v>47305</v>
      </c>
      <c r="P9632">
        <v>0</v>
      </c>
      <c r="Q9632">
        <v>3</v>
      </c>
      <c r="R9632" t="s">
        <v>47313</v>
      </c>
      <c r="S9632" t="s">
        <v>47535</v>
      </c>
      <c r="T9632" t="s">
        <v>49004</v>
      </c>
      <c r="U9632" t="s">
        <v>57496</v>
      </c>
      <c r="W9632" t="s">
        <v>46160</v>
      </c>
      <c r="X9632" t="s">
        <v>47314</v>
      </c>
    </row>
    <row r="9633" spans="1:24">
      <c r="A9633">
        <f>HYPERLINK("https://www.philgeps.gov.ph/GEPSNONPILOT/Tender/SplashBidNoticeAbstractUI.aspx?menuIndex=3&amp;refID=7184878&amp;Result=3","7184878")</f>
        <v>0</v>
      </c>
      <c r="B9633" t="s">
        <v>1807</v>
      </c>
      <c r="C9633" t="s">
        <v>12931</v>
      </c>
      <c r="D9633" t="s">
        <v>19026</v>
      </c>
      <c r="E9633" t="s">
        <v>27318</v>
      </c>
      <c r="F9633" t="s">
        <v>32606</v>
      </c>
      <c r="G9633" t="s">
        <v>32617</v>
      </c>
      <c r="H9633" t="s">
        <v>14201</v>
      </c>
      <c r="I9633" t="s">
        <v>4120</v>
      </c>
      <c r="J9633" t="s">
        <v>36175</v>
      </c>
      <c r="K9633" t="s">
        <v>42630</v>
      </c>
      <c r="M9633" t="s">
        <v>44848</v>
      </c>
      <c r="N9633" t="s">
        <v>47304</v>
      </c>
      <c r="O9633" t="s">
        <v>47305</v>
      </c>
      <c r="P9633">
        <v>0</v>
      </c>
      <c r="Q9633">
        <v>1</v>
      </c>
      <c r="R9633" t="s">
        <v>47313</v>
      </c>
      <c r="S9633" t="s">
        <v>47535</v>
      </c>
      <c r="T9633" t="s">
        <v>49072</v>
      </c>
      <c r="U9633" t="s">
        <v>57497</v>
      </c>
      <c r="W9633" t="s">
        <v>44848</v>
      </c>
      <c r="X9633" t="s">
        <v>47314</v>
      </c>
    </row>
    <row r="9634" spans="1:24">
      <c r="A9634">
        <f>HYPERLINK("https://www.philgeps.gov.ph/GEPSNONPILOT/Tender/SplashBidNoticeAbstractUI.aspx?menuIndex=3&amp;refID=7184870&amp;Result=3","7184870")</f>
        <v>0</v>
      </c>
      <c r="B9634" t="s">
        <v>2974</v>
      </c>
      <c r="C9634" t="s">
        <v>12932</v>
      </c>
      <c r="D9634" t="s">
        <v>19066</v>
      </c>
      <c r="E9634" t="s">
        <v>19522</v>
      </c>
      <c r="F9634" t="s">
        <v>32606</v>
      </c>
      <c r="G9634" t="s">
        <v>32613</v>
      </c>
      <c r="H9634" t="s">
        <v>14201</v>
      </c>
      <c r="I9634" t="s">
        <v>6931</v>
      </c>
      <c r="J9634" t="s">
        <v>38734</v>
      </c>
      <c r="K9634" t="s">
        <v>42631</v>
      </c>
      <c r="M9634" t="s">
        <v>46161</v>
      </c>
      <c r="N9634" t="s">
        <v>47304</v>
      </c>
      <c r="O9634" t="s">
        <v>47305</v>
      </c>
      <c r="P9634">
        <v>0</v>
      </c>
      <c r="Q9634">
        <v>0</v>
      </c>
      <c r="R9634" t="s">
        <v>47313</v>
      </c>
      <c r="S9634" t="s">
        <v>47535</v>
      </c>
      <c r="T9634" t="s">
        <v>49140</v>
      </c>
      <c r="U9634" t="s">
        <v>57498</v>
      </c>
      <c r="V9634" t="s">
        <v>63655</v>
      </c>
      <c r="W9634" t="s">
        <v>46161</v>
      </c>
      <c r="X9634" t="s">
        <v>47314</v>
      </c>
    </row>
    <row r="9635" spans="1:24">
      <c r="A9635">
        <f>HYPERLINK("https://www.philgeps.gov.ph/GEPSNONPILOT/Tender/SplashBidNoticeAbstractUI.aspx?menuIndex=3&amp;refID=7184902&amp;Result=3","7184902")</f>
        <v>0</v>
      </c>
      <c r="B9635" t="s">
        <v>2975</v>
      </c>
      <c r="C9635" t="s">
        <v>12933</v>
      </c>
      <c r="D9635" t="s">
        <v>19033</v>
      </c>
      <c r="E9635" t="s">
        <v>27319</v>
      </c>
      <c r="F9635" t="s">
        <v>32607</v>
      </c>
      <c r="G9635" t="s">
        <v>32613</v>
      </c>
      <c r="H9635" t="s">
        <v>32623</v>
      </c>
      <c r="I9635" t="s">
        <v>9013</v>
      </c>
      <c r="J9635" t="s">
        <v>34709</v>
      </c>
      <c r="K9635" t="s">
        <v>42638</v>
      </c>
      <c r="L9635" t="s">
        <v>2975</v>
      </c>
      <c r="M9635" t="s">
        <v>46162</v>
      </c>
      <c r="N9635" t="s">
        <v>47304</v>
      </c>
      <c r="O9635" t="s">
        <v>47305</v>
      </c>
      <c r="P9635">
        <v>0</v>
      </c>
      <c r="Q9635">
        <v>1</v>
      </c>
      <c r="R9635" t="s">
        <v>47313</v>
      </c>
      <c r="S9635" t="s">
        <v>47535</v>
      </c>
      <c r="T9635" t="s">
        <v>49334</v>
      </c>
      <c r="U9635" t="s">
        <v>57499</v>
      </c>
      <c r="W9635" t="s">
        <v>46162</v>
      </c>
      <c r="X9635" t="s">
        <v>47314</v>
      </c>
    </row>
    <row r="9636" spans="1:24">
      <c r="A9636">
        <f>HYPERLINK("https://www.philgeps.gov.ph/GEPSNONPILOT/Tender/SplashBidNoticeAbstractUI.aspx?menuIndex=3&amp;refID=7184900&amp;Result=3","7184900")</f>
        <v>0</v>
      </c>
      <c r="B9636" t="s">
        <v>2968</v>
      </c>
      <c r="C9636" t="s">
        <v>12934</v>
      </c>
      <c r="D9636" t="s">
        <v>19002</v>
      </c>
      <c r="E9636" t="s">
        <v>27320</v>
      </c>
      <c r="F9636" t="s">
        <v>32606</v>
      </c>
      <c r="G9636" t="s">
        <v>32613</v>
      </c>
      <c r="H9636" t="s">
        <v>14201</v>
      </c>
      <c r="I9636" t="s">
        <v>4678</v>
      </c>
      <c r="J9636" t="s">
        <v>38735</v>
      </c>
      <c r="K9636" t="s">
        <v>42623</v>
      </c>
      <c r="M9636" t="s">
        <v>46153</v>
      </c>
      <c r="N9636" t="s">
        <v>47304</v>
      </c>
      <c r="O9636" t="s">
        <v>47305</v>
      </c>
      <c r="P9636">
        <v>0</v>
      </c>
      <c r="Q9636">
        <v>0</v>
      </c>
      <c r="R9636" t="s">
        <v>47313</v>
      </c>
      <c r="S9636" t="s">
        <v>47535</v>
      </c>
      <c r="T9636" t="s">
        <v>49053</v>
      </c>
      <c r="U9636" t="s">
        <v>57500</v>
      </c>
      <c r="V9636" t="s">
        <v>63654</v>
      </c>
      <c r="W9636" t="s">
        <v>46153</v>
      </c>
      <c r="X9636" t="s">
        <v>47314</v>
      </c>
    </row>
    <row r="9637" spans="1:24">
      <c r="A9637">
        <f>HYPERLINK("https://www.philgeps.gov.ph/GEPSNONPILOT/Tender/SplashBidNoticeAbstractUI.aspx?menuIndex=3&amp;refID=7184796&amp;Result=3","7184796")</f>
        <v>0</v>
      </c>
      <c r="B9637" t="s">
        <v>2976</v>
      </c>
      <c r="C9637" t="s">
        <v>12935</v>
      </c>
      <c r="D9637" t="s">
        <v>18995</v>
      </c>
      <c r="E9637" t="s">
        <v>19690</v>
      </c>
      <c r="F9637" t="s">
        <v>32606</v>
      </c>
      <c r="G9637" t="s">
        <v>32613</v>
      </c>
      <c r="H9637" t="s">
        <v>14201</v>
      </c>
      <c r="I9637" t="s">
        <v>32640</v>
      </c>
      <c r="J9637" t="s">
        <v>32981</v>
      </c>
      <c r="K9637" t="s">
        <v>42631</v>
      </c>
      <c r="M9637" t="s">
        <v>46163</v>
      </c>
      <c r="N9637" t="s">
        <v>47304</v>
      </c>
      <c r="O9637" t="s">
        <v>47305</v>
      </c>
      <c r="P9637">
        <v>0</v>
      </c>
      <c r="Q9637">
        <v>3</v>
      </c>
      <c r="R9637" t="s">
        <v>47313</v>
      </c>
      <c r="S9637" t="s">
        <v>47535</v>
      </c>
      <c r="T9637" t="s">
        <v>49346</v>
      </c>
      <c r="U9637" t="s">
        <v>57501</v>
      </c>
      <c r="V9637" t="s">
        <v>63656</v>
      </c>
      <c r="W9637" t="s">
        <v>46163</v>
      </c>
      <c r="X9637" t="s">
        <v>47314</v>
      </c>
    </row>
    <row r="9638" spans="1:24">
      <c r="A9638">
        <f>HYPERLINK("https://www.philgeps.gov.ph/GEPSNONPILOT/Tender/SplashBidNoticeAbstractUI.aspx?menuIndex=3&amp;refID=7184726&amp;Result=3","7184726")</f>
        <v>0</v>
      </c>
      <c r="B9638" t="s">
        <v>2976</v>
      </c>
      <c r="C9638" t="s">
        <v>12936</v>
      </c>
      <c r="D9638" t="s">
        <v>18995</v>
      </c>
      <c r="E9638" t="s">
        <v>19372</v>
      </c>
      <c r="F9638" t="s">
        <v>32606</v>
      </c>
      <c r="G9638" t="s">
        <v>32613</v>
      </c>
      <c r="H9638" t="s">
        <v>32623</v>
      </c>
      <c r="I9638" t="s">
        <v>17648</v>
      </c>
      <c r="J9638" t="s">
        <v>32789</v>
      </c>
      <c r="K9638" t="s">
        <v>42636</v>
      </c>
      <c r="M9638" t="s">
        <v>46163</v>
      </c>
      <c r="N9638" t="s">
        <v>47304</v>
      </c>
      <c r="O9638" t="s">
        <v>47305</v>
      </c>
      <c r="P9638">
        <v>0</v>
      </c>
      <c r="Q9638">
        <v>0</v>
      </c>
      <c r="R9638" t="s">
        <v>47313</v>
      </c>
      <c r="S9638" t="s">
        <v>47535</v>
      </c>
      <c r="T9638" t="s">
        <v>49071</v>
      </c>
      <c r="U9638" t="s">
        <v>57502</v>
      </c>
      <c r="V9638" t="s">
        <v>63657</v>
      </c>
      <c r="W9638" t="s">
        <v>46163</v>
      </c>
      <c r="X9638" t="s">
        <v>47314</v>
      </c>
    </row>
    <row r="9639" spans="1:24">
      <c r="A9639">
        <f>HYPERLINK("https://www.philgeps.gov.ph/GEPSNONPILOT/Tender/SplashBidNoticeAbstractUI.aspx?menuIndex=3&amp;refID=7184640&amp;Result=3","7184640")</f>
        <v>0</v>
      </c>
      <c r="B9639" t="s">
        <v>1228</v>
      </c>
      <c r="C9639" t="s">
        <v>12937</v>
      </c>
      <c r="D9639" t="s">
        <v>19048</v>
      </c>
      <c r="E9639" t="s">
        <v>27321</v>
      </c>
      <c r="F9639" t="s">
        <v>32606</v>
      </c>
      <c r="G9639" t="s">
        <v>32613</v>
      </c>
      <c r="H9639" t="s">
        <v>32623</v>
      </c>
      <c r="I9639" t="s">
        <v>17648</v>
      </c>
      <c r="J9639" t="s">
        <v>33102</v>
      </c>
      <c r="K9639" t="s">
        <v>42631</v>
      </c>
      <c r="M9639" t="s">
        <v>44193</v>
      </c>
      <c r="N9639" t="s">
        <v>47304</v>
      </c>
      <c r="O9639" t="s">
        <v>47305</v>
      </c>
      <c r="P9639">
        <v>0</v>
      </c>
      <c r="Q9639">
        <v>0</v>
      </c>
      <c r="R9639" t="s">
        <v>47313</v>
      </c>
      <c r="S9639" t="s">
        <v>47535</v>
      </c>
      <c r="T9639" t="s">
        <v>49254</v>
      </c>
      <c r="U9639" t="s">
        <v>57422</v>
      </c>
      <c r="W9639" t="s">
        <v>44193</v>
      </c>
      <c r="X9639" t="s">
        <v>47314</v>
      </c>
    </row>
    <row r="9640" spans="1:24">
      <c r="A9640">
        <f>HYPERLINK("https://www.philgeps.gov.ph/GEPSNONPILOT/Tender/SplashBidNoticeAbstractUI.aspx?menuIndex=3&amp;refID=7184895&amp;Result=3","7184895")</f>
        <v>0</v>
      </c>
      <c r="B9640" t="s">
        <v>2973</v>
      </c>
      <c r="C9640" t="s">
        <v>12938</v>
      </c>
      <c r="D9640" t="s">
        <v>19035</v>
      </c>
      <c r="E9640" t="s">
        <v>19690</v>
      </c>
      <c r="F9640" t="s">
        <v>32606</v>
      </c>
      <c r="G9640" t="s">
        <v>32613</v>
      </c>
      <c r="H9640" t="s">
        <v>14201</v>
      </c>
      <c r="I9640" t="s">
        <v>6931</v>
      </c>
      <c r="J9640" t="s">
        <v>38736</v>
      </c>
      <c r="K9640" t="s">
        <v>42638</v>
      </c>
      <c r="M9640" t="s">
        <v>46160</v>
      </c>
      <c r="N9640" t="s">
        <v>47304</v>
      </c>
      <c r="O9640" t="s">
        <v>47305</v>
      </c>
      <c r="P9640">
        <v>0</v>
      </c>
      <c r="Q9640">
        <v>4</v>
      </c>
      <c r="R9640" t="s">
        <v>47313</v>
      </c>
      <c r="S9640" t="s">
        <v>47535</v>
      </c>
      <c r="T9640" t="s">
        <v>49004</v>
      </c>
      <c r="U9640" t="s">
        <v>57503</v>
      </c>
      <c r="W9640" t="s">
        <v>46160</v>
      </c>
      <c r="X9640" t="s">
        <v>47314</v>
      </c>
    </row>
    <row r="9641" spans="1:24">
      <c r="A9641">
        <f>HYPERLINK("https://www.philgeps.gov.ph/GEPSNONPILOT/Tender/SplashBidNoticeAbstractUI.aspx?menuIndex=3&amp;refID=7184886&amp;Result=3","7184886")</f>
        <v>0</v>
      </c>
      <c r="B9641" t="s">
        <v>207</v>
      </c>
      <c r="C9641" t="s">
        <v>12939</v>
      </c>
      <c r="D9641" t="s">
        <v>19047</v>
      </c>
      <c r="E9641" t="s">
        <v>27322</v>
      </c>
      <c r="F9641" t="s">
        <v>32606</v>
      </c>
      <c r="G9641" t="s">
        <v>32614</v>
      </c>
      <c r="H9641" t="s">
        <v>14201</v>
      </c>
      <c r="I9641" t="s">
        <v>4114</v>
      </c>
      <c r="J9641" t="s">
        <v>38737</v>
      </c>
      <c r="K9641" t="s">
        <v>42630</v>
      </c>
      <c r="M9641" t="s">
        <v>43108</v>
      </c>
      <c r="N9641" t="s">
        <v>47304</v>
      </c>
      <c r="O9641" t="s">
        <v>47305</v>
      </c>
      <c r="P9641">
        <v>0</v>
      </c>
      <c r="Q9641">
        <v>0</v>
      </c>
      <c r="R9641" t="s">
        <v>47313</v>
      </c>
      <c r="S9641" t="s">
        <v>47535</v>
      </c>
      <c r="T9641" t="s">
        <v>49268</v>
      </c>
      <c r="U9641" t="s">
        <v>49912</v>
      </c>
      <c r="W9641" t="s">
        <v>43108</v>
      </c>
      <c r="X9641" t="s">
        <v>47314</v>
      </c>
    </row>
    <row r="9642" spans="1:24">
      <c r="A9642">
        <f>HYPERLINK("https://www.philgeps.gov.ph/GEPSNONPILOT/Tender/SplashBidNoticeAbstractUI.aspx?menuIndex=3&amp;refID=7184975&amp;Result=3","7184975")</f>
        <v>0</v>
      </c>
      <c r="B9642" t="s">
        <v>2977</v>
      </c>
      <c r="C9642" t="s">
        <v>12940</v>
      </c>
      <c r="D9642" t="s">
        <v>19058</v>
      </c>
      <c r="E9642" t="s">
        <v>27323</v>
      </c>
      <c r="F9642" t="s">
        <v>32608</v>
      </c>
      <c r="G9642" t="s">
        <v>32613</v>
      </c>
      <c r="H9642" t="s">
        <v>32623</v>
      </c>
      <c r="I9642" t="s">
        <v>6931</v>
      </c>
      <c r="J9642" t="s">
        <v>38738</v>
      </c>
      <c r="K9642" t="s">
        <v>42636</v>
      </c>
      <c r="M9642" t="s">
        <v>46164</v>
      </c>
      <c r="N9642" t="s">
        <v>47304</v>
      </c>
      <c r="O9642" t="s">
        <v>47305</v>
      </c>
      <c r="P9642">
        <v>0</v>
      </c>
      <c r="Q9642">
        <v>1</v>
      </c>
      <c r="R9642" t="s">
        <v>47313</v>
      </c>
      <c r="S9642" t="s">
        <v>47535</v>
      </c>
      <c r="T9642" t="s">
        <v>48996</v>
      </c>
      <c r="U9642" t="s">
        <v>57504</v>
      </c>
      <c r="W9642" t="s">
        <v>46164</v>
      </c>
      <c r="X9642" t="s">
        <v>47314</v>
      </c>
    </row>
    <row r="9643" spans="1:24">
      <c r="A9643">
        <f>HYPERLINK("https://www.philgeps.gov.ph/GEPSNONPILOT/Tender/SplashBidNoticeAbstractUI.aspx?menuIndex=3&amp;refID=7184957&amp;Result=3","7184957")</f>
        <v>0</v>
      </c>
      <c r="B9643" t="s">
        <v>753</v>
      </c>
      <c r="C9643" t="s">
        <v>12941</v>
      </c>
      <c r="D9643" t="s">
        <v>18991</v>
      </c>
      <c r="E9643" t="s">
        <v>27324</v>
      </c>
      <c r="F9643" t="s">
        <v>32606</v>
      </c>
      <c r="G9643" t="s">
        <v>32613</v>
      </c>
      <c r="H9643" t="s">
        <v>32623</v>
      </c>
      <c r="I9643" t="s">
        <v>17648</v>
      </c>
      <c r="J9643" t="s">
        <v>38739</v>
      </c>
      <c r="K9643" t="s">
        <v>42646</v>
      </c>
      <c r="M9643" t="s">
        <v>43676</v>
      </c>
      <c r="N9643" t="s">
        <v>47304</v>
      </c>
      <c r="O9643" t="s">
        <v>47305</v>
      </c>
      <c r="P9643">
        <v>0</v>
      </c>
      <c r="Q9643">
        <v>0</v>
      </c>
      <c r="R9643" t="s">
        <v>47313</v>
      </c>
      <c r="S9643" t="s">
        <v>47535</v>
      </c>
      <c r="T9643" t="s">
        <v>49024</v>
      </c>
      <c r="U9643" t="s">
        <v>57505</v>
      </c>
      <c r="W9643" t="s">
        <v>43676</v>
      </c>
      <c r="X9643" t="s">
        <v>47314</v>
      </c>
    </row>
    <row r="9644" spans="1:24">
      <c r="A9644">
        <f>HYPERLINK("https://www.philgeps.gov.ph/GEPSNONPILOT/Tender/SplashBidNoticeAbstractUI.aspx?menuIndex=3&amp;refID=7184968&amp;Result=3","7184968")</f>
        <v>0</v>
      </c>
      <c r="B9644" t="s">
        <v>2978</v>
      </c>
      <c r="C9644" t="s">
        <v>12942</v>
      </c>
      <c r="D9644" t="s">
        <v>18995</v>
      </c>
      <c r="E9644" t="s">
        <v>27325</v>
      </c>
      <c r="F9644" t="s">
        <v>32606</v>
      </c>
      <c r="G9644" t="s">
        <v>32613</v>
      </c>
      <c r="H9644" t="s">
        <v>32623</v>
      </c>
      <c r="I9644" t="s">
        <v>17648</v>
      </c>
      <c r="J9644" t="s">
        <v>38740</v>
      </c>
      <c r="K9644" t="s">
        <v>42636</v>
      </c>
      <c r="M9644" t="s">
        <v>46165</v>
      </c>
      <c r="N9644" t="s">
        <v>47304</v>
      </c>
      <c r="O9644" t="s">
        <v>47305</v>
      </c>
      <c r="P9644">
        <v>0</v>
      </c>
      <c r="Q9644">
        <v>2</v>
      </c>
      <c r="R9644" t="s">
        <v>47313</v>
      </c>
      <c r="S9644" t="s">
        <v>47535</v>
      </c>
      <c r="T9644" t="s">
        <v>49268</v>
      </c>
      <c r="U9644" t="s">
        <v>57506</v>
      </c>
      <c r="V9644" t="s">
        <v>53712</v>
      </c>
      <c r="W9644" t="s">
        <v>46165</v>
      </c>
      <c r="X9644" t="s">
        <v>47314</v>
      </c>
    </row>
    <row r="9645" spans="1:24">
      <c r="A9645">
        <f>HYPERLINK("https://www.philgeps.gov.ph/GEPSNONPILOT/Tender/SplashBidNoticeAbstractUI.aspx?menuIndex=3&amp;refID=7184961&amp;Result=3","7184961")</f>
        <v>0</v>
      </c>
      <c r="B9645" t="s">
        <v>1605</v>
      </c>
      <c r="C9645" t="s">
        <v>12943</v>
      </c>
      <c r="D9645" t="s">
        <v>19034</v>
      </c>
      <c r="E9645" t="s">
        <v>27326</v>
      </c>
      <c r="F9645" t="s">
        <v>32606</v>
      </c>
      <c r="G9645" t="s">
        <v>32619</v>
      </c>
      <c r="H9645" t="s">
        <v>14201</v>
      </c>
      <c r="I9645" t="s">
        <v>4114</v>
      </c>
      <c r="J9645" t="s">
        <v>38741</v>
      </c>
      <c r="K9645" t="s">
        <v>42631</v>
      </c>
      <c r="M9645" t="s">
        <v>44621</v>
      </c>
      <c r="N9645" t="s">
        <v>47304</v>
      </c>
      <c r="O9645" t="s">
        <v>47305</v>
      </c>
      <c r="P9645">
        <v>0</v>
      </c>
      <c r="Q9645">
        <v>1</v>
      </c>
      <c r="R9645" t="s">
        <v>47313</v>
      </c>
      <c r="S9645" t="s">
        <v>47535</v>
      </c>
      <c r="T9645" t="s">
        <v>49268</v>
      </c>
      <c r="U9645" t="s">
        <v>53141</v>
      </c>
      <c r="W9645" t="s">
        <v>44621</v>
      </c>
      <c r="X9645" t="s">
        <v>47314</v>
      </c>
    </row>
    <row r="9646" spans="1:24">
      <c r="A9646">
        <f>HYPERLINK("https://www.philgeps.gov.ph/GEPSNONPILOT/Tender/SplashBidNoticeAbstractUI.aspx?menuIndex=3&amp;refID=7184982&amp;Result=3","7184982")</f>
        <v>0</v>
      </c>
      <c r="B9646" t="s">
        <v>1999</v>
      </c>
      <c r="C9646" t="s">
        <v>9783</v>
      </c>
      <c r="D9646" t="s">
        <v>19053</v>
      </c>
      <c r="E9646" t="s">
        <v>27327</v>
      </c>
      <c r="F9646" t="s">
        <v>32606</v>
      </c>
      <c r="G9646" t="s">
        <v>32613</v>
      </c>
      <c r="H9646" t="s">
        <v>32623</v>
      </c>
      <c r="I9646" t="s">
        <v>32659</v>
      </c>
      <c r="J9646" t="s">
        <v>33151</v>
      </c>
      <c r="K9646" t="s">
        <v>42631</v>
      </c>
      <c r="M9646" t="s">
        <v>45068</v>
      </c>
      <c r="N9646" t="s">
        <v>47304</v>
      </c>
      <c r="O9646" t="s">
        <v>47305</v>
      </c>
      <c r="P9646">
        <v>0</v>
      </c>
      <c r="Q9646">
        <v>1</v>
      </c>
      <c r="R9646" t="s">
        <v>47313</v>
      </c>
      <c r="S9646" t="s">
        <v>47535</v>
      </c>
      <c r="T9646" t="s">
        <v>49315</v>
      </c>
      <c r="U9646" t="s">
        <v>57507</v>
      </c>
      <c r="W9646" t="s">
        <v>45068</v>
      </c>
      <c r="X9646" t="s">
        <v>47314</v>
      </c>
    </row>
    <row r="9647" spans="1:24">
      <c r="A9647">
        <f>HYPERLINK("https://www.philgeps.gov.ph/GEPSNONPILOT/Tender/SplashBidNoticeAbstractUI.aspx?menuIndex=3&amp;refID=7185022&amp;Result=3","7185022")</f>
        <v>0</v>
      </c>
      <c r="B9647" t="s">
        <v>534</v>
      </c>
      <c r="C9647" t="s">
        <v>12944</v>
      </c>
      <c r="D9647" t="s">
        <v>19006</v>
      </c>
      <c r="E9647" t="s">
        <v>27328</v>
      </c>
      <c r="F9647" t="s">
        <v>32606</v>
      </c>
      <c r="G9647" t="s">
        <v>32613</v>
      </c>
      <c r="H9647" t="s">
        <v>14201</v>
      </c>
      <c r="I9647" t="s">
        <v>4678</v>
      </c>
      <c r="J9647" t="s">
        <v>32949</v>
      </c>
      <c r="K9647" t="s">
        <v>42622</v>
      </c>
      <c r="M9647" t="s">
        <v>43447</v>
      </c>
      <c r="N9647" t="s">
        <v>47304</v>
      </c>
      <c r="O9647" t="s">
        <v>47305</v>
      </c>
      <c r="P9647">
        <v>0</v>
      </c>
      <c r="Q9647">
        <v>0</v>
      </c>
      <c r="R9647" t="s">
        <v>47313</v>
      </c>
      <c r="S9647" t="s">
        <v>47535</v>
      </c>
      <c r="T9647" t="s">
        <v>49040</v>
      </c>
      <c r="U9647" t="s">
        <v>57508</v>
      </c>
      <c r="W9647" t="s">
        <v>43447</v>
      </c>
      <c r="X9647" t="s">
        <v>47314</v>
      </c>
    </row>
    <row r="9648" spans="1:24">
      <c r="A9648">
        <f>HYPERLINK("https://www.philgeps.gov.ph/GEPSNONPILOT/Tender/SplashBidNoticeAbstractUI.aspx?menuIndex=3&amp;refID=7184962&amp;Result=3","7184962")</f>
        <v>0</v>
      </c>
      <c r="B9648" t="s">
        <v>2968</v>
      </c>
      <c r="C9648" t="s">
        <v>12945</v>
      </c>
      <c r="D9648" t="s">
        <v>19002</v>
      </c>
      <c r="E9648" t="s">
        <v>27329</v>
      </c>
      <c r="F9648" t="s">
        <v>32606</v>
      </c>
      <c r="G9648" t="s">
        <v>32613</v>
      </c>
      <c r="H9648" t="s">
        <v>14201</v>
      </c>
      <c r="I9648" t="s">
        <v>32655</v>
      </c>
      <c r="J9648" t="s">
        <v>33363</v>
      </c>
      <c r="K9648" t="s">
        <v>42636</v>
      </c>
      <c r="M9648" t="s">
        <v>46153</v>
      </c>
      <c r="N9648" t="s">
        <v>47304</v>
      </c>
      <c r="O9648" t="s">
        <v>47305</v>
      </c>
      <c r="P9648">
        <v>0</v>
      </c>
      <c r="Q9648">
        <v>3</v>
      </c>
      <c r="R9648" t="s">
        <v>47313</v>
      </c>
      <c r="S9648" t="s">
        <v>47535</v>
      </c>
      <c r="T9648" t="s">
        <v>49053</v>
      </c>
      <c r="U9648" t="s">
        <v>57509</v>
      </c>
      <c r="V9648" t="s">
        <v>63654</v>
      </c>
      <c r="W9648" t="s">
        <v>46153</v>
      </c>
      <c r="X9648" t="s">
        <v>47314</v>
      </c>
    </row>
    <row r="9649" spans="1:24">
      <c r="A9649">
        <f>HYPERLINK("https://www.philgeps.gov.ph/GEPSNONPILOT/Tender/SplashBidNoticeAbstractUI.aspx?menuIndex=3&amp;refID=7185021&amp;Result=3","7185021")</f>
        <v>0</v>
      </c>
      <c r="B9649" t="s">
        <v>2979</v>
      </c>
      <c r="C9649" t="s">
        <v>12946</v>
      </c>
      <c r="D9649" t="s">
        <v>18989</v>
      </c>
      <c r="E9649" t="s">
        <v>27087</v>
      </c>
      <c r="F9649" t="s">
        <v>32606</v>
      </c>
      <c r="G9649" t="s">
        <v>32613</v>
      </c>
      <c r="H9649" t="s">
        <v>14201</v>
      </c>
      <c r="I9649" t="s">
        <v>4120</v>
      </c>
      <c r="J9649" t="s">
        <v>38742</v>
      </c>
      <c r="K9649" t="s">
        <v>42623</v>
      </c>
      <c r="M9649" t="s">
        <v>46166</v>
      </c>
      <c r="N9649" t="s">
        <v>47304</v>
      </c>
      <c r="O9649" t="s">
        <v>47305</v>
      </c>
      <c r="P9649">
        <v>0</v>
      </c>
      <c r="Q9649">
        <v>2</v>
      </c>
      <c r="R9649" t="s">
        <v>47313</v>
      </c>
      <c r="S9649" t="s">
        <v>47535</v>
      </c>
      <c r="T9649" t="s">
        <v>49075</v>
      </c>
      <c r="U9649" t="s">
        <v>57510</v>
      </c>
      <c r="W9649" t="s">
        <v>46166</v>
      </c>
      <c r="X9649" t="s">
        <v>47314</v>
      </c>
    </row>
    <row r="9650" spans="1:24">
      <c r="A9650">
        <f>HYPERLINK("https://www.philgeps.gov.ph/GEPSNONPILOT/Tender/SplashBidNoticeAbstractUI.aspx?menuIndex=3&amp;refID=7185018&amp;Result=3","7185018")</f>
        <v>0</v>
      </c>
      <c r="B9650" t="s">
        <v>233</v>
      </c>
      <c r="C9650" t="s">
        <v>12947</v>
      </c>
      <c r="D9650" t="s">
        <v>18997</v>
      </c>
      <c r="E9650" t="s">
        <v>27330</v>
      </c>
      <c r="F9650" t="s">
        <v>32606</v>
      </c>
      <c r="G9650" t="s">
        <v>32613</v>
      </c>
      <c r="H9650" t="s">
        <v>14201</v>
      </c>
      <c r="I9650" t="s">
        <v>13131</v>
      </c>
      <c r="J9650" t="s">
        <v>32958</v>
      </c>
      <c r="K9650" t="s">
        <v>42631</v>
      </c>
      <c r="M9650" t="s">
        <v>46037</v>
      </c>
      <c r="N9650" t="s">
        <v>47304</v>
      </c>
      <c r="O9650" t="s">
        <v>47305</v>
      </c>
      <c r="P9650">
        <v>0</v>
      </c>
      <c r="Q9650">
        <v>0</v>
      </c>
      <c r="R9650" t="s">
        <v>47313</v>
      </c>
      <c r="S9650" t="s">
        <v>47535</v>
      </c>
      <c r="T9650" t="s">
        <v>49053</v>
      </c>
      <c r="U9650" t="s">
        <v>52443</v>
      </c>
      <c r="V9650" t="s">
        <v>63002</v>
      </c>
      <c r="W9650" t="s">
        <v>46037</v>
      </c>
      <c r="X9650" t="s">
        <v>47314</v>
      </c>
    </row>
    <row r="9651" spans="1:24">
      <c r="A9651">
        <f>HYPERLINK("https://www.philgeps.gov.ph/GEPSNONPILOT/Tender/SplashBidNoticeAbstractUI.aspx?menuIndex=3&amp;refID=7185024&amp;Result=3","7185024")</f>
        <v>0</v>
      </c>
      <c r="B9651" t="s">
        <v>2980</v>
      </c>
      <c r="C9651" t="s">
        <v>12948</v>
      </c>
      <c r="D9651" t="s">
        <v>18992</v>
      </c>
      <c r="E9651" t="s">
        <v>19809</v>
      </c>
      <c r="F9651" t="s">
        <v>32606</v>
      </c>
      <c r="G9651" t="s">
        <v>32615</v>
      </c>
      <c r="H9651" t="s">
        <v>14201</v>
      </c>
      <c r="I9651" t="s">
        <v>32648</v>
      </c>
      <c r="J9651" t="s">
        <v>38743</v>
      </c>
      <c r="K9651" t="s">
        <v>42623</v>
      </c>
      <c r="M9651" t="s">
        <v>46167</v>
      </c>
      <c r="N9651" t="s">
        <v>47304</v>
      </c>
      <c r="O9651" t="s">
        <v>47305</v>
      </c>
      <c r="P9651">
        <v>0</v>
      </c>
      <c r="Q9651">
        <v>2</v>
      </c>
      <c r="R9651" t="s">
        <v>47313</v>
      </c>
      <c r="S9651" t="s">
        <v>47535</v>
      </c>
      <c r="T9651" t="s">
        <v>49040</v>
      </c>
      <c r="U9651" t="s">
        <v>57511</v>
      </c>
      <c r="V9651" t="s">
        <v>63658</v>
      </c>
      <c r="W9651" t="s">
        <v>46167</v>
      </c>
      <c r="X9651" t="s">
        <v>47314</v>
      </c>
    </row>
    <row r="9652" spans="1:24">
      <c r="A9652">
        <f>HYPERLINK("https://www.philgeps.gov.ph/GEPSNONPILOT/Tender/SplashBidNoticeAbstractUI.aspx?menuIndex=3&amp;refID=7185011&amp;Result=3","7185011")</f>
        <v>0</v>
      </c>
      <c r="B9652" t="s">
        <v>2695</v>
      </c>
      <c r="C9652" t="s">
        <v>12949</v>
      </c>
      <c r="D9652" t="s">
        <v>18987</v>
      </c>
      <c r="E9652" t="s">
        <v>27331</v>
      </c>
      <c r="F9652" t="s">
        <v>32606</v>
      </c>
      <c r="G9652" t="s">
        <v>32613</v>
      </c>
      <c r="H9652" t="s">
        <v>14201</v>
      </c>
      <c r="I9652" t="s">
        <v>4120</v>
      </c>
      <c r="J9652" t="s">
        <v>38744</v>
      </c>
      <c r="K9652" t="s">
        <v>42677</v>
      </c>
      <c r="M9652" t="s">
        <v>45846</v>
      </c>
      <c r="N9652" t="s">
        <v>47304</v>
      </c>
      <c r="O9652" t="s">
        <v>47305</v>
      </c>
      <c r="P9652">
        <v>0</v>
      </c>
      <c r="Q9652">
        <v>0</v>
      </c>
      <c r="R9652" t="s">
        <v>47313</v>
      </c>
      <c r="S9652" t="s">
        <v>47535</v>
      </c>
      <c r="T9652" t="s">
        <v>49084</v>
      </c>
      <c r="U9652" t="s">
        <v>57512</v>
      </c>
      <c r="V9652" t="s">
        <v>63648</v>
      </c>
      <c r="W9652" t="s">
        <v>45846</v>
      </c>
      <c r="X9652" t="s">
        <v>47314</v>
      </c>
    </row>
    <row r="9653" spans="1:24">
      <c r="A9653">
        <f>HYPERLINK("https://www.philgeps.gov.ph/GEPSNONPILOT/Tender/SplashBidNoticeAbstractUI.aspx?menuIndex=3&amp;refID=7185008&amp;Result=3","7185008")</f>
        <v>0</v>
      </c>
      <c r="B9653" t="s">
        <v>233</v>
      </c>
      <c r="C9653" t="s">
        <v>12950</v>
      </c>
      <c r="D9653" t="s">
        <v>18997</v>
      </c>
      <c r="E9653" t="s">
        <v>27332</v>
      </c>
      <c r="F9653" t="s">
        <v>32606</v>
      </c>
      <c r="G9653" t="s">
        <v>32613</v>
      </c>
      <c r="H9653" t="s">
        <v>14201</v>
      </c>
      <c r="I9653" t="s">
        <v>6007</v>
      </c>
      <c r="J9653" t="s">
        <v>38745</v>
      </c>
      <c r="K9653" t="s">
        <v>42625</v>
      </c>
      <c r="M9653" t="s">
        <v>46037</v>
      </c>
      <c r="N9653" t="s">
        <v>47304</v>
      </c>
      <c r="O9653" t="s">
        <v>47305</v>
      </c>
      <c r="P9653">
        <v>0</v>
      </c>
      <c r="Q9653">
        <v>0</v>
      </c>
      <c r="R9653" t="s">
        <v>47313</v>
      </c>
      <c r="S9653" t="s">
        <v>47535</v>
      </c>
      <c r="T9653" t="s">
        <v>49053</v>
      </c>
      <c r="U9653" t="s">
        <v>52443</v>
      </c>
      <c r="V9653" t="s">
        <v>63002</v>
      </c>
      <c r="W9653" t="s">
        <v>46037</v>
      </c>
      <c r="X9653" t="s">
        <v>47314</v>
      </c>
    </row>
    <row r="9654" spans="1:24">
      <c r="A9654">
        <f>HYPERLINK("https://www.philgeps.gov.ph/GEPSNONPILOT/Tender/SplashBidNoticeAbstractUI.aspx?menuIndex=3&amp;refID=7185004&amp;Result=3","7185004")</f>
        <v>0</v>
      </c>
      <c r="B9654" t="s">
        <v>533</v>
      </c>
      <c r="C9654" t="s">
        <v>12951</v>
      </c>
      <c r="D9654" t="s">
        <v>19016</v>
      </c>
      <c r="E9654" t="s">
        <v>27333</v>
      </c>
      <c r="F9654" t="s">
        <v>32606</v>
      </c>
      <c r="G9654" t="s">
        <v>32613</v>
      </c>
      <c r="H9654" t="s">
        <v>14201</v>
      </c>
      <c r="I9654" t="s">
        <v>4114</v>
      </c>
      <c r="J9654" t="s">
        <v>38746</v>
      </c>
      <c r="K9654" t="s">
        <v>42623</v>
      </c>
      <c r="M9654" t="s">
        <v>43446</v>
      </c>
      <c r="N9654" t="s">
        <v>47304</v>
      </c>
      <c r="O9654" t="s">
        <v>47305</v>
      </c>
      <c r="P9654">
        <v>0</v>
      </c>
      <c r="Q9654">
        <v>5</v>
      </c>
      <c r="R9654" t="s">
        <v>47313</v>
      </c>
      <c r="S9654" t="s">
        <v>47535</v>
      </c>
      <c r="T9654" t="s">
        <v>49140</v>
      </c>
      <c r="U9654" t="s">
        <v>57513</v>
      </c>
      <c r="W9654" t="s">
        <v>43446</v>
      </c>
      <c r="X9654" t="s">
        <v>47314</v>
      </c>
    </row>
    <row r="9655" spans="1:24">
      <c r="A9655">
        <f>HYPERLINK("https://www.philgeps.gov.ph/GEPSNONPILOT/Tender/SplashBidNoticeAbstractUI.aspx?menuIndex=3&amp;refID=7185012&amp;Result=3","7185012")</f>
        <v>0</v>
      </c>
      <c r="B9655" t="s">
        <v>2782</v>
      </c>
      <c r="C9655" t="s">
        <v>12952</v>
      </c>
      <c r="D9655" t="s">
        <v>18992</v>
      </c>
      <c r="E9655" t="s">
        <v>27334</v>
      </c>
      <c r="F9655" t="s">
        <v>32606</v>
      </c>
      <c r="G9655" t="s">
        <v>32613</v>
      </c>
      <c r="H9655" t="s">
        <v>14201</v>
      </c>
      <c r="I9655" t="s">
        <v>4121</v>
      </c>
      <c r="J9655" t="s">
        <v>38747</v>
      </c>
      <c r="K9655" t="s">
        <v>42622</v>
      </c>
      <c r="M9655" t="s">
        <v>46157</v>
      </c>
      <c r="N9655" t="s">
        <v>47304</v>
      </c>
      <c r="O9655" t="s">
        <v>47305</v>
      </c>
      <c r="P9655">
        <v>0</v>
      </c>
      <c r="Q9655">
        <v>0</v>
      </c>
      <c r="R9655" t="s">
        <v>47313</v>
      </c>
      <c r="S9655" t="s">
        <v>47535</v>
      </c>
      <c r="T9655" t="s">
        <v>49347</v>
      </c>
      <c r="U9655" t="s">
        <v>57514</v>
      </c>
      <c r="W9655" t="s">
        <v>46157</v>
      </c>
      <c r="X9655" t="s">
        <v>47314</v>
      </c>
    </row>
    <row r="9656" spans="1:24">
      <c r="A9656">
        <f>HYPERLINK("https://www.philgeps.gov.ph/GEPSNONPILOT/Tender/SplashBidNoticeAbstractUI.aspx?menuIndex=3&amp;refID=7185028&amp;Result=3","7185028")</f>
        <v>0</v>
      </c>
      <c r="B9656" t="s">
        <v>1110</v>
      </c>
      <c r="C9656" t="s">
        <v>12953</v>
      </c>
      <c r="D9656" t="s">
        <v>19057</v>
      </c>
      <c r="E9656" t="s">
        <v>27335</v>
      </c>
      <c r="F9656" t="s">
        <v>32606</v>
      </c>
      <c r="G9656" t="s">
        <v>32613</v>
      </c>
      <c r="H9656" t="s">
        <v>32623</v>
      </c>
      <c r="I9656" t="s">
        <v>17648</v>
      </c>
      <c r="J9656" t="s">
        <v>38748</v>
      </c>
      <c r="K9656" t="s">
        <v>42806</v>
      </c>
      <c r="M9656" t="s">
        <v>44069</v>
      </c>
      <c r="N9656" t="s">
        <v>47304</v>
      </c>
      <c r="O9656" t="s">
        <v>47305</v>
      </c>
      <c r="P9656">
        <v>0</v>
      </c>
      <c r="Q9656">
        <v>0</v>
      </c>
      <c r="R9656" t="s">
        <v>47313</v>
      </c>
      <c r="S9656" t="s">
        <v>47535</v>
      </c>
      <c r="T9656" t="s">
        <v>49075</v>
      </c>
      <c r="U9656" t="s">
        <v>51782</v>
      </c>
      <c r="W9656" t="s">
        <v>44069</v>
      </c>
      <c r="X9656" t="s">
        <v>47314</v>
      </c>
    </row>
    <row r="9657" spans="1:24">
      <c r="A9657">
        <f>HYPERLINK("https://www.philgeps.gov.ph/GEPSNONPILOT/Tender/SplashBidNoticeAbstractUI.aspx?menuIndex=3&amp;refID=7185092&amp;Result=3","7185092")</f>
        <v>0</v>
      </c>
      <c r="B9657" t="s">
        <v>2981</v>
      </c>
      <c r="C9657" t="s">
        <v>12954</v>
      </c>
      <c r="D9657" t="s">
        <v>19038</v>
      </c>
      <c r="E9657" t="s">
        <v>24245</v>
      </c>
      <c r="F9657" t="s">
        <v>32606</v>
      </c>
      <c r="G9657" t="s">
        <v>32614</v>
      </c>
      <c r="H9657" t="s">
        <v>14201</v>
      </c>
      <c r="I9657" t="s">
        <v>4678</v>
      </c>
      <c r="J9657" t="s">
        <v>38749</v>
      </c>
      <c r="K9657" t="s">
        <v>42624</v>
      </c>
      <c r="M9657" t="s">
        <v>46168</v>
      </c>
      <c r="N9657" t="s">
        <v>47304</v>
      </c>
      <c r="O9657" t="s">
        <v>47305</v>
      </c>
      <c r="P9657">
        <v>0</v>
      </c>
      <c r="Q9657">
        <v>1</v>
      </c>
      <c r="R9657" t="s">
        <v>47313</v>
      </c>
      <c r="S9657" t="s">
        <v>47535</v>
      </c>
      <c r="T9657" t="s">
        <v>49268</v>
      </c>
      <c r="U9657" t="s">
        <v>57515</v>
      </c>
      <c r="W9657" t="s">
        <v>46168</v>
      </c>
      <c r="X9657" t="s">
        <v>47314</v>
      </c>
    </row>
    <row r="9658" spans="1:24">
      <c r="A9658">
        <f>HYPERLINK("https://www.philgeps.gov.ph/GEPSNONPILOT/Tender/SplashBidNoticeAbstractUI.aspx?menuIndex=3&amp;refID=7185088&amp;Result=3","7185088")</f>
        <v>0</v>
      </c>
      <c r="B9658" t="s">
        <v>2982</v>
      </c>
      <c r="C9658" t="s">
        <v>12955</v>
      </c>
      <c r="D9658" t="s">
        <v>19006</v>
      </c>
      <c r="E9658" t="s">
        <v>27336</v>
      </c>
      <c r="F9658" t="s">
        <v>32606</v>
      </c>
      <c r="G9658" t="s">
        <v>32613</v>
      </c>
      <c r="H9658" t="s">
        <v>32623</v>
      </c>
      <c r="I9658" t="s">
        <v>17648</v>
      </c>
      <c r="J9658" t="s">
        <v>38539</v>
      </c>
      <c r="K9658" t="s">
        <v>42636</v>
      </c>
      <c r="M9658" t="s">
        <v>46169</v>
      </c>
      <c r="N9658" t="s">
        <v>47304</v>
      </c>
      <c r="O9658" t="s">
        <v>47305</v>
      </c>
      <c r="P9658">
        <v>0</v>
      </c>
      <c r="Q9658">
        <v>0</v>
      </c>
      <c r="R9658" t="s">
        <v>47313</v>
      </c>
      <c r="S9658" t="s">
        <v>47535</v>
      </c>
      <c r="T9658" t="s">
        <v>49080</v>
      </c>
      <c r="U9658" t="s">
        <v>57516</v>
      </c>
      <c r="W9658" t="s">
        <v>46169</v>
      </c>
      <c r="X9658" t="s">
        <v>47314</v>
      </c>
    </row>
    <row r="9659" spans="1:24">
      <c r="A9659">
        <f>HYPERLINK("https://www.philgeps.gov.ph/GEPSNONPILOT/Tender/SplashBidNoticeAbstractUI.aspx?menuIndex=3&amp;refID=7185083&amp;Result=3","7185083")</f>
        <v>0</v>
      </c>
      <c r="B9659" t="s">
        <v>233</v>
      </c>
      <c r="C9659" t="s">
        <v>12956</v>
      </c>
      <c r="D9659" t="s">
        <v>18997</v>
      </c>
      <c r="E9659" t="s">
        <v>27337</v>
      </c>
      <c r="F9659" t="s">
        <v>32606</v>
      </c>
      <c r="G9659" t="s">
        <v>32613</v>
      </c>
      <c r="H9659" t="s">
        <v>14201</v>
      </c>
      <c r="I9659" t="s">
        <v>32650</v>
      </c>
      <c r="J9659" t="s">
        <v>32781</v>
      </c>
      <c r="K9659" t="s">
        <v>42631</v>
      </c>
      <c r="M9659" t="s">
        <v>46037</v>
      </c>
      <c r="N9659" t="s">
        <v>47304</v>
      </c>
      <c r="O9659" t="s">
        <v>47305</v>
      </c>
      <c r="P9659">
        <v>0</v>
      </c>
      <c r="Q9659">
        <v>3</v>
      </c>
      <c r="R9659" t="s">
        <v>47313</v>
      </c>
      <c r="S9659" t="s">
        <v>47535</v>
      </c>
      <c r="T9659" t="s">
        <v>49053</v>
      </c>
      <c r="U9659" t="s">
        <v>52443</v>
      </c>
      <c r="V9659" t="s">
        <v>63002</v>
      </c>
      <c r="W9659" t="s">
        <v>46037</v>
      </c>
      <c r="X9659" t="s">
        <v>47314</v>
      </c>
    </row>
    <row r="9660" spans="1:24">
      <c r="A9660">
        <f>HYPERLINK("https://www.philgeps.gov.ph/GEPSNONPILOT/Tender/SplashBidNoticeAbstractUI.aspx?menuIndex=3&amp;refID=7185079&amp;Result=3","7185079")</f>
        <v>0</v>
      </c>
      <c r="B9660" t="s">
        <v>534</v>
      </c>
      <c r="C9660" t="s">
        <v>12957</v>
      </c>
      <c r="D9660" t="s">
        <v>19006</v>
      </c>
      <c r="E9660" t="s">
        <v>27338</v>
      </c>
      <c r="F9660" t="s">
        <v>32606</v>
      </c>
      <c r="G9660" t="s">
        <v>32613</v>
      </c>
      <c r="H9660" t="s">
        <v>14201</v>
      </c>
      <c r="I9660" t="s">
        <v>4678</v>
      </c>
      <c r="J9660" t="s">
        <v>33526</v>
      </c>
      <c r="K9660" t="s">
        <v>42622</v>
      </c>
      <c r="M9660" t="s">
        <v>43447</v>
      </c>
      <c r="N9660" t="s">
        <v>47304</v>
      </c>
      <c r="O9660" t="s">
        <v>47305</v>
      </c>
      <c r="P9660">
        <v>0</v>
      </c>
      <c r="Q9660">
        <v>0</v>
      </c>
      <c r="R9660" t="s">
        <v>47313</v>
      </c>
      <c r="S9660" t="s">
        <v>47535</v>
      </c>
      <c r="T9660" t="s">
        <v>49040</v>
      </c>
      <c r="U9660" t="s">
        <v>57517</v>
      </c>
      <c r="W9660" t="s">
        <v>43447</v>
      </c>
      <c r="X9660" t="s">
        <v>47314</v>
      </c>
    </row>
    <row r="9661" spans="1:24">
      <c r="A9661">
        <f>HYPERLINK("https://www.philgeps.gov.ph/GEPSNONPILOT/Tender/SplashBidNoticeAbstractUI.aspx?menuIndex=3&amp;refID=7185074&amp;Result=3","7185074")</f>
        <v>0</v>
      </c>
      <c r="B9661" t="s">
        <v>2695</v>
      </c>
      <c r="C9661" t="s">
        <v>12958</v>
      </c>
      <c r="D9661" t="s">
        <v>18987</v>
      </c>
      <c r="E9661" t="s">
        <v>27339</v>
      </c>
      <c r="F9661" t="s">
        <v>32606</v>
      </c>
      <c r="G9661" t="s">
        <v>32613</v>
      </c>
      <c r="H9661" t="s">
        <v>14201</v>
      </c>
      <c r="I9661" t="s">
        <v>4678</v>
      </c>
      <c r="J9661" t="s">
        <v>38750</v>
      </c>
      <c r="K9661" t="s">
        <v>42677</v>
      </c>
      <c r="M9661" t="s">
        <v>45846</v>
      </c>
      <c r="N9661" t="s">
        <v>47304</v>
      </c>
      <c r="O9661" t="s">
        <v>47305</v>
      </c>
      <c r="P9661">
        <v>0</v>
      </c>
      <c r="Q9661">
        <v>1</v>
      </c>
      <c r="R9661" t="s">
        <v>47313</v>
      </c>
      <c r="S9661" t="s">
        <v>47535</v>
      </c>
      <c r="T9661" t="s">
        <v>49084</v>
      </c>
      <c r="U9661" t="s">
        <v>57518</v>
      </c>
      <c r="V9661" t="s">
        <v>63648</v>
      </c>
      <c r="W9661" t="s">
        <v>45846</v>
      </c>
      <c r="X9661" t="s">
        <v>47314</v>
      </c>
    </row>
    <row r="9662" spans="1:24">
      <c r="A9662">
        <f>HYPERLINK("https://www.philgeps.gov.ph/GEPSNONPILOT/Tender/SplashBidNoticeAbstractUI.aspx?menuIndex=3&amp;refID=7185073&amp;Result=3","7185073")</f>
        <v>0</v>
      </c>
      <c r="B9662" t="s">
        <v>233</v>
      </c>
      <c r="C9662" t="s">
        <v>12959</v>
      </c>
      <c r="D9662" t="s">
        <v>18997</v>
      </c>
      <c r="E9662" t="s">
        <v>27340</v>
      </c>
      <c r="F9662" t="s">
        <v>32606</v>
      </c>
      <c r="G9662" t="s">
        <v>32613</v>
      </c>
      <c r="H9662" t="s">
        <v>14201</v>
      </c>
      <c r="I9662" t="s">
        <v>4120</v>
      </c>
      <c r="J9662" t="s">
        <v>38751</v>
      </c>
      <c r="K9662" t="s">
        <v>42631</v>
      </c>
      <c r="M9662" t="s">
        <v>46037</v>
      </c>
      <c r="N9662" t="s">
        <v>47304</v>
      </c>
      <c r="O9662" t="s">
        <v>47305</v>
      </c>
      <c r="P9662">
        <v>0</v>
      </c>
      <c r="Q9662">
        <v>1</v>
      </c>
      <c r="R9662" t="s">
        <v>47313</v>
      </c>
      <c r="S9662" t="s">
        <v>47535</v>
      </c>
      <c r="T9662" t="s">
        <v>49053</v>
      </c>
      <c r="U9662" t="s">
        <v>52443</v>
      </c>
      <c r="V9662" t="s">
        <v>63002</v>
      </c>
      <c r="W9662" t="s">
        <v>46037</v>
      </c>
      <c r="X9662" t="s">
        <v>47314</v>
      </c>
    </row>
    <row r="9663" spans="1:24">
      <c r="A9663">
        <f>HYPERLINK("https://www.philgeps.gov.ph/GEPSNONPILOT/Tender/SplashBidNoticeAbstractUI.aspx?menuIndex=3&amp;refID=7185072&amp;Result=3","7185072")</f>
        <v>0</v>
      </c>
      <c r="B9663" t="s">
        <v>1999</v>
      </c>
      <c r="C9663" t="s">
        <v>9377</v>
      </c>
      <c r="D9663" t="s">
        <v>19053</v>
      </c>
      <c r="E9663" t="s">
        <v>27341</v>
      </c>
      <c r="F9663" t="s">
        <v>32606</v>
      </c>
      <c r="G9663" t="s">
        <v>32613</v>
      </c>
      <c r="H9663" t="s">
        <v>32623</v>
      </c>
      <c r="I9663" t="s">
        <v>32659</v>
      </c>
      <c r="J9663" t="s">
        <v>33151</v>
      </c>
      <c r="K9663" t="s">
        <v>42638</v>
      </c>
      <c r="M9663" t="s">
        <v>45068</v>
      </c>
      <c r="N9663" t="s">
        <v>47304</v>
      </c>
      <c r="O9663" t="s">
        <v>47305</v>
      </c>
      <c r="P9663">
        <v>0</v>
      </c>
      <c r="Q9663">
        <v>1</v>
      </c>
      <c r="R9663" t="s">
        <v>47313</v>
      </c>
      <c r="S9663" t="s">
        <v>47535</v>
      </c>
      <c r="T9663" t="s">
        <v>49315</v>
      </c>
      <c r="U9663" t="s">
        <v>57519</v>
      </c>
      <c r="W9663" t="s">
        <v>45068</v>
      </c>
      <c r="X9663" t="s">
        <v>47314</v>
      </c>
    </row>
    <row r="9664" spans="1:24">
      <c r="A9664">
        <f>HYPERLINK("https://www.philgeps.gov.ph/GEPSNONPILOT/Tender/SplashBidNoticeAbstractUI.aspx?menuIndex=3&amp;refID=7185068&amp;Result=3","7185068")</f>
        <v>0</v>
      </c>
      <c r="B9664" t="s">
        <v>2979</v>
      </c>
      <c r="C9664" t="s">
        <v>12960</v>
      </c>
      <c r="D9664" t="s">
        <v>18989</v>
      </c>
      <c r="E9664" t="s">
        <v>27342</v>
      </c>
      <c r="F9664" t="s">
        <v>32606</v>
      </c>
      <c r="G9664" t="s">
        <v>32613</v>
      </c>
      <c r="H9664" t="s">
        <v>14201</v>
      </c>
      <c r="I9664" t="s">
        <v>6298</v>
      </c>
      <c r="J9664" t="s">
        <v>38752</v>
      </c>
      <c r="K9664" t="s">
        <v>42623</v>
      </c>
      <c r="M9664" t="s">
        <v>46166</v>
      </c>
      <c r="N9664" t="s">
        <v>47304</v>
      </c>
      <c r="O9664" t="s">
        <v>47305</v>
      </c>
      <c r="P9664">
        <v>0</v>
      </c>
      <c r="Q9664">
        <v>2</v>
      </c>
      <c r="R9664" t="s">
        <v>47313</v>
      </c>
      <c r="S9664" t="s">
        <v>47535</v>
      </c>
      <c r="T9664" t="s">
        <v>49075</v>
      </c>
      <c r="U9664" t="s">
        <v>57520</v>
      </c>
      <c r="W9664" t="s">
        <v>46166</v>
      </c>
      <c r="X9664" t="s">
        <v>47314</v>
      </c>
    </row>
    <row r="9665" spans="1:24">
      <c r="A9665">
        <f>HYPERLINK("https://www.philgeps.gov.ph/GEPSNONPILOT/Tender/SplashBidNoticeAbstractUI.aspx?menuIndex=3&amp;refID=7185080&amp;Result=3","7185080")</f>
        <v>0</v>
      </c>
      <c r="B9665" t="s">
        <v>1110</v>
      </c>
      <c r="C9665" t="s">
        <v>12961</v>
      </c>
      <c r="D9665" t="s">
        <v>19057</v>
      </c>
      <c r="E9665" t="s">
        <v>27343</v>
      </c>
      <c r="F9665" t="s">
        <v>32606</v>
      </c>
      <c r="G9665" t="s">
        <v>32613</v>
      </c>
      <c r="H9665" t="s">
        <v>32623</v>
      </c>
      <c r="I9665" t="s">
        <v>17648</v>
      </c>
      <c r="J9665" t="s">
        <v>38753</v>
      </c>
      <c r="K9665" t="s">
        <v>42833</v>
      </c>
      <c r="M9665" t="s">
        <v>46170</v>
      </c>
      <c r="N9665" t="s">
        <v>47304</v>
      </c>
      <c r="O9665" t="s">
        <v>47305</v>
      </c>
      <c r="P9665">
        <v>0</v>
      </c>
      <c r="Q9665">
        <v>0</v>
      </c>
      <c r="R9665" t="s">
        <v>47313</v>
      </c>
      <c r="S9665" t="s">
        <v>47535</v>
      </c>
      <c r="T9665" t="s">
        <v>49040</v>
      </c>
      <c r="U9665" t="s">
        <v>57521</v>
      </c>
      <c r="V9665" t="s">
        <v>63659</v>
      </c>
      <c r="W9665" t="s">
        <v>46170</v>
      </c>
      <c r="X9665" t="s">
        <v>47314</v>
      </c>
    </row>
    <row r="9666" spans="1:24">
      <c r="A9666">
        <f>HYPERLINK("https://www.philgeps.gov.ph/GEPSNONPILOT/Tender/SplashBidNoticeAbstractUI.aspx?menuIndex=3&amp;refID=7185053&amp;Result=3","7185053")</f>
        <v>0</v>
      </c>
      <c r="B9666" t="s">
        <v>233</v>
      </c>
      <c r="C9666" t="s">
        <v>12962</v>
      </c>
      <c r="D9666" t="s">
        <v>18997</v>
      </c>
      <c r="E9666" t="s">
        <v>27344</v>
      </c>
      <c r="F9666" t="s">
        <v>32606</v>
      </c>
      <c r="G9666" t="s">
        <v>32613</v>
      </c>
      <c r="H9666" t="s">
        <v>14201</v>
      </c>
      <c r="I9666" t="s">
        <v>32640</v>
      </c>
      <c r="J9666" t="s">
        <v>34179</v>
      </c>
      <c r="K9666" t="s">
        <v>42631</v>
      </c>
      <c r="M9666" t="s">
        <v>46037</v>
      </c>
      <c r="N9666" t="s">
        <v>47304</v>
      </c>
      <c r="O9666" t="s">
        <v>47305</v>
      </c>
      <c r="P9666">
        <v>0</v>
      </c>
      <c r="Q9666">
        <v>0</v>
      </c>
      <c r="R9666" t="s">
        <v>47313</v>
      </c>
      <c r="S9666" t="s">
        <v>47535</v>
      </c>
      <c r="T9666" t="s">
        <v>49053</v>
      </c>
      <c r="U9666" t="s">
        <v>52443</v>
      </c>
      <c r="V9666" t="s">
        <v>63002</v>
      </c>
      <c r="W9666" t="s">
        <v>46037</v>
      </c>
      <c r="X9666" t="s">
        <v>47314</v>
      </c>
    </row>
    <row r="9667" spans="1:24">
      <c r="A9667">
        <f>HYPERLINK("https://www.philgeps.gov.ph/GEPSNONPILOT/Tender/SplashBidNoticeAbstractUI.aspx?menuIndex=3&amp;refID=7185048&amp;Result=3","7185048")</f>
        <v>0</v>
      </c>
      <c r="B9667" t="s">
        <v>339</v>
      </c>
      <c r="C9667" t="s">
        <v>12963</v>
      </c>
      <c r="D9667" t="s">
        <v>19024</v>
      </c>
      <c r="E9667" t="s">
        <v>27345</v>
      </c>
      <c r="F9667" t="s">
        <v>32606</v>
      </c>
      <c r="G9667" t="s">
        <v>32613</v>
      </c>
      <c r="H9667" t="s">
        <v>32623</v>
      </c>
      <c r="I9667" t="s">
        <v>17648</v>
      </c>
      <c r="J9667" t="s">
        <v>38754</v>
      </c>
      <c r="K9667" t="s">
        <v>42646</v>
      </c>
      <c r="M9667" t="s">
        <v>43241</v>
      </c>
      <c r="N9667" t="s">
        <v>47304</v>
      </c>
      <c r="O9667" t="s">
        <v>47305</v>
      </c>
      <c r="P9667">
        <v>0</v>
      </c>
      <c r="Q9667">
        <v>0</v>
      </c>
      <c r="R9667" t="s">
        <v>47313</v>
      </c>
      <c r="S9667" t="s">
        <v>47535</v>
      </c>
      <c r="T9667" t="s">
        <v>49346</v>
      </c>
      <c r="U9667" t="s">
        <v>57522</v>
      </c>
      <c r="W9667" t="s">
        <v>43241</v>
      </c>
      <c r="X9667" t="s">
        <v>47314</v>
      </c>
    </row>
    <row r="9668" spans="1:24">
      <c r="A9668">
        <f>HYPERLINK("https://www.philgeps.gov.ph/GEPSNONPILOT/Tender/SplashBidNoticeAbstractUI.aspx?menuIndex=3&amp;refID=7185067&amp;Result=3","7185067")</f>
        <v>0</v>
      </c>
      <c r="B9668" t="s">
        <v>1110</v>
      </c>
      <c r="C9668" t="s">
        <v>12964</v>
      </c>
      <c r="D9668" t="s">
        <v>19057</v>
      </c>
      <c r="E9668" t="s">
        <v>27346</v>
      </c>
      <c r="F9668" t="s">
        <v>32606</v>
      </c>
      <c r="G9668" t="s">
        <v>32613</v>
      </c>
      <c r="H9668" t="s">
        <v>32623</v>
      </c>
      <c r="I9668" t="s">
        <v>17648</v>
      </c>
      <c r="J9668" t="s">
        <v>38755</v>
      </c>
      <c r="K9668" t="s">
        <v>42725</v>
      </c>
      <c r="M9668" t="s">
        <v>44069</v>
      </c>
      <c r="N9668" t="s">
        <v>47304</v>
      </c>
      <c r="O9668" t="s">
        <v>47305</v>
      </c>
      <c r="P9668">
        <v>0</v>
      </c>
      <c r="Q9668">
        <v>0</v>
      </c>
      <c r="R9668" t="s">
        <v>47313</v>
      </c>
      <c r="S9668" t="s">
        <v>47535</v>
      </c>
      <c r="T9668" t="s">
        <v>49075</v>
      </c>
      <c r="U9668" t="s">
        <v>51782</v>
      </c>
      <c r="W9668" t="s">
        <v>44069</v>
      </c>
      <c r="X9668" t="s">
        <v>47314</v>
      </c>
    </row>
    <row r="9669" spans="1:24">
      <c r="A9669">
        <f>HYPERLINK("https://www.philgeps.gov.ph/GEPSNONPILOT/Tender/SplashBidNoticeAbstractUI.aspx?menuIndex=3&amp;refID=7185135&amp;Result=3","7185135")</f>
        <v>0</v>
      </c>
      <c r="B9669" t="s">
        <v>381</v>
      </c>
      <c r="C9669" t="s">
        <v>12965</v>
      </c>
      <c r="E9669" t="s">
        <v>27347</v>
      </c>
      <c r="F9669" t="s">
        <v>32606</v>
      </c>
      <c r="G9669" t="s">
        <v>32614</v>
      </c>
      <c r="H9669" t="s">
        <v>14201</v>
      </c>
      <c r="I9669" t="s">
        <v>8682</v>
      </c>
      <c r="J9669" t="s">
        <v>32949</v>
      </c>
      <c r="K9669" t="s">
        <v>42624</v>
      </c>
      <c r="M9669" t="s">
        <v>43283</v>
      </c>
      <c r="N9669" t="s">
        <v>47304</v>
      </c>
      <c r="O9669" t="s">
        <v>47305</v>
      </c>
      <c r="P9669">
        <v>0</v>
      </c>
      <c r="Q9669">
        <v>5</v>
      </c>
      <c r="R9669" t="s">
        <v>47313</v>
      </c>
      <c r="S9669" t="s">
        <v>47535</v>
      </c>
      <c r="T9669" t="s">
        <v>49311</v>
      </c>
      <c r="U9669" t="s">
        <v>50290</v>
      </c>
      <c r="W9669" t="s">
        <v>43283</v>
      </c>
      <c r="X9669" t="s">
        <v>47314</v>
      </c>
    </row>
    <row r="9670" spans="1:24">
      <c r="A9670">
        <f>HYPERLINK("https://www.philgeps.gov.ph/GEPSNONPILOT/Tender/SplashBidNoticeAbstractUI.aspx?menuIndex=3&amp;refID=7185132&amp;Result=3","7185132")</f>
        <v>0</v>
      </c>
      <c r="B9670" t="s">
        <v>233</v>
      </c>
      <c r="C9670" t="s">
        <v>12966</v>
      </c>
      <c r="D9670" t="s">
        <v>18997</v>
      </c>
      <c r="E9670" t="s">
        <v>27348</v>
      </c>
      <c r="F9670" t="s">
        <v>32606</v>
      </c>
      <c r="G9670" t="s">
        <v>32613</v>
      </c>
      <c r="H9670" t="s">
        <v>14201</v>
      </c>
      <c r="I9670" t="s">
        <v>6931</v>
      </c>
      <c r="J9670" t="s">
        <v>38756</v>
      </c>
      <c r="K9670" t="s">
        <v>42631</v>
      </c>
      <c r="M9670" t="s">
        <v>46037</v>
      </c>
      <c r="N9670" t="s">
        <v>47304</v>
      </c>
      <c r="O9670" t="s">
        <v>47305</v>
      </c>
      <c r="P9670">
        <v>0</v>
      </c>
      <c r="Q9670">
        <v>0</v>
      </c>
      <c r="R9670" t="s">
        <v>47313</v>
      </c>
      <c r="S9670" t="s">
        <v>47535</v>
      </c>
      <c r="T9670" t="s">
        <v>49053</v>
      </c>
      <c r="U9670" t="s">
        <v>52443</v>
      </c>
      <c r="V9670" t="s">
        <v>63002</v>
      </c>
      <c r="W9670" t="s">
        <v>46037</v>
      </c>
      <c r="X9670" t="s">
        <v>47314</v>
      </c>
    </row>
    <row r="9671" spans="1:24">
      <c r="A9671">
        <f>HYPERLINK("https://www.philgeps.gov.ph/GEPSNONPILOT/Tender/SplashBidNoticeAbstractUI.aspx?menuIndex=3&amp;refID=7184994&amp;Result=3","7184994")</f>
        <v>0</v>
      </c>
      <c r="B9671" t="s">
        <v>2983</v>
      </c>
      <c r="C9671" t="s">
        <v>12967</v>
      </c>
      <c r="D9671" t="s">
        <v>18995</v>
      </c>
      <c r="E9671" t="s">
        <v>27349</v>
      </c>
      <c r="F9671" t="s">
        <v>32606</v>
      </c>
      <c r="G9671" t="s">
        <v>32614</v>
      </c>
      <c r="H9671" t="s">
        <v>14201</v>
      </c>
      <c r="I9671" t="s">
        <v>7233</v>
      </c>
      <c r="J9671" t="s">
        <v>33087</v>
      </c>
      <c r="K9671" t="s">
        <v>42630</v>
      </c>
      <c r="M9671" t="s">
        <v>46171</v>
      </c>
      <c r="N9671" t="s">
        <v>47304</v>
      </c>
      <c r="O9671" t="s">
        <v>47305</v>
      </c>
      <c r="P9671">
        <v>0</v>
      </c>
      <c r="Q9671">
        <v>0</v>
      </c>
      <c r="R9671" t="s">
        <v>47313</v>
      </c>
      <c r="S9671" t="s">
        <v>47535</v>
      </c>
      <c r="T9671" t="s">
        <v>49315</v>
      </c>
      <c r="U9671" t="s">
        <v>54066</v>
      </c>
      <c r="W9671" t="s">
        <v>46171</v>
      </c>
      <c r="X9671" t="s">
        <v>47314</v>
      </c>
    </row>
    <row r="9672" spans="1:24">
      <c r="A9672">
        <f>HYPERLINK("https://www.philgeps.gov.ph/GEPSNONPILOT/Tender/SplashBidNoticeAbstractUI.aspx?menuIndex=3&amp;refID=7185131&amp;Result=3","7185131")</f>
        <v>0</v>
      </c>
      <c r="B9672" t="s">
        <v>2695</v>
      </c>
      <c r="C9672" t="s">
        <v>12968</v>
      </c>
      <c r="D9672" t="s">
        <v>18987</v>
      </c>
      <c r="E9672" t="s">
        <v>27350</v>
      </c>
      <c r="F9672" t="s">
        <v>32606</v>
      </c>
      <c r="G9672" t="s">
        <v>32613</v>
      </c>
      <c r="H9672" t="s">
        <v>14201</v>
      </c>
      <c r="I9672" t="s">
        <v>32650</v>
      </c>
      <c r="J9672" t="s">
        <v>38757</v>
      </c>
      <c r="K9672" t="s">
        <v>42677</v>
      </c>
      <c r="M9672" t="s">
        <v>45846</v>
      </c>
      <c r="N9672" t="s">
        <v>47304</v>
      </c>
      <c r="O9672" t="s">
        <v>47305</v>
      </c>
      <c r="P9672">
        <v>0</v>
      </c>
      <c r="Q9672">
        <v>1</v>
      </c>
      <c r="R9672" t="s">
        <v>47313</v>
      </c>
      <c r="S9672" t="s">
        <v>47535</v>
      </c>
      <c r="T9672" t="s">
        <v>49084</v>
      </c>
      <c r="U9672" t="s">
        <v>57523</v>
      </c>
      <c r="V9672" t="s">
        <v>63648</v>
      </c>
      <c r="W9672" t="s">
        <v>45846</v>
      </c>
      <c r="X9672" t="s">
        <v>47314</v>
      </c>
    </row>
    <row r="9673" spans="1:24">
      <c r="A9673">
        <f>HYPERLINK("https://www.philgeps.gov.ph/GEPSNONPILOT/Tender/SplashBidNoticeAbstractUI.aspx?menuIndex=3&amp;refID=7185146&amp;Result=3","7185146")</f>
        <v>0</v>
      </c>
      <c r="B9673" t="s">
        <v>202</v>
      </c>
      <c r="C9673" t="s">
        <v>12969</v>
      </c>
      <c r="D9673" t="s">
        <v>19043</v>
      </c>
      <c r="E9673" t="s">
        <v>27351</v>
      </c>
      <c r="F9673" t="s">
        <v>32606</v>
      </c>
      <c r="G9673" t="s">
        <v>32613</v>
      </c>
      <c r="H9673" t="s">
        <v>14201</v>
      </c>
      <c r="I9673" t="s">
        <v>6931</v>
      </c>
      <c r="J9673" t="s">
        <v>38758</v>
      </c>
      <c r="K9673" t="s">
        <v>42622</v>
      </c>
      <c r="M9673" t="s">
        <v>43103</v>
      </c>
      <c r="N9673" t="s">
        <v>47304</v>
      </c>
      <c r="O9673" t="s">
        <v>47305</v>
      </c>
      <c r="P9673">
        <v>0</v>
      </c>
      <c r="Q9673">
        <v>1</v>
      </c>
      <c r="R9673" t="s">
        <v>47313</v>
      </c>
      <c r="S9673" t="s">
        <v>47535</v>
      </c>
      <c r="T9673" t="s">
        <v>49071</v>
      </c>
      <c r="U9673" t="s">
        <v>53895</v>
      </c>
      <c r="V9673" t="s">
        <v>62694</v>
      </c>
      <c r="W9673" t="s">
        <v>43103</v>
      </c>
      <c r="X9673" t="s">
        <v>47314</v>
      </c>
    </row>
    <row r="9674" spans="1:24">
      <c r="A9674">
        <f>HYPERLINK("https://www.philgeps.gov.ph/GEPSNONPILOT/Tender/SplashBidNoticeAbstractUI.aspx?menuIndex=3&amp;refID=7185123&amp;Result=3","7185123")</f>
        <v>0</v>
      </c>
      <c r="B9674" t="s">
        <v>381</v>
      </c>
      <c r="C9674" t="s">
        <v>12970</v>
      </c>
      <c r="E9674" t="s">
        <v>27352</v>
      </c>
      <c r="F9674" t="s">
        <v>32606</v>
      </c>
      <c r="G9674" t="s">
        <v>32614</v>
      </c>
      <c r="H9674" t="s">
        <v>14201</v>
      </c>
      <c r="I9674" t="s">
        <v>32633</v>
      </c>
      <c r="J9674" t="s">
        <v>38759</v>
      </c>
      <c r="K9674" t="s">
        <v>42624</v>
      </c>
      <c r="M9674" t="s">
        <v>43283</v>
      </c>
      <c r="N9674" t="s">
        <v>47304</v>
      </c>
      <c r="O9674" t="s">
        <v>47305</v>
      </c>
      <c r="P9674">
        <v>0</v>
      </c>
      <c r="Q9674">
        <v>15</v>
      </c>
      <c r="R9674" t="s">
        <v>47313</v>
      </c>
      <c r="S9674" t="s">
        <v>47535</v>
      </c>
      <c r="T9674" t="s">
        <v>49311</v>
      </c>
      <c r="U9674" t="s">
        <v>50290</v>
      </c>
      <c r="W9674" t="s">
        <v>43283</v>
      </c>
      <c r="X9674" t="s">
        <v>47314</v>
      </c>
    </row>
    <row r="9675" spans="1:24">
      <c r="A9675">
        <f>HYPERLINK("https://www.philgeps.gov.ph/GEPSNONPILOT/Tender/SplashBidNoticeAbstractUI.aspx?menuIndex=3&amp;refID=7185120&amp;Result=3","7185120")</f>
        <v>0</v>
      </c>
      <c r="B9675" t="s">
        <v>233</v>
      </c>
      <c r="C9675" t="s">
        <v>12971</v>
      </c>
      <c r="D9675" t="s">
        <v>18997</v>
      </c>
      <c r="E9675" t="s">
        <v>27353</v>
      </c>
      <c r="F9675" t="s">
        <v>32606</v>
      </c>
      <c r="G9675" t="s">
        <v>32613</v>
      </c>
      <c r="H9675" t="s">
        <v>14201</v>
      </c>
      <c r="I9675" t="s">
        <v>9013</v>
      </c>
      <c r="J9675" t="s">
        <v>38760</v>
      </c>
      <c r="K9675" t="s">
        <v>42631</v>
      </c>
      <c r="M9675" t="s">
        <v>46037</v>
      </c>
      <c r="N9675" t="s">
        <v>47304</v>
      </c>
      <c r="O9675" t="s">
        <v>47305</v>
      </c>
      <c r="P9675">
        <v>0</v>
      </c>
      <c r="Q9675">
        <v>0</v>
      </c>
      <c r="R9675" t="s">
        <v>47313</v>
      </c>
      <c r="S9675" t="s">
        <v>47535</v>
      </c>
      <c r="T9675" t="s">
        <v>49053</v>
      </c>
      <c r="U9675" t="s">
        <v>52443</v>
      </c>
      <c r="V9675" t="s">
        <v>63002</v>
      </c>
      <c r="W9675" t="s">
        <v>46037</v>
      </c>
      <c r="X9675" t="s">
        <v>47314</v>
      </c>
    </row>
    <row r="9676" spans="1:24">
      <c r="A9676">
        <f>HYPERLINK("https://www.philgeps.gov.ph/GEPSNONPILOT/Tender/SplashBidNoticeAbstractUI.aspx?menuIndex=3&amp;refID=7185118&amp;Result=3","7185118")</f>
        <v>0</v>
      </c>
      <c r="B9676" t="s">
        <v>2984</v>
      </c>
      <c r="C9676" t="s">
        <v>12972</v>
      </c>
      <c r="E9676" t="s">
        <v>27354</v>
      </c>
      <c r="F9676" t="s">
        <v>32606</v>
      </c>
      <c r="G9676" t="s">
        <v>32619</v>
      </c>
      <c r="H9676" t="s">
        <v>14201</v>
      </c>
      <c r="I9676" t="s">
        <v>4369</v>
      </c>
      <c r="J9676" t="s">
        <v>32776</v>
      </c>
      <c r="K9676" t="s">
        <v>42624</v>
      </c>
      <c r="M9676" t="s">
        <v>46172</v>
      </c>
      <c r="N9676" t="s">
        <v>47304</v>
      </c>
      <c r="O9676" t="s">
        <v>47305</v>
      </c>
      <c r="P9676">
        <v>0</v>
      </c>
      <c r="Q9676">
        <v>5</v>
      </c>
      <c r="R9676" t="s">
        <v>47313</v>
      </c>
      <c r="S9676" t="s">
        <v>47535</v>
      </c>
      <c r="T9676" t="s">
        <v>49330</v>
      </c>
      <c r="U9676" t="s">
        <v>57524</v>
      </c>
      <c r="V9676" t="s">
        <v>63660</v>
      </c>
      <c r="W9676" t="s">
        <v>46172</v>
      </c>
      <c r="X9676" t="s">
        <v>47314</v>
      </c>
    </row>
    <row r="9677" spans="1:24">
      <c r="A9677">
        <f>HYPERLINK("https://www.philgeps.gov.ph/GEPSNONPILOT/Tender/SplashBidNoticeAbstractUI.aspx?menuIndex=3&amp;refID=7185116&amp;Result=3","7185116")</f>
        <v>0</v>
      </c>
      <c r="B9677" t="s">
        <v>977</v>
      </c>
      <c r="C9677" t="s">
        <v>12973</v>
      </c>
      <c r="D9677" t="s">
        <v>19031</v>
      </c>
      <c r="E9677" t="s">
        <v>27355</v>
      </c>
      <c r="F9677" t="s">
        <v>32606</v>
      </c>
      <c r="G9677" t="s">
        <v>32613</v>
      </c>
      <c r="H9677" t="s">
        <v>32624</v>
      </c>
      <c r="I9677" t="s">
        <v>32633</v>
      </c>
      <c r="J9677" t="s">
        <v>38761</v>
      </c>
      <c r="K9677" t="s">
        <v>42631</v>
      </c>
      <c r="M9677" t="s">
        <v>43923</v>
      </c>
      <c r="N9677" t="s">
        <v>47304</v>
      </c>
      <c r="O9677" t="s">
        <v>47305</v>
      </c>
      <c r="P9677">
        <v>0</v>
      </c>
      <c r="Q9677">
        <v>8</v>
      </c>
      <c r="R9677" t="s">
        <v>47313</v>
      </c>
      <c r="S9677" t="s">
        <v>47535</v>
      </c>
      <c r="T9677" t="s">
        <v>49076</v>
      </c>
      <c r="U9677" t="s">
        <v>57525</v>
      </c>
      <c r="W9677" t="s">
        <v>43923</v>
      </c>
      <c r="X9677" t="s">
        <v>47314</v>
      </c>
    </row>
    <row r="9678" spans="1:24">
      <c r="A9678">
        <f>HYPERLINK("https://www.philgeps.gov.ph/GEPSNONPILOT/Tender/SplashBidNoticeAbstractUI.aspx?menuIndex=3&amp;refID=7184984&amp;Result=3","7184984")</f>
        <v>0</v>
      </c>
      <c r="B9678" t="s">
        <v>2985</v>
      </c>
      <c r="C9678" t="s">
        <v>12974</v>
      </c>
      <c r="D9678" t="s">
        <v>19007</v>
      </c>
      <c r="E9678" t="s">
        <v>27356</v>
      </c>
      <c r="F9678" t="s">
        <v>32606</v>
      </c>
      <c r="G9678" t="s">
        <v>32613</v>
      </c>
      <c r="H9678" t="s">
        <v>14201</v>
      </c>
      <c r="I9678" t="s">
        <v>7529</v>
      </c>
      <c r="J9678" t="s">
        <v>33274</v>
      </c>
      <c r="K9678" t="s">
        <v>42630</v>
      </c>
      <c r="M9678" t="s">
        <v>46173</v>
      </c>
      <c r="N9678" t="s">
        <v>47304</v>
      </c>
      <c r="O9678" t="s">
        <v>47305</v>
      </c>
      <c r="P9678">
        <v>0</v>
      </c>
      <c r="Q9678">
        <v>3</v>
      </c>
      <c r="R9678" t="s">
        <v>47313</v>
      </c>
      <c r="S9678" t="s">
        <v>47535</v>
      </c>
      <c r="T9678" t="s">
        <v>49421</v>
      </c>
      <c r="U9678" t="s">
        <v>57526</v>
      </c>
      <c r="W9678" t="s">
        <v>46173</v>
      </c>
      <c r="X9678" t="s">
        <v>47314</v>
      </c>
    </row>
    <row r="9679" spans="1:24">
      <c r="A9679">
        <f>HYPERLINK("https://www.philgeps.gov.ph/GEPSNONPILOT/Tender/SplashBidNoticeAbstractUI.aspx?menuIndex=3&amp;refID=7185207&amp;Result=3","7185207")</f>
        <v>0</v>
      </c>
      <c r="B9679" t="s">
        <v>823</v>
      </c>
      <c r="C9679" t="s">
        <v>12975</v>
      </c>
      <c r="D9679" t="s">
        <v>19037</v>
      </c>
      <c r="E9679" t="s">
        <v>27357</v>
      </c>
      <c r="F9679" t="s">
        <v>32606</v>
      </c>
      <c r="G9679" t="s">
        <v>32613</v>
      </c>
      <c r="H9679" t="s">
        <v>14201</v>
      </c>
      <c r="I9679" t="s">
        <v>4120</v>
      </c>
      <c r="J9679" t="s">
        <v>38762</v>
      </c>
      <c r="K9679" t="s">
        <v>42631</v>
      </c>
      <c r="M9679" t="s">
        <v>43754</v>
      </c>
      <c r="N9679" t="s">
        <v>47304</v>
      </c>
      <c r="O9679" t="s">
        <v>47305</v>
      </c>
      <c r="P9679">
        <v>0</v>
      </c>
      <c r="Q9679">
        <v>5</v>
      </c>
      <c r="R9679" t="s">
        <v>47313</v>
      </c>
      <c r="S9679" t="s">
        <v>47535</v>
      </c>
      <c r="T9679" t="s">
        <v>48977</v>
      </c>
      <c r="U9679" t="s">
        <v>57527</v>
      </c>
      <c r="W9679" t="s">
        <v>43754</v>
      </c>
      <c r="X9679" t="s">
        <v>47314</v>
      </c>
    </row>
    <row r="9680" spans="1:24">
      <c r="A9680">
        <f>HYPERLINK("https://www.philgeps.gov.ph/GEPSNONPILOT/Tender/SplashBidNoticeAbstractUI.aspx?menuIndex=3&amp;refID=7185206&amp;Result=3","7185206")</f>
        <v>0</v>
      </c>
      <c r="B9680" t="s">
        <v>2986</v>
      </c>
      <c r="C9680" t="s">
        <v>12976</v>
      </c>
      <c r="D9680" t="s">
        <v>19046</v>
      </c>
      <c r="E9680" t="s">
        <v>27358</v>
      </c>
      <c r="F9680" t="s">
        <v>32606</v>
      </c>
      <c r="G9680" t="s">
        <v>32613</v>
      </c>
      <c r="H9680" t="s">
        <v>14201</v>
      </c>
      <c r="I9680" t="s">
        <v>6931</v>
      </c>
      <c r="J9680" t="s">
        <v>38763</v>
      </c>
      <c r="K9680" t="s">
        <v>42629</v>
      </c>
      <c r="M9680" t="s">
        <v>46174</v>
      </c>
      <c r="N9680" t="s">
        <v>47304</v>
      </c>
      <c r="O9680" t="s">
        <v>47305</v>
      </c>
      <c r="P9680">
        <v>0</v>
      </c>
      <c r="Q9680">
        <v>0</v>
      </c>
      <c r="R9680" t="s">
        <v>47313</v>
      </c>
      <c r="S9680" t="s">
        <v>47535</v>
      </c>
      <c r="T9680" t="s">
        <v>49068</v>
      </c>
      <c r="U9680" t="s">
        <v>57528</v>
      </c>
      <c r="W9680" t="s">
        <v>46174</v>
      </c>
      <c r="X9680" t="s">
        <v>47314</v>
      </c>
    </row>
    <row r="9681" spans="1:24">
      <c r="A9681">
        <f>HYPERLINK("https://www.philgeps.gov.ph/GEPSNONPILOT/Tender/SplashBidNoticeAbstractUI.aspx?menuIndex=3&amp;refID=7185202&amp;Result=3","7185202")</f>
        <v>0</v>
      </c>
      <c r="B9681" t="s">
        <v>535</v>
      </c>
      <c r="C9681" t="s">
        <v>12977</v>
      </c>
      <c r="D9681" t="s">
        <v>19031</v>
      </c>
      <c r="E9681" t="s">
        <v>27359</v>
      </c>
      <c r="F9681" t="s">
        <v>32606</v>
      </c>
      <c r="G9681" t="s">
        <v>32613</v>
      </c>
      <c r="H9681" t="s">
        <v>14201</v>
      </c>
      <c r="I9681" t="s">
        <v>32668</v>
      </c>
      <c r="J9681" t="s">
        <v>38764</v>
      </c>
      <c r="K9681" t="s">
        <v>42631</v>
      </c>
      <c r="M9681" t="s">
        <v>43448</v>
      </c>
      <c r="N9681" t="s">
        <v>47304</v>
      </c>
      <c r="O9681" t="s">
        <v>47305</v>
      </c>
      <c r="P9681">
        <v>0</v>
      </c>
      <c r="Q9681">
        <v>3</v>
      </c>
      <c r="R9681" t="s">
        <v>47313</v>
      </c>
      <c r="S9681" t="s">
        <v>47535</v>
      </c>
      <c r="T9681" t="s">
        <v>48998</v>
      </c>
      <c r="U9681" t="s">
        <v>57529</v>
      </c>
      <c r="W9681" t="s">
        <v>43448</v>
      </c>
      <c r="X9681" t="s">
        <v>47314</v>
      </c>
    </row>
    <row r="9682" spans="1:24">
      <c r="A9682">
        <f>HYPERLINK("https://www.philgeps.gov.ph/GEPSNONPILOT/Tender/SplashBidNoticeAbstractUI.aspx?menuIndex=3&amp;refID=7184977&amp;Result=3","7184977")</f>
        <v>0</v>
      </c>
      <c r="B9682" t="s">
        <v>2782</v>
      </c>
      <c r="C9682" t="s">
        <v>12978</v>
      </c>
      <c r="D9682" t="s">
        <v>18992</v>
      </c>
      <c r="E9682" t="s">
        <v>27360</v>
      </c>
      <c r="F9682" t="s">
        <v>32606</v>
      </c>
      <c r="G9682" t="s">
        <v>32613</v>
      </c>
      <c r="H9682" t="s">
        <v>14201</v>
      </c>
      <c r="I9682" t="s">
        <v>32706</v>
      </c>
      <c r="J9682" t="s">
        <v>38765</v>
      </c>
      <c r="K9682" t="s">
        <v>42622</v>
      </c>
      <c r="M9682" t="s">
        <v>46157</v>
      </c>
      <c r="N9682" t="s">
        <v>47304</v>
      </c>
      <c r="O9682" t="s">
        <v>47305</v>
      </c>
      <c r="P9682">
        <v>0</v>
      </c>
      <c r="Q9682">
        <v>4</v>
      </c>
      <c r="R9682" t="s">
        <v>47313</v>
      </c>
      <c r="S9682" t="s">
        <v>47535</v>
      </c>
      <c r="T9682" t="s">
        <v>49347</v>
      </c>
      <c r="U9682" t="s">
        <v>57530</v>
      </c>
      <c r="W9682" t="s">
        <v>46157</v>
      </c>
      <c r="X9682" t="s">
        <v>47314</v>
      </c>
    </row>
    <row r="9683" spans="1:24">
      <c r="A9683">
        <f>HYPERLINK("https://www.philgeps.gov.ph/GEPSNONPILOT/Tender/SplashBidNoticeAbstractUI.aspx?menuIndex=3&amp;refID=7185201&amp;Result=3","7185201")</f>
        <v>0</v>
      </c>
      <c r="B9683" t="s">
        <v>2987</v>
      </c>
      <c r="C9683" t="s">
        <v>12979</v>
      </c>
      <c r="D9683" t="s">
        <v>18993</v>
      </c>
      <c r="E9683" t="s">
        <v>27361</v>
      </c>
      <c r="F9683" t="s">
        <v>32606</v>
      </c>
      <c r="G9683" t="s">
        <v>32613</v>
      </c>
      <c r="H9683" t="s">
        <v>14201</v>
      </c>
      <c r="I9683" t="s">
        <v>32633</v>
      </c>
      <c r="J9683" t="s">
        <v>37510</v>
      </c>
      <c r="K9683" t="s">
        <v>42623</v>
      </c>
      <c r="M9683" t="s">
        <v>46175</v>
      </c>
      <c r="N9683" t="s">
        <v>47304</v>
      </c>
      <c r="O9683" t="s">
        <v>47305</v>
      </c>
      <c r="P9683">
        <v>0</v>
      </c>
      <c r="Q9683">
        <v>5</v>
      </c>
      <c r="R9683" t="s">
        <v>47313</v>
      </c>
      <c r="S9683" t="s">
        <v>47535</v>
      </c>
      <c r="T9683" t="s">
        <v>49066</v>
      </c>
      <c r="U9683" t="s">
        <v>57531</v>
      </c>
      <c r="W9683" t="s">
        <v>46175</v>
      </c>
      <c r="X9683" t="s">
        <v>47314</v>
      </c>
    </row>
    <row r="9684" spans="1:24">
      <c r="A9684">
        <f>HYPERLINK("https://www.philgeps.gov.ph/GEPSNONPILOT/Tender/SplashBidNoticeAbstractUI.aspx?menuIndex=3&amp;refID=7185117&amp;Result=3","7185117")</f>
        <v>0</v>
      </c>
      <c r="B9684" t="s">
        <v>2988</v>
      </c>
      <c r="C9684" t="s">
        <v>12980</v>
      </c>
      <c r="D9684" t="s">
        <v>19039</v>
      </c>
      <c r="E9684" t="s">
        <v>27362</v>
      </c>
      <c r="F9684" t="s">
        <v>32606</v>
      </c>
      <c r="G9684" t="s">
        <v>32613</v>
      </c>
      <c r="H9684" t="s">
        <v>32623</v>
      </c>
      <c r="I9684" t="s">
        <v>17648</v>
      </c>
      <c r="J9684" t="s">
        <v>33009</v>
      </c>
      <c r="K9684" t="s">
        <v>42631</v>
      </c>
      <c r="M9684" t="s">
        <v>46176</v>
      </c>
      <c r="N9684" t="s">
        <v>47304</v>
      </c>
      <c r="O9684" t="s">
        <v>47305</v>
      </c>
      <c r="P9684">
        <v>0</v>
      </c>
      <c r="Q9684">
        <v>0</v>
      </c>
      <c r="R9684" t="s">
        <v>47313</v>
      </c>
      <c r="S9684" t="s">
        <v>47535</v>
      </c>
      <c r="T9684" t="s">
        <v>49020</v>
      </c>
      <c r="U9684" t="s">
        <v>57532</v>
      </c>
      <c r="W9684" t="s">
        <v>46176</v>
      </c>
      <c r="X9684" t="s">
        <v>47314</v>
      </c>
    </row>
    <row r="9685" spans="1:24">
      <c r="A9685">
        <f>HYPERLINK("https://www.philgeps.gov.ph/GEPSNONPILOT/Tender/SplashBidNoticeAbstractUI.aspx?menuIndex=3&amp;refID=7185197&amp;Result=3","7185197")</f>
        <v>0</v>
      </c>
      <c r="B9685" t="s">
        <v>1506</v>
      </c>
      <c r="C9685" t="s">
        <v>4758</v>
      </c>
      <c r="D9685" t="s">
        <v>19063</v>
      </c>
      <c r="E9685" t="s">
        <v>21514</v>
      </c>
      <c r="F9685" t="s">
        <v>32606</v>
      </c>
      <c r="G9685" t="s">
        <v>32613</v>
      </c>
      <c r="H9685" t="s">
        <v>14201</v>
      </c>
      <c r="I9685" t="s">
        <v>4120</v>
      </c>
      <c r="J9685" t="s">
        <v>38766</v>
      </c>
      <c r="K9685" t="s">
        <v>42630</v>
      </c>
      <c r="M9685" t="s">
        <v>44504</v>
      </c>
      <c r="N9685" t="s">
        <v>47304</v>
      </c>
      <c r="O9685" t="s">
        <v>47305</v>
      </c>
      <c r="P9685">
        <v>0</v>
      </c>
      <c r="Q9685">
        <v>9</v>
      </c>
      <c r="R9685" t="s">
        <v>47313</v>
      </c>
      <c r="S9685" t="s">
        <v>47535</v>
      </c>
      <c r="T9685" t="s">
        <v>49339</v>
      </c>
      <c r="U9685" t="s">
        <v>57533</v>
      </c>
      <c r="W9685" t="s">
        <v>44504</v>
      </c>
      <c r="X9685" t="s">
        <v>47314</v>
      </c>
    </row>
    <row r="9686" spans="1:24">
      <c r="A9686">
        <f>HYPERLINK("https://www.philgeps.gov.ph/GEPSNONPILOT/Tender/SplashBidNoticeAbstractUI.aspx?menuIndex=3&amp;refID=7185186&amp;Result=3","7185186")</f>
        <v>0</v>
      </c>
      <c r="B9686" t="s">
        <v>1028</v>
      </c>
      <c r="C9686" t="s">
        <v>12981</v>
      </c>
      <c r="D9686" t="s">
        <v>19008</v>
      </c>
      <c r="E9686" t="s">
        <v>27363</v>
      </c>
      <c r="F9686" t="s">
        <v>32606</v>
      </c>
      <c r="G9686" t="s">
        <v>32613</v>
      </c>
      <c r="H9686" t="s">
        <v>14201</v>
      </c>
      <c r="I9686" t="s">
        <v>32677</v>
      </c>
      <c r="J9686" t="s">
        <v>34207</v>
      </c>
      <c r="K9686" t="s">
        <v>42631</v>
      </c>
      <c r="M9686" t="s">
        <v>43981</v>
      </c>
      <c r="N9686" t="s">
        <v>47304</v>
      </c>
      <c r="O9686" t="s">
        <v>47305</v>
      </c>
      <c r="P9686">
        <v>0</v>
      </c>
      <c r="Q9686">
        <v>3</v>
      </c>
      <c r="R9686" t="s">
        <v>47313</v>
      </c>
      <c r="S9686" t="s">
        <v>47535</v>
      </c>
      <c r="T9686" t="s">
        <v>49017</v>
      </c>
      <c r="U9686" t="s">
        <v>57534</v>
      </c>
      <c r="W9686" t="s">
        <v>43981</v>
      </c>
      <c r="X9686" t="s">
        <v>47314</v>
      </c>
    </row>
    <row r="9687" spans="1:24">
      <c r="A9687">
        <f>HYPERLINK("https://www.philgeps.gov.ph/GEPSNONPILOT/Tender/SplashBidNoticeAbstractUI.aspx?menuIndex=3&amp;refID=7185182&amp;Result=3","7185182")</f>
        <v>0</v>
      </c>
      <c r="B9687" t="s">
        <v>2989</v>
      </c>
      <c r="C9687" t="s">
        <v>12982</v>
      </c>
      <c r="D9687" t="s">
        <v>19067</v>
      </c>
      <c r="E9687" t="s">
        <v>19315</v>
      </c>
      <c r="F9687" t="s">
        <v>32606</v>
      </c>
      <c r="G9687" t="s">
        <v>32613</v>
      </c>
      <c r="H9687" t="s">
        <v>32623</v>
      </c>
      <c r="I9687" t="s">
        <v>17648</v>
      </c>
      <c r="J9687" t="s">
        <v>32981</v>
      </c>
      <c r="K9687" t="s">
        <v>42627</v>
      </c>
      <c r="M9687" t="s">
        <v>46177</v>
      </c>
      <c r="N9687" t="s">
        <v>47304</v>
      </c>
      <c r="O9687" t="s">
        <v>47305</v>
      </c>
      <c r="P9687">
        <v>0</v>
      </c>
      <c r="Q9687">
        <v>0</v>
      </c>
      <c r="R9687" t="s">
        <v>47313</v>
      </c>
      <c r="S9687" t="s">
        <v>47535</v>
      </c>
      <c r="T9687" t="s">
        <v>49071</v>
      </c>
      <c r="U9687" t="s">
        <v>57535</v>
      </c>
      <c r="W9687" t="s">
        <v>46177</v>
      </c>
      <c r="X9687" t="s">
        <v>47314</v>
      </c>
    </row>
    <row r="9688" spans="1:24">
      <c r="A9688">
        <f>HYPERLINK("https://www.philgeps.gov.ph/GEPSNONPILOT/Tender/SplashBidNoticeAbstractUI.aspx?menuIndex=3&amp;refID=7185180&amp;Result=3","7185180")</f>
        <v>0</v>
      </c>
      <c r="B9688" t="s">
        <v>2990</v>
      </c>
      <c r="C9688" t="s">
        <v>12983</v>
      </c>
      <c r="D9688" t="s">
        <v>19005</v>
      </c>
      <c r="E9688" t="s">
        <v>19315</v>
      </c>
      <c r="F9688" t="s">
        <v>32606</v>
      </c>
      <c r="G9688" t="s">
        <v>32613</v>
      </c>
      <c r="H9688" t="s">
        <v>14201</v>
      </c>
      <c r="I9688" t="s">
        <v>6298</v>
      </c>
      <c r="J9688" t="s">
        <v>32949</v>
      </c>
      <c r="K9688" t="s">
        <v>42630</v>
      </c>
      <c r="M9688" t="s">
        <v>46178</v>
      </c>
      <c r="N9688" t="s">
        <v>47304</v>
      </c>
      <c r="O9688" t="s">
        <v>47305</v>
      </c>
      <c r="P9688">
        <v>0</v>
      </c>
      <c r="Q9688">
        <v>0</v>
      </c>
      <c r="R9688" t="s">
        <v>47313</v>
      </c>
      <c r="S9688" t="s">
        <v>47535</v>
      </c>
      <c r="T9688" t="s">
        <v>49268</v>
      </c>
      <c r="U9688" t="s">
        <v>57536</v>
      </c>
      <c r="W9688" t="s">
        <v>46178</v>
      </c>
      <c r="X9688" t="s">
        <v>47314</v>
      </c>
    </row>
    <row r="9689" spans="1:24">
      <c r="A9689">
        <f>HYPERLINK("https://www.philgeps.gov.ph/GEPSNONPILOT/Tender/SplashBidNoticeAbstractUI.aspx?menuIndex=3&amp;refID=7185175&amp;Result=3","7185175")</f>
        <v>0</v>
      </c>
      <c r="B9689" t="s">
        <v>2831</v>
      </c>
      <c r="C9689" t="s">
        <v>12984</v>
      </c>
      <c r="D9689" t="s">
        <v>19013</v>
      </c>
      <c r="E9689" t="s">
        <v>27364</v>
      </c>
      <c r="F9689" t="s">
        <v>32606</v>
      </c>
      <c r="G9689" t="s">
        <v>32614</v>
      </c>
      <c r="H9689" t="s">
        <v>14201</v>
      </c>
      <c r="I9689" t="s">
        <v>6931</v>
      </c>
      <c r="J9689" t="s">
        <v>38767</v>
      </c>
      <c r="K9689" t="s">
        <v>42631</v>
      </c>
      <c r="M9689" t="s">
        <v>45996</v>
      </c>
      <c r="N9689" t="s">
        <v>47304</v>
      </c>
      <c r="O9689" t="s">
        <v>47305</v>
      </c>
      <c r="P9689">
        <v>0</v>
      </c>
      <c r="Q9689">
        <v>0</v>
      </c>
      <c r="R9689" t="s">
        <v>47313</v>
      </c>
      <c r="S9689" t="s">
        <v>47535</v>
      </c>
      <c r="T9689" t="s">
        <v>49071</v>
      </c>
      <c r="U9689" t="s">
        <v>57537</v>
      </c>
      <c r="W9689" t="s">
        <v>45996</v>
      </c>
      <c r="X9689" t="s">
        <v>47314</v>
      </c>
    </row>
    <row r="9690" spans="1:24">
      <c r="A9690">
        <f>HYPERLINK("https://www.philgeps.gov.ph/GEPSNONPILOT/Tender/SplashBidNoticeAbstractUI.aspx?menuIndex=3&amp;refID=7185222&amp;Result=3","7185222")</f>
        <v>0</v>
      </c>
      <c r="B9690" t="s">
        <v>2991</v>
      </c>
      <c r="C9690" t="s">
        <v>12985</v>
      </c>
      <c r="D9690" t="s">
        <v>19007</v>
      </c>
      <c r="E9690" t="s">
        <v>26372</v>
      </c>
      <c r="F9690" t="s">
        <v>32606</v>
      </c>
      <c r="G9690" t="s">
        <v>32613</v>
      </c>
      <c r="H9690" t="s">
        <v>32623</v>
      </c>
      <c r="I9690" t="s">
        <v>17648</v>
      </c>
      <c r="J9690" t="s">
        <v>38768</v>
      </c>
      <c r="K9690" t="s">
        <v>42623</v>
      </c>
      <c r="M9690" t="s">
        <v>46179</v>
      </c>
      <c r="N9690" t="s">
        <v>47304</v>
      </c>
      <c r="O9690" t="s">
        <v>47305</v>
      </c>
      <c r="P9690">
        <v>0</v>
      </c>
      <c r="Q9690">
        <v>2</v>
      </c>
      <c r="R9690" t="s">
        <v>47313</v>
      </c>
      <c r="S9690" t="s">
        <v>47535</v>
      </c>
      <c r="T9690" t="s">
        <v>49100</v>
      </c>
      <c r="U9690" t="s">
        <v>57538</v>
      </c>
      <c r="W9690" t="s">
        <v>46179</v>
      </c>
      <c r="X9690" t="s">
        <v>47314</v>
      </c>
    </row>
    <row r="9691" spans="1:24">
      <c r="A9691">
        <f>HYPERLINK("https://www.philgeps.gov.ph/GEPSNONPILOT/Tender/SplashBidNoticeAbstractUI.aspx?menuIndex=3&amp;refID=7184987&amp;Result=3","7184987")</f>
        <v>0</v>
      </c>
      <c r="B9691" t="s">
        <v>2533</v>
      </c>
      <c r="C9691" t="s">
        <v>12986</v>
      </c>
      <c r="D9691" t="s">
        <v>18988</v>
      </c>
      <c r="E9691" t="s">
        <v>27365</v>
      </c>
      <c r="F9691" t="s">
        <v>32606</v>
      </c>
      <c r="G9691" t="s">
        <v>32613</v>
      </c>
      <c r="H9691" t="s">
        <v>32623</v>
      </c>
      <c r="I9691" t="s">
        <v>17648</v>
      </c>
      <c r="J9691" t="s">
        <v>38769</v>
      </c>
      <c r="K9691" t="s">
        <v>42694</v>
      </c>
      <c r="M9691" t="s">
        <v>45673</v>
      </c>
      <c r="N9691" t="s">
        <v>47304</v>
      </c>
      <c r="O9691" t="s">
        <v>47305</v>
      </c>
      <c r="P9691">
        <v>0</v>
      </c>
      <c r="Q9691">
        <v>3</v>
      </c>
      <c r="R9691" t="s">
        <v>47313</v>
      </c>
      <c r="S9691" t="s">
        <v>47535</v>
      </c>
      <c r="T9691" t="s">
        <v>49390</v>
      </c>
      <c r="U9691" t="s">
        <v>57539</v>
      </c>
      <c r="W9691" t="s">
        <v>45673</v>
      </c>
      <c r="X9691" t="s">
        <v>47314</v>
      </c>
    </row>
    <row r="9692" spans="1:24">
      <c r="A9692">
        <f>HYPERLINK("https://www.philgeps.gov.ph/GEPSNONPILOT/Tender/SplashBidNoticeAbstractUI.aspx?menuIndex=3&amp;refID=7185130&amp;Result=3","7185130")</f>
        <v>0</v>
      </c>
      <c r="B9692" t="s">
        <v>1110</v>
      </c>
      <c r="C9692" t="s">
        <v>12987</v>
      </c>
      <c r="D9692" t="s">
        <v>19057</v>
      </c>
      <c r="E9692" t="s">
        <v>27366</v>
      </c>
      <c r="F9692" t="s">
        <v>32606</v>
      </c>
      <c r="G9692" t="s">
        <v>32613</v>
      </c>
      <c r="H9692" t="s">
        <v>32623</v>
      </c>
      <c r="I9692" t="s">
        <v>17648</v>
      </c>
      <c r="J9692" t="s">
        <v>38770</v>
      </c>
      <c r="K9692" t="s">
        <v>42712</v>
      </c>
      <c r="M9692" t="s">
        <v>44069</v>
      </c>
      <c r="N9692" t="s">
        <v>47304</v>
      </c>
      <c r="O9692" t="s">
        <v>47305</v>
      </c>
      <c r="P9692">
        <v>0</v>
      </c>
      <c r="Q9692">
        <v>0</v>
      </c>
      <c r="R9692" t="s">
        <v>47313</v>
      </c>
      <c r="S9692" t="s">
        <v>47535</v>
      </c>
      <c r="T9692" t="s">
        <v>49075</v>
      </c>
      <c r="U9692" t="s">
        <v>51782</v>
      </c>
      <c r="W9692" t="s">
        <v>44069</v>
      </c>
      <c r="X9692" t="s">
        <v>47314</v>
      </c>
    </row>
    <row r="9693" spans="1:24">
      <c r="A9693">
        <f>HYPERLINK("https://www.philgeps.gov.ph/GEPSNONPILOT/Tender/SplashBidNoticeAbstractUI.aspx?menuIndex=3&amp;refID=7185183&amp;Result=3","7185183")</f>
        <v>0</v>
      </c>
      <c r="B9693" t="s">
        <v>1110</v>
      </c>
      <c r="C9693" t="s">
        <v>12988</v>
      </c>
      <c r="D9693" t="s">
        <v>19057</v>
      </c>
      <c r="E9693" t="s">
        <v>27367</v>
      </c>
      <c r="F9693" t="s">
        <v>32606</v>
      </c>
      <c r="G9693" t="s">
        <v>32613</v>
      </c>
      <c r="H9693" t="s">
        <v>32623</v>
      </c>
      <c r="I9693" t="s">
        <v>17648</v>
      </c>
      <c r="J9693" t="s">
        <v>38771</v>
      </c>
      <c r="K9693" t="s">
        <v>42809</v>
      </c>
      <c r="M9693" t="s">
        <v>44069</v>
      </c>
      <c r="N9693" t="s">
        <v>47304</v>
      </c>
      <c r="O9693" t="s">
        <v>47305</v>
      </c>
      <c r="P9693">
        <v>0</v>
      </c>
      <c r="Q9693">
        <v>0</v>
      </c>
      <c r="R9693" t="s">
        <v>47313</v>
      </c>
      <c r="S9693" t="s">
        <v>47535</v>
      </c>
      <c r="T9693" t="s">
        <v>49075</v>
      </c>
      <c r="U9693" t="s">
        <v>51782</v>
      </c>
      <c r="W9693" t="s">
        <v>44069</v>
      </c>
      <c r="X9693" t="s">
        <v>47314</v>
      </c>
    </row>
    <row r="9694" spans="1:24">
      <c r="A9694">
        <f>HYPERLINK("https://www.philgeps.gov.ph/GEPSNONPILOT/Tender/SplashBidNoticeAbstractUI.aspx?menuIndex=3&amp;refID=7185269&amp;Result=3","7185269")</f>
        <v>0</v>
      </c>
      <c r="B9694" t="s">
        <v>1270</v>
      </c>
      <c r="C9694" t="s">
        <v>4361</v>
      </c>
      <c r="D9694" t="s">
        <v>19024</v>
      </c>
      <c r="E9694" t="s">
        <v>19522</v>
      </c>
      <c r="F9694" t="s">
        <v>32606</v>
      </c>
      <c r="G9694" t="s">
        <v>32613</v>
      </c>
      <c r="H9694" t="s">
        <v>32623</v>
      </c>
      <c r="I9694" t="s">
        <v>17648</v>
      </c>
      <c r="J9694" t="s">
        <v>38772</v>
      </c>
      <c r="K9694" t="s">
        <v>42631</v>
      </c>
      <c r="M9694" t="s">
        <v>44238</v>
      </c>
      <c r="N9694" t="s">
        <v>47304</v>
      </c>
      <c r="O9694" t="s">
        <v>47305</v>
      </c>
      <c r="P9694">
        <v>0</v>
      </c>
      <c r="Q9694">
        <v>0</v>
      </c>
      <c r="R9694" t="s">
        <v>47313</v>
      </c>
      <c r="S9694" t="s">
        <v>47535</v>
      </c>
      <c r="T9694" t="s">
        <v>49023</v>
      </c>
      <c r="U9694" t="s">
        <v>57540</v>
      </c>
      <c r="W9694" t="s">
        <v>44238</v>
      </c>
      <c r="X9694" t="s">
        <v>47314</v>
      </c>
    </row>
    <row r="9695" spans="1:24">
      <c r="A9695">
        <f>HYPERLINK("https://www.philgeps.gov.ph/GEPSNONPILOT/Tender/SplashBidNoticeAbstractUI.aspx?menuIndex=3&amp;refID=7185266&amp;Result=3","7185266")</f>
        <v>0</v>
      </c>
      <c r="B9695" t="s">
        <v>2992</v>
      </c>
      <c r="C9695" t="s">
        <v>12989</v>
      </c>
      <c r="D9695" t="s">
        <v>19067</v>
      </c>
      <c r="E9695" t="s">
        <v>19315</v>
      </c>
      <c r="F9695" t="s">
        <v>32606</v>
      </c>
      <c r="G9695" t="s">
        <v>32613</v>
      </c>
      <c r="H9695" t="s">
        <v>32623</v>
      </c>
      <c r="I9695" t="s">
        <v>17648</v>
      </c>
      <c r="J9695" t="s">
        <v>38773</v>
      </c>
      <c r="K9695" t="s">
        <v>42694</v>
      </c>
      <c r="M9695" t="s">
        <v>46180</v>
      </c>
      <c r="N9695" t="s">
        <v>47304</v>
      </c>
      <c r="O9695" t="s">
        <v>47305</v>
      </c>
      <c r="P9695">
        <v>0</v>
      </c>
      <c r="Q9695">
        <v>0</v>
      </c>
      <c r="R9695" t="s">
        <v>47313</v>
      </c>
      <c r="S9695" t="s">
        <v>47535</v>
      </c>
      <c r="T9695" t="s">
        <v>49071</v>
      </c>
      <c r="U9695" t="s">
        <v>57541</v>
      </c>
      <c r="W9695" t="s">
        <v>46180</v>
      </c>
      <c r="X9695" t="s">
        <v>47314</v>
      </c>
    </row>
    <row r="9696" spans="1:24">
      <c r="A9696">
        <f>HYPERLINK("https://www.philgeps.gov.ph/GEPSNONPILOT/Tender/SplashBidNoticeAbstractUI.aspx?menuIndex=3&amp;refID=7185264&amp;Result=3","7185264")</f>
        <v>0</v>
      </c>
      <c r="B9696" t="s">
        <v>664</v>
      </c>
      <c r="C9696" t="s">
        <v>12990</v>
      </c>
      <c r="E9696" t="s">
        <v>27368</v>
      </c>
      <c r="F9696" t="s">
        <v>32606</v>
      </c>
      <c r="G9696" t="s">
        <v>32613</v>
      </c>
      <c r="H9696" t="s">
        <v>14201</v>
      </c>
      <c r="I9696" t="s">
        <v>6298</v>
      </c>
      <c r="J9696" t="s">
        <v>38774</v>
      </c>
      <c r="K9696" t="s">
        <v>42624</v>
      </c>
      <c r="M9696" t="s">
        <v>43584</v>
      </c>
      <c r="N9696" t="s">
        <v>47304</v>
      </c>
      <c r="O9696" t="s">
        <v>47305</v>
      </c>
      <c r="P9696">
        <v>0</v>
      </c>
      <c r="Q9696">
        <v>2</v>
      </c>
      <c r="R9696" t="s">
        <v>47313</v>
      </c>
      <c r="S9696" t="s">
        <v>47535</v>
      </c>
      <c r="T9696" t="s">
        <v>49071</v>
      </c>
      <c r="U9696" t="s">
        <v>57542</v>
      </c>
      <c r="W9696" t="s">
        <v>43584</v>
      </c>
      <c r="X9696" t="s">
        <v>47314</v>
      </c>
    </row>
    <row r="9697" spans="1:24">
      <c r="A9697">
        <f>HYPERLINK("https://www.philgeps.gov.ph/GEPSNONPILOT/Tender/SplashBidNoticeAbstractUI.aspx?menuIndex=3&amp;refID=7185263&amp;Result=3","7185263")</f>
        <v>0</v>
      </c>
      <c r="B9697" t="s">
        <v>233</v>
      </c>
      <c r="C9697" t="s">
        <v>12991</v>
      </c>
      <c r="D9697" t="s">
        <v>18997</v>
      </c>
      <c r="E9697" t="s">
        <v>27369</v>
      </c>
      <c r="F9697" t="s">
        <v>32606</v>
      </c>
      <c r="G9697" t="s">
        <v>32613</v>
      </c>
      <c r="H9697" t="s">
        <v>14201</v>
      </c>
      <c r="I9697" t="s">
        <v>6931</v>
      </c>
      <c r="J9697" t="s">
        <v>38775</v>
      </c>
      <c r="K9697" t="s">
        <v>42631</v>
      </c>
      <c r="M9697" t="s">
        <v>46037</v>
      </c>
      <c r="N9697" t="s">
        <v>47304</v>
      </c>
      <c r="O9697" t="s">
        <v>47305</v>
      </c>
      <c r="P9697">
        <v>0</v>
      </c>
      <c r="Q9697">
        <v>0</v>
      </c>
      <c r="R9697" t="s">
        <v>47313</v>
      </c>
      <c r="S9697" t="s">
        <v>47535</v>
      </c>
      <c r="T9697" t="s">
        <v>49053</v>
      </c>
      <c r="U9697" t="s">
        <v>52443</v>
      </c>
      <c r="V9697" t="s">
        <v>63002</v>
      </c>
      <c r="W9697" t="s">
        <v>46037</v>
      </c>
      <c r="X9697" t="s">
        <v>47314</v>
      </c>
    </row>
    <row r="9698" spans="1:24">
      <c r="A9698">
        <f>HYPERLINK("https://www.philgeps.gov.ph/GEPSNONPILOT/Tender/SplashBidNoticeAbstractUI.aspx?menuIndex=3&amp;refID=7185256&amp;Result=3","7185256")</f>
        <v>0</v>
      </c>
      <c r="B9698" t="s">
        <v>2304</v>
      </c>
      <c r="C9698" t="s">
        <v>12992</v>
      </c>
      <c r="D9698" t="s">
        <v>19016</v>
      </c>
      <c r="E9698" t="s">
        <v>27370</v>
      </c>
      <c r="F9698" t="s">
        <v>32606</v>
      </c>
      <c r="G9698" t="s">
        <v>32613</v>
      </c>
      <c r="H9698" t="s">
        <v>14201</v>
      </c>
      <c r="I9698" t="s">
        <v>6993</v>
      </c>
      <c r="J9698" t="s">
        <v>38776</v>
      </c>
      <c r="K9698" t="s">
        <v>42624</v>
      </c>
      <c r="M9698" t="s">
        <v>45410</v>
      </c>
      <c r="N9698" t="s">
        <v>47304</v>
      </c>
      <c r="O9698" t="s">
        <v>47305</v>
      </c>
      <c r="P9698">
        <v>0</v>
      </c>
      <c r="Q9698">
        <v>1</v>
      </c>
      <c r="R9698" t="s">
        <v>47313</v>
      </c>
      <c r="S9698" t="s">
        <v>47535</v>
      </c>
      <c r="T9698" t="s">
        <v>49020</v>
      </c>
      <c r="U9698" t="s">
        <v>57543</v>
      </c>
      <c r="W9698" t="s">
        <v>45410</v>
      </c>
      <c r="X9698" t="s">
        <v>47314</v>
      </c>
    </row>
    <row r="9699" spans="1:24">
      <c r="A9699">
        <f>HYPERLINK("https://www.philgeps.gov.ph/GEPSNONPILOT/Tender/SplashBidNoticeAbstractUI.aspx?menuIndex=3&amp;refID=7185250&amp;Result=3","7185250")</f>
        <v>0</v>
      </c>
      <c r="B9699" t="s">
        <v>1110</v>
      </c>
      <c r="C9699" t="s">
        <v>12993</v>
      </c>
      <c r="D9699" t="s">
        <v>19057</v>
      </c>
      <c r="E9699" t="s">
        <v>27371</v>
      </c>
      <c r="F9699" t="s">
        <v>32606</v>
      </c>
      <c r="G9699" t="s">
        <v>32613</v>
      </c>
      <c r="H9699" t="s">
        <v>14201</v>
      </c>
      <c r="I9699" t="s">
        <v>32648</v>
      </c>
      <c r="J9699" t="s">
        <v>38777</v>
      </c>
      <c r="K9699" t="s">
        <v>42636</v>
      </c>
      <c r="M9699" t="s">
        <v>44069</v>
      </c>
      <c r="N9699" t="s">
        <v>47304</v>
      </c>
      <c r="O9699" t="s">
        <v>47305</v>
      </c>
      <c r="P9699">
        <v>0</v>
      </c>
      <c r="Q9699">
        <v>3</v>
      </c>
      <c r="R9699" t="s">
        <v>47313</v>
      </c>
      <c r="S9699" t="s">
        <v>47535</v>
      </c>
      <c r="T9699" t="s">
        <v>49075</v>
      </c>
      <c r="U9699" t="s">
        <v>57544</v>
      </c>
      <c r="W9699" t="s">
        <v>44069</v>
      </c>
      <c r="X9699" t="s">
        <v>47314</v>
      </c>
    </row>
    <row r="9700" spans="1:24">
      <c r="A9700">
        <f>HYPERLINK("https://www.philgeps.gov.ph/GEPSNONPILOT/Tender/SplashBidNoticeAbstractUI.aspx?menuIndex=3&amp;refID=7185272&amp;Result=3","7185272")</f>
        <v>0</v>
      </c>
      <c r="B9700" t="s">
        <v>2993</v>
      </c>
      <c r="C9700" t="s">
        <v>4040</v>
      </c>
      <c r="D9700" t="s">
        <v>19038</v>
      </c>
      <c r="E9700" t="s">
        <v>27372</v>
      </c>
      <c r="F9700" t="s">
        <v>32606</v>
      </c>
      <c r="G9700" t="s">
        <v>32613</v>
      </c>
      <c r="H9700" t="s">
        <v>14201</v>
      </c>
      <c r="I9700" t="s">
        <v>7677</v>
      </c>
      <c r="J9700" t="s">
        <v>38778</v>
      </c>
      <c r="K9700" t="s">
        <v>42631</v>
      </c>
      <c r="M9700" t="s">
        <v>46181</v>
      </c>
      <c r="N9700" t="s">
        <v>47304</v>
      </c>
      <c r="O9700" t="s">
        <v>47305</v>
      </c>
      <c r="P9700">
        <v>0</v>
      </c>
      <c r="Q9700">
        <v>8</v>
      </c>
      <c r="R9700" t="s">
        <v>47313</v>
      </c>
      <c r="S9700" t="s">
        <v>47535</v>
      </c>
      <c r="T9700" t="s">
        <v>49234</v>
      </c>
      <c r="U9700" t="s">
        <v>57545</v>
      </c>
      <c r="W9700" t="s">
        <v>46181</v>
      </c>
      <c r="X9700" t="s">
        <v>47314</v>
      </c>
    </row>
    <row r="9701" spans="1:24">
      <c r="A9701">
        <f>HYPERLINK("https://www.philgeps.gov.ph/GEPSNONPILOT/Tender/SplashBidNoticeAbstractUI.aspx?menuIndex=3&amp;refID=7185249&amp;Result=3","7185249")</f>
        <v>0</v>
      </c>
      <c r="B9701" t="s">
        <v>2994</v>
      </c>
      <c r="C9701" t="s">
        <v>12994</v>
      </c>
      <c r="D9701" t="s">
        <v>19008</v>
      </c>
      <c r="E9701" t="s">
        <v>27373</v>
      </c>
      <c r="F9701" t="s">
        <v>32606</v>
      </c>
      <c r="G9701" t="s">
        <v>32613</v>
      </c>
      <c r="H9701" t="s">
        <v>32623</v>
      </c>
      <c r="I9701" t="s">
        <v>32675</v>
      </c>
      <c r="J9701" t="s">
        <v>38779</v>
      </c>
      <c r="K9701" t="s">
        <v>42645</v>
      </c>
      <c r="M9701" t="s">
        <v>46182</v>
      </c>
      <c r="N9701" t="s">
        <v>47304</v>
      </c>
      <c r="O9701" t="s">
        <v>47305</v>
      </c>
      <c r="P9701">
        <v>0</v>
      </c>
      <c r="Q9701">
        <v>1</v>
      </c>
      <c r="R9701" t="s">
        <v>47313</v>
      </c>
      <c r="S9701" t="s">
        <v>47535</v>
      </c>
      <c r="T9701" t="s">
        <v>49040</v>
      </c>
      <c r="U9701" t="s">
        <v>57546</v>
      </c>
      <c r="W9701" t="s">
        <v>46182</v>
      </c>
      <c r="X9701" t="s">
        <v>47314</v>
      </c>
    </row>
    <row r="9702" spans="1:24">
      <c r="A9702">
        <f>HYPERLINK("https://www.philgeps.gov.ph/GEPSNONPILOT/Tender/SplashBidNoticeAbstractUI.aspx?menuIndex=3&amp;refID=7185243&amp;Result=3","7185243")</f>
        <v>0</v>
      </c>
      <c r="B9702" t="s">
        <v>2987</v>
      </c>
      <c r="C9702" t="s">
        <v>12995</v>
      </c>
      <c r="D9702" t="s">
        <v>18993</v>
      </c>
      <c r="E9702" t="s">
        <v>27374</v>
      </c>
      <c r="F9702" t="s">
        <v>32606</v>
      </c>
      <c r="G9702" t="s">
        <v>32613</v>
      </c>
      <c r="H9702" t="s">
        <v>14201</v>
      </c>
      <c r="I9702" t="s">
        <v>6014</v>
      </c>
      <c r="J9702" t="s">
        <v>32861</v>
      </c>
      <c r="K9702" t="s">
        <v>42623</v>
      </c>
      <c r="M9702" t="s">
        <v>46175</v>
      </c>
      <c r="N9702" t="s">
        <v>47304</v>
      </c>
      <c r="O9702" t="s">
        <v>47305</v>
      </c>
      <c r="P9702">
        <v>0</v>
      </c>
      <c r="Q9702">
        <v>2</v>
      </c>
      <c r="R9702" t="s">
        <v>47313</v>
      </c>
      <c r="S9702" t="s">
        <v>47535</v>
      </c>
      <c r="T9702" t="s">
        <v>49066</v>
      </c>
      <c r="U9702" t="s">
        <v>57547</v>
      </c>
      <c r="W9702" t="s">
        <v>46175</v>
      </c>
      <c r="X9702" t="s">
        <v>47314</v>
      </c>
    </row>
    <row r="9703" spans="1:24">
      <c r="A9703">
        <f>HYPERLINK("https://www.philgeps.gov.ph/GEPSNONPILOT/Tender/SplashBidNoticeAbstractUI.aspx?menuIndex=3&amp;refID=7185204&amp;Result=3","7185204")</f>
        <v>0</v>
      </c>
      <c r="B9703" t="s">
        <v>2995</v>
      </c>
      <c r="C9703" t="s">
        <v>12996</v>
      </c>
      <c r="D9703" t="s">
        <v>18987</v>
      </c>
      <c r="E9703" t="s">
        <v>27375</v>
      </c>
      <c r="F9703" t="s">
        <v>32606</v>
      </c>
      <c r="G9703" t="s">
        <v>32613</v>
      </c>
      <c r="H9703" t="s">
        <v>32623</v>
      </c>
      <c r="I9703" t="s">
        <v>17648</v>
      </c>
      <c r="J9703" t="s">
        <v>38780</v>
      </c>
      <c r="K9703" t="s">
        <v>42648</v>
      </c>
      <c r="M9703" t="s">
        <v>46183</v>
      </c>
      <c r="N9703" t="s">
        <v>47304</v>
      </c>
      <c r="O9703" t="s">
        <v>47305</v>
      </c>
      <c r="P9703">
        <v>0</v>
      </c>
      <c r="Q9703">
        <v>9</v>
      </c>
      <c r="R9703" t="s">
        <v>47313</v>
      </c>
      <c r="S9703" t="s">
        <v>47535</v>
      </c>
      <c r="T9703" t="s">
        <v>49111</v>
      </c>
      <c r="U9703" t="s">
        <v>57548</v>
      </c>
      <c r="W9703" t="s">
        <v>46183</v>
      </c>
      <c r="X9703" t="s">
        <v>47314</v>
      </c>
    </row>
    <row r="9704" spans="1:24">
      <c r="A9704">
        <f>HYPERLINK("https://www.philgeps.gov.ph/GEPSNONPILOT/Tender/SplashBidNoticeAbstractUI.aspx?menuIndex=3&amp;refID=7185235&amp;Result=3","7185235")</f>
        <v>0</v>
      </c>
      <c r="B9704" t="s">
        <v>2991</v>
      </c>
      <c r="C9704" t="s">
        <v>12997</v>
      </c>
      <c r="D9704" t="s">
        <v>19007</v>
      </c>
      <c r="E9704" t="s">
        <v>26141</v>
      </c>
      <c r="F9704" t="s">
        <v>32606</v>
      </c>
      <c r="G9704" t="s">
        <v>32613</v>
      </c>
      <c r="H9704" t="s">
        <v>32623</v>
      </c>
      <c r="I9704" t="s">
        <v>17648</v>
      </c>
      <c r="J9704" t="s">
        <v>38781</v>
      </c>
      <c r="K9704" t="s">
        <v>42623</v>
      </c>
      <c r="M9704" t="s">
        <v>46179</v>
      </c>
      <c r="N9704" t="s">
        <v>47304</v>
      </c>
      <c r="O9704" t="s">
        <v>47305</v>
      </c>
      <c r="P9704">
        <v>0</v>
      </c>
      <c r="Q9704">
        <v>2</v>
      </c>
      <c r="R9704" t="s">
        <v>47313</v>
      </c>
      <c r="S9704" t="s">
        <v>47535</v>
      </c>
      <c r="T9704" t="s">
        <v>49100</v>
      </c>
      <c r="U9704" t="s">
        <v>57549</v>
      </c>
      <c r="W9704" t="s">
        <v>46179</v>
      </c>
      <c r="X9704" t="s">
        <v>47314</v>
      </c>
    </row>
    <row r="9705" spans="1:24">
      <c r="A9705">
        <f>HYPERLINK("https://www.philgeps.gov.ph/GEPSNONPILOT/Tender/SplashBidNoticeAbstractUI.aspx?menuIndex=3&amp;refID=7185261&amp;Result=3","7185261")</f>
        <v>0</v>
      </c>
      <c r="B9705" t="s">
        <v>2987</v>
      </c>
      <c r="C9705" t="s">
        <v>12979</v>
      </c>
      <c r="D9705" t="s">
        <v>18993</v>
      </c>
      <c r="E9705" t="s">
        <v>27376</v>
      </c>
      <c r="F9705" t="s">
        <v>32606</v>
      </c>
      <c r="G9705" t="s">
        <v>32613</v>
      </c>
      <c r="H9705" t="s">
        <v>14201</v>
      </c>
      <c r="I9705" t="s">
        <v>32633</v>
      </c>
      <c r="J9705" t="s">
        <v>32759</v>
      </c>
      <c r="K9705" t="s">
        <v>42623</v>
      </c>
      <c r="M9705" t="s">
        <v>46175</v>
      </c>
      <c r="N9705" t="s">
        <v>47304</v>
      </c>
      <c r="O9705" t="s">
        <v>47305</v>
      </c>
      <c r="P9705">
        <v>0</v>
      </c>
      <c r="Q9705">
        <v>2</v>
      </c>
      <c r="R9705" t="s">
        <v>47313</v>
      </c>
      <c r="S9705" t="s">
        <v>47535</v>
      </c>
      <c r="T9705" t="s">
        <v>49066</v>
      </c>
      <c r="U9705" t="s">
        <v>57550</v>
      </c>
      <c r="W9705" t="s">
        <v>46175</v>
      </c>
      <c r="X9705" t="s">
        <v>47314</v>
      </c>
    </row>
    <row r="9706" spans="1:24">
      <c r="A9706">
        <f>HYPERLINK("https://www.philgeps.gov.ph/GEPSNONPILOT/Tender/SplashBidNoticeAbstractUI.aspx?menuIndex=3&amp;refID=7185252&amp;Result=3","7185252")</f>
        <v>0</v>
      </c>
      <c r="B9706" t="s">
        <v>496</v>
      </c>
      <c r="C9706" t="s">
        <v>12998</v>
      </c>
      <c r="E9706" t="s">
        <v>27377</v>
      </c>
      <c r="F9706" t="s">
        <v>32606</v>
      </c>
      <c r="G9706" t="s">
        <v>32614</v>
      </c>
      <c r="H9706" t="s">
        <v>14201</v>
      </c>
      <c r="I9706" t="s">
        <v>32654</v>
      </c>
      <c r="J9706" t="s">
        <v>38782</v>
      </c>
      <c r="K9706" t="s">
        <v>42631</v>
      </c>
      <c r="M9706" t="s">
        <v>45233</v>
      </c>
      <c r="N9706" t="s">
        <v>47304</v>
      </c>
      <c r="O9706" t="s">
        <v>47305</v>
      </c>
      <c r="P9706">
        <v>0</v>
      </c>
      <c r="Q9706">
        <v>0</v>
      </c>
      <c r="R9706" t="s">
        <v>47313</v>
      </c>
      <c r="S9706" t="s">
        <v>47535</v>
      </c>
      <c r="T9706" t="s">
        <v>48997</v>
      </c>
      <c r="U9706" t="s">
        <v>57551</v>
      </c>
      <c r="W9706" t="s">
        <v>64494</v>
      </c>
      <c r="X9706" t="s">
        <v>47314</v>
      </c>
    </row>
    <row r="9707" spans="1:24">
      <c r="A9707">
        <f>HYPERLINK("https://www.philgeps.gov.ph/GEPSNONPILOT/Tender/SplashBidNoticeAbstractUI.aspx?menuIndex=3&amp;refID=7185275&amp;Result=3","7185275")</f>
        <v>0</v>
      </c>
      <c r="B9707" t="s">
        <v>2996</v>
      </c>
      <c r="C9707" t="s">
        <v>12999</v>
      </c>
      <c r="D9707" t="s">
        <v>19005</v>
      </c>
      <c r="E9707" t="s">
        <v>27378</v>
      </c>
      <c r="F9707" t="s">
        <v>32606</v>
      </c>
      <c r="G9707" t="s">
        <v>32613</v>
      </c>
      <c r="H9707" t="s">
        <v>32623</v>
      </c>
      <c r="I9707" t="s">
        <v>6931</v>
      </c>
      <c r="J9707" t="s">
        <v>38783</v>
      </c>
      <c r="K9707" t="s">
        <v>42693</v>
      </c>
      <c r="L9707" t="s">
        <v>2996</v>
      </c>
      <c r="M9707" t="s">
        <v>46184</v>
      </c>
      <c r="N9707" t="s">
        <v>47304</v>
      </c>
      <c r="O9707" t="s">
        <v>47305</v>
      </c>
      <c r="P9707">
        <v>0</v>
      </c>
      <c r="Q9707">
        <v>1</v>
      </c>
      <c r="R9707" t="s">
        <v>47313</v>
      </c>
      <c r="S9707" t="s">
        <v>47535</v>
      </c>
      <c r="T9707" t="s">
        <v>49064</v>
      </c>
      <c r="U9707" t="s">
        <v>57552</v>
      </c>
      <c r="W9707" t="s">
        <v>46184</v>
      </c>
      <c r="X9707" t="s">
        <v>47314</v>
      </c>
    </row>
    <row r="9708" spans="1:24">
      <c r="A9708">
        <f>HYPERLINK("https://www.philgeps.gov.ph/GEPSNONPILOT/Tender/SplashBidNoticeAbstractUI.aspx?menuIndex=3&amp;refID=7185329&amp;Result=3","7185329")</f>
        <v>0</v>
      </c>
      <c r="B9708" t="s">
        <v>2997</v>
      </c>
      <c r="C9708" t="s">
        <v>13000</v>
      </c>
      <c r="D9708" t="s">
        <v>19024</v>
      </c>
      <c r="E9708" t="s">
        <v>19561</v>
      </c>
      <c r="F9708" t="s">
        <v>32606</v>
      </c>
      <c r="G9708" t="s">
        <v>32613</v>
      </c>
      <c r="H9708" t="s">
        <v>14201</v>
      </c>
      <c r="I9708" t="s">
        <v>7064</v>
      </c>
      <c r="J9708" t="s">
        <v>33291</v>
      </c>
      <c r="K9708" t="s">
        <v>42631</v>
      </c>
      <c r="M9708" t="s">
        <v>46185</v>
      </c>
      <c r="N9708" t="s">
        <v>47304</v>
      </c>
      <c r="O9708" t="s">
        <v>47305</v>
      </c>
      <c r="P9708">
        <v>0</v>
      </c>
      <c r="Q9708">
        <v>0</v>
      </c>
      <c r="R9708" t="s">
        <v>47313</v>
      </c>
      <c r="S9708" t="s">
        <v>47535</v>
      </c>
      <c r="T9708" t="s">
        <v>49023</v>
      </c>
      <c r="U9708" t="s">
        <v>57553</v>
      </c>
      <c r="W9708" t="s">
        <v>46185</v>
      </c>
      <c r="X9708" t="s">
        <v>47314</v>
      </c>
    </row>
    <row r="9709" spans="1:24">
      <c r="A9709">
        <f>HYPERLINK("https://www.philgeps.gov.ph/GEPSNONPILOT/Tender/SplashBidNoticeAbstractUI.aspx?menuIndex=3&amp;refID=7185328&amp;Result=3","7185328")</f>
        <v>0</v>
      </c>
      <c r="B9709" t="s">
        <v>2996</v>
      </c>
      <c r="C9709" t="s">
        <v>13001</v>
      </c>
      <c r="D9709" t="s">
        <v>19005</v>
      </c>
      <c r="E9709" t="s">
        <v>27379</v>
      </c>
      <c r="F9709" t="s">
        <v>32606</v>
      </c>
      <c r="G9709" t="s">
        <v>32613</v>
      </c>
      <c r="H9709" t="s">
        <v>32623</v>
      </c>
      <c r="I9709" t="s">
        <v>32709</v>
      </c>
      <c r="J9709" t="s">
        <v>38784</v>
      </c>
      <c r="K9709" t="s">
        <v>42661</v>
      </c>
      <c r="L9709" t="s">
        <v>2996</v>
      </c>
      <c r="M9709" t="s">
        <v>46184</v>
      </c>
      <c r="N9709" t="s">
        <v>47304</v>
      </c>
      <c r="O9709" t="s">
        <v>47305</v>
      </c>
      <c r="P9709">
        <v>0</v>
      </c>
      <c r="Q9709">
        <v>0</v>
      </c>
      <c r="R9709" t="s">
        <v>47313</v>
      </c>
      <c r="S9709" t="s">
        <v>47535</v>
      </c>
      <c r="T9709" t="s">
        <v>49064</v>
      </c>
      <c r="U9709" t="s">
        <v>57554</v>
      </c>
      <c r="W9709" t="s">
        <v>46184</v>
      </c>
      <c r="X9709" t="s">
        <v>47314</v>
      </c>
    </row>
    <row r="9710" spans="1:24">
      <c r="A9710">
        <f>HYPERLINK("https://www.philgeps.gov.ph/GEPSNONPILOT/Tender/SplashBidNoticeAbstractUI.aspx?menuIndex=3&amp;refID=7185245&amp;Result=3","7185245")</f>
        <v>0</v>
      </c>
      <c r="B9710" t="s">
        <v>2995</v>
      </c>
      <c r="C9710" t="s">
        <v>13002</v>
      </c>
      <c r="D9710" t="s">
        <v>18987</v>
      </c>
      <c r="E9710" t="s">
        <v>27380</v>
      </c>
      <c r="F9710" t="s">
        <v>32606</v>
      </c>
      <c r="G9710" t="s">
        <v>32613</v>
      </c>
      <c r="H9710" t="s">
        <v>32623</v>
      </c>
      <c r="I9710" t="s">
        <v>17648</v>
      </c>
      <c r="J9710" t="s">
        <v>38785</v>
      </c>
      <c r="K9710" t="s">
        <v>42648</v>
      </c>
      <c r="M9710" t="s">
        <v>46183</v>
      </c>
      <c r="N9710" t="s">
        <v>47304</v>
      </c>
      <c r="O9710" t="s">
        <v>47305</v>
      </c>
      <c r="P9710">
        <v>0</v>
      </c>
      <c r="Q9710">
        <v>8</v>
      </c>
      <c r="R9710" t="s">
        <v>47313</v>
      </c>
      <c r="S9710" t="s">
        <v>47535</v>
      </c>
      <c r="T9710" t="s">
        <v>49111</v>
      </c>
      <c r="U9710" t="s">
        <v>57555</v>
      </c>
      <c r="W9710" t="s">
        <v>46183</v>
      </c>
      <c r="X9710" t="s">
        <v>47314</v>
      </c>
    </row>
    <row r="9711" spans="1:24">
      <c r="A9711">
        <f>HYPERLINK("https://www.philgeps.gov.ph/GEPSNONPILOT/Tender/SplashBidNoticeAbstractUI.aspx?menuIndex=3&amp;refID=7185324&amp;Result=3","7185324")</f>
        <v>0</v>
      </c>
      <c r="B9711" t="s">
        <v>2998</v>
      </c>
      <c r="C9711" t="s">
        <v>13003</v>
      </c>
      <c r="D9711" t="s">
        <v>18997</v>
      </c>
      <c r="E9711" t="s">
        <v>19378</v>
      </c>
      <c r="F9711" t="s">
        <v>32606</v>
      </c>
      <c r="G9711" t="s">
        <v>32613</v>
      </c>
      <c r="H9711" t="s">
        <v>14201</v>
      </c>
      <c r="I9711" t="s">
        <v>32711</v>
      </c>
      <c r="J9711" t="s">
        <v>32799</v>
      </c>
      <c r="K9711" t="s">
        <v>42623</v>
      </c>
      <c r="M9711" t="s">
        <v>46186</v>
      </c>
      <c r="N9711" t="s">
        <v>47304</v>
      </c>
      <c r="O9711" t="s">
        <v>47305</v>
      </c>
      <c r="P9711">
        <v>0</v>
      </c>
      <c r="Q9711">
        <v>2</v>
      </c>
      <c r="R9711" t="s">
        <v>47313</v>
      </c>
      <c r="S9711" t="s">
        <v>47535</v>
      </c>
      <c r="T9711" t="s">
        <v>49066</v>
      </c>
      <c r="U9711" t="s">
        <v>57556</v>
      </c>
      <c r="V9711" t="s">
        <v>63661</v>
      </c>
      <c r="W9711" t="s">
        <v>46186</v>
      </c>
      <c r="X9711" t="s">
        <v>47314</v>
      </c>
    </row>
    <row r="9712" spans="1:24">
      <c r="A9712">
        <f>HYPERLINK("https://www.philgeps.gov.ph/GEPSNONPILOT/Tender/SplashBidNoticeAbstractUI.aspx?menuIndex=3&amp;refID=7185322&amp;Result=3","7185322")</f>
        <v>0</v>
      </c>
      <c r="B9712" t="s">
        <v>2733</v>
      </c>
      <c r="C9712" t="s">
        <v>13004</v>
      </c>
      <c r="D9712" t="s">
        <v>19061</v>
      </c>
      <c r="E9712" t="s">
        <v>27381</v>
      </c>
      <c r="F9712" t="s">
        <v>32606</v>
      </c>
      <c r="G9712" t="s">
        <v>32613</v>
      </c>
      <c r="H9712" t="s">
        <v>32625</v>
      </c>
      <c r="I9712" t="s">
        <v>32625</v>
      </c>
      <c r="J9712" t="s">
        <v>38786</v>
      </c>
      <c r="K9712" t="s">
        <v>42631</v>
      </c>
      <c r="M9712" t="s">
        <v>45889</v>
      </c>
      <c r="N9712" t="s">
        <v>47304</v>
      </c>
      <c r="O9712" t="s">
        <v>47305</v>
      </c>
      <c r="P9712">
        <v>0</v>
      </c>
      <c r="Q9712">
        <v>7</v>
      </c>
      <c r="R9712" t="s">
        <v>47313</v>
      </c>
      <c r="S9712" t="s">
        <v>47535</v>
      </c>
      <c r="T9712" t="s">
        <v>49268</v>
      </c>
      <c r="U9712" t="s">
        <v>57557</v>
      </c>
      <c r="W9712" t="s">
        <v>64513</v>
      </c>
      <c r="X9712" t="s">
        <v>47314</v>
      </c>
    </row>
    <row r="9713" spans="1:24">
      <c r="A9713">
        <f>HYPERLINK("https://www.philgeps.gov.ph/GEPSNONPILOT/Tender/SplashBidNoticeAbstractUI.aspx?menuIndex=3&amp;refID=7185318&amp;Result=3","7185318")</f>
        <v>0</v>
      </c>
      <c r="B9713" t="s">
        <v>726</v>
      </c>
      <c r="C9713" t="s">
        <v>13005</v>
      </c>
      <c r="D9713" t="s">
        <v>19009</v>
      </c>
      <c r="E9713" t="s">
        <v>27382</v>
      </c>
      <c r="F9713" t="s">
        <v>32606</v>
      </c>
      <c r="G9713" t="s">
        <v>32613</v>
      </c>
      <c r="H9713" t="s">
        <v>32623</v>
      </c>
      <c r="I9713" t="s">
        <v>17648</v>
      </c>
      <c r="J9713" t="s">
        <v>38787</v>
      </c>
      <c r="K9713" t="s">
        <v>42666</v>
      </c>
      <c r="M9713" t="s">
        <v>46187</v>
      </c>
      <c r="N9713" t="s">
        <v>47304</v>
      </c>
      <c r="O9713" t="s">
        <v>47305</v>
      </c>
      <c r="P9713">
        <v>0</v>
      </c>
      <c r="Q9713">
        <v>0</v>
      </c>
      <c r="R9713" t="s">
        <v>47313</v>
      </c>
      <c r="S9713" t="s">
        <v>47535</v>
      </c>
      <c r="T9713" t="s">
        <v>49040</v>
      </c>
      <c r="U9713" t="s">
        <v>57558</v>
      </c>
      <c r="V9713" t="s">
        <v>63662</v>
      </c>
      <c r="W9713" t="s">
        <v>46187</v>
      </c>
      <c r="X9713" t="s">
        <v>47314</v>
      </c>
    </row>
    <row r="9714" spans="1:24">
      <c r="A9714">
        <f>HYPERLINK("https://www.philgeps.gov.ph/GEPSNONPILOT/Tender/SplashBidNoticeAbstractUI.aspx?menuIndex=3&amp;refID=7185234&amp;Result=3","7185234")</f>
        <v>0</v>
      </c>
      <c r="B9714" t="s">
        <v>2999</v>
      </c>
      <c r="C9714" t="s">
        <v>11555</v>
      </c>
      <c r="D9714" t="s">
        <v>19024</v>
      </c>
      <c r="E9714" t="s">
        <v>19522</v>
      </c>
      <c r="F9714" t="s">
        <v>32606</v>
      </c>
      <c r="G9714" t="s">
        <v>32613</v>
      </c>
      <c r="H9714" t="s">
        <v>32623</v>
      </c>
      <c r="I9714" t="s">
        <v>17648</v>
      </c>
      <c r="J9714" t="s">
        <v>38788</v>
      </c>
      <c r="K9714" t="s">
        <v>42627</v>
      </c>
      <c r="M9714" t="s">
        <v>46188</v>
      </c>
      <c r="N9714" t="s">
        <v>47304</v>
      </c>
      <c r="O9714" t="s">
        <v>47305</v>
      </c>
      <c r="P9714">
        <v>0</v>
      </c>
      <c r="Q9714">
        <v>0</v>
      </c>
      <c r="R9714" t="s">
        <v>47313</v>
      </c>
      <c r="S9714" t="s">
        <v>47535</v>
      </c>
      <c r="T9714" t="s">
        <v>49023</v>
      </c>
      <c r="U9714" t="s">
        <v>57559</v>
      </c>
      <c r="W9714" t="s">
        <v>46188</v>
      </c>
      <c r="X9714" t="s">
        <v>47314</v>
      </c>
    </row>
    <row r="9715" spans="1:24">
      <c r="A9715">
        <f>HYPERLINK("https://www.philgeps.gov.ph/GEPSNONPILOT/Tender/SplashBidNoticeAbstractUI.aspx?menuIndex=3&amp;refID=7185303&amp;Result=3","7185303")</f>
        <v>0</v>
      </c>
      <c r="B9715" t="s">
        <v>2472</v>
      </c>
      <c r="C9715" t="s">
        <v>13006</v>
      </c>
      <c r="D9715" t="s">
        <v>18994</v>
      </c>
      <c r="E9715" t="s">
        <v>27383</v>
      </c>
      <c r="F9715" t="s">
        <v>32606</v>
      </c>
      <c r="G9715" t="s">
        <v>32614</v>
      </c>
      <c r="H9715" t="s">
        <v>14201</v>
      </c>
      <c r="I9715" t="s">
        <v>32626</v>
      </c>
      <c r="J9715" t="s">
        <v>38789</v>
      </c>
      <c r="K9715" t="s">
        <v>42622</v>
      </c>
      <c r="M9715" t="s">
        <v>45813</v>
      </c>
      <c r="N9715" t="s">
        <v>47304</v>
      </c>
      <c r="O9715" t="s">
        <v>47305</v>
      </c>
      <c r="P9715">
        <v>0</v>
      </c>
      <c r="Q9715">
        <v>1</v>
      </c>
      <c r="R9715" t="s">
        <v>47313</v>
      </c>
      <c r="S9715" t="s">
        <v>47535</v>
      </c>
      <c r="T9715" t="s">
        <v>49346</v>
      </c>
      <c r="U9715" t="s">
        <v>57560</v>
      </c>
      <c r="W9715" t="s">
        <v>45813</v>
      </c>
      <c r="X9715" t="s">
        <v>47314</v>
      </c>
    </row>
    <row r="9716" spans="1:24">
      <c r="A9716">
        <f>HYPERLINK("https://www.philgeps.gov.ph/GEPSNONPILOT/Tender/SplashBidNoticeAbstractUI.aspx?menuIndex=3&amp;refID=7185299&amp;Result=3","7185299")</f>
        <v>0</v>
      </c>
      <c r="B9716" t="s">
        <v>3000</v>
      </c>
      <c r="C9716" t="s">
        <v>13007</v>
      </c>
      <c r="E9716" t="s">
        <v>21944</v>
      </c>
      <c r="F9716" t="s">
        <v>32606</v>
      </c>
      <c r="G9716" t="s">
        <v>32613</v>
      </c>
      <c r="H9716" t="s">
        <v>14201</v>
      </c>
      <c r="I9716" t="s">
        <v>6931</v>
      </c>
      <c r="J9716" t="s">
        <v>38790</v>
      </c>
      <c r="K9716" t="s">
        <v>42624</v>
      </c>
      <c r="M9716" t="s">
        <v>46189</v>
      </c>
      <c r="N9716" t="s">
        <v>47304</v>
      </c>
      <c r="O9716" t="s">
        <v>47305</v>
      </c>
      <c r="P9716">
        <v>0</v>
      </c>
      <c r="Q9716">
        <v>0</v>
      </c>
      <c r="R9716" t="s">
        <v>47313</v>
      </c>
      <c r="S9716" t="s">
        <v>47535</v>
      </c>
      <c r="T9716" t="s">
        <v>49268</v>
      </c>
      <c r="U9716" t="s">
        <v>57561</v>
      </c>
      <c r="W9716" t="s">
        <v>46189</v>
      </c>
      <c r="X9716" t="s">
        <v>47314</v>
      </c>
    </row>
    <row r="9717" spans="1:24">
      <c r="A9717">
        <f>HYPERLINK("https://www.philgeps.gov.ph/GEPSNONPILOT/Tender/SplashBidNoticeAbstractUI.aspx?menuIndex=3&amp;refID=7185294&amp;Result=3","7185294")</f>
        <v>0</v>
      </c>
      <c r="B9717" t="s">
        <v>3001</v>
      </c>
      <c r="C9717" t="s">
        <v>9897</v>
      </c>
      <c r="D9717" t="s">
        <v>19051</v>
      </c>
      <c r="E9717" t="s">
        <v>27384</v>
      </c>
      <c r="F9717" t="s">
        <v>32606</v>
      </c>
      <c r="G9717" t="s">
        <v>32613</v>
      </c>
      <c r="H9717" t="s">
        <v>32623</v>
      </c>
      <c r="I9717" t="s">
        <v>17648</v>
      </c>
      <c r="J9717" t="s">
        <v>32767</v>
      </c>
      <c r="K9717" t="s">
        <v>42646</v>
      </c>
      <c r="M9717" t="s">
        <v>46190</v>
      </c>
      <c r="N9717" t="s">
        <v>47304</v>
      </c>
      <c r="O9717" t="s">
        <v>47305</v>
      </c>
      <c r="P9717">
        <v>0</v>
      </c>
      <c r="Q9717">
        <v>6</v>
      </c>
      <c r="R9717" t="s">
        <v>47313</v>
      </c>
      <c r="S9717" t="s">
        <v>47535</v>
      </c>
      <c r="T9717" t="s">
        <v>49119</v>
      </c>
      <c r="U9717" t="s">
        <v>57562</v>
      </c>
      <c r="W9717" t="s">
        <v>46190</v>
      </c>
      <c r="X9717" t="s">
        <v>47314</v>
      </c>
    </row>
    <row r="9718" spans="1:24">
      <c r="A9718">
        <f>HYPERLINK("https://www.philgeps.gov.ph/GEPSNONPILOT/Tender/SplashBidNoticeAbstractUI.aspx?menuIndex=3&amp;refID=7185293&amp;Result=3","7185293")</f>
        <v>0</v>
      </c>
      <c r="B9718" t="s">
        <v>233</v>
      </c>
      <c r="C9718" t="s">
        <v>13008</v>
      </c>
      <c r="D9718" t="s">
        <v>18997</v>
      </c>
      <c r="E9718" t="s">
        <v>27385</v>
      </c>
      <c r="F9718" t="s">
        <v>32606</v>
      </c>
      <c r="G9718" t="s">
        <v>32613</v>
      </c>
      <c r="H9718" t="s">
        <v>14201</v>
      </c>
      <c r="I9718" t="s">
        <v>32631</v>
      </c>
      <c r="J9718" t="s">
        <v>38791</v>
      </c>
      <c r="K9718" t="s">
        <v>42631</v>
      </c>
      <c r="M9718" t="s">
        <v>46037</v>
      </c>
      <c r="N9718" t="s">
        <v>47304</v>
      </c>
      <c r="O9718" t="s">
        <v>47305</v>
      </c>
      <c r="P9718">
        <v>0</v>
      </c>
      <c r="Q9718">
        <v>0</v>
      </c>
      <c r="R9718" t="s">
        <v>47313</v>
      </c>
      <c r="S9718" t="s">
        <v>47535</v>
      </c>
      <c r="T9718" t="s">
        <v>49053</v>
      </c>
      <c r="U9718" t="s">
        <v>52443</v>
      </c>
      <c r="V9718" t="s">
        <v>63002</v>
      </c>
      <c r="W9718" t="s">
        <v>46037</v>
      </c>
      <c r="X9718" t="s">
        <v>47314</v>
      </c>
    </row>
    <row r="9719" spans="1:24">
      <c r="A9719">
        <f>HYPERLINK("https://www.philgeps.gov.ph/GEPSNONPILOT/Tender/SplashBidNoticeAbstractUI.aspx?menuIndex=3&amp;refID=7184981&amp;Result=3","7184981")</f>
        <v>0</v>
      </c>
      <c r="B9719" t="s">
        <v>3002</v>
      </c>
      <c r="C9719" t="s">
        <v>13009</v>
      </c>
      <c r="D9719" t="s">
        <v>19082</v>
      </c>
      <c r="E9719" t="s">
        <v>27386</v>
      </c>
      <c r="F9719" t="s">
        <v>32606</v>
      </c>
      <c r="G9719" t="s">
        <v>32613</v>
      </c>
      <c r="H9719" t="s">
        <v>14201</v>
      </c>
      <c r="I9719" t="s">
        <v>32650</v>
      </c>
      <c r="J9719" t="s">
        <v>38792</v>
      </c>
      <c r="K9719" t="s">
        <v>42646</v>
      </c>
      <c r="M9719" t="s">
        <v>46191</v>
      </c>
      <c r="N9719" t="s">
        <v>47304</v>
      </c>
      <c r="O9719" t="s">
        <v>47305</v>
      </c>
      <c r="P9719">
        <v>0</v>
      </c>
      <c r="Q9719">
        <v>1</v>
      </c>
      <c r="R9719" t="s">
        <v>47313</v>
      </c>
      <c r="S9719" t="s">
        <v>47535</v>
      </c>
      <c r="T9719" t="s">
        <v>49240</v>
      </c>
      <c r="U9719" t="s">
        <v>57563</v>
      </c>
      <c r="V9719" t="s">
        <v>63663</v>
      </c>
      <c r="W9719" t="s">
        <v>46191</v>
      </c>
      <c r="X9719" t="s">
        <v>47314</v>
      </c>
    </row>
    <row r="9720" spans="1:24">
      <c r="A9720">
        <f>HYPERLINK("https://www.philgeps.gov.ph/GEPSNONPILOT/Tender/SplashBidNoticeAbstractUI.aspx?menuIndex=3&amp;refID=7185298&amp;Result=3","7185298")</f>
        <v>0</v>
      </c>
      <c r="B9720" t="s">
        <v>2304</v>
      </c>
      <c r="C9720" t="s">
        <v>13010</v>
      </c>
      <c r="D9720" t="s">
        <v>19016</v>
      </c>
      <c r="E9720" t="s">
        <v>27387</v>
      </c>
      <c r="F9720" t="s">
        <v>32606</v>
      </c>
      <c r="G9720" t="s">
        <v>32613</v>
      </c>
      <c r="H9720" t="s">
        <v>14201</v>
      </c>
      <c r="I9720" t="s">
        <v>32631</v>
      </c>
      <c r="J9720" t="s">
        <v>38793</v>
      </c>
      <c r="K9720" t="s">
        <v>42624</v>
      </c>
      <c r="M9720" t="s">
        <v>45410</v>
      </c>
      <c r="N9720" t="s">
        <v>47304</v>
      </c>
      <c r="O9720" t="s">
        <v>47305</v>
      </c>
      <c r="P9720">
        <v>0</v>
      </c>
      <c r="Q9720">
        <v>1</v>
      </c>
      <c r="R9720" t="s">
        <v>47313</v>
      </c>
      <c r="S9720" t="s">
        <v>47535</v>
      </c>
      <c r="T9720" t="s">
        <v>49020</v>
      </c>
      <c r="U9720" t="s">
        <v>57543</v>
      </c>
      <c r="W9720" t="s">
        <v>45410</v>
      </c>
      <c r="X9720" t="s">
        <v>47314</v>
      </c>
    </row>
    <row r="9721" spans="1:24">
      <c r="A9721">
        <f>HYPERLINK("https://www.philgeps.gov.ph/GEPSNONPILOT/Tender/SplashBidNoticeAbstractUI.aspx?menuIndex=3&amp;refID=7185286&amp;Result=3","7185286")</f>
        <v>0</v>
      </c>
      <c r="B9721" t="s">
        <v>3003</v>
      </c>
      <c r="C9721" t="s">
        <v>13011</v>
      </c>
      <c r="D9721" t="s">
        <v>19039</v>
      </c>
      <c r="E9721" t="s">
        <v>20606</v>
      </c>
      <c r="F9721" t="s">
        <v>32606</v>
      </c>
      <c r="G9721" t="s">
        <v>32614</v>
      </c>
      <c r="H9721" t="s">
        <v>14201</v>
      </c>
      <c r="I9721" t="s">
        <v>13131</v>
      </c>
      <c r="J9721" t="s">
        <v>32782</v>
      </c>
      <c r="K9721" t="s">
        <v>42627</v>
      </c>
      <c r="M9721" t="s">
        <v>46192</v>
      </c>
      <c r="N9721" t="s">
        <v>47304</v>
      </c>
      <c r="O9721" t="s">
        <v>47305</v>
      </c>
      <c r="P9721">
        <v>0</v>
      </c>
      <c r="Q9721">
        <v>10</v>
      </c>
      <c r="R9721" t="s">
        <v>47313</v>
      </c>
      <c r="S9721" t="s">
        <v>47535</v>
      </c>
      <c r="T9721" t="s">
        <v>49010</v>
      </c>
      <c r="U9721" t="s">
        <v>50184</v>
      </c>
      <c r="W9721" t="s">
        <v>46192</v>
      </c>
      <c r="X9721" t="s">
        <v>47314</v>
      </c>
    </row>
    <row r="9722" spans="1:24">
      <c r="A9722">
        <f>HYPERLINK("https://www.philgeps.gov.ph/GEPSNONPILOT/Tender/SplashBidNoticeAbstractUI.aspx?menuIndex=3&amp;refID=7185284&amp;Result=3","7185284")</f>
        <v>0</v>
      </c>
      <c r="B9722" t="s">
        <v>2782</v>
      </c>
      <c r="C9722" t="s">
        <v>13012</v>
      </c>
      <c r="D9722" t="s">
        <v>18992</v>
      </c>
      <c r="E9722" t="s">
        <v>27388</v>
      </c>
      <c r="F9722" t="s">
        <v>32606</v>
      </c>
      <c r="G9722" t="s">
        <v>32613</v>
      </c>
      <c r="H9722" t="s">
        <v>14201</v>
      </c>
      <c r="I9722" t="s">
        <v>32706</v>
      </c>
      <c r="J9722" t="s">
        <v>38794</v>
      </c>
      <c r="K9722" t="s">
        <v>42622</v>
      </c>
      <c r="M9722" t="s">
        <v>46157</v>
      </c>
      <c r="N9722" t="s">
        <v>47304</v>
      </c>
      <c r="O9722" t="s">
        <v>47305</v>
      </c>
      <c r="P9722">
        <v>0</v>
      </c>
      <c r="Q9722">
        <v>3</v>
      </c>
      <c r="R9722" t="s">
        <v>47313</v>
      </c>
      <c r="S9722" t="s">
        <v>47535</v>
      </c>
      <c r="T9722" t="s">
        <v>49347</v>
      </c>
      <c r="U9722" t="s">
        <v>57564</v>
      </c>
      <c r="W9722" t="s">
        <v>46157</v>
      </c>
      <c r="X9722" t="s">
        <v>47314</v>
      </c>
    </row>
    <row r="9723" spans="1:24">
      <c r="A9723">
        <f>HYPERLINK("https://www.philgeps.gov.ph/GEPSNONPILOT/Tender/SplashBidNoticeAbstractUI.aspx?menuIndex=3&amp;refID=7185282&amp;Result=3","7185282")</f>
        <v>0</v>
      </c>
      <c r="B9723" t="s">
        <v>2526</v>
      </c>
      <c r="C9723" t="s">
        <v>3946</v>
      </c>
      <c r="D9723" t="s">
        <v>19000</v>
      </c>
      <c r="E9723" t="s">
        <v>27389</v>
      </c>
      <c r="F9723" t="s">
        <v>32606</v>
      </c>
      <c r="G9723" t="s">
        <v>32613</v>
      </c>
      <c r="H9723" t="s">
        <v>32623</v>
      </c>
      <c r="I9723" t="s">
        <v>17648</v>
      </c>
      <c r="J9723" t="s">
        <v>38795</v>
      </c>
      <c r="K9723" t="s">
        <v>42654</v>
      </c>
      <c r="M9723" t="s">
        <v>42943</v>
      </c>
      <c r="N9723" t="s">
        <v>47304</v>
      </c>
      <c r="O9723" t="s">
        <v>47305</v>
      </c>
      <c r="P9723">
        <v>0</v>
      </c>
      <c r="Q9723">
        <v>0</v>
      </c>
      <c r="R9723" t="s">
        <v>47313</v>
      </c>
      <c r="S9723" t="s">
        <v>47535</v>
      </c>
      <c r="T9723" t="s">
        <v>49268</v>
      </c>
      <c r="U9723" t="s">
        <v>57565</v>
      </c>
      <c r="W9723" t="s">
        <v>42943</v>
      </c>
      <c r="X9723" t="s">
        <v>47314</v>
      </c>
    </row>
    <row r="9724" spans="1:24">
      <c r="A9724">
        <f>HYPERLINK("https://www.philgeps.gov.ph/GEPSNONPILOT/Tender/SplashBidNoticeAbstractUI.aspx?menuIndex=3&amp;refID=7185291&amp;Result=3","7185291")</f>
        <v>0</v>
      </c>
      <c r="B9724" t="s">
        <v>535</v>
      </c>
      <c r="C9724" t="s">
        <v>13013</v>
      </c>
      <c r="D9724" t="s">
        <v>19031</v>
      </c>
      <c r="E9724" t="s">
        <v>27390</v>
      </c>
      <c r="F9724" t="s">
        <v>32606</v>
      </c>
      <c r="G9724" t="s">
        <v>32613</v>
      </c>
      <c r="H9724" t="s">
        <v>14201</v>
      </c>
      <c r="I9724" t="s">
        <v>4678</v>
      </c>
      <c r="J9724" t="s">
        <v>35579</v>
      </c>
      <c r="K9724" t="s">
        <v>42636</v>
      </c>
      <c r="M9724" t="s">
        <v>43448</v>
      </c>
      <c r="N9724" t="s">
        <v>47304</v>
      </c>
      <c r="O9724" t="s">
        <v>47305</v>
      </c>
      <c r="P9724">
        <v>0</v>
      </c>
      <c r="Q9724">
        <v>1</v>
      </c>
      <c r="R9724" t="s">
        <v>47313</v>
      </c>
      <c r="S9724" t="s">
        <v>47535</v>
      </c>
      <c r="T9724" t="s">
        <v>48998</v>
      </c>
      <c r="U9724" t="s">
        <v>57566</v>
      </c>
      <c r="W9724" t="s">
        <v>43448</v>
      </c>
      <c r="X9724" t="s">
        <v>47314</v>
      </c>
    </row>
    <row r="9725" spans="1:24">
      <c r="A9725">
        <f>HYPERLINK("https://www.philgeps.gov.ph/GEPSNONPILOT/Tender/SplashBidNoticeAbstractUI.aspx?menuIndex=3&amp;refID=7185281&amp;Result=3","7185281")</f>
        <v>0</v>
      </c>
      <c r="B9725" t="s">
        <v>233</v>
      </c>
      <c r="C9725" t="s">
        <v>13014</v>
      </c>
      <c r="D9725" t="s">
        <v>18997</v>
      </c>
      <c r="E9725" t="s">
        <v>27391</v>
      </c>
      <c r="F9725" t="s">
        <v>32606</v>
      </c>
      <c r="G9725" t="s">
        <v>32613</v>
      </c>
      <c r="H9725" t="s">
        <v>14201</v>
      </c>
      <c r="I9725" t="s">
        <v>6931</v>
      </c>
      <c r="J9725" t="s">
        <v>38796</v>
      </c>
      <c r="K9725" t="s">
        <v>42631</v>
      </c>
      <c r="M9725" t="s">
        <v>46037</v>
      </c>
      <c r="N9725" t="s">
        <v>47304</v>
      </c>
      <c r="O9725" t="s">
        <v>47305</v>
      </c>
      <c r="P9725">
        <v>0</v>
      </c>
      <c r="Q9725">
        <v>0</v>
      </c>
      <c r="R9725" t="s">
        <v>47313</v>
      </c>
      <c r="S9725" t="s">
        <v>47535</v>
      </c>
      <c r="T9725" t="s">
        <v>49053</v>
      </c>
      <c r="U9725" t="s">
        <v>52443</v>
      </c>
      <c r="V9725" t="s">
        <v>63002</v>
      </c>
      <c r="W9725" t="s">
        <v>46037</v>
      </c>
      <c r="X9725" t="s">
        <v>47314</v>
      </c>
    </row>
    <row r="9726" spans="1:24">
      <c r="A9726">
        <f>HYPERLINK("https://www.philgeps.gov.ph/GEPSNONPILOT/Tender/SplashBidNoticeAbstractUI.aspx?menuIndex=3&amp;refID=7185232&amp;Result=3","7185232")</f>
        <v>0</v>
      </c>
      <c r="B9726" t="s">
        <v>2648</v>
      </c>
      <c r="C9726" t="s">
        <v>13015</v>
      </c>
      <c r="D9726" t="s">
        <v>19019</v>
      </c>
      <c r="E9726" t="s">
        <v>27392</v>
      </c>
      <c r="F9726" t="s">
        <v>32606</v>
      </c>
      <c r="G9726" t="s">
        <v>32614</v>
      </c>
      <c r="H9726" t="s">
        <v>14201</v>
      </c>
      <c r="I9726" t="s">
        <v>32640</v>
      </c>
      <c r="J9726" t="s">
        <v>37525</v>
      </c>
      <c r="K9726" t="s">
        <v>42639</v>
      </c>
      <c r="M9726" t="s">
        <v>45794</v>
      </c>
      <c r="N9726" t="s">
        <v>47304</v>
      </c>
      <c r="O9726" t="s">
        <v>47305</v>
      </c>
      <c r="P9726">
        <v>0</v>
      </c>
      <c r="Q9726">
        <v>3</v>
      </c>
      <c r="R9726" t="s">
        <v>47313</v>
      </c>
      <c r="S9726" t="s">
        <v>47535</v>
      </c>
      <c r="T9726" t="s">
        <v>49315</v>
      </c>
      <c r="U9726" t="s">
        <v>57567</v>
      </c>
      <c r="W9726" t="s">
        <v>45794</v>
      </c>
      <c r="X9726" t="s">
        <v>47314</v>
      </c>
    </row>
    <row r="9727" spans="1:24">
      <c r="A9727">
        <f>HYPERLINK("https://www.philgeps.gov.ph/GEPSNONPILOT/Tender/SplashBidNoticeAbstractUI.aspx?menuIndex=3&amp;refID=7185170&amp;Result=3","7185170")</f>
        <v>0</v>
      </c>
      <c r="B9727" t="s">
        <v>233</v>
      </c>
      <c r="C9727" t="s">
        <v>13016</v>
      </c>
      <c r="D9727" t="s">
        <v>18997</v>
      </c>
      <c r="E9727" t="s">
        <v>27393</v>
      </c>
      <c r="F9727" t="s">
        <v>32606</v>
      </c>
      <c r="G9727" t="s">
        <v>32613</v>
      </c>
      <c r="H9727" t="s">
        <v>14201</v>
      </c>
      <c r="I9727" t="s">
        <v>6931</v>
      </c>
      <c r="J9727" t="s">
        <v>38797</v>
      </c>
      <c r="K9727" t="s">
        <v>42631</v>
      </c>
      <c r="M9727" t="s">
        <v>46037</v>
      </c>
      <c r="N9727" t="s">
        <v>47304</v>
      </c>
      <c r="O9727" t="s">
        <v>47305</v>
      </c>
      <c r="P9727">
        <v>0</v>
      </c>
      <c r="Q9727">
        <v>0</v>
      </c>
      <c r="R9727" t="s">
        <v>47313</v>
      </c>
      <c r="S9727" t="s">
        <v>47535</v>
      </c>
      <c r="T9727" t="s">
        <v>49053</v>
      </c>
      <c r="U9727" t="s">
        <v>52443</v>
      </c>
      <c r="V9727" t="s">
        <v>63002</v>
      </c>
      <c r="W9727" t="s">
        <v>46037</v>
      </c>
      <c r="X9727" t="s">
        <v>47314</v>
      </c>
    </row>
    <row r="9728" spans="1:24">
      <c r="A9728">
        <f>HYPERLINK("https://www.philgeps.gov.ph/GEPSNONPILOT/Tender/SplashBidNoticeAbstractUI.aspx?menuIndex=3&amp;refID=7185333&amp;Result=3","7185333")</f>
        <v>0</v>
      </c>
      <c r="B9728" t="s">
        <v>487</v>
      </c>
      <c r="C9728" t="s">
        <v>13017</v>
      </c>
      <c r="D9728" t="s">
        <v>19027</v>
      </c>
      <c r="E9728" t="s">
        <v>27394</v>
      </c>
      <c r="F9728" t="s">
        <v>32606</v>
      </c>
      <c r="G9728" t="s">
        <v>32614</v>
      </c>
      <c r="H9728" t="s">
        <v>14201</v>
      </c>
      <c r="I9728" t="s">
        <v>7677</v>
      </c>
      <c r="J9728" t="s">
        <v>38798</v>
      </c>
      <c r="K9728" t="s">
        <v>42623</v>
      </c>
      <c r="M9728" t="s">
        <v>43399</v>
      </c>
      <c r="N9728" t="s">
        <v>47304</v>
      </c>
      <c r="O9728" t="s">
        <v>47305</v>
      </c>
      <c r="P9728">
        <v>0</v>
      </c>
      <c r="Q9728">
        <v>0</v>
      </c>
      <c r="R9728" t="s">
        <v>47313</v>
      </c>
      <c r="S9728" t="s">
        <v>47535</v>
      </c>
      <c r="T9728" t="s">
        <v>49020</v>
      </c>
      <c r="U9728" t="s">
        <v>57568</v>
      </c>
      <c r="W9728" t="s">
        <v>43399</v>
      </c>
      <c r="X9728" t="s">
        <v>47314</v>
      </c>
    </row>
    <row r="9729" spans="1:24">
      <c r="A9729">
        <f>HYPERLINK("https://www.philgeps.gov.ph/GEPSNONPILOT/Tender/SplashBidNoticeAbstractUI.aspx?menuIndex=3&amp;refID=7185376&amp;Result=3","7185376")</f>
        <v>0</v>
      </c>
      <c r="B9729" t="s">
        <v>3004</v>
      </c>
      <c r="C9729" t="s">
        <v>13018</v>
      </c>
      <c r="D9729" t="s">
        <v>19039</v>
      </c>
      <c r="E9729" t="s">
        <v>27395</v>
      </c>
      <c r="F9729" t="s">
        <v>32606</v>
      </c>
      <c r="G9729" t="s">
        <v>32615</v>
      </c>
      <c r="H9729" t="s">
        <v>14201</v>
      </c>
      <c r="I9729" t="s">
        <v>9013</v>
      </c>
      <c r="J9729" t="s">
        <v>38799</v>
      </c>
      <c r="K9729" t="s">
        <v>42636</v>
      </c>
      <c r="M9729" t="s">
        <v>46193</v>
      </c>
      <c r="N9729" t="s">
        <v>47304</v>
      </c>
      <c r="O9729" t="s">
        <v>47305</v>
      </c>
      <c r="P9729">
        <v>0</v>
      </c>
      <c r="Q9729">
        <v>5</v>
      </c>
      <c r="R9729" t="s">
        <v>47313</v>
      </c>
      <c r="S9729" t="s">
        <v>47535</v>
      </c>
      <c r="T9729" t="s">
        <v>49095</v>
      </c>
      <c r="U9729" t="s">
        <v>57569</v>
      </c>
      <c r="V9729" t="s">
        <v>63664</v>
      </c>
      <c r="W9729" t="s">
        <v>46193</v>
      </c>
      <c r="X9729" t="s">
        <v>47314</v>
      </c>
    </row>
    <row r="9730" spans="1:24">
      <c r="A9730">
        <f>HYPERLINK("https://www.philgeps.gov.ph/GEPSNONPILOT/Tender/SplashBidNoticeAbstractUI.aspx?menuIndex=3&amp;refID=7185283&amp;Result=3","7185283")</f>
        <v>0</v>
      </c>
      <c r="B9730" t="s">
        <v>2995</v>
      </c>
      <c r="C9730" t="s">
        <v>13019</v>
      </c>
      <c r="D9730" t="s">
        <v>18987</v>
      </c>
      <c r="E9730" t="s">
        <v>27396</v>
      </c>
      <c r="F9730" t="s">
        <v>32606</v>
      </c>
      <c r="G9730" t="s">
        <v>32613</v>
      </c>
      <c r="H9730" t="s">
        <v>32623</v>
      </c>
      <c r="I9730" t="s">
        <v>17648</v>
      </c>
      <c r="J9730" t="s">
        <v>38800</v>
      </c>
      <c r="K9730" t="s">
        <v>42648</v>
      </c>
      <c r="M9730" t="s">
        <v>46183</v>
      </c>
      <c r="N9730" t="s">
        <v>47304</v>
      </c>
      <c r="O9730" t="s">
        <v>47305</v>
      </c>
      <c r="P9730">
        <v>0</v>
      </c>
      <c r="Q9730">
        <v>4</v>
      </c>
      <c r="R9730" t="s">
        <v>47313</v>
      </c>
      <c r="S9730" t="s">
        <v>47535</v>
      </c>
      <c r="T9730" t="s">
        <v>49111</v>
      </c>
      <c r="U9730" t="s">
        <v>57570</v>
      </c>
      <c r="W9730" t="s">
        <v>46183</v>
      </c>
      <c r="X9730" t="s">
        <v>47314</v>
      </c>
    </row>
    <row r="9731" spans="1:24">
      <c r="A9731">
        <f>HYPERLINK("https://www.philgeps.gov.ph/GEPSNONPILOT/Tender/SplashBidNoticeAbstractUI.aspx?menuIndex=3&amp;refID=7185373&amp;Result=3","7185373")</f>
        <v>0</v>
      </c>
      <c r="B9731" t="s">
        <v>778</v>
      </c>
      <c r="C9731" t="s">
        <v>13020</v>
      </c>
      <c r="D9731" t="s">
        <v>19012</v>
      </c>
      <c r="E9731" t="s">
        <v>27397</v>
      </c>
      <c r="F9731" t="s">
        <v>32606</v>
      </c>
      <c r="G9731" t="s">
        <v>32613</v>
      </c>
      <c r="H9731" t="s">
        <v>14201</v>
      </c>
      <c r="I9731" t="s">
        <v>7677</v>
      </c>
      <c r="J9731" t="s">
        <v>38801</v>
      </c>
      <c r="K9731" t="s">
        <v>42623</v>
      </c>
      <c r="M9731" t="s">
        <v>43708</v>
      </c>
      <c r="N9731" t="s">
        <v>47304</v>
      </c>
      <c r="O9731" t="s">
        <v>47305</v>
      </c>
      <c r="P9731">
        <v>0</v>
      </c>
      <c r="Q9731">
        <v>4</v>
      </c>
      <c r="R9731" t="s">
        <v>47313</v>
      </c>
      <c r="S9731" t="s">
        <v>47535</v>
      </c>
      <c r="T9731" t="s">
        <v>49050</v>
      </c>
      <c r="U9731" t="s">
        <v>57571</v>
      </c>
      <c r="W9731" t="s">
        <v>43708</v>
      </c>
      <c r="X9731" t="s">
        <v>47314</v>
      </c>
    </row>
    <row r="9732" spans="1:24">
      <c r="A9732">
        <f>HYPERLINK("https://www.philgeps.gov.ph/GEPSNONPILOT/Tender/SplashBidNoticeAbstractUI.aspx?menuIndex=3&amp;refID=7185277&amp;Result=3","7185277")</f>
        <v>0</v>
      </c>
      <c r="B9732" t="s">
        <v>3005</v>
      </c>
      <c r="C9732" t="s">
        <v>13021</v>
      </c>
      <c r="D9732" t="s">
        <v>19038</v>
      </c>
      <c r="E9732" t="s">
        <v>27398</v>
      </c>
      <c r="F9732" t="s">
        <v>32606</v>
      </c>
      <c r="G9732" t="s">
        <v>32614</v>
      </c>
      <c r="H9732" t="s">
        <v>14201</v>
      </c>
      <c r="I9732" t="s">
        <v>32648</v>
      </c>
      <c r="J9732" t="s">
        <v>38802</v>
      </c>
      <c r="K9732" t="s">
        <v>42623</v>
      </c>
      <c r="M9732" t="s">
        <v>46194</v>
      </c>
      <c r="N9732" t="s">
        <v>47304</v>
      </c>
      <c r="O9732" t="s">
        <v>47305</v>
      </c>
      <c r="P9732">
        <v>0</v>
      </c>
      <c r="Q9732">
        <v>0</v>
      </c>
      <c r="R9732" t="s">
        <v>47313</v>
      </c>
      <c r="S9732" t="s">
        <v>47535</v>
      </c>
      <c r="T9732" t="s">
        <v>48979</v>
      </c>
      <c r="U9732" t="s">
        <v>57572</v>
      </c>
      <c r="V9732" t="s">
        <v>63665</v>
      </c>
      <c r="W9732" t="s">
        <v>46194</v>
      </c>
      <c r="X9732" t="s">
        <v>47314</v>
      </c>
    </row>
    <row r="9733" spans="1:24">
      <c r="A9733">
        <f>HYPERLINK("https://www.philgeps.gov.ph/GEPSNONPILOT/Tender/SplashBidNoticeAbstractUI.aspx?menuIndex=3&amp;refID=7185369&amp;Result=3","7185369")</f>
        <v>0</v>
      </c>
      <c r="B9733" t="s">
        <v>2420</v>
      </c>
      <c r="C9733" t="s">
        <v>13022</v>
      </c>
      <c r="D9733" t="s">
        <v>19026</v>
      </c>
      <c r="E9733" t="s">
        <v>27399</v>
      </c>
      <c r="F9733" t="s">
        <v>32606</v>
      </c>
      <c r="G9733" t="s">
        <v>32613</v>
      </c>
      <c r="H9733" t="s">
        <v>14201</v>
      </c>
      <c r="I9733" t="s">
        <v>32629</v>
      </c>
      <c r="J9733" t="s">
        <v>38803</v>
      </c>
      <c r="K9733" t="s">
        <v>42631</v>
      </c>
      <c r="M9733" t="s">
        <v>45546</v>
      </c>
      <c r="N9733" t="s">
        <v>47304</v>
      </c>
      <c r="O9733" t="s">
        <v>47305</v>
      </c>
      <c r="P9733">
        <v>0</v>
      </c>
      <c r="Q9733">
        <v>0</v>
      </c>
      <c r="R9733" t="s">
        <v>47313</v>
      </c>
      <c r="S9733" t="s">
        <v>47535</v>
      </c>
      <c r="T9733" t="s">
        <v>49066</v>
      </c>
      <c r="U9733" t="s">
        <v>57573</v>
      </c>
      <c r="V9733" t="s">
        <v>63361</v>
      </c>
      <c r="W9733" t="s">
        <v>45546</v>
      </c>
      <c r="X9733" t="s">
        <v>47314</v>
      </c>
    </row>
    <row r="9734" spans="1:24">
      <c r="A9734">
        <f>HYPERLINK("https://www.philgeps.gov.ph/GEPSNONPILOT/Tender/SplashBidNoticeAbstractUI.aspx?menuIndex=3&amp;refID=7185231&amp;Result=3","7185231")</f>
        <v>0</v>
      </c>
      <c r="B9734" t="s">
        <v>1506</v>
      </c>
      <c r="C9734" t="s">
        <v>13023</v>
      </c>
      <c r="D9734" t="s">
        <v>19063</v>
      </c>
      <c r="E9734" t="s">
        <v>20335</v>
      </c>
      <c r="F9734" t="s">
        <v>32606</v>
      </c>
      <c r="G9734" t="s">
        <v>32613</v>
      </c>
      <c r="H9734" t="s">
        <v>14201</v>
      </c>
      <c r="I9734" t="s">
        <v>4120</v>
      </c>
      <c r="J9734" t="s">
        <v>38804</v>
      </c>
      <c r="K9734" t="s">
        <v>42630</v>
      </c>
      <c r="M9734" t="s">
        <v>44504</v>
      </c>
      <c r="N9734" t="s">
        <v>47304</v>
      </c>
      <c r="O9734" t="s">
        <v>47305</v>
      </c>
      <c r="P9734">
        <v>0</v>
      </c>
      <c r="Q9734">
        <v>6</v>
      </c>
      <c r="R9734" t="s">
        <v>47313</v>
      </c>
      <c r="S9734" t="s">
        <v>47535</v>
      </c>
      <c r="T9734" t="s">
        <v>49373</v>
      </c>
      <c r="U9734" t="s">
        <v>57574</v>
      </c>
      <c r="W9734" t="s">
        <v>44504</v>
      </c>
      <c r="X9734" t="s">
        <v>47314</v>
      </c>
    </row>
    <row r="9735" spans="1:24">
      <c r="A9735">
        <f>HYPERLINK("https://www.philgeps.gov.ph/GEPSNONPILOT/Tender/SplashBidNoticeAbstractUI.aspx?menuIndex=3&amp;refID=7185367&amp;Result=3","7185367")</f>
        <v>0</v>
      </c>
      <c r="B9735" t="s">
        <v>598</v>
      </c>
      <c r="C9735" t="s">
        <v>13024</v>
      </c>
      <c r="D9735" t="s">
        <v>18992</v>
      </c>
      <c r="E9735" t="s">
        <v>27400</v>
      </c>
      <c r="F9735" t="s">
        <v>32606</v>
      </c>
      <c r="G9735" t="s">
        <v>32614</v>
      </c>
      <c r="H9735" t="s">
        <v>14201</v>
      </c>
      <c r="I9735" t="s">
        <v>32675</v>
      </c>
      <c r="J9735" t="s">
        <v>38805</v>
      </c>
      <c r="K9735" t="s">
        <v>42695</v>
      </c>
      <c r="M9735" t="s">
        <v>43513</v>
      </c>
      <c r="N9735" t="s">
        <v>47304</v>
      </c>
      <c r="O9735" t="s">
        <v>47305</v>
      </c>
      <c r="Q9735">
        <v>0</v>
      </c>
      <c r="R9735" t="s">
        <v>47313</v>
      </c>
      <c r="S9735" t="s">
        <v>47565</v>
      </c>
      <c r="T9735" t="s">
        <v>49269</v>
      </c>
      <c r="U9735" t="s">
        <v>57575</v>
      </c>
      <c r="W9735" t="s">
        <v>43513</v>
      </c>
      <c r="X9735" t="s">
        <v>47314</v>
      </c>
    </row>
    <row r="9736" spans="1:24">
      <c r="A9736">
        <f>HYPERLINK("https://www.philgeps.gov.ph/GEPSNONPILOT/Tender/SplashBidNoticeAbstractUI.aspx?menuIndex=3&amp;refID=7185364&amp;Result=3","7185364")</f>
        <v>0</v>
      </c>
      <c r="B9736" t="s">
        <v>696</v>
      </c>
      <c r="C9736" t="s">
        <v>13025</v>
      </c>
      <c r="D9736" t="s">
        <v>18993</v>
      </c>
      <c r="E9736" t="s">
        <v>27401</v>
      </c>
      <c r="F9736" t="s">
        <v>32606</v>
      </c>
      <c r="G9736" t="s">
        <v>32617</v>
      </c>
      <c r="H9736" t="s">
        <v>14201</v>
      </c>
      <c r="I9736" t="s">
        <v>6993</v>
      </c>
      <c r="J9736" t="s">
        <v>32957</v>
      </c>
      <c r="K9736" t="s">
        <v>42627</v>
      </c>
      <c r="M9736" t="s">
        <v>45418</v>
      </c>
      <c r="N9736" t="s">
        <v>47304</v>
      </c>
      <c r="O9736" t="s">
        <v>47305</v>
      </c>
      <c r="P9736">
        <v>0</v>
      </c>
      <c r="Q9736">
        <v>5</v>
      </c>
      <c r="R9736" t="s">
        <v>47313</v>
      </c>
      <c r="S9736" t="s">
        <v>47535</v>
      </c>
      <c r="T9736" t="s">
        <v>49020</v>
      </c>
      <c r="U9736" t="s">
        <v>50770</v>
      </c>
      <c r="V9736" t="s">
        <v>63666</v>
      </c>
      <c r="W9736" t="s">
        <v>45418</v>
      </c>
      <c r="X9736" t="s">
        <v>47314</v>
      </c>
    </row>
    <row r="9737" spans="1:24">
      <c r="A9737">
        <f>HYPERLINK("https://www.philgeps.gov.ph/GEPSNONPILOT/Tender/SplashBidNoticeAbstractUI.aspx?menuIndex=3&amp;refID=7185361&amp;Result=3","7185361")</f>
        <v>0</v>
      </c>
      <c r="B9737" t="s">
        <v>753</v>
      </c>
      <c r="C9737" t="s">
        <v>13026</v>
      </c>
      <c r="D9737" t="s">
        <v>18991</v>
      </c>
      <c r="E9737" t="s">
        <v>27402</v>
      </c>
      <c r="F9737" t="s">
        <v>32606</v>
      </c>
      <c r="G9737" t="s">
        <v>32613</v>
      </c>
      <c r="H9737" t="s">
        <v>14201</v>
      </c>
      <c r="I9737" t="s">
        <v>4678</v>
      </c>
      <c r="J9737" t="s">
        <v>38806</v>
      </c>
      <c r="K9737" t="s">
        <v>42631</v>
      </c>
      <c r="M9737" t="s">
        <v>43676</v>
      </c>
      <c r="N9737" t="s">
        <v>47304</v>
      </c>
      <c r="O9737" t="s">
        <v>47305</v>
      </c>
      <c r="P9737">
        <v>0</v>
      </c>
      <c r="Q9737">
        <v>3</v>
      </c>
      <c r="R9737" t="s">
        <v>47313</v>
      </c>
      <c r="S9737" t="s">
        <v>47535</v>
      </c>
      <c r="T9737" t="s">
        <v>49024</v>
      </c>
      <c r="U9737" t="s">
        <v>57576</v>
      </c>
      <c r="W9737" t="s">
        <v>43676</v>
      </c>
      <c r="X9737" t="s">
        <v>47314</v>
      </c>
    </row>
    <row r="9738" spans="1:24">
      <c r="A9738">
        <f>HYPERLINK("https://www.philgeps.gov.ph/GEPSNONPILOT/Tender/SplashBidNoticeAbstractUI.aspx?menuIndex=3&amp;refID=7185359&amp;Result=3","7185359")</f>
        <v>0</v>
      </c>
      <c r="B9738" t="s">
        <v>2996</v>
      </c>
      <c r="C9738" t="s">
        <v>13027</v>
      </c>
      <c r="D9738" t="s">
        <v>19005</v>
      </c>
      <c r="E9738" t="s">
        <v>27403</v>
      </c>
      <c r="F9738" t="s">
        <v>32606</v>
      </c>
      <c r="G9738" t="s">
        <v>32613</v>
      </c>
      <c r="H9738" t="s">
        <v>32623</v>
      </c>
      <c r="I9738" t="s">
        <v>32709</v>
      </c>
      <c r="J9738" t="s">
        <v>38807</v>
      </c>
      <c r="K9738" t="s">
        <v>42778</v>
      </c>
      <c r="L9738" t="s">
        <v>2996</v>
      </c>
      <c r="M9738" t="s">
        <v>46184</v>
      </c>
      <c r="N9738" t="s">
        <v>47304</v>
      </c>
      <c r="O9738" t="s">
        <v>47305</v>
      </c>
      <c r="P9738">
        <v>0</v>
      </c>
      <c r="Q9738">
        <v>0</v>
      </c>
      <c r="R9738" t="s">
        <v>47313</v>
      </c>
      <c r="S9738" t="s">
        <v>47535</v>
      </c>
      <c r="T9738" t="s">
        <v>49064</v>
      </c>
      <c r="U9738" t="s">
        <v>57577</v>
      </c>
      <c r="W9738" t="s">
        <v>46184</v>
      </c>
      <c r="X9738" t="s">
        <v>47314</v>
      </c>
    </row>
    <row r="9739" spans="1:24">
      <c r="A9739">
        <f>HYPERLINK("https://www.philgeps.gov.ph/GEPSNONPILOT/Tender/SplashBidNoticeAbstractUI.aspx?menuIndex=3&amp;refID=7185312&amp;Result=3","7185312")</f>
        <v>0</v>
      </c>
      <c r="B9739" t="s">
        <v>1853</v>
      </c>
      <c r="C9739" t="s">
        <v>13028</v>
      </c>
      <c r="E9739" t="s">
        <v>27404</v>
      </c>
      <c r="F9739" t="s">
        <v>32606</v>
      </c>
      <c r="G9739" t="s">
        <v>32613</v>
      </c>
      <c r="H9739" t="s">
        <v>14201</v>
      </c>
      <c r="I9739" t="s">
        <v>6931</v>
      </c>
      <c r="J9739" t="s">
        <v>38808</v>
      </c>
      <c r="K9739" t="s">
        <v>42622</v>
      </c>
      <c r="M9739" t="s">
        <v>44907</v>
      </c>
      <c r="N9739" t="s">
        <v>47304</v>
      </c>
      <c r="O9739" t="s">
        <v>47305</v>
      </c>
      <c r="P9739">
        <v>0</v>
      </c>
      <c r="Q9739">
        <v>0</v>
      </c>
      <c r="R9739" t="s">
        <v>47313</v>
      </c>
      <c r="S9739" t="s">
        <v>47535</v>
      </c>
      <c r="T9739" t="s">
        <v>49095</v>
      </c>
      <c r="U9739" t="s">
        <v>57578</v>
      </c>
      <c r="W9739" t="s">
        <v>44907</v>
      </c>
      <c r="X9739" t="s">
        <v>47314</v>
      </c>
    </row>
    <row r="9740" spans="1:24">
      <c r="A9740">
        <f>HYPERLINK("https://www.philgeps.gov.ph/GEPSNONPILOT/Tender/SplashBidNoticeAbstractUI.aspx?menuIndex=3&amp;refID=7185357&amp;Result=3","7185357")</f>
        <v>0</v>
      </c>
      <c r="B9740" t="s">
        <v>726</v>
      </c>
      <c r="C9740" t="s">
        <v>13029</v>
      </c>
      <c r="D9740" t="s">
        <v>19009</v>
      </c>
      <c r="E9740" t="s">
        <v>27405</v>
      </c>
      <c r="F9740" t="s">
        <v>32606</v>
      </c>
      <c r="G9740" t="s">
        <v>32613</v>
      </c>
      <c r="H9740" t="s">
        <v>32623</v>
      </c>
      <c r="I9740" t="s">
        <v>17648</v>
      </c>
      <c r="J9740" t="s">
        <v>38809</v>
      </c>
      <c r="K9740" t="s">
        <v>42698</v>
      </c>
      <c r="M9740" t="s">
        <v>46187</v>
      </c>
      <c r="N9740" t="s">
        <v>47304</v>
      </c>
      <c r="O9740" t="s">
        <v>47305</v>
      </c>
      <c r="P9740">
        <v>0</v>
      </c>
      <c r="Q9740">
        <v>0</v>
      </c>
      <c r="R9740" t="s">
        <v>47313</v>
      </c>
      <c r="S9740" t="s">
        <v>47535</v>
      </c>
      <c r="T9740" t="s">
        <v>49040</v>
      </c>
      <c r="U9740" t="s">
        <v>57579</v>
      </c>
      <c r="V9740" t="s">
        <v>63667</v>
      </c>
      <c r="W9740" t="s">
        <v>46187</v>
      </c>
      <c r="X9740" t="s">
        <v>47314</v>
      </c>
    </row>
    <row r="9741" spans="1:24">
      <c r="A9741">
        <f>HYPERLINK("https://www.philgeps.gov.ph/GEPSNONPILOT/Tender/SplashBidNoticeAbstractUI.aspx?menuIndex=3&amp;refID=7185353&amp;Result=3","7185353")</f>
        <v>0</v>
      </c>
      <c r="B9741" t="s">
        <v>823</v>
      </c>
      <c r="C9741" t="s">
        <v>13030</v>
      </c>
      <c r="D9741" t="s">
        <v>19037</v>
      </c>
      <c r="E9741" t="s">
        <v>27406</v>
      </c>
      <c r="F9741" t="s">
        <v>32606</v>
      </c>
      <c r="G9741" t="s">
        <v>32613</v>
      </c>
      <c r="H9741" t="s">
        <v>14201</v>
      </c>
      <c r="I9741" t="s">
        <v>4678</v>
      </c>
      <c r="J9741" t="s">
        <v>38810</v>
      </c>
      <c r="K9741" t="s">
        <v>42631</v>
      </c>
      <c r="M9741" t="s">
        <v>43754</v>
      </c>
      <c r="N9741" t="s">
        <v>47304</v>
      </c>
      <c r="O9741" t="s">
        <v>47305</v>
      </c>
      <c r="P9741">
        <v>0</v>
      </c>
      <c r="Q9741">
        <v>3</v>
      </c>
      <c r="R9741" t="s">
        <v>47313</v>
      </c>
      <c r="S9741" t="s">
        <v>47535</v>
      </c>
      <c r="T9741" t="s">
        <v>48977</v>
      </c>
      <c r="U9741" t="s">
        <v>57580</v>
      </c>
      <c r="W9741" t="s">
        <v>43754</v>
      </c>
      <c r="X9741" t="s">
        <v>47314</v>
      </c>
    </row>
    <row r="9742" spans="1:24">
      <c r="A9742">
        <f>HYPERLINK("https://www.philgeps.gov.ph/GEPSNONPILOT/Tender/SplashBidNoticeAbstractUI.aspx?menuIndex=3&amp;refID=7185348&amp;Result=3","7185348")</f>
        <v>0</v>
      </c>
      <c r="B9742" t="s">
        <v>3006</v>
      </c>
      <c r="C9742" t="s">
        <v>13031</v>
      </c>
      <c r="D9742" t="s">
        <v>19032</v>
      </c>
      <c r="E9742" t="s">
        <v>27407</v>
      </c>
      <c r="F9742" t="s">
        <v>32606</v>
      </c>
      <c r="G9742" t="s">
        <v>32613</v>
      </c>
      <c r="H9742" t="s">
        <v>14201</v>
      </c>
      <c r="I9742" t="s">
        <v>32638</v>
      </c>
      <c r="J9742" t="s">
        <v>32765</v>
      </c>
      <c r="K9742" t="s">
        <v>42624</v>
      </c>
      <c r="M9742" t="s">
        <v>46195</v>
      </c>
      <c r="N9742" t="s">
        <v>47304</v>
      </c>
      <c r="O9742" t="s">
        <v>47305</v>
      </c>
      <c r="P9742">
        <v>0</v>
      </c>
      <c r="Q9742">
        <v>2</v>
      </c>
      <c r="R9742" t="s">
        <v>47313</v>
      </c>
      <c r="S9742" t="s">
        <v>47535</v>
      </c>
      <c r="T9742" t="s">
        <v>49081</v>
      </c>
      <c r="U9742" t="s">
        <v>57581</v>
      </c>
      <c r="W9742" t="s">
        <v>46195</v>
      </c>
      <c r="X9742" t="s">
        <v>47314</v>
      </c>
    </row>
    <row r="9743" spans="1:24">
      <c r="A9743">
        <f>HYPERLINK("https://www.philgeps.gov.ph/GEPSNONPILOT/Tender/SplashBidNoticeAbstractUI.aspx?menuIndex=3&amp;refID=7185374&amp;Result=3","7185374")</f>
        <v>0</v>
      </c>
      <c r="B9743" t="s">
        <v>3007</v>
      </c>
      <c r="C9743" t="s">
        <v>13032</v>
      </c>
      <c r="D9743" t="s">
        <v>19006</v>
      </c>
      <c r="E9743" t="s">
        <v>27408</v>
      </c>
      <c r="F9743" t="s">
        <v>32606</v>
      </c>
      <c r="G9743" t="s">
        <v>32614</v>
      </c>
      <c r="H9743" t="s">
        <v>32623</v>
      </c>
      <c r="I9743" t="s">
        <v>17648</v>
      </c>
      <c r="J9743" t="s">
        <v>32999</v>
      </c>
      <c r="K9743" t="s">
        <v>42624</v>
      </c>
      <c r="M9743" t="s">
        <v>46196</v>
      </c>
      <c r="N9743" t="s">
        <v>47304</v>
      </c>
      <c r="O9743" t="s">
        <v>47305</v>
      </c>
      <c r="P9743">
        <v>0</v>
      </c>
      <c r="Q9743">
        <v>1</v>
      </c>
      <c r="R9743" t="s">
        <v>47313</v>
      </c>
      <c r="S9743" t="s">
        <v>47535</v>
      </c>
      <c r="T9743" t="s">
        <v>49020</v>
      </c>
      <c r="U9743" t="s">
        <v>57582</v>
      </c>
      <c r="W9743" t="s">
        <v>46196</v>
      </c>
      <c r="X9743" t="s">
        <v>47314</v>
      </c>
    </row>
    <row r="9744" spans="1:24">
      <c r="A9744">
        <f>HYPERLINK("https://www.philgeps.gov.ph/GEPSNONPILOT/Tender/SplashBidNoticeAbstractUI.aspx?menuIndex=3&amp;refID=7185352&amp;Result=3","7185352")</f>
        <v>0</v>
      </c>
      <c r="B9744" t="s">
        <v>2782</v>
      </c>
      <c r="C9744" t="s">
        <v>13033</v>
      </c>
      <c r="D9744" t="s">
        <v>18992</v>
      </c>
      <c r="E9744" t="s">
        <v>27409</v>
      </c>
      <c r="F9744" t="s">
        <v>32606</v>
      </c>
      <c r="G9744" t="s">
        <v>32613</v>
      </c>
      <c r="H9744" t="s">
        <v>14201</v>
      </c>
      <c r="I9744" t="s">
        <v>32706</v>
      </c>
      <c r="J9744" t="s">
        <v>38811</v>
      </c>
      <c r="K9744" t="s">
        <v>42622</v>
      </c>
      <c r="M9744" t="s">
        <v>46157</v>
      </c>
      <c r="N9744" t="s">
        <v>47304</v>
      </c>
      <c r="O9744" t="s">
        <v>47305</v>
      </c>
      <c r="P9744">
        <v>0</v>
      </c>
      <c r="Q9744">
        <v>3</v>
      </c>
      <c r="R9744" t="s">
        <v>47313</v>
      </c>
      <c r="S9744" t="s">
        <v>47535</v>
      </c>
      <c r="T9744" t="s">
        <v>49347</v>
      </c>
      <c r="U9744" t="s">
        <v>57583</v>
      </c>
      <c r="W9744" t="s">
        <v>46157</v>
      </c>
      <c r="X9744" t="s">
        <v>47314</v>
      </c>
    </row>
    <row r="9745" spans="1:24">
      <c r="A9745">
        <f>HYPERLINK("https://www.philgeps.gov.ph/GEPSNONPILOT/Tender/SplashBidNoticeAbstractUI.aspx?menuIndex=3&amp;refID=7185433&amp;Result=3","7185433")</f>
        <v>0</v>
      </c>
      <c r="B9745" t="s">
        <v>823</v>
      </c>
      <c r="C9745" t="s">
        <v>13034</v>
      </c>
      <c r="D9745" t="s">
        <v>19037</v>
      </c>
      <c r="E9745" t="s">
        <v>27410</v>
      </c>
      <c r="F9745" t="s">
        <v>32606</v>
      </c>
      <c r="G9745" t="s">
        <v>32613</v>
      </c>
      <c r="H9745" t="s">
        <v>14201</v>
      </c>
      <c r="I9745" t="s">
        <v>7677</v>
      </c>
      <c r="J9745" t="s">
        <v>38812</v>
      </c>
      <c r="K9745" t="s">
        <v>42631</v>
      </c>
      <c r="M9745" t="s">
        <v>43754</v>
      </c>
      <c r="N9745" t="s">
        <v>47304</v>
      </c>
      <c r="O9745" t="s">
        <v>47305</v>
      </c>
      <c r="P9745">
        <v>0</v>
      </c>
      <c r="Q9745">
        <v>5</v>
      </c>
      <c r="R9745" t="s">
        <v>47313</v>
      </c>
      <c r="S9745" t="s">
        <v>47535</v>
      </c>
      <c r="T9745" t="s">
        <v>48977</v>
      </c>
      <c r="U9745" t="s">
        <v>57584</v>
      </c>
      <c r="W9745" t="s">
        <v>43754</v>
      </c>
      <c r="X9745" t="s">
        <v>47314</v>
      </c>
    </row>
    <row r="9746" spans="1:24">
      <c r="A9746">
        <f>HYPERLINK("https://www.philgeps.gov.ph/GEPSNONPILOT/Tender/SplashBidNoticeAbstractUI.aspx?menuIndex=3&amp;refID=7185379&amp;Result=3","7185379")</f>
        <v>0</v>
      </c>
      <c r="B9746" t="s">
        <v>226</v>
      </c>
      <c r="C9746" t="s">
        <v>13035</v>
      </c>
      <c r="D9746" t="s">
        <v>19049</v>
      </c>
      <c r="E9746" t="s">
        <v>27411</v>
      </c>
      <c r="F9746" t="s">
        <v>32606</v>
      </c>
      <c r="G9746" t="s">
        <v>32614</v>
      </c>
      <c r="H9746" t="s">
        <v>14201</v>
      </c>
      <c r="I9746" t="s">
        <v>32656</v>
      </c>
      <c r="J9746" t="s">
        <v>32949</v>
      </c>
      <c r="K9746" t="s">
        <v>42622</v>
      </c>
      <c r="M9746" t="s">
        <v>43127</v>
      </c>
      <c r="N9746" t="s">
        <v>47304</v>
      </c>
      <c r="O9746" t="s">
        <v>47305</v>
      </c>
      <c r="P9746">
        <v>0</v>
      </c>
      <c r="Q9746">
        <v>0</v>
      </c>
      <c r="R9746" t="s">
        <v>47313</v>
      </c>
      <c r="S9746" t="s">
        <v>47535</v>
      </c>
      <c r="T9746" t="s">
        <v>49422</v>
      </c>
      <c r="U9746" t="s">
        <v>57585</v>
      </c>
      <c r="W9746" t="s">
        <v>43127</v>
      </c>
      <c r="X9746" t="s">
        <v>47314</v>
      </c>
    </row>
    <row r="9747" spans="1:24">
      <c r="A9747">
        <f>HYPERLINK("https://www.philgeps.gov.ph/GEPSNONPILOT/Tender/SplashBidNoticeAbstractUI.aspx?menuIndex=3&amp;refID=7185431&amp;Result=3","7185431")</f>
        <v>0</v>
      </c>
      <c r="B9747" t="s">
        <v>726</v>
      </c>
      <c r="C9747" t="s">
        <v>13036</v>
      </c>
      <c r="D9747" t="s">
        <v>19009</v>
      </c>
      <c r="E9747" t="s">
        <v>27412</v>
      </c>
      <c r="F9747" t="s">
        <v>32606</v>
      </c>
      <c r="G9747" t="s">
        <v>32613</v>
      </c>
      <c r="H9747" t="s">
        <v>32623</v>
      </c>
      <c r="I9747" t="s">
        <v>17648</v>
      </c>
      <c r="J9747" t="s">
        <v>38813</v>
      </c>
      <c r="K9747" t="s">
        <v>42759</v>
      </c>
      <c r="M9747" t="s">
        <v>46187</v>
      </c>
      <c r="N9747" t="s">
        <v>47304</v>
      </c>
      <c r="O9747" t="s">
        <v>47305</v>
      </c>
      <c r="P9747">
        <v>0</v>
      </c>
      <c r="Q9747">
        <v>0</v>
      </c>
      <c r="R9747" t="s">
        <v>47313</v>
      </c>
      <c r="S9747" t="s">
        <v>47535</v>
      </c>
      <c r="T9747" t="s">
        <v>49040</v>
      </c>
      <c r="U9747" t="s">
        <v>57586</v>
      </c>
      <c r="V9747" t="s">
        <v>63668</v>
      </c>
      <c r="W9747" t="s">
        <v>46187</v>
      </c>
      <c r="X9747" t="s">
        <v>47314</v>
      </c>
    </row>
    <row r="9748" spans="1:24">
      <c r="A9748">
        <f>HYPERLINK("https://www.philgeps.gov.ph/GEPSNONPILOT/Tender/SplashBidNoticeAbstractUI.aspx?menuIndex=3&amp;refID=7185362&amp;Result=3","7185362")</f>
        <v>0</v>
      </c>
      <c r="B9748" t="s">
        <v>1238</v>
      </c>
      <c r="C9748" t="s">
        <v>13037</v>
      </c>
      <c r="D9748" t="s">
        <v>19022</v>
      </c>
      <c r="E9748" t="s">
        <v>27413</v>
      </c>
      <c r="F9748" t="s">
        <v>32606</v>
      </c>
      <c r="G9748" t="s">
        <v>32613</v>
      </c>
      <c r="H9748" t="s">
        <v>14201</v>
      </c>
      <c r="I9748" t="s">
        <v>6931</v>
      </c>
      <c r="J9748" t="s">
        <v>38814</v>
      </c>
      <c r="K9748" t="s">
        <v>42631</v>
      </c>
      <c r="M9748" t="s">
        <v>44203</v>
      </c>
      <c r="N9748" t="s">
        <v>47304</v>
      </c>
      <c r="O9748" t="s">
        <v>47305</v>
      </c>
      <c r="P9748">
        <v>0</v>
      </c>
      <c r="Q9748">
        <v>0</v>
      </c>
      <c r="R9748" t="s">
        <v>47313</v>
      </c>
      <c r="S9748" t="s">
        <v>47535</v>
      </c>
      <c r="T9748" t="s">
        <v>49269</v>
      </c>
      <c r="U9748" t="s">
        <v>57587</v>
      </c>
      <c r="W9748" t="s">
        <v>44203</v>
      </c>
      <c r="X9748" t="s">
        <v>47314</v>
      </c>
    </row>
    <row r="9749" spans="1:24">
      <c r="A9749">
        <f>HYPERLINK("https://www.philgeps.gov.ph/GEPSNONPILOT/Tender/SplashBidNoticeAbstractUI.aspx?menuIndex=3&amp;refID=7185413&amp;Result=3","7185413")</f>
        <v>0</v>
      </c>
      <c r="B9749" t="s">
        <v>2868</v>
      </c>
      <c r="C9749" t="s">
        <v>13038</v>
      </c>
      <c r="D9749" t="s">
        <v>19010</v>
      </c>
      <c r="E9749" t="s">
        <v>27414</v>
      </c>
      <c r="F9749" t="s">
        <v>32606</v>
      </c>
      <c r="G9749" t="s">
        <v>32613</v>
      </c>
      <c r="H9749" t="s">
        <v>14201</v>
      </c>
      <c r="I9749" t="s">
        <v>4678</v>
      </c>
      <c r="J9749" t="s">
        <v>33663</v>
      </c>
      <c r="K9749" t="s">
        <v>42623</v>
      </c>
      <c r="M9749" t="s">
        <v>46039</v>
      </c>
      <c r="N9749" t="s">
        <v>47304</v>
      </c>
      <c r="O9749" t="s">
        <v>47305</v>
      </c>
      <c r="P9749">
        <v>0</v>
      </c>
      <c r="Q9749">
        <v>3</v>
      </c>
      <c r="R9749" t="s">
        <v>47313</v>
      </c>
      <c r="S9749" t="s">
        <v>47535</v>
      </c>
      <c r="T9749" t="s">
        <v>49075</v>
      </c>
      <c r="U9749" t="s">
        <v>57588</v>
      </c>
      <c r="W9749" t="s">
        <v>46039</v>
      </c>
      <c r="X9749" t="s">
        <v>47314</v>
      </c>
    </row>
    <row r="9750" spans="1:24">
      <c r="A9750">
        <f>HYPERLINK("https://www.philgeps.gov.ph/GEPSNONPILOT/Tender/SplashBidNoticeAbstractUI.aspx?menuIndex=3&amp;refID=7185416&amp;Result=3","7185416")</f>
        <v>0</v>
      </c>
      <c r="B9750" t="s">
        <v>2996</v>
      </c>
      <c r="C9750" t="s">
        <v>13039</v>
      </c>
      <c r="D9750" t="s">
        <v>19005</v>
      </c>
      <c r="E9750" t="s">
        <v>27415</v>
      </c>
      <c r="F9750" t="s">
        <v>32606</v>
      </c>
      <c r="G9750" t="s">
        <v>32613</v>
      </c>
      <c r="H9750" t="s">
        <v>32623</v>
      </c>
      <c r="I9750" t="s">
        <v>32709</v>
      </c>
      <c r="J9750" t="s">
        <v>38815</v>
      </c>
      <c r="K9750" t="s">
        <v>42689</v>
      </c>
      <c r="L9750" t="s">
        <v>2996</v>
      </c>
      <c r="M9750" t="s">
        <v>46184</v>
      </c>
      <c r="N9750" t="s">
        <v>47304</v>
      </c>
      <c r="O9750" t="s">
        <v>47305</v>
      </c>
      <c r="P9750">
        <v>0</v>
      </c>
      <c r="Q9750">
        <v>0</v>
      </c>
      <c r="R9750" t="s">
        <v>47313</v>
      </c>
      <c r="S9750" t="s">
        <v>47535</v>
      </c>
      <c r="T9750" t="s">
        <v>49064</v>
      </c>
      <c r="U9750" t="s">
        <v>57589</v>
      </c>
      <c r="W9750" t="s">
        <v>46184</v>
      </c>
      <c r="X9750" t="s">
        <v>47314</v>
      </c>
    </row>
    <row r="9751" spans="1:24">
      <c r="A9751">
        <f>HYPERLINK("https://www.philgeps.gov.ph/GEPSNONPILOT/Tender/SplashBidNoticeAbstractUI.aspx?menuIndex=3&amp;refID=7184980&amp;Result=3","7184980")</f>
        <v>0</v>
      </c>
      <c r="B9751" t="s">
        <v>3008</v>
      </c>
      <c r="C9751" t="s">
        <v>13040</v>
      </c>
      <c r="D9751" t="s">
        <v>18993</v>
      </c>
      <c r="E9751" t="s">
        <v>22592</v>
      </c>
      <c r="F9751" t="s">
        <v>32606</v>
      </c>
      <c r="G9751" t="s">
        <v>32613</v>
      </c>
      <c r="H9751" t="s">
        <v>32625</v>
      </c>
      <c r="I9751" t="s">
        <v>32625</v>
      </c>
      <c r="J9751" t="s">
        <v>38816</v>
      </c>
      <c r="K9751" t="s">
        <v>42648</v>
      </c>
      <c r="M9751" t="s">
        <v>46197</v>
      </c>
      <c r="N9751" t="s">
        <v>47304</v>
      </c>
      <c r="O9751" t="s">
        <v>47305</v>
      </c>
      <c r="P9751">
        <v>0</v>
      </c>
      <c r="Q9751">
        <v>3</v>
      </c>
      <c r="R9751" t="s">
        <v>47313</v>
      </c>
      <c r="S9751" t="s">
        <v>47535</v>
      </c>
      <c r="T9751" t="s">
        <v>49423</v>
      </c>
      <c r="U9751" t="s">
        <v>57590</v>
      </c>
      <c r="V9751" t="s">
        <v>63669</v>
      </c>
      <c r="W9751" t="s">
        <v>46197</v>
      </c>
      <c r="X9751" t="s">
        <v>47314</v>
      </c>
    </row>
    <row r="9752" spans="1:24">
      <c r="A9752">
        <f>HYPERLINK("https://www.philgeps.gov.ph/GEPSNONPILOT/Tender/SplashBidNoticeAbstractUI.aspx?menuIndex=3&amp;refID=7185415&amp;Result=3","7185415")</f>
        <v>0</v>
      </c>
      <c r="B9752" t="s">
        <v>2782</v>
      </c>
      <c r="C9752" t="s">
        <v>13041</v>
      </c>
      <c r="D9752" t="s">
        <v>18992</v>
      </c>
      <c r="E9752" t="s">
        <v>27416</v>
      </c>
      <c r="F9752" t="s">
        <v>32606</v>
      </c>
      <c r="G9752" t="s">
        <v>32613</v>
      </c>
      <c r="H9752" t="s">
        <v>14201</v>
      </c>
      <c r="I9752" t="s">
        <v>32706</v>
      </c>
      <c r="J9752" t="s">
        <v>33019</v>
      </c>
      <c r="K9752" t="s">
        <v>42622</v>
      </c>
      <c r="M9752" t="s">
        <v>46157</v>
      </c>
      <c r="N9752" t="s">
        <v>47304</v>
      </c>
      <c r="O9752" t="s">
        <v>47305</v>
      </c>
      <c r="P9752">
        <v>0</v>
      </c>
      <c r="Q9752">
        <v>2</v>
      </c>
      <c r="R9752" t="s">
        <v>47313</v>
      </c>
      <c r="S9752" t="s">
        <v>47535</v>
      </c>
      <c r="T9752" t="s">
        <v>49347</v>
      </c>
      <c r="U9752" t="s">
        <v>57591</v>
      </c>
      <c r="W9752" t="s">
        <v>46157</v>
      </c>
      <c r="X9752" t="s">
        <v>47314</v>
      </c>
    </row>
    <row r="9753" spans="1:24">
      <c r="A9753">
        <f>HYPERLINK("https://www.philgeps.gov.ph/GEPSNONPILOT/Tender/SplashBidNoticeAbstractUI.aspx?menuIndex=3&amp;refID=7185403&amp;Result=3","7185403")</f>
        <v>0</v>
      </c>
      <c r="B9753" t="s">
        <v>753</v>
      </c>
      <c r="C9753" t="s">
        <v>13042</v>
      </c>
      <c r="D9753" t="s">
        <v>18991</v>
      </c>
      <c r="E9753" t="s">
        <v>27417</v>
      </c>
      <c r="F9753" t="s">
        <v>32606</v>
      </c>
      <c r="G9753" t="s">
        <v>32613</v>
      </c>
      <c r="H9753" t="s">
        <v>14201</v>
      </c>
      <c r="I9753" t="s">
        <v>32693</v>
      </c>
      <c r="J9753" t="s">
        <v>36002</v>
      </c>
      <c r="K9753" t="s">
        <v>42631</v>
      </c>
      <c r="M9753" t="s">
        <v>43676</v>
      </c>
      <c r="N9753" t="s">
        <v>47304</v>
      </c>
      <c r="O9753" t="s">
        <v>47305</v>
      </c>
      <c r="P9753">
        <v>0</v>
      </c>
      <c r="Q9753">
        <v>0</v>
      </c>
      <c r="R9753" t="s">
        <v>47313</v>
      </c>
      <c r="S9753" t="s">
        <v>47535</v>
      </c>
      <c r="T9753" t="s">
        <v>49002</v>
      </c>
      <c r="U9753" t="s">
        <v>57592</v>
      </c>
      <c r="W9753" t="s">
        <v>43676</v>
      </c>
      <c r="X9753" t="s">
        <v>47314</v>
      </c>
    </row>
    <row r="9754" spans="1:24">
      <c r="A9754">
        <f>HYPERLINK("https://www.philgeps.gov.ph/GEPSNONPILOT/Tender/SplashBidNoticeAbstractUI.aspx?menuIndex=3&amp;refID=7185400&amp;Result=3","7185400")</f>
        <v>0</v>
      </c>
      <c r="B9754" t="s">
        <v>2995</v>
      </c>
      <c r="C9754" t="s">
        <v>13043</v>
      </c>
      <c r="D9754" t="s">
        <v>18987</v>
      </c>
      <c r="E9754" t="s">
        <v>27418</v>
      </c>
      <c r="F9754" t="s">
        <v>32606</v>
      </c>
      <c r="G9754" t="s">
        <v>32613</v>
      </c>
      <c r="H9754" t="s">
        <v>32623</v>
      </c>
      <c r="I9754" t="s">
        <v>17648</v>
      </c>
      <c r="J9754" t="s">
        <v>38817</v>
      </c>
      <c r="K9754" t="s">
        <v>42639</v>
      </c>
      <c r="M9754" t="s">
        <v>46183</v>
      </c>
      <c r="N9754" t="s">
        <v>47304</v>
      </c>
      <c r="O9754" t="s">
        <v>47305</v>
      </c>
      <c r="P9754">
        <v>0</v>
      </c>
      <c r="Q9754">
        <v>2</v>
      </c>
      <c r="R9754" t="s">
        <v>47313</v>
      </c>
      <c r="S9754" t="s">
        <v>47535</v>
      </c>
      <c r="T9754" t="s">
        <v>49111</v>
      </c>
      <c r="U9754" t="s">
        <v>57593</v>
      </c>
      <c r="W9754" t="s">
        <v>46183</v>
      </c>
      <c r="X9754" t="s">
        <v>47314</v>
      </c>
    </row>
    <row r="9755" spans="1:24">
      <c r="A9755">
        <f>HYPERLINK("https://www.philgeps.gov.ph/GEPSNONPILOT/Tender/SplashBidNoticeAbstractUI.aspx?menuIndex=3&amp;refID=7185430&amp;Result=3","7185430")</f>
        <v>0</v>
      </c>
      <c r="B9755" t="s">
        <v>3003</v>
      </c>
      <c r="C9755" t="s">
        <v>13044</v>
      </c>
      <c r="D9755" t="s">
        <v>19039</v>
      </c>
      <c r="E9755" t="s">
        <v>20959</v>
      </c>
      <c r="F9755" t="s">
        <v>32606</v>
      </c>
      <c r="G9755" t="s">
        <v>32614</v>
      </c>
      <c r="H9755" t="s">
        <v>14201</v>
      </c>
      <c r="I9755" t="s">
        <v>13131</v>
      </c>
      <c r="J9755" t="s">
        <v>33047</v>
      </c>
      <c r="K9755" t="s">
        <v>42627</v>
      </c>
      <c r="M9755" t="s">
        <v>46192</v>
      </c>
      <c r="N9755" t="s">
        <v>47304</v>
      </c>
      <c r="O9755" t="s">
        <v>47305</v>
      </c>
      <c r="P9755">
        <v>0</v>
      </c>
      <c r="Q9755">
        <v>8</v>
      </c>
      <c r="R9755" t="s">
        <v>47313</v>
      </c>
      <c r="S9755" t="s">
        <v>47535</v>
      </c>
      <c r="T9755" t="s">
        <v>49010</v>
      </c>
      <c r="U9755" t="s">
        <v>50184</v>
      </c>
      <c r="W9755" t="s">
        <v>46192</v>
      </c>
      <c r="X9755" t="s">
        <v>47314</v>
      </c>
    </row>
    <row r="9756" spans="1:24">
      <c r="A9756">
        <f>HYPERLINK("https://www.philgeps.gov.ph/GEPSNONPILOT/Tender/SplashBidNoticeAbstractUI.aspx?menuIndex=3&amp;refID=7185399&amp;Result=3","7185399")</f>
        <v>0</v>
      </c>
      <c r="B9756" t="s">
        <v>696</v>
      </c>
      <c r="C9756" t="s">
        <v>13045</v>
      </c>
      <c r="D9756" t="s">
        <v>18993</v>
      </c>
      <c r="E9756" t="s">
        <v>27419</v>
      </c>
      <c r="F9756" t="s">
        <v>32606</v>
      </c>
      <c r="G9756" t="s">
        <v>32614</v>
      </c>
      <c r="H9756" t="s">
        <v>14201</v>
      </c>
      <c r="I9756" t="s">
        <v>32638</v>
      </c>
      <c r="J9756" t="s">
        <v>33274</v>
      </c>
      <c r="K9756" t="s">
        <v>42631</v>
      </c>
      <c r="M9756" t="s">
        <v>43617</v>
      </c>
      <c r="N9756" t="s">
        <v>47304</v>
      </c>
      <c r="O9756" t="s">
        <v>47305</v>
      </c>
      <c r="P9756">
        <v>0</v>
      </c>
      <c r="Q9756">
        <v>8</v>
      </c>
      <c r="R9756" t="s">
        <v>47313</v>
      </c>
      <c r="S9756" t="s">
        <v>47535</v>
      </c>
      <c r="T9756" t="s">
        <v>48987</v>
      </c>
      <c r="U9756" t="s">
        <v>50770</v>
      </c>
      <c r="V9756" t="s">
        <v>63670</v>
      </c>
      <c r="W9756" t="s">
        <v>43617</v>
      </c>
      <c r="X9756" t="s">
        <v>47314</v>
      </c>
    </row>
    <row r="9757" spans="1:24">
      <c r="A9757">
        <f>HYPERLINK("https://www.philgeps.gov.ph/GEPSNONPILOT/Tender/SplashBidNoticeAbstractUI.aspx?menuIndex=3&amp;refID=7185395&amp;Result=3","7185395")</f>
        <v>0</v>
      </c>
      <c r="B9757" t="s">
        <v>2728</v>
      </c>
      <c r="C9757" t="s">
        <v>13046</v>
      </c>
      <c r="D9757" t="s">
        <v>19003</v>
      </c>
      <c r="E9757" t="s">
        <v>23191</v>
      </c>
      <c r="F9757" t="s">
        <v>32606</v>
      </c>
      <c r="G9757" t="s">
        <v>32613</v>
      </c>
      <c r="H9757" t="s">
        <v>14201</v>
      </c>
      <c r="I9757" t="s">
        <v>6931</v>
      </c>
      <c r="J9757" t="s">
        <v>35064</v>
      </c>
      <c r="K9757" t="s">
        <v>42622</v>
      </c>
      <c r="M9757" t="s">
        <v>45883</v>
      </c>
      <c r="N9757" t="s">
        <v>47304</v>
      </c>
      <c r="O9757" t="s">
        <v>47305</v>
      </c>
      <c r="P9757">
        <v>0</v>
      </c>
      <c r="Q9757">
        <v>1</v>
      </c>
      <c r="R9757" t="s">
        <v>47313</v>
      </c>
      <c r="S9757" t="s">
        <v>47535</v>
      </c>
      <c r="T9757" t="s">
        <v>49256</v>
      </c>
      <c r="U9757" t="s">
        <v>57594</v>
      </c>
      <c r="W9757" t="s">
        <v>45883</v>
      </c>
      <c r="X9757" t="s">
        <v>47314</v>
      </c>
    </row>
    <row r="9758" spans="1:24">
      <c r="A9758">
        <f>HYPERLINK("https://www.philgeps.gov.ph/GEPSNONPILOT/Tender/SplashBidNoticeAbstractUI.aspx?menuIndex=3&amp;refID=7185429&amp;Result=3","7185429")</f>
        <v>0</v>
      </c>
      <c r="B9758" t="s">
        <v>2993</v>
      </c>
      <c r="C9758" t="s">
        <v>13047</v>
      </c>
      <c r="D9758" t="s">
        <v>19038</v>
      </c>
      <c r="E9758" t="s">
        <v>27420</v>
      </c>
      <c r="F9758" t="s">
        <v>32606</v>
      </c>
      <c r="G9758" t="s">
        <v>32613</v>
      </c>
      <c r="H9758" t="s">
        <v>32623</v>
      </c>
      <c r="I9758" t="s">
        <v>17648</v>
      </c>
      <c r="J9758" t="s">
        <v>34557</v>
      </c>
      <c r="K9758" t="s">
        <v>42656</v>
      </c>
      <c r="M9758" t="s">
        <v>46181</v>
      </c>
      <c r="N9758" t="s">
        <v>47304</v>
      </c>
      <c r="O9758" t="s">
        <v>47305</v>
      </c>
      <c r="P9758">
        <v>0</v>
      </c>
      <c r="Q9758">
        <v>0</v>
      </c>
      <c r="R9758" t="s">
        <v>47313</v>
      </c>
      <c r="S9758" t="s">
        <v>47535</v>
      </c>
      <c r="T9758" t="s">
        <v>49234</v>
      </c>
      <c r="U9758" t="s">
        <v>57595</v>
      </c>
      <c r="W9758" t="s">
        <v>46181</v>
      </c>
      <c r="X9758" t="s">
        <v>47314</v>
      </c>
    </row>
    <row r="9759" spans="1:24">
      <c r="A9759">
        <f>HYPERLINK("https://www.philgeps.gov.ph/GEPSNONPILOT/Tender/SplashBidNoticeAbstractUI.aspx?menuIndex=3&amp;refID=7185389&amp;Result=3","7185389")</f>
        <v>0</v>
      </c>
      <c r="B9759" t="s">
        <v>823</v>
      </c>
      <c r="C9759" t="s">
        <v>13048</v>
      </c>
      <c r="D9759" t="s">
        <v>19037</v>
      </c>
      <c r="E9759" t="s">
        <v>27421</v>
      </c>
      <c r="F9759" t="s">
        <v>32606</v>
      </c>
      <c r="G9759" t="s">
        <v>32613</v>
      </c>
      <c r="H9759" t="s">
        <v>14201</v>
      </c>
      <c r="I9759" t="s">
        <v>32633</v>
      </c>
      <c r="J9759" t="s">
        <v>38818</v>
      </c>
      <c r="K9759" t="s">
        <v>42631</v>
      </c>
      <c r="M9759" t="s">
        <v>43754</v>
      </c>
      <c r="N9759" t="s">
        <v>47304</v>
      </c>
      <c r="O9759" t="s">
        <v>47305</v>
      </c>
      <c r="P9759">
        <v>0</v>
      </c>
      <c r="Q9759">
        <v>7</v>
      </c>
      <c r="R9759" t="s">
        <v>47313</v>
      </c>
      <c r="S9759" t="s">
        <v>47535</v>
      </c>
      <c r="T9759" t="s">
        <v>48977</v>
      </c>
      <c r="U9759" t="s">
        <v>57596</v>
      </c>
      <c r="W9759" t="s">
        <v>43754</v>
      </c>
      <c r="X9759" t="s">
        <v>47314</v>
      </c>
    </row>
    <row r="9760" spans="1:24">
      <c r="A9760">
        <f>HYPERLINK("https://www.philgeps.gov.ph/GEPSNONPILOT/Tender/SplashBidNoticeAbstractUI.aspx?menuIndex=3&amp;refID=7185396&amp;Result=3","7185396")</f>
        <v>0</v>
      </c>
      <c r="B9760" t="s">
        <v>3007</v>
      </c>
      <c r="C9760" t="s">
        <v>13049</v>
      </c>
      <c r="D9760" t="s">
        <v>19006</v>
      </c>
      <c r="E9760" t="s">
        <v>27422</v>
      </c>
      <c r="F9760" t="s">
        <v>32606</v>
      </c>
      <c r="G9760" t="s">
        <v>32614</v>
      </c>
      <c r="H9760" t="s">
        <v>32623</v>
      </c>
      <c r="I9760" t="s">
        <v>17648</v>
      </c>
      <c r="J9760" t="s">
        <v>33084</v>
      </c>
      <c r="K9760" t="s">
        <v>42624</v>
      </c>
      <c r="M9760" t="s">
        <v>46196</v>
      </c>
      <c r="N9760" t="s">
        <v>47304</v>
      </c>
      <c r="O9760" t="s">
        <v>47305</v>
      </c>
      <c r="P9760">
        <v>0</v>
      </c>
      <c r="Q9760">
        <v>1</v>
      </c>
      <c r="R9760" t="s">
        <v>47313</v>
      </c>
      <c r="S9760" t="s">
        <v>47535</v>
      </c>
      <c r="T9760" t="s">
        <v>49020</v>
      </c>
      <c r="U9760" t="s">
        <v>57597</v>
      </c>
      <c r="W9760" t="s">
        <v>46196</v>
      </c>
      <c r="X9760" t="s">
        <v>47314</v>
      </c>
    </row>
    <row r="9761" spans="1:24">
      <c r="A9761">
        <f>HYPERLINK("https://www.philgeps.gov.ph/GEPSNONPILOT/Tender/SplashBidNoticeAbstractUI.aspx?menuIndex=3&amp;refID=7185381&amp;Result=3","7185381")</f>
        <v>0</v>
      </c>
      <c r="B9761" t="s">
        <v>722</v>
      </c>
      <c r="C9761" t="s">
        <v>13050</v>
      </c>
      <c r="D9761" t="s">
        <v>19056</v>
      </c>
      <c r="E9761" t="s">
        <v>27423</v>
      </c>
      <c r="F9761" t="s">
        <v>32606</v>
      </c>
      <c r="G9761" t="s">
        <v>32613</v>
      </c>
      <c r="H9761" t="s">
        <v>14201</v>
      </c>
      <c r="I9761" t="s">
        <v>32640</v>
      </c>
      <c r="J9761" t="s">
        <v>38819</v>
      </c>
      <c r="K9761" t="s">
        <v>42648</v>
      </c>
      <c r="M9761" t="s">
        <v>43643</v>
      </c>
      <c r="N9761" t="s">
        <v>47304</v>
      </c>
      <c r="O9761" t="s">
        <v>47305</v>
      </c>
      <c r="P9761">
        <v>0</v>
      </c>
      <c r="Q9761">
        <v>8</v>
      </c>
      <c r="R9761" t="s">
        <v>47313</v>
      </c>
      <c r="S9761" t="s">
        <v>47535</v>
      </c>
      <c r="T9761" t="s">
        <v>49234</v>
      </c>
      <c r="U9761" t="s">
        <v>57598</v>
      </c>
      <c r="W9761" t="s">
        <v>43643</v>
      </c>
      <c r="X9761" t="s">
        <v>47314</v>
      </c>
    </row>
    <row r="9762" spans="1:24">
      <c r="A9762">
        <f>HYPERLINK("https://www.philgeps.gov.ph/GEPSNONPILOT/Tender/SplashBidNoticeAbstractUI.aspx?menuIndex=3&amp;refID=7185394&amp;Result=3","7185394")</f>
        <v>0</v>
      </c>
      <c r="B9762" t="s">
        <v>3009</v>
      </c>
      <c r="C9762" t="s">
        <v>13051</v>
      </c>
      <c r="D9762" t="s">
        <v>19006</v>
      </c>
      <c r="E9762" t="s">
        <v>27424</v>
      </c>
      <c r="F9762" t="s">
        <v>32606</v>
      </c>
      <c r="G9762" t="s">
        <v>32613</v>
      </c>
      <c r="H9762" t="s">
        <v>32623</v>
      </c>
      <c r="I9762" t="s">
        <v>17648</v>
      </c>
      <c r="J9762" t="s">
        <v>38820</v>
      </c>
      <c r="K9762" t="s">
        <v>42648</v>
      </c>
      <c r="M9762" t="s">
        <v>46198</v>
      </c>
      <c r="N9762" t="s">
        <v>47304</v>
      </c>
      <c r="O9762" t="s">
        <v>47305</v>
      </c>
      <c r="Q9762">
        <v>7</v>
      </c>
      <c r="R9762" t="s">
        <v>47313</v>
      </c>
      <c r="S9762" t="s">
        <v>47566</v>
      </c>
      <c r="T9762" t="s">
        <v>49037</v>
      </c>
      <c r="U9762" t="s">
        <v>57599</v>
      </c>
      <c r="W9762" t="s">
        <v>46198</v>
      </c>
      <c r="X9762" t="s">
        <v>47314</v>
      </c>
    </row>
    <row r="9763" spans="1:24">
      <c r="A9763">
        <f>HYPERLINK("https://www.philgeps.gov.ph/GEPSNONPILOT/Tender/SplashBidNoticeAbstractUI.aspx?menuIndex=3&amp;refID=7185347&amp;Result=3","7185347")</f>
        <v>0</v>
      </c>
      <c r="B9763" t="s">
        <v>1088</v>
      </c>
      <c r="C9763" t="s">
        <v>13052</v>
      </c>
      <c r="D9763" t="s">
        <v>19006</v>
      </c>
      <c r="E9763" t="s">
        <v>27425</v>
      </c>
      <c r="F9763" t="s">
        <v>32606</v>
      </c>
      <c r="G9763" t="s">
        <v>32613</v>
      </c>
      <c r="H9763" t="s">
        <v>32625</v>
      </c>
      <c r="I9763" t="s">
        <v>32625</v>
      </c>
      <c r="J9763" t="s">
        <v>38821</v>
      </c>
      <c r="K9763" t="s">
        <v>42712</v>
      </c>
      <c r="M9763" t="s">
        <v>46199</v>
      </c>
      <c r="N9763" t="s">
        <v>47304</v>
      </c>
      <c r="O9763" t="s">
        <v>47305</v>
      </c>
      <c r="P9763">
        <v>0</v>
      </c>
      <c r="Q9763">
        <v>5</v>
      </c>
      <c r="R9763" t="s">
        <v>47313</v>
      </c>
      <c r="S9763" t="s">
        <v>47535</v>
      </c>
      <c r="T9763" t="s">
        <v>49315</v>
      </c>
      <c r="U9763" t="s">
        <v>57600</v>
      </c>
      <c r="W9763" t="s">
        <v>46199</v>
      </c>
      <c r="X9763" t="s">
        <v>47314</v>
      </c>
    </row>
    <row r="9764" spans="1:24">
      <c r="A9764">
        <f>HYPERLINK("https://www.philgeps.gov.ph/GEPSNONPILOT/Tender/SplashBidNoticeAbstractUI.aspx?menuIndex=3&amp;refID=7185387&amp;Result=3","7185387")</f>
        <v>0</v>
      </c>
      <c r="B9764" t="s">
        <v>3010</v>
      </c>
      <c r="C9764" t="s">
        <v>13053</v>
      </c>
      <c r="D9764" t="s">
        <v>19007</v>
      </c>
      <c r="E9764" t="s">
        <v>27426</v>
      </c>
      <c r="F9764" t="s">
        <v>32606</v>
      </c>
      <c r="G9764" t="s">
        <v>32613</v>
      </c>
      <c r="H9764" t="s">
        <v>14201</v>
      </c>
      <c r="I9764" t="s">
        <v>6298</v>
      </c>
      <c r="J9764" t="s">
        <v>38822</v>
      </c>
      <c r="K9764" t="s">
        <v>42624</v>
      </c>
      <c r="M9764" t="s">
        <v>46200</v>
      </c>
      <c r="N9764" t="s">
        <v>47304</v>
      </c>
      <c r="O9764" t="s">
        <v>47305</v>
      </c>
      <c r="P9764">
        <v>0</v>
      </c>
      <c r="Q9764">
        <v>0</v>
      </c>
      <c r="R9764" t="s">
        <v>47313</v>
      </c>
      <c r="S9764" t="s">
        <v>47535</v>
      </c>
      <c r="T9764" t="s">
        <v>49020</v>
      </c>
      <c r="U9764" t="s">
        <v>57601</v>
      </c>
      <c r="W9764" t="s">
        <v>46200</v>
      </c>
      <c r="X9764" t="s">
        <v>47314</v>
      </c>
    </row>
    <row r="9765" spans="1:24">
      <c r="A9765">
        <f>HYPERLINK("https://www.philgeps.gov.ph/GEPSNONPILOT/Tender/SplashBidNoticeAbstractUI.aspx?menuIndex=3&amp;refID=7185383&amp;Result=3","7185383")</f>
        <v>0</v>
      </c>
      <c r="B9765" t="s">
        <v>726</v>
      </c>
      <c r="C9765" t="s">
        <v>13054</v>
      </c>
      <c r="D9765" t="s">
        <v>19009</v>
      </c>
      <c r="E9765" t="s">
        <v>27427</v>
      </c>
      <c r="F9765" t="s">
        <v>32606</v>
      </c>
      <c r="G9765" t="s">
        <v>32613</v>
      </c>
      <c r="H9765" t="s">
        <v>14201</v>
      </c>
      <c r="I9765" t="s">
        <v>32640</v>
      </c>
      <c r="J9765" t="s">
        <v>32990</v>
      </c>
      <c r="K9765" t="s">
        <v>42623</v>
      </c>
      <c r="M9765" t="s">
        <v>45264</v>
      </c>
      <c r="N9765" t="s">
        <v>47304</v>
      </c>
      <c r="O9765" t="s">
        <v>47305</v>
      </c>
      <c r="P9765">
        <v>0</v>
      </c>
      <c r="Q9765">
        <v>3</v>
      </c>
      <c r="R9765" t="s">
        <v>47313</v>
      </c>
      <c r="S9765" t="s">
        <v>47535</v>
      </c>
      <c r="T9765" t="s">
        <v>49198</v>
      </c>
      <c r="U9765" t="s">
        <v>57602</v>
      </c>
      <c r="V9765" t="s">
        <v>62846</v>
      </c>
      <c r="W9765" t="s">
        <v>45264</v>
      </c>
      <c r="X9765" t="s">
        <v>47314</v>
      </c>
    </row>
    <row r="9766" spans="1:24">
      <c r="A9766">
        <f>HYPERLINK("https://www.philgeps.gov.ph/GEPSNONPILOT/Tender/SplashBidNoticeAbstractUI.aspx?menuIndex=3&amp;refID=7185339&amp;Result=3","7185339")</f>
        <v>0</v>
      </c>
      <c r="B9766" t="s">
        <v>2304</v>
      </c>
      <c r="C9766" t="s">
        <v>13055</v>
      </c>
      <c r="D9766" t="s">
        <v>19016</v>
      </c>
      <c r="E9766" t="s">
        <v>27428</v>
      </c>
      <c r="F9766" t="s">
        <v>32606</v>
      </c>
      <c r="G9766" t="s">
        <v>32613</v>
      </c>
      <c r="H9766" t="s">
        <v>14201</v>
      </c>
      <c r="I9766" t="s">
        <v>4114</v>
      </c>
      <c r="J9766" t="s">
        <v>38823</v>
      </c>
      <c r="K9766" t="s">
        <v>42624</v>
      </c>
      <c r="M9766" t="s">
        <v>45410</v>
      </c>
      <c r="N9766" t="s">
        <v>47304</v>
      </c>
      <c r="O9766" t="s">
        <v>47305</v>
      </c>
      <c r="P9766">
        <v>0</v>
      </c>
      <c r="Q9766">
        <v>2</v>
      </c>
      <c r="R9766" t="s">
        <v>47313</v>
      </c>
      <c r="S9766" t="s">
        <v>47535</v>
      </c>
      <c r="T9766" t="s">
        <v>49020</v>
      </c>
      <c r="U9766" t="s">
        <v>57543</v>
      </c>
      <c r="W9766" t="s">
        <v>45410</v>
      </c>
      <c r="X9766" t="s">
        <v>47314</v>
      </c>
    </row>
    <row r="9767" spans="1:24">
      <c r="A9767">
        <f>HYPERLINK("https://www.philgeps.gov.ph/GEPSNONPILOT/Tender/SplashBidNoticeAbstractUI.aspx?menuIndex=3&amp;refID=7185337&amp;Result=3","7185337")</f>
        <v>0</v>
      </c>
      <c r="B9767" t="s">
        <v>778</v>
      </c>
      <c r="C9767" t="s">
        <v>13056</v>
      </c>
      <c r="D9767" t="s">
        <v>19012</v>
      </c>
      <c r="E9767" t="s">
        <v>19409</v>
      </c>
      <c r="F9767" t="s">
        <v>32606</v>
      </c>
      <c r="G9767" t="s">
        <v>32613</v>
      </c>
      <c r="H9767" t="s">
        <v>14201</v>
      </c>
      <c r="I9767" t="s">
        <v>7677</v>
      </c>
      <c r="J9767" t="s">
        <v>38824</v>
      </c>
      <c r="K9767" t="s">
        <v>42623</v>
      </c>
      <c r="M9767" t="s">
        <v>43708</v>
      </c>
      <c r="N9767" t="s">
        <v>47304</v>
      </c>
      <c r="O9767" t="s">
        <v>47305</v>
      </c>
      <c r="P9767">
        <v>0</v>
      </c>
      <c r="Q9767">
        <v>3</v>
      </c>
      <c r="R9767" t="s">
        <v>47313</v>
      </c>
      <c r="S9767" t="s">
        <v>47535</v>
      </c>
      <c r="T9767" t="s">
        <v>49050</v>
      </c>
      <c r="U9767" t="s">
        <v>57603</v>
      </c>
      <c r="W9767" t="s">
        <v>43708</v>
      </c>
      <c r="X9767" t="s">
        <v>47314</v>
      </c>
    </row>
    <row r="9768" spans="1:24">
      <c r="A9768">
        <f>HYPERLINK("https://www.philgeps.gov.ph/GEPSNONPILOT/Tender/SplashBidNoticeAbstractUI.aspx?menuIndex=3&amp;refID=7185228&amp;Result=3","7185228")</f>
        <v>0</v>
      </c>
      <c r="B9768" t="s">
        <v>2993</v>
      </c>
      <c r="C9768" t="s">
        <v>13057</v>
      </c>
      <c r="D9768" t="s">
        <v>19038</v>
      </c>
      <c r="E9768" t="s">
        <v>27429</v>
      </c>
      <c r="F9768" t="s">
        <v>32606</v>
      </c>
      <c r="G9768" t="s">
        <v>32613</v>
      </c>
      <c r="H9768" t="s">
        <v>14201</v>
      </c>
      <c r="I9768" t="s">
        <v>32629</v>
      </c>
      <c r="J9768" t="s">
        <v>35368</v>
      </c>
      <c r="K9768" t="s">
        <v>42624</v>
      </c>
      <c r="M9768" t="s">
        <v>46181</v>
      </c>
      <c r="N9768" t="s">
        <v>47304</v>
      </c>
      <c r="O9768" t="s">
        <v>47305</v>
      </c>
      <c r="P9768">
        <v>0</v>
      </c>
      <c r="Q9768">
        <v>0</v>
      </c>
      <c r="R9768" t="s">
        <v>47313</v>
      </c>
      <c r="S9768" t="s">
        <v>47535</v>
      </c>
      <c r="T9768" t="s">
        <v>49234</v>
      </c>
      <c r="U9768" t="s">
        <v>57604</v>
      </c>
      <c r="W9768" t="s">
        <v>46181</v>
      </c>
      <c r="X9768" t="s">
        <v>47314</v>
      </c>
    </row>
    <row r="9769" spans="1:24">
      <c r="A9769">
        <f>HYPERLINK("https://www.philgeps.gov.ph/GEPSNONPILOT/Tender/SplashBidNoticeAbstractUI.aspx?menuIndex=3&amp;refID=7185208&amp;Result=3","7185208")</f>
        <v>0</v>
      </c>
      <c r="B9769" t="s">
        <v>2989</v>
      </c>
      <c r="C9769" t="s">
        <v>4636</v>
      </c>
      <c r="D9769" t="s">
        <v>19067</v>
      </c>
      <c r="E9769" t="s">
        <v>19809</v>
      </c>
      <c r="F9769" t="s">
        <v>32606</v>
      </c>
      <c r="G9769" t="s">
        <v>32613</v>
      </c>
      <c r="H9769" t="s">
        <v>32623</v>
      </c>
      <c r="I9769" t="s">
        <v>17648</v>
      </c>
      <c r="J9769" t="s">
        <v>38825</v>
      </c>
      <c r="K9769" t="s">
        <v>42627</v>
      </c>
      <c r="M9769" t="s">
        <v>46177</v>
      </c>
      <c r="N9769" t="s">
        <v>47304</v>
      </c>
      <c r="O9769" t="s">
        <v>47305</v>
      </c>
      <c r="P9769">
        <v>0</v>
      </c>
      <c r="Q9769">
        <v>0</v>
      </c>
      <c r="R9769" t="s">
        <v>47313</v>
      </c>
      <c r="S9769" t="s">
        <v>47535</v>
      </c>
      <c r="T9769" t="s">
        <v>49268</v>
      </c>
      <c r="U9769" t="s">
        <v>57605</v>
      </c>
      <c r="W9769" t="s">
        <v>46177</v>
      </c>
      <c r="X9769" t="s">
        <v>47314</v>
      </c>
    </row>
    <row r="9770" spans="1:24">
      <c r="A9770">
        <f>HYPERLINK("https://www.philgeps.gov.ph/GEPSNONPILOT/Tender/SplashBidNoticeAbstractUI.aspx?menuIndex=3&amp;refID=7185380&amp;Result=3","7185380")</f>
        <v>0</v>
      </c>
      <c r="B9770" t="s">
        <v>3001</v>
      </c>
      <c r="C9770" t="s">
        <v>13058</v>
      </c>
      <c r="D9770" t="s">
        <v>19051</v>
      </c>
      <c r="E9770" t="s">
        <v>27430</v>
      </c>
      <c r="F9770" t="s">
        <v>32606</v>
      </c>
      <c r="G9770" t="s">
        <v>32613</v>
      </c>
      <c r="H9770" t="s">
        <v>32623</v>
      </c>
      <c r="I9770" t="s">
        <v>17648</v>
      </c>
      <c r="J9770" t="s">
        <v>38826</v>
      </c>
      <c r="K9770" t="s">
        <v>42646</v>
      </c>
      <c r="M9770" t="s">
        <v>46190</v>
      </c>
      <c r="N9770" t="s">
        <v>47304</v>
      </c>
      <c r="O9770" t="s">
        <v>47305</v>
      </c>
      <c r="P9770">
        <v>0</v>
      </c>
      <c r="Q9770">
        <v>6</v>
      </c>
      <c r="R9770" t="s">
        <v>47313</v>
      </c>
      <c r="S9770" t="s">
        <v>47535</v>
      </c>
      <c r="T9770" t="s">
        <v>49119</v>
      </c>
      <c r="U9770" t="s">
        <v>57606</v>
      </c>
      <c r="W9770" t="s">
        <v>46190</v>
      </c>
      <c r="X9770" t="s">
        <v>47314</v>
      </c>
    </row>
    <row r="9771" spans="1:24">
      <c r="A9771">
        <f>HYPERLINK("https://www.philgeps.gov.ph/GEPSNONPILOT/Tender/SplashBidNoticeAbstractUI.aspx?menuIndex=3&amp;refID=7185343&amp;Result=3","7185343")</f>
        <v>0</v>
      </c>
      <c r="B9771" t="s">
        <v>2473</v>
      </c>
      <c r="C9771" t="s">
        <v>13059</v>
      </c>
      <c r="D9771" t="s">
        <v>19008</v>
      </c>
      <c r="E9771" t="s">
        <v>27431</v>
      </c>
      <c r="F9771" t="s">
        <v>32606</v>
      </c>
      <c r="G9771" t="s">
        <v>32614</v>
      </c>
      <c r="H9771" t="s">
        <v>14201</v>
      </c>
      <c r="I9771" t="s">
        <v>6298</v>
      </c>
      <c r="J9771" t="s">
        <v>38827</v>
      </c>
      <c r="K9771" t="s">
        <v>42624</v>
      </c>
      <c r="M9771" t="s">
        <v>45738</v>
      </c>
      <c r="N9771" t="s">
        <v>47304</v>
      </c>
      <c r="O9771" t="s">
        <v>47305</v>
      </c>
      <c r="P9771">
        <v>0</v>
      </c>
      <c r="Q9771">
        <v>1</v>
      </c>
      <c r="R9771" t="s">
        <v>47313</v>
      </c>
      <c r="S9771" t="s">
        <v>47535</v>
      </c>
      <c r="T9771" t="s">
        <v>48998</v>
      </c>
      <c r="U9771" t="s">
        <v>56328</v>
      </c>
      <c r="W9771" t="s">
        <v>45738</v>
      </c>
      <c r="X9771" t="s">
        <v>47314</v>
      </c>
    </row>
    <row r="9772" spans="1:24">
      <c r="A9772">
        <f>HYPERLINK("https://www.philgeps.gov.ph/GEPSNONPILOT/Tender/SplashBidNoticeAbstractUI.aspx?menuIndex=3&amp;refID=7185304&amp;Result=3","7185304")</f>
        <v>0</v>
      </c>
      <c r="B9772" t="s">
        <v>3004</v>
      </c>
      <c r="C9772" t="s">
        <v>13060</v>
      </c>
      <c r="D9772" t="s">
        <v>19072</v>
      </c>
      <c r="E9772" t="s">
        <v>27432</v>
      </c>
      <c r="F9772" t="s">
        <v>32606</v>
      </c>
      <c r="G9772" t="s">
        <v>32615</v>
      </c>
      <c r="H9772" t="s">
        <v>14201</v>
      </c>
      <c r="I9772" t="s">
        <v>32683</v>
      </c>
      <c r="J9772" t="s">
        <v>33578</v>
      </c>
      <c r="K9772" t="s">
        <v>42631</v>
      </c>
      <c r="M9772" t="s">
        <v>46193</v>
      </c>
      <c r="N9772" t="s">
        <v>47304</v>
      </c>
      <c r="O9772" t="s">
        <v>47305</v>
      </c>
      <c r="P9772">
        <v>0</v>
      </c>
      <c r="Q9772">
        <v>1</v>
      </c>
      <c r="R9772" t="s">
        <v>47313</v>
      </c>
      <c r="S9772" t="s">
        <v>47535</v>
      </c>
      <c r="T9772" t="s">
        <v>49095</v>
      </c>
      <c r="U9772" t="s">
        <v>57569</v>
      </c>
      <c r="V9772" t="s">
        <v>63671</v>
      </c>
      <c r="W9772" t="s">
        <v>46193</v>
      </c>
      <c r="X9772" t="s">
        <v>47314</v>
      </c>
    </row>
    <row r="9773" spans="1:24">
      <c r="A9773">
        <f>HYPERLINK("https://www.philgeps.gov.ph/GEPSNONPILOT/Tender/SplashBidNoticeAbstractUI.aspx?menuIndex=3&amp;refID=7185493&amp;Result=3","7185493")</f>
        <v>0</v>
      </c>
      <c r="B9773" t="s">
        <v>3011</v>
      </c>
      <c r="C9773" t="s">
        <v>13061</v>
      </c>
      <c r="D9773" t="s">
        <v>19015</v>
      </c>
      <c r="E9773" t="s">
        <v>27433</v>
      </c>
      <c r="F9773" t="s">
        <v>32606</v>
      </c>
      <c r="G9773" t="s">
        <v>32613</v>
      </c>
      <c r="H9773" t="s">
        <v>14201</v>
      </c>
      <c r="I9773" t="s">
        <v>6931</v>
      </c>
      <c r="J9773" t="s">
        <v>38828</v>
      </c>
      <c r="K9773" t="s">
        <v>42622</v>
      </c>
      <c r="M9773" t="s">
        <v>46201</v>
      </c>
      <c r="N9773" t="s">
        <v>47304</v>
      </c>
      <c r="O9773" t="s">
        <v>47305</v>
      </c>
      <c r="P9773">
        <v>0</v>
      </c>
      <c r="Q9773">
        <v>5</v>
      </c>
      <c r="R9773" t="s">
        <v>47313</v>
      </c>
      <c r="S9773" t="s">
        <v>47535</v>
      </c>
      <c r="T9773" t="s">
        <v>48970</v>
      </c>
      <c r="U9773" t="s">
        <v>57607</v>
      </c>
      <c r="W9773" t="s">
        <v>46201</v>
      </c>
      <c r="X9773" t="s">
        <v>47314</v>
      </c>
    </row>
    <row r="9774" spans="1:24">
      <c r="A9774">
        <f>HYPERLINK("https://www.philgeps.gov.ph/GEPSNONPILOT/Tender/SplashBidNoticeAbstractUI.aspx?menuIndex=3&amp;refID=7185340&amp;Result=3","7185340")</f>
        <v>0</v>
      </c>
      <c r="B9774" t="s">
        <v>2993</v>
      </c>
      <c r="C9774" t="s">
        <v>13062</v>
      </c>
      <c r="D9774" t="s">
        <v>19038</v>
      </c>
      <c r="E9774" t="s">
        <v>27434</v>
      </c>
      <c r="F9774" t="s">
        <v>32606</v>
      </c>
      <c r="G9774" t="s">
        <v>32613</v>
      </c>
      <c r="H9774" t="s">
        <v>14201</v>
      </c>
      <c r="I9774" t="s">
        <v>6931</v>
      </c>
      <c r="J9774" t="s">
        <v>38829</v>
      </c>
      <c r="K9774" t="s">
        <v>42636</v>
      </c>
      <c r="M9774" t="s">
        <v>46181</v>
      </c>
      <c r="N9774" t="s">
        <v>47304</v>
      </c>
      <c r="O9774" t="s">
        <v>47305</v>
      </c>
      <c r="P9774">
        <v>0</v>
      </c>
      <c r="Q9774">
        <v>0</v>
      </c>
      <c r="R9774" t="s">
        <v>47313</v>
      </c>
      <c r="S9774" t="s">
        <v>47535</v>
      </c>
      <c r="T9774" t="s">
        <v>49234</v>
      </c>
      <c r="U9774" t="s">
        <v>57608</v>
      </c>
      <c r="W9774" t="s">
        <v>46181</v>
      </c>
      <c r="X9774" t="s">
        <v>47314</v>
      </c>
    </row>
    <row r="9775" spans="1:24">
      <c r="A9775">
        <f>HYPERLINK("https://www.philgeps.gov.ph/GEPSNONPILOT/Tender/SplashBidNoticeAbstractUI.aspx?menuIndex=3&amp;refID=7185227&amp;Result=3","7185227")</f>
        <v>0</v>
      </c>
      <c r="B9775" t="s">
        <v>2782</v>
      </c>
      <c r="C9775" t="s">
        <v>13063</v>
      </c>
      <c r="D9775" t="s">
        <v>18992</v>
      </c>
      <c r="E9775" t="s">
        <v>27435</v>
      </c>
      <c r="F9775" t="s">
        <v>32606</v>
      </c>
      <c r="G9775" t="s">
        <v>32613</v>
      </c>
      <c r="H9775" t="s">
        <v>14201</v>
      </c>
      <c r="I9775" t="s">
        <v>32637</v>
      </c>
      <c r="J9775" t="s">
        <v>38830</v>
      </c>
      <c r="K9775" t="s">
        <v>42622</v>
      </c>
      <c r="M9775" t="s">
        <v>46157</v>
      </c>
      <c r="N9775" t="s">
        <v>47304</v>
      </c>
      <c r="O9775" t="s">
        <v>47305</v>
      </c>
      <c r="P9775">
        <v>0</v>
      </c>
      <c r="Q9775">
        <v>1</v>
      </c>
      <c r="R9775" t="s">
        <v>47313</v>
      </c>
      <c r="S9775" t="s">
        <v>47535</v>
      </c>
      <c r="T9775" t="s">
        <v>49347</v>
      </c>
      <c r="U9775" t="s">
        <v>57609</v>
      </c>
      <c r="W9775" t="s">
        <v>46157</v>
      </c>
      <c r="X9775" t="s">
        <v>47314</v>
      </c>
    </row>
    <row r="9776" spans="1:24">
      <c r="A9776">
        <f>HYPERLINK("https://www.philgeps.gov.ph/GEPSNONPILOT/Tender/SplashBidNoticeAbstractUI.aspx?menuIndex=3&amp;refID=7185409&amp;Result=3","7185409")</f>
        <v>0</v>
      </c>
      <c r="B9776" t="s">
        <v>3012</v>
      </c>
      <c r="C9776" t="s">
        <v>13064</v>
      </c>
      <c r="D9776" t="s">
        <v>19013</v>
      </c>
      <c r="E9776" t="s">
        <v>19315</v>
      </c>
      <c r="F9776" t="s">
        <v>32606</v>
      </c>
      <c r="G9776" t="s">
        <v>32613</v>
      </c>
      <c r="H9776" t="s">
        <v>14201</v>
      </c>
      <c r="I9776" t="s">
        <v>6931</v>
      </c>
      <c r="J9776" t="s">
        <v>38831</v>
      </c>
      <c r="K9776" t="s">
        <v>42630</v>
      </c>
      <c r="M9776" t="s">
        <v>46202</v>
      </c>
      <c r="N9776" t="s">
        <v>47304</v>
      </c>
      <c r="O9776" t="s">
        <v>47305</v>
      </c>
      <c r="P9776">
        <v>0</v>
      </c>
      <c r="Q9776">
        <v>0</v>
      </c>
      <c r="R9776" t="s">
        <v>47313</v>
      </c>
      <c r="S9776" t="s">
        <v>47535</v>
      </c>
      <c r="T9776" t="s">
        <v>49052</v>
      </c>
      <c r="U9776" t="s">
        <v>57610</v>
      </c>
      <c r="W9776" t="s">
        <v>46202</v>
      </c>
      <c r="X9776" t="s">
        <v>47314</v>
      </c>
    </row>
    <row r="9777" spans="1:24">
      <c r="A9777">
        <f>HYPERLINK("https://www.philgeps.gov.ph/GEPSNONPILOT/Tender/SplashBidNoticeAbstractUI.aspx?menuIndex=3&amp;refID=7185484&amp;Result=3","7185484")</f>
        <v>0</v>
      </c>
      <c r="B9777" t="s">
        <v>2968</v>
      </c>
      <c r="C9777" t="s">
        <v>13065</v>
      </c>
      <c r="D9777" t="s">
        <v>19002</v>
      </c>
      <c r="E9777" t="s">
        <v>27436</v>
      </c>
      <c r="F9777" t="s">
        <v>32606</v>
      </c>
      <c r="G9777" t="s">
        <v>32613</v>
      </c>
      <c r="H9777" t="s">
        <v>32623</v>
      </c>
      <c r="I9777" t="s">
        <v>17648</v>
      </c>
      <c r="J9777" t="s">
        <v>38832</v>
      </c>
      <c r="K9777" t="s">
        <v>42639</v>
      </c>
      <c r="M9777" t="s">
        <v>46203</v>
      </c>
      <c r="N9777" t="s">
        <v>47304</v>
      </c>
      <c r="O9777" t="s">
        <v>47305</v>
      </c>
      <c r="P9777">
        <v>0</v>
      </c>
      <c r="Q9777">
        <v>0</v>
      </c>
      <c r="R9777" t="s">
        <v>47313</v>
      </c>
      <c r="S9777" t="s">
        <v>47535</v>
      </c>
      <c r="T9777" t="s">
        <v>49053</v>
      </c>
      <c r="U9777" t="s">
        <v>57611</v>
      </c>
      <c r="V9777" t="s">
        <v>63654</v>
      </c>
      <c r="W9777" t="s">
        <v>46203</v>
      </c>
      <c r="X9777" t="s">
        <v>47314</v>
      </c>
    </row>
    <row r="9778" spans="1:24">
      <c r="A9778">
        <f>HYPERLINK("https://www.philgeps.gov.ph/GEPSNONPILOT/Tender/SplashBidNoticeAbstractUI.aspx?menuIndex=3&amp;refID=7185482&amp;Result=3","7185482")</f>
        <v>0</v>
      </c>
      <c r="B9778" t="s">
        <v>2831</v>
      </c>
      <c r="C9778" t="s">
        <v>13066</v>
      </c>
      <c r="D9778" t="s">
        <v>19013</v>
      </c>
      <c r="E9778" t="s">
        <v>27437</v>
      </c>
      <c r="F9778" t="s">
        <v>32606</v>
      </c>
      <c r="G9778" t="s">
        <v>32614</v>
      </c>
      <c r="H9778" t="s">
        <v>32624</v>
      </c>
      <c r="I9778" t="s">
        <v>6007</v>
      </c>
      <c r="J9778" t="s">
        <v>38833</v>
      </c>
      <c r="K9778" t="s">
        <v>42629</v>
      </c>
      <c r="M9778" t="s">
        <v>45996</v>
      </c>
      <c r="N9778" t="s">
        <v>47304</v>
      </c>
      <c r="O9778" t="s">
        <v>47305</v>
      </c>
      <c r="P9778">
        <v>0</v>
      </c>
      <c r="Q9778">
        <v>0</v>
      </c>
      <c r="R9778" t="s">
        <v>47313</v>
      </c>
      <c r="S9778" t="s">
        <v>47535</v>
      </c>
      <c r="T9778" t="s">
        <v>49071</v>
      </c>
      <c r="U9778" t="s">
        <v>57612</v>
      </c>
      <c r="W9778" t="s">
        <v>45996</v>
      </c>
      <c r="X9778" t="s">
        <v>47314</v>
      </c>
    </row>
    <row r="9779" spans="1:24">
      <c r="A9779">
        <f>HYPERLINK("https://www.philgeps.gov.ph/GEPSNONPILOT/Tender/SplashBidNoticeAbstractUI.aspx?menuIndex=3&amp;refID=7185478&amp;Result=3","7185478")</f>
        <v>0</v>
      </c>
      <c r="B9779" t="s">
        <v>2996</v>
      </c>
      <c r="C9779" t="s">
        <v>13067</v>
      </c>
      <c r="D9779" t="s">
        <v>19005</v>
      </c>
      <c r="E9779" t="s">
        <v>27438</v>
      </c>
      <c r="F9779" t="s">
        <v>32606</v>
      </c>
      <c r="G9779" t="s">
        <v>32613</v>
      </c>
      <c r="H9779" t="s">
        <v>32623</v>
      </c>
      <c r="I9779" t="s">
        <v>17648</v>
      </c>
      <c r="J9779" t="s">
        <v>38834</v>
      </c>
      <c r="K9779" t="s">
        <v>42749</v>
      </c>
      <c r="L9779" t="s">
        <v>2996</v>
      </c>
      <c r="M9779" t="s">
        <v>46184</v>
      </c>
      <c r="N9779" t="s">
        <v>47304</v>
      </c>
      <c r="O9779" t="s">
        <v>47305</v>
      </c>
      <c r="P9779">
        <v>0</v>
      </c>
      <c r="Q9779">
        <v>0</v>
      </c>
      <c r="R9779" t="s">
        <v>47313</v>
      </c>
      <c r="S9779" t="s">
        <v>47535</v>
      </c>
      <c r="T9779" t="s">
        <v>49064</v>
      </c>
      <c r="U9779" t="s">
        <v>57613</v>
      </c>
      <c r="W9779" t="s">
        <v>46184</v>
      </c>
      <c r="X9779" t="s">
        <v>47314</v>
      </c>
    </row>
    <row r="9780" spans="1:24">
      <c r="A9780">
        <f>HYPERLINK("https://www.philgeps.gov.ph/GEPSNONPILOT/Tender/SplashBidNoticeAbstractUI.aspx?menuIndex=3&amp;refID=7185477&amp;Result=3","7185477")</f>
        <v>0</v>
      </c>
      <c r="B9780" t="s">
        <v>1399</v>
      </c>
      <c r="C9780" t="s">
        <v>13068</v>
      </c>
      <c r="D9780" t="s">
        <v>19043</v>
      </c>
      <c r="E9780" t="s">
        <v>27439</v>
      </c>
      <c r="F9780" t="s">
        <v>32606</v>
      </c>
      <c r="G9780" t="s">
        <v>32613</v>
      </c>
      <c r="H9780" t="s">
        <v>14201</v>
      </c>
      <c r="I9780" t="s">
        <v>6931</v>
      </c>
      <c r="J9780" t="s">
        <v>38835</v>
      </c>
      <c r="K9780" t="s">
        <v>42624</v>
      </c>
      <c r="M9780" t="s">
        <v>44383</v>
      </c>
      <c r="N9780" t="s">
        <v>47304</v>
      </c>
      <c r="O9780" t="s">
        <v>47305</v>
      </c>
      <c r="P9780">
        <v>0</v>
      </c>
      <c r="Q9780">
        <v>0</v>
      </c>
      <c r="R9780" t="s">
        <v>47313</v>
      </c>
      <c r="S9780" t="s">
        <v>47535</v>
      </c>
      <c r="T9780" t="s">
        <v>49140</v>
      </c>
      <c r="U9780" t="s">
        <v>57614</v>
      </c>
      <c r="W9780" t="s">
        <v>44383</v>
      </c>
      <c r="X9780" t="s">
        <v>47314</v>
      </c>
    </row>
    <row r="9781" spans="1:24">
      <c r="A9781">
        <f>HYPERLINK("https://www.philgeps.gov.ph/GEPSNONPILOT/Tender/SplashBidNoticeAbstractUI.aspx?menuIndex=3&amp;refID=7185473&amp;Result=3","7185473")</f>
        <v>0</v>
      </c>
      <c r="B9781" t="s">
        <v>56</v>
      </c>
      <c r="C9781" t="s">
        <v>13069</v>
      </c>
      <c r="D9781" t="s">
        <v>19009</v>
      </c>
      <c r="E9781" t="s">
        <v>27440</v>
      </c>
      <c r="F9781" t="s">
        <v>32606</v>
      </c>
      <c r="G9781" t="s">
        <v>32613</v>
      </c>
      <c r="H9781" t="s">
        <v>14201</v>
      </c>
      <c r="I9781" t="s">
        <v>32664</v>
      </c>
      <c r="J9781" t="s">
        <v>38836</v>
      </c>
      <c r="K9781" t="s">
        <v>42694</v>
      </c>
      <c r="M9781" t="s">
        <v>42953</v>
      </c>
      <c r="N9781" t="s">
        <v>47304</v>
      </c>
      <c r="O9781" t="s">
        <v>47305</v>
      </c>
      <c r="P9781">
        <v>0</v>
      </c>
      <c r="Q9781">
        <v>1</v>
      </c>
      <c r="R9781" t="s">
        <v>47313</v>
      </c>
      <c r="S9781" t="s">
        <v>47535</v>
      </c>
      <c r="T9781" t="s">
        <v>49037</v>
      </c>
      <c r="U9781" t="s">
        <v>57615</v>
      </c>
      <c r="W9781" t="s">
        <v>42953</v>
      </c>
      <c r="X9781" t="s">
        <v>47314</v>
      </c>
    </row>
    <row r="9782" spans="1:24">
      <c r="A9782">
        <f>HYPERLINK("https://www.philgeps.gov.ph/GEPSNONPILOT/Tender/SplashBidNoticeAbstractUI.aspx?menuIndex=3&amp;refID=7185467&amp;Result=3","7185467")</f>
        <v>0</v>
      </c>
      <c r="B9782" t="s">
        <v>146</v>
      </c>
      <c r="C9782" t="s">
        <v>13070</v>
      </c>
      <c r="D9782" t="s">
        <v>19011</v>
      </c>
      <c r="E9782" t="s">
        <v>27441</v>
      </c>
      <c r="F9782" t="s">
        <v>32606</v>
      </c>
      <c r="G9782" t="s">
        <v>32613</v>
      </c>
      <c r="H9782" t="s">
        <v>14201</v>
      </c>
      <c r="I9782" t="s">
        <v>7064</v>
      </c>
      <c r="J9782" t="s">
        <v>32767</v>
      </c>
      <c r="K9782" t="s">
        <v>42631</v>
      </c>
      <c r="M9782" t="s">
        <v>43047</v>
      </c>
      <c r="N9782" t="s">
        <v>47304</v>
      </c>
      <c r="O9782" t="s">
        <v>47305</v>
      </c>
      <c r="P9782">
        <v>0</v>
      </c>
      <c r="Q9782">
        <v>2</v>
      </c>
      <c r="R9782" t="s">
        <v>47313</v>
      </c>
      <c r="S9782" t="s">
        <v>47535</v>
      </c>
      <c r="T9782" t="s">
        <v>49066</v>
      </c>
      <c r="U9782" t="s">
        <v>57616</v>
      </c>
      <c r="W9782" t="s">
        <v>43047</v>
      </c>
      <c r="X9782" t="s">
        <v>47314</v>
      </c>
    </row>
    <row r="9783" spans="1:24">
      <c r="A9783">
        <f>HYPERLINK("https://www.philgeps.gov.ph/GEPSNONPILOT/Tender/SplashBidNoticeAbstractUI.aspx?menuIndex=3&amp;refID=7185489&amp;Result=3","7185489")</f>
        <v>0</v>
      </c>
      <c r="B9783" t="s">
        <v>3013</v>
      </c>
      <c r="C9783" t="s">
        <v>13071</v>
      </c>
      <c r="E9783" t="s">
        <v>27442</v>
      </c>
      <c r="F9783" t="s">
        <v>32606</v>
      </c>
      <c r="G9783" t="s">
        <v>32613</v>
      </c>
      <c r="H9783" t="s">
        <v>32623</v>
      </c>
      <c r="I9783" t="s">
        <v>17648</v>
      </c>
      <c r="J9783" t="s">
        <v>36163</v>
      </c>
      <c r="K9783" t="s">
        <v>42624</v>
      </c>
      <c r="M9783" t="s">
        <v>46204</v>
      </c>
      <c r="N9783" t="s">
        <v>47304</v>
      </c>
      <c r="O9783" t="s">
        <v>47305</v>
      </c>
      <c r="P9783">
        <v>0</v>
      </c>
      <c r="Q9783">
        <v>3</v>
      </c>
      <c r="R9783" t="s">
        <v>47313</v>
      </c>
      <c r="S9783" t="s">
        <v>47535</v>
      </c>
      <c r="T9783" t="s">
        <v>49075</v>
      </c>
      <c r="U9783" t="s">
        <v>57617</v>
      </c>
      <c r="V9783" t="s">
        <v>63672</v>
      </c>
      <c r="W9783" t="s">
        <v>46204</v>
      </c>
      <c r="X9783" t="s">
        <v>47314</v>
      </c>
    </row>
    <row r="9784" spans="1:24">
      <c r="A9784">
        <f>HYPERLINK("https://www.philgeps.gov.ph/GEPSNONPILOT/Tender/SplashBidNoticeAbstractUI.aspx?menuIndex=3&amp;refID=7185465&amp;Result=3","7185465")</f>
        <v>0</v>
      </c>
      <c r="B9784" t="s">
        <v>823</v>
      </c>
      <c r="C9784" t="s">
        <v>13072</v>
      </c>
      <c r="D9784" t="s">
        <v>19037</v>
      </c>
      <c r="E9784" t="s">
        <v>27443</v>
      </c>
      <c r="F9784" t="s">
        <v>32606</v>
      </c>
      <c r="G9784" t="s">
        <v>32613</v>
      </c>
      <c r="H9784" t="s">
        <v>14201</v>
      </c>
      <c r="I9784" t="s">
        <v>7677</v>
      </c>
      <c r="J9784" t="s">
        <v>38837</v>
      </c>
      <c r="K9784" t="s">
        <v>42631</v>
      </c>
      <c r="M9784" t="s">
        <v>43754</v>
      </c>
      <c r="N9784" t="s">
        <v>47304</v>
      </c>
      <c r="O9784" t="s">
        <v>47305</v>
      </c>
      <c r="P9784">
        <v>0</v>
      </c>
      <c r="Q9784">
        <v>5</v>
      </c>
      <c r="R9784" t="s">
        <v>47313</v>
      </c>
      <c r="S9784" t="s">
        <v>47535</v>
      </c>
      <c r="T9784" t="s">
        <v>48977</v>
      </c>
      <c r="U9784" t="s">
        <v>57618</v>
      </c>
      <c r="W9784" t="s">
        <v>43754</v>
      </c>
      <c r="X9784" t="s">
        <v>47314</v>
      </c>
    </row>
    <row r="9785" spans="1:24">
      <c r="A9785">
        <f>HYPERLINK("https://www.philgeps.gov.ph/GEPSNONPILOT/Tender/SplashBidNoticeAbstractUI.aspx?menuIndex=3&amp;refID=7185462&amp;Result=3","7185462")</f>
        <v>0</v>
      </c>
      <c r="B9785" t="s">
        <v>2574</v>
      </c>
      <c r="C9785" t="s">
        <v>13073</v>
      </c>
      <c r="D9785" t="s">
        <v>19002</v>
      </c>
      <c r="E9785" t="s">
        <v>27444</v>
      </c>
      <c r="F9785" t="s">
        <v>32606</v>
      </c>
      <c r="G9785" t="s">
        <v>32619</v>
      </c>
      <c r="H9785" t="s">
        <v>14201</v>
      </c>
      <c r="I9785" t="s">
        <v>32660</v>
      </c>
      <c r="J9785" t="s">
        <v>33148</v>
      </c>
      <c r="K9785" t="s">
        <v>42625</v>
      </c>
      <c r="M9785" t="s">
        <v>45714</v>
      </c>
      <c r="N9785" t="s">
        <v>47304</v>
      </c>
      <c r="O9785" t="s">
        <v>47305</v>
      </c>
      <c r="P9785">
        <v>0</v>
      </c>
      <c r="Q9785">
        <v>0</v>
      </c>
      <c r="R9785" t="s">
        <v>47313</v>
      </c>
      <c r="S9785" t="s">
        <v>47535</v>
      </c>
      <c r="T9785" t="s">
        <v>49268</v>
      </c>
      <c r="U9785" t="s">
        <v>57619</v>
      </c>
      <c r="V9785" t="s">
        <v>63673</v>
      </c>
      <c r="W9785" t="s">
        <v>45714</v>
      </c>
      <c r="X9785" t="s">
        <v>47314</v>
      </c>
    </row>
    <row r="9786" spans="1:24">
      <c r="A9786">
        <f>HYPERLINK("https://www.philgeps.gov.ph/GEPSNONPILOT/Tender/SplashBidNoticeAbstractUI.aspx?menuIndex=3&amp;refID=7185365&amp;Result=3","7185365")</f>
        <v>0</v>
      </c>
      <c r="B9786" t="s">
        <v>1110</v>
      </c>
      <c r="C9786" t="s">
        <v>13074</v>
      </c>
      <c r="D9786" t="s">
        <v>19057</v>
      </c>
      <c r="E9786" t="s">
        <v>27445</v>
      </c>
      <c r="F9786" t="s">
        <v>32606</v>
      </c>
      <c r="G9786" t="s">
        <v>32613</v>
      </c>
      <c r="H9786" t="s">
        <v>32623</v>
      </c>
      <c r="I9786" t="s">
        <v>17648</v>
      </c>
      <c r="J9786" t="s">
        <v>38838</v>
      </c>
      <c r="K9786" t="s">
        <v>42752</v>
      </c>
      <c r="M9786" t="s">
        <v>46170</v>
      </c>
      <c r="N9786" t="s">
        <v>47304</v>
      </c>
      <c r="O9786" t="s">
        <v>47305</v>
      </c>
      <c r="P9786">
        <v>0</v>
      </c>
      <c r="Q9786">
        <v>0</v>
      </c>
      <c r="R9786" t="s">
        <v>47313</v>
      </c>
      <c r="S9786" t="s">
        <v>47535</v>
      </c>
      <c r="T9786" t="s">
        <v>49040</v>
      </c>
      <c r="U9786" t="s">
        <v>57521</v>
      </c>
      <c r="V9786" t="s">
        <v>63659</v>
      </c>
      <c r="W9786" t="s">
        <v>46170</v>
      </c>
      <c r="X9786" t="s">
        <v>47314</v>
      </c>
    </row>
    <row r="9787" spans="1:24">
      <c r="A9787">
        <f>HYPERLINK("https://www.philgeps.gov.ph/GEPSNONPILOT/Tender/SplashBidNoticeAbstractUI.aspx?menuIndex=3&amp;refID=7185460&amp;Result=3","7185460")</f>
        <v>0</v>
      </c>
      <c r="B9787" t="s">
        <v>2361</v>
      </c>
      <c r="C9787" t="s">
        <v>13075</v>
      </c>
      <c r="D9787" t="s">
        <v>19056</v>
      </c>
      <c r="E9787" t="s">
        <v>27446</v>
      </c>
      <c r="F9787" t="s">
        <v>32606</v>
      </c>
      <c r="G9787" t="s">
        <v>32613</v>
      </c>
      <c r="H9787" t="s">
        <v>14201</v>
      </c>
      <c r="I9787" t="s">
        <v>4678</v>
      </c>
      <c r="J9787" t="s">
        <v>32765</v>
      </c>
      <c r="K9787" t="s">
        <v>42631</v>
      </c>
      <c r="M9787" t="s">
        <v>45475</v>
      </c>
      <c r="N9787" t="s">
        <v>47304</v>
      </c>
      <c r="O9787" t="s">
        <v>47305</v>
      </c>
      <c r="P9787">
        <v>0</v>
      </c>
      <c r="Q9787">
        <v>3</v>
      </c>
      <c r="R9787" t="s">
        <v>47313</v>
      </c>
      <c r="S9787" t="s">
        <v>47535</v>
      </c>
      <c r="T9787" t="s">
        <v>48975</v>
      </c>
      <c r="U9787" t="s">
        <v>57620</v>
      </c>
      <c r="W9787" t="s">
        <v>45475</v>
      </c>
      <c r="X9787" t="s">
        <v>47314</v>
      </c>
    </row>
    <row r="9788" spans="1:24">
      <c r="A9788">
        <f>HYPERLINK("https://www.philgeps.gov.ph/GEPSNONPILOT/Tender/SplashBidNoticeAbstractUI.aspx?menuIndex=3&amp;refID=7185455&amp;Result=3","7185455")</f>
        <v>0</v>
      </c>
      <c r="B9788" t="s">
        <v>3004</v>
      </c>
      <c r="C9788" t="s">
        <v>13076</v>
      </c>
      <c r="D9788" t="s">
        <v>19039</v>
      </c>
      <c r="E9788" t="s">
        <v>27447</v>
      </c>
      <c r="F9788" t="s">
        <v>32606</v>
      </c>
      <c r="G9788" t="s">
        <v>32615</v>
      </c>
      <c r="H9788" t="s">
        <v>14201</v>
      </c>
      <c r="I9788" t="s">
        <v>32682</v>
      </c>
      <c r="J9788" t="s">
        <v>32770</v>
      </c>
      <c r="K9788" t="s">
        <v>42636</v>
      </c>
      <c r="M9788" t="s">
        <v>46193</v>
      </c>
      <c r="N9788" t="s">
        <v>47304</v>
      </c>
      <c r="O9788" t="s">
        <v>47305</v>
      </c>
      <c r="P9788">
        <v>0</v>
      </c>
      <c r="Q9788">
        <v>5</v>
      </c>
      <c r="R9788" t="s">
        <v>47313</v>
      </c>
      <c r="S9788" t="s">
        <v>47535</v>
      </c>
      <c r="T9788" t="s">
        <v>49095</v>
      </c>
      <c r="U9788" t="s">
        <v>57569</v>
      </c>
      <c r="V9788" t="s">
        <v>63664</v>
      </c>
      <c r="W9788" t="s">
        <v>46193</v>
      </c>
      <c r="X9788" t="s">
        <v>47314</v>
      </c>
    </row>
    <row r="9789" spans="1:24">
      <c r="A9789">
        <f>HYPERLINK("https://www.philgeps.gov.ph/GEPSNONPILOT/Tender/SplashBidNoticeAbstractUI.aspx?menuIndex=3&amp;refID=7185164&amp;Result=3","7185164")</f>
        <v>0</v>
      </c>
      <c r="B9789" t="s">
        <v>202</v>
      </c>
      <c r="C9789" t="s">
        <v>13077</v>
      </c>
      <c r="D9789" t="s">
        <v>19043</v>
      </c>
      <c r="E9789" t="s">
        <v>27448</v>
      </c>
      <c r="F9789" t="s">
        <v>32606</v>
      </c>
      <c r="G9789" t="s">
        <v>32613</v>
      </c>
      <c r="H9789" t="s">
        <v>14201</v>
      </c>
      <c r="I9789" t="s">
        <v>6931</v>
      </c>
      <c r="J9789" t="s">
        <v>38839</v>
      </c>
      <c r="K9789" t="s">
        <v>42622</v>
      </c>
      <c r="M9789" t="s">
        <v>43103</v>
      </c>
      <c r="N9789" t="s">
        <v>47304</v>
      </c>
      <c r="O9789" t="s">
        <v>47305</v>
      </c>
      <c r="P9789">
        <v>0</v>
      </c>
      <c r="Q9789">
        <v>1</v>
      </c>
      <c r="R9789" t="s">
        <v>47313</v>
      </c>
      <c r="S9789" t="s">
        <v>47535</v>
      </c>
      <c r="T9789" t="s">
        <v>49071</v>
      </c>
      <c r="U9789" t="s">
        <v>53895</v>
      </c>
      <c r="V9789" t="s">
        <v>62694</v>
      </c>
      <c r="W9789" t="s">
        <v>43103</v>
      </c>
      <c r="X9789" t="s">
        <v>47314</v>
      </c>
    </row>
    <row r="9790" spans="1:24">
      <c r="A9790">
        <f>HYPERLINK("https://www.philgeps.gov.ph/GEPSNONPILOT/Tender/SplashBidNoticeAbstractUI.aspx?menuIndex=3&amp;refID=7185453&amp;Result=3","7185453")</f>
        <v>0</v>
      </c>
      <c r="B9790" t="s">
        <v>2998</v>
      </c>
      <c r="C9790" t="s">
        <v>13078</v>
      </c>
      <c r="D9790" t="s">
        <v>18997</v>
      </c>
      <c r="E9790" t="s">
        <v>24290</v>
      </c>
      <c r="F9790" t="s">
        <v>32606</v>
      </c>
      <c r="G9790" t="s">
        <v>32613</v>
      </c>
      <c r="H9790" t="s">
        <v>14201</v>
      </c>
      <c r="I9790" t="s">
        <v>4678</v>
      </c>
      <c r="J9790" t="s">
        <v>38840</v>
      </c>
      <c r="K9790" t="s">
        <v>42623</v>
      </c>
      <c r="M9790" t="s">
        <v>46186</v>
      </c>
      <c r="N9790" t="s">
        <v>47304</v>
      </c>
      <c r="O9790" t="s">
        <v>47305</v>
      </c>
      <c r="P9790">
        <v>0</v>
      </c>
      <c r="Q9790">
        <v>2</v>
      </c>
      <c r="R9790" t="s">
        <v>47313</v>
      </c>
      <c r="S9790" t="s">
        <v>47535</v>
      </c>
      <c r="T9790" t="s">
        <v>49066</v>
      </c>
      <c r="U9790" t="s">
        <v>57621</v>
      </c>
      <c r="V9790" t="s">
        <v>63674</v>
      </c>
      <c r="W9790" t="s">
        <v>46186</v>
      </c>
      <c r="X9790" t="s">
        <v>47314</v>
      </c>
    </row>
    <row r="9791" spans="1:24">
      <c r="A9791">
        <f>HYPERLINK("https://www.philgeps.gov.ph/GEPSNONPILOT/Tender/SplashBidNoticeAbstractUI.aspx?menuIndex=3&amp;refID=7185546&amp;Result=3","7185546")</f>
        <v>0</v>
      </c>
      <c r="B9791" t="s">
        <v>2995</v>
      </c>
      <c r="C9791" t="s">
        <v>13079</v>
      </c>
      <c r="D9791" t="s">
        <v>18987</v>
      </c>
      <c r="E9791" t="s">
        <v>27449</v>
      </c>
      <c r="F9791" t="s">
        <v>32606</v>
      </c>
      <c r="G9791" t="s">
        <v>32613</v>
      </c>
      <c r="H9791" t="s">
        <v>32623</v>
      </c>
      <c r="I9791" t="s">
        <v>17648</v>
      </c>
      <c r="J9791" t="s">
        <v>38841</v>
      </c>
      <c r="K9791" t="s">
        <v>42636</v>
      </c>
      <c r="M9791" t="s">
        <v>46183</v>
      </c>
      <c r="N9791" t="s">
        <v>47304</v>
      </c>
      <c r="O9791" t="s">
        <v>47305</v>
      </c>
      <c r="P9791">
        <v>0</v>
      </c>
      <c r="Q9791">
        <v>2</v>
      </c>
      <c r="R9791" t="s">
        <v>47313</v>
      </c>
      <c r="S9791" t="s">
        <v>47535</v>
      </c>
      <c r="T9791" t="s">
        <v>49111</v>
      </c>
      <c r="U9791" t="s">
        <v>57622</v>
      </c>
      <c r="W9791" t="s">
        <v>46183</v>
      </c>
      <c r="X9791" t="s">
        <v>47314</v>
      </c>
    </row>
    <row r="9792" spans="1:24">
      <c r="A9792">
        <f>HYPERLINK("https://www.philgeps.gov.ph/GEPSNONPILOT/Tender/SplashBidNoticeAbstractUI.aspx?menuIndex=3&amp;refID=7185541&amp;Result=3","7185541")</f>
        <v>0</v>
      </c>
      <c r="B9792" t="s">
        <v>3004</v>
      </c>
      <c r="C9792" t="s">
        <v>13080</v>
      </c>
      <c r="D9792" t="s">
        <v>19039</v>
      </c>
      <c r="E9792" t="s">
        <v>27450</v>
      </c>
      <c r="F9792" t="s">
        <v>32606</v>
      </c>
      <c r="G9792" t="s">
        <v>32615</v>
      </c>
      <c r="H9792" t="s">
        <v>14201</v>
      </c>
      <c r="I9792" t="s">
        <v>9013</v>
      </c>
      <c r="J9792" t="s">
        <v>38842</v>
      </c>
      <c r="K9792" t="s">
        <v>42636</v>
      </c>
      <c r="M9792" t="s">
        <v>46193</v>
      </c>
      <c r="N9792" t="s">
        <v>47304</v>
      </c>
      <c r="O9792" t="s">
        <v>47305</v>
      </c>
      <c r="P9792">
        <v>0</v>
      </c>
      <c r="Q9792">
        <v>4</v>
      </c>
      <c r="R9792" t="s">
        <v>47313</v>
      </c>
      <c r="S9792" t="s">
        <v>47535</v>
      </c>
      <c r="T9792" t="s">
        <v>49095</v>
      </c>
      <c r="U9792" t="s">
        <v>57569</v>
      </c>
      <c r="V9792" t="s">
        <v>63664</v>
      </c>
      <c r="W9792" t="s">
        <v>46193</v>
      </c>
      <c r="X9792" t="s">
        <v>47314</v>
      </c>
    </row>
    <row r="9793" spans="1:24">
      <c r="A9793">
        <f>HYPERLINK("https://www.philgeps.gov.ph/GEPSNONPILOT/Tender/SplashBidNoticeAbstractUI.aspx?menuIndex=3&amp;refID=7185540&amp;Result=3","7185540")</f>
        <v>0</v>
      </c>
      <c r="B9793" t="s">
        <v>1675</v>
      </c>
      <c r="C9793" t="s">
        <v>13081</v>
      </c>
      <c r="D9793" t="s">
        <v>19006</v>
      </c>
      <c r="E9793" t="s">
        <v>27451</v>
      </c>
      <c r="F9793" t="s">
        <v>32606</v>
      </c>
      <c r="G9793" t="s">
        <v>32613</v>
      </c>
      <c r="H9793" t="s">
        <v>32623</v>
      </c>
      <c r="I9793" t="s">
        <v>17648</v>
      </c>
      <c r="J9793" t="s">
        <v>33382</v>
      </c>
      <c r="K9793" t="s">
        <v>42712</v>
      </c>
      <c r="M9793" t="s">
        <v>45930</v>
      </c>
      <c r="N9793" t="s">
        <v>47304</v>
      </c>
      <c r="O9793" t="s">
        <v>47305</v>
      </c>
      <c r="P9793">
        <v>0</v>
      </c>
      <c r="Q9793">
        <v>9</v>
      </c>
      <c r="R9793" t="s">
        <v>47313</v>
      </c>
      <c r="S9793" t="s">
        <v>47535</v>
      </c>
      <c r="T9793" t="s">
        <v>49424</v>
      </c>
      <c r="U9793" t="s">
        <v>57623</v>
      </c>
      <c r="V9793" t="s">
        <v>63675</v>
      </c>
      <c r="W9793" t="s">
        <v>45930</v>
      </c>
      <c r="X9793" t="s">
        <v>47314</v>
      </c>
    </row>
    <row r="9794" spans="1:24">
      <c r="A9794">
        <f>HYPERLINK("https://www.philgeps.gov.ph/GEPSNONPILOT/Tender/SplashBidNoticeAbstractUI.aspx?menuIndex=3&amp;refID=7185538&amp;Result=3","7185538")</f>
        <v>0</v>
      </c>
      <c r="B9794" t="s">
        <v>3013</v>
      </c>
      <c r="C9794" t="s">
        <v>13082</v>
      </c>
      <c r="E9794" t="s">
        <v>27452</v>
      </c>
      <c r="F9794" t="s">
        <v>32606</v>
      </c>
      <c r="G9794" t="s">
        <v>32613</v>
      </c>
      <c r="H9794" t="s">
        <v>32623</v>
      </c>
      <c r="I9794" t="s">
        <v>17648</v>
      </c>
      <c r="J9794" t="s">
        <v>38843</v>
      </c>
      <c r="K9794" t="s">
        <v>42624</v>
      </c>
      <c r="M9794" t="s">
        <v>46204</v>
      </c>
      <c r="N9794" t="s">
        <v>47304</v>
      </c>
      <c r="O9794" t="s">
        <v>47305</v>
      </c>
      <c r="P9794">
        <v>0</v>
      </c>
      <c r="Q9794">
        <v>1</v>
      </c>
      <c r="R9794" t="s">
        <v>47313</v>
      </c>
      <c r="S9794" t="s">
        <v>47535</v>
      </c>
      <c r="T9794" t="s">
        <v>49037</v>
      </c>
      <c r="U9794" t="s">
        <v>57624</v>
      </c>
      <c r="V9794" t="s">
        <v>63676</v>
      </c>
      <c r="W9794" t="s">
        <v>46204</v>
      </c>
      <c r="X9794" t="s">
        <v>47314</v>
      </c>
    </row>
    <row r="9795" spans="1:24">
      <c r="A9795">
        <f>HYPERLINK("https://www.philgeps.gov.ph/GEPSNONPILOT/Tender/SplashBidNoticeAbstractUI.aspx?menuIndex=3&amp;refID=7185535&amp;Result=3","7185535")</f>
        <v>0</v>
      </c>
      <c r="B9795" t="s">
        <v>2420</v>
      </c>
      <c r="C9795" t="s">
        <v>13083</v>
      </c>
      <c r="D9795" t="s">
        <v>19026</v>
      </c>
      <c r="E9795" t="s">
        <v>27453</v>
      </c>
      <c r="F9795" t="s">
        <v>32606</v>
      </c>
      <c r="G9795" t="s">
        <v>32613</v>
      </c>
      <c r="H9795" t="s">
        <v>14201</v>
      </c>
      <c r="I9795" t="s">
        <v>32629</v>
      </c>
      <c r="J9795" t="s">
        <v>38803</v>
      </c>
      <c r="K9795" t="s">
        <v>42631</v>
      </c>
      <c r="M9795" t="s">
        <v>45546</v>
      </c>
      <c r="N9795" t="s">
        <v>47304</v>
      </c>
      <c r="O9795" t="s">
        <v>47305</v>
      </c>
      <c r="P9795">
        <v>0</v>
      </c>
      <c r="Q9795">
        <v>0</v>
      </c>
      <c r="R9795" t="s">
        <v>47313</v>
      </c>
      <c r="S9795" t="s">
        <v>47535</v>
      </c>
      <c r="T9795" t="s">
        <v>49066</v>
      </c>
      <c r="U9795" t="s">
        <v>57573</v>
      </c>
      <c r="V9795" t="s">
        <v>63361</v>
      </c>
      <c r="W9795" t="s">
        <v>45546</v>
      </c>
      <c r="X9795" t="s">
        <v>47314</v>
      </c>
    </row>
    <row r="9796" spans="1:24">
      <c r="A9796">
        <f>HYPERLINK("https://www.philgeps.gov.ph/GEPSNONPILOT/Tender/SplashBidNoticeAbstractUI.aspx?menuIndex=3&amp;refID=7185530&amp;Result=3","7185530")</f>
        <v>0</v>
      </c>
      <c r="B9796" t="s">
        <v>664</v>
      </c>
      <c r="C9796" t="s">
        <v>13084</v>
      </c>
      <c r="E9796" t="s">
        <v>27454</v>
      </c>
      <c r="F9796" t="s">
        <v>32606</v>
      </c>
      <c r="G9796" t="s">
        <v>32613</v>
      </c>
      <c r="H9796" t="s">
        <v>14201</v>
      </c>
      <c r="I9796" t="s">
        <v>6931</v>
      </c>
      <c r="J9796" t="s">
        <v>38844</v>
      </c>
      <c r="K9796" t="s">
        <v>42624</v>
      </c>
      <c r="M9796" t="s">
        <v>43584</v>
      </c>
      <c r="N9796" t="s">
        <v>47304</v>
      </c>
      <c r="O9796" t="s">
        <v>47305</v>
      </c>
      <c r="P9796">
        <v>0</v>
      </c>
      <c r="Q9796">
        <v>1</v>
      </c>
      <c r="R9796" t="s">
        <v>47313</v>
      </c>
      <c r="S9796" t="s">
        <v>47535</v>
      </c>
      <c r="T9796" t="s">
        <v>49071</v>
      </c>
      <c r="U9796" t="s">
        <v>57625</v>
      </c>
      <c r="W9796" t="s">
        <v>43584</v>
      </c>
      <c r="X9796" t="s">
        <v>47314</v>
      </c>
    </row>
    <row r="9797" spans="1:24">
      <c r="A9797">
        <f>HYPERLINK("https://www.philgeps.gov.ph/GEPSNONPILOT/Tender/SplashBidNoticeAbstractUI.aspx?menuIndex=3&amp;refID=7185458&amp;Result=3","7185458")</f>
        <v>0</v>
      </c>
      <c r="B9797" t="s">
        <v>3013</v>
      </c>
      <c r="C9797" t="s">
        <v>13085</v>
      </c>
      <c r="E9797" t="s">
        <v>27455</v>
      </c>
      <c r="F9797" t="s">
        <v>32606</v>
      </c>
      <c r="G9797" t="s">
        <v>32613</v>
      </c>
      <c r="H9797" t="s">
        <v>32623</v>
      </c>
      <c r="I9797" t="s">
        <v>17648</v>
      </c>
      <c r="J9797" t="s">
        <v>38845</v>
      </c>
      <c r="K9797" t="s">
        <v>42624</v>
      </c>
      <c r="M9797" t="s">
        <v>46204</v>
      </c>
      <c r="N9797" t="s">
        <v>47304</v>
      </c>
      <c r="O9797" t="s">
        <v>47305</v>
      </c>
      <c r="P9797">
        <v>0</v>
      </c>
      <c r="Q9797">
        <v>1</v>
      </c>
      <c r="R9797" t="s">
        <v>47313</v>
      </c>
      <c r="S9797" t="s">
        <v>47535</v>
      </c>
      <c r="T9797" t="s">
        <v>49075</v>
      </c>
      <c r="U9797" t="s">
        <v>57626</v>
      </c>
      <c r="V9797" t="s">
        <v>63677</v>
      </c>
      <c r="W9797" t="s">
        <v>46204</v>
      </c>
      <c r="X9797" t="s">
        <v>47314</v>
      </c>
    </row>
    <row r="9798" spans="1:24">
      <c r="A9798">
        <f>HYPERLINK("https://www.philgeps.gov.ph/GEPSNONPILOT/Tender/SplashBidNoticeAbstractUI.aspx?menuIndex=3&amp;refID=7185529&amp;Result=3","7185529")</f>
        <v>0</v>
      </c>
      <c r="B9798" t="s">
        <v>3003</v>
      </c>
      <c r="C9798" t="s">
        <v>13086</v>
      </c>
      <c r="D9798" t="s">
        <v>19039</v>
      </c>
      <c r="E9798" t="s">
        <v>19311</v>
      </c>
      <c r="F9798" t="s">
        <v>32606</v>
      </c>
      <c r="G9798" t="s">
        <v>32614</v>
      </c>
      <c r="H9798" t="s">
        <v>14201</v>
      </c>
      <c r="I9798" t="s">
        <v>13131</v>
      </c>
      <c r="J9798" t="s">
        <v>32885</v>
      </c>
      <c r="K9798" t="s">
        <v>42627</v>
      </c>
      <c r="M9798" t="s">
        <v>46192</v>
      </c>
      <c r="N9798" t="s">
        <v>47304</v>
      </c>
      <c r="O9798" t="s">
        <v>47305</v>
      </c>
      <c r="P9798">
        <v>0</v>
      </c>
      <c r="Q9798">
        <v>6</v>
      </c>
      <c r="R9798" t="s">
        <v>47313</v>
      </c>
      <c r="S9798" t="s">
        <v>47535</v>
      </c>
      <c r="T9798" t="s">
        <v>49010</v>
      </c>
      <c r="U9798" t="s">
        <v>50184</v>
      </c>
      <c r="W9798" t="s">
        <v>46192</v>
      </c>
      <c r="X9798" t="s">
        <v>47314</v>
      </c>
    </row>
    <row r="9799" spans="1:24">
      <c r="A9799">
        <f>HYPERLINK("https://www.philgeps.gov.ph/GEPSNONPILOT/Tender/SplashBidNoticeAbstractUI.aspx?menuIndex=3&amp;refID=7185528&amp;Result=3","7185528")</f>
        <v>0</v>
      </c>
      <c r="B9799" t="s">
        <v>2996</v>
      </c>
      <c r="C9799" t="s">
        <v>13087</v>
      </c>
      <c r="D9799" t="s">
        <v>19005</v>
      </c>
      <c r="E9799" t="s">
        <v>27456</v>
      </c>
      <c r="F9799" t="s">
        <v>32606</v>
      </c>
      <c r="G9799" t="s">
        <v>32613</v>
      </c>
      <c r="H9799" t="s">
        <v>32623</v>
      </c>
      <c r="I9799" t="s">
        <v>32709</v>
      </c>
      <c r="J9799" t="s">
        <v>38846</v>
      </c>
      <c r="K9799" t="s">
        <v>42623</v>
      </c>
      <c r="L9799" t="s">
        <v>2996</v>
      </c>
      <c r="M9799" t="s">
        <v>46184</v>
      </c>
      <c r="N9799" t="s">
        <v>47304</v>
      </c>
      <c r="O9799" t="s">
        <v>47305</v>
      </c>
      <c r="P9799">
        <v>0</v>
      </c>
      <c r="Q9799">
        <v>0</v>
      </c>
      <c r="R9799" t="s">
        <v>47313</v>
      </c>
      <c r="S9799" t="s">
        <v>47535</v>
      </c>
      <c r="T9799" t="s">
        <v>49064</v>
      </c>
      <c r="U9799" t="s">
        <v>57627</v>
      </c>
      <c r="W9799" t="s">
        <v>46184</v>
      </c>
      <c r="X9799" t="s">
        <v>47314</v>
      </c>
    </row>
    <row r="9800" spans="1:24">
      <c r="A9800">
        <f>HYPERLINK("https://www.philgeps.gov.ph/GEPSNONPILOT/Tender/SplashBidNoticeAbstractUI.aspx?menuIndex=3&amp;refID=7185527&amp;Result=3","7185527")</f>
        <v>0</v>
      </c>
      <c r="B9800" t="s">
        <v>3014</v>
      </c>
      <c r="C9800" t="s">
        <v>13088</v>
      </c>
      <c r="D9800" t="s">
        <v>18999</v>
      </c>
      <c r="E9800" t="s">
        <v>27457</v>
      </c>
      <c r="F9800" t="s">
        <v>32606</v>
      </c>
      <c r="G9800" t="s">
        <v>32613</v>
      </c>
      <c r="H9800" t="s">
        <v>32623</v>
      </c>
      <c r="I9800" t="s">
        <v>17648</v>
      </c>
      <c r="J9800" t="s">
        <v>35274</v>
      </c>
      <c r="K9800" t="s">
        <v>42636</v>
      </c>
      <c r="M9800" t="s">
        <v>46205</v>
      </c>
      <c r="N9800" t="s">
        <v>47304</v>
      </c>
      <c r="O9800" t="s">
        <v>47305</v>
      </c>
      <c r="P9800">
        <v>0</v>
      </c>
      <c r="Q9800">
        <v>3</v>
      </c>
      <c r="R9800" t="s">
        <v>47313</v>
      </c>
      <c r="S9800" t="s">
        <v>47535</v>
      </c>
      <c r="T9800" t="s">
        <v>49040</v>
      </c>
      <c r="U9800" t="s">
        <v>57628</v>
      </c>
      <c r="V9800" t="s">
        <v>63678</v>
      </c>
      <c r="W9800" t="s">
        <v>46205</v>
      </c>
      <c r="X9800" t="s">
        <v>47314</v>
      </c>
    </row>
    <row r="9801" spans="1:24">
      <c r="A9801">
        <f>HYPERLINK("https://www.philgeps.gov.ph/GEPSNONPILOT/Tender/SplashBidNoticeAbstractUI.aspx?menuIndex=3&amp;refID=7185525&amp;Result=3","7185525")</f>
        <v>0</v>
      </c>
      <c r="B9801" t="s">
        <v>3013</v>
      </c>
      <c r="C9801" t="s">
        <v>13089</v>
      </c>
      <c r="E9801" t="s">
        <v>27458</v>
      </c>
      <c r="F9801" t="s">
        <v>32606</v>
      </c>
      <c r="G9801" t="s">
        <v>32613</v>
      </c>
      <c r="H9801" t="s">
        <v>32623</v>
      </c>
      <c r="I9801" t="s">
        <v>17648</v>
      </c>
      <c r="J9801" t="s">
        <v>38847</v>
      </c>
      <c r="K9801" t="s">
        <v>42624</v>
      </c>
      <c r="M9801" t="s">
        <v>46204</v>
      </c>
      <c r="N9801" t="s">
        <v>47304</v>
      </c>
      <c r="O9801" t="s">
        <v>47305</v>
      </c>
      <c r="P9801">
        <v>0</v>
      </c>
      <c r="Q9801">
        <v>1</v>
      </c>
      <c r="R9801" t="s">
        <v>47313</v>
      </c>
      <c r="S9801" t="s">
        <v>47535</v>
      </c>
      <c r="T9801" t="s">
        <v>49037</v>
      </c>
      <c r="U9801" t="s">
        <v>57629</v>
      </c>
      <c r="V9801" t="s">
        <v>63679</v>
      </c>
      <c r="W9801" t="s">
        <v>46204</v>
      </c>
      <c r="X9801" t="s">
        <v>47314</v>
      </c>
    </row>
    <row r="9802" spans="1:24">
      <c r="A9802">
        <f>HYPERLINK("https://www.philgeps.gov.ph/GEPSNONPILOT/Tender/SplashBidNoticeAbstractUI.aspx?menuIndex=3&amp;refID=7185524&amp;Result=3","7185524")</f>
        <v>0</v>
      </c>
      <c r="B9802" t="s">
        <v>778</v>
      </c>
      <c r="C9802" t="s">
        <v>13090</v>
      </c>
      <c r="D9802" t="s">
        <v>19012</v>
      </c>
      <c r="E9802" t="s">
        <v>27459</v>
      </c>
      <c r="F9802" t="s">
        <v>32606</v>
      </c>
      <c r="G9802" t="s">
        <v>32613</v>
      </c>
      <c r="H9802" t="s">
        <v>14201</v>
      </c>
      <c r="I9802" t="s">
        <v>7233</v>
      </c>
      <c r="J9802" t="s">
        <v>38848</v>
      </c>
      <c r="K9802" t="s">
        <v>42623</v>
      </c>
      <c r="M9802" t="s">
        <v>43708</v>
      </c>
      <c r="N9802" t="s">
        <v>47304</v>
      </c>
      <c r="O9802" t="s">
        <v>47305</v>
      </c>
      <c r="P9802">
        <v>0</v>
      </c>
      <c r="Q9802">
        <v>1</v>
      </c>
      <c r="R9802" t="s">
        <v>47313</v>
      </c>
      <c r="S9802" t="s">
        <v>47535</v>
      </c>
      <c r="T9802" t="s">
        <v>49050</v>
      </c>
      <c r="U9802" t="s">
        <v>57630</v>
      </c>
      <c r="W9802" t="s">
        <v>43708</v>
      </c>
      <c r="X9802" t="s">
        <v>47314</v>
      </c>
    </row>
    <row r="9803" spans="1:24">
      <c r="A9803">
        <f>HYPERLINK("https://www.philgeps.gov.ph/GEPSNONPILOT/Tender/SplashBidNoticeAbstractUI.aspx?menuIndex=3&amp;refID=7185518&amp;Result=3","7185518")</f>
        <v>0</v>
      </c>
      <c r="B9803" t="s">
        <v>635</v>
      </c>
      <c r="C9803" t="s">
        <v>13091</v>
      </c>
      <c r="E9803" t="s">
        <v>27460</v>
      </c>
      <c r="F9803" t="s">
        <v>32606</v>
      </c>
      <c r="G9803" t="s">
        <v>32613</v>
      </c>
      <c r="H9803" t="s">
        <v>32623</v>
      </c>
      <c r="I9803" t="s">
        <v>32675</v>
      </c>
      <c r="J9803" t="s">
        <v>38849</v>
      </c>
      <c r="K9803" t="s">
        <v>42624</v>
      </c>
      <c r="M9803" t="s">
        <v>43553</v>
      </c>
      <c r="N9803" t="s">
        <v>47304</v>
      </c>
      <c r="O9803" t="s">
        <v>47305</v>
      </c>
      <c r="P9803">
        <v>0</v>
      </c>
      <c r="Q9803">
        <v>5</v>
      </c>
      <c r="R9803" t="s">
        <v>47313</v>
      </c>
      <c r="S9803" t="s">
        <v>47535</v>
      </c>
      <c r="T9803" t="s">
        <v>48995</v>
      </c>
      <c r="U9803" t="s">
        <v>57631</v>
      </c>
      <c r="W9803" t="s">
        <v>64444</v>
      </c>
      <c r="X9803" t="s">
        <v>47314</v>
      </c>
    </row>
    <row r="9804" spans="1:24">
      <c r="A9804">
        <f>HYPERLINK("https://www.philgeps.gov.ph/GEPSNONPILOT/Tender/SplashBidNoticeAbstractUI.aspx?menuIndex=3&amp;refID=7185514&amp;Result=3","7185514")</f>
        <v>0</v>
      </c>
      <c r="B9804" t="s">
        <v>1110</v>
      </c>
      <c r="C9804" t="s">
        <v>13092</v>
      </c>
      <c r="D9804" t="s">
        <v>19057</v>
      </c>
      <c r="E9804" t="s">
        <v>27461</v>
      </c>
      <c r="F9804" t="s">
        <v>32606</v>
      </c>
      <c r="G9804" t="s">
        <v>32613</v>
      </c>
      <c r="H9804" t="s">
        <v>32623</v>
      </c>
      <c r="I9804" t="s">
        <v>17648</v>
      </c>
      <c r="J9804" t="s">
        <v>38850</v>
      </c>
      <c r="K9804" t="s">
        <v>42744</v>
      </c>
      <c r="M9804" t="s">
        <v>46170</v>
      </c>
      <c r="N9804" t="s">
        <v>47304</v>
      </c>
      <c r="O9804" t="s">
        <v>47305</v>
      </c>
      <c r="P9804">
        <v>0</v>
      </c>
      <c r="Q9804">
        <v>1</v>
      </c>
      <c r="R9804" t="s">
        <v>47313</v>
      </c>
      <c r="S9804" t="s">
        <v>47535</v>
      </c>
      <c r="T9804" t="s">
        <v>49040</v>
      </c>
      <c r="U9804" t="s">
        <v>57632</v>
      </c>
      <c r="V9804" t="s">
        <v>63659</v>
      </c>
      <c r="W9804" t="s">
        <v>46170</v>
      </c>
      <c r="X9804" t="s">
        <v>47314</v>
      </c>
    </row>
    <row r="9805" spans="1:24">
      <c r="A9805">
        <f>HYPERLINK("https://www.philgeps.gov.ph/GEPSNONPILOT/Tender/SplashBidNoticeAbstractUI.aspx?menuIndex=3&amp;refID=7185437&amp;Result=3","7185437")</f>
        <v>0</v>
      </c>
      <c r="B9805" t="s">
        <v>2831</v>
      </c>
      <c r="C9805" t="s">
        <v>13093</v>
      </c>
      <c r="D9805" t="s">
        <v>19013</v>
      </c>
      <c r="E9805" t="s">
        <v>27462</v>
      </c>
      <c r="F9805" t="s">
        <v>32606</v>
      </c>
      <c r="G9805" t="s">
        <v>32614</v>
      </c>
      <c r="H9805" t="s">
        <v>14201</v>
      </c>
      <c r="I9805" t="s">
        <v>6993</v>
      </c>
      <c r="J9805" t="s">
        <v>32981</v>
      </c>
      <c r="K9805" t="s">
        <v>42677</v>
      </c>
      <c r="M9805" t="s">
        <v>45996</v>
      </c>
      <c r="N9805" t="s">
        <v>47304</v>
      </c>
      <c r="O9805" t="s">
        <v>47305</v>
      </c>
      <c r="P9805">
        <v>0</v>
      </c>
      <c r="Q9805">
        <v>0</v>
      </c>
      <c r="R9805" t="s">
        <v>47313</v>
      </c>
      <c r="S9805" t="s">
        <v>47535</v>
      </c>
      <c r="T9805" t="s">
        <v>49071</v>
      </c>
      <c r="U9805" t="s">
        <v>57633</v>
      </c>
      <c r="W9805" t="s">
        <v>45996</v>
      </c>
      <c r="X9805" t="s">
        <v>47314</v>
      </c>
    </row>
    <row r="9806" spans="1:24">
      <c r="A9806">
        <f>HYPERLINK("https://www.philgeps.gov.ph/GEPSNONPILOT/Tender/SplashBidNoticeAbstractUI.aspx?menuIndex=3&amp;refID=7185509&amp;Result=3","7185509")</f>
        <v>0</v>
      </c>
      <c r="B9806" t="s">
        <v>2998</v>
      </c>
      <c r="C9806" t="s">
        <v>13094</v>
      </c>
      <c r="D9806" t="s">
        <v>18997</v>
      </c>
      <c r="E9806" t="s">
        <v>25401</v>
      </c>
      <c r="F9806" t="s">
        <v>32606</v>
      </c>
      <c r="G9806" t="s">
        <v>32613</v>
      </c>
      <c r="H9806" t="s">
        <v>14201</v>
      </c>
      <c r="I9806" t="s">
        <v>32626</v>
      </c>
      <c r="J9806" t="s">
        <v>38851</v>
      </c>
      <c r="K9806" t="s">
        <v>42623</v>
      </c>
      <c r="M9806" t="s">
        <v>46186</v>
      </c>
      <c r="N9806" t="s">
        <v>47304</v>
      </c>
      <c r="O9806" t="s">
        <v>47305</v>
      </c>
      <c r="P9806">
        <v>0</v>
      </c>
      <c r="Q9806">
        <v>1</v>
      </c>
      <c r="R9806" t="s">
        <v>47313</v>
      </c>
      <c r="S9806" t="s">
        <v>47535</v>
      </c>
      <c r="T9806" t="s">
        <v>49066</v>
      </c>
      <c r="U9806" t="s">
        <v>57634</v>
      </c>
      <c r="V9806" t="s">
        <v>63680</v>
      </c>
      <c r="W9806" t="s">
        <v>46186</v>
      </c>
      <c r="X9806" t="s">
        <v>47314</v>
      </c>
    </row>
    <row r="9807" spans="1:24">
      <c r="A9807">
        <f>HYPERLINK("https://www.philgeps.gov.ph/GEPSNONPILOT/Tender/SplashBidNoticeAbstractUI.aspx?menuIndex=3&amp;refID=7185481&amp;Result=3","7185481")</f>
        <v>0</v>
      </c>
      <c r="B9807" t="s">
        <v>3003</v>
      </c>
      <c r="C9807" t="s">
        <v>13095</v>
      </c>
      <c r="D9807" t="s">
        <v>19039</v>
      </c>
      <c r="E9807" t="s">
        <v>20998</v>
      </c>
      <c r="F9807" t="s">
        <v>32606</v>
      </c>
      <c r="G9807" t="s">
        <v>32614</v>
      </c>
      <c r="H9807" t="s">
        <v>14201</v>
      </c>
      <c r="I9807" t="s">
        <v>13131</v>
      </c>
      <c r="J9807" t="s">
        <v>35562</v>
      </c>
      <c r="K9807" t="s">
        <v>42627</v>
      </c>
      <c r="M9807" t="s">
        <v>46192</v>
      </c>
      <c r="N9807" t="s">
        <v>47304</v>
      </c>
      <c r="O9807" t="s">
        <v>47305</v>
      </c>
      <c r="P9807">
        <v>0</v>
      </c>
      <c r="Q9807">
        <v>6</v>
      </c>
      <c r="R9807" t="s">
        <v>47313</v>
      </c>
      <c r="S9807" t="s">
        <v>47535</v>
      </c>
      <c r="T9807" t="s">
        <v>49010</v>
      </c>
      <c r="U9807" t="s">
        <v>50184</v>
      </c>
      <c r="W9807" t="s">
        <v>46192</v>
      </c>
      <c r="X9807" t="s">
        <v>47314</v>
      </c>
    </row>
    <row r="9808" spans="1:24">
      <c r="A9808">
        <f>HYPERLINK("https://www.philgeps.gov.ph/GEPSNONPILOT/Tender/SplashBidNoticeAbstractUI.aspx?menuIndex=3&amp;refID=7185501&amp;Result=3","7185501")</f>
        <v>0</v>
      </c>
      <c r="B9808" t="s">
        <v>3013</v>
      </c>
      <c r="C9808" t="s">
        <v>13096</v>
      </c>
      <c r="E9808" t="s">
        <v>27463</v>
      </c>
      <c r="F9808" t="s">
        <v>32606</v>
      </c>
      <c r="G9808" t="s">
        <v>32613</v>
      </c>
      <c r="H9808" t="s">
        <v>32623</v>
      </c>
      <c r="I9808" t="s">
        <v>17648</v>
      </c>
      <c r="J9808" t="s">
        <v>38843</v>
      </c>
      <c r="K9808" t="s">
        <v>42624</v>
      </c>
      <c r="M9808" t="s">
        <v>46204</v>
      </c>
      <c r="N9808" t="s">
        <v>47304</v>
      </c>
      <c r="O9808" t="s">
        <v>47305</v>
      </c>
      <c r="P9808">
        <v>0</v>
      </c>
      <c r="Q9808">
        <v>2</v>
      </c>
      <c r="R9808" t="s">
        <v>47313</v>
      </c>
      <c r="S9808" t="s">
        <v>47535</v>
      </c>
      <c r="T9808" t="s">
        <v>49075</v>
      </c>
      <c r="U9808" t="s">
        <v>57635</v>
      </c>
      <c r="V9808" t="s">
        <v>63681</v>
      </c>
      <c r="W9808" t="s">
        <v>46204</v>
      </c>
      <c r="X9808" t="s">
        <v>47314</v>
      </c>
    </row>
    <row r="9809" spans="1:24">
      <c r="A9809">
        <f>HYPERLINK("https://www.philgeps.gov.ph/GEPSNONPILOT/Tender/SplashBidNoticeAbstractUI.aspx?menuIndex=3&amp;refID=7185496&amp;Result=3","7185496")</f>
        <v>0</v>
      </c>
      <c r="B9809" t="s">
        <v>271</v>
      </c>
      <c r="C9809" t="s">
        <v>13097</v>
      </c>
      <c r="D9809" t="s">
        <v>19040</v>
      </c>
      <c r="E9809" t="s">
        <v>25401</v>
      </c>
      <c r="F9809" t="s">
        <v>32606</v>
      </c>
      <c r="G9809" t="s">
        <v>32613</v>
      </c>
      <c r="H9809" t="s">
        <v>14201</v>
      </c>
      <c r="I9809" t="s">
        <v>32646</v>
      </c>
      <c r="J9809" t="s">
        <v>38852</v>
      </c>
      <c r="K9809" t="s">
        <v>42631</v>
      </c>
      <c r="M9809" t="s">
        <v>46206</v>
      </c>
      <c r="N9809" t="s">
        <v>47304</v>
      </c>
      <c r="O9809" t="s">
        <v>47305</v>
      </c>
      <c r="P9809">
        <v>0</v>
      </c>
      <c r="Q9809">
        <v>5</v>
      </c>
      <c r="R9809" t="s">
        <v>47313</v>
      </c>
      <c r="S9809" t="s">
        <v>47535</v>
      </c>
      <c r="T9809" t="s">
        <v>49425</v>
      </c>
      <c r="U9809" t="s">
        <v>57636</v>
      </c>
      <c r="W9809" t="s">
        <v>46206</v>
      </c>
      <c r="X9809" t="s">
        <v>47314</v>
      </c>
    </row>
    <row r="9810" spans="1:24">
      <c r="A9810">
        <f>HYPERLINK("https://www.philgeps.gov.ph/GEPSNONPILOT/Tender/SplashBidNoticeAbstractUI.aspx?menuIndex=3&amp;refID=7185499&amp;Result=3","7185499")</f>
        <v>0</v>
      </c>
      <c r="B9810" t="s">
        <v>3015</v>
      </c>
      <c r="C9810" t="s">
        <v>13098</v>
      </c>
      <c r="D9810" t="s">
        <v>19044</v>
      </c>
      <c r="E9810" t="s">
        <v>21126</v>
      </c>
      <c r="F9810" t="s">
        <v>32606</v>
      </c>
      <c r="G9810" t="s">
        <v>32613</v>
      </c>
      <c r="H9810" t="s">
        <v>14201</v>
      </c>
      <c r="I9810" t="s">
        <v>6931</v>
      </c>
      <c r="J9810" t="s">
        <v>38853</v>
      </c>
      <c r="K9810" t="s">
        <v>42632</v>
      </c>
      <c r="M9810" t="s">
        <v>46207</v>
      </c>
      <c r="N9810" t="s">
        <v>47304</v>
      </c>
      <c r="O9810" t="s">
        <v>47305</v>
      </c>
      <c r="P9810">
        <v>0</v>
      </c>
      <c r="Q9810">
        <v>0</v>
      </c>
      <c r="R9810" t="s">
        <v>47313</v>
      </c>
      <c r="S9810" t="s">
        <v>47535</v>
      </c>
      <c r="T9810" t="s">
        <v>49268</v>
      </c>
      <c r="U9810" t="s">
        <v>57637</v>
      </c>
      <c r="W9810" t="s">
        <v>46207</v>
      </c>
      <c r="X9810" t="s">
        <v>47314</v>
      </c>
    </row>
    <row r="9811" spans="1:24">
      <c r="A9811">
        <f>HYPERLINK("https://www.philgeps.gov.ph/GEPSNONPILOT/Tender/SplashBidNoticeAbstractUI.aspx?menuIndex=3&amp;refID=7185521&amp;Result=3","7185521")</f>
        <v>0</v>
      </c>
      <c r="B9811" t="s">
        <v>3016</v>
      </c>
      <c r="C9811" t="s">
        <v>13099</v>
      </c>
      <c r="D9811" t="s">
        <v>19011</v>
      </c>
      <c r="E9811" t="s">
        <v>27464</v>
      </c>
      <c r="F9811" t="s">
        <v>32606</v>
      </c>
      <c r="G9811" t="s">
        <v>32613</v>
      </c>
      <c r="H9811" t="s">
        <v>32624</v>
      </c>
      <c r="I9811" t="s">
        <v>6931</v>
      </c>
      <c r="J9811" t="s">
        <v>32765</v>
      </c>
      <c r="K9811" t="s">
        <v>42623</v>
      </c>
      <c r="M9811" t="s">
        <v>46208</v>
      </c>
      <c r="N9811" t="s">
        <v>47304</v>
      </c>
      <c r="O9811" t="s">
        <v>47305</v>
      </c>
      <c r="P9811">
        <v>0</v>
      </c>
      <c r="Q9811">
        <v>1</v>
      </c>
      <c r="R9811" t="s">
        <v>47313</v>
      </c>
      <c r="S9811" t="s">
        <v>47535</v>
      </c>
      <c r="T9811" t="s">
        <v>49050</v>
      </c>
      <c r="U9811" t="s">
        <v>57638</v>
      </c>
      <c r="W9811" t="s">
        <v>46208</v>
      </c>
      <c r="X9811" t="s">
        <v>47314</v>
      </c>
    </row>
    <row r="9812" spans="1:24">
      <c r="A9812">
        <f>HYPERLINK("https://www.philgeps.gov.ph/GEPSNONPILOT/Tender/SplashBidNoticeAbstractUI.aspx?menuIndex=3&amp;refID=7185440&amp;Result=3","7185440")</f>
        <v>0</v>
      </c>
      <c r="B9812" t="s">
        <v>3017</v>
      </c>
      <c r="C9812" t="s">
        <v>13100</v>
      </c>
      <c r="D9812" t="s">
        <v>19015</v>
      </c>
      <c r="E9812" t="s">
        <v>27465</v>
      </c>
      <c r="F9812" t="s">
        <v>32606</v>
      </c>
      <c r="G9812" t="s">
        <v>32613</v>
      </c>
      <c r="H9812" t="s">
        <v>32623</v>
      </c>
      <c r="I9812" t="s">
        <v>17648</v>
      </c>
      <c r="J9812" t="s">
        <v>38854</v>
      </c>
      <c r="K9812" t="s">
        <v>42631</v>
      </c>
      <c r="M9812" t="s">
        <v>46209</v>
      </c>
      <c r="N9812" t="s">
        <v>47304</v>
      </c>
      <c r="O9812" t="s">
        <v>47305</v>
      </c>
      <c r="P9812">
        <v>0</v>
      </c>
      <c r="Q9812">
        <v>3</v>
      </c>
      <c r="R9812" t="s">
        <v>47313</v>
      </c>
      <c r="S9812" t="s">
        <v>47535</v>
      </c>
      <c r="T9812" t="s">
        <v>49023</v>
      </c>
      <c r="U9812" t="s">
        <v>57639</v>
      </c>
      <c r="V9812" t="s">
        <v>63682</v>
      </c>
      <c r="W9812" t="s">
        <v>46209</v>
      </c>
      <c r="X9812" t="s">
        <v>47314</v>
      </c>
    </row>
    <row r="9813" spans="1:24">
      <c r="A9813">
        <f>HYPERLINK("https://www.philgeps.gov.ph/GEPSNONPILOT/Tender/SplashBidNoticeAbstractUI.aspx?menuIndex=3&amp;refID=7185491&amp;Result=3","7185491")</f>
        <v>0</v>
      </c>
      <c r="B9813" t="s">
        <v>629</v>
      </c>
      <c r="C9813" t="s">
        <v>13101</v>
      </c>
      <c r="D9813" t="s">
        <v>19024</v>
      </c>
      <c r="E9813" t="s">
        <v>27466</v>
      </c>
      <c r="F9813" t="s">
        <v>32606</v>
      </c>
      <c r="G9813" t="s">
        <v>32615</v>
      </c>
      <c r="H9813" t="s">
        <v>32625</v>
      </c>
      <c r="I9813" t="s">
        <v>32663</v>
      </c>
      <c r="J9813" t="s">
        <v>32861</v>
      </c>
      <c r="K9813" t="s">
        <v>42631</v>
      </c>
      <c r="M9813" t="s">
        <v>43547</v>
      </c>
      <c r="N9813" t="s">
        <v>47304</v>
      </c>
      <c r="O9813" t="s">
        <v>47305</v>
      </c>
      <c r="P9813">
        <v>0</v>
      </c>
      <c r="Q9813">
        <v>4</v>
      </c>
      <c r="R9813" t="s">
        <v>47313</v>
      </c>
      <c r="S9813" t="s">
        <v>47535</v>
      </c>
      <c r="T9813" t="s">
        <v>48971</v>
      </c>
      <c r="U9813" t="s">
        <v>57640</v>
      </c>
      <c r="W9813" t="s">
        <v>43547</v>
      </c>
      <c r="X9813" t="s">
        <v>47314</v>
      </c>
    </row>
    <row r="9814" spans="1:24">
      <c r="A9814">
        <f>HYPERLINK("https://www.philgeps.gov.ph/GEPSNONPILOT/Tender/SplashBidNoticeAbstractUI.aspx?menuIndex=3&amp;refID=7185161&amp;Result=3","7185161")</f>
        <v>0</v>
      </c>
      <c r="B9814" t="s">
        <v>3018</v>
      </c>
      <c r="C9814" t="s">
        <v>13102</v>
      </c>
      <c r="D9814" t="s">
        <v>19018</v>
      </c>
      <c r="E9814" t="s">
        <v>20122</v>
      </c>
      <c r="F9814" t="s">
        <v>32606</v>
      </c>
      <c r="G9814" t="s">
        <v>32613</v>
      </c>
      <c r="H9814" t="s">
        <v>14201</v>
      </c>
      <c r="I9814" t="s">
        <v>32626</v>
      </c>
      <c r="J9814" t="s">
        <v>38855</v>
      </c>
      <c r="K9814" t="s">
        <v>42623</v>
      </c>
      <c r="M9814" t="s">
        <v>46210</v>
      </c>
      <c r="N9814" t="s">
        <v>47304</v>
      </c>
      <c r="O9814" t="s">
        <v>47305</v>
      </c>
      <c r="P9814">
        <v>0</v>
      </c>
      <c r="Q9814">
        <v>0</v>
      </c>
      <c r="R9814" t="s">
        <v>47313</v>
      </c>
      <c r="S9814" t="s">
        <v>47535</v>
      </c>
      <c r="T9814" t="s">
        <v>48971</v>
      </c>
      <c r="U9814" t="s">
        <v>57641</v>
      </c>
      <c r="W9814" t="s">
        <v>46210</v>
      </c>
      <c r="X9814" t="s">
        <v>47314</v>
      </c>
    </row>
    <row r="9815" spans="1:24">
      <c r="A9815">
        <f>HYPERLINK("https://www.philgeps.gov.ph/GEPSNONPILOT/Tender/SplashBidNoticeAbstractUI.aspx?menuIndex=3&amp;refID=7185512&amp;Result=3","7185512")</f>
        <v>0</v>
      </c>
      <c r="B9815" t="s">
        <v>3019</v>
      </c>
      <c r="C9815" t="s">
        <v>13103</v>
      </c>
      <c r="D9815" t="s">
        <v>19008</v>
      </c>
      <c r="E9815" t="s">
        <v>27467</v>
      </c>
      <c r="F9815" t="s">
        <v>32606</v>
      </c>
      <c r="G9815" t="s">
        <v>32613</v>
      </c>
      <c r="H9815" t="s">
        <v>14201</v>
      </c>
      <c r="I9815" t="s">
        <v>6931</v>
      </c>
      <c r="J9815" t="s">
        <v>38856</v>
      </c>
      <c r="K9815" t="s">
        <v>42631</v>
      </c>
      <c r="M9815" t="s">
        <v>46211</v>
      </c>
      <c r="N9815" t="s">
        <v>47304</v>
      </c>
      <c r="O9815" t="s">
        <v>47305</v>
      </c>
      <c r="P9815">
        <v>0</v>
      </c>
      <c r="Q9815">
        <v>0</v>
      </c>
      <c r="R9815" t="s">
        <v>47313</v>
      </c>
      <c r="S9815" t="s">
        <v>47535</v>
      </c>
      <c r="T9815" t="s">
        <v>49426</v>
      </c>
      <c r="U9815" t="s">
        <v>57642</v>
      </c>
      <c r="V9815" t="s">
        <v>62760</v>
      </c>
      <c r="W9815" t="s">
        <v>46211</v>
      </c>
      <c r="X9815" t="s">
        <v>47314</v>
      </c>
    </row>
    <row r="9816" spans="1:24">
      <c r="A9816">
        <f>HYPERLINK("https://www.philgeps.gov.ph/GEPSNONPILOT/Tender/SplashBidNoticeAbstractUI.aspx?menuIndex=3&amp;refID=7185155&amp;Result=3","7185155")</f>
        <v>0</v>
      </c>
      <c r="B9816" t="s">
        <v>2982</v>
      </c>
      <c r="C9816" t="s">
        <v>13104</v>
      </c>
      <c r="D9816" t="s">
        <v>19006</v>
      </c>
      <c r="E9816" t="s">
        <v>27468</v>
      </c>
      <c r="F9816" t="s">
        <v>32606</v>
      </c>
      <c r="G9816" t="s">
        <v>32613</v>
      </c>
      <c r="H9816" t="s">
        <v>32623</v>
      </c>
      <c r="I9816" t="s">
        <v>17648</v>
      </c>
      <c r="J9816" t="s">
        <v>38857</v>
      </c>
      <c r="K9816" t="s">
        <v>42648</v>
      </c>
      <c r="M9816" t="s">
        <v>46169</v>
      </c>
      <c r="N9816" t="s">
        <v>47304</v>
      </c>
      <c r="O9816" t="s">
        <v>47305</v>
      </c>
      <c r="P9816">
        <v>0</v>
      </c>
      <c r="Q9816">
        <v>0</v>
      </c>
      <c r="R9816" t="s">
        <v>47313</v>
      </c>
      <c r="S9816" t="s">
        <v>47535</v>
      </c>
      <c r="T9816" t="s">
        <v>49080</v>
      </c>
      <c r="U9816" t="s">
        <v>57643</v>
      </c>
      <c r="W9816" t="s">
        <v>46169</v>
      </c>
      <c r="X9816" t="s">
        <v>47314</v>
      </c>
    </row>
    <row r="9817" spans="1:24">
      <c r="A9817">
        <f>HYPERLINK("https://www.philgeps.gov.ph/GEPSNONPILOT/Tender/SplashBidNoticeAbstractUI.aspx?menuIndex=3&amp;refID=7185450&amp;Result=3","7185450")</f>
        <v>0</v>
      </c>
      <c r="B9817" t="s">
        <v>2420</v>
      </c>
      <c r="C9817" t="s">
        <v>13105</v>
      </c>
      <c r="D9817" t="s">
        <v>19026</v>
      </c>
      <c r="E9817" t="s">
        <v>27469</v>
      </c>
      <c r="F9817" t="s">
        <v>32606</v>
      </c>
      <c r="G9817" t="s">
        <v>32613</v>
      </c>
      <c r="H9817" t="s">
        <v>14201</v>
      </c>
      <c r="I9817" t="s">
        <v>32629</v>
      </c>
      <c r="J9817" t="s">
        <v>38803</v>
      </c>
      <c r="K9817" t="s">
        <v>42631</v>
      </c>
      <c r="M9817" t="s">
        <v>45546</v>
      </c>
      <c r="N9817" t="s">
        <v>47304</v>
      </c>
      <c r="O9817" t="s">
        <v>47305</v>
      </c>
      <c r="P9817">
        <v>0</v>
      </c>
      <c r="Q9817">
        <v>0</v>
      </c>
      <c r="R9817" t="s">
        <v>47313</v>
      </c>
      <c r="S9817" t="s">
        <v>47535</v>
      </c>
      <c r="T9817" t="s">
        <v>49066</v>
      </c>
      <c r="U9817" t="s">
        <v>57573</v>
      </c>
      <c r="V9817" t="s">
        <v>63361</v>
      </c>
      <c r="W9817" t="s">
        <v>45546</v>
      </c>
      <c r="X9817" t="s">
        <v>47314</v>
      </c>
    </row>
    <row r="9818" spans="1:24">
      <c r="A9818">
        <f>HYPERLINK("https://www.philgeps.gov.ph/GEPSNONPILOT/Tender/SplashBidNoticeAbstractUI.aspx?menuIndex=3&amp;refID=7185590&amp;Result=3","7185590")</f>
        <v>0</v>
      </c>
      <c r="B9818" t="s">
        <v>1399</v>
      </c>
      <c r="C9818" t="s">
        <v>13106</v>
      </c>
      <c r="D9818" t="s">
        <v>19043</v>
      </c>
      <c r="E9818" t="s">
        <v>27470</v>
      </c>
      <c r="F9818" t="s">
        <v>32606</v>
      </c>
      <c r="G9818" t="s">
        <v>32613</v>
      </c>
      <c r="H9818" t="s">
        <v>14201</v>
      </c>
      <c r="I9818" t="s">
        <v>6931</v>
      </c>
      <c r="J9818" t="s">
        <v>32949</v>
      </c>
      <c r="K9818" t="s">
        <v>42624</v>
      </c>
      <c r="M9818" t="s">
        <v>44383</v>
      </c>
      <c r="N9818" t="s">
        <v>47304</v>
      </c>
      <c r="O9818" t="s">
        <v>47305</v>
      </c>
      <c r="P9818">
        <v>0</v>
      </c>
      <c r="Q9818">
        <v>1</v>
      </c>
      <c r="R9818" t="s">
        <v>47313</v>
      </c>
      <c r="S9818" t="s">
        <v>47535</v>
      </c>
      <c r="T9818" t="s">
        <v>49140</v>
      </c>
      <c r="U9818" t="s">
        <v>57644</v>
      </c>
      <c r="W9818" t="s">
        <v>44383</v>
      </c>
      <c r="X9818" t="s">
        <v>47314</v>
      </c>
    </row>
    <row r="9819" spans="1:24">
      <c r="A9819">
        <f>HYPERLINK("https://www.philgeps.gov.ph/GEPSNONPILOT/Tender/SplashBidNoticeAbstractUI.aspx?menuIndex=3&amp;refID=7185588&amp;Result=3","7185588")</f>
        <v>0</v>
      </c>
      <c r="B9819" t="s">
        <v>1228</v>
      </c>
      <c r="C9819" t="s">
        <v>13107</v>
      </c>
      <c r="D9819" t="s">
        <v>19048</v>
      </c>
      <c r="E9819" t="s">
        <v>27471</v>
      </c>
      <c r="F9819" t="s">
        <v>32606</v>
      </c>
      <c r="G9819" t="s">
        <v>32613</v>
      </c>
      <c r="H9819" t="s">
        <v>14201</v>
      </c>
      <c r="I9819" t="s">
        <v>7677</v>
      </c>
      <c r="J9819" t="s">
        <v>38858</v>
      </c>
      <c r="K9819" t="s">
        <v>42632</v>
      </c>
      <c r="M9819" t="s">
        <v>44193</v>
      </c>
      <c r="N9819" t="s">
        <v>47304</v>
      </c>
      <c r="O9819" t="s">
        <v>47305</v>
      </c>
      <c r="P9819">
        <v>0</v>
      </c>
      <c r="Q9819">
        <v>3</v>
      </c>
      <c r="R9819" t="s">
        <v>47313</v>
      </c>
      <c r="S9819" t="s">
        <v>47535</v>
      </c>
      <c r="T9819" t="s">
        <v>49427</v>
      </c>
      <c r="U9819" t="s">
        <v>57379</v>
      </c>
      <c r="W9819" t="s">
        <v>44193</v>
      </c>
      <c r="X9819" t="s">
        <v>47314</v>
      </c>
    </row>
    <row r="9820" spans="1:24">
      <c r="A9820">
        <f>HYPERLINK("https://www.philgeps.gov.ph/GEPSNONPILOT/Tender/SplashBidNoticeAbstractUI.aspx?menuIndex=3&amp;refID=7185598&amp;Result=3","7185598")</f>
        <v>0</v>
      </c>
      <c r="B9820" t="s">
        <v>2993</v>
      </c>
      <c r="C9820" t="s">
        <v>13108</v>
      </c>
      <c r="D9820" t="s">
        <v>19038</v>
      </c>
      <c r="E9820" t="s">
        <v>27472</v>
      </c>
      <c r="F9820" t="s">
        <v>32606</v>
      </c>
      <c r="G9820" t="s">
        <v>32613</v>
      </c>
      <c r="H9820" t="s">
        <v>32623</v>
      </c>
      <c r="I9820" t="s">
        <v>17648</v>
      </c>
      <c r="J9820" t="s">
        <v>32756</v>
      </c>
      <c r="K9820" t="s">
        <v>42834</v>
      </c>
      <c r="M9820" t="s">
        <v>46181</v>
      </c>
      <c r="N9820" t="s">
        <v>47304</v>
      </c>
      <c r="O9820" t="s">
        <v>47305</v>
      </c>
      <c r="P9820">
        <v>0</v>
      </c>
      <c r="Q9820">
        <v>0</v>
      </c>
      <c r="R9820" t="s">
        <v>47313</v>
      </c>
      <c r="S9820" t="s">
        <v>47535</v>
      </c>
      <c r="T9820" t="s">
        <v>49234</v>
      </c>
      <c r="U9820" t="s">
        <v>57645</v>
      </c>
      <c r="W9820" t="s">
        <v>46181</v>
      </c>
      <c r="X9820" t="s">
        <v>47314</v>
      </c>
    </row>
    <row r="9821" spans="1:24">
      <c r="A9821">
        <f>HYPERLINK("https://www.philgeps.gov.ph/GEPSNONPILOT/Tender/SplashBidNoticeAbstractUI.aspx?menuIndex=3&amp;refID=7185587&amp;Result=3","7185587")</f>
        <v>0</v>
      </c>
      <c r="B9821" t="s">
        <v>3020</v>
      </c>
      <c r="C9821" t="s">
        <v>13109</v>
      </c>
      <c r="D9821" t="s">
        <v>19018</v>
      </c>
      <c r="E9821" t="s">
        <v>27473</v>
      </c>
      <c r="F9821" t="s">
        <v>32606</v>
      </c>
      <c r="G9821" t="s">
        <v>32613</v>
      </c>
      <c r="H9821" t="s">
        <v>14201</v>
      </c>
      <c r="I9821" t="s">
        <v>6931</v>
      </c>
      <c r="J9821" t="s">
        <v>38859</v>
      </c>
      <c r="K9821" t="s">
        <v>42623</v>
      </c>
      <c r="L9821" t="s">
        <v>3020</v>
      </c>
      <c r="M9821" t="s">
        <v>46212</v>
      </c>
      <c r="N9821" t="s">
        <v>47304</v>
      </c>
      <c r="O9821" t="s">
        <v>47305</v>
      </c>
      <c r="P9821">
        <v>0</v>
      </c>
      <c r="Q9821">
        <v>0</v>
      </c>
      <c r="R9821" t="s">
        <v>47313</v>
      </c>
      <c r="S9821" t="s">
        <v>47535</v>
      </c>
      <c r="T9821" t="s">
        <v>49071</v>
      </c>
      <c r="U9821" t="s">
        <v>57646</v>
      </c>
      <c r="W9821" t="s">
        <v>46212</v>
      </c>
      <c r="X9821" t="s">
        <v>47314</v>
      </c>
    </row>
    <row r="9822" spans="1:24">
      <c r="A9822">
        <f>HYPERLINK("https://www.philgeps.gov.ph/GEPSNONPILOT/Tender/SplashBidNoticeAbstractUI.aspx?menuIndex=3&amp;refID=7185585&amp;Result=3","7185585")</f>
        <v>0</v>
      </c>
      <c r="B9822" t="s">
        <v>3021</v>
      </c>
      <c r="C9822" t="s">
        <v>13110</v>
      </c>
      <c r="D9822" t="s">
        <v>19067</v>
      </c>
      <c r="E9822" t="s">
        <v>27474</v>
      </c>
      <c r="F9822" t="s">
        <v>32606</v>
      </c>
      <c r="G9822" t="s">
        <v>32613</v>
      </c>
      <c r="H9822" t="s">
        <v>14201</v>
      </c>
      <c r="I9822" t="s">
        <v>4120</v>
      </c>
      <c r="J9822" t="s">
        <v>33861</v>
      </c>
      <c r="K9822" t="s">
        <v>42631</v>
      </c>
      <c r="M9822" t="s">
        <v>46213</v>
      </c>
      <c r="N9822" t="s">
        <v>47304</v>
      </c>
      <c r="O9822" t="s">
        <v>47305</v>
      </c>
      <c r="P9822">
        <v>0</v>
      </c>
      <c r="Q9822">
        <v>1</v>
      </c>
      <c r="R9822" t="s">
        <v>47313</v>
      </c>
      <c r="S9822" t="s">
        <v>47535</v>
      </c>
      <c r="T9822" t="s">
        <v>49268</v>
      </c>
      <c r="U9822" t="s">
        <v>57647</v>
      </c>
      <c r="W9822" t="s">
        <v>46213</v>
      </c>
      <c r="X9822" t="s">
        <v>47314</v>
      </c>
    </row>
    <row r="9823" spans="1:24">
      <c r="A9823">
        <f>HYPERLINK("https://www.philgeps.gov.ph/GEPSNONPILOT/Tender/SplashBidNoticeAbstractUI.aspx?menuIndex=3&amp;refID=7185584&amp;Result=3","7185584")</f>
        <v>0</v>
      </c>
      <c r="B9823" t="s">
        <v>2831</v>
      </c>
      <c r="C9823" t="s">
        <v>13111</v>
      </c>
      <c r="D9823" t="s">
        <v>19013</v>
      </c>
      <c r="E9823" t="s">
        <v>27475</v>
      </c>
      <c r="F9823" t="s">
        <v>32606</v>
      </c>
      <c r="G9823" t="s">
        <v>32614</v>
      </c>
      <c r="H9823" t="s">
        <v>14201</v>
      </c>
      <c r="I9823" t="s">
        <v>6298</v>
      </c>
      <c r="J9823" t="s">
        <v>38860</v>
      </c>
      <c r="K9823" t="s">
        <v>42627</v>
      </c>
      <c r="M9823" t="s">
        <v>45996</v>
      </c>
      <c r="N9823" t="s">
        <v>47304</v>
      </c>
      <c r="O9823" t="s">
        <v>47305</v>
      </c>
      <c r="P9823">
        <v>0</v>
      </c>
      <c r="Q9823">
        <v>1</v>
      </c>
      <c r="R9823" t="s">
        <v>47313</v>
      </c>
      <c r="S9823" t="s">
        <v>47535</v>
      </c>
      <c r="T9823" t="s">
        <v>49071</v>
      </c>
      <c r="U9823" t="s">
        <v>57648</v>
      </c>
      <c r="W9823" t="s">
        <v>45996</v>
      </c>
      <c r="X9823" t="s">
        <v>47314</v>
      </c>
    </row>
    <row r="9824" spans="1:24">
      <c r="A9824">
        <f>HYPERLINK("https://www.philgeps.gov.ph/GEPSNONPILOT/Tender/SplashBidNoticeAbstractUI.aspx?menuIndex=3&amp;refID=7185582&amp;Result=3","7185582")</f>
        <v>0</v>
      </c>
      <c r="B9824" t="s">
        <v>2204</v>
      </c>
      <c r="C9824" t="s">
        <v>13112</v>
      </c>
      <c r="E9824" t="s">
        <v>27476</v>
      </c>
      <c r="F9824" t="s">
        <v>32606</v>
      </c>
      <c r="G9824" t="s">
        <v>32613</v>
      </c>
      <c r="H9824" t="s">
        <v>14201</v>
      </c>
      <c r="I9824" t="s">
        <v>7064</v>
      </c>
      <c r="J9824" t="s">
        <v>32830</v>
      </c>
      <c r="K9824" t="s">
        <v>42624</v>
      </c>
      <c r="M9824" t="s">
        <v>45308</v>
      </c>
      <c r="N9824" t="s">
        <v>47304</v>
      </c>
      <c r="O9824" t="s">
        <v>47305</v>
      </c>
      <c r="Q9824">
        <v>2</v>
      </c>
      <c r="R9824" t="s">
        <v>47313</v>
      </c>
      <c r="S9824" t="s">
        <v>47567</v>
      </c>
      <c r="T9824" t="s">
        <v>49055</v>
      </c>
      <c r="U9824" t="s">
        <v>57649</v>
      </c>
      <c r="W9824" t="s">
        <v>45308</v>
      </c>
      <c r="X9824" t="s">
        <v>47314</v>
      </c>
    </row>
    <row r="9825" spans="1:24">
      <c r="A9825">
        <f>HYPERLINK("https://www.philgeps.gov.ph/GEPSNONPILOT/Tender/SplashBidNoticeAbstractUI.aspx?menuIndex=3&amp;refID=7185581&amp;Result=3","7185581")</f>
        <v>0</v>
      </c>
      <c r="B9825" t="s">
        <v>2782</v>
      </c>
      <c r="C9825" t="s">
        <v>13113</v>
      </c>
      <c r="D9825" t="s">
        <v>18992</v>
      </c>
      <c r="E9825" t="s">
        <v>27477</v>
      </c>
      <c r="F9825" t="s">
        <v>32606</v>
      </c>
      <c r="G9825" t="s">
        <v>32613</v>
      </c>
      <c r="H9825" t="s">
        <v>14201</v>
      </c>
      <c r="I9825" t="s">
        <v>32706</v>
      </c>
      <c r="J9825" t="s">
        <v>38861</v>
      </c>
      <c r="K9825" t="s">
        <v>42622</v>
      </c>
      <c r="M9825" t="s">
        <v>46157</v>
      </c>
      <c r="N9825" t="s">
        <v>47304</v>
      </c>
      <c r="O9825" t="s">
        <v>47305</v>
      </c>
      <c r="P9825">
        <v>0</v>
      </c>
      <c r="Q9825">
        <v>3</v>
      </c>
      <c r="R9825" t="s">
        <v>47313</v>
      </c>
      <c r="S9825" t="s">
        <v>47535</v>
      </c>
      <c r="T9825" t="s">
        <v>49347</v>
      </c>
      <c r="U9825" t="s">
        <v>57650</v>
      </c>
      <c r="W9825" t="s">
        <v>46157</v>
      </c>
      <c r="X9825" t="s">
        <v>47314</v>
      </c>
    </row>
    <row r="9826" spans="1:24">
      <c r="A9826">
        <f>HYPERLINK("https://www.philgeps.gov.ph/GEPSNONPILOT/Tender/SplashBidNoticeAbstractUI.aspx?menuIndex=3&amp;refID=7185579&amp;Result=3","7185579")</f>
        <v>0</v>
      </c>
      <c r="B9826" t="s">
        <v>2115</v>
      </c>
      <c r="C9826" t="s">
        <v>13114</v>
      </c>
      <c r="D9826" t="s">
        <v>19008</v>
      </c>
      <c r="E9826" t="s">
        <v>27478</v>
      </c>
      <c r="F9826" t="s">
        <v>32606</v>
      </c>
      <c r="G9826" t="s">
        <v>32613</v>
      </c>
      <c r="H9826" t="s">
        <v>14201</v>
      </c>
      <c r="I9826" t="s">
        <v>6993</v>
      </c>
      <c r="J9826" t="s">
        <v>38862</v>
      </c>
      <c r="K9826" t="s">
        <v>42638</v>
      </c>
      <c r="M9826" t="s">
        <v>45601</v>
      </c>
      <c r="N9826" t="s">
        <v>47304</v>
      </c>
      <c r="O9826" t="s">
        <v>47305</v>
      </c>
      <c r="P9826">
        <v>0</v>
      </c>
      <c r="Q9826">
        <v>0</v>
      </c>
      <c r="R9826" t="s">
        <v>47313</v>
      </c>
      <c r="S9826" t="s">
        <v>47535</v>
      </c>
      <c r="T9826" t="s">
        <v>48992</v>
      </c>
      <c r="U9826" t="s">
        <v>57651</v>
      </c>
      <c r="V9826" t="s">
        <v>62846</v>
      </c>
      <c r="W9826" t="s">
        <v>45601</v>
      </c>
      <c r="X9826" t="s">
        <v>47314</v>
      </c>
    </row>
    <row r="9827" spans="1:24">
      <c r="A9827">
        <f>HYPERLINK("https://www.philgeps.gov.ph/GEPSNONPILOT/Tender/SplashBidNoticeAbstractUI.aspx?menuIndex=3&amp;refID=7185443&amp;Result=3","7185443")</f>
        <v>0</v>
      </c>
      <c r="B9827" t="s">
        <v>2930</v>
      </c>
      <c r="C9827" t="s">
        <v>13115</v>
      </c>
      <c r="D9827" t="s">
        <v>19002</v>
      </c>
      <c r="E9827" t="s">
        <v>27479</v>
      </c>
      <c r="F9827" t="s">
        <v>32609</v>
      </c>
      <c r="G9827" t="s">
        <v>32619</v>
      </c>
      <c r="H9827" t="s">
        <v>14201</v>
      </c>
      <c r="I9827" t="s">
        <v>7064</v>
      </c>
      <c r="J9827" t="s">
        <v>38863</v>
      </c>
      <c r="K9827" t="s">
        <v>42648</v>
      </c>
      <c r="M9827" t="s">
        <v>46110</v>
      </c>
      <c r="N9827" t="s">
        <v>47304</v>
      </c>
      <c r="O9827" t="s">
        <v>47305</v>
      </c>
      <c r="P9827">
        <v>0</v>
      </c>
      <c r="Q9827">
        <v>6</v>
      </c>
      <c r="R9827" t="s">
        <v>47313</v>
      </c>
      <c r="S9827" t="s">
        <v>47535</v>
      </c>
      <c r="T9827" t="s">
        <v>48996</v>
      </c>
      <c r="U9827" t="s">
        <v>57652</v>
      </c>
      <c r="W9827" t="s">
        <v>46110</v>
      </c>
      <c r="X9827" t="s">
        <v>47314</v>
      </c>
    </row>
    <row r="9828" spans="1:24">
      <c r="A9828">
        <f>HYPERLINK("https://www.philgeps.gov.ph/GEPSNONPILOT/Tender/SplashBidNoticeAbstractUI.aspx?menuIndex=3&amp;refID=7185577&amp;Result=3","7185577")</f>
        <v>0</v>
      </c>
      <c r="B9828" t="s">
        <v>3013</v>
      </c>
      <c r="C9828" t="s">
        <v>13116</v>
      </c>
      <c r="E9828" t="s">
        <v>27480</v>
      </c>
      <c r="F9828" t="s">
        <v>32606</v>
      </c>
      <c r="G9828" t="s">
        <v>32613</v>
      </c>
      <c r="H9828" t="s">
        <v>14201</v>
      </c>
      <c r="I9828" t="s">
        <v>32664</v>
      </c>
      <c r="J9828" t="s">
        <v>38864</v>
      </c>
      <c r="K9828" t="s">
        <v>42624</v>
      </c>
      <c r="M9828" t="s">
        <v>46204</v>
      </c>
      <c r="N9828" t="s">
        <v>47304</v>
      </c>
      <c r="O9828" t="s">
        <v>47305</v>
      </c>
      <c r="P9828">
        <v>0</v>
      </c>
      <c r="Q9828">
        <v>13</v>
      </c>
      <c r="R9828" t="s">
        <v>47313</v>
      </c>
      <c r="S9828" t="s">
        <v>47535</v>
      </c>
      <c r="T9828" t="s">
        <v>49075</v>
      </c>
      <c r="U9828" t="s">
        <v>57653</v>
      </c>
      <c r="V9828" t="s">
        <v>63683</v>
      </c>
      <c r="W9828" t="s">
        <v>46204</v>
      </c>
      <c r="X9828" t="s">
        <v>47314</v>
      </c>
    </row>
    <row r="9829" spans="1:24">
      <c r="A9829">
        <f>HYPERLINK("https://www.philgeps.gov.ph/GEPSNONPILOT/Tender/SplashBidNoticeAbstractUI.aspx?menuIndex=3&amp;refID=7185565&amp;Result=3","7185565")</f>
        <v>0</v>
      </c>
      <c r="B9829" t="s">
        <v>3022</v>
      </c>
      <c r="C9829" t="s">
        <v>13117</v>
      </c>
      <c r="D9829" t="s">
        <v>19006</v>
      </c>
      <c r="E9829" t="s">
        <v>27481</v>
      </c>
      <c r="F9829" t="s">
        <v>32606</v>
      </c>
      <c r="G9829" t="s">
        <v>32614</v>
      </c>
      <c r="H9829" t="s">
        <v>14201</v>
      </c>
      <c r="I9829" t="s">
        <v>32631</v>
      </c>
      <c r="J9829" t="s">
        <v>38865</v>
      </c>
      <c r="K9829" t="s">
        <v>42624</v>
      </c>
      <c r="M9829" t="s">
        <v>46214</v>
      </c>
      <c r="N9829" t="s">
        <v>47304</v>
      </c>
      <c r="O9829" t="s">
        <v>47305</v>
      </c>
      <c r="P9829">
        <v>0</v>
      </c>
      <c r="Q9829">
        <v>2</v>
      </c>
      <c r="R9829" t="s">
        <v>47313</v>
      </c>
      <c r="S9829" t="s">
        <v>47535</v>
      </c>
      <c r="T9829" t="s">
        <v>49020</v>
      </c>
      <c r="U9829" t="s">
        <v>57654</v>
      </c>
      <c r="W9829" t="s">
        <v>46214</v>
      </c>
      <c r="X9829" t="s">
        <v>47314</v>
      </c>
    </row>
    <row r="9830" spans="1:24">
      <c r="A9830">
        <f>HYPERLINK("https://www.philgeps.gov.ph/GEPSNONPILOT/Tender/SplashBidNoticeAbstractUI.aspx?menuIndex=3&amp;refID=7185601&amp;Result=3","7185601")</f>
        <v>0</v>
      </c>
      <c r="B9830" t="s">
        <v>2420</v>
      </c>
      <c r="C9830" t="s">
        <v>13118</v>
      </c>
      <c r="D9830" t="s">
        <v>19026</v>
      </c>
      <c r="E9830" t="s">
        <v>27482</v>
      </c>
      <c r="F9830" t="s">
        <v>32606</v>
      </c>
      <c r="G9830" t="s">
        <v>32613</v>
      </c>
      <c r="H9830" t="s">
        <v>14201</v>
      </c>
      <c r="I9830" t="s">
        <v>32629</v>
      </c>
      <c r="J9830" t="s">
        <v>38803</v>
      </c>
      <c r="K9830" t="s">
        <v>42631</v>
      </c>
      <c r="M9830" t="s">
        <v>45546</v>
      </c>
      <c r="N9830" t="s">
        <v>47304</v>
      </c>
      <c r="O9830" t="s">
        <v>47305</v>
      </c>
      <c r="P9830">
        <v>0</v>
      </c>
      <c r="Q9830">
        <v>0</v>
      </c>
      <c r="R9830" t="s">
        <v>47313</v>
      </c>
      <c r="S9830" t="s">
        <v>47535</v>
      </c>
      <c r="T9830" t="s">
        <v>49066</v>
      </c>
      <c r="U9830" t="s">
        <v>57573</v>
      </c>
      <c r="V9830" t="s">
        <v>63361</v>
      </c>
      <c r="W9830" t="s">
        <v>45546</v>
      </c>
      <c r="X9830" t="s">
        <v>47314</v>
      </c>
    </row>
    <row r="9831" spans="1:24">
      <c r="A9831">
        <f>HYPERLINK("https://www.philgeps.gov.ph/GEPSNONPILOT/Tender/SplashBidNoticeAbstractUI.aspx?menuIndex=3&amp;refID=7185653&amp;Result=3","7185653")</f>
        <v>0</v>
      </c>
      <c r="B9831" t="s">
        <v>3023</v>
      </c>
      <c r="C9831" t="s">
        <v>13119</v>
      </c>
      <c r="D9831" t="s">
        <v>19008</v>
      </c>
      <c r="E9831" t="s">
        <v>27483</v>
      </c>
      <c r="F9831" t="s">
        <v>32606</v>
      </c>
      <c r="G9831" t="s">
        <v>32613</v>
      </c>
      <c r="H9831" t="s">
        <v>32623</v>
      </c>
      <c r="I9831" t="s">
        <v>17648</v>
      </c>
      <c r="J9831" t="s">
        <v>33263</v>
      </c>
      <c r="K9831" t="s">
        <v>42624</v>
      </c>
      <c r="M9831" t="s">
        <v>46215</v>
      </c>
      <c r="N9831" t="s">
        <v>47304</v>
      </c>
      <c r="O9831" t="s">
        <v>47305</v>
      </c>
      <c r="P9831">
        <v>0</v>
      </c>
      <c r="Q9831">
        <v>1</v>
      </c>
      <c r="R9831" t="s">
        <v>47313</v>
      </c>
      <c r="S9831" t="s">
        <v>47535</v>
      </c>
      <c r="T9831" t="s">
        <v>48998</v>
      </c>
      <c r="U9831" t="s">
        <v>57655</v>
      </c>
      <c r="W9831" t="s">
        <v>46215</v>
      </c>
      <c r="X9831" t="s">
        <v>47314</v>
      </c>
    </row>
    <row r="9832" spans="1:24">
      <c r="A9832">
        <f>HYPERLINK("https://www.philgeps.gov.ph/GEPSNONPILOT/Tender/SplashBidNoticeAbstractUI.aspx?menuIndex=3&amp;refID=7185648&amp;Result=3","7185648")</f>
        <v>0</v>
      </c>
      <c r="B9832" t="s">
        <v>3024</v>
      </c>
      <c r="C9832" t="s">
        <v>13120</v>
      </c>
      <c r="D9832" t="s">
        <v>19039</v>
      </c>
      <c r="E9832" t="s">
        <v>27484</v>
      </c>
      <c r="F9832" t="s">
        <v>32606</v>
      </c>
      <c r="G9832" t="s">
        <v>32614</v>
      </c>
      <c r="H9832" t="s">
        <v>14201</v>
      </c>
      <c r="I9832" t="s">
        <v>32628</v>
      </c>
      <c r="J9832" t="s">
        <v>33861</v>
      </c>
      <c r="K9832" t="s">
        <v>42624</v>
      </c>
      <c r="M9832" t="s">
        <v>46216</v>
      </c>
      <c r="N9832" t="s">
        <v>47304</v>
      </c>
      <c r="O9832" t="s">
        <v>47305</v>
      </c>
      <c r="Q9832">
        <v>1</v>
      </c>
      <c r="R9832" t="s">
        <v>47313</v>
      </c>
      <c r="S9832" t="s">
        <v>47568</v>
      </c>
      <c r="T9832" t="s">
        <v>49020</v>
      </c>
      <c r="U9832" t="s">
        <v>57656</v>
      </c>
      <c r="W9832" t="s">
        <v>46216</v>
      </c>
      <c r="X9832" t="s">
        <v>47314</v>
      </c>
    </row>
    <row r="9833" spans="1:24">
      <c r="A9833">
        <f>HYPERLINK("https://www.philgeps.gov.ph/GEPSNONPILOT/Tender/SplashBidNoticeAbstractUI.aspx?menuIndex=3&amp;refID=7185641&amp;Result=3","7185641")</f>
        <v>0</v>
      </c>
      <c r="B9833" t="s">
        <v>3025</v>
      </c>
      <c r="C9833" t="s">
        <v>13121</v>
      </c>
      <c r="D9833" t="s">
        <v>19034</v>
      </c>
      <c r="E9833" t="s">
        <v>27485</v>
      </c>
      <c r="F9833" t="s">
        <v>32606</v>
      </c>
      <c r="G9833" t="s">
        <v>32613</v>
      </c>
      <c r="H9833" t="s">
        <v>32623</v>
      </c>
      <c r="I9833" t="s">
        <v>32659</v>
      </c>
      <c r="J9833" t="s">
        <v>32770</v>
      </c>
      <c r="K9833" t="s">
        <v>42623</v>
      </c>
      <c r="M9833" t="s">
        <v>46217</v>
      </c>
      <c r="N9833" t="s">
        <v>47304</v>
      </c>
      <c r="O9833" t="s">
        <v>47305</v>
      </c>
      <c r="P9833">
        <v>0</v>
      </c>
      <c r="Q9833">
        <v>2</v>
      </c>
      <c r="R9833" t="s">
        <v>47313</v>
      </c>
      <c r="S9833" t="s">
        <v>47535</v>
      </c>
      <c r="T9833" t="s">
        <v>49075</v>
      </c>
      <c r="U9833" t="s">
        <v>57657</v>
      </c>
      <c r="W9833" t="s">
        <v>46217</v>
      </c>
      <c r="X9833" t="s">
        <v>47314</v>
      </c>
    </row>
    <row r="9834" spans="1:24">
      <c r="A9834">
        <f>HYPERLINK("https://www.philgeps.gov.ph/GEPSNONPILOT/Tender/SplashBidNoticeAbstractUI.aspx?menuIndex=3&amp;refID=7185633&amp;Result=3","7185633")</f>
        <v>0</v>
      </c>
      <c r="B9834" t="s">
        <v>1617</v>
      </c>
      <c r="C9834" t="s">
        <v>13122</v>
      </c>
      <c r="D9834" t="s">
        <v>19019</v>
      </c>
      <c r="E9834" t="s">
        <v>27486</v>
      </c>
      <c r="F9834" t="s">
        <v>32606</v>
      </c>
      <c r="G9834" t="s">
        <v>32613</v>
      </c>
      <c r="H9834" t="s">
        <v>14201</v>
      </c>
      <c r="I9834" t="s">
        <v>32660</v>
      </c>
      <c r="J9834" t="s">
        <v>34435</v>
      </c>
      <c r="K9834" t="s">
        <v>42631</v>
      </c>
      <c r="M9834" t="s">
        <v>44637</v>
      </c>
      <c r="N9834" t="s">
        <v>47304</v>
      </c>
      <c r="O9834" t="s">
        <v>47305</v>
      </c>
      <c r="P9834">
        <v>0</v>
      </c>
      <c r="Q9834">
        <v>1</v>
      </c>
      <c r="R9834" t="s">
        <v>47313</v>
      </c>
      <c r="S9834" t="s">
        <v>47535</v>
      </c>
      <c r="T9834" t="s">
        <v>49040</v>
      </c>
      <c r="U9834" t="s">
        <v>57658</v>
      </c>
      <c r="W9834" t="s">
        <v>44637</v>
      </c>
      <c r="X9834" t="s">
        <v>47314</v>
      </c>
    </row>
    <row r="9835" spans="1:24">
      <c r="A9835">
        <f>HYPERLINK("https://www.philgeps.gov.ph/GEPSNONPILOT/Tender/SplashBidNoticeAbstractUI.aspx?menuIndex=3&amp;refID=7185594&amp;Result=3","7185594")</f>
        <v>0</v>
      </c>
      <c r="B9835" t="s">
        <v>3026</v>
      </c>
      <c r="C9835" t="s">
        <v>13123</v>
      </c>
      <c r="D9835" t="s">
        <v>18994</v>
      </c>
      <c r="E9835" t="s">
        <v>27487</v>
      </c>
      <c r="F9835" t="s">
        <v>32606</v>
      </c>
      <c r="G9835" t="s">
        <v>32613</v>
      </c>
      <c r="H9835" t="s">
        <v>32623</v>
      </c>
      <c r="I9835" t="s">
        <v>17648</v>
      </c>
      <c r="J9835" t="s">
        <v>38866</v>
      </c>
      <c r="K9835" t="s">
        <v>42712</v>
      </c>
      <c r="M9835" t="s">
        <v>46218</v>
      </c>
      <c r="N9835" t="s">
        <v>47304</v>
      </c>
      <c r="O9835" t="s">
        <v>47305</v>
      </c>
      <c r="P9835">
        <v>0</v>
      </c>
      <c r="Q9835">
        <v>3</v>
      </c>
      <c r="R9835" t="s">
        <v>47313</v>
      </c>
      <c r="S9835" t="s">
        <v>47535</v>
      </c>
      <c r="T9835" t="s">
        <v>49009</v>
      </c>
      <c r="U9835" t="s">
        <v>57659</v>
      </c>
      <c r="W9835" t="s">
        <v>46218</v>
      </c>
      <c r="X9835" t="s">
        <v>47314</v>
      </c>
    </row>
    <row r="9836" spans="1:24">
      <c r="A9836">
        <f>HYPERLINK("https://www.philgeps.gov.ph/GEPSNONPILOT/Tender/SplashBidNoticeAbstractUI.aspx?menuIndex=3&amp;refID=7185578&amp;Result=3","7185578")</f>
        <v>0</v>
      </c>
      <c r="B9836" t="s">
        <v>3027</v>
      </c>
      <c r="C9836" t="s">
        <v>13124</v>
      </c>
      <c r="D9836" t="s">
        <v>19019</v>
      </c>
      <c r="E9836" t="s">
        <v>25388</v>
      </c>
      <c r="F9836" t="s">
        <v>32606</v>
      </c>
      <c r="G9836" t="s">
        <v>32613</v>
      </c>
      <c r="H9836" t="s">
        <v>14201</v>
      </c>
      <c r="I9836" t="s">
        <v>32693</v>
      </c>
      <c r="J9836" t="s">
        <v>38867</v>
      </c>
      <c r="K9836" t="s">
        <v>42623</v>
      </c>
      <c r="M9836" t="s">
        <v>46219</v>
      </c>
      <c r="N9836" t="s">
        <v>47304</v>
      </c>
      <c r="O9836" t="s">
        <v>47305</v>
      </c>
      <c r="P9836">
        <v>0</v>
      </c>
      <c r="Q9836">
        <v>3</v>
      </c>
      <c r="R9836" t="s">
        <v>47313</v>
      </c>
      <c r="S9836" t="s">
        <v>47535</v>
      </c>
      <c r="T9836" t="s">
        <v>49234</v>
      </c>
      <c r="U9836" t="s">
        <v>57660</v>
      </c>
      <c r="V9836" t="s">
        <v>63684</v>
      </c>
      <c r="W9836" t="s">
        <v>46219</v>
      </c>
      <c r="X9836" t="s">
        <v>47314</v>
      </c>
    </row>
    <row r="9837" spans="1:24">
      <c r="A9837">
        <f>HYPERLINK("https://www.philgeps.gov.ph/GEPSNONPILOT/Tender/SplashBidNoticeAbstractUI.aspx?menuIndex=3&amp;refID=7185630&amp;Result=3","7185630")</f>
        <v>0</v>
      </c>
      <c r="B9837" t="s">
        <v>778</v>
      </c>
      <c r="C9837" t="s">
        <v>13125</v>
      </c>
      <c r="D9837" t="s">
        <v>18991</v>
      </c>
      <c r="E9837" t="s">
        <v>27488</v>
      </c>
      <c r="F9837" t="s">
        <v>32606</v>
      </c>
      <c r="G9837" t="s">
        <v>32613</v>
      </c>
      <c r="H9837" t="s">
        <v>14201</v>
      </c>
      <c r="I9837" t="s">
        <v>32661</v>
      </c>
      <c r="J9837" t="s">
        <v>37218</v>
      </c>
      <c r="K9837" t="s">
        <v>42623</v>
      </c>
      <c r="M9837" t="s">
        <v>43708</v>
      </c>
      <c r="N9837" t="s">
        <v>47304</v>
      </c>
      <c r="O9837" t="s">
        <v>47305</v>
      </c>
      <c r="P9837">
        <v>0</v>
      </c>
      <c r="Q9837">
        <v>0</v>
      </c>
      <c r="R9837" t="s">
        <v>47313</v>
      </c>
      <c r="S9837" t="s">
        <v>47535</v>
      </c>
      <c r="T9837" t="s">
        <v>49017</v>
      </c>
      <c r="U9837" t="s">
        <v>57661</v>
      </c>
      <c r="W9837" t="s">
        <v>43708</v>
      </c>
      <c r="X9837" t="s">
        <v>47314</v>
      </c>
    </row>
    <row r="9838" spans="1:24">
      <c r="A9838">
        <f>HYPERLINK("https://www.philgeps.gov.ph/GEPSNONPILOT/Tender/SplashBidNoticeAbstractUI.aspx?menuIndex=3&amp;refID=7185163&amp;Result=3","7185163")</f>
        <v>0</v>
      </c>
      <c r="B9838" t="s">
        <v>1230</v>
      </c>
      <c r="C9838" t="s">
        <v>13126</v>
      </c>
      <c r="D9838" t="s">
        <v>19024</v>
      </c>
      <c r="E9838" t="s">
        <v>19561</v>
      </c>
      <c r="F9838" t="s">
        <v>32606</v>
      </c>
      <c r="G9838" t="s">
        <v>32613</v>
      </c>
      <c r="H9838" t="s">
        <v>14201</v>
      </c>
      <c r="I9838" t="s">
        <v>6931</v>
      </c>
      <c r="J9838" t="s">
        <v>38868</v>
      </c>
      <c r="K9838" t="s">
        <v>42639</v>
      </c>
      <c r="M9838" t="s">
        <v>44195</v>
      </c>
      <c r="N9838" t="s">
        <v>47304</v>
      </c>
      <c r="O9838" t="s">
        <v>47305</v>
      </c>
      <c r="P9838">
        <v>0</v>
      </c>
      <c r="Q9838">
        <v>1</v>
      </c>
      <c r="R9838" t="s">
        <v>47313</v>
      </c>
      <c r="S9838" t="s">
        <v>47535</v>
      </c>
      <c r="T9838" t="s">
        <v>49023</v>
      </c>
      <c r="U9838" t="s">
        <v>57662</v>
      </c>
      <c r="W9838" t="s">
        <v>44195</v>
      </c>
      <c r="X9838" t="s">
        <v>47314</v>
      </c>
    </row>
    <row r="9839" spans="1:24">
      <c r="A9839">
        <f>HYPERLINK("https://www.philgeps.gov.ph/GEPSNONPILOT/Tender/SplashBidNoticeAbstractUI.aspx?menuIndex=3&amp;refID=7185629&amp;Result=3","7185629")</f>
        <v>0</v>
      </c>
      <c r="B9839" t="s">
        <v>2831</v>
      </c>
      <c r="C9839" t="s">
        <v>13127</v>
      </c>
      <c r="D9839" t="s">
        <v>19013</v>
      </c>
      <c r="E9839" t="s">
        <v>27489</v>
      </c>
      <c r="F9839" t="s">
        <v>32606</v>
      </c>
      <c r="G9839" t="s">
        <v>32614</v>
      </c>
      <c r="H9839" t="s">
        <v>14201</v>
      </c>
      <c r="I9839" t="s">
        <v>4678</v>
      </c>
      <c r="J9839" t="s">
        <v>33362</v>
      </c>
      <c r="K9839" t="s">
        <v>42627</v>
      </c>
      <c r="M9839" t="s">
        <v>45996</v>
      </c>
      <c r="N9839" t="s">
        <v>47304</v>
      </c>
      <c r="O9839" t="s">
        <v>47305</v>
      </c>
      <c r="P9839">
        <v>0</v>
      </c>
      <c r="Q9839">
        <v>5</v>
      </c>
      <c r="R9839" t="s">
        <v>47313</v>
      </c>
      <c r="S9839" t="s">
        <v>47535</v>
      </c>
      <c r="T9839" t="s">
        <v>49071</v>
      </c>
      <c r="U9839" t="s">
        <v>57663</v>
      </c>
      <c r="W9839" t="s">
        <v>45996</v>
      </c>
      <c r="X9839" t="s">
        <v>47314</v>
      </c>
    </row>
    <row r="9840" spans="1:24">
      <c r="A9840">
        <f>HYPERLINK("https://www.philgeps.gov.ph/GEPSNONPILOT/Tender/SplashBidNoticeAbstractUI.aspx?menuIndex=3&amp;refID=7185627&amp;Result=3","7185627")</f>
        <v>0</v>
      </c>
      <c r="B9840" t="s">
        <v>496</v>
      </c>
      <c r="C9840" t="s">
        <v>13128</v>
      </c>
      <c r="E9840" t="s">
        <v>27490</v>
      </c>
      <c r="F9840" t="s">
        <v>32606</v>
      </c>
      <c r="G9840" t="s">
        <v>32614</v>
      </c>
      <c r="H9840" t="s">
        <v>14201</v>
      </c>
      <c r="I9840" t="s">
        <v>32654</v>
      </c>
      <c r="J9840" t="s">
        <v>33038</v>
      </c>
      <c r="K9840" t="s">
        <v>42631</v>
      </c>
      <c r="M9840" t="s">
        <v>45233</v>
      </c>
      <c r="N9840" t="s">
        <v>47304</v>
      </c>
      <c r="O9840" t="s">
        <v>47305</v>
      </c>
      <c r="P9840">
        <v>0</v>
      </c>
      <c r="Q9840">
        <v>0</v>
      </c>
      <c r="R9840" t="s">
        <v>47313</v>
      </c>
      <c r="S9840" t="s">
        <v>47535</v>
      </c>
      <c r="T9840" t="s">
        <v>48997</v>
      </c>
      <c r="U9840" t="s">
        <v>57664</v>
      </c>
      <c r="W9840" t="s">
        <v>64494</v>
      </c>
      <c r="X9840" t="s">
        <v>47314</v>
      </c>
    </row>
    <row r="9841" spans="1:24">
      <c r="A9841">
        <f>HYPERLINK("https://www.philgeps.gov.ph/GEPSNONPILOT/Tender/SplashBidNoticeAbstractUI.aspx?menuIndex=3&amp;refID=7185625&amp;Result=3","7185625")</f>
        <v>0</v>
      </c>
      <c r="B9841" t="s">
        <v>2993</v>
      </c>
      <c r="C9841" t="s">
        <v>13129</v>
      </c>
      <c r="D9841" t="s">
        <v>19038</v>
      </c>
      <c r="E9841" t="s">
        <v>27491</v>
      </c>
      <c r="F9841" t="s">
        <v>32606</v>
      </c>
      <c r="G9841" t="s">
        <v>32613</v>
      </c>
      <c r="H9841" t="s">
        <v>32623</v>
      </c>
      <c r="I9841" t="s">
        <v>17648</v>
      </c>
      <c r="J9841" t="s">
        <v>32795</v>
      </c>
      <c r="K9841" t="s">
        <v>42646</v>
      </c>
      <c r="M9841" t="s">
        <v>46181</v>
      </c>
      <c r="N9841" t="s">
        <v>47304</v>
      </c>
      <c r="O9841" t="s">
        <v>47305</v>
      </c>
      <c r="P9841">
        <v>0</v>
      </c>
      <c r="Q9841">
        <v>0</v>
      </c>
      <c r="R9841" t="s">
        <v>47313</v>
      </c>
      <c r="S9841" t="s">
        <v>47535</v>
      </c>
      <c r="T9841" t="s">
        <v>49234</v>
      </c>
      <c r="U9841" t="s">
        <v>57665</v>
      </c>
      <c r="W9841" t="s">
        <v>46181</v>
      </c>
      <c r="X9841" t="s">
        <v>47314</v>
      </c>
    </row>
    <row r="9842" spans="1:24">
      <c r="A9842">
        <f>HYPERLINK("https://www.philgeps.gov.ph/GEPSNONPILOT/Tender/SplashBidNoticeAbstractUI.aspx?menuIndex=3&amp;refID=7185622&amp;Result=3","7185622")</f>
        <v>0</v>
      </c>
      <c r="B9842" t="s">
        <v>3028</v>
      </c>
      <c r="C9842" t="s">
        <v>13130</v>
      </c>
      <c r="D9842" t="s">
        <v>18994</v>
      </c>
      <c r="E9842" t="s">
        <v>19809</v>
      </c>
      <c r="F9842" t="s">
        <v>32606</v>
      </c>
      <c r="G9842" t="s">
        <v>32613</v>
      </c>
      <c r="H9842" t="s">
        <v>14201</v>
      </c>
      <c r="I9842" t="s">
        <v>9013</v>
      </c>
      <c r="J9842" t="s">
        <v>33102</v>
      </c>
      <c r="K9842" t="s">
        <v>42630</v>
      </c>
      <c r="M9842" t="s">
        <v>46220</v>
      </c>
      <c r="N9842" t="s">
        <v>47304</v>
      </c>
      <c r="O9842" t="s">
        <v>47305</v>
      </c>
      <c r="P9842">
        <v>0</v>
      </c>
      <c r="Q9842">
        <v>1</v>
      </c>
      <c r="R9842" t="s">
        <v>47313</v>
      </c>
      <c r="S9842" t="s">
        <v>47535</v>
      </c>
      <c r="T9842" t="s">
        <v>49066</v>
      </c>
      <c r="U9842" t="s">
        <v>57666</v>
      </c>
      <c r="W9842" t="s">
        <v>46220</v>
      </c>
      <c r="X9842" t="s">
        <v>47314</v>
      </c>
    </row>
    <row r="9843" spans="1:24">
      <c r="A9843">
        <f>HYPERLINK("https://www.philgeps.gov.ph/GEPSNONPILOT/Tender/SplashBidNoticeAbstractUI.aspx?menuIndex=3&amp;refID=7185634&amp;Result=3","7185634")</f>
        <v>0</v>
      </c>
      <c r="B9843" t="s">
        <v>3029</v>
      </c>
      <c r="C9843" t="s">
        <v>13131</v>
      </c>
      <c r="D9843" t="s">
        <v>19049</v>
      </c>
      <c r="E9843" t="s">
        <v>27492</v>
      </c>
      <c r="F9843" t="s">
        <v>32606</v>
      </c>
      <c r="G9843" t="s">
        <v>32619</v>
      </c>
      <c r="H9843" t="s">
        <v>14201</v>
      </c>
      <c r="I9843" t="s">
        <v>13131</v>
      </c>
      <c r="J9843" t="s">
        <v>33103</v>
      </c>
      <c r="K9843" t="s">
        <v>42624</v>
      </c>
      <c r="M9843" t="s">
        <v>46221</v>
      </c>
      <c r="N9843" t="s">
        <v>47304</v>
      </c>
      <c r="O9843" t="s">
        <v>47305</v>
      </c>
      <c r="P9843">
        <v>0</v>
      </c>
      <c r="Q9843">
        <v>3</v>
      </c>
      <c r="R9843" t="s">
        <v>47313</v>
      </c>
      <c r="S9843" t="s">
        <v>47535</v>
      </c>
      <c r="T9843" t="s">
        <v>48979</v>
      </c>
      <c r="U9843" t="s">
        <v>57667</v>
      </c>
      <c r="W9843" t="s">
        <v>46221</v>
      </c>
      <c r="X9843" t="s">
        <v>47314</v>
      </c>
    </row>
    <row r="9844" spans="1:24">
      <c r="A9844">
        <f>HYPERLINK("https://www.philgeps.gov.ph/GEPSNONPILOT/Tender/SplashBidNoticeAbstractUI.aspx?menuIndex=3&amp;refID=7185620&amp;Result=3","7185620")</f>
        <v>0</v>
      </c>
      <c r="B9844" t="s">
        <v>2968</v>
      </c>
      <c r="C9844" t="s">
        <v>13132</v>
      </c>
      <c r="D9844" t="s">
        <v>19002</v>
      </c>
      <c r="E9844" t="s">
        <v>27493</v>
      </c>
      <c r="F9844" t="s">
        <v>32606</v>
      </c>
      <c r="G9844" t="s">
        <v>32613</v>
      </c>
      <c r="H9844" t="s">
        <v>14201</v>
      </c>
      <c r="I9844" t="s">
        <v>32633</v>
      </c>
      <c r="J9844" t="s">
        <v>36546</v>
      </c>
      <c r="K9844" t="s">
        <v>42623</v>
      </c>
      <c r="M9844" t="s">
        <v>46153</v>
      </c>
      <c r="N9844" t="s">
        <v>47304</v>
      </c>
      <c r="O9844" t="s">
        <v>47305</v>
      </c>
      <c r="P9844">
        <v>0</v>
      </c>
      <c r="Q9844">
        <v>11</v>
      </c>
      <c r="R9844" t="s">
        <v>47313</v>
      </c>
      <c r="S9844" t="s">
        <v>47535</v>
      </c>
      <c r="T9844" t="s">
        <v>49053</v>
      </c>
      <c r="U9844" t="s">
        <v>57668</v>
      </c>
      <c r="V9844" t="s">
        <v>63654</v>
      </c>
      <c r="W9844" t="s">
        <v>46153</v>
      </c>
      <c r="X9844" t="s">
        <v>47314</v>
      </c>
    </row>
    <row r="9845" spans="1:24">
      <c r="A9845">
        <f>HYPERLINK("https://www.philgeps.gov.ph/GEPSNONPILOT/Tender/SplashBidNoticeAbstractUI.aspx?menuIndex=3&amp;refID=7185697&amp;Result=3","7185697")</f>
        <v>0</v>
      </c>
      <c r="B9845" t="s">
        <v>135</v>
      </c>
      <c r="C9845" t="s">
        <v>13133</v>
      </c>
      <c r="D9845" t="s">
        <v>19009</v>
      </c>
      <c r="E9845" t="s">
        <v>27494</v>
      </c>
      <c r="F9845" t="s">
        <v>32606</v>
      </c>
      <c r="G9845" t="s">
        <v>32613</v>
      </c>
      <c r="H9845" t="s">
        <v>32623</v>
      </c>
      <c r="I9845" t="s">
        <v>17648</v>
      </c>
      <c r="J9845" t="s">
        <v>38869</v>
      </c>
      <c r="K9845" t="s">
        <v>42816</v>
      </c>
      <c r="M9845" t="s">
        <v>43036</v>
      </c>
      <c r="N9845" t="s">
        <v>47304</v>
      </c>
      <c r="O9845" t="s">
        <v>47305</v>
      </c>
      <c r="P9845">
        <v>0</v>
      </c>
      <c r="Q9845">
        <v>0</v>
      </c>
      <c r="R9845" t="s">
        <v>47313</v>
      </c>
      <c r="S9845" t="s">
        <v>47535</v>
      </c>
      <c r="T9845" t="s">
        <v>49119</v>
      </c>
      <c r="U9845" t="s">
        <v>49775</v>
      </c>
      <c r="V9845" t="s">
        <v>63685</v>
      </c>
      <c r="W9845" t="s">
        <v>43036</v>
      </c>
      <c r="X9845" t="s">
        <v>47314</v>
      </c>
    </row>
    <row r="9846" spans="1:24">
      <c r="A9846">
        <f>HYPERLINK("https://www.philgeps.gov.ph/GEPSNONPILOT/Tender/SplashBidNoticeAbstractUI.aspx?menuIndex=3&amp;refID=7185631&amp;Result=3","7185631")</f>
        <v>0</v>
      </c>
      <c r="B9846" t="s">
        <v>2420</v>
      </c>
      <c r="C9846" t="s">
        <v>13134</v>
      </c>
      <c r="D9846" t="s">
        <v>19026</v>
      </c>
      <c r="E9846" t="s">
        <v>27495</v>
      </c>
      <c r="F9846" t="s">
        <v>32606</v>
      </c>
      <c r="G9846" t="s">
        <v>32613</v>
      </c>
      <c r="H9846" t="s">
        <v>14201</v>
      </c>
      <c r="I9846" t="s">
        <v>32629</v>
      </c>
      <c r="J9846" t="s">
        <v>38803</v>
      </c>
      <c r="K9846" t="s">
        <v>42631</v>
      </c>
      <c r="M9846" t="s">
        <v>45546</v>
      </c>
      <c r="N9846" t="s">
        <v>47304</v>
      </c>
      <c r="O9846" t="s">
        <v>47305</v>
      </c>
      <c r="P9846">
        <v>0</v>
      </c>
      <c r="Q9846">
        <v>0</v>
      </c>
      <c r="R9846" t="s">
        <v>47313</v>
      </c>
      <c r="S9846" t="s">
        <v>47535</v>
      </c>
      <c r="T9846" t="s">
        <v>49066</v>
      </c>
      <c r="U9846" t="s">
        <v>57669</v>
      </c>
      <c r="V9846" t="s">
        <v>63361</v>
      </c>
      <c r="W9846" t="s">
        <v>45546</v>
      </c>
      <c r="X9846" t="s">
        <v>47314</v>
      </c>
    </row>
    <row r="9847" spans="1:24">
      <c r="A9847">
        <f>HYPERLINK("https://www.philgeps.gov.ph/GEPSNONPILOT/Tender/SplashBidNoticeAbstractUI.aspx?menuIndex=3&amp;refID=7185688&amp;Result=3","7185688")</f>
        <v>0</v>
      </c>
      <c r="B9847" t="s">
        <v>3023</v>
      </c>
      <c r="C9847" t="s">
        <v>13135</v>
      </c>
      <c r="D9847" t="s">
        <v>19008</v>
      </c>
      <c r="E9847" t="s">
        <v>27496</v>
      </c>
      <c r="F9847" t="s">
        <v>32606</v>
      </c>
      <c r="G9847" t="s">
        <v>32613</v>
      </c>
      <c r="H9847" t="s">
        <v>32623</v>
      </c>
      <c r="I9847" t="s">
        <v>17648</v>
      </c>
      <c r="J9847" t="s">
        <v>32778</v>
      </c>
      <c r="K9847" t="s">
        <v>42624</v>
      </c>
      <c r="M9847" t="s">
        <v>46215</v>
      </c>
      <c r="N9847" t="s">
        <v>47304</v>
      </c>
      <c r="O9847" t="s">
        <v>47305</v>
      </c>
      <c r="P9847">
        <v>0</v>
      </c>
      <c r="Q9847">
        <v>1</v>
      </c>
      <c r="R9847" t="s">
        <v>47313</v>
      </c>
      <c r="S9847" t="s">
        <v>47535</v>
      </c>
      <c r="T9847" t="s">
        <v>48998</v>
      </c>
      <c r="U9847" t="s">
        <v>57670</v>
      </c>
      <c r="W9847" t="s">
        <v>46215</v>
      </c>
      <c r="X9847" t="s">
        <v>47314</v>
      </c>
    </row>
    <row r="9848" spans="1:24">
      <c r="A9848">
        <f>HYPERLINK("https://www.philgeps.gov.ph/GEPSNONPILOT/Tender/SplashBidNoticeAbstractUI.aspx?menuIndex=3&amp;refID=7185635&amp;Result=3","7185635")</f>
        <v>0</v>
      </c>
      <c r="B9848" t="s">
        <v>799</v>
      </c>
      <c r="C9848" t="s">
        <v>13136</v>
      </c>
      <c r="E9848" t="s">
        <v>27497</v>
      </c>
      <c r="F9848" t="s">
        <v>32606</v>
      </c>
      <c r="G9848" t="s">
        <v>32614</v>
      </c>
      <c r="H9848" t="s">
        <v>14201</v>
      </c>
      <c r="I9848" t="s">
        <v>9013</v>
      </c>
      <c r="J9848" t="s">
        <v>38870</v>
      </c>
      <c r="K9848" t="s">
        <v>42630</v>
      </c>
      <c r="M9848" t="s">
        <v>43730</v>
      </c>
      <c r="N9848" t="s">
        <v>47304</v>
      </c>
      <c r="O9848" t="s">
        <v>47305</v>
      </c>
      <c r="P9848">
        <v>0</v>
      </c>
      <c r="Q9848">
        <v>1</v>
      </c>
      <c r="R9848" t="s">
        <v>47313</v>
      </c>
      <c r="S9848" t="s">
        <v>47535</v>
      </c>
      <c r="T9848" t="s">
        <v>49373</v>
      </c>
      <c r="U9848" t="s">
        <v>57671</v>
      </c>
      <c r="V9848" t="s">
        <v>62834</v>
      </c>
      <c r="W9848" t="s">
        <v>43730</v>
      </c>
      <c r="X9848" t="s">
        <v>47314</v>
      </c>
    </row>
    <row r="9849" spans="1:24">
      <c r="A9849">
        <f>HYPERLINK("https://www.philgeps.gov.ph/GEPSNONPILOT/Tender/SplashBidNoticeAbstractUI.aspx?menuIndex=3&amp;refID=7185695&amp;Result=3","7185695")</f>
        <v>0</v>
      </c>
      <c r="B9849" t="s">
        <v>373</v>
      </c>
      <c r="C9849" t="s">
        <v>4559</v>
      </c>
      <c r="D9849" t="s">
        <v>19002</v>
      </c>
      <c r="E9849" t="s">
        <v>19769</v>
      </c>
      <c r="F9849" t="s">
        <v>32606</v>
      </c>
      <c r="G9849" t="s">
        <v>32613</v>
      </c>
      <c r="H9849" t="s">
        <v>32624</v>
      </c>
      <c r="I9849" t="s">
        <v>32640</v>
      </c>
      <c r="J9849" t="s">
        <v>33332</v>
      </c>
      <c r="K9849" t="s">
        <v>42639</v>
      </c>
      <c r="M9849" t="s">
        <v>43275</v>
      </c>
      <c r="N9849" t="s">
        <v>47304</v>
      </c>
      <c r="O9849" t="s">
        <v>47305</v>
      </c>
      <c r="P9849">
        <v>0</v>
      </c>
      <c r="Q9849">
        <v>7</v>
      </c>
      <c r="R9849" t="s">
        <v>47313</v>
      </c>
      <c r="S9849" t="s">
        <v>47535</v>
      </c>
      <c r="T9849" t="s">
        <v>49099</v>
      </c>
      <c r="U9849" t="s">
        <v>50213</v>
      </c>
      <c r="V9849" t="s">
        <v>63686</v>
      </c>
      <c r="W9849" t="s">
        <v>64430</v>
      </c>
      <c r="X9849" t="s">
        <v>47314</v>
      </c>
    </row>
    <row r="9850" spans="1:24">
      <c r="A9850">
        <f>HYPERLINK("https://www.philgeps.gov.ph/GEPSNONPILOT/Tender/SplashBidNoticeAbstractUI.aspx?menuIndex=3&amp;refID=7185690&amp;Result=3","7185690")</f>
        <v>0</v>
      </c>
      <c r="B9850" t="s">
        <v>2993</v>
      </c>
      <c r="C9850" t="s">
        <v>13137</v>
      </c>
      <c r="D9850" t="s">
        <v>19038</v>
      </c>
      <c r="E9850" t="s">
        <v>27498</v>
      </c>
      <c r="F9850" t="s">
        <v>32606</v>
      </c>
      <c r="G9850" t="s">
        <v>32613</v>
      </c>
      <c r="H9850" t="s">
        <v>32623</v>
      </c>
      <c r="I9850" t="s">
        <v>17648</v>
      </c>
      <c r="J9850" t="s">
        <v>32821</v>
      </c>
      <c r="K9850" t="s">
        <v>42645</v>
      </c>
      <c r="M9850" t="s">
        <v>46181</v>
      </c>
      <c r="N9850" t="s">
        <v>47304</v>
      </c>
      <c r="O9850" t="s">
        <v>47305</v>
      </c>
      <c r="P9850">
        <v>0</v>
      </c>
      <c r="Q9850">
        <v>0</v>
      </c>
      <c r="R9850" t="s">
        <v>47313</v>
      </c>
      <c r="S9850" t="s">
        <v>47535</v>
      </c>
      <c r="T9850" t="s">
        <v>49234</v>
      </c>
      <c r="U9850" t="s">
        <v>57672</v>
      </c>
      <c r="W9850" t="s">
        <v>46181</v>
      </c>
      <c r="X9850" t="s">
        <v>47314</v>
      </c>
    </row>
    <row r="9851" spans="1:24">
      <c r="A9851">
        <f>HYPERLINK("https://www.philgeps.gov.ph/GEPSNONPILOT/Tender/SplashBidNoticeAbstractUI.aspx?menuIndex=3&amp;refID=7185680&amp;Result=3","7185680")</f>
        <v>0</v>
      </c>
      <c r="B9851" t="s">
        <v>799</v>
      </c>
      <c r="C9851" t="s">
        <v>13138</v>
      </c>
      <c r="E9851" t="s">
        <v>27499</v>
      </c>
      <c r="F9851" t="s">
        <v>32606</v>
      </c>
      <c r="G9851" t="s">
        <v>32614</v>
      </c>
      <c r="H9851" t="s">
        <v>14201</v>
      </c>
      <c r="I9851" t="s">
        <v>32640</v>
      </c>
      <c r="J9851" t="s">
        <v>33533</v>
      </c>
      <c r="K9851" t="s">
        <v>42630</v>
      </c>
      <c r="M9851" t="s">
        <v>43730</v>
      </c>
      <c r="N9851" t="s">
        <v>47304</v>
      </c>
      <c r="O9851" t="s">
        <v>47305</v>
      </c>
      <c r="P9851">
        <v>0</v>
      </c>
      <c r="Q9851">
        <v>5</v>
      </c>
      <c r="R9851" t="s">
        <v>47313</v>
      </c>
      <c r="S9851" t="s">
        <v>47535</v>
      </c>
      <c r="T9851" t="s">
        <v>49373</v>
      </c>
      <c r="U9851" t="s">
        <v>57673</v>
      </c>
      <c r="V9851" t="s">
        <v>62834</v>
      </c>
      <c r="W9851" t="s">
        <v>43730</v>
      </c>
      <c r="X9851" t="s">
        <v>47314</v>
      </c>
    </row>
    <row r="9852" spans="1:24">
      <c r="A9852">
        <f>HYPERLINK("https://www.philgeps.gov.ph/GEPSNONPILOT/Tender/SplashBidNoticeAbstractUI.aspx?menuIndex=3&amp;refID=7185626&amp;Result=3","7185626")</f>
        <v>0</v>
      </c>
      <c r="B9852" t="s">
        <v>921</v>
      </c>
      <c r="C9852" t="s">
        <v>13139</v>
      </c>
      <c r="D9852" t="s">
        <v>19008</v>
      </c>
      <c r="E9852" t="s">
        <v>27500</v>
      </c>
      <c r="F9852" t="s">
        <v>32606</v>
      </c>
      <c r="G9852" t="s">
        <v>32613</v>
      </c>
      <c r="H9852" t="s">
        <v>14201</v>
      </c>
      <c r="I9852" t="s">
        <v>32629</v>
      </c>
      <c r="J9852" t="s">
        <v>38871</v>
      </c>
      <c r="K9852" t="s">
        <v>42623</v>
      </c>
      <c r="M9852" t="s">
        <v>43861</v>
      </c>
      <c r="N9852" t="s">
        <v>47304</v>
      </c>
      <c r="O9852" t="s">
        <v>47305</v>
      </c>
      <c r="P9852">
        <v>0</v>
      </c>
      <c r="Q9852">
        <v>0</v>
      </c>
      <c r="R9852" t="s">
        <v>47313</v>
      </c>
      <c r="S9852" t="s">
        <v>47535</v>
      </c>
      <c r="T9852" t="s">
        <v>49268</v>
      </c>
      <c r="U9852" t="s">
        <v>57674</v>
      </c>
      <c r="W9852" t="s">
        <v>43861</v>
      </c>
      <c r="X9852" t="s">
        <v>47314</v>
      </c>
    </row>
    <row r="9853" spans="1:24">
      <c r="A9853">
        <f>HYPERLINK("https://www.philgeps.gov.ph/GEPSNONPILOT/Tender/SplashBidNoticeAbstractUI.aspx?menuIndex=3&amp;refID=7185679&amp;Result=3","7185679")</f>
        <v>0</v>
      </c>
      <c r="B9853" t="s">
        <v>921</v>
      </c>
      <c r="C9853" t="s">
        <v>13140</v>
      </c>
      <c r="D9853" t="s">
        <v>19008</v>
      </c>
      <c r="E9853" t="s">
        <v>27501</v>
      </c>
      <c r="F9853" t="s">
        <v>32606</v>
      </c>
      <c r="G9853" t="s">
        <v>32613</v>
      </c>
      <c r="H9853" t="s">
        <v>14201</v>
      </c>
      <c r="I9853" t="s">
        <v>6993</v>
      </c>
      <c r="J9853" t="s">
        <v>38872</v>
      </c>
      <c r="K9853" t="s">
        <v>42623</v>
      </c>
      <c r="M9853" t="s">
        <v>43861</v>
      </c>
      <c r="N9853" t="s">
        <v>47304</v>
      </c>
      <c r="O9853" t="s">
        <v>47305</v>
      </c>
      <c r="P9853">
        <v>0</v>
      </c>
      <c r="Q9853">
        <v>0</v>
      </c>
      <c r="R9853" t="s">
        <v>47313</v>
      </c>
      <c r="S9853" t="s">
        <v>47535</v>
      </c>
      <c r="T9853" t="s">
        <v>49268</v>
      </c>
      <c r="U9853" t="s">
        <v>57675</v>
      </c>
      <c r="W9853" t="s">
        <v>43861</v>
      </c>
      <c r="X9853" t="s">
        <v>47314</v>
      </c>
    </row>
    <row r="9854" spans="1:24">
      <c r="A9854">
        <f>HYPERLINK("https://www.philgeps.gov.ph/GEPSNONPILOT/Tender/SplashBidNoticeAbstractUI.aspx?menuIndex=3&amp;refID=7185670&amp;Result=3","7185670")</f>
        <v>0</v>
      </c>
      <c r="B9854" t="s">
        <v>3030</v>
      </c>
      <c r="C9854" t="s">
        <v>13141</v>
      </c>
      <c r="D9854" t="s">
        <v>19057</v>
      </c>
      <c r="E9854" t="s">
        <v>27502</v>
      </c>
      <c r="F9854" t="s">
        <v>32606</v>
      </c>
      <c r="G9854" t="s">
        <v>32613</v>
      </c>
      <c r="H9854" t="s">
        <v>32623</v>
      </c>
      <c r="I9854" t="s">
        <v>17648</v>
      </c>
      <c r="J9854" t="s">
        <v>32772</v>
      </c>
      <c r="K9854" t="s">
        <v>42646</v>
      </c>
      <c r="M9854" t="s">
        <v>46222</v>
      </c>
      <c r="N9854" t="s">
        <v>47304</v>
      </c>
      <c r="O9854" t="s">
        <v>47305</v>
      </c>
      <c r="P9854">
        <v>0</v>
      </c>
      <c r="Q9854">
        <v>3</v>
      </c>
      <c r="R9854" t="s">
        <v>47313</v>
      </c>
      <c r="S9854" t="s">
        <v>47535</v>
      </c>
      <c r="T9854" t="s">
        <v>49146</v>
      </c>
      <c r="U9854" t="s">
        <v>57676</v>
      </c>
      <c r="W9854" t="s">
        <v>46222</v>
      </c>
      <c r="X9854" t="s">
        <v>47314</v>
      </c>
    </row>
    <row r="9855" spans="1:24">
      <c r="A9855">
        <f>HYPERLINK("https://www.philgeps.gov.ph/GEPSNONPILOT/Tender/SplashBidNoticeAbstractUI.aspx?menuIndex=3&amp;refID=7185683&amp;Result=3","7185683")</f>
        <v>0</v>
      </c>
      <c r="B9855" t="s">
        <v>2968</v>
      </c>
      <c r="C9855" t="s">
        <v>13142</v>
      </c>
      <c r="D9855" t="s">
        <v>19002</v>
      </c>
      <c r="E9855" t="s">
        <v>27503</v>
      </c>
      <c r="F9855" t="s">
        <v>32606</v>
      </c>
      <c r="G9855" t="s">
        <v>32613</v>
      </c>
      <c r="H9855" t="s">
        <v>14201</v>
      </c>
      <c r="I9855" t="s">
        <v>32629</v>
      </c>
      <c r="J9855" t="s">
        <v>38256</v>
      </c>
      <c r="K9855" t="s">
        <v>42712</v>
      </c>
      <c r="M9855" t="s">
        <v>46153</v>
      </c>
      <c r="N9855" t="s">
        <v>47304</v>
      </c>
      <c r="O9855" t="s">
        <v>47305</v>
      </c>
      <c r="P9855">
        <v>0</v>
      </c>
      <c r="Q9855">
        <v>0</v>
      </c>
      <c r="R9855" t="s">
        <v>47313</v>
      </c>
      <c r="S9855" t="s">
        <v>47535</v>
      </c>
      <c r="T9855" t="s">
        <v>49053</v>
      </c>
      <c r="U9855" t="s">
        <v>57677</v>
      </c>
      <c r="V9855" t="s">
        <v>63654</v>
      </c>
      <c r="W9855" t="s">
        <v>46153</v>
      </c>
      <c r="X9855" t="s">
        <v>47314</v>
      </c>
    </row>
    <row r="9856" spans="1:24">
      <c r="A9856">
        <f>HYPERLINK("https://www.philgeps.gov.ph/GEPSNONPILOT/Tender/SplashBidNoticeAbstractUI.aspx?menuIndex=3&amp;refID=7185669&amp;Result=3","7185669")</f>
        <v>0</v>
      </c>
      <c r="B9856" t="s">
        <v>726</v>
      </c>
      <c r="C9856" t="s">
        <v>13143</v>
      </c>
      <c r="D9856" t="s">
        <v>19009</v>
      </c>
      <c r="E9856" t="s">
        <v>27504</v>
      </c>
      <c r="F9856" t="s">
        <v>32606</v>
      </c>
      <c r="G9856" t="s">
        <v>32613</v>
      </c>
      <c r="H9856" t="s">
        <v>14201</v>
      </c>
      <c r="I9856" t="s">
        <v>4678</v>
      </c>
      <c r="J9856" t="s">
        <v>32765</v>
      </c>
      <c r="K9856" t="s">
        <v>42623</v>
      </c>
      <c r="M9856" t="s">
        <v>45264</v>
      </c>
      <c r="N9856" t="s">
        <v>47304</v>
      </c>
      <c r="O9856" t="s">
        <v>47305</v>
      </c>
      <c r="P9856">
        <v>0</v>
      </c>
      <c r="Q9856">
        <v>5</v>
      </c>
      <c r="R9856" t="s">
        <v>47313</v>
      </c>
      <c r="S9856" t="s">
        <v>47535</v>
      </c>
      <c r="T9856" t="s">
        <v>49198</v>
      </c>
      <c r="U9856" t="s">
        <v>57678</v>
      </c>
      <c r="V9856" t="s">
        <v>62935</v>
      </c>
      <c r="W9856" t="s">
        <v>45264</v>
      </c>
      <c r="X9856" t="s">
        <v>47314</v>
      </c>
    </row>
    <row r="9857" spans="1:24">
      <c r="A9857">
        <f>HYPERLINK("https://www.philgeps.gov.ph/GEPSNONPILOT/Tender/SplashBidNoticeAbstractUI.aspx?menuIndex=3&amp;refID=7185678&amp;Result=3","7185678")</f>
        <v>0</v>
      </c>
      <c r="B9857" t="s">
        <v>1647</v>
      </c>
      <c r="C9857" t="s">
        <v>13144</v>
      </c>
      <c r="D9857" t="s">
        <v>19011</v>
      </c>
      <c r="E9857" t="s">
        <v>27505</v>
      </c>
      <c r="F9857" t="s">
        <v>32606</v>
      </c>
      <c r="G9857" t="s">
        <v>32613</v>
      </c>
      <c r="H9857" t="s">
        <v>14201</v>
      </c>
      <c r="I9857" t="s">
        <v>6931</v>
      </c>
      <c r="J9857" t="s">
        <v>32765</v>
      </c>
      <c r="K9857" t="s">
        <v>42623</v>
      </c>
      <c r="M9857" t="s">
        <v>44670</v>
      </c>
      <c r="N9857" t="s">
        <v>47304</v>
      </c>
      <c r="O9857" t="s">
        <v>47305</v>
      </c>
      <c r="P9857">
        <v>0</v>
      </c>
      <c r="Q9857">
        <v>1</v>
      </c>
      <c r="R9857" t="s">
        <v>47313</v>
      </c>
      <c r="S9857" t="s">
        <v>47535</v>
      </c>
      <c r="T9857" t="s">
        <v>49020</v>
      </c>
      <c r="U9857" t="s">
        <v>57679</v>
      </c>
      <c r="W9857" t="s">
        <v>44670</v>
      </c>
      <c r="X9857" t="s">
        <v>47314</v>
      </c>
    </row>
    <row r="9858" spans="1:24">
      <c r="A9858">
        <f>HYPERLINK("https://www.philgeps.gov.ph/GEPSNONPILOT/Tender/SplashBidNoticeAbstractUI.aspx?menuIndex=3&amp;refID=7185685&amp;Result=3","7185685")</f>
        <v>0</v>
      </c>
      <c r="B9858" t="s">
        <v>3021</v>
      </c>
      <c r="C9858" t="s">
        <v>13145</v>
      </c>
      <c r="D9858" t="s">
        <v>19067</v>
      </c>
      <c r="E9858" t="s">
        <v>27506</v>
      </c>
      <c r="F9858" t="s">
        <v>32606</v>
      </c>
      <c r="G9858" t="s">
        <v>32613</v>
      </c>
      <c r="H9858" t="s">
        <v>14201</v>
      </c>
      <c r="I9858" t="s">
        <v>32660</v>
      </c>
      <c r="J9858" t="s">
        <v>34709</v>
      </c>
      <c r="K9858" t="s">
        <v>42631</v>
      </c>
      <c r="M9858" t="s">
        <v>46213</v>
      </c>
      <c r="N9858" t="s">
        <v>47304</v>
      </c>
      <c r="O9858" t="s">
        <v>47305</v>
      </c>
      <c r="P9858">
        <v>0</v>
      </c>
      <c r="Q9858">
        <v>0</v>
      </c>
      <c r="R9858" t="s">
        <v>47313</v>
      </c>
      <c r="S9858" t="s">
        <v>47535</v>
      </c>
      <c r="T9858" t="s">
        <v>49268</v>
      </c>
      <c r="U9858" t="s">
        <v>57680</v>
      </c>
      <c r="W9858" t="s">
        <v>46213</v>
      </c>
      <c r="X9858" t="s">
        <v>47314</v>
      </c>
    </row>
    <row r="9859" spans="1:24">
      <c r="A9859">
        <f>HYPERLINK("https://www.philgeps.gov.ph/GEPSNONPILOT/Tender/SplashBidNoticeAbstractUI.aspx?menuIndex=3&amp;refID=7185676&amp;Result=3","7185676")</f>
        <v>0</v>
      </c>
      <c r="B9859" t="s">
        <v>2782</v>
      </c>
      <c r="C9859" t="s">
        <v>13146</v>
      </c>
      <c r="D9859" t="s">
        <v>18992</v>
      </c>
      <c r="E9859" t="s">
        <v>27507</v>
      </c>
      <c r="F9859" t="s">
        <v>32606</v>
      </c>
      <c r="G9859" t="s">
        <v>32613</v>
      </c>
      <c r="H9859" t="s">
        <v>14201</v>
      </c>
      <c r="I9859" t="s">
        <v>32631</v>
      </c>
      <c r="J9859" t="s">
        <v>38873</v>
      </c>
      <c r="K9859" t="s">
        <v>42684</v>
      </c>
      <c r="M9859" t="s">
        <v>46223</v>
      </c>
      <c r="N9859" t="s">
        <v>47304</v>
      </c>
      <c r="O9859" t="s">
        <v>47305</v>
      </c>
      <c r="P9859">
        <v>0</v>
      </c>
      <c r="Q9859">
        <v>0</v>
      </c>
      <c r="R9859" t="s">
        <v>47313</v>
      </c>
      <c r="S9859" t="s">
        <v>47535</v>
      </c>
      <c r="T9859" t="s">
        <v>49087</v>
      </c>
      <c r="U9859" t="s">
        <v>57681</v>
      </c>
      <c r="W9859" t="s">
        <v>46157</v>
      </c>
      <c r="X9859" t="s">
        <v>47314</v>
      </c>
    </row>
    <row r="9860" spans="1:24">
      <c r="A9860">
        <f>HYPERLINK("https://www.philgeps.gov.ph/GEPSNONPILOT/Tender/SplashBidNoticeAbstractUI.aspx?menuIndex=3&amp;refID=7185744&amp;Result=3","7185744")</f>
        <v>0</v>
      </c>
      <c r="B9860" t="s">
        <v>262</v>
      </c>
      <c r="C9860" t="s">
        <v>13147</v>
      </c>
      <c r="D9860" t="s">
        <v>19038</v>
      </c>
      <c r="E9860" t="s">
        <v>27508</v>
      </c>
      <c r="F9860" t="s">
        <v>32606</v>
      </c>
      <c r="G9860" t="s">
        <v>32619</v>
      </c>
      <c r="H9860" t="s">
        <v>14201</v>
      </c>
      <c r="I9860" t="s">
        <v>9013</v>
      </c>
      <c r="J9860" t="s">
        <v>38874</v>
      </c>
      <c r="K9860" t="s">
        <v>42630</v>
      </c>
      <c r="M9860" t="s">
        <v>43163</v>
      </c>
      <c r="N9860" t="s">
        <v>47304</v>
      </c>
      <c r="O9860" t="s">
        <v>47305</v>
      </c>
      <c r="P9860">
        <v>0</v>
      </c>
      <c r="Q9860">
        <v>0</v>
      </c>
      <c r="R9860" t="s">
        <v>47313</v>
      </c>
      <c r="S9860" t="s">
        <v>47535</v>
      </c>
      <c r="T9860" t="s">
        <v>49268</v>
      </c>
      <c r="U9860" t="s">
        <v>57682</v>
      </c>
      <c r="W9860" t="s">
        <v>43163</v>
      </c>
      <c r="X9860" t="s">
        <v>47314</v>
      </c>
    </row>
    <row r="9861" spans="1:24">
      <c r="A9861">
        <f>HYPERLINK("https://www.philgeps.gov.ph/GEPSNONPILOT/Tender/SplashBidNoticeAbstractUI.aspx?menuIndex=3&amp;refID=7185742&amp;Result=3","7185742")</f>
        <v>0</v>
      </c>
      <c r="B9861" t="s">
        <v>3031</v>
      </c>
      <c r="C9861" t="s">
        <v>13148</v>
      </c>
      <c r="D9861" t="s">
        <v>19003</v>
      </c>
      <c r="E9861" t="s">
        <v>27509</v>
      </c>
      <c r="F9861" t="s">
        <v>32606</v>
      </c>
      <c r="G9861" t="s">
        <v>32613</v>
      </c>
      <c r="H9861" t="s">
        <v>14201</v>
      </c>
      <c r="I9861" t="s">
        <v>32661</v>
      </c>
      <c r="J9861" t="s">
        <v>32795</v>
      </c>
      <c r="K9861" t="s">
        <v>42632</v>
      </c>
      <c r="M9861" t="s">
        <v>46224</v>
      </c>
      <c r="N9861" t="s">
        <v>47304</v>
      </c>
      <c r="O9861" t="s">
        <v>47305</v>
      </c>
      <c r="P9861">
        <v>0</v>
      </c>
      <c r="Q9861">
        <v>12</v>
      </c>
      <c r="R9861" t="s">
        <v>47313</v>
      </c>
      <c r="S9861" t="s">
        <v>47535</v>
      </c>
      <c r="T9861" t="s">
        <v>49052</v>
      </c>
      <c r="U9861" t="s">
        <v>57683</v>
      </c>
      <c r="V9861" t="s">
        <v>63687</v>
      </c>
      <c r="W9861" t="s">
        <v>46224</v>
      </c>
      <c r="X9861" t="s">
        <v>47314</v>
      </c>
    </row>
    <row r="9862" spans="1:24">
      <c r="A9862">
        <f>HYPERLINK("https://www.philgeps.gov.ph/GEPSNONPILOT/Tender/SplashBidNoticeAbstractUI.aspx?menuIndex=3&amp;refID=7185739&amp;Result=3","7185739")</f>
        <v>0</v>
      </c>
      <c r="B9862" t="s">
        <v>2993</v>
      </c>
      <c r="C9862" t="s">
        <v>13149</v>
      </c>
      <c r="D9862" t="s">
        <v>19038</v>
      </c>
      <c r="E9862" t="s">
        <v>27510</v>
      </c>
      <c r="F9862" t="s">
        <v>32606</v>
      </c>
      <c r="G9862" t="s">
        <v>32613</v>
      </c>
      <c r="H9862" t="s">
        <v>32623</v>
      </c>
      <c r="I9862" t="s">
        <v>17648</v>
      </c>
      <c r="J9862" t="s">
        <v>38875</v>
      </c>
      <c r="K9862" t="s">
        <v>42646</v>
      </c>
      <c r="M9862" t="s">
        <v>46181</v>
      </c>
      <c r="N9862" t="s">
        <v>47304</v>
      </c>
      <c r="O9862" t="s">
        <v>47305</v>
      </c>
      <c r="P9862">
        <v>0</v>
      </c>
      <c r="Q9862">
        <v>0</v>
      </c>
      <c r="R9862" t="s">
        <v>47313</v>
      </c>
      <c r="S9862" t="s">
        <v>47535</v>
      </c>
      <c r="T9862" t="s">
        <v>49234</v>
      </c>
      <c r="U9862" t="s">
        <v>57684</v>
      </c>
      <c r="W9862" t="s">
        <v>46181</v>
      </c>
      <c r="X9862" t="s">
        <v>47314</v>
      </c>
    </row>
    <row r="9863" spans="1:24">
      <c r="A9863">
        <f>HYPERLINK("https://www.philgeps.gov.ph/GEPSNONPILOT/Tender/SplashBidNoticeAbstractUI.aspx?menuIndex=3&amp;refID=7185733&amp;Result=3","7185733")</f>
        <v>0</v>
      </c>
      <c r="B9863" t="s">
        <v>467</v>
      </c>
      <c r="C9863" t="s">
        <v>13150</v>
      </c>
      <c r="E9863" t="s">
        <v>27511</v>
      </c>
      <c r="F9863" t="s">
        <v>32606</v>
      </c>
      <c r="G9863" t="s">
        <v>32613</v>
      </c>
      <c r="H9863" t="s">
        <v>14201</v>
      </c>
      <c r="I9863" t="s">
        <v>32640</v>
      </c>
      <c r="J9863" t="s">
        <v>38876</v>
      </c>
      <c r="K9863" t="s">
        <v>42624</v>
      </c>
      <c r="M9863" t="s">
        <v>44145</v>
      </c>
      <c r="N9863" t="s">
        <v>47304</v>
      </c>
      <c r="O9863" t="s">
        <v>47305</v>
      </c>
      <c r="P9863">
        <v>0</v>
      </c>
      <c r="Q9863">
        <v>15</v>
      </c>
      <c r="R9863" t="s">
        <v>47313</v>
      </c>
      <c r="S9863" t="s">
        <v>47535</v>
      </c>
      <c r="T9863" t="s">
        <v>49057</v>
      </c>
      <c r="U9863" t="s">
        <v>57685</v>
      </c>
      <c r="W9863" t="s">
        <v>44145</v>
      </c>
      <c r="X9863" t="s">
        <v>47314</v>
      </c>
    </row>
    <row r="9864" spans="1:24">
      <c r="A9864">
        <f>HYPERLINK("https://www.philgeps.gov.ph/GEPSNONPILOT/Tender/SplashBidNoticeAbstractUI.aspx?menuIndex=3&amp;refID=7185668&amp;Result=3","7185668")</f>
        <v>0</v>
      </c>
      <c r="B9864" t="s">
        <v>3028</v>
      </c>
      <c r="C9864" t="s">
        <v>13151</v>
      </c>
      <c r="D9864" t="s">
        <v>18994</v>
      </c>
      <c r="E9864" t="s">
        <v>19833</v>
      </c>
      <c r="F9864" t="s">
        <v>32606</v>
      </c>
      <c r="G9864" t="s">
        <v>32613</v>
      </c>
      <c r="H9864" t="s">
        <v>14201</v>
      </c>
      <c r="I9864" t="s">
        <v>32644</v>
      </c>
      <c r="J9864" t="s">
        <v>32778</v>
      </c>
      <c r="K9864" t="s">
        <v>42630</v>
      </c>
      <c r="M9864" t="s">
        <v>46220</v>
      </c>
      <c r="N9864" t="s">
        <v>47304</v>
      </c>
      <c r="O9864" t="s">
        <v>47305</v>
      </c>
      <c r="P9864">
        <v>0</v>
      </c>
      <c r="Q9864">
        <v>4</v>
      </c>
      <c r="R9864" t="s">
        <v>47313</v>
      </c>
      <c r="S9864" t="s">
        <v>47535</v>
      </c>
      <c r="T9864" t="s">
        <v>49066</v>
      </c>
      <c r="U9864" t="s">
        <v>57686</v>
      </c>
      <c r="W9864" t="s">
        <v>46220</v>
      </c>
      <c r="X9864" t="s">
        <v>47314</v>
      </c>
    </row>
    <row r="9865" spans="1:24">
      <c r="A9865">
        <f>HYPERLINK("https://www.philgeps.gov.ph/GEPSNONPILOT/Tender/SplashBidNoticeAbstractUI.aspx?menuIndex=3&amp;refID=7185730&amp;Result=3","7185730")</f>
        <v>0</v>
      </c>
      <c r="B9865" t="s">
        <v>726</v>
      </c>
      <c r="C9865" t="s">
        <v>13152</v>
      </c>
      <c r="D9865" t="s">
        <v>19009</v>
      </c>
      <c r="E9865" t="s">
        <v>27512</v>
      </c>
      <c r="F9865" t="s">
        <v>32606</v>
      </c>
      <c r="G9865" t="s">
        <v>32613</v>
      </c>
      <c r="H9865" t="s">
        <v>14201</v>
      </c>
      <c r="I9865" t="s">
        <v>32697</v>
      </c>
      <c r="J9865" t="s">
        <v>32765</v>
      </c>
      <c r="K9865" t="s">
        <v>42623</v>
      </c>
      <c r="M9865" t="s">
        <v>45264</v>
      </c>
      <c r="N9865" t="s">
        <v>47304</v>
      </c>
      <c r="O9865" t="s">
        <v>47305</v>
      </c>
      <c r="P9865">
        <v>0</v>
      </c>
      <c r="Q9865">
        <v>2</v>
      </c>
      <c r="R9865" t="s">
        <v>47313</v>
      </c>
      <c r="S9865" t="s">
        <v>47535</v>
      </c>
      <c r="T9865" t="s">
        <v>49198</v>
      </c>
      <c r="U9865" t="s">
        <v>57687</v>
      </c>
      <c r="V9865" t="s">
        <v>62935</v>
      </c>
      <c r="W9865" t="s">
        <v>45264</v>
      </c>
      <c r="X9865" t="s">
        <v>47314</v>
      </c>
    </row>
    <row r="9866" spans="1:24">
      <c r="A9866">
        <f>HYPERLINK("https://www.philgeps.gov.ph/GEPSNONPILOT/Tender/SplashBidNoticeAbstractUI.aspx?menuIndex=3&amp;refID=7185725&amp;Result=3","7185725")</f>
        <v>0</v>
      </c>
      <c r="B9866" t="s">
        <v>1402</v>
      </c>
      <c r="C9866" t="s">
        <v>13153</v>
      </c>
      <c r="D9866" t="s">
        <v>18992</v>
      </c>
      <c r="E9866" t="s">
        <v>27513</v>
      </c>
      <c r="F9866" t="s">
        <v>32606</v>
      </c>
      <c r="G9866" t="s">
        <v>32613</v>
      </c>
      <c r="H9866" t="s">
        <v>14201</v>
      </c>
      <c r="I9866" t="s">
        <v>32631</v>
      </c>
      <c r="J9866" t="s">
        <v>38877</v>
      </c>
      <c r="K9866" t="s">
        <v>42648</v>
      </c>
      <c r="M9866" t="s">
        <v>45733</v>
      </c>
      <c r="N9866" t="s">
        <v>47304</v>
      </c>
      <c r="O9866" t="s">
        <v>47305</v>
      </c>
      <c r="P9866">
        <v>0</v>
      </c>
      <c r="Q9866">
        <v>1</v>
      </c>
      <c r="R9866" t="s">
        <v>47313</v>
      </c>
      <c r="S9866" t="s">
        <v>47535</v>
      </c>
      <c r="T9866" t="s">
        <v>49347</v>
      </c>
      <c r="U9866" t="s">
        <v>57688</v>
      </c>
      <c r="W9866" t="s">
        <v>45733</v>
      </c>
      <c r="X9866" t="s">
        <v>47314</v>
      </c>
    </row>
    <row r="9867" spans="1:24">
      <c r="A9867">
        <f>HYPERLINK("https://www.philgeps.gov.ph/GEPSNONPILOT/Tender/SplashBidNoticeAbstractUI.aspx?menuIndex=3&amp;refID=7185743&amp;Result=3","7185743")</f>
        <v>0</v>
      </c>
      <c r="B9867" t="s">
        <v>82</v>
      </c>
      <c r="C9867" t="s">
        <v>5706</v>
      </c>
      <c r="D9867" t="s">
        <v>19011</v>
      </c>
      <c r="E9867" t="s">
        <v>27514</v>
      </c>
      <c r="F9867" t="s">
        <v>32606</v>
      </c>
      <c r="G9867" t="s">
        <v>32613</v>
      </c>
      <c r="H9867" t="s">
        <v>14201</v>
      </c>
      <c r="I9867" t="s">
        <v>7064</v>
      </c>
      <c r="J9867" t="s">
        <v>38878</v>
      </c>
      <c r="K9867" t="s">
        <v>42624</v>
      </c>
      <c r="M9867" t="s">
        <v>43766</v>
      </c>
      <c r="N9867" t="s">
        <v>47304</v>
      </c>
      <c r="O9867" t="s">
        <v>47305</v>
      </c>
      <c r="P9867">
        <v>0</v>
      </c>
      <c r="Q9867">
        <v>1</v>
      </c>
      <c r="R9867" t="s">
        <v>47313</v>
      </c>
      <c r="S9867" t="s">
        <v>47535</v>
      </c>
      <c r="T9867" t="s">
        <v>49234</v>
      </c>
      <c r="U9867" t="s">
        <v>57689</v>
      </c>
      <c r="V9867" t="s">
        <v>62841</v>
      </c>
      <c r="W9867" t="s">
        <v>43766</v>
      </c>
      <c r="X9867" t="s">
        <v>47314</v>
      </c>
    </row>
    <row r="9868" spans="1:24">
      <c r="A9868">
        <f>HYPERLINK("https://www.philgeps.gov.ph/GEPSNONPILOT/Tender/SplashBidNoticeAbstractUI.aspx?menuIndex=3&amp;refID=7185722&amp;Result=3","7185722")</f>
        <v>0</v>
      </c>
      <c r="B9868" t="s">
        <v>3032</v>
      </c>
      <c r="C9868" t="s">
        <v>13154</v>
      </c>
      <c r="D9868" t="s">
        <v>18995</v>
      </c>
      <c r="E9868" t="s">
        <v>27515</v>
      </c>
      <c r="F9868" t="s">
        <v>32608</v>
      </c>
      <c r="G9868" t="s">
        <v>32613</v>
      </c>
      <c r="H9868" t="s">
        <v>32623</v>
      </c>
      <c r="I9868" t="s">
        <v>17648</v>
      </c>
      <c r="J9868" t="s">
        <v>32765</v>
      </c>
      <c r="K9868" t="s">
        <v>42631</v>
      </c>
      <c r="M9868" t="s">
        <v>46225</v>
      </c>
      <c r="N9868" t="s">
        <v>47304</v>
      </c>
      <c r="O9868" t="s">
        <v>47305</v>
      </c>
      <c r="P9868">
        <v>0</v>
      </c>
      <c r="Q9868">
        <v>1</v>
      </c>
      <c r="R9868" t="s">
        <v>47313</v>
      </c>
      <c r="S9868" t="s">
        <v>47535</v>
      </c>
      <c r="T9868" t="s">
        <v>49109</v>
      </c>
      <c r="U9868" t="s">
        <v>57690</v>
      </c>
      <c r="W9868" t="s">
        <v>46225</v>
      </c>
      <c r="X9868" t="s">
        <v>47314</v>
      </c>
    </row>
    <row r="9869" spans="1:24">
      <c r="A9869">
        <f>HYPERLINK("https://www.philgeps.gov.ph/GEPSNONPILOT/Tender/SplashBidNoticeAbstractUI.aspx?menuIndex=3&amp;refID=7185686&amp;Result=3","7185686")</f>
        <v>0</v>
      </c>
      <c r="B9869" t="s">
        <v>82</v>
      </c>
      <c r="C9869" t="s">
        <v>13155</v>
      </c>
      <c r="D9869" t="s">
        <v>19011</v>
      </c>
      <c r="E9869" t="s">
        <v>27516</v>
      </c>
      <c r="F9869" t="s">
        <v>32606</v>
      </c>
      <c r="G9869" t="s">
        <v>32613</v>
      </c>
      <c r="H9869" t="s">
        <v>14201</v>
      </c>
      <c r="I9869" t="s">
        <v>6993</v>
      </c>
      <c r="J9869" t="s">
        <v>38879</v>
      </c>
      <c r="K9869" t="s">
        <v>42624</v>
      </c>
      <c r="M9869" t="s">
        <v>43766</v>
      </c>
      <c r="N9869" t="s">
        <v>47304</v>
      </c>
      <c r="O9869" t="s">
        <v>47305</v>
      </c>
      <c r="P9869">
        <v>0</v>
      </c>
      <c r="Q9869">
        <v>3</v>
      </c>
      <c r="R9869" t="s">
        <v>47313</v>
      </c>
      <c r="S9869" t="s">
        <v>47535</v>
      </c>
      <c r="T9869" t="s">
        <v>49068</v>
      </c>
      <c r="U9869" t="s">
        <v>57691</v>
      </c>
      <c r="V9869" t="s">
        <v>62841</v>
      </c>
      <c r="W9869" t="s">
        <v>43766</v>
      </c>
      <c r="X9869" t="s">
        <v>47314</v>
      </c>
    </row>
    <row r="9870" spans="1:24">
      <c r="A9870">
        <f>HYPERLINK("https://www.philgeps.gov.ph/GEPSNONPILOT/Tender/SplashBidNoticeAbstractUI.aspx?menuIndex=3&amp;refID=7185718&amp;Result=3","7185718")</f>
        <v>0</v>
      </c>
      <c r="B9870" t="s">
        <v>535</v>
      </c>
      <c r="C9870" t="s">
        <v>13156</v>
      </c>
      <c r="D9870" t="s">
        <v>19031</v>
      </c>
      <c r="E9870" t="s">
        <v>27517</v>
      </c>
      <c r="F9870" t="s">
        <v>32606</v>
      </c>
      <c r="G9870" t="s">
        <v>32613</v>
      </c>
      <c r="H9870" t="s">
        <v>32623</v>
      </c>
      <c r="I9870" t="s">
        <v>17648</v>
      </c>
      <c r="J9870" t="s">
        <v>38880</v>
      </c>
      <c r="K9870" t="s">
        <v>42646</v>
      </c>
      <c r="M9870" t="s">
        <v>45437</v>
      </c>
      <c r="N9870" t="s">
        <v>47304</v>
      </c>
      <c r="O9870" t="s">
        <v>47305</v>
      </c>
      <c r="P9870">
        <v>0</v>
      </c>
      <c r="Q9870">
        <v>1</v>
      </c>
      <c r="R9870" t="s">
        <v>47313</v>
      </c>
      <c r="S9870" t="s">
        <v>47535</v>
      </c>
      <c r="T9870" t="s">
        <v>49040</v>
      </c>
      <c r="U9870" t="s">
        <v>57692</v>
      </c>
      <c r="W9870" t="s">
        <v>64499</v>
      </c>
      <c r="X9870" t="s">
        <v>47314</v>
      </c>
    </row>
    <row r="9871" spans="1:24">
      <c r="A9871">
        <f>HYPERLINK("https://www.philgeps.gov.ph/GEPSNONPILOT/Tender/SplashBidNoticeAbstractUI.aspx?menuIndex=3&amp;refID=7185715&amp;Result=3","7185715")</f>
        <v>0</v>
      </c>
      <c r="B9871" t="s">
        <v>1617</v>
      </c>
      <c r="C9871" t="s">
        <v>13157</v>
      </c>
      <c r="D9871" t="s">
        <v>19019</v>
      </c>
      <c r="E9871" t="s">
        <v>21836</v>
      </c>
      <c r="F9871" t="s">
        <v>32606</v>
      </c>
      <c r="G9871" t="s">
        <v>32613</v>
      </c>
      <c r="H9871" t="s">
        <v>14201</v>
      </c>
      <c r="I9871" t="s">
        <v>32653</v>
      </c>
      <c r="J9871" t="s">
        <v>32833</v>
      </c>
      <c r="K9871" t="s">
        <v>42631</v>
      </c>
      <c r="M9871" t="s">
        <v>44637</v>
      </c>
      <c r="N9871" t="s">
        <v>47304</v>
      </c>
      <c r="O9871" t="s">
        <v>47305</v>
      </c>
      <c r="P9871">
        <v>0</v>
      </c>
      <c r="Q9871">
        <v>8</v>
      </c>
      <c r="R9871" t="s">
        <v>47313</v>
      </c>
      <c r="S9871" t="s">
        <v>47535</v>
      </c>
      <c r="T9871" t="s">
        <v>49422</v>
      </c>
      <c r="U9871" t="s">
        <v>57693</v>
      </c>
      <c r="W9871" t="s">
        <v>44637</v>
      </c>
      <c r="X9871" t="s">
        <v>47314</v>
      </c>
    </row>
    <row r="9872" spans="1:24">
      <c r="A9872">
        <f>HYPERLINK("https://www.philgeps.gov.ph/GEPSNONPILOT/Tender/SplashBidNoticeAbstractUI.aspx?menuIndex=3&amp;refID=7185726&amp;Result=3","7185726")</f>
        <v>0</v>
      </c>
      <c r="B9872" t="s">
        <v>3033</v>
      </c>
      <c r="C9872" t="s">
        <v>13158</v>
      </c>
      <c r="D9872" t="s">
        <v>19008</v>
      </c>
      <c r="E9872" t="s">
        <v>19809</v>
      </c>
      <c r="F9872" t="s">
        <v>32606</v>
      </c>
      <c r="G9872" t="s">
        <v>32613</v>
      </c>
      <c r="H9872" t="s">
        <v>32623</v>
      </c>
      <c r="I9872" t="s">
        <v>17648</v>
      </c>
      <c r="J9872" t="s">
        <v>38881</v>
      </c>
      <c r="K9872" t="s">
        <v>42636</v>
      </c>
      <c r="M9872" t="s">
        <v>46226</v>
      </c>
      <c r="N9872" t="s">
        <v>47304</v>
      </c>
      <c r="O9872" t="s">
        <v>47305</v>
      </c>
      <c r="P9872">
        <v>0</v>
      </c>
      <c r="Q9872">
        <v>0</v>
      </c>
      <c r="R9872" t="s">
        <v>47313</v>
      </c>
      <c r="S9872" t="s">
        <v>47535</v>
      </c>
      <c r="T9872" t="s">
        <v>49104</v>
      </c>
      <c r="U9872" t="s">
        <v>57694</v>
      </c>
      <c r="W9872" t="s">
        <v>46226</v>
      </c>
      <c r="X9872" t="s">
        <v>47314</v>
      </c>
    </row>
    <row r="9873" spans="1:24">
      <c r="A9873">
        <f>HYPERLINK("https://www.philgeps.gov.ph/GEPSNONPILOT/Tender/SplashBidNoticeAbstractUI.aspx?menuIndex=3&amp;refID=7185791&amp;Result=3","7185791")</f>
        <v>0</v>
      </c>
      <c r="B9873" t="s">
        <v>3034</v>
      </c>
      <c r="C9873" t="s">
        <v>13159</v>
      </c>
      <c r="D9873" t="s">
        <v>19032</v>
      </c>
      <c r="E9873" t="s">
        <v>27518</v>
      </c>
      <c r="F9873" t="s">
        <v>32606</v>
      </c>
      <c r="G9873" t="s">
        <v>32613</v>
      </c>
      <c r="H9873" t="s">
        <v>14201</v>
      </c>
      <c r="I9873" t="s">
        <v>32640</v>
      </c>
      <c r="J9873" t="s">
        <v>38882</v>
      </c>
      <c r="K9873" t="s">
        <v>42623</v>
      </c>
      <c r="M9873" t="s">
        <v>46227</v>
      </c>
      <c r="N9873" t="s">
        <v>47304</v>
      </c>
      <c r="O9873" t="s">
        <v>47305</v>
      </c>
      <c r="P9873">
        <v>0</v>
      </c>
      <c r="Q9873">
        <v>9</v>
      </c>
      <c r="R9873" t="s">
        <v>47313</v>
      </c>
      <c r="S9873" t="s">
        <v>47535</v>
      </c>
      <c r="T9873" t="s">
        <v>49075</v>
      </c>
      <c r="U9873" t="s">
        <v>57695</v>
      </c>
      <c r="V9873" t="s">
        <v>63688</v>
      </c>
      <c r="W9873" t="s">
        <v>46227</v>
      </c>
      <c r="X9873" t="s">
        <v>47314</v>
      </c>
    </row>
    <row r="9874" spans="1:24">
      <c r="A9874">
        <f>HYPERLINK("https://www.philgeps.gov.ph/GEPSNONPILOT/Tender/SplashBidNoticeAbstractUI.aspx?menuIndex=3&amp;refID=7185789&amp;Result=3","7185789")</f>
        <v>0</v>
      </c>
      <c r="B9874" t="s">
        <v>2831</v>
      </c>
      <c r="C9874" t="s">
        <v>13160</v>
      </c>
      <c r="D9874" t="s">
        <v>19013</v>
      </c>
      <c r="E9874" t="s">
        <v>27519</v>
      </c>
      <c r="F9874" t="s">
        <v>32606</v>
      </c>
      <c r="G9874" t="s">
        <v>32614</v>
      </c>
      <c r="H9874" t="s">
        <v>14201</v>
      </c>
      <c r="I9874" t="s">
        <v>13131</v>
      </c>
      <c r="J9874" t="s">
        <v>33291</v>
      </c>
      <c r="K9874" t="s">
        <v>42623</v>
      </c>
      <c r="M9874" t="s">
        <v>45996</v>
      </c>
      <c r="N9874" t="s">
        <v>47304</v>
      </c>
      <c r="O9874" t="s">
        <v>47305</v>
      </c>
      <c r="P9874">
        <v>0</v>
      </c>
      <c r="Q9874">
        <v>1</v>
      </c>
      <c r="R9874" t="s">
        <v>47313</v>
      </c>
      <c r="S9874" t="s">
        <v>47535</v>
      </c>
      <c r="T9874" t="s">
        <v>49071</v>
      </c>
      <c r="U9874" t="s">
        <v>57696</v>
      </c>
      <c r="W9874" t="s">
        <v>45996</v>
      </c>
      <c r="X9874" t="s">
        <v>47314</v>
      </c>
    </row>
    <row r="9875" spans="1:24">
      <c r="A9875">
        <f>HYPERLINK("https://www.philgeps.gov.ph/GEPSNONPILOT/Tender/SplashBidNoticeAbstractUI.aspx?menuIndex=3&amp;refID=7185720&amp;Result=3","7185720")</f>
        <v>0</v>
      </c>
      <c r="B9875" t="s">
        <v>82</v>
      </c>
      <c r="C9875" t="s">
        <v>13161</v>
      </c>
      <c r="D9875" t="s">
        <v>19011</v>
      </c>
      <c r="E9875" t="s">
        <v>27520</v>
      </c>
      <c r="F9875" t="s">
        <v>32606</v>
      </c>
      <c r="G9875" t="s">
        <v>32613</v>
      </c>
      <c r="H9875" t="s">
        <v>14201</v>
      </c>
      <c r="I9875" t="s">
        <v>32632</v>
      </c>
      <c r="J9875" t="s">
        <v>32769</v>
      </c>
      <c r="K9875" t="s">
        <v>42624</v>
      </c>
      <c r="M9875" t="s">
        <v>43766</v>
      </c>
      <c r="N9875" t="s">
        <v>47304</v>
      </c>
      <c r="O9875" t="s">
        <v>47305</v>
      </c>
      <c r="P9875">
        <v>0</v>
      </c>
      <c r="Q9875">
        <v>5</v>
      </c>
      <c r="R9875" t="s">
        <v>47313</v>
      </c>
      <c r="S9875" t="s">
        <v>47535</v>
      </c>
      <c r="T9875" t="s">
        <v>49234</v>
      </c>
      <c r="U9875" t="s">
        <v>57697</v>
      </c>
      <c r="V9875" t="s">
        <v>62841</v>
      </c>
      <c r="W9875" t="s">
        <v>43766</v>
      </c>
      <c r="X9875" t="s">
        <v>47314</v>
      </c>
    </row>
    <row r="9876" spans="1:24">
      <c r="A9876">
        <f>HYPERLINK("https://www.philgeps.gov.ph/GEPSNONPILOT/Tender/SplashBidNoticeAbstractUI.aspx?menuIndex=3&amp;refID=7185785&amp;Result=3","7185785")</f>
        <v>0</v>
      </c>
      <c r="B9876" t="s">
        <v>82</v>
      </c>
      <c r="C9876" t="s">
        <v>13162</v>
      </c>
      <c r="D9876" t="s">
        <v>19011</v>
      </c>
      <c r="E9876" t="s">
        <v>27521</v>
      </c>
      <c r="F9876" t="s">
        <v>32606</v>
      </c>
      <c r="G9876" t="s">
        <v>32613</v>
      </c>
      <c r="H9876" t="s">
        <v>14201</v>
      </c>
      <c r="I9876" t="s">
        <v>32647</v>
      </c>
      <c r="J9876" t="s">
        <v>38883</v>
      </c>
      <c r="K9876" t="s">
        <v>42624</v>
      </c>
      <c r="M9876" t="s">
        <v>43766</v>
      </c>
      <c r="N9876" t="s">
        <v>47304</v>
      </c>
      <c r="O9876" t="s">
        <v>47305</v>
      </c>
      <c r="P9876">
        <v>0</v>
      </c>
      <c r="Q9876">
        <v>1</v>
      </c>
      <c r="R9876" t="s">
        <v>47313</v>
      </c>
      <c r="S9876" t="s">
        <v>47535</v>
      </c>
      <c r="T9876" t="s">
        <v>49234</v>
      </c>
      <c r="U9876" t="s">
        <v>57698</v>
      </c>
      <c r="V9876" t="s">
        <v>62841</v>
      </c>
      <c r="W9876" t="s">
        <v>43766</v>
      </c>
      <c r="X9876" t="s">
        <v>47314</v>
      </c>
    </row>
    <row r="9877" spans="1:24">
      <c r="A9877">
        <f>HYPERLINK("https://www.philgeps.gov.ph/GEPSNONPILOT/Tender/SplashBidNoticeAbstractUI.aspx?menuIndex=3&amp;refID=7185783&amp;Result=3","7185783")</f>
        <v>0</v>
      </c>
      <c r="B9877" t="s">
        <v>2995</v>
      </c>
      <c r="C9877" t="s">
        <v>13163</v>
      </c>
      <c r="D9877" t="s">
        <v>18987</v>
      </c>
      <c r="E9877" t="s">
        <v>27522</v>
      </c>
      <c r="F9877" t="s">
        <v>32606</v>
      </c>
      <c r="G9877" t="s">
        <v>32613</v>
      </c>
      <c r="H9877" t="s">
        <v>32623</v>
      </c>
      <c r="I9877" t="s">
        <v>17648</v>
      </c>
      <c r="J9877" t="s">
        <v>38884</v>
      </c>
      <c r="K9877" t="s">
        <v>42697</v>
      </c>
      <c r="M9877" t="s">
        <v>46183</v>
      </c>
      <c r="N9877" t="s">
        <v>47304</v>
      </c>
      <c r="O9877" t="s">
        <v>47305</v>
      </c>
      <c r="P9877">
        <v>0</v>
      </c>
      <c r="Q9877">
        <v>2</v>
      </c>
      <c r="R9877" t="s">
        <v>47313</v>
      </c>
      <c r="S9877" t="s">
        <v>47535</v>
      </c>
      <c r="T9877" t="s">
        <v>49111</v>
      </c>
      <c r="U9877" t="s">
        <v>57699</v>
      </c>
      <c r="W9877" t="s">
        <v>46183</v>
      </c>
      <c r="X9877" t="s">
        <v>47314</v>
      </c>
    </row>
    <row r="9878" spans="1:24">
      <c r="A9878">
        <f>HYPERLINK("https://www.philgeps.gov.ph/GEPSNONPILOT/Tender/SplashBidNoticeAbstractUI.aspx?menuIndex=3&amp;refID=7185782&amp;Result=3","7185782")</f>
        <v>0</v>
      </c>
      <c r="B9878" t="s">
        <v>3021</v>
      </c>
      <c r="C9878" t="s">
        <v>13164</v>
      </c>
      <c r="D9878" t="s">
        <v>19067</v>
      </c>
      <c r="E9878" t="s">
        <v>27523</v>
      </c>
      <c r="F9878" t="s">
        <v>32606</v>
      </c>
      <c r="G9878" t="s">
        <v>32613</v>
      </c>
      <c r="H9878" t="s">
        <v>14201</v>
      </c>
      <c r="I9878" t="s">
        <v>8606</v>
      </c>
      <c r="J9878" t="s">
        <v>36887</v>
      </c>
      <c r="K9878" t="s">
        <v>42631</v>
      </c>
      <c r="M9878" t="s">
        <v>46213</v>
      </c>
      <c r="N9878" t="s">
        <v>47304</v>
      </c>
      <c r="O9878" t="s">
        <v>47305</v>
      </c>
      <c r="P9878">
        <v>0</v>
      </c>
      <c r="Q9878">
        <v>3</v>
      </c>
      <c r="R9878" t="s">
        <v>47313</v>
      </c>
      <c r="S9878" t="s">
        <v>47535</v>
      </c>
      <c r="T9878" t="s">
        <v>49268</v>
      </c>
      <c r="U9878" t="s">
        <v>57700</v>
      </c>
      <c r="W9878" t="s">
        <v>46213</v>
      </c>
      <c r="X9878" t="s">
        <v>47314</v>
      </c>
    </row>
    <row r="9879" spans="1:24">
      <c r="A9879">
        <f>HYPERLINK("https://www.philgeps.gov.ph/GEPSNONPILOT/Tender/SplashBidNoticeAbstractUI.aspx?menuIndex=3&amp;refID=7185779&amp;Result=3","7185779")</f>
        <v>0</v>
      </c>
      <c r="B9879" t="s">
        <v>82</v>
      </c>
      <c r="C9879" t="s">
        <v>13165</v>
      </c>
      <c r="D9879" t="s">
        <v>19011</v>
      </c>
      <c r="E9879" t="s">
        <v>27524</v>
      </c>
      <c r="F9879" t="s">
        <v>32606</v>
      </c>
      <c r="G9879" t="s">
        <v>32613</v>
      </c>
      <c r="H9879" t="s">
        <v>14201</v>
      </c>
      <c r="I9879" t="s">
        <v>32631</v>
      </c>
      <c r="J9879" t="s">
        <v>38885</v>
      </c>
      <c r="K9879" t="s">
        <v>42624</v>
      </c>
      <c r="M9879" t="s">
        <v>43766</v>
      </c>
      <c r="N9879" t="s">
        <v>47304</v>
      </c>
      <c r="O9879" t="s">
        <v>47305</v>
      </c>
      <c r="P9879">
        <v>0</v>
      </c>
      <c r="Q9879">
        <v>4</v>
      </c>
      <c r="R9879" t="s">
        <v>47313</v>
      </c>
      <c r="S9879" t="s">
        <v>47535</v>
      </c>
      <c r="T9879" t="s">
        <v>49234</v>
      </c>
      <c r="U9879" t="s">
        <v>57701</v>
      </c>
      <c r="V9879" t="s">
        <v>62841</v>
      </c>
      <c r="W9879" t="s">
        <v>43766</v>
      </c>
      <c r="X9879" t="s">
        <v>47314</v>
      </c>
    </row>
    <row r="9880" spans="1:24">
      <c r="A9880">
        <f>HYPERLINK("https://www.philgeps.gov.ph/GEPSNONPILOT/Tender/SplashBidNoticeAbstractUI.aspx?menuIndex=3&amp;refID=7185777&amp;Result=3","7185777")</f>
        <v>0</v>
      </c>
      <c r="B9880" t="s">
        <v>535</v>
      </c>
      <c r="C9880" t="s">
        <v>13166</v>
      </c>
      <c r="D9880" t="s">
        <v>19031</v>
      </c>
      <c r="E9880" t="s">
        <v>27525</v>
      </c>
      <c r="F9880" t="s">
        <v>32606</v>
      </c>
      <c r="G9880" t="s">
        <v>32613</v>
      </c>
      <c r="H9880" t="s">
        <v>32623</v>
      </c>
      <c r="I9880" t="s">
        <v>17648</v>
      </c>
      <c r="J9880" t="s">
        <v>38886</v>
      </c>
      <c r="K9880" t="s">
        <v>42646</v>
      </c>
      <c r="M9880" t="s">
        <v>45437</v>
      </c>
      <c r="N9880" t="s">
        <v>47304</v>
      </c>
      <c r="O9880" t="s">
        <v>47305</v>
      </c>
      <c r="P9880">
        <v>0</v>
      </c>
      <c r="Q9880">
        <v>0</v>
      </c>
      <c r="R9880" t="s">
        <v>47313</v>
      </c>
      <c r="S9880" t="s">
        <v>47535</v>
      </c>
      <c r="T9880" t="s">
        <v>49040</v>
      </c>
      <c r="U9880" t="s">
        <v>57702</v>
      </c>
      <c r="W9880" t="s">
        <v>64499</v>
      </c>
      <c r="X9880" t="s">
        <v>47314</v>
      </c>
    </row>
    <row r="9881" spans="1:24">
      <c r="A9881">
        <f>HYPERLINK("https://www.philgeps.gov.ph/GEPSNONPILOT/Tender/SplashBidNoticeAbstractUI.aspx?menuIndex=3&amp;refID=7185773&amp;Result=3","7185773")</f>
        <v>0</v>
      </c>
      <c r="B9881" t="s">
        <v>3035</v>
      </c>
      <c r="C9881" t="s">
        <v>13167</v>
      </c>
      <c r="D9881" t="s">
        <v>19011</v>
      </c>
      <c r="E9881" t="s">
        <v>27526</v>
      </c>
      <c r="F9881" t="s">
        <v>32606</v>
      </c>
      <c r="G9881" t="s">
        <v>32613</v>
      </c>
      <c r="H9881" t="s">
        <v>14201</v>
      </c>
      <c r="I9881" t="s">
        <v>7064</v>
      </c>
      <c r="J9881" t="s">
        <v>32765</v>
      </c>
      <c r="K9881" t="s">
        <v>42631</v>
      </c>
      <c r="M9881" t="s">
        <v>46228</v>
      </c>
      <c r="N9881" t="s">
        <v>47304</v>
      </c>
      <c r="O9881" t="s">
        <v>47305</v>
      </c>
      <c r="P9881">
        <v>0</v>
      </c>
      <c r="Q9881">
        <v>0</v>
      </c>
      <c r="R9881" t="s">
        <v>47313</v>
      </c>
      <c r="S9881" t="s">
        <v>47535</v>
      </c>
      <c r="T9881" t="s">
        <v>49066</v>
      </c>
      <c r="U9881" t="s">
        <v>57703</v>
      </c>
      <c r="W9881" t="s">
        <v>46228</v>
      </c>
      <c r="X9881" t="s">
        <v>47314</v>
      </c>
    </row>
    <row r="9882" spans="1:24">
      <c r="A9882">
        <f>HYPERLINK("https://www.philgeps.gov.ph/GEPSNONPILOT/Tender/SplashBidNoticeAbstractUI.aspx?menuIndex=3&amp;refID=7185770&amp;Result=3","7185770")</f>
        <v>0</v>
      </c>
      <c r="B9882" t="s">
        <v>2964</v>
      </c>
      <c r="C9882" t="s">
        <v>13168</v>
      </c>
      <c r="D9882" t="s">
        <v>19034</v>
      </c>
      <c r="E9882" t="s">
        <v>27527</v>
      </c>
      <c r="F9882" t="s">
        <v>32606</v>
      </c>
      <c r="G9882" t="s">
        <v>32614</v>
      </c>
      <c r="H9882" t="s">
        <v>14201</v>
      </c>
      <c r="I9882" t="s">
        <v>32629</v>
      </c>
      <c r="J9882" t="s">
        <v>38887</v>
      </c>
      <c r="K9882" t="s">
        <v>42622</v>
      </c>
      <c r="M9882" t="s">
        <v>46149</v>
      </c>
      <c r="N9882" t="s">
        <v>47304</v>
      </c>
      <c r="O9882" t="s">
        <v>47305</v>
      </c>
      <c r="P9882">
        <v>0</v>
      </c>
      <c r="Q9882">
        <v>0</v>
      </c>
      <c r="R9882" t="s">
        <v>47313</v>
      </c>
      <c r="S9882" t="s">
        <v>47535</v>
      </c>
      <c r="T9882" t="s">
        <v>49067</v>
      </c>
      <c r="U9882" t="s">
        <v>57704</v>
      </c>
      <c r="W9882" t="s">
        <v>46149</v>
      </c>
      <c r="X9882" t="s">
        <v>47314</v>
      </c>
    </row>
    <row r="9883" spans="1:24">
      <c r="A9883">
        <f>HYPERLINK("https://www.philgeps.gov.ph/GEPSNONPILOT/Tender/SplashBidNoticeAbstractUI.aspx?menuIndex=3&amp;refID=7185717&amp;Result=3","7185717")</f>
        <v>0</v>
      </c>
      <c r="B9883" t="s">
        <v>3024</v>
      </c>
      <c r="C9883" t="s">
        <v>13169</v>
      </c>
      <c r="D9883" t="s">
        <v>19039</v>
      </c>
      <c r="E9883" t="s">
        <v>27528</v>
      </c>
      <c r="F9883" t="s">
        <v>32606</v>
      </c>
      <c r="G9883" t="s">
        <v>32617</v>
      </c>
      <c r="H9883" t="s">
        <v>14201</v>
      </c>
      <c r="I9883" t="s">
        <v>4120</v>
      </c>
      <c r="J9883" t="s">
        <v>38888</v>
      </c>
      <c r="K9883" t="s">
        <v>42624</v>
      </c>
      <c r="M9883" t="s">
        <v>46216</v>
      </c>
      <c r="N9883" t="s">
        <v>47304</v>
      </c>
      <c r="O9883" t="s">
        <v>47305</v>
      </c>
      <c r="Q9883">
        <v>0</v>
      </c>
      <c r="R9883" t="s">
        <v>47313</v>
      </c>
      <c r="S9883" t="s">
        <v>47569</v>
      </c>
      <c r="T9883" t="s">
        <v>49020</v>
      </c>
      <c r="U9883" t="s">
        <v>57705</v>
      </c>
      <c r="W9883" t="s">
        <v>46216</v>
      </c>
      <c r="X9883" t="s">
        <v>47314</v>
      </c>
    </row>
    <row r="9884" spans="1:24">
      <c r="A9884">
        <f>HYPERLINK("https://www.philgeps.gov.ph/GEPSNONPILOT/Tender/SplashBidNoticeAbstractUI.aspx?menuIndex=3&amp;refID=7185768&amp;Result=3","7185768")</f>
        <v>0</v>
      </c>
      <c r="B9884" t="s">
        <v>2968</v>
      </c>
      <c r="C9884" t="s">
        <v>13170</v>
      </c>
      <c r="D9884" t="s">
        <v>19002</v>
      </c>
      <c r="E9884" t="s">
        <v>27529</v>
      </c>
      <c r="F9884" t="s">
        <v>32606</v>
      </c>
      <c r="G9884" t="s">
        <v>32613</v>
      </c>
      <c r="H9884" t="s">
        <v>14201</v>
      </c>
      <c r="I9884" t="s">
        <v>32633</v>
      </c>
      <c r="J9884" t="s">
        <v>32770</v>
      </c>
      <c r="K9884" t="s">
        <v>42623</v>
      </c>
      <c r="M9884" t="s">
        <v>46153</v>
      </c>
      <c r="N9884" t="s">
        <v>47304</v>
      </c>
      <c r="O9884" t="s">
        <v>47305</v>
      </c>
      <c r="P9884">
        <v>0</v>
      </c>
      <c r="Q9884">
        <v>7</v>
      </c>
      <c r="R9884" t="s">
        <v>47313</v>
      </c>
      <c r="S9884" t="s">
        <v>47535</v>
      </c>
      <c r="T9884" t="s">
        <v>49053</v>
      </c>
      <c r="U9884" t="s">
        <v>57706</v>
      </c>
      <c r="V9884" t="s">
        <v>63654</v>
      </c>
      <c r="W9884" t="s">
        <v>46153</v>
      </c>
      <c r="X9884" t="s">
        <v>47314</v>
      </c>
    </row>
    <row r="9885" spans="1:24">
      <c r="A9885">
        <f>HYPERLINK("https://www.philgeps.gov.ph/GEPSNONPILOT/Tender/SplashBidNoticeAbstractUI.aspx?menuIndex=3&amp;refID=7185766&amp;Result=3","7185766")</f>
        <v>0</v>
      </c>
      <c r="B9885" t="s">
        <v>82</v>
      </c>
      <c r="C9885" t="s">
        <v>13171</v>
      </c>
      <c r="D9885" t="s">
        <v>19011</v>
      </c>
      <c r="E9885" t="s">
        <v>27530</v>
      </c>
      <c r="F9885" t="s">
        <v>32606</v>
      </c>
      <c r="G9885" t="s">
        <v>32613</v>
      </c>
      <c r="H9885" t="s">
        <v>14201</v>
      </c>
      <c r="I9885" t="s">
        <v>6993</v>
      </c>
      <c r="J9885" t="s">
        <v>38889</v>
      </c>
      <c r="K9885" t="s">
        <v>42624</v>
      </c>
      <c r="M9885" t="s">
        <v>43766</v>
      </c>
      <c r="N9885" t="s">
        <v>47304</v>
      </c>
      <c r="O9885" t="s">
        <v>47305</v>
      </c>
      <c r="P9885">
        <v>0</v>
      </c>
      <c r="Q9885">
        <v>3</v>
      </c>
      <c r="R9885" t="s">
        <v>47313</v>
      </c>
      <c r="S9885" t="s">
        <v>47535</v>
      </c>
      <c r="T9885" t="s">
        <v>49234</v>
      </c>
      <c r="U9885" t="s">
        <v>57707</v>
      </c>
      <c r="V9885" t="s">
        <v>62841</v>
      </c>
      <c r="W9885" t="s">
        <v>43766</v>
      </c>
      <c r="X9885" t="s">
        <v>47314</v>
      </c>
    </row>
    <row r="9886" spans="1:24">
      <c r="A9886">
        <f>HYPERLINK("https://www.philgeps.gov.ph/GEPSNONPILOT/Tender/SplashBidNoticeAbstractUI.aspx?menuIndex=3&amp;refID=7185757&amp;Result=3","7185757")</f>
        <v>0</v>
      </c>
      <c r="B9886" t="s">
        <v>3036</v>
      </c>
      <c r="C9886" t="s">
        <v>13172</v>
      </c>
      <c r="D9886" t="s">
        <v>19008</v>
      </c>
      <c r="E9886" t="s">
        <v>20282</v>
      </c>
      <c r="F9886" t="s">
        <v>32606</v>
      </c>
      <c r="G9886" t="s">
        <v>32613</v>
      </c>
      <c r="H9886" t="s">
        <v>32623</v>
      </c>
      <c r="I9886" t="s">
        <v>17648</v>
      </c>
      <c r="J9886" t="s">
        <v>33934</v>
      </c>
      <c r="K9886" t="s">
        <v>42648</v>
      </c>
      <c r="M9886" t="s">
        <v>46229</v>
      </c>
      <c r="N9886" t="s">
        <v>47304</v>
      </c>
      <c r="O9886" t="s">
        <v>47305</v>
      </c>
      <c r="P9886">
        <v>0</v>
      </c>
      <c r="Q9886">
        <v>1</v>
      </c>
      <c r="R9886" t="s">
        <v>47313</v>
      </c>
      <c r="S9886" t="s">
        <v>47535</v>
      </c>
      <c r="T9886" t="s">
        <v>49311</v>
      </c>
      <c r="U9886" t="s">
        <v>57708</v>
      </c>
      <c r="V9886" t="s">
        <v>63689</v>
      </c>
      <c r="W9886" t="s">
        <v>46229</v>
      </c>
      <c r="X9886" t="s">
        <v>47314</v>
      </c>
    </row>
    <row r="9887" spans="1:24">
      <c r="A9887">
        <f>HYPERLINK("https://www.philgeps.gov.ph/GEPSNONPILOT/Tender/SplashBidNoticeAbstractUI.aspx?menuIndex=3&amp;refID=7185756&amp;Result=3","7185756")</f>
        <v>0</v>
      </c>
      <c r="B9887" t="s">
        <v>778</v>
      </c>
      <c r="C9887" t="s">
        <v>13173</v>
      </c>
      <c r="D9887" t="s">
        <v>19012</v>
      </c>
      <c r="E9887" t="s">
        <v>19373</v>
      </c>
      <c r="F9887" t="s">
        <v>32606</v>
      </c>
      <c r="G9887" t="s">
        <v>32613</v>
      </c>
      <c r="H9887" t="s">
        <v>14201</v>
      </c>
      <c r="I9887" t="s">
        <v>32661</v>
      </c>
      <c r="J9887" t="s">
        <v>38890</v>
      </c>
      <c r="K9887" t="s">
        <v>42623</v>
      </c>
      <c r="M9887" t="s">
        <v>43708</v>
      </c>
      <c r="N9887" t="s">
        <v>47304</v>
      </c>
      <c r="O9887" t="s">
        <v>47305</v>
      </c>
      <c r="P9887">
        <v>0</v>
      </c>
      <c r="Q9887">
        <v>3</v>
      </c>
      <c r="R9887" t="s">
        <v>47313</v>
      </c>
      <c r="S9887" t="s">
        <v>47535</v>
      </c>
      <c r="T9887" t="s">
        <v>49146</v>
      </c>
      <c r="U9887" t="s">
        <v>57709</v>
      </c>
      <c r="W9887" t="s">
        <v>43708</v>
      </c>
      <c r="X9887" t="s">
        <v>47314</v>
      </c>
    </row>
    <row r="9888" spans="1:24">
      <c r="A9888">
        <f>HYPERLINK("https://www.philgeps.gov.ph/GEPSNONPILOT/Tender/SplashBidNoticeAbstractUI.aspx?menuIndex=3&amp;refID=7185752&amp;Result=3","7185752")</f>
        <v>0</v>
      </c>
      <c r="B9888" t="s">
        <v>2995</v>
      </c>
      <c r="C9888" t="s">
        <v>13174</v>
      </c>
      <c r="D9888" t="s">
        <v>18987</v>
      </c>
      <c r="E9888" t="s">
        <v>27531</v>
      </c>
      <c r="F9888" t="s">
        <v>32606</v>
      </c>
      <c r="G9888" t="s">
        <v>32613</v>
      </c>
      <c r="H9888" t="s">
        <v>32623</v>
      </c>
      <c r="I9888" t="s">
        <v>17648</v>
      </c>
      <c r="J9888" t="s">
        <v>38891</v>
      </c>
      <c r="K9888" t="s">
        <v>42636</v>
      </c>
      <c r="M9888" t="s">
        <v>46183</v>
      </c>
      <c r="N9888" t="s">
        <v>47304</v>
      </c>
      <c r="O9888" t="s">
        <v>47305</v>
      </c>
      <c r="P9888">
        <v>0</v>
      </c>
      <c r="Q9888">
        <v>2</v>
      </c>
      <c r="R9888" t="s">
        <v>47313</v>
      </c>
      <c r="S9888" t="s">
        <v>47535</v>
      </c>
      <c r="T9888" t="s">
        <v>49111</v>
      </c>
      <c r="U9888" t="s">
        <v>57710</v>
      </c>
      <c r="W9888" t="s">
        <v>46183</v>
      </c>
      <c r="X9888" t="s">
        <v>47314</v>
      </c>
    </row>
    <row r="9889" spans="1:24">
      <c r="A9889">
        <f>HYPERLINK("https://www.philgeps.gov.ph/GEPSNONPILOT/Tender/SplashBidNoticeAbstractUI.aspx?menuIndex=3&amp;refID=7185738&amp;Result=3","7185738")</f>
        <v>0</v>
      </c>
      <c r="B9889" t="s">
        <v>135</v>
      </c>
      <c r="C9889" t="s">
        <v>13175</v>
      </c>
      <c r="D9889" t="s">
        <v>19009</v>
      </c>
      <c r="E9889" t="s">
        <v>27532</v>
      </c>
      <c r="F9889" t="s">
        <v>32606</v>
      </c>
      <c r="G9889" t="s">
        <v>32613</v>
      </c>
      <c r="H9889" t="s">
        <v>32623</v>
      </c>
      <c r="I9889" t="s">
        <v>17648</v>
      </c>
      <c r="J9889" t="s">
        <v>38892</v>
      </c>
      <c r="K9889" t="s">
        <v>42641</v>
      </c>
      <c r="M9889" t="s">
        <v>43036</v>
      </c>
      <c r="N9889" t="s">
        <v>47304</v>
      </c>
      <c r="O9889" t="s">
        <v>47305</v>
      </c>
      <c r="P9889">
        <v>0</v>
      </c>
      <c r="Q9889">
        <v>0</v>
      </c>
      <c r="R9889" t="s">
        <v>47313</v>
      </c>
      <c r="S9889" t="s">
        <v>47535</v>
      </c>
      <c r="T9889" t="s">
        <v>49119</v>
      </c>
      <c r="U9889" t="s">
        <v>57711</v>
      </c>
      <c r="V9889" t="s">
        <v>63690</v>
      </c>
      <c r="W9889" t="s">
        <v>43036</v>
      </c>
      <c r="X9889" t="s">
        <v>47314</v>
      </c>
    </row>
    <row r="9890" spans="1:24">
      <c r="A9890">
        <f>HYPERLINK("https://www.philgeps.gov.ph/GEPSNONPILOT/Tender/SplashBidNoticeAbstractUI.aspx?menuIndex=3&amp;refID=7185737&amp;Result=3","7185737")</f>
        <v>0</v>
      </c>
      <c r="B9890" t="s">
        <v>2968</v>
      </c>
      <c r="C9890" t="s">
        <v>13176</v>
      </c>
      <c r="E9890" t="s">
        <v>27533</v>
      </c>
      <c r="F9890" t="s">
        <v>32606</v>
      </c>
      <c r="G9890" t="s">
        <v>32613</v>
      </c>
      <c r="H9890" t="s">
        <v>14201</v>
      </c>
      <c r="I9890" t="s">
        <v>32673</v>
      </c>
      <c r="J9890" t="s">
        <v>33861</v>
      </c>
      <c r="K9890" t="s">
        <v>42677</v>
      </c>
      <c r="M9890" t="s">
        <v>46153</v>
      </c>
      <c r="N9890" t="s">
        <v>47304</v>
      </c>
      <c r="O9890" t="s">
        <v>47305</v>
      </c>
      <c r="P9890">
        <v>0</v>
      </c>
      <c r="Q9890">
        <v>3</v>
      </c>
      <c r="R9890" t="s">
        <v>47313</v>
      </c>
      <c r="S9890" t="s">
        <v>47535</v>
      </c>
      <c r="T9890" t="s">
        <v>49053</v>
      </c>
      <c r="U9890" t="s">
        <v>57712</v>
      </c>
      <c r="V9890" t="s">
        <v>63654</v>
      </c>
      <c r="W9890" t="s">
        <v>46153</v>
      </c>
      <c r="X9890" t="s">
        <v>47314</v>
      </c>
    </row>
    <row r="9891" spans="1:24">
      <c r="A9891">
        <f>HYPERLINK("https://www.philgeps.gov.ph/GEPSNONPILOT/Tender/SplashBidNoticeAbstractUI.aspx?menuIndex=3&amp;refID=7185749&amp;Result=3","7185749")</f>
        <v>0</v>
      </c>
      <c r="B9891" t="s">
        <v>373</v>
      </c>
      <c r="C9891" t="s">
        <v>13177</v>
      </c>
      <c r="D9891" t="s">
        <v>19002</v>
      </c>
      <c r="E9891" t="s">
        <v>27534</v>
      </c>
      <c r="F9891" t="s">
        <v>32606</v>
      </c>
      <c r="G9891" t="s">
        <v>32613</v>
      </c>
      <c r="H9891" t="s">
        <v>32624</v>
      </c>
      <c r="I9891" t="s">
        <v>32641</v>
      </c>
      <c r="J9891" t="s">
        <v>38893</v>
      </c>
      <c r="K9891" t="s">
        <v>42631</v>
      </c>
      <c r="M9891" t="s">
        <v>43275</v>
      </c>
      <c r="N9891" t="s">
        <v>47304</v>
      </c>
      <c r="O9891" t="s">
        <v>47305</v>
      </c>
      <c r="P9891">
        <v>0</v>
      </c>
      <c r="Q9891">
        <v>0</v>
      </c>
      <c r="R9891" t="s">
        <v>47313</v>
      </c>
      <c r="S9891" t="s">
        <v>47535</v>
      </c>
      <c r="T9891" t="s">
        <v>49099</v>
      </c>
      <c r="U9891" t="s">
        <v>50213</v>
      </c>
      <c r="V9891" t="s">
        <v>63691</v>
      </c>
      <c r="W9891" t="s">
        <v>64430</v>
      </c>
      <c r="X9891" t="s">
        <v>47314</v>
      </c>
    </row>
    <row r="9892" spans="1:24">
      <c r="A9892">
        <f>HYPERLINK("https://www.philgeps.gov.ph/GEPSNONPILOT/Tender/SplashBidNoticeAbstractUI.aspx?menuIndex=3&amp;refID=7185747&amp;Result=3","7185747")</f>
        <v>0</v>
      </c>
      <c r="B9892" t="s">
        <v>3023</v>
      </c>
      <c r="C9892" t="s">
        <v>13178</v>
      </c>
      <c r="D9892" t="s">
        <v>19008</v>
      </c>
      <c r="E9892" t="s">
        <v>27535</v>
      </c>
      <c r="F9892" t="s">
        <v>32606</v>
      </c>
      <c r="G9892" t="s">
        <v>32613</v>
      </c>
      <c r="H9892" t="s">
        <v>32623</v>
      </c>
      <c r="I9892" t="s">
        <v>17648</v>
      </c>
      <c r="J9892" t="s">
        <v>38894</v>
      </c>
      <c r="K9892" t="s">
        <v>42624</v>
      </c>
      <c r="M9892" t="s">
        <v>46215</v>
      </c>
      <c r="N9892" t="s">
        <v>47304</v>
      </c>
      <c r="O9892" t="s">
        <v>47305</v>
      </c>
      <c r="P9892">
        <v>0</v>
      </c>
      <c r="Q9892">
        <v>1</v>
      </c>
      <c r="R9892" t="s">
        <v>47313</v>
      </c>
      <c r="S9892" t="s">
        <v>47535</v>
      </c>
      <c r="T9892" t="s">
        <v>48998</v>
      </c>
      <c r="U9892" t="s">
        <v>57713</v>
      </c>
      <c r="W9892" t="s">
        <v>46215</v>
      </c>
      <c r="X9892" t="s">
        <v>47314</v>
      </c>
    </row>
    <row r="9893" spans="1:24">
      <c r="A9893">
        <f>HYPERLINK("https://www.philgeps.gov.ph/GEPSNONPILOT/Tender/SplashBidNoticeAbstractUI.aspx?menuIndex=3&amp;refID=7185755&amp;Result=3","7185755")</f>
        <v>0</v>
      </c>
      <c r="B9893" t="s">
        <v>3037</v>
      </c>
      <c r="C9893" t="s">
        <v>13179</v>
      </c>
      <c r="D9893" t="s">
        <v>19005</v>
      </c>
      <c r="E9893" t="s">
        <v>27536</v>
      </c>
      <c r="F9893" t="s">
        <v>32606</v>
      </c>
      <c r="G9893" t="s">
        <v>32613</v>
      </c>
      <c r="H9893" t="s">
        <v>14201</v>
      </c>
      <c r="I9893" t="s">
        <v>4115</v>
      </c>
      <c r="J9893" t="s">
        <v>32772</v>
      </c>
      <c r="K9893" t="s">
        <v>42623</v>
      </c>
      <c r="M9893" t="s">
        <v>46230</v>
      </c>
      <c r="N9893" t="s">
        <v>47304</v>
      </c>
      <c r="O9893" t="s">
        <v>47305</v>
      </c>
      <c r="P9893">
        <v>0</v>
      </c>
      <c r="Q9893">
        <v>4</v>
      </c>
      <c r="R9893" t="s">
        <v>47313</v>
      </c>
      <c r="S9893" t="s">
        <v>47535</v>
      </c>
      <c r="T9893" t="s">
        <v>49077</v>
      </c>
      <c r="U9893" t="s">
        <v>57714</v>
      </c>
      <c r="V9893" t="s">
        <v>63692</v>
      </c>
      <c r="W9893" t="s">
        <v>46230</v>
      </c>
      <c r="X9893" t="s">
        <v>47314</v>
      </c>
    </row>
    <row r="9894" spans="1:24">
      <c r="A9894">
        <f>HYPERLINK("https://www.philgeps.gov.ph/GEPSNONPILOT/Tender/SplashBidNoticeAbstractUI.aspx?menuIndex=3&amp;refID=7185710&amp;Result=3","7185710")</f>
        <v>0</v>
      </c>
      <c r="B9894" t="s">
        <v>301</v>
      </c>
      <c r="C9894" t="s">
        <v>13180</v>
      </c>
      <c r="D9894" t="s">
        <v>19011</v>
      </c>
      <c r="E9894" t="s">
        <v>27537</v>
      </c>
      <c r="F9894" t="s">
        <v>32607</v>
      </c>
      <c r="G9894" t="s">
        <v>32615</v>
      </c>
      <c r="H9894" t="s">
        <v>14201</v>
      </c>
      <c r="I9894" t="s">
        <v>32633</v>
      </c>
      <c r="J9894" t="s">
        <v>38895</v>
      </c>
      <c r="K9894" t="s">
        <v>42631</v>
      </c>
      <c r="M9894" t="s">
        <v>46231</v>
      </c>
      <c r="N9894" t="s">
        <v>47304</v>
      </c>
      <c r="O9894" t="s">
        <v>47305</v>
      </c>
      <c r="P9894">
        <v>0</v>
      </c>
      <c r="Q9894">
        <v>4</v>
      </c>
      <c r="R9894" t="s">
        <v>47313</v>
      </c>
      <c r="S9894" t="s">
        <v>47535</v>
      </c>
      <c r="T9894" t="s">
        <v>49269</v>
      </c>
      <c r="U9894" t="s">
        <v>57715</v>
      </c>
      <c r="W9894" t="s">
        <v>46231</v>
      </c>
      <c r="X9894" t="s">
        <v>47314</v>
      </c>
    </row>
    <row r="9895" spans="1:24">
      <c r="A9895">
        <f>HYPERLINK("https://www.philgeps.gov.ph/GEPSNONPILOT/Tender/SplashBidNoticeAbstractUI.aspx?menuIndex=3&amp;refID=7185708&amp;Result=3","7185708")</f>
        <v>0</v>
      </c>
      <c r="B9895" t="s">
        <v>2831</v>
      </c>
      <c r="C9895" t="s">
        <v>13181</v>
      </c>
      <c r="D9895" t="s">
        <v>19013</v>
      </c>
      <c r="E9895" t="s">
        <v>27538</v>
      </c>
      <c r="F9895" t="s">
        <v>32606</v>
      </c>
      <c r="G9895" t="s">
        <v>32614</v>
      </c>
      <c r="H9895" t="s">
        <v>14201</v>
      </c>
      <c r="I9895" t="s">
        <v>7577</v>
      </c>
      <c r="J9895" t="s">
        <v>32981</v>
      </c>
      <c r="K9895" t="s">
        <v>42627</v>
      </c>
      <c r="M9895" t="s">
        <v>45996</v>
      </c>
      <c r="N9895" t="s">
        <v>47304</v>
      </c>
      <c r="O9895" t="s">
        <v>47305</v>
      </c>
      <c r="P9895">
        <v>0</v>
      </c>
      <c r="Q9895">
        <v>0</v>
      </c>
      <c r="R9895" t="s">
        <v>47313</v>
      </c>
      <c r="S9895" t="s">
        <v>47535</v>
      </c>
      <c r="T9895" t="s">
        <v>49071</v>
      </c>
      <c r="U9895" t="s">
        <v>57716</v>
      </c>
      <c r="W9895" t="s">
        <v>45996</v>
      </c>
      <c r="X9895" t="s">
        <v>47314</v>
      </c>
    </row>
    <row r="9896" spans="1:24">
      <c r="A9896">
        <f>HYPERLINK("https://www.philgeps.gov.ph/GEPSNONPILOT/Tender/SplashBidNoticeAbstractUI.aspx?menuIndex=3&amp;refID=7185592&amp;Result=3","7185592")</f>
        <v>0</v>
      </c>
      <c r="B9896" t="s">
        <v>3025</v>
      </c>
      <c r="C9896" t="s">
        <v>13182</v>
      </c>
      <c r="D9896" t="s">
        <v>19034</v>
      </c>
      <c r="E9896" t="s">
        <v>27539</v>
      </c>
      <c r="F9896" t="s">
        <v>32606</v>
      </c>
      <c r="G9896" t="s">
        <v>32613</v>
      </c>
      <c r="H9896" t="s">
        <v>32623</v>
      </c>
      <c r="I9896" t="s">
        <v>32659</v>
      </c>
      <c r="J9896" t="s">
        <v>32770</v>
      </c>
      <c r="K9896" t="s">
        <v>42623</v>
      </c>
      <c r="M9896" t="s">
        <v>46217</v>
      </c>
      <c r="N9896" t="s">
        <v>47304</v>
      </c>
      <c r="O9896" t="s">
        <v>47305</v>
      </c>
      <c r="P9896">
        <v>0</v>
      </c>
      <c r="Q9896">
        <v>2</v>
      </c>
      <c r="R9896" t="s">
        <v>47313</v>
      </c>
      <c r="S9896" t="s">
        <v>47535</v>
      </c>
      <c r="T9896" t="s">
        <v>49075</v>
      </c>
      <c r="U9896" t="s">
        <v>57717</v>
      </c>
      <c r="W9896" t="s">
        <v>46217</v>
      </c>
      <c r="X9896" t="s">
        <v>47314</v>
      </c>
    </row>
    <row r="9897" spans="1:24">
      <c r="A9897">
        <f>HYPERLINK("https://www.philgeps.gov.ph/GEPSNONPILOT/Tender/SplashBidNoticeAbstractUI.aspx?menuIndex=3&amp;refID=7185701&amp;Result=3","7185701")</f>
        <v>0</v>
      </c>
      <c r="B9897" t="s">
        <v>3038</v>
      </c>
      <c r="C9897" t="s">
        <v>13183</v>
      </c>
      <c r="D9897" t="s">
        <v>19006</v>
      </c>
      <c r="E9897" t="s">
        <v>27540</v>
      </c>
      <c r="F9897" t="s">
        <v>32606</v>
      </c>
      <c r="G9897" t="s">
        <v>32613</v>
      </c>
      <c r="H9897" t="s">
        <v>14201</v>
      </c>
      <c r="I9897" t="s">
        <v>4120</v>
      </c>
      <c r="J9897" t="s">
        <v>37452</v>
      </c>
      <c r="K9897" t="s">
        <v>42623</v>
      </c>
      <c r="M9897" t="s">
        <v>46232</v>
      </c>
      <c r="N9897" t="s">
        <v>47304</v>
      </c>
      <c r="O9897" t="s">
        <v>47305</v>
      </c>
      <c r="P9897">
        <v>0</v>
      </c>
      <c r="Q9897">
        <v>2</v>
      </c>
      <c r="R9897" t="s">
        <v>47313</v>
      </c>
      <c r="S9897" t="s">
        <v>47535</v>
      </c>
      <c r="T9897" t="s">
        <v>49269</v>
      </c>
      <c r="U9897" t="s">
        <v>57718</v>
      </c>
      <c r="W9897" t="s">
        <v>46232</v>
      </c>
      <c r="X9897" t="s">
        <v>47314</v>
      </c>
    </row>
    <row r="9898" spans="1:24">
      <c r="A9898">
        <f>HYPERLINK("https://www.philgeps.gov.ph/GEPSNONPILOT/Tender/SplashBidNoticeAbstractUI.aspx?menuIndex=3&amp;refID=7185666&amp;Result=3","7185666")</f>
        <v>0</v>
      </c>
      <c r="B9898" t="s">
        <v>392</v>
      </c>
      <c r="C9898" t="s">
        <v>13184</v>
      </c>
      <c r="D9898" t="s">
        <v>18993</v>
      </c>
      <c r="E9898" t="s">
        <v>27541</v>
      </c>
      <c r="F9898" t="s">
        <v>32606</v>
      </c>
      <c r="G9898" t="s">
        <v>32613</v>
      </c>
      <c r="H9898" t="s">
        <v>14201</v>
      </c>
      <c r="I9898" t="s">
        <v>32633</v>
      </c>
      <c r="J9898" t="s">
        <v>38896</v>
      </c>
      <c r="K9898" t="s">
        <v>42630</v>
      </c>
      <c r="M9898" t="s">
        <v>43849</v>
      </c>
      <c r="N9898" t="s">
        <v>47304</v>
      </c>
      <c r="O9898" t="s">
        <v>47305</v>
      </c>
      <c r="P9898">
        <v>0</v>
      </c>
      <c r="Q9898">
        <v>37</v>
      </c>
      <c r="R9898" t="s">
        <v>47313</v>
      </c>
      <c r="S9898" t="s">
        <v>47535</v>
      </c>
      <c r="T9898" t="s">
        <v>49073</v>
      </c>
      <c r="U9898" t="s">
        <v>51716</v>
      </c>
      <c r="W9898" t="s">
        <v>43849</v>
      </c>
      <c r="X9898" t="s">
        <v>47314</v>
      </c>
    </row>
    <row r="9899" spans="1:24">
      <c r="A9899">
        <f>HYPERLINK("https://www.philgeps.gov.ph/GEPSNONPILOT/Tender/SplashBidNoticeAbstractUI.aspx?menuIndex=3&amp;refID=7185840&amp;Result=3","7185840")</f>
        <v>0</v>
      </c>
      <c r="B9899" t="s">
        <v>3039</v>
      </c>
      <c r="C9899" t="s">
        <v>13185</v>
      </c>
      <c r="D9899" t="s">
        <v>19013</v>
      </c>
      <c r="E9899" t="s">
        <v>27542</v>
      </c>
      <c r="F9899" t="s">
        <v>32606</v>
      </c>
      <c r="G9899" t="s">
        <v>32613</v>
      </c>
      <c r="H9899" t="s">
        <v>14201</v>
      </c>
      <c r="I9899" t="s">
        <v>32638</v>
      </c>
      <c r="J9899" t="s">
        <v>36024</v>
      </c>
      <c r="K9899" t="s">
        <v>42648</v>
      </c>
      <c r="M9899" t="s">
        <v>46233</v>
      </c>
      <c r="N9899" t="s">
        <v>47304</v>
      </c>
      <c r="O9899" t="s">
        <v>47305</v>
      </c>
      <c r="P9899">
        <v>0</v>
      </c>
      <c r="Q9899">
        <v>7</v>
      </c>
      <c r="R9899" t="s">
        <v>47313</v>
      </c>
      <c r="S9899" t="s">
        <v>47535</v>
      </c>
      <c r="T9899" t="s">
        <v>49121</v>
      </c>
      <c r="U9899" t="s">
        <v>57719</v>
      </c>
      <c r="V9899" t="s">
        <v>63693</v>
      </c>
      <c r="W9899" t="s">
        <v>46233</v>
      </c>
      <c r="X9899" t="s">
        <v>47314</v>
      </c>
    </row>
    <row r="9900" spans="1:24">
      <c r="A9900">
        <f>HYPERLINK("https://www.philgeps.gov.ph/GEPSNONPILOT/Tender/SplashBidNoticeAbstractUI.aspx?menuIndex=3&amp;refID=7185839&amp;Result=3","7185839")</f>
        <v>0</v>
      </c>
      <c r="B9900" t="s">
        <v>2393</v>
      </c>
      <c r="C9900" t="s">
        <v>13186</v>
      </c>
      <c r="D9900" t="s">
        <v>19051</v>
      </c>
      <c r="E9900" t="s">
        <v>27543</v>
      </c>
      <c r="F9900" t="s">
        <v>32606</v>
      </c>
      <c r="G9900" t="s">
        <v>32613</v>
      </c>
      <c r="H9900" t="s">
        <v>14201</v>
      </c>
      <c r="I9900" t="s">
        <v>4678</v>
      </c>
      <c r="J9900" t="s">
        <v>33441</v>
      </c>
      <c r="K9900" t="s">
        <v>42638</v>
      </c>
      <c r="M9900" t="s">
        <v>45514</v>
      </c>
      <c r="N9900" t="s">
        <v>47304</v>
      </c>
      <c r="O9900" t="s">
        <v>47305</v>
      </c>
      <c r="P9900">
        <v>0</v>
      </c>
      <c r="Q9900">
        <v>1</v>
      </c>
      <c r="R9900" t="s">
        <v>47313</v>
      </c>
      <c r="S9900" t="s">
        <v>47535</v>
      </c>
      <c r="T9900" t="s">
        <v>49050</v>
      </c>
      <c r="U9900" t="s">
        <v>57720</v>
      </c>
      <c r="W9900" t="s">
        <v>45514</v>
      </c>
      <c r="X9900" t="s">
        <v>47314</v>
      </c>
    </row>
    <row r="9901" spans="1:24">
      <c r="A9901">
        <f>HYPERLINK("https://www.philgeps.gov.ph/GEPSNONPILOT/Tender/SplashBidNoticeAbstractUI.aspx?menuIndex=3&amp;refID=7185751&amp;Result=3","7185751")</f>
        <v>0</v>
      </c>
      <c r="B9901" t="s">
        <v>3029</v>
      </c>
      <c r="C9901" t="s">
        <v>13187</v>
      </c>
      <c r="D9901" t="s">
        <v>19049</v>
      </c>
      <c r="E9901" t="s">
        <v>19575</v>
      </c>
      <c r="F9901" t="s">
        <v>32606</v>
      </c>
      <c r="G9901" t="s">
        <v>32619</v>
      </c>
      <c r="H9901" t="s">
        <v>14201</v>
      </c>
      <c r="I9901" t="s">
        <v>32631</v>
      </c>
      <c r="J9901" t="s">
        <v>32789</v>
      </c>
      <c r="K9901" t="s">
        <v>42624</v>
      </c>
      <c r="M9901" t="s">
        <v>46221</v>
      </c>
      <c r="N9901" t="s">
        <v>47304</v>
      </c>
      <c r="O9901" t="s">
        <v>47305</v>
      </c>
      <c r="P9901">
        <v>0</v>
      </c>
      <c r="Q9901">
        <v>0</v>
      </c>
      <c r="R9901" t="s">
        <v>47313</v>
      </c>
      <c r="S9901" t="s">
        <v>47535</v>
      </c>
      <c r="T9901" t="s">
        <v>48979</v>
      </c>
      <c r="U9901" t="s">
        <v>57721</v>
      </c>
      <c r="W9901" t="s">
        <v>46221</v>
      </c>
      <c r="X9901" t="s">
        <v>47314</v>
      </c>
    </row>
    <row r="9902" spans="1:24">
      <c r="A9902">
        <f>HYPERLINK("https://www.philgeps.gov.ph/GEPSNONPILOT/Tender/SplashBidNoticeAbstractUI.aspx?menuIndex=3&amp;refID=7185835&amp;Result=3","7185835")</f>
        <v>0</v>
      </c>
      <c r="B9902" t="s">
        <v>2963</v>
      </c>
      <c r="C9902" t="s">
        <v>13188</v>
      </c>
      <c r="D9902" t="s">
        <v>19023</v>
      </c>
      <c r="E9902" t="s">
        <v>27544</v>
      </c>
      <c r="F9902" t="s">
        <v>32606</v>
      </c>
      <c r="G9902" t="s">
        <v>32613</v>
      </c>
      <c r="H9902" t="s">
        <v>14201</v>
      </c>
      <c r="I9902" t="s">
        <v>6993</v>
      </c>
      <c r="J9902" t="s">
        <v>38897</v>
      </c>
      <c r="K9902" t="s">
        <v>42631</v>
      </c>
      <c r="M9902" t="s">
        <v>46148</v>
      </c>
      <c r="N9902" t="s">
        <v>47304</v>
      </c>
      <c r="O9902" t="s">
        <v>47305</v>
      </c>
      <c r="P9902">
        <v>0</v>
      </c>
      <c r="Q9902">
        <v>2</v>
      </c>
      <c r="R9902" t="s">
        <v>47313</v>
      </c>
      <c r="S9902" t="s">
        <v>47535</v>
      </c>
      <c r="T9902" t="s">
        <v>49075</v>
      </c>
      <c r="U9902" t="s">
        <v>57722</v>
      </c>
      <c r="V9902" t="s">
        <v>63649</v>
      </c>
      <c r="W9902" t="s">
        <v>46148</v>
      </c>
      <c r="X9902" t="s">
        <v>47314</v>
      </c>
    </row>
    <row r="9903" spans="1:24">
      <c r="A9903">
        <f>HYPERLINK("https://www.philgeps.gov.ph/GEPSNONPILOT/Tender/SplashBidNoticeAbstractUI.aspx?menuIndex=3&amp;refID=7185830&amp;Result=3","7185830")</f>
        <v>0</v>
      </c>
      <c r="B9903" t="s">
        <v>3040</v>
      </c>
      <c r="C9903" t="s">
        <v>13189</v>
      </c>
      <c r="D9903" t="s">
        <v>19023</v>
      </c>
      <c r="E9903" t="s">
        <v>27545</v>
      </c>
      <c r="F9903" t="s">
        <v>32606</v>
      </c>
      <c r="G9903" t="s">
        <v>32613</v>
      </c>
      <c r="H9903" t="s">
        <v>14201</v>
      </c>
      <c r="I9903" t="s">
        <v>4121</v>
      </c>
      <c r="J9903" t="s">
        <v>38898</v>
      </c>
      <c r="K9903" t="s">
        <v>42631</v>
      </c>
      <c r="M9903" t="s">
        <v>46234</v>
      </c>
      <c r="N9903" t="s">
        <v>47304</v>
      </c>
      <c r="O9903" t="s">
        <v>47305</v>
      </c>
      <c r="P9903">
        <v>0</v>
      </c>
      <c r="Q9903">
        <v>5</v>
      </c>
      <c r="R9903" t="s">
        <v>47313</v>
      </c>
      <c r="S9903" t="s">
        <v>47535</v>
      </c>
      <c r="T9903" t="s">
        <v>49320</v>
      </c>
      <c r="U9903" t="s">
        <v>57723</v>
      </c>
      <c r="W9903" t="s">
        <v>46234</v>
      </c>
      <c r="X9903" t="s">
        <v>47314</v>
      </c>
    </row>
    <row r="9904" spans="1:24">
      <c r="A9904">
        <f>HYPERLINK("https://www.philgeps.gov.ph/GEPSNONPILOT/Tender/SplashBidNoticeAbstractUI.aspx?menuIndex=3&amp;refID=7185709&amp;Result=3","7185709")</f>
        <v>0</v>
      </c>
      <c r="B9904" t="s">
        <v>1062</v>
      </c>
      <c r="C9904" t="s">
        <v>13190</v>
      </c>
      <c r="D9904" t="s">
        <v>18991</v>
      </c>
      <c r="E9904" t="s">
        <v>27546</v>
      </c>
      <c r="F9904" t="s">
        <v>32606</v>
      </c>
      <c r="G9904" t="s">
        <v>32613</v>
      </c>
      <c r="H9904" t="s">
        <v>14201</v>
      </c>
      <c r="I9904" t="s">
        <v>4114</v>
      </c>
      <c r="J9904" t="s">
        <v>38899</v>
      </c>
      <c r="K9904" t="s">
        <v>42623</v>
      </c>
      <c r="M9904" t="s">
        <v>44015</v>
      </c>
      <c r="N9904" t="s">
        <v>47304</v>
      </c>
      <c r="O9904" t="s">
        <v>47305</v>
      </c>
      <c r="P9904">
        <v>0</v>
      </c>
      <c r="Q9904">
        <v>2</v>
      </c>
      <c r="R9904" t="s">
        <v>47313</v>
      </c>
      <c r="S9904" t="s">
        <v>47535</v>
      </c>
      <c r="T9904" t="s">
        <v>49023</v>
      </c>
      <c r="U9904" t="s">
        <v>57724</v>
      </c>
      <c r="W9904" t="s">
        <v>44015</v>
      </c>
      <c r="X9904" t="s">
        <v>47314</v>
      </c>
    </row>
    <row r="9905" spans="1:24">
      <c r="A9905">
        <f>HYPERLINK("https://www.philgeps.gov.ph/GEPSNONPILOT/Tender/SplashBidNoticeAbstractUI.aspx?menuIndex=3&amp;refID=7185714&amp;Result=3","7185714")</f>
        <v>0</v>
      </c>
      <c r="B9905" t="s">
        <v>2964</v>
      </c>
      <c r="C9905" t="s">
        <v>13191</v>
      </c>
      <c r="D9905" t="s">
        <v>19034</v>
      </c>
      <c r="E9905" t="s">
        <v>27547</v>
      </c>
      <c r="F9905" t="s">
        <v>32606</v>
      </c>
      <c r="G9905" t="s">
        <v>32614</v>
      </c>
      <c r="H9905" t="s">
        <v>14201</v>
      </c>
      <c r="I9905" t="s">
        <v>4114</v>
      </c>
      <c r="J9905" t="s">
        <v>38353</v>
      </c>
      <c r="K9905" t="s">
        <v>42624</v>
      </c>
      <c r="M9905" t="s">
        <v>46149</v>
      </c>
      <c r="N9905" t="s">
        <v>47304</v>
      </c>
      <c r="O9905" t="s">
        <v>47305</v>
      </c>
      <c r="P9905">
        <v>0</v>
      </c>
      <c r="Q9905">
        <v>0</v>
      </c>
      <c r="R9905" t="s">
        <v>47313</v>
      </c>
      <c r="S9905" t="s">
        <v>47535</v>
      </c>
      <c r="T9905" t="s">
        <v>49067</v>
      </c>
      <c r="U9905" t="s">
        <v>57725</v>
      </c>
      <c r="W9905" t="s">
        <v>46149</v>
      </c>
      <c r="X9905" t="s">
        <v>47314</v>
      </c>
    </row>
    <row r="9906" spans="1:24">
      <c r="A9906">
        <f>HYPERLINK("https://www.philgeps.gov.ph/GEPSNONPILOT/Tender/SplashBidNoticeAbstractUI.aspx?menuIndex=3&amp;refID=7185829&amp;Result=3","7185829")</f>
        <v>0</v>
      </c>
      <c r="B9906" t="s">
        <v>720</v>
      </c>
      <c r="C9906" t="s">
        <v>13192</v>
      </c>
      <c r="D9906" t="s">
        <v>18994</v>
      </c>
      <c r="E9906" t="s">
        <v>24182</v>
      </c>
      <c r="F9906" t="s">
        <v>32606</v>
      </c>
      <c r="G9906" t="s">
        <v>32613</v>
      </c>
      <c r="H9906" t="s">
        <v>14201</v>
      </c>
      <c r="I9906" t="s">
        <v>9013</v>
      </c>
      <c r="J9906" t="s">
        <v>38900</v>
      </c>
      <c r="K9906" t="s">
        <v>42623</v>
      </c>
      <c r="M9906" t="s">
        <v>43641</v>
      </c>
      <c r="N9906" t="s">
        <v>47304</v>
      </c>
      <c r="O9906" t="s">
        <v>47305</v>
      </c>
      <c r="P9906">
        <v>0</v>
      </c>
      <c r="Q9906">
        <v>1</v>
      </c>
      <c r="R9906" t="s">
        <v>47313</v>
      </c>
      <c r="S9906" t="s">
        <v>47535</v>
      </c>
      <c r="T9906" t="s">
        <v>49066</v>
      </c>
      <c r="U9906" t="s">
        <v>57726</v>
      </c>
      <c r="V9906" t="s">
        <v>63694</v>
      </c>
      <c r="W9906" t="s">
        <v>43641</v>
      </c>
      <c r="X9906" t="s">
        <v>47314</v>
      </c>
    </row>
    <row r="9907" spans="1:24">
      <c r="A9907">
        <f>HYPERLINK("https://www.philgeps.gov.ph/GEPSNONPILOT/Tender/SplashBidNoticeAbstractUI.aspx?menuIndex=3&amp;refID=7185822&amp;Result=3","7185822")</f>
        <v>0</v>
      </c>
      <c r="B9907" t="s">
        <v>3041</v>
      </c>
      <c r="C9907" t="s">
        <v>13193</v>
      </c>
      <c r="D9907" t="s">
        <v>19060</v>
      </c>
      <c r="E9907" t="s">
        <v>27548</v>
      </c>
      <c r="F9907" t="s">
        <v>32606</v>
      </c>
      <c r="G9907" t="s">
        <v>32613</v>
      </c>
      <c r="H9907" t="s">
        <v>32623</v>
      </c>
      <c r="I9907" t="s">
        <v>17648</v>
      </c>
      <c r="J9907" t="s">
        <v>32833</v>
      </c>
      <c r="K9907" t="s">
        <v>42624</v>
      </c>
      <c r="M9907" t="s">
        <v>46235</v>
      </c>
      <c r="N9907" t="s">
        <v>47304</v>
      </c>
      <c r="O9907" t="s">
        <v>47305</v>
      </c>
      <c r="P9907">
        <v>0</v>
      </c>
      <c r="Q9907">
        <v>0</v>
      </c>
      <c r="R9907" t="s">
        <v>47313</v>
      </c>
      <c r="S9907" t="s">
        <v>47535</v>
      </c>
      <c r="T9907" t="s">
        <v>49428</v>
      </c>
      <c r="U9907" t="s">
        <v>57727</v>
      </c>
      <c r="W9907" t="s">
        <v>46235</v>
      </c>
      <c r="X9907" t="s">
        <v>47314</v>
      </c>
    </row>
    <row r="9908" spans="1:24">
      <c r="A9908">
        <f>HYPERLINK("https://www.philgeps.gov.ph/GEPSNONPILOT/Tender/SplashBidNoticeAbstractUI.aspx?menuIndex=3&amp;refID=7185833&amp;Result=3","7185833")</f>
        <v>0</v>
      </c>
      <c r="B9908" t="s">
        <v>3042</v>
      </c>
      <c r="C9908" t="s">
        <v>13194</v>
      </c>
      <c r="D9908" t="s">
        <v>18988</v>
      </c>
      <c r="E9908" t="s">
        <v>27549</v>
      </c>
      <c r="F9908" t="s">
        <v>32606</v>
      </c>
      <c r="G9908" t="s">
        <v>32613</v>
      </c>
      <c r="H9908" t="s">
        <v>32623</v>
      </c>
      <c r="I9908" t="s">
        <v>17648</v>
      </c>
      <c r="J9908" t="s">
        <v>38901</v>
      </c>
      <c r="K9908" t="s">
        <v>42712</v>
      </c>
      <c r="M9908" t="s">
        <v>46236</v>
      </c>
      <c r="N9908" t="s">
        <v>47304</v>
      </c>
      <c r="O9908" t="s">
        <v>47305</v>
      </c>
      <c r="P9908">
        <v>0</v>
      </c>
      <c r="Q9908">
        <v>5</v>
      </c>
      <c r="R9908" t="s">
        <v>47313</v>
      </c>
      <c r="S9908" t="s">
        <v>47535</v>
      </c>
      <c r="T9908" t="s">
        <v>49429</v>
      </c>
      <c r="U9908" t="s">
        <v>57728</v>
      </c>
      <c r="V9908" t="s">
        <v>63695</v>
      </c>
      <c r="W9908" t="s">
        <v>46236</v>
      </c>
      <c r="X9908" t="s">
        <v>47314</v>
      </c>
    </row>
    <row r="9909" spans="1:24">
      <c r="A9909">
        <f>HYPERLINK("https://www.philgeps.gov.ph/GEPSNONPILOT/Tender/SplashBidNoticeAbstractUI.aspx?menuIndex=3&amp;refID=7185820&amp;Result=3","7185820")</f>
        <v>0</v>
      </c>
      <c r="B9909" t="s">
        <v>262</v>
      </c>
      <c r="C9909" t="s">
        <v>13195</v>
      </c>
      <c r="D9909" t="s">
        <v>19038</v>
      </c>
      <c r="E9909" t="s">
        <v>27550</v>
      </c>
      <c r="F9909" t="s">
        <v>32606</v>
      </c>
      <c r="G9909" t="s">
        <v>32619</v>
      </c>
      <c r="H9909" t="s">
        <v>14201</v>
      </c>
      <c r="I9909" t="s">
        <v>32648</v>
      </c>
      <c r="J9909" t="s">
        <v>38902</v>
      </c>
      <c r="K9909" t="s">
        <v>42630</v>
      </c>
      <c r="M9909" t="s">
        <v>43163</v>
      </c>
      <c r="N9909" t="s">
        <v>47304</v>
      </c>
      <c r="O9909" t="s">
        <v>47305</v>
      </c>
      <c r="P9909">
        <v>0</v>
      </c>
      <c r="Q9909">
        <v>0</v>
      </c>
      <c r="R9909" t="s">
        <v>47313</v>
      </c>
      <c r="S9909" t="s">
        <v>47535</v>
      </c>
      <c r="T9909" t="s">
        <v>49268</v>
      </c>
      <c r="U9909" t="s">
        <v>57729</v>
      </c>
      <c r="W9909" t="s">
        <v>43163</v>
      </c>
      <c r="X9909" t="s">
        <v>47314</v>
      </c>
    </row>
    <row r="9910" spans="1:24">
      <c r="A9910">
        <f>HYPERLINK("https://www.philgeps.gov.ph/GEPSNONPILOT/Tender/SplashBidNoticeAbstractUI.aspx?menuIndex=3&amp;refID=7185823&amp;Result=3","7185823")</f>
        <v>0</v>
      </c>
      <c r="B9910" t="s">
        <v>1543</v>
      </c>
      <c r="C9910" t="s">
        <v>13196</v>
      </c>
      <c r="D9910" t="s">
        <v>19013</v>
      </c>
      <c r="E9910" t="s">
        <v>27551</v>
      </c>
      <c r="F9910" t="s">
        <v>32606</v>
      </c>
      <c r="G9910" t="s">
        <v>32614</v>
      </c>
      <c r="H9910" t="s">
        <v>14201</v>
      </c>
      <c r="I9910" t="s">
        <v>6931</v>
      </c>
      <c r="J9910" t="s">
        <v>38903</v>
      </c>
      <c r="K9910" t="s">
        <v>42624</v>
      </c>
      <c r="M9910" t="s">
        <v>44547</v>
      </c>
      <c r="N9910" t="s">
        <v>47304</v>
      </c>
      <c r="O9910" t="s">
        <v>47305</v>
      </c>
      <c r="P9910">
        <v>0</v>
      </c>
      <c r="Q9910">
        <v>0</v>
      </c>
      <c r="R9910" t="s">
        <v>47313</v>
      </c>
      <c r="S9910" t="s">
        <v>47535</v>
      </c>
      <c r="T9910" t="s">
        <v>49196</v>
      </c>
      <c r="U9910" t="s">
        <v>57730</v>
      </c>
      <c r="W9910" t="s">
        <v>44547</v>
      </c>
      <c r="X9910" t="s">
        <v>47314</v>
      </c>
    </row>
    <row r="9911" spans="1:24">
      <c r="A9911">
        <f>HYPERLINK("https://www.philgeps.gov.ph/GEPSNONPILOT/Tender/SplashBidNoticeAbstractUI.aspx?menuIndex=3&amp;refID=7185811&amp;Result=3","7185811")</f>
        <v>0</v>
      </c>
      <c r="B9911" t="s">
        <v>1543</v>
      </c>
      <c r="C9911" t="s">
        <v>13197</v>
      </c>
      <c r="D9911" t="s">
        <v>19013</v>
      </c>
      <c r="E9911" t="s">
        <v>27552</v>
      </c>
      <c r="F9911" t="s">
        <v>32606</v>
      </c>
      <c r="G9911" t="s">
        <v>32614</v>
      </c>
      <c r="H9911" t="s">
        <v>14201</v>
      </c>
      <c r="I9911" t="s">
        <v>6931</v>
      </c>
      <c r="J9911" t="s">
        <v>38904</v>
      </c>
      <c r="K9911" t="s">
        <v>42624</v>
      </c>
      <c r="M9911" t="s">
        <v>44547</v>
      </c>
      <c r="N9911" t="s">
        <v>47304</v>
      </c>
      <c r="O9911" t="s">
        <v>47305</v>
      </c>
      <c r="P9911">
        <v>0</v>
      </c>
      <c r="Q9911">
        <v>0</v>
      </c>
      <c r="R9911" t="s">
        <v>47313</v>
      </c>
      <c r="S9911" t="s">
        <v>47535</v>
      </c>
      <c r="T9911" t="s">
        <v>49196</v>
      </c>
      <c r="U9911" t="s">
        <v>57731</v>
      </c>
      <c r="W9911" t="s">
        <v>44547</v>
      </c>
      <c r="X9911" t="s">
        <v>47314</v>
      </c>
    </row>
    <row r="9912" spans="1:24">
      <c r="A9912">
        <f>HYPERLINK("https://www.philgeps.gov.ph/GEPSNONPILOT/Tender/SplashBidNoticeAbstractUI.aspx?menuIndex=3&amp;refID=7185807&amp;Result=3","7185807")</f>
        <v>0</v>
      </c>
      <c r="B9912" t="s">
        <v>721</v>
      </c>
      <c r="C9912" t="s">
        <v>13198</v>
      </c>
      <c r="D9912" t="s">
        <v>18994</v>
      </c>
      <c r="E9912" t="s">
        <v>27553</v>
      </c>
      <c r="F9912" t="s">
        <v>32606</v>
      </c>
      <c r="G9912" t="s">
        <v>32613</v>
      </c>
      <c r="H9912" t="s">
        <v>14201</v>
      </c>
      <c r="I9912" t="s">
        <v>32681</v>
      </c>
      <c r="J9912" t="s">
        <v>38905</v>
      </c>
      <c r="K9912" t="s">
        <v>42631</v>
      </c>
      <c r="M9912" t="s">
        <v>43642</v>
      </c>
      <c r="N9912" t="s">
        <v>47304</v>
      </c>
      <c r="O9912" t="s">
        <v>47305</v>
      </c>
      <c r="P9912">
        <v>0</v>
      </c>
      <c r="Q9912">
        <v>2</v>
      </c>
      <c r="R9912" t="s">
        <v>47313</v>
      </c>
      <c r="S9912" t="s">
        <v>47535</v>
      </c>
      <c r="T9912" t="s">
        <v>49023</v>
      </c>
      <c r="U9912" t="s">
        <v>57732</v>
      </c>
      <c r="V9912" t="s">
        <v>63696</v>
      </c>
      <c r="W9912" t="s">
        <v>43642</v>
      </c>
      <c r="X9912" t="s">
        <v>47314</v>
      </c>
    </row>
    <row r="9913" spans="1:24">
      <c r="A9913">
        <f>HYPERLINK("https://www.philgeps.gov.ph/GEPSNONPILOT/Tender/SplashBidNoticeAbstractUI.aspx?menuIndex=3&amp;refID=7185802&amp;Result=3","7185802")</f>
        <v>0</v>
      </c>
      <c r="B9913" t="s">
        <v>778</v>
      </c>
      <c r="C9913" t="s">
        <v>13199</v>
      </c>
      <c r="D9913" t="s">
        <v>19012</v>
      </c>
      <c r="E9913" t="s">
        <v>27554</v>
      </c>
      <c r="F9913" t="s">
        <v>32606</v>
      </c>
      <c r="G9913" t="s">
        <v>32613</v>
      </c>
      <c r="H9913" t="s">
        <v>14201</v>
      </c>
      <c r="I9913" t="s">
        <v>7677</v>
      </c>
      <c r="J9913" t="s">
        <v>38906</v>
      </c>
      <c r="K9913" t="s">
        <v>42623</v>
      </c>
      <c r="M9913" t="s">
        <v>43708</v>
      </c>
      <c r="N9913" t="s">
        <v>47304</v>
      </c>
      <c r="O9913" t="s">
        <v>47305</v>
      </c>
      <c r="P9913">
        <v>0</v>
      </c>
      <c r="Q9913">
        <v>3</v>
      </c>
      <c r="R9913" t="s">
        <v>47313</v>
      </c>
      <c r="S9913" t="s">
        <v>47535</v>
      </c>
      <c r="T9913" t="s">
        <v>49146</v>
      </c>
      <c r="U9913" t="s">
        <v>57733</v>
      </c>
      <c r="W9913" t="s">
        <v>43708</v>
      </c>
      <c r="X9913" t="s">
        <v>47314</v>
      </c>
    </row>
    <row r="9914" spans="1:24">
      <c r="A9914">
        <f>HYPERLINK("https://www.philgeps.gov.ph/GEPSNONPILOT/Tender/SplashBidNoticeAbstractUI.aspx?menuIndex=3&amp;refID=7185764&amp;Result=3","7185764")</f>
        <v>0</v>
      </c>
      <c r="B9914" t="s">
        <v>1649</v>
      </c>
      <c r="C9914" t="s">
        <v>13200</v>
      </c>
      <c r="D9914" t="s">
        <v>19068</v>
      </c>
      <c r="E9914" t="s">
        <v>27555</v>
      </c>
      <c r="F9914" t="s">
        <v>32606</v>
      </c>
      <c r="G9914" t="s">
        <v>32613</v>
      </c>
      <c r="H9914" t="s">
        <v>14201</v>
      </c>
      <c r="I9914" t="s">
        <v>6931</v>
      </c>
      <c r="J9914" t="s">
        <v>38907</v>
      </c>
      <c r="K9914" t="s">
        <v>42631</v>
      </c>
      <c r="M9914" t="s">
        <v>44673</v>
      </c>
      <c r="N9914" t="s">
        <v>47304</v>
      </c>
      <c r="O9914" t="s">
        <v>47305</v>
      </c>
      <c r="P9914">
        <v>0</v>
      </c>
      <c r="Q9914">
        <v>0</v>
      </c>
      <c r="R9914" t="s">
        <v>47313</v>
      </c>
      <c r="S9914" t="s">
        <v>47535</v>
      </c>
      <c r="T9914" t="s">
        <v>49416</v>
      </c>
      <c r="U9914" t="s">
        <v>57734</v>
      </c>
      <c r="W9914" t="s">
        <v>44673</v>
      </c>
      <c r="X9914" t="s">
        <v>47314</v>
      </c>
    </row>
    <row r="9915" spans="1:24">
      <c r="A9915">
        <f>HYPERLINK("https://www.philgeps.gov.ph/GEPSNONPILOT/Tender/SplashBidNoticeAbstractUI.aspx?menuIndex=3&amp;refID=7185818&amp;Result=3","7185818")</f>
        <v>0</v>
      </c>
      <c r="B9915" t="s">
        <v>248</v>
      </c>
      <c r="C9915" t="s">
        <v>13201</v>
      </c>
      <c r="D9915" t="s">
        <v>19053</v>
      </c>
      <c r="E9915" t="s">
        <v>27556</v>
      </c>
      <c r="F9915" t="s">
        <v>32606</v>
      </c>
      <c r="G9915" t="s">
        <v>32613</v>
      </c>
      <c r="H9915" t="s">
        <v>14201</v>
      </c>
      <c r="I9915" t="s">
        <v>32702</v>
      </c>
      <c r="J9915" t="s">
        <v>38908</v>
      </c>
      <c r="K9915" t="s">
        <v>42646</v>
      </c>
      <c r="M9915" t="s">
        <v>46237</v>
      </c>
      <c r="N9915" t="s">
        <v>47304</v>
      </c>
      <c r="O9915" t="s">
        <v>47305</v>
      </c>
      <c r="P9915">
        <v>0</v>
      </c>
      <c r="Q9915">
        <v>6</v>
      </c>
      <c r="R9915" t="s">
        <v>47313</v>
      </c>
      <c r="S9915" t="s">
        <v>47535</v>
      </c>
      <c r="T9915" t="s">
        <v>49156</v>
      </c>
      <c r="U9915" t="s">
        <v>57735</v>
      </c>
      <c r="W9915" t="s">
        <v>46237</v>
      </c>
      <c r="X9915" t="s">
        <v>47314</v>
      </c>
    </row>
    <row r="9916" spans="1:24">
      <c r="A9916">
        <f>HYPERLINK("https://www.philgeps.gov.ph/GEPSNONPILOT/Tender/SplashBidNoticeAbstractUI.aspx?menuIndex=3&amp;refID=7185815&amp;Result=3","7185815")</f>
        <v>0</v>
      </c>
      <c r="B9916" t="s">
        <v>1038</v>
      </c>
      <c r="C9916" t="s">
        <v>13202</v>
      </c>
      <c r="D9916" t="s">
        <v>18993</v>
      </c>
      <c r="E9916" t="s">
        <v>23530</v>
      </c>
      <c r="F9916" t="s">
        <v>32606</v>
      </c>
      <c r="G9916" t="s">
        <v>32613</v>
      </c>
      <c r="H9916" t="s">
        <v>14201</v>
      </c>
      <c r="I9916" t="s">
        <v>32638</v>
      </c>
      <c r="J9916" t="s">
        <v>38909</v>
      </c>
      <c r="K9916" t="s">
        <v>42630</v>
      </c>
      <c r="M9916" t="s">
        <v>43991</v>
      </c>
      <c r="N9916" t="s">
        <v>47304</v>
      </c>
      <c r="O9916" t="s">
        <v>47305</v>
      </c>
      <c r="Q9916">
        <v>33</v>
      </c>
      <c r="R9916" t="s">
        <v>47313</v>
      </c>
      <c r="S9916" t="s">
        <v>47570</v>
      </c>
      <c r="T9916" t="s">
        <v>49041</v>
      </c>
      <c r="U9916" t="s">
        <v>57736</v>
      </c>
      <c r="W9916" t="s">
        <v>43991</v>
      </c>
      <c r="X9916" t="s">
        <v>47314</v>
      </c>
    </row>
    <row r="9917" spans="1:24">
      <c r="A9917">
        <f>HYPERLINK("https://www.philgeps.gov.ph/GEPSNONPILOT/Tender/SplashBidNoticeAbstractUI.aspx?menuIndex=3&amp;refID=7185903&amp;Result=3","7185903")</f>
        <v>0</v>
      </c>
      <c r="B9917" t="s">
        <v>3043</v>
      </c>
      <c r="C9917" t="s">
        <v>7677</v>
      </c>
      <c r="D9917" t="s">
        <v>19034</v>
      </c>
      <c r="E9917" t="s">
        <v>27557</v>
      </c>
      <c r="F9917" t="s">
        <v>32606</v>
      </c>
      <c r="G9917" t="s">
        <v>32613</v>
      </c>
      <c r="H9917" t="s">
        <v>14201</v>
      </c>
      <c r="I9917" t="s">
        <v>7677</v>
      </c>
      <c r="J9917" t="s">
        <v>38910</v>
      </c>
      <c r="K9917" t="s">
        <v>42631</v>
      </c>
      <c r="M9917" t="s">
        <v>46238</v>
      </c>
      <c r="N9917" t="s">
        <v>47304</v>
      </c>
      <c r="O9917" t="s">
        <v>47305</v>
      </c>
      <c r="P9917">
        <v>0</v>
      </c>
      <c r="Q9917">
        <v>2</v>
      </c>
      <c r="R9917" t="s">
        <v>47313</v>
      </c>
      <c r="S9917" t="s">
        <v>47535</v>
      </c>
      <c r="T9917" t="s">
        <v>49269</v>
      </c>
      <c r="U9917" t="s">
        <v>57737</v>
      </c>
      <c r="W9917" t="s">
        <v>46238</v>
      </c>
      <c r="X9917" t="s">
        <v>47314</v>
      </c>
    </row>
    <row r="9918" spans="1:24">
      <c r="A9918">
        <f>HYPERLINK("https://www.philgeps.gov.ph/GEPSNONPILOT/Tender/SplashBidNoticeAbstractUI.aspx?menuIndex=3&amp;refID=7185901&amp;Result=3","7185901")</f>
        <v>0</v>
      </c>
      <c r="B9918" t="s">
        <v>3039</v>
      </c>
      <c r="C9918" t="s">
        <v>13203</v>
      </c>
      <c r="D9918" t="s">
        <v>19013</v>
      </c>
      <c r="E9918" t="s">
        <v>27558</v>
      </c>
      <c r="F9918" t="s">
        <v>32606</v>
      </c>
      <c r="G9918" t="s">
        <v>32613</v>
      </c>
      <c r="H9918" t="s">
        <v>14201</v>
      </c>
      <c r="I9918" t="s">
        <v>32648</v>
      </c>
      <c r="J9918" t="s">
        <v>38911</v>
      </c>
      <c r="K9918" t="s">
        <v>42636</v>
      </c>
      <c r="M9918" t="s">
        <v>46233</v>
      </c>
      <c r="N9918" t="s">
        <v>47304</v>
      </c>
      <c r="O9918" t="s">
        <v>47305</v>
      </c>
      <c r="P9918">
        <v>0</v>
      </c>
      <c r="Q9918">
        <v>19</v>
      </c>
      <c r="R9918" t="s">
        <v>47313</v>
      </c>
      <c r="S9918" t="s">
        <v>47535</v>
      </c>
      <c r="T9918" t="s">
        <v>49430</v>
      </c>
      <c r="U9918" t="s">
        <v>57738</v>
      </c>
      <c r="V9918" t="s">
        <v>63693</v>
      </c>
      <c r="W9918" t="s">
        <v>46233</v>
      </c>
      <c r="X9918" t="s">
        <v>47314</v>
      </c>
    </row>
    <row r="9919" spans="1:24">
      <c r="A9919">
        <f>HYPERLINK("https://www.philgeps.gov.ph/GEPSNONPILOT/Tender/SplashBidNoticeAbstractUI.aspx?menuIndex=3&amp;refID=7185896&amp;Result=3","7185896")</f>
        <v>0</v>
      </c>
      <c r="B9919" t="s">
        <v>3044</v>
      </c>
      <c r="C9919" t="s">
        <v>13204</v>
      </c>
      <c r="D9919" t="s">
        <v>19002</v>
      </c>
      <c r="E9919" t="s">
        <v>19372</v>
      </c>
      <c r="F9919" t="s">
        <v>32606</v>
      </c>
      <c r="G9919" t="s">
        <v>32613</v>
      </c>
      <c r="H9919" t="s">
        <v>14201</v>
      </c>
      <c r="I9919" t="s">
        <v>32640</v>
      </c>
      <c r="J9919" t="s">
        <v>32860</v>
      </c>
      <c r="K9919" t="s">
        <v>42631</v>
      </c>
      <c r="M9919" t="s">
        <v>46239</v>
      </c>
      <c r="N9919" t="s">
        <v>47304</v>
      </c>
      <c r="O9919" t="s">
        <v>47305</v>
      </c>
      <c r="P9919">
        <v>0</v>
      </c>
      <c r="Q9919">
        <v>2</v>
      </c>
      <c r="R9919" t="s">
        <v>47313</v>
      </c>
      <c r="S9919" t="s">
        <v>47535</v>
      </c>
      <c r="T9919" t="s">
        <v>48998</v>
      </c>
      <c r="U9919" t="s">
        <v>57739</v>
      </c>
      <c r="W9919" t="s">
        <v>46239</v>
      </c>
      <c r="X9919" t="s">
        <v>47314</v>
      </c>
    </row>
    <row r="9920" spans="1:24">
      <c r="A9920">
        <f>HYPERLINK("https://www.philgeps.gov.ph/GEPSNONPILOT/Tender/SplashBidNoticeAbstractUI.aspx?menuIndex=3&amp;refID=7185893&amp;Result=3","7185893")</f>
        <v>0</v>
      </c>
      <c r="B9920" t="s">
        <v>2831</v>
      </c>
      <c r="C9920" t="s">
        <v>13205</v>
      </c>
      <c r="D9920" t="s">
        <v>19013</v>
      </c>
      <c r="E9920" t="s">
        <v>27559</v>
      </c>
      <c r="F9920" t="s">
        <v>32606</v>
      </c>
      <c r="G9920" t="s">
        <v>32614</v>
      </c>
      <c r="H9920" t="s">
        <v>14201</v>
      </c>
      <c r="I9920" t="s">
        <v>7577</v>
      </c>
      <c r="J9920" t="s">
        <v>38912</v>
      </c>
      <c r="K9920" t="s">
        <v>42677</v>
      </c>
      <c r="M9920" t="s">
        <v>45996</v>
      </c>
      <c r="N9920" t="s">
        <v>47304</v>
      </c>
      <c r="O9920" t="s">
        <v>47305</v>
      </c>
      <c r="P9920">
        <v>0</v>
      </c>
      <c r="Q9920">
        <v>1</v>
      </c>
      <c r="R9920" t="s">
        <v>47313</v>
      </c>
      <c r="S9920" t="s">
        <v>47535</v>
      </c>
      <c r="T9920" t="s">
        <v>49071</v>
      </c>
      <c r="U9920" t="s">
        <v>57740</v>
      </c>
      <c r="W9920" t="s">
        <v>45996</v>
      </c>
      <c r="X9920" t="s">
        <v>47314</v>
      </c>
    </row>
    <row r="9921" spans="1:24">
      <c r="A9921">
        <f>HYPERLINK("https://www.philgeps.gov.ph/GEPSNONPILOT/Tender/SplashBidNoticeAbstractUI.aspx?menuIndex=3&amp;refID=7185890&amp;Result=3","7185890")</f>
        <v>0</v>
      </c>
      <c r="B9921" t="s">
        <v>2866</v>
      </c>
      <c r="C9921" t="s">
        <v>13206</v>
      </c>
      <c r="D9921" t="s">
        <v>18993</v>
      </c>
      <c r="E9921" t="s">
        <v>27560</v>
      </c>
      <c r="F9921" t="s">
        <v>32606</v>
      </c>
      <c r="G9921" t="s">
        <v>32613</v>
      </c>
      <c r="H9921" t="s">
        <v>14201</v>
      </c>
      <c r="I9921" t="s">
        <v>7064</v>
      </c>
      <c r="J9921" t="s">
        <v>38913</v>
      </c>
      <c r="K9921" t="s">
        <v>42646</v>
      </c>
      <c r="M9921" t="s">
        <v>46036</v>
      </c>
      <c r="N9921" t="s">
        <v>47304</v>
      </c>
      <c r="O9921" t="s">
        <v>47305</v>
      </c>
      <c r="P9921">
        <v>0</v>
      </c>
      <c r="Q9921">
        <v>11</v>
      </c>
      <c r="R9921" t="s">
        <v>47313</v>
      </c>
      <c r="S9921" t="s">
        <v>47535</v>
      </c>
      <c r="T9921" t="s">
        <v>49431</v>
      </c>
      <c r="U9921" t="s">
        <v>57741</v>
      </c>
      <c r="V9921" t="s">
        <v>63697</v>
      </c>
      <c r="W9921" t="s">
        <v>46036</v>
      </c>
      <c r="X9921" t="s">
        <v>47314</v>
      </c>
    </row>
    <row r="9922" spans="1:24">
      <c r="A9922">
        <f>HYPERLINK("https://www.philgeps.gov.ph/GEPSNONPILOT/Tender/SplashBidNoticeAbstractUI.aspx?menuIndex=3&amp;refID=7185809&amp;Result=3","7185809")</f>
        <v>0</v>
      </c>
      <c r="B9922" t="s">
        <v>3023</v>
      </c>
      <c r="C9922" t="s">
        <v>13207</v>
      </c>
      <c r="D9922" t="s">
        <v>19008</v>
      </c>
      <c r="E9922" t="s">
        <v>27561</v>
      </c>
      <c r="F9922" t="s">
        <v>32606</v>
      </c>
      <c r="G9922" t="s">
        <v>32613</v>
      </c>
      <c r="H9922" t="s">
        <v>32623</v>
      </c>
      <c r="I9922" t="s">
        <v>17648</v>
      </c>
      <c r="J9922" t="s">
        <v>38914</v>
      </c>
      <c r="K9922" t="s">
        <v>42624</v>
      </c>
      <c r="M9922" t="s">
        <v>46215</v>
      </c>
      <c r="N9922" t="s">
        <v>47304</v>
      </c>
      <c r="O9922" t="s">
        <v>47305</v>
      </c>
      <c r="P9922">
        <v>0</v>
      </c>
      <c r="Q9922">
        <v>1</v>
      </c>
      <c r="R9922" t="s">
        <v>47313</v>
      </c>
      <c r="S9922" t="s">
        <v>47535</v>
      </c>
      <c r="T9922" t="s">
        <v>48998</v>
      </c>
      <c r="U9922" t="s">
        <v>57742</v>
      </c>
      <c r="W9922" t="s">
        <v>46215</v>
      </c>
      <c r="X9922" t="s">
        <v>47314</v>
      </c>
    </row>
    <row r="9923" spans="1:24">
      <c r="A9923">
        <f>HYPERLINK("https://www.philgeps.gov.ph/GEPSNONPILOT/Tender/SplashBidNoticeAbstractUI.aspx?menuIndex=3&amp;refID=7185888&amp;Result=3","7185888")</f>
        <v>0</v>
      </c>
      <c r="B9923" t="s">
        <v>1062</v>
      </c>
      <c r="C9923" t="s">
        <v>13208</v>
      </c>
      <c r="D9923" t="s">
        <v>18991</v>
      </c>
      <c r="E9923" t="s">
        <v>27546</v>
      </c>
      <c r="F9923" t="s">
        <v>32606</v>
      </c>
      <c r="G9923" t="s">
        <v>32613</v>
      </c>
      <c r="H9923" t="s">
        <v>32623</v>
      </c>
      <c r="I9923" t="s">
        <v>17648</v>
      </c>
      <c r="J9923" t="s">
        <v>32770</v>
      </c>
      <c r="K9923" t="s">
        <v>42639</v>
      </c>
      <c r="M9923" t="s">
        <v>44015</v>
      </c>
      <c r="N9923" t="s">
        <v>47304</v>
      </c>
      <c r="O9923" t="s">
        <v>47305</v>
      </c>
      <c r="P9923">
        <v>0</v>
      </c>
      <c r="Q9923">
        <v>0</v>
      </c>
      <c r="R9923" t="s">
        <v>47313</v>
      </c>
      <c r="S9923" t="s">
        <v>47535</v>
      </c>
      <c r="T9923" t="s">
        <v>49023</v>
      </c>
      <c r="U9923" t="s">
        <v>57743</v>
      </c>
      <c r="W9923" t="s">
        <v>44015</v>
      </c>
      <c r="X9923" t="s">
        <v>47314</v>
      </c>
    </row>
    <row r="9924" spans="1:24">
      <c r="A9924">
        <f>HYPERLINK("https://www.philgeps.gov.ph/GEPSNONPILOT/Tender/SplashBidNoticeAbstractUI.aspx?menuIndex=3&amp;refID=7185886&amp;Result=3","7185886")</f>
        <v>0</v>
      </c>
      <c r="B9924" t="s">
        <v>3045</v>
      </c>
      <c r="C9924" t="s">
        <v>13209</v>
      </c>
      <c r="D9924" t="s">
        <v>19008</v>
      </c>
      <c r="E9924" t="s">
        <v>27562</v>
      </c>
      <c r="F9924" t="s">
        <v>32606</v>
      </c>
      <c r="G9924" t="s">
        <v>32613</v>
      </c>
      <c r="H9924" t="s">
        <v>14201</v>
      </c>
      <c r="I9924" t="s">
        <v>6931</v>
      </c>
      <c r="J9924" t="s">
        <v>38915</v>
      </c>
      <c r="K9924" t="s">
        <v>42631</v>
      </c>
      <c r="M9924" t="s">
        <v>46240</v>
      </c>
      <c r="N9924" t="s">
        <v>47304</v>
      </c>
      <c r="O9924" t="s">
        <v>47305</v>
      </c>
      <c r="P9924">
        <v>0</v>
      </c>
      <c r="Q9924">
        <v>0</v>
      </c>
      <c r="R9924" t="s">
        <v>47313</v>
      </c>
      <c r="S9924" t="s">
        <v>47535</v>
      </c>
      <c r="T9924" t="s">
        <v>49426</v>
      </c>
      <c r="U9924" t="s">
        <v>57744</v>
      </c>
      <c r="V9924" t="s">
        <v>63698</v>
      </c>
      <c r="W9924" t="s">
        <v>46240</v>
      </c>
      <c r="X9924" t="s">
        <v>47314</v>
      </c>
    </row>
    <row r="9925" spans="1:24">
      <c r="A9925">
        <f>HYPERLINK("https://www.philgeps.gov.ph/GEPSNONPILOT/Tender/SplashBidNoticeAbstractUI.aspx?menuIndex=3&amp;refID=7185828&amp;Result=3","7185828")</f>
        <v>0</v>
      </c>
      <c r="B9925" t="s">
        <v>467</v>
      </c>
      <c r="C9925" t="s">
        <v>13210</v>
      </c>
      <c r="D9925" t="s">
        <v>19004</v>
      </c>
      <c r="E9925" t="s">
        <v>27563</v>
      </c>
      <c r="F9925" t="s">
        <v>32606</v>
      </c>
      <c r="G9925" t="s">
        <v>32614</v>
      </c>
      <c r="H9925" t="s">
        <v>14201</v>
      </c>
      <c r="I9925" t="s">
        <v>32638</v>
      </c>
      <c r="J9925" t="s">
        <v>32776</v>
      </c>
      <c r="K9925" t="s">
        <v>42624</v>
      </c>
      <c r="M9925" t="s">
        <v>46241</v>
      </c>
      <c r="N9925" t="s">
        <v>47304</v>
      </c>
      <c r="O9925" t="s">
        <v>47305</v>
      </c>
      <c r="Q9925">
        <v>24</v>
      </c>
      <c r="R9925" t="s">
        <v>47313</v>
      </c>
      <c r="S9925" t="s">
        <v>47571</v>
      </c>
      <c r="T9925" t="s">
        <v>49023</v>
      </c>
      <c r="U9925" t="s">
        <v>57745</v>
      </c>
      <c r="W9925" t="s">
        <v>46241</v>
      </c>
      <c r="X9925" t="s">
        <v>47314</v>
      </c>
    </row>
    <row r="9926" spans="1:24">
      <c r="A9926">
        <f>HYPERLINK("https://www.philgeps.gov.ph/GEPSNONPILOT/Tender/SplashBidNoticeAbstractUI.aspx?menuIndex=3&amp;refID=7185880&amp;Result=3","7185880")</f>
        <v>0</v>
      </c>
      <c r="B9926" t="s">
        <v>2993</v>
      </c>
      <c r="C9926" t="s">
        <v>13211</v>
      </c>
      <c r="D9926" t="s">
        <v>19038</v>
      </c>
      <c r="E9926" t="s">
        <v>27564</v>
      </c>
      <c r="F9926" t="s">
        <v>32606</v>
      </c>
      <c r="G9926" t="s">
        <v>32613</v>
      </c>
      <c r="H9926" t="s">
        <v>32623</v>
      </c>
      <c r="I9926" t="s">
        <v>17648</v>
      </c>
      <c r="J9926" t="s">
        <v>35904</v>
      </c>
      <c r="K9926" t="s">
        <v>42656</v>
      </c>
      <c r="M9926" t="s">
        <v>46181</v>
      </c>
      <c r="N9926" t="s">
        <v>47304</v>
      </c>
      <c r="O9926" t="s">
        <v>47305</v>
      </c>
      <c r="P9926">
        <v>0</v>
      </c>
      <c r="Q9926">
        <v>0</v>
      </c>
      <c r="R9926" t="s">
        <v>47313</v>
      </c>
      <c r="S9926" t="s">
        <v>47535</v>
      </c>
      <c r="T9926" t="s">
        <v>49234</v>
      </c>
      <c r="U9926" t="s">
        <v>57746</v>
      </c>
      <c r="W9926" t="s">
        <v>46181</v>
      </c>
      <c r="X9926" t="s">
        <v>47314</v>
      </c>
    </row>
    <row r="9927" spans="1:24">
      <c r="A9927">
        <f>HYPERLINK("https://www.philgeps.gov.ph/GEPSNONPILOT/Tender/SplashBidNoticeAbstractUI.aspx?menuIndex=3&amp;refID=7185875&amp;Result=3","7185875")</f>
        <v>0</v>
      </c>
      <c r="B9927" t="s">
        <v>2490</v>
      </c>
      <c r="C9927" t="s">
        <v>13212</v>
      </c>
      <c r="D9927" t="s">
        <v>19006</v>
      </c>
      <c r="E9927" t="s">
        <v>27565</v>
      </c>
      <c r="F9927" t="s">
        <v>32606</v>
      </c>
      <c r="G9927" t="s">
        <v>32613</v>
      </c>
      <c r="H9927" t="s">
        <v>14201</v>
      </c>
      <c r="I9927" t="s">
        <v>7064</v>
      </c>
      <c r="J9927" t="s">
        <v>38916</v>
      </c>
      <c r="K9927" t="s">
        <v>42631</v>
      </c>
      <c r="M9927" t="s">
        <v>45627</v>
      </c>
      <c r="N9927" t="s">
        <v>47304</v>
      </c>
      <c r="O9927" t="s">
        <v>47305</v>
      </c>
      <c r="P9927">
        <v>0</v>
      </c>
      <c r="Q9927">
        <v>4</v>
      </c>
      <c r="R9927" t="s">
        <v>47313</v>
      </c>
      <c r="S9927" t="s">
        <v>47535</v>
      </c>
      <c r="T9927" t="s">
        <v>49390</v>
      </c>
      <c r="U9927" t="s">
        <v>57747</v>
      </c>
      <c r="W9927" t="s">
        <v>45627</v>
      </c>
      <c r="X9927" t="s">
        <v>47314</v>
      </c>
    </row>
    <row r="9928" spans="1:24">
      <c r="A9928">
        <f>HYPERLINK("https://www.philgeps.gov.ph/GEPSNONPILOT/Tender/SplashBidNoticeAbstractUI.aspx?menuIndex=3&amp;refID=7185891&amp;Result=3","7185891")</f>
        <v>0</v>
      </c>
      <c r="B9928" t="s">
        <v>496</v>
      </c>
      <c r="C9928" t="s">
        <v>13213</v>
      </c>
      <c r="E9928" t="s">
        <v>27566</v>
      </c>
      <c r="F9928" t="s">
        <v>32606</v>
      </c>
      <c r="G9928" t="s">
        <v>32614</v>
      </c>
      <c r="H9928" t="s">
        <v>14201</v>
      </c>
      <c r="I9928" t="s">
        <v>32650</v>
      </c>
      <c r="J9928" t="s">
        <v>33060</v>
      </c>
      <c r="K9928" t="s">
        <v>42631</v>
      </c>
      <c r="M9928" t="s">
        <v>45233</v>
      </c>
      <c r="N9928" t="s">
        <v>47304</v>
      </c>
      <c r="O9928" t="s">
        <v>47305</v>
      </c>
      <c r="P9928">
        <v>0</v>
      </c>
      <c r="Q9928">
        <v>1</v>
      </c>
      <c r="R9928" t="s">
        <v>47313</v>
      </c>
      <c r="S9928" t="s">
        <v>47535</v>
      </c>
      <c r="T9928" t="s">
        <v>48997</v>
      </c>
      <c r="U9928" t="s">
        <v>57748</v>
      </c>
      <c r="W9928" t="s">
        <v>64494</v>
      </c>
      <c r="X9928" t="s">
        <v>47314</v>
      </c>
    </row>
    <row r="9929" spans="1:24">
      <c r="A9929">
        <f>HYPERLINK("https://www.philgeps.gov.ph/GEPSNONPILOT/Tender/SplashBidNoticeAbstractUI.aspx?menuIndex=3&amp;refID=7185772&amp;Result=3","7185772")</f>
        <v>0</v>
      </c>
      <c r="B9929" t="s">
        <v>135</v>
      </c>
      <c r="C9929" t="s">
        <v>13214</v>
      </c>
      <c r="D9929" t="s">
        <v>19009</v>
      </c>
      <c r="E9929" t="s">
        <v>27567</v>
      </c>
      <c r="F9929" t="s">
        <v>32606</v>
      </c>
      <c r="G9929" t="s">
        <v>32613</v>
      </c>
      <c r="H9929" t="s">
        <v>32623</v>
      </c>
      <c r="I9929" t="s">
        <v>17648</v>
      </c>
      <c r="J9929" t="s">
        <v>38917</v>
      </c>
      <c r="K9929" t="s">
        <v>42770</v>
      </c>
      <c r="M9929" t="s">
        <v>43036</v>
      </c>
      <c r="N9929" t="s">
        <v>47304</v>
      </c>
      <c r="O9929" t="s">
        <v>47305</v>
      </c>
      <c r="P9929">
        <v>0</v>
      </c>
      <c r="Q9929">
        <v>0</v>
      </c>
      <c r="R9929" t="s">
        <v>47313</v>
      </c>
      <c r="S9929" t="s">
        <v>47535</v>
      </c>
      <c r="T9929" t="s">
        <v>49119</v>
      </c>
      <c r="U9929" t="s">
        <v>49775</v>
      </c>
      <c r="V9929" t="s">
        <v>62678</v>
      </c>
      <c r="W9929" t="s">
        <v>43036</v>
      </c>
      <c r="X9929" t="s">
        <v>47314</v>
      </c>
    </row>
    <row r="9930" spans="1:24">
      <c r="A9930">
        <f>HYPERLINK("https://www.philgeps.gov.ph/GEPSNONPILOT/Tender/SplashBidNoticeAbstractUI.aspx?menuIndex=3&amp;refID=7185849&amp;Result=3","7185849")</f>
        <v>0</v>
      </c>
      <c r="B9930" t="s">
        <v>2490</v>
      </c>
      <c r="C9930" t="s">
        <v>13215</v>
      </c>
      <c r="D9930" t="s">
        <v>19006</v>
      </c>
      <c r="E9930" t="s">
        <v>27568</v>
      </c>
      <c r="F9930" t="s">
        <v>32606</v>
      </c>
      <c r="G9930" t="s">
        <v>32613</v>
      </c>
      <c r="H9930" t="s">
        <v>14201</v>
      </c>
      <c r="I9930" t="s">
        <v>32708</v>
      </c>
      <c r="J9930" t="s">
        <v>34667</v>
      </c>
      <c r="K9930" t="s">
        <v>42648</v>
      </c>
      <c r="M9930" t="s">
        <v>45627</v>
      </c>
      <c r="N9930" t="s">
        <v>47304</v>
      </c>
      <c r="O9930" t="s">
        <v>47305</v>
      </c>
      <c r="P9930">
        <v>0</v>
      </c>
      <c r="Q9930">
        <v>1</v>
      </c>
      <c r="R9930" t="s">
        <v>47313</v>
      </c>
      <c r="S9930" t="s">
        <v>47535</v>
      </c>
      <c r="T9930" t="s">
        <v>49390</v>
      </c>
      <c r="U9930" t="s">
        <v>57747</v>
      </c>
      <c r="W9930" t="s">
        <v>45627</v>
      </c>
      <c r="X9930" t="s">
        <v>47314</v>
      </c>
    </row>
    <row r="9931" spans="1:24">
      <c r="A9931">
        <f>HYPERLINK("https://www.philgeps.gov.ph/GEPSNONPILOT/Tender/SplashBidNoticeAbstractUI.aspx?menuIndex=3&amp;refID=7185848&amp;Result=3","7185848")</f>
        <v>0</v>
      </c>
      <c r="B9931" t="s">
        <v>2831</v>
      </c>
      <c r="C9931" t="s">
        <v>13216</v>
      </c>
      <c r="D9931" t="s">
        <v>19013</v>
      </c>
      <c r="E9931" t="s">
        <v>27569</v>
      </c>
      <c r="F9931" t="s">
        <v>32606</v>
      </c>
      <c r="G9931" t="s">
        <v>32614</v>
      </c>
      <c r="H9931" t="s">
        <v>14201</v>
      </c>
      <c r="I9931" t="s">
        <v>5233</v>
      </c>
      <c r="J9931" t="s">
        <v>38918</v>
      </c>
      <c r="K9931" t="s">
        <v>42677</v>
      </c>
      <c r="M9931" t="s">
        <v>45996</v>
      </c>
      <c r="N9931" t="s">
        <v>47304</v>
      </c>
      <c r="O9931" t="s">
        <v>47305</v>
      </c>
      <c r="P9931">
        <v>0</v>
      </c>
      <c r="Q9931">
        <v>0</v>
      </c>
      <c r="R9931" t="s">
        <v>47313</v>
      </c>
      <c r="S9931" t="s">
        <v>47535</v>
      </c>
      <c r="T9931" t="s">
        <v>49071</v>
      </c>
      <c r="U9931" t="s">
        <v>57749</v>
      </c>
      <c r="W9931" t="s">
        <v>45996</v>
      </c>
      <c r="X9931" t="s">
        <v>47314</v>
      </c>
    </row>
    <row r="9932" spans="1:24">
      <c r="A9932">
        <f>HYPERLINK("https://www.philgeps.gov.ph/GEPSNONPILOT/Tender/SplashBidNoticeAbstractUI.aspx?menuIndex=3&amp;refID=7185887&amp;Result=3","7185887")</f>
        <v>0</v>
      </c>
      <c r="B9932" t="s">
        <v>535</v>
      </c>
      <c r="C9932" t="s">
        <v>13217</v>
      </c>
      <c r="D9932" t="s">
        <v>19031</v>
      </c>
      <c r="E9932" t="s">
        <v>27570</v>
      </c>
      <c r="F9932" t="s">
        <v>32606</v>
      </c>
      <c r="G9932" t="s">
        <v>32613</v>
      </c>
      <c r="H9932" t="s">
        <v>32623</v>
      </c>
      <c r="I9932" t="s">
        <v>17648</v>
      </c>
      <c r="J9932" t="s">
        <v>38919</v>
      </c>
      <c r="K9932" t="s">
        <v>42752</v>
      </c>
      <c r="M9932" t="s">
        <v>45437</v>
      </c>
      <c r="N9932" t="s">
        <v>47304</v>
      </c>
      <c r="O9932" t="s">
        <v>47305</v>
      </c>
      <c r="P9932">
        <v>0</v>
      </c>
      <c r="Q9932">
        <v>1</v>
      </c>
      <c r="R9932" t="s">
        <v>47313</v>
      </c>
      <c r="S9932" t="s">
        <v>47535</v>
      </c>
      <c r="T9932" t="s">
        <v>49040</v>
      </c>
      <c r="U9932" t="s">
        <v>57750</v>
      </c>
      <c r="W9932" t="s">
        <v>64499</v>
      </c>
      <c r="X9932" t="s">
        <v>47314</v>
      </c>
    </row>
    <row r="9933" spans="1:24">
      <c r="A9933">
        <f>HYPERLINK("https://www.philgeps.gov.ph/GEPSNONPILOT/Tender/SplashBidNoticeAbstractUI.aspx?menuIndex=3&amp;refID=7185845&amp;Result=3","7185845")</f>
        <v>0</v>
      </c>
      <c r="B9933" t="s">
        <v>1543</v>
      </c>
      <c r="C9933" t="s">
        <v>13218</v>
      </c>
      <c r="D9933" t="s">
        <v>19013</v>
      </c>
      <c r="E9933" t="s">
        <v>27571</v>
      </c>
      <c r="F9933" t="s">
        <v>32606</v>
      </c>
      <c r="G9933" t="s">
        <v>32617</v>
      </c>
      <c r="H9933" t="s">
        <v>14201</v>
      </c>
      <c r="I9933" t="s">
        <v>4114</v>
      </c>
      <c r="J9933" t="s">
        <v>38920</v>
      </c>
      <c r="K9933" t="s">
        <v>42624</v>
      </c>
      <c r="M9933" t="s">
        <v>44547</v>
      </c>
      <c r="N9933" t="s">
        <v>47304</v>
      </c>
      <c r="O9933" t="s">
        <v>47305</v>
      </c>
      <c r="P9933">
        <v>0</v>
      </c>
      <c r="Q9933">
        <v>3</v>
      </c>
      <c r="R9933" t="s">
        <v>47313</v>
      </c>
      <c r="S9933" t="s">
        <v>47535</v>
      </c>
      <c r="T9933" t="s">
        <v>49196</v>
      </c>
      <c r="U9933" t="s">
        <v>57751</v>
      </c>
      <c r="W9933" t="s">
        <v>44547</v>
      </c>
      <c r="X9933" t="s">
        <v>47314</v>
      </c>
    </row>
    <row r="9934" spans="1:24">
      <c r="A9934">
        <f>HYPERLINK("https://www.philgeps.gov.ph/GEPSNONPILOT/Tender/SplashBidNoticeAbstractUI.aspx?menuIndex=3&amp;refID=7185843&amp;Result=3","7185843")</f>
        <v>0</v>
      </c>
      <c r="B9934" t="s">
        <v>535</v>
      </c>
      <c r="C9934" t="s">
        <v>13219</v>
      </c>
      <c r="D9934" t="s">
        <v>19031</v>
      </c>
      <c r="E9934" t="s">
        <v>27572</v>
      </c>
      <c r="F9934" t="s">
        <v>32606</v>
      </c>
      <c r="G9934" t="s">
        <v>32613</v>
      </c>
      <c r="H9934" t="s">
        <v>14201</v>
      </c>
      <c r="I9934" t="s">
        <v>32644</v>
      </c>
      <c r="J9934" t="s">
        <v>38749</v>
      </c>
      <c r="K9934" t="s">
        <v>42631</v>
      </c>
      <c r="M9934" t="s">
        <v>43448</v>
      </c>
      <c r="N9934" t="s">
        <v>47304</v>
      </c>
      <c r="O9934" t="s">
        <v>47305</v>
      </c>
      <c r="P9934">
        <v>0</v>
      </c>
      <c r="Q9934">
        <v>3</v>
      </c>
      <c r="R9934" t="s">
        <v>47313</v>
      </c>
      <c r="S9934" t="s">
        <v>47535</v>
      </c>
      <c r="T9934" t="s">
        <v>48998</v>
      </c>
      <c r="U9934" t="s">
        <v>57752</v>
      </c>
      <c r="W9934" t="s">
        <v>43448</v>
      </c>
      <c r="X9934" t="s">
        <v>47314</v>
      </c>
    </row>
    <row r="9935" spans="1:24">
      <c r="A9935">
        <f>HYPERLINK("https://www.philgeps.gov.ph/GEPSNONPILOT/Tender/SplashBidNoticeAbstractUI.aspx?menuIndex=3&amp;refID=7185799&amp;Result=3","7185799")</f>
        <v>0</v>
      </c>
      <c r="B9935" t="s">
        <v>1028</v>
      </c>
      <c r="C9935" t="s">
        <v>13220</v>
      </c>
      <c r="D9935" t="s">
        <v>19008</v>
      </c>
      <c r="E9935" t="s">
        <v>27573</v>
      </c>
      <c r="F9935" t="s">
        <v>32606</v>
      </c>
      <c r="G9935" t="s">
        <v>32613</v>
      </c>
      <c r="H9935" t="s">
        <v>14201</v>
      </c>
      <c r="I9935" t="s">
        <v>6931</v>
      </c>
      <c r="J9935" t="s">
        <v>38921</v>
      </c>
      <c r="K9935" t="s">
        <v>42631</v>
      </c>
      <c r="M9935" t="s">
        <v>43981</v>
      </c>
      <c r="N9935" t="s">
        <v>47304</v>
      </c>
      <c r="O9935" t="s">
        <v>47305</v>
      </c>
      <c r="P9935">
        <v>0</v>
      </c>
      <c r="Q9935">
        <v>1</v>
      </c>
      <c r="R9935" t="s">
        <v>47313</v>
      </c>
      <c r="S9935" t="s">
        <v>47535</v>
      </c>
      <c r="T9935" t="s">
        <v>48987</v>
      </c>
      <c r="U9935" t="s">
        <v>57753</v>
      </c>
      <c r="W9935" t="s">
        <v>43981</v>
      </c>
      <c r="X9935" t="s">
        <v>47314</v>
      </c>
    </row>
    <row r="9936" spans="1:24">
      <c r="A9936">
        <f>HYPERLINK("https://www.philgeps.gov.ph/GEPSNONPILOT/Tender/SplashBidNoticeAbstractUI.aspx?menuIndex=3&amp;refID=7185842&amp;Result=3","7185842")</f>
        <v>0</v>
      </c>
      <c r="B9936" t="s">
        <v>2893</v>
      </c>
      <c r="C9936" t="s">
        <v>13221</v>
      </c>
      <c r="D9936" t="s">
        <v>18992</v>
      </c>
      <c r="E9936" t="s">
        <v>27574</v>
      </c>
      <c r="F9936" t="s">
        <v>32606</v>
      </c>
      <c r="G9936" t="s">
        <v>32613</v>
      </c>
      <c r="H9936" t="s">
        <v>14201</v>
      </c>
      <c r="I9936" t="s">
        <v>32628</v>
      </c>
      <c r="J9936" t="s">
        <v>33060</v>
      </c>
      <c r="K9936" t="s">
        <v>42631</v>
      </c>
      <c r="M9936" t="s">
        <v>46067</v>
      </c>
      <c r="N9936" t="s">
        <v>47304</v>
      </c>
      <c r="O9936" t="s">
        <v>47305</v>
      </c>
      <c r="P9936">
        <v>0</v>
      </c>
      <c r="Q9936">
        <v>2</v>
      </c>
      <c r="R9936" t="s">
        <v>47313</v>
      </c>
      <c r="S9936" t="s">
        <v>47535</v>
      </c>
      <c r="T9936" t="s">
        <v>49075</v>
      </c>
      <c r="U9936" t="s">
        <v>57754</v>
      </c>
      <c r="W9936" t="s">
        <v>46067</v>
      </c>
      <c r="X9936" t="s">
        <v>47314</v>
      </c>
    </row>
    <row r="9937" spans="1:24">
      <c r="A9937">
        <f>HYPERLINK("https://www.philgeps.gov.ph/GEPSNONPILOT/Tender/SplashBidNoticeAbstractUI.aspx?menuIndex=3&amp;refID=7185855&amp;Result=3","7185855")</f>
        <v>0</v>
      </c>
      <c r="B9937" t="s">
        <v>1390</v>
      </c>
      <c r="C9937" t="s">
        <v>13222</v>
      </c>
      <c r="D9937" t="s">
        <v>19015</v>
      </c>
      <c r="E9937" t="s">
        <v>27575</v>
      </c>
      <c r="F9937" t="s">
        <v>32606</v>
      </c>
      <c r="G9937" t="s">
        <v>32613</v>
      </c>
      <c r="H9937" t="s">
        <v>14201</v>
      </c>
      <c r="I9937" t="s">
        <v>32631</v>
      </c>
      <c r="J9937" t="s">
        <v>38922</v>
      </c>
      <c r="K9937" t="s">
        <v>42630</v>
      </c>
      <c r="M9937" t="s">
        <v>44373</v>
      </c>
      <c r="N9937" t="s">
        <v>47304</v>
      </c>
      <c r="O9937" t="s">
        <v>47305</v>
      </c>
      <c r="P9937">
        <v>0</v>
      </c>
      <c r="Q9937">
        <v>1</v>
      </c>
      <c r="R9937" t="s">
        <v>47313</v>
      </c>
      <c r="S9937" t="s">
        <v>47535</v>
      </c>
      <c r="T9937" t="s">
        <v>49071</v>
      </c>
      <c r="U9937" t="s">
        <v>57755</v>
      </c>
      <c r="W9937" t="s">
        <v>44373</v>
      </c>
      <c r="X9937" t="s">
        <v>47314</v>
      </c>
    </row>
    <row r="9938" spans="1:24">
      <c r="A9938">
        <f>HYPERLINK("https://www.philgeps.gov.ph/GEPSNONPILOT/Tender/SplashBidNoticeAbstractUI.aspx?menuIndex=3&amp;refID=7185870&amp;Result=3","7185870")</f>
        <v>0</v>
      </c>
      <c r="B9938" t="s">
        <v>2831</v>
      </c>
      <c r="C9938" t="s">
        <v>13223</v>
      </c>
      <c r="D9938" t="s">
        <v>19013</v>
      </c>
      <c r="E9938" t="s">
        <v>27576</v>
      </c>
      <c r="F9938" t="s">
        <v>32606</v>
      </c>
      <c r="G9938" t="s">
        <v>32614</v>
      </c>
      <c r="H9938" t="s">
        <v>14201</v>
      </c>
      <c r="I9938" t="s">
        <v>6298</v>
      </c>
      <c r="J9938" t="s">
        <v>36467</v>
      </c>
      <c r="K9938" t="s">
        <v>42627</v>
      </c>
      <c r="M9938" t="s">
        <v>45996</v>
      </c>
      <c r="N9938" t="s">
        <v>47304</v>
      </c>
      <c r="O9938" t="s">
        <v>47305</v>
      </c>
      <c r="P9938">
        <v>0</v>
      </c>
      <c r="Q9938">
        <v>0</v>
      </c>
      <c r="R9938" t="s">
        <v>47313</v>
      </c>
      <c r="S9938" t="s">
        <v>47535</v>
      </c>
      <c r="T9938" t="s">
        <v>49071</v>
      </c>
      <c r="U9938" t="s">
        <v>57756</v>
      </c>
      <c r="W9938" t="s">
        <v>45996</v>
      </c>
      <c r="X9938" t="s">
        <v>47314</v>
      </c>
    </row>
    <row r="9939" spans="1:24">
      <c r="A9939">
        <f>HYPERLINK("https://www.philgeps.gov.ph/GEPSNONPILOT/Tender/SplashBidNoticeAbstractUI.aspx?menuIndex=3&amp;refID=7185798&amp;Result=3","7185798")</f>
        <v>0</v>
      </c>
      <c r="B9939" t="s">
        <v>2490</v>
      </c>
      <c r="C9939" t="s">
        <v>13224</v>
      </c>
      <c r="D9939" t="s">
        <v>19006</v>
      </c>
      <c r="E9939" t="s">
        <v>27577</v>
      </c>
      <c r="F9939" t="s">
        <v>32606</v>
      </c>
      <c r="G9939" t="s">
        <v>32613</v>
      </c>
      <c r="H9939" t="s">
        <v>14201</v>
      </c>
      <c r="I9939" t="s">
        <v>17648</v>
      </c>
      <c r="J9939" t="s">
        <v>36845</v>
      </c>
      <c r="K9939" t="s">
        <v>42639</v>
      </c>
      <c r="M9939" t="s">
        <v>45627</v>
      </c>
      <c r="N9939" t="s">
        <v>47304</v>
      </c>
      <c r="O9939" t="s">
        <v>47305</v>
      </c>
      <c r="P9939">
        <v>0</v>
      </c>
      <c r="Q9939">
        <v>0</v>
      </c>
      <c r="R9939" t="s">
        <v>47313</v>
      </c>
      <c r="S9939" t="s">
        <v>47535</v>
      </c>
      <c r="T9939" t="s">
        <v>49390</v>
      </c>
      <c r="U9939" t="s">
        <v>57747</v>
      </c>
      <c r="W9939" t="s">
        <v>45627</v>
      </c>
      <c r="X9939" t="s">
        <v>47314</v>
      </c>
    </row>
    <row r="9940" spans="1:24">
      <c r="A9940">
        <f>HYPERLINK("https://www.philgeps.gov.ph/GEPSNONPILOT/Tender/SplashBidNoticeAbstractUI.aspx?menuIndex=3&amp;refID=7185794&amp;Result=3","7185794")</f>
        <v>0</v>
      </c>
      <c r="B9940" t="s">
        <v>3044</v>
      </c>
      <c r="C9940" t="s">
        <v>13225</v>
      </c>
      <c r="D9940" t="s">
        <v>19002</v>
      </c>
      <c r="E9940" t="s">
        <v>19690</v>
      </c>
      <c r="F9940" t="s">
        <v>32606</v>
      </c>
      <c r="G9940" t="s">
        <v>32613</v>
      </c>
      <c r="H9940" t="s">
        <v>32623</v>
      </c>
      <c r="I9940" t="s">
        <v>6931</v>
      </c>
      <c r="J9940" t="s">
        <v>38923</v>
      </c>
      <c r="K9940" t="s">
        <v>42648</v>
      </c>
      <c r="M9940" t="s">
        <v>46239</v>
      </c>
      <c r="N9940" t="s">
        <v>47304</v>
      </c>
      <c r="O9940" t="s">
        <v>47305</v>
      </c>
      <c r="P9940">
        <v>0</v>
      </c>
      <c r="Q9940">
        <v>7</v>
      </c>
      <c r="R9940" t="s">
        <v>47313</v>
      </c>
      <c r="S9940" t="s">
        <v>47535</v>
      </c>
      <c r="T9940" t="s">
        <v>48998</v>
      </c>
      <c r="U9940" t="s">
        <v>57757</v>
      </c>
      <c r="W9940" t="s">
        <v>46239</v>
      </c>
      <c r="X9940" t="s">
        <v>47314</v>
      </c>
    </row>
    <row r="9941" spans="1:24">
      <c r="A9941">
        <f>HYPERLINK("https://www.philgeps.gov.ph/GEPSNONPILOT/Tender/SplashBidNoticeAbstractUI.aspx?menuIndex=3&amp;refID=7185793&amp;Result=3","7185793")</f>
        <v>0</v>
      </c>
      <c r="B9941" t="s">
        <v>1543</v>
      </c>
      <c r="C9941" t="s">
        <v>13226</v>
      </c>
      <c r="D9941" t="s">
        <v>19013</v>
      </c>
      <c r="E9941" t="s">
        <v>27578</v>
      </c>
      <c r="F9941" t="s">
        <v>32606</v>
      </c>
      <c r="G9941" t="s">
        <v>32614</v>
      </c>
      <c r="H9941" t="s">
        <v>14201</v>
      </c>
      <c r="I9941" t="s">
        <v>7577</v>
      </c>
      <c r="J9941" t="s">
        <v>33400</v>
      </c>
      <c r="K9941" t="s">
        <v>42624</v>
      </c>
      <c r="M9941" t="s">
        <v>44547</v>
      </c>
      <c r="N9941" t="s">
        <v>47304</v>
      </c>
      <c r="O9941" t="s">
        <v>47305</v>
      </c>
      <c r="P9941">
        <v>0</v>
      </c>
      <c r="Q9941">
        <v>3</v>
      </c>
      <c r="R9941" t="s">
        <v>47313</v>
      </c>
      <c r="S9941" t="s">
        <v>47535</v>
      </c>
      <c r="T9941" t="s">
        <v>49196</v>
      </c>
      <c r="U9941" t="s">
        <v>57758</v>
      </c>
      <c r="W9941" t="s">
        <v>44547</v>
      </c>
      <c r="X9941" t="s">
        <v>47314</v>
      </c>
    </row>
    <row r="9942" spans="1:24">
      <c r="A9942">
        <f>HYPERLINK("https://www.philgeps.gov.ph/GEPSNONPILOT/Tender/SplashBidNoticeAbstractUI.aspx?menuIndex=3&amp;refID=7185906&amp;Result=3","7185906")</f>
        <v>0</v>
      </c>
      <c r="B9942" t="s">
        <v>2490</v>
      </c>
      <c r="C9942" t="s">
        <v>13227</v>
      </c>
      <c r="D9942" t="s">
        <v>19006</v>
      </c>
      <c r="E9942" t="s">
        <v>27579</v>
      </c>
      <c r="F9942" t="s">
        <v>32606</v>
      </c>
      <c r="G9942" t="s">
        <v>32613</v>
      </c>
      <c r="H9942" t="s">
        <v>14201</v>
      </c>
      <c r="I9942" t="s">
        <v>7577</v>
      </c>
      <c r="J9942" t="s">
        <v>38924</v>
      </c>
      <c r="K9942" t="s">
        <v>42627</v>
      </c>
      <c r="M9942" t="s">
        <v>45627</v>
      </c>
      <c r="N9942" t="s">
        <v>47304</v>
      </c>
      <c r="O9942" t="s">
        <v>47305</v>
      </c>
      <c r="P9942">
        <v>0</v>
      </c>
      <c r="Q9942">
        <v>7</v>
      </c>
      <c r="R9942" t="s">
        <v>47313</v>
      </c>
      <c r="S9942" t="s">
        <v>47535</v>
      </c>
      <c r="T9942" t="s">
        <v>49390</v>
      </c>
      <c r="U9942" t="s">
        <v>57747</v>
      </c>
      <c r="W9942" t="s">
        <v>45627</v>
      </c>
      <c r="X9942" t="s">
        <v>47314</v>
      </c>
    </row>
    <row r="9943" spans="1:24">
      <c r="A9943">
        <f>HYPERLINK("https://www.philgeps.gov.ph/GEPSNONPILOT/Tender/SplashBidNoticeAbstractUI.aspx?menuIndex=3&amp;refID=7185665&amp;Result=3","7185665")</f>
        <v>0</v>
      </c>
      <c r="B9943" t="s">
        <v>2831</v>
      </c>
      <c r="C9943" t="s">
        <v>13228</v>
      </c>
      <c r="D9943" t="s">
        <v>19013</v>
      </c>
      <c r="E9943" t="s">
        <v>27580</v>
      </c>
      <c r="F9943" t="s">
        <v>32606</v>
      </c>
      <c r="G9943" t="s">
        <v>32614</v>
      </c>
      <c r="H9943" t="s">
        <v>14201</v>
      </c>
      <c r="I9943" t="s">
        <v>6993</v>
      </c>
      <c r="J9943" t="s">
        <v>38925</v>
      </c>
      <c r="K9943" t="s">
        <v>42627</v>
      </c>
      <c r="M9943" t="s">
        <v>45996</v>
      </c>
      <c r="N9943" t="s">
        <v>47304</v>
      </c>
      <c r="O9943" t="s">
        <v>47305</v>
      </c>
      <c r="P9943">
        <v>0</v>
      </c>
      <c r="Q9943">
        <v>0</v>
      </c>
      <c r="R9943" t="s">
        <v>47313</v>
      </c>
      <c r="S9943" t="s">
        <v>47535</v>
      </c>
      <c r="T9943" t="s">
        <v>49071</v>
      </c>
      <c r="U9943" t="s">
        <v>57759</v>
      </c>
      <c r="W9943" t="s">
        <v>45996</v>
      </c>
      <c r="X9943" t="s">
        <v>47314</v>
      </c>
    </row>
    <row r="9944" spans="1:24">
      <c r="A9944">
        <f>HYPERLINK("https://www.philgeps.gov.ph/GEPSNONPILOT/Tender/SplashBidNoticeAbstractUI.aspx?menuIndex=3&amp;refID=7185548&amp;Result=3","7185548")</f>
        <v>0</v>
      </c>
      <c r="B9944" t="s">
        <v>535</v>
      </c>
      <c r="C9944" t="s">
        <v>13229</v>
      </c>
      <c r="D9944" t="s">
        <v>19031</v>
      </c>
      <c r="E9944" t="s">
        <v>27581</v>
      </c>
      <c r="F9944" t="s">
        <v>32606</v>
      </c>
      <c r="G9944" t="s">
        <v>32613</v>
      </c>
      <c r="H9944" t="s">
        <v>14201</v>
      </c>
      <c r="I9944" t="s">
        <v>32633</v>
      </c>
      <c r="J9944" t="s">
        <v>38926</v>
      </c>
      <c r="K9944" t="s">
        <v>42631</v>
      </c>
      <c r="M9944" t="s">
        <v>43448</v>
      </c>
      <c r="N9944" t="s">
        <v>47304</v>
      </c>
      <c r="O9944" t="s">
        <v>47305</v>
      </c>
      <c r="P9944">
        <v>0</v>
      </c>
      <c r="Q9944">
        <v>6</v>
      </c>
      <c r="R9944" t="s">
        <v>47313</v>
      </c>
      <c r="S9944" t="s">
        <v>47535</v>
      </c>
      <c r="T9944" t="s">
        <v>48998</v>
      </c>
      <c r="U9944" t="s">
        <v>57760</v>
      </c>
      <c r="W9944" t="s">
        <v>43448</v>
      </c>
      <c r="X9944" t="s">
        <v>47314</v>
      </c>
    </row>
    <row r="9945" spans="1:24">
      <c r="A9945">
        <f>HYPERLINK("https://www.philgeps.gov.ph/GEPSNONPILOT/Tender/SplashBidNoticeAbstractUI.aspx?menuIndex=3&amp;refID=7185966&amp;Result=3","7185966")</f>
        <v>0</v>
      </c>
      <c r="B9945" t="s">
        <v>1677</v>
      </c>
      <c r="C9945" t="s">
        <v>13230</v>
      </c>
      <c r="D9945" t="s">
        <v>19027</v>
      </c>
      <c r="E9945" t="s">
        <v>27582</v>
      </c>
      <c r="F9945" t="s">
        <v>32606</v>
      </c>
      <c r="G9945" t="s">
        <v>32619</v>
      </c>
      <c r="H9945" t="s">
        <v>14201</v>
      </c>
      <c r="I9945" t="s">
        <v>32629</v>
      </c>
      <c r="J9945" t="s">
        <v>32776</v>
      </c>
      <c r="K9945" t="s">
        <v>42632</v>
      </c>
      <c r="M9945" t="s">
        <v>44705</v>
      </c>
      <c r="N9945" t="s">
        <v>47304</v>
      </c>
      <c r="O9945" t="s">
        <v>47305</v>
      </c>
      <c r="P9945">
        <v>0</v>
      </c>
      <c r="Q9945">
        <v>0</v>
      </c>
      <c r="R9945" t="s">
        <v>47313</v>
      </c>
      <c r="S9945" t="s">
        <v>47535</v>
      </c>
      <c r="T9945" t="s">
        <v>49432</v>
      </c>
      <c r="U9945" t="s">
        <v>56281</v>
      </c>
      <c r="W9945" t="s">
        <v>44705</v>
      </c>
      <c r="X9945" t="s">
        <v>47314</v>
      </c>
    </row>
    <row r="9946" spans="1:24">
      <c r="A9946">
        <f>HYPERLINK("https://www.philgeps.gov.ph/GEPSNONPILOT/Tender/SplashBidNoticeAbstractUI.aspx?menuIndex=3&amp;refID=7185958&amp;Result=3","7185958")</f>
        <v>0</v>
      </c>
      <c r="B9946" t="s">
        <v>2831</v>
      </c>
      <c r="C9946" t="s">
        <v>13231</v>
      </c>
      <c r="D9946" t="s">
        <v>19013</v>
      </c>
      <c r="E9946" t="s">
        <v>27583</v>
      </c>
      <c r="F9946" t="s">
        <v>32606</v>
      </c>
      <c r="G9946" t="s">
        <v>32614</v>
      </c>
      <c r="H9946" t="s">
        <v>14201</v>
      </c>
      <c r="I9946" t="s">
        <v>4678</v>
      </c>
      <c r="J9946" t="s">
        <v>34321</v>
      </c>
      <c r="K9946" t="s">
        <v>42627</v>
      </c>
      <c r="M9946" t="s">
        <v>45996</v>
      </c>
      <c r="N9946" t="s">
        <v>47304</v>
      </c>
      <c r="O9946" t="s">
        <v>47305</v>
      </c>
      <c r="P9946">
        <v>0</v>
      </c>
      <c r="Q9946">
        <v>1</v>
      </c>
      <c r="R9946" t="s">
        <v>47313</v>
      </c>
      <c r="S9946" t="s">
        <v>47535</v>
      </c>
      <c r="T9946" t="s">
        <v>49071</v>
      </c>
      <c r="U9946" t="s">
        <v>57761</v>
      </c>
      <c r="W9946" t="s">
        <v>45996</v>
      </c>
      <c r="X9946" t="s">
        <v>47314</v>
      </c>
    </row>
    <row r="9947" spans="1:24">
      <c r="A9947">
        <f>HYPERLINK("https://www.philgeps.gov.ph/GEPSNONPILOT/Tender/SplashBidNoticeAbstractUI.aspx?menuIndex=3&amp;refID=7185948&amp;Result=3","7185948")</f>
        <v>0</v>
      </c>
      <c r="B9947" t="s">
        <v>535</v>
      </c>
      <c r="C9947" t="s">
        <v>13232</v>
      </c>
      <c r="D9947" t="s">
        <v>19031</v>
      </c>
      <c r="E9947" t="s">
        <v>27584</v>
      </c>
      <c r="F9947" t="s">
        <v>32606</v>
      </c>
      <c r="G9947" t="s">
        <v>32613</v>
      </c>
      <c r="H9947" t="s">
        <v>32623</v>
      </c>
      <c r="I9947" t="s">
        <v>17648</v>
      </c>
      <c r="J9947" t="s">
        <v>38927</v>
      </c>
      <c r="K9947" t="s">
        <v>42648</v>
      </c>
      <c r="M9947" t="s">
        <v>45437</v>
      </c>
      <c r="N9947" t="s">
        <v>47304</v>
      </c>
      <c r="O9947" t="s">
        <v>47305</v>
      </c>
      <c r="P9947">
        <v>0</v>
      </c>
      <c r="Q9947">
        <v>0</v>
      </c>
      <c r="R9947" t="s">
        <v>47313</v>
      </c>
      <c r="S9947" t="s">
        <v>47535</v>
      </c>
      <c r="T9947" t="s">
        <v>49040</v>
      </c>
      <c r="U9947" t="s">
        <v>57762</v>
      </c>
      <c r="W9947" t="s">
        <v>64499</v>
      </c>
      <c r="X9947" t="s">
        <v>47314</v>
      </c>
    </row>
    <row r="9948" spans="1:24">
      <c r="A9948">
        <f>HYPERLINK("https://www.philgeps.gov.ph/GEPSNONPILOT/Tender/SplashBidNoticeAbstractUI.aspx?menuIndex=3&amp;refID=7185949&amp;Result=3","7185949")</f>
        <v>0</v>
      </c>
      <c r="B9948" t="s">
        <v>3043</v>
      </c>
      <c r="C9948" t="s">
        <v>13233</v>
      </c>
      <c r="D9948" t="s">
        <v>19034</v>
      </c>
      <c r="E9948" t="s">
        <v>27585</v>
      </c>
      <c r="F9948" t="s">
        <v>32606</v>
      </c>
      <c r="G9948" t="s">
        <v>32613</v>
      </c>
      <c r="H9948" t="s">
        <v>14201</v>
      </c>
      <c r="I9948" t="s">
        <v>32686</v>
      </c>
      <c r="J9948" t="s">
        <v>32861</v>
      </c>
      <c r="K9948" t="s">
        <v>42631</v>
      </c>
      <c r="M9948" t="s">
        <v>46238</v>
      </c>
      <c r="N9948" t="s">
        <v>47304</v>
      </c>
      <c r="O9948" t="s">
        <v>47305</v>
      </c>
      <c r="P9948">
        <v>0</v>
      </c>
      <c r="Q9948">
        <v>4</v>
      </c>
      <c r="R9948" t="s">
        <v>47313</v>
      </c>
      <c r="S9948" t="s">
        <v>47535</v>
      </c>
      <c r="T9948" t="s">
        <v>49269</v>
      </c>
      <c r="U9948" t="s">
        <v>57737</v>
      </c>
      <c r="W9948" t="s">
        <v>46238</v>
      </c>
      <c r="X9948" t="s">
        <v>47314</v>
      </c>
    </row>
    <row r="9949" spans="1:24">
      <c r="A9949">
        <f>HYPERLINK("https://www.philgeps.gov.ph/GEPSNONPILOT/Tender/SplashBidNoticeAbstractUI.aspx?menuIndex=3&amp;refID=7185945&amp;Result=3","7185945")</f>
        <v>0</v>
      </c>
      <c r="B9949" t="s">
        <v>3040</v>
      </c>
      <c r="C9949" t="s">
        <v>13234</v>
      </c>
      <c r="D9949" t="s">
        <v>19023</v>
      </c>
      <c r="E9949" t="s">
        <v>27586</v>
      </c>
      <c r="F9949" t="s">
        <v>32606</v>
      </c>
      <c r="G9949" t="s">
        <v>32613</v>
      </c>
      <c r="H9949" t="s">
        <v>14201</v>
      </c>
      <c r="I9949" t="s">
        <v>32657</v>
      </c>
      <c r="J9949" t="s">
        <v>33738</v>
      </c>
      <c r="K9949" t="s">
        <v>42631</v>
      </c>
      <c r="M9949" t="s">
        <v>46234</v>
      </c>
      <c r="N9949" t="s">
        <v>47304</v>
      </c>
      <c r="O9949" t="s">
        <v>47305</v>
      </c>
      <c r="P9949">
        <v>0</v>
      </c>
      <c r="Q9949">
        <v>1</v>
      </c>
      <c r="R9949" t="s">
        <v>47313</v>
      </c>
      <c r="S9949" t="s">
        <v>47535</v>
      </c>
      <c r="T9949" t="s">
        <v>49320</v>
      </c>
      <c r="U9949" t="s">
        <v>57763</v>
      </c>
      <c r="W9949" t="s">
        <v>46234</v>
      </c>
      <c r="X9949" t="s">
        <v>47314</v>
      </c>
    </row>
    <row r="9950" spans="1:24">
      <c r="A9950">
        <f>HYPERLINK("https://www.philgeps.gov.ph/GEPSNONPILOT/Tender/SplashBidNoticeAbstractUI.aspx?menuIndex=3&amp;refID=7185940&amp;Result=3","7185940")</f>
        <v>0</v>
      </c>
      <c r="B9950" t="s">
        <v>3031</v>
      </c>
      <c r="C9950" t="s">
        <v>13235</v>
      </c>
      <c r="D9950" t="s">
        <v>19003</v>
      </c>
      <c r="E9950" t="s">
        <v>27587</v>
      </c>
      <c r="F9950" t="s">
        <v>32606</v>
      </c>
      <c r="G9950" t="s">
        <v>32613</v>
      </c>
      <c r="H9950" t="s">
        <v>14201</v>
      </c>
      <c r="I9950" t="s">
        <v>6931</v>
      </c>
      <c r="J9950" t="s">
        <v>38928</v>
      </c>
      <c r="K9950" t="s">
        <v>42623</v>
      </c>
      <c r="M9950" t="s">
        <v>46224</v>
      </c>
      <c r="N9950" t="s">
        <v>47304</v>
      </c>
      <c r="O9950" t="s">
        <v>47305</v>
      </c>
      <c r="P9950">
        <v>0</v>
      </c>
      <c r="Q9950">
        <v>3</v>
      </c>
      <c r="R9950" t="s">
        <v>47313</v>
      </c>
      <c r="S9950" t="s">
        <v>47535</v>
      </c>
      <c r="T9950" t="s">
        <v>49052</v>
      </c>
      <c r="U9950" t="s">
        <v>57764</v>
      </c>
      <c r="V9950" t="s">
        <v>63687</v>
      </c>
      <c r="W9950" t="s">
        <v>46224</v>
      </c>
      <c r="X9950" t="s">
        <v>47314</v>
      </c>
    </row>
    <row r="9951" spans="1:24">
      <c r="A9951">
        <f>HYPERLINK("https://www.philgeps.gov.ph/GEPSNONPILOT/Tender/SplashBidNoticeAbstractUI.aspx?menuIndex=3&amp;refID=7185934&amp;Result=3","7185934")</f>
        <v>0</v>
      </c>
      <c r="B9951" t="s">
        <v>1038</v>
      </c>
      <c r="C9951" t="s">
        <v>13236</v>
      </c>
      <c r="D9951" t="s">
        <v>18993</v>
      </c>
      <c r="E9951" t="s">
        <v>20349</v>
      </c>
      <c r="F9951" t="s">
        <v>32606</v>
      </c>
      <c r="G9951" t="s">
        <v>32613</v>
      </c>
      <c r="H9951" t="s">
        <v>14201</v>
      </c>
      <c r="I9951" t="s">
        <v>32633</v>
      </c>
      <c r="J9951" t="s">
        <v>38929</v>
      </c>
      <c r="K9951" t="s">
        <v>42630</v>
      </c>
      <c r="M9951" t="s">
        <v>43991</v>
      </c>
      <c r="N9951" t="s">
        <v>47304</v>
      </c>
      <c r="O9951" t="s">
        <v>47305</v>
      </c>
      <c r="Q9951">
        <v>48</v>
      </c>
      <c r="R9951" t="s">
        <v>47313</v>
      </c>
      <c r="S9951" t="s">
        <v>47572</v>
      </c>
      <c r="T9951" t="s">
        <v>49041</v>
      </c>
      <c r="U9951" t="s">
        <v>57765</v>
      </c>
      <c r="W9951" t="s">
        <v>43991</v>
      </c>
      <c r="X9951" t="s">
        <v>47314</v>
      </c>
    </row>
    <row r="9952" spans="1:24">
      <c r="A9952">
        <f>HYPERLINK("https://www.philgeps.gov.ph/GEPSNONPILOT/Tender/SplashBidNoticeAbstractUI.aspx?menuIndex=3&amp;refID=7185931&amp;Result=3","7185931")</f>
        <v>0</v>
      </c>
      <c r="B9952" t="s">
        <v>2963</v>
      </c>
      <c r="C9952" t="s">
        <v>13237</v>
      </c>
      <c r="D9952" t="s">
        <v>19023</v>
      </c>
      <c r="E9952" t="s">
        <v>27588</v>
      </c>
      <c r="F9952" t="s">
        <v>32606</v>
      </c>
      <c r="G9952" t="s">
        <v>32613</v>
      </c>
      <c r="H9952" t="s">
        <v>14201</v>
      </c>
      <c r="I9952" t="s">
        <v>4678</v>
      </c>
      <c r="J9952" t="s">
        <v>33578</v>
      </c>
      <c r="K9952" t="s">
        <v>42636</v>
      </c>
      <c r="M9952" t="s">
        <v>46148</v>
      </c>
      <c r="N9952" t="s">
        <v>47304</v>
      </c>
      <c r="O9952" t="s">
        <v>47305</v>
      </c>
      <c r="P9952">
        <v>0</v>
      </c>
      <c r="Q9952">
        <v>4</v>
      </c>
      <c r="R9952" t="s">
        <v>47313</v>
      </c>
      <c r="S9952" t="s">
        <v>47535</v>
      </c>
      <c r="T9952" t="s">
        <v>49075</v>
      </c>
      <c r="U9952" t="s">
        <v>57766</v>
      </c>
      <c r="V9952" t="s">
        <v>63649</v>
      </c>
      <c r="W9952" t="s">
        <v>46148</v>
      </c>
      <c r="X9952" t="s">
        <v>47314</v>
      </c>
    </row>
    <row r="9953" spans="1:24">
      <c r="A9953">
        <f>HYPERLINK("https://www.philgeps.gov.ph/GEPSNONPILOT/Tender/SplashBidNoticeAbstractUI.aspx?menuIndex=3&amp;refID=7185926&amp;Result=3","7185926")</f>
        <v>0</v>
      </c>
      <c r="B9953" t="s">
        <v>801</v>
      </c>
      <c r="C9953" t="s">
        <v>13238</v>
      </c>
      <c r="D9953" t="s">
        <v>19008</v>
      </c>
      <c r="E9953" t="s">
        <v>27589</v>
      </c>
      <c r="F9953" t="s">
        <v>32606</v>
      </c>
      <c r="G9953" t="s">
        <v>32619</v>
      </c>
      <c r="H9953" t="s">
        <v>14201</v>
      </c>
      <c r="I9953" t="s">
        <v>4115</v>
      </c>
      <c r="J9953" t="s">
        <v>38930</v>
      </c>
      <c r="K9953" t="s">
        <v>42623</v>
      </c>
      <c r="M9953" t="s">
        <v>43732</v>
      </c>
      <c r="N9953" t="s">
        <v>47304</v>
      </c>
      <c r="O9953" t="s">
        <v>47305</v>
      </c>
      <c r="P9953">
        <v>0</v>
      </c>
      <c r="Q9953">
        <v>4</v>
      </c>
      <c r="R9953" t="s">
        <v>47313</v>
      </c>
      <c r="S9953" t="s">
        <v>47535</v>
      </c>
      <c r="T9953" t="s">
        <v>49268</v>
      </c>
      <c r="U9953" t="s">
        <v>57767</v>
      </c>
      <c r="V9953" t="s">
        <v>63699</v>
      </c>
      <c r="W9953" t="s">
        <v>43732</v>
      </c>
      <c r="X9953" t="s">
        <v>47314</v>
      </c>
    </row>
    <row r="9954" spans="1:24">
      <c r="A9954">
        <f>HYPERLINK("https://www.philgeps.gov.ph/GEPSNONPILOT/Tender/SplashBidNoticeAbstractUI.aspx?menuIndex=3&amp;refID=7185955&amp;Result=3","7185955")</f>
        <v>0</v>
      </c>
      <c r="B9954" t="s">
        <v>233</v>
      </c>
      <c r="C9954" t="s">
        <v>13239</v>
      </c>
      <c r="D9954" t="s">
        <v>18997</v>
      </c>
      <c r="E9954" t="s">
        <v>27590</v>
      </c>
      <c r="F9954" t="s">
        <v>32606</v>
      </c>
      <c r="G9954" t="s">
        <v>32613</v>
      </c>
      <c r="H9954" t="s">
        <v>14201</v>
      </c>
      <c r="I9954" t="s">
        <v>6931</v>
      </c>
      <c r="J9954" t="s">
        <v>38931</v>
      </c>
      <c r="K9954" t="s">
        <v>42631</v>
      </c>
      <c r="M9954" t="s">
        <v>44359</v>
      </c>
      <c r="N9954" t="s">
        <v>47304</v>
      </c>
      <c r="O9954" t="s">
        <v>47305</v>
      </c>
      <c r="P9954">
        <v>0</v>
      </c>
      <c r="Q9954">
        <v>0</v>
      </c>
      <c r="R9954" t="s">
        <v>47313</v>
      </c>
      <c r="S9954" t="s">
        <v>47535</v>
      </c>
      <c r="T9954" t="s">
        <v>49086</v>
      </c>
      <c r="U9954" t="s">
        <v>57116</v>
      </c>
      <c r="V9954" t="s">
        <v>63002</v>
      </c>
      <c r="W9954" t="s">
        <v>44359</v>
      </c>
      <c r="X9954" t="s">
        <v>47314</v>
      </c>
    </row>
    <row r="9955" spans="1:24">
      <c r="A9955">
        <f>HYPERLINK("https://www.philgeps.gov.ph/GEPSNONPILOT/Tender/SplashBidNoticeAbstractUI.aspx?menuIndex=3&amp;refID=7185925&amp;Result=3","7185925")</f>
        <v>0</v>
      </c>
      <c r="B9955" t="s">
        <v>1008</v>
      </c>
      <c r="C9955" t="s">
        <v>13240</v>
      </c>
      <c r="D9955" t="s">
        <v>19005</v>
      </c>
      <c r="E9955" t="s">
        <v>27591</v>
      </c>
      <c r="F9955" t="s">
        <v>32606</v>
      </c>
      <c r="G9955" t="s">
        <v>32619</v>
      </c>
      <c r="H9955" t="s">
        <v>14201</v>
      </c>
      <c r="I9955" t="s">
        <v>7677</v>
      </c>
      <c r="J9955" t="s">
        <v>38932</v>
      </c>
      <c r="K9955" t="s">
        <v>42624</v>
      </c>
      <c r="M9955" t="s">
        <v>43956</v>
      </c>
      <c r="N9955" t="s">
        <v>47304</v>
      </c>
      <c r="O9955" t="s">
        <v>47305</v>
      </c>
      <c r="P9955">
        <v>0</v>
      </c>
      <c r="Q9955">
        <v>3</v>
      </c>
      <c r="R9955" t="s">
        <v>47313</v>
      </c>
      <c r="S9955" t="s">
        <v>47535</v>
      </c>
      <c r="T9955" t="s">
        <v>49108</v>
      </c>
      <c r="U9955" t="s">
        <v>57768</v>
      </c>
      <c r="W9955" t="s">
        <v>43956</v>
      </c>
      <c r="X9955" t="s">
        <v>47314</v>
      </c>
    </row>
    <row r="9956" spans="1:24">
      <c r="A9956">
        <f>HYPERLINK("https://www.philgeps.gov.ph/GEPSNONPILOT/Tender/SplashBidNoticeAbstractUI.aspx?menuIndex=3&amp;refID=7185938&amp;Result=3","7185938")</f>
        <v>0</v>
      </c>
      <c r="B9956" t="s">
        <v>3038</v>
      </c>
      <c r="C9956" t="s">
        <v>13241</v>
      </c>
      <c r="D9956" t="s">
        <v>19006</v>
      </c>
      <c r="E9956" t="s">
        <v>27592</v>
      </c>
      <c r="F9956" t="s">
        <v>32606</v>
      </c>
      <c r="G9956" t="s">
        <v>32613</v>
      </c>
      <c r="H9956" t="s">
        <v>32623</v>
      </c>
      <c r="I9956" t="s">
        <v>17648</v>
      </c>
      <c r="J9956" t="s">
        <v>38933</v>
      </c>
      <c r="K9956" t="s">
        <v>42700</v>
      </c>
      <c r="M9956" t="s">
        <v>46232</v>
      </c>
      <c r="N9956" t="s">
        <v>47304</v>
      </c>
      <c r="O9956" t="s">
        <v>47305</v>
      </c>
      <c r="P9956">
        <v>0</v>
      </c>
      <c r="Q9956">
        <v>2</v>
      </c>
      <c r="R9956" t="s">
        <v>47313</v>
      </c>
      <c r="S9956" t="s">
        <v>47535</v>
      </c>
      <c r="T9956" t="s">
        <v>49014</v>
      </c>
      <c r="U9956" t="s">
        <v>57769</v>
      </c>
      <c r="W9956" t="s">
        <v>46232</v>
      </c>
      <c r="X9956" t="s">
        <v>47314</v>
      </c>
    </row>
    <row r="9957" spans="1:24">
      <c r="A9957">
        <f>HYPERLINK("https://www.philgeps.gov.ph/GEPSNONPILOT/Tender/SplashBidNoticeAbstractUI.aspx?menuIndex=3&amp;refID=7185942&amp;Result=3","7185942")</f>
        <v>0</v>
      </c>
      <c r="B9957" t="s">
        <v>3046</v>
      </c>
      <c r="C9957" t="s">
        <v>13242</v>
      </c>
      <c r="D9957" t="s">
        <v>19001</v>
      </c>
      <c r="E9957" t="s">
        <v>20667</v>
      </c>
      <c r="F9957" t="s">
        <v>32606</v>
      </c>
      <c r="G9957" t="s">
        <v>32613</v>
      </c>
      <c r="H9957" t="s">
        <v>14201</v>
      </c>
      <c r="I9957" t="s">
        <v>32631</v>
      </c>
      <c r="J9957" t="s">
        <v>38934</v>
      </c>
      <c r="K9957" t="s">
        <v>42631</v>
      </c>
      <c r="M9957" t="s">
        <v>46242</v>
      </c>
      <c r="N9957" t="s">
        <v>47304</v>
      </c>
      <c r="O9957" t="s">
        <v>47305</v>
      </c>
      <c r="P9957">
        <v>0</v>
      </c>
      <c r="Q9957">
        <v>0</v>
      </c>
      <c r="R9957" t="s">
        <v>47313</v>
      </c>
      <c r="S9957" t="s">
        <v>47535</v>
      </c>
      <c r="T9957" t="s">
        <v>49075</v>
      </c>
      <c r="U9957" t="s">
        <v>57770</v>
      </c>
      <c r="W9957" t="s">
        <v>46242</v>
      </c>
      <c r="X9957" t="s">
        <v>47314</v>
      </c>
    </row>
    <row r="9958" spans="1:24">
      <c r="A9958">
        <f>HYPERLINK("https://www.philgeps.gov.ph/GEPSNONPILOT/Tender/SplashBidNoticeAbstractUI.aspx?menuIndex=3&amp;refID=7185909&amp;Result=3","7185909")</f>
        <v>0</v>
      </c>
      <c r="B9958" t="s">
        <v>3047</v>
      </c>
      <c r="C9958" t="s">
        <v>13243</v>
      </c>
      <c r="D9958" t="s">
        <v>19008</v>
      </c>
      <c r="E9958" t="s">
        <v>27593</v>
      </c>
      <c r="F9958" t="s">
        <v>32606</v>
      </c>
      <c r="G9958" t="s">
        <v>32613</v>
      </c>
      <c r="H9958" t="s">
        <v>14201</v>
      </c>
      <c r="I9958" t="s">
        <v>32640</v>
      </c>
      <c r="J9958" t="s">
        <v>38935</v>
      </c>
      <c r="K9958" t="s">
        <v>42623</v>
      </c>
      <c r="M9958" t="s">
        <v>46243</v>
      </c>
      <c r="N9958" t="s">
        <v>47304</v>
      </c>
      <c r="O9958" t="s">
        <v>47305</v>
      </c>
      <c r="Q9958">
        <v>15</v>
      </c>
      <c r="R9958" t="s">
        <v>47313</v>
      </c>
      <c r="S9958" t="s">
        <v>47573</v>
      </c>
      <c r="T9958" t="s">
        <v>49234</v>
      </c>
      <c r="U9958" t="s">
        <v>57771</v>
      </c>
      <c r="W9958" t="s">
        <v>46243</v>
      </c>
      <c r="X9958" t="s">
        <v>47314</v>
      </c>
    </row>
    <row r="9959" spans="1:24">
      <c r="A9959">
        <f>HYPERLINK("https://www.philgeps.gov.ph/GEPSNONPILOT/Tender/SplashBidNoticeAbstractUI.aspx?menuIndex=3&amp;refID=7185907&amp;Result=3","7185907")</f>
        <v>0</v>
      </c>
      <c r="B9959" t="s">
        <v>1528</v>
      </c>
      <c r="C9959" t="s">
        <v>13244</v>
      </c>
      <c r="D9959" t="s">
        <v>18989</v>
      </c>
      <c r="E9959" t="s">
        <v>27594</v>
      </c>
      <c r="F9959" t="s">
        <v>32606</v>
      </c>
      <c r="G9959" t="s">
        <v>32613</v>
      </c>
      <c r="H9959" t="s">
        <v>32623</v>
      </c>
      <c r="I9959" t="s">
        <v>17648</v>
      </c>
      <c r="J9959" t="s">
        <v>38936</v>
      </c>
      <c r="K9959" t="s">
        <v>42731</v>
      </c>
      <c r="M9959" t="s">
        <v>44530</v>
      </c>
      <c r="N9959" t="s">
        <v>47304</v>
      </c>
      <c r="O9959" t="s">
        <v>47305</v>
      </c>
      <c r="P9959">
        <v>0</v>
      </c>
      <c r="Q9959">
        <v>3</v>
      </c>
      <c r="R9959" t="s">
        <v>47313</v>
      </c>
      <c r="S9959" t="s">
        <v>47535</v>
      </c>
      <c r="T9959" t="s">
        <v>49052</v>
      </c>
      <c r="U9959" t="s">
        <v>57772</v>
      </c>
      <c r="W9959" t="s">
        <v>44530</v>
      </c>
      <c r="X9959" t="s">
        <v>47314</v>
      </c>
    </row>
    <row r="9960" spans="1:24">
      <c r="A9960">
        <f>HYPERLINK("https://www.philgeps.gov.ph/GEPSNONPILOT/Tender/SplashBidNoticeAbstractUI.aspx?menuIndex=3&amp;refID=7185905&amp;Result=3","7185905")</f>
        <v>0</v>
      </c>
      <c r="B9960" t="s">
        <v>1402</v>
      </c>
      <c r="C9960" t="s">
        <v>13245</v>
      </c>
      <c r="D9960" t="s">
        <v>18992</v>
      </c>
      <c r="E9960" t="s">
        <v>27595</v>
      </c>
      <c r="F9960" t="s">
        <v>32606</v>
      </c>
      <c r="G9960" t="s">
        <v>32613</v>
      </c>
      <c r="H9960" t="s">
        <v>32623</v>
      </c>
      <c r="I9960" t="s">
        <v>17648</v>
      </c>
      <c r="J9960" t="s">
        <v>38937</v>
      </c>
      <c r="K9960" t="s">
        <v>42639</v>
      </c>
      <c r="M9960" t="s">
        <v>45733</v>
      </c>
      <c r="N9960" t="s">
        <v>47304</v>
      </c>
      <c r="O9960" t="s">
        <v>47305</v>
      </c>
      <c r="P9960">
        <v>0</v>
      </c>
      <c r="Q9960">
        <v>1</v>
      </c>
      <c r="R9960" t="s">
        <v>47313</v>
      </c>
      <c r="S9960" t="s">
        <v>47535</v>
      </c>
      <c r="T9960" t="s">
        <v>49347</v>
      </c>
      <c r="U9960" t="s">
        <v>57773</v>
      </c>
      <c r="W9960" t="s">
        <v>45733</v>
      </c>
      <c r="X9960" t="s">
        <v>47314</v>
      </c>
    </row>
    <row r="9961" spans="1:24">
      <c r="A9961">
        <f>HYPERLINK("https://www.philgeps.gov.ph/GEPSNONPILOT/Tender/SplashBidNoticeAbstractUI.aspx?menuIndex=3&amp;refID=7185664&amp;Result=3","7185664")</f>
        <v>0</v>
      </c>
      <c r="B9961" t="s">
        <v>3024</v>
      </c>
      <c r="C9961" t="s">
        <v>13246</v>
      </c>
      <c r="D9961" t="s">
        <v>19039</v>
      </c>
      <c r="E9961" t="s">
        <v>27596</v>
      </c>
      <c r="F9961" t="s">
        <v>32606</v>
      </c>
      <c r="G9961" t="s">
        <v>32614</v>
      </c>
      <c r="H9961" t="s">
        <v>14201</v>
      </c>
      <c r="I9961" t="s">
        <v>32628</v>
      </c>
      <c r="J9961" t="s">
        <v>33861</v>
      </c>
      <c r="K9961" t="s">
        <v>42624</v>
      </c>
      <c r="M9961" t="s">
        <v>46216</v>
      </c>
      <c r="N9961" t="s">
        <v>47304</v>
      </c>
      <c r="O9961" t="s">
        <v>47305</v>
      </c>
      <c r="Q9961">
        <v>1</v>
      </c>
      <c r="R9961" t="s">
        <v>47313</v>
      </c>
      <c r="S9961" t="s">
        <v>47574</v>
      </c>
      <c r="T9961" t="s">
        <v>49020</v>
      </c>
      <c r="U9961" t="s">
        <v>57774</v>
      </c>
      <c r="W9961" t="s">
        <v>46216</v>
      </c>
      <c r="X9961" t="s">
        <v>47314</v>
      </c>
    </row>
    <row r="9962" spans="1:24">
      <c r="A9962">
        <f>HYPERLINK("https://www.philgeps.gov.ph/GEPSNONPILOT/Tender/SplashBidNoticeAbstractUI.aspx?menuIndex=3&amp;refID=7185663&amp;Result=3","7185663")</f>
        <v>0</v>
      </c>
      <c r="B9962" t="s">
        <v>3048</v>
      </c>
      <c r="C9962" t="s">
        <v>13247</v>
      </c>
      <c r="D9962" t="s">
        <v>19053</v>
      </c>
      <c r="E9962" t="s">
        <v>27597</v>
      </c>
      <c r="F9962" t="s">
        <v>32606</v>
      </c>
      <c r="G9962" t="s">
        <v>32613</v>
      </c>
      <c r="H9962" t="s">
        <v>14201</v>
      </c>
      <c r="I9962" t="s">
        <v>7064</v>
      </c>
      <c r="J9962" t="s">
        <v>32830</v>
      </c>
      <c r="K9962" t="s">
        <v>42636</v>
      </c>
      <c r="M9962" t="s">
        <v>46244</v>
      </c>
      <c r="N9962" t="s">
        <v>47304</v>
      </c>
      <c r="O9962" t="s">
        <v>47305</v>
      </c>
      <c r="P9962">
        <v>0</v>
      </c>
      <c r="Q9962">
        <v>3</v>
      </c>
      <c r="R9962" t="s">
        <v>47313</v>
      </c>
      <c r="S9962" t="s">
        <v>47535</v>
      </c>
      <c r="T9962" t="s">
        <v>49433</v>
      </c>
      <c r="U9962" t="s">
        <v>57775</v>
      </c>
      <c r="W9962" t="s">
        <v>46244</v>
      </c>
      <c r="X9962" t="s">
        <v>47314</v>
      </c>
    </row>
    <row r="9963" spans="1:24">
      <c r="A9963">
        <f>HYPERLINK("https://www.philgeps.gov.ph/GEPSNONPILOT/Tender/SplashBidNoticeAbstractUI.aspx?menuIndex=3&amp;refID=7185655&amp;Result=3","7185655")</f>
        <v>0</v>
      </c>
      <c r="B9963" t="s">
        <v>2993</v>
      </c>
      <c r="C9963" t="s">
        <v>13248</v>
      </c>
      <c r="D9963" t="s">
        <v>19038</v>
      </c>
      <c r="E9963" t="s">
        <v>27598</v>
      </c>
      <c r="F9963" t="s">
        <v>32606</v>
      </c>
      <c r="G9963" t="s">
        <v>32613</v>
      </c>
      <c r="H9963" t="s">
        <v>32623</v>
      </c>
      <c r="I9963" t="s">
        <v>17648</v>
      </c>
      <c r="J9963" t="s">
        <v>32795</v>
      </c>
      <c r="K9963" t="s">
        <v>42646</v>
      </c>
      <c r="M9963" t="s">
        <v>46181</v>
      </c>
      <c r="N9963" t="s">
        <v>47304</v>
      </c>
      <c r="O9963" t="s">
        <v>47305</v>
      </c>
      <c r="P9963">
        <v>0</v>
      </c>
      <c r="Q9963">
        <v>0</v>
      </c>
      <c r="R9963" t="s">
        <v>47313</v>
      </c>
      <c r="S9963" t="s">
        <v>47535</v>
      </c>
      <c r="T9963" t="s">
        <v>49234</v>
      </c>
      <c r="U9963" t="s">
        <v>57776</v>
      </c>
      <c r="W9963" t="s">
        <v>46181</v>
      </c>
      <c r="X9963" t="s">
        <v>47314</v>
      </c>
    </row>
    <row r="9964" spans="1:24">
      <c r="A9964">
        <f>HYPERLINK("https://www.philgeps.gov.ph/GEPSNONPILOT/Tender/SplashBidNoticeAbstractUI.aspx?menuIndex=3&amp;refID=7185617&amp;Result=3","7185617")</f>
        <v>0</v>
      </c>
      <c r="B9964" t="s">
        <v>3049</v>
      </c>
      <c r="C9964" t="s">
        <v>13249</v>
      </c>
      <c r="D9964" t="s">
        <v>18989</v>
      </c>
      <c r="E9964" t="s">
        <v>27599</v>
      </c>
      <c r="F9964" t="s">
        <v>32606</v>
      </c>
      <c r="G9964" t="s">
        <v>32613</v>
      </c>
      <c r="H9964" t="s">
        <v>32623</v>
      </c>
      <c r="I9964" t="s">
        <v>32649</v>
      </c>
      <c r="J9964" t="s">
        <v>38938</v>
      </c>
      <c r="K9964" t="s">
        <v>42764</v>
      </c>
      <c r="M9964" t="s">
        <v>46245</v>
      </c>
      <c r="N9964" t="s">
        <v>47304</v>
      </c>
      <c r="O9964" t="s">
        <v>47305</v>
      </c>
      <c r="P9964">
        <v>0</v>
      </c>
      <c r="Q9964">
        <v>0</v>
      </c>
      <c r="R9964" t="s">
        <v>47313</v>
      </c>
      <c r="S9964" t="s">
        <v>47535</v>
      </c>
      <c r="T9964" t="s">
        <v>49268</v>
      </c>
      <c r="U9964" t="s">
        <v>57777</v>
      </c>
      <c r="W9964" t="s">
        <v>46245</v>
      </c>
      <c r="X9964" t="s">
        <v>47314</v>
      </c>
    </row>
    <row r="9965" spans="1:24">
      <c r="A9965">
        <f>HYPERLINK("https://www.philgeps.gov.ph/GEPSNONPILOT/Tender/SplashBidNoticeAbstractUI.aspx?menuIndex=3&amp;refID=7185919&amp;Result=3","7185919")</f>
        <v>0</v>
      </c>
      <c r="B9965" t="s">
        <v>1813</v>
      </c>
      <c r="C9965" t="s">
        <v>13250</v>
      </c>
      <c r="D9965" t="s">
        <v>19039</v>
      </c>
      <c r="E9965" t="s">
        <v>27600</v>
      </c>
      <c r="F9965" t="s">
        <v>32606</v>
      </c>
      <c r="G9965" t="s">
        <v>32614</v>
      </c>
      <c r="H9965" t="s">
        <v>14201</v>
      </c>
      <c r="I9965" t="s">
        <v>6298</v>
      </c>
      <c r="J9965" t="s">
        <v>37260</v>
      </c>
      <c r="K9965" t="s">
        <v>42630</v>
      </c>
      <c r="M9965" t="s">
        <v>44854</v>
      </c>
      <c r="N9965" t="s">
        <v>47304</v>
      </c>
      <c r="O9965" t="s">
        <v>47305</v>
      </c>
      <c r="P9965">
        <v>0</v>
      </c>
      <c r="Q9965">
        <v>1</v>
      </c>
      <c r="R9965" t="s">
        <v>47313</v>
      </c>
      <c r="S9965" t="s">
        <v>47535</v>
      </c>
      <c r="T9965" t="s">
        <v>49004</v>
      </c>
      <c r="U9965" t="s">
        <v>57778</v>
      </c>
      <c r="W9965" t="s">
        <v>44854</v>
      </c>
      <c r="X9965" t="s">
        <v>47314</v>
      </c>
    </row>
    <row r="9966" spans="1:24">
      <c r="A9966">
        <f>HYPERLINK("https://www.philgeps.gov.ph/GEPSNONPILOT/Tender/SplashBidNoticeAbstractUI.aspx?menuIndex=3&amp;refID=7185608&amp;Result=3","7185608")</f>
        <v>0</v>
      </c>
      <c r="B9966" t="s">
        <v>373</v>
      </c>
      <c r="C9966" t="s">
        <v>13251</v>
      </c>
      <c r="D9966" t="s">
        <v>19002</v>
      </c>
      <c r="E9966" t="s">
        <v>27601</v>
      </c>
      <c r="F9966" t="s">
        <v>32606</v>
      </c>
      <c r="G9966" t="s">
        <v>32613</v>
      </c>
      <c r="H9966" t="s">
        <v>32624</v>
      </c>
      <c r="I9966" t="s">
        <v>32641</v>
      </c>
      <c r="J9966" t="s">
        <v>38939</v>
      </c>
      <c r="K9966" t="s">
        <v>42631</v>
      </c>
      <c r="M9966" t="s">
        <v>43275</v>
      </c>
      <c r="N9966" t="s">
        <v>47304</v>
      </c>
      <c r="O9966" t="s">
        <v>47305</v>
      </c>
      <c r="P9966">
        <v>0</v>
      </c>
      <c r="Q9966">
        <v>1</v>
      </c>
      <c r="R9966" t="s">
        <v>47313</v>
      </c>
      <c r="S9966" t="s">
        <v>47535</v>
      </c>
      <c r="T9966" t="s">
        <v>49099</v>
      </c>
      <c r="U9966" t="s">
        <v>50213</v>
      </c>
      <c r="V9966" t="s">
        <v>63691</v>
      </c>
      <c r="W9966" t="s">
        <v>64430</v>
      </c>
      <c r="X9966" t="s">
        <v>47314</v>
      </c>
    </row>
    <row r="9967" spans="1:24">
      <c r="A9967">
        <f>HYPERLINK("https://www.philgeps.gov.ph/GEPSNONPILOT/Tender/SplashBidNoticeAbstractUI.aspx?menuIndex=3&amp;refID=7185928&amp;Result=3","7185928")</f>
        <v>0</v>
      </c>
      <c r="B9967" t="s">
        <v>2490</v>
      </c>
      <c r="C9967" t="s">
        <v>13252</v>
      </c>
      <c r="D9967" t="s">
        <v>19006</v>
      </c>
      <c r="E9967" t="s">
        <v>27602</v>
      </c>
      <c r="F9967" t="s">
        <v>32606</v>
      </c>
      <c r="G9967" t="s">
        <v>32613</v>
      </c>
      <c r="H9967" t="s">
        <v>14201</v>
      </c>
      <c r="I9967" t="s">
        <v>32678</v>
      </c>
      <c r="J9967" t="s">
        <v>38940</v>
      </c>
      <c r="K9967" t="s">
        <v>42631</v>
      </c>
      <c r="M9967" t="s">
        <v>45627</v>
      </c>
      <c r="N9967" t="s">
        <v>47304</v>
      </c>
      <c r="O9967" t="s">
        <v>47305</v>
      </c>
      <c r="P9967">
        <v>0</v>
      </c>
      <c r="Q9967">
        <v>4</v>
      </c>
      <c r="R9967" t="s">
        <v>47313</v>
      </c>
      <c r="S9967" t="s">
        <v>47535</v>
      </c>
      <c r="T9967" t="s">
        <v>49390</v>
      </c>
      <c r="U9967" t="s">
        <v>57747</v>
      </c>
      <c r="W9967" t="s">
        <v>45627</v>
      </c>
      <c r="X9967" t="s">
        <v>47314</v>
      </c>
    </row>
    <row r="9968" spans="1:24">
      <c r="A9968">
        <f>HYPERLINK("https://www.philgeps.gov.ph/GEPSNONPILOT/Tender/SplashBidNoticeAbstractUI.aspx?menuIndex=3&amp;refID=7185847&amp;Result=3","7185847")</f>
        <v>0</v>
      </c>
      <c r="B9968" t="s">
        <v>3050</v>
      </c>
      <c r="C9968" t="s">
        <v>13253</v>
      </c>
      <c r="D9968" t="s">
        <v>19019</v>
      </c>
      <c r="E9968" t="s">
        <v>22141</v>
      </c>
      <c r="F9968" t="s">
        <v>32606</v>
      </c>
      <c r="G9968" t="s">
        <v>32614</v>
      </c>
      <c r="H9968" t="s">
        <v>32623</v>
      </c>
      <c r="I9968" t="s">
        <v>17648</v>
      </c>
      <c r="J9968" t="s">
        <v>38941</v>
      </c>
      <c r="K9968" t="s">
        <v>42630</v>
      </c>
      <c r="M9968" t="s">
        <v>46246</v>
      </c>
      <c r="N9968" t="s">
        <v>47304</v>
      </c>
      <c r="O9968" t="s">
        <v>47305</v>
      </c>
      <c r="P9968">
        <v>0</v>
      </c>
      <c r="Q9968">
        <v>0</v>
      </c>
      <c r="R9968" t="s">
        <v>47313</v>
      </c>
      <c r="S9968" t="s">
        <v>47535</v>
      </c>
      <c r="T9968" t="s">
        <v>49269</v>
      </c>
      <c r="U9968" t="s">
        <v>57779</v>
      </c>
      <c r="V9968" t="s">
        <v>63700</v>
      </c>
      <c r="W9968" t="s">
        <v>46246</v>
      </c>
      <c r="X9968" t="s">
        <v>47314</v>
      </c>
    </row>
    <row r="9969" spans="1:24">
      <c r="A9969">
        <f>HYPERLINK("https://www.philgeps.gov.ph/GEPSNONPILOT/Tender/SplashBidNoticeAbstractUI.aspx?menuIndex=3&amp;refID=7186052&amp;Result=3","7186052")</f>
        <v>0</v>
      </c>
      <c r="B9969" t="s">
        <v>3051</v>
      </c>
      <c r="C9969" t="s">
        <v>13254</v>
      </c>
      <c r="D9969" t="s">
        <v>19039</v>
      </c>
      <c r="E9969" t="s">
        <v>27603</v>
      </c>
      <c r="F9969" t="s">
        <v>32606</v>
      </c>
      <c r="G9969" t="s">
        <v>32614</v>
      </c>
      <c r="H9969" t="s">
        <v>14201</v>
      </c>
      <c r="I9969" t="s">
        <v>4678</v>
      </c>
      <c r="J9969" t="s">
        <v>32789</v>
      </c>
      <c r="K9969" t="s">
        <v>42622</v>
      </c>
      <c r="M9969" t="s">
        <v>46247</v>
      </c>
      <c r="N9969" t="s">
        <v>47304</v>
      </c>
      <c r="O9969" t="s">
        <v>47305</v>
      </c>
      <c r="P9969">
        <v>0</v>
      </c>
      <c r="Q9969">
        <v>3</v>
      </c>
      <c r="R9969" t="s">
        <v>47313</v>
      </c>
      <c r="S9969" t="s">
        <v>47535</v>
      </c>
      <c r="T9969" t="s">
        <v>49346</v>
      </c>
      <c r="U9969" t="s">
        <v>57780</v>
      </c>
      <c r="W9969" t="s">
        <v>46247</v>
      </c>
      <c r="X9969" t="s">
        <v>47314</v>
      </c>
    </row>
    <row r="9970" spans="1:24">
      <c r="A9970">
        <f>HYPERLINK("https://www.philgeps.gov.ph/GEPSNONPILOT/Tender/SplashBidNoticeAbstractUI.aspx?menuIndex=3&amp;refID=7185660&amp;Result=3","7185660")</f>
        <v>0</v>
      </c>
      <c r="B9970" t="s">
        <v>778</v>
      </c>
      <c r="C9970" t="s">
        <v>13255</v>
      </c>
      <c r="D9970" t="s">
        <v>19012</v>
      </c>
      <c r="E9970" t="s">
        <v>27604</v>
      </c>
      <c r="F9970" t="s">
        <v>32606</v>
      </c>
      <c r="G9970" t="s">
        <v>32613</v>
      </c>
      <c r="H9970" t="s">
        <v>14201</v>
      </c>
      <c r="I9970" t="s">
        <v>32661</v>
      </c>
      <c r="J9970" t="s">
        <v>38942</v>
      </c>
      <c r="K9970" t="s">
        <v>42623</v>
      </c>
      <c r="M9970" t="s">
        <v>43708</v>
      </c>
      <c r="N9970" t="s">
        <v>47304</v>
      </c>
      <c r="O9970" t="s">
        <v>47305</v>
      </c>
      <c r="P9970">
        <v>0</v>
      </c>
      <c r="Q9970">
        <v>1</v>
      </c>
      <c r="R9970" t="s">
        <v>47313</v>
      </c>
      <c r="S9970" t="s">
        <v>47535</v>
      </c>
      <c r="T9970" t="s">
        <v>49084</v>
      </c>
      <c r="U9970" t="s">
        <v>57781</v>
      </c>
      <c r="W9970" t="s">
        <v>43708</v>
      </c>
      <c r="X9970" t="s">
        <v>47314</v>
      </c>
    </row>
    <row r="9971" spans="1:24">
      <c r="A9971">
        <f>HYPERLINK("https://www.philgeps.gov.ph/GEPSNONPILOT/Tender/SplashBidNoticeAbstractUI.aspx?menuIndex=3&amp;refID=7185910&amp;Result=3","7185910")</f>
        <v>0</v>
      </c>
      <c r="B9971" t="s">
        <v>3052</v>
      </c>
      <c r="C9971" t="s">
        <v>13256</v>
      </c>
      <c r="E9971" t="s">
        <v>27605</v>
      </c>
      <c r="F9971" t="s">
        <v>32606</v>
      </c>
      <c r="G9971" t="s">
        <v>32614</v>
      </c>
      <c r="H9971" t="s">
        <v>14201</v>
      </c>
      <c r="I9971" t="s">
        <v>32673</v>
      </c>
      <c r="J9971" t="s">
        <v>34207</v>
      </c>
      <c r="K9971" t="s">
        <v>42648</v>
      </c>
      <c r="M9971" t="s">
        <v>46248</v>
      </c>
      <c r="N9971" t="s">
        <v>47304</v>
      </c>
      <c r="O9971" t="s">
        <v>47305</v>
      </c>
      <c r="P9971">
        <v>0</v>
      </c>
      <c r="Q9971">
        <v>0</v>
      </c>
      <c r="R9971" t="s">
        <v>47313</v>
      </c>
      <c r="S9971" t="s">
        <v>47535</v>
      </c>
      <c r="T9971" t="s">
        <v>48979</v>
      </c>
      <c r="U9971" t="s">
        <v>57782</v>
      </c>
      <c r="V9971" t="s">
        <v>63701</v>
      </c>
      <c r="W9971" t="s">
        <v>46248</v>
      </c>
      <c r="X9971" t="s">
        <v>47314</v>
      </c>
    </row>
    <row r="9972" spans="1:24">
      <c r="A9972">
        <f>HYPERLINK("https://www.philgeps.gov.ph/GEPSNONPILOT/Tender/SplashBidNoticeAbstractUI.aspx?menuIndex=3&amp;refID=7185616&amp;Result=3","7185616")</f>
        <v>0</v>
      </c>
      <c r="B9972" t="s">
        <v>2115</v>
      </c>
      <c r="C9972" t="s">
        <v>13257</v>
      </c>
      <c r="D9972" t="s">
        <v>19008</v>
      </c>
      <c r="E9972" t="s">
        <v>27606</v>
      </c>
      <c r="F9972" t="s">
        <v>32606</v>
      </c>
      <c r="G9972" t="s">
        <v>32613</v>
      </c>
      <c r="H9972" t="s">
        <v>14201</v>
      </c>
      <c r="I9972" t="s">
        <v>6993</v>
      </c>
      <c r="J9972" t="s">
        <v>38943</v>
      </c>
      <c r="K9972" t="s">
        <v>42638</v>
      </c>
      <c r="M9972" t="s">
        <v>45601</v>
      </c>
      <c r="N9972" t="s">
        <v>47304</v>
      </c>
      <c r="O9972" t="s">
        <v>47305</v>
      </c>
      <c r="P9972">
        <v>0</v>
      </c>
      <c r="Q9972">
        <v>0</v>
      </c>
      <c r="R9972" t="s">
        <v>47313</v>
      </c>
      <c r="S9972" t="s">
        <v>47535</v>
      </c>
      <c r="T9972" t="s">
        <v>48992</v>
      </c>
      <c r="U9972" t="s">
        <v>57783</v>
      </c>
      <c r="V9972" t="s">
        <v>62846</v>
      </c>
      <c r="W9972" t="s">
        <v>45601</v>
      </c>
      <c r="X9972" t="s">
        <v>47314</v>
      </c>
    </row>
    <row r="9973" spans="1:24">
      <c r="A9973">
        <f>HYPERLINK("https://www.philgeps.gov.ph/GEPSNONPILOT/Tender/SplashBidNoticeAbstractUI.aspx?menuIndex=3&amp;refID=7186042&amp;Result=3","7186042")</f>
        <v>0</v>
      </c>
      <c r="B9973" t="s">
        <v>2576</v>
      </c>
      <c r="C9973" t="s">
        <v>13258</v>
      </c>
      <c r="D9973" t="s">
        <v>19032</v>
      </c>
      <c r="E9973" t="s">
        <v>27607</v>
      </c>
      <c r="F9973" t="s">
        <v>32606</v>
      </c>
      <c r="G9973" t="s">
        <v>32613</v>
      </c>
      <c r="H9973" t="s">
        <v>14201</v>
      </c>
      <c r="I9973" t="s">
        <v>32640</v>
      </c>
      <c r="J9973" t="s">
        <v>38944</v>
      </c>
      <c r="K9973" t="s">
        <v>42631</v>
      </c>
      <c r="M9973" t="s">
        <v>45717</v>
      </c>
      <c r="N9973" t="s">
        <v>47304</v>
      </c>
      <c r="O9973" t="s">
        <v>47305</v>
      </c>
      <c r="P9973">
        <v>0</v>
      </c>
      <c r="Q9973">
        <v>10</v>
      </c>
      <c r="R9973" t="s">
        <v>47313</v>
      </c>
      <c r="S9973" t="s">
        <v>47535</v>
      </c>
      <c r="T9973" t="s">
        <v>49140</v>
      </c>
      <c r="U9973" t="s">
        <v>57784</v>
      </c>
      <c r="W9973" t="s">
        <v>45717</v>
      </c>
      <c r="X9973" t="s">
        <v>47314</v>
      </c>
    </row>
    <row r="9974" spans="1:24">
      <c r="A9974">
        <f>HYPERLINK("https://www.philgeps.gov.ph/GEPSNONPILOT/Tender/SplashBidNoticeAbstractUI.aspx?menuIndex=3&amp;refID=7186045&amp;Result=3","7186045")</f>
        <v>0</v>
      </c>
      <c r="B9974" t="s">
        <v>375</v>
      </c>
      <c r="C9974" t="s">
        <v>13259</v>
      </c>
      <c r="D9974" t="s">
        <v>18988</v>
      </c>
      <c r="E9974" t="s">
        <v>27608</v>
      </c>
      <c r="F9974" t="s">
        <v>32606</v>
      </c>
      <c r="G9974" t="s">
        <v>32613</v>
      </c>
      <c r="H9974" t="s">
        <v>14201</v>
      </c>
      <c r="I9974" t="s">
        <v>32629</v>
      </c>
      <c r="J9974" t="s">
        <v>38945</v>
      </c>
      <c r="K9974" t="s">
        <v>42624</v>
      </c>
      <c r="M9974" t="s">
        <v>43277</v>
      </c>
      <c r="N9974" t="s">
        <v>47304</v>
      </c>
      <c r="O9974" t="s">
        <v>47305</v>
      </c>
      <c r="P9974">
        <v>0</v>
      </c>
      <c r="Q9974">
        <v>0</v>
      </c>
      <c r="R9974" t="s">
        <v>47313</v>
      </c>
      <c r="S9974" t="s">
        <v>47535</v>
      </c>
      <c r="T9974" t="s">
        <v>49422</v>
      </c>
      <c r="U9974" t="s">
        <v>57785</v>
      </c>
      <c r="W9974" t="s">
        <v>64525</v>
      </c>
      <c r="X9974" t="s">
        <v>47314</v>
      </c>
    </row>
    <row r="9975" spans="1:24">
      <c r="A9975">
        <f>HYPERLINK("https://www.philgeps.gov.ph/GEPSNONPILOT/Tender/SplashBidNoticeAbstractUI.aspx?menuIndex=3&amp;refID=7185607&amp;Result=3","7185607")</f>
        <v>0</v>
      </c>
      <c r="B9975" t="s">
        <v>2204</v>
      </c>
      <c r="C9975" t="s">
        <v>13112</v>
      </c>
      <c r="E9975" t="s">
        <v>27609</v>
      </c>
      <c r="F9975" t="s">
        <v>32606</v>
      </c>
      <c r="G9975" t="s">
        <v>32613</v>
      </c>
      <c r="H9975" t="s">
        <v>14201</v>
      </c>
      <c r="I9975" t="s">
        <v>7064</v>
      </c>
      <c r="J9975" t="s">
        <v>38946</v>
      </c>
      <c r="K9975" t="s">
        <v>42624</v>
      </c>
      <c r="M9975" t="s">
        <v>45308</v>
      </c>
      <c r="N9975" t="s">
        <v>47304</v>
      </c>
      <c r="O9975" t="s">
        <v>47305</v>
      </c>
      <c r="Q9975">
        <v>4</v>
      </c>
      <c r="R9975" t="s">
        <v>47313</v>
      </c>
      <c r="S9975" t="s">
        <v>47567</v>
      </c>
      <c r="T9975" t="s">
        <v>49055</v>
      </c>
      <c r="U9975" t="s">
        <v>57649</v>
      </c>
      <c r="W9975" t="s">
        <v>45308</v>
      </c>
      <c r="X9975" t="s">
        <v>47314</v>
      </c>
    </row>
    <row r="9976" spans="1:24">
      <c r="A9976">
        <f>HYPERLINK("https://www.philgeps.gov.ph/GEPSNONPILOT/Tender/SplashBidNoticeAbstractUI.aspx?menuIndex=3&amp;refID=7185882&amp;Result=3","7185882")</f>
        <v>0</v>
      </c>
      <c r="B9976" t="s">
        <v>3039</v>
      </c>
      <c r="C9976" t="s">
        <v>13260</v>
      </c>
      <c r="D9976" t="s">
        <v>19013</v>
      </c>
      <c r="E9976" t="s">
        <v>27610</v>
      </c>
      <c r="F9976" t="s">
        <v>32606</v>
      </c>
      <c r="G9976" t="s">
        <v>32613</v>
      </c>
      <c r="H9976" t="s">
        <v>14201</v>
      </c>
      <c r="I9976" t="s">
        <v>32638</v>
      </c>
      <c r="J9976" t="s">
        <v>33102</v>
      </c>
      <c r="K9976" t="s">
        <v>42648</v>
      </c>
      <c r="M9976" t="s">
        <v>46233</v>
      </c>
      <c r="N9976" t="s">
        <v>47304</v>
      </c>
      <c r="O9976" t="s">
        <v>47305</v>
      </c>
      <c r="P9976">
        <v>0</v>
      </c>
      <c r="Q9976">
        <v>5</v>
      </c>
      <c r="R9976" t="s">
        <v>47313</v>
      </c>
      <c r="S9976" t="s">
        <v>47535</v>
      </c>
      <c r="T9976" t="s">
        <v>49121</v>
      </c>
      <c r="U9976" t="s">
        <v>57786</v>
      </c>
      <c r="V9976" t="s">
        <v>63693</v>
      </c>
      <c r="W9976" t="s">
        <v>46233</v>
      </c>
      <c r="X9976" t="s">
        <v>47314</v>
      </c>
    </row>
    <row r="9977" spans="1:24">
      <c r="A9977">
        <f>HYPERLINK("https://www.philgeps.gov.ph/GEPSNONPILOT/Tender/SplashBidNoticeAbstractUI.aspx?menuIndex=3&amp;refID=7186038&amp;Result=3","7186038")</f>
        <v>0</v>
      </c>
      <c r="B9977" t="s">
        <v>522</v>
      </c>
      <c r="C9977" t="s">
        <v>13261</v>
      </c>
      <c r="D9977" t="s">
        <v>19040</v>
      </c>
      <c r="E9977" t="s">
        <v>27611</v>
      </c>
      <c r="F9977" t="s">
        <v>32606</v>
      </c>
      <c r="G9977" t="s">
        <v>32613</v>
      </c>
      <c r="H9977" t="s">
        <v>32623</v>
      </c>
      <c r="I9977" t="s">
        <v>17648</v>
      </c>
      <c r="J9977" t="s">
        <v>38947</v>
      </c>
      <c r="K9977" t="s">
        <v>42684</v>
      </c>
      <c r="M9977" t="s">
        <v>43435</v>
      </c>
      <c r="N9977" t="s">
        <v>47304</v>
      </c>
      <c r="O9977" t="s">
        <v>47305</v>
      </c>
      <c r="P9977">
        <v>0</v>
      </c>
      <c r="Q9977">
        <v>0</v>
      </c>
      <c r="R9977" t="s">
        <v>47313</v>
      </c>
      <c r="S9977" t="s">
        <v>47535</v>
      </c>
      <c r="T9977" t="s">
        <v>49289</v>
      </c>
      <c r="U9977" t="s">
        <v>57787</v>
      </c>
      <c r="W9977" t="s">
        <v>43435</v>
      </c>
      <c r="X9977" t="s">
        <v>47314</v>
      </c>
    </row>
    <row r="9978" spans="1:24">
      <c r="A9978">
        <f>HYPERLINK("https://www.philgeps.gov.ph/GEPSNONPILOT/Tender/SplashBidNoticeAbstractUI.aspx?menuIndex=3&amp;refID=7186024&amp;Result=3","7186024")</f>
        <v>0</v>
      </c>
      <c r="B9978" t="s">
        <v>1640</v>
      </c>
      <c r="C9978" t="s">
        <v>13262</v>
      </c>
      <c r="D9978" t="s">
        <v>19041</v>
      </c>
      <c r="E9978" t="s">
        <v>27612</v>
      </c>
      <c r="F9978" t="s">
        <v>32606</v>
      </c>
      <c r="G9978" t="s">
        <v>32619</v>
      </c>
      <c r="H9978" t="s">
        <v>14201</v>
      </c>
      <c r="I9978" t="s">
        <v>4120</v>
      </c>
      <c r="J9978" t="s">
        <v>34252</v>
      </c>
      <c r="K9978" t="s">
        <v>42630</v>
      </c>
      <c r="M9978" t="s">
        <v>44661</v>
      </c>
      <c r="N9978" t="s">
        <v>47304</v>
      </c>
      <c r="O9978" t="s">
        <v>47305</v>
      </c>
      <c r="P9978">
        <v>0</v>
      </c>
      <c r="Q9978">
        <v>5</v>
      </c>
      <c r="R9978" t="s">
        <v>47313</v>
      </c>
      <c r="S9978" t="s">
        <v>47535</v>
      </c>
      <c r="T9978" t="s">
        <v>49331</v>
      </c>
      <c r="U9978" t="s">
        <v>57788</v>
      </c>
      <c r="W9978" t="s">
        <v>44661</v>
      </c>
      <c r="X9978" t="s">
        <v>47314</v>
      </c>
    </row>
    <row r="9979" spans="1:24">
      <c r="A9979">
        <f>HYPERLINK("https://www.philgeps.gov.ph/GEPSNONPILOT/Tender/SplashBidNoticeAbstractUI.aspx?menuIndex=3&amp;refID=7185967&amp;Result=3","7185967")</f>
        <v>0</v>
      </c>
      <c r="B9979" t="s">
        <v>3053</v>
      </c>
      <c r="C9979" t="s">
        <v>13263</v>
      </c>
      <c r="D9979" t="s">
        <v>19051</v>
      </c>
      <c r="E9979" t="s">
        <v>27613</v>
      </c>
      <c r="F9979" t="s">
        <v>32606</v>
      </c>
      <c r="G9979" t="s">
        <v>32613</v>
      </c>
      <c r="H9979" t="s">
        <v>14201</v>
      </c>
      <c r="I9979" t="s">
        <v>4120</v>
      </c>
      <c r="J9979" t="s">
        <v>33099</v>
      </c>
      <c r="K9979" t="s">
        <v>42631</v>
      </c>
      <c r="M9979" t="s">
        <v>46249</v>
      </c>
      <c r="N9979" t="s">
        <v>47304</v>
      </c>
      <c r="O9979" t="s">
        <v>47305</v>
      </c>
      <c r="P9979">
        <v>0</v>
      </c>
      <c r="Q9979">
        <v>2</v>
      </c>
      <c r="R9979" t="s">
        <v>47313</v>
      </c>
      <c r="S9979" t="s">
        <v>47535</v>
      </c>
      <c r="T9979" t="s">
        <v>49268</v>
      </c>
      <c r="U9979" t="s">
        <v>57789</v>
      </c>
      <c r="V9979" t="s">
        <v>63098</v>
      </c>
      <c r="W9979" t="s">
        <v>46249</v>
      </c>
      <c r="X9979" t="s">
        <v>47314</v>
      </c>
    </row>
    <row r="9980" spans="1:24">
      <c r="A9980">
        <f>HYPERLINK("https://www.philgeps.gov.ph/GEPSNONPILOT/Tender/SplashBidNoticeAbstractUI.aspx?menuIndex=3&amp;refID=7186032&amp;Result=3","7186032")</f>
        <v>0</v>
      </c>
      <c r="B9980" t="s">
        <v>3054</v>
      </c>
      <c r="C9980" t="s">
        <v>13264</v>
      </c>
      <c r="D9980" t="s">
        <v>19032</v>
      </c>
      <c r="E9980" t="s">
        <v>19327</v>
      </c>
      <c r="F9980" t="s">
        <v>32606</v>
      </c>
      <c r="G9980" t="s">
        <v>32613</v>
      </c>
      <c r="H9980" t="s">
        <v>32623</v>
      </c>
      <c r="I9980" t="s">
        <v>17648</v>
      </c>
      <c r="J9980" t="s">
        <v>38948</v>
      </c>
      <c r="K9980" t="s">
        <v>42645</v>
      </c>
      <c r="M9980" t="s">
        <v>46250</v>
      </c>
      <c r="N9980" t="s">
        <v>47304</v>
      </c>
      <c r="O9980" t="s">
        <v>47305</v>
      </c>
      <c r="P9980">
        <v>0</v>
      </c>
      <c r="Q9980">
        <v>0</v>
      </c>
      <c r="R9980" t="s">
        <v>47313</v>
      </c>
      <c r="S9980" t="s">
        <v>47535</v>
      </c>
      <c r="T9980" t="s">
        <v>49434</v>
      </c>
      <c r="U9980" t="s">
        <v>57790</v>
      </c>
      <c r="W9980" t="s">
        <v>46250</v>
      </c>
      <c r="X9980" t="s">
        <v>47314</v>
      </c>
    </row>
    <row r="9981" spans="1:24">
      <c r="A9981">
        <f>HYPERLINK("https://www.philgeps.gov.ph/GEPSNONPILOT/Tender/SplashBidNoticeAbstractUI.aspx?menuIndex=3&amp;refID=7186011&amp;Result=3","7186011")</f>
        <v>0</v>
      </c>
      <c r="B9981" t="s">
        <v>3055</v>
      </c>
      <c r="C9981" t="s">
        <v>13265</v>
      </c>
      <c r="D9981" t="s">
        <v>19068</v>
      </c>
      <c r="E9981" t="s">
        <v>27614</v>
      </c>
      <c r="F9981" t="s">
        <v>32606</v>
      </c>
      <c r="G9981" t="s">
        <v>32613</v>
      </c>
      <c r="H9981" t="s">
        <v>32623</v>
      </c>
      <c r="I9981" t="s">
        <v>17648</v>
      </c>
      <c r="J9981" t="s">
        <v>38949</v>
      </c>
      <c r="K9981" t="s">
        <v>42835</v>
      </c>
      <c r="M9981" t="s">
        <v>46251</v>
      </c>
      <c r="N9981" t="s">
        <v>47304</v>
      </c>
      <c r="O9981" t="s">
        <v>47305</v>
      </c>
      <c r="P9981">
        <v>0</v>
      </c>
      <c r="Q9981">
        <v>0</v>
      </c>
      <c r="R9981" t="s">
        <v>47313</v>
      </c>
      <c r="S9981" t="s">
        <v>47535</v>
      </c>
      <c r="T9981" t="s">
        <v>49066</v>
      </c>
      <c r="U9981" t="s">
        <v>57791</v>
      </c>
      <c r="W9981" t="s">
        <v>46251</v>
      </c>
      <c r="X9981" t="s">
        <v>47314</v>
      </c>
    </row>
    <row r="9982" spans="1:24">
      <c r="A9982">
        <f>HYPERLINK("https://www.philgeps.gov.ph/GEPSNONPILOT/Tender/SplashBidNoticeAbstractUI.aspx?menuIndex=3&amp;refID=7185990&amp;Result=3","7185990")</f>
        <v>0</v>
      </c>
      <c r="B9982" t="s">
        <v>1586</v>
      </c>
      <c r="C9982" t="s">
        <v>13266</v>
      </c>
      <c r="D9982" t="s">
        <v>19038</v>
      </c>
      <c r="E9982" t="s">
        <v>20176</v>
      </c>
      <c r="F9982" t="s">
        <v>32606</v>
      </c>
      <c r="G9982" t="s">
        <v>32613</v>
      </c>
      <c r="H9982" t="s">
        <v>14201</v>
      </c>
      <c r="I9982" t="s">
        <v>17648</v>
      </c>
      <c r="J9982" t="s">
        <v>38950</v>
      </c>
      <c r="K9982" t="s">
        <v>42629</v>
      </c>
      <c r="M9982" t="s">
        <v>44599</v>
      </c>
      <c r="N9982" t="s">
        <v>47304</v>
      </c>
      <c r="O9982" t="s">
        <v>47305</v>
      </c>
      <c r="P9982">
        <v>0</v>
      </c>
      <c r="Q9982">
        <v>0</v>
      </c>
      <c r="R9982" t="s">
        <v>47313</v>
      </c>
      <c r="S9982" t="s">
        <v>47535</v>
      </c>
      <c r="T9982" t="s">
        <v>49170</v>
      </c>
      <c r="U9982" t="s">
        <v>57792</v>
      </c>
      <c r="W9982" t="s">
        <v>44599</v>
      </c>
      <c r="X9982" t="s">
        <v>47314</v>
      </c>
    </row>
    <row r="9983" spans="1:24">
      <c r="A9983">
        <f>HYPERLINK("https://www.philgeps.gov.ph/GEPSNONPILOT/Tender/SplashBidNoticeAbstractUI.aspx?menuIndex=3&amp;refID=7186046&amp;Result=3","7186046")</f>
        <v>0</v>
      </c>
      <c r="B9983" t="s">
        <v>2742</v>
      </c>
      <c r="C9983" t="s">
        <v>13267</v>
      </c>
      <c r="D9983" t="s">
        <v>19019</v>
      </c>
      <c r="E9983" t="s">
        <v>27615</v>
      </c>
      <c r="F9983" t="s">
        <v>32606</v>
      </c>
      <c r="G9983" t="s">
        <v>32613</v>
      </c>
      <c r="H9983" t="s">
        <v>32623</v>
      </c>
      <c r="I9983" t="s">
        <v>17648</v>
      </c>
      <c r="J9983" t="s">
        <v>38951</v>
      </c>
      <c r="K9983" t="s">
        <v>42646</v>
      </c>
      <c r="M9983" t="s">
        <v>45898</v>
      </c>
      <c r="N9983" t="s">
        <v>47304</v>
      </c>
      <c r="O9983" t="s">
        <v>47305</v>
      </c>
      <c r="P9983">
        <v>0</v>
      </c>
      <c r="Q9983">
        <v>0</v>
      </c>
      <c r="R9983" t="s">
        <v>47313</v>
      </c>
      <c r="S9983" t="s">
        <v>47535</v>
      </c>
      <c r="T9983" t="s">
        <v>49435</v>
      </c>
      <c r="U9983" t="s">
        <v>57793</v>
      </c>
      <c r="W9983" t="s">
        <v>45898</v>
      </c>
      <c r="X9983" t="s">
        <v>47314</v>
      </c>
    </row>
    <row r="9984" spans="1:24">
      <c r="A9984">
        <f>HYPERLINK("https://www.philgeps.gov.ph/GEPSNONPILOT/Tender/SplashBidNoticeAbstractUI.aspx?menuIndex=3&amp;refID=7185986&amp;Result=3","7185986")</f>
        <v>0</v>
      </c>
      <c r="B9984" t="s">
        <v>2831</v>
      </c>
      <c r="C9984" t="s">
        <v>13268</v>
      </c>
      <c r="D9984" t="s">
        <v>19013</v>
      </c>
      <c r="E9984" t="s">
        <v>27616</v>
      </c>
      <c r="F9984" t="s">
        <v>32606</v>
      </c>
      <c r="G9984" t="s">
        <v>32614</v>
      </c>
      <c r="H9984" t="s">
        <v>14201</v>
      </c>
      <c r="I9984" t="s">
        <v>7577</v>
      </c>
      <c r="J9984" t="s">
        <v>36213</v>
      </c>
      <c r="K9984" t="s">
        <v>42677</v>
      </c>
      <c r="M9984" t="s">
        <v>45996</v>
      </c>
      <c r="N9984" t="s">
        <v>47304</v>
      </c>
      <c r="O9984" t="s">
        <v>47305</v>
      </c>
      <c r="P9984">
        <v>0</v>
      </c>
      <c r="Q9984">
        <v>1</v>
      </c>
      <c r="R9984" t="s">
        <v>47313</v>
      </c>
      <c r="S9984" t="s">
        <v>47535</v>
      </c>
      <c r="T9984" t="s">
        <v>49071</v>
      </c>
      <c r="U9984" t="s">
        <v>57794</v>
      </c>
      <c r="W9984" t="s">
        <v>45996</v>
      </c>
      <c r="X9984" t="s">
        <v>47314</v>
      </c>
    </row>
    <row r="9985" spans="1:24">
      <c r="A9985">
        <f>HYPERLINK("https://www.philgeps.gov.ph/GEPSNONPILOT/Tender/SplashBidNoticeAbstractUI.aspx?menuIndex=3&amp;refID=7185983&amp;Result=3","7185983")</f>
        <v>0</v>
      </c>
      <c r="B9985" t="s">
        <v>2263</v>
      </c>
      <c r="C9985" t="s">
        <v>13269</v>
      </c>
      <c r="D9985" t="s">
        <v>18993</v>
      </c>
      <c r="E9985" t="s">
        <v>27617</v>
      </c>
      <c r="F9985" t="s">
        <v>32606</v>
      </c>
      <c r="G9985" t="s">
        <v>32613</v>
      </c>
      <c r="H9985" t="s">
        <v>14201</v>
      </c>
      <c r="I9985" t="s">
        <v>9008</v>
      </c>
      <c r="J9985" t="s">
        <v>38952</v>
      </c>
      <c r="K9985" t="s">
        <v>42623</v>
      </c>
      <c r="M9985" t="s">
        <v>46252</v>
      </c>
      <c r="N9985" t="s">
        <v>47304</v>
      </c>
      <c r="O9985" t="s">
        <v>47305</v>
      </c>
      <c r="P9985">
        <v>0</v>
      </c>
      <c r="Q9985">
        <v>0</v>
      </c>
      <c r="R9985" t="s">
        <v>47313</v>
      </c>
      <c r="S9985" t="s">
        <v>47535</v>
      </c>
      <c r="T9985" t="s">
        <v>49096</v>
      </c>
      <c r="U9985" t="s">
        <v>57795</v>
      </c>
      <c r="W9985" t="s">
        <v>46252</v>
      </c>
      <c r="X9985" t="s">
        <v>47314</v>
      </c>
    </row>
    <row r="9986" spans="1:24">
      <c r="A9986">
        <f>HYPERLINK("https://www.philgeps.gov.ph/GEPSNONPILOT/Tender/SplashBidNoticeAbstractUI.aspx?menuIndex=3&amp;refID=7185981&amp;Result=3","7185981")</f>
        <v>0</v>
      </c>
      <c r="B9986" t="s">
        <v>467</v>
      </c>
      <c r="C9986" t="s">
        <v>13270</v>
      </c>
      <c r="E9986" t="s">
        <v>27618</v>
      </c>
      <c r="F9986" t="s">
        <v>32606</v>
      </c>
      <c r="G9986" t="s">
        <v>32613</v>
      </c>
      <c r="H9986" t="s">
        <v>14201</v>
      </c>
      <c r="I9986" t="s">
        <v>32635</v>
      </c>
      <c r="J9986" t="s">
        <v>38953</v>
      </c>
      <c r="K9986" t="s">
        <v>42624</v>
      </c>
      <c r="M9986" t="s">
        <v>44145</v>
      </c>
      <c r="N9986" t="s">
        <v>47304</v>
      </c>
      <c r="O9986" t="s">
        <v>47305</v>
      </c>
      <c r="P9986">
        <v>0</v>
      </c>
      <c r="Q9986">
        <v>10</v>
      </c>
      <c r="R9986" t="s">
        <v>47313</v>
      </c>
      <c r="S9986" t="s">
        <v>47535</v>
      </c>
      <c r="T9986" t="s">
        <v>49436</v>
      </c>
      <c r="U9986" t="s">
        <v>57796</v>
      </c>
      <c r="W9986" t="s">
        <v>44145</v>
      </c>
      <c r="X9986" t="s">
        <v>47314</v>
      </c>
    </row>
    <row r="9987" spans="1:24">
      <c r="A9987">
        <f>HYPERLINK("https://www.philgeps.gov.ph/GEPSNONPILOT/Tender/SplashBidNoticeAbstractUI.aspx?menuIndex=3&amp;refID=7186010&amp;Result=3","7186010")</f>
        <v>0</v>
      </c>
      <c r="B9987" t="s">
        <v>2263</v>
      </c>
      <c r="C9987" t="s">
        <v>13271</v>
      </c>
      <c r="D9987" t="s">
        <v>18993</v>
      </c>
      <c r="E9987" t="s">
        <v>25164</v>
      </c>
      <c r="F9987" t="s">
        <v>32606</v>
      </c>
      <c r="G9987" t="s">
        <v>32613</v>
      </c>
      <c r="H9987" t="s">
        <v>14201</v>
      </c>
      <c r="I9987" t="s">
        <v>7677</v>
      </c>
      <c r="J9987" t="s">
        <v>38954</v>
      </c>
      <c r="K9987" t="s">
        <v>42623</v>
      </c>
      <c r="M9987" t="s">
        <v>46252</v>
      </c>
      <c r="N9987" t="s">
        <v>47304</v>
      </c>
      <c r="O9987" t="s">
        <v>47305</v>
      </c>
      <c r="P9987">
        <v>0</v>
      </c>
      <c r="Q9987">
        <v>7</v>
      </c>
      <c r="R9987" t="s">
        <v>47313</v>
      </c>
      <c r="S9987" t="s">
        <v>47535</v>
      </c>
      <c r="T9987" t="s">
        <v>49096</v>
      </c>
      <c r="U9987" t="s">
        <v>57797</v>
      </c>
      <c r="W9987" t="s">
        <v>46252</v>
      </c>
      <c r="X9987" t="s">
        <v>47314</v>
      </c>
    </row>
    <row r="9988" spans="1:24">
      <c r="A9988">
        <f>HYPERLINK("https://www.philgeps.gov.ph/GEPSNONPILOT/Tender/SplashBidNoticeAbstractUI.aspx?menuIndex=3&amp;refID=7185985&amp;Result=3","7185985")</f>
        <v>0</v>
      </c>
      <c r="B9988" t="s">
        <v>3056</v>
      </c>
      <c r="C9988" t="s">
        <v>13272</v>
      </c>
      <c r="D9988" t="s">
        <v>19011</v>
      </c>
      <c r="E9988" t="s">
        <v>19847</v>
      </c>
      <c r="F9988" t="s">
        <v>32606</v>
      </c>
      <c r="G9988" t="s">
        <v>32614</v>
      </c>
      <c r="H9988" t="s">
        <v>14201</v>
      </c>
      <c r="I9988" t="s">
        <v>4120</v>
      </c>
      <c r="J9988" t="s">
        <v>38955</v>
      </c>
      <c r="K9988" t="s">
        <v>42630</v>
      </c>
      <c r="M9988" t="s">
        <v>46253</v>
      </c>
      <c r="N9988" t="s">
        <v>47304</v>
      </c>
      <c r="O9988" t="s">
        <v>47305</v>
      </c>
      <c r="Q9988">
        <v>2</v>
      </c>
      <c r="R9988" t="s">
        <v>47313</v>
      </c>
      <c r="S9988" t="s">
        <v>47575</v>
      </c>
      <c r="T9988" t="s">
        <v>49165</v>
      </c>
      <c r="U9988" t="s">
        <v>57798</v>
      </c>
      <c r="W9988" t="s">
        <v>46253</v>
      </c>
      <c r="X9988" t="s">
        <v>47314</v>
      </c>
    </row>
    <row r="9989" spans="1:24">
      <c r="A9989">
        <f>HYPERLINK("https://www.philgeps.gov.ph/GEPSNONPILOT/Tender/SplashBidNoticeAbstractUI.aspx?menuIndex=3&amp;refID=7185976&amp;Result=3","7185976")</f>
        <v>0</v>
      </c>
      <c r="B9989" t="s">
        <v>184</v>
      </c>
      <c r="C9989" t="s">
        <v>13273</v>
      </c>
      <c r="D9989" t="s">
        <v>19042</v>
      </c>
      <c r="E9989" t="s">
        <v>27619</v>
      </c>
      <c r="F9989" t="s">
        <v>32606</v>
      </c>
      <c r="G9989" t="s">
        <v>32613</v>
      </c>
      <c r="H9989" t="s">
        <v>14201</v>
      </c>
      <c r="I9989" t="s">
        <v>6931</v>
      </c>
      <c r="J9989" t="s">
        <v>38956</v>
      </c>
      <c r="K9989" t="s">
        <v>42623</v>
      </c>
      <c r="M9989" t="s">
        <v>43085</v>
      </c>
      <c r="N9989" t="s">
        <v>47304</v>
      </c>
      <c r="O9989" t="s">
        <v>47305</v>
      </c>
      <c r="P9989">
        <v>0</v>
      </c>
      <c r="Q9989">
        <v>0</v>
      </c>
      <c r="R9989" t="s">
        <v>47313</v>
      </c>
      <c r="S9989" t="s">
        <v>47535</v>
      </c>
      <c r="T9989" t="s">
        <v>49268</v>
      </c>
      <c r="U9989" t="s">
        <v>57799</v>
      </c>
      <c r="V9989" t="s">
        <v>51084</v>
      </c>
      <c r="W9989" t="s">
        <v>43085</v>
      </c>
      <c r="X9989" t="s">
        <v>47314</v>
      </c>
    </row>
    <row r="9990" spans="1:24">
      <c r="A9990">
        <f>HYPERLINK("https://www.philgeps.gov.ph/GEPSNONPILOT/Tender/SplashBidNoticeAbstractUI.aspx?menuIndex=3&amp;refID=7186009&amp;Result=3","7186009")</f>
        <v>0</v>
      </c>
      <c r="B9990" t="s">
        <v>1813</v>
      </c>
      <c r="C9990" t="s">
        <v>13274</v>
      </c>
      <c r="D9990" t="s">
        <v>19039</v>
      </c>
      <c r="E9990" t="s">
        <v>27620</v>
      </c>
      <c r="F9990" t="s">
        <v>32606</v>
      </c>
      <c r="G9990" t="s">
        <v>32614</v>
      </c>
      <c r="H9990" t="s">
        <v>14201</v>
      </c>
      <c r="I9990" t="s">
        <v>13131</v>
      </c>
      <c r="J9990" t="s">
        <v>35269</v>
      </c>
      <c r="K9990" t="s">
        <v>42630</v>
      </c>
      <c r="M9990" t="s">
        <v>44854</v>
      </c>
      <c r="N9990" t="s">
        <v>47304</v>
      </c>
      <c r="O9990" t="s">
        <v>47305</v>
      </c>
      <c r="P9990">
        <v>0</v>
      </c>
      <c r="Q9990">
        <v>2</v>
      </c>
      <c r="R9990" t="s">
        <v>47313</v>
      </c>
      <c r="S9990" t="s">
        <v>47535</v>
      </c>
      <c r="T9990" t="s">
        <v>49004</v>
      </c>
      <c r="U9990" t="s">
        <v>57800</v>
      </c>
      <c r="W9990" t="s">
        <v>44854</v>
      </c>
      <c r="X9990" t="s">
        <v>47314</v>
      </c>
    </row>
    <row r="9991" spans="1:24">
      <c r="A9991">
        <f>HYPERLINK("https://www.philgeps.gov.ph/GEPSNONPILOT/Tender/SplashBidNoticeAbstractUI.aspx?menuIndex=3&amp;refID=7185554&amp;Result=3","7185554")</f>
        <v>0</v>
      </c>
      <c r="B9991" t="s">
        <v>3057</v>
      </c>
      <c r="C9991" t="s">
        <v>11559</v>
      </c>
      <c r="D9991" t="s">
        <v>18999</v>
      </c>
      <c r="E9991" t="s">
        <v>27621</v>
      </c>
      <c r="F9991" t="s">
        <v>32606</v>
      </c>
      <c r="G9991" t="s">
        <v>32613</v>
      </c>
      <c r="H9991" t="s">
        <v>14201</v>
      </c>
      <c r="I9991" t="s">
        <v>32686</v>
      </c>
      <c r="J9991" t="s">
        <v>32767</v>
      </c>
      <c r="K9991" t="s">
        <v>42639</v>
      </c>
      <c r="M9991" t="s">
        <v>46254</v>
      </c>
      <c r="N9991" t="s">
        <v>47304</v>
      </c>
      <c r="O9991" t="s">
        <v>47305</v>
      </c>
      <c r="P9991">
        <v>0</v>
      </c>
      <c r="Q9991">
        <v>12</v>
      </c>
      <c r="R9991" t="s">
        <v>47313</v>
      </c>
      <c r="S9991" t="s">
        <v>47535</v>
      </c>
      <c r="T9991" t="s">
        <v>49240</v>
      </c>
      <c r="U9991" t="s">
        <v>57801</v>
      </c>
      <c r="W9991" t="s">
        <v>46254</v>
      </c>
      <c r="X9991" t="s">
        <v>47314</v>
      </c>
    </row>
    <row r="9992" spans="1:24">
      <c r="A9992">
        <f>HYPERLINK("https://www.philgeps.gov.ph/GEPSNONPILOT/Tender/SplashBidNoticeAbstractUI.aspx?menuIndex=3&amp;refID=7185996&amp;Result=3","7185996")</f>
        <v>0</v>
      </c>
      <c r="B9992" t="s">
        <v>3058</v>
      </c>
      <c r="C9992" t="s">
        <v>13275</v>
      </c>
      <c r="D9992" t="s">
        <v>19029</v>
      </c>
      <c r="E9992" t="s">
        <v>27622</v>
      </c>
      <c r="F9992" t="s">
        <v>32606</v>
      </c>
      <c r="G9992" t="s">
        <v>32613</v>
      </c>
      <c r="H9992" t="s">
        <v>32623</v>
      </c>
      <c r="I9992" t="s">
        <v>17648</v>
      </c>
      <c r="J9992" t="s">
        <v>38957</v>
      </c>
      <c r="K9992" t="s">
        <v>42706</v>
      </c>
      <c r="M9992" t="s">
        <v>46255</v>
      </c>
      <c r="N9992" t="s">
        <v>47304</v>
      </c>
      <c r="O9992" t="s">
        <v>47305</v>
      </c>
      <c r="P9992">
        <v>0</v>
      </c>
      <c r="Q9992">
        <v>1</v>
      </c>
      <c r="R9992" t="s">
        <v>47313</v>
      </c>
      <c r="S9992" t="s">
        <v>47535</v>
      </c>
      <c r="T9992" t="s">
        <v>49257</v>
      </c>
      <c r="U9992" t="s">
        <v>57802</v>
      </c>
      <c r="W9992" t="s">
        <v>46255</v>
      </c>
      <c r="X9992" t="s">
        <v>47314</v>
      </c>
    </row>
    <row r="9993" spans="1:24">
      <c r="A9993">
        <f>HYPERLINK("https://www.philgeps.gov.ph/GEPSNONPILOT/Tender/SplashBidNoticeAbstractUI.aspx?menuIndex=3&amp;refID=7185562&amp;Result=3","7185562")</f>
        <v>0</v>
      </c>
      <c r="B9993" t="s">
        <v>648</v>
      </c>
      <c r="C9993" t="s">
        <v>13276</v>
      </c>
      <c r="D9993" t="s">
        <v>19059</v>
      </c>
      <c r="E9993" t="s">
        <v>27623</v>
      </c>
      <c r="F9993" t="s">
        <v>32606</v>
      </c>
      <c r="G9993" t="s">
        <v>32613</v>
      </c>
      <c r="H9993" t="s">
        <v>14201</v>
      </c>
      <c r="I9993" t="s">
        <v>4678</v>
      </c>
      <c r="J9993" t="s">
        <v>32923</v>
      </c>
      <c r="K9993" t="s">
        <v>42639</v>
      </c>
      <c r="M9993" t="s">
        <v>43566</v>
      </c>
      <c r="N9993" t="s">
        <v>47304</v>
      </c>
      <c r="O9993" t="s">
        <v>47305</v>
      </c>
      <c r="P9993">
        <v>0</v>
      </c>
      <c r="Q9993">
        <v>0</v>
      </c>
      <c r="R9993" t="s">
        <v>47313</v>
      </c>
      <c r="S9993" t="s">
        <v>47535</v>
      </c>
      <c r="T9993" t="s">
        <v>49020</v>
      </c>
      <c r="U9993" t="s">
        <v>57803</v>
      </c>
      <c r="W9993" t="s">
        <v>43566</v>
      </c>
      <c r="X9993" t="s">
        <v>47314</v>
      </c>
    </row>
    <row r="9994" spans="1:24">
      <c r="A9994">
        <f>HYPERLINK("https://www.philgeps.gov.ph/GEPSNONPILOT/Tender/SplashBidNoticeAbstractUI.aspx?menuIndex=3&amp;refID=7185549&amp;Result=3","7185549")</f>
        <v>0</v>
      </c>
      <c r="B9994" t="s">
        <v>3013</v>
      </c>
      <c r="C9994" t="s">
        <v>13277</v>
      </c>
      <c r="E9994" t="s">
        <v>27624</v>
      </c>
      <c r="F9994" t="s">
        <v>32606</v>
      </c>
      <c r="G9994" t="s">
        <v>32613</v>
      </c>
      <c r="H9994" t="s">
        <v>32623</v>
      </c>
      <c r="I9994" t="s">
        <v>17648</v>
      </c>
      <c r="J9994" t="s">
        <v>38958</v>
      </c>
      <c r="K9994" t="s">
        <v>42624</v>
      </c>
      <c r="M9994" t="s">
        <v>46204</v>
      </c>
      <c r="N9994" t="s">
        <v>47304</v>
      </c>
      <c r="O9994" t="s">
        <v>47305</v>
      </c>
      <c r="P9994">
        <v>0</v>
      </c>
      <c r="Q9994">
        <v>2</v>
      </c>
      <c r="R9994" t="s">
        <v>47313</v>
      </c>
      <c r="S9994" t="s">
        <v>47535</v>
      </c>
      <c r="T9994" t="s">
        <v>49037</v>
      </c>
      <c r="U9994" t="s">
        <v>57804</v>
      </c>
      <c r="V9994" t="s">
        <v>63702</v>
      </c>
      <c r="W9994" t="s">
        <v>46204</v>
      </c>
      <c r="X9994" t="s">
        <v>47314</v>
      </c>
    </row>
    <row r="9995" spans="1:24">
      <c r="A9995">
        <f>HYPERLINK("https://www.philgeps.gov.ph/GEPSNONPILOT/Tender/SplashBidNoticeAbstractUI.aspx?menuIndex=3&amp;refID=7185968&amp;Result=3","7185968")</f>
        <v>0</v>
      </c>
      <c r="B9995" t="s">
        <v>1062</v>
      </c>
      <c r="C9995" t="s">
        <v>13278</v>
      </c>
      <c r="D9995" t="s">
        <v>18991</v>
      </c>
      <c r="E9995" t="s">
        <v>27625</v>
      </c>
      <c r="F9995" t="s">
        <v>32606</v>
      </c>
      <c r="G9995" t="s">
        <v>32613</v>
      </c>
      <c r="H9995" t="s">
        <v>14201</v>
      </c>
      <c r="I9995" t="s">
        <v>6993</v>
      </c>
      <c r="J9995" t="s">
        <v>32770</v>
      </c>
      <c r="K9995" t="s">
        <v>42623</v>
      </c>
      <c r="M9995" t="s">
        <v>44015</v>
      </c>
      <c r="N9995" t="s">
        <v>47304</v>
      </c>
      <c r="O9995" t="s">
        <v>47305</v>
      </c>
      <c r="P9995">
        <v>0</v>
      </c>
      <c r="Q9995">
        <v>0</v>
      </c>
      <c r="R9995" t="s">
        <v>47313</v>
      </c>
      <c r="S9995" t="s">
        <v>47535</v>
      </c>
      <c r="T9995" t="s">
        <v>49023</v>
      </c>
      <c r="U9995" t="s">
        <v>57805</v>
      </c>
      <c r="W9995" t="s">
        <v>44015</v>
      </c>
      <c r="X9995" t="s">
        <v>47314</v>
      </c>
    </row>
    <row r="9996" spans="1:24">
      <c r="A9996">
        <f>HYPERLINK("https://www.philgeps.gov.ph/GEPSNONPILOT/Tender/SplashBidNoticeAbstractUI.aspx?menuIndex=3&amp;refID=7185149&amp;Result=3","7185149")</f>
        <v>0</v>
      </c>
      <c r="B9996" t="s">
        <v>233</v>
      </c>
      <c r="C9996" t="s">
        <v>13279</v>
      </c>
      <c r="D9996" t="s">
        <v>18997</v>
      </c>
      <c r="E9996" t="s">
        <v>27626</v>
      </c>
      <c r="F9996" t="s">
        <v>32606</v>
      </c>
      <c r="G9996" t="s">
        <v>32613</v>
      </c>
      <c r="H9996" t="s">
        <v>14201</v>
      </c>
      <c r="I9996" t="s">
        <v>6931</v>
      </c>
      <c r="J9996" t="s">
        <v>38959</v>
      </c>
      <c r="K9996" t="s">
        <v>42631</v>
      </c>
      <c r="M9996" t="s">
        <v>46037</v>
      </c>
      <c r="N9996" t="s">
        <v>47304</v>
      </c>
      <c r="O9996" t="s">
        <v>47305</v>
      </c>
      <c r="P9996">
        <v>0</v>
      </c>
      <c r="Q9996">
        <v>0</v>
      </c>
      <c r="R9996" t="s">
        <v>47313</v>
      </c>
      <c r="S9996" t="s">
        <v>47535</v>
      </c>
      <c r="T9996" t="s">
        <v>49053</v>
      </c>
      <c r="U9996" t="s">
        <v>52443</v>
      </c>
      <c r="V9996" t="s">
        <v>63002</v>
      </c>
      <c r="W9996" t="s">
        <v>46037</v>
      </c>
      <c r="X9996" t="s">
        <v>47314</v>
      </c>
    </row>
    <row r="9997" spans="1:24">
      <c r="A9997">
        <f>HYPERLINK("https://www.philgeps.gov.ph/GEPSNONPILOT/Tender/SplashBidNoticeAbstractUI.aspx?menuIndex=3&amp;refID=7185556&amp;Result=3","7185556")</f>
        <v>0</v>
      </c>
      <c r="B9997" t="s">
        <v>2204</v>
      </c>
      <c r="C9997" t="s">
        <v>13112</v>
      </c>
      <c r="E9997" t="s">
        <v>27627</v>
      </c>
      <c r="F9997" t="s">
        <v>32606</v>
      </c>
      <c r="G9997" t="s">
        <v>32613</v>
      </c>
      <c r="H9997" t="s">
        <v>14201</v>
      </c>
      <c r="I9997" t="s">
        <v>7064</v>
      </c>
      <c r="J9997" t="s">
        <v>32830</v>
      </c>
      <c r="K9997" t="s">
        <v>42624</v>
      </c>
      <c r="M9997" t="s">
        <v>45308</v>
      </c>
      <c r="N9997" t="s">
        <v>47304</v>
      </c>
      <c r="O9997" t="s">
        <v>47305</v>
      </c>
      <c r="Q9997">
        <v>4</v>
      </c>
      <c r="R9997" t="s">
        <v>47313</v>
      </c>
      <c r="S9997" t="s">
        <v>47576</v>
      </c>
      <c r="T9997" t="s">
        <v>49055</v>
      </c>
      <c r="U9997" t="s">
        <v>57649</v>
      </c>
      <c r="W9997" t="s">
        <v>45308</v>
      </c>
      <c r="X9997" t="s">
        <v>47314</v>
      </c>
    </row>
    <row r="9998" spans="1:24">
      <c r="A9998">
        <f>HYPERLINK("https://www.philgeps.gov.ph/GEPSNONPILOT/Tender/SplashBidNoticeAbstractUI.aspx?menuIndex=3&amp;refID=7185147&amp;Result=3","7185147")</f>
        <v>0</v>
      </c>
      <c r="B9998" t="s">
        <v>534</v>
      </c>
      <c r="C9998" t="s">
        <v>13280</v>
      </c>
      <c r="D9998" t="s">
        <v>19006</v>
      </c>
      <c r="E9998" t="s">
        <v>27628</v>
      </c>
      <c r="F9998" t="s">
        <v>32606</v>
      </c>
      <c r="G9998" t="s">
        <v>32613</v>
      </c>
      <c r="H9998" t="s">
        <v>14201</v>
      </c>
      <c r="I9998" t="s">
        <v>6931</v>
      </c>
      <c r="J9998" t="s">
        <v>38960</v>
      </c>
      <c r="K9998" t="s">
        <v>42623</v>
      </c>
      <c r="M9998" t="s">
        <v>43447</v>
      </c>
      <c r="N9998" t="s">
        <v>47304</v>
      </c>
      <c r="O9998" t="s">
        <v>47305</v>
      </c>
      <c r="P9998">
        <v>0</v>
      </c>
      <c r="Q9998">
        <v>0</v>
      </c>
      <c r="R9998" t="s">
        <v>47313</v>
      </c>
      <c r="S9998" t="s">
        <v>47535</v>
      </c>
      <c r="T9998" t="s">
        <v>49040</v>
      </c>
      <c r="U9998" t="s">
        <v>57806</v>
      </c>
      <c r="W9998" t="s">
        <v>43447</v>
      </c>
      <c r="X9998" t="s">
        <v>47314</v>
      </c>
    </row>
    <row r="9999" spans="1:24">
      <c r="A9999">
        <f>HYPERLINK("https://www.philgeps.gov.ph/GEPSNONPILOT/Tender/SplashBidNoticeAbstractUI.aspx?menuIndex=3&amp;refID=7185604&amp;Result=3","7185604")</f>
        <v>0</v>
      </c>
      <c r="B9999" t="s">
        <v>347</v>
      </c>
      <c r="C9999" t="s">
        <v>13281</v>
      </c>
      <c r="D9999" t="s">
        <v>19016</v>
      </c>
      <c r="E9999" t="s">
        <v>27629</v>
      </c>
      <c r="F9999" t="s">
        <v>32606</v>
      </c>
      <c r="G9999" t="s">
        <v>32613</v>
      </c>
      <c r="H9999" t="s">
        <v>32623</v>
      </c>
      <c r="I9999" t="s">
        <v>17648</v>
      </c>
      <c r="J9999" t="s">
        <v>38961</v>
      </c>
      <c r="K9999" t="s">
        <v>42684</v>
      </c>
      <c r="M9999" t="s">
        <v>46256</v>
      </c>
      <c r="N9999" t="s">
        <v>47304</v>
      </c>
      <c r="O9999" t="s">
        <v>47305</v>
      </c>
      <c r="P9999">
        <v>0</v>
      </c>
      <c r="Q9999">
        <v>16</v>
      </c>
      <c r="R9999" t="s">
        <v>47313</v>
      </c>
      <c r="S9999" t="s">
        <v>47535</v>
      </c>
      <c r="T9999" t="s">
        <v>49330</v>
      </c>
      <c r="U9999" t="s">
        <v>57807</v>
      </c>
      <c r="V9999" t="s">
        <v>63703</v>
      </c>
      <c r="W9999" t="s">
        <v>46256</v>
      </c>
      <c r="X9999" t="s">
        <v>47314</v>
      </c>
    </row>
    <row r="10000" spans="1:24">
      <c r="A10000">
        <f>HYPERLINK("https://www.philgeps.gov.ph/GEPSNONPILOT/Tender/SplashBidNoticeAbstractUI.aspx?menuIndex=3&amp;refID=7186095&amp;Result=3","7186095")</f>
        <v>0</v>
      </c>
      <c r="B10000" t="s">
        <v>3059</v>
      </c>
      <c r="C10000" t="s">
        <v>13282</v>
      </c>
      <c r="D10000" t="s">
        <v>19033</v>
      </c>
      <c r="E10000" t="s">
        <v>27630</v>
      </c>
      <c r="F10000" t="s">
        <v>32606</v>
      </c>
      <c r="G10000" t="s">
        <v>32613</v>
      </c>
      <c r="H10000" t="s">
        <v>32623</v>
      </c>
      <c r="I10000" t="s">
        <v>6931</v>
      </c>
      <c r="J10000" t="s">
        <v>38962</v>
      </c>
      <c r="K10000" t="s">
        <v>42631</v>
      </c>
      <c r="M10000" t="s">
        <v>46257</v>
      </c>
      <c r="N10000" t="s">
        <v>47304</v>
      </c>
      <c r="O10000" t="s">
        <v>47305</v>
      </c>
      <c r="P10000">
        <v>0</v>
      </c>
      <c r="Q10000">
        <v>0</v>
      </c>
      <c r="R10000" t="s">
        <v>47313</v>
      </c>
      <c r="S10000" t="s">
        <v>47535</v>
      </c>
      <c r="T10000" t="s">
        <v>49257</v>
      </c>
      <c r="U10000" t="s">
        <v>57808</v>
      </c>
      <c r="W10000" t="s">
        <v>46257</v>
      </c>
      <c r="X10000" t="s">
        <v>47314</v>
      </c>
    </row>
    <row r="10001" spans="1:24">
      <c r="A10001">
        <f>HYPERLINK("https://www.philgeps.gov.ph/GEPSNONPILOT/Tender/SplashBidNoticeAbstractUI.aspx?menuIndex=3&amp;refID=7185559&amp;Result=3","7185559")</f>
        <v>0</v>
      </c>
      <c r="B10001" t="s">
        <v>2574</v>
      </c>
      <c r="C10001" t="s">
        <v>13283</v>
      </c>
      <c r="D10001" t="s">
        <v>19017</v>
      </c>
      <c r="E10001" t="s">
        <v>27631</v>
      </c>
      <c r="F10001" t="s">
        <v>32606</v>
      </c>
      <c r="G10001" t="s">
        <v>32614</v>
      </c>
      <c r="H10001" t="s">
        <v>14201</v>
      </c>
      <c r="I10001" t="s">
        <v>32660</v>
      </c>
      <c r="J10001" t="s">
        <v>32868</v>
      </c>
      <c r="K10001" t="s">
        <v>42625</v>
      </c>
      <c r="M10001" t="s">
        <v>45714</v>
      </c>
      <c r="N10001" t="s">
        <v>47304</v>
      </c>
      <c r="O10001" t="s">
        <v>47305</v>
      </c>
      <c r="P10001">
        <v>0</v>
      </c>
      <c r="Q10001">
        <v>0</v>
      </c>
      <c r="R10001" t="s">
        <v>47313</v>
      </c>
      <c r="S10001" t="s">
        <v>47535</v>
      </c>
      <c r="T10001" t="s">
        <v>49268</v>
      </c>
      <c r="U10001" t="s">
        <v>57809</v>
      </c>
      <c r="V10001" t="s">
        <v>63704</v>
      </c>
      <c r="W10001" t="s">
        <v>45714</v>
      </c>
      <c r="X10001" t="s">
        <v>47314</v>
      </c>
    </row>
    <row r="10002" spans="1:24">
      <c r="A10002">
        <f>HYPERLINK("https://www.philgeps.gov.ph/GEPSNONPILOT/Tender/SplashBidNoticeAbstractUI.aspx?menuIndex=3&amp;refID=7185552&amp;Result=3","7185552")</f>
        <v>0</v>
      </c>
      <c r="B10002" t="s">
        <v>3060</v>
      </c>
      <c r="C10002" t="s">
        <v>13284</v>
      </c>
      <c r="D10002" t="s">
        <v>18993</v>
      </c>
      <c r="E10002" t="s">
        <v>27632</v>
      </c>
      <c r="F10002" t="s">
        <v>32606</v>
      </c>
      <c r="G10002" t="s">
        <v>32614</v>
      </c>
      <c r="H10002" t="s">
        <v>14201</v>
      </c>
      <c r="I10002" t="s">
        <v>4678</v>
      </c>
      <c r="J10002" t="s">
        <v>38963</v>
      </c>
      <c r="K10002" t="s">
        <v>42623</v>
      </c>
      <c r="M10002" t="s">
        <v>46258</v>
      </c>
      <c r="N10002" t="s">
        <v>47304</v>
      </c>
      <c r="O10002" t="s">
        <v>47305</v>
      </c>
      <c r="P10002">
        <v>0</v>
      </c>
      <c r="Q10002">
        <v>2</v>
      </c>
      <c r="R10002" t="s">
        <v>47313</v>
      </c>
      <c r="S10002" t="s">
        <v>47535</v>
      </c>
      <c r="T10002" t="s">
        <v>48979</v>
      </c>
      <c r="U10002" t="s">
        <v>57810</v>
      </c>
      <c r="W10002" t="s">
        <v>46258</v>
      </c>
      <c r="X10002" t="s">
        <v>47314</v>
      </c>
    </row>
    <row r="10003" spans="1:24">
      <c r="A10003">
        <f>HYPERLINK("https://www.philgeps.gov.ph/GEPSNONPILOT/Tender/SplashBidNoticeAbstractUI.aspx?menuIndex=3&amp;refID=7186091&amp;Result=3","7186091")</f>
        <v>0</v>
      </c>
      <c r="B10003" t="s">
        <v>1686</v>
      </c>
      <c r="C10003" t="s">
        <v>13285</v>
      </c>
      <c r="D10003" t="s">
        <v>19006</v>
      </c>
      <c r="E10003" t="s">
        <v>27633</v>
      </c>
      <c r="F10003" t="s">
        <v>32606</v>
      </c>
      <c r="G10003" t="s">
        <v>32613</v>
      </c>
      <c r="H10003" t="s">
        <v>14201</v>
      </c>
      <c r="I10003" t="s">
        <v>6931</v>
      </c>
      <c r="J10003" t="s">
        <v>38964</v>
      </c>
      <c r="K10003" t="s">
        <v>42623</v>
      </c>
      <c r="M10003" t="s">
        <v>44715</v>
      </c>
      <c r="N10003" t="s">
        <v>47304</v>
      </c>
      <c r="O10003" t="s">
        <v>47305</v>
      </c>
      <c r="P10003">
        <v>0</v>
      </c>
      <c r="Q10003">
        <v>0</v>
      </c>
      <c r="R10003" t="s">
        <v>47313</v>
      </c>
      <c r="S10003" t="s">
        <v>47535</v>
      </c>
      <c r="T10003" t="s">
        <v>49437</v>
      </c>
      <c r="U10003" t="s">
        <v>57811</v>
      </c>
      <c r="V10003" t="s">
        <v>63705</v>
      </c>
      <c r="W10003" t="s">
        <v>44715</v>
      </c>
      <c r="X10003" t="s">
        <v>47314</v>
      </c>
    </row>
    <row r="10004" spans="1:24">
      <c r="A10004">
        <f>HYPERLINK("https://www.philgeps.gov.ph/GEPSNONPILOT/Tender/SplashBidNoticeAbstractUI.aspx?menuIndex=3&amp;refID=7186082&amp;Result=3","7186082")</f>
        <v>0</v>
      </c>
      <c r="B10004" t="s">
        <v>522</v>
      </c>
      <c r="C10004" t="s">
        <v>13286</v>
      </c>
      <c r="D10004" t="s">
        <v>19040</v>
      </c>
      <c r="E10004" t="s">
        <v>27634</v>
      </c>
      <c r="F10004" t="s">
        <v>32606</v>
      </c>
      <c r="G10004" t="s">
        <v>32613</v>
      </c>
      <c r="H10004" t="s">
        <v>32623</v>
      </c>
      <c r="I10004" t="s">
        <v>17648</v>
      </c>
      <c r="J10004" t="s">
        <v>38965</v>
      </c>
      <c r="K10004" t="s">
        <v>42748</v>
      </c>
      <c r="M10004" t="s">
        <v>43435</v>
      </c>
      <c r="N10004" t="s">
        <v>47304</v>
      </c>
      <c r="O10004" t="s">
        <v>47305</v>
      </c>
      <c r="P10004">
        <v>0</v>
      </c>
      <c r="Q10004">
        <v>0</v>
      </c>
      <c r="R10004" t="s">
        <v>47313</v>
      </c>
      <c r="S10004" t="s">
        <v>47535</v>
      </c>
      <c r="T10004" t="s">
        <v>49289</v>
      </c>
      <c r="U10004" t="s">
        <v>57812</v>
      </c>
      <c r="W10004" t="s">
        <v>43435</v>
      </c>
      <c r="X10004" t="s">
        <v>47314</v>
      </c>
    </row>
    <row r="10005" spans="1:24">
      <c r="A10005">
        <f>HYPERLINK("https://www.philgeps.gov.ph/GEPSNONPILOT/Tender/SplashBidNoticeAbstractUI.aspx?menuIndex=3&amp;refID=7186081&amp;Result=3","7186081")</f>
        <v>0</v>
      </c>
      <c r="B10005" t="s">
        <v>3048</v>
      </c>
      <c r="C10005" t="s">
        <v>13287</v>
      </c>
      <c r="D10005" t="s">
        <v>19053</v>
      </c>
      <c r="E10005" t="s">
        <v>27635</v>
      </c>
      <c r="F10005" t="s">
        <v>32606</v>
      </c>
      <c r="G10005" t="s">
        <v>32613</v>
      </c>
      <c r="H10005" t="s">
        <v>14201</v>
      </c>
      <c r="I10005" t="s">
        <v>6298</v>
      </c>
      <c r="J10005" t="s">
        <v>38966</v>
      </c>
      <c r="K10005" t="s">
        <v>42636</v>
      </c>
      <c r="M10005" t="s">
        <v>46244</v>
      </c>
      <c r="N10005" t="s">
        <v>47304</v>
      </c>
      <c r="O10005" t="s">
        <v>47305</v>
      </c>
      <c r="Q10005">
        <v>4</v>
      </c>
      <c r="R10005" t="s">
        <v>47313</v>
      </c>
      <c r="S10005" t="s">
        <v>47577</v>
      </c>
      <c r="T10005" t="s">
        <v>49129</v>
      </c>
      <c r="U10005" t="s">
        <v>57813</v>
      </c>
      <c r="W10005" t="s">
        <v>46244</v>
      </c>
      <c r="X10005" t="s">
        <v>47314</v>
      </c>
    </row>
    <row r="10006" spans="1:24">
      <c r="A10006">
        <f>HYPERLINK("https://www.philgeps.gov.ph/GEPSNONPILOT/Tender/SplashBidNoticeAbstractUI.aspx?menuIndex=3&amp;refID=7186079&amp;Result=3","7186079")</f>
        <v>0</v>
      </c>
      <c r="B10006" t="s">
        <v>362</v>
      </c>
      <c r="C10006" t="s">
        <v>13288</v>
      </c>
      <c r="D10006" t="s">
        <v>19023</v>
      </c>
      <c r="E10006" t="s">
        <v>27636</v>
      </c>
      <c r="F10006" t="s">
        <v>32606</v>
      </c>
      <c r="G10006" t="s">
        <v>32613</v>
      </c>
      <c r="H10006" t="s">
        <v>14201</v>
      </c>
      <c r="I10006" t="s">
        <v>4112</v>
      </c>
      <c r="J10006" t="s">
        <v>38967</v>
      </c>
      <c r="K10006" t="s">
        <v>42630</v>
      </c>
      <c r="M10006" t="s">
        <v>43264</v>
      </c>
      <c r="N10006" t="s">
        <v>47304</v>
      </c>
      <c r="O10006" t="s">
        <v>47305</v>
      </c>
      <c r="P10006">
        <v>0</v>
      </c>
      <c r="Q10006">
        <v>0</v>
      </c>
      <c r="R10006" t="s">
        <v>47313</v>
      </c>
      <c r="S10006" t="s">
        <v>47535</v>
      </c>
      <c r="T10006" t="s">
        <v>49077</v>
      </c>
      <c r="U10006" t="s">
        <v>53681</v>
      </c>
      <c r="V10006" t="s">
        <v>63706</v>
      </c>
      <c r="W10006" t="s">
        <v>43264</v>
      </c>
      <c r="X10006" t="s">
        <v>47314</v>
      </c>
    </row>
    <row r="10007" spans="1:24">
      <c r="A10007">
        <f>HYPERLINK("https://www.philgeps.gov.ph/GEPSNONPILOT/Tender/SplashBidNoticeAbstractUI.aspx?menuIndex=3&amp;refID=7186092&amp;Result=3","7186092")</f>
        <v>0</v>
      </c>
      <c r="B10007" t="s">
        <v>3061</v>
      </c>
      <c r="C10007" t="s">
        <v>13289</v>
      </c>
      <c r="D10007" t="s">
        <v>19044</v>
      </c>
      <c r="E10007" t="s">
        <v>19315</v>
      </c>
      <c r="F10007" t="s">
        <v>32606</v>
      </c>
      <c r="G10007" t="s">
        <v>32613</v>
      </c>
      <c r="H10007" t="s">
        <v>14201</v>
      </c>
      <c r="I10007" t="s">
        <v>6931</v>
      </c>
      <c r="J10007" t="s">
        <v>38968</v>
      </c>
      <c r="K10007" t="s">
        <v>42624</v>
      </c>
      <c r="M10007" t="s">
        <v>46259</v>
      </c>
      <c r="N10007" t="s">
        <v>47304</v>
      </c>
      <c r="O10007" t="s">
        <v>47305</v>
      </c>
      <c r="P10007">
        <v>0</v>
      </c>
      <c r="Q10007">
        <v>0</v>
      </c>
      <c r="R10007" t="s">
        <v>47313</v>
      </c>
      <c r="S10007" t="s">
        <v>47535</v>
      </c>
      <c r="T10007" t="s">
        <v>49315</v>
      </c>
      <c r="U10007" t="s">
        <v>57814</v>
      </c>
      <c r="W10007" t="s">
        <v>46259</v>
      </c>
      <c r="X10007" t="s">
        <v>47314</v>
      </c>
    </row>
    <row r="10008" spans="1:24">
      <c r="A10008">
        <f>HYPERLINK("https://www.philgeps.gov.ph/GEPSNONPILOT/Tender/SplashBidNoticeAbstractUI.aspx?menuIndex=3&amp;refID=7185153&amp;Result=3","7185153")</f>
        <v>0</v>
      </c>
      <c r="B10008" t="s">
        <v>3062</v>
      </c>
      <c r="C10008" t="s">
        <v>13290</v>
      </c>
      <c r="D10008" t="s">
        <v>19042</v>
      </c>
      <c r="E10008" t="s">
        <v>27637</v>
      </c>
      <c r="F10008" t="s">
        <v>32606</v>
      </c>
      <c r="G10008" t="s">
        <v>32613</v>
      </c>
      <c r="H10008" t="s">
        <v>32623</v>
      </c>
      <c r="I10008" t="s">
        <v>6931</v>
      </c>
      <c r="J10008" t="s">
        <v>32770</v>
      </c>
      <c r="K10008" t="s">
        <v>42639</v>
      </c>
      <c r="M10008" t="s">
        <v>46260</v>
      </c>
      <c r="N10008" t="s">
        <v>47304</v>
      </c>
      <c r="O10008" t="s">
        <v>47305</v>
      </c>
      <c r="P10008">
        <v>0</v>
      </c>
      <c r="Q10008">
        <v>0</v>
      </c>
      <c r="R10008" t="s">
        <v>47313</v>
      </c>
      <c r="S10008" t="s">
        <v>47535</v>
      </c>
      <c r="T10008" t="s">
        <v>49012</v>
      </c>
      <c r="U10008" t="s">
        <v>57815</v>
      </c>
      <c r="V10008" t="s">
        <v>63707</v>
      </c>
      <c r="W10008" t="s">
        <v>46260</v>
      </c>
      <c r="X10008" t="s">
        <v>47314</v>
      </c>
    </row>
    <row r="10009" spans="1:24">
      <c r="A10009">
        <f>HYPERLINK("https://www.philgeps.gov.ph/GEPSNONPILOT/Tender/SplashBidNoticeAbstractUI.aspx?menuIndex=3&amp;refID=7186071&amp;Result=3","7186071")</f>
        <v>0</v>
      </c>
      <c r="B10009" t="s">
        <v>3063</v>
      </c>
      <c r="C10009" t="s">
        <v>13291</v>
      </c>
      <c r="D10009" t="s">
        <v>18993</v>
      </c>
      <c r="E10009" t="s">
        <v>27638</v>
      </c>
      <c r="F10009" t="s">
        <v>32606</v>
      </c>
      <c r="G10009" t="s">
        <v>32619</v>
      </c>
      <c r="H10009" t="s">
        <v>14201</v>
      </c>
      <c r="I10009" t="s">
        <v>6993</v>
      </c>
      <c r="J10009" t="s">
        <v>33024</v>
      </c>
      <c r="K10009" t="s">
        <v>42624</v>
      </c>
      <c r="M10009" t="s">
        <v>46261</v>
      </c>
      <c r="N10009" t="s">
        <v>47304</v>
      </c>
      <c r="O10009" t="s">
        <v>47305</v>
      </c>
      <c r="P10009">
        <v>0</v>
      </c>
      <c r="Q10009">
        <v>5</v>
      </c>
      <c r="R10009" t="s">
        <v>47313</v>
      </c>
      <c r="S10009" t="s">
        <v>47535</v>
      </c>
      <c r="T10009" t="s">
        <v>49331</v>
      </c>
      <c r="U10009" t="s">
        <v>57816</v>
      </c>
      <c r="W10009" t="s">
        <v>46261</v>
      </c>
      <c r="X10009" t="s">
        <v>47314</v>
      </c>
    </row>
    <row r="10010" spans="1:24">
      <c r="A10010">
        <f>HYPERLINK("https://www.philgeps.gov.ph/GEPSNONPILOT/Tender/SplashBidNoticeAbstractUI.aspx?menuIndex=3&amp;refID=7186070&amp;Result=3","7186070")</f>
        <v>0</v>
      </c>
      <c r="B10010" t="s">
        <v>3040</v>
      </c>
      <c r="C10010" t="s">
        <v>13292</v>
      </c>
      <c r="D10010" t="s">
        <v>19023</v>
      </c>
      <c r="E10010" t="s">
        <v>27639</v>
      </c>
      <c r="F10010" t="s">
        <v>32606</v>
      </c>
      <c r="G10010" t="s">
        <v>32613</v>
      </c>
      <c r="H10010" t="s">
        <v>14201</v>
      </c>
      <c r="I10010" t="s">
        <v>4121</v>
      </c>
      <c r="J10010" t="s">
        <v>38969</v>
      </c>
      <c r="K10010" t="s">
        <v>42631</v>
      </c>
      <c r="M10010" t="s">
        <v>46234</v>
      </c>
      <c r="N10010" t="s">
        <v>47304</v>
      </c>
      <c r="O10010" t="s">
        <v>47305</v>
      </c>
      <c r="P10010">
        <v>0</v>
      </c>
      <c r="Q10010">
        <v>4</v>
      </c>
      <c r="R10010" t="s">
        <v>47313</v>
      </c>
      <c r="S10010" t="s">
        <v>47535</v>
      </c>
      <c r="T10010" t="s">
        <v>49320</v>
      </c>
      <c r="U10010" t="s">
        <v>57817</v>
      </c>
      <c r="W10010" t="s">
        <v>46234</v>
      </c>
      <c r="X10010" t="s">
        <v>47314</v>
      </c>
    </row>
    <row r="10011" spans="1:24">
      <c r="A10011">
        <f>HYPERLINK("https://www.philgeps.gov.ph/GEPSNONPILOT/Tender/SplashBidNoticeAbstractUI.aspx?menuIndex=3&amp;refID=7186069&amp;Result=3","7186069")</f>
        <v>0</v>
      </c>
      <c r="B10011" t="s">
        <v>3031</v>
      </c>
      <c r="C10011" t="s">
        <v>13293</v>
      </c>
      <c r="D10011" t="s">
        <v>19003</v>
      </c>
      <c r="E10011" t="s">
        <v>27640</v>
      </c>
      <c r="F10011" t="s">
        <v>32606</v>
      </c>
      <c r="G10011" t="s">
        <v>32613</v>
      </c>
      <c r="H10011" t="s">
        <v>14201</v>
      </c>
      <c r="I10011" t="s">
        <v>32629</v>
      </c>
      <c r="J10011" t="s">
        <v>38970</v>
      </c>
      <c r="K10011" t="s">
        <v>42623</v>
      </c>
      <c r="M10011" t="s">
        <v>46224</v>
      </c>
      <c r="N10011" t="s">
        <v>47304</v>
      </c>
      <c r="O10011" t="s">
        <v>47305</v>
      </c>
      <c r="P10011">
        <v>0</v>
      </c>
      <c r="Q10011">
        <v>1</v>
      </c>
      <c r="R10011" t="s">
        <v>47313</v>
      </c>
      <c r="S10011" t="s">
        <v>47535</v>
      </c>
      <c r="T10011" t="s">
        <v>49052</v>
      </c>
      <c r="U10011" t="s">
        <v>57818</v>
      </c>
      <c r="V10011" t="s">
        <v>63687</v>
      </c>
      <c r="W10011" t="s">
        <v>46224</v>
      </c>
      <c r="X10011" t="s">
        <v>47314</v>
      </c>
    </row>
    <row r="10012" spans="1:24">
      <c r="A10012">
        <f>HYPERLINK("https://www.philgeps.gov.ph/GEPSNONPILOT/Tender/SplashBidNoticeAbstractUI.aspx?menuIndex=3&amp;refID=7186044&amp;Result=3","7186044")</f>
        <v>0</v>
      </c>
      <c r="B10012" t="s">
        <v>467</v>
      </c>
      <c r="C10012" t="s">
        <v>13294</v>
      </c>
      <c r="D10012" t="s">
        <v>19004</v>
      </c>
      <c r="E10012" t="s">
        <v>27641</v>
      </c>
      <c r="F10012" t="s">
        <v>32606</v>
      </c>
      <c r="G10012" t="s">
        <v>32614</v>
      </c>
      <c r="H10012" t="s">
        <v>14201</v>
      </c>
      <c r="I10012" t="s">
        <v>32633</v>
      </c>
      <c r="J10012" t="s">
        <v>38971</v>
      </c>
      <c r="K10012" t="s">
        <v>42624</v>
      </c>
      <c r="M10012" t="s">
        <v>46241</v>
      </c>
      <c r="N10012" t="s">
        <v>47304</v>
      </c>
      <c r="O10012" t="s">
        <v>47305</v>
      </c>
      <c r="Q10012">
        <v>5</v>
      </c>
      <c r="R10012" t="s">
        <v>47313</v>
      </c>
      <c r="S10012" t="s">
        <v>47578</v>
      </c>
      <c r="T10012" t="s">
        <v>49023</v>
      </c>
      <c r="U10012" t="s">
        <v>57745</v>
      </c>
      <c r="W10012" t="s">
        <v>46241</v>
      </c>
      <c r="X10012" t="s">
        <v>47314</v>
      </c>
    </row>
    <row r="10013" spans="1:24">
      <c r="A10013">
        <f>HYPERLINK("https://www.philgeps.gov.ph/GEPSNONPILOT/Tender/SplashBidNoticeAbstractUI.aspx?menuIndex=3&amp;refID=7186089&amp;Result=3","7186089")</f>
        <v>0</v>
      </c>
      <c r="B10013" t="s">
        <v>1813</v>
      </c>
      <c r="C10013" t="s">
        <v>13295</v>
      </c>
      <c r="D10013" t="s">
        <v>19039</v>
      </c>
      <c r="E10013" t="s">
        <v>27642</v>
      </c>
      <c r="F10013" t="s">
        <v>32606</v>
      </c>
      <c r="G10013" t="s">
        <v>32614</v>
      </c>
      <c r="H10013" t="s">
        <v>14201</v>
      </c>
      <c r="I10013" t="s">
        <v>32646</v>
      </c>
      <c r="J10013" t="s">
        <v>34188</v>
      </c>
      <c r="K10013" t="s">
        <v>42630</v>
      </c>
      <c r="M10013" t="s">
        <v>44854</v>
      </c>
      <c r="N10013" t="s">
        <v>47304</v>
      </c>
      <c r="O10013" t="s">
        <v>47305</v>
      </c>
      <c r="P10013">
        <v>0</v>
      </c>
      <c r="Q10013">
        <v>1</v>
      </c>
      <c r="R10013" t="s">
        <v>47313</v>
      </c>
      <c r="S10013" t="s">
        <v>47535</v>
      </c>
      <c r="T10013" t="s">
        <v>49004</v>
      </c>
      <c r="U10013" t="s">
        <v>57819</v>
      </c>
      <c r="W10013" t="s">
        <v>44854</v>
      </c>
      <c r="X10013" t="s">
        <v>47314</v>
      </c>
    </row>
    <row r="10014" spans="1:24">
      <c r="A10014">
        <f>HYPERLINK("https://www.philgeps.gov.ph/GEPSNONPILOT/Tender/SplashBidNoticeAbstractUI.aspx?menuIndex=3&amp;refID=7186066&amp;Result=3","7186066")</f>
        <v>0</v>
      </c>
      <c r="B10014" t="s">
        <v>2490</v>
      </c>
      <c r="C10014" t="s">
        <v>13296</v>
      </c>
      <c r="D10014" t="s">
        <v>19006</v>
      </c>
      <c r="E10014" t="s">
        <v>27643</v>
      </c>
      <c r="F10014" t="s">
        <v>32606</v>
      </c>
      <c r="G10014" t="s">
        <v>32613</v>
      </c>
      <c r="H10014" t="s">
        <v>32623</v>
      </c>
      <c r="I10014" t="s">
        <v>17648</v>
      </c>
      <c r="J10014" t="s">
        <v>38972</v>
      </c>
      <c r="K10014" t="s">
        <v>42743</v>
      </c>
      <c r="M10014" t="s">
        <v>46262</v>
      </c>
      <c r="N10014" t="s">
        <v>47304</v>
      </c>
      <c r="O10014" t="s">
        <v>47305</v>
      </c>
      <c r="P10014">
        <v>0</v>
      </c>
      <c r="Q10014">
        <v>2</v>
      </c>
      <c r="R10014" t="s">
        <v>47313</v>
      </c>
      <c r="S10014" t="s">
        <v>47535</v>
      </c>
      <c r="T10014" t="s">
        <v>49390</v>
      </c>
      <c r="U10014" t="s">
        <v>57820</v>
      </c>
      <c r="W10014" t="s">
        <v>46262</v>
      </c>
      <c r="X10014" t="s">
        <v>47314</v>
      </c>
    </row>
    <row r="10015" spans="1:24">
      <c r="A10015">
        <f>HYPERLINK("https://www.philgeps.gov.ph/GEPSNONPILOT/Tender/SplashBidNoticeAbstractUI.aspx?menuIndex=3&amp;refID=7186058&amp;Result=3","7186058")</f>
        <v>0</v>
      </c>
      <c r="B10015" t="s">
        <v>3064</v>
      </c>
      <c r="C10015" t="s">
        <v>13297</v>
      </c>
      <c r="D10015" t="s">
        <v>19083</v>
      </c>
      <c r="E10015" t="s">
        <v>27644</v>
      </c>
      <c r="F10015" t="s">
        <v>32606</v>
      </c>
      <c r="G10015" t="s">
        <v>32614</v>
      </c>
      <c r="H10015" t="s">
        <v>14201</v>
      </c>
      <c r="I10015" t="s">
        <v>32669</v>
      </c>
      <c r="J10015" t="s">
        <v>33919</v>
      </c>
      <c r="K10015" t="s">
        <v>42663</v>
      </c>
      <c r="M10015" t="s">
        <v>46263</v>
      </c>
      <c r="N10015" t="s">
        <v>47304</v>
      </c>
      <c r="O10015" t="s">
        <v>47305</v>
      </c>
      <c r="P10015">
        <v>0</v>
      </c>
      <c r="Q10015">
        <v>1</v>
      </c>
      <c r="R10015" t="s">
        <v>47313</v>
      </c>
      <c r="S10015" t="s">
        <v>47535</v>
      </c>
      <c r="T10015" t="s">
        <v>49331</v>
      </c>
      <c r="U10015" t="s">
        <v>57821</v>
      </c>
      <c r="W10015" t="s">
        <v>46263</v>
      </c>
      <c r="X10015" t="s">
        <v>47314</v>
      </c>
    </row>
    <row r="10016" spans="1:24">
      <c r="A10016">
        <f>HYPERLINK("https://www.philgeps.gov.ph/GEPSNONPILOT/Tender/SplashBidNoticeAbstractUI.aspx?menuIndex=3&amp;refID=7186057&amp;Result=3","7186057")</f>
        <v>0</v>
      </c>
      <c r="B10016" t="s">
        <v>2942</v>
      </c>
      <c r="C10016" t="s">
        <v>4123</v>
      </c>
      <c r="D10016" t="s">
        <v>19011</v>
      </c>
      <c r="E10016" t="s">
        <v>27645</v>
      </c>
      <c r="F10016" t="s">
        <v>32606</v>
      </c>
      <c r="G10016" t="s">
        <v>32613</v>
      </c>
      <c r="H10016" t="s">
        <v>14201</v>
      </c>
      <c r="I10016" t="s">
        <v>7529</v>
      </c>
      <c r="J10016" t="s">
        <v>32777</v>
      </c>
      <c r="K10016" t="s">
        <v>42631</v>
      </c>
      <c r="M10016" t="s">
        <v>46123</v>
      </c>
      <c r="N10016" t="s">
        <v>47304</v>
      </c>
      <c r="O10016" t="s">
        <v>47305</v>
      </c>
      <c r="P10016">
        <v>0</v>
      </c>
      <c r="Q10016">
        <v>4</v>
      </c>
      <c r="R10016" t="s">
        <v>47313</v>
      </c>
      <c r="S10016" t="s">
        <v>47535</v>
      </c>
      <c r="T10016" t="s">
        <v>49066</v>
      </c>
      <c r="U10016" t="s">
        <v>57822</v>
      </c>
      <c r="W10016" t="s">
        <v>46123</v>
      </c>
      <c r="X10016" t="s">
        <v>47314</v>
      </c>
    </row>
    <row r="10017" spans="1:24">
      <c r="A10017">
        <f>HYPERLINK("https://www.philgeps.gov.ph/GEPSNONPILOT/Tender/SplashBidNoticeAbstractUI.aspx?menuIndex=3&amp;refID=7186080&amp;Result=3","7186080")</f>
        <v>0</v>
      </c>
      <c r="B10017" t="s">
        <v>2115</v>
      </c>
      <c r="C10017" t="s">
        <v>13298</v>
      </c>
      <c r="D10017" t="s">
        <v>19008</v>
      </c>
      <c r="E10017" t="s">
        <v>27646</v>
      </c>
      <c r="F10017" t="s">
        <v>32606</v>
      </c>
      <c r="G10017" t="s">
        <v>32613</v>
      </c>
      <c r="H10017" t="s">
        <v>14201</v>
      </c>
      <c r="I10017" t="s">
        <v>7677</v>
      </c>
      <c r="J10017" t="s">
        <v>38973</v>
      </c>
      <c r="K10017" t="s">
        <v>42638</v>
      </c>
      <c r="M10017" t="s">
        <v>45789</v>
      </c>
      <c r="N10017" t="s">
        <v>47304</v>
      </c>
      <c r="O10017" t="s">
        <v>47305</v>
      </c>
      <c r="P10017">
        <v>0</v>
      </c>
      <c r="Q10017">
        <v>2</v>
      </c>
      <c r="R10017" t="s">
        <v>47313</v>
      </c>
      <c r="S10017" t="s">
        <v>47535</v>
      </c>
      <c r="T10017" t="s">
        <v>49004</v>
      </c>
      <c r="U10017" t="s">
        <v>57823</v>
      </c>
      <c r="V10017" t="s">
        <v>63615</v>
      </c>
      <c r="W10017" t="s">
        <v>45789</v>
      </c>
      <c r="X10017" t="s">
        <v>47314</v>
      </c>
    </row>
    <row r="10018" spans="1:24">
      <c r="A10018">
        <f>HYPERLINK("https://www.philgeps.gov.ph/GEPSNONPILOT/Tender/SplashBidNoticeAbstractUI.aspx?menuIndex=3&amp;refID=7186053&amp;Result=3","7186053")</f>
        <v>0</v>
      </c>
      <c r="B10018" t="s">
        <v>2263</v>
      </c>
      <c r="C10018" t="s">
        <v>13299</v>
      </c>
      <c r="D10018" t="s">
        <v>18993</v>
      </c>
      <c r="E10018" t="s">
        <v>27647</v>
      </c>
      <c r="F10018" t="s">
        <v>32606</v>
      </c>
      <c r="G10018" t="s">
        <v>32613</v>
      </c>
      <c r="H10018" t="s">
        <v>14201</v>
      </c>
      <c r="I10018" t="s">
        <v>32655</v>
      </c>
      <c r="J10018" t="s">
        <v>38974</v>
      </c>
      <c r="K10018" t="s">
        <v>42623</v>
      </c>
      <c r="M10018" t="s">
        <v>46252</v>
      </c>
      <c r="N10018" t="s">
        <v>47304</v>
      </c>
      <c r="O10018" t="s">
        <v>47305</v>
      </c>
      <c r="P10018">
        <v>0</v>
      </c>
      <c r="Q10018">
        <v>6</v>
      </c>
      <c r="R10018" t="s">
        <v>47313</v>
      </c>
      <c r="S10018" t="s">
        <v>47535</v>
      </c>
      <c r="T10018" t="s">
        <v>49096</v>
      </c>
      <c r="U10018" t="s">
        <v>57824</v>
      </c>
      <c r="W10018" t="s">
        <v>46252</v>
      </c>
      <c r="X10018" t="s">
        <v>47314</v>
      </c>
    </row>
    <row r="10019" spans="1:24">
      <c r="A10019">
        <f>HYPERLINK("https://www.philgeps.gov.ph/GEPSNONPILOT/Tender/SplashBidNoticeAbstractUI.aspx?menuIndex=3&amp;refID=7186078&amp;Result=3","7186078")</f>
        <v>0</v>
      </c>
      <c r="B10019" t="s">
        <v>2796</v>
      </c>
      <c r="C10019" t="s">
        <v>13300</v>
      </c>
      <c r="D10019" t="s">
        <v>19012</v>
      </c>
      <c r="E10019" t="s">
        <v>24924</v>
      </c>
      <c r="F10019" t="s">
        <v>32606</v>
      </c>
      <c r="G10019" t="s">
        <v>32614</v>
      </c>
      <c r="H10019" t="s">
        <v>14201</v>
      </c>
      <c r="I10019" t="s">
        <v>32650</v>
      </c>
      <c r="J10019" t="s">
        <v>38975</v>
      </c>
      <c r="K10019" t="s">
        <v>42624</v>
      </c>
      <c r="M10019" t="s">
        <v>45958</v>
      </c>
      <c r="N10019" t="s">
        <v>47304</v>
      </c>
      <c r="O10019" t="s">
        <v>47305</v>
      </c>
      <c r="P10019">
        <v>0</v>
      </c>
      <c r="Q10019">
        <v>4</v>
      </c>
      <c r="R10019" t="s">
        <v>47313</v>
      </c>
      <c r="S10019" t="s">
        <v>47535</v>
      </c>
      <c r="T10019" t="s">
        <v>49339</v>
      </c>
      <c r="U10019" t="s">
        <v>57825</v>
      </c>
      <c r="W10019" t="s">
        <v>45958</v>
      </c>
      <c r="X10019" t="s">
        <v>47314</v>
      </c>
    </row>
    <row r="10020" spans="1:24">
      <c r="A10020">
        <f>HYPERLINK("https://www.philgeps.gov.ph/GEPSNONPILOT/Tender/SplashBidNoticeAbstractUI.aspx?menuIndex=3&amp;refID=7185154&amp;Result=3","7185154")</f>
        <v>0</v>
      </c>
      <c r="B10020" t="s">
        <v>778</v>
      </c>
      <c r="C10020" t="s">
        <v>13301</v>
      </c>
      <c r="D10020" t="s">
        <v>19012</v>
      </c>
      <c r="E10020" t="s">
        <v>19403</v>
      </c>
      <c r="F10020" t="s">
        <v>32606</v>
      </c>
      <c r="G10020" t="s">
        <v>32613</v>
      </c>
      <c r="H10020" t="s">
        <v>14201</v>
      </c>
      <c r="I10020" t="s">
        <v>9013</v>
      </c>
      <c r="J10020" t="s">
        <v>38976</v>
      </c>
      <c r="K10020" t="s">
        <v>42623</v>
      </c>
      <c r="M10020" t="s">
        <v>43708</v>
      </c>
      <c r="N10020" t="s">
        <v>47304</v>
      </c>
      <c r="O10020" t="s">
        <v>47305</v>
      </c>
      <c r="P10020">
        <v>0</v>
      </c>
      <c r="Q10020">
        <v>0</v>
      </c>
      <c r="R10020" t="s">
        <v>47313</v>
      </c>
      <c r="S10020" t="s">
        <v>47535</v>
      </c>
      <c r="T10020" t="s">
        <v>49050</v>
      </c>
      <c r="U10020" t="s">
        <v>57826</v>
      </c>
      <c r="W10020" t="s">
        <v>43708</v>
      </c>
      <c r="X10020" t="s">
        <v>47314</v>
      </c>
    </row>
    <row r="10021" spans="1:24">
      <c r="A10021">
        <f>HYPERLINK("https://www.philgeps.gov.ph/GEPSNONPILOT/Tender/SplashBidNoticeAbstractUI.aspx?menuIndex=3&amp;refID=7185114&amp;Result=3","7185114")</f>
        <v>0</v>
      </c>
      <c r="B10021" t="s">
        <v>3065</v>
      </c>
      <c r="C10021" t="s">
        <v>13302</v>
      </c>
      <c r="E10021" t="s">
        <v>27648</v>
      </c>
      <c r="F10021" t="s">
        <v>32606</v>
      </c>
      <c r="G10021" t="s">
        <v>32614</v>
      </c>
      <c r="H10021" t="s">
        <v>14201</v>
      </c>
      <c r="I10021" t="s">
        <v>7577</v>
      </c>
      <c r="J10021" t="s">
        <v>38977</v>
      </c>
      <c r="K10021" t="s">
        <v>42624</v>
      </c>
      <c r="M10021" t="s">
        <v>46264</v>
      </c>
      <c r="N10021" t="s">
        <v>47304</v>
      </c>
      <c r="O10021" t="s">
        <v>47305</v>
      </c>
      <c r="P10021">
        <v>0</v>
      </c>
      <c r="Q10021">
        <v>9</v>
      </c>
      <c r="R10021" t="s">
        <v>47313</v>
      </c>
      <c r="S10021" t="s">
        <v>47535</v>
      </c>
      <c r="T10021" t="s">
        <v>49330</v>
      </c>
      <c r="U10021" t="s">
        <v>57827</v>
      </c>
      <c r="W10021" t="s">
        <v>46264</v>
      </c>
      <c r="X10021" t="s">
        <v>47314</v>
      </c>
    </row>
    <row r="10022" spans="1:24">
      <c r="A10022">
        <f>HYPERLINK("https://www.philgeps.gov.ph/GEPSNONPILOT/Tender/SplashBidNoticeAbstractUI.aspx?menuIndex=3&amp;refID=7185111&amp;Result=3","7185111")</f>
        <v>0</v>
      </c>
      <c r="B10022" t="s">
        <v>202</v>
      </c>
      <c r="C10022" t="s">
        <v>13303</v>
      </c>
      <c r="D10022" t="s">
        <v>19043</v>
      </c>
      <c r="E10022" t="s">
        <v>27649</v>
      </c>
      <c r="F10022" t="s">
        <v>32606</v>
      </c>
      <c r="G10022" t="s">
        <v>32613</v>
      </c>
      <c r="H10022" t="s">
        <v>14201</v>
      </c>
      <c r="I10022" t="s">
        <v>4678</v>
      </c>
      <c r="J10022" t="s">
        <v>32799</v>
      </c>
      <c r="K10022" t="s">
        <v>42631</v>
      </c>
      <c r="M10022" t="s">
        <v>43103</v>
      </c>
      <c r="N10022" t="s">
        <v>47304</v>
      </c>
      <c r="O10022" t="s">
        <v>47305</v>
      </c>
      <c r="P10022">
        <v>0</v>
      </c>
      <c r="Q10022">
        <v>2</v>
      </c>
      <c r="R10022" t="s">
        <v>47313</v>
      </c>
      <c r="S10022" t="s">
        <v>47535</v>
      </c>
      <c r="T10022" t="s">
        <v>49071</v>
      </c>
      <c r="U10022" t="s">
        <v>53895</v>
      </c>
      <c r="V10022" t="s">
        <v>62694</v>
      </c>
      <c r="W10022" t="s">
        <v>43103</v>
      </c>
      <c r="X10022" t="s">
        <v>47314</v>
      </c>
    </row>
    <row r="10023" spans="1:24">
      <c r="A10023">
        <f>HYPERLINK("https://www.philgeps.gov.ph/GEPSNONPILOT/Tender/SplashBidNoticeAbstractUI.aspx?menuIndex=3&amp;refID=7186074&amp;Result=3","7186074")</f>
        <v>0</v>
      </c>
      <c r="B10023" t="s">
        <v>1914</v>
      </c>
      <c r="C10023" t="s">
        <v>13304</v>
      </c>
      <c r="D10023" t="s">
        <v>19047</v>
      </c>
      <c r="E10023" t="s">
        <v>27650</v>
      </c>
      <c r="F10023" t="s">
        <v>32606</v>
      </c>
      <c r="G10023" t="s">
        <v>32613</v>
      </c>
      <c r="H10023" t="s">
        <v>32623</v>
      </c>
      <c r="I10023" t="s">
        <v>17648</v>
      </c>
      <c r="J10023" t="s">
        <v>38978</v>
      </c>
      <c r="K10023" t="s">
        <v>42622</v>
      </c>
      <c r="M10023" t="s">
        <v>44973</v>
      </c>
      <c r="N10023" t="s">
        <v>47304</v>
      </c>
      <c r="O10023" t="s">
        <v>47305</v>
      </c>
      <c r="P10023">
        <v>0</v>
      </c>
      <c r="Q10023">
        <v>0</v>
      </c>
      <c r="R10023" t="s">
        <v>47313</v>
      </c>
      <c r="S10023" t="s">
        <v>47535</v>
      </c>
      <c r="T10023" t="s">
        <v>49052</v>
      </c>
      <c r="U10023" t="s">
        <v>57828</v>
      </c>
      <c r="W10023" t="s">
        <v>44973</v>
      </c>
      <c r="X10023" t="s">
        <v>47314</v>
      </c>
    </row>
    <row r="10024" spans="1:24">
      <c r="A10024">
        <f>HYPERLINK("https://www.philgeps.gov.ph/GEPSNONPILOT/Tender/SplashBidNoticeAbstractUI.aspx?menuIndex=3&amp;refID=7186067&amp;Result=3","7186067")</f>
        <v>0</v>
      </c>
      <c r="B10024" t="s">
        <v>2728</v>
      </c>
      <c r="C10024" t="s">
        <v>13305</v>
      </c>
      <c r="D10024" t="s">
        <v>19003</v>
      </c>
      <c r="E10024" t="s">
        <v>25204</v>
      </c>
      <c r="F10024" t="s">
        <v>32606</v>
      </c>
      <c r="G10024" t="s">
        <v>32615</v>
      </c>
      <c r="H10024" t="s">
        <v>14201</v>
      </c>
      <c r="I10024" t="s">
        <v>32662</v>
      </c>
      <c r="J10024" t="s">
        <v>38979</v>
      </c>
      <c r="K10024" t="s">
        <v>42622</v>
      </c>
      <c r="M10024" t="s">
        <v>45883</v>
      </c>
      <c r="N10024" t="s">
        <v>47304</v>
      </c>
      <c r="O10024" t="s">
        <v>47305</v>
      </c>
      <c r="P10024">
        <v>0</v>
      </c>
      <c r="Q10024">
        <v>7</v>
      </c>
      <c r="R10024" t="s">
        <v>47313</v>
      </c>
      <c r="S10024" t="s">
        <v>47535</v>
      </c>
      <c r="T10024" t="s">
        <v>49256</v>
      </c>
      <c r="U10024" t="s">
        <v>57829</v>
      </c>
      <c r="W10024" t="s">
        <v>45883</v>
      </c>
      <c r="X10024" t="s">
        <v>47314</v>
      </c>
    </row>
    <row r="10025" spans="1:24">
      <c r="A10025">
        <f>HYPERLINK("https://www.philgeps.gov.ph/GEPSNONPILOT/Tender/SplashBidNoticeAbstractUI.aspx?menuIndex=3&amp;refID=7186101&amp;Result=3","7186101")</f>
        <v>0</v>
      </c>
      <c r="B10025" t="s">
        <v>1640</v>
      </c>
      <c r="C10025" t="s">
        <v>13306</v>
      </c>
      <c r="D10025" t="s">
        <v>19041</v>
      </c>
      <c r="E10025" t="s">
        <v>27651</v>
      </c>
      <c r="F10025" t="s">
        <v>32606</v>
      </c>
      <c r="G10025" t="s">
        <v>32619</v>
      </c>
      <c r="H10025" t="s">
        <v>14201</v>
      </c>
      <c r="I10025" t="s">
        <v>8682</v>
      </c>
      <c r="J10025" t="s">
        <v>32949</v>
      </c>
      <c r="K10025" t="s">
        <v>42630</v>
      </c>
      <c r="M10025" t="s">
        <v>44661</v>
      </c>
      <c r="N10025" t="s">
        <v>47304</v>
      </c>
      <c r="O10025" t="s">
        <v>47305</v>
      </c>
      <c r="P10025">
        <v>0</v>
      </c>
      <c r="Q10025">
        <v>3</v>
      </c>
      <c r="R10025" t="s">
        <v>47313</v>
      </c>
      <c r="S10025" t="s">
        <v>47535</v>
      </c>
      <c r="T10025" t="s">
        <v>49331</v>
      </c>
      <c r="U10025" t="s">
        <v>57830</v>
      </c>
      <c r="W10025" t="s">
        <v>44661</v>
      </c>
      <c r="X10025" t="s">
        <v>47314</v>
      </c>
    </row>
    <row r="10026" spans="1:24">
      <c r="A10026">
        <f>HYPERLINK("https://www.philgeps.gov.ph/GEPSNONPILOT/Tender/SplashBidNoticeAbstractUI.aspx?menuIndex=3&amp;refID=7186145&amp;Result=3","7186145")</f>
        <v>0</v>
      </c>
      <c r="B10026" t="s">
        <v>3066</v>
      </c>
      <c r="C10026" t="s">
        <v>13307</v>
      </c>
      <c r="D10026" t="s">
        <v>19010</v>
      </c>
      <c r="E10026" t="s">
        <v>23524</v>
      </c>
      <c r="F10026" t="s">
        <v>32606</v>
      </c>
      <c r="G10026" t="s">
        <v>32613</v>
      </c>
      <c r="H10026" t="s">
        <v>14201</v>
      </c>
      <c r="I10026" t="s">
        <v>32640</v>
      </c>
      <c r="J10026" t="s">
        <v>38980</v>
      </c>
      <c r="K10026" t="s">
        <v>42622</v>
      </c>
      <c r="M10026" t="s">
        <v>46265</v>
      </c>
      <c r="N10026" t="s">
        <v>47304</v>
      </c>
      <c r="O10026" t="s">
        <v>47305</v>
      </c>
      <c r="P10026">
        <v>0</v>
      </c>
      <c r="Q10026">
        <v>3</v>
      </c>
      <c r="R10026" t="s">
        <v>47313</v>
      </c>
      <c r="S10026" t="s">
        <v>47535</v>
      </c>
      <c r="T10026" t="s">
        <v>49050</v>
      </c>
      <c r="U10026" t="s">
        <v>57831</v>
      </c>
      <c r="W10026" t="s">
        <v>46265</v>
      </c>
      <c r="X10026" t="s">
        <v>47314</v>
      </c>
    </row>
    <row r="10027" spans="1:24">
      <c r="A10027">
        <f>HYPERLINK("https://www.philgeps.gov.ph/GEPSNONPILOT/Tender/SplashBidNoticeAbstractUI.aspx?menuIndex=3&amp;refID=7185110&amp;Result=3","7185110")</f>
        <v>0</v>
      </c>
      <c r="B10027" t="s">
        <v>753</v>
      </c>
      <c r="C10027" t="s">
        <v>13308</v>
      </c>
      <c r="D10027" t="s">
        <v>18991</v>
      </c>
      <c r="E10027" t="s">
        <v>27652</v>
      </c>
      <c r="F10027" t="s">
        <v>32606</v>
      </c>
      <c r="G10027" t="s">
        <v>32613</v>
      </c>
      <c r="H10027" t="s">
        <v>14201</v>
      </c>
      <c r="I10027" t="s">
        <v>32640</v>
      </c>
      <c r="J10027" t="s">
        <v>32778</v>
      </c>
      <c r="K10027" t="s">
        <v>42631</v>
      </c>
      <c r="M10027" t="s">
        <v>43676</v>
      </c>
      <c r="N10027" t="s">
        <v>47304</v>
      </c>
      <c r="O10027" t="s">
        <v>47305</v>
      </c>
      <c r="P10027">
        <v>0</v>
      </c>
      <c r="Q10027">
        <v>2</v>
      </c>
      <c r="R10027" t="s">
        <v>47313</v>
      </c>
      <c r="S10027" t="s">
        <v>47535</v>
      </c>
      <c r="T10027" t="s">
        <v>49024</v>
      </c>
      <c r="U10027" t="s">
        <v>57832</v>
      </c>
      <c r="W10027" t="s">
        <v>43676</v>
      </c>
      <c r="X10027" t="s">
        <v>47314</v>
      </c>
    </row>
    <row r="10028" spans="1:24">
      <c r="A10028">
        <f>HYPERLINK("https://www.philgeps.gov.ph/GEPSNONPILOT/Tender/SplashBidNoticeAbstractUI.aspx?menuIndex=3&amp;refID=7185107&amp;Result=3","7185107")</f>
        <v>0</v>
      </c>
      <c r="B10028" t="s">
        <v>3067</v>
      </c>
      <c r="C10028" t="s">
        <v>13309</v>
      </c>
      <c r="E10028" t="s">
        <v>27653</v>
      </c>
      <c r="F10028" t="s">
        <v>32606</v>
      </c>
      <c r="G10028" t="s">
        <v>32613</v>
      </c>
      <c r="H10028" t="s">
        <v>32623</v>
      </c>
      <c r="I10028" t="s">
        <v>32661</v>
      </c>
      <c r="J10028" t="s">
        <v>38981</v>
      </c>
      <c r="K10028" t="s">
        <v>42624</v>
      </c>
      <c r="M10028" t="s">
        <v>46266</v>
      </c>
      <c r="N10028" t="s">
        <v>47304</v>
      </c>
      <c r="O10028" t="s">
        <v>47305</v>
      </c>
      <c r="P10028">
        <v>0</v>
      </c>
      <c r="Q10028">
        <v>4</v>
      </c>
      <c r="R10028" t="s">
        <v>47313</v>
      </c>
      <c r="S10028" t="s">
        <v>47535</v>
      </c>
      <c r="T10028" t="s">
        <v>49071</v>
      </c>
      <c r="U10028" t="s">
        <v>57833</v>
      </c>
      <c r="V10028" t="s">
        <v>63708</v>
      </c>
      <c r="W10028" t="s">
        <v>46266</v>
      </c>
      <c r="X10028" t="s">
        <v>47314</v>
      </c>
    </row>
    <row r="10029" spans="1:24">
      <c r="A10029">
        <f>HYPERLINK("https://www.philgeps.gov.ph/GEPSNONPILOT/Tender/SplashBidNoticeAbstractUI.aspx?menuIndex=3&amp;refID=7186135&amp;Result=3","7186135")</f>
        <v>0</v>
      </c>
      <c r="B10029" t="s">
        <v>522</v>
      </c>
      <c r="C10029" t="s">
        <v>13310</v>
      </c>
      <c r="D10029" t="s">
        <v>19040</v>
      </c>
      <c r="E10029" t="s">
        <v>27654</v>
      </c>
      <c r="F10029" t="s">
        <v>32606</v>
      </c>
      <c r="G10029" t="s">
        <v>32613</v>
      </c>
      <c r="H10029" t="s">
        <v>32623</v>
      </c>
      <c r="I10029" t="s">
        <v>17648</v>
      </c>
      <c r="J10029" t="s">
        <v>38982</v>
      </c>
      <c r="K10029" t="s">
        <v>42693</v>
      </c>
      <c r="M10029" t="s">
        <v>43435</v>
      </c>
      <c r="N10029" t="s">
        <v>47304</v>
      </c>
      <c r="O10029" t="s">
        <v>47305</v>
      </c>
      <c r="P10029">
        <v>0</v>
      </c>
      <c r="Q10029">
        <v>0</v>
      </c>
      <c r="R10029" t="s">
        <v>47313</v>
      </c>
      <c r="S10029" t="s">
        <v>47535</v>
      </c>
      <c r="T10029" t="s">
        <v>49289</v>
      </c>
      <c r="U10029" t="s">
        <v>57834</v>
      </c>
      <c r="W10029" t="s">
        <v>43435</v>
      </c>
      <c r="X10029" t="s">
        <v>47314</v>
      </c>
    </row>
    <row r="10030" spans="1:24">
      <c r="A10030">
        <f>HYPERLINK("https://www.philgeps.gov.ph/GEPSNONPILOT/Tender/SplashBidNoticeAbstractUI.aspx?menuIndex=3&amp;refID=7186116&amp;Result=3","7186116")</f>
        <v>0</v>
      </c>
      <c r="B10030" t="s">
        <v>851</v>
      </c>
      <c r="C10030" t="s">
        <v>13311</v>
      </c>
      <c r="D10030" t="s">
        <v>19024</v>
      </c>
      <c r="E10030" t="s">
        <v>27655</v>
      </c>
      <c r="F10030" t="s">
        <v>32606</v>
      </c>
      <c r="G10030" t="s">
        <v>32613</v>
      </c>
      <c r="H10030" t="s">
        <v>14201</v>
      </c>
      <c r="I10030" t="s">
        <v>6931</v>
      </c>
      <c r="J10030" t="s">
        <v>38983</v>
      </c>
      <c r="K10030" t="s">
        <v>42631</v>
      </c>
      <c r="M10030" t="s">
        <v>43784</v>
      </c>
      <c r="N10030" t="s">
        <v>47304</v>
      </c>
      <c r="O10030" t="s">
        <v>47305</v>
      </c>
      <c r="P10030">
        <v>0</v>
      </c>
      <c r="Q10030">
        <v>1</v>
      </c>
      <c r="R10030" t="s">
        <v>47313</v>
      </c>
      <c r="S10030" t="s">
        <v>47535</v>
      </c>
      <c r="T10030" t="s">
        <v>49140</v>
      </c>
      <c r="U10030" t="s">
        <v>57835</v>
      </c>
      <c r="W10030" t="s">
        <v>64453</v>
      </c>
      <c r="X10030" t="s">
        <v>47314</v>
      </c>
    </row>
    <row r="10031" spans="1:24">
      <c r="A10031">
        <f>HYPERLINK("https://www.philgeps.gov.ph/GEPSNONPILOT/Tender/SplashBidNoticeAbstractUI.aspx?menuIndex=3&amp;refID=7186132&amp;Result=3","7186132")</f>
        <v>0</v>
      </c>
      <c r="B10031" t="s">
        <v>903</v>
      </c>
      <c r="C10031" t="s">
        <v>13312</v>
      </c>
      <c r="D10031" t="s">
        <v>19049</v>
      </c>
      <c r="E10031" t="s">
        <v>13312</v>
      </c>
      <c r="F10031" t="s">
        <v>32606</v>
      </c>
      <c r="G10031" t="s">
        <v>32613</v>
      </c>
      <c r="H10031" t="s">
        <v>14201</v>
      </c>
      <c r="I10031" t="s">
        <v>4112</v>
      </c>
      <c r="J10031" t="s">
        <v>38984</v>
      </c>
      <c r="K10031" t="s">
        <v>42631</v>
      </c>
      <c r="M10031" t="s">
        <v>43840</v>
      </c>
      <c r="N10031" t="s">
        <v>47304</v>
      </c>
      <c r="O10031" t="s">
        <v>47305</v>
      </c>
      <c r="P10031">
        <v>0</v>
      </c>
      <c r="Q10031">
        <v>1</v>
      </c>
      <c r="R10031" t="s">
        <v>47313</v>
      </c>
      <c r="S10031" t="s">
        <v>47535</v>
      </c>
      <c r="T10031" t="s">
        <v>49221</v>
      </c>
      <c r="U10031" t="s">
        <v>57836</v>
      </c>
      <c r="W10031" t="s">
        <v>43840</v>
      </c>
      <c r="X10031" t="s">
        <v>47314</v>
      </c>
    </row>
    <row r="10032" spans="1:24">
      <c r="A10032">
        <f>HYPERLINK("https://www.philgeps.gov.ph/GEPSNONPILOT/Tender/SplashBidNoticeAbstractUI.aspx?menuIndex=3&amp;refID=7186127&amp;Result=3","7186127")</f>
        <v>0</v>
      </c>
      <c r="B10032" t="s">
        <v>2490</v>
      </c>
      <c r="C10032" t="s">
        <v>13313</v>
      </c>
      <c r="D10032" t="s">
        <v>19006</v>
      </c>
      <c r="E10032" t="s">
        <v>27656</v>
      </c>
      <c r="F10032" t="s">
        <v>32606</v>
      </c>
      <c r="G10032" t="s">
        <v>32613</v>
      </c>
      <c r="H10032" t="s">
        <v>32623</v>
      </c>
      <c r="I10032" t="s">
        <v>17648</v>
      </c>
      <c r="J10032" t="s">
        <v>38985</v>
      </c>
      <c r="K10032" t="s">
        <v>42836</v>
      </c>
      <c r="M10032" t="s">
        <v>46262</v>
      </c>
      <c r="N10032" t="s">
        <v>47304</v>
      </c>
      <c r="O10032" t="s">
        <v>47305</v>
      </c>
      <c r="P10032">
        <v>0</v>
      </c>
      <c r="Q10032">
        <v>1</v>
      </c>
      <c r="R10032" t="s">
        <v>47313</v>
      </c>
      <c r="S10032" t="s">
        <v>47535</v>
      </c>
      <c r="T10032" t="s">
        <v>49390</v>
      </c>
      <c r="U10032" t="s">
        <v>57837</v>
      </c>
      <c r="W10032" t="s">
        <v>46262</v>
      </c>
      <c r="X10032" t="s">
        <v>47314</v>
      </c>
    </row>
    <row r="10033" spans="1:24">
      <c r="A10033">
        <f>HYPERLINK("https://www.philgeps.gov.ph/GEPSNONPILOT/Tender/SplashBidNoticeAbstractUI.aspx?menuIndex=3&amp;refID=7185113&amp;Result=3","7185113")</f>
        <v>0</v>
      </c>
      <c r="B10033" t="s">
        <v>1853</v>
      </c>
      <c r="C10033" t="s">
        <v>13314</v>
      </c>
      <c r="E10033" t="s">
        <v>27657</v>
      </c>
      <c r="F10033" t="s">
        <v>32606</v>
      </c>
      <c r="G10033" t="s">
        <v>32613</v>
      </c>
      <c r="H10033" t="s">
        <v>32623</v>
      </c>
      <c r="I10033" t="s">
        <v>17648</v>
      </c>
      <c r="J10033" t="s">
        <v>32752</v>
      </c>
      <c r="K10033" t="s">
        <v>42623</v>
      </c>
      <c r="M10033" t="s">
        <v>44907</v>
      </c>
      <c r="N10033" t="s">
        <v>47304</v>
      </c>
      <c r="O10033" t="s">
        <v>47305</v>
      </c>
      <c r="P10033">
        <v>0</v>
      </c>
      <c r="Q10033">
        <v>0</v>
      </c>
      <c r="R10033" t="s">
        <v>47313</v>
      </c>
      <c r="S10033" t="s">
        <v>47535</v>
      </c>
      <c r="T10033" t="s">
        <v>49095</v>
      </c>
      <c r="U10033" t="s">
        <v>57838</v>
      </c>
      <c r="W10033" t="s">
        <v>44907</v>
      </c>
      <c r="X10033" t="s">
        <v>47314</v>
      </c>
    </row>
    <row r="10034" spans="1:24">
      <c r="A10034">
        <f>HYPERLINK("https://www.philgeps.gov.ph/GEPSNONPILOT/Tender/SplashBidNoticeAbstractUI.aspx?menuIndex=3&amp;refID=7186137&amp;Result=3","7186137")</f>
        <v>0</v>
      </c>
      <c r="B10034" t="s">
        <v>1617</v>
      </c>
      <c r="C10034" t="s">
        <v>13315</v>
      </c>
      <c r="D10034" t="s">
        <v>19019</v>
      </c>
      <c r="E10034" t="s">
        <v>20748</v>
      </c>
      <c r="F10034" t="s">
        <v>32606</v>
      </c>
      <c r="G10034" t="s">
        <v>32613</v>
      </c>
      <c r="H10034" t="s">
        <v>14201</v>
      </c>
      <c r="I10034" t="s">
        <v>32633</v>
      </c>
      <c r="J10034" t="s">
        <v>32860</v>
      </c>
      <c r="K10034" t="s">
        <v>42631</v>
      </c>
      <c r="M10034" t="s">
        <v>44637</v>
      </c>
      <c r="N10034" t="s">
        <v>47304</v>
      </c>
      <c r="O10034" t="s">
        <v>47305</v>
      </c>
      <c r="P10034">
        <v>0</v>
      </c>
      <c r="Q10034">
        <v>10</v>
      </c>
      <c r="R10034" t="s">
        <v>47313</v>
      </c>
      <c r="S10034" t="s">
        <v>47535</v>
      </c>
      <c r="T10034" t="s">
        <v>49435</v>
      </c>
      <c r="U10034" t="s">
        <v>57839</v>
      </c>
      <c r="W10034" t="s">
        <v>44637</v>
      </c>
      <c r="X10034" t="s">
        <v>47314</v>
      </c>
    </row>
    <row r="10035" spans="1:24">
      <c r="A10035">
        <f>HYPERLINK("https://www.philgeps.gov.ph/GEPSNONPILOT/Tender/SplashBidNoticeAbstractUI.aspx?menuIndex=3&amp;refID=7186126&amp;Result=3","7186126")</f>
        <v>0</v>
      </c>
      <c r="B10035" t="s">
        <v>3068</v>
      </c>
      <c r="C10035" t="s">
        <v>13316</v>
      </c>
      <c r="D10035" t="s">
        <v>19018</v>
      </c>
      <c r="E10035" t="s">
        <v>27658</v>
      </c>
      <c r="F10035" t="s">
        <v>32606</v>
      </c>
      <c r="G10035" t="s">
        <v>32613</v>
      </c>
      <c r="H10035" t="s">
        <v>14201</v>
      </c>
      <c r="I10035" t="s">
        <v>32635</v>
      </c>
      <c r="J10035" t="s">
        <v>38986</v>
      </c>
      <c r="K10035" t="s">
        <v>42631</v>
      </c>
      <c r="M10035" t="s">
        <v>46267</v>
      </c>
      <c r="N10035" t="s">
        <v>47304</v>
      </c>
      <c r="O10035" t="s">
        <v>47305</v>
      </c>
      <c r="P10035">
        <v>0</v>
      </c>
      <c r="Q10035">
        <v>2</v>
      </c>
      <c r="R10035" t="s">
        <v>47313</v>
      </c>
      <c r="S10035" t="s">
        <v>47535</v>
      </c>
      <c r="T10035" t="s">
        <v>49438</v>
      </c>
      <c r="U10035" t="s">
        <v>57840</v>
      </c>
      <c r="W10035" t="s">
        <v>46267</v>
      </c>
      <c r="X10035" t="s">
        <v>47314</v>
      </c>
    </row>
    <row r="10036" spans="1:24">
      <c r="A10036">
        <f>HYPERLINK("https://www.philgeps.gov.ph/GEPSNONPILOT/Tender/SplashBidNoticeAbstractUI.aspx?menuIndex=3&amp;refID=7186123&amp;Result=3","7186123")</f>
        <v>0</v>
      </c>
      <c r="B10036" t="s">
        <v>375</v>
      </c>
      <c r="C10036" t="s">
        <v>13317</v>
      </c>
      <c r="D10036" t="s">
        <v>18988</v>
      </c>
      <c r="E10036" t="s">
        <v>27659</v>
      </c>
      <c r="F10036" t="s">
        <v>32606</v>
      </c>
      <c r="G10036" t="s">
        <v>32613</v>
      </c>
      <c r="H10036" t="s">
        <v>14201</v>
      </c>
      <c r="I10036" t="s">
        <v>32629</v>
      </c>
      <c r="J10036" t="s">
        <v>38987</v>
      </c>
      <c r="K10036" t="s">
        <v>42624</v>
      </c>
      <c r="M10036" t="s">
        <v>43277</v>
      </c>
      <c r="N10036" t="s">
        <v>47304</v>
      </c>
      <c r="O10036" t="s">
        <v>47305</v>
      </c>
      <c r="P10036">
        <v>0</v>
      </c>
      <c r="Q10036">
        <v>0</v>
      </c>
      <c r="R10036" t="s">
        <v>47313</v>
      </c>
      <c r="S10036" t="s">
        <v>47535</v>
      </c>
      <c r="T10036" t="s">
        <v>49422</v>
      </c>
      <c r="U10036" t="s">
        <v>57841</v>
      </c>
      <c r="W10036" t="s">
        <v>64525</v>
      </c>
      <c r="X10036" t="s">
        <v>47314</v>
      </c>
    </row>
    <row r="10037" spans="1:24">
      <c r="A10037">
        <f>HYPERLINK("https://www.philgeps.gov.ph/GEPSNONPILOT/Tender/SplashBidNoticeAbstractUI.aspx?menuIndex=3&amp;refID=7186114&amp;Result=3","7186114")</f>
        <v>0</v>
      </c>
      <c r="B10037" t="s">
        <v>3069</v>
      </c>
      <c r="C10037" t="s">
        <v>13318</v>
      </c>
      <c r="D10037" t="s">
        <v>19035</v>
      </c>
      <c r="E10037" t="s">
        <v>27660</v>
      </c>
      <c r="F10037" t="s">
        <v>32606</v>
      </c>
      <c r="G10037" t="s">
        <v>32613</v>
      </c>
      <c r="H10037" t="s">
        <v>32623</v>
      </c>
      <c r="I10037" t="s">
        <v>17648</v>
      </c>
      <c r="J10037" t="s">
        <v>38988</v>
      </c>
      <c r="K10037" t="s">
        <v>42650</v>
      </c>
      <c r="M10037" t="s">
        <v>46268</v>
      </c>
      <c r="N10037" t="s">
        <v>47304</v>
      </c>
      <c r="O10037" t="s">
        <v>47305</v>
      </c>
      <c r="P10037">
        <v>0</v>
      </c>
      <c r="Q10037">
        <v>0</v>
      </c>
      <c r="R10037" t="s">
        <v>47313</v>
      </c>
      <c r="S10037" t="s">
        <v>47535</v>
      </c>
      <c r="T10037" t="s">
        <v>49075</v>
      </c>
      <c r="U10037" t="s">
        <v>57842</v>
      </c>
      <c r="W10037" t="s">
        <v>46268</v>
      </c>
      <c r="X10037" t="s">
        <v>47314</v>
      </c>
    </row>
    <row r="10038" spans="1:24">
      <c r="A10038">
        <f>HYPERLINK("https://www.philgeps.gov.ph/GEPSNONPILOT/Tender/SplashBidNoticeAbstractUI.aspx?menuIndex=3&amp;refID=7186201&amp;Result=3","7186201")</f>
        <v>0</v>
      </c>
      <c r="B10038" t="s">
        <v>1685</v>
      </c>
      <c r="C10038" t="s">
        <v>13319</v>
      </c>
      <c r="D10038" t="s">
        <v>19016</v>
      </c>
      <c r="E10038" t="s">
        <v>27661</v>
      </c>
      <c r="F10038" t="s">
        <v>32606</v>
      </c>
      <c r="G10038" t="s">
        <v>32613</v>
      </c>
      <c r="H10038" t="s">
        <v>32623</v>
      </c>
      <c r="I10038" t="s">
        <v>17648</v>
      </c>
      <c r="J10038" t="s">
        <v>38989</v>
      </c>
      <c r="K10038" t="s">
        <v>42631</v>
      </c>
      <c r="M10038" t="s">
        <v>44714</v>
      </c>
      <c r="N10038" t="s">
        <v>47304</v>
      </c>
      <c r="O10038" t="s">
        <v>47305</v>
      </c>
      <c r="P10038">
        <v>0</v>
      </c>
      <c r="Q10038">
        <v>0</v>
      </c>
      <c r="R10038" t="s">
        <v>47313</v>
      </c>
      <c r="S10038" t="s">
        <v>47535</v>
      </c>
      <c r="T10038" t="s">
        <v>49047</v>
      </c>
      <c r="U10038" t="s">
        <v>57843</v>
      </c>
      <c r="W10038" t="s">
        <v>44714</v>
      </c>
      <c r="X10038" t="s">
        <v>47314</v>
      </c>
    </row>
    <row r="10039" spans="1:24">
      <c r="A10039">
        <f>HYPERLINK("https://www.philgeps.gov.ph/GEPSNONPILOT/Tender/SplashBidNoticeAbstractUI.aspx?menuIndex=3&amp;refID=7186199&amp;Result=3","7186199")</f>
        <v>0</v>
      </c>
      <c r="B10039" t="s">
        <v>522</v>
      </c>
      <c r="C10039" t="s">
        <v>13320</v>
      </c>
      <c r="D10039" t="s">
        <v>19040</v>
      </c>
      <c r="E10039" t="s">
        <v>27662</v>
      </c>
      <c r="F10039" t="s">
        <v>32606</v>
      </c>
      <c r="G10039" t="s">
        <v>32613</v>
      </c>
      <c r="H10039" t="s">
        <v>32623</v>
      </c>
      <c r="I10039" t="s">
        <v>17648</v>
      </c>
      <c r="J10039" t="s">
        <v>38990</v>
      </c>
      <c r="K10039" t="s">
        <v>42675</v>
      </c>
      <c r="M10039" t="s">
        <v>43435</v>
      </c>
      <c r="N10039" t="s">
        <v>47304</v>
      </c>
      <c r="O10039" t="s">
        <v>47305</v>
      </c>
      <c r="P10039">
        <v>0</v>
      </c>
      <c r="Q10039">
        <v>1</v>
      </c>
      <c r="R10039" t="s">
        <v>47313</v>
      </c>
      <c r="S10039" t="s">
        <v>47535</v>
      </c>
      <c r="T10039" t="s">
        <v>49439</v>
      </c>
      <c r="U10039" t="s">
        <v>57844</v>
      </c>
      <c r="W10039" t="s">
        <v>43435</v>
      </c>
      <c r="X10039" t="s">
        <v>47314</v>
      </c>
    </row>
    <row r="10040" spans="1:24">
      <c r="A10040">
        <f>HYPERLINK("https://www.philgeps.gov.ph/GEPSNONPILOT/Tender/SplashBidNoticeAbstractUI.aspx?menuIndex=3&amp;refID=7186196&amp;Result=3","7186196")</f>
        <v>0</v>
      </c>
      <c r="B10040" t="s">
        <v>3070</v>
      </c>
      <c r="C10040" t="s">
        <v>13321</v>
      </c>
      <c r="D10040" t="s">
        <v>19011</v>
      </c>
      <c r="E10040" t="s">
        <v>27663</v>
      </c>
      <c r="F10040" t="s">
        <v>32606</v>
      </c>
      <c r="G10040" t="s">
        <v>32614</v>
      </c>
      <c r="H10040" t="s">
        <v>14201</v>
      </c>
      <c r="I10040" t="s">
        <v>32636</v>
      </c>
      <c r="J10040" t="s">
        <v>35550</v>
      </c>
      <c r="K10040" t="s">
        <v>42631</v>
      </c>
      <c r="M10040" t="s">
        <v>46269</v>
      </c>
      <c r="N10040" t="s">
        <v>47304</v>
      </c>
      <c r="O10040" t="s">
        <v>47305</v>
      </c>
      <c r="P10040">
        <v>0</v>
      </c>
      <c r="Q10040">
        <v>2</v>
      </c>
      <c r="R10040" t="s">
        <v>47313</v>
      </c>
      <c r="S10040" t="s">
        <v>47535</v>
      </c>
      <c r="T10040" t="s">
        <v>49072</v>
      </c>
      <c r="U10040" t="s">
        <v>57845</v>
      </c>
      <c r="W10040" t="s">
        <v>46269</v>
      </c>
      <c r="X10040" t="s">
        <v>47314</v>
      </c>
    </row>
    <row r="10041" spans="1:24">
      <c r="A10041">
        <f>HYPERLINK("https://www.philgeps.gov.ph/GEPSNONPILOT/Tender/SplashBidNoticeAbstractUI.aspx?menuIndex=3&amp;refID=7186185&amp;Result=3","7186185")</f>
        <v>0</v>
      </c>
      <c r="B10041" t="s">
        <v>1632</v>
      </c>
      <c r="C10041" t="s">
        <v>13322</v>
      </c>
      <c r="D10041" t="s">
        <v>18999</v>
      </c>
      <c r="E10041" t="s">
        <v>27664</v>
      </c>
      <c r="F10041" t="s">
        <v>32606</v>
      </c>
      <c r="G10041" t="s">
        <v>32619</v>
      </c>
      <c r="H10041" t="s">
        <v>14201</v>
      </c>
      <c r="I10041" t="s">
        <v>7577</v>
      </c>
      <c r="J10041" t="s">
        <v>38991</v>
      </c>
      <c r="K10041" t="s">
        <v>42624</v>
      </c>
      <c r="M10041" t="s">
        <v>44652</v>
      </c>
      <c r="N10041" t="s">
        <v>47304</v>
      </c>
      <c r="O10041" t="s">
        <v>47305</v>
      </c>
      <c r="P10041">
        <v>0</v>
      </c>
      <c r="Q10041">
        <v>7</v>
      </c>
      <c r="R10041" t="s">
        <v>47313</v>
      </c>
      <c r="S10041" t="s">
        <v>47535</v>
      </c>
      <c r="T10041" t="s">
        <v>49330</v>
      </c>
      <c r="U10041" t="s">
        <v>57846</v>
      </c>
      <c r="V10041" t="s">
        <v>63068</v>
      </c>
      <c r="W10041" t="s">
        <v>44652</v>
      </c>
      <c r="X10041" t="s">
        <v>47314</v>
      </c>
    </row>
    <row r="10042" spans="1:24">
      <c r="A10042">
        <f>HYPERLINK("https://www.philgeps.gov.ph/GEPSNONPILOT/Tender/SplashBidNoticeAbstractUI.aspx?menuIndex=3&amp;refID=7186059&amp;Result=3","7186059")</f>
        <v>0</v>
      </c>
      <c r="B10042" t="s">
        <v>3071</v>
      </c>
      <c r="C10042" t="s">
        <v>13323</v>
      </c>
      <c r="D10042" t="s">
        <v>18988</v>
      </c>
      <c r="E10042" t="s">
        <v>19315</v>
      </c>
      <c r="F10042" t="s">
        <v>32606</v>
      </c>
      <c r="G10042" t="s">
        <v>32614</v>
      </c>
      <c r="H10042" t="s">
        <v>32624</v>
      </c>
      <c r="I10042" t="s">
        <v>4114</v>
      </c>
      <c r="J10042" t="s">
        <v>38992</v>
      </c>
      <c r="K10042" t="s">
        <v>42637</v>
      </c>
      <c r="M10042" t="s">
        <v>46270</v>
      </c>
      <c r="N10042" t="s">
        <v>47304</v>
      </c>
      <c r="O10042" t="s">
        <v>47305</v>
      </c>
      <c r="P10042">
        <v>0</v>
      </c>
      <c r="Q10042">
        <v>3</v>
      </c>
      <c r="R10042" t="s">
        <v>47313</v>
      </c>
      <c r="S10042" t="s">
        <v>47535</v>
      </c>
      <c r="T10042" t="s">
        <v>48975</v>
      </c>
      <c r="U10042" t="s">
        <v>57847</v>
      </c>
      <c r="W10042" t="s">
        <v>46270</v>
      </c>
      <c r="X10042" t="s">
        <v>47314</v>
      </c>
    </row>
    <row r="10043" spans="1:24">
      <c r="A10043">
        <f>HYPERLINK("https://www.philgeps.gov.ph/GEPSNONPILOT/Tender/SplashBidNoticeAbstractUI.aspx?menuIndex=3&amp;refID=7186184&amp;Result=3","7186184")</f>
        <v>0</v>
      </c>
      <c r="B10043" t="s">
        <v>903</v>
      </c>
      <c r="C10043" t="s">
        <v>13324</v>
      </c>
      <c r="D10043" t="s">
        <v>19049</v>
      </c>
      <c r="E10043" t="s">
        <v>13324</v>
      </c>
      <c r="F10043" t="s">
        <v>32606</v>
      </c>
      <c r="G10043" t="s">
        <v>32613</v>
      </c>
      <c r="H10043" t="s">
        <v>14201</v>
      </c>
      <c r="I10043" t="s">
        <v>32640</v>
      </c>
      <c r="J10043" t="s">
        <v>38993</v>
      </c>
      <c r="K10043" t="s">
        <v>42631</v>
      </c>
      <c r="M10043" t="s">
        <v>43840</v>
      </c>
      <c r="N10043" t="s">
        <v>47304</v>
      </c>
      <c r="O10043" t="s">
        <v>47305</v>
      </c>
      <c r="P10043">
        <v>0</v>
      </c>
      <c r="Q10043">
        <v>1</v>
      </c>
      <c r="R10043" t="s">
        <v>47313</v>
      </c>
      <c r="S10043" t="s">
        <v>47535</v>
      </c>
      <c r="T10043" t="s">
        <v>49221</v>
      </c>
      <c r="U10043" t="s">
        <v>57848</v>
      </c>
      <c r="W10043" t="s">
        <v>43840</v>
      </c>
      <c r="X10043" t="s">
        <v>47314</v>
      </c>
    </row>
    <row r="10044" spans="1:24">
      <c r="A10044">
        <f>HYPERLINK("https://www.philgeps.gov.ph/GEPSNONPILOT/Tender/SplashBidNoticeAbstractUI.aspx?menuIndex=3&amp;refID=7186183&amp;Result=3","7186183")</f>
        <v>0</v>
      </c>
      <c r="B10044" t="s">
        <v>39</v>
      </c>
      <c r="C10044" t="s">
        <v>13325</v>
      </c>
      <c r="D10044" t="s">
        <v>18990</v>
      </c>
      <c r="E10044" t="s">
        <v>27665</v>
      </c>
      <c r="F10044" t="s">
        <v>32606</v>
      </c>
      <c r="G10044" t="s">
        <v>32613</v>
      </c>
      <c r="H10044" t="s">
        <v>14201</v>
      </c>
      <c r="I10044" t="s">
        <v>4120</v>
      </c>
      <c r="J10044" t="s">
        <v>38994</v>
      </c>
      <c r="K10044" t="s">
        <v>42624</v>
      </c>
      <c r="M10044" t="s">
        <v>43005</v>
      </c>
      <c r="N10044" t="s">
        <v>47304</v>
      </c>
      <c r="O10044" t="s">
        <v>47305</v>
      </c>
      <c r="P10044">
        <v>0</v>
      </c>
      <c r="Q10044">
        <v>3</v>
      </c>
      <c r="R10044" t="s">
        <v>47313</v>
      </c>
      <c r="S10044" t="s">
        <v>47535</v>
      </c>
      <c r="T10044" t="s">
        <v>49129</v>
      </c>
      <c r="U10044" t="s">
        <v>57849</v>
      </c>
      <c r="W10044" t="s">
        <v>64422</v>
      </c>
      <c r="X10044" t="s">
        <v>47314</v>
      </c>
    </row>
    <row r="10045" spans="1:24">
      <c r="A10045">
        <f>HYPERLINK("https://www.philgeps.gov.ph/GEPSNONPILOT/Tender/SplashBidNoticeAbstractUI.aspx?menuIndex=3&amp;refID=7186181&amp;Result=3","7186181")</f>
        <v>0</v>
      </c>
      <c r="B10045" t="s">
        <v>3064</v>
      </c>
      <c r="C10045" t="s">
        <v>13326</v>
      </c>
      <c r="D10045" t="s">
        <v>19008</v>
      </c>
      <c r="E10045" t="s">
        <v>27666</v>
      </c>
      <c r="F10045" t="s">
        <v>32606</v>
      </c>
      <c r="G10045" t="s">
        <v>32614</v>
      </c>
      <c r="H10045" t="s">
        <v>32624</v>
      </c>
      <c r="I10045" t="s">
        <v>6007</v>
      </c>
      <c r="J10045" t="s">
        <v>33001</v>
      </c>
      <c r="K10045" t="s">
        <v>42663</v>
      </c>
      <c r="M10045" t="s">
        <v>46263</v>
      </c>
      <c r="N10045" t="s">
        <v>47304</v>
      </c>
      <c r="O10045" t="s">
        <v>47305</v>
      </c>
      <c r="P10045">
        <v>0</v>
      </c>
      <c r="Q10045">
        <v>1</v>
      </c>
      <c r="R10045" t="s">
        <v>47313</v>
      </c>
      <c r="S10045" t="s">
        <v>47535</v>
      </c>
      <c r="T10045" t="s">
        <v>49331</v>
      </c>
      <c r="U10045" t="s">
        <v>57850</v>
      </c>
      <c r="W10045" t="s">
        <v>46263</v>
      </c>
      <c r="X10045" t="s">
        <v>47314</v>
      </c>
    </row>
    <row r="10046" spans="1:24">
      <c r="A10046">
        <f>HYPERLINK("https://www.philgeps.gov.ph/GEPSNONPILOT/Tender/SplashBidNoticeAbstractUI.aspx?menuIndex=3&amp;refID=7186179&amp;Result=3","7186179")</f>
        <v>0</v>
      </c>
      <c r="B10046" t="s">
        <v>3072</v>
      </c>
      <c r="C10046" t="s">
        <v>13327</v>
      </c>
      <c r="D10046" t="s">
        <v>19011</v>
      </c>
      <c r="E10046" t="s">
        <v>27667</v>
      </c>
      <c r="F10046" t="s">
        <v>32606</v>
      </c>
      <c r="G10046" t="s">
        <v>32613</v>
      </c>
      <c r="H10046" t="s">
        <v>14201</v>
      </c>
      <c r="I10046" t="s">
        <v>6931</v>
      </c>
      <c r="J10046" t="s">
        <v>38995</v>
      </c>
      <c r="K10046" t="s">
        <v>42623</v>
      </c>
      <c r="M10046" t="s">
        <v>46271</v>
      </c>
      <c r="N10046" t="s">
        <v>47304</v>
      </c>
      <c r="O10046" t="s">
        <v>47305</v>
      </c>
      <c r="P10046">
        <v>0</v>
      </c>
      <c r="Q10046">
        <v>1</v>
      </c>
      <c r="R10046" t="s">
        <v>47313</v>
      </c>
      <c r="S10046" t="s">
        <v>47535</v>
      </c>
      <c r="T10046" t="s">
        <v>49066</v>
      </c>
      <c r="U10046" t="s">
        <v>57851</v>
      </c>
      <c r="W10046" t="s">
        <v>46271</v>
      </c>
      <c r="X10046" t="s">
        <v>47314</v>
      </c>
    </row>
    <row r="10047" spans="1:24">
      <c r="A10047">
        <f>HYPERLINK("https://www.philgeps.gov.ph/GEPSNONPILOT/Tender/SplashBidNoticeAbstractUI.aspx?menuIndex=3&amp;refID=7186177&amp;Result=3","7186177")</f>
        <v>0</v>
      </c>
      <c r="B10047" t="s">
        <v>851</v>
      </c>
      <c r="C10047" t="s">
        <v>13328</v>
      </c>
      <c r="D10047" t="s">
        <v>19024</v>
      </c>
      <c r="E10047" t="s">
        <v>27668</v>
      </c>
      <c r="F10047" t="s">
        <v>32606</v>
      </c>
      <c r="G10047" t="s">
        <v>32613</v>
      </c>
      <c r="H10047" t="s">
        <v>14201</v>
      </c>
      <c r="I10047" t="s">
        <v>6931</v>
      </c>
      <c r="J10047" t="s">
        <v>38996</v>
      </c>
      <c r="K10047" t="s">
        <v>42631</v>
      </c>
      <c r="M10047" t="s">
        <v>43784</v>
      </c>
      <c r="N10047" t="s">
        <v>47304</v>
      </c>
      <c r="O10047" t="s">
        <v>47305</v>
      </c>
      <c r="P10047">
        <v>0</v>
      </c>
      <c r="Q10047">
        <v>0</v>
      </c>
      <c r="R10047" t="s">
        <v>47313</v>
      </c>
      <c r="S10047" t="s">
        <v>47535</v>
      </c>
      <c r="T10047" t="s">
        <v>49140</v>
      </c>
      <c r="U10047" t="s">
        <v>57835</v>
      </c>
      <c r="W10047" t="s">
        <v>64453</v>
      </c>
      <c r="X10047" t="s">
        <v>47314</v>
      </c>
    </row>
    <row r="10048" spans="1:24">
      <c r="A10048">
        <f>HYPERLINK("https://www.philgeps.gov.ph/GEPSNONPILOT/Tender/SplashBidNoticeAbstractUI.aspx?menuIndex=3&amp;refID=7186142&amp;Result=3","7186142")</f>
        <v>0</v>
      </c>
      <c r="B10048" t="s">
        <v>903</v>
      </c>
      <c r="C10048" t="s">
        <v>13329</v>
      </c>
      <c r="D10048" t="s">
        <v>19049</v>
      </c>
      <c r="E10048" t="s">
        <v>27669</v>
      </c>
      <c r="F10048" t="s">
        <v>32606</v>
      </c>
      <c r="G10048" t="s">
        <v>32613</v>
      </c>
      <c r="H10048" t="s">
        <v>14201</v>
      </c>
      <c r="I10048" t="s">
        <v>32648</v>
      </c>
      <c r="J10048" t="s">
        <v>38997</v>
      </c>
      <c r="K10048" t="s">
        <v>42631</v>
      </c>
      <c r="M10048" t="s">
        <v>43840</v>
      </c>
      <c r="N10048" t="s">
        <v>47304</v>
      </c>
      <c r="O10048" t="s">
        <v>47305</v>
      </c>
      <c r="P10048">
        <v>0</v>
      </c>
      <c r="Q10048">
        <v>2</v>
      </c>
      <c r="R10048" t="s">
        <v>47313</v>
      </c>
      <c r="S10048" t="s">
        <v>47535</v>
      </c>
      <c r="T10048" t="s">
        <v>49221</v>
      </c>
      <c r="U10048" t="s">
        <v>57852</v>
      </c>
      <c r="W10048" t="s">
        <v>43840</v>
      </c>
      <c r="X10048" t="s">
        <v>47314</v>
      </c>
    </row>
    <row r="10049" spans="1:24">
      <c r="A10049">
        <f>HYPERLINK("https://www.philgeps.gov.ph/GEPSNONPILOT/Tender/SplashBidNoticeAbstractUI.aspx?menuIndex=3&amp;refID=7186190&amp;Result=3","7186190")</f>
        <v>0</v>
      </c>
      <c r="B10049" t="s">
        <v>1914</v>
      </c>
      <c r="C10049" t="s">
        <v>13330</v>
      </c>
      <c r="D10049" t="s">
        <v>19047</v>
      </c>
      <c r="E10049" t="s">
        <v>27670</v>
      </c>
      <c r="F10049" t="s">
        <v>32606</v>
      </c>
      <c r="G10049" t="s">
        <v>32613</v>
      </c>
      <c r="H10049" t="s">
        <v>32623</v>
      </c>
      <c r="I10049" t="s">
        <v>17648</v>
      </c>
      <c r="J10049" t="s">
        <v>38998</v>
      </c>
      <c r="K10049" t="s">
        <v>42695</v>
      </c>
      <c r="M10049" t="s">
        <v>44973</v>
      </c>
      <c r="N10049" t="s">
        <v>47304</v>
      </c>
      <c r="O10049" t="s">
        <v>47305</v>
      </c>
      <c r="P10049">
        <v>0</v>
      </c>
      <c r="Q10049">
        <v>0</v>
      </c>
      <c r="R10049" t="s">
        <v>47313</v>
      </c>
      <c r="S10049" t="s">
        <v>47535</v>
      </c>
      <c r="T10049" t="s">
        <v>49052</v>
      </c>
      <c r="U10049" t="s">
        <v>57853</v>
      </c>
      <c r="W10049" t="s">
        <v>44973</v>
      </c>
      <c r="X10049" t="s">
        <v>47314</v>
      </c>
    </row>
    <row r="10050" spans="1:24">
      <c r="A10050">
        <f>HYPERLINK("https://www.philgeps.gov.ph/GEPSNONPILOT/Tender/SplashBidNoticeAbstractUI.aspx?menuIndex=3&amp;refID=7186176&amp;Result=3","7186176")</f>
        <v>0</v>
      </c>
      <c r="B10050" t="s">
        <v>1688</v>
      </c>
      <c r="C10050" t="s">
        <v>13331</v>
      </c>
      <c r="D10050" t="s">
        <v>19015</v>
      </c>
      <c r="E10050" t="s">
        <v>27671</v>
      </c>
      <c r="F10050" t="s">
        <v>32606</v>
      </c>
      <c r="G10050" t="s">
        <v>32613</v>
      </c>
      <c r="H10050" t="s">
        <v>32623</v>
      </c>
      <c r="I10050" t="s">
        <v>17648</v>
      </c>
      <c r="J10050" t="s">
        <v>32767</v>
      </c>
      <c r="K10050" t="s">
        <v>42719</v>
      </c>
      <c r="M10050" t="s">
        <v>44717</v>
      </c>
      <c r="N10050" t="s">
        <v>47304</v>
      </c>
      <c r="O10050" t="s">
        <v>47305</v>
      </c>
      <c r="P10050">
        <v>0</v>
      </c>
      <c r="Q10050">
        <v>48</v>
      </c>
      <c r="R10050" t="s">
        <v>47313</v>
      </c>
      <c r="S10050" t="s">
        <v>47535</v>
      </c>
      <c r="T10050" t="s">
        <v>49324</v>
      </c>
      <c r="U10050" t="s">
        <v>57854</v>
      </c>
      <c r="V10050" t="s">
        <v>62763</v>
      </c>
      <c r="W10050" t="s">
        <v>44717</v>
      </c>
      <c r="X10050" t="s">
        <v>47314</v>
      </c>
    </row>
    <row r="10051" spans="1:24">
      <c r="A10051">
        <f>HYPERLINK("https://www.philgeps.gov.ph/GEPSNONPILOT/Tender/SplashBidNoticeAbstractUI.aspx?menuIndex=3&amp;refID=7186167&amp;Result=3","7186167")</f>
        <v>0</v>
      </c>
      <c r="B10051" t="s">
        <v>1914</v>
      </c>
      <c r="C10051" t="s">
        <v>13332</v>
      </c>
      <c r="D10051" t="s">
        <v>19047</v>
      </c>
      <c r="E10051" t="s">
        <v>27672</v>
      </c>
      <c r="F10051" t="s">
        <v>32606</v>
      </c>
      <c r="G10051" t="s">
        <v>32613</v>
      </c>
      <c r="H10051" t="s">
        <v>32623</v>
      </c>
      <c r="I10051" t="s">
        <v>17648</v>
      </c>
      <c r="J10051" t="s">
        <v>38999</v>
      </c>
      <c r="K10051" t="s">
        <v>42648</v>
      </c>
      <c r="M10051" t="s">
        <v>44973</v>
      </c>
      <c r="N10051" t="s">
        <v>47304</v>
      </c>
      <c r="O10051" t="s">
        <v>47305</v>
      </c>
      <c r="P10051">
        <v>0</v>
      </c>
      <c r="Q10051">
        <v>0</v>
      </c>
      <c r="R10051" t="s">
        <v>47313</v>
      </c>
      <c r="S10051" t="s">
        <v>47535</v>
      </c>
      <c r="T10051" t="s">
        <v>49052</v>
      </c>
      <c r="U10051" t="s">
        <v>57855</v>
      </c>
      <c r="W10051" t="s">
        <v>44973</v>
      </c>
      <c r="X10051" t="s">
        <v>47314</v>
      </c>
    </row>
    <row r="10052" spans="1:24">
      <c r="A10052">
        <f>HYPERLINK("https://www.philgeps.gov.ph/GEPSNONPILOT/Tender/SplashBidNoticeAbstractUI.aspx?menuIndex=3&amp;refID=7186153&amp;Result=3","7186153")</f>
        <v>0</v>
      </c>
      <c r="B10052" t="s">
        <v>522</v>
      </c>
      <c r="C10052" t="s">
        <v>13333</v>
      </c>
      <c r="D10052" t="s">
        <v>19040</v>
      </c>
      <c r="E10052" t="s">
        <v>27673</v>
      </c>
      <c r="F10052" t="s">
        <v>32606</v>
      </c>
      <c r="G10052" t="s">
        <v>32613</v>
      </c>
      <c r="H10052" t="s">
        <v>32623</v>
      </c>
      <c r="I10052" t="s">
        <v>17648</v>
      </c>
      <c r="J10052" t="s">
        <v>39000</v>
      </c>
      <c r="K10052" t="s">
        <v>42693</v>
      </c>
      <c r="M10052" t="s">
        <v>43435</v>
      </c>
      <c r="N10052" t="s">
        <v>47304</v>
      </c>
      <c r="O10052" t="s">
        <v>47305</v>
      </c>
      <c r="P10052">
        <v>0</v>
      </c>
      <c r="Q10052">
        <v>0</v>
      </c>
      <c r="R10052" t="s">
        <v>47313</v>
      </c>
      <c r="S10052" t="s">
        <v>47535</v>
      </c>
      <c r="T10052" t="s">
        <v>49289</v>
      </c>
      <c r="U10052" t="s">
        <v>57856</v>
      </c>
      <c r="W10052" t="s">
        <v>43435</v>
      </c>
      <c r="X10052" t="s">
        <v>47314</v>
      </c>
    </row>
    <row r="10053" spans="1:24">
      <c r="A10053">
        <f>HYPERLINK("https://www.philgeps.gov.ph/GEPSNONPILOT/Tender/SplashBidNoticeAbstractUI.aspx?menuIndex=3&amp;refID=7186161&amp;Result=3","7186161")</f>
        <v>0</v>
      </c>
      <c r="B10053" t="s">
        <v>903</v>
      </c>
      <c r="C10053" t="s">
        <v>13334</v>
      </c>
      <c r="D10053" t="s">
        <v>19049</v>
      </c>
      <c r="E10053" t="s">
        <v>27674</v>
      </c>
      <c r="F10053" t="s">
        <v>32606</v>
      </c>
      <c r="G10053" t="s">
        <v>32613</v>
      </c>
      <c r="H10053" t="s">
        <v>14201</v>
      </c>
      <c r="I10053" t="s">
        <v>4678</v>
      </c>
      <c r="J10053" t="s">
        <v>39001</v>
      </c>
      <c r="K10053" t="s">
        <v>42631</v>
      </c>
      <c r="M10053" t="s">
        <v>43840</v>
      </c>
      <c r="N10053" t="s">
        <v>47304</v>
      </c>
      <c r="O10053" t="s">
        <v>47305</v>
      </c>
      <c r="P10053">
        <v>0</v>
      </c>
      <c r="Q10053">
        <v>0</v>
      </c>
      <c r="R10053" t="s">
        <v>47313</v>
      </c>
      <c r="S10053" t="s">
        <v>47535</v>
      </c>
      <c r="T10053" t="s">
        <v>49221</v>
      </c>
      <c r="U10053" t="s">
        <v>57857</v>
      </c>
      <c r="W10053" t="s">
        <v>43840</v>
      </c>
      <c r="X10053" t="s">
        <v>47314</v>
      </c>
    </row>
    <row r="10054" spans="1:24">
      <c r="A10054">
        <f>HYPERLINK("https://www.philgeps.gov.ph/GEPSNONPILOT/Tender/SplashBidNoticeAbstractUI.aspx?menuIndex=3&amp;refID=7186131&amp;Result=3","7186131")</f>
        <v>0</v>
      </c>
      <c r="B10054" t="s">
        <v>721</v>
      </c>
      <c r="C10054" t="s">
        <v>13335</v>
      </c>
      <c r="D10054" t="s">
        <v>18994</v>
      </c>
      <c r="E10054" t="s">
        <v>27675</v>
      </c>
      <c r="F10054" t="s">
        <v>32606</v>
      </c>
      <c r="G10054" t="s">
        <v>32613</v>
      </c>
      <c r="H10054" t="s">
        <v>32623</v>
      </c>
      <c r="I10054" t="s">
        <v>17648</v>
      </c>
      <c r="J10054" t="s">
        <v>39002</v>
      </c>
      <c r="K10054" t="s">
        <v>42672</v>
      </c>
      <c r="M10054" t="s">
        <v>43642</v>
      </c>
      <c r="N10054" t="s">
        <v>47304</v>
      </c>
      <c r="O10054" t="s">
        <v>47305</v>
      </c>
      <c r="P10054">
        <v>0</v>
      </c>
      <c r="Q10054">
        <v>1</v>
      </c>
      <c r="R10054" t="s">
        <v>47313</v>
      </c>
      <c r="S10054" t="s">
        <v>47535</v>
      </c>
      <c r="T10054" t="s">
        <v>49023</v>
      </c>
      <c r="U10054" t="s">
        <v>57858</v>
      </c>
      <c r="V10054" t="s">
        <v>63696</v>
      </c>
      <c r="W10054" t="s">
        <v>43642</v>
      </c>
      <c r="X10054" t="s">
        <v>47314</v>
      </c>
    </row>
    <row r="10055" spans="1:24">
      <c r="A10055">
        <f>HYPERLINK("https://www.philgeps.gov.ph/GEPSNONPILOT/Tender/SplashBidNoticeAbstractUI.aspx?menuIndex=3&amp;refID=7186147&amp;Result=3","7186147")</f>
        <v>0</v>
      </c>
      <c r="B10055" t="s">
        <v>3040</v>
      </c>
      <c r="C10055" t="s">
        <v>13336</v>
      </c>
      <c r="D10055" t="s">
        <v>19023</v>
      </c>
      <c r="E10055" t="s">
        <v>27676</v>
      </c>
      <c r="F10055" t="s">
        <v>32606</v>
      </c>
      <c r="G10055" t="s">
        <v>32613</v>
      </c>
      <c r="H10055" t="s">
        <v>14201</v>
      </c>
      <c r="I10055" t="s">
        <v>32657</v>
      </c>
      <c r="J10055" t="s">
        <v>33533</v>
      </c>
      <c r="K10055" t="s">
        <v>42631</v>
      </c>
      <c r="M10055" t="s">
        <v>46234</v>
      </c>
      <c r="N10055" t="s">
        <v>47304</v>
      </c>
      <c r="O10055" t="s">
        <v>47305</v>
      </c>
      <c r="P10055">
        <v>0</v>
      </c>
      <c r="Q10055">
        <v>0</v>
      </c>
      <c r="R10055" t="s">
        <v>47313</v>
      </c>
      <c r="S10055" t="s">
        <v>47535</v>
      </c>
      <c r="T10055" t="s">
        <v>49320</v>
      </c>
      <c r="U10055" t="s">
        <v>57763</v>
      </c>
      <c r="W10055" t="s">
        <v>46234</v>
      </c>
      <c r="X10055" t="s">
        <v>47314</v>
      </c>
    </row>
    <row r="10056" spans="1:24">
      <c r="A10056">
        <f>HYPERLINK("https://www.philgeps.gov.ph/GEPSNONPILOT/Tender/SplashBidNoticeAbstractUI.aspx?menuIndex=3&amp;refID=7186171&amp;Result=3","7186171")</f>
        <v>0</v>
      </c>
      <c r="B10056" t="s">
        <v>522</v>
      </c>
      <c r="C10056" t="s">
        <v>13337</v>
      </c>
      <c r="D10056" t="s">
        <v>19040</v>
      </c>
      <c r="E10056" t="s">
        <v>27677</v>
      </c>
      <c r="F10056" t="s">
        <v>32606</v>
      </c>
      <c r="G10056" t="s">
        <v>32613</v>
      </c>
      <c r="H10056" t="s">
        <v>32623</v>
      </c>
      <c r="I10056" t="s">
        <v>17648</v>
      </c>
      <c r="J10056" t="s">
        <v>39003</v>
      </c>
      <c r="K10056" t="s">
        <v>42695</v>
      </c>
      <c r="M10056" t="s">
        <v>43435</v>
      </c>
      <c r="N10056" t="s">
        <v>47304</v>
      </c>
      <c r="O10056" t="s">
        <v>47305</v>
      </c>
      <c r="P10056">
        <v>0</v>
      </c>
      <c r="Q10056">
        <v>0</v>
      </c>
      <c r="R10056" t="s">
        <v>47313</v>
      </c>
      <c r="S10056" t="s">
        <v>47535</v>
      </c>
      <c r="T10056" t="s">
        <v>49289</v>
      </c>
      <c r="U10056" t="s">
        <v>57859</v>
      </c>
      <c r="W10056" t="s">
        <v>43435</v>
      </c>
      <c r="X10056" t="s">
        <v>47314</v>
      </c>
    </row>
    <row r="10057" spans="1:24">
      <c r="A10057">
        <f>HYPERLINK("https://www.philgeps.gov.ph/GEPSNONPILOT/Tender/SplashBidNoticeAbstractUI.aspx?menuIndex=3&amp;refID=7186163&amp;Result=3","7186163")</f>
        <v>0</v>
      </c>
      <c r="B10057" t="s">
        <v>1851</v>
      </c>
      <c r="C10057" t="s">
        <v>13338</v>
      </c>
      <c r="D10057" t="s">
        <v>19006</v>
      </c>
      <c r="E10057" t="s">
        <v>27678</v>
      </c>
      <c r="F10057" t="s">
        <v>32606</v>
      </c>
      <c r="G10057" t="s">
        <v>32613</v>
      </c>
      <c r="H10057" t="s">
        <v>14201</v>
      </c>
      <c r="I10057" t="s">
        <v>4678</v>
      </c>
      <c r="J10057" t="s">
        <v>34709</v>
      </c>
      <c r="K10057" t="s">
        <v>42627</v>
      </c>
      <c r="M10057" t="s">
        <v>44905</v>
      </c>
      <c r="N10057" t="s">
        <v>47304</v>
      </c>
      <c r="O10057" t="s">
        <v>47305</v>
      </c>
      <c r="Q10057">
        <v>10</v>
      </c>
      <c r="R10057" t="s">
        <v>47313</v>
      </c>
      <c r="S10057" t="s">
        <v>47579</v>
      </c>
      <c r="T10057" t="s">
        <v>49234</v>
      </c>
      <c r="U10057" t="s">
        <v>57860</v>
      </c>
      <c r="W10057" t="s">
        <v>44905</v>
      </c>
      <c r="X10057" t="s">
        <v>47314</v>
      </c>
    </row>
    <row r="10058" spans="1:24">
      <c r="A10058">
        <f>HYPERLINK("https://www.philgeps.gov.ph/GEPSNONPILOT/Tender/SplashBidNoticeAbstractUI.aspx?menuIndex=3&amp;refID=7186160&amp;Result=3","7186160")</f>
        <v>0</v>
      </c>
      <c r="B10058" t="s">
        <v>1632</v>
      </c>
      <c r="C10058" t="s">
        <v>13339</v>
      </c>
      <c r="D10058" t="s">
        <v>18999</v>
      </c>
      <c r="E10058" t="s">
        <v>27679</v>
      </c>
      <c r="F10058" t="s">
        <v>32606</v>
      </c>
      <c r="G10058" t="s">
        <v>32619</v>
      </c>
      <c r="H10058" t="s">
        <v>14201</v>
      </c>
      <c r="I10058" t="s">
        <v>32633</v>
      </c>
      <c r="J10058" t="s">
        <v>33449</v>
      </c>
      <c r="K10058" t="s">
        <v>42624</v>
      </c>
      <c r="M10058" t="s">
        <v>44652</v>
      </c>
      <c r="N10058" t="s">
        <v>47304</v>
      </c>
      <c r="O10058" t="s">
        <v>47305</v>
      </c>
      <c r="P10058">
        <v>0</v>
      </c>
      <c r="Q10058">
        <v>33</v>
      </c>
      <c r="R10058" t="s">
        <v>47313</v>
      </c>
      <c r="S10058" t="s">
        <v>47535</v>
      </c>
      <c r="T10058" t="s">
        <v>49330</v>
      </c>
      <c r="U10058" t="s">
        <v>57861</v>
      </c>
      <c r="V10058" t="s">
        <v>63068</v>
      </c>
      <c r="W10058" t="s">
        <v>44652</v>
      </c>
      <c r="X10058" t="s">
        <v>47314</v>
      </c>
    </row>
    <row r="10059" spans="1:24">
      <c r="A10059">
        <f>HYPERLINK("https://www.philgeps.gov.ph/GEPSNONPILOT/Tender/SplashBidNoticeAbstractUI.aspx?menuIndex=3&amp;refID=7186109&amp;Result=3","7186109")</f>
        <v>0</v>
      </c>
      <c r="B10059" t="s">
        <v>3038</v>
      </c>
      <c r="C10059" t="s">
        <v>13340</v>
      </c>
      <c r="D10059" t="s">
        <v>19006</v>
      </c>
      <c r="E10059" t="s">
        <v>27680</v>
      </c>
      <c r="F10059" t="s">
        <v>32606</v>
      </c>
      <c r="G10059" t="s">
        <v>32613</v>
      </c>
      <c r="H10059" t="s">
        <v>32623</v>
      </c>
      <c r="I10059" t="s">
        <v>17648</v>
      </c>
      <c r="J10059" t="s">
        <v>39004</v>
      </c>
      <c r="K10059" t="s">
        <v>42837</v>
      </c>
      <c r="M10059" t="s">
        <v>46232</v>
      </c>
      <c r="N10059" t="s">
        <v>47304</v>
      </c>
      <c r="O10059" t="s">
        <v>47305</v>
      </c>
      <c r="P10059">
        <v>0</v>
      </c>
      <c r="Q10059">
        <v>2</v>
      </c>
      <c r="R10059" t="s">
        <v>47313</v>
      </c>
      <c r="S10059" t="s">
        <v>47535</v>
      </c>
      <c r="T10059" t="s">
        <v>49014</v>
      </c>
      <c r="U10059" t="s">
        <v>57862</v>
      </c>
      <c r="W10059" t="s">
        <v>46232</v>
      </c>
      <c r="X10059" t="s">
        <v>47314</v>
      </c>
    </row>
    <row r="10060" spans="1:24">
      <c r="A10060">
        <f>HYPERLINK("https://www.philgeps.gov.ph/GEPSNONPILOT/Tender/SplashBidNoticeAbstractUI.aspx?menuIndex=3&amp;refID=7186106&amp;Result=3","7186106")</f>
        <v>0</v>
      </c>
      <c r="B10060" t="s">
        <v>1914</v>
      </c>
      <c r="C10060" t="s">
        <v>13341</v>
      </c>
      <c r="D10060" t="s">
        <v>19047</v>
      </c>
      <c r="E10060" t="s">
        <v>27681</v>
      </c>
      <c r="F10060" t="s">
        <v>32606</v>
      </c>
      <c r="G10060" t="s">
        <v>32613</v>
      </c>
      <c r="H10060" t="s">
        <v>32623</v>
      </c>
      <c r="I10060" t="s">
        <v>17648</v>
      </c>
      <c r="J10060" t="s">
        <v>39005</v>
      </c>
      <c r="K10060" t="s">
        <v>42695</v>
      </c>
      <c r="M10060" t="s">
        <v>44973</v>
      </c>
      <c r="N10060" t="s">
        <v>47304</v>
      </c>
      <c r="O10060" t="s">
        <v>47305</v>
      </c>
      <c r="P10060">
        <v>0</v>
      </c>
      <c r="Q10060">
        <v>0</v>
      </c>
      <c r="R10060" t="s">
        <v>47313</v>
      </c>
      <c r="S10060" t="s">
        <v>47535</v>
      </c>
      <c r="T10060" t="s">
        <v>49052</v>
      </c>
      <c r="U10060" t="s">
        <v>57863</v>
      </c>
      <c r="W10060" t="s">
        <v>44973</v>
      </c>
      <c r="X10060" t="s">
        <v>47314</v>
      </c>
    </row>
    <row r="10061" spans="1:24">
      <c r="A10061">
        <f>HYPERLINK("https://www.philgeps.gov.ph/GEPSNONPILOT/Tender/SplashBidNoticeAbstractUI.aspx?menuIndex=3&amp;refID=7186105&amp;Result=3","7186105")</f>
        <v>0</v>
      </c>
      <c r="B10061" t="s">
        <v>748</v>
      </c>
      <c r="C10061" t="s">
        <v>13342</v>
      </c>
      <c r="D10061" t="s">
        <v>18993</v>
      </c>
      <c r="E10061" t="s">
        <v>27682</v>
      </c>
      <c r="F10061" t="s">
        <v>32606</v>
      </c>
      <c r="G10061" t="s">
        <v>32614</v>
      </c>
      <c r="H10061" t="s">
        <v>14201</v>
      </c>
      <c r="I10061" t="s">
        <v>32640</v>
      </c>
      <c r="J10061" t="s">
        <v>33526</v>
      </c>
      <c r="K10061" t="s">
        <v>42623</v>
      </c>
      <c r="M10061" t="s">
        <v>43671</v>
      </c>
      <c r="N10061" t="s">
        <v>47304</v>
      </c>
      <c r="O10061" t="s">
        <v>47305</v>
      </c>
      <c r="P10061">
        <v>0</v>
      </c>
      <c r="Q10061">
        <v>3</v>
      </c>
      <c r="R10061" t="s">
        <v>47313</v>
      </c>
      <c r="S10061" t="s">
        <v>47535</v>
      </c>
      <c r="T10061" t="s">
        <v>49268</v>
      </c>
      <c r="U10061" t="s">
        <v>57864</v>
      </c>
      <c r="V10061" t="s">
        <v>62818</v>
      </c>
      <c r="W10061" t="s">
        <v>43671</v>
      </c>
      <c r="X10061" t="s">
        <v>47314</v>
      </c>
    </row>
    <row r="10062" spans="1:24">
      <c r="A10062">
        <f>HYPERLINK("https://www.philgeps.gov.ph/GEPSNONPILOT/Tender/SplashBidNoticeAbstractUI.aspx?menuIndex=3&amp;refID=7186253&amp;Result=3","7186253")</f>
        <v>0</v>
      </c>
      <c r="B10062" t="s">
        <v>3041</v>
      </c>
      <c r="C10062" t="s">
        <v>13343</v>
      </c>
      <c r="D10062" t="s">
        <v>19060</v>
      </c>
      <c r="E10062" t="s">
        <v>27683</v>
      </c>
      <c r="F10062" t="s">
        <v>32606</v>
      </c>
      <c r="G10062" t="s">
        <v>32617</v>
      </c>
      <c r="H10062" t="s">
        <v>14201</v>
      </c>
      <c r="I10062" t="s">
        <v>4678</v>
      </c>
      <c r="J10062" t="s">
        <v>33302</v>
      </c>
      <c r="K10062" t="s">
        <v>42624</v>
      </c>
      <c r="M10062" t="s">
        <v>46235</v>
      </c>
      <c r="N10062" t="s">
        <v>47304</v>
      </c>
      <c r="O10062" t="s">
        <v>47305</v>
      </c>
      <c r="P10062">
        <v>0</v>
      </c>
      <c r="Q10062">
        <v>0</v>
      </c>
      <c r="R10062" t="s">
        <v>47313</v>
      </c>
      <c r="S10062" t="s">
        <v>47535</v>
      </c>
      <c r="T10062" t="s">
        <v>49414</v>
      </c>
      <c r="U10062" t="s">
        <v>57865</v>
      </c>
      <c r="W10062" t="s">
        <v>46235</v>
      </c>
      <c r="X10062" t="s">
        <v>47314</v>
      </c>
    </row>
    <row r="10063" spans="1:24">
      <c r="A10063">
        <f>HYPERLINK("https://www.philgeps.gov.ph/GEPSNONPILOT/Tender/SplashBidNoticeAbstractUI.aspx?menuIndex=3&amp;refID=7186250&amp;Result=3","7186250")</f>
        <v>0</v>
      </c>
      <c r="B10063" t="s">
        <v>745</v>
      </c>
      <c r="C10063" t="s">
        <v>13344</v>
      </c>
      <c r="D10063" t="s">
        <v>19043</v>
      </c>
      <c r="E10063" t="s">
        <v>27684</v>
      </c>
      <c r="F10063" t="s">
        <v>32606</v>
      </c>
      <c r="G10063" t="s">
        <v>32613</v>
      </c>
      <c r="H10063" t="s">
        <v>14201</v>
      </c>
      <c r="I10063" t="s">
        <v>6931</v>
      </c>
      <c r="J10063" t="s">
        <v>39006</v>
      </c>
      <c r="K10063" t="s">
        <v>42622</v>
      </c>
      <c r="M10063" t="s">
        <v>43668</v>
      </c>
      <c r="N10063" t="s">
        <v>47304</v>
      </c>
      <c r="O10063" t="s">
        <v>47305</v>
      </c>
      <c r="Q10063">
        <v>0</v>
      </c>
      <c r="R10063" t="s">
        <v>47313</v>
      </c>
      <c r="S10063" t="s">
        <v>47580</v>
      </c>
      <c r="T10063" t="s">
        <v>49160</v>
      </c>
      <c r="U10063" t="s">
        <v>57866</v>
      </c>
      <c r="W10063" t="s">
        <v>43668</v>
      </c>
      <c r="X10063" t="s">
        <v>47314</v>
      </c>
    </row>
    <row r="10064" spans="1:24">
      <c r="A10064">
        <f>HYPERLINK("https://www.philgeps.gov.ph/GEPSNONPILOT/Tender/SplashBidNoticeAbstractUI.aspx?menuIndex=3&amp;refID=7186110&amp;Result=3","7186110")</f>
        <v>0</v>
      </c>
      <c r="B10064" t="s">
        <v>3058</v>
      </c>
      <c r="C10064" t="s">
        <v>13345</v>
      </c>
      <c r="D10064" t="s">
        <v>19029</v>
      </c>
      <c r="E10064" t="s">
        <v>27685</v>
      </c>
      <c r="F10064" t="s">
        <v>32606</v>
      </c>
      <c r="G10064" t="s">
        <v>32613</v>
      </c>
      <c r="H10064" t="s">
        <v>14201</v>
      </c>
      <c r="I10064" t="s">
        <v>9013</v>
      </c>
      <c r="J10064" t="s">
        <v>39007</v>
      </c>
      <c r="K10064" t="s">
        <v>42639</v>
      </c>
      <c r="M10064" t="s">
        <v>46255</v>
      </c>
      <c r="N10064" t="s">
        <v>47304</v>
      </c>
      <c r="O10064" t="s">
        <v>47305</v>
      </c>
      <c r="P10064">
        <v>0</v>
      </c>
      <c r="Q10064">
        <v>0</v>
      </c>
      <c r="R10064" t="s">
        <v>47313</v>
      </c>
      <c r="S10064" t="s">
        <v>47535</v>
      </c>
      <c r="T10064" t="s">
        <v>49257</v>
      </c>
      <c r="U10064" t="s">
        <v>57867</v>
      </c>
      <c r="W10064" t="s">
        <v>46255</v>
      </c>
      <c r="X10064" t="s">
        <v>47314</v>
      </c>
    </row>
    <row r="10065" spans="1:24">
      <c r="A10065">
        <f>HYPERLINK("https://www.philgeps.gov.ph/GEPSNONPILOT/Tender/SplashBidNoticeAbstractUI.aspx?menuIndex=3&amp;refID=7186134&amp;Result=3","7186134")</f>
        <v>0</v>
      </c>
      <c r="B10065" t="s">
        <v>1914</v>
      </c>
      <c r="C10065" t="s">
        <v>13346</v>
      </c>
      <c r="D10065" t="s">
        <v>19047</v>
      </c>
      <c r="E10065" t="s">
        <v>27686</v>
      </c>
      <c r="F10065" t="s">
        <v>32606</v>
      </c>
      <c r="G10065" t="s">
        <v>32613</v>
      </c>
      <c r="H10065" t="s">
        <v>32623</v>
      </c>
      <c r="I10065" t="s">
        <v>17648</v>
      </c>
      <c r="J10065" t="s">
        <v>39008</v>
      </c>
      <c r="K10065" t="s">
        <v>42718</v>
      </c>
      <c r="M10065" t="s">
        <v>44973</v>
      </c>
      <c r="N10065" t="s">
        <v>47304</v>
      </c>
      <c r="O10065" t="s">
        <v>47305</v>
      </c>
      <c r="P10065">
        <v>0</v>
      </c>
      <c r="Q10065">
        <v>0</v>
      </c>
      <c r="R10065" t="s">
        <v>47313</v>
      </c>
      <c r="S10065" t="s">
        <v>47535</v>
      </c>
      <c r="T10065" t="s">
        <v>49052</v>
      </c>
      <c r="U10065" t="s">
        <v>57868</v>
      </c>
      <c r="W10065" t="s">
        <v>44973</v>
      </c>
      <c r="X10065" t="s">
        <v>47314</v>
      </c>
    </row>
    <row r="10066" spans="1:24">
      <c r="A10066">
        <f>HYPERLINK("https://www.philgeps.gov.ph/GEPSNONPILOT/Tender/SplashBidNoticeAbstractUI.aspx?menuIndex=3&amp;refID=7186249&amp;Result=3","7186249")</f>
        <v>0</v>
      </c>
      <c r="B10066" t="s">
        <v>903</v>
      </c>
      <c r="C10066" t="s">
        <v>13347</v>
      </c>
      <c r="D10066" t="s">
        <v>19049</v>
      </c>
      <c r="E10066" t="s">
        <v>13347</v>
      </c>
      <c r="F10066" t="s">
        <v>32606</v>
      </c>
      <c r="G10066" t="s">
        <v>32613</v>
      </c>
      <c r="H10066" t="s">
        <v>14201</v>
      </c>
      <c r="I10066" t="s">
        <v>4112</v>
      </c>
      <c r="J10066" t="s">
        <v>39009</v>
      </c>
      <c r="K10066" t="s">
        <v>42631</v>
      </c>
      <c r="M10066" t="s">
        <v>43840</v>
      </c>
      <c r="N10066" t="s">
        <v>47304</v>
      </c>
      <c r="O10066" t="s">
        <v>47305</v>
      </c>
      <c r="P10066">
        <v>0</v>
      </c>
      <c r="Q10066">
        <v>0</v>
      </c>
      <c r="R10066" t="s">
        <v>47313</v>
      </c>
      <c r="S10066" t="s">
        <v>47535</v>
      </c>
      <c r="T10066" t="s">
        <v>49221</v>
      </c>
      <c r="U10066" t="s">
        <v>57869</v>
      </c>
      <c r="W10066" t="s">
        <v>43840</v>
      </c>
      <c r="X10066" t="s">
        <v>47314</v>
      </c>
    </row>
    <row r="10067" spans="1:24">
      <c r="A10067">
        <f>HYPERLINK("https://www.philgeps.gov.ph/GEPSNONPILOT/Tender/SplashBidNoticeAbstractUI.aspx?menuIndex=3&amp;refID=7186152&amp;Result=3","7186152")</f>
        <v>0</v>
      </c>
      <c r="B10067" t="s">
        <v>457</v>
      </c>
      <c r="C10067" t="s">
        <v>13348</v>
      </c>
      <c r="D10067" t="s">
        <v>18992</v>
      </c>
      <c r="E10067" t="s">
        <v>27687</v>
      </c>
      <c r="F10067" t="s">
        <v>32606</v>
      </c>
      <c r="G10067" t="s">
        <v>32613</v>
      </c>
      <c r="H10067" t="s">
        <v>32623</v>
      </c>
      <c r="I10067" t="s">
        <v>17648</v>
      </c>
      <c r="J10067" t="s">
        <v>39010</v>
      </c>
      <c r="K10067" t="s">
        <v>42624</v>
      </c>
      <c r="M10067" t="s">
        <v>43367</v>
      </c>
      <c r="N10067" t="s">
        <v>47304</v>
      </c>
      <c r="O10067" t="s">
        <v>47305</v>
      </c>
      <c r="P10067">
        <v>0</v>
      </c>
      <c r="Q10067">
        <v>3</v>
      </c>
      <c r="R10067" t="s">
        <v>47313</v>
      </c>
      <c r="S10067" t="s">
        <v>47535</v>
      </c>
      <c r="T10067" t="s">
        <v>49234</v>
      </c>
      <c r="U10067" t="s">
        <v>57870</v>
      </c>
      <c r="W10067" t="s">
        <v>43367</v>
      </c>
      <c r="X10067" t="s">
        <v>47314</v>
      </c>
    </row>
    <row r="10068" spans="1:24">
      <c r="A10068">
        <f>HYPERLINK("https://www.philgeps.gov.ph/GEPSNONPILOT/Tender/SplashBidNoticeAbstractUI.aspx?menuIndex=3&amp;refID=7186240&amp;Result=3","7186240")</f>
        <v>0</v>
      </c>
      <c r="B10068" t="s">
        <v>3031</v>
      </c>
      <c r="C10068" t="s">
        <v>13349</v>
      </c>
      <c r="D10068" t="s">
        <v>19003</v>
      </c>
      <c r="E10068" t="s">
        <v>27688</v>
      </c>
      <c r="F10068" t="s">
        <v>32606</v>
      </c>
      <c r="G10068" t="s">
        <v>32613</v>
      </c>
      <c r="H10068" t="s">
        <v>14201</v>
      </c>
      <c r="I10068" t="s">
        <v>32661</v>
      </c>
      <c r="J10068" t="s">
        <v>32824</v>
      </c>
      <c r="K10068" t="s">
        <v>42623</v>
      </c>
      <c r="M10068" t="s">
        <v>46224</v>
      </c>
      <c r="N10068" t="s">
        <v>47304</v>
      </c>
      <c r="O10068" t="s">
        <v>47305</v>
      </c>
      <c r="P10068">
        <v>0</v>
      </c>
      <c r="Q10068">
        <v>6</v>
      </c>
      <c r="R10068" t="s">
        <v>47313</v>
      </c>
      <c r="S10068" t="s">
        <v>47535</v>
      </c>
      <c r="T10068" t="s">
        <v>49052</v>
      </c>
      <c r="U10068" t="s">
        <v>57871</v>
      </c>
      <c r="V10068" t="s">
        <v>63687</v>
      </c>
      <c r="W10068" t="s">
        <v>46224</v>
      </c>
      <c r="X10068" t="s">
        <v>47314</v>
      </c>
    </row>
    <row r="10069" spans="1:24">
      <c r="A10069">
        <f>HYPERLINK("https://www.philgeps.gov.ph/GEPSNONPILOT/Tender/SplashBidNoticeAbstractUI.aspx?menuIndex=3&amp;refID=7186236&amp;Result=3","7186236")</f>
        <v>0</v>
      </c>
      <c r="B10069" t="s">
        <v>3073</v>
      </c>
      <c r="C10069" t="s">
        <v>13350</v>
      </c>
      <c r="D10069" t="s">
        <v>19004</v>
      </c>
      <c r="E10069" t="s">
        <v>20131</v>
      </c>
      <c r="F10069" t="s">
        <v>32606</v>
      </c>
      <c r="G10069" t="s">
        <v>32613</v>
      </c>
      <c r="H10069" t="s">
        <v>32623</v>
      </c>
      <c r="I10069" t="s">
        <v>17648</v>
      </c>
      <c r="J10069" t="s">
        <v>39011</v>
      </c>
      <c r="K10069" t="s">
        <v>42646</v>
      </c>
      <c r="M10069" t="s">
        <v>46272</v>
      </c>
      <c r="N10069" t="s">
        <v>47304</v>
      </c>
      <c r="O10069" t="s">
        <v>47305</v>
      </c>
      <c r="P10069">
        <v>0</v>
      </c>
      <c r="Q10069">
        <v>4</v>
      </c>
      <c r="R10069" t="s">
        <v>47313</v>
      </c>
      <c r="S10069" t="s">
        <v>47535</v>
      </c>
      <c r="T10069" t="s">
        <v>48997</v>
      </c>
      <c r="U10069" t="s">
        <v>57872</v>
      </c>
      <c r="W10069" t="s">
        <v>46272</v>
      </c>
      <c r="X10069" t="s">
        <v>47314</v>
      </c>
    </row>
    <row r="10070" spans="1:24">
      <c r="A10070">
        <f>HYPERLINK("https://www.philgeps.gov.ph/GEPSNONPILOT/Tender/SplashBidNoticeAbstractUI.aspx?menuIndex=3&amp;refID=7186111&amp;Result=3","7186111")</f>
        <v>0</v>
      </c>
      <c r="B10070" t="s">
        <v>522</v>
      </c>
      <c r="C10070" t="s">
        <v>9982</v>
      </c>
      <c r="D10070" t="s">
        <v>19040</v>
      </c>
      <c r="E10070" t="s">
        <v>27689</v>
      </c>
      <c r="F10070" t="s">
        <v>32606</v>
      </c>
      <c r="G10070" t="s">
        <v>32613</v>
      </c>
      <c r="H10070" t="s">
        <v>32623</v>
      </c>
      <c r="I10070" t="s">
        <v>17648</v>
      </c>
      <c r="J10070" t="s">
        <v>33449</v>
      </c>
      <c r="K10070" t="s">
        <v>42631</v>
      </c>
      <c r="M10070" t="s">
        <v>43435</v>
      </c>
      <c r="N10070" t="s">
        <v>47304</v>
      </c>
      <c r="O10070" t="s">
        <v>47305</v>
      </c>
      <c r="P10070">
        <v>0</v>
      </c>
      <c r="Q10070">
        <v>0</v>
      </c>
      <c r="R10070" t="s">
        <v>47313</v>
      </c>
      <c r="S10070" t="s">
        <v>47535</v>
      </c>
      <c r="T10070" t="s">
        <v>49289</v>
      </c>
      <c r="U10070" t="s">
        <v>57873</v>
      </c>
      <c r="W10070" t="s">
        <v>43435</v>
      </c>
      <c r="X10070" t="s">
        <v>47314</v>
      </c>
    </row>
    <row r="10071" spans="1:24">
      <c r="A10071">
        <f>HYPERLINK("https://www.philgeps.gov.ph/GEPSNONPILOT/Tender/SplashBidNoticeAbstractUI.aspx?menuIndex=3&amp;refID=7186225&amp;Result=3","7186225")</f>
        <v>0</v>
      </c>
      <c r="B10071" t="s">
        <v>1450</v>
      </c>
      <c r="C10071" t="s">
        <v>13351</v>
      </c>
      <c r="D10071" t="s">
        <v>19002</v>
      </c>
      <c r="E10071" t="s">
        <v>22641</v>
      </c>
      <c r="F10071" t="s">
        <v>32606</v>
      </c>
      <c r="G10071" t="s">
        <v>32614</v>
      </c>
      <c r="H10071" t="s">
        <v>32624</v>
      </c>
      <c r="I10071" t="s">
        <v>32675</v>
      </c>
      <c r="J10071" t="s">
        <v>39012</v>
      </c>
      <c r="K10071" t="s">
        <v>42627</v>
      </c>
      <c r="M10071" t="s">
        <v>44441</v>
      </c>
      <c r="N10071" t="s">
        <v>47304</v>
      </c>
      <c r="O10071" t="s">
        <v>47305</v>
      </c>
      <c r="P10071">
        <v>0</v>
      </c>
      <c r="Q10071">
        <v>3</v>
      </c>
      <c r="R10071" t="s">
        <v>47313</v>
      </c>
      <c r="S10071" t="s">
        <v>47535</v>
      </c>
      <c r="T10071" t="s">
        <v>49330</v>
      </c>
      <c r="U10071" t="s">
        <v>57874</v>
      </c>
      <c r="W10071" t="s">
        <v>44441</v>
      </c>
      <c r="X10071" t="s">
        <v>47314</v>
      </c>
    </row>
    <row r="10072" spans="1:24">
      <c r="A10072">
        <f>HYPERLINK("https://www.philgeps.gov.ph/GEPSNONPILOT/Tender/SplashBidNoticeAbstractUI.aspx?menuIndex=3&amp;refID=7186149&amp;Result=3","7186149")</f>
        <v>0</v>
      </c>
      <c r="B10072" t="s">
        <v>1841</v>
      </c>
      <c r="C10072" t="s">
        <v>13352</v>
      </c>
      <c r="D10072" t="s">
        <v>19033</v>
      </c>
      <c r="E10072" t="s">
        <v>27690</v>
      </c>
      <c r="F10072" t="s">
        <v>32606</v>
      </c>
      <c r="G10072" t="s">
        <v>32613</v>
      </c>
      <c r="H10072" t="s">
        <v>14201</v>
      </c>
      <c r="I10072" t="s">
        <v>6931</v>
      </c>
      <c r="J10072" t="s">
        <v>39013</v>
      </c>
      <c r="K10072" t="s">
        <v>42623</v>
      </c>
      <c r="M10072" t="s">
        <v>44894</v>
      </c>
      <c r="N10072" t="s">
        <v>47304</v>
      </c>
      <c r="O10072" t="s">
        <v>47305</v>
      </c>
      <c r="P10072">
        <v>0</v>
      </c>
      <c r="Q10072">
        <v>0</v>
      </c>
      <c r="R10072" t="s">
        <v>47313</v>
      </c>
      <c r="S10072" t="s">
        <v>47535</v>
      </c>
      <c r="T10072" t="s">
        <v>49068</v>
      </c>
      <c r="U10072" t="s">
        <v>57875</v>
      </c>
      <c r="W10072" t="s">
        <v>44894</v>
      </c>
      <c r="X10072" t="s">
        <v>47314</v>
      </c>
    </row>
    <row r="10073" spans="1:24">
      <c r="A10073">
        <f>HYPERLINK("https://www.philgeps.gov.ph/GEPSNONPILOT/Tender/SplashBidNoticeAbstractUI.aspx?menuIndex=3&amp;refID=7186222&amp;Result=3","7186222")</f>
        <v>0</v>
      </c>
      <c r="B10073" t="s">
        <v>3074</v>
      </c>
      <c r="C10073" t="s">
        <v>13353</v>
      </c>
      <c r="D10073" t="s">
        <v>19024</v>
      </c>
      <c r="E10073" t="s">
        <v>27691</v>
      </c>
      <c r="F10073" t="s">
        <v>32606</v>
      </c>
      <c r="G10073" t="s">
        <v>32614</v>
      </c>
      <c r="H10073" t="s">
        <v>14201</v>
      </c>
      <c r="I10073" t="s">
        <v>6931</v>
      </c>
      <c r="J10073" t="s">
        <v>39014</v>
      </c>
      <c r="K10073" t="s">
        <v>42630</v>
      </c>
      <c r="M10073" t="s">
        <v>46273</v>
      </c>
      <c r="N10073" t="s">
        <v>47304</v>
      </c>
      <c r="O10073" t="s">
        <v>47305</v>
      </c>
      <c r="P10073">
        <v>0</v>
      </c>
      <c r="Q10073">
        <v>1</v>
      </c>
      <c r="R10073" t="s">
        <v>47313</v>
      </c>
      <c r="S10073" t="s">
        <v>47535</v>
      </c>
      <c r="T10073" t="s">
        <v>49267</v>
      </c>
      <c r="U10073" t="s">
        <v>57876</v>
      </c>
      <c r="W10073" t="s">
        <v>46273</v>
      </c>
      <c r="X10073" t="s">
        <v>47314</v>
      </c>
    </row>
    <row r="10074" spans="1:24">
      <c r="A10074">
        <f>HYPERLINK("https://www.philgeps.gov.ph/GEPSNONPILOT/Tender/SplashBidNoticeAbstractUI.aspx?menuIndex=3&amp;refID=7186218&amp;Result=3","7186218")</f>
        <v>0</v>
      </c>
      <c r="B10074" t="s">
        <v>3064</v>
      </c>
      <c r="C10074" t="s">
        <v>13354</v>
      </c>
      <c r="D10074" t="s">
        <v>19008</v>
      </c>
      <c r="E10074" t="s">
        <v>27692</v>
      </c>
      <c r="F10074" t="s">
        <v>32606</v>
      </c>
      <c r="G10074" t="s">
        <v>32614</v>
      </c>
      <c r="H10074" t="s">
        <v>14201</v>
      </c>
      <c r="I10074" t="s">
        <v>4114</v>
      </c>
      <c r="J10074" t="s">
        <v>39015</v>
      </c>
      <c r="K10074" t="s">
        <v>42623</v>
      </c>
      <c r="M10074" t="s">
        <v>46263</v>
      </c>
      <c r="N10074" t="s">
        <v>47304</v>
      </c>
      <c r="O10074" t="s">
        <v>47305</v>
      </c>
      <c r="P10074">
        <v>0</v>
      </c>
      <c r="Q10074">
        <v>5</v>
      </c>
      <c r="R10074" t="s">
        <v>47313</v>
      </c>
      <c r="S10074" t="s">
        <v>47535</v>
      </c>
      <c r="T10074" t="s">
        <v>49331</v>
      </c>
      <c r="U10074" t="s">
        <v>57877</v>
      </c>
      <c r="W10074" t="s">
        <v>46263</v>
      </c>
      <c r="X10074" t="s">
        <v>47314</v>
      </c>
    </row>
    <row r="10075" spans="1:24">
      <c r="A10075">
        <f>HYPERLINK("https://www.philgeps.gov.ph/GEPSNONPILOT/Tender/SplashBidNoticeAbstractUI.aspx?menuIndex=3&amp;refID=7186233&amp;Result=3","7186233")</f>
        <v>0</v>
      </c>
      <c r="B10075" t="s">
        <v>522</v>
      </c>
      <c r="C10075" t="s">
        <v>13355</v>
      </c>
      <c r="D10075" t="s">
        <v>19040</v>
      </c>
      <c r="E10075" t="s">
        <v>27693</v>
      </c>
      <c r="F10075" t="s">
        <v>32606</v>
      </c>
      <c r="G10075" t="s">
        <v>32613</v>
      </c>
      <c r="H10075" t="s">
        <v>32623</v>
      </c>
      <c r="I10075" t="s">
        <v>17648</v>
      </c>
      <c r="J10075" t="s">
        <v>32821</v>
      </c>
      <c r="K10075" t="s">
        <v>42669</v>
      </c>
      <c r="M10075" t="s">
        <v>43435</v>
      </c>
      <c r="N10075" t="s">
        <v>47304</v>
      </c>
      <c r="O10075" t="s">
        <v>47305</v>
      </c>
      <c r="P10075">
        <v>0</v>
      </c>
      <c r="Q10075">
        <v>0</v>
      </c>
      <c r="R10075" t="s">
        <v>47313</v>
      </c>
      <c r="S10075" t="s">
        <v>47535</v>
      </c>
      <c r="T10075" t="s">
        <v>49439</v>
      </c>
      <c r="U10075" t="s">
        <v>57878</v>
      </c>
      <c r="W10075" t="s">
        <v>43435</v>
      </c>
      <c r="X10075" t="s">
        <v>47314</v>
      </c>
    </row>
    <row r="10076" spans="1:24">
      <c r="A10076">
        <f>HYPERLINK("https://www.philgeps.gov.ph/GEPSNONPILOT/Tender/SplashBidNoticeAbstractUI.aspx?menuIndex=3&amp;refID=7186228&amp;Result=3","7186228")</f>
        <v>0</v>
      </c>
      <c r="B10076" t="s">
        <v>648</v>
      </c>
      <c r="C10076" t="s">
        <v>13356</v>
      </c>
      <c r="D10076" t="s">
        <v>19059</v>
      </c>
      <c r="E10076" t="s">
        <v>27694</v>
      </c>
      <c r="F10076" t="s">
        <v>32606</v>
      </c>
      <c r="G10076" t="s">
        <v>32613</v>
      </c>
      <c r="H10076" t="s">
        <v>14201</v>
      </c>
      <c r="I10076" t="s">
        <v>6931</v>
      </c>
      <c r="J10076" t="s">
        <v>33034</v>
      </c>
      <c r="K10076" t="s">
        <v>42639</v>
      </c>
      <c r="M10076" t="s">
        <v>43566</v>
      </c>
      <c r="N10076" t="s">
        <v>47304</v>
      </c>
      <c r="O10076" t="s">
        <v>47305</v>
      </c>
      <c r="P10076">
        <v>0</v>
      </c>
      <c r="Q10076">
        <v>0</v>
      </c>
      <c r="R10076" t="s">
        <v>47313</v>
      </c>
      <c r="S10076" t="s">
        <v>47535</v>
      </c>
      <c r="T10076" t="s">
        <v>49020</v>
      </c>
      <c r="U10076" t="s">
        <v>57879</v>
      </c>
      <c r="W10076" t="s">
        <v>43566</v>
      </c>
      <c r="X10076" t="s">
        <v>47314</v>
      </c>
    </row>
    <row r="10077" spans="1:24">
      <c r="A10077">
        <f>HYPERLINK("https://www.philgeps.gov.ph/GEPSNONPILOT/Tender/SplashBidNoticeAbstractUI.aspx?menuIndex=3&amp;refID=7186217&amp;Result=3","7186217")</f>
        <v>0</v>
      </c>
      <c r="B10077" t="s">
        <v>2538</v>
      </c>
      <c r="C10077" t="s">
        <v>13357</v>
      </c>
      <c r="D10077" t="s">
        <v>18986</v>
      </c>
      <c r="E10077" t="s">
        <v>21753</v>
      </c>
      <c r="F10077" t="s">
        <v>32606</v>
      </c>
      <c r="G10077" t="s">
        <v>32613</v>
      </c>
      <c r="H10077" t="s">
        <v>14201</v>
      </c>
      <c r="I10077" t="s">
        <v>13131</v>
      </c>
      <c r="J10077" t="s">
        <v>34076</v>
      </c>
      <c r="K10077" t="s">
        <v>42677</v>
      </c>
      <c r="M10077" t="s">
        <v>45678</v>
      </c>
      <c r="N10077" t="s">
        <v>47304</v>
      </c>
      <c r="O10077" t="s">
        <v>47305</v>
      </c>
      <c r="P10077">
        <v>0</v>
      </c>
      <c r="Q10077">
        <v>1</v>
      </c>
      <c r="R10077" t="s">
        <v>47313</v>
      </c>
      <c r="S10077" t="s">
        <v>47535</v>
      </c>
      <c r="T10077" t="s">
        <v>49440</v>
      </c>
      <c r="U10077" t="s">
        <v>57880</v>
      </c>
      <c r="V10077" t="s">
        <v>63709</v>
      </c>
      <c r="W10077" t="s">
        <v>45678</v>
      </c>
      <c r="X10077" t="s">
        <v>47314</v>
      </c>
    </row>
    <row r="10078" spans="1:24">
      <c r="A10078">
        <f>HYPERLINK("https://www.philgeps.gov.ph/GEPSNONPILOT/Tender/SplashBidNoticeAbstractUI.aspx?menuIndex=3&amp;refID=7186213&amp;Result=3","7186213")</f>
        <v>0</v>
      </c>
      <c r="B10078" t="s">
        <v>3075</v>
      </c>
      <c r="C10078" t="s">
        <v>13358</v>
      </c>
      <c r="D10078" t="s">
        <v>19033</v>
      </c>
      <c r="E10078" t="s">
        <v>27695</v>
      </c>
      <c r="F10078" t="s">
        <v>32606</v>
      </c>
      <c r="G10078" t="s">
        <v>32613</v>
      </c>
      <c r="H10078" t="s">
        <v>14201</v>
      </c>
      <c r="I10078" t="s">
        <v>4369</v>
      </c>
      <c r="J10078" t="s">
        <v>39016</v>
      </c>
      <c r="K10078" t="s">
        <v>42622</v>
      </c>
      <c r="M10078" t="s">
        <v>46274</v>
      </c>
      <c r="N10078" t="s">
        <v>47304</v>
      </c>
      <c r="O10078" t="s">
        <v>47305</v>
      </c>
      <c r="P10078">
        <v>0</v>
      </c>
      <c r="Q10078">
        <v>9</v>
      </c>
      <c r="R10078" t="s">
        <v>47313</v>
      </c>
      <c r="S10078" t="s">
        <v>47535</v>
      </c>
      <c r="T10078" t="s">
        <v>49020</v>
      </c>
      <c r="U10078" t="s">
        <v>57881</v>
      </c>
      <c r="W10078" t="s">
        <v>64526</v>
      </c>
      <c r="X10078" t="s">
        <v>47314</v>
      </c>
    </row>
    <row r="10079" spans="1:24">
      <c r="A10079">
        <f>HYPERLINK("https://www.philgeps.gov.ph/GEPSNONPILOT/Tender/SplashBidNoticeAbstractUI.aspx?menuIndex=3&amp;refID=7186209&amp;Result=3","7186209")</f>
        <v>0</v>
      </c>
      <c r="B10079" t="s">
        <v>1914</v>
      </c>
      <c r="C10079" t="s">
        <v>13359</v>
      </c>
      <c r="D10079" t="s">
        <v>19047</v>
      </c>
      <c r="E10079" t="s">
        <v>27696</v>
      </c>
      <c r="F10079" t="s">
        <v>32606</v>
      </c>
      <c r="G10079" t="s">
        <v>32613</v>
      </c>
      <c r="H10079" t="s">
        <v>32623</v>
      </c>
      <c r="I10079" t="s">
        <v>17648</v>
      </c>
      <c r="J10079" t="s">
        <v>39017</v>
      </c>
      <c r="K10079" t="s">
        <v>42623</v>
      </c>
      <c r="M10079" t="s">
        <v>44973</v>
      </c>
      <c r="N10079" t="s">
        <v>47304</v>
      </c>
      <c r="O10079" t="s">
        <v>47305</v>
      </c>
      <c r="P10079">
        <v>0</v>
      </c>
      <c r="Q10079">
        <v>0</v>
      </c>
      <c r="R10079" t="s">
        <v>47313</v>
      </c>
      <c r="S10079" t="s">
        <v>47535</v>
      </c>
      <c r="T10079" t="s">
        <v>49052</v>
      </c>
      <c r="U10079" t="s">
        <v>57882</v>
      </c>
      <c r="W10079" t="s">
        <v>44973</v>
      </c>
      <c r="X10079" t="s">
        <v>47314</v>
      </c>
    </row>
    <row r="10080" spans="1:24">
      <c r="A10080">
        <f>HYPERLINK("https://www.philgeps.gov.ph/GEPSNONPILOT/Tender/SplashBidNoticeAbstractUI.aspx?menuIndex=3&amp;refID=7186206&amp;Result=3","7186206")</f>
        <v>0</v>
      </c>
      <c r="B10080" t="s">
        <v>2422</v>
      </c>
      <c r="C10080" t="s">
        <v>13360</v>
      </c>
      <c r="D10080" t="s">
        <v>19050</v>
      </c>
      <c r="E10080" t="s">
        <v>27697</v>
      </c>
      <c r="F10080" t="s">
        <v>32606</v>
      </c>
      <c r="G10080" t="s">
        <v>32614</v>
      </c>
      <c r="H10080" t="s">
        <v>32623</v>
      </c>
      <c r="I10080" t="s">
        <v>17648</v>
      </c>
      <c r="J10080" t="s">
        <v>39018</v>
      </c>
      <c r="K10080" t="s">
        <v>42636</v>
      </c>
      <c r="M10080" t="s">
        <v>45548</v>
      </c>
      <c r="N10080" t="s">
        <v>47304</v>
      </c>
      <c r="O10080" t="s">
        <v>47305</v>
      </c>
      <c r="P10080">
        <v>0</v>
      </c>
      <c r="Q10080">
        <v>3</v>
      </c>
      <c r="R10080" t="s">
        <v>47313</v>
      </c>
      <c r="S10080" t="s">
        <v>47535</v>
      </c>
      <c r="T10080" t="s">
        <v>49268</v>
      </c>
      <c r="U10080" t="s">
        <v>57883</v>
      </c>
      <c r="W10080" t="s">
        <v>45548</v>
      </c>
      <c r="X10080" t="s">
        <v>47314</v>
      </c>
    </row>
    <row r="10081" spans="1:24">
      <c r="A10081">
        <f>HYPERLINK("https://www.philgeps.gov.ph/GEPSNONPILOT/Tender/SplashBidNoticeAbstractUI.aspx?menuIndex=3&amp;refID=7186223&amp;Result=3","7186223")</f>
        <v>0</v>
      </c>
      <c r="B10081" t="s">
        <v>744</v>
      </c>
      <c r="C10081" t="s">
        <v>13361</v>
      </c>
      <c r="D10081" t="s">
        <v>19056</v>
      </c>
      <c r="E10081" t="s">
        <v>20875</v>
      </c>
      <c r="F10081" t="s">
        <v>32606</v>
      </c>
      <c r="G10081" t="s">
        <v>32613</v>
      </c>
      <c r="H10081" t="s">
        <v>32623</v>
      </c>
      <c r="I10081" t="s">
        <v>17648</v>
      </c>
      <c r="J10081" t="s">
        <v>33757</v>
      </c>
      <c r="K10081" t="s">
        <v>42838</v>
      </c>
      <c r="M10081" t="s">
        <v>43667</v>
      </c>
      <c r="N10081" t="s">
        <v>47304</v>
      </c>
      <c r="O10081" t="s">
        <v>47305</v>
      </c>
      <c r="P10081">
        <v>0</v>
      </c>
      <c r="Q10081">
        <v>0</v>
      </c>
      <c r="R10081" t="s">
        <v>47313</v>
      </c>
      <c r="S10081" t="s">
        <v>47535</v>
      </c>
      <c r="T10081" t="s">
        <v>49140</v>
      </c>
      <c r="U10081" t="s">
        <v>57884</v>
      </c>
      <c r="W10081" t="s">
        <v>43667</v>
      </c>
      <c r="X10081" t="s">
        <v>47314</v>
      </c>
    </row>
    <row r="10082" spans="1:24">
      <c r="A10082">
        <f>HYPERLINK("https://www.philgeps.gov.ph/GEPSNONPILOT/Tender/SplashBidNoticeAbstractUI.aspx?menuIndex=3&amp;refID=7186255&amp;Result=3","7186255")</f>
        <v>0</v>
      </c>
      <c r="B10082" t="s">
        <v>1660</v>
      </c>
      <c r="C10082" t="s">
        <v>13362</v>
      </c>
      <c r="D10082" t="s">
        <v>19011</v>
      </c>
      <c r="E10082" t="s">
        <v>27698</v>
      </c>
      <c r="F10082" t="s">
        <v>32606</v>
      </c>
      <c r="G10082" t="s">
        <v>32615</v>
      </c>
      <c r="H10082" t="s">
        <v>14201</v>
      </c>
      <c r="I10082" t="s">
        <v>32633</v>
      </c>
      <c r="J10082" t="s">
        <v>39019</v>
      </c>
      <c r="K10082" t="s">
        <v>42623</v>
      </c>
      <c r="M10082" t="s">
        <v>44685</v>
      </c>
      <c r="N10082" t="s">
        <v>47304</v>
      </c>
      <c r="O10082" t="s">
        <v>47305</v>
      </c>
      <c r="P10082">
        <v>0</v>
      </c>
      <c r="Q10082">
        <v>5</v>
      </c>
      <c r="R10082" t="s">
        <v>47313</v>
      </c>
      <c r="S10082" t="s">
        <v>47535</v>
      </c>
      <c r="T10082" t="s">
        <v>49269</v>
      </c>
      <c r="U10082" t="s">
        <v>57885</v>
      </c>
      <c r="V10082" t="s">
        <v>63054</v>
      </c>
      <c r="W10082" t="s">
        <v>44685</v>
      </c>
      <c r="X10082" t="s">
        <v>47314</v>
      </c>
    </row>
    <row r="10083" spans="1:24">
      <c r="A10083">
        <f>HYPERLINK("https://www.philgeps.gov.ph/GEPSNONPILOT/Tender/SplashBidNoticeAbstractUI.aspx?menuIndex=3&amp;refID=7186298&amp;Result=3","7186298")</f>
        <v>0</v>
      </c>
      <c r="B10083" t="s">
        <v>1027</v>
      </c>
      <c r="C10083" t="s">
        <v>13363</v>
      </c>
      <c r="D10083" t="s">
        <v>19016</v>
      </c>
      <c r="E10083" t="s">
        <v>27699</v>
      </c>
      <c r="F10083" t="s">
        <v>32606</v>
      </c>
      <c r="G10083" t="s">
        <v>32613</v>
      </c>
      <c r="H10083" t="s">
        <v>32623</v>
      </c>
      <c r="I10083" t="s">
        <v>17648</v>
      </c>
      <c r="J10083" t="s">
        <v>39020</v>
      </c>
      <c r="K10083" t="s">
        <v>42636</v>
      </c>
      <c r="L10083" t="s">
        <v>1027</v>
      </c>
      <c r="M10083" t="s">
        <v>43979</v>
      </c>
      <c r="N10083" t="s">
        <v>47304</v>
      </c>
      <c r="O10083" t="s">
        <v>47305</v>
      </c>
      <c r="P10083">
        <v>0</v>
      </c>
      <c r="Q10083">
        <v>45</v>
      </c>
      <c r="R10083" t="s">
        <v>47313</v>
      </c>
      <c r="S10083" t="s">
        <v>47535</v>
      </c>
      <c r="T10083" t="s">
        <v>49071</v>
      </c>
      <c r="U10083" t="s">
        <v>57886</v>
      </c>
      <c r="W10083" t="s">
        <v>43979</v>
      </c>
      <c r="X10083" t="s">
        <v>47314</v>
      </c>
    </row>
    <row r="10084" spans="1:24">
      <c r="A10084">
        <f>HYPERLINK("https://www.philgeps.gov.ph/GEPSNONPILOT/Tender/SplashBidNoticeAbstractUI.aspx?menuIndex=3&amp;refID=7186056&amp;Result=3","7186056")</f>
        <v>0</v>
      </c>
      <c r="B10084" t="s">
        <v>3055</v>
      </c>
      <c r="C10084" t="s">
        <v>13364</v>
      </c>
      <c r="D10084" t="s">
        <v>19068</v>
      </c>
      <c r="E10084" t="s">
        <v>27700</v>
      </c>
      <c r="F10084" t="s">
        <v>32606</v>
      </c>
      <c r="G10084" t="s">
        <v>32613</v>
      </c>
      <c r="H10084" t="s">
        <v>32623</v>
      </c>
      <c r="I10084" t="s">
        <v>17648</v>
      </c>
      <c r="J10084" t="s">
        <v>39021</v>
      </c>
      <c r="K10084" t="s">
        <v>42683</v>
      </c>
      <c r="M10084" t="s">
        <v>46251</v>
      </c>
      <c r="N10084" t="s">
        <v>47304</v>
      </c>
      <c r="O10084" t="s">
        <v>47305</v>
      </c>
      <c r="P10084">
        <v>0</v>
      </c>
      <c r="Q10084">
        <v>0</v>
      </c>
      <c r="R10084" t="s">
        <v>47313</v>
      </c>
      <c r="S10084" t="s">
        <v>47535</v>
      </c>
      <c r="T10084" t="s">
        <v>49066</v>
      </c>
      <c r="U10084" t="s">
        <v>57887</v>
      </c>
      <c r="W10084" t="s">
        <v>46251</v>
      </c>
      <c r="X10084" t="s">
        <v>47314</v>
      </c>
    </row>
    <row r="10085" spans="1:24">
      <c r="A10085">
        <f>HYPERLINK("https://www.philgeps.gov.ph/GEPSNONPILOT/Tender/SplashBidNoticeAbstractUI.aspx?menuIndex=3&amp;refID=7186295&amp;Result=3","7186295")</f>
        <v>0</v>
      </c>
      <c r="B10085" t="s">
        <v>3076</v>
      </c>
      <c r="C10085" t="s">
        <v>13365</v>
      </c>
      <c r="D10085" t="s">
        <v>19050</v>
      </c>
      <c r="E10085" t="s">
        <v>27701</v>
      </c>
      <c r="F10085" t="s">
        <v>32606</v>
      </c>
      <c r="G10085" t="s">
        <v>32613</v>
      </c>
      <c r="H10085" t="s">
        <v>14201</v>
      </c>
      <c r="I10085" t="s">
        <v>4678</v>
      </c>
      <c r="J10085" t="s">
        <v>33103</v>
      </c>
      <c r="K10085" t="s">
        <v>42623</v>
      </c>
      <c r="M10085" t="s">
        <v>46275</v>
      </c>
      <c r="N10085" t="s">
        <v>47304</v>
      </c>
      <c r="O10085" t="s">
        <v>47305</v>
      </c>
      <c r="P10085">
        <v>0</v>
      </c>
      <c r="Q10085">
        <v>7</v>
      </c>
      <c r="R10085" t="s">
        <v>47313</v>
      </c>
      <c r="S10085" t="s">
        <v>47535</v>
      </c>
      <c r="T10085" t="s">
        <v>48986</v>
      </c>
      <c r="U10085" t="s">
        <v>57888</v>
      </c>
      <c r="W10085" t="s">
        <v>46275</v>
      </c>
      <c r="X10085" t="s">
        <v>47314</v>
      </c>
    </row>
    <row r="10086" spans="1:24">
      <c r="A10086">
        <f>HYPERLINK("https://www.philgeps.gov.ph/GEPSNONPILOT/Tender/SplashBidNoticeAbstractUI.aspx?menuIndex=3&amp;refID=7186289&amp;Result=3","7186289")</f>
        <v>0</v>
      </c>
      <c r="B10086" t="s">
        <v>1709</v>
      </c>
      <c r="C10086" t="s">
        <v>13366</v>
      </c>
      <c r="D10086" t="s">
        <v>19032</v>
      </c>
      <c r="E10086" t="s">
        <v>27702</v>
      </c>
      <c r="F10086" t="s">
        <v>32606</v>
      </c>
      <c r="G10086" t="s">
        <v>32613</v>
      </c>
      <c r="H10086" t="s">
        <v>14201</v>
      </c>
      <c r="I10086" t="s">
        <v>32648</v>
      </c>
      <c r="J10086" t="s">
        <v>39022</v>
      </c>
      <c r="K10086" t="s">
        <v>42622</v>
      </c>
      <c r="M10086" t="s">
        <v>46276</v>
      </c>
      <c r="N10086" t="s">
        <v>47304</v>
      </c>
      <c r="O10086" t="s">
        <v>47305</v>
      </c>
      <c r="P10086">
        <v>0</v>
      </c>
      <c r="Q10086">
        <v>0</v>
      </c>
      <c r="R10086" t="s">
        <v>47313</v>
      </c>
      <c r="S10086" t="s">
        <v>47535</v>
      </c>
      <c r="T10086" t="s">
        <v>48996</v>
      </c>
      <c r="U10086" t="s">
        <v>57889</v>
      </c>
      <c r="V10086" t="s">
        <v>63710</v>
      </c>
      <c r="W10086" t="s">
        <v>46276</v>
      </c>
      <c r="X10086" t="s">
        <v>47314</v>
      </c>
    </row>
    <row r="10087" spans="1:24">
      <c r="A10087">
        <f>HYPERLINK("https://www.philgeps.gov.ph/GEPSNONPILOT/Tender/SplashBidNoticeAbstractUI.aspx?menuIndex=3&amp;refID=7186215&amp;Result=3","7186215")</f>
        <v>0</v>
      </c>
      <c r="B10087" t="s">
        <v>903</v>
      </c>
      <c r="C10087" t="s">
        <v>13367</v>
      </c>
      <c r="D10087" t="s">
        <v>19049</v>
      </c>
      <c r="E10087" t="s">
        <v>13367</v>
      </c>
      <c r="F10087" t="s">
        <v>32606</v>
      </c>
      <c r="G10087" t="s">
        <v>32613</v>
      </c>
      <c r="H10087" t="s">
        <v>14201</v>
      </c>
      <c r="I10087" t="s">
        <v>32640</v>
      </c>
      <c r="J10087" t="s">
        <v>39023</v>
      </c>
      <c r="K10087" t="s">
        <v>42631</v>
      </c>
      <c r="M10087" t="s">
        <v>43840</v>
      </c>
      <c r="N10087" t="s">
        <v>47304</v>
      </c>
      <c r="O10087" t="s">
        <v>47305</v>
      </c>
      <c r="P10087">
        <v>0</v>
      </c>
      <c r="Q10087">
        <v>0</v>
      </c>
      <c r="R10087" t="s">
        <v>47313</v>
      </c>
      <c r="S10087" t="s">
        <v>47535</v>
      </c>
      <c r="T10087" t="s">
        <v>49221</v>
      </c>
      <c r="U10087" t="s">
        <v>57890</v>
      </c>
      <c r="W10087" t="s">
        <v>43840</v>
      </c>
      <c r="X10087" t="s">
        <v>47314</v>
      </c>
    </row>
    <row r="10088" spans="1:24">
      <c r="A10088">
        <f>HYPERLINK("https://www.philgeps.gov.ph/GEPSNONPILOT/Tender/SplashBidNoticeAbstractUI.aspx?menuIndex=3&amp;refID=7186285&amp;Result=3","7186285")</f>
        <v>0</v>
      </c>
      <c r="B10088" t="s">
        <v>3038</v>
      </c>
      <c r="C10088" t="s">
        <v>13368</v>
      </c>
      <c r="D10088" t="s">
        <v>19006</v>
      </c>
      <c r="E10088" t="s">
        <v>27703</v>
      </c>
      <c r="F10088" t="s">
        <v>32606</v>
      </c>
      <c r="G10088" t="s">
        <v>32613</v>
      </c>
      <c r="H10088" t="s">
        <v>32623</v>
      </c>
      <c r="I10088" t="s">
        <v>17648</v>
      </c>
      <c r="J10088" t="s">
        <v>39004</v>
      </c>
      <c r="K10088" t="s">
        <v>42837</v>
      </c>
      <c r="M10088" t="s">
        <v>46232</v>
      </c>
      <c r="N10088" t="s">
        <v>47304</v>
      </c>
      <c r="O10088" t="s">
        <v>47305</v>
      </c>
      <c r="P10088">
        <v>0</v>
      </c>
      <c r="Q10088">
        <v>2</v>
      </c>
      <c r="R10088" t="s">
        <v>47313</v>
      </c>
      <c r="S10088" t="s">
        <v>47535</v>
      </c>
      <c r="T10088" t="s">
        <v>49014</v>
      </c>
      <c r="U10088" t="s">
        <v>57862</v>
      </c>
      <c r="W10088" t="s">
        <v>46232</v>
      </c>
      <c r="X10088" t="s">
        <v>47314</v>
      </c>
    </row>
    <row r="10089" spans="1:24">
      <c r="A10089">
        <f>HYPERLINK("https://www.philgeps.gov.ph/GEPSNONPILOT/Tender/SplashBidNoticeAbstractUI.aspx?menuIndex=3&amp;refID=7186244&amp;Result=3","7186244")</f>
        <v>0</v>
      </c>
      <c r="B10089" t="s">
        <v>1644</v>
      </c>
      <c r="C10089" t="s">
        <v>13369</v>
      </c>
      <c r="D10089" t="s">
        <v>19022</v>
      </c>
      <c r="E10089" t="s">
        <v>27704</v>
      </c>
      <c r="F10089" t="s">
        <v>32606</v>
      </c>
      <c r="G10089" t="s">
        <v>32613</v>
      </c>
      <c r="H10089" t="s">
        <v>14201</v>
      </c>
      <c r="I10089" t="s">
        <v>32635</v>
      </c>
      <c r="J10089" t="s">
        <v>39024</v>
      </c>
      <c r="K10089" t="s">
        <v>42630</v>
      </c>
      <c r="M10089" t="s">
        <v>44665</v>
      </c>
      <c r="N10089" t="s">
        <v>47304</v>
      </c>
      <c r="O10089" t="s">
        <v>47305</v>
      </c>
      <c r="P10089">
        <v>0</v>
      </c>
      <c r="Q10089">
        <v>6</v>
      </c>
      <c r="R10089" t="s">
        <v>47313</v>
      </c>
      <c r="S10089" t="s">
        <v>47535</v>
      </c>
      <c r="T10089" t="s">
        <v>49071</v>
      </c>
      <c r="U10089" t="s">
        <v>57891</v>
      </c>
      <c r="W10089" t="s">
        <v>64478</v>
      </c>
      <c r="X10089" t="s">
        <v>47314</v>
      </c>
    </row>
    <row r="10090" spans="1:24">
      <c r="A10090">
        <f>HYPERLINK("https://www.philgeps.gov.ph/GEPSNONPILOT/Tender/SplashBidNoticeAbstractUI.aspx?menuIndex=3&amp;refID=7186281&amp;Result=3","7186281")</f>
        <v>0</v>
      </c>
      <c r="B10090" t="s">
        <v>3077</v>
      </c>
      <c r="C10090" t="s">
        <v>13370</v>
      </c>
      <c r="D10090" t="s">
        <v>19006</v>
      </c>
      <c r="E10090" t="s">
        <v>27705</v>
      </c>
      <c r="F10090" t="s">
        <v>32606</v>
      </c>
      <c r="G10090" t="s">
        <v>32613</v>
      </c>
      <c r="H10090" t="s">
        <v>14201</v>
      </c>
      <c r="I10090" t="s">
        <v>7064</v>
      </c>
      <c r="J10090" t="s">
        <v>39025</v>
      </c>
      <c r="K10090" t="s">
        <v>42636</v>
      </c>
      <c r="M10090" t="s">
        <v>46277</v>
      </c>
      <c r="N10090" t="s">
        <v>47304</v>
      </c>
      <c r="O10090" t="s">
        <v>47305</v>
      </c>
      <c r="P10090">
        <v>0</v>
      </c>
      <c r="Q10090">
        <v>3</v>
      </c>
      <c r="R10090" t="s">
        <v>47313</v>
      </c>
      <c r="S10090" t="s">
        <v>47535</v>
      </c>
      <c r="T10090" t="s">
        <v>48985</v>
      </c>
      <c r="U10090" t="s">
        <v>57892</v>
      </c>
      <c r="W10090" t="s">
        <v>46277</v>
      </c>
      <c r="X10090" t="s">
        <v>47314</v>
      </c>
    </row>
    <row r="10091" spans="1:24">
      <c r="A10091">
        <f>HYPERLINK("https://www.philgeps.gov.ph/GEPSNONPILOT/Tender/SplashBidNoticeAbstractUI.aspx?menuIndex=3&amp;refID=7186276&amp;Result=3","7186276")</f>
        <v>0</v>
      </c>
      <c r="B10091" t="s">
        <v>903</v>
      </c>
      <c r="C10091" t="s">
        <v>13371</v>
      </c>
      <c r="D10091" t="s">
        <v>19049</v>
      </c>
      <c r="E10091" t="s">
        <v>27706</v>
      </c>
      <c r="F10091" t="s">
        <v>32606</v>
      </c>
      <c r="G10091" t="s">
        <v>32613</v>
      </c>
      <c r="H10091" t="s">
        <v>14201</v>
      </c>
      <c r="I10091" t="s">
        <v>4678</v>
      </c>
      <c r="J10091" t="s">
        <v>39026</v>
      </c>
      <c r="K10091" t="s">
        <v>42631</v>
      </c>
      <c r="M10091" t="s">
        <v>43840</v>
      </c>
      <c r="N10091" t="s">
        <v>47304</v>
      </c>
      <c r="O10091" t="s">
        <v>47305</v>
      </c>
      <c r="P10091">
        <v>0</v>
      </c>
      <c r="Q10091">
        <v>0</v>
      </c>
      <c r="R10091" t="s">
        <v>47313</v>
      </c>
      <c r="S10091" t="s">
        <v>47535</v>
      </c>
      <c r="T10091" t="s">
        <v>49221</v>
      </c>
      <c r="U10091" t="s">
        <v>57893</v>
      </c>
      <c r="W10091" t="s">
        <v>43840</v>
      </c>
      <c r="X10091" t="s">
        <v>47314</v>
      </c>
    </row>
    <row r="10092" spans="1:24">
      <c r="A10092">
        <f>HYPERLINK("https://www.philgeps.gov.ph/GEPSNONPILOT/Tender/SplashBidNoticeAbstractUI.aspx?menuIndex=3&amp;refID=7186293&amp;Result=3","7186293")</f>
        <v>0</v>
      </c>
      <c r="B10092" t="s">
        <v>1809</v>
      </c>
      <c r="C10092" t="s">
        <v>13372</v>
      </c>
      <c r="D10092" t="s">
        <v>19002</v>
      </c>
      <c r="E10092" t="s">
        <v>27707</v>
      </c>
      <c r="F10092" t="s">
        <v>32606</v>
      </c>
      <c r="G10092" t="s">
        <v>32613</v>
      </c>
      <c r="H10092" t="s">
        <v>14201</v>
      </c>
      <c r="I10092" t="s">
        <v>17648</v>
      </c>
      <c r="J10092" t="s">
        <v>39027</v>
      </c>
      <c r="K10092" t="s">
        <v>42648</v>
      </c>
      <c r="M10092" t="s">
        <v>44850</v>
      </c>
      <c r="N10092" t="s">
        <v>47304</v>
      </c>
      <c r="O10092" t="s">
        <v>47305</v>
      </c>
      <c r="Q10092">
        <v>1</v>
      </c>
      <c r="R10092" t="s">
        <v>47313</v>
      </c>
      <c r="S10092" t="s">
        <v>47581</v>
      </c>
      <c r="T10092" t="s">
        <v>48998</v>
      </c>
      <c r="U10092" t="s">
        <v>57894</v>
      </c>
      <c r="V10092" t="s">
        <v>63711</v>
      </c>
      <c r="W10092" t="s">
        <v>44850</v>
      </c>
      <c r="X10092" t="s">
        <v>47314</v>
      </c>
    </row>
    <row r="10093" spans="1:24">
      <c r="A10093">
        <f>HYPERLINK("https://www.philgeps.gov.ph/GEPSNONPILOT/Tender/SplashBidNoticeAbstractUI.aspx?menuIndex=3&amp;refID=7186245&amp;Result=3","7186245")</f>
        <v>0</v>
      </c>
      <c r="B10093" t="s">
        <v>1027</v>
      </c>
      <c r="C10093" t="s">
        <v>13373</v>
      </c>
      <c r="D10093" t="s">
        <v>19016</v>
      </c>
      <c r="E10093" t="s">
        <v>27708</v>
      </c>
      <c r="F10093" t="s">
        <v>32606</v>
      </c>
      <c r="G10093" t="s">
        <v>32613</v>
      </c>
      <c r="H10093" t="s">
        <v>14201</v>
      </c>
      <c r="I10093" t="s">
        <v>6931</v>
      </c>
      <c r="J10093" t="s">
        <v>32770</v>
      </c>
      <c r="K10093" t="s">
        <v>42631</v>
      </c>
      <c r="L10093" t="s">
        <v>1027</v>
      </c>
      <c r="M10093" t="s">
        <v>43979</v>
      </c>
      <c r="N10093" t="s">
        <v>47304</v>
      </c>
      <c r="O10093" t="s">
        <v>47305</v>
      </c>
      <c r="P10093">
        <v>0</v>
      </c>
      <c r="Q10093">
        <v>12</v>
      </c>
      <c r="R10093" t="s">
        <v>47313</v>
      </c>
      <c r="S10093" t="s">
        <v>47535</v>
      </c>
      <c r="T10093" t="s">
        <v>49268</v>
      </c>
      <c r="U10093" t="s">
        <v>57895</v>
      </c>
      <c r="W10093" t="s">
        <v>43979</v>
      </c>
      <c r="X10093" t="s">
        <v>47314</v>
      </c>
    </row>
    <row r="10094" spans="1:24">
      <c r="A10094">
        <f>HYPERLINK("https://www.philgeps.gov.ph/GEPSNONPILOT/Tender/SplashBidNoticeAbstractUI.aspx?menuIndex=3&amp;refID=7186268&amp;Result=3","7186268")</f>
        <v>0</v>
      </c>
      <c r="B10094" t="s">
        <v>696</v>
      </c>
      <c r="C10094" t="s">
        <v>13374</v>
      </c>
      <c r="D10094" t="s">
        <v>19069</v>
      </c>
      <c r="E10094" t="s">
        <v>27709</v>
      </c>
      <c r="F10094" t="s">
        <v>32606</v>
      </c>
      <c r="G10094" t="s">
        <v>32613</v>
      </c>
      <c r="H10094" t="s">
        <v>14201</v>
      </c>
      <c r="I10094" t="s">
        <v>32686</v>
      </c>
      <c r="J10094" t="s">
        <v>39028</v>
      </c>
      <c r="K10094" t="s">
        <v>42648</v>
      </c>
      <c r="M10094" t="s">
        <v>43969</v>
      </c>
      <c r="N10094" t="s">
        <v>47304</v>
      </c>
      <c r="O10094" t="s">
        <v>47305</v>
      </c>
      <c r="P10094">
        <v>0</v>
      </c>
      <c r="Q10094">
        <v>5</v>
      </c>
      <c r="R10094" t="s">
        <v>47313</v>
      </c>
      <c r="S10094" t="s">
        <v>47535</v>
      </c>
      <c r="T10094" t="s">
        <v>49390</v>
      </c>
      <c r="U10094" t="s">
        <v>57896</v>
      </c>
      <c r="V10094" t="s">
        <v>63712</v>
      </c>
      <c r="W10094" t="s">
        <v>43969</v>
      </c>
      <c r="X10094" t="s">
        <v>47314</v>
      </c>
    </row>
    <row r="10095" spans="1:24">
      <c r="A10095">
        <f>HYPERLINK("https://www.philgeps.gov.ph/GEPSNONPILOT/Tender/SplashBidNoticeAbstractUI.aspx?menuIndex=3&amp;refID=7186287&amp;Result=3","7186287")</f>
        <v>0</v>
      </c>
      <c r="B10095" t="s">
        <v>2213</v>
      </c>
      <c r="C10095" t="s">
        <v>13375</v>
      </c>
      <c r="D10095" t="s">
        <v>19065</v>
      </c>
      <c r="E10095" t="s">
        <v>27710</v>
      </c>
      <c r="F10095" t="s">
        <v>32606</v>
      </c>
      <c r="G10095" t="s">
        <v>32613</v>
      </c>
      <c r="H10095" t="s">
        <v>14201</v>
      </c>
      <c r="I10095" t="s">
        <v>6931</v>
      </c>
      <c r="J10095" t="s">
        <v>39029</v>
      </c>
      <c r="K10095" t="s">
        <v>42623</v>
      </c>
      <c r="M10095" t="s">
        <v>45317</v>
      </c>
      <c r="N10095" t="s">
        <v>47304</v>
      </c>
      <c r="O10095" t="s">
        <v>47305</v>
      </c>
      <c r="P10095">
        <v>0</v>
      </c>
      <c r="Q10095">
        <v>1</v>
      </c>
      <c r="R10095" t="s">
        <v>47313</v>
      </c>
      <c r="S10095" t="s">
        <v>47535</v>
      </c>
      <c r="T10095" t="s">
        <v>49066</v>
      </c>
      <c r="U10095" t="s">
        <v>57897</v>
      </c>
      <c r="V10095" t="s">
        <v>63713</v>
      </c>
      <c r="W10095" t="s">
        <v>45317</v>
      </c>
      <c r="X10095" t="s">
        <v>47314</v>
      </c>
    </row>
    <row r="10096" spans="1:24">
      <c r="A10096">
        <f>HYPERLINK("https://www.philgeps.gov.ph/GEPSNONPILOT/Tender/SplashBidNoticeAbstractUI.aspx?menuIndex=3&amp;refID=7186264&amp;Result=3","7186264")</f>
        <v>0</v>
      </c>
      <c r="B10096" t="s">
        <v>522</v>
      </c>
      <c r="C10096" t="s">
        <v>13376</v>
      </c>
      <c r="D10096" t="s">
        <v>19040</v>
      </c>
      <c r="E10096" t="s">
        <v>27711</v>
      </c>
      <c r="F10096" t="s">
        <v>32606</v>
      </c>
      <c r="G10096" t="s">
        <v>32613</v>
      </c>
      <c r="H10096" t="s">
        <v>32623</v>
      </c>
      <c r="I10096" t="s">
        <v>17648</v>
      </c>
      <c r="J10096" t="s">
        <v>39030</v>
      </c>
      <c r="K10096" t="s">
        <v>42839</v>
      </c>
      <c r="M10096" t="s">
        <v>43435</v>
      </c>
      <c r="N10096" t="s">
        <v>47304</v>
      </c>
      <c r="O10096" t="s">
        <v>47305</v>
      </c>
      <c r="P10096">
        <v>0</v>
      </c>
      <c r="Q10096">
        <v>0</v>
      </c>
      <c r="R10096" t="s">
        <v>47313</v>
      </c>
      <c r="S10096" t="s">
        <v>47535</v>
      </c>
      <c r="T10096" t="s">
        <v>49439</v>
      </c>
      <c r="U10096" t="s">
        <v>57898</v>
      </c>
      <c r="W10096" t="s">
        <v>43435</v>
      </c>
      <c r="X10096" t="s">
        <v>47314</v>
      </c>
    </row>
    <row r="10097" spans="1:24">
      <c r="A10097">
        <f>HYPERLINK("https://www.philgeps.gov.ph/GEPSNONPILOT/Tender/SplashBidNoticeAbstractUI.aspx?menuIndex=3&amp;refID=7186260&amp;Result=3","7186260")</f>
        <v>0</v>
      </c>
      <c r="B10097" t="s">
        <v>56</v>
      </c>
      <c r="C10097" t="s">
        <v>13377</v>
      </c>
      <c r="D10097" t="s">
        <v>19009</v>
      </c>
      <c r="E10097" t="s">
        <v>27712</v>
      </c>
      <c r="F10097" t="s">
        <v>32606</v>
      </c>
      <c r="G10097" t="s">
        <v>32613</v>
      </c>
      <c r="H10097" t="s">
        <v>14201</v>
      </c>
      <c r="I10097" t="s">
        <v>6931</v>
      </c>
      <c r="J10097" t="s">
        <v>39031</v>
      </c>
      <c r="K10097" t="s">
        <v>42622</v>
      </c>
      <c r="M10097" t="s">
        <v>42953</v>
      </c>
      <c r="N10097" t="s">
        <v>47304</v>
      </c>
      <c r="O10097" t="s">
        <v>47305</v>
      </c>
      <c r="P10097">
        <v>0</v>
      </c>
      <c r="Q10097">
        <v>0</v>
      </c>
      <c r="R10097" t="s">
        <v>47313</v>
      </c>
      <c r="S10097" t="s">
        <v>47535</v>
      </c>
      <c r="T10097" t="s">
        <v>49268</v>
      </c>
      <c r="U10097" t="s">
        <v>57899</v>
      </c>
      <c r="W10097" t="s">
        <v>42953</v>
      </c>
      <c r="X10097" t="s">
        <v>47314</v>
      </c>
    </row>
    <row r="10098" spans="1:24">
      <c r="A10098">
        <f>HYPERLINK("https://www.philgeps.gov.ph/GEPSNONPILOT/Tender/SplashBidNoticeAbstractUI.aspx?menuIndex=3&amp;refID=7186280&amp;Result=3","7186280")</f>
        <v>0</v>
      </c>
      <c r="B10098" t="s">
        <v>184</v>
      </c>
      <c r="C10098" t="s">
        <v>13378</v>
      </c>
      <c r="D10098" t="s">
        <v>19042</v>
      </c>
      <c r="E10098" t="s">
        <v>27713</v>
      </c>
      <c r="F10098" t="s">
        <v>32606</v>
      </c>
      <c r="G10098" t="s">
        <v>32615</v>
      </c>
      <c r="H10098" t="s">
        <v>14201</v>
      </c>
      <c r="I10098" t="s">
        <v>32652</v>
      </c>
      <c r="J10098" t="s">
        <v>39032</v>
      </c>
      <c r="K10098" t="s">
        <v>42631</v>
      </c>
      <c r="M10098" t="s">
        <v>43085</v>
      </c>
      <c r="N10098" t="s">
        <v>47304</v>
      </c>
      <c r="O10098" t="s">
        <v>47305</v>
      </c>
      <c r="P10098">
        <v>0</v>
      </c>
      <c r="Q10098">
        <v>0</v>
      </c>
      <c r="R10098" t="s">
        <v>47313</v>
      </c>
      <c r="S10098" t="s">
        <v>47535</v>
      </c>
      <c r="T10098" t="s">
        <v>49268</v>
      </c>
      <c r="U10098" t="s">
        <v>57900</v>
      </c>
      <c r="V10098" t="s">
        <v>51084</v>
      </c>
      <c r="W10098" t="s">
        <v>43085</v>
      </c>
      <c r="X10098" t="s">
        <v>47314</v>
      </c>
    </row>
    <row r="10099" spans="1:24">
      <c r="A10099">
        <f>HYPERLINK("https://www.philgeps.gov.ph/GEPSNONPILOT/Tender/SplashBidNoticeAbstractUI.aspx?menuIndex=3&amp;refID=7186259&amp;Result=3","7186259")</f>
        <v>0</v>
      </c>
      <c r="B10099" t="s">
        <v>1298</v>
      </c>
      <c r="C10099" t="s">
        <v>13379</v>
      </c>
      <c r="D10099" t="s">
        <v>19002</v>
      </c>
      <c r="E10099" t="s">
        <v>27714</v>
      </c>
      <c r="F10099" t="s">
        <v>32606</v>
      </c>
      <c r="G10099" t="s">
        <v>32614</v>
      </c>
      <c r="H10099" t="s">
        <v>14201</v>
      </c>
      <c r="I10099" t="s">
        <v>17648</v>
      </c>
      <c r="J10099" t="s">
        <v>39033</v>
      </c>
      <c r="K10099" t="s">
        <v>42648</v>
      </c>
      <c r="M10099" t="s">
        <v>44270</v>
      </c>
      <c r="N10099" t="s">
        <v>47304</v>
      </c>
      <c r="O10099" t="s">
        <v>47305</v>
      </c>
      <c r="P10099">
        <v>0</v>
      </c>
      <c r="Q10099">
        <v>0</v>
      </c>
      <c r="R10099" t="s">
        <v>47313</v>
      </c>
      <c r="S10099" t="s">
        <v>47535</v>
      </c>
      <c r="T10099" t="s">
        <v>49010</v>
      </c>
      <c r="U10099" t="s">
        <v>57901</v>
      </c>
      <c r="W10099" t="s">
        <v>44270</v>
      </c>
      <c r="X10099" t="s">
        <v>47314</v>
      </c>
    </row>
    <row r="10100" spans="1:24">
      <c r="A10100">
        <f>HYPERLINK("https://www.philgeps.gov.ph/GEPSNONPILOT/Tender/SplashBidNoticeAbstractUI.aspx?menuIndex=3&amp;refID=7186300&amp;Result=3","7186300")</f>
        <v>0</v>
      </c>
      <c r="B10100" t="s">
        <v>1688</v>
      </c>
      <c r="C10100" t="s">
        <v>13380</v>
      </c>
      <c r="D10100" t="s">
        <v>19015</v>
      </c>
      <c r="E10100" t="s">
        <v>27715</v>
      </c>
      <c r="F10100" t="s">
        <v>32606</v>
      </c>
      <c r="G10100" t="s">
        <v>32613</v>
      </c>
      <c r="H10100" t="s">
        <v>32623</v>
      </c>
      <c r="I10100" t="s">
        <v>17648</v>
      </c>
      <c r="J10100" t="s">
        <v>32767</v>
      </c>
      <c r="K10100" t="s">
        <v>42736</v>
      </c>
      <c r="M10100" t="s">
        <v>44717</v>
      </c>
      <c r="N10100" t="s">
        <v>47304</v>
      </c>
      <c r="O10100" t="s">
        <v>47305</v>
      </c>
      <c r="P10100">
        <v>0</v>
      </c>
      <c r="Q10100">
        <v>48</v>
      </c>
      <c r="R10100" t="s">
        <v>47313</v>
      </c>
      <c r="S10100" t="s">
        <v>47535</v>
      </c>
      <c r="T10100" t="s">
        <v>49324</v>
      </c>
      <c r="U10100" t="s">
        <v>57902</v>
      </c>
      <c r="V10100" t="s">
        <v>62763</v>
      </c>
      <c r="W10100" t="s">
        <v>44717</v>
      </c>
      <c r="X10100" t="s">
        <v>47314</v>
      </c>
    </row>
    <row r="10101" spans="1:24">
      <c r="A10101">
        <f>HYPERLINK("https://www.philgeps.gov.ph/GEPSNONPILOT/Tender/SplashBidNoticeAbstractUI.aspx?menuIndex=3&amp;refID=7186363&amp;Result=3","7186363")</f>
        <v>0</v>
      </c>
      <c r="B10101" t="s">
        <v>1289</v>
      </c>
      <c r="C10101" t="s">
        <v>13381</v>
      </c>
      <c r="D10101" t="s">
        <v>18993</v>
      </c>
      <c r="E10101" t="s">
        <v>27716</v>
      </c>
      <c r="F10101" t="s">
        <v>32606</v>
      </c>
      <c r="G10101" t="s">
        <v>32614</v>
      </c>
      <c r="H10101" t="s">
        <v>14201</v>
      </c>
      <c r="I10101" t="s">
        <v>32646</v>
      </c>
      <c r="J10101" t="s">
        <v>32781</v>
      </c>
      <c r="K10101" t="s">
        <v>42623</v>
      </c>
      <c r="M10101" t="s">
        <v>44261</v>
      </c>
      <c r="N10101" t="s">
        <v>47304</v>
      </c>
      <c r="O10101" t="s">
        <v>47305</v>
      </c>
      <c r="P10101">
        <v>0</v>
      </c>
      <c r="Q10101">
        <v>14</v>
      </c>
      <c r="R10101" t="s">
        <v>47313</v>
      </c>
      <c r="S10101" t="s">
        <v>47535</v>
      </c>
      <c r="T10101" t="s">
        <v>49359</v>
      </c>
      <c r="U10101" t="s">
        <v>57903</v>
      </c>
      <c r="W10101" t="s">
        <v>44261</v>
      </c>
      <c r="X10101" t="s">
        <v>47314</v>
      </c>
    </row>
    <row r="10102" spans="1:24">
      <c r="A10102">
        <f>HYPERLINK("https://www.philgeps.gov.ph/GEPSNONPILOT/Tender/SplashBidNoticeAbstractUI.aspx?menuIndex=3&amp;refID=7186220&amp;Result=3","7186220")</f>
        <v>0</v>
      </c>
      <c r="B10102" t="s">
        <v>3078</v>
      </c>
      <c r="C10102" t="s">
        <v>13382</v>
      </c>
      <c r="D10102" t="s">
        <v>19035</v>
      </c>
      <c r="E10102" t="s">
        <v>27717</v>
      </c>
      <c r="F10102" t="s">
        <v>32606</v>
      </c>
      <c r="G10102" t="s">
        <v>32614</v>
      </c>
      <c r="H10102" t="s">
        <v>14201</v>
      </c>
      <c r="I10102" t="s">
        <v>4115</v>
      </c>
      <c r="J10102" t="s">
        <v>39034</v>
      </c>
      <c r="K10102" t="s">
        <v>42639</v>
      </c>
      <c r="M10102" t="s">
        <v>46278</v>
      </c>
      <c r="N10102" t="s">
        <v>47304</v>
      </c>
      <c r="O10102" t="s">
        <v>47305</v>
      </c>
      <c r="Q10102">
        <v>3</v>
      </c>
      <c r="R10102" t="s">
        <v>47313</v>
      </c>
      <c r="S10102" t="s">
        <v>47582</v>
      </c>
      <c r="T10102" t="s">
        <v>49068</v>
      </c>
      <c r="U10102" t="s">
        <v>57904</v>
      </c>
      <c r="W10102" t="s">
        <v>46278</v>
      </c>
      <c r="X10102" t="s">
        <v>47314</v>
      </c>
    </row>
    <row r="10103" spans="1:24">
      <c r="A10103">
        <f>HYPERLINK("https://www.philgeps.gov.ph/GEPSNONPILOT/Tender/SplashBidNoticeAbstractUI.aspx?menuIndex=3&amp;refID=7186354&amp;Result=3","7186354")</f>
        <v>0</v>
      </c>
      <c r="B10103" t="s">
        <v>1914</v>
      </c>
      <c r="C10103" t="s">
        <v>13383</v>
      </c>
      <c r="D10103" t="s">
        <v>19047</v>
      </c>
      <c r="E10103" t="s">
        <v>27718</v>
      </c>
      <c r="F10103" t="s">
        <v>32606</v>
      </c>
      <c r="G10103" t="s">
        <v>32613</v>
      </c>
      <c r="H10103" t="s">
        <v>32623</v>
      </c>
      <c r="I10103" t="s">
        <v>17648</v>
      </c>
      <c r="J10103" t="s">
        <v>39035</v>
      </c>
      <c r="K10103" t="s">
        <v>42632</v>
      </c>
      <c r="M10103" t="s">
        <v>44973</v>
      </c>
      <c r="N10103" t="s">
        <v>47304</v>
      </c>
      <c r="O10103" t="s">
        <v>47305</v>
      </c>
      <c r="P10103">
        <v>0</v>
      </c>
      <c r="Q10103">
        <v>0</v>
      </c>
      <c r="R10103" t="s">
        <v>47313</v>
      </c>
      <c r="S10103" t="s">
        <v>47535</v>
      </c>
      <c r="T10103" t="s">
        <v>49052</v>
      </c>
      <c r="U10103" t="s">
        <v>57905</v>
      </c>
      <c r="W10103" t="s">
        <v>44973</v>
      </c>
      <c r="X10103" t="s">
        <v>47314</v>
      </c>
    </row>
    <row r="10104" spans="1:24">
      <c r="A10104">
        <f>HYPERLINK("https://www.philgeps.gov.ph/GEPSNONPILOT/Tender/SplashBidNoticeAbstractUI.aspx?menuIndex=3&amp;refID=7186291&amp;Result=3","7186291")</f>
        <v>0</v>
      </c>
      <c r="B10104" t="s">
        <v>3074</v>
      </c>
      <c r="C10104" t="s">
        <v>13384</v>
      </c>
      <c r="D10104" t="s">
        <v>19024</v>
      </c>
      <c r="E10104" t="s">
        <v>27719</v>
      </c>
      <c r="F10104" t="s">
        <v>32606</v>
      </c>
      <c r="G10104" t="s">
        <v>32614</v>
      </c>
      <c r="H10104" t="s">
        <v>14201</v>
      </c>
      <c r="I10104" t="s">
        <v>6931</v>
      </c>
      <c r="J10104" t="s">
        <v>39036</v>
      </c>
      <c r="K10104" t="s">
        <v>42630</v>
      </c>
      <c r="M10104" t="s">
        <v>46273</v>
      </c>
      <c r="N10104" t="s">
        <v>47304</v>
      </c>
      <c r="O10104" t="s">
        <v>47305</v>
      </c>
      <c r="P10104">
        <v>0</v>
      </c>
      <c r="Q10104">
        <v>0</v>
      </c>
      <c r="R10104" t="s">
        <v>47313</v>
      </c>
      <c r="S10104" t="s">
        <v>47535</v>
      </c>
      <c r="T10104" t="s">
        <v>49267</v>
      </c>
      <c r="U10104" t="s">
        <v>57876</v>
      </c>
      <c r="W10104" t="s">
        <v>46273</v>
      </c>
      <c r="X10104" t="s">
        <v>47314</v>
      </c>
    </row>
    <row r="10105" spans="1:24">
      <c r="A10105">
        <f>HYPERLINK("https://www.philgeps.gov.ph/GEPSNONPILOT/Tender/SplashBidNoticeAbstractUI.aspx?menuIndex=3&amp;refID=7186353&amp;Result=3","7186353")</f>
        <v>0</v>
      </c>
      <c r="B10105" t="s">
        <v>2031</v>
      </c>
      <c r="C10105" t="s">
        <v>13385</v>
      </c>
      <c r="D10105" t="s">
        <v>19010</v>
      </c>
      <c r="E10105" t="s">
        <v>27720</v>
      </c>
      <c r="F10105" t="s">
        <v>32607</v>
      </c>
      <c r="G10105" t="s">
        <v>32613</v>
      </c>
      <c r="H10105" t="s">
        <v>32623</v>
      </c>
      <c r="I10105" t="s">
        <v>17648</v>
      </c>
      <c r="J10105" t="s">
        <v>39037</v>
      </c>
      <c r="K10105" t="s">
        <v>42683</v>
      </c>
      <c r="M10105" t="s">
        <v>45107</v>
      </c>
      <c r="N10105" t="s">
        <v>47304</v>
      </c>
      <c r="O10105" t="s">
        <v>47305</v>
      </c>
      <c r="P10105">
        <v>0</v>
      </c>
      <c r="Q10105">
        <v>4</v>
      </c>
      <c r="R10105" t="s">
        <v>47313</v>
      </c>
      <c r="S10105" t="s">
        <v>47535</v>
      </c>
      <c r="T10105" t="s">
        <v>49234</v>
      </c>
      <c r="U10105" t="s">
        <v>54607</v>
      </c>
      <c r="V10105" t="s">
        <v>63224</v>
      </c>
      <c r="W10105" t="s">
        <v>45107</v>
      </c>
      <c r="X10105" t="s">
        <v>47314</v>
      </c>
    </row>
    <row r="10106" spans="1:24">
      <c r="A10106">
        <f>HYPERLINK("https://www.philgeps.gov.ph/GEPSNONPILOT/Tender/SplashBidNoticeAbstractUI.aspx?menuIndex=3&amp;refID=7186350&amp;Result=3","7186350")</f>
        <v>0</v>
      </c>
      <c r="B10106" t="s">
        <v>745</v>
      </c>
      <c r="C10106" t="s">
        <v>13386</v>
      </c>
      <c r="D10106" t="s">
        <v>19043</v>
      </c>
      <c r="E10106" t="s">
        <v>27721</v>
      </c>
      <c r="F10106" t="s">
        <v>32606</v>
      </c>
      <c r="G10106" t="s">
        <v>32613</v>
      </c>
      <c r="H10106" t="s">
        <v>14201</v>
      </c>
      <c r="I10106" t="s">
        <v>6014</v>
      </c>
      <c r="J10106" t="s">
        <v>39038</v>
      </c>
      <c r="K10106" t="s">
        <v>42622</v>
      </c>
      <c r="M10106" t="s">
        <v>43668</v>
      </c>
      <c r="N10106" t="s">
        <v>47304</v>
      </c>
      <c r="O10106" t="s">
        <v>47305</v>
      </c>
      <c r="P10106">
        <v>0</v>
      </c>
      <c r="Q10106">
        <v>0</v>
      </c>
      <c r="R10106" t="s">
        <v>47313</v>
      </c>
      <c r="S10106" t="s">
        <v>47535</v>
      </c>
      <c r="T10106" t="s">
        <v>49160</v>
      </c>
      <c r="U10106" t="s">
        <v>57906</v>
      </c>
      <c r="W10106" t="s">
        <v>43668</v>
      </c>
      <c r="X10106" t="s">
        <v>47314</v>
      </c>
    </row>
    <row r="10107" spans="1:24">
      <c r="A10107">
        <f>HYPERLINK("https://www.philgeps.gov.ph/GEPSNONPILOT/Tender/SplashBidNoticeAbstractUI.aspx?menuIndex=3&amp;refID=7186342&amp;Result=3","7186342")</f>
        <v>0</v>
      </c>
      <c r="B10107" t="s">
        <v>2636</v>
      </c>
      <c r="C10107" t="s">
        <v>13387</v>
      </c>
      <c r="D10107" t="s">
        <v>19039</v>
      </c>
      <c r="E10107" t="s">
        <v>27722</v>
      </c>
      <c r="F10107" t="s">
        <v>32606</v>
      </c>
      <c r="G10107" t="s">
        <v>32615</v>
      </c>
      <c r="H10107" t="s">
        <v>14201</v>
      </c>
      <c r="I10107" t="s">
        <v>4678</v>
      </c>
      <c r="J10107" t="s">
        <v>39039</v>
      </c>
      <c r="K10107" t="s">
        <v>42639</v>
      </c>
      <c r="M10107" t="s">
        <v>45781</v>
      </c>
      <c r="N10107" t="s">
        <v>47304</v>
      </c>
      <c r="O10107" t="s">
        <v>47305</v>
      </c>
      <c r="P10107">
        <v>0</v>
      </c>
      <c r="Q10107">
        <v>6</v>
      </c>
      <c r="R10107" t="s">
        <v>47313</v>
      </c>
      <c r="S10107" t="s">
        <v>47535</v>
      </c>
      <c r="T10107" t="s">
        <v>49066</v>
      </c>
      <c r="U10107" t="s">
        <v>57907</v>
      </c>
      <c r="W10107" t="s">
        <v>45781</v>
      </c>
      <c r="X10107" t="s">
        <v>47314</v>
      </c>
    </row>
    <row r="10108" spans="1:24">
      <c r="A10108">
        <f>HYPERLINK("https://www.philgeps.gov.ph/GEPSNONPILOT/Tender/SplashBidNoticeAbstractUI.aspx?menuIndex=3&amp;refID=7186336&amp;Result=3","7186336")</f>
        <v>0</v>
      </c>
      <c r="B10108" t="s">
        <v>1808</v>
      </c>
      <c r="C10108" t="s">
        <v>13388</v>
      </c>
      <c r="D10108" t="s">
        <v>19023</v>
      </c>
      <c r="E10108" t="s">
        <v>27723</v>
      </c>
      <c r="F10108" t="s">
        <v>32606</v>
      </c>
      <c r="G10108" t="s">
        <v>32613</v>
      </c>
      <c r="H10108" t="s">
        <v>14201</v>
      </c>
      <c r="I10108" t="s">
        <v>7064</v>
      </c>
      <c r="J10108" t="s">
        <v>39040</v>
      </c>
      <c r="K10108" t="s">
        <v>42636</v>
      </c>
      <c r="M10108" t="s">
        <v>44849</v>
      </c>
      <c r="N10108" t="s">
        <v>47304</v>
      </c>
      <c r="O10108" t="s">
        <v>47305</v>
      </c>
      <c r="P10108">
        <v>0</v>
      </c>
      <c r="Q10108">
        <v>3</v>
      </c>
      <c r="R10108" t="s">
        <v>47313</v>
      </c>
      <c r="S10108" t="s">
        <v>47535</v>
      </c>
      <c r="T10108" t="s">
        <v>49349</v>
      </c>
      <c r="U10108" t="s">
        <v>57908</v>
      </c>
      <c r="V10108" t="s">
        <v>63110</v>
      </c>
      <c r="W10108" t="s">
        <v>44849</v>
      </c>
      <c r="X10108" t="s">
        <v>47314</v>
      </c>
    </row>
    <row r="10109" spans="1:24">
      <c r="A10109">
        <f>HYPERLINK("https://www.philgeps.gov.ph/GEPSNONPILOT/Tender/SplashBidNoticeAbstractUI.aspx?menuIndex=3&amp;refID=7186332&amp;Result=3","7186332")</f>
        <v>0</v>
      </c>
      <c r="B10109" t="s">
        <v>2213</v>
      </c>
      <c r="C10109" t="s">
        <v>13389</v>
      </c>
      <c r="D10109" t="s">
        <v>19065</v>
      </c>
      <c r="E10109" t="s">
        <v>27724</v>
      </c>
      <c r="F10109" t="s">
        <v>32606</v>
      </c>
      <c r="G10109" t="s">
        <v>32613</v>
      </c>
      <c r="H10109" t="s">
        <v>14201</v>
      </c>
      <c r="I10109" t="s">
        <v>6931</v>
      </c>
      <c r="J10109" t="s">
        <v>32769</v>
      </c>
      <c r="K10109" t="s">
        <v>42631</v>
      </c>
      <c r="M10109" t="s">
        <v>45317</v>
      </c>
      <c r="N10109" t="s">
        <v>47304</v>
      </c>
      <c r="O10109" t="s">
        <v>47305</v>
      </c>
      <c r="P10109">
        <v>0</v>
      </c>
      <c r="Q10109">
        <v>3</v>
      </c>
      <c r="R10109" t="s">
        <v>47313</v>
      </c>
      <c r="S10109" t="s">
        <v>47535</v>
      </c>
      <c r="T10109" t="s">
        <v>49066</v>
      </c>
      <c r="U10109" t="s">
        <v>57909</v>
      </c>
      <c r="V10109" t="s">
        <v>63714</v>
      </c>
      <c r="W10109" t="s">
        <v>45317</v>
      </c>
      <c r="X10109" t="s">
        <v>47314</v>
      </c>
    </row>
    <row r="10110" spans="1:24">
      <c r="A10110">
        <f>HYPERLINK("https://www.philgeps.gov.ph/GEPSNONPILOT/Tender/SplashBidNoticeAbstractUI.aspx?menuIndex=3&amp;refID=7186331&amp;Result=3","7186331")</f>
        <v>0</v>
      </c>
      <c r="B10110" t="s">
        <v>2787</v>
      </c>
      <c r="C10110" t="s">
        <v>13390</v>
      </c>
      <c r="D10110" t="s">
        <v>19014</v>
      </c>
      <c r="E10110" t="s">
        <v>20150</v>
      </c>
      <c r="F10110" t="s">
        <v>32606</v>
      </c>
      <c r="G10110" t="s">
        <v>32613</v>
      </c>
      <c r="H10110" t="s">
        <v>32623</v>
      </c>
      <c r="I10110" t="s">
        <v>17648</v>
      </c>
      <c r="J10110" t="s">
        <v>33273</v>
      </c>
      <c r="K10110" t="s">
        <v>42624</v>
      </c>
      <c r="M10110" t="s">
        <v>45949</v>
      </c>
      <c r="N10110" t="s">
        <v>47304</v>
      </c>
      <c r="O10110" t="s">
        <v>47305</v>
      </c>
      <c r="P10110">
        <v>0</v>
      </c>
      <c r="Q10110">
        <v>7</v>
      </c>
      <c r="R10110" t="s">
        <v>47313</v>
      </c>
      <c r="S10110" t="s">
        <v>47535</v>
      </c>
      <c r="T10110" t="s">
        <v>49269</v>
      </c>
      <c r="U10110" t="s">
        <v>57910</v>
      </c>
      <c r="V10110" t="s">
        <v>63715</v>
      </c>
      <c r="W10110" t="s">
        <v>45949</v>
      </c>
      <c r="X10110" t="s">
        <v>47314</v>
      </c>
    </row>
    <row r="10111" spans="1:24">
      <c r="A10111">
        <f>HYPERLINK("https://www.philgeps.gov.ph/GEPSNONPILOT/Tender/SplashBidNoticeAbstractUI.aspx?menuIndex=3&amp;refID=7186368&amp;Result=3","7186368")</f>
        <v>0</v>
      </c>
      <c r="B10111" t="s">
        <v>3079</v>
      </c>
      <c r="C10111" t="s">
        <v>13391</v>
      </c>
      <c r="D10111" t="s">
        <v>19032</v>
      </c>
      <c r="E10111" t="s">
        <v>27725</v>
      </c>
      <c r="F10111" t="s">
        <v>32606</v>
      </c>
      <c r="G10111" t="s">
        <v>32618</v>
      </c>
      <c r="H10111" t="s">
        <v>32625</v>
      </c>
      <c r="I10111" t="s">
        <v>32625</v>
      </c>
      <c r="J10111" t="s">
        <v>39041</v>
      </c>
      <c r="K10111" t="s">
        <v>42648</v>
      </c>
      <c r="M10111" t="s">
        <v>46279</v>
      </c>
      <c r="N10111" t="s">
        <v>47304</v>
      </c>
      <c r="O10111" t="s">
        <v>47305</v>
      </c>
      <c r="P10111">
        <v>0</v>
      </c>
      <c r="Q10111">
        <v>1</v>
      </c>
      <c r="R10111" t="s">
        <v>47313</v>
      </c>
      <c r="S10111" t="s">
        <v>47535</v>
      </c>
      <c r="T10111" t="s">
        <v>49268</v>
      </c>
      <c r="U10111" t="s">
        <v>57911</v>
      </c>
      <c r="W10111" t="s">
        <v>64527</v>
      </c>
      <c r="X10111" t="s">
        <v>47314</v>
      </c>
    </row>
    <row r="10112" spans="1:24">
      <c r="A10112">
        <f>HYPERLINK("https://www.philgeps.gov.ph/GEPSNONPILOT/Tender/SplashBidNoticeAbstractUI.aspx?menuIndex=3&amp;refID=7186420&amp;Result=3","7186420")</f>
        <v>0</v>
      </c>
      <c r="B10112" t="s">
        <v>2115</v>
      </c>
      <c r="C10112" t="s">
        <v>13392</v>
      </c>
      <c r="D10112" t="s">
        <v>19008</v>
      </c>
      <c r="E10112" t="s">
        <v>27726</v>
      </c>
      <c r="F10112" t="s">
        <v>32606</v>
      </c>
      <c r="G10112" t="s">
        <v>32613</v>
      </c>
      <c r="H10112" t="s">
        <v>14201</v>
      </c>
      <c r="I10112" t="s">
        <v>32633</v>
      </c>
      <c r="J10112" t="s">
        <v>37908</v>
      </c>
      <c r="K10112" t="s">
        <v>42638</v>
      </c>
      <c r="M10112" t="s">
        <v>45202</v>
      </c>
      <c r="N10112" t="s">
        <v>47304</v>
      </c>
      <c r="O10112" t="s">
        <v>47305</v>
      </c>
      <c r="P10112">
        <v>0</v>
      </c>
      <c r="Q10112">
        <v>1</v>
      </c>
      <c r="R10112" t="s">
        <v>47313</v>
      </c>
      <c r="S10112" t="s">
        <v>47535</v>
      </c>
      <c r="T10112" t="s">
        <v>49071</v>
      </c>
      <c r="U10112" t="s">
        <v>57912</v>
      </c>
      <c r="V10112" t="s">
        <v>63377</v>
      </c>
      <c r="W10112" t="s">
        <v>45202</v>
      </c>
      <c r="X10112" t="s">
        <v>47314</v>
      </c>
    </row>
    <row r="10113" spans="1:24">
      <c r="A10113">
        <f>HYPERLINK("https://www.philgeps.gov.ph/GEPSNONPILOT/Tender/SplashBidNoticeAbstractUI.aspx?menuIndex=3&amp;refID=7186364&amp;Result=3","7186364")</f>
        <v>0</v>
      </c>
      <c r="B10113" t="s">
        <v>1221</v>
      </c>
      <c r="C10113" t="s">
        <v>13393</v>
      </c>
      <c r="D10113" t="s">
        <v>19063</v>
      </c>
      <c r="E10113" t="s">
        <v>27727</v>
      </c>
      <c r="F10113" t="s">
        <v>32606</v>
      </c>
      <c r="G10113" t="s">
        <v>32613</v>
      </c>
      <c r="H10113" t="s">
        <v>32623</v>
      </c>
      <c r="I10113" t="s">
        <v>17648</v>
      </c>
      <c r="J10113" t="s">
        <v>39042</v>
      </c>
      <c r="K10113" t="s">
        <v>42840</v>
      </c>
      <c r="M10113" t="s">
        <v>44186</v>
      </c>
      <c r="N10113" t="s">
        <v>47304</v>
      </c>
      <c r="O10113" t="s">
        <v>47305</v>
      </c>
      <c r="P10113">
        <v>0</v>
      </c>
      <c r="Q10113">
        <v>1</v>
      </c>
      <c r="R10113" t="s">
        <v>47313</v>
      </c>
      <c r="S10113" t="s">
        <v>47535</v>
      </c>
      <c r="T10113" t="s">
        <v>49086</v>
      </c>
      <c r="U10113" t="s">
        <v>57913</v>
      </c>
      <c r="W10113" t="s">
        <v>44186</v>
      </c>
      <c r="X10113" t="s">
        <v>47314</v>
      </c>
    </row>
    <row r="10114" spans="1:24">
      <c r="A10114">
        <f>HYPERLINK("https://www.philgeps.gov.ph/GEPSNONPILOT/Tender/SplashBidNoticeAbstractUI.aspx?menuIndex=3&amp;refID=7186263&amp;Result=3","7186263")</f>
        <v>0</v>
      </c>
      <c r="B10114" t="s">
        <v>3059</v>
      </c>
      <c r="C10114" t="s">
        <v>9874</v>
      </c>
      <c r="D10114" t="s">
        <v>19033</v>
      </c>
      <c r="E10114" t="s">
        <v>27728</v>
      </c>
      <c r="F10114" t="s">
        <v>32606</v>
      </c>
      <c r="G10114" t="s">
        <v>32613</v>
      </c>
      <c r="H10114" t="s">
        <v>32623</v>
      </c>
      <c r="I10114" t="s">
        <v>6931</v>
      </c>
      <c r="J10114" t="s">
        <v>39043</v>
      </c>
      <c r="K10114" t="s">
        <v>42631</v>
      </c>
      <c r="M10114" t="s">
        <v>46257</v>
      </c>
      <c r="N10114" t="s">
        <v>47304</v>
      </c>
      <c r="O10114" t="s">
        <v>47305</v>
      </c>
      <c r="P10114">
        <v>0</v>
      </c>
      <c r="Q10114">
        <v>0</v>
      </c>
      <c r="R10114" t="s">
        <v>47313</v>
      </c>
      <c r="S10114" t="s">
        <v>47535</v>
      </c>
      <c r="T10114" t="s">
        <v>49441</v>
      </c>
      <c r="U10114" t="s">
        <v>57914</v>
      </c>
      <c r="W10114" t="s">
        <v>46257</v>
      </c>
      <c r="X10114" t="s">
        <v>47314</v>
      </c>
    </row>
    <row r="10115" spans="1:24">
      <c r="A10115">
        <f>HYPERLINK("https://www.philgeps.gov.ph/GEPSNONPILOT/Tender/SplashBidNoticeAbstractUI.aspx?menuIndex=3&amp;refID=7186416&amp;Result=3","7186416")</f>
        <v>0</v>
      </c>
      <c r="B10115" t="s">
        <v>3073</v>
      </c>
      <c r="C10115" t="s">
        <v>13394</v>
      </c>
      <c r="D10115" t="s">
        <v>19004</v>
      </c>
      <c r="E10115" t="s">
        <v>21423</v>
      </c>
      <c r="F10115" t="s">
        <v>32606</v>
      </c>
      <c r="G10115" t="s">
        <v>32613</v>
      </c>
      <c r="H10115" t="s">
        <v>32623</v>
      </c>
      <c r="I10115" t="s">
        <v>17648</v>
      </c>
      <c r="J10115" t="s">
        <v>39044</v>
      </c>
      <c r="K10115" t="s">
        <v>42646</v>
      </c>
      <c r="M10115" t="s">
        <v>46272</v>
      </c>
      <c r="N10115" t="s">
        <v>47304</v>
      </c>
      <c r="O10115" t="s">
        <v>47305</v>
      </c>
      <c r="P10115">
        <v>0</v>
      </c>
      <c r="Q10115">
        <v>2</v>
      </c>
      <c r="R10115" t="s">
        <v>47313</v>
      </c>
      <c r="S10115" t="s">
        <v>47535</v>
      </c>
      <c r="T10115" t="s">
        <v>48979</v>
      </c>
      <c r="U10115" t="s">
        <v>57915</v>
      </c>
      <c r="W10115" t="s">
        <v>46272</v>
      </c>
      <c r="X10115" t="s">
        <v>47314</v>
      </c>
    </row>
    <row r="10116" spans="1:24">
      <c r="A10116">
        <f>HYPERLINK("https://www.philgeps.gov.ph/GEPSNONPILOT/Tender/SplashBidNoticeAbstractUI.aspx?menuIndex=3&amp;refID=7186413&amp;Result=3","7186413")</f>
        <v>0</v>
      </c>
      <c r="B10116" t="s">
        <v>2115</v>
      </c>
      <c r="C10116" t="s">
        <v>13395</v>
      </c>
      <c r="D10116" t="s">
        <v>19008</v>
      </c>
      <c r="E10116" t="s">
        <v>27729</v>
      </c>
      <c r="F10116" t="s">
        <v>32606</v>
      </c>
      <c r="G10116" t="s">
        <v>32613</v>
      </c>
      <c r="H10116" t="s">
        <v>14201</v>
      </c>
      <c r="I10116" t="s">
        <v>32638</v>
      </c>
      <c r="J10116" t="s">
        <v>39045</v>
      </c>
      <c r="K10116" t="s">
        <v>42638</v>
      </c>
      <c r="M10116" t="s">
        <v>45202</v>
      </c>
      <c r="N10116" t="s">
        <v>47304</v>
      </c>
      <c r="O10116" t="s">
        <v>47305</v>
      </c>
      <c r="P10116">
        <v>0</v>
      </c>
      <c r="Q10116">
        <v>5</v>
      </c>
      <c r="R10116" t="s">
        <v>47313</v>
      </c>
      <c r="S10116" t="s">
        <v>47535</v>
      </c>
      <c r="T10116" t="s">
        <v>49071</v>
      </c>
      <c r="U10116" t="s">
        <v>57916</v>
      </c>
      <c r="V10116" t="s">
        <v>63377</v>
      </c>
      <c r="W10116" t="s">
        <v>45202</v>
      </c>
      <c r="X10116" t="s">
        <v>47314</v>
      </c>
    </row>
    <row r="10117" spans="1:24">
      <c r="A10117">
        <f>HYPERLINK("https://www.philgeps.gov.ph/GEPSNONPILOT/Tender/SplashBidNoticeAbstractUI.aspx?menuIndex=3&amp;refID=7186366&amp;Result=3","7186366")</f>
        <v>0</v>
      </c>
      <c r="B10117" t="s">
        <v>1142</v>
      </c>
      <c r="C10117" t="s">
        <v>13396</v>
      </c>
      <c r="D10117" t="s">
        <v>19040</v>
      </c>
      <c r="E10117" t="s">
        <v>27730</v>
      </c>
      <c r="F10117" t="s">
        <v>32606</v>
      </c>
      <c r="G10117" t="s">
        <v>32614</v>
      </c>
      <c r="H10117" t="s">
        <v>14201</v>
      </c>
      <c r="I10117" t="s">
        <v>32693</v>
      </c>
      <c r="J10117" t="s">
        <v>39046</v>
      </c>
      <c r="K10117" t="s">
        <v>42622</v>
      </c>
      <c r="M10117" t="s">
        <v>44104</v>
      </c>
      <c r="N10117" t="s">
        <v>47304</v>
      </c>
      <c r="O10117" t="s">
        <v>47305</v>
      </c>
      <c r="P10117">
        <v>0</v>
      </c>
      <c r="Q10117">
        <v>3</v>
      </c>
      <c r="R10117" t="s">
        <v>47313</v>
      </c>
      <c r="S10117" t="s">
        <v>47535</v>
      </c>
      <c r="T10117" t="s">
        <v>49071</v>
      </c>
      <c r="U10117" t="s">
        <v>57917</v>
      </c>
      <c r="W10117" t="s">
        <v>44104</v>
      </c>
      <c r="X10117" t="s">
        <v>47314</v>
      </c>
    </row>
    <row r="10118" spans="1:24">
      <c r="A10118">
        <f>HYPERLINK("https://www.philgeps.gov.ph/GEPSNONPILOT/Tender/SplashBidNoticeAbstractUI.aspx?menuIndex=3&amp;refID=7186418&amp;Result=3","7186418")</f>
        <v>0</v>
      </c>
      <c r="B10118" t="s">
        <v>1245</v>
      </c>
      <c r="C10118" t="s">
        <v>13397</v>
      </c>
      <c r="D10118" t="s">
        <v>19039</v>
      </c>
      <c r="E10118" t="s">
        <v>27731</v>
      </c>
      <c r="F10118" t="s">
        <v>32606</v>
      </c>
      <c r="G10118" t="s">
        <v>32613</v>
      </c>
      <c r="H10118" t="s">
        <v>32623</v>
      </c>
      <c r="I10118" t="s">
        <v>32709</v>
      </c>
      <c r="J10118" t="s">
        <v>39047</v>
      </c>
      <c r="K10118" t="s">
        <v>42646</v>
      </c>
      <c r="M10118" t="s">
        <v>46280</v>
      </c>
      <c r="N10118" t="s">
        <v>47304</v>
      </c>
      <c r="O10118" t="s">
        <v>47305</v>
      </c>
      <c r="P10118">
        <v>0</v>
      </c>
      <c r="Q10118">
        <v>0</v>
      </c>
      <c r="R10118" t="s">
        <v>47313</v>
      </c>
      <c r="S10118" t="s">
        <v>47535</v>
      </c>
      <c r="T10118" t="s">
        <v>49008</v>
      </c>
      <c r="U10118" t="s">
        <v>57918</v>
      </c>
      <c r="W10118" t="s">
        <v>46280</v>
      </c>
      <c r="X10118" t="s">
        <v>47314</v>
      </c>
    </row>
    <row r="10119" spans="1:24">
      <c r="A10119">
        <f>HYPERLINK("https://www.philgeps.gov.ph/GEPSNONPILOT/Tender/SplashBidNoticeAbstractUI.aspx?menuIndex=3&amp;refID=7186412&amp;Result=3","7186412")</f>
        <v>0</v>
      </c>
      <c r="B10119" t="s">
        <v>1685</v>
      </c>
      <c r="C10119" t="s">
        <v>13398</v>
      </c>
      <c r="D10119" t="s">
        <v>19016</v>
      </c>
      <c r="E10119" t="s">
        <v>27732</v>
      </c>
      <c r="F10119" t="s">
        <v>32606</v>
      </c>
      <c r="G10119" t="s">
        <v>32613</v>
      </c>
      <c r="H10119" t="s">
        <v>32623</v>
      </c>
      <c r="I10119" t="s">
        <v>17648</v>
      </c>
      <c r="J10119" t="s">
        <v>32981</v>
      </c>
      <c r="K10119" t="s">
        <v>42631</v>
      </c>
      <c r="M10119" t="s">
        <v>44714</v>
      </c>
      <c r="N10119" t="s">
        <v>47304</v>
      </c>
      <c r="O10119" t="s">
        <v>47305</v>
      </c>
      <c r="P10119">
        <v>0</v>
      </c>
      <c r="Q10119">
        <v>0</v>
      </c>
      <c r="R10119" t="s">
        <v>47313</v>
      </c>
      <c r="S10119" t="s">
        <v>47535</v>
      </c>
      <c r="T10119" t="s">
        <v>48997</v>
      </c>
      <c r="U10119" t="s">
        <v>57919</v>
      </c>
      <c r="W10119" t="s">
        <v>44714</v>
      </c>
      <c r="X10119" t="s">
        <v>47314</v>
      </c>
    </row>
    <row r="10120" spans="1:24">
      <c r="A10120">
        <f>HYPERLINK("https://www.philgeps.gov.ph/GEPSNONPILOT/Tender/SplashBidNoticeAbstractUI.aspx?menuIndex=3&amp;refID=7186344&amp;Result=3","7186344")</f>
        <v>0</v>
      </c>
      <c r="B10120" t="s">
        <v>3080</v>
      </c>
      <c r="C10120" t="s">
        <v>13399</v>
      </c>
      <c r="D10120" t="s">
        <v>19038</v>
      </c>
      <c r="E10120" t="s">
        <v>27733</v>
      </c>
      <c r="F10120" t="s">
        <v>32606</v>
      </c>
      <c r="G10120" t="s">
        <v>32613</v>
      </c>
      <c r="H10120" t="s">
        <v>14201</v>
      </c>
      <c r="I10120" t="s">
        <v>9013</v>
      </c>
      <c r="J10120" t="s">
        <v>34128</v>
      </c>
      <c r="K10120" t="s">
        <v>42631</v>
      </c>
      <c r="M10120" t="s">
        <v>46281</v>
      </c>
      <c r="N10120" t="s">
        <v>47304</v>
      </c>
      <c r="O10120" t="s">
        <v>47305</v>
      </c>
      <c r="P10120">
        <v>0</v>
      </c>
      <c r="Q10120">
        <v>3</v>
      </c>
      <c r="R10120" t="s">
        <v>47313</v>
      </c>
      <c r="S10120" t="s">
        <v>47535</v>
      </c>
      <c r="T10120" t="s">
        <v>49066</v>
      </c>
      <c r="U10120" t="s">
        <v>57920</v>
      </c>
      <c r="W10120" t="s">
        <v>46281</v>
      </c>
      <c r="X10120" t="s">
        <v>47314</v>
      </c>
    </row>
    <row r="10121" spans="1:24">
      <c r="A10121">
        <f>HYPERLINK("https://www.philgeps.gov.ph/GEPSNONPILOT/Tender/SplashBidNoticeAbstractUI.aspx?menuIndex=3&amp;refID=7186274&amp;Result=3","7186274")</f>
        <v>0</v>
      </c>
      <c r="B10121" t="s">
        <v>745</v>
      </c>
      <c r="C10121" t="s">
        <v>13400</v>
      </c>
      <c r="D10121" t="s">
        <v>19043</v>
      </c>
      <c r="E10121" t="s">
        <v>27734</v>
      </c>
      <c r="F10121" t="s">
        <v>32606</v>
      </c>
      <c r="G10121" t="s">
        <v>32613</v>
      </c>
      <c r="H10121" t="s">
        <v>14201</v>
      </c>
      <c r="I10121" t="s">
        <v>6931</v>
      </c>
      <c r="J10121" t="s">
        <v>39048</v>
      </c>
      <c r="K10121" t="s">
        <v>42622</v>
      </c>
      <c r="M10121" t="s">
        <v>43668</v>
      </c>
      <c r="N10121" t="s">
        <v>47304</v>
      </c>
      <c r="O10121" t="s">
        <v>47305</v>
      </c>
      <c r="Q10121">
        <v>1</v>
      </c>
      <c r="R10121" t="s">
        <v>47313</v>
      </c>
      <c r="S10121" t="s">
        <v>47583</v>
      </c>
      <c r="T10121" t="s">
        <v>49160</v>
      </c>
      <c r="U10121" t="s">
        <v>57921</v>
      </c>
      <c r="W10121" t="s">
        <v>43668</v>
      </c>
      <c r="X10121" t="s">
        <v>47314</v>
      </c>
    </row>
    <row r="10122" spans="1:24">
      <c r="A10122">
        <f>HYPERLINK("https://www.philgeps.gov.ph/GEPSNONPILOT/Tender/SplashBidNoticeAbstractUI.aspx?menuIndex=3&amp;refID=7186407&amp;Result=3","7186407")</f>
        <v>0</v>
      </c>
      <c r="B10122" t="s">
        <v>3081</v>
      </c>
      <c r="C10122" t="s">
        <v>13401</v>
      </c>
      <c r="D10122" t="s">
        <v>19004</v>
      </c>
      <c r="E10122" t="s">
        <v>27735</v>
      </c>
      <c r="F10122" t="s">
        <v>32606</v>
      </c>
      <c r="G10122" t="s">
        <v>32619</v>
      </c>
      <c r="H10122" t="s">
        <v>14201</v>
      </c>
      <c r="I10122" t="s">
        <v>7577</v>
      </c>
      <c r="J10122" t="s">
        <v>36568</v>
      </c>
      <c r="K10122" t="s">
        <v>42622</v>
      </c>
      <c r="M10122" t="s">
        <v>46282</v>
      </c>
      <c r="N10122" t="s">
        <v>47304</v>
      </c>
      <c r="O10122" t="s">
        <v>47305</v>
      </c>
      <c r="P10122">
        <v>0</v>
      </c>
      <c r="Q10122">
        <v>1</v>
      </c>
      <c r="R10122" t="s">
        <v>47313</v>
      </c>
      <c r="S10122" t="s">
        <v>47535</v>
      </c>
      <c r="T10122" t="s">
        <v>48979</v>
      </c>
      <c r="U10122" t="s">
        <v>57922</v>
      </c>
      <c r="W10122" t="s">
        <v>64528</v>
      </c>
      <c r="X10122" t="s">
        <v>47314</v>
      </c>
    </row>
    <row r="10123" spans="1:24">
      <c r="A10123">
        <f>HYPERLINK("https://www.philgeps.gov.ph/GEPSNONPILOT/Tender/SplashBidNoticeAbstractUI.aspx?menuIndex=3&amp;refID=7186399&amp;Result=3","7186399")</f>
        <v>0</v>
      </c>
      <c r="B10123" t="s">
        <v>3082</v>
      </c>
      <c r="C10123" t="s">
        <v>13402</v>
      </c>
      <c r="D10123" t="s">
        <v>19041</v>
      </c>
      <c r="E10123" t="s">
        <v>27736</v>
      </c>
      <c r="F10123" t="s">
        <v>32606</v>
      </c>
      <c r="G10123" t="s">
        <v>32613</v>
      </c>
      <c r="H10123" t="s">
        <v>32625</v>
      </c>
      <c r="I10123" t="s">
        <v>32625</v>
      </c>
      <c r="J10123" t="s">
        <v>32861</v>
      </c>
      <c r="K10123" t="s">
        <v>42639</v>
      </c>
      <c r="M10123" t="s">
        <v>46283</v>
      </c>
      <c r="N10123" t="s">
        <v>47304</v>
      </c>
      <c r="O10123" t="s">
        <v>47305</v>
      </c>
      <c r="Q10123">
        <v>8</v>
      </c>
      <c r="R10123" t="s">
        <v>47313</v>
      </c>
      <c r="S10123" t="s">
        <v>47584</v>
      </c>
      <c r="T10123" t="s">
        <v>49087</v>
      </c>
      <c r="U10123" t="s">
        <v>57923</v>
      </c>
      <c r="W10123" t="s">
        <v>46283</v>
      </c>
      <c r="X10123" t="s">
        <v>47314</v>
      </c>
    </row>
    <row r="10124" spans="1:24">
      <c r="A10124">
        <f>HYPERLINK("https://www.philgeps.gov.ph/GEPSNONPILOT/Tender/SplashBidNoticeAbstractUI.aspx?menuIndex=3&amp;refID=7186397&amp;Result=3","7186397")</f>
        <v>0</v>
      </c>
      <c r="B10124" t="s">
        <v>3073</v>
      </c>
      <c r="C10124" t="s">
        <v>13403</v>
      </c>
      <c r="D10124" t="s">
        <v>19004</v>
      </c>
      <c r="E10124" t="s">
        <v>21411</v>
      </c>
      <c r="F10124" t="s">
        <v>32606</v>
      </c>
      <c r="G10124" t="s">
        <v>32613</v>
      </c>
      <c r="H10124" t="s">
        <v>32623</v>
      </c>
      <c r="I10124" t="s">
        <v>17648</v>
      </c>
      <c r="J10124" t="s">
        <v>39049</v>
      </c>
      <c r="K10124" t="s">
        <v>42646</v>
      </c>
      <c r="M10124" t="s">
        <v>46272</v>
      </c>
      <c r="N10124" t="s">
        <v>47304</v>
      </c>
      <c r="O10124" t="s">
        <v>47305</v>
      </c>
      <c r="P10124">
        <v>0</v>
      </c>
      <c r="Q10124">
        <v>4</v>
      </c>
      <c r="R10124" t="s">
        <v>47313</v>
      </c>
      <c r="S10124" t="s">
        <v>47535</v>
      </c>
      <c r="T10124" t="s">
        <v>48979</v>
      </c>
      <c r="U10124" t="s">
        <v>57924</v>
      </c>
      <c r="W10124" t="s">
        <v>46272</v>
      </c>
      <c r="X10124" t="s">
        <v>47314</v>
      </c>
    </row>
    <row r="10125" spans="1:24">
      <c r="A10125">
        <f>HYPERLINK("https://www.philgeps.gov.ph/GEPSNONPILOT/Tender/SplashBidNoticeAbstractUI.aspx?menuIndex=3&amp;refID=7186389&amp;Result=3","7186389")</f>
        <v>0</v>
      </c>
      <c r="B10125" t="s">
        <v>1660</v>
      </c>
      <c r="C10125" t="s">
        <v>13404</v>
      </c>
      <c r="D10125" t="s">
        <v>19011</v>
      </c>
      <c r="E10125" t="s">
        <v>27737</v>
      </c>
      <c r="F10125" t="s">
        <v>32606</v>
      </c>
      <c r="G10125" t="s">
        <v>32615</v>
      </c>
      <c r="H10125" t="s">
        <v>14201</v>
      </c>
      <c r="I10125" t="s">
        <v>7677</v>
      </c>
      <c r="J10125" t="s">
        <v>39050</v>
      </c>
      <c r="K10125" t="s">
        <v>42623</v>
      </c>
      <c r="M10125" t="s">
        <v>44685</v>
      </c>
      <c r="N10125" t="s">
        <v>47304</v>
      </c>
      <c r="O10125" t="s">
        <v>47305</v>
      </c>
      <c r="P10125">
        <v>0</v>
      </c>
      <c r="Q10125">
        <v>4</v>
      </c>
      <c r="R10125" t="s">
        <v>47313</v>
      </c>
      <c r="S10125" t="s">
        <v>47535</v>
      </c>
      <c r="T10125" t="s">
        <v>49269</v>
      </c>
      <c r="U10125" t="s">
        <v>57925</v>
      </c>
      <c r="V10125" t="s">
        <v>63054</v>
      </c>
      <c r="W10125" t="s">
        <v>44685</v>
      </c>
      <c r="X10125" t="s">
        <v>47314</v>
      </c>
    </row>
    <row r="10126" spans="1:24">
      <c r="A10126">
        <f>HYPERLINK("https://www.philgeps.gov.ph/GEPSNONPILOT/Tender/SplashBidNoticeAbstractUI.aspx?menuIndex=3&amp;refID=7186380&amp;Result=3","7186380")</f>
        <v>0</v>
      </c>
      <c r="B10126" t="s">
        <v>2031</v>
      </c>
      <c r="C10126" t="s">
        <v>13405</v>
      </c>
      <c r="D10126" t="s">
        <v>19010</v>
      </c>
      <c r="E10126" t="s">
        <v>27738</v>
      </c>
      <c r="F10126" t="s">
        <v>32607</v>
      </c>
      <c r="G10126" t="s">
        <v>32613</v>
      </c>
      <c r="H10126" t="s">
        <v>32623</v>
      </c>
      <c r="I10126" t="s">
        <v>17648</v>
      </c>
      <c r="J10126" t="s">
        <v>39051</v>
      </c>
      <c r="K10126" t="s">
        <v>42683</v>
      </c>
      <c r="M10126" t="s">
        <v>45107</v>
      </c>
      <c r="N10126" t="s">
        <v>47304</v>
      </c>
      <c r="O10126" t="s">
        <v>47305</v>
      </c>
      <c r="P10126">
        <v>0</v>
      </c>
      <c r="Q10126">
        <v>4</v>
      </c>
      <c r="R10126" t="s">
        <v>47313</v>
      </c>
      <c r="S10126" t="s">
        <v>47535</v>
      </c>
      <c r="T10126" t="s">
        <v>49234</v>
      </c>
      <c r="U10126" t="s">
        <v>54607</v>
      </c>
      <c r="V10126" t="s">
        <v>63224</v>
      </c>
      <c r="W10126" t="s">
        <v>45107</v>
      </c>
      <c r="X10126" t="s">
        <v>47314</v>
      </c>
    </row>
    <row r="10127" spans="1:24">
      <c r="A10127">
        <f>HYPERLINK("https://www.philgeps.gov.ph/GEPSNONPILOT/Tender/SplashBidNoticeAbstractUI.aspx?menuIndex=3&amp;refID=7186411&amp;Result=3","7186411")</f>
        <v>0</v>
      </c>
      <c r="B10127" t="s">
        <v>3082</v>
      </c>
      <c r="C10127" t="s">
        <v>13406</v>
      </c>
      <c r="D10127" t="s">
        <v>19041</v>
      </c>
      <c r="E10127" t="s">
        <v>27739</v>
      </c>
      <c r="F10127" t="s">
        <v>32606</v>
      </c>
      <c r="G10127" t="s">
        <v>32613</v>
      </c>
      <c r="H10127" t="s">
        <v>32625</v>
      </c>
      <c r="I10127" t="s">
        <v>32625</v>
      </c>
      <c r="J10127" t="s">
        <v>39052</v>
      </c>
      <c r="K10127" t="s">
        <v>42841</v>
      </c>
      <c r="M10127" t="s">
        <v>46283</v>
      </c>
      <c r="N10127" t="s">
        <v>47304</v>
      </c>
      <c r="O10127" t="s">
        <v>47305</v>
      </c>
      <c r="Q10127">
        <v>5</v>
      </c>
      <c r="R10127" t="s">
        <v>47313</v>
      </c>
      <c r="S10127" t="s">
        <v>47415</v>
      </c>
      <c r="T10127" t="s">
        <v>49087</v>
      </c>
      <c r="U10127" t="s">
        <v>57926</v>
      </c>
      <c r="W10127" t="s">
        <v>46283</v>
      </c>
      <c r="X10127" t="s">
        <v>47314</v>
      </c>
    </row>
    <row r="10128" spans="1:24">
      <c r="A10128">
        <f>HYPERLINK("https://www.philgeps.gov.ph/GEPSNONPILOT/Tender/SplashBidNoticeAbstractUI.aspx?menuIndex=3&amp;refID=7186409&amp;Result=3","7186409")</f>
        <v>0</v>
      </c>
      <c r="B10128" t="s">
        <v>2416</v>
      </c>
      <c r="C10128" t="s">
        <v>13407</v>
      </c>
      <c r="D10128" t="s">
        <v>19008</v>
      </c>
      <c r="E10128" t="s">
        <v>27740</v>
      </c>
      <c r="F10128" t="s">
        <v>32606</v>
      </c>
      <c r="G10128" t="s">
        <v>32613</v>
      </c>
      <c r="H10128" t="s">
        <v>14201</v>
      </c>
      <c r="I10128" t="s">
        <v>4115</v>
      </c>
      <c r="J10128" t="s">
        <v>38568</v>
      </c>
      <c r="K10128" t="s">
        <v>42627</v>
      </c>
      <c r="M10128" t="s">
        <v>45541</v>
      </c>
      <c r="N10128" t="s">
        <v>47304</v>
      </c>
      <c r="O10128" t="s">
        <v>47305</v>
      </c>
      <c r="P10128">
        <v>0</v>
      </c>
      <c r="Q10128">
        <v>3</v>
      </c>
      <c r="R10128" t="s">
        <v>47313</v>
      </c>
      <c r="S10128" t="s">
        <v>47535</v>
      </c>
      <c r="T10128" t="s">
        <v>49315</v>
      </c>
      <c r="U10128" t="s">
        <v>57927</v>
      </c>
      <c r="W10128" t="s">
        <v>45541</v>
      </c>
      <c r="X10128" t="s">
        <v>47314</v>
      </c>
    </row>
    <row r="10129" spans="1:24">
      <c r="A10129">
        <f>HYPERLINK("https://www.philgeps.gov.ph/GEPSNONPILOT/Tender/SplashBidNoticeAbstractUI.aspx?menuIndex=3&amp;refID=7186374&amp;Result=3","7186374")</f>
        <v>0</v>
      </c>
      <c r="B10129" t="s">
        <v>1685</v>
      </c>
      <c r="C10129" t="s">
        <v>13408</v>
      </c>
      <c r="D10129" t="s">
        <v>19016</v>
      </c>
      <c r="E10129" t="s">
        <v>27741</v>
      </c>
      <c r="F10129" t="s">
        <v>32606</v>
      </c>
      <c r="G10129" t="s">
        <v>32613</v>
      </c>
      <c r="H10129" t="s">
        <v>32623</v>
      </c>
      <c r="I10129" t="s">
        <v>17648</v>
      </c>
      <c r="J10129" t="s">
        <v>32781</v>
      </c>
      <c r="K10129" t="s">
        <v>42631</v>
      </c>
      <c r="M10129" t="s">
        <v>44714</v>
      </c>
      <c r="N10129" t="s">
        <v>47304</v>
      </c>
      <c r="O10129" t="s">
        <v>47305</v>
      </c>
      <c r="P10129">
        <v>0</v>
      </c>
      <c r="Q10129">
        <v>1</v>
      </c>
      <c r="R10129" t="s">
        <v>47313</v>
      </c>
      <c r="S10129" t="s">
        <v>47535</v>
      </c>
      <c r="T10129" t="s">
        <v>48997</v>
      </c>
      <c r="U10129" t="s">
        <v>57928</v>
      </c>
      <c r="W10129" t="s">
        <v>44714</v>
      </c>
      <c r="X10129" t="s">
        <v>47314</v>
      </c>
    </row>
    <row r="10130" spans="1:24">
      <c r="A10130">
        <f>HYPERLINK("https://www.philgeps.gov.ph/GEPSNONPILOT/Tender/SplashBidNoticeAbstractUI.aspx?menuIndex=3&amp;refID=7186373&amp;Result=3","7186373")</f>
        <v>0</v>
      </c>
      <c r="B10130" t="s">
        <v>1688</v>
      </c>
      <c r="C10130" t="s">
        <v>13409</v>
      </c>
      <c r="D10130" t="s">
        <v>19015</v>
      </c>
      <c r="E10130" t="s">
        <v>27742</v>
      </c>
      <c r="F10130" t="s">
        <v>32606</v>
      </c>
      <c r="G10130" t="s">
        <v>32613</v>
      </c>
      <c r="H10130" t="s">
        <v>32623</v>
      </c>
      <c r="I10130" t="s">
        <v>17648</v>
      </c>
      <c r="J10130" t="s">
        <v>32772</v>
      </c>
      <c r="K10130" t="s">
        <v>42636</v>
      </c>
      <c r="M10130" t="s">
        <v>44717</v>
      </c>
      <c r="N10130" t="s">
        <v>47304</v>
      </c>
      <c r="O10130" t="s">
        <v>47305</v>
      </c>
      <c r="P10130">
        <v>0</v>
      </c>
      <c r="Q10130">
        <v>46</v>
      </c>
      <c r="R10130" t="s">
        <v>47313</v>
      </c>
      <c r="S10130" t="s">
        <v>47535</v>
      </c>
      <c r="T10130" t="s">
        <v>49324</v>
      </c>
      <c r="U10130" t="s">
        <v>57929</v>
      </c>
      <c r="V10130" t="s">
        <v>62763</v>
      </c>
      <c r="W10130" t="s">
        <v>44717</v>
      </c>
      <c r="X10130" t="s">
        <v>47314</v>
      </c>
    </row>
    <row r="10131" spans="1:24">
      <c r="A10131">
        <f>HYPERLINK("https://www.philgeps.gov.ph/GEPSNONPILOT/Tender/SplashBidNoticeAbstractUI.aspx?menuIndex=3&amp;refID=7186372&amp;Result=3","7186372")</f>
        <v>0</v>
      </c>
      <c r="B10131" t="s">
        <v>972</v>
      </c>
      <c r="C10131" t="s">
        <v>13410</v>
      </c>
      <c r="E10131" t="s">
        <v>27743</v>
      </c>
      <c r="F10131" t="s">
        <v>32606</v>
      </c>
      <c r="G10131" t="s">
        <v>32613</v>
      </c>
      <c r="H10131" t="s">
        <v>32624</v>
      </c>
      <c r="I10131" t="s">
        <v>32693</v>
      </c>
      <c r="J10131" t="s">
        <v>39053</v>
      </c>
      <c r="K10131" t="s">
        <v>42623</v>
      </c>
      <c r="M10131" t="s">
        <v>43918</v>
      </c>
      <c r="N10131" t="s">
        <v>47304</v>
      </c>
      <c r="O10131" t="s">
        <v>47305</v>
      </c>
      <c r="Q10131">
        <v>4</v>
      </c>
      <c r="R10131" t="s">
        <v>47313</v>
      </c>
      <c r="S10131" t="s">
        <v>47585</v>
      </c>
      <c r="T10131" t="s">
        <v>49052</v>
      </c>
      <c r="U10131" t="s">
        <v>57930</v>
      </c>
      <c r="W10131" t="s">
        <v>43918</v>
      </c>
      <c r="X10131" t="s">
        <v>47314</v>
      </c>
    </row>
    <row r="10132" spans="1:24">
      <c r="A10132">
        <f>HYPERLINK("https://www.philgeps.gov.ph/GEPSNONPILOT/Tender/SplashBidNoticeAbstractUI.aspx?menuIndex=3&amp;refID=7186329&amp;Result=3","7186329")</f>
        <v>0</v>
      </c>
      <c r="B10132" t="s">
        <v>1914</v>
      </c>
      <c r="C10132" t="s">
        <v>13411</v>
      </c>
      <c r="D10132" t="s">
        <v>19047</v>
      </c>
      <c r="E10132" t="s">
        <v>27744</v>
      </c>
      <c r="F10132" t="s">
        <v>32606</v>
      </c>
      <c r="G10132" t="s">
        <v>32613</v>
      </c>
      <c r="H10132" t="s">
        <v>32623</v>
      </c>
      <c r="I10132" t="s">
        <v>17648</v>
      </c>
      <c r="J10132" t="s">
        <v>39054</v>
      </c>
      <c r="K10132" t="s">
        <v>42791</v>
      </c>
      <c r="M10132" t="s">
        <v>44973</v>
      </c>
      <c r="N10132" t="s">
        <v>47304</v>
      </c>
      <c r="O10132" t="s">
        <v>47305</v>
      </c>
      <c r="P10132">
        <v>0</v>
      </c>
      <c r="Q10132">
        <v>0</v>
      </c>
      <c r="R10132" t="s">
        <v>47313</v>
      </c>
      <c r="S10132" t="s">
        <v>47535</v>
      </c>
      <c r="T10132" t="s">
        <v>49052</v>
      </c>
      <c r="U10132" t="s">
        <v>57931</v>
      </c>
      <c r="W10132" t="s">
        <v>44973</v>
      </c>
      <c r="X10132" t="s">
        <v>47314</v>
      </c>
    </row>
    <row r="10133" spans="1:24">
      <c r="A10133">
        <f>HYPERLINK("https://www.philgeps.gov.ph/GEPSNONPILOT/Tender/SplashBidNoticeAbstractUI.aspx?menuIndex=3&amp;refID=7186323&amp;Result=3","7186323")</f>
        <v>0</v>
      </c>
      <c r="B10133" t="s">
        <v>3031</v>
      </c>
      <c r="C10133" t="s">
        <v>13412</v>
      </c>
      <c r="D10133" t="s">
        <v>19003</v>
      </c>
      <c r="E10133" t="s">
        <v>27745</v>
      </c>
      <c r="F10133" t="s">
        <v>32606</v>
      </c>
      <c r="G10133" t="s">
        <v>32613</v>
      </c>
      <c r="H10133" t="s">
        <v>32623</v>
      </c>
      <c r="I10133" t="s">
        <v>17648</v>
      </c>
      <c r="J10133" t="s">
        <v>34128</v>
      </c>
      <c r="K10133" t="s">
        <v>42814</v>
      </c>
      <c r="M10133" t="s">
        <v>46224</v>
      </c>
      <c r="N10133" t="s">
        <v>47304</v>
      </c>
      <c r="O10133" t="s">
        <v>47305</v>
      </c>
      <c r="P10133">
        <v>0</v>
      </c>
      <c r="Q10133">
        <v>1</v>
      </c>
      <c r="R10133" t="s">
        <v>47313</v>
      </c>
      <c r="S10133" t="s">
        <v>47535</v>
      </c>
      <c r="T10133" t="s">
        <v>49052</v>
      </c>
      <c r="U10133" t="s">
        <v>57932</v>
      </c>
      <c r="V10133" t="s">
        <v>63687</v>
      </c>
      <c r="W10133" t="s">
        <v>46224</v>
      </c>
      <c r="X10133" t="s">
        <v>47314</v>
      </c>
    </row>
    <row r="10134" spans="1:24">
      <c r="A10134">
        <f>HYPERLINK("https://www.philgeps.gov.ph/GEPSNONPILOT/Tender/SplashBidNoticeAbstractUI.aspx?menuIndex=3&amp;refID=7186393&amp;Result=3","7186393")</f>
        <v>0</v>
      </c>
      <c r="B10134" t="s">
        <v>2031</v>
      </c>
      <c r="C10134" t="s">
        <v>13413</v>
      </c>
      <c r="D10134" t="s">
        <v>19010</v>
      </c>
      <c r="E10134" t="s">
        <v>27746</v>
      </c>
      <c r="F10134" t="s">
        <v>32607</v>
      </c>
      <c r="G10134" t="s">
        <v>32613</v>
      </c>
      <c r="H10134" t="s">
        <v>32623</v>
      </c>
      <c r="I10134" t="s">
        <v>17648</v>
      </c>
      <c r="J10134" t="s">
        <v>39055</v>
      </c>
      <c r="K10134" t="s">
        <v>42775</v>
      </c>
      <c r="M10134" t="s">
        <v>45107</v>
      </c>
      <c r="N10134" t="s">
        <v>47304</v>
      </c>
      <c r="O10134" t="s">
        <v>47305</v>
      </c>
      <c r="P10134">
        <v>0</v>
      </c>
      <c r="Q10134">
        <v>7</v>
      </c>
      <c r="R10134" t="s">
        <v>47313</v>
      </c>
      <c r="S10134" t="s">
        <v>47535</v>
      </c>
      <c r="T10134" t="s">
        <v>49234</v>
      </c>
      <c r="U10134" t="s">
        <v>54607</v>
      </c>
      <c r="V10134" t="s">
        <v>63224</v>
      </c>
      <c r="W10134" t="s">
        <v>45107</v>
      </c>
      <c r="X10134" t="s">
        <v>47314</v>
      </c>
    </row>
    <row r="10135" spans="1:24">
      <c r="A10135">
        <f>HYPERLINK("https://www.philgeps.gov.ph/GEPSNONPILOT/Tender/SplashBidNoticeAbstractUI.aspx?menuIndex=3&amp;refID=7186321&amp;Result=3","7186321")</f>
        <v>0</v>
      </c>
      <c r="B10135" t="s">
        <v>3074</v>
      </c>
      <c r="C10135" t="s">
        <v>13414</v>
      </c>
      <c r="D10135" t="s">
        <v>19024</v>
      </c>
      <c r="E10135" t="s">
        <v>27747</v>
      </c>
      <c r="F10135" t="s">
        <v>32606</v>
      </c>
      <c r="G10135" t="s">
        <v>32614</v>
      </c>
      <c r="H10135" t="s">
        <v>14201</v>
      </c>
      <c r="I10135" t="s">
        <v>6931</v>
      </c>
      <c r="J10135" t="s">
        <v>39056</v>
      </c>
      <c r="K10135" t="s">
        <v>42630</v>
      </c>
      <c r="M10135" t="s">
        <v>46273</v>
      </c>
      <c r="N10135" t="s">
        <v>47304</v>
      </c>
      <c r="O10135" t="s">
        <v>47305</v>
      </c>
      <c r="P10135">
        <v>0</v>
      </c>
      <c r="Q10135">
        <v>1</v>
      </c>
      <c r="R10135" t="s">
        <v>47313</v>
      </c>
      <c r="S10135" t="s">
        <v>47535</v>
      </c>
      <c r="T10135" t="s">
        <v>49267</v>
      </c>
      <c r="U10135" t="s">
        <v>57876</v>
      </c>
      <c r="W10135" t="s">
        <v>46273</v>
      </c>
      <c r="X10135" t="s">
        <v>47314</v>
      </c>
    </row>
    <row r="10136" spans="1:24">
      <c r="A10136">
        <f>HYPERLINK("https://www.philgeps.gov.ph/GEPSNONPILOT/Tender/SplashBidNoticeAbstractUI.aspx?menuIndex=3&amp;refID=7186318&amp;Result=3","7186318")</f>
        <v>0</v>
      </c>
      <c r="B10136" t="s">
        <v>3073</v>
      </c>
      <c r="C10136" t="s">
        <v>13415</v>
      </c>
      <c r="D10136" t="s">
        <v>19004</v>
      </c>
      <c r="E10136" t="s">
        <v>24603</v>
      </c>
      <c r="F10136" t="s">
        <v>32606</v>
      </c>
      <c r="G10136" t="s">
        <v>32613</v>
      </c>
      <c r="H10136" t="s">
        <v>32623</v>
      </c>
      <c r="I10136" t="s">
        <v>17648</v>
      </c>
      <c r="J10136" t="s">
        <v>39057</v>
      </c>
      <c r="K10136" t="s">
        <v>42646</v>
      </c>
      <c r="M10136" t="s">
        <v>46272</v>
      </c>
      <c r="N10136" t="s">
        <v>47304</v>
      </c>
      <c r="O10136" t="s">
        <v>47305</v>
      </c>
      <c r="P10136">
        <v>0</v>
      </c>
      <c r="Q10136">
        <v>3</v>
      </c>
      <c r="R10136" t="s">
        <v>47313</v>
      </c>
      <c r="S10136" t="s">
        <v>47535</v>
      </c>
      <c r="T10136" t="s">
        <v>48979</v>
      </c>
      <c r="U10136" t="s">
        <v>57933</v>
      </c>
      <c r="W10136" t="s">
        <v>46272</v>
      </c>
      <c r="X10136" t="s">
        <v>47314</v>
      </c>
    </row>
    <row r="10137" spans="1:24">
      <c r="A10137">
        <f>HYPERLINK("https://www.philgeps.gov.ph/GEPSNONPILOT/Tender/SplashBidNoticeAbstractUI.aspx?menuIndex=3&amp;refID=7186382&amp;Result=3","7186382")</f>
        <v>0</v>
      </c>
      <c r="B10137" t="s">
        <v>1709</v>
      </c>
      <c r="C10137" t="s">
        <v>13416</v>
      </c>
      <c r="D10137" t="s">
        <v>19032</v>
      </c>
      <c r="E10137" t="s">
        <v>27748</v>
      </c>
      <c r="F10137" t="s">
        <v>32606</v>
      </c>
      <c r="G10137" t="s">
        <v>32613</v>
      </c>
      <c r="H10137" t="s">
        <v>14201</v>
      </c>
      <c r="I10137" t="s">
        <v>32665</v>
      </c>
      <c r="J10137" t="s">
        <v>39058</v>
      </c>
      <c r="K10137" t="s">
        <v>42622</v>
      </c>
      <c r="M10137" t="s">
        <v>46276</v>
      </c>
      <c r="N10137" t="s">
        <v>47304</v>
      </c>
      <c r="O10137" t="s">
        <v>47305</v>
      </c>
      <c r="P10137">
        <v>0</v>
      </c>
      <c r="Q10137">
        <v>0</v>
      </c>
      <c r="R10137" t="s">
        <v>47313</v>
      </c>
      <c r="S10137" t="s">
        <v>47535</v>
      </c>
      <c r="T10137" t="s">
        <v>48996</v>
      </c>
      <c r="U10137" t="s">
        <v>57934</v>
      </c>
      <c r="V10137" t="s">
        <v>63710</v>
      </c>
      <c r="W10137" t="s">
        <v>46276</v>
      </c>
      <c r="X10137" t="s">
        <v>47314</v>
      </c>
    </row>
    <row r="10138" spans="1:24">
      <c r="A10138">
        <f>HYPERLINK("https://www.philgeps.gov.ph/GEPSNONPILOT/Tender/SplashBidNoticeAbstractUI.aspx?menuIndex=3&amp;refID=7186461&amp;Result=3","7186461")</f>
        <v>0</v>
      </c>
      <c r="B10138" t="s">
        <v>3073</v>
      </c>
      <c r="C10138" t="s">
        <v>13417</v>
      </c>
      <c r="D10138" t="s">
        <v>19004</v>
      </c>
      <c r="E10138" t="s">
        <v>24855</v>
      </c>
      <c r="F10138" t="s">
        <v>32606</v>
      </c>
      <c r="G10138" t="s">
        <v>32613</v>
      </c>
      <c r="H10138" t="s">
        <v>32623</v>
      </c>
      <c r="I10138" t="s">
        <v>17648</v>
      </c>
      <c r="J10138" t="s">
        <v>39059</v>
      </c>
      <c r="K10138" t="s">
        <v>42646</v>
      </c>
      <c r="M10138" t="s">
        <v>46272</v>
      </c>
      <c r="N10138" t="s">
        <v>47304</v>
      </c>
      <c r="O10138" t="s">
        <v>47305</v>
      </c>
      <c r="P10138">
        <v>0</v>
      </c>
      <c r="Q10138">
        <v>4</v>
      </c>
      <c r="R10138" t="s">
        <v>47313</v>
      </c>
      <c r="S10138" t="s">
        <v>47535</v>
      </c>
      <c r="T10138" t="s">
        <v>48997</v>
      </c>
      <c r="U10138" t="s">
        <v>57935</v>
      </c>
      <c r="W10138" t="s">
        <v>46272</v>
      </c>
      <c r="X10138" t="s">
        <v>47314</v>
      </c>
    </row>
    <row r="10139" spans="1:24">
      <c r="A10139">
        <f>HYPERLINK("https://www.philgeps.gov.ph/GEPSNONPILOT/Tender/SplashBidNoticeAbstractUI.aspx?menuIndex=3&amp;refID=7186415&amp;Result=3","7186415")</f>
        <v>0</v>
      </c>
      <c r="B10139" t="s">
        <v>3081</v>
      </c>
      <c r="C10139" t="s">
        <v>13418</v>
      </c>
      <c r="D10139" t="s">
        <v>19004</v>
      </c>
      <c r="E10139" t="s">
        <v>27749</v>
      </c>
      <c r="F10139" t="s">
        <v>32606</v>
      </c>
      <c r="G10139" t="s">
        <v>32619</v>
      </c>
      <c r="H10139" t="s">
        <v>14201</v>
      </c>
      <c r="I10139" t="s">
        <v>6931</v>
      </c>
      <c r="J10139" t="s">
        <v>39060</v>
      </c>
      <c r="K10139" t="s">
        <v>42630</v>
      </c>
      <c r="M10139" t="s">
        <v>46282</v>
      </c>
      <c r="N10139" t="s">
        <v>47304</v>
      </c>
      <c r="O10139" t="s">
        <v>47305</v>
      </c>
      <c r="P10139">
        <v>0</v>
      </c>
      <c r="Q10139">
        <v>0</v>
      </c>
      <c r="R10139" t="s">
        <v>47313</v>
      </c>
      <c r="S10139" t="s">
        <v>47535</v>
      </c>
      <c r="T10139" t="s">
        <v>48979</v>
      </c>
      <c r="U10139" t="s">
        <v>52157</v>
      </c>
      <c r="W10139" t="s">
        <v>64528</v>
      </c>
      <c r="X10139" t="s">
        <v>47314</v>
      </c>
    </row>
    <row r="10140" spans="1:24">
      <c r="A10140">
        <f>HYPERLINK("https://www.philgeps.gov.ph/GEPSNONPILOT/Tender/SplashBidNoticeAbstractUI.aspx?menuIndex=3&amp;refID=7186456&amp;Result=3","7186456")</f>
        <v>0</v>
      </c>
      <c r="B10140" t="s">
        <v>3083</v>
      </c>
      <c r="C10140" t="s">
        <v>13419</v>
      </c>
      <c r="D10140" t="s">
        <v>19060</v>
      </c>
      <c r="E10140" t="s">
        <v>20519</v>
      </c>
      <c r="F10140" t="s">
        <v>32606</v>
      </c>
      <c r="G10140" t="s">
        <v>32613</v>
      </c>
      <c r="H10140" t="s">
        <v>14201</v>
      </c>
      <c r="I10140" t="s">
        <v>7677</v>
      </c>
      <c r="J10140" t="s">
        <v>39061</v>
      </c>
      <c r="K10140" t="s">
        <v>42631</v>
      </c>
      <c r="M10140" t="s">
        <v>46284</v>
      </c>
      <c r="N10140" t="s">
        <v>47304</v>
      </c>
      <c r="O10140" t="s">
        <v>47305</v>
      </c>
      <c r="P10140">
        <v>0</v>
      </c>
      <c r="Q10140">
        <v>7</v>
      </c>
      <c r="R10140" t="s">
        <v>47313</v>
      </c>
      <c r="S10140" t="s">
        <v>47535</v>
      </c>
      <c r="T10140" t="s">
        <v>49171</v>
      </c>
      <c r="U10140" t="s">
        <v>57936</v>
      </c>
      <c r="W10140" t="s">
        <v>46284</v>
      </c>
      <c r="X10140" t="s">
        <v>47314</v>
      </c>
    </row>
    <row r="10141" spans="1:24">
      <c r="A10141">
        <f>HYPERLINK("https://www.philgeps.gov.ph/GEPSNONPILOT/Tender/SplashBidNoticeAbstractUI.aspx?menuIndex=3&amp;refID=7186451&amp;Result=3","7186451")</f>
        <v>0</v>
      </c>
      <c r="B10141" t="s">
        <v>3073</v>
      </c>
      <c r="C10141" t="s">
        <v>13420</v>
      </c>
      <c r="D10141" t="s">
        <v>19004</v>
      </c>
      <c r="E10141" t="s">
        <v>22775</v>
      </c>
      <c r="F10141" t="s">
        <v>32606</v>
      </c>
      <c r="G10141" t="s">
        <v>32613</v>
      </c>
      <c r="H10141" t="s">
        <v>32623</v>
      </c>
      <c r="I10141" t="s">
        <v>17648</v>
      </c>
      <c r="J10141" t="s">
        <v>39062</v>
      </c>
      <c r="K10141" t="s">
        <v>42646</v>
      </c>
      <c r="M10141" t="s">
        <v>46272</v>
      </c>
      <c r="N10141" t="s">
        <v>47304</v>
      </c>
      <c r="O10141" t="s">
        <v>47305</v>
      </c>
      <c r="P10141">
        <v>0</v>
      </c>
      <c r="Q10141">
        <v>5</v>
      </c>
      <c r="R10141" t="s">
        <v>47313</v>
      </c>
      <c r="S10141" t="s">
        <v>47535</v>
      </c>
      <c r="T10141" t="s">
        <v>48979</v>
      </c>
      <c r="U10141" t="s">
        <v>57937</v>
      </c>
      <c r="W10141" t="s">
        <v>46272</v>
      </c>
      <c r="X10141" t="s">
        <v>47314</v>
      </c>
    </row>
    <row r="10142" spans="1:24">
      <c r="A10142">
        <f>HYPERLINK("https://www.philgeps.gov.ph/GEPSNONPILOT/Tender/SplashBidNoticeAbstractUI.aspx?menuIndex=3&amp;refID=7186450&amp;Result=3","7186450")</f>
        <v>0</v>
      </c>
      <c r="B10142" t="s">
        <v>2801</v>
      </c>
      <c r="C10142" t="s">
        <v>13421</v>
      </c>
      <c r="D10142" t="s">
        <v>19019</v>
      </c>
      <c r="E10142" t="s">
        <v>26718</v>
      </c>
      <c r="F10142" t="s">
        <v>32606</v>
      </c>
      <c r="G10142" t="s">
        <v>32613</v>
      </c>
      <c r="H10142" t="s">
        <v>32623</v>
      </c>
      <c r="I10142" t="s">
        <v>17648</v>
      </c>
      <c r="J10142" t="s">
        <v>34490</v>
      </c>
      <c r="K10142" t="s">
        <v>42636</v>
      </c>
      <c r="M10142" t="s">
        <v>45963</v>
      </c>
      <c r="N10142" t="s">
        <v>47304</v>
      </c>
      <c r="O10142" t="s">
        <v>47305</v>
      </c>
      <c r="P10142">
        <v>0</v>
      </c>
      <c r="Q10142">
        <v>0</v>
      </c>
      <c r="R10142" t="s">
        <v>47313</v>
      </c>
      <c r="S10142" t="s">
        <v>47535</v>
      </c>
      <c r="T10142" t="s">
        <v>49315</v>
      </c>
      <c r="U10142" t="s">
        <v>57938</v>
      </c>
      <c r="W10142" t="s">
        <v>45963</v>
      </c>
      <c r="X10142" t="s">
        <v>47314</v>
      </c>
    </row>
    <row r="10143" spans="1:24">
      <c r="A10143">
        <f>HYPERLINK("https://www.philgeps.gov.ph/GEPSNONPILOT/Tender/SplashBidNoticeAbstractUI.aspx?menuIndex=3&amp;refID=7186447&amp;Result=3","7186447")</f>
        <v>0</v>
      </c>
      <c r="B10143" t="s">
        <v>3081</v>
      </c>
      <c r="C10143" t="s">
        <v>13422</v>
      </c>
      <c r="D10143" t="s">
        <v>19004</v>
      </c>
      <c r="E10143" t="s">
        <v>27750</v>
      </c>
      <c r="F10143" t="s">
        <v>32606</v>
      </c>
      <c r="G10143" t="s">
        <v>32619</v>
      </c>
      <c r="H10143" t="s">
        <v>14201</v>
      </c>
      <c r="I10143" t="s">
        <v>6931</v>
      </c>
      <c r="J10143" t="s">
        <v>39063</v>
      </c>
      <c r="K10143" t="s">
        <v>42630</v>
      </c>
      <c r="M10143" t="s">
        <v>46282</v>
      </c>
      <c r="N10143" t="s">
        <v>47304</v>
      </c>
      <c r="O10143" t="s">
        <v>47305</v>
      </c>
      <c r="P10143">
        <v>0</v>
      </c>
      <c r="Q10143">
        <v>0</v>
      </c>
      <c r="R10143" t="s">
        <v>47313</v>
      </c>
      <c r="S10143" t="s">
        <v>47535</v>
      </c>
      <c r="T10143" t="s">
        <v>48979</v>
      </c>
      <c r="U10143" t="s">
        <v>52157</v>
      </c>
      <c r="W10143" t="s">
        <v>64528</v>
      </c>
      <c r="X10143" t="s">
        <v>47314</v>
      </c>
    </row>
    <row r="10144" spans="1:24">
      <c r="A10144">
        <f>HYPERLINK("https://www.philgeps.gov.ph/GEPSNONPILOT/Tender/SplashBidNoticeAbstractUI.aspx?menuIndex=3&amp;refID=7186445&amp;Result=3","7186445")</f>
        <v>0</v>
      </c>
      <c r="B10144" t="s">
        <v>680</v>
      </c>
      <c r="C10144" t="s">
        <v>13423</v>
      </c>
      <c r="D10144" t="s">
        <v>18991</v>
      </c>
      <c r="E10144" t="s">
        <v>27751</v>
      </c>
      <c r="F10144" t="s">
        <v>32606</v>
      </c>
      <c r="G10144" t="s">
        <v>32613</v>
      </c>
      <c r="H10144" t="s">
        <v>32625</v>
      </c>
      <c r="I10144" t="s">
        <v>32625</v>
      </c>
      <c r="J10144" t="s">
        <v>39064</v>
      </c>
      <c r="K10144" t="s">
        <v>42712</v>
      </c>
      <c r="M10144" t="s">
        <v>46285</v>
      </c>
      <c r="N10144" t="s">
        <v>47304</v>
      </c>
      <c r="O10144" t="s">
        <v>47305</v>
      </c>
      <c r="P10144">
        <v>0</v>
      </c>
      <c r="Q10144">
        <v>10</v>
      </c>
      <c r="R10144" t="s">
        <v>47313</v>
      </c>
      <c r="S10144" t="s">
        <v>47535</v>
      </c>
      <c r="T10144" t="s">
        <v>49136</v>
      </c>
      <c r="U10144" t="s">
        <v>57939</v>
      </c>
      <c r="W10144" t="s">
        <v>46285</v>
      </c>
      <c r="X10144" t="s">
        <v>47314</v>
      </c>
    </row>
    <row r="10145" spans="1:24">
      <c r="A10145">
        <f>HYPERLINK("https://www.philgeps.gov.ph/GEPSNONPILOT/Tender/SplashBidNoticeAbstractUI.aspx?menuIndex=3&amp;refID=7186442&amp;Result=3","7186442")</f>
        <v>0</v>
      </c>
      <c r="B10145" t="s">
        <v>2115</v>
      </c>
      <c r="C10145" t="s">
        <v>13424</v>
      </c>
      <c r="D10145" t="s">
        <v>19008</v>
      </c>
      <c r="E10145" t="s">
        <v>27752</v>
      </c>
      <c r="F10145" t="s">
        <v>32606</v>
      </c>
      <c r="G10145" t="s">
        <v>32613</v>
      </c>
      <c r="H10145" t="s">
        <v>14201</v>
      </c>
      <c r="I10145" t="s">
        <v>7677</v>
      </c>
      <c r="J10145" t="s">
        <v>39065</v>
      </c>
      <c r="K10145" t="s">
        <v>42638</v>
      </c>
      <c r="M10145" t="s">
        <v>45202</v>
      </c>
      <c r="N10145" t="s">
        <v>47304</v>
      </c>
      <c r="O10145" t="s">
        <v>47305</v>
      </c>
      <c r="P10145">
        <v>0</v>
      </c>
      <c r="Q10145">
        <v>1</v>
      </c>
      <c r="R10145" t="s">
        <v>47313</v>
      </c>
      <c r="S10145" t="s">
        <v>47535</v>
      </c>
      <c r="T10145" t="s">
        <v>49071</v>
      </c>
      <c r="U10145" t="s">
        <v>57940</v>
      </c>
      <c r="V10145" t="s">
        <v>63377</v>
      </c>
      <c r="W10145" t="s">
        <v>45202</v>
      </c>
      <c r="X10145" t="s">
        <v>47314</v>
      </c>
    </row>
    <row r="10146" spans="1:24">
      <c r="A10146">
        <f>HYPERLINK("https://www.philgeps.gov.ph/GEPSNONPILOT/Tender/SplashBidNoticeAbstractUI.aspx?menuIndex=3&amp;refID=7186439&amp;Result=3","7186439")</f>
        <v>0</v>
      </c>
      <c r="B10146" t="s">
        <v>2349</v>
      </c>
      <c r="C10146" t="s">
        <v>13425</v>
      </c>
      <c r="D10146" t="s">
        <v>19019</v>
      </c>
      <c r="E10146" t="s">
        <v>27753</v>
      </c>
      <c r="F10146" t="s">
        <v>32606</v>
      </c>
      <c r="G10146" t="s">
        <v>32614</v>
      </c>
      <c r="H10146" t="s">
        <v>14201</v>
      </c>
      <c r="I10146" t="s">
        <v>32676</v>
      </c>
      <c r="J10146" t="s">
        <v>33083</v>
      </c>
      <c r="K10146" t="s">
        <v>42623</v>
      </c>
      <c r="M10146" t="s">
        <v>46286</v>
      </c>
      <c r="N10146" t="s">
        <v>47304</v>
      </c>
      <c r="O10146" t="s">
        <v>47305</v>
      </c>
      <c r="P10146">
        <v>0</v>
      </c>
      <c r="Q10146">
        <v>0</v>
      </c>
      <c r="R10146" t="s">
        <v>47313</v>
      </c>
      <c r="S10146" t="s">
        <v>47535</v>
      </c>
      <c r="T10146" t="s">
        <v>49268</v>
      </c>
      <c r="U10146" t="s">
        <v>57941</v>
      </c>
      <c r="W10146" t="s">
        <v>46286</v>
      </c>
      <c r="X10146" t="s">
        <v>47314</v>
      </c>
    </row>
    <row r="10147" spans="1:24">
      <c r="A10147">
        <f>HYPERLINK("https://www.philgeps.gov.ph/GEPSNONPILOT/Tender/SplashBidNoticeAbstractUI.aspx?menuIndex=3&amp;refID=7186438&amp;Result=3","7186438")</f>
        <v>0</v>
      </c>
      <c r="B10147" t="s">
        <v>2416</v>
      </c>
      <c r="C10147" t="s">
        <v>13426</v>
      </c>
      <c r="D10147" t="s">
        <v>19008</v>
      </c>
      <c r="E10147" t="s">
        <v>27754</v>
      </c>
      <c r="F10147" t="s">
        <v>32606</v>
      </c>
      <c r="G10147" t="s">
        <v>32613</v>
      </c>
      <c r="H10147" t="s">
        <v>14201</v>
      </c>
      <c r="I10147" t="s">
        <v>6931</v>
      </c>
      <c r="J10147" t="s">
        <v>39066</v>
      </c>
      <c r="K10147" t="s">
        <v>42627</v>
      </c>
      <c r="M10147" t="s">
        <v>45541</v>
      </c>
      <c r="N10147" t="s">
        <v>47304</v>
      </c>
      <c r="O10147" t="s">
        <v>47305</v>
      </c>
      <c r="P10147">
        <v>0</v>
      </c>
      <c r="Q10147">
        <v>0</v>
      </c>
      <c r="R10147" t="s">
        <v>47313</v>
      </c>
      <c r="S10147" t="s">
        <v>47535</v>
      </c>
      <c r="T10147" t="s">
        <v>49315</v>
      </c>
      <c r="U10147" t="s">
        <v>57942</v>
      </c>
      <c r="W10147" t="s">
        <v>45541</v>
      </c>
      <c r="X10147" t="s">
        <v>47314</v>
      </c>
    </row>
    <row r="10148" spans="1:24">
      <c r="A10148">
        <f>HYPERLINK("https://www.philgeps.gov.ph/GEPSNONPILOT/Tender/SplashBidNoticeAbstractUI.aspx?menuIndex=3&amp;refID=7186437&amp;Result=3","7186437")</f>
        <v>0</v>
      </c>
      <c r="B10148" t="s">
        <v>3073</v>
      </c>
      <c r="C10148" t="s">
        <v>13427</v>
      </c>
      <c r="D10148" t="s">
        <v>19004</v>
      </c>
      <c r="E10148" t="s">
        <v>21451</v>
      </c>
      <c r="F10148" t="s">
        <v>32606</v>
      </c>
      <c r="G10148" t="s">
        <v>32613</v>
      </c>
      <c r="H10148" t="s">
        <v>32623</v>
      </c>
      <c r="I10148" t="s">
        <v>17648</v>
      </c>
      <c r="J10148" t="s">
        <v>39067</v>
      </c>
      <c r="K10148" t="s">
        <v>42646</v>
      </c>
      <c r="M10148" t="s">
        <v>46272</v>
      </c>
      <c r="N10148" t="s">
        <v>47304</v>
      </c>
      <c r="O10148" t="s">
        <v>47305</v>
      </c>
      <c r="P10148">
        <v>0</v>
      </c>
      <c r="Q10148">
        <v>4</v>
      </c>
      <c r="R10148" t="s">
        <v>47313</v>
      </c>
      <c r="S10148" t="s">
        <v>47535</v>
      </c>
      <c r="T10148" t="s">
        <v>48979</v>
      </c>
      <c r="U10148" t="s">
        <v>57943</v>
      </c>
      <c r="W10148" t="s">
        <v>46272</v>
      </c>
      <c r="X10148" t="s">
        <v>47314</v>
      </c>
    </row>
    <row r="10149" spans="1:24">
      <c r="A10149">
        <f>HYPERLINK("https://www.philgeps.gov.ph/GEPSNONPILOT/Tender/SplashBidNoticeAbstractUI.aspx?menuIndex=3&amp;refID=7186436&amp;Result=3","7186436")</f>
        <v>0</v>
      </c>
      <c r="B10149" t="s">
        <v>3081</v>
      </c>
      <c r="C10149" t="s">
        <v>13428</v>
      </c>
      <c r="D10149" t="s">
        <v>19004</v>
      </c>
      <c r="E10149" t="s">
        <v>27755</v>
      </c>
      <c r="F10149" t="s">
        <v>32606</v>
      </c>
      <c r="G10149" t="s">
        <v>32619</v>
      </c>
      <c r="H10149" t="s">
        <v>14201</v>
      </c>
      <c r="I10149" t="s">
        <v>6931</v>
      </c>
      <c r="J10149" t="s">
        <v>39068</v>
      </c>
      <c r="K10149" t="s">
        <v>42630</v>
      </c>
      <c r="M10149" t="s">
        <v>46282</v>
      </c>
      <c r="N10149" t="s">
        <v>47304</v>
      </c>
      <c r="O10149" t="s">
        <v>47305</v>
      </c>
      <c r="P10149">
        <v>0</v>
      </c>
      <c r="Q10149">
        <v>0</v>
      </c>
      <c r="R10149" t="s">
        <v>47313</v>
      </c>
      <c r="S10149" t="s">
        <v>47535</v>
      </c>
      <c r="T10149" t="s">
        <v>48979</v>
      </c>
      <c r="U10149" t="s">
        <v>52157</v>
      </c>
      <c r="W10149" t="s">
        <v>64528</v>
      </c>
      <c r="X10149" t="s">
        <v>47314</v>
      </c>
    </row>
    <row r="10150" spans="1:24">
      <c r="A10150">
        <f>HYPERLINK("https://www.philgeps.gov.ph/GEPSNONPILOT/Tender/SplashBidNoticeAbstractUI.aspx?menuIndex=3&amp;refID=7186432&amp;Result=3","7186432")</f>
        <v>0</v>
      </c>
      <c r="B10150" t="s">
        <v>2349</v>
      </c>
      <c r="C10150" t="s">
        <v>13429</v>
      </c>
      <c r="D10150" t="s">
        <v>19019</v>
      </c>
      <c r="E10150" t="s">
        <v>27756</v>
      </c>
      <c r="F10150" t="s">
        <v>32606</v>
      </c>
      <c r="G10150" t="s">
        <v>32614</v>
      </c>
      <c r="H10150" t="s">
        <v>14201</v>
      </c>
      <c r="I10150" t="s">
        <v>6007</v>
      </c>
      <c r="J10150" t="s">
        <v>33221</v>
      </c>
      <c r="K10150" t="s">
        <v>42623</v>
      </c>
      <c r="M10150" t="s">
        <v>46286</v>
      </c>
      <c r="N10150" t="s">
        <v>47304</v>
      </c>
      <c r="O10150" t="s">
        <v>47305</v>
      </c>
      <c r="P10150">
        <v>0</v>
      </c>
      <c r="Q10150">
        <v>0</v>
      </c>
      <c r="R10150" t="s">
        <v>47313</v>
      </c>
      <c r="S10150" t="s">
        <v>47535</v>
      </c>
      <c r="T10150" t="s">
        <v>49268</v>
      </c>
      <c r="U10150" t="s">
        <v>57941</v>
      </c>
      <c r="W10150" t="s">
        <v>46286</v>
      </c>
      <c r="X10150" t="s">
        <v>47314</v>
      </c>
    </row>
    <row r="10151" spans="1:24">
      <c r="A10151">
        <f>HYPERLINK("https://www.philgeps.gov.ph/GEPSNONPILOT/Tender/SplashBidNoticeAbstractUI.aspx?menuIndex=3&amp;refID=7186454&amp;Result=3","7186454")</f>
        <v>0</v>
      </c>
      <c r="B10151" t="s">
        <v>2115</v>
      </c>
      <c r="C10151" t="s">
        <v>13430</v>
      </c>
      <c r="D10151" t="s">
        <v>19008</v>
      </c>
      <c r="E10151" t="s">
        <v>27757</v>
      </c>
      <c r="F10151" t="s">
        <v>32606</v>
      </c>
      <c r="G10151" t="s">
        <v>32613</v>
      </c>
      <c r="H10151" t="s">
        <v>14201</v>
      </c>
      <c r="I10151" t="s">
        <v>7677</v>
      </c>
      <c r="J10151" t="s">
        <v>39069</v>
      </c>
      <c r="K10151" t="s">
        <v>42638</v>
      </c>
      <c r="M10151" t="s">
        <v>45202</v>
      </c>
      <c r="N10151" t="s">
        <v>47304</v>
      </c>
      <c r="O10151" t="s">
        <v>47305</v>
      </c>
      <c r="P10151">
        <v>0</v>
      </c>
      <c r="Q10151">
        <v>0</v>
      </c>
      <c r="R10151" t="s">
        <v>47313</v>
      </c>
      <c r="S10151" t="s">
        <v>47535</v>
      </c>
      <c r="T10151" t="s">
        <v>49071</v>
      </c>
      <c r="U10151" t="s">
        <v>57944</v>
      </c>
      <c r="V10151" t="s">
        <v>63377</v>
      </c>
      <c r="W10151" t="s">
        <v>45202</v>
      </c>
      <c r="X10151" t="s">
        <v>47314</v>
      </c>
    </row>
    <row r="10152" spans="1:24">
      <c r="A10152">
        <f>HYPERLINK("https://www.philgeps.gov.ph/GEPSNONPILOT/Tender/SplashBidNoticeAbstractUI.aspx?menuIndex=3&amp;refID=7186431&amp;Result=3","7186431")</f>
        <v>0</v>
      </c>
      <c r="B10152" t="s">
        <v>2115</v>
      </c>
      <c r="C10152" t="s">
        <v>13431</v>
      </c>
      <c r="D10152" t="s">
        <v>19008</v>
      </c>
      <c r="E10152" t="s">
        <v>27758</v>
      </c>
      <c r="F10152" t="s">
        <v>32606</v>
      </c>
      <c r="G10152" t="s">
        <v>32613</v>
      </c>
      <c r="H10152" t="s">
        <v>14201</v>
      </c>
      <c r="I10152" t="s">
        <v>6014</v>
      </c>
      <c r="J10152" t="s">
        <v>39070</v>
      </c>
      <c r="K10152" t="s">
        <v>42638</v>
      </c>
      <c r="M10152" t="s">
        <v>45202</v>
      </c>
      <c r="N10152" t="s">
        <v>47304</v>
      </c>
      <c r="O10152" t="s">
        <v>47305</v>
      </c>
      <c r="P10152">
        <v>0</v>
      </c>
      <c r="Q10152">
        <v>0</v>
      </c>
      <c r="R10152" t="s">
        <v>47313</v>
      </c>
      <c r="S10152" t="s">
        <v>47535</v>
      </c>
      <c r="T10152" t="s">
        <v>49071</v>
      </c>
      <c r="U10152" t="s">
        <v>57945</v>
      </c>
      <c r="V10152" t="s">
        <v>63377</v>
      </c>
      <c r="W10152" t="s">
        <v>45202</v>
      </c>
      <c r="X10152" t="s">
        <v>47314</v>
      </c>
    </row>
    <row r="10153" spans="1:24">
      <c r="A10153">
        <f>HYPERLINK("https://www.philgeps.gov.ph/GEPSNONPILOT/Tender/SplashBidNoticeAbstractUI.aspx?menuIndex=3&amp;refID=7186484&amp;Result=3","7186484")</f>
        <v>0</v>
      </c>
      <c r="B10153" t="s">
        <v>801</v>
      </c>
      <c r="C10153" t="s">
        <v>13432</v>
      </c>
      <c r="D10153" t="s">
        <v>19008</v>
      </c>
      <c r="E10153" t="s">
        <v>27759</v>
      </c>
      <c r="F10153" t="s">
        <v>32606</v>
      </c>
      <c r="G10153" t="s">
        <v>32619</v>
      </c>
      <c r="H10153" t="s">
        <v>14201</v>
      </c>
      <c r="I10153" t="s">
        <v>6993</v>
      </c>
      <c r="J10153" t="s">
        <v>39071</v>
      </c>
      <c r="K10153" t="s">
        <v>42622</v>
      </c>
      <c r="M10153" t="s">
        <v>43732</v>
      </c>
      <c r="N10153" t="s">
        <v>47304</v>
      </c>
      <c r="O10153" t="s">
        <v>47305</v>
      </c>
      <c r="P10153">
        <v>0</v>
      </c>
      <c r="Q10153">
        <v>0</v>
      </c>
      <c r="R10153" t="s">
        <v>47313</v>
      </c>
      <c r="S10153" t="s">
        <v>47535</v>
      </c>
      <c r="T10153" t="s">
        <v>49268</v>
      </c>
      <c r="U10153" t="s">
        <v>57352</v>
      </c>
      <c r="V10153" t="s">
        <v>63716</v>
      </c>
      <c r="W10153" t="s">
        <v>43732</v>
      </c>
      <c r="X10153" t="s">
        <v>47314</v>
      </c>
    </row>
    <row r="10154" spans="1:24">
      <c r="A10154">
        <f>HYPERLINK("https://www.philgeps.gov.ph/GEPSNONPILOT/Tender/SplashBidNoticeAbstractUI.aspx?menuIndex=3&amp;refID=7186327&amp;Result=3","7186327")</f>
        <v>0</v>
      </c>
      <c r="B10154" t="s">
        <v>2275</v>
      </c>
      <c r="C10154" t="s">
        <v>13433</v>
      </c>
      <c r="D10154" t="s">
        <v>19044</v>
      </c>
      <c r="E10154" t="s">
        <v>27760</v>
      </c>
      <c r="F10154" t="s">
        <v>32606</v>
      </c>
      <c r="G10154" t="s">
        <v>32613</v>
      </c>
      <c r="H10154" t="s">
        <v>14201</v>
      </c>
      <c r="I10154" t="s">
        <v>4120</v>
      </c>
      <c r="J10154" t="s">
        <v>39072</v>
      </c>
      <c r="K10154" t="s">
        <v>42631</v>
      </c>
      <c r="M10154" t="s">
        <v>45380</v>
      </c>
      <c r="N10154" t="s">
        <v>47304</v>
      </c>
      <c r="O10154" t="s">
        <v>47305</v>
      </c>
      <c r="P10154">
        <v>0</v>
      </c>
      <c r="Q10154">
        <v>2</v>
      </c>
      <c r="R10154" t="s">
        <v>47313</v>
      </c>
      <c r="S10154" t="s">
        <v>47535</v>
      </c>
      <c r="T10154" t="s">
        <v>48970</v>
      </c>
      <c r="U10154" t="s">
        <v>57946</v>
      </c>
      <c r="W10154" t="s">
        <v>45380</v>
      </c>
      <c r="X10154" t="s">
        <v>47314</v>
      </c>
    </row>
    <row r="10155" spans="1:24">
      <c r="A10155">
        <f>HYPERLINK("https://www.philgeps.gov.ph/GEPSNONPILOT/Tender/SplashBidNoticeAbstractUI.aspx?menuIndex=3&amp;refID=7186385&amp;Result=3","7186385")</f>
        <v>0</v>
      </c>
      <c r="B10155" t="s">
        <v>3081</v>
      </c>
      <c r="C10155" t="s">
        <v>13434</v>
      </c>
      <c r="D10155" t="s">
        <v>19004</v>
      </c>
      <c r="E10155" t="s">
        <v>27761</v>
      </c>
      <c r="F10155" t="s">
        <v>32606</v>
      </c>
      <c r="G10155" t="s">
        <v>32619</v>
      </c>
      <c r="H10155" t="s">
        <v>14201</v>
      </c>
      <c r="I10155" t="s">
        <v>4112</v>
      </c>
      <c r="J10155" t="s">
        <v>39073</v>
      </c>
      <c r="K10155" t="s">
        <v>42678</v>
      </c>
      <c r="M10155" t="s">
        <v>46282</v>
      </c>
      <c r="N10155" t="s">
        <v>47304</v>
      </c>
      <c r="O10155" t="s">
        <v>47305</v>
      </c>
      <c r="P10155">
        <v>0</v>
      </c>
      <c r="Q10155">
        <v>0</v>
      </c>
      <c r="R10155" t="s">
        <v>47313</v>
      </c>
      <c r="S10155" t="s">
        <v>47535</v>
      </c>
      <c r="T10155" t="s">
        <v>48979</v>
      </c>
      <c r="U10155" t="s">
        <v>57947</v>
      </c>
      <c r="W10155" t="s">
        <v>64528</v>
      </c>
      <c r="X10155" t="s">
        <v>47314</v>
      </c>
    </row>
    <row r="10156" spans="1:24">
      <c r="A10156">
        <f>HYPERLINK("https://www.philgeps.gov.ph/GEPSNONPILOT/Tender/SplashBidNoticeAbstractUI.aspx?menuIndex=3&amp;refID=7186497&amp;Result=3","7186497")</f>
        <v>0</v>
      </c>
      <c r="B10156" t="s">
        <v>1696</v>
      </c>
      <c r="C10156" t="s">
        <v>13435</v>
      </c>
      <c r="D10156" t="s">
        <v>18993</v>
      </c>
      <c r="E10156" t="s">
        <v>27762</v>
      </c>
      <c r="F10156" t="s">
        <v>32606</v>
      </c>
      <c r="G10156" t="s">
        <v>32613</v>
      </c>
      <c r="H10156" t="s">
        <v>14201</v>
      </c>
      <c r="I10156" t="s">
        <v>4120</v>
      </c>
      <c r="J10156" t="s">
        <v>33263</v>
      </c>
      <c r="K10156" t="s">
        <v>42623</v>
      </c>
      <c r="M10156" t="s">
        <v>44725</v>
      </c>
      <c r="N10156" t="s">
        <v>47304</v>
      </c>
      <c r="O10156" t="s">
        <v>47305</v>
      </c>
      <c r="P10156">
        <v>0</v>
      </c>
      <c r="Q10156">
        <v>0</v>
      </c>
      <c r="R10156" t="s">
        <v>47313</v>
      </c>
      <c r="S10156" t="s">
        <v>47535</v>
      </c>
      <c r="T10156" t="s">
        <v>49053</v>
      </c>
      <c r="U10156" t="s">
        <v>51117</v>
      </c>
      <c r="W10156" t="s">
        <v>44725</v>
      </c>
      <c r="X10156" t="s">
        <v>47314</v>
      </c>
    </row>
    <row r="10157" spans="1:24">
      <c r="A10157">
        <f>HYPERLINK("https://www.philgeps.gov.ph/GEPSNONPILOT/Tender/SplashBidNoticeAbstractUI.aspx?menuIndex=3&amp;refID=7186272&amp;Result=3","7186272")</f>
        <v>0</v>
      </c>
      <c r="B10157" t="s">
        <v>3064</v>
      </c>
      <c r="C10157" t="s">
        <v>13436</v>
      </c>
      <c r="D10157" t="s">
        <v>19008</v>
      </c>
      <c r="E10157" t="s">
        <v>27763</v>
      </c>
      <c r="F10157" t="s">
        <v>32606</v>
      </c>
      <c r="G10157" t="s">
        <v>32614</v>
      </c>
      <c r="H10157" t="s">
        <v>14201</v>
      </c>
      <c r="I10157" t="s">
        <v>7577</v>
      </c>
      <c r="J10157" t="s">
        <v>33288</v>
      </c>
      <c r="K10157" t="s">
        <v>42623</v>
      </c>
      <c r="M10157" t="s">
        <v>46263</v>
      </c>
      <c r="N10157" t="s">
        <v>47304</v>
      </c>
      <c r="O10157" t="s">
        <v>47305</v>
      </c>
      <c r="P10157">
        <v>0</v>
      </c>
      <c r="Q10157">
        <v>4</v>
      </c>
      <c r="R10157" t="s">
        <v>47313</v>
      </c>
      <c r="S10157" t="s">
        <v>47535</v>
      </c>
      <c r="T10157" t="s">
        <v>49331</v>
      </c>
      <c r="U10157" t="s">
        <v>57948</v>
      </c>
      <c r="W10157" t="s">
        <v>46263</v>
      </c>
      <c r="X10157" t="s">
        <v>47314</v>
      </c>
    </row>
    <row r="10158" spans="1:24">
      <c r="A10158">
        <f>HYPERLINK("https://www.philgeps.gov.ph/GEPSNONPILOT/Tender/SplashBidNoticeAbstractUI.aspx?menuIndex=3&amp;refID=7186460&amp;Result=3","7186460")</f>
        <v>0</v>
      </c>
      <c r="B10158" t="s">
        <v>1573</v>
      </c>
      <c r="C10158" t="s">
        <v>13437</v>
      </c>
      <c r="D10158" t="s">
        <v>19005</v>
      </c>
      <c r="E10158" t="s">
        <v>27764</v>
      </c>
      <c r="F10158" t="s">
        <v>32606</v>
      </c>
      <c r="G10158" t="s">
        <v>32613</v>
      </c>
      <c r="H10158" t="s">
        <v>14201</v>
      </c>
      <c r="I10158" t="s">
        <v>7064</v>
      </c>
      <c r="J10158" t="s">
        <v>39074</v>
      </c>
      <c r="K10158" t="s">
        <v>42648</v>
      </c>
      <c r="M10158" t="s">
        <v>44584</v>
      </c>
      <c r="N10158" t="s">
        <v>47304</v>
      </c>
      <c r="O10158" t="s">
        <v>47305</v>
      </c>
      <c r="P10158">
        <v>0</v>
      </c>
      <c r="Q10158">
        <v>12</v>
      </c>
      <c r="R10158" t="s">
        <v>47313</v>
      </c>
      <c r="S10158" t="s">
        <v>47535</v>
      </c>
      <c r="T10158" t="s">
        <v>49240</v>
      </c>
      <c r="U10158" t="s">
        <v>57949</v>
      </c>
      <c r="V10158" t="s">
        <v>63717</v>
      </c>
      <c r="W10158" t="s">
        <v>44584</v>
      </c>
      <c r="X10158" t="s">
        <v>47314</v>
      </c>
    </row>
    <row r="10159" spans="1:24">
      <c r="A10159">
        <f>HYPERLINK("https://www.philgeps.gov.ph/GEPSNONPILOT/Tender/SplashBidNoticeAbstractUI.aspx?menuIndex=3&amp;refID=7186433&amp;Result=3","7186433")</f>
        <v>0</v>
      </c>
      <c r="B10159" t="s">
        <v>3011</v>
      </c>
      <c r="C10159" t="s">
        <v>13438</v>
      </c>
      <c r="D10159" t="s">
        <v>19015</v>
      </c>
      <c r="E10159" t="s">
        <v>27765</v>
      </c>
      <c r="F10159" t="s">
        <v>32606</v>
      </c>
      <c r="G10159" t="s">
        <v>32613</v>
      </c>
      <c r="H10159" t="s">
        <v>14201</v>
      </c>
      <c r="I10159" t="s">
        <v>7064</v>
      </c>
      <c r="J10159" t="s">
        <v>33529</v>
      </c>
      <c r="K10159" t="s">
        <v>42622</v>
      </c>
      <c r="M10159" t="s">
        <v>46201</v>
      </c>
      <c r="N10159" t="s">
        <v>47304</v>
      </c>
      <c r="O10159" t="s">
        <v>47305</v>
      </c>
      <c r="P10159">
        <v>0</v>
      </c>
      <c r="Q10159">
        <v>0</v>
      </c>
      <c r="R10159" t="s">
        <v>47313</v>
      </c>
      <c r="S10159" t="s">
        <v>47535</v>
      </c>
      <c r="T10159" t="s">
        <v>49057</v>
      </c>
      <c r="U10159" t="s">
        <v>57950</v>
      </c>
      <c r="W10159" t="s">
        <v>46201</v>
      </c>
      <c r="X10159" t="s">
        <v>47314</v>
      </c>
    </row>
    <row r="10160" spans="1:24">
      <c r="A10160">
        <f>HYPERLINK("https://www.philgeps.gov.ph/GEPSNONPILOT/Tender/SplashBidNoticeAbstractUI.aspx?menuIndex=3&amp;refID=7186494&amp;Result=3","7186494")</f>
        <v>0</v>
      </c>
      <c r="B10160" t="s">
        <v>1696</v>
      </c>
      <c r="C10160" t="s">
        <v>13439</v>
      </c>
      <c r="D10160" t="s">
        <v>18993</v>
      </c>
      <c r="E10160" t="s">
        <v>27766</v>
      </c>
      <c r="F10160" t="s">
        <v>32606</v>
      </c>
      <c r="G10160" t="s">
        <v>32613</v>
      </c>
      <c r="H10160" t="s">
        <v>14201</v>
      </c>
      <c r="I10160" t="s">
        <v>4120</v>
      </c>
      <c r="J10160" t="s">
        <v>39075</v>
      </c>
      <c r="K10160" t="s">
        <v>42623</v>
      </c>
      <c r="M10160" t="s">
        <v>44725</v>
      </c>
      <c r="N10160" t="s">
        <v>47304</v>
      </c>
      <c r="O10160" t="s">
        <v>47305</v>
      </c>
      <c r="P10160">
        <v>0</v>
      </c>
      <c r="Q10160">
        <v>1</v>
      </c>
      <c r="R10160" t="s">
        <v>47313</v>
      </c>
      <c r="S10160" t="s">
        <v>47535</v>
      </c>
      <c r="T10160" t="s">
        <v>49053</v>
      </c>
      <c r="U10160" t="s">
        <v>51117</v>
      </c>
      <c r="W10160" t="s">
        <v>44725</v>
      </c>
      <c r="X10160" t="s">
        <v>47314</v>
      </c>
    </row>
    <row r="10161" spans="1:24">
      <c r="A10161">
        <f>HYPERLINK("https://www.philgeps.gov.ph/GEPSNONPILOT/Tender/SplashBidNoticeAbstractUI.aspx?menuIndex=3&amp;refID=7186491&amp;Result=3","7186491")</f>
        <v>0</v>
      </c>
      <c r="B10161" t="s">
        <v>1696</v>
      </c>
      <c r="C10161" t="s">
        <v>13440</v>
      </c>
      <c r="D10161" t="s">
        <v>18993</v>
      </c>
      <c r="E10161" t="s">
        <v>27767</v>
      </c>
      <c r="F10161" t="s">
        <v>32606</v>
      </c>
      <c r="G10161" t="s">
        <v>32613</v>
      </c>
      <c r="H10161" t="s">
        <v>14201</v>
      </c>
      <c r="I10161" t="s">
        <v>4120</v>
      </c>
      <c r="J10161" t="s">
        <v>32789</v>
      </c>
      <c r="K10161" t="s">
        <v>42623</v>
      </c>
      <c r="M10161" t="s">
        <v>44725</v>
      </c>
      <c r="N10161" t="s">
        <v>47304</v>
      </c>
      <c r="O10161" t="s">
        <v>47305</v>
      </c>
      <c r="P10161">
        <v>0</v>
      </c>
      <c r="Q10161">
        <v>1</v>
      </c>
      <c r="R10161" t="s">
        <v>47313</v>
      </c>
      <c r="S10161" t="s">
        <v>47535</v>
      </c>
      <c r="T10161" t="s">
        <v>49053</v>
      </c>
      <c r="U10161" t="s">
        <v>51117</v>
      </c>
      <c r="W10161" t="s">
        <v>44725</v>
      </c>
      <c r="X10161" t="s">
        <v>47314</v>
      </c>
    </row>
    <row r="10162" spans="1:24">
      <c r="A10162">
        <f>HYPERLINK("https://www.philgeps.gov.ph/GEPSNONPILOT/Tender/SplashBidNoticeAbstractUI.aspx?menuIndex=3&amp;refID=7186489&amp;Result=3","7186489")</f>
        <v>0</v>
      </c>
      <c r="B10162" t="s">
        <v>3083</v>
      </c>
      <c r="C10162" t="s">
        <v>13441</v>
      </c>
      <c r="D10162" t="s">
        <v>19060</v>
      </c>
      <c r="E10162" t="s">
        <v>20519</v>
      </c>
      <c r="F10162" t="s">
        <v>32606</v>
      </c>
      <c r="G10162" t="s">
        <v>32613</v>
      </c>
      <c r="H10162" t="s">
        <v>14201</v>
      </c>
      <c r="I10162" t="s">
        <v>32651</v>
      </c>
      <c r="J10162" t="s">
        <v>39076</v>
      </c>
      <c r="K10162" t="s">
        <v>42636</v>
      </c>
      <c r="M10162" t="s">
        <v>46284</v>
      </c>
      <c r="N10162" t="s">
        <v>47304</v>
      </c>
      <c r="O10162" t="s">
        <v>47305</v>
      </c>
      <c r="P10162">
        <v>0</v>
      </c>
      <c r="Q10162">
        <v>3</v>
      </c>
      <c r="R10162" t="s">
        <v>47313</v>
      </c>
      <c r="S10162" t="s">
        <v>47535</v>
      </c>
      <c r="T10162" t="s">
        <v>49037</v>
      </c>
      <c r="U10162" t="s">
        <v>57936</v>
      </c>
      <c r="W10162" t="s">
        <v>46284</v>
      </c>
      <c r="X10162" t="s">
        <v>47314</v>
      </c>
    </row>
    <row r="10163" spans="1:24">
      <c r="A10163">
        <f>HYPERLINK("https://www.philgeps.gov.ph/GEPSNONPILOT/Tender/SplashBidNoticeAbstractUI.aspx?menuIndex=3&amp;refID=7186488&amp;Result=3","7186488")</f>
        <v>0</v>
      </c>
      <c r="B10163" t="s">
        <v>1749</v>
      </c>
      <c r="C10163" t="s">
        <v>13442</v>
      </c>
      <c r="E10163" t="s">
        <v>27768</v>
      </c>
      <c r="F10163" t="s">
        <v>32606</v>
      </c>
      <c r="G10163" t="s">
        <v>32613</v>
      </c>
      <c r="H10163" t="s">
        <v>32623</v>
      </c>
      <c r="I10163" t="s">
        <v>32659</v>
      </c>
      <c r="J10163" t="s">
        <v>39077</v>
      </c>
      <c r="K10163" t="s">
        <v>42651</v>
      </c>
      <c r="M10163" t="s">
        <v>44784</v>
      </c>
      <c r="N10163" t="s">
        <v>47304</v>
      </c>
      <c r="O10163" t="s">
        <v>47305</v>
      </c>
      <c r="P10163">
        <v>0</v>
      </c>
      <c r="Q10163">
        <v>9</v>
      </c>
      <c r="R10163" t="s">
        <v>47313</v>
      </c>
      <c r="S10163" t="s">
        <v>47535</v>
      </c>
      <c r="T10163" t="s">
        <v>49442</v>
      </c>
      <c r="U10163" t="s">
        <v>57951</v>
      </c>
      <c r="W10163" t="s">
        <v>44784</v>
      </c>
      <c r="X10163" t="s">
        <v>47314</v>
      </c>
    </row>
    <row r="10164" spans="1:24">
      <c r="A10164">
        <f>HYPERLINK("https://www.philgeps.gov.ph/GEPSNONPILOT/Tender/SplashBidNoticeAbstractUI.aspx?menuIndex=3&amp;refID=7186483&amp;Result=3","7186483")</f>
        <v>0</v>
      </c>
      <c r="B10164" t="s">
        <v>1241</v>
      </c>
      <c r="C10164" t="s">
        <v>13443</v>
      </c>
      <c r="D10164" t="s">
        <v>18993</v>
      </c>
      <c r="E10164" t="s">
        <v>27769</v>
      </c>
      <c r="F10164" t="s">
        <v>32610</v>
      </c>
      <c r="G10164" t="s">
        <v>32614</v>
      </c>
      <c r="H10164" t="s">
        <v>14201</v>
      </c>
      <c r="I10164" t="s">
        <v>32696</v>
      </c>
      <c r="J10164" t="s">
        <v>39078</v>
      </c>
      <c r="K10164" t="s">
        <v>42624</v>
      </c>
      <c r="M10164" t="s">
        <v>44207</v>
      </c>
      <c r="N10164" t="s">
        <v>47304</v>
      </c>
      <c r="O10164" t="s">
        <v>47305</v>
      </c>
      <c r="P10164">
        <v>0</v>
      </c>
      <c r="Q10164">
        <v>2</v>
      </c>
      <c r="R10164" t="s">
        <v>47313</v>
      </c>
      <c r="S10164" t="s">
        <v>47535</v>
      </c>
      <c r="T10164" t="s">
        <v>49268</v>
      </c>
      <c r="U10164" t="s">
        <v>57952</v>
      </c>
      <c r="W10164" t="s">
        <v>44207</v>
      </c>
      <c r="X10164" t="s">
        <v>47314</v>
      </c>
    </row>
    <row r="10165" spans="1:24">
      <c r="A10165">
        <f>HYPERLINK("https://www.philgeps.gov.ph/GEPSNONPILOT/Tender/SplashBidNoticeAbstractUI.aspx?menuIndex=3&amp;refID=7186481&amp;Result=3","7186481")</f>
        <v>0</v>
      </c>
      <c r="B10165" t="s">
        <v>1030</v>
      </c>
      <c r="C10165" t="s">
        <v>13444</v>
      </c>
      <c r="D10165" t="s">
        <v>19004</v>
      </c>
      <c r="E10165" t="s">
        <v>27770</v>
      </c>
      <c r="F10165" t="s">
        <v>32606</v>
      </c>
      <c r="G10165" t="s">
        <v>32613</v>
      </c>
      <c r="H10165" t="s">
        <v>14201</v>
      </c>
      <c r="I10165" t="s">
        <v>4120</v>
      </c>
      <c r="J10165" t="s">
        <v>33255</v>
      </c>
      <c r="K10165" t="s">
        <v>42623</v>
      </c>
      <c r="M10165" t="s">
        <v>43983</v>
      </c>
      <c r="N10165" t="s">
        <v>47304</v>
      </c>
      <c r="O10165" t="s">
        <v>47305</v>
      </c>
      <c r="P10165">
        <v>0</v>
      </c>
      <c r="Q10165">
        <v>5</v>
      </c>
      <c r="R10165" t="s">
        <v>47313</v>
      </c>
      <c r="S10165" t="s">
        <v>47535</v>
      </c>
      <c r="T10165" t="s">
        <v>49068</v>
      </c>
      <c r="U10165" t="s">
        <v>57953</v>
      </c>
      <c r="W10165" t="s">
        <v>43983</v>
      </c>
      <c r="X10165" t="s">
        <v>47314</v>
      </c>
    </row>
    <row r="10166" spans="1:24">
      <c r="A10166">
        <f>HYPERLINK("https://www.philgeps.gov.ph/GEPSNONPILOT/Tender/SplashBidNoticeAbstractUI.aspx?menuIndex=3&amp;refID=7186477&amp;Result=3","7186477")</f>
        <v>0</v>
      </c>
      <c r="B10166" t="s">
        <v>1289</v>
      </c>
      <c r="C10166" t="s">
        <v>13445</v>
      </c>
      <c r="D10166" t="s">
        <v>18993</v>
      </c>
      <c r="E10166" t="s">
        <v>27771</v>
      </c>
      <c r="F10166" t="s">
        <v>32606</v>
      </c>
      <c r="G10166" t="s">
        <v>32614</v>
      </c>
      <c r="H10166" t="s">
        <v>14201</v>
      </c>
      <c r="I10166" t="s">
        <v>32646</v>
      </c>
      <c r="J10166" t="s">
        <v>32981</v>
      </c>
      <c r="K10166" t="s">
        <v>42623</v>
      </c>
      <c r="M10166" t="s">
        <v>44261</v>
      </c>
      <c r="N10166" t="s">
        <v>47304</v>
      </c>
      <c r="O10166" t="s">
        <v>47305</v>
      </c>
      <c r="P10166">
        <v>0</v>
      </c>
      <c r="Q10166">
        <v>9</v>
      </c>
      <c r="R10166" t="s">
        <v>47313</v>
      </c>
      <c r="S10166" t="s">
        <v>47535</v>
      </c>
      <c r="T10166" t="s">
        <v>49359</v>
      </c>
      <c r="U10166" t="s">
        <v>57954</v>
      </c>
      <c r="W10166" t="s">
        <v>44261</v>
      </c>
      <c r="X10166" t="s">
        <v>47314</v>
      </c>
    </row>
    <row r="10167" spans="1:24">
      <c r="A10167">
        <f>HYPERLINK("https://www.philgeps.gov.ph/GEPSNONPILOT/Tender/SplashBidNoticeAbstractUI.aspx?menuIndex=3&amp;refID=7186501&amp;Result=3","7186501")</f>
        <v>0</v>
      </c>
      <c r="B10167" t="s">
        <v>1696</v>
      </c>
      <c r="C10167" t="s">
        <v>13446</v>
      </c>
      <c r="D10167" t="s">
        <v>18993</v>
      </c>
      <c r="E10167" t="s">
        <v>27772</v>
      </c>
      <c r="F10167" t="s">
        <v>32606</v>
      </c>
      <c r="G10167" t="s">
        <v>32613</v>
      </c>
      <c r="H10167" t="s">
        <v>14201</v>
      </c>
      <c r="I10167" t="s">
        <v>4120</v>
      </c>
      <c r="J10167" t="s">
        <v>32778</v>
      </c>
      <c r="K10167" t="s">
        <v>42623</v>
      </c>
      <c r="M10167" t="s">
        <v>44725</v>
      </c>
      <c r="N10167" t="s">
        <v>47304</v>
      </c>
      <c r="O10167" t="s">
        <v>47305</v>
      </c>
      <c r="P10167">
        <v>0</v>
      </c>
      <c r="Q10167">
        <v>1</v>
      </c>
      <c r="R10167" t="s">
        <v>47313</v>
      </c>
      <c r="S10167" t="s">
        <v>47535</v>
      </c>
      <c r="T10167" t="s">
        <v>49053</v>
      </c>
      <c r="U10167" t="s">
        <v>51117</v>
      </c>
      <c r="W10167" t="s">
        <v>44725</v>
      </c>
      <c r="X10167" t="s">
        <v>47314</v>
      </c>
    </row>
    <row r="10168" spans="1:24">
      <c r="A10168">
        <f>HYPERLINK("https://www.philgeps.gov.ph/GEPSNONPILOT/Tender/SplashBidNoticeAbstractUI.aspx?menuIndex=3&amp;refID=7186475&amp;Result=3","7186475")</f>
        <v>0</v>
      </c>
      <c r="B10168" t="s">
        <v>1573</v>
      </c>
      <c r="C10168" t="s">
        <v>13447</v>
      </c>
      <c r="D10168" t="s">
        <v>19005</v>
      </c>
      <c r="E10168" t="s">
        <v>27773</v>
      </c>
      <c r="F10168" t="s">
        <v>32606</v>
      </c>
      <c r="G10168" t="s">
        <v>32613</v>
      </c>
      <c r="H10168" t="s">
        <v>14201</v>
      </c>
      <c r="I10168" t="s">
        <v>4678</v>
      </c>
      <c r="J10168" t="s">
        <v>32770</v>
      </c>
      <c r="K10168" t="s">
        <v>42648</v>
      </c>
      <c r="M10168" t="s">
        <v>44584</v>
      </c>
      <c r="N10168" t="s">
        <v>47304</v>
      </c>
      <c r="O10168" t="s">
        <v>47305</v>
      </c>
      <c r="P10168">
        <v>0</v>
      </c>
      <c r="Q10168">
        <v>4</v>
      </c>
      <c r="R10168" t="s">
        <v>47313</v>
      </c>
      <c r="S10168" t="s">
        <v>47535</v>
      </c>
      <c r="T10168" t="s">
        <v>49257</v>
      </c>
      <c r="U10168" t="s">
        <v>57955</v>
      </c>
      <c r="V10168" t="s">
        <v>63054</v>
      </c>
      <c r="W10168" t="s">
        <v>44584</v>
      </c>
      <c r="X10168" t="s">
        <v>47314</v>
      </c>
    </row>
    <row r="10169" spans="1:24">
      <c r="A10169">
        <f>HYPERLINK("https://www.philgeps.gov.ph/GEPSNONPILOT/Tender/SplashBidNoticeAbstractUI.aspx?menuIndex=3&amp;refID=7186472&amp;Result=3","7186472")</f>
        <v>0</v>
      </c>
      <c r="B10169" t="s">
        <v>777</v>
      </c>
      <c r="C10169" t="s">
        <v>13448</v>
      </c>
      <c r="D10169" t="s">
        <v>18993</v>
      </c>
      <c r="E10169" t="s">
        <v>27774</v>
      </c>
      <c r="F10169" t="s">
        <v>32606</v>
      </c>
      <c r="G10169" t="s">
        <v>32613</v>
      </c>
      <c r="H10169" t="s">
        <v>14201</v>
      </c>
      <c r="I10169" t="s">
        <v>17648</v>
      </c>
      <c r="J10169" t="s">
        <v>38379</v>
      </c>
      <c r="K10169" t="s">
        <v>42636</v>
      </c>
      <c r="M10169" t="s">
        <v>43707</v>
      </c>
      <c r="N10169" t="s">
        <v>47304</v>
      </c>
      <c r="O10169" t="s">
        <v>47305</v>
      </c>
      <c r="P10169">
        <v>0</v>
      </c>
      <c r="Q10169">
        <v>3</v>
      </c>
      <c r="R10169" t="s">
        <v>47313</v>
      </c>
      <c r="S10169" t="s">
        <v>47535</v>
      </c>
      <c r="T10169" t="s">
        <v>49443</v>
      </c>
      <c r="U10169" t="s">
        <v>57956</v>
      </c>
      <c r="W10169" t="s">
        <v>43707</v>
      </c>
      <c r="X10169" t="s">
        <v>47314</v>
      </c>
    </row>
    <row r="10170" spans="1:24">
      <c r="A10170">
        <f>HYPERLINK("https://www.philgeps.gov.ph/GEPSNONPILOT/Tender/SplashBidNoticeAbstractUI.aspx?menuIndex=3&amp;refID=7186468&amp;Result=3","7186468")</f>
        <v>0</v>
      </c>
      <c r="B10170" t="s">
        <v>965</v>
      </c>
      <c r="C10170" t="s">
        <v>13449</v>
      </c>
      <c r="D10170" t="s">
        <v>19070</v>
      </c>
      <c r="E10170" t="s">
        <v>27775</v>
      </c>
      <c r="F10170" t="s">
        <v>32606</v>
      </c>
      <c r="G10170" t="s">
        <v>32613</v>
      </c>
      <c r="H10170" t="s">
        <v>14201</v>
      </c>
      <c r="I10170" t="s">
        <v>4369</v>
      </c>
      <c r="J10170" t="s">
        <v>39079</v>
      </c>
      <c r="K10170" t="s">
        <v>42623</v>
      </c>
      <c r="M10170" t="s">
        <v>43910</v>
      </c>
      <c r="N10170" t="s">
        <v>47304</v>
      </c>
      <c r="O10170" t="s">
        <v>47305</v>
      </c>
      <c r="Q10170">
        <v>14</v>
      </c>
      <c r="R10170" t="s">
        <v>47313</v>
      </c>
      <c r="S10170" t="s">
        <v>47459</v>
      </c>
      <c r="T10170" t="s">
        <v>49140</v>
      </c>
      <c r="U10170" t="s">
        <v>57957</v>
      </c>
      <c r="W10170" t="s">
        <v>43910</v>
      </c>
      <c r="X10170" t="s">
        <v>47314</v>
      </c>
    </row>
    <row r="10171" spans="1:24">
      <c r="A10171">
        <f>HYPERLINK("https://www.philgeps.gov.ph/GEPSNONPILOT/Tender/SplashBidNoticeAbstractUI.aspx?menuIndex=3&amp;refID=7186496&amp;Result=3","7186496")</f>
        <v>0</v>
      </c>
      <c r="B10171" t="s">
        <v>777</v>
      </c>
      <c r="C10171" t="s">
        <v>13450</v>
      </c>
      <c r="D10171" t="s">
        <v>18993</v>
      </c>
      <c r="E10171" t="s">
        <v>27776</v>
      </c>
      <c r="F10171" t="s">
        <v>32606</v>
      </c>
      <c r="G10171" t="s">
        <v>32613</v>
      </c>
      <c r="H10171" t="s">
        <v>32623</v>
      </c>
      <c r="I10171" t="s">
        <v>17648</v>
      </c>
      <c r="J10171" t="s">
        <v>33757</v>
      </c>
      <c r="K10171" t="s">
        <v>42645</v>
      </c>
      <c r="M10171" t="s">
        <v>43707</v>
      </c>
      <c r="N10171" t="s">
        <v>47304</v>
      </c>
      <c r="O10171" t="s">
        <v>47305</v>
      </c>
      <c r="P10171">
        <v>0</v>
      </c>
      <c r="Q10171">
        <v>9</v>
      </c>
      <c r="R10171" t="s">
        <v>47313</v>
      </c>
      <c r="S10171" t="s">
        <v>47535</v>
      </c>
      <c r="T10171" t="s">
        <v>49444</v>
      </c>
      <c r="U10171" t="s">
        <v>57958</v>
      </c>
      <c r="W10171" t="s">
        <v>43707</v>
      </c>
      <c r="X10171" t="s">
        <v>47314</v>
      </c>
    </row>
    <row r="10172" spans="1:24">
      <c r="A10172">
        <f>HYPERLINK("https://www.philgeps.gov.ph/GEPSNONPILOT/Tender/SplashBidNoticeAbstractUI.aspx?menuIndex=3&amp;refID=7186464&amp;Result=3","7186464")</f>
        <v>0</v>
      </c>
      <c r="B10172" t="s">
        <v>2788</v>
      </c>
      <c r="C10172" t="s">
        <v>13451</v>
      </c>
      <c r="D10172" t="s">
        <v>18997</v>
      </c>
      <c r="E10172" t="s">
        <v>27777</v>
      </c>
      <c r="F10172" t="s">
        <v>32606</v>
      </c>
      <c r="G10172" t="s">
        <v>32613</v>
      </c>
      <c r="H10172" t="s">
        <v>14201</v>
      </c>
      <c r="I10172" t="s">
        <v>4678</v>
      </c>
      <c r="J10172" t="s">
        <v>33103</v>
      </c>
      <c r="K10172" t="s">
        <v>42624</v>
      </c>
      <c r="M10172" t="s">
        <v>45950</v>
      </c>
      <c r="N10172" t="s">
        <v>47304</v>
      </c>
      <c r="O10172" t="s">
        <v>47305</v>
      </c>
      <c r="P10172">
        <v>0</v>
      </c>
      <c r="Q10172">
        <v>1</v>
      </c>
      <c r="R10172" t="s">
        <v>47313</v>
      </c>
      <c r="S10172" t="s">
        <v>47535</v>
      </c>
      <c r="T10172" t="s">
        <v>49018</v>
      </c>
      <c r="U10172" t="s">
        <v>57959</v>
      </c>
      <c r="W10172" t="s">
        <v>45950</v>
      </c>
      <c r="X10172" t="s">
        <v>47314</v>
      </c>
    </row>
    <row r="10173" spans="1:24">
      <c r="A10173">
        <f>HYPERLINK("https://www.philgeps.gov.ph/GEPSNONPILOT/Tender/SplashBidNoticeAbstractUI.aspx?menuIndex=3&amp;refID=7186462&amp;Result=3","7186462")</f>
        <v>0</v>
      </c>
      <c r="B10173" t="s">
        <v>2416</v>
      </c>
      <c r="C10173" t="s">
        <v>13452</v>
      </c>
      <c r="D10173" t="s">
        <v>19008</v>
      </c>
      <c r="E10173" t="s">
        <v>27778</v>
      </c>
      <c r="F10173" t="s">
        <v>32606</v>
      </c>
      <c r="G10173" t="s">
        <v>32613</v>
      </c>
      <c r="H10173" t="s">
        <v>14201</v>
      </c>
      <c r="I10173" t="s">
        <v>4120</v>
      </c>
      <c r="J10173" t="s">
        <v>39080</v>
      </c>
      <c r="K10173" t="s">
        <v>42627</v>
      </c>
      <c r="M10173" t="s">
        <v>45541</v>
      </c>
      <c r="N10173" t="s">
        <v>47304</v>
      </c>
      <c r="O10173" t="s">
        <v>47305</v>
      </c>
      <c r="P10173">
        <v>0</v>
      </c>
      <c r="Q10173">
        <v>2</v>
      </c>
      <c r="R10173" t="s">
        <v>47313</v>
      </c>
      <c r="S10173" t="s">
        <v>47535</v>
      </c>
      <c r="T10173" t="s">
        <v>49315</v>
      </c>
      <c r="U10173" t="s">
        <v>57960</v>
      </c>
      <c r="W10173" t="s">
        <v>45541</v>
      </c>
      <c r="X10173" t="s">
        <v>47314</v>
      </c>
    </row>
    <row r="10174" spans="1:24">
      <c r="A10174">
        <f>HYPERLINK("https://www.philgeps.gov.ph/GEPSNONPILOT/Tender/SplashBidNoticeAbstractUI.aspx?menuIndex=3&amp;refID=7186531&amp;Result=3","7186531")</f>
        <v>0</v>
      </c>
      <c r="B10174" t="s">
        <v>1696</v>
      </c>
      <c r="C10174" t="s">
        <v>13453</v>
      </c>
      <c r="D10174" t="s">
        <v>18993</v>
      </c>
      <c r="E10174" t="s">
        <v>27779</v>
      </c>
      <c r="F10174" t="s">
        <v>32606</v>
      </c>
      <c r="G10174" t="s">
        <v>32613</v>
      </c>
      <c r="H10174" t="s">
        <v>14201</v>
      </c>
      <c r="I10174" t="s">
        <v>4112</v>
      </c>
      <c r="J10174" t="s">
        <v>32770</v>
      </c>
      <c r="K10174" t="s">
        <v>42623</v>
      </c>
      <c r="M10174" t="s">
        <v>44725</v>
      </c>
      <c r="N10174" t="s">
        <v>47304</v>
      </c>
      <c r="O10174" t="s">
        <v>47305</v>
      </c>
      <c r="P10174">
        <v>0</v>
      </c>
      <c r="Q10174">
        <v>0</v>
      </c>
      <c r="R10174" t="s">
        <v>47313</v>
      </c>
      <c r="S10174" t="s">
        <v>47535</v>
      </c>
      <c r="T10174" t="s">
        <v>49053</v>
      </c>
      <c r="U10174" t="s">
        <v>53480</v>
      </c>
      <c r="W10174" t="s">
        <v>44725</v>
      </c>
      <c r="X10174" t="s">
        <v>47314</v>
      </c>
    </row>
    <row r="10175" spans="1:24">
      <c r="A10175">
        <f>HYPERLINK("https://www.philgeps.gov.ph/GEPSNONPILOT/Tender/SplashBidNoticeAbstractUI.aspx?menuIndex=3&amp;refID=7186538&amp;Result=3","7186538")</f>
        <v>0</v>
      </c>
      <c r="B10175" t="s">
        <v>928</v>
      </c>
      <c r="C10175" t="s">
        <v>13454</v>
      </c>
      <c r="D10175" t="s">
        <v>19027</v>
      </c>
      <c r="E10175" t="s">
        <v>22592</v>
      </c>
      <c r="F10175" t="s">
        <v>32606</v>
      </c>
      <c r="G10175" t="s">
        <v>32613</v>
      </c>
      <c r="H10175" t="s">
        <v>32623</v>
      </c>
      <c r="I10175" t="s">
        <v>17648</v>
      </c>
      <c r="J10175" t="s">
        <v>35904</v>
      </c>
      <c r="K10175" t="s">
        <v>42701</v>
      </c>
      <c r="M10175" t="s">
        <v>43868</v>
      </c>
      <c r="N10175" t="s">
        <v>47304</v>
      </c>
      <c r="O10175" t="s">
        <v>47305</v>
      </c>
      <c r="P10175">
        <v>0</v>
      </c>
      <c r="Q10175">
        <v>3</v>
      </c>
      <c r="R10175" t="s">
        <v>47313</v>
      </c>
      <c r="S10175" t="s">
        <v>47535</v>
      </c>
      <c r="T10175" t="s">
        <v>49291</v>
      </c>
      <c r="U10175" t="s">
        <v>57961</v>
      </c>
      <c r="W10175" t="s">
        <v>43868</v>
      </c>
      <c r="X10175" t="s">
        <v>47314</v>
      </c>
    </row>
    <row r="10176" spans="1:24">
      <c r="A10176">
        <f>HYPERLINK("https://www.philgeps.gov.ph/GEPSNONPILOT/Tender/SplashBidNoticeAbstractUI.aspx?menuIndex=3&amp;refID=7186535&amp;Result=3","7186535")</f>
        <v>0</v>
      </c>
      <c r="B10176" t="s">
        <v>1696</v>
      </c>
      <c r="C10176" t="s">
        <v>13455</v>
      </c>
      <c r="D10176" t="s">
        <v>18993</v>
      </c>
      <c r="E10176" t="s">
        <v>27780</v>
      </c>
      <c r="F10176" t="s">
        <v>32606</v>
      </c>
      <c r="G10176" t="s">
        <v>32613</v>
      </c>
      <c r="H10176" t="s">
        <v>14201</v>
      </c>
      <c r="I10176" t="s">
        <v>4112</v>
      </c>
      <c r="J10176" t="s">
        <v>39081</v>
      </c>
      <c r="K10176" t="s">
        <v>42623</v>
      </c>
      <c r="M10176" t="s">
        <v>44725</v>
      </c>
      <c r="N10176" t="s">
        <v>47304</v>
      </c>
      <c r="O10176" t="s">
        <v>47305</v>
      </c>
      <c r="P10176">
        <v>0</v>
      </c>
      <c r="Q10176">
        <v>0</v>
      </c>
      <c r="R10176" t="s">
        <v>47313</v>
      </c>
      <c r="S10176" t="s">
        <v>47535</v>
      </c>
      <c r="T10176" t="s">
        <v>49053</v>
      </c>
      <c r="U10176" t="s">
        <v>53480</v>
      </c>
      <c r="W10176" t="s">
        <v>44725</v>
      </c>
      <c r="X10176" t="s">
        <v>47314</v>
      </c>
    </row>
    <row r="10177" spans="1:24">
      <c r="A10177">
        <f>HYPERLINK("https://www.philgeps.gov.ph/GEPSNONPILOT/Tender/SplashBidNoticeAbstractUI.aspx?menuIndex=3&amp;refID=7186435&amp;Result=3","7186435")</f>
        <v>0</v>
      </c>
      <c r="B10177" t="s">
        <v>1660</v>
      </c>
      <c r="C10177" t="s">
        <v>13456</v>
      </c>
      <c r="D10177" t="s">
        <v>19011</v>
      </c>
      <c r="E10177" t="s">
        <v>27781</v>
      </c>
      <c r="F10177" t="s">
        <v>32606</v>
      </c>
      <c r="G10177" t="s">
        <v>32615</v>
      </c>
      <c r="H10177" t="s">
        <v>14201</v>
      </c>
      <c r="I10177" t="s">
        <v>7677</v>
      </c>
      <c r="J10177" t="s">
        <v>39082</v>
      </c>
      <c r="K10177" t="s">
        <v>42623</v>
      </c>
      <c r="M10177" t="s">
        <v>44685</v>
      </c>
      <c r="N10177" t="s">
        <v>47304</v>
      </c>
      <c r="O10177" t="s">
        <v>47305</v>
      </c>
      <c r="P10177">
        <v>0</v>
      </c>
      <c r="Q10177">
        <v>4</v>
      </c>
      <c r="R10177" t="s">
        <v>47313</v>
      </c>
      <c r="S10177" t="s">
        <v>47535</v>
      </c>
      <c r="T10177" t="s">
        <v>49269</v>
      </c>
      <c r="U10177" t="s">
        <v>57962</v>
      </c>
      <c r="V10177" t="s">
        <v>63054</v>
      </c>
      <c r="W10177" t="s">
        <v>44685</v>
      </c>
      <c r="X10177" t="s">
        <v>47314</v>
      </c>
    </row>
    <row r="10178" spans="1:24">
      <c r="A10178">
        <f>HYPERLINK("https://www.philgeps.gov.ph/GEPSNONPILOT/Tender/SplashBidNoticeAbstractUI.aspx?menuIndex=3&amp;refID=7186471&amp;Result=3","7186471")</f>
        <v>0</v>
      </c>
      <c r="B10178" t="s">
        <v>3083</v>
      </c>
      <c r="C10178" t="s">
        <v>13457</v>
      </c>
      <c r="D10178" t="s">
        <v>19060</v>
      </c>
      <c r="E10178" t="s">
        <v>20519</v>
      </c>
      <c r="F10178" t="s">
        <v>32606</v>
      </c>
      <c r="G10178" t="s">
        <v>32613</v>
      </c>
      <c r="H10178" t="s">
        <v>14201</v>
      </c>
      <c r="I10178" t="s">
        <v>32655</v>
      </c>
      <c r="J10178" t="s">
        <v>39083</v>
      </c>
      <c r="K10178" t="s">
        <v>42636</v>
      </c>
      <c r="M10178" t="s">
        <v>46284</v>
      </c>
      <c r="N10178" t="s">
        <v>47304</v>
      </c>
      <c r="O10178" t="s">
        <v>47305</v>
      </c>
      <c r="P10178">
        <v>0</v>
      </c>
      <c r="Q10178">
        <v>14</v>
      </c>
      <c r="R10178" t="s">
        <v>47313</v>
      </c>
      <c r="S10178" t="s">
        <v>47535</v>
      </c>
      <c r="T10178" t="s">
        <v>49037</v>
      </c>
      <c r="U10178" t="s">
        <v>52089</v>
      </c>
      <c r="W10178" t="s">
        <v>46284</v>
      </c>
      <c r="X10178" t="s">
        <v>47314</v>
      </c>
    </row>
    <row r="10179" spans="1:24">
      <c r="A10179">
        <f>HYPERLINK("https://www.philgeps.gov.ph/GEPSNONPILOT/Tender/SplashBidNoticeAbstractUI.aspx?menuIndex=3&amp;refID=7186532&amp;Result=3","7186532")</f>
        <v>0</v>
      </c>
      <c r="B10179" t="s">
        <v>1289</v>
      </c>
      <c r="C10179" t="s">
        <v>13458</v>
      </c>
      <c r="D10179" t="s">
        <v>18993</v>
      </c>
      <c r="E10179" t="s">
        <v>27782</v>
      </c>
      <c r="F10179" t="s">
        <v>32606</v>
      </c>
      <c r="G10179" t="s">
        <v>32614</v>
      </c>
      <c r="H10179" t="s">
        <v>14201</v>
      </c>
      <c r="I10179" t="s">
        <v>6931</v>
      </c>
      <c r="J10179" t="s">
        <v>39084</v>
      </c>
      <c r="K10179" t="s">
        <v>42631</v>
      </c>
      <c r="M10179" t="s">
        <v>44261</v>
      </c>
      <c r="N10179" t="s">
        <v>47304</v>
      </c>
      <c r="O10179" t="s">
        <v>47305</v>
      </c>
      <c r="P10179">
        <v>0</v>
      </c>
      <c r="Q10179">
        <v>4</v>
      </c>
      <c r="R10179" t="s">
        <v>47313</v>
      </c>
      <c r="S10179" t="s">
        <v>47535</v>
      </c>
      <c r="T10179" t="s">
        <v>49359</v>
      </c>
      <c r="U10179" t="s">
        <v>57963</v>
      </c>
      <c r="W10179" t="s">
        <v>44261</v>
      </c>
      <c r="X10179" t="s">
        <v>47314</v>
      </c>
    </row>
    <row r="10180" spans="1:24">
      <c r="A10180">
        <f>HYPERLINK("https://www.philgeps.gov.ph/GEPSNONPILOT/Tender/SplashBidNoticeAbstractUI.aspx?menuIndex=3&amp;refID=7186493&amp;Result=3","7186493")</f>
        <v>0</v>
      </c>
      <c r="B10180" t="s">
        <v>1241</v>
      </c>
      <c r="C10180" t="s">
        <v>13459</v>
      </c>
      <c r="E10180" t="s">
        <v>27783</v>
      </c>
      <c r="F10180" t="s">
        <v>32606</v>
      </c>
      <c r="G10180" t="s">
        <v>32614</v>
      </c>
      <c r="H10180" t="s">
        <v>14201</v>
      </c>
      <c r="I10180" t="s">
        <v>32696</v>
      </c>
      <c r="J10180" t="s">
        <v>33103</v>
      </c>
      <c r="K10180" t="s">
        <v>42624</v>
      </c>
      <c r="M10180" t="s">
        <v>44207</v>
      </c>
      <c r="N10180" t="s">
        <v>47304</v>
      </c>
      <c r="O10180" t="s">
        <v>47305</v>
      </c>
      <c r="P10180">
        <v>0</v>
      </c>
      <c r="Q10180">
        <v>2</v>
      </c>
      <c r="R10180" t="s">
        <v>47313</v>
      </c>
      <c r="S10180" t="s">
        <v>47535</v>
      </c>
      <c r="T10180" t="s">
        <v>49268</v>
      </c>
      <c r="U10180" t="s">
        <v>57964</v>
      </c>
      <c r="W10180" t="s">
        <v>44207</v>
      </c>
      <c r="X10180" t="s">
        <v>47314</v>
      </c>
    </row>
    <row r="10181" spans="1:24">
      <c r="A10181">
        <f>HYPERLINK("https://www.philgeps.gov.ph/GEPSNONPILOT/Tender/SplashBidNoticeAbstractUI.aspx?menuIndex=3&amp;refID=7186528&amp;Result=3","7186528")</f>
        <v>0</v>
      </c>
      <c r="B10181" t="s">
        <v>2743</v>
      </c>
      <c r="C10181" t="s">
        <v>13460</v>
      </c>
      <c r="D10181" t="s">
        <v>19028</v>
      </c>
      <c r="E10181" t="s">
        <v>27784</v>
      </c>
      <c r="F10181" t="s">
        <v>32606</v>
      </c>
      <c r="G10181" t="s">
        <v>32619</v>
      </c>
      <c r="H10181" t="s">
        <v>32624</v>
      </c>
      <c r="I10181" t="s">
        <v>4369</v>
      </c>
      <c r="J10181" t="s">
        <v>32868</v>
      </c>
      <c r="K10181" t="s">
        <v>42665</v>
      </c>
      <c r="M10181" t="s">
        <v>45899</v>
      </c>
      <c r="N10181" t="s">
        <v>47304</v>
      </c>
      <c r="O10181" t="s">
        <v>47305</v>
      </c>
      <c r="Q10181">
        <v>2</v>
      </c>
      <c r="R10181" t="s">
        <v>47313</v>
      </c>
      <c r="S10181" t="s">
        <v>47586</v>
      </c>
      <c r="T10181" t="s">
        <v>49062</v>
      </c>
      <c r="U10181" t="s">
        <v>57965</v>
      </c>
      <c r="W10181" t="s">
        <v>45899</v>
      </c>
      <c r="X10181" t="s">
        <v>47314</v>
      </c>
    </row>
    <row r="10182" spans="1:24">
      <c r="A10182">
        <f>HYPERLINK("https://www.philgeps.gov.ph/GEPSNONPILOT/Tender/SplashBidNoticeAbstractUI.aspx?menuIndex=3&amp;refID=7186526&amp;Result=3","7186526")</f>
        <v>0</v>
      </c>
      <c r="B10182" t="s">
        <v>1696</v>
      </c>
      <c r="C10182" t="s">
        <v>13461</v>
      </c>
      <c r="D10182" t="s">
        <v>18993</v>
      </c>
      <c r="E10182" t="s">
        <v>27785</v>
      </c>
      <c r="F10182" t="s">
        <v>32606</v>
      </c>
      <c r="G10182" t="s">
        <v>32613</v>
      </c>
      <c r="H10182" t="s">
        <v>14201</v>
      </c>
      <c r="I10182" t="s">
        <v>4112</v>
      </c>
      <c r="J10182" t="s">
        <v>39085</v>
      </c>
      <c r="K10182" t="s">
        <v>42623</v>
      </c>
      <c r="M10182" t="s">
        <v>44725</v>
      </c>
      <c r="N10182" t="s">
        <v>47304</v>
      </c>
      <c r="O10182" t="s">
        <v>47305</v>
      </c>
      <c r="P10182">
        <v>0</v>
      </c>
      <c r="Q10182">
        <v>0</v>
      </c>
      <c r="R10182" t="s">
        <v>47313</v>
      </c>
      <c r="S10182" t="s">
        <v>47535</v>
      </c>
      <c r="T10182" t="s">
        <v>49053</v>
      </c>
      <c r="U10182" t="s">
        <v>53480</v>
      </c>
      <c r="W10182" t="s">
        <v>44725</v>
      </c>
      <c r="X10182" t="s">
        <v>47314</v>
      </c>
    </row>
    <row r="10183" spans="1:24">
      <c r="A10183">
        <f>HYPERLINK("https://www.philgeps.gov.ph/GEPSNONPILOT/Tender/SplashBidNoticeAbstractUI.aspx?menuIndex=3&amp;refID=7186525&amp;Result=3","7186525")</f>
        <v>0</v>
      </c>
      <c r="B10183" t="s">
        <v>1696</v>
      </c>
      <c r="C10183" t="s">
        <v>13462</v>
      </c>
      <c r="D10183" t="s">
        <v>18993</v>
      </c>
      <c r="E10183" t="s">
        <v>27786</v>
      </c>
      <c r="F10183" t="s">
        <v>32606</v>
      </c>
      <c r="G10183" t="s">
        <v>32613</v>
      </c>
      <c r="H10183" t="s">
        <v>14201</v>
      </c>
      <c r="I10183" t="s">
        <v>4112</v>
      </c>
      <c r="J10183" t="s">
        <v>39086</v>
      </c>
      <c r="K10183" t="s">
        <v>42623</v>
      </c>
      <c r="M10183" t="s">
        <v>44725</v>
      </c>
      <c r="N10183" t="s">
        <v>47304</v>
      </c>
      <c r="O10183" t="s">
        <v>47305</v>
      </c>
      <c r="P10183">
        <v>0</v>
      </c>
      <c r="Q10183">
        <v>0</v>
      </c>
      <c r="R10183" t="s">
        <v>47313</v>
      </c>
      <c r="S10183" t="s">
        <v>47535</v>
      </c>
      <c r="T10183" t="s">
        <v>49053</v>
      </c>
      <c r="U10183" t="s">
        <v>53480</v>
      </c>
      <c r="W10183" t="s">
        <v>44725</v>
      </c>
      <c r="X10183" t="s">
        <v>47314</v>
      </c>
    </row>
    <row r="10184" spans="1:24">
      <c r="A10184">
        <f>HYPERLINK("https://www.philgeps.gov.ph/GEPSNONPILOT/Tender/SplashBidNoticeAbstractUI.aspx?menuIndex=3&amp;refID=7186536&amp;Result=3","7186536")</f>
        <v>0</v>
      </c>
      <c r="B10184" t="s">
        <v>732</v>
      </c>
      <c r="C10184" t="s">
        <v>13463</v>
      </c>
      <c r="D10184" t="s">
        <v>19016</v>
      </c>
      <c r="E10184" t="s">
        <v>27787</v>
      </c>
      <c r="F10184" t="s">
        <v>32606</v>
      </c>
      <c r="G10184" t="s">
        <v>32614</v>
      </c>
      <c r="H10184" t="s">
        <v>14201</v>
      </c>
      <c r="I10184" t="s">
        <v>6993</v>
      </c>
      <c r="J10184" t="s">
        <v>39087</v>
      </c>
      <c r="K10184" t="s">
        <v>42636</v>
      </c>
      <c r="M10184" t="s">
        <v>43654</v>
      </c>
      <c r="N10184" t="s">
        <v>47304</v>
      </c>
      <c r="O10184" t="s">
        <v>47305</v>
      </c>
      <c r="P10184">
        <v>0</v>
      </c>
      <c r="Q10184">
        <v>1</v>
      </c>
      <c r="R10184" t="s">
        <v>47313</v>
      </c>
      <c r="S10184" t="s">
        <v>47535</v>
      </c>
      <c r="T10184" t="s">
        <v>48998</v>
      </c>
      <c r="U10184" t="s">
        <v>50862</v>
      </c>
      <c r="W10184" t="s">
        <v>43654</v>
      </c>
      <c r="X10184" t="s">
        <v>47314</v>
      </c>
    </row>
    <row r="10185" spans="1:24">
      <c r="A10185">
        <f>HYPERLINK("https://www.philgeps.gov.ph/GEPSNONPILOT/Tender/SplashBidNoticeAbstractUI.aspx?menuIndex=3&amp;refID=7186520&amp;Result=3","7186520")</f>
        <v>0</v>
      </c>
      <c r="B10185" t="s">
        <v>1092</v>
      </c>
      <c r="C10185" t="s">
        <v>13464</v>
      </c>
      <c r="D10185" t="s">
        <v>18993</v>
      </c>
      <c r="E10185" t="s">
        <v>27788</v>
      </c>
      <c r="F10185" t="s">
        <v>32606</v>
      </c>
      <c r="G10185" t="s">
        <v>32613</v>
      </c>
      <c r="H10185" t="s">
        <v>14201</v>
      </c>
      <c r="I10185" t="s">
        <v>4369</v>
      </c>
      <c r="J10185" t="s">
        <v>32832</v>
      </c>
      <c r="K10185" t="s">
        <v>42624</v>
      </c>
      <c r="M10185" t="s">
        <v>46287</v>
      </c>
      <c r="N10185" t="s">
        <v>47304</v>
      </c>
      <c r="O10185" t="s">
        <v>47305</v>
      </c>
      <c r="Q10185">
        <v>14</v>
      </c>
      <c r="R10185" t="s">
        <v>47313</v>
      </c>
      <c r="S10185" t="s">
        <v>47587</v>
      </c>
      <c r="T10185" t="s">
        <v>49140</v>
      </c>
      <c r="U10185" t="s">
        <v>57966</v>
      </c>
      <c r="V10185" t="s">
        <v>62486</v>
      </c>
      <c r="W10185" t="s">
        <v>46287</v>
      </c>
      <c r="X10185" t="s">
        <v>47314</v>
      </c>
    </row>
    <row r="10186" spans="1:24">
      <c r="A10186">
        <f>HYPERLINK("https://www.philgeps.gov.ph/GEPSNONPILOT/Tender/SplashBidNoticeAbstractUI.aspx?menuIndex=3&amp;refID=7186517&amp;Result=3","7186517")</f>
        <v>0</v>
      </c>
      <c r="B10186" t="s">
        <v>1696</v>
      </c>
      <c r="C10186" t="s">
        <v>13465</v>
      </c>
      <c r="D10186" t="s">
        <v>18993</v>
      </c>
      <c r="E10186" t="s">
        <v>27789</v>
      </c>
      <c r="F10186" t="s">
        <v>32606</v>
      </c>
      <c r="G10186" t="s">
        <v>32613</v>
      </c>
      <c r="H10186" t="s">
        <v>14201</v>
      </c>
      <c r="I10186" t="s">
        <v>4112</v>
      </c>
      <c r="J10186" t="s">
        <v>33274</v>
      </c>
      <c r="K10186" t="s">
        <v>42623</v>
      </c>
      <c r="M10186" t="s">
        <v>44725</v>
      </c>
      <c r="N10186" t="s">
        <v>47304</v>
      </c>
      <c r="O10186" t="s">
        <v>47305</v>
      </c>
      <c r="P10186">
        <v>0</v>
      </c>
      <c r="Q10186">
        <v>0</v>
      </c>
      <c r="R10186" t="s">
        <v>47313</v>
      </c>
      <c r="S10186" t="s">
        <v>47535</v>
      </c>
      <c r="T10186" t="s">
        <v>49053</v>
      </c>
      <c r="U10186" t="s">
        <v>53480</v>
      </c>
      <c r="W10186" t="s">
        <v>44725</v>
      </c>
      <c r="X10186" t="s">
        <v>47314</v>
      </c>
    </row>
    <row r="10187" spans="1:24">
      <c r="A10187">
        <f>HYPERLINK("https://www.philgeps.gov.ph/GEPSNONPILOT/Tender/SplashBidNoticeAbstractUI.aspx?menuIndex=3&amp;refID=7186534&amp;Result=3","7186534")</f>
        <v>0</v>
      </c>
      <c r="B10187" t="s">
        <v>503</v>
      </c>
      <c r="C10187" t="s">
        <v>13466</v>
      </c>
      <c r="D10187" t="s">
        <v>19033</v>
      </c>
      <c r="E10187" t="s">
        <v>27790</v>
      </c>
      <c r="F10187" t="s">
        <v>32606</v>
      </c>
      <c r="G10187" t="s">
        <v>32613</v>
      </c>
      <c r="H10187" t="s">
        <v>32623</v>
      </c>
      <c r="I10187" t="s">
        <v>17648</v>
      </c>
      <c r="J10187" t="s">
        <v>39088</v>
      </c>
      <c r="K10187" t="s">
        <v>42800</v>
      </c>
      <c r="M10187" t="s">
        <v>43416</v>
      </c>
      <c r="N10187" t="s">
        <v>47304</v>
      </c>
      <c r="O10187" t="s">
        <v>47305</v>
      </c>
      <c r="P10187">
        <v>0</v>
      </c>
      <c r="Q10187">
        <v>8</v>
      </c>
      <c r="R10187" t="s">
        <v>47313</v>
      </c>
      <c r="S10187" t="s">
        <v>47535</v>
      </c>
      <c r="T10187" t="s">
        <v>49140</v>
      </c>
      <c r="U10187" t="s">
        <v>57967</v>
      </c>
      <c r="V10187" t="s">
        <v>63718</v>
      </c>
      <c r="W10187" t="s">
        <v>43416</v>
      </c>
      <c r="X10187" t="s">
        <v>47314</v>
      </c>
    </row>
    <row r="10188" spans="1:24">
      <c r="A10188">
        <f>HYPERLINK("https://www.philgeps.gov.ph/GEPSNONPILOT/Tender/SplashBidNoticeAbstractUI.aspx?menuIndex=3&amp;refID=7186511&amp;Result=3","7186511")</f>
        <v>0</v>
      </c>
      <c r="B10188" t="s">
        <v>3083</v>
      </c>
      <c r="C10188" t="s">
        <v>13467</v>
      </c>
      <c r="D10188" t="s">
        <v>19060</v>
      </c>
      <c r="E10188" t="s">
        <v>20519</v>
      </c>
      <c r="F10188" t="s">
        <v>32606</v>
      </c>
      <c r="G10188" t="s">
        <v>32613</v>
      </c>
      <c r="H10188" t="s">
        <v>14201</v>
      </c>
      <c r="I10188" t="s">
        <v>4120</v>
      </c>
      <c r="J10188" t="s">
        <v>39089</v>
      </c>
      <c r="K10188" t="s">
        <v>42631</v>
      </c>
      <c r="M10188" t="s">
        <v>46284</v>
      </c>
      <c r="N10188" t="s">
        <v>47304</v>
      </c>
      <c r="O10188" t="s">
        <v>47305</v>
      </c>
      <c r="P10188">
        <v>0</v>
      </c>
      <c r="Q10188">
        <v>0</v>
      </c>
      <c r="R10188" t="s">
        <v>47313</v>
      </c>
      <c r="S10188" t="s">
        <v>47535</v>
      </c>
      <c r="T10188" t="s">
        <v>49037</v>
      </c>
      <c r="U10188" t="s">
        <v>57968</v>
      </c>
      <c r="W10188" t="s">
        <v>46284</v>
      </c>
      <c r="X10188" t="s">
        <v>47314</v>
      </c>
    </row>
    <row r="10189" spans="1:24">
      <c r="A10189">
        <f>HYPERLINK("https://www.philgeps.gov.ph/GEPSNONPILOT/Tender/SplashBidNoticeAbstractUI.aspx?menuIndex=3&amp;refID=7186527&amp;Result=3","7186527")</f>
        <v>0</v>
      </c>
      <c r="B10189" t="s">
        <v>3083</v>
      </c>
      <c r="C10189" t="s">
        <v>13468</v>
      </c>
      <c r="D10189" t="s">
        <v>19060</v>
      </c>
      <c r="E10189" t="s">
        <v>20519</v>
      </c>
      <c r="F10189" t="s">
        <v>32606</v>
      </c>
      <c r="G10189" t="s">
        <v>32613</v>
      </c>
      <c r="H10189" t="s">
        <v>14201</v>
      </c>
      <c r="I10189" t="s">
        <v>32655</v>
      </c>
      <c r="J10189" t="s">
        <v>39090</v>
      </c>
      <c r="K10189" t="s">
        <v>42636</v>
      </c>
      <c r="M10189" t="s">
        <v>46284</v>
      </c>
      <c r="N10189" t="s">
        <v>47304</v>
      </c>
      <c r="O10189" t="s">
        <v>47305</v>
      </c>
      <c r="P10189">
        <v>0</v>
      </c>
      <c r="Q10189">
        <v>39</v>
      </c>
      <c r="R10189" t="s">
        <v>47313</v>
      </c>
      <c r="S10189" t="s">
        <v>47535</v>
      </c>
      <c r="T10189" t="s">
        <v>49037</v>
      </c>
      <c r="U10189" t="s">
        <v>57936</v>
      </c>
      <c r="W10189" t="s">
        <v>46284</v>
      </c>
      <c r="X10189" t="s">
        <v>47314</v>
      </c>
    </row>
    <row r="10190" spans="1:24">
      <c r="A10190">
        <f>HYPERLINK("https://www.philgeps.gov.ph/GEPSNONPILOT/Tender/SplashBidNoticeAbstractUI.aspx?menuIndex=3&amp;refID=7186510&amp;Result=3","7186510")</f>
        <v>0</v>
      </c>
      <c r="B10190" t="s">
        <v>1696</v>
      </c>
      <c r="C10190" t="s">
        <v>13469</v>
      </c>
      <c r="D10190" t="s">
        <v>18993</v>
      </c>
      <c r="E10190" t="s">
        <v>27791</v>
      </c>
      <c r="F10190" t="s">
        <v>32606</v>
      </c>
      <c r="G10190" t="s">
        <v>32613</v>
      </c>
      <c r="H10190" t="s">
        <v>14201</v>
      </c>
      <c r="I10190" t="s">
        <v>4120</v>
      </c>
      <c r="J10190" t="s">
        <v>32833</v>
      </c>
      <c r="K10190" t="s">
        <v>42623</v>
      </c>
      <c r="M10190" t="s">
        <v>44725</v>
      </c>
      <c r="N10190" t="s">
        <v>47304</v>
      </c>
      <c r="O10190" t="s">
        <v>47305</v>
      </c>
      <c r="P10190">
        <v>0</v>
      </c>
      <c r="Q10190">
        <v>0</v>
      </c>
      <c r="R10190" t="s">
        <v>47313</v>
      </c>
      <c r="S10190" t="s">
        <v>47535</v>
      </c>
      <c r="T10190" t="s">
        <v>49053</v>
      </c>
      <c r="U10190" t="s">
        <v>51117</v>
      </c>
      <c r="W10190" t="s">
        <v>44725</v>
      </c>
      <c r="X10190" t="s">
        <v>47314</v>
      </c>
    </row>
    <row r="10191" spans="1:24">
      <c r="A10191">
        <f>HYPERLINK("https://www.philgeps.gov.ph/GEPSNONPILOT/Tender/SplashBidNoticeAbstractUI.aspx?menuIndex=3&amp;refID=7186504&amp;Result=3","7186504")</f>
        <v>0</v>
      </c>
      <c r="B10191" t="s">
        <v>1696</v>
      </c>
      <c r="C10191" t="s">
        <v>13470</v>
      </c>
      <c r="D10191" t="s">
        <v>18993</v>
      </c>
      <c r="E10191" t="s">
        <v>27792</v>
      </c>
      <c r="F10191" t="s">
        <v>32606</v>
      </c>
      <c r="G10191" t="s">
        <v>32613</v>
      </c>
      <c r="H10191" t="s">
        <v>14201</v>
      </c>
      <c r="I10191" t="s">
        <v>4120</v>
      </c>
      <c r="J10191" t="s">
        <v>39091</v>
      </c>
      <c r="K10191" t="s">
        <v>42623</v>
      </c>
      <c r="M10191" t="s">
        <v>44725</v>
      </c>
      <c r="N10191" t="s">
        <v>47304</v>
      </c>
      <c r="O10191" t="s">
        <v>47305</v>
      </c>
      <c r="P10191">
        <v>0</v>
      </c>
      <c r="Q10191">
        <v>0</v>
      </c>
      <c r="R10191" t="s">
        <v>47313</v>
      </c>
      <c r="S10191" t="s">
        <v>47535</v>
      </c>
      <c r="T10191" t="s">
        <v>49053</v>
      </c>
      <c r="U10191" t="s">
        <v>51117</v>
      </c>
      <c r="W10191" t="s">
        <v>44725</v>
      </c>
      <c r="X10191" t="s">
        <v>47314</v>
      </c>
    </row>
    <row r="10192" spans="1:24">
      <c r="A10192">
        <f>HYPERLINK("https://www.philgeps.gov.ph/GEPSNONPILOT/Tender/SplashBidNoticeAbstractUI.aspx?menuIndex=3&amp;refID=7186502&amp;Result=3","7186502")</f>
        <v>0</v>
      </c>
      <c r="B10192" t="s">
        <v>3083</v>
      </c>
      <c r="C10192" t="s">
        <v>13471</v>
      </c>
      <c r="D10192" t="s">
        <v>19060</v>
      </c>
      <c r="E10192" t="s">
        <v>20519</v>
      </c>
      <c r="F10192" t="s">
        <v>32606</v>
      </c>
      <c r="G10192" t="s">
        <v>32613</v>
      </c>
      <c r="H10192" t="s">
        <v>14201</v>
      </c>
      <c r="I10192" t="s">
        <v>32638</v>
      </c>
      <c r="J10192" t="s">
        <v>39092</v>
      </c>
      <c r="K10192" t="s">
        <v>42631</v>
      </c>
      <c r="M10192" t="s">
        <v>46284</v>
      </c>
      <c r="N10192" t="s">
        <v>47304</v>
      </c>
      <c r="O10192" t="s">
        <v>47305</v>
      </c>
      <c r="P10192">
        <v>0</v>
      </c>
      <c r="Q10192">
        <v>17</v>
      </c>
      <c r="R10192" t="s">
        <v>47313</v>
      </c>
      <c r="S10192" t="s">
        <v>47535</v>
      </c>
      <c r="T10192" t="s">
        <v>49037</v>
      </c>
      <c r="U10192" t="s">
        <v>57936</v>
      </c>
      <c r="W10192" t="s">
        <v>46284</v>
      </c>
      <c r="X10192" t="s">
        <v>47314</v>
      </c>
    </row>
    <row r="10193" spans="1:24">
      <c r="A10193">
        <f>HYPERLINK("https://www.philgeps.gov.ph/GEPSNONPILOT/Tender/SplashBidNoticeAbstractUI.aspx?menuIndex=3&amp;refID=7186513&amp;Result=3","7186513")</f>
        <v>0</v>
      </c>
      <c r="B10193" t="s">
        <v>1696</v>
      </c>
      <c r="C10193" t="s">
        <v>13472</v>
      </c>
      <c r="D10193" t="s">
        <v>18993</v>
      </c>
      <c r="E10193" t="s">
        <v>27793</v>
      </c>
      <c r="F10193" t="s">
        <v>32606</v>
      </c>
      <c r="G10193" t="s">
        <v>32613</v>
      </c>
      <c r="H10193" t="s">
        <v>14201</v>
      </c>
      <c r="I10193" t="s">
        <v>4112</v>
      </c>
      <c r="J10193" t="s">
        <v>39093</v>
      </c>
      <c r="K10193" t="s">
        <v>42623</v>
      </c>
      <c r="M10193" t="s">
        <v>44725</v>
      </c>
      <c r="N10193" t="s">
        <v>47304</v>
      </c>
      <c r="O10193" t="s">
        <v>47305</v>
      </c>
      <c r="P10193">
        <v>0</v>
      </c>
      <c r="Q10193">
        <v>0</v>
      </c>
      <c r="R10193" t="s">
        <v>47313</v>
      </c>
      <c r="S10193" t="s">
        <v>47535</v>
      </c>
      <c r="T10193" t="s">
        <v>49053</v>
      </c>
      <c r="U10193" t="s">
        <v>53480</v>
      </c>
      <c r="W10193" t="s">
        <v>44725</v>
      </c>
      <c r="X10193" t="s">
        <v>47314</v>
      </c>
    </row>
    <row r="10194" spans="1:24">
      <c r="A10194">
        <f>HYPERLINK("https://www.philgeps.gov.ph/GEPSNONPILOT/Tender/SplashBidNoticeAbstractUI.aspx?menuIndex=3&amp;refID=7186430&amp;Result=3","7186430")</f>
        <v>0</v>
      </c>
      <c r="B10194" t="s">
        <v>3083</v>
      </c>
      <c r="C10194" t="s">
        <v>13473</v>
      </c>
      <c r="D10194" t="s">
        <v>19060</v>
      </c>
      <c r="E10194" t="s">
        <v>20519</v>
      </c>
      <c r="F10194" t="s">
        <v>32606</v>
      </c>
      <c r="G10194" t="s">
        <v>32613</v>
      </c>
      <c r="H10194" t="s">
        <v>14201</v>
      </c>
      <c r="I10194" t="s">
        <v>32633</v>
      </c>
      <c r="J10194" t="s">
        <v>39094</v>
      </c>
      <c r="K10194" t="s">
        <v>42631</v>
      </c>
      <c r="M10194" t="s">
        <v>46284</v>
      </c>
      <c r="N10194" t="s">
        <v>47304</v>
      </c>
      <c r="O10194" t="s">
        <v>47305</v>
      </c>
      <c r="P10194">
        <v>0</v>
      </c>
      <c r="Q10194">
        <v>23</v>
      </c>
      <c r="R10194" t="s">
        <v>47313</v>
      </c>
      <c r="S10194" t="s">
        <v>47535</v>
      </c>
      <c r="T10194" t="s">
        <v>49300</v>
      </c>
      <c r="U10194" t="s">
        <v>57936</v>
      </c>
      <c r="W10194" t="s">
        <v>46284</v>
      </c>
      <c r="X10194" t="s">
        <v>47314</v>
      </c>
    </row>
    <row r="10195" spans="1:24">
      <c r="A10195">
        <f>HYPERLINK("https://www.philgeps.gov.ph/GEPSNONPILOT/Tender/SplashBidNoticeAbstractUI.aspx?menuIndex=3&amp;refID=7186429&amp;Result=3","7186429")</f>
        <v>0</v>
      </c>
      <c r="B10195" t="s">
        <v>3081</v>
      </c>
      <c r="C10195" t="s">
        <v>13474</v>
      </c>
      <c r="D10195" t="s">
        <v>19004</v>
      </c>
      <c r="E10195" t="s">
        <v>27794</v>
      </c>
      <c r="F10195" t="s">
        <v>32606</v>
      </c>
      <c r="G10195" t="s">
        <v>32619</v>
      </c>
      <c r="H10195" t="s">
        <v>14201</v>
      </c>
      <c r="I10195" t="s">
        <v>6931</v>
      </c>
      <c r="J10195" t="s">
        <v>39095</v>
      </c>
      <c r="K10195" t="s">
        <v>42630</v>
      </c>
      <c r="M10195" t="s">
        <v>46282</v>
      </c>
      <c r="N10195" t="s">
        <v>47304</v>
      </c>
      <c r="O10195" t="s">
        <v>47305</v>
      </c>
      <c r="P10195">
        <v>0</v>
      </c>
      <c r="Q10195">
        <v>0</v>
      </c>
      <c r="R10195" t="s">
        <v>47313</v>
      </c>
      <c r="S10195" t="s">
        <v>47535</v>
      </c>
      <c r="T10195" t="s">
        <v>48979</v>
      </c>
      <c r="U10195" t="s">
        <v>52157</v>
      </c>
      <c r="W10195" t="s">
        <v>64528</v>
      </c>
      <c r="X10195" t="s">
        <v>47314</v>
      </c>
    </row>
    <row r="10196" spans="1:24">
      <c r="A10196">
        <f>HYPERLINK("https://www.philgeps.gov.ph/GEPSNONPILOT/Tender/SplashBidNoticeAbstractUI.aspx?menuIndex=3&amp;refID=7186422&amp;Result=3","7186422")</f>
        <v>0</v>
      </c>
      <c r="B10196" t="s">
        <v>3081</v>
      </c>
      <c r="C10196" t="s">
        <v>13475</v>
      </c>
      <c r="D10196" t="s">
        <v>19004</v>
      </c>
      <c r="E10196" t="s">
        <v>27795</v>
      </c>
      <c r="F10196" t="s">
        <v>32606</v>
      </c>
      <c r="G10196" t="s">
        <v>32619</v>
      </c>
      <c r="H10196" t="s">
        <v>14201</v>
      </c>
      <c r="I10196" t="s">
        <v>6931</v>
      </c>
      <c r="J10196" t="s">
        <v>39096</v>
      </c>
      <c r="K10196" t="s">
        <v>42630</v>
      </c>
      <c r="M10196" t="s">
        <v>46282</v>
      </c>
      <c r="N10196" t="s">
        <v>47304</v>
      </c>
      <c r="O10196" t="s">
        <v>47305</v>
      </c>
      <c r="P10196">
        <v>0</v>
      </c>
      <c r="Q10196">
        <v>0</v>
      </c>
      <c r="R10196" t="s">
        <v>47313</v>
      </c>
      <c r="S10196" t="s">
        <v>47535</v>
      </c>
      <c r="T10196" t="s">
        <v>48979</v>
      </c>
      <c r="U10196" t="s">
        <v>52157</v>
      </c>
      <c r="W10196" t="s">
        <v>64528</v>
      </c>
      <c r="X10196" t="s">
        <v>47314</v>
      </c>
    </row>
    <row r="10197" spans="1:24">
      <c r="A10197">
        <f>HYPERLINK("https://www.philgeps.gov.ph/GEPSNONPILOT/Tender/SplashBidNoticeAbstractUI.aspx?menuIndex=3&amp;refID=7186316&amp;Result=3","7186316")</f>
        <v>0</v>
      </c>
      <c r="B10197" t="s">
        <v>745</v>
      </c>
      <c r="C10197" t="s">
        <v>13476</v>
      </c>
      <c r="D10197" t="s">
        <v>19043</v>
      </c>
      <c r="E10197" t="s">
        <v>27796</v>
      </c>
      <c r="F10197" t="s">
        <v>32606</v>
      </c>
      <c r="G10197" t="s">
        <v>32613</v>
      </c>
      <c r="H10197" t="s">
        <v>14201</v>
      </c>
      <c r="I10197" t="s">
        <v>4120</v>
      </c>
      <c r="J10197" t="s">
        <v>34989</v>
      </c>
      <c r="K10197" t="s">
        <v>42622</v>
      </c>
      <c r="M10197" t="s">
        <v>43668</v>
      </c>
      <c r="N10197" t="s">
        <v>47304</v>
      </c>
      <c r="O10197" t="s">
        <v>47305</v>
      </c>
      <c r="P10197">
        <v>0</v>
      </c>
      <c r="Q10197">
        <v>0</v>
      </c>
      <c r="R10197" t="s">
        <v>47313</v>
      </c>
      <c r="S10197" t="s">
        <v>47535</v>
      </c>
      <c r="T10197" t="s">
        <v>48986</v>
      </c>
      <c r="U10197" t="s">
        <v>57969</v>
      </c>
      <c r="W10197" t="s">
        <v>43668</v>
      </c>
      <c r="X10197" t="s">
        <v>47314</v>
      </c>
    </row>
    <row r="10198" spans="1:24">
      <c r="A10198">
        <f>HYPERLINK("https://www.philgeps.gov.ph/GEPSNONPILOT/Tender/SplashBidNoticeAbstractUI.aspx?menuIndex=3&amp;refID=7186507&amp;Result=3","7186507")</f>
        <v>0</v>
      </c>
      <c r="B10198" t="s">
        <v>1696</v>
      </c>
      <c r="C10198" t="s">
        <v>13477</v>
      </c>
      <c r="D10198" t="s">
        <v>18993</v>
      </c>
      <c r="E10198" t="s">
        <v>27797</v>
      </c>
      <c r="F10198" t="s">
        <v>32606</v>
      </c>
      <c r="G10198" t="s">
        <v>32613</v>
      </c>
      <c r="H10198" t="s">
        <v>14201</v>
      </c>
      <c r="I10198" t="s">
        <v>4120</v>
      </c>
      <c r="J10198" t="s">
        <v>39097</v>
      </c>
      <c r="K10198" t="s">
        <v>42623</v>
      </c>
      <c r="M10198" t="s">
        <v>44725</v>
      </c>
      <c r="N10198" t="s">
        <v>47304</v>
      </c>
      <c r="O10198" t="s">
        <v>47305</v>
      </c>
      <c r="P10198">
        <v>0</v>
      </c>
      <c r="Q10198">
        <v>0</v>
      </c>
      <c r="R10198" t="s">
        <v>47313</v>
      </c>
      <c r="S10198" t="s">
        <v>47535</v>
      </c>
      <c r="T10198" t="s">
        <v>49053</v>
      </c>
      <c r="U10198" t="s">
        <v>51117</v>
      </c>
      <c r="W10198" t="s">
        <v>44725</v>
      </c>
      <c r="X10198" t="s">
        <v>47314</v>
      </c>
    </row>
    <row r="10199" spans="1:24">
      <c r="A10199">
        <f>HYPERLINK("https://www.philgeps.gov.ph/GEPSNONPILOT/Tender/SplashBidNoticeAbstractUI.aspx?menuIndex=3&amp;refID=7186518&amp;Result=3","7186518")</f>
        <v>0</v>
      </c>
      <c r="B10199" t="s">
        <v>928</v>
      </c>
      <c r="C10199" t="s">
        <v>13478</v>
      </c>
      <c r="D10199" t="s">
        <v>19027</v>
      </c>
      <c r="E10199" t="s">
        <v>24209</v>
      </c>
      <c r="F10199" t="s">
        <v>32606</v>
      </c>
      <c r="G10199" t="s">
        <v>32613</v>
      </c>
      <c r="H10199" t="s">
        <v>32623</v>
      </c>
      <c r="I10199" t="s">
        <v>17648</v>
      </c>
      <c r="J10199" t="s">
        <v>32756</v>
      </c>
      <c r="K10199" t="s">
        <v>42842</v>
      </c>
      <c r="M10199" t="s">
        <v>43868</v>
      </c>
      <c r="N10199" t="s">
        <v>47304</v>
      </c>
      <c r="O10199" t="s">
        <v>47305</v>
      </c>
      <c r="P10199">
        <v>0</v>
      </c>
      <c r="Q10199">
        <v>1</v>
      </c>
      <c r="R10199" t="s">
        <v>47313</v>
      </c>
      <c r="S10199" t="s">
        <v>47535</v>
      </c>
      <c r="T10199" t="s">
        <v>49291</v>
      </c>
      <c r="U10199" t="s">
        <v>57970</v>
      </c>
      <c r="W10199" t="s">
        <v>43868</v>
      </c>
      <c r="X10199" t="s">
        <v>47314</v>
      </c>
    </row>
    <row r="10200" spans="1:24">
      <c r="A10200">
        <f>HYPERLINK("https://www.philgeps.gov.ph/GEPSNONPILOT/Tender/SplashBidNoticeAbstractUI.aspx?menuIndex=3&amp;refID=7186514&amp;Result=3","7186514")</f>
        <v>0</v>
      </c>
      <c r="B10200" t="s">
        <v>1696</v>
      </c>
      <c r="C10200" t="s">
        <v>13479</v>
      </c>
      <c r="D10200" t="s">
        <v>18993</v>
      </c>
      <c r="E10200" t="s">
        <v>27798</v>
      </c>
      <c r="F10200" t="s">
        <v>32606</v>
      </c>
      <c r="G10200" t="s">
        <v>32613</v>
      </c>
      <c r="H10200" t="s">
        <v>14201</v>
      </c>
      <c r="I10200" t="s">
        <v>4112</v>
      </c>
      <c r="J10200" t="s">
        <v>39098</v>
      </c>
      <c r="K10200" t="s">
        <v>42623</v>
      </c>
      <c r="M10200" t="s">
        <v>44725</v>
      </c>
      <c r="N10200" t="s">
        <v>47304</v>
      </c>
      <c r="O10200" t="s">
        <v>47305</v>
      </c>
      <c r="P10200">
        <v>0</v>
      </c>
      <c r="Q10200">
        <v>0</v>
      </c>
      <c r="R10200" t="s">
        <v>47313</v>
      </c>
      <c r="S10200" t="s">
        <v>47535</v>
      </c>
      <c r="T10200" t="s">
        <v>49053</v>
      </c>
      <c r="U10200" t="s">
        <v>53480</v>
      </c>
      <c r="W10200" t="s">
        <v>44725</v>
      </c>
      <c r="X10200" t="s">
        <v>47314</v>
      </c>
    </row>
    <row r="10201" spans="1:24">
      <c r="A10201">
        <f>HYPERLINK("https://www.philgeps.gov.ph/GEPSNONPILOT/Tender/SplashBidNoticeAbstractUI.aspx?menuIndex=3&amp;refID=7186256&amp;Result=3","7186256")</f>
        <v>0</v>
      </c>
      <c r="B10201" t="s">
        <v>1402</v>
      </c>
      <c r="C10201" t="s">
        <v>13480</v>
      </c>
      <c r="D10201" t="s">
        <v>18992</v>
      </c>
      <c r="E10201" t="s">
        <v>27799</v>
      </c>
      <c r="F10201" t="s">
        <v>32609</v>
      </c>
      <c r="G10201" t="s">
        <v>32619</v>
      </c>
      <c r="H10201" t="s">
        <v>14201</v>
      </c>
      <c r="I10201" t="s">
        <v>32629</v>
      </c>
      <c r="J10201" t="s">
        <v>39099</v>
      </c>
      <c r="K10201" t="s">
        <v>42624</v>
      </c>
      <c r="M10201" t="s">
        <v>45733</v>
      </c>
      <c r="N10201" t="s">
        <v>47304</v>
      </c>
      <c r="O10201" t="s">
        <v>47305</v>
      </c>
      <c r="P10201">
        <v>0</v>
      </c>
      <c r="Q10201">
        <v>0</v>
      </c>
      <c r="R10201" t="s">
        <v>47313</v>
      </c>
      <c r="S10201" t="s">
        <v>47535</v>
      </c>
      <c r="T10201" t="s">
        <v>48998</v>
      </c>
      <c r="U10201" t="s">
        <v>57971</v>
      </c>
      <c r="W10201" t="s">
        <v>45733</v>
      </c>
      <c r="X10201" t="s">
        <v>47314</v>
      </c>
    </row>
    <row r="10202" spans="1:24">
      <c r="A10202">
        <f>HYPERLINK("https://www.philgeps.gov.ph/GEPSNONPILOT/Tender/SplashBidNoticeAbstractUI.aspx?menuIndex=3&amp;refID=7186543&amp;Result=3","7186543")</f>
        <v>0</v>
      </c>
      <c r="B10202" t="s">
        <v>1696</v>
      </c>
      <c r="C10202" t="s">
        <v>13481</v>
      </c>
      <c r="D10202" t="s">
        <v>18993</v>
      </c>
      <c r="E10202" t="s">
        <v>27800</v>
      </c>
      <c r="F10202" t="s">
        <v>32606</v>
      </c>
      <c r="G10202" t="s">
        <v>32613</v>
      </c>
      <c r="H10202" t="s">
        <v>14201</v>
      </c>
      <c r="I10202" t="s">
        <v>4112</v>
      </c>
      <c r="J10202" t="s">
        <v>39100</v>
      </c>
      <c r="K10202" t="s">
        <v>42623</v>
      </c>
      <c r="M10202" t="s">
        <v>44734</v>
      </c>
      <c r="N10202" t="s">
        <v>47304</v>
      </c>
      <c r="O10202" t="s">
        <v>47305</v>
      </c>
      <c r="P10202">
        <v>0</v>
      </c>
      <c r="Q10202">
        <v>0</v>
      </c>
      <c r="R10202" t="s">
        <v>47313</v>
      </c>
      <c r="S10202" t="s">
        <v>47535</v>
      </c>
      <c r="T10202" t="s">
        <v>49053</v>
      </c>
      <c r="U10202" t="s">
        <v>53480</v>
      </c>
      <c r="W10202" t="s">
        <v>44734</v>
      </c>
      <c r="X10202" t="s">
        <v>47314</v>
      </c>
    </row>
    <row r="10203" spans="1:24">
      <c r="A10203">
        <f>HYPERLINK("https://www.philgeps.gov.ph/GEPSNONPILOT/Tender/SplashBidNoticeAbstractUI.aspx?menuIndex=3&amp;refID=7186561&amp;Result=3","7186561")</f>
        <v>0</v>
      </c>
      <c r="B10203" t="s">
        <v>1696</v>
      </c>
      <c r="C10203" t="s">
        <v>13482</v>
      </c>
      <c r="D10203" t="s">
        <v>18993</v>
      </c>
      <c r="E10203" t="s">
        <v>27801</v>
      </c>
      <c r="F10203" t="s">
        <v>32606</v>
      </c>
      <c r="G10203" t="s">
        <v>32613</v>
      </c>
      <c r="H10203" t="s">
        <v>14201</v>
      </c>
      <c r="I10203" t="s">
        <v>6298</v>
      </c>
      <c r="J10203" t="s">
        <v>39101</v>
      </c>
      <c r="K10203" t="s">
        <v>42623</v>
      </c>
      <c r="M10203" t="s">
        <v>44734</v>
      </c>
      <c r="N10203" t="s">
        <v>47304</v>
      </c>
      <c r="O10203" t="s">
        <v>47305</v>
      </c>
      <c r="P10203">
        <v>0</v>
      </c>
      <c r="Q10203">
        <v>0</v>
      </c>
      <c r="R10203" t="s">
        <v>47313</v>
      </c>
      <c r="S10203" t="s">
        <v>47535</v>
      </c>
      <c r="T10203" t="s">
        <v>49053</v>
      </c>
      <c r="U10203" t="s">
        <v>53471</v>
      </c>
      <c r="W10203" t="s">
        <v>44734</v>
      </c>
      <c r="X10203" t="s">
        <v>47314</v>
      </c>
    </row>
    <row r="10204" spans="1:24">
      <c r="A10204">
        <f>HYPERLINK("https://www.philgeps.gov.ph/GEPSNONPILOT/Tender/SplashBidNoticeAbstractUI.aspx?menuIndex=3&amp;refID=7186258&amp;Result=3","7186258")</f>
        <v>0</v>
      </c>
      <c r="B10204" t="s">
        <v>903</v>
      </c>
      <c r="C10204" t="s">
        <v>13483</v>
      </c>
      <c r="D10204" t="s">
        <v>19049</v>
      </c>
      <c r="E10204" t="s">
        <v>27802</v>
      </c>
      <c r="F10204" t="s">
        <v>32606</v>
      </c>
      <c r="G10204" t="s">
        <v>32613</v>
      </c>
      <c r="H10204" t="s">
        <v>14201</v>
      </c>
      <c r="I10204" t="s">
        <v>13131</v>
      </c>
      <c r="J10204" t="s">
        <v>33274</v>
      </c>
      <c r="K10204" t="s">
        <v>42631</v>
      </c>
      <c r="M10204" t="s">
        <v>43840</v>
      </c>
      <c r="N10204" t="s">
        <v>47304</v>
      </c>
      <c r="O10204" t="s">
        <v>47305</v>
      </c>
      <c r="P10204">
        <v>0</v>
      </c>
      <c r="Q10204">
        <v>0</v>
      </c>
      <c r="R10204" t="s">
        <v>47313</v>
      </c>
      <c r="S10204" t="s">
        <v>47535</v>
      </c>
      <c r="T10204" t="s">
        <v>49221</v>
      </c>
      <c r="U10204" t="s">
        <v>57972</v>
      </c>
      <c r="W10204" t="s">
        <v>43840</v>
      </c>
      <c r="X10204" t="s">
        <v>47314</v>
      </c>
    </row>
    <row r="10205" spans="1:24">
      <c r="A10205">
        <f>HYPERLINK("https://www.philgeps.gov.ph/GEPSNONPILOT/Tender/SplashBidNoticeAbstractUI.aspx?menuIndex=3&amp;refID=7186571&amp;Result=3","7186571")</f>
        <v>0</v>
      </c>
      <c r="B10205" t="s">
        <v>130</v>
      </c>
      <c r="C10205" t="s">
        <v>13484</v>
      </c>
      <c r="D10205" t="s">
        <v>19015</v>
      </c>
      <c r="E10205" t="s">
        <v>27803</v>
      </c>
      <c r="F10205" t="s">
        <v>32606</v>
      </c>
      <c r="G10205" t="s">
        <v>32613</v>
      </c>
      <c r="H10205" t="s">
        <v>32623</v>
      </c>
      <c r="I10205" t="s">
        <v>17648</v>
      </c>
      <c r="J10205" t="s">
        <v>33043</v>
      </c>
      <c r="K10205" t="s">
        <v>42648</v>
      </c>
      <c r="M10205" t="s">
        <v>43031</v>
      </c>
      <c r="N10205" t="s">
        <v>47304</v>
      </c>
      <c r="O10205" t="s">
        <v>47305</v>
      </c>
      <c r="Q10205">
        <v>61</v>
      </c>
      <c r="R10205" t="s">
        <v>47313</v>
      </c>
      <c r="S10205" t="s">
        <v>47588</v>
      </c>
      <c r="T10205" t="s">
        <v>49329</v>
      </c>
      <c r="U10205" t="s">
        <v>57973</v>
      </c>
      <c r="V10205" t="s">
        <v>63719</v>
      </c>
      <c r="W10205" t="s">
        <v>43031</v>
      </c>
      <c r="X10205" t="s">
        <v>47314</v>
      </c>
    </row>
    <row r="10206" spans="1:24">
      <c r="A10206">
        <f>HYPERLINK("https://www.philgeps.gov.ph/GEPSNONPILOT/Tender/SplashBidNoticeAbstractUI.aspx?menuIndex=3&amp;refID=7186567&amp;Result=3","7186567")</f>
        <v>0</v>
      </c>
      <c r="B10206" t="s">
        <v>1696</v>
      </c>
      <c r="C10206" t="s">
        <v>13485</v>
      </c>
      <c r="D10206" t="s">
        <v>18993</v>
      </c>
      <c r="E10206" t="s">
        <v>27804</v>
      </c>
      <c r="F10206" t="s">
        <v>32606</v>
      </c>
      <c r="G10206" t="s">
        <v>32613</v>
      </c>
      <c r="H10206" t="s">
        <v>14201</v>
      </c>
      <c r="I10206" t="s">
        <v>6298</v>
      </c>
      <c r="J10206" t="s">
        <v>32765</v>
      </c>
      <c r="K10206" t="s">
        <v>42623</v>
      </c>
      <c r="M10206" t="s">
        <v>44734</v>
      </c>
      <c r="N10206" t="s">
        <v>47304</v>
      </c>
      <c r="O10206" t="s">
        <v>47305</v>
      </c>
      <c r="P10206">
        <v>0</v>
      </c>
      <c r="Q10206">
        <v>1</v>
      </c>
      <c r="R10206" t="s">
        <v>47313</v>
      </c>
      <c r="S10206" t="s">
        <v>47535</v>
      </c>
      <c r="T10206" t="s">
        <v>49053</v>
      </c>
      <c r="U10206" t="s">
        <v>53471</v>
      </c>
      <c r="W10206" t="s">
        <v>44734</v>
      </c>
      <c r="X10206" t="s">
        <v>47314</v>
      </c>
    </row>
    <row r="10207" spans="1:24">
      <c r="A10207">
        <f>HYPERLINK("https://www.philgeps.gov.ph/GEPSNONPILOT/Tender/SplashBidNoticeAbstractUI.aspx?menuIndex=3&amp;refID=7186203&amp;Result=3","7186203")</f>
        <v>0</v>
      </c>
      <c r="B10207" t="s">
        <v>903</v>
      </c>
      <c r="C10207" t="s">
        <v>13486</v>
      </c>
      <c r="D10207" t="s">
        <v>19049</v>
      </c>
      <c r="E10207" t="s">
        <v>13486</v>
      </c>
      <c r="F10207" t="s">
        <v>32606</v>
      </c>
      <c r="G10207" t="s">
        <v>32613</v>
      </c>
      <c r="H10207" t="s">
        <v>14201</v>
      </c>
      <c r="I10207" t="s">
        <v>7233</v>
      </c>
      <c r="J10207" t="s">
        <v>39102</v>
      </c>
      <c r="K10207" t="s">
        <v>42631</v>
      </c>
      <c r="M10207" t="s">
        <v>43840</v>
      </c>
      <c r="N10207" t="s">
        <v>47304</v>
      </c>
      <c r="O10207" t="s">
        <v>47305</v>
      </c>
      <c r="P10207">
        <v>0</v>
      </c>
      <c r="Q10207">
        <v>0</v>
      </c>
      <c r="R10207" t="s">
        <v>47313</v>
      </c>
      <c r="S10207" t="s">
        <v>47535</v>
      </c>
      <c r="T10207" t="s">
        <v>49221</v>
      </c>
      <c r="U10207" t="s">
        <v>57974</v>
      </c>
      <c r="W10207" t="s">
        <v>43840</v>
      </c>
      <c r="X10207" t="s">
        <v>47314</v>
      </c>
    </row>
    <row r="10208" spans="1:24">
      <c r="A10208">
        <f>HYPERLINK("https://www.philgeps.gov.ph/GEPSNONPILOT/Tender/SplashBidNoticeAbstractUI.aspx?menuIndex=3&amp;refID=7186564&amp;Result=3","7186564")</f>
        <v>0</v>
      </c>
      <c r="B10208" t="s">
        <v>1696</v>
      </c>
      <c r="C10208" t="s">
        <v>13487</v>
      </c>
      <c r="D10208" t="s">
        <v>18993</v>
      </c>
      <c r="E10208" t="s">
        <v>27805</v>
      </c>
      <c r="F10208" t="s">
        <v>32606</v>
      </c>
      <c r="G10208" t="s">
        <v>32613</v>
      </c>
      <c r="H10208" t="s">
        <v>14201</v>
      </c>
      <c r="I10208" t="s">
        <v>6298</v>
      </c>
      <c r="J10208" t="s">
        <v>39103</v>
      </c>
      <c r="K10208" t="s">
        <v>42623</v>
      </c>
      <c r="M10208" t="s">
        <v>44734</v>
      </c>
      <c r="N10208" t="s">
        <v>47304</v>
      </c>
      <c r="O10208" t="s">
        <v>47305</v>
      </c>
      <c r="P10208">
        <v>0</v>
      </c>
      <c r="Q10208">
        <v>1</v>
      </c>
      <c r="R10208" t="s">
        <v>47313</v>
      </c>
      <c r="S10208" t="s">
        <v>47535</v>
      </c>
      <c r="T10208" t="s">
        <v>49053</v>
      </c>
      <c r="U10208" t="s">
        <v>53471</v>
      </c>
      <c r="W10208" t="s">
        <v>44734</v>
      </c>
      <c r="X10208" t="s">
        <v>47314</v>
      </c>
    </row>
    <row r="10209" spans="1:24">
      <c r="A10209">
        <f>HYPERLINK("https://www.philgeps.gov.ph/GEPSNONPILOT/Tender/SplashBidNoticeAbstractUI.aspx?menuIndex=3&amp;refID=7186479&amp;Result=3","7186479")</f>
        <v>0</v>
      </c>
      <c r="B10209" t="s">
        <v>801</v>
      </c>
      <c r="C10209" t="s">
        <v>13488</v>
      </c>
      <c r="D10209" t="s">
        <v>19008</v>
      </c>
      <c r="E10209" t="s">
        <v>27806</v>
      </c>
      <c r="F10209" t="s">
        <v>32606</v>
      </c>
      <c r="G10209" t="s">
        <v>32619</v>
      </c>
      <c r="H10209" t="s">
        <v>14201</v>
      </c>
      <c r="I10209" t="s">
        <v>6993</v>
      </c>
      <c r="J10209" t="s">
        <v>39104</v>
      </c>
      <c r="K10209" t="s">
        <v>42627</v>
      </c>
      <c r="M10209" t="s">
        <v>43732</v>
      </c>
      <c r="N10209" t="s">
        <v>47304</v>
      </c>
      <c r="O10209" t="s">
        <v>47305</v>
      </c>
      <c r="P10209">
        <v>0</v>
      </c>
      <c r="Q10209">
        <v>0</v>
      </c>
      <c r="R10209" t="s">
        <v>47313</v>
      </c>
      <c r="S10209" t="s">
        <v>47535</v>
      </c>
      <c r="T10209" t="s">
        <v>49268</v>
      </c>
      <c r="U10209" t="s">
        <v>57352</v>
      </c>
      <c r="V10209" t="s">
        <v>63720</v>
      </c>
      <c r="W10209" t="s">
        <v>43732</v>
      </c>
      <c r="X10209" t="s">
        <v>47314</v>
      </c>
    </row>
    <row r="10210" spans="1:24">
      <c r="A10210">
        <f>HYPERLINK("https://www.philgeps.gov.ph/GEPSNONPILOT/Tender/SplashBidNoticeAbstractUI.aspx?menuIndex=3&amp;refID=7186559&amp;Result=3","7186559")</f>
        <v>0</v>
      </c>
      <c r="B10210" t="s">
        <v>1696</v>
      </c>
      <c r="C10210" t="s">
        <v>13489</v>
      </c>
      <c r="D10210" t="s">
        <v>18993</v>
      </c>
      <c r="E10210" t="s">
        <v>27807</v>
      </c>
      <c r="F10210" t="s">
        <v>32606</v>
      </c>
      <c r="G10210" t="s">
        <v>32613</v>
      </c>
      <c r="H10210" t="s">
        <v>14201</v>
      </c>
      <c r="I10210" t="s">
        <v>6298</v>
      </c>
      <c r="J10210" t="s">
        <v>39105</v>
      </c>
      <c r="K10210" t="s">
        <v>42623</v>
      </c>
      <c r="M10210" t="s">
        <v>44734</v>
      </c>
      <c r="N10210" t="s">
        <v>47304</v>
      </c>
      <c r="O10210" t="s">
        <v>47305</v>
      </c>
      <c r="P10210">
        <v>0</v>
      </c>
      <c r="Q10210">
        <v>0</v>
      </c>
      <c r="R10210" t="s">
        <v>47313</v>
      </c>
      <c r="S10210" t="s">
        <v>47535</v>
      </c>
      <c r="T10210" t="s">
        <v>49053</v>
      </c>
      <c r="U10210" t="s">
        <v>53471</v>
      </c>
      <c r="W10210" t="s">
        <v>44734</v>
      </c>
      <c r="X10210" t="s">
        <v>47314</v>
      </c>
    </row>
    <row r="10211" spans="1:24">
      <c r="A10211">
        <f>HYPERLINK("https://www.philgeps.gov.ph/GEPSNONPILOT/Tender/SplashBidNoticeAbstractUI.aspx?menuIndex=3&amp;refID=7186555&amp;Result=3","7186555")</f>
        <v>0</v>
      </c>
      <c r="B10211" t="s">
        <v>1704</v>
      </c>
      <c r="C10211" t="s">
        <v>13490</v>
      </c>
      <c r="D10211" t="s">
        <v>19010</v>
      </c>
      <c r="E10211" t="s">
        <v>27808</v>
      </c>
      <c r="F10211" t="s">
        <v>32606</v>
      </c>
      <c r="G10211" t="s">
        <v>32613</v>
      </c>
      <c r="H10211" t="s">
        <v>14201</v>
      </c>
      <c r="I10211" t="s">
        <v>6931</v>
      </c>
      <c r="J10211" t="s">
        <v>39106</v>
      </c>
      <c r="K10211" t="s">
        <v>42622</v>
      </c>
      <c r="L10211" t="s">
        <v>1704</v>
      </c>
      <c r="M10211" t="s">
        <v>44733</v>
      </c>
      <c r="N10211" t="s">
        <v>47304</v>
      </c>
      <c r="O10211" t="s">
        <v>47305</v>
      </c>
      <c r="P10211">
        <v>0</v>
      </c>
      <c r="Q10211">
        <v>1</v>
      </c>
      <c r="R10211" t="s">
        <v>47313</v>
      </c>
      <c r="S10211" t="s">
        <v>47535</v>
      </c>
      <c r="T10211" t="s">
        <v>48980</v>
      </c>
      <c r="U10211" t="s">
        <v>57975</v>
      </c>
      <c r="W10211" t="s">
        <v>44733</v>
      </c>
      <c r="X10211" t="s">
        <v>47314</v>
      </c>
    </row>
    <row r="10212" spans="1:24">
      <c r="A10212">
        <f>HYPERLINK("https://www.philgeps.gov.ph/GEPSNONPILOT/Tender/SplashBidNoticeAbstractUI.aspx?menuIndex=3&amp;refID=7186304&amp;Result=3","7186304")</f>
        <v>0</v>
      </c>
      <c r="B10212" t="s">
        <v>467</v>
      </c>
      <c r="C10212" t="s">
        <v>13491</v>
      </c>
      <c r="D10212" t="s">
        <v>19004</v>
      </c>
      <c r="E10212" t="s">
        <v>27809</v>
      </c>
      <c r="F10212" t="s">
        <v>32606</v>
      </c>
      <c r="G10212" t="s">
        <v>32614</v>
      </c>
      <c r="H10212" t="s">
        <v>14201</v>
      </c>
      <c r="I10212" t="s">
        <v>32715</v>
      </c>
      <c r="J10212" t="s">
        <v>39107</v>
      </c>
      <c r="K10212" t="s">
        <v>42624</v>
      </c>
      <c r="M10212" t="s">
        <v>46241</v>
      </c>
      <c r="N10212" t="s">
        <v>47304</v>
      </c>
      <c r="O10212" t="s">
        <v>47305</v>
      </c>
      <c r="Q10212">
        <v>5</v>
      </c>
      <c r="R10212" t="s">
        <v>47313</v>
      </c>
      <c r="S10212" t="s">
        <v>47589</v>
      </c>
      <c r="T10212" t="s">
        <v>48971</v>
      </c>
      <c r="U10212" t="s">
        <v>57745</v>
      </c>
      <c r="W10212" t="s">
        <v>46241</v>
      </c>
      <c r="X10212" t="s">
        <v>47314</v>
      </c>
    </row>
    <row r="10213" spans="1:24">
      <c r="A10213">
        <f>HYPERLINK("https://www.philgeps.gov.ph/GEPSNONPILOT/Tender/SplashBidNoticeAbstractUI.aspx?menuIndex=3&amp;refID=7186554&amp;Result=3","7186554")</f>
        <v>0</v>
      </c>
      <c r="B10213" t="s">
        <v>627</v>
      </c>
      <c r="C10213" t="s">
        <v>13492</v>
      </c>
      <c r="D10213" t="s">
        <v>19011</v>
      </c>
      <c r="E10213" t="s">
        <v>27810</v>
      </c>
      <c r="F10213" t="s">
        <v>32606</v>
      </c>
      <c r="G10213" t="s">
        <v>32613</v>
      </c>
      <c r="H10213" t="s">
        <v>32623</v>
      </c>
      <c r="I10213" t="s">
        <v>17648</v>
      </c>
      <c r="J10213" t="s">
        <v>39108</v>
      </c>
      <c r="K10213" t="s">
        <v>42639</v>
      </c>
      <c r="M10213" t="s">
        <v>43545</v>
      </c>
      <c r="N10213" t="s">
        <v>47304</v>
      </c>
      <c r="O10213" t="s">
        <v>47305</v>
      </c>
      <c r="P10213">
        <v>0</v>
      </c>
      <c r="Q10213">
        <v>1</v>
      </c>
      <c r="R10213" t="s">
        <v>47313</v>
      </c>
      <c r="S10213" t="s">
        <v>47535</v>
      </c>
      <c r="T10213" t="s">
        <v>49020</v>
      </c>
      <c r="U10213" t="s">
        <v>50633</v>
      </c>
      <c r="W10213" t="s">
        <v>43545</v>
      </c>
      <c r="X10213" t="s">
        <v>47314</v>
      </c>
    </row>
    <row r="10214" spans="1:24">
      <c r="A10214">
        <f>HYPERLINK("https://www.philgeps.gov.ph/GEPSNONPILOT/Tender/SplashBidNoticeAbstractUI.aspx?menuIndex=3&amp;refID=7186551&amp;Result=3","7186551")</f>
        <v>0</v>
      </c>
      <c r="B10214" t="s">
        <v>1696</v>
      </c>
      <c r="C10214" t="s">
        <v>13493</v>
      </c>
      <c r="D10214" t="s">
        <v>18993</v>
      </c>
      <c r="E10214" t="s">
        <v>27811</v>
      </c>
      <c r="F10214" t="s">
        <v>32606</v>
      </c>
      <c r="G10214" t="s">
        <v>32613</v>
      </c>
      <c r="H10214" t="s">
        <v>14201</v>
      </c>
      <c r="I10214" t="s">
        <v>6298</v>
      </c>
      <c r="J10214" t="s">
        <v>33263</v>
      </c>
      <c r="K10214" t="s">
        <v>42623</v>
      </c>
      <c r="M10214" t="s">
        <v>44734</v>
      </c>
      <c r="N10214" t="s">
        <v>47304</v>
      </c>
      <c r="O10214" t="s">
        <v>47305</v>
      </c>
      <c r="P10214">
        <v>0</v>
      </c>
      <c r="Q10214">
        <v>1</v>
      </c>
      <c r="R10214" t="s">
        <v>47313</v>
      </c>
      <c r="S10214" t="s">
        <v>47535</v>
      </c>
      <c r="T10214" t="s">
        <v>49053</v>
      </c>
      <c r="U10214" t="s">
        <v>53471</v>
      </c>
      <c r="W10214" t="s">
        <v>44734</v>
      </c>
      <c r="X10214" t="s">
        <v>47314</v>
      </c>
    </row>
    <row r="10215" spans="1:24">
      <c r="A10215">
        <f>HYPERLINK("https://www.philgeps.gov.ph/GEPSNONPILOT/Tender/SplashBidNoticeAbstractUI.aspx?menuIndex=3&amp;refID=7186570&amp;Result=3","7186570")</f>
        <v>0</v>
      </c>
      <c r="B10215" t="s">
        <v>1696</v>
      </c>
      <c r="C10215" t="s">
        <v>13494</v>
      </c>
      <c r="D10215" t="s">
        <v>18993</v>
      </c>
      <c r="E10215" t="s">
        <v>27812</v>
      </c>
      <c r="F10215" t="s">
        <v>32606</v>
      </c>
      <c r="G10215" t="s">
        <v>32613</v>
      </c>
      <c r="H10215" t="s">
        <v>14201</v>
      </c>
      <c r="I10215" t="s">
        <v>6298</v>
      </c>
      <c r="J10215" t="s">
        <v>39109</v>
      </c>
      <c r="K10215" t="s">
        <v>42623</v>
      </c>
      <c r="M10215" t="s">
        <v>44734</v>
      </c>
      <c r="N10215" t="s">
        <v>47304</v>
      </c>
      <c r="O10215" t="s">
        <v>47305</v>
      </c>
      <c r="P10215">
        <v>0</v>
      </c>
      <c r="Q10215">
        <v>0</v>
      </c>
      <c r="R10215" t="s">
        <v>47313</v>
      </c>
      <c r="S10215" t="s">
        <v>47535</v>
      </c>
      <c r="T10215" t="s">
        <v>49053</v>
      </c>
      <c r="U10215" t="s">
        <v>53471</v>
      </c>
      <c r="W10215" t="s">
        <v>44734</v>
      </c>
      <c r="X10215" t="s">
        <v>47314</v>
      </c>
    </row>
    <row r="10216" spans="1:24">
      <c r="A10216">
        <f>HYPERLINK("https://www.philgeps.gov.ph/GEPSNONPILOT/Tender/SplashBidNoticeAbstractUI.aspx?menuIndex=3&amp;refID=7186552&amp;Result=3","7186552")</f>
        <v>0</v>
      </c>
      <c r="B10216" t="s">
        <v>1696</v>
      </c>
      <c r="C10216" t="s">
        <v>13495</v>
      </c>
      <c r="D10216" t="s">
        <v>18993</v>
      </c>
      <c r="E10216" t="s">
        <v>27813</v>
      </c>
      <c r="F10216" t="s">
        <v>32606</v>
      </c>
      <c r="G10216" t="s">
        <v>32613</v>
      </c>
      <c r="H10216" t="s">
        <v>14201</v>
      </c>
      <c r="I10216" t="s">
        <v>6298</v>
      </c>
      <c r="J10216" t="s">
        <v>35807</v>
      </c>
      <c r="K10216" t="s">
        <v>42623</v>
      </c>
      <c r="M10216" t="s">
        <v>44734</v>
      </c>
      <c r="N10216" t="s">
        <v>47304</v>
      </c>
      <c r="O10216" t="s">
        <v>47305</v>
      </c>
      <c r="P10216">
        <v>0</v>
      </c>
      <c r="Q10216">
        <v>1</v>
      </c>
      <c r="R10216" t="s">
        <v>47313</v>
      </c>
      <c r="S10216" t="s">
        <v>47535</v>
      </c>
      <c r="T10216" t="s">
        <v>49053</v>
      </c>
      <c r="U10216" t="s">
        <v>53471</v>
      </c>
      <c r="W10216" t="s">
        <v>44734</v>
      </c>
      <c r="X10216" t="s">
        <v>47314</v>
      </c>
    </row>
    <row r="10217" spans="1:24">
      <c r="A10217">
        <f>HYPERLINK("https://www.philgeps.gov.ph/GEPSNONPILOT/Tender/SplashBidNoticeAbstractUI.aspx?menuIndex=3&amp;refID=7186550&amp;Result=3","7186550")</f>
        <v>0</v>
      </c>
      <c r="B10217" t="s">
        <v>1696</v>
      </c>
      <c r="C10217" t="s">
        <v>13496</v>
      </c>
      <c r="D10217" t="s">
        <v>18993</v>
      </c>
      <c r="E10217" t="s">
        <v>27814</v>
      </c>
      <c r="F10217" t="s">
        <v>32606</v>
      </c>
      <c r="G10217" t="s">
        <v>32613</v>
      </c>
      <c r="H10217" t="s">
        <v>14201</v>
      </c>
      <c r="I10217" t="s">
        <v>6298</v>
      </c>
      <c r="J10217" t="s">
        <v>39110</v>
      </c>
      <c r="K10217" t="s">
        <v>42623</v>
      </c>
      <c r="M10217" t="s">
        <v>44734</v>
      </c>
      <c r="N10217" t="s">
        <v>47304</v>
      </c>
      <c r="O10217" t="s">
        <v>47305</v>
      </c>
      <c r="P10217">
        <v>0</v>
      </c>
      <c r="Q10217">
        <v>0</v>
      </c>
      <c r="R10217" t="s">
        <v>47313</v>
      </c>
      <c r="S10217" t="s">
        <v>47535</v>
      </c>
      <c r="T10217" t="s">
        <v>49053</v>
      </c>
      <c r="U10217" t="s">
        <v>53471</v>
      </c>
      <c r="W10217" t="s">
        <v>44734</v>
      </c>
      <c r="X10217" t="s">
        <v>47314</v>
      </c>
    </row>
    <row r="10218" spans="1:24">
      <c r="A10218">
        <f>HYPERLINK("https://www.philgeps.gov.ph/GEPSNONPILOT/Tender/SplashBidNoticeAbstractUI.aspx?menuIndex=3&amp;refID=7186548&amp;Result=3","7186548")</f>
        <v>0</v>
      </c>
      <c r="B10218" t="s">
        <v>928</v>
      </c>
      <c r="C10218" t="s">
        <v>13497</v>
      </c>
      <c r="D10218" t="s">
        <v>19027</v>
      </c>
      <c r="E10218" t="s">
        <v>20606</v>
      </c>
      <c r="F10218" t="s">
        <v>32606</v>
      </c>
      <c r="G10218" t="s">
        <v>32613</v>
      </c>
      <c r="H10218" t="s">
        <v>32623</v>
      </c>
      <c r="I10218" t="s">
        <v>17648</v>
      </c>
      <c r="J10218" t="s">
        <v>33846</v>
      </c>
      <c r="K10218" t="s">
        <v>42669</v>
      </c>
      <c r="M10218" t="s">
        <v>43868</v>
      </c>
      <c r="N10218" t="s">
        <v>47304</v>
      </c>
      <c r="O10218" t="s">
        <v>47305</v>
      </c>
      <c r="P10218">
        <v>0</v>
      </c>
      <c r="Q10218">
        <v>2</v>
      </c>
      <c r="R10218" t="s">
        <v>47313</v>
      </c>
      <c r="S10218" t="s">
        <v>47535</v>
      </c>
      <c r="T10218" t="s">
        <v>49291</v>
      </c>
      <c r="U10218" t="s">
        <v>57976</v>
      </c>
      <c r="W10218" t="s">
        <v>43868</v>
      </c>
      <c r="X10218" t="s">
        <v>47314</v>
      </c>
    </row>
    <row r="10219" spans="1:24">
      <c r="A10219">
        <f>HYPERLINK("https://www.philgeps.gov.ph/GEPSNONPILOT/Tender/SplashBidNoticeAbstractUI.aspx?menuIndex=3&amp;refID=7186499&amp;Result=3","7186499")</f>
        <v>0</v>
      </c>
      <c r="B10219" t="s">
        <v>1696</v>
      </c>
      <c r="C10219" t="s">
        <v>13498</v>
      </c>
      <c r="D10219" t="s">
        <v>18993</v>
      </c>
      <c r="E10219" t="s">
        <v>27815</v>
      </c>
      <c r="F10219" t="s">
        <v>32606</v>
      </c>
      <c r="G10219" t="s">
        <v>32613</v>
      </c>
      <c r="H10219" t="s">
        <v>14201</v>
      </c>
      <c r="I10219" t="s">
        <v>4120</v>
      </c>
      <c r="J10219" t="s">
        <v>39111</v>
      </c>
      <c r="K10219" t="s">
        <v>42623</v>
      </c>
      <c r="M10219" t="s">
        <v>44725</v>
      </c>
      <c r="N10219" t="s">
        <v>47304</v>
      </c>
      <c r="O10219" t="s">
        <v>47305</v>
      </c>
      <c r="P10219">
        <v>0</v>
      </c>
      <c r="Q10219">
        <v>0</v>
      </c>
      <c r="R10219" t="s">
        <v>47313</v>
      </c>
      <c r="S10219" t="s">
        <v>47535</v>
      </c>
      <c r="T10219" t="s">
        <v>49053</v>
      </c>
      <c r="U10219" t="s">
        <v>51117</v>
      </c>
      <c r="W10219" t="s">
        <v>44725</v>
      </c>
      <c r="X10219" t="s">
        <v>47314</v>
      </c>
    </row>
    <row r="10220" spans="1:24">
      <c r="A10220">
        <f>HYPERLINK("https://www.philgeps.gov.ph/GEPSNONPILOT/Tender/SplashBidNoticeAbstractUI.aspx?menuIndex=3&amp;refID=7186546&amp;Result=3","7186546")</f>
        <v>0</v>
      </c>
      <c r="B10220" t="s">
        <v>3084</v>
      </c>
      <c r="C10220" t="s">
        <v>13499</v>
      </c>
      <c r="D10220" t="s">
        <v>19002</v>
      </c>
      <c r="E10220" t="s">
        <v>27816</v>
      </c>
      <c r="F10220" t="s">
        <v>32606</v>
      </c>
      <c r="G10220" t="s">
        <v>32613</v>
      </c>
      <c r="H10220" t="s">
        <v>14201</v>
      </c>
      <c r="I10220" t="s">
        <v>7677</v>
      </c>
      <c r="J10220" t="s">
        <v>37029</v>
      </c>
      <c r="K10220" t="s">
        <v>42631</v>
      </c>
      <c r="M10220" t="s">
        <v>46288</v>
      </c>
      <c r="N10220" t="s">
        <v>47304</v>
      </c>
      <c r="O10220" t="s">
        <v>47305</v>
      </c>
      <c r="P10220">
        <v>0</v>
      </c>
      <c r="Q10220">
        <v>6</v>
      </c>
      <c r="R10220" t="s">
        <v>47313</v>
      </c>
      <c r="S10220" t="s">
        <v>47535</v>
      </c>
      <c r="T10220" t="s">
        <v>49144</v>
      </c>
      <c r="U10220" t="s">
        <v>57977</v>
      </c>
      <c r="W10220" t="s">
        <v>46288</v>
      </c>
      <c r="X10220" t="s">
        <v>47314</v>
      </c>
    </row>
    <row r="10221" spans="1:24">
      <c r="A10221">
        <f>HYPERLINK("https://www.philgeps.gov.ph/GEPSNONPILOT/Tender/SplashBidNoticeAbstractUI.aspx?menuIndex=3&amp;refID=7186308&amp;Result=3","7186308")</f>
        <v>0</v>
      </c>
      <c r="B10221" t="s">
        <v>1402</v>
      </c>
      <c r="C10221" t="s">
        <v>13500</v>
      </c>
      <c r="D10221" t="s">
        <v>18992</v>
      </c>
      <c r="E10221" t="s">
        <v>27817</v>
      </c>
      <c r="F10221" t="s">
        <v>32609</v>
      </c>
      <c r="G10221" t="s">
        <v>32619</v>
      </c>
      <c r="H10221" t="s">
        <v>14201</v>
      </c>
      <c r="I10221" t="s">
        <v>32661</v>
      </c>
      <c r="J10221" t="s">
        <v>32790</v>
      </c>
      <c r="K10221" t="s">
        <v>42624</v>
      </c>
      <c r="M10221" t="s">
        <v>45733</v>
      </c>
      <c r="N10221" t="s">
        <v>47304</v>
      </c>
      <c r="O10221" t="s">
        <v>47305</v>
      </c>
      <c r="P10221">
        <v>0</v>
      </c>
      <c r="Q10221">
        <v>3</v>
      </c>
      <c r="R10221" t="s">
        <v>47313</v>
      </c>
      <c r="S10221" t="s">
        <v>47535</v>
      </c>
      <c r="T10221" t="s">
        <v>48998</v>
      </c>
      <c r="U10221" t="s">
        <v>57978</v>
      </c>
      <c r="W10221" t="s">
        <v>45733</v>
      </c>
      <c r="X10221" t="s">
        <v>47314</v>
      </c>
    </row>
    <row r="10222" spans="1:24">
      <c r="A10222">
        <f>HYPERLINK("https://www.philgeps.gov.ph/GEPSNONPILOT/Tender/SplashBidNoticeAbstractUI.aspx?menuIndex=3&amp;refID=7186556&amp;Result=3","7186556")</f>
        <v>0</v>
      </c>
      <c r="B10222" t="s">
        <v>1696</v>
      </c>
      <c r="C10222" t="s">
        <v>13501</v>
      </c>
      <c r="D10222" t="s">
        <v>18993</v>
      </c>
      <c r="E10222" t="s">
        <v>27818</v>
      </c>
      <c r="F10222" t="s">
        <v>32606</v>
      </c>
      <c r="G10222" t="s">
        <v>32613</v>
      </c>
      <c r="H10222" t="s">
        <v>14201</v>
      </c>
      <c r="I10222" t="s">
        <v>6298</v>
      </c>
      <c r="J10222" t="s">
        <v>39112</v>
      </c>
      <c r="K10222" t="s">
        <v>42623</v>
      </c>
      <c r="M10222" t="s">
        <v>44734</v>
      </c>
      <c r="N10222" t="s">
        <v>47304</v>
      </c>
      <c r="O10222" t="s">
        <v>47305</v>
      </c>
      <c r="P10222">
        <v>0</v>
      </c>
      <c r="Q10222">
        <v>1</v>
      </c>
      <c r="R10222" t="s">
        <v>47313</v>
      </c>
      <c r="S10222" t="s">
        <v>47535</v>
      </c>
      <c r="T10222" t="s">
        <v>49053</v>
      </c>
      <c r="U10222" t="s">
        <v>53471</v>
      </c>
      <c r="W10222" t="s">
        <v>44734</v>
      </c>
      <c r="X10222" t="s">
        <v>47314</v>
      </c>
    </row>
    <row r="10223" spans="1:24">
      <c r="A10223">
        <f>HYPERLINK("https://www.philgeps.gov.ph/GEPSNONPILOT/Tender/SplashBidNoticeAbstractUI.aspx?menuIndex=3&amp;refID=7186540&amp;Result=3","7186540")</f>
        <v>0</v>
      </c>
      <c r="B10223" t="s">
        <v>503</v>
      </c>
      <c r="C10223" t="s">
        <v>13502</v>
      </c>
      <c r="D10223" t="s">
        <v>19033</v>
      </c>
      <c r="E10223" t="s">
        <v>27819</v>
      </c>
      <c r="F10223" t="s">
        <v>32606</v>
      </c>
      <c r="G10223" t="s">
        <v>32613</v>
      </c>
      <c r="H10223" t="s">
        <v>32623</v>
      </c>
      <c r="I10223" t="s">
        <v>17648</v>
      </c>
      <c r="J10223" t="s">
        <v>39113</v>
      </c>
      <c r="K10223" t="s">
        <v>42822</v>
      </c>
      <c r="M10223" t="s">
        <v>43416</v>
      </c>
      <c r="N10223" t="s">
        <v>47304</v>
      </c>
      <c r="O10223" t="s">
        <v>47305</v>
      </c>
      <c r="P10223">
        <v>0</v>
      </c>
      <c r="Q10223">
        <v>4</v>
      </c>
      <c r="R10223" t="s">
        <v>47313</v>
      </c>
      <c r="S10223" t="s">
        <v>47535</v>
      </c>
      <c r="T10223" t="s">
        <v>49140</v>
      </c>
      <c r="U10223" t="s">
        <v>57967</v>
      </c>
      <c r="V10223" t="s">
        <v>63721</v>
      </c>
      <c r="W10223" t="s">
        <v>43416</v>
      </c>
      <c r="X10223" t="s">
        <v>47314</v>
      </c>
    </row>
    <row r="10224" spans="1:24">
      <c r="A10224">
        <f>HYPERLINK("https://www.philgeps.gov.ph/GEPSNONPILOT/Tender/SplashBidNoticeAbstractUI.aspx?menuIndex=3&amp;refID=7186103&amp;Result=3","7186103")</f>
        <v>0</v>
      </c>
      <c r="B10224" t="s">
        <v>2422</v>
      </c>
      <c r="C10224" t="s">
        <v>13503</v>
      </c>
      <c r="D10224" t="s">
        <v>19063</v>
      </c>
      <c r="E10224" t="s">
        <v>27820</v>
      </c>
      <c r="F10224" t="s">
        <v>32606</v>
      </c>
      <c r="G10224" t="s">
        <v>32614</v>
      </c>
      <c r="H10224" t="s">
        <v>32623</v>
      </c>
      <c r="I10224" t="s">
        <v>17648</v>
      </c>
      <c r="J10224" t="s">
        <v>39114</v>
      </c>
      <c r="K10224" t="s">
        <v>42636</v>
      </c>
      <c r="M10224" t="s">
        <v>45548</v>
      </c>
      <c r="N10224" t="s">
        <v>47304</v>
      </c>
      <c r="O10224" t="s">
        <v>47305</v>
      </c>
      <c r="Q10224">
        <v>4</v>
      </c>
      <c r="R10224" t="s">
        <v>47313</v>
      </c>
      <c r="S10224" t="s">
        <v>47590</v>
      </c>
      <c r="T10224" t="s">
        <v>49020</v>
      </c>
      <c r="U10224" t="s">
        <v>57979</v>
      </c>
      <c r="W10224" t="s">
        <v>45548</v>
      </c>
      <c r="X10224" t="s">
        <v>47314</v>
      </c>
    </row>
    <row r="10225" spans="1:24">
      <c r="A10225">
        <f>HYPERLINK("https://www.philgeps.gov.ph/GEPSNONPILOT/Tender/SplashBidNoticeAbstractUI.aspx?menuIndex=3&amp;refID=7185105&amp;Result=3","7185105")</f>
        <v>0</v>
      </c>
      <c r="B10225" t="s">
        <v>2782</v>
      </c>
      <c r="C10225" t="s">
        <v>13504</v>
      </c>
      <c r="D10225" t="s">
        <v>18992</v>
      </c>
      <c r="E10225" t="s">
        <v>27821</v>
      </c>
      <c r="F10225" t="s">
        <v>32606</v>
      </c>
      <c r="G10225" t="s">
        <v>32613</v>
      </c>
      <c r="H10225" t="s">
        <v>14201</v>
      </c>
      <c r="I10225" t="s">
        <v>32706</v>
      </c>
      <c r="J10225" t="s">
        <v>39115</v>
      </c>
      <c r="K10225" t="s">
        <v>42622</v>
      </c>
      <c r="M10225" t="s">
        <v>46157</v>
      </c>
      <c r="N10225" t="s">
        <v>47304</v>
      </c>
      <c r="O10225" t="s">
        <v>47305</v>
      </c>
      <c r="P10225">
        <v>0</v>
      </c>
      <c r="Q10225">
        <v>4</v>
      </c>
      <c r="R10225" t="s">
        <v>47313</v>
      </c>
      <c r="S10225" t="s">
        <v>47535</v>
      </c>
      <c r="T10225" t="s">
        <v>49347</v>
      </c>
      <c r="U10225" t="s">
        <v>57980</v>
      </c>
      <c r="W10225" t="s">
        <v>46157</v>
      </c>
      <c r="X10225" t="s">
        <v>47314</v>
      </c>
    </row>
    <row r="10226" spans="1:24">
      <c r="A10226">
        <f>HYPERLINK("https://www.philgeps.gov.ph/GEPSNONPILOT/Tender/SplashBidNoticeAbstractUI.aspx?menuIndex=3&amp;refID=7185102&amp;Result=3","7185102")</f>
        <v>0</v>
      </c>
      <c r="B10226" t="s">
        <v>339</v>
      </c>
      <c r="C10226" t="s">
        <v>13505</v>
      </c>
      <c r="D10226" t="s">
        <v>19024</v>
      </c>
      <c r="E10226" t="s">
        <v>27822</v>
      </c>
      <c r="F10226" t="s">
        <v>32606</v>
      </c>
      <c r="G10226" t="s">
        <v>32613</v>
      </c>
      <c r="H10226" t="s">
        <v>32623</v>
      </c>
      <c r="I10226" t="s">
        <v>17648</v>
      </c>
      <c r="J10226" t="s">
        <v>39116</v>
      </c>
      <c r="K10226" t="s">
        <v>42646</v>
      </c>
      <c r="M10226" t="s">
        <v>43241</v>
      </c>
      <c r="N10226" t="s">
        <v>47304</v>
      </c>
      <c r="O10226" t="s">
        <v>47305</v>
      </c>
      <c r="P10226">
        <v>0</v>
      </c>
      <c r="Q10226">
        <v>0</v>
      </c>
      <c r="R10226" t="s">
        <v>47313</v>
      </c>
      <c r="S10226" t="s">
        <v>47535</v>
      </c>
      <c r="T10226" t="s">
        <v>49346</v>
      </c>
      <c r="U10226" t="s">
        <v>57981</v>
      </c>
      <c r="W10226" t="s">
        <v>43241</v>
      </c>
      <c r="X10226" t="s">
        <v>47314</v>
      </c>
    </row>
    <row r="10227" spans="1:24">
      <c r="A10227">
        <f>HYPERLINK("https://www.philgeps.gov.ph/GEPSNONPILOT/Tender/SplashBidNoticeAbstractUI.aspx?menuIndex=3&amp;refID=7185101&amp;Result=3","7185101")</f>
        <v>0</v>
      </c>
      <c r="B10227" t="s">
        <v>2290</v>
      </c>
      <c r="C10227" t="s">
        <v>13506</v>
      </c>
      <c r="D10227" t="s">
        <v>19018</v>
      </c>
      <c r="E10227" t="s">
        <v>25870</v>
      </c>
      <c r="F10227" t="s">
        <v>32606</v>
      </c>
      <c r="G10227" t="s">
        <v>32613</v>
      </c>
      <c r="H10227" t="s">
        <v>14201</v>
      </c>
      <c r="I10227" t="s">
        <v>32664</v>
      </c>
      <c r="J10227" t="s">
        <v>35368</v>
      </c>
      <c r="K10227" t="s">
        <v>42623</v>
      </c>
      <c r="M10227" t="s">
        <v>45395</v>
      </c>
      <c r="N10227" t="s">
        <v>47304</v>
      </c>
      <c r="O10227" t="s">
        <v>47305</v>
      </c>
      <c r="P10227">
        <v>0</v>
      </c>
      <c r="Q10227">
        <v>3</v>
      </c>
      <c r="R10227" t="s">
        <v>47313</v>
      </c>
      <c r="S10227" t="s">
        <v>47535</v>
      </c>
      <c r="T10227" t="s">
        <v>49129</v>
      </c>
      <c r="U10227" t="s">
        <v>57982</v>
      </c>
      <c r="W10227" t="s">
        <v>45395</v>
      </c>
      <c r="X10227" t="s">
        <v>47314</v>
      </c>
    </row>
    <row r="10228" spans="1:24">
      <c r="A10228">
        <f>HYPERLINK("https://www.philgeps.gov.ph/GEPSNONPILOT/Tender/SplashBidNoticeAbstractUI.aspx?menuIndex=3&amp;refID=7185095&amp;Result=3","7185095")</f>
        <v>0</v>
      </c>
      <c r="B10228" t="s">
        <v>3085</v>
      </c>
      <c r="C10228" t="s">
        <v>13507</v>
      </c>
      <c r="D10228" t="s">
        <v>19020</v>
      </c>
      <c r="E10228" t="s">
        <v>27823</v>
      </c>
      <c r="F10228" t="s">
        <v>32606</v>
      </c>
      <c r="G10228" t="s">
        <v>32613</v>
      </c>
      <c r="H10228" t="s">
        <v>32623</v>
      </c>
      <c r="I10228" t="s">
        <v>17648</v>
      </c>
      <c r="J10228" t="s">
        <v>39117</v>
      </c>
      <c r="K10228" t="s">
        <v>42636</v>
      </c>
      <c r="M10228" t="s">
        <v>46289</v>
      </c>
      <c r="N10228" t="s">
        <v>47304</v>
      </c>
      <c r="O10228" t="s">
        <v>47305</v>
      </c>
      <c r="P10228">
        <v>0</v>
      </c>
      <c r="Q10228">
        <v>1</v>
      </c>
      <c r="R10228" t="s">
        <v>47313</v>
      </c>
      <c r="S10228" t="s">
        <v>47535</v>
      </c>
      <c r="T10228" t="s">
        <v>49140</v>
      </c>
      <c r="U10228" t="s">
        <v>57983</v>
      </c>
      <c r="W10228" t="s">
        <v>46289</v>
      </c>
      <c r="X10228" t="s">
        <v>47314</v>
      </c>
    </row>
    <row r="10229" spans="1:24">
      <c r="A10229">
        <f>HYPERLINK("https://www.philgeps.gov.ph/GEPSNONPILOT/Tender/SplashBidNoticeAbstractUI.aspx?menuIndex=3&amp;refID=7186558&amp;Result=3","7186558")</f>
        <v>0</v>
      </c>
      <c r="B10229" t="s">
        <v>1696</v>
      </c>
      <c r="C10229" t="s">
        <v>13508</v>
      </c>
      <c r="D10229" t="s">
        <v>18993</v>
      </c>
      <c r="E10229" t="s">
        <v>27824</v>
      </c>
      <c r="F10229" t="s">
        <v>32606</v>
      </c>
      <c r="G10229" t="s">
        <v>32613</v>
      </c>
      <c r="H10229" t="s">
        <v>14201</v>
      </c>
      <c r="I10229" t="s">
        <v>6298</v>
      </c>
      <c r="J10229" t="s">
        <v>34546</v>
      </c>
      <c r="K10229" t="s">
        <v>42623</v>
      </c>
      <c r="M10229" t="s">
        <v>44734</v>
      </c>
      <c r="N10229" t="s">
        <v>47304</v>
      </c>
      <c r="O10229" t="s">
        <v>47305</v>
      </c>
      <c r="P10229">
        <v>0</v>
      </c>
      <c r="Q10229">
        <v>0</v>
      </c>
      <c r="R10229" t="s">
        <v>47313</v>
      </c>
      <c r="S10229" t="s">
        <v>47535</v>
      </c>
      <c r="T10229" t="s">
        <v>49053</v>
      </c>
      <c r="U10229" t="s">
        <v>53471</v>
      </c>
      <c r="W10229" t="s">
        <v>44734</v>
      </c>
      <c r="X10229" t="s">
        <v>47314</v>
      </c>
    </row>
    <row r="10230" spans="1:24">
      <c r="A10230">
        <f>HYPERLINK("https://www.philgeps.gov.ph/GEPSNONPILOT/Tender/SplashBidNoticeAbstractUI.aspx?menuIndex=3&amp;refID=7185040&amp;Result=3","7185040")</f>
        <v>0</v>
      </c>
      <c r="B10230" t="s">
        <v>963</v>
      </c>
      <c r="C10230" t="s">
        <v>13509</v>
      </c>
      <c r="D10230" t="s">
        <v>19024</v>
      </c>
      <c r="E10230" t="s">
        <v>27825</v>
      </c>
      <c r="F10230" t="s">
        <v>32606</v>
      </c>
      <c r="G10230" t="s">
        <v>32613</v>
      </c>
      <c r="H10230" t="s">
        <v>14201</v>
      </c>
      <c r="I10230" t="s">
        <v>32645</v>
      </c>
      <c r="J10230" t="s">
        <v>39118</v>
      </c>
      <c r="K10230" t="s">
        <v>42636</v>
      </c>
      <c r="M10230" t="s">
        <v>45507</v>
      </c>
      <c r="N10230" t="s">
        <v>47304</v>
      </c>
      <c r="O10230" t="s">
        <v>47305</v>
      </c>
      <c r="P10230">
        <v>0</v>
      </c>
      <c r="Q10230">
        <v>5</v>
      </c>
      <c r="R10230" t="s">
        <v>47313</v>
      </c>
      <c r="S10230" t="s">
        <v>47535</v>
      </c>
      <c r="T10230" t="s">
        <v>49119</v>
      </c>
      <c r="U10230" t="s">
        <v>57984</v>
      </c>
      <c r="W10230" t="s">
        <v>45507</v>
      </c>
      <c r="X10230" t="s">
        <v>47314</v>
      </c>
    </row>
    <row r="10231" spans="1:24">
      <c r="A10231">
        <f>HYPERLINK("https://www.philgeps.gov.ph/GEPSNONPILOT/Tender/SplashBidNoticeAbstractUI.aspx?menuIndex=3&amp;refID=7186545&amp;Result=3","7186545")</f>
        <v>0</v>
      </c>
      <c r="B10231" t="s">
        <v>3083</v>
      </c>
      <c r="C10231" t="s">
        <v>13510</v>
      </c>
      <c r="D10231" t="s">
        <v>19060</v>
      </c>
      <c r="E10231" t="s">
        <v>20519</v>
      </c>
      <c r="F10231" t="s">
        <v>32606</v>
      </c>
      <c r="G10231" t="s">
        <v>32613</v>
      </c>
      <c r="H10231" t="s">
        <v>14201</v>
      </c>
      <c r="I10231" t="s">
        <v>4678</v>
      </c>
      <c r="J10231" t="s">
        <v>39119</v>
      </c>
      <c r="K10231" t="s">
        <v>42636</v>
      </c>
      <c r="M10231" t="s">
        <v>46284</v>
      </c>
      <c r="N10231" t="s">
        <v>47304</v>
      </c>
      <c r="O10231" t="s">
        <v>47305</v>
      </c>
      <c r="P10231">
        <v>0</v>
      </c>
      <c r="Q10231">
        <v>2</v>
      </c>
      <c r="R10231" t="s">
        <v>47313</v>
      </c>
      <c r="S10231" t="s">
        <v>47535</v>
      </c>
      <c r="T10231" t="s">
        <v>49037</v>
      </c>
      <c r="U10231" t="s">
        <v>57936</v>
      </c>
      <c r="W10231" t="s">
        <v>46284</v>
      </c>
      <c r="X10231" t="s">
        <v>47314</v>
      </c>
    </row>
    <row r="10232" spans="1:24">
      <c r="A10232">
        <f>HYPERLINK("https://www.philgeps.gov.ph/GEPSNONPILOT/Tender/SplashBidNoticeAbstractUI.aspx?menuIndex=3&amp;refID=7185039&amp;Result=3","7185039")</f>
        <v>0</v>
      </c>
      <c r="B10232" t="s">
        <v>3086</v>
      </c>
      <c r="C10232" t="s">
        <v>13511</v>
      </c>
      <c r="E10232" t="s">
        <v>26515</v>
      </c>
      <c r="F10232" t="s">
        <v>32606</v>
      </c>
      <c r="G10232" t="s">
        <v>32613</v>
      </c>
      <c r="H10232" t="s">
        <v>14201</v>
      </c>
      <c r="I10232" t="s">
        <v>6931</v>
      </c>
      <c r="J10232" t="s">
        <v>39120</v>
      </c>
      <c r="K10232" t="s">
        <v>42624</v>
      </c>
      <c r="M10232" t="s">
        <v>46290</v>
      </c>
      <c r="N10232" t="s">
        <v>47304</v>
      </c>
      <c r="O10232" t="s">
        <v>47305</v>
      </c>
      <c r="P10232">
        <v>0</v>
      </c>
      <c r="Q10232">
        <v>0</v>
      </c>
      <c r="R10232" t="s">
        <v>47313</v>
      </c>
      <c r="S10232" t="s">
        <v>47535</v>
      </c>
      <c r="T10232" t="s">
        <v>49268</v>
      </c>
      <c r="U10232" t="s">
        <v>57985</v>
      </c>
      <c r="W10232" t="s">
        <v>46290</v>
      </c>
      <c r="X10232" t="s">
        <v>47314</v>
      </c>
    </row>
    <row r="10233" spans="1:24">
      <c r="A10233">
        <f>HYPERLINK("https://www.philgeps.gov.ph/GEPSNONPILOT/Tender/SplashBidNoticeAbstractUI.aspx?menuIndex=3&amp;refID=7185042&amp;Result=3","7185042")</f>
        <v>0</v>
      </c>
      <c r="B10233" t="s">
        <v>72</v>
      </c>
      <c r="C10233" t="s">
        <v>13512</v>
      </c>
      <c r="D10233" t="s">
        <v>19018</v>
      </c>
      <c r="E10233" t="s">
        <v>27826</v>
      </c>
      <c r="F10233" t="s">
        <v>32606</v>
      </c>
      <c r="G10233" t="s">
        <v>32613</v>
      </c>
      <c r="H10233" t="s">
        <v>14201</v>
      </c>
      <c r="I10233" t="s">
        <v>32629</v>
      </c>
      <c r="J10233" t="s">
        <v>39121</v>
      </c>
      <c r="K10233" t="s">
        <v>42631</v>
      </c>
      <c r="M10233" t="s">
        <v>42969</v>
      </c>
      <c r="N10233" t="s">
        <v>47304</v>
      </c>
      <c r="O10233" t="s">
        <v>47305</v>
      </c>
      <c r="P10233">
        <v>0</v>
      </c>
      <c r="Q10233">
        <v>1</v>
      </c>
      <c r="R10233" t="s">
        <v>47313</v>
      </c>
      <c r="S10233" t="s">
        <v>47535</v>
      </c>
      <c r="T10233" t="s">
        <v>49075</v>
      </c>
      <c r="U10233" t="s">
        <v>57986</v>
      </c>
      <c r="V10233" t="s">
        <v>63722</v>
      </c>
      <c r="W10233" t="s">
        <v>42969</v>
      </c>
      <c r="X10233" t="s">
        <v>47314</v>
      </c>
    </row>
    <row r="10234" spans="1:24">
      <c r="A10234">
        <f>HYPERLINK("https://www.philgeps.gov.ph/GEPSNONPILOT/Tender/SplashBidNoticeAbstractUI.aspx?menuIndex=3&amp;refID=7185035&amp;Result=3","7185035")</f>
        <v>0</v>
      </c>
      <c r="B10234" t="s">
        <v>46</v>
      </c>
      <c r="C10234" t="s">
        <v>3946</v>
      </c>
      <c r="D10234" t="s">
        <v>19000</v>
      </c>
      <c r="E10234" t="s">
        <v>27827</v>
      </c>
      <c r="F10234" t="s">
        <v>32606</v>
      </c>
      <c r="G10234" t="s">
        <v>32613</v>
      </c>
      <c r="H10234" t="s">
        <v>32623</v>
      </c>
      <c r="I10234" t="s">
        <v>17648</v>
      </c>
      <c r="J10234" t="s">
        <v>32781</v>
      </c>
      <c r="K10234" t="s">
        <v>42637</v>
      </c>
      <c r="M10234" t="s">
        <v>42943</v>
      </c>
      <c r="N10234" t="s">
        <v>47304</v>
      </c>
      <c r="O10234" t="s">
        <v>47305</v>
      </c>
      <c r="P10234">
        <v>0</v>
      </c>
      <c r="Q10234">
        <v>0</v>
      </c>
      <c r="R10234" t="s">
        <v>47313</v>
      </c>
      <c r="S10234" t="s">
        <v>47535</v>
      </c>
      <c r="T10234" t="s">
        <v>49268</v>
      </c>
      <c r="U10234" t="s">
        <v>57987</v>
      </c>
      <c r="W10234" t="s">
        <v>42943</v>
      </c>
      <c r="X10234" t="s">
        <v>47314</v>
      </c>
    </row>
    <row r="10235" spans="1:24">
      <c r="A10235">
        <f>HYPERLINK("https://www.philgeps.gov.ph/GEPSNONPILOT/Tender/SplashBidNoticeAbstractUI.aspx?menuIndex=3&amp;refID=7185026&amp;Result=3","7185026")</f>
        <v>0</v>
      </c>
      <c r="B10235" t="s">
        <v>3002</v>
      </c>
      <c r="C10235" t="s">
        <v>13513</v>
      </c>
      <c r="D10235" t="s">
        <v>18991</v>
      </c>
      <c r="E10235" t="s">
        <v>27828</v>
      </c>
      <c r="F10235" t="s">
        <v>32606</v>
      </c>
      <c r="G10235" t="s">
        <v>32613</v>
      </c>
      <c r="H10235" t="s">
        <v>14201</v>
      </c>
      <c r="I10235" t="s">
        <v>32660</v>
      </c>
      <c r="J10235" t="s">
        <v>39122</v>
      </c>
      <c r="K10235" t="s">
        <v>42631</v>
      </c>
      <c r="M10235" t="s">
        <v>46191</v>
      </c>
      <c r="N10235" t="s">
        <v>47304</v>
      </c>
      <c r="O10235" t="s">
        <v>47305</v>
      </c>
      <c r="P10235">
        <v>0</v>
      </c>
      <c r="Q10235">
        <v>1</v>
      </c>
      <c r="R10235" t="s">
        <v>47313</v>
      </c>
      <c r="S10235" t="s">
        <v>47535</v>
      </c>
      <c r="T10235" t="s">
        <v>49234</v>
      </c>
      <c r="U10235" t="s">
        <v>57988</v>
      </c>
      <c r="V10235" t="s">
        <v>63663</v>
      </c>
      <c r="W10235" t="s">
        <v>46191</v>
      </c>
      <c r="X10235" t="s">
        <v>47314</v>
      </c>
    </row>
    <row r="10236" spans="1:24">
      <c r="A10236">
        <f>HYPERLINK("https://www.philgeps.gov.ph/GEPSNONPILOT/Tender/SplashBidNoticeAbstractUI.aspx?menuIndex=3&amp;refID=7186627&amp;Result=3","7186627")</f>
        <v>0</v>
      </c>
      <c r="B10236" t="s">
        <v>437</v>
      </c>
      <c r="C10236" t="s">
        <v>13514</v>
      </c>
      <c r="D10236" t="s">
        <v>19003</v>
      </c>
      <c r="E10236" t="s">
        <v>27829</v>
      </c>
      <c r="F10236" t="s">
        <v>32606</v>
      </c>
      <c r="G10236" t="s">
        <v>32613</v>
      </c>
      <c r="H10236" t="s">
        <v>32623</v>
      </c>
      <c r="I10236" t="s">
        <v>17648</v>
      </c>
      <c r="J10236" t="s">
        <v>39123</v>
      </c>
      <c r="K10236" t="s">
        <v>42634</v>
      </c>
      <c r="M10236" t="s">
        <v>43343</v>
      </c>
      <c r="N10236" t="s">
        <v>47304</v>
      </c>
      <c r="O10236" t="s">
        <v>47305</v>
      </c>
      <c r="P10236">
        <v>0</v>
      </c>
      <c r="Q10236">
        <v>0</v>
      </c>
      <c r="R10236" t="s">
        <v>47313</v>
      </c>
      <c r="S10236" t="s">
        <v>47535</v>
      </c>
      <c r="T10236" t="s">
        <v>49129</v>
      </c>
      <c r="U10236" t="s">
        <v>57989</v>
      </c>
      <c r="V10236" t="s">
        <v>63263</v>
      </c>
      <c r="W10236" t="s">
        <v>43343</v>
      </c>
      <c r="X10236" t="s">
        <v>47314</v>
      </c>
    </row>
    <row r="10237" spans="1:24">
      <c r="A10237">
        <f>HYPERLINK("https://www.philgeps.gov.ph/GEPSNONPILOT/Tender/SplashBidNoticeAbstractUI.aspx?menuIndex=3&amp;refID=7186542&amp;Result=3","7186542")</f>
        <v>0</v>
      </c>
      <c r="B10237" t="s">
        <v>627</v>
      </c>
      <c r="C10237" t="s">
        <v>13515</v>
      </c>
      <c r="D10237" t="s">
        <v>19011</v>
      </c>
      <c r="E10237" t="s">
        <v>27830</v>
      </c>
      <c r="F10237" t="s">
        <v>32606</v>
      </c>
      <c r="G10237" t="s">
        <v>32613</v>
      </c>
      <c r="H10237" t="s">
        <v>14201</v>
      </c>
      <c r="I10237" t="s">
        <v>32631</v>
      </c>
      <c r="J10237" t="s">
        <v>39124</v>
      </c>
      <c r="K10237" t="s">
        <v>42623</v>
      </c>
      <c r="M10237" t="s">
        <v>43545</v>
      </c>
      <c r="N10237" t="s">
        <v>47304</v>
      </c>
      <c r="O10237" t="s">
        <v>47305</v>
      </c>
      <c r="P10237">
        <v>0</v>
      </c>
      <c r="Q10237">
        <v>3</v>
      </c>
      <c r="R10237" t="s">
        <v>47313</v>
      </c>
      <c r="S10237" t="s">
        <v>47535</v>
      </c>
      <c r="T10237" t="s">
        <v>49020</v>
      </c>
      <c r="U10237" t="s">
        <v>50633</v>
      </c>
      <c r="W10237" t="s">
        <v>43545</v>
      </c>
      <c r="X10237" t="s">
        <v>47314</v>
      </c>
    </row>
    <row r="10238" spans="1:24">
      <c r="A10238">
        <f>HYPERLINK("https://www.philgeps.gov.ph/GEPSNONPILOT/Tender/SplashBidNoticeAbstractUI.aspx?menuIndex=3&amp;refID=7186572&amp;Result=3","7186572")</f>
        <v>0</v>
      </c>
      <c r="B10238" t="s">
        <v>1696</v>
      </c>
      <c r="C10238" t="s">
        <v>13516</v>
      </c>
      <c r="D10238" t="s">
        <v>18993</v>
      </c>
      <c r="E10238" t="s">
        <v>27831</v>
      </c>
      <c r="F10238" t="s">
        <v>32606</v>
      </c>
      <c r="G10238" t="s">
        <v>32613</v>
      </c>
      <c r="H10238" t="s">
        <v>14201</v>
      </c>
      <c r="I10238" t="s">
        <v>6298</v>
      </c>
      <c r="J10238" t="s">
        <v>32770</v>
      </c>
      <c r="K10238" t="s">
        <v>42623</v>
      </c>
      <c r="M10238" t="s">
        <v>44734</v>
      </c>
      <c r="N10238" t="s">
        <v>47304</v>
      </c>
      <c r="O10238" t="s">
        <v>47305</v>
      </c>
      <c r="P10238">
        <v>0</v>
      </c>
      <c r="Q10238">
        <v>0</v>
      </c>
      <c r="R10238" t="s">
        <v>47313</v>
      </c>
      <c r="S10238" t="s">
        <v>47535</v>
      </c>
      <c r="T10238" t="s">
        <v>49053</v>
      </c>
      <c r="U10238" t="s">
        <v>53471</v>
      </c>
      <c r="W10238" t="s">
        <v>44734</v>
      </c>
      <c r="X10238" t="s">
        <v>47314</v>
      </c>
    </row>
    <row r="10239" spans="1:24">
      <c r="A10239">
        <f>HYPERLINK("https://www.philgeps.gov.ph/GEPSNONPILOT/Tender/SplashBidNoticeAbstractUI.aspx?menuIndex=3&amp;refID=7186662&amp;Result=3","7186662")</f>
        <v>0</v>
      </c>
      <c r="B10239" t="s">
        <v>3087</v>
      </c>
      <c r="C10239" t="s">
        <v>13517</v>
      </c>
      <c r="D10239" t="s">
        <v>19006</v>
      </c>
      <c r="E10239" t="s">
        <v>27832</v>
      </c>
      <c r="F10239" t="s">
        <v>32606</v>
      </c>
      <c r="G10239" t="s">
        <v>32613</v>
      </c>
      <c r="H10239" t="s">
        <v>14201</v>
      </c>
      <c r="I10239" t="s">
        <v>32661</v>
      </c>
      <c r="J10239" t="s">
        <v>39125</v>
      </c>
      <c r="K10239" t="s">
        <v>42648</v>
      </c>
      <c r="M10239" t="s">
        <v>46291</v>
      </c>
      <c r="N10239" t="s">
        <v>47304</v>
      </c>
      <c r="O10239" t="s">
        <v>47305</v>
      </c>
      <c r="P10239">
        <v>0</v>
      </c>
      <c r="Q10239">
        <v>8</v>
      </c>
      <c r="R10239" t="s">
        <v>47313</v>
      </c>
      <c r="S10239" t="s">
        <v>47535</v>
      </c>
      <c r="T10239" t="s">
        <v>49234</v>
      </c>
      <c r="U10239" t="s">
        <v>57990</v>
      </c>
      <c r="W10239" t="s">
        <v>46291</v>
      </c>
      <c r="X10239" t="s">
        <v>47314</v>
      </c>
    </row>
    <row r="10240" spans="1:24">
      <c r="A10240">
        <f>HYPERLINK("https://www.philgeps.gov.ph/GEPSNONPILOT/Tender/SplashBidNoticeAbstractUI.aspx?menuIndex=3&amp;refID=7186654&amp;Result=3","7186654")</f>
        <v>0</v>
      </c>
      <c r="B10240" t="s">
        <v>3088</v>
      </c>
      <c r="C10240" t="s">
        <v>5261</v>
      </c>
      <c r="E10240" t="s">
        <v>27833</v>
      </c>
      <c r="F10240" t="s">
        <v>32606</v>
      </c>
      <c r="G10240" t="s">
        <v>32613</v>
      </c>
      <c r="H10240" t="s">
        <v>14201</v>
      </c>
      <c r="I10240" t="s">
        <v>6298</v>
      </c>
      <c r="J10240" t="s">
        <v>32963</v>
      </c>
      <c r="K10240" t="s">
        <v>42624</v>
      </c>
      <c r="M10240" t="s">
        <v>46292</v>
      </c>
      <c r="N10240" t="s">
        <v>47304</v>
      </c>
      <c r="O10240" t="s">
        <v>47305</v>
      </c>
      <c r="P10240">
        <v>0</v>
      </c>
      <c r="Q10240">
        <v>0</v>
      </c>
      <c r="R10240" t="s">
        <v>47313</v>
      </c>
      <c r="S10240" t="s">
        <v>47535</v>
      </c>
      <c r="T10240" t="s">
        <v>49015</v>
      </c>
      <c r="U10240" t="s">
        <v>50223</v>
      </c>
      <c r="W10240" t="s">
        <v>46292</v>
      </c>
      <c r="X10240" t="s">
        <v>47314</v>
      </c>
    </row>
    <row r="10241" spans="1:24">
      <c r="A10241">
        <f>HYPERLINK("https://www.philgeps.gov.ph/GEPSNONPILOT/Tender/SplashBidNoticeAbstractUI.aspx?menuIndex=3&amp;refID=7186653&amp;Result=3","7186653")</f>
        <v>0</v>
      </c>
      <c r="B10241" t="s">
        <v>951</v>
      </c>
      <c r="C10241" t="s">
        <v>13518</v>
      </c>
      <c r="D10241" t="s">
        <v>19007</v>
      </c>
      <c r="E10241" t="s">
        <v>19392</v>
      </c>
      <c r="F10241" t="s">
        <v>32606</v>
      </c>
      <c r="G10241" t="s">
        <v>32613</v>
      </c>
      <c r="H10241" t="s">
        <v>14201</v>
      </c>
      <c r="I10241" t="s">
        <v>9013</v>
      </c>
      <c r="J10241" t="s">
        <v>39126</v>
      </c>
      <c r="K10241" t="s">
        <v>42624</v>
      </c>
      <c r="M10241" t="s">
        <v>43893</v>
      </c>
      <c r="N10241" t="s">
        <v>47304</v>
      </c>
      <c r="O10241" t="s">
        <v>47305</v>
      </c>
      <c r="P10241">
        <v>0</v>
      </c>
      <c r="Q10241">
        <v>0</v>
      </c>
      <c r="R10241" t="s">
        <v>47313</v>
      </c>
      <c r="S10241" t="s">
        <v>47535</v>
      </c>
      <c r="T10241" t="s">
        <v>49268</v>
      </c>
      <c r="U10241" t="s">
        <v>57991</v>
      </c>
      <c r="W10241" t="s">
        <v>43893</v>
      </c>
      <c r="X10241" t="s">
        <v>47314</v>
      </c>
    </row>
    <row r="10242" spans="1:24">
      <c r="A10242">
        <f>HYPERLINK("https://www.philgeps.gov.ph/GEPSNONPILOT/Tender/SplashBidNoticeAbstractUI.aspx?menuIndex=3&amp;refID=7186646&amp;Result=3","7186646")</f>
        <v>0</v>
      </c>
      <c r="B10242" t="s">
        <v>3089</v>
      </c>
      <c r="C10242" t="s">
        <v>13519</v>
      </c>
      <c r="D10242" t="s">
        <v>19050</v>
      </c>
      <c r="E10242" t="s">
        <v>27834</v>
      </c>
      <c r="F10242" t="s">
        <v>32606</v>
      </c>
      <c r="G10242" t="s">
        <v>32613</v>
      </c>
      <c r="H10242" t="s">
        <v>32623</v>
      </c>
      <c r="I10242" t="s">
        <v>17648</v>
      </c>
      <c r="J10242" t="s">
        <v>39127</v>
      </c>
      <c r="K10242" t="s">
        <v>42636</v>
      </c>
      <c r="L10242" t="s">
        <v>3089</v>
      </c>
      <c r="M10242" t="s">
        <v>46293</v>
      </c>
      <c r="N10242" t="s">
        <v>47304</v>
      </c>
      <c r="O10242" t="s">
        <v>47305</v>
      </c>
      <c r="P10242">
        <v>0</v>
      </c>
      <c r="Q10242">
        <v>0</v>
      </c>
      <c r="R10242" t="s">
        <v>47313</v>
      </c>
      <c r="S10242" t="s">
        <v>47535</v>
      </c>
      <c r="T10242" t="s">
        <v>49157</v>
      </c>
      <c r="U10242" t="s">
        <v>57992</v>
      </c>
      <c r="W10242" t="s">
        <v>46293</v>
      </c>
      <c r="X10242" t="s">
        <v>47314</v>
      </c>
    </row>
    <row r="10243" spans="1:24">
      <c r="A10243">
        <f>HYPERLINK("https://www.philgeps.gov.ph/GEPSNONPILOT/Tender/SplashBidNoticeAbstractUI.aspx?menuIndex=3&amp;refID=7186658&amp;Result=3","7186658")</f>
        <v>0</v>
      </c>
      <c r="B10243" t="s">
        <v>3088</v>
      </c>
      <c r="C10243" t="s">
        <v>13520</v>
      </c>
      <c r="E10243" t="s">
        <v>27835</v>
      </c>
      <c r="F10243" t="s">
        <v>32606</v>
      </c>
      <c r="G10243" t="s">
        <v>32613</v>
      </c>
      <c r="H10243" t="s">
        <v>14201</v>
      </c>
      <c r="I10243" t="s">
        <v>4120</v>
      </c>
      <c r="J10243" t="s">
        <v>39128</v>
      </c>
      <c r="K10243" t="s">
        <v>42624</v>
      </c>
      <c r="M10243" t="s">
        <v>46292</v>
      </c>
      <c r="N10243" t="s">
        <v>47304</v>
      </c>
      <c r="O10243" t="s">
        <v>47305</v>
      </c>
      <c r="P10243">
        <v>0</v>
      </c>
      <c r="Q10243">
        <v>1</v>
      </c>
      <c r="R10243" t="s">
        <v>47313</v>
      </c>
      <c r="S10243" t="s">
        <v>47535</v>
      </c>
      <c r="T10243" t="s">
        <v>49087</v>
      </c>
      <c r="U10243" t="s">
        <v>50223</v>
      </c>
      <c r="W10243" t="s">
        <v>46292</v>
      </c>
      <c r="X10243" t="s">
        <v>47314</v>
      </c>
    </row>
    <row r="10244" spans="1:24">
      <c r="A10244">
        <f>HYPERLINK("https://www.philgeps.gov.ph/GEPSNONPILOT/Tender/SplashBidNoticeAbstractUI.aspx?menuIndex=3&amp;refID=7185038&amp;Result=3","7185038")</f>
        <v>0</v>
      </c>
      <c r="B10244" t="s">
        <v>271</v>
      </c>
      <c r="C10244" t="s">
        <v>13521</v>
      </c>
      <c r="D10244" t="s">
        <v>19040</v>
      </c>
      <c r="E10244" t="s">
        <v>27836</v>
      </c>
      <c r="F10244" t="s">
        <v>32606</v>
      </c>
      <c r="G10244" t="s">
        <v>32613</v>
      </c>
      <c r="H10244" t="s">
        <v>14201</v>
      </c>
      <c r="I10244" t="s">
        <v>13131</v>
      </c>
      <c r="J10244" t="s">
        <v>39129</v>
      </c>
      <c r="K10244" t="s">
        <v>42631</v>
      </c>
      <c r="M10244" t="s">
        <v>43172</v>
      </c>
      <c r="N10244" t="s">
        <v>47304</v>
      </c>
      <c r="O10244" t="s">
        <v>47305</v>
      </c>
      <c r="P10244">
        <v>0</v>
      </c>
      <c r="Q10244">
        <v>10</v>
      </c>
      <c r="R10244" t="s">
        <v>47313</v>
      </c>
      <c r="S10244" t="s">
        <v>47535</v>
      </c>
      <c r="T10244" t="s">
        <v>49234</v>
      </c>
      <c r="U10244" t="s">
        <v>57993</v>
      </c>
      <c r="W10244" t="s">
        <v>43172</v>
      </c>
      <c r="X10244" t="s">
        <v>47314</v>
      </c>
    </row>
    <row r="10245" spans="1:24">
      <c r="A10245">
        <f>HYPERLINK("https://www.philgeps.gov.ph/GEPSNONPILOT/Tender/SplashBidNoticeAbstractUI.aspx?menuIndex=3&amp;refID=7186620&amp;Result=3","7186620")</f>
        <v>0</v>
      </c>
      <c r="B10245" t="s">
        <v>437</v>
      </c>
      <c r="C10245" t="s">
        <v>13522</v>
      </c>
      <c r="D10245" t="s">
        <v>19003</v>
      </c>
      <c r="E10245" t="s">
        <v>27837</v>
      </c>
      <c r="F10245" t="s">
        <v>32606</v>
      </c>
      <c r="G10245" t="s">
        <v>32613</v>
      </c>
      <c r="H10245" t="s">
        <v>32623</v>
      </c>
      <c r="I10245" t="s">
        <v>17648</v>
      </c>
      <c r="J10245" t="s">
        <v>39130</v>
      </c>
      <c r="K10245" t="s">
        <v>42843</v>
      </c>
      <c r="M10245" t="s">
        <v>43343</v>
      </c>
      <c r="N10245" t="s">
        <v>47304</v>
      </c>
      <c r="O10245" t="s">
        <v>47305</v>
      </c>
      <c r="P10245">
        <v>0</v>
      </c>
      <c r="Q10245">
        <v>0</v>
      </c>
      <c r="R10245" t="s">
        <v>47313</v>
      </c>
      <c r="S10245" t="s">
        <v>47535</v>
      </c>
      <c r="T10245" t="s">
        <v>49129</v>
      </c>
      <c r="U10245" t="s">
        <v>57994</v>
      </c>
      <c r="V10245" t="s">
        <v>63263</v>
      </c>
      <c r="W10245" t="s">
        <v>43343</v>
      </c>
      <c r="X10245" t="s">
        <v>47314</v>
      </c>
    </row>
    <row r="10246" spans="1:24">
      <c r="A10246">
        <f>HYPERLINK("https://www.philgeps.gov.ph/GEPSNONPILOT/Tender/SplashBidNoticeAbstractUI.aspx?menuIndex=3&amp;refID=7185098&amp;Result=3","7185098")</f>
        <v>0</v>
      </c>
      <c r="B10246" t="s">
        <v>233</v>
      </c>
      <c r="C10246" t="s">
        <v>13523</v>
      </c>
      <c r="D10246" t="s">
        <v>18997</v>
      </c>
      <c r="E10246" t="s">
        <v>27838</v>
      </c>
      <c r="F10246" t="s">
        <v>32606</v>
      </c>
      <c r="G10246" t="s">
        <v>32613</v>
      </c>
      <c r="H10246" t="s">
        <v>14201</v>
      </c>
      <c r="I10246" t="s">
        <v>6298</v>
      </c>
      <c r="J10246" t="s">
        <v>39131</v>
      </c>
      <c r="K10246" t="s">
        <v>42631</v>
      </c>
      <c r="M10246" t="s">
        <v>46037</v>
      </c>
      <c r="N10246" t="s">
        <v>47304</v>
      </c>
      <c r="O10246" t="s">
        <v>47305</v>
      </c>
      <c r="P10246">
        <v>0</v>
      </c>
      <c r="Q10246">
        <v>0</v>
      </c>
      <c r="R10246" t="s">
        <v>47313</v>
      </c>
      <c r="S10246" t="s">
        <v>47535</v>
      </c>
      <c r="T10246" t="s">
        <v>49053</v>
      </c>
      <c r="U10246" t="s">
        <v>52443</v>
      </c>
      <c r="V10246" t="s">
        <v>63002</v>
      </c>
      <c r="W10246" t="s">
        <v>46037</v>
      </c>
      <c r="X10246" t="s">
        <v>47314</v>
      </c>
    </row>
    <row r="10247" spans="1:24">
      <c r="A10247">
        <f>HYPERLINK("https://www.philgeps.gov.ph/GEPSNONPILOT/Tender/SplashBidNoticeAbstractUI.aspx?menuIndex=3&amp;refID=7186648&amp;Result=3","7186648")</f>
        <v>0</v>
      </c>
      <c r="B10247" t="s">
        <v>3090</v>
      </c>
      <c r="C10247" t="s">
        <v>13524</v>
      </c>
      <c r="D10247" t="s">
        <v>19008</v>
      </c>
      <c r="E10247" t="s">
        <v>20038</v>
      </c>
      <c r="F10247" t="s">
        <v>32606</v>
      </c>
      <c r="G10247" t="s">
        <v>32613</v>
      </c>
      <c r="H10247" t="s">
        <v>14201</v>
      </c>
      <c r="I10247" t="s">
        <v>6931</v>
      </c>
      <c r="J10247" t="s">
        <v>34490</v>
      </c>
      <c r="K10247" t="s">
        <v>42622</v>
      </c>
      <c r="M10247" t="s">
        <v>46294</v>
      </c>
      <c r="N10247" t="s">
        <v>47304</v>
      </c>
      <c r="O10247" t="s">
        <v>47305</v>
      </c>
      <c r="P10247">
        <v>0</v>
      </c>
      <c r="Q10247">
        <v>0</v>
      </c>
      <c r="R10247" t="s">
        <v>47313</v>
      </c>
      <c r="S10247" t="s">
        <v>47535</v>
      </c>
      <c r="T10247" t="s">
        <v>49007</v>
      </c>
      <c r="U10247" t="s">
        <v>57995</v>
      </c>
      <c r="V10247" t="s">
        <v>63723</v>
      </c>
      <c r="W10247" t="s">
        <v>46294</v>
      </c>
      <c r="X10247" t="s">
        <v>47314</v>
      </c>
    </row>
    <row r="10248" spans="1:24">
      <c r="A10248">
        <f>HYPERLINK("https://www.philgeps.gov.ph/GEPSNONPILOT/Tender/SplashBidNoticeAbstractUI.aspx?menuIndex=3&amp;refID=7186608&amp;Result=3","7186608")</f>
        <v>0</v>
      </c>
      <c r="B10248" t="s">
        <v>3091</v>
      </c>
      <c r="C10248" t="s">
        <v>13525</v>
      </c>
      <c r="D10248" t="s">
        <v>19016</v>
      </c>
      <c r="E10248" t="s">
        <v>27839</v>
      </c>
      <c r="F10248" t="s">
        <v>32606</v>
      </c>
      <c r="G10248" t="s">
        <v>32613</v>
      </c>
      <c r="H10248" t="s">
        <v>14201</v>
      </c>
      <c r="I10248" t="s">
        <v>6931</v>
      </c>
      <c r="J10248" t="s">
        <v>39132</v>
      </c>
      <c r="K10248" t="s">
        <v>42624</v>
      </c>
      <c r="M10248" t="s">
        <v>46295</v>
      </c>
      <c r="N10248" t="s">
        <v>47304</v>
      </c>
      <c r="O10248" t="s">
        <v>47305</v>
      </c>
      <c r="P10248">
        <v>0</v>
      </c>
      <c r="Q10248">
        <v>1</v>
      </c>
      <c r="R10248" t="s">
        <v>47313</v>
      </c>
      <c r="S10248" t="s">
        <v>47535</v>
      </c>
      <c r="T10248" t="s">
        <v>49020</v>
      </c>
      <c r="U10248" t="s">
        <v>57996</v>
      </c>
      <c r="W10248" t="s">
        <v>46295</v>
      </c>
      <c r="X10248" t="s">
        <v>47314</v>
      </c>
    </row>
    <row r="10249" spans="1:24">
      <c r="A10249">
        <f>HYPERLINK("https://www.philgeps.gov.ph/GEPSNONPILOT/Tender/SplashBidNoticeAbstractUI.aspx?menuIndex=3&amp;refID=7186720&amp;Result=3","7186720")</f>
        <v>0</v>
      </c>
      <c r="B10249" t="s">
        <v>1289</v>
      </c>
      <c r="C10249" t="s">
        <v>13526</v>
      </c>
      <c r="D10249" t="s">
        <v>18993</v>
      </c>
      <c r="E10249" t="s">
        <v>27840</v>
      </c>
      <c r="F10249" t="s">
        <v>32606</v>
      </c>
      <c r="G10249" t="s">
        <v>32613</v>
      </c>
      <c r="H10249" t="s">
        <v>14201</v>
      </c>
      <c r="I10249" t="s">
        <v>4369</v>
      </c>
      <c r="J10249" t="s">
        <v>39133</v>
      </c>
      <c r="K10249" t="s">
        <v>42623</v>
      </c>
      <c r="M10249" t="s">
        <v>44261</v>
      </c>
      <c r="N10249" t="s">
        <v>47304</v>
      </c>
      <c r="O10249" t="s">
        <v>47305</v>
      </c>
      <c r="Q10249">
        <v>11</v>
      </c>
      <c r="R10249" t="s">
        <v>47313</v>
      </c>
      <c r="S10249" t="s">
        <v>47591</v>
      </c>
      <c r="T10249" t="s">
        <v>49390</v>
      </c>
      <c r="U10249" t="s">
        <v>57997</v>
      </c>
      <c r="W10249" t="s">
        <v>44261</v>
      </c>
      <c r="X10249" t="s">
        <v>47314</v>
      </c>
    </row>
    <row r="10250" spans="1:24">
      <c r="A10250">
        <f>HYPERLINK("https://www.philgeps.gov.ph/GEPSNONPILOT/Tender/SplashBidNoticeAbstractUI.aspx?menuIndex=3&amp;refID=7186644&amp;Result=3","7186644")</f>
        <v>0</v>
      </c>
      <c r="B10250" t="s">
        <v>1917</v>
      </c>
      <c r="C10250" t="s">
        <v>13527</v>
      </c>
      <c r="D10250" t="s">
        <v>19070</v>
      </c>
      <c r="E10250" t="s">
        <v>27841</v>
      </c>
      <c r="F10250" t="s">
        <v>32606</v>
      </c>
      <c r="G10250" t="s">
        <v>32613</v>
      </c>
      <c r="H10250" t="s">
        <v>14201</v>
      </c>
      <c r="I10250" t="s">
        <v>6298</v>
      </c>
      <c r="J10250" t="s">
        <v>39134</v>
      </c>
      <c r="K10250" t="s">
        <v>42622</v>
      </c>
      <c r="M10250" t="s">
        <v>46296</v>
      </c>
      <c r="N10250" t="s">
        <v>47304</v>
      </c>
      <c r="O10250" t="s">
        <v>47305</v>
      </c>
      <c r="P10250">
        <v>0</v>
      </c>
      <c r="Q10250">
        <v>3</v>
      </c>
      <c r="R10250" t="s">
        <v>47313</v>
      </c>
      <c r="S10250" t="s">
        <v>47535</v>
      </c>
      <c r="T10250" t="s">
        <v>49071</v>
      </c>
      <c r="U10250" t="s">
        <v>57998</v>
      </c>
      <c r="W10250" t="s">
        <v>46296</v>
      </c>
      <c r="X10250" t="s">
        <v>47314</v>
      </c>
    </row>
    <row r="10251" spans="1:24">
      <c r="A10251">
        <f>HYPERLINK("https://www.philgeps.gov.ph/GEPSNONPILOT/Tender/SplashBidNoticeAbstractUI.aspx?menuIndex=3&amp;refID=7186741&amp;Result=3","7186741")</f>
        <v>0</v>
      </c>
      <c r="B10251" t="s">
        <v>1168</v>
      </c>
      <c r="C10251" t="s">
        <v>13528</v>
      </c>
      <c r="D10251" t="s">
        <v>19002</v>
      </c>
      <c r="E10251" t="s">
        <v>27842</v>
      </c>
      <c r="F10251" t="s">
        <v>32606</v>
      </c>
      <c r="G10251" t="s">
        <v>32613</v>
      </c>
      <c r="H10251" t="s">
        <v>14201</v>
      </c>
      <c r="I10251" t="s">
        <v>4120</v>
      </c>
      <c r="J10251" t="s">
        <v>39135</v>
      </c>
      <c r="K10251" t="s">
        <v>42623</v>
      </c>
      <c r="L10251" t="s">
        <v>1168</v>
      </c>
      <c r="M10251" t="s">
        <v>44131</v>
      </c>
      <c r="N10251" t="s">
        <v>47304</v>
      </c>
      <c r="O10251" t="s">
        <v>47305</v>
      </c>
      <c r="P10251">
        <v>0</v>
      </c>
      <c r="Q10251">
        <v>0</v>
      </c>
      <c r="R10251" t="s">
        <v>47313</v>
      </c>
      <c r="S10251" t="s">
        <v>47535</v>
      </c>
      <c r="T10251" t="s">
        <v>49268</v>
      </c>
      <c r="U10251" t="s">
        <v>57999</v>
      </c>
      <c r="W10251" t="s">
        <v>44131</v>
      </c>
      <c r="X10251" t="s">
        <v>47314</v>
      </c>
    </row>
    <row r="10252" spans="1:24">
      <c r="A10252">
        <f>HYPERLINK("https://www.philgeps.gov.ph/GEPSNONPILOT/Tender/SplashBidNoticeAbstractUI.aspx?menuIndex=3&amp;refID=7186547&amp;Result=3","7186547")</f>
        <v>0</v>
      </c>
      <c r="B10252" t="s">
        <v>1696</v>
      </c>
      <c r="C10252" t="s">
        <v>13529</v>
      </c>
      <c r="D10252" t="s">
        <v>18993</v>
      </c>
      <c r="E10252" t="s">
        <v>27843</v>
      </c>
      <c r="F10252" t="s">
        <v>32606</v>
      </c>
      <c r="G10252" t="s">
        <v>32613</v>
      </c>
      <c r="H10252" t="s">
        <v>14201</v>
      </c>
      <c r="I10252" t="s">
        <v>4112</v>
      </c>
      <c r="J10252" t="s">
        <v>39136</v>
      </c>
      <c r="K10252" t="s">
        <v>42623</v>
      </c>
      <c r="M10252" t="s">
        <v>44734</v>
      </c>
      <c r="N10252" t="s">
        <v>47304</v>
      </c>
      <c r="O10252" t="s">
        <v>47305</v>
      </c>
      <c r="P10252">
        <v>0</v>
      </c>
      <c r="Q10252">
        <v>0</v>
      </c>
      <c r="R10252" t="s">
        <v>47313</v>
      </c>
      <c r="S10252" t="s">
        <v>47535</v>
      </c>
      <c r="T10252" t="s">
        <v>49053</v>
      </c>
      <c r="U10252" t="s">
        <v>53480</v>
      </c>
      <c r="W10252" t="s">
        <v>44734</v>
      </c>
      <c r="X10252" t="s">
        <v>47314</v>
      </c>
    </row>
    <row r="10253" spans="1:24">
      <c r="A10253">
        <f>HYPERLINK("https://www.philgeps.gov.ph/GEPSNONPILOT/Tender/SplashBidNoticeAbstractUI.aspx?menuIndex=3&amp;refID=7186740&amp;Result=3","7186740")</f>
        <v>0</v>
      </c>
      <c r="B10253" t="s">
        <v>3092</v>
      </c>
      <c r="C10253" t="s">
        <v>13530</v>
      </c>
      <c r="D10253" t="s">
        <v>19011</v>
      </c>
      <c r="E10253" t="s">
        <v>27844</v>
      </c>
      <c r="F10253" t="s">
        <v>32606</v>
      </c>
      <c r="G10253" t="s">
        <v>32613</v>
      </c>
      <c r="H10253" t="s">
        <v>14201</v>
      </c>
      <c r="I10253" t="s">
        <v>32640</v>
      </c>
      <c r="J10253" t="s">
        <v>33071</v>
      </c>
      <c r="K10253" t="s">
        <v>42631</v>
      </c>
      <c r="M10253" t="s">
        <v>46297</v>
      </c>
      <c r="N10253" t="s">
        <v>47304</v>
      </c>
      <c r="O10253" t="s">
        <v>47305</v>
      </c>
      <c r="P10253">
        <v>0</v>
      </c>
      <c r="Q10253">
        <v>4</v>
      </c>
      <c r="R10253" t="s">
        <v>47313</v>
      </c>
      <c r="S10253" t="s">
        <v>47535</v>
      </c>
      <c r="T10253" t="s">
        <v>49320</v>
      </c>
      <c r="U10253" t="s">
        <v>58000</v>
      </c>
      <c r="W10253" t="s">
        <v>46297</v>
      </c>
      <c r="X10253" t="s">
        <v>47314</v>
      </c>
    </row>
    <row r="10254" spans="1:24">
      <c r="A10254">
        <f>HYPERLINK("https://www.philgeps.gov.ph/GEPSNONPILOT/Tender/SplashBidNoticeAbstractUI.aspx?menuIndex=3&amp;refID=7186610&amp;Result=3","7186610")</f>
        <v>0</v>
      </c>
      <c r="B10254" t="s">
        <v>3093</v>
      </c>
      <c r="C10254" t="s">
        <v>13531</v>
      </c>
      <c r="D10254" t="s">
        <v>19027</v>
      </c>
      <c r="E10254" t="s">
        <v>27845</v>
      </c>
      <c r="F10254" t="s">
        <v>32607</v>
      </c>
      <c r="G10254" t="s">
        <v>32613</v>
      </c>
      <c r="H10254" t="s">
        <v>14201</v>
      </c>
      <c r="I10254" t="s">
        <v>4678</v>
      </c>
      <c r="J10254" t="s">
        <v>32981</v>
      </c>
      <c r="K10254" t="s">
        <v>42646</v>
      </c>
      <c r="M10254" t="s">
        <v>46298</v>
      </c>
      <c r="N10254" t="s">
        <v>47304</v>
      </c>
      <c r="O10254" t="s">
        <v>47305</v>
      </c>
      <c r="P10254">
        <v>0</v>
      </c>
      <c r="Q10254">
        <v>0</v>
      </c>
      <c r="R10254" t="s">
        <v>47313</v>
      </c>
      <c r="S10254" t="s">
        <v>47535</v>
      </c>
      <c r="T10254" t="s">
        <v>49066</v>
      </c>
      <c r="U10254" t="s">
        <v>58001</v>
      </c>
      <c r="W10254" t="s">
        <v>46298</v>
      </c>
      <c r="X10254" t="s">
        <v>47314</v>
      </c>
    </row>
    <row r="10255" spans="1:24">
      <c r="A10255">
        <f>HYPERLINK("https://www.philgeps.gov.ph/GEPSNONPILOT/Tender/SplashBidNoticeAbstractUI.aspx?menuIndex=3&amp;refID=7186735&amp;Result=3","7186735")</f>
        <v>0</v>
      </c>
      <c r="B10255" t="s">
        <v>1168</v>
      </c>
      <c r="C10255" t="s">
        <v>13532</v>
      </c>
      <c r="D10255" t="s">
        <v>19002</v>
      </c>
      <c r="E10255" t="s">
        <v>27846</v>
      </c>
      <c r="F10255" t="s">
        <v>32606</v>
      </c>
      <c r="G10255" t="s">
        <v>32613</v>
      </c>
      <c r="H10255" t="s">
        <v>14201</v>
      </c>
      <c r="I10255" t="s">
        <v>4114</v>
      </c>
      <c r="J10255" t="s">
        <v>39137</v>
      </c>
      <c r="K10255" t="s">
        <v>42623</v>
      </c>
      <c r="L10255" t="s">
        <v>1168</v>
      </c>
      <c r="M10255" t="s">
        <v>44131</v>
      </c>
      <c r="N10255" t="s">
        <v>47304</v>
      </c>
      <c r="O10255" t="s">
        <v>47305</v>
      </c>
      <c r="P10255">
        <v>0</v>
      </c>
      <c r="Q10255">
        <v>4</v>
      </c>
      <c r="R10255" t="s">
        <v>47313</v>
      </c>
      <c r="S10255" t="s">
        <v>47535</v>
      </c>
      <c r="T10255" t="s">
        <v>49075</v>
      </c>
      <c r="U10255" t="s">
        <v>58002</v>
      </c>
      <c r="W10255" t="s">
        <v>44131</v>
      </c>
      <c r="X10255" t="s">
        <v>47314</v>
      </c>
    </row>
    <row r="10256" spans="1:24">
      <c r="A10256">
        <f>HYPERLINK("https://www.philgeps.gov.ph/GEPSNONPILOT/Tender/SplashBidNoticeAbstractUI.aspx?menuIndex=3&amp;refID=7186729&amp;Result=3","7186729")</f>
        <v>0</v>
      </c>
      <c r="B10256" t="s">
        <v>1682</v>
      </c>
      <c r="C10256" t="s">
        <v>13533</v>
      </c>
      <c r="D10256" t="s">
        <v>19054</v>
      </c>
      <c r="E10256" t="s">
        <v>27847</v>
      </c>
      <c r="F10256" t="s">
        <v>32606</v>
      </c>
      <c r="G10256" t="s">
        <v>32613</v>
      </c>
      <c r="H10256" t="s">
        <v>14201</v>
      </c>
      <c r="I10256" t="s">
        <v>6931</v>
      </c>
      <c r="J10256" t="s">
        <v>39138</v>
      </c>
      <c r="K10256" t="s">
        <v>42844</v>
      </c>
      <c r="M10256" t="s">
        <v>44711</v>
      </c>
      <c r="N10256" t="s">
        <v>47304</v>
      </c>
      <c r="O10256" t="s">
        <v>47305</v>
      </c>
      <c r="P10256">
        <v>0</v>
      </c>
      <c r="Q10256">
        <v>0</v>
      </c>
      <c r="R10256" t="s">
        <v>47313</v>
      </c>
      <c r="S10256" t="s">
        <v>47535</v>
      </c>
      <c r="T10256" t="s">
        <v>49253</v>
      </c>
      <c r="U10256" t="s">
        <v>58003</v>
      </c>
      <c r="V10256" t="s">
        <v>63077</v>
      </c>
      <c r="W10256" t="s">
        <v>44711</v>
      </c>
      <c r="X10256" t="s">
        <v>47314</v>
      </c>
    </row>
    <row r="10257" spans="1:24">
      <c r="A10257">
        <f>HYPERLINK("https://www.philgeps.gov.ph/GEPSNONPILOT/Tender/SplashBidNoticeAbstractUI.aspx?menuIndex=3&amp;refID=7186737&amp;Result=3","7186737")</f>
        <v>0</v>
      </c>
      <c r="B10257" t="s">
        <v>569</v>
      </c>
      <c r="C10257" t="s">
        <v>13534</v>
      </c>
      <c r="D10257" t="s">
        <v>18993</v>
      </c>
      <c r="E10257" t="s">
        <v>27848</v>
      </c>
      <c r="F10257" t="s">
        <v>32606</v>
      </c>
      <c r="G10257" t="s">
        <v>32618</v>
      </c>
      <c r="H10257" t="s">
        <v>32624</v>
      </c>
      <c r="I10257" t="s">
        <v>32638</v>
      </c>
      <c r="J10257" t="s">
        <v>39139</v>
      </c>
      <c r="K10257" t="s">
        <v>42636</v>
      </c>
      <c r="M10257" t="s">
        <v>46299</v>
      </c>
      <c r="N10257" t="s">
        <v>47304</v>
      </c>
      <c r="O10257" t="s">
        <v>47305</v>
      </c>
      <c r="P10257">
        <v>0</v>
      </c>
      <c r="Q10257">
        <v>19</v>
      </c>
      <c r="R10257" t="s">
        <v>47313</v>
      </c>
      <c r="S10257" t="s">
        <v>47535</v>
      </c>
      <c r="T10257" t="s">
        <v>49052</v>
      </c>
      <c r="U10257" t="s">
        <v>58004</v>
      </c>
      <c r="V10257" t="s">
        <v>63227</v>
      </c>
      <c r="W10257" t="s">
        <v>64492</v>
      </c>
      <c r="X10257" t="s">
        <v>47314</v>
      </c>
    </row>
    <row r="10258" spans="1:24">
      <c r="A10258">
        <f>HYPERLINK("https://www.philgeps.gov.ph/GEPSNONPILOT/Tender/SplashBidNoticeAbstractUI.aspx?menuIndex=3&amp;refID=7186714&amp;Result=3","7186714")</f>
        <v>0</v>
      </c>
      <c r="B10258" t="s">
        <v>1682</v>
      </c>
      <c r="C10258" t="s">
        <v>13535</v>
      </c>
      <c r="D10258" t="s">
        <v>19054</v>
      </c>
      <c r="E10258" t="s">
        <v>27849</v>
      </c>
      <c r="F10258" t="s">
        <v>32606</v>
      </c>
      <c r="G10258" t="s">
        <v>32613</v>
      </c>
      <c r="H10258" t="s">
        <v>14201</v>
      </c>
      <c r="I10258" t="s">
        <v>32686</v>
      </c>
      <c r="J10258" t="s">
        <v>33051</v>
      </c>
      <c r="K10258" t="s">
        <v>42631</v>
      </c>
      <c r="M10258" t="s">
        <v>44711</v>
      </c>
      <c r="N10258" t="s">
        <v>47304</v>
      </c>
      <c r="O10258" t="s">
        <v>47305</v>
      </c>
      <c r="P10258">
        <v>0</v>
      </c>
      <c r="Q10258">
        <v>1</v>
      </c>
      <c r="R10258" t="s">
        <v>47313</v>
      </c>
      <c r="S10258" t="s">
        <v>47535</v>
      </c>
      <c r="T10258" t="s">
        <v>49253</v>
      </c>
      <c r="U10258" t="s">
        <v>58005</v>
      </c>
      <c r="V10258" t="s">
        <v>63077</v>
      </c>
      <c r="W10258" t="s">
        <v>44711</v>
      </c>
      <c r="X10258" t="s">
        <v>47314</v>
      </c>
    </row>
    <row r="10259" spans="1:24">
      <c r="A10259">
        <f>HYPERLINK("https://www.philgeps.gov.ph/GEPSNONPILOT/Tender/SplashBidNoticeAbstractUI.aspx?menuIndex=3&amp;refID=7186713&amp;Result=3","7186713")</f>
        <v>0</v>
      </c>
      <c r="B10259" t="s">
        <v>1289</v>
      </c>
      <c r="C10259" t="s">
        <v>13536</v>
      </c>
      <c r="D10259" t="s">
        <v>18993</v>
      </c>
      <c r="E10259" t="s">
        <v>27850</v>
      </c>
      <c r="F10259" t="s">
        <v>32606</v>
      </c>
      <c r="G10259" t="s">
        <v>32613</v>
      </c>
      <c r="H10259" t="s">
        <v>14201</v>
      </c>
      <c r="I10259" t="s">
        <v>7064</v>
      </c>
      <c r="J10259" t="s">
        <v>35853</v>
      </c>
      <c r="K10259" t="s">
        <v>42636</v>
      </c>
      <c r="M10259" t="s">
        <v>44261</v>
      </c>
      <c r="N10259" t="s">
        <v>47304</v>
      </c>
      <c r="O10259" t="s">
        <v>47305</v>
      </c>
      <c r="Q10259">
        <v>1</v>
      </c>
      <c r="R10259" t="s">
        <v>47313</v>
      </c>
      <c r="S10259" t="s">
        <v>47592</v>
      </c>
      <c r="T10259" t="s">
        <v>49390</v>
      </c>
      <c r="U10259" t="s">
        <v>58006</v>
      </c>
      <c r="W10259" t="s">
        <v>44261</v>
      </c>
      <c r="X10259" t="s">
        <v>47314</v>
      </c>
    </row>
    <row r="10260" spans="1:24">
      <c r="A10260">
        <f>HYPERLINK("https://www.philgeps.gov.ph/GEPSNONPILOT/Tender/SplashBidNoticeAbstractUI.aspx?menuIndex=3&amp;refID=7185036&amp;Result=3","7185036")</f>
        <v>0</v>
      </c>
      <c r="B10260" t="s">
        <v>233</v>
      </c>
      <c r="C10260" t="s">
        <v>13537</v>
      </c>
      <c r="D10260" t="s">
        <v>18997</v>
      </c>
      <c r="E10260" t="s">
        <v>27851</v>
      </c>
      <c r="F10260" t="s">
        <v>32606</v>
      </c>
      <c r="G10260" t="s">
        <v>32613</v>
      </c>
      <c r="H10260" t="s">
        <v>14201</v>
      </c>
      <c r="I10260" t="s">
        <v>32640</v>
      </c>
      <c r="J10260" t="s">
        <v>34102</v>
      </c>
      <c r="K10260" t="s">
        <v>42631</v>
      </c>
      <c r="M10260" t="s">
        <v>46037</v>
      </c>
      <c r="N10260" t="s">
        <v>47304</v>
      </c>
      <c r="O10260" t="s">
        <v>47305</v>
      </c>
      <c r="P10260">
        <v>0</v>
      </c>
      <c r="Q10260">
        <v>1</v>
      </c>
      <c r="R10260" t="s">
        <v>47313</v>
      </c>
      <c r="S10260" t="s">
        <v>47535</v>
      </c>
      <c r="T10260" t="s">
        <v>49053</v>
      </c>
      <c r="U10260" t="s">
        <v>52443</v>
      </c>
      <c r="V10260" t="s">
        <v>63002</v>
      </c>
      <c r="W10260" t="s">
        <v>46037</v>
      </c>
      <c r="X10260" t="s">
        <v>47314</v>
      </c>
    </row>
    <row r="10261" spans="1:24">
      <c r="A10261">
        <f>HYPERLINK("https://www.philgeps.gov.ph/GEPSNONPILOT/Tender/SplashBidNoticeAbstractUI.aspx?menuIndex=3&amp;refID=7186718&amp;Result=3","7186718")</f>
        <v>0</v>
      </c>
      <c r="B10261" t="s">
        <v>1682</v>
      </c>
      <c r="C10261" t="s">
        <v>13538</v>
      </c>
      <c r="D10261" t="s">
        <v>19054</v>
      </c>
      <c r="E10261" t="s">
        <v>27852</v>
      </c>
      <c r="F10261" t="s">
        <v>32606</v>
      </c>
      <c r="G10261" t="s">
        <v>32613</v>
      </c>
      <c r="H10261" t="s">
        <v>14201</v>
      </c>
      <c r="I10261" t="s">
        <v>6931</v>
      </c>
      <c r="J10261" t="s">
        <v>39140</v>
      </c>
      <c r="K10261" t="s">
        <v>42634</v>
      </c>
      <c r="M10261" t="s">
        <v>44711</v>
      </c>
      <c r="N10261" t="s">
        <v>47304</v>
      </c>
      <c r="O10261" t="s">
        <v>47305</v>
      </c>
      <c r="P10261">
        <v>0</v>
      </c>
      <c r="Q10261">
        <v>0</v>
      </c>
      <c r="R10261" t="s">
        <v>47313</v>
      </c>
      <c r="S10261" t="s">
        <v>47535</v>
      </c>
      <c r="T10261" t="s">
        <v>49253</v>
      </c>
      <c r="U10261" t="s">
        <v>58007</v>
      </c>
      <c r="V10261" t="s">
        <v>63077</v>
      </c>
      <c r="W10261" t="s">
        <v>44711</v>
      </c>
      <c r="X10261" t="s">
        <v>47314</v>
      </c>
    </row>
    <row r="10262" spans="1:24">
      <c r="A10262">
        <f>HYPERLINK("https://www.philgeps.gov.ph/GEPSNONPILOT/Tender/SplashBidNoticeAbstractUI.aspx?menuIndex=3&amp;refID=7186102&amp;Result=3","7186102")</f>
        <v>0</v>
      </c>
      <c r="B10262" t="s">
        <v>2796</v>
      </c>
      <c r="C10262" t="s">
        <v>13539</v>
      </c>
      <c r="D10262" t="s">
        <v>19012</v>
      </c>
      <c r="E10262" t="s">
        <v>24949</v>
      </c>
      <c r="F10262" t="s">
        <v>32606</v>
      </c>
      <c r="G10262" t="s">
        <v>32614</v>
      </c>
      <c r="H10262" t="s">
        <v>14201</v>
      </c>
      <c r="I10262" t="s">
        <v>6931</v>
      </c>
      <c r="J10262" t="s">
        <v>39141</v>
      </c>
      <c r="K10262" t="s">
        <v>42624</v>
      </c>
      <c r="M10262" t="s">
        <v>45958</v>
      </c>
      <c r="N10262" t="s">
        <v>47304</v>
      </c>
      <c r="O10262" t="s">
        <v>47305</v>
      </c>
      <c r="P10262">
        <v>0</v>
      </c>
      <c r="Q10262">
        <v>1</v>
      </c>
      <c r="R10262" t="s">
        <v>47313</v>
      </c>
      <c r="S10262" t="s">
        <v>47535</v>
      </c>
      <c r="T10262" t="s">
        <v>49339</v>
      </c>
      <c r="U10262" t="s">
        <v>58008</v>
      </c>
      <c r="W10262" t="s">
        <v>45958</v>
      </c>
      <c r="X10262" t="s">
        <v>47314</v>
      </c>
    </row>
    <row r="10263" spans="1:24">
      <c r="A10263">
        <f>HYPERLINK("https://www.philgeps.gov.ph/GEPSNONPILOT/Tender/SplashBidNoticeAbstractUI.aspx?menuIndex=3&amp;refID=7186712&amp;Result=3","7186712")</f>
        <v>0</v>
      </c>
      <c r="B10263" t="s">
        <v>569</v>
      </c>
      <c r="C10263" t="s">
        <v>13540</v>
      </c>
      <c r="D10263" t="s">
        <v>18993</v>
      </c>
      <c r="E10263" t="s">
        <v>27853</v>
      </c>
      <c r="F10263" t="s">
        <v>32606</v>
      </c>
      <c r="G10263" t="s">
        <v>32618</v>
      </c>
      <c r="H10263" t="s">
        <v>32624</v>
      </c>
      <c r="I10263" t="s">
        <v>32638</v>
      </c>
      <c r="J10263" t="s">
        <v>34667</v>
      </c>
      <c r="K10263" t="s">
        <v>42636</v>
      </c>
      <c r="M10263" t="s">
        <v>46299</v>
      </c>
      <c r="N10263" t="s">
        <v>47304</v>
      </c>
      <c r="O10263" t="s">
        <v>47305</v>
      </c>
      <c r="P10263">
        <v>0</v>
      </c>
      <c r="Q10263">
        <v>10</v>
      </c>
      <c r="R10263" t="s">
        <v>47313</v>
      </c>
      <c r="S10263" t="s">
        <v>47535</v>
      </c>
      <c r="T10263" t="s">
        <v>49052</v>
      </c>
      <c r="U10263" t="s">
        <v>58009</v>
      </c>
      <c r="V10263" t="s">
        <v>63227</v>
      </c>
      <c r="W10263" t="s">
        <v>64492</v>
      </c>
      <c r="X10263" t="s">
        <v>47314</v>
      </c>
    </row>
    <row r="10264" spans="1:24">
      <c r="A10264">
        <f>HYPERLINK("https://www.philgeps.gov.ph/GEPSNONPILOT/Tender/SplashBidNoticeAbstractUI.aspx?menuIndex=3&amp;refID=7186704&amp;Result=3","7186704")</f>
        <v>0</v>
      </c>
      <c r="B10264" t="s">
        <v>1704</v>
      </c>
      <c r="C10264" t="s">
        <v>13541</v>
      </c>
      <c r="D10264" t="s">
        <v>19010</v>
      </c>
      <c r="E10264" t="s">
        <v>27854</v>
      </c>
      <c r="F10264" t="s">
        <v>32606</v>
      </c>
      <c r="G10264" t="s">
        <v>32613</v>
      </c>
      <c r="H10264" t="s">
        <v>14201</v>
      </c>
      <c r="I10264" t="s">
        <v>6931</v>
      </c>
      <c r="J10264" t="s">
        <v>39142</v>
      </c>
      <c r="K10264" t="s">
        <v>42622</v>
      </c>
      <c r="L10264" t="s">
        <v>1704</v>
      </c>
      <c r="M10264" t="s">
        <v>44733</v>
      </c>
      <c r="N10264" t="s">
        <v>47304</v>
      </c>
      <c r="O10264" t="s">
        <v>47305</v>
      </c>
      <c r="P10264">
        <v>0</v>
      </c>
      <c r="Q10264">
        <v>1</v>
      </c>
      <c r="R10264" t="s">
        <v>47313</v>
      </c>
      <c r="S10264" t="s">
        <v>47535</v>
      </c>
      <c r="T10264" t="s">
        <v>48986</v>
      </c>
      <c r="U10264" t="s">
        <v>58010</v>
      </c>
      <c r="W10264" t="s">
        <v>44733</v>
      </c>
      <c r="X10264" t="s">
        <v>47314</v>
      </c>
    </row>
    <row r="10265" spans="1:24">
      <c r="A10265">
        <f>HYPERLINK("https://www.philgeps.gov.ph/GEPSNONPILOT/Tender/SplashBidNoticeAbstractUI.aspx?menuIndex=3&amp;refID=7186707&amp;Result=3","7186707")</f>
        <v>0</v>
      </c>
      <c r="B10265" t="s">
        <v>3094</v>
      </c>
      <c r="C10265" t="s">
        <v>13542</v>
      </c>
      <c r="D10265" t="s">
        <v>19017</v>
      </c>
      <c r="E10265" t="s">
        <v>27855</v>
      </c>
      <c r="F10265" t="s">
        <v>32606</v>
      </c>
      <c r="G10265" t="s">
        <v>32613</v>
      </c>
      <c r="H10265" t="s">
        <v>14201</v>
      </c>
      <c r="I10265" t="s">
        <v>7064</v>
      </c>
      <c r="J10265" t="s">
        <v>33757</v>
      </c>
      <c r="K10265" t="s">
        <v>42636</v>
      </c>
      <c r="M10265" t="s">
        <v>46300</v>
      </c>
      <c r="N10265" t="s">
        <v>47304</v>
      </c>
      <c r="O10265" t="s">
        <v>47305</v>
      </c>
      <c r="P10265">
        <v>0</v>
      </c>
      <c r="Q10265">
        <v>5</v>
      </c>
      <c r="R10265" t="s">
        <v>47313</v>
      </c>
      <c r="S10265" t="s">
        <v>47535</v>
      </c>
      <c r="T10265" t="s">
        <v>49198</v>
      </c>
      <c r="U10265" t="s">
        <v>58011</v>
      </c>
      <c r="W10265" t="s">
        <v>46300</v>
      </c>
      <c r="X10265" t="s">
        <v>47314</v>
      </c>
    </row>
    <row r="10266" spans="1:24">
      <c r="A10266">
        <f>HYPERLINK("https://www.philgeps.gov.ph/GEPSNONPILOT/Tender/SplashBidNoticeAbstractUI.aspx?menuIndex=3&amp;refID=7186684&amp;Result=3","7186684")</f>
        <v>0</v>
      </c>
      <c r="B10266" t="s">
        <v>3094</v>
      </c>
      <c r="C10266" t="s">
        <v>13543</v>
      </c>
      <c r="D10266" t="s">
        <v>19017</v>
      </c>
      <c r="E10266" t="s">
        <v>27856</v>
      </c>
      <c r="F10266" t="s">
        <v>32606</v>
      </c>
      <c r="G10266" t="s">
        <v>32613</v>
      </c>
      <c r="H10266" t="s">
        <v>14201</v>
      </c>
      <c r="I10266" t="s">
        <v>7064</v>
      </c>
      <c r="J10266" t="s">
        <v>32893</v>
      </c>
      <c r="K10266" t="s">
        <v>42636</v>
      </c>
      <c r="M10266" t="s">
        <v>46300</v>
      </c>
      <c r="N10266" t="s">
        <v>47304</v>
      </c>
      <c r="O10266" t="s">
        <v>47305</v>
      </c>
      <c r="Q10266">
        <v>5</v>
      </c>
      <c r="R10266" t="s">
        <v>47313</v>
      </c>
      <c r="S10266" t="s">
        <v>47593</v>
      </c>
      <c r="T10266" t="s">
        <v>49198</v>
      </c>
      <c r="U10266" t="s">
        <v>58012</v>
      </c>
      <c r="W10266" t="s">
        <v>46300</v>
      </c>
      <c r="X10266" t="s">
        <v>47314</v>
      </c>
    </row>
    <row r="10267" spans="1:24">
      <c r="A10267">
        <f>HYPERLINK("https://www.philgeps.gov.ph/GEPSNONPILOT/Tender/SplashBidNoticeAbstractUI.aspx?menuIndex=3&amp;refID=7186736&amp;Result=3","7186736")</f>
        <v>0</v>
      </c>
      <c r="B10267" t="s">
        <v>1682</v>
      </c>
      <c r="C10267" t="s">
        <v>13544</v>
      </c>
      <c r="D10267" t="s">
        <v>19054</v>
      </c>
      <c r="E10267" t="s">
        <v>27857</v>
      </c>
      <c r="F10267" t="s">
        <v>32606</v>
      </c>
      <c r="G10267" t="s">
        <v>32618</v>
      </c>
      <c r="H10267" t="s">
        <v>14201</v>
      </c>
      <c r="I10267" t="s">
        <v>9008</v>
      </c>
      <c r="J10267" t="s">
        <v>39143</v>
      </c>
      <c r="K10267" t="s">
        <v>42631</v>
      </c>
      <c r="M10267" t="s">
        <v>44711</v>
      </c>
      <c r="N10267" t="s">
        <v>47304</v>
      </c>
      <c r="O10267" t="s">
        <v>47305</v>
      </c>
      <c r="P10267">
        <v>0</v>
      </c>
      <c r="Q10267">
        <v>0</v>
      </c>
      <c r="R10267" t="s">
        <v>47313</v>
      </c>
      <c r="S10267" t="s">
        <v>47535</v>
      </c>
      <c r="T10267" t="s">
        <v>49253</v>
      </c>
      <c r="U10267" t="s">
        <v>58013</v>
      </c>
      <c r="V10267" t="s">
        <v>63077</v>
      </c>
      <c r="W10267" t="s">
        <v>44711</v>
      </c>
      <c r="X10267" t="s">
        <v>47314</v>
      </c>
    </row>
    <row r="10268" spans="1:24">
      <c r="A10268">
        <f>HYPERLINK("https://www.philgeps.gov.ph/GEPSNONPILOT/Tender/SplashBidNoticeAbstractUI.aspx?menuIndex=3&amp;refID=7186673&amp;Result=3","7186673")</f>
        <v>0</v>
      </c>
      <c r="B10268" t="s">
        <v>1704</v>
      </c>
      <c r="C10268" t="s">
        <v>13545</v>
      </c>
      <c r="D10268" t="s">
        <v>19010</v>
      </c>
      <c r="E10268" t="s">
        <v>27858</v>
      </c>
      <c r="F10268" t="s">
        <v>32606</v>
      </c>
      <c r="G10268" t="s">
        <v>32613</v>
      </c>
      <c r="H10268" t="s">
        <v>14201</v>
      </c>
      <c r="I10268" t="s">
        <v>32626</v>
      </c>
      <c r="J10268" t="s">
        <v>33075</v>
      </c>
      <c r="K10268" t="s">
        <v>42622</v>
      </c>
      <c r="L10268" t="s">
        <v>1704</v>
      </c>
      <c r="M10268" t="s">
        <v>44733</v>
      </c>
      <c r="N10268" t="s">
        <v>47304</v>
      </c>
      <c r="O10268" t="s">
        <v>47305</v>
      </c>
      <c r="P10268">
        <v>0</v>
      </c>
      <c r="Q10268">
        <v>1</v>
      </c>
      <c r="R10268" t="s">
        <v>47313</v>
      </c>
      <c r="S10268" t="s">
        <v>47535</v>
      </c>
      <c r="T10268" t="s">
        <v>48986</v>
      </c>
      <c r="U10268" t="s">
        <v>58010</v>
      </c>
      <c r="W10268" t="s">
        <v>44733</v>
      </c>
      <c r="X10268" t="s">
        <v>47314</v>
      </c>
    </row>
    <row r="10269" spans="1:24">
      <c r="A10269">
        <f>HYPERLINK("https://www.philgeps.gov.ph/GEPSNONPILOT/Tender/SplashBidNoticeAbstractUI.aspx?menuIndex=3&amp;refID=7186667&amp;Result=3","7186667")</f>
        <v>0</v>
      </c>
      <c r="B10269" t="s">
        <v>2838</v>
      </c>
      <c r="C10269" t="s">
        <v>13546</v>
      </c>
      <c r="D10269" t="s">
        <v>18994</v>
      </c>
      <c r="E10269" t="s">
        <v>27859</v>
      </c>
      <c r="F10269" t="s">
        <v>32606</v>
      </c>
      <c r="G10269" t="s">
        <v>32618</v>
      </c>
      <c r="H10269" t="s">
        <v>32625</v>
      </c>
      <c r="I10269" t="s">
        <v>32625</v>
      </c>
      <c r="J10269" t="s">
        <v>32830</v>
      </c>
      <c r="K10269" t="s">
        <v>42714</v>
      </c>
      <c r="M10269" t="s">
        <v>46004</v>
      </c>
      <c r="N10269" t="s">
        <v>47304</v>
      </c>
      <c r="O10269" t="s">
        <v>47305</v>
      </c>
      <c r="Q10269">
        <v>4</v>
      </c>
      <c r="R10269" t="s">
        <v>47313</v>
      </c>
      <c r="S10269" t="s">
        <v>47594</v>
      </c>
      <c r="T10269" t="s">
        <v>49269</v>
      </c>
      <c r="U10269" t="s">
        <v>58014</v>
      </c>
      <c r="V10269" t="s">
        <v>63724</v>
      </c>
      <c r="W10269" t="s">
        <v>46004</v>
      </c>
      <c r="X10269" t="s">
        <v>47314</v>
      </c>
    </row>
    <row r="10270" spans="1:24">
      <c r="A10270">
        <f>HYPERLINK("https://www.philgeps.gov.ph/GEPSNONPILOT/Tender/SplashBidNoticeAbstractUI.aspx?menuIndex=3&amp;refID=7186607&amp;Result=3","7186607")</f>
        <v>0</v>
      </c>
      <c r="B10270" t="s">
        <v>437</v>
      </c>
      <c r="C10270" t="s">
        <v>13547</v>
      </c>
      <c r="D10270" t="s">
        <v>19003</v>
      </c>
      <c r="E10270" t="s">
        <v>27860</v>
      </c>
      <c r="F10270" t="s">
        <v>32606</v>
      </c>
      <c r="G10270" t="s">
        <v>32613</v>
      </c>
      <c r="H10270" t="s">
        <v>14201</v>
      </c>
      <c r="I10270" t="s">
        <v>6931</v>
      </c>
      <c r="J10270" t="s">
        <v>39144</v>
      </c>
      <c r="K10270" t="s">
        <v>42646</v>
      </c>
      <c r="M10270" t="s">
        <v>43343</v>
      </c>
      <c r="N10270" t="s">
        <v>47304</v>
      </c>
      <c r="O10270" t="s">
        <v>47305</v>
      </c>
      <c r="P10270">
        <v>0</v>
      </c>
      <c r="Q10270">
        <v>1</v>
      </c>
      <c r="R10270" t="s">
        <v>47313</v>
      </c>
      <c r="S10270" t="s">
        <v>47535</v>
      </c>
      <c r="T10270" t="s">
        <v>49129</v>
      </c>
      <c r="U10270" t="s">
        <v>58015</v>
      </c>
      <c r="V10270" t="s">
        <v>63725</v>
      </c>
      <c r="W10270" t="s">
        <v>43343</v>
      </c>
      <c r="X10270" t="s">
        <v>47314</v>
      </c>
    </row>
    <row r="10271" spans="1:24">
      <c r="A10271">
        <f>HYPERLINK("https://www.philgeps.gov.ph/GEPSNONPILOT/Tender/SplashBidNoticeAbstractUI.aspx?menuIndex=3&amp;refID=7186693&amp;Result=3","7186693")</f>
        <v>0</v>
      </c>
      <c r="B10271" t="s">
        <v>3095</v>
      </c>
      <c r="C10271" t="s">
        <v>13548</v>
      </c>
      <c r="D10271" t="s">
        <v>18992</v>
      </c>
      <c r="E10271" t="s">
        <v>27861</v>
      </c>
      <c r="F10271" t="s">
        <v>32606</v>
      </c>
      <c r="G10271" t="s">
        <v>32613</v>
      </c>
      <c r="H10271" t="s">
        <v>32623</v>
      </c>
      <c r="I10271" t="s">
        <v>17648</v>
      </c>
      <c r="J10271" t="s">
        <v>39145</v>
      </c>
      <c r="K10271" t="s">
        <v>42636</v>
      </c>
      <c r="M10271" t="s">
        <v>46301</v>
      </c>
      <c r="N10271" t="s">
        <v>47304</v>
      </c>
      <c r="O10271" t="s">
        <v>47305</v>
      </c>
      <c r="P10271">
        <v>0</v>
      </c>
      <c r="Q10271">
        <v>0</v>
      </c>
      <c r="R10271" t="s">
        <v>47313</v>
      </c>
      <c r="S10271" t="s">
        <v>47535</v>
      </c>
      <c r="T10271" t="s">
        <v>49221</v>
      </c>
      <c r="U10271" t="s">
        <v>58016</v>
      </c>
      <c r="V10271" t="s">
        <v>63726</v>
      </c>
      <c r="W10271" t="s">
        <v>46301</v>
      </c>
      <c r="X10271" t="s">
        <v>47314</v>
      </c>
    </row>
    <row r="10272" spans="1:24">
      <c r="A10272">
        <f>HYPERLINK("https://www.philgeps.gov.ph/GEPSNONPILOT/Tender/SplashBidNoticeAbstractUI.aspx?menuIndex=3&amp;refID=7186702&amp;Result=3","7186702")</f>
        <v>0</v>
      </c>
      <c r="B10272" t="s">
        <v>3089</v>
      </c>
      <c r="C10272" t="s">
        <v>13549</v>
      </c>
      <c r="D10272" t="s">
        <v>19050</v>
      </c>
      <c r="E10272" t="s">
        <v>27862</v>
      </c>
      <c r="F10272" t="s">
        <v>32606</v>
      </c>
      <c r="G10272" t="s">
        <v>32613</v>
      </c>
      <c r="H10272" t="s">
        <v>32623</v>
      </c>
      <c r="I10272" t="s">
        <v>17648</v>
      </c>
      <c r="J10272" t="s">
        <v>39146</v>
      </c>
      <c r="K10272" t="s">
        <v>42643</v>
      </c>
      <c r="L10272" t="s">
        <v>3089</v>
      </c>
      <c r="M10272" t="s">
        <v>46293</v>
      </c>
      <c r="N10272" t="s">
        <v>47304</v>
      </c>
      <c r="O10272" t="s">
        <v>47305</v>
      </c>
      <c r="P10272">
        <v>0</v>
      </c>
      <c r="Q10272">
        <v>0</v>
      </c>
      <c r="R10272" t="s">
        <v>47313</v>
      </c>
      <c r="S10272" t="s">
        <v>47535</v>
      </c>
      <c r="T10272" t="s">
        <v>49037</v>
      </c>
      <c r="U10272" t="s">
        <v>58017</v>
      </c>
      <c r="W10272" t="s">
        <v>46293</v>
      </c>
      <c r="X10272" t="s">
        <v>47314</v>
      </c>
    </row>
    <row r="10273" spans="1:24">
      <c r="A10273">
        <f>HYPERLINK("https://www.philgeps.gov.ph/GEPSNONPILOT/Tender/SplashBidNoticeAbstractUI.aspx?menuIndex=3&amp;refID=7186592&amp;Result=3","7186592")</f>
        <v>0</v>
      </c>
      <c r="B10273" t="s">
        <v>1696</v>
      </c>
      <c r="C10273" t="s">
        <v>13550</v>
      </c>
      <c r="D10273" t="s">
        <v>18993</v>
      </c>
      <c r="E10273" t="s">
        <v>27863</v>
      </c>
      <c r="F10273" t="s">
        <v>32606</v>
      </c>
      <c r="G10273" t="s">
        <v>32613</v>
      </c>
      <c r="H10273" t="s">
        <v>14201</v>
      </c>
      <c r="I10273" t="s">
        <v>6298</v>
      </c>
      <c r="J10273" t="s">
        <v>39147</v>
      </c>
      <c r="K10273" t="s">
        <v>42623</v>
      </c>
      <c r="M10273" t="s">
        <v>44734</v>
      </c>
      <c r="N10273" t="s">
        <v>47304</v>
      </c>
      <c r="O10273" t="s">
        <v>47305</v>
      </c>
      <c r="P10273">
        <v>0</v>
      </c>
      <c r="Q10273">
        <v>0</v>
      </c>
      <c r="R10273" t="s">
        <v>47313</v>
      </c>
      <c r="S10273" t="s">
        <v>47535</v>
      </c>
      <c r="T10273" t="s">
        <v>49053</v>
      </c>
      <c r="U10273" t="s">
        <v>53537</v>
      </c>
      <c r="W10273" t="s">
        <v>44734</v>
      </c>
      <c r="X10273" t="s">
        <v>47314</v>
      </c>
    </row>
    <row r="10274" spans="1:24">
      <c r="A10274">
        <f>HYPERLINK("https://www.philgeps.gov.ph/GEPSNONPILOT/Tender/SplashBidNoticeAbstractUI.aspx?menuIndex=3&amp;refID=7186586&amp;Result=3","7186586")</f>
        <v>0</v>
      </c>
      <c r="B10274" t="s">
        <v>3096</v>
      </c>
      <c r="C10274" t="s">
        <v>13551</v>
      </c>
      <c r="D10274" t="s">
        <v>18993</v>
      </c>
      <c r="E10274" t="s">
        <v>19360</v>
      </c>
      <c r="F10274" t="s">
        <v>32606</v>
      </c>
      <c r="G10274" t="s">
        <v>32613</v>
      </c>
      <c r="H10274" t="s">
        <v>14201</v>
      </c>
      <c r="I10274" t="s">
        <v>6298</v>
      </c>
      <c r="J10274" t="s">
        <v>32781</v>
      </c>
      <c r="K10274" t="s">
        <v>42631</v>
      </c>
      <c r="M10274" t="s">
        <v>46302</v>
      </c>
      <c r="N10274" t="s">
        <v>47304</v>
      </c>
      <c r="O10274" t="s">
        <v>47305</v>
      </c>
      <c r="P10274">
        <v>0</v>
      </c>
      <c r="Q10274">
        <v>3</v>
      </c>
      <c r="R10274" t="s">
        <v>47313</v>
      </c>
      <c r="S10274" t="s">
        <v>47535</v>
      </c>
      <c r="T10274" t="s">
        <v>49268</v>
      </c>
      <c r="U10274" t="s">
        <v>58018</v>
      </c>
      <c r="W10274" t="s">
        <v>46302</v>
      </c>
      <c r="X10274" t="s">
        <v>47314</v>
      </c>
    </row>
    <row r="10275" spans="1:24">
      <c r="A10275">
        <f>HYPERLINK("https://www.philgeps.gov.ph/GEPSNONPILOT/Tender/SplashBidNoticeAbstractUI.aspx?menuIndex=3&amp;refID=7186743&amp;Result=3","7186743")</f>
        <v>0</v>
      </c>
      <c r="B10275" t="s">
        <v>3097</v>
      </c>
      <c r="C10275" t="s">
        <v>13552</v>
      </c>
      <c r="D10275" t="s">
        <v>19003</v>
      </c>
      <c r="E10275" t="s">
        <v>27864</v>
      </c>
      <c r="F10275" t="s">
        <v>32606</v>
      </c>
      <c r="G10275" t="s">
        <v>32614</v>
      </c>
      <c r="H10275" t="s">
        <v>14201</v>
      </c>
      <c r="I10275" t="s">
        <v>4120</v>
      </c>
      <c r="J10275" t="s">
        <v>39148</v>
      </c>
      <c r="K10275" t="s">
        <v>42625</v>
      </c>
      <c r="M10275" t="s">
        <v>46303</v>
      </c>
      <c r="N10275" t="s">
        <v>47304</v>
      </c>
      <c r="O10275" t="s">
        <v>47305</v>
      </c>
      <c r="P10275">
        <v>0</v>
      </c>
      <c r="Q10275">
        <v>0</v>
      </c>
      <c r="R10275" t="s">
        <v>47313</v>
      </c>
      <c r="S10275" t="s">
        <v>47535</v>
      </c>
      <c r="T10275" t="s">
        <v>48979</v>
      </c>
      <c r="U10275" t="s">
        <v>58019</v>
      </c>
      <c r="W10275" t="s">
        <v>46303</v>
      </c>
      <c r="X10275" t="s">
        <v>47314</v>
      </c>
    </row>
    <row r="10276" spans="1:24">
      <c r="A10276">
        <f>HYPERLINK("https://www.philgeps.gov.ph/GEPSNONPILOT/Tender/SplashBidNoticeAbstractUI.aspx?menuIndex=3&amp;refID=7186593&amp;Result=3","7186593")</f>
        <v>0</v>
      </c>
      <c r="B10276" t="s">
        <v>1696</v>
      </c>
      <c r="C10276" t="s">
        <v>13553</v>
      </c>
      <c r="D10276" t="s">
        <v>18993</v>
      </c>
      <c r="E10276" t="s">
        <v>27865</v>
      </c>
      <c r="F10276" t="s">
        <v>32606</v>
      </c>
      <c r="G10276" t="s">
        <v>32613</v>
      </c>
      <c r="H10276" t="s">
        <v>14201</v>
      </c>
      <c r="I10276" t="s">
        <v>4369</v>
      </c>
      <c r="J10276" t="s">
        <v>39149</v>
      </c>
      <c r="K10276" t="s">
        <v>42623</v>
      </c>
      <c r="M10276" t="s">
        <v>44734</v>
      </c>
      <c r="N10276" t="s">
        <v>47304</v>
      </c>
      <c r="O10276" t="s">
        <v>47305</v>
      </c>
      <c r="P10276">
        <v>0</v>
      </c>
      <c r="Q10276">
        <v>4</v>
      </c>
      <c r="R10276" t="s">
        <v>47313</v>
      </c>
      <c r="S10276" t="s">
        <v>47535</v>
      </c>
      <c r="T10276" t="s">
        <v>49053</v>
      </c>
      <c r="U10276" t="s">
        <v>53525</v>
      </c>
      <c r="W10276" t="s">
        <v>44734</v>
      </c>
      <c r="X10276" t="s">
        <v>47314</v>
      </c>
    </row>
    <row r="10277" spans="1:24">
      <c r="A10277">
        <f>HYPERLINK("https://www.philgeps.gov.ph/GEPSNONPILOT/Tender/SplashBidNoticeAbstractUI.aspx?menuIndex=3&amp;refID=7186766&amp;Result=3","7186766")</f>
        <v>0</v>
      </c>
      <c r="B10277" t="s">
        <v>2291</v>
      </c>
      <c r="C10277" t="s">
        <v>13554</v>
      </c>
      <c r="D10277" t="s">
        <v>19028</v>
      </c>
      <c r="E10277" t="s">
        <v>27866</v>
      </c>
      <c r="F10277" t="s">
        <v>32606</v>
      </c>
      <c r="G10277" t="s">
        <v>32613</v>
      </c>
      <c r="H10277" t="s">
        <v>14201</v>
      </c>
      <c r="I10277" t="s">
        <v>32691</v>
      </c>
      <c r="J10277" t="s">
        <v>39150</v>
      </c>
      <c r="K10277" t="s">
        <v>42624</v>
      </c>
      <c r="M10277" t="s">
        <v>46304</v>
      </c>
      <c r="N10277" t="s">
        <v>47304</v>
      </c>
      <c r="O10277" t="s">
        <v>47305</v>
      </c>
      <c r="P10277">
        <v>0</v>
      </c>
      <c r="Q10277">
        <v>3</v>
      </c>
      <c r="R10277" t="s">
        <v>47313</v>
      </c>
      <c r="S10277" t="s">
        <v>47535</v>
      </c>
      <c r="T10277" t="s">
        <v>49170</v>
      </c>
      <c r="U10277" t="s">
        <v>58020</v>
      </c>
      <c r="V10277" t="s">
        <v>63727</v>
      </c>
      <c r="W10277" t="s">
        <v>46304</v>
      </c>
      <c r="X10277" t="s">
        <v>47314</v>
      </c>
    </row>
    <row r="10278" spans="1:24">
      <c r="A10278">
        <f>HYPERLINK("https://www.philgeps.gov.ph/GEPSNONPILOT/Tender/SplashBidNoticeAbstractUI.aspx?menuIndex=3&amp;refID=7186613&amp;Result=3","7186613")</f>
        <v>0</v>
      </c>
      <c r="B10278" t="s">
        <v>437</v>
      </c>
      <c r="C10278" t="s">
        <v>13555</v>
      </c>
      <c r="D10278" t="s">
        <v>19003</v>
      </c>
      <c r="E10278" t="s">
        <v>27867</v>
      </c>
      <c r="F10278" t="s">
        <v>32606</v>
      </c>
      <c r="G10278" t="s">
        <v>32613</v>
      </c>
      <c r="H10278" t="s">
        <v>14201</v>
      </c>
      <c r="I10278" t="s">
        <v>6931</v>
      </c>
      <c r="J10278" t="s">
        <v>39151</v>
      </c>
      <c r="K10278" t="s">
        <v>42646</v>
      </c>
      <c r="M10278" t="s">
        <v>43343</v>
      </c>
      <c r="N10278" t="s">
        <v>47304</v>
      </c>
      <c r="O10278" t="s">
        <v>47305</v>
      </c>
      <c r="P10278">
        <v>0</v>
      </c>
      <c r="Q10278">
        <v>1</v>
      </c>
      <c r="R10278" t="s">
        <v>47313</v>
      </c>
      <c r="S10278" t="s">
        <v>47535</v>
      </c>
      <c r="T10278" t="s">
        <v>49129</v>
      </c>
      <c r="U10278" t="s">
        <v>58021</v>
      </c>
      <c r="V10278" t="s">
        <v>63263</v>
      </c>
      <c r="W10278" t="s">
        <v>43343</v>
      </c>
      <c r="X10278" t="s">
        <v>47314</v>
      </c>
    </row>
    <row r="10279" spans="1:24">
      <c r="A10279">
        <f>HYPERLINK("https://www.philgeps.gov.ph/GEPSNONPILOT/Tender/SplashBidNoticeAbstractUI.aspx?menuIndex=3&amp;refID=7186763&amp;Result=3","7186763")</f>
        <v>0</v>
      </c>
      <c r="B10279" t="s">
        <v>569</v>
      </c>
      <c r="C10279" t="s">
        <v>13556</v>
      </c>
      <c r="D10279" t="s">
        <v>18993</v>
      </c>
      <c r="E10279" t="s">
        <v>27868</v>
      </c>
      <c r="F10279" t="s">
        <v>32606</v>
      </c>
      <c r="G10279" t="s">
        <v>32618</v>
      </c>
      <c r="H10279" t="s">
        <v>32624</v>
      </c>
      <c r="I10279" t="s">
        <v>32638</v>
      </c>
      <c r="J10279" t="s">
        <v>33036</v>
      </c>
      <c r="K10279" t="s">
        <v>42636</v>
      </c>
      <c r="M10279" t="s">
        <v>46299</v>
      </c>
      <c r="N10279" t="s">
        <v>47304</v>
      </c>
      <c r="O10279" t="s">
        <v>47305</v>
      </c>
      <c r="P10279">
        <v>0</v>
      </c>
      <c r="Q10279">
        <v>7</v>
      </c>
      <c r="R10279" t="s">
        <v>47313</v>
      </c>
      <c r="S10279" t="s">
        <v>47535</v>
      </c>
      <c r="T10279" t="s">
        <v>49052</v>
      </c>
      <c r="U10279" t="s">
        <v>58022</v>
      </c>
      <c r="V10279" t="s">
        <v>63227</v>
      </c>
      <c r="W10279" t="s">
        <v>64492</v>
      </c>
      <c r="X10279" t="s">
        <v>47314</v>
      </c>
    </row>
    <row r="10280" spans="1:24">
      <c r="A10280">
        <f>HYPERLINK("https://www.philgeps.gov.ph/GEPSNONPILOT/Tender/SplashBidNoticeAbstractUI.aspx?menuIndex=3&amp;refID=7186590&amp;Result=3","7186590")</f>
        <v>0</v>
      </c>
      <c r="B10280" t="s">
        <v>3098</v>
      </c>
      <c r="C10280" t="s">
        <v>13557</v>
      </c>
      <c r="D10280" t="s">
        <v>18993</v>
      </c>
      <c r="E10280" t="s">
        <v>19809</v>
      </c>
      <c r="F10280" t="s">
        <v>32606</v>
      </c>
      <c r="G10280" t="s">
        <v>32613</v>
      </c>
      <c r="H10280" t="s">
        <v>32624</v>
      </c>
      <c r="I10280" t="s">
        <v>4369</v>
      </c>
      <c r="J10280" t="s">
        <v>33113</v>
      </c>
      <c r="K10280" t="s">
        <v>42623</v>
      </c>
      <c r="M10280" t="s">
        <v>46305</v>
      </c>
      <c r="N10280" t="s">
        <v>47304</v>
      </c>
      <c r="O10280" t="s">
        <v>47305</v>
      </c>
      <c r="P10280">
        <v>0</v>
      </c>
      <c r="Q10280">
        <v>10</v>
      </c>
      <c r="R10280" t="s">
        <v>47313</v>
      </c>
      <c r="S10280" t="s">
        <v>47535</v>
      </c>
      <c r="T10280" t="s">
        <v>49315</v>
      </c>
      <c r="U10280" t="s">
        <v>58023</v>
      </c>
      <c r="W10280" t="s">
        <v>46305</v>
      </c>
      <c r="X10280" t="s">
        <v>47314</v>
      </c>
    </row>
    <row r="10281" spans="1:24">
      <c r="A10281">
        <f>HYPERLINK("https://www.philgeps.gov.ph/GEPSNONPILOT/Tender/SplashBidNoticeAbstractUI.aspx?menuIndex=3&amp;refID=7186573&amp;Result=3","7186573")</f>
        <v>0</v>
      </c>
      <c r="B10281" t="s">
        <v>3098</v>
      </c>
      <c r="C10281" t="s">
        <v>13558</v>
      </c>
      <c r="D10281" t="s">
        <v>18993</v>
      </c>
      <c r="E10281" t="s">
        <v>19315</v>
      </c>
      <c r="F10281" t="s">
        <v>32606</v>
      </c>
      <c r="G10281" t="s">
        <v>32613</v>
      </c>
      <c r="H10281" t="s">
        <v>32624</v>
      </c>
      <c r="I10281" t="s">
        <v>4369</v>
      </c>
      <c r="J10281" t="s">
        <v>33449</v>
      </c>
      <c r="K10281" t="s">
        <v>42623</v>
      </c>
      <c r="M10281" t="s">
        <v>46305</v>
      </c>
      <c r="N10281" t="s">
        <v>47304</v>
      </c>
      <c r="O10281" t="s">
        <v>47305</v>
      </c>
      <c r="P10281">
        <v>0</v>
      </c>
      <c r="Q10281">
        <v>7</v>
      </c>
      <c r="R10281" t="s">
        <v>47313</v>
      </c>
      <c r="S10281" t="s">
        <v>47535</v>
      </c>
      <c r="T10281" t="s">
        <v>49315</v>
      </c>
      <c r="U10281" t="s">
        <v>58023</v>
      </c>
      <c r="W10281" t="s">
        <v>46305</v>
      </c>
      <c r="X10281" t="s">
        <v>47314</v>
      </c>
    </row>
    <row r="10282" spans="1:24">
      <c r="A10282">
        <f>HYPERLINK("https://www.philgeps.gov.ph/GEPSNONPILOT/Tender/SplashBidNoticeAbstractUI.aspx?menuIndex=3&amp;refID=7186600&amp;Result=3","7186600")</f>
        <v>0</v>
      </c>
      <c r="B10282" t="s">
        <v>1696</v>
      </c>
      <c r="C10282" t="s">
        <v>13559</v>
      </c>
      <c r="D10282" t="s">
        <v>18993</v>
      </c>
      <c r="E10282" t="s">
        <v>27869</v>
      </c>
      <c r="F10282" t="s">
        <v>32606</v>
      </c>
      <c r="G10282" t="s">
        <v>32613</v>
      </c>
      <c r="H10282" t="s">
        <v>14201</v>
      </c>
      <c r="I10282" t="s">
        <v>6478</v>
      </c>
      <c r="J10282" t="s">
        <v>33449</v>
      </c>
      <c r="K10282" t="s">
        <v>42623</v>
      </c>
      <c r="M10282" t="s">
        <v>44734</v>
      </c>
      <c r="N10282" t="s">
        <v>47304</v>
      </c>
      <c r="O10282" t="s">
        <v>47305</v>
      </c>
      <c r="P10282">
        <v>0</v>
      </c>
      <c r="Q10282">
        <v>0</v>
      </c>
      <c r="R10282" t="s">
        <v>47313</v>
      </c>
      <c r="S10282" t="s">
        <v>47535</v>
      </c>
      <c r="T10282" t="s">
        <v>49053</v>
      </c>
      <c r="U10282" t="s">
        <v>53745</v>
      </c>
      <c r="W10282" t="s">
        <v>44734</v>
      </c>
      <c r="X10282" t="s">
        <v>47314</v>
      </c>
    </row>
    <row r="10283" spans="1:24">
      <c r="A10283">
        <f>HYPERLINK("https://www.philgeps.gov.ph/GEPSNONPILOT/Tender/SplashBidNoticeAbstractUI.aspx?menuIndex=3&amp;refID=7186753&amp;Result=3","7186753")</f>
        <v>0</v>
      </c>
      <c r="B10283" t="s">
        <v>1682</v>
      </c>
      <c r="C10283" t="s">
        <v>13560</v>
      </c>
      <c r="D10283" t="s">
        <v>19054</v>
      </c>
      <c r="E10283" t="s">
        <v>27870</v>
      </c>
      <c r="F10283" t="s">
        <v>32606</v>
      </c>
      <c r="G10283" t="s">
        <v>32613</v>
      </c>
      <c r="H10283" t="s">
        <v>14201</v>
      </c>
      <c r="I10283" t="s">
        <v>9008</v>
      </c>
      <c r="J10283" t="s">
        <v>39152</v>
      </c>
      <c r="K10283" t="s">
        <v>42631</v>
      </c>
      <c r="M10283" t="s">
        <v>44711</v>
      </c>
      <c r="N10283" t="s">
        <v>47304</v>
      </c>
      <c r="O10283" t="s">
        <v>47305</v>
      </c>
      <c r="P10283">
        <v>0</v>
      </c>
      <c r="Q10283">
        <v>0</v>
      </c>
      <c r="R10283" t="s">
        <v>47313</v>
      </c>
      <c r="S10283" t="s">
        <v>47535</v>
      </c>
      <c r="T10283" t="s">
        <v>49027</v>
      </c>
      <c r="U10283" t="s">
        <v>58024</v>
      </c>
      <c r="V10283" t="s">
        <v>63077</v>
      </c>
      <c r="W10283" t="s">
        <v>44711</v>
      </c>
      <c r="X10283" t="s">
        <v>47314</v>
      </c>
    </row>
    <row r="10284" spans="1:24">
      <c r="A10284">
        <f>HYPERLINK("https://www.philgeps.gov.ph/GEPSNONPILOT/Tender/SplashBidNoticeAbstractUI.aspx?menuIndex=3&amp;refID=7186670&amp;Result=3","7186670")</f>
        <v>0</v>
      </c>
      <c r="B10284" t="s">
        <v>3095</v>
      </c>
      <c r="C10284" t="s">
        <v>13561</v>
      </c>
      <c r="D10284" t="s">
        <v>18992</v>
      </c>
      <c r="E10284" t="s">
        <v>27871</v>
      </c>
      <c r="F10284" t="s">
        <v>32606</v>
      </c>
      <c r="G10284" t="s">
        <v>32613</v>
      </c>
      <c r="H10284" t="s">
        <v>32623</v>
      </c>
      <c r="I10284" t="s">
        <v>17648</v>
      </c>
      <c r="J10284" t="s">
        <v>39153</v>
      </c>
      <c r="K10284" t="s">
        <v>42631</v>
      </c>
      <c r="M10284" t="s">
        <v>46301</v>
      </c>
      <c r="N10284" t="s">
        <v>47304</v>
      </c>
      <c r="O10284" t="s">
        <v>47305</v>
      </c>
      <c r="P10284">
        <v>0</v>
      </c>
      <c r="Q10284">
        <v>0</v>
      </c>
      <c r="R10284" t="s">
        <v>47313</v>
      </c>
      <c r="S10284" t="s">
        <v>47535</v>
      </c>
      <c r="T10284" t="s">
        <v>49221</v>
      </c>
      <c r="U10284" t="s">
        <v>58025</v>
      </c>
      <c r="V10284" t="s">
        <v>63726</v>
      </c>
      <c r="W10284" t="s">
        <v>46301</v>
      </c>
      <c r="X10284" t="s">
        <v>47314</v>
      </c>
    </row>
    <row r="10285" spans="1:24">
      <c r="A10285">
        <f>HYPERLINK("https://www.philgeps.gov.ph/GEPSNONPILOT/Tender/SplashBidNoticeAbstractUI.aspx?menuIndex=3&amp;refID=7186772&amp;Result=3","7186772")</f>
        <v>0</v>
      </c>
      <c r="B10285" t="s">
        <v>1172</v>
      </c>
      <c r="C10285" t="s">
        <v>13562</v>
      </c>
      <c r="D10285" t="s">
        <v>19060</v>
      </c>
      <c r="E10285" t="s">
        <v>27872</v>
      </c>
      <c r="F10285" t="s">
        <v>32606</v>
      </c>
      <c r="G10285" t="s">
        <v>32614</v>
      </c>
      <c r="H10285" t="s">
        <v>14201</v>
      </c>
      <c r="I10285" t="s">
        <v>6298</v>
      </c>
      <c r="J10285" t="s">
        <v>39154</v>
      </c>
      <c r="K10285" t="s">
        <v>42631</v>
      </c>
      <c r="M10285" t="s">
        <v>44135</v>
      </c>
      <c r="N10285" t="s">
        <v>47304</v>
      </c>
      <c r="O10285" t="s">
        <v>47305</v>
      </c>
      <c r="P10285">
        <v>0</v>
      </c>
      <c r="Q10285">
        <v>1</v>
      </c>
      <c r="R10285" t="s">
        <v>47313</v>
      </c>
      <c r="S10285" t="s">
        <v>47535</v>
      </c>
      <c r="T10285" t="s">
        <v>49071</v>
      </c>
      <c r="U10285" t="s">
        <v>51932</v>
      </c>
      <c r="W10285" t="s">
        <v>44135</v>
      </c>
      <c r="X10285" t="s">
        <v>47314</v>
      </c>
    </row>
    <row r="10286" spans="1:24">
      <c r="A10286">
        <f>HYPERLINK("https://www.philgeps.gov.ph/GEPSNONPILOT/Tender/SplashBidNoticeAbstractUI.aspx?menuIndex=3&amp;refID=7186752&amp;Result=3","7186752")</f>
        <v>0</v>
      </c>
      <c r="B10286" t="s">
        <v>3069</v>
      </c>
      <c r="C10286" t="s">
        <v>13563</v>
      </c>
      <c r="D10286" t="s">
        <v>19035</v>
      </c>
      <c r="E10286" t="s">
        <v>27873</v>
      </c>
      <c r="F10286" t="s">
        <v>32606</v>
      </c>
      <c r="G10286" t="s">
        <v>32613</v>
      </c>
      <c r="H10286" t="s">
        <v>32623</v>
      </c>
      <c r="I10286" t="s">
        <v>17648</v>
      </c>
      <c r="J10286" t="s">
        <v>39155</v>
      </c>
      <c r="K10286" t="s">
        <v>42646</v>
      </c>
      <c r="M10286" t="s">
        <v>46268</v>
      </c>
      <c r="N10286" t="s">
        <v>47304</v>
      </c>
      <c r="O10286" t="s">
        <v>47305</v>
      </c>
      <c r="P10286">
        <v>0</v>
      </c>
      <c r="Q10286">
        <v>2</v>
      </c>
      <c r="R10286" t="s">
        <v>47313</v>
      </c>
      <c r="S10286" t="s">
        <v>47535</v>
      </c>
      <c r="T10286" t="s">
        <v>49075</v>
      </c>
      <c r="U10286" t="s">
        <v>58026</v>
      </c>
      <c r="W10286" t="s">
        <v>46268</v>
      </c>
      <c r="X10286" t="s">
        <v>47314</v>
      </c>
    </row>
    <row r="10287" spans="1:24">
      <c r="A10287">
        <f>HYPERLINK("https://www.philgeps.gov.ph/GEPSNONPILOT/Tender/SplashBidNoticeAbstractUI.aspx?menuIndex=3&amp;refID=7186760&amp;Result=3","7186760")</f>
        <v>0</v>
      </c>
      <c r="B10287" t="s">
        <v>3099</v>
      </c>
      <c r="C10287" t="s">
        <v>13564</v>
      </c>
      <c r="D10287" t="s">
        <v>18988</v>
      </c>
      <c r="E10287" t="s">
        <v>19415</v>
      </c>
      <c r="F10287" t="s">
        <v>32606</v>
      </c>
      <c r="G10287" t="s">
        <v>32614</v>
      </c>
      <c r="H10287" t="s">
        <v>14201</v>
      </c>
      <c r="I10287" t="s">
        <v>32704</v>
      </c>
      <c r="J10287" t="s">
        <v>36765</v>
      </c>
      <c r="K10287" t="s">
        <v>42625</v>
      </c>
      <c r="M10287" t="s">
        <v>46306</v>
      </c>
      <c r="N10287" t="s">
        <v>47304</v>
      </c>
      <c r="O10287" t="s">
        <v>47305</v>
      </c>
      <c r="P10287">
        <v>0</v>
      </c>
      <c r="Q10287">
        <v>0</v>
      </c>
      <c r="R10287" t="s">
        <v>47313</v>
      </c>
      <c r="S10287" t="s">
        <v>47535</v>
      </c>
      <c r="T10287" t="s">
        <v>49169</v>
      </c>
      <c r="U10287" t="s">
        <v>58027</v>
      </c>
      <c r="W10287" t="s">
        <v>46306</v>
      </c>
      <c r="X10287" t="s">
        <v>47314</v>
      </c>
    </row>
    <row r="10288" spans="1:24">
      <c r="A10288">
        <f>HYPERLINK("https://www.philgeps.gov.ph/GEPSNONPILOT/Tender/SplashBidNoticeAbstractUI.aspx?menuIndex=3&amp;refID=7186769&amp;Result=3","7186769")</f>
        <v>0</v>
      </c>
      <c r="B10288" t="s">
        <v>3100</v>
      </c>
      <c r="C10288" t="s">
        <v>13565</v>
      </c>
      <c r="D10288" t="s">
        <v>18993</v>
      </c>
      <c r="E10288" t="s">
        <v>27874</v>
      </c>
      <c r="F10288" t="s">
        <v>32606</v>
      </c>
      <c r="G10288" t="s">
        <v>32613</v>
      </c>
      <c r="H10288" t="s">
        <v>32624</v>
      </c>
      <c r="I10288" t="s">
        <v>6298</v>
      </c>
      <c r="J10288" t="s">
        <v>33113</v>
      </c>
      <c r="K10288" t="s">
        <v>42630</v>
      </c>
      <c r="M10288" t="s">
        <v>46307</v>
      </c>
      <c r="N10288" t="s">
        <v>47304</v>
      </c>
      <c r="O10288" t="s">
        <v>47305</v>
      </c>
      <c r="P10288">
        <v>0</v>
      </c>
      <c r="Q10288">
        <v>3</v>
      </c>
      <c r="R10288" t="s">
        <v>47313</v>
      </c>
      <c r="S10288" t="s">
        <v>47535</v>
      </c>
      <c r="T10288" t="s">
        <v>49268</v>
      </c>
      <c r="U10288" t="s">
        <v>58028</v>
      </c>
      <c r="W10288" t="s">
        <v>46307</v>
      </c>
      <c r="X10288" t="s">
        <v>47314</v>
      </c>
    </row>
    <row r="10289" spans="1:24">
      <c r="A10289">
        <f>HYPERLINK("https://www.philgeps.gov.ph/GEPSNONPILOT/Tender/SplashBidNoticeAbstractUI.aspx?menuIndex=3&amp;refID=7186764&amp;Result=3","7186764")</f>
        <v>0</v>
      </c>
      <c r="B10289" t="s">
        <v>1172</v>
      </c>
      <c r="C10289" t="s">
        <v>13566</v>
      </c>
      <c r="D10289" t="s">
        <v>19060</v>
      </c>
      <c r="E10289" t="s">
        <v>27875</v>
      </c>
      <c r="F10289" t="s">
        <v>32606</v>
      </c>
      <c r="G10289" t="s">
        <v>32614</v>
      </c>
      <c r="H10289" t="s">
        <v>14201</v>
      </c>
      <c r="I10289" t="s">
        <v>32650</v>
      </c>
      <c r="J10289" t="s">
        <v>39156</v>
      </c>
      <c r="K10289" t="s">
        <v>42631</v>
      </c>
      <c r="M10289" t="s">
        <v>44135</v>
      </c>
      <c r="N10289" t="s">
        <v>47304</v>
      </c>
      <c r="O10289" t="s">
        <v>47305</v>
      </c>
      <c r="P10289">
        <v>0</v>
      </c>
      <c r="Q10289">
        <v>1</v>
      </c>
      <c r="R10289" t="s">
        <v>47313</v>
      </c>
      <c r="S10289" t="s">
        <v>47535</v>
      </c>
      <c r="T10289" t="s">
        <v>49071</v>
      </c>
      <c r="U10289" t="s">
        <v>51932</v>
      </c>
      <c r="W10289" t="s">
        <v>44135</v>
      </c>
      <c r="X10289" t="s">
        <v>47314</v>
      </c>
    </row>
    <row r="10290" spans="1:24">
      <c r="A10290">
        <f>HYPERLINK("https://www.philgeps.gov.ph/GEPSNONPILOT/Tender/SplashBidNoticeAbstractUI.aspx?menuIndex=3&amp;refID=7186771&amp;Result=3","7186771")</f>
        <v>0</v>
      </c>
      <c r="B10290" t="s">
        <v>1172</v>
      </c>
      <c r="C10290" t="s">
        <v>13567</v>
      </c>
      <c r="D10290" t="s">
        <v>19060</v>
      </c>
      <c r="E10290" t="s">
        <v>27876</v>
      </c>
      <c r="F10290" t="s">
        <v>32606</v>
      </c>
      <c r="G10290" t="s">
        <v>32614</v>
      </c>
      <c r="H10290" t="s">
        <v>14201</v>
      </c>
      <c r="I10290" t="s">
        <v>6298</v>
      </c>
      <c r="J10290" t="s">
        <v>39157</v>
      </c>
      <c r="K10290" t="s">
        <v>42631</v>
      </c>
      <c r="M10290" t="s">
        <v>44135</v>
      </c>
      <c r="N10290" t="s">
        <v>47304</v>
      </c>
      <c r="O10290" t="s">
        <v>47305</v>
      </c>
      <c r="P10290">
        <v>0</v>
      </c>
      <c r="Q10290">
        <v>1</v>
      </c>
      <c r="R10290" t="s">
        <v>47313</v>
      </c>
      <c r="S10290" t="s">
        <v>47535</v>
      </c>
      <c r="T10290" t="s">
        <v>49071</v>
      </c>
      <c r="U10290" t="s">
        <v>51932</v>
      </c>
      <c r="W10290" t="s">
        <v>44135</v>
      </c>
      <c r="X10290" t="s">
        <v>47314</v>
      </c>
    </row>
    <row r="10291" spans="1:24">
      <c r="A10291">
        <f>HYPERLINK("https://www.philgeps.gov.ph/GEPSNONPILOT/Tender/SplashBidNoticeAbstractUI.aspx?menuIndex=3&amp;refID=7186749&amp;Result=3","7186749")</f>
        <v>0</v>
      </c>
      <c r="B10291" t="s">
        <v>2447</v>
      </c>
      <c r="C10291" t="s">
        <v>13568</v>
      </c>
      <c r="E10291" t="s">
        <v>27877</v>
      </c>
      <c r="F10291" t="s">
        <v>32606</v>
      </c>
      <c r="G10291" t="s">
        <v>32615</v>
      </c>
      <c r="H10291" t="s">
        <v>14201</v>
      </c>
      <c r="I10291" t="s">
        <v>6478</v>
      </c>
      <c r="J10291" t="s">
        <v>34527</v>
      </c>
      <c r="K10291" t="s">
        <v>42624</v>
      </c>
      <c r="M10291" t="s">
        <v>45576</v>
      </c>
      <c r="N10291" t="s">
        <v>47304</v>
      </c>
      <c r="O10291" t="s">
        <v>47305</v>
      </c>
      <c r="P10291">
        <v>0</v>
      </c>
      <c r="Q10291">
        <v>0</v>
      </c>
      <c r="R10291" t="s">
        <v>47313</v>
      </c>
      <c r="S10291" t="s">
        <v>47535</v>
      </c>
      <c r="T10291" t="s">
        <v>49071</v>
      </c>
      <c r="U10291" t="s">
        <v>55870</v>
      </c>
      <c r="W10291" t="s">
        <v>45576</v>
      </c>
      <c r="X10291" t="s">
        <v>47314</v>
      </c>
    </row>
    <row r="10292" spans="1:24">
      <c r="A10292">
        <f>HYPERLINK("https://www.philgeps.gov.ph/GEPSNONPILOT/Tender/SplashBidNoticeAbstractUI.aspx?menuIndex=3&amp;refID=7186757&amp;Result=3","7186757")</f>
        <v>0</v>
      </c>
      <c r="B10292" t="s">
        <v>3101</v>
      </c>
      <c r="C10292" t="s">
        <v>13569</v>
      </c>
      <c r="D10292" t="s">
        <v>18993</v>
      </c>
      <c r="E10292" t="s">
        <v>27878</v>
      </c>
      <c r="F10292" t="s">
        <v>32606</v>
      </c>
      <c r="G10292" t="s">
        <v>32613</v>
      </c>
      <c r="H10292" t="s">
        <v>14201</v>
      </c>
      <c r="I10292" t="s">
        <v>6478</v>
      </c>
      <c r="J10292" t="s">
        <v>39158</v>
      </c>
      <c r="K10292" t="s">
        <v>42632</v>
      </c>
      <c r="M10292" t="s">
        <v>46308</v>
      </c>
      <c r="N10292" t="s">
        <v>47304</v>
      </c>
      <c r="O10292" t="s">
        <v>47305</v>
      </c>
      <c r="P10292">
        <v>0</v>
      </c>
      <c r="Q10292">
        <v>4</v>
      </c>
      <c r="R10292" t="s">
        <v>47313</v>
      </c>
      <c r="S10292" t="s">
        <v>47535</v>
      </c>
      <c r="T10292" t="s">
        <v>49268</v>
      </c>
      <c r="U10292" t="s">
        <v>58029</v>
      </c>
      <c r="V10292" t="s">
        <v>63728</v>
      </c>
      <c r="W10292" t="s">
        <v>46308</v>
      </c>
      <c r="X10292" t="s">
        <v>47314</v>
      </c>
    </row>
    <row r="10293" spans="1:24">
      <c r="A10293">
        <f>HYPERLINK("https://www.philgeps.gov.ph/GEPSNONPILOT/Tender/SplashBidNoticeAbstractUI.aspx?menuIndex=3&amp;refID=7186748&amp;Result=3","7186748")</f>
        <v>0</v>
      </c>
      <c r="B10293" t="s">
        <v>1168</v>
      </c>
      <c r="C10293" t="s">
        <v>13570</v>
      </c>
      <c r="D10293" t="s">
        <v>19002</v>
      </c>
      <c r="E10293" t="s">
        <v>27879</v>
      </c>
      <c r="F10293" t="s">
        <v>32606</v>
      </c>
      <c r="G10293" t="s">
        <v>32613</v>
      </c>
      <c r="H10293" t="s">
        <v>14201</v>
      </c>
      <c r="I10293" t="s">
        <v>6993</v>
      </c>
      <c r="J10293" t="s">
        <v>39159</v>
      </c>
      <c r="K10293" t="s">
        <v>42623</v>
      </c>
      <c r="L10293" t="s">
        <v>1168</v>
      </c>
      <c r="M10293" t="s">
        <v>44131</v>
      </c>
      <c r="N10293" t="s">
        <v>47304</v>
      </c>
      <c r="O10293" t="s">
        <v>47305</v>
      </c>
      <c r="P10293">
        <v>0</v>
      </c>
      <c r="Q10293">
        <v>0</v>
      </c>
      <c r="R10293" t="s">
        <v>47313</v>
      </c>
      <c r="S10293" t="s">
        <v>47535</v>
      </c>
      <c r="T10293" t="s">
        <v>49268</v>
      </c>
      <c r="U10293" t="s">
        <v>58030</v>
      </c>
      <c r="W10293" t="s">
        <v>44131</v>
      </c>
      <c r="X10293" t="s">
        <v>47314</v>
      </c>
    </row>
    <row r="10294" spans="1:24">
      <c r="A10294">
        <f>HYPERLINK("https://www.philgeps.gov.ph/GEPSNONPILOT/Tender/SplashBidNoticeAbstractUI.aspx?menuIndex=3&amp;refID=7186746&amp;Result=3","7186746")</f>
        <v>0</v>
      </c>
      <c r="B10294" t="s">
        <v>3099</v>
      </c>
      <c r="C10294" t="s">
        <v>13571</v>
      </c>
      <c r="D10294" t="s">
        <v>18988</v>
      </c>
      <c r="E10294" t="s">
        <v>21066</v>
      </c>
      <c r="F10294" t="s">
        <v>32606</v>
      </c>
      <c r="G10294" t="s">
        <v>32614</v>
      </c>
      <c r="H10294" t="s">
        <v>14201</v>
      </c>
      <c r="I10294" t="s">
        <v>32630</v>
      </c>
      <c r="J10294" t="s">
        <v>39160</v>
      </c>
      <c r="K10294" t="s">
        <v>42625</v>
      </c>
      <c r="M10294" t="s">
        <v>46306</v>
      </c>
      <c r="N10294" t="s">
        <v>47304</v>
      </c>
      <c r="O10294" t="s">
        <v>47305</v>
      </c>
      <c r="P10294">
        <v>0</v>
      </c>
      <c r="Q10294">
        <v>0</v>
      </c>
      <c r="R10294" t="s">
        <v>47313</v>
      </c>
      <c r="S10294" t="s">
        <v>47535</v>
      </c>
      <c r="T10294" t="s">
        <v>49410</v>
      </c>
      <c r="U10294" t="s">
        <v>58031</v>
      </c>
      <c r="W10294" t="s">
        <v>46306</v>
      </c>
      <c r="X10294" t="s">
        <v>47314</v>
      </c>
    </row>
    <row r="10295" spans="1:24">
      <c r="A10295">
        <f>HYPERLINK("https://www.philgeps.gov.ph/GEPSNONPILOT/Tender/SplashBidNoticeAbstractUI.aspx?menuIndex=3&amp;refID=7186773&amp;Result=3","7186773")</f>
        <v>0</v>
      </c>
      <c r="B10295" t="s">
        <v>2751</v>
      </c>
      <c r="C10295" t="s">
        <v>13572</v>
      </c>
      <c r="D10295" t="s">
        <v>19034</v>
      </c>
      <c r="E10295" t="s">
        <v>27880</v>
      </c>
      <c r="F10295" t="s">
        <v>32606</v>
      </c>
      <c r="G10295" t="s">
        <v>32613</v>
      </c>
      <c r="H10295" t="s">
        <v>14201</v>
      </c>
      <c r="I10295" t="s">
        <v>32626</v>
      </c>
      <c r="J10295" t="s">
        <v>39161</v>
      </c>
      <c r="K10295" t="s">
        <v>42632</v>
      </c>
      <c r="M10295" t="s">
        <v>45909</v>
      </c>
      <c r="N10295" t="s">
        <v>47304</v>
      </c>
      <c r="O10295" t="s">
        <v>47305</v>
      </c>
      <c r="P10295">
        <v>0</v>
      </c>
      <c r="Q10295">
        <v>0</v>
      </c>
      <c r="R10295" t="s">
        <v>47313</v>
      </c>
      <c r="S10295" t="s">
        <v>47535</v>
      </c>
      <c r="T10295" t="s">
        <v>49268</v>
      </c>
      <c r="U10295" t="s">
        <v>58032</v>
      </c>
      <c r="W10295" t="s">
        <v>45909</v>
      </c>
      <c r="X10295" t="s">
        <v>47314</v>
      </c>
    </row>
    <row r="10296" spans="1:24">
      <c r="A10296">
        <f>HYPERLINK("https://www.philgeps.gov.ph/GEPSNONPILOT/Tender/SplashBidNoticeAbstractUI.aspx?menuIndex=3&amp;refID=7186768&amp;Result=3","7186768")</f>
        <v>0</v>
      </c>
      <c r="B10296" t="s">
        <v>3069</v>
      </c>
      <c r="C10296" t="s">
        <v>13573</v>
      </c>
      <c r="D10296" t="s">
        <v>19035</v>
      </c>
      <c r="E10296" t="s">
        <v>27881</v>
      </c>
      <c r="F10296" t="s">
        <v>32606</v>
      </c>
      <c r="G10296" t="s">
        <v>32613</v>
      </c>
      <c r="H10296" t="s">
        <v>32623</v>
      </c>
      <c r="I10296" t="s">
        <v>17648</v>
      </c>
      <c r="J10296" t="s">
        <v>39162</v>
      </c>
      <c r="K10296" t="s">
        <v>42826</v>
      </c>
      <c r="M10296" t="s">
        <v>46268</v>
      </c>
      <c r="N10296" t="s">
        <v>47304</v>
      </c>
      <c r="O10296" t="s">
        <v>47305</v>
      </c>
      <c r="P10296">
        <v>0</v>
      </c>
      <c r="Q10296">
        <v>2</v>
      </c>
      <c r="R10296" t="s">
        <v>47313</v>
      </c>
      <c r="S10296" t="s">
        <v>47535</v>
      </c>
      <c r="T10296" t="s">
        <v>49075</v>
      </c>
      <c r="U10296" t="s">
        <v>58026</v>
      </c>
      <c r="W10296" t="s">
        <v>46268</v>
      </c>
      <c r="X10296" t="s">
        <v>47314</v>
      </c>
    </row>
    <row r="10297" spans="1:24">
      <c r="A10297">
        <f>HYPERLINK("https://www.philgeps.gov.ph/GEPSNONPILOT/Tender/SplashBidNoticeAbstractUI.aspx?menuIndex=3&amp;refID=7186797&amp;Result=3","7186797")</f>
        <v>0</v>
      </c>
      <c r="B10297" t="s">
        <v>1172</v>
      </c>
      <c r="C10297" t="s">
        <v>13574</v>
      </c>
      <c r="D10297" t="s">
        <v>19060</v>
      </c>
      <c r="E10297" t="s">
        <v>27882</v>
      </c>
      <c r="F10297" t="s">
        <v>32606</v>
      </c>
      <c r="G10297" t="s">
        <v>32614</v>
      </c>
      <c r="H10297" t="s">
        <v>32623</v>
      </c>
      <c r="I10297" t="s">
        <v>17648</v>
      </c>
      <c r="J10297" t="s">
        <v>39163</v>
      </c>
      <c r="K10297" t="s">
        <v>42631</v>
      </c>
      <c r="M10297" t="s">
        <v>44135</v>
      </c>
      <c r="N10297" t="s">
        <v>47304</v>
      </c>
      <c r="O10297" t="s">
        <v>47305</v>
      </c>
      <c r="P10297">
        <v>0</v>
      </c>
      <c r="Q10297">
        <v>1</v>
      </c>
      <c r="R10297" t="s">
        <v>47313</v>
      </c>
      <c r="S10297" t="s">
        <v>47535</v>
      </c>
      <c r="T10297" t="s">
        <v>49071</v>
      </c>
      <c r="U10297" t="s">
        <v>51932</v>
      </c>
      <c r="W10297" t="s">
        <v>44135</v>
      </c>
      <c r="X10297" t="s">
        <v>47314</v>
      </c>
    </row>
    <row r="10298" spans="1:24">
      <c r="A10298">
        <f>HYPERLINK("https://www.philgeps.gov.ph/GEPSNONPILOT/Tender/SplashBidNoticeAbstractUI.aspx?menuIndex=3&amp;refID=7186747&amp;Result=3","7186747")</f>
        <v>0</v>
      </c>
      <c r="B10298" t="s">
        <v>1289</v>
      </c>
      <c r="C10298" t="s">
        <v>13575</v>
      </c>
      <c r="D10298" t="s">
        <v>18993</v>
      </c>
      <c r="E10298" t="s">
        <v>27883</v>
      </c>
      <c r="F10298" t="s">
        <v>32606</v>
      </c>
      <c r="G10298" t="s">
        <v>32613</v>
      </c>
      <c r="H10298" t="s">
        <v>14201</v>
      </c>
      <c r="I10298" t="s">
        <v>32640</v>
      </c>
      <c r="J10298" t="s">
        <v>39164</v>
      </c>
      <c r="K10298" t="s">
        <v>42639</v>
      </c>
      <c r="M10298" t="s">
        <v>44261</v>
      </c>
      <c r="N10298" t="s">
        <v>47304</v>
      </c>
      <c r="O10298" t="s">
        <v>47305</v>
      </c>
      <c r="Q10298">
        <v>6</v>
      </c>
      <c r="R10298" t="s">
        <v>47313</v>
      </c>
      <c r="S10298" t="s">
        <v>47595</v>
      </c>
      <c r="T10298" t="s">
        <v>49390</v>
      </c>
      <c r="U10298" t="s">
        <v>58033</v>
      </c>
      <c r="W10298" t="s">
        <v>44261</v>
      </c>
      <c r="X10298" t="s">
        <v>47314</v>
      </c>
    </row>
    <row r="10299" spans="1:24">
      <c r="A10299">
        <f>HYPERLINK("https://www.philgeps.gov.ph/GEPSNONPILOT/Tender/SplashBidNoticeAbstractUI.aspx?menuIndex=3&amp;refID=7186794&amp;Result=3","7186794")</f>
        <v>0</v>
      </c>
      <c r="B10299" t="s">
        <v>3069</v>
      </c>
      <c r="C10299" t="s">
        <v>13576</v>
      </c>
      <c r="D10299" t="s">
        <v>19035</v>
      </c>
      <c r="E10299" t="s">
        <v>27884</v>
      </c>
      <c r="F10299" t="s">
        <v>32606</v>
      </c>
      <c r="G10299" t="s">
        <v>32613</v>
      </c>
      <c r="H10299" t="s">
        <v>32623</v>
      </c>
      <c r="I10299" t="s">
        <v>17648</v>
      </c>
      <c r="J10299" t="s">
        <v>39162</v>
      </c>
      <c r="K10299" t="s">
        <v>42826</v>
      </c>
      <c r="M10299" t="s">
        <v>46268</v>
      </c>
      <c r="N10299" t="s">
        <v>47304</v>
      </c>
      <c r="O10299" t="s">
        <v>47305</v>
      </c>
      <c r="P10299">
        <v>0</v>
      </c>
      <c r="Q10299">
        <v>1</v>
      </c>
      <c r="R10299" t="s">
        <v>47313</v>
      </c>
      <c r="S10299" t="s">
        <v>47535</v>
      </c>
      <c r="T10299" t="s">
        <v>49075</v>
      </c>
      <c r="U10299" t="s">
        <v>58026</v>
      </c>
      <c r="W10299" t="s">
        <v>46268</v>
      </c>
      <c r="X10299" t="s">
        <v>47314</v>
      </c>
    </row>
    <row r="10300" spans="1:24">
      <c r="A10300">
        <f>HYPERLINK("https://www.philgeps.gov.ph/GEPSNONPILOT/Tender/SplashBidNoticeAbstractUI.aspx?menuIndex=3&amp;refID=7186745&amp;Result=3","7186745")</f>
        <v>0</v>
      </c>
      <c r="B10300" t="s">
        <v>1769</v>
      </c>
      <c r="C10300" t="s">
        <v>4758</v>
      </c>
      <c r="D10300" t="s">
        <v>19037</v>
      </c>
      <c r="E10300" t="s">
        <v>27342</v>
      </c>
      <c r="F10300" t="s">
        <v>32606</v>
      </c>
      <c r="G10300" t="s">
        <v>32613</v>
      </c>
      <c r="H10300" t="s">
        <v>14201</v>
      </c>
      <c r="I10300" t="s">
        <v>4120</v>
      </c>
      <c r="J10300" t="s">
        <v>39165</v>
      </c>
      <c r="K10300" t="s">
        <v>42623</v>
      </c>
      <c r="M10300" t="s">
        <v>44807</v>
      </c>
      <c r="N10300" t="s">
        <v>47304</v>
      </c>
      <c r="O10300" t="s">
        <v>47305</v>
      </c>
      <c r="P10300">
        <v>0</v>
      </c>
      <c r="Q10300">
        <v>6</v>
      </c>
      <c r="R10300" t="s">
        <v>47313</v>
      </c>
      <c r="S10300" t="s">
        <v>47535</v>
      </c>
      <c r="T10300" t="s">
        <v>49353</v>
      </c>
      <c r="U10300" t="s">
        <v>58034</v>
      </c>
      <c r="W10300" t="s">
        <v>44807</v>
      </c>
      <c r="X10300" t="s">
        <v>47314</v>
      </c>
    </row>
    <row r="10301" spans="1:24">
      <c r="A10301">
        <f>HYPERLINK("https://www.philgeps.gov.ph/GEPSNONPILOT/Tender/SplashBidNoticeAbstractUI.aspx?menuIndex=3&amp;refID=7186787&amp;Result=3","7186787")</f>
        <v>0</v>
      </c>
      <c r="B10301" t="s">
        <v>1172</v>
      </c>
      <c r="C10301" t="s">
        <v>13577</v>
      </c>
      <c r="D10301" t="s">
        <v>19060</v>
      </c>
      <c r="E10301" t="s">
        <v>27885</v>
      </c>
      <c r="F10301" t="s">
        <v>32606</v>
      </c>
      <c r="G10301" t="s">
        <v>32614</v>
      </c>
      <c r="H10301" t="s">
        <v>32623</v>
      </c>
      <c r="I10301" t="s">
        <v>32664</v>
      </c>
      <c r="J10301" t="s">
        <v>39166</v>
      </c>
      <c r="K10301" t="s">
        <v>42631</v>
      </c>
      <c r="M10301" t="s">
        <v>44135</v>
      </c>
      <c r="N10301" t="s">
        <v>47304</v>
      </c>
      <c r="O10301" t="s">
        <v>47305</v>
      </c>
      <c r="P10301">
        <v>0</v>
      </c>
      <c r="Q10301">
        <v>1</v>
      </c>
      <c r="R10301" t="s">
        <v>47313</v>
      </c>
      <c r="S10301" t="s">
        <v>47535</v>
      </c>
      <c r="T10301" t="s">
        <v>49071</v>
      </c>
      <c r="U10301" t="s">
        <v>51932</v>
      </c>
      <c r="W10301" t="s">
        <v>44135</v>
      </c>
      <c r="X10301" t="s">
        <v>47314</v>
      </c>
    </row>
    <row r="10302" spans="1:24">
      <c r="A10302">
        <f>HYPERLINK("https://www.philgeps.gov.ph/GEPSNONPILOT/Tender/SplashBidNoticeAbstractUI.aspx?menuIndex=3&amp;refID=7186795&amp;Result=3","7186795")</f>
        <v>0</v>
      </c>
      <c r="B10302" t="s">
        <v>2751</v>
      </c>
      <c r="C10302" t="s">
        <v>13578</v>
      </c>
      <c r="D10302" t="s">
        <v>19034</v>
      </c>
      <c r="E10302" t="s">
        <v>27886</v>
      </c>
      <c r="F10302" t="s">
        <v>32606</v>
      </c>
      <c r="G10302" t="s">
        <v>32613</v>
      </c>
      <c r="H10302" t="s">
        <v>14201</v>
      </c>
      <c r="I10302" t="s">
        <v>32632</v>
      </c>
      <c r="J10302" t="s">
        <v>39167</v>
      </c>
      <c r="K10302" t="s">
        <v>42632</v>
      </c>
      <c r="M10302" t="s">
        <v>45909</v>
      </c>
      <c r="N10302" t="s">
        <v>47304</v>
      </c>
      <c r="O10302" t="s">
        <v>47305</v>
      </c>
      <c r="P10302">
        <v>0</v>
      </c>
      <c r="Q10302">
        <v>3</v>
      </c>
      <c r="R10302" t="s">
        <v>47313</v>
      </c>
      <c r="S10302" t="s">
        <v>47535</v>
      </c>
      <c r="T10302" t="s">
        <v>49268</v>
      </c>
      <c r="U10302" t="s">
        <v>58035</v>
      </c>
      <c r="W10302" t="s">
        <v>45909</v>
      </c>
      <c r="X10302" t="s">
        <v>47314</v>
      </c>
    </row>
    <row r="10303" spans="1:24">
      <c r="A10303">
        <f>HYPERLINK("https://www.philgeps.gov.ph/GEPSNONPILOT/Tender/SplashBidNoticeAbstractUI.aspx?menuIndex=3&amp;refID=7186785&amp;Result=3","7186785")</f>
        <v>0</v>
      </c>
      <c r="B10303" t="s">
        <v>1809</v>
      </c>
      <c r="C10303" t="s">
        <v>13579</v>
      </c>
      <c r="D10303" t="s">
        <v>19002</v>
      </c>
      <c r="E10303" t="s">
        <v>27887</v>
      </c>
      <c r="F10303" t="s">
        <v>32606</v>
      </c>
      <c r="G10303" t="s">
        <v>32613</v>
      </c>
      <c r="H10303" t="s">
        <v>32623</v>
      </c>
      <c r="I10303" t="s">
        <v>17648</v>
      </c>
      <c r="J10303" t="s">
        <v>39168</v>
      </c>
      <c r="K10303" t="s">
        <v>42636</v>
      </c>
      <c r="M10303" t="s">
        <v>44850</v>
      </c>
      <c r="N10303" t="s">
        <v>47304</v>
      </c>
      <c r="O10303" t="s">
        <v>47305</v>
      </c>
      <c r="P10303">
        <v>0</v>
      </c>
      <c r="Q10303">
        <v>0</v>
      </c>
      <c r="R10303" t="s">
        <v>47313</v>
      </c>
      <c r="S10303" t="s">
        <v>47535</v>
      </c>
      <c r="T10303" t="s">
        <v>49075</v>
      </c>
      <c r="U10303" t="s">
        <v>58036</v>
      </c>
      <c r="V10303" t="s">
        <v>63325</v>
      </c>
      <c r="W10303" t="s">
        <v>44850</v>
      </c>
      <c r="X10303" t="s">
        <v>47314</v>
      </c>
    </row>
    <row r="10304" spans="1:24">
      <c r="A10304">
        <f>HYPERLINK("https://www.philgeps.gov.ph/GEPSNONPILOT/Tender/SplashBidNoticeAbstractUI.aspx?menuIndex=3&amp;refID=7186813&amp;Result=3","7186813")</f>
        <v>0</v>
      </c>
      <c r="B10304" t="s">
        <v>2751</v>
      </c>
      <c r="C10304" t="s">
        <v>13580</v>
      </c>
      <c r="D10304" t="s">
        <v>19034</v>
      </c>
      <c r="E10304" t="s">
        <v>27888</v>
      </c>
      <c r="F10304" t="s">
        <v>32606</v>
      </c>
      <c r="G10304" t="s">
        <v>32613</v>
      </c>
      <c r="H10304" t="s">
        <v>14201</v>
      </c>
      <c r="I10304" t="s">
        <v>32631</v>
      </c>
      <c r="J10304" t="s">
        <v>39169</v>
      </c>
      <c r="K10304" t="s">
        <v>42632</v>
      </c>
      <c r="M10304" t="s">
        <v>45909</v>
      </c>
      <c r="N10304" t="s">
        <v>47304</v>
      </c>
      <c r="O10304" t="s">
        <v>47305</v>
      </c>
      <c r="P10304">
        <v>0</v>
      </c>
      <c r="Q10304">
        <v>0</v>
      </c>
      <c r="R10304" t="s">
        <v>47313</v>
      </c>
      <c r="S10304" t="s">
        <v>47535</v>
      </c>
      <c r="T10304" t="s">
        <v>49268</v>
      </c>
      <c r="U10304" t="s">
        <v>58032</v>
      </c>
      <c r="W10304" t="s">
        <v>45909</v>
      </c>
      <c r="X10304" t="s">
        <v>47314</v>
      </c>
    </row>
    <row r="10305" spans="1:24">
      <c r="A10305">
        <f>HYPERLINK("https://www.philgeps.gov.ph/GEPSNONPILOT/Tender/SplashBidNoticeAbstractUI.aspx?menuIndex=3&amp;refID=7186793&amp;Result=3","7186793")</f>
        <v>0</v>
      </c>
      <c r="B10305" t="s">
        <v>1172</v>
      </c>
      <c r="C10305" t="s">
        <v>13581</v>
      </c>
      <c r="D10305" t="s">
        <v>19060</v>
      </c>
      <c r="E10305" t="s">
        <v>27889</v>
      </c>
      <c r="F10305" t="s">
        <v>32606</v>
      </c>
      <c r="G10305" t="s">
        <v>32614</v>
      </c>
      <c r="H10305" t="s">
        <v>14201</v>
      </c>
      <c r="I10305" t="s">
        <v>32650</v>
      </c>
      <c r="J10305" t="s">
        <v>32752</v>
      </c>
      <c r="K10305" t="s">
        <v>42631</v>
      </c>
      <c r="M10305" t="s">
        <v>44135</v>
      </c>
      <c r="N10305" t="s">
        <v>47304</v>
      </c>
      <c r="O10305" t="s">
        <v>47305</v>
      </c>
      <c r="P10305">
        <v>0</v>
      </c>
      <c r="Q10305">
        <v>0</v>
      </c>
      <c r="R10305" t="s">
        <v>47313</v>
      </c>
      <c r="S10305" t="s">
        <v>47535</v>
      </c>
      <c r="T10305" t="s">
        <v>49071</v>
      </c>
      <c r="U10305" t="s">
        <v>51932</v>
      </c>
      <c r="W10305" t="s">
        <v>44135</v>
      </c>
      <c r="X10305" t="s">
        <v>47314</v>
      </c>
    </row>
    <row r="10306" spans="1:24">
      <c r="A10306">
        <f>HYPERLINK("https://www.philgeps.gov.ph/GEPSNONPILOT/Tender/SplashBidNoticeAbstractUI.aspx?menuIndex=3&amp;refID=7186754&amp;Result=3","7186754")</f>
        <v>0</v>
      </c>
      <c r="B10306" t="s">
        <v>2447</v>
      </c>
      <c r="C10306" t="s">
        <v>13582</v>
      </c>
      <c r="E10306" t="s">
        <v>27890</v>
      </c>
      <c r="F10306" t="s">
        <v>32606</v>
      </c>
      <c r="G10306" t="s">
        <v>32615</v>
      </c>
      <c r="H10306" t="s">
        <v>14201</v>
      </c>
      <c r="I10306" t="s">
        <v>4369</v>
      </c>
      <c r="J10306" t="s">
        <v>35191</v>
      </c>
      <c r="K10306" t="s">
        <v>42624</v>
      </c>
      <c r="M10306" t="s">
        <v>45576</v>
      </c>
      <c r="N10306" t="s">
        <v>47304</v>
      </c>
      <c r="O10306" t="s">
        <v>47305</v>
      </c>
      <c r="P10306">
        <v>0</v>
      </c>
      <c r="Q10306">
        <v>1</v>
      </c>
      <c r="R10306" t="s">
        <v>47313</v>
      </c>
      <c r="S10306" t="s">
        <v>47535</v>
      </c>
      <c r="T10306" t="s">
        <v>49071</v>
      </c>
      <c r="U10306" t="s">
        <v>51680</v>
      </c>
      <c r="W10306" t="s">
        <v>45576</v>
      </c>
      <c r="X10306" t="s">
        <v>47314</v>
      </c>
    </row>
    <row r="10307" spans="1:24">
      <c r="A10307">
        <f>HYPERLINK("https://www.philgeps.gov.ph/GEPSNONPILOT/Tender/SplashBidNoticeAbstractUI.aspx?menuIndex=3&amp;refID=7186810&amp;Result=3","7186810")</f>
        <v>0</v>
      </c>
      <c r="B10307" t="s">
        <v>726</v>
      </c>
      <c r="C10307" t="s">
        <v>6068</v>
      </c>
      <c r="D10307" t="s">
        <v>19009</v>
      </c>
      <c r="E10307" t="s">
        <v>27891</v>
      </c>
      <c r="F10307" t="s">
        <v>32606</v>
      </c>
      <c r="G10307" t="s">
        <v>32613</v>
      </c>
      <c r="H10307" t="s">
        <v>14201</v>
      </c>
      <c r="I10307" t="s">
        <v>7677</v>
      </c>
      <c r="J10307" t="s">
        <v>34561</v>
      </c>
      <c r="K10307" t="s">
        <v>42623</v>
      </c>
      <c r="M10307" t="s">
        <v>43942</v>
      </c>
      <c r="N10307" t="s">
        <v>47304</v>
      </c>
      <c r="O10307" t="s">
        <v>47305</v>
      </c>
      <c r="P10307">
        <v>0</v>
      </c>
      <c r="Q10307">
        <v>1</v>
      </c>
      <c r="R10307" t="s">
        <v>47313</v>
      </c>
      <c r="S10307" t="s">
        <v>47535</v>
      </c>
      <c r="T10307" t="s">
        <v>49198</v>
      </c>
      <c r="U10307" t="s">
        <v>58037</v>
      </c>
      <c r="V10307" t="s">
        <v>62846</v>
      </c>
      <c r="W10307" t="s">
        <v>43942</v>
      </c>
      <c r="X10307" t="s">
        <v>47314</v>
      </c>
    </row>
    <row r="10308" spans="1:24">
      <c r="A10308">
        <f>HYPERLINK("https://www.philgeps.gov.ph/GEPSNONPILOT/Tender/SplashBidNoticeAbstractUI.aspx?menuIndex=3&amp;refID=7186750&amp;Result=3","7186750")</f>
        <v>0</v>
      </c>
      <c r="B10308" t="s">
        <v>569</v>
      </c>
      <c r="C10308" t="s">
        <v>13583</v>
      </c>
      <c r="D10308" t="s">
        <v>18993</v>
      </c>
      <c r="E10308" t="s">
        <v>27892</v>
      </c>
      <c r="F10308" t="s">
        <v>32606</v>
      </c>
      <c r="G10308" t="s">
        <v>32618</v>
      </c>
      <c r="H10308" t="s">
        <v>32624</v>
      </c>
      <c r="I10308" t="s">
        <v>32638</v>
      </c>
      <c r="J10308" t="s">
        <v>39170</v>
      </c>
      <c r="K10308" t="s">
        <v>42636</v>
      </c>
      <c r="M10308" t="s">
        <v>46299</v>
      </c>
      <c r="N10308" t="s">
        <v>47304</v>
      </c>
      <c r="O10308" t="s">
        <v>47305</v>
      </c>
      <c r="P10308">
        <v>0</v>
      </c>
      <c r="Q10308">
        <v>22</v>
      </c>
      <c r="R10308" t="s">
        <v>47313</v>
      </c>
      <c r="S10308" t="s">
        <v>47535</v>
      </c>
      <c r="T10308" t="s">
        <v>49052</v>
      </c>
      <c r="U10308" t="s">
        <v>58038</v>
      </c>
      <c r="V10308" t="s">
        <v>63227</v>
      </c>
      <c r="W10308" t="s">
        <v>64492</v>
      </c>
      <c r="X10308" t="s">
        <v>47314</v>
      </c>
    </row>
    <row r="10309" spans="1:24">
      <c r="A10309">
        <f>HYPERLINK("https://www.philgeps.gov.ph/GEPSNONPILOT/Tender/SplashBidNoticeAbstractUI.aspx?menuIndex=3&amp;refID=7186808&amp;Result=3","7186808")</f>
        <v>0</v>
      </c>
      <c r="B10309" t="s">
        <v>3099</v>
      </c>
      <c r="C10309" t="s">
        <v>13584</v>
      </c>
      <c r="D10309" t="s">
        <v>18988</v>
      </c>
      <c r="E10309" t="s">
        <v>21066</v>
      </c>
      <c r="F10309" t="s">
        <v>32606</v>
      </c>
      <c r="G10309" t="s">
        <v>32614</v>
      </c>
      <c r="H10309" t="s">
        <v>14201</v>
      </c>
      <c r="I10309" t="s">
        <v>32630</v>
      </c>
      <c r="J10309" t="s">
        <v>39160</v>
      </c>
      <c r="K10309" t="s">
        <v>42625</v>
      </c>
      <c r="M10309" t="s">
        <v>46306</v>
      </c>
      <c r="N10309" t="s">
        <v>47304</v>
      </c>
      <c r="O10309" t="s">
        <v>47305</v>
      </c>
      <c r="P10309">
        <v>0</v>
      </c>
      <c r="Q10309">
        <v>1</v>
      </c>
      <c r="R10309" t="s">
        <v>47313</v>
      </c>
      <c r="S10309" t="s">
        <v>47535</v>
      </c>
      <c r="T10309" t="s">
        <v>49169</v>
      </c>
      <c r="U10309" t="s">
        <v>58031</v>
      </c>
      <c r="W10309" t="s">
        <v>46306</v>
      </c>
      <c r="X10309" t="s">
        <v>47314</v>
      </c>
    </row>
    <row r="10310" spans="1:24">
      <c r="A10310">
        <f>HYPERLINK("https://www.philgeps.gov.ph/GEPSNONPILOT/Tender/SplashBidNoticeAbstractUI.aspx?menuIndex=3&amp;refID=7186803&amp;Result=3","7186803")</f>
        <v>0</v>
      </c>
      <c r="B10310" t="s">
        <v>130</v>
      </c>
      <c r="C10310" t="s">
        <v>13585</v>
      </c>
      <c r="D10310" t="s">
        <v>19015</v>
      </c>
      <c r="E10310" t="s">
        <v>27893</v>
      </c>
      <c r="F10310" t="s">
        <v>32606</v>
      </c>
      <c r="G10310" t="s">
        <v>32613</v>
      </c>
      <c r="H10310" t="s">
        <v>14201</v>
      </c>
      <c r="I10310" t="s">
        <v>32654</v>
      </c>
      <c r="J10310" t="s">
        <v>39171</v>
      </c>
      <c r="K10310" t="s">
        <v>42631</v>
      </c>
      <c r="M10310" t="s">
        <v>43031</v>
      </c>
      <c r="N10310" t="s">
        <v>47304</v>
      </c>
      <c r="O10310" t="s">
        <v>47305</v>
      </c>
      <c r="P10310">
        <v>0</v>
      </c>
      <c r="Q10310">
        <v>5</v>
      </c>
      <c r="R10310" t="s">
        <v>47313</v>
      </c>
      <c r="S10310" t="s">
        <v>47535</v>
      </c>
      <c r="T10310" t="s">
        <v>49195</v>
      </c>
      <c r="U10310" t="s">
        <v>58039</v>
      </c>
      <c r="V10310" t="s">
        <v>63719</v>
      </c>
      <c r="W10310" t="s">
        <v>43031</v>
      </c>
      <c r="X10310" t="s">
        <v>47314</v>
      </c>
    </row>
    <row r="10311" spans="1:24">
      <c r="A10311">
        <f>HYPERLINK("https://www.philgeps.gov.ph/GEPSNONPILOT/Tender/SplashBidNoticeAbstractUI.aspx?menuIndex=3&amp;refID=7186798&amp;Result=3","7186798")</f>
        <v>0</v>
      </c>
      <c r="B10311" t="s">
        <v>3102</v>
      </c>
      <c r="C10311" t="s">
        <v>13586</v>
      </c>
      <c r="D10311" t="s">
        <v>18993</v>
      </c>
      <c r="E10311" t="s">
        <v>27894</v>
      </c>
      <c r="F10311" t="s">
        <v>32606</v>
      </c>
      <c r="G10311" t="s">
        <v>32613</v>
      </c>
      <c r="H10311" t="s">
        <v>14201</v>
      </c>
      <c r="I10311" t="s">
        <v>6478</v>
      </c>
      <c r="J10311" t="s">
        <v>39172</v>
      </c>
      <c r="K10311" t="s">
        <v>42632</v>
      </c>
      <c r="M10311" t="s">
        <v>46309</v>
      </c>
      <c r="N10311" t="s">
        <v>47304</v>
      </c>
      <c r="O10311" t="s">
        <v>47305</v>
      </c>
      <c r="P10311">
        <v>0</v>
      </c>
      <c r="Q10311">
        <v>8</v>
      </c>
      <c r="R10311" t="s">
        <v>47313</v>
      </c>
      <c r="S10311" t="s">
        <v>47535</v>
      </c>
      <c r="T10311" t="s">
        <v>49268</v>
      </c>
      <c r="U10311" t="s">
        <v>58040</v>
      </c>
      <c r="V10311" t="s">
        <v>63729</v>
      </c>
      <c r="W10311" t="s">
        <v>46309</v>
      </c>
      <c r="X10311" t="s">
        <v>47314</v>
      </c>
    </row>
    <row r="10312" spans="1:24">
      <c r="A10312">
        <f>HYPERLINK("https://www.philgeps.gov.ph/GEPSNONPILOT/Tender/SplashBidNoticeAbstractUI.aspx?menuIndex=3&amp;refID=7186784&amp;Result=3","7186784")</f>
        <v>0</v>
      </c>
      <c r="B10312" t="s">
        <v>2751</v>
      </c>
      <c r="C10312" t="s">
        <v>13587</v>
      </c>
      <c r="D10312" t="s">
        <v>19034</v>
      </c>
      <c r="E10312" t="s">
        <v>27895</v>
      </c>
      <c r="F10312" t="s">
        <v>32606</v>
      </c>
      <c r="G10312" t="s">
        <v>32613</v>
      </c>
      <c r="H10312" t="s">
        <v>14201</v>
      </c>
      <c r="I10312" t="s">
        <v>4120</v>
      </c>
      <c r="J10312" t="s">
        <v>39173</v>
      </c>
      <c r="K10312" t="s">
        <v>42632</v>
      </c>
      <c r="M10312" t="s">
        <v>45909</v>
      </c>
      <c r="N10312" t="s">
        <v>47304</v>
      </c>
      <c r="O10312" t="s">
        <v>47305</v>
      </c>
      <c r="P10312">
        <v>0</v>
      </c>
      <c r="Q10312">
        <v>0</v>
      </c>
      <c r="R10312" t="s">
        <v>47313</v>
      </c>
      <c r="S10312" t="s">
        <v>47535</v>
      </c>
      <c r="T10312" t="s">
        <v>49268</v>
      </c>
      <c r="U10312" t="s">
        <v>58032</v>
      </c>
      <c r="W10312" t="s">
        <v>45909</v>
      </c>
      <c r="X10312" t="s">
        <v>47314</v>
      </c>
    </row>
    <row r="10313" spans="1:24">
      <c r="A10313">
        <f>HYPERLINK("https://www.philgeps.gov.ph/GEPSNONPILOT/Tender/SplashBidNoticeAbstractUI.aspx?menuIndex=3&amp;refID=7186792&amp;Result=3","7186792")</f>
        <v>0</v>
      </c>
      <c r="B10313" t="s">
        <v>82</v>
      </c>
      <c r="C10313" t="s">
        <v>13588</v>
      </c>
      <c r="D10313" t="s">
        <v>19011</v>
      </c>
      <c r="E10313" t="s">
        <v>27896</v>
      </c>
      <c r="F10313" t="s">
        <v>32606</v>
      </c>
      <c r="G10313" t="s">
        <v>32613</v>
      </c>
      <c r="H10313" t="s">
        <v>14201</v>
      </c>
      <c r="I10313" t="s">
        <v>6931</v>
      </c>
      <c r="J10313" t="s">
        <v>39174</v>
      </c>
      <c r="K10313" t="s">
        <v>42624</v>
      </c>
      <c r="M10313" t="s">
        <v>43766</v>
      </c>
      <c r="N10313" t="s">
        <v>47304</v>
      </c>
      <c r="O10313" t="s">
        <v>47305</v>
      </c>
      <c r="P10313">
        <v>0</v>
      </c>
      <c r="Q10313">
        <v>3</v>
      </c>
      <c r="R10313" t="s">
        <v>47313</v>
      </c>
      <c r="S10313" t="s">
        <v>47535</v>
      </c>
      <c r="T10313" t="s">
        <v>49234</v>
      </c>
      <c r="U10313" t="s">
        <v>58041</v>
      </c>
      <c r="V10313" t="s">
        <v>62841</v>
      </c>
      <c r="W10313" t="s">
        <v>43766</v>
      </c>
      <c r="X10313" t="s">
        <v>47314</v>
      </c>
    </row>
    <row r="10314" spans="1:24">
      <c r="A10314">
        <f>HYPERLINK("https://www.philgeps.gov.ph/GEPSNONPILOT/Tender/SplashBidNoticeAbstractUI.aspx?menuIndex=3&amp;refID=7186777&amp;Result=3","7186777")</f>
        <v>0</v>
      </c>
      <c r="B10314" t="s">
        <v>1769</v>
      </c>
      <c r="C10314" t="s">
        <v>12732</v>
      </c>
      <c r="D10314" t="s">
        <v>19037</v>
      </c>
      <c r="E10314" t="s">
        <v>27897</v>
      </c>
      <c r="F10314" t="s">
        <v>32606</v>
      </c>
      <c r="G10314" t="s">
        <v>32613</v>
      </c>
      <c r="H10314" t="s">
        <v>14201</v>
      </c>
      <c r="I10314" t="s">
        <v>7677</v>
      </c>
      <c r="J10314" t="s">
        <v>39175</v>
      </c>
      <c r="K10314" t="s">
        <v>42623</v>
      </c>
      <c r="M10314" t="s">
        <v>44807</v>
      </c>
      <c r="N10314" t="s">
        <v>47304</v>
      </c>
      <c r="O10314" t="s">
        <v>47305</v>
      </c>
      <c r="P10314">
        <v>0</v>
      </c>
      <c r="Q10314">
        <v>12</v>
      </c>
      <c r="R10314" t="s">
        <v>47313</v>
      </c>
      <c r="S10314" t="s">
        <v>47535</v>
      </c>
      <c r="T10314" t="s">
        <v>49353</v>
      </c>
      <c r="U10314" t="s">
        <v>58042</v>
      </c>
      <c r="W10314" t="s">
        <v>44807</v>
      </c>
      <c r="X10314" t="s">
        <v>47314</v>
      </c>
    </row>
    <row r="10315" spans="1:24">
      <c r="A10315">
        <f>HYPERLINK("https://www.philgeps.gov.ph/GEPSNONPILOT/Tender/SplashBidNoticeAbstractUI.aspx?menuIndex=3&amp;refID=7186708&amp;Result=3","7186708")</f>
        <v>0</v>
      </c>
      <c r="B10315" t="s">
        <v>3103</v>
      </c>
      <c r="C10315" t="s">
        <v>13589</v>
      </c>
      <c r="D10315" t="s">
        <v>19048</v>
      </c>
      <c r="E10315" t="s">
        <v>27898</v>
      </c>
      <c r="F10315" t="s">
        <v>32606</v>
      </c>
      <c r="G10315" t="s">
        <v>32613</v>
      </c>
      <c r="H10315" t="s">
        <v>14201</v>
      </c>
      <c r="I10315" t="s">
        <v>4369</v>
      </c>
      <c r="J10315" t="s">
        <v>39176</v>
      </c>
      <c r="K10315" t="s">
        <v>42623</v>
      </c>
      <c r="M10315" t="s">
        <v>46310</v>
      </c>
      <c r="N10315" t="s">
        <v>47304</v>
      </c>
      <c r="O10315" t="s">
        <v>47305</v>
      </c>
      <c r="P10315">
        <v>0</v>
      </c>
      <c r="Q10315">
        <v>7</v>
      </c>
      <c r="R10315" t="s">
        <v>47313</v>
      </c>
      <c r="S10315" t="s">
        <v>47535</v>
      </c>
      <c r="T10315" t="s">
        <v>49234</v>
      </c>
      <c r="U10315" t="s">
        <v>58043</v>
      </c>
      <c r="W10315" t="s">
        <v>46310</v>
      </c>
      <c r="X10315" t="s">
        <v>47314</v>
      </c>
    </row>
    <row r="10316" spans="1:24">
      <c r="A10316">
        <f>HYPERLINK("https://www.philgeps.gov.ph/GEPSNONPILOT/Tender/SplashBidNoticeAbstractUI.aspx?menuIndex=3&amp;refID=7186801&amp;Result=3","7186801")</f>
        <v>0</v>
      </c>
      <c r="B10316" t="s">
        <v>3104</v>
      </c>
      <c r="C10316" t="s">
        <v>13590</v>
      </c>
      <c r="D10316" t="s">
        <v>19006</v>
      </c>
      <c r="E10316" t="s">
        <v>27899</v>
      </c>
      <c r="F10316" t="s">
        <v>32606</v>
      </c>
      <c r="G10316" t="s">
        <v>32613</v>
      </c>
      <c r="H10316" t="s">
        <v>32623</v>
      </c>
      <c r="I10316" t="s">
        <v>17648</v>
      </c>
      <c r="J10316" t="s">
        <v>39177</v>
      </c>
      <c r="K10316" t="s">
        <v>42623</v>
      </c>
      <c r="M10316" t="s">
        <v>46311</v>
      </c>
      <c r="N10316" t="s">
        <v>47304</v>
      </c>
      <c r="O10316" t="s">
        <v>47305</v>
      </c>
      <c r="P10316">
        <v>0</v>
      </c>
      <c r="Q10316">
        <v>0</v>
      </c>
      <c r="R10316" t="s">
        <v>47313</v>
      </c>
      <c r="S10316" t="s">
        <v>47535</v>
      </c>
      <c r="T10316" t="s">
        <v>48996</v>
      </c>
      <c r="U10316" t="s">
        <v>58044</v>
      </c>
      <c r="W10316" t="s">
        <v>46311</v>
      </c>
      <c r="X10316" t="s">
        <v>47314</v>
      </c>
    </row>
    <row r="10317" spans="1:24">
      <c r="A10317">
        <f>HYPERLINK("https://www.philgeps.gov.ph/GEPSNONPILOT/Tender/SplashBidNoticeAbstractUI.aspx?menuIndex=3&amp;refID=7186780&amp;Result=3","7186780")</f>
        <v>0</v>
      </c>
      <c r="B10317" t="s">
        <v>2291</v>
      </c>
      <c r="C10317" t="s">
        <v>13591</v>
      </c>
      <c r="D10317" t="s">
        <v>19028</v>
      </c>
      <c r="E10317" t="s">
        <v>27900</v>
      </c>
      <c r="F10317" t="s">
        <v>32606</v>
      </c>
      <c r="G10317" t="s">
        <v>32613</v>
      </c>
      <c r="H10317" t="s">
        <v>14201</v>
      </c>
      <c r="I10317" t="s">
        <v>7064</v>
      </c>
      <c r="J10317" t="s">
        <v>39178</v>
      </c>
      <c r="K10317" t="s">
        <v>42624</v>
      </c>
      <c r="M10317" t="s">
        <v>46304</v>
      </c>
      <c r="N10317" t="s">
        <v>47304</v>
      </c>
      <c r="O10317" t="s">
        <v>47305</v>
      </c>
      <c r="P10317">
        <v>0</v>
      </c>
      <c r="Q10317">
        <v>4</v>
      </c>
      <c r="R10317" t="s">
        <v>47313</v>
      </c>
      <c r="S10317" t="s">
        <v>47535</v>
      </c>
      <c r="T10317" t="s">
        <v>49170</v>
      </c>
      <c r="U10317" t="s">
        <v>58045</v>
      </c>
      <c r="V10317" t="s">
        <v>63727</v>
      </c>
      <c r="W10317" t="s">
        <v>46304</v>
      </c>
      <c r="X10317" t="s">
        <v>47314</v>
      </c>
    </row>
    <row r="10318" spans="1:24">
      <c r="A10318">
        <f>HYPERLINK("https://www.philgeps.gov.ph/GEPSNONPILOT/Tender/SplashBidNoticeAbstractUI.aspx?menuIndex=3&amp;refID=7186835&amp;Result=3","7186835")</f>
        <v>0</v>
      </c>
      <c r="B10318" t="s">
        <v>1119</v>
      </c>
      <c r="C10318" t="s">
        <v>13592</v>
      </c>
      <c r="D10318" t="s">
        <v>19002</v>
      </c>
      <c r="E10318" t="s">
        <v>27901</v>
      </c>
      <c r="F10318" t="s">
        <v>32606</v>
      </c>
      <c r="G10318" t="s">
        <v>32613</v>
      </c>
      <c r="H10318" t="s">
        <v>14201</v>
      </c>
      <c r="I10318" t="s">
        <v>32629</v>
      </c>
      <c r="J10318" t="s">
        <v>39179</v>
      </c>
      <c r="K10318" t="s">
        <v>42648</v>
      </c>
      <c r="M10318" t="s">
        <v>44081</v>
      </c>
      <c r="N10318" t="s">
        <v>47304</v>
      </c>
      <c r="O10318" t="s">
        <v>47305</v>
      </c>
      <c r="P10318">
        <v>0</v>
      </c>
      <c r="Q10318">
        <v>0</v>
      </c>
      <c r="R10318" t="s">
        <v>47313</v>
      </c>
      <c r="S10318" t="s">
        <v>47535</v>
      </c>
      <c r="T10318" t="s">
        <v>49071</v>
      </c>
      <c r="U10318" t="s">
        <v>58046</v>
      </c>
      <c r="W10318" t="s">
        <v>64462</v>
      </c>
      <c r="X10318" t="s">
        <v>47314</v>
      </c>
    </row>
    <row r="10319" spans="1:24">
      <c r="A10319">
        <f>HYPERLINK("https://www.philgeps.gov.ph/GEPSNONPILOT/Tender/SplashBidNoticeAbstractUI.aspx?menuIndex=3&amp;refID=7186832&amp;Result=3","7186832")</f>
        <v>0</v>
      </c>
      <c r="B10319" t="s">
        <v>1119</v>
      </c>
      <c r="C10319" t="s">
        <v>13593</v>
      </c>
      <c r="D10319" t="s">
        <v>19002</v>
      </c>
      <c r="E10319" t="s">
        <v>27902</v>
      </c>
      <c r="F10319" t="s">
        <v>32606</v>
      </c>
      <c r="G10319" t="s">
        <v>32613</v>
      </c>
      <c r="H10319" t="s">
        <v>14201</v>
      </c>
      <c r="I10319" t="s">
        <v>32654</v>
      </c>
      <c r="J10319" t="s">
        <v>39180</v>
      </c>
      <c r="K10319" t="s">
        <v>42623</v>
      </c>
      <c r="M10319" t="s">
        <v>44081</v>
      </c>
      <c r="N10319" t="s">
        <v>47304</v>
      </c>
      <c r="O10319" t="s">
        <v>47305</v>
      </c>
      <c r="P10319">
        <v>0</v>
      </c>
      <c r="Q10319">
        <v>1</v>
      </c>
      <c r="R10319" t="s">
        <v>47313</v>
      </c>
      <c r="S10319" t="s">
        <v>47535</v>
      </c>
      <c r="T10319" t="s">
        <v>49071</v>
      </c>
      <c r="U10319" t="s">
        <v>58047</v>
      </c>
      <c r="W10319" t="s">
        <v>64462</v>
      </c>
      <c r="X10319" t="s">
        <v>47314</v>
      </c>
    </row>
    <row r="10320" spans="1:24">
      <c r="A10320">
        <f>HYPERLINK("https://www.philgeps.gov.ph/GEPSNONPILOT/Tender/SplashBidNoticeAbstractUI.aspx?menuIndex=3&amp;refID=7186829&amp;Result=3","7186829")</f>
        <v>0</v>
      </c>
      <c r="B10320" t="s">
        <v>2751</v>
      </c>
      <c r="C10320" t="s">
        <v>13594</v>
      </c>
      <c r="D10320" t="s">
        <v>19034</v>
      </c>
      <c r="E10320" t="s">
        <v>27903</v>
      </c>
      <c r="F10320" t="s">
        <v>32606</v>
      </c>
      <c r="G10320" t="s">
        <v>32613</v>
      </c>
      <c r="H10320" t="s">
        <v>32623</v>
      </c>
      <c r="I10320" t="s">
        <v>17648</v>
      </c>
      <c r="J10320" t="s">
        <v>32767</v>
      </c>
      <c r="K10320" t="s">
        <v>42675</v>
      </c>
      <c r="M10320" t="s">
        <v>45909</v>
      </c>
      <c r="N10320" t="s">
        <v>47304</v>
      </c>
      <c r="O10320" t="s">
        <v>47305</v>
      </c>
      <c r="P10320">
        <v>0</v>
      </c>
      <c r="Q10320">
        <v>6</v>
      </c>
      <c r="R10320" t="s">
        <v>47313</v>
      </c>
      <c r="S10320" t="s">
        <v>47535</v>
      </c>
      <c r="T10320" t="s">
        <v>49140</v>
      </c>
      <c r="U10320" t="s">
        <v>58048</v>
      </c>
      <c r="V10320" t="s">
        <v>63730</v>
      </c>
      <c r="W10320" t="s">
        <v>45909</v>
      </c>
      <c r="X10320" t="s">
        <v>47314</v>
      </c>
    </row>
    <row r="10321" spans="1:24">
      <c r="A10321">
        <f>HYPERLINK("https://www.philgeps.gov.ph/GEPSNONPILOT/Tender/SplashBidNoticeAbstractUI.aspx?menuIndex=3&amp;refID=7186804&amp;Result=3","7186804")</f>
        <v>0</v>
      </c>
      <c r="B10321" t="s">
        <v>2751</v>
      </c>
      <c r="C10321" t="s">
        <v>13595</v>
      </c>
      <c r="D10321" t="s">
        <v>19034</v>
      </c>
      <c r="E10321" t="s">
        <v>27904</v>
      </c>
      <c r="F10321" t="s">
        <v>32606</v>
      </c>
      <c r="G10321" t="s">
        <v>32613</v>
      </c>
      <c r="H10321" t="s">
        <v>14201</v>
      </c>
      <c r="I10321" t="s">
        <v>8606</v>
      </c>
      <c r="J10321" t="s">
        <v>32765</v>
      </c>
      <c r="K10321" t="s">
        <v>42632</v>
      </c>
      <c r="M10321" t="s">
        <v>45909</v>
      </c>
      <c r="N10321" t="s">
        <v>47304</v>
      </c>
      <c r="O10321" t="s">
        <v>47305</v>
      </c>
      <c r="P10321">
        <v>0</v>
      </c>
      <c r="Q10321">
        <v>1</v>
      </c>
      <c r="R10321" t="s">
        <v>47313</v>
      </c>
      <c r="S10321" t="s">
        <v>47535</v>
      </c>
      <c r="T10321" t="s">
        <v>49268</v>
      </c>
      <c r="U10321" t="s">
        <v>58049</v>
      </c>
      <c r="W10321" t="s">
        <v>45909</v>
      </c>
      <c r="X10321" t="s">
        <v>47314</v>
      </c>
    </row>
    <row r="10322" spans="1:24">
      <c r="A10322">
        <f>HYPERLINK("https://www.philgeps.gov.ph/GEPSNONPILOT/Tender/SplashBidNoticeAbstractUI.aspx?menuIndex=3&amp;refID=7186828&amp;Result=3","7186828")</f>
        <v>0</v>
      </c>
      <c r="B10322" t="s">
        <v>726</v>
      </c>
      <c r="C10322" t="s">
        <v>13596</v>
      </c>
      <c r="D10322" t="s">
        <v>19009</v>
      </c>
      <c r="E10322" t="s">
        <v>27905</v>
      </c>
      <c r="F10322" t="s">
        <v>32606</v>
      </c>
      <c r="G10322" t="s">
        <v>32613</v>
      </c>
      <c r="H10322" t="s">
        <v>14201</v>
      </c>
      <c r="I10322" t="s">
        <v>7677</v>
      </c>
      <c r="J10322" t="s">
        <v>39181</v>
      </c>
      <c r="K10322" t="s">
        <v>42623</v>
      </c>
      <c r="M10322" t="s">
        <v>43942</v>
      </c>
      <c r="N10322" t="s">
        <v>47304</v>
      </c>
      <c r="O10322" t="s">
        <v>47305</v>
      </c>
      <c r="P10322">
        <v>0</v>
      </c>
      <c r="Q10322">
        <v>1</v>
      </c>
      <c r="R10322" t="s">
        <v>47313</v>
      </c>
      <c r="S10322" t="s">
        <v>47535</v>
      </c>
      <c r="T10322" t="s">
        <v>49198</v>
      </c>
      <c r="U10322" t="s">
        <v>58050</v>
      </c>
      <c r="V10322" t="s">
        <v>62846</v>
      </c>
      <c r="W10322" t="s">
        <v>43942</v>
      </c>
      <c r="X10322" t="s">
        <v>47314</v>
      </c>
    </row>
    <row r="10323" spans="1:24">
      <c r="A10323">
        <f>HYPERLINK("https://www.philgeps.gov.ph/GEPSNONPILOT/Tender/SplashBidNoticeAbstractUI.aspx?menuIndex=3&amp;refID=7186827&amp;Result=3","7186827")</f>
        <v>0</v>
      </c>
      <c r="B10323" t="s">
        <v>1119</v>
      </c>
      <c r="C10323" t="s">
        <v>13597</v>
      </c>
      <c r="D10323" t="s">
        <v>19002</v>
      </c>
      <c r="E10323" t="s">
        <v>27906</v>
      </c>
      <c r="F10323" t="s">
        <v>32606</v>
      </c>
      <c r="G10323" t="s">
        <v>32613</v>
      </c>
      <c r="H10323" t="s">
        <v>14201</v>
      </c>
      <c r="I10323" t="s">
        <v>32650</v>
      </c>
      <c r="J10323" t="s">
        <v>33047</v>
      </c>
      <c r="K10323" t="s">
        <v>42623</v>
      </c>
      <c r="M10323" t="s">
        <v>44081</v>
      </c>
      <c r="N10323" t="s">
        <v>47304</v>
      </c>
      <c r="O10323" t="s">
        <v>47305</v>
      </c>
      <c r="P10323">
        <v>0</v>
      </c>
      <c r="Q10323">
        <v>1</v>
      </c>
      <c r="R10323" t="s">
        <v>47313</v>
      </c>
      <c r="S10323" t="s">
        <v>47535</v>
      </c>
      <c r="T10323" t="s">
        <v>49071</v>
      </c>
      <c r="U10323" t="s">
        <v>58051</v>
      </c>
      <c r="W10323" t="s">
        <v>64462</v>
      </c>
      <c r="X10323" t="s">
        <v>47314</v>
      </c>
    </row>
    <row r="10324" spans="1:24">
      <c r="A10324">
        <f>HYPERLINK("https://www.philgeps.gov.ph/GEPSNONPILOT/Tender/SplashBidNoticeAbstractUI.aspx?menuIndex=3&amp;refID=7186826&amp;Result=3","7186826")</f>
        <v>0</v>
      </c>
      <c r="B10324" t="s">
        <v>1119</v>
      </c>
      <c r="C10324" t="s">
        <v>13598</v>
      </c>
      <c r="D10324" t="s">
        <v>19002</v>
      </c>
      <c r="E10324" t="s">
        <v>27907</v>
      </c>
      <c r="F10324" t="s">
        <v>32606</v>
      </c>
      <c r="G10324" t="s">
        <v>32613</v>
      </c>
      <c r="H10324" t="s">
        <v>14201</v>
      </c>
      <c r="I10324" t="s">
        <v>32662</v>
      </c>
      <c r="J10324" t="s">
        <v>39182</v>
      </c>
      <c r="K10324" t="s">
        <v>42623</v>
      </c>
      <c r="M10324" t="s">
        <v>44081</v>
      </c>
      <c r="N10324" t="s">
        <v>47304</v>
      </c>
      <c r="O10324" t="s">
        <v>47305</v>
      </c>
      <c r="P10324">
        <v>0</v>
      </c>
      <c r="Q10324">
        <v>3</v>
      </c>
      <c r="R10324" t="s">
        <v>47313</v>
      </c>
      <c r="S10324" t="s">
        <v>47535</v>
      </c>
      <c r="T10324" t="s">
        <v>49071</v>
      </c>
      <c r="U10324" t="s">
        <v>58052</v>
      </c>
      <c r="W10324" t="s">
        <v>64462</v>
      </c>
      <c r="X10324" t="s">
        <v>47314</v>
      </c>
    </row>
    <row r="10325" spans="1:24">
      <c r="A10325">
        <f>HYPERLINK("https://www.philgeps.gov.ph/GEPSNONPILOT/Tender/SplashBidNoticeAbstractUI.aspx?menuIndex=3&amp;refID=7186833&amp;Result=3","7186833")</f>
        <v>0</v>
      </c>
      <c r="B10325" t="s">
        <v>1119</v>
      </c>
      <c r="C10325" t="s">
        <v>13599</v>
      </c>
      <c r="D10325" t="s">
        <v>19002</v>
      </c>
      <c r="E10325" t="s">
        <v>27908</v>
      </c>
      <c r="F10325" t="s">
        <v>32606</v>
      </c>
      <c r="G10325" t="s">
        <v>32613</v>
      </c>
      <c r="H10325" t="s">
        <v>14201</v>
      </c>
      <c r="I10325" t="s">
        <v>4678</v>
      </c>
      <c r="J10325" t="s">
        <v>39183</v>
      </c>
      <c r="K10325" t="s">
        <v>42623</v>
      </c>
      <c r="M10325" t="s">
        <v>44081</v>
      </c>
      <c r="N10325" t="s">
        <v>47304</v>
      </c>
      <c r="O10325" t="s">
        <v>47305</v>
      </c>
      <c r="P10325">
        <v>0</v>
      </c>
      <c r="Q10325">
        <v>6</v>
      </c>
      <c r="R10325" t="s">
        <v>47313</v>
      </c>
      <c r="S10325" t="s">
        <v>47535</v>
      </c>
      <c r="T10325" t="s">
        <v>49157</v>
      </c>
      <c r="U10325" t="s">
        <v>58053</v>
      </c>
      <c r="W10325" t="s">
        <v>64462</v>
      </c>
      <c r="X10325" t="s">
        <v>47314</v>
      </c>
    </row>
    <row r="10326" spans="1:24">
      <c r="A10326">
        <f>HYPERLINK("https://www.philgeps.gov.ph/GEPSNONPILOT/Tender/SplashBidNoticeAbstractUI.aspx?menuIndex=3&amp;refID=7186831&amp;Result=3","7186831")</f>
        <v>0</v>
      </c>
      <c r="B10326" t="s">
        <v>1119</v>
      </c>
      <c r="C10326" t="s">
        <v>13600</v>
      </c>
      <c r="D10326" t="s">
        <v>19002</v>
      </c>
      <c r="E10326" t="s">
        <v>27909</v>
      </c>
      <c r="F10326" t="s">
        <v>32606</v>
      </c>
      <c r="G10326" t="s">
        <v>32613</v>
      </c>
      <c r="H10326" t="s">
        <v>14201</v>
      </c>
      <c r="I10326" t="s">
        <v>32638</v>
      </c>
      <c r="J10326" t="s">
        <v>32781</v>
      </c>
      <c r="K10326" t="s">
        <v>42623</v>
      </c>
      <c r="M10326" t="s">
        <v>44081</v>
      </c>
      <c r="N10326" t="s">
        <v>47304</v>
      </c>
      <c r="O10326" t="s">
        <v>47305</v>
      </c>
      <c r="P10326">
        <v>0</v>
      </c>
      <c r="Q10326">
        <v>10</v>
      </c>
      <c r="R10326" t="s">
        <v>47313</v>
      </c>
      <c r="S10326" t="s">
        <v>47535</v>
      </c>
      <c r="T10326" t="s">
        <v>49071</v>
      </c>
      <c r="U10326" t="s">
        <v>58054</v>
      </c>
      <c r="W10326" t="s">
        <v>64462</v>
      </c>
      <c r="X10326" t="s">
        <v>47314</v>
      </c>
    </row>
    <row r="10327" spans="1:24">
      <c r="A10327">
        <f>HYPERLINK("https://www.philgeps.gov.ph/GEPSNONPILOT/Tender/SplashBidNoticeAbstractUI.aspx?menuIndex=3&amp;refID=7186776&amp;Result=3","7186776")</f>
        <v>0</v>
      </c>
      <c r="B10327" t="s">
        <v>3105</v>
      </c>
      <c r="C10327" t="s">
        <v>13601</v>
      </c>
      <c r="D10327" t="s">
        <v>18993</v>
      </c>
      <c r="E10327" t="s">
        <v>27910</v>
      </c>
      <c r="F10327" t="s">
        <v>32606</v>
      </c>
      <c r="G10327" t="s">
        <v>32613</v>
      </c>
      <c r="H10327" t="s">
        <v>14201</v>
      </c>
      <c r="I10327" t="s">
        <v>32656</v>
      </c>
      <c r="J10327" t="s">
        <v>32981</v>
      </c>
      <c r="K10327" t="s">
        <v>42632</v>
      </c>
      <c r="M10327" t="s">
        <v>46312</v>
      </c>
      <c r="N10327" t="s">
        <v>47304</v>
      </c>
      <c r="O10327" t="s">
        <v>47305</v>
      </c>
      <c r="P10327">
        <v>0</v>
      </c>
      <c r="Q10327">
        <v>3</v>
      </c>
      <c r="R10327" t="s">
        <v>47313</v>
      </c>
      <c r="S10327" t="s">
        <v>47535</v>
      </c>
      <c r="T10327" t="s">
        <v>49268</v>
      </c>
      <c r="U10327" t="s">
        <v>58055</v>
      </c>
      <c r="V10327" t="s">
        <v>63731</v>
      </c>
      <c r="W10327" t="s">
        <v>46312</v>
      </c>
      <c r="X10327" t="s">
        <v>47314</v>
      </c>
    </row>
    <row r="10328" spans="1:24">
      <c r="A10328">
        <f>HYPERLINK("https://www.philgeps.gov.ph/GEPSNONPILOT/Tender/SplashBidNoticeAbstractUI.aspx?menuIndex=3&amp;refID=7186840&amp;Result=3","7186840")</f>
        <v>0</v>
      </c>
      <c r="B10328" t="s">
        <v>1119</v>
      </c>
      <c r="C10328" t="s">
        <v>13602</v>
      </c>
      <c r="D10328" t="s">
        <v>19002</v>
      </c>
      <c r="E10328" t="s">
        <v>27911</v>
      </c>
      <c r="F10328" t="s">
        <v>32606</v>
      </c>
      <c r="G10328" t="s">
        <v>32613</v>
      </c>
      <c r="H10328" t="s">
        <v>14201</v>
      </c>
      <c r="I10328" t="s">
        <v>32714</v>
      </c>
      <c r="J10328" t="s">
        <v>32995</v>
      </c>
      <c r="K10328" t="s">
        <v>42623</v>
      </c>
      <c r="M10328" t="s">
        <v>44081</v>
      </c>
      <c r="N10328" t="s">
        <v>47304</v>
      </c>
      <c r="O10328" t="s">
        <v>47305</v>
      </c>
      <c r="P10328">
        <v>0</v>
      </c>
      <c r="Q10328">
        <v>0</v>
      </c>
      <c r="R10328" t="s">
        <v>47313</v>
      </c>
      <c r="S10328" t="s">
        <v>47535</v>
      </c>
      <c r="T10328" t="s">
        <v>49071</v>
      </c>
      <c r="U10328" t="s">
        <v>58056</v>
      </c>
      <c r="W10328" t="s">
        <v>64462</v>
      </c>
      <c r="X10328" t="s">
        <v>47314</v>
      </c>
    </row>
    <row r="10329" spans="1:24">
      <c r="A10329">
        <f>HYPERLINK("https://www.philgeps.gov.ph/GEPSNONPILOT/Tender/SplashBidNoticeAbstractUI.aspx?menuIndex=3&amp;refID=7186837&amp;Result=3","7186837")</f>
        <v>0</v>
      </c>
      <c r="B10329" t="s">
        <v>726</v>
      </c>
      <c r="C10329" t="s">
        <v>13603</v>
      </c>
      <c r="D10329" t="s">
        <v>19009</v>
      </c>
      <c r="E10329" t="s">
        <v>27912</v>
      </c>
      <c r="F10329" t="s">
        <v>32606</v>
      </c>
      <c r="G10329" t="s">
        <v>32613</v>
      </c>
      <c r="H10329" t="s">
        <v>14201</v>
      </c>
      <c r="I10329" t="s">
        <v>32638</v>
      </c>
      <c r="J10329" t="s">
        <v>32999</v>
      </c>
      <c r="K10329" t="s">
        <v>42636</v>
      </c>
      <c r="M10329" t="s">
        <v>43942</v>
      </c>
      <c r="N10329" t="s">
        <v>47304</v>
      </c>
      <c r="O10329" t="s">
        <v>47305</v>
      </c>
      <c r="P10329">
        <v>0</v>
      </c>
      <c r="Q10329">
        <v>4</v>
      </c>
      <c r="R10329" t="s">
        <v>47313</v>
      </c>
      <c r="S10329" t="s">
        <v>47535</v>
      </c>
      <c r="T10329" t="s">
        <v>49198</v>
      </c>
      <c r="U10329" t="s">
        <v>58057</v>
      </c>
      <c r="V10329" t="s">
        <v>62846</v>
      </c>
      <c r="W10329" t="s">
        <v>43942</v>
      </c>
      <c r="X10329" t="s">
        <v>47314</v>
      </c>
    </row>
    <row r="10330" spans="1:24">
      <c r="A10330">
        <f>HYPERLINK("https://www.philgeps.gov.ph/GEPSNONPILOT/Tender/SplashBidNoticeAbstractUI.aspx?menuIndex=3&amp;refID=7186779&amp;Result=3","7186779")</f>
        <v>0</v>
      </c>
      <c r="B10330" t="s">
        <v>1172</v>
      </c>
      <c r="C10330" t="s">
        <v>13604</v>
      </c>
      <c r="D10330" t="s">
        <v>19060</v>
      </c>
      <c r="E10330" t="s">
        <v>27913</v>
      </c>
      <c r="F10330" t="s">
        <v>32606</v>
      </c>
      <c r="G10330" t="s">
        <v>32614</v>
      </c>
      <c r="H10330" t="s">
        <v>14201</v>
      </c>
      <c r="I10330" t="s">
        <v>32650</v>
      </c>
      <c r="J10330" t="s">
        <v>39184</v>
      </c>
      <c r="K10330" t="s">
        <v>42631</v>
      </c>
      <c r="M10330" t="s">
        <v>44135</v>
      </c>
      <c r="N10330" t="s">
        <v>47304</v>
      </c>
      <c r="O10330" t="s">
        <v>47305</v>
      </c>
      <c r="P10330">
        <v>0</v>
      </c>
      <c r="Q10330">
        <v>1</v>
      </c>
      <c r="R10330" t="s">
        <v>47313</v>
      </c>
      <c r="S10330" t="s">
        <v>47535</v>
      </c>
      <c r="T10330" t="s">
        <v>49071</v>
      </c>
      <c r="U10330" t="s">
        <v>51932</v>
      </c>
      <c r="W10330" t="s">
        <v>44135</v>
      </c>
      <c r="X10330" t="s">
        <v>47314</v>
      </c>
    </row>
    <row r="10331" spans="1:24">
      <c r="A10331">
        <f>HYPERLINK("https://www.philgeps.gov.ph/GEPSNONPILOT/Tender/SplashBidNoticeAbstractUI.aspx?menuIndex=3&amp;refID=7186836&amp;Result=3","7186836")</f>
        <v>0</v>
      </c>
      <c r="B10331" t="s">
        <v>1769</v>
      </c>
      <c r="C10331" t="s">
        <v>6491</v>
      </c>
      <c r="D10331" t="s">
        <v>19037</v>
      </c>
      <c r="E10331" t="s">
        <v>27914</v>
      </c>
      <c r="F10331" t="s">
        <v>32606</v>
      </c>
      <c r="G10331" t="s">
        <v>32613</v>
      </c>
      <c r="H10331" t="s">
        <v>14201</v>
      </c>
      <c r="I10331" t="s">
        <v>32633</v>
      </c>
      <c r="J10331" t="s">
        <v>39185</v>
      </c>
      <c r="K10331" t="s">
        <v>42623</v>
      </c>
      <c r="M10331" t="s">
        <v>44807</v>
      </c>
      <c r="N10331" t="s">
        <v>47304</v>
      </c>
      <c r="O10331" t="s">
        <v>47305</v>
      </c>
      <c r="P10331">
        <v>0</v>
      </c>
      <c r="Q10331">
        <v>14</v>
      </c>
      <c r="R10331" t="s">
        <v>47313</v>
      </c>
      <c r="S10331" t="s">
        <v>47535</v>
      </c>
      <c r="T10331" t="s">
        <v>49353</v>
      </c>
      <c r="U10331" t="s">
        <v>58058</v>
      </c>
      <c r="W10331" t="s">
        <v>44807</v>
      </c>
      <c r="X10331" t="s">
        <v>47314</v>
      </c>
    </row>
    <row r="10332" spans="1:24">
      <c r="A10332">
        <f>HYPERLINK("https://www.philgeps.gov.ph/GEPSNONPILOT/Tender/SplashBidNoticeAbstractUI.aspx?menuIndex=3&amp;refID=7186823&amp;Result=3","7186823")</f>
        <v>0</v>
      </c>
      <c r="B10332" t="s">
        <v>38</v>
      </c>
      <c r="C10332" t="s">
        <v>13605</v>
      </c>
      <c r="D10332" t="s">
        <v>18998</v>
      </c>
      <c r="E10332" t="s">
        <v>27915</v>
      </c>
      <c r="F10332" t="s">
        <v>32606</v>
      </c>
      <c r="G10332" t="s">
        <v>32614</v>
      </c>
      <c r="H10332" t="s">
        <v>14201</v>
      </c>
      <c r="I10332" t="s">
        <v>32658</v>
      </c>
      <c r="J10332" t="s">
        <v>39186</v>
      </c>
      <c r="K10332" t="s">
        <v>42623</v>
      </c>
      <c r="M10332" t="s">
        <v>42935</v>
      </c>
      <c r="N10332" t="s">
        <v>47304</v>
      </c>
      <c r="O10332" t="s">
        <v>47305</v>
      </c>
      <c r="P10332">
        <v>0</v>
      </c>
      <c r="Q10332">
        <v>2</v>
      </c>
      <c r="R10332" t="s">
        <v>47313</v>
      </c>
      <c r="S10332" t="s">
        <v>47535</v>
      </c>
      <c r="T10332" t="s">
        <v>49445</v>
      </c>
      <c r="U10332" t="s">
        <v>58059</v>
      </c>
      <c r="W10332" t="s">
        <v>64419</v>
      </c>
      <c r="X10332" t="s">
        <v>47314</v>
      </c>
    </row>
    <row r="10333" spans="1:24">
      <c r="A10333">
        <f>HYPERLINK("https://www.philgeps.gov.ph/GEPSNONPILOT/Tender/SplashBidNoticeAbstractUI.aspx?menuIndex=3&amp;refID=7186821&amp;Result=3","7186821")</f>
        <v>0</v>
      </c>
      <c r="B10333" t="s">
        <v>362</v>
      </c>
      <c r="C10333" t="s">
        <v>13606</v>
      </c>
      <c r="D10333" t="s">
        <v>19023</v>
      </c>
      <c r="E10333" t="s">
        <v>27916</v>
      </c>
      <c r="F10333" t="s">
        <v>32606</v>
      </c>
      <c r="G10333" t="s">
        <v>32614</v>
      </c>
      <c r="H10333" t="s">
        <v>14201</v>
      </c>
      <c r="I10333" t="s">
        <v>32655</v>
      </c>
      <c r="J10333" t="s">
        <v>39187</v>
      </c>
      <c r="K10333" t="s">
        <v>42630</v>
      </c>
      <c r="M10333" t="s">
        <v>45656</v>
      </c>
      <c r="N10333" t="s">
        <v>47304</v>
      </c>
      <c r="O10333" t="s">
        <v>47305</v>
      </c>
      <c r="P10333">
        <v>0</v>
      </c>
      <c r="Q10333">
        <v>1</v>
      </c>
      <c r="R10333" t="s">
        <v>47313</v>
      </c>
      <c r="S10333" t="s">
        <v>47535</v>
      </c>
      <c r="T10333" t="s">
        <v>49071</v>
      </c>
      <c r="U10333" t="s">
        <v>58060</v>
      </c>
      <c r="W10333" t="s">
        <v>45656</v>
      </c>
      <c r="X10333" t="s">
        <v>47314</v>
      </c>
    </row>
    <row r="10334" spans="1:24">
      <c r="A10334">
        <f>HYPERLINK("https://www.philgeps.gov.ph/GEPSNONPILOT/Tender/SplashBidNoticeAbstractUI.aspx?menuIndex=3&amp;refID=7186844&amp;Result=3","7186844")</f>
        <v>0</v>
      </c>
      <c r="B10334" t="s">
        <v>1119</v>
      </c>
      <c r="C10334" t="s">
        <v>13607</v>
      </c>
      <c r="D10334" t="s">
        <v>19002</v>
      </c>
      <c r="E10334" t="s">
        <v>27917</v>
      </c>
      <c r="F10334" t="s">
        <v>32606</v>
      </c>
      <c r="G10334" t="s">
        <v>32613</v>
      </c>
      <c r="H10334" t="s">
        <v>14201</v>
      </c>
      <c r="I10334" t="s">
        <v>32710</v>
      </c>
      <c r="J10334" t="s">
        <v>39188</v>
      </c>
      <c r="K10334" t="s">
        <v>42623</v>
      </c>
      <c r="M10334" t="s">
        <v>44081</v>
      </c>
      <c r="N10334" t="s">
        <v>47304</v>
      </c>
      <c r="O10334" t="s">
        <v>47305</v>
      </c>
      <c r="P10334">
        <v>0</v>
      </c>
      <c r="Q10334">
        <v>1</v>
      </c>
      <c r="R10334" t="s">
        <v>47313</v>
      </c>
      <c r="S10334" t="s">
        <v>47535</v>
      </c>
      <c r="T10334" t="s">
        <v>49071</v>
      </c>
      <c r="U10334" t="s">
        <v>58061</v>
      </c>
      <c r="W10334" t="s">
        <v>64462</v>
      </c>
      <c r="X10334" t="s">
        <v>47314</v>
      </c>
    </row>
    <row r="10335" spans="1:24">
      <c r="A10335">
        <f>HYPERLINK("https://www.philgeps.gov.ph/GEPSNONPILOT/Tender/SplashBidNoticeAbstractUI.aspx?menuIndex=3&amp;refID=7186820&amp;Result=3","7186820")</f>
        <v>0</v>
      </c>
      <c r="B10335" t="s">
        <v>3106</v>
      </c>
      <c r="C10335" t="s">
        <v>7477</v>
      </c>
      <c r="D10335" t="s">
        <v>19004</v>
      </c>
      <c r="E10335" t="s">
        <v>27918</v>
      </c>
      <c r="F10335" t="s">
        <v>32606</v>
      </c>
      <c r="G10335" t="s">
        <v>32613</v>
      </c>
      <c r="H10335" t="s">
        <v>14201</v>
      </c>
      <c r="I10335" t="s">
        <v>4369</v>
      </c>
      <c r="J10335" t="s">
        <v>34667</v>
      </c>
      <c r="K10335" t="s">
        <v>42664</v>
      </c>
      <c r="M10335" t="s">
        <v>46313</v>
      </c>
      <c r="N10335" t="s">
        <v>47304</v>
      </c>
      <c r="O10335" t="s">
        <v>47305</v>
      </c>
      <c r="P10335">
        <v>0</v>
      </c>
      <c r="Q10335">
        <v>7</v>
      </c>
      <c r="R10335" t="s">
        <v>47313</v>
      </c>
      <c r="S10335" t="s">
        <v>47535</v>
      </c>
      <c r="T10335" t="s">
        <v>49446</v>
      </c>
      <c r="U10335" t="s">
        <v>58062</v>
      </c>
      <c r="V10335" t="s">
        <v>63732</v>
      </c>
      <c r="W10335" t="s">
        <v>46313</v>
      </c>
      <c r="X10335" t="s">
        <v>47314</v>
      </c>
    </row>
    <row r="10336" spans="1:24">
      <c r="A10336">
        <f>HYPERLINK("https://www.philgeps.gov.ph/GEPSNONPILOT/Tender/SplashBidNoticeAbstractUI.aspx?menuIndex=3&amp;refID=7186819&amp;Result=3","7186819")</f>
        <v>0</v>
      </c>
      <c r="B10336" t="s">
        <v>726</v>
      </c>
      <c r="C10336" t="s">
        <v>13608</v>
      </c>
      <c r="D10336" t="s">
        <v>19009</v>
      </c>
      <c r="E10336" t="s">
        <v>27919</v>
      </c>
      <c r="F10336" t="s">
        <v>32606</v>
      </c>
      <c r="G10336" t="s">
        <v>32613</v>
      </c>
      <c r="H10336" t="s">
        <v>14201</v>
      </c>
      <c r="I10336" t="s">
        <v>32633</v>
      </c>
      <c r="J10336" t="s">
        <v>39189</v>
      </c>
      <c r="K10336" t="s">
        <v>42623</v>
      </c>
      <c r="M10336" t="s">
        <v>43942</v>
      </c>
      <c r="N10336" t="s">
        <v>47304</v>
      </c>
      <c r="O10336" t="s">
        <v>47305</v>
      </c>
      <c r="P10336">
        <v>0</v>
      </c>
      <c r="Q10336">
        <v>3</v>
      </c>
      <c r="R10336" t="s">
        <v>47313</v>
      </c>
      <c r="S10336" t="s">
        <v>47535</v>
      </c>
      <c r="T10336" t="s">
        <v>49198</v>
      </c>
      <c r="U10336" t="s">
        <v>58063</v>
      </c>
      <c r="V10336" t="s">
        <v>62846</v>
      </c>
      <c r="W10336" t="s">
        <v>43942</v>
      </c>
      <c r="X10336" t="s">
        <v>47314</v>
      </c>
    </row>
    <row r="10337" spans="1:24">
      <c r="A10337">
        <f>HYPERLINK("https://www.philgeps.gov.ph/GEPSNONPILOT/Tender/SplashBidNoticeAbstractUI.aspx?menuIndex=3&amp;refID=7186851&amp;Result=3","7186851")</f>
        <v>0</v>
      </c>
      <c r="B10337" t="s">
        <v>1172</v>
      </c>
      <c r="C10337" t="s">
        <v>13609</v>
      </c>
      <c r="D10337" t="s">
        <v>19072</v>
      </c>
      <c r="E10337" t="s">
        <v>27920</v>
      </c>
      <c r="F10337" t="s">
        <v>32606</v>
      </c>
      <c r="G10337" t="s">
        <v>32614</v>
      </c>
      <c r="H10337" t="s">
        <v>14201</v>
      </c>
      <c r="I10337" t="s">
        <v>6298</v>
      </c>
      <c r="J10337" t="s">
        <v>34682</v>
      </c>
      <c r="K10337" t="s">
        <v>42631</v>
      </c>
      <c r="M10337" t="s">
        <v>44135</v>
      </c>
      <c r="N10337" t="s">
        <v>47304</v>
      </c>
      <c r="O10337" t="s">
        <v>47305</v>
      </c>
      <c r="P10337">
        <v>0</v>
      </c>
      <c r="Q10337">
        <v>2</v>
      </c>
      <c r="R10337" t="s">
        <v>47313</v>
      </c>
      <c r="S10337" t="s">
        <v>47535</v>
      </c>
      <c r="T10337" t="s">
        <v>49071</v>
      </c>
      <c r="U10337" t="s">
        <v>51932</v>
      </c>
      <c r="W10337" t="s">
        <v>44135</v>
      </c>
      <c r="X10337" t="s">
        <v>47314</v>
      </c>
    </row>
    <row r="10338" spans="1:24">
      <c r="A10338">
        <f>HYPERLINK("https://www.philgeps.gov.ph/GEPSNONPILOT/Tender/SplashBidNoticeAbstractUI.aspx?menuIndex=3&amp;refID=7186848&amp;Result=3","7186848")</f>
        <v>0</v>
      </c>
      <c r="B10338" t="s">
        <v>726</v>
      </c>
      <c r="C10338" t="s">
        <v>13610</v>
      </c>
      <c r="D10338" t="s">
        <v>19009</v>
      </c>
      <c r="E10338" t="s">
        <v>27921</v>
      </c>
      <c r="F10338" t="s">
        <v>32606</v>
      </c>
      <c r="G10338" t="s">
        <v>32613</v>
      </c>
      <c r="H10338" t="s">
        <v>14201</v>
      </c>
      <c r="I10338" t="s">
        <v>32638</v>
      </c>
      <c r="J10338" t="s">
        <v>32752</v>
      </c>
      <c r="K10338" t="s">
        <v>42636</v>
      </c>
      <c r="M10338" t="s">
        <v>43942</v>
      </c>
      <c r="N10338" t="s">
        <v>47304</v>
      </c>
      <c r="O10338" t="s">
        <v>47305</v>
      </c>
      <c r="P10338">
        <v>0</v>
      </c>
      <c r="Q10338">
        <v>4</v>
      </c>
      <c r="R10338" t="s">
        <v>47313</v>
      </c>
      <c r="S10338" t="s">
        <v>47535</v>
      </c>
      <c r="T10338" t="s">
        <v>49198</v>
      </c>
      <c r="U10338" t="s">
        <v>58064</v>
      </c>
      <c r="V10338" t="s">
        <v>62846</v>
      </c>
      <c r="W10338" t="s">
        <v>43942</v>
      </c>
      <c r="X10338" t="s">
        <v>47314</v>
      </c>
    </row>
    <row r="10339" spans="1:24">
      <c r="A10339">
        <f>HYPERLINK("https://www.philgeps.gov.ph/GEPSNONPILOT/Tender/SplashBidNoticeAbstractUI.aspx?menuIndex=3&amp;refID=7186873&amp;Result=3","7186873")</f>
        <v>0</v>
      </c>
      <c r="B10339" t="s">
        <v>726</v>
      </c>
      <c r="C10339" t="s">
        <v>13611</v>
      </c>
      <c r="D10339" t="s">
        <v>19009</v>
      </c>
      <c r="E10339" t="s">
        <v>27922</v>
      </c>
      <c r="F10339" t="s">
        <v>32606</v>
      </c>
      <c r="G10339" t="s">
        <v>32613</v>
      </c>
      <c r="H10339" t="s">
        <v>14201</v>
      </c>
      <c r="I10339" t="s">
        <v>7677</v>
      </c>
      <c r="J10339" t="s">
        <v>39190</v>
      </c>
      <c r="K10339" t="s">
        <v>42623</v>
      </c>
      <c r="M10339" t="s">
        <v>43942</v>
      </c>
      <c r="N10339" t="s">
        <v>47304</v>
      </c>
      <c r="O10339" t="s">
        <v>47305</v>
      </c>
      <c r="P10339">
        <v>0</v>
      </c>
      <c r="Q10339">
        <v>2</v>
      </c>
      <c r="R10339" t="s">
        <v>47313</v>
      </c>
      <c r="S10339" t="s">
        <v>47535</v>
      </c>
      <c r="T10339" t="s">
        <v>49198</v>
      </c>
      <c r="U10339" t="s">
        <v>58065</v>
      </c>
      <c r="V10339" t="s">
        <v>62846</v>
      </c>
      <c r="W10339" t="s">
        <v>43942</v>
      </c>
      <c r="X10339" t="s">
        <v>47314</v>
      </c>
    </row>
    <row r="10340" spans="1:24">
      <c r="A10340">
        <f>HYPERLINK("https://www.philgeps.gov.ph/GEPSNONPILOT/Tender/SplashBidNoticeAbstractUI.aspx?menuIndex=3&amp;refID=7186886&amp;Result=3","7186886")</f>
        <v>0</v>
      </c>
      <c r="B10340" t="s">
        <v>362</v>
      </c>
      <c r="C10340" t="s">
        <v>4862</v>
      </c>
      <c r="D10340" t="s">
        <v>19023</v>
      </c>
      <c r="E10340" t="s">
        <v>27923</v>
      </c>
      <c r="F10340" t="s">
        <v>32606</v>
      </c>
      <c r="G10340" t="s">
        <v>32619</v>
      </c>
      <c r="H10340" t="s">
        <v>14201</v>
      </c>
      <c r="I10340" t="s">
        <v>4120</v>
      </c>
      <c r="J10340" t="s">
        <v>39191</v>
      </c>
      <c r="K10340" t="s">
        <v>42630</v>
      </c>
      <c r="M10340" t="s">
        <v>45656</v>
      </c>
      <c r="N10340" t="s">
        <v>47304</v>
      </c>
      <c r="O10340" t="s">
        <v>47305</v>
      </c>
      <c r="P10340">
        <v>0</v>
      </c>
      <c r="Q10340">
        <v>1</v>
      </c>
      <c r="R10340" t="s">
        <v>47313</v>
      </c>
      <c r="S10340" t="s">
        <v>47535</v>
      </c>
      <c r="T10340" t="s">
        <v>49071</v>
      </c>
      <c r="U10340" t="s">
        <v>58066</v>
      </c>
      <c r="W10340" t="s">
        <v>45656</v>
      </c>
      <c r="X10340" t="s">
        <v>47314</v>
      </c>
    </row>
    <row r="10341" spans="1:24">
      <c r="A10341">
        <f>HYPERLINK("https://www.philgeps.gov.ph/GEPSNONPILOT/Tender/SplashBidNoticeAbstractUI.aspx?menuIndex=3&amp;refID=7186885&amp;Result=3","7186885")</f>
        <v>0</v>
      </c>
      <c r="B10341" t="s">
        <v>2102</v>
      </c>
      <c r="C10341" t="s">
        <v>13612</v>
      </c>
      <c r="D10341" t="s">
        <v>19050</v>
      </c>
      <c r="E10341" t="s">
        <v>27924</v>
      </c>
      <c r="F10341" t="s">
        <v>32606</v>
      </c>
      <c r="G10341" t="s">
        <v>32613</v>
      </c>
      <c r="H10341" t="s">
        <v>14201</v>
      </c>
      <c r="I10341" t="s">
        <v>32652</v>
      </c>
      <c r="J10341" t="s">
        <v>33103</v>
      </c>
      <c r="K10341" t="s">
        <v>42631</v>
      </c>
      <c r="M10341" t="s">
        <v>45187</v>
      </c>
      <c r="N10341" t="s">
        <v>47304</v>
      </c>
      <c r="O10341" t="s">
        <v>47305</v>
      </c>
      <c r="P10341">
        <v>0</v>
      </c>
      <c r="Q10341">
        <v>4</v>
      </c>
      <c r="R10341" t="s">
        <v>47313</v>
      </c>
      <c r="S10341" t="s">
        <v>47535</v>
      </c>
      <c r="T10341" t="s">
        <v>49095</v>
      </c>
      <c r="U10341" t="s">
        <v>58067</v>
      </c>
      <c r="W10341" t="s">
        <v>45187</v>
      </c>
      <c r="X10341" t="s">
        <v>47314</v>
      </c>
    </row>
    <row r="10342" spans="1:24">
      <c r="A10342">
        <f>HYPERLINK("https://www.philgeps.gov.ph/GEPSNONPILOT/Tender/SplashBidNoticeAbstractUI.aspx?menuIndex=3&amp;refID=7186841&amp;Result=3","7186841")</f>
        <v>0</v>
      </c>
      <c r="B10342" t="s">
        <v>1119</v>
      </c>
      <c r="C10342" t="s">
        <v>13613</v>
      </c>
      <c r="D10342" t="s">
        <v>19002</v>
      </c>
      <c r="E10342" t="s">
        <v>27925</v>
      </c>
      <c r="F10342" t="s">
        <v>32606</v>
      </c>
      <c r="G10342" t="s">
        <v>32613</v>
      </c>
      <c r="H10342" t="s">
        <v>14201</v>
      </c>
      <c r="I10342" t="s">
        <v>6993</v>
      </c>
      <c r="J10342" t="s">
        <v>39192</v>
      </c>
      <c r="K10342" t="s">
        <v>42623</v>
      </c>
      <c r="M10342" t="s">
        <v>44081</v>
      </c>
      <c r="N10342" t="s">
        <v>47304</v>
      </c>
      <c r="O10342" t="s">
        <v>47305</v>
      </c>
      <c r="P10342">
        <v>0</v>
      </c>
      <c r="Q10342">
        <v>0</v>
      </c>
      <c r="R10342" t="s">
        <v>47313</v>
      </c>
      <c r="S10342" t="s">
        <v>47535</v>
      </c>
      <c r="T10342" t="s">
        <v>49071</v>
      </c>
      <c r="U10342" t="s">
        <v>58068</v>
      </c>
      <c r="W10342" t="s">
        <v>64462</v>
      </c>
      <c r="X10342" t="s">
        <v>47314</v>
      </c>
    </row>
    <row r="10343" spans="1:24">
      <c r="A10343">
        <f>HYPERLINK("https://www.philgeps.gov.ph/GEPSNONPILOT/Tender/SplashBidNoticeAbstractUI.aspx?menuIndex=3&amp;refID=7186881&amp;Result=3","7186881")</f>
        <v>0</v>
      </c>
      <c r="B10343" t="s">
        <v>1172</v>
      </c>
      <c r="C10343" t="s">
        <v>13614</v>
      </c>
      <c r="D10343" t="s">
        <v>19072</v>
      </c>
      <c r="E10343" t="s">
        <v>27926</v>
      </c>
      <c r="F10343" t="s">
        <v>32606</v>
      </c>
      <c r="G10343" t="s">
        <v>32614</v>
      </c>
      <c r="H10343" t="s">
        <v>14201</v>
      </c>
      <c r="I10343" t="s">
        <v>32650</v>
      </c>
      <c r="J10343" t="s">
        <v>39193</v>
      </c>
      <c r="K10343" t="s">
        <v>42631</v>
      </c>
      <c r="M10343" t="s">
        <v>44135</v>
      </c>
      <c r="N10343" t="s">
        <v>47304</v>
      </c>
      <c r="O10343" t="s">
        <v>47305</v>
      </c>
      <c r="P10343">
        <v>0</v>
      </c>
      <c r="Q10343">
        <v>2</v>
      </c>
      <c r="R10343" t="s">
        <v>47313</v>
      </c>
      <c r="S10343" t="s">
        <v>47535</v>
      </c>
      <c r="T10343" t="s">
        <v>49071</v>
      </c>
      <c r="U10343" t="s">
        <v>51932</v>
      </c>
      <c r="W10343" t="s">
        <v>44135</v>
      </c>
      <c r="X10343" t="s">
        <v>47314</v>
      </c>
    </row>
    <row r="10344" spans="1:24">
      <c r="A10344">
        <f>HYPERLINK("https://www.philgeps.gov.ph/GEPSNONPILOT/Tender/SplashBidNoticeAbstractUI.aspx?menuIndex=3&amp;refID=7186838&amp;Result=3","7186838")</f>
        <v>0</v>
      </c>
      <c r="B10344" t="s">
        <v>1119</v>
      </c>
      <c r="C10344" t="s">
        <v>13615</v>
      </c>
      <c r="D10344" t="s">
        <v>19002</v>
      </c>
      <c r="E10344" t="s">
        <v>27927</v>
      </c>
      <c r="F10344" t="s">
        <v>32606</v>
      </c>
      <c r="G10344" t="s">
        <v>32613</v>
      </c>
      <c r="H10344" t="s">
        <v>14201</v>
      </c>
      <c r="I10344" t="s">
        <v>4120</v>
      </c>
      <c r="J10344" t="s">
        <v>39194</v>
      </c>
      <c r="K10344" t="s">
        <v>42623</v>
      </c>
      <c r="M10344" t="s">
        <v>44081</v>
      </c>
      <c r="N10344" t="s">
        <v>47304</v>
      </c>
      <c r="O10344" t="s">
        <v>47305</v>
      </c>
      <c r="P10344">
        <v>0</v>
      </c>
      <c r="Q10344">
        <v>2</v>
      </c>
      <c r="R10344" t="s">
        <v>47313</v>
      </c>
      <c r="S10344" t="s">
        <v>47535</v>
      </c>
      <c r="T10344" t="s">
        <v>49071</v>
      </c>
      <c r="U10344" t="s">
        <v>58069</v>
      </c>
      <c r="W10344" t="s">
        <v>64462</v>
      </c>
      <c r="X10344" t="s">
        <v>47314</v>
      </c>
    </row>
    <row r="10345" spans="1:24">
      <c r="A10345">
        <f>HYPERLINK("https://www.philgeps.gov.ph/GEPSNONPILOT/Tender/SplashBidNoticeAbstractUI.aspx?menuIndex=3&amp;refID=7186874&amp;Result=3","7186874")</f>
        <v>0</v>
      </c>
      <c r="B10345" t="s">
        <v>3107</v>
      </c>
      <c r="C10345" t="s">
        <v>13616</v>
      </c>
      <c r="D10345" t="s">
        <v>19001</v>
      </c>
      <c r="E10345" t="s">
        <v>19382</v>
      </c>
      <c r="F10345" t="s">
        <v>32606</v>
      </c>
      <c r="G10345" t="s">
        <v>32613</v>
      </c>
      <c r="H10345" t="s">
        <v>14201</v>
      </c>
      <c r="I10345" t="s">
        <v>7677</v>
      </c>
      <c r="J10345" t="s">
        <v>39195</v>
      </c>
      <c r="K10345" t="s">
        <v>42638</v>
      </c>
      <c r="M10345" t="s">
        <v>46314</v>
      </c>
      <c r="N10345" t="s">
        <v>47304</v>
      </c>
      <c r="O10345" t="s">
        <v>47305</v>
      </c>
      <c r="P10345">
        <v>0</v>
      </c>
      <c r="Q10345">
        <v>4</v>
      </c>
      <c r="R10345" t="s">
        <v>47313</v>
      </c>
      <c r="S10345" t="s">
        <v>47535</v>
      </c>
      <c r="T10345" t="s">
        <v>49071</v>
      </c>
      <c r="U10345" t="s">
        <v>58070</v>
      </c>
      <c r="W10345" t="s">
        <v>46314</v>
      </c>
      <c r="X10345" t="s">
        <v>47314</v>
      </c>
    </row>
    <row r="10346" spans="1:24">
      <c r="A10346">
        <f>HYPERLINK("https://www.philgeps.gov.ph/GEPSNONPILOT/Tender/SplashBidNoticeAbstractUI.aspx?menuIndex=3&amp;refID=7186884&amp;Result=3","7186884")</f>
        <v>0</v>
      </c>
      <c r="B10346" t="s">
        <v>1172</v>
      </c>
      <c r="C10346" t="s">
        <v>13617</v>
      </c>
      <c r="D10346" t="s">
        <v>19072</v>
      </c>
      <c r="E10346" t="s">
        <v>27928</v>
      </c>
      <c r="F10346" t="s">
        <v>32606</v>
      </c>
      <c r="G10346" t="s">
        <v>32614</v>
      </c>
      <c r="H10346" t="s">
        <v>14201</v>
      </c>
      <c r="I10346" t="s">
        <v>6298</v>
      </c>
      <c r="J10346" t="s">
        <v>39196</v>
      </c>
      <c r="K10346" t="s">
        <v>42631</v>
      </c>
      <c r="M10346" t="s">
        <v>44135</v>
      </c>
      <c r="N10346" t="s">
        <v>47304</v>
      </c>
      <c r="O10346" t="s">
        <v>47305</v>
      </c>
      <c r="P10346">
        <v>0</v>
      </c>
      <c r="Q10346">
        <v>1</v>
      </c>
      <c r="R10346" t="s">
        <v>47313</v>
      </c>
      <c r="S10346" t="s">
        <v>47535</v>
      </c>
      <c r="T10346" t="s">
        <v>49071</v>
      </c>
      <c r="U10346" t="s">
        <v>51932</v>
      </c>
      <c r="W10346" t="s">
        <v>44135</v>
      </c>
      <c r="X10346" t="s">
        <v>47314</v>
      </c>
    </row>
    <row r="10347" spans="1:24">
      <c r="A10347">
        <f>HYPERLINK("https://www.philgeps.gov.ph/GEPSNONPILOT/Tender/SplashBidNoticeAbstractUI.aspx?menuIndex=3&amp;refID=7186875&amp;Result=3","7186875")</f>
        <v>0</v>
      </c>
      <c r="B10347" t="s">
        <v>1172</v>
      </c>
      <c r="C10347" t="s">
        <v>13618</v>
      </c>
      <c r="D10347" t="s">
        <v>19072</v>
      </c>
      <c r="E10347" t="s">
        <v>27929</v>
      </c>
      <c r="F10347" t="s">
        <v>32606</v>
      </c>
      <c r="G10347" t="s">
        <v>32614</v>
      </c>
      <c r="H10347" t="s">
        <v>14201</v>
      </c>
      <c r="I10347" t="s">
        <v>32650</v>
      </c>
      <c r="J10347" t="s">
        <v>32981</v>
      </c>
      <c r="K10347" t="s">
        <v>42631</v>
      </c>
      <c r="M10347" t="s">
        <v>44135</v>
      </c>
      <c r="N10347" t="s">
        <v>47304</v>
      </c>
      <c r="O10347" t="s">
        <v>47305</v>
      </c>
      <c r="P10347">
        <v>0</v>
      </c>
      <c r="Q10347">
        <v>1</v>
      </c>
      <c r="R10347" t="s">
        <v>47313</v>
      </c>
      <c r="S10347" t="s">
        <v>47535</v>
      </c>
      <c r="T10347" t="s">
        <v>49071</v>
      </c>
      <c r="U10347" t="s">
        <v>51932</v>
      </c>
      <c r="W10347" t="s">
        <v>44135</v>
      </c>
      <c r="X10347" t="s">
        <v>47314</v>
      </c>
    </row>
    <row r="10348" spans="1:24">
      <c r="A10348">
        <f>HYPERLINK("https://www.philgeps.gov.ph/GEPSNONPILOT/Tender/SplashBidNoticeAbstractUI.aspx?menuIndex=3&amp;refID=7186870&amp;Result=3","7186870")</f>
        <v>0</v>
      </c>
      <c r="B10348" t="s">
        <v>1769</v>
      </c>
      <c r="C10348" t="s">
        <v>13619</v>
      </c>
      <c r="D10348" t="s">
        <v>19037</v>
      </c>
      <c r="E10348" t="s">
        <v>27930</v>
      </c>
      <c r="F10348" t="s">
        <v>32606</v>
      </c>
      <c r="G10348" t="s">
        <v>32613</v>
      </c>
      <c r="H10348" t="s">
        <v>14201</v>
      </c>
      <c r="I10348" t="s">
        <v>6014</v>
      </c>
      <c r="J10348" t="s">
        <v>39197</v>
      </c>
      <c r="K10348" t="s">
        <v>42623</v>
      </c>
      <c r="M10348" t="s">
        <v>44807</v>
      </c>
      <c r="N10348" t="s">
        <v>47304</v>
      </c>
      <c r="O10348" t="s">
        <v>47305</v>
      </c>
      <c r="P10348">
        <v>0</v>
      </c>
      <c r="Q10348">
        <v>5</v>
      </c>
      <c r="R10348" t="s">
        <v>47313</v>
      </c>
      <c r="S10348" t="s">
        <v>47535</v>
      </c>
      <c r="T10348" t="s">
        <v>49353</v>
      </c>
      <c r="U10348" t="s">
        <v>58071</v>
      </c>
      <c r="W10348" t="s">
        <v>44807</v>
      </c>
      <c r="X10348" t="s">
        <v>47314</v>
      </c>
    </row>
    <row r="10349" spans="1:24">
      <c r="A10349">
        <f>HYPERLINK("https://www.philgeps.gov.ph/GEPSNONPILOT/Tender/SplashBidNoticeAbstractUI.aspx?menuIndex=3&amp;refID=7186824&amp;Result=3","7186824")</f>
        <v>0</v>
      </c>
      <c r="B10349" t="s">
        <v>1119</v>
      </c>
      <c r="C10349" t="s">
        <v>13620</v>
      </c>
      <c r="D10349" t="s">
        <v>19002</v>
      </c>
      <c r="E10349" t="s">
        <v>27931</v>
      </c>
      <c r="F10349" t="s">
        <v>32606</v>
      </c>
      <c r="G10349" t="s">
        <v>32613</v>
      </c>
      <c r="H10349" t="s">
        <v>14201</v>
      </c>
      <c r="I10349" t="s">
        <v>32710</v>
      </c>
      <c r="J10349" t="s">
        <v>39198</v>
      </c>
      <c r="K10349" t="s">
        <v>42623</v>
      </c>
      <c r="M10349" t="s">
        <v>44081</v>
      </c>
      <c r="N10349" t="s">
        <v>47304</v>
      </c>
      <c r="O10349" t="s">
        <v>47305</v>
      </c>
      <c r="P10349">
        <v>0</v>
      </c>
      <c r="Q10349">
        <v>6</v>
      </c>
      <c r="R10349" t="s">
        <v>47313</v>
      </c>
      <c r="S10349" t="s">
        <v>47535</v>
      </c>
      <c r="T10349" t="s">
        <v>49071</v>
      </c>
      <c r="U10349" t="s">
        <v>58072</v>
      </c>
      <c r="W10349" t="s">
        <v>64462</v>
      </c>
      <c r="X10349" t="s">
        <v>47314</v>
      </c>
    </row>
    <row r="10350" spans="1:24">
      <c r="A10350">
        <f>HYPERLINK("https://www.philgeps.gov.ph/GEPSNONPILOT/Tender/SplashBidNoticeAbstractUI.aspx?menuIndex=3&amp;refID=7186865&amp;Result=3","7186865")</f>
        <v>0</v>
      </c>
      <c r="B10350" t="s">
        <v>726</v>
      </c>
      <c r="C10350" t="s">
        <v>13621</v>
      </c>
      <c r="D10350" t="s">
        <v>19009</v>
      </c>
      <c r="E10350" t="s">
        <v>27932</v>
      </c>
      <c r="F10350" t="s">
        <v>32606</v>
      </c>
      <c r="G10350" t="s">
        <v>32613</v>
      </c>
      <c r="H10350" t="s">
        <v>14201</v>
      </c>
      <c r="I10350" t="s">
        <v>32633</v>
      </c>
      <c r="J10350" t="s">
        <v>39199</v>
      </c>
      <c r="K10350" t="s">
        <v>42623</v>
      </c>
      <c r="M10350" t="s">
        <v>43942</v>
      </c>
      <c r="N10350" t="s">
        <v>47304</v>
      </c>
      <c r="O10350" t="s">
        <v>47305</v>
      </c>
      <c r="P10350">
        <v>0</v>
      </c>
      <c r="Q10350">
        <v>2</v>
      </c>
      <c r="R10350" t="s">
        <v>47313</v>
      </c>
      <c r="S10350" t="s">
        <v>47535</v>
      </c>
      <c r="T10350" t="s">
        <v>49198</v>
      </c>
      <c r="U10350" t="s">
        <v>58073</v>
      </c>
      <c r="V10350" t="s">
        <v>62846</v>
      </c>
      <c r="W10350" t="s">
        <v>43942</v>
      </c>
      <c r="X10350" t="s">
        <v>47314</v>
      </c>
    </row>
    <row r="10351" spans="1:24">
      <c r="A10351">
        <f>HYPERLINK("https://www.philgeps.gov.ph/GEPSNONPILOT/Tender/SplashBidNoticeAbstractUI.aspx?menuIndex=3&amp;refID=7186864&amp;Result=3","7186864")</f>
        <v>0</v>
      </c>
      <c r="B10351" t="s">
        <v>1172</v>
      </c>
      <c r="C10351" t="s">
        <v>13622</v>
      </c>
      <c r="D10351" t="s">
        <v>19072</v>
      </c>
      <c r="E10351" t="s">
        <v>27933</v>
      </c>
      <c r="F10351" t="s">
        <v>32606</v>
      </c>
      <c r="G10351" t="s">
        <v>32614</v>
      </c>
      <c r="H10351" t="s">
        <v>14201</v>
      </c>
      <c r="I10351" t="s">
        <v>32706</v>
      </c>
      <c r="J10351" t="s">
        <v>32949</v>
      </c>
      <c r="K10351" t="s">
        <v>42631</v>
      </c>
      <c r="M10351" t="s">
        <v>44135</v>
      </c>
      <c r="N10351" t="s">
        <v>47304</v>
      </c>
      <c r="O10351" t="s">
        <v>47305</v>
      </c>
      <c r="P10351">
        <v>0</v>
      </c>
      <c r="Q10351">
        <v>1</v>
      </c>
      <c r="R10351" t="s">
        <v>47313</v>
      </c>
      <c r="S10351" t="s">
        <v>47535</v>
      </c>
      <c r="T10351" t="s">
        <v>49071</v>
      </c>
      <c r="U10351" t="s">
        <v>51932</v>
      </c>
      <c r="W10351" t="s">
        <v>44135</v>
      </c>
      <c r="X10351" t="s">
        <v>47314</v>
      </c>
    </row>
    <row r="10352" spans="1:24">
      <c r="A10352">
        <f>HYPERLINK("https://www.philgeps.gov.ph/GEPSNONPILOT/Tender/SplashBidNoticeAbstractUI.aspx?menuIndex=3&amp;refID=7186859&amp;Result=3","7186859")</f>
        <v>0</v>
      </c>
      <c r="B10352" t="s">
        <v>726</v>
      </c>
      <c r="C10352" t="s">
        <v>13623</v>
      </c>
      <c r="D10352" t="s">
        <v>19009</v>
      </c>
      <c r="E10352" t="s">
        <v>27934</v>
      </c>
      <c r="F10352" t="s">
        <v>32606</v>
      </c>
      <c r="G10352" t="s">
        <v>32613</v>
      </c>
      <c r="H10352" t="s">
        <v>14201</v>
      </c>
      <c r="I10352" t="s">
        <v>32638</v>
      </c>
      <c r="J10352" t="s">
        <v>37561</v>
      </c>
      <c r="K10352" t="s">
        <v>42623</v>
      </c>
      <c r="M10352" t="s">
        <v>43942</v>
      </c>
      <c r="N10352" t="s">
        <v>47304</v>
      </c>
      <c r="O10352" t="s">
        <v>47305</v>
      </c>
      <c r="P10352">
        <v>0</v>
      </c>
      <c r="Q10352">
        <v>4</v>
      </c>
      <c r="R10352" t="s">
        <v>47313</v>
      </c>
      <c r="S10352" t="s">
        <v>47535</v>
      </c>
      <c r="T10352" t="s">
        <v>49198</v>
      </c>
      <c r="U10352" t="s">
        <v>58074</v>
      </c>
      <c r="V10352" t="s">
        <v>62846</v>
      </c>
      <c r="W10352" t="s">
        <v>43942</v>
      </c>
      <c r="X10352" t="s">
        <v>47314</v>
      </c>
    </row>
    <row r="10353" spans="1:24">
      <c r="A10353">
        <f>HYPERLINK("https://www.philgeps.gov.ph/GEPSNONPILOT/Tender/SplashBidNoticeAbstractUI.aspx?menuIndex=3&amp;refID=7186817&amp;Result=3","7186817")</f>
        <v>0</v>
      </c>
      <c r="B10353" t="s">
        <v>2751</v>
      </c>
      <c r="C10353" t="s">
        <v>13624</v>
      </c>
      <c r="D10353" t="s">
        <v>19034</v>
      </c>
      <c r="E10353" t="s">
        <v>27935</v>
      </c>
      <c r="F10353" t="s">
        <v>32606</v>
      </c>
      <c r="G10353" t="s">
        <v>32613</v>
      </c>
      <c r="H10353" t="s">
        <v>14201</v>
      </c>
      <c r="I10353" t="s">
        <v>32631</v>
      </c>
      <c r="J10353" t="s">
        <v>39200</v>
      </c>
      <c r="K10353" t="s">
        <v>42632</v>
      </c>
      <c r="M10353" t="s">
        <v>45909</v>
      </c>
      <c r="N10353" t="s">
        <v>47304</v>
      </c>
      <c r="O10353" t="s">
        <v>47305</v>
      </c>
      <c r="P10353">
        <v>0</v>
      </c>
      <c r="Q10353">
        <v>0</v>
      </c>
      <c r="R10353" t="s">
        <v>47313</v>
      </c>
      <c r="S10353" t="s">
        <v>47535</v>
      </c>
      <c r="T10353" t="s">
        <v>49268</v>
      </c>
      <c r="U10353" t="s">
        <v>58032</v>
      </c>
      <c r="W10353" t="s">
        <v>45909</v>
      </c>
      <c r="X10353" t="s">
        <v>47314</v>
      </c>
    </row>
    <row r="10354" spans="1:24">
      <c r="A10354">
        <f>HYPERLINK("https://www.philgeps.gov.ph/GEPSNONPILOT/Tender/SplashBidNoticeAbstractUI.aspx?menuIndex=3&amp;refID=7186770&amp;Result=3","7186770")</f>
        <v>0</v>
      </c>
      <c r="B10354" t="s">
        <v>2403</v>
      </c>
      <c r="C10354" t="s">
        <v>13625</v>
      </c>
      <c r="D10354" t="s">
        <v>19022</v>
      </c>
      <c r="E10354" t="s">
        <v>27936</v>
      </c>
      <c r="F10354" t="s">
        <v>32606</v>
      </c>
      <c r="G10354" t="s">
        <v>32613</v>
      </c>
      <c r="H10354" t="s">
        <v>14201</v>
      </c>
      <c r="I10354" t="s">
        <v>32640</v>
      </c>
      <c r="J10354" t="s">
        <v>39201</v>
      </c>
      <c r="K10354" t="s">
        <v>42636</v>
      </c>
      <c r="M10354" t="s">
        <v>46315</v>
      </c>
      <c r="N10354" t="s">
        <v>47304</v>
      </c>
      <c r="O10354" t="s">
        <v>47305</v>
      </c>
      <c r="P10354">
        <v>0</v>
      </c>
      <c r="Q10354">
        <v>13</v>
      </c>
      <c r="R10354" t="s">
        <v>47313</v>
      </c>
      <c r="S10354" t="s">
        <v>47535</v>
      </c>
      <c r="T10354" t="s">
        <v>49157</v>
      </c>
      <c r="U10354" t="s">
        <v>58075</v>
      </c>
      <c r="W10354" t="s">
        <v>45526</v>
      </c>
      <c r="X10354" t="s">
        <v>47314</v>
      </c>
    </row>
    <row r="10355" spans="1:24">
      <c r="A10355">
        <f>HYPERLINK("https://www.philgeps.gov.ph/GEPSNONPILOT/Tender/SplashBidNoticeAbstractUI.aspx?menuIndex=3&amp;refID=7186855&amp;Result=3","7186855")</f>
        <v>0</v>
      </c>
      <c r="B10355" t="s">
        <v>3107</v>
      </c>
      <c r="C10355" t="s">
        <v>13626</v>
      </c>
      <c r="D10355" t="s">
        <v>19001</v>
      </c>
      <c r="E10355" t="s">
        <v>20658</v>
      </c>
      <c r="F10355" t="s">
        <v>32606</v>
      </c>
      <c r="G10355" t="s">
        <v>32613</v>
      </c>
      <c r="H10355" t="s">
        <v>14201</v>
      </c>
      <c r="I10355" t="s">
        <v>6298</v>
      </c>
      <c r="J10355" t="s">
        <v>39202</v>
      </c>
      <c r="K10355" t="s">
        <v>42638</v>
      </c>
      <c r="M10355" t="s">
        <v>46314</v>
      </c>
      <c r="N10355" t="s">
        <v>47304</v>
      </c>
      <c r="O10355" t="s">
        <v>47305</v>
      </c>
      <c r="P10355">
        <v>0</v>
      </c>
      <c r="Q10355">
        <v>2</v>
      </c>
      <c r="R10355" t="s">
        <v>47313</v>
      </c>
      <c r="S10355" t="s">
        <v>47535</v>
      </c>
      <c r="T10355" t="s">
        <v>49071</v>
      </c>
      <c r="U10355" t="s">
        <v>58070</v>
      </c>
      <c r="W10355" t="s">
        <v>46314</v>
      </c>
      <c r="X10355" t="s">
        <v>47314</v>
      </c>
    </row>
    <row r="10356" spans="1:24">
      <c r="A10356">
        <f>HYPERLINK("https://www.philgeps.gov.ph/GEPSNONPILOT/Tender/SplashBidNoticeAbstractUI.aspx?menuIndex=3&amp;refID=7186871&amp;Result=3","7186871")</f>
        <v>0</v>
      </c>
      <c r="B10356" t="s">
        <v>1172</v>
      </c>
      <c r="C10356" t="s">
        <v>13627</v>
      </c>
      <c r="D10356" t="s">
        <v>19072</v>
      </c>
      <c r="E10356" t="s">
        <v>27937</v>
      </c>
      <c r="F10356" t="s">
        <v>32606</v>
      </c>
      <c r="G10356" t="s">
        <v>32614</v>
      </c>
      <c r="H10356" t="s">
        <v>14201</v>
      </c>
      <c r="I10356" t="s">
        <v>32635</v>
      </c>
      <c r="J10356" t="s">
        <v>32949</v>
      </c>
      <c r="K10356" t="s">
        <v>42631</v>
      </c>
      <c r="M10356" t="s">
        <v>44135</v>
      </c>
      <c r="N10356" t="s">
        <v>47304</v>
      </c>
      <c r="O10356" t="s">
        <v>47305</v>
      </c>
      <c r="P10356">
        <v>0</v>
      </c>
      <c r="Q10356">
        <v>0</v>
      </c>
      <c r="R10356" t="s">
        <v>47313</v>
      </c>
      <c r="S10356" t="s">
        <v>47535</v>
      </c>
      <c r="T10356" t="s">
        <v>49071</v>
      </c>
      <c r="U10356" t="s">
        <v>51932</v>
      </c>
      <c r="W10356" t="s">
        <v>44135</v>
      </c>
      <c r="X10356" t="s">
        <v>47314</v>
      </c>
    </row>
    <row r="10357" spans="1:24">
      <c r="A10357">
        <f>HYPERLINK("https://www.philgeps.gov.ph/GEPSNONPILOT/Tender/SplashBidNoticeAbstractUI.aspx?menuIndex=3&amp;refID=7186854&amp;Result=3","7186854")</f>
        <v>0</v>
      </c>
      <c r="B10357" t="s">
        <v>1172</v>
      </c>
      <c r="C10357" t="s">
        <v>13628</v>
      </c>
      <c r="D10357" t="s">
        <v>19072</v>
      </c>
      <c r="E10357" t="s">
        <v>27938</v>
      </c>
      <c r="F10357" t="s">
        <v>32606</v>
      </c>
      <c r="G10357" t="s">
        <v>32614</v>
      </c>
      <c r="H10357" t="s">
        <v>14201</v>
      </c>
      <c r="I10357" t="s">
        <v>32685</v>
      </c>
      <c r="J10357" t="s">
        <v>32995</v>
      </c>
      <c r="K10357" t="s">
        <v>42631</v>
      </c>
      <c r="M10357" t="s">
        <v>44135</v>
      </c>
      <c r="N10357" t="s">
        <v>47304</v>
      </c>
      <c r="O10357" t="s">
        <v>47305</v>
      </c>
      <c r="P10357">
        <v>0</v>
      </c>
      <c r="Q10357">
        <v>1</v>
      </c>
      <c r="R10357" t="s">
        <v>47313</v>
      </c>
      <c r="S10357" t="s">
        <v>47535</v>
      </c>
      <c r="T10357" t="s">
        <v>49071</v>
      </c>
      <c r="U10357" t="s">
        <v>51932</v>
      </c>
      <c r="W10357" t="s">
        <v>44135</v>
      </c>
      <c r="X10357" t="s">
        <v>47314</v>
      </c>
    </row>
    <row r="10358" spans="1:24">
      <c r="A10358">
        <f>HYPERLINK("https://www.philgeps.gov.ph/GEPSNONPILOT/Tender/SplashBidNoticeAbstractUI.aspx?menuIndex=3&amp;refID=7186887&amp;Result=3","7186887")</f>
        <v>0</v>
      </c>
      <c r="B10358" t="s">
        <v>1172</v>
      </c>
      <c r="C10358" t="s">
        <v>13629</v>
      </c>
      <c r="D10358" t="s">
        <v>19072</v>
      </c>
      <c r="E10358" t="s">
        <v>27939</v>
      </c>
      <c r="F10358" t="s">
        <v>32606</v>
      </c>
      <c r="G10358" t="s">
        <v>32614</v>
      </c>
      <c r="H10358" t="s">
        <v>14201</v>
      </c>
      <c r="I10358" t="s">
        <v>32650</v>
      </c>
      <c r="J10358" t="s">
        <v>39203</v>
      </c>
      <c r="K10358" t="s">
        <v>42631</v>
      </c>
      <c r="M10358" t="s">
        <v>44135</v>
      </c>
      <c r="N10358" t="s">
        <v>47304</v>
      </c>
      <c r="O10358" t="s">
        <v>47305</v>
      </c>
      <c r="P10358">
        <v>0</v>
      </c>
      <c r="Q10358">
        <v>1</v>
      </c>
      <c r="R10358" t="s">
        <v>47313</v>
      </c>
      <c r="S10358" t="s">
        <v>47535</v>
      </c>
      <c r="T10358" t="s">
        <v>49071</v>
      </c>
      <c r="U10358" t="s">
        <v>51932</v>
      </c>
      <c r="W10358" t="s">
        <v>44135</v>
      </c>
      <c r="X10358" t="s">
        <v>47314</v>
      </c>
    </row>
    <row r="10359" spans="1:24">
      <c r="A10359">
        <f>HYPERLINK("https://www.philgeps.gov.ph/GEPSNONPILOT/Tender/SplashBidNoticeAbstractUI.aspx?menuIndex=3&amp;refID=7147824-2&amp;Result=3","7147824-2")</f>
        <v>0</v>
      </c>
      <c r="B10359" t="s">
        <v>962</v>
      </c>
      <c r="C10359" t="s">
        <v>13630</v>
      </c>
      <c r="E10359" t="s">
        <v>27940</v>
      </c>
      <c r="F10359" t="s">
        <v>32606</v>
      </c>
      <c r="G10359" t="s">
        <v>32613</v>
      </c>
      <c r="H10359" t="s">
        <v>32625</v>
      </c>
      <c r="I10359" t="s">
        <v>32625</v>
      </c>
      <c r="J10359" t="s">
        <v>39204</v>
      </c>
      <c r="K10359" t="s">
        <v>42777</v>
      </c>
      <c r="M10359" t="s">
        <v>43907</v>
      </c>
      <c r="N10359" t="s">
        <v>47304</v>
      </c>
      <c r="O10359" t="s">
        <v>47305</v>
      </c>
      <c r="P10359">
        <v>0</v>
      </c>
      <c r="Q10359">
        <v>3</v>
      </c>
      <c r="R10359" t="s">
        <v>47314</v>
      </c>
      <c r="S10359" t="s">
        <v>47596</v>
      </c>
      <c r="T10359" t="s">
        <v>49159</v>
      </c>
      <c r="U10359" t="s">
        <v>58076</v>
      </c>
      <c r="V10359" t="s">
        <v>63733</v>
      </c>
      <c r="W10359" t="s">
        <v>43907</v>
      </c>
      <c r="X10359" t="s">
        <v>47315</v>
      </c>
    </row>
    <row r="10360" spans="1:24">
      <c r="A10360">
        <f>HYPERLINK("https://www.philgeps.gov.ph/GEPSNONPILOT/Tender/SplashBidNoticeAbstractUI.aspx?menuIndex=3&amp;refID=7186866&amp;Result=3","7186866")</f>
        <v>0</v>
      </c>
      <c r="B10360" t="s">
        <v>3108</v>
      </c>
      <c r="C10360" t="s">
        <v>13631</v>
      </c>
      <c r="D10360" t="s">
        <v>18995</v>
      </c>
      <c r="E10360" t="s">
        <v>19279</v>
      </c>
      <c r="F10360" t="s">
        <v>32606</v>
      </c>
      <c r="G10360" t="s">
        <v>32613</v>
      </c>
      <c r="H10360" t="s">
        <v>32623</v>
      </c>
      <c r="I10360" t="s">
        <v>6931</v>
      </c>
      <c r="J10360" t="s">
        <v>33102</v>
      </c>
      <c r="K10360" t="s">
        <v>42639</v>
      </c>
      <c r="M10360" t="s">
        <v>46316</v>
      </c>
      <c r="N10360" t="s">
        <v>47304</v>
      </c>
      <c r="O10360" t="s">
        <v>47305</v>
      </c>
      <c r="P10360">
        <v>0</v>
      </c>
      <c r="Q10360">
        <v>1</v>
      </c>
      <c r="R10360" t="s">
        <v>47313</v>
      </c>
      <c r="S10360" t="s">
        <v>47535</v>
      </c>
      <c r="T10360" t="s">
        <v>49098</v>
      </c>
      <c r="U10360" t="s">
        <v>58077</v>
      </c>
      <c r="W10360" t="s">
        <v>46316</v>
      </c>
      <c r="X10360" t="s">
        <v>47314</v>
      </c>
    </row>
    <row r="10361" spans="1:24">
      <c r="A10361">
        <f>HYPERLINK("https://www.philgeps.gov.ph/GEPSNONPILOT/Tender/SplashBidNoticeAbstractUI.aspx?menuIndex=3&amp;refID=7142553&amp;Result=3","7142553")</f>
        <v>0</v>
      </c>
      <c r="B10361" t="s">
        <v>3109</v>
      </c>
      <c r="C10361" t="s">
        <v>13632</v>
      </c>
      <c r="D10361" t="s">
        <v>19049</v>
      </c>
      <c r="E10361" t="s">
        <v>27941</v>
      </c>
      <c r="F10361" t="s">
        <v>32606</v>
      </c>
      <c r="G10361" t="s">
        <v>32613</v>
      </c>
      <c r="H10361" t="s">
        <v>14201</v>
      </c>
      <c r="I10361" t="s">
        <v>7064</v>
      </c>
      <c r="J10361" t="s">
        <v>34591</v>
      </c>
      <c r="K10361" t="s">
        <v>42636</v>
      </c>
      <c r="M10361" t="s">
        <v>46317</v>
      </c>
      <c r="N10361" t="s">
        <v>47304</v>
      </c>
      <c r="O10361" t="s">
        <v>47305</v>
      </c>
      <c r="P10361">
        <v>0</v>
      </c>
      <c r="Q10361">
        <v>2</v>
      </c>
      <c r="R10361" t="s">
        <v>47314</v>
      </c>
      <c r="S10361" t="s">
        <v>47596</v>
      </c>
      <c r="T10361" t="s">
        <v>49170</v>
      </c>
      <c r="U10361" t="s">
        <v>58078</v>
      </c>
      <c r="V10361" t="s">
        <v>63734</v>
      </c>
      <c r="W10361" t="s">
        <v>46317</v>
      </c>
      <c r="X10361" t="s">
        <v>47333</v>
      </c>
    </row>
    <row r="10362" spans="1:24">
      <c r="A10362">
        <f>HYPERLINK("https://www.philgeps.gov.ph/GEPSNONPILOT/Tender/SplashBidNoticeAbstractUI.aspx?menuIndex=3&amp;refID=7186861&amp;Result=3","7186861")</f>
        <v>0</v>
      </c>
      <c r="B10362" t="s">
        <v>1172</v>
      </c>
      <c r="C10362" t="s">
        <v>13633</v>
      </c>
      <c r="D10362" t="s">
        <v>19072</v>
      </c>
      <c r="E10362" t="s">
        <v>27942</v>
      </c>
      <c r="F10362" t="s">
        <v>32606</v>
      </c>
      <c r="G10362" t="s">
        <v>32614</v>
      </c>
      <c r="H10362" t="s">
        <v>14201</v>
      </c>
      <c r="I10362" t="s">
        <v>6298</v>
      </c>
      <c r="J10362" t="s">
        <v>33062</v>
      </c>
      <c r="K10362" t="s">
        <v>42631</v>
      </c>
      <c r="M10362" t="s">
        <v>44135</v>
      </c>
      <c r="N10362" t="s">
        <v>47304</v>
      </c>
      <c r="O10362" t="s">
        <v>47305</v>
      </c>
      <c r="P10362">
        <v>0</v>
      </c>
      <c r="Q10362">
        <v>2</v>
      </c>
      <c r="R10362" t="s">
        <v>47313</v>
      </c>
      <c r="S10362" t="s">
        <v>47535</v>
      </c>
      <c r="T10362" t="s">
        <v>49071</v>
      </c>
      <c r="U10362" t="s">
        <v>51932</v>
      </c>
      <c r="W10362" t="s">
        <v>44135</v>
      </c>
      <c r="X10362" t="s">
        <v>47314</v>
      </c>
    </row>
    <row r="10363" spans="1:24">
      <c r="A10363">
        <f>HYPERLINK("https://www.philgeps.gov.ph/GEPSNONPILOT/Tender/SplashBidNoticeAbstractUI.aspx?menuIndex=3&amp;refID=7186903&amp;Result=3","7186903")</f>
        <v>0</v>
      </c>
      <c r="B10363" t="s">
        <v>1172</v>
      </c>
      <c r="C10363" t="s">
        <v>13634</v>
      </c>
      <c r="D10363" t="s">
        <v>19072</v>
      </c>
      <c r="E10363" t="s">
        <v>27943</v>
      </c>
      <c r="F10363" t="s">
        <v>32606</v>
      </c>
      <c r="G10363" t="s">
        <v>32614</v>
      </c>
      <c r="H10363" t="s">
        <v>32623</v>
      </c>
      <c r="I10363" t="s">
        <v>32664</v>
      </c>
      <c r="J10363" t="s">
        <v>39205</v>
      </c>
      <c r="K10363" t="s">
        <v>42631</v>
      </c>
      <c r="M10363" t="s">
        <v>44135</v>
      </c>
      <c r="N10363" t="s">
        <v>47304</v>
      </c>
      <c r="O10363" t="s">
        <v>47305</v>
      </c>
      <c r="P10363">
        <v>0</v>
      </c>
      <c r="Q10363">
        <v>1</v>
      </c>
      <c r="R10363" t="s">
        <v>47313</v>
      </c>
      <c r="S10363" t="s">
        <v>47535</v>
      </c>
      <c r="T10363" t="s">
        <v>49071</v>
      </c>
      <c r="U10363" t="s">
        <v>51932</v>
      </c>
      <c r="W10363" t="s">
        <v>44135</v>
      </c>
      <c r="X10363" t="s">
        <v>47314</v>
      </c>
    </row>
    <row r="10364" spans="1:24">
      <c r="A10364">
        <f>HYPERLINK("https://www.philgeps.gov.ph/GEPSNONPILOT/Tender/SplashBidNoticeAbstractUI.aspx?menuIndex=3&amp;refID=7186880&amp;Result=3","7186880")</f>
        <v>0</v>
      </c>
      <c r="B10364" t="s">
        <v>1808</v>
      </c>
      <c r="C10364" t="s">
        <v>13635</v>
      </c>
      <c r="D10364" t="s">
        <v>19023</v>
      </c>
      <c r="E10364" t="s">
        <v>27944</v>
      </c>
      <c r="F10364" t="s">
        <v>32606</v>
      </c>
      <c r="G10364" t="s">
        <v>32613</v>
      </c>
      <c r="H10364" t="s">
        <v>14201</v>
      </c>
      <c r="I10364" t="s">
        <v>7677</v>
      </c>
      <c r="J10364" t="s">
        <v>39206</v>
      </c>
      <c r="K10364" t="s">
        <v>42631</v>
      </c>
      <c r="M10364" t="s">
        <v>44849</v>
      </c>
      <c r="N10364" t="s">
        <v>47304</v>
      </c>
      <c r="O10364" t="s">
        <v>47305</v>
      </c>
      <c r="P10364">
        <v>0</v>
      </c>
      <c r="Q10364">
        <v>1</v>
      </c>
      <c r="R10364" t="s">
        <v>47313</v>
      </c>
      <c r="S10364" t="s">
        <v>47535</v>
      </c>
      <c r="T10364" t="s">
        <v>49256</v>
      </c>
      <c r="U10364" t="s">
        <v>58079</v>
      </c>
      <c r="V10364" t="s">
        <v>63110</v>
      </c>
      <c r="W10364" t="s">
        <v>44849</v>
      </c>
      <c r="X10364" t="s">
        <v>47314</v>
      </c>
    </row>
    <row r="10365" spans="1:24">
      <c r="A10365">
        <f>HYPERLINK("https://www.philgeps.gov.ph/GEPSNONPILOT/Tender/SplashBidNoticeAbstractUI.aspx?menuIndex=3&amp;refID=7186902&amp;Result=3","7186902")</f>
        <v>0</v>
      </c>
      <c r="B10365" t="s">
        <v>1663</v>
      </c>
      <c r="C10365" t="s">
        <v>13636</v>
      </c>
      <c r="D10365" t="s">
        <v>19023</v>
      </c>
      <c r="E10365" t="s">
        <v>27945</v>
      </c>
      <c r="F10365" t="s">
        <v>32606</v>
      </c>
      <c r="G10365" t="s">
        <v>32613</v>
      </c>
      <c r="H10365" t="s">
        <v>14201</v>
      </c>
      <c r="I10365" t="s">
        <v>6931</v>
      </c>
      <c r="J10365" t="s">
        <v>39207</v>
      </c>
      <c r="K10365" t="s">
        <v>42631</v>
      </c>
      <c r="M10365" t="s">
        <v>46318</v>
      </c>
      <c r="N10365" t="s">
        <v>47304</v>
      </c>
      <c r="O10365" t="s">
        <v>47305</v>
      </c>
      <c r="P10365">
        <v>0</v>
      </c>
      <c r="Q10365">
        <v>0</v>
      </c>
      <c r="R10365" t="s">
        <v>47313</v>
      </c>
      <c r="S10365" t="s">
        <v>47535</v>
      </c>
      <c r="T10365" t="s">
        <v>49240</v>
      </c>
      <c r="U10365" t="s">
        <v>58080</v>
      </c>
      <c r="W10365" t="s">
        <v>46318</v>
      </c>
      <c r="X10365" t="s">
        <v>47314</v>
      </c>
    </row>
    <row r="10366" spans="1:24">
      <c r="A10366">
        <f>HYPERLINK("https://www.philgeps.gov.ph/GEPSNONPILOT/Tender/SplashBidNoticeAbstractUI.aspx?menuIndex=3&amp;refID=7186905&amp;Result=3","7186905")</f>
        <v>0</v>
      </c>
      <c r="B10366" t="s">
        <v>1663</v>
      </c>
      <c r="C10366" t="s">
        <v>13637</v>
      </c>
      <c r="D10366" t="s">
        <v>19023</v>
      </c>
      <c r="E10366" t="s">
        <v>27946</v>
      </c>
      <c r="F10366" t="s">
        <v>32606</v>
      </c>
      <c r="G10366" t="s">
        <v>32613</v>
      </c>
      <c r="H10366" t="s">
        <v>14201</v>
      </c>
      <c r="I10366" t="s">
        <v>6931</v>
      </c>
      <c r="J10366" t="s">
        <v>39208</v>
      </c>
      <c r="K10366" t="s">
        <v>42646</v>
      </c>
      <c r="M10366" t="s">
        <v>44689</v>
      </c>
      <c r="N10366" t="s">
        <v>47304</v>
      </c>
      <c r="O10366" t="s">
        <v>47305</v>
      </c>
      <c r="P10366">
        <v>0</v>
      </c>
      <c r="Q10366">
        <v>0</v>
      </c>
      <c r="R10366" t="s">
        <v>47313</v>
      </c>
      <c r="S10366" t="s">
        <v>47535</v>
      </c>
      <c r="T10366" t="s">
        <v>49240</v>
      </c>
      <c r="U10366" t="s">
        <v>58080</v>
      </c>
      <c r="W10366" t="s">
        <v>46318</v>
      </c>
      <c r="X10366" t="s">
        <v>47314</v>
      </c>
    </row>
    <row r="10367" spans="1:24">
      <c r="A10367">
        <f>HYPERLINK("https://www.philgeps.gov.ph/GEPSNONPILOT/Tender/SplashBidNoticeAbstractUI.aspx?menuIndex=3&amp;refID=7186898&amp;Result=3","7186898")</f>
        <v>0</v>
      </c>
      <c r="B10367" t="s">
        <v>2091</v>
      </c>
      <c r="C10367" t="s">
        <v>13638</v>
      </c>
      <c r="D10367" t="s">
        <v>19022</v>
      </c>
      <c r="E10367" t="s">
        <v>24763</v>
      </c>
      <c r="F10367" t="s">
        <v>32606</v>
      </c>
      <c r="G10367" t="s">
        <v>32614</v>
      </c>
      <c r="H10367" t="s">
        <v>14201</v>
      </c>
      <c r="I10367" t="s">
        <v>32634</v>
      </c>
      <c r="J10367" t="s">
        <v>32752</v>
      </c>
      <c r="K10367" t="s">
        <v>42624</v>
      </c>
      <c r="M10367" t="s">
        <v>45176</v>
      </c>
      <c r="N10367" t="s">
        <v>47304</v>
      </c>
      <c r="O10367" t="s">
        <v>47305</v>
      </c>
      <c r="P10367">
        <v>0</v>
      </c>
      <c r="Q10367">
        <v>2</v>
      </c>
      <c r="R10367" t="s">
        <v>47313</v>
      </c>
      <c r="S10367" t="s">
        <v>47535</v>
      </c>
      <c r="T10367" t="s">
        <v>49330</v>
      </c>
      <c r="U10367" t="s">
        <v>58081</v>
      </c>
      <c r="W10367" t="s">
        <v>45176</v>
      </c>
      <c r="X10367" t="s">
        <v>47314</v>
      </c>
    </row>
    <row r="10368" spans="1:24">
      <c r="A10368">
        <f>HYPERLINK("https://www.philgeps.gov.ph/GEPSNONPILOT/Tender/SplashBidNoticeAbstractUI.aspx?menuIndex=3&amp;refID=7186895&amp;Result=3","7186895")</f>
        <v>0</v>
      </c>
      <c r="B10368" t="s">
        <v>1663</v>
      </c>
      <c r="C10368" t="s">
        <v>13639</v>
      </c>
      <c r="D10368" t="s">
        <v>19023</v>
      </c>
      <c r="E10368" t="s">
        <v>27947</v>
      </c>
      <c r="F10368" t="s">
        <v>32606</v>
      </c>
      <c r="G10368" t="s">
        <v>32613</v>
      </c>
      <c r="H10368" t="s">
        <v>14201</v>
      </c>
      <c r="I10368" t="s">
        <v>6931</v>
      </c>
      <c r="J10368" t="s">
        <v>39209</v>
      </c>
      <c r="K10368" t="s">
        <v>42631</v>
      </c>
      <c r="M10368" t="s">
        <v>44689</v>
      </c>
      <c r="N10368" t="s">
        <v>47304</v>
      </c>
      <c r="O10368" t="s">
        <v>47305</v>
      </c>
      <c r="P10368">
        <v>0</v>
      </c>
      <c r="Q10368">
        <v>0</v>
      </c>
      <c r="R10368" t="s">
        <v>47313</v>
      </c>
      <c r="S10368" t="s">
        <v>47535</v>
      </c>
      <c r="T10368" t="s">
        <v>49240</v>
      </c>
      <c r="U10368" t="s">
        <v>58082</v>
      </c>
      <c r="W10368" t="s">
        <v>46318</v>
      </c>
      <c r="X10368" t="s">
        <v>47314</v>
      </c>
    </row>
    <row r="10369" spans="1:24">
      <c r="A10369">
        <f>HYPERLINK("https://www.philgeps.gov.ph/GEPSNONPILOT/Tender/SplashBidNoticeAbstractUI.aspx?menuIndex=3&amp;refID=7186894&amp;Result=3","7186894")</f>
        <v>0</v>
      </c>
      <c r="B10369" t="s">
        <v>2091</v>
      </c>
      <c r="C10369" t="s">
        <v>13640</v>
      </c>
      <c r="D10369" t="s">
        <v>19022</v>
      </c>
      <c r="E10369" t="s">
        <v>27948</v>
      </c>
      <c r="F10369" t="s">
        <v>32606</v>
      </c>
      <c r="G10369" t="s">
        <v>32614</v>
      </c>
      <c r="H10369" t="s">
        <v>14201</v>
      </c>
      <c r="I10369" t="s">
        <v>6298</v>
      </c>
      <c r="J10369" t="s">
        <v>39210</v>
      </c>
      <c r="K10369" t="s">
        <v>42624</v>
      </c>
      <c r="M10369" t="s">
        <v>45176</v>
      </c>
      <c r="N10369" t="s">
        <v>47304</v>
      </c>
      <c r="O10369" t="s">
        <v>47305</v>
      </c>
      <c r="P10369">
        <v>0</v>
      </c>
      <c r="Q10369">
        <v>0</v>
      </c>
      <c r="R10369" t="s">
        <v>47313</v>
      </c>
      <c r="S10369" t="s">
        <v>47535</v>
      </c>
      <c r="T10369" t="s">
        <v>49330</v>
      </c>
      <c r="U10369" t="s">
        <v>58083</v>
      </c>
      <c r="W10369" t="s">
        <v>45176</v>
      </c>
      <c r="X10369" t="s">
        <v>47314</v>
      </c>
    </row>
    <row r="10370" spans="1:24">
      <c r="A10370">
        <f>HYPERLINK("https://www.philgeps.gov.ph/GEPSNONPILOT/Tender/SplashBidNoticeAbstractUI.aspx?menuIndex=3&amp;refID=7186901&amp;Result=3","7186901")</f>
        <v>0</v>
      </c>
      <c r="B10370" t="s">
        <v>362</v>
      </c>
      <c r="C10370" t="s">
        <v>11308</v>
      </c>
      <c r="D10370" t="s">
        <v>19023</v>
      </c>
      <c r="E10370" t="s">
        <v>27949</v>
      </c>
      <c r="F10370" t="s">
        <v>32606</v>
      </c>
      <c r="G10370" t="s">
        <v>32614</v>
      </c>
      <c r="H10370" t="s">
        <v>14201</v>
      </c>
      <c r="I10370" t="s">
        <v>6298</v>
      </c>
      <c r="J10370" t="s">
        <v>32770</v>
      </c>
      <c r="K10370" t="s">
        <v>42630</v>
      </c>
      <c r="M10370" t="s">
        <v>45656</v>
      </c>
      <c r="N10370" t="s">
        <v>47304</v>
      </c>
      <c r="O10370" t="s">
        <v>47305</v>
      </c>
      <c r="P10370">
        <v>0</v>
      </c>
      <c r="Q10370">
        <v>0</v>
      </c>
      <c r="R10370" t="s">
        <v>47313</v>
      </c>
      <c r="S10370" t="s">
        <v>47535</v>
      </c>
      <c r="T10370" t="s">
        <v>49071</v>
      </c>
      <c r="U10370" t="s">
        <v>58084</v>
      </c>
      <c r="W10370" t="s">
        <v>45656</v>
      </c>
      <c r="X10370" t="s">
        <v>47314</v>
      </c>
    </row>
    <row r="10371" spans="1:24">
      <c r="A10371">
        <f>HYPERLINK("https://www.philgeps.gov.ph/GEPSNONPILOT/Tender/SplashBidNoticeAbstractUI.aspx?menuIndex=3&amp;refID=7186907&amp;Result=3","7186907")</f>
        <v>0</v>
      </c>
      <c r="B10371" t="s">
        <v>1663</v>
      </c>
      <c r="C10371" t="s">
        <v>13641</v>
      </c>
      <c r="D10371" t="s">
        <v>19023</v>
      </c>
      <c r="E10371" t="s">
        <v>27950</v>
      </c>
      <c r="F10371" t="s">
        <v>32606</v>
      </c>
      <c r="G10371" t="s">
        <v>32613</v>
      </c>
      <c r="H10371" t="s">
        <v>14201</v>
      </c>
      <c r="I10371" t="s">
        <v>4112</v>
      </c>
      <c r="J10371" t="s">
        <v>39211</v>
      </c>
      <c r="K10371" t="s">
        <v>42623</v>
      </c>
      <c r="M10371" t="s">
        <v>44689</v>
      </c>
      <c r="N10371" t="s">
        <v>47304</v>
      </c>
      <c r="O10371" t="s">
        <v>47305</v>
      </c>
      <c r="P10371">
        <v>0</v>
      </c>
      <c r="Q10371">
        <v>2</v>
      </c>
      <c r="R10371" t="s">
        <v>47313</v>
      </c>
      <c r="S10371" t="s">
        <v>47535</v>
      </c>
      <c r="T10371" t="s">
        <v>49240</v>
      </c>
      <c r="U10371" t="s">
        <v>58085</v>
      </c>
      <c r="W10371" t="s">
        <v>46318</v>
      </c>
      <c r="X10371" t="s">
        <v>47314</v>
      </c>
    </row>
    <row r="10372" spans="1:24">
      <c r="A10372">
        <f>HYPERLINK("https://www.philgeps.gov.ph/GEPSNONPILOT/Tender/SplashBidNoticeAbstractUI.aspx?menuIndex=3&amp;refID=7186893&amp;Result=3","7186893")</f>
        <v>0</v>
      </c>
      <c r="B10372" t="s">
        <v>1172</v>
      </c>
      <c r="C10372" t="s">
        <v>13642</v>
      </c>
      <c r="D10372" t="s">
        <v>19072</v>
      </c>
      <c r="E10372" t="s">
        <v>27951</v>
      </c>
      <c r="F10372" t="s">
        <v>32606</v>
      </c>
      <c r="G10372" t="s">
        <v>32614</v>
      </c>
      <c r="H10372" t="s">
        <v>14201</v>
      </c>
      <c r="I10372" t="s">
        <v>6298</v>
      </c>
      <c r="J10372" t="s">
        <v>37182</v>
      </c>
      <c r="K10372" t="s">
        <v>42631</v>
      </c>
      <c r="M10372" t="s">
        <v>44135</v>
      </c>
      <c r="N10372" t="s">
        <v>47304</v>
      </c>
      <c r="O10372" t="s">
        <v>47305</v>
      </c>
      <c r="P10372">
        <v>0</v>
      </c>
      <c r="Q10372">
        <v>0</v>
      </c>
      <c r="R10372" t="s">
        <v>47313</v>
      </c>
      <c r="S10372" t="s">
        <v>47535</v>
      </c>
      <c r="T10372" t="s">
        <v>49071</v>
      </c>
      <c r="U10372" t="s">
        <v>51932</v>
      </c>
      <c r="W10372" t="s">
        <v>44135</v>
      </c>
      <c r="X10372" t="s">
        <v>47314</v>
      </c>
    </row>
    <row r="10373" spans="1:24">
      <c r="A10373">
        <f>HYPERLINK("https://www.philgeps.gov.ph/GEPSNONPILOT/Tender/SplashBidNoticeAbstractUI.aspx?menuIndex=3&amp;refID=7186892&amp;Result=3","7186892")</f>
        <v>0</v>
      </c>
      <c r="B10373" t="s">
        <v>1663</v>
      </c>
      <c r="C10373" t="s">
        <v>13643</v>
      </c>
      <c r="D10373" t="s">
        <v>19023</v>
      </c>
      <c r="E10373" t="s">
        <v>27952</v>
      </c>
      <c r="F10373" t="s">
        <v>32606</v>
      </c>
      <c r="G10373" t="s">
        <v>32613</v>
      </c>
      <c r="H10373" t="s">
        <v>14201</v>
      </c>
      <c r="I10373" t="s">
        <v>6931</v>
      </c>
      <c r="J10373" t="s">
        <v>39212</v>
      </c>
      <c r="K10373" t="s">
        <v>42646</v>
      </c>
      <c r="M10373" t="s">
        <v>46318</v>
      </c>
      <c r="N10373" t="s">
        <v>47304</v>
      </c>
      <c r="O10373" t="s">
        <v>47305</v>
      </c>
      <c r="P10373">
        <v>0</v>
      </c>
      <c r="Q10373">
        <v>0</v>
      </c>
      <c r="R10373" t="s">
        <v>47313</v>
      </c>
      <c r="S10373" t="s">
        <v>47535</v>
      </c>
      <c r="T10373" t="s">
        <v>49240</v>
      </c>
      <c r="U10373" t="s">
        <v>53407</v>
      </c>
      <c r="W10373" t="s">
        <v>46318</v>
      </c>
      <c r="X10373" t="s">
        <v>47314</v>
      </c>
    </row>
    <row r="10374" spans="1:24">
      <c r="A10374">
        <f>HYPERLINK("https://www.philgeps.gov.ph/GEPSNONPILOT/Tender/SplashBidNoticeAbstractUI.aspx?menuIndex=3&amp;refID=7186899&amp;Result=3","7186899")</f>
        <v>0</v>
      </c>
      <c r="B10374" t="s">
        <v>1663</v>
      </c>
      <c r="C10374" t="s">
        <v>13644</v>
      </c>
      <c r="D10374" t="s">
        <v>19023</v>
      </c>
      <c r="E10374" t="s">
        <v>27953</v>
      </c>
      <c r="F10374" t="s">
        <v>32606</v>
      </c>
      <c r="G10374" t="s">
        <v>32613</v>
      </c>
      <c r="H10374" t="s">
        <v>14201</v>
      </c>
      <c r="I10374" t="s">
        <v>6931</v>
      </c>
      <c r="J10374" t="s">
        <v>39213</v>
      </c>
      <c r="K10374" t="s">
        <v>42646</v>
      </c>
      <c r="M10374" t="s">
        <v>44689</v>
      </c>
      <c r="N10374" t="s">
        <v>47304</v>
      </c>
      <c r="O10374" t="s">
        <v>47305</v>
      </c>
      <c r="P10374">
        <v>0</v>
      </c>
      <c r="Q10374">
        <v>0</v>
      </c>
      <c r="R10374" t="s">
        <v>47313</v>
      </c>
      <c r="S10374" t="s">
        <v>47535</v>
      </c>
      <c r="T10374" t="s">
        <v>49240</v>
      </c>
      <c r="U10374" t="s">
        <v>58080</v>
      </c>
      <c r="W10374" t="s">
        <v>46318</v>
      </c>
      <c r="X10374" t="s">
        <v>47314</v>
      </c>
    </row>
    <row r="10375" spans="1:24">
      <c r="A10375">
        <f>HYPERLINK("https://www.philgeps.gov.ph/GEPSNONPILOT/Tender/SplashBidNoticeAbstractUI.aspx?menuIndex=3&amp;refID=7186891&amp;Result=3","7186891")</f>
        <v>0</v>
      </c>
      <c r="B10375" t="s">
        <v>2594</v>
      </c>
      <c r="C10375" t="s">
        <v>13645</v>
      </c>
      <c r="D10375" t="s">
        <v>19009</v>
      </c>
      <c r="E10375" t="s">
        <v>25258</v>
      </c>
      <c r="F10375" t="s">
        <v>32606</v>
      </c>
      <c r="G10375" t="s">
        <v>32613</v>
      </c>
      <c r="H10375" t="s">
        <v>32623</v>
      </c>
      <c r="I10375" t="s">
        <v>17648</v>
      </c>
      <c r="J10375" t="s">
        <v>39214</v>
      </c>
      <c r="K10375" t="s">
        <v>42845</v>
      </c>
      <c r="M10375" t="s">
        <v>45737</v>
      </c>
      <c r="N10375" t="s">
        <v>47304</v>
      </c>
      <c r="O10375" t="s">
        <v>47305</v>
      </c>
      <c r="P10375">
        <v>0</v>
      </c>
      <c r="Q10375">
        <v>0</v>
      </c>
      <c r="R10375" t="s">
        <v>47313</v>
      </c>
      <c r="S10375" t="s">
        <v>47535</v>
      </c>
      <c r="T10375" t="s">
        <v>49057</v>
      </c>
      <c r="U10375" t="s">
        <v>58086</v>
      </c>
      <c r="V10375" t="s">
        <v>63735</v>
      </c>
      <c r="W10375" t="s">
        <v>45737</v>
      </c>
      <c r="X10375" t="s">
        <v>47314</v>
      </c>
    </row>
    <row r="10376" spans="1:24">
      <c r="A10376">
        <f>HYPERLINK("https://www.philgeps.gov.ph/GEPSNONPILOT/Tender/SplashBidNoticeAbstractUI.aspx?menuIndex=3&amp;refID=7173288&amp;Result=3","7173288")</f>
        <v>0</v>
      </c>
      <c r="B10376" t="s">
        <v>497</v>
      </c>
      <c r="C10376" t="s">
        <v>13646</v>
      </c>
      <c r="D10376" t="s">
        <v>18991</v>
      </c>
      <c r="E10376" t="s">
        <v>27954</v>
      </c>
      <c r="F10376" t="s">
        <v>32606</v>
      </c>
      <c r="G10376" t="s">
        <v>32613</v>
      </c>
      <c r="H10376" t="s">
        <v>14201</v>
      </c>
      <c r="I10376" t="s">
        <v>7064</v>
      </c>
      <c r="J10376" t="s">
        <v>33587</v>
      </c>
      <c r="K10376" t="s">
        <v>42624</v>
      </c>
      <c r="M10376" t="s">
        <v>46319</v>
      </c>
      <c r="N10376" t="s">
        <v>47304</v>
      </c>
      <c r="O10376" t="s">
        <v>47305</v>
      </c>
      <c r="P10376">
        <v>0</v>
      </c>
      <c r="Q10376">
        <v>1</v>
      </c>
      <c r="R10376" t="s">
        <v>47314</v>
      </c>
      <c r="S10376" t="s">
        <v>47596</v>
      </c>
      <c r="T10376" t="s">
        <v>49007</v>
      </c>
      <c r="U10376" t="s">
        <v>58087</v>
      </c>
      <c r="V10376" t="s">
        <v>63736</v>
      </c>
      <c r="W10376" t="s">
        <v>46319</v>
      </c>
      <c r="X10376" t="s">
        <v>47320</v>
      </c>
    </row>
    <row r="10377" spans="1:24">
      <c r="A10377">
        <f>HYPERLINK("https://www.philgeps.gov.ph/GEPSNONPILOT/Tender/SplashBidNoticeAbstractUI.aspx?menuIndex=3&amp;refID=7146657&amp;Result=3","7146657")</f>
        <v>0</v>
      </c>
      <c r="B10377" t="s">
        <v>1825</v>
      </c>
      <c r="C10377" t="s">
        <v>13647</v>
      </c>
      <c r="D10377" t="s">
        <v>18999</v>
      </c>
      <c r="E10377" t="s">
        <v>27955</v>
      </c>
      <c r="F10377" t="s">
        <v>32606</v>
      </c>
      <c r="G10377" t="s">
        <v>32613</v>
      </c>
      <c r="H10377" t="s">
        <v>32623</v>
      </c>
      <c r="I10377" t="s">
        <v>17648</v>
      </c>
      <c r="J10377" t="s">
        <v>32770</v>
      </c>
      <c r="K10377" t="s">
        <v>42631</v>
      </c>
      <c r="M10377" t="s">
        <v>44870</v>
      </c>
      <c r="N10377" t="s">
        <v>47304</v>
      </c>
      <c r="O10377" t="s">
        <v>47305</v>
      </c>
      <c r="P10377">
        <v>0</v>
      </c>
      <c r="Q10377">
        <v>12</v>
      </c>
      <c r="R10377" t="s">
        <v>47314</v>
      </c>
      <c r="S10377" t="s">
        <v>47596</v>
      </c>
      <c r="T10377" t="s">
        <v>49066</v>
      </c>
      <c r="U10377" t="s">
        <v>58088</v>
      </c>
      <c r="W10377" t="s">
        <v>44870</v>
      </c>
      <c r="X10377" t="s">
        <v>47332</v>
      </c>
    </row>
    <row r="10378" spans="1:24">
      <c r="A10378">
        <f>HYPERLINK("https://www.philgeps.gov.ph/GEPSNONPILOT/Tender/SplashBidNoticeAbstractUI.aspx?menuIndex=3&amp;refID=7172641&amp;Result=3","7172641")</f>
        <v>0</v>
      </c>
      <c r="B10378" t="s">
        <v>497</v>
      </c>
      <c r="C10378" t="s">
        <v>13648</v>
      </c>
      <c r="D10378" t="s">
        <v>18991</v>
      </c>
      <c r="E10378" t="s">
        <v>27956</v>
      </c>
      <c r="F10378" t="s">
        <v>32606</v>
      </c>
      <c r="G10378" t="s">
        <v>32613</v>
      </c>
      <c r="H10378" t="s">
        <v>14201</v>
      </c>
      <c r="I10378" t="s">
        <v>32635</v>
      </c>
      <c r="J10378" t="s">
        <v>39215</v>
      </c>
      <c r="K10378" t="s">
        <v>42624</v>
      </c>
      <c r="M10378" t="s">
        <v>46319</v>
      </c>
      <c r="N10378" t="s">
        <v>47304</v>
      </c>
      <c r="O10378" t="s">
        <v>47305</v>
      </c>
      <c r="P10378">
        <v>0</v>
      </c>
      <c r="Q10378">
        <v>3</v>
      </c>
      <c r="R10378" t="s">
        <v>47314</v>
      </c>
      <c r="S10378" t="s">
        <v>47596</v>
      </c>
      <c r="T10378" t="s">
        <v>49007</v>
      </c>
      <c r="U10378" t="s">
        <v>58089</v>
      </c>
      <c r="V10378" t="s">
        <v>63737</v>
      </c>
      <c r="W10378" t="s">
        <v>46319</v>
      </c>
      <c r="X10378" t="s">
        <v>47320</v>
      </c>
    </row>
    <row r="10379" spans="1:24">
      <c r="A10379">
        <f>HYPERLINK("https://www.philgeps.gov.ph/GEPSNONPILOT/Tender/SplashBidNoticeAbstractUI.aspx?menuIndex=3&amp;refID=7145173&amp;Result=3","7145173")</f>
        <v>0</v>
      </c>
      <c r="B10379" t="s">
        <v>2468</v>
      </c>
      <c r="C10379" t="s">
        <v>13649</v>
      </c>
      <c r="D10379" t="s">
        <v>18993</v>
      </c>
      <c r="E10379" t="s">
        <v>25756</v>
      </c>
      <c r="F10379" t="s">
        <v>32606</v>
      </c>
      <c r="G10379" t="s">
        <v>32613</v>
      </c>
      <c r="H10379" t="s">
        <v>32623</v>
      </c>
      <c r="I10379" t="s">
        <v>17648</v>
      </c>
      <c r="J10379" t="s">
        <v>39216</v>
      </c>
      <c r="K10379" t="s">
        <v>42624</v>
      </c>
      <c r="M10379" t="s">
        <v>45602</v>
      </c>
      <c r="N10379" t="s">
        <v>47304</v>
      </c>
      <c r="O10379" t="s">
        <v>47305</v>
      </c>
      <c r="P10379">
        <v>0</v>
      </c>
      <c r="Q10379">
        <v>2</v>
      </c>
      <c r="R10379" t="s">
        <v>47314</v>
      </c>
      <c r="S10379" t="s">
        <v>47596</v>
      </c>
      <c r="T10379" t="s">
        <v>49036</v>
      </c>
      <c r="U10379" t="s">
        <v>58090</v>
      </c>
      <c r="W10379" t="s">
        <v>45602</v>
      </c>
      <c r="X10379" t="s">
        <v>47333</v>
      </c>
    </row>
    <row r="10380" spans="1:24">
      <c r="A10380">
        <f>HYPERLINK("https://www.philgeps.gov.ph/GEPSNONPILOT/Tender/SplashBidNoticeAbstractUI.aspx?menuIndex=3&amp;refID=7174167&amp;Result=3","7174167")</f>
        <v>0</v>
      </c>
      <c r="B10380" t="s">
        <v>3110</v>
      </c>
      <c r="C10380" t="s">
        <v>7205</v>
      </c>
      <c r="D10380" t="s">
        <v>19010</v>
      </c>
      <c r="E10380" t="s">
        <v>27957</v>
      </c>
      <c r="F10380" t="s">
        <v>32607</v>
      </c>
      <c r="G10380" t="s">
        <v>32613</v>
      </c>
      <c r="H10380" t="s">
        <v>14201</v>
      </c>
      <c r="I10380" t="s">
        <v>32693</v>
      </c>
      <c r="J10380" t="s">
        <v>33030</v>
      </c>
      <c r="K10380" t="s">
        <v>42624</v>
      </c>
      <c r="M10380" t="s">
        <v>46320</v>
      </c>
      <c r="N10380" t="s">
        <v>47304</v>
      </c>
      <c r="O10380" t="s">
        <v>47305</v>
      </c>
      <c r="P10380">
        <v>0</v>
      </c>
      <c r="Q10380">
        <v>1</v>
      </c>
      <c r="R10380" t="s">
        <v>47314</v>
      </c>
      <c r="S10380" t="s">
        <v>47596</v>
      </c>
      <c r="T10380" t="s">
        <v>49023</v>
      </c>
      <c r="U10380" t="s">
        <v>58091</v>
      </c>
      <c r="W10380" t="s">
        <v>46320</v>
      </c>
      <c r="X10380" t="s">
        <v>47320</v>
      </c>
    </row>
    <row r="10381" spans="1:24">
      <c r="A10381">
        <f>HYPERLINK("https://www.philgeps.gov.ph/GEPSNONPILOT/Tender/SplashBidNoticeAbstractUI.aspx?menuIndex=3&amp;refID=7172504&amp;Result=3","7172504")</f>
        <v>0</v>
      </c>
      <c r="B10381" t="s">
        <v>497</v>
      </c>
      <c r="C10381" t="s">
        <v>13646</v>
      </c>
      <c r="D10381" t="s">
        <v>18991</v>
      </c>
      <c r="E10381" t="s">
        <v>27958</v>
      </c>
      <c r="F10381" t="s">
        <v>32606</v>
      </c>
      <c r="G10381" t="s">
        <v>32613</v>
      </c>
      <c r="H10381" t="s">
        <v>14201</v>
      </c>
      <c r="I10381" t="s">
        <v>7064</v>
      </c>
      <c r="J10381" t="s">
        <v>32795</v>
      </c>
      <c r="K10381" t="s">
        <v>42624</v>
      </c>
      <c r="M10381" t="s">
        <v>46319</v>
      </c>
      <c r="N10381" t="s">
        <v>47304</v>
      </c>
      <c r="O10381" t="s">
        <v>47305</v>
      </c>
      <c r="P10381">
        <v>0</v>
      </c>
      <c r="Q10381">
        <v>7</v>
      </c>
      <c r="R10381" t="s">
        <v>47314</v>
      </c>
      <c r="S10381" t="s">
        <v>47596</v>
      </c>
      <c r="T10381" t="s">
        <v>49007</v>
      </c>
      <c r="U10381" t="s">
        <v>58092</v>
      </c>
      <c r="V10381" t="s">
        <v>63738</v>
      </c>
      <c r="W10381" t="s">
        <v>46319</v>
      </c>
      <c r="X10381" t="s">
        <v>47320</v>
      </c>
    </row>
    <row r="10382" spans="1:24">
      <c r="A10382">
        <f>HYPERLINK("https://www.philgeps.gov.ph/GEPSNONPILOT/Tender/SplashBidNoticeAbstractUI.aspx?menuIndex=3&amp;refID=7168629&amp;Result=3","7168629")</f>
        <v>0</v>
      </c>
      <c r="B10382" t="s">
        <v>2476</v>
      </c>
      <c r="C10382" t="s">
        <v>13650</v>
      </c>
      <c r="D10382" t="s">
        <v>19015</v>
      </c>
      <c r="E10382" t="s">
        <v>27959</v>
      </c>
      <c r="F10382" t="s">
        <v>32606</v>
      </c>
      <c r="G10382" t="s">
        <v>32613</v>
      </c>
      <c r="H10382" t="s">
        <v>14201</v>
      </c>
      <c r="I10382" t="s">
        <v>6931</v>
      </c>
      <c r="J10382" t="s">
        <v>39217</v>
      </c>
      <c r="K10382" t="s">
        <v>42631</v>
      </c>
      <c r="L10382" t="s">
        <v>2476</v>
      </c>
      <c r="M10382" t="s">
        <v>45612</v>
      </c>
      <c r="N10382" t="s">
        <v>47304</v>
      </c>
      <c r="O10382" t="s">
        <v>47305</v>
      </c>
      <c r="P10382">
        <v>0</v>
      </c>
      <c r="Q10382">
        <v>10</v>
      </c>
      <c r="R10382" t="s">
        <v>47314</v>
      </c>
      <c r="S10382" t="s">
        <v>47596</v>
      </c>
      <c r="T10382" t="s">
        <v>48996</v>
      </c>
      <c r="U10382" t="s">
        <v>58093</v>
      </c>
      <c r="W10382" t="s">
        <v>45612</v>
      </c>
      <c r="X10382" t="s">
        <v>47321</v>
      </c>
    </row>
    <row r="10383" spans="1:24">
      <c r="A10383">
        <f>HYPERLINK("https://www.philgeps.gov.ph/GEPSNONPILOT/Tender/SplashBidNoticeAbstractUI.aspx?menuIndex=3&amp;refID=7170836&amp;Result=3","7170836")</f>
        <v>0</v>
      </c>
      <c r="B10383" t="s">
        <v>1245</v>
      </c>
      <c r="C10383" t="s">
        <v>10075</v>
      </c>
      <c r="D10383" t="s">
        <v>19039</v>
      </c>
      <c r="E10383" t="s">
        <v>27960</v>
      </c>
      <c r="F10383" t="s">
        <v>32606</v>
      </c>
      <c r="G10383" t="s">
        <v>32613</v>
      </c>
      <c r="H10383" t="s">
        <v>14201</v>
      </c>
      <c r="I10383" t="s">
        <v>32633</v>
      </c>
      <c r="J10383" t="s">
        <v>39218</v>
      </c>
      <c r="K10383" t="s">
        <v>42631</v>
      </c>
      <c r="M10383" t="s">
        <v>46280</v>
      </c>
      <c r="N10383" t="s">
        <v>47304</v>
      </c>
      <c r="O10383" t="s">
        <v>47305</v>
      </c>
      <c r="P10383">
        <v>0</v>
      </c>
      <c r="Q10383">
        <v>20</v>
      </c>
      <c r="R10383" t="s">
        <v>47314</v>
      </c>
      <c r="S10383" t="s">
        <v>47596</v>
      </c>
      <c r="T10383" t="s">
        <v>49037</v>
      </c>
      <c r="U10383" t="s">
        <v>58094</v>
      </c>
      <c r="W10383" t="s">
        <v>46280</v>
      </c>
      <c r="X10383" t="s">
        <v>47320</v>
      </c>
    </row>
    <row r="10384" spans="1:24">
      <c r="A10384">
        <f>HYPERLINK("https://www.philgeps.gov.ph/GEPSNONPILOT/Tender/SplashBidNoticeAbstractUI.aspx?menuIndex=3&amp;refID=7186863&amp;Result=3","7186863")</f>
        <v>0</v>
      </c>
      <c r="B10384" t="s">
        <v>3107</v>
      </c>
      <c r="C10384" t="s">
        <v>13651</v>
      </c>
      <c r="D10384" t="s">
        <v>19001</v>
      </c>
      <c r="E10384" t="s">
        <v>19404</v>
      </c>
      <c r="F10384" t="s">
        <v>32606</v>
      </c>
      <c r="G10384" t="s">
        <v>32613</v>
      </c>
      <c r="H10384" t="s">
        <v>14201</v>
      </c>
      <c r="I10384" t="s">
        <v>6931</v>
      </c>
      <c r="J10384" t="s">
        <v>39219</v>
      </c>
      <c r="K10384" t="s">
        <v>42666</v>
      </c>
      <c r="M10384" t="s">
        <v>46314</v>
      </c>
      <c r="N10384" t="s">
        <v>47304</v>
      </c>
      <c r="O10384" t="s">
        <v>47305</v>
      </c>
      <c r="P10384">
        <v>0</v>
      </c>
      <c r="Q10384">
        <v>0</v>
      </c>
      <c r="R10384" t="s">
        <v>47313</v>
      </c>
      <c r="S10384" t="s">
        <v>47535</v>
      </c>
      <c r="T10384" t="s">
        <v>49071</v>
      </c>
      <c r="U10384" t="s">
        <v>58070</v>
      </c>
      <c r="W10384" t="s">
        <v>46314</v>
      </c>
      <c r="X10384" t="s">
        <v>47314</v>
      </c>
    </row>
    <row r="10385" spans="1:24">
      <c r="A10385">
        <f>HYPERLINK("https://www.philgeps.gov.ph/GEPSNONPILOT/Tender/SplashBidNoticeAbstractUI.aspx?menuIndex=3&amp;refID=7172910&amp;Result=3","7172910")</f>
        <v>0</v>
      </c>
      <c r="B10385" t="s">
        <v>497</v>
      </c>
      <c r="C10385" t="s">
        <v>13646</v>
      </c>
      <c r="D10385" t="s">
        <v>18991</v>
      </c>
      <c r="E10385" t="s">
        <v>27961</v>
      </c>
      <c r="F10385" t="s">
        <v>32606</v>
      </c>
      <c r="G10385" t="s">
        <v>32613</v>
      </c>
      <c r="H10385" t="s">
        <v>14201</v>
      </c>
      <c r="I10385" t="s">
        <v>7064</v>
      </c>
      <c r="J10385" t="s">
        <v>32830</v>
      </c>
      <c r="K10385" t="s">
        <v>42624</v>
      </c>
      <c r="M10385" t="s">
        <v>46319</v>
      </c>
      <c r="N10385" t="s">
        <v>47304</v>
      </c>
      <c r="O10385" t="s">
        <v>47305</v>
      </c>
      <c r="P10385">
        <v>0</v>
      </c>
      <c r="Q10385">
        <v>3</v>
      </c>
      <c r="R10385" t="s">
        <v>47314</v>
      </c>
      <c r="S10385" t="s">
        <v>47596</v>
      </c>
      <c r="T10385" t="s">
        <v>49007</v>
      </c>
      <c r="U10385" t="s">
        <v>58095</v>
      </c>
      <c r="V10385" t="s">
        <v>63739</v>
      </c>
      <c r="W10385" t="s">
        <v>46319</v>
      </c>
      <c r="X10385" t="s">
        <v>47320</v>
      </c>
    </row>
    <row r="10386" spans="1:24">
      <c r="A10386">
        <f>HYPERLINK("https://www.philgeps.gov.ph/GEPSNONPILOT/Tender/SplashBidNoticeAbstractUI.aspx?menuIndex=3&amp;refID=7164181&amp;Result=3","7164181")</f>
        <v>0</v>
      </c>
      <c r="B10386" t="s">
        <v>3111</v>
      </c>
      <c r="C10386" t="s">
        <v>13652</v>
      </c>
      <c r="D10386" t="s">
        <v>19016</v>
      </c>
      <c r="E10386" t="s">
        <v>19315</v>
      </c>
      <c r="F10386" t="s">
        <v>32606</v>
      </c>
      <c r="G10386" t="s">
        <v>32613</v>
      </c>
      <c r="H10386" t="s">
        <v>14201</v>
      </c>
      <c r="I10386" t="s">
        <v>6931</v>
      </c>
      <c r="J10386" t="s">
        <v>39220</v>
      </c>
      <c r="K10386" t="s">
        <v>42638</v>
      </c>
      <c r="M10386" t="s">
        <v>46321</v>
      </c>
      <c r="N10386" t="s">
        <v>47304</v>
      </c>
      <c r="O10386" t="s">
        <v>47305</v>
      </c>
      <c r="P10386">
        <v>0</v>
      </c>
      <c r="Q10386">
        <v>3</v>
      </c>
      <c r="R10386" t="s">
        <v>47314</v>
      </c>
      <c r="S10386" t="s">
        <v>47596</v>
      </c>
      <c r="T10386" t="s">
        <v>49100</v>
      </c>
      <c r="U10386" t="s">
        <v>58096</v>
      </c>
      <c r="V10386" t="s">
        <v>63740</v>
      </c>
      <c r="W10386" t="s">
        <v>46321</v>
      </c>
      <c r="X10386" t="s">
        <v>47325</v>
      </c>
    </row>
    <row r="10387" spans="1:24">
      <c r="A10387">
        <f>HYPERLINK("https://www.philgeps.gov.ph/GEPSNONPILOT/Tender/SplashBidNoticeAbstractUI.aspx?menuIndex=3&amp;refID=7158904&amp;Result=3","7158904")</f>
        <v>0</v>
      </c>
      <c r="B10387" t="s">
        <v>2859</v>
      </c>
      <c r="C10387" t="s">
        <v>13653</v>
      </c>
      <c r="D10387" t="s">
        <v>19002</v>
      </c>
      <c r="E10387" t="s">
        <v>27962</v>
      </c>
      <c r="F10387" t="s">
        <v>32606</v>
      </c>
      <c r="G10387" t="s">
        <v>32613</v>
      </c>
      <c r="H10387" t="s">
        <v>32623</v>
      </c>
      <c r="I10387" t="s">
        <v>17648</v>
      </c>
      <c r="J10387" t="s">
        <v>33231</v>
      </c>
      <c r="K10387" t="s">
        <v>42683</v>
      </c>
      <c r="M10387" t="s">
        <v>46028</v>
      </c>
      <c r="N10387" t="s">
        <v>47304</v>
      </c>
      <c r="O10387" t="s">
        <v>47305</v>
      </c>
      <c r="P10387">
        <v>0</v>
      </c>
      <c r="Q10387">
        <v>4</v>
      </c>
      <c r="R10387" t="s">
        <v>47314</v>
      </c>
      <c r="S10387" t="s">
        <v>47596</v>
      </c>
      <c r="T10387" t="s">
        <v>49286</v>
      </c>
      <c r="U10387" t="s">
        <v>57083</v>
      </c>
      <c r="W10387" t="s">
        <v>46028</v>
      </c>
      <c r="X10387" t="s">
        <v>47326</v>
      </c>
    </row>
    <row r="10388" spans="1:24">
      <c r="A10388">
        <f>HYPERLINK("https://www.philgeps.gov.ph/GEPSNONPILOT/Tender/SplashBidNoticeAbstractUI.aspx?menuIndex=3&amp;refID=7172008&amp;Result=3","7172008")</f>
        <v>0</v>
      </c>
      <c r="B10388" t="s">
        <v>2484</v>
      </c>
      <c r="C10388" t="s">
        <v>13654</v>
      </c>
      <c r="D10388" t="s">
        <v>19034</v>
      </c>
      <c r="E10388" t="s">
        <v>27963</v>
      </c>
      <c r="F10388" t="s">
        <v>32606</v>
      </c>
      <c r="G10388" t="s">
        <v>32613</v>
      </c>
      <c r="H10388" t="s">
        <v>14201</v>
      </c>
      <c r="I10388" t="s">
        <v>32629</v>
      </c>
      <c r="J10388" t="s">
        <v>39221</v>
      </c>
      <c r="K10388" t="s">
        <v>42631</v>
      </c>
      <c r="M10388" t="s">
        <v>45621</v>
      </c>
      <c r="N10388" t="s">
        <v>47304</v>
      </c>
      <c r="O10388" t="s">
        <v>47305</v>
      </c>
      <c r="P10388">
        <v>0</v>
      </c>
      <c r="Q10388">
        <v>0</v>
      </c>
      <c r="R10388" t="s">
        <v>47314</v>
      </c>
      <c r="S10388" t="s">
        <v>47596</v>
      </c>
      <c r="T10388" t="s">
        <v>49140</v>
      </c>
      <c r="U10388" t="s">
        <v>58097</v>
      </c>
      <c r="V10388" t="s">
        <v>63381</v>
      </c>
      <c r="W10388" t="s">
        <v>45621</v>
      </c>
      <c r="X10388" t="s">
        <v>47320</v>
      </c>
    </row>
    <row r="10389" spans="1:24">
      <c r="A10389">
        <f>HYPERLINK("https://www.philgeps.gov.ph/GEPSNONPILOT/Tender/SplashBidNoticeAbstractUI.aspx?menuIndex=3&amp;refID=7173084&amp;Result=3","7173084")</f>
        <v>0</v>
      </c>
      <c r="B10389" t="s">
        <v>497</v>
      </c>
      <c r="C10389" t="s">
        <v>13646</v>
      </c>
      <c r="D10389" t="s">
        <v>18991</v>
      </c>
      <c r="E10389" t="s">
        <v>27964</v>
      </c>
      <c r="F10389" t="s">
        <v>32606</v>
      </c>
      <c r="G10389" t="s">
        <v>32613</v>
      </c>
      <c r="H10389" t="s">
        <v>14201</v>
      </c>
      <c r="I10389" t="s">
        <v>7064</v>
      </c>
      <c r="J10389" t="s">
        <v>32830</v>
      </c>
      <c r="K10389" t="s">
        <v>42624</v>
      </c>
      <c r="M10389" t="s">
        <v>46319</v>
      </c>
      <c r="N10389" t="s">
        <v>47304</v>
      </c>
      <c r="O10389" t="s">
        <v>47305</v>
      </c>
      <c r="P10389">
        <v>0</v>
      </c>
      <c r="Q10389">
        <v>3</v>
      </c>
      <c r="R10389" t="s">
        <v>47314</v>
      </c>
      <c r="S10389" t="s">
        <v>47596</v>
      </c>
      <c r="T10389" t="s">
        <v>49007</v>
      </c>
      <c r="U10389" t="s">
        <v>58095</v>
      </c>
      <c r="V10389" t="s">
        <v>63741</v>
      </c>
      <c r="W10389" t="s">
        <v>46319</v>
      </c>
      <c r="X10389" t="s">
        <v>47320</v>
      </c>
    </row>
    <row r="10390" spans="1:24">
      <c r="A10390">
        <f>HYPERLINK("https://www.philgeps.gov.ph/GEPSNONPILOT/Tender/SplashBidNoticeAbstractUI.aspx?menuIndex=3&amp;refID=7176290&amp;Result=3","7176290")</f>
        <v>0</v>
      </c>
      <c r="B10390" t="s">
        <v>3112</v>
      </c>
      <c r="C10390" t="s">
        <v>13655</v>
      </c>
      <c r="D10390" t="s">
        <v>18992</v>
      </c>
      <c r="E10390" t="s">
        <v>27965</v>
      </c>
      <c r="F10390" t="s">
        <v>32607</v>
      </c>
      <c r="G10390" t="s">
        <v>32613</v>
      </c>
      <c r="H10390" t="s">
        <v>14201</v>
      </c>
      <c r="I10390" t="s">
        <v>32626</v>
      </c>
      <c r="J10390" t="s">
        <v>39222</v>
      </c>
      <c r="K10390" t="s">
        <v>42622</v>
      </c>
      <c r="M10390" t="s">
        <v>46322</v>
      </c>
      <c r="N10390" t="s">
        <v>47304</v>
      </c>
      <c r="O10390" t="s">
        <v>47305</v>
      </c>
      <c r="P10390">
        <v>0</v>
      </c>
      <c r="Q10390">
        <v>1</v>
      </c>
      <c r="R10390" t="s">
        <v>47314</v>
      </c>
      <c r="S10390" t="s">
        <v>47596</v>
      </c>
      <c r="T10390" t="s">
        <v>48986</v>
      </c>
      <c r="U10390" t="s">
        <v>58098</v>
      </c>
      <c r="W10390" t="s">
        <v>46322</v>
      </c>
      <c r="X10390" t="s">
        <v>47319</v>
      </c>
    </row>
    <row r="10391" spans="1:24">
      <c r="A10391">
        <f>HYPERLINK("https://www.philgeps.gov.ph/GEPSNONPILOT/Tender/SplashBidNoticeAbstractUI.aspx?menuIndex=3&amp;refID=7176158&amp;Result=3","7176158")</f>
        <v>0</v>
      </c>
      <c r="B10391" t="s">
        <v>37</v>
      </c>
      <c r="C10391" t="s">
        <v>13656</v>
      </c>
      <c r="D10391" t="s">
        <v>18997</v>
      </c>
      <c r="E10391" t="s">
        <v>27966</v>
      </c>
      <c r="F10391" t="s">
        <v>32606</v>
      </c>
      <c r="G10391" t="s">
        <v>32613</v>
      </c>
      <c r="H10391" t="s">
        <v>14201</v>
      </c>
      <c r="I10391" t="s">
        <v>32650</v>
      </c>
      <c r="J10391" t="s">
        <v>32765</v>
      </c>
      <c r="K10391" t="s">
        <v>42631</v>
      </c>
      <c r="M10391" t="s">
        <v>42934</v>
      </c>
      <c r="N10391" t="s">
        <v>47304</v>
      </c>
      <c r="O10391" t="s">
        <v>47305</v>
      </c>
      <c r="Q10391">
        <v>0</v>
      </c>
      <c r="R10391" t="s">
        <v>47314</v>
      </c>
      <c r="S10391" t="s">
        <v>47597</v>
      </c>
      <c r="T10391" t="s">
        <v>49068</v>
      </c>
      <c r="U10391" t="s">
        <v>58099</v>
      </c>
      <c r="W10391" t="s">
        <v>42934</v>
      </c>
      <c r="X10391" t="s">
        <v>47319</v>
      </c>
    </row>
    <row r="10392" spans="1:24">
      <c r="A10392">
        <f>HYPERLINK("https://www.philgeps.gov.ph/GEPSNONPILOT/Tender/SplashBidNoticeAbstractUI.aspx?menuIndex=3&amp;refID=7174077&amp;Result=3","7174077")</f>
        <v>0</v>
      </c>
      <c r="B10392" t="s">
        <v>3113</v>
      </c>
      <c r="C10392" t="s">
        <v>13657</v>
      </c>
      <c r="D10392" t="s">
        <v>19022</v>
      </c>
      <c r="E10392" t="s">
        <v>25951</v>
      </c>
      <c r="F10392" t="s">
        <v>32606</v>
      </c>
      <c r="G10392" t="s">
        <v>32613</v>
      </c>
      <c r="H10392" t="s">
        <v>14201</v>
      </c>
      <c r="I10392" t="s">
        <v>4112</v>
      </c>
      <c r="J10392" t="s">
        <v>32789</v>
      </c>
      <c r="K10392" t="s">
        <v>42631</v>
      </c>
      <c r="M10392" t="s">
        <v>46323</v>
      </c>
      <c r="N10392" t="s">
        <v>47304</v>
      </c>
      <c r="O10392" t="s">
        <v>47305</v>
      </c>
      <c r="P10392">
        <v>0</v>
      </c>
      <c r="Q10392">
        <v>2</v>
      </c>
      <c r="R10392" t="s">
        <v>47314</v>
      </c>
      <c r="S10392" t="s">
        <v>47596</v>
      </c>
      <c r="T10392" t="s">
        <v>49050</v>
      </c>
      <c r="U10392" t="s">
        <v>58100</v>
      </c>
      <c r="W10392" t="s">
        <v>46323</v>
      </c>
      <c r="X10392" t="s">
        <v>47320</v>
      </c>
    </row>
    <row r="10393" spans="1:24">
      <c r="A10393">
        <f>HYPERLINK("https://www.philgeps.gov.ph/GEPSNONPILOT/Tender/SplashBidNoticeAbstractUI.aspx?menuIndex=3&amp;refID=7176376&amp;Result=3","7176376")</f>
        <v>0</v>
      </c>
      <c r="B10393" t="s">
        <v>1014</v>
      </c>
      <c r="C10393" t="s">
        <v>13658</v>
      </c>
      <c r="D10393" t="s">
        <v>19005</v>
      </c>
      <c r="E10393" t="s">
        <v>27967</v>
      </c>
      <c r="F10393" t="s">
        <v>32606</v>
      </c>
      <c r="G10393" t="s">
        <v>32614</v>
      </c>
      <c r="H10393" t="s">
        <v>14201</v>
      </c>
      <c r="I10393" t="s">
        <v>4112</v>
      </c>
      <c r="J10393" t="s">
        <v>33170</v>
      </c>
      <c r="K10393" t="s">
        <v>42646</v>
      </c>
      <c r="M10393" t="s">
        <v>46082</v>
      </c>
      <c r="N10393" t="s">
        <v>47304</v>
      </c>
      <c r="O10393" t="s">
        <v>47305</v>
      </c>
      <c r="Q10393">
        <v>0</v>
      </c>
      <c r="R10393" t="s">
        <v>47314</v>
      </c>
      <c r="S10393" t="s">
        <v>47598</v>
      </c>
      <c r="T10393" t="s">
        <v>49019</v>
      </c>
      <c r="U10393" t="s">
        <v>58101</v>
      </c>
      <c r="W10393" t="s">
        <v>46082</v>
      </c>
      <c r="X10393" t="s">
        <v>47319</v>
      </c>
    </row>
    <row r="10394" spans="1:24">
      <c r="A10394">
        <f>HYPERLINK("https://www.philgeps.gov.ph/GEPSNONPILOT/Tender/SplashBidNoticeAbstractUI.aspx?menuIndex=3&amp;refID=7176127&amp;Result=3","7176127")</f>
        <v>0</v>
      </c>
      <c r="B10394" t="s">
        <v>1807</v>
      </c>
      <c r="C10394" t="s">
        <v>13659</v>
      </c>
      <c r="D10394" t="s">
        <v>19026</v>
      </c>
      <c r="E10394" t="s">
        <v>27968</v>
      </c>
      <c r="F10394" t="s">
        <v>32606</v>
      </c>
      <c r="G10394" t="s">
        <v>32613</v>
      </c>
      <c r="H10394" t="s">
        <v>14201</v>
      </c>
      <c r="I10394" t="s">
        <v>6931</v>
      </c>
      <c r="J10394" t="s">
        <v>39223</v>
      </c>
      <c r="K10394" t="s">
        <v>42630</v>
      </c>
      <c r="M10394" t="s">
        <v>44864</v>
      </c>
      <c r="N10394" t="s">
        <v>47304</v>
      </c>
      <c r="O10394" t="s">
        <v>47305</v>
      </c>
      <c r="P10394">
        <v>0</v>
      </c>
      <c r="Q10394">
        <v>0</v>
      </c>
      <c r="R10394" t="s">
        <v>47314</v>
      </c>
      <c r="S10394" t="s">
        <v>47596</v>
      </c>
      <c r="T10394" t="s">
        <v>49234</v>
      </c>
      <c r="U10394" t="s">
        <v>58102</v>
      </c>
      <c r="W10394" t="s">
        <v>44864</v>
      </c>
      <c r="X10394" t="s">
        <v>47319</v>
      </c>
    </row>
    <row r="10395" spans="1:24">
      <c r="A10395">
        <f>HYPERLINK("https://www.philgeps.gov.ph/GEPSNONPILOT/Tender/SplashBidNoticeAbstractUI.aspx?menuIndex=3&amp;refID=7176254&amp;Result=3","7176254")</f>
        <v>0</v>
      </c>
      <c r="B10395" t="s">
        <v>1014</v>
      </c>
      <c r="C10395" t="s">
        <v>13660</v>
      </c>
      <c r="D10395" t="s">
        <v>19005</v>
      </c>
      <c r="E10395" t="s">
        <v>27969</v>
      </c>
      <c r="F10395" t="s">
        <v>32606</v>
      </c>
      <c r="G10395" t="s">
        <v>32614</v>
      </c>
      <c r="H10395" t="s">
        <v>14201</v>
      </c>
      <c r="I10395" t="s">
        <v>4112</v>
      </c>
      <c r="J10395" t="s">
        <v>33060</v>
      </c>
      <c r="K10395" t="s">
        <v>42646</v>
      </c>
      <c r="M10395" t="s">
        <v>46082</v>
      </c>
      <c r="N10395" t="s">
        <v>47304</v>
      </c>
      <c r="O10395" t="s">
        <v>47305</v>
      </c>
      <c r="Q10395">
        <v>1</v>
      </c>
      <c r="R10395" t="s">
        <v>47314</v>
      </c>
      <c r="S10395" t="s">
        <v>47599</v>
      </c>
      <c r="T10395" t="s">
        <v>49019</v>
      </c>
      <c r="U10395" t="s">
        <v>58103</v>
      </c>
      <c r="W10395" t="s">
        <v>46082</v>
      </c>
      <c r="X10395" t="s">
        <v>47319</v>
      </c>
    </row>
    <row r="10396" spans="1:24">
      <c r="A10396">
        <f>HYPERLINK("https://www.philgeps.gov.ph/GEPSNONPILOT/Tender/SplashBidNoticeAbstractUI.aspx?menuIndex=3&amp;refID=7176079&amp;Result=3","7176079")</f>
        <v>0</v>
      </c>
      <c r="B10396" t="s">
        <v>37</v>
      </c>
      <c r="C10396" t="s">
        <v>13661</v>
      </c>
      <c r="D10396" t="s">
        <v>18997</v>
      </c>
      <c r="E10396" t="s">
        <v>27970</v>
      </c>
      <c r="F10396" t="s">
        <v>32606</v>
      </c>
      <c r="G10396" t="s">
        <v>32613</v>
      </c>
      <c r="H10396" t="s">
        <v>14201</v>
      </c>
      <c r="I10396" t="s">
        <v>6014</v>
      </c>
      <c r="J10396" t="s">
        <v>33948</v>
      </c>
      <c r="K10396" t="s">
        <v>42631</v>
      </c>
      <c r="M10396" t="s">
        <v>42934</v>
      </c>
      <c r="N10396" t="s">
        <v>47304</v>
      </c>
      <c r="O10396" t="s">
        <v>47305</v>
      </c>
      <c r="Q10396">
        <v>3</v>
      </c>
      <c r="R10396" t="s">
        <v>47314</v>
      </c>
      <c r="S10396" t="s">
        <v>47600</v>
      </c>
      <c r="T10396" t="s">
        <v>49068</v>
      </c>
      <c r="U10396" t="s">
        <v>58104</v>
      </c>
      <c r="W10396" t="s">
        <v>42934</v>
      </c>
      <c r="X10396" t="s">
        <v>47319</v>
      </c>
    </row>
    <row r="10397" spans="1:24">
      <c r="A10397">
        <f>HYPERLINK("https://www.philgeps.gov.ph/GEPSNONPILOT/Tender/SplashBidNoticeAbstractUI.aspx?menuIndex=3&amp;refID=7176064&amp;Result=3","7176064")</f>
        <v>0</v>
      </c>
      <c r="B10397" t="s">
        <v>1807</v>
      </c>
      <c r="C10397" t="s">
        <v>13662</v>
      </c>
      <c r="D10397" t="s">
        <v>19026</v>
      </c>
      <c r="E10397" t="s">
        <v>27971</v>
      </c>
      <c r="F10397" t="s">
        <v>32606</v>
      </c>
      <c r="G10397" t="s">
        <v>32613</v>
      </c>
      <c r="H10397" t="s">
        <v>14201</v>
      </c>
      <c r="I10397" t="s">
        <v>7064</v>
      </c>
      <c r="J10397" t="s">
        <v>39224</v>
      </c>
      <c r="K10397" t="s">
        <v>42631</v>
      </c>
      <c r="M10397" t="s">
        <v>44864</v>
      </c>
      <c r="N10397" t="s">
        <v>47304</v>
      </c>
      <c r="O10397" t="s">
        <v>47305</v>
      </c>
      <c r="P10397">
        <v>0</v>
      </c>
      <c r="Q10397">
        <v>2</v>
      </c>
      <c r="R10397" t="s">
        <v>47314</v>
      </c>
      <c r="S10397" t="s">
        <v>47596</v>
      </c>
      <c r="T10397" t="s">
        <v>49234</v>
      </c>
      <c r="U10397" t="s">
        <v>58102</v>
      </c>
      <c r="W10397" t="s">
        <v>44864</v>
      </c>
      <c r="X10397" t="s">
        <v>47319</v>
      </c>
    </row>
    <row r="10398" spans="1:24">
      <c r="A10398">
        <f>HYPERLINK("https://www.philgeps.gov.ph/GEPSNONPILOT/Tender/SplashBidNoticeAbstractUI.aspx?menuIndex=3&amp;refID=7176229&amp;Result=3","7176229")</f>
        <v>0</v>
      </c>
      <c r="B10398" t="s">
        <v>37</v>
      </c>
      <c r="C10398" t="s">
        <v>13663</v>
      </c>
      <c r="D10398" t="s">
        <v>18997</v>
      </c>
      <c r="E10398" t="s">
        <v>22569</v>
      </c>
      <c r="F10398" t="s">
        <v>32606</v>
      </c>
      <c r="G10398" t="s">
        <v>32613</v>
      </c>
      <c r="H10398" t="s">
        <v>14201</v>
      </c>
      <c r="I10398" t="s">
        <v>32680</v>
      </c>
      <c r="J10398" t="s">
        <v>32765</v>
      </c>
      <c r="K10398" t="s">
        <v>42631</v>
      </c>
      <c r="M10398" t="s">
        <v>42934</v>
      </c>
      <c r="N10398" t="s">
        <v>47304</v>
      </c>
      <c r="O10398" t="s">
        <v>47305</v>
      </c>
      <c r="Q10398">
        <v>1</v>
      </c>
      <c r="R10398" t="s">
        <v>47314</v>
      </c>
      <c r="S10398" t="s">
        <v>47601</v>
      </c>
      <c r="T10398" t="s">
        <v>49068</v>
      </c>
      <c r="U10398" t="s">
        <v>58105</v>
      </c>
      <c r="W10398" t="s">
        <v>42934</v>
      </c>
      <c r="X10398" t="s">
        <v>47319</v>
      </c>
    </row>
    <row r="10399" spans="1:24">
      <c r="A10399">
        <f>HYPERLINK("https://www.philgeps.gov.ph/GEPSNONPILOT/Tender/SplashBidNoticeAbstractUI.aspx?menuIndex=3&amp;refID=7175840&amp;Result=3","7175840")</f>
        <v>0</v>
      </c>
      <c r="B10399" t="s">
        <v>1014</v>
      </c>
      <c r="C10399" t="s">
        <v>13664</v>
      </c>
      <c r="D10399" t="s">
        <v>19005</v>
      </c>
      <c r="E10399" t="s">
        <v>27972</v>
      </c>
      <c r="F10399" t="s">
        <v>32606</v>
      </c>
      <c r="G10399" t="s">
        <v>32614</v>
      </c>
      <c r="H10399" t="s">
        <v>14201</v>
      </c>
      <c r="I10399" t="s">
        <v>4112</v>
      </c>
      <c r="J10399" t="s">
        <v>39225</v>
      </c>
      <c r="K10399" t="s">
        <v>42646</v>
      </c>
      <c r="M10399" t="s">
        <v>46082</v>
      </c>
      <c r="N10399" t="s">
        <v>47304</v>
      </c>
      <c r="O10399" t="s">
        <v>47305</v>
      </c>
      <c r="Q10399">
        <v>3</v>
      </c>
      <c r="R10399" t="s">
        <v>47314</v>
      </c>
      <c r="S10399" t="s">
        <v>47602</v>
      </c>
      <c r="T10399" t="s">
        <v>49019</v>
      </c>
      <c r="U10399" t="s">
        <v>58106</v>
      </c>
      <c r="W10399" t="s">
        <v>46082</v>
      </c>
      <c r="X10399" t="s">
        <v>47319</v>
      </c>
    </row>
    <row r="10400" spans="1:24">
      <c r="A10400">
        <f>HYPERLINK("https://www.philgeps.gov.ph/GEPSNONPILOT/Tender/SplashBidNoticeAbstractUI.aspx?menuIndex=3&amp;refID=7175566&amp;Result=3","7175566")</f>
        <v>0</v>
      </c>
      <c r="B10400" t="s">
        <v>3114</v>
      </c>
      <c r="C10400" t="s">
        <v>13665</v>
      </c>
      <c r="D10400" t="s">
        <v>19038</v>
      </c>
      <c r="F10400" t="s">
        <v>32606</v>
      </c>
      <c r="G10400" t="s">
        <v>32613</v>
      </c>
      <c r="H10400" t="s">
        <v>14201</v>
      </c>
      <c r="I10400" t="s">
        <v>32629</v>
      </c>
      <c r="J10400" t="s">
        <v>32949</v>
      </c>
      <c r="K10400" t="s">
        <v>42624</v>
      </c>
      <c r="M10400" t="s">
        <v>46324</v>
      </c>
      <c r="N10400" t="s">
        <v>47304</v>
      </c>
      <c r="O10400" t="s">
        <v>47305</v>
      </c>
      <c r="P10400">
        <v>0</v>
      </c>
      <c r="Q10400">
        <v>0</v>
      </c>
      <c r="R10400" t="s">
        <v>47314</v>
      </c>
      <c r="S10400" t="s">
        <v>47596</v>
      </c>
      <c r="T10400" t="s">
        <v>49016</v>
      </c>
      <c r="U10400" t="s">
        <v>58107</v>
      </c>
      <c r="W10400" t="s">
        <v>46324</v>
      </c>
      <c r="X10400" t="s">
        <v>47319</v>
      </c>
    </row>
    <row r="10401" spans="1:24">
      <c r="A10401">
        <f>HYPERLINK("https://www.philgeps.gov.ph/GEPSNONPILOT/Tender/SplashBidNoticeAbstractUI.aspx?menuIndex=3&amp;refID=7176132&amp;Result=3","7176132")</f>
        <v>0</v>
      </c>
      <c r="B10401" t="s">
        <v>37</v>
      </c>
      <c r="C10401" t="s">
        <v>13666</v>
      </c>
      <c r="D10401" t="s">
        <v>18997</v>
      </c>
      <c r="E10401" t="s">
        <v>27973</v>
      </c>
      <c r="F10401" t="s">
        <v>32606</v>
      </c>
      <c r="G10401" t="s">
        <v>32613</v>
      </c>
      <c r="H10401" t="s">
        <v>14201</v>
      </c>
      <c r="I10401" t="s">
        <v>6478</v>
      </c>
      <c r="J10401" t="s">
        <v>39226</v>
      </c>
      <c r="K10401" t="s">
        <v>42623</v>
      </c>
      <c r="M10401" t="s">
        <v>42934</v>
      </c>
      <c r="N10401" t="s">
        <v>47304</v>
      </c>
      <c r="O10401" t="s">
        <v>47305</v>
      </c>
      <c r="Q10401">
        <v>1</v>
      </c>
      <c r="R10401" t="s">
        <v>47314</v>
      </c>
      <c r="S10401" t="s">
        <v>47603</v>
      </c>
      <c r="T10401" t="s">
        <v>49068</v>
      </c>
      <c r="U10401" t="s">
        <v>58108</v>
      </c>
      <c r="W10401" t="s">
        <v>42934</v>
      </c>
      <c r="X10401" t="s">
        <v>47319</v>
      </c>
    </row>
    <row r="10402" spans="1:24">
      <c r="A10402">
        <f>HYPERLINK("https://www.philgeps.gov.ph/GEPSNONPILOT/Tender/SplashBidNoticeAbstractUI.aspx?menuIndex=3&amp;refID=7178385&amp;Result=3","7178385")</f>
        <v>0</v>
      </c>
      <c r="B10402" t="s">
        <v>2861</v>
      </c>
      <c r="C10402" t="s">
        <v>13667</v>
      </c>
      <c r="D10402" t="s">
        <v>19015</v>
      </c>
      <c r="E10402" t="s">
        <v>27974</v>
      </c>
      <c r="F10402" t="s">
        <v>32606</v>
      </c>
      <c r="G10402" t="s">
        <v>32613</v>
      </c>
      <c r="H10402" t="s">
        <v>14201</v>
      </c>
      <c r="I10402" t="s">
        <v>7577</v>
      </c>
      <c r="J10402" t="s">
        <v>39227</v>
      </c>
      <c r="K10402" t="s">
        <v>42631</v>
      </c>
      <c r="M10402" t="s">
        <v>46030</v>
      </c>
      <c r="N10402" t="s">
        <v>47304</v>
      </c>
      <c r="O10402" t="s">
        <v>47305</v>
      </c>
      <c r="P10402">
        <v>0</v>
      </c>
      <c r="Q10402">
        <v>10</v>
      </c>
      <c r="R10402" t="s">
        <v>47314</v>
      </c>
      <c r="S10402" t="s">
        <v>47596</v>
      </c>
      <c r="T10402" t="s">
        <v>48980</v>
      </c>
      <c r="U10402" t="s">
        <v>58109</v>
      </c>
      <c r="W10402" t="s">
        <v>46030</v>
      </c>
      <c r="X10402" t="s">
        <v>47318</v>
      </c>
    </row>
    <row r="10403" spans="1:24">
      <c r="A10403">
        <f>HYPERLINK("https://www.philgeps.gov.ph/GEPSNONPILOT/Tender/SplashBidNoticeAbstractUI.aspx?menuIndex=3&amp;refID=7176099&amp;Result=3","7176099")</f>
        <v>0</v>
      </c>
      <c r="B10403" t="s">
        <v>37</v>
      </c>
      <c r="C10403" t="s">
        <v>13668</v>
      </c>
      <c r="D10403" t="s">
        <v>18997</v>
      </c>
      <c r="E10403" t="s">
        <v>27975</v>
      </c>
      <c r="F10403" t="s">
        <v>32606</v>
      </c>
      <c r="G10403" t="s">
        <v>32613</v>
      </c>
      <c r="H10403" t="s">
        <v>14201</v>
      </c>
      <c r="I10403" t="s">
        <v>32633</v>
      </c>
      <c r="J10403" t="s">
        <v>39228</v>
      </c>
      <c r="K10403" t="s">
        <v>42631</v>
      </c>
      <c r="M10403" t="s">
        <v>42934</v>
      </c>
      <c r="N10403" t="s">
        <v>47304</v>
      </c>
      <c r="O10403" t="s">
        <v>47305</v>
      </c>
      <c r="Q10403">
        <v>8</v>
      </c>
      <c r="R10403" t="s">
        <v>47314</v>
      </c>
      <c r="S10403" t="s">
        <v>47604</v>
      </c>
      <c r="T10403" t="s">
        <v>49064</v>
      </c>
      <c r="U10403" t="s">
        <v>58110</v>
      </c>
      <c r="W10403" t="s">
        <v>42934</v>
      </c>
      <c r="X10403" t="s">
        <v>47319</v>
      </c>
    </row>
    <row r="10404" spans="1:24">
      <c r="A10404">
        <f>HYPERLINK("https://www.philgeps.gov.ph/GEPSNONPILOT/Tender/SplashBidNoticeAbstractUI.aspx?menuIndex=3&amp;refID=7178322&amp;Result=3","7178322")</f>
        <v>0</v>
      </c>
      <c r="B10404" t="s">
        <v>2861</v>
      </c>
      <c r="C10404" t="s">
        <v>13669</v>
      </c>
      <c r="D10404" t="s">
        <v>19015</v>
      </c>
      <c r="E10404" t="s">
        <v>27976</v>
      </c>
      <c r="F10404" t="s">
        <v>32606</v>
      </c>
      <c r="G10404" t="s">
        <v>32613</v>
      </c>
      <c r="H10404" t="s">
        <v>14201</v>
      </c>
      <c r="I10404" t="s">
        <v>4114</v>
      </c>
      <c r="J10404" t="s">
        <v>39229</v>
      </c>
      <c r="K10404" t="s">
        <v>42631</v>
      </c>
      <c r="M10404" t="s">
        <v>46030</v>
      </c>
      <c r="N10404" t="s">
        <v>47304</v>
      </c>
      <c r="O10404" t="s">
        <v>47305</v>
      </c>
      <c r="P10404">
        <v>0</v>
      </c>
      <c r="Q10404">
        <v>16</v>
      </c>
      <c r="R10404" t="s">
        <v>47314</v>
      </c>
      <c r="S10404" t="s">
        <v>47596</v>
      </c>
      <c r="T10404" t="s">
        <v>49004</v>
      </c>
      <c r="U10404" t="s">
        <v>58111</v>
      </c>
      <c r="W10404" t="s">
        <v>46030</v>
      </c>
      <c r="X10404" t="s">
        <v>47318</v>
      </c>
    </row>
    <row r="10405" spans="1:24">
      <c r="A10405">
        <f>HYPERLINK("https://www.philgeps.gov.ph/GEPSNONPILOT/Tender/SplashBidNoticeAbstractUI.aspx?menuIndex=3&amp;refID=7175961&amp;Result=3","7175961")</f>
        <v>0</v>
      </c>
      <c r="B10405" t="s">
        <v>37</v>
      </c>
      <c r="C10405" t="s">
        <v>13670</v>
      </c>
      <c r="D10405" t="s">
        <v>18997</v>
      </c>
      <c r="E10405" t="s">
        <v>27977</v>
      </c>
      <c r="F10405" t="s">
        <v>32606</v>
      </c>
      <c r="G10405" t="s">
        <v>32613</v>
      </c>
      <c r="H10405" t="s">
        <v>14201</v>
      </c>
      <c r="I10405" t="s">
        <v>32633</v>
      </c>
      <c r="J10405" t="s">
        <v>35400</v>
      </c>
      <c r="K10405" t="s">
        <v>42631</v>
      </c>
      <c r="M10405" t="s">
        <v>42934</v>
      </c>
      <c r="N10405" t="s">
        <v>47304</v>
      </c>
      <c r="O10405" t="s">
        <v>47305</v>
      </c>
      <c r="Q10405">
        <v>1</v>
      </c>
      <c r="R10405" t="s">
        <v>47314</v>
      </c>
      <c r="S10405" t="s">
        <v>47605</v>
      </c>
      <c r="T10405" t="s">
        <v>49068</v>
      </c>
      <c r="U10405" t="s">
        <v>58112</v>
      </c>
      <c r="W10405" t="s">
        <v>42934</v>
      </c>
      <c r="X10405" t="s">
        <v>47319</v>
      </c>
    </row>
    <row r="10406" spans="1:24">
      <c r="A10406">
        <f>HYPERLINK("https://www.philgeps.gov.ph/GEPSNONPILOT/Tender/SplashBidNoticeAbstractUI.aspx?menuIndex=3&amp;refID=7178259&amp;Result=3","7178259")</f>
        <v>0</v>
      </c>
      <c r="B10406" t="s">
        <v>1807</v>
      </c>
      <c r="C10406" t="s">
        <v>13671</v>
      </c>
      <c r="D10406" t="s">
        <v>19026</v>
      </c>
      <c r="E10406" t="s">
        <v>26258</v>
      </c>
      <c r="F10406" t="s">
        <v>32606</v>
      </c>
      <c r="G10406" t="s">
        <v>32613</v>
      </c>
      <c r="H10406" t="s">
        <v>32623</v>
      </c>
      <c r="I10406" t="s">
        <v>17648</v>
      </c>
      <c r="J10406" t="s">
        <v>39230</v>
      </c>
      <c r="K10406" t="s">
        <v>42846</v>
      </c>
      <c r="M10406" t="s">
        <v>44864</v>
      </c>
      <c r="N10406" t="s">
        <v>47304</v>
      </c>
      <c r="O10406" t="s">
        <v>47305</v>
      </c>
      <c r="P10406">
        <v>0</v>
      </c>
      <c r="Q10406">
        <v>0</v>
      </c>
      <c r="R10406" t="s">
        <v>47314</v>
      </c>
      <c r="S10406" t="s">
        <v>47596</v>
      </c>
      <c r="T10406" t="s">
        <v>49234</v>
      </c>
      <c r="U10406" t="s">
        <v>58113</v>
      </c>
      <c r="W10406" t="s">
        <v>44864</v>
      </c>
      <c r="X10406" t="s">
        <v>47318</v>
      </c>
    </row>
    <row r="10407" spans="1:24">
      <c r="A10407">
        <f>HYPERLINK("https://www.philgeps.gov.ph/GEPSNONPILOT/Tender/SplashBidNoticeAbstractUI.aspx?menuIndex=3&amp;refID=7176314&amp;Result=3","7176314")</f>
        <v>0</v>
      </c>
      <c r="B10407" t="s">
        <v>37</v>
      </c>
      <c r="C10407" t="s">
        <v>13672</v>
      </c>
      <c r="D10407" t="s">
        <v>18997</v>
      </c>
      <c r="E10407" t="s">
        <v>27978</v>
      </c>
      <c r="F10407" t="s">
        <v>32606</v>
      </c>
      <c r="G10407" t="s">
        <v>32613</v>
      </c>
      <c r="H10407" t="s">
        <v>14201</v>
      </c>
      <c r="I10407" t="s">
        <v>6931</v>
      </c>
      <c r="J10407" t="s">
        <v>39231</v>
      </c>
      <c r="K10407" t="s">
        <v>42623</v>
      </c>
      <c r="M10407" t="s">
        <v>42934</v>
      </c>
      <c r="N10407" t="s">
        <v>47304</v>
      </c>
      <c r="O10407" t="s">
        <v>47305</v>
      </c>
      <c r="Q10407">
        <v>0</v>
      </c>
      <c r="R10407" t="s">
        <v>47314</v>
      </c>
      <c r="S10407" t="s">
        <v>47606</v>
      </c>
      <c r="T10407" t="s">
        <v>49068</v>
      </c>
      <c r="U10407" t="s">
        <v>58114</v>
      </c>
      <c r="W10407" t="s">
        <v>42934</v>
      </c>
      <c r="X10407" t="s">
        <v>47319</v>
      </c>
    </row>
    <row r="10408" spans="1:24">
      <c r="A10408">
        <f>HYPERLINK("https://www.philgeps.gov.ph/GEPSNONPILOT/Tender/SplashBidNoticeAbstractUI.aspx?menuIndex=3&amp;refID=7177976&amp;Result=3","7177976")</f>
        <v>0</v>
      </c>
      <c r="B10408" t="s">
        <v>659</v>
      </c>
      <c r="C10408" t="s">
        <v>13673</v>
      </c>
      <c r="D10408" t="s">
        <v>19018</v>
      </c>
      <c r="E10408" t="s">
        <v>27979</v>
      </c>
      <c r="F10408" t="s">
        <v>32606</v>
      </c>
      <c r="G10408" t="s">
        <v>32613</v>
      </c>
      <c r="H10408" t="s">
        <v>14201</v>
      </c>
      <c r="I10408" t="s">
        <v>32658</v>
      </c>
      <c r="J10408" t="s">
        <v>39232</v>
      </c>
      <c r="K10408" t="s">
        <v>42636</v>
      </c>
      <c r="M10408" t="s">
        <v>43579</v>
      </c>
      <c r="N10408" t="s">
        <v>47304</v>
      </c>
      <c r="O10408" t="s">
        <v>47305</v>
      </c>
      <c r="P10408">
        <v>0</v>
      </c>
      <c r="Q10408">
        <v>3</v>
      </c>
      <c r="R10408" t="s">
        <v>47314</v>
      </c>
      <c r="S10408" t="s">
        <v>47596</v>
      </c>
      <c r="T10408" t="s">
        <v>49140</v>
      </c>
      <c r="U10408" t="s">
        <v>58115</v>
      </c>
      <c r="W10408" t="s">
        <v>43579</v>
      </c>
      <c r="X10408" t="s">
        <v>47318</v>
      </c>
    </row>
    <row r="10409" spans="1:24">
      <c r="A10409">
        <f>HYPERLINK("https://www.philgeps.gov.ph/GEPSNONPILOT/Tender/SplashBidNoticeAbstractUI.aspx?menuIndex=3&amp;refID=7178387&amp;Result=3","7178387")</f>
        <v>0</v>
      </c>
      <c r="B10409" t="s">
        <v>3115</v>
      </c>
      <c r="C10409" t="s">
        <v>13674</v>
      </c>
      <c r="D10409" t="s">
        <v>19058</v>
      </c>
      <c r="E10409" t="s">
        <v>27980</v>
      </c>
      <c r="F10409" t="s">
        <v>32606</v>
      </c>
      <c r="G10409" t="s">
        <v>32613</v>
      </c>
      <c r="H10409" t="s">
        <v>32623</v>
      </c>
      <c r="I10409" t="s">
        <v>17648</v>
      </c>
      <c r="J10409" t="s">
        <v>34557</v>
      </c>
      <c r="K10409" t="s">
        <v>42648</v>
      </c>
      <c r="M10409" t="s">
        <v>46325</v>
      </c>
      <c r="N10409" t="s">
        <v>47304</v>
      </c>
      <c r="O10409" t="s">
        <v>47305</v>
      </c>
      <c r="P10409">
        <v>0</v>
      </c>
      <c r="Q10409">
        <v>3</v>
      </c>
      <c r="R10409" t="s">
        <v>47314</v>
      </c>
      <c r="S10409" t="s">
        <v>47596</v>
      </c>
      <c r="T10409" t="s">
        <v>49140</v>
      </c>
      <c r="U10409" t="s">
        <v>58116</v>
      </c>
      <c r="W10409" t="s">
        <v>46325</v>
      </c>
      <c r="X10409" t="s">
        <v>47318</v>
      </c>
    </row>
    <row r="10410" spans="1:24">
      <c r="A10410">
        <f>HYPERLINK("https://www.philgeps.gov.ph/GEPSNONPILOT/Tender/SplashBidNoticeAbstractUI.aspx?menuIndex=3&amp;refID=7177919&amp;Result=3","7177919")</f>
        <v>0</v>
      </c>
      <c r="B10410" t="s">
        <v>497</v>
      </c>
      <c r="C10410" t="s">
        <v>13675</v>
      </c>
      <c r="D10410" t="s">
        <v>18991</v>
      </c>
      <c r="E10410" t="s">
        <v>27981</v>
      </c>
      <c r="F10410" t="s">
        <v>32606</v>
      </c>
      <c r="G10410" t="s">
        <v>32613</v>
      </c>
      <c r="H10410" t="s">
        <v>14201</v>
      </c>
      <c r="I10410" t="s">
        <v>6931</v>
      </c>
      <c r="J10410" t="s">
        <v>39233</v>
      </c>
      <c r="K10410" t="s">
        <v>42624</v>
      </c>
      <c r="M10410" t="s">
        <v>46319</v>
      </c>
      <c r="N10410" t="s">
        <v>47304</v>
      </c>
      <c r="O10410" t="s">
        <v>47305</v>
      </c>
      <c r="P10410">
        <v>0</v>
      </c>
      <c r="Q10410">
        <v>1</v>
      </c>
      <c r="R10410" t="s">
        <v>47314</v>
      </c>
      <c r="S10410" t="s">
        <v>47596</v>
      </c>
      <c r="T10410" t="s">
        <v>49007</v>
      </c>
      <c r="U10410" t="s">
        <v>58117</v>
      </c>
      <c r="V10410" t="s">
        <v>63742</v>
      </c>
      <c r="W10410" t="s">
        <v>46319</v>
      </c>
      <c r="X10410" t="s">
        <v>47318</v>
      </c>
    </row>
    <row r="10411" spans="1:24">
      <c r="A10411">
        <f>HYPERLINK("https://www.philgeps.gov.ph/GEPSNONPILOT/Tender/SplashBidNoticeAbstractUI.aspx?menuIndex=3&amp;refID=7166208&amp;Result=3","7166208")</f>
        <v>0</v>
      </c>
      <c r="B10411" t="s">
        <v>3116</v>
      </c>
      <c r="C10411" t="s">
        <v>9698</v>
      </c>
      <c r="D10411" t="s">
        <v>19006</v>
      </c>
      <c r="E10411" t="s">
        <v>19145</v>
      </c>
      <c r="F10411" t="s">
        <v>32607</v>
      </c>
      <c r="G10411" t="s">
        <v>32613</v>
      </c>
      <c r="H10411" t="s">
        <v>32623</v>
      </c>
      <c r="I10411" t="s">
        <v>17648</v>
      </c>
      <c r="J10411" t="s">
        <v>32778</v>
      </c>
      <c r="K10411" t="s">
        <v>42627</v>
      </c>
      <c r="M10411" t="s">
        <v>46326</v>
      </c>
      <c r="N10411" t="s">
        <v>47304</v>
      </c>
      <c r="O10411" t="s">
        <v>47305</v>
      </c>
      <c r="P10411">
        <v>0</v>
      </c>
      <c r="Q10411">
        <v>1</v>
      </c>
      <c r="R10411" t="s">
        <v>47314</v>
      </c>
      <c r="S10411" t="s">
        <v>47596</v>
      </c>
      <c r="T10411" t="s">
        <v>49016</v>
      </c>
      <c r="U10411" t="s">
        <v>58118</v>
      </c>
      <c r="W10411" t="s">
        <v>46326</v>
      </c>
      <c r="X10411" t="s">
        <v>47322</v>
      </c>
    </row>
    <row r="10412" spans="1:24">
      <c r="A10412">
        <f>HYPERLINK("https://www.philgeps.gov.ph/GEPSNONPILOT/Tender/SplashBidNoticeAbstractUI.aspx?menuIndex=3&amp;refID=7177713&amp;Result=3","7177713")</f>
        <v>0</v>
      </c>
      <c r="B10412" t="s">
        <v>37</v>
      </c>
      <c r="C10412" t="s">
        <v>13676</v>
      </c>
      <c r="D10412" t="s">
        <v>18997</v>
      </c>
      <c r="E10412" t="s">
        <v>27982</v>
      </c>
      <c r="F10412" t="s">
        <v>32606</v>
      </c>
      <c r="G10412" t="s">
        <v>32613</v>
      </c>
      <c r="H10412" t="s">
        <v>14201</v>
      </c>
      <c r="I10412" t="s">
        <v>32650</v>
      </c>
      <c r="J10412" t="s">
        <v>39234</v>
      </c>
      <c r="K10412" t="s">
        <v>42631</v>
      </c>
      <c r="M10412" t="s">
        <v>42934</v>
      </c>
      <c r="N10412" t="s">
        <v>47304</v>
      </c>
      <c r="O10412" t="s">
        <v>47305</v>
      </c>
      <c r="Q10412">
        <v>2</v>
      </c>
      <c r="R10412" t="s">
        <v>47314</v>
      </c>
      <c r="S10412" t="s">
        <v>47607</v>
      </c>
      <c r="T10412" t="s">
        <v>49068</v>
      </c>
      <c r="U10412" t="s">
        <v>58119</v>
      </c>
      <c r="W10412" t="s">
        <v>42934</v>
      </c>
      <c r="X10412" t="s">
        <v>47318</v>
      </c>
    </row>
    <row r="10413" spans="1:24">
      <c r="A10413">
        <f>HYPERLINK("https://www.philgeps.gov.ph/GEPSNONPILOT/Tender/SplashBidNoticeAbstractUI.aspx?menuIndex=3&amp;refID=7177683&amp;Result=3","7177683")</f>
        <v>0</v>
      </c>
      <c r="B10413" t="s">
        <v>37</v>
      </c>
      <c r="C10413" t="s">
        <v>13677</v>
      </c>
      <c r="D10413" t="s">
        <v>18997</v>
      </c>
      <c r="E10413" t="s">
        <v>27983</v>
      </c>
      <c r="F10413" t="s">
        <v>32606</v>
      </c>
      <c r="G10413" t="s">
        <v>32613</v>
      </c>
      <c r="H10413" t="s">
        <v>14201</v>
      </c>
      <c r="I10413" t="s">
        <v>4114</v>
      </c>
      <c r="J10413" t="s">
        <v>39235</v>
      </c>
      <c r="K10413" t="s">
        <v>42631</v>
      </c>
      <c r="M10413" t="s">
        <v>42934</v>
      </c>
      <c r="N10413" t="s">
        <v>47304</v>
      </c>
      <c r="O10413" t="s">
        <v>47305</v>
      </c>
      <c r="Q10413">
        <v>1</v>
      </c>
      <c r="R10413" t="s">
        <v>47314</v>
      </c>
      <c r="S10413" t="s">
        <v>47608</v>
      </c>
      <c r="T10413" t="s">
        <v>49068</v>
      </c>
      <c r="U10413" t="s">
        <v>58120</v>
      </c>
      <c r="W10413" t="s">
        <v>42934</v>
      </c>
      <c r="X10413" t="s">
        <v>47318</v>
      </c>
    </row>
    <row r="10414" spans="1:24">
      <c r="A10414">
        <f>HYPERLINK("https://www.philgeps.gov.ph/GEPSNONPILOT/Tender/SplashBidNoticeAbstractUI.aspx?menuIndex=3&amp;refID=7178289&amp;Result=3","7178289")</f>
        <v>0</v>
      </c>
      <c r="B10414" t="s">
        <v>3117</v>
      </c>
      <c r="C10414" t="s">
        <v>13678</v>
      </c>
      <c r="D10414" t="s">
        <v>19019</v>
      </c>
      <c r="E10414" t="s">
        <v>19145</v>
      </c>
      <c r="F10414" t="s">
        <v>32606</v>
      </c>
      <c r="G10414" t="s">
        <v>32613</v>
      </c>
      <c r="H10414" t="s">
        <v>14201</v>
      </c>
      <c r="I10414" t="s">
        <v>4120</v>
      </c>
      <c r="J10414" t="s">
        <v>39236</v>
      </c>
      <c r="K10414" t="s">
        <v>42631</v>
      </c>
      <c r="M10414" t="s">
        <v>46327</v>
      </c>
      <c r="N10414" t="s">
        <v>47304</v>
      </c>
      <c r="O10414" t="s">
        <v>47305</v>
      </c>
      <c r="P10414">
        <v>0</v>
      </c>
      <c r="Q10414">
        <v>3</v>
      </c>
      <c r="R10414" t="s">
        <v>47314</v>
      </c>
      <c r="S10414" t="s">
        <v>47596</v>
      </c>
      <c r="T10414" t="s">
        <v>48997</v>
      </c>
      <c r="U10414" t="s">
        <v>58121</v>
      </c>
      <c r="W10414" t="s">
        <v>46327</v>
      </c>
      <c r="X10414" t="s">
        <v>47318</v>
      </c>
    </row>
    <row r="10415" spans="1:24">
      <c r="A10415">
        <f>HYPERLINK("https://www.philgeps.gov.ph/GEPSNONPILOT/Tender/SplashBidNoticeAbstractUI.aspx?menuIndex=3&amp;refID=7177528&amp;Result=3","7177528")</f>
        <v>0</v>
      </c>
      <c r="B10415" t="s">
        <v>2517</v>
      </c>
      <c r="C10415" t="s">
        <v>13679</v>
      </c>
      <c r="D10415" t="s">
        <v>19054</v>
      </c>
      <c r="E10415" t="s">
        <v>27984</v>
      </c>
      <c r="F10415" t="s">
        <v>32606</v>
      </c>
      <c r="G10415" t="s">
        <v>32613</v>
      </c>
      <c r="H10415" t="s">
        <v>32623</v>
      </c>
      <c r="I10415" t="s">
        <v>17648</v>
      </c>
      <c r="J10415" t="s">
        <v>39237</v>
      </c>
      <c r="K10415" t="s">
        <v>42636</v>
      </c>
      <c r="M10415" t="s">
        <v>45658</v>
      </c>
      <c r="N10415" t="s">
        <v>47304</v>
      </c>
      <c r="O10415" t="s">
        <v>47305</v>
      </c>
      <c r="P10415">
        <v>0</v>
      </c>
      <c r="Q10415">
        <v>0</v>
      </c>
      <c r="R10415" t="s">
        <v>47314</v>
      </c>
      <c r="S10415" t="s">
        <v>47596</v>
      </c>
      <c r="T10415" t="s">
        <v>49052</v>
      </c>
      <c r="U10415" t="s">
        <v>56113</v>
      </c>
      <c r="V10415" t="s">
        <v>63743</v>
      </c>
      <c r="W10415" t="s">
        <v>45658</v>
      </c>
      <c r="X10415" t="s">
        <v>47318</v>
      </c>
    </row>
    <row r="10416" spans="1:24">
      <c r="A10416">
        <f>HYPERLINK("https://www.philgeps.gov.ph/GEPSNONPILOT/Tender/SplashBidNoticeAbstractUI.aspx?menuIndex=3&amp;refID=7178100&amp;Result=3","7178100")</f>
        <v>0</v>
      </c>
      <c r="B10416" t="s">
        <v>497</v>
      </c>
      <c r="C10416" t="s">
        <v>13648</v>
      </c>
      <c r="D10416" t="s">
        <v>18991</v>
      </c>
      <c r="E10416" t="s">
        <v>27985</v>
      </c>
      <c r="F10416" t="s">
        <v>32606</v>
      </c>
      <c r="G10416" t="s">
        <v>32613</v>
      </c>
      <c r="H10416" t="s">
        <v>14201</v>
      </c>
      <c r="I10416" t="s">
        <v>32635</v>
      </c>
      <c r="J10416" t="s">
        <v>38795</v>
      </c>
      <c r="K10416" t="s">
        <v>42624</v>
      </c>
      <c r="M10416" t="s">
        <v>46319</v>
      </c>
      <c r="N10416" t="s">
        <v>47304</v>
      </c>
      <c r="O10416" t="s">
        <v>47305</v>
      </c>
      <c r="P10416">
        <v>0</v>
      </c>
      <c r="Q10416">
        <v>2</v>
      </c>
      <c r="R10416" t="s">
        <v>47314</v>
      </c>
      <c r="S10416" t="s">
        <v>47596</v>
      </c>
      <c r="T10416" t="s">
        <v>49007</v>
      </c>
      <c r="U10416" t="s">
        <v>58122</v>
      </c>
      <c r="V10416" t="s">
        <v>63744</v>
      </c>
      <c r="W10416" t="s">
        <v>46319</v>
      </c>
      <c r="X10416" t="s">
        <v>47318</v>
      </c>
    </row>
    <row r="10417" spans="1:24">
      <c r="A10417">
        <f>HYPERLINK("https://www.philgeps.gov.ph/GEPSNONPILOT/Tender/SplashBidNoticeAbstractUI.aspx?menuIndex=3&amp;refID=7177409&amp;Result=3","7177409")</f>
        <v>0</v>
      </c>
      <c r="B10417" t="s">
        <v>3118</v>
      </c>
      <c r="C10417" t="s">
        <v>13680</v>
      </c>
      <c r="D10417" t="s">
        <v>18997</v>
      </c>
      <c r="E10417" t="s">
        <v>20079</v>
      </c>
      <c r="F10417" t="s">
        <v>32606</v>
      </c>
      <c r="G10417" t="s">
        <v>32613</v>
      </c>
      <c r="H10417" t="s">
        <v>14201</v>
      </c>
      <c r="I10417" t="s">
        <v>32661</v>
      </c>
      <c r="J10417" t="s">
        <v>33263</v>
      </c>
      <c r="K10417" t="s">
        <v>42639</v>
      </c>
      <c r="M10417" t="s">
        <v>46328</v>
      </c>
      <c r="N10417" t="s">
        <v>47304</v>
      </c>
      <c r="O10417" t="s">
        <v>47305</v>
      </c>
      <c r="P10417">
        <v>0</v>
      </c>
      <c r="Q10417">
        <v>0</v>
      </c>
      <c r="R10417" t="s">
        <v>47314</v>
      </c>
      <c r="S10417" t="s">
        <v>47596</v>
      </c>
      <c r="T10417" t="s">
        <v>49109</v>
      </c>
      <c r="U10417" t="s">
        <v>58123</v>
      </c>
      <c r="W10417" t="s">
        <v>46328</v>
      </c>
      <c r="X10417" t="s">
        <v>47319</v>
      </c>
    </row>
    <row r="10418" spans="1:24">
      <c r="A10418">
        <f>HYPERLINK("https://www.philgeps.gov.ph/GEPSNONPILOT/Tender/SplashBidNoticeAbstractUI.aspx?menuIndex=3&amp;refID=7178472&amp;Result=3","7178472")</f>
        <v>0</v>
      </c>
      <c r="B10418" t="s">
        <v>3115</v>
      </c>
      <c r="C10418" t="s">
        <v>13681</v>
      </c>
      <c r="D10418" t="s">
        <v>19058</v>
      </c>
      <c r="E10418" t="s">
        <v>27986</v>
      </c>
      <c r="F10418" t="s">
        <v>32606</v>
      </c>
      <c r="G10418" t="s">
        <v>32613</v>
      </c>
      <c r="H10418" t="s">
        <v>14201</v>
      </c>
      <c r="I10418" t="s">
        <v>32732</v>
      </c>
      <c r="J10418" t="s">
        <v>39238</v>
      </c>
      <c r="K10418" t="s">
        <v>42631</v>
      </c>
      <c r="M10418" t="s">
        <v>46325</v>
      </c>
      <c r="N10418" t="s">
        <v>47304</v>
      </c>
      <c r="O10418" t="s">
        <v>47305</v>
      </c>
      <c r="P10418">
        <v>0</v>
      </c>
      <c r="Q10418">
        <v>7</v>
      </c>
      <c r="R10418" t="s">
        <v>47314</v>
      </c>
      <c r="S10418" t="s">
        <v>47596</v>
      </c>
      <c r="T10418" t="s">
        <v>49140</v>
      </c>
      <c r="U10418" t="s">
        <v>58124</v>
      </c>
      <c r="W10418" t="s">
        <v>46325</v>
      </c>
      <c r="X10418" t="s">
        <v>47318</v>
      </c>
    </row>
    <row r="10419" spans="1:24">
      <c r="A10419">
        <f>HYPERLINK("https://www.philgeps.gov.ph/GEPSNONPILOT/Tender/SplashBidNoticeAbstractUI.aspx?menuIndex=3&amp;refID=7177547&amp;Result=3","7177547")</f>
        <v>0</v>
      </c>
      <c r="B10419" t="s">
        <v>2517</v>
      </c>
      <c r="C10419" t="s">
        <v>13682</v>
      </c>
      <c r="D10419" t="s">
        <v>19054</v>
      </c>
      <c r="E10419" t="s">
        <v>27987</v>
      </c>
      <c r="F10419" t="s">
        <v>32606</v>
      </c>
      <c r="G10419" t="s">
        <v>32613</v>
      </c>
      <c r="H10419" t="s">
        <v>32623</v>
      </c>
      <c r="I10419" t="s">
        <v>17648</v>
      </c>
      <c r="J10419" t="s">
        <v>39239</v>
      </c>
      <c r="K10419" t="s">
        <v>42697</v>
      </c>
      <c r="M10419" t="s">
        <v>45658</v>
      </c>
      <c r="N10419" t="s">
        <v>47304</v>
      </c>
      <c r="O10419" t="s">
        <v>47305</v>
      </c>
      <c r="P10419">
        <v>0</v>
      </c>
      <c r="Q10419">
        <v>0</v>
      </c>
      <c r="R10419" t="s">
        <v>47314</v>
      </c>
      <c r="S10419" t="s">
        <v>47596</v>
      </c>
      <c r="T10419" t="s">
        <v>49052</v>
      </c>
      <c r="U10419" t="s">
        <v>56113</v>
      </c>
      <c r="V10419" t="s">
        <v>63745</v>
      </c>
      <c r="W10419" t="s">
        <v>45658</v>
      </c>
      <c r="X10419" t="s">
        <v>47318</v>
      </c>
    </row>
    <row r="10420" spans="1:24">
      <c r="A10420">
        <f>HYPERLINK("https://www.philgeps.gov.ph/GEPSNONPILOT/Tender/SplashBidNoticeAbstractUI.aspx?menuIndex=3&amp;refID=7179564&amp;Result=3","7179564")</f>
        <v>0</v>
      </c>
      <c r="B10420" t="s">
        <v>1853</v>
      </c>
      <c r="C10420" t="s">
        <v>13683</v>
      </c>
      <c r="D10420" t="s">
        <v>19010</v>
      </c>
      <c r="E10420" t="s">
        <v>27988</v>
      </c>
      <c r="F10420" t="s">
        <v>32606</v>
      </c>
      <c r="G10420" t="s">
        <v>32613</v>
      </c>
      <c r="H10420" t="s">
        <v>32623</v>
      </c>
      <c r="I10420" t="s">
        <v>32649</v>
      </c>
      <c r="J10420" t="s">
        <v>39240</v>
      </c>
      <c r="K10420" t="s">
        <v>42648</v>
      </c>
      <c r="M10420" t="s">
        <v>44907</v>
      </c>
      <c r="N10420" t="s">
        <v>47304</v>
      </c>
      <c r="O10420" t="s">
        <v>47305</v>
      </c>
      <c r="P10420">
        <v>0</v>
      </c>
      <c r="Q10420">
        <v>0</v>
      </c>
      <c r="R10420" t="s">
        <v>47314</v>
      </c>
      <c r="S10420" t="s">
        <v>47596</v>
      </c>
      <c r="T10420" t="s">
        <v>49170</v>
      </c>
      <c r="U10420" t="s">
        <v>58125</v>
      </c>
      <c r="W10420" t="s">
        <v>44907</v>
      </c>
      <c r="X10420" t="s">
        <v>47318</v>
      </c>
    </row>
    <row r="10421" spans="1:24">
      <c r="A10421">
        <f>HYPERLINK("https://www.philgeps.gov.ph/GEPSNONPILOT/Tender/SplashBidNoticeAbstractUI.aspx?menuIndex=3&amp;refID=7177510&amp;Result=3","7177510")</f>
        <v>0</v>
      </c>
      <c r="B10421" t="s">
        <v>2517</v>
      </c>
      <c r="C10421" t="s">
        <v>13684</v>
      </c>
      <c r="D10421" t="s">
        <v>19054</v>
      </c>
      <c r="E10421" t="s">
        <v>27989</v>
      </c>
      <c r="F10421" t="s">
        <v>32606</v>
      </c>
      <c r="G10421" t="s">
        <v>32613</v>
      </c>
      <c r="H10421" t="s">
        <v>32623</v>
      </c>
      <c r="I10421" t="s">
        <v>17648</v>
      </c>
      <c r="J10421" t="s">
        <v>39241</v>
      </c>
      <c r="K10421" t="s">
        <v>42636</v>
      </c>
      <c r="M10421" t="s">
        <v>45658</v>
      </c>
      <c r="N10421" t="s">
        <v>47304</v>
      </c>
      <c r="O10421" t="s">
        <v>47305</v>
      </c>
      <c r="P10421">
        <v>0</v>
      </c>
      <c r="Q10421">
        <v>0</v>
      </c>
      <c r="R10421" t="s">
        <v>47314</v>
      </c>
      <c r="S10421" t="s">
        <v>47596</v>
      </c>
      <c r="T10421" t="s">
        <v>49052</v>
      </c>
      <c r="U10421" t="s">
        <v>56113</v>
      </c>
      <c r="V10421" t="s">
        <v>63746</v>
      </c>
      <c r="W10421" t="s">
        <v>45658</v>
      </c>
      <c r="X10421" t="s">
        <v>47318</v>
      </c>
    </row>
    <row r="10422" spans="1:24">
      <c r="A10422">
        <f>HYPERLINK("https://www.philgeps.gov.ph/GEPSNONPILOT/Tender/SplashBidNoticeAbstractUI.aspx?menuIndex=3&amp;refID=7179411&amp;Result=3","7179411")</f>
        <v>0</v>
      </c>
      <c r="B10422" t="s">
        <v>3119</v>
      </c>
      <c r="C10422" t="s">
        <v>13685</v>
      </c>
      <c r="D10422" t="s">
        <v>19006</v>
      </c>
      <c r="E10422" t="s">
        <v>27990</v>
      </c>
      <c r="F10422" t="s">
        <v>32606</v>
      </c>
      <c r="G10422" t="s">
        <v>32613</v>
      </c>
      <c r="H10422" t="s">
        <v>32623</v>
      </c>
      <c r="I10422" t="s">
        <v>17648</v>
      </c>
      <c r="J10422" t="s">
        <v>39242</v>
      </c>
      <c r="K10422" t="s">
        <v>42649</v>
      </c>
      <c r="M10422" t="s">
        <v>46329</v>
      </c>
      <c r="N10422" t="s">
        <v>47304</v>
      </c>
      <c r="O10422" t="s">
        <v>47305</v>
      </c>
      <c r="P10422">
        <v>0</v>
      </c>
      <c r="Q10422">
        <v>0</v>
      </c>
      <c r="R10422" t="s">
        <v>47314</v>
      </c>
      <c r="S10422" t="s">
        <v>47596</v>
      </c>
      <c r="T10422" t="s">
        <v>48973</v>
      </c>
      <c r="U10422" t="s">
        <v>58126</v>
      </c>
      <c r="V10422" t="s">
        <v>63747</v>
      </c>
      <c r="W10422" t="s">
        <v>46329</v>
      </c>
      <c r="X10422" t="s">
        <v>47318</v>
      </c>
    </row>
    <row r="10423" spans="1:24">
      <c r="A10423">
        <f>HYPERLINK("https://www.philgeps.gov.ph/GEPSNONPILOT/Tender/SplashBidNoticeAbstractUI.aspx?menuIndex=3&amp;refID=7178987&amp;Result=3","7178987")</f>
        <v>0</v>
      </c>
      <c r="B10423" t="s">
        <v>1828</v>
      </c>
      <c r="C10423" t="s">
        <v>13686</v>
      </c>
      <c r="D10423" t="s">
        <v>19014</v>
      </c>
      <c r="E10423" t="s">
        <v>27991</v>
      </c>
      <c r="F10423" t="s">
        <v>32606</v>
      </c>
      <c r="G10423" t="s">
        <v>32613</v>
      </c>
      <c r="H10423" t="s">
        <v>32623</v>
      </c>
      <c r="I10423" t="s">
        <v>17648</v>
      </c>
      <c r="J10423" t="s">
        <v>39243</v>
      </c>
      <c r="K10423" t="s">
        <v>42799</v>
      </c>
      <c r="M10423" t="s">
        <v>46330</v>
      </c>
      <c r="N10423" t="s">
        <v>47304</v>
      </c>
      <c r="O10423" t="s">
        <v>47305</v>
      </c>
      <c r="P10423">
        <v>0</v>
      </c>
      <c r="Q10423">
        <v>19</v>
      </c>
      <c r="R10423" t="s">
        <v>47314</v>
      </c>
      <c r="S10423" t="s">
        <v>47596</v>
      </c>
      <c r="T10423" t="s">
        <v>49140</v>
      </c>
      <c r="U10423" t="s">
        <v>58127</v>
      </c>
      <c r="V10423" t="s">
        <v>63748</v>
      </c>
      <c r="W10423" t="s">
        <v>46330</v>
      </c>
      <c r="X10423" t="s">
        <v>47318</v>
      </c>
    </row>
    <row r="10424" spans="1:24">
      <c r="A10424">
        <f>HYPERLINK("https://www.philgeps.gov.ph/GEPSNONPILOT/Tender/SplashBidNoticeAbstractUI.aspx?menuIndex=3&amp;refID=7147856-2&amp;Result=3","7147856-2")</f>
        <v>0</v>
      </c>
      <c r="B10424" t="s">
        <v>962</v>
      </c>
      <c r="C10424" t="s">
        <v>13687</v>
      </c>
      <c r="D10424" t="s">
        <v>18991</v>
      </c>
      <c r="E10424" t="s">
        <v>27992</v>
      </c>
      <c r="F10424" t="s">
        <v>32606</v>
      </c>
      <c r="G10424" t="s">
        <v>32613</v>
      </c>
      <c r="H10424" t="s">
        <v>32625</v>
      </c>
      <c r="I10424" t="s">
        <v>32625</v>
      </c>
      <c r="J10424" t="s">
        <v>39244</v>
      </c>
      <c r="K10424" t="s">
        <v>42847</v>
      </c>
      <c r="M10424" t="s">
        <v>43907</v>
      </c>
      <c r="N10424" t="s">
        <v>47304</v>
      </c>
      <c r="O10424" t="s">
        <v>47305</v>
      </c>
      <c r="P10424">
        <v>0</v>
      </c>
      <c r="Q10424">
        <v>4</v>
      </c>
      <c r="R10424" t="s">
        <v>47314</v>
      </c>
      <c r="S10424" t="s">
        <v>47596</v>
      </c>
      <c r="T10424" t="s">
        <v>49159</v>
      </c>
      <c r="U10424" t="s">
        <v>58128</v>
      </c>
      <c r="V10424" t="s">
        <v>63749</v>
      </c>
      <c r="W10424" t="s">
        <v>43907</v>
      </c>
      <c r="X10424" t="s">
        <v>47315</v>
      </c>
    </row>
    <row r="10425" spans="1:24">
      <c r="A10425">
        <f>HYPERLINK("https://www.philgeps.gov.ph/GEPSNONPILOT/Tender/SplashBidNoticeAbstractUI.aspx?menuIndex=3&amp;refID=7178925&amp;Result=3","7178925")</f>
        <v>0</v>
      </c>
      <c r="B10425" t="s">
        <v>3120</v>
      </c>
      <c r="C10425" t="s">
        <v>13688</v>
      </c>
      <c r="D10425" t="s">
        <v>19033</v>
      </c>
      <c r="E10425" t="s">
        <v>27993</v>
      </c>
      <c r="F10425" t="s">
        <v>32606</v>
      </c>
      <c r="G10425" t="s">
        <v>32613</v>
      </c>
      <c r="H10425" t="s">
        <v>14201</v>
      </c>
      <c r="I10425" t="s">
        <v>6478</v>
      </c>
      <c r="J10425" t="s">
        <v>39245</v>
      </c>
      <c r="K10425" t="s">
        <v>42631</v>
      </c>
      <c r="M10425" t="s">
        <v>46331</v>
      </c>
      <c r="N10425" t="s">
        <v>47304</v>
      </c>
      <c r="O10425" t="s">
        <v>47305</v>
      </c>
      <c r="P10425">
        <v>0</v>
      </c>
      <c r="Q10425">
        <v>6</v>
      </c>
      <c r="R10425" t="s">
        <v>47314</v>
      </c>
      <c r="S10425" t="s">
        <v>47596</v>
      </c>
      <c r="T10425" t="s">
        <v>49052</v>
      </c>
      <c r="U10425" t="s">
        <v>58129</v>
      </c>
      <c r="W10425" t="s">
        <v>46331</v>
      </c>
      <c r="X10425" t="s">
        <v>47318</v>
      </c>
    </row>
    <row r="10426" spans="1:24">
      <c r="A10426">
        <f>HYPERLINK("https://www.philgeps.gov.ph/GEPSNONPILOT/Tender/SplashBidNoticeAbstractUI.aspx?menuIndex=3&amp;refID=7178857&amp;Result=3","7178857")</f>
        <v>0</v>
      </c>
      <c r="B10426" t="s">
        <v>3121</v>
      </c>
      <c r="C10426" t="s">
        <v>13689</v>
      </c>
      <c r="D10426" t="s">
        <v>18988</v>
      </c>
      <c r="E10426" t="s">
        <v>27994</v>
      </c>
      <c r="F10426" t="s">
        <v>32606</v>
      </c>
      <c r="G10426" t="s">
        <v>32613</v>
      </c>
      <c r="H10426" t="s">
        <v>14201</v>
      </c>
      <c r="I10426" t="s">
        <v>32643</v>
      </c>
      <c r="J10426" t="s">
        <v>39246</v>
      </c>
      <c r="K10426" t="s">
        <v>42631</v>
      </c>
      <c r="M10426" t="s">
        <v>46332</v>
      </c>
      <c r="N10426" t="s">
        <v>47304</v>
      </c>
      <c r="O10426" t="s">
        <v>47305</v>
      </c>
      <c r="P10426">
        <v>0</v>
      </c>
      <c r="Q10426">
        <v>10</v>
      </c>
      <c r="R10426" t="s">
        <v>47314</v>
      </c>
      <c r="S10426" t="s">
        <v>47596</v>
      </c>
      <c r="T10426" t="s">
        <v>49075</v>
      </c>
      <c r="U10426" t="s">
        <v>58130</v>
      </c>
      <c r="V10426" t="s">
        <v>63750</v>
      </c>
      <c r="W10426" t="s">
        <v>46332</v>
      </c>
      <c r="X10426" t="s">
        <v>47318</v>
      </c>
    </row>
    <row r="10427" spans="1:24">
      <c r="A10427">
        <f>HYPERLINK("https://www.philgeps.gov.ph/GEPSNONPILOT/Tender/SplashBidNoticeAbstractUI.aspx?menuIndex=3&amp;refID=7179355&amp;Result=3","7179355")</f>
        <v>0</v>
      </c>
      <c r="B10427" t="s">
        <v>1853</v>
      </c>
      <c r="C10427" t="s">
        <v>13690</v>
      </c>
      <c r="D10427" t="s">
        <v>19010</v>
      </c>
      <c r="E10427" t="s">
        <v>27995</v>
      </c>
      <c r="F10427" t="s">
        <v>32606</v>
      </c>
      <c r="G10427" t="s">
        <v>32613</v>
      </c>
      <c r="H10427" t="s">
        <v>14201</v>
      </c>
      <c r="I10427" t="s">
        <v>32650</v>
      </c>
      <c r="J10427" t="s">
        <v>32769</v>
      </c>
      <c r="K10427" t="s">
        <v>42639</v>
      </c>
      <c r="M10427" t="s">
        <v>44907</v>
      </c>
      <c r="N10427" t="s">
        <v>47304</v>
      </c>
      <c r="O10427" t="s">
        <v>47305</v>
      </c>
      <c r="P10427">
        <v>0</v>
      </c>
      <c r="Q10427">
        <v>3</v>
      </c>
      <c r="R10427" t="s">
        <v>47314</v>
      </c>
      <c r="S10427" t="s">
        <v>47596</v>
      </c>
      <c r="T10427" t="s">
        <v>49170</v>
      </c>
      <c r="U10427" t="s">
        <v>58131</v>
      </c>
      <c r="W10427" t="s">
        <v>44907</v>
      </c>
      <c r="X10427" t="s">
        <v>47318</v>
      </c>
    </row>
    <row r="10428" spans="1:24">
      <c r="A10428">
        <f>HYPERLINK("https://www.philgeps.gov.ph/GEPSNONPILOT/Tender/SplashBidNoticeAbstractUI.aspx?menuIndex=3&amp;refID=7178688&amp;Result=3","7178688")</f>
        <v>0</v>
      </c>
      <c r="B10428" t="s">
        <v>37</v>
      </c>
      <c r="C10428" t="s">
        <v>13691</v>
      </c>
      <c r="D10428" t="s">
        <v>18997</v>
      </c>
      <c r="E10428" t="s">
        <v>27996</v>
      </c>
      <c r="F10428" t="s">
        <v>32606</v>
      </c>
      <c r="G10428" t="s">
        <v>32613</v>
      </c>
      <c r="H10428" t="s">
        <v>32624</v>
      </c>
      <c r="I10428" t="s">
        <v>32651</v>
      </c>
      <c r="J10428" t="s">
        <v>32770</v>
      </c>
      <c r="K10428" t="s">
        <v>42751</v>
      </c>
      <c r="M10428" t="s">
        <v>42934</v>
      </c>
      <c r="N10428" t="s">
        <v>47304</v>
      </c>
      <c r="O10428" t="s">
        <v>47305</v>
      </c>
      <c r="Q10428">
        <v>0</v>
      </c>
      <c r="R10428" t="s">
        <v>47314</v>
      </c>
      <c r="S10428" t="s">
        <v>47609</v>
      </c>
      <c r="T10428" t="s">
        <v>49068</v>
      </c>
      <c r="U10428" t="s">
        <v>58132</v>
      </c>
      <c r="W10428" t="s">
        <v>42934</v>
      </c>
      <c r="X10428" t="s">
        <v>47318</v>
      </c>
    </row>
    <row r="10429" spans="1:24">
      <c r="A10429">
        <f>HYPERLINK("https://www.philgeps.gov.ph/GEPSNONPILOT/Tender/SplashBidNoticeAbstractUI.aspx?menuIndex=3&amp;refID=7178682&amp;Result=3","7178682")</f>
        <v>0</v>
      </c>
      <c r="B10429" t="s">
        <v>2496</v>
      </c>
      <c r="C10429" t="s">
        <v>13692</v>
      </c>
      <c r="D10429" t="s">
        <v>18995</v>
      </c>
      <c r="E10429" t="s">
        <v>27997</v>
      </c>
      <c r="F10429" t="s">
        <v>32606</v>
      </c>
      <c r="G10429" t="s">
        <v>32613</v>
      </c>
      <c r="H10429" t="s">
        <v>32623</v>
      </c>
      <c r="I10429" t="s">
        <v>17648</v>
      </c>
      <c r="J10429" t="s">
        <v>39247</v>
      </c>
      <c r="K10429" t="s">
        <v>42712</v>
      </c>
      <c r="M10429" t="s">
        <v>45634</v>
      </c>
      <c r="N10429" t="s">
        <v>47304</v>
      </c>
      <c r="O10429" t="s">
        <v>47305</v>
      </c>
      <c r="P10429">
        <v>0</v>
      </c>
      <c r="Q10429">
        <v>3</v>
      </c>
      <c r="R10429" t="s">
        <v>47314</v>
      </c>
      <c r="S10429" t="s">
        <v>47596</v>
      </c>
      <c r="T10429" t="s">
        <v>49052</v>
      </c>
      <c r="U10429" t="s">
        <v>58133</v>
      </c>
      <c r="V10429" t="s">
        <v>63389</v>
      </c>
      <c r="W10429" t="s">
        <v>45634</v>
      </c>
      <c r="X10429" t="s">
        <v>47318</v>
      </c>
    </row>
    <row r="10430" spans="1:24">
      <c r="A10430">
        <f>HYPERLINK("https://www.philgeps.gov.ph/GEPSNONPILOT/Tender/SplashBidNoticeAbstractUI.aspx?menuIndex=3&amp;refID=7178641&amp;Result=3","7178641")</f>
        <v>0</v>
      </c>
      <c r="B10430" t="s">
        <v>3122</v>
      </c>
      <c r="C10430" t="s">
        <v>13693</v>
      </c>
      <c r="D10430" t="s">
        <v>19003</v>
      </c>
      <c r="E10430" t="s">
        <v>27998</v>
      </c>
      <c r="F10430" t="s">
        <v>32606</v>
      </c>
      <c r="G10430" t="s">
        <v>32613</v>
      </c>
      <c r="H10430" t="s">
        <v>32623</v>
      </c>
      <c r="I10430" t="s">
        <v>32661</v>
      </c>
      <c r="J10430" t="s">
        <v>33995</v>
      </c>
      <c r="K10430" t="s">
        <v>42623</v>
      </c>
      <c r="M10430" t="s">
        <v>46333</v>
      </c>
      <c r="N10430" t="s">
        <v>47304</v>
      </c>
      <c r="O10430" t="s">
        <v>47305</v>
      </c>
      <c r="P10430">
        <v>0</v>
      </c>
      <c r="Q10430">
        <v>0</v>
      </c>
      <c r="R10430" t="s">
        <v>47314</v>
      </c>
      <c r="S10430" t="s">
        <v>47596</v>
      </c>
      <c r="T10430" t="s">
        <v>49330</v>
      </c>
      <c r="U10430" t="s">
        <v>58134</v>
      </c>
      <c r="W10430" t="s">
        <v>46333</v>
      </c>
      <c r="X10430" t="s">
        <v>47318</v>
      </c>
    </row>
    <row r="10431" spans="1:24">
      <c r="A10431">
        <f>HYPERLINK("https://www.philgeps.gov.ph/GEPSNONPILOT/Tender/SplashBidNoticeAbstractUI.aspx?menuIndex=3&amp;refID=7178740&amp;Result=3","7178740")</f>
        <v>0</v>
      </c>
      <c r="B10431" t="s">
        <v>37</v>
      </c>
      <c r="C10431" t="s">
        <v>13694</v>
      </c>
      <c r="D10431" t="s">
        <v>18997</v>
      </c>
      <c r="E10431" t="s">
        <v>27999</v>
      </c>
      <c r="F10431" t="s">
        <v>32606</v>
      </c>
      <c r="G10431" t="s">
        <v>32613</v>
      </c>
      <c r="H10431" t="s">
        <v>14201</v>
      </c>
      <c r="I10431" t="s">
        <v>32646</v>
      </c>
      <c r="J10431" t="s">
        <v>32752</v>
      </c>
      <c r="K10431" t="s">
        <v>42623</v>
      </c>
      <c r="M10431" t="s">
        <v>42934</v>
      </c>
      <c r="N10431" t="s">
        <v>47304</v>
      </c>
      <c r="O10431" t="s">
        <v>47305</v>
      </c>
      <c r="Q10431">
        <v>0</v>
      </c>
      <c r="R10431" t="s">
        <v>47314</v>
      </c>
      <c r="S10431" t="s">
        <v>47610</v>
      </c>
      <c r="T10431" t="s">
        <v>49068</v>
      </c>
      <c r="U10431" t="s">
        <v>58135</v>
      </c>
      <c r="W10431" t="s">
        <v>42934</v>
      </c>
      <c r="X10431" t="s">
        <v>47318</v>
      </c>
    </row>
    <row r="10432" spans="1:24">
      <c r="A10432">
        <f>HYPERLINK("https://www.philgeps.gov.ph/GEPSNONPILOT/Tender/SplashBidNoticeAbstractUI.aspx?menuIndex=3&amp;refID=7178523&amp;Result=3","7178523")</f>
        <v>0</v>
      </c>
      <c r="B10432" t="s">
        <v>2861</v>
      </c>
      <c r="C10432" t="s">
        <v>13695</v>
      </c>
      <c r="D10432" t="s">
        <v>19015</v>
      </c>
      <c r="E10432" t="s">
        <v>28000</v>
      </c>
      <c r="F10432" t="s">
        <v>32606</v>
      </c>
      <c r="G10432" t="s">
        <v>32613</v>
      </c>
      <c r="H10432" t="s">
        <v>32623</v>
      </c>
      <c r="I10432" t="s">
        <v>32675</v>
      </c>
      <c r="J10432" t="s">
        <v>39248</v>
      </c>
      <c r="K10432" t="s">
        <v>42636</v>
      </c>
      <c r="M10432" t="s">
        <v>46030</v>
      </c>
      <c r="N10432" t="s">
        <v>47304</v>
      </c>
      <c r="O10432" t="s">
        <v>47305</v>
      </c>
      <c r="P10432">
        <v>0</v>
      </c>
      <c r="Q10432">
        <v>27</v>
      </c>
      <c r="R10432" t="s">
        <v>47314</v>
      </c>
      <c r="S10432" t="s">
        <v>47596</v>
      </c>
      <c r="T10432" t="s">
        <v>49076</v>
      </c>
      <c r="U10432" t="s">
        <v>58136</v>
      </c>
      <c r="W10432" t="s">
        <v>46030</v>
      </c>
      <c r="X10432" t="s">
        <v>47318</v>
      </c>
    </row>
    <row r="10433" spans="1:24">
      <c r="A10433">
        <f>HYPERLINK("https://www.philgeps.gov.ph/GEPSNONPILOT/Tender/SplashBidNoticeAbstractUI.aspx?menuIndex=3&amp;refID=7178416&amp;Result=3","7178416")</f>
        <v>0</v>
      </c>
      <c r="B10433" t="s">
        <v>3115</v>
      </c>
      <c r="C10433" t="s">
        <v>13696</v>
      </c>
      <c r="D10433" t="s">
        <v>19058</v>
      </c>
      <c r="E10433" t="s">
        <v>28001</v>
      </c>
      <c r="F10433" t="s">
        <v>32606</v>
      </c>
      <c r="G10433" t="s">
        <v>32613</v>
      </c>
      <c r="H10433" t="s">
        <v>14201</v>
      </c>
      <c r="I10433" t="s">
        <v>32647</v>
      </c>
      <c r="J10433" t="s">
        <v>39249</v>
      </c>
      <c r="K10433" t="s">
        <v>42624</v>
      </c>
      <c r="M10433" t="s">
        <v>46325</v>
      </c>
      <c r="N10433" t="s">
        <v>47304</v>
      </c>
      <c r="O10433" t="s">
        <v>47305</v>
      </c>
      <c r="P10433">
        <v>0</v>
      </c>
      <c r="Q10433">
        <v>2</v>
      </c>
      <c r="R10433" t="s">
        <v>47314</v>
      </c>
      <c r="S10433" t="s">
        <v>47596</v>
      </c>
      <c r="T10433" t="s">
        <v>49140</v>
      </c>
      <c r="U10433" t="s">
        <v>58137</v>
      </c>
      <c r="W10433" t="s">
        <v>46325</v>
      </c>
      <c r="X10433" t="s">
        <v>47318</v>
      </c>
    </row>
    <row r="10434" spans="1:24">
      <c r="A10434">
        <f>HYPERLINK("https://www.philgeps.gov.ph/GEPSNONPILOT/Tender/SplashBidNoticeAbstractUI.aspx?menuIndex=3&amp;refID=7178410&amp;Result=3","7178410")</f>
        <v>0</v>
      </c>
      <c r="B10434" t="s">
        <v>3122</v>
      </c>
      <c r="C10434" t="s">
        <v>13693</v>
      </c>
      <c r="D10434" t="s">
        <v>19003</v>
      </c>
      <c r="E10434" t="s">
        <v>28002</v>
      </c>
      <c r="F10434" t="s">
        <v>32606</v>
      </c>
      <c r="G10434" t="s">
        <v>32613</v>
      </c>
      <c r="H10434" t="s">
        <v>32623</v>
      </c>
      <c r="I10434" t="s">
        <v>32661</v>
      </c>
      <c r="J10434" t="s">
        <v>39250</v>
      </c>
      <c r="K10434" t="s">
        <v>42636</v>
      </c>
      <c r="M10434" t="s">
        <v>46333</v>
      </c>
      <c r="N10434" t="s">
        <v>47304</v>
      </c>
      <c r="O10434" t="s">
        <v>47305</v>
      </c>
      <c r="P10434">
        <v>0</v>
      </c>
      <c r="Q10434">
        <v>2</v>
      </c>
      <c r="R10434" t="s">
        <v>47314</v>
      </c>
      <c r="S10434" t="s">
        <v>47596</v>
      </c>
      <c r="T10434" t="s">
        <v>49334</v>
      </c>
      <c r="U10434" t="s">
        <v>58138</v>
      </c>
      <c r="W10434" t="s">
        <v>46333</v>
      </c>
      <c r="X10434" t="s">
        <v>47318</v>
      </c>
    </row>
    <row r="10435" spans="1:24">
      <c r="A10435">
        <f>HYPERLINK("https://www.philgeps.gov.ph/GEPSNONPILOT/Tender/SplashBidNoticeAbstractUI.aspx?menuIndex=3&amp;refID=7177357&amp;Result=3","7177357")</f>
        <v>0</v>
      </c>
      <c r="B10435" t="s">
        <v>3123</v>
      </c>
      <c r="C10435" t="s">
        <v>13697</v>
      </c>
      <c r="D10435" t="s">
        <v>19023</v>
      </c>
      <c r="E10435" t="s">
        <v>28003</v>
      </c>
      <c r="F10435" t="s">
        <v>32606</v>
      </c>
      <c r="G10435" t="s">
        <v>32613</v>
      </c>
      <c r="H10435" t="s">
        <v>14201</v>
      </c>
      <c r="I10435" t="s">
        <v>32664</v>
      </c>
      <c r="J10435" t="s">
        <v>39251</v>
      </c>
      <c r="K10435" t="s">
        <v>42623</v>
      </c>
      <c r="M10435" t="s">
        <v>46334</v>
      </c>
      <c r="N10435" t="s">
        <v>47304</v>
      </c>
      <c r="O10435" t="s">
        <v>47305</v>
      </c>
      <c r="P10435">
        <v>0</v>
      </c>
      <c r="Q10435">
        <v>8</v>
      </c>
      <c r="R10435" t="s">
        <v>47314</v>
      </c>
      <c r="S10435" t="s">
        <v>47596</v>
      </c>
      <c r="T10435" t="s">
        <v>49075</v>
      </c>
      <c r="U10435" t="s">
        <v>58139</v>
      </c>
      <c r="V10435" t="s">
        <v>63751</v>
      </c>
      <c r="W10435" t="s">
        <v>46334</v>
      </c>
      <c r="X10435" t="s">
        <v>47319</v>
      </c>
    </row>
    <row r="10436" spans="1:24">
      <c r="A10436">
        <f>HYPERLINK("https://www.philgeps.gov.ph/GEPSNONPILOT/Tender/SplashBidNoticeAbstractUI.aspx?menuIndex=3&amp;refID=7176458&amp;Result=3","7176458")</f>
        <v>0</v>
      </c>
      <c r="B10436" t="s">
        <v>1014</v>
      </c>
      <c r="C10436" t="s">
        <v>13698</v>
      </c>
      <c r="D10436" t="s">
        <v>19005</v>
      </c>
      <c r="E10436" t="s">
        <v>28004</v>
      </c>
      <c r="F10436" t="s">
        <v>32606</v>
      </c>
      <c r="G10436" t="s">
        <v>32614</v>
      </c>
      <c r="H10436" t="s">
        <v>14201</v>
      </c>
      <c r="I10436" t="s">
        <v>4112</v>
      </c>
      <c r="J10436" t="s">
        <v>33060</v>
      </c>
      <c r="K10436" t="s">
        <v>42646</v>
      </c>
      <c r="M10436" t="s">
        <v>46082</v>
      </c>
      <c r="N10436" t="s">
        <v>47304</v>
      </c>
      <c r="O10436" t="s">
        <v>47305</v>
      </c>
      <c r="Q10436">
        <v>0</v>
      </c>
      <c r="R10436" t="s">
        <v>47314</v>
      </c>
      <c r="S10436" t="s">
        <v>47611</v>
      </c>
      <c r="T10436" t="s">
        <v>49019</v>
      </c>
      <c r="U10436" t="s">
        <v>58140</v>
      </c>
      <c r="W10436" t="s">
        <v>46082</v>
      </c>
      <c r="X10436" t="s">
        <v>47319</v>
      </c>
    </row>
    <row r="10437" spans="1:24">
      <c r="A10437">
        <f>HYPERLINK("https://www.philgeps.gov.ph/GEPSNONPILOT/Tender/SplashBidNoticeAbstractUI.aspx?menuIndex=3&amp;refID=7176449&amp;Result=3","7176449")</f>
        <v>0</v>
      </c>
      <c r="B10437" t="s">
        <v>1014</v>
      </c>
      <c r="C10437" t="s">
        <v>13699</v>
      </c>
      <c r="D10437" t="s">
        <v>19005</v>
      </c>
      <c r="E10437" t="s">
        <v>28005</v>
      </c>
      <c r="F10437" t="s">
        <v>32606</v>
      </c>
      <c r="G10437" t="s">
        <v>32614</v>
      </c>
      <c r="H10437" t="s">
        <v>14201</v>
      </c>
      <c r="I10437" t="s">
        <v>4112</v>
      </c>
      <c r="J10437" t="s">
        <v>39252</v>
      </c>
      <c r="K10437" t="s">
        <v>42646</v>
      </c>
      <c r="M10437" t="s">
        <v>46082</v>
      </c>
      <c r="N10437" t="s">
        <v>47304</v>
      </c>
      <c r="O10437" t="s">
        <v>47305</v>
      </c>
      <c r="Q10437">
        <v>0</v>
      </c>
      <c r="R10437" t="s">
        <v>47314</v>
      </c>
      <c r="S10437" t="s">
        <v>47612</v>
      </c>
      <c r="T10437" t="s">
        <v>49019</v>
      </c>
      <c r="U10437" t="s">
        <v>58141</v>
      </c>
      <c r="W10437" t="s">
        <v>46082</v>
      </c>
      <c r="X10437" t="s">
        <v>47319</v>
      </c>
    </row>
    <row r="10438" spans="1:24">
      <c r="A10438">
        <f>HYPERLINK("https://www.philgeps.gov.ph/GEPSNONPILOT/Tender/SplashBidNoticeAbstractUI.aspx?menuIndex=3&amp;refID=7178441&amp;Result=3","7178441")</f>
        <v>0</v>
      </c>
      <c r="B10438" t="s">
        <v>3115</v>
      </c>
      <c r="C10438" t="s">
        <v>13700</v>
      </c>
      <c r="D10438" t="s">
        <v>19058</v>
      </c>
      <c r="E10438" t="s">
        <v>28006</v>
      </c>
      <c r="F10438" t="s">
        <v>32606</v>
      </c>
      <c r="G10438" t="s">
        <v>32613</v>
      </c>
      <c r="H10438" t="s">
        <v>14201</v>
      </c>
      <c r="I10438" t="s">
        <v>13131</v>
      </c>
      <c r="J10438" t="s">
        <v>35368</v>
      </c>
      <c r="K10438" t="s">
        <v>42631</v>
      </c>
      <c r="M10438" t="s">
        <v>46325</v>
      </c>
      <c r="N10438" t="s">
        <v>47304</v>
      </c>
      <c r="O10438" t="s">
        <v>47305</v>
      </c>
      <c r="P10438">
        <v>0</v>
      </c>
      <c r="Q10438">
        <v>21</v>
      </c>
      <c r="R10438" t="s">
        <v>47314</v>
      </c>
      <c r="S10438" t="s">
        <v>47596</v>
      </c>
      <c r="T10438" t="s">
        <v>49140</v>
      </c>
      <c r="U10438" t="s">
        <v>58142</v>
      </c>
      <c r="W10438" t="s">
        <v>46325</v>
      </c>
      <c r="X10438" t="s">
        <v>47318</v>
      </c>
    </row>
    <row r="10439" spans="1:24">
      <c r="A10439">
        <f>HYPERLINK("https://www.philgeps.gov.ph/GEPSNONPILOT/Tender/SplashBidNoticeAbstractUI.aspx?menuIndex=3&amp;refID=7176437&amp;Result=3","7176437")</f>
        <v>0</v>
      </c>
      <c r="B10439" t="s">
        <v>1014</v>
      </c>
      <c r="C10439" t="s">
        <v>13701</v>
      </c>
      <c r="D10439" t="s">
        <v>19005</v>
      </c>
      <c r="E10439" t="s">
        <v>28007</v>
      </c>
      <c r="F10439" t="s">
        <v>32606</v>
      </c>
      <c r="G10439" t="s">
        <v>32614</v>
      </c>
      <c r="H10439" t="s">
        <v>14201</v>
      </c>
      <c r="I10439" t="s">
        <v>4112</v>
      </c>
      <c r="J10439" t="s">
        <v>33646</v>
      </c>
      <c r="K10439" t="s">
        <v>42646</v>
      </c>
      <c r="M10439" t="s">
        <v>46082</v>
      </c>
      <c r="N10439" t="s">
        <v>47304</v>
      </c>
      <c r="O10439" t="s">
        <v>47305</v>
      </c>
      <c r="Q10439">
        <v>0</v>
      </c>
      <c r="R10439" t="s">
        <v>47314</v>
      </c>
      <c r="S10439" t="s">
        <v>47613</v>
      </c>
      <c r="T10439" t="s">
        <v>49019</v>
      </c>
      <c r="U10439" t="s">
        <v>58143</v>
      </c>
      <c r="W10439" t="s">
        <v>46082</v>
      </c>
      <c r="X10439" t="s">
        <v>47319</v>
      </c>
    </row>
    <row r="10440" spans="1:24">
      <c r="A10440">
        <f>HYPERLINK("https://www.philgeps.gov.ph/GEPSNONPILOT/Tender/SplashBidNoticeAbstractUI.aspx?menuIndex=3&amp;refID=7179710&amp;Result=3","7179710")</f>
        <v>0</v>
      </c>
      <c r="B10440" t="s">
        <v>256</v>
      </c>
      <c r="C10440" t="s">
        <v>13702</v>
      </c>
      <c r="E10440" t="s">
        <v>28008</v>
      </c>
      <c r="F10440" t="s">
        <v>32606</v>
      </c>
      <c r="G10440" t="s">
        <v>32613</v>
      </c>
      <c r="H10440" t="s">
        <v>32623</v>
      </c>
      <c r="I10440" t="s">
        <v>17648</v>
      </c>
      <c r="J10440" t="s">
        <v>39253</v>
      </c>
      <c r="K10440" t="s">
        <v>42776</v>
      </c>
      <c r="M10440" t="s">
        <v>43157</v>
      </c>
      <c r="N10440" t="s">
        <v>47304</v>
      </c>
      <c r="O10440" t="s">
        <v>47305</v>
      </c>
      <c r="P10440">
        <v>0</v>
      </c>
      <c r="Q10440">
        <v>2</v>
      </c>
      <c r="R10440" t="s">
        <v>47314</v>
      </c>
      <c r="S10440" t="s">
        <v>47596</v>
      </c>
      <c r="T10440" t="s">
        <v>49066</v>
      </c>
      <c r="U10440" t="s">
        <v>58144</v>
      </c>
      <c r="W10440" t="s">
        <v>43157</v>
      </c>
      <c r="X10440" t="s">
        <v>47318</v>
      </c>
    </row>
    <row r="10441" spans="1:24">
      <c r="A10441">
        <f>HYPERLINK("https://www.philgeps.gov.ph/GEPSNONPILOT/Tender/SplashBidNoticeAbstractUI.aspx?menuIndex=3&amp;refID=7180462&amp;Result=3","7180462")</f>
        <v>0</v>
      </c>
      <c r="B10441" t="s">
        <v>1688</v>
      </c>
      <c r="C10441" t="s">
        <v>13703</v>
      </c>
      <c r="D10441" t="s">
        <v>19015</v>
      </c>
      <c r="E10441" t="s">
        <v>28009</v>
      </c>
      <c r="F10441" t="s">
        <v>32606</v>
      </c>
      <c r="G10441" t="s">
        <v>32613</v>
      </c>
      <c r="H10441" t="s">
        <v>14201</v>
      </c>
      <c r="I10441" t="s">
        <v>7064</v>
      </c>
      <c r="J10441" t="s">
        <v>32821</v>
      </c>
      <c r="K10441" t="s">
        <v>42639</v>
      </c>
      <c r="M10441" t="s">
        <v>44717</v>
      </c>
      <c r="N10441" t="s">
        <v>47304</v>
      </c>
      <c r="O10441" t="s">
        <v>47305</v>
      </c>
      <c r="P10441">
        <v>0</v>
      </c>
      <c r="Q10441">
        <v>4</v>
      </c>
      <c r="R10441" t="s">
        <v>47314</v>
      </c>
      <c r="S10441" t="s">
        <v>47596</v>
      </c>
      <c r="T10441" t="s">
        <v>49007</v>
      </c>
      <c r="U10441" t="s">
        <v>58145</v>
      </c>
      <c r="V10441" t="s">
        <v>62763</v>
      </c>
      <c r="W10441" t="s">
        <v>44717</v>
      </c>
      <c r="X10441" t="s">
        <v>47316</v>
      </c>
    </row>
    <row r="10442" spans="1:24">
      <c r="A10442">
        <f>HYPERLINK("https://www.philgeps.gov.ph/GEPSNONPILOT/Tender/SplashBidNoticeAbstractUI.aspx?menuIndex=3&amp;refID=7180261&amp;Result=3","7180261")</f>
        <v>0</v>
      </c>
      <c r="B10442" t="s">
        <v>3124</v>
      </c>
      <c r="C10442" t="s">
        <v>13704</v>
      </c>
      <c r="D10442" t="s">
        <v>19006</v>
      </c>
      <c r="E10442" t="s">
        <v>28010</v>
      </c>
      <c r="F10442" t="s">
        <v>32606</v>
      </c>
      <c r="G10442" t="s">
        <v>32613</v>
      </c>
      <c r="H10442" t="s">
        <v>32623</v>
      </c>
      <c r="I10442" t="s">
        <v>17648</v>
      </c>
      <c r="J10442" t="s">
        <v>39254</v>
      </c>
      <c r="K10442" t="s">
        <v>42636</v>
      </c>
      <c r="M10442" t="s">
        <v>46335</v>
      </c>
      <c r="N10442" t="s">
        <v>47304</v>
      </c>
      <c r="O10442" t="s">
        <v>47305</v>
      </c>
      <c r="P10442">
        <v>0</v>
      </c>
      <c r="Q10442">
        <v>4</v>
      </c>
      <c r="R10442" t="s">
        <v>47314</v>
      </c>
      <c r="S10442" t="s">
        <v>47596</v>
      </c>
      <c r="T10442" t="s">
        <v>49099</v>
      </c>
      <c r="U10442" t="s">
        <v>58146</v>
      </c>
      <c r="W10442" t="s">
        <v>46335</v>
      </c>
      <c r="X10442" t="s">
        <v>47317</v>
      </c>
    </row>
    <row r="10443" spans="1:24">
      <c r="A10443">
        <f>HYPERLINK("https://www.philgeps.gov.ph/GEPSNONPILOT/Tender/SplashBidNoticeAbstractUI.aspx?menuIndex=3&amp;refID=7180236&amp;Result=3","7180236")</f>
        <v>0</v>
      </c>
      <c r="B10443" t="s">
        <v>3125</v>
      </c>
      <c r="C10443" t="s">
        <v>13705</v>
      </c>
      <c r="D10443" t="s">
        <v>19051</v>
      </c>
      <c r="E10443" t="s">
        <v>28011</v>
      </c>
      <c r="F10443" t="s">
        <v>32606</v>
      </c>
      <c r="G10443" t="s">
        <v>32613</v>
      </c>
      <c r="H10443" t="s">
        <v>14201</v>
      </c>
      <c r="I10443" t="s">
        <v>7529</v>
      </c>
      <c r="J10443" t="s">
        <v>39255</v>
      </c>
      <c r="K10443" t="s">
        <v>42631</v>
      </c>
      <c r="M10443" t="s">
        <v>46336</v>
      </c>
      <c r="N10443" t="s">
        <v>47304</v>
      </c>
      <c r="O10443" t="s">
        <v>47305</v>
      </c>
      <c r="Q10443">
        <v>0</v>
      </c>
      <c r="R10443" t="s">
        <v>47314</v>
      </c>
      <c r="S10443" t="s">
        <v>47614</v>
      </c>
      <c r="T10443" t="s">
        <v>49001</v>
      </c>
      <c r="U10443" t="s">
        <v>58147</v>
      </c>
      <c r="V10443" t="s">
        <v>63752</v>
      </c>
      <c r="W10443" t="s">
        <v>46336</v>
      </c>
      <c r="X10443" t="s">
        <v>47317</v>
      </c>
    </row>
    <row r="10444" spans="1:24">
      <c r="A10444">
        <f>HYPERLINK("https://www.philgeps.gov.ph/GEPSNONPILOT/Tender/SplashBidNoticeAbstractUI.aspx?menuIndex=3&amp;refID=7180230&amp;Result=3","7180230")</f>
        <v>0</v>
      </c>
      <c r="B10444" t="s">
        <v>3125</v>
      </c>
      <c r="C10444" t="s">
        <v>13706</v>
      </c>
      <c r="D10444" t="s">
        <v>19051</v>
      </c>
      <c r="E10444" t="s">
        <v>28012</v>
      </c>
      <c r="F10444" t="s">
        <v>32606</v>
      </c>
      <c r="G10444" t="s">
        <v>32613</v>
      </c>
      <c r="H10444" t="s">
        <v>14201</v>
      </c>
      <c r="I10444" t="s">
        <v>32660</v>
      </c>
      <c r="J10444" t="s">
        <v>33195</v>
      </c>
      <c r="K10444" t="s">
        <v>42631</v>
      </c>
      <c r="M10444" t="s">
        <v>46336</v>
      </c>
      <c r="N10444" t="s">
        <v>47304</v>
      </c>
      <c r="O10444" t="s">
        <v>47305</v>
      </c>
      <c r="Q10444">
        <v>0</v>
      </c>
      <c r="R10444" t="s">
        <v>47314</v>
      </c>
      <c r="S10444" t="s">
        <v>47615</v>
      </c>
      <c r="T10444" t="s">
        <v>49001</v>
      </c>
      <c r="U10444" t="s">
        <v>58148</v>
      </c>
      <c r="V10444" t="s">
        <v>63753</v>
      </c>
      <c r="W10444" t="s">
        <v>46336</v>
      </c>
      <c r="X10444" t="s">
        <v>47317</v>
      </c>
    </row>
    <row r="10445" spans="1:24">
      <c r="A10445">
        <f>HYPERLINK("https://www.philgeps.gov.ph/GEPSNONPILOT/Tender/SplashBidNoticeAbstractUI.aspx?menuIndex=3&amp;refID=7178532&amp;Result=3","7178532")</f>
        <v>0</v>
      </c>
      <c r="B10445" t="s">
        <v>2861</v>
      </c>
      <c r="C10445" t="s">
        <v>13707</v>
      </c>
      <c r="D10445" t="s">
        <v>19015</v>
      </c>
      <c r="E10445" t="s">
        <v>28013</v>
      </c>
      <c r="F10445" t="s">
        <v>32606</v>
      </c>
      <c r="G10445" t="s">
        <v>32613</v>
      </c>
      <c r="H10445" t="s">
        <v>32623</v>
      </c>
      <c r="I10445" t="s">
        <v>32675</v>
      </c>
      <c r="J10445" t="s">
        <v>39256</v>
      </c>
      <c r="K10445" t="s">
        <v>42636</v>
      </c>
      <c r="M10445" t="s">
        <v>46030</v>
      </c>
      <c r="N10445" t="s">
        <v>47304</v>
      </c>
      <c r="O10445" t="s">
        <v>47305</v>
      </c>
      <c r="P10445">
        <v>0</v>
      </c>
      <c r="Q10445">
        <v>28</v>
      </c>
      <c r="R10445" t="s">
        <v>47314</v>
      </c>
      <c r="S10445" t="s">
        <v>47596</v>
      </c>
      <c r="T10445" t="s">
        <v>49200</v>
      </c>
      <c r="U10445" t="s">
        <v>58149</v>
      </c>
      <c r="W10445" t="s">
        <v>46030</v>
      </c>
      <c r="X10445" t="s">
        <v>47318</v>
      </c>
    </row>
    <row r="10446" spans="1:24">
      <c r="A10446">
        <f>HYPERLINK("https://www.philgeps.gov.ph/GEPSNONPILOT/Tender/SplashBidNoticeAbstractUI.aspx?menuIndex=3&amp;refID=7180217&amp;Result=3","7180217")</f>
        <v>0</v>
      </c>
      <c r="B10446" t="s">
        <v>3125</v>
      </c>
      <c r="C10446" t="s">
        <v>13708</v>
      </c>
      <c r="D10446" t="s">
        <v>19051</v>
      </c>
      <c r="E10446" t="s">
        <v>28014</v>
      </c>
      <c r="F10446" t="s">
        <v>32606</v>
      </c>
      <c r="G10446" t="s">
        <v>32613</v>
      </c>
      <c r="H10446" t="s">
        <v>14201</v>
      </c>
      <c r="I10446" t="s">
        <v>6931</v>
      </c>
      <c r="J10446" t="s">
        <v>39257</v>
      </c>
      <c r="K10446" t="s">
        <v>42631</v>
      </c>
      <c r="M10446" t="s">
        <v>46336</v>
      </c>
      <c r="N10446" t="s">
        <v>47304</v>
      </c>
      <c r="O10446" t="s">
        <v>47305</v>
      </c>
      <c r="Q10446">
        <v>0</v>
      </c>
      <c r="R10446" t="s">
        <v>47314</v>
      </c>
      <c r="S10446" t="s">
        <v>47616</v>
      </c>
      <c r="T10446" t="s">
        <v>49001</v>
      </c>
      <c r="U10446" t="s">
        <v>58150</v>
      </c>
      <c r="V10446" t="s">
        <v>63754</v>
      </c>
      <c r="W10446" t="s">
        <v>46336</v>
      </c>
      <c r="X10446" t="s">
        <v>47317</v>
      </c>
    </row>
    <row r="10447" spans="1:24">
      <c r="A10447">
        <f>HYPERLINK("https://www.philgeps.gov.ph/GEPSNONPILOT/Tender/SplashBidNoticeAbstractUI.aspx?menuIndex=3&amp;refID=7180101&amp;Result=3","7180101")</f>
        <v>0</v>
      </c>
      <c r="B10447" t="s">
        <v>3126</v>
      </c>
      <c r="C10447" t="s">
        <v>13709</v>
      </c>
      <c r="D10447" t="s">
        <v>19028</v>
      </c>
      <c r="E10447" t="s">
        <v>28015</v>
      </c>
      <c r="F10447" t="s">
        <v>32606</v>
      </c>
      <c r="G10447" t="s">
        <v>32613</v>
      </c>
      <c r="H10447" t="s">
        <v>14201</v>
      </c>
      <c r="I10447" t="s">
        <v>32718</v>
      </c>
      <c r="J10447" t="s">
        <v>39258</v>
      </c>
      <c r="K10447" t="s">
        <v>42631</v>
      </c>
      <c r="M10447" t="s">
        <v>46337</v>
      </c>
      <c r="N10447" t="s">
        <v>47304</v>
      </c>
      <c r="O10447" t="s">
        <v>47305</v>
      </c>
      <c r="P10447">
        <v>0</v>
      </c>
      <c r="Q10447">
        <v>3</v>
      </c>
      <c r="R10447" t="s">
        <v>47314</v>
      </c>
      <c r="S10447" t="s">
        <v>47596</v>
      </c>
      <c r="T10447" t="s">
        <v>48986</v>
      </c>
      <c r="U10447" t="s">
        <v>58151</v>
      </c>
      <c r="W10447" t="s">
        <v>46337</v>
      </c>
      <c r="X10447" t="s">
        <v>47317</v>
      </c>
    </row>
    <row r="10448" spans="1:24">
      <c r="A10448">
        <f>HYPERLINK("https://www.philgeps.gov.ph/GEPSNONPILOT/Tender/SplashBidNoticeAbstractUI.aspx?menuIndex=3&amp;refID=7180027&amp;Result=3","7180027")</f>
        <v>0</v>
      </c>
      <c r="B10448" t="s">
        <v>3123</v>
      </c>
      <c r="C10448" t="s">
        <v>13710</v>
      </c>
      <c r="D10448" t="s">
        <v>19023</v>
      </c>
      <c r="E10448" t="s">
        <v>28016</v>
      </c>
      <c r="F10448" t="s">
        <v>32606</v>
      </c>
      <c r="G10448" t="s">
        <v>32613</v>
      </c>
      <c r="H10448" t="s">
        <v>14201</v>
      </c>
      <c r="I10448" t="s">
        <v>6931</v>
      </c>
      <c r="J10448" t="s">
        <v>39259</v>
      </c>
      <c r="K10448" t="s">
        <v>42623</v>
      </c>
      <c r="M10448" t="s">
        <v>46334</v>
      </c>
      <c r="N10448" t="s">
        <v>47304</v>
      </c>
      <c r="O10448" t="s">
        <v>47305</v>
      </c>
      <c r="P10448">
        <v>0</v>
      </c>
      <c r="Q10448">
        <v>1</v>
      </c>
      <c r="R10448" t="s">
        <v>47314</v>
      </c>
      <c r="S10448" t="s">
        <v>47596</v>
      </c>
      <c r="T10448" t="s">
        <v>49075</v>
      </c>
      <c r="U10448" t="s">
        <v>58152</v>
      </c>
      <c r="V10448" t="s">
        <v>63755</v>
      </c>
      <c r="W10448" t="s">
        <v>46334</v>
      </c>
      <c r="X10448" t="s">
        <v>47318</v>
      </c>
    </row>
    <row r="10449" spans="1:24">
      <c r="A10449">
        <f>HYPERLINK("https://www.philgeps.gov.ph/GEPSNONPILOT/Tender/SplashBidNoticeAbstractUI.aspx?menuIndex=3&amp;refID=7180238&amp;Result=3","7180238")</f>
        <v>0</v>
      </c>
      <c r="B10449" t="s">
        <v>3124</v>
      </c>
      <c r="C10449" t="s">
        <v>13711</v>
      </c>
      <c r="D10449" t="s">
        <v>19006</v>
      </c>
      <c r="E10449" t="s">
        <v>28017</v>
      </c>
      <c r="F10449" t="s">
        <v>32606</v>
      </c>
      <c r="G10449" t="s">
        <v>32613</v>
      </c>
      <c r="H10449" t="s">
        <v>32623</v>
      </c>
      <c r="I10449" t="s">
        <v>17648</v>
      </c>
      <c r="J10449" t="s">
        <v>39260</v>
      </c>
      <c r="K10449" t="s">
        <v>42743</v>
      </c>
      <c r="M10449" t="s">
        <v>46335</v>
      </c>
      <c r="N10449" t="s">
        <v>47304</v>
      </c>
      <c r="O10449" t="s">
        <v>47305</v>
      </c>
      <c r="P10449">
        <v>0</v>
      </c>
      <c r="Q10449">
        <v>4</v>
      </c>
      <c r="R10449" t="s">
        <v>47314</v>
      </c>
      <c r="S10449" t="s">
        <v>47596</v>
      </c>
      <c r="T10449" t="s">
        <v>49099</v>
      </c>
      <c r="U10449" t="s">
        <v>58146</v>
      </c>
      <c r="W10449" t="s">
        <v>46335</v>
      </c>
      <c r="X10449" t="s">
        <v>47317</v>
      </c>
    </row>
    <row r="10450" spans="1:24">
      <c r="A10450">
        <f>HYPERLINK("https://www.philgeps.gov.ph/GEPSNONPILOT/Tender/SplashBidNoticeAbstractUI.aspx?menuIndex=3&amp;refID=7178738&amp;Result=3","7178738")</f>
        <v>0</v>
      </c>
      <c r="B10450" t="s">
        <v>61</v>
      </c>
      <c r="C10450" t="s">
        <v>13712</v>
      </c>
      <c r="D10450" t="s">
        <v>19012</v>
      </c>
      <c r="E10450" t="s">
        <v>19145</v>
      </c>
      <c r="F10450" t="s">
        <v>32606</v>
      </c>
      <c r="G10450" t="s">
        <v>32613</v>
      </c>
      <c r="H10450" t="s">
        <v>14201</v>
      </c>
      <c r="I10450" t="s">
        <v>32629</v>
      </c>
      <c r="J10450" t="s">
        <v>39261</v>
      </c>
      <c r="K10450" t="s">
        <v>42677</v>
      </c>
      <c r="M10450" t="s">
        <v>42958</v>
      </c>
      <c r="N10450" t="s">
        <v>47304</v>
      </c>
      <c r="O10450" t="s">
        <v>47305</v>
      </c>
      <c r="P10450">
        <v>0</v>
      </c>
      <c r="Q10450">
        <v>0</v>
      </c>
      <c r="R10450" t="s">
        <v>47314</v>
      </c>
      <c r="S10450" t="s">
        <v>47596</v>
      </c>
      <c r="T10450" t="s">
        <v>49268</v>
      </c>
      <c r="U10450" t="s">
        <v>58153</v>
      </c>
      <c r="V10450" t="s">
        <v>63016</v>
      </c>
      <c r="W10450" t="s">
        <v>42958</v>
      </c>
      <c r="X10450" t="s">
        <v>47318</v>
      </c>
    </row>
    <row r="10451" spans="1:24">
      <c r="A10451">
        <f>HYPERLINK("https://www.philgeps.gov.ph/GEPSNONPILOT/Tender/SplashBidNoticeAbstractUI.aspx?menuIndex=3&amp;refID=7179995&amp;Result=3","7179995")</f>
        <v>0</v>
      </c>
      <c r="B10451" t="s">
        <v>3123</v>
      </c>
      <c r="C10451" t="s">
        <v>13713</v>
      </c>
      <c r="D10451" t="s">
        <v>19023</v>
      </c>
      <c r="E10451" t="s">
        <v>28018</v>
      </c>
      <c r="F10451" t="s">
        <v>32606</v>
      </c>
      <c r="G10451" t="s">
        <v>32613</v>
      </c>
      <c r="H10451" t="s">
        <v>14201</v>
      </c>
      <c r="I10451" t="s">
        <v>32632</v>
      </c>
      <c r="J10451" t="s">
        <v>39262</v>
      </c>
      <c r="K10451" t="s">
        <v>42623</v>
      </c>
      <c r="M10451" t="s">
        <v>46334</v>
      </c>
      <c r="N10451" t="s">
        <v>47304</v>
      </c>
      <c r="O10451" t="s">
        <v>47305</v>
      </c>
      <c r="P10451">
        <v>0</v>
      </c>
      <c r="Q10451">
        <v>8</v>
      </c>
      <c r="R10451" t="s">
        <v>47314</v>
      </c>
      <c r="S10451" t="s">
        <v>47596</v>
      </c>
      <c r="T10451" t="s">
        <v>49075</v>
      </c>
      <c r="U10451" t="s">
        <v>58154</v>
      </c>
      <c r="V10451" t="s">
        <v>63756</v>
      </c>
      <c r="W10451" t="s">
        <v>46334</v>
      </c>
      <c r="X10451" t="s">
        <v>47318</v>
      </c>
    </row>
    <row r="10452" spans="1:24">
      <c r="A10452">
        <f>HYPERLINK("https://www.philgeps.gov.ph/GEPSNONPILOT/Tender/SplashBidNoticeAbstractUI.aspx?menuIndex=3&amp;refID=7180055&amp;Result=3","7180055")</f>
        <v>0</v>
      </c>
      <c r="B10452" t="s">
        <v>3123</v>
      </c>
      <c r="C10452" t="s">
        <v>13714</v>
      </c>
      <c r="D10452" t="s">
        <v>19023</v>
      </c>
      <c r="E10452" t="s">
        <v>28019</v>
      </c>
      <c r="F10452" t="s">
        <v>32606</v>
      </c>
      <c r="G10452" t="s">
        <v>32613</v>
      </c>
      <c r="H10452" t="s">
        <v>14201</v>
      </c>
      <c r="I10452" t="s">
        <v>32640</v>
      </c>
      <c r="J10452" t="s">
        <v>32853</v>
      </c>
      <c r="K10452" t="s">
        <v>42623</v>
      </c>
      <c r="M10452" t="s">
        <v>46334</v>
      </c>
      <c r="N10452" t="s">
        <v>47304</v>
      </c>
      <c r="O10452" t="s">
        <v>47305</v>
      </c>
      <c r="P10452">
        <v>0</v>
      </c>
      <c r="Q10452">
        <v>3</v>
      </c>
      <c r="R10452" t="s">
        <v>47314</v>
      </c>
      <c r="S10452" t="s">
        <v>47596</v>
      </c>
      <c r="T10452" t="s">
        <v>49075</v>
      </c>
      <c r="U10452" t="s">
        <v>58155</v>
      </c>
      <c r="V10452" t="s">
        <v>63755</v>
      </c>
      <c r="W10452" t="s">
        <v>46334</v>
      </c>
      <c r="X10452" t="s">
        <v>47318</v>
      </c>
    </row>
    <row r="10453" spans="1:24">
      <c r="A10453">
        <f>HYPERLINK("https://www.philgeps.gov.ph/GEPSNONPILOT/Tender/SplashBidNoticeAbstractUI.aspx?menuIndex=3&amp;refID=7180009&amp;Result=3","7180009")</f>
        <v>0</v>
      </c>
      <c r="B10453" t="s">
        <v>3123</v>
      </c>
      <c r="C10453" t="s">
        <v>13715</v>
      </c>
      <c r="D10453" t="s">
        <v>19023</v>
      </c>
      <c r="E10453" t="s">
        <v>28020</v>
      </c>
      <c r="F10453" t="s">
        <v>32606</v>
      </c>
      <c r="G10453" t="s">
        <v>32613</v>
      </c>
      <c r="H10453" t="s">
        <v>14201</v>
      </c>
      <c r="I10453" t="s">
        <v>32632</v>
      </c>
      <c r="J10453" t="s">
        <v>39263</v>
      </c>
      <c r="K10453" t="s">
        <v>42623</v>
      </c>
      <c r="M10453" t="s">
        <v>46334</v>
      </c>
      <c r="N10453" t="s">
        <v>47304</v>
      </c>
      <c r="O10453" t="s">
        <v>47305</v>
      </c>
      <c r="P10453">
        <v>0</v>
      </c>
      <c r="Q10453">
        <v>5</v>
      </c>
      <c r="R10453" t="s">
        <v>47314</v>
      </c>
      <c r="S10453" t="s">
        <v>47596</v>
      </c>
      <c r="T10453" t="s">
        <v>49075</v>
      </c>
      <c r="U10453" t="s">
        <v>58156</v>
      </c>
      <c r="V10453" t="s">
        <v>63756</v>
      </c>
      <c r="W10453" t="s">
        <v>46334</v>
      </c>
      <c r="X10453" t="s">
        <v>47318</v>
      </c>
    </row>
    <row r="10454" spans="1:24">
      <c r="A10454">
        <f>HYPERLINK("https://www.philgeps.gov.ph/GEPSNONPILOT/Tender/SplashBidNoticeAbstractUI.aspx?menuIndex=3&amp;refID=7180848&amp;Result=3","7180848")</f>
        <v>0</v>
      </c>
      <c r="B10454" t="s">
        <v>3127</v>
      </c>
      <c r="C10454" t="s">
        <v>13716</v>
      </c>
      <c r="D10454" t="s">
        <v>19046</v>
      </c>
      <c r="E10454" t="s">
        <v>28021</v>
      </c>
      <c r="F10454" t="s">
        <v>32606</v>
      </c>
      <c r="G10454" t="s">
        <v>32613</v>
      </c>
      <c r="H10454" t="s">
        <v>32623</v>
      </c>
      <c r="I10454" t="s">
        <v>17648</v>
      </c>
      <c r="J10454" t="s">
        <v>39264</v>
      </c>
      <c r="K10454" t="s">
        <v>42631</v>
      </c>
      <c r="L10454" t="s">
        <v>3127</v>
      </c>
      <c r="M10454" t="s">
        <v>46338</v>
      </c>
      <c r="N10454" t="s">
        <v>47304</v>
      </c>
      <c r="O10454" t="s">
        <v>47305</v>
      </c>
      <c r="P10454">
        <v>0</v>
      </c>
      <c r="Q10454">
        <v>0</v>
      </c>
      <c r="R10454" t="s">
        <v>47314</v>
      </c>
      <c r="S10454" t="s">
        <v>47596</v>
      </c>
      <c r="T10454" t="s">
        <v>49234</v>
      </c>
      <c r="U10454" t="s">
        <v>58157</v>
      </c>
      <c r="V10454" t="s">
        <v>63757</v>
      </c>
      <c r="W10454" t="s">
        <v>46338</v>
      </c>
      <c r="X10454" t="s">
        <v>47315</v>
      </c>
    </row>
    <row r="10455" spans="1:24">
      <c r="A10455">
        <f>HYPERLINK("https://www.philgeps.gov.ph/GEPSNONPILOT/Tender/SplashBidNoticeAbstractUI.aspx?menuIndex=3&amp;refID=7180847&amp;Result=3","7180847")</f>
        <v>0</v>
      </c>
      <c r="B10455" t="s">
        <v>3127</v>
      </c>
      <c r="C10455" t="s">
        <v>13717</v>
      </c>
      <c r="D10455" t="s">
        <v>19046</v>
      </c>
      <c r="E10455" t="s">
        <v>28022</v>
      </c>
      <c r="F10455" t="s">
        <v>32606</v>
      </c>
      <c r="G10455" t="s">
        <v>32613</v>
      </c>
      <c r="H10455" t="s">
        <v>32623</v>
      </c>
      <c r="I10455" t="s">
        <v>17648</v>
      </c>
      <c r="J10455" t="s">
        <v>39265</v>
      </c>
      <c r="K10455" t="s">
        <v>42639</v>
      </c>
      <c r="L10455" t="s">
        <v>3127</v>
      </c>
      <c r="M10455" t="s">
        <v>46338</v>
      </c>
      <c r="N10455" t="s">
        <v>47304</v>
      </c>
      <c r="O10455" t="s">
        <v>47305</v>
      </c>
      <c r="P10455">
        <v>0</v>
      </c>
      <c r="Q10455">
        <v>0</v>
      </c>
      <c r="R10455" t="s">
        <v>47314</v>
      </c>
      <c r="S10455" t="s">
        <v>47596</v>
      </c>
      <c r="T10455" t="s">
        <v>49234</v>
      </c>
      <c r="U10455" t="s">
        <v>58158</v>
      </c>
      <c r="V10455" t="s">
        <v>63757</v>
      </c>
      <c r="W10455" t="s">
        <v>46338</v>
      </c>
      <c r="X10455" t="s">
        <v>47315</v>
      </c>
    </row>
    <row r="10456" spans="1:24">
      <c r="A10456">
        <f>HYPERLINK("https://www.philgeps.gov.ph/GEPSNONPILOT/Tender/SplashBidNoticeAbstractUI.aspx?menuIndex=3&amp;refID=7180846&amp;Result=3","7180846")</f>
        <v>0</v>
      </c>
      <c r="B10456" t="s">
        <v>3128</v>
      </c>
      <c r="C10456" t="s">
        <v>13718</v>
      </c>
      <c r="D10456" t="s">
        <v>19019</v>
      </c>
      <c r="E10456" t="s">
        <v>28023</v>
      </c>
      <c r="F10456" t="s">
        <v>32606</v>
      </c>
      <c r="G10456" t="s">
        <v>32617</v>
      </c>
      <c r="H10456" t="s">
        <v>14201</v>
      </c>
      <c r="I10456" t="s">
        <v>4114</v>
      </c>
      <c r="J10456" t="s">
        <v>39266</v>
      </c>
      <c r="K10456" t="s">
        <v>42622</v>
      </c>
      <c r="M10456" t="s">
        <v>46339</v>
      </c>
      <c r="N10456" t="s">
        <v>47304</v>
      </c>
      <c r="O10456" t="s">
        <v>47305</v>
      </c>
      <c r="P10456">
        <v>0</v>
      </c>
      <c r="Q10456">
        <v>0</v>
      </c>
      <c r="R10456" t="s">
        <v>47314</v>
      </c>
      <c r="S10456" t="s">
        <v>47596</v>
      </c>
      <c r="T10456" t="s">
        <v>48975</v>
      </c>
      <c r="U10456" t="s">
        <v>58159</v>
      </c>
      <c r="W10456" t="s">
        <v>46339</v>
      </c>
      <c r="X10456" t="s">
        <v>47315</v>
      </c>
    </row>
    <row r="10457" spans="1:24">
      <c r="A10457">
        <f>HYPERLINK("https://www.philgeps.gov.ph/GEPSNONPILOT/Tender/SplashBidNoticeAbstractUI.aspx?menuIndex=3&amp;refID=7180845&amp;Result=3","7180845")</f>
        <v>0</v>
      </c>
      <c r="B10457" t="s">
        <v>3128</v>
      </c>
      <c r="C10457" t="s">
        <v>13719</v>
      </c>
      <c r="D10457" t="s">
        <v>19019</v>
      </c>
      <c r="E10457" t="s">
        <v>28024</v>
      </c>
      <c r="F10457" t="s">
        <v>32606</v>
      </c>
      <c r="G10457" t="s">
        <v>32614</v>
      </c>
      <c r="H10457" t="s">
        <v>14201</v>
      </c>
      <c r="I10457" t="s">
        <v>8682</v>
      </c>
      <c r="J10457" t="s">
        <v>35566</v>
      </c>
      <c r="K10457" t="s">
        <v>42623</v>
      </c>
      <c r="M10457" t="s">
        <v>46339</v>
      </c>
      <c r="N10457" t="s">
        <v>47304</v>
      </c>
      <c r="O10457" t="s">
        <v>47305</v>
      </c>
      <c r="P10457">
        <v>0</v>
      </c>
      <c r="Q10457">
        <v>1</v>
      </c>
      <c r="R10457" t="s">
        <v>47314</v>
      </c>
      <c r="S10457" t="s">
        <v>47596</v>
      </c>
      <c r="T10457" t="s">
        <v>49148</v>
      </c>
      <c r="U10457" t="s">
        <v>58160</v>
      </c>
      <c r="W10457" t="s">
        <v>46339</v>
      </c>
      <c r="X10457" t="s">
        <v>47315</v>
      </c>
    </row>
    <row r="10458" spans="1:24">
      <c r="A10458">
        <f>HYPERLINK("https://www.philgeps.gov.ph/GEPSNONPILOT/Tender/SplashBidNoticeAbstractUI.aspx?menuIndex=3&amp;refID=7180842&amp;Result=3","7180842")</f>
        <v>0</v>
      </c>
      <c r="B10458" t="s">
        <v>3128</v>
      </c>
      <c r="C10458" t="s">
        <v>13720</v>
      </c>
      <c r="D10458" t="s">
        <v>19019</v>
      </c>
      <c r="E10458" t="s">
        <v>28025</v>
      </c>
      <c r="F10458" t="s">
        <v>32606</v>
      </c>
      <c r="G10458" t="s">
        <v>32614</v>
      </c>
      <c r="H10458" t="s">
        <v>14201</v>
      </c>
      <c r="I10458" t="s">
        <v>4369</v>
      </c>
      <c r="J10458" t="s">
        <v>39267</v>
      </c>
      <c r="K10458" t="s">
        <v>42622</v>
      </c>
      <c r="M10458" t="s">
        <v>46339</v>
      </c>
      <c r="N10458" t="s">
        <v>47304</v>
      </c>
      <c r="O10458" t="s">
        <v>47305</v>
      </c>
      <c r="P10458">
        <v>0</v>
      </c>
      <c r="Q10458">
        <v>0</v>
      </c>
      <c r="R10458" t="s">
        <v>47314</v>
      </c>
      <c r="S10458" t="s">
        <v>47596</v>
      </c>
      <c r="T10458" t="s">
        <v>48975</v>
      </c>
      <c r="U10458" t="s">
        <v>58161</v>
      </c>
      <c r="W10458" t="s">
        <v>46339</v>
      </c>
      <c r="X10458" t="s">
        <v>47315</v>
      </c>
    </row>
    <row r="10459" spans="1:24">
      <c r="A10459">
        <f>HYPERLINK("https://www.philgeps.gov.ph/GEPSNONPILOT/Tender/SplashBidNoticeAbstractUI.aspx?menuIndex=3&amp;refID=7180837&amp;Result=3","7180837")</f>
        <v>0</v>
      </c>
      <c r="B10459" t="s">
        <v>2451</v>
      </c>
      <c r="C10459" t="s">
        <v>13721</v>
      </c>
      <c r="D10459" t="s">
        <v>19038</v>
      </c>
      <c r="E10459" t="s">
        <v>28026</v>
      </c>
      <c r="F10459" t="s">
        <v>32606</v>
      </c>
      <c r="G10459" t="s">
        <v>32613</v>
      </c>
      <c r="H10459" t="s">
        <v>32623</v>
      </c>
      <c r="I10459" t="s">
        <v>17648</v>
      </c>
      <c r="J10459" t="s">
        <v>33449</v>
      </c>
      <c r="K10459" t="s">
        <v>42648</v>
      </c>
      <c r="M10459" t="s">
        <v>45581</v>
      </c>
      <c r="N10459" t="s">
        <v>47304</v>
      </c>
      <c r="O10459" t="s">
        <v>47305</v>
      </c>
      <c r="P10459">
        <v>0</v>
      </c>
      <c r="Q10459">
        <v>1</v>
      </c>
      <c r="R10459" t="s">
        <v>47314</v>
      </c>
      <c r="S10459" t="s">
        <v>47596</v>
      </c>
      <c r="T10459" t="s">
        <v>49037</v>
      </c>
      <c r="U10459" t="s">
        <v>58162</v>
      </c>
      <c r="W10459" t="s">
        <v>45581</v>
      </c>
      <c r="X10459" t="s">
        <v>47316</v>
      </c>
    </row>
    <row r="10460" spans="1:24">
      <c r="A10460">
        <f>HYPERLINK("https://www.philgeps.gov.ph/GEPSNONPILOT/Tender/SplashBidNoticeAbstractUI.aspx?menuIndex=3&amp;refID=7180844&amp;Result=3","7180844")</f>
        <v>0</v>
      </c>
      <c r="B10460" t="s">
        <v>3128</v>
      </c>
      <c r="C10460" t="s">
        <v>13722</v>
      </c>
      <c r="D10460" t="s">
        <v>19019</v>
      </c>
      <c r="E10460" t="s">
        <v>28027</v>
      </c>
      <c r="F10460" t="s">
        <v>32606</v>
      </c>
      <c r="G10460" t="s">
        <v>32614</v>
      </c>
      <c r="H10460" t="s">
        <v>14201</v>
      </c>
      <c r="I10460" t="s">
        <v>4678</v>
      </c>
      <c r="J10460" t="s">
        <v>39268</v>
      </c>
      <c r="K10460" t="s">
        <v>42622</v>
      </c>
      <c r="M10460" t="s">
        <v>46339</v>
      </c>
      <c r="N10460" t="s">
        <v>47304</v>
      </c>
      <c r="O10460" t="s">
        <v>47305</v>
      </c>
      <c r="P10460">
        <v>0</v>
      </c>
      <c r="Q10460">
        <v>0</v>
      </c>
      <c r="R10460" t="s">
        <v>47314</v>
      </c>
      <c r="S10460" t="s">
        <v>47596</v>
      </c>
      <c r="T10460" t="s">
        <v>48975</v>
      </c>
      <c r="U10460" t="s">
        <v>58163</v>
      </c>
      <c r="W10460" t="s">
        <v>46339</v>
      </c>
      <c r="X10460" t="s">
        <v>47315</v>
      </c>
    </row>
    <row r="10461" spans="1:24">
      <c r="A10461">
        <f>HYPERLINK("https://www.philgeps.gov.ph/GEPSNONPILOT/Tender/SplashBidNoticeAbstractUI.aspx?menuIndex=3&amp;refID=7180849&amp;Result=3","7180849")</f>
        <v>0</v>
      </c>
      <c r="B10461" t="s">
        <v>3127</v>
      </c>
      <c r="C10461" t="s">
        <v>13723</v>
      </c>
      <c r="D10461" t="s">
        <v>19046</v>
      </c>
      <c r="E10461" t="s">
        <v>28028</v>
      </c>
      <c r="F10461" t="s">
        <v>32606</v>
      </c>
      <c r="G10461" t="s">
        <v>32613</v>
      </c>
      <c r="H10461" t="s">
        <v>32623</v>
      </c>
      <c r="I10461" t="s">
        <v>17648</v>
      </c>
      <c r="J10461" t="s">
        <v>39269</v>
      </c>
      <c r="K10461" t="s">
        <v>42639</v>
      </c>
      <c r="L10461" t="s">
        <v>3127</v>
      </c>
      <c r="M10461" t="s">
        <v>46338</v>
      </c>
      <c r="N10461" t="s">
        <v>47304</v>
      </c>
      <c r="O10461" t="s">
        <v>47305</v>
      </c>
      <c r="P10461">
        <v>0</v>
      </c>
      <c r="Q10461">
        <v>0</v>
      </c>
      <c r="R10461" t="s">
        <v>47314</v>
      </c>
      <c r="S10461" t="s">
        <v>47596</v>
      </c>
      <c r="T10461" t="s">
        <v>49234</v>
      </c>
      <c r="U10461" t="s">
        <v>58164</v>
      </c>
      <c r="V10461" t="s">
        <v>63757</v>
      </c>
      <c r="W10461" t="s">
        <v>46338</v>
      </c>
      <c r="X10461" t="s">
        <v>47315</v>
      </c>
    </row>
    <row r="10462" spans="1:24">
      <c r="A10462">
        <f>HYPERLINK("https://www.philgeps.gov.ph/GEPSNONPILOT/Tender/SplashBidNoticeAbstractUI.aspx?menuIndex=3&amp;refID=7180814&amp;Result=3","7180814")</f>
        <v>0</v>
      </c>
      <c r="B10462" t="s">
        <v>2451</v>
      </c>
      <c r="C10462" t="s">
        <v>13724</v>
      </c>
      <c r="D10462" t="s">
        <v>19038</v>
      </c>
      <c r="E10462" t="s">
        <v>28029</v>
      </c>
      <c r="F10462" t="s">
        <v>32606</v>
      </c>
      <c r="G10462" t="s">
        <v>32613</v>
      </c>
      <c r="H10462" t="s">
        <v>32623</v>
      </c>
      <c r="I10462" t="s">
        <v>17648</v>
      </c>
      <c r="J10462" t="s">
        <v>35904</v>
      </c>
      <c r="K10462" t="s">
        <v>42646</v>
      </c>
      <c r="M10462" t="s">
        <v>45581</v>
      </c>
      <c r="N10462" t="s">
        <v>47304</v>
      </c>
      <c r="O10462" t="s">
        <v>47305</v>
      </c>
      <c r="P10462">
        <v>0</v>
      </c>
      <c r="Q10462">
        <v>1</v>
      </c>
      <c r="R10462" t="s">
        <v>47314</v>
      </c>
      <c r="S10462" t="s">
        <v>47596</v>
      </c>
      <c r="T10462" t="s">
        <v>49037</v>
      </c>
      <c r="U10462" t="s">
        <v>58165</v>
      </c>
      <c r="W10462" t="s">
        <v>45581</v>
      </c>
      <c r="X10462" t="s">
        <v>47316</v>
      </c>
    </row>
    <row r="10463" spans="1:24">
      <c r="A10463">
        <f>HYPERLINK("https://www.philgeps.gov.ph/GEPSNONPILOT/Tender/SplashBidNoticeAbstractUI.aspx?menuIndex=3&amp;refID=7180717&amp;Result=3","7180717")</f>
        <v>0</v>
      </c>
      <c r="B10463" t="s">
        <v>850</v>
      </c>
      <c r="C10463" t="s">
        <v>13725</v>
      </c>
      <c r="D10463" t="s">
        <v>19014</v>
      </c>
      <c r="E10463" t="s">
        <v>28030</v>
      </c>
      <c r="F10463" t="s">
        <v>32606</v>
      </c>
      <c r="G10463" t="s">
        <v>32613</v>
      </c>
      <c r="H10463" t="s">
        <v>14201</v>
      </c>
      <c r="I10463" t="s">
        <v>6478</v>
      </c>
      <c r="J10463" t="s">
        <v>39270</v>
      </c>
      <c r="K10463" t="s">
        <v>42748</v>
      </c>
      <c r="M10463" t="s">
        <v>43783</v>
      </c>
      <c r="N10463" t="s">
        <v>47304</v>
      </c>
      <c r="O10463" t="s">
        <v>47305</v>
      </c>
      <c r="P10463">
        <v>0</v>
      </c>
      <c r="Q10463">
        <v>13</v>
      </c>
      <c r="R10463" t="s">
        <v>47314</v>
      </c>
      <c r="S10463" t="s">
        <v>47596</v>
      </c>
      <c r="T10463" t="s">
        <v>49144</v>
      </c>
      <c r="U10463" t="s">
        <v>58166</v>
      </c>
      <c r="W10463" t="s">
        <v>43783</v>
      </c>
      <c r="X10463" t="s">
        <v>47316</v>
      </c>
    </row>
    <row r="10464" spans="1:24">
      <c r="A10464">
        <f>HYPERLINK("https://www.philgeps.gov.ph/GEPSNONPILOT/Tender/SplashBidNoticeAbstractUI.aspx?menuIndex=3&amp;refID=7180703&amp;Result=3","7180703")</f>
        <v>0</v>
      </c>
      <c r="B10464" t="s">
        <v>954</v>
      </c>
      <c r="C10464" t="s">
        <v>13726</v>
      </c>
      <c r="E10464" t="s">
        <v>28031</v>
      </c>
      <c r="F10464" t="s">
        <v>32606</v>
      </c>
      <c r="G10464" t="s">
        <v>32613</v>
      </c>
      <c r="H10464" t="s">
        <v>32623</v>
      </c>
      <c r="I10464" t="s">
        <v>17648</v>
      </c>
      <c r="J10464" t="s">
        <v>33351</v>
      </c>
      <c r="K10464" t="s">
        <v>42639</v>
      </c>
      <c r="M10464" t="s">
        <v>46340</v>
      </c>
      <c r="N10464" t="s">
        <v>47304</v>
      </c>
      <c r="O10464" t="s">
        <v>47305</v>
      </c>
      <c r="Q10464">
        <v>0</v>
      </c>
      <c r="R10464" t="s">
        <v>47314</v>
      </c>
      <c r="S10464" t="s">
        <v>47617</v>
      </c>
      <c r="T10464" t="s">
        <v>49157</v>
      </c>
      <c r="U10464" t="s">
        <v>58167</v>
      </c>
      <c r="V10464" t="s">
        <v>63758</v>
      </c>
      <c r="W10464" t="s">
        <v>46340</v>
      </c>
      <c r="X10464" t="s">
        <v>47316</v>
      </c>
    </row>
    <row r="10465" spans="1:24">
      <c r="A10465">
        <f>HYPERLINK("https://www.philgeps.gov.ph/GEPSNONPILOT/Tender/SplashBidNoticeAbstractUI.aspx?menuIndex=3&amp;refID=7180696&amp;Result=3","7180696")</f>
        <v>0</v>
      </c>
      <c r="B10465" t="s">
        <v>954</v>
      </c>
      <c r="C10465" t="s">
        <v>13727</v>
      </c>
      <c r="E10465" t="s">
        <v>28032</v>
      </c>
      <c r="F10465" t="s">
        <v>32606</v>
      </c>
      <c r="G10465" t="s">
        <v>32613</v>
      </c>
      <c r="H10465" t="s">
        <v>32623</v>
      </c>
      <c r="I10465" t="s">
        <v>17648</v>
      </c>
      <c r="J10465" t="s">
        <v>37100</v>
      </c>
      <c r="K10465" t="s">
        <v>42636</v>
      </c>
      <c r="M10465" t="s">
        <v>46340</v>
      </c>
      <c r="N10465" t="s">
        <v>47304</v>
      </c>
      <c r="O10465" t="s">
        <v>47305</v>
      </c>
      <c r="Q10465">
        <v>0</v>
      </c>
      <c r="R10465" t="s">
        <v>47314</v>
      </c>
      <c r="S10465" t="s">
        <v>47618</v>
      </c>
      <c r="T10465" t="s">
        <v>49157</v>
      </c>
      <c r="U10465" t="s">
        <v>58167</v>
      </c>
      <c r="V10465" t="s">
        <v>63758</v>
      </c>
      <c r="W10465" t="s">
        <v>46340</v>
      </c>
      <c r="X10465" t="s">
        <v>47316</v>
      </c>
    </row>
    <row r="10466" spans="1:24">
      <c r="A10466">
        <f>HYPERLINK("https://www.philgeps.gov.ph/GEPSNONPILOT/Tender/SplashBidNoticeAbstractUI.aspx?menuIndex=3&amp;refID=7180671&amp;Result=3","7180671")</f>
        <v>0</v>
      </c>
      <c r="B10466" t="s">
        <v>3129</v>
      </c>
      <c r="C10466" t="s">
        <v>13728</v>
      </c>
      <c r="D10466" t="s">
        <v>19035</v>
      </c>
      <c r="E10466" t="s">
        <v>28033</v>
      </c>
      <c r="F10466" t="s">
        <v>32606</v>
      </c>
      <c r="G10466" t="s">
        <v>32614</v>
      </c>
      <c r="H10466" t="s">
        <v>14201</v>
      </c>
      <c r="I10466" t="s">
        <v>32635</v>
      </c>
      <c r="J10466" t="s">
        <v>32778</v>
      </c>
      <c r="K10466" t="s">
        <v>42688</v>
      </c>
      <c r="M10466" t="s">
        <v>46341</v>
      </c>
      <c r="N10466" t="s">
        <v>47304</v>
      </c>
      <c r="O10466" t="s">
        <v>47305</v>
      </c>
      <c r="P10466">
        <v>0</v>
      </c>
      <c r="Q10466">
        <v>4</v>
      </c>
      <c r="R10466" t="s">
        <v>47314</v>
      </c>
      <c r="S10466" t="s">
        <v>47596</v>
      </c>
      <c r="T10466" t="s">
        <v>49315</v>
      </c>
      <c r="U10466" t="s">
        <v>58168</v>
      </c>
      <c r="W10466" t="s">
        <v>46341</v>
      </c>
      <c r="X10466" t="s">
        <v>47316</v>
      </c>
    </row>
    <row r="10467" spans="1:24">
      <c r="A10467">
        <f>HYPERLINK("https://www.philgeps.gov.ph/GEPSNONPILOT/Tender/SplashBidNoticeAbstractUI.aspx?menuIndex=3&amp;refID=7180850&amp;Result=3","7180850")</f>
        <v>0</v>
      </c>
      <c r="B10467" t="s">
        <v>3127</v>
      </c>
      <c r="C10467" t="s">
        <v>13729</v>
      </c>
      <c r="D10467" t="s">
        <v>19046</v>
      </c>
      <c r="E10467" t="s">
        <v>28034</v>
      </c>
      <c r="F10467" t="s">
        <v>32606</v>
      </c>
      <c r="G10467" t="s">
        <v>32613</v>
      </c>
      <c r="H10467" t="s">
        <v>32623</v>
      </c>
      <c r="I10467" t="s">
        <v>17648</v>
      </c>
      <c r="J10467" t="s">
        <v>39271</v>
      </c>
      <c r="K10467" t="s">
        <v>42697</v>
      </c>
      <c r="L10467" t="s">
        <v>3127</v>
      </c>
      <c r="M10467" t="s">
        <v>46338</v>
      </c>
      <c r="N10467" t="s">
        <v>47304</v>
      </c>
      <c r="O10467" t="s">
        <v>47305</v>
      </c>
      <c r="P10467">
        <v>0</v>
      </c>
      <c r="Q10467">
        <v>0</v>
      </c>
      <c r="R10467" t="s">
        <v>47314</v>
      </c>
      <c r="S10467" t="s">
        <v>47596</v>
      </c>
      <c r="T10467" t="s">
        <v>49234</v>
      </c>
      <c r="U10467" t="s">
        <v>58169</v>
      </c>
      <c r="V10467" t="s">
        <v>63757</v>
      </c>
      <c r="W10467" t="s">
        <v>46338</v>
      </c>
      <c r="X10467" t="s">
        <v>47315</v>
      </c>
    </row>
    <row r="10468" spans="1:24">
      <c r="A10468">
        <f>HYPERLINK("https://www.philgeps.gov.ph/GEPSNONPILOT/Tender/SplashBidNoticeAbstractUI.aspx?menuIndex=3&amp;refID=7180700&amp;Result=3","7180700")</f>
        <v>0</v>
      </c>
      <c r="B10468" t="s">
        <v>954</v>
      </c>
      <c r="C10468" t="s">
        <v>13730</v>
      </c>
      <c r="E10468" t="s">
        <v>28035</v>
      </c>
      <c r="F10468" t="s">
        <v>32606</v>
      </c>
      <c r="G10468" t="s">
        <v>32613</v>
      </c>
      <c r="H10468" t="s">
        <v>32623</v>
      </c>
      <c r="I10468" t="s">
        <v>17648</v>
      </c>
      <c r="J10468" t="s">
        <v>37100</v>
      </c>
      <c r="K10468" t="s">
        <v>42648</v>
      </c>
      <c r="M10468" t="s">
        <v>46340</v>
      </c>
      <c r="N10468" t="s">
        <v>47304</v>
      </c>
      <c r="O10468" t="s">
        <v>47305</v>
      </c>
      <c r="Q10468">
        <v>0</v>
      </c>
      <c r="R10468" t="s">
        <v>47314</v>
      </c>
      <c r="S10468" t="s">
        <v>47619</v>
      </c>
      <c r="T10468" t="s">
        <v>49157</v>
      </c>
      <c r="U10468" t="s">
        <v>58167</v>
      </c>
      <c r="V10468" t="s">
        <v>63758</v>
      </c>
      <c r="W10468" t="s">
        <v>46340</v>
      </c>
      <c r="X10468" t="s">
        <v>47316</v>
      </c>
    </row>
    <row r="10469" spans="1:24">
      <c r="A10469">
        <f>HYPERLINK("https://www.philgeps.gov.ph/GEPSNONPILOT/Tender/SplashBidNoticeAbstractUI.aspx?menuIndex=3&amp;refID=7180821&amp;Result=3","7180821")</f>
        <v>0</v>
      </c>
      <c r="B10469" t="s">
        <v>2451</v>
      </c>
      <c r="C10469" t="s">
        <v>13731</v>
      </c>
      <c r="D10469" t="s">
        <v>19038</v>
      </c>
      <c r="E10469" t="s">
        <v>28036</v>
      </c>
      <c r="F10469" t="s">
        <v>32606</v>
      </c>
      <c r="G10469" t="s">
        <v>32613</v>
      </c>
      <c r="H10469" t="s">
        <v>32623</v>
      </c>
      <c r="I10469" t="s">
        <v>17648</v>
      </c>
      <c r="J10469" t="s">
        <v>32769</v>
      </c>
      <c r="K10469" t="s">
        <v>42648</v>
      </c>
      <c r="M10469" t="s">
        <v>45581</v>
      </c>
      <c r="N10469" t="s">
        <v>47304</v>
      </c>
      <c r="O10469" t="s">
        <v>47305</v>
      </c>
      <c r="P10469">
        <v>0</v>
      </c>
      <c r="Q10469">
        <v>1</v>
      </c>
      <c r="R10469" t="s">
        <v>47314</v>
      </c>
      <c r="S10469" t="s">
        <v>47596</v>
      </c>
      <c r="T10469" t="s">
        <v>49037</v>
      </c>
      <c r="U10469" t="s">
        <v>58170</v>
      </c>
      <c r="W10469" t="s">
        <v>45581</v>
      </c>
      <c r="X10469" t="s">
        <v>47316</v>
      </c>
    </row>
    <row r="10470" spans="1:24">
      <c r="A10470">
        <f>HYPERLINK("https://www.philgeps.gov.ph/GEPSNONPILOT/Tender/SplashBidNoticeAbstractUI.aspx?menuIndex=3&amp;refID=7180942&amp;Result=3","7180942")</f>
        <v>0</v>
      </c>
      <c r="B10470" t="s">
        <v>2517</v>
      </c>
      <c r="C10470" t="s">
        <v>13732</v>
      </c>
      <c r="D10470" t="s">
        <v>19054</v>
      </c>
      <c r="E10470" t="s">
        <v>28037</v>
      </c>
      <c r="F10470" t="s">
        <v>32606</v>
      </c>
      <c r="G10470" t="s">
        <v>32613</v>
      </c>
      <c r="H10470" t="s">
        <v>14201</v>
      </c>
      <c r="I10470" t="s">
        <v>4678</v>
      </c>
      <c r="J10470" t="s">
        <v>33102</v>
      </c>
      <c r="K10470" t="s">
        <v>42627</v>
      </c>
      <c r="M10470" t="s">
        <v>45658</v>
      </c>
      <c r="N10470" t="s">
        <v>47304</v>
      </c>
      <c r="O10470" t="s">
        <v>47305</v>
      </c>
      <c r="P10470">
        <v>0</v>
      </c>
      <c r="Q10470">
        <v>5</v>
      </c>
      <c r="R10470" t="s">
        <v>47314</v>
      </c>
      <c r="S10470" t="s">
        <v>47596</v>
      </c>
      <c r="T10470" t="s">
        <v>49071</v>
      </c>
      <c r="U10470" t="s">
        <v>58171</v>
      </c>
      <c r="W10470" t="s">
        <v>45658</v>
      </c>
      <c r="X10470" t="s">
        <v>47315</v>
      </c>
    </row>
    <row r="10471" spans="1:24">
      <c r="A10471">
        <f>HYPERLINK("https://www.philgeps.gov.ph/GEPSNONPILOT/Tender/SplashBidNoticeAbstractUI.aspx?menuIndex=3&amp;refID=7180019&amp;Result=3","7180019")</f>
        <v>0</v>
      </c>
      <c r="B10471" t="s">
        <v>3123</v>
      </c>
      <c r="C10471" t="s">
        <v>13733</v>
      </c>
      <c r="D10471" t="s">
        <v>19023</v>
      </c>
      <c r="E10471" t="s">
        <v>28038</v>
      </c>
      <c r="F10471" t="s">
        <v>32606</v>
      </c>
      <c r="G10471" t="s">
        <v>32613</v>
      </c>
      <c r="H10471" t="s">
        <v>14201</v>
      </c>
      <c r="I10471" t="s">
        <v>6931</v>
      </c>
      <c r="J10471" t="s">
        <v>39272</v>
      </c>
      <c r="K10471" t="s">
        <v>42623</v>
      </c>
      <c r="M10471" t="s">
        <v>46334</v>
      </c>
      <c r="N10471" t="s">
        <v>47304</v>
      </c>
      <c r="O10471" t="s">
        <v>47305</v>
      </c>
      <c r="P10471">
        <v>0</v>
      </c>
      <c r="Q10471">
        <v>1</v>
      </c>
      <c r="R10471" t="s">
        <v>47314</v>
      </c>
      <c r="S10471" t="s">
        <v>47596</v>
      </c>
      <c r="T10471" t="s">
        <v>49075</v>
      </c>
      <c r="U10471" t="s">
        <v>58172</v>
      </c>
      <c r="V10471" t="s">
        <v>63755</v>
      </c>
      <c r="W10471" t="s">
        <v>46334</v>
      </c>
      <c r="X10471" t="s">
        <v>47318</v>
      </c>
    </row>
    <row r="10472" spans="1:24">
      <c r="A10472">
        <f>HYPERLINK("https://www.philgeps.gov.ph/GEPSNONPILOT/Tender/SplashBidNoticeAbstractUI.aspx?menuIndex=3&amp;refID=7180946&amp;Result=3","7180946")</f>
        <v>0</v>
      </c>
      <c r="B10472" t="s">
        <v>3119</v>
      </c>
      <c r="C10472" t="s">
        <v>13734</v>
      </c>
      <c r="D10472" t="s">
        <v>19006</v>
      </c>
      <c r="E10472" t="s">
        <v>28039</v>
      </c>
      <c r="F10472" t="s">
        <v>32606</v>
      </c>
      <c r="G10472" t="s">
        <v>32613</v>
      </c>
      <c r="H10472" t="s">
        <v>32623</v>
      </c>
      <c r="I10472" t="s">
        <v>17648</v>
      </c>
      <c r="J10472" t="s">
        <v>39273</v>
      </c>
      <c r="K10472" t="s">
        <v>42816</v>
      </c>
      <c r="M10472" t="s">
        <v>46329</v>
      </c>
      <c r="N10472" t="s">
        <v>47304</v>
      </c>
      <c r="O10472" t="s">
        <v>47305</v>
      </c>
      <c r="P10472">
        <v>0</v>
      </c>
      <c r="Q10472">
        <v>1</v>
      </c>
      <c r="R10472" t="s">
        <v>47314</v>
      </c>
      <c r="S10472" t="s">
        <v>47596</v>
      </c>
      <c r="T10472" t="s">
        <v>48973</v>
      </c>
      <c r="U10472" t="s">
        <v>58173</v>
      </c>
      <c r="V10472" t="s">
        <v>63747</v>
      </c>
      <c r="W10472" t="s">
        <v>46329</v>
      </c>
      <c r="X10472" t="s">
        <v>47315</v>
      </c>
    </row>
    <row r="10473" spans="1:24">
      <c r="A10473">
        <f>HYPERLINK("https://www.philgeps.gov.ph/GEPSNONPILOT/Tender/SplashBidNoticeAbstractUI.aspx?menuIndex=3&amp;refID=7180940&amp;Result=3","7180940")</f>
        <v>0</v>
      </c>
      <c r="B10473" t="s">
        <v>3129</v>
      </c>
      <c r="C10473" t="s">
        <v>13735</v>
      </c>
      <c r="D10473" t="s">
        <v>19010</v>
      </c>
      <c r="E10473" t="s">
        <v>28040</v>
      </c>
      <c r="F10473" t="s">
        <v>32606</v>
      </c>
      <c r="G10473" t="s">
        <v>32614</v>
      </c>
      <c r="H10473" t="s">
        <v>14201</v>
      </c>
      <c r="I10473" t="s">
        <v>32635</v>
      </c>
      <c r="J10473" t="s">
        <v>32778</v>
      </c>
      <c r="K10473" t="s">
        <v>42688</v>
      </c>
      <c r="M10473" t="s">
        <v>46341</v>
      </c>
      <c r="N10473" t="s">
        <v>47304</v>
      </c>
      <c r="O10473" t="s">
        <v>47305</v>
      </c>
      <c r="P10473">
        <v>0</v>
      </c>
      <c r="Q10473">
        <v>3</v>
      </c>
      <c r="R10473" t="s">
        <v>47314</v>
      </c>
      <c r="S10473" t="s">
        <v>47596</v>
      </c>
      <c r="T10473" t="s">
        <v>49315</v>
      </c>
      <c r="U10473" t="s">
        <v>58174</v>
      </c>
      <c r="W10473" t="s">
        <v>46341</v>
      </c>
      <c r="X10473" t="s">
        <v>47315</v>
      </c>
    </row>
    <row r="10474" spans="1:24">
      <c r="A10474">
        <f>HYPERLINK("https://www.philgeps.gov.ph/GEPSNONPILOT/Tender/SplashBidNoticeAbstractUI.aspx?menuIndex=3&amp;refID=7180926&amp;Result=3","7180926")</f>
        <v>0</v>
      </c>
      <c r="B10474" t="s">
        <v>3119</v>
      </c>
      <c r="C10474" t="s">
        <v>13736</v>
      </c>
      <c r="D10474" t="s">
        <v>19006</v>
      </c>
      <c r="E10474" t="s">
        <v>28041</v>
      </c>
      <c r="F10474" t="s">
        <v>32606</v>
      </c>
      <c r="G10474" t="s">
        <v>32613</v>
      </c>
      <c r="H10474" t="s">
        <v>32623</v>
      </c>
      <c r="I10474" t="s">
        <v>17648</v>
      </c>
      <c r="J10474" t="s">
        <v>39274</v>
      </c>
      <c r="K10474" t="s">
        <v>42682</v>
      </c>
      <c r="M10474" t="s">
        <v>46329</v>
      </c>
      <c r="N10474" t="s">
        <v>47304</v>
      </c>
      <c r="O10474" t="s">
        <v>47305</v>
      </c>
      <c r="P10474">
        <v>0</v>
      </c>
      <c r="Q10474">
        <v>0</v>
      </c>
      <c r="R10474" t="s">
        <v>47314</v>
      </c>
      <c r="S10474" t="s">
        <v>47596</v>
      </c>
      <c r="T10474" t="s">
        <v>48973</v>
      </c>
      <c r="U10474" t="s">
        <v>58173</v>
      </c>
      <c r="V10474" t="s">
        <v>63747</v>
      </c>
      <c r="W10474" t="s">
        <v>46329</v>
      </c>
      <c r="X10474" t="s">
        <v>47315</v>
      </c>
    </row>
    <row r="10475" spans="1:24">
      <c r="A10475">
        <f>HYPERLINK("https://www.philgeps.gov.ph/GEPSNONPILOT/Tender/SplashBidNoticeAbstractUI.aspx?menuIndex=3&amp;refID=7180924&amp;Result=3","7180924")</f>
        <v>0</v>
      </c>
      <c r="B10475" t="s">
        <v>3130</v>
      </c>
      <c r="C10475" t="s">
        <v>13737</v>
      </c>
      <c r="D10475" t="s">
        <v>19056</v>
      </c>
      <c r="E10475" t="s">
        <v>19531</v>
      </c>
      <c r="F10475" t="s">
        <v>32606</v>
      </c>
      <c r="G10475" t="s">
        <v>32613</v>
      </c>
      <c r="H10475" t="s">
        <v>14201</v>
      </c>
      <c r="I10475" t="s">
        <v>32650</v>
      </c>
      <c r="J10475" t="s">
        <v>32765</v>
      </c>
      <c r="K10475" t="s">
        <v>42627</v>
      </c>
      <c r="M10475" t="s">
        <v>46342</v>
      </c>
      <c r="N10475" t="s">
        <v>47304</v>
      </c>
      <c r="O10475" t="s">
        <v>47305</v>
      </c>
      <c r="P10475">
        <v>0</v>
      </c>
      <c r="Q10475">
        <v>6</v>
      </c>
      <c r="R10475" t="s">
        <v>47314</v>
      </c>
      <c r="S10475" t="s">
        <v>47596</v>
      </c>
      <c r="T10475" t="s">
        <v>49075</v>
      </c>
      <c r="U10475" t="s">
        <v>58175</v>
      </c>
      <c r="W10475" t="s">
        <v>46342</v>
      </c>
      <c r="X10475" t="s">
        <v>47315</v>
      </c>
    </row>
    <row r="10476" spans="1:24">
      <c r="A10476">
        <f>HYPERLINK("https://www.philgeps.gov.ph/GEPSNONPILOT/Tender/SplashBidNoticeAbstractUI.aspx?menuIndex=3&amp;refID=7180914&amp;Result=3","7180914")</f>
        <v>0</v>
      </c>
      <c r="B10476" t="s">
        <v>496</v>
      </c>
      <c r="C10476" t="s">
        <v>13738</v>
      </c>
      <c r="E10476" t="s">
        <v>28042</v>
      </c>
      <c r="F10476" t="s">
        <v>32606</v>
      </c>
      <c r="G10476" t="s">
        <v>32614</v>
      </c>
      <c r="H10476" t="s">
        <v>14201</v>
      </c>
      <c r="I10476" t="s">
        <v>32638</v>
      </c>
      <c r="J10476" t="s">
        <v>36512</v>
      </c>
      <c r="K10476" t="s">
        <v>42631</v>
      </c>
      <c r="M10476" t="s">
        <v>45233</v>
      </c>
      <c r="N10476" t="s">
        <v>47304</v>
      </c>
      <c r="O10476" t="s">
        <v>47305</v>
      </c>
      <c r="P10476">
        <v>0</v>
      </c>
      <c r="Q10476">
        <v>11</v>
      </c>
      <c r="R10476" t="s">
        <v>47314</v>
      </c>
      <c r="S10476" t="s">
        <v>47596</v>
      </c>
      <c r="T10476" t="s">
        <v>49047</v>
      </c>
      <c r="U10476" t="s">
        <v>58176</v>
      </c>
      <c r="W10476" t="s">
        <v>64494</v>
      </c>
      <c r="X10476" t="s">
        <v>47315</v>
      </c>
    </row>
    <row r="10477" spans="1:24">
      <c r="A10477">
        <f>HYPERLINK("https://www.philgeps.gov.ph/GEPSNONPILOT/Tender/SplashBidNoticeAbstractUI.aspx?menuIndex=3&amp;refID=7180912&amp;Result=3","7180912")</f>
        <v>0</v>
      </c>
      <c r="B10477" t="s">
        <v>3131</v>
      </c>
      <c r="C10477" t="s">
        <v>13739</v>
      </c>
      <c r="D10477" t="s">
        <v>19003</v>
      </c>
      <c r="E10477" t="s">
        <v>28043</v>
      </c>
      <c r="F10477" t="s">
        <v>32606</v>
      </c>
      <c r="G10477" t="s">
        <v>32613</v>
      </c>
      <c r="H10477" t="s">
        <v>14201</v>
      </c>
      <c r="I10477" t="s">
        <v>6931</v>
      </c>
      <c r="J10477" t="s">
        <v>39275</v>
      </c>
      <c r="K10477" t="s">
        <v>42624</v>
      </c>
      <c r="M10477" t="s">
        <v>46343</v>
      </c>
      <c r="N10477" t="s">
        <v>47304</v>
      </c>
      <c r="O10477" t="s">
        <v>47305</v>
      </c>
      <c r="P10477">
        <v>0</v>
      </c>
      <c r="Q10477">
        <v>0</v>
      </c>
      <c r="R10477" t="s">
        <v>47314</v>
      </c>
      <c r="S10477" t="s">
        <v>47596</v>
      </c>
      <c r="T10477" t="s">
        <v>49268</v>
      </c>
      <c r="U10477" t="s">
        <v>58177</v>
      </c>
      <c r="W10477" t="s">
        <v>46343</v>
      </c>
      <c r="X10477" t="s">
        <v>47315</v>
      </c>
    </row>
    <row r="10478" spans="1:24">
      <c r="A10478">
        <f>HYPERLINK("https://www.philgeps.gov.ph/GEPSNONPILOT/Tender/SplashBidNoticeAbstractUI.aspx?menuIndex=3&amp;refID=7179545&amp;Result=3","7179545")</f>
        <v>0</v>
      </c>
      <c r="B10478" t="s">
        <v>2115</v>
      </c>
      <c r="C10478" t="s">
        <v>13740</v>
      </c>
      <c r="D10478" t="s">
        <v>19008</v>
      </c>
      <c r="E10478" t="s">
        <v>28044</v>
      </c>
      <c r="F10478" t="s">
        <v>32606</v>
      </c>
      <c r="G10478" t="s">
        <v>32613</v>
      </c>
      <c r="H10478" t="s">
        <v>32623</v>
      </c>
      <c r="I10478" t="s">
        <v>17648</v>
      </c>
      <c r="J10478" t="s">
        <v>33617</v>
      </c>
      <c r="K10478" t="s">
        <v>42768</v>
      </c>
      <c r="M10478" t="s">
        <v>45474</v>
      </c>
      <c r="N10478" t="s">
        <v>47304</v>
      </c>
      <c r="O10478" t="s">
        <v>47305</v>
      </c>
      <c r="P10478">
        <v>0</v>
      </c>
      <c r="Q10478">
        <v>1</v>
      </c>
      <c r="R10478" t="s">
        <v>47314</v>
      </c>
      <c r="S10478" t="s">
        <v>47596</v>
      </c>
      <c r="T10478" t="s">
        <v>49073</v>
      </c>
      <c r="U10478" t="s">
        <v>58178</v>
      </c>
      <c r="V10478" t="s">
        <v>62846</v>
      </c>
      <c r="W10478" t="s">
        <v>45474</v>
      </c>
      <c r="X10478" t="s">
        <v>47318</v>
      </c>
    </row>
    <row r="10479" spans="1:24">
      <c r="A10479">
        <f>HYPERLINK("https://www.philgeps.gov.ph/GEPSNONPILOT/Tender/SplashBidNoticeAbstractUI.aspx?menuIndex=3&amp;refID=7180891&amp;Result=3","7180891")</f>
        <v>0</v>
      </c>
      <c r="B10479" t="s">
        <v>1958</v>
      </c>
      <c r="C10479" t="s">
        <v>13741</v>
      </c>
      <c r="D10479" t="s">
        <v>19036</v>
      </c>
      <c r="E10479" t="s">
        <v>19311</v>
      </c>
      <c r="F10479" t="s">
        <v>32606</v>
      </c>
      <c r="G10479" t="s">
        <v>32613</v>
      </c>
      <c r="H10479" t="s">
        <v>14201</v>
      </c>
      <c r="I10479" t="s">
        <v>6931</v>
      </c>
      <c r="J10479" t="s">
        <v>39276</v>
      </c>
      <c r="K10479" t="s">
        <v>42631</v>
      </c>
      <c r="M10479" t="s">
        <v>45020</v>
      </c>
      <c r="N10479" t="s">
        <v>47304</v>
      </c>
      <c r="O10479" t="s">
        <v>47305</v>
      </c>
      <c r="P10479">
        <v>0</v>
      </c>
      <c r="Q10479">
        <v>0</v>
      </c>
      <c r="R10479" t="s">
        <v>47314</v>
      </c>
      <c r="S10479" t="s">
        <v>47596</v>
      </c>
      <c r="T10479" t="s">
        <v>49066</v>
      </c>
      <c r="U10479" t="s">
        <v>58179</v>
      </c>
      <c r="W10479" t="s">
        <v>45020</v>
      </c>
      <c r="X10479" t="s">
        <v>47315</v>
      </c>
    </row>
    <row r="10480" spans="1:24">
      <c r="A10480">
        <f>HYPERLINK("https://www.philgeps.gov.ph/GEPSNONPILOT/Tender/SplashBidNoticeAbstractUI.aspx?menuIndex=3&amp;refID=7180919&amp;Result=3","7180919")</f>
        <v>0</v>
      </c>
      <c r="B10480" t="s">
        <v>3119</v>
      </c>
      <c r="C10480" t="s">
        <v>13742</v>
      </c>
      <c r="D10480" t="s">
        <v>19006</v>
      </c>
      <c r="E10480" t="s">
        <v>28045</v>
      </c>
      <c r="F10480" t="s">
        <v>32606</v>
      </c>
      <c r="G10480" t="s">
        <v>32613</v>
      </c>
      <c r="H10480" t="s">
        <v>32623</v>
      </c>
      <c r="I10480" t="s">
        <v>17648</v>
      </c>
      <c r="J10480" t="s">
        <v>39277</v>
      </c>
      <c r="K10480" t="s">
        <v>42636</v>
      </c>
      <c r="M10480" t="s">
        <v>46329</v>
      </c>
      <c r="N10480" t="s">
        <v>47304</v>
      </c>
      <c r="O10480" t="s">
        <v>47305</v>
      </c>
      <c r="P10480">
        <v>0</v>
      </c>
      <c r="Q10480">
        <v>0</v>
      </c>
      <c r="R10480" t="s">
        <v>47314</v>
      </c>
      <c r="S10480" t="s">
        <v>47596</v>
      </c>
      <c r="T10480" t="s">
        <v>48973</v>
      </c>
      <c r="U10480" t="s">
        <v>58173</v>
      </c>
      <c r="V10480" t="s">
        <v>63747</v>
      </c>
      <c r="W10480" t="s">
        <v>46329</v>
      </c>
      <c r="X10480" t="s">
        <v>47315</v>
      </c>
    </row>
    <row r="10481" spans="1:24">
      <c r="A10481">
        <f>HYPERLINK("https://www.philgeps.gov.ph/GEPSNONPILOT/Tender/SplashBidNoticeAbstractUI.aspx?menuIndex=3&amp;refID=7180889&amp;Result=3","7180889")</f>
        <v>0</v>
      </c>
      <c r="B10481" t="s">
        <v>3119</v>
      </c>
      <c r="C10481" t="s">
        <v>13743</v>
      </c>
      <c r="D10481" t="s">
        <v>19006</v>
      </c>
      <c r="E10481" t="s">
        <v>28046</v>
      </c>
      <c r="F10481" t="s">
        <v>32606</v>
      </c>
      <c r="G10481" t="s">
        <v>32613</v>
      </c>
      <c r="H10481" t="s">
        <v>32623</v>
      </c>
      <c r="I10481" t="s">
        <v>17648</v>
      </c>
      <c r="J10481" t="s">
        <v>39278</v>
      </c>
      <c r="K10481" t="s">
        <v>42636</v>
      </c>
      <c r="M10481" t="s">
        <v>46329</v>
      </c>
      <c r="N10481" t="s">
        <v>47304</v>
      </c>
      <c r="O10481" t="s">
        <v>47305</v>
      </c>
      <c r="P10481">
        <v>0</v>
      </c>
      <c r="Q10481">
        <v>0</v>
      </c>
      <c r="R10481" t="s">
        <v>47314</v>
      </c>
      <c r="S10481" t="s">
        <v>47596</v>
      </c>
      <c r="T10481" t="s">
        <v>48973</v>
      </c>
      <c r="U10481" t="s">
        <v>58173</v>
      </c>
      <c r="V10481" t="s">
        <v>63747</v>
      </c>
      <c r="W10481" t="s">
        <v>46329</v>
      </c>
      <c r="X10481" t="s">
        <v>47315</v>
      </c>
    </row>
    <row r="10482" spans="1:24">
      <c r="A10482">
        <f>HYPERLINK("https://www.philgeps.gov.ph/GEPSNONPILOT/Tender/SplashBidNoticeAbstractUI.aspx?menuIndex=3&amp;refID=7180872&amp;Result=3","7180872")</f>
        <v>0</v>
      </c>
      <c r="B10482" t="s">
        <v>30</v>
      </c>
      <c r="C10482" t="s">
        <v>13744</v>
      </c>
      <c r="D10482" t="s">
        <v>18989</v>
      </c>
      <c r="E10482" t="s">
        <v>28047</v>
      </c>
      <c r="F10482" t="s">
        <v>32606</v>
      </c>
      <c r="G10482" t="s">
        <v>32613</v>
      </c>
      <c r="H10482" t="s">
        <v>32623</v>
      </c>
      <c r="I10482" t="s">
        <v>17648</v>
      </c>
      <c r="J10482" t="s">
        <v>32756</v>
      </c>
      <c r="K10482" t="s">
        <v>42672</v>
      </c>
      <c r="M10482" t="s">
        <v>42927</v>
      </c>
      <c r="N10482" t="s">
        <v>47304</v>
      </c>
      <c r="O10482" t="s">
        <v>47305</v>
      </c>
      <c r="P10482">
        <v>0</v>
      </c>
      <c r="Q10482">
        <v>0</v>
      </c>
      <c r="R10482" t="s">
        <v>47314</v>
      </c>
      <c r="S10482" t="s">
        <v>47596</v>
      </c>
      <c r="T10482" t="s">
        <v>49047</v>
      </c>
      <c r="U10482" t="s">
        <v>58180</v>
      </c>
      <c r="W10482" t="s">
        <v>42927</v>
      </c>
      <c r="X10482" t="s">
        <v>47315</v>
      </c>
    </row>
    <row r="10483" spans="1:24">
      <c r="A10483">
        <f>HYPERLINK("https://www.philgeps.gov.ph/GEPSNONPILOT/Tender/SplashBidNoticeAbstractUI.aspx?menuIndex=3&amp;refID=7180928&amp;Result=3","7180928")</f>
        <v>0</v>
      </c>
      <c r="B10483" t="s">
        <v>3132</v>
      </c>
      <c r="C10483" t="s">
        <v>13745</v>
      </c>
      <c r="D10483" t="s">
        <v>19024</v>
      </c>
      <c r="E10483" t="s">
        <v>19233</v>
      </c>
      <c r="F10483" t="s">
        <v>32606</v>
      </c>
      <c r="G10483" t="s">
        <v>32615</v>
      </c>
      <c r="H10483" t="s">
        <v>14201</v>
      </c>
      <c r="I10483" t="s">
        <v>8606</v>
      </c>
      <c r="J10483" t="s">
        <v>33274</v>
      </c>
      <c r="K10483" t="s">
        <v>42631</v>
      </c>
      <c r="M10483" t="s">
        <v>46344</v>
      </c>
      <c r="N10483" t="s">
        <v>47304</v>
      </c>
      <c r="O10483" t="s">
        <v>47305</v>
      </c>
      <c r="P10483">
        <v>0</v>
      </c>
      <c r="Q10483">
        <v>1</v>
      </c>
      <c r="R10483" t="s">
        <v>47314</v>
      </c>
      <c r="S10483" t="s">
        <v>47596</v>
      </c>
      <c r="T10483" t="s">
        <v>49134</v>
      </c>
      <c r="U10483" t="s">
        <v>58181</v>
      </c>
      <c r="W10483" t="s">
        <v>46344</v>
      </c>
      <c r="X10483" t="s">
        <v>47315</v>
      </c>
    </row>
    <row r="10484" spans="1:24">
      <c r="A10484">
        <f>HYPERLINK("https://www.philgeps.gov.ph/GEPSNONPILOT/Tender/SplashBidNoticeAbstractUI.aspx?menuIndex=3&amp;refID=7181022&amp;Result=3","7181022")</f>
        <v>0</v>
      </c>
      <c r="B10484" t="s">
        <v>3133</v>
      </c>
      <c r="C10484" t="s">
        <v>13746</v>
      </c>
      <c r="D10484" t="s">
        <v>19042</v>
      </c>
      <c r="E10484" t="s">
        <v>28048</v>
      </c>
      <c r="F10484" t="s">
        <v>32606</v>
      </c>
      <c r="G10484" t="s">
        <v>32613</v>
      </c>
      <c r="H10484" t="s">
        <v>14201</v>
      </c>
      <c r="I10484" t="s">
        <v>32670</v>
      </c>
      <c r="J10484" t="s">
        <v>33102</v>
      </c>
      <c r="K10484" t="s">
        <v>42631</v>
      </c>
      <c r="M10484" t="s">
        <v>46345</v>
      </c>
      <c r="N10484" t="s">
        <v>47304</v>
      </c>
      <c r="O10484" t="s">
        <v>47305</v>
      </c>
      <c r="P10484">
        <v>0</v>
      </c>
      <c r="Q10484">
        <v>2</v>
      </c>
      <c r="R10484" t="s">
        <v>47314</v>
      </c>
      <c r="S10484" t="s">
        <v>47596</v>
      </c>
      <c r="T10484" t="s">
        <v>49447</v>
      </c>
      <c r="U10484" t="s">
        <v>58182</v>
      </c>
      <c r="W10484" t="s">
        <v>46345</v>
      </c>
      <c r="X10484" t="s">
        <v>47315</v>
      </c>
    </row>
    <row r="10485" spans="1:24">
      <c r="A10485">
        <f>HYPERLINK("https://www.philgeps.gov.ph/GEPSNONPILOT/Tender/SplashBidNoticeAbstractUI.aspx?menuIndex=3&amp;refID=7181021&amp;Result=3","7181021")</f>
        <v>0</v>
      </c>
      <c r="B10485" t="s">
        <v>3119</v>
      </c>
      <c r="C10485" t="s">
        <v>13747</v>
      </c>
      <c r="D10485" t="s">
        <v>19006</v>
      </c>
      <c r="E10485" t="s">
        <v>28049</v>
      </c>
      <c r="F10485" t="s">
        <v>32606</v>
      </c>
      <c r="G10485" t="s">
        <v>32613</v>
      </c>
      <c r="H10485" t="s">
        <v>32623</v>
      </c>
      <c r="I10485" t="s">
        <v>17648</v>
      </c>
      <c r="J10485" t="s">
        <v>39279</v>
      </c>
      <c r="K10485" t="s">
        <v>42636</v>
      </c>
      <c r="M10485" t="s">
        <v>46329</v>
      </c>
      <c r="N10485" t="s">
        <v>47304</v>
      </c>
      <c r="O10485" t="s">
        <v>47305</v>
      </c>
      <c r="P10485">
        <v>0</v>
      </c>
      <c r="Q10485">
        <v>0</v>
      </c>
      <c r="R10485" t="s">
        <v>47314</v>
      </c>
      <c r="S10485" t="s">
        <v>47596</v>
      </c>
      <c r="T10485" t="s">
        <v>48973</v>
      </c>
      <c r="U10485" t="s">
        <v>58183</v>
      </c>
      <c r="V10485" t="s">
        <v>63747</v>
      </c>
      <c r="W10485" t="s">
        <v>46329</v>
      </c>
      <c r="X10485" t="s">
        <v>47315</v>
      </c>
    </row>
    <row r="10486" spans="1:24">
      <c r="A10486">
        <f>HYPERLINK("https://www.philgeps.gov.ph/GEPSNONPILOT/Tender/SplashBidNoticeAbstractUI.aspx?menuIndex=3&amp;refID=7181019&amp;Result=3","7181019")</f>
        <v>0</v>
      </c>
      <c r="B10486" t="s">
        <v>3134</v>
      </c>
      <c r="C10486" t="s">
        <v>13748</v>
      </c>
      <c r="E10486" t="s">
        <v>28050</v>
      </c>
      <c r="F10486" t="s">
        <v>32606</v>
      </c>
      <c r="G10486" t="s">
        <v>32613</v>
      </c>
      <c r="H10486" t="s">
        <v>14201</v>
      </c>
      <c r="I10486" t="s">
        <v>6298</v>
      </c>
      <c r="J10486" t="s">
        <v>32995</v>
      </c>
      <c r="K10486" t="s">
        <v>42624</v>
      </c>
      <c r="M10486" t="s">
        <v>46346</v>
      </c>
      <c r="N10486" t="s">
        <v>47304</v>
      </c>
      <c r="O10486" t="s">
        <v>47305</v>
      </c>
      <c r="P10486">
        <v>0</v>
      </c>
      <c r="Q10486">
        <v>0</v>
      </c>
      <c r="R10486" t="s">
        <v>47314</v>
      </c>
      <c r="S10486" t="s">
        <v>47596</v>
      </c>
      <c r="T10486" t="s">
        <v>49023</v>
      </c>
      <c r="U10486" t="s">
        <v>58184</v>
      </c>
      <c r="W10486" t="s">
        <v>46346</v>
      </c>
      <c r="X10486" t="s">
        <v>47315</v>
      </c>
    </row>
    <row r="10487" spans="1:24">
      <c r="A10487">
        <f>HYPERLINK("https://www.philgeps.gov.ph/GEPSNONPILOT/Tender/SplashBidNoticeAbstractUI.aspx?menuIndex=3&amp;refID=7181018&amp;Result=3","7181018")</f>
        <v>0</v>
      </c>
      <c r="B10487" t="s">
        <v>714</v>
      </c>
      <c r="C10487" t="s">
        <v>13749</v>
      </c>
      <c r="D10487" t="s">
        <v>18995</v>
      </c>
      <c r="E10487" t="s">
        <v>28051</v>
      </c>
      <c r="F10487" t="s">
        <v>32606</v>
      </c>
      <c r="G10487" t="s">
        <v>32613</v>
      </c>
      <c r="H10487" t="s">
        <v>14201</v>
      </c>
      <c r="I10487" t="s">
        <v>6931</v>
      </c>
      <c r="J10487" t="s">
        <v>39280</v>
      </c>
      <c r="K10487" t="s">
        <v>42627</v>
      </c>
      <c r="M10487" t="s">
        <v>43635</v>
      </c>
      <c r="N10487" t="s">
        <v>47304</v>
      </c>
      <c r="O10487" t="s">
        <v>47305</v>
      </c>
      <c r="P10487">
        <v>0</v>
      </c>
      <c r="Q10487">
        <v>5</v>
      </c>
      <c r="R10487" t="s">
        <v>47314</v>
      </c>
      <c r="S10487" t="s">
        <v>47596</v>
      </c>
      <c r="T10487" t="s">
        <v>49075</v>
      </c>
      <c r="U10487" t="s">
        <v>58185</v>
      </c>
      <c r="W10487" t="s">
        <v>43635</v>
      </c>
      <c r="X10487" t="s">
        <v>47315</v>
      </c>
    </row>
    <row r="10488" spans="1:24">
      <c r="A10488">
        <f>HYPERLINK("https://www.philgeps.gov.ph/GEPSNONPILOT/Tender/SplashBidNoticeAbstractUI.aspx?menuIndex=3&amp;refID=7179615&amp;Result=3","7179615")</f>
        <v>0</v>
      </c>
      <c r="B10488" t="s">
        <v>256</v>
      </c>
      <c r="C10488" t="s">
        <v>13750</v>
      </c>
      <c r="E10488" t="s">
        <v>28052</v>
      </c>
      <c r="F10488" t="s">
        <v>32606</v>
      </c>
      <c r="G10488" t="s">
        <v>32613</v>
      </c>
      <c r="H10488" t="s">
        <v>32623</v>
      </c>
      <c r="I10488" t="s">
        <v>17648</v>
      </c>
      <c r="J10488" t="s">
        <v>39281</v>
      </c>
      <c r="K10488" t="s">
        <v>42816</v>
      </c>
      <c r="M10488" t="s">
        <v>43157</v>
      </c>
      <c r="N10488" t="s">
        <v>47304</v>
      </c>
      <c r="O10488" t="s">
        <v>47305</v>
      </c>
      <c r="P10488">
        <v>0</v>
      </c>
      <c r="Q10488">
        <v>1</v>
      </c>
      <c r="R10488" t="s">
        <v>47314</v>
      </c>
      <c r="S10488" t="s">
        <v>47596</v>
      </c>
      <c r="T10488" t="s">
        <v>49066</v>
      </c>
      <c r="U10488" t="s">
        <v>58144</v>
      </c>
      <c r="W10488" t="s">
        <v>43157</v>
      </c>
      <c r="X10488" t="s">
        <v>47318</v>
      </c>
    </row>
    <row r="10489" spans="1:24">
      <c r="A10489">
        <f>HYPERLINK("https://www.philgeps.gov.ph/GEPSNONPILOT/Tender/SplashBidNoticeAbstractUI.aspx?menuIndex=3&amp;refID=7181017&amp;Result=3","7181017")</f>
        <v>0</v>
      </c>
      <c r="B10489" t="s">
        <v>1295</v>
      </c>
      <c r="C10489" t="s">
        <v>13751</v>
      </c>
      <c r="D10489" t="s">
        <v>18992</v>
      </c>
      <c r="E10489" t="s">
        <v>28053</v>
      </c>
      <c r="F10489" t="s">
        <v>32606</v>
      </c>
      <c r="G10489" t="s">
        <v>32613</v>
      </c>
      <c r="H10489" t="s">
        <v>14201</v>
      </c>
      <c r="I10489" t="s">
        <v>6931</v>
      </c>
      <c r="J10489" t="s">
        <v>39282</v>
      </c>
      <c r="K10489" t="s">
        <v>42631</v>
      </c>
      <c r="M10489" t="s">
        <v>46347</v>
      </c>
      <c r="N10489" t="s">
        <v>47304</v>
      </c>
      <c r="O10489" t="s">
        <v>47305</v>
      </c>
      <c r="P10489">
        <v>0</v>
      </c>
      <c r="Q10489">
        <v>0</v>
      </c>
      <c r="R10489" t="s">
        <v>47314</v>
      </c>
      <c r="S10489" t="s">
        <v>47596</v>
      </c>
      <c r="T10489" t="s">
        <v>48989</v>
      </c>
      <c r="U10489" t="s">
        <v>52250</v>
      </c>
      <c r="W10489" t="s">
        <v>44267</v>
      </c>
      <c r="X10489" t="s">
        <v>47315</v>
      </c>
    </row>
    <row r="10490" spans="1:24">
      <c r="A10490">
        <f>HYPERLINK("https://www.philgeps.gov.ph/GEPSNONPILOT/Tender/SplashBidNoticeAbstractUI.aspx?menuIndex=3&amp;refID=7181011&amp;Result=3","7181011")</f>
        <v>0</v>
      </c>
      <c r="B10490" t="s">
        <v>433</v>
      </c>
      <c r="C10490" t="s">
        <v>13752</v>
      </c>
      <c r="D10490" t="s">
        <v>19012</v>
      </c>
      <c r="E10490" t="s">
        <v>26293</v>
      </c>
      <c r="F10490" t="s">
        <v>32606</v>
      </c>
      <c r="G10490" t="s">
        <v>32613</v>
      </c>
      <c r="H10490" t="s">
        <v>14201</v>
      </c>
      <c r="I10490" t="s">
        <v>6993</v>
      </c>
      <c r="J10490" t="s">
        <v>39283</v>
      </c>
      <c r="K10490" t="s">
        <v>42623</v>
      </c>
      <c r="M10490" t="s">
        <v>43339</v>
      </c>
      <c r="N10490" t="s">
        <v>47304</v>
      </c>
      <c r="O10490" t="s">
        <v>47305</v>
      </c>
      <c r="P10490">
        <v>0</v>
      </c>
      <c r="Q10490">
        <v>3</v>
      </c>
      <c r="R10490" t="s">
        <v>47314</v>
      </c>
      <c r="S10490" t="s">
        <v>47596</v>
      </c>
      <c r="T10490" t="s">
        <v>49086</v>
      </c>
      <c r="U10490" t="s">
        <v>58186</v>
      </c>
      <c r="W10490" t="s">
        <v>43339</v>
      </c>
      <c r="X10490" t="s">
        <v>47315</v>
      </c>
    </row>
    <row r="10491" spans="1:24">
      <c r="A10491">
        <f>HYPERLINK("https://www.philgeps.gov.ph/GEPSNONPILOT/Tender/SplashBidNoticeAbstractUI.aspx?menuIndex=3&amp;refID=7180868&amp;Result=3","7180868")</f>
        <v>0</v>
      </c>
      <c r="B10491" t="s">
        <v>3135</v>
      </c>
      <c r="C10491" t="s">
        <v>12659</v>
      </c>
      <c r="D10491" t="s">
        <v>19010</v>
      </c>
      <c r="E10491" t="s">
        <v>20242</v>
      </c>
      <c r="F10491" t="s">
        <v>32606</v>
      </c>
      <c r="G10491" t="s">
        <v>32613</v>
      </c>
      <c r="H10491" t="s">
        <v>14201</v>
      </c>
      <c r="I10491" t="s">
        <v>6931</v>
      </c>
      <c r="J10491" t="s">
        <v>39284</v>
      </c>
      <c r="K10491" t="s">
        <v>42622</v>
      </c>
      <c r="M10491" t="s">
        <v>46348</v>
      </c>
      <c r="N10491" t="s">
        <v>47304</v>
      </c>
      <c r="O10491" t="s">
        <v>47305</v>
      </c>
      <c r="P10491">
        <v>0</v>
      </c>
      <c r="Q10491">
        <v>0</v>
      </c>
      <c r="R10491" t="s">
        <v>47314</v>
      </c>
      <c r="S10491" t="s">
        <v>47596</v>
      </c>
      <c r="T10491" t="s">
        <v>49315</v>
      </c>
      <c r="U10491" t="s">
        <v>58187</v>
      </c>
      <c r="W10491" t="s">
        <v>46348</v>
      </c>
      <c r="X10491" t="s">
        <v>47315</v>
      </c>
    </row>
    <row r="10492" spans="1:24">
      <c r="A10492">
        <f>HYPERLINK("https://www.philgeps.gov.ph/GEPSNONPILOT/Tender/SplashBidNoticeAbstractUI.aspx?menuIndex=3&amp;refID=7181002&amp;Result=3","7181002")</f>
        <v>0</v>
      </c>
      <c r="B10492" t="s">
        <v>1929</v>
      </c>
      <c r="C10492" t="s">
        <v>13753</v>
      </c>
      <c r="D10492" t="s">
        <v>19032</v>
      </c>
      <c r="E10492" t="s">
        <v>28054</v>
      </c>
      <c r="F10492" t="s">
        <v>32606</v>
      </c>
      <c r="G10492" t="s">
        <v>32613</v>
      </c>
      <c r="H10492" t="s">
        <v>14201</v>
      </c>
      <c r="I10492" t="s">
        <v>6931</v>
      </c>
      <c r="J10492" t="s">
        <v>39285</v>
      </c>
      <c r="K10492" t="s">
        <v>42623</v>
      </c>
      <c r="M10492" t="s">
        <v>44989</v>
      </c>
      <c r="N10492" t="s">
        <v>47304</v>
      </c>
      <c r="O10492" t="s">
        <v>47305</v>
      </c>
      <c r="P10492">
        <v>0</v>
      </c>
      <c r="Q10492">
        <v>0</v>
      </c>
      <c r="R10492" t="s">
        <v>47314</v>
      </c>
      <c r="S10492" t="s">
        <v>47596</v>
      </c>
      <c r="T10492" t="s">
        <v>49165</v>
      </c>
      <c r="U10492" t="s">
        <v>54532</v>
      </c>
      <c r="W10492" t="s">
        <v>44989</v>
      </c>
      <c r="X10492" t="s">
        <v>47315</v>
      </c>
    </row>
    <row r="10493" spans="1:24">
      <c r="A10493">
        <f>HYPERLINK("https://www.philgeps.gov.ph/GEPSNONPILOT/Tender/SplashBidNoticeAbstractUI.aspx?menuIndex=3&amp;refID=7181007&amp;Result=3","7181007")</f>
        <v>0</v>
      </c>
      <c r="B10493" t="s">
        <v>3136</v>
      </c>
      <c r="C10493" t="s">
        <v>13754</v>
      </c>
      <c r="D10493" t="s">
        <v>19045</v>
      </c>
      <c r="E10493" t="s">
        <v>28055</v>
      </c>
      <c r="F10493" t="s">
        <v>32606</v>
      </c>
      <c r="G10493" t="s">
        <v>32614</v>
      </c>
      <c r="H10493" t="s">
        <v>14201</v>
      </c>
      <c r="I10493" t="s">
        <v>32673</v>
      </c>
      <c r="J10493" t="s">
        <v>32752</v>
      </c>
      <c r="K10493" t="s">
        <v>42630</v>
      </c>
      <c r="M10493" t="s">
        <v>46349</v>
      </c>
      <c r="N10493" t="s">
        <v>47304</v>
      </c>
      <c r="O10493" t="s">
        <v>47305</v>
      </c>
      <c r="P10493">
        <v>0</v>
      </c>
      <c r="Q10493">
        <v>1</v>
      </c>
      <c r="R10493" t="s">
        <v>47314</v>
      </c>
      <c r="S10493" t="s">
        <v>47596</v>
      </c>
      <c r="T10493" t="s">
        <v>49072</v>
      </c>
      <c r="U10493" t="s">
        <v>58188</v>
      </c>
      <c r="W10493" t="s">
        <v>46349</v>
      </c>
      <c r="X10493" t="s">
        <v>47315</v>
      </c>
    </row>
    <row r="10494" spans="1:24">
      <c r="A10494">
        <f>HYPERLINK("https://www.philgeps.gov.ph/GEPSNONPILOT/Tender/SplashBidNoticeAbstractUI.aspx?menuIndex=3&amp;refID=7180885&amp;Result=3","7180885")</f>
        <v>0</v>
      </c>
      <c r="B10494" t="s">
        <v>3119</v>
      </c>
      <c r="C10494" t="s">
        <v>13755</v>
      </c>
      <c r="D10494" t="s">
        <v>19006</v>
      </c>
      <c r="E10494" t="s">
        <v>28056</v>
      </c>
      <c r="F10494" t="s">
        <v>32606</v>
      </c>
      <c r="G10494" t="s">
        <v>32613</v>
      </c>
      <c r="H10494" t="s">
        <v>32623</v>
      </c>
      <c r="I10494" t="s">
        <v>17648</v>
      </c>
      <c r="J10494" t="s">
        <v>39286</v>
      </c>
      <c r="K10494" t="s">
        <v>42682</v>
      </c>
      <c r="M10494" t="s">
        <v>46329</v>
      </c>
      <c r="N10494" t="s">
        <v>47304</v>
      </c>
      <c r="O10494" t="s">
        <v>47305</v>
      </c>
      <c r="P10494">
        <v>0</v>
      </c>
      <c r="Q10494">
        <v>0</v>
      </c>
      <c r="R10494" t="s">
        <v>47314</v>
      </c>
      <c r="S10494" t="s">
        <v>47596</v>
      </c>
      <c r="T10494" t="s">
        <v>48973</v>
      </c>
      <c r="U10494" t="s">
        <v>58173</v>
      </c>
      <c r="V10494" t="s">
        <v>63747</v>
      </c>
      <c r="W10494" t="s">
        <v>46329</v>
      </c>
      <c r="X10494" t="s">
        <v>47315</v>
      </c>
    </row>
    <row r="10495" spans="1:24">
      <c r="A10495">
        <f>HYPERLINK("https://www.philgeps.gov.ph/GEPSNONPILOT/Tender/SplashBidNoticeAbstractUI.aspx?menuIndex=3&amp;refID=7180977&amp;Result=3","7180977")</f>
        <v>0</v>
      </c>
      <c r="B10495" t="s">
        <v>3119</v>
      </c>
      <c r="C10495" t="s">
        <v>13756</v>
      </c>
      <c r="D10495" t="s">
        <v>19006</v>
      </c>
      <c r="E10495" t="s">
        <v>28057</v>
      </c>
      <c r="F10495" t="s">
        <v>32606</v>
      </c>
      <c r="G10495" t="s">
        <v>32613</v>
      </c>
      <c r="H10495" t="s">
        <v>32623</v>
      </c>
      <c r="I10495" t="s">
        <v>32626</v>
      </c>
      <c r="J10495" t="s">
        <v>39287</v>
      </c>
      <c r="K10495" t="s">
        <v>42682</v>
      </c>
      <c r="M10495" t="s">
        <v>46329</v>
      </c>
      <c r="N10495" t="s">
        <v>47304</v>
      </c>
      <c r="O10495" t="s">
        <v>47305</v>
      </c>
      <c r="P10495">
        <v>0</v>
      </c>
      <c r="Q10495">
        <v>1</v>
      </c>
      <c r="R10495" t="s">
        <v>47314</v>
      </c>
      <c r="S10495" t="s">
        <v>47596</v>
      </c>
      <c r="T10495" t="s">
        <v>48973</v>
      </c>
      <c r="U10495" t="s">
        <v>58183</v>
      </c>
      <c r="V10495" t="s">
        <v>63747</v>
      </c>
      <c r="W10495" t="s">
        <v>46329</v>
      </c>
      <c r="X10495" t="s">
        <v>47315</v>
      </c>
    </row>
    <row r="10496" spans="1:24">
      <c r="A10496">
        <f>HYPERLINK("https://www.philgeps.gov.ph/GEPSNONPILOT/Tender/SplashBidNoticeAbstractUI.aspx?menuIndex=3&amp;refID=7181013&amp;Result=3","7181013")</f>
        <v>0</v>
      </c>
      <c r="B10496" t="s">
        <v>3119</v>
      </c>
      <c r="C10496" t="s">
        <v>13757</v>
      </c>
      <c r="D10496" t="s">
        <v>19006</v>
      </c>
      <c r="E10496" t="s">
        <v>28058</v>
      </c>
      <c r="F10496" t="s">
        <v>32606</v>
      </c>
      <c r="G10496" t="s">
        <v>32613</v>
      </c>
      <c r="H10496" t="s">
        <v>32623</v>
      </c>
      <c r="I10496" t="s">
        <v>17648</v>
      </c>
      <c r="J10496" t="s">
        <v>39288</v>
      </c>
      <c r="K10496" t="s">
        <v>42648</v>
      </c>
      <c r="M10496" t="s">
        <v>46329</v>
      </c>
      <c r="N10496" t="s">
        <v>47304</v>
      </c>
      <c r="O10496" t="s">
        <v>47305</v>
      </c>
      <c r="P10496">
        <v>0</v>
      </c>
      <c r="Q10496">
        <v>0</v>
      </c>
      <c r="R10496" t="s">
        <v>47314</v>
      </c>
      <c r="S10496" t="s">
        <v>47596</v>
      </c>
      <c r="T10496" t="s">
        <v>48973</v>
      </c>
      <c r="U10496" t="s">
        <v>58183</v>
      </c>
      <c r="V10496" t="s">
        <v>63747</v>
      </c>
      <c r="W10496" t="s">
        <v>46329</v>
      </c>
      <c r="X10496" t="s">
        <v>47315</v>
      </c>
    </row>
    <row r="10497" spans="1:24">
      <c r="A10497">
        <f>HYPERLINK("https://www.philgeps.gov.ph/GEPSNONPILOT/Tender/SplashBidNoticeAbstractUI.aspx?menuIndex=3&amp;refID=7180976&amp;Result=3","7180976")</f>
        <v>0</v>
      </c>
      <c r="B10497" t="s">
        <v>3137</v>
      </c>
      <c r="C10497" t="s">
        <v>13758</v>
      </c>
      <c r="E10497" t="s">
        <v>28059</v>
      </c>
      <c r="F10497" t="s">
        <v>32606</v>
      </c>
      <c r="G10497" t="s">
        <v>32613</v>
      </c>
      <c r="H10497" t="s">
        <v>32623</v>
      </c>
      <c r="I10497" t="s">
        <v>17648</v>
      </c>
      <c r="J10497" t="s">
        <v>39289</v>
      </c>
      <c r="K10497" t="s">
        <v>42848</v>
      </c>
      <c r="M10497" t="s">
        <v>46350</v>
      </c>
      <c r="N10497" t="s">
        <v>47304</v>
      </c>
      <c r="O10497" t="s">
        <v>47305</v>
      </c>
      <c r="P10497">
        <v>0</v>
      </c>
      <c r="Q10497">
        <v>4</v>
      </c>
      <c r="R10497" t="s">
        <v>47314</v>
      </c>
      <c r="S10497" t="s">
        <v>47596</v>
      </c>
      <c r="T10497" t="s">
        <v>49075</v>
      </c>
      <c r="U10497" t="s">
        <v>58189</v>
      </c>
      <c r="V10497" t="s">
        <v>63759</v>
      </c>
      <c r="W10497" t="s">
        <v>46350</v>
      </c>
      <c r="X10497" t="s">
        <v>47315</v>
      </c>
    </row>
    <row r="10498" spans="1:24">
      <c r="A10498">
        <f>HYPERLINK("https://www.philgeps.gov.ph/GEPSNONPILOT/Tender/SplashBidNoticeAbstractUI.aspx?menuIndex=3&amp;refID=7180971&amp;Result=3","7180971")</f>
        <v>0</v>
      </c>
      <c r="B10498" t="s">
        <v>513</v>
      </c>
      <c r="C10498" t="s">
        <v>13759</v>
      </c>
      <c r="D10498" t="s">
        <v>19008</v>
      </c>
      <c r="E10498" t="s">
        <v>25954</v>
      </c>
      <c r="F10498" t="s">
        <v>32606</v>
      </c>
      <c r="G10498" t="s">
        <v>32613</v>
      </c>
      <c r="H10498" t="s">
        <v>32623</v>
      </c>
      <c r="I10498" t="s">
        <v>17648</v>
      </c>
      <c r="J10498" t="s">
        <v>32821</v>
      </c>
      <c r="K10498" t="s">
        <v>42646</v>
      </c>
      <c r="M10498" t="s">
        <v>43426</v>
      </c>
      <c r="N10498" t="s">
        <v>47304</v>
      </c>
      <c r="O10498" t="s">
        <v>47305</v>
      </c>
      <c r="P10498">
        <v>0</v>
      </c>
      <c r="Q10498">
        <v>5</v>
      </c>
      <c r="R10498" t="s">
        <v>47314</v>
      </c>
      <c r="S10498" t="s">
        <v>47596</v>
      </c>
      <c r="T10498" t="s">
        <v>49007</v>
      </c>
      <c r="U10498" t="s">
        <v>58190</v>
      </c>
      <c r="W10498" t="s">
        <v>43426</v>
      </c>
      <c r="X10498" t="s">
        <v>47315</v>
      </c>
    </row>
    <row r="10499" spans="1:24">
      <c r="A10499">
        <f>HYPERLINK("https://www.philgeps.gov.ph/GEPSNONPILOT/Tender/SplashBidNoticeAbstractUI.aspx?menuIndex=3&amp;refID=7180956&amp;Result=3","7180956")</f>
        <v>0</v>
      </c>
      <c r="B10499" t="s">
        <v>3119</v>
      </c>
      <c r="C10499" t="s">
        <v>13760</v>
      </c>
      <c r="D10499" t="s">
        <v>19006</v>
      </c>
      <c r="E10499" t="s">
        <v>28060</v>
      </c>
      <c r="F10499" t="s">
        <v>32606</v>
      </c>
      <c r="G10499" t="s">
        <v>32613</v>
      </c>
      <c r="H10499" t="s">
        <v>32623</v>
      </c>
      <c r="I10499" t="s">
        <v>17648</v>
      </c>
      <c r="J10499" t="s">
        <v>39290</v>
      </c>
      <c r="K10499" t="s">
        <v>42636</v>
      </c>
      <c r="M10499" t="s">
        <v>46329</v>
      </c>
      <c r="N10499" t="s">
        <v>47304</v>
      </c>
      <c r="O10499" t="s">
        <v>47305</v>
      </c>
      <c r="P10499">
        <v>0</v>
      </c>
      <c r="Q10499">
        <v>0</v>
      </c>
      <c r="R10499" t="s">
        <v>47314</v>
      </c>
      <c r="S10499" t="s">
        <v>47596</v>
      </c>
      <c r="T10499" t="s">
        <v>48973</v>
      </c>
      <c r="U10499" t="s">
        <v>58183</v>
      </c>
      <c r="V10499" t="s">
        <v>63747</v>
      </c>
      <c r="W10499" t="s">
        <v>46329</v>
      </c>
      <c r="X10499" t="s">
        <v>47315</v>
      </c>
    </row>
    <row r="10500" spans="1:24">
      <c r="A10500">
        <f>HYPERLINK("https://www.philgeps.gov.ph/GEPSNONPILOT/Tender/SplashBidNoticeAbstractUI.aspx?menuIndex=3&amp;refID=7179676&amp;Result=3","7179676")</f>
        <v>0</v>
      </c>
      <c r="B10500" t="s">
        <v>256</v>
      </c>
      <c r="C10500" t="s">
        <v>13761</v>
      </c>
      <c r="E10500" t="s">
        <v>28061</v>
      </c>
      <c r="F10500" t="s">
        <v>32606</v>
      </c>
      <c r="G10500" t="s">
        <v>32613</v>
      </c>
      <c r="H10500" t="s">
        <v>32623</v>
      </c>
      <c r="I10500" t="s">
        <v>17648</v>
      </c>
      <c r="J10500" t="s">
        <v>39291</v>
      </c>
      <c r="K10500" t="s">
        <v>42798</v>
      </c>
      <c r="M10500" t="s">
        <v>43157</v>
      </c>
      <c r="N10500" t="s">
        <v>47304</v>
      </c>
      <c r="O10500" t="s">
        <v>47305</v>
      </c>
      <c r="P10500">
        <v>0</v>
      </c>
      <c r="Q10500">
        <v>2</v>
      </c>
      <c r="R10500" t="s">
        <v>47314</v>
      </c>
      <c r="S10500" t="s">
        <v>47596</v>
      </c>
      <c r="T10500" t="s">
        <v>49066</v>
      </c>
      <c r="U10500" t="s">
        <v>58144</v>
      </c>
      <c r="W10500" t="s">
        <v>43157</v>
      </c>
      <c r="X10500" t="s">
        <v>47318</v>
      </c>
    </row>
    <row r="10501" spans="1:24">
      <c r="A10501">
        <f>HYPERLINK("https://www.philgeps.gov.ph/GEPSNONPILOT/Tender/SplashBidNoticeAbstractUI.aspx?menuIndex=3&amp;refID=7180953&amp;Result=3","7180953")</f>
        <v>0</v>
      </c>
      <c r="B10501" t="s">
        <v>2517</v>
      </c>
      <c r="C10501" t="s">
        <v>13762</v>
      </c>
      <c r="D10501" t="s">
        <v>19054</v>
      </c>
      <c r="E10501" t="s">
        <v>28062</v>
      </c>
      <c r="F10501" t="s">
        <v>32606</v>
      </c>
      <c r="G10501" t="s">
        <v>32613</v>
      </c>
      <c r="H10501" t="s">
        <v>14201</v>
      </c>
      <c r="I10501" t="s">
        <v>32629</v>
      </c>
      <c r="J10501" t="s">
        <v>39292</v>
      </c>
      <c r="K10501" t="s">
        <v>42627</v>
      </c>
      <c r="M10501" t="s">
        <v>45658</v>
      </c>
      <c r="N10501" t="s">
        <v>47304</v>
      </c>
      <c r="O10501" t="s">
        <v>47305</v>
      </c>
      <c r="P10501">
        <v>0</v>
      </c>
      <c r="Q10501">
        <v>0</v>
      </c>
      <c r="R10501" t="s">
        <v>47314</v>
      </c>
      <c r="S10501" t="s">
        <v>47596</v>
      </c>
      <c r="T10501" t="s">
        <v>49071</v>
      </c>
      <c r="U10501" t="s">
        <v>58171</v>
      </c>
      <c r="W10501" t="s">
        <v>45658</v>
      </c>
      <c r="X10501" t="s">
        <v>47315</v>
      </c>
    </row>
    <row r="10502" spans="1:24">
      <c r="A10502">
        <f>HYPERLINK("https://www.philgeps.gov.ph/GEPSNONPILOT/Tender/SplashBidNoticeAbstractUI.aspx?menuIndex=3&amp;refID=7180860&amp;Result=3","7180860")</f>
        <v>0</v>
      </c>
      <c r="B10502" t="s">
        <v>3127</v>
      </c>
      <c r="C10502" t="s">
        <v>13763</v>
      </c>
      <c r="D10502" t="s">
        <v>19046</v>
      </c>
      <c r="E10502" t="s">
        <v>28063</v>
      </c>
      <c r="F10502" t="s">
        <v>32606</v>
      </c>
      <c r="G10502" t="s">
        <v>32613</v>
      </c>
      <c r="H10502" t="s">
        <v>32623</v>
      </c>
      <c r="I10502" t="s">
        <v>17648</v>
      </c>
      <c r="J10502" t="s">
        <v>39293</v>
      </c>
      <c r="K10502" t="s">
        <v>42712</v>
      </c>
      <c r="L10502" t="s">
        <v>3127</v>
      </c>
      <c r="M10502" t="s">
        <v>46338</v>
      </c>
      <c r="N10502" t="s">
        <v>47304</v>
      </c>
      <c r="O10502" t="s">
        <v>47305</v>
      </c>
      <c r="P10502">
        <v>0</v>
      </c>
      <c r="Q10502">
        <v>0</v>
      </c>
      <c r="R10502" t="s">
        <v>47314</v>
      </c>
      <c r="S10502" t="s">
        <v>47596</v>
      </c>
      <c r="T10502" t="s">
        <v>49234</v>
      </c>
      <c r="U10502" t="s">
        <v>58191</v>
      </c>
      <c r="V10502" t="s">
        <v>63757</v>
      </c>
      <c r="W10502" t="s">
        <v>46338</v>
      </c>
      <c r="X10502" t="s">
        <v>47315</v>
      </c>
    </row>
    <row r="10503" spans="1:24">
      <c r="A10503">
        <f>HYPERLINK("https://www.philgeps.gov.ph/GEPSNONPILOT/Tender/SplashBidNoticeAbstractUI.aspx?menuIndex=3&amp;refID=7180967&amp;Result=3","7180967")</f>
        <v>0</v>
      </c>
      <c r="B10503" t="s">
        <v>2517</v>
      </c>
      <c r="C10503" t="s">
        <v>13764</v>
      </c>
      <c r="D10503" t="s">
        <v>19054</v>
      </c>
      <c r="E10503" t="s">
        <v>28064</v>
      </c>
      <c r="F10503" t="s">
        <v>32606</v>
      </c>
      <c r="G10503" t="s">
        <v>32614</v>
      </c>
      <c r="H10503" t="s">
        <v>14201</v>
      </c>
      <c r="I10503" t="s">
        <v>32640</v>
      </c>
      <c r="J10503" t="s">
        <v>32995</v>
      </c>
      <c r="K10503" t="s">
        <v>42623</v>
      </c>
      <c r="M10503" t="s">
        <v>45658</v>
      </c>
      <c r="N10503" t="s">
        <v>47304</v>
      </c>
      <c r="O10503" t="s">
        <v>47305</v>
      </c>
      <c r="P10503">
        <v>0</v>
      </c>
      <c r="Q10503">
        <v>1</v>
      </c>
      <c r="R10503" t="s">
        <v>47314</v>
      </c>
      <c r="S10503" t="s">
        <v>47596</v>
      </c>
      <c r="T10503" t="s">
        <v>49071</v>
      </c>
      <c r="U10503" t="s">
        <v>58192</v>
      </c>
      <c r="W10503" t="s">
        <v>45658</v>
      </c>
      <c r="X10503" t="s">
        <v>47315</v>
      </c>
    </row>
    <row r="10504" spans="1:24">
      <c r="A10504">
        <f>HYPERLINK("https://www.philgeps.gov.ph/GEPSNONPILOT/Tender/SplashBidNoticeAbstractUI.aspx?menuIndex=3&amp;refID=7177975&amp;Result=3","7177975")</f>
        <v>0</v>
      </c>
      <c r="B10504" t="s">
        <v>37</v>
      </c>
      <c r="C10504" t="s">
        <v>13765</v>
      </c>
      <c r="D10504" t="s">
        <v>18997</v>
      </c>
      <c r="E10504" t="s">
        <v>28065</v>
      </c>
      <c r="F10504" t="s">
        <v>32606</v>
      </c>
      <c r="G10504" t="s">
        <v>32613</v>
      </c>
      <c r="H10504" t="s">
        <v>32624</v>
      </c>
      <c r="I10504" t="s">
        <v>32651</v>
      </c>
      <c r="J10504" t="s">
        <v>33980</v>
      </c>
      <c r="K10504" t="s">
        <v>42751</v>
      </c>
      <c r="M10504" t="s">
        <v>42934</v>
      </c>
      <c r="N10504" t="s">
        <v>47304</v>
      </c>
      <c r="O10504" t="s">
        <v>47305</v>
      </c>
      <c r="Q10504">
        <v>0</v>
      </c>
      <c r="R10504" t="s">
        <v>47314</v>
      </c>
      <c r="S10504" t="s">
        <v>47620</v>
      </c>
      <c r="T10504" t="s">
        <v>49068</v>
      </c>
      <c r="U10504" t="s">
        <v>58193</v>
      </c>
      <c r="W10504" t="s">
        <v>42934</v>
      </c>
      <c r="X10504" t="s">
        <v>47318</v>
      </c>
    </row>
    <row r="10505" spans="1:24">
      <c r="A10505">
        <f>HYPERLINK("https://www.philgeps.gov.ph/GEPSNONPILOT/Tender/SplashBidNoticeAbstractUI.aspx?menuIndex=3&amp;refID=7180855&amp;Result=3","7180855")</f>
        <v>0</v>
      </c>
      <c r="B10505" t="s">
        <v>3127</v>
      </c>
      <c r="C10505" t="s">
        <v>13766</v>
      </c>
      <c r="D10505" t="s">
        <v>19046</v>
      </c>
      <c r="E10505" t="s">
        <v>28066</v>
      </c>
      <c r="F10505" t="s">
        <v>32606</v>
      </c>
      <c r="G10505" t="s">
        <v>32613</v>
      </c>
      <c r="H10505" t="s">
        <v>14201</v>
      </c>
      <c r="I10505" t="s">
        <v>32633</v>
      </c>
      <c r="J10505" t="s">
        <v>39294</v>
      </c>
      <c r="K10505" t="s">
        <v>42666</v>
      </c>
      <c r="L10505" t="s">
        <v>3127</v>
      </c>
      <c r="M10505" t="s">
        <v>46338</v>
      </c>
      <c r="N10505" t="s">
        <v>47304</v>
      </c>
      <c r="O10505" t="s">
        <v>47305</v>
      </c>
      <c r="P10505">
        <v>0</v>
      </c>
      <c r="Q10505">
        <v>2</v>
      </c>
      <c r="R10505" t="s">
        <v>47314</v>
      </c>
      <c r="S10505" t="s">
        <v>47596</v>
      </c>
      <c r="T10505" t="s">
        <v>49234</v>
      </c>
      <c r="U10505" t="s">
        <v>58194</v>
      </c>
      <c r="V10505" t="s">
        <v>63757</v>
      </c>
      <c r="W10505" t="s">
        <v>46338</v>
      </c>
      <c r="X10505" t="s">
        <v>47315</v>
      </c>
    </row>
    <row r="10506" spans="1:24">
      <c r="A10506">
        <f>HYPERLINK("https://www.philgeps.gov.ph/GEPSNONPILOT/Tender/SplashBidNoticeAbstractUI.aspx?menuIndex=3&amp;refID=7180990&amp;Result=3","7180990")</f>
        <v>0</v>
      </c>
      <c r="B10506" t="s">
        <v>3138</v>
      </c>
      <c r="C10506" t="s">
        <v>13767</v>
      </c>
      <c r="D10506" t="s">
        <v>19036</v>
      </c>
      <c r="E10506" t="s">
        <v>28067</v>
      </c>
      <c r="F10506" t="s">
        <v>32606</v>
      </c>
      <c r="G10506" t="s">
        <v>32613</v>
      </c>
      <c r="H10506" t="s">
        <v>32623</v>
      </c>
      <c r="I10506" t="s">
        <v>17648</v>
      </c>
      <c r="J10506" t="s">
        <v>39295</v>
      </c>
      <c r="K10506" t="s">
        <v>42682</v>
      </c>
      <c r="M10506" t="s">
        <v>46351</v>
      </c>
      <c r="N10506" t="s">
        <v>47304</v>
      </c>
      <c r="O10506" t="s">
        <v>47305</v>
      </c>
      <c r="P10506">
        <v>0</v>
      </c>
      <c r="Q10506">
        <v>5</v>
      </c>
      <c r="R10506" t="s">
        <v>47314</v>
      </c>
      <c r="S10506" t="s">
        <v>47596</v>
      </c>
      <c r="T10506" t="s">
        <v>49052</v>
      </c>
      <c r="U10506" t="s">
        <v>58195</v>
      </c>
      <c r="W10506" t="s">
        <v>46351</v>
      </c>
      <c r="X10506" t="s">
        <v>47315</v>
      </c>
    </row>
    <row r="10507" spans="1:24">
      <c r="A10507">
        <f>HYPERLINK("https://www.philgeps.gov.ph/GEPSNONPILOT/Tender/SplashBidNoticeAbstractUI.aspx?menuIndex=3&amp;refID=7181023&amp;Result=3","7181023")</f>
        <v>0</v>
      </c>
      <c r="B10507" t="s">
        <v>243</v>
      </c>
      <c r="C10507" t="s">
        <v>13768</v>
      </c>
      <c r="D10507" t="s">
        <v>19027</v>
      </c>
      <c r="E10507" t="s">
        <v>28068</v>
      </c>
      <c r="F10507" t="s">
        <v>32606</v>
      </c>
      <c r="G10507" t="s">
        <v>32619</v>
      </c>
      <c r="H10507" t="s">
        <v>14201</v>
      </c>
      <c r="I10507" t="s">
        <v>6931</v>
      </c>
      <c r="J10507" t="s">
        <v>39296</v>
      </c>
      <c r="K10507" t="s">
        <v>42624</v>
      </c>
      <c r="M10507" t="s">
        <v>44391</v>
      </c>
      <c r="N10507" t="s">
        <v>47304</v>
      </c>
      <c r="O10507" t="s">
        <v>47305</v>
      </c>
      <c r="P10507">
        <v>0</v>
      </c>
      <c r="Q10507">
        <v>0</v>
      </c>
      <c r="R10507" t="s">
        <v>47314</v>
      </c>
      <c r="S10507" t="s">
        <v>47596</v>
      </c>
      <c r="T10507" t="s">
        <v>49268</v>
      </c>
      <c r="U10507" t="s">
        <v>58196</v>
      </c>
      <c r="W10507" t="s">
        <v>64471</v>
      </c>
      <c r="X10507" t="s">
        <v>47315</v>
      </c>
    </row>
    <row r="10508" spans="1:24">
      <c r="A10508">
        <f>HYPERLINK("https://www.philgeps.gov.ph/GEPSNONPILOT/Tender/SplashBidNoticeAbstractUI.aspx?menuIndex=3&amp;refID=7180997&amp;Result=3","7180997")</f>
        <v>0</v>
      </c>
      <c r="B10508" t="s">
        <v>3119</v>
      </c>
      <c r="C10508" t="s">
        <v>13769</v>
      </c>
      <c r="D10508" t="s">
        <v>19006</v>
      </c>
      <c r="E10508" t="s">
        <v>28069</v>
      </c>
      <c r="F10508" t="s">
        <v>32606</v>
      </c>
      <c r="G10508" t="s">
        <v>32613</v>
      </c>
      <c r="H10508" t="s">
        <v>32623</v>
      </c>
      <c r="I10508" t="s">
        <v>17648</v>
      </c>
      <c r="J10508" t="s">
        <v>39297</v>
      </c>
      <c r="K10508" t="s">
        <v>42636</v>
      </c>
      <c r="M10508" t="s">
        <v>46329</v>
      </c>
      <c r="N10508" t="s">
        <v>47304</v>
      </c>
      <c r="O10508" t="s">
        <v>47305</v>
      </c>
      <c r="P10508">
        <v>0</v>
      </c>
      <c r="Q10508">
        <v>0</v>
      </c>
      <c r="R10508" t="s">
        <v>47314</v>
      </c>
      <c r="S10508" t="s">
        <v>47596</v>
      </c>
      <c r="T10508" t="s">
        <v>48973</v>
      </c>
      <c r="U10508" t="s">
        <v>58183</v>
      </c>
      <c r="V10508" t="s">
        <v>63747</v>
      </c>
      <c r="W10508" t="s">
        <v>46329</v>
      </c>
      <c r="X10508" t="s">
        <v>47315</v>
      </c>
    </row>
    <row r="10509" spans="1:24">
      <c r="A10509">
        <f>HYPERLINK("https://www.philgeps.gov.ph/GEPSNONPILOT/Tender/SplashBidNoticeAbstractUI.aspx?menuIndex=3&amp;refID=7181063&amp;Result=3","7181063")</f>
        <v>0</v>
      </c>
      <c r="B10509" t="s">
        <v>362</v>
      </c>
      <c r="C10509" t="s">
        <v>13770</v>
      </c>
      <c r="D10509" t="s">
        <v>19023</v>
      </c>
      <c r="E10509" t="s">
        <v>28070</v>
      </c>
      <c r="F10509" t="s">
        <v>32606</v>
      </c>
      <c r="G10509" t="s">
        <v>32613</v>
      </c>
      <c r="H10509" t="s">
        <v>32623</v>
      </c>
      <c r="I10509" t="s">
        <v>17648</v>
      </c>
      <c r="J10509" t="s">
        <v>32830</v>
      </c>
      <c r="K10509" t="s">
        <v>42648</v>
      </c>
      <c r="M10509" t="s">
        <v>43264</v>
      </c>
      <c r="N10509" t="s">
        <v>47304</v>
      </c>
      <c r="O10509" t="s">
        <v>47305</v>
      </c>
      <c r="P10509">
        <v>0</v>
      </c>
      <c r="Q10509">
        <v>0</v>
      </c>
      <c r="R10509" t="s">
        <v>47314</v>
      </c>
      <c r="S10509" t="s">
        <v>47596</v>
      </c>
      <c r="T10509" t="s">
        <v>49057</v>
      </c>
      <c r="U10509" t="s">
        <v>58197</v>
      </c>
      <c r="W10509" t="s">
        <v>43264</v>
      </c>
      <c r="X10509" t="s">
        <v>47315</v>
      </c>
    </row>
    <row r="10510" spans="1:24">
      <c r="A10510">
        <f>HYPERLINK("https://www.philgeps.gov.ph/GEPSNONPILOT/Tender/SplashBidNoticeAbstractUI.aspx?menuIndex=3&amp;refID=7181102&amp;Result=3","7181102")</f>
        <v>0</v>
      </c>
      <c r="B10510" t="s">
        <v>2054</v>
      </c>
      <c r="C10510" t="s">
        <v>13771</v>
      </c>
      <c r="D10510" t="s">
        <v>19008</v>
      </c>
      <c r="E10510" t="s">
        <v>28071</v>
      </c>
      <c r="F10510" t="s">
        <v>32606</v>
      </c>
      <c r="G10510" t="s">
        <v>32613</v>
      </c>
      <c r="H10510" t="s">
        <v>32623</v>
      </c>
      <c r="I10510" t="s">
        <v>17648</v>
      </c>
      <c r="J10510" t="s">
        <v>39298</v>
      </c>
      <c r="K10510" t="s">
        <v>42624</v>
      </c>
      <c r="M10510" t="s">
        <v>45133</v>
      </c>
      <c r="N10510" t="s">
        <v>47304</v>
      </c>
      <c r="O10510" t="s">
        <v>47305</v>
      </c>
      <c r="P10510">
        <v>0</v>
      </c>
      <c r="Q10510">
        <v>2</v>
      </c>
      <c r="R10510" t="s">
        <v>47314</v>
      </c>
      <c r="S10510" t="s">
        <v>47596</v>
      </c>
      <c r="T10510" t="s">
        <v>49066</v>
      </c>
      <c r="U10510" t="s">
        <v>58198</v>
      </c>
      <c r="W10510" t="s">
        <v>45133</v>
      </c>
      <c r="X10510" t="s">
        <v>47315</v>
      </c>
    </row>
    <row r="10511" spans="1:24">
      <c r="A10511">
        <f>HYPERLINK("https://www.philgeps.gov.ph/GEPSNONPILOT/Tender/SplashBidNoticeAbstractUI.aspx?menuIndex=3&amp;refID=7181097&amp;Result=3","7181097")</f>
        <v>0</v>
      </c>
      <c r="B10511" t="s">
        <v>362</v>
      </c>
      <c r="C10511" t="s">
        <v>13772</v>
      </c>
      <c r="D10511" t="s">
        <v>19023</v>
      </c>
      <c r="E10511" t="s">
        <v>28072</v>
      </c>
      <c r="F10511" t="s">
        <v>32606</v>
      </c>
      <c r="G10511" t="s">
        <v>32613</v>
      </c>
      <c r="H10511" t="s">
        <v>32623</v>
      </c>
      <c r="I10511" t="s">
        <v>17648</v>
      </c>
      <c r="J10511" t="s">
        <v>34465</v>
      </c>
      <c r="K10511" t="s">
        <v>42636</v>
      </c>
      <c r="M10511" t="s">
        <v>43264</v>
      </c>
      <c r="N10511" t="s">
        <v>47304</v>
      </c>
      <c r="O10511" t="s">
        <v>47305</v>
      </c>
      <c r="P10511">
        <v>0</v>
      </c>
      <c r="Q10511">
        <v>4</v>
      </c>
      <c r="R10511" t="s">
        <v>47314</v>
      </c>
      <c r="S10511" t="s">
        <v>47596</v>
      </c>
      <c r="T10511" t="s">
        <v>49057</v>
      </c>
      <c r="U10511" t="s">
        <v>58199</v>
      </c>
      <c r="W10511" t="s">
        <v>43264</v>
      </c>
      <c r="X10511" t="s">
        <v>47315</v>
      </c>
    </row>
    <row r="10512" spans="1:24">
      <c r="A10512">
        <f>HYPERLINK("https://www.philgeps.gov.ph/GEPSNONPILOT/Tender/SplashBidNoticeAbstractUI.aspx?menuIndex=3&amp;refID=7181092&amp;Result=3","7181092")</f>
        <v>0</v>
      </c>
      <c r="B10512" t="s">
        <v>3134</v>
      </c>
      <c r="C10512" t="s">
        <v>13773</v>
      </c>
      <c r="E10512" t="s">
        <v>28073</v>
      </c>
      <c r="F10512" t="s">
        <v>32606</v>
      </c>
      <c r="G10512" t="s">
        <v>32613</v>
      </c>
      <c r="H10512" t="s">
        <v>14201</v>
      </c>
      <c r="I10512" t="s">
        <v>6298</v>
      </c>
      <c r="J10512" t="s">
        <v>32770</v>
      </c>
      <c r="K10512" t="s">
        <v>42624</v>
      </c>
      <c r="M10512" t="s">
        <v>46346</v>
      </c>
      <c r="N10512" t="s">
        <v>47304</v>
      </c>
      <c r="O10512" t="s">
        <v>47305</v>
      </c>
      <c r="P10512">
        <v>0</v>
      </c>
      <c r="Q10512">
        <v>1</v>
      </c>
      <c r="R10512" t="s">
        <v>47314</v>
      </c>
      <c r="S10512" t="s">
        <v>47596</v>
      </c>
      <c r="T10512" t="s">
        <v>49023</v>
      </c>
      <c r="U10512" t="s">
        <v>58200</v>
      </c>
      <c r="W10512" t="s">
        <v>46346</v>
      </c>
      <c r="X10512" t="s">
        <v>47315</v>
      </c>
    </row>
    <row r="10513" spans="1:24">
      <c r="A10513">
        <f>HYPERLINK("https://www.philgeps.gov.ph/GEPSNONPILOT/Tender/SplashBidNoticeAbstractUI.aspx?menuIndex=3&amp;refID=7180958&amp;Result=3","7180958")</f>
        <v>0</v>
      </c>
      <c r="B10513" t="s">
        <v>496</v>
      </c>
      <c r="C10513" t="s">
        <v>13774</v>
      </c>
      <c r="E10513" t="s">
        <v>28074</v>
      </c>
      <c r="F10513" t="s">
        <v>32606</v>
      </c>
      <c r="G10513" t="s">
        <v>32614</v>
      </c>
      <c r="H10513" t="s">
        <v>14201</v>
      </c>
      <c r="I10513" t="s">
        <v>32691</v>
      </c>
      <c r="J10513" t="s">
        <v>33341</v>
      </c>
      <c r="K10513" t="s">
        <v>42631</v>
      </c>
      <c r="M10513" t="s">
        <v>45233</v>
      </c>
      <c r="N10513" t="s">
        <v>47304</v>
      </c>
      <c r="O10513" t="s">
        <v>47305</v>
      </c>
      <c r="Q10513">
        <v>2</v>
      </c>
      <c r="R10513" t="s">
        <v>47314</v>
      </c>
      <c r="S10513" t="s">
        <v>47621</v>
      </c>
      <c r="T10513" t="s">
        <v>49047</v>
      </c>
      <c r="U10513" t="s">
        <v>58201</v>
      </c>
      <c r="W10513" t="s">
        <v>64494</v>
      </c>
      <c r="X10513" t="s">
        <v>47315</v>
      </c>
    </row>
    <row r="10514" spans="1:24">
      <c r="A10514">
        <f>HYPERLINK("https://www.philgeps.gov.ph/GEPSNONPILOT/Tender/SplashBidNoticeAbstractUI.aspx?menuIndex=3&amp;refID=7181100&amp;Result=3","7181100")</f>
        <v>0</v>
      </c>
      <c r="B10514" t="s">
        <v>3139</v>
      </c>
      <c r="C10514" t="s">
        <v>13775</v>
      </c>
      <c r="D10514" t="s">
        <v>19010</v>
      </c>
      <c r="E10514" t="s">
        <v>28075</v>
      </c>
      <c r="F10514" t="s">
        <v>32606</v>
      </c>
      <c r="G10514" t="s">
        <v>32613</v>
      </c>
      <c r="H10514" t="s">
        <v>14201</v>
      </c>
      <c r="I10514" t="s">
        <v>6931</v>
      </c>
      <c r="J10514" t="s">
        <v>39299</v>
      </c>
      <c r="K10514" t="s">
        <v>42630</v>
      </c>
      <c r="M10514" t="s">
        <v>46352</v>
      </c>
      <c r="N10514" t="s">
        <v>47304</v>
      </c>
      <c r="O10514" t="s">
        <v>47305</v>
      </c>
      <c r="P10514">
        <v>0</v>
      </c>
      <c r="Q10514">
        <v>0</v>
      </c>
      <c r="R10514" t="s">
        <v>47314</v>
      </c>
      <c r="S10514" t="s">
        <v>47596</v>
      </c>
      <c r="T10514" t="s">
        <v>48992</v>
      </c>
      <c r="U10514" t="s">
        <v>58202</v>
      </c>
      <c r="V10514" t="s">
        <v>63760</v>
      </c>
      <c r="W10514" t="s">
        <v>46352</v>
      </c>
      <c r="X10514" t="s">
        <v>47315</v>
      </c>
    </row>
    <row r="10515" spans="1:24">
      <c r="A10515">
        <f>HYPERLINK("https://www.philgeps.gov.ph/GEPSNONPILOT/Tender/SplashBidNoticeAbstractUI.aspx?menuIndex=3&amp;refID=7181064&amp;Result=3","7181064")</f>
        <v>0</v>
      </c>
      <c r="B10515" t="s">
        <v>496</v>
      </c>
      <c r="C10515" t="s">
        <v>13776</v>
      </c>
      <c r="E10515" t="s">
        <v>28076</v>
      </c>
      <c r="F10515" t="s">
        <v>32606</v>
      </c>
      <c r="G10515" t="s">
        <v>32614</v>
      </c>
      <c r="H10515" t="s">
        <v>14201</v>
      </c>
      <c r="I10515" t="s">
        <v>32638</v>
      </c>
      <c r="J10515" t="s">
        <v>39300</v>
      </c>
      <c r="K10515" t="s">
        <v>42631</v>
      </c>
      <c r="M10515" t="s">
        <v>45233</v>
      </c>
      <c r="N10515" t="s">
        <v>47304</v>
      </c>
      <c r="O10515" t="s">
        <v>47305</v>
      </c>
      <c r="Q10515">
        <v>2</v>
      </c>
      <c r="R10515" t="s">
        <v>47314</v>
      </c>
      <c r="S10515" t="s">
        <v>47622</v>
      </c>
      <c r="T10515" t="s">
        <v>49047</v>
      </c>
      <c r="U10515" t="s">
        <v>58203</v>
      </c>
      <c r="W10515" t="s">
        <v>64494</v>
      </c>
      <c r="X10515" t="s">
        <v>47315</v>
      </c>
    </row>
    <row r="10516" spans="1:24">
      <c r="A10516">
        <f>HYPERLINK("https://www.philgeps.gov.ph/GEPSNONPILOT/Tender/SplashBidNoticeAbstractUI.aspx?menuIndex=3&amp;refID=7180856&amp;Result=3","7180856")</f>
        <v>0</v>
      </c>
      <c r="B10516" t="s">
        <v>3127</v>
      </c>
      <c r="C10516" t="s">
        <v>13777</v>
      </c>
      <c r="D10516" t="s">
        <v>19046</v>
      </c>
      <c r="E10516" t="s">
        <v>28077</v>
      </c>
      <c r="F10516" t="s">
        <v>32606</v>
      </c>
      <c r="G10516" t="s">
        <v>32613</v>
      </c>
      <c r="H10516" t="s">
        <v>14201</v>
      </c>
      <c r="I10516" t="s">
        <v>4114</v>
      </c>
      <c r="J10516" t="s">
        <v>39301</v>
      </c>
      <c r="K10516" t="s">
        <v>42666</v>
      </c>
      <c r="L10516" t="s">
        <v>3127</v>
      </c>
      <c r="M10516" t="s">
        <v>46338</v>
      </c>
      <c r="N10516" t="s">
        <v>47304</v>
      </c>
      <c r="O10516" t="s">
        <v>47305</v>
      </c>
      <c r="P10516">
        <v>0</v>
      </c>
      <c r="Q10516">
        <v>0</v>
      </c>
      <c r="R10516" t="s">
        <v>47314</v>
      </c>
      <c r="S10516" t="s">
        <v>47596</v>
      </c>
      <c r="T10516" t="s">
        <v>49234</v>
      </c>
      <c r="U10516" t="s">
        <v>58204</v>
      </c>
      <c r="V10516" t="s">
        <v>63757</v>
      </c>
      <c r="W10516" t="s">
        <v>46338</v>
      </c>
      <c r="X10516" t="s">
        <v>47315</v>
      </c>
    </row>
    <row r="10517" spans="1:24">
      <c r="A10517">
        <f>HYPERLINK("https://www.philgeps.gov.ph/GEPSNONPILOT/Tender/SplashBidNoticeAbstractUI.aspx?menuIndex=3&amp;refID=7181056&amp;Result=3","7181056")</f>
        <v>0</v>
      </c>
      <c r="B10517" t="s">
        <v>1018</v>
      </c>
      <c r="C10517" t="s">
        <v>13778</v>
      </c>
      <c r="D10517" t="s">
        <v>19019</v>
      </c>
      <c r="E10517" t="s">
        <v>28078</v>
      </c>
      <c r="F10517" t="s">
        <v>32606</v>
      </c>
      <c r="G10517" t="s">
        <v>32613</v>
      </c>
      <c r="H10517" t="s">
        <v>14201</v>
      </c>
      <c r="I10517" t="s">
        <v>6478</v>
      </c>
      <c r="J10517" t="s">
        <v>39302</v>
      </c>
      <c r="K10517" t="s">
        <v>42631</v>
      </c>
      <c r="M10517" t="s">
        <v>43968</v>
      </c>
      <c r="N10517" t="s">
        <v>47304</v>
      </c>
      <c r="O10517" t="s">
        <v>47305</v>
      </c>
      <c r="P10517">
        <v>0</v>
      </c>
      <c r="Q10517">
        <v>2</v>
      </c>
      <c r="R10517" t="s">
        <v>47314</v>
      </c>
      <c r="S10517" t="s">
        <v>47596</v>
      </c>
      <c r="T10517" t="s">
        <v>49052</v>
      </c>
      <c r="U10517" t="s">
        <v>58205</v>
      </c>
      <c r="W10517" t="s">
        <v>43968</v>
      </c>
      <c r="X10517" t="s">
        <v>47315</v>
      </c>
    </row>
    <row r="10518" spans="1:24">
      <c r="A10518">
        <f>HYPERLINK("https://www.philgeps.gov.ph/GEPSNONPILOT/Tender/SplashBidNoticeAbstractUI.aspx?menuIndex=3&amp;refID=7180852&amp;Result=3","7180852")</f>
        <v>0</v>
      </c>
      <c r="B10518" t="s">
        <v>3127</v>
      </c>
      <c r="C10518" t="s">
        <v>13779</v>
      </c>
      <c r="D10518" t="s">
        <v>19046</v>
      </c>
      <c r="E10518" t="s">
        <v>28079</v>
      </c>
      <c r="F10518" t="s">
        <v>32606</v>
      </c>
      <c r="G10518" t="s">
        <v>32613</v>
      </c>
      <c r="H10518" t="s">
        <v>14201</v>
      </c>
      <c r="I10518" t="s">
        <v>32650</v>
      </c>
      <c r="J10518" t="s">
        <v>39303</v>
      </c>
      <c r="K10518" t="s">
        <v>42666</v>
      </c>
      <c r="L10518" t="s">
        <v>3127</v>
      </c>
      <c r="M10518" t="s">
        <v>46338</v>
      </c>
      <c r="N10518" t="s">
        <v>47304</v>
      </c>
      <c r="O10518" t="s">
        <v>47305</v>
      </c>
      <c r="P10518">
        <v>0</v>
      </c>
      <c r="Q10518">
        <v>1</v>
      </c>
      <c r="R10518" t="s">
        <v>47314</v>
      </c>
      <c r="S10518" t="s">
        <v>47596</v>
      </c>
      <c r="T10518" t="s">
        <v>49234</v>
      </c>
      <c r="U10518" t="s">
        <v>58206</v>
      </c>
      <c r="V10518" t="s">
        <v>63757</v>
      </c>
      <c r="W10518" t="s">
        <v>46338</v>
      </c>
      <c r="X10518" t="s">
        <v>47315</v>
      </c>
    </row>
    <row r="10519" spans="1:24">
      <c r="A10519">
        <f>HYPERLINK("https://www.philgeps.gov.ph/GEPSNONPILOT/Tender/SplashBidNoticeAbstractUI.aspx?menuIndex=3&amp;refID=7181053&amp;Result=3","7181053")</f>
        <v>0</v>
      </c>
      <c r="B10519" t="s">
        <v>3134</v>
      </c>
      <c r="C10519" t="s">
        <v>13780</v>
      </c>
      <c r="E10519" t="s">
        <v>28080</v>
      </c>
      <c r="F10519" t="s">
        <v>32606</v>
      </c>
      <c r="G10519" t="s">
        <v>32613</v>
      </c>
      <c r="H10519" t="s">
        <v>14201</v>
      </c>
      <c r="I10519" t="s">
        <v>6298</v>
      </c>
      <c r="J10519" t="s">
        <v>32778</v>
      </c>
      <c r="K10519" t="s">
        <v>42624</v>
      </c>
      <c r="M10519" t="s">
        <v>46346</v>
      </c>
      <c r="N10519" t="s">
        <v>47304</v>
      </c>
      <c r="O10519" t="s">
        <v>47305</v>
      </c>
      <c r="P10519">
        <v>0</v>
      </c>
      <c r="Q10519">
        <v>1</v>
      </c>
      <c r="R10519" t="s">
        <v>47314</v>
      </c>
      <c r="S10519" t="s">
        <v>47596</v>
      </c>
      <c r="T10519" t="s">
        <v>49023</v>
      </c>
      <c r="U10519" t="s">
        <v>58207</v>
      </c>
      <c r="W10519" t="s">
        <v>46346</v>
      </c>
      <c r="X10519" t="s">
        <v>47315</v>
      </c>
    </row>
    <row r="10520" spans="1:24">
      <c r="A10520">
        <f>HYPERLINK("https://www.philgeps.gov.ph/GEPSNONPILOT/Tender/SplashBidNoticeAbstractUI.aspx?menuIndex=3&amp;refID=7181073&amp;Result=3","7181073")</f>
        <v>0</v>
      </c>
      <c r="B10520" t="s">
        <v>703</v>
      </c>
      <c r="C10520" t="s">
        <v>13781</v>
      </c>
      <c r="D10520" t="s">
        <v>18992</v>
      </c>
      <c r="E10520" t="s">
        <v>28081</v>
      </c>
      <c r="F10520" t="s">
        <v>32606</v>
      </c>
      <c r="G10520" t="s">
        <v>32613</v>
      </c>
      <c r="H10520" t="s">
        <v>14201</v>
      </c>
      <c r="I10520" t="s">
        <v>32681</v>
      </c>
      <c r="J10520" t="s">
        <v>39304</v>
      </c>
      <c r="K10520" t="s">
        <v>42694</v>
      </c>
      <c r="M10520" t="s">
        <v>43624</v>
      </c>
      <c r="N10520" t="s">
        <v>47304</v>
      </c>
      <c r="O10520" t="s">
        <v>47305</v>
      </c>
      <c r="P10520">
        <v>0</v>
      </c>
      <c r="Q10520">
        <v>1</v>
      </c>
      <c r="R10520" t="s">
        <v>47314</v>
      </c>
      <c r="S10520" t="s">
        <v>47596</v>
      </c>
      <c r="T10520" t="s">
        <v>49077</v>
      </c>
      <c r="U10520" t="s">
        <v>58208</v>
      </c>
      <c r="V10520" t="s">
        <v>63761</v>
      </c>
      <c r="W10520" t="s">
        <v>43624</v>
      </c>
      <c r="X10520" t="s">
        <v>47315</v>
      </c>
    </row>
    <row r="10521" spans="1:24">
      <c r="A10521">
        <f>HYPERLINK("https://www.philgeps.gov.ph/GEPSNONPILOT/Tender/SplashBidNoticeAbstractUI.aspx?menuIndex=3&amp;refID=7181052&amp;Result=3","7181052")</f>
        <v>0</v>
      </c>
      <c r="B10521" t="s">
        <v>3140</v>
      </c>
      <c r="C10521" t="s">
        <v>7900</v>
      </c>
      <c r="D10521" t="s">
        <v>19025</v>
      </c>
      <c r="E10521" t="s">
        <v>28082</v>
      </c>
      <c r="F10521" t="s">
        <v>32606</v>
      </c>
      <c r="G10521" t="s">
        <v>32613</v>
      </c>
      <c r="H10521" t="s">
        <v>14201</v>
      </c>
      <c r="I10521" t="s">
        <v>4120</v>
      </c>
      <c r="J10521" t="s">
        <v>39305</v>
      </c>
      <c r="K10521" t="s">
        <v>42630</v>
      </c>
      <c r="M10521" t="s">
        <v>46353</v>
      </c>
      <c r="N10521" t="s">
        <v>47304</v>
      </c>
      <c r="O10521" t="s">
        <v>47305</v>
      </c>
      <c r="P10521">
        <v>0</v>
      </c>
      <c r="Q10521">
        <v>3</v>
      </c>
      <c r="R10521" t="s">
        <v>47314</v>
      </c>
      <c r="S10521" t="s">
        <v>47596</v>
      </c>
      <c r="T10521" t="s">
        <v>49257</v>
      </c>
      <c r="U10521" t="s">
        <v>58209</v>
      </c>
      <c r="W10521" t="s">
        <v>46353</v>
      </c>
      <c r="X10521" t="s">
        <v>47315</v>
      </c>
    </row>
    <row r="10522" spans="1:24">
      <c r="A10522">
        <f>HYPERLINK("https://www.philgeps.gov.ph/GEPSNONPILOT/Tender/SplashBidNoticeAbstractUI.aspx?menuIndex=3&amp;refID=7181041&amp;Result=3","7181041")</f>
        <v>0</v>
      </c>
      <c r="B10522" t="s">
        <v>362</v>
      </c>
      <c r="C10522" t="s">
        <v>13782</v>
      </c>
      <c r="D10522" t="s">
        <v>19023</v>
      </c>
      <c r="E10522" t="s">
        <v>28083</v>
      </c>
      <c r="F10522" t="s">
        <v>32606</v>
      </c>
      <c r="G10522" t="s">
        <v>32613</v>
      </c>
      <c r="H10522" t="s">
        <v>32623</v>
      </c>
      <c r="I10522" t="s">
        <v>17648</v>
      </c>
      <c r="J10522" t="s">
        <v>33757</v>
      </c>
      <c r="K10522" t="s">
        <v>42646</v>
      </c>
      <c r="M10522" t="s">
        <v>43264</v>
      </c>
      <c r="N10522" t="s">
        <v>47304</v>
      </c>
      <c r="O10522" t="s">
        <v>47305</v>
      </c>
      <c r="P10522">
        <v>0</v>
      </c>
      <c r="Q10522">
        <v>2</v>
      </c>
      <c r="R10522" t="s">
        <v>47314</v>
      </c>
      <c r="S10522" t="s">
        <v>47596</v>
      </c>
      <c r="T10522" t="s">
        <v>49057</v>
      </c>
      <c r="U10522" t="s">
        <v>58210</v>
      </c>
      <c r="W10522" t="s">
        <v>43264</v>
      </c>
      <c r="X10522" t="s">
        <v>47315</v>
      </c>
    </row>
    <row r="10523" spans="1:24">
      <c r="A10523">
        <f>HYPERLINK("https://www.philgeps.gov.ph/GEPSNONPILOT/Tender/SplashBidNoticeAbstractUI.aspx?menuIndex=3&amp;refID=7181148&amp;Result=3","7181148")</f>
        <v>0</v>
      </c>
      <c r="B10523" t="s">
        <v>2572</v>
      </c>
      <c r="C10523" t="s">
        <v>13783</v>
      </c>
      <c r="E10523" t="s">
        <v>22683</v>
      </c>
      <c r="F10523" t="s">
        <v>32606</v>
      </c>
      <c r="G10523" t="s">
        <v>32613</v>
      </c>
      <c r="H10523" t="s">
        <v>32623</v>
      </c>
      <c r="I10523" t="s">
        <v>17648</v>
      </c>
      <c r="J10523" t="s">
        <v>39306</v>
      </c>
      <c r="K10523" t="s">
        <v>42697</v>
      </c>
      <c r="M10523" t="s">
        <v>45712</v>
      </c>
      <c r="N10523" t="s">
        <v>47304</v>
      </c>
      <c r="O10523" t="s">
        <v>47305</v>
      </c>
      <c r="Q10523">
        <v>12</v>
      </c>
      <c r="R10523" t="s">
        <v>47314</v>
      </c>
      <c r="S10523" t="s">
        <v>47623</v>
      </c>
      <c r="T10523" t="s">
        <v>49148</v>
      </c>
      <c r="U10523" t="s">
        <v>58211</v>
      </c>
      <c r="V10523" t="s">
        <v>63447</v>
      </c>
      <c r="W10523" t="s">
        <v>45712</v>
      </c>
      <c r="X10523" t="s">
        <v>47315</v>
      </c>
    </row>
    <row r="10524" spans="1:24">
      <c r="A10524">
        <f>HYPERLINK("https://www.philgeps.gov.ph/GEPSNONPILOT/Tender/SplashBidNoticeAbstractUI.aspx?menuIndex=3&amp;refID=7180992&amp;Result=3","7180992")</f>
        <v>0</v>
      </c>
      <c r="B10524" t="s">
        <v>466</v>
      </c>
      <c r="C10524" t="s">
        <v>13784</v>
      </c>
      <c r="D10524" t="s">
        <v>19022</v>
      </c>
      <c r="E10524" t="s">
        <v>28084</v>
      </c>
      <c r="F10524" t="s">
        <v>32606</v>
      </c>
      <c r="G10524" t="s">
        <v>32613</v>
      </c>
      <c r="H10524" t="s">
        <v>32623</v>
      </c>
      <c r="I10524" t="s">
        <v>17648</v>
      </c>
      <c r="J10524" t="s">
        <v>33071</v>
      </c>
      <c r="K10524" t="s">
        <v>42646</v>
      </c>
      <c r="M10524" t="s">
        <v>46354</v>
      </c>
      <c r="N10524" t="s">
        <v>47304</v>
      </c>
      <c r="O10524" t="s">
        <v>47305</v>
      </c>
      <c r="P10524">
        <v>0</v>
      </c>
      <c r="Q10524">
        <v>3</v>
      </c>
      <c r="R10524" t="s">
        <v>47314</v>
      </c>
      <c r="S10524" t="s">
        <v>47596</v>
      </c>
      <c r="T10524" t="s">
        <v>49390</v>
      </c>
      <c r="U10524" t="s">
        <v>58212</v>
      </c>
      <c r="V10524" t="s">
        <v>63762</v>
      </c>
      <c r="W10524" t="s">
        <v>46354</v>
      </c>
      <c r="X10524" t="s">
        <v>47315</v>
      </c>
    </row>
    <row r="10525" spans="1:24">
      <c r="A10525">
        <f>HYPERLINK("https://www.philgeps.gov.ph/GEPSNONPILOT/Tender/SplashBidNoticeAbstractUI.aspx?menuIndex=3&amp;refID=7181229&amp;Result=3","7181229")</f>
        <v>0</v>
      </c>
      <c r="B10525" t="s">
        <v>318</v>
      </c>
      <c r="C10525" t="s">
        <v>13785</v>
      </c>
      <c r="D10525" t="s">
        <v>19025</v>
      </c>
      <c r="E10525" t="s">
        <v>28085</v>
      </c>
      <c r="F10525" t="s">
        <v>32606</v>
      </c>
      <c r="G10525" t="s">
        <v>32614</v>
      </c>
      <c r="H10525" t="s">
        <v>14201</v>
      </c>
      <c r="I10525" t="s">
        <v>32652</v>
      </c>
      <c r="J10525" t="s">
        <v>32927</v>
      </c>
      <c r="K10525" t="s">
        <v>42624</v>
      </c>
      <c r="M10525" t="s">
        <v>43220</v>
      </c>
      <c r="N10525" t="s">
        <v>47304</v>
      </c>
      <c r="O10525" t="s">
        <v>47305</v>
      </c>
      <c r="P10525">
        <v>0</v>
      </c>
      <c r="Q10525">
        <v>0</v>
      </c>
      <c r="R10525" t="s">
        <v>47314</v>
      </c>
      <c r="S10525" t="s">
        <v>47596</v>
      </c>
      <c r="T10525" t="s">
        <v>49020</v>
      </c>
      <c r="U10525" t="s">
        <v>58213</v>
      </c>
      <c r="W10525" t="s">
        <v>43220</v>
      </c>
      <c r="X10525" t="s">
        <v>47315</v>
      </c>
    </row>
    <row r="10526" spans="1:24">
      <c r="A10526">
        <f>HYPERLINK("https://www.philgeps.gov.ph/GEPSNONPILOT/Tender/SplashBidNoticeAbstractUI.aspx?menuIndex=3&amp;refID=7181202&amp;Result=3","7181202")</f>
        <v>0</v>
      </c>
      <c r="B10526" t="s">
        <v>487</v>
      </c>
      <c r="C10526" t="s">
        <v>13786</v>
      </c>
      <c r="D10526" t="s">
        <v>19027</v>
      </c>
      <c r="E10526" t="s">
        <v>28086</v>
      </c>
      <c r="F10526" t="s">
        <v>32606</v>
      </c>
      <c r="G10526" t="s">
        <v>32614</v>
      </c>
      <c r="H10526" t="s">
        <v>14201</v>
      </c>
      <c r="I10526" t="s">
        <v>7677</v>
      </c>
      <c r="J10526" t="s">
        <v>39307</v>
      </c>
      <c r="K10526" t="s">
        <v>42623</v>
      </c>
      <c r="M10526" t="s">
        <v>43399</v>
      </c>
      <c r="N10526" t="s">
        <v>47304</v>
      </c>
      <c r="O10526" t="s">
        <v>47305</v>
      </c>
      <c r="P10526">
        <v>0</v>
      </c>
      <c r="Q10526">
        <v>1</v>
      </c>
      <c r="R10526" t="s">
        <v>47314</v>
      </c>
      <c r="S10526" t="s">
        <v>47596</v>
      </c>
      <c r="T10526" t="s">
        <v>49020</v>
      </c>
      <c r="U10526" t="s">
        <v>58214</v>
      </c>
      <c r="W10526" t="s">
        <v>43399</v>
      </c>
      <c r="X10526" t="s">
        <v>47315</v>
      </c>
    </row>
    <row r="10527" spans="1:24">
      <c r="A10527">
        <f>HYPERLINK("https://www.philgeps.gov.ph/GEPSNONPILOT/Tender/SplashBidNoticeAbstractUI.aspx?menuIndex=3&amp;refID=7181200&amp;Result=3","7181200")</f>
        <v>0</v>
      </c>
      <c r="B10527" t="s">
        <v>3141</v>
      </c>
      <c r="C10527" t="s">
        <v>13787</v>
      </c>
      <c r="D10527" t="s">
        <v>18993</v>
      </c>
      <c r="E10527" t="s">
        <v>28087</v>
      </c>
      <c r="F10527" t="s">
        <v>32606</v>
      </c>
      <c r="G10527" t="s">
        <v>32613</v>
      </c>
      <c r="H10527" t="s">
        <v>14201</v>
      </c>
      <c r="I10527" t="s">
        <v>13131</v>
      </c>
      <c r="J10527" t="s">
        <v>32926</v>
      </c>
      <c r="K10527" t="s">
        <v>42631</v>
      </c>
      <c r="M10527" t="s">
        <v>46355</v>
      </c>
      <c r="N10527" t="s">
        <v>47304</v>
      </c>
      <c r="O10527" t="s">
        <v>47305</v>
      </c>
      <c r="P10527">
        <v>0</v>
      </c>
      <c r="Q10527">
        <v>10</v>
      </c>
      <c r="R10527" t="s">
        <v>47314</v>
      </c>
      <c r="S10527" t="s">
        <v>47596</v>
      </c>
      <c r="T10527" t="s">
        <v>49196</v>
      </c>
      <c r="U10527" t="s">
        <v>58215</v>
      </c>
      <c r="W10527" t="s">
        <v>46355</v>
      </c>
      <c r="X10527" t="s">
        <v>47315</v>
      </c>
    </row>
    <row r="10528" spans="1:24">
      <c r="A10528">
        <f>HYPERLINK("https://www.philgeps.gov.ph/GEPSNONPILOT/Tender/SplashBidNoticeAbstractUI.aspx?menuIndex=3&amp;refID=7181180&amp;Result=3","7181180")</f>
        <v>0</v>
      </c>
      <c r="B10528" t="s">
        <v>497</v>
      </c>
      <c r="C10528" t="s">
        <v>13788</v>
      </c>
      <c r="D10528" t="s">
        <v>18991</v>
      </c>
      <c r="E10528" t="s">
        <v>28088</v>
      </c>
      <c r="F10528" t="s">
        <v>32606</v>
      </c>
      <c r="G10528" t="s">
        <v>32613</v>
      </c>
      <c r="H10528" t="s">
        <v>14201</v>
      </c>
      <c r="I10528" t="s">
        <v>32662</v>
      </c>
      <c r="J10528" t="s">
        <v>39308</v>
      </c>
      <c r="K10528" t="s">
        <v>42624</v>
      </c>
      <c r="M10528" t="s">
        <v>46356</v>
      </c>
      <c r="N10528" t="s">
        <v>47304</v>
      </c>
      <c r="O10528" t="s">
        <v>47305</v>
      </c>
      <c r="P10528">
        <v>0</v>
      </c>
      <c r="Q10528">
        <v>16</v>
      </c>
      <c r="R10528" t="s">
        <v>47314</v>
      </c>
      <c r="S10528" t="s">
        <v>47596</v>
      </c>
      <c r="T10528" t="s">
        <v>49030</v>
      </c>
      <c r="U10528" t="s">
        <v>58216</v>
      </c>
      <c r="W10528" t="s">
        <v>46356</v>
      </c>
      <c r="X10528" t="s">
        <v>47315</v>
      </c>
    </row>
    <row r="10529" spans="1:24">
      <c r="A10529">
        <f>HYPERLINK("https://www.philgeps.gov.ph/GEPSNONPILOT/Tender/SplashBidNoticeAbstractUI.aspx?menuIndex=3&amp;refID=7181044&amp;Result=3","7181044")</f>
        <v>0</v>
      </c>
      <c r="B10529" t="s">
        <v>3142</v>
      </c>
      <c r="C10529" t="s">
        <v>13789</v>
      </c>
      <c r="D10529" t="s">
        <v>19003</v>
      </c>
      <c r="E10529" t="s">
        <v>26266</v>
      </c>
      <c r="F10529" t="s">
        <v>32606</v>
      </c>
      <c r="G10529" t="s">
        <v>32613</v>
      </c>
      <c r="H10529" t="s">
        <v>14201</v>
      </c>
      <c r="I10529" t="s">
        <v>32629</v>
      </c>
      <c r="J10529" t="s">
        <v>39309</v>
      </c>
      <c r="K10529" t="s">
        <v>42622</v>
      </c>
      <c r="M10529" t="s">
        <v>46357</v>
      </c>
      <c r="N10529" t="s">
        <v>47304</v>
      </c>
      <c r="O10529" t="s">
        <v>47305</v>
      </c>
      <c r="Q10529">
        <v>1</v>
      </c>
      <c r="R10529" t="s">
        <v>47314</v>
      </c>
      <c r="S10529" t="s">
        <v>47624</v>
      </c>
      <c r="T10529" t="s">
        <v>49086</v>
      </c>
      <c r="U10529" t="s">
        <v>58217</v>
      </c>
      <c r="V10529" t="s">
        <v>63763</v>
      </c>
      <c r="W10529" t="s">
        <v>46357</v>
      </c>
      <c r="X10529" t="s">
        <v>47315</v>
      </c>
    </row>
    <row r="10530" spans="1:24">
      <c r="A10530">
        <f>HYPERLINK("https://www.philgeps.gov.ph/GEPSNONPILOT/Tender/SplashBidNoticeAbstractUI.aspx?menuIndex=3&amp;refID=7181158&amp;Result=3","7181158")</f>
        <v>0</v>
      </c>
      <c r="B10530" t="s">
        <v>652</v>
      </c>
      <c r="C10530" t="s">
        <v>13790</v>
      </c>
      <c r="D10530" t="s">
        <v>18993</v>
      </c>
      <c r="E10530" t="s">
        <v>28089</v>
      </c>
      <c r="F10530" t="s">
        <v>32606</v>
      </c>
      <c r="G10530" t="s">
        <v>32613</v>
      </c>
      <c r="H10530" t="s">
        <v>14201</v>
      </c>
      <c r="I10530" t="s">
        <v>32640</v>
      </c>
      <c r="J10530" t="s">
        <v>39310</v>
      </c>
      <c r="K10530" t="s">
        <v>42624</v>
      </c>
      <c r="M10530" t="s">
        <v>46358</v>
      </c>
      <c r="N10530" t="s">
        <v>47304</v>
      </c>
      <c r="O10530" t="s">
        <v>47305</v>
      </c>
      <c r="P10530">
        <v>0</v>
      </c>
      <c r="Q10530">
        <v>16</v>
      </c>
      <c r="R10530" t="s">
        <v>47314</v>
      </c>
      <c r="S10530" t="s">
        <v>47596</v>
      </c>
      <c r="T10530" t="s">
        <v>49099</v>
      </c>
      <c r="U10530" t="s">
        <v>58218</v>
      </c>
      <c r="V10530" t="s">
        <v>63764</v>
      </c>
      <c r="W10530" t="s">
        <v>46358</v>
      </c>
      <c r="X10530" t="s">
        <v>47315</v>
      </c>
    </row>
    <row r="10531" spans="1:24">
      <c r="A10531">
        <f>HYPERLINK("https://www.philgeps.gov.ph/GEPSNONPILOT/Tender/SplashBidNoticeAbstractUI.aspx?menuIndex=3&amp;refID=7181068&amp;Result=3","7181068")</f>
        <v>0</v>
      </c>
      <c r="B10531" t="s">
        <v>1658</v>
      </c>
      <c r="C10531" t="s">
        <v>13791</v>
      </c>
      <c r="D10531" t="s">
        <v>19023</v>
      </c>
      <c r="E10531" t="s">
        <v>28090</v>
      </c>
      <c r="F10531" t="s">
        <v>32607</v>
      </c>
      <c r="G10531" t="s">
        <v>32613</v>
      </c>
      <c r="H10531" t="s">
        <v>14201</v>
      </c>
      <c r="I10531" t="s">
        <v>4678</v>
      </c>
      <c r="J10531" t="s">
        <v>39311</v>
      </c>
      <c r="K10531" t="s">
        <v>42639</v>
      </c>
      <c r="M10531" t="s">
        <v>44683</v>
      </c>
      <c r="N10531" t="s">
        <v>47304</v>
      </c>
      <c r="O10531" t="s">
        <v>47305</v>
      </c>
      <c r="P10531">
        <v>0</v>
      </c>
      <c r="Q10531">
        <v>6</v>
      </c>
      <c r="R10531" t="s">
        <v>47314</v>
      </c>
      <c r="S10531" t="s">
        <v>47596</v>
      </c>
      <c r="T10531" t="s">
        <v>49036</v>
      </c>
      <c r="U10531" t="s">
        <v>58219</v>
      </c>
      <c r="W10531" t="s">
        <v>44683</v>
      </c>
      <c r="X10531" t="s">
        <v>47315</v>
      </c>
    </row>
    <row r="10532" spans="1:24">
      <c r="A10532">
        <f>HYPERLINK("https://www.philgeps.gov.ph/GEPSNONPILOT/Tender/SplashBidNoticeAbstractUI.aspx?menuIndex=3&amp;refID=7181143&amp;Result=3","7181143")</f>
        <v>0</v>
      </c>
      <c r="B10532" t="s">
        <v>3143</v>
      </c>
      <c r="C10532" t="s">
        <v>13792</v>
      </c>
      <c r="D10532" t="s">
        <v>19007</v>
      </c>
      <c r="E10532" t="s">
        <v>28091</v>
      </c>
      <c r="F10532" t="s">
        <v>32606</v>
      </c>
      <c r="G10532" t="s">
        <v>32613</v>
      </c>
      <c r="H10532" t="s">
        <v>14201</v>
      </c>
      <c r="I10532" t="s">
        <v>6931</v>
      </c>
      <c r="J10532" t="s">
        <v>39312</v>
      </c>
      <c r="K10532" t="s">
        <v>42622</v>
      </c>
      <c r="M10532" t="s">
        <v>46359</v>
      </c>
      <c r="N10532" t="s">
        <v>47304</v>
      </c>
      <c r="O10532" t="s">
        <v>47305</v>
      </c>
      <c r="P10532">
        <v>0</v>
      </c>
      <c r="Q10532">
        <v>5</v>
      </c>
      <c r="R10532" t="s">
        <v>47314</v>
      </c>
      <c r="S10532" t="s">
        <v>47596</v>
      </c>
      <c r="T10532" t="s">
        <v>49036</v>
      </c>
      <c r="U10532" t="s">
        <v>58220</v>
      </c>
      <c r="W10532" t="s">
        <v>46359</v>
      </c>
      <c r="X10532" t="s">
        <v>47315</v>
      </c>
    </row>
    <row r="10533" spans="1:24">
      <c r="A10533">
        <f>HYPERLINK("https://www.philgeps.gov.ph/GEPSNONPILOT/Tender/SplashBidNoticeAbstractUI.aspx?menuIndex=3&amp;refID=7181142&amp;Result=3","7181142")</f>
        <v>0</v>
      </c>
      <c r="B10533" t="s">
        <v>285</v>
      </c>
      <c r="C10533" t="s">
        <v>13793</v>
      </c>
      <c r="D10533" t="s">
        <v>19050</v>
      </c>
      <c r="E10533" t="s">
        <v>28092</v>
      </c>
      <c r="F10533" t="s">
        <v>32606</v>
      </c>
      <c r="G10533" t="s">
        <v>32613</v>
      </c>
      <c r="H10533" t="s">
        <v>14201</v>
      </c>
      <c r="I10533" t="s">
        <v>32718</v>
      </c>
      <c r="J10533" t="s">
        <v>39313</v>
      </c>
      <c r="K10533" t="s">
        <v>42677</v>
      </c>
      <c r="L10533" t="s">
        <v>285</v>
      </c>
      <c r="M10533" t="s">
        <v>43186</v>
      </c>
      <c r="N10533" t="s">
        <v>47304</v>
      </c>
      <c r="O10533" t="s">
        <v>47305</v>
      </c>
      <c r="P10533">
        <v>0</v>
      </c>
      <c r="Q10533">
        <v>8</v>
      </c>
      <c r="R10533" t="s">
        <v>47314</v>
      </c>
      <c r="S10533" t="s">
        <v>47596</v>
      </c>
      <c r="T10533" t="s">
        <v>49099</v>
      </c>
      <c r="U10533" t="s">
        <v>50031</v>
      </c>
      <c r="W10533" t="s">
        <v>43186</v>
      </c>
      <c r="X10533" t="s">
        <v>47315</v>
      </c>
    </row>
    <row r="10534" spans="1:24">
      <c r="A10534">
        <f>HYPERLINK("https://www.philgeps.gov.ph/GEPSNONPILOT/Tender/SplashBidNoticeAbstractUI.aspx?menuIndex=3&amp;refID=7181135&amp;Result=3","7181135")</f>
        <v>0</v>
      </c>
      <c r="B10534" t="s">
        <v>3144</v>
      </c>
      <c r="C10534" t="s">
        <v>13794</v>
      </c>
      <c r="D10534" t="s">
        <v>19051</v>
      </c>
      <c r="E10534" t="s">
        <v>28093</v>
      </c>
      <c r="F10534" t="s">
        <v>32606</v>
      </c>
      <c r="G10534" t="s">
        <v>32613</v>
      </c>
      <c r="H10534" t="s">
        <v>32623</v>
      </c>
      <c r="I10534" t="s">
        <v>17648</v>
      </c>
      <c r="J10534" t="s">
        <v>39314</v>
      </c>
      <c r="K10534" t="s">
        <v>42648</v>
      </c>
      <c r="M10534" t="s">
        <v>46360</v>
      </c>
      <c r="N10534" t="s">
        <v>47304</v>
      </c>
      <c r="O10534" t="s">
        <v>47305</v>
      </c>
      <c r="P10534">
        <v>0</v>
      </c>
      <c r="Q10534">
        <v>5</v>
      </c>
      <c r="R10534" t="s">
        <v>47314</v>
      </c>
      <c r="S10534" t="s">
        <v>47596</v>
      </c>
      <c r="T10534" t="s">
        <v>49040</v>
      </c>
      <c r="U10534" t="s">
        <v>58221</v>
      </c>
      <c r="W10534" t="s">
        <v>46360</v>
      </c>
      <c r="X10534" t="s">
        <v>47315</v>
      </c>
    </row>
    <row r="10535" spans="1:24">
      <c r="A10535">
        <f>HYPERLINK("https://www.philgeps.gov.ph/GEPSNONPILOT/Tender/SplashBidNoticeAbstractUI.aspx?menuIndex=3&amp;refID=7180950&amp;Result=3","7180950")</f>
        <v>0</v>
      </c>
      <c r="B10535" t="s">
        <v>3145</v>
      </c>
      <c r="C10535" t="s">
        <v>13795</v>
      </c>
      <c r="D10535" t="s">
        <v>19022</v>
      </c>
      <c r="E10535" t="s">
        <v>28094</v>
      </c>
      <c r="F10535" t="s">
        <v>32606</v>
      </c>
      <c r="G10535" t="s">
        <v>32613</v>
      </c>
      <c r="H10535" t="s">
        <v>14201</v>
      </c>
      <c r="I10535" t="s">
        <v>32629</v>
      </c>
      <c r="J10535" t="s">
        <v>39315</v>
      </c>
      <c r="K10535" t="s">
        <v>42631</v>
      </c>
      <c r="M10535" t="s">
        <v>46361</v>
      </c>
      <c r="N10535" t="s">
        <v>47304</v>
      </c>
      <c r="O10535" t="s">
        <v>47305</v>
      </c>
      <c r="P10535">
        <v>0</v>
      </c>
      <c r="Q10535">
        <v>0</v>
      </c>
      <c r="R10535" t="s">
        <v>47314</v>
      </c>
      <c r="S10535" t="s">
        <v>47596</v>
      </c>
      <c r="T10535" t="s">
        <v>49075</v>
      </c>
      <c r="U10535" t="s">
        <v>58222</v>
      </c>
      <c r="W10535" t="s">
        <v>46361</v>
      </c>
      <c r="X10535" t="s">
        <v>47315</v>
      </c>
    </row>
    <row r="10536" spans="1:24">
      <c r="A10536">
        <f>HYPERLINK("https://www.philgeps.gov.ph/GEPSNONPILOT/Tender/SplashBidNoticeAbstractUI.aspx?menuIndex=3&amp;refID=7181123&amp;Result=3","7181123")</f>
        <v>0</v>
      </c>
      <c r="B10536" t="s">
        <v>3146</v>
      </c>
      <c r="C10536" t="s">
        <v>13796</v>
      </c>
      <c r="D10536" t="s">
        <v>19056</v>
      </c>
      <c r="E10536" t="s">
        <v>28095</v>
      </c>
      <c r="F10536" t="s">
        <v>32606</v>
      </c>
      <c r="G10536" t="s">
        <v>32613</v>
      </c>
      <c r="H10536" t="s">
        <v>32623</v>
      </c>
      <c r="I10536" t="s">
        <v>17648</v>
      </c>
      <c r="J10536" t="s">
        <v>39316</v>
      </c>
      <c r="K10536" t="s">
        <v>42645</v>
      </c>
      <c r="M10536" t="s">
        <v>46362</v>
      </c>
      <c r="N10536" t="s">
        <v>47304</v>
      </c>
      <c r="O10536" t="s">
        <v>47305</v>
      </c>
      <c r="P10536">
        <v>0</v>
      </c>
      <c r="Q10536">
        <v>0</v>
      </c>
      <c r="R10536" t="s">
        <v>47314</v>
      </c>
      <c r="S10536" t="s">
        <v>47596</v>
      </c>
      <c r="T10536" t="s">
        <v>49171</v>
      </c>
      <c r="U10536" t="s">
        <v>58223</v>
      </c>
      <c r="V10536" t="s">
        <v>63765</v>
      </c>
      <c r="W10536" t="s">
        <v>46362</v>
      </c>
      <c r="X10536" t="s">
        <v>47315</v>
      </c>
    </row>
    <row r="10537" spans="1:24">
      <c r="A10537">
        <f>HYPERLINK("https://www.philgeps.gov.ph/GEPSNONPILOT/Tender/SplashBidNoticeAbstractUI.aspx?menuIndex=3&amp;refID=7181122&amp;Result=3","7181122")</f>
        <v>0</v>
      </c>
      <c r="B10537" t="s">
        <v>3134</v>
      </c>
      <c r="C10537" t="s">
        <v>13797</v>
      </c>
      <c r="E10537" t="s">
        <v>28096</v>
      </c>
      <c r="F10537" t="s">
        <v>32606</v>
      </c>
      <c r="G10537" t="s">
        <v>32613</v>
      </c>
      <c r="H10537" t="s">
        <v>14201</v>
      </c>
      <c r="I10537" t="s">
        <v>32636</v>
      </c>
      <c r="J10537" t="s">
        <v>33102</v>
      </c>
      <c r="K10537" t="s">
        <v>42624</v>
      </c>
      <c r="M10537" t="s">
        <v>46346</v>
      </c>
      <c r="N10537" t="s">
        <v>47304</v>
      </c>
      <c r="O10537" t="s">
        <v>47305</v>
      </c>
      <c r="P10537">
        <v>0</v>
      </c>
      <c r="Q10537">
        <v>2</v>
      </c>
      <c r="R10537" t="s">
        <v>47314</v>
      </c>
      <c r="S10537" t="s">
        <v>47596</v>
      </c>
      <c r="T10537" t="s">
        <v>49023</v>
      </c>
      <c r="U10537" t="s">
        <v>58224</v>
      </c>
      <c r="W10537" t="s">
        <v>46346</v>
      </c>
      <c r="X10537" t="s">
        <v>47315</v>
      </c>
    </row>
    <row r="10538" spans="1:24">
      <c r="A10538">
        <f>HYPERLINK("https://www.philgeps.gov.ph/GEPSNONPILOT/Tender/SplashBidNoticeAbstractUI.aspx?menuIndex=3&amp;refID=7181189&amp;Result=3","7181189")</f>
        <v>0</v>
      </c>
      <c r="B10538" t="s">
        <v>70</v>
      </c>
      <c r="C10538" t="s">
        <v>13798</v>
      </c>
      <c r="D10538" t="s">
        <v>18993</v>
      </c>
      <c r="E10538" t="s">
        <v>28097</v>
      </c>
      <c r="F10538" t="s">
        <v>32606</v>
      </c>
      <c r="G10538" t="s">
        <v>32613</v>
      </c>
      <c r="H10538" t="s">
        <v>14201</v>
      </c>
      <c r="I10538" t="s">
        <v>6298</v>
      </c>
      <c r="J10538" t="s">
        <v>39317</v>
      </c>
      <c r="K10538" t="s">
        <v>42623</v>
      </c>
      <c r="M10538" t="s">
        <v>42967</v>
      </c>
      <c r="N10538" t="s">
        <v>47304</v>
      </c>
      <c r="O10538" t="s">
        <v>47305</v>
      </c>
      <c r="P10538">
        <v>0</v>
      </c>
      <c r="Q10538">
        <v>5</v>
      </c>
      <c r="R10538" t="s">
        <v>47314</v>
      </c>
      <c r="S10538" t="s">
        <v>47596</v>
      </c>
      <c r="T10538" t="s">
        <v>49148</v>
      </c>
      <c r="U10538" t="s">
        <v>58225</v>
      </c>
      <c r="W10538" t="s">
        <v>42967</v>
      </c>
      <c r="X10538" t="s">
        <v>47315</v>
      </c>
    </row>
    <row r="10539" spans="1:24">
      <c r="A10539">
        <f>HYPERLINK("https://www.philgeps.gov.ph/GEPSNONPILOT/Tender/SplashBidNoticeAbstractUI.aspx?menuIndex=3&amp;refID=7181119&amp;Result=3","7181119")</f>
        <v>0</v>
      </c>
      <c r="B10539" t="s">
        <v>362</v>
      </c>
      <c r="C10539" t="s">
        <v>13799</v>
      </c>
      <c r="D10539" t="s">
        <v>19023</v>
      </c>
      <c r="E10539" t="s">
        <v>28098</v>
      </c>
      <c r="F10539" t="s">
        <v>32606</v>
      </c>
      <c r="G10539" t="s">
        <v>32613</v>
      </c>
      <c r="H10539" t="s">
        <v>32623</v>
      </c>
      <c r="I10539" t="s">
        <v>17648</v>
      </c>
      <c r="J10539" t="s">
        <v>39318</v>
      </c>
      <c r="K10539" t="s">
        <v>42646</v>
      </c>
      <c r="M10539" t="s">
        <v>43264</v>
      </c>
      <c r="N10539" t="s">
        <v>47304</v>
      </c>
      <c r="O10539" t="s">
        <v>47305</v>
      </c>
      <c r="P10539">
        <v>0</v>
      </c>
      <c r="Q10539">
        <v>1</v>
      </c>
      <c r="R10539" t="s">
        <v>47314</v>
      </c>
      <c r="S10539" t="s">
        <v>47596</v>
      </c>
      <c r="T10539" t="s">
        <v>49057</v>
      </c>
      <c r="U10539" t="s">
        <v>58226</v>
      </c>
      <c r="W10539" t="s">
        <v>43264</v>
      </c>
      <c r="X10539" t="s">
        <v>47315</v>
      </c>
    </row>
    <row r="10540" spans="1:24">
      <c r="A10540">
        <f>HYPERLINK("https://www.philgeps.gov.ph/GEPSNONPILOT/Tender/SplashBidNoticeAbstractUI.aspx?menuIndex=3&amp;refID=7181335&amp;Result=3","7181335")</f>
        <v>0</v>
      </c>
      <c r="B10540" t="s">
        <v>3119</v>
      </c>
      <c r="C10540" t="s">
        <v>13800</v>
      </c>
      <c r="D10540" t="s">
        <v>19006</v>
      </c>
      <c r="E10540" t="s">
        <v>28099</v>
      </c>
      <c r="F10540" t="s">
        <v>32606</v>
      </c>
      <c r="G10540" t="s">
        <v>32613</v>
      </c>
      <c r="H10540" t="s">
        <v>32623</v>
      </c>
      <c r="I10540" t="s">
        <v>17648</v>
      </c>
      <c r="J10540" t="s">
        <v>39319</v>
      </c>
      <c r="K10540" t="s">
        <v>42636</v>
      </c>
      <c r="M10540" t="s">
        <v>46329</v>
      </c>
      <c r="N10540" t="s">
        <v>47304</v>
      </c>
      <c r="O10540" t="s">
        <v>47305</v>
      </c>
      <c r="P10540">
        <v>0</v>
      </c>
      <c r="Q10540">
        <v>0</v>
      </c>
      <c r="R10540" t="s">
        <v>47314</v>
      </c>
      <c r="S10540" t="s">
        <v>47596</v>
      </c>
      <c r="T10540" t="s">
        <v>49001</v>
      </c>
      <c r="U10540" t="s">
        <v>58227</v>
      </c>
      <c r="V10540" t="s">
        <v>63747</v>
      </c>
      <c r="W10540" t="s">
        <v>46329</v>
      </c>
      <c r="X10540" t="s">
        <v>47315</v>
      </c>
    </row>
    <row r="10541" spans="1:24">
      <c r="A10541">
        <f>HYPERLINK("https://www.philgeps.gov.ph/GEPSNONPILOT/Tender/SplashBidNoticeAbstractUI.aspx?menuIndex=3&amp;refID=7181330&amp;Result=3","7181330")</f>
        <v>0</v>
      </c>
      <c r="B10541" t="s">
        <v>3147</v>
      </c>
      <c r="C10541" t="s">
        <v>13801</v>
      </c>
      <c r="D10541" t="s">
        <v>18989</v>
      </c>
      <c r="E10541" t="s">
        <v>28100</v>
      </c>
      <c r="F10541" t="s">
        <v>32606</v>
      </c>
      <c r="G10541" t="s">
        <v>32613</v>
      </c>
      <c r="H10541" t="s">
        <v>32623</v>
      </c>
      <c r="I10541" t="s">
        <v>17648</v>
      </c>
      <c r="J10541" t="s">
        <v>35749</v>
      </c>
      <c r="K10541" t="s">
        <v>42624</v>
      </c>
      <c r="M10541" t="s">
        <v>46363</v>
      </c>
      <c r="N10541" t="s">
        <v>47304</v>
      </c>
      <c r="O10541" t="s">
        <v>47305</v>
      </c>
      <c r="P10541">
        <v>0</v>
      </c>
      <c r="Q10541">
        <v>2</v>
      </c>
      <c r="R10541" t="s">
        <v>47314</v>
      </c>
      <c r="S10541" t="s">
        <v>47596</v>
      </c>
      <c r="T10541" t="s">
        <v>49075</v>
      </c>
      <c r="U10541" t="s">
        <v>58228</v>
      </c>
      <c r="W10541" t="s">
        <v>46363</v>
      </c>
      <c r="X10541" t="s">
        <v>47315</v>
      </c>
    </row>
    <row r="10542" spans="1:24">
      <c r="A10542">
        <f>HYPERLINK("https://www.philgeps.gov.ph/GEPSNONPILOT/Tender/SplashBidNoticeAbstractUI.aspx?menuIndex=3&amp;refID=7181130&amp;Result=3","7181130")</f>
        <v>0</v>
      </c>
      <c r="B10542" t="s">
        <v>703</v>
      </c>
      <c r="C10542" t="s">
        <v>13802</v>
      </c>
      <c r="D10542" t="s">
        <v>18992</v>
      </c>
      <c r="E10542" t="s">
        <v>28101</v>
      </c>
      <c r="F10542" t="s">
        <v>32606</v>
      </c>
      <c r="G10542" t="s">
        <v>32613</v>
      </c>
      <c r="H10542" t="s">
        <v>14201</v>
      </c>
      <c r="I10542" t="s">
        <v>32661</v>
      </c>
      <c r="J10542" t="s">
        <v>39320</v>
      </c>
      <c r="K10542" t="s">
        <v>42694</v>
      </c>
      <c r="M10542" t="s">
        <v>43624</v>
      </c>
      <c r="N10542" t="s">
        <v>47304</v>
      </c>
      <c r="O10542" t="s">
        <v>47305</v>
      </c>
      <c r="P10542">
        <v>0</v>
      </c>
      <c r="Q10542">
        <v>1</v>
      </c>
      <c r="R10542" t="s">
        <v>47314</v>
      </c>
      <c r="S10542" t="s">
        <v>47596</v>
      </c>
      <c r="T10542" t="s">
        <v>49077</v>
      </c>
      <c r="U10542" t="s">
        <v>58229</v>
      </c>
      <c r="V10542" t="s">
        <v>63766</v>
      </c>
      <c r="W10542" t="s">
        <v>43624</v>
      </c>
      <c r="X10542" t="s">
        <v>47315</v>
      </c>
    </row>
    <row r="10543" spans="1:24">
      <c r="A10543">
        <f>HYPERLINK("https://www.philgeps.gov.ph/GEPSNONPILOT/Tender/SplashBidNoticeAbstractUI.aspx?menuIndex=3&amp;refID=7181320&amp;Result=3","7181320")</f>
        <v>0</v>
      </c>
      <c r="B10543" t="s">
        <v>733</v>
      </c>
      <c r="C10543" t="s">
        <v>13803</v>
      </c>
      <c r="D10543" t="s">
        <v>19010</v>
      </c>
      <c r="E10543" t="s">
        <v>20544</v>
      </c>
      <c r="F10543" t="s">
        <v>32606</v>
      </c>
      <c r="G10543" t="s">
        <v>32613</v>
      </c>
      <c r="H10543" t="s">
        <v>14201</v>
      </c>
      <c r="I10543" t="s">
        <v>7064</v>
      </c>
      <c r="J10543" t="s">
        <v>32781</v>
      </c>
      <c r="K10543" t="s">
        <v>42624</v>
      </c>
      <c r="M10543" t="s">
        <v>43655</v>
      </c>
      <c r="N10543" t="s">
        <v>47304</v>
      </c>
      <c r="O10543" t="s">
        <v>47305</v>
      </c>
      <c r="P10543">
        <v>0</v>
      </c>
      <c r="Q10543">
        <v>0</v>
      </c>
      <c r="R10543" t="s">
        <v>47314</v>
      </c>
      <c r="S10543" t="s">
        <v>47596</v>
      </c>
      <c r="T10543" t="s">
        <v>49071</v>
      </c>
      <c r="U10543" t="s">
        <v>50865</v>
      </c>
      <c r="W10543" t="s">
        <v>43655</v>
      </c>
      <c r="X10543" t="s">
        <v>47315</v>
      </c>
    </row>
    <row r="10544" spans="1:24">
      <c r="A10544">
        <f>HYPERLINK("https://www.philgeps.gov.ph/GEPSNONPILOT/Tender/SplashBidNoticeAbstractUI.aspx?menuIndex=3&amp;refID=7181318&amp;Result=3","7181318")</f>
        <v>0</v>
      </c>
      <c r="B10544" t="s">
        <v>3119</v>
      </c>
      <c r="C10544" t="s">
        <v>13804</v>
      </c>
      <c r="D10544" t="s">
        <v>19006</v>
      </c>
      <c r="E10544" t="s">
        <v>28102</v>
      </c>
      <c r="F10544" t="s">
        <v>32606</v>
      </c>
      <c r="G10544" t="s">
        <v>32613</v>
      </c>
      <c r="H10544" t="s">
        <v>32623</v>
      </c>
      <c r="I10544" t="s">
        <v>17648</v>
      </c>
      <c r="J10544" t="s">
        <v>39321</v>
      </c>
      <c r="K10544" t="s">
        <v>42636</v>
      </c>
      <c r="M10544" t="s">
        <v>46329</v>
      </c>
      <c r="N10544" t="s">
        <v>47304</v>
      </c>
      <c r="O10544" t="s">
        <v>47305</v>
      </c>
      <c r="P10544">
        <v>0</v>
      </c>
      <c r="Q10544">
        <v>0</v>
      </c>
      <c r="R10544" t="s">
        <v>47314</v>
      </c>
      <c r="S10544" t="s">
        <v>47596</v>
      </c>
      <c r="T10544" t="s">
        <v>49001</v>
      </c>
      <c r="U10544" t="s">
        <v>58227</v>
      </c>
      <c r="V10544" t="s">
        <v>63747</v>
      </c>
      <c r="W10544" t="s">
        <v>46329</v>
      </c>
      <c r="X10544" t="s">
        <v>47315</v>
      </c>
    </row>
    <row r="10545" spans="1:24">
      <c r="A10545">
        <f>HYPERLINK("https://www.philgeps.gov.ph/GEPSNONPILOT/Tender/SplashBidNoticeAbstractUI.aspx?menuIndex=3&amp;refID=7181054&amp;Result=3","7181054")</f>
        <v>0</v>
      </c>
      <c r="B10545" t="s">
        <v>362</v>
      </c>
      <c r="C10545" t="s">
        <v>13805</v>
      </c>
      <c r="D10545" t="s">
        <v>19023</v>
      </c>
      <c r="E10545" t="s">
        <v>28103</v>
      </c>
      <c r="F10545" t="s">
        <v>32606</v>
      </c>
      <c r="G10545" t="s">
        <v>32613</v>
      </c>
      <c r="H10545" t="s">
        <v>32623</v>
      </c>
      <c r="I10545" t="s">
        <v>17648</v>
      </c>
      <c r="J10545" t="s">
        <v>39322</v>
      </c>
      <c r="K10545" t="s">
        <v>42646</v>
      </c>
      <c r="M10545" t="s">
        <v>43264</v>
      </c>
      <c r="N10545" t="s">
        <v>47304</v>
      </c>
      <c r="O10545" t="s">
        <v>47305</v>
      </c>
      <c r="P10545">
        <v>0</v>
      </c>
      <c r="Q10545">
        <v>1</v>
      </c>
      <c r="R10545" t="s">
        <v>47314</v>
      </c>
      <c r="S10545" t="s">
        <v>47596</v>
      </c>
      <c r="T10545" t="s">
        <v>49057</v>
      </c>
      <c r="U10545" t="s">
        <v>58230</v>
      </c>
      <c r="W10545" t="s">
        <v>43264</v>
      </c>
      <c r="X10545" t="s">
        <v>47315</v>
      </c>
    </row>
    <row r="10546" spans="1:24">
      <c r="A10546">
        <f>HYPERLINK("https://www.philgeps.gov.ph/GEPSNONPILOT/Tender/SplashBidNoticeAbstractUI.aspx?menuIndex=3&amp;refID=7181302&amp;Result=3","7181302")</f>
        <v>0</v>
      </c>
      <c r="B10546" t="s">
        <v>318</v>
      </c>
      <c r="C10546" t="s">
        <v>13806</v>
      </c>
      <c r="D10546" t="s">
        <v>19025</v>
      </c>
      <c r="E10546" t="s">
        <v>28104</v>
      </c>
      <c r="F10546" t="s">
        <v>32606</v>
      </c>
      <c r="G10546" t="s">
        <v>32614</v>
      </c>
      <c r="H10546" t="s">
        <v>14201</v>
      </c>
      <c r="I10546" t="s">
        <v>32694</v>
      </c>
      <c r="J10546" t="s">
        <v>32813</v>
      </c>
      <c r="K10546" t="s">
        <v>42624</v>
      </c>
      <c r="M10546" t="s">
        <v>43220</v>
      </c>
      <c r="N10546" t="s">
        <v>47304</v>
      </c>
      <c r="O10546" t="s">
        <v>47305</v>
      </c>
      <c r="P10546">
        <v>0</v>
      </c>
      <c r="Q10546">
        <v>0</v>
      </c>
      <c r="R10546" t="s">
        <v>47314</v>
      </c>
      <c r="S10546" t="s">
        <v>47596</v>
      </c>
      <c r="T10546" t="s">
        <v>49020</v>
      </c>
      <c r="U10546" t="s">
        <v>58231</v>
      </c>
      <c r="W10546" t="s">
        <v>43220</v>
      </c>
      <c r="X10546" t="s">
        <v>47315</v>
      </c>
    </row>
    <row r="10547" spans="1:24">
      <c r="A10547">
        <f>HYPERLINK("https://www.philgeps.gov.ph/GEPSNONPILOT/Tender/SplashBidNoticeAbstractUI.aspx?menuIndex=3&amp;refID=7181161&amp;Result=3","7181161")</f>
        <v>0</v>
      </c>
      <c r="B10547" t="s">
        <v>3148</v>
      </c>
      <c r="C10547" t="s">
        <v>13807</v>
      </c>
      <c r="D10547" t="s">
        <v>19022</v>
      </c>
      <c r="E10547" t="s">
        <v>28105</v>
      </c>
      <c r="F10547" t="s">
        <v>32606</v>
      </c>
      <c r="G10547" t="s">
        <v>32613</v>
      </c>
      <c r="H10547" t="s">
        <v>14201</v>
      </c>
      <c r="I10547" t="s">
        <v>4678</v>
      </c>
      <c r="J10547" t="s">
        <v>39323</v>
      </c>
      <c r="K10547" t="s">
        <v>42624</v>
      </c>
      <c r="M10547" t="s">
        <v>46364</v>
      </c>
      <c r="N10547" t="s">
        <v>47304</v>
      </c>
      <c r="O10547" t="s">
        <v>47305</v>
      </c>
      <c r="P10547">
        <v>0</v>
      </c>
      <c r="Q10547">
        <v>3</v>
      </c>
      <c r="R10547" t="s">
        <v>47314</v>
      </c>
      <c r="S10547" t="s">
        <v>47596</v>
      </c>
      <c r="T10547" t="s">
        <v>49148</v>
      </c>
      <c r="U10547" t="s">
        <v>58232</v>
      </c>
      <c r="W10547" t="s">
        <v>46364</v>
      </c>
      <c r="X10547" t="s">
        <v>47315</v>
      </c>
    </row>
    <row r="10548" spans="1:24">
      <c r="A10548">
        <f>HYPERLINK("https://www.philgeps.gov.ph/GEPSNONPILOT/Tender/SplashBidNoticeAbstractUI.aspx?menuIndex=3&amp;refID=7181290&amp;Result=3","7181290")</f>
        <v>0</v>
      </c>
      <c r="B10548" t="s">
        <v>3133</v>
      </c>
      <c r="C10548" t="s">
        <v>13808</v>
      </c>
      <c r="D10548" t="s">
        <v>19042</v>
      </c>
      <c r="E10548" t="s">
        <v>28106</v>
      </c>
      <c r="F10548" t="s">
        <v>32606</v>
      </c>
      <c r="G10548" t="s">
        <v>32613</v>
      </c>
      <c r="H10548" t="s">
        <v>14201</v>
      </c>
      <c r="I10548" t="s">
        <v>4114</v>
      </c>
      <c r="J10548" t="s">
        <v>39324</v>
      </c>
      <c r="K10548" t="s">
        <v>42631</v>
      </c>
      <c r="M10548" t="s">
        <v>46345</v>
      </c>
      <c r="N10548" t="s">
        <v>47304</v>
      </c>
      <c r="O10548" t="s">
        <v>47305</v>
      </c>
      <c r="P10548">
        <v>0</v>
      </c>
      <c r="Q10548">
        <v>2</v>
      </c>
      <c r="R10548" t="s">
        <v>47314</v>
      </c>
      <c r="S10548" t="s">
        <v>47596</v>
      </c>
      <c r="T10548" t="s">
        <v>49447</v>
      </c>
      <c r="U10548" t="s">
        <v>58233</v>
      </c>
      <c r="W10548" t="s">
        <v>46345</v>
      </c>
      <c r="X10548" t="s">
        <v>47315</v>
      </c>
    </row>
    <row r="10549" spans="1:24">
      <c r="A10549">
        <f>HYPERLINK("https://www.philgeps.gov.ph/GEPSNONPILOT/Tender/SplashBidNoticeAbstractUI.aspx?menuIndex=3&amp;refID=7181331&amp;Result=3","7181331")</f>
        <v>0</v>
      </c>
      <c r="B10549" t="s">
        <v>1529</v>
      </c>
      <c r="C10549" t="s">
        <v>13809</v>
      </c>
      <c r="D10549" t="s">
        <v>18993</v>
      </c>
      <c r="E10549" t="s">
        <v>28107</v>
      </c>
      <c r="F10549" t="s">
        <v>32606</v>
      </c>
      <c r="G10549" t="s">
        <v>32614</v>
      </c>
      <c r="H10549" t="s">
        <v>14201</v>
      </c>
      <c r="I10549" t="s">
        <v>32652</v>
      </c>
      <c r="J10549" t="s">
        <v>32765</v>
      </c>
      <c r="K10549" t="s">
        <v>42623</v>
      </c>
      <c r="M10549" t="s">
        <v>44532</v>
      </c>
      <c r="N10549" t="s">
        <v>47304</v>
      </c>
      <c r="O10549" t="s">
        <v>47305</v>
      </c>
      <c r="P10549">
        <v>0</v>
      </c>
      <c r="Q10549">
        <v>3</v>
      </c>
      <c r="R10549" t="s">
        <v>47314</v>
      </c>
      <c r="S10549" t="s">
        <v>47596</v>
      </c>
      <c r="T10549" t="s">
        <v>49165</v>
      </c>
      <c r="U10549" t="s">
        <v>52911</v>
      </c>
      <c r="W10549" t="s">
        <v>44532</v>
      </c>
      <c r="X10549" t="s">
        <v>47315</v>
      </c>
    </row>
    <row r="10550" spans="1:24">
      <c r="A10550">
        <f>HYPERLINK("https://www.philgeps.gov.ph/GEPSNONPILOT/Tender/SplashBidNoticeAbstractUI.aspx?menuIndex=3&amp;refID=7181271&amp;Result=3","7181271")</f>
        <v>0</v>
      </c>
      <c r="B10550" t="s">
        <v>362</v>
      </c>
      <c r="C10550" t="s">
        <v>13810</v>
      </c>
      <c r="D10550" t="s">
        <v>19023</v>
      </c>
      <c r="E10550" t="s">
        <v>28108</v>
      </c>
      <c r="F10550" t="s">
        <v>32606</v>
      </c>
      <c r="G10550" t="s">
        <v>32613</v>
      </c>
      <c r="H10550" t="s">
        <v>32623</v>
      </c>
      <c r="I10550" t="s">
        <v>17648</v>
      </c>
      <c r="J10550" t="s">
        <v>39325</v>
      </c>
      <c r="K10550" t="s">
        <v>42645</v>
      </c>
      <c r="M10550" t="s">
        <v>43264</v>
      </c>
      <c r="N10550" t="s">
        <v>47304</v>
      </c>
      <c r="O10550" t="s">
        <v>47305</v>
      </c>
      <c r="P10550">
        <v>0</v>
      </c>
      <c r="Q10550">
        <v>4</v>
      </c>
      <c r="R10550" t="s">
        <v>47314</v>
      </c>
      <c r="S10550" t="s">
        <v>47596</v>
      </c>
      <c r="T10550" t="s">
        <v>49057</v>
      </c>
      <c r="U10550" t="s">
        <v>58234</v>
      </c>
      <c r="W10550" t="s">
        <v>43264</v>
      </c>
      <c r="X10550" t="s">
        <v>47315</v>
      </c>
    </row>
    <row r="10551" spans="1:24">
      <c r="A10551">
        <f>HYPERLINK("https://www.philgeps.gov.ph/GEPSNONPILOT/Tender/SplashBidNoticeAbstractUI.aspx?menuIndex=3&amp;refID=7181265&amp;Result=3","7181265")</f>
        <v>0</v>
      </c>
      <c r="B10551" t="s">
        <v>497</v>
      </c>
      <c r="C10551" t="s">
        <v>13811</v>
      </c>
      <c r="D10551" t="s">
        <v>18991</v>
      </c>
      <c r="E10551" t="s">
        <v>28109</v>
      </c>
      <c r="F10551" t="s">
        <v>32606</v>
      </c>
      <c r="G10551" t="s">
        <v>32613</v>
      </c>
      <c r="H10551" t="s">
        <v>14201</v>
      </c>
      <c r="I10551" t="s">
        <v>32631</v>
      </c>
      <c r="J10551" t="s">
        <v>39326</v>
      </c>
      <c r="K10551" t="s">
        <v>42624</v>
      </c>
      <c r="M10551" t="s">
        <v>46356</v>
      </c>
      <c r="N10551" t="s">
        <v>47304</v>
      </c>
      <c r="O10551" t="s">
        <v>47305</v>
      </c>
      <c r="P10551">
        <v>0</v>
      </c>
      <c r="Q10551">
        <v>1</v>
      </c>
      <c r="R10551" t="s">
        <v>47314</v>
      </c>
      <c r="S10551" t="s">
        <v>47596</v>
      </c>
      <c r="T10551" t="s">
        <v>49007</v>
      </c>
      <c r="U10551" t="s">
        <v>58235</v>
      </c>
      <c r="W10551" t="s">
        <v>46356</v>
      </c>
      <c r="X10551" t="s">
        <v>47315</v>
      </c>
    </row>
    <row r="10552" spans="1:24">
      <c r="A10552">
        <f>HYPERLINK("https://www.philgeps.gov.ph/GEPSNONPILOT/Tender/SplashBidNoticeAbstractUI.aspx?menuIndex=3&amp;refID=7181219&amp;Result=3","7181219")</f>
        <v>0</v>
      </c>
      <c r="B10552" t="s">
        <v>497</v>
      </c>
      <c r="C10552" t="s">
        <v>5665</v>
      </c>
      <c r="D10552" t="s">
        <v>18991</v>
      </c>
      <c r="E10552" t="s">
        <v>28110</v>
      </c>
      <c r="F10552" t="s">
        <v>32606</v>
      </c>
      <c r="G10552" t="s">
        <v>32613</v>
      </c>
      <c r="H10552" t="s">
        <v>14201</v>
      </c>
      <c r="I10552" t="s">
        <v>7677</v>
      </c>
      <c r="J10552" t="s">
        <v>39327</v>
      </c>
      <c r="K10552" t="s">
        <v>42624</v>
      </c>
      <c r="M10552" t="s">
        <v>46356</v>
      </c>
      <c r="N10552" t="s">
        <v>47304</v>
      </c>
      <c r="O10552" t="s">
        <v>47305</v>
      </c>
      <c r="P10552">
        <v>0</v>
      </c>
      <c r="Q10552">
        <v>1</v>
      </c>
      <c r="R10552" t="s">
        <v>47314</v>
      </c>
      <c r="S10552" t="s">
        <v>47596</v>
      </c>
      <c r="T10552" t="s">
        <v>49007</v>
      </c>
      <c r="U10552" t="s">
        <v>58236</v>
      </c>
      <c r="W10552" t="s">
        <v>46356</v>
      </c>
      <c r="X10552" t="s">
        <v>47315</v>
      </c>
    </row>
    <row r="10553" spans="1:24">
      <c r="A10553">
        <f>HYPERLINK("https://www.philgeps.gov.ph/GEPSNONPILOT/Tender/SplashBidNoticeAbstractUI.aspx?menuIndex=3&amp;refID=7181264&amp;Result=3","7181264")</f>
        <v>0</v>
      </c>
      <c r="B10553" t="s">
        <v>3149</v>
      </c>
      <c r="C10553" t="s">
        <v>13812</v>
      </c>
      <c r="D10553" t="s">
        <v>19050</v>
      </c>
      <c r="E10553" t="s">
        <v>28111</v>
      </c>
      <c r="F10553" t="s">
        <v>32606</v>
      </c>
      <c r="G10553" t="s">
        <v>32613</v>
      </c>
      <c r="H10553" t="s">
        <v>32623</v>
      </c>
      <c r="I10553" t="s">
        <v>17648</v>
      </c>
      <c r="J10553" t="s">
        <v>39328</v>
      </c>
      <c r="K10553" t="s">
        <v>42648</v>
      </c>
      <c r="M10553" t="s">
        <v>46365</v>
      </c>
      <c r="N10553" t="s">
        <v>47304</v>
      </c>
      <c r="O10553" t="s">
        <v>47305</v>
      </c>
      <c r="P10553">
        <v>0</v>
      </c>
      <c r="Q10553">
        <v>2</v>
      </c>
      <c r="R10553" t="s">
        <v>47314</v>
      </c>
      <c r="S10553" t="s">
        <v>47596</v>
      </c>
      <c r="T10553" t="s">
        <v>49075</v>
      </c>
      <c r="U10553" t="s">
        <v>58237</v>
      </c>
      <c r="W10553" t="s">
        <v>46365</v>
      </c>
      <c r="X10553" t="s">
        <v>47315</v>
      </c>
    </row>
    <row r="10554" spans="1:24">
      <c r="A10554">
        <f>HYPERLINK("https://www.philgeps.gov.ph/GEPSNONPILOT/Tender/SplashBidNoticeAbstractUI.aspx?menuIndex=3&amp;refID=7181256&amp;Result=3","7181256")</f>
        <v>0</v>
      </c>
      <c r="B10554" t="s">
        <v>2950</v>
      </c>
      <c r="C10554" t="s">
        <v>13813</v>
      </c>
      <c r="D10554" t="s">
        <v>19054</v>
      </c>
      <c r="E10554" t="s">
        <v>27166</v>
      </c>
      <c r="F10554" t="s">
        <v>32606</v>
      </c>
      <c r="G10554" t="s">
        <v>32613</v>
      </c>
      <c r="H10554" t="s">
        <v>32623</v>
      </c>
      <c r="I10554" t="s">
        <v>17648</v>
      </c>
      <c r="J10554" t="s">
        <v>39329</v>
      </c>
      <c r="K10554" t="s">
        <v>42646</v>
      </c>
      <c r="M10554" t="s">
        <v>46134</v>
      </c>
      <c r="N10554" t="s">
        <v>47304</v>
      </c>
      <c r="O10554" t="s">
        <v>47305</v>
      </c>
      <c r="Q10554">
        <v>2</v>
      </c>
      <c r="R10554" t="s">
        <v>47314</v>
      </c>
      <c r="S10554" t="s">
        <v>47487</v>
      </c>
      <c r="T10554" t="s">
        <v>49390</v>
      </c>
      <c r="U10554" t="s">
        <v>58238</v>
      </c>
      <c r="V10554" t="s">
        <v>63643</v>
      </c>
      <c r="W10554" t="s">
        <v>46134</v>
      </c>
      <c r="X10554" t="s">
        <v>47315</v>
      </c>
    </row>
    <row r="10555" spans="1:24">
      <c r="A10555">
        <f>HYPERLINK("https://www.philgeps.gov.ph/GEPSNONPILOT/Tender/SplashBidNoticeAbstractUI.aspx?menuIndex=3&amp;refID=7181447&amp;Result=3","7181447")</f>
        <v>0</v>
      </c>
      <c r="B10555" t="s">
        <v>3150</v>
      </c>
      <c r="C10555" t="s">
        <v>13814</v>
      </c>
      <c r="D10555" t="s">
        <v>18993</v>
      </c>
      <c r="E10555" t="s">
        <v>28112</v>
      </c>
      <c r="F10555" t="s">
        <v>32606</v>
      </c>
      <c r="G10555" t="s">
        <v>32613</v>
      </c>
      <c r="H10555" t="s">
        <v>32624</v>
      </c>
      <c r="I10555" t="s">
        <v>17648</v>
      </c>
      <c r="J10555" t="s">
        <v>34128</v>
      </c>
      <c r="K10555" t="s">
        <v>42631</v>
      </c>
      <c r="M10555" t="s">
        <v>46366</v>
      </c>
      <c r="N10555" t="s">
        <v>47304</v>
      </c>
      <c r="O10555" t="s">
        <v>47305</v>
      </c>
      <c r="P10555">
        <v>0</v>
      </c>
      <c r="Q10555">
        <v>1</v>
      </c>
      <c r="R10555" t="s">
        <v>47314</v>
      </c>
      <c r="S10555" t="s">
        <v>47596</v>
      </c>
      <c r="T10555" t="s">
        <v>49020</v>
      </c>
      <c r="U10555" t="s">
        <v>58239</v>
      </c>
      <c r="W10555" t="s">
        <v>46366</v>
      </c>
      <c r="X10555" t="s">
        <v>47315</v>
      </c>
    </row>
    <row r="10556" spans="1:24">
      <c r="A10556">
        <f>HYPERLINK("https://www.philgeps.gov.ph/GEPSNONPILOT/Tender/SplashBidNoticeAbstractUI.aspx?menuIndex=3&amp;refID=7181444&amp;Result=3","7181444")</f>
        <v>0</v>
      </c>
      <c r="B10556" t="s">
        <v>2415</v>
      </c>
      <c r="C10556" t="s">
        <v>13815</v>
      </c>
      <c r="D10556" t="s">
        <v>19041</v>
      </c>
      <c r="E10556" t="s">
        <v>28113</v>
      </c>
      <c r="F10556" t="s">
        <v>32606</v>
      </c>
      <c r="G10556" t="s">
        <v>32613</v>
      </c>
      <c r="H10556" t="s">
        <v>32623</v>
      </c>
      <c r="I10556" t="s">
        <v>17648</v>
      </c>
      <c r="J10556" t="s">
        <v>39330</v>
      </c>
      <c r="K10556" t="s">
        <v>42649</v>
      </c>
      <c r="M10556" t="s">
        <v>45539</v>
      </c>
      <c r="N10556" t="s">
        <v>47304</v>
      </c>
      <c r="O10556" t="s">
        <v>47305</v>
      </c>
      <c r="P10556">
        <v>0</v>
      </c>
      <c r="Q10556">
        <v>0</v>
      </c>
      <c r="R10556" t="s">
        <v>47314</v>
      </c>
      <c r="S10556" t="s">
        <v>47596</v>
      </c>
      <c r="T10556" t="s">
        <v>49268</v>
      </c>
      <c r="U10556" t="s">
        <v>58240</v>
      </c>
      <c r="W10556" t="s">
        <v>45539</v>
      </c>
      <c r="X10556" t="s">
        <v>47315</v>
      </c>
    </row>
    <row r="10557" spans="1:24">
      <c r="A10557">
        <f>HYPERLINK("https://www.philgeps.gov.ph/GEPSNONPILOT/Tender/SplashBidNoticeAbstractUI.aspx?menuIndex=3&amp;refID=7181434&amp;Result=3","7181434")</f>
        <v>0</v>
      </c>
      <c r="B10557" t="s">
        <v>1410</v>
      </c>
      <c r="C10557" t="s">
        <v>13816</v>
      </c>
      <c r="D10557" t="s">
        <v>19056</v>
      </c>
      <c r="E10557" t="s">
        <v>28114</v>
      </c>
      <c r="F10557" t="s">
        <v>32606</v>
      </c>
      <c r="G10557" t="s">
        <v>32613</v>
      </c>
      <c r="H10557" t="s">
        <v>14201</v>
      </c>
      <c r="I10557" t="s">
        <v>32635</v>
      </c>
      <c r="J10557" t="s">
        <v>33221</v>
      </c>
      <c r="K10557" t="s">
        <v>42623</v>
      </c>
      <c r="M10557" t="s">
        <v>44397</v>
      </c>
      <c r="N10557" t="s">
        <v>47304</v>
      </c>
      <c r="O10557" t="s">
        <v>47305</v>
      </c>
      <c r="P10557">
        <v>0</v>
      </c>
      <c r="Q10557">
        <v>2</v>
      </c>
      <c r="R10557" t="s">
        <v>47314</v>
      </c>
      <c r="S10557" t="s">
        <v>47596</v>
      </c>
      <c r="T10557" t="s">
        <v>49052</v>
      </c>
      <c r="U10557" t="s">
        <v>58241</v>
      </c>
      <c r="W10557" t="s">
        <v>44397</v>
      </c>
      <c r="X10557" t="s">
        <v>47315</v>
      </c>
    </row>
    <row r="10558" spans="1:24">
      <c r="A10558">
        <f>HYPERLINK("https://www.philgeps.gov.ph/GEPSNONPILOT/Tender/SplashBidNoticeAbstractUI.aspx?menuIndex=3&amp;refID=7181429&amp;Result=3","7181429")</f>
        <v>0</v>
      </c>
      <c r="B10558" t="s">
        <v>3151</v>
      </c>
      <c r="C10558" t="s">
        <v>13817</v>
      </c>
      <c r="D10558" t="s">
        <v>19010</v>
      </c>
      <c r="E10558" t="s">
        <v>28115</v>
      </c>
      <c r="F10558" t="s">
        <v>32606</v>
      </c>
      <c r="G10558" t="s">
        <v>32614</v>
      </c>
      <c r="H10558" t="s">
        <v>14201</v>
      </c>
      <c r="I10558" t="s">
        <v>32658</v>
      </c>
      <c r="J10558" t="s">
        <v>39331</v>
      </c>
      <c r="K10558" t="s">
        <v>42629</v>
      </c>
      <c r="M10558" t="s">
        <v>46367</v>
      </c>
      <c r="N10558" t="s">
        <v>47304</v>
      </c>
      <c r="O10558" t="s">
        <v>47305</v>
      </c>
      <c r="P10558">
        <v>0</v>
      </c>
      <c r="Q10558">
        <v>3</v>
      </c>
      <c r="R10558" t="s">
        <v>47314</v>
      </c>
      <c r="S10558" t="s">
        <v>47596</v>
      </c>
      <c r="T10558" t="s">
        <v>49268</v>
      </c>
      <c r="U10558" t="s">
        <v>58242</v>
      </c>
      <c r="W10558" t="s">
        <v>46367</v>
      </c>
      <c r="X10558" t="s">
        <v>47315</v>
      </c>
    </row>
    <row r="10559" spans="1:24">
      <c r="A10559">
        <f>HYPERLINK("https://www.philgeps.gov.ph/GEPSNONPILOT/Tender/SplashBidNoticeAbstractUI.aspx?menuIndex=3&amp;refID=7181428&amp;Result=3","7181428")</f>
        <v>0</v>
      </c>
      <c r="B10559" t="s">
        <v>318</v>
      </c>
      <c r="C10559" t="s">
        <v>13818</v>
      </c>
      <c r="D10559" t="s">
        <v>19025</v>
      </c>
      <c r="E10559" t="s">
        <v>28116</v>
      </c>
      <c r="F10559" t="s">
        <v>32606</v>
      </c>
      <c r="G10559" t="s">
        <v>32614</v>
      </c>
      <c r="H10559" t="s">
        <v>14201</v>
      </c>
      <c r="I10559" t="s">
        <v>32652</v>
      </c>
      <c r="J10559" t="s">
        <v>35579</v>
      </c>
      <c r="K10559" t="s">
        <v>42624</v>
      </c>
      <c r="M10559" t="s">
        <v>43220</v>
      </c>
      <c r="N10559" t="s">
        <v>47304</v>
      </c>
      <c r="O10559" t="s">
        <v>47305</v>
      </c>
      <c r="P10559">
        <v>0</v>
      </c>
      <c r="Q10559">
        <v>0</v>
      </c>
      <c r="R10559" t="s">
        <v>47314</v>
      </c>
      <c r="S10559" t="s">
        <v>47596</v>
      </c>
      <c r="T10559" t="s">
        <v>49020</v>
      </c>
      <c r="U10559" t="s">
        <v>58243</v>
      </c>
      <c r="W10559" t="s">
        <v>43220</v>
      </c>
      <c r="X10559" t="s">
        <v>47315</v>
      </c>
    </row>
    <row r="10560" spans="1:24">
      <c r="A10560">
        <f>HYPERLINK("https://www.philgeps.gov.ph/GEPSNONPILOT/Tender/SplashBidNoticeAbstractUI.aspx?menuIndex=3&amp;refID=7181291&amp;Result=3","7181291")</f>
        <v>0</v>
      </c>
      <c r="B10560" t="s">
        <v>3142</v>
      </c>
      <c r="C10560" t="s">
        <v>13819</v>
      </c>
      <c r="D10560" t="s">
        <v>19003</v>
      </c>
      <c r="E10560" t="s">
        <v>26266</v>
      </c>
      <c r="F10560" t="s">
        <v>32606</v>
      </c>
      <c r="G10560" t="s">
        <v>32613</v>
      </c>
      <c r="H10560" t="s">
        <v>14201</v>
      </c>
      <c r="I10560" t="s">
        <v>9013</v>
      </c>
      <c r="J10560" t="s">
        <v>39332</v>
      </c>
      <c r="K10560" t="s">
        <v>42622</v>
      </c>
      <c r="M10560" t="s">
        <v>46357</v>
      </c>
      <c r="N10560" t="s">
        <v>47304</v>
      </c>
      <c r="O10560" t="s">
        <v>47305</v>
      </c>
      <c r="Q10560">
        <v>4</v>
      </c>
      <c r="R10560" t="s">
        <v>47314</v>
      </c>
      <c r="S10560" t="s">
        <v>47625</v>
      </c>
      <c r="T10560" t="s">
        <v>49086</v>
      </c>
      <c r="U10560" t="s">
        <v>58244</v>
      </c>
      <c r="V10560" t="s">
        <v>63763</v>
      </c>
      <c r="W10560" t="s">
        <v>46357</v>
      </c>
      <c r="X10560" t="s">
        <v>47315</v>
      </c>
    </row>
    <row r="10561" spans="1:24">
      <c r="A10561">
        <f>HYPERLINK("https://www.philgeps.gov.ph/GEPSNONPILOT/Tender/SplashBidNoticeAbstractUI.aspx?menuIndex=3&amp;refID=7181422&amp;Result=3","7181422")</f>
        <v>0</v>
      </c>
      <c r="B10561" t="s">
        <v>2476</v>
      </c>
      <c r="C10561" t="s">
        <v>13820</v>
      </c>
      <c r="D10561" t="s">
        <v>19015</v>
      </c>
      <c r="E10561" t="s">
        <v>28117</v>
      </c>
      <c r="F10561" t="s">
        <v>32606</v>
      </c>
      <c r="G10561" t="s">
        <v>32613</v>
      </c>
      <c r="H10561" t="s">
        <v>32623</v>
      </c>
      <c r="I10561" t="s">
        <v>17648</v>
      </c>
      <c r="J10561" t="s">
        <v>39333</v>
      </c>
      <c r="K10561" t="s">
        <v>42646</v>
      </c>
      <c r="L10561" t="s">
        <v>2476</v>
      </c>
      <c r="M10561" t="s">
        <v>45612</v>
      </c>
      <c r="N10561" t="s">
        <v>47304</v>
      </c>
      <c r="O10561" t="s">
        <v>47305</v>
      </c>
      <c r="P10561">
        <v>0</v>
      </c>
      <c r="Q10561">
        <v>16</v>
      </c>
      <c r="R10561" t="s">
        <v>47314</v>
      </c>
      <c r="S10561" t="s">
        <v>47596</v>
      </c>
      <c r="T10561" t="s">
        <v>49075</v>
      </c>
      <c r="U10561" t="s">
        <v>58245</v>
      </c>
      <c r="W10561" t="s">
        <v>45612</v>
      </c>
      <c r="X10561" t="s">
        <v>47315</v>
      </c>
    </row>
    <row r="10562" spans="1:24">
      <c r="A10562">
        <f>HYPERLINK("https://www.philgeps.gov.ph/GEPSNONPILOT/Tender/SplashBidNoticeAbstractUI.aspx?menuIndex=3&amp;refID=7181414&amp;Result=3","7181414")</f>
        <v>0</v>
      </c>
      <c r="B10562" t="s">
        <v>3148</v>
      </c>
      <c r="C10562" t="s">
        <v>13821</v>
      </c>
      <c r="D10562" t="s">
        <v>19022</v>
      </c>
      <c r="E10562" t="s">
        <v>28118</v>
      </c>
      <c r="F10562" t="s">
        <v>32606</v>
      </c>
      <c r="G10562" t="s">
        <v>32613</v>
      </c>
      <c r="H10562" t="s">
        <v>14201</v>
      </c>
      <c r="I10562" t="s">
        <v>32686</v>
      </c>
      <c r="J10562" t="s">
        <v>34719</v>
      </c>
      <c r="K10562" t="s">
        <v>42624</v>
      </c>
      <c r="M10562" t="s">
        <v>46364</v>
      </c>
      <c r="N10562" t="s">
        <v>47304</v>
      </c>
      <c r="O10562" t="s">
        <v>47305</v>
      </c>
      <c r="P10562">
        <v>0</v>
      </c>
      <c r="Q10562">
        <v>7</v>
      </c>
      <c r="R10562" t="s">
        <v>47314</v>
      </c>
      <c r="S10562" t="s">
        <v>47596</v>
      </c>
      <c r="T10562" t="s">
        <v>49066</v>
      </c>
      <c r="U10562" t="s">
        <v>58246</v>
      </c>
      <c r="W10562" t="s">
        <v>46364</v>
      </c>
      <c r="X10562" t="s">
        <v>47315</v>
      </c>
    </row>
    <row r="10563" spans="1:24">
      <c r="A10563">
        <f>HYPERLINK("https://www.philgeps.gov.ph/GEPSNONPILOT/Tender/SplashBidNoticeAbstractUI.aspx?menuIndex=3&amp;refID=7181395&amp;Result=3","7181395")</f>
        <v>0</v>
      </c>
      <c r="B10563" t="s">
        <v>496</v>
      </c>
      <c r="C10563" t="s">
        <v>13822</v>
      </c>
      <c r="E10563" t="s">
        <v>28119</v>
      </c>
      <c r="F10563" t="s">
        <v>32606</v>
      </c>
      <c r="G10563" t="s">
        <v>32614</v>
      </c>
      <c r="H10563" t="s">
        <v>14201</v>
      </c>
      <c r="I10563" t="s">
        <v>32650</v>
      </c>
      <c r="J10563" t="s">
        <v>39334</v>
      </c>
      <c r="K10563" t="s">
        <v>42631</v>
      </c>
      <c r="M10563" t="s">
        <v>45233</v>
      </c>
      <c r="N10563" t="s">
        <v>47304</v>
      </c>
      <c r="O10563" t="s">
        <v>47305</v>
      </c>
      <c r="P10563">
        <v>0</v>
      </c>
      <c r="Q10563">
        <v>1</v>
      </c>
      <c r="R10563" t="s">
        <v>47314</v>
      </c>
      <c r="S10563" t="s">
        <v>47596</v>
      </c>
      <c r="T10563" t="s">
        <v>49047</v>
      </c>
      <c r="U10563" t="s">
        <v>58247</v>
      </c>
      <c r="W10563" t="s">
        <v>64494</v>
      </c>
      <c r="X10563" t="s">
        <v>47315</v>
      </c>
    </row>
    <row r="10564" spans="1:24">
      <c r="A10564">
        <f>HYPERLINK("https://www.philgeps.gov.ph/GEPSNONPILOT/Tender/SplashBidNoticeAbstractUI.aspx?menuIndex=3&amp;refID=7181323&amp;Result=3","7181323")</f>
        <v>0</v>
      </c>
      <c r="B10564" t="s">
        <v>362</v>
      </c>
      <c r="C10564" t="s">
        <v>8446</v>
      </c>
      <c r="D10564" t="s">
        <v>19023</v>
      </c>
      <c r="E10564" t="s">
        <v>28120</v>
      </c>
      <c r="F10564" t="s">
        <v>32606</v>
      </c>
      <c r="G10564" t="s">
        <v>32613</v>
      </c>
      <c r="H10564" t="s">
        <v>14201</v>
      </c>
      <c r="I10564" t="s">
        <v>32629</v>
      </c>
      <c r="J10564" t="s">
        <v>39335</v>
      </c>
      <c r="K10564" t="s">
        <v>42630</v>
      </c>
      <c r="M10564" t="s">
        <v>43264</v>
      </c>
      <c r="N10564" t="s">
        <v>47304</v>
      </c>
      <c r="O10564" t="s">
        <v>47305</v>
      </c>
      <c r="P10564">
        <v>0</v>
      </c>
      <c r="Q10564">
        <v>0</v>
      </c>
      <c r="R10564" t="s">
        <v>47314</v>
      </c>
      <c r="S10564" t="s">
        <v>47596</v>
      </c>
      <c r="T10564" t="s">
        <v>49077</v>
      </c>
      <c r="U10564" t="s">
        <v>53681</v>
      </c>
      <c r="V10564" t="s">
        <v>63767</v>
      </c>
      <c r="W10564" t="s">
        <v>43264</v>
      </c>
      <c r="X10564" t="s">
        <v>47315</v>
      </c>
    </row>
    <row r="10565" spans="1:24">
      <c r="A10565">
        <f>HYPERLINK("https://www.philgeps.gov.ph/GEPSNONPILOT/Tender/SplashBidNoticeAbstractUI.aspx?menuIndex=3&amp;refID=7181393&amp;Result=3","7181393")</f>
        <v>0</v>
      </c>
      <c r="B10565" t="s">
        <v>362</v>
      </c>
      <c r="C10565" t="s">
        <v>13823</v>
      </c>
      <c r="D10565" t="s">
        <v>19023</v>
      </c>
      <c r="E10565" t="s">
        <v>28121</v>
      </c>
      <c r="F10565" t="s">
        <v>32606</v>
      </c>
      <c r="G10565" t="s">
        <v>32613</v>
      </c>
      <c r="H10565" t="s">
        <v>14201</v>
      </c>
      <c r="I10565" t="s">
        <v>6993</v>
      </c>
      <c r="J10565" t="s">
        <v>39336</v>
      </c>
      <c r="K10565" t="s">
        <v>42630</v>
      </c>
      <c r="M10565" t="s">
        <v>43264</v>
      </c>
      <c r="N10565" t="s">
        <v>47304</v>
      </c>
      <c r="O10565" t="s">
        <v>47305</v>
      </c>
      <c r="P10565">
        <v>0</v>
      </c>
      <c r="Q10565">
        <v>1</v>
      </c>
      <c r="R10565" t="s">
        <v>47314</v>
      </c>
      <c r="S10565" t="s">
        <v>47596</v>
      </c>
      <c r="T10565" t="s">
        <v>49077</v>
      </c>
      <c r="U10565" t="s">
        <v>58248</v>
      </c>
      <c r="V10565" t="s">
        <v>63768</v>
      </c>
      <c r="W10565" t="s">
        <v>43264</v>
      </c>
      <c r="X10565" t="s">
        <v>47315</v>
      </c>
    </row>
    <row r="10566" spans="1:24">
      <c r="A10566">
        <f>HYPERLINK("https://www.philgeps.gov.ph/GEPSNONPILOT/Tender/SplashBidNoticeAbstractUI.aspx?menuIndex=3&amp;refID=7181381&amp;Result=3","7181381")</f>
        <v>0</v>
      </c>
      <c r="B10566" t="s">
        <v>3133</v>
      </c>
      <c r="C10566" t="s">
        <v>13824</v>
      </c>
      <c r="D10566" t="s">
        <v>19042</v>
      </c>
      <c r="E10566" t="s">
        <v>28122</v>
      </c>
      <c r="F10566" t="s">
        <v>32606</v>
      </c>
      <c r="G10566" t="s">
        <v>32613</v>
      </c>
      <c r="H10566" t="s">
        <v>14201</v>
      </c>
      <c r="I10566" t="s">
        <v>32629</v>
      </c>
      <c r="J10566" t="s">
        <v>39337</v>
      </c>
      <c r="K10566" t="s">
        <v>42631</v>
      </c>
      <c r="M10566" t="s">
        <v>46345</v>
      </c>
      <c r="N10566" t="s">
        <v>47304</v>
      </c>
      <c r="O10566" t="s">
        <v>47305</v>
      </c>
      <c r="P10566">
        <v>0</v>
      </c>
      <c r="Q10566">
        <v>0</v>
      </c>
      <c r="R10566" t="s">
        <v>47314</v>
      </c>
      <c r="S10566" t="s">
        <v>47596</v>
      </c>
      <c r="T10566" t="s">
        <v>49447</v>
      </c>
      <c r="U10566" t="s">
        <v>58249</v>
      </c>
      <c r="W10566" t="s">
        <v>46345</v>
      </c>
      <c r="X10566" t="s">
        <v>47315</v>
      </c>
    </row>
    <row r="10567" spans="1:24">
      <c r="A10567">
        <f>HYPERLINK("https://www.philgeps.gov.ph/GEPSNONPILOT/Tender/SplashBidNoticeAbstractUI.aspx?menuIndex=3&amp;refID=7181377&amp;Result=3","7181377")</f>
        <v>0</v>
      </c>
      <c r="B10567" t="s">
        <v>370</v>
      </c>
      <c r="C10567" t="s">
        <v>13825</v>
      </c>
      <c r="D10567" t="s">
        <v>19006</v>
      </c>
      <c r="E10567" t="s">
        <v>28123</v>
      </c>
      <c r="F10567" t="s">
        <v>32606</v>
      </c>
      <c r="G10567" t="s">
        <v>32613</v>
      </c>
      <c r="H10567" t="s">
        <v>14201</v>
      </c>
      <c r="I10567" t="s">
        <v>7064</v>
      </c>
      <c r="J10567" t="s">
        <v>33231</v>
      </c>
      <c r="K10567" t="s">
        <v>42648</v>
      </c>
      <c r="M10567" t="s">
        <v>43272</v>
      </c>
      <c r="N10567" t="s">
        <v>47304</v>
      </c>
      <c r="O10567" t="s">
        <v>47305</v>
      </c>
      <c r="P10567">
        <v>0</v>
      </c>
      <c r="Q10567">
        <v>2</v>
      </c>
      <c r="R10567" t="s">
        <v>47314</v>
      </c>
      <c r="S10567" t="s">
        <v>47596</v>
      </c>
      <c r="T10567" t="s">
        <v>49234</v>
      </c>
      <c r="U10567" t="s">
        <v>58250</v>
      </c>
      <c r="W10567" t="s">
        <v>43272</v>
      </c>
      <c r="X10567" t="s">
        <v>47315</v>
      </c>
    </row>
    <row r="10568" spans="1:24">
      <c r="A10568">
        <f>HYPERLINK("https://www.philgeps.gov.ph/GEPSNONPILOT/Tender/SplashBidNoticeAbstractUI.aspx?menuIndex=3&amp;refID=7181372&amp;Result=3","7181372")</f>
        <v>0</v>
      </c>
      <c r="B10568" t="s">
        <v>1855</v>
      </c>
      <c r="C10568" t="s">
        <v>13826</v>
      </c>
      <c r="D10568" t="s">
        <v>19044</v>
      </c>
      <c r="E10568" t="s">
        <v>28124</v>
      </c>
      <c r="F10568" t="s">
        <v>32606</v>
      </c>
      <c r="G10568" t="s">
        <v>32613</v>
      </c>
      <c r="H10568" t="s">
        <v>32623</v>
      </c>
      <c r="I10568" t="s">
        <v>17648</v>
      </c>
      <c r="J10568" t="s">
        <v>39338</v>
      </c>
      <c r="K10568" t="s">
        <v>42643</v>
      </c>
      <c r="M10568" t="s">
        <v>44910</v>
      </c>
      <c r="N10568" t="s">
        <v>47304</v>
      </c>
      <c r="O10568" t="s">
        <v>47305</v>
      </c>
      <c r="P10568">
        <v>0</v>
      </c>
      <c r="Q10568">
        <v>1</v>
      </c>
      <c r="R10568" t="s">
        <v>47314</v>
      </c>
      <c r="S10568" t="s">
        <v>47596</v>
      </c>
      <c r="T10568" t="s">
        <v>49349</v>
      </c>
      <c r="U10568" t="s">
        <v>58251</v>
      </c>
      <c r="W10568" t="s">
        <v>64483</v>
      </c>
      <c r="X10568" t="s">
        <v>47315</v>
      </c>
    </row>
    <row r="10569" spans="1:24">
      <c r="A10569">
        <f>HYPERLINK("https://www.philgeps.gov.ph/GEPSNONPILOT/Tender/SplashBidNoticeAbstractUI.aspx?menuIndex=3&amp;refID=7181371&amp;Result=3","7181371")</f>
        <v>0</v>
      </c>
      <c r="B10569" t="s">
        <v>3152</v>
      </c>
      <c r="C10569" t="s">
        <v>13827</v>
      </c>
      <c r="D10569" t="s">
        <v>18993</v>
      </c>
      <c r="E10569" t="s">
        <v>28125</v>
      </c>
      <c r="F10569" t="s">
        <v>32608</v>
      </c>
      <c r="G10569" t="s">
        <v>32613</v>
      </c>
      <c r="H10569" t="s">
        <v>14201</v>
      </c>
      <c r="I10569" t="s">
        <v>6298</v>
      </c>
      <c r="J10569" t="s">
        <v>39339</v>
      </c>
      <c r="K10569" t="s">
        <v>42630</v>
      </c>
      <c r="M10569" t="s">
        <v>46368</v>
      </c>
      <c r="N10569" t="s">
        <v>47304</v>
      </c>
      <c r="O10569" t="s">
        <v>47305</v>
      </c>
      <c r="P10569">
        <v>0</v>
      </c>
      <c r="Q10569">
        <v>0</v>
      </c>
      <c r="R10569" t="s">
        <v>47314</v>
      </c>
      <c r="S10569" t="s">
        <v>47596</v>
      </c>
      <c r="T10569" t="s">
        <v>48986</v>
      </c>
      <c r="U10569" t="s">
        <v>58252</v>
      </c>
      <c r="W10569" t="s">
        <v>46368</v>
      </c>
      <c r="X10569" t="s">
        <v>47315</v>
      </c>
    </row>
    <row r="10570" spans="1:24">
      <c r="A10570">
        <f>HYPERLINK("https://www.philgeps.gov.ph/GEPSNONPILOT/Tender/SplashBidNoticeAbstractUI.aspx?menuIndex=3&amp;refID=7181382&amp;Result=3","7181382")</f>
        <v>0</v>
      </c>
      <c r="B10570" t="s">
        <v>362</v>
      </c>
      <c r="C10570" t="s">
        <v>13828</v>
      </c>
      <c r="D10570" t="s">
        <v>19023</v>
      </c>
      <c r="E10570" t="s">
        <v>28126</v>
      </c>
      <c r="F10570" t="s">
        <v>32606</v>
      </c>
      <c r="G10570" t="s">
        <v>32613</v>
      </c>
      <c r="H10570" t="s">
        <v>14201</v>
      </c>
      <c r="I10570" t="s">
        <v>32629</v>
      </c>
      <c r="J10570" t="s">
        <v>39340</v>
      </c>
      <c r="K10570" t="s">
        <v>42630</v>
      </c>
      <c r="M10570" t="s">
        <v>43264</v>
      </c>
      <c r="N10570" t="s">
        <v>47304</v>
      </c>
      <c r="O10570" t="s">
        <v>47305</v>
      </c>
      <c r="P10570">
        <v>0</v>
      </c>
      <c r="Q10570">
        <v>0</v>
      </c>
      <c r="R10570" t="s">
        <v>47314</v>
      </c>
      <c r="S10570" t="s">
        <v>47596</v>
      </c>
      <c r="T10570" t="s">
        <v>49077</v>
      </c>
      <c r="U10570" t="s">
        <v>53681</v>
      </c>
      <c r="V10570" t="s">
        <v>63769</v>
      </c>
      <c r="W10570" t="s">
        <v>43264</v>
      </c>
      <c r="X10570" t="s">
        <v>47315</v>
      </c>
    </row>
    <row r="10571" spans="1:24">
      <c r="A10571">
        <f>HYPERLINK("https://www.philgeps.gov.ph/GEPSNONPILOT/Tender/SplashBidNoticeAbstractUI.aspx?menuIndex=3&amp;refID=7181301&amp;Result=3","7181301")</f>
        <v>0</v>
      </c>
      <c r="B10571" t="s">
        <v>2953</v>
      </c>
      <c r="C10571" t="s">
        <v>13829</v>
      </c>
      <c r="D10571" t="s">
        <v>19020</v>
      </c>
      <c r="E10571" t="s">
        <v>28127</v>
      </c>
      <c r="F10571" t="s">
        <v>32606</v>
      </c>
      <c r="G10571" t="s">
        <v>32619</v>
      </c>
      <c r="H10571" t="s">
        <v>14201</v>
      </c>
      <c r="I10571" t="s">
        <v>4120</v>
      </c>
      <c r="J10571" t="s">
        <v>35578</v>
      </c>
      <c r="K10571" t="s">
        <v>42636</v>
      </c>
      <c r="M10571" t="s">
        <v>46137</v>
      </c>
      <c r="N10571" t="s">
        <v>47304</v>
      </c>
      <c r="O10571" t="s">
        <v>47305</v>
      </c>
      <c r="P10571">
        <v>0</v>
      </c>
      <c r="Q10571">
        <v>2</v>
      </c>
      <c r="R10571" t="s">
        <v>47314</v>
      </c>
      <c r="S10571" t="s">
        <v>47596</v>
      </c>
      <c r="T10571" t="s">
        <v>49448</v>
      </c>
      <c r="U10571" t="s">
        <v>58253</v>
      </c>
      <c r="W10571" t="s">
        <v>46137</v>
      </c>
      <c r="X10571" t="s">
        <v>47315</v>
      </c>
    </row>
    <row r="10572" spans="1:24">
      <c r="A10572">
        <f>HYPERLINK("https://www.philgeps.gov.ph/GEPSNONPILOT/Tender/SplashBidNoticeAbstractUI.aspx?menuIndex=3&amp;refID=7181336&amp;Result=3","7181336")</f>
        <v>0</v>
      </c>
      <c r="B10572" t="s">
        <v>1377</v>
      </c>
      <c r="C10572" t="s">
        <v>13830</v>
      </c>
      <c r="D10572" t="s">
        <v>19061</v>
      </c>
      <c r="E10572" t="s">
        <v>28128</v>
      </c>
      <c r="F10572" t="s">
        <v>32606</v>
      </c>
      <c r="G10572" t="s">
        <v>32613</v>
      </c>
      <c r="H10572" t="s">
        <v>32623</v>
      </c>
      <c r="I10572" t="s">
        <v>17648</v>
      </c>
      <c r="J10572" t="s">
        <v>39341</v>
      </c>
      <c r="K10572" t="s">
        <v>42645</v>
      </c>
      <c r="M10572" t="s">
        <v>46369</v>
      </c>
      <c r="N10572" t="s">
        <v>47304</v>
      </c>
      <c r="O10572" t="s">
        <v>47305</v>
      </c>
      <c r="P10572">
        <v>0</v>
      </c>
      <c r="Q10572">
        <v>6</v>
      </c>
      <c r="R10572" t="s">
        <v>47314</v>
      </c>
      <c r="S10572" t="s">
        <v>47596</v>
      </c>
      <c r="T10572" t="s">
        <v>49294</v>
      </c>
      <c r="U10572" t="s">
        <v>58254</v>
      </c>
      <c r="W10572" t="s">
        <v>64517</v>
      </c>
      <c r="X10572" t="s">
        <v>47315</v>
      </c>
    </row>
    <row r="10573" spans="1:24">
      <c r="A10573">
        <f>HYPERLINK("https://www.philgeps.gov.ph/GEPSNONPILOT/Tender/SplashBidNoticeAbstractUI.aspx?menuIndex=3&amp;refID=7181238&amp;Result=3","7181238")</f>
        <v>0</v>
      </c>
      <c r="B10573" t="s">
        <v>2964</v>
      </c>
      <c r="C10573" t="s">
        <v>13831</v>
      </c>
      <c r="D10573" t="s">
        <v>19034</v>
      </c>
      <c r="E10573" t="s">
        <v>28129</v>
      </c>
      <c r="F10573" t="s">
        <v>32606</v>
      </c>
      <c r="G10573" t="s">
        <v>32614</v>
      </c>
      <c r="H10573" t="s">
        <v>14201</v>
      </c>
      <c r="I10573" t="s">
        <v>6931</v>
      </c>
      <c r="J10573" t="s">
        <v>39342</v>
      </c>
      <c r="K10573" t="s">
        <v>42623</v>
      </c>
      <c r="M10573" t="s">
        <v>46149</v>
      </c>
      <c r="N10573" t="s">
        <v>47304</v>
      </c>
      <c r="O10573" t="s">
        <v>47305</v>
      </c>
      <c r="P10573">
        <v>0</v>
      </c>
      <c r="Q10573">
        <v>0</v>
      </c>
      <c r="R10573" t="s">
        <v>47314</v>
      </c>
      <c r="S10573" t="s">
        <v>47596</v>
      </c>
      <c r="T10573" t="s">
        <v>49373</v>
      </c>
      <c r="U10573" t="s">
        <v>58255</v>
      </c>
      <c r="W10573" t="s">
        <v>46149</v>
      </c>
      <c r="X10573" t="s">
        <v>47315</v>
      </c>
    </row>
    <row r="10574" spans="1:24">
      <c r="A10574">
        <f>HYPERLINK("https://www.philgeps.gov.ph/GEPSNONPILOT/Tender/SplashBidNoticeAbstractUI.aspx?menuIndex=3&amp;refID=7181249&amp;Result=3","7181249")</f>
        <v>0</v>
      </c>
      <c r="B10574" t="s">
        <v>1893</v>
      </c>
      <c r="C10574" t="s">
        <v>13832</v>
      </c>
      <c r="D10574" t="s">
        <v>19039</v>
      </c>
      <c r="E10574" t="s">
        <v>28130</v>
      </c>
      <c r="F10574" t="s">
        <v>32606</v>
      </c>
      <c r="G10574" t="s">
        <v>32619</v>
      </c>
      <c r="H10574" t="s">
        <v>14201</v>
      </c>
      <c r="I10574" t="s">
        <v>7577</v>
      </c>
      <c r="J10574" t="s">
        <v>39343</v>
      </c>
      <c r="K10574" t="s">
        <v>42624</v>
      </c>
      <c r="M10574" t="s">
        <v>44952</v>
      </c>
      <c r="N10574" t="s">
        <v>47304</v>
      </c>
      <c r="O10574" t="s">
        <v>47305</v>
      </c>
      <c r="Q10574">
        <v>3</v>
      </c>
      <c r="R10574" t="s">
        <v>47314</v>
      </c>
      <c r="S10574" t="s">
        <v>47626</v>
      </c>
      <c r="T10574" t="s">
        <v>49002</v>
      </c>
      <c r="U10574" t="s">
        <v>58256</v>
      </c>
      <c r="W10574" t="s">
        <v>44952</v>
      </c>
      <c r="X10574" t="s">
        <v>47315</v>
      </c>
    </row>
    <row r="10575" spans="1:24">
      <c r="A10575">
        <f>HYPERLINK("https://www.philgeps.gov.ph/GEPSNONPILOT/Tender/SplashBidNoticeAbstractUI.aspx?menuIndex=3&amp;refID=7181384&amp;Result=3","7181384")</f>
        <v>0</v>
      </c>
      <c r="B10575" t="s">
        <v>1855</v>
      </c>
      <c r="C10575" t="s">
        <v>13833</v>
      </c>
      <c r="D10575" t="s">
        <v>19044</v>
      </c>
      <c r="E10575" t="s">
        <v>28131</v>
      </c>
      <c r="F10575" t="s">
        <v>32606</v>
      </c>
      <c r="G10575" t="s">
        <v>32613</v>
      </c>
      <c r="H10575" t="s">
        <v>32623</v>
      </c>
      <c r="I10575" t="s">
        <v>17648</v>
      </c>
      <c r="J10575" t="s">
        <v>39344</v>
      </c>
      <c r="K10575" t="s">
        <v>42730</v>
      </c>
      <c r="M10575" t="s">
        <v>44910</v>
      </c>
      <c r="N10575" t="s">
        <v>47304</v>
      </c>
      <c r="O10575" t="s">
        <v>47305</v>
      </c>
      <c r="P10575">
        <v>0</v>
      </c>
      <c r="Q10575">
        <v>1</v>
      </c>
      <c r="R10575" t="s">
        <v>47314</v>
      </c>
      <c r="S10575" t="s">
        <v>47596</v>
      </c>
      <c r="T10575" t="s">
        <v>49395</v>
      </c>
      <c r="U10575" t="s">
        <v>58257</v>
      </c>
      <c r="W10575" t="s">
        <v>64483</v>
      </c>
      <c r="X10575" t="s">
        <v>47315</v>
      </c>
    </row>
    <row r="10576" spans="1:24">
      <c r="A10576">
        <f>HYPERLINK("https://www.philgeps.gov.ph/GEPSNONPILOT/Tender/SplashBidNoticeAbstractUI.aspx?menuIndex=3&amp;refID=7181245&amp;Result=3","7181245")</f>
        <v>0</v>
      </c>
      <c r="B10576" t="s">
        <v>3142</v>
      </c>
      <c r="C10576" t="s">
        <v>13834</v>
      </c>
      <c r="D10576" t="s">
        <v>19003</v>
      </c>
      <c r="E10576" t="s">
        <v>26266</v>
      </c>
      <c r="F10576" t="s">
        <v>32606</v>
      </c>
      <c r="G10576" t="s">
        <v>32613</v>
      </c>
      <c r="H10576" t="s">
        <v>14201</v>
      </c>
      <c r="I10576" t="s">
        <v>6931</v>
      </c>
      <c r="J10576" t="s">
        <v>39345</v>
      </c>
      <c r="K10576" t="s">
        <v>42622</v>
      </c>
      <c r="M10576" t="s">
        <v>46357</v>
      </c>
      <c r="N10576" t="s">
        <v>47304</v>
      </c>
      <c r="O10576" t="s">
        <v>47305</v>
      </c>
      <c r="Q10576">
        <v>3</v>
      </c>
      <c r="R10576" t="s">
        <v>47314</v>
      </c>
      <c r="S10576" t="s">
        <v>47627</v>
      </c>
      <c r="T10576" t="s">
        <v>49086</v>
      </c>
      <c r="U10576" t="s">
        <v>58258</v>
      </c>
      <c r="V10576" t="s">
        <v>63770</v>
      </c>
      <c r="W10576" t="s">
        <v>46357</v>
      </c>
      <c r="X10576" t="s">
        <v>47315</v>
      </c>
    </row>
    <row r="10577" spans="1:24">
      <c r="A10577">
        <f>HYPERLINK("https://www.philgeps.gov.ph/GEPSNONPILOT/Tender/SplashBidNoticeAbstractUI.aspx?menuIndex=3&amp;refID=7181266&amp;Result=3","7181266")</f>
        <v>0</v>
      </c>
      <c r="B10577" t="s">
        <v>3153</v>
      </c>
      <c r="C10577" t="s">
        <v>13835</v>
      </c>
      <c r="D10577" t="s">
        <v>19008</v>
      </c>
      <c r="E10577" t="s">
        <v>28132</v>
      </c>
      <c r="F10577" t="s">
        <v>32606</v>
      </c>
      <c r="G10577" t="s">
        <v>32613</v>
      </c>
      <c r="H10577" t="s">
        <v>14201</v>
      </c>
      <c r="I10577" t="s">
        <v>6931</v>
      </c>
      <c r="J10577" t="s">
        <v>39346</v>
      </c>
      <c r="K10577" t="s">
        <v>42638</v>
      </c>
      <c r="M10577" t="s">
        <v>46370</v>
      </c>
      <c r="N10577" t="s">
        <v>47304</v>
      </c>
      <c r="O10577" t="s">
        <v>47305</v>
      </c>
      <c r="P10577">
        <v>0</v>
      </c>
      <c r="Q10577">
        <v>0</v>
      </c>
      <c r="R10577" t="s">
        <v>47314</v>
      </c>
      <c r="S10577" t="s">
        <v>47596</v>
      </c>
      <c r="T10577" t="s">
        <v>49200</v>
      </c>
      <c r="U10577" t="s">
        <v>58259</v>
      </c>
      <c r="W10577" t="s">
        <v>46370</v>
      </c>
      <c r="X10577" t="s">
        <v>47315</v>
      </c>
    </row>
    <row r="10578" spans="1:24">
      <c r="A10578">
        <f>HYPERLINK("https://www.philgeps.gov.ph/GEPSNONPILOT/Tender/SplashBidNoticeAbstractUI.aspx?menuIndex=3&amp;refID=7181340&amp;Result=3","7181340")</f>
        <v>0</v>
      </c>
      <c r="B10578" t="s">
        <v>3142</v>
      </c>
      <c r="C10578" t="s">
        <v>13836</v>
      </c>
      <c r="D10578" t="s">
        <v>19003</v>
      </c>
      <c r="E10578" t="s">
        <v>26266</v>
      </c>
      <c r="F10578" t="s">
        <v>32606</v>
      </c>
      <c r="G10578" t="s">
        <v>32613</v>
      </c>
      <c r="H10578" t="s">
        <v>14201</v>
      </c>
      <c r="I10578" t="s">
        <v>9013</v>
      </c>
      <c r="J10578" t="s">
        <v>39308</v>
      </c>
      <c r="K10578" t="s">
        <v>42622</v>
      </c>
      <c r="M10578" t="s">
        <v>46357</v>
      </c>
      <c r="N10578" t="s">
        <v>47304</v>
      </c>
      <c r="O10578" t="s">
        <v>47305</v>
      </c>
      <c r="Q10578">
        <v>7</v>
      </c>
      <c r="R10578" t="s">
        <v>47314</v>
      </c>
      <c r="S10578" t="s">
        <v>47628</v>
      </c>
      <c r="T10578" t="s">
        <v>49086</v>
      </c>
      <c r="U10578" t="s">
        <v>58260</v>
      </c>
      <c r="V10578" t="s">
        <v>63771</v>
      </c>
      <c r="W10578" t="s">
        <v>46357</v>
      </c>
      <c r="X10578" t="s">
        <v>47315</v>
      </c>
    </row>
    <row r="10579" spans="1:24">
      <c r="A10579">
        <f>HYPERLINK("https://www.philgeps.gov.ph/GEPSNONPILOT/Tender/SplashBidNoticeAbstractUI.aspx?menuIndex=3&amp;refID=7181518&amp;Result=3","7181518")</f>
        <v>0</v>
      </c>
      <c r="B10579" t="s">
        <v>3154</v>
      </c>
      <c r="C10579" t="s">
        <v>13837</v>
      </c>
      <c r="D10579" t="s">
        <v>19037</v>
      </c>
      <c r="E10579" t="s">
        <v>20242</v>
      </c>
      <c r="F10579" t="s">
        <v>32606</v>
      </c>
      <c r="G10579" t="s">
        <v>32613</v>
      </c>
      <c r="H10579" t="s">
        <v>14201</v>
      </c>
      <c r="I10579" t="s">
        <v>32725</v>
      </c>
      <c r="J10579" t="s">
        <v>32999</v>
      </c>
      <c r="K10579" t="s">
        <v>42629</v>
      </c>
      <c r="M10579" t="s">
        <v>46371</v>
      </c>
      <c r="N10579" t="s">
        <v>47304</v>
      </c>
      <c r="O10579" t="s">
        <v>47305</v>
      </c>
      <c r="P10579">
        <v>0</v>
      </c>
      <c r="Q10579">
        <v>0</v>
      </c>
      <c r="R10579" t="s">
        <v>47314</v>
      </c>
      <c r="S10579" t="s">
        <v>47596</v>
      </c>
      <c r="T10579" t="s">
        <v>49269</v>
      </c>
      <c r="U10579" t="s">
        <v>58261</v>
      </c>
      <c r="V10579" t="s">
        <v>63772</v>
      </c>
      <c r="W10579" t="s">
        <v>46371</v>
      </c>
      <c r="X10579" t="s">
        <v>47315</v>
      </c>
    </row>
    <row r="10580" spans="1:24">
      <c r="A10580">
        <f>HYPERLINK("https://www.philgeps.gov.ph/GEPSNONPILOT/Tender/SplashBidNoticeAbstractUI.aspx?menuIndex=3&amp;refID=7181509&amp;Result=3","7181509")</f>
        <v>0</v>
      </c>
      <c r="B10580" t="s">
        <v>733</v>
      </c>
      <c r="C10580" t="s">
        <v>13838</v>
      </c>
      <c r="D10580" t="s">
        <v>19010</v>
      </c>
      <c r="E10580" t="s">
        <v>28133</v>
      </c>
      <c r="F10580" t="s">
        <v>32606</v>
      </c>
      <c r="G10580" t="s">
        <v>32613</v>
      </c>
      <c r="H10580" t="s">
        <v>14201</v>
      </c>
      <c r="I10580" t="s">
        <v>4678</v>
      </c>
      <c r="J10580" t="s">
        <v>39347</v>
      </c>
      <c r="K10580" t="s">
        <v>42624</v>
      </c>
      <c r="M10580" t="s">
        <v>43655</v>
      </c>
      <c r="N10580" t="s">
        <v>47304</v>
      </c>
      <c r="O10580" t="s">
        <v>47305</v>
      </c>
      <c r="P10580">
        <v>0</v>
      </c>
      <c r="Q10580">
        <v>8</v>
      </c>
      <c r="R10580" t="s">
        <v>47314</v>
      </c>
      <c r="S10580" t="s">
        <v>47596</v>
      </c>
      <c r="T10580" t="s">
        <v>49052</v>
      </c>
      <c r="U10580" t="s">
        <v>50865</v>
      </c>
      <c r="W10580" t="s">
        <v>43655</v>
      </c>
      <c r="X10580" t="s">
        <v>47315</v>
      </c>
    </row>
    <row r="10581" spans="1:24">
      <c r="A10581">
        <f>HYPERLINK("https://www.philgeps.gov.ph/GEPSNONPILOT/Tender/SplashBidNoticeAbstractUI.aspx?menuIndex=3&amp;refID=7181356&amp;Result=3","7181356")</f>
        <v>0</v>
      </c>
      <c r="B10581" t="s">
        <v>3134</v>
      </c>
      <c r="C10581" t="s">
        <v>7582</v>
      </c>
      <c r="E10581" t="s">
        <v>19877</v>
      </c>
      <c r="F10581" t="s">
        <v>32606</v>
      </c>
      <c r="G10581" t="s">
        <v>32613</v>
      </c>
      <c r="H10581" t="s">
        <v>14201</v>
      </c>
      <c r="I10581" t="s">
        <v>7064</v>
      </c>
      <c r="J10581" t="s">
        <v>33231</v>
      </c>
      <c r="K10581" t="s">
        <v>42624</v>
      </c>
      <c r="M10581" t="s">
        <v>46372</v>
      </c>
      <c r="N10581" t="s">
        <v>47304</v>
      </c>
      <c r="O10581" t="s">
        <v>47305</v>
      </c>
      <c r="P10581">
        <v>0</v>
      </c>
      <c r="Q10581">
        <v>3</v>
      </c>
      <c r="R10581" t="s">
        <v>47314</v>
      </c>
      <c r="S10581" t="s">
        <v>47596</v>
      </c>
      <c r="T10581" t="s">
        <v>49023</v>
      </c>
      <c r="U10581" t="s">
        <v>58262</v>
      </c>
      <c r="W10581" t="s">
        <v>46372</v>
      </c>
      <c r="X10581" t="s">
        <v>47315</v>
      </c>
    </row>
    <row r="10582" spans="1:24">
      <c r="A10582">
        <f>HYPERLINK("https://www.philgeps.gov.ph/GEPSNONPILOT/Tender/SplashBidNoticeAbstractUI.aspx?menuIndex=3&amp;refID=7181355&amp;Result=3","7181355")</f>
        <v>0</v>
      </c>
      <c r="B10582" t="s">
        <v>3119</v>
      </c>
      <c r="C10582" t="s">
        <v>13839</v>
      </c>
      <c r="D10582" t="s">
        <v>19006</v>
      </c>
      <c r="E10582" t="s">
        <v>28134</v>
      </c>
      <c r="F10582" t="s">
        <v>32606</v>
      </c>
      <c r="G10582" t="s">
        <v>32613</v>
      </c>
      <c r="H10582" t="s">
        <v>32623</v>
      </c>
      <c r="I10582" t="s">
        <v>17648</v>
      </c>
      <c r="J10582" t="s">
        <v>39348</v>
      </c>
      <c r="K10582" t="s">
        <v>42643</v>
      </c>
      <c r="M10582" t="s">
        <v>46329</v>
      </c>
      <c r="N10582" t="s">
        <v>47304</v>
      </c>
      <c r="O10582" t="s">
        <v>47305</v>
      </c>
      <c r="P10582">
        <v>0</v>
      </c>
      <c r="Q10582">
        <v>0</v>
      </c>
      <c r="R10582" t="s">
        <v>47314</v>
      </c>
      <c r="S10582" t="s">
        <v>47596</v>
      </c>
      <c r="T10582" t="s">
        <v>49001</v>
      </c>
      <c r="U10582" t="s">
        <v>58227</v>
      </c>
      <c r="V10582" t="s">
        <v>63747</v>
      </c>
      <c r="W10582" t="s">
        <v>46329</v>
      </c>
      <c r="X10582" t="s">
        <v>47315</v>
      </c>
    </row>
    <row r="10583" spans="1:24">
      <c r="A10583">
        <f>HYPERLINK("https://www.philgeps.gov.ph/GEPSNONPILOT/Tender/SplashBidNoticeAbstractUI.aspx?menuIndex=3&amp;refID=7181497&amp;Result=3","7181497")</f>
        <v>0</v>
      </c>
      <c r="B10583" t="s">
        <v>733</v>
      </c>
      <c r="C10583" t="s">
        <v>13840</v>
      </c>
      <c r="D10583" t="s">
        <v>19010</v>
      </c>
      <c r="E10583" t="s">
        <v>20335</v>
      </c>
      <c r="F10583" t="s">
        <v>32606</v>
      </c>
      <c r="G10583" t="s">
        <v>32613</v>
      </c>
      <c r="H10583" t="s">
        <v>14201</v>
      </c>
      <c r="I10583" t="s">
        <v>6298</v>
      </c>
      <c r="J10583" t="s">
        <v>39349</v>
      </c>
      <c r="K10583" t="s">
        <v>42624</v>
      </c>
      <c r="M10583" t="s">
        <v>43655</v>
      </c>
      <c r="N10583" t="s">
        <v>47304</v>
      </c>
      <c r="O10583" t="s">
        <v>47305</v>
      </c>
      <c r="P10583">
        <v>0</v>
      </c>
      <c r="Q10583">
        <v>3</v>
      </c>
      <c r="R10583" t="s">
        <v>47314</v>
      </c>
      <c r="S10583" t="s">
        <v>47596</v>
      </c>
      <c r="T10583" t="s">
        <v>49071</v>
      </c>
      <c r="U10583" t="s">
        <v>50865</v>
      </c>
      <c r="W10583" t="s">
        <v>43655</v>
      </c>
      <c r="X10583" t="s">
        <v>47315</v>
      </c>
    </row>
    <row r="10584" spans="1:24">
      <c r="A10584">
        <f>HYPERLINK("https://www.philgeps.gov.ph/GEPSNONPILOT/Tender/SplashBidNoticeAbstractUI.aspx?menuIndex=3&amp;refID=7181451&amp;Result=3","7181451")</f>
        <v>0</v>
      </c>
      <c r="B10584" t="s">
        <v>3119</v>
      </c>
      <c r="C10584" t="s">
        <v>13841</v>
      </c>
      <c r="D10584" t="s">
        <v>19006</v>
      </c>
      <c r="E10584" t="s">
        <v>28135</v>
      </c>
      <c r="F10584" t="s">
        <v>32606</v>
      </c>
      <c r="G10584" t="s">
        <v>32613</v>
      </c>
      <c r="H10584" t="s">
        <v>32623</v>
      </c>
      <c r="I10584" t="s">
        <v>17648</v>
      </c>
      <c r="J10584" t="s">
        <v>39350</v>
      </c>
      <c r="K10584" t="s">
        <v>42636</v>
      </c>
      <c r="M10584" t="s">
        <v>46329</v>
      </c>
      <c r="N10584" t="s">
        <v>47304</v>
      </c>
      <c r="O10584" t="s">
        <v>47305</v>
      </c>
      <c r="P10584">
        <v>0</v>
      </c>
      <c r="Q10584">
        <v>0</v>
      </c>
      <c r="R10584" t="s">
        <v>47314</v>
      </c>
      <c r="S10584" t="s">
        <v>47596</v>
      </c>
      <c r="T10584" t="s">
        <v>49001</v>
      </c>
      <c r="U10584" t="s">
        <v>58227</v>
      </c>
      <c r="V10584" t="s">
        <v>63747</v>
      </c>
      <c r="W10584" t="s">
        <v>46329</v>
      </c>
      <c r="X10584" t="s">
        <v>47315</v>
      </c>
    </row>
    <row r="10585" spans="1:24">
      <c r="A10585">
        <f>HYPERLINK("https://www.philgeps.gov.ph/GEPSNONPILOT/Tender/SplashBidNoticeAbstractUI.aspx?menuIndex=3&amp;refID=7181488&amp;Result=3","7181488")</f>
        <v>0</v>
      </c>
      <c r="B10585" t="s">
        <v>3119</v>
      </c>
      <c r="C10585" t="s">
        <v>13842</v>
      </c>
      <c r="D10585" t="s">
        <v>19006</v>
      </c>
      <c r="E10585" t="s">
        <v>28136</v>
      </c>
      <c r="F10585" t="s">
        <v>32606</v>
      </c>
      <c r="G10585" t="s">
        <v>32613</v>
      </c>
      <c r="H10585" t="s">
        <v>32623</v>
      </c>
      <c r="I10585" t="s">
        <v>17648</v>
      </c>
      <c r="J10585" t="s">
        <v>39351</v>
      </c>
      <c r="K10585" t="s">
        <v>42636</v>
      </c>
      <c r="M10585" t="s">
        <v>46329</v>
      </c>
      <c r="N10585" t="s">
        <v>47304</v>
      </c>
      <c r="O10585" t="s">
        <v>47305</v>
      </c>
      <c r="P10585">
        <v>0</v>
      </c>
      <c r="Q10585">
        <v>0</v>
      </c>
      <c r="R10585" t="s">
        <v>47314</v>
      </c>
      <c r="S10585" t="s">
        <v>47596</v>
      </c>
      <c r="T10585" t="s">
        <v>49001</v>
      </c>
      <c r="U10585" t="s">
        <v>58227</v>
      </c>
      <c r="V10585" t="s">
        <v>63747</v>
      </c>
      <c r="W10585" t="s">
        <v>46329</v>
      </c>
      <c r="X10585" t="s">
        <v>47315</v>
      </c>
    </row>
    <row r="10586" spans="1:24">
      <c r="A10586">
        <f>HYPERLINK("https://www.philgeps.gov.ph/GEPSNONPILOT/Tender/SplashBidNoticeAbstractUI.aspx?menuIndex=3&amp;refID=7181419&amp;Result=3","7181419")</f>
        <v>0</v>
      </c>
      <c r="B10586" t="s">
        <v>3155</v>
      </c>
      <c r="C10586" t="s">
        <v>13843</v>
      </c>
      <c r="D10586" t="s">
        <v>19012</v>
      </c>
      <c r="E10586" t="s">
        <v>28137</v>
      </c>
      <c r="F10586" t="s">
        <v>32606</v>
      </c>
      <c r="G10586" t="s">
        <v>32613</v>
      </c>
      <c r="H10586" t="s">
        <v>14201</v>
      </c>
      <c r="I10586" t="s">
        <v>32650</v>
      </c>
      <c r="J10586" t="s">
        <v>39352</v>
      </c>
      <c r="K10586" t="s">
        <v>42639</v>
      </c>
      <c r="M10586" t="s">
        <v>46373</v>
      </c>
      <c r="N10586" t="s">
        <v>47304</v>
      </c>
      <c r="O10586" t="s">
        <v>47305</v>
      </c>
      <c r="P10586">
        <v>0</v>
      </c>
      <c r="Q10586">
        <v>2</v>
      </c>
      <c r="R10586" t="s">
        <v>47314</v>
      </c>
      <c r="S10586" t="s">
        <v>47596</v>
      </c>
      <c r="T10586" t="s">
        <v>49170</v>
      </c>
      <c r="U10586" t="s">
        <v>58263</v>
      </c>
      <c r="W10586" t="s">
        <v>46373</v>
      </c>
      <c r="X10586" t="s">
        <v>47315</v>
      </c>
    </row>
    <row r="10587" spans="1:24">
      <c r="A10587">
        <f>HYPERLINK("https://www.philgeps.gov.ph/GEPSNONPILOT/Tender/SplashBidNoticeAbstractUI.aspx?menuIndex=3&amp;refID=7181487&amp;Result=3","7181487")</f>
        <v>0</v>
      </c>
      <c r="B10587" t="s">
        <v>2977</v>
      </c>
      <c r="C10587" t="s">
        <v>13844</v>
      </c>
      <c r="D10587" t="s">
        <v>19058</v>
      </c>
      <c r="E10587" t="s">
        <v>28138</v>
      </c>
      <c r="F10587" t="s">
        <v>32608</v>
      </c>
      <c r="G10587" t="s">
        <v>32613</v>
      </c>
      <c r="H10587" t="s">
        <v>14201</v>
      </c>
      <c r="I10587" t="s">
        <v>4120</v>
      </c>
      <c r="J10587" t="s">
        <v>33757</v>
      </c>
      <c r="K10587" t="s">
        <v>42636</v>
      </c>
      <c r="M10587" t="s">
        <v>46164</v>
      </c>
      <c r="N10587" t="s">
        <v>47304</v>
      </c>
      <c r="O10587" t="s">
        <v>47305</v>
      </c>
      <c r="P10587">
        <v>0</v>
      </c>
      <c r="Q10587">
        <v>2</v>
      </c>
      <c r="R10587" t="s">
        <v>47314</v>
      </c>
      <c r="S10587" t="s">
        <v>47596</v>
      </c>
      <c r="T10587" t="s">
        <v>48986</v>
      </c>
      <c r="U10587" t="s">
        <v>58264</v>
      </c>
      <c r="W10587" t="s">
        <v>46164</v>
      </c>
      <c r="X10587" t="s">
        <v>47315</v>
      </c>
    </row>
    <row r="10588" spans="1:24">
      <c r="A10588">
        <f>HYPERLINK("https://www.philgeps.gov.ph/GEPSNONPILOT/Tender/SplashBidNoticeAbstractUI.aspx?menuIndex=3&amp;refID=7181483&amp;Result=3","7181483")</f>
        <v>0</v>
      </c>
      <c r="B10588" t="s">
        <v>733</v>
      </c>
      <c r="C10588" t="s">
        <v>13845</v>
      </c>
      <c r="D10588" t="s">
        <v>19010</v>
      </c>
      <c r="E10588" t="s">
        <v>21514</v>
      </c>
      <c r="F10588" t="s">
        <v>32606</v>
      </c>
      <c r="G10588" t="s">
        <v>32613</v>
      </c>
      <c r="H10588" t="s">
        <v>14201</v>
      </c>
      <c r="I10588" t="s">
        <v>4114</v>
      </c>
      <c r="J10588" t="s">
        <v>39353</v>
      </c>
      <c r="K10588" t="s">
        <v>42624</v>
      </c>
      <c r="M10588" t="s">
        <v>43655</v>
      </c>
      <c r="N10588" t="s">
        <v>47304</v>
      </c>
      <c r="O10588" t="s">
        <v>47305</v>
      </c>
      <c r="P10588">
        <v>0</v>
      </c>
      <c r="Q10588">
        <v>3</v>
      </c>
      <c r="R10588" t="s">
        <v>47314</v>
      </c>
      <c r="S10588" t="s">
        <v>47596</v>
      </c>
      <c r="T10588" t="s">
        <v>49071</v>
      </c>
      <c r="U10588" t="s">
        <v>50865</v>
      </c>
      <c r="W10588" t="s">
        <v>43655</v>
      </c>
      <c r="X10588" t="s">
        <v>47315</v>
      </c>
    </row>
    <row r="10589" spans="1:24">
      <c r="A10589">
        <f>HYPERLINK("https://www.philgeps.gov.ph/GEPSNONPILOT/Tender/SplashBidNoticeAbstractUI.aspx?menuIndex=3&amp;refID=7181479&amp;Result=3","7181479")</f>
        <v>0</v>
      </c>
      <c r="B10589" t="s">
        <v>3156</v>
      </c>
      <c r="C10589" t="s">
        <v>13846</v>
      </c>
      <c r="D10589" t="s">
        <v>19021</v>
      </c>
      <c r="E10589" t="s">
        <v>28139</v>
      </c>
      <c r="F10589" t="s">
        <v>32606</v>
      </c>
      <c r="G10589" t="s">
        <v>32613</v>
      </c>
      <c r="H10589" t="s">
        <v>32623</v>
      </c>
      <c r="I10589" t="s">
        <v>17648</v>
      </c>
      <c r="J10589" t="s">
        <v>39354</v>
      </c>
      <c r="K10589" t="s">
        <v>42646</v>
      </c>
      <c r="M10589" t="s">
        <v>46374</v>
      </c>
      <c r="N10589" t="s">
        <v>47304</v>
      </c>
      <c r="O10589" t="s">
        <v>47305</v>
      </c>
      <c r="Q10589">
        <v>4</v>
      </c>
      <c r="R10589" t="s">
        <v>47314</v>
      </c>
      <c r="S10589" t="s">
        <v>47629</v>
      </c>
      <c r="T10589" t="s">
        <v>49033</v>
      </c>
      <c r="U10589" t="s">
        <v>58265</v>
      </c>
      <c r="W10589" t="s">
        <v>46374</v>
      </c>
      <c r="X10589" t="s">
        <v>47315</v>
      </c>
    </row>
    <row r="10590" spans="1:24">
      <c r="A10590">
        <f>HYPERLINK("https://www.philgeps.gov.ph/GEPSNONPILOT/Tender/SplashBidNoticeAbstractUI.aspx?menuIndex=3&amp;refID=7181513&amp;Result=3","7181513")</f>
        <v>0</v>
      </c>
      <c r="B10590" t="s">
        <v>3119</v>
      </c>
      <c r="C10590" t="s">
        <v>13847</v>
      </c>
      <c r="D10590" t="s">
        <v>19006</v>
      </c>
      <c r="E10590" t="s">
        <v>28140</v>
      </c>
      <c r="F10590" t="s">
        <v>32606</v>
      </c>
      <c r="G10590" t="s">
        <v>32613</v>
      </c>
      <c r="H10590" t="s">
        <v>32623</v>
      </c>
      <c r="I10590" t="s">
        <v>17648</v>
      </c>
      <c r="J10590" t="s">
        <v>39355</v>
      </c>
      <c r="K10590" t="s">
        <v>42682</v>
      </c>
      <c r="M10590" t="s">
        <v>46329</v>
      </c>
      <c r="N10590" t="s">
        <v>47304</v>
      </c>
      <c r="O10590" t="s">
        <v>47305</v>
      </c>
      <c r="P10590">
        <v>0</v>
      </c>
      <c r="Q10590">
        <v>1</v>
      </c>
      <c r="R10590" t="s">
        <v>47314</v>
      </c>
      <c r="S10590" t="s">
        <v>47596</v>
      </c>
      <c r="T10590" t="s">
        <v>49001</v>
      </c>
      <c r="U10590" t="s">
        <v>58227</v>
      </c>
      <c r="V10590" t="s">
        <v>63747</v>
      </c>
      <c r="W10590" t="s">
        <v>46329</v>
      </c>
      <c r="X10590" t="s">
        <v>47315</v>
      </c>
    </row>
    <row r="10591" spans="1:24">
      <c r="A10591">
        <f>HYPERLINK("https://www.philgeps.gov.ph/GEPSNONPILOT/Tender/SplashBidNoticeAbstractUI.aspx?menuIndex=3&amp;refID=7181250&amp;Result=3","7181250")</f>
        <v>0</v>
      </c>
      <c r="B10591" t="s">
        <v>362</v>
      </c>
      <c r="C10591" t="s">
        <v>13848</v>
      </c>
      <c r="D10591" t="s">
        <v>19023</v>
      </c>
      <c r="E10591" t="s">
        <v>28141</v>
      </c>
      <c r="F10591" t="s">
        <v>32606</v>
      </c>
      <c r="G10591" t="s">
        <v>32613</v>
      </c>
      <c r="H10591" t="s">
        <v>32623</v>
      </c>
      <c r="I10591" t="s">
        <v>17648</v>
      </c>
      <c r="J10591" t="s">
        <v>39325</v>
      </c>
      <c r="K10591" t="s">
        <v>42645</v>
      </c>
      <c r="M10591" t="s">
        <v>43264</v>
      </c>
      <c r="N10591" t="s">
        <v>47304</v>
      </c>
      <c r="O10591" t="s">
        <v>47305</v>
      </c>
      <c r="P10591">
        <v>0</v>
      </c>
      <c r="Q10591">
        <v>3</v>
      </c>
      <c r="R10591" t="s">
        <v>47314</v>
      </c>
      <c r="S10591" t="s">
        <v>47596</v>
      </c>
      <c r="T10591" t="s">
        <v>49057</v>
      </c>
      <c r="U10591" t="s">
        <v>58266</v>
      </c>
      <c r="W10591" t="s">
        <v>43264</v>
      </c>
      <c r="X10591" t="s">
        <v>47315</v>
      </c>
    </row>
    <row r="10592" spans="1:24">
      <c r="A10592">
        <f>HYPERLINK("https://www.philgeps.gov.ph/GEPSNONPILOT/Tender/SplashBidNoticeAbstractUI.aspx?menuIndex=3&amp;refID=7181470&amp;Result=3","7181470")</f>
        <v>0</v>
      </c>
      <c r="B10592" t="s">
        <v>733</v>
      </c>
      <c r="C10592" t="s">
        <v>13849</v>
      </c>
      <c r="D10592" t="s">
        <v>19010</v>
      </c>
      <c r="E10592" t="s">
        <v>20898</v>
      </c>
      <c r="F10592" t="s">
        <v>32606</v>
      </c>
      <c r="G10592" t="s">
        <v>32615</v>
      </c>
      <c r="H10592" t="s">
        <v>14201</v>
      </c>
      <c r="I10592" t="s">
        <v>4112</v>
      </c>
      <c r="J10592" t="s">
        <v>39356</v>
      </c>
      <c r="K10592" t="s">
        <v>42624</v>
      </c>
      <c r="M10592" t="s">
        <v>43655</v>
      </c>
      <c r="N10592" t="s">
        <v>47304</v>
      </c>
      <c r="O10592" t="s">
        <v>47305</v>
      </c>
      <c r="P10592">
        <v>0</v>
      </c>
      <c r="Q10592">
        <v>0</v>
      </c>
      <c r="R10592" t="s">
        <v>47314</v>
      </c>
      <c r="S10592" t="s">
        <v>47596</v>
      </c>
      <c r="T10592" t="s">
        <v>49071</v>
      </c>
      <c r="U10592" t="s">
        <v>50865</v>
      </c>
      <c r="W10592" t="s">
        <v>43655</v>
      </c>
      <c r="X10592" t="s">
        <v>47315</v>
      </c>
    </row>
    <row r="10593" spans="1:24">
      <c r="A10593">
        <f>HYPERLINK("https://www.philgeps.gov.ph/GEPSNONPILOT/Tender/SplashBidNoticeAbstractUI.aspx?menuIndex=3&amp;refID=7181503&amp;Result=3","7181503")</f>
        <v>0</v>
      </c>
      <c r="B10593" t="s">
        <v>3155</v>
      </c>
      <c r="C10593" t="s">
        <v>13850</v>
      </c>
      <c r="D10593" t="s">
        <v>19012</v>
      </c>
      <c r="E10593" t="s">
        <v>28142</v>
      </c>
      <c r="F10593" t="s">
        <v>32606</v>
      </c>
      <c r="G10593" t="s">
        <v>32613</v>
      </c>
      <c r="H10593" t="s">
        <v>14201</v>
      </c>
      <c r="I10593" t="s">
        <v>32650</v>
      </c>
      <c r="J10593" t="s">
        <v>39357</v>
      </c>
      <c r="K10593" t="s">
        <v>42639</v>
      </c>
      <c r="M10593" t="s">
        <v>46373</v>
      </c>
      <c r="N10593" t="s">
        <v>47304</v>
      </c>
      <c r="O10593" t="s">
        <v>47305</v>
      </c>
      <c r="P10593">
        <v>0</v>
      </c>
      <c r="Q10593">
        <v>2</v>
      </c>
      <c r="R10593" t="s">
        <v>47314</v>
      </c>
      <c r="S10593" t="s">
        <v>47596</v>
      </c>
      <c r="T10593" t="s">
        <v>49449</v>
      </c>
      <c r="U10593" t="s">
        <v>58263</v>
      </c>
      <c r="W10593" t="s">
        <v>46373</v>
      </c>
      <c r="X10593" t="s">
        <v>47315</v>
      </c>
    </row>
    <row r="10594" spans="1:24">
      <c r="A10594">
        <f>HYPERLINK("https://www.philgeps.gov.ph/GEPSNONPILOT/Tender/SplashBidNoticeAbstractUI.aspx?menuIndex=3&amp;refID=7181467&amp;Result=3","7181467")</f>
        <v>0</v>
      </c>
      <c r="B10594" t="s">
        <v>842</v>
      </c>
      <c r="C10594" t="s">
        <v>13851</v>
      </c>
      <c r="D10594" t="s">
        <v>19056</v>
      </c>
      <c r="E10594" t="s">
        <v>28143</v>
      </c>
      <c r="F10594" t="s">
        <v>32606</v>
      </c>
      <c r="G10594" t="s">
        <v>32613</v>
      </c>
      <c r="H10594" t="s">
        <v>14201</v>
      </c>
      <c r="I10594" t="s">
        <v>32663</v>
      </c>
      <c r="J10594" t="s">
        <v>33102</v>
      </c>
      <c r="K10594" t="s">
        <v>42636</v>
      </c>
      <c r="M10594" t="s">
        <v>43774</v>
      </c>
      <c r="N10594" t="s">
        <v>47304</v>
      </c>
      <c r="O10594" t="s">
        <v>47305</v>
      </c>
      <c r="P10594">
        <v>0</v>
      </c>
      <c r="Q10594">
        <v>3</v>
      </c>
      <c r="R10594" t="s">
        <v>47314</v>
      </c>
      <c r="S10594" t="s">
        <v>47596</v>
      </c>
      <c r="T10594" t="s">
        <v>49020</v>
      </c>
      <c r="U10594" t="s">
        <v>58267</v>
      </c>
      <c r="W10594" t="s">
        <v>43774</v>
      </c>
      <c r="X10594" t="s">
        <v>47315</v>
      </c>
    </row>
    <row r="10595" spans="1:24">
      <c r="A10595">
        <f>HYPERLINK("https://www.philgeps.gov.ph/GEPSNONPILOT/Tender/SplashBidNoticeAbstractUI.aspx?menuIndex=3&amp;refID=7181465&amp;Result=3","7181465")</f>
        <v>0</v>
      </c>
      <c r="B10595" t="s">
        <v>3157</v>
      </c>
      <c r="C10595" t="s">
        <v>13852</v>
      </c>
      <c r="D10595" t="s">
        <v>19010</v>
      </c>
      <c r="E10595" t="s">
        <v>28144</v>
      </c>
      <c r="F10595" t="s">
        <v>32607</v>
      </c>
      <c r="G10595" t="s">
        <v>32619</v>
      </c>
      <c r="H10595" t="s">
        <v>32623</v>
      </c>
      <c r="I10595" t="s">
        <v>6931</v>
      </c>
      <c r="J10595" t="s">
        <v>39358</v>
      </c>
      <c r="K10595" t="s">
        <v>42630</v>
      </c>
      <c r="L10595" t="s">
        <v>3157</v>
      </c>
      <c r="M10595" t="s">
        <v>46375</v>
      </c>
      <c r="N10595" t="s">
        <v>47304</v>
      </c>
      <c r="O10595" t="s">
        <v>47305</v>
      </c>
      <c r="P10595">
        <v>0</v>
      </c>
      <c r="Q10595">
        <v>0</v>
      </c>
      <c r="R10595" t="s">
        <v>47314</v>
      </c>
      <c r="S10595" t="s">
        <v>47596</v>
      </c>
      <c r="T10595" t="s">
        <v>48980</v>
      </c>
      <c r="U10595" t="s">
        <v>58268</v>
      </c>
      <c r="W10595" t="s">
        <v>46375</v>
      </c>
      <c r="X10595" t="s">
        <v>47315</v>
      </c>
    </row>
    <row r="10596" spans="1:24">
      <c r="A10596">
        <f>HYPERLINK("https://www.philgeps.gov.ph/GEPSNONPILOT/Tender/SplashBidNoticeAbstractUI.aspx?menuIndex=3&amp;refID=7181456&amp;Result=3","7181456")</f>
        <v>0</v>
      </c>
      <c r="B10596" t="s">
        <v>733</v>
      </c>
      <c r="C10596" t="s">
        <v>13853</v>
      </c>
      <c r="D10596" t="s">
        <v>19010</v>
      </c>
      <c r="E10596" t="s">
        <v>20667</v>
      </c>
      <c r="F10596" t="s">
        <v>32606</v>
      </c>
      <c r="G10596" t="s">
        <v>32613</v>
      </c>
      <c r="H10596" t="s">
        <v>14201</v>
      </c>
      <c r="I10596" t="s">
        <v>9008</v>
      </c>
      <c r="J10596" t="s">
        <v>39359</v>
      </c>
      <c r="K10596" t="s">
        <v>42624</v>
      </c>
      <c r="M10596" t="s">
        <v>43655</v>
      </c>
      <c r="N10596" t="s">
        <v>47304</v>
      </c>
      <c r="O10596" t="s">
        <v>47305</v>
      </c>
      <c r="P10596">
        <v>0</v>
      </c>
      <c r="Q10596">
        <v>0</v>
      </c>
      <c r="R10596" t="s">
        <v>47314</v>
      </c>
      <c r="S10596" t="s">
        <v>47596</v>
      </c>
      <c r="T10596" t="s">
        <v>49071</v>
      </c>
      <c r="U10596" t="s">
        <v>50865</v>
      </c>
      <c r="W10596" t="s">
        <v>43655</v>
      </c>
      <c r="X10596" t="s">
        <v>47315</v>
      </c>
    </row>
    <row r="10597" spans="1:24">
      <c r="A10597">
        <f>HYPERLINK("https://www.philgeps.gov.ph/GEPSNONPILOT/Tender/SplashBidNoticeAbstractUI.aspx?menuIndex=3&amp;refID=7181475&amp;Result=3","7181475")</f>
        <v>0</v>
      </c>
      <c r="B10597" t="s">
        <v>3155</v>
      </c>
      <c r="C10597" t="s">
        <v>13854</v>
      </c>
      <c r="D10597" t="s">
        <v>19012</v>
      </c>
      <c r="E10597" t="s">
        <v>28145</v>
      </c>
      <c r="F10597" t="s">
        <v>32606</v>
      </c>
      <c r="G10597" t="s">
        <v>32613</v>
      </c>
      <c r="H10597" t="s">
        <v>14201</v>
      </c>
      <c r="I10597" t="s">
        <v>6931</v>
      </c>
      <c r="J10597" t="s">
        <v>39360</v>
      </c>
      <c r="K10597" t="s">
        <v>42639</v>
      </c>
      <c r="M10597" t="s">
        <v>46373</v>
      </c>
      <c r="N10597" t="s">
        <v>47304</v>
      </c>
      <c r="O10597" t="s">
        <v>47305</v>
      </c>
      <c r="P10597">
        <v>0</v>
      </c>
      <c r="Q10597">
        <v>1</v>
      </c>
      <c r="R10597" t="s">
        <v>47314</v>
      </c>
      <c r="S10597" t="s">
        <v>47596</v>
      </c>
      <c r="T10597" t="s">
        <v>49450</v>
      </c>
      <c r="U10597" t="s">
        <v>58263</v>
      </c>
      <c r="W10597" t="s">
        <v>46373</v>
      </c>
      <c r="X10597" t="s">
        <v>47315</v>
      </c>
    </row>
    <row r="10598" spans="1:24">
      <c r="A10598">
        <f>HYPERLINK("https://www.philgeps.gov.ph/GEPSNONPILOT/Tender/SplashBidNoticeAbstractUI.aspx?menuIndex=3&amp;refID=7181241&amp;Result=3","7181241")</f>
        <v>0</v>
      </c>
      <c r="B10598" t="s">
        <v>496</v>
      </c>
      <c r="C10598" t="s">
        <v>13855</v>
      </c>
      <c r="E10598" t="s">
        <v>28146</v>
      </c>
      <c r="F10598" t="s">
        <v>32606</v>
      </c>
      <c r="G10598" t="s">
        <v>32614</v>
      </c>
      <c r="H10598" t="s">
        <v>14201</v>
      </c>
      <c r="I10598" t="s">
        <v>6931</v>
      </c>
      <c r="J10598" t="s">
        <v>39361</v>
      </c>
      <c r="K10598" t="s">
        <v>42631</v>
      </c>
      <c r="M10598" t="s">
        <v>45233</v>
      </c>
      <c r="N10598" t="s">
        <v>47304</v>
      </c>
      <c r="O10598" t="s">
        <v>47305</v>
      </c>
      <c r="P10598">
        <v>0</v>
      </c>
      <c r="Q10598">
        <v>0</v>
      </c>
      <c r="R10598" t="s">
        <v>47314</v>
      </c>
      <c r="S10598" t="s">
        <v>47596</v>
      </c>
      <c r="T10598" t="s">
        <v>49047</v>
      </c>
      <c r="U10598" t="s">
        <v>58269</v>
      </c>
      <c r="W10598" t="s">
        <v>64494</v>
      </c>
      <c r="X10598" t="s">
        <v>47315</v>
      </c>
    </row>
    <row r="10599" spans="1:24">
      <c r="A10599">
        <f>HYPERLINK("https://www.philgeps.gov.ph/GEPSNONPILOT/Tender/SplashBidNoticeAbstractUI.aspx?menuIndex=3&amp;refID=7181474&amp;Result=3","7181474")</f>
        <v>0</v>
      </c>
      <c r="B10599" t="s">
        <v>1410</v>
      </c>
      <c r="C10599" t="s">
        <v>13856</v>
      </c>
      <c r="D10599" t="s">
        <v>19056</v>
      </c>
      <c r="E10599" t="s">
        <v>28147</v>
      </c>
      <c r="F10599" t="s">
        <v>32606</v>
      </c>
      <c r="G10599" t="s">
        <v>32613</v>
      </c>
      <c r="H10599" t="s">
        <v>32623</v>
      </c>
      <c r="I10599" t="s">
        <v>17648</v>
      </c>
      <c r="J10599" t="s">
        <v>39362</v>
      </c>
      <c r="K10599" t="s">
        <v>42631</v>
      </c>
      <c r="M10599" t="s">
        <v>44397</v>
      </c>
      <c r="N10599" t="s">
        <v>47304</v>
      </c>
      <c r="O10599" t="s">
        <v>47305</v>
      </c>
      <c r="P10599">
        <v>0</v>
      </c>
      <c r="Q10599">
        <v>0</v>
      </c>
      <c r="R10599" t="s">
        <v>47314</v>
      </c>
      <c r="S10599" t="s">
        <v>47596</v>
      </c>
      <c r="T10599" t="s">
        <v>49052</v>
      </c>
      <c r="U10599" t="s">
        <v>58270</v>
      </c>
      <c r="W10599" t="s">
        <v>44397</v>
      </c>
      <c r="X10599" t="s">
        <v>47315</v>
      </c>
    </row>
    <row r="10600" spans="1:24">
      <c r="A10600">
        <f>HYPERLINK("https://www.philgeps.gov.ph/GEPSNONPILOT/Tender/SplashBidNoticeAbstractUI.aspx?menuIndex=3&amp;refID=7181493&amp;Result=3","7181493")</f>
        <v>0</v>
      </c>
      <c r="B10600" t="s">
        <v>1410</v>
      </c>
      <c r="C10600" t="s">
        <v>13857</v>
      </c>
      <c r="D10600" t="s">
        <v>19056</v>
      </c>
      <c r="E10600" t="s">
        <v>28148</v>
      </c>
      <c r="F10600" t="s">
        <v>32606</v>
      </c>
      <c r="G10600" t="s">
        <v>32613</v>
      </c>
      <c r="H10600" t="s">
        <v>32623</v>
      </c>
      <c r="I10600" t="s">
        <v>17648</v>
      </c>
      <c r="J10600" t="s">
        <v>39363</v>
      </c>
      <c r="K10600" t="s">
        <v>42631</v>
      </c>
      <c r="M10600" t="s">
        <v>44397</v>
      </c>
      <c r="N10600" t="s">
        <v>47304</v>
      </c>
      <c r="O10600" t="s">
        <v>47305</v>
      </c>
      <c r="P10600">
        <v>0</v>
      </c>
      <c r="Q10600">
        <v>0</v>
      </c>
      <c r="R10600" t="s">
        <v>47314</v>
      </c>
      <c r="S10600" t="s">
        <v>47596</v>
      </c>
      <c r="T10600" t="s">
        <v>49052</v>
      </c>
      <c r="U10600" t="s">
        <v>58270</v>
      </c>
      <c r="W10600" t="s">
        <v>44397</v>
      </c>
      <c r="X10600" t="s">
        <v>47315</v>
      </c>
    </row>
    <row r="10601" spans="1:24">
      <c r="A10601">
        <f>HYPERLINK("https://www.philgeps.gov.ph/GEPSNONPILOT/Tender/SplashBidNoticeAbstractUI.aspx?menuIndex=3&amp;refID=7181103&amp;Result=3","7181103")</f>
        <v>0</v>
      </c>
      <c r="B10601" t="s">
        <v>3158</v>
      </c>
      <c r="C10601" t="s">
        <v>13858</v>
      </c>
      <c r="D10601" t="s">
        <v>19063</v>
      </c>
      <c r="E10601" t="s">
        <v>28149</v>
      </c>
      <c r="F10601" t="s">
        <v>32606</v>
      </c>
      <c r="G10601" t="s">
        <v>32613</v>
      </c>
      <c r="H10601" t="s">
        <v>14201</v>
      </c>
      <c r="I10601" t="s">
        <v>6298</v>
      </c>
      <c r="J10601" t="s">
        <v>39364</v>
      </c>
      <c r="K10601" t="s">
        <v>42632</v>
      </c>
      <c r="M10601" t="s">
        <v>46376</v>
      </c>
      <c r="N10601" t="s">
        <v>47304</v>
      </c>
      <c r="O10601" t="s">
        <v>47305</v>
      </c>
      <c r="P10601">
        <v>0</v>
      </c>
      <c r="Q10601">
        <v>3</v>
      </c>
      <c r="R10601" t="s">
        <v>47314</v>
      </c>
      <c r="S10601" t="s">
        <v>47596</v>
      </c>
      <c r="T10601" t="s">
        <v>49095</v>
      </c>
      <c r="U10601" t="s">
        <v>58271</v>
      </c>
      <c r="W10601" t="s">
        <v>46376</v>
      </c>
      <c r="X10601" t="s">
        <v>47315</v>
      </c>
    </row>
    <row r="10602" spans="1:24">
      <c r="A10602">
        <f>HYPERLINK("https://www.philgeps.gov.ph/GEPSNONPILOT/Tender/SplashBidNoticeAbstractUI.aspx?menuIndex=3&amp;refID=7181457&amp;Result=3","7181457")</f>
        <v>0</v>
      </c>
      <c r="B10602" t="s">
        <v>1410</v>
      </c>
      <c r="C10602" t="s">
        <v>13859</v>
      </c>
      <c r="D10602" t="s">
        <v>19056</v>
      </c>
      <c r="E10602" t="s">
        <v>28150</v>
      </c>
      <c r="F10602" t="s">
        <v>32606</v>
      </c>
      <c r="G10602" t="s">
        <v>32613</v>
      </c>
      <c r="H10602" t="s">
        <v>32623</v>
      </c>
      <c r="I10602" t="s">
        <v>17648</v>
      </c>
      <c r="J10602" t="s">
        <v>33853</v>
      </c>
      <c r="K10602" t="s">
        <v>42631</v>
      </c>
      <c r="M10602" t="s">
        <v>44397</v>
      </c>
      <c r="N10602" t="s">
        <v>47304</v>
      </c>
      <c r="O10602" t="s">
        <v>47305</v>
      </c>
      <c r="P10602">
        <v>0</v>
      </c>
      <c r="Q10602">
        <v>0</v>
      </c>
      <c r="R10602" t="s">
        <v>47314</v>
      </c>
      <c r="S10602" t="s">
        <v>47596</v>
      </c>
      <c r="T10602" t="s">
        <v>49052</v>
      </c>
      <c r="U10602" t="s">
        <v>58272</v>
      </c>
      <c r="W10602" t="s">
        <v>44397</v>
      </c>
      <c r="X10602" t="s">
        <v>47315</v>
      </c>
    </row>
    <row r="10603" spans="1:24">
      <c r="A10603">
        <f>HYPERLINK("https://www.philgeps.gov.ph/GEPSNONPILOT/Tender/SplashBidNoticeAbstractUI.aspx?menuIndex=3&amp;refID=7181448&amp;Result=3","7181448")</f>
        <v>0</v>
      </c>
      <c r="B10603" t="s">
        <v>1410</v>
      </c>
      <c r="C10603" t="s">
        <v>13860</v>
      </c>
      <c r="D10603" t="s">
        <v>19056</v>
      </c>
      <c r="E10603" t="s">
        <v>28151</v>
      </c>
      <c r="F10603" t="s">
        <v>32606</v>
      </c>
      <c r="G10603" t="s">
        <v>32613</v>
      </c>
      <c r="H10603" t="s">
        <v>32623</v>
      </c>
      <c r="I10603" t="s">
        <v>17648</v>
      </c>
      <c r="J10603" t="s">
        <v>39365</v>
      </c>
      <c r="K10603" t="s">
        <v>42631</v>
      </c>
      <c r="M10603" t="s">
        <v>44397</v>
      </c>
      <c r="N10603" t="s">
        <v>47304</v>
      </c>
      <c r="O10603" t="s">
        <v>47305</v>
      </c>
      <c r="P10603">
        <v>0</v>
      </c>
      <c r="Q10603">
        <v>0</v>
      </c>
      <c r="R10603" t="s">
        <v>47314</v>
      </c>
      <c r="S10603" t="s">
        <v>47596</v>
      </c>
      <c r="T10603" t="s">
        <v>49052</v>
      </c>
      <c r="U10603" t="s">
        <v>58273</v>
      </c>
      <c r="W10603" t="s">
        <v>44397</v>
      </c>
      <c r="X10603" t="s">
        <v>47315</v>
      </c>
    </row>
    <row r="10604" spans="1:24">
      <c r="A10604">
        <f>HYPERLINK("https://www.philgeps.gov.ph/GEPSNONPILOT/Tender/SplashBidNoticeAbstractUI.aspx?menuIndex=3&amp;refID=7181476&amp;Result=3","7181476")</f>
        <v>0</v>
      </c>
      <c r="B10604" t="s">
        <v>2981</v>
      </c>
      <c r="C10604" t="s">
        <v>13861</v>
      </c>
      <c r="D10604" t="s">
        <v>19038</v>
      </c>
      <c r="E10604" t="s">
        <v>28152</v>
      </c>
      <c r="F10604" t="s">
        <v>32606</v>
      </c>
      <c r="G10604" t="s">
        <v>32613</v>
      </c>
      <c r="H10604" t="s">
        <v>32623</v>
      </c>
      <c r="I10604" t="s">
        <v>17648</v>
      </c>
      <c r="J10604" t="s">
        <v>39366</v>
      </c>
      <c r="K10604" t="s">
        <v>42743</v>
      </c>
      <c r="M10604" t="s">
        <v>46168</v>
      </c>
      <c r="N10604" t="s">
        <v>47304</v>
      </c>
      <c r="O10604" t="s">
        <v>47305</v>
      </c>
      <c r="P10604">
        <v>0</v>
      </c>
      <c r="Q10604">
        <v>1</v>
      </c>
      <c r="R10604" t="s">
        <v>47314</v>
      </c>
      <c r="S10604" t="s">
        <v>47596</v>
      </c>
      <c r="T10604" t="s">
        <v>49160</v>
      </c>
      <c r="U10604" t="s">
        <v>58274</v>
      </c>
      <c r="W10604" t="s">
        <v>46168</v>
      </c>
      <c r="X10604" t="s">
        <v>47315</v>
      </c>
    </row>
    <row r="10605" spans="1:24">
      <c r="A10605">
        <f>HYPERLINK("https://www.philgeps.gov.ph/GEPSNONPILOT/Tender/SplashBidNoticeAbstractUI.aspx?menuIndex=3&amp;refID=7181106&amp;Result=3","7181106")</f>
        <v>0</v>
      </c>
      <c r="B10605" t="s">
        <v>362</v>
      </c>
      <c r="C10605" t="s">
        <v>13862</v>
      </c>
      <c r="D10605" t="s">
        <v>19023</v>
      </c>
      <c r="E10605" t="s">
        <v>28153</v>
      </c>
      <c r="F10605" t="s">
        <v>32606</v>
      </c>
      <c r="G10605" t="s">
        <v>32613</v>
      </c>
      <c r="H10605" t="s">
        <v>32623</v>
      </c>
      <c r="I10605" t="s">
        <v>17648</v>
      </c>
      <c r="J10605" t="s">
        <v>33231</v>
      </c>
      <c r="K10605" t="s">
        <v>42646</v>
      </c>
      <c r="M10605" t="s">
        <v>43264</v>
      </c>
      <c r="N10605" t="s">
        <v>47304</v>
      </c>
      <c r="O10605" t="s">
        <v>47305</v>
      </c>
      <c r="P10605">
        <v>0</v>
      </c>
      <c r="Q10605">
        <v>2</v>
      </c>
      <c r="R10605" t="s">
        <v>47314</v>
      </c>
      <c r="S10605" t="s">
        <v>47596</v>
      </c>
      <c r="T10605" t="s">
        <v>49057</v>
      </c>
      <c r="U10605" t="s">
        <v>58275</v>
      </c>
      <c r="W10605" t="s">
        <v>43264</v>
      </c>
      <c r="X10605" t="s">
        <v>47315</v>
      </c>
    </row>
    <row r="10606" spans="1:24">
      <c r="A10606">
        <f>HYPERLINK("https://www.philgeps.gov.ph/GEPSNONPILOT/Tender/SplashBidNoticeAbstractUI.aspx?menuIndex=3&amp;refID=7181027&amp;Result=3","7181027")</f>
        <v>0</v>
      </c>
      <c r="B10606" t="s">
        <v>433</v>
      </c>
      <c r="C10606" t="s">
        <v>13863</v>
      </c>
      <c r="D10606" t="s">
        <v>19012</v>
      </c>
      <c r="E10606" t="s">
        <v>28154</v>
      </c>
      <c r="F10606" t="s">
        <v>32606</v>
      </c>
      <c r="G10606" t="s">
        <v>32613</v>
      </c>
      <c r="H10606" t="s">
        <v>14201</v>
      </c>
      <c r="I10606" t="s">
        <v>32633</v>
      </c>
      <c r="J10606" t="s">
        <v>39367</v>
      </c>
      <c r="K10606" t="s">
        <v>42631</v>
      </c>
      <c r="M10606" t="s">
        <v>43339</v>
      </c>
      <c r="N10606" t="s">
        <v>47304</v>
      </c>
      <c r="O10606" t="s">
        <v>47305</v>
      </c>
      <c r="P10606">
        <v>0</v>
      </c>
      <c r="Q10606">
        <v>14</v>
      </c>
      <c r="R10606" t="s">
        <v>47314</v>
      </c>
      <c r="S10606" t="s">
        <v>47596</v>
      </c>
      <c r="T10606" t="s">
        <v>49086</v>
      </c>
      <c r="U10606" t="s">
        <v>58276</v>
      </c>
      <c r="W10606" t="s">
        <v>43339</v>
      </c>
      <c r="X10606" t="s">
        <v>47315</v>
      </c>
    </row>
    <row r="10607" spans="1:24">
      <c r="A10607">
        <f>HYPERLINK("https://www.philgeps.gov.ph/GEPSNONPILOT/Tender/SplashBidNoticeAbstractUI.aspx?menuIndex=3&amp;refID=7180851&amp;Result=3","7180851")</f>
        <v>0</v>
      </c>
      <c r="B10607" t="s">
        <v>3127</v>
      </c>
      <c r="C10607" t="s">
        <v>13864</v>
      </c>
      <c r="D10607" t="s">
        <v>19046</v>
      </c>
      <c r="E10607" t="s">
        <v>28155</v>
      </c>
      <c r="F10607" t="s">
        <v>32606</v>
      </c>
      <c r="G10607" t="s">
        <v>32613</v>
      </c>
      <c r="H10607" t="s">
        <v>32623</v>
      </c>
      <c r="I10607" t="s">
        <v>17648</v>
      </c>
      <c r="J10607" t="s">
        <v>39368</v>
      </c>
      <c r="K10607" t="s">
        <v>42636</v>
      </c>
      <c r="L10607" t="s">
        <v>3127</v>
      </c>
      <c r="M10607" t="s">
        <v>46338</v>
      </c>
      <c r="N10607" t="s">
        <v>47304</v>
      </c>
      <c r="O10607" t="s">
        <v>47305</v>
      </c>
      <c r="P10607">
        <v>0</v>
      </c>
      <c r="Q10607">
        <v>0</v>
      </c>
      <c r="R10607" t="s">
        <v>47314</v>
      </c>
      <c r="S10607" t="s">
        <v>47596</v>
      </c>
      <c r="T10607" t="s">
        <v>49234</v>
      </c>
      <c r="U10607" t="s">
        <v>58277</v>
      </c>
      <c r="V10607" t="s">
        <v>63757</v>
      </c>
      <c r="W10607" t="s">
        <v>46338</v>
      </c>
      <c r="X10607" t="s">
        <v>47315</v>
      </c>
    </row>
    <row r="10608" spans="1:24">
      <c r="A10608">
        <f>HYPERLINK("https://www.philgeps.gov.ph/GEPSNONPILOT/Tender/SplashBidNoticeAbstractUI.aspx?menuIndex=3&amp;refID=7180661&amp;Result=3","7180661")</f>
        <v>0</v>
      </c>
      <c r="B10608" t="s">
        <v>2868</v>
      </c>
      <c r="C10608" t="s">
        <v>13865</v>
      </c>
      <c r="D10608" t="s">
        <v>19010</v>
      </c>
      <c r="E10608" t="s">
        <v>28156</v>
      </c>
      <c r="F10608" t="s">
        <v>32606</v>
      </c>
      <c r="G10608" t="s">
        <v>32613</v>
      </c>
      <c r="H10608" t="s">
        <v>32623</v>
      </c>
      <c r="I10608" t="s">
        <v>17648</v>
      </c>
      <c r="J10608" t="s">
        <v>32772</v>
      </c>
      <c r="K10608" t="s">
        <v>42636</v>
      </c>
      <c r="M10608" t="s">
        <v>46039</v>
      </c>
      <c r="N10608" t="s">
        <v>47304</v>
      </c>
      <c r="O10608" t="s">
        <v>47305</v>
      </c>
      <c r="P10608">
        <v>0</v>
      </c>
      <c r="Q10608">
        <v>1</v>
      </c>
      <c r="R10608" t="s">
        <v>47314</v>
      </c>
      <c r="S10608" t="s">
        <v>47596</v>
      </c>
      <c r="T10608" t="s">
        <v>49170</v>
      </c>
      <c r="U10608" t="s">
        <v>58278</v>
      </c>
      <c r="W10608" t="s">
        <v>46039</v>
      </c>
      <c r="X10608" t="s">
        <v>47316</v>
      </c>
    </row>
    <row r="10609" spans="1:24">
      <c r="A10609">
        <f>HYPERLINK("https://www.philgeps.gov.ph/GEPSNONPILOT/Tender/SplashBidNoticeAbstractUI.aspx?menuIndex=3&amp;refID=7181040&amp;Result=3","7181040")</f>
        <v>0</v>
      </c>
      <c r="B10609" t="s">
        <v>3159</v>
      </c>
      <c r="C10609" t="s">
        <v>13866</v>
      </c>
      <c r="D10609" t="s">
        <v>19006</v>
      </c>
      <c r="E10609" t="s">
        <v>28157</v>
      </c>
      <c r="F10609" t="s">
        <v>32606</v>
      </c>
      <c r="G10609" t="s">
        <v>32613</v>
      </c>
      <c r="H10609" t="s">
        <v>32623</v>
      </c>
      <c r="I10609" t="s">
        <v>17648</v>
      </c>
      <c r="J10609" t="s">
        <v>34293</v>
      </c>
      <c r="K10609" t="s">
        <v>42778</v>
      </c>
      <c r="M10609" t="s">
        <v>46377</v>
      </c>
      <c r="N10609" t="s">
        <v>47304</v>
      </c>
      <c r="O10609" t="s">
        <v>47305</v>
      </c>
      <c r="P10609">
        <v>0</v>
      </c>
      <c r="Q10609">
        <v>0</v>
      </c>
      <c r="R10609" t="s">
        <v>47314</v>
      </c>
      <c r="S10609" t="s">
        <v>47596</v>
      </c>
      <c r="T10609" t="s">
        <v>49066</v>
      </c>
      <c r="U10609" t="s">
        <v>58279</v>
      </c>
      <c r="V10609" t="s">
        <v>63773</v>
      </c>
      <c r="W10609" t="s">
        <v>46377</v>
      </c>
      <c r="X10609" t="s">
        <v>47315</v>
      </c>
    </row>
    <row r="10610" spans="1:24">
      <c r="A10610">
        <f>HYPERLINK("https://www.philgeps.gov.ph/GEPSNONPILOT/Tender/SplashBidNoticeAbstractUI.aspx?menuIndex=3&amp;refID=7181038&amp;Result=3","7181038")</f>
        <v>0</v>
      </c>
      <c r="B10610" t="s">
        <v>3134</v>
      </c>
      <c r="C10610" t="s">
        <v>13867</v>
      </c>
      <c r="E10610" t="s">
        <v>28158</v>
      </c>
      <c r="F10610" t="s">
        <v>32606</v>
      </c>
      <c r="G10610" t="s">
        <v>32613</v>
      </c>
      <c r="H10610" t="s">
        <v>14201</v>
      </c>
      <c r="I10610" t="s">
        <v>6298</v>
      </c>
      <c r="J10610" t="s">
        <v>32789</v>
      </c>
      <c r="K10610" t="s">
        <v>42624</v>
      </c>
      <c r="M10610" t="s">
        <v>46346</v>
      </c>
      <c r="N10610" t="s">
        <v>47304</v>
      </c>
      <c r="O10610" t="s">
        <v>47305</v>
      </c>
      <c r="P10610">
        <v>0</v>
      </c>
      <c r="Q10610">
        <v>0</v>
      </c>
      <c r="R10610" t="s">
        <v>47314</v>
      </c>
      <c r="S10610" t="s">
        <v>47596</v>
      </c>
      <c r="T10610" t="s">
        <v>49023</v>
      </c>
      <c r="U10610" t="s">
        <v>58280</v>
      </c>
      <c r="W10610" t="s">
        <v>46346</v>
      </c>
      <c r="X10610" t="s">
        <v>47315</v>
      </c>
    </row>
    <row r="10611" spans="1:24">
      <c r="A10611">
        <f>HYPERLINK("https://www.philgeps.gov.ph/GEPSNONPILOT/Tender/SplashBidNoticeAbstractUI.aspx?menuIndex=3&amp;refID=7180659&amp;Result=3","7180659")</f>
        <v>0</v>
      </c>
      <c r="B10611" t="s">
        <v>2868</v>
      </c>
      <c r="C10611" t="s">
        <v>13868</v>
      </c>
      <c r="D10611" t="s">
        <v>19010</v>
      </c>
      <c r="E10611" t="s">
        <v>28159</v>
      </c>
      <c r="F10611" t="s">
        <v>32606</v>
      </c>
      <c r="G10611" t="s">
        <v>32613</v>
      </c>
      <c r="H10611" t="s">
        <v>32623</v>
      </c>
      <c r="I10611" t="s">
        <v>17648</v>
      </c>
      <c r="J10611" t="s">
        <v>32830</v>
      </c>
      <c r="K10611" t="s">
        <v>42648</v>
      </c>
      <c r="M10611" t="s">
        <v>46039</v>
      </c>
      <c r="N10611" t="s">
        <v>47304</v>
      </c>
      <c r="O10611" t="s">
        <v>47305</v>
      </c>
      <c r="P10611">
        <v>0</v>
      </c>
      <c r="Q10611">
        <v>1</v>
      </c>
      <c r="R10611" t="s">
        <v>47314</v>
      </c>
      <c r="S10611" t="s">
        <v>47596</v>
      </c>
      <c r="T10611" t="s">
        <v>49170</v>
      </c>
      <c r="U10611" t="s">
        <v>58281</v>
      </c>
      <c r="W10611" t="s">
        <v>46039</v>
      </c>
      <c r="X10611" t="s">
        <v>47316</v>
      </c>
    </row>
    <row r="10612" spans="1:24">
      <c r="A10612">
        <f>HYPERLINK("https://www.philgeps.gov.ph/GEPSNONPILOT/Tender/SplashBidNoticeAbstractUI.aspx?menuIndex=3&amp;refID=7181583&amp;Result=3","7181583")</f>
        <v>0</v>
      </c>
      <c r="B10612" t="s">
        <v>2871</v>
      </c>
      <c r="C10612" t="s">
        <v>13869</v>
      </c>
      <c r="D10612" t="s">
        <v>19022</v>
      </c>
      <c r="E10612" t="s">
        <v>28160</v>
      </c>
      <c r="F10612" t="s">
        <v>32606</v>
      </c>
      <c r="G10612" t="s">
        <v>32613</v>
      </c>
      <c r="H10612" t="s">
        <v>14201</v>
      </c>
      <c r="I10612" t="s">
        <v>6298</v>
      </c>
      <c r="J10612" t="s">
        <v>39369</v>
      </c>
      <c r="K10612" t="s">
        <v>42624</v>
      </c>
      <c r="M10612" t="s">
        <v>46378</v>
      </c>
      <c r="N10612" t="s">
        <v>47304</v>
      </c>
      <c r="O10612" t="s">
        <v>47305</v>
      </c>
      <c r="P10612">
        <v>0</v>
      </c>
      <c r="Q10612">
        <v>1</v>
      </c>
      <c r="R10612" t="s">
        <v>47314</v>
      </c>
      <c r="S10612" t="s">
        <v>47596</v>
      </c>
      <c r="T10612" t="s">
        <v>49347</v>
      </c>
      <c r="U10612" t="s">
        <v>58282</v>
      </c>
      <c r="W10612" t="s">
        <v>46378</v>
      </c>
      <c r="X10612" t="s">
        <v>47315</v>
      </c>
    </row>
    <row r="10613" spans="1:24">
      <c r="A10613">
        <f>HYPERLINK("https://www.philgeps.gov.ph/GEPSNONPILOT/Tender/SplashBidNoticeAbstractUI.aspx?menuIndex=3&amp;refID=7181033&amp;Result=3","7181033")</f>
        <v>0</v>
      </c>
      <c r="B10613" t="s">
        <v>3140</v>
      </c>
      <c r="C10613" t="s">
        <v>7900</v>
      </c>
      <c r="D10613" t="s">
        <v>19025</v>
      </c>
      <c r="E10613" t="s">
        <v>28161</v>
      </c>
      <c r="F10613" t="s">
        <v>32606</v>
      </c>
      <c r="G10613" t="s">
        <v>32613</v>
      </c>
      <c r="H10613" t="s">
        <v>14201</v>
      </c>
      <c r="I10613" t="s">
        <v>4120</v>
      </c>
      <c r="J10613" t="s">
        <v>34901</v>
      </c>
      <c r="K10613" t="s">
        <v>42630</v>
      </c>
      <c r="M10613" t="s">
        <v>46353</v>
      </c>
      <c r="N10613" t="s">
        <v>47304</v>
      </c>
      <c r="O10613" t="s">
        <v>47305</v>
      </c>
      <c r="P10613">
        <v>0</v>
      </c>
      <c r="Q10613">
        <v>3</v>
      </c>
      <c r="R10613" t="s">
        <v>47314</v>
      </c>
      <c r="S10613" t="s">
        <v>47596</v>
      </c>
      <c r="T10613" t="s">
        <v>49257</v>
      </c>
      <c r="U10613" t="s">
        <v>58209</v>
      </c>
      <c r="W10613" t="s">
        <v>46353</v>
      </c>
      <c r="X10613" t="s">
        <v>47315</v>
      </c>
    </row>
    <row r="10614" spans="1:24">
      <c r="A10614">
        <f>HYPERLINK("https://www.philgeps.gov.ph/GEPSNONPILOT/Tender/SplashBidNoticeAbstractUI.aspx?menuIndex=3&amp;refID=7181579&amp;Result=3","7181579")</f>
        <v>0</v>
      </c>
      <c r="B10614" t="s">
        <v>3160</v>
      </c>
      <c r="C10614" t="s">
        <v>13870</v>
      </c>
      <c r="D10614" t="s">
        <v>19056</v>
      </c>
      <c r="E10614" t="s">
        <v>21271</v>
      </c>
      <c r="F10614" t="s">
        <v>32606</v>
      </c>
      <c r="G10614" t="s">
        <v>32613</v>
      </c>
      <c r="H10614" t="s">
        <v>14201</v>
      </c>
      <c r="I10614" t="s">
        <v>32635</v>
      </c>
      <c r="J10614" t="s">
        <v>39370</v>
      </c>
      <c r="K10614" t="s">
        <v>42631</v>
      </c>
      <c r="M10614" t="s">
        <v>46379</v>
      </c>
      <c r="N10614" t="s">
        <v>47304</v>
      </c>
      <c r="O10614" t="s">
        <v>47305</v>
      </c>
      <c r="P10614">
        <v>0</v>
      </c>
      <c r="Q10614">
        <v>8</v>
      </c>
      <c r="R10614" t="s">
        <v>47314</v>
      </c>
      <c r="S10614" t="s">
        <v>47596</v>
      </c>
      <c r="T10614" t="s">
        <v>49140</v>
      </c>
      <c r="U10614" t="s">
        <v>53117</v>
      </c>
      <c r="W10614" t="s">
        <v>46379</v>
      </c>
      <c r="X10614" t="s">
        <v>47315</v>
      </c>
    </row>
    <row r="10615" spans="1:24">
      <c r="A10615">
        <f>HYPERLINK("https://www.philgeps.gov.ph/GEPSNONPILOT/Tender/SplashBidNoticeAbstractUI.aspx?menuIndex=3&amp;refID=7181576&amp;Result=3","7181576")</f>
        <v>0</v>
      </c>
      <c r="B10615" t="s">
        <v>1410</v>
      </c>
      <c r="C10615" t="s">
        <v>13871</v>
      </c>
      <c r="D10615" t="s">
        <v>19056</v>
      </c>
      <c r="E10615" t="s">
        <v>28162</v>
      </c>
      <c r="F10615" t="s">
        <v>32606</v>
      </c>
      <c r="G10615" t="s">
        <v>32613</v>
      </c>
      <c r="H10615" t="s">
        <v>32623</v>
      </c>
      <c r="I10615" t="s">
        <v>17648</v>
      </c>
      <c r="J10615" t="s">
        <v>34755</v>
      </c>
      <c r="K10615" t="s">
        <v>42631</v>
      </c>
      <c r="M10615" t="s">
        <v>44397</v>
      </c>
      <c r="N10615" t="s">
        <v>47304</v>
      </c>
      <c r="O10615" t="s">
        <v>47305</v>
      </c>
      <c r="P10615">
        <v>0</v>
      </c>
      <c r="Q10615">
        <v>0</v>
      </c>
      <c r="R10615" t="s">
        <v>47314</v>
      </c>
      <c r="S10615" t="s">
        <v>47596</v>
      </c>
      <c r="T10615" t="s">
        <v>49052</v>
      </c>
      <c r="U10615" t="s">
        <v>58283</v>
      </c>
      <c r="W10615" t="s">
        <v>44397</v>
      </c>
      <c r="X10615" t="s">
        <v>47315</v>
      </c>
    </row>
    <row r="10616" spans="1:24">
      <c r="A10616">
        <f>HYPERLINK("https://www.philgeps.gov.ph/GEPSNONPILOT/Tender/SplashBidNoticeAbstractUI.aspx?menuIndex=3&amp;refID=7181035&amp;Result=3","7181035")</f>
        <v>0</v>
      </c>
      <c r="B10616" t="s">
        <v>243</v>
      </c>
      <c r="C10616" t="s">
        <v>13872</v>
      </c>
      <c r="D10616" t="s">
        <v>19027</v>
      </c>
      <c r="E10616" t="s">
        <v>28163</v>
      </c>
      <c r="F10616" t="s">
        <v>32606</v>
      </c>
      <c r="G10616" t="s">
        <v>32619</v>
      </c>
      <c r="H10616" t="s">
        <v>14201</v>
      </c>
      <c r="I10616" t="s">
        <v>6993</v>
      </c>
      <c r="J10616" t="s">
        <v>38861</v>
      </c>
      <c r="K10616" t="s">
        <v>42624</v>
      </c>
      <c r="M10616" t="s">
        <v>44391</v>
      </c>
      <c r="N10616" t="s">
        <v>47304</v>
      </c>
      <c r="O10616" t="s">
        <v>47305</v>
      </c>
      <c r="P10616">
        <v>0</v>
      </c>
      <c r="Q10616">
        <v>3</v>
      </c>
      <c r="R10616" t="s">
        <v>47314</v>
      </c>
      <c r="S10616" t="s">
        <v>47596</v>
      </c>
      <c r="T10616" t="s">
        <v>49268</v>
      </c>
      <c r="U10616" t="s">
        <v>58284</v>
      </c>
      <c r="W10616" t="s">
        <v>64471</v>
      </c>
      <c r="X10616" t="s">
        <v>47315</v>
      </c>
    </row>
    <row r="10617" spans="1:24">
      <c r="A10617">
        <f>HYPERLINK("https://www.philgeps.gov.ph/GEPSNONPILOT/Tender/SplashBidNoticeAbstractUI.aspx?menuIndex=3&amp;refID=7181585&amp;Result=3","7181585")</f>
        <v>0</v>
      </c>
      <c r="B10617" t="s">
        <v>344</v>
      </c>
      <c r="C10617" t="s">
        <v>13873</v>
      </c>
      <c r="D10617" t="s">
        <v>19002</v>
      </c>
      <c r="E10617" t="s">
        <v>28164</v>
      </c>
      <c r="F10617" t="s">
        <v>32606</v>
      </c>
      <c r="G10617" t="s">
        <v>32613</v>
      </c>
      <c r="H10617" t="s">
        <v>32624</v>
      </c>
      <c r="I10617" t="s">
        <v>32628</v>
      </c>
      <c r="J10617" t="s">
        <v>39371</v>
      </c>
      <c r="K10617" t="s">
        <v>42783</v>
      </c>
      <c r="M10617" t="s">
        <v>43246</v>
      </c>
      <c r="N10617" t="s">
        <v>47304</v>
      </c>
      <c r="O10617" t="s">
        <v>47305</v>
      </c>
      <c r="Q10617">
        <v>1</v>
      </c>
      <c r="R10617" t="s">
        <v>47314</v>
      </c>
      <c r="S10617" t="s">
        <v>47630</v>
      </c>
      <c r="T10617" t="s">
        <v>49094</v>
      </c>
      <c r="U10617" t="s">
        <v>58285</v>
      </c>
      <c r="W10617" t="s">
        <v>43246</v>
      </c>
      <c r="X10617" t="s">
        <v>47315</v>
      </c>
    </row>
    <row r="10618" spans="1:24">
      <c r="A10618">
        <f>HYPERLINK("https://www.philgeps.gov.ph/GEPSNONPILOT/Tender/SplashBidNoticeAbstractUI.aspx?menuIndex=3&amp;refID=7181569&amp;Result=3","7181569")</f>
        <v>0</v>
      </c>
      <c r="B10618" t="s">
        <v>497</v>
      </c>
      <c r="C10618" t="s">
        <v>13874</v>
      </c>
      <c r="D10618" t="s">
        <v>18991</v>
      </c>
      <c r="E10618" t="s">
        <v>28165</v>
      </c>
      <c r="F10618" t="s">
        <v>32606</v>
      </c>
      <c r="G10618" t="s">
        <v>32613</v>
      </c>
      <c r="H10618" t="s">
        <v>14201</v>
      </c>
      <c r="I10618" t="s">
        <v>13131</v>
      </c>
      <c r="J10618" t="s">
        <v>39372</v>
      </c>
      <c r="K10618" t="s">
        <v>42624</v>
      </c>
      <c r="M10618" t="s">
        <v>46356</v>
      </c>
      <c r="N10618" t="s">
        <v>47304</v>
      </c>
      <c r="O10618" t="s">
        <v>47305</v>
      </c>
      <c r="P10618">
        <v>0</v>
      </c>
      <c r="Q10618">
        <v>12</v>
      </c>
      <c r="R10618" t="s">
        <v>47314</v>
      </c>
      <c r="S10618" t="s">
        <v>47596</v>
      </c>
      <c r="T10618" t="s">
        <v>49007</v>
      </c>
      <c r="U10618" t="s">
        <v>58286</v>
      </c>
      <c r="W10618" t="s">
        <v>46356</v>
      </c>
      <c r="X10618" t="s">
        <v>47315</v>
      </c>
    </row>
    <row r="10619" spans="1:24">
      <c r="A10619">
        <f>HYPERLINK("https://www.philgeps.gov.ph/GEPSNONPILOT/Tender/SplashBidNoticeAbstractUI.aspx?menuIndex=3&amp;refID=7181566&amp;Result=3","7181566")</f>
        <v>0</v>
      </c>
      <c r="B10619" t="s">
        <v>262</v>
      </c>
      <c r="C10619" t="s">
        <v>13875</v>
      </c>
      <c r="D10619" t="s">
        <v>19038</v>
      </c>
      <c r="E10619" t="s">
        <v>28166</v>
      </c>
      <c r="F10619" t="s">
        <v>32606</v>
      </c>
      <c r="G10619" t="s">
        <v>32613</v>
      </c>
      <c r="H10619" t="s">
        <v>14201</v>
      </c>
      <c r="I10619" t="s">
        <v>17648</v>
      </c>
      <c r="J10619" t="s">
        <v>39373</v>
      </c>
      <c r="K10619" t="s">
        <v>42638</v>
      </c>
      <c r="M10619" t="s">
        <v>43163</v>
      </c>
      <c r="N10619" t="s">
        <v>47304</v>
      </c>
      <c r="O10619" t="s">
        <v>47305</v>
      </c>
      <c r="P10619">
        <v>0</v>
      </c>
      <c r="Q10619">
        <v>1</v>
      </c>
      <c r="R10619" t="s">
        <v>47314</v>
      </c>
      <c r="S10619" t="s">
        <v>47596</v>
      </c>
      <c r="T10619" t="s">
        <v>49075</v>
      </c>
      <c r="U10619" t="s">
        <v>58287</v>
      </c>
      <c r="W10619" t="s">
        <v>43163</v>
      </c>
      <c r="X10619" t="s">
        <v>47315</v>
      </c>
    </row>
    <row r="10620" spans="1:24">
      <c r="A10620">
        <f>HYPERLINK("https://www.philgeps.gov.ph/GEPSNONPILOT/Tender/SplashBidNoticeAbstractUI.aspx?menuIndex=3&amp;refID=7181578&amp;Result=3","7181578")</f>
        <v>0</v>
      </c>
      <c r="B10620" t="s">
        <v>3119</v>
      </c>
      <c r="C10620" t="s">
        <v>13876</v>
      </c>
      <c r="D10620" t="s">
        <v>19006</v>
      </c>
      <c r="E10620" t="s">
        <v>28167</v>
      </c>
      <c r="F10620" t="s">
        <v>32606</v>
      </c>
      <c r="G10620" t="s">
        <v>32613</v>
      </c>
      <c r="H10620" t="s">
        <v>32623</v>
      </c>
      <c r="I10620" t="s">
        <v>17648</v>
      </c>
      <c r="J10620" t="s">
        <v>39374</v>
      </c>
      <c r="K10620" t="s">
        <v>42636</v>
      </c>
      <c r="M10620" t="s">
        <v>46329</v>
      </c>
      <c r="N10620" t="s">
        <v>47304</v>
      </c>
      <c r="O10620" t="s">
        <v>47305</v>
      </c>
      <c r="P10620">
        <v>0</v>
      </c>
      <c r="Q10620">
        <v>0</v>
      </c>
      <c r="R10620" t="s">
        <v>47314</v>
      </c>
      <c r="S10620" t="s">
        <v>47596</v>
      </c>
      <c r="T10620" t="s">
        <v>49001</v>
      </c>
      <c r="U10620" t="s">
        <v>58288</v>
      </c>
      <c r="V10620" t="s">
        <v>63747</v>
      </c>
      <c r="W10620" t="s">
        <v>46329</v>
      </c>
      <c r="X10620" t="s">
        <v>47315</v>
      </c>
    </row>
    <row r="10621" spans="1:24">
      <c r="A10621">
        <f>HYPERLINK("https://www.philgeps.gov.ph/GEPSNONPILOT/Tender/SplashBidNoticeAbstractUI.aspx?menuIndex=3&amp;refID=7181560&amp;Result=3","7181560")</f>
        <v>0</v>
      </c>
      <c r="B10621" t="s">
        <v>1410</v>
      </c>
      <c r="C10621" t="s">
        <v>13877</v>
      </c>
      <c r="D10621" t="s">
        <v>19056</v>
      </c>
      <c r="E10621" t="s">
        <v>28168</v>
      </c>
      <c r="F10621" t="s">
        <v>32606</v>
      </c>
      <c r="G10621" t="s">
        <v>32613</v>
      </c>
      <c r="H10621" t="s">
        <v>32623</v>
      </c>
      <c r="I10621" t="s">
        <v>17648</v>
      </c>
      <c r="J10621" t="s">
        <v>39375</v>
      </c>
      <c r="K10621" t="s">
        <v>42631</v>
      </c>
      <c r="M10621" t="s">
        <v>44397</v>
      </c>
      <c r="N10621" t="s">
        <v>47304</v>
      </c>
      <c r="O10621" t="s">
        <v>47305</v>
      </c>
      <c r="P10621">
        <v>0</v>
      </c>
      <c r="Q10621">
        <v>0</v>
      </c>
      <c r="R10621" t="s">
        <v>47314</v>
      </c>
      <c r="S10621" t="s">
        <v>47596</v>
      </c>
      <c r="T10621" t="s">
        <v>49052</v>
      </c>
      <c r="U10621" t="s">
        <v>58283</v>
      </c>
      <c r="W10621" t="s">
        <v>44397</v>
      </c>
      <c r="X10621" t="s">
        <v>47315</v>
      </c>
    </row>
    <row r="10622" spans="1:24">
      <c r="A10622">
        <f>HYPERLINK("https://www.philgeps.gov.ph/GEPSNONPILOT/Tender/SplashBidNoticeAbstractUI.aspx?menuIndex=3&amp;refID=7181555&amp;Result=3","7181555")</f>
        <v>0</v>
      </c>
      <c r="B10622" t="s">
        <v>3157</v>
      </c>
      <c r="C10622" t="s">
        <v>13878</v>
      </c>
      <c r="D10622" t="s">
        <v>19010</v>
      </c>
      <c r="E10622" t="s">
        <v>28144</v>
      </c>
      <c r="F10622" t="s">
        <v>32607</v>
      </c>
      <c r="G10622" t="s">
        <v>32613</v>
      </c>
      <c r="H10622" t="s">
        <v>32623</v>
      </c>
      <c r="I10622" t="s">
        <v>17648</v>
      </c>
      <c r="J10622" t="s">
        <v>39376</v>
      </c>
      <c r="K10622" t="s">
        <v>42654</v>
      </c>
      <c r="L10622" t="s">
        <v>3157</v>
      </c>
      <c r="M10622" t="s">
        <v>46375</v>
      </c>
      <c r="N10622" t="s">
        <v>47304</v>
      </c>
      <c r="O10622" t="s">
        <v>47305</v>
      </c>
      <c r="P10622">
        <v>0</v>
      </c>
      <c r="Q10622">
        <v>0</v>
      </c>
      <c r="R10622" t="s">
        <v>47314</v>
      </c>
      <c r="S10622" t="s">
        <v>47596</v>
      </c>
      <c r="T10622" t="s">
        <v>49140</v>
      </c>
      <c r="U10622" t="s">
        <v>58289</v>
      </c>
      <c r="W10622" t="s">
        <v>46375</v>
      </c>
      <c r="X10622" t="s">
        <v>47315</v>
      </c>
    </row>
    <row r="10623" spans="1:24">
      <c r="A10623">
        <f>HYPERLINK("https://www.philgeps.gov.ph/GEPSNONPILOT/Tender/SplashBidNoticeAbstractUI.aspx?menuIndex=3&amp;refID=7181551&amp;Result=3","7181551")</f>
        <v>0</v>
      </c>
      <c r="B10623" t="s">
        <v>733</v>
      </c>
      <c r="C10623" t="s">
        <v>13879</v>
      </c>
      <c r="D10623" t="s">
        <v>19010</v>
      </c>
      <c r="E10623" t="s">
        <v>28169</v>
      </c>
      <c r="F10623" t="s">
        <v>32606</v>
      </c>
      <c r="G10623" t="s">
        <v>32613</v>
      </c>
      <c r="H10623" t="s">
        <v>32623</v>
      </c>
      <c r="I10623" t="s">
        <v>17648</v>
      </c>
      <c r="J10623" t="s">
        <v>39377</v>
      </c>
      <c r="K10623" t="s">
        <v>42624</v>
      </c>
      <c r="M10623" t="s">
        <v>43655</v>
      </c>
      <c r="N10623" t="s">
        <v>47304</v>
      </c>
      <c r="O10623" t="s">
        <v>47305</v>
      </c>
      <c r="P10623">
        <v>0</v>
      </c>
      <c r="Q10623">
        <v>1</v>
      </c>
      <c r="R10623" t="s">
        <v>47314</v>
      </c>
      <c r="S10623" t="s">
        <v>47596</v>
      </c>
      <c r="T10623" t="s">
        <v>49071</v>
      </c>
      <c r="U10623" t="s">
        <v>50865</v>
      </c>
      <c r="W10623" t="s">
        <v>43655</v>
      </c>
      <c r="X10623" t="s">
        <v>47315</v>
      </c>
    </row>
    <row r="10624" spans="1:24">
      <c r="A10624">
        <f>HYPERLINK("https://www.philgeps.gov.ph/GEPSNONPILOT/Tender/SplashBidNoticeAbstractUI.aspx?menuIndex=3&amp;refID=7181575&amp;Result=3","7181575")</f>
        <v>0</v>
      </c>
      <c r="B10624" t="s">
        <v>2476</v>
      </c>
      <c r="C10624" t="s">
        <v>13880</v>
      </c>
      <c r="D10624" t="s">
        <v>19015</v>
      </c>
      <c r="E10624" t="s">
        <v>28170</v>
      </c>
      <c r="F10624" t="s">
        <v>32606</v>
      </c>
      <c r="G10624" t="s">
        <v>32613</v>
      </c>
      <c r="H10624" t="s">
        <v>32623</v>
      </c>
      <c r="I10624" t="s">
        <v>17648</v>
      </c>
      <c r="J10624" t="s">
        <v>39378</v>
      </c>
      <c r="K10624" t="s">
        <v>42651</v>
      </c>
      <c r="L10624" t="s">
        <v>2476</v>
      </c>
      <c r="M10624" t="s">
        <v>45612</v>
      </c>
      <c r="N10624" t="s">
        <v>47304</v>
      </c>
      <c r="O10624" t="s">
        <v>47305</v>
      </c>
      <c r="P10624">
        <v>0</v>
      </c>
      <c r="Q10624">
        <v>21</v>
      </c>
      <c r="R10624" t="s">
        <v>47314</v>
      </c>
      <c r="S10624" t="s">
        <v>47596</v>
      </c>
      <c r="T10624" t="s">
        <v>49037</v>
      </c>
      <c r="U10624" t="s">
        <v>58290</v>
      </c>
      <c r="W10624" t="s">
        <v>45612</v>
      </c>
      <c r="X10624" t="s">
        <v>47315</v>
      </c>
    </row>
    <row r="10625" spans="1:24">
      <c r="A10625">
        <f>HYPERLINK("https://www.philgeps.gov.ph/GEPSNONPILOT/Tender/SplashBidNoticeAbstractUI.aspx?menuIndex=3&amp;refID=7181542&amp;Result=3","7181542")</f>
        <v>0</v>
      </c>
      <c r="B10625" t="s">
        <v>1410</v>
      </c>
      <c r="C10625" t="s">
        <v>13881</v>
      </c>
      <c r="D10625" t="s">
        <v>19056</v>
      </c>
      <c r="E10625" t="s">
        <v>28171</v>
      </c>
      <c r="F10625" t="s">
        <v>32606</v>
      </c>
      <c r="G10625" t="s">
        <v>32613</v>
      </c>
      <c r="H10625" t="s">
        <v>32623</v>
      </c>
      <c r="I10625" t="s">
        <v>17648</v>
      </c>
      <c r="J10625" t="s">
        <v>32999</v>
      </c>
      <c r="K10625" t="s">
        <v>42627</v>
      </c>
      <c r="M10625" t="s">
        <v>44397</v>
      </c>
      <c r="N10625" t="s">
        <v>47304</v>
      </c>
      <c r="O10625" t="s">
        <v>47305</v>
      </c>
      <c r="P10625">
        <v>0</v>
      </c>
      <c r="Q10625">
        <v>0</v>
      </c>
      <c r="R10625" t="s">
        <v>47314</v>
      </c>
      <c r="S10625" t="s">
        <v>47596</v>
      </c>
      <c r="T10625" t="s">
        <v>49052</v>
      </c>
      <c r="U10625" t="s">
        <v>58291</v>
      </c>
      <c r="W10625" t="s">
        <v>44397</v>
      </c>
      <c r="X10625" t="s">
        <v>47315</v>
      </c>
    </row>
    <row r="10626" spans="1:24">
      <c r="A10626">
        <f>HYPERLINK("https://www.philgeps.gov.ph/GEPSNONPILOT/Tender/SplashBidNoticeAbstractUI.aspx?menuIndex=3&amp;refID=7181565&amp;Result=3","7181565")</f>
        <v>0</v>
      </c>
      <c r="B10626" t="s">
        <v>3133</v>
      </c>
      <c r="C10626" t="s">
        <v>13882</v>
      </c>
      <c r="D10626" t="s">
        <v>19042</v>
      </c>
      <c r="E10626" t="s">
        <v>28172</v>
      </c>
      <c r="F10626" t="s">
        <v>32606</v>
      </c>
      <c r="G10626" t="s">
        <v>32613</v>
      </c>
      <c r="H10626" t="s">
        <v>14201</v>
      </c>
      <c r="I10626" t="s">
        <v>7064</v>
      </c>
      <c r="J10626" t="s">
        <v>34669</v>
      </c>
      <c r="K10626" t="s">
        <v>42631</v>
      </c>
      <c r="M10626" t="s">
        <v>46345</v>
      </c>
      <c r="N10626" t="s">
        <v>47304</v>
      </c>
      <c r="O10626" t="s">
        <v>47305</v>
      </c>
      <c r="P10626">
        <v>0</v>
      </c>
      <c r="Q10626">
        <v>0</v>
      </c>
      <c r="R10626" t="s">
        <v>47314</v>
      </c>
      <c r="S10626" t="s">
        <v>47596</v>
      </c>
      <c r="T10626" t="s">
        <v>49096</v>
      </c>
      <c r="U10626" t="s">
        <v>58292</v>
      </c>
      <c r="W10626" t="s">
        <v>46345</v>
      </c>
      <c r="X10626" t="s">
        <v>47315</v>
      </c>
    </row>
    <row r="10627" spans="1:24">
      <c r="A10627">
        <f>HYPERLINK("https://www.philgeps.gov.ph/GEPSNONPILOT/Tender/SplashBidNoticeAbstractUI.aspx?menuIndex=3&amp;refID=7181534&amp;Result=3","7181534")</f>
        <v>0</v>
      </c>
      <c r="B10627" t="s">
        <v>733</v>
      </c>
      <c r="C10627" t="s">
        <v>13883</v>
      </c>
      <c r="D10627" t="s">
        <v>19010</v>
      </c>
      <c r="E10627" t="s">
        <v>28173</v>
      </c>
      <c r="F10627" t="s">
        <v>32606</v>
      </c>
      <c r="G10627" t="s">
        <v>32613</v>
      </c>
      <c r="H10627" t="s">
        <v>32623</v>
      </c>
      <c r="I10627" t="s">
        <v>17648</v>
      </c>
      <c r="J10627" t="s">
        <v>39379</v>
      </c>
      <c r="K10627" t="s">
        <v>42624</v>
      </c>
      <c r="M10627" t="s">
        <v>43655</v>
      </c>
      <c r="N10627" t="s">
        <v>47304</v>
      </c>
      <c r="O10627" t="s">
        <v>47305</v>
      </c>
      <c r="P10627">
        <v>0</v>
      </c>
      <c r="Q10627">
        <v>2</v>
      </c>
      <c r="R10627" t="s">
        <v>47314</v>
      </c>
      <c r="S10627" t="s">
        <v>47596</v>
      </c>
      <c r="T10627" t="s">
        <v>49071</v>
      </c>
      <c r="U10627" t="s">
        <v>50865</v>
      </c>
      <c r="W10627" t="s">
        <v>43655</v>
      </c>
      <c r="X10627" t="s">
        <v>47315</v>
      </c>
    </row>
    <row r="10628" spans="1:24">
      <c r="A10628">
        <f>HYPERLINK("https://www.philgeps.gov.ph/GEPSNONPILOT/Tender/SplashBidNoticeAbstractUI.aspx?menuIndex=3&amp;refID=7181531&amp;Result=3","7181531")</f>
        <v>0</v>
      </c>
      <c r="B10628" t="s">
        <v>2950</v>
      </c>
      <c r="C10628" t="s">
        <v>13884</v>
      </c>
      <c r="D10628" t="s">
        <v>19054</v>
      </c>
      <c r="E10628" t="s">
        <v>28174</v>
      </c>
      <c r="F10628" t="s">
        <v>32606</v>
      </c>
      <c r="G10628" t="s">
        <v>32613</v>
      </c>
      <c r="H10628" t="s">
        <v>32623</v>
      </c>
      <c r="I10628" t="s">
        <v>17648</v>
      </c>
      <c r="J10628" t="s">
        <v>39380</v>
      </c>
      <c r="K10628" t="s">
        <v>42682</v>
      </c>
      <c r="M10628" t="s">
        <v>46134</v>
      </c>
      <c r="N10628" t="s">
        <v>47304</v>
      </c>
      <c r="O10628" t="s">
        <v>47305</v>
      </c>
      <c r="P10628">
        <v>0</v>
      </c>
      <c r="Q10628">
        <v>2</v>
      </c>
      <c r="R10628" t="s">
        <v>47314</v>
      </c>
      <c r="S10628" t="s">
        <v>47596</v>
      </c>
      <c r="T10628" t="s">
        <v>49390</v>
      </c>
      <c r="U10628" t="s">
        <v>58293</v>
      </c>
      <c r="V10628" t="s">
        <v>63643</v>
      </c>
      <c r="W10628" t="s">
        <v>46134</v>
      </c>
      <c r="X10628" t="s">
        <v>47315</v>
      </c>
    </row>
    <row r="10629" spans="1:24">
      <c r="A10629">
        <f>HYPERLINK("https://www.philgeps.gov.ph/GEPSNONPILOT/Tender/SplashBidNoticeAbstractUI.aspx?menuIndex=3&amp;refID=7181523&amp;Result=3","7181523")</f>
        <v>0</v>
      </c>
      <c r="B10629" t="s">
        <v>1410</v>
      </c>
      <c r="C10629" t="s">
        <v>13885</v>
      </c>
      <c r="D10629" t="s">
        <v>19056</v>
      </c>
      <c r="E10629" t="s">
        <v>28175</v>
      </c>
      <c r="F10629" t="s">
        <v>32606</v>
      </c>
      <c r="G10629" t="s">
        <v>32613</v>
      </c>
      <c r="H10629" t="s">
        <v>32623</v>
      </c>
      <c r="I10629" t="s">
        <v>17648</v>
      </c>
      <c r="J10629" t="s">
        <v>39381</v>
      </c>
      <c r="K10629" t="s">
        <v>42631</v>
      </c>
      <c r="M10629" t="s">
        <v>44397</v>
      </c>
      <c r="N10629" t="s">
        <v>47304</v>
      </c>
      <c r="O10629" t="s">
        <v>47305</v>
      </c>
      <c r="P10629">
        <v>0</v>
      </c>
      <c r="Q10629">
        <v>0</v>
      </c>
      <c r="R10629" t="s">
        <v>47314</v>
      </c>
      <c r="S10629" t="s">
        <v>47596</v>
      </c>
      <c r="T10629" t="s">
        <v>49052</v>
      </c>
      <c r="U10629" t="s">
        <v>58294</v>
      </c>
      <c r="W10629" t="s">
        <v>44397</v>
      </c>
      <c r="X10629" t="s">
        <v>47315</v>
      </c>
    </row>
    <row r="10630" spans="1:24">
      <c r="A10630">
        <f>HYPERLINK("https://www.philgeps.gov.ph/GEPSNONPILOT/Tender/SplashBidNoticeAbstractUI.aspx?menuIndex=3&amp;refID=7181110&amp;Result=3","7181110")</f>
        <v>0</v>
      </c>
      <c r="B10630" t="s">
        <v>3134</v>
      </c>
      <c r="C10630" t="s">
        <v>4678</v>
      </c>
      <c r="E10630" t="s">
        <v>28176</v>
      </c>
      <c r="F10630" t="s">
        <v>32606</v>
      </c>
      <c r="G10630" t="s">
        <v>32613</v>
      </c>
      <c r="H10630" t="s">
        <v>14201</v>
      </c>
      <c r="I10630" t="s">
        <v>4114</v>
      </c>
      <c r="J10630" t="s">
        <v>39382</v>
      </c>
      <c r="K10630" t="s">
        <v>42624</v>
      </c>
      <c r="M10630" t="s">
        <v>46346</v>
      </c>
      <c r="N10630" t="s">
        <v>47304</v>
      </c>
      <c r="O10630" t="s">
        <v>47305</v>
      </c>
      <c r="P10630">
        <v>0</v>
      </c>
      <c r="Q10630">
        <v>5</v>
      </c>
      <c r="R10630" t="s">
        <v>47314</v>
      </c>
      <c r="S10630" t="s">
        <v>47596</v>
      </c>
      <c r="T10630" t="s">
        <v>49023</v>
      </c>
      <c r="U10630" t="s">
        <v>58295</v>
      </c>
      <c r="W10630" t="s">
        <v>46346</v>
      </c>
      <c r="X10630" t="s">
        <v>47315</v>
      </c>
    </row>
    <row r="10631" spans="1:24">
      <c r="A10631">
        <f>HYPERLINK("https://www.philgeps.gov.ph/GEPSNONPILOT/Tender/SplashBidNoticeAbstractUI.aspx?menuIndex=3&amp;refID=7181696&amp;Result=3","7181696")</f>
        <v>0</v>
      </c>
      <c r="B10631" t="s">
        <v>3141</v>
      </c>
      <c r="C10631" t="s">
        <v>13886</v>
      </c>
      <c r="D10631" t="s">
        <v>18993</v>
      </c>
      <c r="E10631" t="s">
        <v>28087</v>
      </c>
      <c r="F10631" t="s">
        <v>32606</v>
      </c>
      <c r="G10631" t="s">
        <v>32613</v>
      </c>
      <c r="H10631" t="s">
        <v>14201</v>
      </c>
      <c r="I10631" t="s">
        <v>32640</v>
      </c>
      <c r="J10631" t="s">
        <v>39383</v>
      </c>
      <c r="K10631" t="s">
        <v>42631</v>
      </c>
      <c r="M10631" t="s">
        <v>46355</v>
      </c>
      <c r="N10631" t="s">
        <v>47304</v>
      </c>
      <c r="O10631" t="s">
        <v>47305</v>
      </c>
      <c r="P10631">
        <v>0</v>
      </c>
      <c r="Q10631">
        <v>10</v>
      </c>
      <c r="R10631" t="s">
        <v>47314</v>
      </c>
      <c r="S10631" t="s">
        <v>47596</v>
      </c>
      <c r="T10631" t="s">
        <v>49050</v>
      </c>
      <c r="U10631" t="s">
        <v>58296</v>
      </c>
      <c r="W10631" t="s">
        <v>46355</v>
      </c>
      <c r="X10631" t="s">
        <v>47315</v>
      </c>
    </row>
    <row r="10632" spans="1:24">
      <c r="A10632">
        <f>HYPERLINK("https://www.philgeps.gov.ph/GEPSNONPILOT/Tender/SplashBidNoticeAbstractUI.aspx?menuIndex=3&amp;refID=7181690&amp;Result=3","7181690")</f>
        <v>0</v>
      </c>
      <c r="B10632" t="s">
        <v>3141</v>
      </c>
      <c r="C10632" t="s">
        <v>13887</v>
      </c>
      <c r="D10632" t="s">
        <v>18993</v>
      </c>
      <c r="E10632" t="s">
        <v>28087</v>
      </c>
      <c r="F10632" t="s">
        <v>32606</v>
      </c>
      <c r="G10632" t="s">
        <v>32613</v>
      </c>
      <c r="H10632" t="s">
        <v>14201</v>
      </c>
      <c r="I10632" t="s">
        <v>4678</v>
      </c>
      <c r="J10632" t="s">
        <v>39384</v>
      </c>
      <c r="K10632" t="s">
        <v>42631</v>
      </c>
      <c r="M10632" t="s">
        <v>46355</v>
      </c>
      <c r="N10632" t="s">
        <v>47304</v>
      </c>
      <c r="O10632" t="s">
        <v>47305</v>
      </c>
      <c r="P10632">
        <v>0</v>
      </c>
      <c r="Q10632">
        <v>7</v>
      </c>
      <c r="R10632" t="s">
        <v>47314</v>
      </c>
      <c r="S10632" t="s">
        <v>47596</v>
      </c>
      <c r="T10632" t="s">
        <v>49010</v>
      </c>
      <c r="U10632" t="s">
        <v>58297</v>
      </c>
      <c r="W10632" t="s">
        <v>46355</v>
      </c>
      <c r="X10632" t="s">
        <v>47315</v>
      </c>
    </row>
    <row r="10633" spans="1:24">
      <c r="A10633">
        <f>HYPERLINK("https://www.philgeps.gov.ph/GEPSNONPILOT/Tender/SplashBidNoticeAbstractUI.aspx?menuIndex=3&amp;refID=7181682&amp;Result=3","7181682")</f>
        <v>0</v>
      </c>
      <c r="B10633" t="s">
        <v>3161</v>
      </c>
      <c r="C10633" t="s">
        <v>13888</v>
      </c>
      <c r="D10633" t="s">
        <v>19003</v>
      </c>
      <c r="E10633" t="s">
        <v>19315</v>
      </c>
      <c r="F10633" t="s">
        <v>32606</v>
      </c>
      <c r="G10633" t="s">
        <v>32619</v>
      </c>
      <c r="H10633" t="s">
        <v>32623</v>
      </c>
      <c r="I10633" t="s">
        <v>6931</v>
      </c>
      <c r="J10633" t="s">
        <v>33167</v>
      </c>
      <c r="K10633" t="s">
        <v>42677</v>
      </c>
      <c r="M10633" t="s">
        <v>46380</v>
      </c>
      <c r="N10633" t="s">
        <v>47304</v>
      </c>
      <c r="O10633" t="s">
        <v>47305</v>
      </c>
      <c r="P10633">
        <v>0</v>
      </c>
      <c r="Q10633">
        <v>0</v>
      </c>
      <c r="R10633" t="s">
        <v>47314</v>
      </c>
      <c r="S10633" t="s">
        <v>47596</v>
      </c>
      <c r="T10633" t="s">
        <v>49215</v>
      </c>
      <c r="U10633" t="s">
        <v>58298</v>
      </c>
      <c r="W10633" t="s">
        <v>46380</v>
      </c>
      <c r="X10633" t="s">
        <v>47315</v>
      </c>
    </row>
    <row r="10634" spans="1:24">
      <c r="A10634">
        <f>HYPERLINK("https://www.philgeps.gov.ph/GEPSNONPILOT/Tender/SplashBidNoticeAbstractUI.aspx?menuIndex=3&amp;refID=7181115&amp;Result=3","7181115")</f>
        <v>0</v>
      </c>
      <c r="B10634" t="s">
        <v>3142</v>
      </c>
      <c r="C10634" t="s">
        <v>13889</v>
      </c>
      <c r="D10634" t="s">
        <v>19003</v>
      </c>
      <c r="E10634" t="s">
        <v>26266</v>
      </c>
      <c r="F10634" t="s">
        <v>32606</v>
      </c>
      <c r="G10634" t="s">
        <v>32613</v>
      </c>
      <c r="H10634" t="s">
        <v>14201</v>
      </c>
      <c r="I10634" t="s">
        <v>6931</v>
      </c>
      <c r="J10634" t="s">
        <v>39385</v>
      </c>
      <c r="K10634" t="s">
        <v>42648</v>
      </c>
      <c r="M10634" t="s">
        <v>46357</v>
      </c>
      <c r="N10634" t="s">
        <v>47304</v>
      </c>
      <c r="O10634" t="s">
        <v>47305</v>
      </c>
      <c r="Q10634">
        <v>2</v>
      </c>
      <c r="R10634" t="s">
        <v>47314</v>
      </c>
      <c r="S10634" t="s">
        <v>47631</v>
      </c>
      <c r="T10634" t="s">
        <v>49086</v>
      </c>
      <c r="U10634" t="s">
        <v>58299</v>
      </c>
      <c r="V10634" t="s">
        <v>63763</v>
      </c>
      <c r="W10634" t="s">
        <v>46357</v>
      </c>
      <c r="X10634" t="s">
        <v>47315</v>
      </c>
    </row>
    <row r="10635" spans="1:24">
      <c r="A10635">
        <f>HYPERLINK("https://www.philgeps.gov.ph/GEPSNONPILOT/Tender/SplashBidNoticeAbstractUI.aspx?menuIndex=3&amp;refID=7181563&amp;Result=3","7181563")</f>
        <v>0</v>
      </c>
      <c r="B10635" t="s">
        <v>3119</v>
      </c>
      <c r="C10635" t="s">
        <v>13890</v>
      </c>
      <c r="D10635" t="s">
        <v>19006</v>
      </c>
      <c r="E10635" t="s">
        <v>28177</v>
      </c>
      <c r="F10635" t="s">
        <v>32606</v>
      </c>
      <c r="G10635" t="s">
        <v>32613</v>
      </c>
      <c r="H10635" t="s">
        <v>32623</v>
      </c>
      <c r="I10635" t="s">
        <v>17648</v>
      </c>
      <c r="J10635" t="s">
        <v>39386</v>
      </c>
      <c r="K10635" t="s">
        <v>42631</v>
      </c>
      <c r="M10635" t="s">
        <v>46329</v>
      </c>
      <c r="N10635" t="s">
        <v>47304</v>
      </c>
      <c r="O10635" t="s">
        <v>47305</v>
      </c>
      <c r="P10635">
        <v>0</v>
      </c>
      <c r="Q10635">
        <v>0</v>
      </c>
      <c r="R10635" t="s">
        <v>47314</v>
      </c>
      <c r="S10635" t="s">
        <v>47596</v>
      </c>
      <c r="T10635" t="s">
        <v>49001</v>
      </c>
      <c r="U10635" t="s">
        <v>58288</v>
      </c>
      <c r="V10635" t="s">
        <v>63747</v>
      </c>
      <c r="W10635" t="s">
        <v>46329</v>
      </c>
      <c r="X10635" t="s">
        <v>47315</v>
      </c>
    </row>
    <row r="10636" spans="1:24">
      <c r="A10636">
        <f>HYPERLINK("https://www.philgeps.gov.ph/GEPSNONPILOT/Tender/SplashBidNoticeAbstractUI.aspx?menuIndex=3&amp;refID=7181691&amp;Result=3","7181691")</f>
        <v>0</v>
      </c>
      <c r="B10636" t="s">
        <v>1600</v>
      </c>
      <c r="C10636" t="s">
        <v>13891</v>
      </c>
      <c r="D10636" t="s">
        <v>19059</v>
      </c>
      <c r="E10636" t="s">
        <v>28178</v>
      </c>
      <c r="F10636" t="s">
        <v>32606</v>
      </c>
      <c r="G10636" t="s">
        <v>32613</v>
      </c>
      <c r="H10636" t="s">
        <v>14201</v>
      </c>
      <c r="I10636" t="s">
        <v>6298</v>
      </c>
      <c r="J10636" t="s">
        <v>38442</v>
      </c>
      <c r="K10636" t="s">
        <v>42636</v>
      </c>
      <c r="M10636" t="s">
        <v>44616</v>
      </c>
      <c r="N10636" t="s">
        <v>47304</v>
      </c>
      <c r="O10636" t="s">
        <v>47305</v>
      </c>
      <c r="P10636">
        <v>0</v>
      </c>
      <c r="Q10636">
        <v>3</v>
      </c>
      <c r="R10636" t="s">
        <v>47314</v>
      </c>
      <c r="S10636" t="s">
        <v>47596</v>
      </c>
      <c r="T10636" t="s">
        <v>49140</v>
      </c>
      <c r="U10636" t="s">
        <v>58300</v>
      </c>
      <c r="W10636" t="s">
        <v>44616</v>
      </c>
      <c r="X10636" t="s">
        <v>47315</v>
      </c>
    </row>
    <row r="10637" spans="1:24">
      <c r="A10637">
        <f>HYPERLINK("https://www.philgeps.gov.ph/GEPSNONPILOT/Tender/SplashBidNoticeAbstractUI.aspx?menuIndex=3&amp;refID=7181659&amp;Result=3","7181659")</f>
        <v>0</v>
      </c>
      <c r="B10637" t="s">
        <v>2871</v>
      </c>
      <c r="C10637" t="s">
        <v>13892</v>
      </c>
      <c r="D10637" t="s">
        <v>19025</v>
      </c>
      <c r="E10637" t="s">
        <v>28179</v>
      </c>
      <c r="F10637" t="s">
        <v>32606</v>
      </c>
      <c r="G10637" t="s">
        <v>32613</v>
      </c>
      <c r="H10637" t="s">
        <v>14201</v>
      </c>
      <c r="I10637" t="s">
        <v>4120</v>
      </c>
      <c r="J10637" t="s">
        <v>39387</v>
      </c>
      <c r="K10637" t="s">
        <v>42624</v>
      </c>
      <c r="M10637" t="s">
        <v>46378</v>
      </c>
      <c r="N10637" t="s">
        <v>47304</v>
      </c>
      <c r="O10637" t="s">
        <v>47305</v>
      </c>
      <c r="P10637">
        <v>0</v>
      </c>
      <c r="Q10637">
        <v>2</v>
      </c>
      <c r="R10637" t="s">
        <v>47314</v>
      </c>
      <c r="S10637" t="s">
        <v>47596</v>
      </c>
      <c r="T10637" t="s">
        <v>49347</v>
      </c>
      <c r="U10637" t="s">
        <v>58301</v>
      </c>
      <c r="W10637" t="s">
        <v>46378</v>
      </c>
      <c r="X10637" t="s">
        <v>47315</v>
      </c>
    </row>
    <row r="10638" spans="1:24">
      <c r="A10638">
        <f>HYPERLINK("https://www.philgeps.gov.ph/GEPSNONPILOT/Tender/SplashBidNoticeAbstractUI.aspx?menuIndex=3&amp;refID=7181644&amp;Result=3","7181644")</f>
        <v>0</v>
      </c>
      <c r="B10638" t="s">
        <v>3162</v>
      </c>
      <c r="C10638" t="s">
        <v>13893</v>
      </c>
      <c r="D10638" t="s">
        <v>19007</v>
      </c>
      <c r="E10638" t="s">
        <v>27426</v>
      </c>
      <c r="F10638" t="s">
        <v>32607</v>
      </c>
      <c r="G10638" t="s">
        <v>32613</v>
      </c>
      <c r="H10638" t="s">
        <v>14201</v>
      </c>
      <c r="I10638" t="s">
        <v>32663</v>
      </c>
      <c r="J10638" t="s">
        <v>32999</v>
      </c>
      <c r="K10638" t="s">
        <v>42624</v>
      </c>
      <c r="M10638" t="s">
        <v>46381</v>
      </c>
      <c r="N10638" t="s">
        <v>47304</v>
      </c>
      <c r="O10638" t="s">
        <v>47305</v>
      </c>
      <c r="P10638">
        <v>0</v>
      </c>
      <c r="Q10638">
        <v>1</v>
      </c>
      <c r="R10638" t="s">
        <v>47314</v>
      </c>
      <c r="S10638" t="s">
        <v>47596</v>
      </c>
      <c r="T10638" t="s">
        <v>48987</v>
      </c>
      <c r="U10638" t="s">
        <v>58302</v>
      </c>
      <c r="W10638" t="s">
        <v>46381</v>
      </c>
      <c r="X10638" t="s">
        <v>47315</v>
      </c>
    </row>
    <row r="10639" spans="1:24">
      <c r="A10639">
        <f>HYPERLINK("https://www.philgeps.gov.ph/GEPSNONPILOT/Tender/SplashBidNoticeAbstractUI.aspx?menuIndex=3&amp;refID=7181633&amp;Result=3","7181633")</f>
        <v>0</v>
      </c>
      <c r="B10639" t="s">
        <v>3163</v>
      </c>
      <c r="C10639" t="s">
        <v>13894</v>
      </c>
      <c r="D10639" t="s">
        <v>19008</v>
      </c>
      <c r="E10639" t="s">
        <v>28180</v>
      </c>
      <c r="F10639" t="s">
        <v>32606</v>
      </c>
      <c r="G10639" t="s">
        <v>32613</v>
      </c>
      <c r="H10639" t="s">
        <v>14201</v>
      </c>
      <c r="I10639" t="s">
        <v>6993</v>
      </c>
      <c r="J10639" t="s">
        <v>33385</v>
      </c>
      <c r="K10639" t="s">
        <v>42631</v>
      </c>
      <c r="M10639" t="s">
        <v>46382</v>
      </c>
      <c r="N10639" t="s">
        <v>47304</v>
      </c>
      <c r="O10639" t="s">
        <v>47305</v>
      </c>
      <c r="P10639">
        <v>0</v>
      </c>
      <c r="Q10639">
        <v>0</v>
      </c>
      <c r="R10639" t="s">
        <v>47314</v>
      </c>
      <c r="S10639" t="s">
        <v>47596</v>
      </c>
      <c r="T10639" t="s">
        <v>49324</v>
      </c>
      <c r="U10639" t="s">
        <v>58303</v>
      </c>
      <c r="W10639" t="s">
        <v>46382</v>
      </c>
      <c r="X10639" t="s">
        <v>47315</v>
      </c>
    </row>
    <row r="10640" spans="1:24">
      <c r="A10640">
        <f>HYPERLINK("https://www.philgeps.gov.ph/GEPSNONPILOT/Tender/SplashBidNoticeAbstractUI.aspx?menuIndex=3&amp;refID=7181554&amp;Result=3","7181554")</f>
        <v>0</v>
      </c>
      <c r="B10640" t="s">
        <v>3119</v>
      </c>
      <c r="C10640" t="s">
        <v>13895</v>
      </c>
      <c r="D10640" t="s">
        <v>19006</v>
      </c>
      <c r="E10640" t="s">
        <v>28181</v>
      </c>
      <c r="F10640" t="s">
        <v>32606</v>
      </c>
      <c r="G10640" t="s">
        <v>32613</v>
      </c>
      <c r="H10640" t="s">
        <v>32623</v>
      </c>
      <c r="I10640" t="s">
        <v>17648</v>
      </c>
      <c r="J10640" t="s">
        <v>39388</v>
      </c>
      <c r="K10640" t="s">
        <v>42682</v>
      </c>
      <c r="M10640" t="s">
        <v>46329</v>
      </c>
      <c r="N10640" t="s">
        <v>47304</v>
      </c>
      <c r="O10640" t="s">
        <v>47305</v>
      </c>
      <c r="P10640">
        <v>0</v>
      </c>
      <c r="Q10640">
        <v>0</v>
      </c>
      <c r="R10640" t="s">
        <v>47314</v>
      </c>
      <c r="S10640" t="s">
        <v>47596</v>
      </c>
      <c r="T10640" t="s">
        <v>49001</v>
      </c>
      <c r="U10640" t="s">
        <v>58288</v>
      </c>
      <c r="V10640" t="s">
        <v>63747</v>
      </c>
      <c r="W10640" t="s">
        <v>46329</v>
      </c>
      <c r="X10640" t="s">
        <v>47315</v>
      </c>
    </row>
    <row r="10641" spans="1:24">
      <c r="A10641">
        <f>HYPERLINK("https://www.philgeps.gov.ph/GEPSNONPILOT/Tender/SplashBidNoticeAbstractUI.aspx?menuIndex=3&amp;refID=7181625&amp;Result=3","7181625")</f>
        <v>0</v>
      </c>
      <c r="B10641" t="s">
        <v>262</v>
      </c>
      <c r="C10641" t="s">
        <v>13896</v>
      </c>
      <c r="D10641" t="s">
        <v>19038</v>
      </c>
      <c r="E10641" t="s">
        <v>28182</v>
      </c>
      <c r="F10641" t="s">
        <v>32606</v>
      </c>
      <c r="G10641" t="s">
        <v>32619</v>
      </c>
      <c r="H10641" t="s">
        <v>14201</v>
      </c>
      <c r="I10641" t="s">
        <v>32648</v>
      </c>
      <c r="J10641" t="s">
        <v>32981</v>
      </c>
      <c r="K10641" t="s">
        <v>42638</v>
      </c>
      <c r="M10641" t="s">
        <v>43163</v>
      </c>
      <c r="N10641" t="s">
        <v>47304</v>
      </c>
      <c r="O10641" t="s">
        <v>47305</v>
      </c>
      <c r="P10641">
        <v>0</v>
      </c>
      <c r="Q10641">
        <v>1</v>
      </c>
      <c r="R10641" t="s">
        <v>47314</v>
      </c>
      <c r="S10641" t="s">
        <v>47596</v>
      </c>
      <c r="T10641" t="s">
        <v>48986</v>
      </c>
      <c r="U10641" t="s">
        <v>58304</v>
      </c>
      <c r="W10641" t="s">
        <v>43163</v>
      </c>
      <c r="X10641" t="s">
        <v>47315</v>
      </c>
    </row>
    <row r="10642" spans="1:24">
      <c r="A10642">
        <f>HYPERLINK("https://www.philgeps.gov.ph/GEPSNONPILOT/Tender/SplashBidNoticeAbstractUI.aspx?menuIndex=3&amp;refID=7181620&amp;Result=3","7181620")</f>
        <v>0</v>
      </c>
      <c r="B10642" t="s">
        <v>1532</v>
      </c>
      <c r="C10642" t="s">
        <v>13897</v>
      </c>
      <c r="D10642" t="s">
        <v>19057</v>
      </c>
      <c r="E10642" t="s">
        <v>28183</v>
      </c>
      <c r="F10642" t="s">
        <v>32606</v>
      </c>
      <c r="G10642" t="s">
        <v>32613</v>
      </c>
      <c r="H10642" t="s">
        <v>32623</v>
      </c>
      <c r="I10642" t="s">
        <v>17648</v>
      </c>
      <c r="J10642" t="s">
        <v>33750</v>
      </c>
      <c r="K10642" t="s">
        <v>42646</v>
      </c>
      <c r="M10642" t="s">
        <v>44535</v>
      </c>
      <c r="N10642" t="s">
        <v>47304</v>
      </c>
      <c r="O10642" t="s">
        <v>47305</v>
      </c>
      <c r="P10642">
        <v>0</v>
      </c>
      <c r="Q10642">
        <v>1</v>
      </c>
      <c r="R10642" t="s">
        <v>47314</v>
      </c>
      <c r="S10642" t="s">
        <v>47596</v>
      </c>
      <c r="T10642" t="s">
        <v>49119</v>
      </c>
      <c r="U10642" t="s">
        <v>58305</v>
      </c>
      <c r="W10642" t="s">
        <v>44535</v>
      </c>
      <c r="X10642" t="s">
        <v>47315</v>
      </c>
    </row>
    <row r="10643" spans="1:24">
      <c r="A10643">
        <f>HYPERLINK("https://www.philgeps.gov.ph/GEPSNONPILOT/Tender/SplashBidNoticeAbstractUI.aspx?menuIndex=3&amp;refID=7181636&amp;Result=3","7181636")</f>
        <v>0</v>
      </c>
      <c r="B10643" t="s">
        <v>1450</v>
      </c>
      <c r="C10643" t="s">
        <v>13898</v>
      </c>
      <c r="D10643" t="s">
        <v>19002</v>
      </c>
      <c r="E10643" t="s">
        <v>23530</v>
      </c>
      <c r="F10643" t="s">
        <v>32606</v>
      </c>
      <c r="G10643" t="s">
        <v>32615</v>
      </c>
      <c r="H10643" t="s">
        <v>14201</v>
      </c>
      <c r="I10643" t="s">
        <v>32650</v>
      </c>
      <c r="J10643" t="s">
        <v>39389</v>
      </c>
      <c r="K10643" t="s">
        <v>42631</v>
      </c>
      <c r="M10643" t="s">
        <v>44441</v>
      </c>
      <c r="N10643" t="s">
        <v>47304</v>
      </c>
      <c r="O10643" t="s">
        <v>47305</v>
      </c>
      <c r="P10643">
        <v>0</v>
      </c>
      <c r="Q10643">
        <v>0</v>
      </c>
      <c r="R10643" t="s">
        <v>47314</v>
      </c>
      <c r="S10643" t="s">
        <v>47596</v>
      </c>
      <c r="T10643" t="s">
        <v>49020</v>
      </c>
      <c r="U10643" t="s">
        <v>58306</v>
      </c>
      <c r="V10643" t="s">
        <v>63774</v>
      </c>
      <c r="W10643" t="s">
        <v>44441</v>
      </c>
      <c r="X10643" t="s">
        <v>47315</v>
      </c>
    </row>
    <row r="10644" spans="1:24">
      <c r="A10644">
        <f>HYPERLINK("https://www.philgeps.gov.ph/GEPSNONPILOT/Tender/SplashBidNoticeAbstractUI.aspx?menuIndex=3&amp;refID=7181639&amp;Result=3","7181639")</f>
        <v>0</v>
      </c>
      <c r="B10644" t="s">
        <v>3133</v>
      </c>
      <c r="C10644" t="s">
        <v>13899</v>
      </c>
      <c r="D10644" t="s">
        <v>19042</v>
      </c>
      <c r="E10644" t="s">
        <v>28184</v>
      </c>
      <c r="F10644" t="s">
        <v>32606</v>
      </c>
      <c r="G10644" t="s">
        <v>32613</v>
      </c>
      <c r="H10644" t="s">
        <v>14201</v>
      </c>
      <c r="I10644" t="s">
        <v>4678</v>
      </c>
      <c r="J10644" t="s">
        <v>39308</v>
      </c>
      <c r="K10644" t="s">
        <v>42631</v>
      </c>
      <c r="M10644" t="s">
        <v>46345</v>
      </c>
      <c r="N10644" t="s">
        <v>47304</v>
      </c>
      <c r="O10644" t="s">
        <v>47305</v>
      </c>
      <c r="P10644">
        <v>0</v>
      </c>
      <c r="Q10644">
        <v>0</v>
      </c>
      <c r="R10644" t="s">
        <v>47314</v>
      </c>
      <c r="S10644" t="s">
        <v>47596</v>
      </c>
      <c r="T10644" t="s">
        <v>49096</v>
      </c>
      <c r="U10644" t="s">
        <v>58307</v>
      </c>
      <c r="W10644" t="s">
        <v>46345</v>
      </c>
      <c r="X10644" t="s">
        <v>47315</v>
      </c>
    </row>
    <row r="10645" spans="1:24">
      <c r="A10645">
        <f>HYPERLINK("https://www.philgeps.gov.ph/GEPSNONPILOT/Tender/SplashBidNoticeAbstractUI.aspx?menuIndex=3&amp;refID=7181614&amp;Result=3","7181614")</f>
        <v>0</v>
      </c>
      <c r="B10645" t="s">
        <v>2119</v>
      </c>
      <c r="C10645" t="s">
        <v>13900</v>
      </c>
      <c r="D10645" t="s">
        <v>18993</v>
      </c>
      <c r="E10645" t="s">
        <v>28185</v>
      </c>
      <c r="F10645" t="s">
        <v>32607</v>
      </c>
      <c r="G10645" t="s">
        <v>32613</v>
      </c>
      <c r="H10645" t="s">
        <v>14201</v>
      </c>
      <c r="I10645" t="s">
        <v>6931</v>
      </c>
      <c r="J10645" t="s">
        <v>39390</v>
      </c>
      <c r="K10645" t="s">
        <v>42631</v>
      </c>
      <c r="M10645" t="s">
        <v>45206</v>
      </c>
      <c r="N10645" t="s">
        <v>47304</v>
      </c>
      <c r="O10645" t="s">
        <v>47305</v>
      </c>
      <c r="P10645">
        <v>0</v>
      </c>
      <c r="Q10645">
        <v>0</v>
      </c>
      <c r="R10645" t="s">
        <v>47314</v>
      </c>
      <c r="S10645" t="s">
        <v>47596</v>
      </c>
      <c r="T10645" t="s">
        <v>49023</v>
      </c>
      <c r="U10645" t="s">
        <v>58308</v>
      </c>
      <c r="V10645" t="s">
        <v>63251</v>
      </c>
      <c r="W10645" t="s">
        <v>45206</v>
      </c>
      <c r="X10645" t="s">
        <v>47315</v>
      </c>
    </row>
    <row r="10646" spans="1:24">
      <c r="A10646">
        <f>HYPERLINK("https://www.philgeps.gov.ph/GEPSNONPILOT/Tender/SplashBidNoticeAbstractUI.aspx?menuIndex=3&amp;refID=7181613&amp;Result=3","7181613")</f>
        <v>0</v>
      </c>
      <c r="B10646" t="s">
        <v>1410</v>
      </c>
      <c r="C10646" t="s">
        <v>13901</v>
      </c>
      <c r="D10646" t="s">
        <v>19056</v>
      </c>
      <c r="E10646" t="s">
        <v>28186</v>
      </c>
      <c r="F10646" t="s">
        <v>32606</v>
      </c>
      <c r="G10646" t="s">
        <v>32613</v>
      </c>
      <c r="H10646" t="s">
        <v>32623</v>
      </c>
      <c r="I10646" t="s">
        <v>17648</v>
      </c>
      <c r="J10646" t="s">
        <v>39391</v>
      </c>
      <c r="K10646" t="s">
        <v>42627</v>
      </c>
      <c r="M10646" t="s">
        <v>44397</v>
      </c>
      <c r="N10646" t="s">
        <v>47304</v>
      </c>
      <c r="O10646" t="s">
        <v>47305</v>
      </c>
      <c r="P10646">
        <v>0</v>
      </c>
      <c r="Q10646">
        <v>0</v>
      </c>
      <c r="R10646" t="s">
        <v>47314</v>
      </c>
      <c r="S10646" t="s">
        <v>47596</v>
      </c>
      <c r="T10646" t="s">
        <v>49052</v>
      </c>
      <c r="U10646" t="s">
        <v>58283</v>
      </c>
      <c r="W10646" t="s">
        <v>44397</v>
      </c>
      <c r="X10646" t="s">
        <v>47315</v>
      </c>
    </row>
    <row r="10647" spans="1:24">
      <c r="A10647">
        <f>HYPERLINK("https://www.philgeps.gov.ph/GEPSNONPILOT/Tender/SplashBidNoticeAbstractUI.aspx?menuIndex=3&amp;refID=7181610&amp;Result=3","7181610")</f>
        <v>0</v>
      </c>
      <c r="B10647" t="s">
        <v>280</v>
      </c>
      <c r="C10647" t="s">
        <v>13902</v>
      </c>
      <c r="D10647" t="s">
        <v>19028</v>
      </c>
      <c r="E10647" t="s">
        <v>13902</v>
      </c>
      <c r="F10647" t="s">
        <v>32606</v>
      </c>
      <c r="G10647" t="s">
        <v>32619</v>
      </c>
      <c r="H10647" t="s">
        <v>14201</v>
      </c>
      <c r="I10647" t="s">
        <v>4112</v>
      </c>
      <c r="J10647" t="s">
        <v>39392</v>
      </c>
      <c r="K10647" t="s">
        <v>42631</v>
      </c>
      <c r="M10647" t="s">
        <v>43712</v>
      </c>
      <c r="N10647" t="s">
        <v>47304</v>
      </c>
      <c r="O10647" t="s">
        <v>47305</v>
      </c>
      <c r="P10647">
        <v>0</v>
      </c>
      <c r="Q10647">
        <v>0</v>
      </c>
      <c r="R10647" t="s">
        <v>47314</v>
      </c>
      <c r="S10647" t="s">
        <v>47596</v>
      </c>
      <c r="T10647" t="s">
        <v>49071</v>
      </c>
      <c r="U10647" t="s">
        <v>58309</v>
      </c>
      <c r="W10647" t="s">
        <v>43712</v>
      </c>
      <c r="X10647" t="s">
        <v>47315</v>
      </c>
    </row>
    <row r="10648" spans="1:24">
      <c r="A10648">
        <f>HYPERLINK("https://www.philgeps.gov.ph/GEPSNONPILOT/Tender/SplashBidNoticeAbstractUI.aspx?menuIndex=3&amp;refID=7181602&amp;Result=3","7181602")</f>
        <v>0</v>
      </c>
      <c r="B10648" t="s">
        <v>3164</v>
      </c>
      <c r="C10648" t="s">
        <v>13903</v>
      </c>
      <c r="D10648" t="s">
        <v>19006</v>
      </c>
      <c r="E10648" t="s">
        <v>28187</v>
      </c>
      <c r="F10648" t="s">
        <v>32606</v>
      </c>
      <c r="G10648" t="s">
        <v>32613</v>
      </c>
      <c r="H10648" t="s">
        <v>32623</v>
      </c>
      <c r="I10648" t="s">
        <v>17648</v>
      </c>
      <c r="J10648" t="s">
        <v>32772</v>
      </c>
      <c r="K10648" t="s">
        <v>42718</v>
      </c>
      <c r="M10648" t="s">
        <v>46383</v>
      </c>
      <c r="N10648" t="s">
        <v>47304</v>
      </c>
      <c r="O10648" t="s">
        <v>47305</v>
      </c>
      <c r="P10648">
        <v>0</v>
      </c>
      <c r="Q10648">
        <v>0</v>
      </c>
      <c r="R10648" t="s">
        <v>47314</v>
      </c>
      <c r="S10648" t="s">
        <v>47596</v>
      </c>
      <c r="T10648" t="s">
        <v>49234</v>
      </c>
      <c r="U10648" t="s">
        <v>58310</v>
      </c>
      <c r="W10648" t="s">
        <v>46383</v>
      </c>
      <c r="X10648" t="s">
        <v>47315</v>
      </c>
    </row>
    <row r="10649" spans="1:24">
      <c r="A10649">
        <f>HYPERLINK("https://www.philgeps.gov.ph/GEPSNONPILOT/Tender/SplashBidNoticeAbstractUI.aspx?menuIndex=3&amp;refID=7181598&amp;Result=3","7181598")</f>
        <v>0</v>
      </c>
      <c r="B10649" t="s">
        <v>3119</v>
      </c>
      <c r="C10649" t="s">
        <v>13904</v>
      </c>
      <c r="D10649" t="s">
        <v>19006</v>
      </c>
      <c r="E10649" t="s">
        <v>28188</v>
      </c>
      <c r="F10649" t="s">
        <v>32606</v>
      </c>
      <c r="G10649" t="s">
        <v>32613</v>
      </c>
      <c r="H10649" t="s">
        <v>32623</v>
      </c>
      <c r="I10649" t="s">
        <v>17648</v>
      </c>
      <c r="J10649" t="s">
        <v>39393</v>
      </c>
      <c r="K10649" t="s">
        <v>42694</v>
      </c>
      <c r="M10649" t="s">
        <v>46329</v>
      </c>
      <c r="N10649" t="s">
        <v>47304</v>
      </c>
      <c r="O10649" t="s">
        <v>47305</v>
      </c>
      <c r="P10649">
        <v>0</v>
      </c>
      <c r="Q10649">
        <v>1</v>
      </c>
      <c r="R10649" t="s">
        <v>47314</v>
      </c>
      <c r="S10649" t="s">
        <v>47596</v>
      </c>
      <c r="T10649" t="s">
        <v>49001</v>
      </c>
      <c r="U10649" t="s">
        <v>58288</v>
      </c>
      <c r="V10649" t="s">
        <v>63747</v>
      </c>
      <c r="W10649" t="s">
        <v>46329</v>
      </c>
      <c r="X10649" t="s">
        <v>47315</v>
      </c>
    </row>
    <row r="10650" spans="1:24">
      <c r="A10650">
        <f>HYPERLINK("https://www.philgeps.gov.ph/GEPSNONPILOT/Tender/SplashBidNoticeAbstractUI.aspx?menuIndex=3&amp;refID=7181586&amp;Result=3","7181586")</f>
        <v>0</v>
      </c>
      <c r="B10650" t="s">
        <v>3119</v>
      </c>
      <c r="C10650" t="s">
        <v>13905</v>
      </c>
      <c r="D10650" t="s">
        <v>19006</v>
      </c>
      <c r="E10650" t="s">
        <v>28189</v>
      </c>
      <c r="F10650" t="s">
        <v>32606</v>
      </c>
      <c r="G10650" t="s">
        <v>32613</v>
      </c>
      <c r="H10650" t="s">
        <v>32623</v>
      </c>
      <c r="I10650" t="s">
        <v>17648</v>
      </c>
      <c r="J10650" t="s">
        <v>39394</v>
      </c>
      <c r="K10650" t="s">
        <v>42636</v>
      </c>
      <c r="M10650" t="s">
        <v>46329</v>
      </c>
      <c r="N10650" t="s">
        <v>47304</v>
      </c>
      <c r="O10650" t="s">
        <v>47305</v>
      </c>
      <c r="P10650">
        <v>0</v>
      </c>
      <c r="Q10650">
        <v>0</v>
      </c>
      <c r="R10650" t="s">
        <v>47314</v>
      </c>
      <c r="S10650" t="s">
        <v>47596</v>
      </c>
      <c r="T10650" t="s">
        <v>49001</v>
      </c>
      <c r="U10650" t="s">
        <v>58288</v>
      </c>
      <c r="V10650" t="s">
        <v>63747</v>
      </c>
      <c r="W10650" t="s">
        <v>46329</v>
      </c>
      <c r="X10650" t="s">
        <v>47315</v>
      </c>
    </row>
    <row r="10651" spans="1:24">
      <c r="A10651">
        <f>HYPERLINK("https://www.philgeps.gov.ph/GEPSNONPILOT/Tender/SplashBidNoticeAbstractUI.aspx?menuIndex=3&amp;refID=7180656&amp;Result=3","7180656")</f>
        <v>0</v>
      </c>
      <c r="B10651" t="s">
        <v>2868</v>
      </c>
      <c r="C10651" t="s">
        <v>13906</v>
      </c>
      <c r="D10651" t="s">
        <v>19010</v>
      </c>
      <c r="E10651" t="s">
        <v>28190</v>
      </c>
      <c r="F10651" t="s">
        <v>32606</v>
      </c>
      <c r="G10651" t="s">
        <v>32613</v>
      </c>
      <c r="H10651" t="s">
        <v>32623</v>
      </c>
      <c r="I10651" t="s">
        <v>17648</v>
      </c>
      <c r="J10651" t="s">
        <v>33351</v>
      </c>
      <c r="K10651" t="s">
        <v>42636</v>
      </c>
      <c r="M10651" t="s">
        <v>46039</v>
      </c>
      <c r="N10651" t="s">
        <v>47304</v>
      </c>
      <c r="O10651" t="s">
        <v>47305</v>
      </c>
      <c r="P10651">
        <v>0</v>
      </c>
      <c r="Q10651">
        <v>1</v>
      </c>
      <c r="R10651" t="s">
        <v>47314</v>
      </c>
      <c r="S10651" t="s">
        <v>47596</v>
      </c>
      <c r="T10651" t="s">
        <v>49170</v>
      </c>
      <c r="U10651" t="s">
        <v>58311</v>
      </c>
      <c r="W10651" t="s">
        <v>46039</v>
      </c>
      <c r="X10651" t="s">
        <v>47316</v>
      </c>
    </row>
    <row r="10652" spans="1:24">
      <c r="A10652">
        <f>HYPERLINK("https://www.philgeps.gov.ph/GEPSNONPILOT/Tender/SplashBidNoticeAbstractUI.aspx?menuIndex=3&amp;refID=7180613&amp;Result=3","7180613")</f>
        <v>0</v>
      </c>
      <c r="B10652" t="s">
        <v>682</v>
      </c>
      <c r="C10652" t="s">
        <v>13907</v>
      </c>
      <c r="D10652" t="s">
        <v>19039</v>
      </c>
      <c r="E10652" t="s">
        <v>28191</v>
      </c>
      <c r="F10652" t="s">
        <v>32606</v>
      </c>
      <c r="G10652" t="s">
        <v>32613</v>
      </c>
      <c r="H10652" t="s">
        <v>14201</v>
      </c>
      <c r="I10652" t="s">
        <v>32655</v>
      </c>
      <c r="J10652" t="s">
        <v>33382</v>
      </c>
      <c r="K10652" t="s">
        <v>42648</v>
      </c>
      <c r="M10652" t="s">
        <v>43602</v>
      </c>
      <c r="N10652" t="s">
        <v>47304</v>
      </c>
      <c r="O10652" t="s">
        <v>47305</v>
      </c>
      <c r="P10652">
        <v>0</v>
      </c>
      <c r="Q10652">
        <v>22</v>
      </c>
      <c r="R10652" t="s">
        <v>47314</v>
      </c>
      <c r="S10652" t="s">
        <v>47596</v>
      </c>
      <c r="T10652" t="s">
        <v>49390</v>
      </c>
      <c r="U10652" t="s">
        <v>58312</v>
      </c>
      <c r="W10652" t="s">
        <v>43602</v>
      </c>
      <c r="X10652" t="s">
        <v>47316</v>
      </c>
    </row>
    <row r="10653" spans="1:24">
      <c r="A10653">
        <f>HYPERLINK("https://www.philgeps.gov.ph/GEPSNONPILOT/Tender/SplashBidNoticeAbstractUI.aspx?menuIndex=3&amp;refID=7179973&amp;Result=3","7179973")</f>
        <v>0</v>
      </c>
      <c r="B10653" t="s">
        <v>3123</v>
      </c>
      <c r="C10653" t="s">
        <v>13908</v>
      </c>
      <c r="D10653" t="s">
        <v>19023</v>
      </c>
      <c r="E10653" t="s">
        <v>19420</v>
      </c>
      <c r="F10653" t="s">
        <v>32606</v>
      </c>
      <c r="G10653" t="s">
        <v>32613</v>
      </c>
      <c r="H10653" t="s">
        <v>14201</v>
      </c>
      <c r="I10653" t="s">
        <v>32629</v>
      </c>
      <c r="J10653" t="s">
        <v>39395</v>
      </c>
      <c r="K10653" t="s">
        <v>42623</v>
      </c>
      <c r="M10653" t="s">
        <v>46334</v>
      </c>
      <c r="N10653" t="s">
        <v>47304</v>
      </c>
      <c r="O10653" t="s">
        <v>47305</v>
      </c>
      <c r="P10653">
        <v>0</v>
      </c>
      <c r="Q10653">
        <v>0</v>
      </c>
      <c r="R10653" t="s">
        <v>47314</v>
      </c>
      <c r="S10653" t="s">
        <v>47596</v>
      </c>
      <c r="T10653" t="s">
        <v>49075</v>
      </c>
      <c r="U10653" t="s">
        <v>58313</v>
      </c>
      <c r="V10653" t="s">
        <v>63775</v>
      </c>
      <c r="W10653" t="s">
        <v>46334</v>
      </c>
      <c r="X10653" t="s">
        <v>47318</v>
      </c>
    </row>
    <row r="10654" spans="1:24">
      <c r="A10654">
        <f>HYPERLINK("https://www.philgeps.gov.ph/GEPSNONPILOT/Tender/SplashBidNoticeAbstractUI.aspx?menuIndex=3&amp;refID=7179970&amp;Result=3","7179970")</f>
        <v>0</v>
      </c>
      <c r="B10654" t="s">
        <v>3123</v>
      </c>
      <c r="C10654" t="s">
        <v>13909</v>
      </c>
      <c r="D10654" t="s">
        <v>19023</v>
      </c>
      <c r="E10654" t="s">
        <v>28192</v>
      </c>
      <c r="F10654" t="s">
        <v>32606</v>
      </c>
      <c r="G10654" t="s">
        <v>32613</v>
      </c>
      <c r="H10654" t="s">
        <v>14201</v>
      </c>
      <c r="I10654" t="s">
        <v>7064</v>
      </c>
      <c r="J10654" t="s">
        <v>33022</v>
      </c>
      <c r="K10654" t="s">
        <v>42623</v>
      </c>
      <c r="M10654" t="s">
        <v>46334</v>
      </c>
      <c r="N10654" t="s">
        <v>47304</v>
      </c>
      <c r="O10654" t="s">
        <v>47305</v>
      </c>
      <c r="P10654">
        <v>0</v>
      </c>
      <c r="Q10654">
        <v>0</v>
      </c>
      <c r="R10654" t="s">
        <v>47314</v>
      </c>
      <c r="S10654" t="s">
        <v>47596</v>
      </c>
      <c r="T10654" t="s">
        <v>49075</v>
      </c>
      <c r="U10654" t="s">
        <v>58314</v>
      </c>
      <c r="V10654" t="s">
        <v>63776</v>
      </c>
      <c r="W10654" t="s">
        <v>46334</v>
      </c>
      <c r="X10654" t="s">
        <v>47318</v>
      </c>
    </row>
    <row r="10655" spans="1:24">
      <c r="A10655">
        <f>HYPERLINK("https://www.philgeps.gov.ph/GEPSNONPILOT/Tender/SplashBidNoticeAbstractUI.aspx?menuIndex=3&amp;refID=7179964&amp;Result=3","7179964")</f>
        <v>0</v>
      </c>
      <c r="B10655" t="s">
        <v>3123</v>
      </c>
      <c r="C10655" t="s">
        <v>13910</v>
      </c>
      <c r="D10655" t="s">
        <v>19023</v>
      </c>
      <c r="E10655" t="s">
        <v>28193</v>
      </c>
      <c r="F10655" t="s">
        <v>32606</v>
      </c>
      <c r="G10655" t="s">
        <v>32613</v>
      </c>
      <c r="H10655" t="s">
        <v>14201</v>
      </c>
      <c r="I10655" t="s">
        <v>7064</v>
      </c>
      <c r="J10655" t="s">
        <v>34118</v>
      </c>
      <c r="K10655" t="s">
        <v>42623</v>
      </c>
      <c r="M10655" t="s">
        <v>46334</v>
      </c>
      <c r="N10655" t="s">
        <v>47304</v>
      </c>
      <c r="O10655" t="s">
        <v>47305</v>
      </c>
      <c r="P10655">
        <v>0</v>
      </c>
      <c r="Q10655">
        <v>0</v>
      </c>
      <c r="R10655" t="s">
        <v>47314</v>
      </c>
      <c r="S10655" t="s">
        <v>47596</v>
      </c>
      <c r="T10655" t="s">
        <v>49075</v>
      </c>
      <c r="U10655" t="s">
        <v>58315</v>
      </c>
      <c r="V10655" t="s">
        <v>63776</v>
      </c>
      <c r="W10655" t="s">
        <v>46334</v>
      </c>
      <c r="X10655" t="s">
        <v>47318</v>
      </c>
    </row>
    <row r="10656" spans="1:24">
      <c r="A10656">
        <f>HYPERLINK("https://www.philgeps.gov.ph/GEPSNONPILOT/Tender/SplashBidNoticeAbstractUI.aspx?menuIndex=3&amp;refID=7179953&amp;Result=3","7179953")</f>
        <v>0</v>
      </c>
      <c r="B10656" t="s">
        <v>3123</v>
      </c>
      <c r="C10656" t="s">
        <v>13911</v>
      </c>
      <c r="D10656" t="s">
        <v>19023</v>
      </c>
      <c r="E10656" t="s">
        <v>27898</v>
      </c>
      <c r="F10656" t="s">
        <v>32606</v>
      </c>
      <c r="G10656" t="s">
        <v>32613</v>
      </c>
      <c r="H10656" t="s">
        <v>14201</v>
      </c>
      <c r="I10656" t="s">
        <v>4120</v>
      </c>
      <c r="J10656" t="s">
        <v>39396</v>
      </c>
      <c r="K10656" t="s">
        <v>42623</v>
      </c>
      <c r="M10656" t="s">
        <v>46334</v>
      </c>
      <c r="N10656" t="s">
        <v>47304</v>
      </c>
      <c r="O10656" t="s">
        <v>47305</v>
      </c>
      <c r="P10656">
        <v>0</v>
      </c>
      <c r="Q10656">
        <v>4</v>
      </c>
      <c r="R10656" t="s">
        <v>47314</v>
      </c>
      <c r="S10656" t="s">
        <v>47596</v>
      </c>
      <c r="T10656" t="s">
        <v>49075</v>
      </c>
      <c r="U10656" t="s">
        <v>58316</v>
      </c>
      <c r="V10656" t="s">
        <v>63775</v>
      </c>
      <c r="W10656" t="s">
        <v>46334</v>
      </c>
      <c r="X10656" t="s">
        <v>47318</v>
      </c>
    </row>
    <row r="10657" spans="1:24">
      <c r="A10657">
        <f>HYPERLINK("https://www.philgeps.gov.ph/GEPSNONPILOT/Tender/SplashBidNoticeAbstractUI.aspx?menuIndex=3&amp;refID=7180473&amp;Result=3","7180473")</f>
        <v>0</v>
      </c>
      <c r="B10657" t="s">
        <v>1688</v>
      </c>
      <c r="C10657" t="s">
        <v>13912</v>
      </c>
      <c r="D10657" t="s">
        <v>19015</v>
      </c>
      <c r="E10657" t="s">
        <v>28194</v>
      </c>
      <c r="F10657" t="s">
        <v>32606</v>
      </c>
      <c r="G10657" t="s">
        <v>32613</v>
      </c>
      <c r="H10657" t="s">
        <v>32624</v>
      </c>
      <c r="I10657" t="s">
        <v>32648</v>
      </c>
      <c r="J10657" t="s">
        <v>34106</v>
      </c>
      <c r="K10657" t="s">
        <v>42623</v>
      </c>
      <c r="M10657" t="s">
        <v>44717</v>
      </c>
      <c r="N10657" t="s">
        <v>47304</v>
      </c>
      <c r="O10657" t="s">
        <v>47305</v>
      </c>
      <c r="P10657">
        <v>0</v>
      </c>
      <c r="Q10657">
        <v>0</v>
      </c>
      <c r="R10657" t="s">
        <v>47314</v>
      </c>
      <c r="S10657" t="s">
        <v>47596</v>
      </c>
      <c r="T10657" t="s">
        <v>49007</v>
      </c>
      <c r="U10657" t="s">
        <v>58317</v>
      </c>
      <c r="V10657" t="s">
        <v>63777</v>
      </c>
      <c r="W10657" t="s">
        <v>44717</v>
      </c>
      <c r="X10657" t="s">
        <v>47316</v>
      </c>
    </row>
    <row r="10658" spans="1:24">
      <c r="A10658">
        <f>HYPERLINK("https://www.philgeps.gov.ph/GEPSNONPILOT/Tender/SplashBidNoticeAbstractUI.aspx?menuIndex=3&amp;refID=7179909&amp;Result=3","7179909")</f>
        <v>0</v>
      </c>
      <c r="B10658" t="s">
        <v>3123</v>
      </c>
      <c r="C10658" t="s">
        <v>13913</v>
      </c>
      <c r="D10658" t="s">
        <v>19023</v>
      </c>
      <c r="E10658" t="s">
        <v>28195</v>
      </c>
      <c r="F10658" t="s">
        <v>32606</v>
      </c>
      <c r="G10658" t="s">
        <v>32613</v>
      </c>
      <c r="H10658" t="s">
        <v>14201</v>
      </c>
      <c r="I10658" t="s">
        <v>6931</v>
      </c>
      <c r="J10658" t="s">
        <v>39397</v>
      </c>
      <c r="K10658" t="s">
        <v>42623</v>
      </c>
      <c r="M10658" t="s">
        <v>46334</v>
      </c>
      <c r="N10658" t="s">
        <v>47304</v>
      </c>
      <c r="O10658" t="s">
        <v>47305</v>
      </c>
      <c r="P10658">
        <v>0</v>
      </c>
      <c r="Q10658">
        <v>1</v>
      </c>
      <c r="R10658" t="s">
        <v>47314</v>
      </c>
      <c r="S10658" t="s">
        <v>47596</v>
      </c>
      <c r="T10658" t="s">
        <v>49075</v>
      </c>
      <c r="U10658" t="s">
        <v>58318</v>
      </c>
      <c r="V10658" t="s">
        <v>63775</v>
      </c>
      <c r="W10658" t="s">
        <v>46334</v>
      </c>
      <c r="X10658" t="s">
        <v>47318</v>
      </c>
    </row>
    <row r="10659" spans="1:24">
      <c r="A10659">
        <f>HYPERLINK("https://www.philgeps.gov.ph/GEPSNONPILOT/Tender/SplashBidNoticeAbstractUI.aspx?menuIndex=3&amp;refID=7179885&amp;Result=3","7179885")</f>
        <v>0</v>
      </c>
      <c r="B10659" t="s">
        <v>3123</v>
      </c>
      <c r="C10659" t="s">
        <v>13914</v>
      </c>
      <c r="D10659" t="s">
        <v>19023</v>
      </c>
      <c r="E10659" t="s">
        <v>28196</v>
      </c>
      <c r="F10659" t="s">
        <v>32606</v>
      </c>
      <c r="G10659" t="s">
        <v>32613</v>
      </c>
      <c r="H10659" t="s">
        <v>14201</v>
      </c>
      <c r="I10659" t="s">
        <v>7677</v>
      </c>
      <c r="J10659" t="s">
        <v>37019</v>
      </c>
      <c r="K10659" t="s">
        <v>42623</v>
      </c>
      <c r="M10659" t="s">
        <v>46334</v>
      </c>
      <c r="N10659" t="s">
        <v>47304</v>
      </c>
      <c r="O10659" t="s">
        <v>47305</v>
      </c>
      <c r="P10659">
        <v>0</v>
      </c>
      <c r="Q10659">
        <v>1</v>
      </c>
      <c r="R10659" t="s">
        <v>47314</v>
      </c>
      <c r="S10659" t="s">
        <v>47596</v>
      </c>
      <c r="T10659" t="s">
        <v>49075</v>
      </c>
      <c r="U10659" t="s">
        <v>58319</v>
      </c>
      <c r="V10659" t="s">
        <v>63775</v>
      </c>
      <c r="W10659" t="s">
        <v>46334</v>
      </c>
      <c r="X10659" t="s">
        <v>47318</v>
      </c>
    </row>
    <row r="10660" spans="1:24">
      <c r="A10660">
        <f>HYPERLINK("https://www.philgeps.gov.ph/GEPSNONPILOT/Tender/SplashBidNoticeAbstractUI.aspx?menuIndex=3&amp;refID=7181596&amp;Result=3","7181596")</f>
        <v>0</v>
      </c>
      <c r="B10660" t="s">
        <v>1410</v>
      </c>
      <c r="C10660" t="s">
        <v>13915</v>
      </c>
      <c r="D10660" t="s">
        <v>19056</v>
      </c>
      <c r="E10660" t="s">
        <v>28197</v>
      </c>
      <c r="F10660" t="s">
        <v>32606</v>
      </c>
      <c r="G10660" t="s">
        <v>32613</v>
      </c>
      <c r="H10660" t="s">
        <v>32623</v>
      </c>
      <c r="I10660" t="s">
        <v>17648</v>
      </c>
      <c r="J10660" t="s">
        <v>39398</v>
      </c>
      <c r="K10660" t="s">
        <v>42631</v>
      </c>
      <c r="M10660" t="s">
        <v>44397</v>
      </c>
      <c r="N10660" t="s">
        <v>47304</v>
      </c>
      <c r="O10660" t="s">
        <v>47305</v>
      </c>
      <c r="P10660">
        <v>0</v>
      </c>
      <c r="Q10660">
        <v>0</v>
      </c>
      <c r="R10660" t="s">
        <v>47314</v>
      </c>
      <c r="S10660" t="s">
        <v>47596</v>
      </c>
      <c r="T10660" t="s">
        <v>49052</v>
      </c>
      <c r="U10660" t="s">
        <v>58283</v>
      </c>
      <c r="W10660" t="s">
        <v>44397</v>
      </c>
      <c r="X10660" t="s">
        <v>47315</v>
      </c>
    </row>
    <row r="10661" spans="1:24">
      <c r="A10661">
        <f>HYPERLINK("https://www.philgeps.gov.ph/GEPSNONPILOT/Tender/SplashBidNoticeAbstractUI.aspx?menuIndex=3&amp;refID=7176416&amp;Result=3","7176416")</f>
        <v>0</v>
      </c>
      <c r="B10661" t="s">
        <v>1014</v>
      </c>
      <c r="C10661" t="s">
        <v>13916</v>
      </c>
      <c r="D10661" t="s">
        <v>19005</v>
      </c>
      <c r="E10661" t="s">
        <v>28198</v>
      </c>
      <c r="F10661" t="s">
        <v>32606</v>
      </c>
      <c r="G10661" t="s">
        <v>32614</v>
      </c>
      <c r="H10661" t="s">
        <v>14201</v>
      </c>
      <c r="I10661" t="s">
        <v>4112</v>
      </c>
      <c r="J10661" t="s">
        <v>39399</v>
      </c>
      <c r="K10661" t="s">
        <v>42646</v>
      </c>
      <c r="M10661" t="s">
        <v>46082</v>
      </c>
      <c r="N10661" t="s">
        <v>47304</v>
      </c>
      <c r="O10661" t="s">
        <v>47305</v>
      </c>
      <c r="Q10661">
        <v>0</v>
      </c>
      <c r="R10661" t="s">
        <v>47314</v>
      </c>
      <c r="S10661" t="s">
        <v>47632</v>
      </c>
      <c r="T10661" t="s">
        <v>49019</v>
      </c>
      <c r="U10661" t="s">
        <v>58320</v>
      </c>
      <c r="W10661" t="s">
        <v>46082</v>
      </c>
      <c r="X10661" t="s">
        <v>47319</v>
      </c>
    </row>
    <row r="10662" spans="1:24">
      <c r="A10662">
        <f>HYPERLINK("https://www.philgeps.gov.ph/GEPSNONPILOT/Tender/SplashBidNoticeAbstractUI.aspx?menuIndex=3&amp;refID=7175551&amp;Result=3","7175551")</f>
        <v>0</v>
      </c>
      <c r="B10662" t="s">
        <v>505</v>
      </c>
      <c r="C10662" t="s">
        <v>13917</v>
      </c>
      <c r="D10662" t="s">
        <v>19043</v>
      </c>
      <c r="E10662" t="s">
        <v>28199</v>
      </c>
      <c r="F10662" t="s">
        <v>32606</v>
      </c>
      <c r="G10662" t="s">
        <v>32613</v>
      </c>
      <c r="H10662" t="s">
        <v>14201</v>
      </c>
      <c r="I10662" t="s">
        <v>7064</v>
      </c>
      <c r="J10662" t="s">
        <v>32772</v>
      </c>
      <c r="K10662" t="s">
        <v>42622</v>
      </c>
      <c r="M10662" t="s">
        <v>45287</v>
      </c>
      <c r="N10662" t="s">
        <v>47304</v>
      </c>
      <c r="O10662" t="s">
        <v>47305</v>
      </c>
      <c r="P10662">
        <v>0</v>
      </c>
      <c r="Q10662">
        <v>2</v>
      </c>
      <c r="R10662" t="s">
        <v>47314</v>
      </c>
      <c r="S10662" t="s">
        <v>47596</v>
      </c>
      <c r="T10662" t="s">
        <v>49140</v>
      </c>
      <c r="U10662" t="s">
        <v>58321</v>
      </c>
      <c r="V10662" t="s">
        <v>63276</v>
      </c>
      <c r="W10662" t="s">
        <v>45287</v>
      </c>
      <c r="X10662" t="s">
        <v>47319</v>
      </c>
    </row>
    <row r="10663" spans="1:24">
      <c r="A10663">
        <f>HYPERLINK("https://www.philgeps.gov.ph/GEPSNONPILOT/Tender/SplashBidNoticeAbstractUI.aspx?menuIndex=3&amp;refID=7181631&amp;Result=3","7181631")</f>
        <v>0</v>
      </c>
      <c r="B10663" t="s">
        <v>280</v>
      </c>
      <c r="C10663" t="s">
        <v>13918</v>
      </c>
      <c r="D10663" t="s">
        <v>19028</v>
      </c>
      <c r="E10663" t="s">
        <v>13918</v>
      </c>
      <c r="F10663" t="s">
        <v>32606</v>
      </c>
      <c r="G10663" t="s">
        <v>32619</v>
      </c>
      <c r="H10663" t="s">
        <v>14201</v>
      </c>
      <c r="I10663" t="s">
        <v>4120</v>
      </c>
      <c r="J10663" t="s">
        <v>39400</v>
      </c>
      <c r="K10663" t="s">
        <v>42631</v>
      </c>
      <c r="M10663" t="s">
        <v>43712</v>
      </c>
      <c r="N10663" t="s">
        <v>47304</v>
      </c>
      <c r="O10663" t="s">
        <v>47305</v>
      </c>
      <c r="P10663">
        <v>0</v>
      </c>
      <c r="Q10663">
        <v>0</v>
      </c>
      <c r="R10663" t="s">
        <v>47314</v>
      </c>
      <c r="S10663" t="s">
        <v>47596</v>
      </c>
      <c r="T10663" t="s">
        <v>49072</v>
      </c>
      <c r="U10663" t="s">
        <v>58322</v>
      </c>
      <c r="W10663" t="s">
        <v>43712</v>
      </c>
      <c r="X10663" t="s">
        <v>47315</v>
      </c>
    </row>
    <row r="10664" spans="1:24">
      <c r="A10664">
        <f>HYPERLINK("https://www.philgeps.gov.ph/GEPSNONPILOT/Tender/SplashBidNoticeAbstractUI.aspx?menuIndex=3&amp;refID=7175013&amp;Result=3","7175013")</f>
        <v>0</v>
      </c>
      <c r="B10664" t="s">
        <v>3165</v>
      </c>
      <c r="C10664" t="s">
        <v>13919</v>
      </c>
      <c r="D10664" t="s">
        <v>19016</v>
      </c>
      <c r="E10664" t="s">
        <v>28200</v>
      </c>
      <c r="F10664" t="s">
        <v>32606</v>
      </c>
      <c r="G10664" t="s">
        <v>32613</v>
      </c>
      <c r="H10664" t="s">
        <v>32624</v>
      </c>
      <c r="I10664" t="s">
        <v>32684</v>
      </c>
      <c r="J10664" t="s">
        <v>39401</v>
      </c>
      <c r="K10664" t="s">
        <v>42688</v>
      </c>
      <c r="M10664" t="s">
        <v>46384</v>
      </c>
      <c r="N10664" t="s">
        <v>47304</v>
      </c>
      <c r="O10664" t="s">
        <v>47305</v>
      </c>
      <c r="P10664">
        <v>0</v>
      </c>
      <c r="Q10664">
        <v>0</v>
      </c>
      <c r="R10664" t="s">
        <v>47314</v>
      </c>
      <c r="S10664" t="s">
        <v>47596</v>
      </c>
      <c r="T10664" t="s">
        <v>49071</v>
      </c>
      <c r="U10664" t="s">
        <v>58323</v>
      </c>
      <c r="W10664" t="s">
        <v>46384</v>
      </c>
      <c r="X10664" t="s">
        <v>47319</v>
      </c>
    </row>
    <row r="10665" spans="1:24">
      <c r="A10665">
        <f>HYPERLINK("https://www.philgeps.gov.ph/GEPSNONPILOT/Tender/SplashBidNoticeAbstractUI.aspx?menuIndex=3&amp;refID=7174845&amp;Result=3","7174845")</f>
        <v>0</v>
      </c>
      <c r="B10665" t="s">
        <v>64</v>
      </c>
      <c r="C10665" t="s">
        <v>4055</v>
      </c>
      <c r="D10665" t="s">
        <v>19004</v>
      </c>
      <c r="E10665" t="s">
        <v>28201</v>
      </c>
      <c r="F10665" t="s">
        <v>32606</v>
      </c>
      <c r="G10665" t="s">
        <v>32613</v>
      </c>
      <c r="H10665" t="s">
        <v>14201</v>
      </c>
      <c r="I10665" t="s">
        <v>7677</v>
      </c>
      <c r="J10665" t="s">
        <v>39402</v>
      </c>
      <c r="K10665" t="s">
        <v>42622</v>
      </c>
      <c r="M10665" t="s">
        <v>42961</v>
      </c>
      <c r="N10665" t="s">
        <v>47304</v>
      </c>
      <c r="O10665" t="s">
        <v>47305</v>
      </c>
      <c r="P10665">
        <v>0</v>
      </c>
      <c r="Q10665">
        <v>5</v>
      </c>
      <c r="R10665" t="s">
        <v>47314</v>
      </c>
      <c r="S10665" t="s">
        <v>47596</v>
      </c>
      <c r="T10665" t="s">
        <v>49037</v>
      </c>
      <c r="U10665" t="s">
        <v>58324</v>
      </c>
      <c r="W10665" t="s">
        <v>64420</v>
      </c>
      <c r="X10665" t="s">
        <v>47319</v>
      </c>
    </row>
    <row r="10666" spans="1:24">
      <c r="A10666">
        <f>HYPERLINK("https://www.philgeps.gov.ph/GEPSNONPILOT/Tender/SplashBidNoticeAbstractUI.aspx?menuIndex=3&amp;refID=7174486&amp;Result=3","7174486")</f>
        <v>0</v>
      </c>
      <c r="B10666" t="s">
        <v>651</v>
      </c>
      <c r="C10666" t="s">
        <v>13920</v>
      </c>
      <c r="D10666" t="s">
        <v>19060</v>
      </c>
      <c r="E10666" t="s">
        <v>28202</v>
      </c>
      <c r="F10666" t="s">
        <v>32606</v>
      </c>
      <c r="G10666" t="s">
        <v>32613</v>
      </c>
      <c r="H10666" t="s">
        <v>14201</v>
      </c>
      <c r="I10666" t="s">
        <v>6478</v>
      </c>
      <c r="J10666" t="s">
        <v>39403</v>
      </c>
      <c r="K10666" t="s">
        <v>42631</v>
      </c>
      <c r="M10666" t="s">
        <v>43570</v>
      </c>
      <c r="N10666" t="s">
        <v>47304</v>
      </c>
      <c r="O10666" t="s">
        <v>47305</v>
      </c>
      <c r="P10666">
        <v>0</v>
      </c>
      <c r="Q10666">
        <v>3</v>
      </c>
      <c r="R10666" t="s">
        <v>47314</v>
      </c>
      <c r="S10666" t="s">
        <v>47596</v>
      </c>
      <c r="T10666" t="s">
        <v>49148</v>
      </c>
      <c r="U10666" t="s">
        <v>58325</v>
      </c>
      <c r="W10666" t="s">
        <v>43570</v>
      </c>
      <c r="X10666" t="s">
        <v>47319</v>
      </c>
    </row>
    <row r="10667" spans="1:24">
      <c r="A10667">
        <f>HYPERLINK("https://www.philgeps.gov.ph/GEPSNONPILOT/Tender/SplashBidNoticeAbstractUI.aspx?menuIndex=3&amp;refID=7174292&amp;Result=3","7174292")</f>
        <v>0</v>
      </c>
      <c r="B10667" t="s">
        <v>55</v>
      </c>
      <c r="C10667" t="s">
        <v>13921</v>
      </c>
      <c r="E10667" t="s">
        <v>28203</v>
      </c>
      <c r="F10667" t="s">
        <v>32606</v>
      </c>
      <c r="G10667" t="s">
        <v>32613</v>
      </c>
      <c r="H10667" t="s">
        <v>14201</v>
      </c>
      <c r="I10667" t="s">
        <v>32665</v>
      </c>
      <c r="J10667" t="s">
        <v>39404</v>
      </c>
      <c r="K10667" t="s">
        <v>42624</v>
      </c>
      <c r="M10667" t="s">
        <v>42952</v>
      </c>
      <c r="N10667" t="s">
        <v>47304</v>
      </c>
      <c r="O10667" t="s">
        <v>47305</v>
      </c>
      <c r="P10667">
        <v>0</v>
      </c>
      <c r="Q10667">
        <v>8</v>
      </c>
      <c r="R10667" t="s">
        <v>47314</v>
      </c>
      <c r="S10667" t="s">
        <v>47596</v>
      </c>
      <c r="T10667" t="s">
        <v>49234</v>
      </c>
      <c r="U10667" t="s">
        <v>58326</v>
      </c>
      <c r="W10667" t="s">
        <v>42952</v>
      </c>
      <c r="X10667" t="s">
        <v>47319</v>
      </c>
    </row>
    <row r="10668" spans="1:24">
      <c r="A10668">
        <f>HYPERLINK("https://www.philgeps.gov.ph/GEPSNONPILOT/Tender/SplashBidNoticeAbstractUI.aspx?menuIndex=3&amp;refID=7181616&amp;Result=3","7181616")</f>
        <v>0</v>
      </c>
      <c r="B10668" t="s">
        <v>3153</v>
      </c>
      <c r="C10668" t="s">
        <v>6570</v>
      </c>
      <c r="D10668" t="s">
        <v>19008</v>
      </c>
      <c r="E10668" t="s">
        <v>28204</v>
      </c>
      <c r="F10668" t="s">
        <v>32606</v>
      </c>
      <c r="G10668" t="s">
        <v>32613</v>
      </c>
      <c r="H10668" t="s">
        <v>14201</v>
      </c>
      <c r="I10668" t="s">
        <v>6931</v>
      </c>
      <c r="J10668" t="s">
        <v>39405</v>
      </c>
      <c r="K10668" t="s">
        <v>42638</v>
      </c>
      <c r="M10668" t="s">
        <v>46370</v>
      </c>
      <c r="N10668" t="s">
        <v>47304</v>
      </c>
      <c r="O10668" t="s">
        <v>47305</v>
      </c>
      <c r="P10668">
        <v>0</v>
      </c>
      <c r="Q10668">
        <v>0</v>
      </c>
      <c r="R10668" t="s">
        <v>47314</v>
      </c>
      <c r="S10668" t="s">
        <v>47596</v>
      </c>
      <c r="T10668" t="s">
        <v>49019</v>
      </c>
      <c r="U10668" t="s">
        <v>58327</v>
      </c>
      <c r="W10668" t="s">
        <v>46370</v>
      </c>
      <c r="X10668" t="s">
        <v>47315</v>
      </c>
    </row>
    <row r="10669" spans="1:24">
      <c r="A10669">
        <f>HYPERLINK("https://www.philgeps.gov.ph/GEPSNONPILOT/Tender/SplashBidNoticeAbstractUI.aspx?menuIndex=3&amp;refID=7158600&amp;Result=3","7158600")</f>
        <v>0</v>
      </c>
      <c r="B10669" t="s">
        <v>200</v>
      </c>
      <c r="C10669" t="s">
        <v>13922</v>
      </c>
      <c r="D10669" t="s">
        <v>18993</v>
      </c>
      <c r="E10669" t="s">
        <v>28205</v>
      </c>
      <c r="F10669" t="s">
        <v>32606</v>
      </c>
      <c r="G10669" t="s">
        <v>32613</v>
      </c>
      <c r="H10669" t="s">
        <v>14201</v>
      </c>
      <c r="I10669" t="s">
        <v>4112</v>
      </c>
      <c r="J10669" t="s">
        <v>39406</v>
      </c>
      <c r="K10669" t="s">
        <v>42622</v>
      </c>
      <c r="M10669" t="s">
        <v>46385</v>
      </c>
      <c r="N10669" t="s">
        <v>47304</v>
      </c>
      <c r="O10669" t="s">
        <v>47305</v>
      </c>
      <c r="P10669">
        <v>0</v>
      </c>
      <c r="Q10669">
        <v>5</v>
      </c>
      <c r="R10669" t="s">
        <v>47314</v>
      </c>
      <c r="S10669" t="s">
        <v>47596</v>
      </c>
      <c r="T10669" t="s">
        <v>49066</v>
      </c>
      <c r="U10669" t="s">
        <v>58328</v>
      </c>
      <c r="W10669" t="s">
        <v>46385</v>
      </c>
      <c r="X10669" t="s">
        <v>47326</v>
      </c>
    </row>
    <row r="10670" spans="1:24">
      <c r="A10670">
        <f>HYPERLINK("https://www.philgeps.gov.ph/GEPSNONPILOT/Tender/SplashBidNoticeAbstractUI.aspx?menuIndex=3&amp;refID=7147908-2&amp;Result=3","7147908-2")</f>
        <v>0</v>
      </c>
      <c r="B10670" t="s">
        <v>962</v>
      </c>
      <c r="C10670" t="s">
        <v>13923</v>
      </c>
      <c r="D10670" t="s">
        <v>18991</v>
      </c>
      <c r="E10670" t="s">
        <v>28206</v>
      </c>
      <c r="F10670" t="s">
        <v>32606</v>
      </c>
      <c r="G10670" t="s">
        <v>32613</v>
      </c>
      <c r="H10670" t="s">
        <v>32625</v>
      </c>
      <c r="I10670" t="s">
        <v>32625</v>
      </c>
      <c r="J10670" t="s">
        <v>39407</v>
      </c>
      <c r="K10670" t="s">
        <v>42722</v>
      </c>
      <c r="M10670" t="s">
        <v>43907</v>
      </c>
      <c r="N10670" t="s">
        <v>47304</v>
      </c>
      <c r="O10670" t="s">
        <v>47305</v>
      </c>
      <c r="P10670">
        <v>0</v>
      </c>
      <c r="Q10670">
        <v>4</v>
      </c>
      <c r="R10670" t="s">
        <v>47314</v>
      </c>
      <c r="S10670" t="s">
        <v>47596</v>
      </c>
      <c r="T10670" t="s">
        <v>49159</v>
      </c>
      <c r="U10670" t="s">
        <v>58329</v>
      </c>
      <c r="V10670" t="s">
        <v>63778</v>
      </c>
      <c r="W10670" t="s">
        <v>43907</v>
      </c>
      <c r="X10670" t="s">
        <v>47315</v>
      </c>
    </row>
    <row r="10671" spans="1:24">
      <c r="A10671">
        <f>HYPERLINK("https://www.philgeps.gov.ph/GEPSNONPILOT/Tender/SplashBidNoticeAbstractUI.aspx?menuIndex=3&amp;refID=7181678&amp;Result=3","7181678")</f>
        <v>0</v>
      </c>
      <c r="B10671" t="s">
        <v>1600</v>
      </c>
      <c r="C10671" t="s">
        <v>13924</v>
      </c>
      <c r="D10671" t="s">
        <v>19059</v>
      </c>
      <c r="E10671" t="s">
        <v>24693</v>
      </c>
      <c r="F10671" t="s">
        <v>32606</v>
      </c>
      <c r="G10671" t="s">
        <v>32613</v>
      </c>
      <c r="H10671" t="s">
        <v>32623</v>
      </c>
      <c r="I10671" t="s">
        <v>17648</v>
      </c>
      <c r="J10671" t="s">
        <v>39408</v>
      </c>
      <c r="K10671" t="s">
        <v>42786</v>
      </c>
      <c r="M10671" t="s">
        <v>44616</v>
      </c>
      <c r="N10671" t="s">
        <v>47304</v>
      </c>
      <c r="O10671" t="s">
        <v>47305</v>
      </c>
      <c r="P10671">
        <v>0</v>
      </c>
      <c r="Q10671">
        <v>0</v>
      </c>
      <c r="R10671" t="s">
        <v>47314</v>
      </c>
      <c r="S10671" t="s">
        <v>47596</v>
      </c>
      <c r="T10671" t="s">
        <v>49140</v>
      </c>
      <c r="U10671" t="s">
        <v>58330</v>
      </c>
      <c r="W10671" t="s">
        <v>44616</v>
      </c>
      <c r="X10671" t="s">
        <v>47315</v>
      </c>
    </row>
    <row r="10672" spans="1:24">
      <c r="A10672">
        <f>HYPERLINK("https://www.philgeps.gov.ph/GEPSNONPILOT/Tender/SplashBidNoticeAbstractUI.aspx?menuIndex=3&amp;refID=7147881-2&amp;Result=3","7147881-2")</f>
        <v>0</v>
      </c>
      <c r="B10672" t="s">
        <v>962</v>
      </c>
      <c r="C10672" t="s">
        <v>13925</v>
      </c>
      <c r="D10672" t="s">
        <v>18991</v>
      </c>
      <c r="E10672" t="s">
        <v>28207</v>
      </c>
      <c r="F10672" t="s">
        <v>32606</v>
      </c>
      <c r="G10672" t="s">
        <v>32613</v>
      </c>
      <c r="H10672" t="s">
        <v>32625</v>
      </c>
      <c r="I10672" t="s">
        <v>32625</v>
      </c>
      <c r="J10672" t="s">
        <v>39409</v>
      </c>
      <c r="K10672" t="s">
        <v>42634</v>
      </c>
      <c r="M10672" t="s">
        <v>43907</v>
      </c>
      <c r="N10672" t="s">
        <v>47304</v>
      </c>
      <c r="O10672" t="s">
        <v>47305</v>
      </c>
      <c r="P10672">
        <v>0</v>
      </c>
      <c r="Q10672">
        <v>3</v>
      </c>
      <c r="R10672" t="s">
        <v>47314</v>
      </c>
      <c r="S10672" t="s">
        <v>47596</v>
      </c>
      <c r="T10672" t="s">
        <v>49159</v>
      </c>
      <c r="U10672" t="s">
        <v>58331</v>
      </c>
      <c r="V10672" t="s">
        <v>63779</v>
      </c>
      <c r="W10672" t="s">
        <v>43907</v>
      </c>
      <c r="X10672" t="s">
        <v>47315</v>
      </c>
    </row>
    <row r="10673" spans="1:24">
      <c r="A10673">
        <f>HYPERLINK("https://www.philgeps.gov.ph/GEPSNONPILOT/Tender/SplashBidNoticeAbstractUI.aspx?menuIndex=3&amp;refID=7179900&amp;Result=3","7179900")</f>
        <v>0</v>
      </c>
      <c r="B10673" t="s">
        <v>3123</v>
      </c>
      <c r="C10673" t="s">
        <v>13926</v>
      </c>
      <c r="D10673" t="s">
        <v>19023</v>
      </c>
      <c r="E10673" t="s">
        <v>28208</v>
      </c>
      <c r="F10673" t="s">
        <v>32606</v>
      </c>
      <c r="G10673" t="s">
        <v>32613</v>
      </c>
      <c r="H10673" t="s">
        <v>14201</v>
      </c>
      <c r="I10673" t="s">
        <v>32640</v>
      </c>
      <c r="J10673" t="s">
        <v>35959</v>
      </c>
      <c r="K10673" t="s">
        <v>42623</v>
      </c>
      <c r="M10673" t="s">
        <v>46334</v>
      </c>
      <c r="N10673" t="s">
        <v>47304</v>
      </c>
      <c r="O10673" t="s">
        <v>47305</v>
      </c>
      <c r="P10673">
        <v>0</v>
      </c>
      <c r="Q10673">
        <v>4</v>
      </c>
      <c r="R10673" t="s">
        <v>47314</v>
      </c>
      <c r="S10673" t="s">
        <v>47596</v>
      </c>
      <c r="T10673" t="s">
        <v>49075</v>
      </c>
      <c r="U10673" t="s">
        <v>58332</v>
      </c>
      <c r="V10673" t="s">
        <v>63780</v>
      </c>
      <c r="W10673" t="s">
        <v>46334</v>
      </c>
      <c r="X10673" t="s">
        <v>47318</v>
      </c>
    </row>
    <row r="10674" spans="1:24">
      <c r="A10674">
        <f>HYPERLINK("https://www.philgeps.gov.ph/GEPSNONPILOT/Tender/SplashBidNoticeAbstractUI.aspx?menuIndex=3&amp;refID=7186890&amp;Result=3","7186890")</f>
        <v>0</v>
      </c>
      <c r="B10674" t="s">
        <v>726</v>
      </c>
      <c r="C10674" t="s">
        <v>13927</v>
      </c>
      <c r="D10674" t="s">
        <v>19009</v>
      </c>
      <c r="E10674" t="s">
        <v>28209</v>
      </c>
      <c r="F10674" t="s">
        <v>32606</v>
      </c>
      <c r="G10674" t="s">
        <v>32613</v>
      </c>
      <c r="H10674" t="s">
        <v>14201</v>
      </c>
      <c r="I10674" t="s">
        <v>32638</v>
      </c>
      <c r="J10674" t="s">
        <v>39410</v>
      </c>
      <c r="K10674" t="s">
        <v>42623</v>
      </c>
      <c r="M10674" t="s">
        <v>43942</v>
      </c>
      <c r="N10674" t="s">
        <v>47304</v>
      </c>
      <c r="O10674" t="s">
        <v>47305</v>
      </c>
      <c r="P10674">
        <v>0</v>
      </c>
      <c r="Q10674">
        <v>2</v>
      </c>
      <c r="R10674" t="s">
        <v>47313</v>
      </c>
      <c r="S10674" t="s">
        <v>47535</v>
      </c>
      <c r="T10674" t="s">
        <v>49198</v>
      </c>
      <c r="U10674" t="s">
        <v>58333</v>
      </c>
      <c r="V10674" t="s">
        <v>62846</v>
      </c>
      <c r="W10674" t="s">
        <v>43942</v>
      </c>
      <c r="X10674" t="s">
        <v>47314</v>
      </c>
    </row>
    <row r="10675" spans="1:24">
      <c r="A10675">
        <f>HYPERLINK("https://www.philgeps.gov.ph/GEPSNONPILOT/Tender/SplashBidNoticeAbstractUI.aspx?menuIndex=3&amp;refID=7186888&amp;Result=3","7186888")</f>
        <v>0</v>
      </c>
      <c r="B10675" t="s">
        <v>1663</v>
      </c>
      <c r="C10675" t="s">
        <v>13928</v>
      </c>
      <c r="D10675" t="s">
        <v>19023</v>
      </c>
      <c r="E10675" t="s">
        <v>28210</v>
      </c>
      <c r="F10675" t="s">
        <v>32606</v>
      </c>
      <c r="G10675" t="s">
        <v>32613</v>
      </c>
      <c r="H10675" t="s">
        <v>14201</v>
      </c>
      <c r="I10675" t="s">
        <v>6931</v>
      </c>
      <c r="J10675" t="s">
        <v>39411</v>
      </c>
      <c r="K10675" t="s">
        <v>42631</v>
      </c>
      <c r="M10675" t="s">
        <v>44689</v>
      </c>
      <c r="N10675" t="s">
        <v>47304</v>
      </c>
      <c r="O10675" t="s">
        <v>47305</v>
      </c>
      <c r="P10675">
        <v>0</v>
      </c>
      <c r="Q10675">
        <v>0</v>
      </c>
      <c r="R10675" t="s">
        <v>47313</v>
      </c>
      <c r="S10675" t="s">
        <v>47535</v>
      </c>
      <c r="T10675" t="s">
        <v>49240</v>
      </c>
      <c r="U10675" t="s">
        <v>53407</v>
      </c>
      <c r="W10675" t="s">
        <v>46318</v>
      </c>
      <c r="X10675" t="s">
        <v>47314</v>
      </c>
    </row>
    <row r="10676" spans="1:24">
      <c r="A10676">
        <f>HYPERLINK("https://www.philgeps.gov.ph/GEPSNONPILOT/Tender/SplashBidNoticeAbstractUI.aspx?menuIndex=3&amp;refID=7156968&amp;Result=3","7156968")</f>
        <v>0</v>
      </c>
      <c r="B10676" t="s">
        <v>3166</v>
      </c>
      <c r="C10676" t="s">
        <v>13929</v>
      </c>
      <c r="D10676" t="s">
        <v>19038</v>
      </c>
      <c r="E10676" t="s">
        <v>19386</v>
      </c>
      <c r="F10676" t="s">
        <v>32606</v>
      </c>
      <c r="G10676" t="s">
        <v>32613</v>
      </c>
      <c r="H10676" t="s">
        <v>32623</v>
      </c>
      <c r="I10676" t="s">
        <v>17648</v>
      </c>
      <c r="J10676" t="s">
        <v>33936</v>
      </c>
      <c r="K10676" t="s">
        <v>42624</v>
      </c>
      <c r="M10676" t="s">
        <v>46386</v>
      </c>
      <c r="N10676" t="s">
        <v>47304</v>
      </c>
      <c r="O10676" t="s">
        <v>47305</v>
      </c>
      <c r="P10676">
        <v>0</v>
      </c>
      <c r="Q10676">
        <v>0</v>
      </c>
      <c r="R10676" t="s">
        <v>47314</v>
      </c>
      <c r="S10676" t="s">
        <v>47596</v>
      </c>
      <c r="T10676" t="s">
        <v>49268</v>
      </c>
      <c r="U10676" t="s">
        <v>58334</v>
      </c>
      <c r="W10676" t="s">
        <v>46386</v>
      </c>
      <c r="X10676" t="s">
        <v>47327</v>
      </c>
    </row>
    <row r="10677" spans="1:24">
      <c r="A10677">
        <f>HYPERLINK("https://www.philgeps.gov.ph/GEPSNONPILOT/Tender/SplashBidNoticeAbstractUI.aspx?menuIndex=3&amp;refID=7147895-2&amp;Result=3","7147895-2")</f>
        <v>0</v>
      </c>
      <c r="B10677" t="s">
        <v>962</v>
      </c>
      <c r="C10677" t="s">
        <v>13930</v>
      </c>
      <c r="D10677" t="s">
        <v>18991</v>
      </c>
      <c r="E10677" t="s">
        <v>28211</v>
      </c>
      <c r="F10677" t="s">
        <v>32606</v>
      </c>
      <c r="G10677" t="s">
        <v>32613</v>
      </c>
      <c r="H10677" t="s">
        <v>32625</v>
      </c>
      <c r="I10677" t="s">
        <v>32625</v>
      </c>
      <c r="J10677" t="s">
        <v>39412</v>
      </c>
      <c r="K10677" t="s">
        <v>42648</v>
      </c>
      <c r="M10677" t="s">
        <v>43907</v>
      </c>
      <c r="N10677" t="s">
        <v>47304</v>
      </c>
      <c r="O10677" t="s">
        <v>47305</v>
      </c>
      <c r="P10677">
        <v>0</v>
      </c>
      <c r="Q10677">
        <v>3</v>
      </c>
      <c r="R10677" t="s">
        <v>47314</v>
      </c>
      <c r="S10677" t="s">
        <v>47596</v>
      </c>
      <c r="T10677" t="s">
        <v>49159</v>
      </c>
      <c r="U10677" t="s">
        <v>58335</v>
      </c>
      <c r="V10677" t="s">
        <v>63781</v>
      </c>
      <c r="W10677" t="s">
        <v>43907</v>
      </c>
      <c r="X10677" t="s">
        <v>47315</v>
      </c>
    </row>
    <row r="10678" spans="1:24">
      <c r="A10678">
        <f>HYPERLINK("https://www.philgeps.gov.ph/GEPSNONPILOT/Tender/SplashBidNoticeAbstractUI.aspx?menuIndex=3&amp;refID=7181697&amp;Result=3","7181697")</f>
        <v>0</v>
      </c>
      <c r="B10678" t="s">
        <v>3004</v>
      </c>
      <c r="C10678" t="s">
        <v>13931</v>
      </c>
      <c r="D10678" t="s">
        <v>19039</v>
      </c>
      <c r="E10678" t="s">
        <v>28212</v>
      </c>
      <c r="F10678" t="s">
        <v>32606</v>
      </c>
      <c r="G10678" t="s">
        <v>32614</v>
      </c>
      <c r="H10678" t="s">
        <v>14201</v>
      </c>
      <c r="I10678" t="s">
        <v>9013</v>
      </c>
      <c r="J10678" t="s">
        <v>39413</v>
      </c>
      <c r="K10678" t="s">
        <v>42631</v>
      </c>
      <c r="M10678" t="s">
        <v>46193</v>
      </c>
      <c r="N10678" t="s">
        <v>47304</v>
      </c>
      <c r="O10678" t="s">
        <v>47305</v>
      </c>
      <c r="P10678">
        <v>0</v>
      </c>
      <c r="Q10678">
        <v>9</v>
      </c>
      <c r="R10678" t="s">
        <v>47314</v>
      </c>
      <c r="S10678" t="s">
        <v>47596</v>
      </c>
      <c r="T10678" t="s">
        <v>49053</v>
      </c>
      <c r="U10678" t="s">
        <v>58336</v>
      </c>
      <c r="V10678" t="s">
        <v>63664</v>
      </c>
      <c r="W10678" t="s">
        <v>46193</v>
      </c>
      <c r="X10678" t="s">
        <v>47315</v>
      </c>
    </row>
    <row r="10679" spans="1:24">
      <c r="A10679">
        <f>HYPERLINK("https://www.philgeps.gov.ph/GEPSNONPILOT/Tender/SplashBidNoticeAbstractUI.aspx?menuIndex=3&amp;refID=7186889&amp;Result=3","7186889")</f>
        <v>0</v>
      </c>
      <c r="B10679" t="s">
        <v>1172</v>
      </c>
      <c r="C10679" t="s">
        <v>13932</v>
      </c>
      <c r="D10679" t="s">
        <v>19072</v>
      </c>
      <c r="E10679" t="s">
        <v>28213</v>
      </c>
      <c r="F10679" t="s">
        <v>32606</v>
      </c>
      <c r="G10679" t="s">
        <v>32614</v>
      </c>
      <c r="H10679" t="s">
        <v>14201</v>
      </c>
      <c r="I10679" t="s">
        <v>6298</v>
      </c>
      <c r="J10679" t="s">
        <v>36609</v>
      </c>
      <c r="K10679" t="s">
        <v>42631</v>
      </c>
      <c r="M10679" t="s">
        <v>44135</v>
      </c>
      <c r="N10679" t="s">
        <v>47304</v>
      </c>
      <c r="O10679" t="s">
        <v>47305</v>
      </c>
      <c r="P10679">
        <v>0</v>
      </c>
      <c r="Q10679">
        <v>0</v>
      </c>
      <c r="R10679" t="s">
        <v>47313</v>
      </c>
      <c r="S10679" t="s">
        <v>47535</v>
      </c>
      <c r="T10679" t="s">
        <v>49071</v>
      </c>
      <c r="U10679" t="s">
        <v>51932</v>
      </c>
      <c r="W10679" t="s">
        <v>44135</v>
      </c>
      <c r="X10679" t="s">
        <v>47314</v>
      </c>
    </row>
    <row r="10680" spans="1:24">
      <c r="A10680">
        <f>HYPERLINK("https://www.philgeps.gov.ph/GEPSNONPILOT/Tender/SplashBidNoticeAbstractUI.aspx?menuIndex=3&amp;refID=7147917-2&amp;Result=3","7147917-2")</f>
        <v>0</v>
      </c>
      <c r="B10680" t="s">
        <v>962</v>
      </c>
      <c r="C10680" t="s">
        <v>13933</v>
      </c>
      <c r="D10680" t="s">
        <v>18991</v>
      </c>
      <c r="E10680" t="s">
        <v>28214</v>
      </c>
      <c r="F10680" t="s">
        <v>32606</v>
      </c>
      <c r="G10680" t="s">
        <v>32613</v>
      </c>
      <c r="H10680" t="s">
        <v>32625</v>
      </c>
      <c r="I10680" t="s">
        <v>32625</v>
      </c>
      <c r="J10680" t="s">
        <v>39414</v>
      </c>
      <c r="K10680" t="s">
        <v>42743</v>
      </c>
      <c r="M10680" t="s">
        <v>43907</v>
      </c>
      <c r="N10680" t="s">
        <v>47304</v>
      </c>
      <c r="O10680" t="s">
        <v>47305</v>
      </c>
      <c r="P10680">
        <v>0</v>
      </c>
      <c r="Q10680">
        <v>4</v>
      </c>
      <c r="R10680" t="s">
        <v>47314</v>
      </c>
      <c r="S10680" t="s">
        <v>47596</v>
      </c>
      <c r="T10680" t="s">
        <v>49159</v>
      </c>
      <c r="U10680" t="s">
        <v>58337</v>
      </c>
      <c r="V10680" t="s">
        <v>63782</v>
      </c>
      <c r="W10680" t="s">
        <v>43907</v>
      </c>
      <c r="X10680" t="s">
        <v>47315</v>
      </c>
    </row>
    <row r="10681" spans="1:24">
      <c r="A10681">
        <f>HYPERLINK("https://www.philgeps.gov.ph/GEPSNONPILOT/Tender/SplashBidNoticeAbstractUI.aspx?menuIndex=3&amp;refID=7181741&amp;Result=3","7181741")</f>
        <v>0</v>
      </c>
      <c r="B10681" t="s">
        <v>3167</v>
      </c>
      <c r="C10681" t="s">
        <v>13934</v>
      </c>
      <c r="D10681" t="s">
        <v>18999</v>
      </c>
      <c r="E10681" t="s">
        <v>28215</v>
      </c>
      <c r="F10681" t="s">
        <v>32606</v>
      </c>
      <c r="G10681" t="s">
        <v>32614</v>
      </c>
      <c r="H10681" t="s">
        <v>32624</v>
      </c>
      <c r="I10681" t="s">
        <v>7233</v>
      </c>
      <c r="J10681" t="s">
        <v>39415</v>
      </c>
      <c r="K10681" t="s">
        <v>42683</v>
      </c>
      <c r="M10681" t="s">
        <v>46387</v>
      </c>
      <c r="N10681" t="s">
        <v>47304</v>
      </c>
      <c r="O10681" t="s">
        <v>47305</v>
      </c>
      <c r="P10681">
        <v>0</v>
      </c>
      <c r="Q10681">
        <v>0</v>
      </c>
      <c r="R10681" t="s">
        <v>47314</v>
      </c>
      <c r="S10681" t="s">
        <v>47596</v>
      </c>
      <c r="T10681" t="s">
        <v>49068</v>
      </c>
      <c r="U10681" t="s">
        <v>58338</v>
      </c>
      <c r="W10681" t="s">
        <v>46387</v>
      </c>
      <c r="X10681" t="s">
        <v>47315</v>
      </c>
    </row>
    <row r="10682" spans="1:24">
      <c r="A10682">
        <f>HYPERLINK("https://www.philgeps.gov.ph/GEPSNONPILOT/Tender/SplashBidNoticeAbstractUI.aspx?menuIndex=3&amp;refID=7181733&amp;Result=3","7181733")</f>
        <v>0</v>
      </c>
      <c r="B10682" t="s">
        <v>1947</v>
      </c>
      <c r="C10682" t="s">
        <v>13935</v>
      </c>
      <c r="D10682" t="s">
        <v>19011</v>
      </c>
      <c r="E10682" t="s">
        <v>20875</v>
      </c>
      <c r="F10682" t="s">
        <v>32606</v>
      </c>
      <c r="G10682" t="s">
        <v>32613</v>
      </c>
      <c r="H10682" t="s">
        <v>32623</v>
      </c>
      <c r="I10682" t="s">
        <v>17648</v>
      </c>
      <c r="J10682" t="s">
        <v>32789</v>
      </c>
      <c r="K10682" t="s">
        <v>42624</v>
      </c>
      <c r="M10682" t="s">
        <v>45008</v>
      </c>
      <c r="N10682" t="s">
        <v>47304</v>
      </c>
      <c r="O10682" t="s">
        <v>47305</v>
      </c>
      <c r="P10682">
        <v>0</v>
      </c>
      <c r="Q10682">
        <v>0</v>
      </c>
      <c r="R10682" t="s">
        <v>47314</v>
      </c>
      <c r="S10682" t="s">
        <v>47596</v>
      </c>
      <c r="T10682" t="s">
        <v>49269</v>
      </c>
      <c r="U10682" t="s">
        <v>58339</v>
      </c>
      <c r="W10682" t="s">
        <v>45008</v>
      </c>
      <c r="X10682" t="s">
        <v>47315</v>
      </c>
    </row>
    <row r="10683" spans="1:24">
      <c r="A10683">
        <f>HYPERLINK("https://www.philgeps.gov.ph/GEPSNONPILOT/Tender/SplashBidNoticeAbstractUI.aspx?menuIndex=3&amp;refID=7181732&amp;Result=3","7181732")</f>
        <v>0</v>
      </c>
      <c r="B10683" t="s">
        <v>1194</v>
      </c>
      <c r="C10683" t="s">
        <v>13936</v>
      </c>
      <c r="D10683" t="s">
        <v>19025</v>
      </c>
      <c r="E10683" t="s">
        <v>28216</v>
      </c>
      <c r="F10683" t="s">
        <v>32606</v>
      </c>
      <c r="G10683" t="s">
        <v>32613</v>
      </c>
      <c r="H10683" t="s">
        <v>14201</v>
      </c>
      <c r="I10683" t="s">
        <v>6931</v>
      </c>
      <c r="J10683" t="s">
        <v>39416</v>
      </c>
      <c r="K10683" t="s">
        <v>42623</v>
      </c>
      <c r="M10683" t="s">
        <v>44158</v>
      </c>
      <c r="N10683" t="s">
        <v>47304</v>
      </c>
      <c r="O10683" t="s">
        <v>47305</v>
      </c>
      <c r="P10683">
        <v>0</v>
      </c>
      <c r="Q10683">
        <v>4</v>
      </c>
      <c r="R10683" t="s">
        <v>47314</v>
      </c>
      <c r="S10683" t="s">
        <v>47596</v>
      </c>
      <c r="T10683" t="s">
        <v>49240</v>
      </c>
      <c r="U10683" t="s">
        <v>58340</v>
      </c>
      <c r="W10683" t="s">
        <v>44158</v>
      </c>
      <c r="X10683" t="s">
        <v>47315</v>
      </c>
    </row>
    <row r="10684" spans="1:24">
      <c r="A10684">
        <f>HYPERLINK("https://www.philgeps.gov.ph/GEPSNONPILOT/Tender/SplashBidNoticeAbstractUI.aspx?menuIndex=3&amp;refID=7181730&amp;Result=3","7181730")</f>
        <v>0</v>
      </c>
      <c r="B10684" t="s">
        <v>1032</v>
      </c>
      <c r="C10684" t="s">
        <v>13937</v>
      </c>
      <c r="D10684" t="s">
        <v>18993</v>
      </c>
      <c r="E10684" t="s">
        <v>28217</v>
      </c>
      <c r="F10684" t="s">
        <v>32606</v>
      </c>
      <c r="G10684" t="s">
        <v>32613</v>
      </c>
      <c r="H10684" t="s">
        <v>14201</v>
      </c>
      <c r="I10684" t="s">
        <v>4121</v>
      </c>
      <c r="J10684" t="s">
        <v>39417</v>
      </c>
      <c r="K10684" t="s">
        <v>42648</v>
      </c>
      <c r="M10684" t="s">
        <v>46388</v>
      </c>
      <c r="N10684" t="s">
        <v>47304</v>
      </c>
      <c r="O10684" t="s">
        <v>47305</v>
      </c>
      <c r="P10684">
        <v>0</v>
      </c>
      <c r="Q10684">
        <v>3</v>
      </c>
      <c r="R10684" t="s">
        <v>47314</v>
      </c>
      <c r="S10684" t="s">
        <v>47596</v>
      </c>
      <c r="T10684" t="s">
        <v>49037</v>
      </c>
      <c r="U10684" t="s">
        <v>58341</v>
      </c>
      <c r="W10684" t="s">
        <v>46388</v>
      </c>
      <c r="X10684" t="s">
        <v>47315</v>
      </c>
    </row>
    <row r="10685" spans="1:24">
      <c r="A10685">
        <f>HYPERLINK("https://www.philgeps.gov.ph/GEPSNONPILOT/Tender/SplashBidNoticeAbstractUI.aspx?menuIndex=3&amp;refID=7174755&amp;Result=3","7174755")</f>
        <v>0</v>
      </c>
      <c r="B10685" t="s">
        <v>64</v>
      </c>
      <c r="C10685" t="s">
        <v>13938</v>
      </c>
      <c r="D10685" t="s">
        <v>19004</v>
      </c>
      <c r="E10685" t="s">
        <v>28218</v>
      </c>
      <c r="F10685" t="s">
        <v>32606</v>
      </c>
      <c r="G10685" t="s">
        <v>32613</v>
      </c>
      <c r="H10685" t="s">
        <v>14201</v>
      </c>
      <c r="I10685" t="s">
        <v>32633</v>
      </c>
      <c r="J10685" t="s">
        <v>39418</v>
      </c>
      <c r="K10685" t="s">
        <v>42622</v>
      </c>
      <c r="M10685" t="s">
        <v>42961</v>
      </c>
      <c r="N10685" t="s">
        <v>47304</v>
      </c>
      <c r="O10685" t="s">
        <v>47305</v>
      </c>
      <c r="P10685">
        <v>0</v>
      </c>
      <c r="Q10685">
        <v>13</v>
      </c>
      <c r="R10685" t="s">
        <v>47314</v>
      </c>
      <c r="S10685" t="s">
        <v>47596</v>
      </c>
      <c r="T10685" t="s">
        <v>49037</v>
      </c>
      <c r="U10685" t="s">
        <v>58342</v>
      </c>
      <c r="W10685" t="s">
        <v>64420</v>
      </c>
      <c r="X10685" t="s">
        <v>47319</v>
      </c>
    </row>
    <row r="10686" spans="1:24">
      <c r="A10686">
        <f>HYPERLINK("https://www.philgeps.gov.ph/GEPSNONPILOT/Tender/SplashBidNoticeAbstractUI.aspx?menuIndex=3&amp;refID=7181707&amp;Result=3","7181707")</f>
        <v>0</v>
      </c>
      <c r="B10686" t="s">
        <v>3141</v>
      </c>
      <c r="C10686" t="s">
        <v>13939</v>
      </c>
      <c r="D10686" t="s">
        <v>18993</v>
      </c>
      <c r="E10686" t="s">
        <v>28087</v>
      </c>
      <c r="F10686" t="s">
        <v>32606</v>
      </c>
      <c r="G10686" t="s">
        <v>32613</v>
      </c>
      <c r="H10686" t="s">
        <v>14201</v>
      </c>
      <c r="I10686" t="s">
        <v>4120</v>
      </c>
      <c r="J10686" t="s">
        <v>39419</v>
      </c>
      <c r="K10686" t="s">
        <v>42631</v>
      </c>
      <c r="M10686" t="s">
        <v>46355</v>
      </c>
      <c r="N10686" t="s">
        <v>47304</v>
      </c>
      <c r="O10686" t="s">
        <v>47305</v>
      </c>
      <c r="P10686">
        <v>0</v>
      </c>
      <c r="Q10686">
        <v>9</v>
      </c>
      <c r="R10686" t="s">
        <v>47314</v>
      </c>
      <c r="S10686" t="s">
        <v>47596</v>
      </c>
      <c r="T10686" t="s">
        <v>49019</v>
      </c>
      <c r="U10686" t="s">
        <v>58343</v>
      </c>
      <c r="W10686" t="s">
        <v>46355</v>
      </c>
      <c r="X10686" t="s">
        <v>47315</v>
      </c>
    </row>
    <row r="10687" spans="1:24">
      <c r="A10687">
        <f>HYPERLINK("https://www.philgeps.gov.ph/GEPSNONPILOT/Tender/SplashBidNoticeAbstractUI.aspx?menuIndex=3&amp;refID=7181699&amp;Result=3","7181699")</f>
        <v>0</v>
      </c>
      <c r="B10687" t="s">
        <v>3168</v>
      </c>
      <c r="C10687" t="s">
        <v>13940</v>
      </c>
      <c r="D10687" t="s">
        <v>19007</v>
      </c>
      <c r="E10687" t="s">
        <v>25726</v>
      </c>
      <c r="F10687" t="s">
        <v>32608</v>
      </c>
      <c r="G10687" t="s">
        <v>32613</v>
      </c>
      <c r="H10687" t="s">
        <v>32623</v>
      </c>
      <c r="I10687" t="s">
        <v>17648</v>
      </c>
      <c r="J10687" t="s">
        <v>32926</v>
      </c>
      <c r="K10687" t="s">
        <v>42631</v>
      </c>
      <c r="M10687" t="s">
        <v>46389</v>
      </c>
      <c r="N10687" t="s">
        <v>47304</v>
      </c>
      <c r="O10687" t="s">
        <v>47305</v>
      </c>
      <c r="P10687">
        <v>0</v>
      </c>
      <c r="Q10687">
        <v>0</v>
      </c>
      <c r="R10687" t="s">
        <v>47314</v>
      </c>
      <c r="S10687" t="s">
        <v>47596</v>
      </c>
      <c r="T10687" t="s">
        <v>48987</v>
      </c>
      <c r="U10687" t="s">
        <v>58344</v>
      </c>
      <c r="W10687" t="s">
        <v>46389</v>
      </c>
      <c r="X10687" t="s">
        <v>47315</v>
      </c>
    </row>
    <row r="10688" spans="1:24">
      <c r="A10688">
        <f>HYPERLINK("https://www.philgeps.gov.ph/GEPSNONPILOT/Tender/SplashBidNoticeAbstractUI.aspx?menuIndex=3&amp;refID=7181537&amp;Result=3","7181537")</f>
        <v>0</v>
      </c>
      <c r="B10688" t="s">
        <v>1399</v>
      </c>
      <c r="C10688" t="s">
        <v>13941</v>
      </c>
      <c r="D10688" t="s">
        <v>19043</v>
      </c>
      <c r="E10688" t="s">
        <v>28219</v>
      </c>
      <c r="F10688" t="s">
        <v>32606</v>
      </c>
      <c r="G10688" t="s">
        <v>32613</v>
      </c>
      <c r="H10688" t="s">
        <v>14201</v>
      </c>
      <c r="I10688" t="s">
        <v>17648</v>
      </c>
      <c r="J10688" t="s">
        <v>33034</v>
      </c>
      <c r="K10688" t="s">
        <v>42624</v>
      </c>
      <c r="M10688" t="s">
        <v>44383</v>
      </c>
      <c r="N10688" t="s">
        <v>47304</v>
      </c>
      <c r="O10688" t="s">
        <v>47305</v>
      </c>
      <c r="P10688">
        <v>0</v>
      </c>
      <c r="Q10688">
        <v>0</v>
      </c>
      <c r="R10688" t="s">
        <v>47314</v>
      </c>
      <c r="S10688" t="s">
        <v>47596</v>
      </c>
      <c r="T10688" t="s">
        <v>49140</v>
      </c>
      <c r="U10688" t="s">
        <v>58345</v>
      </c>
      <c r="W10688" t="s">
        <v>44383</v>
      </c>
      <c r="X10688" t="s">
        <v>47315</v>
      </c>
    </row>
    <row r="10689" spans="1:24">
      <c r="A10689">
        <f>HYPERLINK("https://www.philgeps.gov.ph/GEPSNONPILOT/Tender/SplashBidNoticeAbstractUI.aspx?menuIndex=3&amp;refID=7181745&amp;Result=3","7181745")</f>
        <v>0</v>
      </c>
      <c r="B10689" t="s">
        <v>3169</v>
      </c>
      <c r="C10689" t="s">
        <v>13942</v>
      </c>
      <c r="D10689" t="s">
        <v>19068</v>
      </c>
      <c r="E10689" t="s">
        <v>28220</v>
      </c>
      <c r="F10689" t="s">
        <v>32606</v>
      </c>
      <c r="G10689" t="s">
        <v>32613</v>
      </c>
      <c r="H10689" t="s">
        <v>14201</v>
      </c>
      <c r="I10689" t="s">
        <v>32688</v>
      </c>
      <c r="J10689" t="s">
        <v>32923</v>
      </c>
      <c r="K10689" t="s">
        <v>42623</v>
      </c>
      <c r="M10689" t="s">
        <v>46390</v>
      </c>
      <c r="N10689" t="s">
        <v>47304</v>
      </c>
      <c r="O10689" t="s">
        <v>47305</v>
      </c>
      <c r="P10689">
        <v>0</v>
      </c>
      <c r="Q10689">
        <v>1</v>
      </c>
      <c r="R10689" t="s">
        <v>47314</v>
      </c>
      <c r="S10689" t="s">
        <v>47596</v>
      </c>
      <c r="T10689" t="s">
        <v>48989</v>
      </c>
      <c r="U10689" t="s">
        <v>58346</v>
      </c>
      <c r="W10689" t="s">
        <v>46390</v>
      </c>
      <c r="X10689" t="s">
        <v>47315</v>
      </c>
    </row>
    <row r="10690" spans="1:24">
      <c r="A10690">
        <f>HYPERLINK("https://www.philgeps.gov.ph/GEPSNONPILOT/Tender/SplashBidNoticeAbstractUI.aspx?menuIndex=3&amp;refID=7181734&amp;Result=3","7181734")</f>
        <v>0</v>
      </c>
      <c r="B10690" t="s">
        <v>433</v>
      </c>
      <c r="C10690" t="s">
        <v>13943</v>
      </c>
      <c r="D10690" t="s">
        <v>19012</v>
      </c>
      <c r="E10690" t="s">
        <v>28221</v>
      </c>
      <c r="F10690" t="s">
        <v>32606</v>
      </c>
      <c r="G10690" t="s">
        <v>32614</v>
      </c>
      <c r="H10690" t="s">
        <v>14201</v>
      </c>
      <c r="I10690" t="s">
        <v>32652</v>
      </c>
      <c r="J10690" t="s">
        <v>32765</v>
      </c>
      <c r="K10690" t="s">
        <v>42688</v>
      </c>
      <c r="M10690" t="s">
        <v>43339</v>
      </c>
      <c r="N10690" t="s">
        <v>47304</v>
      </c>
      <c r="O10690" t="s">
        <v>47305</v>
      </c>
      <c r="Q10690">
        <v>0</v>
      </c>
      <c r="R10690" t="s">
        <v>47314</v>
      </c>
      <c r="S10690" t="s">
        <v>47633</v>
      </c>
      <c r="T10690" t="s">
        <v>49050</v>
      </c>
      <c r="U10690" t="s">
        <v>58347</v>
      </c>
      <c r="W10690" t="s">
        <v>43339</v>
      </c>
      <c r="X10690" t="s">
        <v>47315</v>
      </c>
    </row>
    <row r="10691" spans="1:24">
      <c r="A10691">
        <f>HYPERLINK("https://www.philgeps.gov.ph/GEPSNONPILOT/Tender/SplashBidNoticeAbstractUI.aspx?menuIndex=3&amp;refID=7181791&amp;Result=3","7181791")</f>
        <v>0</v>
      </c>
      <c r="B10691" t="s">
        <v>3170</v>
      </c>
      <c r="C10691" t="s">
        <v>13944</v>
      </c>
      <c r="D10691" t="s">
        <v>19006</v>
      </c>
      <c r="E10691" t="s">
        <v>20122</v>
      </c>
      <c r="F10691" t="s">
        <v>32606</v>
      </c>
      <c r="G10691" t="s">
        <v>32613</v>
      </c>
      <c r="H10691" t="s">
        <v>32623</v>
      </c>
      <c r="I10691" t="s">
        <v>17648</v>
      </c>
      <c r="J10691" t="s">
        <v>39420</v>
      </c>
      <c r="K10691" t="s">
        <v>42632</v>
      </c>
      <c r="M10691" t="s">
        <v>46391</v>
      </c>
      <c r="N10691" t="s">
        <v>47304</v>
      </c>
      <c r="O10691" t="s">
        <v>47305</v>
      </c>
      <c r="P10691">
        <v>0</v>
      </c>
      <c r="Q10691">
        <v>0</v>
      </c>
      <c r="R10691" t="s">
        <v>47314</v>
      </c>
      <c r="S10691" t="s">
        <v>47596</v>
      </c>
      <c r="T10691" t="s">
        <v>49272</v>
      </c>
      <c r="U10691" t="s">
        <v>58348</v>
      </c>
      <c r="W10691" t="s">
        <v>46391</v>
      </c>
      <c r="X10691" t="s">
        <v>47315</v>
      </c>
    </row>
    <row r="10692" spans="1:24">
      <c r="A10692">
        <f>HYPERLINK("https://www.philgeps.gov.ph/GEPSNONPILOT/Tender/SplashBidNoticeAbstractUI.aspx?menuIndex=3&amp;refID=7181789&amp;Result=3","7181789")</f>
        <v>0</v>
      </c>
      <c r="B10692" t="s">
        <v>1500</v>
      </c>
      <c r="C10692" t="s">
        <v>13945</v>
      </c>
      <c r="D10692" t="s">
        <v>19036</v>
      </c>
      <c r="E10692" t="s">
        <v>28222</v>
      </c>
      <c r="F10692" t="s">
        <v>32606</v>
      </c>
      <c r="G10692" t="s">
        <v>32613</v>
      </c>
      <c r="H10692" t="s">
        <v>14201</v>
      </c>
      <c r="I10692" t="s">
        <v>32661</v>
      </c>
      <c r="J10692" t="s">
        <v>39421</v>
      </c>
      <c r="K10692" t="s">
        <v>42636</v>
      </c>
      <c r="M10692" t="s">
        <v>44496</v>
      </c>
      <c r="N10692" t="s">
        <v>47304</v>
      </c>
      <c r="O10692" t="s">
        <v>47305</v>
      </c>
      <c r="P10692">
        <v>0</v>
      </c>
      <c r="Q10692">
        <v>2</v>
      </c>
      <c r="R10692" t="s">
        <v>47314</v>
      </c>
      <c r="S10692" t="s">
        <v>47596</v>
      </c>
      <c r="T10692" t="s">
        <v>49390</v>
      </c>
      <c r="U10692" t="s">
        <v>58349</v>
      </c>
      <c r="W10692" t="s">
        <v>44496</v>
      </c>
      <c r="X10692" t="s">
        <v>47315</v>
      </c>
    </row>
    <row r="10693" spans="1:24">
      <c r="A10693">
        <f>HYPERLINK("https://www.philgeps.gov.ph/GEPSNONPILOT/Tender/SplashBidNoticeAbstractUI.aspx?menuIndex=3&amp;refID=7181764&amp;Result=3","7181764")</f>
        <v>0</v>
      </c>
      <c r="B10693" t="s">
        <v>1257</v>
      </c>
      <c r="C10693" t="s">
        <v>13946</v>
      </c>
      <c r="D10693" t="s">
        <v>19011</v>
      </c>
      <c r="E10693" t="s">
        <v>28223</v>
      </c>
      <c r="F10693" t="s">
        <v>32606</v>
      </c>
      <c r="G10693" t="s">
        <v>32613</v>
      </c>
      <c r="H10693" t="s">
        <v>14201</v>
      </c>
      <c r="I10693" t="s">
        <v>7064</v>
      </c>
      <c r="J10693" t="s">
        <v>32981</v>
      </c>
      <c r="K10693" t="s">
        <v>42631</v>
      </c>
      <c r="M10693" t="s">
        <v>44224</v>
      </c>
      <c r="N10693" t="s">
        <v>47304</v>
      </c>
      <c r="O10693" t="s">
        <v>47305</v>
      </c>
      <c r="P10693">
        <v>0</v>
      </c>
      <c r="Q10693">
        <v>0</v>
      </c>
      <c r="R10693" t="s">
        <v>47314</v>
      </c>
      <c r="S10693" t="s">
        <v>47596</v>
      </c>
      <c r="T10693" t="s">
        <v>49330</v>
      </c>
      <c r="U10693" t="s">
        <v>58350</v>
      </c>
      <c r="V10693" t="s">
        <v>63783</v>
      </c>
      <c r="W10693" t="s">
        <v>44224</v>
      </c>
      <c r="X10693" t="s">
        <v>47315</v>
      </c>
    </row>
    <row r="10694" spans="1:24">
      <c r="A10694">
        <f>HYPERLINK("https://www.philgeps.gov.ph/GEPSNONPILOT/Tender/SplashBidNoticeAbstractUI.aspx?menuIndex=3&amp;refID=7181722&amp;Result=3","7181722")</f>
        <v>0</v>
      </c>
      <c r="B10694" t="s">
        <v>3026</v>
      </c>
      <c r="C10694" t="s">
        <v>13947</v>
      </c>
      <c r="D10694" t="s">
        <v>18994</v>
      </c>
      <c r="E10694" t="s">
        <v>28224</v>
      </c>
      <c r="F10694" t="s">
        <v>32606</v>
      </c>
      <c r="G10694" t="s">
        <v>32613</v>
      </c>
      <c r="H10694" t="s">
        <v>14201</v>
      </c>
      <c r="I10694" t="s">
        <v>32632</v>
      </c>
      <c r="J10694" t="s">
        <v>39422</v>
      </c>
      <c r="K10694" t="s">
        <v>42648</v>
      </c>
      <c r="M10694" t="s">
        <v>46218</v>
      </c>
      <c r="N10694" t="s">
        <v>47304</v>
      </c>
      <c r="O10694" t="s">
        <v>47305</v>
      </c>
      <c r="P10694">
        <v>0</v>
      </c>
      <c r="Q10694">
        <v>15</v>
      </c>
      <c r="R10694" t="s">
        <v>47314</v>
      </c>
      <c r="S10694" t="s">
        <v>47596</v>
      </c>
      <c r="T10694" t="s">
        <v>49073</v>
      </c>
      <c r="U10694" t="s">
        <v>58351</v>
      </c>
      <c r="W10694" t="s">
        <v>46218</v>
      </c>
      <c r="X10694" t="s">
        <v>47315</v>
      </c>
    </row>
    <row r="10695" spans="1:24">
      <c r="A10695">
        <f>HYPERLINK("https://www.philgeps.gov.ph/GEPSNONPILOT/Tender/SplashBidNoticeAbstractUI.aspx?menuIndex=3&amp;refID=7181759&amp;Result=3","7181759")</f>
        <v>0</v>
      </c>
      <c r="B10695" t="s">
        <v>1194</v>
      </c>
      <c r="C10695" t="s">
        <v>13948</v>
      </c>
      <c r="D10695" t="s">
        <v>19025</v>
      </c>
      <c r="E10695" t="s">
        <v>28216</v>
      </c>
      <c r="F10695" t="s">
        <v>32606</v>
      </c>
      <c r="G10695" t="s">
        <v>32613</v>
      </c>
      <c r="H10695" t="s">
        <v>14201</v>
      </c>
      <c r="I10695" t="s">
        <v>6931</v>
      </c>
      <c r="J10695" t="s">
        <v>39423</v>
      </c>
      <c r="K10695" t="s">
        <v>42623</v>
      </c>
      <c r="M10695" t="s">
        <v>44158</v>
      </c>
      <c r="N10695" t="s">
        <v>47304</v>
      </c>
      <c r="O10695" t="s">
        <v>47305</v>
      </c>
      <c r="P10695">
        <v>0</v>
      </c>
      <c r="Q10695">
        <v>3</v>
      </c>
      <c r="R10695" t="s">
        <v>47314</v>
      </c>
      <c r="S10695" t="s">
        <v>47596</v>
      </c>
      <c r="T10695" t="s">
        <v>49240</v>
      </c>
      <c r="U10695" t="s">
        <v>58352</v>
      </c>
      <c r="W10695" t="s">
        <v>44158</v>
      </c>
      <c r="X10695" t="s">
        <v>47315</v>
      </c>
    </row>
    <row r="10696" spans="1:24">
      <c r="A10696">
        <f>HYPERLINK("https://www.philgeps.gov.ph/GEPSNONPILOT/Tender/SplashBidNoticeAbstractUI.aspx?menuIndex=3&amp;refID=7181757&amp;Result=3","7181757")</f>
        <v>0</v>
      </c>
      <c r="B10696" t="s">
        <v>3171</v>
      </c>
      <c r="C10696" t="s">
        <v>13949</v>
      </c>
      <c r="D10696" t="s">
        <v>18988</v>
      </c>
      <c r="E10696" t="s">
        <v>28225</v>
      </c>
      <c r="F10696" t="s">
        <v>32606</v>
      </c>
      <c r="G10696" t="s">
        <v>32613</v>
      </c>
      <c r="H10696" t="s">
        <v>32623</v>
      </c>
      <c r="I10696" t="s">
        <v>17648</v>
      </c>
      <c r="J10696" t="s">
        <v>32772</v>
      </c>
      <c r="K10696" t="s">
        <v>42643</v>
      </c>
      <c r="M10696" t="s">
        <v>46392</v>
      </c>
      <c r="N10696" t="s">
        <v>47304</v>
      </c>
      <c r="O10696" t="s">
        <v>47305</v>
      </c>
      <c r="P10696">
        <v>0</v>
      </c>
      <c r="Q10696">
        <v>1</v>
      </c>
      <c r="R10696" t="s">
        <v>47314</v>
      </c>
      <c r="S10696" t="s">
        <v>47596</v>
      </c>
      <c r="T10696" t="s">
        <v>49140</v>
      </c>
      <c r="U10696" t="s">
        <v>58353</v>
      </c>
      <c r="W10696" t="s">
        <v>46392</v>
      </c>
      <c r="X10696" t="s">
        <v>47315</v>
      </c>
    </row>
    <row r="10697" spans="1:24">
      <c r="A10697">
        <f>HYPERLINK("https://www.philgeps.gov.ph/GEPSNONPILOT/Tender/SplashBidNoticeAbstractUI.aspx?menuIndex=3&amp;refID=7181802&amp;Result=3","7181802")</f>
        <v>0</v>
      </c>
      <c r="B10697" t="s">
        <v>496</v>
      </c>
      <c r="C10697" t="s">
        <v>13950</v>
      </c>
      <c r="E10697" t="s">
        <v>28226</v>
      </c>
      <c r="F10697" t="s">
        <v>32606</v>
      </c>
      <c r="G10697" t="s">
        <v>32617</v>
      </c>
      <c r="H10697" t="s">
        <v>14201</v>
      </c>
      <c r="I10697" t="s">
        <v>4120</v>
      </c>
      <c r="J10697" t="s">
        <v>34190</v>
      </c>
      <c r="K10697" t="s">
        <v>42631</v>
      </c>
      <c r="M10697" t="s">
        <v>45233</v>
      </c>
      <c r="N10697" t="s">
        <v>47304</v>
      </c>
      <c r="O10697" t="s">
        <v>47305</v>
      </c>
      <c r="P10697">
        <v>0</v>
      </c>
      <c r="Q10697">
        <v>0</v>
      </c>
      <c r="R10697" t="s">
        <v>47314</v>
      </c>
      <c r="S10697" t="s">
        <v>47596</v>
      </c>
      <c r="T10697" t="s">
        <v>49047</v>
      </c>
      <c r="U10697" t="s">
        <v>58354</v>
      </c>
      <c r="W10697" t="s">
        <v>64494</v>
      </c>
      <c r="X10697" t="s">
        <v>47315</v>
      </c>
    </row>
    <row r="10698" spans="1:24">
      <c r="A10698">
        <f>HYPERLINK("https://www.philgeps.gov.ph/GEPSNONPILOT/Tender/SplashBidNoticeAbstractUI.aspx?menuIndex=3&amp;refID=7181797&amp;Result=3","7181797")</f>
        <v>0</v>
      </c>
      <c r="B10698" t="s">
        <v>3172</v>
      </c>
      <c r="C10698" t="s">
        <v>13951</v>
      </c>
      <c r="D10698" t="s">
        <v>19056</v>
      </c>
      <c r="E10698" t="s">
        <v>28227</v>
      </c>
      <c r="F10698" t="s">
        <v>32606</v>
      </c>
      <c r="G10698" t="s">
        <v>32613</v>
      </c>
      <c r="H10698" t="s">
        <v>32623</v>
      </c>
      <c r="I10698" t="s">
        <v>17648</v>
      </c>
      <c r="J10698" t="s">
        <v>39424</v>
      </c>
      <c r="K10698" t="s">
        <v>42731</v>
      </c>
      <c r="M10698" t="s">
        <v>46393</v>
      </c>
      <c r="N10698" t="s">
        <v>47304</v>
      </c>
      <c r="O10698" t="s">
        <v>47305</v>
      </c>
      <c r="P10698">
        <v>0</v>
      </c>
      <c r="Q10698">
        <v>2</v>
      </c>
      <c r="R10698" t="s">
        <v>47314</v>
      </c>
      <c r="S10698" t="s">
        <v>47596</v>
      </c>
      <c r="T10698" t="s">
        <v>49075</v>
      </c>
      <c r="U10698" t="s">
        <v>58355</v>
      </c>
      <c r="W10698" t="s">
        <v>46393</v>
      </c>
      <c r="X10698" t="s">
        <v>47315</v>
      </c>
    </row>
    <row r="10699" spans="1:24">
      <c r="A10699">
        <f>HYPERLINK("https://www.philgeps.gov.ph/GEPSNONPILOT/Tender/SplashBidNoticeAbstractUI.aspx?menuIndex=3&amp;refID=7181857&amp;Result=3","7181857")</f>
        <v>0</v>
      </c>
      <c r="B10699" t="s">
        <v>3173</v>
      </c>
      <c r="C10699" t="s">
        <v>13952</v>
      </c>
      <c r="D10699" t="s">
        <v>19050</v>
      </c>
      <c r="E10699" t="s">
        <v>28228</v>
      </c>
      <c r="F10699" t="s">
        <v>32606</v>
      </c>
      <c r="G10699" t="s">
        <v>32613</v>
      </c>
      <c r="H10699" t="s">
        <v>32623</v>
      </c>
      <c r="I10699" t="s">
        <v>17648</v>
      </c>
      <c r="J10699" t="s">
        <v>39425</v>
      </c>
      <c r="K10699" t="s">
        <v>42645</v>
      </c>
      <c r="M10699" t="s">
        <v>46394</v>
      </c>
      <c r="N10699" t="s">
        <v>47304</v>
      </c>
      <c r="O10699" t="s">
        <v>47305</v>
      </c>
      <c r="P10699">
        <v>0</v>
      </c>
      <c r="Q10699">
        <v>0</v>
      </c>
      <c r="R10699" t="s">
        <v>47314</v>
      </c>
      <c r="S10699" t="s">
        <v>47596</v>
      </c>
      <c r="T10699" t="s">
        <v>49052</v>
      </c>
      <c r="U10699" t="s">
        <v>58356</v>
      </c>
      <c r="W10699" t="s">
        <v>46394</v>
      </c>
      <c r="X10699" t="s">
        <v>47315</v>
      </c>
    </row>
    <row r="10700" spans="1:24">
      <c r="A10700">
        <f>HYPERLINK("https://www.philgeps.gov.ph/GEPSNONPILOT/Tender/SplashBidNoticeAbstractUI.aspx?menuIndex=3&amp;refID=7181792&amp;Result=3","7181792")</f>
        <v>0</v>
      </c>
      <c r="B10700" t="s">
        <v>535</v>
      </c>
      <c r="C10700" t="s">
        <v>13953</v>
      </c>
      <c r="D10700" t="s">
        <v>19031</v>
      </c>
      <c r="E10700" t="s">
        <v>28229</v>
      </c>
      <c r="F10700" t="s">
        <v>32606</v>
      </c>
      <c r="G10700" t="s">
        <v>32613</v>
      </c>
      <c r="H10700" t="s">
        <v>14201</v>
      </c>
      <c r="I10700" t="s">
        <v>32686</v>
      </c>
      <c r="J10700" t="s">
        <v>32969</v>
      </c>
      <c r="K10700" t="s">
        <v>42636</v>
      </c>
      <c r="M10700" t="s">
        <v>43448</v>
      </c>
      <c r="N10700" t="s">
        <v>47304</v>
      </c>
      <c r="O10700" t="s">
        <v>47305</v>
      </c>
      <c r="P10700">
        <v>0</v>
      </c>
      <c r="Q10700">
        <v>1</v>
      </c>
      <c r="R10700" t="s">
        <v>47314</v>
      </c>
      <c r="S10700" t="s">
        <v>47596</v>
      </c>
      <c r="T10700" t="s">
        <v>49268</v>
      </c>
      <c r="U10700" t="s">
        <v>58357</v>
      </c>
      <c r="W10700" t="s">
        <v>43448</v>
      </c>
      <c r="X10700" t="s">
        <v>47315</v>
      </c>
    </row>
    <row r="10701" spans="1:24">
      <c r="A10701">
        <f>HYPERLINK("https://www.philgeps.gov.ph/GEPSNONPILOT/Tender/SplashBidNoticeAbstractUI.aspx?menuIndex=3&amp;refID=7181852&amp;Result=3","7181852")</f>
        <v>0</v>
      </c>
      <c r="B10701" t="s">
        <v>3134</v>
      </c>
      <c r="C10701" t="s">
        <v>4830</v>
      </c>
      <c r="E10701" t="s">
        <v>28230</v>
      </c>
      <c r="F10701" t="s">
        <v>32606</v>
      </c>
      <c r="G10701" t="s">
        <v>32613</v>
      </c>
      <c r="H10701" t="s">
        <v>14201</v>
      </c>
      <c r="I10701" t="s">
        <v>4120</v>
      </c>
      <c r="J10701" t="s">
        <v>39426</v>
      </c>
      <c r="K10701" t="s">
        <v>42624</v>
      </c>
      <c r="M10701" t="s">
        <v>46372</v>
      </c>
      <c r="N10701" t="s">
        <v>47304</v>
      </c>
      <c r="O10701" t="s">
        <v>47305</v>
      </c>
      <c r="P10701">
        <v>0</v>
      </c>
      <c r="Q10701">
        <v>6</v>
      </c>
      <c r="R10701" t="s">
        <v>47314</v>
      </c>
      <c r="S10701" t="s">
        <v>47596</v>
      </c>
      <c r="T10701" t="s">
        <v>49023</v>
      </c>
      <c r="U10701" t="s">
        <v>58358</v>
      </c>
      <c r="W10701" t="s">
        <v>46372</v>
      </c>
      <c r="X10701" t="s">
        <v>47315</v>
      </c>
    </row>
    <row r="10702" spans="1:24">
      <c r="A10702">
        <f>HYPERLINK("https://www.philgeps.gov.ph/GEPSNONPILOT/Tender/SplashBidNoticeAbstractUI.aspx?menuIndex=3&amp;refID=7181850&amp;Result=3","7181850")</f>
        <v>0</v>
      </c>
      <c r="B10702" t="s">
        <v>484</v>
      </c>
      <c r="C10702" t="s">
        <v>13954</v>
      </c>
      <c r="D10702" t="s">
        <v>19008</v>
      </c>
      <c r="E10702" t="s">
        <v>19145</v>
      </c>
      <c r="F10702" t="s">
        <v>32606</v>
      </c>
      <c r="G10702" t="s">
        <v>32613</v>
      </c>
      <c r="H10702" t="s">
        <v>14201</v>
      </c>
      <c r="I10702" t="s">
        <v>6931</v>
      </c>
      <c r="J10702" t="s">
        <v>39427</v>
      </c>
      <c r="K10702" t="s">
        <v>42623</v>
      </c>
      <c r="M10702" t="s">
        <v>43395</v>
      </c>
      <c r="N10702" t="s">
        <v>47304</v>
      </c>
      <c r="O10702" t="s">
        <v>47305</v>
      </c>
      <c r="P10702">
        <v>0</v>
      </c>
      <c r="Q10702">
        <v>0</v>
      </c>
      <c r="R10702" t="s">
        <v>47314</v>
      </c>
      <c r="S10702" t="s">
        <v>47596</v>
      </c>
      <c r="T10702" t="s">
        <v>49086</v>
      </c>
      <c r="U10702" t="s">
        <v>58359</v>
      </c>
      <c r="V10702" t="s">
        <v>63784</v>
      </c>
      <c r="W10702" t="s">
        <v>43395</v>
      </c>
      <c r="X10702" t="s">
        <v>47315</v>
      </c>
    </row>
    <row r="10703" spans="1:24">
      <c r="A10703">
        <f>HYPERLINK("https://www.philgeps.gov.ph/GEPSNONPILOT/Tender/SplashBidNoticeAbstractUI.aspx?menuIndex=3&amp;refID=7181839&amp;Result=3","7181839")</f>
        <v>0</v>
      </c>
      <c r="B10703" t="s">
        <v>1500</v>
      </c>
      <c r="C10703" t="s">
        <v>13955</v>
      </c>
      <c r="D10703" t="s">
        <v>19036</v>
      </c>
      <c r="E10703" t="s">
        <v>28231</v>
      </c>
      <c r="F10703" t="s">
        <v>32606</v>
      </c>
      <c r="G10703" t="s">
        <v>32613</v>
      </c>
      <c r="H10703" t="s">
        <v>14201</v>
      </c>
      <c r="I10703" t="s">
        <v>4121</v>
      </c>
      <c r="J10703" t="s">
        <v>36645</v>
      </c>
      <c r="K10703" t="s">
        <v>42636</v>
      </c>
      <c r="M10703" t="s">
        <v>44496</v>
      </c>
      <c r="N10703" t="s">
        <v>47304</v>
      </c>
      <c r="O10703" t="s">
        <v>47305</v>
      </c>
      <c r="P10703">
        <v>0</v>
      </c>
      <c r="Q10703">
        <v>4</v>
      </c>
      <c r="R10703" t="s">
        <v>47314</v>
      </c>
      <c r="S10703" t="s">
        <v>47596</v>
      </c>
      <c r="T10703" t="s">
        <v>49390</v>
      </c>
      <c r="U10703" t="s">
        <v>58360</v>
      </c>
      <c r="W10703" t="s">
        <v>44496</v>
      </c>
      <c r="X10703" t="s">
        <v>47315</v>
      </c>
    </row>
    <row r="10704" spans="1:24">
      <c r="A10704">
        <f>HYPERLINK("https://www.philgeps.gov.ph/GEPSNONPILOT/Tender/SplashBidNoticeAbstractUI.aspx?menuIndex=3&amp;refID=7181769&amp;Result=3","7181769")</f>
        <v>0</v>
      </c>
      <c r="B10704" t="s">
        <v>3174</v>
      </c>
      <c r="C10704" t="s">
        <v>13956</v>
      </c>
      <c r="D10704" t="s">
        <v>19006</v>
      </c>
      <c r="E10704" t="s">
        <v>28232</v>
      </c>
      <c r="F10704" t="s">
        <v>32606</v>
      </c>
      <c r="G10704" t="s">
        <v>32613</v>
      </c>
      <c r="H10704" t="s">
        <v>32623</v>
      </c>
      <c r="I10704" t="s">
        <v>17648</v>
      </c>
      <c r="J10704" t="s">
        <v>39428</v>
      </c>
      <c r="K10704" t="s">
        <v>42645</v>
      </c>
      <c r="M10704" t="s">
        <v>46395</v>
      </c>
      <c r="N10704" t="s">
        <v>47304</v>
      </c>
      <c r="O10704" t="s">
        <v>47305</v>
      </c>
      <c r="P10704">
        <v>0</v>
      </c>
      <c r="Q10704">
        <v>3</v>
      </c>
      <c r="R10704" t="s">
        <v>47314</v>
      </c>
      <c r="S10704" t="s">
        <v>47596</v>
      </c>
      <c r="T10704" t="s">
        <v>49234</v>
      </c>
      <c r="U10704" t="s">
        <v>58361</v>
      </c>
      <c r="V10704" t="s">
        <v>62644</v>
      </c>
      <c r="W10704" t="s">
        <v>46395</v>
      </c>
      <c r="X10704" t="s">
        <v>47315</v>
      </c>
    </row>
    <row r="10705" spans="1:24">
      <c r="A10705">
        <f>HYPERLINK("https://www.philgeps.gov.ph/GEPSNONPILOT/Tender/SplashBidNoticeAbstractUI.aspx?menuIndex=3&amp;refID=7181837&amp;Result=3","7181837")</f>
        <v>0</v>
      </c>
      <c r="B10705" t="s">
        <v>3174</v>
      </c>
      <c r="C10705" t="s">
        <v>13957</v>
      </c>
      <c r="D10705" t="s">
        <v>19006</v>
      </c>
      <c r="E10705" t="s">
        <v>28233</v>
      </c>
      <c r="F10705" t="s">
        <v>32606</v>
      </c>
      <c r="G10705" t="s">
        <v>32613</v>
      </c>
      <c r="H10705" t="s">
        <v>32623</v>
      </c>
      <c r="I10705" t="s">
        <v>17648</v>
      </c>
      <c r="J10705" t="s">
        <v>39429</v>
      </c>
      <c r="K10705" t="s">
        <v>42645</v>
      </c>
      <c r="M10705" t="s">
        <v>46395</v>
      </c>
      <c r="N10705" t="s">
        <v>47304</v>
      </c>
      <c r="O10705" t="s">
        <v>47305</v>
      </c>
      <c r="P10705">
        <v>0</v>
      </c>
      <c r="Q10705">
        <v>3</v>
      </c>
      <c r="R10705" t="s">
        <v>47314</v>
      </c>
      <c r="S10705" t="s">
        <v>47596</v>
      </c>
      <c r="T10705" t="s">
        <v>49234</v>
      </c>
      <c r="U10705" t="s">
        <v>58362</v>
      </c>
      <c r="V10705" t="s">
        <v>62644</v>
      </c>
      <c r="W10705" t="s">
        <v>46395</v>
      </c>
      <c r="X10705" t="s">
        <v>47315</v>
      </c>
    </row>
    <row r="10706" spans="1:24">
      <c r="A10706">
        <f>HYPERLINK("https://www.philgeps.gov.ph/GEPSNONPILOT/Tender/SplashBidNoticeAbstractUI.aspx?menuIndex=3&amp;refID=7181885&amp;Result=3","7181885")</f>
        <v>0</v>
      </c>
      <c r="B10706" t="s">
        <v>3134</v>
      </c>
      <c r="C10706" t="s">
        <v>13958</v>
      </c>
      <c r="E10706" t="s">
        <v>28230</v>
      </c>
      <c r="F10706" t="s">
        <v>32606</v>
      </c>
      <c r="G10706" t="s">
        <v>32613</v>
      </c>
      <c r="H10706" t="s">
        <v>14201</v>
      </c>
      <c r="I10706" t="s">
        <v>32647</v>
      </c>
      <c r="J10706" t="s">
        <v>39430</v>
      </c>
      <c r="K10706" t="s">
        <v>42624</v>
      </c>
      <c r="M10706" t="s">
        <v>46372</v>
      </c>
      <c r="N10706" t="s">
        <v>47304</v>
      </c>
      <c r="O10706" t="s">
        <v>47305</v>
      </c>
      <c r="P10706">
        <v>0</v>
      </c>
      <c r="Q10706">
        <v>0</v>
      </c>
      <c r="R10706" t="s">
        <v>47314</v>
      </c>
      <c r="S10706" t="s">
        <v>47596</v>
      </c>
      <c r="T10706" t="s">
        <v>49023</v>
      </c>
      <c r="U10706" t="s">
        <v>58363</v>
      </c>
      <c r="W10706" t="s">
        <v>46372</v>
      </c>
      <c r="X10706" t="s">
        <v>47315</v>
      </c>
    </row>
    <row r="10707" spans="1:24">
      <c r="A10707">
        <f>HYPERLINK("https://www.philgeps.gov.ph/GEPSNONPILOT/Tender/SplashBidNoticeAbstractUI.aspx?menuIndex=3&amp;refID=7181860&amp;Result=3","7181860")</f>
        <v>0</v>
      </c>
      <c r="B10707" t="s">
        <v>1529</v>
      </c>
      <c r="C10707" t="s">
        <v>12913</v>
      </c>
      <c r="D10707" t="s">
        <v>18993</v>
      </c>
      <c r="E10707" t="s">
        <v>28234</v>
      </c>
      <c r="F10707" t="s">
        <v>32606</v>
      </c>
      <c r="G10707" t="s">
        <v>32614</v>
      </c>
      <c r="H10707" t="s">
        <v>14201</v>
      </c>
      <c r="I10707" t="s">
        <v>4120</v>
      </c>
      <c r="J10707" t="s">
        <v>39431</v>
      </c>
      <c r="K10707" t="s">
        <v>42623</v>
      </c>
      <c r="M10707" t="s">
        <v>44532</v>
      </c>
      <c r="N10707" t="s">
        <v>47304</v>
      </c>
      <c r="O10707" t="s">
        <v>47305</v>
      </c>
      <c r="P10707">
        <v>0</v>
      </c>
      <c r="Q10707">
        <v>18</v>
      </c>
      <c r="R10707" t="s">
        <v>47314</v>
      </c>
      <c r="S10707" t="s">
        <v>47596</v>
      </c>
      <c r="T10707" t="s">
        <v>49165</v>
      </c>
      <c r="U10707" t="s">
        <v>52911</v>
      </c>
      <c r="W10707" t="s">
        <v>44532</v>
      </c>
      <c r="X10707" t="s">
        <v>47315</v>
      </c>
    </row>
    <row r="10708" spans="1:24">
      <c r="A10708">
        <f>HYPERLINK("https://www.philgeps.gov.ph/GEPSNONPILOT/Tender/SplashBidNoticeAbstractUI.aspx?menuIndex=3&amp;refID=7181873&amp;Result=3","7181873")</f>
        <v>0</v>
      </c>
      <c r="B10708" t="s">
        <v>2119</v>
      </c>
      <c r="C10708" t="s">
        <v>13959</v>
      </c>
      <c r="D10708" t="s">
        <v>18993</v>
      </c>
      <c r="E10708" t="s">
        <v>28235</v>
      </c>
      <c r="F10708" t="s">
        <v>32607</v>
      </c>
      <c r="G10708" t="s">
        <v>32613</v>
      </c>
      <c r="H10708" t="s">
        <v>14201</v>
      </c>
      <c r="I10708" t="s">
        <v>4114</v>
      </c>
      <c r="J10708" t="s">
        <v>39432</v>
      </c>
      <c r="K10708" t="s">
        <v>42631</v>
      </c>
      <c r="M10708" t="s">
        <v>45206</v>
      </c>
      <c r="N10708" t="s">
        <v>47304</v>
      </c>
      <c r="O10708" t="s">
        <v>47305</v>
      </c>
      <c r="P10708">
        <v>0</v>
      </c>
      <c r="Q10708">
        <v>2</v>
      </c>
      <c r="R10708" t="s">
        <v>47314</v>
      </c>
      <c r="S10708" t="s">
        <v>47596</v>
      </c>
      <c r="T10708" t="s">
        <v>49160</v>
      </c>
      <c r="U10708" t="s">
        <v>58364</v>
      </c>
      <c r="V10708" t="s">
        <v>63251</v>
      </c>
      <c r="W10708" t="s">
        <v>45206</v>
      </c>
      <c r="X10708" t="s">
        <v>47315</v>
      </c>
    </row>
    <row r="10709" spans="1:24">
      <c r="A10709">
        <f>HYPERLINK("https://www.philgeps.gov.ph/GEPSNONPILOT/Tender/SplashBidNoticeAbstractUI.aspx?menuIndex=3&amp;refID=7181851&amp;Result=3","7181851")</f>
        <v>0</v>
      </c>
      <c r="B10709" t="s">
        <v>2732</v>
      </c>
      <c r="C10709" t="s">
        <v>13960</v>
      </c>
      <c r="D10709" t="s">
        <v>19042</v>
      </c>
      <c r="E10709" t="s">
        <v>28236</v>
      </c>
      <c r="F10709" t="s">
        <v>32606</v>
      </c>
      <c r="G10709" t="s">
        <v>32613</v>
      </c>
      <c r="H10709" t="s">
        <v>14201</v>
      </c>
      <c r="I10709" t="s">
        <v>32656</v>
      </c>
      <c r="J10709" t="s">
        <v>39433</v>
      </c>
      <c r="K10709" t="s">
        <v>42632</v>
      </c>
      <c r="M10709" t="s">
        <v>45888</v>
      </c>
      <c r="N10709" t="s">
        <v>47304</v>
      </c>
      <c r="O10709" t="s">
        <v>47305</v>
      </c>
      <c r="P10709">
        <v>0</v>
      </c>
      <c r="Q10709">
        <v>1</v>
      </c>
      <c r="R10709" t="s">
        <v>47314</v>
      </c>
      <c r="S10709" t="s">
        <v>47596</v>
      </c>
      <c r="T10709" t="s">
        <v>49020</v>
      </c>
      <c r="U10709" t="s">
        <v>58365</v>
      </c>
      <c r="V10709" t="s">
        <v>63555</v>
      </c>
      <c r="W10709" t="s">
        <v>45888</v>
      </c>
      <c r="X10709" t="s">
        <v>47315</v>
      </c>
    </row>
    <row r="10710" spans="1:24">
      <c r="A10710">
        <f>HYPERLINK("https://www.philgeps.gov.ph/GEPSNONPILOT/Tender/SplashBidNoticeAbstractUI.aspx?menuIndex=3&amp;refID=7181849&amp;Result=3","7181849")</f>
        <v>0</v>
      </c>
      <c r="B10710" t="s">
        <v>902</v>
      </c>
      <c r="C10710" t="s">
        <v>13961</v>
      </c>
      <c r="E10710" t="s">
        <v>28237</v>
      </c>
      <c r="F10710" t="s">
        <v>32606</v>
      </c>
      <c r="G10710" t="s">
        <v>32613</v>
      </c>
      <c r="H10710" t="s">
        <v>14201</v>
      </c>
      <c r="I10710" t="s">
        <v>6298</v>
      </c>
      <c r="J10710" t="s">
        <v>34188</v>
      </c>
      <c r="K10710" t="s">
        <v>42624</v>
      </c>
      <c r="M10710" t="s">
        <v>43839</v>
      </c>
      <c r="N10710" t="s">
        <v>47304</v>
      </c>
      <c r="O10710" t="s">
        <v>47305</v>
      </c>
      <c r="P10710">
        <v>0</v>
      </c>
      <c r="Q10710">
        <v>1</v>
      </c>
      <c r="R10710" t="s">
        <v>47314</v>
      </c>
      <c r="S10710" t="s">
        <v>47596</v>
      </c>
      <c r="T10710" t="s">
        <v>49268</v>
      </c>
      <c r="U10710" t="s">
        <v>58366</v>
      </c>
      <c r="W10710" t="s">
        <v>43839</v>
      </c>
      <c r="X10710" t="s">
        <v>47315</v>
      </c>
    </row>
    <row r="10711" spans="1:24">
      <c r="A10711">
        <f>HYPERLINK("https://www.philgeps.gov.ph/GEPSNONPILOT/Tender/SplashBidNoticeAbstractUI.aspx?menuIndex=3&amp;refID=7181864&amp;Result=3","7181864")</f>
        <v>0</v>
      </c>
      <c r="B10711" t="s">
        <v>3175</v>
      </c>
      <c r="C10711" t="s">
        <v>13962</v>
      </c>
      <c r="D10711" t="s">
        <v>19009</v>
      </c>
      <c r="E10711" t="s">
        <v>28238</v>
      </c>
      <c r="F10711" t="s">
        <v>32606</v>
      </c>
      <c r="G10711" t="s">
        <v>32613</v>
      </c>
      <c r="H10711" t="s">
        <v>32623</v>
      </c>
      <c r="I10711" t="s">
        <v>17648</v>
      </c>
      <c r="J10711" t="s">
        <v>32767</v>
      </c>
      <c r="K10711" t="s">
        <v>42694</v>
      </c>
      <c r="M10711" t="s">
        <v>46396</v>
      </c>
      <c r="N10711" t="s">
        <v>47304</v>
      </c>
      <c r="O10711" t="s">
        <v>47305</v>
      </c>
      <c r="P10711">
        <v>0</v>
      </c>
      <c r="Q10711">
        <v>0</v>
      </c>
      <c r="R10711" t="s">
        <v>47314</v>
      </c>
      <c r="S10711" t="s">
        <v>47596</v>
      </c>
      <c r="T10711" t="s">
        <v>49140</v>
      </c>
      <c r="U10711" t="s">
        <v>58367</v>
      </c>
      <c r="V10711" t="s">
        <v>63785</v>
      </c>
      <c r="W10711" t="s">
        <v>46396</v>
      </c>
      <c r="X10711" t="s">
        <v>47315</v>
      </c>
    </row>
    <row r="10712" spans="1:24">
      <c r="A10712">
        <f>HYPERLINK("https://www.philgeps.gov.ph/GEPSNONPILOT/Tender/SplashBidNoticeAbstractUI.aspx?menuIndex=3&amp;refID=7181847&amp;Result=3","7181847")</f>
        <v>0</v>
      </c>
      <c r="B10712" t="s">
        <v>1455</v>
      </c>
      <c r="C10712" t="s">
        <v>13963</v>
      </c>
      <c r="D10712" t="s">
        <v>19061</v>
      </c>
      <c r="E10712" t="s">
        <v>28239</v>
      </c>
      <c r="F10712" t="s">
        <v>32606</v>
      </c>
      <c r="G10712" t="s">
        <v>32619</v>
      </c>
      <c r="H10712" t="s">
        <v>14201</v>
      </c>
      <c r="I10712" t="s">
        <v>32660</v>
      </c>
      <c r="J10712" t="s">
        <v>34118</v>
      </c>
      <c r="K10712" t="s">
        <v>42622</v>
      </c>
      <c r="M10712" t="s">
        <v>44446</v>
      </c>
      <c r="N10712" t="s">
        <v>47304</v>
      </c>
      <c r="O10712" t="s">
        <v>47305</v>
      </c>
      <c r="P10712">
        <v>0</v>
      </c>
      <c r="Q10712">
        <v>0</v>
      </c>
      <c r="R10712" t="s">
        <v>47314</v>
      </c>
      <c r="S10712" t="s">
        <v>47596</v>
      </c>
      <c r="T10712" t="s">
        <v>48975</v>
      </c>
      <c r="U10712" t="s">
        <v>58368</v>
      </c>
      <c r="W10712" t="s">
        <v>44446</v>
      </c>
      <c r="X10712" t="s">
        <v>47315</v>
      </c>
    </row>
    <row r="10713" spans="1:24">
      <c r="A10713">
        <f>HYPERLINK("https://www.philgeps.gov.ph/GEPSNONPILOT/Tender/SplashBidNoticeAbstractUI.aspx?menuIndex=3&amp;refID=7181832&amp;Result=3","7181832")</f>
        <v>0</v>
      </c>
      <c r="B10713" t="s">
        <v>3173</v>
      </c>
      <c r="C10713" t="s">
        <v>13964</v>
      </c>
      <c r="D10713" t="s">
        <v>19050</v>
      </c>
      <c r="E10713" t="s">
        <v>28240</v>
      </c>
      <c r="F10713" t="s">
        <v>32606</v>
      </c>
      <c r="G10713" t="s">
        <v>32613</v>
      </c>
      <c r="H10713" t="s">
        <v>32623</v>
      </c>
      <c r="I10713" t="s">
        <v>17648</v>
      </c>
      <c r="J10713" t="s">
        <v>39425</v>
      </c>
      <c r="K10713" t="s">
        <v>42645</v>
      </c>
      <c r="M10713" t="s">
        <v>46394</v>
      </c>
      <c r="N10713" t="s">
        <v>47304</v>
      </c>
      <c r="O10713" t="s">
        <v>47305</v>
      </c>
      <c r="P10713">
        <v>0</v>
      </c>
      <c r="Q10713">
        <v>0</v>
      </c>
      <c r="R10713" t="s">
        <v>47314</v>
      </c>
      <c r="S10713" t="s">
        <v>47596</v>
      </c>
      <c r="T10713" t="s">
        <v>49052</v>
      </c>
      <c r="U10713" t="s">
        <v>58369</v>
      </c>
      <c r="W10713" t="s">
        <v>46394</v>
      </c>
      <c r="X10713" t="s">
        <v>47315</v>
      </c>
    </row>
    <row r="10714" spans="1:24">
      <c r="A10714">
        <f>HYPERLINK("https://www.philgeps.gov.ph/GEPSNONPILOT/Tender/SplashBidNoticeAbstractUI.aspx?menuIndex=3&amp;refID=7181863&amp;Result=3","7181863")</f>
        <v>0</v>
      </c>
      <c r="B10714" t="s">
        <v>2793</v>
      </c>
      <c r="C10714" t="s">
        <v>13965</v>
      </c>
      <c r="D10714" t="s">
        <v>18999</v>
      </c>
      <c r="E10714" t="s">
        <v>28241</v>
      </c>
      <c r="F10714" t="s">
        <v>32606</v>
      </c>
      <c r="G10714" t="s">
        <v>32613</v>
      </c>
      <c r="H10714" t="s">
        <v>32623</v>
      </c>
      <c r="I10714" t="s">
        <v>17648</v>
      </c>
      <c r="J10714" t="s">
        <v>39434</v>
      </c>
      <c r="K10714" t="s">
        <v>42683</v>
      </c>
      <c r="M10714" t="s">
        <v>45955</v>
      </c>
      <c r="N10714" t="s">
        <v>47304</v>
      </c>
      <c r="O10714" t="s">
        <v>47305</v>
      </c>
      <c r="P10714">
        <v>0</v>
      </c>
      <c r="Q10714">
        <v>9</v>
      </c>
      <c r="R10714" t="s">
        <v>47314</v>
      </c>
      <c r="S10714" t="s">
        <v>47596</v>
      </c>
      <c r="T10714" t="s">
        <v>49052</v>
      </c>
      <c r="U10714" t="s">
        <v>58370</v>
      </c>
      <c r="W10714" t="s">
        <v>45955</v>
      </c>
      <c r="X10714" t="s">
        <v>47315</v>
      </c>
    </row>
    <row r="10715" spans="1:24">
      <c r="A10715">
        <f>HYPERLINK("https://www.philgeps.gov.ph/GEPSNONPILOT/Tender/SplashBidNoticeAbstractUI.aspx?menuIndex=3&amp;refID=7181831&amp;Result=3","7181831")</f>
        <v>0</v>
      </c>
      <c r="B10715" t="s">
        <v>902</v>
      </c>
      <c r="C10715" t="s">
        <v>4718</v>
      </c>
      <c r="D10715" t="s">
        <v>19011</v>
      </c>
      <c r="E10715" t="s">
        <v>28242</v>
      </c>
      <c r="F10715" t="s">
        <v>32606</v>
      </c>
      <c r="G10715" t="s">
        <v>32613</v>
      </c>
      <c r="H10715" t="s">
        <v>14201</v>
      </c>
      <c r="I10715" t="s">
        <v>4114</v>
      </c>
      <c r="J10715" t="s">
        <v>39435</v>
      </c>
      <c r="K10715" t="s">
        <v>42624</v>
      </c>
      <c r="M10715" t="s">
        <v>43839</v>
      </c>
      <c r="N10715" t="s">
        <v>47304</v>
      </c>
      <c r="O10715" t="s">
        <v>47305</v>
      </c>
      <c r="P10715">
        <v>0</v>
      </c>
      <c r="Q10715">
        <v>3</v>
      </c>
      <c r="R10715" t="s">
        <v>47314</v>
      </c>
      <c r="S10715" t="s">
        <v>47596</v>
      </c>
      <c r="T10715" t="s">
        <v>49268</v>
      </c>
      <c r="U10715" t="s">
        <v>58371</v>
      </c>
      <c r="W10715" t="s">
        <v>43839</v>
      </c>
      <c r="X10715" t="s">
        <v>47315</v>
      </c>
    </row>
    <row r="10716" spans="1:24">
      <c r="A10716">
        <f>HYPERLINK("https://www.philgeps.gov.ph/GEPSNONPILOT/Tender/SplashBidNoticeAbstractUI.aspx?menuIndex=3&amp;refID=7181823&amp;Result=3","7181823")</f>
        <v>0</v>
      </c>
      <c r="B10716" t="s">
        <v>1529</v>
      </c>
      <c r="C10716" t="s">
        <v>12607</v>
      </c>
      <c r="D10716" t="s">
        <v>18993</v>
      </c>
      <c r="E10716" t="s">
        <v>28243</v>
      </c>
      <c r="F10716" t="s">
        <v>32606</v>
      </c>
      <c r="G10716" t="s">
        <v>32617</v>
      </c>
      <c r="H10716" t="s">
        <v>14201</v>
      </c>
      <c r="I10716" t="s">
        <v>32646</v>
      </c>
      <c r="J10716" t="s">
        <v>36561</v>
      </c>
      <c r="K10716" t="s">
        <v>42623</v>
      </c>
      <c r="M10716" t="s">
        <v>44532</v>
      </c>
      <c r="N10716" t="s">
        <v>47304</v>
      </c>
      <c r="O10716" t="s">
        <v>47305</v>
      </c>
      <c r="P10716">
        <v>0</v>
      </c>
      <c r="Q10716">
        <v>9</v>
      </c>
      <c r="R10716" t="s">
        <v>47314</v>
      </c>
      <c r="S10716" t="s">
        <v>47596</v>
      </c>
      <c r="T10716" t="s">
        <v>49165</v>
      </c>
      <c r="U10716" t="s">
        <v>52911</v>
      </c>
      <c r="W10716" t="s">
        <v>44532</v>
      </c>
      <c r="X10716" t="s">
        <v>47315</v>
      </c>
    </row>
    <row r="10717" spans="1:24">
      <c r="A10717">
        <f>HYPERLINK("https://www.philgeps.gov.ph/GEPSNONPILOT/Tender/SplashBidNoticeAbstractUI.aspx?menuIndex=3&amp;refID=7181890&amp;Result=3","7181890")</f>
        <v>0</v>
      </c>
      <c r="B10717" t="s">
        <v>3173</v>
      </c>
      <c r="C10717" t="s">
        <v>13966</v>
      </c>
      <c r="D10717" t="s">
        <v>19050</v>
      </c>
      <c r="E10717" t="s">
        <v>28244</v>
      </c>
      <c r="F10717" t="s">
        <v>32606</v>
      </c>
      <c r="G10717" t="s">
        <v>32613</v>
      </c>
      <c r="H10717" t="s">
        <v>14201</v>
      </c>
      <c r="I10717" t="s">
        <v>32630</v>
      </c>
      <c r="J10717" t="s">
        <v>33848</v>
      </c>
      <c r="K10717" t="s">
        <v>42636</v>
      </c>
      <c r="M10717" t="s">
        <v>46394</v>
      </c>
      <c r="N10717" t="s">
        <v>47304</v>
      </c>
      <c r="O10717" t="s">
        <v>47305</v>
      </c>
      <c r="P10717">
        <v>0</v>
      </c>
      <c r="Q10717">
        <v>4</v>
      </c>
      <c r="R10717" t="s">
        <v>47314</v>
      </c>
      <c r="S10717" t="s">
        <v>47596</v>
      </c>
      <c r="T10717" t="s">
        <v>49052</v>
      </c>
      <c r="U10717" t="s">
        <v>58372</v>
      </c>
      <c r="W10717" t="s">
        <v>46394</v>
      </c>
      <c r="X10717" t="s">
        <v>47315</v>
      </c>
    </row>
    <row r="10718" spans="1:24">
      <c r="A10718">
        <f>HYPERLINK("https://www.philgeps.gov.ph/GEPSNONPILOT/Tender/SplashBidNoticeAbstractUI.aspx?menuIndex=3&amp;refID=7181740&amp;Result=3","7181740")</f>
        <v>0</v>
      </c>
      <c r="B10718" t="s">
        <v>1600</v>
      </c>
      <c r="C10718" t="s">
        <v>13967</v>
      </c>
      <c r="D10718" t="s">
        <v>19059</v>
      </c>
      <c r="E10718" t="s">
        <v>28245</v>
      </c>
      <c r="F10718" t="s">
        <v>32606</v>
      </c>
      <c r="G10718" t="s">
        <v>32613</v>
      </c>
      <c r="H10718" t="s">
        <v>14201</v>
      </c>
      <c r="I10718" t="s">
        <v>32626</v>
      </c>
      <c r="J10718" t="s">
        <v>32767</v>
      </c>
      <c r="K10718" t="s">
        <v>42636</v>
      </c>
      <c r="M10718" t="s">
        <v>44616</v>
      </c>
      <c r="N10718" t="s">
        <v>47304</v>
      </c>
      <c r="O10718" t="s">
        <v>47305</v>
      </c>
      <c r="P10718">
        <v>0</v>
      </c>
      <c r="Q10718">
        <v>3</v>
      </c>
      <c r="R10718" t="s">
        <v>47314</v>
      </c>
      <c r="S10718" t="s">
        <v>47596</v>
      </c>
      <c r="T10718" t="s">
        <v>49140</v>
      </c>
      <c r="U10718" t="s">
        <v>58373</v>
      </c>
      <c r="W10718" t="s">
        <v>44616</v>
      </c>
      <c r="X10718" t="s">
        <v>47315</v>
      </c>
    </row>
    <row r="10719" spans="1:24">
      <c r="A10719">
        <f>HYPERLINK("https://www.philgeps.gov.ph/GEPSNONPILOT/Tender/SplashBidNoticeAbstractUI.aspx?menuIndex=3&amp;refID=7181923&amp;Result=3","7181923")</f>
        <v>0</v>
      </c>
      <c r="B10719" t="s">
        <v>262</v>
      </c>
      <c r="C10719" t="s">
        <v>13968</v>
      </c>
      <c r="D10719" t="s">
        <v>19038</v>
      </c>
      <c r="E10719" t="s">
        <v>28246</v>
      </c>
      <c r="F10719" t="s">
        <v>32606</v>
      </c>
      <c r="G10719" t="s">
        <v>32613</v>
      </c>
      <c r="H10719" t="s">
        <v>14201</v>
      </c>
      <c r="I10719" t="s">
        <v>32626</v>
      </c>
      <c r="J10719" t="s">
        <v>39436</v>
      </c>
      <c r="K10719" t="s">
        <v>42638</v>
      </c>
      <c r="M10719" t="s">
        <v>43163</v>
      </c>
      <c r="N10719" t="s">
        <v>47304</v>
      </c>
      <c r="O10719" t="s">
        <v>47305</v>
      </c>
      <c r="P10719">
        <v>0</v>
      </c>
      <c r="Q10719">
        <v>0</v>
      </c>
      <c r="R10719" t="s">
        <v>47314</v>
      </c>
      <c r="S10719" t="s">
        <v>47596</v>
      </c>
      <c r="T10719" t="s">
        <v>48986</v>
      </c>
      <c r="U10719" t="s">
        <v>58374</v>
      </c>
      <c r="W10719" t="s">
        <v>43163</v>
      </c>
      <c r="X10719" t="s">
        <v>47315</v>
      </c>
    </row>
    <row r="10720" spans="1:24">
      <c r="A10720">
        <f>HYPERLINK("https://www.philgeps.gov.ph/GEPSNONPILOT/Tender/SplashBidNoticeAbstractUI.aspx?menuIndex=3&amp;refID=7181872&amp;Result=3","7181872")</f>
        <v>0</v>
      </c>
      <c r="B10720" t="s">
        <v>3176</v>
      </c>
      <c r="C10720" t="s">
        <v>13969</v>
      </c>
      <c r="D10720" t="s">
        <v>19024</v>
      </c>
      <c r="E10720" t="s">
        <v>21154</v>
      </c>
      <c r="F10720" t="s">
        <v>32606</v>
      </c>
      <c r="G10720" t="s">
        <v>32613</v>
      </c>
      <c r="H10720" t="s">
        <v>32623</v>
      </c>
      <c r="I10720" t="s">
        <v>17648</v>
      </c>
      <c r="J10720" t="s">
        <v>33022</v>
      </c>
      <c r="K10720" t="s">
        <v>42677</v>
      </c>
      <c r="M10720" t="s">
        <v>46397</v>
      </c>
      <c r="N10720" t="s">
        <v>47304</v>
      </c>
      <c r="O10720" t="s">
        <v>47305</v>
      </c>
      <c r="P10720">
        <v>0</v>
      </c>
      <c r="Q10720">
        <v>0</v>
      </c>
      <c r="R10720" t="s">
        <v>47314</v>
      </c>
      <c r="S10720" t="s">
        <v>47596</v>
      </c>
      <c r="T10720" t="s">
        <v>49023</v>
      </c>
      <c r="U10720" t="s">
        <v>58375</v>
      </c>
      <c r="W10720" t="s">
        <v>46397</v>
      </c>
      <c r="X10720" t="s">
        <v>47315</v>
      </c>
    </row>
    <row r="10721" spans="1:24">
      <c r="A10721">
        <f>HYPERLINK("https://www.philgeps.gov.ph/GEPSNONPILOT/Tender/SplashBidNoticeAbstractUI.aspx?menuIndex=3&amp;refID=7181868&amp;Result=3","7181868")</f>
        <v>0</v>
      </c>
      <c r="B10721" t="s">
        <v>3177</v>
      </c>
      <c r="C10721" t="s">
        <v>13970</v>
      </c>
      <c r="D10721" t="s">
        <v>19055</v>
      </c>
      <c r="E10721" t="s">
        <v>28247</v>
      </c>
      <c r="F10721" t="s">
        <v>32606</v>
      </c>
      <c r="G10721" t="s">
        <v>32613</v>
      </c>
      <c r="H10721" t="s">
        <v>14201</v>
      </c>
      <c r="I10721" t="s">
        <v>32663</v>
      </c>
      <c r="J10721" t="s">
        <v>32769</v>
      </c>
      <c r="K10721" t="s">
        <v>42646</v>
      </c>
      <c r="M10721" t="s">
        <v>46398</v>
      </c>
      <c r="N10721" t="s">
        <v>47304</v>
      </c>
      <c r="O10721" t="s">
        <v>47305</v>
      </c>
      <c r="P10721">
        <v>0</v>
      </c>
      <c r="Q10721">
        <v>6</v>
      </c>
      <c r="R10721" t="s">
        <v>47314</v>
      </c>
      <c r="S10721" t="s">
        <v>47596</v>
      </c>
      <c r="T10721" t="s">
        <v>48986</v>
      </c>
      <c r="U10721" t="s">
        <v>58376</v>
      </c>
      <c r="W10721" t="s">
        <v>46398</v>
      </c>
      <c r="X10721" t="s">
        <v>47315</v>
      </c>
    </row>
    <row r="10722" spans="1:24">
      <c r="A10722">
        <f>HYPERLINK("https://www.philgeps.gov.ph/GEPSNONPILOT/Tender/SplashBidNoticeAbstractUI.aspx?menuIndex=3&amp;refID=7181916&amp;Result=3","7181916")</f>
        <v>0</v>
      </c>
      <c r="B10722" t="s">
        <v>3178</v>
      </c>
      <c r="C10722" t="s">
        <v>13971</v>
      </c>
      <c r="D10722" t="s">
        <v>19011</v>
      </c>
      <c r="E10722" t="s">
        <v>25259</v>
      </c>
      <c r="F10722" t="s">
        <v>32606</v>
      </c>
      <c r="G10722" t="s">
        <v>32613</v>
      </c>
      <c r="H10722" t="s">
        <v>14201</v>
      </c>
      <c r="I10722" t="s">
        <v>32650</v>
      </c>
      <c r="J10722" t="s">
        <v>39437</v>
      </c>
      <c r="K10722" t="s">
        <v>42631</v>
      </c>
      <c r="M10722" t="s">
        <v>46399</v>
      </c>
      <c r="N10722" t="s">
        <v>47304</v>
      </c>
      <c r="O10722" t="s">
        <v>47305</v>
      </c>
      <c r="P10722">
        <v>0</v>
      </c>
      <c r="Q10722">
        <v>0</v>
      </c>
      <c r="R10722" t="s">
        <v>47314</v>
      </c>
      <c r="S10722" t="s">
        <v>47596</v>
      </c>
      <c r="T10722" t="s">
        <v>49337</v>
      </c>
      <c r="U10722" t="s">
        <v>58377</v>
      </c>
      <c r="W10722" t="s">
        <v>46399</v>
      </c>
      <c r="X10722" t="s">
        <v>47315</v>
      </c>
    </row>
    <row r="10723" spans="1:24">
      <c r="A10723">
        <f>HYPERLINK("https://www.philgeps.gov.ph/GEPSNONPILOT/Tender/SplashBidNoticeAbstractUI.aspx?menuIndex=3&amp;refID=7181988&amp;Result=3","7181988")</f>
        <v>0</v>
      </c>
      <c r="B10723" t="s">
        <v>1450</v>
      </c>
      <c r="C10723" t="s">
        <v>13972</v>
      </c>
      <c r="D10723" t="s">
        <v>19002</v>
      </c>
      <c r="E10723" t="s">
        <v>23210</v>
      </c>
      <c r="F10723" t="s">
        <v>32606</v>
      </c>
      <c r="G10723" t="s">
        <v>32613</v>
      </c>
      <c r="H10723" t="s">
        <v>32623</v>
      </c>
      <c r="I10723" t="s">
        <v>17648</v>
      </c>
      <c r="J10723" t="s">
        <v>32795</v>
      </c>
      <c r="K10723" t="s">
        <v>42648</v>
      </c>
      <c r="M10723" t="s">
        <v>44441</v>
      </c>
      <c r="N10723" t="s">
        <v>47304</v>
      </c>
      <c r="O10723" t="s">
        <v>47305</v>
      </c>
      <c r="P10723">
        <v>0</v>
      </c>
      <c r="Q10723">
        <v>1</v>
      </c>
      <c r="R10723" t="s">
        <v>47314</v>
      </c>
      <c r="S10723" t="s">
        <v>47596</v>
      </c>
      <c r="T10723" t="s">
        <v>49057</v>
      </c>
      <c r="U10723" t="s">
        <v>58378</v>
      </c>
      <c r="W10723" t="s">
        <v>44441</v>
      </c>
      <c r="X10723" t="s">
        <v>47315</v>
      </c>
    </row>
    <row r="10724" spans="1:24">
      <c r="A10724">
        <f>HYPERLINK("https://www.philgeps.gov.ph/GEPSNONPILOT/Tender/SplashBidNoticeAbstractUI.aspx?menuIndex=3&amp;refID=7181984&amp;Result=3","7181984")</f>
        <v>0</v>
      </c>
      <c r="B10724" t="s">
        <v>1590</v>
      </c>
      <c r="C10724" t="s">
        <v>13973</v>
      </c>
      <c r="D10724" t="s">
        <v>19064</v>
      </c>
      <c r="E10724" t="s">
        <v>13973</v>
      </c>
      <c r="F10724" t="s">
        <v>32606</v>
      </c>
      <c r="G10724" t="s">
        <v>32613</v>
      </c>
      <c r="H10724" t="s">
        <v>14201</v>
      </c>
      <c r="I10724" t="s">
        <v>4678</v>
      </c>
      <c r="J10724" t="s">
        <v>39438</v>
      </c>
      <c r="K10724" t="s">
        <v>42631</v>
      </c>
      <c r="M10724" t="s">
        <v>44604</v>
      </c>
      <c r="N10724" t="s">
        <v>47304</v>
      </c>
      <c r="O10724" t="s">
        <v>47305</v>
      </c>
      <c r="P10724">
        <v>0</v>
      </c>
      <c r="Q10724">
        <v>3</v>
      </c>
      <c r="R10724" t="s">
        <v>47314</v>
      </c>
      <c r="S10724" t="s">
        <v>47596</v>
      </c>
      <c r="T10724" t="s">
        <v>49036</v>
      </c>
      <c r="U10724" t="s">
        <v>53085</v>
      </c>
      <c r="W10724" t="s">
        <v>44604</v>
      </c>
      <c r="X10724" t="s">
        <v>47315</v>
      </c>
    </row>
    <row r="10725" spans="1:24">
      <c r="A10725">
        <f>HYPERLINK("https://www.philgeps.gov.ph/GEPSNONPILOT/Tender/SplashBidNoticeAbstractUI.aspx?menuIndex=3&amp;refID=7181983&amp;Result=3","7181983")</f>
        <v>0</v>
      </c>
      <c r="B10725" t="s">
        <v>2871</v>
      </c>
      <c r="C10725" t="s">
        <v>13974</v>
      </c>
      <c r="D10725" t="s">
        <v>19084</v>
      </c>
      <c r="E10725" t="s">
        <v>28248</v>
      </c>
      <c r="F10725" t="s">
        <v>32606</v>
      </c>
      <c r="G10725" t="s">
        <v>32613</v>
      </c>
      <c r="H10725" t="s">
        <v>14201</v>
      </c>
      <c r="I10725" t="s">
        <v>6298</v>
      </c>
      <c r="J10725" t="s">
        <v>39439</v>
      </c>
      <c r="K10725" t="s">
        <v>42624</v>
      </c>
      <c r="M10725" t="s">
        <v>46400</v>
      </c>
      <c r="N10725" t="s">
        <v>47304</v>
      </c>
      <c r="O10725" t="s">
        <v>47305</v>
      </c>
      <c r="P10725">
        <v>0</v>
      </c>
      <c r="Q10725">
        <v>2</v>
      </c>
      <c r="R10725" t="s">
        <v>47314</v>
      </c>
      <c r="S10725" t="s">
        <v>47596</v>
      </c>
      <c r="T10725" t="s">
        <v>49347</v>
      </c>
      <c r="U10725" t="s">
        <v>58379</v>
      </c>
      <c r="W10725" t="s">
        <v>46400</v>
      </c>
      <c r="X10725" t="s">
        <v>47315</v>
      </c>
    </row>
    <row r="10726" spans="1:24">
      <c r="A10726">
        <f>HYPERLINK("https://www.philgeps.gov.ph/GEPSNONPILOT/Tender/SplashBidNoticeAbstractUI.aspx?menuIndex=3&amp;refID=7181814&amp;Result=3","7181814")</f>
        <v>0</v>
      </c>
      <c r="B10726" t="s">
        <v>1687</v>
      </c>
      <c r="C10726" t="s">
        <v>13975</v>
      </c>
      <c r="D10726" t="s">
        <v>19008</v>
      </c>
      <c r="E10726" t="s">
        <v>28249</v>
      </c>
      <c r="F10726" t="s">
        <v>32606</v>
      </c>
      <c r="G10726" t="s">
        <v>32613</v>
      </c>
      <c r="H10726" t="s">
        <v>32623</v>
      </c>
      <c r="I10726" t="s">
        <v>17648</v>
      </c>
      <c r="J10726" t="s">
        <v>39440</v>
      </c>
      <c r="K10726" t="s">
        <v>42694</v>
      </c>
      <c r="M10726" t="s">
        <v>44716</v>
      </c>
      <c r="N10726" t="s">
        <v>47304</v>
      </c>
      <c r="O10726" t="s">
        <v>47305</v>
      </c>
      <c r="P10726">
        <v>0</v>
      </c>
      <c r="Q10726">
        <v>2</v>
      </c>
      <c r="R10726" t="s">
        <v>47314</v>
      </c>
      <c r="S10726" t="s">
        <v>47596</v>
      </c>
      <c r="T10726" t="s">
        <v>49002</v>
      </c>
      <c r="U10726" t="s">
        <v>58380</v>
      </c>
      <c r="W10726" t="s">
        <v>44716</v>
      </c>
      <c r="X10726" t="s">
        <v>47315</v>
      </c>
    </row>
    <row r="10727" spans="1:24">
      <c r="A10727">
        <f>HYPERLINK("https://www.philgeps.gov.ph/GEPSNONPILOT/Tender/SplashBidNoticeAbstractUI.aspx?menuIndex=3&amp;refID=7181982&amp;Result=3","7181982")</f>
        <v>0</v>
      </c>
      <c r="B10727" t="s">
        <v>233</v>
      </c>
      <c r="C10727" t="s">
        <v>13976</v>
      </c>
      <c r="D10727" t="s">
        <v>18997</v>
      </c>
      <c r="E10727" t="s">
        <v>28250</v>
      </c>
      <c r="F10727" t="s">
        <v>32606</v>
      </c>
      <c r="G10727" t="s">
        <v>32613</v>
      </c>
      <c r="H10727" t="s">
        <v>14201</v>
      </c>
      <c r="I10727" t="s">
        <v>6931</v>
      </c>
      <c r="J10727" t="s">
        <v>39441</v>
      </c>
      <c r="K10727" t="s">
        <v>42631</v>
      </c>
      <c r="M10727" t="s">
        <v>44359</v>
      </c>
      <c r="N10727" t="s">
        <v>47304</v>
      </c>
      <c r="O10727" t="s">
        <v>47305</v>
      </c>
      <c r="P10727">
        <v>0</v>
      </c>
      <c r="Q10727">
        <v>0</v>
      </c>
      <c r="R10727" t="s">
        <v>47314</v>
      </c>
      <c r="S10727" t="s">
        <v>47596</v>
      </c>
      <c r="T10727" t="s">
        <v>49234</v>
      </c>
      <c r="U10727" t="s">
        <v>57116</v>
      </c>
      <c r="V10727" t="s">
        <v>63002</v>
      </c>
      <c r="W10727" t="s">
        <v>44359</v>
      </c>
      <c r="X10727" t="s">
        <v>47315</v>
      </c>
    </row>
    <row r="10728" spans="1:24">
      <c r="A10728">
        <f>HYPERLINK("https://www.philgeps.gov.ph/GEPSNONPILOT/Tender/SplashBidNoticeAbstractUI.aspx?menuIndex=3&amp;refID=7181962&amp;Result=3","7181962")</f>
        <v>0</v>
      </c>
      <c r="B10728" t="s">
        <v>1450</v>
      </c>
      <c r="C10728" t="s">
        <v>13977</v>
      </c>
      <c r="D10728" t="s">
        <v>19002</v>
      </c>
      <c r="E10728" t="s">
        <v>24603</v>
      </c>
      <c r="F10728" t="s">
        <v>32606</v>
      </c>
      <c r="G10728" t="s">
        <v>32613</v>
      </c>
      <c r="H10728" t="s">
        <v>14201</v>
      </c>
      <c r="I10728" t="s">
        <v>32650</v>
      </c>
      <c r="J10728" t="s">
        <v>34106</v>
      </c>
      <c r="K10728" t="s">
        <v>42631</v>
      </c>
      <c r="M10728" t="s">
        <v>44441</v>
      </c>
      <c r="N10728" t="s">
        <v>47304</v>
      </c>
      <c r="O10728" t="s">
        <v>47305</v>
      </c>
      <c r="P10728">
        <v>0</v>
      </c>
      <c r="Q10728">
        <v>0</v>
      </c>
      <c r="R10728" t="s">
        <v>47314</v>
      </c>
      <c r="S10728" t="s">
        <v>47596</v>
      </c>
      <c r="T10728" t="s">
        <v>49020</v>
      </c>
      <c r="U10728" t="s">
        <v>58381</v>
      </c>
      <c r="V10728" t="s">
        <v>63786</v>
      </c>
      <c r="W10728" t="s">
        <v>44441</v>
      </c>
      <c r="X10728" t="s">
        <v>47315</v>
      </c>
    </row>
    <row r="10729" spans="1:24">
      <c r="A10729">
        <f>HYPERLINK("https://www.philgeps.gov.ph/GEPSNONPILOT/Tender/SplashBidNoticeAbstractUI.aspx?menuIndex=3&amp;refID=7181955&amp;Result=3","7181955")</f>
        <v>0</v>
      </c>
      <c r="B10729" t="s">
        <v>3172</v>
      </c>
      <c r="C10729" t="s">
        <v>13978</v>
      </c>
      <c r="D10729" t="s">
        <v>19056</v>
      </c>
      <c r="E10729" t="s">
        <v>28251</v>
      </c>
      <c r="F10729" t="s">
        <v>32606</v>
      </c>
      <c r="G10729" t="s">
        <v>32613</v>
      </c>
      <c r="H10729" t="s">
        <v>32623</v>
      </c>
      <c r="I10729" t="s">
        <v>17648</v>
      </c>
      <c r="J10729" t="s">
        <v>39442</v>
      </c>
      <c r="K10729" t="s">
        <v>42712</v>
      </c>
      <c r="M10729" t="s">
        <v>46393</v>
      </c>
      <c r="N10729" t="s">
        <v>47304</v>
      </c>
      <c r="O10729" t="s">
        <v>47305</v>
      </c>
      <c r="P10729">
        <v>0</v>
      </c>
      <c r="Q10729">
        <v>4</v>
      </c>
      <c r="R10729" t="s">
        <v>47314</v>
      </c>
      <c r="S10729" t="s">
        <v>47596</v>
      </c>
      <c r="T10729" t="s">
        <v>49075</v>
      </c>
      <c r="U10729" t="s">
        <v>58382</v>
      </c>
      <c r="W10729" t="s">
        <v>46393</v>
      </c>
      <c r="X10729" t="s">
        <v>47315</v>
      </c>
    </row>
    <row r="10730" spans="1:24">
      <c r="A10730">
        <f>HYPERLINK("https://www.philgeps.gov.ph/GEPSNONPILOT/Tender/SplashBidNoticeAbstractUI.aspx?menuIndex=3&amp;refID=7181937&amp;Result=3","7181937")</f>
        <v>0</v>
      </c>
      <c r="B10730" t="s">
        <v>535</v>
      </c>
      <c r="C10730" t="s">
        <v>13979</v>
      </c>
      <c r="D10730" t="s">
        <v>19031</v>
      </c>
      <c r="E10730" t="s">
        <v>28252</v>
      </c>
      <c r="F10730" t="s">
        <v>32606</v>
      </c>
      <c r="G10730" t="s">
        <v>32613</v>
      </c>
      <c r="H10730" t="s">
        <v>14201</v>
      </c>
      <c r="I10730" t="s">
        <v>32632</v>
      </c>
      <c r="J10730" t="s">
        <v>39443</v>
      </c>
      <c r="K10730" t="s">
        <v>42636</v>
      </c>
      <c r="M10730" t="s">
        <v>43448</v>
      </c>
      <c r="N10730" t="s">
        <v>47304</v>
      </c>
      <c r="O10730" t="s">
        <v>47305</v>
      </c>
      <c r="P10730">
        <v>0</v>
      </c>
      <c r="Q10730">
        <v>1</v>
      </c>
      <c r="R10730" t="s">
        <v>47314</v>
      </c>
      <c r="S10730" t="s">
        <v>47596</v>
      </c>
      <c r="T10730" t="s">
        <v>49268</v>
      </c>
      <c r="U10730" t="s">
        <v>58383</v>
      </c>
      <c r="W10730" t="s">
        <v>43448</v>
      </c>
      <c r="X10730" t="s">
        <v>47315</v>
      </c>
    </row>
    <row r="10731" spans="1:24">
      <c r="A10731">
        <f>HYPERLINK("https://www.philgeps.gov.ph/GEPSNONPILOT/Tender/SplashBidNoticeAbstractUI.aspx?menuIndex=3&amp;refID=7181929&amp;Result=3","7181929")</f>
        <v>0</v>
      </c>
      <c r="B10731" t="s">
        <v>484</v>
      </c>
      <c r="C10731" t="s">
        <v>13980</v>
      </c>
      <c r="D10731" t="s">
        <v>19008</v>
      </c>
      <c r="E10731" t="s">
        <v>19145</v>
      </c>
      <c r="F10731" t="s">
        <v>32606</v>
      </c>
      <c r="G10731" t="s">
        <v>32613</v>
      </c>
      <c r="H10731" t="s">
        <v>14201</v>
      </c>
      <c r="I10731" t="s">
        <v>6931</v>
      </c>
      <c r="J10731" t="s">
        <v>39444</v>
      </c>
      <c r="K10731" t="s">
        <v>42623</v>
      </c>
      <c r="M10731" t="s">
        <v>43395</v>
      </c>
      <c r="N10731" t="s">
        <v>47304</v>
      </c>
      <c r="O10731" t="s">
        <v>47305</v>
      </c>
      <c r="P10731">
        <v>0</v>
      </c>
      <c r="Q10731">
        <v>0</v>
      </c>
      <c r="R10731" t="s">
        <v>47314</v>
      </c>
      <c r="S10731" t="s">
        <v>47596</v>
      </c>
      <c r="T10731" t="s">
        <v>49357</v>
      </c>
      <c r="U10731" t="s">
        <v>58384</v>
      </c>
      <c r="V10731" t="s">
        <v>63787</v>
      </c>
      <c r="W10731" t="s">
        <v>43395</v>
      </c>
      <c r="X10731" t="s">
        <v>47315</v>
      </c>
    </row>
    <row r="10732" spans="1:24">
      <c r="A10732">
        <f>HYPERLINK("https://www.philgeps.gov.ph/GEPSNONPILOT/Tender/SplashBidNoticeAbstractUI.aspx?menuIndex=3&amp;refID=7181920&amp;Result=3","7181920")</f>
        <v>0</v>
      </c>
      <c r="B10732" t="s">
        <v>1687</v>
      </c>
      <c r="C10732" t="s">
        <v>13981</v>
      </c>
      <c r="D10732" t="s">
        <v>19008</v>
      </c>
      <c r="E10732" t="s">
        <v>28253</v>
      </c>
      <c r="F10732" t="s">
        <v>32606</v>
      </c>
      <c r="G10732" t="s">
        <v>32613</v>
      </c>
      <c r="H10732" t="s">
        <v>14201</v>
      </c>
      <c r="I10732" t="s">
        <v>6931</v>
      </c>
      <c r="J10732" t="s">
        <v>39445</v>
      </c>
      <c r="K10732" t="s">
        <v>42623</v>
      </c>
      <c r="M10732" t="s">
        <v>44716</v>
      </c>
      <c r="N10732" t="s">
        <v>47304</v>
      </c>
      <c r="O10732" t="s">
        <v>47305</v>
      </c>
      <c r="P10732">
        <v>0</v>
      </c>
      <c r="Q10732">
        <v>0</v>
      </c>
      <c r="R10732" t="s">
        <v>47314</v>
      </c>
      <c r="S10732" t="s">
        <v>47596</v>
      </c>
      <c r="T10732" t="s">
        <v>49002</v>
      </c>
      <c r="U10732" t="s">
        <v>58385</v>
      </c>
      <c r="W10732" t="s">
        <v>44716</v>
      </c>
      <c r="X10732" t="s">
        <v>47315</v>
      </c>
    </row>
    <row r="10733" spans="1:24">
      <c r="A10733">
        <f>HYPERLINK("https://www.philgeps.gov.ph/GEPSNONPILOT/Tender/SplashBidNoticeAbstractUI.aspx?menuIndex=3&amp;refID=7181907&amp;Result=3","7181907")</f>
        <v>0</v>
      </c>
      <c r="B10733" t="s">
        <v>1500</v>
      </c>
      <c r="C10733" t="s">
        <v>13982</v>
      </c>
      <c r="D10733" t="s">
        <v>19036</v>
      </c>
      <c r="E10733" t="s">
        <v>28254</v>
      </c>
      <c r="F10733" t="s">
        <v>32606</v>
      </c>
      <c r="G10733" t="s">
        <v>32613</v>
      </c>
      <c r="H10733" t="s">
        <v>14201</v>
      </c>
      <c r="I10733" t="s">
        <v>4121</v>
      </c>
      <c r="J10733" t="s">
        <v>39446</v>
      </c>
      <c r="K10733" t="s">
        <v>42636</v>
      </c>
      <c r="M10733" t="s">
        <v>44496</v>
      </c>
      <c r="N10733" t="s">
        <v>47304</v>
      </c>
      <c r="O10733" t="s">
        <v>47305</v>
      </c>
      <c r="P10733">
        <v>0</v>
      </c>
      <c r="Q10733">
        <v>5</v>
      </c>
      <c r="R10733" t="s">
        <v>47314</v>
      </c>
      <c r="S10733" t="s">
        <v>47596</v>
      </c>
      <c r="T10733" t="s">
        <v>49390</v>
      </c>
      <c r="U10733" t="s">
        <v>58386</v>
      </c>
      <c r="W10733" t="s">
        <v>44496</v>
      </c>
      <c r="X10733" t="s">
        <v>47315</v>
      </c>
    </row>
    <row r="10734" spans="1:24">
      <c r="A10734">
        <f>HYPERLINK("https://www.philgeps.gov.ph/GEPSNONPILOT/Tender/SplashBidNoticeAbstractUI.aspx?menuIndex=3&amp;refID=7181903&amp;Result=3","7181903")</f>
        <v>0</v>
      </c>
      <c r="B10734" t="s">
        <v>3134</v>
      </c>
      <c r="C10734" t="s">
        <v>13983</v>
      </c>
      <c r="E10734" t="s">
        <v>28255</v>
      </c>
      <c r="F10734" t="s">
        <v>32606</v>
      </c>
      <c r="G10734" t="s">
        <v>32613</v>
      </c>
      <c r="H10734" t="s">
        <v>14201</v>
      </c>
      <c r="I10734" t="s">
        <v>32675</v>
      </c>
      <c r="J10734" t="s">
        <v>33102</v>
      </c>
      <c r="K10734" t="s">
        <v>42624</v>
      </c>
      <c r="M10734" t="s">
        <v>46372</v>
      </c>
      <c r="N10734" t="s">
        <v>47304</v>
      </c>
      <c r="O10734" t="s">
        <v>47305</v>
      </c>
      <c r="P10734">
        <v>0</v>
      </c>
      <c r="Q10734">
        <v>2</v>
      </c>
      <c r="R10734" t="s">
        <v>47314</v>
      </c>
      <c r="S10734" t="s">
        <v>47596</v>
      </c>
      <c r="T10734" t="s">
        <v>49023</v>
      </c>
      <c r="U10734" t="s">
        <v>58387</v>
      </c>
      <c r="W10734" t="s">
        <v>46372</v>
      </c>
      <c r="X10734" t="s">
        <v>47315</v>
      </c>
    </row>
    <row r="10735" spans="1:24">
      <c r="A10735">
        <f>HYPERLINK("https://www.philgeps.gov.ph/GEPSNONPILOT/Tender/SplashBidNoticeAbstractUI.aspx?menuIndex=3&amp;refID=7181900&amp;Result=3","7181900")</f>
        <v>0</v>
      </c>
      <c r="B10735" t="s">
        <v>3171</v>
      </c>
      <c r="C10735" t="s">
        <v>13984</v>
      </c>
      <c r="D10735" t="s">
        <v>18988</v>
      </c>
      <c r="E10735" t="s">
        <v>28256</v>
      </c>
      <c r="F10735" t="s">
        <v>32606</v>
      </c>
      <c r="G10735" t="s">
        <v>32613</v>
      </c>
      <c r="H10735" t="s">
        <v>32623</v>
      </c>
      <c r="I10735" t="s">
        <v>17648</v>
      </c>
      <c r="J10735" t="s">
        <v>39447</v>
      </c>
      <c r="K10735" t="s">
        <v>42649</v>
      </c>
      <c r="M10735" t="s">
        <v>46392</v>
      </c>
      <c r="N10735" t="s">
        <v>47304</v>
      </c>
      <c r="O10735" t="s">
        <v>47305</v>
      </c>
      <c r="P10735">
        <v>0</v>
      </c>
      <c r="Q10735">
        <v>0</v>
      </c>
      <c r="R10735" t="s">
        <v>47314</v>
      </c>
      <c r="S10735" t="s">
        <v>47596</v>
      </c>
      <c r="T10735" t="s">
        <v>48970</v>
      </c>
      <c r="U10735" t="s">
        <v>58388</v>
      </c>
      <c r="W10735" t="s">
        <v>46392</v>
      </c>
      <c r="X10735" t="s">
        <v>47315</v>
      </c>
    </row>
    <row r="10736" spans="1:24">
      <c r="A10736">
        <f>HYPERLINK("https://www.philgeps.gov.ph/GEPSNONPILOT/Tender/SplashBidNoticeAbstractUI.aspx?menuIndex=3&amp;refID=7181899&amp;Result=3","7181899")</f>
        <v>0</v>
      </c>
      <c r="B10736" t="s">
        <v>3179</v>
      </c>
      <c r="C10736" t="s">
        <v>13985</v>
      </c>
      <c r="D10736" t="s">
        <v>19002</v>
      </c>
      <c r="E10736" t="s">
        <v>28257</v>
      </c>
      <c r="F10736" t="s">
        <v>32606</v>
      </c>
      <c r="G10736" t="s">
        <v>32613</v>
      </c>
      <c r="H10736" t="s">
        <v>14201</v>
      </c>
      <c r="I10736" t="s">
        <v>6931</v>
      </c>
      <c r="J10736" t="s">
        <v>39448</v>
      </c>
      <c r="K10736" t="s">
        <v>42634</v>
      </c>
      <c r="M10736" t="s">
        <v>46401</v>
      </c>
      <c r="N10736" t="s">
        <v>47304</v>
      </c>
      <c r="O10736" t="s">
        <v>47305</v>
      </c>
      <c r="P10736">
        <v>0</v>
      </c>
      <c r="Q10736">
        <v>2</v>
      </c>
      <c r="R10736" t="s">
        <v>47314</v>
      </c>
      <c r="S10736" t="s">
        <v>47596</v>
      </c>
      <c r="T10736" t="s">
        <v>49291</v>
      </c>
      <c r="U10736" t="s">
        <v>58389</v>
      </c>
      <c r="W10736" t="s">
        <v>46401</v>
      </c>
      <c r="X10736" t="s">
        <v>47315</v>
      </c>
    </row>
    <row r="10737" spans="1:24">
      <c r="A10737">
        <f>HYPERLINK("https://www.philgeps.gov.ph/GEPSNONPILOT/Tender/SplashBidNoticeAbstractUI.aspx?menuIndex=3&amp;refID=7181924&amp;Result=3","7181924")</f>
        <v>0</v>
      </c>
      <c r="B10737" t="s">
        <v>3168</v>
      </c>
      <c r="C10737" t="s">
        <v>13986</v>
      </c>
      <c r="D10737" t="s">
        <v>19007</v>
      </c>
      <c r="E10737" t="s">
        <v>28258</v>
      </c>
      <c r="F10737" t="s">
        <v>32608</v>
      </c>
      <c r="G10737" t="s">
        <v>32613</v>
      </c>
      <c r="H10737" t="s">
        <v>32623</v>
      </c>
      <c r="I10737" t="s">
        <v>17648</v>
      </c>
      <c r="J10737" t="s">
        <v>39449</v>
      </c>
      <c r="K10737" t="s">
        <v>42631</v>
      </c>
      <c r="M10737" t="s">
        <v>46389</v>
      </c>
      <c r="N10737" t="s">
        <v>47304</v>
      </c>
      <c r="O10737" t="s">
        <v>47305</v>
      </c>
      <c r="P10737">
        <v>0</v>
      </c>
      <c r="Q10737">
        <v>0</v>
      </c>
      <c r="R10737" t="s">
        <v>47314</v>
      </c>
      <c r="S10737" t="s">
        <v>47596</v>
      </c>
      <c r="T10737" t="s">
        <v>48987</v>
      </c>
      <c r="U10737" t="s">
        <v>58344</v>
      </c>
      <c r="W10737" t="s">
        <v>46389</v>
      </c>
      <c r="X10737" t="s">
        <v>47315</v>
      </c>
    </row>
    <row r="10738" spans="1:24">
      <c r="A10738">
        <f>HYPERLINK("https://www.philgeps.gov.ph/GEPSNONPILOT/Tender/SplashBidNoticeAbstractUI.aspx?menuIndex=3&amp;refID=7181950&amp;Result=3","7181950")</f>
        <v>0</v>
      </c>
      <c r="B10738" t="s">
        <v>2119</v>
      </c>
      <c r="C10738" t="s">
        <v>13987</v>
      </c>
      <c r="D10738" t="s">
        <v>18993</v>
      </c>
      <c r="E10738" t="s">
        <v>28259</v>
      </c>
      <c r="F10738" t="s">
        <v>32607</v>
      </c>
      <c r="G10738" t="s">
        <v>32613</v>
      </c>
      <c r="H10738" t="s">
        <v>14201</v>
      </c>
      <c r="I10738" t="s">
        <v>4114</v>
      </c>
      <c r="J10738" t="s">
        <v>39450</v>
      </c>
      <c r="K10738" t="s">
        <v>42631</v>
      </c>
      <c r="M10738" t="s">
        <v>45206</v>
      </c>
      <c r="N10738" t="s">
        <v>47304</v>
      </c>
      <c r="O10738" t="s">
        <v>47305</v>
      </c>
      <c r="P10738">
        <v>0</v>
      </c>
      <c r="Q10738">
        <v>0</v>
      </c>
      <c r="R10738" t="s">
        <v>47314</v>
      </c>
      <c r="S10738" t="s">
        <v>47596</v>
      </c>
      <c r="T10738" t="s">
        <v>48987</v>
      </c>
      <c r="U10738" t="s">
        <v>58390</v>
      </c>
      <c r="V10738" t="s">
        <v>63251</v>
      </c>
      <c r="W10738" t="s">
        <v>45206</v>
      </c>
      <c r="X10738" t="s">
        <v>47315</v>
      </c>
    </row>
    <row r="10739" spans="1:24">
      <c r="A10739">
        <f>HYPERLINK("https://www.philgeps.gov.ph/GEPSNONPILOT/Tender/SplashBidNoticeAbstractUI.aspx?menuIndex=3&amp;refID=7181914&amp;Result=3","7181914")</f>
        <v>0</v>
      </c>
      <c r="B10739" t="s">
        <v>3180</v>
      </c>
      <c r="C10739" t="s">
        <v>13988</v>
      </c>
      <c r="D10739" t="s">
        <v>19009</v>
      </c>
      <c r="E10739" t="s">
        <v>28260</v>
      </c>
      <c r="F10739" t="s">
        <v>32606</v>
      </c>
      <c r="G10739" t="s">
        <v>32613</v>
      </c>
      <c r="H10739" t="s">
        <v>32623</v>
      </c>
      <c r="I10739" t="s">
        <v>6931</v>
      </c>
      <c r="J10739" t="s">
        <v>39451</v>
      </c>
      <c r="K10739" t="s">
        <v>42636</v>
      </c>
      <c r="M10739" t="s">
        <v>46402</v>
      </c>
      <c r="N10739" t="s">
        <v>47304</v>
      </c>
      <c r="O10739" t="s">
        <v>47305</v>
      </c>
      <c r="P10739">
        <v>0</v>
      </c>
      <c r="Q10739">
        <v>1</v>
      </c>
      <c r="R10739" t="s">
        <v>47314</v>
      </c>
      <c r="S10739" t="s">
        <v>47596</v>
      </c>
      <c r="T10739" t="s">
        <v>49010</v>
      </c>
      <c r="U10739" t="s">
        <v>58391</v>
      </c>
      <c r="V10739" t="s">
        <v>63788</v>
      </c>
      <c r="W10739" t="s">
        <v>46402</v>
      </c>
      <c r="X10739" t="s">
        <v>47315</v>
      </c>
    </row>
    <row r="10740" spans="1:24">
      <c r="A10740">
        <f>HYPERLINK("https://www.philgeps.gov.ph/GEPSNONPILOT/Tender/SplashBidNoticeAbstractUI.aspx?menuIndex=3&amp;refID=7181901&amp;Result=3","7181901")</f>
        <v>0</v>
      </c>
      <c r="B10740" t="s">
        <v>1377</v>
      </c>
      <c r="C10740" t="s">
        <v>13989</v>
      </c>
      <c r="D10740" t="s">
        <v>19061</v>
      </c>
      <c r="E10740" t="s">
        <v>28261</v>
      </c>
      <c r="F10740" t="s">
        <v>32606</v>
      </c>
      <c r="G10740" t="s">
        <v>32619</v>
      </c>
      <c r="H10740" t="s">
        <v>14201</v>
      </c>
      <c r="I10740" t="s">
        <v>6931</v>
      </c>
      <c r="J10740" t="s">
        <v>39452</v>
      </c>
      <c r="K10740" t="s">
        <v>42629</v>
      </c>
      <c r="M10740" t="s">
        <v>46403</v>
      </c>
      <c r="N10740" t="s">
        <v>47304</v>
      </c>
      <c r="O10740" t="s">
        <v>47305</v>
      </c>
      <c r="Q10740">
        <v>3</v>
      </c>
      <c r="R10740" t="s">
        <v>47314</v>
      </c>
      <c r="S10740" t="s">
        <v>47634</v>
      </c>
      <c r="T10740" t="s">
        <v>49315</v>
      </c>
      <c r="U10740" t="s">
        <v>58392</v>
      </c>
      <c r="V10740" t="s">
        <v>63789</v>
      </c>
      <c r="W10740" t="s">
        <v>46403</v>
      </c>
      <c r="X10740" t="s">
        <v>47315</v>
      </c>
    </row>
    <row r="10741" spans="1:24">
      <c r="A10741">
        <f>HYPERLINK("https://www.philgeps.gov.ph/GEPSNONPILOT/Tender/SplashBidNoticeAbstractUI.aspx?menuIndex=3&amp;refID=7181776&amp;Result=3","7181776")</f>
        <v>0</v>
      </c>
      <c r="B10741" t="s">
        <v>1410</v>
      </c>
      <c r="C10741" t="s">
        <v>13990</v>
      </c>
      <c r="D10741" t="s">
        <v>19056</v>
      </c>
      <c r="E10741" t="s">
        <v>28262</v>
      </c>
      <c r="F10741" t="s">
        <v>32606</v>
      </c>
      <c r="G10741" t="s">
        <v>32613</v>
      </c>
      <c r="H10741" t="s">
        <v>14201</v>
      </c>
      <c r="I10741" t="s">
        <v>6931</v>
      </c>
      <c r="J10741" t="s">
        <v>34118</v>
      </c>
      <c r="K10741" t="s">
        <v>42623</v>
      </c>
      <c r="M10741" t="s">
        <v>44397</v>
      </c>
      <c r="N10741" t="s">
        <v>47304</v>
      </c>
      <c r="O10741" t="s">
        <v>47305</v>
      </c>
      <c r="P10741">
        <v>0</v>
      </c>
      <c r="Q10741">
        <v>0</v>
      </c>
      <c r="R10741" t="s">
        <v>47314</v>
      </c>
      <c r="S10741" t="s">
        <v>47596</v>
      </c>
      <c r="T10741" t="s">
        <v>49066</v>
      </c>
      <c r="U10741" t="s">
        <v>57272</v>
      </c>
      <c r="W10741" t="s">
        <v>44397</v>
      </c>
      <c r="X10741" t="s">
        <v>47315</v>
      </c>
    </row>
    <row r="10742" spans="1:24">
      <c r="A10742">
        <f>HYPERLINK("https://www.philgeps.gov.ph/GEPSNONPILOT/Tender/SplashBidNoticeAbstractUI.aspx?menuIndex=3&amp;refID=7181992&amp;Result=3","7181992")</f>
        <v>0</v>
      </c>
      <c r="B10742" t="s">
        <v>714</v>
      </c>
      <c r="C10742" t="s">
        <v>13991</v>
      </c>
      <c r="D10742" t="s">
        <v>18995</v>
      </c>
      <c r="E10742" t="s">
        <v>28263</v>
      </c>
      <c r="F10742" t="s">
        <v>32606</v>
      </c>
      <c r="G10742" t="s">
        <v>32613</v>
      </c>
      <c r="H10742" t="s">
        <v>32623</v>
      </c>
      <c r="I10742" t="s">
        <v>17648</v>
      </c>
      <c r="J10742" t="s">
        <v>39453</v>
      </c>
      <c r="K10742" t="s">
        <v>42712</v>
      </c>
      <c r="M10742" t="s">
        <v>43635</v>
      </c>
      <c r="N10742" t="s">
        <v>47304</v>
      </c>
      <c r="O10742" t="s">
        <v>47305</v>
      </c>
      <c r="P10742">
        <v>0</v>
      </c>
      <c r="Q10742">
        <v>10</v>
      </c>
      <c r="R10742" t="s">
        <v>47314</v>
      </c>
      <c r="S10742" t="s">
        <v>47596</v>
      </c>
      <c r="T10742" t="s">
        <v>49075</v>
      </c>
      <c r="U10742" t="s">
        <v>58393</v>
      </c>
      <c r="W10742" t="s">
        <v>43635</v>
      </c>
      <c r="X10742" t="s">
        <v>47315</v>
      </c>
    </row>
    <row r="10743" spans="1:24">
      <c r="A10743">
        <f>HYPERLINK("https://www.philgeps.gov.ph/GEPSNONPILOT/Tender/SplashBidNoticeAbstractUI.aspx?menuIndex=3&amp;refID=7182027&amp;Result=3","7182027")</f>
        <v>0</v>
      </c>
      <c r="B10743" t="s">
        <v>3172</v>
      </c>
      <c r="C10743" t="s">
        <v>13992</v>
      </c>
      <c r="D10743" t="s">
        <v>19056</v>
      </c>
      <c r="E10743" t="s">
        <v>28264</v>
      </c>
      <c r="F10743" t="s">
        <v>32606</v>
      </c>
      <c r="G10743" t="s">
        <v>32613</v>
      </c>
      <c r="H10743" t="s">
        <v>32623</v>
      </c>
      <c r="I10743" t="s">
        <v>17648</v>
      </c>
      <c r="J10743" t="s">
        <v>39454</v>
      </c>
      <c r="K10743" t="s">
        <v>42676</v>
      </c>
      <c r="M10743" t="s">
        <v>46393</v>
      </c>
      <c r="N10743" t="s">
        <v>47304</v>
      </c>
      <c r="O10743" t="s">
        <v>47305</v>
      </c>
      <c r="P10743">
        <v>0</v>
      </c>
      <c r="Q10743">
        <v>3</v>
      </c>
      <c r="R10743" t="s">
        <v>47314</v>
      </c>
      <c r="S10743" t="s">
        <v>47596</v>
      </c>
      <c r="T10743" t="s">
        <v>49075</v>
      </c>
      <c r="U10743" t="s">
        <v>58394</v>
      </c>
      <c r="W10743" t="s">
        <v>46393</v>
      </c>
      <c r="X10743" t="s">
        <v>47315</v>
      </c>
    </row>
    <row r="10744" spans="1:24">
      <c r="A10744">
        <f>HYPERLINK("https://www.philgeps.gov.ph/GEPSNONPILOT/Tender/SplashBidNoticeAbstractUI.aspx?menuIndex=3&amp;refID=7182012&amp;Result=3","7182012")</f>
        <v>0</v>
      </c>
      <c r="B10744" t="s">
        <v>3181</v>
      </c>
      <c r="C10744" t="s">
        <v>13993</v>
      </c>
      <c r="D10744" t="s">
        <v>19010</v>
      </c>
      <c r="E10744" t="s">
        <v>28265</v>
      </c>
      <c r="F10744" t="s">
        <v>32606</v>
      </c>
      <c r="G10744" t="s">
        <v>32615</v>
      </c>
      <c r="H10744" t="s">
        <v>14201</v>
      </c>
      <c r="I10744" t="s">
        <v>6931</v>
      </c>
      <c r="J10744" t="s">
        <v>39455</v>
      </c>
      <c r="K10744" t="s">
        <v>42623</v>
      </c>
      <c r="M10744" t="s">
        <v>46404</v>
      </c>
      <c r="N10744" t="s">
        <v>47304</v>
      </c>
      <c r="O10744" t="s">
        <v>47305</v>
      </c>
      <c r="P10744">
        <v>0</v>
      </c>
      <c r="Q10744">
        <v>2</v>
      </c>
      <c r="R10744" t="s">
        <v>47314</v>
      </c>
      <c r="S10744" t="s">
        <v>47596</v>
      </c>
      <c r="T10744" t="s">
        <v>49315</v>
      </c>
      <c r="U10744" t="s">
        <v>58395</v>
      </c>
      <c r="W10744" t="s">
        <v>46404</v>
      </c>
      <c r="X10744" t="s">
        <v>47315</v>
      </c>
    </row>
    <row r="10745" spans="1:24">
      <c r="A10745">
        <f>HYPERLINK("https://www.philgeps.gov.ph/GEPSNONPILOT/Tender/SplashBidNoticeAbstractUI.aspx?menuIndex=3&amp;refID=7182010&amp;Result=3","7182010")</f>
        <v>0</v>
      </c>
      <c r="B10745" t="s">
        <v>1668</v>
      </c>
      <c r="C10745" t="s">
        <v>13994</v>
      </c>
      <c r="D10745" t="s">
        <v>19004</v>
      </c>
      <c r="E10745" t="s">
        <v>28266</v>
      </c>
      <c r="F10745" t="s">
        <v>32606</v>
      </c>
      <c r="G10745" t="s">
        <v>32613</v>
      </c>
      <c r="H10745" t="s">
        <v>32623</v>
      </c>
      <c r="I10745" t="s">
        <v>17648</v>
      </c>
      <c r="J10745" t="s">
        <v>39456</v>
      </c>
      <c r="K10745" t="s">
        <v>42645</v>
      </c>
      <c r="M10745" t="s">
        <v>44695</v>
      </c>
      <c r="N10745" t="s">
        <v>47304</v>
      </c>
      <c r="O10745" t="s">
        <v>47305</v>
      </c>
      <c r="P10745">
        <v>0</v>
      </c>
      <c r="Q10745">
        <v>0</v>
      </c>
      <c r="R10745" t="s">
        <v>47314</v>
      </c>
      <c r="S10745" t="s">
        <v>47596</v>
      </c>
      <c r="T10745" t="s">
        <v>49140</v>
      </c>
      <c r="U10745" t="s">
        <v>58396</v>
      </c>
      <c r="W10745" t="s">
        <v>64479</v>
      </c>
      <c r="X10745" t="s">
        <v>47315</v>
      </c>
    </row>
    <row r="10746" spans="1:24">
      <c r="A10746">
        <f>HYPERLINK("https://www.philgeps.gov.ph/GEPSNONPILOT/Tender/SplashBidNoticeAbstractUI.aspx?menuIndex=3&amp;refID=7181998&amp;Result=3","7181998")</f>
        <v>0</v>
      </c>
      <c r="B10746" t="s">
        <v>318</v>
      </c>
      <c r="C10746" t="s">
        <v>13995</v>
      </c>
      <c r="D10746" t="s">
        <v>19025</v>
      </c>
      <c r="E10746" t="s">
        <v>28267</v>
      </c>
      <c r="F10746" t="s">
        <v>32606</v>
      </c>
      <c r="G10746" t="s">
        <v>32614</v>
      </c>
      <c r="H10746" t="s">
        <v>14201</v>
      </c>
      <c r="I10746" t="s">
        <v>4678</v>
      </c>
      <c r="J10746" t="s">
        <v>34182</v>
      </c>
      <c r="K10746" t="s">
        <v>42624</v>
      </c>
      <c r="M10746" t="s">
        <v>43220</v>
      </c>
      <c r="N10746" t="s">
        <v>47304</v>
      </c>
      <c r="O10746" t="s">
        <v>47305</v>
      </c>
      <c r="P10746">
        <v>0</v>
      </c>
      <c r="Q10746">
        <v>0</v>
      </c>
      <c r="R10746" t="s">
        <v>47314</v>
      </c>
      <c r="S10746" t="s">
        <v>47596</v>
      </c>
      <c r="T10746" t="s">
        <v>49020</v>
      </c>
      <c r="U10746" t="s">
        <v>58397</v>
      </c>
      <c r="W10746" t="s">
        <v>43220</v>
      </c>
      <c r="X10746" t="s">
        <v>47315</v>
      </c>
    </row>
    <row r="10747" spans="1:24">
      <c r="A10747">
        <f>HYPERLINK("https://www.philgeps.gov.ph/GEPSNONPILOT/Tender/SplashBidNoticeAbstractUI.aspx?menuIndex=3&amp;refID=7181996&amp;Result=3","7181996")</f>
        <v>0</v>
      </c>
      <c r="B10747" t="s">
        <v>3160</v>
      </c>
      <c r="C10747" t="s">
        <v>13996</v>
      </c>
      <c r="D10747" t="s">
        <v>19056</v>
      </c>
      <c r="E10747" t="s">
        <v>13996</v>
      </c>
      <c r="F10747" t="s">
        <v>32606</v>
      </c>
      <c r="G10747" t="s">
        <v>32613</v>
      </c>
      <c r="H10747" t="s">
        <v>32623</v>
      </c>
      <c r="I10747" t="s">
        <v>17648</v>
      </c>
      <c r="J10747" t="s">
        <v>39457</v>
      </c>
      <c r="K10747" t="s">
        <v>42650</v>
      </c>
      <c r="M10747" t="s">
        <v>46379</v>
      </c>
      <c r="N10747" t="s">
        <v>47304</v>
      </c>
      <c r="O10747" t="s">
        <v>47305</v>
      </c>
      <c r="P10747">
        <v>0</v>
      </c>
      <c r="Q10747">
        <v>7</v>
      </c>
      <c r="R10747" t="s">
        <v>47314</v>
      </c>
      <c r="S10747" t="s">
        <v>47596</v>
      </c>
      <c r="T10747" t="s">
        <v>49052</v>
      </c>
      <c r="U10747" t="s">
        <v>58398</v>
      </c>
      <c r="W10747" t="s">
        <v>46379</v>
      </c>
      <c r="X10747" t="s">
        <v>47315</v>
      </c>
    </row>
    <row r="10748" spans="1:24">
      <c r="A10748">
        <f>HYPERLINK("https://www.philgeps.gov.ph/GEPSNONPILOT/Tender/SplashBidNoticeAbstractUI.aspx?menuIndex=3&amp;refID=7181995&amp;Result=3","7181995")</f>
        <v>0</v>
      </c>
      <c r="B10748" t="s">
        <v>233</v>
      </c>
      <c r="C10748" t="s">
        <v>13997</v>
      </c>
      <c r="D10748" t="s">
        <v>18997</v>
      </c>
      <c r="E10748" t="s">
        <v>28268</v>
      </c>
      <c r="F10748" t="s">
        <v>32606</v>
      </c>
      <c r="G10748" t="s">
        <v>32613</v>
      </c>
      <c r="H10748" t="s">
        <v>14201</v>
      </c>
      <c r="I10748" t="s">
        <v>7577</v>
      </c>
      <c r="J10748" t="s">
        <v>39458</v>
      </c>
      <c r="K10748" t="s">
        <v>42631</v>
      </c>
      <c r="M10748" t="s">
        <v>44359</v>
      </c>
      <c r="N10748" t="s">
        <v>47304</v>
      </c>
      <c r="O10748" t="s">
        <v>47305</v>
      </c>
      <c r="P10748">
        <v>0</v>
      </c>
      <c r="Q10748">
        <v>3</v>
      </c>
      <c r="R10748" t="s">
        <v>47314</v>
      </c>
      <c r="S10748" t="s">
        <v>47596</v>
      </c>
      <c r="T10748" t="s">
        <v>49234</v>
      </c>
      <c r="U10748" t="s">
        <v>57116</v>
      </c>
      <c r="V10748" t="s">
        <v>63002</v>
      </c>
      <c r="W10748" t="s">
        <v>44359</v>
      </c>
      <c r="X10748" t="s">
        <v>47315</v>
      </c>
    </row>
    <row r="10749" spans="1:24">
      <c r="A10749">
        <f>HYPERLINK("https://www.philgeps.gov.ph/GEPSNONPILOT/Tender/SplashBidNoticeAbstractUI.aspx?menuIndex=3&amp;refID=7181991&amp;Result=3","7181991")</f>
        <v>0</v>
      </c>
      <c r="B10749" t="s">
        <v>333</v>
      </c>
      <c r="C10749" t="s">
        <v>13998</v>
      </c>
      <c r="D10749" t="s">
        <v>19004</v>
      </c>
      <c r="E10749" t="s">
        <v>28269</v>
      </c>
      <c r="F10749" t="s">
        <v>32606</v>
      </c>
      <c r="G10749" t="s">
        <v>32613</v>
      </c>
      <c r="H10749" t="s">
        <v>32624</v>
      </c>
      <c r="I10749" t="s">
        <v>32640</v>
      </c>
      <c r="J10749" t="s">
        <v>33263</v>
      </c>
      <c r="K10749" t="s">
        <v>42631</v>
      </c>
      <c r="M10749" t="s">
        <v>46405</v>
      </c>
      <c r="N10749" t="s">
        <v>47304</v>
      </c>
      <c r="O10749" t="s">
        <v>47305</v>
      </c>
      <c r="P10749">
        <v>0</v>
      </c>
      <c r="Q10749">
        <v>2</v>
      </c>
      <c r="R10749" t="s">
        <v>47314</v>
      </c>
      <c r="S10749" t="s">
        <v>47596</v>
      </c>
      <c r="T10749" t="s">
        <v>49268</v>
      </c>
      <c r="U10749" t="s">
        <v>58399</v>
      </c>
      <c r="W10749" t="s">
        <v>46405</v>
      </c>
      <c r="X10749" t="s">
        <v>47315</v>
      </c>
    </row>
    <row r="10750" spans="1:24">
      <c r="A10750">
        <f>HYPERLINK("https://www.philgeps.gov.ph/GEPSNONPILOT/Tender/SplashBidNoticeAbstractUI.aspx?menuIndex=3&amp;refID=7182075&amp;Result=3","7182075")</f>
        <v>0</v>
      </c>
      <c r="B10750" t="s">
        <v>220</v>
      </c>
      <c r="C10750" t="s">
        <v>13999</v>
      </c>
      <c r="D10750" t="s">
        <v>19046</v>
      </c>
      <c r="E10750" t="s">
        <v>28270</v>
      </c>
      <c r="F10750" t="s">
        <v>32606</v>
      </c>
      <c r="G10750" t="s">
        <v>32613</v>
      </c>
      <c r="H10750" t="s">
        <v>32623</v>
      </c>
      <c r="I10750" t="s">
        <v>17648</v>
      </c>
      <c r="J10750" t="s">
        <v>39459</v>
      </c>
      <c r="K10750" t="s">
        <v>42675</v>
      </c>
      <c r="M10750" t="s">
        <v>43121</v>
      </c>
      <c r="N10750" t="s">
        <v>47304</v>
      </c>
      <c r="O10750" t="s">
        <v>47305</v>
      </c>
      <c r="P10750">
        <v>0</v>
      </c>
      <c r="Q10750">
        <v>0</v>
      </c>
      <c r="R10750" t="s">
        <v>47314</v>
      </c>
      <c r="S10750" t="s">
        <v>47596</v>
      </c>
      <c r="T10750" t="s">
        <v>49020</v>
      </c>
      <c r="U10750" t="s">
        <v>56141</v>
      </c>
      <c r="W10750" t="s">
        <v>43121</v>
      </c>
      <c r="X10750" t="s">
        <v>47315</v>
      </c>
    </row>
    <row r="10751" spans="1:24">
      <c r="A10751">
        <f>HYPERLINK("https://www.philgeps.gov.ph/GEPSNONPILOT/Tender/SplashBidNoticeAbstractUI.aspx?menuIndex=3&amp;refID=7182022&amp;Result=3","7182022")</f>
        <v>0</v>
      </c>
      <c r="B10751" t="s">
        <v>714</v>
      </c>
      <c r="C10751" t="s">
        <v>14000</v>
      </c>
      <c r="D10751" t="s">
        <v>18995</v>
      </c>
      <c r="E10751" t="s">
        <v>28271</v>
      </c>
      <c r="F10751" t="s">
        <v>32606</v>
      </c>
      <c r="G10751" t="s">
        <v>32613</v>
      </c>
      <c r="H10751" t="s">
        <v>32623</v>
      </c>
      <c r="I10751" t="s">
        <v>17648</v>
      </c>
      <c r="J10751" t="s">
        <v>39460</v>
      </c>
      <c r="K10751" t="s">
        <v>42682</v>
      </c>
      <c r="M10751" t="s">
        <v>43635</v>
      </c>
      <c r="N10751" t="s">
        <v>47304</v>
      </c>
      <c r="O10751" t="s">
        <v>47305</v>
      </c>
      <c r="P10751">
        <v>0</v>
      </c>
      <c r="Q10751">
        <v>7</v>
      </c>
      <c r="R10751" t="s">
        <v>47314</v>
      </c>
      <c r="S10751" t="s">
        <v>47596</v>
      </c>
      <c r="T10751" t="s">
        <v>49075</v>
      </c>
      <c r="U10751" t="s">
        <v>58400</v>
      </c>
      <c r="W10751" t="s">
        <v>43635</v>
      </c>
      <c r="X10751" t="s">
        <v>47315</v>
      </c>
    </row>
    <row r="10752" spans="1:24">
      <c r="A10752">
        <f>HYPERLINK("https://www.philgeps.gov.ph/GEPSNONPILOT/Tender/SplashBidNoticeAbstractUI.aspx?menuIndex=3&amp;refID=7182068&amp;Result=3","7182068")</f>
        <v>0</v>
      </c>
      <c r="B10752" t="s">
        <v>984</v>
      </c>
      <c r="C10752" t="s">
        <v>14001</v>
      </c>
      <c r="D10752" t="s">
        <v>19039</v>
      </c>
      <c r="E10752" t="s">
        <v>28272</v>
      </c>
      <c r="F10752" t="s">
        <v>32606</v>
      </c>
      <c r="G10752" t="s">
        <v>32613</v>
      </c>
      <c r="H10752" t="s">
        <v>32623</v>
      </c>
      <c r="I10752" t="s">
        <v>17648</v>
      </c>
      <c r="J10752" t="s">
        <v>33757</v>
      </c>
      <c r="K10752" t="s">
        <v>42648</v>
      </c>
      <c r="L10752" t="s">
        <v>984</v>
      </c>
      <c r="M10752" t="s">
        <v>43930</v>
      </c>
      <c r="N10752" t="s">
        <v>47304</v>
      </c>
      <c r="O10752" t="s">
        <v>47305</v>
      </c>
      <c r="P10752">
        <v>0</v>
      </c>
      <c r="Q10752">
        <v>5</v>
      </c>
      <c r="R10752" t="s">
        <v>47314</v>
      </c>
      <c r="S10752" t="s">
        <v>47596</v>
      </c>
      <c r="T10752" t="s">
        <v>48992</v>
      </c>
      <c r="U10752" t="s">
        <v>58401</v>
      </c>
      <c r="W10752" t="s">
        <v>43930</v>
      </c>
      <c r="X10752" t="s">
        <v>47315</v>
      </c>
    </row>
    <row r="10753" spans="1:24">
      <c r="A10753">
        <f>HYPERLINK("https://www.philgeps.gov.ph/GEPSNONPILOT/Tender/SplashBidNoticeAbstractUI.aspx?menuIndex=3&amp;refID=7182064&amp;Result=3","7182064")</f>
        <v>0</v>
      </c>
      <c r="B10753" t="s">
        <v>2742</v>
      </c>
      <c r="C10753" t="s">
        <v>14002</v>
      </c>
      <c r="D10753" t="s">
        <v>19019</v>
      </c>
      <c r="E10753" t="s">
        <v>28273</v>
      </c>
      <c r="F10753" t="s">
        <v>32606</v>
      </c>
      <c r="G10753" t="s">
        <v>32613</v>
      </c>
      <c r="H10753" t="s">
        <v>14201</v>
      </c>
      <c r="I10753" t="s">
        <v>32658</v>
      </c>
      <c r="J10753" t="s">
        <v>39308</v>
      </c>
      <c r="K10753" t="s">
        <v>42623</v>
      </c>
      <c r="M10753" t="s">
        <v>45898</v>
      </c>
      <c r="N10753" t="s">
        <v>47304</v>
      </c>
      <c r="O10753" t="s">
        <v>47305</v>
      </c>
      <c r="P10753">
        <v>0</v>
      </c>
      <c r="Q10753">
        <v>4</v>
      </c>
      <c r="R10753" t="s">
        <v>47314</v>
      </c>
      <c r="S10753" t="s">
        <v>47596</v>
      </c>
      <c r="T10753" t="s">
        <v>49129</v>
      </c>
      <c r="U10753" t="s">
        <v>58402</v>
      </c>
      <c r="W10753" t="s">
        <v>45898</v>
      </c>
      <c r="X10753" t="s">
        <v>47315</v>
      </c>
    </row>
    <row r="10754" spans="1:24">
      <c r="A10754">
        <f>HYPERLINK("https://www.philgeps.gov.ph/GEPSNONPILOT/Tender/SplashBidNoticeAbstractUI.aspx?menuIndex=3&amp;refID=7182063&amp;Result=3","7182063")</f>
        <v>0</v>
      </c>
      <c r="B10754" t="s">
        <v>431</v>
      </c>
      <c r="C10754" t="s">
        <v>14003</v>
      </c>
      <c r="D10754" t="s">
        <v>19001</v>
      </c>
      <c r="E10754" t="s">
        <v>21358</v>
      </c>
      <c r="F10754" t="s">
        <v>32606</v>
      </c>
      <c r="G10754" t="s">
        <v>32613</v>
      </c>
      <c r="H10754" t="s">
        <v>32623</v>
      </c>
      <c r="I10754" t="s">
        <v>17648</v>
      </c>
      <c r="J10754" t="s">
        <v>39461</v>
      </c>
      <c r="K10754" t="s">
        <v>42788</v>
      </c>
      <c r="M10754" t="s">
        <v>43337</v>
      </c>
      <c r="N10754" t="s">
        <v>47304</v>
      </c>
      <c r="O10754" t="s">
        <v>47305</v>
      </c>
      <c r="P10754">
        <v>0</v>
      </c>
      <c r="Q10754">
        <v>2</v>
      </c>
      <c r="R10754" t="s">
        <v>47314</v>
      </c>
      <c r="S10754" t="s">
        <v>47596</v>
      </c>
      <c r="T10754" t="s">
        <v>49075</v>
      </c>
      <c r="U10754" t="s">
        <v>58403</v>
      </c>
      <c r="W10754" t="s">
        <v>43337</v>
      </c>
      <c r="X10754" t="s">
        <v>47315</v>
      </c>
    </row>
    <row r="10755" spans="1:24">
      <c r="A10755">
        <f>HYPERLINK("https://www.philgeps.gov.ph/GEPSNONPILOT/Tender/SplashBidNoticeAbstractUI.aspx?menuIndex=3&amp;refID=7182052&amp;Result=3","7182052")</f>
        <v>0</v>
      </c>
      <c r="B10755" t="s">
        <v>1506</v>
      </c>
      <c r="C10755" t="s">
        <v>14004</v>
      </c>
      <c r="D10755" t="s">
        <v>19063</v>
      </c>
      <c r="E10755" t="s">
        <v>20898</v>
      </c>
      <c r="F10755" t="s">
        <v>32606</v>
      </c>
      <c r="G10755" t="s">
        <v>32613</v>
      </c>
      <c r="H10755" t="s">
        <v>14201</v>
      </c>
      <c r="I10755" t="s">
        <v>32650</v>
      </c>
      <c r="J10755" t="s">
        <v>33994</v>
      </c>
      <c r="K10755" t="s">
        <v>42639</v>
      </c>
      <c r="M10755" t="s">
        <v>44504</v>
      </c>
      <c r="N10755" t="s">
        <v>47304</v>
      </c>
      <c r="O10755" t="s">
        <v>47305</v>
      </c>
      <c r="P10755">
        <v>0</v>
      </c>
      <c r="Q10755">
        <v>3</v>
      </c>
      <c r="R10755" t="s">
        <v>47314</v>
      </c>
      <c r="S10755" t="s">
        <v>47596</v>
      </c>
      <c r="T10755" t="s">
        <v>49170</v>
      </c>
      <c r="U10755" t="s">
        <v>58404</v>
      </c>
      <c r="W10755" t="s">
        <v>44504</v>
      </c>
      <c r="X10755" t="s">
        <v>47315</v>
      </c>
    </row>
    <row r="10756" spans="1:24">
      <c r="A10756">
        <f>HYPERLINK("https://www.philgeps.gov.ph/GEPSNONPILOT/Tender/SplashBidNoticeAbstractUI.aspx?menuIndex=3&amp;refID=7182081&amp;Result=3","7182081")</f>
        <v>0</v>
      </c>
      <c r="B10756" t="s">
        <v>3172</v>
      </c>
      <c r="C10756" t="s">
        <v>14005</v>
      </c>
      <c r="D10756" t="s">
        <v>19056</v>
      </c>
      <c r="E10756" t="s">
        <v>14005</v>
      </c>
      <c r="F10756" t="s">
        <v>32606</v>
      </c>
      <c r="G10756" t="s">
        <v>32613</v>
      </c>
      <c r="H10756" t="s">
        <v>32623</v>
      </c>
      <c r="I10756" t="s">
        <v>17648</v>
      </c>
      <c r="J10756" t="s">
        <v>39462</v>
      </c>
      <c r="K10756" t="s">
        <v>42676</v>
      </c>
      <c r="M10756" t="s">
        <v>46393</v>
      </c>
      <c r="N10756" t="s">
        <v>47304</v>
      </c>
      <c r="O10756" t="s">
        <v>47305</v>
      </c>
      <c r="P10756">
        <v>0</v>
      </c>
      <c r="Q10756">
        <v>2</v>
      </c>
      <c r="R10756" t="s">
        <v>47314</v>
      </c>
      <c r="S10756" t="s">
        <v>47596</v>
      </c>
      <c r="T10756" t="s">
        <v>49075</v>
      </c>
      <c r="U10756" t="s">
        <v>58405</v>
      </c>
      <c r="W10756" t="s">
        <v>46393</v>
      </c>
      <c r="X10756" t="s">
        <v>47315</v>
      </c>
    </row>
    <row r="10757" spans="1:24">
      <c r="A10757">
        <f>HYPERLINK("https://www.philgeps.gov.ph/GEPSNONPILOT/Tender/SplashBidNoticeAbstractUI.aspx?menuIndex=3&amp;refID=7182128&amp;Result=3","7182128")</f>
        <v>0</v>
      </c>
      <c r="B10757" t="s">
        <v>3130</v>
      </c>
      <c r="C10757" t="s">
        <v>14006</v>
      </c>
      <c r="D10757" t="s">
        <v>19056</v>
      </c>
      <c r="E10757" t="s">
        <v>19554</v>
      </c>
      <c r="F10757" t="s">
        <v>32606</v>
      </c>
      <c r="G10757" t="s">
        <v>32613</v>
      </c>
      <c r="H10757" t="s">
        <v>32623</v>
      </c>
      <c r="I10757" t="s">
        <v>17648</v>
      </c>
      <c r="J10757" t="s">
        <v>34246</v>
      </c>
      <c r="K10757" t="s">
        <v>42712</v>
      </c>
      <c r="M10757" t="s">
        <v>46342</v>
      </c>
      <c r="N10757" t="s">
        <v>47304</v>
      </c>
      <c r="O10757" t="s">
        <v>47305</v>
      </c>
      <c r="P10757">
        <v>0</v>
      </c>
      <c r="Q10757">
        <v>2</v>
      </c>
      <c r="R10757" t="s">
        <v>47314</v>
      </c>
      <c r="S10757" t="s">
        <v>47596</v>
      </c>
      <c r="T10757" t="s">
        <v>49075</v>
      </c>
      <c r="U10757" t="s">
        <v>58406</v>
      </c>
      <c r="W10757" t="s">
        <v>46342</v>
      </c>
      <c r="X10757" t="s">
        <v>47315</v>
      </c>
    </row>
    <row r="10758" spans="1:24">
      <c r="A10758">
        <f>HYPERLINK("https://www.philgeps.gov.ph/GEPSNONPILOT/Tender/SplashBidNoticeAbstractUI.aspx?menuIndex=3&amp;refID=7182121&amp;Result=3","7182121")</f>
        <v>0</v>
      </c>
      <c r="B10758" t="s">
        <v>3172</v>
      </c>
      <c r="C10758" t="s">
        <v>14007</v>
      </c>
      <c r="D10758" t="s">
        <v>19056</v>
      </c>
      <c r="E10758" t="s">
        <v>28274</v>
      </c>
      <c r="F10758" t="s">
        <v>32606</v>
      </c>
      <c r="G10758" t="s">
        <v>32613</v>
      </c>
      <c r="H10758" t="s">
        <v>32623</v>
      </c>
      <c r="I10758" t="s">
        <v>17648</v>
      </c>
      <c r="J10758" t="s">
        <v>39463</v>
      </c>
      <c r="K10758" t="s">
        <v>42682</v>
      </c>
      <c r="M10758" t="s">
        <v>46393</v>
      </c>
      <c r="N10758" t="s">
        <v>47304</v>
      </c>
      <c r="O10758" t="s">
        <v>47305</v>
      </c>
      <c r="P10758">
        <v>0</v>
      </c>
      <c r="Q10758">
        <v>2</v>
      </c>
      <c r="R10758" t="s">
        <v>47314</v>
      </c>
      <c r="S10758" t="s">
        <v>47596</v>
      </c>
      <c r="T10758" t="s">
        <v>49075</v>
      </c>
      <c r="U10758" t="s">
        <v>58407</v>
      </c>
      <c r="W10758" t="s">
        <v>46393</v>
      </c>
      <c r="X10758" t="s">
        <v>47315</v>
      </c>
    </row>
    <row r="10759" spans="1:24">
      <c r="A10759">
        <f>HYPERLINK("https://www.philgeps.gov.ph/GEPSNONPILOT/Tender/SplashBidNoticeAbstractUI.aspx?menuIndex=3&amp;refID=7182119&amp;Result=3","7182119")</f>
        <v>0</v>
      </c>
      <c r="B10759" t="s">
        <v>203</v>
      </c>
      <c r="C10759" t="s">
        <v>13646</v>
      </c>
      <c r="D10759" t="s">
        <v>19003</v>
      </c>
      <c r="E10759" t="s">
        <v>28275</v>
      </c>
      <c r="F10759" t="s">
        <v>32606</v>
      </c>
      <c r="G10759" t="s">
        <v>32613</v>
      </c>
      <c r="H10759" t="s">
        <v>14201</v>
      </c>
      <c r="I10759" t="s">
        <v>7064</v>
      </c>
      <c r="J10759" t="s">
        <v>32795</v>
      </c>
      <c r="K10759" t="s">
        <v>42622</v>
      </c>
      <c r="M10759" t="s">
        <v>43104</v>
      </c>
      <c r="N10759" t="s">
        <v>47304</v>
      </c>
      <c r="O10759" t="s">
        <v>47305</v>
      </c>
      <c r="P10759">
        <v>0</v>
      </c>
      <c r="Q10759">
        <v>10</v>
      </c>
      <c r="R10759" t="s">
        <v>47314</v>
      </c>
      <c r="S10759" t="s">
        <v>47596</v>
      </c>
      <c r="T10759" t="s">
        <v>49272</v>
      </c>
      <c r="U10759" t="s">
        <v>58408</v>
      </c>
      <c r="W10759" t="s">
        <v>43104</v>
      </c>
      <c r="X10759" t="s">
        <v>47315</v>
      </c>
    </row>
    <row r="10760" spans="1:24">
      <c r="A10760">
        <f>HYPERLINK("https://www.philgeps.gov.ph/GEPSNONPILOT/Tender/SplashBidNoticeAbstractUI.aspx?menuIndex=3&amp;refID=7182118&amp;Result=3","7182118")</f>
        <v>0</v>
      </c>
      <c r="B10760" t="s">
        <v>3182</v>
      </c>
      <c r="C10760" t="s">
        <v>14008</v>
      </c>
      <c r="D10760" t="s">
        <v>19024</v>
      </c>
      <c r="E10760" t="s">
        <v>28276</v>
      </c>
      <c r="F10760" t="s">
        <v>32606</v>
      </c>
      <c r="G10760" t="s">
        <v>32613</v>
      </c>
      <c r="H10760" t="s">
        <v>14201</v>
      </c>
      <c r="I10760" t="s">
        <v>7677</v>
      </c>
      <c r="J10760" t="s">
        <v>39464</v>
      </c>
      <c r="K10760" t="s">
        <v>42624</v>
      </c>
      <c r="M10760" t="s">
        <v>46406</v>
      </c>
      <c r="N10760" t="s">
        <v>47304</v>
      </c>
      <c r="O10760" t="s">
        <v>47305</v>
      </c>
      <c r="P10760">
        <v>0</v>
      </c>
      <c r="Q10760">
        <v>8</v>
      </c>
      <c r="R10760" t="s">
        <v>47314</v>
      </c>
      <c r="S10760" t="s">
        <v>47596</v>
      </c>
      <c r="T10760" t="s">
        <v>49157</v>
      </c>
      <c r="U10760" t="s">
        <v>58409</v>
      </c>
      <c r="V10760" t="s">
        <v>63790</v>
      </c>
      <c r="W10760" t="s">
        <v>46406</v>
      </c>
      <c r="X10760" t="s">
        <v>47315</v>
      </c>
    </row>
    <row r="10761" spans="1:24">
      <c r="A10761">
        <f>HYPERLINK("https://www.philgeps.gov.ph/GEPSNONPILOT/Tender/SplashBidNoticeAbstractUI.aspx?menuIndex=3&amp;refID=7182074&amp;Result=3","7182074")</f>
        <v>0</v>
      </c>
      <c r="B10761" t="s">
        <v>2793</v>
      </c>
      <c r="C10761" t="s">
        <v>14009</v>
      </c>
      <c r="D10761" t="s">
        <v>18999</v>
      </c>
      <c r="E10761" t="s">
        <v>28277</v>
      </c>
      <c r="F10761" t="s">
        <v>32606</v>
      </c>
      <c r="G10761" t="s">
        <v>32615</v>
      </c>
      <c r="H10761" t="s">
        <v>14201</v>
      </c>
      <c r="I10761" t="s">
        <v>6478</v>
      </c>
      <c r="J10761" t="s">
        <v>39465</v>
      </c>
      <c r="K10761" t="s">
        <v>42636</v>
      </c>
      <c r="M10761" t="s">
        <v>45955</v>
      </c>
      <c r="N10761" t="s">
        <v>47304</v>
      </c>
      <c r="O10761" t="s">
        <v>47305</v>
      </c>
      <c r="P10761">
        <v>0</v>
      </c>
      <c r="Q10761">
        <v>4</v>
      </c>
      <c r="R10761" t="s">
        <v>47314</v>
      </c>
      <c r="S10761" t="s">
        <v>47596</v>
      </c>
      <c r="T10761" t="s">
        <v>49053</v>
      </c>
      <c r="U10761" t="s">
        <v>58410</v>
      </c>
      <c r="V10761" t="s">
        <v>63791</v>
      </c>
      <c r="W10761" t="s">
        <v>45955</v>
      </c>
      <c r="X10761" t="s">
        <v>47315</v>
      </c>
    </row>
    <row r="10762" spans="1:24">
      <c r="A10762">
        <f>HYPERLINK("https://www.philgeps.gov.ph/GEPSNONPILOT/Tender/SplashBidNoticeAbstractUI.aspx?menuIndex=3&amp;refID=7182113&amp;Result=3","7182113")</f>
        <v>0</v>
      </c>
      <c r="B10762" t="s">
        <v>2119</v>
      </c>
      <c r="C10762" t="s">
        <v>14010</v>
      </c>
      <c r="D10762" t="s">
        <v>18993</v>
      </c>
      <c r="E10762" t="s">
        <v>28278</v>
      </c>
      <c r="F10762" t="s">
        <v>32607</v>
      </c>
      <c r="G10762" t="s">
        <v>32613</v>
      </c>
      <c r="H10762" t="s">
        <v>14201</v>
      </c>
      <c r="I10762" t="s">
        <v>4114</v>
      </c>
      <c r="J10762" t="s">
        <v>39466</v>
      </c>
      <c r="K10762" t="s">
        <v>42631</v>
      </c>
      <c r="M10762" t="s">
        <v>45206</v>
      </c>
      <c r="N10762" t="s">
        <v>47304</v>
      </c>
      <c r="O10762" t="s">
        <v>47305</v>
      </c>
      <c r="P10762">
        <v>0</v>
      </c>
      <c r="Q10762">
        <v>1</v>
      </c>
      <c r="R10762" t="s">
        <v>47314</v>
      </c>
      <c r="S10762" t="s">
        <v>47596</v>
      </c>
      <c r="T10762" t="s">
        <v>48971</v>
      </c>
      <c r="U10762" t="s">
        <v>58411</v>
      </c>
      <c r="V10762" t="s">
        <v>63251</v>
      </c>
      <c r="W10762" t="s">
        <v>45206</v>
      </c>
      <c r="X10762" t="s">
        <v>47315</v>
      </c>
    </row>
    <row r="10763" spans="1:24">
      <c r="A10763">
        <f>HYPERLINK("https://www.philgeps.gov.ph/GEPSNONPILOT/Tender/SplashBidNoticeAbstractUI.aspx?menuIndex=3&amp;refID=7182103&amp;Result=3","7182103")</f>
        <v>0</v>
      </c>
      <c r="B10763" t="s">
        <v>318</v>
      </c>
      <c r="C10763" t="s">
        <v>14011</v>
      </c>
      <c r="D10763" t="s">
        <v>19025</v>
      </c>
      <c r="E10763" t="s">
        <v>28279</v>
      </c>
      <c r="F10763" t="s">
        <v>32606</v>
      </c>
      <c r="G10763" t="s">
        <v>32614</v>
      </c>
      <c r="H10763" t="s">
        <v>14201</v>
      </c>
      <c r="I10763" t="s">
        <v>4678</v>
      </c>
      <c r="J10763" t="s">
        <v>32789</v>
      </c>
      <c r="K10763" t="s">
        <v>42624</v>
      </c>
      <c r="M10763" t="s">
        <v>43220</v>
      </c>
      <c r="N10763" t="s">
        <v>47304</v>
      </c>
      <c r="O10763" t="s">
        <v>47305</v>
      </c>
      <c r="P10763">
        <v>0</v>
      </c>
      <c r="Q10763">
        <v>1</v>
      </c>
      <c r="R10763" t="s">
        <v>47314</v>
      </c>
      <c r="S10763" t="s">
        <v>47596</v>
      </c>
      <c r="T10763" t="s">
        <v>49020</v>
      </c>
      <c r="U10763" t="s">
        <v>58412</v>
      </c>
      <c r="W10763" t="s">
        <v>43220</v>
      </c>
      <c r="X10763" t="s">
        <v>47315</v>
      </c>
    </row>
    <row r="10764" spans="1:24">
      <c r="A10764">
        <f>HYPERLINK("https://www.philgeps.gov.ph/GEPSNONPILOT/Tender/SplashBidNoticeAbstractUI.aspx?menuIndex=3&amp;refID=7182093&amp;Result=3","7182093")</f>
        <v>0</v>
      </c>
      <c r="B10764" t="s">
        <v>2730</v>
      </c>
      <c r="C10764" t="s">
        <v>14012</v>
      </c>
      <c r="D10764" t="s">
        <v>19040</v>
      </c>
      <c r="E10764" t="s">
        <v>28280</v>
      </c>
      <c r="F10764" t="s">
        <v>32606</v>
      </c>
      <c r="G10764" t="s">
        <v>32613</v>
      </c>
      <c r="H10764" t="s">
        <v>14201</v>
      </c>
      <c r="I10764" t="s">
        <v>4678</v>
      </c>
      <c r="J10764" t="s">
        <v>32778</v>
      </c>
      <c r="K10764" t="s">
        <v>42624</v>
      </c>
      <c r="M10764" t="s">
        <v>45886</v>
      </c>
      <c r="N10764" t="s">
        <v>47304</v>
      </c>
      <c r="O10764" t="s">
        <v>47305</v>
      </c>
      <c r="P10764">
        <v>0</v>
      </c>
      <c r="Q10764">
        <v>4</v>
      </c>
      <c r="R10764" t="s">
        <v>47314</v>
      </c>
      <c r="S10764" t="s">
        <v>47596</v>
      </c>
      <c r="T10764" t="s">
        <v>49071</v>
      </c>
      <c r="U10764" t="s">
        <v>58413</v>
      </c>
      <c r="V10764" t="s">
        <v>63792</v>
      </c>
      <c r="W10764" t="s">
        <v>45886</v>
      </c>
      <c r="X10764" t="s">
        <v>47315</v>
      </c>
    </row>
    <row r="10765" spans="1:24">
      <c r="A10765">
        <f>HYPERLINK("https://www.philgeps.gov.ph/GEPSNONPILOT/Tender/SplashBidNoticeAbstractUI.aspx?menuIndex=3&amp;refID=7182089&amp;Result=3","7182089")</f>
        <v>0</v>
      </c>
      <c r="B10765" t="s">
        <v>1450</v>
      </c>
      <c r="C10765" t="s">
        <v>14013</v>
      </c>
      <c r="D10765" t="s">
        <v>19002</v>
      </c>
      <c r="E10765" t="s">
        <v>19337</v>
      </c>
      <c r="F10765" t="s">
        <v>32606</v>
      </c>
      <c r="G10765" t="s">
        <v>32613</v>
      </c>
      <c r="H10765" t="s">
        <v>32623</v>
      </c>
      <c r="I10765" t="s">
        <v>17648</v>
      </c>
      <c r="J10765" t="s">
        <v>32795</v>
      </c>
      <c r="K10765" t="s">
        <v>42648</v>
      </c>
      <c r="M10765" t="s">
        <v>44441</v>
      </c>
      <c r="N10765" t="s">
        <v>47304</v>
      </c>
      <c r="O10765" t="s">
        <v>47305</v>
      </c>
      <c r="P10765">
        <v>0</v>
      </c>
      <c r="Q10765">
        <v>0</v>
      </c>
      <c r="R10765" t="s">
        <v>47314</v>
      </c>
      <c r="S10765" t="s">
        <v>47596</v>
      </c>
      <c r="T10765" t="s">
        <v>49057</v>
      </c>
      <c r="U10765" t="s">
        <v>58414</v>
      </c>
      <c r="W10765" t="s">
        <v>44441</v>
      </c>
      <c r="X10765" t="s">
        <v>47315</v>
      </c>
    </row>
    <row r="10766" spans="1:24">
      <c r="A10766">
        <f>HYPERLINK("https://www.philgeps.gov.ph/GEPSNONPILOT/Tender/SplashBidNoticeAbstractUI.aspx?menuIndex=3&amp;refID=7182172&amp;Result=3","7182172")</f>
        <v>0</v>
      </c>
      <c r="B10766" t="s">
        <v>203</v>
      </c>
      <c r="C10766" t="s">
        <v>14014</v>
      </c>
      <c r="D10766" t="s">
        <v>19003</v>
      </c>
      <c r="E10766" t="s">
        <v>28275</v>
      </c>
      <c r="F10766" t="s">
        <v>32606</v>
      </c>
      <c r="G10766" t="s">
        <v>32613</v>
      </c>
      <c r="H10766" t="s">
        <v>32623</v>
      </c>
      <c r="I10766" t="s">
        <v>17648</v>
      </c>
      <c r="J10766" t="s">
        <v>39467</v>
      </c>
      <c r="K10766" t="s">
        <v>42622</v>
      </c>
      <c r="M10766" t="s">
        <v>43104</v>
      </c>
      <c r="N10766" t="s">
        <v>47304</v>
      </c>
      <c r="O10766" t="s">
        <v>47305</v>
      </c>
      <c r="P10766">
        <v>0</v>
      </c>
      <c r="Q10766">
        <v>2</v>
      </c>
      <c r="R10766" t="s">
        <v>47314</v>
      </c>
      <c r="S10766" t="s">
        <v>47596</v>
      </c>
      <c r="T10766" t="s">
        <v>49064</v>
      </c>
      <c r="U10766" t="s">
        <v>58415</v>
      </c>
      <c r="W10766" t="s">
        <v>43104</v>
      </c>
      <c r="X10766" t="s">
        <v>47315</v>
      </c>
    </row>
    <row r="10767" spans="1:24">
      <c r="A10767">
        <f>HYPERLINK("https://www.philgeps.gov.ph/GEPSNONPILOT/Tender/SplashBidNoticeAbstractUI.aspx?menuIndex=3&amp;refID=7182167&amp;Result=3","7182167")</f>
        <v>0</v>
      </c>
      <c r="B10767" t="s">
        <v>3183</v>
      </c>
      <c r="C10767" t="s">
        <v>14015</v>
      </c>
      <c r="D10767" t="s">
        <v>19039</v>
      </c>
      <c r="E10767" t="s">
        <v>28281</v>
      </c>
      <c r="F10767" t="s">
        <v>32606</v>
      </c>
      <c r="G10767" t="s">
        <v>32613</v>
      </c>
      <c r="H10767" t="s">
        <v>14201</v>
      </c>
      <c r="I10767" t="s">
        <v>4114</v>
      </c>
      <c r="J10767" t="s">
        <v>39468</v>
      </c>
      <c r="K10767" t="s">
        <v>42631</v>
      </c>
      <c r="M10767" t="s">
        <v>46407</v>
      </c>
      <c r="N10767" t="s">
        <v>47304</v>
      </c>
      <c r="O10767" t="s">
        <v>47305</v>
      </c>
      <c r="P10767">
        <v>0</v>
      </c>
      <c r="Q10767">
        <v>5</v>
      </c>
      <c r="R10767" t="s">
        <v>47314</v>
      </c>
      <c r="S10767" t="s">
        <v>47596</v>
      </c>
      <c r="T10767" t="s">
        <v>49099</v>
      </c>
      <c r="U10767" t="s">
        <v>58416</v>
      </c>
      <c r="V10767" t="s">
        <v>63793</v>
      </c>
      <c r="W10767" t="s">
        <v>46407</v>
      </c>
      <c r="X10767" t="s">
        <v>47315</v>
      </c>
    </row>
    <row r="10768" spans="1:24">
      <c r="A10768">
        <f>HYPERLINK("https://www.philgeps.gov.ph/GEPSNONPILOT/Tender/SplashBidNoticeAbstractUI.aspx?menuIndex=3&amp;refID=7182166&amp;Result=3","7182166")</f>
        <v>0</v>
      </c>
      <c r="B10768" t="s">
        <v>2742</v>
      </c>
      <c r="C10768" t="s">
        <v>14016</v>
      </c>
      <c r="D10768" t="s">
        <v>19019</v>
      </c>
      <c r="E10768" t="s">
        <v>28282</v>
      </c>
      <c r="F10768" t="s">
        <v>32606</v>
      </c>
      <c r="G10768" t="s">
        <v>32613</v>
      </c>
      <c r="H10768" t="s">
        <v>14201</v>
      </c>
      <c r="I10768" t="s">
        <v>32680</v>
      </c>
      <c r="J10768" t="s">
        <v>39469</v>
      </c>
      <c r="K10768" t="s">
        <v>42623</v>
      </c>
      <c r="M10768" t="s">
        <v>45898</v>
      </c>
      <c r="N10768" t="s">
        <v>47304</v>
      </c>
      <c r="O10768" t="s">
        <v>47305</v>
      </c>
      <c r="P10768">
        <v>0</v>
      </c>
      <c r="Q10768">
        <v>0</v>
      </c>
      <c r="R10768" t="s">
        <v>47314</v>
      </c>
      <c r="S10768" t="s">
        <v>47596</v>
      </c>
      <c r="T10768" t="s">
        <v>49040</v>
      </c>
      <c r="U10768" t="s">
        <v>58417</v>
      </c>
      <c r="W10768" t="s">
        <v>45898</v>
      </c>
      <c r="X10768" t="s">
        <v>47315</v>
      </c>
    </row>
    <row r="10769" spans="1:24">
      <c r="A10769">
        <f>HYPERLINK("https://www.philgeps.gov.ph/GEPSNONPILOT/Tender/SplashBidNoticeAbstractUI.aspx?menuIndex=3&amp;refID=7182024&amp;Result=3","7182024")</f>
        <v>0</v>
      </c>
      <c r="B10769" t="s">
        <v>3184</v>
      </c>
      <c r="C10769" t="s">
        <v>14017</v>
      </c>
      <c r="D10769" t="s">
        <v>19011</v>
      </c>
      <c r="E10769" t="s">
        <v>20846</v>
      </c>
      <c r="F10769" t="s">
        <v>32607</v>
      </c>
      <c r="G10769" t="s">
        <v>32613</v>
      </c>
      <c r="H10769" t="s">
        <v>14201</v>
      </c>
      <c r="I10769" t="s">
        <v>6298</v>
      </c>
      <c r="J10769" t="s">
        <v>39470</v>
      </c>
      <c r="K10769" t="s">
        <v>42624</v>
      </c>
      <c r="M10769" t="s">
        <v>46408</v>
      </c>
      <c r="N10769" t="s">
        <v>47304</v>
      </c>
      <c r="O10769" t="s">
        <v>47305</v>
      </c>
      <c r="P10769">
        <v>0</v>
      </c>
      <c r="Q10769">
        <v>0</v>
      </c>
      <c r="R10769" t="s">
        <v>47314</v>
      </c>
      <c r="S10769" t="s">
        <v>47596</v>
      </c>
      <c r="T10769" t="s">
        <v>49099</v>
      </c>
      <c r="U10769" t="s">
        <v>58418</v>
      </c>
      <c r="W10769" t="s">
        <v>46408</v>
      </c>
      <c r="X10769" t="s">
        <v>47315</v>
      </c>
    </row>
    <row r="10770" spans="1:24">
      <c r="A10770">
        <f>HYPERLINK("https://www.philgeps.gov.ph/GEPSNONPILOT/Tender/SplashBidNoticeAbstractUI.aspx?menuIndex=3&amp;refID=7182157&amp;Result=3","7182157")</f>
        <v>0</v>
      </c>
      <c r="B10770" t="s">
        <v>984</v>
      </c>
      <c r="C10770" t="s">
        <v>14018</v>
      </c>
      <c r="D10770" t="s">
        <v>19039</v>
      </c>
      <c r="E10770" t="s">
        <v>28283</v>
      </c>
      <c r="F10770" t="s">
        <v>32606</v>
      </c>
      <c r="G10770" t="s">
        <v>32613</v>
      </c>
      <c r="H10770" t="s">
        <v>32623</v>
      </c>
      <c r="I10770" t="s">
        <v>6931</v>
      </c>
      <c r="J10770" t="s">
        <v>39471</v>
      </c>
      <c r="K10770" t="s">
        <v>42646</v>
      </c>
      <c r="L10770" t="s">
        <v>984</v>
      </c>
      <c r="M10770" t="s">
        <v>43930</v>
      </c>
      <c r="N10770" t="s">
        <v>47304</v>
      </c>
      <c r="O10770" t="s">
        <v>47305</v>
      </c>
      <c r="P10770">
        <v>0</v>
      </c>
      <c r="Q10770">
        <v>6</v>
      </c>
      <c r="R10770" t="s">
        <v>47314</v>
      </c>
      <c r="S10770" t="s">
        <v>47596</v>
      </c>
      <c r="T10770" t="s">
        <v>48992</v>
      </c>
      <c r="U10770" t="s">
        <v>58419</v>
      </c>
      <c r="W10770" t="s">
        <v>43930</v>
      </c>
      <c r="X10770" t="s">
        <v>47315</v>
      </c>
    </row>
    <row r="10771" spans="1:24">
      <c r="A10771">
        <f>HYPERLINK("https://www.philgeps.gov.ph/GEPSNONPILOT/Tender/SplashBidNoticeAbstractUI.aspx?menuIndex=3&amp;refID=7182153&amp;Result=3","7182153")</f>
        <v>0</v>
      </c>
      <c r="B10771" t="s">
        <v>3133</v>
      </c>
      <c r="C10771" t="s">
        <v>14019</v>
      </c>
      <c r="D10771" t="s">
        <v>19035</v>
      </c>
      <c r="E10771" t="s">
        <v>28284</v>
      </c>
      <c r="F10771" t="s">
        <v>32606</v>
      </c>
      <c r="G10771" t="s">
        <v>32613</v>
      </c>
      <c r="H10771" t="s">
        <v>32623</v>
      </c>
      <c r="I10771" t="s">
        <v>17648</v>
      </c>
      <c r="J10771" t="s">
        <v>32795</v>
      </c>
      <c r="K10771" t="s">
        <v>42849</v>
      </c>
      <c r="M10771" t="s">
        <v>46345</v>
      </c>
      <c r="N10771" t="s">
        <v>47304</v>
      </c>
      <c r="O10771" t="s">
        <v>47305</v>
      </c>
      <c r="P10771">
        <v>0</v>
      </c>
      <c r="Q10771">
        <v>0</v>
      </c>
      <c r="R10771" t="s">
        <v>47314</v>
      </c>
      <c r="S10771" t="s">
        <v>47596</v>
      </c>
      <c r="T10771" t="s">
        <v>49075</v>
      </c>
      <c r="U10771" t="s">
        <v>58420</v>
      </c>
      <c r="W10771" t="s">
        <v>46345</v>
      </c>
      <c r="X10771" t="s">
        <v>47315</v>
      </c>
    </row>
    <row r="10772" spans="1:24">
      <c r="A10772">
        <f>HYPERLINK("https://www.philgeps.gov.ph/GEPSNONPILOT/Tender/SplashBidNoticeAbstractUI.aspx?menuIndex=3&amp;refID=7182143&amp;Result=3","7182143")</f>
        <v>0</v>
      </c>
      <c r="B10772" t="s">
        <v>203</v>
      </c>
      <c r="C10772" t="s">
        <v>14020</v>
      </c>
      <c r="D10772" t="s">
        <v>19003</v>
      </c>
      <c r="E10772" t="s">
        <v>28275</v>
      </c>
      <c r="F10772" t="s">
        <v>32606</v>
      </c>
      <c r="G10772" t="s">
        <v>32613</v>
      </c>
      <c r="H10772" t="s">
        <v>14201</v>
      </c>
      <c r="I10772" t="s">
        <v>32673</v>
      </c>
      <c r="J10772" t="s">
        <v>33980</v>
      </c>
      <c r="K10772" t="s">
        <v>42622</v>
      </c>
      <c r="M10772" t="s">
        <v>43104</v>
      </c>
      <c r="N10772" t="s">
        <v>47304</v>
      </c>
      <c r="O10772" t="s">
        <v>47305</v>
      </c>
      <c r="P10772">
        <v>0</v>
      </c>
      <c r="Q10772">
        <v>6</v>
      </c>
      <c r="R10772" t="s">
        <v>47314</v>
      </c>
      <c r="S10772" t="s">
        <v>47596</v>
      </c>
      <c r="T10772" t="s">
        <v>49064</v>
      </c>
      <c r="U10772" t="s">
        <v>58421</v>
      </c>
      <c r="W10772" t="s">
        <v>43104</v>
      </c>
      <c r="X10772" t="s">
        <v>47315</v>
      </c>
    </row>
    <row r="10773" spans="1:24">
      <c r="A10773">
        <f>HYPERLINK("https://www.philgeps.gov.ph/GEPSNONPILOT/Tender/SplashBidNoticeAbstractUI.aspx?menuIndex=3&amp;refID=7182141&amp;Result=3","7182141")</f>
        <v>0</v>
      </c>
      <c r="B10773" t="s">
        <v>3185</v>
      </c>
      <c r="C10773" t="s">
        <v>14021</v>
      </c>
      <c r="D10773" t="s">
        <v>19004</v>
      </c>
      <c r="E10773" t="s">
        <v>20667</v>
      </c>
      <c r="F10773" t="s">
        <v>32606</v>
      </c>
      <c r="G10773" t="s">
        <v>32613</v>
      </c>
      <c r="H10773" t="s">
        <v>14201</v>
      </c>
      <c r="I10773" t="s">
        <v>32658</v>
      </c>
      <c r="J10773" t="s">
        <v>32759</v>
      </c>
      <c r="K10773" t="s">
        <v>42623</v>
      </c>
      <c r="M10773" t="s">
        <v>46409</v>
      </c>
      <c r="N10773" t="s">
        <v>47304</v>
      </c>
      <c r="O10773" t="s">
        <v>47305</v>
      </c>
      <c r="P10773">
        <v>0</v>
      </c>
      <c r="Q10773">
        <v>4</v>
      </c>
      <c r="R10773" t="s">
        <v>47314</v>
      </c>
      <c r="S10773" t="s">
        <v>47596</v>
      </c>
      <c r="T10773" t="s">
        <v>49196</v>
      </c>
      <c r="U10773" t="s">
        <v>58422</v>
      </c>
      <c r="W10773" t="s">
        <v>46409</v>
      </c>
      <c r="X10773" t="s">
        <v>47315</v>
      </c>
    </row>
    <row r="10774" spans="1:24">
      <c r="A10774">
        <f>HYPERLINK("https://www.philgeps.gov.ph/GEPSNONPILOT/Tender/SplashBidNoticeAbstractUI.aspx?menuIndex=3&amp;refID=7182132&amp;Result=3","7182132")</f>
        <v>0</v>
      </c>
      <c r="B10774" t="s">
        <v>1450</v>
      </c>
      <c r="C10774" t="s">
        <v>14022</v>
      </c>
      <c r="D10774" t="s">
        <v>19002</v>
      </c>
      <c r="E10774" t="s">
        <v>23278</v>
      </c>
      <c r="F10774" t="s">
        <v>32606</v>
      </c>
      <c r="G10774" t="s">
        <v>32613</v>
      </c>
      <c r="H10774" t="s">
        <v>32623</v>
      </c>
      <c r="I10774" t="s">
        <v>17648</v>
      </c>
      <c r="J10774" t="s">
        <v>33231</v>
      </c>
      <c r="K10774" t="s">
        <v>42676</v>
      </c>
      <c r="M10774" t="s">
        <v>44441</v>
      </c>
      <c r="N10774" t="s">
        <v>47304</v>
      </c>
      <c r="O10774" t="s">
        <v>47305</v>
      </c>
      <c r="P10774">
        <v>0</v>
      </c>
      <c r="Q10774">
        <v>1</v>
      </c>
      <c r="R10774" t="s">
        <v>47314</v>
      </c>
      <c r="S10774" t="s">
        <v>47596</v>
      </c>
      <c r="T10774" t="s">
        <v>49057</v>
      </c>
      <c r="U10774" t="s">
        <v>58423</v>
      </c>
      <c r="W10774" t="s">
        <v>44441</v>
      </c>
      <c r="X10774" t="s">
        <v>47315</v>
      </c>
    </row>
    <row r="10775" spans="1:24">
      <c r="A10775">
        <f>HYPERLINK("https://www.philgeps.gov.ph/GEPSNONPILOT/Tender/SplashBidNoticeAbstractUI.aspx?menuIndex=3&amp;refID=7182174&amp;Result=3","7182174")</f>
        <v>0</v>
      </c>
      <c r="B10775" t="s">
        <v>3130</v>
      </c>
      <c r="C10775" t="s">
        <v>14023</v>
      </c>
      <c r="D10775" t="s">
        <v>19056</v>
      </c>
      <c r="E10775" t="s">
        <v>20367</v>
      </c>
      <c r="F10775" t="s">
        <v>32606</v>
      </c>
      <c r="G10775" t="s">
        <v>32613</v>
      </c>
      <c r="H10775" t="s">
        <v>32623</v>
      </c>
      <c r="I10775" t="s">
        <v>17648</v>
      </c>
      <c r="J10775" t="s">
        <v>39472</v>
      </c>
      <c r="K10775" t="s">
        <v>42712</v>
      </c>
      <c r="M10775" t="s">
        <v>46342</v>
      </c>
      <c r="N10775" t="s">
        <v>47304</v>
      </c>
      <c r="O10775" t="s">
        <v>47305</v>
      </c>
      <c r="P10775">
        <v>0</v>
      </c>
      <c r="Q10775">
        <v>2</v>
      </c>
      <c r="R10775" t="s">
        <v>47314</v>
      </c>
      <c r="S10775" t="s">
        <v>47596</v>
      </c>
      <c r="T10775" t="s">
        <v>49075</v>
      </c>
      <c r="U10775" t="s">
        <v>58424</v>
      </c>
      <c r="W10775" t="s">
        <v>46342</v>
      </c>
      <c r="X10775" t="s">
        <v>47315</v>
      </c>
    </row>
    <row r="10776" spans="1:24">
      <c r="A10776">
        <f>HYPERLINK("https://www.philgeps.gov.ph/GEPSNONPILOT/Tender/SplashBidNoticeAbstractUI.aspx?menuIndex=3&amp;refID=7182023&amp;Result=3","7182023")</f>
        <v>0</v>
      </c>
      <c r="B10776" t="s">
        <v>3186</v>
      </c>
      <c r="C10776" t="s">
        <v>14024</v>
      </c>
      <c r="D10776" t="s">
        <v>19028</v>
      </c>
      <c r="E10776" t="s">
        <v>28285</v>
      </c>
      <c r="F10776" t="s">
        <v>32606</v>
      </c>
      <c r="G10776" t="s">
        <v>32613</v>
      </c>
      <c r="H10776" t="s">
        <v>14201</v>
      </c>
      <c r="I10776" t="s">
        <v>6931</v>
      </c>
      <c r="J10776" t="s">
        <v>39473</v>
      </c>
      <c r="K10776" t="s">
        <v>42624</v>
      </c>
      <c r="M10776" t="s">
        <v>46410</v>
      </c>
      <c r="N10776" t="s">
        <v>47304</v>
      </c>
      <c r="O10776" t="s">
        <v>47305</v>
      </c>
      <c r="P10776">
        <v>0</v>
      </c>
      <c r="Q10776">
        <v>0</v>
      </c>
      <c r="R10776" t="s">
        <v>47314</v>
      </c>
      <c r="S10776" t="s">
        <v>47596</v>
      </c>
      <c r="T10776" t="s">
        <v>49020</v>
      </c>
      <c r="U10776" t="s">
        <v>58425</v>
      </c>
      <c r="W10776" t="s">
        <v>46410</v>
      </c>
      <c r="X10776" t="s">
        <v>47315</v>
      </c>
    </row>
    <row r="10777" spans="1:24">
      <c r="A10777">
        <f>HYPERLINK("https://www.philgeps.gov.ph/GEPSNONPILOT/Tender/SplashBidNoticeAbstractUI.aspx?menuIndex=3&amp;refID=7182044&amp;Result=3","7182044")</f>
        <v>0</v>
      </c>
      <c r="B10777" t="s">
        <v>1668</v>
      </c>
      <c r="C10777" t="s">
        <v>14025</v>
      </c>
      <c r="D10777" t="s">
        <v>19004</v>
      </c>
      <c r="E10777" t="s">
        <v>28286</v>
      </c>
      <c r="F10777" t="s">
        <v>32606</v>
      </c>
      <c r="G10777" t="s">
        <v>32613</v>
      </c>
      <c r="H10777" t="s">
        <v>32623</v>
      </c>
      <c r="I10777" t="s">
        <v>17648</v>
      </c>
      <c r="J10777" t="s">
        <v>39474</v>
      </c>
      <c r="K10777" t="s">
        <v>42752</v>
      </c>
      <c r="M10777" t="s">
        <v>44695</v>
      </c>
      <c r="N10777" t="s">
        <v>47304</v>
      </c>
      <c r="O10777" t="s">
        <v>47305</v>
      </c>
      <c r="P10777">
        <v>0</v>
      </c>
      <c r="Q10777">
        <v>0</v>
      </c>
      <c r="R10777" t="s">
        <v>47314</v>
      </c>
      <c r="S10777" t="s">
        <v>47596</v>
      </c>
      <c r="T10777" t="s">
        <v>49140</v>
      </c>
      <c r="U10777" t="s">
        <v>58426</v>
      </c>
      <c r="W10777" t="s">
        <v>64479</v>
      </c>
      <c r="X10777" t="s">
        <v>47315</v>
      </c>
    </row>
    <row r="10778" spans="1:24">
      <c r="A10778">
        <f>HYPERLINK("https://www.philgeps.gov.ph/GEPSNONPILOT/Tender/SplashBidNoticeAbstractUI.aspx?menuIndex=3&amp;refID=7182152&amp;Result=3","7182152")</f>
        <v>0</v>
      </c>
      <c r="B10778" t="s">
        <v>3187</v>
      </c>
      <c r="C10778" t="s">
        <v>6431</v>
      </c>
      <c r="D10778" t="s">
        <v>19010</v>
      </c>
      <c r="E10778" t="s">
        <v>27179</v>
      </c>
      <c r="F10778" t="s">
        <v>32606</v>
      </c>
      <c r="G10778" t="s">
        <v>32613</v>
      </c>
      <c r="H10778" t="s">
        <v>14201</v>
      </c>
      <c r="I10778" t="s">
        <v>6931</v>
      </c>
      <c r="J10778" t="s">
        <v>39475</v>
      </c>
      <c r="K10778" t="s">
        <v>42622</v>
      </c>
      <c r="M10778" t="s">
        <v>46411</v>
      </c>
      <c r="N10778" t="s">
        <v>47304</v>
      </c>
      <c r="O10778" t="s">
        <v>47305</v>
      </c>
      <c r="P10778">
        <v>0</v>
      </c>
      <c r="Q10778">
        <v>0</v>
      </c>
      <c r="R10778" t="s">
        <v>47314</v>
      </c>
      <c r="S10778" t="s">
        <v>47596</v>
      </c>
      <c r="T10778" t="s">
        <v>49107</v>
      </c>
      <c r="U10778" t="s">
        <v>58427</v>
      </c>
      <c r="W10778" t="s">
        <v>46411</v>
      </c>
      <c r="X10778" t="s">
        <v>47315</v>
      </c>
    </row>
    <row r="10779" spans="1:24">
      <c r="A10779">
        <f>HYPERLINK("https://www.philgeps.gov.ph/GEPSNONPILOT/Tender/SplashBidNoticeAbstractUI.aspx?menuIndex=3&amp;refID=7182244&amp;Result=3","7182244")</f>
        <v>0</v>
      </c>
      <c r="B10779" t="s">
        <v>3188</v>
      </c>
      <c r="C10779" t="s">
        <v>14026</v>
      </c>
      <c r="D10779" t="s">
        <v>18999</v>
      </c>
      <c r="E10779" t="s">
        <v>28287</v>
      </c>
      <c r="F10779" t="s">
        <v>32606</v>
      </c>
      <c r="G10779" t="s">
        <v>32614</v>
      </c>
      <c r="H10779" t="s">
        <v>14201</v>
      </c>
      <c r="I10779" t="s">
        <v>4369</v>
      </c>
      <c r="J10779" t="s">
        <v>39476</v>
      </c>
      <c r="K10779" t="s">
        <v>42664</v>
      </c>
      <c r="M10779" t="s">
        <v>46412</v>
      </c>
      <c r="N10779" t="s">
        <v>47304</v>
      </c>
      <c r="O10779" t="s">
        <v>47305</v>
      </c>
      <c r="P10779">
        <v>0</v>
      </c>
      <c r="Q10779">
        <v>11</v>
      </c>
      <c r="R10779" t="s">
        <v>47314</v>
      </c>
      <c r="S10779" t="s">
        <v>47596</v>
      </c>
      <c r="T10779" t="s">
        <v>48998</v>
      </c>
      <c r="U10779" t="s">
        <v>58428</v>
      </c>
      <c r="W10779" t="s">
        <v>46412</v>
      </c>
      <c r="X10779" t="s">
        <v>47315</v>
      </c>
    </row>
    <row r="10780" spans="1:24">
      <c r="A10780">
        <f>HYPERLINK("https://www.philgeps.gov.ph/GEPSNONPILOT/Tender/SplashBidNoticeAbstractUI.aspx?menuIndex=3&amp;refID=7182058&amp;Result=3","7182058")</f>
        <v>0</v>
      </c>
      <c r="B10780" t="s">
        <v>1450</v>
      </c>
      <c r="C10780" t="s">
        <v>14027</v>
      </c>
      <c r="D10780" t="s">
        <v>19002</v>
      </c>
      <c r="E10780" t="s">
        <v>20836</v>
      </c>
      <c r="F10780" t="s">
        <v>32606</v>
      </c>
      <c r="G10780" t="s">
        <v>32613</v>
      </c>
      <c r="H10780" t="s">
        <v>32623</v>
      </c>
      <c r="I10780" t="s">
        <v>17648</v>
      </c>
      <c r="J10780" t="s">
        <v>32795</v>
      </c>
      <c r="K10780" t="s">
        <v>42648</v>
      </c>
      <c r="M10780" t="s">
        <v>44441</v>
      </c>
      <c r="N10780" t="s">
        <v>47304</v>
      </c>
      <c r="O10780" t="s">
        <v>47305</v>
      </c>
      <c r="P10780">
        <v>0</v>
      </c>
      <c r="Q10780">
        <v>1</v>
      </c>
      <c r="R10780" t="s">
        <v>47314</v>
      </c>
      <c r="S10780" t="s">
        <v>47596</v>
      </c>
      <c r="T10780" t="s">
        <v>49057</v>
      </c>
      <c r="U10780" t="s">
        <v>58429</v>
      </c>
      <c r="W10780" t="s">
        <v>44441</v>
      </c>
      <c r="X10780" t="s">
        <v>47315</v>
      </c>
    </row>
    <row r="10781" spans="1:24">
      <c r="A10781">
        <f>HYPERLINK("https://www.philgeps.gov.ph/GEPSNONPILOT/Tender/SplashBidNoticeAbstractUI.aspx?menuIndex=3&amp;refID=7182240&amp;Result=3","7182240")</f>
        <v>0</v>
      </c>
      <c r="B10781" t="s">
        <v>1152</v>
      </c>
      <c r="C10781" t="s">
        <v>14028</v>
      </c>
      <c r="D10781" t="s">
        <v>19010</v>
      </c>
      <c r="E10781" t="s">
        <v>28288</v>
      </c>
      <c r="F10781" t="s">
        <v>32607</v>
      </c>
      <c r="G10781" t="s">
        <v>32613</v>
      </c>
      <c r="H10781" t="s">
        <v>32623</v>
      </c>
      <c r="I10781" t="s">
        <v>17648</v>
      </c>
      <c r="J10781" t="s">
        <v>39477</v>
      </c>
      <c r="K10781" t="s">
        <v>42646</v>
      </c>
      <c r="L10781" t="s">
        <v>1152</v>
      </c>
      <c r="M10781" t="s">
        <v>44115</v>
      </c>
      <c r="N10781" t="s">
        <v>47304</v>
      </c>
      <c r="O10781" t="s">
        <v>47305</v>
      </c>
      <c r="P10781">
        <v>0</v>
      </c>
      <c r="Q10781">
        <v>0</v>
      </c>
      <c r="R10781" t="s">
        <v>47314</v>
      </c>
      <c r="S10781" t="s">
        <v>47596</v>
      </c>
      <c r="T10781" t="s">
        <v>49031</v>
      </c>
      <c r="U10781" t="s">
        <v>58430</v>
      </c>
      <c r="V10781" t="s">
        <v>58752</v>
      </c>
      <c r="W10781" t="s">
        <v>44115</v>
      </c>
      <c r="X10781" t="s">
        <v>47315</v>
      </c>
    </row>
    <row r="10782" spans="1:24">
      <c r="A10782">
        <f>HYPERLINK("https://www.philgeps.gov.ph/GEPSNONPILOT/Tender/SplashBidNoticeAbstractUI.aspx?menuIndex=3&amp;refID=7182084&amp;Result=3","7182084")</f>
        <v>0</v>
      </c>
      <c r="B10782" t="s">
        <v>3171</v>
      </c>
      <c r="C10782" t="s">
        <v>14029</v>
      </c>
      <c r="D10782" t="s">
        <v>18988</v>
      </c>
      <c r="E10782" t="s">
        <v>28289</v>
      </c>
      <c r="F10782" t="s">
        <v>32606</v>
      </c>
      <c r="G10782" t="s">
        <v>32613</v>
      </c>
      <c r="H10782" t="s">
        <v>32623</v>
      </c>
      <c r="I10782" t="s">
        <v>17648</v>
      </c>
      <c r="J10782" t="s">
        <v>39478</v>
      </c>
      <c r="K10782" t="s">
        <v>42639</v>
      </c>
      <c r="M10782" t="s">
        <v>46392</v>
      </c>
      <c r="N10782" t="s">
        <v>47304</v>
      </c>
      <c r="O10782" t="s">
        <v>47305</v>
      </c>
      <c r="P10782">
        <v>0</v>
      </c>
      <c r="Q10782">
        <v>0</v>
      </c>
      <c r="R10782" t="s">
        <v>47314</v>
      </c>
      <c r="S10782" t="s">
        <v>47596</v>
      </c>
      <c r="T10782" t="s">
        <v>48970</v>
      </c>
      <c r="U10782" t="s">
        <v>58388</v>
      </c>
      <c r="W10782" t="s">
        <v>46392</v>
      </c>
      <c r="X10782" t="s">
        <v>47315</v>
      </c>
    </row>
    <row r="10783" spans="1:24">
      <c r="A10783">
        <f>HYPERLINK("https://www.philgeps.gov.ph/GEPSNONPILOT/Tender/SplashBidNoticeAbstractUI.aspx?menuIndex=3&amp;refID=7182230&amp;Result=3","7182230")</f>
        <v>0</v>
      </c>
      <c r="B10783" t="s">
        <v>203</v>
      </c>
      <c r="C10783" t="s">
        <v>14030</v>
      </c>
      <c r="D10783" t="s">
        <v>19003</v>
      </c>
      <c r="E10783" t="s">
        <v>28275</v>
      </c>
      <c r="F10783" t="s">
        <v>32606</v>
      </c>
      <c r="G10783" t="s">
        <v>32613</v>
      </c>
      <c r="H10783" t="s">
        <v>14201</v>
      </c>
      <c r="I10783" t="s">
        <v>6993</v>
      </c>
      <c r="J10783" t="s">
        <v>39479</v>
      </c>
      <c r="K10783" t="s">
        <v>42622</v>
      </c>
      <c r="M10783" t="s">
        <v>43104</v>
      </c>
      <c r="N10783" t="s">
        <v>47304</v>
      </c>
      <c r="O10783" t="s">
        <v>47305</v>
      </c>
      <c r="P10783">
        <v>0</v>
      </c>
      <c r="Q10783">
        <v>2</v>
      </c>
      <c r="R10783" t="s">
        <v>47314</v>
      </c>
      <c r="S10783" t="s">
        <v>47596</v>
      </c>
      <c r="T10783" t="s">
        <v>49064</v>
      </c>
      <c r="U10783" t="s">
        <v>58431</v>
      </c>
      <c r="W10783" t="s">
        <v>43104</v>
      </c>
      <c r="X10783" t="s">
        <v>47315</v>
      </c>
    </row>
    <row r="10784" spans="1:24">
      <c r="A10784">
        <f>HYPERLINK("https://www.philgeps.gov.ph/GEPSNONPILOT/Tender/SplashBidNoticeAbstractUI.aspx?menuIndex=3&amp;refID=7182213&amp;Result=3","7182213")</f>
        <v>0</v>
      </c>
      <c r="B10784" t="s">
        <v>810</v>
      </c>
      <c r="C10784" t="s">
        <v>14031</v>
      </c>
      <c r="D10784" t="s">
        <v>19013</v>
      </c>
      <c r="E10784" t="s">
        <v>28290</v>
      </c>
      <c r="F10784" t="s">
        <v>32606</v>
      </c>
      <c r="G10784" t="s">
        <v>32613</v>
      </c>
      <c r="H10784" t="s">
        <v>32623</v>
      </c>
      <c r="I10784" t="s">
        <v>17648</v>
      </c>
      <c r="J10784" t="s">
        <v>39480</v>
      </c>
      <c r="K10784" t="s">
        <v>42624</v>
      </c>
      <c r="M10784" t="s">
        <v>46413</v>
      </c>
      <c r="N10784" t="s">
        <v>47304</v>
      </c>
      <c r="O10784" t="s">
        <v>47305</v>
      </c>
      <c r="P10784">
        <v>0</v>
      </c>
      <c r="Q10784">
        <v>0</v>
      </c>
      <c r="R10784" t="s">
        <v>47314</v>
      </c>
      <c r="S10784" t="s">
        <v>47596</v>
      </c>
      <c r="T10784" t="s">
        <v>49040</v>
      </c>
      <c r="U10784" t="s">
        <v>58432</v>
      </c>
      <c r="W10784" t="s">
        <v>46413</v>
      </c>
      <c r="X10784" t="s">
        <v>47315</v>
      </c>
    </row>
    <row r="10785" spans="1:24">
      <c r="A10785">
        <f>HYPERLINK("https://www.philgeps.gov.ph/GEPSNONPILOT/Tender/SplashBidNoticeAbstractUI.aspx?menuIndex=3&amp;refID=7182248&amp;Result=3","7182248")</f>
        <v>0</v>
      </c>
      <c r="B10785" t="s">
        <v>3172</v>
      </c>
      <c r="C10785" t="s">
        <v>6426</v>
      </c>
      <c r="D10785" t="s">
        <v>19056</v>
      </c>
      <c r="E10785" t="s">
        <v>28291</v>
      </c>
      <c r="F10785" t="s">
        <v>32606</v>
      </c>
      <c r="G10785" t="s">
        <v>32613</v>
      </c>
      <c r="H10785" t="s">
        <v>32623</v>
      </c>
      <c r="I10785" t="s">
        <v>17648</v>
      </c>
      <c r="J10785" t="s">
        <v>32770</v>
      </c>
      <c r="K10785" t="s">
        <v>42631</v>
      </c>
      <c r="M10785" t="s">
        <v>46393</v>
      </c>
      <c r="N10785" t="s">
        <v>47304</v>
      </c>
      <c r="O10785" t="s">
        <v>47305</v>
      </c>
      <c r="P10785">
        <v>0</v>
      </c>
      <c r="Q10785">
        <v>2</v>
      </c>
      <c r="R10785" t="s">
        <v>47314</v>
      </c>
      <c r="S10785" t="s">
        <v>47596</v>
      </c>
      <c r="T10785" t="s">
        <v>49075</v>
      </c>
      <c r="U10785" t="s">
        <v>58433</v>
      </c>
      <c r="W10785" t="s">
        <v>46393</v>
      </c>
      <c r="X10785" t="s">
        <v>47315</v>
      </c>
    </row>
    <row r="10786" spans="1:24">
      <c r="A10786">
        <f>HYPERLINK("https://www.philgeps.gov.ph/GEPSNONPILOT/Tender/SplashBidNoticeAbstractUI.aspx?menuIndex=3&amp;refID=7182237&amp;Result=3","7182237")</f>
        <v>0</v>
      </c>
      <c r="B10786" t="s">
        <v>810</v>
      </c>
      <c r="C10786" t="s">
        <v>14032</v>
      </c>
      <c r="D10786" t="s">
        <v>19013</v>
      </c>
      <c r="E10786" t="s">
        <v>28292</v>
      </c>
      <c r="F10786" t="s">
        <v>32606</v>
      </c>
      <c r="G10786" t="s">
        <v>32613</v>
      </c>
      <c r="H10786" t="s">
        <v>32623</v>
      </c>
      <c r="I10786" t="s">
        <v>17648</v>
      </c>
      <c r="J10786" t="s">
        <v>39481</v>
      </c>
      <c r="K10786" t="s">
        <v>42624</v>
      </c>
      <c r="M10786" t="s">
        <v>46413</v>
      </c>
      <c r="N10786" t="s">
        <v>47304</v>
      </c>
      <c r="O10786" t="s">
        <v>47305</v>
      </c>
      <c r="P10786">
        <v>0</v>
      </c>
      <c r="Q10786">
        <v>0</v>
      </c>
      <c r="R10786" t="s">
        <v>47314</v>
      </c>
      <c r="S10786" t="s">
        <v>47596</v>
      </c>
      <c r="T10786" t="s">
        <v>49040</v>
      </c>
      <c r="U10786" t="s">
        <v>51044</v>
      </c>
      <c r="W10786" t="s">
        <v>46413</v>
      </c>
      <c r="X10786" t="s">
        <v>47315</v>
      </c>
    </row>
    <row r="10787" spans="1:24">
      <c r="A10787">
        <f>HYPERLINK("https://www.philgeps.gov.ph/GEPSNONPILOT/Tender/SplashBidNoticeAbstractUI.aspx?menuIndex=3&amp;refID=7182225&amp;Result=3","7182225")</f>
        <v>0</v>
      </c>
      <c r="B10787" t="s">
        <v>3189</v>
      </c>
      <c r="C10787" t="s">
        <v>14033</v>
      </c>
      <c r="D10787" t="s">
        <v>19027</v>
      </c>
      <c r="E10787" t="s">
        <v>28293</v>
      </c>
      <c r="F10787" t="s">
        <v>32606</v>
      </c>
      <c r="G10787" t="s">
        <v>32613</v>
      </c>
      <c r="H10787" t="s">
        <v>14201</v>
      </c>
      <c r="I10787" t="s">
        <v>32631</v>
      </c>
      <c r="J10787" t="s">
        <v>39482</v>
      </c>
      <c r="K10787" t="s">
        <v>42623</v>
      </c>
      <c r="L10787" t="s">
        <v>3189</v>
      </c>
      <c r="M10787" t="s">
        <v>46414</v>
      </c>
      <c r="N10787" t="s">
        <v>47304</v>
      </c>
      <c r="O10787" t="s">
        <v>47305</v>
      </c>
      <c r="P10787">
        <v>0</v>
      </c>
      <c r="Q10787">
        <v>0</v>
      </c>
      <c r="R10787" t="s">
        <v>47314</v>
      </c>
      <c r="S10787" t="s">
        <v>47596</v>
      </c>
      <c r="T10787" t="s">
        <v>48987</v>
      </c>
      <c r="U10787" t="s">
        <v>58434</v>
      </c>
      <c r="V10787" t="s">
        <v>63794</v>
      </c>
      <c r="W10787" t="s">
        <v>46414</v>
      </c>
      <c r="X10787" t="s">
        <v>47315</v>
      </c>
    </row>
    <row r="10788" spans="1:24">
      <c r="A10788">
        <f>HYPERLINK("https://www.philgeps.gov.ph/GEPSNONPILOT/Tender/SplashBidNoticeAbstractUI.aspx?menuIndex=3&amp;refID=7182224&amp;Result=3","7182224")</f>
        <v>0</v>
      </c>
      <c r="B10788" t="s">
        <v>984</v>
      </c>
      <c r="C10788" t="s">
        <v>14034</v>
      </c>
      <c r="D10788" t="s">
        <v>19039</v>
      </c>
      <c r="E10788" t="s">
        <v>28294</v>
      </c>
      <c r="F10788" t="s">
        <v>32606</v>
      </c>
      <c r="G10788" t="s">
        <v>32613</v>
      </c>
      <c r="H10788" t="s">
        <v>32623</v>
      </c>
      <c r="I10788" t="s">
        <v>17648</v>
      </c>
      <c r="J10788" t="s">
        <v>39483</v>
      </c>
      <c r="K10788" t="s">
        <v>42648</v>
      </c>
      <c r="L10788" t="s">
        <v>984</v>
      </c>
      <c r="M10788" t="s">
        <v>43930</v>
      </c>
      <c r="N10788" t="s">
        <v>47304</v>
      </c>
      <c r="O10788" t="s">
        <v>47305</v>
      </c>
      <c r="P10788">
        <v>0</v>
      </c>
      <c r="Q10788">
        <v>6</v>
      </c>
      <c r="R10788" t="s">
        <v>47314</v>
      </c>
      <c r="S10788" t="s">
        <v>47596</v>
      </c>
      <c r="T10788" t="s">
        <v>48992</v>
      </c>
      <c r="U10788" t="s">
        <v>58435</v>
      </c>
      <c r="W10788" t="s">
        <v>43930</v>
      </c>
      <c r="X10788" t="s">
        <v>47315</v>
      </c>
    </row>
    <row r="10789" spans="1:24">
      <c r="A10789">
        <f>HYPERLINK("https://www.philgeps.gov.ph/GEPSNONPILOT/Tender/SplashBidNoticeAbstractUI.aspx?menuIndex=3&amp;refID=7182133&amp;Result=3","7182133")</f>
        <v>0</v>
      </c>
      <c r="B10789" t="s">
        <v>3190</v>
      </c>
      <c r="C10789" t="s">
        <v>14035</v>
      </c>
      <c r="D10789" t="s">
        <v>19004</v>
      </c>
      <c r="E10789" t="s">
        <v>23524</v>
      </c>
      <c r="F10789" t="s">
        <v>32606</v>
      </c>
      <c r="G10789" t="s">
        <v>32614</v>
      </c>
      <c r="H10789" t="s">
        <v>14201</v>
      </c>
      <c r="I10789" t="s">
        <v>4369</v>
      </c>
      <c r="J10789" t="s">
        <v>33669</v>
      </c>
      <c r="K10789" t="s">
        <v>42625</v>
      </c>
      <c r="M10789" t="s">
        <v>46415</v>
      </c>
      <c r="N10789" t="s">
        <v>47304</v>
      </c>
      <c r="O10789" t="s">
        <v>47305</v>
      </c>
      <c r="P10789">
        <v>0</v>
      </c>
      <c r="Q10789">
        <v>1</v>
      </c>
      <c r="R10789" t="s">
        <v>47314</v>
      </c>
      <c r="S10789" t="s">
        <v>47596</v>
      </c>
      <c r="T10789" t="s">
        <v>49014</v>
      </c>
      <c r="U10789" t="s">
        <v>58436</v>
      </c>
      <c r="W10789" t="s">
        <v>46415</v>
      </c>
      <c r="X10789" t="s">
        <v>47315</v>
      </c>
    </row>
    <row r="10790" spans="1:24">
      <c r="A10790">
        <f>HYPERLINK("https://www.philgeps.gov.ph/GEPSNONPILOT/Tender/SplashBidNoticeAbstractUI.aspx?menuIndex=3&amp;refID=7182202&amp;Result=3","7182202")</f>
        <v>0</v>
      </c>
      <c r="B10790" t="s">
        <v>203</v>
      </c>
      <c r="C10790" t="s">
        <v>14036</v>
      </c>
      <c r="D10790" t="s">
        <v>19003</v>
      </c>
      <c r="E10790" t="s">
        <v>28275</v>
      </c>
      <c r="F10790" t="s">
        <v>32606</v>
      </c>
      <c r="G10790" t="s">
        <v>32613</v>
      </c>
      <c r="H10790" t="s">
        <v>32623</v>
      </c>
      <c r="I10790" t="s">
        <v>17648</v>
      </c>
      <c r="J10790" t="s">
        <v>33734</v>
      </c>
      <c r="K10790" t="s">
        <v>42622</v>
      </c>
      <c r="M10790" t="s">
        <v>43104</v>
      </c>
      <c r="N10790" t="s">
        <v>47304</v>
      </c>
      <c r="O10790" t="s">
        <v>47305</v>
      </c>
      <c r="P10790">
        <v>0</v>
      </c>
      <c r="Q10790">
        <v>1</v>
      </c>
      <c r="R10790" t="s">
        <v>47314</v>
      </c>
      <c r="S10790" t="s">
        <v>47596</v>
      </c>
      <c r="T10790" t="s">
        <v>49064</v>
      </c>
      <c r="U10790" t="s">
        <v>58437</v>
      </c>
      <c r="W10790" t="s">
        <v>43104</v>
      </c>
      <c r="X10790" t="s">
        <v>47315</v>
      </c>
    </row>
    <row r="10791" spans="1:24">
      <c r="A10791">
        <f>HYPERLINK("https://www.philgeps.gov.ph/GEPSNONPILOT/Tender/SplashBidNoticeAbstractUI.aspx?menuIndex=3&amp;refID=7182196&amp;Result=3","7182196")</f>
        <v>0</v>
      </c>
      <c r="B10791" t="s">
        <v>810</v>
      </c>
      <c r="C10791" t="s">
        <v>14037</v>
      </c>
      <c r="D10791" t="s">
        <v>19013</v>
      </c>
      <c r="E10791" t="s">
        <v>28295</v>
      </c>
      <c r="F10791" t="s">
        <v>32606</v>
      </c>
      <c r="G10791" t="s">
        <v>32613</v>
      </c>
      <c r="H10791" t="s">
        <v>32623</v>
      </c>
      <c r="I10791" t="s">
        <v>17648</v>
      </c>
      <c r="J10791" t="s">
        <v>39484</v>
      </c>
      <c r="K10791" t="s">
        <v>42743</v>
      </c>
      <c r="M10791" t="s">
        <v>46413</v>
      </c>
      <c r="N10791" t="s">
        <v>47304</v>
      </c>
      <c r="O10791" t="s">
        <v>47305</v>
      </c>
      <c r="P10791">
        <v>0</v>
      </c>
      <c r="Q10791">
        <v>0</v>
      </c>
      <c r="R10791" t="s">
        <v>47314</v>
      </c>
      <c r="S10791" t="s">
        <v>47596</v>
      </c>
      <c r="T10791" t="s">
        <v>49040</v>
      </c>
      <c r="U10791" t="s">
        <v>58438</v>
      </c>
      <c r="W10791" t="s">
        <v>46413</v>
      </c>
      <c r="X10791" t="s">
        <v>47315</v>
      </c>
    </row>
    <row r="10792" spans="1:24">
      <c r="A10792">
        <f>HYPERLINK("https://www.philgeps.gov.ph/GEPSNONPILOT/Tender/SplashBidNoticeAbstractUI.aspx?menuIndex=3&amp;refID=7182238&amp;Result=3","7182238")</f>
        <v>0</v>
      </c>
      <c r="B10792" t="s">
        <v>3191</v>
      </c>
      <c r="C10792" t="s">
        <v>14038</v>
      </c>
      <c r="D10792" t="s">
        <v>19010</v>
      </c>
      <c r="E10792" t="s">
        <v>20556</v>
      </c>
      <c r="F10792" t="s">
        <v>32606</v>
      </c>
      <c r="G10792" t="s">
        <v>32613</v>
      </c>
      <c r="H10792" t="s">
        <v>14201</v>
      </c>
      <c r="I10792" t="s">
        <v>32691</v>
      </c>
      <c r="J10792" t="s">
        <v>39485</v>
      </c>
      <c r="K10792" t="s">
        <v>42623</v>
      </c>
      <c r="M10792" t="s">
        <v>46416</v>
      </c>
      <c r="N10792" t="s">
        <v>47304</v>
      </c>
      <c r="O10792" t="s">
        <v>47305</v>
      </c>
      <c r="P10792">
        <v>0</v>
      </c>
      <c r="Q10792">
        <v>2</v>
      </c>
      <c r="R10792" t="s">
        <v>47314</v>
      </c>
      <c r="S10792" t="s">
        <v>47596</v>
      </c>
      <c r="T10792" t="s">
        <v>49081</v>
      </c>
      <c r="U10792" t="s">
        <v>58439</v>
      </c>
      <c r="W10792" t="s">
        <v>46416</v>
      </c>
      <c r="X10792" t="s">
        <v>47315</v>
      </c>
    </row>
    <row r="10793" spans="1:24">
      <c r="A10793">
        <f>HYPERLINK("https://www.philgeps.gov.ph/GEPSNONPILOT/Tender/SplashBidNoticeAbstractUI.aspx?menuIndex=3&amp;refID=7182190&amp;Result=3","7182190")</f>
        <v>0</v>
      </c>
      <c r="B10793" t="s">
        <v>3172</v>
      </c>
      <c r="C10793" t="s">
        <v>14039</v>
      </c>
      <c r="E10793" t="s">
        <v>28296</v>
      </c>
      <c r="F10793" t="s">
        <v>32606</v>
      </c>
      <c r="G10793" t="s">
        <v>32613</v>
      </c>
      <c r="H10793" t="s">
        <v>32623</v>
      </c>
      <c r="I10793" t="s">
        <v>17648</v>
      </c>
      <c r="J10793" t="s">
        <v>39486</v>
      </c>
      <c r="K10793" t="s">
        <v>42636</v>
      </c>
      <c r="M10793" t="s">
        <v>46393</v>
      </c>
      <c r="N10793" t="s">
        <v>47304</v>
      </c>
      <c r="O10793" t="s">
        <v>47305</v>
      </c>
      <c r="P10793">
        <v>0</v>
      </c>
      <c r="Q10793">
        <v>2</v>
      </c>
      <c r="R10793" t="s">
        <v>47314</v>
      </c>
      <c r="S10793" t="s">
        <v>47596</v>
      </c>
      <c r="T10793" t="s">
        <v>49075</v>
      </c>
      <c r="U10793" t="s">
        <v>58440</v>
      </c>
      <c r="W10793" t="s">
        <v>46393</v>
      </c>
      <c r="X10793" t="s">
        <v>47315</v>
      </c>
    </row>
    <row r="10794" spans="1:24">
      <c r="A10794">
        <f>HYPERLINK("https://www.philgeps.gov.ph/GEPSNONPILOT/Tender/SplashBidNoticeAbstractUI.aspx?menuIndex=3&amp;refID=7182192&amp;Result=3","7182192")</f>
        <v>0</v>
      </c>
      <c r="B10794" t="s">
        <v>232</v>
      </c>
      <c r="C10794" t="s">
        <v>14040</v>
      </c>
      <c r="D10794" t="s">
        <v>19017</v>
      </c>
      <c r="E10794" t="s">
        <v>28297</v>
      </c>
      <c r="F10794" t="s">
        <v>32606</v>
      </c>
      <c r="G10794" t="s">
        <v>32613</v>
      </c>
      <c r="H10794" t="s">
        <v>32623</v>
      </c>
      <c r="I10794" t="s">
        <v>17648</v>
      </c>
      <c r="J10794" t="s">
        <v>39487</v>
      </c>
      <c r="K10794" t="s">
        <v>42827</v>
      </c>
      <c r="M10794" t="s">
        <v>43133</v>
      </c>
      <c r="N10794" t="s">
        <v>47304</v>
      </c>
      <c r="O10794" t="s">
        <v>47305</v>
      </c>
      <c r="Q10794">
        <v>3</v>
      </c>
      <c r="R10794" t="s">
        <v>47314</v>
      </c>
      <c r="S10794" t="s">
        <v>47635</v>
      </c>
      <c r="T10794" t="s">
        <v>49234</v>
      </c>
      <c r="U10794" t="s">
        <v>58441</v>
      </c>
      <c r="W10794" t="s">
        <v>43133</v>
      </c>
      <c r="X10794" t="s">
        <v>47315</v>
      </c>
    </row>
    <row r="10795" spans="1:24">
      <c r="A10795">
        <f>HYPERLINK("https://www.philgeps.gov.ph/GEPSNONPILOT/Tender/SplashBidNoticeAbstractUI.aspx?menuIndex=3&amp;refID=7182345&amp;Result=3","7182345")</f>
        <v>0</v>
      </c>
      <c r="B10795" t="s">
        <v>984</v>
      </c>
      <c r="C10795" t="s">
        <v>14041</v>
      </c>
      <c r="D10795" t="s">
        <v>19039</v>
      </c>
      <c r="E10795" t="s">
        <v>28298</v>
      </c>
      <c r="F10795" t="s">
        <v>32606</v>
      </c>
      <c r="G10795" t="s">
        <v>32613</v>
      </c>
      <c r="H10795" t="s">
        <v>14201</v>
      </c>
      <c r="I10795" t="s">
        <v>32650</v>
      </c>
      <c r="J10795" t="s">
        <v>39488</v>
      </c>
      <c r="K10795" t="s">
        <v>42631</v>
      </c>
      <c r="L10795" t="s">
        <v>984</v>
      </c>
      <c r="M10795" t="s">
        <v>43930</v>
      </c>
      <c r="N10795" t="s">
        <v>47304</v>
      </c>
      <c r="O10795" t="s">
        <v>47305</v>
      </c>
      <c r="P10795">
        <v>0</v>
      </c>
      <c r="Q10795">
        <v>2</v>
      </c>
      <c r="R10795" t="s">
        <v>47314</v>
      </c>
      <c r="S10795" t="s">
        <v>47596</v>
      </c>
      <c r="T10795" t="s">
        <v>48992</v>
      </c>
      <c r="U10795" t="s">
        <v>58442</v>
      </c>
      <c r="W10795" t="s">
        <v>43930</v>
      </c>
      <c r="X10795" t="s">
        <v>47315</v>
      </c>
    </row>
    <row r="10796" spans="1:24">
      <c r="A10796">
        <f>HYPERLINK("https://www.philgeps.gov.ph/GEPSNONPILOT/Tender/SplashBidNoticeAbstractUI.aspx?menuIndex=3&amp;refID=7182232&amp;Result=3","7182232")</f>
        <v>0</v>
      </c>
      <c r="B10796" t="s">
        <v>3185</v>
      </c>
      <c r="C10796" t="s">
        <v>4442</v>
      </c>
      <c r="D10796" t="s">
        <v>19004</v>
      </c>
      <c r="E10796" t="s">
        <v>20898</v>
      </c>
      <c r="F10796" t="s">
        <v>32606</v>
      </c>
      <c r="G10796" t="s">
        <v>32613</v>
      </c>
      <c r="H10796" t="s">
        <v>14201</v>
      </c>
      <c r="I10796" t="s">
        <v>4678</v>
      </c>
      <c r="J10796" t="s">
        <v>39489</v>
      </c>
      <c r="K10796" t="s">
        <v>42623</v>
      </c>
      <c r="M10796" t="s">
        <v>46409</v>
      </c>
      <c r="N10796" t="s">
        <v>47304</v>
      </c>
      <c r="O10796" t="s">
        <v>47305</v>
      </c>
      <c r="P10796">
        <v>0</v>
      </c>
      <c r="Q10796">
        <v>4</v>
      </c>
      <c r="R10796" t="s">
        <v>47314</v>
      </c>
      <c r="S10796" t="s">
        <v>47596</v>
      </c>
      <c r="T10796" t="s">
        <v>49254</v>
      </c>
      <c r="U10796" t="s">
        <v>58443</v>
      </c>
      <c r="W10796" t="s">
        <v>46409</v>
      </c>
      <c r="X10796" t="s">
        <v>47315</v>
      </c>
    </row>
    <row r="10797" spans="1:24">
      <c r="A10797">
        <f>HYPERLINK("https://www.philgeps.gov.ph/GEPSNONPILOT/Tender/SplashBidNoticeAbstractUI.aspx?menuIndex=3&amp;refID=7182336&amp;Result=3","7182336")</f>
        <v>0</v>
      </c>
      <c r="B10797" t="s">
        <v>232</v>
      </c>
      <c r="C10797" t="s">
        <v>14042</v>
      </c>
      <c r="D10797" t="s">
        <v>19017</v>
      </c>
      <c r="E10797" t="s">
        <v>28299</v>
      </c>
      <c r="F10797" t="s">
        <v>32606</v>
      </c>
      <c r="G10797" t="s">
        <v>32613</v>
      </c>
      <c r="H10797" t="s">
        <v>32623</v>
      </c>
      <c r="I10797" t="s">
        <v>17648</v>
      </c>
      <c r="J10797" t="s">
        <v>33071</v>
      </c>
      <c r="K10797" t="s">
        <v>42773</v>
      </c>
      <c r="M10797" t="s">
        <v>43133</v>
      </c>
      <c r="N10797" t="s">
        <v>47304</v>
      </c>
      <c r="O10797" t="s">
        <v>47305</v>
      </c>
      <c r="P10797">
        <v>0</v>
      </c>
      <c r="Q10797">
        <v>1</v>
      </c>
      <c r="R10797" t="s">
        <v>47314</v>
      </c>
      <c r="S10797" t="s">
        <v>47596</v>
      </c>
      <c r="T10797" t="s">
        <v>49234</v>
      </c>
      <c r="U10797" t="s">
        <v>58444</v>
      </c>
      <c r="W10797" t="s">
        <v>43133</v>
      </c>
      <c r="X10797" t="s">
        <v>47315</v>
      </c>
    </row>
    <row r="10798" spans="1:24">
      <c r="A10798">
        <f>HYPERLINK("https://www.philgeps.gov.ph/GEPSNONPILOT/Tender/SplashBidNoticeAbstractUI.aspx?menuIndex=3&amp;refID=7182316&amp;Result=3","7182316")</f>
        <v>0</v>
      </c>
      <c r="B10798" t="s">
        <v>3192</v>
      </c>
      <c r="C10798" t="s">
        <v>14043</v>
      </c>
      <c r="D10798" t="s">
        <v>19015</v>
      </c>
      <c r="E10798" t="s">
        <v>19233</v>
      </c>
      <c r="F10798" t="s">
        <v>32606</v>
      </c>
      <c r="G10798" t="s">
        <v>32613</v>
      </c>
      <c r="H10798" t="s">
        <v>32623</v>
      </c>
      <c r="I10798" t="s">
        <v>6931</v>
      </c>
      <c r="J10798" t="s">
        <v>39490</v>
      </c>
      <c r="K10798" t="s">
        <v>42623</v>
      </c>
      <c r="M10798" t="s">
        <v>46417</v>
      </c>
      <c r="N10798" t="s">
        <v>47304</v>
      </c>
      <c r="O10798" t="s">
        <v>47305</v>
      </c>
      <c r="P10798">
        <v>0</v>
      </c>
      <c r="Q10798">
        <v>3</v>
      </c>
      <c r="R10798" t="s">
        <v>47314</v>
      </c>
      <c r="S10798" t="s">
        <v>47596</v>
      </c>
      <c r="T10798" t="s">
        <v>49050</v>
      </c>
      <c r="U10798" t="s">
        <v>58445</v>
      </c>
      <c r="W10798" t="s">
        <v>46417</v>
      </c>
      <c r="X10798" t="s">
        <v>47315</v>
      </c>
    </row>
    <row r="10799" spans="1:24">
      <c r="A10799">
        <f>HYPERLINK("https://www.philgeps.gov.ph/GEPSNONPILOT/Tender/SplashBidNoticeAbstractUI.aspx?menuIndex=3&amp;refID=7182309&amp;Result=3","7182309")</f>
        <v>0</v>
      </c>
      <c r="B10799" t="s">
        <v>3193</v>
      </c>
      <c r="C10799" t="s">
        <v>14044</v>
      </c>
      <c r="D10799" t="s">
        <v>19011</v>
      </c>
      <c r="E10799" t="s">
        <v>28300</v>
      </c>
      <c r="F10799" t="s">
        <v>32606</v>
      </c>
      <c r="G10799" t="s">
        <v>32613</v>
      </c>
      <c r="H10799" t="s">
        <v>32623</v>
      </c>
      <c r="I10799" t="s">
        <v>17648</v>
      </c>
      <c r="J10799" t="s">
        <v>39491</v>
      </c>
      <c r="K10799" t="s">
        <v>42683</v>
      </c>
      <c r="M10799" t="s">
        <v>46418</v>
      </c>
      <c r="N10799" t="s">
        <v>47304</v>
      </c>
      <c r="O10799" t="s">
        <v>47305</v>
      </c>
      <c r="P10799">
        <v>0</v>
      </c>
      <c r="Q10799">
        <v>1</v>
      </c>
      <c r="R10799" t="s">
        <v>47314</v>
      </c>
      <c r="S10799" t="s">
        <v>47596</v>
      </c>
      <c r="T10799" t="s">
        <v>49040</v>
      </c>
      <c r="U10799" t="s">
        <v>58446</v>
      </c>
      <c r="V10799" t="s">
        <v>63795</v>
      </c>
      <c r="W10799" t="s">
        <v>46418</v>
      </c>
      <c r="X10799" t="s">
        <v>47315</v>
      </c>
    </row>
    <row r="10800" spans="1:24">
      <c r="A10800">
        <f>HYPERLINK("https://www.philgeps.gov.ph/GEPSNONPILOT/Tender/SplashBidNoticeAbstractUI.aspx?menuIndex=3&amp;refID=7182200&amp;Result=3","7182200")</f>
        <v>0</v>
      </c>
      <c r="B10800" t="s">
        <v>3194</v>
      </c>
      <c r="C10800" t="s">
        <v>14045</v>
      </c>
      <c r="D10800" t="s">
        <v>19010</v>
      </c>
      <c r="E10800" t="s">
        <v>28301</v>
      </c>
      <c r="F10800" t="s">
        <v>32606</v>
      </c>
      <c r="G10800" t="s">
        <v>32613</v>
      </c>
      <c r="H10800" t="s">
        <v>32623</v>
      </c>
      <c r="I10800" t="s">
        <v>17648</v>
      </c>
      <c r="J10800" t="s">
        <v>35793</v>
      </c>
      <c r="K10800" t="s">
        <v>42627</v>
      </c>
      <c r="M10800" t="s">
        <v>46419</v>
      </c>
      <c r="N10800" t="s">
        <v>47304</v>
      </c>
      <c r="O10800" t="s">
        <v>47305</v>
      </c>
      <c r="P10800">
        <v>0</v>
      </c>
      <c r="Q10800">
        <v>1</v>
      </c>
      <c r="R10800" t="s">
        <v>47314</v>
      </c>
      <c r="S10800" t="s">
        <v>47596</v>
      </c>
      <c r="T10800" t="s">
        <v>49071</v>
      </c>
      <c r="U10800" t="s">
        <v>58447</v>
      </c>
      <c r="W10800" t="s">
        <v>46419</v>
      </c>
      <c r="X10800" t="s">
        <v>47315</v>
      </c>
    </row>
    <row r="10801" spans="1:24">
      <c r="A10801">
        <f>HYPERLINK("https://www.philgeps.gov.ph/GEPSNONPILOT/Tender/SplashBidNoticeAbstractUI.aspx?menuIndex=3&amp;refID=7182215&amp;Result=3","7182215")</f>
        <v>0</v>
      </c>
      <c r="B10801" t="s">
        <v>3130</v>
      </c>
      <c r="C10801" t="s">
        <v>14046</v>
      </c>
      <c r="D10801" t="s">
        <v>19056</v>
      </c>
      <c r="E10801" t="s">
        <v>20419</v>
      </c>
      <c r="F10801" t="s">
        <v>32606</v>
      </c>
      <c r="G10801" t="s">
        <v>32613</v>
      </c>
      <c r="H10801" t="s">
        <v>32623</v>
      </c>
      <c r="I10801" t="s">
        <v>17648</v>
      </c>
      <c r="J10801" t="s">
        <v>39492</v>
      </c>
      <c r="K10801" t="s">
        <v>42648</v>
      </c>
      <c r="M10801" t="s">
        <v>46342</v>
      </c>
      <c r="N10801" t="s">
        <v>47304</v>
      </c>
      <c r="O10801" t="s">
        <v>47305</v>
      </c>
      <c r="P10801">
        <v>0</v>
      </c>
      <c r="Q10801">
        <v>1</v>
      </c>
      <c r="R10801" t="s">
        <v>47314</v>
      </c>
      <c r="S10801" t="s">
        <v>47596</v>
      </c>
      <c r="T10801" t="s">
        <v>49075</v>
      </c>
      <c r="U10801" t="s">
        <v>58448</v>
      </c>
      <c r="W10801" t="s">
        <v>46342</v>
      </c>
      <c r="X10801" t="s">
        <v>47315</v>
      </c>
    </row>
    <row r="10802" spans="1:24">
      <c r="A10802">
        <f>HYPERLINK("https://www.philgeps.gov.ph/GEPSNONPILOT/Tender/SplashBidNoticeAbstractUI.aspx?menuIndex=3&amp;refID=7182308&amp;Result=3","7182308")</f>
        <v>0</v>
      </c>
      <c r="B10802" t="s">
        <v>357</v>
      </c>
      <c r="C10802" t="s">
        <v>14047</v>
      </c>
      <c r="D10802" t="s">
        <v>19010</v>
      </c>
      <c r="E10802" t="s">
        <v>28302</v>
      </c>
      <c r="F10802" t="s">
        <v>32606</v>
      </c>
      <c r="G10802" t="s">
        <v>32613</v>
      </c>
      <c r="H10802" t="s">
        <v>14201</v>
      </c>
      <c r="I10802" t="s">
        <v>7064</v>
      </c>
      <c r="J10802" t="s">
        <v>39493</v>
      </c>
      <c r="K10802" t="s">
        <v>42631</v>
      </c>
      <c r="M10802" t="s">
        <v>43259</v>
      </c>
      <c r="N10802" t="s">
        <v>47304</v>
      </c>
      <c r="O10802" t="s">
        <v>47305</v>
      </c>
      <c r="Q10802">
        <v>6</v>
      </c>
      <c r="R10802" t="s">
        <v>47314</v>
      </c>
      <c r="S10802" t="s">
        <v>47636</v>
      </c>
      <c r="T10802" t="s">
        <v>49140</v>
      </c>
      <c r="U10802" t="s">
        <v>58449</v>
      </c>
      <c r="V10802" t="s">
        <v>62729</v>
      </c>
      <c r="W10802" t="s">
        <v>43259</v>
      </c>
      <c r="X10802" t="s">
        <v>47315</v>
      </c>
    </row>
    <row r="10803" spans="1:24">
      <c r="A10803">
        <f>HYPERLINK("https://www.philgeps.gov.ph/GEPSNONPILOT/Tender/SplashBidNoticeAbstractUI.aspx?menuIndex=3&amp;refID=7182294&amp;Result=3","7182294")</f>
        <v>0</v>
      </c>
      <c r="B10803" t="s">
        <v>232</v>
      </c>
      <c r="C10803" t="s">
        <v>14048</v>
      </c>
      <c r="D10803" t="s">
        <v>19017</v>
      </c>
      <c r="E10803" t="s">
        <v>28303</v>
      </c>
      <c r="F10803" t="s">
        <v>32606</v>
      </c>
      <c r="G10803" t="s">
        <v>32613</v>
      </c>
      <c r="H10803" t="s">
        <v>32623</v>
      </c>
      <c r="I10803" t="s">
        <v>17648</v>
      </c>
      <c r="J10803" t="s">
        <v>33382</v>
      </c>
      <c r="K10803" t="s">
        <v>42771</v>
      </c>
      <c r="M10803" t="s">
        <v>43133</v>
      </c>
      <c r="N10803" t="s">
        <v>47304</v>
      </c>
      <c r="O10803" t="s">
        <v>47305</v>
      </c>
      <c r="P10803">
        <v>0</v>
      </c>
      <c r="Q10803">
        <v>1</v>
      </c>
      <c r="R10803" t="s">
        <v>47314</v>
      </c>
      <c r="S10803" t="s">
        <v>47596</v>
      </c>
      <c r="T10803" t="s">
        <v>49234</v>
      </c>
      <c r="U10803" t="s">
        <v>58450</v>
      </c>
      <c r="W10803" t="s">
        <v>43133</v>
      </c>
      <c r="X10803" t="s">
        <v>47315</v>
      </c>
    </row>
    <row r="10804" spans="1:24">
      <c r="A10804">
        <f>HYPERLINK("https://www.philgeps.gov.ph/GEPSNONPILOT/Tender/SplashBidNoticeAbstractUI.aspx?menuIndex=3&amp;refID=7182293&amp;Result=3","7182293")</f>
        <v>0</v>
      </c>
      <c r="B10804" t="s">
        <v>3133</v>
      </c>
      <c r="C10804" t="s">
        <v>14049</v>
      </c>
      <c r="D10804" t="s">
        <v>19042</v>
      </c>
      <c r="E10804" t="s">
        <v>28304</v>
      </c>
      <c r="F10804" t="s">
        <v>32606</v>
      </c>
      <c r="G10804" t="s">
        <v>32613</v>
      </c>
      <c r="H10804" t="s">
        <v>32623</v>
      </c>
      <c r="I10804" t="s">
        <v>17648</v>
      </c>
      <c r="J10804" t="s">
        <v>39494</v>
      </c>
      <c r="K10804" t="s">
        <v>42634</v>
      </c>
      <c r="M10804" t="s">
        <v>46345</v>
      </c>
      <c r="N10804" t="s">
        <v>47304</v>
      </c>
      <c r="O10804" t="s">
        <v>47305</v>
      </c>
      <c r="P10804">
        <v>0</v>
      </c>
      <c r="Q10804">
        <v>0</v>
      </c>
      <c r="R10804" t="s">
        <v>47314</v>
      </c>
      <c r="S10804" t="s">
        <v>47596</v>
      </c>
      <c r="T10804" t="s">
        <v>49075</v>
      </c>
      <c r="U10804" t="s">
        <v>58451</v>
      </c>
      <c r="W10804" t="s">
        <v>46345</v>
      </c>
      <c r="X10804" t="s">
        <v>47315</v>
      </c>
    </row>
    <row r="10805" spans="1:24">
      <c r="A10805">
        <f>HYPERLINK("https://www.philgeps.gov.ph/GEPSNONPILOT/Tender/SplashBidNoticeAbstractUI.aspx?menuIndex=3&amp;refID=7182285&amp;Result=3","7182285")</f>
        <v>0</v>
      </c>
      <c r="B10805" t="s">
        <v>2119</v>
      </c>
      <c r="C10805" t="s">
        <v>14050</v>
      </c>
      <c r="D10805" t="s">
        <v>18993</v>
      </c>
      <c r="E10805" t="s">
        <v>28305</v>
      </c>
      <c r="F10805" t="s">
        <v>32607</v>
      </c>
      <c r="G10805" t="s">
        <v>32613</v>
      </c>
      <c r="H10805" t="s">
        <v>14201</v>
      </c>
      <c r="I10805" t="s">
        <v>4114</v>
      </c>
      <c r="J10805" t="s">
        <v>39495</v>
      </c>
      <c r="K10805" t="s">
        <v>42631</v>
      </c>
      <c r="M10805" t="s">
        <v>45206</v>
      </c>
      <c r="N10805" t="s">
        <v>47304</v>
      </c>
      <c r="O10805" t="s">
        <v>47305</v>
      </c>
      <c r="P10805">
        <v>0</v>
      </c>
      <c r="Q10805">
        <v>1</v>
      </c>
      <c r="R10805" t="s">
        <v>47314</v>
      </c>
      <c r="S10805" t="s">
        <v>47596</v>
      </c>
      <c r="T10805" t="s">
        <v>49215</v>
      </c>
      <c r="U10805" t="s">
        <v>58452</v>
      </c>
      <c r="V10805" t="s">
        <v>63251</v>
      </c>
      <c r="W10805" t="s">
        <v>45206</v>
      </c>
      <c r="X10805" t="s">
        <v>47315</v>
      </c>
    </row>
    <row r="10806" spans="1:24">
      <c r="A10806">
        <f>HYPERLINK("https://www.philgeps.gov.ph/GEPSNONPILOT/Tender/SplashBidNoticeAbstractUI.aspx?menuIndex=3&amp;refID=7182282&amp;Result=3","7182282")</f>
        <v>0</v>
      </c>
      <c r="B10806" t="s">
        <v>203</v>
      </c>
      <c r="C10806" t="s">
        <v>14051</v>
      </c>
      <c r="D10806" t="s">
        <v>19003</v>
      </c>
      <c r="E10806" t="s">
        <v>28275</v>
      </c>
      <c r="F10806" t="s">
        <v>32606</v>
      </c>
      <c r="G10806" t="s">
        <v>32613</v>
      </c>
      <c r="H10806" t="s">
        <v>32623</v>
      </c>
      <c r="I10806" t="s">
        <v>17648</v>
      </c>
      <c r="J10806" t="s">
        <v>39496</v>
      </c>
      <c r="K10806" t="s">
        <v>42622</v>
      </c>
      <c r="M10806" t="s">
        <v>43104</v>
      </c>
      <c r="N10806" t="s">
        <v>47304</v>
      </c>
      <c r="O10806" t="s">
        <v>47305</v>
      </c>
      <c r="P10806">
        <v>0</v>
      </c>
      <c r="Q10806">
        <v>0</v>
      </c>
      <c r="R10806" t="s">
        <v>47314</v>
      </c>
      <c r="S10806" t="s">
        <v>47596</v>
      </c>
      <c r="T10806" t="s">
        <v>49351</v>
      </c>
      <c r="U10806" t="s">
        <v>58453</v>
      </c>
      <c r="W10806" t="s">
        <v>43104</v>
      </c>
      <c r="X10806" t="s">
        <v>47315</v>
      </c>
    </row>
    <row r="10807" spans="1:24">
      <c r="A10807">
        <f>HYPERLINK("https://www.philgeps.gov.ph/GEPSNONPILOT/Tender/SplashBidNoticeAbstractUI.aspx?menuIndex=3&amp;refID=7182267&amp;Result=3","7182267")</f>
        <v>0</v>
      </c>
      <c r="B10807" t="s">
        <v>810</v>
      </c>
      <c r="C10807" t="s">
        <v>14052</v>
      </c>
      <c r="D10807" t="s">
        <v>19013</v>
      </c>
      <c r="E10807" t="s">
        <v>28306</v>
      </c>
      <c r="F10807" t="s">
        <v>32606</v>
      </c>
      <c r="G10807" t="s">
        <v>32613</v>
      </c>
      <c r="H10807" t="s">
        <v>32623</v>
      </c>
      <c r="I10807" t="s">
        <v>17648</v>
      </c>
      <c r="J10807" t="s">
        <v>39497</v>
      </c>
      <c r="K10807" t="s">
        <v>42624</v>
      </c>
      <c r="M10807" t="s">
        <v>46413</v>
      </c>
      <c r="N10807" t="s">
        <v>47304</v>
      </c>
      <c r="O10807" t="s">
        <v>47305</v>
      </c>
      <c r="P10807">
        <v>0</v>
      </c>
      <c r="Q10807">
        <v>2</v>
      </c>
      <c r="R10807" t="s">
        <v>47314</v>
      </c>
      <c r="S10807" t="s">
        <v>47596</v>
      </c>
      <c r="T10807" t="s">
        <v>49040</v>
      </c>
      <c r="U10807" t="s">
        <v>51044</v>
      </c>
      <c r="W10807" t="s">
        <v>46413</v>
      </c>
      <c r="X10807" t="s">
        <v>47315</v>
      </c>
    </row>
    <row r="10808" spans="1:24">
      <c r="A10808">
        <f>HYPERLINK("https://www.philgeps.gov.ph/GEPSNONPILOT/Tender/SplashBidNoticeAbstractUI.aspx?menuIndex=3&amp;refID=7182319&amp;Result=3","7182319")</f>
        <v>0</v>
      </c>
      <c r="B10808" t="s">
        <v>661</v>
      </c>
      <c r="C10808" t="s">
        <v>14053</v>
      </c>
      <c r="D10808" t="s">
        <v>19011</v>
      </c>
      <c r="E10808" t="s">
        <v>28307</v>
      </c>
      <c r="F10808" t="s">
        <v>32606</v>
      </c>
      <c r="G10808" t="s">
        <v>32613</v>
      </c>
      <c r="H10808" t="s">
        <v>14201</v>
      </c>
      <c r="I10808" t="s">
        <v>32655</v>
      </c>
      <c r="J10808" t="s">
        <v>39498</v>
      </c>
      <c r="K10808" t="s">
        <v>42636</v>
      </c>
      <c r="M10808" t="s">
        <v>43581</v>
      </c>
      <c r="N10808" t="s">
        <v>47304</v>
      </c>
      <c r="O10808" t="s">
        <v>47305</v>
      </c>
      <c r="P10808">
        <v>0</v>
      </c>
      <c r="Q10808">
        <v>20</v>
      </c>
      <c r="R10808" t="s">
        <v>47314</v>
      </c>
      <c r="S10808" t="s">
        <v>47596</v>
      </c>
      <c r="T10808" t="s">
        <v>49390</v>
      </c>
      <c r="U10808" t="s">
        <v>58454</v>
      </c>
      <c r="W10808" t="s">
        <v>43581</v>
      </c>
      <c r="X10808" t="s">
        <v>47315</v>
      </c>
    </row>
    <row r="10809" spans="1:24">
      <c r="A10809">
        <f>HYPERLINK("https://www.philgeps.gov.ph/GEPSNONPILOT/Tender/SplashBidNoticeAbstractUI.aspx?menuIndex=3&amp;refID=7182262&amp;Result=3","7182262")</f>
        <v>0</v>
      </c>
      <c r="B10809" t="s">
        <v>3191</v>
      </c>
      <c r="C10809" t="s">
        <v>14054</v>
      </c>
      <c r="D10809" t="s">
        <v>19010</v>
      </c>
      <c r="E10809" t="s">
        <v>20282</v>
      </c>
      <c r="F10809" t="s">
        <v>32606</v>
      </c>
      <c r="G10809" t="s">
        <v>32619</v>
      </c>
      <c r="H10809" t="s">
        <v>14201</v>
      </c>
      <c r="I10809" t="s">
        <v>6931</v>
      </c>
      <c r="J10809" t="s">
        <v>32949</v>
      </c>
      <c r="K10809" t="s">
        <v>42622</v>
      </c>
      <c r="M10809" t="s">
        <v>46416</v>
      </c>
      <c r="N10809" t="s">
        <v>47304</v>
      </c>
      <c r="O10809" t="s">
        <v>47305</v>
      </c>
      <c r="P10809">
        <v>0</v>
      </c>
      <c r="Q10809">
        <v>0</v>
      </c>
      <c r="R10809" t="s">
        <v>47314</v>
      </c>
      <c r="S10809" t="s">
        <v>47596</v>
      </c>
      <c r="T10809" t="s">
        <v>49330</v>
      </c>
      <c r="U10809" t="s">
        <v>58455</v>
      </c>
      <c r="W10809" t="s">
        <v>46416</v>
      </c>
      <c r="X10809" t="s">
        <v>47315</v>
      </c>
    </row>
    <row r="10810" spans="1:24">
      <c r="A10810">
        <f>HYPERLINK("https://www.philgeps.gov.ph/GEPSNONPILOT/Tender/SplashBidNoticeAbstractUI.aspx?menuIndex=3&amp;refID=7182043&amp;Result=3","7182043")</f>
        <v>0</v>
      </c>
      <c r="B10810" t="s">
        <v>984</v>
      </c>
      <c r="C10810" t="s">
        <v>14055</v>
      </c>
      <c r="D10810" t="s">
        <v>19039</v>
      </c>
      <c r="E10810" t="s">
        <v>28308</v>
      </c>
      <c r="F10810" t="s">
        <v>32606</v>
      </c>
      <c r="G10810" t="s">
        <v>32613</v>
      </c>
      <c r="H10810" t="s">
        <v>32623</v>
      </c>
      <c r="I10810" t="s">
        <v>17648</v>
      </c>
      <c r="J10810" t="s">
        <v>37422</v>
      </c>
      <c r="K10810" t="s">
        <v>42646</v>
      </c>
      <c r="L10810" t="s">
        <v>984</v>
      </c>
      <c r="M10810" t="s">
        <v>43930</v>
      </c>
      <c r="N10810" t="s">
        <v>47304</v>
      </c>
      <c r="O10810" t="s">
        <v>47305</v>
      </c>
      <c r="P10810">
        <v>0</v>
      </c>
      <c r="Q10810">
        <v>9</v>
      </c>
      <c r="R10810" t="s">
        <v>47314</v>
      </c>
      <c r="S10810" t="s">
        <v>47596</v>
      </c>
      <c r="T10810" t="s">
        <v>48992</v>
      </c>
      <c r="U10810" t="s">
        <v>58456</v>
      </c>
      <c r="W10810" t="s">
        <v>43930</v>
      </c>
      <c r="X10810" t="s">
        <v>47315</v>
      </c>
    </row>
    <row r="10811" spans="1:24">
      <c r="A10811">
        <f>HYPERLINK("https://www.philgeps.gov.ph/GEPSNONPILOT/Tender/SplashBidNoticeAbstractUI.aspx?menuIndex=3&amp;refID=7182252&amp;Result=3","7182252")</f>
        <v>0</v>
      </c>
      <c r="B10811" t="s">
        <v>3130</v>
      </c>
      <c r="C10811" t="s">
        <v>14056</v>
      </c>
      <c r="D10811" t="s">
        <v>19056</v>
      </c>
      <c r="E10811" t="s">
        <v>20419</v>
      </c>
      <c r="F10811" t="s">
        <v>32606</v>
      </c>
      <c r="G10811" t="s">
        <v>32613</v>
      </c>
      <c r="H10811" t="s">
        <v>32623</v>
      </c>
      <c r="I10811" t="s">
        <v>17648</v>
      </c>
      <c r="J10811" t="s">
        <v>39499</v>
      </c>
      <c r="K10811" t="s">
        <v>42623</v>
      </c>
      <c r="M10811" t="s">
        <v>46342</v>
      </c>
      <c r="N10811" t="s">
        <v>47304</v>
      </c>
      <c r="O10811" t="s">
        <v>47305</v>
      </c>
      <c r="P10811">
        <v>0</v>
      </c>
      <c r="Q10811">
        <v>1</v>
      </c>
      <c r="R10811" t="s">
        <v>47314</v>
      </c>
      <c r="S10811" t="s">
        <v>47596</v>
      </c>
      <c r="T10811" t="s">
        <v>49075</v>
      </c>
      <c r="U10811" t="s">
        <v>58457</v>
      </c>
      <c r="W10811" t="s">
        <v>46342</v>
      </c>
      <c r="X10811" t="s">
        <v>47315</v>
      </c>
    </row>
    <row r="10812" spans="1:24">
      <c r="A10812">
        <f>HYPERLINK("https://www.philgeps.gov.ph/GEPSNONPILOT/Tender/SplashBidNoticeAbstractUI.aspx?menuIndex=3&amp;refID=7182273&amp;Result=3","7182273")</f>
        <v>0</v>
      </c>
      <c r="B10812" t="s">
        <v>1208</v>
      </c>
      <c r="C10812" t="s">
        <v>6007</v>
      </c>
      <c r="D10812" t="s">
        <v>19026</v>
      </c>
      <c r="E10812" t="s">
        <v>28309</v>
      </c>
      <c r="F10812" t="s">
        <v>32606</v>
      </c>
      <c r="G10812" t="s">
        <v>32613</v>
      </c>
      <c r="H10812" t="s">
        <v>14201</v>
      </c>
      <c r="I10812" t="s">
        <v>6007</v>
      </c>
      <c r="J10812" t="s">
        <v>33102</v>
      </c>
      <c r="K10812" t="s">
        <v>42624</v>
      </c>
      <c r="M10812" t="s">
        <v>44173</v>
      </c>
      <c r="N10812" t="s">
        <v>47304</v>
      </c>
      <c r="O10812" t="s">
        <v>47305</v>
      </c>
      <c r="P10812">
        <v>0</v>
      </c>
      <c r="Q10812">
        <v>0</v>
      </c>
      <c r="R10812" t="s">
        <v>47314</v>
      </c>
      <c r="S10812" t="s">
        <v>47596</v>
      </c>
      <c r="T10812" t="s">
        <v>49269</v>
      </c>
      <c r="U10812" t="s">
        <v>58458</v>
      </c>
      <c r="W10812" t="s">
        <v>44173</v>
      </c>
      <c r="X10812" t="s">
        <v>47315</v>
      </c>
    </row>
    <row r="10813" spans="1:24">
      <c r="A10813">
        <f>HYPERLINK("https://www.philgeps.gov.ph/GEPSNONPILOT/Tender/SplashBidNoticeAbstractUI.aspx?menuIndex=3&amp;refID=7182314&amp;Result=3","7182314")</f>
        <v>0</v>
      </c>
      <c r="B10813" t="s">
        <v>203</v>
      </c>
      <c r="C10813" t="s">
        <v>14057</v>
      </c>
      <c r="D10813" t="s">
        <v>19003</v>
      </c>
      <c r="E10813" t="s">
        <v>28275</v>
      </c>
      <c r="F10813" t="s">
        <v>32606</v>
      </c>
      <c r="G10813" t="s">
        <v>32613</v>
      </c>
      <c r="H10813" t="s">
        <v>14201</v>
      </c>
      <c r="I10813" t="s">
        <v>32699</v>
      </c>
      <c r="J10813" t="s">
        <v>35810</v>
      </c>
      <c r="K10813" t="s">
        <v>42622</v>
      </c>
      <c r="M10813" t="s">
        <v>43104</v>
      </c>
      <c r="N10813" t="s">
        <v>47304</v>
      </c>
      <c r="O10813" t="s">
        <v>47305</v>
      </c>
      <c r="P10813">
        <v>0</v>
      </c>
      <c r="Q10813">
        <v>1</v>
      </c>
      <c r="R10813" t="s">
        <v>47314</v>
      </c>
      <c r="S10813" t="s">
        <v>47596</v>
      </c>
      <c r="T10813" t="s">
        <v>49064</v>
      </c>
      <c r="U10813" t="s">
        <v>58459</v>
      </c>
      <c r="W10813" t="s">
        <v>43104</v>
      </c>
      <c r="X10813" t="s">
        <v>47315</v>
      </c>
    </row>
    <row r="10814" spans="1:24">
      <c r="A10814">
        <f>HYPERLINK("https://www.philgeps.gov.ph/GEPSNONPILOT/Tender/SplashBidNoticeAbstractUI.aspx?menuIndex=3&amp;refID=7182417&amp;Result=3","7182417")</f>
        <v>0</v>
      </c>
      <c r="B10814" t="s">
        <v>3195</v>
      </c>
      <c r="C10814" t="s">
        <v>14058</v>
      </c>
      <c r="D10814" t="s">
        <v>19018</v>
      </c>
      <c r="E10814" t="s">
        <v>28310</v>
      </c>
      <c r="F10814" t="s">
        <v>32606</v>
      </c>
      <c r="G10814" t="s">
        <v>32613</v>
      </c>
      <c r="H10814" t="s">
        <v>14201</v>
      </c>
      <c r="I10814" t="s">
        <v>13131</v>
      </c>
      <c r="J10814" t="s">
        <v>39500</v>
      </c>
      <c r="K10814" t="s">
        <v>42636</v>
      </c>
      <c r="M10814" t="s">
        <v>46420</v>
      </c>
      <c r="N10814" t="s">
        <v>47304</v>
      </c>
      <c r="O10814" t="s">
        <v>47305</v>
      </c>
      <c r="P10814">
        <v>0</v>
      </c>
      <c r="Q10814">
        <v>17</v>
      </c>
      <c r="R10814" t="s">
        <v>47314</v>
      </c>
      <c r="S10814" t="s">
        <v>47596</v>
      </c>
      <c r="T10814" t="s">
        <v>49052</v>
      </c>
      <c r="U10814" t="s">
        <v>58460</v>
      </c>
      <c r="W10814" t="s">
        <v>46420</v>
      </c>
      <c r="X10814" t="s">
        <v>47315</v>
      </c>
    </row>
    <row r="10815" spans="1:24">
      <c r="A10815">
        <f>HYPERLINK("https://www.philgeps.gov.ph/GEPSNONPILOT/Tender/SplashBidNoticeAbstractUI.aspx?menuIndex=3&amp;refID=7182415&amp;Result=3","7182415")</f>
        <v>0</v>
      </c>
      <c r="B10815" t="s">
        <v>984</v>
      </c>
      <c r="C10815" t="s">
        <v>14059</v>
      </c>
      <c r="D10815" t="s">
        <v>19039</v>
      </c>
      <c r="E10815" t="s">
        <v>28311</v>
      </c>
      <c r="F10815" t="s">
        <v>32606</v>
      </c>
      <c r="G10815" t="s">
        <v>32613</v>
      </c>
      <c r="H10815" t="s">
        <v>14201</v>
      </c>
      <c r="I10815" t="s">
        <v>4678</v>
      </c>
      <c r="J10815" t="s">
        <v>33167</v>
      </c>
      <c r="K10815" t="s">
        <v>42623</v>
      </c>
      <c r="L10815" t="s">
        <v>984</v>
      </c>
      <c r="M10815" t="s">
        <v>43930</v>
      </c>
      <c r="N10815" t="s">
        <v>47304</v>
      </c>
      <c r="O10815" t="s">
        <v>47305</v>
      </c>
      <c r="P10815">
        <v>0</v>
      </c>
      <c r="Q10815">
        <v>1</v>
      </c>
      <c r="R10815" t="s">
        <v>47314</v>
      </c>
      <c r="S10815" t="s">
        <v>47596</v>
      </c>
      <c r="T10815" t="s">
        <v>48992</v>
      </c>
      <c r="U10815" t="s">
        <v>58461</v>
      </c>
      <c r="W10815" t="s">
        <v>43930</v>
      </c>
      <c r="X10815" t="s">
        <v>47315</v>
      </c>
    </row>
    <row r="10816" spans="1:24">
      <c r="A10816">
        <f>HYPERLINK("https://www.philgeps.gov.ph/GEPSNONPILOT/Tender/SplashBidNoticeAbstractUI.aspx?menuIndex=3&amp;refID=7182414&amp;Result=3","7182414")</f>
        <v>0</v>
      </c>
      <c r="B10816" t="s">
        <v>321</v>
      </c>
      <c r="C10816" t="s">
        <v>14060</v>
      </c>
      <c r="D10816" t="s">
        <v>19048</v>
      </c>
      <c r="E10816" t="s">
        <v>28312</v>
      </c>
      <c r="F10816" t="s">
        <v>32606</v>
      </c>
      <c r="G10816" t="s">
        <v>32613</v>
      </c>
      <c r="H10816" t="s">
        <v>32623</v>
      </c>
      <c r="I10816" t="s">
        <v>17648</v>
      </c>
      <c r="J10816" t="s">
        <v>32923</v>
      </c>
      <c r="K10816" t="s">
        <v>42624</v>
      </c>
      <c r="M10816" t="s">
        <v>43223</v>
      </c>
      <c r="N10816" t="s">
        <v>47304</v>
      </c>
      <c r="O10816" t="s">
        <v>47305</v>
      </c>
      <c r="P10816">
        <v>0</v>
      </c>
      <c r="Q10816">
        <v>0</v>
      </c>
      <c r="R10816" t="s">
        <v>47314</v>
      </c>
      <c r="S10816" t="s">
        <v>47596</v>
      </c>
      <c r="T10816" t="s">
        <v>49052</v>
      </c>
      <c r="U10816" t="s">
        <v>58462</v>
      </c>
      <c r="W10816" t="s">
        <v>43223</v>
      </c>
      <c r="X10816" t="s">
        <v>47315</v>
      </c>
    </row>
    <row r="10817" spans="1:24">
      <c r="A10817">
        <f>HYPERLINK("https://www.philgeps.gov.ph/GEPSNONPILOT/Tender/SplashBidNoticeAbstractUI.aspx?menuIndex=3&amp;refID=7182413&amp;Result=3","7182413")</f>
        <v>0</v>
      </c>
      <c r="B10817" t="s">
        <v>3196</v>
      </c>
      <c r="C10817" t="s">
        <v>14061</v>
      </c>
      <c r="D10817" t="s">
        <v>18993</v>
      </c>
      <c r="E10817" t="s">
        <v>28313</v>
      </c>
      <c r="F10817" t="s">
        <v>32606</v>
      </c>
      <c r="G10817" t="s">
        <v>32619</v>
      </c>
      <c r="H10817" t="s">
        <v>14201</v>
      </c>
      <c r="I10817" t="s">
        <v>32677</v>
      </c>
      <c r="J10817" t="s">
        <v>34527</v>
      </c>
      <c r="K10817" t="s">
        <v>42623</v>
      </c>
      <c r="M10817" t="s">
        <v>46421</v>
      </c>
      <c r="N10817" t="s">
        <v>47304</v>
      </c>
      <c r="O10817" t="s">
        <v>47305</v>
      </c>
      <c r="Q10817">
        <v>2</v>
      </c>
      <c r="R10817" t="s">
        <v>47314</v>
      </c>
      <c r="S10817" t="s">
        <v>47637</v>
      </c>
      <c r="T10817" t="s">
        <v>49327</v>
      </c>
      <c r="U10817" t="s">
        <v>58463</v>
      </c>
      <c r="V10817" t="s">
        <v>63796</v>
      </c>
      <c r="W10817" t="s">
        <v>46421</v>
      </c>
      <c r="X10817" t="s">
        <v>47315</v>
      </c>
    </row>
    <row r="10818" spans="1:24">
      <c r="A10818">
        <f>HYPERLINK("https://www.philgeps.gov.ph/GEPSNONPILOT/Tender/SplashBidNoticeAbstractUI.aspx?menuIndex=3&amp;refID=7182411&amp;Result=3","7182411")</f>
        <v>0</v>
      </c>
      <c r="B10818" t="s">
        <v>3172</v>
      </c>
      <c r="C10818" t="s">
        <v>14062</v>
      </c>
      <c r="D10818" t="s">
        <v>19056</v>
      </c>
      <c r="E10818" t="s">
        <v>28314</v>
      </c>
      <c r="F10818" t="s">
        <v>32606</v>
      </c>
      <c r="G10818" t="s">
        <v>32613</v>
      </c>
      <c r="H10818" t="s">
        <v>14201</v>
      </c>
      <c r="I10818" t="s">
        <v>32630</v>
      </c>
      <c r="J10818" t="s">
        <v>32781</v>
      </c>
      <c r="K10818" t="s">
        <v>42624</v>
      </c>
      <c r="M10818" t="s">
        <v>46393</v>
      </c>
      <c r="N10818" t="s">
        <v>47304</v>
      </c>
      <c r="O10818" t="s">
        <v>47305</v>
      </c>
      <c r="P10818">
        <v>0</v>
      </c>
      <c r="Q10818">
        <v>2</v>
      </c>
      <c r="R10818" t="s">
        <v>47314</v>
      </c>
      <c r="S10818" t="s">
        <v>47596</v>
      </c>
      <c r="T10818" t="s">
        <v>49341</v>
      </c>
      <c r="U10818" t="s">
        <v>58464</v>
      </c>
      <c r="W10818" t="s">
        <v>46393</v>
      </c>
      <c r="X10818" t="s">
        <v>47315</v>
      </c>
    </row>
    <row r="10819" spans="1:24">
      <c r="A10819">
        <f>HYPERLINK("https://www.philgeps.gov.ph/GEPSNONPILOT/Tender/SplashBidNoticeAbstractUI.aspx?menuIndex=3&amp;refID=7182410&amp;Result=3","7182410")</f>
        <v>0</v>
      </c>
      <c r="B10819" t="s">
        <v>232</v>
      </c>
      <c r="C10819" t="s">
        <v>14063</v>
      </c>
      <c r="D10819" t="s">
        <v>19017</v>
      </c>
      <c r="E10819" t="s">
        <v>28315</v>
      </c>
      <c r="F10819" t="s">
        <v>32606</v>
      </c>
      <c r="G10819" t="s">
        <v>32613</v>
      </c>
      <c r="H10819" t="s">
        <v>32623</v>
      </c>
      <c r="I10819" t="s">
        <v>17648</v>
      </c>
      <c r="J10819" t="s">
        <v>39501</v>
      </c>
      <c r="K10819" t="s">
        <v>42641</v>
      </c>
      <c r="M10819" t="s">
        <v>43133</v>
      </c>
      <c r="N10819" t="s">
        <v>47304</v>
      </c>
      <c r="O10819" t="s">
        <v>47305</v>
      </c>
      <c r="P10819">
        <v>0</v>
      </c>
      <c r="Q10819">
        <v>0</v>
      </c>
      <c r="R10819" t="s">
        <v>47314</v>
      </c>
      <c r="S10819" t="s">
        <v>47596</v>
      </c>
      <c r="T10819" t="s">
        <v>49234</v>
      </c>
      <c r="U10819" t="s">
        <v>58465</v>
      </c>
      <c r="W10819" t="s">
        <v>43133</v>
      </c>
      <c r="X10819" t="s">
        <v>47315</v>
      </c>
    </row>
    <row r="10820" spans="1:24">
      <c r="A10820">
        <f>HYPERLINK("https://www.philgeps.gov.ph/GEPSNONPILOT/Tender/SplashBidNoticeAbstractUI.aspx?menuIndex=3&amp;refID=7182408&amp;Result=3","7182408")</f>
        <v>0</v>
      </c>
      <c r="B10820" t="s">
        <v>3182</v>
      </c>
      <c r="C10820" t="s">
        <v>14064</v>
      </c>
      <c r="D10820" t="s">
        <v>19024</v>
      </c>
      <c r="E10820" t="s">
        <v>28276</v>
      </c>
      <c r="F10820" t="s">
        <v>32606</v>
      </c>
      <c r="G10820" t="s">
        <v>32613</v>
      </c>
      <c r="H10820" t="s">
        <v>14201</v>
      </c>
      <c r="I10820" t="s">
        <v>32633</v>
      </c>
      <c r="J10820" t="s">
        <v>39502</v>
      </c>
      <c r="K10820" t="s">
        <v>42624</v>
      </c>
      <c r="M10820" t="s">
        <v>46406</v>
      </c>
      <c r="N10820" t="s">
        <v>47304</v>
      </c>
      <c r="O10820" t="s">
        <v>47305</v>
      </c>
      <c r="P10820">
        <v>0</v>
      </c>
      <c r="Q10820">
        <v>8</v>
      </c>
      <c r="R10820" t="s">
        <v>47314</v>
      </c>
      <c r="S10820" t="s">
        <v>47596</v>
      </c>
      <c r="T10820" t="s">
        <v>49157</v>
      </c>
      <c r="U10820" t="s">
        <v>58409</v>
      </c>
      <c r="V10820" t="s">
        <v>63790</v>
      </c>
      <c r="W10820" t="s">
        <v>46406</v>
      </c>
      <c r="X10820" t="s">
        <v>47315</v>
      </c>
    </row>
    <row r="10821" spans="1:24">
      <c r="A10821">
        <f>HYPERLINK("https://www.philgeps.gov.ph/GEPSNONPILOT/Tender/SplashBidNoticeAbstractUI.aspx?menuIndex=3&amp;refID=7182256&amp;Result=3","7182256")</f>
        <v>0</v>
      </c>
      <c r="B10821" t="s">
        <v>810</v>
      </c>
      <c r="C10821" t="s">
        <v>14065</v>
      </c>
      <c r="D10821" t="s">
        <v>19013</v>
      </c>
      <c r="E10821" t="s">
        <v>28316</v>
      </c>
      <c r="F10821" t="s">
        <v>32606</v>
      </c>
      <c r="G10821" t="s">
        <v>32613</v>
      </c>
      <c r="H10821" t="s">
        <v>32623</v>
      </c>
      <c r="I10821" t="s">
        <v>17648</v>
      </c>
      <c r="J10821" t="s">
        <v>39503</v>
      </c>
      <c r="K10821" t="s">
        <v>42624</v>
      </c>
      <c r="M10821" t="s">
        <v>46413</v>
      </c>
      <c r="N10821" t="s">
        <v>47304</v>
      </c>
      <c r="O10821" t="s">
        <v>47305</v>
      </c>
      <c r="P10821">
        <v>0</v>
      </c>
      <c r="Q10821">
        <v>2</v>
      </c>
      <c r="R10821" t="s">
        <v>47314</v>
      </c>
      <c r="S10821" t="s">
        <v>47596</v>
      </c>
      <c r="T10821" t="s">
        <v>49040</v>
      </c>
      <c r="U10821" t="s">
        <v>58466</v>
      </c>
      <c r="W10821" t="s">
        <v>46413</v>
      </c>
      <c r="X10821" t="s">
        <v>47315</v>
      </c>
    </row>
    <row r="10822" spans="1:24">
      <c r="A10822">
        <f>HYPERLINK("https://www.philgeps.gov.ph/GEPSNONPILOT/Tender/SplashBidNoticeAbstractUI.aspx?menuIndex=3&amp;refID=7182407&amp;Result=3","7182407")</f>
        <v>0</v>
      </c>
      <c r="B10822" t="s">
        <v>3189</v>
      </c>
      <c r="C10822" t="s">
        <v>14066</v>
      </c>
      <c r="D10822" t="s">
        <v>19027</v>
      </c>
      <c r="E10822" t="s">
        <v>28293</v>
      </c>
      <c r="F10822" t="s">
        <v>32606</v>
      </c>
      <c r="G10822" t="s">
        <v>32613</v>
      </c>
      <c r="H10822" t="s">
        <v>14201</v>
      </c>
      <c r="I10822" t="s">
        <v>32631</v>
      </c>
      <c r="J10822" t="s">
        <v>39504</v>
      </c>
      <c r="K10822" t="s">
        <v>42623</v>
      </c>
      <c r="L10822" t="s">
        <v>3189</v>
      </c>
      <c r="M10822" t="s">
        <v>46414</v>
      </c>
      <c r="N10822" t="s">
        <v>47304</v>
      </c>
      <c r="O10822" t="s">
        <v>47305</v>
      </c>
      <c r="P10822">
        <v>0</v>
      </c>
      <c r="Q10822">
        <v>0</v>
      </c>
      <c r="R10822" t="s">
        <v>47314</v>
      </c>
      <c r="S10822" t="s">
        <v>47596</v>
      </c>
      <c r="T10822" t="s">
        <v>49451</v>
      </c>
      <c r="U10822" t="s">
        <v>58467</v>
      </c>
      <c r="V10822" t="s">
        <v>63797</v>
      </c>
      <c r="W10822" t="s">
        <v>46414</v>
      </c>
      <c r="X10822" t="s">
        <v>47315</v>
      </c>
    </row>
    <row r="10823" spans="1:24">
      <c r="A10823">
        <f>HYPERLINK("https://www.philgeps.gov.ph/GEPSNONPILOT/Tender/SplashBidNoticeAbstractUI.aspx?menuIndex=3&amp;refID=7182348&amp;Result=3","7182348")</f>
        <v>0</v>
      </c>
      <c r="B10823" t="s">
        <v>535</v>
      </c>
      <c r="C10823" t="s">
        <v>14067</v>
      </c>
      <c r="D10823" t="s">
        <v>19031</v>
      </c>
      <c r="E10823" t="s">
        <v>28317</v>
      </c>
      <c r="F10823" t="s">
        <v>32606</v>
      </c>
      <c r="G10823" t="s">
        <v>32613</v>
      </c>
      <c r="H10823" t="s">
        <v>14201</v>
      </c>
      <c r="I10823" t="s">
        <v>7677</v>
      </c>
      <c r="J10823" t="s">
        <v>39505</v>
      </c>
      <c r="K10823" t="s">
        <v>42636</v>
      </c>
      <c r="M10823" t="s">
        <v>43448</v>
      </c>
      <c r="N10823" t="s">
        <v>47304</v>
      </c>
      <c r="O10823" t="s">
        <v>47305</v>
      </c>
      <c r="P10823">
        <v>0</v>
      </c>
      <c r="Q10823">
        <v>2</v>
      </c>
      <c r="R10823" t="s">
        <v>47314</v>
      </c>
      <c r="S10823" t="s">
        <v>47596</v>
      </c>
      <c r="T10823" t="s">
        <v>49268</v>
      </c>
      <c r="U10823" t="s">
        <v>58468</v>
      </c>
      <c r="W10823" t="s">
        <v>43448</v>
      </c>
      <c r="X10823" t="s">
        <v>47315</v>
      </c>
    </row>
    <row r="10824" spans="1:24">
      <c r="A10824">
        <f>HYPERLINK("https://www.philgeps.gov.ph/GEPSNONPILOT/Tender/SplashBidNoticeAbstractUI.aspx?menuIndex=3&amp;refID=7182401&amp;Result=3","7182401")</f>
        <v>0</v>
      </c>
      <c r="B10824" t="s">
        <v>3197</v>
      </c>
      <c r="C10824" t="s">
        <v>14068</v>
      </c>
      <c r="D10824" t="s">
        <v>19016</v>
      </c>
      <c r="E10824" t="s">
        <v>28318</v>
      </c>
      <c r="F10824" t="s">
        <v>32606</v>
      </c>
      <c r="G10824" t="s">
        <v>32613</v>
      </c>
      <c r="H10824" t="s">
        <v>14201</v>
      </c>
      <c r="I10824" t="s">
        <v>4114</v>
      </c>
      <c r="J10824" t="s">
        <v>39506</v>
      </c>
      <c r="K10824" t="s">
        <v>42623</v>
      </c>
      <c r="M10824" t="s">
        <v>46422</v>
      </c>
      <c r="N10824" t="s">
        <v>47304</v>
      </c>
      <c r="O10824" t="s">
        <v>47305</v>
      </c>
      <c r="P10824">
        <v>0</v>
      </c>
      <c r="Q10824">
        <v>0</v>
      </c>
      <c r="R10824" t="s">
        <v>47314</v>
      </c>
      <c r="S10824" t="s">
        <v>47596</v>
      </c>
      <c r="T10824" t="s">
        <v>49052</v>
      </c>
      <c r="U10824" t="s">
        <v>58469</v>
      </c>
      <c r="V10824" t="s">
        <v>63798</v>
      </c>
      <c r="W10824" t="s">
        <v>46422</v>
      </c>
      <c r="X10824" t="s">
        <v>47315</v>
      </c>
    </row>
    <row r="10825" spans="1:24">
      <c r="A10825">
        <f>HYPERLINK("https://www.philgeps.gov.ph/GEPSNONPILOT/Tender/SplashBidNoticeAbstractUI.aspx?menuIndex=3&amp;refID=7182391&amp;Result=3","7182391")</f>
        <v>0</v>
      </c>
      <c r="B10825" t="s">
        <v>2119</v>
      </c>
      <c r="C10825" t="s">
        <v>14069</v>
      </c>
      <c r="D10825" t="s">
        <v>18993</v>
      </c>
      <c r="E10825" t="s">
        <v>28319</v>
      </c>
      <c r="F10825" t="s">
        <v>32607</v>
      </c>
      <c r="G10825" t="s">
        <v>32613</v>
      </c>
      <c r="H10825" t="s">
        <v>14201</v>
      </c>
      <c r="I10825" t="s">
        <v>6931</v>
      </c>
      <c r="J10825" t="s">
        <v>32920</v>
      </c>
      <c r="K10825" t="s">
        <v>42631</v>
      </c>
      <c r="M10825" t="s">
        <v>45206</v>
      </c>
      <c r="N10825" t="s">
        <v>47304</v>
      </c>
      <c r="O10825" t="s">
        <v>47305</v>
      </c>
      <c r="P10825">
        <v>0</v>
      </c>
      <c r="Q10825">
        <v>0</v>
      </c>
      <c r="R10825" t="s">
        <v>47314</v>
      </c>
      <c r="S10825" t="s">
        <v>47596</v>
      </c>
      <c r="T10825" t="s">
        <v>49017</v>
      </c>
      <c r="U10825" t="s">
        <v>58470</v>
      </c>
      <c r="V10825" t="s">
        <v>63251</v>
      </c>
      <c r="W10825" t="s">
        <v>45206</v>
      </c>
      <c r="X10825" t="s">
        <v>47315</v>
      </c>
    </row>
    <row r="10826" spans="1:24">
      <c r="A10826">
        <f>HYPERLINK("https://www.philgeps.gov.ph/GEPSNONPILOT/Tender/SplashBidNoticeAbstractUI.aspx?menuIndex=3&amp;refID=7182270&amp;Result=3","7182270")</f>
        <v>0</v>
      </c>
      <c r="B10826" t="s">
        <v>984</v>
      </c>
      <c r="C10826" t="s">
        <v>14070</v>
      </c>
      <c r="D10826" t="s">
        <v>19039</v>
      </c>
      <c r="E10826" t="s">
        <v>28320</v>
      </c>
      <c r="F10826" t="s">
        <v>32606</v>
      </c>
      <c r="G10826" t="s">
        <v>32613</v>
      </c>
      <c r="H10826" t="s">
        <v>14201</v>
      </c>
      <c r="I10826" t="s">
        <v>32650</v>
      </c>
      <c r="J10826" t="s">
        <v>39507</v>
      </c>
      <c r="K10826" t="s">
        <v>42631</v>
      </c>
      <c r="L10826" t="s">
        <v>984</v>
      </c>
      <c r="M10826" t="s">
        <v>43930</v>
      </c>
      <c r="N10826" t="s">
        <v>47304</v>
      </c>
      <c r="O10826" t="s">
        <v>47305</v>
      </c>
      <c r="P10826">
        <v>0</v>
      </c>
      <c r="Q10826">
        <v>2</v>
      </c>
      <c r="R10826" t="s">
        <v>47314</v>
      </c>
      <c r="S10826" t="s">
        <v>47596</v>
      </c>
      <c r="T10826" t="s">
        <v>48992</v>
      </c>
      <c r="U10826" t="s">
        <v>58471</v>
      </c>
      <c r="W10826" t="s">
        <v>43930</v>
      </c>
      <c r="X10826" t="s">
        <v>47315</v>
      </c>
    </row>
    <row r="10827" spans="1:24">
      <c r="A10827">
        <f>HYPERLINK("https://www.philgeps.gov.ph/GEPSNONPILOT/Tender/SplashBidNoticeAbstractUI.aspx?menuIndex=3&amp;refID=7182388&amp;Result=3","7182388")</f>
        <v>0</v>
      </c>
      <c r="B10827" t="s">
        <v>2728</v>
      </c>
      <c r="C10827" t="s">
        <v>14071</v>
      </c>
      <c r="D10827" t="s">
        <v>19003</v>
      </c>
      <c r="E10827" t="s">
        <v>20168</v>
      </c>
      <c r="F10827" t="s">
        <v>32606</v>
      </c>
      <c r="G10827" t="s">
        <v>32613</v>
      </c>
      <c r="H10827" t="s">
        <v>14201</v>
      </c>
      <c r="I10827" t="s">
        <v>6931</v>
      </c>
      <c r="J10827" t="s">
        <v>39508</v>
      </c>
      <c r="K10827" t="s">
        <v>42622</v>
      </c>
      <c r="M10827" t="s">
        <v>45883</v>
      </c>
      <c r="N10827" t="s">
        <v>47304</v>
      </c>
      <c r="O10827" t="s">
        <v>47305</v>
      </c>
      <c r="Q10827">
        <v>0</v>
      </c>
      <c r="R10827" t="s">
        <v>47314</v>
      </c>
      <c r="S10827" t="s">
        <v>47638</v>
      </c>
      <c r="T10827" t="s">
        <v>49256</v>
      </c>
      <c r="U10827" t="s">
        <v>58472</v>
      </c>
      <c r="W10827" t="s">
        <v>45883</v>
      </c>
      <c r="X10827" t="s">
        <v>47315</v>
      </c>
    </row>
    <row r="10828" spans="1:24">
      <c r="A10828">
        <f>HYPERLINK("https://www.philgeps.gov.ph/GEPSNONPILOT/Tender/SplashBidNoticeAbstractUI.aspx?menuIndex=3&amp;refID=7182405&amp;Result=3","7182405")</f>
        <v>0</v>
      </c>
      <c r="B10828" t="s">
        <v>1014</v>
      </c>
      <c r="C10828" t="s">
        <v>14072</v>
      </c>
      <c r="D10828" t="s">
        <v>19056</v>
      </c>
      <c r="E10828" t="s">
        <v>28321</v>
      </c>
      <c r="F10828" t="s">
        <v>32606</v>
      </c>
      <c r="G10828" t="s">
        <v>32614</v>
      </c>
      <c r="H10828" t="s">
        <v>14201</v>
      </c>
      <c r="I10828" t="s">
        <v>4112</v>
      </c>
      <c r="J10828" t="s">
        <v>35537</v>
      </c>
      <c r="K10828" t="s">
        <v>42646</v>
      </c>
      <c r="M10828" t="s">
        <v>46082</v>
      </c>
      <c r="N10828" t="s">
        <v>47304</v>
      </c>
      <c r="O10828" t="s">
        <v>47305</v>
      </c>
      <c r="Q10828">
        <v>0</v>
      </c>
      <c r="R10828" t="s">
        <v>47314</v>
      </c>
      <c r="S10828" t="s">
        <v>47639</v>
      </c>
      <c r="T10828" t="s">
        <v>49200</v>
      </c>
      <c r="U10828" t="s">
        <v>58473</v>
      </c>
      <c r="W10828" t="s">
        <v>46082</v>
      </c>
      <c r="X10828" t="s">
        <v>47315</v>
      </c>
    </row>
    <row r="10829" spans="1:24">
      <c r="A10829">
        <f>HYPERLINK("https://www.philgeps.gov.ph/GEPSNONPILOT/Tender/SplashBidNoticeAbstractUI.aspx?menuIndex=3&amp;refID=7182361&amp;Result=3","7182361")</f>
        <v>0</v>
      </c>
      <c r="B10829" t="s">
        <v>1717</v>
      </c>
      <c r="C10829" t="s">
        <v>14073</v>
      </c>
      <c r="D10829" t="s">
        <v>19068</v>
      </c>
      <c r="E10829" t="s">
        <v>28322</v>
      </c>
      <c r="F10829" t="s">
        <v>32606</v>
      </c>
      <c r="G10829" t="s">
        <v>32613</v>
      </c>
      <c r="H10829" t="s">
        <v>32623</v>
      </c>
      <c r="I10829" t="s">
        <v>17648</v>
      </c>
      <c r="J10829" t="s">
        <v>39509</v>
      </c>
      <c r="K10829" t="s">
        <v>42676</v>
      </c>
      <c r="M10829" t="s">
        <v>44749</v>
      </c>
      <c r="N10829" t="s">
        <v>47304</v>
      </c>
      <c r="O10829" t="s">
        <v>47305</v>
      </c>
      <c r="P10829">
        <v>0</v>
      </c>
      <c r="Q10829">
        <v>0</v>
      </c>
      <c r="R10829" t="s">
        <v>47314</v>
      </c>
      <c r="S10829" t="s">
        <v>47596</v>
      </c>
      <c r="T10829" t="s">
        <v>48986</v>
      </c>
      <c r="U10829" t="s">
        <v>58474</v>
      </c>
      <c r="W10829" t="s">
        <v>44749</v>
      </c>
      <c r="X10829" t="s">
        <v>47315</v>
      </c>
    </row>
    <row r="10830" spans="1:24">
      <c r="A10830">
        <f>HYPERLINK("https://www.philgeps.gov.ph/GEPSNONPILOT/Tender/SplashBidNoticeAbstractUI.aspx?menuIndex=3&amp;refID=7182355&amp;Result=3","7182355")</f>
        <v>0</v>
      </c>
      <c r="B10830" t="s">
        <v>321</v>
      </c>
      <c r="C10830" t="s">
        <v>14074</v>
      </c>
      <c r="D10830" t="s">
        <v>19048</v>
      </c>
      <c r="E10830" t="s">
        <v>28323</v>
      </c>
      <c r="F10830" t="s">
        <v>32606</v>
      </c>
      <c r="G10830" t="s">
        <v>32613</v>
      </c>
      <c r="H10830" t="s">
        <v>32623</v>
      </c>
      <c r="I10830" t="s">
        <v>17648</v>
      </c>
      <c r="J10830" t="s">
        <v>39510</v>
      </c>
      <c r="K10830" t="s">
        <v>42624</v>
      </c>
      <c r="M10830" t="s">
        <v>43223</v>
      </c>
      <c r="N10830" t="s">
        <v>47304</v>
      </c>
      <c r="O10830" t="s">
        <v>47305</v>
      </c>
      <c r="P10830">
        <v>0</v>
      </c>
      <c r="Q10830">
        <v>0</v>
      </c>
      <c r="R10830" t="s">
        <v>47314</v>
      </c>
      <c r="S10830" t="s">
        <v>47596</v>
      </c>
      <c r="T10830" t="s">
        <v>49052</v>
      </c>
      <c r="U10830" t="s">
        <v>58462</v>
      </c>
      <c r="W10830" t="s">
        <v>43223</v>
      </c>
      <c r="X10830" t="s">
        <v>47315</v>
      </c>
    </row>
    <row r="10831" spans="1:24">
      <c r="A10831">
        <f>HYPERLINK("https://www.philgeps.gov.ph/GEPSNONPILOT/Tender/SplashBidNoticeAbstractUI.aspx?menuIndex=3&amp;refID=7182409&amp;Result=3","7182409")</f>
        <v>0</v>
      </c>
      <c r="B10831" t="s">
        <v>1532</v>
      </c>
      <c r="C10831" t="s">
        <v>14075</v>
      </c>
      <c r="D10831" t="s">
        <v>19057</v>
      </c>
      <c r="E10831" t="s">
        <v>28324</v>
      </c>
      <c r="F10831" t="s">
        <v>32606</v>
      </c>
      <c r="G10831" t="s">
        <v>32613</v>
      </c>
      <c r="H10831" t="s">
        <v>32623</v>
      </c>
      <c r="I10831" t="s">
        <v>17648</v>
      </c>
      <c r="J10831" t="s">
        <v>32923</v>
      </c>
      <c r="K10831" t="s">
        <v>42631</v>
      </c>
      <c r="M10831" t="s">
        <v>44535</v>
      </c>
      <c r="N10831" t="s">
        <v>47304</v>
      </c>
      <c r="O10831" t="s">
        <v>47305</v>
      </c>
      <c r="P10831">
        <v>0</v>
      </c>
      <c r="Q10831">
        <v>0</v>
      </c>
      <c r="R10831" t="s">
        <v>47314</v>
      </c>
      <c r="S10831" t="s">
        <v>47596</v>
      </c>
      <c r="T10831" t="s">
        <v>49119</v>
      </c>
      <c r="U10831" t="s">
        <v>58475</v>
      </c>
      <c r="W10831" t="s">
        <v>44535</v>
      </c>
      <c r="X10831" t="s">
        <v>47315</v>
      </c>
    </row>
    <row r="10832" spans="1:24">
      <c r="A10832">
        <f>HYPERLINK("https://www.philgeps.gov.ph/GEPSNONPILOT/Tender/SplashBidNoticeAbstractUI.aspx?menuIndex=3&amp;refID=7182351&amp;Result=3","7182351")</f>
        <v>0</v>
      </c>
      <c r="B10832" t="s">
        <v>1014</v>
      </c>
      <c r="C10832" t="s">
        <v>14076</v>
      </c>
      <c r="D10832" t="s">
        <v>19056</v>
      </c>
      <c r="E10832" t="s">
        <v>28325</v>
      </c>
      <c r="F10832" t="s">
        <v>32606</v>
      </c>
      <c r="G10832" t="s">
        <v>32614</v>
      </c>
      <c r="H10832" t="s">
        <v>14201</v>
      </c>
      <c r="I10832" t="s">
        <v>4112</v>
      </c>
      <c r="J10832" t="s">
        <v>33861</v>
      </c>
      <c r="K10832" t="s">
        <v>42646</v>
      </c>
      <c r="M10832" t="s">
        <v>46082</v>
      </c>
      <c r="N10832" t="s">
        <v>47304</v>
      </c>
      <c r="O10832" t="s">
        <v>47305</v>
      </c>
      <c r="Q10832">
        <v>0</v>
      </c>
      <c r="R10832" t="s">
        <v>47314</v>
      </c>
      <c r="S10832" t="s">
        <v>47640</v>
      </c>
      <c r="T10832" t="s">
        <v>49200</v>
      </c>
      <c r="U10832" t="s">
        <v>58476</v>
      </c>
      <c r="W10832" t="s">
        <v>46082</v>
      </c>
      <c r="X10832" t="s">
        <v>47315</v>
      </c>
    </row>
    <row r="10833" spans="1:24">
      <c r="A10833">
        <f>HYPERLINK("https://www.philgeps.gov.ph/GEPSNONPILOT/Tender/SplashBidNoticeAbstractUI.aspx?menuIndex=3&amp;refID=7182250&amp;Result=3","7182250")</f>
        <v>0</v>
      </c>
      <c r="B10833" t="s">
        <v>984</v>
      </c>
      <c r="C10833" t="s">
        <v>14077</v>
      </c>
      <c r="D10833" t="s">
        <v>19039</v>
      </c>
      <c r="E10833" t="s">
        <v>28326</v>
      </c>
      <c r="F10833" t="s">
        <v>32606</v>
      </c>
      <c r="G10833" t="s">
        <v>32613</v>
      </c>
      <c r="H10833" t="s">
        <v>32623</v>
      </c>
      <c r="I10833" t="s">
        <v>17648</v>
      </c>
      <c r="J10833" t="s">
        <v>32772</v>
      </c>
      <c r="K10833" t="s">
        <v>42636</v>
      </c>
      <c r="L10833" t="s">
        <v>984</v>
      </c>
      <c r="M10833" t="s">
        <v>43930</v>
      </c>
      <c r="N10833" t="s">
        <v>47304</v>
      </c>
      <c r="O10833" t="s">
        <v>47305</v>
      </c>
      <c r="P10833">
        <v>0</v>
      </c>
      <c r="Q10833">
        <v>4</v>
      </c>
      <c r="R10833" t="s">
        <v>47314</v>
      </c>
      <c r="S10833" t="s">
        <v>47596</v>
      </c>
      <c r="T10833" t="s">
        <v>48992</v>
      </c>
      <c r="U10833" t="s">
        <v>58477</v>
      </c>
      <c r="W10833" t="s">
        <v>43930</v>
      </c>
      <c r="X10833" t="s">
        <v>47315</v>
      </c>
    </row>
    <row r="10834" spans="1:24">
      <c r="A10834">
        <f>HYPERLINK("https://www.philgeps.gov.ph/GEPSNONPILOT/Tender/SplashBidNoticeAbstractUI.aspx?menuIndex=3&amp;refID=7182486&amp;Result=3","7182486")</f>
        <v>0</v>
      </c>
      <c r="B10834" t="s">
        <v>1437</v>
      </c>
      <c r="C10834" t="s">
        <v>14078</v>
      </c>
      <c r="E10834" t="s">
        <v>28327</v>
      </c>
      <c r="F10834" t="s">
        <v>32606</v>
      </c>
      <c r="G10834" t="s">
        <v>32613</v>
      </c>
      <c r="H10834" t="s">
        <v>14201</v>
      </c>
      <c r="I10834" t="s">
        <v>32641</v>
      </c>
      <c r="J10834" t="s">
        <v>39511</v>
      </c>
      <c r="K10834" t="s">
        <v>42624</v>
      </c>
      <c r="M10834" t="s">
        <v>46423</v>
      </c>
      <c r="N10834" t="s">
        <v>47304</v>
      </c>
      <c r="O10834" t="s">
        <v>47305</v>
      </c>
      <c r="P10834">
        <v>0</v>
      </c>
      <c r="Q10834">
        <v>7</v>
      </c>
      <c r="R10834" t="s">
        <v>47314</v>
      </c>
      <c r="S10834" t="s">
        <v>47596</v>
      </c>
      <c r="T10834" t="s">
        <v>49057</v>
      </c>
      <c r="U10834" t="s">
        <v>58478</v>
      </c>
      <c r="W10834" t="s">
        <v>46423</v>
      </c>
      <c r="X10834" t="s">
        <v>47315</v>
      </c>
    </row>
    <row r="10835" spans="1:24">
      <c r="A10835">
        <f>HYPERLINK("https://www.philgeps.gov.ph/GEPSNONPILOT/Tender/SplashBidNoticeAbstractUI.aspx?menuIndex=3&amp;refID=7182482&amp;Result=3","7182482")</f>
        <v>0</v>
      </c>
      <c r="B10835" t="s">
        <v>2728</v>
      </c>
      <c r="C10835" t="s">
        <v>14079</v>
      </c>
      <c r="D10835" t="s">
        <v>19003</v>
      </c>
      <c r="E10835" t="s">
        <v>20205</v>
      </c>
      <c r="F10835" t="s">
        <v>32606</v>
      </c>
      <c r="G10835" t="s">
        <v>32613</v>
      </c>
      <c r="H10835" t="s">
        <v>14201</v>
      </c>
      <c r="I10835" t="s">
        <v>6931</v>
      </c>
      <c r="J10835" t="s">
        <v>39512</v>
      </c>
      <c r="K10835" t="s">
        <v>42622</v>
      </c>
      <c r="M10835" t="s">
        <v>45883</v>
      </c>
      <c r="N10835" t="s">
        <v>47304</v>
      </c>
      <c r="O10835" t="s">
        <v>47305</v>
      </c>
      <c r="P10835">
        <v>0</v>
      </c>
      <c r="Q10835">
        <v>0</v>
      </c>
      <c r="R10835" t="s">
        <v>47314</v>
      </c>
      <c r="S10835" t="s">
        <v>47596</v>
      </c>
      <c r="T10835" t="s">
        <v>49256</v>
      </c>
      <c r="U10835" t="s">
        <v>58479</v>
      </c>
      <c r="W10835" t="s">
        <v>45883</v>
      </c>
      <c r="X10835" t="s">
        <v>47315</v>
      </c>
    </row>
    <row r="10836" spans="1:24">
      <c r="A10836">
        <f>HYPERLINK("https://www.philgeps.gov.ph/GEPSNONPILOT/Tender/SplashBidNoticeAbstractUI.aspx?menuIndex=3&amp;refID=7182381&amp;Result=3","7182381")</f>
        <v>0</v>
      </c>
      <c r="B10836" t="s">
        <v>1717</v>
      </c>
      <c r="C10836" t="s">
        <v>14080</v>
      </c>
      <c r="D10836" t="s">
        <v>19068</v>
      </c>
      <c r="E10836" t="s">
        <v>28328</v>
      </c>
      <c r="F10836" t="s">
        <v>32606</v>
      </c>
      <c r="G10836" t="s">
        <v>32613</v>
      </c>
      <c r="H10836" t="s">
        <v>32623</v>
      </c>
      <c r="I10836" t="s">
        <v>17648</v>
      </c>
      <c r="J10836" t="s">
        <v>36616</v>
      </c>
      <c r="K10836" t="s">
        <v>42697</v>
      </c>
      <c r="M10836" t="s">
        <v>44749</v>
      </c>
      <c r="N10836" t="s">
        <v>47304</v>
      </c>
      <c r="O10836" t="s">
        <v>47305</v>
      </c>
      <c r="Q10836">
        <v>0</v>
      </c>
      <c r="R10836" t="s">
        <v>47314</v>
      </c>
      <c r="S10836" t="s">
        <v>47641</v>
      </c>
      <c r="T10836" t="s">
        <v>48986</v>
      </c>
      <c r="U10836" t="s">
        <v>58480</v>
      </c>
      <c r="W10836" t="s">
        <v>44749</v>
      </c>
      <c r="X10836" t="s">
        <v>47315</v>
      </c>
    </row>
    <row r="10837" spans="1:24">
      <c r="A10837">
        <f>HYPERLINK("https://www.philgeps.gov.ph/GEPSNONPILOT/Tender/SplashBidNoticeAbstractUI.aspx?menuIndex=3&amp;refID=7182481&amp;Result=3","7182481")</f>
        <v>0</v>
      </c>
      <c r="B10837" t="s">
        <v>984</v>
      </c>
      <c r="C10837" t="s">
        <v>14081</v>
      </c>
      <c r="D10837" t="s">
        <v>19039</v>
      </c>
      <c r="E10837" t="s">
        <v>28329</v>
      </c>
      <c r="F10837" t="s">
        <v>32606</v>
      </c>
      <c r="G10837" t="s">
        <v>32613</v>
      </c>
      <c r="H10837" t="s">
        <v>14201</v>
      </c>
      <c r="I10837" t="s">
        <v>4114</v>
      </c>
      <c r="J10837" t="s">
        <v>39513</v>
      </c>
      <c r="K10837" t="s">
        <v>42648</v>
      </c>
      <c r="L10837" t="s">
        <v>984</v>
      </c>
      <c r="M10837" t="s">
        <v>43930</v>
      </c>
      <c r="N10837" t="s">
        <v>47304</v>
      </c>
      <c r="O10837" t="s">
        <v>47305</v>
      </c>
      <c r="P10837">
        <v>0</v>
      </c>
      <c r="Q10837">
        <v>3</v>
      </c>
      <c r="R10837" t="s">
        <v>47314</v>
      </c>
      <c r="S10837" t="s">
        <v>47596</v>
      </c>
      <c r="T10837" t="s">
        <v>48992</v>
      </c>
      <c r="U10837" t="s">
        <v>58481</v>
      </c>
      <c r="W10837" t="s">
        <v>43930</v>
      </c>
      <c r="X10837" t="s">
        <v>47315</v>
      </c>
    </row>
    <row r="10838" spans="1:24">
      <c r="A10838">
        <f>HYPERLINK("https://www.philgeps.gov.ph/GEPSNONPILOT/Tender/SplashBidNoticeAbstractUI.aspx?menuIndex=3&amp;refID=7182492&amp;Result=3","7182492")</f>
        <v>0</v>
      </c>
      <c r="B10838" t="s">
        <v>3198</v>
      </c>
      <c r="C10838" t="s">
        <v>14082</v>
      </c>
      <c r="D10838" t="s">
        <v>19057</v>
      </c>
      <c r="E10838" t="s">
        <v>28330</v>
      </c>
      <c r="F10838" t="s">
        <v>32606</v>
      </c>
      <c r="G10838" t="s">
        <v>32613</v>
      </c>
      <c r="H10838" t="s">
        <v>14201</v>
      </c>
      <c r="I10838" t="s">
        <v>6931</v>
      </c>
      <c r="J10838" t="s">
        <v>39514</v>
      </c>
      <c r="K10838" t="s">
        <v>42622</v>
      </c>
      <c r="M10838" t="s">
        <v>46424</v>
      </c>
      <c r="N10838" t="s">
        <v>47304</v>
      </c>
      <c r="O10838" t="s">
        <v>47305</v>
      </c>
      <c r="P10838">
        <v>0</v>
      </c>
      <c r="Q10838">
        <v>1</v>
      </c>
      <c r="R10838" t="s">
        <v>47314</v>
      </c>
      <c r="S10838" t="s">
        <v>47596</v>
      </c>
      <c r="T10838" t="s">
        <v>49040</v>
      </c>
      <c r="U10838" t="s">
        <v>58482</v>
      </c>
      <c r="W10838" t="s">
        <v>46424</v>
      </c>
      <c r="X10838" t="s">
        <v>47315</v>
      </c>
    </row>
    <row r="10839" spans="1:24">
      <c r="A10839">
        <f>HYPERLINK("https://www.philgeps.gov.ph/GEPSNONPILOT/Tender/SplashBidNoticeAbstractUI.aspx?menuIndex=3&amp;refID=7182465&amp;Result=3","7182465")</f>
        <v>0</v>
      </c>
      <c r="B10839" t="s">
        <v>3199</v>
      </c>
      <c r="C10839" t="s">
        <v>14083</v>
      </c>
      <c r="D10839" t="s">
        <v>18997</v>
      </c>
      <c r="E10839" t="s">
        <v>28331</v>
      </c>
      <c r="F10839" t="s">
        <v>32606</v>
      </c>
      <c r="G10839" t="s">
        <v>32613</v>
      </c>
      <c r="H10839" t="s">
        <v>14201</v>
      </c>
      <c r="I10839" t="s">
        <v>6931</v>
      </c>
      <c r="J10839" t="s">
        <v>36724</v>
      </c>
      <c r="K10839" t="s">
        <v>42630</v>
      </c>
      <c r="M10839" t="s">
        <v>46425</v>
      </c>
      <c r="N10839" t="s">
        <v>47304</v>
      </c>
      <c r="O10839" t="s">
        <v>47305</v>
      </c>
      <c r="P10839">
        <v>0</v>
      </c>
      <c r="Q10839">
        <v>0</v>
      </c>
      <c r="R10839" t="s">
        <v>47314</v>
      </c>
      <c r="S10839" t="s">
        <v>47596</v>
      </c>
      <c r="T10839" t="s">
        <v>48998</v>
      </c>
      <c r="U10839" t="s">
        <v>58483</v>
      </c>
      <c r="V10839" t="s">
        <v>63799</v>
      </c>
      <c r="W10839" t="s">
        <v>46425</v>
      </c>
      <c r="X10839" t="s">
        <v>47315</v>
      </c>
    </row>
    <row r="10840" spans="1:24">
      <c r="A10840">
        <f>HYPERLINK("https://www.philgeps.gov.ph/GEPSNONPILOT/Tender/SplashBidNoticeAbstractUI.aspx?menuIndex=3&amp;refID=7182461&amp;Result=3","7182461")</f>
        <v>0</v>
      </c>
      <c r="B10840" t="s">
        <v>2358</v>
      </c>
      <c r="C10840" t="s">
        <v>14084</v>
      </c>
      <c r="D10840" t="s">
        <v>19012</v>
      </c>
      <c r="E10840" t="s">
        <v>28332</v>
      </c>
      <c r="F10840" t="s">
        <v>32606</v>
      </c>
      <c r="G10840" t="s">
        <v>32613</v>
      </c>
      <c r="H10840" t="s">
        <v>32623</v>
      </c>
      <c r="I10840" t="s">
        <v>17648</v>
      </c>
      <c r="J10840" t="s">
        <v>39515</v>
      </c>
      <c r="K10840" t="s">
        <v>42646</v>
      </c>
      <c r="M10840" t="s">
        <v>45470</v>
      </c>
      <c r="N10840" t="s">
        <v>47304</v>
      </c>
      <c r="O10840" t="s">
        <v>47305</v>
      </c>
      <c r="P10840">
        <v>0</v>
      </c>
      <c r="Q10840">
        <v>0</v>
      </c>
      <c r="R10840" t="s">
        <v>47314</v>
      </c>
      <c r="S10840" t="s">
        <v>47596</v>
      </c>
      <c r="T10840" t="s">
        <v>49140</v>
      </c>
      <c r="U10840" t="s">
        <v>56819</v>
      </c>
      <c r="W10840" t="s">
        <v>45470</v>
      </c>
      <c r="X10840" t="s">
        <v>47315</v>
      </c>
    </row>
    <row r="10841" spans="1:24">
      <c r="A10841">
        <f>HYPERLINK("https://www.philgeps.gov.ph/GEPSNONPILOT/Tender/SplashBidNoticeAbstractUI.aspx?menuIndex=3&amp;refID=7182398&amp;Result=3","7182398")</f>
        <v>0</v>
      </c>
      <c r="B10841" t="s">
        <v>984</v>
      </c>
      <c r="C10841" t="s">
        <v>14085</v>
      </c>
      <c r="D10841" t="s">
        <v>19039</v>
      </c>
      <c r="E10841" t="s">
        <v>28333</v>
      </c>
      <c r="F10841" t="s">
        <v>32606</v>
      </c>
      <c r="G10841" t="s">
        <v>32613</v>
      </c>
      <c r="H10841" t="s">
        <v>14201</v>
      </c>
      <c r="I10841" t="s">
        <v>4121</v>
      </c>
      <c r="J10841" t="s">
        <v>33022</v>
      </c>
      <c r="K10841" t="s">
        <v>42631</v>
      </c>
      <c r="L10841" t="s">
        <v>984</v>
      </c>
      <c r="M10841" t="s">
        <v>43930</v>
      </c>
      <c r="N10841" t="s">
        <v>47304</v>
      </c>
      <c r="O10841" t="s">
        <v>47305</v>
      </c>
      <c r="P10841">
        <v>0</v>
      </c>
      <c r="Q10841">
        <v>1</v>
      </c>
      <c r="R10841" t="s">
        <v>47314</v>
      </c>
      <c r="S10841" t="s">
        <v>47596</v>
      </c>
      <c r="T10841" t="s">
        <v>48992</v>
      </c>
      <c r="U10841" t="s">
        <v>58484</v>
      </c>
      <c r="W10841" t="s">
        <v>43930</v>
      </c>
      <c r="X10841" t="s">
        <v>47315</v>
      </c>
    </row>
    <row r="10842" spans="1:24">
      <c r="A10842">
        <f>HYPERLINK("https://www.philgeps.gov.ph/GEPSNONPILOT/Tender/SplashBidNoticeAbstractUI.aspx?menuIndex=3&amp;refID=7182287&amp;Result=3","7182287")</f>
        <v>0</v>
      </c>
      <c r="B10842" t="s">
        <v>2979</v>
      </c>
      <c r="C10842" t="s">
        <v>14086</v>
      </c>
      <c r="D10842" t="s">
        <v>18989</v>
      </c>
      <c r="E10842" t="s">
        <v>28334</v>
      </c>
      <c r="F10842" t="s">
        <v>32606</v>
      </c>
      <c r="G10842" t="s">
        <v>32613</v>
      </c>
      <c r="H10842" t="s">
        <v>14201</v>
      </c>
      <c r="I10842" t="s">
        <v>32640</v>
      </c>
      <c r="J10842" t="s">
        <v>39516</v>
      </c>
      <c r="K10842" t="s">
        <v>42631</v>
      </c>
      <c r="M10842" t="s">
        <v>46166</v>
      </c>
      <c r="N10842" t="s">
        <v>47304</v>
      </c>
      <c r="O10842" t="s">
        <v>47305</v>
      </c>
      <c r="P10842">
        <v>0</v>
      </c>
      <c r="Q10842">
        <v>4</v>
      </c>
      <c r="R10842" t="s">
        <v>47314</v>
      </c>
      <c r="S10842" t="s">
        <v>47596</v>
      </c>
      <c r="T10842" t="s">
        <v>49148</v>
      </c>
      <c r="U10842" t="s">
        <v>58485</v>
      </c>
      <c r="W10842" t="s">
        <v>46166</v>
      </c>
      <c r="X10842" t="s">
        <v>47315</v>
      </c>
    </row>
    <row r="10843" spans="1:24">
      <c r="A10843">
        <f>HYPERLINK("https://www.philgeps.gov.ph/GEPSNONPILOT/Tender/SplashBidNoticeAbstractUI.aspx?menuIndex=3&amp;refID=7182403&amp;Result=3","7182403")</f>
        <v>0</v>
      </c>
      <c r="B10843" t="s">
        <v>3200</v>
      </c>
      <c r="C10843" t="s">
        <v>14087</v>
      </c>
      <c r="D10843" t="s">
        <v>19049</v>
      </c>
      <c r="E10843" t="s">
        <v>28335</v>
      </c>
      <c r="F10843" t="s">
        <v>32606</v>
      </c>
      <c r="G10843" t="s">
        <v>32619</v>
      </c>
      <c r="H10843" t="s">
        <v>14201</v>
      </c>
      <c r="I10843" t="s">
        <v>32648</v>
      </c>
      <c r="J10843" t="s">
        <v>33263</v>
      </c>
      <c r="K10843" t="s">
        <v>42625</v>
      </c>
      <c r="M10843" t="s">
        <v>46426</v>
      </c>
      <c r="N10843" t="s">
        <v>47304</v>
      </c>
      <c r="O10843" t="s">
        <v>47305</v>
      </c>
      <c r="P10843">
        <v>0</v>
      </c>
      <c r="Q10843">
        <v>0</v>
      </c>
      <c r="R10843" t="s">
        <v>47314</v>
      </c>
      <c r="S10843" t="s">
        <v>47596</v>
      </c>
      <c r="T10843" t="s">
        <v>49165</v>
      </c>
      <c r="U10843" t="s">
        <v>58486</v>
      </c>
      <c r="W10843" t="s">
        <v>46426</v>
      </c>
      <c r="X10843" t="s">
        <v>47315</v>
      </c>
    </row>
    <row r="10844" spans="1:24">
      <c r="A10844">
        <f>HYPERLINK("https://www.philgeps.gov.ph/GEPSNONPILOT/Tender/SplashBidNoticeAbstractUI.aspx?menuIndex=3&amp;refID=7182435&amp;Result=3","7182435")</f>
        <v>0</v>
      </c>
      <c r="B10844" t="s">
        <v>3201</v>
      </c>
      <c r="C10844" t="s">
        <v>14088</v>
      </c>
      <c r="D10844" t="s">
        <v>19057</v>
      </c>
      <c r="E10844" t="s">
        <v>28336</v>
      </c>
      <c r="F10844" t="s">
        <v>32606</v>
      </c>
      <c r="G10844" t="s">
        <v>32613</v>
      </c>
      <c r="H10844" t="s">
        <v>32623</v>
      </c>
      <c r="I10844" t="s">
        <v>17648</v>
      </c>
      <c r="J10844" t="s">
        <v>32772</v>
      </c>
      <c r="K10844" t="s">
        <v>42639</v>
      </c>
      <c r="M10844" t="s">
        <v>46427</v>
      </c>
      <c r="N10844" t="s">
        <v>47304</v>
      </c>
      <c r="O10844" t="s">
        <v>47305</v>
      </c>
      <c r="P10844">
        <v>0</v>
      </c>
      <c r="Q10844">
        <v>0</v>
      </c>
      <c r="R10844" t="s">
        <v>47314</v>
      </c>
      <c r="S10844" t="s">
        <v>47596</v>
      </c>
      <c r="T10844" t="s">
        <v>49040</v>
      </c>
      <c r="U10844" t="s">
        <v>58487</v>
      </c>
      <c r="W10844" t="s">
        <v>46427</v>
      </c>
      <c r="X10844" t="s">
        <v>47315</v>
      </c>
    </row>
    <row r="10845" spans="1:24">
      <c r="A10845">
        <f>HYPERLINK("https://www.philgeps.gov.ph/GEPSNONPILOT/Tender/SplashBidNoticeAbstractUI.aspx?menuIndex=3&amp;refID=7182439&amp;Result=3","7182439")</f>
        <v>0</v>
      </c>
      <c r="B10845" t="s">
        <v>408</v>
      </c>
      <c r="C10845" t="s">
        <v>14089</v>
      </c>
      <c r="D10845" t="s">
        <v>19007</v>
      </c>
      <c r="E10845" t="s">
        <v>28337</v>
      </c>
      <c r="F10845" t="s">
        <v>32606</v>
      </c>
      <c r="G10845" t="s">
        <v>32613</v>
      </c>
      <c r="H10845" t="s">
        <v>14201</v>
      </c>
      <c r="I10845" t="s">
        <v>32628</v>
      </c>
      <c r="J10845" t="s">
        <v>39517</v>
      </c>
      <c r="K10845" t="s">
        <v>42644</v>
      </c>
      <c r="M10845" t="s">
        <v>43312</v>
      </c>
      <c r="N10845" t="s">
        <v>47304</v>
      </c>
      <c r="O10845" t="s">
        <v>47305</v>
      </c>
      <c r="P10845">
        <v>0</v>
      </c>
      <c r="Q10845">
        <v>5</v>
      </c>
      <c r="R10845" t="s">
        <v>47314</v>
      </c>
      <c r="S10845" t="s">
        <v>47596</v>
      </c>
      <c r="T10845" t="s">
        <v>49052</v>
      </c>
      <c r="U10845" t="s">
        <v>58488</v>
      </c>
      <c r="W10845" t="s">
        <v>43312</v>
      </c>
      <c r="X10845" t="s">
        <v>47315</v>
      </c>
    </row>
    <row r="10846" spans="1:24">
      <c r="A10846">
        <f>HYPERLINK("https://www.philgeps.gov.ph/GEPSNONPILOT/Tender/SplashBidNoticeAbstractUI.aspx?menuIndex=3&amp;refID=7182434&amp;Result=3","7182434")</f>
        <v>0</v>
      </c>
      <c r="B10846" t="s">
        <v>2728</v>
      </c>
      <c r="C10846" t="s">
        <v>14090</v>
      </c>
      <c r="D10846" t="s">
        <v>19003</v>
      </c>
      <c r="E10846" t="s">
        <v>28338</v>
      </c>
      <c r="F10846" t="s">
        <v>32606</v>
      </c>
      <c r="G10846" t="s">
        <v>32613</v>
      </c>
      <c r="H10846" t="s">
        <v>14201</v>
      </c>
      <c r="I10846" t="s">
        <v>6931</v>
      </c>
      <c r="J10846" t="s">
        <v>39518</v>
      </c>
      <c r="K10846" t="s">
        <v>42622</v>
      </c>
      <c r="M10846" t="s">
        <v>45883</v>
      </c>
      <c r="N10846" t="s">
        <v>47304</v>
      </c>
      <c r="O10846" t="s">
        <v>47305</v>
      </c>
      <c r="P10846">
        <v>0</v>
      </c>
      <c r="Q10846">
        <v>0</v>
      </c>
      <c r="R10846" t="s">
        <v>47314</v>
      </c>
      <c r="S10846" t="s">
        <v>47596</v>
      </c>
      <c r="T10846" t="s">
        <v>49256</v>
      </c>
      <c r="U10846" t="s">
        <v>58489</v>
      </c>
      <c r="W10846" t="s">
        <v>45883</v>
      </c>
      <c r="X10846" t="s">
        <v>47315</v>
      </c>
    </row>
    <row r="10847" spans="1:24">
      <c r="A10847">
        <f>HYPERLINK("https://www.philgeps.gov.ph/GEPSNONPILOT/Tender/SplashBidNoticeAbstractUI.aspx?menuIndex=3&amp;refID=7182454&amp;Result=3","7182454")</f>
        <v>0</v>
      </c>
      <c r="B10847" t="s">
        <v>3202</v>
      </c>
      <c r="C10847" t="s">
        <v>14091</v>
      </c>
      <c r="D10847" t="s">
        <v>19008</v>
      </c>
      <c r="E10847" t="s">
        <v>28339</v>
      </c>
      <c r="F10847" t="s">
        <v>32606</v>
      </c>
      <c r="G10847" t="s">
        <v>32614</v>
      </c>
      <c r="H10847" t="s">
        <v>14201</v>
      </c>
      <c r="I10847" t="s">
        <v>4120</v>
      </c>
      <c r="J10847" t="s">
        <v>39519</v>
      </c>
      <c r="K10847" t="s">
        <v>42623</v>
      </c>
      <c r="M10847" t="s">
        <v>46428</v>
      </c>
      <c r="N10847" t="s">
        <v>47304</v>
      </c>
      <c r="O10847" t="s">
        <v>47305</v>
      </c>
      <c r="P10847">
        <v>0</v>
      </c>
      <c r="Q10847">
        <v>2</v>
      </c>
      <c r="R10847" t="s">
        <v>47314</v>
      </c>
      <c r="S10847" t="s">
        <v>47596</v>
      </c>
      <c r="T10847" t="s">
        <v>49020</v>
      </c>
      <c r="U10847" t="s">
        <v>58490</v>
      </c>
      <c r="W10847" t="s">
        <v>46428</v>
      </c>
      <c r="X10847" t="s">
        <v>47315</v>
      </c>
    </row>
    <row r="10848" spans="1:24">
      <c r="A10848">
        <f>HYPERLINK("https://www.philgeps.gov.ph/GEPSNONPILOT/Tender/SplashBidNoticeAbstractUI.aspx?menuIndex=3&amp;refID=7182433&amp;Result=3","7182433")</f>
        <v>0</v>
      </c>
      <c r="B10848" t="s">
        <v>3198</v>
      </c>
      <c r="C10848" t="s">
        <v>14092</v>
      </c>
      <c r="D10848" t="s">
        <v>19057</v>
      </c>
      <c r="E10848" t="s">
        <v>28340</v>
      </c>
      <c r="F10848" t="s">
        <v>32606</v>
      </c>
      <c r="G10848" t="s">
        <v>32613</v>
      </c>
      <c r="H10848" t="s">
        <v>32623</v>
      </c>
      <c r="I10848" t="s">
        <v>17648</v>
      </c>
      <c r="J10848" t="s">
        <v>32767</v>
      </c>
      <c r="K10848" t="s">
        <v>42675</v>
      </c>
      <c r="M10848" t="s">
        <v>46424</v>
      </c>
      <c r="N10848" t="s">
        <v>47304</v>
      </c>
      <c r="O10848" t="s">
        <v>47305</v>
      </c>
      <c r="P10848">
        <v>0</v>
      </c>
      <c r="Q10848">
        <v>0</v>
      </c>
      <c r="R10848" t="s">
        <v>47314</v>
      </c>
      <c r="S10848" t="s">
        <v>47596</v>
      </c>
      <c r="T10848" t="s">
        <v>49040</v>
      </c>
      <c r="U10848" t="s">
        <v>58491</v>
      </c>
      <c r="W10848" t="s">
        <v>46424</v>
      </c>
      <c r="X10848" t="s">
        <v>47315</v>
      </c>
    </row>
    <row r="10849" spans="1:24">
      <c r="A10849">
        <f>HYPERLINK("https://www.philgeps.gov.ph/GEPSNONPILOT/Tender/SplashBidNoticeAbstractUI.aspx?menuIndex=3&amp;refID=7182307&amp;Result=3","7182307")</f>
        <v>0</v>
      </c>
      <c r="B10849" t="s">
        <v>3172</v>
      </c>
      <c r="C10849" t="s">
        <v>4129</v>
      </c>
      <c r="D10849" t="s">
        <v>19056</v>
      </c>
      <c r="E10849" t="s">
        <v>28341</v>
      </c>
      <c r="F10849" t="s">
        <v>32606</v>
      </c>
      <c r="G10849" t="s">
        <v>32613</v>
      </c>
      <c r="H10849" t="s">
        <v>14201</v>
      </c>
      <c r="I10849" t="s">
        <v>4114</v>
      </c>
      <c r="J10849" t="s">
        <v>39520</v>
      </c>
      <c r="K10849" t="s">
        <v>42630</v>
      </c>
      <c r="M10849" t="s">
        <v>46393</v>
      </c>
      <c r="N10849" t="s">
        <v>47304</v>
      </c>
      <c r="O10849" t="s">
        <v>47305</v>
      </c>
      <c r="P10849">
        <v>0</v>
      </c>
      <c r="Q10849">
        <v>2</v>
      </c>
      <c r="R10849" t="s">
        <v>47314</v>
      </c>
      <c r="S10849" t="s">
        <v>47596</v>
      </c>
      <c r="T10849" t="s">
        <v>49075</v>
      </c>
      <c r="U10849" t="s">
        <v>58492</v>
      </c>
      <c r="W10849" t="s">
        <v>46393</v>
      </c>
      <c r="X10849" t="s">
        <v>47315</v>
      </c>
    </row>
    <row r="10850" spans="1:24">
      <c r="A10850">
        <f>HYPERLINK("https://www.philgeps.gov.ph/GEPSNONPILOT/Tender/SplashBidNoticeAbstractUI.aspx?menuIndex=3&amp;refID=7182422&amp;Result=3","7182422")</f>
        <v>0</v>
      </c>
      <c r="B10850" t="s">
        <v>3203</v>
      </c>
      <c r="C10850" t="s">
        <v>14093</v>
      </c>
      <c r="D10850" t="s">
        <v>19034</v>
      </c>
      <c r="E10850" t="s">
        <v>20124</v>
      </c>
      <c r="F10850" t="s">
        <v>32606</v>
      </c>
      <c r="G10850" t="s">
        <v>32613</v>
      </c>
      <c r="H10850" t="s">
        <v>32623</v>
      </c>
      <c r="I10850" t="s">
        <v>17648</v>
      </c>
      <c r="J10850" t="s">
        <v>33554</v>
      </c>
      <c r="K10850" t="s">
        <v>42646</v>
      </c>
      <c r="M10850" t="s">
        <v>46429</v>
      </c>
      <c r="N10850" t="s">
        <v>47304</v>
      </c>
      <c r="O10850" t="s">
        <v>47305</v>
      </c>
      <c r="P10850">
        <v>0</v>
      </c>
      <c r="Q10850">
        <v>21</v>
      </c>
      <c r="R10850" t="s">
        <v>47314</v>
      </c>
      <c r="S10850" t="s">
        <v>47596</v>
      </c>
      <c r="T10850" t="s">
        <v>49389</v>
      </c>
      <c r="U10850" t="s">
        <v>58493</v>
      </c>
      <c r="W10850" t="s">
        <v>46429</v>
      </c>
      <c r="X10850" t="s">
        <v>47315</v>
      </c>
    </row>
    <row r="10851" spans="1:24">
      <c r="A10851">
        <f>HYPERLINK("https://www.philgeps.gov.ph/GEPSNONPILOT/Tender/SplashBidNoticeAbstractUI.aspx?menuIndex=3&amp;refID=7182449&amp;Result=3","7182449")</f>
        <v>0</v>
      </c>
      <c r="B10851" t="s">
        <v>497</v>
      </c>
      <c r="C10851" t="s">
        <v>13646</v>
      </c>
      <c r="D10851" t="s">
        <v>18991</v>
      </c>
      <c r="E10851" t="s">
        <v>28342</v>
      </c>
      <c r="F10851" t="s">
        <v>32606</v>
      </c>
      <c r="G10851" t="s">
        <v>32613</v>
      </c>
      <c r="H10851" t="s">
        <v>14201</v>
      </c>
      <c r="I10851" t="s">
        <v>7064</v>
      </c>
      <c r="J10851" t="s">
        <v>33598</v>
      </c>
      <c r="K10851" t="s">
        <v>42624</v>
      </c>
      <c r="M10851" t="s">
        <v>46356</v>
      </c>
      <c r="N10851" t="s">
        <v>47304</v>
      </c>
      <c r="O10851" t="s">
        <v>47305</v>
      </c>
      <c r="P10851">
        <v>0</v>
      </c>
      <c r="Q10851">
        <v>4</v>
      </c>
      <c r="R10851" t="s">
        <v>47314</v>
      </c>
      <c r="S10851" t="s">
        <v>47596</v>
      </c>
      <c r="T10851" t="s">
        <v>49007</v>
      </c>
      <c r="U10851" t="s">
        <v>58494</v>
      </c>
      <c r="W10851" t="s">
        <v>46356</v>
      </c>
      <c r="X10851" t="s">
        <v>47315</v>
      </c>
    </row>
    <row r="10852" spans="1:24">
      <c r="A10852">
        <f>HYPERLINK("https://www.philgeps.gov.ph/GEPSNONPILOT/Tender/SplashBidNoticeAbstractUI.aspx?menuIndex=3&amp;refID=7182420&amp;Result=3","7182420")</f>
        <v>0</v>
      </c>
      <c r="B10852" t="s">
        <v>262</v>
      </c>
      <c r="C10852" t="s">
        <v>14094</v>
      </c>
      <c r="D10852" t="s">
        <v>19038</v>
      </c>
      <c r="E10852" t="s">
        <v>28343</v>
      </c>
      <c r="F10852" t="s">
        <v>32606</v>
      </c>
      <c r="G10852" t="s">
        <v>32613</v>
      </c>
      <c r="H10852" t="s">
        <v>14201</v>
      </c>
      <c r="I10852" t="s">
        <v>32626</v>
      </c>
      <c r="J10852" t="s">
        <v>39521</v>
      </c>
      <c r="K10852" t="s">
        <v>42638</v>
      </c>
      <c r="M10852" t="s">
        <v>43163</v>
      </c>
      <c r="N10852" t="s">
        <v>47304</v>
      </c>
      <c r="O10852" t="s">
        <v>47305</v>
      </c>
      <c r="P10852">
        <v>0</v>
      </c>
      <c r="Q10852">
        <v>0</v>
      </c>
      <c r="R10852" t="s">
        <v>47314</v>
      </c>
      <c r="S10852" t="s">
        <v>47596</v>
      </c>
      <c r="T10852" t="s">
        <v>48986</v>
      </c>
      <c r="U10852" t="s">
        <v>58495</v>
      </c>
      <c r="W10852" t="s">
        <v>43163</v>
      </c>
      <c r="X10852" t="s">
        <v>47315</v>
      </c>
    </row>
    <row r="10853" spans="1:24">
      <c r="A10853">
        <f>HYPERLINK("https://www.philgeps.gov.ph/GEPSNONPILOT/Tender/SplashBidNoticeAbstractUI.aspx?menuIndex=3&amp;refID=7182185&amp;Result=3","7182185")</f>
        <v>0</v>
      </c>
      <c r="B10853" t="s">
        <v>3204</v>
      </c>
      <c r="C10853" t="s">
        <v>14095</v>
      </c>
      <c r="D10853" t="s">
        <v>19039</v>
      </c>
      <c r="E10853" t="s">
        <v>28344</v>
      </c>
      <c r="F10853" t="s">
        <v>32606</v>
      </c>
      <c r="G10853" t="s">
        <v>32613</v>
      </c>
      <c r="H10853" t="s">
        <v>14201</v>
      </c>
      <c r="I10853" t="s">
        <v>4678</v>
      </c>
      <c r="J10853" t="s">
        <v>39522</v>
      </c>
      <c r="K10853" t="s">
        <v>42679</v>
      </c>
      <c r="L10853" t="s">
        <v>3204</v>
      </c>
      <c r="M10853" t="s">
        <v>46430</v>
      </c>
      <c r="N10853" t="s">
        <v>47304</v>
      </c>
      <c r="O10853" t="s">
        <v>47305</v>
      </c>
      <c r="P10853">
        <v>0</v>
      </c>
      <c r="Q10853">
        <v>4</v>
      </c>
      <c r="R10853" t="s">
        <v>47314</v>
      </c>
      <c r="S10853" t="s">
        <v>47596</v>
      </c>
      <c r="T10853" t="s">
        <v>49052</v>
      </c>
      <c r="U10853" t="s">
        <v>58496</v>
      </c>
      <c r="W10853" t="s">
        <v>46430</v>
      </c>
      <c r="X10853" t="s">
        <v>47315</v>
      </c>
    </row>
    <row r="10854" spans="1:24">
      <c r="A10854">
        <f>HYPERLINK("https://www.philgeps.gov.ph/GEPSNONPILOT/Tender/SplashBidNoticeAbstractUI.aspx?menuIndex=3&amp;refID=7182431&amp;Result=3","7182431")</f>
        <v>0</v>
      </c>
      <c r="B10854" t="s">
        <v>3205</v>
      </c>
      <c r="C10854" t="s">
        <v>14096</v>
      </c>
      <c r="D10854" t="s">
        <v>19016</v>
      </c>
      <c r="E10854" t="s">
        <v>28345</v>
      </c>
      <c r="F10854" t="s">
        <v>32606</v>
      </c>
      <c r="G10854" t="s">
        <v>32613</v>
      </c>
      <c r="H10854" t="s">
        <v>32623</v>
      </c>
      <c r="I10854" t="s">
        <v>17648</v>
      </c>
      <c r="J10854" t="s">
        <v>32770</v>
      </c>
      <c r="K10854" t="s">
        <v>42636</v>
      </c>
      <c r="M10854" t="s">
        <v>46431</v>
      </c>
      <c r="N10854" t="s">
        <v>47304</v>
      </c>
      <c r="O10854" t="s">
        <v>47305</v>
      </c>
      <c r="P10854">
        <v>0</v>
      </c>
      <c r="Q10854">
        <v>12</v>
      </c>
      <c r="R10854" t="s">
        <v>47314</v>
      </c>
      <c r="S10854" t="s">
        <v>47596</v>
      </c>
      <c r="T10854" t="s">
        <v>49240</v>
      </c>
      <c r="U10854" t="s">
        <v>58497</v>
      </c>
      <c r="W10854" t="s">
        <v>46431</v>
      </c>
      <c r="X10854" t="s">
        <v>47315</v>
      </c>
    </row>
    <row r="10855" spans="1:24">
      <c r="A10855">
        <f>HYPERLINK("https://www.philgeps.gov.ph/GEPSNONPILOT/Tender/SplashBidNoticeAbstractUI.aspx?menuIndex=3&amp;refID=7182493&amp;Result=3","7182493")</f>
        <v>0</v>
      </c>
      <c r="B10855" t="s">
        <v>3206</v>
      </c>
      <c r="C10855" t="s">
        <v>14097</v>
      </c>
      <c r="D10855" t="s">
        <v>19013</v>
      </c>
      <c r="E10855" t="s">
        <v>19315</v>
      </c>
      <c r="F10855" t="s">
        <v>32606</v>
      </c>
      <c r="G10855" t="s">
        <v>32613</v>
      </c>
      <c r="H10855" t="s">
        <v>14201</v>
      </c>
      <c r="I10855" t="s">
        <v>9013</v>
      </c>
      <c r="J10855" t="s">
        <v>34819</v>
      </c>
      <c r="K10855" t="s">
        <v>42630</v>
      </c>
      <c r="M10855" t="s">
        <v>46432</v>
      </c>
      <c r="N10855" t="s">
        <v>47304</v>
      </c>
      <c r="O10855" t="s">
        <v>47305</v>
      </c>
      <c r="P10855">
        <v>0</v>
      </c>
      <c r="Q10855">
        <v>0</v>
      </c>
      <c r="R10855" t="s">
        <v>47314</v>
      </c>
      <c r="S10855" t="s">
        <v>47596</v>
      </c>
      <c r="T10855" t="s">
        <v>48992</v>
      </c>
      <c r="U10855" t="s">
        <v>58498</v>
      </c>
      <c r="W10855" t="s">
        <v>46432</v>
      </c>
      <c r="X10855" t="s">
        <v>47315</v>
      </c>
    </row>
    <row r="10856" spans="1:24">
      <c r="A10856">
        <f>HYPERLINK("https://www.philgeps.gov.ph/GEPSNONPILOT/Tender/SplashBidNoticeAbstractUI.aspx?menuIndex=3&amp;refID=7182430&amp;Result=3","7182430")</f>
        <v>0</v>
      </c>
      <c r="B10856" t="s">
        <v>3207</v>
      </c>
      <c r="C10856" t="s">
        <v>14098</v>
      </c>
      <c r="D10856" t="s">
        <v>18992</v>
      </c>
      <c r="E10856" t="s">
        <v>28346</v>
      </c>
      <c r="F10856" t="s">
        <v>32606</v>
      </c>
      <c r="G10856" t="s">
        <v>32613</v>
      </c>
      <c r="H10856" t="s">
        <v>14201</v>
      </c>
      <c r="I10856" t="s">
        <v>6931</v>
      </c>
      <c r="J10856" t="s">
        <v>33587</v>
      </c>
      <c r="K10856" t="s">
        <v>42631</v>
      </c>
      <c r="M10856" t="s">
        <v>46433</v>
      </c>
      <c r="N10856" t="s">
        <v>47304</v>
      </c>
      <c r="O10856" t="s">
        <v>47305</v>
      </c>
      <c r="P10856">
        <v>0</v>
      </c>
      <c r="Q10856">
        <v>0</v>
      </c>
      <c r="R10856" t="s">
        <v>47314</v>
      </c>
      <c r="S10856" t="s">
        <v>47596</v>
      </c>
      <c r="T10856" t="s">
        <v>49084</v>
      </c>
      <c r="U10856" t="s">
        <v>58499</v>
      </c>
      <c r="W10856" t="s">
        <v>46433</v>
      </c>
      <c r="X10856" t="s">
        <v>47315</v>
      </c>
    </row>
    <row r="10857" spans="1:24">
      <c r="A10857">
        <f>HYPERLINK("https://www.philgeps.gov.ph/GEPSNONPILOT/Tender/SplashBidNoticeAbstractUI.aspx?menuIndex=3&amp;refID=7182429&amp;Result=3","7182429")</f>
        <v>0</v>
      </c>
      <c r="B10857" t="s">
        <v>3208</v>
      </c>
      <c r="C10857" t="s">
        <v>14099</v>
      </c>
      <c r="D10857" t="s">
        <v>19046</v>
      </c>
      <c r="E10857" t="s">
        <v>28347</v>
      </c>
      <c r="F10857" t="s">
        <v>32606</v>
      </c>
      <c r="G10857" t="s">
        <v>32613</v>
      </c>
      <c r="H10857" t="s">
        <v>14201</v>
      </c>
      <c r="I10857" t="s">
        <v>6931</v>
      </c>
      <c r="J10857" t="s">
        <v>39523</v>
      </c>
      <c r="K10857" t="s">
        <v>42627</v>
      </c>
      <c r="L10857" t="s">
        <v>3208</v>
      </c>
      <c r="M10857" t="s">
        <v>46434</v>
      </c>
      <c r="N10857" t="s">
        <v>47304</v>
      </c>
      <c r="O10857" t="s">
        <v>47305</v>
      </c>
      <c r="P10857">
        <v>0</v>
      </c>
      <c r="Q10857">
        <v>0</v>
      </c>
      <c r="R10857" t="s">
        <v>47314</v>
      </c>
      <c r="S10857" t="s">
        <v>47596</v>
      </c>
      <c r="T10857" t="s">
        <v>49334</v>
      </c>
      <c r="U10857" t="s">
        <v>54796</v>
      </c>
      <c r="W10857" t="s">
        <v>46434</v>
      </c>
      <c r="X10857" t="s">
        <v>47315</v>
      </c>
    </row>
    <row r="10858" spans="1:24">
      <c r="A10858">
        <f>HYPERLINK("https://www.philgeps.gov.ph/GEPSNONPILOT/Tender/SplashBidNoticeAbstractUI.aspx?menuIndex=3&amp;refID=7182428&amp;Result=3","7182428")</f>
        <v>0</v>
      </c>
      <c r="B10858" t="s">
        <v>3202</v>
      </c>
      <c r="C10858" t="s">
        <v>14100</v>
      </c>
      <c r="D10858" t="s">
        <v>19008</v>
      </c>
      <c r="E10858" t="s">
        <v>28348</v>
      </c>
      <c r="F10858" t="s">
        <v>32606</v>
      </c>
      <c r="G10858" t="s">
        <v>32613</v>
      </c>
      <c r="H10858" t="s">
        <v>14201</v>
      </c>
      <c r="I10858" t="s">
        <v>4120</v>
      </c>
      <c r="J10858" t="s">
        <v>39524</v>
      </c>
      <c r="K10858" t="s">
        <v>42631</v>
      </c>
      <c r="M10858" t="s">
        <v>46428</v>
      </c>
      <c r="N10858" t="s">
        <v>47304</v>
      </c>
      <c r="O10858" t="s">
        <v>47305</v>
      </c>
      <c r="P10858">
        <v>0</v>
      </c>
      <c r="Q10858">
        <v>7</v>
      </c>
      <c r="R10858" t="s">
        <v>47314</v>
      </c>
      <c r="S10858" t="s">
        <v>47596</v>
      </c>
      <c r="T10858" t="s">
        <v>49075</v>
      </c>
      <c r="U10858" t="s">
        <v>58500</v>
      </c>
      <c r="W10858" t="s">
        <v>46428</v>
      </c>
      <c r="X10858" t="s">
        <v>47315</v>
      </c>
    </row>
    <row r="10859" spans="1:24">
      <c r="A10859">
        <f>HYPERLINK("https://www.philgeps.gov.ph/GEPSNONPILOT/Tender/SplashBidNoticeAbstractUI.aspx?menuIndex=3&amp;refID=7182555&amp;Result=3","7182555")</f>
        <v>0</v>
      </c>
      <c r="B10859" t="s">
        <v>232</v>
      </c>
      <c r="C10859" t="s">
        <v>14101</v>
      </c>
      <c r="E10859" t="s">
        <v>28349</v>
      </c>
      <c r="F10859" t="s">
        <v>32606</v>
      </c>
      <c r="G10859" t="s">
        <v>32613</v>
      </c>
      <c r="H10859" t="s">
        <v>32623</v>
      </c>
      <c r="I10859" t="s">
        <v>17648</v>
      </c>
      <c r="J10859" t="s">
        <v>39525</v>
      </c>
      <c r="K10859" t="s">
        <v>42636</v>
      </c>
      <c r="M10859" t="s">
        <v>43133</v>
      </c>
      <c r="N10859" t="s">
        <v>47304</v>
      </c>
      <c r="O10859" t="s">
        <v>47305</v>
      </c>
      <c r="P10859">
        <v>0</v>
      </c>
      <c r="Q10859">
        <v>2</v>
      </c>
      <c r="R10859" t="s">
        <v>47314</v>
      </c>
      <c r="S10859" t="s">
        <v>47596</v>
      </c>
      <c r="T10859" t="s">
        <v>49234</v>
      </c>
      <c r="U10859" t="s">
        <v>58501</v>
      </c>
      <c r="W10859" t="s">
        <v>43133</v>
      </c>
      <c r="X10859" t="s">
        <v>47315</v>
      </c>
    </row>
    <row r="10860" spans="1:24">
      <c r="A10860">
        <f>HYPERLINK("https://www.philgeps.gov.ph/GEPSNONPILOT/Tender/SplashBidNoticeAbstractUI.aspx?menuIndex=3&amp;refID=7182558&amp;Result=3","7182558")</f>
        <v>0</v>
      </c>
      <c r="B10860" t="s">
        <v>2762</v>
      </c>
      <c r="C10860" t="s">
        <v>14102</v>
      </c>
      <c r="D10860" t="s">
        <v>19014</v>
      </c>
      <c r="E10860" t="s">
        <v>28350</v>
      </c>
      <c r="F10860" t="s">
        <v>32606</v>
      </c>
      <c r="G10860" t="s">
        <v>32614</v>
      </c>
      <c r="H10860" t="s">
        <v>14201</v>
      </c>
      <c r="I10860" t="s">
        <v>32718</v>
      </c>
      <c r="J10860" t="s">
        <v>34903</v>
      </c>
      <c r="K10860" t="s">
        <v>42675</v>
      </c>
      <c r="M10860" t="s">
        <v>45920</v>
      </c>
      <c r="N10860" t="s">
        <v>47304</v>
      </c>
      <c r="O10860" t="s">
        <v>47305</v>
      </c>
      <c r="P10860">
        <v>0</v>
      </c>
      <c r="Q10860">
        <v>4</v>
      </c>
      <c r="R10860" t="s">
        <v>47314</v>
      </c>
      <c r="S10860" t="s">
        <v>47596</v>
      </c>
      <c r="T10860" t="s">
        <v>49068</v>
      </c>
      <c r="U10860" t="s">
        <v>58502</v>
      </c>
      <c r="W10860" t="s">
        <v>45920</v>
      </c>
      <c r="X10860" t="s">
        <v>47315</v>
      </c>
    </row>
    <row r="10861" spans="1:24">
      <c r="A10861">
        <f>HYPERLINK("https://www.philgeps.gov.ph/GEPSNONPILOT/Tender/SplashBidNoticeAbstractUI.aspx?menuIndex=3&amp;refID=7182550&amp;Result=3","7182550")</f>
        <v>0</v>
      </c>
      <c r="B10861" t="s">
        <v>2392</v>
      </c>
      <c r="C10861" t="s">
        <v>14103</v>
      </c>
      <c r="E10861" t="s">
        <v>28351</v>
      </c>
      <c r="F10861" t="s">
        <v>32606</v>
      </c>
      <c r="G10861" t="s">
        <v>32613</v>
      </c>
      <c r="H10861" t="s">
        <v>14201</v>
      </c>
      <c r="I10861" t="s">
        <v>6309</v>
      </c>
      <c r="J10861" t="s">
        <v>36259</v>
      </c>
      <c r="K10861" t="s">
        <v>42624</v>
      </c>
      <c r="M10861" t="s">
        <v>45513</v>
      </c>
      <c r="N10861" t="s">
        <v>47304</v>
      </c>
      <c r="O10861" t="s">
        <v>47305</v>
      </c>
      <c r="P10861">
        <v>0</v>
      </c>
      <c r="Q10861">
        <v>4</v>
      </c>
      <c r="R10861" t="s">
        <v>47314</v>
      </c>
      <c r="S10861" t="s">
        <v>47596</v>
      </c>
      <c r="T10861" t="s">
        <v>49036</v>
      </c>
      <c r="U10861" t="s">
        <v>58503</v>
      </c>
      <c r="W10861" t="s">
        <v>45513</v>
      </c>
      <c r="X10861" t="s">
        <v>47315</v>
      </c>
    </row>
    <row r="10862" spans="1:24">
      <c r="A10862">
        <f>HYPERLINK("https://www.philgeps.gov.ph/GEPSNONPILOT/Tender/SplashBidNoticeAbstractUI.aspx?menuIndex=3&amp;refID=7182545&amp;Result=3","7182545")</f>
        <v>0</v>
      </c>
      <c r="B10862" t="s">
        <v>984</v>
      </c>
      <c r="C10862" t="s">
        <v>14104</v>
      </c>
      <c r="D10862" t="s">
        <v>19039</v>
      </c>
      <c r="E10862" t="s">
        <v>28352</v>
      </c>
      <c r="F10862" t="s">
        <v>32606</v>
      </c>
      <c r="G10862" t="s">
        <v>32613</v>
      </c>
      <c r="H10862" t="s">
        <v>14201</v>
      </c>
      <c r="I10862" t="s">
        <v>4678</v>
      </c>
      <c r="J10862" t="s">
        <v>34205</v>
      </c>
      <c r="K10862" t="s">
        <v>42637</v>
      </c>
      <c r="L10862" t="s">
        <v>984</v>
      </c>
      <c r="M10862" t="s">
        <v>43930</v>
      </c>
      <c r="N10862" t="s">
        <v>47304</v>
      </c>
      <c r="O10862" t="s">
        <v>47305</v>
      </c>
      <c r="P10862">
        <v>0</v>
      </c>
      <c r="Q10862">
        <v>3</v>
      </c>
      <c r="R10862" t="s">
        <v>47314</v>
      </c>
      <c r="S10862" t="s">
        <v>47596</v>
      </c>
      <c r="T10862" t="s">
        <v>48992</v>
      </c>
      <c r="U10862" t="s">
        <v>58504</v>
      </c>
      <c r="W10862" t="s">
        <v>43930</v>
      </c>
      <c r="X10862" t="s">
        <v>47315</v>
      </c>
    </row>
    <row r="10863" spans="1:24">
      <c r="A10863">
        <f>HYPERLINK("https://www.philgeps.gov.ph/GEPSNONPILOT/Tender/SplashBidNoticeAbstractUI.aspx?menuIndex=3&amp;refID=7182529&amp;Result=3","7182529")</f>
        <v>0</v>
      </c>
      <c r="B10863" t="s">
        <v>3182</v>
      </c>
      <c r="C10863" t="s">
        <v>14105</v>
      </c>
      <c r="D10863" t="s">
        <v>19024</v>
      </c>
      <c r="E10863" t="s">
        <v>28276</v>
      </c>
      <c r="F10863" t="s">
        <v>32606</v>
      </c>
      <c r="G10863" t="s">
        <v>32613</v>
      </c>
      <c r="H10863" t="s">
        <v>14201</v>
      </c>
      <c r="I10863" t="s">
        <v>32655</v>
      </c>
      <c r="J10863" t="s">
        <v>39526</v>
      </c>
      <c r="K10863" t="s">
        <v>42624</v>
      </c>
      <c r="M10863" t="s">
        <v>46406</v>
      </c>
      <c r="N10863" t="s">
        <v>47304</v>
      </c>
      <c r="O10863" t="s">
        <v>47305</v>
      </c>
      <c r="P10863">
        <v>0</v>
      </c>
      <c r="Q10863">
        <v>9</v>
      </c>
      <c r="R10863" t="s">
        <v>47314</v>
      </c>
      <c r="S10863" t="s">
        <v>47596</v>
      </c>
      <c r="T10863" t="s">
        <v>49157</v>
      </c>
      <c r="U10863" t="s">
        <v>58409</v>
      </c>
      <c r="V10863" t="s">
        <v>63790</v>
      </c>
      <c r="W10863" t="s">
        <v>46406</v>
      </c>
      <c r="X10863" t="s">
        <v>47315</v>
      </c>
    </row>
    <row r="10864" spans="1:24">
      <c r="A10864">
        <f>HYPERLINK("https://www.philgeps.gov.ph/GEPSNONPILOT/Tender/SplashBidNoticeAbstractUI.aspx?menuIndex=3&amp;refID=7182559&amp;Result=3","7182559")</f>
        <v>0</v>
      </c>
      <c r="B10864" t="s">
        <v>2415</v>
      </c>
      <c r="C10864" t="s">
        <v>14106</v>
      </c>
      <c r="D10864" t="s">
        <v>19041</v>
      </c>
      <c r="E10864" t="s">
        <v>28113</v>
      </c>
      <c r="F10864" t="s">
        <v>32606</v>
      </c>
      <c r="G10864" t="s">
        <v>32613</v>
      </c>
      <c r="H10864" t="s">
        <v>14201</v>
      </c>
      <c r="I10864" t="s">
        <v>4114</v>
      </c>
      <c r="J10864" t="s">
        <v>39527</v>
      </c>
      <c r="K10864" t="s">
        <v>42630</v>
      </c>
      <c r="M10864" t="s">
        <v>45539</v>
      </c>
      <c r="N10864" t="s">
        <v>47304</v>
      </c>
      <c r="O10864" t="s">
        <v>47305</v>
      </c>
      <c r="P10864">
        <v>0</v>
      </c>
      <c r="Q10864">
        <v>3</v>
      </c>
      <c r="R10864" t="s">
        <v>47314</v>
      </c>
      <c r="S10864" t="s">
        <v>47596</v>
      </c>
      <c r="T10864" t="s">
        <v>49020</v>
      </c>
      <c r="U10864" t="s">
        <v>58505</v>
      </c>
      <c r="W10864" t="s">
        <v>45539</v>
      </c>
      <c r="X10864" t="s">
        <v>47315</v>
      </c>
    </row>
    <row r="10865" spans="1:24">
      <c r="A10865">
        <f>HYPERLINK("https://www.philgeps.gov.ph/GEPSNONPILOT/Tender/SplashBidNoticeAbstractUI.aspx?menuIndex=3&amp;refID=7182525&amp;Result=3","7182525")</f>
        <v>0</v>
      </c>
      <c r="B10865" t="s">
        <v>3209</v>
      </c>
      <c r="C10865" t="s">
        <v>14107</v>
      </c>
      <c r="D10865" t="s">
        <v>19016</v>
      </c>
      <c r="E10865" t="s">
        <v>28353</v>
      </c>
      <c r="F10865" t="s">
        <v>32606</v>
      </c>
      <c r="G10865" t="s">
        <v>32613</v>
      </c>
      <c r="H10865" t="s">
        <v>14201</v>
      </c>
      <c r="I10865" t="s">
        <v>7064</v>
      </c>
      <c r="J10865" t="s">
        <v>37453</v>
      </c>
      <c r="K10865" t="s">
        <v>42631</v>
      </c>
      <c r="M10865" t="s">
        <v>46435</v>
      </c>
      <c r="N10865" t="s">
        <v>47304</v>
      </c>
      <c r="O10865" t="s">
        <v>47305</v>
      </c>
      <c r="P10865">
        <v>0</v>
      </c>
      <c r="Q10865">
        <v>3</v>
      </c>
      <c r="R10865" t="s">
        <v>47314</v>
      </c>
      <c r="S10865" t="s">
        <v>47596</v>
      </c>
      <c r="T10865" t="s">
        <v>49052</v>
      </c>
      <c r="U10865" t="s">
        <v>58506</v>
      </c>
      <c r="W10865" t="s">
        <v>64529</v>
      </c>
      <c r="X10865" t="s">
        <v>47315</v>
      </c>
    </row>
    <row r="10866" spans="1:24">
      <c r="A10866">
        <f>HYPERLINK("https://www.philgeps.gov.ph/GEPSNONPILOT/Tender/SplashBidNoticeAbstractUI.aspx?menuIndex=3&amp;refID=7182524&amp;Result=3","7182524")</f>
        <v>0</v>
      </c>
      <c r="B10866" t="s">
        <v>2728</v>
      </c>
      <c r="C10866" t="s">
        <v>14108</v>
      </c>
      <c r="D10866" t="s">
        <v>19003</v>
      </c>
      <c r="E10866" t="s">
        <v>28354</v>
      </c>
      <c r="F10866" t="s">
        <v>32606</v>
      </c>
      <c r="G10866" t="s">
        <v>32613</v>
      </c>
      <c r="H10866" t="s">
        <v>14201</v>
      </c>
      <c r="I10866" t="s">
        <v>6931</v>
      </c>
      <c r="J10866" t="s">
        <v>39528</v>
      </c>
      <c r="K10866" t="s">
        <v>42622</v>
      </c>
      <c r="M10866" t="s">
        <v>45883</v>
      </c>
      <c r="N10866" t="s">
        <v>47304</v>
      </c>
      <c r="O10866" t="s">
        <v>47305</v>
      </c>
      <c r="P10866">
        <v>0</v>
      </c>
      <c r="Q10866">
        <v>0</v>
      </c>
      <c r="R10866" t="s">
        <v>47314</v>
      </c>
      <c r="S10866" t="s">
        <v>47596</v>
      </c>
      <c r="T10866" t="s">
        <v>49256</v>
      </c>
      <c r="U10866" t="s">
        <v>58507</v>
      </c>
      <c r="W10866" t="s">
        <v>45883</v>
      </c>
      <c r="X10866" t="s">
        <v>47315</v>
      </c>
    </row>
    <row r="10867" spans="1:24">
      <c r="A10867">
        <f>HYPERLINK("https://www.philgeps.gov.ph/GEPSNONPILOT/Tender/SplashBidNoticeAbstractUI.aspx?menuIndex=3&amp;refID=7182520&amp;Result=3","7182520")</f>
        <v>0</v>
      </c>
      <c r="B10867" t="s">
        <v>1014</v>
      </c>
      <c r="C10867" t="s">
        <v>14109</v>
      </c>
      <c r="D10867" t="s">
        <v>19056</v>
      </c>
      <c r="E10867" t="s">
        <v>28355</v>
      </c>
      <c r="F10867" t="s">
        <v>32606</v>
      </c>
      <c r="G10867" t="s">
        <v>32614</v>
      </c>
      <c r="H10867" t="s">
        <v>14201</v>
      </c>
      <c r="I10867" t="s">
        <v>4112</v>
      </c>
      <c r="J10867" t="s">
        <v>39529</v>
      </c>
      <c r="K10867" t="s">
        <v>42646</v>
      </c>
      <c r="M10867" t="s">
        <v>46082</v>
      </c>
      <c r="N10867" t="s">
        <v>47304</v>
      </c>
      <c r="O10867" t="s">
        <v>47305</v>
      </c>
      <c r="Q10867">
        <v>0</v>
      </c>
      <c r="R10867" t="s">
        <v>47314</v>
      </c>
      <c r="S10867" t="s">
        <v>47414</v>
      </c>
      <c r="T10867" t="s">
        <v>49200</v>
      </c>
      <c r="U10867" t="s">
        <v>58508</v>
      </c>
      <c r="W10867" t="s">
        <v>46082</v>
      </c>
      <c r="X10867" t="s">
        <v>47315</v>
      </c>
    </row>
    <row r="10868" spans="1:24">
      <c r="A10868">
        <f>HYPERLINK("https://www.philgeps.gov.ph/GEPSNONPILOT/Tender/SplashBidNoticeAbstractUI.aspx?menuIndex=3&amp;refID=7182518&amp;Result=3","7182518")</f>
        <v>0</v>
      </c>
      <c r="B10868" t="s">
        <v>3210</v>
      </c>
      <c r="C10868" t="s">
        <v>14110</v>
      </c>
      <c r="D10868" t="s">
        <v>19006</v>
      </c>
      <c r="E10868" t="s">
        <v>28356</v>
      </c>
      <c r="F10868" t="s">
        <v>32606</v>
      </c>
      <c r="G10868" t="s">
        <v>32613</v>
      </c>
      <c r="H10868" t="s">
        <v>14201</v>
      </c>
      <c r="I10868" t="s">
        <v>4114</v>
      </c>
      <c r="J10868" t="s">
        <v>39530</v>
      </c>
      <c r="K10868" t="s">
        <v>42623</v>
      </c>
      <c r="M10868" t="s">
        <v>46436</v>
      </c>
      <c r="N10868" t="s">
        <v>47304</v>
      </c>
      <c r="O10868" t="s">
        <v>47305</v>
      </c>
      <c r="P10868">
        <v>0</v>
      </c>
      <c r="Q10868">
        <v>5</v>
      </c>
      <c r="R10868" t="s">
        <v>47314</v>
      </c>
      <c r="S10868" t="s">
        <v>47596</v>
      </c>
      <c r="T10868" t="s">
        <v>49291</v>
      </c>
      <c r="U10868" t="s">
        <v>58509</v>
      </c>
      <c r="W10868" t="s">
        <v>46436</v>
      </c>
      <c r="X10868" t="s">
        <v>47315</v>
      </c>
    </row>
    <row r="10869" spans="1:24">
      <c r="A10869">
        <f>HYPERLINK("https://www.philgeps.gov.ph/GEPSNONPILOT/Tender/SplashBidNoticeAbstractUI.aspx?menuIndex=3&amp;refID=7182542&amp;Result=3","7182542")</f>
        <v>0</v>
      </c>
      <c r="B10869" t="s">
        <v>2308</v>
      </c>
      <c r="C10869" t="s">
        <v>14111</v>
      </c>
      <c r="D10869" t="s">
        <v>19063</v>
      </c>
      <c r="E10869" t="s">
        <v>28357</v>
      </c>
      <c r="F10869" t="s">
        <v>32606</v>
      </c>
      <c r="G10869" t="s">
        <v>32613</v>
      </c>
      <c r="H10869" t="s">
        <v>32623</v>
      </c>
      <c r="I10869" t="s">
        <v>17648</v>
      </c>
      <c r="J10869" t="s">
        <v>32821</v>
      </c>
      <c r="K10869" t="s">
        <v>42624</v>
      </c>
      <c r="M10869" t="s">
        <v>45414</v>
      </c>
      <c r="N10869" t="s">
        <v>47304</v>
      </c>
      <c r="O10869" t="s">
        <v>47305</v>
      </c>
      <c r="P10869">
        <v>0</v>
      </c>
      <c r="Q10869">
        <v>3</v>
      </c>
      <c r="R10869" t="s">
        <v>47314</v>
      </c>
      <c r="S10869" t="s">
        <v>47596</v>
      </c>
      <c r="T10869" t="s">
        <v>49057</v>
      </c>
      <c r="U10869" t="s">
        <v>58510</v>
      </c>
      <c r="V10869" t="s">
        <v>63800</v>
      </c>
      <c r="W10869" t="s">
        <v>45414</v>
      </c>
      <c r="X10869" t="s">
        <v>47315</v>
      </c>
    </row>
    <row r="10870" spans="1:24">
      <c r="A10870">
        <f>HYPERLINK("https://www.philgeps.gov.ph/GEPSNONPILOT/Tender/SplashBidNoticeAbstractUI.aspx?menuIndex=3&amp;refID=7182560&amp;Result=3","7182560")</f>
        <v>0</v>
      </c>
      <c r="B10870" t="s">
        <v>3211</v>
      </c>
      <c r="C10870" t="s">
        <v>14112</v>
      </c>
      <c r="D10870" t="s">
        <v>19039</v>
      </c>
      <c r="E10870" t="s">
        <v>20950</v>
      </c>
      <c r="F10870" t="s">
        <v>32607</v>
      </c>
      <c r="G10870" t="s">
        <v>32615</v>
      </c>
      <c r="H10870" t="s">
        <v>14201</v>
      </c>
      <c r="I10870" t="s">
        <v>32660</v>
      </c>
      <c r="J10870" t="s">
        <v>39531</v>
      </c>
      <c r="K10870" t="s">
        <v>42630</v>
      </c>
      <c r="M10870" t="s">
        <v>46437</v>
      </c>
      <c r="N10870" t="s">
        <v>47304</v>
      </c>
      <c r="O10870" t="s">
        <v>47305</v>
      </c>
      <c r="P10870">
        <v>0</v>
      </c>
      <c r="Q10870">
        <v>2</v>
      </c>
      <c r="R10870" t="s">
        <v>47314</v>
      </c>
      <c r="S10870" t="s">
        <v>47596</v>
      </c>
      <c r="T10870" t="s">
        <v>49075</v>
      </c>
      <c r="U10870" t="s">
        <v>58511</v>
      </c>
      <c r="V10870" t="s">
        <v>63801</v>
      </c>
      <c r="W10870" t="s">
        <v>46437</v>
      </c>
      <c r="X10870" t="s">
        <v>47315</v>
      </c>
    </row>
    <row r="10871" spans="1:24">
      <c r="A10871">
        <f>HYPERLINK("https://www.philgeps.gov.ph/GEPSNONPILOT/Tender/SplashBidNoticeAbstractUI.aspx?menuIndex=3&amp;refID=7182503&amp;Result=3","7182503")</f>
        <v>0</v>
      </c>
      <c r="B10871" t="s">
        <v>3212</v>
      </c>
      <c r="C10871" t="s">
        <v>14113</v>
      </c>
      <c r="D10871" t="s">
        <v>19024</v>
      </c>
      <c r="E10871" t="s">
        <v>28358</v>
      </c>
      <c r="F10871" t="s">
        <v>32606</v>
      </c>
      <c r="G10871" t="s">
        <v>32613</v>
      </c>
      <c r="H10871" t="s">
        <v>32623</v>
      </c>
      <c r="I10871" t="s">
        <v>17648</v>
      </c>
      <c r="J10871" t="s">
        <v>39532</v>
      </c>
      <c r="K10871" t="s">
        <v>42648</v>
      </c>
      <c r="M10871" t="s">
        <v>46438</v>
      </c>
      <c r="N10871" t="s">
        <v>47304</v>
      </c>
      <c r="O10871" t="s">
        <v>47305</v>
      </c>
      <c r="P10871">
        <v>0</v>
      </c>
      <c r="Q10871">
        <v>0</v>
      </c>
      <c r="R10871" t="s">
        <v>47314</v>
      </c>
      <c r="S10871" t="s">
        <v>47596</v>
      </c>
      <c r="T10871" t="s">
        <v>49234</v>
      </c>
      <c r="U10871" t="s">
        <v>58512</v>
      </c>
      <c r="W10871" t="s">
        <v>46438</v>
      </c>
      <c r="X10871" t="s">
        <v>47315</v>
      </c>
    </row>
    <row r="10872" spans="1:24">
      <c r="A10872">
        <f>HYPERLINK("https://www.philgeps.gov.ph/GEPSNONPILOT/Tender/SplashBidNoticeAbstractUI.aspx?menuIndex=3&amp;refID=7182521&amp;Result=3","7182521")</f>
        <v>0</v>
      </c>
      <c r="B10872" t="s">
        <v>3213</v>
      </c>
      <c r="C10872" t="s">
        <v>14114</v>
      </c>
      <c r="D10872" t="s">
        <v>19038</v>
      </c>
      <c r="E10872" t="s">
        <v>28359</v>
      </c>
      <c r="F10872" t="s">
        <v>32606</v>
      </c>
      <c r="G10872" t="s">
        <v>32614</v>
      </c>
      <c r="H10872" t="s">
        <v>14201</v>
      </c>
      <c r="I10872" t="s">
        <v>9013</v>
      </c>
      <c r="J10872" t="s">
        <v>32868</v>
      </c>
      <c r="K10872" t="s">
        <v>42623</v>
      </c>
      <c r="M10872" t="s">
        <v>46439</v>
      </c>
      <c r="N10872" t="s">
        <v>47304</v>
      </c>
      <c r="O10872" t="s">
        <v>47305</v>
      </c>
      <c r="P10872">
        <v>0</v>
      </c>
      <c r="Q10872">
        <v>2</v>
      </c>
      <c r="R10872" t="s">
        <v>47314</v>
      </c>
      <c r="S10872" t="s">
        <v>47596</v>
      </c>
      <c r="T10872" t="s">
        <v>49311</v>
      </c>
      <c r="U10872" t="s">
        <v>58513</v>
      </c>
      <c r="W10872" t="s">
        <v>46439</v>
      </c>
      <c r="X10872" t="s">
        <v>47315</v>
      </c>
    </row>
    <row r="10873" spans="1:24">
      <c r="A10873">
        <f>HYPERLINK("https://www.philgeps.gov.ph/GEPSNONPILOT/Tender/SplashBidNoticeAbstractUI.aspx?menuIndex=3&amp;refID=7182445&amp;Result=3","7182445")</f>
        <v>0</v>
      </c>
      <c r="B10873" t="s">
        <v>2392</v>
      </c>
      <c r="C10873" t="s">
        <v>14115</v>
      </c>
      <c r="E10873" t="s">
        <v>28360</v>
      </c>
      <c r="F10873" t="s">
        <v>32606</v>
      </c>
      <c r="G10873" t="s">
        <v>32613</v>
      </c>
      <c r="H10873" t="s">
        <v>14201</v>
      </c>
      <c r="I10873" t="s">
        <v>7529</v>
      </c>
      <c r="J10873" t="s">
        <v>33269</v>
      </c>
      <c r="K10873" t="s">
        <v>42624</v>
      </c>
      <c r="M10873" t="s">
        <v>45513</v>
      </c>
      <c r="N10873" t="s">
        <v>47304</v>
      </c>
      <c r="O10873" t="s">
        <v>47305</v>
      </c>
      <c r="P10873">
        <v>0</v>
      </c>
      <c r="Q10873">
        <v>20</v>
      </c>
      <c r="R10873" t="s">
        <v>47314</v>
      </c>
      <c r="S10873" t="s">
        <v>47596</v>
      </c>
      <c r="T10873" t="s">
        <v>49036</v>
      </c>
      <c r="U10873" t="s">
        <v>51694</v>
      </c>
      <c r="W10873" t="s">
        <v>45513</v>
      </c>
      <c r="X10873" t="s">
        <v>47315</v>
      </c>
    </row>
    <row r="10874" spans="1:24">
      <c r="A10874">
        <f>HYPERLINK("https://www.philgeps.gov.ph/GEPSNONPILOT/Tender/SplashBidNoticeAbstractUI.aspx?menuIndex=3&amp;refID=7182641&amp;Result=3","7182641")</f>
        <v>0</v>
      </c>
      <c r="B10874" t="s">
        <v>1732</v>
      </c>
      <c r="C10874" t="s">
        <v>14116</v>
      </c>
      <c r="D10874" t="s">
        <v>18993</v>
      </c>
      <c r="E10874" t="s">
        <v>20539</v>
      </c>
      <c r="F10874" t="s">
        <v>32606</v>
      </c>
      <c r="G10874" t="s">
        <v>32613</v>
      </c>
      <c r="H10874" t="s">
        <v>14201</v>
      </c>
      <c r="I10874" t="s">
        <v>6298</v>
      </c>
      <c r="J10874" t="s">
        <v>32781</v>
      </c>
      <c r="K10874" t="s">
        <v>42632</v>
      </c>
      <c r="M10874" t="s">
        <v>44764</v>
      </c>
      <c r="N10874" t="s">
        <v>47304</v>
      </c>
      <c r="O10874" t="s">
        <v>47305</v>
      </c>
      <c r="P10874">
        <v>0</v>
      </c>
      <c r="Q10874">
        <v>3</v>
      </c>
      <c r="R10874" t="s">
        <v>47314</v>
      </c>
      <c r="S10874" t="s">
        <v>47596</v>
      </c>
      <c r="T10874" t="s">
        <v>49268</v>
      </c>
      <c r="U10874" t="s">
        <v>58514</v>
      </c>
      <c r="W10874" t="s">
        <v>44764</v>
      </c>
      <c r="X10874" t="s">
        <v>47315</v>
      </c>
    </row>
    <row r="10875" spans="1:24">
      <c r="A10875">
        <f>HYPERLINK("https://www.philgeps.gov.ph/GEPSNONPILOT/Tender/SplashBidNoticeAbstractUI.aspx?menuIndex=3&amp;refID=7182507&amp;Result=3","7182507")</f>
        <v>0</v>
      </c>
      <c r="B10875" t="s">
        <v>984</v>
      </c>
      <c r="C10875" t="s">
        <v>14117</v>
      </c>
      <c r="D10875" t="s">
        <v>19039</v>
      </c>
      <c r="E10875" t="s">
        <v>28361</v>
      </c>
      <c r="F10875" t="s">
        <v>32606</v>
      </c>
      <c r="G10875" t="s">
        <v>32613</v>
      </c>
      <c r="H10875" t="s">
        <v>14201</v>
      </c>
      <c r="I10875" t="s">
        <v>7577</v>
      </c>
      <c r="J10875" t="s">
        <v>39533</v>
      </c>
      <c r="K10875" t="s">
        <v>42648</v>
      </c>
      <c r="L10875" t="s">
        <v>984</v>
      </c>
      <c r="M10875" t="s">
        <v>43930</v>
      </c>
      <c r="N10875" t="s">
        <v>47304</v>
      </c>
      <c r="O10875" t="s">
        <v>47305</v>
      </c>
      <c r="P10875">
        <v>0</v>
      </c>
      <c r="Q10875">
        <v>2</v>
      </c>
      <c r="R10875" t="s">
        <v>47314</v>
      </c>
      <c r="S10875" t="s">
        <v>47596</v>
      </c>
      <c r="T10875" t="s">
        <v>48992</v>
      </c>
      <c r="U10875" t="s">
        <v>58515</v>
      </c>
      <c r="W10875" t="s">
        <v>43930</v>
      </c>
      <c r="X10875" t="s">
        <v>47315</v>
      </c>
    </row>
    <row r="10876" spans="1:24">
      <c r="A10876">
        <f>HYPERLINK("https://www.philgeps.gov.ph/GEPSNONPILOT/Tender/SplashBidNoticeAbstractUI.aspx?menuIndex=3&amp;refID=7182634&amp;Result=3","7182634")</f>
        <v>0</v>
      </c>
      <c r="B10876" t="s">
        <v>3214</v>
      </c>
      <c r="C10876" t="s">
        <v>14118</v>
      </c>
      <c r="D10876" t="s">
        <v>18994</v>
      </c>
      <c r="E10876" t="s">
        <v>23532</v>
      </c>
      <c r="F10876" t="s">
        <v>32606</v>
      </c>
      <c r="G10876" t="s">
        <v>32614</v>
      </c>
      <c r="H10876" t="s">
        <v>32625</v>
      </c>
      <c r="I10876" t="s">
        <v>32628</v>
      </c>
      <c r="J10876" t="s">
        <v>34411</v>
      </c>
      <c r="K10876" t="s">
        <v>42665</v>
      </c>
      <c r="M10876" t="s">
        <v>46440</v>
      </c>
      <c r="N10876" t="s">
        <v>47304</v>
      </c>
      <c r="O10876" t="s">
        <v>47305</v>
      </c>
      <c r="P10876">
        <v>0</v>
      </c>
      <c r="Q10876">
        <v>1</v>
      </c>
      <c r="R10876" t="s">
        <v>47314</v>
      </c>
      <c r="S10876" t="s">
        <v>47596</v>
      </c>
      <c r="T10876" t="s">
        <v>49269</v>
      </c>
      <c r="U10876" t="s">
        <v>58516</v>
      </c>
      <c r="V10876" t="s">
        <v>63802</v>
      </c>
      <c r="W10876" t="s">
        <v>46440</v>
      </c>
      <c r="X10876" t="s">
        <v>47315</v>
      </c>
    </row>
    <row r="10877" spans="1:24">
      <c r="A10877">
        <f>HYPERLINK("https://www.philgeps.gov.ph/GEPSNONPILOT/Tender/SplashBidNoticeAbstractUI.aspx?menuIndex=3&amp;refID=7182630&amp;Result=3","7182630")</f>
        <v>0</v>
      </c>
      <c r="B10877" t="s">
        <v>671</v>
      </c>
      <c r="C10877" t="s">
        <v>14119</v>
      </c>
      <c r="D10877" t="s">
        <v>18993</v>
      </c>
      <c r="E10877" t="s">
        <v>28362</v>
      </c>
      <c r="F10877" t="s">
        <v>32606</v>
      </c>
      <c r="G10877" t="s">
        <v>32613</v>
      </c>
      <c r="H10877" t="s">
        <v>32623</v>
      </c>
      <c r="I10877" t="s">
        <v>17648</v>
      </c>
      <c r="J10877" t="s">
        <v>39534</v>
      </c>
      <c r="K10877" t="s">
        <v>42624</v>
      </c>
      <c r="M10877" t="s">
        <v>43591</v>
      </c>
      <c r="N10877" t="s">
        <v>47304</v>
      </c>
      <c r="O10877" t="s">
        <v>47305</v>
      </c>
      <c r="P10877">
        <v>0</v>
      </c>
      <c r="Q10877">
        <v>0</v>
      </c>
      <c r="R10877" t="s">
        <v>47314</v>
      </c>
      <c r="S10877" t="s">
        <v>47596</v>
      </c>
      <c r="T10877" t="s">
        <v>49364</v>
      </c>
      <c r="U10877" t="s">
        <v>58517</v>
      </c>
      <c r="W10877" t="s">
        <v>43591</v>
      </c>
      <c r="X10877" t="s">
        <v>47315</v>
      </c>
    </row>
    <row r="10878" spans="1:24">
      <c r="A10878">
        <f>HYPERLINK("https://www.philgeps.gov.ph/GEPSNONPILOT/Tender/SplashBidNoticeAbstractUI.aspx?menuIndex=3&amp;refID=7182628&amp;Result=3","7182628")</f>
        <v>0</v>
      </c>
      <c r="B10878" t="s">
        <v>3215</v>
      </c>
      <c r="C10878" t="s">
        <v>14120</v>
      </c>
      <c r="D10878" t="s">
        <v>19002</v>
      </c>
      <c r="E10878" t="s">
        <v>19125</v>
      </c>
      <c r="F10878" t="s">
        <v>32606</v>
      </c>
      <c r="G10878" t="s">
        <v>32613</v>
      </c>
      <c r="H10878" t="s">
        <v>14201</v>
      </c>
      <c r="I10878" t="s">
        <v>6298</v>
      </c>
      <c r="J10878" t="s">
        <v>39535</v>
      </c>
      <c r="K10878" t="s">
        <v>42623</v>
      </c>
      <c r="M10878" t="s">
        <v>46441</v>
      </c>
      <c r="N10878" t="s">
        <v>47304</v>
      </c>
      <c r="O10878" t="s">
        <v>47305</v>
      </c>
      <c r="Q10878">
        <v>3</v>
      </c>
      <c r="R10878" t="s">
        <v>47314</v>
      </c>
      <c r="S10878" t="s">
        <v>47642</v>
      </c>
      <c r="T10878" t="s">
        <v>49099</v>
      </c>
      <c r="U10878" t="s">
        <v>58518</v>
      </c>
      <c r="V10878" t="s">
        <v>63803</v>
      </c>
      <c r="W10878" t="s">
        <v>46441</v>
      </c>
      <c r="X10878" t="s">
        <v>47315</v>
      </c>
    </row>
    <row r="10879" spans="1:24">
      <c r="A10879">
        <f>HYPERLINK("https://www.philgeps.gov.ph/GEPSNONPILOT/Tender/SplashBidNoticeAbstractUI.aspx?menuIndex=3&amp;refID=7182622&amp;Result=3","7182622")</f>
        <v>0</v>
      </c>
      <c r="B10879" t="s">
        <v>984</v>
      </c>
      <c r="C10879" t="s">
        <v>14121</v>
      </c>
      <c r="D10879" t="s">
        <v>19039</v>
      </c>
      <c r="E10879" t="s">
        <v>28363</v>
      </c>
      <c r="F10879" t="s">
        <v>32606</v>
      </c>
      <c r="G10879" t="s">
        <v>32613</v>
      </c>
      <c r="H10879" t="s">
        <v>14201</v>
      </c>
      <c r="I10879" t="s">
        <v>7064</v>
      </c>
      <c r="J10879" t="s">
        <v>33043</v>
      </c>
      <c r="K10879" t="s">
        <v>42625</v>
      </c>
      <c r="L10879" t="s">
        <v>984</v>
      </c>
      <c r="M10879" t="s">
        <v>43930</v>
      </c>
      <c r="N10879" t="s">
        <v>47304</v>
      </c>
      <c r="O10879" t="s">
        <v>47305</v>
      </c>
      <c r="P10879">
        <v>0</v>
      </c>
      <c r="Q10879">
        <v>3</v>
      </c>
      <c r="R10879" t="s">
        <v>47314</v>
      </c>
      <c r="S10879" t="s">
        <v>47596</v>
      </c>
      <c r="T10879" t="s">
        <v>48992</v>
      </c>
      <c r="U10879" t="s">
        <v>58519</v>
      </c>
      <c r="W10879" t="s">
        <v>43930</v>
      </c>
      <c r="X10879" t="s">
        <v>47315</v>
      </c>
    </row>
    <row r="10880" spans="1:24">
      <c r="A10880">
        <f>HYPERLINK("https://www.philgeps.gov.ph/GEPSNONPILOT/Tender/SplashBidNoticeAbstractUI.aspx?menuIndex=3&amp;refID=7182617&amp;Result=3","7182617")</f>
        <v>0</v>
      </c>
      <c r="B10880" t="s">
        <v>232</v>
      </c>
      <c r="C10880" t="s">
        <v>14122</v>
      </c>
      <c r="D10880" t="s">
        <v>19017</v>
      </c>
      <c r="E10880" t="s">
        <v>28364</v>
      </c>
      <c r="F10880" t="s">
        <v>32606</v>
      </c>
      <c r="G10880" t="s">
        <v>32613</v>
      </c>
      <c r="H10880" t="s">
        <v>32623</v>
      </c>
      <c r="I10880" t="s">
        <v>17648</v>
      </c>
      <c r="J10880" t="s">
        <v>39536</v>
      </c>
      <c r="K10880" t="s">
        <v>42636</v>
      </c>
      <c r="M10880" t="s">
        <v>43133</v>
      </c>
      <c r="N10880" t="s">
        <v>47304</v>
      </c>
      <c r="O10880" t="s">
        <v>47305</v>
      </c>
      <c r="P10880">
        <v>0</v>
      </c>
      <c r="Q10880">
        <v>0</v>
      </c>
      <c r="R10880" t="s">
        <v>47314</v>
      </c>
      <c r="S10880" t="s">
        <v>47596</v>
      </c>
      <c r="T10880" t="s">
        <v>49234</v>
      </c>
      <c r="U10880" t="s">
        <v>58520</v>
      </c>
      <c r="W10880" t="s">
        <v>43133</v>
      </c>
      <c r="X10880" t="s">
        <v>47315</v>
      </c>
    </row>
    <row r="10881" spans="1:24">
      <c r="A10881">
        <f>HYPERLINK("https://www.philgeps.gov.ph/GEPSNONPILOT/Tender/SplashBidNoticeAbstractUI.aspx?menuIndex=3&amp;refID=7182616&amp;Result=3","7182616")</f>
        <v>0</v>
      </c>
      <c r="B10881" t="s">
        <v>3203</v>
      </c>
      <c r="C10881" t="s">
        <v>14123</v>
      </c>
      <c r="D10881" t="s">
        <v>19034</v>
      </c>
      <c r="E10881" t="s">
        <v>20556</v>
      </c>
      <c r="F10881" t="s">
        <v>32606</v>
      </c>
      <c r="G10881" t="s">
        <v>32613</v>
      </c>
      <c r="H10881" t="s">
        <v>32623</v>
      </c>
      <c r="I10881" t="s">
        <v>17648</v>
      </c>
      <c r="J10881" t="s">
        <v>32796</v>
      </c>
      <c r="K10881" t="s">
        <v>42650</v>
      </c>
      <c r="M10881" t="s">
        <v>46429</v>
      </c>
      <c r="N10881" t="s">
        <v>47304</v>
      </c>
      <c r="O10881" t="s">
        <v>47305</v>
      </c>
      <c r="P10881">
        <v>0</v>
      </c>
      <c r="Q10881">
        <v>20</v>
      </c>
      <c r="R10881" t="s">
        <v>47314</v>
      </c>
      <c r="S10881" t="s">
        <v>47596</v>
      </c>
      <c r="T10881" t="s">
        <v>49389</v>
      </c>
      <c r="U10881" t="s">
        <v>58521</v>
      </c>
      <c r="W10881" t="s">
        <v>46429</v>
      </c>
      <c r="X10881" t="s">
        <v>47315</v>
      </c>
    </row>
    <row r="10882" spans="1:24">
      <c r="A10882">
        <f>HYPERLINK("https://www.philgeps.gov.ph/GEPSNONPILOT/Tender/SplashBidNoticeAbstractUI.aspx?menuIndex=3&amp;refID=7182610&amp;Result=3","7182610")</f>
        <v>0</v>
      </c>
      <c r="B10882" t="s">
        <v>1014</v>
      </c>
      <c r="C10882" t="s">
        <v>14124</v>
      </c>
      <c r="D10882" t="s">
        <v>19056</v>
      </c>
      <c r="E10882" t="s">
        <v>28365</v>
      </c>
      <c r="F10882" t="s">
        <v>32606</v>
      </c>
      <c r="G10882" t="s">
        <v>32614</v>
      </c>
      <c r="H10882" t="s">
        <v>14201</v>
      </c>
      <c r="I10882" t="s">
        <v>4112</v>
      </c>
      <c r="J10882" t="s">
        <v>32833</v>
      </c>
      <c r="K10882" t="s">
        <v>42646</v>
      </c>
      <c r="M10882" t="s">
        <v>46082</v>
      </c>
      <c r="N10882" t="s">
        <v>47304</v>
      </c>
      <c r="O10882" t="s">
        <v>47305</v>
      </c>
      <c r="Q10882">
        <v>0</v>
      </c>
      <c r="R10882" t="s">
        <v>47314</v>
      </c>
      <c r="S10882" t="s">
        <v>47643</v>
      </c>
      <c r="T10882" t="s">
        <v>49200</v>
      </c>
      <c r="U10882" t="s">
        <v>58522</v>
      </c>
      <c r="W10882" t="s">
        <v>46082</v>
      </c>
      <c r="X10882" t="s">
        <v>47315</v>
      </c>
    </row>
    <row r="10883" spans="1:24">
      <c r="A10883">
        <f>HYPERLINK("https://www.philgeps.gov.ph/GEPSNONPILOT/Tender/SplashBidNoticeAbstractUI.aspx?menuIndex=3&amp;refID=7182605&amp;Result=3","7182605")</f>
        <v>0</v>
      </c>
      <c r="B10883" t="s">
        <v>2415</v>
      </c>
      <c r="C10883" t="s">
        <v>14125</v>
      </c>
      <c r="D10883" t="s">
        <v>19041</v>
      </c>
      <c r="E10883" t="s">
        <v>28366</v>
      </c>
      <c r="F10883" t="s">
        <v>32606</v>
      </c>
      <c r="G10883" t="s">
        <v>32613</v>
      </c>
      <c r="H10883" t="s">
        <v>14201</v>
      </c>
      <c r="I10883" t="s">
        <v>4114</v>
      </c>
      <c r="J10883" t="s">
        <v>39537</v>
      </c>
      <c r="K10883" t="s">
        <v>42630</v>
      </c>
      <c r="M10883" t="s">
        <v>45539</v>
      </c>
      <c r="N10883" t="s">
        <v>47304</v>
      </c>
      <c r="O10883" t="s">
        <v>47305</v>
      </c>
      <c r="P10883">
        <v>0</v>
      </c>
      <c r="Q10883">
        <v>4</v>
      </c>
      <c r="R10883" t="s">
        <v>47314</v>
      </c>
      <c r="S10883" t="s">
        <v>47596</v>
      </c>
      <c r="T10883" t="s">
        <v>49020</v>
      </c>
      <c r="U10883" t="s">
        <v>58523</v>
      </c>
      <c r="W10883" t="s">
        <v>45539</v>
      </c>
      <c r="X10883" t="s">
        <v>47315</v>
      </c>
    </row>
    <row r="10884" spans="1:24">
      <c r="A10884">
        <f>HYPERLINK("https://www.philgeps.gov.ph/GEPSNONPILOT/Tender/SplashBidNoticeAbstractUI.aspx?menuIndex=3&amp;refID=7182604&amp;Result=3","7182604")</f>
        <v>0</v>
      </c>
      <c r="B10884" t="s">
        <v>3212</v>
      </c>
      <c r="C10884" t="s">
        <v>14126</v>
      </c>
      <c r="D10884" t="s">
        <v>19024</v>
      </c>
      <c r="E10884" t="s">
        <v>28367</v>
      </c>
      <c r="F10884" t="s">
        <v>32606</v>
      </c>
      <c r="G10884" t="s">
        <v>32613</v>
      </c>
      <c r="H10884" t="s">
        <v>14201</v>
      </c>
      <c r="I10884" t="s">
        <v>32647</v>
      </c>
      <c r="J10884" t="s">
        <v>32769</v>
      </c>
      <c r="K10884" t="s">
        <v>42648</v>
      </c>
      <c r="M10884" t="s">
        <v>46438</v>
      </c>
      <c r="N10884" t="s">
        <v>47304</v>
      </c>
      <c r="O10884" t="s">
        <v>47305</v>
      </c>
      <c r="P10884">
        <v>0</v>
      </c>
      <c r="Q10884">
        <v>7</v>
      </c>
      <c r="R10884" t="s">
        <v>47314</v>
      </c>
      <c r="S10884" t="s">
        <v>47596</v>
      </c>
      <c r="T10884" t="s">
        <v>49234</v>
      </c>
      <c r="U10884" t="s">
        <v>58524</v>
      </c>
      <c r="W10884" t="s">
        <v>46438</v>
      </c>
      <c r="X10884" t="s">
        <v>47315</v>
      </c>
    </row>
    <row r="10885" spans="1:24">
      <c r="A10885">
        <f>HYPERLINK("https://www.philgeps.gov.ph/GEPSNONPILOT/Tender/SplashBidNoticeAbstractUI.aspx?menuIndex=3&amp;refID=7182603&amp;Result=3","7182603")</f>
        <v>0</v>
      </c>
      <c r="B10885" t="s">
        <v>671</v>
      </c>
      <c r="C10885" t="s">
        <v>14127</v>
      </c>
      <c r="D10885" t="s">
        <v>18993</v>
      </c>
      <c r="E10885" t="s">
        <v>28368</v>
      </c>
      <c r="F10885" t="s">
        <v>32606</v>
      </c>
      <c r="G10885" t="s">
        <v>32613</v>
      </c>
      <c r="H10885" t="s">
        <v>14201</v>
      </c>
      <c r="I10885" t="s">
        <v>32699</v>
      </c>
      <c r="J10885" t="s">
        <v>33332</v>
      </c>
      <c r="K10885" t="s">
        <v>42624</v>
      </c>
      <c r="M10885" t="s">
        <v>43591</v>
      </c>
      <c r="N10885" t="s">
        <v>47304</v>
      </c>
      <c r="O10885" t="s">
        <v>47305</v>
      </c>
      <c r="P10885">
        <v>0</v>
      </c>
      <c r="Q10885">
        <v>1</v>
      </c>
      <c r="R10885" t="s">
        <v>47314</v>
      </c>
      <c r="S10885" t="s">
        <v>47596</v>
      </c>
      <c r="T10885" t="s">
        <v>49364</v>
      </c>
      <c r="U10885" t="s">
        <v>58525</v>
      </c>
      <c r="W10885" t="s">
        <v>43591</v>
      </c>
      <c r="X10885" t="s">
        <v>47315</v>
      </c>
    </row>
    <row r="10886" spans="1:24">
      <c r="A10886">
        <f>HYPERLINK("https://www.philgeps.gov.ph/GEPSNONPILOT/Tender/SplashBidNoticeAbstractUI.aspx?menuIndex=3&amp;refID=7182516&amp;Result=3","7182516")</f>
        <v>0</v>
      </c>
      <c r="B10886" t="s">
        <v>2031</v>
      </c>
      <c r="C10886" t="s">
        <v>14128</v>
      </c>
      <c r="D10886" t="s">
        <v>19010</v>
      </c>
      <c r="E10886" t="s">
        <v>28369</v>
      </c>
      <c r="F10886" t="s">
        <v>32607</v>
      </c>
      <c r="G10886" t="s">
        <v>32613</v>
      </c>
      <c r="H10886" t="s">
        <v>32623</v>
      </c>
      <c r="I10886" t="s">
        <v>17648</v>
      </c>
      <c r="J10886" t="s">
        <v>39538</v>
      </c>
      <c r="K10886" t="s">
        <v>42651</v>
      </c>
      <c r="M10886" t="s">
        <v>45107</v>
      </c>
      <c r="N10886" t="s">
        <v>47304</v>
      </c>
      <c r="O10886" t="s">
        <v>47305</v>
      </c>
      <c r="P10886">
        <v>0</v>
      </c>
      <c r="Q10886">
        <v>4</v>
      </c>
      <c r="R10886" t="s">
        <v>47314</v>
      </c>
      <c r="S10886" t="s">
        <v>47596</v>
      </c>
      <c r="T10886" t="s">
        <v>49052</v>
      </c>
      <c r="U10886" t="s">
        <v>54607</v>
      </c>
      <c r="V10886" t="s">
        <v>63804</v>
      </c>
      <c r="W10886" t="s">
        <v>45107</v>
      </c>
      <c r="X10886" t="s">
        <v>47315</v>
      </c>
    </row>
    <row r="10887" spans="1:24">
      <c r="A10887">
        <f>HYPERLINK("https://www.philgeps.gov.ph/GEPSNONPILOT/Tender/SplashBidNoticeAbstractUI.aspx?menuIndex=3&amp;refID=7182597&amp;Result=3","7182597")</f>
        <v>0</v>
      </c>
      <c r="B10887" t="s">
        <v>3216</v>
      </c>
      <c r="C10887" t="s">
        <v>14129</v>
      </c>
      <c r="D10887" t="s">
        <v>19024</v>
      </c>
      <c r="E10887" t="s">
        <v>20338</v>
      </c>
      <c r="F10887" t="s">
        <v>32606</v>
      </c>
      <c r="G10887" t="s">
        <v>32613</v>
      </c>
      <c r="H10887" t="s">
        <v>32623</v>
      </c>
      <c r="I10887" t="s">
        <v>17648</v>
      </c>
      <c r="J10887" t="s">
        <v>39539</v>
      </c>
      <c r="K10887" t="s">
        <v>42639</v>
      </c>
      <c r="M10887" t="s">
        <v>46442</v>
      </c>
      <c r="N10887" t="s">
        <v>47304</v>
      </c>
      <c r="O10887" t="s">
        <v>47305</v>
      </c>
      <c r="P10887">
        <v>0</v>
      </c>
      <c r="Q10887">
        <v>0</v>
      </c>
      <c r="R10887" t="s">
        <v>47314</v>
      </c>
      <c r="S10887" t="s">
        <v>47596</v>
      </c>
      <c r="T10887" t="s">
        <v>49023</v>
      </c>
      <c r="U10887" t="s">
        <v>58526</v>
      </c>
      <c r="W10887" t="s">
        <v>46442</v>
      </c>
      <c r="X10887" t="s">
        <v>47315</v>
      </c>
    </row>
    <row r="10888" spans="1:24">
      <c r="A10888">
        <f>HYPERLINK("https://www.philgeps.gov.ph/GEPSNONPILOT/Tender/SplashBidNoticeAbstractUI.aspx?menuIndex=3&amp;refID=7182627&amp;Result=3","7182627")</f>
        <v>0</v>
      </c>
      <c r="B10888" t="s">
        <v>3192</v>
      </c>
      <c r="C10888" t="s">
        <v>14130</v>
      </c>
      <c r="D10888" t="s">
        <v>19015</v>
      </c>
      <c r="E10888" t="s">
        <v>21066</v>
      </c>
      <c r="F10888" t="s">
        <v>32606</v>
      </c>
      <c r="G10888" t="s">
        <v>32613</v>
      </c>
      <c r="H10888" t="s">
        <v>32623</v>
      </c>
      <c r="I10888" t="s">
        <v>6931</v>
      </c>
      <c r="J10888" t="s">
        <v>39540</v>
      </c>
      <c r="K10888" t="s">
        <v>42623</v>
      </c>
      <c r="M10888" t="s">
        <v>46417</v>
      </c>
      <c r="N10888" t="s">
        <v>47304</v>
      </c>
      <c r="O10888" t="s">
        <v>47305</v>
      </c>
      <c r="P10888">
        <v>0</v>
      </c>
      <c r="Q10888">
        <v>3</v>
      </c>
      <c r="R10888" t="s">
        <v>47314</v>
      </c>
      <c r="S10888" t="s">
        <v>47596</v>
      </c>
      <c r="T10888" t="s">
        <v>49050</v>
      </c>
      <c r="U10888" t="s">
        <v>58527</v>
      </c>
      <c r="W10888" t="s">
        <v>46417</v>
      </c>
      <c r="X10888" t="s">
        <v>47315</v>
      </c>
    </row>
    <row r="10889" spans="1:24">
      <c r="A10889">
        <f>HYPERLINK("https://www.philgeps.gov.ph/GEPSNONPILOT/Tender/SplashBidNoticeAbstractUI.aspx?menuIndex=3&amp;refID=7182596&amp;Result=3","7182596")</f>
        <v>0</v>
      </c>
      <c r="B10889" t="s">
        <v>2728</v>
      </c>
      <c r="C10889" t="s">
        <v>14131</v>
      </c>
      <c r="D10889" t="s">
        <v>19003</v>
      </c>
      <c r="E10889" t="s">
        <v>28370</v>
      </c>
      <c r="F10889" t="s">
        <v>32606</v>
      </c>
      <c r="G10889" t="s">
        <v>32613</v>
      </c>
      <c r="H10889" t="s">
        <v>14201</v>
      </c>
      <c r="I10889" t="s">
        <v>6931</v>
      </c>
      <c r="J10889" t="s">
        <v>39541</v>
      </c>
      <c r="K10889" t="s">
        <v>42622</v>
      </c>
      <c r="M10889" t="s">
        <v>45883</v>
      </c>
      <c r="N10889" t="s">
        <v>47304</v>
      </c>
      <c r="O10889" t="s">
        <v>47305</v>
      </c>
      <c r="P10889">
        <v>0</v>
      </c>
      <c r="Q10889">
        <v>0</v>
      </c>
      <c r="R10889" t="s">
        <v>47314</v>
      </c>
      <c r="S10889" t="s">
        <v>47596</v>
      </c>
      <c r="T10889" t="s">
        <v>49256</v>
      </c>
      <c r="U10889" t="s">
        <v>58528</v>
      </c>
      <c r="W10889" t="s">
        <v>45883</v>
      </c>
      <c r="X10889" t="s">
        <v>47315</v>
      </c>
    </row>
    <row r="10890" spans="1:24">
      <c r="A10890">
        <f>HYPERLINK("https://www.philgeps.gov.ph/GEPSNONPILOT/Tender/SplashBidNoticeAbstractUI.aspx?menuIndex=3&amp;refID=7182594&amp;Result=3","7182594")</f>
        <v>0</v>
      </c>
      <c r="B10890" t="s">
        <v>3217</v>
      </c>
      <c r="C10890" t="s">
        <v>14132</v>
      </c>
      <c r="E10890" t="s">
        <v>28371</v>
      </c>
      <c r="F10890" t="s">
        <v>32606</v>
      </c>
      <c r="G10890" t="s">
        <v>32613</v>
      </c>
      <c r="H10890" t="s">
        <v>32623</v>
      </c>
      <c r="I10890" t="s">
        <v>17648</v>
      </c>
      <c r="J10890" t="s">
        <v>39542</v>
      </c>
      <c r="K10890" t="s">
        <v>42624</v>
      </c>
      <c r="M10890" t="s">
        <v>46443</v>
      </c>
      <c r="N10890" t="s">
        <v>47304</v>
      </c>
      <c r="O10890" t="s">
        <v>47305</v>
      </c>
      <c r="P10890">
        <v>0</v>
      </c>
      <c r="Q10890">
        <v>0</v>
      </c>
      <c r="R10890" t="s">
        <v>47314</v>
      </c>
      <c r="S10890" t="s">
        <v>47596</v>
      </c>
      <c r="T10890" t="s">
        <v>48994</v>
      </c>
      <c r="U10890" t="s">
        <v>58529</v>
      </c>
      <c r="V10890" t="s">
        <v>63805</v>
      </c>
      <c r="W10890" t="s">
        <v>46443</v>
      </c>
      <c r="X10890" t="s">
        <v>47315</v>
      </c>
    </row>
    <row r="10891" spans="1:24">
      <c r="A10891">
        <f>HYPERLINK("https://www.philgeps.gov.ph/GEPSNONPILOT/Tender/SplashBidNoticeAbstractUI.aspx?menuIndex=3&amp;refID=7182727&amp;Result=3","7182727")</f>
        <v>0</v>
      </c>
      <c r="B10891" t="s">
        <v>3198</v>
      </c>
      <c r="C10891" t="s">
        <v>14133</v>
      </c>
      <c r="D10891" t="s">
        <v>19057</v>
      </c>
      <c r="E10891" t="s">
        <v>28372</v>
      </c>
      <c r="F10891" t="s">
        <v>32606</v>
      </c>
      <c r="G10891" t="s">
        <v>32613</v>
      </c>
      <c r="H10891" t="s">
        <v>14201</v>
      </c>
      <c r="I10891" t="s">
        <v>4678</v>
      </c>
      <c r="J10891" t="s">
        <v>39543</v>
      </c>
      <c r="K10891" t="s">
        <v>42622</v>
      </c>
      <c r="M10891" t="s">
        <v>46424</v>
      </c>
      <c r="N10891" t="s">
        <v>47304</v>
      </c>
      <c r="O10891" t="s">
        <v>47305</v>
      </c>
      <c r="P10891">
        <v>0</v>
      </c>
      <c r="Q10891">
        <v>6</v>
      </c>
      <c r="R10891" t="s">
        <v>47314</v>
      </c>
      <c r="S10891" t="s">
        <v>47596</v>
      </c>
      <c r="T10891" t="s">
        <v>49040</v>
      </c>
      <c r="U10891" t="s">
        <v>58491</v>
      </c>
      <c r="W10891" t="s">
        <v>46424</v>
      </c>
      <c r="X10891" t="s">
        <v>47315</v>
      </c>
    </row>
    <row r="10892" spans="1:24">
      <c r="A10892">
        <f>HYPERLINK("https://www.philgeps.gov.ph/GEPSNONPILOT/Tender/SplashBidNoticeAbstractUI.aspx?menuIndex=3&amp;refID=7182721&amp;Result=3","7182721")</f>
        <v>0</v>
      </c>
      <c r="B10892" t="s">
        <v>984</v>
      </c>
      <c r="C10892" t="s">
        <v>14134</v>
      </c>
      <c r="D10892" t="s">
        <v>19039</v>
      </c>
      <c r="E10892" t="s">
        <v>28373</v>
      </c>
      <c r="F10892" t="s">
        <v>32606</v>
      </c>
      <c r="G10892" t="s">
        <v>32613</v>
      </c>
      <c r="H10892" t="s">
        <v>14201</v>
      </c>
      <c r="I10892" t="s">
        <v>32736</v>
      </c>
      <c r="J10892" t="s">
        <v>32765</v>
      </c>
      <c r="K10892" t="s">
        <v>42637</v>
      </c>
      <c r="L10892" t="s">
        <v>984</v>
      </c>
      <c r="M10892" t="s">
        <v>43930</v>
      </c>
      <c r="N10892" t="s">
        <v>47304</v>
      </c>
      <c r="O10892" t="s">
        <v>47305</v>
      </c>
      <c r="P10892">
        <v>0</v>
      </c>
      <c r="Q10892">
        <v>1</v>
      </c>
      <c r="R10892" t="s">
        <v>47314</v>
      </c>
      <c r="S10892" t="s">
        <v>47596</v>
      </c>
      <c r="T10892" t="s">
        <v>48992</v>
      </c>
      <c r="U10892" t="s">
        <v>58530</v>
      </c>
      <c r="W10892" t="s">
        <v>43930</v>
      </c>
      <c r="X10892" t="s">
        <v>47315</v>
      </c>
    </row>
    <row r="10893" spans="1:24">
      <c r="A10893">
        <f>HYPERLINK("https://www.philgeps.gov.ph/GEPSNONPILOT/Tender/SplashBidNoticeAbstractUI.aspx?menuIndex=3&amp;refID=7182718&amp;Result=3","7182718")</f>
        <v>0</v>
      </c>
      <c r="B10893" t="s">
        <v>1194</v>
      </c>
      <c r="C10893" t="s">
        <v>14135</v>
      </c>
      <c r="D10893" t="s">
        <v>19025</v>
      </c>
      <c r="E10893" t="s">
        <v>28216</v>
      </c>
      <c r="F10893" t="s">
        <v>32606</v>
      </c>
      <c r="G10893" t="s">
        <v>32613</v>
      </c>
      <c r="H10893" t="s">
        <v>14201</v>
      </c>
      <c r="I10893" t="s">
        <v>32640</v>
      </c>
      <c r="J10893" t="s">
        <v>35675</v>
      </c>
      <c r="K10893" t="s">
        <v>42631</v>
      </c>
      <c r="M10893" t="s">
        <v>44158</v>
      </c>
      <c r="N10893" t="s">
        <v>47304</v>
      </c>
      <c r="O10893" t="s">
        <v>47305</v>
      </c>
      <c r="P10893">
        <v>0</v>
      </c>
      <c r="Q10893">
        <v>13</v>
      </c>
      <c r="R10893" t="s">
        <v>47314</v>
      </c>
      <c r="S10893" t="s">
        <v>47596</v>
      </c>
      <c r="T10893" t="s">
        <v>49240</v>
      </c>
      <c r="U10893" t="s">
        <v>58531</v>
      </c>
      <c r="W10893" t="s">
        <v>44158</v>
      </c>
      <c r="X10893" t="s">
        <v>47315</v>
      </c>
    </row>
    <row r="10894" spans="1:24">
      <c r="A10894">
        <f>HYPERLINK("https://www.philgeps.gov.ph/GEPSNONPILOT/Tender/SplashBidNoticeAbstractUI.aspx?menuIndex=3&amp;refID=7182712&amp;Result=3","7182712")</f>
        <v>0</v>
      </c>
      <c r="B10894" t="s">
        <v>3212</v>
      </c>
      <c r="C10894" t="s">
        <v>14136</v>
      </c>
      <c r="D10894" t="s">
        <v>19024</v>
      </c>
      <c r="E10894" t="s">
        <v>28374</v>
      </c>
      <c r="F10894" t="s">
        <v>32606</v>
      </c>
      <c r="G10894" t="s">
        <v>32613</v>
      </c>
      <c r="H10894" t="s">
        <v>14201</v>
      </c>
      <c r="I10894" t="s">
        <v>7064</v>
      </c>
      <c r="J10894" t="s">
        <v>32767</v>
      </c>
      <c r="K10894" t="s">
        <v>42636</v>
      </c>
      <c r="M10894" t="s">
        <v>46438</v>
      </c>
      <c r="N10894" t="s">
        <v>47304</v>
      </c>
      <c r="O10894" t="s">
        <v>47305</v>
      </c>
      <c r="P10894">
        <v>0</v>
      </c>
      <c r="Q10894">
        <v>4</v>
      </c>
      <c r="R10894" t="s">
        <v>47314</v>
      </c>
      <c r="S10894" t="s">
        <v>47596</v>
      </c>
      <c r="T10894" t="s">
        <v>49234</v>
      </c>
      <c r="U10894" t="s">
        <v>58532</v>
      </c>
      <c r="W10894" t="s">
        <v>46438</v>
      </c>
      <c r="X10894" t="s">
        <v>47315</v>
      </c>
    </row>
    <row r="10895" spans="1:24">
      <c r="A10895">
        <f>HYPERLINK("https://www.philgeps.gov.ph/GEPSNONPILOT/Tender/SplashBidNoticeAbstractUI.aspx?menuIndex=3&amp;refID=7182635&amp;Result=3","7182635")</f>
        <v>0</v>
      </c>
      <c r="B10895" t="s">
        <v>3198</v>
      </c>
      <c r="C10895" t="s">
        <v>14137</v>
      </c>
      <c r="D10895" t="s">
        <v>19057</v>
      </c>
      <c r="E10895" t="s">
        <v>28375</v>
      </c>
      <c r="F10895" t="s">
        <v>32606</v>
      </c>
      <c r="G10895" t="s">
        <v>32613</v>
      </c>
      <c r="H10895" t="s">
        <v>14201</v>
      </c>
      <c r="I10895" t="s">
        <v>4678</v>
      </c>
      <c r="J10895" t="s">
        <v>33646</v>
      </c>
      <c r="K10895" t="s">
        <v>42622</v>
      </c>
      <c r="M10895" t="s">
        <v>46424</v>
      </c>
      <c r="N10895" t="s">
        <v>47304</v>
      </c>
      <c r="O10895" t="s">
        <v>47305</v>
      </c>
      <c r="P10895">
        <v>0</v>
      </c>
      <c r="Q10895">
        <v>5</v>
      </c>
      <c r="R10895" t="s">
        <v>47314</v>
      </c>
      <c r="S10895" t="s">
        <v>47596</v>
      </c>
      <c r="T10895" t="s">
        <v>49040</v>
      </c>
      <c r="U10895" t="s">
        <v>58491</v>
      </c>
      <c r="W10895" t="s">
        <v>46424</v>
      </c>
      <c r="X10895" t="s">
        <v>47315</v>
      </c>
    </row>
    <row r="10896" spans="1:24">
      <c r="A10896">
        <f>HYPERLINK("https://www.philgeps.gov.ph/GEPSNONPILOT/Tender/SplashBidNoticeAbstractUI.aspx?menuIndex=3&amp;refID=7182697&amp;Result=3","7182697")</f>
        <v>0</v>
      </c>
      <c r="B10896" t="s">
        <v>3218</v>
      </c>
      <c r="C10896" t="s">
        <v>14138</v>
      </c>
      <c r="D10896" t="s">
        <v>19024</v>
      </c>
      <c r="E10896" t="s">
        <v>28376</v>
      </c>
      <c r="F10896" t="s">
        <v>32606</v>
      </c>
      <c r="G10896" t="s">
        <v>32613</v>
      </c>
      <c r="H10896" t="s">
        <v>32623</v>
      </c>
      <c r="I10896" t="s">
        <v>6931</v>
      </c>
      <c r="J10896" t="s">
        <v>39544</v>
      </c>
      <c r="K10896" t="s">
        <v>42624</v>
      </c>
      <c r="M10896" t="s">
        <v>46444</v>
      </c>
      <c r="N10896" t="s">
        <v>47304</v>
      </c>
      <c r="O10896" t="s">
        <v>47305</v>
      </c>
      <c r="P10896">
        <v>0</v>
      </c>
      <c r="Q10896">
        <v>0</v>
      </c>
      <c r="R10896" t="s">
        <v>47314</v>
      </c>
      <c r="S10896" t="s">
        <v>47596</v>
      </c>
      <c r="T10896" t="s">
        <v>49257</v>
      </c>
      <c r="U10896" t="s">
        <v>58533</v>
      </c>
      <c r="W10896" t="s">
        <v>46444</v>
      </c>
      <c r="X10896" t="s">
        <v>47315</v>
      </c>
    </row>
    <row r="10897" spans="1:24">
      <c r="A10897">
        <f>HYPERLINK("https://www.philgeps.gov.ph/GEPSNONPILOT/Tender/SplashBidNoticeAbstractUI.aspx?menuIndex=3&amp;refID=7182695&amp;Result=3","7182695")</f>
        <v>0</v>
      </c>
      <c r="B10897" t="s">
        <v>257</v>
      </c>
      <c r="C10897" t="s">
        <v>14139</v>
      </c>
      <c r="D10897" t="s">
        <v>19019</v>
      </c>
      <c r="E10897" t="s">
        <v>28377</v>
      </c>
      <c r="F10897" t="s">
        <v>32606</v>
      </c>
      <c r="G10897" t="s">
        <v>32613</v>
      </c>
      <c r="H10897" t="s">
        <v>32623</v>
      </c>
      <c r="I10897" t="s">
        <v>17648</v>
      </c>
      <c r="J10897" t="s">
        <v>39545</v>
      </c>
      <c r="K10897" t="s">
        <v>42648</v>
      </c>
      <c r="M10897" t="s">
        <v>43158</v>
      </c>
      <c r="N10897" t="s">
        <v>47304</v>
      </c>
      <c r="O10897" t="s">
        <v>47305</v>
      </c>
      <c r="P10897">
        <v>0</v>
      </c>
      <c r="Q10897">
        <v>0</v>
      </c>
      <c r="R10897" t="s">
        <v>47314</v>
      </c>
      <c r="S10897" t="s">
        <v>47596</v>
      </c>
      <c r="T10897" t="s">
        <v>49066</v>
      </c>
      <c r="U10897" t="s">
        <v>58534</v>
      </c>
      <c r="W10897" t="s">
        <v>43158</v>
      </c>
      <c r="X10897" t="s">
        <v>47315</v>
      </c>
    </row>
    <row r="10898" spans="1:24">
      <c r="A10898">
        <f>HYPERLINK("https://www.philgeps.gov.ph/GEPSNONPILOT/Tender/SplashBidNoticeAbstractUI.aspx?menuIndex=3&amp;refID=7182682&amp;Result=3","7182682")</f>
        <v>0</v>
      </c>
      <c r="B10898" t="s">
        <v>1450</v>
      </c>
      <c r="C10898" t="s">
        <v>14140</v>
      </c>
      <c r="D10898" t="s">
        <v>19002</v>
      </c>
      <c r="E10898" t="s">
        <v>19451</v>
      </c>
      <c r="F10898" t="s">
        <v>32606</v>
      </c>
      <c r="G10898" t="s">
        <v>32613</v>
      </c>
      <c r="H10898" t="s">
        <v>32623</v>
      </c>
      <c r="I10898" t="s">
        <v>17648</v>
      </c>
      <c r="J10898" t="s">
        <v>34128</v>
      </c>
      <c r="K10898" t="s">
        <v>42636</v>
      </c>
      <c r="M10898" t="s">
        <v>44441</v>
      </c>
      <c r="N10898" t="s">
        <v>47304</v>
      </c>
      <c r="O10898" t="s">
        <v>47305</v>
      </c>
      <c r="P10898">
        <v>0</v>
      </c>
      <c r="Q10898">
        <v>2</v>
      </c>
      <c r="R10898" t="s">
        <v>47314</v>
      </c>
      <c r="S10898" t="s">
        <v>47596</v>
      </c>
      <c r="T10898" t="s">
        <v>49057</v>
      </c>
      <c r="U10898" t="s">
        <v>58535</v>
      </c>
      <c r="W10898" t="s">
        <v>44441</v>
      </c>
      <c r="X10898" t="s">
        <v>47315</v>
      </c>
    </row>
    <row r="10899" spans="1:24">
      <c r="A10899">
        <f>HYPERLINK("https://www.philgeps.gov.ph/GEPSNONPILOT/Tender/SplashBidNoticeAbstractUI.aspx?menuIndex=3&amp;refID=7182683&amp;Result=3","7182683")</f>
        <v>0</v>
      </c>
      <c r="B10899" t="s">
        <v>232</v>
      </c>
      <c r="C10899" t="s">
        <v>14141</v>
      </c>
      <c r="D10899" t="s">
        <v>19017</v>
      </c>
      <c r="E10899" t="s">
        <v>28378</v>
      </c>
      <c r="F10899" t="s">
        <v>32606</v>
      </c>
      <c r="G10899" t="s">
        <v>32613</v>
      </c>
      <c r="H10899" t="s">
        <v>32623</v>
      </c>
      <c r="I10899" t="s">
        <v>17648</v>
      </c>
      <c r="J10899" t="s">
        <v>32821</v>
      </c>
      <c r="K10899" t="s">
        <v>42634</v>
      </c>
      <c r="M10899" t="s">
        <v>43133</v>
      </c>
      <c r="N10899" t="s">
        <v>47304</v>
      </c>
      <c r="O10899" t="s">
        <v>47305</v>
      </c>
      <c r="P10899">
        <v>0</v>
      </c>
      <c r="Q10899">
        <v>1</v>
      </c>
      <c r="R10899" t="s">
        <v>47314</v>
      </c>
      <c r="S10899" t="s">
        <v>47596</v>
      </c>
      <c r="T10899" t="s">
        <v>49234</v>
      </c>
      <c r="U10899" t="s">
        <v>58536</v>
      </c>
      <c r="W10899" t="s">
        <v>43133</v>
      </c>
      <c r="X10899" t="s">
        <v>47315</v>
      </c>
    </row>
    <row r="10900" spans="1:24">
      <c r="A10900">
        <f>HYPERLINK("https://www.philgeps.gov.ph/GEPSNONPILOT/Tender/SplashBidNoticeAbstractUI.aspx?menuIndex=3&amp;refID=7182679&amp;Result=3","7182679")</f>
        <v>0</v>
      </c>
      <c r="B10900" t="s">
        <v>3203</v>
      </c>
      <c r="C10900" t="s">
        <v>14142</v>
      </c>
      <c r="D10900" t="s">
        <v>19034</v>
      </c>
      <c r="E10900" t="s">
        <v>20282</v>
      </c>
      <c r="F10900" t="s">
        <v>32606</v>
      </c>
      <c r="G10900" t="s">
        <v>32613</v>
      </c>
      <c r="H10900" t="s">
        <v>32623</v>
      </c>
      <c r="I10900" t="s">
        <v>17648</v>
      </c>
      <c r="J10900" t="s">
        <v>34246</v>
      </c>
      <c r="K10900" t="s">
        <v>42650</v>
      </c>
      <c r="M10900" t="s">
        <v>46429</v>
      </c>
      <c r="N10900" t="s">
        <v>47304</v>
      </c>
      <c r="O10900" t="s">
        <v>47305</v>
      </c>
      <c r="P10900">
        <v>0</v>
      </c>
      <c r="Q10900">
        <v>20</v>
      </c>
      <c r="R10900" t="s">
        <v>47314</v>
      </c>
      <c r="S10900" t="s">
        <v>47596</v>
      </c>
      <c r="T10900" t="s">
        <v>49389</v>
      </c>
      <c r="U10900" t="s">
        <v>58537</v>
      </c>
      <c r="W10900" t="s">
        <v>46429</v>
      </c>
      <c r="X10900" t="s">
        <v>47315</v>
      </c>
    </row>
    <row r="10901" spans="1:24">
      <c r="A10901">
        <f>HYPERLINK("https://www.philgeps.gov.ph/GEPSNONPILOT/Tender/SplashBidNoticeAbstractUI.aspx?menuIndex=3&amp;refID=7182678&amp;Result=3","7182678")</f>
        <v>0</v>
      </c>
      <c r="B10901" t="s">
        <v>936</v>
      </c>
      <c r="C10901" t="s">
        <v>14143</v>
      </c>
      <c r="D10901" t="s">
        <v>19035</v>
      </c>
      <c r="E10901" t="s">
        <v>28379</v>
      </c>
      <c r="F10901" t="s">
        <v>32606</v>
      </c>
      <c r="G10901" t="s">
        <v>32613</v>
      </c>
      <c r="H10901" t="s">
        <v>32625</v>
      </c>
      <c r="I10901" t="s">
        <v>32625</v>
      </c>
      <c r="J10901" t="s">
        <v>32821</v>
      </c>
      <c r="K10901" t="s">
        <v>42624</v>
      </c>
      <c r="M10901" t="s">
        <v>43876</v>
      </c>
      <c r="N10901" t="s">
        <v>47304</v>
      </c>
      <c r="O10901" t="s">
        <v>47305</v>
      </c>
      <c r="P10901">
        <v>0</v>
      </c>
      <c r="Q10901">
        <v>10</v>
      </c>
      <c r="R10901" t="s">
        <v>47314</v>
      </c>
      <c r="S10901" t="s">
        <v>47596</v>
      </c>
      <c r="T10901" t="s">
        <v>49037</v>
      </c>
      <c r="U10901" t="s">
        <v>58538</v>
      </c>
      <c r="W10901" t="s">
        <v>64457</v>
      </c>
      <c r="X10901" t="s">
        <v>47315</v>
      </c>
    </row>
    <row r="10902" spans="1:24">
      <c r="A10902">
        <f>HYPERLINK("https://www.philgeps.gov.ph/GEPSNONPILOT/Tender/SplashBidNoticeAbstractUI.aspx?menuIndex=3&amp;refID=7182447&amp;Result=3","7182447")</f>
        <v>0</v>
      </c>
      <c r="B10902" t="s">
        <v>984</v>
      </c>
      <c r="C10902" t="s">
        <v>14144</v>
      </c>
      <c r="D10902" t="s">
        <v>19039</v>
      </c>
      <c r="E10902" t="s">
        <v>28380</v>
      </c>
      <c r="F10902" t="s">
        <v>32606</v>
      </c>
      <c r="G10902" t="s">
        <v>32613</v>
      </c>
      <c r="H10902" t="s">
        <v>14201</v>
      </c>
      <c r="I10902" t="s">
        <v>7233</v>
      </c>
      <c r="J10902" t="s">
        <v>32920</v>
      </c>
      <c r="K10902" t="s">
        <v>42623</v>
      </c>
      <c r="L10902" t="s">
        <v>984</v>
      </c>
      <c r="M10902" t="s">
        <v>43930</v>
      </c>
      <c r="N10902" t="s">
        <v>47304</v>
      </c>
      <c r="O10902" t="s">
        <v>47305</v>
      </c>
      <c r="P10902">
        <v>0</v>
      </c>
      <c r="Q10902">
        <v>0</v>
      </c>
      <c r="R10902" t="s">
        <v>47314</v>
      </c>
      <c r="S10902" t="s">
        <v>47596</v>
      </c>
      <c r="T10902" t="s">
        <v>48992</v>
      </c>
      <c r="U10902" t="s">
        <v>58539</v>
      </c>
      <c r="W10902" t="s">
        <v>43930</v>
      </c>
      <c r="X10902" t="s">
        <v>47315</v>
      </c>
    </row>
    <row r="10903" spans="1:24">
      <c r="A10903">
        <f>HYPERLINK("https://www.philgeps.gov.ph/GEPSNONPILOT/Tender/SplashBidNoticeAbstractUI.aspx?menuIndex=3&amp;refID=7182716&amp;Result=3","7182716")</f>
        <v>0</v>
      </c>
      <c r="B10903" t="s">
        <v>3219</v>
      </c>
      <c r="C10903" t="s">
        <v>14145</v>
      </c>
      <c r="D10903" t="s">
        <v>19007</v>
      </c>
      <c r="E10903" t="s">
        <v>28381</v>
      </c>
      <c r="F10903" t="s">
        <v>32606</v>
      </c>
      <c r="G10903" t="s">
        <v>32613</v>
      </c>
      <c r="H10903" t="s">
        <v>14201</v>
      </c>
      <c r="I10903" t="s">
        <v>32694</v>
      </c>
      <c r="J10903" t="s">
        <v>32821</v>
      </c>
      <c r="K10903" t="s">
        <v>42630</v>
      </c>
      <c r="M10903" t="s">
        <v>46445</v>
      </c>
      <c r="N10903" t="s">
        <v>47304</v>
      </c>
      <c r="O10903" t="s">
        <v>47305</v>
      </c>
      <c r="Q10903">
        <v>4</v>
      </c>
      <c r="R10903" t="s">
        <v>47314</v>
      </c>
      <c r="S10903" t="s">
        <v>47644</v>
      </c>
      <c r="T10903" t="s">
        <v>49140</v>
      </c>
      <c r="U10903" t="s">
        <v>58540</v>
      </c>
      <c r="W10903" t="s">
        <v>46445</v>
      </c>
      <c r="X10903" t="s">
        <v>47315</v>
      </c>
    </row>
    <row r="10904" spans="1:24">
      <c r="A10904">
        <f>HYPERLINK("https://www.philgeps.gov.ph/GEPSNONPILOT/Tender/SplashBidNoticeAbstractUI.aspx?menuIndex=3&amp;refID=7182663&amp;Result=3","7182663")</f>
        <v>0</v>
      </c>
      <c r="B10904" t="s">
        <v>1014</v>
      </c>
      <c r="C10904" t="s">
        <v>14146</v>
      </c>
      <c r="D10904" t="s">
        <v>19056</v>
      </c>
      <c r="E10904" t="s">
        <v>28382</v>
      </c>
      <c r="F10904" t="s">
        <v>32606</v>
      </c>
      <c r="G10904" t="s">
        <v>32614</v>
      </c>
      <c r="H10904" t="s">
        <v>14201</v>
      </c>
      <c r="I10904" t="s">
        <v>4112</v>
      </c>
      <c r="J10904" t="s">
        <v>33094</v>
      </c>
      <c r="K10904" t="s">
        <v>42646</v>
      </c>
      <c r="M10904" t="s">
        <v>46082</v>
      </c>
      <c r="N10904" t="s">
        <v>47304</v>
      </c>
      <c r="O10904" t="s">
        <v>47305</v>
      </c>
      <c r="Q10904">
        <v>2</v>
      </c>
      <c r="R10904" t="s">
        <v>47314</v>
      </c>
      <c r="S10904" t="s">
        <v>47645</v>
      </c>
      <c r="T10904" t="s">
        <v>49200</v>
      </c>
      <c r="U10904" t="s">
        <v>58541</v>
      </c>
      <c r="W10904" t="s">
        <v>46082</v>
      </c>
      <c r="X10904" t="s">
        <v>47315</v>
      </c>
    </row>
    <row r="10905" spans="1:24">
      <c r="A10905">
        <f>HYPERLINK("https://www.philgeps.gov.ph/GEPSNONPILOT/Tender/SplashBidNoticeAbstractUI.aspx?menuIndex=3&amp;refID=7182703&amp;Result=3","7182703")</f>
        <v>0</v>
      </c>
      <c r="B10905" t="s">
        <v>1014</v>
      </c>
      <c r="C10905" t="s">
        <v>14147</v>
      </c>
      <c r="D10905" t="s">
        <v>19056</v>
      </c>
      <c r="E10905" t="s">
        <v>28383</v>
      </c>
      <c r="F10905" t="s">
        <v>32606</v>
      </c>
      <c r="G10905" t="s">
        <v>32614</v>
      </c>
      <c r="H10905" t="s">
        <v>14201</v>
      </c>
      <c r="I10905" t="s">
        <v>4112</v>
      </c>
      <c r="J10905" t="s">
        <v>32871</v>
      </c>
      <c r="K10905" t="s">
        <v>42646</v>
      </c>
      <c r="M10905" t="s">
        <v>46082</v>
      </c>
      <c r="N10905" t="s">
        <v>47304</v>
      </c>
      <c r="O10905" t="s">
        <v>47305</v>
      </c>
      <c r="Q10905">
        <v>0</v>
      </c>
      <c r="R10905" t="s">
        <v>47314</v>
      </c>
      <c r="S10905" t="s">
        <v>47646</v>
      </c>
      <c r="T10905" t="s">
        <v>49200</v>
      </c>
      <c r="U10905" t="s">
        <v>58542</v>
      </c>
      <c r="W10905" t="s">
        <v>46082</v>
      </c>
      <c r="X10905" t="s">
        <v>47315</v>
      </c>
    </row>
    <row r="10906" spans="1:24">
      <c r="A10906">
        <f>HYPERLINK("https://www.philgeps.gov.ph/GEPSNONPILOT/Tender/SplashBidNoticeAbstractUI.aspx?menuIndex=3&amp;refID=7182659&amp;Result=3","7182659")</f>
        <v>0</v>
      </c>
      <c r="B10906" t="s">
        <v>3182</v>
      </c>
      <c r="C10906" t="s">
        <v>14148</v>
      </c>
      <c r="D10906" t="s">
        <v>19024</v>
      </c>
      <c r="E10906" t="s">
        <v>28276</v>
      </c>
      <c r="F10906" t="s">
        <v>32606</v>
      </c>
      <c r="G10906" t="s">
        <v>32613</v>
      </c>
      <c r="H10906" t="s">
        <v>14201</v>
      </c>
      <c r="I10906" t="s">
        <v>32691</v>
      </c>
      <c r="J10906" t="s">
        <v>32795</v>
      </c>
      <c r="K10906" t="s">
        <v>42624</v>
      </c>
      <c r="M10906" t="s">
        <v>46406</v>
      </c>
      <c r="N10906" t="s">
        <v>47304</v>
      </c>
      <c r="O10906" t="s">
        <v>47305</v>
      </c>
      <c r="P10906">
        <v>0</v>
      </c>
      <c r="Q10906">
        <v>2</v>
      </c>
      <c r="R10906" t="s">
        <v>47314</v>
      </c>
      <c r="S10906" t="s">
        <v>47596</v>
      </c>
      <c r="T10906" t="s">
        <v>49157</v>
      </c>
      <c r="U10906" t="s">
        <v>58409</v>
      </c>
      <c r="V10906" t="s">
        <v>63790</v>
      </c>
      <c r="W10906" t="s">
        <v>46406</v>
      </c>
      <c r="X10906" t="s">
        <v>47315</v>
      </c>
    </row>
    <row r="10907" spans="1:24">
      <c r="A10907">
        <f>HYPERLINK("https://www.philgeps.gov.ph/GEPSNONPILOT/Tender/SplashBidNoticeAbstractUI.aspx?menuIndex=3&amp;refID=7182650&amp;Result=3","7182650")</f>
        <v>0</v>
      </c>
      <c r="B10907" t="s">
        <v>3157</v>
      </c>
      <c r="C10907" t="s">
        <v>14149</v>
      </c>
      <c r="D10907" t="s">
        <v>19010</v>
      </c>
      <c r="E10907" t="s">
        <v>28144</v>
      </c>
      <c r="F10907" t="s">
        <v>32607</v>
      </c>
      <c r="G10907" t="s">
        <v>32613</v>
      </c>
      <c r="H10907" t="s">
        <v>14201</v>
      </c>
      <c r="I10907" t="s">
        <v>17648</v>
      </c>
      <c r="J10907" t="s">
        <v>33105</v>
      </c>
      <c r="K10907" t="s">
        <v>42635</v>
      </c>
      <c r="L10907" t="s">
        <v>3157</v>
      </c>
      <c r="M10907" t="s">
        <v>46375</v>
      </c>
      <c r="N10907" t="s">
        <v>47304</v>
      </c>
      <c r="O10907" t="s">
        <v>47305</v>
      </c>
      <c r="P10907">
        <v>0</v>
      </c>
      <c r="Q10907">
        <v>0</v>
      </c>
      <c r="R10907" t="s">
        <v>47314</v>
      </c>
      <c r="S10907" t="s">
        <v>47596</v>
      </c>
      <c r="T10907" t="s">
        <v>49140</v>
      </c>
      <c r="U10907" t="s">
        <v>58543</v>
      </c>
      <c r="W10907" t="s">
        <v>46375</v>
      </c>
      <c r="X10907" t="s">
        <v>47315</v>
      </c>
    </row>
    <row r="10908" spans="1:24">
      <c r="A10908">
        <f>HYPERLINK("https://www.philgeps.gov.ph/GEPSNONPILOT/Tender/SplashBidNoticeAbstractUI.aspx?menuIndex=3&amp;refID=7182837&amp;Result=3","7182837")</f>
        <v>0</v>
      </c>
      <c r="B10908" t="s">
        <v>1194</v>
      </c>
      <c r="C10908" t="s">
        <v>14150</v>
      </c>
      <c r="D10908" t="s">
        <v>19025</v>
      </c>
      <c r="E10908" t="s">
        <v>28384</v>
      </c>
      <c r="F10908" t="s">
        <v>32606</v>
      </c>
      <c r="G10908" t="s">
        <v>32613</v>
      </c>
      <c r="H10908" t="s">
        <v>14201</v>
      </c>
      <c r="I10908" t="s">
        <v>32640</v>
      </c>
      <c r="J10908" t="s">
        <v>32778</v>
      </c>
      <c r="K10908" t="s">
        <v>42631</v>
      </c>
      <c r="M10908" t="s">
        <v>44158</v>
      </c>
      <c r="N10908" t="s">
        <v>47304</v>
      </c>
      <c r="O10908" t="s">
        <v>47305</v>
      </c>
      <c r="P10908">
        <v>0</v>
      </c>
      <c r="Q10908">
        <v>5</v>
      </c>
      <c r="R10908" t="s">
        <v>47314</v>
      </c>
      <c r="S10908" t="s">
        <v>47596</v>
      </c>
      <c r="T10908" t="s">
        <v>49240</v>
      </c>
      <c r="U10908" t="s">
        <v>58544</v>
      </c>
      <c r="W10908" t="s">
        <v>44158</v>
      </c>
      <c r="X10908" t="s">
        <v>47315</v>
      </c>
    </row>
    <row r="10909" spans="1:24">
      <c r="A10909">
        <f>HYPERLINK("https://www.philgeps.gov.ph/GEPSNONPILOT/Tender/SplashBidNoticeAbstractUI.aspx?menuIndex=3&amp;refID=7182517&amp;Result=3","7182517")</f>
        <v>0</v>
      </c>
      <c r="B10909" t="s">
        <v>845</v>
      </c>
      <c r="C10909" t="s">
        <v>14151</v>
      </c>
      <c r="D10909" t="s">
        <v>19030</v>
      </c>
      <c r="E10909" t="s">
        <v>28385</v>
      </c>
      <c r="F10909" t="s">
        <v>32606</v>
      </c>
      <c r="G10909" t="s">
        <v>32613</v>
      </c>
      <c r="H10909" t="s">
        <v>32623</v>
      </c>
      <c r="I10909" t="s">
        <v>32675</v>
      </c>
      <c r="J10909" t="s">
        <v>32770</v>
      </c>
      <c r="K10909" t="s">
        <v>42677</v>
      </c>
      <c r="M10909" t="s">
        <v>43777</v>
      </c>
      <c r="N10909" t="s">
        <v>47304</v>
      </c>
      <c r="O10909" t="s">
        <v>47305</v>
      </c>
      <c r="P10909">
        <v>0</v>
      </c>
      <c r="Q10909">
        <v>0</v>
      </c>
      <c r="R10909" t="s">
        <v>47314</v>
      </c>
      <c r="S10909" t="s">
        <v>47596</v>
      </c>
      <c r="T10909" t="s">
        <v>49020</v>
      </c>
      <c r="U10909" t="s">
        <v>52172</v>
      </c>
      <c r="W10909" t="s">
        <v>43777</v>
      </c>
      <c r="X10909" t="s">
        <v>47315</v>
      </c>
    </row>
    <row r="10910" spans="1:24">
      <c r="A10910">
        <f>HYPERLINK("https://www.philgeps.gov.ph/GEPSNONPILOT/Tender/SplashBidNoticeAbstractUI.aspx?menuIndex=3&amp;refID=7182818&amp;Result=3","7182818")</f>
        <v>0</v>
      </c>
      <c r="B10910" t="s">
        <v>903</v>
      </c>
      <c r="C10910" t="s">
        <v>14152</v>
      </c>
      <c r="D10910" t="s">
        <v>19049</v>
      </c>
      <c r="E10910" t="s">
        <v>14152</v>
      </c>
      <c r="F10910" t="s">
        <v>32606</v>
      </c>
      <c r="G10910" t="s">
        <v>32613</v>
      </c>
      <c r="H10910" t="s">
        <v>14201</v>
      </c>
      <c r="I10910" t="s">
        <v>6014</v>
      </c>
      <c r="J10910" t="s">
        <v>39546</v>
      </c>
      <c r="K10910" t="s">
        <v>42631</v>
      </c>
      <c r="M10910" t="s">
        <v>43840</v>
      </c>
      <c r="N10910" t="s">
        <v>47304</v>
      </c>
      <c r="O10910" t="s">
        <v>47305</v>
      </c>
      <c r="P10910">
        <v>0</v>
      </c>
      <c r="Q10910">
        <v>0</v>
      </c>
      <c r="R10910" t="s">
        <v>47314</v>
      </c>
      <c r="S10910" t="s">
        <v>47596</v>
      </c>
      <c r="T10910" t="s">
        <v>49221</v>
      </c>
      <c r="U10910" t="s">
        <v>58545</v>
      </c>
      <c r="W10910" t="s">
        <v>43840</v>
      </c>
      <c r="X10910" t="s">
        <v>47315</v>
      </c>
    </row>
    <row r="10911" spans="1:24">
      <c r="A10911">
        <f>HYPERLINK("https://www.philgeps.gov.ph/GEPSNONPILOT/Tender/SplashBidNoticeAbstractUI.aspx?menuIndex=3&amp;refID=7182664&amp;Result=3","7182664")</f>
        <v>0</v>
      </c>
      <c r="B10911" t="s">
        <v>3212</v>
      </c>
      <c r="C10911" t="s">
        <v>14153</v>
      </c>
      <c r="D10911" t="s">
        <v>19024</v>
      </c>
      <c r="E10911" t="s">
        <v>28386</v>
      </c>
      <c r="F10911" t="s">
        <v>32606</v>
      </c>
      <c r="G10911" t="s">
        <v>32613</v>
      </c>
      <c r="H10911" t="s">
        <v>14201</v>
      </c>
      <c r="I10911" t="s">
        <v>32657</v>
      </c>
      <c r="J10911" t="s">
        <v>32830</v>
      </c>
      <c r="K10911" t="s">
        <v>42648</v>
      </c>
      <c r="M10911" t="s">
        <v>46438</v>
      </c>
      <c r="N10911" t="s">
        <v>47304</v>
      </c>
      <c r="O10911" t="s">
        <v>47305</v>
      </c>
      <c r="P10911">
        <v>0</v>
      </c>
      <c r="Q10911">
        <v>6</v>
      </c>
      <c r="R10911" t="s">
        <v>47314</v>
      </c>
      <c r="S10911" t="s">
        <v>47596</v>
      </c>
      <c r="T10911" t="s">
        <v>49234</v>
      </c>
      <c r="U10911" t="s">
        <v>58546</v>
      </c>
      <c r="W10911" t="s">
        <v>46438</v>
      </c>
      <c r="X10911" t="s">
        <v>47315</v>
      </c>
    </row>
    <row r="10912" spans="1:24">
      <c r="A10912">
        <f>HYPERLINK("https://www.philgeps.gov.ph/GEPSNONPILOT/Tender/SplashBidNoticeAbstractUI.aspx?menuIndex=3&amp;refID=7182534&amp;Result=3","7182534")</f>
        <v>0</v>
      </c>
      <c r="B10912" t="s">
        <v>688</v>
      </c>
      <c r="C10912" t="s">
        <v>14154</v>
      </c>
      <c r="D10912" t="s">
        <v>19006</v>
      </c>
      <c r="E10912" t="s">
        <v>28387</v>
      </c>
      <c r="F10912" t="s">
        <v>32606</v>
      </c>
      <c r="G10912" t="s">
        <v>32613</v>
      </c>
      <c r="H10912" t="s">
        <v>14201</v>
      </c>
      <c r="I10912" t="s">
        <v>32650</v>
      </c>
      <c r="J10912" t="s">
        <v>39547</v>
      </c>
      <c r="K10912" t="s">
        <v>42627</v>
      </c>
      <c r="M10912" t="s">
        <v>43805</v>
      </c>
      <c r="N10912" t="s">
        <v>47304</v>
      </c>
      <c r="O10912" t="s">
        <v>47305</v>
      </c>
      <c r="P10912">
        <v>0</v>
      </c>
      <c r="Q10912">
        <v>2</v>
      </c>
      <c r="R10912" t="s">
        <v>47314</v>
      </c>
      <c r="S10912" t="s">
        <v>47596</v>
      </c>
      <c r="T10912" t="s">
        <v>49234</v>
      </c>
      <c r="U10912" t="s">
        <v>58547</v>
      </c>
      <c r="W10912" t="s">
        <v>43805</v>
      </c>
      <c r="X10912" t="s">
        <v>47315</v>
      </c>
    </row>
    <row r="10913" spans="1:24">
      <c r="A10913">
        <f>HYPERLINK("https://www.philgeps.gov.ph/GEPSNONPILOT/Tender/SplashBidNoticeAbstractUI.aspx?menuIndex=3&amp;refID=7182801&amp;Result=3","7182801")</f>
        <v>0</v>
      </c>
      <c r="B10913" t="s">
        <v>3203</v>
      </c>
      <c r="C10913" t="s">
        <v>14155</v>
      </c>
      <c r="D10913" t="s">
        <v>19034</v>
      </c>
      <c r="E10913" t="s">
        <v>20397</v>
      </c>
      <c r="F10913" t="s">
        <v>32606</v>
      </c>
      <c r="G10913" t="s">
        <v>32613</v>
      </c>
      <c r="H10913" t="s">
        <v>32623</v>
      </c>
      <c r="I10913" t="s">
        <v>17648</v>
      </c>
      <c r="J10913" t="s">
        <v>39548</v>
      </c>
      <c r="K10913" t="s">
        <v>42646</v>
      </c>
      <c r="M10913" t="s">
        <v>46429</v>
      </c>
      <c r="N10913" t="s">
        <v>47304</v>
      </c>
      <c r="O10913" t="s">
        <v>47305</v>
      </c>
      <c r="P10913">
        <v>0</v>
      </c>
      <c r="Q10913">
        <v>16</v>
      </c>
      <c r="R10913" t="s">
        <v>47314</v>
      </c>
      <c r="S10913" t="s">
        <v>47596</v>
      </c>
      <c r="T10913" t="s">
        <v>49389</v>
      </c>
      <c r="U10913" t="s">
        <v>58548</v>
      </c>
      <c r="W10913" t="s">
        <v>46429</v>
      </c>
      <c r="X10913" t="s">
        <v>47315</v>
      </c>
    </row>
    <row r="10914" spans="1:24">
      <c r="A10914">
        <f>HYPERLINK("https://www.philgeps.gov.ph/GEPSNONPILOT/Tender/SplashBidNoticeAbstractUI.aspx?menuIndex=3&amp;refID=7182795&amp;Result=3","7182795")</f>
        <v>0</v>
      </c>
      <c r="B10914" t="s">
        <v>903</v>
      </c>
      <c r="C10914" t="s">
        <v>14156</v>
      </c>
      <c r="D10914" t="s">
        <v>19049</v>
      </c>
      <c r="E10914" t="s">
        <v>14156</v>
      </c>
      <c r="F10914" t="s">
        <v>32606</v>
      </c>
      <c r="G10914" t="s">
        <v>32613</v>
      </c>
      <c r="H10914" t="s">
        <v>14201</v>
      </c>
      <c r="I10914" t="s">
        <v>4678</v>
      </c>
      <c r="J10914" t="s">
        <v>39549</v>
      </c>
      <c r="K10914" t="s">
        <v>42631</v>
      </c>
      <c r="M10914" t="s">
        <v>43840</v>
      </c>
      <c r="N10914" t="s">
        <v>47304</v>
      </c>
      <c r="O10914" t="s">
        <v>47305</v>
      </c>
      <c r="P10914">
        <v>0</v>
      </c>
      <c r="Q10914">
        <v>0</v>
      </c>
      <c r="R10914" t="s">
        <v>47314</v>
      </c>
      <c r="S10914" t="s">
        <v>47596</v>
      </c>
      <c r="T10914" t="s">
        <v>49221</v>
      </c>
      <c r="U10914" t="s">
        <v>58549</v>
      </c>
      <c r="W10914" t="s">
        <v>43840</v>
      </c>
      <c r="X10914" t="s">
        <v>47315</v>
      </c>
    </row>
    <row r="10915" spans="1:24">
      <c r="A10915">
        <f>HYPERLINK("https://www.philgeps.gov.ph/GEPSNONPILOT/Tender/SplashBidNoticeAbstractUI.aspx?menuIndex=3&amp;refID=7182734&amp;Result=3","7182734")</f>
        <v>0</v>
      </c>
      <c r="B10915" t="s">
        <v>301</v>
      </c>
      <c r="C10915" t="s">
        <v>14157</v>
      </c>
      <c r="D10915" t="s">
        <v>19011</v>
      </c>
      <c r="E10915" t="s">
        <v>28388</v>
      </c>
      <c r="F10915" t="s">
        <v>32607</v>
      </c>
      <c r="G10915" t="s">
        <v>32613</v>
      </c>
      <c r="H10915" t="s">
        <v>14201</v>
      </c>
      <c r="I10915" t="s">
        <v>4114</v>
      </c>
      <c r="J10915" t="s">
        <v>39550</v>
      </c>
      <c r="K10915" t="s">
        <v>42631</v>
      </c>
      <c r="M10915" t="s">
        <v>46231</v>
      </c>
      <c r="N10915" t="s">
        <v>47304</v>
      </c>
      <c r="O10915" t="s">
        <v>47305</v>
      </c>
      <c r="P10915">
        <v>0</v>
      </c>
      <c r="Q10915">
        <v>10</v>
      </c>
      <c r="R10915" t="s">
        <v>47314</v>
      </c>
      <c r="S10915" t="s">
        <v>47596</v>
      </c>
      <c r="T10915" t="s">
        <v>49040</v>
      </c>
      <c r="U10915" t="s">
        <v>58550</v>
      </c>
      <c r="W10915" t="s">
        <v>46231</v>
      </c>
      <c r="X10915" t="s">
        <v>47315</v>
      </c>
    </row>
    <row r="10916" spans="1:24">
      <c r="A10916">
        <f>HYPERLINK("https://www.philgeps.gov.ph/GEPSNONPILOT/Tender/SplashBidNoticeAbstractUI.aspx?menuIndex=3&amp;refID=7182792&amp;Result=3","7182792")</f>
        <v>0</v>
      </c>
      <c r="B10916" t="s">
        <v>2887</v>
      </c>
      <c r="C10916" t="s">
        <v>14158</v>
      </c>
      <c r="D10916" t="s">
        <v>18997</v>
      </c>
      <c r="E10916" t="s">
        <v>28389</v>
      </c>
      <c r="F10916" t="s">
        <v>32606</v>
      </c>
      <c r="G10916" t="s">
        <v>32613</v>
      </c>
      <c r="H10916" t="s">
        <v>14201</v>
      </c>
      <c r="I10916" t="s">
        <v>6931</v>
      </c>
      <c r="J10916" t="s">
        <v>39551</v>
      </c>
      <c r="K10916" t="s">
        <v>42850</v>
      </c>
      <c r="M10916" t="s">
        <v>46060</v>
      </c>
      <c r="N10916" t="s">
        <v>47304</v>
      </c>
      <c r="O10916" t="s">
        <v>47305</v>
      </c>
      <c r="P10916">
        <v>0</v>
      </c>
      <c r="Q10916">
        <v>0</v>
      </c>
      <c r="R10916" t="s">
        <v>47314</v>
      </c>
      <c r="S10916" t="s">
        <v>47596</v>
      </c>
      <c r="T10916" t="s">
        <v>49023</v>
      </c>
      <c r="U10916" t="s">
        <v>58551</v>
      </c>
      <c r="W10916" t="s">
        <v>46060</v>
      </c>
      <c r="X10916" t="s">
        <v>47315</v>
      </c>
    </row>
    <row r="10917" spans="1:24">
      <c r="A10917">
        <f>HYPERLINK("https://www.philgeps.gov.ph/GEPSNONPILOT/Tender/SplashBidNoticeAbstractUI.aspx?menuIndex=3&amp;refID=7182798&amp;Result=3","7182798")</f>
        <v>0</v>
      </c>
      <c r="B10917" t="s">
        <v>1437</v>
      </c>
      <c r="C10917" t="s">
        <v>14159</v>
      </c>
      <c r="D10917" t="s">
        <v>18993</v>
      </c>
      <c r="E10917" t="s">
        <v>28390</v>
      </c>
      <c r="F10917" t="s">
        <v>32606</v>
      </c>
      <c r="G10917" t="s">
        <v>32613</v>
      </c>
      <c r="H10917" t="s">
        <v>14201</v>
      </c>
      <c r="I10917" t="s">
        <v>32634</v>
      </c>
      <c r="J10917" t="s">
        <v>39552</v>
      </c>
      <c r="K10917" t="s">
        <v>42624</v>
      </c>
      <c r="M10917" t="s">
        <v>44909</v>
      </c>
      <c r="N10917" t="s">
        <v>47304</v>
      </c>
      <c r="O10917" t="s">
        <v>47305</v>
      </c>
      <c r="P10917">
        <v>0</v>
      </c>
      <c r="Q10917">
        <v>12</v>
      </c>
      <c r="R10917" t="s">
        <v>47314</v>
      </c>
      <c r="S10917" t="s">
        <v>47596</v>
      </c>
      <c r="T10917" t="s">
        <v>48995</v>
      </c>
      <c r="U10917" t="s">
        <v>58552</v>
      </c>
      <c r="W10917" t="s">
        <v>44909</v>
      </c>
      <c r="X10917" t="s">
        <v>47315</v>
      </c>
    </row>
    <row r="10918" spans="1:24">
      <c r="A10918">
        <f>HYPERLINK("https://www.philgeps.gov.ph/GEPSNONPILOT/Tender/SplashBidNoticeAbstractUI.aspx?menuIndex=3&amp;refID=7182789&amp;Result=3","7182789")</f>
        <v>0</v>
      </c>
      <c r="B10918" t="s">
        <v>1014</v>
      </c>
      <c r="C10918" t="s">
        <v>14160</v>
      </c>
      <c r="D10918" t="s">
        <v>19056</v>
      </c>
      <c r="E10918" t="s">
        <v>28391</v>
      </c>
      <c r="F10918" t="s">
        <v>32606</v>
      </c>
      <c r="G10918" t="s">
        <v>32614</v>
      </c>
      <c r="H10918" t="s">
        <v>14201</v>
      </c>
      <c r="I10918" t="s">
        <v>4112</v>
      </c>
      <c r="J10918" t="s">
        <v>34470</v>
      </c>
      <c r="K10918" t="s">
        <v>42646</v>
      </c>
      <c r="M10918" t="s">
        <v>46082</v>
      </c>
      <c r="N10918" t="s">
        <v>47304</v>
      </c>
      <c r="O10918" t="s">
        <v>47305</v>
      </c>
      <c r="Q10918">
        <v>1</v>
      </c>
      <c r="R10918" t="s">
        <v>47314</v>
      </c>
      <c r="S10918" t="s">
        <v>47647</v>
      </c>
      <c r="T10918" t="s">
        <v>49200</v>
      </c>
      <c r="U10918" t="s">
        <v>58553</v>
      </c>
      <c r="W10918" t="s">
        <v>46082</v>
      </c>
      <c r="X10918" t="s">
        <v>47315</v>
      </c>
    </row>
    <row r="10919" spans="1:24">
      <c r="A10919">
        <f>HYPERLINK("https://www.philgeps.gov.ph/GEPSNONPILOT/Tender/SplashBidNoticeAbstractUI.aspx?menuIndex=3&amp;refID=7182779&amp;Result=3","7182779")</f>
        <v>0</v>
      </c>
      <c r="B10919" t="s">
        <v>1357</v>
      </c>
      <c r="C10919" t="s">
        <v>14161</v>
      </c>
      <c r="D10919" t="s">
        <v>19007</v>
      </c>
      <c r="E10919" t="s">
        <v>28392</v>
      </c>
      <c r="F10919" t="s">
        <v>32606</v>
      </c>
      <c r="G10919" t="s">
        <v>32613</v>
      </c>
      <c r="H10919" t="s">
        <v>14201</v>
      </c>
      <c r="I10919" t="s">
        <v>6931</v>
      </c>
      <c r="J10919" t="s">
        <v>39553</v>
      </c>
      <c r="K10919" t="s">
        <v>42624</v>
      </c>
      <c r="M10919" t="s">
        <v>44354</v>
      </c>
      <c r="N10919" t="s">
        <v>47304</v>
      </c>
      <c r="O10919" t="s">
        <v>47305</v>
      </c>
      <c r="P10919">
        <v>0</v>
      </c>
      <c r="Q10919">
        <v>2</v>
      </c>
      <c r="R10919" t="s">
        <v>47314</v>
      </c>
      <c r="S10919" t="s">
        <v>47596</v>
      </c>
      <c r="T10919" t="s">
        <v>49037</v>
      </c>
      <c r="U10919" t="s">
        <v>58554</v>
      </c>
      <c r="V10919" t="s">
        <v>63806</v>
      </c>
      <c r="W10919" t="s">
        <v>44354</v>
      </c>
      <c r="X10919" t="s">
        <v>47315</v>
      </c>
    </row>
    <row r="10920" spans="1:24">
      <c r="A10920">
        <f>HYPERLINK("https://www.philgeps.gov.ph/GEPSNONPILOT/Tender/SplashBidNoticeAbstractUI.aspx?menuIndex=3&amp;refID=7182843&amp;Result=3","7182843")</f>
        <v>0</v>
      </c>
      <c r="B10920" t="s">
        <v>2958</v>
      </c>
      <c r="C10920" t="s">
        <v>14162</v>
      </c>
      <c r="D10920" t="s">
        <v>19011</v>
      </c>
      <c r="E10920" t="s">
        <v>28393</v>
      </c>
      <c r="F10920" t="s">
        <v>32606</v>
      </c>
      <c r="G10920" t="s">
        <v>32614</v>
      </c>
      <c r="H10920" t="s">
        <v>14201</v>
      </c>
      <c r="I10920" t="s">
        <v>32695</v>
      </c>
      <c r="J10920" t="s">
        <v>35629</v>
      </c>
      <c r="K10920" t="s">
        <v>42624</v>
      </c>
      <c r="M10920" t="s">
        <v>46142</v>
      </c>
      <c r="N10920" t="s">
        <v>47304</v>
      </c>
      <c r="O10920" t="s">
        <v>47305</v>
      </c>
      <c r="P10920">
        <v>0</v>
      </c>
      <c r="Q10920">
        <v>2</v>
      </c>
      <c r="R10920" t="s">
        <v>47314</v>
      </c>
      <c r="S10920" t="s">
        <v>47596</v>
      </c>
      <c r="T10920" t="s">
        <v>49020</v>
      </c>
      <c r="U10920" t="s">
        <v>58555</v>
      </c>
      <c r="W10920" t="s">
        <v>46142</v>
      </c>
      <c r="X10920" t="s">
        <v>47315</v>
      </c>
    </row>
    <row r="10921" spans="1:24">
      <c r="A10921">
        <f>HYPERLINK("https://www.philgeps.gov.ph/GEPSNONPILOT/Tender/SplashBidNoticeAbstractUI.aspx?menuIndex=3&amp;refID=7182819&amp;Result=3","7182819")</f>
        <v>0</v>
      </c>
      <c r="B10921" t="s">
        <v>422</v>
      </c>
      <c r="C10921" t="s">
        <v>14163</v>
      </c>
      <c r="D10921" t="s">
        <v>19030</v>
      </c>
      <c r="E10921" t="s">
        <v>28394</v>
      </c>
      <c r="F10921" t="s">
        <v>32606</v>
      </c>
      <c r="G10921" t="s">
        <v>32614</v>
      </c>
      <c r="H10921" t="s">
        <v>14201</v>
      </c>
      <c r="I10921" t="s">
        <v>32629</v>
      </c>
      <c r="J10921" t="s">
        <v>37561</v>
      </c>
      <c r="K10921" t="s">
        <v>42622</v>
      </c>
      <c r="M10921" t="s">
        <v>43326</v>
      </c>
      <c r="N10921" t="s">
        <v>47304</v>
      </c>
      <c r="O10921" t="s">
        <v>47305</v>
      </c>
      <c r="P10921">
        <v>0</v>
      </c>
      <c r="Q10921">
        <v>0</v>
      </c>
      <c r="R10921" t="s">
        <v>47314</v>
      </c>
      <c r="S10921" t="s">
        <v>47596</v>
      </c>
      <c r="T10921" t="s">
        <v>48998</v>
      </c>
      <c r="U10921" t="s">
        <v>58556</v>
      </c>
      <c r="W10921" t="s">
        <v>43326</v>
      </c>
      <c r="X10921" t="s">
        <v>47315</v>
      </c>
    </row>
    <row r="10922" spans="1:24">
      <c r="A10922">
        <f>HYPERLINK("https://www.philgeps.gov.ph/GEPSNONPILOT/Tender/SplashBidNoticeAbstractUI.aspx?menuIndex=3&amp;refID=7182877&amp;Result=3","7182877")</f>
        <v>0</v>
      </c>
      <c r="B10922" t="s">
        <v>3220</v>
      </c>
      <c r="C10922" t="s">
        <v>14164</v>
      </c>
      <c r="D10922" t="s">
        <v>19001</v>
      </c>
      <c r="E10922" t="s">
        <v>28395</v>
      </c>
      <c r="F10922" t="s">
        <v>32606</v>
      </c>
      <c r="G10922" t="s">
        <v>32613</v>
      </c>
      <c r="H10922" t="s">
        <v>32623</v>
      </c>
      <c r="I10922" t="s">
        <v>32649</v>
      </c>
      <c r="J10922" t="s">
        <v>39554</v>
      </c>
      <c r="K10922" t="s">
        <v>42682</v>
      </c>
      <c r="M10922" t="s">
        <v>46446</v>
      </c>
      <c r="N10922" t="s">
        <v>47304</v>
      </c>
      <c r="O10922" t="s">
        <v>47305</v>
      </c>
      <c r="P10922">
        <v>0</v>
      </c>
      <c r="Q10922">
        <v>3</v>
      </c>
      <c r="R10922" t="s">
        <v>47314</v>
      </c>
      <c r="S10922" t="s">
        <v>47596</v>
      </c>
      <c r="T10922" t="s">
        <v>49052</v>
      </c>
      <c r="U10922" t="s">
        <v>58557</v>
      </c>
      <c r="W10922" t="s">
        <v>46446</v>
      </c>
      <c r="X10922" t="s">
        <v>47315</v>
      </c>
    </row>
    <row r="10923" spans="1:24">
      <c r="A10923">
        <f>HYPERLINK("https://www.philgeps.gov.ph/GEPSNONPILOT/Tender/SplashBidNoticeAbstractUI.aspx?menuIndex=3&amp;refID=7182902&amp;Result=3","7182902")</f>
        <v>0</v>
      </c>
      <c r="B10923" t="s">
        <v>3221</v>
      </c>
      <c r="C10923" t="s">
        <v>14165</v>
      </c>
      <c r="D10923" t="s">
        <v>19065</v>
      </c>
      <c r="E10923" t="s">
        <v>28396</v>
      </c>
      <c r="F10923" t="s">
        <v>32606</v>
      </c>
      <c r="G10923" t="s">
        <v>32613</v>
      </c>
      <c r="H10923" t="s">
        <v>32623</v>
      </c>
      <c r="I10923" t="s">
        <v>17648</v>
      </c>
      <c r="J10923" t="s">
        <v>39555</v>
      </c>
      <c r="K10923" t="s">
        <v>42648</v>
      </c>
      <c r="M10923" t="s">
        <v>46447</v>
      </c>
      <c r="N10923" t="s">
        <v>47304</v>
      </c>
      <c r="O10923" t="s">
        <v>47305</v>
      </c>
      <c r="P10923">
        <v>0</v>
      </c>
      <c r="Q10923">
        <v>0</v>
      </c>
      <c r="R10923" t="s">
        <v>47314</v>
      </c>
      <c r="S10923" t="s">
        <v>47596</v>
      </c>
      <c r="T10923" t="s">
        <v>49291</v>
      </c>
      <c r="U10923" t="s">
        <v>58558</v>
      </c>
      <c r="V10923" t="s">
        <v>63807</v>
      </c>
      <c r="W10923" t="s">
        <v>46447</v>
      </c>
      <c r="X10923" t="s">
        <v>47315</v>
      </c>
    </row>
    <row r="10924" spans="1:24">
      <c r="A10924">
        <f>HYPERLINK("https://www.philgeps.gov.ph/GEPSNONPILOT/Tender/SplashBidNoticeAbstractUI.aspx?menuIndex=3&amp;refID=7182900&amp;Result=3","7182900")</f>
        <v>0</v>
      </c>
      <c r="B10924" t="s">
        <v>3222</v>
      </c>
      <c r="C10924" t="s">
        <v>14166</v>
      </c>
      <c r="D10924" t="s">
        <v>19011</v>
      </c>
      <c r="E10924" t="s">
        <v>28397</v>
      </c>
      <c r="F10924" t="s">
        <v>32606</v>
      </c>
      <c r="G10924" t="s">
        <v>32613</v>
      </c>
      <c r="H10924" t="s">
        <v>14201</v>
      </c>
      <c r="I10924" t="s">
        <v>4112</v>
      </c>
      <c r="J10924" t="s">
        <v>39556</v>
      </c>
      <c r="K10924" t="s">
        <v>42622</v>
      </c>
      <c r="M10924" t="s">
        <v>46448</v>
      </c>
      <c r="N10924" t="s">
        <v>47304</v>
      </c>
      <c r="O10924" t="s">
        <v>47305</v>
      </c>
      <c r="P10924">
        <v>0</v>
      </c>
      <c r="Q10924">
        <v>0</v>
      </c>
      <c r="R10924" t="s">
        <v>47314</v>
      </c>
      <c r="S10924" t="s">
        <v>47596</v>
      </c>
      <c r="T10924" t="s">
        <v>49099</v>
      </c>
      <c r="U10924" t="s">
        <v>58559</v>
      </c>
      <c r="W10924" t="s">
        <v>46448</v>
      </c>
      <c r="X10924" t="s">
        <v>47315</v>
      </c>
    </row>
    <row r="10925" spans="1:24">
      <c r="A10925">
        <f>HYPERLINK("https://www.philgeps.gov.ph/GEPSNONPILOT/Tender/SplashBidNoticeAbstractUI.aspx?menuIndex=3&amp;refID=7182895&amp;Result=3","7182895")</f>
        <v>0</v>
      </c>
      <c r="B10925" t="s">
        <v>963</v>
      </c>
      <c r="C10925" t="s">
        <v>14167</v>
      </c>
      <c r="D10925" t="s">
        <v>19024</v>
      </c>
      <c r="E10925" t="s">
        <v>28398</v>
      </c>
      <c r="F10925" t="s">
        <v>32606</v>
      </c>
      <c r="G10925" t="s">
        <v>32613</v>
      </c>
      <c r="H10925" t="s">
        <v>14201</v>
      </c>
      <c r="I10925" t="s">
        <v>32626</v>
      </c>
      <c r="J10925" t="s">
        <v>39557</v>
      </c>
      <c r="K10925" t="s">
        <v>42631</v>
      </c>
      <c r="M10925" t="s">
        <v>45507</v>
      </c>
      <c r="N10925" t="s">
        <v>47304</v>
      </c>
      <c r="O10925" t="s">
        <v>47305</v>
      </c>
      <c r="P10925">
        <v>0</v>
      </c>
      <c r="Q10925">
        <v>6</v>
      </c>
      <c r="R10925" t="s">
        <v>47314</v>
      </c>
      <c r="S10925" t="s">
        <v>47596</v>
      </c>
      <c r="T10925" t="s">
        <v>49198</v>
      </c>
      <c r="U10925" t="s">
        <v>58560</v>
      </c>
      <c r="W10925" t="s">
        <v>45507</v>
      </c>
      <c r="X10925" t="s">
        <v>47315</v>
      </c>
    </row>
    <row r="10926" spans="1:24">
      <c r="A10926">
        <f>HYPERLINK("https://www.philgeps.gov.ph/GEPSNONPILOT/Tender/SplashBidNoticeAbstractUI.aspx?menuIndex=3&amp;refID=7182774&amp;Result=3","7182774")</f>
        <v>0</v>
      </c>
      <c r="B10926" t="s">
        <v>28</v>
      </c>
      <c r="C10926" t="s">
        <v>14168</v>
      </c>
      <c r="D10926" t="s">
        <v>18993</v>
      </c>
      <c r="E10926" t="s">
        <v>28399</v>
      </c>
      <c r="F10926" t="s">
        <v>32606</v>
      </c>
      <c r="G10926" t="s">
        <v>32615</v>
      </c>
      <c r="H10926" t="s">
        <v>32624</v>
      </c>
      <c r="I10926" t="s">
        <v>32632</v>
      </c>
      <c r="J10926" t="s">
        <v>36312</v>
      </c>
      <c r="K10926" t="s">
        <v>42665</v>
      </c>
      <c r="M10926" t="s">
        <v>43687</v>
      </c>
      <c r="N10926" t="s">
        <v>47304</v>
      </c>
      <c r="O10926" t="s">
        <v>47305</v>
      </c>
      <c r="Q10926">
        <v>5</v>
      </c>
      <c r="R10926" t="s">
        <v>47314</v>
      </c>
      <c r="S10926" t="s">
        <v>47648</v>
      </c>
      <c r="T10926" t="s">
        <v>49017</v>
      </c>
      <c r="U10926" t="s">
        <v>58561</v>
      </c>
      <c r="W10926" t="s">
        <v>43687</v>
      </c>
      <c r="X10926" t="s">
        <v>47315</v>
      </c>
    </row>
    <row r="10927" spans="1:24">
      <c r="A10927">
        <f>HYPERLINK("https://www.philgeps.gov.ph/GEPSNONPILOT/Tender/SplashBidNoticeAbstractUI.aspx?menuIndex=3&amp;refID=7182894&amp;Result=3","7182894")</f>
        <v>0</v>
      </c>
      <c r="B10927" t="s">
        <v>3223</v>
      </c>
      <c r="C10927" t="s">
        <v>14169</v>
      </c>
      <c r="D10927" t="s">
        <v>18992</v>
      </c>
      <c r="E10927" t="s">
        <v>28400</v>
      </c>
      <c r="F10927" t="s">
        <v>32606</v>
      </c>
      <c r="G10927" t="s">
        <v>32613</v>
      </c>
      <c r="H10927" t="s">
        <v>32623</v>
      </c>
      <c r="I10927" t="s">
        <v>17648</v>
      </c>
      <c r="J10927" t="s">
        <v>32923</v>
      </c>
      <c r="K10927" t="s">
        <v>42636</v>
      </c>
      <c r="M10927" t="s">
        <v>46449</v>
      </c>
      <c r="N10927" t="s">
        <v>47304</v>
      </c>
      <c r="O10927" t="s">
        <v>47305</v>
      </c>
      <c r="P10927">
        <v>0</v>
      </c>
      <c r="Q10927">
        <v>0</v>
      </c>
      <c r="R10927" t="s">
        <v>47314</v>
      </c>
      <c r="S10927" t="s">
        <v>47596</v>
      </c>
      <c r="T10927" t="s">
        <v>48998</v>
      </c>
      <c r="U10927" t="s">
        <v>58562</v>
      </c>
      <c r="W10927" t="s">
        <v>46449</v>
      </c>
      <c r="X10927" t="s">
        <v>47315</v>
      </c>
    </row>
    <row r="10928" spans="1:24">
      <c r="A10928">
        <f>HYPERLINK("https://www.philgeps.gov.ph/GEPSNONPILOT/Tender/SplashBidNoticeAbstractUI.aspx?menuIndex=3&amp;refID=7182893&amp;Result=3","7182893")</f>
        <v>0</v>
      </c>
      <c r="B10928" t="s">
        <v>903</v>
      </c>
      <c r="C10928" t="s">
        <v>14170</v>
      </c>
      <c r="D10928" t="s">
        <v>19049</v>
      </c>
      <c r="E10928" t="s">
        <v>14170</v>
      </c>
      <c r="F10928" t="s">
        <v>32606</v>
      </c>
      <c r="G10928" t="s">
        <v>32613</v>
      </c>
      <c r="H10928" t="s">
        <v>14201</v>
      </c>
      <c r="I10928" t="s">
        <v>6298</v>
      </c>
      <c r="J10928" t="s">
        <v>33658</v>
      </c>
      <c r="K10928" t="s">
        <v>42631</v>
      </c>
      <c r="M10928" t="s">
        <v>43840</v>
      </c>
      <c r="N10928" t="s">
        <v>47304</v>
      </c>
      <c r="O10928" t="s">
        <v>47305</v>
      </c>
      <c r="P10928">
        <v>0</v>
      </c>
      <c r="Q10928">
        <v>0</v>
      </c>
      <c r="R10928" t="s">
        <v>47314</v>
      </c>
      <c r="S10928" t="s">
        <v>47596</v>
      </c>
      <c r="T10928" t="s">
        <v>49221</v>
      </c>
      <c r="U10928" t="s">
        <v>58563</v>
      </c>
      <c r="W10928" t="s">
        <v>43840</v>
      </c>
      <c r="X10928" t="s">
        <v>47315</v>
      </c>
    </row>
    <row r="10929" spans="1:24">
      <c r="A10929">
        <f>HYPERLINK("https://www.philgeps.gov.ph/GEPSNONPILOT/Tender/SplashBidNoticeAbstractUI.aspx?menuIndex=3&amp;refID=7182784&amp;Result=3","7182784")</f>
        <v>0</v>
      </c>
      <c r="B10929" t="s">
        <v>1749</v>
      </c>
      <c r="C10929" t="s">
        <v>14171</v>
      </c>
      <c r="E10929" t="s">
        <v>28401</v>
      </c>
      <c r="F10929" t="s">
        <v>32606</v>
      </c>
      <c r="G10929" t="s">
        <v>32613</v>
      </c>
      <c r="H10929" t="s">
        <v>32625</v>
      </c>
      <c r="I10929" t="s">
        <v>32625</v>
      </c>
      <c r="J10929" t="s">
        <v>39558</v>
      </c>
      <c r="K10929" t="s">
        <v>42624</v>
      </c>
      <c r="M10929" t="s">
        <v>45934</v>
      </c>
      <c r="N10929" t="s">
        <v>47304</v>
      </c>
      <c r="O10929" t="s">
        <v>47305</v>
      </c>
      <c r="Q10929">
        <v>8</v>
      </c>
      <c r="R10929" t="s">
        <v>47314</v>
      </c>
      <c r="S10929" t="s">
        <v>47649</v>
      </c>
      <c r="T10929" t="s">
        <v>49452</v>
      </c>
      <c r="U10929" t="s">
        <v>58564</v>
      </c>
      <c r="W10929" t="s">
        <v>46485</v>
      </c>
      <c r="X10929" t="s">
        <v>47315</v>
      </c>
    </row>
    <row r="10930" spans="1:24">
      <c r="A10930">
        <f>HYPERLINK("https://www.philgeps.gov.ph/GEPSNONPILOT/Tender/SplashBidNoticeAbstractUI.aspx?menuIndex=3&amp;refID=7182892&amp;Result=3","7182892")</f>
        <v>0</v>
      </c>
      <c r="B10930" t="s">
        <v>257</v>
      </c>
      <c r="C10930" t="s">
        <v>14172</v>
      </c>
      <c r="D10930" t="s">
        <v>19019</v>
      </c>
      <c r="E10930" t="s">
        <v>28402</v>
      </c>
      <c r="F10930" t="s">
        <v>32606</v>
      </c>
      <c r="G10930" t="s">
        <v>32613</v>
      </c>
      <c r="H10930" t="s">
        <v>32623</v>
      </c>
      <c r="I10930" t="s">
        <v>17648</v>
      </c>
      <c r="J10930" t="s">
        <v>39559</v>
      </c>
      <c r="K10930" t="s">
        <v>42648</v>
      </c>
      <c r="M10930" t="s">
        <v>43158</v>
      </c>
      <c r="N10930" t="s">
        <v>47304</v>
      </c>
      <c r="O10930" t="s">
        <v>47305</v>
      </c>
      <c r="P10930">
        <v>0</v>
      </c>
      <c r="Q10930">
        <v>0</v>
      </c>
      <c r="R10930" t="s">
        <v>47314</v>
      </c>
      <c r="S10930" t="s">
        <v>47596</v>
      </c>
      <c r="T10930" t="s">
        <v>49140</v>
      </c>
      <c r="U10930" t="s">
        <v>58565</v>
      </c>
      <c r="W10930" t="s">
        <v>43158</v>
      </c>
      <c r="X10930" t="s">
        <v>47315</v>
      </c>
    </row>
    <row r="10931" spans="1:24">
      <c r="A10931">
        <f>HYPERLINK("https://www.philgeps.gov.ph/GEPSNONPILOT/Tender/SplashBidNoticeAbstractUI.aspx?menuIndex=3&amp;refID=7182882&amp;Result=3","7182882")</f>
        <v>0</v>
      </c>
      <c r="B10931" t="s">
        <v>2415</v>
      </c>
      <c r="C10931" t="s">
        <v>14173</v>
      </c>
      <c r="D10931" t="s">
        <v>19041</v>
      </c>
      <c r="E10931" t="s">
        <v>28366</v>
      </c>
      <c r="F10931" t="s">
        <v>32606</v>
      </c>
      <c r="G10931" t="s">
        <v>32613</v>
      </c>
      <c r="H10931" t="s">
        <v>32623</v>
      </c>
      <c r="I10931" t="s">
        <v>17648</v>
      </c>
      <c r="J10931" t="s">
        <v>39560</v>
      </c>
      <c r="K10931" t="s">
        <v>42631</v>
      </c>
      <c r="M10931" t="s">
        <v>45539</v>
      </c>
      <c r="N10931" t="s">
        <v>47304</v>
      </c>
      <c r="O10931" t="s">
        <v>47305</v>
      </c>
      <c r="P10931">
        <v>0</v>
      </c>
      <c r="Q10931">
        <v>0</v>
      </c>
      <c r="R10931" t="s">
        <v>47314</v>
      </c>
      <c r="S10931" t="s">
        <v>47596</v>
      </c>
      <c r="T10931" t="s">
        <v>49268</v>
      </c>
      <c r="U10931" t="s">
        <v>58566</v>
      </c>
      <c r="W10931" t="s">
        <v>45539</v>
      </c>
      <c r="X10931" t="s">
        <v>47315</v>
      </c>
    </row>
    <row r="10932" spans="1:24">
      <c r="A10932">
        <f>HYPERLINK("https://www.philgeps.gov.ph/GEPSNONPILOT/Tender/SplashBidNoticeAbstractUI.aspx?menuIndex=3&amp;refID=7182881&amp;Result=3","7182881")</f>
        <v>0</v>
      </c>
      <c r="B10932" t="s">
        <v>1895</v>
      </c>
      <c r="C10932" t="s">
        <v>14174</v>
      </c>
      <c r="D10932" t="s">
        <v>19034</v>
      </c>
      <c r="E10932" t="s">
        <v>28403</v>
      </c>
      <c r="F10932" t="s">
        <v>32606</v>
      </c>
      <c r="G10932" t="s">
        <v>32614</v>
      </c>
      <c r="H10932" t="s">
        <v>14201</v>
      </c>
      <c r="I10932" t="s">
        <v>4120</v>
      </c>
      <c r="J10932" t="s">
        <v>39561</v>
      </c>
      <c r="K10932" t="s">
        <v>42648</v>
      </c>
      <c r="M10932" t="s">
        <v>44954</v>
      </c>
      <c r="N10932" t="s">
        <v>47304</v>
      </c>
      <c r="O10932" t="s">
        <v>47305</v>
      </c>
      <c r="P10932">
        <v>0</v>
      </c>
      <c r="Q10932">
        <v>0</v>
      </c>
      <c r="R10932" t="s">
        <v>47314</v>
      </c>
      <c r="S10932" t="s">
        <v>47596</v>
      </c>
      <c r="T10932" t="s">
        <v>49107</v>
      </c>
      <c r="U10932" t="s">
        <v>56056</v>
      </c>
      <c r="W10932" t="s">
        <v>44954</v>
      </c>
      <c r="X10932" t="s">
        <v>47315</v>
      </c>
    </row>
    <row r="10933" spans="1:24">
      <c r="A10933">
        <f>HYPERLINK("https://www.philgeps.gov.ph/GEPSNONPILOT/Tender/SplashBidNoticeAbstractUI.aspx?menuIndex=3&amp;refID=7182870&amp;Result=3","7182870")</f>
        <v>0</v>
      </c>
      <c r="B10933" t="s">
        <v>903</v>
      </c>
      <c r="C10933" t="s">
        <v>14175</v>
      </c>
      <c r="D10933" t="s">
        <v>19049</v>
      </c>
      <c r="E10933" t="s">
        <v>14175</v>
      </c>
      <c r="F10933" t="s">
        <v>32606</v>
      </c>
      <c r="G10933" t="s">
        <v>32613</v>
      </c>
      <c r="H10933" t="s">
        <v>14201</v>
      </c>
      <c r="I10933" t="s">
        <v>32640</v>
      </c>
      <c r="J10933" t="s">
        <v>32950</v>
      </c>
      <c r="K10933" t="s">
        <v>42631</v>
      </c>
      <c r="M10933" t="s">
        <v>43840</v>
      </c>
      <c r="N10933" t="s">
        <v>47304</v>
      </c>
      <c r="O10933" t="s">
        <v>47305</v>
      </c>
      <c r="P10933">
        <v>0</v>
      </c>
      <c r="Q10933">
        <v>1</v>
      </c>
      <c r="R10933" t="s">
        <v>47314</v>
      </c>
      <c r="S10933" t="s">
        <v>47596</v>
      </c>
      <c r="T10933" t="s">
        <v>49221</v>
      </c>
      <c r="U10933" t="s">
        <v>58567</v>
      </c>
      <c r="W10933" t="s">
        <v>43840</v>
      </c>
      <c r="X10933" t="s">
        <v>47315</v>
      </c>
    </row>
    <row r="10934" spans="1:24">
      <c r="A10934">
        <f>HYPERLINK("https://www.philgeps.gov.ph/GEPSNONPILOT/Tender/SplashBidNoticeAbstractUI.aspx?menuIndex=3&amp;refID=7182861&amp;Result=3","7182861")</f>
        <v>0</v>
      </c>
      <c r="B10934" t="s">
        <v>3224</v>
      </c>
      <c r="C10934" t="s">
        <v>14176</v>
      </c>
      <c r="D10934" t="s">
        <v>19008</v>
      </c>
      <c r="E10934" t="s">
        <v>27457</v>
      </c>
      <c r="F10934" t="s">
        <v>32606</v>
      </c>
      <c r="G10934" t="s">
        <v>32613</v>
      </c>
      <c r="H10934" t="s">
        <v>32623</v>
      </c>
      <c r="I10934" t="s">
        <v>17648</v>
      </c>
      <c r="J10934" t="s">
        <v>39562</v>
      </c>
      <c r="K10934" t="s">
        <v>42631</v>
      </c>
      <c r="M10934" t="s">
        <v>46450</v>
      </c>
      <c r="N10934" t="s">
        <v>47304</v>
      </c>
      <c r="O10934" t="s">
        <v>47305</v>
      </c>
      <c r="P10934">
        <v>0</v>
      </c>
      <c r="Q10934">
        <v>0</v>
      </c>
      <c r="R10934" t="s">
        <v>47314</v>
      </c>
      <c r="S10934" t="s">
        <v>47596</v>
      </c>
      <c r="T10934" t="s">
        <v>49071</v>
      </c>
      <c r="U10934" t="s">
        <v>58568</v>
      </c>
      <c r="W10934" t="s">
        <v>46450</v>
      </c>
      <c r="X10934" t="s">
        <v>47315</v>
      </c>
    </row>
    <row r="10935" spans="1:24">
      <c r="A10935">
        <f>HYPERLINK("https://www.philgeps.gov.ph/GEPSNONPILOT/Tender/SplashBidNoticeAbstractUI.aspx?menuIndex=3&amp;refID=7182890&amp;Result=3","7182890")</f>
        <v>0</v>
      </c>
      <c r="B10935" t="s">
        <v>2887</v>
      </c>
      <c r="C10935" t="s">
        <v>14177</v>
      </c>
      <c r="D10935" t="s">
        <v>18997</v>
      </c>
      <c r="E10935" t="s">
        <v>28404</v>
      </c>
      <c r="F10935" t="s">
        <v>32606</v>
      </c>
      <c r="G10935" t="s">
        <v>32613</v>
      </c>
      <c r="H10935" t="s">
        <v>14201</v>
      </c>
      <c r="I10935" t="s">
        <v>6931</v>
      </c>
      <c r="J10935" t="s">
        <v>39563</v>
      </c>
      <c r="K10935" t="s">
        <v>42627</v>
      </c>
      <c r="M10935" t="s">
        <v>46060</v>
      </c>
      <c r="N10935" t="s">
        <v>47304</v>
      </c>
      <c r="O10935" t="s">
        <v>47305</v>
      </c>
      <c r="P10935">
        <v>0</v>
      </c>
      <c r="Q10935">
        <v>0</v>
      </c>
      <c r="R10935" t="s">
        <v>47314</v>
      </c>
      <c r="S10935" t="s">
        <v>47596</v>
      </c>
      <c r="T10935" t="s">
        <v>49023</v>
      </c>
      <c r="U10935" t="s">
        <v>58569</v>
      </c>
      <c r="W10935" t="s">
        <v>46060</v>
      </c>
      <c r="X10935" t="s">
        <v>47315</v>
      </c>
    </row>
    <row r="10936" spans="1:24">
      <c r="A10936">
        <f>HYPERLINK("https://www.philgeps.gov.ph/GEPSNONPILOT/Tender/SplashBidNoticeAbstractUI.aspx?menuIndex=3&amp;refID=7182857&amp;Result=3","7182857")</f>
        <v>0</v>
      </c>
      <c r="B10936" t="s">
        <v>3203</v>
      </c>
      <c r="C10936" t="s">
        <v>14178</v>
      </c>
      <c r="D10936" t="s">
        <v>19034</v>
      </c>
      <c r="E10936" t="s">
        <v>20131</v>
      </c>
      <c r="F10936" t="s">
        <v>32606</v>
      </c>
      <c r="G10936" t="s">
        <v>32613</v>
      </c>
      <c r="H10936" t="s">
        <v>32623</v>
      </c>
      <c r="I10936" t="s">
        <v>17648</v>
      </c>
      <c r="J10936" t="s">
        <v>39564</v>
      </c>
      <c r="K10936" t="s">
        <v>42646</v>
      </c>
      <c r="M10936" t="s">
        <v>46429</v>
      </c>
      <c r="N10936" t="s">
        <v>47304</v>
      </c>
      <c r="O10936" t="s">
        <v>47305</v>
      </c>
      <c r="P10936">
        <v>0</v>
      </c>
      <c r="Q10936">
        <v>14</v>
      </c>
      <c r="R10936" t="s">
        <v>47314</v>
      </c>
      <c r="S10936" t="s">
        <v>47596</v>
      </c>
      <c r="T10936" t="s">
        <v>49389</v>
      </c>
      <c r="U10936" t="s">
        <v>58570</v>
      </c>
      <c r="W10936" t="s">
        <v>46429</v>
      </c>
      <c r="X10936" t="s">
        <v>47315</v>
      </c>
    </row>
    <row r="10937" spans="1:24">
      <c r="A10937">
        <f>HYPERLINK("https://www.philgeps.gov.ph/GEPSNONPILOT/Tender/SplashBidNoticeAbstractUI.aspx?menuIndex=3&amp;refID=7182846&amp;Result=3","7182846")</f>
        <v>0</v>
      </c>
      <c r="B10937" t="s">
        <v>1014</v>
      </c>
      <c r="C10937" t="s">
        <v>14179</v>
      </c>
      <c r="D10937" t="s">
        <v>19056</v>
      </c>
      <c r="E10937" t="s">
        <v>28405</v>
      </c>
      <c r="F10937" t="s">
        <v>32606</v>
      </c>
      <c r="G10937" t="s">
        <v>32614</v>
      </c>
      <c r="H10937" t="s">
        <v>14201</v>
      </c>
      <c r="I10937" t="s">
        <v>4112</v>
      </c>
      <c r="J10937" t="s">
        <v>33663</v>
      </c>
      <c r="K10937" t="s">
        <v>42646</v>
      </c>
      <c r="M10937" t="s">
        <v>46082</v>
      </c>
      <c r="N10937" t="s">
        <v>47304</v>
      </c>
      <c r="O10937" t="s">
        <v>47305</v>
      </c>
      <c r="Q10937">
        <v>0</v>
      </c>
      <c r="R10937" t="s">
        <v>47314</v>
      </c>
      <c r="S10937" t="s">
        <v>47650</v>
      </c>
      <c r="T10937" t="s">
        <v>49200</v>
      </c>
      <c r="U10937" t="s">
        <v>58571</v>
      </c>
      <c r="W10937" t="s">
        <v>46082</v>
      </c>
      <c r="X10937" t="s">
        <v>47315</v>
      </c>
    </row>
    <row r="10938" spans="1:24">
      <c r="A10938">
        <f>HYPERLINK("https://www.philgeps.gov.ph/GEPSNONPILOT/Tender/SplashBidNoticeAbstractUI.aspx?menuIndex=3&amp;refID=7182873&amp;Result=3","7182873")</f>
        <v>0</v>
      </c>
      <c r="B10938" t="s">
        <v>2119</v>
      </c>
      <c r="C10938" t="s">
        <v>14180</v>
      </c>
      <c r="D10938" t="s">
        <v>18993</v>
      </c>
      <c r="E10938" t="s">
        <v>28406</v>
      </c>
      <c r="F10938" t="s">
        <v>32607</v>
      </c>
      <c r="G10938" t="s">
        <v>32613</v>
      </c>
      <c r="H10938" t="s">
        <v>14201</v>
      </c>
      <c r="I10938" t="s">
        <v>4114</v>
      </c>
      <c r="J10938" t="s">
        <v>39565</v>
      </c>
      <c r="K10938" t="s">
        <v>42631</v>
      </c>
      <c r="M10938" t="s">
        <v>45206</v>
      </c>
      <c r="N10938" t="s">
        <v>47304</v>
      </c>
      <c r="O10938" t="s">
        <v>47305</v>
      </c>
      <c r="P10938">
        <v>0</v>
      </c>
      <c r="Q10938">
        <v>1</v>
      </c>
      <c r="R10938" t="s">
        <v>47314</v>
      </c>
      <c r="S10938" t="s">
        <v>47596</v>
      </c>
      <c r="T10938" t="s">
        <v>49065</v>
      </c>
      <c r="U10938" t="s">
        <v>58572</v>
      </c>
      <c r="V10938" t="s">
        <v>63251</v>
      </c>
      <c r="W10938" t="s">
        <v>45206</v>
      </c>
      <c r="X10938" t="s">
        <v>47315</v>
      </c>
    </row>
    <row r="10939" spans="1:24">
      <c r="A10939">
        <f>HYPERLINK("https://www.philgeps.gov.ph/GEPSNONPILOT/Tender/SplashBidNoticeAbstractUI.aspx?menuIndex=3&amp;refID=7182865&amp;Result=3","7182865")</f>
        <v>0</v>
      </c>
      <c r="B10939" t="s">
        <v>422</v>
      </c>
      <c r="C10939" t="s">
        <v>14181</v>
      </c>
      <c r="D10939" t="s">
        <v>19030</v>
      </c>
      <c r="E10939" t="s">
        <v>28407</v>
      </c>
      <c r="F10939" t="s">
        <v>32606</v>
      </c>
      <c r="G10939" t="s">
        <v>32614</v>
      </c>
      <c r="H10939" t="s">
        <v>14201</v>
      </c>
      <c r="I10939" t="s">
        <v>32629</v>
      </c>
      <c r="J10939" t="s">
        <v>32923</v>
      </c>
      <c r="K10939" t="s">
        <v>42622</v>
      </c>
      <c r="M10939" t="s">
        <v>43326</v>
      </c>
      <c r="N10939" t="s">
        <v>47304</v>
      </c>
      <c r="O10939" t="s">
        <v>47305</v>
      </c>
      <c r="P10939">
        <v>0</v>
      </c>
      <c r="Q10939">
        <v>0</v>
      </c>
      <c r="R10939" t="s">
        <v>47314</v>
      </c>
      <c r="S10939" t="s">
        <v>47596</v>
      </c>
      <c r="T10939" t="s">
        <v>48998</v>
      </c>
      <c r="U10939" t="s">
        <v>58573</v>
      </c>
      <c r="W10939" t="s">
        <v>43326</v>
      </c>
      <c r="X10939" t="s">
        <v>47315</v>
      </c>
    </row>
    <row r="10940" spans="1:24">
      <c r="A10940">
        <f>HYPERLINK("https://www.philgeps.gov.ph/GEPSNONPILOT/Tender/SplashBidNoticeAbstractUI.aspx?menuIndex=3&amp;refID=7182773&amp;Result=3","7182773")</f>
        <v>0</v>
      </c>
      <c r="B10940" t="s">
        <v>671</v>
      </c>
      <c r="C10940" t="s">
        <v>14182</v>
      </c>
      <c r="D10940" t="s">
        <v>18993</v>
      </c>
      <c r="E10940" t="s">
        <v>28408</v>
      </c>
      <c r="F10940" t="s">
        <v>32606</v>
      </c>
      <c r="G10940" t="s">
        <v>32613</v>
      </c>
      <c r="H10940" t="s">
        <v>14201</v>
      </c>
      <c r="I10940" t="s">
        <v>32634</v>
      </c>
      <c r="J10940" t="s">
        <v>39566</v>
      </c>
      <c r="K10940" t="s">
        <v>42624</v>
      </c>
      <c r="M10940" t="s">
        <v>43591</v>
      </c>
      <c r="N10940" t="s">
        <v>47304</v>
      </c>
      <c r="O10940" t="s">
        <v>47305</v>
      </c>
      <c r="P10940">
        <v>0</v>
      </c>
      <c r="Q10940">
        <v>10</v>
      </c>
      <c r="R10940" t="s">
        <v>47314</v>
      </c>
      <c r="S10940" t="s">
        <v>47596</v>
      </c>
      <c r="T10940" t="s">
        <v>49364</v>
      </c>
      <c r="U10940" t="s">
        <v>58574</v>
      </c>
      <c r="W10940" t="s">
        <v>43591</v>
      </c>
      <c r="X10940" t="s">
        <v>47315</v>
      </c>
    </row>
    <row r="10941" spans="1:24">
      <c r="A10941">
        <f>HYPERLINK("https://www.philgeps.gov.ph/GEPSNONPILOT/Tender/SplashBidNoticeAbstractUI.aspx?menuIndex=3&amp;refID=7182788&amp;Result=3","7182788")</f>
        <v>0</v>
      </c>
      <c r="B10941" t="s">
        <v>1522</v>
      </c>
      <c r="C10941" t="s">
        <v>14183</v>
      </c>
      <c r="D10941" t="s">
        <v>19023</v>
      </c>
      <c r="E10941" t="s">
        <v>28409</v>
      </c>
      <c r="F10941" t="s">
        <v>32606</v>
      </c>
      <c r="G10941" t="s">
        <v>32614</v>
      </c>
      <c r="H10941" t="s">
        <v>14201</v>
      </c>
      <c r="I10941" t="s">
        <v>32657</v>
      </c>
      <c r="J10941" t="s">
        <v>39567</v>
      </c>
      <c r="K10941" t="s">
        <v>42631</v>
      </c>
      <c r="M10941" t="s">
        <v>46451</v>
      </c>
      <c r="N10941" t="s">
        <v>47304</v>
      </c>
      <c r="O10941" t="s">
        <v>47305</v>
      </c>
      <c r="P10941">
        <v>0</v>
      </c>
      <c r="Q10941">
        <v>4</v>
      </c>
      <c r="R10941" t="s">
        <v>47314</v>
      </c>
      <c r="S10941" t="s">
        <v>47596</v>
      </c>
      <c r="T10941" t="s">
        <v>49014</v>
      </c>
      <c r="U10941" t="s">
        <v>58575</v>
      </c>
      <c r="W10941" t="s">
        <v>46451</v>
      </c>
      <c r="X10941" t="s">
        <v>47315</v>
      </c>
    </row>
    <row r="10942" spans="1:24">
      <c r="A10942">
        <f>HYPERLINK("https://www.philgeps.gov.ph/GEPSNONPILOT/Tender/SplashBidNoticeAbstractUI.aspx?menuIndex=3&amp;refID=7182772&amp;Result=3","7182772")</f>
        <v>0</v>
      </c>
      <c r="B10942" t="s">
        <v>3205</v>
      </c>
      <c r="C10942" t="s">
        <v>14184</v>
      </c>
      <c r="D10942" t="s">
        <v>19016</v>
      </c>
      <c r="E10942" t="s">
        <v>28410</v>
      </c>
      <c r="F10942" t="s">
        <v>32606</v>
      </c>
      <c r="G10942" t="s">
        <v>32613</v>
      </c>
      <c r="H10942" t="s">
        <v>32623</v>
      </c>
      <c r="I10942" t="s">
        <v>17648</v>
      </c>
      <c r="J10942" t="s">
        <v>32765</v>
      </c>
      <c r="K10942" t="s">
        <v>42631</v>
      </c>
      <c r="M10942" t="s">
        <v>46431</v>
      </c>
      <c r="N10942" t="s">
        <v>47304</v>
      </c>
      <c r="O10942" t="s">
        <v>47305</v>
      </c>
      <c r="P10942">
        <v>0</v>
      </c>
      <c r="Q10942">
        <v>2</v>
      </c>
      <c r="R10942" t="s">
        <v>47314</v>
      </c>
      <c r="S10942" t="s">
        <v>47596</v>
      </c>
      <c r="T10942" t="s">
        <v>49197</v>
      </c>
      <c r="U10942" t="s">
        <v>58576</v>
      </c>
      <c r="W10942" t="s">
        <v>46431</v>
      </c>
      <c r="X10942" t="s">
        <v>47315</v>
      </c>
    </row>
    <row r="10943" spans="1:24">
      <c r="A10943">
        <f>HYPERLINK("https://www.philgeps.gov.ph/GEPSNONPILOT/Tender/SplashBidNoticeAbstractUI.aspx?menuIndex=3&amp;refID=7182961&amp;Result=3","7182961")</f>
        <v>0</v>
      </c>
      <c r="B10943" t="s">
        <v>1194</v>
      </c>
      <c r="C10943" t="s">
        <v>14185</v>
      </c>
      <c r="D10943" t="s">
        <v>19025</v>
      </c>
      <c r="E10943" t="s">
        <v>28216</v>
      </c>
      <c r="F10943" t="s">
        <v>32606</v>
      </c>
      <c r="G10943" t="s">
        <v>32613</v>
      </c>
      <c r="H10943" t="s">
        <v>14201</v>
      </c>
      <c r="I10943" t="s">
        <v>32640</v>
      </c>
      <c r="J10943" t="s">
        <v>39568</v>
      </c>
      <c r="K10943" t="s">
        <v>42631</v>
      </c>
      <c r="M10943" t="s">
        <v>44158</v>
      </c>
      <c r="N10943" t="s">
        <v>47304</v>
      </c>
      <c r="O10943" t="s">
        <v>47305</v>
      </c>
      <c r="Q10943">
        <v>8</v>
      </c>
      <c r="R10943" t="s">
        <v>47314</v>
      </c>
      <c r="S10943" t="s">
        <v>47651</v>
      </c>
      <c r="T10943" t="s">
        <v>49240</v>
      </c>
      <c r="U10943" t="s">
        <v>58577</v>
      </c>
      <c r="W10943" t="s">
        <v>44158</v>
      </c>
      <c r="X10943" t="s">
        <v>47315</v>
      </c>
    </row>
    <row r="10944" spans="1:24">
      <c r="A10944">
        <f>HYPERLINK("https://www.philgeps.gov.ph/GEPSNONPILOT/Tender/SplashBidNoticeAbstractUI.aspx?menuIndex=3&amp;refID=7182844&amp;Result=3","7182844")</f>
        <v>0</v>
      </c>
      <c r="B10944" t="s">
        <v>2358</v>
      </c>
      <c r="C10944" t="s">
        <v>14186</v>
      </c>
      <c r="D10944" t="s">
        <v>19012</v>
      </c>
      <c r="E10944" t="s">
        <v>28411</v>
      </c>
      <c r="F10944" t="s">
        <v>32606</v>
      </c>
      <c r="G10944" t="s">
        <v>32613</v>
      </c>
      <c r="H10944" t="s">
        <v>32623</v>
      </c>
      <c r="I10944" t="s">
        <v>17648</v>
      </c>
      <c r="J10944" t="s">
        <v>39569</v>
      </c>
      <c r="K10944" t="s">
        <v>42636</v>
      </c>
      <c r="M10944" t="s">
        <v>45470</v>
      </c>
      <c r="N10944" t="s">
        <v>47304</v>
      </c>
      <c r="O10944" t="s">
        <v>47305</v>
      </c>
      <c r="P10944">
        <v>0</v>
      </c>
      <c r="Q10944">
        <v>1</v>
      </c>
      <c r="R10944" t="s">
        <v>47314</v>
      </c>
      <c r="S10944" t="s">
        <v>47596</v>
      </c>
      <c r="T10944" t="s">
        <v>49140</v>
      </c>
      <c r="U10944" t="s">
        <v>56819</v>
      </c>
      <c r="W10944" t="s">
        <v>45470</v>
      </c>
      <c r="X10944" t="s">
        <v>47315</v>
      </c>
    </row>
    <row r="10945" spans="1:24">
      <c r="A10945">
        <f>HYPERLINK("https://www.philgeps.gov.ph/GEPSNONPILOT/Tender/SplashBidNoticeAbstractUI.aspx?menuIndex=3&amp;refID=7182960&amp;Result=3","7182960")</f>
        <v>0</v>
      </c>
      <c r="B10945" t="s">
        <v>970</v>
      </c>
      <c r="C10945" t="s">
        <v>14187</v>
      </c>
      <c r="D10945" t="s">
        <v>18990</v>
      </c>
      <c r="E10945" t="s">
        <v>28412</v>
      </c>
      <c r="F10945" t="s">
        <v>32606</v>
      </c>
      <c r="G10945" t="s">
        <v>32613</v>
      </c>
      <c r="H10945" t="s">
        <v>32623</v>
      </c>
      <c r="I10945" t="s">
        <v>17648</v>
      </c>
      <c r="J10945" t="s">
        <v>39570</v>
      </c>
      <c r="K10945" t="s">
        <v>42851</v>
      </c>
      <c r="M10945" t="s">
        <v>43916</v>
      </c>
      <c r="N10945" t="s">
        <v>47304</v>
      </c>
      <c r="O10945" t="s">
        <v>47305</v>
      </c>
      <c r="P10945">
        <v>0</v>
      </c>
      <c r="Q10945">
        <v>0</v>
      </c>
      <c r="R10945" t="s">
        <v>47314</v>
      </c>
      <c r="S10945" t="s">
        <v>47596</v>
      </c>
      <c r="T10945" t="s">
        <v>49040</v>
      </c>
      <c r="U10945" t="s">
        <v>58578</v>
      </c>
      <c r="W10945" t="s">
        <v>43916</v>
      </c>
      <c r="X10945" t="s">
        <v>47315</v>
      </c>
    </row>
    <row r="10946" spans="1:24">
      <c r="A10946">
        <f>HYPERLINK("https://www.philgeps.gov.ph/GEPSNONPILOT/Tender/SplashBidNoticeAbstractUI.aspx?menuIndex=3&amp;refID=7182834&amp;Result=3","7182834")</f>
        <v>0</v>
      </c>
      <c r="B10946" t="s">
        <v>903</v>
      </c>
      <c r="C10946" t="s">
        <v>14188</v>
      </c>
      <c r="D10946" t="s">
        <v>19049</v>
      </c>
      <c r="E10946" t="s">
        <v>14188</v>
      </c>
      <c r="F10946" t="s">
        <v>32606</v>
      </c>
      <c r="G10946" t="s">
        <v>32613</v>
      </c>
      <c r="H10946" t="s">
        <v>14201</v>
      </c>
      <c r="I10946" t="s">
        <v>32635</v>
      </c>
      <c r="J10946" t="s">
        <v>33103</v>
      </c>
      <c r="K10946" t="s">
        <v>42631</v>
      </c>
      <c r="M10946" t="s">
        <v>43840</v>
      </c>
      <c r="N10946" t="s">
        <v>47304</v>
      </c>
      <c r="O10946" t="s">
        <v>47305</v>
      </c>
      <c r="P10946">
        <v>0</v>
      </c>
      <c r="Q10946">
        <v>2</v>
      </c>
      <c r="R10946" t="s">
        <v>47314</v>
      </c>
      <c r="S10946" t="s">
        <v>47596</v>
      </c>
      <c r="T10946" t="s">
        <v>49221</v>
      </c>
      <c r="U10946" t="s">
        <v>58579</v>
      </c>
      <c r="W10946" t="s">
        <v>43840</v>
      </c>
      <c r="X10946" t="s">
        <v>47315</v>
      </c>
    </row>
    <row r="10947" spans="1:24">
      <c r="A10947">
        <f>HYPERLINK("https://www.philgeps.gov.ph/GEPSNONPILOT/Tender/SplashBidNoticeAbstractUI.aspx?menuIndex=3&amp;refID=7182958&amp;Result=3","7182958")</f>
        <v>0</v>
      </c>
      <c r="B10947" t="s">
        <v>3225</v>
      </c>
      <c r="C10947" t="s">
        <v>14189</v>
      </c>
      <c r="D10947" t="s">
        <v>19017</v>
      </c>
      <c r="E10947" t="s">
        <v>28413</v>
      </c>
      <c r="F10947" t="s">
        <v>32606</v>
      </c>
      <c r="G10947" t="s">
        <v>32613</v>
      </c>
      <c r="H10947" t="s">
        <v>14201</v>
      </c>
      <c r="I10947" t="s">
        <v>4120</v>
      </c>
      <c r="J10947" t="s">
        <v>39571</v>
      </c>
      <c r="K10947" t="s">
        <v>42639</v>
      </c>
      <c r="M10947" t="s">
        <v>46452</v>
      </c>
      <c r="N10947" t="s">
        <v>47304</v>
      </c>
      <c r="O10947" t="s">
        <v>47305</v>
      </c>
      <c r="P10947">
        <v>0</v>
      </c>
      <c r="Q10947">
        <v>2</v>
      </c>
      <c r="R10947" t="s">
        <v>47314</v>
      </c>
      <c r="S10947" t="s">
        <v>47596</v>
      </c>
      <c r="T10947" t="s">
        <v>49066</v>
      </c>
      <c r="U10947" t="s">
        <v>58580</v>
      </c>
      <c r="W10947" t="s">
        <v>46452</v>
      </c>
      <c r="X10947" t="s">
        <v>47315</v>
      </c>
    </row>
    <row r="10948" spans="1:24">
      <c r="A10948">
        <f>HYPERLINK("https://www.philgeps.gov.ph/GEPSNONPILOT/Tender/SplashBidNoticeAbstractUI.aspx?menuIndex=3&amp;refID=7182946&amp;Result=3","7182946")</f>
        <v>0</v>
      </c>
      <c r="B10948" t="s">
        <v>3226</v>
      </c>
      <c r="C10948" t="s">
        <v>14190</v>
      </c>
      <c r="D10948" t="s">
        <v>19010</v>
      </c>
      <c r="E10948" t="s">
        <v>28414</v>
      </c>
      <c r="F10948" t="s">
        <v>32607</v>
      </c>
      <c r="G10948" t="s">
        <v>32619</v>
      </c>
      <c r="H10948" t="s">
        <v>14201</v>
      </c>
      <c r="I10948" t="s">
        <v>32673</v>
      </c>
      <c r="J10948" t="s">
        <v>33257</v>
      </c>
      <c r="K10948" t="s">
        <v>42630</v>
      </c>
      <c r="L10948" t="s">
        <v>3226</v>
      </c>
      <c r="M10948" t="s">
        <v>46453</v>
      </c>
      <c r="N10948" t="s">
        <v>47304</v>
      </c>
      <c r="O10948" t="s">
        <v>47305</v>
      </c>
      <c r="P10948">
        <v>0</v>
      </c>
      <c r="Q10948">
        <v>0</v>
      </c>
      <c r="R10948" t="s">
        <v>47314</v>
      </c>
      <c r="S10948" t="s">
        <v>47596</v>
      </c>
      <c r="T10948" t="s">
        <v>48980</v>
      </c>
      <c r="U10948" t="s">
        <v>58581</v>
      </c>
      <c r="W10948" t="s">
        <v>46453</v>
      </c>
      <c r="X10948" t="s">
        <v>47315</v>
      </c>
    </row>
    <row r="10949" spans="1:24">
      <c r="A10949">
        <f>HYPERLINK("https://www.philgeps.gov.ph/GEPSNONPILOT/Tender/SplashBidNoticeAbstractUI.aspx?menuIndex=3&amp;refID=7182850&amp;Result=3","7182850")</f>
        <v>0</v>
      </c>
      <c r="B10949" t="s">
        <v>1895</v>
      </c>
      <c r="C10949" t="s">
        <v>14191</v>
      </c>
      <c r="D10949" t="s">
        <v>19034</v>
      </c>
      <c r="E10949" t="s">
        <v>28415</v>
      </c>
      <c r="F10949" t="s">
        <v>32606</v>
      </c>
      <c r="G10949" t="s">
        <v>32614</v>
      </c>
      <c r="H10949" t="s">
        <v>14201</v>
      </c>
      <c r="I10949" t="s">
        <v>6007</v>
      </c>
      <c r="J10949" t="s">
        <v>39572</v>
      </c>
      <c r="K10949" t="s">
        <v>42648</v>
      </c>
      <c r="M10949" t="s">
        <v>44954</v>
      </c>
      <c r="N10949" t="s">
        <v>47304</v>
      </c>
      <c r="O10949" t="s">
        <v>47305</v>
      </c>
      <c r="P10949">
        <v>0</v>
      </c>
      <c r="Q10949">
        <v>0</v>
      </c>
      <c r="R10949" t="s">
        <v>47314</v>
      </c>
      <c r="S10949" t="s">
        <v>47596</v>
      </c>
      <c r="T10949" t="s">
        <v>48989</v>
      </c>
      <c r="U10949" t="s">
        <v>56056</v>
      </c>
      <c r="W10949" t="s">
        <v>44954</v>
      </c>
      <c r="X10949" t="s">
        <v>47315</v>
      </c>
    </row>
    <row r="10950" spans="1:24">
      <c r="A10950">
        <f>HYPERLINK("https://www.philgeps.gov.ph/GEPSNONPILOT/Tender/SplashBidNoticeAbstractUI.aspx?menuIndex=3&amp;refID=7182945&amp;Result=3","7182945")</f>
        <v>0</v>
      </c>
      <c r="B10950" t="s">
        <v>3203</v>
      </c>
      <c r="C10950" t="s">
        <v>14192</v>
      </c>
      <c r="D10950" t="s">
        <v>19034</v>
      </c>
      <c r="E10950" t="s">
        <v>24603</v>
      </c>
      <c r="F10950" t="s">
        <v>32606</v>
      </c>
      <c r="G10950" t="s">
        <v>32613</v>
      </c>
      <c r="H10950" t="s">
        <v>32623</v>
      </c>
      <c r="I10950" t="s">
        <v>17648</v>
      </c>
      <c r="J10950" t="s">
        <v>39573</v>
      </c>
      <c r="K10950" t="s">
        <v>42646</v>
      </c>
      <c r="M10950" t="s">
        <v>46429</v>
      </c>
      <c r="N10950" t="s">
        <v>47304</v>
      </c>
      <c r="O10950" t="s">
        <v>47305</v>
      </c>
      <c r="P10950">
        <v>0</v>
      </c>
      <c r="Q10950">
        <v>14</v>
      </c>
      <c r="R10950" t="s">
        <v>47314</v>
      </c>
      <c r="S10950" t="s">
        <v>47596</v>
      </c>
      <c r="T10950" t="s">
        <v>49389</v>
      </c>
      <c r="U10950" t="s">
        <v>58582</v>
      </c>
      <c r="W10950" t="s">
        <v>46429</v>
      </c>
      <c r="X10950" t="s">
        <v>47315</v>
      </c>
    </row>
    <row r="10951" spans="1:24">
      <c r="A10951">
        <f>HYPERLINK("https://www.philgeps.gov.ph/GEPSNONPILOT/Tender/SplashBidNoticeAbstractUI.aspx?menuIndex=3&amp;refID=7182845&amp;Result=3","7182845")</f>
        <v>0</v>
      </c>
      <c r="B10951" t="s">
        <v>903</v>
      </c>
      <c r="C10951" t="s">
        <v>14193</v>
      </c>
      <c r="D10951" t="s">
        <v>19049</v>
      </c>
      <c r="E10951" t="s">
        <v>14193</v>
      </c>
      <c r="F10951" t="s">
        <v>32606</v>
      </c>
      <c r="G10951" t="s">
        <v>32613</v>
      </c>
      <c r="H10951" t="s">
        <v>14201</v>
      </c>
      <c r="I10951" t="s">
        <v>32678</v>
      </c>
      <c r="J10951" t="s">
        <v>39574</v>
      </c>
      <c r="K10951" t="s">
        <v>42631</v>
      </c>
      <c r="M10951" t="s">
        <v>43840</v>
      </c>
      <c r="N10951" t="s">
        <v>47304</v>
      </c>
      <c r="O10951" t="s">
        <v>47305</v>
      </c>
      <c r="P10951">
        <v>0</v>
      </c>
      <c r="Q10951">
        <v>0</v>
      </c>
      <c r="R10951" t="s">
        <v>47314</v>
      </c>
      <c r="S10951" t="s">
        <v>47596</v>
      </c>
      <c r="T10951" t="s">
        <v>49221</v>
      </c>
      <c r="U10951" t="s">
        <v>58583</v>
      </c>
      <c r="W10951" t="s">
        <v>43840</v>
      </c>
      <c r="X10951" t="s">
        <v>47315</v>
      </c>
    </row>
    <row r="10952" spans="1:24">
      <c r="A10952">
        <f>HYPERLINK("https://www.philgeps.gov.ph/GEPSNONPILOT/Tender/SplashBidNoticeAbstractUI.aspx?menuIndex=3&amp;refID=7182940&amp;Result=3","7182940")</f>
        <v>0</v>
      </c>
      <c r="B10952" t="s">
        <v>575</v>
      </c>
      <c r="C10952" t="s">
        <v>14194</v>
      </c>
      <c r="D10952" t="s">
        <v>19036</v>
      </c>
      <c r="E10952" t="s">
        <v>28416</v>
      </c>
      <c r="F10952" t="s">
        <v>32606</v>
      </c>
      <c r="G10952" t="s">
        <v>32613</v>
      </c>
      <c r="H10952" t="s">
        <v>14201</v>
      </c>
      <c r="I10952" t="s">
        <v>32664</v>
      </c>
      <c r="J10952" t="s">
        <v>35637</v>
      </c>
      <c r="K10952" t="s">
        <v>42622</v>
      </c>
      <c r="M10952" t="s">
        <v>44035</v>
      </c>
      <c r="N10952" t="s">
        <v>47304</v>
      </c>
      <c r="O10952" t="s">
        <v>47305</v>
      </c>
      <c r="P10952">
        <v>0</v>
      </c>
      <c r="Q10952">
        <v>0</v>
      </c>
      <c r="R10952" t="s">
        <v>47314</v>
      </c>
      <c r="S10952" t="s">
        <v>47596</v>
      </c>
      <c r="T10952" t="s">
        <v>49071</v>
      </c>
      <c r="U10952" t="s">
        <v>58584</v>
      </c>
      <c r="W10952" t="s">
        <v>44035</v>
      </c>
      <c r="X10952" t="s">
        <v>47315</v>
      </c>
    </row>
    <row r="10953" spans="1:24">
      <c r="A10953">
        <f>HYPERLINK("https://www.philgeps.gov.ph/GEPSNONPILOT/Tender/SplashBidNoticeAbstractUI.aspx?menuIndex=3&amp;refID=7182954&amp;Result=3","7182954")</f>
        <v>0</v>
      </c>
      <c r="B10953" t="s">
        <v>1028</v>
      </c>
      <c r="C10953" t="s">
        <v>14195</v>
      </c>
      <c r="D10953" t="s">
        <v>19008</v>
      </c>
      <c r="E10953" t="s">
        <v>28417</v>
      </c>
      <c r="F10953" t="s">
        <v>32606</v>
      </c>
      <c r="G10953" t="s">
        <v>32613</v>
      </c>
      <c r="H10953" t="s">
        <v>32623</v>
      </c>
      <c r="I10953" t="s">
        <v>17648</v>
      </c>
      <c r="J10953" t="s">
        <v>39575</v>
      </c>
      <c r="K10953" t="s">
        <v>42639</v>
      </c>
      <c r="M10953" t="s">
        <v>43981</v>
      </c>
      <c r="N10953" t="s">
        <v>47304</v>
      </c>
      <c r="O10953" t="s">
        <v>47305</v>
      </c>
      <c r="P10953">
        <v>0</v>
      </c>
      <c r="Q10953">
        <v>0</v>
      </c>
      <c r="R10953" t="s">
        <v>47314</v>
      </c>
      <c r="S10953" t="s">
        <v>47596</v>
      </c>
      <c r="T10953" t="s">
        <v>49017</v>
      </c>
      <c r="U10953" t="s">
        <v>58585</v>
      </c>
      <c r="W10953" t="s">
        <v>43981</v>
      </c>
      <c r="X10953" t="s">
        <v>47315</v>
      </c>
    </row>
    <row r="10954" spans="1:24">
      <c r="A10954">
        <f>HYPERLINK("https://www.philgeps.gov.ph/GEPSNONPILOT/Tender/SplashBidNoticeAbstractUI.aspx?menuIndex=3&amp;refID=7182930&amp;Result=3","7182930")</f>
        <v>0</v>
      </c>
      <c r="B10954" t="s">
        <v>903</v>
      </c>
      <c r="C10954" t="s">
        <v>14196</v>
      </c>
      <c r="D10954" t="s">
        <v>19049</v>
      </c>
      <c r="E10954" t="s">
        <v>14196</v>
      </c>
      <c r="F10954" t="s">
        <v>32606</v>
      </c>
      <c r="G10954" t="s">
        <v>32613</v>
      </c>
      <c r="H10954" t="s">
        <v>14201</v>
      </c>
      <c r="I10954" t="s">
        <v>4678</v>
      </c>
      <c r="J10954" t="s">
        <v>39576</v>
      </c>
      <c r="K10954" t="s">
        <v>42631</v>
      </c>
      <c r="M10954" t="s">
        <v>43840</v>
      </c>
      <c r="N10954" t="s">
        <v>47304</v>
      </c>
      <c r="O10954" t="s">
        <v>47305</v>
      </c>
      <c r="P10954">
        <v>0</v>
      </c>
      <c r="Q10954">
        <v>1</v>
      </c>
      <c r="R10954" t="s">
        <v>47314</v>
      </c>
      <c r="S10954" t="s">
        <v>47596</v>
      </c>
      <c r="T10954" t="s">
        <v>49221</v>
      </c>
      <c r="U10954" t="s">
        <v>58586</v>
      </c>
      <c r="W10954" t="s">
        <v>43840</v>
      </c>
      <c r="X10954" t="s">
        <v>47315</v>
      </c>
    </row>
    <row r="10955" spans="1:24">
      <c r="A10955">
        <f>HYPERLINK("https://www.philgeps.gov.ph/GEPSNONPILOT/Tender/SplashBidNoticeAbstractUI.aspx?menuIndex=3&amp;refID=7182952&amp;Result=3","7182952")</f>
        <v>0</v>
      </c>
      <c r="B10955" t="s">
        <v>718</v>
      </c>
      <c r="C10955" t="s">
        <v>14197</v>
      </c>
      <c r="D10955" t="s">
        <v>19037</v>
      </c>
      <c r="E10955" t="s">
        <v>28418</v>
      </c>
      <c r="F10955" t="s">
        <v>32606</v>
      </c>
      <c r="G10955" t="s">
        <v>32614</v>
      </c>
      <c r="H10955" t="s">
        <v>14201</v>
      </c>
      <c r="I10955" t="s">
        <v>4114</v>
      </c>
      <c r="J10955" t="s">
        <v>39577</v>
      </c>
      <c r="K10955" t="s">
        <v>42631</v>
      </c>
      <c r="M10955" t="s">
        <v>44341</v>
      </c>
      <c r="N10955" t="s">
        <v>47304</v>
      </c>
      <c r="O10955" t="s">
        <v>47305</v>
      </c>
      <c r="P10955">
        <v>0</v>
      </c>
      <c r="Q10955">
        <v>10</v>
      </c>
      <c r="R10955" t="s">
        <v>47314</v>
      </c>
      <c r="S10955" t="s">
        <v>47596</v>
      </c>
      <c r="T10955" t="s">
        <v>49330</v>
      </c>
      <c r="U10955" t="s">
        <v>58587</v>
      </c>
      <c r="W10955" t="s">
        <v>44341</v>
      </c>
      <c r="X10955" t="s">
        <v>47315</v>
      </c>
    </row>
    <row r="10956" spans="1:24">
      <c r="A10956">
        <f>HYPERLINK("https://www.philgeps.gov.ph/GEPSNONPILOT/Tender/SplashBidNoticeAbstractUI.aspx?menuIndex=3&amp;refID=7182925&amp;Result=3","7182925")</f>
        <v>0</v>
      </c>
      <c r="B10956" t="s">
        <v>1507</v>
      </c>
      <c r="C10956" t="s">
        <v>14198</v>
      </c>
      <c r="D10956" t="s">
        <v>19039</v>
      </c>
      <c r="E10956" t="s">
        <v>28419</v>
      </c>
      <c r="F10956" t="s">
        <v>32607</v>
      </c>
      <c r="G10956" t="s">
        <v>32614</v>
      </c>
      <c r="H10956" t="s">
        <v>14201</v>
      </c>
      <c r="I10956" t="s">
        <v>32632</v>
      </c>
      <c r="J10956" t="s">
        <v>39578</v>
      </c>
      <c r="K10956" t="s">
        <v>42631</v>
      </c>
      <c r="M10956" t="s">
        <v>44505</v>
      </c>
      <c r="N10956" t="s">
        <v>47304</v>
      </c>
      <c r="O10956" t="s">
        <v>47305</v>
      </c>
      <c r="P10956">
        <v>0</v>
      </c>
      <c r="Q10956">
        <v>1</v>
      </c>
      <c r="R10956" t="s">
        <v>47314</v>
      </c>
      <c r="S10956" t="s">
        <v>47596</v>
      </c>
      <c r="T10956" t="s">
        <v>49257</v>
      </c>
      <c r="U10956" t="s">
        <v>58588</v>
      </c>
      <c r="V10956" t="s">
        <v>63808</v>
      </c>
      <c r="W10956" t="s">
        <v>44505</v>
      </c>
      <c r="X10956" t="s">
        <v>47315</v>
      </c>
    </row>
    <row r="10957" spans="1:24">
      <c r="A10957">
        <f>HYPERLINK("https://www.philgeps.gov.ph/GEPSNONPILOT/Tender/SplashBidNoticeAbstractUI.aspx?menuIndex=3&amp;refID=7182917&amp;Result=3","7182917")</f>
        <v>0</v>
      </c>
      <c r="B10957" t="s">
        <v>3219</v>
      </c>
      <c r="C10957" t="s">
        <v>14199</v>
      </c>
      <c r="D10957" t="s">
        <v>19007</v>
      </c>
      <c r="E10957" t="s">
        <v>28420</v>
      </c>
      <c r="F10957" t="s">
        <v>32606</v>
      </c>
      <c r="G10957" t="s">
        <v>32613</v>
      </c>
      <c r="H10957" t="s">
        <v>32623</v>
      </c>
      <c r="I10957" t="s">
        <v>17648</v>
      </c>
      <c r="J10957" t="s">
        <v>39579</v>
      </c>
      <c r="K10957" t="s">
        <v>42725</v>
      </c>
      <c r="M10957" t="s">
        <v>46445</v>
      </c>
      <c r="N10957" t="s">
        <v>47304</v>
      </c>
      <c r="O10957" t="s">
        <v>47305</v>
      </c>
      <c r="P10957">
        <v>0</v>
      </c>
      <c r="Q10957">
        <v>1</v>
      </c>
      <c r="R10957" t="s">
        <v>47314</v>
      </c>
      <c r="S10957" t="s">
        <v>47596</v>
      </c>
      <c r="T10957" t="s">
        <v>49140</v>
      </c>
      <c r="U10957" t="s">
        <v>58589</v>
      </c>
      <c r="W10957" t="s">
        <v>46445</v>
      </c>
      <c r="X10957" t="s">
        <v>47315</v>
      </c>
    </row>
    <row r="10958" spans="1:24">
      <c r="A10958">
        <f>HYPERLINK("https://www.philgeps.gov.ph/GEPSNONPILOT/Tender/SplashBidNoticeAbstractUI.aspx?menuIndex=3&amp;refID=7182944&amp;Result=3","7182944")</f>
        <v>0</v>
      </c>
      <c r="B10958" t="s">
        <v>970</v>
      </c>
      <c r="C10958" t="s">
        <v>14200</v>
      </c>
      <c r="D10958" t="s">
        <v>18990</v>
      </c>
      <c r="E10958" t="s">
        <v>28421</v>
      </c>
      <c r="F10958" t="s">
        <v>32606</v>
      </c>
      <c r="G10958" t="s">
        <v>32613</v>
      </c>
      <c r="H10958" t="s">
        <v>32623</v>
      </c>
      <c r="I10958" t="s">
        <v>17648</v>
      </c>
      <c r="J10958" t="s">
        <v>39580</v>
      </c>
      <c r="K10958" t="s">
        <v>42852</v>
      </c>
      <c r="M10958" t="s">
        <v>43916</v>
      </c>
      <c r="N10958" t="s">
        <v>47304</v>
      </c>
      <c r="O10958" t="s">
        <v>47305</v>
      </c>
      <c r="P10958">
        <v>0</v>
      </c>
      <c r="Q10958">
        <v>1</v>
      </c>
      <c r="R10958" t="s">
        <v>47314</v>
      </c>
      <c r="S10958" t="s">
        <v>47596</v>
      </c>
      <c r="T10958" t="s">
        <v>49040</v>
      </c>
      <c r="U10958" t="s">
        <v>58590</v>
      </c>
      <c r="W10958" t="s">
        <v>43916</v>
      </c>
      <c r="X10958" t="s">
        <v>47315</v>
      </c>
    </row>
    <row r="10959" spans="1:24">
      <c r="A10959">
        <f>HYPERLINK("https://www.philgeps.gov.ph/GEPSNONPILOT/Tender/SplashBidNoticeAbstractUI.aspx?menuIndex=3&amp;refID=7182914&amp;Result=3","7182914")</f>
        <v>0</v>
      </c>
      <c r="B10959" t="s">
        <v>1529</v>
      </c>
      <c r="C10959" t="s">
        <v>10134</v>
      </c>
      <c r="D10959" t="s">
        <v>18993</v>
      </c>
      <c r="E10959" t="s">
        <v>28422</v>
      </c>
      <c r="F10959" t="s">
        <v>32606</v>
      </c>
      <c r="G10959" t="s">
        <v>32614</v>
      </c>
      <c r="H10959" t="s">
        <v>14201</v>
      </c>
      <c r="I10959" t="s">
        <v>32634</v>
      </c>
      <c r="J10959" t="s">
        <v>39581</v>
      </c>
      <c r="K10959" t="s">
        <v>42623</v>
      </c>
      <c r="M10959" t="s">
        <v>44532</v>
      </c>
      <c r="N10959" t="s">
        <v>47304</v>
      </c>
      <c r="O10959" t="s">
        <v>47305</v>
      </c>
      <c r="P10959">
        <v>0</v>
      </c>
      <c r="Q10959">
        <v>12</v>
      </c>
      <c r="R10959" t="s">
        <v>47314</v>
      </c>
      <c r="S10959" t="s">
        <v>47596</v>
      </c>
      <c r="T10959" t="s">
        <v>49165</v>
      </c>
      <c r="U10959" t="s">
        <v>52911</v>
      </c>
      <c r="W10959" t="s">
        <v>44532</v>
      </c>
      <c r="X10959" t="s">
        <v>47315</v>
      </c>
    </row>
    <row r="10960" spans="1:24">
      <c r="A10960">
        <f>HYPERLINK("https://www.philgeps.gov.ph/GEPSNONPILOT/Tender/SplashBidNoticeAbstractUI.aspx?menuIndex=3&amp;refID=7182909&amp;Result=3","7182909")</f>
        <v>0</v>
      </c>
      <c r="B10960" t="s">
        <v>3227</v>
      </c>
      <c r="C10960" t="s">
        <v>14201</v>
      </c>
      <c r="D10960" t="s">
        <v>19023</v>
      </c>
      <c r="E10960" t="s">
        <v>19315</v>
      </c>
      <c r="F10960" t="s">
        <v>32606</v>
      </c>
      <c r="G10960" t="s">
        <v>32617</v>
      </c>
      <c r="H10960" t="s">
        <v>14201</v>
      </c>
      <c r="I10960" t="s">
        <v>4120</v>
      </c>
      <c r="J10960" t="s">
        <v>39582</v>
      </c>
      <c r="K10960" t="s">
        <v>42624</v>
      </c>
      <c r="M10960" t="s">
        <v>46454</v>
      </c>
      <c r="N10960" t="s">
        <v>47304</v>
      </c>
      <c r="O10960" t="s">
        <v>47305</v>
      </c>
      <c r="P10960">
        <v>0</v>
      </c>
      <c r="Q10960">
        <v>2</v>
      </c>
      <c r="R10960" t="s">
        <v>47314</v>
      </c>
      <c r="S10960" t="s">
        <v>47596</v>
      </c>
      <c r="T10960" t="s">
        <v>49453</v>
      </c>
      <c r="U10960" t="s">
        <v>58591</v>
      </c>
      <c r="W10960" t="s">
        <v>46454</v>
      </c>
      <c r="X10960" t="s">
        <v>47315</v>
      </c>
    </row>
    <row r="10961" spans="1:24">
      <c r="A10961">
        <f>HYPERLINK("https://www.philgeps.gov.ph/GEPSNONPILOT/Tender/SplashBidNoticeAbstractUI.aspx?menuIndex=3&amp;refID=7182933&amp;Result=3","7182933")</f>
        <v>0</v>
      </c>
      <c r="B10961" t="s">
        <v>651</v>
      </c>
      <c r="C10961" t="s">
        <v>14202</v>
      </c>
      <c r="D10961" t="s">
        <v>19060</v>
      </c>
      <c r="E10961" t="s">
        <v>24229</v>
      </c>
      <c r="F10961" t="s">
        <v>32606</v>
      </c>
      <c r="G10961" t="s">
        <v>32613</v>
      </c>
      <c r="H10961" t="s">
        <v>14201</v>
      </c>
      <c r="I10961" t="s">
        <v>7233</v>
      </c>
      <c r="J10961" t="s">
        <v>39583</v>
      </c>
      <c r="K10961" t="s">
        <v>42631</v>
      </c>
      <c r="M10961" t="s">
        <v>43570</v>
      </c>
      <c r="N10961" t="s">
        <v>47304</v>
      </c>
      <c r="O10961" t="s">
        <v>47305</v>
      </c>
      <c r="P10961">
        <v>0</v>
      </c>
      <c r="Q10961">
        <v>1</v>
      </c>
      <c r="R10961" t="s">
        <v>47314</v>
      </c>
      <c r="S10961" t="s">
        <v>47596</v>
      </c>
      <c r="T10961" t="s">
        <v>49148</v>
      </c>
      <c r="U10961" t="s">
        <v>58592</v>
      </c>
      <c r="W10961" t="s">
        <v>43570</v>
      </c>
      <c r="X10961" t="s">
        <v>47315</v>
      </c>
    </row>
    <row r="10962" spans="1:24">
      <c r="A10962">
        <f>HYPERLINK("https://www.philgeps.gov.ph/GEPSNONPILOT/Tender/SplashBidNoticeAbstractUI.aspx?menuIndex=3&amp;refID=7182906&amp;Result=3","7182906")</f>
        <v>0</v>
      </c>
      <c r="B10962" t="s">
        <v>197</v>
      </c>
      <c r="C10962" t="s">
        <v>14203</v>
      </c>
      <c r="D10962" t="s">
        <v>19027</v>
      </c>
      <c r="E10962" t="s">
        <v>26909</v>
      </c>
      <c r="F10962" t="s">
        <v>32607</v>
      </c>
      <c r="G10962" t="s">
        <v>32614</v>
      </c>
      <c r="H10962" t="s">
        <v>32624</v>
      </c>
      <c r="I10962" t="s">
        <v>32629</v>
      </c>
      <c r="J10962" t="s">
        <v>32885</v>
      </c>
      <c r="K10962" t="s">
        <v>42625</v>
      </c>
      <c r="M10962" t="s">
        <v>46455</v>
      </c>
      <c r="N10962" t="s">
        <v>47304</v>
      </c>
      <c r="O10962" t="s">
        <v>47305</v>
      </c>
      <c r="P10962">
        <v>0</v>
      </c>
      <c r="Q10962">
        <v>0</v>
      </c>
      <c r="R10962" t="s">
        <v>47314</v>
      </c>
      <c r="S10962" t="s">
        <v>47596</v>
      </c>
      <c r="T10962" t="s">
        <v>49072</v>
      </c>
      <c r="U10962" t="s">
        <v>58593</v>
      </c>
      <c r="W10962" t="s">
        <v>46455</v>
      </c>
      <c r="X10962" t="s">
        <v>47315</v>
      </c>
    </row>
    <row r="10963" spans="1:24">
      <c r="A10963">
        <f>HYPERLINK("https://www.philgeps.gov.ph/GEPSNONPILOT/Tender/SplashBidNoticeAbstractUI.aspx?menuIndex=3&amp;refID=7182904&amp;Result=3","7182904")</f>
        <v>0</v>
      </c>
      <c r="B10963" t="s">
        <v>3225</v>
      </c>
      <c r="C10963" t="s">
        <v>14204</v>
      </c>
      <c r="D10963" t="s">
        <v>19017</v>
      </c>
      <c r="E10963" t="s">
        <v>28423</v>
      </c>
      <c r="F10963" t="s">
        <v>32606</v>
      </c>
      <c r="G10963" t="s">
        <v>32613</v>
      </c>
      <c r="H10963" t="s">
        <v>14201</v>
      </c>
      <c r="I10963" t="s">
        <v>7677</v>
      </c>
      <c r="J10963" t="s">
        <v>39584</v>
      </c>
      <c r="K10963" t="s">
        <v>42631</v>
      </c>
      <c r="M10963" t="s">
        <v>46452</v>
      </c>
      <c r="N10963" t="s">
        <v>47304</v>
      </c>
      <c r="O10963" t="s">
        <v>47305</v>
      </c>
      <c r="P10963">
        <v>0</v>
      </c>
      <c r="Q10963">
        <v>4</v>
      </c>
      <c r="R10963" t="s">
        <v>47314</v>
      </c>
      <c r="S10963" t="s">
        <v>47596</v>
      </c>
      <c r="T10963" t="s">
        <v>49066</v>
      </c>
      <c r="U10963" t="s">
        <v>58594</v>
      </c>
      <c r="W10963" t="s">
        <v>46452</v>
      </c>
      <c r="X10963" t="s">
        <v>47315</v>
      </c>
    </row>
    <row r="10964" spans="1:24">
      <c r="A10964">
        <f>HYPERLINK("https://www.philgeps.gov.ph/GEPSNONPILOT/Tender/SplashBidNoticeAbstractUI.aspx?menuIndex=3&amp;refID=7182674&amp;Result=3","7182674")</f>
        <v>0</v>
      </c>
      <c r="B10964" t="s">
        <v>2809</v>
      </c>
      <c r="C10964" t="s">
        <v>14205</v>
      </c>
      <c r="D10964" t="s">
        <v>19004</v>
      </c>
      <c r="E10964" t="s">
        <v>22731</v>
      </c>
      <c r="F10964" t="s">
        <v>32606</v>
      </c>
      <c r="G10964" t="s">
        <v>32619</v>
      </c>
      <c r="H10964" t="s">
        <v>14201</v>
      </c>
      <c r="I10964" t="s">
        <v>4114</v>
      </c>
      <c r="J10964" t="s">
        <v>38301</v>
      </c>
      <c r="K10964" t="s">
        <v>42681</v>
      </c>
      <c r="M10964" t="s">
        <v>45972</v>
      </c>
      <c r="N10964" t="s">
        <v>47304</v>
      </c>
      <c r="O10964" t="s">
        <v>47305</v>
      </c>
      <c r="P10964">
        <v>0</v>
      </c>
      <c r="Q10964">
        <v>5</v>
      </c>
      <c r="R10964" t="s">
        <v>47314</v>
      </c>
      <c r="S10964" t="s">
        <v>47596</v>
      </c>
      <c r="T10964" t="s">
        <v>49330</v>
      </c>
      <c r="U10964" t="s">
        <v>56939</v>
      </c>
      <c r="W10964" t="s">
        <v>45972</v>
      </c>
      <c r="X10964" t="s">
        <v>47315</v>
      </c>
    </row>
    <row r="10965" spans="1:24">
      <c r="A10965">
        <f>HYPERLINK("https://www.philgeps.gov.ph/GEPSNONPILOT/Tender/SplashBidNoticeAbstractUI.aspx?menuIndex=3&amp;refID=7182756&amp;Result=3","7182756")</f>
        <v>0</v>
      </c>
      <c r="B10965" t="s">
        <v>3228</v>
      </c>
      <c r="C10965" t="s">
        <v>14206</v>
      </c>
      <c r="D10965" t="s">
        <v>19006</v>
      </c>
      <c r="E10965" t="s">
        <v>28424</v>
      </c>
      <c r="F10965" t="s">
        <v>32606</v>
      </c>
      <c r="G10965" t="s">
        <v>32613</v>
      </c>
      <c r="H10965" t="s">
        <v>14201</v>
      </c>
      <c r="I10965" t="s">
        <v>6931</v>
      </c>
      <c r="J10965" t="s">
        <v>39585</v>
      </c>
      <c r="K10965" t="s">
        <v>42622</v>
      </c>
      <c r="M10965" t="s">
        <v>46456</v>
      </c>
      <c r="N10965" t="s">
        <v>47304</v>
      </c>
      <c r="O10965" t="s">
        <v>47305</v>
      </c>
      <c r="P10965">
        <v>0</v>
      </c>
      <c r="Q10965">
        <v>0</v>
      </c>
      <c r="R10965" t="s">
        <v>47314</v>
      </c>
      <c r="S10965" t="s">
        <v>47596</v>
      </c>
      <c r="T10965" t="s">
        <v>49059</v>
      </c>
      <c r="U10965" t="s">
        <v>58595</v>
      </c>
      <c r="W10965" t="s">
        <v>46456</v>
      </c>
      <c r="X10965" t="s">
        <v>47315</v>
      </c>
    </row>
    <row r="10966" spans="1:24">
      <c r="A10966">
        <f>HYPERLINK("https://www.philgeps.gov.ph/GEPSNONPILOT/Tender/SplashBidNoticeAbstractUI.aspx?menuIndex=3&amp;refID=7182743&amp;Result=3","7182743")</f>
        <v>0</v>
      </c>
      <c r="B10966" t="s">
        <v>3182</v>
      </c>
      <c r="C10966" t="s">
        <v>14207</v>
      </c>
      <c r="D10966" t="s">
        <v>19024</v>
      </c>
      <c r="E10966" t="s">
        <v>28276</v>
      </c>
      <c r="F10966" t="s">
        <v>32606</v>
      </c>
      <c r="G10966" t="s">
        <v>32613</v>
      </c>
      <c r="H10966" t="s">
        <v>14201</v>
      </c>
      <c r="I10966" t="s">
        <v>6298</v>
      </c>
      <c r="J10966" t="s">
        <v>39586</v>
      </c>
      <c r="K10966" t="s">
        <v>42624</v>
      </c>
      <c r="M10966" t="s">
        <v>46406</v>
      </c>
      <c r="N10966" t="s">
        <v>47304</v>
      </c>
      <c r="O10966" t="s">
        <v>47305</v>
      </c>
      <c r="P10966">
        <v>0</v>
      </c>
      <c r="Q10966">
        <v>1</v>
      </c>
      <c r="R10966" t="s">
        <v>47314</v>
      </c>
      <c r="S10966" t="s">
        <v>47596</v>
      </c>
      <c r="T10966" t="s">
        <v>49157</v>
      </c>
      <c r="U10966" t="s">
        <v>58409</v>
      </c>
      <c r="V10966" t="s">
        <v>63790</v>
      </c>
      <c r="W10966" t="s">
        <v>46406</v>
      </c>
      <c r="X10966" t="s">
        <v>47315</v>
      </c>
    </row>
    <row r="10967" spans="1:24">
      <c r="A10967">
        <f>HYPERLINK("https://www.philgeps.gov.ph/GEPSNONPILOT/Tender/SplashBidNoticeAbstractUI.aspx?menuIndex=3&amp;refID=7182927&amp;Result=3","7182927")</f>
        <v>0</v>
      </c>
      <c r="B10967" t="s">
        <v>984</v>
      </c>
      <c r="C10967" t="s">
        <v>14208</v>
      </c>
      <c r="D10967" t="s">
        <v>19039</v>
      </c>
      <c r="E10967" t="s">
        <v>28425</v>
      </c>
      <c r="F10967" t="s">
        <v>32606</v>
      </c>
      <c r="G10967" t="s">
        <v>32613</v>
      </c>
      <c r="H10967" t="s">
        <v>14201</v>
      </c>
      <c r="I10967" t="s">
        <v>32736</v>
      </c>
      <c r="J10967" t="s">
        <v>32765</v>
      </c>
      <c r="K10967" t="s">
        <v>42637</v>
      </c>
      <c r="L10967" t="s">
        <v>984</v>
      </c>
      <c r="M10967" t="s">
        <v>43930</v>
      </c>
      <c r="N10967" t="s">
        <v>47304</v>
      </c>
      <c r="O10967" t="s">
        <v>47305</v>
      </c>
      <c r="P10967">
        <v>0</v>
      </c>
      <c r="Q10967">
        <v>1</v>
      </c>
      <c r="R10967" t="s">
        <v>47314</v>
      </c>
      <c r="S10967" t="s">
        <v>47596</v>
      </c>
      <c r="T10967" t="s">
        <v>48992</v>
      </c>
      <c r="U10967" t="s">
        <v>58596</v>
      </c>
      <c r="W10967" t="s">
        <v>43930</v>
      </c>
      <c r="X10967" t="s">
        <v>47315</v>
      </c>
    </row>
    <row r="10968" spans="1:24">
      <c r="A10968">
        <f>HYPERLINK("https://www.philgeps.gov.ph/GEPSNONPILOT/Tender/SplashBidNoticeAbstractUI.aspx?menuIndex=3&amp;refID=7182645&amp;Result=3","7182645")</f>
        <v>0</v>
      </c>
      <c r="B10968" t="s">
        <v>2415</v>
      </c>
      <c r="C10968" t="s">
        <v>14209</v>
      </c>
      <c r="D10968" t="s">
        <v>19041</v>
      </c>
      <c r="E10968" t="s">
        <v>28426</v>
      </c>
      <c r="F10968" t="s">
        <v>32606</v>
      </c>
      <c r="G10968" t="s">
        <v>32613</v>
      </c>
      <c r="H10968" t="s">
        <v>14201</v>
      </c>
      <c r="I10968" t="s">
        <v>4114</v>
      </c>
      <c r="J10968" t="s">
        <v>39587</v>
      </c>
      <c r="K10968" t="s">
        <v>42630</v>
      </c>
      <c r="M10968" t="s">
        <v>45539</v>
      </c>
      <c r="N10968" t="s">
        <v>47304</v>
      </c>
      <c r="O10968" t="s">
        <v>47305</v>
      </c>
      <c r="P10968">
        <v>0</v>
      </c>
      <c r="Q10968">
        <v>4</v>
      </c>
      <c r="R10968" t="s">
        <v>47314</v>
      </c>
      <c r="S10968" t="s">
        <v>47596</v>
      </c>
      <c r="T10968" t="s">
        <v>49020</v>
      </c>
      <c r="U10968" t="s">
        <v>58597</v>
      </c>
      <c r="W10968" t="s">
        <v>45539</v>
      </c>
      <c r="X10968" t="s">
        <v>47315</v>
      </c>
    </row>
    <row r="10969" spans="1:24">
      <c r="A10969">
        <f>HYPERLINK("https://www.philgeps.gov.ph/GEPSNONPILOT/Tender/SplashBidNoticeAbstractUI.aspx?menuIndex=3&amp;refID=7182762&amp;Result=3","7182762")</f>
        <v>0</v>
      </c>
      <c r="B10969" t="s">
        <v>257</v>
      </c>
      <c r="C10969" t="s">
        <v>14210</v>
      </c>
      <c r="D10969" t="s">
        <v>19019</v>
      </c>
      <c r="E10969" t="s">
        <v>28427</v>
      </c>
      <c r="F10969" t="s">
        <v>32606</v>
      </c>
      <c r="G10969" t="s">
        <v>32613</v>
      </c>
      <c r="H10969" t="s">
        <v>32623</v>
      </c>
      <c r="I10969" t="s">
        <v>17648</v>
      </c>
      <c r="J10969" t="s">
        <v>39588</v>
      </c>
      <c r="K10969" t="s">
        <v>42648</v>
      </c>
      <c r="M10969" t="s">
        <v>43158</v>
      </c>
      <c r="N10969" t="s">
        <v>47304</v>
      </c>
      <c r="O10969" t="s">
        <v>47305</v>
      </c>
      <c r="P10969">
        <v>0</v>
      </c>
      <c r="Q10969">
        <v>0</v>
      </c>
      <c r="R10969" t="s">
        <v>47314</v>
      </c>
      <c r="S10969" t="s">
        <v>47596</v>
      </c>
      <c r="T10969" t="s">
        <v>49140</v>
      </c>
      <c r="U10969" t="s">
        <v>58598</v>
      </c>
      <c r="W10969" t="s">
        <v>43158</v>
      </c>
      <c r="X10969" t="s">
        <v>47315</v>
      </c>
    </row>
    <row r="10970" spans="1:24">
      <c r="A10970">
        <f>HYPERLINK("https://www.philgeps.gov.ph/GEPSNONPILOT/Tender/SplashBidNoticeAbstractUI.aspx?menuIndex=3&amp;refID=7182765&amp;Result=3","7182765")</f>
        <v>0</v>
      </c>
      <c r="B10970" t="s">
        <v>3171</v>
      </c>
      <c r="C10970" t="s">
        <v>14211</v>
      </c>
      <c r="D10970" t="s">
        <v>18988</v>
      </c>
      <c r="E10970" t="s">
        <v>28428</v>
      </c>
      <c r="F10970" t="s">
        <v>32606</v>
      </c>
      <c r="G10970" t="s">
        <v>32613</v>
      </c>
      <c r="H10970" t="s">
        <v>14201</v>
      </c>
      <c r="I10970" t="s">
        <v>17648</v>
      </c>
      <c r="J10970" t="s">
        <v>34591</v>
      </c>
      <c r="K10970" t="s">
        <v>42623</v>
      </c>
      <c r="M10970" t="s">
        <v>46392</v>
      </c>
      <c r="N10970" t="s">
        <v>47304</v>
      </c>
      <c r="O10970" t="s">
        <v>47305</v>
      </c>
      <c r="P10970">
        <v>0</v>
      </c>
      <c r="Q10970">
        <v>1</v>
      </c>
      <c r="R10970" t="s">
        <v>47314</v>
      </c>
      <c r="S10970" t="s">
        <v>47596</v>
      </c>
      <c r="T10970" t="s">
        <v>48970</v>
      </c>
      <c r="U10970" t="s">
        <v>58599</v>
      </c>
      <c r="W10970" t="s">
        <v>46392</v>
      </c>
      <c r="X10970" t="s">
        <v>47315</v>
      </c>
    </row>
    <row r="10971" spans="1:24">
      <c r="A10971">
        <f>HYPERLINK("https://www.philgeps.gov.ph/GEPSNONPILOT/Tender/SplashBidNoticeAbstractUI.aspx?menuIndex=3&amp;refID=7182999&amp;Result=3","7182999")</f>
        <v>0</v>
      </c>
      <c r="B10971" t="s">
        <v>644</v>
      </c>
      <c r="C10971" t="s">
        <v>14212</v>
      </c>
      <c r="D10971" t="s">
        <v>19022</v>
      </c>
      <c r="E10971" t="s">
        <v>14212</v>
      </c>
      <c r="F10971" t="s">
        <v>32606</v>
      </c>
      <c r="G10971" t="s">
        <v>32613</v>
      </c>
      <c r="H10971" t="s">
        <v>32623</v>
      </c>
      <c r="I10971" t="s">
        <v>32683</v>
      </c>
      <c r="J10971" t="s">
        <v>39589</v>
      </c>
      <c r="K10971" t="s">
        <v>42624</v>
      </c>
      <c r="M10971" t="s">
        <v>46457</v>
      </c>
      <c r="N10971" t="s">
        <v>47304</v>
      </c>
      <c r="O10971" t="s">
        <v>47305</v>
      </c>
      <c r="P10971">
        <v>0</v>
      </c>
      <c r="Q10971">
        <v>3</v>
      </c>
      <c r="R10971" t="s">
        <v>47314</v>
      </c>
      <c r="S10971" t="s">
        <v>47596</v>
      </c>
      <c r="T10971" t="s">
        <v>49119</v>
      </c>
      <c r="U10971" t="s">
        <v>58600</v>
      </c>
      <c r="W10971" t="s">
        <v>46457</v>
      </c>
      <c r="X10971" t="s">
        <v>47315</v>
      </c>
    </row>
    <row r="10972" spans="1:24">
      <c r="A10972">
        <f>HYPERLINK("https://www.philgeps.gov.ph/GEPSNONPILOT/Tender/SplashBidNoticeAbstractUI.aspx?menuIndex=3&amp;refID=7182964&amp;Result=3","7182964")</f>
        <v>0</v>
      </c>
      <c r="B10972" t="s">
        <v>1058</v>
      </c>
      <c r="C10972" t="s">
        <v>14213</v>
      </c>
      <c r="D10972" t="s">
        <v>19039</v>
      </c>
      <c r="E10972" t="s">
        <v>28429</v>
      </c>
      <c r="F10972" t="s">
        <v>32606</v>
      </c>
      <c r="G10972" t="s">
        <v>32613</v>
      </c>
      <c r="H10972" t="s">
        <v>14201</v>
      </c>
      <c r="I10972" t="s">
        <v>4114</v>
      </c>
      <c r="J10972" t="s">
        <v>39590</v>
      </c>
      <c r="K10972" t="s">
        <v>42636</v>
      </c>
      <c r="M10972" t="s">
        <v>44011</v>
      </c>
      <c r="N10972" t="s">
        <v>47304</v>
      </c>
      <c r="O10972" t="s">
        <v>47305</v>
      </c>
      <c r="P10972">
        <v>0</v>
      </c>
      <c r="Q10972">
        <v>2</v>
      </c>
      <c r="R10972" t="s">
        <v>47314</v>
      </c>
      <c r="S10972" t="s">
        <v>47596</v>
      </c>
      <c r="T10972" t="s">
        <v>49040</v>
      </c>
      <c r="U10972" t="s">
        <v>51723</v>
      </c>
      <c r="W10972" t="s">
        <v>44011</v>
      </c>
      <c r="X10972" t="s">
        <v>47315</v>
      </c>
    </row>
    <row r="10973" spans="1:24">
      <c r="A10973">
        <f>HYPERLINK("https://www.philgeps.gov.ph/GEPSNONPILOT/Tender/SplashBidNoticeAbstractUI.aspx?menuIndex=3&amp;refID=7182920&amp;Result=3","7182920")</f>
        <v>0</v>
      </c>
      <c r="B10973" t="s">
        <v>778</v>
      </c>
      <c r="C10973" t="s">
        <v>14214</v>
      </c>
      <c r="D10973" t="s">
        <v>19012</v>
      </c>
      <c r="E10973" t="s">
        <v>19405</v>
      </c>
      <c r="F10973" t="s">
        <v>32606</v>
      </c>
      <c r="G10973" t="s">
        <v>32613</v>
      </c>
      <c r="H10973" t="s">
        <v>32623</v>
      </c>
      <c r="I10973" t="s">
        <v>17648</v>
      </c>
      <c r="J10973" t="s">
        <v>39591</v>
      </c>
      <c r="K10973" t="s">
        <v>42636</v>
      </c>
      <c r="M10973" t="s">
        <v>43708</v>
      </c>
      <c r="N10973" t="s">
        <v>47304</v>
      </c>
      <c r="O10973" t="s">
        <v>47305</v>
      </c>
      <c r="P10973">
        <v>0</v>
      </c>
      <c r="Q10973">
        <v>1</v>
      </c>
      <c r="R10973" t="s">
        <v>47314</v>
      </c>
      <c r="S10973" t="s">
        <v>47596</v>
      </c>
      <c r="T10973" t="s">
        <v>49020</v>
      </c>
      <c r="U10973" t="s">
        <v>58601</v>
      </c>
      <c r="W10973" t="s">
        <v>43708</v>
      </c>
      <c r="X10973" t="s">
        <v>47315</v>
      </c>
    </row>
    <row r="10974" spans="1:24">
      <c r="A10974">
        <f>HYPERLINK("https://www.philgeps.gov.ph/GEPSNONPILOT/Tender/SplashBidNoticeAbstractUI.aspx?menuIndex=3&amp;refID=7183039&amp;Result=3","7183039")</f>
        <v>0</v>
      </c>
      <c r="B10974" t="s">
        <v>778</v>
      </c>
      <c r="C10974" t="s">
        <v>14215</v>
      </c>
      <c r="D10974" t="s">
        <v>19012</v>
      </c>
      <c r="E10974" t="s">
        <v>28430</v>
      </c>
      <c r="F10974" t="s">
        <v>32606</v>
      </c>
      <c r="G10974" t="s">
        <v>32613</v>
      </c>
      <c r="H10974" t="s">
        <v>14201</v>
      </c>
      <c r="I10974" t="s">
        <v>6298</v>
      </c>
      <c r="J10974" t="s">
        <v>32981</v>
      </c>
      <c r="K10974" t="s">
        <v>42623</v>
      </c>
      <c r="M10974" t="s">
        <v>43708</v>
      </c>
      <c r="N10974" t="s">
        <v>47304</v>
      </c>
      <c r="O10974" t="s">
        <v>47305</v>
      </c>
      <c r="P10974">
        <v>0</v>
      </c>
      <c r="Q10974">
        <v>2</v>
      </c>
      <c r="R10974" t="s">
        <v>47314</v>
      </c>
      <c r="S10974" t="s">
        <v>47596</v>
      </c>
      <c r="T10974" t="s">
        <v>49020</v>
      </c>
      <c r="U10974" t="s">
        <v>58602</v>
      </c>
      <c r="W10974" t="s">
        <v>43708</v>
      </c>
      <c r="X10974" t="s">
        <v>47315</v>
      </c>
    </row>
    <row r="10975" spans="1:24">
      <c r="A10975">
        <f>HYPERLINK("https://www.philgeps.gov.ph/GEPSNONPILOT/Tender/SplashBidNoticeAbstractUI.aspx?menuIndex=3&amp;refID=7183029&amp;Result=3","7183029")</f>
        <v>0</v>
      </c>
      <c r="B10975" t="s">
        <v>970</v>
      </c>
      <c r="C10975" t="s">
        <v>14216</v>
      </c>
      <c r="D10975" t="s">
        <v>18990</v>
      </c>
      <c r="E10975" t="s">
        <v>28431</v>
      </c>
      <c r="F10975" t="s">
        <v>32606</v>
      </c>
      <c r="G10975" t="s">
        <v>32613</v>
      </c>
      <c r="H10975" t="s">
        <v>32623</v>
      </c>
      <c r="I10975" t="s">
        <v>17648</v>
      </c>
      <c r="J10975" t="s">
        <v>39592</v>
      </c>
      <c r="K10975" t="s">
        <v>42694</v>
      </c>
      <c r="M10975" t="s">
        <v>43916</v>
      </c>
      <c r="N10975" t="s">
        <v>47304</v>
      </c>
      <c r="O10975" t="s">
        <v>47305</v>
      </c>
      <c r="P10975">
        <v>0</v>
      </c>
      <c r="Q10975">
        <v>0</v>
      </c>
      <c r="R10975" t="s">
        <v>47314</v>
      </c>
      <c r="S10975" t="s">
        <v>47596</v>
      </c>
      <c r="T10975" t="s">
        <v>49040</v>
      </c>
      <c r="U10975" t="s">
        <v>58603</v>
      </c>
      <c r="W10975" t="s">
        <v>43916</v>
      </c>
      <c r="X10975" t="s">
        <v>47315</v>
      </c>
    </row>
    <row r="10976" spans="1:24">
      <c r="A10976">
        <f>HYPERLINK("https://www.philgeps.gov.ph/GEPSNONPILOT/Tender/SplashBidNoticeAbstractUI.aspx?menuIndex=3&amp;refID=7183025&amp;Result=3","7183025")</f>
        <v>0</v>
      </c>
      <c r="B10976" t="s">
        <v>897</v>
      </c>
      <c r="C10976" t="s">
        <v>14217</v>
      </c>
      <c r="D10976" t="s">
        <v>19067</v>
      </c>
      <c r="E10976" t="s">
        <v>28432</v>
      </c>
      <c r="F10976" t="s">
        <v>32606</v>
      </c>
      <c r="G10976" t="s">
        <v>32615</v>
      </c>
      <c r="H10976" t="s">
        <v>14201</v>
      </c>
      <c r="I10976" t="s">
        <v>13131</v>
      </c>
      <c r="J10976" t="s">
        <v>39593</v>
      </c>
      <c r="K10976" t="s">
        <v>42631</v>
      </c>
      <c r="M10976" t="s">
        <v>43834</v>
      </c>
      <c r="N10976" t="s">
        <v>47304</v>
      </c>
      <c r="O10976" t="s">
        <v>47305</v>
      </c>
      <c r="P10976">
        <v>0</v>
      </c>
      <c r="Q10976">
        <v>10</v>
      </c>
      <c r="R10976" t="s">
        <v>47314</v>
      </c>
      <c r="S10976" t="s">
        <v>47596</v>
      </c>
      <c r="T10976" t="s">
        <v>49165</v>
      </c>
      <c r="U10976" t="s">
        <v>58604</v>
      </c>
      <c r="W10976" t="s">
        <v>43834</v>
      </c>
      <c r="X10976" t="s">
        <v>47315</v>
      </c>
    </row>
    <row r="10977" spans="1:24">
      <c r="A10977">
        <f>HYPERLINK("https://www.philgeps.gov.ph/GEPSNONPILOT/Tender/SplashBidNoticeAbstractUI.aspx?menuIndex=3&amp;refID=7183026&amp;Result=3","7183026")</f>
        <v>0</v>
      </c>
      <c r="B10977" t="s">
        <v>2414</v>
      </c>
      <c r="C10977" t="s">
        <v>14218</v>
      </c>
      <c r="D10977" t="s">
        <v>19058</v>
      </c>
      <c r="E10977" t="s">
        <v>28433</v>
      </c>
      <c r="F10977" t="s">
        <v>32606</v>
      </c>
      <c r="G10977" t="s">
        <v>32614</v>
      </c>
      <c r="H10977" t="s">
        <v>14201</v>
      </c>
      <c r="I10977" t="s">
        <v>6298</v>
      </c>
      <c r="J10977" t="s">
        <v>39594</v>
      </c>
      <c r="K10977" t="s">
        <v>42636</v>
      </c>
      <c r="M10977" t="s">
        <v>46458</v>
      </c>
      <c r="N10977" t="s">
        <v>47304</v>
      </c>
      <c r="O10977" t="s">
        <v>47305</v>
      </c>
      <c r="P10977">
        <v>0</v>
      </c>
      <c r="Q10977">
        <v>15</v>
      </c>
      <c r="R10977" t="s">
        <v>47314</v>
      </c>
      <c r="S10977" t="s">
        <v>47596</v>
      </c>
      <c r="T10977" t="s">
        <v>49068</v>
      </c>
      <c r="U10977" t="s">
        <v>58605</v>
      </c>
      <c r="W10977" t="s">
        <v>46458</v>
      </c>
      <c r="X10977" t="s">
        <v>47315</v>
      </c>
    </row>
    <row r="10978" spans="1:24">
      <c r="A10978">
        <f>HYPERLINK("https://www.philgeps.gov.ph/GEPSNONPILOT/Tender/SplashBidNoticeAbstractUI.aspx?menuIndex=3&amp;refID=7183017&amp;Result=3","7183017")</f>
        <v>0</v>
      </c>
      <c r="B10978" t="s">
        <v>3229</v>
      </c>
      <c r="C10978" t="s">
        <v>14219</v>
      </c>
      <c r="D10978" t="s">
        <v>19018</v>
      </c>
      <c r="E10978" t="s">
        <v>28434</v>
      </c>
      <c r="F10978" t="s">
        <v>32606</v>
      </c>
      <c r="G10978" t="s">
        <v>32613</v>
      </c>
      <c r="H10978" t="s">
        <v>14201</v>
      </c>
      <c r="I10978" t="s">
        <v>4120</v>
      </c>
      <c r="J10978" t="s">
        <v>39595</v>
      </c>
      <c r="K10978" t="s">
        <v>42631</v>
      </c>
      <c r="M10978" t="s">
        <v>46459</v>
      </c>
      <c r="N10978" t="s">
        <v>47304</v>
      </c>
      <c r="O10978" t="s">
        <v>47305</v>
      </c>
      <c r="P10978">
        <v>0</v>
      </c>
      <c r="Q10978">
        <v>3</v>
      </c>
      <c r="R10978" t="s">
        <v>47314</v>
      </c>
      <c r="S10978" t="s">
        <v>47596</v>
      </c>
      <c r="T10978" t="s">
        <v>49052</v>
      </c>
      <c r="U10978" t="s">
        <v>58606</v>
      </c>
      <c r="W10978" t="s">
        <v>46459</v>
      </c>
      <c r="X10978" t="s">
        <v>47315</v>
      </c>
    </row>
    <row r="10979" spans="1:24">
      <c r="A10979">
        <f>HYPERLINK("https://www.philgeps.gov.ph/GEPSNONPILOT/Tender/SplashBidNoticeAbstractUI.aspx?menuIndex=3&amp;refID=7183016&amp;Result=3","7183016")</f>
        <v>0</v>
      </c>
      <c r="B10979" t="s">
        <v>828</v>
      </c>
      <c r="C10979" t="s">
        <v>14220</v>
      </c>
      <c r="D10979" t="s">
        <v>19030</v>
      </c>
      <c r="E10979" t="s">
        <v>28435</v>
      </c>
      <c r="F10979" t="s">
        <v>32606</v>
      </c>
      <c r="G10979" t="s">
        <v>32613</v>
      </c>
      <c r="H10979" t="s">
        <v>14201</v>
      </c>
      <c r="I10979" t="s">
        <v>4114</v>
      </c>
      <c r="J10979" t="s">
        <v>39596</v>
      </c>
      <c r="K10979" t="s">
        <v>42630</v>
      </c>
      <c r="M10979" t="s">
        <v>43759</v>
      </c>
      <c r="N10979" t="s">
        <v>47304</v>
      </c>
      <c r="O10979" t="s">
        <v>47305</v>
      </c>
      <c r="P10979">
        <v>0</v>
      </c>
      <c r="Q10979">
        <v>1</v>
      </c>
      <c r="R10979" t="s">
        <v>47314</v>
      </c>
      <c r="S10979" t="s">
        <v>47596</v>
      </c>
      <c r="T10979" t="s">
        <v>49020</v>
      </c>
      <c r="U10979" t="s">
        <v>58607</v>
      </c>
      <c r="V10979" t="s">
        <v>63809</v>
      </c>
      <c r="W10979" t="s">
        <v>43759</v>
      </c>
      <c r="X10979" t="s">
        <v>47315</v>
      </c>
    </row>
    <row r="10980" spans="1:24">
      <c r="A10980">
        <f>HYPERLINK("https://www.philgeps.gov.ph/GEPSNONPILOT/Tender/SplashBidNoticeAbstractUI.aspx?menuIndex=3&amp;refID=7183014&amp;Result=3","7183014")</f>
        <v>0</v>
      </c>
      <c r="B10980" t="s">
        <v>3219</v>
      </c>
      <c r="C10980" t="s">
        <v>14221</v>
      </c>
      <c r="D10980" t="s">
        <v>19007</v>
      </c>
      <c r="E10980" t="s">
        <v>28436</v>
      </c>
      <c r="F10980" t="s">
        <v>32606</v>
      </c>
      <c r="G10980" t="s">
        <v>32613</v>
      </c>
      <c r="H10980" t="s">
        <v>32623</v>
      </c>
      <c r="I10980" t="s">
        <v>17648</v>
      </c>
      <c r="J10980" t="s">
        <v>39579</v>
      </c>
      <c r="K10980" t="s">
        <v>42725</v>
      </c>
      <c r="M10980" t="s">
        <v>46445</v>
      </c>
      <c r="N10980" t="s">
        <v>47304</v>
      </c>
      <c r="O10980" t="s">
        <v>47305</v>
      </c>
      <c r="P10980">
        <v>0</v>
      </c>
      <c r="Q10980">
        <v>2</v>
      </c>
      <c r="R10980" t="s">
        <v>47314</v>
      </c>
      <c r="S10980" t="s">
        <v>47596</v>
      </c>
      <c r="T10980" t="s">
        <v>49140</v>
      </c>
      <c r="U10980" t="s">
        <v>58589</v>
      </c>
      <c r="W10980" t="s">
        <v>46445</v>
      </c>
      <c r="X10980" t="s">
        <v>47315</v>
      </c>
    </row>
    <row r="10981" spans="1:24">
      <c r="A10981">
        <f>HYPERLINK("https://www.philgeps.gov.ph/GEPSNONPILOT/Tender/SplashBidNoticeAbstractUI.aspx?menuIndex=3&amp;refID=7183012&amp;Result=3","7183012")</f>
        <v>0</v>
      </c>
      <c r="B10981" t="s">
        <v>778</v>
      </c>
      <c r="C10981" t="s">
        <v>14222</v>
      </c>
      <c r="D10981" t="s">
        <v>19012</v>
      </c>
      <c r="E10981" t="s">
        <v>28437</v>
      </c>
      <c r="F10981" t="s">
        <v>32606</v>
      </c>
      <c r="G10981" t="s">
        <v>32613</v>
      </c>
      <c r="H10981" t="s">
        <v>14201</v>
      </c>
      <c r="I10981" t="s">
        <v>7577</v>
      </c>
      <c r="J10981" t="s">
        <v>33022</v>
      </c>
      <c r="K10981" t="s">
        <v>42623</v>
      </c>
      <c r="M10981" t="s">
        <v>43708</v>
      </c>
      <c r="N10981" t="s">
        <v>47304</v>
      </c>
      <c r="O10981" t="s">
        <v>47305</v>
      </c>
      <c r="P10981">
        <v>0</v>
      </c>
      <c r="Q10981">
        <v>2</v>
      </c>
      <c r="R10981" t="s">
        <v>47314</v>
      </c>
      <c r="S10981" t="s">
        <v>47596</v>
      </c>
      <c r="T10981" t="s">
        <v>49020</v>
      </c>
      <c r="U10981" t="s">
        <v>58608</v>
      </c>
      <c r="W10981" t="s">
        <v>43708</v>
      </c>
      <c r="X10981" t="s">
        <v>47315</v>
      </c>
    </row>
    <row r="10982" spans="1:24">
      <c r="A10982">
        <f>HYPERLINK("https://www.philgeps.gov.ph/GEPSNONPILOT/Tender/SplashBidNoticeAbstractUI.aspx?menuIndex=3&amp;refID=7183004&amp;Result=3","7183004")</f>
        <v>0</v>
      </c>
      <c r="B10982" t="s">
        <v>970</v>
      </c>
      <c r="C10982" t="s">
        <v>14223</v>
      </c>
      <c r="D10982" t="s">
        <v>18990</v>
      </c>
      <c r="E10982" t="s">
        <v>28438</v>
      </c>
      <c r="F10982" t="s">
        <v>32606</v>
      </c>
      <c r="G10982" t="s">
        <v>32613</v>
      </c>
      <c r="H10982" t="s">
        <v>32623</v>
      </c>
      <c r="I10982" t="s">
        <v>17648</v>
      </c>
      <c r="J10982" t="s">
        <v>39597</v>
      </c>
      <c r="K10982" t="s">
        <v>42694</v>
      </c>
      <c r="M10982" t="s">
        <v>43916</v>
      </c>
      <c r="N10982" t="s">
        <v>47304</v>
      </c>
      <c r="O10982" t="s">
        <v>47305</v>
      </c>
      <c r="P10982">
        <v>0</v>
      </c>
      <c r="Q10982">
        <v>0</v>
      </c>
      <c r="R10982" t="s">
        <v>47314</v>
      </c>
      <c r="S10982" t="s">
        <v>47596</v>
      </c>
      <c r="T10982" t="s">
        <v>49040</v>
      </c>
      <c r="U10982" t="s">
        <v>58609</v>
      </c>
      <c r="W10982" t="s">
        <v>43916</v>
      </c>
      <c r="X10982" t="s">
        <v>47315</v>
      </c>
    </row>
    <row r="10983" spans="1:24">
      <c r="A10983">
        <f>HYPERLINK("https://www.philgeps.gov.ph/GEPSNONPILOT/Tender/SplashBidNoticeAbstractUI.aspx?menuIndex=3&amp;refID=7182593&amp;Result=3","7182593")</f>
        <v>0</v>
      </c>
      <c r="B10983" t="s">
        <v>1262</v>
      </c>
      <c r="C10983" t="s">
        <v>14224</v>
      </c>
      <c r="D10983" t="s">
        <v>19021</v>
      </c>
      <c r="E10983" t="s">
        <v>28439</v>
      </c>
      <c r="F10983" t="s">
        <v>32606</v>
      </c>
      <c r="G10983" t="s">
        <v>32613</v>
      </c>
      <c r="H10983" t="s">
        <v>32623</v>
      </c>
      <c r="I10983" t="s">
        <v>17648</v>
      </c>
      <c r="J10983" t="s">
        <v>38816</v>
      </c>
      <c r="K10983" t="s">
        <v>42645</v>
      </c>
      <c r="M10983" t="s">
        <v>44230</v>
      </c>
      <c r="N10983" t="s">
        <v>47304</v>
      </c>
      <c r="O10983" t="s">
        <v>47305</v>
      </c>
      <c r="P10983">
        <v>0</v>
      </c>
      <c r="Q10983">
        <v>6</v>
      </c>
      <c r="R10983" t="s">
        <v>47314</v>
      </c>
      <c r="S10983" t="s">
        <v>47596</v>
      </c>
      <c r="T10983" t="s">
        <v>49066</v>
      </c>
      <c r="U10983" t="s">
        <v>58610</v>
      </c>
      <c r="V10983" t="s">
        <v>63810</v>
      </c>
      <c r="W10983" t="s">
        <v>44230</v>
      </c>
      <c r="X10983" t="s">
        <v>47315</v>
      </c>
    </row>
    <row r="10984" spans="1:24">
      <c r="A10984">
        <f>HYPERLINK("https://www.philgeps.gov.ph/GEPSNONPILOT/Tender/SplashBidNoticeAbstractUI.aspx?menuIndex=3&amp;refID=7183028&amp;Result=3","7183028")</f>
        <v>0</v>
      </c>
      <c r="B10984" t="s">
        <v>3221</v>
      </c>
      <c r="C10984" t="s">
        <v>14225</v>
      </c>
      <c r="D10984" t="s">
        <v>19065</v>
      </c>
      <c r="E10984" t="s">
        <v>28440</v>
      </c>
      <c r="F10984" t="s">
        <v>32606</v>
      </c>
      <c r="G10984" t="s">
        <v>32613</v>
      </c>
      <c r="H10984" t="s">
        <v>32623</v>
      </c>
      <c r="I10984" t="s">
        <v>17648</v>
      </c>
      <c r="J10984" t="s">
        <v>39598</v>
      </c>
      <c r="K10984" t="s">
        <v>42636</v>
      </c>
      <c r="M10984" t="s">
        <v>46447</v>
      </c>
      <c r="N10984" t="s">
        <v>47304</v>
      </c>
      <c r="O10984" t="s">
        <v>47305</v>
      </c>
      <c r="P10984">
        <v>0</v>
      </c>
      <c r="Q10984">
        <v>0</v>
      </c>
      <c r="R10984" t="s">
        <v>47314</v>
      </c>
      <c r="S10984" t="s">
        <v>47596</v>
      </c>
      <c r="T10984" t="s">
        <v>49291</v>
      </c>
      <c r="U10984" t="s">
        <v>58611</v>
      </c>
      <c r="V10984" t="s">
        <v>63807</v>
      </c>
      <c r="W10984" t="s">
        <v>46447</v>
      </c>
      <c r="X10984" t="s">
        <v>47315</v>
      </c>
    </row>
    <row r="10985" spans="1:24">
      <c r="A10985">
        <f>HYPERLINK("https://www.philgeps.gov.ph/GEPSNONPILOT/Tender/SplashBidNoticeAbstractUI.aspx?menuIndex=3&amp;refID=7183041&amp;Result=3","7183041")</f>
        <v>0</v>
      </c>
      <c r="B10985" t="s">
        <v>970</v>
      </c>
      <c r="C10985" t="s">
        <v>14226</v>
      </c>
      <c r="D10985" t="s">
        <v>18990</v>
      </c>
      <c r="E10985" t="s">
        <v>28441</v>
      </c>
      <c r="F10985" t="s">
        <v>32606</v>
      </c>
      <c r="G10985" t="s">
        <v>32613</v>
      </c>
      <c r="H10985" t="s">
        <v>32623</v>
      </c>
      <c r="I10985" t="s">
        <v>17648</v>
      </c>
      <c r="J10985" t="s">
        <v>39599</v>
      </c>
      <c r="K10985" t="s">
        <v>42737</v>
      </c>
      <c r="M10985" t="s">
        <v>43916</v>
      </c>
      <c r="N10985" t="s">
        <v>47304</v>
      </c>
      <c r="O10985" t="s">
        <v>47305</v>
      </c>
      <c r="P10985">
        <v>0</v>
      </c>
      <c r="Q10985">
        <v>0</v>
      </c>
      <c r="R10985" t="s">
        <v>47314</v>
      </c>
      <c r="S10985" t="s">
        <v>47596</v>
      </c>
      <c r="T10985" t="s">
        <v>49040</v>
      </c>
      <c r="U10985" t="s">
        <v>58612</v>
      </c>
      <c r="W10985" t="s">
        <v>43916</v>
      </c>
      <c r="X10985" t="s">
        <v>47315</v>
      </c>
    </row>
    <row r="10986" spans="1:24">
      <c r="A10986">
        <f>HYPERLINK("https://www.philgeps.gov.ph/GEPSNONPILOT/Tender/SplashBidNoticeAbstractUI.aspx?menuIndex=3&amp;refID=7183113&amp;Result=3","7183113")</f>
        <v>0</v>
      </c>
      <c r="B10986" t="s">
        <v>3229</v>
      </c>
      <c r="C10986" t="s">
        <v>14227</v>
      </c>
      <c r="D10986" t="s">
        <v>19018</v>
      </c>
      <c r="E10986" t="s">
        <v>28442</v>
      </c>
      <c r="F10986" t="s">
        <v>32606</v>
      </c>
      <c r="G10986" t="s">
        <v>32613</v>
      </c>
      <c r="H10986" t="s">
        <v>14201</v>
      </c>
      <c r="I10986" t="s">
        <v>4120</v>
      </c>
      <c r="J10986" t="s">
        <v>39600</v>
      </c>
      <c r="K10986" t="s">
        <v>42631</v>
      </c>
      <c r="M10986" t="s">
        <v>46459</v>
      </c>
      <c r="N10986" t="s">
        <v>47304</v>
      </c>
      <c r="O10986" t="s">
        <v>47305</v>
      </c>
      <c r="P10986">
        <v>0</v>
      </c>
      <c r="Q10986">
        <v>1</v>
      </c>
      <c r="R10986" t="s">
        <v>47314</v>
      </c>
      <c r="S10986" t="s">
        <v>47596</v>
      </c>
      <c r="T10986" t="s">
        <v>49052</v>
      </c>
      <c r="U10986" t="s">
        <v>58606</v>
      </c>
      <c r="W10986" t="s">
        <v>46459</v>
      </c>
      <c r="X10986" t="s">
        <v>47315</v>
      </c>
    </row>
    <row r="10987" spans="1:24">
      <c r="A10987">
        <f>HYPERLINK("https://www.philgeps.gov.ph/GEPSNONPILOT/Tender/SplashBidNoticeAbstractUI.aspx?menuIndex=3&amp;refID=7182648&amp;Result=3","7182648")</f>
        <v>0</v>
      </c>
      <c r="B10987" t="s">
        <v>984</v>
      </c>
      <c r="C10987" t="s">
        <v>14228</v>
      </c>
      <c r="D10987" t="s">
        <v>19039</v>
      </c>
      <c r="E10987" t="s">
        <v>28443</v>
      </c>
      <c r="F10987" t="s">
        <v>32606</v>
      </c>
      <c r="G10987" t="s">
        <v>32613</v>
      </c>
      <c r="H10987" t="s">
        <v>14201</v>
      </c>
      <c r="I10987" t="s">
        <v>7064</v>
      </c>
      <c r="J10987" t="s">
        <v>34667</v>
      </c>
      <c r="K10987" t="s">
        <v>42648</v>
      </c>
      <c r="L10987" t="s">
        <v>984</v>
      </c>
      <c r="M10987" t="s">
        <v>43930</v>
      </c>
      <c r="N10987" t="s">
        <v>47304</v>
      </c>
      <c r="O10987" t="s">
        <v>47305</v>
      </c>
      <c r="P10987">
        <v>0</v>
      </c>
      <c r="Q10987">
        <v>1</v>
      </c>
      <c r="R10987" t="s">
        <v>47314</v>
      </c>
      <c r="S10987" t="s">
        <v>47596</v>
      </c>
      <c r="T10987" t="s">
        <v>48992</v>
      </c>
      <c r="U10987" t="s">
        <v>58613</v>
      </c>
      <c r="W10987" t="s">
        <v>43930</v>
      </c>
      <c r="X10987" t="s">
        <v>47315</v>
      </c>
    </row>
    <row r="10988" spans="1:24">
      <c r="A10988">
        <f>HYPERLINK("https://www.philgeps.gov.ph/GEPSNONPILOT/Tender/SplashBidNoticeAbstractUI.aspx?menuIndex=3&amp;refID=7182993&amp;Result=3","7182993")</f>
        <v>0</v>
      </c>
      <c r="B10988" t="s">
        <v>970</v>
      </c>
      <c r="C10988" t="s">
        <v>14229</v>
      </c>
      <c r="D10988" t="s">
        <v>18990</v>
      </c>
      <c r="E10988" t="s">
        <v>28444</v>
      </c>
      <c r="F10988" t="s">
        <v>32606</v>
      </c>
      <c r="G10988" t="s">
        <v>32613</v>
      </c>
      <c r="H10988" t="s">
        <v>32623</v>
      </c>
      <c r="I10988" t="s">
        <v>17648</v>
      </c>
      <c r="J10988" t="s">
        <v>39601</v>
      </c>
      <c r="K10988" t="s">
        <v>42828</v>
      </c>
      <c r="M10988" t="s">
        <v>43916</v>
      </c>
      <c r="N10988" t="s">
        <v>47304</v>
      </c>
      <c r="O10988" t="s">
        <v>47305</v>
      </c>
      <c r="P10988">
        <v>0</v>
      </c>
      <c r="Q10988">
        <v>1</v>
      </c>
      <c r="R10988" t="s">
        <v>47314</v>
      </c>
      <c r="S10988" t="s">
        <v>47596</v>
      </c>
      <c r="T10988" t="s">
        <v>49040</v>
      </c>
      <c r="U10988" t="s">
        <v>58614</v>
      </c>
      <c r="W10988" t="s">
        <v>43916</v>
      </c>
      <c r="X10988" t="s">
        <v>47315</v>
      </c>
    </row>
    <row r="10989" spans="1:24">
      <c r="A10989">
        <f>HYPERLINK("https://www.philgeps.gov.ph/GEPSNONPILOT/Tender/SplashBidNoticeAbstractUI.aspx?menuIndex=3&amp;refID=7183109&amp;Result=3","7183109")</f>
        <v>0</v>
      </c>
      <c r="B10989" t="s">
        <v>778</v>
      </c>
      <c r="C10989" t="s">
        <v>14230</v>
      </c>
      <c r="D10989" t="s">
        <v>19012</v>
      </c>
      <c r="E10989" t="s">
        <v>28445</v>
      </c>
      <c r="F10989" t="s">
        <v>32606</v>
      </c>
      <c r="G10989" t="s">
        <v>32615</v>
      </c>
      <c r="H10989" t="s">
        <v>14201</v>
      </c>
      <c r="I10989" t="s">
        <v>4120</v>
      </c>
      <c r="J10989" t="s">
        <v>39602</v>
      </c>
      <c r="K10989" t="s">
        <v>42623</v>
      </c>
      <c r="M10989" t="s">
        <v>43708</v>
      </c>
      <c r="N10989" t="s">
        <v>47304</v>
      </c>
      <c r="O10989" t="s">
        <v>47305</v>
      </c>
      <c r="P10989">
        <v>0</v>
      </c>
      <c r="Q10989">
        <v>4</v>
      </c>
      <c r="R10989" t="s">
        <v>47314</v>
      </c>
      <c r="S10989" t="s">
        <v>47596</v>
      </c>
      <c r="T10989" t="s">
        <v>49020</v>
      </c>
      <c r="U10989" t="s">
        <v>57295</v>
      </c>
      <c r="W10989" t="s">
        <v>43708</v>
      </c>
      <c r="X10989" t="s">
        <v>47315</v>
      </c>
    </row>
    <row r="10990" spans="1:24">
      <c r="A10990">
        <f>HYPERLINK("https://www.philgeps.gov.ph/GEPSNONPILOT/Tender/SplashBidNoticeAbstractUI.aspx?menuIndex=3&amp;refID=7183098&amp;Result=3","7183098")</f>
        <v>0</v>
      </c>
      <c r="B10990" t="s">
        <v>652</v>
      </c>
      <c r="C10990" t="s">
        <v>14231</v>
      </c>
      <c r="D10990" t="s">
        <v>18993</v>
      </c>
      <c r="E10990" t="s">
        <v>28446</v>
      </c>
      <c r="F10990" t="s">
        <v>32606</v>
      </c>
      <c r="G10990" t="s">
        <v>32613</v>
      </c>
      <c r="H10990" t="s">
        <v>14201</v>
      </c>
      <c r="I10990" t="s">
        <v>13131</v>
      </c>
      <c r="J10990" t="s">
        <v>39603</v>
      </c>
      <c r="K10990" t="s">
        <v>42694</v>
      </c>
      <c r="M10990" t="s">
        <v>46460</v>
      </c>
      <c r="N10990" t="s">
        <v>47304</v>
      </c>
      <c r="O10990" t="s">
        <v>47305</v>
      </c>
      <c r="P10990">
        <v>0</v>
      </c>
      <c r="Q10990">
        <v>24</v>
      </c>
      <c r="R10990" t="s">
        <v>47314</v>
      </c>
      <c r="S10990" t="s">
        <v>47596</v>
      </c>
      <c r="T10990" t="s">
        <v>48970</v>
      </c>
      <c r="U10990" t="s">
        <v>58615</v>
      </c>
      <c r="W10990" t="s">
        <v>46460</v>
      </c>
      <c r="X10990" t="s">
        <v>47315</v>
      </c>
    </row>
    <row r="10991" spans="1:24">
      <c r="A10991">
        <f>HYPERLINK("https://www.philgeps.gov.ph/GEPSNONPILOT/Tender/SplashBidNoticeAbstractUI.aspx?menuIndex=3&amp;refID=7183013&amp;Result=3","7183013")</f>
        <v>0</v>
      </c>
      <c r="B10991" t="s">
        <v>1658</v>
      </c>
      <c r="C10991" t="s">
        <v>14232</v>
      </c>
      <c r="D10991" t="s">
        <v>19023</v>
      </c>
      <c r="E10991" t="s">
        <v>28447</v>
      </c>
      <c r="F10991" t="s">
        <v>32607</v>
      </c>
      <c r="G10991" t="s">
        <v>32613</v>
      </c>
      <c r="H10991" t="s">
        <v>14201</v>
      </c>
      <c r="I10991" t="s">
        <v>4120</v>
      </c>
      <c r="J10991" t="s">
        <v>39604</v>
      </c>
      <c r="K10991" t="s">
        <v>42719</v>
      </c>
      <c r="M10991" t="s">
        <v>44683</v>
      </c>
      <c r="N10991" t="s">
        <v>47304</v>
      </c>
      <c r="O10991" t="s">
        <v>47305</v>
      </c>
      <c r="P10991">
        <v>0</v>
      </c>
      <c r="Q10991">
        <v>9</v>
      </c>
      <c r="R10991" t="s">
        <v>47314</v>
      </c>
      <c r="S10991" t="s">
        <v>47596</v>
      </c>
      <c r="T10991" t="s">
        <v>49036</v>
      </c>
      <c r="U10991" t="s">
        <v>58616</v>
      </c>
      <c r="W10991" t="s">
        <v>44683</v>
      </c>
      <c r="X10991" t="s">
        <v>47315</v>
      </c>
    </row>
    <row r="10992" spans="1:24">
      <c r="A10992">
        <f>HYPERLINK("https://www.philgeps.gov.ph/GEPSNONPILOT/Tender/SplashBidNoticeAbstractUI.aspx?menuIndex=3&amp;refID=7182666&amp;Result=3","7182666")</f>
        <v>0</v>
      </c>
      <c r="B10992" t="s">
        <v>1437</v>
      </c>
      <c r="C10992" t="s">
        <v>14233</v>
      </c>
      <c r="D10992" t="s">
        <v>18993</v>
      </c>
      <c r="E10992" t="s">
        <v>28448</v>
      </c>
      <c r="F10992" t="s">
        <v>32606</v>
      </c>
      <c r="G10992" t="s">
        <v>32613</v>
      </c>
      <c r="H10992" t="s">
        <v>14201</v>
      </c>
      <c r="I10992" t="s">
        <v>32655</v>
      </c>
      <c r="J10992" t="s">
        <v>33039</v>
      </c>
      <c r="K10992" t="s">
        <v>42636</v>
      </c>
      <c r="M10992" t="s">
        <v>44909</v>
      </c>
      <c r="N10992" t="s">
        <v>47304</v>
      </c>
      <c r="O10992" t="s">
        <v>47305</v>
      </c>
      <c r="P10992">
        <v>0</v>
      </c>
      <c r="Q10992">
        <v>25</v>
      </c>
      <c r="R10992" t="s">
        <v>47314</v>
      </c>
      <c r="S10992" t="s">
        <v>47596</v>
      </c>
      <c r="T10992" t="s">
        <v>48995</v>
      </c>
      <c r="U10992" t="s">
        <v>58617</v>
      </c>
      <c r="W10992" t="s">
        <v>44909</v>
      </c>
      <c r="X10992" t="s">
        <v>47315</v>
      </c>
    </row>
    <row r="10993" spans="1:24">
      <c r="A10993">
        <f>HYPERLINK("https://www.philgeps.gov.ph/GEPSNONPILOT/Tender/SplashBidNoticeAbstractUI.aspx?menuIndex=3&amp;refID=7183093&amp;Result=3","7183093")</f>
        <v>0</v>
      </c>
      <c r="B10993" t="s">
        <v>3229</v>
      </c>
      <c r="C10993" t="s">
        <v>14234</v>
      </c>
      <c r="D10993" t="s">
        <v>19018</v>
      </c>
      <c r="E10993" t="s">
        <v>28449</v>
      </c>
      <c r="F10993" t="s">
        <v>32606</v>
      </c>
      <c r="G10993" t="s">
        <v>32613</v>
      </c>
      <c r="H10993" t="s">
        <v>14201</v>
      </c>
      <c r="I10993" t="s">
        <v>4120</v>
      </c>
      <c r="J10993" t="s">
        <v>39605</v>
      </c>
      <c r="K10993" t="s">
        <v>42631</v>
      </c>
      <c r="M10993" t="s">
        <v>46459</v>
      </c>
      <c r="N10993" t="s">
        <v>47304</v>
      </c>
      <c r="O10993" t="s">
        <v>47305</v>
      </c>
      <c r="P10993">
        <v>0</v>
      </c>
      <c r="Q10993">
        <v>3</v>
      </c>
      <c r="R10993" t="s">
        <v>47314</v>
      </c>
      <c r="S10993" t="s">
        <v>47596</v>
      </c>
      <c r="T10993" t="s">
        <v>49052</v>
      </c>
      <c r="U10993" t="s">
        <v>58606</v>
      </c>
      <c r="W10993" t="s">
        <v>46459</v>
      </c>
      <c r="X10993" t="s">
        <v>47315</v>
      </c>
    </row>
    <row r="10994" spans="1:24">
      <c r="A10994">
        <f>HYPERLINK("https://www.philgeps.gov.ph/GEPSNONPILOT/Tender/SplashBidNoticeAbstractUI.aspx?menuIndex=3&amp;refID=7182913&amp;Result=3","7182913")</f>
        <v>0</v>
      </c>
      <c r="B10994" t="s">
        <v>1014</v>
      </c>
      <c r="C10994" t="s">
        <v>14235</v>
      </c>
      <c r="D10994" t="s">
        <v>19056</v>
      </c>
      <c r="E10994" t="s">
        <v>28450</v>
      </c>
      <c r="F10994" t="s">
        <v>32606</v>
      </c>
      <c r="G10994" t="s">
        <v>32614</v>
      </c>
      <c r="H10994" t="s">
        <v>14201</v>
      </c>
      <c r="I10994" t="s">
        <v>4112</v>
      </c>
      <c r="J10994" t="s">
        <v>32798</v>
      </c>
      <c r="K10994" t="s">
        <v>42646</v>
      </c>
      <c r="M10994" t="s">
        <v>46082</v>
      </c>
      <c r="N10994" t="s">
        <v>47304</v>
      </c>
      <c r="O10994" t="s">
        <v>47305</v>
      </c>
      <c r="Q10994">
        <v>1</v>
      </c>
      <c r="R10994" t="s">
        <v>47314</v>
      </c>
      <c r="S10994" t="s">
        <v>47652</v>
      </c>
      <c r="T10994" t="s">
        <v>49200</v>
      </c>
      <c r="U10994" t="s">
        <v>58618</v>
      </c>
      <c r="W10994" t="s">
        <v>46082</v>
      </c>
      <c r="X10994" t="s">
        <v>47315</v>
      </c>
    </row>
    <row r="10995" spans="1:24">
      <c r="A10995">
        <f>HYPERLINK("https://www.philgeps.gov.ph/GEPSNONPILOT/Tender/SplashBidNoticeAbstractUI.aspx?menuIndex=3&amp;refID=7183082&amp;Result=3","7183082")</f>
        <v>0</v>
      </c>
      <c r="B10995" t="s">
        <v>778</v>
      </c>
      <c r="C10995" t="s">
        <v>14236</v>
      </c>
      <c r="D10995" t="s">
        <v>19012</v>
      </c>
      <c r="E10995" t="s">
        <v>28451</v>
      </c>
      <c r="F10995" t="s">
        <v>32606</v>
      </c>
      <c r="G10995" t="s">
        <v>32613</v>
      </c>
      <c r="H10995" t="s">
        <v>14201</v>
      </c>
      <c r="I10995" t="s">
        <v>32629</v>
      </c>
      <c r="J10995" t="s">
        <v>39606</v>
      </c>
      <c r="K10995" t="s">
        <v>42623</v>
      </c>
      <c r="M10995" t="s">
        <v>43708</v>
      </c>
      <c r="N10995" t="s">
        <v>47304</v>
      </c>
      <c r="O10995" t="s">
        <v>47305</v>
      </c>
      <c r="P10995">
        <v>0</v>
      </c>
      <c r="Q10995">
        <v>0</v>
      </c>
      <c r="R10995" t="s">
        <v>47314</v>
      </c>
      <c r="S10995" t="s">
        <v>47596</v>
      </c>
      <c r="T10995" t="s">
        <v>49020</v>
      </c>
      <c r="U10995" t="s">
        <v>58619</v>
      </c>
      <c r="W10995" t="s">
        <v>43708</v>
      </c>
      <c r="X10995" t="s">
        <v>47315</v>
      </c>
    </row>
    <row r="10996" spans="1:24">
      <c r="A10996">
        <f>HYPERLINK("https://www.philgeps.gov.ph/GEPSNONPILOT/Tender/SplashBidNoticeAbstractUI.aspx?menuIndex=3&amp;refID=7183064&amp;Result=3","7183064")</f>
        <v>0</v>
      </c>
      <c r="B10996" t="s">
        <v>1058</v>
      </c>
      <c r="C10996" t="s">
        <v>14237</v>
      </c>
      <c r="D10996" t="s">
        <v>19039</v>
      </c>
      <c r="E10996" t="s">
        <v>28452</v>
      </c>
      <c r="F10996" t="s">
        <v>32606</v>
      </c>
      <c r="G10996" t="s">
        <v>32613</v>
      </c>
      <c r="H10996" t="s">
        <v>14201</v>
      </c>
      <c r="I10996" t="s">
        <v>32681</v>
      </c>
      <c r="J10996" t="s">
        <v>39607</v>
      </c>
      <c r="K10996" t="s">
        <v>42631</v>
      </c>
      <c r="M10996" t="s">
        <v>44011</v>
      </c>
      <c r="N10996" t="s">
        <v>47304</v>
      </c>
      <c r="O10996" t="s">
        <v>47305</v>
      </c>
      <c r="P10996">
        <v>0</v>
      </c>
      <c r="Q10996">
        <v>4</v>
      </c>
      <c r="R10996" t="s">
        <v>47314</v>
      </c>
      <c r="S10996" t="s">
        <v>47596</v>
      </c>
      <c r="T10996" t="s">
        <v>49068</v>
      </c>
      <c r="U10996" t="s">
        <v>51723</v>
      </c>
      <c r="W10996" t="s">
        <v>44011</v>
      </c>
      <c r="X10996" t="s">
        <v>47315</v>
      </c>
    </row>
    <row r="10997" spans="1:24">
      <c r="A10997">
        <f>HYPERLINK("https://www.philgeps.gov.ph/GEPSNONPILOT/Tender/SplashBidNoticeAbstractUI.aspx?menuIndex=3&amp;refID=7183104&amp;Result=3","7183104")</f>
        <v>0</v>
      </c>
      <c r="B10997" t="s">
        <v>3219</v>
      </c>
      <c r="C10997" t="s">
        <v>14238</v>
      </c>
      <c r="D10997" t="s">
        <v>19007</v>
      </c>
      <c r="E10997" t="s">
        <v>28453</v>
      </c>
      <c r="F10997" t="s">
        <v>32606</v>
      </c>
      <c r="G10997" t="s">
        <v>32613</v>
      </c>
      <c r="H10997" t="s">
        <v>32623</v>
      </c>
      <c r="I10997" t="s">
        <v>17648</v>
      </c>
      <c r="J10997" t="s">
        <v>39608</v>
      </c>
      <c r="K10997" t="s">
        <v>42683</v>
      </c>
      <c r="M10997" t="s">
        <v>46445</v>
      </c>
      <c r="N10997" t="s">
        <v>47304</v>
      </c>
      <c r="O10997" t="s">
        <v>47305</v>
      </c>
      <c r="P10997">
        <v>0</v>
      </c>
      <c r="Q10997">
        <v>1</v>
      </c>
      <c r="R10997" t="s">
        <v>47314</v>
      </c>
      <c r="S10997" t="s">
        <v>47596</v>
      </c>
      <c r="T10997" t="s">
        <v>49140</v>
      </c>
      <c r="U10997" t="s">
        <v>58620</v>
      </c>
      <c r="W10997" t="s">
        <v>46445</v>
      </c>
      <c r="X10997" t="s">
        <v>47315</v>
      </c>
    </row>
    <row r="10998" spans="1:24">
      <c r="A10998">
        <f>HYPERLINK("https://www.philgeps.gov.ph/GEPSNONPILOT/Tender/SplashBidNoticeAbstractUI.aspx?menuIndex=3&amp;refID=7183051&amp;Result=3","7183051")</f>
        <v>0</v>
      </c>
      <c r="B10998" t="s">
        <v>970</v>
      </c>
      <c r="C10998" t="s">
        <v>14239</v>
      </c>
      <c r="D10998" t="s">
        <v>18990</v>
      </c>
      <c r="E10998" t="s">
        <v>28454</v>
      </c>
      <c r="F10998" t="s">
        <v>32606</v>
      </c>
      <c r="G10998" t="s">
        <v>32613</v>
      </c>
      <c r="H10998" t="s">
        <v>32623</v>
      </c>
      <c r="I10998" t="s">
        <v>17648</v>
      </c>
      <c r="J10998" t="s">
        <v>39609</v>
      </c>
      <c r="K10998" t="s">
        <v>42694</v>
      </c>
      <c r="M10998" t="s">
        <v>43916</v>
      </c>
      <c r="N10998" t="s">
        <v>47304</v>
      </c>
      <c r="O10998" t="s">
        <v>47305</v>
      </c>
      <c r="P10998">
        <v>0</v>
      </c>
      <c r="Q10998">
        <v>0</v>
      </c>
      <c r="R10998" t="s">
        <v>47314</v>
      </c>
      <c r="S10998" t="s">
        <v>47596</v>
      </c>
      <c r="T10998" t="s">
        <v>49040</v>
      </c>
      <c r="U10998" t="s">
        <v>58621</v>
      </c>
      <c r="W10998" t="s">
        <v>43916</v>
      </c>
      <c r="X10998" t="s">
        <v>47315</v>
      </c>
    </row>
    <row r="10999" spans="1:24">
      <c r="A10999">
        <f>HYPERLINK("https://www.philgeps.gov.ph/GEPSNONPILOT/Tender/SplashBidNoticeAbstractUI.aspx?menuIndex=3&amp;refID=7183095&amp;Result=3","7183095")</f>
        <v>0</v>
      </c>
      <c r="B10999" t="s">
        <v>984</v>
      </c>
      <c r="C10999" t="s">
        <v>8446</v>
      </c>
      <c r="D10999" t="s">
        <v>19039</v>
      </c>
      <c r="E10999" t="s">
        <v>28455</v>
      </c>
      <c r="F10999" t="s">
        <v>32606</v>
      </c>
      <c r="G10999" t="s">
        <v>32614</v>
      </c>
      <c r="H10999" t="s">
        <v>14201</v>
      </c>
      <c r="I10999" t="s">
        <v>32629</v>
      </c>
      <c r="J10999" t="s">
        <v>39610</v>
      </c>
      <c r="K10999" t="s">
        <v>42625</v>
      </c>
      <c r="L10999" t="s">
        <v>984</v>
      </c>
      <c r="M10999" t="s">
        <v>43930</v>
      </c>
      <c r="N10999" t="s">
        <v>47304</v>
      </c>
      <c r="O10999" t="s">
        <v>47305</v>
      </c>
      <c r="P10999">
        <v>0</v>
      </c>
      <c r="Q10999">
        <v>0</v>
      </c>
      <c r="R10999" t="s">
        <v>47314</v>
      </c>
      <c r="S10999" t="s">
        <v>47596</v>
      </c>
      <c r="T10999" t="s">
        <v>49004</v>
      </c>
      <c r="U10999" t="s">
        <v>58622</v>
      </c>
      <c r="W10999" t="s">
        <v>43930</v>
      </c>
      <c r="X10999" t="s">
        <v>47315</v>
      </c>
    </row>
    <row r="11000" spans="1:24">
      <c r="A11000">
        <f>HYPERLINK("https://www.philgeps.gov.ph/GEPSNONPILOT/Tender/SplashBidNoticeAbstractUI.aspx?menuIndex=3&amp;refID=7183050&amp;Result=3","7183050")</f>
        <v>0</v>
      </c>
      <c r="B11000" t="s">
        <v>984</v>
      </c>
      <c r="C11000" t="s">
        <v>14240</v>
      </c>
      <c r="D11000" t="s">
        <v>19039</v>
      </c>
      <c r="E11000" t="s">
        <v>28456</v>
      </c>
      <c r="F11000" t="s">
        <v>32606</v>
      </c>
      <c r="G11000" t="s">
        <v>32613</v>
      </c>
      <c r="H11000" t="s">
        <v>14201</v>
      </c>
      <c r="I11000" t="s">
        <v>6993</v>
      </c>
      <c r="J11000" t="s">
        <v>32920</v>
      </c>
      <c r="K11000" t="s">
        <v>42623</v>
      </c>
      <c r="L11000" t="s">
        <v>984</v>
      </c>
      <c r="M11000" t="s">
        <v>43930</v>
      </c>
      <c r="N11000" t="s">
        <v>47304</v>
      </c>
      <c r="O11000" t="s">
        <v>47305</v>
      </c>
      <c r="P11000">
        <v>0</v>
      </c>
      <c r="Q11000">
        <v>0</v>
      </c>
      <c r="R11000" t="s">
        <v>47314</v>
      </c>
      <c r="S11000" t="s">
        <v>47596</v>
      </c>
      <c r="T11000" t="s">
        <v>48992</v>
      </c>
      <c r="U11000" t="s">
        <v>58623</v>
      </c>
      <c r="W11000" t="s">
        <v>43930</v>
      </c>
      <c r="X11000" t="s">
        <v>47315</v>
      </c>
    </row>
    <row r="11001" spans="1:24">
      <c r="A11001">
        <f>HYPERLINK("https://www.philgeps.gov.ph/GEPSNONPILOT/Tender/SplashBidNoticeAbstractUI.aspx?menuIndex=3&amp;refID=7183085&amp;Result=3","7183085")</f>
        <v>0</v>
      </c>
      <c r="B11001" t="s">
        <v>1014</v>
      </c>
      <c r="C11001" t="s">
        <v>14241</v>
      </c>
      <c r="D11001" t="s">
        <v>19056</v>
      </c>
      <c r="E11001" t="s">
        <v>28457</v>
      </c>
      <c r="F11001" t="s">
        <v>32606</v>
      </c>
      <c r="G11001" t="s">
        <v>32614</v>
      </c>
      <c r="H11001" t="s">
        <v>14201</v>
      </c>
      <c r="I11001" t="s">
        <v>4112</v>
      </c>
      <c r="J11001" t="s">
        <v>39611</v>
      </c>
      <c r="K11001" t="s">
        <v>42646</v>
      </c>
      <c r="M11001" t="s">
        <v>46082</v>
      </c>
      <c r="N11001" t="s">
        <v>47304</v>
      </c>
      <c r="O11001" t="s">
        <v>47305</v>
      </c>
      <c r="Q11001">
        <v>1</v>
      </c>
      <c r="R11001" t="s">
        <v>47314</v>
      </c>
      <c r="S11001" t="s">
        <v>47653</v>
      </c>
      <c r="T11001" t="s">
        <v>49200</v>
      </c>
      <c r="U11001" t="s">
        <v>58624</v>
      </c>
      <c r="W11001" t="s">
        <v>46082</v>
      </c>
      <c r="X11001" t="s">
        <v>47315</v>
      </c>
    </row>
    <row r="11002" spans="1:24">
      <c r="A11002">
        <f>HYPERLINK("https://www.philgeps.gov.ph/GEPSNONPILOT/Tender/SplashBidNoticeAbstractUI.aspx?menuIndex=3&amp;refID=7183058&amp;Result=3","7183058")</f>
        <v>0</v>
      </c>
      <c r="B11002" t="s">
        <v>2414</v>
      </c>
      <c r="C11002" t="s">
        <v>14242</v>
      </c>
      <c r="E11002" t="s">
        <v>28458</v>
      </c>
      <c r="F11002" t="s">
        <v>32606</v>
      </c>
      <c r="G11002" t="s">
        <v>32614</v>
      </c>
      <c r="H11002" t="s">
        <v>14201</v>
      </c>
      <c r="I11002" t="s">
        <v>6298</v>
      </c>
      <c r="J11002" t="s">
        <v>33246</v>
      </c>
      <c r="K11002" t="s">
        <v>42682</v>
      </c>
      <c r="M11002" t="s">
        <v>46458</v>
      </c>
      <c r="N11002" t="s">
        <v>47304</v>
      </c>
      <c r="O11002" t="s">
        <v>47305</v>
      </c>
      <c r="P11002">
        <v>0</v>
      </c>
      <c r="Q11002">
        <v>13</v>
      </c>
      <c r="R11002" t="s">
        <v>47314</v>
      </c>
      <c r="S11002" t="s">
        <v>47596</v>
      </c>
      <c r="T11002" t="s">
        <v>49068</v>
      </c>
      <c r="U11002" t="s">
        <v>58605</v>
      </c>
      <c r="W11002" t="s">
        <v>46458</v>
      </c>
      <c r="X11002" t="s">
        <v>47315</v>
      </c>
    </row>
    <row r="11003" spans="1:24">
      <c r="A11003">
        <f>HYPERLINK("https://www.philgeps.gov.ph/GEPSNONPILOT/Tender/SplashBidNoticeAbstractUI.aspx?menuIndex=3&amp;refID=7183157&amp;Result=3","7183157")</f>
        <v>0</v>
      </c>
      <c r="B11003" t="s">
        <v>1675</v>
      </c>
      <c r="C11003" t="s">
        <v>14243</v>
      </c>
      <c r="D11003" t="s">
        <v>19006</v>
      </c>
      <c r="E11003" t="s">
        <v>28459</v>
      </c>
      <c r="F11003" t="s">
        <v>32606</v>
      </c>
      <c r="G11003" t="s">
        <v>32613</v>
      </c>
      <c r="H11003" t="s">
        <v>14201</v>
      </c>
      <c r="I11003" t="s">
        <v>13131</v>
      </c>
      <c r="J11003" t="s">
        <v>39612</v>
      </c>
      <c r="K11003" t="s">
        <v>42639</v>
      </c>
      <c r="M11003" t="s">
        <v>45930</v>
      </c>
      <c r="N11003" t="s">
        <v>47304</v>
      </c>
      <c r="O11003" t="s">
        <v>47305</v>
      </c>
      <c r="P11003">
        <v>0</v>
      </c>
      <c r="Q11003">
        <v>23</v>
      </c>
      <c r="R11003" t="s">
        <v>47314</v>
      </c>
      <c r="S11003" t="s">
        <v>47596</v>
      </c>
      <c r="T11003" t="s">
        <v>49052</v>
      </c>
      <c r="U11003" t="s">
        <v>56807</v>
      </c>
      <c r="V11003" t="s">
        <v>63811</v>
      </c>
      <c r="W11003" t="s">
        <v>45930</v>
      </c>
      <c r="X11003" t="s">
        <v>47315</v>
      </c>
    </row>
    <row r="11004" spans="1:24">
      <c r="A11004">
        <f>HYPERLINK("https://www.philgeps.gov.ph/GEPSNONPILOT/Tender/SplashBidNoticeAbstractUI.aspx?menuIndex=3&amp;refID=7183153&amp;Result=3","7183153")</f>
        <v>0</v>
      </c>
      <c r="B11004" t="s">
        <v>799</v>
      </c>
      <c r="C11004" t="s">
        <v>14244</v>
      </c>
      <c r="E11004" t="s">
        <v>28460</v>
      </c>
      <c r="F11004" t="s">
        <v>32606</v>
      </c>
      <c r="G11004" t="s">
        <v>32613</v>
      </c>
      <c r="H11004" t="s">
        <v>14201</v>
      </c>
      <c r="I11004" t="s">
        <v>9013</v>
      </c>
      <c r="J11004" t="s">
        <v>39613</v>
      </c>
      <c r="K11004" t="s">
        <v>42636</v>
      </c>
      <c r="M11004" t="s">
        <v>43730</v>
      </c>
      <c r="N11004" t="s">
        <v>47304</v>
      </c>
      <c r="O11004" t="s">
        <v>47305</v>
      </c>
      <c r="P11004">
        <v>0</v>
      </c>
      <c r="Q11004">
        <v>5</v>
      </c>
      <c r="R11004" t="s">
        <v>47314</v>
      </c>
      <c r="S11004" t="s">
        <v>47596</v>
      </c>
      <c r="T11004" t="s">
        <v>49036</v>
      </c>
      <c r="U11004" t="s">
        <v>58625</v>
      </c>
      <c r="V11004" t="s">
        <v>63812</v>
      </c>
      <c r="W11004" t="s">
        <v>43730</v>
      </c>
      <c r="X11004" t="s">
        <v>47315</v>
      </c>
    </row>
    <row r="11005" spans="1:24">
      <c r="A11005">
        <f>HYPERLINK("https://www.philgeps.gov.ph/GEPSNONPILOT/Tender/SplashBidNoticeAbstractUI.aspx?menuIndex=3&amp;refID=7183151&amp;Result=3","7183151")</f>
        <v>0</v>
      </c>
      <c r="B11005" t="s">
        <v>726</v>
      </c>
      <c r="C11005" t="s">
        <v>14245</v>
      </c>
      <c r="D11005" t="s">
        <v>19009</v>
      </c>
      <c r="E11005" t="s">
        <v>28461</v>
      </c>
      <c r="F11005" t="s">
        <v>32610</v>
      </c>
      <c r="G11005" t="s">
        <v>32613</v>
      </c>
      <c r="H11005" t="s">
        <v>32623</v>
      </c>
      <c r="I11005" t="s">
        <v>17648</v>
      </c>
      <c r="J11005" t="s">
        <v>39614</v>
      </c>
      <c r="K11005" t="s">
        <v>42740</v>
      </c>
      <c r="M11005" t="s">
        <v>46187</v>
      </c>
      <c r="N11005" t="s">
        <v>47304</v>
      </c>
      <c r="O11005" t="s">
        <v>47305</v>
      </c>
      <c r="P11005">
        <v>0</v>
      </c>
      <c r="Q11005">
        <v>0</v>
      </c>
      <c r="R11005" t="s">
        <v>47314</v>
      </c>
      <c r="S11005" t="s">
        <v>47596</v>
      </c>
      <c r="T11005" t="s">
        <v>49040</v>
      </c>
      <c r="U11005" t="s">
        <v>58626</v>
      </c>
      <c r="V11005" t="s">
        <v>63813</v>
      </c>
      <c r="W11005" t="s">
        <v>46187</v>
      </c>
      <c r="X11005" t="s">
        <v>47315</v>
      </c>
    </row>
    <row r="11006" spans="1:24">
      <c r="A11006">
        <f>HYPERLINK("https://www.philgeps.gov.ph/GEPSNONPILOT/Tender/SplashBidNoticeAbstractUI.aspx?menuIndex=3&amp;refID=7183149&amp;Result=3","7183149")</f>
        <v>0</v>
      </c>
      <c r="B11006" t="s">
        <v>2415</v>
      </c>
      <c r="C11006" t="s">
        <v>14246</v>
      </c>
      <c r="D11006" t="s">
        <v>19041</v>
      </c>
      <c r="E11006" t="s">
        <v>28462</v>
      </c>
      <c r="F11006" t="s">
        <v>32606</v>
      </c>
      <c r="G11006" t="s">
        <v>32613</v>
      </c>
      <c r="H11006" t="s">
        <v>14201</v>
      </c>
      <c r="I11006" t="s">
        <v>4114</v>
      </c>
      <c r="J11006" t="s">
        <v>39615</v>
      </c>
      <c r="K11006" t="s">
        <v>42630</v>
      </c>
      <c r="M11006" t="s">
        <v>45539</v>
      </c>
      <c r="N11006" t="s">
        <v>47304</v>
      </c>
      <c r="O11006" t="s">
        <v>47305</v>
      </c>
      <c r="P11006">
        <v>0</v>
      </c>
      <c r="Q11006">
        <v>5</v>
      </c>
      <c r="R11006" t="s">
        <v>47314</v>
      </c>
      <c r="S11006" t="s">
        <v>47596</v>
      </c>
      <c r="T11006" t="s">
        <v>49081</v>
      </c>
      <c r="U11006" t="s">
        <v>58627</v>
      </c>
      <c r="W11006" t="s">
        <v>45539</v>
      </c>
      <c r="X11006" t="s">
        <v>47315</v>
      </c>
    </row>
    <row r="11007" spans="1:24">
      <c r="A11007">
        <f>HYPERLINK("https://www.philgeps.gov.ph/GEPSNONPILOT/Tender/SplashBidNoticeAbstractUI.aspx?menuIndex=3&amp;refID=7183148&amp;Result=3","7183148")</f>
        <v>0</v>
      </c>
      <c r="B11007" t="s">
        <v>3219</v>
      </c>
      <c r="C11007" t="s">
        <v>14247</v>
      </c>
      <c r="D11007" t="s">
        <v>19007</v>
      </c>
      <c r="E11007" t="s">
        <v>28463</v>
      </c>
      <c r="F11007" t="s">
        <v>32606</v>
      </c>
      <c r="G11007" t="s">
        <v>32613</v>
      </c>
      <c r="H11007" t="s">
        <v>32623</v>
      </c>
      <c r="I11007" t="s">
        <v>17648</v>
      </c>
      <c r="J11007" t="s">
        <v>39616</v>
      </c>
      <c r="K11007" t="s">
        <v>42725</v>
      </c>
      <c r="M11007" t="s">
        <v>46445</v>
      </c>
      <c r="N11007" t="s">
        <v>47304</v>
      </c>
      <c r="O11007" t="s">
        <v>47305</v>
      </c>
      <c r="P11007">
        <v>0</v>
      </c>
      <c r="Q11007">
        <v>1</v>
      </c>
      <c r="R11007" t="s">
        <v>47314</v>
      </c>
      <c r="S11007" t="s">
        <v>47596</v>
      </c>
      <c r="T11007" t="s">
        <v>49140</v>
      </c>
      <c r="U11007" t="s">
        <v>58628</v>
      </c>
      <c r="W11007" t="s">
        <v>46445</v>
      </c>
      <c r="X11007" t="s">
        <v>47315</v>
      </c>
    </row>
    <row r="11008" spans="1:24">
      <c r="A11008">
        <f>HYPERLINK("https://www.philgeps.gov.ph/GEPSNONPILOT/Tender/SplashBidNoticeAbstractUI.aspx?menuIndex=3&amp;refID=7183147&amp;Result=3","7183147")</f>
        <v>0</v>
      </c>
      <c r="B11008" t="s">
        <v>1193</v>
      </c>
      <c r="C11008" t="s">
        <v>14248</v>
      </c>
      <c r="D11008" t="s">
        <v>19007</v>
      </c>
      <c r="E11008" t="s">
        <v>28464</v>
      </c>
      <c r="F11008" t="s">
        <v>32606</v>
      </c>
      <c r="G11008" t="s">
        <v>32613</v>
      </c>
      <c r="H11008" t="s">
        <v>14201</v>
      </c>
      <c r="I11008" t="s">
        <v>6298</v>
      </c>
      <c r="J11008" t="s">
        <v>39617</v>
      </c>
      <c r="K11008" t="s">
        <v>42624</v>
      </c>
      <c r="M11008" t="s">
        <v>44560</v>
      </c>
      <c r="N11008" t="s">
        <v>47304</v>
      </c>
      <c r="O11008" t="s">
        <v>47305</v>
      </c>
      <c r="P11008">
        <v>0</v>
      </c>
      <c r="Q11008">
        <v>6</v>
      </c>
      <c r="R11008" t="s">
        <v>47314</v>
      </c>
      <c r="S11008" t="s">
        <v>47596</v>
      </c>
      <c r="T11008" t="s">
        <v>49156</v>
      </c>
      <c r="U11008" t="s">
        <v>58629</v>
      </c>
      <c r="W11008" t="s">
        <v>44560</v>
      </c>
      <c r="X11008" t="s">
        <v>47315</v>
      </c>
    </row>
    <row r="11009" spans="1:24">
      <c r="A11009">
        <f>HYPERLINK("https://www.philgeps.gov.ph/GEPSNONPILOT/Tender/SplashBidNoticeAbstractUI.aspx?menuIndex=3&amp;refID=7183164&amp;Result=3","7183164")</f>
        <v>0</v>
      </c>
      <c r="B11009" t="s">
        <v>3221</v>
      </c>
      <c r="C11009" t="s">
        <v>14249</v>
      </c>
      <c r="D11009" t="s">
        <v>19065</v>
      </c>
      <c r="E11009" t="s">
        <v>28465</v>
      </c>
      <c r="F11009" t="s">
        <v>32606</v>
      </c>
      <c r="G11009" t="s">
        <v>32613</v>
      </c>
      <c r="H11009" t="s">
        <v>32623</v>
      </c>
      <c r="I11009" t="s">
        <v>17648</v>
      </c>
      <c r="J11009" t="s">
        <v>39618</v>
      </c>
      <c r="K11009" t="s">
        <v>42636</v>
      </c>
      <c r="M11009" t="s">
        <v>46447</v>
      </c>
      <c r="N11009" t="s">
        <v>47304</v>
      </c>
      <c r="O11009" t="s">
        <v>47305</v>
      </c>
      <c r="P11009">
        <v>0</v>
      </c>
      <c r="Q11009">
        <v>1</v>
      </c>
      <c r="R11009" t="s">
        <v>47314</v>
      </c>
      <c r="S11009" t="s">
        <v>47596</v>
      </c>
      <c r="T11009" t="s">
        <v>49291</v>
      </c>
      <c r="U11009" t="s">
        <v>58630</v>
      </c>
      <c r="V11009" t="s">
        <v>63807</v>
      </c>
      <c r="W11009" t="s">
        <v>46447</v>
      </c>
      <c r="X11009" t="s">
        <v>47315</v>
      </c>
    </row>
    <row r="11010" spans="1:24">
      <c r="A11010">
        <f>HYPERLINK("https://www.philgeps.gov.ph/GEPSNONPILOT/Tender/SplashBidNoticeAbstractUI.aspx?menuIndex=3&amp;refID=7183145&amp;Result=3","7183145")</f>
        <v>0</v>
      </c>
      <c r="B11010" t="s">
        <v>1450</v>
      </c>
      <c r="C11010" t="s">
        <v>14250</v>
      </c>
      <c r="D11010" t="s">
        <v>19002</v>
      </c>
      <c r="E11010" t="s">
        <v>21655</v>
      </c>
      <c r="F11010" t="s">
        <v>32606</v>
      </c>
      <c r="G11010" t="s">
        <v>32613</v>
      </c>
      <c r="H11010" t="s">
        <v>32623</v>
      </c>
      <c r="I11010" t="s">
        <v>17648</v>
      </c>
      <c r="J11010" t="s">
        <v>32795</v>
      </c>
      <c r="K11010" t="s">
        <v>42648</v>
      </c>
      <c r="M11010" t="s">
        <v>44441</v>
      </c>
      <c r="N11010" t="s">
        <v>47304</v>
      </c>
      <c r="O11010" t="s">
        <v>47305</v>
      </c>
      <c r="P11010">
        <v>0</v>
      </c>
      <c r="Q11010">
        <v>0</v>
      </c>
      <c r="R11010" t="s">
        <v>47314</v>
      </c>
      <c r="S11010" t="s">
        <v>47596</v>
      </c>
      <c r="T11010" t="s">
        <v>49057</v>
      </c>
      <c r="U11010" t="s">
        <v>58631</v>
      </c>
      <c r="W11010" t="s">
        <v>44441</v>
      </c>
      <c r="X11010" t="s">
        <v>47315</v>
      </c>
    </row>
    <row r="11011" spans="1:24">
      <c r="A11011">
        <f>HYPERLINK("https://www.philgeps.gov.ph/GEPSNONPILOT/Tender/SplashBidNoticeAbstractUI.aspx?menuIndex=3&amp;refID=7183138&amp;Result=3","7183138")</f>
        <v>0</v>
      </c>
      <c r="B11011" t="s">
        <v>3230</v>
      </c>
      <c r="C11011" t="s">
        <v>14251</v>
      </c>
      <c r="D11011" t="s">
        <v>18989</v>
      </c>
      <c r="E11011" t="s">
        <v>28466</v>
      </c>
      <c r="F11011" t="s">
        <v>32606</v>
      </c>
      <c r="G11011" t="s">
        <v>32613</v>
      </c>
      <c r="H11011" t="s">
        <v>14201</v>
      </c>
      <c r="I11011" t="s">
        <v>4369</v>
      </c>
      <c r="J11011" t="s">
        <v>39619</v>
      </c>
      <c r="K11011" t="s">
        <v>42623</v>
      </c>
      <c r="M11011" t="s">
        <v>46461</v>
      </c>
      <c r="N11011" t="s">
        <v>47304</v>
      </c>
      <c r="O11011" t="s">
        <v>47305</v>
      </c>
      <c r="P11011">
        <v>0</v>
      </c>
      <c r="Q11011">
        <v>11</v>
      </c>
      <c r="R11011" t="s">
        <v>47314</v>
      </c>
      <c r="S11011" t="s">
        <v>47596</v>
      </c>
      <c r="T11011" t="s">
        <v>48979</v>
      </c>
      <c r="U11011" t="s">
        <v>58632</v>
      </c>
      <c r="W11011" t="s">
        <v>46461</v>
      </c>
      <c r="X11011" t="s">
        <v>47315</v>
      </c>
    </row>
    <row r="11012" spans="1:24">
      <c r="A11012">
        <f>HYPERLINK("https://www.philgeps.gov.ph/GEPSNONPILOT/Tender/SplashBidNoticeAbstractUI.aspx?menuIndex=3&amp;refID=7183165&amp;Result=3","7183165")</f>
        <v>0</v>
      </c>
      <c r="B11012" t="s">
        <v>1193</v>
      </c>
      <c r="C11012" t="s">
        <v>14252</v>
      </c>
      <c r="D11012" t="s">
        <v>19007</v>
      </c>
      <c r="E11012" t="s">
        <v>28467</v>
      </c>
      <c r="F11012" t="s">
        <v>32606</v>
      </c>
      <c r="G11012" t="s">
        <v>32613</v>
      </c>
      <c r="H11012" t="s">
        <v>14201</v>
      </c>
      <c r="I11012" t="s">
        <v>32634</v>
      </c>
      <c r="J11012" t="s">
        <v>39620</v>
      </c>
      <c r="K11012" t="s">
        <v>42624</v>
      </c>
      <c r="M11012" t="s">
        <v>44560</v>
      </c>
      <c r="N11012" t="s">
        <v>47304</v>
      </c>
      <c r="O11012" t="s">
        <v>47305</v>
      </c>
      <c r="P11012">
        <v>0</v>
      </c>
      <c r="Q11012">
        <v>3</v>
      </c>
      <c r="R11012" t="s">
        <v>47314</v>
      </c>
      <c r="S11012" t="s">
        <v>47596</v>
      </c>
      <c r="T11012" t="s">
        <v>49156</v>
      </c>
      <c r="U11012" t="s">
        <v>58633</v>
      </c>
      <c r="W11012" t="s">
        <v>44560</v>
      </c>
      <c r="X11012" t="s">
        <v>47315</v>
      </c>
    </row>
    <row r="11013" spans="1:24">
      <c r="A11013">
        <f>HYPERLINK("https://www.philgeps.gov.ph/GEPSNONPILOT/Tender/SplashBidNoticeAbstractUI.aspx?menuIndex=3&amp;refID=7182992&amp;Result=3","7182992")</f>
        <v>0</v>
      </c>
      <c r="B11013" t="s">
        <v>467</v>
      </c>
      <c r="C11013" t="s">
        <v>14253</v>
      </c>
      <c r="E11013" t="s">
        <v>28468</v>
      </c>
      <c r="F11013" t="s">
        <v>32606</v>
      </c>
      <c r="G11013" t="s">
        <v>32613</v>
      </c>
      <c r="H11013" t="s">
        <v>14201</v>
      </c>
      <c r="I11013" t="s">
        <v>13131</v>
      </c>
      <c r="J11013" t="s">
        <v>39621</v>
      </c>
      <c r="K11013" t="s">
        <v>42624</v>
      </c>
      <c r="M11013" t="s">
        <v>44145</v>
      </c>
      <c r="N11013" t="s">
        <v>47304</v>
      </c>
      <c r="O11013" t="s">
        <v>47305</v>
      </c>
      <c r="P11013">
        <v>0</v>
      </c>
      <c r="Q11013">
        <v>24</v>
      </c>
      <c r="R11013" t="s">
        <v>47314</v>
      </c>
      <c r="S11013" t="s">
        <v>47596</v>
      </c>
      <c r="T11013" t="s">
        <v>49352</v>
      </c>
      <c r="U11013" t="s">
        <v>58634</v>
      </c>
      <c r="W11013" t="s">
        <v>44145</v>
      </c>
      <c r="X11013" t="s">
        <v>47315</v>
      </c>
    </row>
    <row r="11014" spans="1:24">
      <c r="A11014">
        <f>HYPERLINK("https://www.philgeps.gov.ph/GEPSNONPILOT/Tender/SplashBidNoticeAbstractUI.aspx?menuIndex=3&amp;refID=7183159&amp;Result=3","7183159")</f>
        <v>0</v>
      </c>
      <c r="B11014" t="s">
        <v>1193</v>
      </c>
      <c r="C11014" t="s">
        <v>14254</v>
      </c>
      <c r="D11014" t="s">
        <v>19007</v>
      </c>
      <c r="E11014" t="s">
        <v>28469</v>
      </c>
      <c r="F11014" t="s">
        <v>32606</v>
      </c>
      <c r="G11014" t="s">
        <v>32613</v>
      </c>
      <c r="H11014" t="s">
        <v>14201</v>
      </c>
      <c r="I11014" t="s">
        <v>4369</v>
      </c>
      <c r="J11014" t="s">
        <v>39622</v>
      </c>
      <c r="K11014" t="s">
        <v>42624</v>
      </c>
      <c r="M11014" t="s">
        <v>44560</v>
      </c>
      <c r="N11014" t="s">
        <v>47304</v>
      </c>
      <c r="O11014" t="s">
        <v>47305</v>
      </c>
      <c r="P11014">
        <v>0</v>
      </c>
      <c r="Q11014">
        <v>5</v>
      </c>
      <c r="R11014" t="s">
        <v>47314</v>
      </c>
      <c r="S11014" t="s">
        <v>47596</v>
      </c>
      <c r="T11014" t="s">
        <v>49156</v>
      </c>
      <c r="U11014" t="s">
        <v>58635</v>
      </c>
      <c r="W11014" t="s">
        <v>44560</v>
      </c>
      <c r="X11014" t="s">
        <v>47315</v>
      </c>
    </row>
    <row r="11015" spans="1:24">
      <c r="A11015">
        <f>HYPERLINK("https://www.philgeps.gov.ph/GEPSNONPILOT/Tender/SplashBidNoticeAbstractUI.aspx?menuIndex=3&amp;refID=7183217&amp;Result=3","7183217")</f>
        <v>0</v>
      </c>
      <c r="B11015" t="s">
        <v>3231</v>
      </c>
      <c r="C11015" t="s">
        <v>14255</v>
      </c>
      <c r="D11015" t="s">
        <v>19046</v>
      </c>
      <c r="E11015" t="s">
        <v>28470</v>
      </c>
      <c r="F11015" t="s">
        <v>32606</v>
      </c>
      <c r="G11015" t="s">
        <v>32613</v>
      </c>
      <c r="H11015" t="s">
        <v>32623</v>
      </c>
      <c r="I11015" t="s">
        <v>17648</v>
      </c>
      <c r="J11015" t="s">
        <v>39623</v>
      </c>
      <c r="K11015" t="s">
        <v>42683</v>
      </c>
      <c r="M11015" t="s">
        <v>46462</v>
      </c>
      <c r="N11015" t="s">
        <v>47304</v>
      </c>
      <c r="O11015" t="s">
        <v>47305</v>
      </c>
      <c r="P11015">
        <v>0</v>
      </c>
      <c r="Q11015">
        <v>0</v>
      </c>
      <c r="R11015" t="s">
        <v>47314</v>
      </c>
      <c r="S11015" t="s">
        <v>47596</v>
      </c>
      <c r="T11015" t="s">
        <v>49140</v>
      </c>
      <c r="U11015" t="s">
        <v>58636</v>
      </c>
      <c r="V11015" t="s">
        <v>63814</v>
      </c>
      <c r="W11015" t="s">
        <v>46462</v>
      </c>
      <c r="X11015" t="s">
        <v>47315</v>
      </c>
    </row>
    <row r="11016" spans="1:24">
      <c r="A11016">
        <f>HYPERLINK("https://www.philgeps.gov.ph/GEPSNONPILOT/Tender/SplashBidNoticeAbstractUI.aspx?menuIndex=3&amp;refID=7183197&amp;Result=3","7183197")</f>
        <v>0</v>
      </c>
      <c r="B11016" t="s">
        <v>1056</v>
      </c>
      <c r="C11016" t="s">
        <v>14256</v>
      </c>
      <c r="D11016" t="s">
        <v>19014</v>
      </c>
      <c r="E11016" t="s">
        <v>28471</v>
      </c>
      <c r="F11016" t="s">
        <v>32606</v>
      </c>
      <c r="G11016" t="s">
        <v>32613</v>
      </c>
      <c r="H11016" t="s">
        <v>14201</v>
      </c>
      <c r="I11016" t="s">
        <v>32635</v>
      </c>
      <c r="J11016" t="s">
        <v>39624</v>
      </c>
      <c r="K11016" t="s">
        <v>42646</v>
      </c>
      <c r="M11016" t="s">
        <v>44009</v>
      </c>
      <c r="N11016" t="s">
        <v>47304</v>
      </c>
      <c r="O11016" t="s">
        <v>47305</v>
      </c>
      <c r="P11016">
        <v>0</v>
      </c>
      <c r="Q11016">
        <v>5</v>
      </c>
      <c r="R11016" t="s">
        <v>47314</v>
      </c>
      <c r="S11016" t="s">
        <v>47596</v>
      </c>
      <c r="T11016" t="s">
        <v>49291</v>
      </c>
      <c r="U11016" t="s">
        <v>58637</v>
      </c>
      <c r="W11016" t="s">
        <v>44009</v>
      </c>
      <c r="X11016" t="s">
        <v>47315</v>
      </c>
    </row>
    <row r="11017" spans="1:24">
      <c r="A11017">
        <f>HYPERLINK("https://www.philgeps.gov.ph/GEPSNONPILOT/Tender/SplashBidNoticeAbstractUI.aspx?menuIndex=3&amp;refID=7183211&amp;Result=3","7183211")</f>
        <v>0</v>
      </c>
      <c r="B11017" t="s">
        <v>799</v>
      </c>
      <c r="C11017" t="s">
        <v>14257</v>
      </c>
      <c r="E11017" t="s">
        <v>28472</v>
      </c>
      <c r="F11017" t="s">
        <v>32606</v>
      </c>
      <c r="G11017" t="s">
        <v>32613</v>
      </c>
      <c r="H11017" t="s">
        <v>14201</v>
      </c>
      <c r="I11017" t="s">
        <v>6931</v>
      </c>
      <c r="J11017" t="s">
        <v>39625</v>
      </c>
      <c r="K11017" t="s">
        <v>42630</v>
      </c>
      <c r="M11017" t="s">
        <v>43730</v>
      </c>
      <c r="N11017" t="s">
        <v>47304</v>
      </c>
      <c r="O11017" t="s">
        <v>47305</v>
      </c>
      <c r="P11017">
        <v>0</v>
      </c>
      <c r="Q11017">
        <v>1</v>
      </c>
      <c r="R11017" t="s">
        <v>47314</v>
      </c>
      <c r="S11017" t="s">
        <v>47596</v>
      </c>
      <c r="T11017" t="s">
        <v>49036</v>
      </c>
      <c r="U11017" t="s">
        <v>58638</v>
      </c>
      <c r="V11017" t="s">
        <v>63812</v>
      </c>
      <c r="W11017" t="s">
        <v>43730</v>
      </c>
      <c r="X11017" t="s">
        <v>47315</v>
      </c>
    </row>
    <row r="11018" spans="1:24">
      <c r="A11018">
        <f>HYPERLINK("https://www.philgeps.gov.ph/GEPSNONPILOT/Tender/SplashBidNoticeAbstractUI.aspx?menuIndex=3&amp;refID=7183214&amp;Result=3","7183214")</f>
        <v>0</v>
      </c>
      <c r="B11018" t="s">
        <v>3219</v>
      </c>
      <c r="C11018" t="s">
        <v>14258</v>
      </c>
      <c r="D11018" t="s">
        <v>19007</v>
      </c>
      <c r="E11018" t="s">
        <v>28473</v>
      </c>
      <c r="F11018" t="s">
        <v>32606</v>
      </c>
      <c r="G11018" t="s">
        <v>32613</v>
      </c>
      <c r="H11018" t="s">
        <v>32623</v>
      </c>
      <c r="I11018" t="s">
        <v>17648</v>
      </c>
      <c r="J11018" t="s">
        <v>39626</v>
      </c>
      <c r="K11018" t="s">
        <v>42706</v>
      </c>
      <c r="M11018" t="s">
        <v>46445</v>
      </c>
      <c r="N11018" t="s">
        <v>47304</v>
      </c>
      <c r="O11018" t="s">
        <v>47305</v>
      </c>
      <c r="P11018">
        <v>0</v>
      </c>
      <c r="Q11018">
        <v>1</v>
      </c>
      <c r="R11018" t="s">
        <v>47314</v>
      </c>
      <c r="S11018" t="s">
        <v>47596</v>
      </c>
      <c r="T11018" t="s">
        <v>49140</v>
      </c>
      <c r="U11018" t="s">
        <v>58639</v>
      </c>
      <c r="W11018" t="s">
        <v>46445</v>
      </c>
      <c r="X11018" t="s">
        <v>47315</v>
      </c>
    </row>
    <row r="11019" spans="1:24">
      <c r="A11019">
        <f>HYPERLINK("https://www.philgeps.gov.ph/GEPSNONPILOT/Tender/SplashBidNoticeAbstractUI.aspx?menuIndex=3&amp;refID=7183213&amp;Result=3","7183213")</f>
        <v>0</v>
      </c>
      <c r="B11019" t="s">
        <v>3221</v>
      </c>
      <c r="C11019" t="s">
        <v>14259</v>
      </c>
      <c r="D11019" t="s">
        <v>19065</v>
      </c>
      <c r="E11019" t="s">
        <v>28474</v>
      </c>
      <c r="F11019" t="s">
        <v>32606</v>
      </c>
      <c r="G11019" t="s">
        <v>32613</v>
      </c>
      <c r="H11019" t="s">
        <v>32623</v>
      </c>
      <c r="I11019" t="s">
        <v>17648</v>
      </c>
      <c r="J11019" t="s">
        <v>39627</v>
      </c>
      <c r="K11019" t="s">
        <v>42646</v>
      </c>
      <c r="M11019" t="s">
        <v>46447</v>
      </c>
      <c r="N11019" t="s">
        <v>47304</v>
      </c>
      <c r="O11019" t="s">
        <v>47305</v>
      </c>
      <c r="P11019">
        <v>0</v>
      </c>
      <c r="Q11019">
        <v>0</v>
      </c>
      <c r="R11019" t="s">
        <v>47314</v>
      </c>
      <c r="S11019" t="s">
        <v>47596</v>
      </c>
      <c r="T11019" t="s">
        <v>49291</v>
      </c>
      <c r="U11019" t="s">
        <v>58640</v>
      </c>
      <c r="V11019" t="s">
        <v>63807</v>
      </c>
      <c r="W11019" t="s">
        <v>46447</v>
      </c>
      <c r="X11019" t="s">
        <v>47315</v>
      </c>
    </row>
    <row r="11020" spans="1:24">
      <c r="A11020">
        <f>HYPERLINK("https://www.philgeps.gov.ph/GEPSNONPILOT/Tender/SplashBidNoticeAbstractUI.aspx?menuIndex=3&amp;refID=7183111&amp;Result=3","7183111")</f>
        <v>0</v>
      </c>
      <c r="B11020" t="s">
        <v>3221</v>
      </c>
      <c r="C11020" t="s">
        <v>14260</v>
      </c>
      <c r="D11020" t="s">
        <v>19065</v>
      </c>
      <c r="E11020" t="s">
        <v>28475</v>
      </c>
      <c r="F11020" t="s">
        <v>32606</v>
      </c>
      <c r="G11020" t="s">
        <v>32613</v>
      </c>
      <c r="H11020" t="s">
        <v>32623</v>
      </c>
      <c r="I11020" t="s">
        <v>17648</v>
      </c>
      <c r="J11020" t="s">
        <v>39628</v>
      </c>
      <c r="K11020" t="s">
        <v>42648</v>
      </c>
      <c r="M11020" t="s">
        <v>46447</v>
      </c>
      <c r="N11020" t="s">
        <v>47304</v>
      </c>
      <c r="O11020" t="s">
        <v>47305</v>
      </c>
      <c r="P11020">
        <v>0</v>
      </c>
      <c r="Q11020">
        <v>1</v>
      </c>
      <c r="R11020" t="s">
        <v>47314</v>
      </c>
      <c r="S11020" t="s">
        <v>47596</v>
      </c>
      <c r="T11020" t="s">
        <v>49291</v>
      </c>
      <c r="U11020" t="s">
        <v>58641</v>
      </c>
      <c r="V11020" t="s">
        <v>63807</v>
      </c>
      <c r="W11020" t="s">
        <v>46447</v>
      </c>
      <c r="X11020" t="s">
        <v>47315</v>
      </c>
    </row>
    <row r="11021" spans="1:24">
      <c r="A11021">
        <f>HYPERLINK("https://www.philgeps.gov.ph/GEPSNONPILOT/Tender/SplashBidNoticeAbstractUI.aspx?menuIndex=3&amp;refID=7183208&amp;Result=3","7183208")</f>
        <v>0</v>
      </c>
      <c r="B11021" t="s">
        <v>2031</v>
      </c>
      <c r="C11021" t="s">
        <v>14261</v>
      </c>
      <c r="D11021" t="s">
        <v>19010</v>
      </c>
      <c r="E11021" t="s">
        <v>28476</v>
      </c>
      <c r="F11021" t="s">
        <v>32607</v>
      </c>
      <c r="G11021" t="s">
        <v>32613</v>
      </c>
      <c r="H11021" t="s">
        <v>32623</v>
      </c>
      <c r="I11021" t="s">
        <v>17648</v>
      </c>
      <c r="J11021" t="s">
        <v>39629</v>
      </c>
      <c r="K11021" t="s">
        <v>42712</v>
      </c>
      <c r="M11021" t="s">
        <v>45107</v>
      </c>
      <c r="N11021" t="s">
        <v>47304</v>
      </c>
      <c r="O11021" t="s">
        <v>47305</v>
      </c>
      <c r="P11021">
        <v>0</v>
      </c>
      <c r="Q11021">
        <v>5</v>
      </c>
      <c r="R11021" t="s">
        <v>47314</v>
      </c>
      <c r="S11021" t="s">
        <v>47596</v>
      </c>
      <c r="T11021" t="s">
        <v>49052</v>
      </c>
      <c r="U11021" t="s">
        <v>54607</v>
      </c>
      <c r="V11021" t="s">
        <v>63224</v>
      </c>
      <c r="W11021" t="s">
        <v>45107</v>
      </c>
      <c r="X11021" t="s">
        <v>47315</v>
      </c>
    </row>
    <row r="11022" spans="1:24">
      <c r="A11022">
        <f>HYPERLINK("https://www.philgeps.gov.ph/GEPSNONPILOT/Tender/SplashBidNoticeAbstractUI.aspx?menuIndex=3&amp;refID=7183199&amp;Result=3","7183199")</f>
        <v>0</v>
      </c>
      <c r="B11022" t="s">
        <v>3219</v>
      </c>
      <c r="C11022" t="s">
        <v>14262</v>
      </c>
      <c r="D11022" t="s">
        <v>19007</v>
      </c>
      <c r="E11022" t="s">
        <v>28477</v>
      </c>
      <c r="F11022" t="s">
        <v>32606</v>
      </c>
      <c r="G11022" t="s">
        <v>32613</v>
      </c>
      <c r="H11022" t="s">
        <v>32623</v>
      </c>
      <c r="I11022" t="s">
        <v>17648</v>
      </c>
      <c r="J11022" t="s">
        <v>39630</v>
      </c>
      <c r="K11022" t="s">
        <v>42660</v>
      </c>
      <c r="M11022" t="s">
        <v>46445</v>
      </c>
      <c r="N11022" t="s">
        <v>47304</v>
      </c>
      <c r="O11022" t="s">
        <v>47305</v>
      </c>
      <c r="P11022">
        <v>0</v>
      </c>
      <c r="Q11022">
        <v>1</v>
      </c>
      <c r="R11022" t="s">
        <v>47314</v>
      </c>
      <c r="S11022" t="s">
        <v>47596</v>
      </c>
      <c r="T11022" t="s">
        <v>49140</v>
      </c>
      <c r="U11022" t="s">
        <v>58642</v>
      </c>
      <c r="W11022" t="s">
        <v>46445</v>
      </c>
      <c r="X11022" t="s">
        <v>47315</v>
      </c>
    </row>
    <row r="11023" spans="1:24">
      <c r="A11023">
        <f>HYPERLINK("https://www.philgeps.gov.ph/GEPSNONPILOT/Tender/SplashBidNoticeAbstractUI.aspx?menuIndex=3&amp;refID=7183053&amp;Result=3","7183053")</f>
        <v>0</v>
      </c>
      <c r="B11023" t="s">
        <v>903</v>
      </c>
      <c r="C11023" t="s">
        <v>14263</v>
      </c>
      <c r="D11023" t="s">
        <v>19049</v>
      </c>
      <c r="E11023" t="s">
        <v>14263</v>
      </c>
      <c r="F11023" t="s">
        <v>32606</v>
      </c>
      <c r="G11023" t="s">
        <v>32613</v>
      </c>
      <c r="H11023" t="s">
        <v>14201</v>
      </c>
      <c r="I11023" t="s">
        <v>13131</v>
      </c>
      <c r="J11023" t="s">
        <v>39631</v>
      </c>
      <c r="K11023" t="s">
        <v>42631</v>
      </c>
      <c r="M11023" t="s">
        <v>43840</v>
      </c>
      <c r="N11023" t="s">
        <v>47304</v>
      </c>
      <c r="O11023" t="s">
        <v>47305</v>
      </c>
      <c r="P11023">
        <v>0</v>
      </c>
      <c r="Q11023">
        <v>3</v>
      </c>
      <c r="R11023" t="s">
        <v>47314</v>
      </c>
      <c r="S11023" t="s">
        <v>47596</v>
      </c>
      <c r="T11023" t="s">
        <v>49221</v>
      </c>
      <c r="U11023" t="s">
        <v>58643</v>
      </c>
      <c r="W11023" t="s">
        <v>43840</v>
      </c>
      <c r="X11023" t="s">
        <v>47315</v>
      </c>
    </row>
    <row r="11024" spans="1:24">
      <c r="A11024">
        <f>HYPERLINK("https://www.philgeps.gov.ph/GEPSNONPILOT/Tender/SplashBidNoticeAbstractUI.aspx?menuIndex=3&amp;refID=7183210&amp;Result=3","7183210")</f>
        <v>0</v>
      </c>
      <c r="B11024" t="s">
        <v>586</v>
      </c>
      <c r="C11024" t="s">
        <v>14264</v>
      </c>
      <c r="D11024" t="s">
        <v>19024</v>
      </c>
      <c r="E11024" t="s">
        <v>28478</v>
      </c>
      <c r="F11024" t="s">
        <v>32606</v>
      </c>
      <c r="G11024" t="s">
        <v>32613</v>
      </c>
      <c r="H11024" t="s">
        <v>14201</v>
      </c>
      <c r="I11024" t="s">
        <v>7064</v>
      </c>
      <c r="J11024" t="s">
        <v>38701</v>
      </c>
      <c r="K11024" t="s">
        <v>42631</v>
      </c>
      <c r="M11024" t="s">
        <v>43501</v>
      </c>
      <c r="N11024" t="s">
        <v>47304</v>
      </c>
      <c r="O11024" t="s">
        <v>47305</v>
      </c>
      <c r="P11024">
        <v>0</v>
      </c>
      <c r="Q11024">
        <v>2</v>
      </c>
      <c r="R11024" t="s">
        <v>47314</v>
      </c>
      <c r="S11024" t="s">
        <v>47596</v>
      </c>
      <c r="T11024" t="s">
        <v>49234</v>
      </c>
      <c r="U11024" t="s">
        <v>58644</v>
      </c>
      <c r="W11024" t="s">
        <v>43501</v>
      </c>
      <c r="X11024" t="s">
        <v>47315</v>
      </c>
    </row>
    <row r="11025" spans="1:24">
      <c r="A11025">
        <f>HYPERLINK("https://www.philgeps.gov.ph/GEPSNONPILOT/Tender/SplashBidNoticeAbstractUI.aspx?menuIndex=3&amp;refID=7183195&amp;Result=3","7183195")</f>
        <v>0</v>
      </c>
      <c r="B11025" t="s">
        <v>799</v>
      </c>
      <c r="C11025" t="s">
        <v>14265</v>
      </c>
      <c r="E11025" t="s">
        <v>28479</v>
      </c>
      <c r="F11025" t="s">
        <v>32606</v>
      </c>
      <c r="G11025" t="s">
        <v>32613</v>
      </c>
      <c r="H11025" t="s">
        <v>14201</v>
      </c>
      <c r="I11025" t="s">
        <v>32640</v>
      </c>
      <c r="J11025" t="s">
        <v>32772</v>
      </c>
      <c r="K11025" t="s">
        <v>42630</v>
      </c>
      <c r="M11025" t="s">
        <v>43730</v>
      </c>
      <c r="N11025" t="s">
        <v>47304</v>
      </c>
      <c r="O11025" t="s">
        <v>47305</v>
      </c>
      <c r="P11025">
        <v>0</v>
      </c>
      <c r="Q11025">
        <v>8</v>
      </c>
      <c r="R11025" t="s">
        <v>47314</v>
      </c>
      <c r="S11025" t="s">
        <v>47596</v>
      </c>
      <c r="T11025" t="s">
        <v>49036</v>
      </c>
      <c r="U11025" t="s">
        <v>58645</v>
      </c>
      <c r="V11025" t="s">
        <v>63812</v>
      </c>
      <c r="W11025" t="s">
        <v>43730</v>
      </c>
      <c r="X11025" t="s">
        <v>47315</v>
      </c>
    </row>
    <row r="11026" spans="1:24">
      <c r="A11026">
        <f>HYPERLINK("https://www.philgeps.gov.ph/GEPSNONPILOT/Tender/SplashBidNoticeAbstractUI.aspx?menuIndex=3&amp;refID=7183190&amp;Result=3","7183190")</f>
        <v>0</v>
      </c>
      <c r="B11026" t="s">
        <v>2415</v>
      </c>
      <c r="C11026" t="s">
        <v>14266</v>
      </c>
      <c r="D11026" t="s">
        <v>19041</v>
      </c>
      <c r="E11026" t="s">
        <v>28480</v>
      </c>
      <c r="F11026" t="s">
        <v>32606</v>
      </c>
      <c r="G11026" t="s">
        <v>32613</v>
      </c>
      <c r="H11026" t="s">
        <v>14201</v>
      </c>
      <c r="I11026" t="s">
        <v>7677</v>
      </c>
      <c r="J11026" t="s">
        <v>39632</v>
      </c>
      <c r="K11026" t="s">
        <v>42630</v>
      </c>
      <c r="M11026" t="s">
        <v>45539</v>
      </c>
      <c r="N11026" t="s">
        <v>47304</v>
      </c>
      <c r="O11026" t="s">
        <v>47305</v>
      </c>
      <c r="P11026">
        <v>0</v>
      </c>
      <c r="Q11026">
        <v>11</v>
      </c>
      <c r="R11026" t="s">
        <v>47314</v>
      </c>
      <c r="S11026" t="s">
        <v>47596</v>
      </c>
      <c r="T11026" t="s">
        <v>49081</v>
      </c>
      <c r="U11026" t="s">
        <v>58646</v>
      </c>
      <c r="W11026" t="s">
        <v>45539</v>
      </c>
      <c r="X11026" t="s">
        <v>47315</v>
      </c>
    </row>
    <row r="11027" spans="1:24">
      <c r="A11027">
        <f>HYPERLINK("https://www.philgeps.gov.ph/GEPSNONPILOT/Tender/SplashBidNoticeAbstractUI.aspx?menuIndex=3&amp;refID=7183187&amp;Result=3","7183187")</f>
        <v>0</v>
      </c>
      <c r="B11027" t="s">
        <v>586</v>
      </c>
      <c r="C11027" t="s">
        <v>14267</v>
      </c>
      <c r="D11027" t="s">
        <v>19024</v>
      </c>
      <c r="E11027" t="s">
        <v>28481</v>
      </c>
      <c r="F11027" t="s">
        <v>32606</v>
      </c>
      <c r="G11027" t="s">
        <v>32613</v>
      </c>
      <c r="H11027" t="s">
        <v>14201</v>
      </c>
      <c r="I11027" t="s">
        <v>32640</v>
      </c>
      <c r="J11027" t="s">
        <v>39633</v>
      </c>
      <c r="K11027" t="s">
        <v>42631</v>
      </c>
      <c r="M11027" t="s">
        <v>43501</v>
      </c>
      <c r="N11027" t="s">
        <v>47304</v>
      </c>
      <c r="O11027" t="s">
        <v>47305</v>
      </c>
      <c r="P11027">
        <v>0</v>
      </c>
      <c r="Q11027">
        <v>5</v>
      </c>
      <c r="R11027" t="s">
        <v>47314</v>
      </c>
      <c r="S11027" t="s">
        <v>47596</v>
      </c>
      <c r="T11027" t="s">
        <v>49234</v>
      </c>
      <c r="U11027" t="s">
        <v>58647</v>
      </c>
      <c r="W11027" t="s">
        <v>43501</v>
      </c>
      <c r="X11027" t="s">
        <v>47315</v>
      </c>
    </row>
    <row r="11028" spans="1:24">
      <c r="A11028">
        <f>HYPERLINK("https://www.philgeps.gov.ph/GEPSNONPILOT/Tender/SplashBidNoticeAbstractUI.aspx?menuIndex=3&amp;refID=7183178&amp;Result=3","7183178")</f>
        <v>0</v>
      </c>
      <c r="B11028" t="s">
        <v>799</v>
      </c>
      <c r="C11028" t="s">
        <v>14268</v>
      </c>
      <c r="E11028" t="s">
        <v>28460</v>
      </c>
      <c r="F11028" t="s">
        <v>32606</v>
      </c>
      <c r="G11028" t="s">
        <v>32613</v>
      </c>
      <c r="H11028" t="s">
        <v>14201</v>
      </c>
      <c r="I11028" t="s">
        <v>9013</v>
      </c>
      <c r="J11028" t="s">
        <v>39634</v>
      </c>
      <c r="K11028" t="s">
        <v>42631</v>
      </c>
      <c r="M11028" t="s">
        <v>43730</v>
      </c>
      <c r="N11028" t="s">
        <v>47304</v>
      </c>
      <c r="O11028" t="s">
        <v>47305</v>
      </c>
      <c r="P11028">
        <v>0</v>
      </c>
      <c r="Q11028">
        <v>5</v>
      </c>
      <c r="R11028" t="s">
        <v>47314</v>
      </c>
      <c r="S11028" t="s">
        <v>47596</v>
      </c>
      <c r="T11028" t="s">
        <v>49036</v>
      </c>
      <c r="U11028" t="s">
        <v>58648</v>
      </c>
      <c r="V11028" t="s">
        <v>63812</v>
      </c>
      <c r="W11028" t="s">
        <v>43730</v>
      </c>
      <c r="X11028" t="s">
        <v>47315</v>
      </c>
    </row>
    <row r="11029" spans="1:24">
      <c r="A11029">
        <f>HYPERLINK("https://www.philgeps.gov.ph/GEPSNONPILOT/Tender/SplashBidNoticeAbstractUI.aspx?menuIndex=3&amp;refID=7183174&amp;Result=3","7183174")</f>
        <v>0</v>
      </c>
      <c r="B11029" t="s">
        <v>1949</v>
      </c>
      <c r="C11029" t="s">
        <v>14269</v>
      </c>
      <c r="D11029" t="s">
        <v>18995</v>
      </c>
      <c r="E11029" t="s">
        <v>28482</v>
      </c>
      <c r="F11029" t="s">
        <v>32606</v>
      </c>
      <c r="G11029" t="s">
        <v>32613</v>
      </c>
      <c r="H11029" t="s">
        <v>32623</v>
      </c>
      <c r="I11029" t="s">
        <v>17648</v>
      </c>
      <c r="J11029" t="s">
        <v>32772</v>
      </c>
      <c r="K11029" t="s">
        <v>42631</v>
      </c>
      <c r="M11029" t="s">
        <v>45010</v>
      </c>
      <c r="N11029" t="s">
        <v>47304</v>
      </c>
      <c r="O11029" t="s">
        <v>47305</v>
      </c>
      <c r="P11029">
        <v>0</v>
      </c>
      <c r="Q11029">
        <v>0</v>
      </c>
      <c r="R11029" t="s">
        <v>47314</v>
      </c>
      <c r="S11029" t="s">
        <v>47596</v>
      </c>
      <c r="T11029" t="s">
        <v>49014</v>
      </c>
      <c r="U11029" t="s">
        <v>58649</v>
      </c>
      <c r="V11029" t="s">
        <v>63815</v>
      </c>
      <c r="W11029" t="s">
        <v>45010</v>
      </c>
      <c r="X11029" t="s">
        <v>47315</v>
      </c>
    </row>
    <row r="11030" spans="1:24">
      <c r="A11030">
        <f>HYPERLINK("https://www.philgeps.gov.ph/GEPSNONPILOT/Tender/SplashBidNoticeAbstractUI.aspx?menuIndex=3&amp;refID=7183263&amp;Result=3","7183263")</f>
        <v>0</v>
      </c>
      <c r="B11030" t="s">
        <v>3232</v>
      </c>
      <c r="C11030" t="s">
        <v>14270</v>
      </c>
      <c r="D11030" t="s">
        <v>19017</v>
      </c>
      <c r="E11030" t="s">
        <v>28483</v>
      </c>
      <c r="F11030" t="s">
        <v>32606</v>
      </c>
      <c r="G11030" t="s">
        <v>32613</v>
      </c>
      <c r="H11030" t="s">
        <v>32623</v>
      </c>
      <c r="I11030" t="s">
        <v>17648</v>
      </c>
      <c r="J11030" t="s">
        <v>39635</v>
      </c>
      <c r="K11030" t="s">
        <v>42646</v>
      </c>
      <c r="M11030" t="s">
        <v>46463</v>
      </c>
      <c r="N11030" t="s">
        <v>47304</v>
      </c>
      <c r="O11030" t="s">
        <v>47305</v>
      </c>
      <c r="P11030">
        <v>0</v>
      </c>
      <c r="Q11030">
        <v>0</v>
      </c>
      <c r="R11030" t="s">
        <v>47314</v>
      </c>
      <c r="S11030" t="s">
        <v>47596</v>
      </c>
      <c r="T11030" t="s">
        <v>49129</v>
      </c>
      <c r="U11030" t="s">
        <v>58650</v>
      </c>
      <c r="W11030" t="s">
        <v>46463</v>
      </c>
      <c r="X11030" t="s">
        <v>47315</v>
      </c>
    </row>
    <row r="11031" spans="1:24">
      <c r="A11031">
        <f>HYPERLINK("https://www.philgeps.gov.ph/GEPSNONPILOT/Tender/SplashBidNoticeAbstractUI.aspx?menuIndex=3&amp;refID=7183205&amp;Result=3","7183205")</f>
        <v>0</v>
      </c>
      <c r="B11031" t="s">
        <v>1949</v>
      </c>
      <c r="C11031" t="s">
        <v>14271</v>
      </c>
      <c r="D11031" t="s">
        <v>18995</v>
      </c>
      <c r="E11031" t="s">
        <v>28484</v>
      </c>
      <c r="F11031" t="s">
        <v>32606</v>
      </c>
      <c r="G11031" t="s">
        <v>32613</v>
      </c>
      <c r="H11031" t="s">
        <v>32623</v>
      </c>
      <c r="I11031" t="s">
        <v>17648</v>
      </c>
      <c r="J11031" t="s">
        <v>32772</v>
      </c>
      <c r="K11031" t="s">
        <v>42631</v>
      </c>
      <c r="M11031" t="s">
        <v>45010</v>
      </c>
      <c r="N11031" t="s">
        <v>47304</v>
      </c>
      <c r="O11031" t="s">
        <v>47305</v>
      </c>
      <c r="P11031">
        <v>0</v>
      </c>
      <c r="Q11031">
        <v>0</v>
      </c>
      <c r="R11031" t="s">
        <v>47314</v>
      </c>
      <c r="S11031" t="s">
        <v>47596</v>
      </c>
      <c r="T11031" t="s">
        <v>49014</v>
      </c>
      <c r="U11031" t="s">
        <v>58651</v>
      </c>
      <c r="V11031" t="s">
        <v>63816</v>
      </c>
      <c r="W11031" t="s">
        <v>45010</v>
      </c>
      <c r="X11031" t="s">
        <v>47315</v>
      </c>
    </row>
    <row r="11032" spans="1:24">
      <c r="A11032">
        <f>HYPERLINK("https://www.philgeps.gov.ph/GEPSNONPILOT/Tender/SplashBidNoticeAbstractUI.aspx?menuIndex=3&amp;refID=7183198&amp;Result=3","7183198")</f>
        <v>0</v>
      </c>
      <c r="B11032" t="s">
        <v>586</v>
      </c>
      <c r="C11032" t="s">
        <v>14272</v>
      </c>
      <c r="D11032" t="s">
        <v>19024</v>
      </c>
      <c r="E11032" t="s">
        <v>28485</v>
      </c>
      <c r="F11032" t="s">
        <v>32606</v>
      </c>
      <c r="G11032" t="s">
        <v>32613</v>
      </c>
      <c r="H11032" t="s">
        <v>14201</v>
      </c>
      <c r="I11032" t="s">
        <v>7064</v>
      </c>
      <c r="J11032" t="s">
        <v>39636</v>
      </c>
      <c r="K11032" t="s">
        <v>42639</v>
      </c>
      <c r="M11032" t="s">
        <v>43501</v>
      </c>
      <c r="N11032" t="s">
        <v>47304</v>
      </c>
      <c r="O11032" t="s">
        <v>47305</v>
      </c>
      <c r="P11032">
        <v>0</v>
      </c>
      <c r="Q11032">
        <v>4</v>
      </c>
      <c r="R11032" t="s">
        <v>47314</v>
      </c>
      <c r="S11032" t="s">
        <v>47596</v>
      </c>
      <c r="T11032" t="s">
        <v>49234</v>
      </c>
      <c r="U11032" t="s">
        <v>58652</v>
      </c>
      <c r="W11032" t="s">
        <v>43501</v>
      </c>
      <c r="X11032" t="s">
        <v>47315</v>
      </c>
    </row>
    <row r="11033" spans="1:24">
      <c r="A11033">
        <f>HYPERLINK("https://www.philgeps.gov.ph/GEPSNONPILOT/Tender/SplashBidNoticeAbstractUI.aspx?menuIndex=3&amp;refID=7183185&amp;Result=3","7183185")</f>
        <v>0</v>
      </c>
      <c r="B11033" t="s">
        <v>3233</v>
      </c>
      <c r="C11033" t="s">
        <v>14273</v>
      </c>
      <c r="D11033" t="s">
        <v>19011</v>
      </c>
      <c r="E11033" t="s">
        <v>28486</v>
      </c>
      <c r="F11033" t="s">
        <v>32606</v>
      </c>
      <c r="G11033" t="s">
        <v>32613</v>
      </c>
      <c r="H11033" t="s">
        <v>32623</v>
      </c>
      <c r="I11033" t="s">
        <v>17648</v>
      </c>
      <c r="J11033" t="s">
        <v>39637</v>
      </c>
      <c r="K11033" t="s">
        <v>42853</v>
      </c>
      <c r="M11033" t="s">
        <v>46464</v>
      </c>
      <c r="N11033" t="s">
        <v>47304</v>
      </c>
      <c r="O11033" t="s">
        <v>47305</v>
      </c>
      <c r="P11033">
        <v>0</v>
      </c>
      <c r="Q11033">
        <v>3</v>
      </c>
      <c r="R11033" t="s">
        <v>47314</v>
      </c>
      <c r="S11033" t="s">
        <v>47596</v>
      </c>
      <c r="T11033" t="s">
        <v>49140</v>
      </c>
      <c r="U11033" t="s">
        <v>58653</v>
      </c>
      <c r="W11033" t="s">
        <v>46464</v>
      </c>
      <c r="X11033" t="s">
        <v>47315</v>
      </c>
    </row>
    <row r="11034" spans="1:24">
      <c r="A11034">
        <f>HYPERLINK("https://www.philgeps.gov.ph/GEPSNONPILOT/Tender/SplashBidNoticeAbstractUI.aspx?menuIndex=3&amp;refID=7183268&amp;Result=3","7183268")</f>
        <v>0</v>
      </c>
      <c r="B11034" t="s">
        <v>1058</v>
      </c>
      <c r="C11034" t="s">
        <v>14274</v>
      </c>
      <c r="D11034" t="s">
        <v>19039</v>
      </c>
      <c r="E11034" t="s">
        <v>28487</v>
      </c>
      <c r="F11034" t="s">
        <v>32606</v>
      </c>
      <c r="G11034" t="s">
        <v>32613</v>
      </c>
      <c r="H11034" t="s">
        <v>14201</v>
      </c>
      <c r="I11034" t="s">
        <v>8682</v>
      </c>
      <c r="J11034" t="s">
        <v>39638</v>
      </c>
      <c r="K11034" t="s">
        <v>42636</v>
      </c>
      <c r="M11034" t="s">
        <v>44011</v>
      </c>
      <c r="N11034" t="s">
        <v>47304</v>
      </c>
      <c r="O11034" t="s">
        <v>47305</v>
      </c>
      <c r="P11034">
        <v>0</v>
      </c>
      <c r="Q11034">
        <v>3</v>
      </c>
      <c r="R11034" t="s">
        <v>47314</v>
      </c>
      <c r="S11034" t="s">
        <v>47596</v>
      </c>
      <c r="T11034" t="s">
        <v>49040</v>
      </c>
      <c r="U11034" t="s">
        <v>51723</v>
      </c>
      <c r="W11034" t="s">
        <v>44011</v>
      </c>
      <c r="X11034" t="s">
        <v>47315</v>
      </c>
    </row>
    <row r="11035" spans="1:24">
      <c r="A11035">
        <f>HYPERLINK("https://www.philgeps.gov.ph/GEPSNONPILOT/Tender/SplashBidNoticeAbstractUI.aspx?menuIndex=3&amp;refID=7183262&amp;Result=3","7183262")</f>
        <v>0</v>
      </c>
      <c r="B11035" t="s">
        <v>1949</v>
      </c>
      <c r="C11035" t="s">
        <v>14275</v>
      </c>
      <c r="D11035" t="s">
        <v>18995</v>
      </c>
      <c r="E11035" t="s">
        <v>28488</v>
      </c>
      <c r="F11035" t="s">
        <v>32606</v>
      </c>
      <c r="G11035" t="s">
        <v>32613</v>
      </c>
      <c r="H11035" t="s">
        <v>32623</v>
      </c>
      <c r="I11035" t="s">
        <v>17648</v>
      </c>
      <c r="J11035" t="s">
        <v>32772</v>
      </c>
      <c r="K11035" t="s">
        <v>42631</v>
      </c>
      <c r="M11035" t="s">
        <v>45010</v>
      </c>
      <c r="N11035" t="s">
        <v>47304</v>
      </c>
      <c r="O11035" t="s">
        <v>47305</v>
      </c>
      <c r="P11035">
        <v>0</v>
      </c>
      <c r="Q11035">
        <v>0</v>
      </c>
      <c r="R11035" t="s">
        <v>47314</v>
      </c>
      <c r="S11035" t="s">
        <v>47596</v>
      </c>
      <c r="T11035" t="s">
        <v>49014</v>
      </c>
      <c r="U11035" t="s">
        <v>58654</v>
      </c>
      <c r="V11035" t="s">
        <v>63817</v>
      </c>
      <c r="W11035" t="s">
        <v>45010</v>
      </c>
      <c r="X11035" t="s">
        <v>47315</v>
      </c>
    </row>
    <row r="11036" spans="1:24">
      <c r="A11036">
        <f>HYPERLINK("https://www.philgeps.gov.ph/GEPSNONPILOT/Tender/SplashBidNoticeAbstractUI.aspx?menuIndex=3&amp;refID=7183260&amp;Result=3","7183260")</f>
        <v>0</v>
      </c>
      <c r="B11036" t="s">
        <v>799</v>
      </c>
      <c r="C11036" t="s">
        <v>14276</v>
      </c>
      <c r="E11036" t="s">
        <v>28489</v>
      </c>
      <c r="F11036" t="s">
        <v>32606</v>
      </c>
      <c r="G11036" t="s">
        <v>32613</v>
      </c>
      <c r="H11036" t="s">
        <v>14201</v>
      </c>
      <c r="I11036" t="s">
        <v>6931</v>
      </c>
      <c r="J11036" t="s">
        <v>39639</v>
      </c>
      <c r="K11036" t="s">
        <v>42630</v>
      </c>
      <c r="M11036" t="s">
        <v>43730</v>
      </c>
      <c r="N11036" t="s">
        <v>47304</v>
      </c>
      <c r="O11036" t="s">
        <v>47305</v>
      </c>
      <c r="P11036">
        <v>0</v>
      </c>
      <c r="Q11036">
        <v>1</v>
      </c>
      <c r="R11036" t="s">
        <v>47314</v>
      </c>
      <c r="S11036" t="s">
        <v>47596</v>
      </c>
      <c r="T11036" t="s">
        <v>49036</v>
      </c>
      <c r="U11036" t="s">
        <v>58655</v>
      </c>
      <c r="V11036" t="s">
        <v>63812</v>
      </c>
      <c r="W11036" t="s">
        <v>43730</v>
      </c>
      <c r="X11036" t="s">
        <v>47315</v>
      </c>
    </row>
    <row r="11037" spans="1:24">
      <c r="A11037">
        <f>HYPERLINK("https://www.philgeps.gov.ph/GEPSNONPILOT/Tender/SplashBidNoticeAbstractUI.aspx?menuIndex=3&amp;refID=7183254&amp;Result=3","7183254")</f>
        <v>0</v>
      </c>
      <c r="B11037" t="s">
        <v>2594</v>
      </c>
      <c r="C11037" t="s">
        <v>14277</v>
      </c>
      <c r="D11037" t="s">
        <v>19009</v>
      </c>
      <c r="E11037" t="s">
        <v>26576</v>
      </c>
      <c r="F11037" t="s">
        <v>32606</v>
      </c>
      <c r="G11037" t="s">
        <v>32613</v>
      </c>
      <c r="H11037" t="s">
        <v>14201</v>
      </c>
      <c r="I11037" t="s">
        <v>32664</v>
      </c>
      <c r="J11037" t="s">
        <v>36711</v>
      </c>
      <c r="K11037" t="s">
        <v>42631</v>
      </c>
      <c r="M11037" t="s">
        <v>45737</v>
      </c>
      <c r="N11037" t="s">
        <v>47304</v>
      </c>
      <c r="O11037" t="s">
        <v>47305</v>
      </c>
      <c r="P11037">
        <v>0</v>
      </c>
      <c r="Q11037">
        <v>9</v>
      </c>
      <c r="R11037" t="s">
        <v>47314</v>
      </c>
      <c r="S11037" t="s">
        <v>47596</v>
      </c>
      <c r="T11037" t="s">
        <v>49040</v>
      </c>
      <c r="U11037" t="s">
        <v>58656</v>
      </c>
      <c r="V11037" t="s">
        <v>63818</v>
      </c>
      <c r="W11037" t="s">
        <v>45737</v>
      </c>
      <c r="X11037" t="s">
        <v>47315</v>
      </c>
    </row>
    <row r="11038" spans="1:24">
      <c r="A11038">
        <f>HYPERLINK("https://www.philgeps.gov.ph/GEPSNONPILOT/Tender/SplashBidNoticeAbstractUI.aspx?menuIndex=3&amp;refID=7183274&amp;Result=3","7183274")</f>
        <v>0</v>
      </c>
      <c r="B11038" t="s">
        <v>1058</v>
      </c>
      <c r="C11038" t="s">
        <v>14278</v>
      </c>
      <c r="D11038" t="s">
        <v>19039</v>
      </c>
      <c r="E11038" t="s">
        <v>28490</v>
      </c>
      <c r="F11038" t="s">
        <v>32606</v>
      </c>
      <c r="G11038" t="s">
        <v>32613</v>
      </c>
      <c r="H11038" t="s">
        <v>14201</v>
      </c>
      <c r="I11038" t="s">
        <v>8682</v>
      </c>
      <c r="J11038" t="s">
        <v>32795</v>
      </c>
      <c r="K11038" t="s">
        <v>42636</v>
      </c>
      <c r="M11038" t="s">
        <v>44011</v>
      </c>
      <c r="N11038" t="s">
        <v>47304</v>
      </c>
      <c r="O11038" t="s">
        <v>47305</v>
      </c>
      <c r="P11038">
        <v>0</v>
      </c>
      <c r="Q11038">
        <v>2</v>
      </c>
      <c r="R11038" t="s">
        <v>47314</v>
      </c>
      <c r="S11038" t="s">
        <v>47596</v>
      </c>
      <c r="T11038" t="s">
        <v>49040</v>
      </c>
      <c r="U11038" t="s">
        <v>51723</v>
      </c>
      <c r="W11038" t="s">
        <v>44011</v>
      </c>
      <c r="X11038" t="s">
        <v>47315</v>
      </c>
    </row>
    <row r="11039" spans="1:24">
      <c r="A11039">
        <f>HYPERLINK("https://www.philgeps.gov.ph/GEPSNONPILOT/Tender/SplashBidNoticeAbstractUI.aspx?menuIndex=3&amp;refID=7183253&amp;Result=3","7183253")</f>
        <v>0</v>
      </c>
      <c r="B11039" t="s">
        <v>1660</v>
      </c>
      <c r="C11039" t="s">
        <v>14279</v>
      </c>
      <c r="D11039" t="s">
        <v>19011</v>
      </c>
      <c r="E11039" t="s">
        <v>28491</v>
      </c>
      <c r="F11039" t="s">
        <v>32606</v>
      </c>
      <c r="G11039" t="s">
        <v>32613</v>
      </c>
      <c r="H11039" t="s">
        <v>14201</v>
      </c>
      <c r="I11039" t="s">
        <v>7677</v>
      </c>
      <c r="J11039" t="s">
        <v>39640</v>
      </c>
      <c r="K11039" t="s">
        <v>42623</v>
      </c>
      <c r="M11039" t="s">
        <v>44685</v>
      </c>
      <c r="N11039" t="s">
        <v>47304</v>
      </c>
      <c r="O11039" t="s">
        <v>47305</v>
      </c>
      <c r="Q11039">
        <v>6</v>
      </c>
      <c r="R11039" t="s">
        <v>47314</v>
      </c>
      <c r="S11039" t="s">
        <v>47654</v>
      </c>
      <c r="T11039" t="s">
        <v>49349</v>
      </c>
      <c r="U11039" t="s">
        <v>53354</v>
      </c>
      <c r="V11039" t="s">
        <v>63054</v>
      </c>
      <c r="W11039" t="s">
        <v>44685</v>
      </c>
      <c r="X11039" t="s">
        <v>47315</v>
      </c>
    </row>
    <row r="11040" spans="1:24">
      <c r="A11040">
        <f>HYPERLINK("https://www.philgeps.gov.ph/GEPSNONPILOT/Tender/SplashBidNoticeAbstractUI.aspx?menuIndex=3&amp;refID=7183247&amp;Result=3","7183247")</f>
        <v>0</v>
      </c>
      <c r="B11040" t="s">
        <v>1684</v>
      </c>
      <c r="C11040" t="s">
        <v>14280</v>
      </c>
      <c r="D11040" t="s">
        <v>19032</v>
      </c>
      <c r="E11040" t="s">
        <v>28492</v>
      </c>
      <c r="F11040" t="s">
        <v>32606</v>
      </c>
      <c r="G11040" t="s">
        <v>32613</v>
      </c>
      <c r="H11040" t="s">
        <v>32623</v>
      </c>
      <c r="I11040" t="s">
        <v>17648</v>
      </c>
      <c r="J11040" t="s">
        <v>39641</v>
      </c>
      <c r="K11040" t="s">
        <v>42715</v>
      </c>
      <c r="M11040" t="s">
        <v>44713</v>
      </c>
      <c r="N11040" t="s">
        <v>47304</v>
      </c>
      <c r="O11040" t="s">
        <v>47305</v>
      </c>
      <c r="P11040">
        <v>0</v>
      </c>
      <c r="Q11040">
        <v>0</v>
      </c>
      <c r="R11040" t="s">
        <v>47314</v>
      </c>
      <c r="S11040" t="s">
        <v>47596</v>
      </c>
      <c r="T11040" t="s">
        <v>49240</v>
      </c>
      <c r="U11040" t="s">
        <v>58657</v>
      </c>
      <c r="W11040" t="s">
        <v>44713</v>
      </c>
      <c r="X11040" t="s">
        <v>47315</v>
      </c>
    </row>
    <row r="11041" spans="1:24">
      <c r="A11041">
        <f>HYPERLINK("https://www.philgeps.gov.ph/GEPSNONPILOT/Tender/SplashBidNoticeAbstractUI.aspx?menuIndex=3&amp;refID=7183243&amp;Result=3","7183243")</f>
        <v>0</v>
      </c>
      <c r="B11041" t="s">
        <v>1058</v>
      </c>
      <c r="C11041" t="s">
        <v>14281</v>
      </c>
      <c r="D11041" t="s">
        <v>19039</v>
      </c>
      <c r="E11041" t="s">
        <v>28493</v>
      </c>
      <c r="F11041" t="s">
        <v>32606</v>
      </c>
      <c r="G11041" t="s">
        <v>32613</v>
      </c>
      <c r="H11041" t="s">
        <v>14201</v>
      </c>
      <c r="I11041" t="s">
        <v>6007</v>
      </c>
      <c r="J11041" t="s">
        <v>39642</v>
      </c>
      <c r="K11041" t="s">
        <v>42648</v>
      </c>
      <c r="M11041" t="s">
        <v>44011</v>
      </c>
      <c r="N11041" t="s">
        <v>47304</v>
      </c>
      <c r="O11041" t="s">
        <v>47305</v>
      </c>
      <c r="P11041">
        <v>0</v>
      </c>
      <c r="Q11041">
        <v>0</v>
      </c>
      <c r="R11041" t="s">
        <v>47314</v>
      </c>
      <c r="S11041" t="s">
        <v>47596</v>
      </c>
      <c r="T11041" t="s">
        <v>49068</v>
      </c>
      <c r="U11041" t="s">
        <v>51723</v>
      </c>
      <c r="W11041" t="s">
        <v>44011</v>
      </c>
      <c r="X11041" t="s">
        <v>47315</v>
      </c>
    </row>
    <row r="11042" spans="1:24">
      <c r="A11042">
        <f>HYPERLINK("https://www.philgeps.gov.ph/GEPSNONPILOT/Tender/SplashBidNoticeAbstractUI.aspx?menuIndex=3&amp;refID=7183241&amp;Result=3","7183241")</f>
        <v>0</v>
      </c>
      <c r="B11042" t="s">
        <v>1949</v>
      </c>
      <c r="C11042" t="s">
        <v>14282</v>
      </c>
      <c r="D11042" t="s">
        <v>18995</v>
      </c>
      <c r="E11042" t="s">
        <v>28494</v>
      </c>
      <c r="F11042" t="s">
        <v>32606</v>
      </c>
      <c r="G11042" t="s">
        <v>32613</v>
      </c>
      <c r="H11042" t="s">
        <v>32623</v>
      </c>
      <c r="I11042" t="s">
        <v>17648</v>
      </c>
      <c r="J11042" t="s">
        <v>32772</v>
      </c>
      <c r="K11042" t="s">
        <v>42631</v>
      </c>
      <c r="M11042" t="s">
        <v>45010</v>
      </c>
      <c r="N11042" t="s">
        <v>47304</v>
      </c>
      <c r="O11042" t="s">
        <v>47305</v>
      </c>
      <c r="P11042">
        <v>0</v>
      </c>
      <c r="Q11042">
        <v>0</v>
      </c>
      <c r="R11042" t="s">
        <v>47314</v>
      </c>
      <c r="S11042" t="s">
        <v>47596</v>
      </c>
      <c r="T11042" t="s">
        <v>49014</v>
      </c>
      <c r="U11042" t="s">
        <v>58658</v>
      </c>
      <c r="V11042" t="s">
        <v>63819</v>
      </c>
      <c r="W11042" t="s">
        <v>45010</v>
      </c>
      <c r="X11042" t="s">
        <v>47315</v>
      </c>
    </row>
    <row r="11043" spans="1:24">
      <c r="A11043">
        <f>HYPERLINK("https://www.philgeps.gov.ph/GEPSNONPILOT/Tender/SplashBidNoticeAbstractUI.aspx?menuIndex=3&amp;refID=7183200&amp;Result=3","7183200")</f>
        <v>0</v>
      </c>
      <c r="B11043" t="s">
        <v>3231</v>
      </c>
      <c r="C11043" t="s">
        <v>14283</v>
      </c>
      <c r="D11043" t="s">
        <v>19046</v>
      </c>
      <c r="E11043" t="s">
        <v>25162</v>
      </c>
      <c r="F11043" t="s">
        <v>32606</v>
      </c>
      <c r="G11043" t="s">
        <v>32613</v>
      </c>
      <c r="H11043" t="s">
        <v>32623</v>
      </c>
      <c r="I11043" t="s">
        <v>17648</v>
      </c>
      <c r="J11043" t="s">
        <v>39643</v>
      </c>
      <c r="K11043" t="s">
        <v>42683</v>
      </c>
      <c r="M11043" t="s">
        <v>46462</v>
      </c>
      <c r="N11043" t="s">
        <v>47304</v>
      </c>
      <c r="O11043" t="s">
        <v>47305</v>
      </c>
      <c r="P11043">
        <v>0</v>
      </c>
      <c r="Q11043">
        <v>2</v>
      </c>
      <c r="R11043" t="s">
        <v>47314</v>
      </c>
      <c r="S11043" t="s">
        <v>47596</v>
      </c>
      <c r="T11043" t="s">
        <v>49291</v>
      </c>
      <c r="U11043" t="s">
        <v>58659</v>
      </c>
      <c r="V11043" t="s">
        <v>63820</v>
      </c>
      <c r="W11043" t="s">
        <v>46462</v>
      </c>
      <c r="X11043" t="s">
        <v>47315</v>
      </c>
    </row>
    <row r="11044" spans="1:24">
      <c r="A11044">
        <f>HYPERLINK("https://www.philgeps.gov.ph/GEPSNONPILOT/Tender/SplashBidNoticeAbstractUI.aspx?menuIndex=3&amp;refID=7183276&amp;Result=3","7183276")</f>
        <v>0</v>
      </c>
      <c r="B11044" t="s">
        <v>2500</v>
      </c>
      <c r="C11044" t="s">
        <v>14284</v>
      </c>
      <c r="D11044" t="s">
        <v>19053</v>
      </c>
      <c r="E11044" t="s">
        <v>28495</v>
      </c>
      <c r="F11044" t="s">
        <v>32606</v>
      </c>
      <c r="G11044" t="s">
        <v>32613</v>
      </c>
      <c r="H11044" t="s">
        <v>32623</v>
      </c>
      <c r="I11044" t="s">
        <v>17648</v>
      </c>
      <c r="J11044" t="s">
        <v>34158</v>
      </c>
      <c r="K11044" t="s">
        <v>42646</v>
      </c>
      <c r="M11044" t="s">
        <v>45638</v>
      </c>
      <c r="N11044" t="s">
        <v>47304</v>
      </c>
      <c r="O11044" t="s">
        <v>47305</v>
      </c>
      <c r="P11044">
        <v>0</v>
      </c>
      <c r="Q11044">
        <v>0</v>
      </c>
      <c r="R11044" t="s">
        <v>47314</v>
      </c>
      <c r="S11044" t="s">
        <v>47596</v>
      </c>
      <c r="T11044" t="s">
        <v>49140</v>
      </c>
      <c r="U11044" t="s">
        <v>58660</v>
      </c>
      <c r="V11044" t="s">
        <v>63821</v>
      </c>
      <c r="W11044" t="s">
        <v>45638</v>
      </c>
      <c r="X11044" t="s">
        <v>47315</v>
      </c>
    </row>
    <row r="11045" spans="1:24">
      <c r="A11045">
        <f>HYPERLINK("https://www.philgeps.gov.ph/GEPSNONPILOT/Tender/SplashBidNoticeAbstractUI.aspx?menuIndex=3&amp;refID=7183315&amp;Result=3","7183315")</f>
        <v>0</v>
      </c>
      <c r="B11045" t="s">
        <v>3229</v>
      </c>
      <c r="C11045" t="s">
        <v>14285</v>
      </c>
      <c r="D11045" t="s">
        <v>19018</v>
      </c>
      <c r="E11045" t="s">
        <v>28496</v>
      </c>
      <c r="F11045" t="s">
        <v>32606</v>
      </c>
      <c r="G11045" t="s">
        <v>32613</v>
      </c>
      <c r="H11045" t="s">
        <v>14201</v>
      </c>
      <c r="I11045" t="s">
        <v>4120</v>
      </c>
      <c r="J11045" t="s">
        <v>39644</v>
      </c>
      <c r="K11045" t="s">
        <v>42631</v>
      </c>
      <c r="M11045" t="s">
        <v>46459</v>
      </c>
      <c r="N11045" t="s">
        <v>47304</v>
      </c>
      <c r="O11045" t="s">
        <v>47305</v>
      </c>
      <c r="P11045">
        <v>0</v>
      </c>
      <c r="Q11045">
        <v>1</v>
      </c>
      <c r="R11045" t="s">
        <v>47314</v>
      </c>
      <c r="S11045" t="s">
        <v>47596</v>
      </c>
      <c r="T11045" t="s">
        <v>49052</v>
      </c>
      <c r="U11045" t="s">
        <v>58606</v>
      </c>
      <c r="W11045" t="s">
        <v>46459</v>
      </c>
      <c r="X11045" t="s">
        <v>47315</v>
      </c>
    </row>
    <row r="11046" spans="1:24">
      <c r="A11046">
        <f>HYPERLINK("https://www.philgeps.gov.ph/GEPSNONPILOT/Tender/SplashBidNoticeAbstractUI.aspx?menuIndex=3&amp;refID=7183272&amp;Result=3","7183272")</f>
        <v>0</v>
      </c>
      <c r="B11046" t="s">
        <v>799</v>
      </c>
      <c r="C11046" t="s">
        <v>14286</v>
      </c>
      <c r="E11046" t="s">
        <v>28497</v>
      </c>
      <c r="F11046" t="s">
        <v>32606</v>
      </c>
      <c r="G11046" t="s">
        <v>32613</v>
      </c>
      <c r="H11046" t="s">
        <v>14201</v>
      </c>
      <c r="I11046" t="s">
        <v>6931</v>
      </c>
      <c r="J11046" t="s">
        <v>39645</v>
      </c>
      <c r="K11046" t="s">
        <v>42630</v>
      </c>
      <c r="M11046" t="s">
        <v>43730</v>
      </c>
      <c r="N11046" t="s">
        <v>47304</v>
      </c>
      <c r="O11046" t="s">
        <v>47305</v>
      </c>
      <c r="P11046">
        <v>0</v>
      </c>
      <c r="Q11046">
        <v>2</v>
      </c>
      <c r="R11046" t="s">
        <v>47314</v>
      </c>
      <c r="S11046" t="s">
        <v>47596</v>
      </c>
      <c r="T11046" t="s">
        <v>49036</v>
      </c>
      <c r="U11046" t="s">
        <v>58661</v>
      </c>
      <c r="V11046" t="s">
        <v>63812</v>
      </c>
      <c r="W11046" t="s">
        <v>43730</v>
      </c>
      <c r="X11046" t="s">
        <v>47315</v>
      </c>
    </row>
    <row r="11047" spans="1:24">
      <c r="A11047">
        <f>HYPERLINK("https://www.philgeps.gov.ph/GEPSNONPILOT/Tender/SplashBidNoticeAbstractUI.aspx?menuIndex=3&amp;refID=7183244&amp;Result=3","7183244")</f>
        <v>0</v>
      </c>
      <c r="B11047" t="s">
        <v>3219</v>
      </c>
      <c r="C11047" t="s">
        <v>14287</v>
      </c>
      <c r="D11047" t="s">
        <v>19007</v>
      </c>
      <c r="E11047" t="s">
        <v>28498</v>
      </c>
      <c r="F11047" t="s">
        <v>32606</v>
      </c>
      <c r="G11047" t="s">
        <v>32613</v>
      </c>
      <c r="H11047" t="s">
        <v>32623</v>
      </c>
      <c r="I11047" t="s">
        <v>17648</v>
      </c>
      <c r="J11047" t="s">
        <v>39646</v>
      </c>
      <c r="K11047" t="s">
        <v>42636</v>
      </c>
      <c r="M11047" t="s">
        <v>46445</v>
      </c>
      <c r="N11047" t="s">
        <v>47304</v>
      </c>
      <c r="O11047" t="s">
        <v>47305</v>
      </c>
      <c r="P11047">
        <v>0</v>
      </c>
      <c r="Q11047">
        <v>0</v>
      </c>
      <c r="R11047" t="s">
        <v>47314</v>
      </c>
      <c r="S11047" t="s">
        <v>47596</v>
      </c>
      <c r="T11047" t="s">
        <v>49140</v>
      </c>
      <c r="U11047" t="s">
        <v>58662</v>
      </c>
      <c r="W11047" t="s">
        <v>46445</v>
      </c>
      <c r="X11047" t="s">
        <v>47315</v>
      </c>
    </row>
    <row r="11048" spans="1:24">
      <c r="A11048">
        <f>HYPERLINK("https://www.philgeps.gov.ph/GEPSNONPILOT/Tender/SplashBidNoticeAbstractUI.aspx?menuIndex=3&amp;refID=7183314&amp;Result=3","7183314")</f>
        <v>0</v>
      </c>
      <c r="B11048" t="s">
        <v>3229</v>
      </c>
      <c r="C11048" t="s">
        <v>14288</v>
      </c>
      <c r="D11048" t="s">
        <v>19018</v>
      </c>
      <c r="E11048" t="s">
        <v>28499</v>
      </c>
      <c r="F11048" t="s">
        <v>32606</v>
      </c>
      <c r="G11048" t="s">
        <v>32613</v>
      </c>
      <c r="H11048" t="s">
        <v>14201</v>
      </c>
      <c r="I11048" t="s">
        <v>4120</v>
      </c>
      <c r="J11048" t="s">
        <v>39647</v>
      </c>
      <c r="K11048" t="s">
        <v>42631</v>
      </c>
      <c r="M11048" t="s">
        <v>46459</v>
      </c>
      <c r="N11048" t="s">
        <v>47304</v>
      </c>
      <c r="O11048" t="s">
        <v>47305</v>
      </c>
      <c r="P11048">
        <v>0</v>
      </c>
      <c r="Q11048">
        <v>1</v>
      </c>
      <c r="R11048" t="s">
        <v>47314</v>
      </c>
      <c r="S11048" t="s">
        <v>47596</v>
      </c>
      <c r="T11048" t="s">
        <v>49052</v>
      </c>
      <c r="U11048" t="s">
        <v>58606</v>
      </c>
      <c r="W11048" t="s">
        <v>46459</v>
      </c>
      <c r="X11048" t="s">
        <v>47315</v>
      </c>
    </row>
    <row r="11049" spans="1:24">
      <c r="A11049">
        <f>HYPERLINK("https://www.philgeps.gov.ph/GEPSNONPILOT/Tender/SplashBidNoticeAbstractUI.aspx?menuIndex=3&amp;refID=7183309&amp;Result=3","7183309")</f>
        <v>0</v>
      </c>
      <c r="B11049" t="s">
        <v>3234</v>
      </c>
      <c r="C11049" t="s">
        <v>14289</v>
      </c>
      <c r="D11049" t="s">
        <v>19056</v>
      </c>
      <c r="E11049" t="s">
        <v>28500</v>
      </c>
      <c r="F11049" t="s">
        <v>32606</v>
      </c>
      <c r="G11049" t="s">
        <v>32613</v>
      </c>
      <c r="H11049" t="s">
        <v>32623</v>
      </c>
      <c r="I11049" t="s">
        <v>17648</v>
      </c>
      <c r="J11049" t="s">
        <v>39648</v>
      </c>
      <c r="K11049" t="s">
        <v>42654</v>
      </c>
      <c r="M11049" t="s">
        <v>46465</v>
      </c>
      <c r="N11049" t="s">
        <v>47304</v>
      </c>
      <c r="O11049" t="s">
        <v>47305</v>
      </c>
      <c r="P11049">
        <v>0</v>
      </c>
      <c r="Q11049">
        <v>0</v>
      </c>
      <c r="R11049" t="s">
        <v>47314</v>
      </c>
      <c r="S11049" t="s">
        <v>47596</v>
      </c>
      <c r="T11049" t="s">
        <v>49047</v>
      </c>
      <c r="U11049" t="s">
        <v>58663</v>
      </c>
      <c r="W11049" t="s">
        <v>46465</v>
      </c>
      <c r="X11049" t="s">
        <v>47315</v>
      </c>
    </row>
    <row r="11050" spans="1:24">
      <c r="A11050">
        <f>HYPERLINK("https://www.philgeps.gov.ph/GEPSNONPILOT/Tender/SplashBidNoticeAbstractUI.aspx?menuIndex=3&amp;refID=7183258&amp;Result=3","7183258")</f>
        <v>0</v>
      </c>
      <c r="B11050" t="s">
        <v>1058</v>
      </c>
      <c r="C11050" t="s">
        <v>14290</v>
      </c>
      <c r="D11050" t="s">
        <v>19039</v>
      </c>
      <c r="E11050" t="s">
        <v>28501</v>
      </c>
      <c r="F11050" t="s">
        <v>32606</v>
      </c>
      <c r="G11050" t="s">
        <v>32613</v>
      </c>
      <c r="H11050" t="s">
        <v>14201</v>
      </c>
      <c r="I11050" t="s">
        <v>8682</v>
      </c>
      <c r="J11050" t="s">
        <v>36641</v>
      </c>
      <c r="K11050" t="s">
        <v>42636</v>
      </c>
      <c r="M11050" t="s">
        <v>44011</v>
      </c>
      <c r="N11050" t="s">
        <v>47304</v>
      </c>
      <c r="O11050" t="s">
        <v>47305</v>
      </c>
      <c r="P11050">
        <v>0</v>
      </c>
      <c r="Q11050">
        <v>2</v>
      </c>
      <c r="R11050" t="s">
        <v>47314</v>
      </c>
      <c r="S11050" t="s">
        <v>47596</v>
      </c>
      <c r="T11050" t="s">
        <v>49040</v>
      </c>
      <c r="U11050" t="s">
        <v>51723</v>
      </c>
      <c r="W11050" t="s">
        <v>44011</v>
      </c>
      <c r="X11050" t="s">
        <v>47315</v>
      </c>
    </row>
    <row r="11051" spans="1:24">
      <c r="A11051">
        <f>HYPERLINK("https://www.philgeps.gov.ph/GEPSNONPILOT/Tender/SplashBidNoticeAbstractUI.aspx?menuIndex=3&amp;refID=7183307&amp;Result=3","7183307")</f>
        <v>0</v>
      </c>
      <c r="B11051" t="s">
        <v>3229</v>
      </c>
      <c r="C11051" t="s">
        <v>14291</v>
      </c>
      <c r="D11051" t="s">
        <v>19018</v>
      </c>
      <c r="E11051" t="s">
        <v>28502</v>
      </c>
      <c r="F11051" t="s">
        <v>32606</v>
      </c>
      <c r="G11051" t="s">
        <v>32613</v>
      </c>
      <c r="H11051" t="s">
        <v>14201</v>
      </c>
      <c r="I11051" t="s">
        <v>4120</v>
      </c>
      <c r="J11051" t="s">
        <v>39649</v>
      </c>
      <c r="K11051" t="s">
        <v>42631</v>
      </c>
      <c r="M11051" t="s">
        <v>46459</v>
      </c>
      <c r="N11051" t="s">
        <v>47304</v>
      </c>
      <c r="O11051" t="s">
        <v>47305</v>
      </c>
      <c r="P11051">
        <v>0</v>
      </c>
      <c r="Q11051">
        <v>1</v>
      </c>
      <c r="R11051" t="s">
        <v>47314</v>
      </c>
      <c r="S11051" t="s">
        <v>47596</v>
      </c>
      <c r="T11051" t="s">
        <v>49052</v>
      </c>
      <c r="U11051" t="s">
        <v>58606</v>
      </c>
      <c r="W11051" t="s">
        <v>46459</v>
      </c>
      <c r="X11051" t="s">
        <v>47315</v>
      </c>
    </row>
    <row r="11052" spans="1:24">
      <c r="A11052">
        <f>HYPERLINK("https://www.philgeps.gov.ph/GEPSNONPILOT/Tender/SplashBidNoticeAbstractUI.aspx?menuIndex=3&amp;refID=7183303&amp;Result=3","7183303")</f>
        <v>0</v>
      </c>
      <c r="B11052" t="s">
        <v>2539</v>
      </c>
      <c r="C11052" t="s">
        <v>14292</v>
      </c>
      <c r="D11052" t="s">
        <v>18990</v>
      </c>
      <c r="E11052" t="s">
        <v>28503</v>
      </c>
      <c r="F11052" t="s">
        <v>32606</v>
      </c>
      <c r="G11052" t="s">
        <v>32613</v>
      </c>
      <c r="H11052" t="s">
        <v>32623</v>
      </c>
      <c r="I11052" t="s">
        <v>17648</v>
      </c>
      <c r="J11052" t="s">
        <v>39650</v>
      </c>
      <c r="K11052" t="s">
        <v>42712</v>
      </c>
      <c r="M11052" t="s">
        <v>45679</v>
      </c>
      <c r="N11052" t="s">
        <v>47304</v>
      </c>
      <c r="O11052" t="s">
        <v>47305</v>
      </c>
      <c r="P11052">
        <v>0</v>
      </c>
      <c r="Q11052">
        <v>2</v>
      </c>
      <c r="R11052" t="s">
        <v>47314</v>
      </c>
      <c r="S11052" t="s">
        <v>47596</v>
      </c>
      <c r="T11052" t="s">
        <v>49040</v>
      </c>
      <c r="U11052" t="s">
        <v>58664</v>
      </c>
      <c r="W11052" t="s">
        <v>45679</v>
      </c>
      <c r="X11052" t="s">
        <v>47315</v>
      </c>
    </row>
    <row r="11053" spans="1:24">
      <c r="A11053">
        <f>HYPERLINK("https://www.philgeps.gov.ph/GEPSNONPILOT/Tender/SplashBidNoticeAbstractUI.aspx?menuIndex=3&amp;refID=7183298&amp;Result=3","7183298")</f>
        <v>0</v>
      </c>
      <c r="B11053" t="s">
        <v>3229</v>
      </c>
      <c r="C11053" t="s">
        <v>14293</v>
      </c>
      <c r="D11053" t="s">
        <v>19018</v>
      </c>
      <c r="E11053" t="s">
        <v>28504</v>
      </c>
      <c r="F11053" t="s">
        <v>32606</v>
      </c>
      <c r="G11053" t="s">
        <v>32613</v>
      </c>
      <c r="H11053" t="s">
        <v>14201</v>
      </c>
      <c r="I11053" t="s">
        <v>4120</v>
      </c>
      <c r="J11053" t="s">
        <v>39651</v>
      </c>
      <c r="K11053" t="s">
        <v>42631</v>
      </c>
      <c r="M11053" t="s">
        <v>46459</v>
      </c>
      <c r="N11053" t="s">
        <v>47304</v>
      </c>
      <c r="O11053" t="s">
        <v>47305</v>
      </c>
      <c r="P11053">
        <v>0</v>
      </c>
      <c r="Q11053">
        <v>1</v>
      </c>
      <c r="R11053" t="s">
        <v>47314</v>
      </c>
      <c r="S11053" t="s">
        <v>47596</v>
      </c>
      <c r="T11053" t="s">
        <v>49052</v>
      </c>
      <c r="U11053" t="s">
        <v>58606</v>
      </c>
      <c r="W11053" t="s">
        <v>46459</v>
      </c>
      <c r="X11053" t="s">
        <v>47315</v>
      </c>
    </row>
    <row r="11054" spans="1:24">
      <c r="A11054">
        <f>HYPERLINK("https://www.philgeps.gov.ph/GEPSNONPILOT/Tender/SplashBidNoticeAbstractUI.aspx?menuIndex=3&amp;refID=7183310&amp;Result=3","7183310")</f>
        <v>0</v>
      </c>
      <c r="B11054" t="s">
        <v>1949</v>
      </c>
      <c r="C11054" t="s">
        <v>14294</v>
      </c>
      <c r="D11054" t="s">
        <v>18995</v>
      </c>
      <c r="E11054" t="s">
        <v>28505</v>
      </c>
      <c r="F11054" t="s">
        <v>32606</v>
      </c>
      <c r="G11054" t="s">
        <v>32613</v>
      </c>
      <c r="H11054" t="s">
        <v>32623</v>
      </c>
      <c r="I11054" t="s">
        <v>17648</v>
      </c>
      <c r="J11054" t="s">
        <v>32772</v>
      </c>
      <c r="K11054" t="s">
        <v>42631</v>
      </c>
      <c r="M11054" t="s">
        <v>45010</v>
      </c>
      <c r="N11054" t="s">
        <v>47304</v>
      </c>
      <c r="O11054" t="s">
        <v>47305</v>
      </c>
      <c r="P11054">
        <v>0</v>
      </c>
      <c r="Q11054">
        <v>0</v>
      </c>
      <c r="R11054" t="s">
        <v>47314</v>
      </c>
      <c r="S11054" t="s">
        <v>47596</v>
      </c>
      <c r="T11054" t="s">
        <v>49014</v>
      </c>
      <c r="U11054" t="s">
        <v>58665</v>
      </c>
      <c r="V11054" t="s">
        <v>63819</v>
      </c>
      <c r="W11054" t="s">
        <v>45010</v>
      </c>
      <c r="X11054" t="s">
        <v>47315</v>
      </c>
    </row>
    <row r="11055" spans="1:24">
      <c r="A11055">
        <f>HYPERLINK("https://www.philgeps.gov.ph/GEPSNONPILOT/Tender/SplashBidNoticeAbstractUI.aspx?menuIndex=3&amp;refID=7183312&amp;Result=3","7183312")</f>
        <v>0</v>
      </c>
      <c r="B11055" t="s">
        <v>3235</v>
      </c>
      <c r="C11055" t="s">
        <v>14295</v>
      </c>
      <c r="D11055" t="s">
        <v>19049</v>
      </c>
      <c r="E11055" t="s">
        <v>28506</v>
      </c>
      <c r="F11055" t="s">
        <v>32606</v>
      </c>
      <c r="G11055" t="s">
        <v>32613</v>
      </c>
      <c r="H11055" t="s">
        <v>32623</v>
      </c>
      <c r="I11055" t="s">
        <v>17648</v>
      </c>
      <c r="J11055" t="s">
        <v>39652</v>
      </c>
      <c r="K11055" t="s">
        <v>42742</v>
      </c>
      <c r="M11055" t="s">
        <v>46466</v>
      </c>
      <c r="N11055" t="s">
        <v>47304</v>
      </c>
      <c r="O11055" t="s">
        <v>47305</v>
      </c>
      <c r="P11055">
        <v>0</v>
      </c>
      <c r="Q11055">
        <v>2</v>
      </c>
      <c r="R11055" t="s">
        <v>47314</v>
      </c>
      <c r="S11055" t="s">
        <v>47596</v>
      </c>
      <c r="T11055" t="s">
        <v>49075</v>
      </c>
      <c r="U11055" t="s">
        <v>58666</v>
      </c>
      <c r="V11055" t="s">
        <v>63822</v>
      </c>
      <c r="W11055" t="s">
        <v>64530</v>
      </c>
      <c r="X11055" t="s">
        <v>47315</v>
      </c>
    </row>
    <row r="11056" spans="1:24">
      <c r="A11056">
        <f>HYPERLINK("https://www.philgeps.gov.ph/GEPSNONPILOT/Tender/SplashBidNoticeAbstractUI.aspx?menuIndex=3&amp;refID=7183297&amp;Result=3","7183297")</f>
        <v>0</v>
      </c>
      <c r="B11056" t="s">
        <v>799</v>
      </c>
      <c r="C11056" t="s">
        <v>14296</v>
      </c>
      <c r="E11056" t="s">
        <v>28507</v>
      </c>
      <c r="F11056" t="s">
        <v>32606</v>
      </c>
      <c r="G11056" t="s">
        <v>32613</v>
      </c>
      <c r="H11056" t="s">
        <v>14201</v>
      </c>
      <c r="I11056" t="s">
        <v>7064</v>
      </c>
      <c r="J11056" t="s">
        <v>32830</v>
      </c>
      <c r="K11056" t="s">
        <v>42631</v>
      </c>
      <c r="M11056" t="s">
        <v>43730</v>
      </c>
      <c r="N11056" t="s">
        <v>47304</v>
      </c>
      <c r="O11056" t="s">
        <v>47305</v>
      </c>
      <c r="P11056">
        <v>0</v>
      </c>
      <c r="Q11056">
        <v>6</v>
      </c>
      <c r="R11056" t="s">
        <v>47314</v>
      </c>
      <c r="S11056" t="s">
        <v>47596</v>
      </c>
      <c r="T11056" t="s">
        <v>49036</v>
      </c>
      <c r="U11056" t="s">
        <v>58667</v>
      </c>
      <c r="V11056" t="s">
        <v>63812</v>
      </c>
      <c r="W11056" t="s">
        <v>43730</v>
      </c>
      <c r="X11056" t="s">
        <v>47315</v>
      </c>
    </row>
    <row r="11057" spans="1:24">
      <c r="A11057">
        <f>HYPERLINK("https://www.philgeps.gov.ph/GEPSNONPILOT/Tender/SplashBidNoticeAbstractUI.aspx?menuIndex=3&amp;refID=7183289&amp;Result=3","7183289")</f>
        <v>0</v>
      </c>
      <c r="B11057" t="s">
        <v>2458</v>
      </c>
      <c r="C11057" t="s">
        <v>14297</v>
      </c>
      <c r="E11057" t="s">
        <v>28508</v>
      </c>
      <c r="F11057" t="s">
        <v>32606</v>
      </c>
      <c r="G11057" t="s">
        <v>32613</v>
      </c>
      <c r="H11057" t="s">
        <v>32623</v>
      </c>
      <c r="I11057" t="s">
        <v>32661</v>
      </c>
      <c r="J11057" t="s">
        <v>39653</v>
      </c>
      <c r="K11057" t="s">
        <v>42731</v>
      </c>
      <c r="M11057" t="s">
        <v>46467</v>
      </c>
      <c r="N11057" t="s">
        <v>47304</v>
      </c>
      <c r="O11057" t="s">
        <v>47305</v>
      </c>
      <c r="P11057">
        <v>0</v>
      </c>
      <c r="Q11057">
        <v>3</v>
      </c>
      <c r="R11057" t="s">
        <v>47314</v>
      </c>
      <c r="S11057" t="s">
        <v>47596</v>
      </c>
      <c r="T11057" t="s">
        <v>49111</v>
      </c>
      <c r="U11057" t="s">
        <v>58668</v>
      </c>
      <c r="W11057" t="s">
        <v>46467</v>
      </c>
      <c r="X11057" t="s">
        <v>47315</v>
      </c>
    </row>
    <row r="11058" spans="1:24">
      <c r="A11058">
        <f>HYPERLINK("https://www.philgeps.gov.ph/GEPSNONPILOT/Tender/SplashBidNoticeAbstractUI.aspx?menuIndex=3&amp;refID=7183287&amp;Result=3","7183287")</f>
        <v>0</v>
      </c>
      <c r="B11058" t="s">
        <v>799</v>
      </c>
      <c r="C11058" t="s">
        <v>14298</v>
      </c>
      <c r="E11058" t="s">
        <v>28509</v>
      </c>
      <c r="F11058" t="s">
        <v>32606</v>
      </c>
      <c r="G11058" t="s">
        <v>32613</v>
      </c>
      <c r="H11058" t="s">
        <v>14201</v>
      </c>
      <c r="I11058" t="s">
        <v>32737</v>
      </c>
      <c r="J11058" t="s">
        <v>33071</v>
      </c>
      <c r="K11058" t="s">
        <v>42648</v>
      </c>
      <c r="M11058" t="s">
        <v>43730</v>
      </c>
      <c r="N11058" t="s">
        <v>47304</v>
      </c>
      <c r="O11058" t="s">
        <v>47305</v>
      </c>
      <c r="P11058">
        <v>0</v>
      </c>
      <c r="Q11058">
        <v>10</v>
      </c>
      <c r="R11058" t="s">
        <v>47314</v>
      </c>
      <c r="S11058" t="s">
        <v>47596</v>
      </c>
      <c r="T11058" t="s">
        <v>49036</v>
      </c>
      <c r="U11058" t="s">
        <v>58669</v>
      </c>
      <c r="V11058" t="s">
        <v>63812</v>
      </c>
      <c r="W11058" t="s">
        <v>43730</v>
      </c>
      <c r="X11058" t="s">
        <v>47315</v>
      </c>
    </row>
    <row r="11059" spans="1:24">
      <c r="A11059">
        <f>HYPERLINK("https://www.philgeps.gov.ph/GEPSNONPILOT/Tender/SplashBidNoticeAbstractUI.aspx?menuIndex=3&amp;refID=7183285&amp;Result=3","7183285")</f>
        <v>0</v>
      </c>
      <c r="B11059" t="s">
        <v>2500</v>
      </c>
      <c r="C11059" t="s">
        <v>14299</v>
      </c>
      <c r="D11059" t="s">
        <v>19053</v>
      </c>
      <c r="E11059" t="s">
        <v>28510</v>
      </c>
      <c r="F11059" t="s">
        <v>32606</v>
      </c>
      <c r="G11059" t="s">
        <v>32613</v>
      </c>
      <c r="H11059" t="s">
        <v>32623</v>
      </c>
      <c r="I11059" t="s">
        <v>17648</v>
      </c>
      <c r="J11059" t="s">
        <v>39629</v>
      </c>
      <c r="K11059" t="s">
        <v>42683</v>
      </c>
      <c r="M11059" t="s">
        <v>45638</v>
      </c>
      <c r="N11059" t="s">
        <v>47304</v>
      </c>
      <c r="O11059" t="s">
        <v>47305</v>
      </c>
      <c r="Q11059">
        <v>6</v>
      </c>
      <c r="R11059" t="s">
        <v>47314</v>
      </c>
      <c r="S11059" t="s">
        <v>47655</v>
      </c>
      <c r="T11059" t="s">
        <v>49140</v>
      </c>
      <c r="U11059" t="s">
        <v>58670</v>
      </c>
      <c r="V11059" t="s">
        <v>63823</v>
      </c>
      <c r="W11059" t="s">
        <v>45638</v>
      </c>
      <c r="X11059" t="s">
        <v>47315</v>
      </c>
    </row>
    <row r="11060" spans="1:24">
      <c r="A11060">
        <f>HYPERLINK("https://www.philgeps.gov.ph/GEPSNONPILOT/Tender/SplashBidNoticeAbstractUI.aspx?menuIndex=3&amp;refID=7183304&amp;Result=3","7183304")</f>
        <v>0</v>
      </c>
      <c r="B11060" t="s">
        <v>799</v>
      </c>
      <c r="C11060" t="s">
        <v>14300</v>
      </c>
      <c r="E11060" t="s">
        <v>28511</v>
      </c>
      <c r="F11060" t="s">
        <v>32606</v>
      </c>
      <c r="G11060" t="s">
        <v>32613</v>
      </c>
      <c r="H11060" t="s">
        <v>32623</v>
      </c>
      <c r="I11060" t="s">
        <v>17648</v>
      </c>
      <c r="J11060" t="s">
        <v>39654</v>
      </c>
      <c r="K11060" t="s">
        <v>42648</v>
      </c>
      <c r="M11060" t="s">
        <v>43730</v>
      </c>
      <c r="N11060" t="s">
        <v>47304</v>
      </c>
      <c r="O11060" t="s">
        <v>47305</v>
      </c>
      <c r="P11060">
        <v>0</v>
      </c>
      <c r="Q11060">
        <v>1</v>
      </c>
      <c r="R11060" t="s">
        <v>47314</v>
      </c>
      <c r="S11060" t="s">
        <v>47596</v>
      </c>
      <c r="T11060" t="s">
        <v>49036</v>
      </c>
      <c r="U11060" t="s">
        <v>58671</v>
      </c>
      <c r="V11060" t="s">
        <v>63812</v>
      </c>
      <c r="W11060" t="s">
        <v>43730</v>
      </c>
      <c r="X11060" t="s">
        <v>47315</v>
      </c>
    </row>
    <row r="11061" spans="1:24">
      <c r="A11061">
        <f>HYPERLINK("https://www.philgeps.gov.ph/GEPSNONPILOT/Tender/SplashBidNoticeAbstractUI.aspx?menuIndex=3&amp;refID=7183279&amp;Result=3","7183279")</f>
        <v>0</v>
      </c>
      <c r="B11061" t="s">
        <v>3236</v>
      </c>
      <c r="C11061" t="s">
        <v>5261</v>
      </c>
      <c r="D11061" t="s">
        <v>19004</v>
      </c>
      <c r="E11061" t="s">
        <v>28512</v>
      </c>
      <c r="F11061" t="s">
        <v>32606</v>
      </c>
      <c r="G11061" t="s">
        <v>32613</v>
      </c>
      <c r="H11061" t="s">
        <v>14201</v>
      </c>
      <c r="I11061" t="s">
        <v>4114</v>
      </c>
      <c r="J11061" t="s">
        <v>33986</v>
      </c>
      <c r="K11061" t="s">
        <v>42629</v>
      </c>
      <c r="M11061" t="s">
        <v>46468</v>
      </c>
      <c r="N11061" t="s">
        <v>47304</v>
      </c>
      <c r="O11061" t="s">
        <v>47305</v>
      </c>
      <c r="P11061">
        <v>0</v>
      </c>
      <c r="Q11061">
        <v>1</v>
      </c>
      <c r="R11061" t="s">
        <v>47314</v>
      </c>
      <c r="S11061" t="s">
        <v>47596</v>
      </c>
      <c r="T11061" t="s">
        <v>48979</v>
      </c>
      <c r="U11061" t="s">
        <v>58672</v>
      </c>
      <c r="W11061" t="s">
        <v>46468</v>
      </c>
      <c r="X11061" t="s">
        <v>47315</v>
      </c>
    </row>
    <row r="11062" spans="1:24">
      <c r="A11062">
        <f>HYPERLINK("https://www.philgeps.gov.ph/GEPSNONPILOT/Tender/SplashBidNoticeAbstractUI.aspx?menuIndex=3&amp;refID=7183275&amp;Result=3","7183275")</f>
        <v>0</v>
      </c>
      <c r="B11062" t="s">
        <v>1949</v>
      </c>
      <c r="C11062" t="s">
        <v>14301</v>
      </c>
      <c r="D11062" t="s">
        <v>18995</v>
      </c>
      <c r="E11062" t="s">
        <v>28513</v>
      </c>
      <c r="F11062" t="s">
        <v>32606</v>
      </c>
      <c r="G11062" t="s">
        <v>32613</v>
      </c>
      <c r="H11062" t="s">
        <v>32623</v>
      </c>
      <c r="I11062" t="s">
        <v>17648</v>
      </c>
      <c r="J11062" t="s">
        <v>32772</v>
      </c>
      <c r="K11062" t="s">
        <v>42631</v>
      </c>
      <c r="M11062" t="s">
        <v>45010</v>
      </c>
      <c r="N11062" t="s">
        <v>47304</v>
      </c>
      <c r="O11062" t="s">
        <v>47305</v>
      </c>
      <c r="P11062">
        <v>0</v>
      </c>
      <c r="Q11062">
        <v>0</v>
      </c>
      <c r="R11062" t="s">
        <v>47314</v>
      </c>
      <c r="S11062" t="s">
        <v>47596</v>
      </c>
      <c r="T11062" t="s">
        <v>49014</v>
      </c>
      <c r="U11062" t="s">
        <v>58673</v>
      </c>
      <c r="V11062" t="s">
        <v>63824</v>
      </c>
      <c r="W11062" t="s">
        <v>45010</v>
      </c>
      <c r="X11062" t="s">
        <v>47315</v>
      </c>
    </row>
    <row r="11063" spans="1:24">
      <c r="A11063">
        <f>HYPERLINK("https://www.philgeps.gov.ph/GEPSNONPILOT/Tender/SplashBidNoticeAbstractUI.aspx?menuIndex=3&amp;refID=7183277&amp;Result=3","7183277")</f>
        <v>0</v>
      </c>
      <c r="B11063" t="s">
        <v>3237</v>
      </c>
      <c r="C11063" t="s">
        <v>14302</v>
      </c>
      <c r="E11063" t="s">
        <v>19561</v>
      </c>
      <c r="F11063" t="s">
        <v>32606</v>
      </c>
      <c r="G11063" t="s">
        <v>32613</v>
      </c>
      <c r="H11063" t="s">
        <v>14201</v>
      </c>
      <c r="I11063" t="s">
        <v>32675</v>
      </c>
      <c r="J11063" t="s">
        <v>32765</v>
      </c>
      <c r="K11063" t="s">
        <v>42624</v>
      </c>
      <c r="L11063" t="s">
        <v>3237</v>
      </c>
      <c r="M11063" t="s">
        <v>46469</v>
      </c>
      <c r="N11063" t="s">
        <v>47304</v>
      </c>
      <c r="O11063" t="s">
        <v>47305</v>
      </c>
      <c r="P11063">
        <v>0</v>
      </c>
      <c r="Q11063">
        <v>0</v>
      </c>
      <c r="R11063" t="s">
        <v>47314</v>
      </c>
      <c r="S11063" t="s">
        <v>47596</v>
      </c>
      <c r="T11063" t="s">
        <v>48979</v>
      </c>
      <c r="U11063" t="s">
        <v>58674</v>
      </c>
      <c r="W11063" t="s">
        <v>46469</v>
      </c>
      <c r="X11063" t="s">
        <v>47315</v>
      </c>
    </row>
    <row r="11064" spans="1:24">
      <c r="A11064">
        <f>HYPERLINK("https://www.philgeps.gov.ph/GEPSNONPILOT/Tender/SplashBidNoticeAbstractUI.aspx?menuIndex=3&amp;refID=7183293&amp;Result=3","7183293")</f>
        <v>0</v>
      </c>
      <c r="B11064" t="s">
        <v>1058</v>
      </c>
      <c r="C11064" t="s">
        <v>14303</v>
      </c>
      <c r="D11064" t="s">
        <v>19039</v>
      </c>
      <c r="E11064" t="s">
        <v>28514</v>
      </c>
      <c r="F11064" t="s">
        <v>32606</v>
      </c>
      <c r="G11064" t="s">
        <v>32613</v>
      </c>
      <c r="H11064" t="s">
        <v>14201</v>
      </c>
      <c r="I11064" t="s">
        <v>7064</v>
      </c>
      <c r="J11064" t="s">
        <v>32821</v>
      </c>
      <c r="K11064" t="s">
        <v>42636</v>
      </c>
      <c r="M11064" t="s">
        <v>44011</v>
      </c>
      <c r="N11064" t="s">
        <v>47304</v>
      </c>
      <c r="O11064" t="s">
        <v>47305</v>
      </c>
      <c r="P11064">
        <v>0</v>
      </c>
      <c r="Q11064">
        <v>3</v>
      </c>
      <c r="R11064" t="s">
        <v>47314</v>
      </c>
      <c r="S11064" t="s">
        <v>47596</v>
      </c>
      <c r="T11064" t="s">
        <v>49040</v>
      </c>
      <c r="U11064" t="s">
        <v>51723</v>
      </c>
      <c r="W11064" t="s">
        <v>44011</v>
      </c>
      <c r="X11064" t="s">
        <v>47315</v>
      </c>
    </row>
    <row r="11065" spans="1:24">
      <c r="A11065">
        <f>HYPERLINK("https://www.philgeps.gov.ph/GEPSNONPILOT/Tender/SplashBidNoticeAbstractUI.aspx?menuIndex=3&amp;refID=7183286&amp;Result=3","7183286")</f>
        <v>0</v>
      </c>
      <c r="B11065" t="s">
        <v>1949</v>
      </c>
      <c r="C11065" t="s">
        <v>14304</v>
      </c>
      <c r="D11065" t="s">
        <v>18995</v>
      </c>
      <c r="E11065" t="s">
        <v>28515</v>
      </c>
      <c r="F11065" t="s">
        <v>32606</v>
      </c>
      <c r="G11065" t="s">
        <v>32613</v>
      </c>
      <c r="H11065" t="s">
        <v>32623</v>
      </c>
      <c r="I11065" t="s">
        <v>17648</v>
      </c>
      <c r="J11065" t="s">
        <v>32770</v>
      </c>
      <c r="K11065" t="s">
        <v>42631</v>
      </c>
      <c r="M11065" t="s">
        <v>45010</v>
      </c>
      <c r="N11065" t="s">
        <v>47304</v>
      </c>
      <c r="O11065" t="s">
        <v>47305</v>
      </c>
      <c r="P11065">
        <v>0</v>
      </c>
      <c r="Q11065">
        <v>0</v>
      </c>
      <c r="R11065" t="s">
        <v>47314</v>
      </c>
      <c r="S11065" t="s">
        <v>47596</v>
      </c>
      <c r="T11065" t="s">
        <v>49014</v>
      </c>
      <c r="U11065" t="s">
        <v>58675</v>
      </c>
      <c r="V11065" t="s">
        <v>63819</v>
      </c>
      <c r="W11065" t="s">
        <v>45010</v>
      </c>
      <c r="X11065" t="s">
        <v>47315</v>
      </c>
    </row>
    <row r="11066" spans="1:24">
      <c r="A11066">
        <f>HYPERLINK("https://www.philgeps.gov.ph/GEPSNONPILOT/Tender/SplashBidNoticeAbstractUI.aspx?menuIndex=3&amp;refID=7183341&amp;Result=3","7183341")</f>
        <v>0</v>
      </c>
      <c r="B11066" t="s">
        <v>2458</v>
      </c>
      <c r="C11066" t="s">
        <v>14305</v>
      </c>
      <c r="E11066" t="s">
        <v>28508</v>
      </c>
      <c r="F11066" t="s">
        <v>32606</v>
      </c>
      <c r="G11066" t="s">
        <v>32613</v>
      </c>
      <c r="H11066" t="s">
        <v>14201</v>
      </c>
      <c r="I11066" t="s">
        <v>32743</v>
      </c>
      <c r="J11066" t="s">
        <v>39655</v>
      </c>
      <c r="K11066" t="s">
        <v>42707</v>
      </c>
      <c r="M11066" t="s">
        <v>46467</v>
      </c>
      <c r="N11066" t="s">
        <v>47304</v>
      </c>
      <c r="O11066" t="s">
        <v>47305</v>
      </c>
      <c r="P11066">
        <v>0</v>
      </c>
      <c r="Q11066">
        <v>13</v>
      </c>
      <c r="R11066" t="s">
        <v>47314</v>
      </c>
      <c r="S11066" t="s">
        <v>47596</v>
      </c>
      <c r="T11066" t="s">
        <v>49075</v>
      </c>
      <c r="U11066" t="s">
        <v>58676</v>
      </c>
      <c r="W11066" t="s">
        <v>46467</v>
      </c>
      <c r="X11066" t="s">
        <v>47315</v>
      </c>
    </row>
    <row r="11067" spans="1:24">
      <c r="A11067">
        <f>HYPERLINK("https://www.philgeps.gov.ph/GEPSNONPILOT/Tender/SplashBidNoticeAbstractUI.aspx?menuIndex=3&amp;refID=7183281&amp;Result=3","7183281")</f>
        <v>0</v>
      </c>
      <c r="B11067" t="s">
        <v>1058</v>
      </c>
      <c r="C11067" t="s">
        <v>14306</v>
      </c>
      <c r="D11067" t="s">
        <v>19039</v>
      </c>
      <c r="E11067" t="s">
        <v>28516</v>
      </c>
      <c r="F11067" t="s">
        <v>32606</v>
      </c>
      <c r="G11067" t="s">
        <v>32613</v>
      </c>
      <c r="H11067" t="s">
        <v>14201</v>
      </c>
      <c r="I11067" t="s">
        <v>7677</v>
      </c>
      <c r="J11067" t="s">
        <v>39656</v>
      </c>
      <c r="K11067" t="s">
        <v>42623</v>
      </c>
      <c r="M11067" t="s">
        <v>44011</v>
      </c>
      <c r="N11067" t="s">
        <v>47304</v>
      </c>
      <c r="O11067" t="s">
        <v>47305</v>
      </c>
      <c r="P11067">
        <v>0</v>
      </c>
      <c r="Q11067">
        <v>1</v>
      </c>
      <c r="R11067" t="s">
        <v>47314</v>
      </c>
      <c r="S11067" t="s">
        <v>47596</v>
      </c>
      <c r="T11067" t="s">
        <v>49040</v>
      </c>
      <c r="U11067" t="s">
        <v>51723</v>
      </c>
      <c r="W11067" t="s">
        <v>44011</v>
      </c>
      <c r="X11067" t="s">
        <v>47315</v>
      </c>
    </row>
    <row r="11068" spans="1:24">
      <c r="A11068">
        <f>HYPERLINK("https://www.philgeps.gov.ph/GEPSNONPILOT/Tender/SplashBidNoticeAbstractUI.aspx?menuIndex=3&amp;refID=7183137&amp;Result=3","7183137")</f>
        <v>0</v>
      </c>
      <c r="B11068" t="s">
        <v>1193</v>
      </c>
      <c r="C11068" t="s">
        <v>14307</v>
      </c>
      <c r="D11068" t="s">
        <v>19007</v>
      </c>
      <c r="E11068" t="s">
        <v>28517</v>
      </c>
      <c r="F11068" t="s">
        <v>32606</v>
      </c>
      <c r="G11068" t="s">
        <v>32613</v>
      </c>
      <c r="H11068" t="s">
        <v>14201</v>
      </c>
      <c r="I11068" t="s">
        <v>6298</v>
      </c>
      <c r="J11068" t="s">
        <v>39657</v>
      </c>
      <c r="K11068" t="s">
        <v>42624</v>
      </c>
      <c r="M11068" t="s">
        <v>44560</v>
      </c>
      <c r="N11068" t="s">
        <v>47304</v>
      </c>
      <c r="O11068" t="s">
        <v>47305</v>
      </c>
      <c r="P11068">
        <v>0</v>
      </c>
      <c r="Q11068">
        <v>0</v>
      </c>
      <c r="R11068" t="s">
        <v>47314</v>
      </c>
      <c r="S11068" t="s">
        <v>47596</v>
      </c>
      <c r="T11068" t="s">
        <v>49156</v>
      </c>
      <c r="U11068" t="s">
        <v>58677</v>
      </c>
      <c r="W11068" t="s">
        <v>44560</v>
      </c>
      <c r="X11068" t="s">
        <v>47315</v>
      </c>
    </row>
    <row r="11069" spans="1:24">
      <c r="A11069">
        <f>HYPERLINK("https://www.philgeps.gov.ph/GEPSNONPILOT/Tender/SplashBidNoticeAbstractUI.aspx?menuIndex=3&amp;refID=7183353&amp;Result=3","7183353")</f>
        <v>0</v>
      </c>
      <c r="B11069" t="s">
        <v>3235</v>
      </c>
      <c r="C11069" t="s">
        <v>14308</v>
      </c>
      <c r="D11069" t="s">
        <v>19049</v>
      </c>
      <c r="E11069" t="s">
        <v>28518</v>
      </c>
      <c r="F11069" t="s">
        <v>32606</v>
      </c>
      <c r="G11069" t="s">
        <v>32613</v>
      </c>
      <c r="H11069" t="s">
        <v>32623</v>
      </c>
      <c r="I11069" t="s">
        <v>17648</v>
      </c>
      <c r="J11069" t="s">
        <v>35071</v>
      </c>
      <c r="K11069" t="s">
        <v>42648</v>
      </c>
      <c r="M11069" t="s">
        <v>46466</v>
      </c>
      <c r="N11069" t="s">
        <v>47304</v>
      </c>
      <c r="O11069" t="s">
        <v>47305</v>
      </c>
      <c r="P11069">
        <v>0</v>
      </c>
      <c r="Q11069">
        <v>2</v>
      </c>
      <c r="R11069" t="s">
        <v>47314</v>
      </c>
      <c r="S11069" t="s">
        <v>47596</v>
      </c>
      <c r="T11069" t="s">
        <v>49075</v>
      </c>
      <c r="U11069" t="s">
        <v>58678</v>
      </c>
      <c r="V11069" t="s">
        <v>63825</v>
      </c>
      <c r="W11069" t="s">
        <v>64530</v>
      </c>
      <c r="X11069" t="s">
        <v>47315</v>
      </c>
    </row>
    <row r="11070" spans="1:24">
      <c r="A11070">
        <f>HYPERLINK("https://www.philgeps.gov.ph/GEPSNONPILOT/Tender/SplashBidNoticeAbstractUI.aspx?menuIndex=3&amp;refID=7183280&amp;Result=3","7183280")</f>
        <v>0</v>
      </c>
      <c r="B11070" t="s">
        <v>2525</v>
      </c>
      <c r="C11070" t="s">
        <v>14309</v>
      </c>
      <c r="D11070" t="s">
        <v>18993</v>
      </c>
      <c r="E11070" t="s">
        <v>28519</v>
      </c>
      <c r="F11070" t="s">
        <v>32606</v>
      </c>
      <c r="G11070" t="s">
        <v>32613</v>
      </c>
      <c r="H11070" t="s">
        <v>32623</v>
      </c>
      <c r="I11070" t="s">
        <v>17648</v>
      </c>
      <c r="J11070" t="s">
        <v>39658</v>
      </c>
      <c r="K11070" t="s">
        <v>42832</v>
      </c>
      <c r="M11070" t="s">
        <v>46470</v>
      </c>
      <c r="N11070" t="s">
        <v>47304</v>
      </c>
      <c r="O11070" t="s">
        <v>47305</v>
      </c>
      <c r="P11070">
        <v>0</v>
      </c>
      <c r="Q11070">
        <v>19</v>
      </c>
      <c r="R11070" t="s">
        <v>47314</v>
      </c>
      <c r="S11070" t="s">
        <v>47596</v>
      </c>
      <c r="T11070" t="s">
        <v>49148</v>
      </c>
      <c r="U11070" t="s">
        <v>58679</v>
      </c>
      <c r="V11070" t="s">
        <v>63826</v>
      </c>
      <c r="W11070" t="s">
        <v>46470</v>
      </c>
      <c r="X11070" t="s">
        <v>47315</v>
      </c>
    </row>
    <row r="11071" spans="1:24">
      <c r="A11071">
        <f>HYPERLINK("https://www.philgeps.gov.ph/GEPSNONPILOT/Tender/SplashBidNoticeAbstractUI.aspx?menuIndex=3&amp;refID=7183352&amp;Result=3","7183352")</f>
        <v>0</v>
      </c>
      <c r="B11071" t="s">
        <v>3229</v>
      </c>
      <c r="C11071" t="s">
        <v>14310</v>
      </c>
      <c r="D11071" t="s">
        <v>19018</v>
      </c>
      <c r="E11071" t="s">
        <v>28520</v>
      </c>
      <c r="F11071" t="s">
        <v>32606</v>
      </c>
      <c r="G11071" t="s">
        <v>32613</v>
      </c>
      <c r="H11071" t="s">
        <v>14201</v>
      </c>
      <c r="I11071" t="s">
        <v>4120</v>
      </c>
      <c r="J11071" t="s">
        <v>39659</v>
      </c>
      <c r="K11071" t="s">
        <v>42631</v>
      </c>
      <c r="M11071" t="s">
        <v>46459</v>
      </c>
      <c r="N11071" t="s">
        <v>47304</v>
      </c>
      <c r="O11071" t="s">
        <v>47305</v>
      </c>
      <c r="P11071">
        <v>0</v>
      </c>
      <c r="Q11071">
        <v>2</v>
      </c>
      <c r="R11071" t="s">
        <v>47314</v>
      </c>
      <c r="S11071" t="s">
        <v>47596</v>
      </c>
      <c r="T11071" t="s">
        <v>49052</v>
      </c>
      <c r="U11071" t="s">
        <v>58606</v>
      </c>
      <c r="W11071" t="s">
        <v>46459</v>
      </c>
      <c r="X11071" t="s">
        <v>47315</v>
      </c>
    </row>
    <row r="11072" spans="1:24">
      <c r="A11072">
        <f>HYPERLINK("https://www.philgeps.gov.ph/GEPSNONPILOT/Tender/SplashBidNoticeAbstractUI.aspx?menuIndex=3&amp;refID=7183318&amp;Result=3","7183318")</f>
        <v>0</v>
      </c>
      <c r="B11072" t="s">
        <v>1949</v>
      </c>
      <c r="C11072" t="s">
        <v>14311</v>
      </c>
      <c r="D11072" t="s">
        <v>18995</v>
      </c>
      <c r="E11072" t="s">
        <v>28521</v>
      </c>
      <c r="F11072" t="s">
        <v>32606</v>
      </c>
      <c r="G11072" t="s">
        <v>32613</v>
      </c>
      <c r="H11072" t="s">
        <v>32623</v>
      </c>
      <c r="I11072" t="s">
        <v>17648</v>
      </c>
      <c r="J11072" t="s">
        <v>32772</v>
      </c>
      <c r="K11072" t="s">
        <v>42631</v>
      </c>
      <c r="M11072" t="s">
        <v>45010</v>
      </c>
      <c r="N11072" t="s">
        <v>47304</v>
      </c>
      <c r="O11072" t="s">
        <v>47305</v>
      </c>
      <c r="P11072">
        <v>0</v>
      </c>
      <c r="Q11072">
        <v>0</v>
      </c>
      <c r="R11072" t="s">
        <v>47314</v>
      </c>
      <c r="S11072" t="s">
        <v>47596</v>
      </c>
      <c r="T11072" t="s">
        <v>49014</v>
      </c>
      <c r="U11072" t="s">
        <v>58680</v>
      </c>
      <c r="V11072" t="s">
        <v>63819</v>
      </c>
      <c r="W11072" t="s">
        <v>45010</v>
      </c>
      <c r="X11072" t="s">
        <v>47315</v>
      </c>
    </row>
    <row r="11073" spans="1:24">
      <c r="A11073">
        <f>HYPERLINK("https://www.philgeps.gov.ph/GEPSNONPILOT/Tender/SplashBidNoticeAbstractUI.aspx?menuIndex=3&amp;refID=7183347&amp;Result=3","7183347")</f>
        <v>0</v>
      </c>
      <c r="B11073" t="s">
        <v>1949</v>
      </c>
      <c r="C11073" t="s">
        <v>14312</v>
      </c>
      <c r="D11073" t="s">
        <v>18995</v>
      </c>
      <c r="E11073" t="s">
        <v>28522</v>
      </c>
      <c r="F11073" t="s">
        <v>32606</v>
      </c>
      <c r="G11073" t="s">
        <v>32613</v>
      </c>
      <c r="H11073" t="s">
        <v>14201</v>
      </c>
      <c r="I11073" t="s">
        <v>4678</v>
      </c>
      <c r="J11073" t="s">
        <v>39660</v>
      </c>
      <c r="K11073" t="s">
        <v>42632</v>
      </c>
      <c r="M11073" t="s">
        <v>45010</v>
      </c>
      <c r="N11073" t="s">
        <v>47304</v>
      </c>
      <c r="O11073" t="s">
        <v>47305</v>
      </c>
      <c r="P11073">
        <v>0</v>
      </c>
      <c r="Q11073">
        <v>4</v>
      </c>
      <c r="R11073" t="s">
        <v>47314</v>
      </c>
      <c r="S11073" t="s">
        <v>47596</v>
      </c>
      <c r="T11073" t="s">
        <v>49014</v>
      </c>
      <c r="U11073" t="s">
        <v>58681</v>
      </c>
      <c r="V11073" t="s">
        <v>63824</v>
      </c>
      <c r="W11073" t="s">
        <v>45010</v>
      </c>
      <c r="X11073" t="s">
        <v>47315</v>
      </c>
    </row>
    <row r="11074" spans="1:24">
      <c r="A11074">
        <f>HYPERLINK("https://www.philgeps.gov.ph/GEPSNONPILOT/Tender/SplashBidNoticeAbstractUI.aspx?menuIndex=3&amp;refID=7183342&amp;Result=3","7183342")</f>
        <v>0</v>
      </c>
      <c r="B11074" t="s">
        <v>3235</v>
      </c>
      <c r="C11074" t="s">
        <v>14313</v>
      </c>
      <c r="D11074" t="s">
        <v>19049</v>
      </c>
      <c r="E11074" t="s">
        <v>28523</v>
      </c>
      <c r="F11074" t="s">
        <v>32606</v>
      </c>
      <c r="G11074" t="s">
        <v>32613</v>
      </c>
      <c r="H11074" t="s">
        <v>32623</v>
      </c>
      <c r="I11074" t="s">
        <v>17648</v>
      </c>
      <c r="J11074" t="s">
        <v>39661</v>
      </c>
      <c r="K11074" t="s">
        <v>42682</v>
      </c>
      <c r="M11074" t="s">
        <v>46466</v>
      </c>
      <c r="N11074" t="s">
        <v>47304</v>
      </c>
      <c r="O11074" t="s">
        <v>47305</v>
      </c>
      <c r="P11074">
        <v>0</v>
      </c>
      <c r="Q11074">
        <v>2</v>
      </c>
      <c r="R11074" t="s">
        <v>47314</v>
      </c>
      <c r="S11074" t="s">
        <v>47596</v>
      </c>
      <c r="T11074" t="s">
        <v>49075</v>
      </c>
      <c r="U11074" t="s">
        <v>58682</v>
      </c>
      <c r="V11074" t="s">
        <v>63827</v>
      </c>
      <c r="W11074" t="s">
        <v>64530</v>
      </c>
      <c r="X11074" t="s">
        <v>47315</v>
      </c>
    </row>
    <row r="11075" spans="1:24">
      <c r="A11075">
        <f>HYPERLINK("https://www.philgeps.gov.ph/GEPSNONPILOT/Tender/SplashBidNoticeAbstractUI.aspx?menuIndex=3&amp;refID=7183343&amp;Result=3","7183343")</f>
        <v>0</v>
      </c>
      <c r="B11075" t="s">
        <v>3229</v>
      </c>
      <c r="C11075" t="s">
        <v>14314</v>
      </c>
      <c r="D11075" t="s">
        <v>19018</v>
      </c>
      <c r="E11075" t="s">
        <v>28524</v>
      </c>
      <c r="F11075" t="s">
        <v>32606</v>
      </c>
      <c r="G11075" t="s">
        <v>32613</v>
      </c>
      <c r="H11075" t="s">
        <v>14201</v>
      </c>
      <c r="I11075" t="s">
        <v>4120</v>
      </c>
      <c r="J11075" t="s">
        <v>39662</v>
      </c>
      <c r="K11075" t="s">
        <v>42631</v>
      </c>
      <c r="M11075" t="s">
        <v>46459</v>
      </c>
      <c r="N11075" t="s">
        <v>47304</v>
      </c>
      <c r="O11075" t="s">
        <v>47305</v>
      </c>
      <c r="P11075">
        <v>0</v>
      </c>
      <c r="Q11075">
        <v>2</v>
      </c>
      <c r="R11075" t="s">
        <v>47314</v>
      </c>
      <c r="S11075" t="s">
        <v>47596</v>
      </c>
      <c r="T11075" t="s">
        <v>49052</v>
      </c>
      <c r="U11075" t="s">
        <v>58606</v>
      </c>
      <c r="W11075" t="s">
        <v>46459</v>
      </c>
      <c r="X11075" t="s">
        <v>47315</v>
      </c>
    </row>
    <row r="11076" spans="1:24">
      <c r="A11076">
        <f>HYPERLINK("https://www.philgeps.gov.ph/GEPSNONPILOT/Tender/SplashBidNoticeAbstractUI.aspx?menuIndex=3&amp;refID=7183340&amp;Result=3","7183340")</f>
        <v>0</v>
      </c>
      <c r="B11076" t="s">
        <v>3238</v>
      </c>
      <c r="C11076" t="s">
        <v>14315</v>
      </c>
      <c r="D11076" t="s">
        <v>19036</v>
      </c>
      <c r="E11076" t="s">
        <v>28525</v>
      </c>
      <c r="F11076" t="s">
        <v>32606</v>
      </c>
      <c r="G11076" t="s">
        <v>32613</v>
      </c>
      <c r="H11076" t="s">
        <v>14201</v>
      </c>
      <c r="I11076" t="s">
        <v>32638</v>
      </c>
      <c r="J11076" t="s">
        <v>32861</v>
      </c>
      <c r="K11076" t="s">
        <v>42646</v>
      </c>
      <c r="M11076" t="s">
        <v>46471</v>
      </c>
      <c r="N11076" t="s">
        <v>47304</v>
      </c>
      <c r="O11076" t="s">
        <v>47305</v>
      </c>
      <c r="P11076">
        <v>0</v>
      </c>
      <c r="Q11076">
        <v>16</v>
      </c>
      <c r="R11076" t="s">
        <v>47314</v>
      </c>
      <c r="S11076" t="s">
        <v>47596</v>
      </c>
      <c r="T11076" t="s">
        <v>49140</v>
      </c>
      <c r="U11076" t="s">
        <v>58683</v>
      </c>
      <c r="W11076" t="s">
        <v>46471</v>
      </c>
      <c r="X11076" t="s">
        <v>47315</v>
      </c>
    </row>
    <row r="11077" spans="1:24">
      <c r="A11077">
        <f>HYPERLINK("https://www.philgeps.gov.ph/GEPSNONPILOT/Tender/SplashBidNoticeAbstractUI.aspx?menuIndex=3&amp;refID=7183351&amp;Result=3","7183351")</f>
        <v>0</v>
      </c>
      <c r="B11077" t="s">
        <v>1580</v>
      </c>
      <c r="C11077" t="s">
        <v>14316</v>
      </c>
      <c r="D11077" t="s">
        <v>19010</v>
      </c>
      <c r="E11077" t="s">
        <v>28526</v>
      </c>
      <c r="F11077" t="s">
        <v>32606</v>
      </c>
      <c r="G11077" t="s">
        <v>32613</v>
      </c>
      <c r="H11077" t="s">
        <v>32623</v>
      </c>
      <c r="I11077" t="s">
        <v>17648</v>
      </c>
      <c r="J11077" t="s">
        <v>37965</v>
      </c>
      <c r="K11077" t="s">
        <v>42636</v>
      </c>
      <c r="M11077" t="s">
        <v>44592</v>
      </c>
      <c r="N11077" t="s">
        <v>47304</v>
      </c>
      <c r="O11077" t="s">
        <v>47305</v>
      </c>
      <c r="Q11077">
        <v>2</v>
      </c>
      <c r="R11077" t="s">
        <v>47314</v>
      </c>
      <c r="S11077" t="s">
        <v>47656</v>
      </c>
      <c r="T11077" t="s">
        <v>49029</v>
      </c>
      <c r="U11077" t="s">
        <v>58684</v>
      </c>
      <c r="W11077" t="s">
        <v>44592</v>
      </c>
      <c r="X11077" t="s">
        <v>47315</v>
      </c>
    </row>
    <row r="11078" spans="1:24">
      <c r="A11078">
        <f>HYPERLINK("https://www.philgeps.gov.ph/GEPSNONPILOT/Tender/SplashBidNoticeAbstractUI.aspx?menuIndex=3&amp;refID=7183237&amp;Result=3","7183237")</f>
        <v>0</v>
      </c>
      <c r="B11078" t="s">
        <v>2425</v>
      </c>
      <c r="C11078" t="s">
        <v>14317</v>
      </c>
      <c r="E11078" t="s">
        <v>28527</v>
      </c>
      <c r="F11078" t="s">
        <v>32606</v>
      </c>
      <c r="G11078" t="s">
        <v>32613</v>
      </c>
      <c r="H11078" t="s">
        <v>32623</v>
      </c>
      <c r="I11078" t="s">
        <v>17648</v>
      </c>
      <c r="J11078" t="s">
        <v>33273</v>
      </c>
      <c r="K11078" t="s">
        <v>42646</v>
      </c>
      <c r="M11078" t="s">
        <v>45551</v>
      </c>
      <c r="N11078" t="s">
        <v>47304</v>
      </c>
      <c r="O11078" t="s">
        <v>47305</v>
      </c>
      <c r="P11078">
        <v>0</v>
      </c>
      <c r="Q11078">
        <v>4</v>
      </c>
      <c r="R11078" t="s">
        <v>47314</v>
      </c>
      <c r="S11078" t="s">
        <v>47596</v>
      </c>
      <c r="T11078" t="s">
        <v>49197</v>
      </c>
      <c r="U11078" t="s">
        <v>58685</v>
      </c>
      <c r="W11078" t="s">
        <v>45551</v>
      </c>
      <c r="X11078" t="s">
        <v>47315</v>
      </c>
    </row>
    <row r="11079" spans="1:24">
      <c r="A11079">
        <f>HYPERLINK("https://www.philgeps.gov.ph/GEPSNONPILOT/Tender/SplashBidNoticeAbstractUI.aspx?menuIndex=3&amp;refID=7183334&amp;Result=3","7183334")</f>
        <v>0</v>
      </c>
      <c r="B11079" t="s">
        <v>3239</v>
      </c>
      <c r="C11079" t="s">
        <v>5316</v>
      </c>
      <c r="D11079" t="s">
        <v>19056</v>
      </c>
      <c r="E11079" t="s">
        <v>28528</v>
      </c>
      <c r="F11079" t="s">
        <v>32606</v>
      </c>
      <c r="G11079" t="s">
        <v>32613</v>
      </c>
      <c r="H11079" t="s">
        <v>32623</v>
      </c>
      <c r="I11079" t="s">
        <v>17648</v>
      </c>
      <c r="J11079" t="s">
        <v>32923</v>
      </c>
      <c r="K11079" t="s">
        <v>42627</v>
      </c>
      <c r="M11079" t="s">
        <v>46472</v>
      </c>
      <c r="N11079" t="s">
        <v>47304</v>
      </c>
      <c r="O11079" t="s">
        <v>47305</v>
      </c>
      <c r="P11079">
        <v>0</v>
      </c>
      <c r="Q11079">
        <v>0</v>
      </c>
      <c r="R11079" t="s">
        <v>47314</v>
      </c>
      <c r="S11079" t="s">
        <v>47596</v>
      </c>
      <c r="T11079" t="s">
        <v>49047</v>
      </c>
      <c r="U11079" t="s">
        <v>58686</v>
      </c>
      <c r="W11079" t="s">
        <v>46472</v>
      </c>
      <c r="X11079" t="s">
        <v>47315</v>
      </c>
    </row>
    <row r="11080" spans="1:24">
      <c r="A11080">
        <f>HYPERLINK("https://www.philgeps.gov.ph/GEPSNONPILOT/Tender/SplashBidNoticeAbstractUI.aspx?menuIndex=3&amp;refID=7183336&amp;Result=3","7183336")</f>
        <v>0</v>
      </c>
      <c r="B11080" t="s">
        <v>3229</v>
      </c>
      <c r="C11080" t="s">
        <v>14318</v>
      </c>
      <c r="D11080" t="s">
        <v>19018</v>
      </c>
      <c r="E11080" t="s">
        <v>28529</v>
      </c>
      <c r="F11080" t="s">
        <v>32606</v>
      </c>
      <c r="G11080" t="s">
        <v>32613</v>
      </c>
      <c r="H11080" t="s">
        <v>14201</v>
      </c>
      <c r="I11080" t="s">
        <v>4120</v>
      </c>
      <c r="J11080" t="s">
        <v>39663</v>
      </c>
      <c r="K11080" t="s">
        <v>42631</v>
      </c>
      <c r="M11080" t="s">
        <v>46459</v>
      </c>
      <c r="N11080" t="s">
        <v>47304</v>
      </c>
      <c r="O11080" t="s">
        <v>47305</v>
      </c>
      <c r="P11080">
        <v>0</v>
      </c>
      <c r="Q11080">
        <v>2</v>
      </c>
      <c r="R11080" t="s">
        <v>47314</v>
      </c>
      <c r="S11080" t="s">
        <v>47596</v>
      </c>
      <c r="T11080" t="s">
        <v>49052</v>
      </c>
      <c r="U11080" t="s">
        <v>58606</v>
      </c>
      <c r="W11080" t="s">
        <v>46459</v>
      </c>
      <c r="X11080" t="s">
        <v>47315</v>
      </c>
    </row>
    <row r="11081" spans="1:24">
      <c r="A11081">
        <f>HYPERLINK("https://www.philgeps.gov.ph/GEPSNONPILOT/Tender/SplashBidNoticeAbstractUI.aspx?menuIndex=3&amp;refID=7183348&amp;Result=3","7183348")</f>
        <v>0</v>
      </c>
      <c r="B11081" t="s">
        <v>3229</v>
      </c>
      <c r="C11081" t="s">
        <v>14319</v>
      </c>
      <c r="D11081" t="s">
        <v>19018</v>
      </c>
      <c r="E11081" t="s">
        <v>28530</v>
      </c>
      <c r="F11081" t="s">
        <v>32606</v>
      </c>
      <c r="G11081" t="s">
        <v>32613</v>
      </c>
      <c r="H11081" t="s">
        <v>14201</v>
      </c>
      <c r="I11081" t="s">
        <v>4120</v>
      </c>
      <c r="J11081" t="s">
        <v>39664</v>
      </c>
      <c r="K11081" t="s">
        <v>42631</v>
      </c>
      <c r="M11081" t="s">
        <v>46459</v>
      </c>
      <c r="N11081" t="s">
        <v>47304</v>
      </c>
      <c r="O11081" t="s">
        <v>47305</v>
      </c>
      <c r="P11081">
        <v>0</v>
      </c>
      <c r="Q11081">
        <v>1</v>
      </c>
      <c r="R11081" t="s">
        <v>47314</v>
      </c>
      <c r="S11081" t="s">
        <v>47596</v>
      </c>
      <c r="T11081" t="s">
        <v>49052</v>
      </c>
      <c r="U11081" t="s">
        <v>58606</v>
      </c>
      <c r="W11081" t="s">
        <v>46459</v>
      </c>
      <c r="X11081" t="s">
        <v>47315</v>
      </c>
    </row>
    <row r="11082" spans="1:24">
      <c r="A11082">
        <f>HYPERLINK("https://www.philgeps.gov.ph/GEPSNONPILOT/Tender/SplashBidNoticeAbstractUI.aspx?menuIndex=3&amp;refID=7183329&amp;Result=3","7183329")</f>
        <v>0</v>
      </c>
      <c r="B11082" t="s">
        <v>3229</v>
      </c>
      <c r="C11082" t="s">
        <v>14320</v>
      </c>
      <c r="D11082" t="s">
        <v>19018</v>
      </c>
      <c r="E11082" t="s">
        <v>28531</v>
      </c>
      <c r="F11082" t="s">
        <v>32606</v>
      </c>
      <c r="G11082" t="s">
        <v>32613</v>
      </c>
      <c r="H11082" t="s">
        <v>14201</v>
      </c>
      <c r="I11082" t="s">
        <v>4120</v>
      </c>
      <c r="J11082" t="s">
        <v>39659</v>
      </c>
      <c r="K11082" t="s">
        <v>42631</v>
      </c>
      <c r="M11082" t="s">
        <v>46459</v>
      </c>
      <c r="N11082" t="s">
        <v>47304</v>
      </c>
      <c r="O11082" t="s">
        <v>47305</v>
      </c>
      <c r="P11082">
        <v>0</v>
      </c>
      <c r="Q11082">
        <v>2</v>
      </c>
      <c r="R11082" t="s">
        <v>47314</v>
      </c>
      <c r="S11082" t="s">
        <v>47596</v>
      </c>
      <c r="T11082" t="s">
        <v>49052</v>
      </c>
      <c r="U11082" t="s">
        <v>58606</v>
      </c>
      <c r="W11082" t="s">
        <v>46459</v>
      </c>
      <c r="X11082" t="s">
        <v>47315</v>
      </c>
    </row>
    <row r="11083" spans="1:24">
      <c r="A11083">
        <f>HYPERLINK("https://www.philgeps.gov.ph/GEPSNONPILOT/Tender/SplashBidNoticeAbstractUI.aspx?menuIndex=3&amp;refID=7183345&amp;Result=3","7183345")</f>
        <v>0</v>
      </c>
      <c r="B11083" t="s">
        <v>3239</v>
      </c>
      <c r="C11083" t="s">
        <v>14321</v>
      </c>
      <c r="D11083" t="s">
        <v>19056</v>
      </c>
      <c r="E11083" t="s">
        <v>28532</v>
      </c>
      <c r="F11083" t="s">
        <v>32606</v>
      </c>
      <c r="G11083" t="s">
        <v>32613</v>
      </c>
      <c r="H11083" t="s">
        <v>32623</v>
      </c>
      <c r="I11083" t="s">
        <v>17648</v>
      </c>
      <c r="J11083" t="s">
        <v>39665</v>
      </c>
      <c r="K11083" t="s">
        <v>42663</v>
      </c>
      <c r="M11083" t="s">
        <v>46472</v>
      </c>
      <c r="N11083" t="s">
        <v>47304</v>
      </c>
      <c r="O11083" t="s">
        <v>47305</v>
      </c>
      <c r="P11083">
        <v>0</v>
      </c>
      <c r="Q11083">
        <v>0</v>
      </c>
      <c r="R11083" t="s">
        <v>47314</v>
      </c>
      <c r="S11083" t="s">
        <v>47596</v>
      </c>
      <c r="T11083" t="s">
        <v>49047</v>
      </c>
      <c r="U11083" t="s">
        <v>58687</v>
      </c>
      <c r="W11083" t="s">
        <v>46472</v>
      </c>
      <c r="X11083" t="s">
        <v>47315</v>
      </c>
    </row>
    <row r="11084" spans="1:24">
      <c r="A11084">
        <f>HYPERLINK("https://www.philgeps.gov.ph/GEPSNONPILOT/Tender/SplashBidNoticeAbstractUI.aspx?menuIndex=3&amp;refID=7183136&amp;Result=3","7183136")</f>
        <v>0</v>
      </c>
      <c r="B11084" t="s">
        <v>2258</v>
      </c>
      <c r="C11084" t="s">
        <v>14322</v>
      </c>
      <c r="D11084" t="s">
        <v>19005</v>
      </c>
      <c r="E11084" t="s">
        <v>28533</v>
      </c>
      <c r="F11084" t="s">
        <v>32606</v>
      </c>
      <c r="G11084" t="s">
        <v>32613</v>
      </c>
      <c r="H11084" t="s">
        <v>32623</v>
      </c>
      <c r="I11084" t="s">
        <v>17648</v>
      </c>
      <c r="J11084" t="s">
        <v>32756</v>
      </c>
      <c r="K11084" t="s">
        <v>42707</v>
      </c>
      <c r="M11084" t="s">
        <v>45363</v>
      </c>
      <c r="N11084" t="s">
        <v>47304</v>
      </c>
      <c r="O11084" t="s">
        <v>47305</v>
      </c>
      <c r="Q11084">
        <v>0</v>
      </c>
      <c r="R11084" t="s">
        <v>47314</v>
      </c>
      <c r="S11084" t="s">
        <v>47657</v>
      </c>
      <c r="T11084" t="s">
        <v>49066</v>
      </c>
      <c r="U11084" t="s">
        <v>58688</v>
      </c>
      <c r="W11084" t="s">
        <v>45363</v>
      </c>
      <c r="X11084" t="s">
        <v>47315</v>
      </c>
    </row>
    <row r="11085" spans="1:24">
      <c r="A11085">
        <f>HYPERLINK("https://www.philgeps.gov.ph/GEPSNONPILOT/Tender/SplashBidNoticeAbstractUI.aspx?menuIndex=3&amp;refID=7183240&amp;Result=3","7183240")</f>
        <v>0</v>
      </c>
      <c r="B11085" t="s">
        <v>799</v>
      </c>
      <c r="C11085" t="s">
        <v>14323</v>
      </c>
      <c r="E11085" t="s">
        <v>28534</v>
      </c>
      <c r="F11085" t="s">
        <v>32606</v>
      </c>
      <c r="G11085" t="s">
        <v>32613</v>
      </c>
      <c r="H11085" t="s">
        <v>14201</v>
      </c>
      <c r="I11085" t="s">
        <v>6931</v>
      </c>
      <c r="J11085" t="s">
        <v>39666</v>
      </c>
      <c r="K11085" t="s">
        <v>42630</v>
      </c>
      <c r="M11085" t="s">
        <v>43730</v>
      </c>
      <c r="N11085" t="s">
        <v>47304</v>
      </c>
      <c r="O11085" t="s">
        <v>47305</v>
      </c>
      <c r="P11085">
        <v>0</v>
      </c>
      <c r="Q11085">
        <v>0</v>
      </c>
      <c r="R11085" t="s">
        <v>47314</v>
      </c>
      <c r="S11085" t="s">
        <v>47596</v>
      </c>
      <c r="T11085" t="s">
        <v>49036</v>
      </c>
      <c r="U11085" t="s">
        <v>58689</v>
      </c>
      <c r="V11085" t="s">
        <v>63812</v>
      </c>
      <c r="W11085" t="s">
        <v>43730</v>
      </c>
      <c r="X11085" t="s">
        <v>47315</v>
      </c>
    </row>
    <row r="11086" spans="1:24">
      <c r="A11086">
        <f>HYPERLINK("https://www.philgeps.gov.ph/GEPSNONPILOT/Tender/SplashBidNoticeAbstractUI.aspx?menuIndex=3&amp;refID=7183410&amp;Result=3","7183410")</f>
        <v>0</v>
      </c>
      <c r="B11086" t="s">
        <v>3240</v>
      </c>
      <c r="C11086" t="s">
        <v>14324</v>
      </c>
      <c r="D11086" t="s">
        <v>18991</v>
      </c>
      <c r="E11086" t="s">
        <v>19833</v>
      </c>
      <c r="F11086" t="s">
        <v>32606</v>
      </c>
      <c r="G11086" t="s">
        <v>32613</v>
      </c>
      <c r="H11086" t="s">
        <v>32623</v>
      </c>
      <c r="I11086" t="s">
        <v>17648</v>
      </c>
      <c r="J11086" t="s">
        <v>39667</v>
      </c>
      <c r="K11086" t="s">
        <v>42646</v>
      </c>
      <c r="M11086" t="s">
        <v>46473</v>
      </c>
      <c r="N11086" t="s">
        <v>47304</v>
      </c>
      <c r="O11086" t="s">
        <v>47305</v>
      </c>
      <c r="P11086">
        <v>0</v>
      </c>
      <c r="Q11086">
        <v>1</v>
      </c>
      <c r="R11086" t="s">
        <v>47314</v>
      </c>
      <c r="S11086" t="s">
        <v>47596</v>
      </c>
      <c r="T11086" t="s">
        <v>49052</v>
      </c>
      <c r="U11086" t="s">
        <v>58690</v>
      </c>
      <c r="W11086" t="s">
        <v>46473</v>
      </c>
      <c r="X11086" t="s">
        <v>47315</v>
      </c>
    </row>
    <row r="11087" spans="1:24">
      <c r="A11087">
        <f>HYPERLINK("https://www.philgeps.gov.ph/GEPSNONPILOT/Tender/SplashBidNoticeAbstractUI.aspx?menuIndex=3&amp;refID=7183326&amp;Result=3","7183326")</f>
        <v>0</v>
      </c>
      <c r="B11087" t="s">
        <v>3239</v>
      </c>
      <c r="C11087" t="s">
        <v>14325</v>
      </c>
      <c r="D11087" t="s">
        <v>19056</v>
      </c>
      <c r="E11087" t="s">
        <v>28535</v>
      </c>
      <c r="F11087" t="s">
        <v>32606</v>
      </c>
      <c r="G11087" t="s">
        <v>32613</v>
      </c>
      <c r="H11087" t="s">
        <v>32623</v>
      </c>
      <c r="I11087" t="s">
        <v>17648</v>
      </c>
      <c r="J11087" t="s">
        <v>32981</v>
      </c>
      <c r="K11087" t="s">
        <v>42674</v>
      </c>
      <c r="M11087" t="s">
        <v>46472</v>
      </c>
      <c r="N11087" t="s">
        <v>47304</v>
      </c>
      <c r="O11087" t="s">
        <v>47305</v>
      </c>
      <c r="P11087">
        <v>0</v>
      </c>
      <c r="Q11087">
        <v>0</v>
      </c>
      <c r="R11087" t="s">
        <v>47314</v>
      </c>
      <c r="S11087" t="s">
        <v>47596</v>
      </c>
      <c r="T11087" t="s">
        <v>49047</v>
      </c>
      <c r="U11087" t="s">
        <v>58691</v>
      </c>
      <c r="W11087" t="s">
        <v>46472</v>
      </c>
      <c r="X11087" t="s">
        <v>47315</v>
      </c>
    </row>
    <row r="11088" spans="1:24">
      <c r="A11088">
        <f>HYPERLINK("https://www.philgeps.gov.ph/GEPSNONPILOT/Tender/SplashBidNoticeAbstractUI.aspx?menuIndex=3&amp;refID=7183325&amp;Result=3","7183325")</f>
        <v>0</v>
      </c>
      <c r="B11088" t="s">
        <v>3235</v>
      </c>
      <c r="C11088" t="s">
        <v>14326</v>
      </c>
      <c r="D11088" t="s">
        <v>19049</v>
      </c>
      <c r="E11088" t="s">
        <v>28536</v>
      </c>
      <c r="F11088" t="s">
        <v>32606</v>
      </c>
      <c r="G11088" t="s">
        <v>32613</v>
      </c>
      <c r="H11088" t="s">
        <v>32623</v>
      </c>
      <c r="I11088" t="s">
        <v>17648</v>
      </c>
      <c r="J11088" t="s">
        <v>37499</v>
      </c>
      <c r="K11088" t="s">
        <v>42680</v>
      </c>
      <c r="M11088" t="s">
        <v>46466</v>
      </c>
      <c r="N11088" t="s">
        <v>47304</v>
      </c>
      <c r="O11088" t="s">
        <v>47305</v>
      </c>
      <c r="P11088">
        <v>0</v>
      </c>
      <c r="Q11088">
        <v>0</v>
      </c>
      <c r="R11088" t="s">
        <v>47314</v>
      </c>
      <c r="S11088" t="s">
        <v>47596</v>
      </c>
      <c r="T11088" t="s">
        <v>49075</v>
      </c>
      <c r="U11088" t="s">
        <v>58692</v>
      </c>
      <c r="V11088" t="s">
        <v>63828</v>
      </c>
      <c r="W11088" t="s">
        <v>64530</v>
      </c>
      <c r="X11088" t="s">
        <v>47315</v>
      </c>
    </row>
    <row r="11089" spans="1:24">
      <c r="A11089">
        <f>HYPERLINK("https://www.philgeps.gov.ph/GEPSNONPILOT/Tender/SplashBidNoticeAbstractUI.aspx?menuIndex=3&amp;refID=7183330&amp;Result=3","7183330")</f>
        <v>0</v>
      </c>
      <c r="B11089" t="s">
        <v>1949</v>
      </c>
      <c r="C11089" t="s">
        <v>14327</v>
      </c>
      <c r="D11089" t="s">
        <v>18995</v>
      </c>
      <c r="E11089" t="s">
        <v>28537</v>
      </c>
      <c r="F11089" t="s">
        <v>32606</v>
      </c>
      <c r="G11089" t="s">
        <v>32613</v>
      </c>
      <c r="H11089" t="s">
        <v>32623</v>
      </c>
      <c r="I11089" t="s">
        <v>17648</v>
      </c>
      <c r="J11089" t="s">
        <v>32772</v>
      </c>
      <c r="K11089" t="s">
        <v>42631</v>
      </c>
      <c r="M11089" t="s">
        <v>45010</v>
      </c>
      <c r="N11089" t="s">
        <v>47304</v>
      </c>
      <c r="O11089" t="s">
        <v>47305</v>
      </c>
      <c r="P11089">
        <v>0</v>
      </c>
      <c r="Q11089">
        <v>0</v>
      </c>
      <c r="R11089" t="s">
        <v>47314</v>
      </c>
      <c r="S11089" t="s">
        <v>47596</v>
      </c>
      <c r="T11089" t="s">
        <v>49014</v>
      </c>
      <c r="U11089" t="s">
        <v>58693</v>
      </c>
      <c r="V11089" t="s">
        <v>63829</v>
      </c>
      <c r="W11089" t="s">
        <v>45010</v>
      </c>
      <c r="X11089" t="s">
        <v>47315</v>
      </c>
    </row>
    <row r="11090" spans="1:24">
      <c r="A11090">
        <f>HYPERLINK("https://www.philgeps.gov.ph/GEPSNONPILOT/Tender/SplashBidNoticeAbstractUI.aspx?menuIndex=3&amp;refID=7183404&amp;Result=3","7183404")</f>
        <v>0</v>
      </c>
      <c r="B11090" t="s">
        <v>3241</v>
      </c>
      <c r="C11090" t="s">
        <v>14328</v>
      </c>
      <c r="D11090" t="s">
        <v>19030</v>
      </c>
      <c r="E11090" t="s">
        <v>19918</v>
      </c>
      <c r="F11090" t="s">
        <v>32606</v>
      </c>
      <c r="G11090" t="s">
        <v>32613</v>
      </c>
      <c r="H11090" t="s">
        <v>32623</v>
      </c>
      <c r="I11090" t="s">
        <v>17648</v>
      </c>
      <c r="J11090" t="s">
        <v>35872</v>
      </c>
      <c r="K11090" t="s">
        <v>42648</v>
      </c>
      <c r="M11090" t="s">
        <v>46474</v>
      </c>
      <c r="N11090" t="s">
        <v>47304</v>
      </c>
      <c r="O11090" t="s">
        <v>47305</v>
      </c>
      <c r="P11090">
        <v>0</v>
      </c>
      <c r="Q11090">
        <v>0</v>
      </c>
      <c r="R11090" t="s">
        <v>47314</v>
      </c>
      <c r="S11090" t="s">
        <v>47596</v>
      </c>
      <c r="T11090" t="s">
        <v>48972</v>
      </c>
      <c r="U11090" t="s">
        <v>58694</v>
      </c>
      <c r="W11090" t="s">
        <v>46474</v>
      </c>
      <c r="X11090" t="s">
        <v>47315</v>
      </c>
    </row>
    <row r="11091" spans="1:24">
      <c r="A11091">
        <f>HYPERLINK("https://www.philgeps.gov.ph/GEPSNONPILOT/Tender/SplashBidNoticeAbstractUI.aspx?menuIndex=3&amp;refID=7183397&amp;Result=3","7183397")</f>
        <v>0</v>
      </c>
      <c r="B11091" t="s">
        <v>3242</v>
      </c>
      <c r="C11091" t="s">
        <v>14329</v>
      </c>
      <c r="E11091" t="s">
        <v>28538</v>
      </c>
      <c r="F11091" t="s">
        <v>32606</v>
      </c>
      <c r="G11091" t="s">
        <v>32613</v>
      </c>
      <c r="H11091" t="s">
        <v>14201</v>
      </c>
      <c r="I11091" t="s">
        <v>32673</v>
      </c>
      <c r="J11091" t="s">
        <v>39668</v>
      </c>
      <c r="K11091" t="s">
        <v>42631</v>
      </c>
      <c r="M11091" t="s">
        <v>46475</v>
      </c>
      <c r="N11091" t="s">
        <v>47304</v>
      </c>
      <c r="O11091" t="s">
        <v>47305</v>
      </c>
      <c r="P11091">
        <v>0</v>
      </c>
      <c r="Q11091">
        <v>5</v>
      </c>
      <c r="R11091" t="s">
        <v>47314</v>
      </c>
      <c r="S11091" t="s">
        <v>47596</v>
      </c>
      <c r="T11091" t="s">
        <v>49072</v>
      </c>
      <c r="U11091" t="s">
        <v>58695</v>
      </c>
      <c r="W11091" t="s">
        <v>46475</v>
      </c>
      <c r="X11091" t="s">
        <v>47315</v>
      </c>
    </row>
    <row r="11092" spans="1:24">
      <c r="A11092">
        <f>HYPERLINK("https://www.philgeps.gov.ph/GEPSNONPILOT/Tender/SplashBidNoticeAbstractUI.aspx?menuIndex=3&amp;refID=7183386&amp;Result=3","7183386")</f>
        <v>0</v>
      </c>
      <c r="B11092" t="s">
        <v>3240</v>
      </c>
      <c r="C11092" t="s">
        <v>14330</v>
      </c>
      <c r="D11092" t="s">
        <v>18991</v>
      </c>
      <c r="E11092" t="s">
        <v>19809</v>
      </c>
      <c r="F11092" t="s">
        <v>32606</v>
      </c>
      <c r="G11092" t="s">
        <v>32613</v>
      </c>
      <c r="H11092" t="s">
        <v>32623</v>
      </c>
      <c r="I11092" t="s">
        <v>17648</v>
      </c>
      <c r="J11092" t="s">
        <v>39669</v>
      </c>
      <c r="K11092" t="s">
        <v>42645</v>
      </c>
      <c r="M11092" t="s">
        <v>46473</v>
      </c>
      <c r="N11092" t="s">
        <v>47304</v>
      </c>
      <c r="O11092" t="s">
        <v>47305</v>
      </c>
      <c r="P11092">
        <v>0</v>
      </c>
      <c r="Q11092">
        <v>1</v>
      </c>
      <c r="R11092" t="s">
        <v>47314</v>
      </c>
      <c r="S11092" t="s">
        <v>47596</v>
      </c>
      <c r="T11092" t="s">
        <v>49052</v>
      </c>
      <c r="U11092" t="s">
        <v>58696</v>
      </c>
      <c r="W11092" t="s">
        <v>46473</v>
      </c>
      <c r="X11092" t="s">
        <v>47315</v>
      </c>
    </row>
    <row r="11093" spans="1:24">
      <c r="A11093">
        <f>HYPERLINK("https://www.philgeps.gov.ph/GEPSNONPILOT/Tender/SplashBidNoticeAbstractUI.aspx?menuIndex=3&amp;refID=7183377&amp;Result=3","7183377")</f>
        <v>0</v>
      </c>
      <c r="B11093" t="s">
        <v>3229</v>
      </c>
      <c r="C11093" t="s">
        <v>14331</v>
      </c>
      <c r="D11093" t="s">
        <v>19018</v>
      </c>
      <c r="E11093" t="s">
        <v>28539</v>
      </c>
      <c r="F11093" t="s">
        <v>32606</v>
      </c>
      <c r="G11093" t="s">
        <v>32613</v>
      </c>
      <c r="H11093" t="s">
        <v>14201</v>
      </c>
      <c r="I11093" t="s">
        <v>4120</v>
      </c>
      <c r="J11093" t="s">
        <v>39670</v>
      </c>
      <c r="K11093" t="s">
        <v>42631</v>
      </c>
      <c r="M11093" t="s">
        <v>46459</v>
      </c>
      <c r="N11093" t="s">
        <v>47304</v>
      </c>
      <c r="O11093" t="s">
        <v>47305</v>
      </c>
      <c r="P11093">
        <v>0</v>
      </c>
      <c r="Q11093">
        <v>2</v>
      </c>
      <c r="R11093" t="s">
        <v>47314</v>
      </c>
      <c r="S11093" t="s">
        <v>47596</v>
      </c>
      <c r="T11093" t="s">
        <v>49052</v>
      </c>
      <c r="U11093" t="s">
        <v>58606</v>
      </c>
      <c r="W11093" t="s">
        <v>46459</v>
      </c>
      <c r="X11093" t="s">
        <v>47315</v>
      </c>
    </row>
    <row r="11094" spans="1:24">
      <c r="A11094">
        <f>HYPERLINK("https://www.philgeps.gov.ph/GEPSNONPILOT/Tender/SplashBidNoticeAbstractUI.aspx?menuIndex=3&amp;refID=7183373&amp;Result=3","7183373")</f>
        <v>0</v>
      </c>
      <c r="B11094" t="s">
        <v>1032</v>
      </c>
      <c r="C11094" t="s">
        <v>14332</v>
      </c>
      <c r="D11094" t="s">
        <v>18993</v>
      </c>
      <c r="E11094" t="s">
        <v>28540</v>
      </c>
      <c r="F11094" t="s">
        <v>32606</v>
      </c>
      <c r="G11094" t="s">
        <v>32613</v>
      </c>
      <c r="H11094" t="s">
        <v>14201</v>
      </c>
      <c r="I11094" t="s">
        <v>7064</v>
      </c>
      <c r="J11094" t="s">
        <v>39671</v>
      </c>
      <c r="K11094" t="s">
        <v>42639</v>
      </c>
      <c r="M11094" t="s">
        <v>44810</v>
      </c>
      <c r="N11094" t="s">
        <v>47304</v>
      </c>
      <c r="O11094" t="s">
        <v>47305</v>
      </c>
      <c r="P11094">
        <v>0</v>
      </c>
      <c r="Q11094">
        <v>6</v>
      </c>
      <c r="R11094" t="s">
        <v>47314</v>
      </c>
      <c r="S11094" t="s">
        <v>47596</v>
      </c>
      <c r="T11094" t="s">
        <v>49035</v>
      </c>
      <c r="U11094" t="s">
        <v>58697</v>
      </c>
      <c r="W11094" t="s">
        <v>44810</v>
      </c>
      <c r="X11094" t="s">
        <v>47315</v>
      </c>
    </row>
    <row r="11095" spans="1:24">
      <c r="A11095">
        <f>HYPERLINK("https://www.philgeps.gov.ph/GEPSNONPILOT/Tender/SplashBidNoticeAbstractUI.aspx?menuIndex=3&amp;refID=7183469&amp;Result=3","7183469")</f>
        <v>0</v>
      </c>
      <c r="B11095" t="s">
        <v>3243</v>
      </c>
      <c r="C11095" t="s">
        <v>14333</v>
      </c>
      <c r="D11095" t="s">
        <v>19010</v>
      </c>
      <c r="E11095" t="s">
        <v>28541</v>
      </c>
      <c r="F11095" t="s">
        <v>32606</v>
      </c>
      <c r="G11095" t="s">
        <v>32613</v>
      </c>
      <c r="H11095" t="s">
        <v>32623</v>
      </c>
      <c r="I11095" t="s">
        <v>17648</v>
      </c>
      <c r="J11095" t="s">
        <v>39672</v>
      </c>
      <c r="K11095" t="s">
        <v>42761</v>
      </c>
      <c r="M11095" t="s">
        <v>46476</v>
      </c>
      <c r="N11095" t="s">
        <v>47304</v>
      </c>
      <c r="O11095" t="s">
        <v>47305</v>
      </c>
      <c r="P11095">
        <v>0</v>
      </c>
      <c r="Q11095">
        <v>5</v>
      </c>
      <c r="R11095" t="s">
        <v>47314</v>
      </c>
      <c r="S11095" t="s">
        <v>47596</v>
      </c>
      <c r="T11095" t="s">
        <v>49140</v>
      </c>
      <c r="U11095" t="s">
        <v>58698</v>
      </c>
      <c r="W11095" t="s">
        <v>46476</v>
      </c>
      <c r="X11095" t="s">
        <v>47315</v>
      </c>
    </row>
    <row r="11096" spans="1:24">
      <c r="A11096">
        <f>HYPERLINK("https://www.philgeps.gov.ph/GEPSNONPILOT/Tender/SplashBidNoticeAbstractUI.aspx?menuIndex=3&amp;refID=7183381&amp;Result=3","7183381")</f>
        <v>0</v>
      </c>
      <c r="B11096" t="s">
        <v>3229</v>
      </c>
      <c r="C11096" t="s">
        <v>14334</v>
      </c>
      <c r="D11096" t="s">
        <v>19018</v>
      </c>
      <c r="E11096" t="s">
        <v>28542</v>
      </c>
      <c r="F11096" t="s">
        <v>32606</v>
      </c>
      <c r="G11096" t="s">
        <v>32613</v>
      </c>
      <c r="H11096" t="s">
        <v>14201</v>
      </c>
      <c r="I11096" t="s">
        <v>4120</v>
      </c>
      <c r="J11096" t="s">
        <v>39673</v>
      </c>
      <c r="K11096" t="s">
        <v>42631</v>
      </c>
      <c r="M11096" t="s">
        <v>46459</v>
      </c>
      <c r="N11096" t="s">
        <v>47304</v>
      </c>
      <c r="O11096" t="s">
        <v>47305</v>
      </c>
      <c r="P11096">
        <v>0</v>
      </c>
      <c r="Q11096">
        <v>0</v>
      </c>
      <c r="R11096" t="s">
        <v>47314</v>
      </c>
      <c r="S11096" t="s">
        <v>47596</v>
      </c>
      <c r="T11096" t="s">
        <v>49052</v>
      </c>
      <c r="U11096" t="s">
        <v>58606</v>
      </c>
      <c r="W11096" t="s">
        <v>46459</v>
      </c>
      <c r="X11096" t="s">
        <v>47315</v>
      </c>
    </row>
    <row r="11097" spans="1:24">
      <c r="A11097">
        <f>HYPERLINK("https://www.philgeps.gov.ph/GEPSNONPILOT/Tender/SplashBidNoticeAbstractUI.aspx?menuIndex=3&amp;refID=7183378&amp;Result=3","7183378")</f>
        <v>0</v>
      </c>
      <c r="B11097" t="s">
        <v>3229</v>
      </c>
      <c r="C11097" t="s">
        <v>14335</v>
      </c>
      <c r="D11097" t="s">
        <v>19018</v>
      </c>
      <c r="E11097" t="s">
        <v>28543</v>
      </c>
      <c r="F11097" t="s">
        <v>32606</v>
      </c>
      <c r="G11097" t="s">
        <v>32613</v>
      </c>
      <c r="H11097" t="s">
        <v>14201</v>
      </c>
      <c r="I11097" t="s">
        <v>4120</v>
      </c>
      <c r="J11097" t="s">
        <v>39662</v>
      </c>
      <c r="K11097" t="s">
        <v>42631</v>
      </c>
      <c r="M11097" t="s">
        <v>46459</v>
      </c>
      <c r="N11097" t="s">
        <v>47304</v>
      </c>
      <c r="O11097" t="s">
        <v>47305</v>
      </c>
      <c r="P11097">
        <v>0</v>
      </c>
      <c r="Q11097">
        <v>0</v>
      </c>
      <c r="R11097" t="s">
        <v>47314</v>
      </c>
      <c r="S11097" t="s">
        <v>47596</v>
      </c>
      <c r="T11097" t="s">
        <v>49052</v>
      </c>
      <c r="U11097" t="s">
        <v>58606</v>
      </c>
      <c r="W11097" t="s">
        <v>46459</v>
      </c>
      <c r="X11097" t="s">
        <v>47315</v>
      </c>
    </row>
    <row r="11098" spans="1:24">
      <c r="A11098">
        <f>HYPERLINK("https://www.philgeps.gov.ph/GEPSNONPILOT/Tender/SplashBidNoticeAbstractUI.aspx?menuIndex=3&amp;refID=7183468&amp;Result=3","7183468")</f>
        <v>0</v>
      </c>
      <c r="B11098" t="s">
        <v>3244</v>
      </c>
      <c r="C11098" t="s">
        <v>14336</v>
      </c>
      <c r="E11098" t="s">
        <v>28544</v>
      </c>
      <c r="F11098" t="s">
        <v>32606</v>
      </c>
      <c r="G11098" t="s">
        <v>32613</v>
      </c>
      <c r="H11098" t="s">
        <v>14201</v>
      </c>
      <c r="I11098" t="s">
        <v>32646</v>
      </c>
      <c r="J11098" t="s">
        <v>39674</v>
      </c>
      <c r="K11098" t="s">
        <v>42624</v>
      </c>
      <c r="M11098" t="s">
        <v>46477</v>
      </c>
      <c r="N11098" t="s">
        <v>47304</v>
      </c>
      <c r="O11098" t="s">
        <v>47305</v>
      </c>
      <c r="P11098">
        <v>0</v>
      </c>
      <c r="Q11098">
        <v>4</v>
      </c>
      <c r="R11098" t="s">
        <v>47314</v>
      </c>
      <c r="S11098" t="s">
        <v>47596</v>
      </c>
      <c r="T11098" t="s">
        <v>49454</v>
      </c>
      <c r="U11098" t="s">
        <v>58699</v>
      </c>
      <c r="W11098" t="s">
        <v>46477</v>
      </c>
      <c r="X11098" t="s">
        <v>47315</v>
      </c>
    </row>
    <row r="11099" spans="1:24">
      <c r="A11099">
        <f>HYPERLINK("https://www.philgeps.gov.ph/GEPSNONPILOT/Tender/SplashBidNoticeAbstractUI.aspx?menuIndex=3&amp;refID=7183462&amp;Result=3","7183462")</f>
        <v>0</v>
      </c>
      <c r="B11099" t="s">
        <v>2788</v>
      </c>
      <c r="C11099" t="s">
        <v>14337</v>
      </c>
      <c r="D11099" t="s">
        <v>18997</v>
      </c>
      <c r="E11099" t="s">
        <v>28545</v>
      </c>
      <c r="F11099" t="s">
        <v>32606</v>
      </c>
      <c r="G11099" t="s">
        <v>32613</v>
      </c>
      <c r="H11099" t="s">
        <v>14201</v>
      </c>
      <c r="I11099" t="s">
        <v>7064</v>
      </c>
      <c r="J11099" t="s">
        <v>32981</v>
      </c>
      <c r="K11099" t="s">
        <v>42624</v>
      </c>
      <c r="M11099" t="s">
        <v>45950</v>
      </c>
      <c r="N11099" t="s">
        <v>47304</v>
      </c>
      <c r="O11099" t="s">
        <v>47305</v>
      </c>
      <c r="P11099">
        <v>0</v>
      </c>
      <c r="Q11099">
        <v>0</v>
      </c>
      <c r="R11099" t="s">
        <v>47314</v>
      </c>
      <c r="S11099" t="s">
        <v>47596</v>
      </c>
      <c r="T11099" t="s">
        <v>49018</v>
      </c>
      <c r="U11099" t="s">
        <v>58700</v>
      </c>
      <c r="W11099" t="s">
        <v>45950</v>
      </c>
      <c r="X11099" t="s">
        <v>47315</v>
      </c>
    </row>
    <row r="11100" spans="1:24">
      <c r="A11100">
        <f>HYPERLINK("https://www.philgeps.gov.ph/GEPSNONPILOT/Tender/SplashBidNoticeAbstractUI.aspx?menuIndex=3&amp;refID=7183413&amp;Result=3","7183413")</f>
        <v>0</v>
      </c>
      <c r="B11100" t="s">
        <v>3089</v>
      </c>
      <c r="C11100" t="s">
        <v>14338</v>
      </c>
      <c r="D11100" t="s">
        <v>19050</v>
      </c>
      <c r="E11100" t="s">
        <v>28546</v>
      </c>
      <c r="F11100" t="s">
        <v>32606</v>
      </c>
      <c r="G11100" t="s">
        <v>32613</v>
      </c>
      <c r="H11100" t="s">
        <v>32623</v>
      </c>
      <c r="I11100" t="s">
        <v>17648</v>
      </c>
      <c r="J11100" t="s">
        <v>33051</v>
      </c>
      <c r="K11100" t="s">
        <v>42631</v>
      </c>
      <c r="L11100" t="s">
        <v>3089</v>
      </c>
      <c r="M11100" t="s">
        <v>46293</v>
      </c>
      <c r="N11100" t="s">
        <v>47304</v>
      </c>
      <c r="O11100" t="s">
        <v>47305</v>
      </c>
      <c r="P11100">
        <v>0</v>
      </c>
      <c r="Q11100">
        <v>0</v>
      </c>
      <c r="R11100" t="s">
        <v>47314</v>
      </c>
      <c r="S11100" t="s">
        <v>47596</v>
      </c>
      <c r="T11100" t="s">
        <v>49234</v>
      </c>
      <c r="U11100" t="s">
        <v>58701</v>
      </c>
      <c r="W11100" t="s">
        <v>46293</v>
      </c>
      <c r="X11100" t="s">
        <v>47315</v>
      </c>
    </row>
    <row r="11101" spans="1:24">
      <c r="A11101">
        <f>HYPERLINK("https://www.philgeps.gov.ph/GEPSNONPILOT/Tender/SplashBidNoticeAbstractUI.aspx?menuIndex=3&amp;refID=7183458&amp;Result=3","7183458")</f>
        <v>0</v>
      </c>
      <c r="B11101" t="s">
        <v>3245</v>
      </c>
      <c r="C11101" t="s">
        <v>14339</v>
      </c>
      <c r="D11101" t="s">
        <v>19044</v>
      </c>
      <c r="E11101" t="s">
        <v>19809</v>
      </c>
      <c r="F11101" t="s">
        <v>32606</v>
      </c>
      <c r="G11101" t="s">
        <v>32613</v>
      </c>
      <c r="H11101" t="s">
        <v>14201</v>
      </c>
      <c r="I11101" t="s">
        <v>6931</v>
      </c>
      <c r="J11101" t="s">
        <v>39675</v>
      </c>
      <c r="K11101" t="s">
        <v>42624</v>
      </c>
      <c r="M11101" t="s">
        <v>46478</v>
      </c>
      <c r="N11101" t="s">
        <v>47304</v>
      </c>
      <c r="O11101" t="s">
        <v>47305</v>
      </c>
      <c r="P11101">
        <v>0</v>
      </c>
      <c r="Q11101">
        <v>0</v>
      </c>
      <c r="R11101" t="s">
        <v>47314</v>
      </c>
      <c r="S11101" t="s">
        <v>47596</v>
      </c>
      <c r="T11101" t="s">
        <v>49071</v>
      </c>
      <c r="U11101" t="s">
        <v>58702</v>
      </c>
      <c r="W11101" t="s">
        <v>46478</v>
      </c>
      <c r="X11101" t="s">
        <v>47315</v>
      </c>
    </row>
    <row r="11102" spans="1:24">
      <c r="A11102">
        <f>HYPERLINK("https://www.philgeps.gov.ph/GEPSNONPILOT/Tender/SplashBidNoticeAbstractUI.aspx?menuIndex=3&amp;refID=7183407&amp;Result=3","7183407")</f>
        <v>0</v>
      </c>
      <c r="B11102" t="s">
        <v>3243</v>
      </c>
      <c r="C11102" t="s">
        <v>14340</v>
      </c>
      <c r="D11102" t="s">
        <v>19010</v>
      </c>
      <c r="E11102" t="s">
        <v>28547</v>
      </c>
      <c r="F11102" t="s">
        <v>32606</v>
      </c>
      <c r="G11102" t="s">
        <v>32613</v>
      </c>
      <c r="H11102" t="s">
        <v>32623</v>
      </c>
      <c r="I11102" t="s">
        <v>17648</v>
      </c>
      <c r="J11102" t="s">
        <v>39676</v>
      </c>
      <c r="K11102" t="s">
        <v>42834</v>
      </c>
      <c r="M11102" t="s">
        <v>46476</v>
      </c>
      <c r="N11102" t="s">
        <v>47304</v>
      </c>
      <c r="O11102" t="s">
        <v>47305</v>
      </c>
      <c r="P11102">
        <v>0</v>
      </c>
      <c r="Q11102">
        <v>4</v>
      </c>
      <c r="R11102" t="s">
        <v>47314</v>
      </c>
      <c r="S11102" t="s">
        <v>47596</v>
      </c>
      <c r="T11102" t="s">
        <v>49140</v>
      </c>
      <c r="U11102" t="s">
        <v>58703</v>
      </c>
      <c r="W11102" t="s">
        <v>46476</v>
      </c>
      <c r="X11102" t="s">
        <v>47315</v>
      </c>
    </row>
    <row r="11103" spans="1:24">
      <c r="A11103">
        <f>HYPERLINK("https://www.philgeps.gov.ph/GEPSNONPILOT/Tender/SplashBidNoticeAbstractUI.aspx?menuIndex=3&amp;refID=7183454&amp;Result=3","7183454")</f>
        <v>0</v>
      </c>
      <c r="B11103" t="s">
        <v>3244</v>
      </c>
      <c r="C11103" t="s">
        <v>4678</v>
      </c>
      <c r="E11103" t="s">
        <v>28548</v>
      </c>
      <c r="F11103" t="s">
        <v>32606</v>
      </c>
      <c r="G11103" t="s">
        <v>32613</v>
      </c>
      <c r="H11103" t="s">
        <v>14201</v>
      </c>
      <c r="I11103" t="s">
        <v>4678</v>
      </c>
      <c r="J11103" t="s">
        <v>39677</v>
      </c>
      <c r="K11103" t="s">
        <v>42624</v>
      </c>
      <c r="M11103" t="s">
        <v>46477</v>
      </c>
      <c r="N11103" t="s">
        <v>47304</v>
      </c>
      <c r="O11103" t="s">
        <v>47305</v>
      </c>
      <c r="P11103">
        <v>0</v>
      </c>
      <c r="Q11103">
        <v>6</v>
      </c>
      <c r="R11103" t="s">
        <v>47314</v>
      </c>
      <c r="S11103" t="s">
        <v>47596</v>
      </c>
      <c r="T11103" t="s">
        <v>49454</v>
      </c>
      <c r="U11103" t="s">
        <v>58699</v>
      </c>
      <c r="W11103" t="s">
        <v>46477</v>
      </c>
      <c r="X11103" t="s">
        <v>47315</v>
      </c>
    </row>
    <row r="11104" spans="1:24">
      <c r="A11104">
        <f>HYPERLINK("https://www.philgeps.gov.ph/GEPSNONPILOT/Tender/SplashBidNoticeAbstractUI.aspx?menuIndex=3&amp;refID=7183467&amp;Result=3","7183467")</f>
        <v>0</v>
      </c>
      <c r="B11104" t="s">
        <v>3240</v>
      </c>
      <c r="C11104" t="s">
        <v>14341</v>
      </c>
      <c r="D11104" t="s">
        <v>18991</v>
      </c>
      <c r="E11104" t="s">
        <v>19312</v>
      </c>
      <c r="F11104" t="s">
        <v>32606</v>
      </c>
      <c r="G11104" t="s">
        <v>32613</v>
      </c>
      <c r="H11104" t="s">
        <v>32623</v>
      </c>
      <c r="I11104" t="s">
        <v>32661</v>
      </c>
      <c r="J11104" t="s">
        <v>39678</v>
      </c>
      <c r="K11104" t="s">
        <v>42646</v>
      </c>
      <c r="M11104" t="s">
        <v>46473</v>
      </c>
      <c r="N11104" t="s">
        <v>47304</v>
      </c>
      <c r="O11104" t="s">
        <v>47305</v>
      </c>
      <c r="P11104">
        <v>0</v>
      </c>
      <c r="Q11104">
        <v>3</v>
      </c>
      <c r="R11104" t="s">
        <v>47314</v>
      </c>
      <c r="S11104" t="s">
        <v>47596</v>
      </c>
      <c r="T11104" t="s">
        <v>49234</v>
      </c>
      <c r="U11104" t="s">
        <v>58704</v>
      </c>
      <c r="W11104" t="s">
        <v>46473</v>
      </c>
      <c r="X11104" t="s">
        <v>47315</v>
      </c>
    </row>
    <row r="11105" spans="1:24">
      <c r="A11105">
        <f>HYPERLINK("https://www.philgeps.gov.ph/GEPSNONPILOT/Tender/SplashBidNoticeAbstractUI.aspx?menuIndex=3&amp;refID=7183452&amp;Result=3","7183452")</f>
        <v>0</v>
      </c>
      <c r="B11105" t="s">
        <v>3240</v>
      </c>
      <c r="C11105" t="s">
        <v>14342</v>
      </c>
      <c r="D11105" t="s">
        <v>18991</v>
      </c>
      <c r="E11105" t="s">
        <v>19918</v>
      </c>
      <c r="F11105" t="s">
        <v>32606</v>
      </c>
      <c r="G11105" t="s">
        <v>32613</v>
      </c>
      <c r="H11105" t="s">
        <v>32623</v>
      </c>
      <c r="I11105" t="s">
        <v>32661</v>
      </c>
      <c r="J11105" t="s">
        <v>39679</v>
      </c>
      <c r="K11105" t="s">
        <v>42646</v>
      </c>
      <c r="M11105" t="s">
        <v>46473</v>
      </c>
      <c r="N11105" t="s">
        <v>47304</v>
      </c>
      <c r="O11105" t="s">
        <v>47305</v>
      </c>
      <c r="P11105">
        <v>0</v>
      </c>
      <c r="Q11105">
        <v>3</v>
      </c>
      <c r="R11105" t="s">
        <v>47314</v>
      </c>
      <c r="S11105" t="s">
        <v>47596</v>
      </c>
      <c r="T11105" t="s">
        <v>49234</v>
      </c>
      <c r="U11105" t="s">
        <v>58705</v>
      </c>
      <c r="W11105" t="s">
        <v>46473</v>
      </c>
      <c r="X11105" t="s">
        <v>47315</v>
      </c>
    </row>
    <row r="11106" spans="1:24">
      <c r="A11106">
        <f>HYPERLINK("https://www.philgeps.gov.ph/GEPSNONPILOT/Tender/SplashBidNoticeAbstractUI.aspx?menuIndex=3&amp;refID=7183461&amp;Result=3","7183461")</f>
        <v>0</v>
      </c>
      <c r="B11106" t="s">
        <v>3243</v>
      </c>
      <c r="C11106" t="s">
        <v>14343</v>
      </c>
      <c r="D11106" t="s">
        <v>19010</v>
      </c>
      <c r="E11106" t="s">
        <v>28549</v>
      </c>
      <c r="F11106" t="s">
        <v>32606</v>
      </c>
      <c r="G11106" t="s">
        <v>32613</v>
      </c>
      <c r="H11106" t="s">
        <v>32623</v>
      </c>
      <c r="I11106" t="s">
        <v>17648</v>
      </c>
      <c r="J11106" t="s">
        <v>39680</v>
      </c>
      <c r="K11106" t="s">
        <v>42646</v>
      </c>
      <c r="M11106" t="s">
        <v>46476</v>
      </c>
      <c r="N11106" t="s">
        <v>47304</v>
      </c>
      <c r="O11106" t="s">
        <v>47305</v>
      </c>
      <c r="P11106">
        <v>0</v>
      </c>
      <c r="Q11106">
        <v>5</v>
      </c>
      <c r="R11106" t="s">
        <v>47314</v>
      </c>
      <c r="S11106" t="s">
        <v>47596</v>
      </c>
      <c r="T11106" t="s">
        <v>49140</v>
      </c>
      <c r="U11106" t="s">
        <v>58706</v>
      </c>
      <c r="W11106" t="s">
        <v>46476</v>
      </c>
      <c r="X11106" t="s">
        <v>47315</v>
      </c>
    </row>
    <row r="11107" spans="1:24">
      <c r="A11107">
        <f>HYPERLINK("https://www.philgeps.gov.ph/GEPSNONPILOT/Tender/SplashBidNoticeAbstractUI.aspx?menuIndex=3&amp;refID=7183451&amp;Result=3","7183451")</f>
        <v>0</v>
      </c>
      <c r="B11107" t="s">
        <v>3243</v>
      </c>
      <c r="C11107" t="s">
        <v>14344</v>
      </c>
      <c r="D11107" t="s">
        <v>19010</v>
      </c>
      <c r="E11107" t="s">
        <v>28550</v>
      </c>
      <c r="F11107" t="s">
        <v>32606</v>
      </c>
      <c r="G11107" t="s">
        <v>32613</v>
      </c>
      <c r="H11107" t="s">
        <v>32623</v>
      </c>
      <c r="I11107" t="s">
        <v>17648</v>
      </c>
      <c r="J11107" t="s">
        <v>39681</v>
      </c>
      <c r="K11107" t="s">
        <v>42646</v>
      </c>
      <c r="M11107" t="s">
        <v>46476</v>
      </c>
      <c r="N11107" t="s">
        <v>47304</v>
      </c>
      <c r="O11107" t="s">
        <v>47305</v>
      </c>
      <c r="P11107">
        <v>0</v>
      </c>
      <c r="Q11107">
        <v>5</v>
      </c>
      <c r="R11107" t="s">
        <v>47314</v>
      </c>
      <c r="S11107" t="s">
        <v>47596</v>
      </c>
      <c r="T11107" t="s">
        <v>49140</v>
      </c>
      <c r="U11107" t="s">
        <v>58707</v>
      </c>
      <c r="W11107" t="s">
        <v>46476</v>
      </c>
      <c r="X11107" t="s">
        <v>47315</v>
      </c>
    </row>
    <row r="11108" spans="1:24">
      <c r="A11108">
        <f>HYPERLINK("https://www.philgeps.gov.ph/GEPSNONPILOT/Tender/SplashBidNoticeAbstractUI.aspx?menuIndex=3&amp;refID=7183445&amp;Result=3","7183445")</f>
        <v>0</v>
      </c>
      <c r="B11108" t="s">
        <v>962</v>
      </c>
      <c r="C11108" t="s">
        <v>14345</v>
      </c>
      <c r="D11108" t="s">
        <v>18991</v>
      </c>
      <c r="E11108" t="s">
        <v>28551</v>
      </c>
      <c r="F11108" t="s">
        <v>32606</v>
      </c>
      <c r="G11108" t="s">
        <v>32613</v>
      </c>
      <c r="H11108" t="s">
        <v>14201</v>
      </c>
      <c r="I11108" t="s">
        <v>6931</v>
      </c>
      <c r="J11108" t="s">
        <v>39682</v>
      </c>
      <c r="K11108" t="s">
        <v>42631</v>
      </c>
      <c r="M11108" t="s">
        <v>43907</v>
      </c>
      <c r="N11108" t="s">
        <v>47304</v>
      </c>
      <c r="O11108" t="s">
        <v>47305</v>
      </c>
      <c r="P11108">
        <v>0</v>
      </c>
      <c r="Q11108">
        <v>4</v>
      </c>
      <c r="R11108" t="s">
        <v>47314</v>
      </c>
      <c r="S11108" t="s">
        <v>47596</v>
      </c>
      <c r="T11108" t="s">
        <v>49240</v>
      </c>
      <c r="U11108" t="s">
        <v>58708</v>
      </c>
      <c r="W11108" t="s">
        <v>43907</v>
      </c>
      <c r="X11108" t="s">
        <v>47315</v>
      </c>
    </row>
    <row r="11109" spans="1:24">
      <c r="A11109">
        <f>HYPERLINK("https://www.philgeps.gov.ph/GEPSNONPILOT/Tender/SplashBidNoticeAbstractUI.aspx?menuIndex=3&amp;refID=7183459&amp;Result=3","7183459")</f>
        <v>0</v>
      </c>
      <c r="B11109" t="s">
        <v>3246</v>
      </c>
      <c r="C11109" t="s">
        <v>14346</v>
      </c>
      <c r="D11109" t="s">
        <v>19003</v>
      </c>
      <c r="E11109" t="s">
        <v>19690</v>
      </c>
      <c r="F11109" t="s">
        <v>32606</v>
      </c>
      <c r="G11109" t="s">
        <v>32613</v>
      </c>
      <c r="H11109" t="s">
        <v>14201</v>
      </c>
      <c r="I11109" t="s">
        <v>6478</v>
      </c>
      <c r="J11109" t="s">
        <v>39683</v>
      </c>
      <c r="K11109" t="s">
        <v>42629</v>
      </c>
      <c r="M11109" t="s">
        <v>46479</v>
      </c>
      <c r="N11109" t="s">
        <v>47304</v>
      </c>
      <c r="O11109" t="s">
        <v>47305</v>
      </c>
      <c r="P11109">
        <v>0</v>
      </c>
      <c r="Q11109">
        <v>2</v>
      </c>
      <c r="R11109" t="s">
        <v>47314</v>
      </c>
      <c r="S11109" t="s">
        <v>47596</v>
      </c>
      <c r="T11109" t="s">
        <v>49062</v>
      </c>
      <c r="U11109" t="s">
        <v>58709</v>
      </c>
      <c r="W11109" t="s">
        <v>46479</v>
      </c>
      <c r="X11109" t="s">
        <v>47315</v>
      </c>
    </row>
    <row r="11110" spans="1:24">
      <c r="A11110">
        <f>HYPERLINK("https://www.philgeps.gov.ph/GEPSNONPILOT/Tender/SplashBidNoticeAbstractUI.aspx?menuIndex=3&amp;refID=7183448&amp;Result=3","7183448")</f>
        <v>0</v>
      </c>
      <c r="B11110" t="s">
        <v>3089</v>
      </c>
      <c r="C11110" t="s">
        <v>14347</v>
      </c>
      <c r="D11110" t="s">
        <v>19050</v>
      </c>
      <c r="E11110" t="s">
        <v>27834</v>
      </c>
      <c r="F11110" t="s">
        <v>32606</v>
      </c>
      <c r="G11110" t="s">
        <v>32613</v>
      </c>
      <c r="H11110" t="s">
        <v>32623</v>
      </c>
      <c r="I11110" t="s">
        <v>17648</v>
      </c>
      <c r="J11110" t="s">
        <v>39684</v>
      </c>
      <c r="K11110" t="s">
        <v>42719</v>
      </c>
      <c r="L11110" t="s">
        <v>3089</v>
      </c>
      <c r="M11110" t="s">
        <v>46293</v>
      </c>
      <c r="N11110" t="s">
        <v>47304</v>
      </c>
      <c r="O11110" t="s">
        <v>47305</v>
      </c>
      <c r="P11110">
        <v>0</v>
      </c>
      <c r="Q11110">
        <v>0</v>
      </c>
      <c r="R11110" t="s">
        <v>47314</v>
      </c>
      <c r="S11110" t="s">
        <v>47596</v>
      </c>
      <c r="T11110" t="s">
        <v>49320</v>
      </c>
      <c r="U11110" t="s">
        <v>58710</v>
      </c>
      <c r="W11110" t="s">
        <v>46293</v>
      </c>
      <c r="X11110" t="s">
        <v>47315</v>
      </c>
    </row>
    <row r="11111" spans="1:24">
      <c r="A11111">
        <f>HYPERLINK("https://www.philgeps.gov.ph/GEPSNONPILOT/Tender/SplashBidNoticeAbstractUI.aspx?menuIndex=3&amp;refID=7183431&amp;Result=3","7183431")</f>
        <v>0</v>
      </c>
      <c r="B11111" t="s">
        <v>3089</v>
      </c>
      <c r="C11111" t="s">
        <v>14348</v>
      </c>
      <c r="D11111" t="s">
        <v>19050</v>
      </c>
      <c r="E11111" t="s">
        <v>28552</v>
      </c>
      <c r="F11111" t="s">
        <v>32606</v>
      </c>
      <c r="G11111" t="s">
        <v>32613</v>
      </c>
      <c r="H11111" t="s">
        <v>32623</v>
      </c>
      <c r="I11111" t="s">
        <v>17648</v>
      </c>
      <c r="J11111" t="s">
        <v>39685</v>
      </c>
      <c r="K11111" t="s">
        <v>42717</v>
      </c>
      <c r="L11111" t="s">
        <v>3089</v>
      </c>
      <c r="M11111" t="s">
        <v>46293</v>
      </c>
      <c r="N11111" t="s">
        <v>47304</v>
      </c>
      <c r="O11111" t="s">
        <v>47305</v>
      </c>
      <c r="P11111">
        <v>0</v>
      </c>
      <c r="Q11111">
        <v>0</v>
      </c>
      <c r="R11111" t="s">
        <v>47314</v>
      </c>
      <c r="S11111" t="s">
        <v>47596</v>
      </c>
      <c r="T11111" t="s">
        <v>49075</v>
      </c>
      <c r="U11111" t="s">
        <v>58711</v>
      </c>
      <c r="W11111" t="s">
        <v>46293</v>
      </c>
      <c r="X11111" t="s">
        <v>47315</v>
      </c>
    </row>
    <row r="11112" spans="1:24">
      <c r="A11112">
        <f>HYPERLINK("https://www.philgeps.gov.ph/GEPSNONPILOT/Tender/SplashBidNoticeAbstractUI.aspx?menuIndex=3&amp;refID=7183457&amp;Result=3","7183457")</f>
        <v>0</v>
      </c>
      <c r="B11112" t="s">
        <v>3247</v>
      </c>
      <c r="C11112" t="s">
        <v>14349</v>
      </c>
      <c r="D11112" t="s">
        <v>18993</v>
      </c>
      <c r="E11112" t="s">
        <v>28553</v>
      </c>
      <c r="F11112" t="s">
        <v>32606</v>
      </c>
      <c r="G11112" t="s">
        <v>32614</v>
      </c>
      <c r="H11112" t="s">
        <v>14201</v>
      </c>
      <c r="I11112" t="s">
        <v>4678</v>
      </c>
      <c r="J11112" t="s">
        <v>39686</v>
      </c>
      <c r="K11112" t="s">
        <v>42638</v>
      </c>
      <c r="M11112" t="s">
        <v>46480</v>
      </c>
      <c r="N11112" t="s">
        <v>47304</v>
      </c>
      <c r="O11112" t="s">
        <v>47305</v>
      </c>
      <c r="P11112">
        <v>0</v>
      </c>
      <c r="Q11112">
        <v>6</v>
      </c>
      <c r="R11112" t="s">
        <v>47314</v>
      </c>
      <c r="S11112" t="s">
        <v>47596</v>
      </c>
      <c r="T11112" t="s">
        <v>49331</v>
      </c>
      <c r="U11112" t="s">
        <v>58712</v>
      </c>
      <c r="V11112" t="s">
        <v>63830</v>
      </c>
      <c r="W11112" t="s">
        <v>46480</v>
      </c>
      <c r="X11112" t="s">
        <v>47315</v>
      </c>
    </row>
    <row r="11113" spans="1:24">
      <c r="A11113">
        <f>HYPERLINK("https://www.philgeps.gov.ph/GEPSNONPILOT/Tender/SplashBidNoticeAbstractUI.aspx?menuIndex=3&amp;refID=7183430&amp;Result=3","7183430")</f>
        <v>0</v>
      </c>
      <c r="B11113" t="s">
        <v>3243</v>
      </c>
      <c r="C11113" t="s">
        <v>14350</v>
      </c>
      <c r="D11113" t="s">
        <v>19010</v>
      </c>
      <c r="E11113" t="s">
        <v>28554</v>
      </c>
      <c r="F11113" t="s">
        <v>32606</v>
      </c>
      <c r="G11113" t="s">
        <v>32613</v>
      </c>
      <c r="H11113" t="s">
        <v>32623</v>
      </c>
      <c r="I11113" t="s">
        <v>17648</v>
      </c>
      <c r="J11113" t="s">
        <v>39687</v>
      </c>
      <c r="K11113" t="s">
        <v>42646</v>
      </c>
      <c r="M11113" t="s">
        <v>46476</v>
      </c>
      <c r="N11113" t="s">
        <v>47304</v>
      </c>
      <c r="O11113" t="s">
        <v>47305</v>
      </c>
      <c r="P11113">
        <v>0</v>
      </c>
      <c r="Q11113">
        <v>4</v>
      </c>
      <c r="R11113" t="s">
        <v>47314</v>
      </c>
      <c r="S11113" t="s">
        <v>47596</v>
      </c>
      <c r="T11113" t="s">
        <v>49140</v>
      </c>
      <c r="U11113" t="s">
        <v>58713</v>
      </c>
      <c r="W11113" t="s">
        <v>46476</v>
      </c>
      <c r="X11113" t="s">
        <v>47315</v>
      </c>
    </row>
    <row r="11114" spans="1:24">
      <c r="A11114">
        <f>HYPERLINK("https://www.philgeps.gov.ph/GEPSNONPILOT/Tender/SplashBidNoticeAbstractUI.aspx?menuIndex=3&amp;refID=7183372&amp;Result=3","7183372")</f>
        <v>0</v>
      </c>
      <c r="B11114" t="s">
        <v>3229</v>
      </c>
      <c r="C11114" t="s">
        <v>14351</v>
      </c>
      <c r="D11114" t="s">
        <v>19018</v>
      </c>
      <c r="E11114" t="s">
        <v>28555</v>
      </c>
      <c r="F11114" t="s">
        <v>32606</v>
      </c>
      <c r="G11114" t="s">
        <v>32613</v>
      </c>
      <c r="H11114" t="s">
        <v>14201</v>
      </c>
      <c r="I11114" t="s">
        <v>4120</v>
      </c>
      <c r="J11114" t="s">
        <v>39688</v>
      </c>
      <c r="K11114" t="s">
        <v>42631</v>
      </c>
      <c r="M11114" t="s">
        <v>46459</v>
      </c>
      <c r="N11114" t="s">
        <v>47304</v>
      </c>
      <c r="O11114" t="s">
        <v>47305</v>
      </c>
      <c r="P11114">
        <v>0</v>
      </c>
      <c r="Q11114">
        <v>3</v>
      </c>
      <c r="R11114" t="s">
        <v>47314</v>
      </c>
      <c r="S11114" t="s">
        <v>47596</v>
      </c>
      <c r="T11114" t="s">
        <v>49052</v>
      </c>
      <c r="U11114" t="s">
        <v>58606</v>
      </c>
      <c r="W11114" t="s">
        <v>46459</v>
      </c>
      <c r="X11114" t="s">
        <v>47315</v>
      </c>
    </row>
    <row r="11115" spans="1:24">
      <c r="A11115">
        <f>HYPERLINK("https://www.philgeps.gov.ph/GEPSNONPILOT/Tender/SplashBidNoticeAbstractUI.aspx?menuIndex=3&amp;refID=7183444&amp;Result=3","7183444")</f>
        <v>0</v>
      </c>
      <c r="B11115" t="s">
        <v>2788</v>
      </c>
      <c r="C11115" t="s">
        <v>14352</v>
      </c>
      <c r="D11115" t="s">
        <v>18997</v>
      </c>
      <c r="E11115" t="s">
        <v>28556</v>
      </c>
      <c r="F11115" t="s">
        <v>32606</v>
      </c>
      <c r="G11115" t="s">
        <v>32613</v>
      </c>
      <c r="H11115" t="s">
        <v>14201</v>
      </c>
      <c r="I11115" t="s">
        <v>32629</v>
      </c>
      <c r="J11115" t="s">
        <v>36411</v>
      </c>
      <c r="K11115" t="s">
        <v>42624</v>
      </c>
      <c r="M11115" t="s">
        <v>45950</v>
      </c>
      <c r="N11115" t="s">
        <v>47304</v>
      </c>
      <c r="O11115" t="s">
        <v>47305</v>
      </c>
      <c r="P11115">
        <v>0</v>
      </c>
      <c r="Q11115">
        <v>0</v>
      </c>
      <c r="R11115" t="s">
        <v>47314</v>
      </c>
      <c r="S11115" t="s">
        <v>47596</v>
      </c>
      <c r="T11115" t="s">
        <v>49018</v>
      </c>
      <c r="U11115" t="s">
        <v>58700</v>
      </c>
      <c r="W11115" t="s">
        <v>45950</v>
      </c>
      <c r="X11115" t="s">
        <v>47315</v>
      </c>
    </row>
    <row r="11116" spans="1:24">
      <c r="A11116">
        <f>HYPERLINK("https://www.philgeps.gov.ph/GEPSNONPILOT/Tender/SplashBidNoticeAbstractUI.aspx?menuIndex=3&amp;refID=7183367&amp;Result=3","7183367")</f>
        <v>0</v>
      </c>
      <c r="B11116" t="s">
        <v>3229</v>
      </c>
      <c r="C11116" t="s">
        <v>14353</v>
      </c>
      <c r="D11116" t="s">
        <v>19018</v>
      </c>
      <c r="E11116" t="s">
        <v>28557</v>
      </c>
      <c r="F11116" t="s">
        <v>32606</v>
      </c>
      <c r="G11116" t="s">
        <v>32613</v>
      </c>
      <c r="H11116" t="s">
        <v>14201</v>
      </c>
      <c r="I11116" t="s">
        <v>4120</v>
      </c>
      <c r="J11116" t="s">
        <v>32950</v>
      </c>
      <c r="K11116" t="s">
        <v>42631</v>
      </c>
      <c r="M11116" t="s">
        <v>46459</v>
      </c>
      <c r="N11116" t="s">
        <v>47304</v>
      </c>
      <c r="O11116" t="s">
        <v>47305</v>
      </c>
      <c r="P11116">
        <v>0</v>
      </c>
      <c r="Q11116">
        <v>2</v>
      </c>
      <c r="R11116" t="s">
        <v>47314</v>
      </c>
      <c r="S11116" t="s">
        <v>47596</v>
      </c>
      <c r="T11116" t="s">
        <v>49052</v>
      </c>
      <c r="U11116" t="s">
        <v>58606</v>
      </c>
      <c r="W11116" t="s">
        <v>46459</v>
      </c>
      <c r="X11116" t="s">
        <v>47315</v>
      </c>
    </row>
    <row r="11117" spans="1:24">
      <c r="A11117">
        <f>HYPERLINK("https://www.philgeps.gov.ph/GEPSNONPILOT/Tender/SplashBidNoticeAbstractUI.aspx?menuIndex=3&amp;refID=7183441&amp;Result=3","7183441")</f>
        <v>0</v>
      </c>
      <c r="B11117" t="s">
        <v>3243</v>
      </c>
      <c r="C11117" t="s">
        <v>14354</v>
      </c>
      <c r="D11117" t="s">
        <v>19010</v>
      </c>
      <c r="E11117" t="s">
        <v>28558</v>
      </c>
      <c r="F11117" t="s">
        <v>32606</v>
      </c>
      <c r="G11117" t="s">
        <v>32613</v>
      </c>
      <c r="H11117" t="s">
        <v>32623</v>
      </c>
      <c r="I11117" t="s">
        <v>17648</v>
      </c>
      <c r="J11117" t="s">
        <v>39689</v>
      </c>
      <c r="K11117" t="s">
        <v>42854</v>
      </c>
      <c r="M11117" t="s">
        <v>46476</v>
      </c>
      <c r="N11117" t="s">
        <v>47304</v>
      </c>
      <c r="O11117" t="s">
        <v>47305</v>
      </c>
      <c r="P11117">
        <v>0</v>
      </c>
      <c r="Q11117">
        <v>5</v>
      </c>
      <c r="R11117" t="s">
        <v>47314</v>
      </c>
      <c r="S11117" t="s">
        <v>47596</v>
      </c>
      <c r="T11117" t="s">
        <v>49140</v>
      </c>
      <c r="U11117" t="s">
        <v>58714</v>
      </c>
      <c r="W11117" t="s">
        <v>46476</v>
      </c>
      <c r="X11117" t="s">
        <v>47315</v>
      </c>
    </row>
    <row r="11118" spans="1:24">
      <c r="A11118">
        <f>HYPERLINK("https://www.philgeps.gov.ph/GEPSNONPILOT/Tender/SplashBidNoticeAbstractUI.aspx?menuIndex=3&amp;refID=7183473&amp;Result=3","7183473")</f>
        <v>0</v>
      </c>
      <c r="B11118" t="s">
        <v>2788</v>
      </c>
      <c r="C11118" t="s">
        <v>14355</v>
      </c>
      <c r="D11118" t="s">
        <v>18997</v>
      </c>
      <c r="E11118" t="s">
        <v>28559</v>
      </c>
      <c r="F11118" t="s">
        <v>32606</v>
      </c>
      <c r="G11118" t="s">
        <v>32613</v>
      </c>
      <c r="H11118" t="s">
        <v>14201</v>
      </c>
      <c r="I11118" t="s">
        <v>4120</v>
      </c>
      <c r="J11118" t="s">
        <v>39690</v>
      </c>
      <c r="K11118" t="s">
        <v>42624</v>
      </c>
      <c r="M11118" t="s">
        <v>45950</v>
      </c>
      <c r="N11118" t="s">
        <v>47304</v>
      </c>
      <c r="O11118" t="s">
        <v>47305</v>
      </c>
      <c r="P11118">
        <v>0</v>
      </c>
      <c r="Q11118">
        <v>2</v>
      </c>
      <c r="R11118" t="s">
        <v>47314</v>
      </c>
      <c r="S11118" t="s">
        <v>47596</v>
      </c>
      <c r="T11118" t="s">
        <v>49018</v>
      </c>
      <c r="U11118" t="s">
        <v>58700</v>
      </c>
      <c r="W11118" t="s">
        <v>45950</v>
      </c>
      <c r="X11118" t="s">
        <v>47315</v>
      </c>
    </row>
    <row r="11119" spans="1:24">
      <c r="A11119">
        <f>HYPERLINK("https://www.philgeps.gov.ph/GEPSNONPILOT/Tender/SplashBidNoticeAbstractUI.aspx?menuIndex=3&amp;refID=7183438&amp;Result=3","7183438")</f>
        <v>0</v>
      </c>
      <c r="B11119" t="s">
        <v>3240</v>
      </c>
      <c r="C11119" t="s">
        <v>14356</v>
      </c>
      <c r="D11119" t="s">
        <v>18991</v>
      </c>
      <c r="E11119" t="s">
        <v>19847</v>
      </c>
      <c r="F11119" t="s">
        <v>32606</v>
      </c>
      <c r="G11119" t="s">
        <v>32613</v>
      </c>
      <c r="H11119" t="s">
        <v>32623</v>
      </c>
      <c r="I11119" t="s">
        <v>17648</v>
      </c>
      <c r="J11119" t="s">
        <v>39691</v>
      </c>
      <c r="K11119" t="s">
        <v>42645</v>
      </c>
      <c r="M11119" t="s">
        <v>46473</v>
      </c>
      <c r="N11119" t="s">
        <v>47304</v>
      </c>
      <c r="O11119" t="s">
        <v>47305</v>
      </c>
      <c r="P11119">
        <v>0</v>
      </c>
      <c r="Q11119">
        <v>0</v>
      </c>
      <c r="R11119" t="s">
        <v>47314</v>
      </c>
      <c r="S11119" t="s">
        <v>47596</v>
      </c>
      <c r="T11119" t="s">
        <v>49052</v>
      </c>
      <c r="U11119" t="s">
        <v>58715</v>
      </c>
      <c r="W11119" t="s">
        <v>46473</v>
      </c>
      <c r="X11119" t="s">
        <v>47315</v>
      </c>
    </row>
    <row r="11120" spans="1:24">
      <c r="A11120">
        <f>HYPERLINK("https://www.philgeps.gov.ph/GEPSNONPILOT/Tender/SplashBidNoticeAbstractUI.aspx?menuIndex=3&amp;refID=7183428&amp;Result=3","7183428")</f>
        <v>0</v>
      </c>
      <c r="B11120" t="s">
        <v>3235</v>
      </c>
      <c r="C11120" t="s">
        <v>14357</v>
      </c>
      <c r="D11120" t="s">
        <v>19049</v>
      </c>
      <c r="E11120" t="s">
        <v>28560</v>
      </c>
      <c r="F11120" t="s">
        <v>32606</v>
      </c>
      <c r="G11120" t="s">
        <v>32613</v>
      </c>
      <c r="H11120" t="s">
        <v>32623</v>
      </c>
      <c r="I11120" t="s">
        <v>17648</v>
      </c>
      <c r="J11120" t="s">
        <v>35071</v>
      </c>
      <c r="K11120" t="s">
        <v>42648</v>
      </c>
      <c r="M11120" t="s">
        <v>46466</v>
      </c>
      <c r="N11120" t="s">
        <v>47304</v>
      </c>
      <c r="O11120" t="s">
        <v>47305</v>
      </c>
      <c r="P11120">
        <v>0</v>
      </c>
      <c r="Q11120">
        <v>1</v>
      </c>
      <c r="R11120" t="s">
        <v>47314</v>
      </c>
      <c r="S11120" t="s">
        <v>47596</v>
      </c>
      <c r="T11120" t="s">
        <v>49075</v>
      </c>
      <c r="U11120" t="s">
        <v>58716</v>
      </c>
      <c r="V11120" t="s">
        <v>63831</v>
      </c>
      <c r="W11120" t="s">
        <v>64530</v>
      </c>
      <c r="X11120" t="s">
        <v>47315</v>
      </c>
    </row>
    <row r="11121" spans="1:24">
      <c r="A11121">
        <f>HYPERLINK("https://www.philgeps.gov.ph/GEPSNONPILOT/Tender/SplashBidNoticeAbstractUI.aspx?menuIndex=3&amp;refID=7183446&amp;Result=3","7183446")</f>
        <v>0</v>
      </c>
      <c r="B11121" t="s">
        <v>3247</v>
      </c>
      <c r="C11121" t="s">
        <v>14358</v>
      </c>
      <c r="D11121" t="s">
        <v>18993</v>
      </c>
      <c r="E11121" t="s">
        <v>28561</v>
      </c>
      <c r="F11121" t="s">
        <v>32606</v>
      </c>
      <c r="G11121" t="s">
        <v>32614</v>
      </c>
      <c r="H11121" t="s">
        <v>14201</v>
      </c>
      <c r="I11121" t="s">
        <v>4120</v>
      </c>
      <c r="J11121" t="s">
        <v>34179</v>
      </c>
      <c r="K11121" t="s">
        <v>42638</v>
      </c>
      <c r="M11121" t="s">
        <v>46480</v>
      </c>
      <c r="N11121" t="s">
        <v>47304</v>
      </c>
      <c r="O11121" t="s">
        <v>47305</v>
      </c>
      <c r="P11121">
        <v>0</v>
      </c>
      <c r="Q11121">
        <v>2</v>
      </c>
      <c r="R11121" t="s">
        <v>47314</v>
      </c>
      <c r="S11121" t="s">
        <v>47596</v>
      </c>
      <c r="T11121" t="s">
        <v>49331</v>
      </c>
      <c r="U11121" t="s">
        <v>58717</v>
      </c>
      <c r="V11121" t="s">
        <v>63830</v>
      </c>
      <c r="W11121" t="s">
        <v>46480</v>
      </c>
      <c r="X11121" t="s">
        <v>47315</v>
      </c>
    </row>
    <row r="11122" spans="1:24">
      <c r="A11122">
        <f>HYPERLINK("https://www.philgeps.gov.ph/GEPSNONPILOT/Tender/SplashBidNoticeAbstractUI.aspx?menuIndex=3&amp;refID=7183507&amp;Result=3","7183507")</f>
        <v>0</v>
      </c>
      <c r="B11122" t="s">
        <v>3244</v>
      </c>
      <c r="C11122" t="s">
        <v>14359</v>
      </c>
      <c r="E11122" t="s">
        <v>28562</v>
      </c>
      <c r="F11122" t="s">
        <v>32606</v>
      </c>
      <c r="G11122" t="s">
        <v>32613</v>
      </c>
      <c r="H11122" t="s">
        <v>14201</v>
      </c>
      <c r="I11122" t="s">
        <v>32743</v>
      </c>
      <c r="J11122" t="s">
        <v>39692</v>
      </c>
      <c r="K11122" t="s">
        <v>42624</v>
      </c>
      <c r="M11122" t="s">
        <v>46477</v>
      </c>
      <c r="N11122" t="s">
        <v>47304</v>
      </c>
      <c r="O11122" t="s">
        <v>47305</v>
      </c>
      <c r="P11122">
        <v>0</v>
      </c>
      <c r="Q11122">
        <v>11</v>
      </c>
      <c r="R11122" t="s">
        <v>47314</v>
      </c>
      <c r="S11122" t="s">
        <v>47596</v>
      </c>
      <c r="T11122" t="s">
        <v>49454</v>
      </c>
      <c r="U11122" t="s">
        <v>58699</v>
      </c>
      <c r="W11122" t="s">
        <v>46477</v>
      </c>
      <c r="X11122" t="s">
        <v>47315</v>
      </c>
    </row>
    <row r="11123" spans="1:24">
      <c r="A11123">
        <f>HYPERLINK("https://www.philgeps.gov.ph/GEPSNONPILOT/Tender/SplashBidNoticeAbstractUI.aspx?menuIndex=3&amp;refID=7183498&amp;Result=3","7183498")</f>
        <v>0</v>
      </c>
      <c r="B11123" t="s">
        <v>3240</v>
      </c>
      <c r="C11123" t="s">
        <v>14360</v>
      </c>
      <c r="D11123" t="s">
        <v>18991</v>
      </c>
      <c r="E11123" t="s">
        <v>19663</v>
      </c>
      <c r="F11123" t="s">
        <v>32606</v>
      </c>
      <c r="G11123" t="s">
        <v>32613</v>
      </c>
      <c r="H11123" t="s">
        <v>32623</v>
      </c>
      <c r="I11123" t="s">
        <v>32661</v>
      </c>
      <c r="J11123" t="s">
        <v>39693</v>
      </c>
      <c r="K11123" t="s">
        <v>42646</v>
      </c>
      <c r="M11123" t="s">
        <v>46473</v>
      </c>
      <c r="N11123" t="s">
        <v>47304</v>
      </c>
      <c r="O11123" t="s">
        <v>47305</v>
      </c>
      <c r="P11123">
        <v>0</v>
      </c>
      <c r="Q11123">
        <v>1</v>
      </c>
      <c r="R11123" t="s">
        <v>47314</v>
      </c>
      <c r="S11123" t="s">
        <v>47596</v>
      </c>
      <c r="T11123" t="s">
        <v>49234</v>
      </c>
      <c r="U11123" t="s">
        <v>58718</v>
      </c>
      <c r="W11123" t="s">
        <v>46473</v>
      </c>
      <c r="X11123" t="s">
        <v>47315</v>
      </c>
    </row>
    <row r="11124" spans="1:24">
      <c r="A11124">
        <f>HYPERLINK("https://www.philgeps.gov.ph/GEPSNONPILOT/Tender/SplashBidNoticeAbstractUI.aspx?menuIndex=3&amp;refID=7183420&amp;Result=3","7183420")</f>
        <v>0</v>
      </c>
      <c r="B11124" t="s">
        <v>3243</v>
      </c>
      <c r="C11124" t="s">
        <v>14361</v>
      </c>
      <c r="D11124" t="s">
        <v>19010</v>
      </c>
      <c r="E11124" t="s">
        <v>28563</v>
      </c>
      <c r="F11124" t="s">
        <v>32606</v>
      </c>
      <c r="G11124" t="s">
        <v>32613</v>
      </c>
      <c r="H11124" t="s">
        <v>32623</v>
      </c>
      <c r="I11124" t="s">
        <v>17648</v>
      </c>
      <c r="J11124" t="s">
        <v>39694</v>
      </c>
      <c r="K11124" t="s">
        <v>42645</v>
      </c>
      <c r="M11124" t="s">
        <v>46476</v>
      </c>
      <c r="N11124" t="s">
        <v>47304</v>
      </c>
      <c r="O11124" t="s">
        <v>47305</v>
      </c>
      <c r="P11124">
        <v>0</v>
      </c>
      <c r="Q11124">
        <v>6</v>
      </c>
      <c r="R11124" t="s">
        <v>47314</v>
      </c>
      <c r="S11124" t="s">
        <v>47596</v>
      </c>
      <c r="T11124" t="s">
        <v>49140</v>
      </c>
      <c r="U11124" t="s">
        <v>58719</v>
      </c>
      <c r="W11124" t="s">
        <v>46476</v>
      </c>
      <c r="X11124" t="s">
        <v>47315</v>
      </c>
    </row>
    <row r="11125" spans="1:24">
      <c r="A11125">
        <f>HYPERLINK("https://www.philgeps.gov.ph/GEPSNONPILOT/Tender/SplashBidNoticeAbstractUI.aspx?menuIndex=3&amp;refID=7183494&amp;Result=3","7183494")</f>
        <v>0</v>
      </c>
      <c r="B11125" t="s">
        <v>3244</v>
      </c>
      <c r="C11125" t="s">
        <v>14362</v>
      </c>
      <c r="E11125" t="s">
        <v>28564</v>
      </c>
      <c r="F11125" t="s">
        <v>32606</v>
      </c>
      <c r="G11125" t="s">
        <v>32613</v>
      </c>
      <c r="H11125" t="s">
        <v>14201</v>
      </c>
      <c r="I11125" t="s">
        <v>32743</v>
      </c>
      <c r="J11125" t="s">
        <v>39695</v>
      </c>
      <c r="K11125" t="s">
        <v>42624</v>
      </c>
      <c r="M11125" t="s">
        <v>46477</v>
      </c>
      <c r="N11125" t="s">
        <v>47304</v>
      </c>
      <c r="O11125" t="s">
        <v>47305</v>
      </c>
      <c r="P11125">
        <v>0</v>
      </c>
      <c r="Q11125">
        <v>14</v>
      </c>
      <c r="R11125" t="s">
        <v>47314</v>
      </c>
      <c r="S11125" t="s">
        <v>47596</v>
      </c>
      <c r="T11125" t="s">
        <v>49454</v>
      </c>
      <c r="U11125" t="s">
        <v>58699</v>
      </c>
      <c r="W11125" t="s">
        <v>46477</v>
      </c>
      <c r="X11125" t="s">
        <v>47315</v>
      </c>
    </row>
    <row r="11126" spans="1:24">
      <c r="A11126">
        <f>HYPERLINK("https://www.philgeps.gov.ph/GEPSNONPILOT/Tender/SplashBidNoticeAbstractUI.aspx?menuIndex=3&amp;refID=7183510&amp;Result=3","7183510")</f>
        <v>0</v>
      </c>
      <c r="B11126" t="s">
        <v>3240</v>
      </c>
      <c r="C11126" t="s">
        <v>14363</v>
      </c>
      <c r="D11126" t="s">
        <v>18991</v>
      </c>
      <c r="E11126" t="s">
        <v>20378</v>
      </c>
      <c r="F11126" t="s">
        <v>32606</v>
      </c>
      <c r="G11126" t="s">
        <v>32613</v>
      </c>
      <c r="H11126" t="s">
        <v>32623</v>
      </c>
      <c r="I11126" t="s">
        <v>32661</v>
      </c>
      <c r="J11126" t="s">
        <v>39696</v>
      </c>
      <c r="K11126" t="s">
        <v>42646</v>
      </c>
      <c r="M11126" t="s">
        <v>46473</v>
      </c>
      <c r="N11126" t="s">
        <v>47304</v>
      </c>
      <c r="O11126" t="s">
        <v>47305</v>
      </c>
      <c r="P11126">
        <v>0</v>
      </c>
      <c r="Q11126">
        <v>3</v>
      </c>
      <c r="R11126" t="s">
        <v>47314</v>
      </c>
      <c r="S11126" t="s">
        <v>47596</v>
      </c>
      <c r="T11126" t="s">
        <v>49234</v>
      </c>
      <c r="U11126" t="s">
        <v>58720</v>
      </c>
      <c r="W11126" t="s">
        <v>46473</v>
      </c>
      <c r="X11126" t="s">
        <v>47315</v>
      </c>
    </row>
    <row r="11127" spans="1:24">
      <c r="A11127">
        <f>HYPERLINK("https://www.philgeps.gov.ph/GEPSNONPILOT/Tender/SplashBidNoticeAbstractUI.aspx?menuIndex=3&amp;refID=7183487&amp;Result=3","7183487")</f>
        <v>0</v>
      </c>
      <c r="B11127" t="s">
        <v>3248</v>
      </c>
      <c r="C11127" t="s">
        <v>14364</v>
      </c>
      <c r="D11127" t="s">
        <v>18999</v>
      </c>
      <c r="E11127" t="s">
        <v>28565</v>
      </c>
      <c r="F11127" t="s">
        <v>32606</v>
      </c>
      <c r="G11127" t="s">
        <v>32613</v>
      </c>
      <c r="H11127" t="s">
        <v>32624</v>
      </c>
      <c r="I11127" t="s">
        <v>32733</v>
      </c>
      <c r="J11127" t="s">
        <v>33385</v>
      </c>
      <c r="K11127" t="s">
        <v>42631</v>
      </c>
      <c r="M11127" t="s">
        <v>46481</v>
      </c>
      <c r="N11127" t="s">
        <v>47304</v>
      </c>
      <c r="O11127" t="s">
        <v>47305</v>
      </c>
      <c r="P11127">
        <v>0</v>
      </c>
      <c r="Q11127">
        <v>1</v>
      </c>
      <c r="R11127" t="s">
        <v>47314</v>
      </c>
      <c r="S11127" t="s">
        <v>47596</v>
      </c>
      <c r="T11127" t="s">
        <v>48980</v>
      </c>
      <c r="U11127" t="s">
        <v>58721</v>
      </c>
      <c r="W11127" t="s">
        <v>46481</v>
      </c>
      <c r="X11127" t="s">
        <v>47315</v>
      </c>
    </row>
    <row r="11128" spans="1:24">
      <c r="A11128">
        <f>HYPERLINK("https://www.philgeps.gov.ph/GEPSNONPILOT/Tender/SplashBidNoticeAbstractUI.aspx?menuIndex=3&amp;refID=7183485&amp;Result=3","7183485")</f>
        <v>0</v>
      </c>
      <c r="B11128" t="s">
        <v>256</v>
      </c>
      <c r="C11128" t="s">
        <v>14365</v>
      </c>
      <c r="E11128" t="s">
        <v>28566</v>
      </c>
      <c r="F11128" t="s">
        <v>32606</v>
      </c>
      <c r="G11128" t="s">
        <v>32613</v>
      </c>
      <c r="H11128" t="s">
        <v>32623</v>
      </c>
      <c r="I11128" t="s">
        <v>6007</v>
      </c>
      <c r="J11128" t="s">
        <v>39697</v>
      </c>
      <c r="K11128" t="s">
        <v>42706</v>
      </c>
      <c r="M11128" t="s">
        <v>43157</v>
      </c>
      <c r="N11128" t="s">
        <v>47304</v>
      </c>
      <c r="O11128" t="s">
        <v>47305</v>
      </c>
      <c r="P11128">
        <v>0</v>
      </c>
      <c r="Q11128">
        <v>2</v>
      </c>
      <c r="R11128" t="s">
        <v>47314</v>
      </c>
      <c r="S11128" t="s">
        <v>47596</v>
      </c>
      <c r="T11128" t="s">
        <v>49373</v>
      </c>
      <c r="U11128" t="s">
        <v>58722</v>
      </c>
      <c r="W11128" t="s">
        <v>43157</v>
      </c>
      <c r="X11128" t="s">
        <v>47315</v>
      </c>
    </row>
    <row r="11129" spans="1:24">
      <c r="A11129">
        <f>HYPERLINK("https://www.philgeps.gov.ph/GEPSNONPILOT/Tender/SplashBidNoticeAbstractUI.aspx?menuIndex=3&amp;refID=7183483&amp;Result=3","7183483")</f>
        <v>0</v>
      </c>
      <c r="B11129" t="s">
        <v>3244</v>
      </c>
      <c r="C11129" t="s">
        <v>14366</v>
      </c>
      <c r="E11129" t="s">
        <v>28567</v>
      </c>
      <c r="F11129" t="s">
        <v>32606</v>
      </c>
      <c r="G11129" t="s">
        <v>32613</v>
      </c>
      <c r="H11129" t="s">
        <v>14201</v>
      </c>
      <c r="I11129" t="s">
        <v>32743</v>
      </c>
      <c r="J11129" t="s">
        <v>39695</v>
      </c>
      <c r="K11129" t="s">
        <v>42624</v>
      </c>
      <c r="M11129" t="s">
        <v>46477</v>
      </c>
      <c r="N11129" t="s">
        <v>47304</v>
      </c>
      <c r="O11129" t="s">
        <v>47305</v>
      </c>
      <c r="P11129">
        <v>0</v>
      </c>
      <c r="Q11129">
        <v>14</v>
      </c>
      <c r="R11129" t="s">
        <v>47314</v>
      </c>
      <c r="S11129" t="s">
        <v>47596</v>
      </c>
      <c r="T11129" t="s">
        <v>49454</v>
      </c>
      <c r="U11129" t="s">
        <v>58699</v>
      </c>
      <c r="W11129" t="s">
        <v>46477</v>
      </c>
      <c r="X11129" t="s">
        <v>47315</v>
      </c>
    </row>
    <row r="11130" spans="1:24">
      <c r="A11130">
        <f>HYPERLINK("https://www.philgeps.gov.ph/GEPSNONPILOT/Tender/SplashBidNoticeAbstractUI.aspx?menuIndex=3&amp;refID=7183482&amp;Result=3","7183482")</f>
        <v>0</v>
      </c>
      <c r="B11130" t="s">
        <v>2788</v>
      </c>
      <c r="C11130" t="s">
        <v>14367</v>
      </c>
      <c r="D11130" t="s">
        <v>18997</v>
      </c>
      <c r="E11130" t="s">
        <v>28568</v>
      </c>
      <c r="F11130" t="s">
        <v>32606</v>
      </c>
      <c r="G11130" t="s">
        <v>32613</v>
      </c>
      <c r="H11130" t="s">
        <v>14201</v>
      </c>
      <c r="I11130" t="s">
        <v>9008</v>
      </c>
      <c r="J11130" t="s">
        <v>33263</v>
      </c>
      <c r="K11130" t="s">
        <v>42624</v>
      </c>
      <c r="M11130" t="s">
        <v>45950</v>
      </c>
      <c r="N11130" t="s">
        <v>47304</v>
      </c>
      <c r="O11130" t="s">
        <v>47305</v>
      </c>
      <c r="P11130">
        <v>0</v>
      </c>
      <c r="Q11130">
        <v>0</v>
      </c>
      <c r="R11130" t="s">
        <v>47314</v>
      </c>
      <c r="S11130" t="s">
        <v>47596</v>
      </c>
      <c r="T11130" t="s">
        <v>49018</v>
      </c>
      <c r="U11130" t="s">
        <v>58700</v>
      </c>
      <c r="W11130" t="s">
        <v>45950</v>
      </c>
      <c r="X11130" t="s">
        <v>47315</v>
      </c>
    </row>
    <row r="11131" spans="1:24">
      <c r="A11131">
        <f>HYPERLINK("https://www.philgeps.gov.ph/GEPSNONPILOT/Tender/SplashBidNoticeAbstractUI.aspx?menuIndex=3&amp;refID=7183480&amp;Result=3","7183480")</f>
        <v>0</v>
      </c>
      <c r="B11131" t="s">
        <v>3249</v>
      </c>
      <c r="C11131" t="s">
        <v>14368</v>
      </c>
      <c r="D11131" t="s">
        <v>19036</v>
      </c>
      <c r="E11131" t="s">
        <v>28569</v>
      </c>
      <c r="F11131" t="s">
        <v>32606</v>
      </c>
      <c r="G11131" t="s">
        <v>32613</v>
      </c>
      <c r="H11131" t="s">
        <v>32623</v>
      </c>
      <c r="I11131" t="s">
        <v>4121</v>
      </c>
      <c r="J11131" t="s">
        <v>33071</v>
      </c>
      <c r="K11131" t="s">
        <v>42648</v>
      </c>
      <c r="M11131" t="s">
        <v>46482</v>
      </c>
      <c r="N11131" t="s">
        <v>47304</v>
      </c>
      <c r="O11131" t="s">
        <v>47305</v>
      </c>
      <c r="P11131">
        <v>0</v>
      </c>
      <c r="Q11131">
        <v>10</v>
      </c>
      <c r="R11131" t="s">
        <v>47314</v>
      </c>
      <c r="S11131" t="s">
        <v>47596</v>
      </c>
      <c r="T11131" t="s">
        <v>49234</v>
      </c>
      <c r="U11131" t="s">
        <v>58723</v>
      </c>
      <c r="W11131" t="s">
        <v>46482</v>
      </c>
      <c r="X11131" t="s">
        <v>47315</v>
      </c>
    </row>
    <row r="11132" spans="1:24">
      <c r="A11132">
        <f>HYPERLINK("https://www.philgeps.gov.ph/GEPSNONPILOT/Tender/SplashBidNoticeAbstractUI.aspx?menuIndex=3&amp;refID=7183516&amp;Result=3","7183516")</f>
        <v>0</v>
      </c>
      <c r="B11132" t="s">
        <v>3249</v>
      </c>
      <c r="C11132" t="s">
        <v>14369</v>
      </c>
      <c r="D11132" t="s">
        <v>19036</v>
      </c>
      <c r="E11132" t="s">
        <v>28570</v>
      </c>
      <c r="F11132" t="s">
        <v>32606</v>
      </c>
      <c r="G11132" t="s">
        <v>32613</v>
      </c>
      <c r="H11132" t="s">
        <v>32623</v>
      </c>
      <c r="I11132" t="s">
        <v>4121</v>
      </c>
      <c r="J11132" t="s">
        <v>32893</v>
      </c>
      <c r="K11132" t="s">
        <v>42648</v>
      </c>
      <c r="M11132" t="s">
        <v>46482</v>
      </c>
      <c r="N11132" t="s">
        <v>47304</v>
      </c>
      <c r="O11132" t="s">
        <v>47305</v>
      </c>
      <c r="P11132">
        <v>0</v>
      </c>
      <c r="Q11132">
        <v>9</v>
      </c>
      <c r="R11132" t="s">
        <v>47314</v>
      </c>
      <c r="S11132" t="s">
        <v>47596</v>
      </c>
      <c r="T11132" t="s">
        <v>49234</v>
      </c>
      <c r="U11132" t="s">
        <v>58723</v>
      </c>
      <c r="W11132" t="s">
        <v>46482</v>
      </c>
      <c r="X11132" t="s">
        <v>47315</v>
      </c>
    </row>
    <row r="11133" spans="1:24">
      <c r="A11133">
        <f>HYPERLINK("https://www.philgeps.gov.ph/GEPSNONPILOT/Tender/SplashBidNoticeAbstractUI.aspx?menuIndex=3&amp;refID=7183583&amp;Result=3","7183583")</f>
        <v>0</v>
      </c>
      <c r="B11133" t="s">
        <v>3250</v>
      </c>
      <c r="C11133" t="s">
        <v>14370</v>
      </c>
      <c r="D11133" t="s">
        <v>18993</v>
      </c>
      <c r="E11133" t="s">
        <v>28571</v>
      </c>
      <c r="F11133" t="s">
        <v>32606</v>
      </c>
      <c r="G11133" t="s">
        <v>32613</v>
      </c>
      <c r="H11133" t="s">
        <v>14201</v>
      </c>
      <c r="I11133" t="s">
        <v>32640</v>
      </c>
      <c r="J11133" t="s">
        <v>39698</v>
      </c>
      <c r="K11133" t="s">
        <v>42624</v>
      </c>
      <c r="M11133" t="s">
        <v>46483</v>
      </c>
      <c r="N11133" t="s">
        <v>47304</v>
      </c>
      <c r="O11133" t="s">
        <v>47305</v>
      </c>
      <c r="Q11133">
        <v>8</v>
      </c>
      <c r="R11133" t="s">
        <v>47314</v>
      </c>
      <c r="S11133" t="s">
        <v>47658</v>
      </c>
      <c r="T11133" t="s">
        <v>49099</v>
      </c>
      <c r="U11133" t="s">
        <v>58724</v>
      </c>
      <c r="W11133" t="s">
        <v>64531</v>
      </c>
      <c r="X11133" t="s">
        <v>47315</v>
      </c>
    </row>
    <row r="11134" spans="1:24">
      <c r="A11134">
        <f>HYPERLINK("https://www.philgeps.gov.ph/GEPSNONPILOT/Tender/SplashBidNoticeAbstractUI.aspx?menuIndex=3&amp;refID=7183481&amp;Result=3","7183481")</f>
        <v>0</v>
      </c>
      <c r="B11134" t="s">
        <v>3240</v>
      </c>
      <c r="C11134" t="s">
        <v>14371</v>
      </c>
      <c r="D11134" t="s">
        <v>18991</v>
      </c>
      <c r="E11134" t="s">
        <v>19670</v>
      </c>
      <c r="F11134" t="s">
        <v>32606</v>
      </c>
      <c r="G11134" t="s">
        <v>32613</v>
      </c>
      <c r="H11134" t="s">
        <v>32623</v>
      </c>
      <c r="I11134" t="s">
        <v>32661</v>
      </c>
      <c r="J11134" t="s">
        <v>39678</v>
      </c>
      <c r="K11134" t="s">
        <v>42646</v>
      </c>
      <c r="M11134" t="s">
        <v>46473</v>
      </c>
      <c r="N11134" t="s">
        <v>47304</v>
      </c>
      <c r="O11134" t="s">
        <v>47305</v>
      </c>
      <c r="P11134">
        <v>0</v>
      </c>
      <c r="Q11134">
        <v>2</v>
      </c>
      <c r="R11134" t="s">
        <v>47314</v>
      </c>
      <c r="S11134" t="s">
        <v>47596</v>
      </c>
      <c r="T11134" t="s">
        <v>49234</v>
      </c>
      <c r="U11134" t="s">
        <v>58725</v>
      </c>
      <c r="W11134" t="s">
        <v>46473</v>
      </c>
      <c r="X11134" t="s">
        <v>47315</v>
      </c>
    </row>
    <row r="11135" spans="1:24">
      <c r="A11135">
        <f>HYPERLINK("https://www.philgeps.gov.ph/GEPSNONPILOT/Tender/SplashBidNoticeAbstractUI.aspx?menuIndex=3&amp;refID=7183577&amp;Result=3","7183577")</f>
        <v>0</v>
      </c>
      <c r="B11135" t="s">
        <v>3251</v>
      </c>
      <c r="C11135" t="s">
        <v>14372</v>
      </c>
      <c r="D11135" t="s">
        <v>18993</v>
      </c>
      <c r="E11135" t="s">
        <v>28572</v>
      </c>
      <c r="F11135" t="s">
        <v>32606</v>
      </c>
      <c r="G11135" t="s">
        <v>32613</v>
      </c>
      <c r="H11135" t="s">
        <v>14201</v>
      </c>
      <c r="I11135" t="s">
        <v>6298</v>
      </c>
      <c r="J11135" t="s">
        <v>32981</v>
      </c>
      <c r="K11135" t="s">
        <v>42636</v>
      </c>
      <c r="M11135" t="s">
        <v>46484</v>
      </c>
      <c r="N11135" t="s">
        <v>47304</v>
      </c>
      <c r="O11135" t="s">
        <v>47305</v>
      </c>
      <c r="P11135">
        <v>0</v>
      </c>
      <c r="Q11135">
        <v>3</v>
      </c>
      <c r="R11135" t="s">
        <v>47314</v>
      </c>
      <c r="S11135" t="s">
        <v>47596</v>
      </c>
      <c r="T11135" t="s">
        <v>49071</v>
      </c>
      <c r="U11135" t="s">
        <v>58726</v>
      </c>
      <c r="W11135" t="s">
        <v>46484</v>
      </c>
      <c r="X11135" t="s">
        <v>47315</v>
      </c>
    </row>
    <row r="11136" spans="1:24">
      <c r="A11136">
        <f>HYPERLINK("https://www.philgeps.gov.ph/GEPSNONPILOT/Tender/SplashBidNoticeAbstractUI.aspx?menuIndex=3&amp;refID=7183492&amp;Result=3","7183492")</f>
        <v>0</v>
      </c>
      <c r="B11136" t="s">
        <v>2788</v>
      </c>
      <c r="C11136" t="s">
        <v>14373</v>
      </c>
      <c r="D11136" t="s">
        <v>18997</v>
      </c>
      <c r="E11136" t="s">
        <v>28573</v>
      </c>
      <c r="F11136" t="s">
        <v>32606</v>
      </c>
      <c r="G11136" t="s">
        <v>32613</v>
      </c>
      <c r="H11136" t="s">
        <v>32623</v>
      </c>
      <c r="I11136" t="s">
        <v>32661</v>
      </c>
      <c r="J11136" t="s">
        <v>39699</v>
      </c>
      <c r="K11136" t="s">
        <v>42624</v>
      </c>
      <c r="M11136" t="s">
        <v>45950</v>
      </c>
      <c r="N11136" t="s">
        <v>47304</v>
      </c>
      <c r="O11136" t="s">
        <v>47305</v>
      </c>
      <c r="P11136">
        <v>0</v>
      </c>
      <c r="Q11136">
        <v>1</v>
      </c>
      <c r="R11136" t="s">
        <v>47314</v>
      </c>
      <c r="S11136" t="s">
        <v>47596</v>
      </c>
      <c r="T11136" t="s">
        <v>48985</v>
      </c>
      <c r="U11136" t="s">
        <v>58700</v>
      </c>
      <c r="W11136" t="s">
        <v>45950</v>
      </c>
      <c r="X11136" t="s">
        <v>47315</v>
      </c>
    </row>
    <row r="11137" spans="1:24">
      <c r="A11137">
        <f>HYPERLINK("https://www.philgeps.gov.ph/GEPSNONPILOT/Tender/SplashBidNoticeAbstractUI.aspx?menuIndex=3&amp;refID=7183572&amp;Result=3","7183572")</f>
        <v>0</v>
      </c>
      <c r="B11137" t="s">
        <v>3251</v>
      </c>
      <c r="C11137" t="s">
        <v>14374</v>
      </c>
      <c r="D11137" t="s">
        <v>18993</v>
      </c>
      <c r="E11137" t="s">
        <v>28574</v>
      </c>
      <c r="F11137" t="s">
        <v>32606</v>
      </c>
      <c r="G11137" t="s">
        <v>32613</v>
      </c>
      <c r="H11137" t="s">
        <v>14201</v>
      </c>
      <c r="I11137" t="s">
        <v>6298</v>
      </c>
      <c r="J11137" t="s">
        <v>32765</v>
      </c>
      <c r="K11137" t="s">
        <v>42636</v>
      </c>
      <c r="M11137" t="s">
        <v>46484</v>
      </c>
      <c r="N11137" t="s">
        <v>47304</v>
      </c>
      <c r="O11137" t="s">
        <v>47305</v>
      </c>
      <c r="P11137">
        <v>0</v>
      </c>
      <c r="Q11137">
        <v>2</v>
      </c>
      <c r="R11137" t="s">
        <v>47314</v>
      </c>
      <c r="S11137" t="s">
        <v>47596</v>
      </c>
      <c r="T11137" t="s">
        <v>49071</v>
      </c>
      <c r="U11137" t="s">
        <v>58727</v>
      </c>
      <c r="W11137" t="s">
        <v>46484</v>
      </c>
      <c r="X11137" t="s">
        <v>47315</v>
      </c>
    </row>
    <row r="11138" spans="1:24">
      <c r="A11138">
        <f>HYPERLINK("https://www.philgeps.gov.ph/GEPSNONPILOT/Tender/SplashBidNoticeAbstractUI.aspx?menuIndex=3&amp;refID=7183569&amp;Result=3","7183569")</f>
        <v>0</v>
      </c>
      <c r="B11138" t="s">
        <v>3251</v>
      </c>
      <c r="C11138" t="s">
        <v>14375</v>
      </c>
      <c r="D11138" t="s">
        <v>18993</v>
      </c>
      <c r="E11138" t="s">
        <v>28575</v>
      </c>
      <c r="F11138" t="s">
        <v>32606</v>
      </c>
      <c r="G11138" t="s">
        <v>32613</v>
      </c>
      <c r="H11138" t="s">
        <v>14201</v>
      </c>
      <c r="I11138" t="s">
        <v>6298</v>
      </c>
      <c r="J11138" t="s">
        <v>32981</v>
      </c>
      <c r="K11138" t="s">
        <v>42636</v>
      </c>
      <c r="M11138" t="s">
        <v>46484</v>
      </c>
      <c r="N11138" t="s">
        <v>47304</v>
      </c>
      <c r="O11138" t="s">
        <v>47305</v>
      </c>
      <c r="P11138">
        <v>0</v>
      </c>
      <c r="Q11138">
        <v>2</v>
      </c>
      <c r="R11138" t="s">
        <v>47314</v>
      </c>
      <c r="S11138" t="s">
        <v>47596</v>
      </c>
      <c r="T11138" t="s">
        <v>49071</v>
      </c>
      <c r="U11138" t="s">
        <v>58728</v>
      </c>
      <c r="W11138" t="s">
        <v>46484</v>
      </c>
      <c r="X11138" t="s">
        <v>47315</v>
      </c>
    </row>
    <row r="11139" spans="1:24">
      <c r="A11139">
        <f>HYPERLINK("https://www.philgeps.gov.ph/GEPSNONPILOT/Tender/SplashBidNoticeAbstractUI.aspx?menuIndex=3&amp;refID=7183591&amp;Result=3","7183591")</f>
        <v>0</v>
      </c>
      <c r="B11139" t="s">
        <v>1749</v>
      </c>
      <c r="C11139" t="s">
        <v>14376</v>
      </c>
      <c r="D11139" t="s">
        <v>18993</v>
      </c>
      <c r="E11139" t="s">
        <v>28576</v>
      </c>
      <c r="F11139" t="s">
        <v>32606</v>
      </c>
      <c r="G11139" t="s">
        <v>32613</v>
      </c>
      <c r="H11139" t="s">
        <v>14201</v>
      </c>
      <c r="I11139" t="s">
        <v>32640</v>
      </c>
      <c r="J11139" t="s">
        <v>39700</v>
      </c>
      <c r="K11139" t="s">
        <v>42855</v>
      </c>
      <c r="M11139" t="s">
        <v>46485</v>
      </c>
      <c r="N11139" t="s">
        <v>47304</v>
      </c>
      <c r="O11139" t="s">
        <v>47305</v>
      </c>
      <c r="P11139">
        <v>0</v>
      </c>
      <c r="Q11139">
        <v>15</v>
      </c>
      <c r="R11139" t="s">
        <v>47314</v>
      </c>
      <c r="S11139" t="s">
        <v>47596</v>
      </c>
      <c r="T11139" t="s">
        <v>49310</v>
      </c>
      <c r="U11139" t="s">
        <v>58729</v>
      </c>
      <c r="W11139" t="s">
        <v>46485</v>
      </c>
      <c r="X11139" t="s">
        <v>47315</v>
      </c>
    </row>
    <row r="11140" spans="1:24">
      <c r="A11140">
        <f>HYPERLINK("https://www.philgeps.gov.ph/GEPSNONPILOT/Tender/SplashBidNoticeAbstractUI.aspx?menuIndex=3&amp;refID=7183567&amp;Result=3","7183567")</f>
        <v>0</v>
      </c>
      <c r="B11140" t="s">
        <v>3251</v>
      </c>
      <c r="C11140" t="s">
        <v>14377</v>
      </c>
      <c r="D11140" t="s">
        <v>18993</v>
      </c>
      <c r="E11140" t="s">
        <v>28577</v>
      </c>
      <c r="F11140" t="s">
        <v>32606</v>
      </c>
      <c r="G11140" t="s">
        <v>32613</v>
      </c>
      <c r="H11140" t="s">
        <v>14201</v>
      </c>
      <c r="I11140" t="s">
        <v>6298</v>
      </c>
      <c r="J11140" t="s">
        <v>32981</v>
      </c>
      <c r="K11140" t="s">
        <v>42636</v>
      </c>
      <c r="M11140" t="s">
        <v>46484</v>
      </c>
      <c r="N11140" t="s">
        <v>47304</v>
      </c>
      <c r="O11140" t="s">
        <v>47305</v>
      </c>
      <c r="P11140">
        <v>0</v>
      </c>
      <c r="Q11140">
        <v>3</v>
      </c>
      <c r="R11140" t="s">
        <v>47314</v>
      </c>
      <c r="S11140" t="s">
        <v>47596</v>
      </c>
      <c r="T11140" t="s">
        <v>49071</v>
      </c>
      <c r="U11140" t="s">
        <v>58730</v>
      </c>
      <c r="W11140" t="s">
        <v>46484</v>
      </c>
      <c r="X11140" t="s">
        <v>47315</v>
      </c>
    </row>
    <row r="11141" spans="1:24">
      <c r="A11141">
        <f>HYPERLINK("https://www.philgeps.gov.ph/GEPSNONPILOT/Tender/SplashBidNoticeAbstractUI.aspx?menuIndex=3&amp;refID=7183562&amp;Result=3","7183562")</f>
        <v>0</v>
      </c>
      <c r="B11141" t="s">
        <v>3229</v>
      </c>
      <c r="C11141" t="s">
        <v>14378</v>
      </c>
      <c r="D11141" t="s">
        <v>19018</v>
      </c>
      <c r="E11141" t="s">
        <v>28578</v>
      </c>
      <c r="F11141" t="s">
        <v>32606</v>
      </c>
      <c r="G11141" t="s">
        <v>32613</v>
      </c>
      <c r="H11141" t="s">
        <v>14201</v>
      </c>
      <c r="I11141" t="s">
        <v>4120</v>
      </c>
      <c r="J11141" t="s">
        <v>39701</v>
      </c>
      <c r="K11141" t="s">
        <v>42631</v>
      </c>
      <c r="M11141" t="s">
        <v>46459</v>
      </c>
      <c r="N11141" t="s">
        <v>47304</v>
      </c>
      <c r="O11141" t="s">
        <v>47305</v>
      </c>
      <c r="P11141">
        <v>0</v>
      </c>
      <c r="Q11141">
        <v>0</v>
      </c>
      <c r="R11141" t="s">
        <v>47314</v>
      </c>
      <c r="S11141" t="s">
        <v>47596</v>
      </c>
      <c r="T11141" t="s">
        <v>49052</v>
      </c>
      <c r="U11141" t="s">
        <v>58731</v>
      </c>
      <c r="W11141" t="s">
        <v>46459</v>
      </c>
      <c r="X11141" t="s">
        <v>47315</v>
      </c>
    </row>
    <row r="11142" spans="1:24">
      <c r="A11142">
        <f>HYPERLINK("https://www.philgeps.gov.ph/GEPSNONPILOT/Tender/SplashBidNoticeAbstractUI.aspx?menuIndex=3&amp;refID=7183574&amp;Result=3","7183574")</f>
        <v>0</v>
      </c>
      <c r="B11142" t="s">
        <v>3251</v>
      </c>
      <c r="C11142" t="s">
        <v>14379</v>
      </c>
      <c r="D11142" t="s">
        <v>18993</v>
      </c>
      <c r="E11142" t="s">
        <v>28579</v>
      </c>
      <c r="F11142" t="s">
        <v>32606</v>
      </c>
      <c r="G11142" t="s">
        <v>32613</v>
      </c>
      <c r="H11142" t="s">
        <v>14201</v>
      </c>
      <c r="I11142" t="s">
        <v>6298</v>
      </c>
      <c r="J11142" t="s">
        <v>32765</v>
      </c>
      <c r="K11142" t="s">
        <v>42636</v>
      </c>
      <c r="M11142" t="s">
        <v>46484</v>
      </c>
      <c r="N11142" t="s">
        <v>47304</v>
      </c>
      <c r="O11142" t="s">
        <v>47305</v>
      </c>
      <c r="P11142">
        <v>0</v>
      </c>
      <c r="Q11142">
        <v>2</v>
      </c>
      <c r="R11142" t="s">
        <v>47314</v>
      </c>
      <c r="S11142" t="s">
        <v>47596</v>
      </c>
      <c r="T11142" t="s">
        <v>49071</v>
      </c>
      <c r="U11142" t="s">
        <v>58732</v>
      </c>
      <c r="W11142" t="s">
        <v>46484</v>
      </c>
      <c r="X11142" t="s">
        <v>47315</v>
      </c>
    </row>
    <row r="11143" spans="1:24">
      <c r="A11143">
        <f>HYPERLINK("https://www.philgeps.gov.ph/GEPSNONPILOT/Tender/SplashBidNoticeAbstractUI.aspx?menuIndex=3&amp;refID=7183513&amp;Result=3","7183513")</f>
        <v>0</v>
      </c>
      <c r="B11143" t="s">
        <v>3244</v>
      </c>
      <c r="C11143" t="s">
        <v>14380</v>
      </c>
      <c r="E11143" t="s">
        <v>28580</v>
      </c>
      <c r="F11143" t="s">
        <v>32606</v>
      </c>
      <c r="G11143" t="s">
        <v>32613</v>
      </c>
      <c r="H11143" t="s">
        <v>14201</v>
      </c>
      <c r="I11143" t="s">
        <v>32743</v>
      </c>
      <c r="J11143" t="s">
        <v>39702</v>
      </c>
      <c r="K11143" t="s">
        <v>42624</v>
      </c>
      <c r="M11143" t="s">
        <v>46477</v>
      </c>
      <c r="N11143" t="s">
        <v>47304</v>
      </c>
      <c r="O11143" t="s">
        <v>47305</v>
      </c>
      <c r="P11143">
        <v>0</v>
      </c>
      <c r="Q11143">
        <v>13</v>
      </c>
      <c r="R11143" t="s">
        <v>47314</v>
      </c>
      <c r="S11143" t="s">
        <v>47596</v>
      </c>
      <c r="T11143" t="s">
        <v>49454</v>
      </c>
      <c r="U11143" t="s">
        <v>58699</v>
      </c>
      <c r="W11143" t="s">
        <v>46477</v>
      </c>
      <c r="X11143" t="s">
        <v>47315</v>
      </c>
    </row>
    <row r="11144" spans="1:24">
      <c r="A11144">
        <f>HYPERLINK("https://www.philgeps.gov.ph/GEPSNONPILOT/Tender/SplashBidNoticeAbstractUI.aspx?menuIndex=3&amp;refID=7183570&amp;Result=3","7183570")</f>
        <v>0</v>
      </c>
      <c r="B11144" t="s">
        <v>3237</v>
      </c>
      <c r="C11144" t="s">
        <v>14302</v>
      </c>
      <c r="E11144" t="s">
        <v>28581</v>
      </c>
      <c r="F11144" t="s">
        <v>32606</v>
      </c>
      <c r="G11144" t="s">
        <v>32613</v>
      </c>
      <c r="H11144" t="s">
        <v>14201</v>
      </c>
      <c r="I11144" t="s">
        <v>32675</v>
      </c>
      <c r="J11144" t="s">
        <v>32765</v>
      </c>
      <c r="K11144" t="s">
        <v>42624</v>
      </c>
      <c r="L11144" t="s">
        <v>3237</v>
      </c>
      <c r="M11144" t="s">
        <v>46469</v>
      </c>
      <c r="N11144" t="s">
        <v>47304</v>
      </c>
      <c r="O11144" t="s">
        <v>47305</v>
      </c>
      <c r="P11144">
        <v>0</v>
      </c>
      <c r="Q11144">
        <v>0</v>
      </c>
      <c r="R11144" t="s">
        <v>47314</v>
      </c>
      <c r="S11144" t="s">
        <v>47596</v>
      </c>
      <c r="T11144" t="s">
        <v>49062</v>
      </c>
      <c r="U11144" t="s">
        <v>58733</v>
      </c>
      <c r="W11144" t="s">
        <v>46469</v>
      </c>
      <c r="X11144" t="s">
        <v>47315</v>
      </c>
    </row>
    <row r="11145" spans="1:24">
      <c r="A11145">
        <f>HYPERLINK("https://www.philgeps.gov.ph/GEPSNONPILOT/Tender/SplashBidNoticeAbstractUI.aspx?menuIndex=3&amp;refID=7183501&amp;Result=3","7183501")</f>
        <v>0</v>
      </c>
      <c r="B11145" t="s">
        <v>3244</v>
      </c>
      <c r="C11145" t="s">
        <v>14381</v>
      </c>
      <c r="E11145" t="s">
        <v>28582</v>
      </c>
      <c r="F11145" t="s">
        <v>32606</v>
      </c>
      <c r="G11145" t="s">
        <v>32613</v>
      </c>
      <c r="H11145" t="s">
        <v>14201</v>
      </c>
      <c r="I11145" t="s">
        <v>32743</v>
      </c>
      <c r="J11145" t="s">
        <v>39703</v>
      </c>
      <c r="K11145" t="s">
        <v>42624</v>
      </c>
      <c r="M11145" t="s">
        <v>46477</v>
      </c>
      <c r="N11145" t="s">
        <v>47304</v>
      </c>
      <c r="O11145" t="s">
        <v>47305</v>
      </c>
      <c r="P11145">
        <v>0</v>
      </c>
      <c r="Q11145">
        <v>10</v>
      </c>
      <c r="R11145" t="s">
        <v>47314</v>
      </c>
      <c r="S11145" t="s">
        <v>47596</v>
      </c>
      <c r="T11145" t="s">
        <v>49454</v>
      </c>
      <c r="U11145" t="s">
        <v>58699</v>
      </c>
      <c r="W11145" t="s">
        <v>46477</v>
      </c>
      <c r="X11145" t="s">
        <v>47315</v>
      </c>
    </row>
    <row r="11146" spans="1:24">
      <c r="A11146">
        <f>HYPERLINK("https://www.philgeps.gov.ph/GEPSNONPILOT/Tender/SplashBidNoticeAbstractUI.aspx?menuIndex=3&amp;refID=7183662&amp;Result=3","7183662")</f>
        <v>0</v>
      </c>
      <c r="B11146" t="s">
        <v>3252</v>
      </c>
      <c r="C11146" t="s">
        <v>14382</v>
      </c>
      <c r="D11146" t="s">
        <v>19055</v>
      </c>
      <c r="E11146" t="s">
        <v>28583</v>
      </c>
      <c r="F11146" t="s">
        <v>32606</v>
      </c>
      <c r="G11146" t="s">
        <v>32613</v>
      </c>
      <c r="H11146" t="s">
        <v>14201</v>
      </c>
      <c r="I11146" t="s">
        <v>32647</v>
      </c>
      <c r="J11146" t="s">
        <v>32770</v>
      </c>
      <c r="K11146" t="s">
        <v>42631</v>
      </c>
      <c r="M11146" t="s">
        <v>46486</v>
      </c>
      <c r="N11146" t="s">
        <v>47304</v>
      </c>
      <c r="O11146" t="s">
        <v>47305</v>
      </c>
      <c r="P11146">
        <v>0</v>
      </c>
      <c r="Q11146">
        <v>3</v>
      </c>
      <c r="R11146" t="s">
        <v>47314</v>
      </c>
      <c r="S11146" t="s">
        <v>47596</v>
      </c>
      <c r="T11146" t="s">
        <v>49320</v>
      </c>
      <c r="U11146" t="s">
        <v>58734</v>
      </c>
      <c r="W11146" t="s">
        <v>46486</v>
      </c>
      <c r="X11146" t="s">
        <v>47315</v>
      </c>
    </row>
    <row r="11147" spans="1:24">
      <c r="A11147">
        <f>HYPERLINK("https://www.philgeps.gov.ph/GEPSNONPILOT/Tender/SplashBidNoticeAbstractUI.aspx?menuIndex=3&amp;refID=7183563&amp;Result=3","7183563")</f>
        <v>0</v>
      </c>
      <c r="B11147" t="s">
        <v>652</v>
      </c>
      <c r="C11147" t="s">
        <v>14383</v>
      </c>
      <c r="D11147" t="s">
        <v>18993</v>
      </c>
      <c r="E11147" t="s">
        <v>28584</v>
      </c>
      <c r="F11147" t="s">
        <v>32606</v>
      </c>
      <c r="G11147" t="s">
        <v>32613</v>
      </c>
      <c r="H11147" t="s">
        <v>14201</v>
      </c>
      <c r="I11147" t="s">
        <v>32640</v>
      </c>
      <c r="J11147" t="s">
        <v>38935</v>
      </c>
      <c r="K11147" t="s">
        <v>42624</v>
      </c>
      <c r="M11147" t="s">
        <v>46358</v>
      </c>
      <c r="N11147" t="s">
        <v>47304</v>
      </c>
      <c r="O11147" t="s">
        <v>47305</v>
      </c>
      <c r="P11147">
        <v>0</v>
      </c>
      <c r="Q11147">
        <v>17</v>
      </c>
      <c r="R11147" t="s">
        <v>47314</v>
      </c>
      <c r="S11147" t="s">
        <v>47596</v>
      </c>
      <c r="T11147" t="s">
        <v>49099</v>
      </c>
      <c r="U11147" t="s">
        <v>58735</v>
      </c>
      <c r="V11147" t="s">
        <v>63832</v>
      </c>
      <c r="W11147" t="s">
        <v>46358</v>
      </c>
      <c r="X11147" t="s">
        <v>47315</v>
      </c>
    </row>
    <row r="11148" spans="1:24">
      <c r="A11148">
        <f>HYPERLINK("https://www.philgeps.gov.ph/GEPSNONPILOT/Tender/SplashBidNoticeAbstractUI.aspx?menuIndex=3&amp;refID=7183654&amp;Result=3","7183654")</f>
        <v>0</v>
      </c>
      <c r="B11148" t="s">
        <v>828</v>
      </c>
      <c r="C11148" t="s">
        <v>14384</v>
      </c>
      <c r="D11148" t="s">
        <v>19030</v>
      </c>
      <c r="E11148" t="s">
        <v>28585</v>
      </c>
      <c r="F11148" t="s">
        <v>32606</v>
      </c>
      <c r="G11148" t="s">
        <v>32615</v>
      </c>
      <c r="H11148" t="s">
        <v>14201</v>
      </c>
      <c r="I11148" t="s">
        <v>7064</v>
      </c>
      <c r="J11148" t="s">
        <v>39704</v>
      </c>
      <c r="K11148" t="s">
        <v>42630</v>
      </c>
      <c r="M11148" t="s">
        <v>43759</v>
      </c>
      <c r="N11148" t="s">
        <v>47304</v>
      </c>
      <c r="O11148" t="s">
        <v>47305</v>
      </c>
      <c r="P11148">
        <v>0</v>
      </c>
      <c r="Q11148">
        <v>0</v>
      </c>
      <c r="R11148" t="s">
        <v>47314</v>
      </c>
      <c r="S11148" t="s">
        <v>47596</v>
      </c>
      <c r="T11148" t="s">
        <v>49020</v>
      </c>
      <c r="U11148" t="s">
        <v>58736</v>
      </c>
      <c r="V11148" t="s">
        <v>63833</v>
      </c>
      <c r="W11148" t="s">
        <v>43759</v>
      </c>
      <c r="X11148" t="s">
        <v>47315</v>
      </c>
    </row>
    <row r="11149" spans="1:24">
      <c r="A11149">
        <f>HYPERLINK("https://www.philgeps.gov.ph/GEPSNONPILOT/Tender/SplashBidNoticeAbstractUI.aspx?menuIndex=3&amp;refID=7183647&amp;Result=3","7183647")</f>
        <v>0</v>
      </c>
      <c r="B11149" t="s">
        <v>3253</v>
      </c>
      <c r="C11149" t="s">
        <v>14385</v>
      </c>
      <c r="D11149" t="s">
        <v>19041</v>
      </c>
      <c r="E11149" t="s">
        <v>28586</v>
      </c>
      <c r="F11149" t="s">
        <v>32606</v>
      </c>
      <c r="G11149" t="s">
        <v>32613</v>
      </c>
      <c r="H11149" t="s">
        <v>32623</v>
      </c>
      <c r="I11149" t="s">
        <v>17648</v>
      </c>
      <c r="J11149" t="s">
        <v>32770</v>
      </c>
      <c r="K11149" t="s">
        <v>42631</v>
      </c>
      <c r="M11149" t="s">
        <v>46487</v>
      </c>
      <c r="N11149" t="s">
        <v>47304</v>
      </c>
      <c r="O11149" t="s">
        <v>47305</v>
      </c>
      <c r="P11149">
        <v>0</v>
      </c>
      <c r="Q11149">
        <v>0</v>
      </c>
      <c r="R11149" t="s">
        <v>47314</v>
      </c>
      <c r="S11149" t="s">
        <v>47596</v>
      </c>
      <c r="T11149" t="s">
        <v>49037</v>
      </c>
      <c r="U11149" t="s">
        <v>58737</v>
      </c>
      <c r="W11149" t="s">
        <v>46487</v>
      </c>
      <c r="X11149" t="s">
        <v>47315</v>
      </c>
    </row>
    <row r="11150" spans="1:24">
      <c r="A11150">
        <f>HYPERLINK("https://www.philgeps.gov.ph/GEPSNONPILOT/Tender/SplashBidNoticeAbstractUI.aspx?menuIndex=3&amp;refID=7183643&amp;Result=3","7183643")</f>
        <v>0</v>
      </c>
      <c r="B11150" t="s">
        <v>3254</v>
      </c>
      <c r="C11150" t="s">
        <v>14386</v>
      </c>
      <c r="D11150" t="s">
        <v>19002</v>
      </c>
      <c r="E11150" t="s">
        <v>23186</v>
      </c>
      <c r="F11150" t="s">
        <v>32606</v>
      </c>
      <c r="G11150" t="s">
        <v>32613</v>
      </c>
      <c r="H11150" t="s">
        <v>32623</v>
      </c>
      <c r="I11150" t="s">
        <v>17648</v>
      </c>
      <c r="J11150" t="s">
        <v>34435</v>
      </c>
      <c r="K11150" t="s">
        <v>42648</v>
      </c>
      <c r="M11150" t="s">
        <v>46488</v>
      </c>
      <c r="N11150" t="s">
        <v>47304</v>
      </c>
      <c r="O11150" t="s">
        <v>47305</v>
      </c>
      <c r="P11150">
        <v>0</v>
      </c>
      <c r="Q11150">
        <v>0</v>
      </c>
      <c r="R11150" t="s">
        <v>47314</v>
      </c>
      <c r="S11150" t="s">
        <v>47596</v>
      </c>
      <c r="T11150" t="s">
        <v>49099</v>
      </c>
      <c r="U11150" t="s">
        <v>58738</v>
      </c>
      <c r="W11150" t="s">
        <v>46488</v>
      </c>
      <c r="X11150" t="s">
        <v>47315</v>
      </c>
    </row>
    <row r="11151" spans="1:24">
      <c r="A11151">
        <f>HYPERLINK("https://www.philgeps.gov.ph/GEPSNONPILOT/Tender/SplashBidNoticeAbstractUI.aspx?menuIndex=3&amp;refID=7183640&amp;Result=3","7183640")</f>
        <v>0</v>
      </c>
      <c r="B11151" t="s">
        <v>3255</v>
      </c>
      <c r="C11151" t="s">
        <v>14387</v>
      </c>
      <c r="D11151" t="s">
        <v>18995</v>
      </c>
      <c r="E11151" t="s">
        <v>28587</v>
      </c>
      <c r="F11151" t="s">
        <v>32606</v>
      </c>
      <c r="G11151" t="s">
        <v>32613</v>
      </c>
      <c r="H11151" t="s">
        <v>14201</v>
      </c>
      <c r="I11151" t="s">
        <v>32644</v>
      </c>
      <c r="J11151" t="s">
        <v>34435</v>
      </c>
      <c r="K11151" t="s">
        <v>42627</v>
      </c>
      <c r="M11151" t="s">
        <v>46489</v>
      </c>
      <c r="N11151" t="s">
        <v>47304</v>
      </c>
      <c r="O11151" t="s">
        <v>47305</v>
      </c>
      <c r="P11151">
        <v>0</v>
      </c>
      <c r="Q11151">
        <v>9</v>
      </c>
      <c r="R11151" t="s">
        <v>47314</v>
      </c>
      <c r="S11151" t="s">
        <v>47596</v>
      </c>
      <c r="T11151" t="s">
        <v>49140</v>
      </c>
      <c r="U11151" t="s">
        <v>58739</v>
      </c>
      <c r="W11151" t="s">
        <v>46489</v>
      </c>
      <c r="X11151" t="s">
        <v>47315</v>
      </c>
    </row>
    <row r="11152" spans="1:24">
      <c r="A11152">
        <f>HYPERLINK("https://www.philgeps.gov.ph/GEPSNONPILOT/Tender/SplashBidNoticeAbstractUI.aspx?menuIndex=3&amp;refID=7183559&amp;Result=3","7183559")</f>
        <v>0</v>
      </c>
      <c r="B11152" t="s">
        <v>3249</v>
      </c>
      <c r="C11152" t="s">
        <v>14388</v>
      </c>
      <c r="D11152" t="s">
        <v>19036</v>
      </c>
      <c r="E11152" t="s">
        <v>28588</v>
      </c>
      <c r="F11152" t="s">
        <v>32606</v>
      </c>
      <c r="G11152" t="s">
        <v>32613</v>
      </c>
      <c r="H11152" t="s">
        <v>32623</v>
      </c>
      <c r="I11152" t="s">
        <v>4121</v>
      </c>
      <c r="J11152" t="s">
        <v>32893</v>
      </c>
      <c r="K11152" t="s">
        <v>42648</v>
      </c>
      <c r="M11152" t="s">
        <v>46482</v>
      </c>
      <c r="N11152" t="s">
        <v>47304</v>
      </c>
      <c r="O11152" t="s">
        <v>47305</v>
      </c>
      <c r="P11152">
        <v>0</v>
      </c>
      <c r="Q11152">
        <v>10</v>
      </c>
      <c r="R11152" t="s">
        <v>47314</v>
      </c>
      <c r="S11152" t="s">
        <v>47596</v>
      </c>
      <c r="T11152" t="s">
        <v>49234</v>
      </c>
      <c r="U11152" t="s">
        <v>58723</v>
      </c>
      <c r="W11152" t="s">
        <v>46482</v>
      </c>
      <c r="X11152" t="s">
        <v>47315</v>
      </c>
    </row>
    <row r="11153" spans="1:24">
      <c r="A11153">
        <f>HYPERLINK("https://www.philgeps.gov.ph/GEPSNONPILOT/Tender/SplashBidNoticeAbstractUI.aspx?menuIndex=3&amp;refID=7183639&amp;Result=3","7183639")</f>
        <v>0</v>
      </c>
      <c r="B11153" t="s">
        <v>828</v>
      </c>
      <c r="C11153" t="s">
        <v>14389</v>
      </c>
      <c r="D11153" t="s">
        <v>19030</v>
      </c>
      <c r="E11153" t="s">
        <v>28589</v>
      </c>
      <c r="F11153" t="s">
        <v>32606</v>
      </c>
      <c r="G11153" t="s">
        <v>32613</v>
      </c>
      <c r="H11153" t="s">
        <v>14201</v>
      </c>
      <c r="I11153" t="s">
        <v>32650</v>
      </c>
      <c r="J11153" t="s">
        <v>32799</v>
      </c>
      <c r="K11153" t="s">
        <v>42630</v>
      </c>
      <c r="M11153" t="s">
        <v>43759</v>
      </c>
      <c r="N11153" t="s">
        <v>47304</v>
      </c>
      <c r="O11153" t="s">
        <v>47305</v>
      </c>
      <c r="P11153">
        <v>0</v>
      </c>
      <c r="Q11153">
        <v>1</v>
      </c>
      <c r="R11153" t="s">
        <v>47314</v>
      </c>
      <c r="S11153" t="s">
        <v>47596</v>
      </c>
      <c r="T11153" t="s">
        <v>49020</v>
      </c>
      <c r="U11153" t="s">
        <v>58740</v>
      </c>
      <c r="V11153" t="s">
        <v>63834</v>
      </c>
      <c r="W11153" t="s">
        <v>43759</v>
      </c>
      <c r="X11153" t="s">
        <v>47315</v>
      </c>
    </row>
    <row r="11154" spans="1:24">
      <c r="A11154">
        <f>HYPERLINK("https://www.philgeps.gov.ph/GEPSNONPILOT/Tender/SplashBidNoticeAbstractUI.aspx?menuIndex=3&amp;refID=7183631&amp;Result=3","7183631")</f>
        <v>0</v>
      </c>
      <c r="B11154" t="s">
        <v>828</v>
      </c>
      <c r="C11154" t="s">
        <v>14390</v>
      </c>
      <c r="D11154" t="s">
        <v>19030</v>
      </c>
      <c r="E11154" t="s">
        <v>28590</v>
      </c>
      <c r="F11154" t="s">
        <v>32606</v>
      </c>
      <c r="G11154" t="s">
        <v>32613</v>
      </c>
      <c r="H11154" t="s">
        <v>14201</v>
      </c>
      <c r="I11154" t="s">
        <v>32650</v>
      </c>
      <c r="J11154" t="s">
        <v>32967</v>
      </c>
      <c r="K11154" t="s">
        <v>42630</v>
      </c>
      <c r="M11154" t="s">
        <v>43759</v>
      </c>
      <c r="N11154" t="s">
        <v>47304</v>
      </c>
      <c r="O11154" t="s">
        <v>47305</v>
      </c>
      <c r="P11154">
        <v>0</v>
      </c>
      <c r="Q11154">
        <v>0</v>
      </c>
      <c r="R11154" t="s">
        <v>47314</v>
      </c>
      <c r="S11154" t="s">
        <v>47596</v>
      </c>
      <c r="T11154" t="s">
        <v>49020</v>
      </c>
      <c r="U11154" t="s">
        <v>58741</v>
      </c>
      <c r="V11154" t="s">
        <v>63835</v>
      </c>
      <c r="W11154" t="s">
        <v>43759</v>
      </c>
      <c r="X11154" t="s">
        <v>47315</v>
      </c>
    </row>
    <row r="11155" spans="1:24">
      <c r="A11155">
        <f>HYPERLINK("https://www.philgeps.gov.ph/GEPSNONPILOT/Tender/SplashBidNoticeAbstractUI.aspx?menuIndex=3&amp;refID=7183605&amp;Result=3","7183605")</f>
        <v>0</v>
      </c>
      <c r="B11155" t="s">
        <v>1123</v>
      </c>
      <c r="C11155" t="s">
        <v>14391</v>
      </c>
      <c r="D11155" t="s">
        <v>18993</v>
      </c>
      <c r="E11155" t="s">
        <v>28591</v>
      </c>
      <c r="F11155" t="s">
        <v>32606</v>
      </c>
      <c r="G11155" t="s">
        <v>32614</v>
      </c>
      <c r="H11155" t="s">
        <v>14201</v>
      </c>
      <c r="I11155" t="s">
        <v>6931</v>
      </c>
      <c r="J11155" t="s">
        <v>39705</v>
      </c>
      <c r="K11155" t="s">
        <v>42623</v>
      </c>
      <c r="M11155" t="s">
        <v>45234</v>
      </c>
      <c r="N11155" t="s">
        <v>47304</v>
      </c>
      <c r="O11155" t="s">
        <v>47305</v>
      </c>
      <c r="Q11155">
        <v>0</v>
      </c>
      <c r="R11155" t="s">
        <v>47314</v>
      </c>
      <c r="S11155" t="s">
        <v>47659</v>
      </c>
      <c r="T11155" t="s">
        <v>49015</v>
      </c>
      <c r="U11155" t="s">
        <v>58742</v>
      </c>
      <c r="V11155" t="s">
        <v>63258</v>
      </c>
      <c r="W11155" t="s">
        <v>45234</v>
      </c>
      <c r="X11155" t="s">
        <v>47315</v>
      </c>
    </row>
    <row r="11156" spans="1:24">
      <c r="A11156">
        <f>HYPERLINK("https://www.philgeps.gov.ph/GEPSNONPILOT/Tender/SplashBidNoticeAbstractUI.aspx?menuIndex=3&amp;refID=7183628&amp;Result=3","7183628")</f>
        <v>0</v>
      </c>
      <c r="B11156" t="s">
        <v>3255</v>
      </c>
      <c r="C11156" t="s">
        <v>14392</v>
      </c>
      <c r="D11156" t="s">
        <v>18995</v>
      </c>
      <c r="E11156" t="s">
        <v>28592</v>
      </c>
      <c r="F11156" t="s">
        <v>32606</v>
      </c>
      <c r="G11156" t="s">
        <v>32613</v>
      </c>
      <c r="H11156" t="s">
        <v>14201</v>
      </c>
      <c r="I11156" t="s">
        <v>4369</v>
      </c>
      <c r="J11156" t="s">
        <v>39706</v>
      </c>
      <c r="K11156" t="s">
        <v>42627</v>
      </c>
      <c r="M11156" t="s">
        <v>46489</v>
      </c>
      <c r="N11156" t="s">
        <v>47304</v>
      </c>
      <c r="O11156" t="s">
        <v>47305</v>
      </c>
      <c r="P11156">
        <v>0</v>
      </c>
      <c r="Q11156">
        <v>11</v>
      </c>
      <c r="R11156" t="s">
        <v>47314</v>
      </c>
      <c r="S11156" t="s">
        <v>47596</v>
      </c>
      <c r="T11156" t="s">
        <v>49140</v>
      </c>
      <c r="U11156" t="s">
        <v>58743</v>
      </c>
      <c r="W11156" t="s">
        <v>46489</v>
      </c>
      <c r="X11156" t="s">
        <v>47315</v>
      </c>
    </row>
    <row r="11157" spans="1:24">
      <c r="A11157">
        <f>HYPERLINK("https://www.philgeps.gov.ph/GEPSNONPILOT/Tender/SplashBidNoticeAbstractUI.aspx?menuIndex=3&amp;refID=7183636&amp;Result=3","7183636")</f>
        <v>0</v>
      </c>
      <c r="B11157" t="s">
        <v>3253</v>
      </c>
      <c r="C11157" t="s">
        <v>14393</v>
      </c>
      <c r="D11157" t="s">
        <v>19041</v>
      </c>
      <c r="E11157" t="s">
        <v>28593</v>
      </c>
      <c r="F11157" t="s">
        <v>32606</v>
      </c>
      <c r="G11157" t="s">
        <v>32613</v>
      </c>
      <c r="H11157" t="s">
        <v>32623</v>
      </c>
      <c r="I11157" t="s">
        <v>17648</v>
      </c>
      <c r="J11157" t="s">
        <v>32772</v>
      </c>
      <c r="K11157" t="s">
        <v>42636</v>
      </c>
      <c r="M11157" t="s">
        <v>46487</v>
      </c>
      <c r="N11157" t="s">
        <v>47304</v>
      </c>
      <c r="O11157" t="s">
        <v>47305</v>
      </c>
      <c r="P11157">
        <v>0</v>
      </c>
      <c r="Q11157">
        <v>1</v>
      </c>
      <c r="R11157" t="s">
        <v>47314</v>
      </c>
      <c r="S11157" t="s">
        <v>47596</v>
      </c>
      <c r="T11157" t="s">
        <v>49037</v>
      </c>
      <c r="U11157" t="s">
        <v>58744</v>
      </c>
      <c r="W11157" t="s">
        <v>46487</v>
      </c>
      <c r="X11157" t="s">
        <v>47315</v>
      </c>
    </row>
    <row r="11158" spans="1:24">
      <c r="A11158">
        <f>HYPERLINK("https://www.philgeps.gov.ph/GEPSNONPILOT/Tender/SplashBidNoticeAbstractUI.aspx?menuIndex=3&amp;refID=7183623&amp;Result=3","7183623")</f>
        <v>0</v>
      </c>
      <c r="B11158" t="s">
        <v>3254</v>
      </c>
      <c r="C11158" t="s">
        <v>14394</v>
      </c>
      <c r="D11158" t="s">
        <v>19002</v>
      </c>
      <c r="E11158" t="s">
        <v>28174</v>
      </c>
      <c r="F11158" t="s">
        <v>32606</v>
      </c>
      <c r="G11158" t="s">
        <v>32613</v>
      </c>
      <c r="H11158" t="s">
        <v>32623</v>
      </c>
      <c r="I11158" t="s">
        <v>17648</v>
      </c>
      <c r="J11158" t="s">
        <v>32772</v>
      </c>
      <c r="K11158" t="s">
        <v>42631</v>
      </c>
      <c r="M11158" t="s">
        <v>46488</v>
      </c>
      <c r="N11158" t="s">
        <v>47304</v>
      </c>
      <c r="O11158" t="s">
        <v>47305</v>
      </c>
      <c r="P11158">
        <v>0</v>
      </c>
      <c r="Q11158">
        <v>0</v>
      </c>
      <c r="R11158" t="s">
        <v>47314</v>
      </c>
      <c r="S11158" t="s">
        <v>47596</v>
      </c>
      <c r="T11158" t="s">
        <v>49099</v>
      </c>
      <c r="U11158" t="s">
        <v>58745</v>
      </c>
      <c r="W11158" t="s">
        <v>46488</v>
      </c>
      <c r="X11158" t="s">
        <v>47315</v>
      </c>
    </row>
    <row r="11159" spans="1:24">
      <c r="A11159">
        <f>HYPERLINK("https://www.philgeps.gov.ph/GEPSNONPILOT/Tender/SplashBidNoticeAbstractUI.aspx?menuIndex=3&amp;refID=7183635&amp;Result=3","7183635")</f>
        <v>0</v>
      </c>
      <c r="B11159" t="s">
        <v>3255</v>
      </c>
      <c r="C11159" t="s">
        <v>14395</v>
      </c>
      <c r="D11159" t="s">
        <v>18995</v>
      </c>
      <c r="E11159" t="s">
        <v>28594</v>
      </c>
      <c r="F11159" t="s">
        <v>32606</v>
      </c>
      <c r="G11159" t="s">
        <v>32613</v>
      </c>
      <c r="H11159" t="s">
        <v>14201</v>
      </c>
      <c r="I11159" t="s">
        <v>32640</v>
      </c>
      <c r="J11159" t="s">
        <v>32860</v>
      </c>
      <c r="K11159" t="s">
        <v>42627</v>
      </c>
      <c r="M11159" t="s">
        <v>46489</v>
      </c>
      <c r="N11159" t="s">
        <v>47304</v>
      </c>
      <c r="O11159" t="s">
        <v>47305</v>
      </c>
      <c r="P11159">
        <v>0</v>
      </c>
      <c r="Q11159">
        <v>7</v>
      </c>
      <c r="R11159" t="s">
        <v>47314</v>
      </c>
      <c r="S11159" t="s">
        <v>47596</v>
      </c>
      <c r="T11159" t="s">
        <v>49140</v>
      </c>
      <c r="U11159" t="s">
        <v>58746</v>
      </c>
      <c r="W11159" t="s">
        <v>46489</v>
      </c>
      <c r="X11159" t="s">
        <v>47315</v>
      </c>
    </row>
    <row r="11160" spans="1:24">
      <c r="A11160">
        <f>HYPERLINK("https://www.philgeps.gov.ph/GEPSNONPILOT/Tender/SplashBidNoticeAbstractUI.aspx?menuIndex=3&amp;refID=7183711&amp;Result=3","7183711")</f>
        <v>0</v>
      </c>
      <c r="B11160" t="s">
        <v>362</v>
      </c>
      <c r="C11160" t="s">
        <v>11308</v>
      </c>
      <c r="D11160" t="s">
        <v>19023</v>
      </c>
      <c r="E11160" t="s">
        <v>28595</v>
      </c>
      <c r="F11160" t="s">
        <v>32606</v>
      </c>
      <c r="G11160" t="s">
        <v>32614</v>
      </c>
      <c r="H11160" t="s">
        <v>14201</v>
      </c>
      <c r="I11160" t="s">
        <v>6014</v>
      </c>
      <c r="J11160" t="s">
        <v>39707</v>
      </c>
      <c r="K11160" t="s">
        <v>42630</v>
      </c>
      <c r="M11160" t="s">
        <v>45656</v>
      </c>
      <c r="N11160" t="s">
        <v>47304</v>
      </c>
      <c r="O11160" t="s">
        <v>47305</v>
      </c>
      <c r="P11160">
        <v>0</v>
      </c>
      <c r="Q11160">
        <v>0</v>
      </c>
      <c r="R11160" t="s">
        <v>47314</v>
      </c>
      <c r="S11160" t="s">
        <v>47596</v>
      </c>
      <c r="T11160" t="s">
        <v>49071</v>
      </c>
      <c r="U11160" t="s">
        <v>58747</v>
      </c>
      <c r="W11160" t="s">
        <v>45656</v>
      </c>
      <c r="X11160" t="s">
        <v>47315</v>
      </c>
    </row>
    <row r="11161" spans="1:24">
      <c r="A11161">
        <f>HYPERLINK("https://www.philgeps.gov.ph/GEPSNONPILOT/Tender/SplashBidNoticeAbstractUI.aspx?menuIndex=3&amp;refID=7183648&amp;Result=3","7183648")</f>
        <v>0</v>
      </c>
      <c r="B11161" t="s">
        <v>3252</v>
      </c>
      <c r="C11161" t="s">
        <v>14396</v>
      </c>
      <c r="D11161" t="s">
        <v>19055</v>
      </c>
      <c r="E11161" t="s">
        <v>28596</v>
      </c>
      <c r="F11161" t="s">
        <v>32606</v>
      </c>
      <c r="G11161" t="s">
        <v>32613</v>
      </c>
      <c r="H11161" t="s">
        <v>14201</v>
      </c>
      <c r="I11161" t="s">
        <v>32647</v>
      </c>
      <c r="J11161" t="s">
        <v>33102</v>
      </c>
      <c r="K11161" t="s">
        <v>42631</v>
      </c>
      <c r="M11161" t="s">
        <v>46486</v>
      </c>
      <c r="N11161" t="s">
        <v>47304</v>
      </c>
      <c r="O11161" t="s">
        <v>47305</v>
      </c>
      <c r="P11161">
        <v>0</v>
      </c>
      <c r="Q11161">
        <v>3</v>
      </c>
      <c r="R11161" t="s">
        <v>47314</v>
      </c>
      <c r="S11161" t="s">
        <v>47596</v>
      </c>
      <c r="T11161" t="s">
        <v>49406</v>
      </c>
      <c r="U11161" t="s">
        <v>58748</v>
      </c>
      <c r="W11161" t="s">
        <v>46486</v>
      </c>
      <c r="X11161" t="s">
        <v>47315</v>
      </c>
    </row>
    <row r="11162" spans="1:24">
      <c r="A11162">
        <f>HYPERLINK("https://www.philgeps.gov.ph/GEPSNONPILOT/Tender/SplashBidNoticeAbstractUI.aspx?menuIndex=3&amp;refID=7183705&amp;Result=3","7183705")</f>
        <v>0</v>
      </c>
      <c r="B11162" t="s">
        <v>2821</v>
      </c>
      <c r="C11162" t="s">
        <v>14397</v>
      </c>
      <c r="D11162" t="s">
        <v>19016</v>
      </c>
      <c r="E11162" t="s">
        <v>19833</v>
      </c>
      <c r="F11162" t="s">
        <v>32606</v>
      </c>
      <c r="G11162" t="s">
        <v>32613</v>
      </c>
      <c r="H11162" t="s">
        <v>14201</v>
      </c>
      <c r="I11162" t="s">
        <v>6931</v>
      </c>
      <c r="J11162" t="s">
        <v>39708</v>
      </c>
      <c r="K11162" t="s">
        <v>42623</v>
      </c>
      <c r="M11162" t="s">
        <v>45984</v>
      </c>
      <c r="N11162" t="s">
        <v>47304</v>
      </c>
      <c r="O11162" t="s">
        <v>47305</v>
      </c>
      <c r="P11162">
        <v>0</v>
      </c>
      <c r="Q11162">
        <v>0</v>
      </c>
      <c r="R11162" t="s">
        <v>47314</v>
      </c>
      <c r="S11162" t="s">
        <v>47596</v>
      </c>
      <c r="T11162" t="s">
        <v>49010</v>
      </c>
      <c r="U11162" t="s">
        <v>58749</v>
      </c>
      <c r="V11162" t="s">
        <v>63836</v>
      </c>
      <c r="W11162" t="s">
        <v>45984</v>
      </c>
      <c r="X11162" t="s">
        <v>47315</v>
      </c>
    </row>
    <row r="11163" spans="1:24">
      <c r="A11163">
        <f>HYPERLINK("https://www.philgeps.gov.ph/GEPSNONPILOT/Tender/SplashBidNoticeAbstractUI.aspx?menuIndex=3&amp;refID=7183624&amp;Result=3","7183624")</f>
        <v>0</v>
      </c>
      <c r="B11163" t="s">
        <v>828</v>
      </c>
      <c r="C11163" t="s">
        <v>14398</v>
      </c>
      <c r="D11163" t="s">
        <v>19030</v>
      </c>
      <c r="E11163" t="s">
        <v>28597</v>
      </c>
      <c r="F11163" t="s">
        <v>32606</v>
      </c>
      <c r="G11163" t="s">
        <v>32613</v>
      </c>
      <c r="H11163" t="s">
        <v>14201</v>
      </c>
      <c r="I11163" t="s">
        <v>32629</v>
      </c>
      <c r="J11163" t="s">
        <v>39709</v>
      </c>
      <c r="K11163" t="s">
        <v>42630</v>
      </c>
      <c r="M11163" t="s">
        <v>43759</v>
      </c>
      <c r="N11163" t="s">
        <v>47304</v>
      </c>
      <c r="O11163" t="s">
        <v>47305</v>
      </c>
      <c r="P11163">
        <v>0</v>
      </c>
      <c r="Q11163">
        <v>0</v>
      </c>
      <c r="R11163" t="s">
        <v>47314</v>
      </c>
      <c r="S11163" t="s">
        <v>47596</v>
      </c>
      <c r="T11163" t="s">
        <v>49020</v>
      </c>
      <c r="U11163" t="s">
        <v>58750</v>
      </c>
      <c r="V11163" t="s">
        <v>63837</v>
      </c>
      <c r="W11163" t="s">
        <v>43759</v>
      </c>
      <c r="X11163" t="s">
        <v>47315</v>
      </c>
    </row>
    <row r="11164" spans="1:24">
      <c r="A11164">
        <f>HYPERLINK("https://www.philgeps.gov.ph/GEPSNONPILOT/Tender/SplashBidNoticeAbstractUI.aspx?menuIndex=3&amp;refID=7183499&amp;Result=3","7183499")</f>
        <v>0</v>
      </c>
      <c r="B11164" t="s">
        <v>3256</v>
      </c>
      <c r="C11164" t="s">
        <v>9229</v>
      </c>
      <c r="E11164" t="s">
        <v>19145</v>
      </c>
      <c r="F11164" t="s">
        <v>32606</v>
      </c>
      <c r="G11164" t="s">
        <v>32613</v>
      </c>
      <c r="H11164" t="s">
        <v>32623</v>
      </c>
      <c r="I11164" t="s">
        <v>17648</v>
      </c>
      <c r="J11164" t="s">
        <v>39710</v>
      </c>
      <c r="K11164" t="s">
        <v>42624</v>
      </c>
      <c r="M11164" t="s">
        <v>46490</v>
      </c>
      <c r="N11164" t="s">
        <v>47304</v>
      </c>
      <c r="O11164" t="s">
        <v>47305</v>
      </c>
      <c r="P11164">
        <v>0</v>
      </c>
      <c r="Q11164">
        <v>0</v>
      </c>
      <c r="R11164" t="s">
        <v>47314</v>
      </c>
      <c r="S11164" t="s">
        <v>47596</v>
      </c>
      <c r="T11164" t="s">
        <v>48987</v>
      </c>
      <c r="U11164" t="s">
        <v>58751</v>
      </c>
      <c r="W11164" t="s">
        <v>64532</v>
      </c>
      <c r="X11164" t="s">
        <v>47315</v>
      </c>
    </row>
    <row r="11165" spans="1:24">
      <c r="A11165">
        <f>HYPERLINK("https://www.philgeps.gov.ph/GEPSNONPILOT/Tender/SplashBidNoticeAbstractUI.aspx?menuIndex=3&amp;refID=7183691&amp;Result=3","7183691")</f>
        <v>0</v>
      </c>
      <c r="B11165" t="s">
        <v>1152</v>
      </c>
      <c r="C11165" t="s">
        <v>14399</v>
      </c>
      <c r="D11165" t="s">
        <v>19010</v>
      </c>
      <c r="E11165" t="s">
        <v>28598</v>
      </c>
      <c r="F11165" t="s">
        <v>32607</v>
      </c>
      <c r="G11165" t="s">
        <v>32613</v>
      </c>
      <c r="H11165" t="s">
        <v>32623</v>
      </c>
      <c r="I11165" t="s">
        <v>17648</v>
      </c>
      <c r="J11165" t="s">
        <v>33449</v>
      </c>
      <c r="K11165" t="s">
        <v>42636</v>
      </c>
      <c r="L11165" t="s">
        <v>1152</v>
      </c>
      <c r="M11165" t="s">
        <v>44115</v>
      </c>
      <c r="N11165" t="s">
        <v>47304</v>
      </c>
      <c r="O11165" t="s">
        <v>47305</v>
      </c>
      <c r="P11165">
        <v>0</v>
      </c>
      <c r="Q11165">
        <v>0</v>
      </c>
      <c r="R11165" t="s">
        <v>47314</v>
      </c>
      <c r="S11165" t="s">
        <v>47596</v>
      </c>
      <c r="T11165" t="s">
        <v>49031</v>
      </c>
      <c r="U11165" t="s">
        <v>58752</v>
      </c>
      <c r="V11165" t="s">
        <v>58430</v>
      </c>
      <c r="W11165" t="s">
        <v>44115</v>
      </c>
      <c r="X11165" t="s">
        <v>47315</v>
      </c>
    </row>
    <row r="11166" spans="1:24">
      <c r="A11166">
        <f>HYPERLINK("https://www.philgeps.gov.ph/GEPSNONPILOT/Tender/SplashBidNoticeAbstractUI.aspx?menuIndex=3&amp;refID=7183660&amp;Result=3","7183660")</f>
        <v>0</v>
      </c>
      <c r="B11166" t="s">
        <v>3257</v>
      </c>
      <c r="C11166" t="s">
        <v>14400</v>
      </c>
      <c r="D11166" t="s">
        <v>19051</v>
      </c>
      <c r="E11166" t="s">
        <v>28599</v>
      </c>
      <c r="F11166" t="s">
        <v>32606</v>
      </c>
      <c r="G11166" t="s">
        <v>32613</v>
      </c>
      <c r="H11166" t="s">
        <v>14201</v>
      </c>
      <c r="I11166" t="s">
        <v>32640</v>
      </c>
      <c r="J11166" t="s">
        <v>35368</v>
      </c>
      <c r="K11166" t="s">
        <v>42631</v>
      </c>
      <c r="L11166" t="s">
        <v>3257</v>
      </c>
      <c r="M11166" t="s">
        <v>46491</v>
      </c>
      <c r="N11166" t="s">
        <v>47304</v>
      </c>
      <c r="O11166" t="s">
        <v>47305</v>
      </c>
      <c r="Q11166">
        <v>7</v>
      </c>
      <c r="R11166" t="s">
        <v>47314</v>
      </c>
      <c r="S11166" t="s">
        <v>47660</v>
      </c>
      <c r="T11166" t="s">
        <v>49234</v>
      </c>
      <c r="U11166" t="s">
        <v>58753</v>
      </c>
      <c r="W11166" t="s">
        <v>46491</v>
      </c>
      <c r="X11166" t="s">
        <v>47315</v>
      </c>
    </row>
    <row r="11167" spans="1:24">
      <c r="A11167">
        <f>HYPERLINK("https://www.philgeps.gov.ph/GEPSNONPILOT/Tender/SplashBidNoticeAbstractUI.aspx?menuIndex=3&amp;refID=7183682&amp;Result=3","7183682")</f>
        <v>0</v>
      </c>
      <c r="B11167" t="s">
        <v>467</v>
      </c>
      <c r="C11167" t="s">
        <v>14401</v>
      </c>
      <c r="E11167" t="s">
        <v>28600</v>
      </c>
      <c r="F11167" t="s">
        <v>32606</v>
      </c>
      <c r="G11167" t="s">
        <v>32613</v>
      </c>
      <c r="H11167" t="s">
        <v>14201</v>
      </c>
      <c r="I11167" t="s">
        <v>7677</v>
      </c>
      <c r="J11167" t="s">
        <v>39711</v>
      </c>
      <c r="K11167" t="s">
        <v>42624</v>
      </c>
      <c r="M11167" t="s">
        <v>44145</v>
      </c>
      <c r="N11167" t="s">
        <v>47304</v>
      </c>
      <c r="O11167" t="s">
        <v>47305</v>
      </c>
      <c r="P11167">
        <v>0</v>
      </c>
      <c r="Q11167">
        <v>7</v>
      </c>
      <c r="R11167" t="s">
        <v>47314</v>
      </c>
      <c r="S11167" t="s">
        <v>47596</v>
      </c>
      <c r="T11167" t="s">
        <v>49189</v>
      </c>
      <c r="U11167" t="s">
        <v>58754</v>
      </c>
      <c r="W11167" t="s">
        <v>44145</v>
      </c>
      <c r="X11167" t="s">
        <v>47315</v>
      </c>
    </row>
    <row r="11168" spans="1:24">
      <c r="A11168">
        <f>HYPERLINK("https://www.philgeps.gov.ph/GEPSNONPILOT/Tender/SplashBidNoticeAbstractUI.aspx?menuIndex=3&amp;refID=7183704&amp;Result=3","7183704")</f>
        <v>0</v>
      </c>
      <c r="B11168" t="s">
        <v>1152</v>
      </c>
      <c r="C11168" t="s">
        <v>14402</v>
      </c>
      <c r="D11168" t="s">
        <v>19010</v>
      </c>
      <c r="E11168" t="s">
        <v>28601</v>
      </c>
      <c r="F11168" t="s">
        <v>32607</v>
      </c>
      <c r="G11168" t="s">
        <v>32613</v>
      </c>
      <c r="H11168" t="s">
        <v>32623</v>
      </c>
      <c r="I11168" t="s">
        <v>17648</v>
      </c>
      <c r="J11168" t="s">
        <v>33102</v>
      </c>
      <c r="K11168" t="s">
        <v>42636</v>
      </c>
      <c r="L11168" t="s">
        <v>1152</v>
      </c>
      <c r="M11168" t="s">
        <v>44115</v>
      </c>
      <c r="N11168" t="s">
        <v>47304</v>
      </c>
      <c r="O11168" t="s">
        <v>47305</v>
      </c>
      <c r="P11168">
        <v>0</v>
      </c>
      <c r="Q11168">
        <v>0</v>
      </c>
      <c r="R11168" t="s">
        <v>47314</v>
      </c>
      <c r="S11168" t="s">
        <v>47596</v>
      </c>
      <c r="T11168" t="s">
        <v>49031</v>
      </c>
      <c r="U11168" t="s">
        <v>58755</v>
      </c>
      <c r="V11168" t="s">
        <v>58430</v>
      </c>
      <c r="W11168" t="s">
        <v>44115</v>
      </c>
      <c r="X11168" t="s">
        <v>47315</v>
      </c>
    </row>
    <row r="11169" spans="1:24">
      <c r="A11169">
        <f>HYPERLINK("https://www.philgeps.gov.ph/GEPSNONPILOT/Tender/SplashBidNoticeAbstractUI.aspx?menuIndex=3&amp;refID=7183338&amp;Result=3","7183338")</f>
        <v>0</v>
      </c>
      <c r="B11169" t="s">
        <v>351</v>
      </c>
      <c r="C11169" t="s">
        <v>14403</v>
      </c>
      <c r="D11169" t="s">
        <v>19002</v>
      </c>
      <c r="E11169" t="s">
        <v>28602</v>
      </c>
      <c r="F11169" t="s">
        <v>32606</v>
      </c>
      <c r="G11169" t="s">
        <v>32613</v>
      </c>
      <c r="H11169" t="s">
        <v>32623</v>
      </c>
      <c r="I11169" t="s">
        <v>17648</v>
      </c>
      <c r="J11169" t="s">
        <v>39712</v>
      </c>
      <c r="K11169" t="s">
        <v>42649</v>
      </c>
      <c r="M11169" t="s">
        <v>43253</v>
      </c>
      <c r="N11169" t="s">
        <v>47304</v>
      </c>
      <c r="O11169" t="s">
        <v>47305</v>
      </c>
      <c r="P11169">
        <v>0</v>
      </c>
      <c r="Q11169">
        <v>0</v>
      </c>
      <c r="R11169" t="s">
        <v>47314</v>
      </c>
      <c r="S11169" t="s">
        <v>47596</v>
      </c>
      <c r="T11169" t="s">
        <v>49140</v>
      </c>
      <c r="U11169" t="s">
        <v>58756</v>
      </c>
      <c r="V11169" t="s">
        <v>63838</v>
      </c>
      <c r="W11169" t="s">
        <v>43253</v>
      </c>
      <c r="X11169" t="s">
        <v>47315</v>
      </c>
    </row>
    <row r="11170" spans="1:24">
      <c r="A11170">
        <f>HYPERLINK("https://www.philgeps.gov.ph/GEPSNONPILOT/Tender/SplashBidNoticeAbstractUI.aspx?menuIndex=3&amp;refID=7183681&amp;Result=3","7183681")</f>
        <v>0</v>
      </c>
      <c r="B11170" t="s">
        <v>1152</v>
      </c>
      <c r="C11170" t="s">
        <v>14404</v>
      </c>
      <c r="D11170" t="s">
        <v>19010</v>
      </c>
      <c r="E11170" t="s">
        <v>28603</v>
      </c>
      <c r="F11170" t="s">
        <v>32607</v>
      </c>
      <c r="G11170" t="s">
        <v>32613</v>
      </c>
      <c r="H11170" t="s">
        <v>32623</v>
      </c>
      <c r="I11170" t="s">
        <v>17648</v>
      </c>
      <c r="J11170" t="s">
        <v>35749</v>
      </c>
      <c r="K11170" t="s">
        <v>42648</v>
      </c>
      <c r="L11170" t="s">
        <v>1152</v>
      </c>
      <c r="M11170" t="s">
        <v>44115</v>
      </c>
      <c r="N11170" t="s">
        <v>47304</v>
      </c>
      <c r="O11170" t="s">
        <v>47305</v>
      </c>
      <c r="P11170">
        <v>0</v>
      </c>
      <c r="Q11170">
        <v>0</v>
      </c>
      <c r="R11170" t="s">
        <v>47314</v>
      </c>
      <c r="S11170" t="s">
        <v>47596</v>
      </c>
      <c r="T11170" t="s">
        <v>49031</v>
      </c>
      <c r="U11170" t="s">
        <v>58752</v>
      </c>
      <c r="V11170" t="s">
        <v>58430</v>
      </c>
      <c r="W11170" t="s">
        <v>44115</v>
      </c>
      <c r="X11170" t="s">
        <v>47315</v>
      </c>
    </row>
    <row r="11171" spans="1:24">
      <c r="A11171">
        <f>HYPERLINK("https://www.philgeps.gov.ph/GEPSNONPILOT/Tender/SplashBidNoticeAbstractUI.aspx?menuIndex=3&amp;refID=7183695&amp;Result=3","7183695")</f>
        <v>0</v>
      </c>
      <c r="B11171" t="s">
        <v>2821</v>
      </c>
      <c r="C11171" t="s">
        <v>14405</v>
      </c>
      <c r="D11171" t="s">
        <v>19016</v>
      </c>
      <c r="E11171" t="s">
        <v>19809</v>
      </c>
      <c r="F11171" t="s">
        <v>32606</v>
      </c>
      <c r="G11171" t="s">
        <v>32613</v>
      </c>
      <c r="H11171" t="s">
        <v>14201</v>
      </c>
      <c r="I11171" t="s">
        <v>6931</v>
      </c>
      <c r="J11171" t="s">
        <v>39713</v>
      </c>
      <c r="K11171" t="s">
        <v>42623</v>
      </c>
      <c r="M11171" t="s">
        <v>45984</v>
      </c>
      <c r="N11171" t="s">
        <v>47304</v>
      </c>
      <c r="O11171" t="s">
        <v>47305</v>
      </c>
      <c r="P11171">
        <v>0</v>
      </c>
      <c r="Q11171">
        <v>0</v>
      </c>
      <c r="R11171" t="s">
        <v>47314</v>
      </c>
      <c r="S11171" t="s">
        <v>47596</v>
      </c>
      <c r="T11171" t="s">
        <v>49315</v>
      </c>
      <c r="U11171" t="s">
        <v>58757</v>
      </c>
      <c r="V11171" t="s">
        <v>63836</v>
      </c>
      <c r="W11171" t="s">
        <v>45984</v>
      </c>
      <c r="X11171" t="s">
        <v>47315</v>
      </c>
    </row>
    <row r="11172" spans="1:24">
      <c r="A11172">
        <f>HYPERLINK("https://www.philgeps.gov.ph/GEPSNONPILOT/Tender/SplashBidNoticeAbstractUI.aspx?menuIndex=3&amp;refID=7183680&amp;Result=3","7183680")</f>
        <v>0</v>
      </c>
      <c r="B11172" t="s">
        <v>2821</v>
      </c>
      <c r="C11172" t="s">
        <v>14406</v>
      </c>
      <c r="D11172" t="s">
        <v>19016</v>
      </c>
      <c r="E11172" t="s">
        <v>19315</v>
      </c>
      <c r="F11172" t="s">
        <v>32606</v>
      </c>
      <c r="G11172" t="s">
        <v>32613</v>
      </c>
      <c r="H11172" t="s">
        <v>14201</v>
      </c>
      <c r="I11172" t="s">
        <v>9013</v>
      </c>
      <c r="J11172" t="s">
        <v>39714</v>
      </c>
      <c r="K11172" t="s">
        <v>42623</v>
      </c>
      <c r="M11172" t="s">
        <v>45984</v>
      </c>
      <c r="N11172" t="s">
        <v>47304</v>
      </c>
      <c r="O11172" t="s">
        <v>47305</v>
      </c>
      <c r="P11172">
        <v>0</v>
      </c>
      <c r="Q11172">
        <v>0</v>
      </c>
      <c r="R11172" t="s">
        <v>47314</v>
      </c>
      <c r="S11172" t="s">
        <v>47596</v>
      </c>
      <c r="T11172" t="s">
        <v>49315</v>
      </c>
      <c r="U11172" t="s">
        <v>58758</v>
      </c>
      <c r="V11172" t="s">
        <v>63839</v>
      </c>
      <c r="W11172" t="s">
        <v>45984</v>
      </c>
      <c r="X11172" t="s">
        <v>47315</v>
      </c>
    </row>
    <row r="11173" spans="1:24">
      <c r="A11173">
        <f>HYPERLINK("https://www.philgeps.gov.ph/GEPSNONPILOT/Tender/SplashBidNoticeAbstractUI.aspx?menuIndex=3&amp;refID=7183677&amp;Result=3","7183677")</f>
        <v>0</v>
      </c>
      <c r="B11173" t="s">
        <v>828</v>
      </c>
      <c r="C11173" t="s">
        <v>14407</v>
      </c>
      <c r="D11173" t="s">
        <v>19030</v>
      </c>
      <c r="E11173" t="s">
        <v>28604</v>
      </c>
      <c r="F11173" t="s">
        <v>32606</v>
      </c>
      <c r="G11173" t="s">
        <v>32613</v>
      </c>
      <c r="H11173" t="s">
        <v>14201</v>
      </c>
      <c r="I11173" t="s">
        <v>6993</v>
      </c>
      <c r="J11173" t="s">
        <v>34228</v>
      </c>
      <c r="K11173" t="s">
        <v>42630</v>
      </c>
      <c r="M11173" t="s">
        <v>43759</v>
      </c>
      <c r="N11173" t="s">
        <v>47304</v>
      </c>
      <c r="O11173" t="s">
        <v>47305</v>
      </c>
      <c r="P11173">
        <v>0</v>
      </c>
      <c r="Q11173">
        <v>0</v>
      </c>
      <c r="R11173" t="s">
        <v>47314</v>
      </c>
      <c r="S11173" t="s">
        <v>47596</v>
      </c>
      <c r="T11173" t="s">
        <v>49020</v>
      </c>
      <c r="U11173" t="s">
        <v>58759</v>
      </c>
      <c r="V11173" t="s">
        <v>63840</v>
      </c>
      <c r="W11173" t="s">
        <v>43759</v>
      </c>
      <c r="X11173" t="s">
        <v>47315</v>
      </c>
    </row>
    <row r="11174" spans="1:24">
      <c r="A11174">
        <f>HYPERLINK("https://www.philgeps.gov.ph/GEPSNONPILOT/Tender/SplashBidNoticeAbstractUI.aspx?menuIndex=3&amp;refID=7183673&amp;Result=3","7183673")</f>
        <v>0</v>
      </c>
      <c r="B11174" t="s">
        <v>828</v>
      </c>
      <c r="C11174" t="s">
        <v>14408</v>
      </c>
      <c r="D11174" t="s">
        <v>19030</v>
      </c>
      <c r="E11174" t="s">
        <v>28605</v>
      </c>
      <c r="F11174" t="s">
        <v>32606</v>
      </c>
      <c r="G11174" t="s">
        <v>32613</v>
      </c>
      <c r="H11174" t="s">
        <v>14201</v>
      </c>
      <c r="I11174" t="s">
        <v>32680</v>
      </c>
      <c r="J11174" t="s">
        <v>39715</v>
      </c>
      <c r="K11174" t="s">
        <v>42630</v>
      </c>
      <c r="M11174" t="s">
        <v>43759</v>
      </c>
      <c r="N11174" t="s">
        <v>47304</v>
      </c>
      <c r="O11174" t="s">
        <v>47305</v>
      </c>
      <c r="P11174">
        <v>0</v>
      </c>
      <c r="Q11174">
        <v>1</v>
      </c>
      <c r="R11174" t="s">
        <v>47314</v>
      </c>
      <c r="S11174" t="s">
        <v>47596</v>
      </c>
      <c r="T11174" t="s">
        <v>49020</v>
      </c>
      <c r="U11174" t="s">
        <v>58760</v>
      </c>
      <c r="V11174" t="s">
        <v>63841</v>
      </c>
      <c r="W11174" t="s">
        <v>43759</v>
      </c>
      <c r="X11174" t="s">
        <v>47315</v>
      </c>
    </row>
    <row r="11175" spans="1:24">
      <c r="A11175">
        <f>HYPERLINK("https://www.philgeps.gov.ph/GEPSNONPILOT/Tender/SplashBidNoticeAbstractUI.aspx?menuIndex=3&amp;refID=7183689&amp;Result=3","7183689")</f>
        <v>0</v>
      </c>
      <c r="B11175" t="s">
        <v>3254</v>
      </c>
      <c r="C11175" t="s">
        <v>14409</v>
      </c>
      <c r="D11175" t="s">
        <v>19002</v>
      </c>
      <c r="E11175" t="s">
        <v>28606</v>
      </c>
      <c r="F11175" t="s">
        <v>32606</v>
      </c>
      <c r="G11175" t="s">
        <v>32613</v>
      </c>
      <c r="H11175" t="s">
        <v>32623</v>
      </c>
      <c r="I11175" t="s">
        <v>17648</v>
      </c>
      <c r="J11175" t="s">
        <v>33016</v>
      </c>
      <c r="K11175" t="s">
        <v>42639</v>
      </c>
      <c r="M11175" t="s">
        <v>46488</v>
      </c>
      <c r="N11175" t="s">
        <v>47304</v>
      </c>
      <c r="O11175" t="s">
        <v>47305</v>
      </c>
      <c r="P11175">
        <v>0</v>
      </c>
      <c r="Q11175">
        <v>0</v>
      </c>
      <c r="R11175" t="s">
        <v>47314</v>
      </c>
      <c r="S11175" t="s">
        <v>47596</v>
      </c>
      <c r="T11175" t="s">
        <v>49099</v>
      </c>
      <c r="U11175" t="s">
        <v>58761</v>
      </c>
      <c r="W11175" t="s">
        <v>46488</v>
      </c>
      <c r="X11175" t="s">
        <v>47315</v>
      </c>
    </row>
    <row r="11176" spans="1:24">
      <c r="A11176">
        <f>HYPERLINK("https://www.philgeps.gov.ph/GEPSNONPILOT/Tender/SplashBidNoticeAbstractUI.aspx?menuIndex=3&amp;refID=7183671&amp;Result=3","7183671")</f>
        <v>0</v>
      </c>
      <c r="B11176" t="s">
        <v>3257</v>
      </c>
      <c r="C11176" t="s">
        <v>14410</v>
      </c>
      <c r="D11176" t="s">
        <v>19051</v>
      </c>
      <c r="E11176" t="s">
        <v>28607</v>
      </c>
      <c r="F11176" t="s">
        <v>32606</v>
      </c>
      <c r="G11176" t="s">
        <v>32613</v>
      </c>
      <c r="H11176" t="s">
        <v>32623</v>
      </c>
      <c r="I11176" t="s">
        <v>17648</v>
      </c>
      <c r="J11176" t="s">
        <v>39716</v>
      </c>
      <c r="K11176" t="s">
        <v>42793</v>
      </c>
      <c r="L11176" t="s">
        <v>3257</v>
      </c>
      <c r="M11176" t="s">
        <v>46491</v>
      </c>
      <c r="N11176" t="s">
        <v>47304</v>
      </c>
      <c r="O11176" t="s">
        <v>47305</v>
      </c>
      <c r="P11176">
        <v>0</v>
      </c>
      <c r="Q11176">
        <v>1</v>
      </c>
      <c r="R11176" t="s">
        <v>47314</v>
      </c>
      <c r="S11176" t="s">
        <v>47596</v>
      </c>
      <c r="T11176" t="s">
        <v>49197</v>
      </c>
      <c r="U11176" t="s">
        <v>58762</v>
      </c>
      <c r="W11176" t="s">
        <v>46491</v>
      </c>
      <c r="X11176" t="s">
        <v>47315</v>
      </c>
    </row>
    <row r="11177" spans="1:24">
      <c r="A11177">
        <f>HYPERLINK("https://www.philgeps.gov.ph/GEPSNONPILOT/Tender/SplashBidNoticeAbstractUI.aspx?menuIndex=3&amp;refID=7183670&amp;Result=3","7183670")</f>
        <v>0</v>
      </c>
      <c r="B11177" t="s">
        <v>828</v>
      </c>
      <c r="C11177" t="s">
        <v>14411</v>
      </c>
      <c r="D11177" t="s">
        <v>19030</v>
      </c>
      <c r="E11177" t="s">
        <v>28608</v>
      </c>
      <c r="F11177" t="s">
        <v>32606</v>
      </c>
      <c r="G11177" t="s">
        <v>32613</v>
      </c>
      <c r="H11177" t="s">
        <v>14201</v>
      </c>
      <c r="I11177" t="s">
        <v>6993</v>
      </c>
      <c r="J11177" t="s">
        <v>39717</v>
      </c>
      <c r="K11177" t="s">
        <v>42630</v>
      </c>
      <c r="M11177" t="s">
        <v>43759</v>
      </c>
      <c r="N11177" t="s">
        <v>47304</v>
      </c>
      <c r="O11177" t="s">
        <v>47305</v>
      </c>
      <c r="P11177">
        <v>0</v>
      </c>
      <c r="Q11177">
        <v>0</v>
      </c>
      <c r="R11177" t="s">
        <v>47314</v>
      </c>
      <c r="S11177" t="s">
        <v>47596</v>
      </c>
      <c r="T11177" t="s">
        <v>49020</v>
      </c>
      <c r="U11177" t="s">
        <v>58763</v>
      </c>
      <c r="V11177" t="s">
        <v>63842</v>
      </c>
      <c r="W11177" t="s">
        <v>43759</v>
      </c>
      <c r="X11177" t="s">
        <v>47315</v>
      </c>
    </row>
    <row r="11178" spans="1:24">
      <c r="A11178">
        <f>HYPERLINK("https://www.philgeps.gov.ph/GEPSNONPILOT/Tender/SplashBidNoticeAbstractUI.aspx?menuIndex=3&amp;refID=7183668&amp;Result=3","7183668")</f>
        <v>0</v>
      </c>
      <c r="B11178" t="s">
        <v>3257</v>
      </c>
      <c r="C11178" t="s">
        <v>14412</v>
      </c>
      <c r="D11178" t="s">
        <v>19051</v>
      </c>
      <c r="E11178" t="s">
        <v>28609</v>
      </c>
      <c r="F11178" t="s">
        <v>32606</v>
      </c>
      <c r="G11178" t="s">
        <v>32613</v>
      </c>
      <c r="H11178" t="s">
        <v>32623</v>
      </c>
      <c r="I11178" t="s">
        <v>17648</v>
      </c>
      <c r="J11178" t="s">
        <v>35267</v>
      </c>
      <c r="K11178" t="s">
        <v>42648</v>
      </c>
      <c r="L11178" t="s">
        <v>3257</v>
      </c>
      <c r="M11178" t="s">
        <v>46491</v>
      </c>
      <c r="N11178" t="s">
        <v>47304</v>
      </c>
      <c r="O11178" t="s">
        <v>47305</v>
      </c>
      <c r="P11178">
        <v>0</v>
      </c>
      <c r="Q11178">
        <v>1</v>
      </c>
      <c r="R11178" t="s">
        <v>47314</v>
      </c>
      <c r="S11178" t="s">
        <v>47596</v>
      </c>
      <c r="T11178" t="s">
        <v>49234</v>
      </c>
      <c r="U11178" t="s">
        <v>58764</v>
      </c>
      <c r="W11178" t="s">
        <v>46491</v>
      </c>
      <c r="X11178" t="s">
        <v>47315</v>
      </c>
    </row>
    <row r="11179" spans="1:24">
      <c r="A11179">
        <f>HYPERLINK("https://www.philgeps.gov.ph/GEPSNONPILOT/Tender/SplashBidNoticeAbstractUI.aspx?menuIndex=3&amp;refID=7183664&amp;Result=3","7183664")</f>
        <v>0</v>
      </c>
      <c r="B11179" t="s">
        <v>3258</v>
      </c>
      <c r="C11179" t="s">
        <v>14413</v>
      </c>
      <c r="E11179" t="s">
        <v>28610</v>
      </c>
      <c r="F11179" t="s">
        <v>32606</v>
      </c>
      <c r="G11179" t="s">
        <v>32613</v>
      </c>
      <c r="H11179" t="s">
        <v>14201</v>
      </c>
      <c r="I11179" t="s">
        <v>32663</v>
      </c>
      <c r="J11179" t="s">
        <v>39718</v>
      </c>
      <c r="K11179" t="s">
        <v>42631</v>
      </c>
      <c r="M11179" t="s">
        <v>46492</v>
      </c>
      <c r="N11179" t="s">
        <v>47304</v>
      </c>
      <c r="O11179" t="s">
        <v>47305</v>
      </c>
      <c r="Q11179">
        <v>13</v>
      </c>
      <c r="R11179" t="s">
        <v>47314</v>
      </c>
      <c r="S11179" t="s">
        <v>47661</v>
      </c>
      <c r="T11179" t="s">
        <v>49367</v>
      </c>
      <c r="U11179" t="s">
        <v>58765</v>
      </c>
      <c r="W11179" t="s">
        <v>64533</v>
      </c>
      <c r="X11179" t="s">
        <v>47315</v>
      </c>
    </row>
    <row r="11180" spans="1:24">
      <c r="A11180">
        <f>HYPERLINK("https://www.philgeps.gov.ph/GEPSNONPILOT/Tender/SplashBidNoticeAbstractUI.aspx?menuIndex=3&amp;refID=7183620&amp;Result=3","7183620")</f>
        <v>0</v>
      </c>
      <c r="B11180" t="s">
        <v>3255</v>
      </c>
      <c r="C11180" t="s">
        <v>14414</v>
      </c>
      <c r="D11180" t="s">
        <v>18995</v>
      </c>
      <c r="E11180" t="s">
        <v>28611</v>
      </c>
      <c r="F11180" t="s">
        <v>32606</v>
      </c>
      <c r="G11180" t="s">
        <v>32613</v>
      </c>
      <c r="H11180" t="s">
        <v>14201</v>
      </c>
      <c r="I11180" t="s">
        <v>32714</v>
      </c>
      <c r="J11180" t="s">
        <v>32767</v>
      </c>
      <c r="K11180" t="s">
        <v>42636</v>
      </c>
      <c r="M11180" t="s">
        <v>46489</v>
      </c>
      <c r="N11180" t="s">
        <v>47304</v>
      </c>
      <c r="O11180" t="s">
        <v>47305</v>
      </c>
      <c r="P11180">
        <v>0</v>
      </c>
      <c r="Q11180">
        <v>19</v>
      </c>
      <c r="R11180" t="s">
        <v>47314</v>
      </c>
      <c r="S11180" t="s">
        <v>47596</v>
      </c>
      <c r="T11180" t="s">
        <v>49140</v>
      </c>
      <c r="U11180" t="s">
        <v>58766</v>
      </c>
      <c r="W11180" t="s">
        <v>46489</v>
      </c>
      <c r="X11180" t="s">
        <v>47315</v>
      </c>
    </row>
    <row r="11181" spans="1:24">
      <c r="A11181">
        <f>HYPERLINK("https://www.philgeps.gov.ph/GEPSNONPILOT/Tender/SplashBidNoticeAbstractUI.aspx?menuIndex=3&amp;refID=7183613&amp;Result=3","7183613")</f>
        <v>0</v>
      </c>
      <c r="B11181" t="s">
        <v>1152</v>
      </c>
      <c r="C11181" t="s">
        <v>14415</v>
      </c>
      <c r="D11181" t="s">
        <v>19010</v>
      </c>
      <c r="E11181" t="s">
        <v>28612</v>
      </c>
      <c r="F11181" t="s">
        <v>32607</v>
      </c>
      <c r="G11181" t="s">
        <v>32613</v>
      </c>
      <c r="H11181" t="s">
        <v>32623</v>
      </c>
      <c r="I11181" t="s">
        <v>17648</v>
      </c>
      <c r="J11181" t="s">
        <v>39719</v>
      </c>
      <c r="K11181" t="s">
        <v>42648</v>
      </c>
      <c r="L11181" t="s">
        <v>1152</v>
      </c>
      <c r="M11181" t="s">
        <v>44115</v>
      </c>
      <c r="N11181" t="s">
        <v>47304</v>
      </c>
      <c r="O11181" t="s">
        <v>47305</v>
      </c>
      <c r="P11181">
        <v>0</v>
      </c>
      <c r="Q11181">
        <v>0</v>
      </c>
      <c r="R11181" t="s">
        <v>47314</v>
      </c>
      <c r="S11181" t="s">
        <v>47596</v>
      </c>
      <c r="T11181" t="s">
        <v>49031</v>
      </c>
      <c r="U11181" t="s">
        <v>58767</v>
      </c>
      <c r="V11181" t="s">
        <v>63843</v>
      </c>
      <c r="W11181" t="s">
        <v>44115</v>
      </c>
      <c r="X11181" t="s">
        <v>47315</v>
      </c>
    </row>
    <row r="11182" spans="1:24">
      <c r="A11182">
        <f>HYPERLINK("https://www.philgeps.gov.ph/GEPSNONPILOT/Tender/SplashBidNoticeAbstractUI.aspx?menuIndex=3&amp;refID=7183675&amp;Result=3","7183675")</f>
        <v>0</v>
      </c>
      <c r="B11182" t="s">
        <v>828</v>
      </c>
      <c r="C11182" t="s">
        <v>14416</v>
      </c>
      <c r="D11182" t="s">
        <v>19030</v>
      </c>
      <c r="E11182" t="s">
        <v>28613</v>
      </c>
      <c r="F11182" t="s">
        <v>32606</v>
      </c>
      <c r="G11182" t="s">
        <v>32613</v>
      </c>
      <c r="H11182" t="s">
        <v>14201</v>
      </c>
      <c r="I11182" t="s">
        <v>6993</v>
      </c>
      <c r="J11182" t="s">
        <v>39720</v>
      </c>
      <c r="K11182" t="s">
        <v>42630</v>
      </c>
      <c r="M11182" t="s">
        <v>43759</v>
      </c>
      <c r="N11182" t="s">
        <v>47304</v>
      </c>
      <c r="O11182" t="s">
        <v>47305</v>
      </c>
      <c r="P11182">
        <v>0</v>
      </c>
      <c r="Q11182">
        <v>0</v>
      </c>
      <c r="R11182" t="s">
        <v>47314</v>
      </c>
      <c r="S11182" t="s">
        <v>47596</v>
      </c>
      <c r="T11182" t="s">
        <v>49020</v>
      </c>
      <c r="U11182" t="s">
        <v>58768</v>
      </c>
      <c r="V11182" t="s">
        <v>63844</v>
      </c>
      <c r="W11182" t="s">
        <v>43759</v>
      </c>
      <c r="X11182" t="s">
        <v>47315</v>
      </c>
    </row>
    <row r="11183" spans="1:24">
      <c r="A11183">
        <f>HYPERLINK("https://www.philgeps.gov.ph/GEPSNONPILOT/Tender/SplashBidNoticeAbstractUI.aspx?menuIndex=3&amp;refID=7183609&amp;Result=3","7183609")</f>
        <v>0</v>
      </c>
      <c r="B11183" t="s">
        <v>3259</v>
      </c>
      <c r="C11183" t="s">
        <v>14417</v>
      </c>
      <c r="D11183" t="s">
        <v>19054</v>
      </c>
      <c r="E11183" t="s">
        <v>28614</v>
      </c>
      <c r="F11183" t="s">
        <v>32606</v>
      </c>
      <c r="G11183" t="s">
        <v>32613</v>
      </c>
      <c r="H11183" t="s">
        <v>14201</v>
      </c>
      <c r="I11183" t="s">
        <v>6478</v>
      </c>
      <c r="J11183" t="s">
        <v>39721</v>
      </c>
      <c r="K11183" t="s">
        <v>42631</v>
      </c>
      <c r="M11183" t="s">
        <v>46493</v>
      </c>
      <c r="N11183" t="s">
        <v>47304</v>
      </c>
      <c r="O11183" t="s">
        <v>47305</v>
      </c>
      <c r="P11183">
        <v>0</v>
      </c>
      <c r="Q11183">
        <v>1</v>
      </c>
      <c r="R11183" t="s">
        <v>47314</v>
      </c>
      <c r="S11183" t="s">
        <v>47596</v>
      </c>
      <c r="T11183" t="s">
        <v>49291</v>
      </c>
      <c r="U11183" t="s">
        <v>58769</v>
      </c>
      <c r="W11183" t="s">
        <v>46493</v>
      </c>
      <c r="X11183" t="s">
        <v>47315</v>
      </c>
    </row>
    <row r="11184" spans="1:24">
      <c r="A11184">
        <f>HYPERLINK("https://www.philgeps.gov.ph/GEPSNONPILOT/Tender/SplashBidNoticeAbstractUI.aspx?menuIndex=3&amp;refID=7183606&amp;Result=3","7183606")</f>
        <v>0</v>
      </c>
      <c r="B11184" t="s">
        <v>3260</v>
      </c>
      <c r="C11184" t="s">
        <v>14418</v>
      </c>
      <c r="D11184" t="s">
        <v>19000</v>
      </c>
      <c r="E11184" t="s">
        <v>28615</v>
      </c>
      <c r="F11184" t="s">
        <v>32606</v>
      </c>
      <c r="G11184" t="s">
        <v>32613</v>
      </c>
      <c r="H11184" t="s">
        <v>14201</v>
      </c>
      <c r="I11184" t="s">
        <v>32673</v>
      </c>
      <c r="J11184" t="s">
        <v>39722</v>
      </c>
      <c r="K11184" t="s">
        <v>42648</v>
      </c>
      <c r="M11184" t="s">
        <v>46494</v>
      </c>
      <c r="N11184" t="s">
        <v>47304</v>
      </c>
      <c r="O11184" t="s">
        <v>47305</v>
      </c>
      <c r="Q11184">
        <v>2</v>
      </c>
      <c r="R11184" t="s">
        <v>47314</v>
      </c>
      <c r="S11184" t="s">
        <v>47662</v>
      </c>
      <c r="T11184" t="s">
        <v>49154</v>
      </c>
      <c r="U11184" t="s">
        <v>58770</v>
      </c>
      <c r="W11184" t="s">
        <v>46494</v>
      </c>
      <c r="X11184" t="s">
        <v>47315</v>
      </c>
    </row>
    <row r="11185" spans="1:24">
      <c r="A11185">
        <f>HYPERLINK("https://www.philgeps.gov.ph/GEPSNONPILOT/Tender/SplashBidNoticeAbstractUI.aspx?menuIndex=3&amp;refID=7183683&amp;Result=3","7183683")</f>
        <v>0</v>
      </c>
      <c r="B11185" t="s">
        <v>3254</v>
      </c>
      <c r="C11185" t="s">
        <v>14419</v>
      </c>
      <c r="D11185" t="s">
        <v>19002</v>
      </c>
      <c r="E11185" t="s">
        <v>28616</v>
      </c>
      <c r="F11185" t="s">
        <v>32606</v>
      </c>
      <c r="G11185" t="s">
        <v>32613</v>
      </c>
      <c r="H11185" t="s">
        <v>14201</v>
      </c>
      <c r="I11185" t="s">
        <v>6993</v>
      </c>
      <c r="J11185" t="s">
        <v>39723</v>
      </c>
      <c r="K11185" t="s">
        <v>42623</v>
      </c>
      <c r="M11185" t="s">
        <v>46488</v>
      </c>
      <c r="N11185" t="s">
        <v>47304</v>
      </c>
      <c r="O11185" t="s">
        <v>47305</v>
      </c>
      <c r="P11185">
        <v>0</v>
      </c>
      <c r="Q11185">
        <v>3</v>
      </c>
      <c r="R11185" t="s">
        <v>47314</v>
      </c>
      <c r="S11185" t="s">
        <v>47596</v>
      </c>
      <c r="T11185" t="s">
        <v>49099</v>
      </c>
      <c r="U11185" t="s">
        <v>58771</v>
      </c>
      <c r="W11185" t="s">
        <v>46488</v>
      </c>
      <c r="X11185" t="s">
        <v>47315</v>
      </c>
    </row>
    <row r="11186" spans="1:24">
      <c r="A11186">
        <f>HYPERLINK("https://www.philgeps.gov.ph/GEPSNONPILOT/Tender/SplashBidNoticeAbstractUI.aspx?menuIndex=3&amp;refID=7183665&amp;Result=3","7183665")</f>
        <v>0</v>
      </c>
      <c r="B11186" t="s">
        <v>1152</v>
      </c>
      <c r="C11186" t="s">
        <v>14420</v>
      </c>
      <c r="D11186" t="s">
        <v>19010</v>
      </c>
      <c r="E11186" t="s">
        <v>28617</v>
      </c>
      <c r="F11186" t="s">
        <v>32607</v>
      </c>
      <c r="G11186" t="s">
        <v>32613</v>
      </c>
      <c r="H11186" t="s">
        <v>32623</v>
      </c>
      <c r="I11186" t="s">
        <v>17648</v>
      </c>
      <c r="J11186" t="s">
        <v>35749</v>
      </c>
      <c r="K11186" t="s">
        <v>42648</v>
      </c>
      <c r="L11186" t="s">
        <v>1152</v>
      </c>
      <c r="M11186" t="s">
        <v>44115</v>
      </c>
      <c r="N11186" t="s">
        <v>47304</v>
      </c>
      <c r="O11186" t="s">
        <v>47305</v>
      </c>
      <c r="P11186">
        <v>0</v>
      </c>
      <c r="Q11186">
        <v>0</v>
      </c>
      <c r="R11186" t="s">
        <v>47314</v>
      </c>
      <c r="S11186" t="s">
        <v>47596</v>
      </c>
      <c r="T11186" t="s">
        <v>49031</v>
      </c>
      <c r="U11186" t="s">
        <v>58752</v>
      </c>
      <c r="V11186" t="s">
        <v>58752</v>
      </c>
      <c r="W11186" t="s">
        <v>44115</v>
      </c>
      <c r="X11186" t="s">
        <v>47315</v>
      </c>
    </row>
    <row r="11187" spans="1:24">
      <c r="A11187">
        <f>HYPERLINK("https://www.philgeps.gov.ph/GEPSNONPILOT/Tender/SplashBidNoticeAbstractUI.aspx?menuIndex=3&amp;refID=7183550&amp;Result=3","7183550")</f>
        <v>0</v>
      </c>
      <c r="B11187" t="s">
        <v>1780</v>
      </c>
      <c r="C11187" t="s">
        <v>14421</v>
      </c>
      <c r="D11187" t="s">
        <v>19040</v>
      </c>
      <c r="E11187" t="s">
        <v>28618</v>
      </c>
      <c r="F11187" t="s">
        <v>32606</v>
      </c>
      <c r="G11187" t="s">
        <v>32613</v>
      </c>
      <c r="H11187" t="s">
        <v>14201</v>
      </c>
      <c r="I11187" t="s">
        <v>6298</v>
      </c>
      <c r="J11187" t="s">
        <v>37000</v>
      </c>
      <c r="K11187" t="s">
        <v>42624</v>
      </c>
      <c r="M11187" t="s">
        <v>44820</v>
      </c>
      <c r="N11187" t="s">
        <v>47304</v>
      </c>
      <c r="O11187" t="s">
        <v>47305</v>
      </c>
      <c r="P11187">
        <v>0</v>
      </c>
      <c r="Q11187">
        <v>3</v>
      </c>
      <c r="R11187" t="s">
        <v>47314</v>
      </c>
      <c r="S11187" t="s">
        <v>47596</v>
      </c>
      <c r="T11187" t="s">
        <v>49002</v>
      </c>
      <c r="U11187" t="s">
        <v>53757</v>
      </c>
      <c r="V11187" t="s">
        <v>63845</v>
      </c>
      <c r="W11187" t="s">
        <v>44820</v>
      </c>
      <c r="X11187" t="s">
        <v>47315</v>
      </c>
    </row>
    <row r="11188" spans="1:24">
      <c r="A11188">
        <f>HYPERLINK("https://www.philgeps.gov.ph/GEPSNONPILOT/Tender/SplashBidNoticeAbstractUI.aspx?menuIndex=3&amp;refID=7183698&amp;Result=3","7183698")</f>
        <v>0</v>
      </c>
      <c r="B11188" t="s">
        <v>1152</v>
      </c>
      <c r="C11188" t="s">
        <v>14422</v>
      </c>
      <c r="D11188" t="s">
        <v>19010</v>
      </c>
      <c r="E11188" t="s">
        <v>28601</v>
      </c>
      <c r="F11188" t="s">
        <v>32607</v>
      </c>
      <c r="G11188" t="s">
        <v>32613</v>
      </c>
      <c r="H11188" t="s">
        <v>32623</v>
      </c>
      <c r="I11188" t="s">
        <v>17648</v>
      </c>
      <c r="J11188" t="s">
        <v>32765</v>
      </c>
      <c r="K11188" t="s">
        <v>42636</v>
      </c>
      <c r="L11188" t="s">
        <v>1152</v>
      </c>
      <c r="M11188" t="s">
        <v>44115</v>
      </c>
      <c r="N11188" t="s">
        <v>47304</v>
      </c>
      <c r="O11188" t="s">
        <v>47305</v>
      </c>
      <c r="P11188">
        <v>0</v>
      </c>
      <c r="Q11188">
        <v>0</v>
      </c>
      <c r="R11188" t="s">
        <v>47314</v>
      </c>
      <c r="S11188" t="s">
        <v>47596</v>
      </c>
      <c r="T11188" t="s">
        <v>49031</v>
      </c>
      <c r="U11188" t="s">
        <v>58430</v>
      </c>
      <c r="V11188" t="s">
        <v>58430</v>
      </c>
      <c r="W11188" t="s">
        <v>44115</v>
      </c>
      <c r="X11188" t="s">
        <v>47315</v>
      </c>
    </row>
    <row r="11189" spans="1:24">
      <c r="A11189">
        <f>HYPERLINK("https://www.philgeps.gov.ph/GEPSNONPILOT/Tender/SplashBidNoticeAbstractUI.aspx?menuIndex=3&amp;refID=7183527&amp;Result=3","7183527")</f>
        <v>0</v>
      </c>
      <c r="B11189" t="s">
        <v>3261</v>
      </c>
      <c r="C11189" t="s">
        <v>14423</v>
      </c>
      <c r="D11189" t="s">
        <v>18989</v>
      </c>
      <c r="E11189" t="s">
        <v>19279</v>
      </c>
      <c r="F11189" t="s">
        <v>32606</v>
      </c>
      <c r="G11189" t="s">
        <v>32613</v>
      </c>
      <c r="H11189" t="s">
        <v>14201</v>
      </c>
      <c r="I11189" t="s">
        <v>32661</v>
      </c>
      <c r="J11189" t="s">
        <v>32799</v>
      </c>
      <c r="K11189" t="s">
        <v>42630</v>
      </c>
      <c r="M11189" t="s">
        <v>46495</v>
      </c>
      <c r="N11189" t="s">
        <v>47304</v>
      </c>
      <c r="O11189" t="s">
        <v>47305</v>
      </c>
      <c r="P11189">
        <v>0</v>
      </c>
      <c r="Q11189">
        <v>2</v>
      </c>
      <c r="R11189" t="s">
        <v>47314</v>
      </c>
      <c r="S11189" t="s">
        <v>47596</v>
      </c>
      <c r="T11189" t="s">
        <v>49020</v>
      </c>
      <c r="U11189" t="s">
        <v>58772</v>
      </c>
      <c r="W11189" t="s">
        <v>46495</v>
      </c>
      <c r="X11189" t="s">
        <v>47315</v>
      </c>
    </row>
    <row r="11190" spans="1:24">
      <c r="A11190">
        <f>HYPERLINK("https://www.philgeps.gov.ph/GEPSNONPILOT/Tender/SplashBidNoticeAbstractUI.aspx?menuIndex=3&amp;refID=7183548&amp;Result=3","7183548")</f>
        <v>0</v>
      </c>
      <c r="B11190" t="s">
        <v>569</v>
      </c>
      <c r="C11190" t="s">
        <v>14424</v>
      </c>
      <c r="D11190" t="s">
        <v>18993</v>
      </c>
      <c r="E11190" t="s">
        <v>28619</v>
      </c>
      <c r="F11190" t="s">
        <v>32606</v>
      </c>
      <c r="G11190" t="s">
        <v>32618</v>
      </c>
      <c r="H11190" t="s">
        <v>14201</v>
      </c>
      <c r="I11190" t="s">
        <v>32640</v>
      </c>
      <c r="J11190" t="s">
        <v>34584</v>
      </c>
      <c r="K11190" t="s">
        <v>42631</v>
      </c>
      <c r="M11190" t="s">
        <v>46299</v>
      </c>
      <c r="N11190" t="s">
        <v>47304</v>
      </c>
      <c r="O11190" t="s">
        <v>47305</v>
      </c>
      <c r="P11190">
        <v>0</v>
      </c>
      <c r="Q11190">
        <v>22</v>
      </c>
      <c r="R11190" t="s">
        <v>47314</v>
      </c>
      <c r="S11190" t="s">
        <v>47596</v>
      </c>
      <c r="T11190" t="s">
        <v>49052</v>
      </c>
      <c r="U11190" t="s">
        <v>58773</v>
      </c>
      <c r="V11190" t="s">
        <v>63227</v>
      </c>
      <c r="W11190" t="s">
        <v>64492</v>
      </c>
      <c r="X11190" t="s">
        <v>47315</v>
      </c>
    </row>
    <row r="11191" spans="1:24">
      <c r="A11191">
        <f>HYPERLINK("https://www.philgeps.gov.ph/GEPSNONPILOT/Tender/SplashBidNoticeAbstractUI.aspx?menuIndex=3&amp;refID=7183543&amp;Result=3","7183543")</f>
        <v>0</v>
      </c>
      <c r="B11191" t="s">
        <v>2868</v>
      </c>
      <c r="C11191" t="s">
        <v>14425</v>
      </c>
      <c r="D11191" t="s">
        <v>19010</v>
      </c>
      <c r="E11191" t="s">
        <v>28620</v>
      </c>
      <c r="F11191" t="s">
        <v>32606</v>
      </c>
      <c r="G11191" t="s">
        <v>32613</v>
      </c>
      <c r="H11191" t="s">
        <v>32623</v>
      </c>
      <c r="I11191" t="s">
        <v>32661</v>
      </c>
      <c r="J11191" t="s">
        <v>32770</v>
      </c>
      <c r="K11191" t="s">
        <v>42631</v>
      </c>
      <c r="M11191" t="s">
        <v>46039</v>
      </c>
      <c r="N11191" t="s">
        <v>47304</v>
      </c>
      <c r="O11191" t="s">
        <v>47305</v>
      </c>
      <c r="P11191">
        <v>0</v>
      </c>
      <c r="Q11191">
        <v>4</v>
      </c>
      <c r="R11191" t="s">
        <v>47314</v>
      </c>
      <c r="S11191" t="s">
        <v>47596</v>
      </c>
      <c r="T11191" t="s">
        <v>49170</v>
      </c>
      <c r="U11191" t="s">
        <v>58774</v>
      </c>
      <c r="W11191" t="s">
        <v>46039</v>
      </c>
      <c r="X11191" t="s">
        <v>47315</v>
      </c>
    </row>
    <row r="11192" spans="1:24">
      <c r="A11192">
        <f>HYPERLINK("https://www.philgeps.gov.ph/GEPSNONPILOT/Tender/SplashBidNoticeAbstractUI.aspx?menuIndex=3&amp;refID=7183522&amp;Result=3","7183522")</f>
        <v>0</v>
      </c>
      <c r="B11192" t="s">
        <v>3258</v>
      </c>
      <c r="C11192" t="s">
        <v>14426</v>
      </c>
      <c r="E11192" t="s">
        <v>28621</v>
      </c>
      <c r="F11192" t="s">
        <v>32606</v>
      </c>
      <c r="G11192" t="s">
        <v>32613</v>
      </c>
      <c r="H11192" t="s">
        <v>14201</v>
      </c>
      <c r="I11192" t="s">
        <v>6298</v>
      </c>
      <c r="J11192" t="s">
        <v>39724</v>
      </c>
      <c r="K11192" t="s">
        <v>42648</v>
      </c>
      <c r="M11192" t="s">
        <v>46492</v>
      </c>
      <c r="N11192" t="s">
        <v>47304</v>
      </c>
      <c r="O11192" t="s">
        <v>47305</v>
      </c>
      <c r="Q11192">
        <v>26</v>
      </c>
      <c r="R11192" t="s">
        <v>47314</v>
      </c>
      <c r="S11192" t="s">
        <v>47663</v>
      </c>
      <c r="T11192" t="s">
        <v>49157</v>
      </c>
      <c r="U11192" t="s">
        <v>58775</v>
      </c>
      <c r="W11192" t="s">
        <v>64533</v>
      </c>
      <c r="X11192" t="s">
        <v>47315</v>
      </c>
    </row>
    <row r="11193" spans="1:24">
      <c r="A11193">
        <f>HYPERLINK("https://www.philgeps.gov.ph/GEPSNONPILOT/Tender/SplashBidNoticeAbstractUI.aspx?menuIndex=3&amp;refID=7183611&amp;Result=3","7183611")</f>
        <v>0</v>
      </c>
      <c r="B11193" t="s">
        <v>3254</v>
      </c>
      <c r="C11193" t="s">
        <v>14427</v>
      </c>
      <c r="D11193" t="s">
        <v>19002</v>
      </c>
      <c r="E11193" t="s">
        <v>27237</v>
      </c>
      <c r="F11193" t="s">
        <v>32606</v>
      </c>
      <c r="G11193" t="s">
        <v>32613</v>
      </c>
      <c r="H11193" t="s">
        <v>14201</v>
      </c>
      <c r="I11193" t="s">
        <v>32629</v>
      </c>
      <c r="J11193" t="s">
        <v>39725</v>
      </c>
      <c r="K11193" t="s">
        <v>42751</v>
      </c>
      <c r="M11193" t="s">
        <v>46488</v>
      </c>
      <c r="N11193" t="s">
        <v>47304</v>
      </c>
      <c r="O11193" t="s">
        <v>47305</v>
      </c>
      <c r="P11193">
        <v>0</v>
      </c>
      <c r="Q11193">
        <v>0</v>
      </c>
      <c r="R11193" t="s">
        <v>47314</v>
      </c>
      <c r="S11193" t="s">
        <v>47596</v>
      </c>
      <c r="T11193" t="s">
        <v>49099</v>
      </c>
      <c r="U11193" t="s">
        <v>58776</v>
      </c>
      <c r="W11193" t="s">
        <v>46488</v>
      </c>
      <c r="X11193" t="s">
        <v>47315</v>
      </c>
    </row>
    <row r="11194" spans="1:24">
      <c r="A11194">
        <f>HYPERLINK("https://www.philgeps.gov.ph/GEPSNONPILOT/Tender/SplashBidNoticeAbstractUI.aspx?menuIndex=3&amp;refID=7183517&amp;Result=3","7183517")</f>
        <v>0</v>
      </c>
      <c r="B11194" t="s">
        <v>3244</v>
      </c>
      <c r="C11194" t="s">
        <v>14428</v>
      </c>
      <c r="E11194" t="s">
        <v>28622</v>
      </c>
      <c r="F11194" t="s">
        <v>32606</v>
      </c>
      <c r="G11194" t="s">
        <v>32613</v>
      </c>
      <c r="H11194" t="s">
        <v>14201</v>
      </c>
      <c r="I11194" t="s">
        <v>32743</v>
      </c>
      <c r="J11194" t="s">
        <v>39726</v>
      </c>
      <c r="K11194" t="s">
        <v>42624</v>
      </c>
      <c r="M11194" t="s">
        <v>46477</v>
      </c>
      <c r="N11194" t="s">
        <v>47304</v>
      </c>
      <c r="O11194" t="s">
        <v>47305</v>
      </c>
      <c r="P11194">
        <v>0</v>
      </c>
      <c r="Q11194">
        <v>12</v>
      </c>
      <c r="R11194" t="s">
        <v>47314</v>
      </c>
      <c r="S11194" t="s">
        <v>47596</v>
      </c>
      <c r="T11194" t="s">
        <v>49454</v>
      </c>
      <c r="U11194" t="s">
        <v>58699</v>
      </c>
      <c r="W11194" t="s">
        <v>46477</v>
      </c>
      <c r="X11194" t="s">
        <v>47315</v>
      </c>
    </row>
    <row r="11195" spans="1:24">
      <c r="A11195">
        <f>HYPERLINK("https://www.philgeps.gov.ph/GEPSNONPILOT/Tender/SplashBidNoticeAbstractUI.aspx?menuIndex=3&amp;refID=7183541&amp;Result=3","7183541")</f>
        <v>0</v>
      </c>
      <c r="B11195" t="s">
        <v>3262</v>
      </c>
      <c r="C11195" t="s">
        <v>14429</v>
      </c>
      <c r="E11195" t="s">
        <v>28623</v>
      </c>
      <c r="F11195" t="s">
        <v>32606</v>
      </c>
      <c r="G11195" t="s">
        <v>32613</v>
      </c>
      <c r="H11195" t="s">
        <v>14201</v>
      </c>
      <c r="I11195" t="s">
        <v>32649</v>
      </c>
      <c r="J11195" t="s">
        <v>39727</v>
      </c>
      <c r="K11195" t="s">
        <v>42624</v>
      </c>
      <c r="M11195" t="s">
        <v>46496</v>
      </c>
      <c r="N11195" t="s">
        <v>47304</v>
      </c>
      <c r="O11195" t="s">
        <v>47305</v>
      </c>
      <c r="P11195">
        <v>0</v>
      </c>
      <c r="Q11195">
        <v>0</v>
      </c>
      <c r="R11195" t="s">
        <v>47314</v>
      </c>
      <c r="S11195" t="s">
        <v>47596</v>
      </c>
      <c r="T11195" t="s">
        <v>49140</v>
      </c>
      <c r="U11195" t="s">
        <v>58777</v>
      </c>
      <c r="W11195" t="s">
        <v>46496</v>
      </c>
      <c r="X11195" t="s">
        <v>47315</v>
      </c>
    </row>
    <row r="11196" spans="1:24">
      <c r="A11196">
        <f>HYPERLINK("https://www.philgeps.gov.ph/GEPSNONPILOT/Tender/SplashBidNoticeAbstractUI.aspx?menuIndex=3&amp;refID=7183539&amp;Result=3","7183539")</f>
        <v>0</v>
      </c>
      <c r="B11196" t="s">
        <v>3263</v>
      </c>
      <c r="C11196" t="s">
        <v>14430</v>
      </c>
      <c r="E11196" t="s">
        <v>28624</v>
      </c>
      <c r="F11196" t="s">
        <v>32606</v>
      </c>
      <c r="G11196" t="s">
        <v>32613</v>
      </c>
      <c r="H11196" t="s">
        <v>14201</v>
      </c>
      <c r="I11196" t="s">
        <v>4120</v>
      </c>
      <c r="J11196" t="s">
        <v>39728</v>
      </c>
      <c r="K11196" t="s">
        <v>42624</v>
      </c>
      <c r="M11196" t="s">
        <v>46497</v>
      </c>
      <c r="N11196" t="s">
        <v>47304</v>
      </c>
      <c r="O11196" t="s">
        <v>47305</v>
      </c>
      <c r="Q11196">
        <v>12</v>
      </c>
      <c r="R11196" t="s">
        <v>47314</v>
      </c>
      <c r="S11196" t="s">
        <v>47664</v>
      </c>
      <c r="T11196" t="s">
        <v>49389</v>
      </c>
      <c r="U11196" t="s">
        <v>58778</v>
      </c>
      <c r="W11196" t="s">
        <v>46497</v>
      </c>
      <c r="X11196" t="s">
        <v>47315</v>
      </c>
    </row>
    <row r="11197" spans="1:24">
      <c r="A11197">
        <f>HYPERLINK("https://www.philgeps.gov.ph/GEPSNONPILOT/Tender/SplashBidNoticeAbstractUI.aspx?menuIndex=3&amp;refID=7183474&amp;Result=3","7183474")</f>
        <v>0</v>
      </c>
      <c r="B11197" t="s">
        <v>3244</v>
      </c>
      <c r="C11197" t="s">
        <v>14431</v>
      </c>
      <c r="E11197" t="s">
        <v>28625</v>
      </c>
      <c r="F11197" t="s">
        <v>32606</v>
      </c>
      <c r="G11197" t="s">
        <v>32613</v>
      </c>
      <c r="H11197" t="s">
        <v>14201</v>
      </c>
      <c r="I11197" t="s">
        <v>32743</v>
      </c>
      <c r="J11197" t="s">
        <v>39729</v>
      </c>
      <c r="K11197" t="s">
        <v>42624</v>
      </c>
      <c r="M11197" t="s">
        <v>46477</v>
      </c>
      <c r="N11197" t="s">
        <v>47304</v>
      </c>
      <c r="O11197" t="s">
        <v>47305</v>
      </c>
      <c r="P11197">
        <v>0</v>
      </c>
      <c r="Q11197">
        <v>14</v>
      </c>
      <c r="R11197" t="s">
        <v>47314</v>
      </c>
      <c r="S11197" t="s">
        <v>47596</v>
      </c>
      <c r="T11197" t="s">
        <v>49454</v>
      </c>
      <c r="U11197" t="s">
        <v>58699</v>
      </c>
      <c r="W11197" t="s">
        <v>46477</v>
      </c>
      <c r="X11197" t="s">
        <v>47315</v>
      </c>
    </row>
    <row r="11198" spans="1:24">
      <c r="A11198">
        <f>HYPERLINK("https://www.philgeps.gov.ph/GEPSNONPILOT/Tender/SplashBidNoticeAbstractUI.aspx?menuIndex=3&amp;refID=7183364&amp;Result=3","7183364")</f>
        <v>0</v>
      </c>
      <c r="B11198" t="s">
        <v>3264</v>
      </c>
      <c r="C11198" t="s">
        <v>14432</v>
      </c>
      <c r="D11198" t="s">
        <v>19034</v>
      </c>
      <c r="E11198" t="s">
        <v>28626</v>
      </c>
      <c r="F11198" t="s">
        <v>32606</v>
      </c>
      <c r="G11198" t="s">
        <v>32615</v>
      </c>
      <c r="H11198" t="s">
        <v>32623</v>
      </c>
      <c r="I11198" t="s">
        <v>17648</v>
      </c>
      <c r="J11198" t="s">
        <v>39730</v>
      </c>
      <c r="K11198" t="s">
        <v>42645</v>
      </c>
      <c r="M11198" t="s">
        <v>46498</v>
      </c>
      <c r="N11198" t="s">
        <v>47304</v>
      </c>
      <c r="O11198" t="s">
        <v>47305</v>
      </c>
      <c r="P11198">
        <v>0</v>
      </c>
      <c r="Q11198">
        <v>4</v>
      </c>
      <c r="R11198" t="s">
        <v>47314</v>
      </c>
      <c r="S11198" t="s">
        <v>47596</v>
      </c>
      <c r="T11198" t="s">
        <v>49052</v>
      </c>
      <c r="U11198" t="s">
        <v>58779</v>
      </c>
      <c r="W11198" t="s">
        <v>46498</v>
      </c>
      <c r="X11198" t="s">
        <v>47315</v>
      </c>
    </row>
    <row r="11199" spans="1:24">
      <c r="A11199">
        <f>HYPERLINK("https://www.philgeps.gov.ph/GEPSNONPILOT/Tender/SplashBidNoticeAbstractUI.aspx?menuIndex=3&amp;refID=7183674&amp;Result=3","7183674")</f>
        <v>0</v>
      </c>
      <c r="B11199" t="s">
        <v>3254</v>
      </c>
      <c r="C11199" t="s">
        <v>14433</v>
      </c>
      <c r="D11199" t="s">
        <v>19002</v>
      </c>
      <c r="E11199" t="s">
        <v>23203</v>
      </c>
      <c r="F11199" t="s">
        <v>32606</v>
      </c>
      <c r="G11199" t="s">
        <v>32613</v>
      </c>
      <c r="H11199" t="s">
        <v>32623</v>
      </c>
      <c r="I11199" t="s">
        <v>17648</v>
      </c>
      <c r="J11199" t="s">
        <v>34435</v>
      </c>
      <c r="K11199" t="s">
        <v>42648</v>
      </c>
      <c r="M11199" t="s">
        <v>46488</v>
      </c>
      <c r="N11199" t="s">
        <v>47304</v>
      </c>
      <c r="O11199" t="s">
        <v>47305</v>
      </c>
      <c r="P11199">
        <v>0</v>
      </c>
      <c r="Q11199">
        <v>0</v>
      </c>
      <c r="R11199" t="s">
        <v>47314</v>
      </c>
      <c r="S11199" t="s">
        <v>47596</v>
      </c>
      <c r="T11199" t="s">
        <v>49099</v>
      </c>
      <c r="U11199" t="s">
        <v>58738</v>
      </c>
      <c r="W11199" t="s">
        <v>46488</v>
      </c>
      <c r="X11199" t="s">
        <v>47315</v>
      </c>
    </row>
    <row r="11200" spans="1:24">
      <c r="A11200">
        <f>HYPERLINK("https://www.philgeps.gov.ph/GEPSNONPILOT/Tender/SplashBidNoticeAbstractUI.aspx?menuIndex=3&amp;refID=7183520&amp;Result=3","7183520")</f>
        <v>0</v>
      </c>
      <c r="B11200" t="s">
        <v>3263</v>
      </c>
      <c r="C11200" t="s">
        <v>14434</v>
      </c>
      <c r="E11200" t="s">
        <v>28627</v>
      </c>
      <c r="F11200" t="s">
        <v>32606</v>
      </c>
      <c r="G11200" t="s">
        <v>32613</v>
      </c>
      <c r="H11200" t="s">
        <v>14201</v>
      </c>
      <c r="I11200" t="s">
        <v>32709</v>
      </c>
      <c r="J11200" t="s">
        <v>39731</v>
      </c>
      <c r="K11200" t="s">
        <v>42624</v>
      </c>
      <c r="M11200" t="s">
        <v>46497</v>
      </c>
      <c r="N11200" t="s">
        <v>47304</v>
      </c>
      <c r="O11200" t="s">
        <v>47305</v>
      </c>
      <c r="P11200">
        <v>0</v>
      </c>
      <c r="Q11200">
        <v>6</v>
      </c>
      <c r="R11200" t="s">
        <v>47314</v>
      </c>
      <c r="S11200" t="s">
        <v>47596</v>
      </c>
      <c r="T11200" t="s">
        <v>49140</v>
      </c>
      <c r="U11200" t="s">
        <v>58778</v>
      </c>
      <c r="W11200" t="s">
        <v>46497</v>
      </c>
      <c r="X11200" t="s">
        <v>47315</v>
      </c>
    </row>
    <row r="11201" spans="1:24">
      <c r="A11201">
        <f>HYPERLINK("https://www.philgeps.gov.ph/GEPSNONPILOT/Tender/SplashBidNoticeAbstractUI.aspx?menuIndex=3&amp;refID=7183366&amp;Result=3","7183366")</f>
        <v>0</v>
      </c>
      <c r="B11201" t="s">
        <v>3229</v>
      </c>
      <c r="C11201" t="s">
        <v>14435</v>
      </c>
      <c r="D11201" t="s">
        <v>19018</v>
      </c>
      <c r="E11201" t="s">
        <v>28628</v>
      </c>
      <c r="F11201" t="s">
        <v>32606</v>
      </c>
      <c r="G11201" t="s">
        <v>32613</v>
      </c>
      <c r="H11201" t="s">
        <v>14201</v>
      </c>
      <c r="I11201" t="s">
        <v>4120</v>
      </c>
      <c r="J11201" t="s">
        <v>39732</v>
      </c>
      <c r="K11201" t="s">
        <v>42631</v>
      </c>
      <c r="M11201" t="s">
        <v>46459</v>
      </c>
      <c r="N11201" t="s">
        <v>47304</v>
      </c>
      <c r="O11201" t="s">
        <v>47305</v>
      </c>
      <c r="P11201">
        <v>0</v>
      </c>
      <c r="Q11201">
        <v>1</v>
      </c>
      <c r="R11201" t="s">
        <v>47314</v>
      </c>
      <c r="S11201" t="s">
        <v>47596</v>
      </c>
      <c r="T11201" t="s">
        <v>49052</v>
      </c>
      <c r="U11201" t="s">
        <v>58606</v>
      </c>
      <c r="W11201" t="s">
        <v>46459</v>
      </c>
      <c r="X11201" t="s">
        <v>47315</v>
      </c>
    </row>
    <row r="11202" spans="1:24">
      <c r="A11202">
        <f>HYPERLINK("https://www.philgeps.gov.ph/GEPSNONPILOT/Tender/SplashBidNoticeAbstractUI.aspx?menuIndex=3&amp;refID=7183479&amp;Result=3","7183479")</f>
        <v>0</v>
      </c>
      <c r="B11202" t="s">
        <v>3243</v>
      </c>
      <c r="C11202" t="s">
        <v>14436</v>
      </c>
      <c r="D11202" t="s">
        <v>19069</v>
      </c>
      <c r="E11202" t="s">
        <v>28629</v>
      </c>
      <c r="F11202" t="s">
        <v>32606</v>
      </c>
      <c r="G11202" t="s">
        <v>32613</v>
      </c>
      <c r="H11202" t="s">
        <v>32623</v>
      </c>
      <c r="I11202" t="s">
        <v>17648</v>
      </c>
      <c r="J11202" t="s">
        <v>39733</v>
      </c>
      <c r="K11202" t="s">
        <v>42825</v>
      </c>
      <c r="M11202" t="s">
        <v>46476</v>
      </c>
      <c r="N11202" t="s">
        <v>47304</v>
      </c>
      <c r="O11202" t="s">
        <v>47305</v>
      </c>
      <c r="P11202">
        <v>0</v>
      </c>
      <c r="Q11202">
        <v>4</v>
      </c>
      <c r="R11202" t="s">
        <v>47314</v>
      </c>
      <c r="S11202" t="s">
        <v>47596</v>
      </c>
      <c r="T11202" t="s">
        <v>49140</v>
      </c>
      <c r="U11202" t="s">
        <v>58780</v>
      </c>
      <c r="W11202" t="s">
        <v>46476</v>
      </c>
      <c r="X11202" t="s">
        <v>47315</v>
      </c>
    </row>
    <row r="11203" spans="1:24">
      <c r="A11203">
        <f>HYPERLINK("https://www.philgeps.gov.ph/GEPSNONPILOT/Tender/SplashBidNoticeAbstractUI.aspx?menuIndex=3&amp;refID=7183475&amp;Result=3","7183475")</f>
        <v>0</v>
      </c>
      <c r="B11203" t="s">
        <v>57</v>
      </c>
      <c r="C11203" t="s">
        <v>14437</v>
      </c>
      <c r="D11203" t="s">
        <v>19010</v>
      </c>
      <c r="E11203" t="s">
        <v>28630</v>
      </c>
      <c r="F11203" t="s">
        <v>32606</v>
      </c>
      <c r="G11203" t="s">
        <v>32613</v>
      </c>
      <c r="H11203" t="s">
        <v>14201</v>
      </c>
      <c r="I11203" t="s">
        <v>32686</v>
      </c>
      <c r="J11203" t="s">
        <v>33231</v>
      </c>
      <c r="K11203" t="s">
        <v>42624</v>
      </c>
      <c r="M11203" t="s">
        <v>42954</v>
      </c>
      <c r="N11203" t="s">
        <v>47304</v>
      </c>
      <c r="O11203" t="s">
        <v>47305</v>
      </c>
      <c r="P11203">
        <v>0</v>
      </c>
      <c r="Q11203">
        <v>7</v>
      </c>
      <c r="R11203" t="s">
        <v>47314</v>
      </c>
      <c r="S11203" t="s">
        <v>47596</v>
      </c>
      <c r="T11203" t="s">
        <v>49148</v>
      </c>
      <c r="U11203" t="s">
        <v>49594</v>
      </c>
      <c r="W11203" t="s">
        <v>42954</v>
      </c>
      <c r="X11203" t="s">
        <v>47315</v>
      </c>
    </row>
    <row r="11204" spans="1:24">
      <c r="A11204">
        <f>HYPERLINK("https://www.philgeps.gov.ph/GEPSNONPILOT/Tender/SplashBidNoticeAbstractUI.aspx?menuIndex=3&amp;refID=7183355&amp;Result=3","7183355")</f>
        <v>0</v>
      </c>
      <c r="B11204" t="s">
        <v>3229</v>
      </c>
      <c r="C11204" t="s">
        <v>14438</v>
      </c>
      <c r="D11204" t="s">
        <v>19018</v>
      </c>
      <c r="E11204" t="s">
        <v>28631</v>
      </c>
      <c r="F11204" t="s">
        <v>32606</v>
      </c>
      <c r="G11204" t="s">
        <v>32613</v>
      </c>
      <c r="H11204" t="s">
        <v>14201</v>
      </c>
      <c r="I11204" t="s">
        <v>4120</v>
      </c>
      <c r="J11204" t="s">
        <v>39734</v>
      </c>
      <c r="K11204" t="s">
        <v>42631</v>
      </c>
      <c r="M11204" t="s">
        <v>46459</v>
      </c>
      <c r="N11204" t="s">
        <v>47304</v>
      </c>
      <c r="O11204" t="s">
        <v>47305</v>
      </c>
      <c r="P11204">
        <v>0</v>
      </c>
      <c r="Q11204">
        <v>2</v>
      </c>
      <c r="R11204" t="s">
        <v>47314</v>
      </c>
      <c r="S11204" t="s">
        <v>47596</v>
      </c>
      <c r="T11204" t="s">
        <v>49052</v>
      </c>
      <c r="U11204" t="s">
        <v>58606</v>
      </c>
      <c r="W11204" t="s">
        <v>46459</v>
      </c>
      <c r="X11204" t="s">
        <v>47315</v>
      </c>
    </row>
    <row r="11205" spans="1:24">
      <c r="A11205">
        <f>HYPERLINK("https://www.philgeps.gov.ph/GEPSNONPILOT/Tender/SplashBidNoticeAbstractUI.aspx?menuIndex=3&amp;refID=7183356&amp;Result=3","7183356")</f>
        <v>0</v>
      </c>
      <c r="B11205" t="s">
        <v>3243</v>
      </c>
      <c r="C11205" t="s">
        <v>14439</v>
      </c>
      <c r="D11205" t="s">
        <v>19010</v>
      </c>
      <c r="E11205" t="s">
        <v>28632</v>
      </c>
      <c r="F11205" t="s">
        <v>32606</v>
      </c>
      <c r="G11205" t="s">
        <v>32613</v>
      </c>
      <c r="H11205" t="s">
        <v>32623</v>
      </c>
      <c r="I11205" t="s">
        <v>17648</v>
      </c>
      <c r="J11205" t="s">
        <v>39735</v>
      </c>
      <c r="K11205" t="s">
        <v>42624</v>
      </c>
      <c r="M11205" t="s">
        <v>46476</v>
      </c>
      <c r="N11205" t="s">
        <v>47304</v>
      </c>
      <c r="O11205" t="s">
        <v>47305</v>
      </c>
      <c r="P11205">
        <v>0</v>
      </c>
      <c r="Q11205">
        <v>4</v>
      </c>
      <c r="R11205" t="s">
        <v>47314</v>
      </c>
      <c r="S11205" t="s">
        <v>47596</v>
      </c>
      <c r="T11205" t="s">
        <v>49140</v>
      </c>
      <c r="U11205" t="s">
        <v>58781</v>
      </c>
      <c r="W11205" t="s">
        <v>46476</v>
      </c>
      <c r="X11205" t="s">
        <v>47315</v>
      </c>
    </row>
    <row r="11206" spans="1:24">
      <c r="A11206">
        <f>HYPERLINK("https://www.philgeps.gov.ph/GEPSNONPILOT/Tender/SplashBidNoticeAbstractUI.aspx?menuIndex=3&amp;refID=7183230&amp;Result=3","7183230")</f>
        <v>0</v>
      </c>
      <c r="B11206" t="s">
        <v>1684</v>
      </c>
      <c r="C11206" t="s">
        <v>14440</v>
      </c>
      <c r="D11206" t="s">
        <v>19032</v>
      </c>
      <c r="E11206" t="s">
        <v>28633</v>
      </c>
      <c r="F11206" t="s">
        <v>32606</v>
      </c>
      <c r="G11206" t="s">
        <v>32613</v>
      </c>
      <c r="H11206" t="s">
        <v>32623</v>
      </c>
      <c r="I11206" t="s">
        <v>17648</v>
      </c>
      <c r="J11206" t="s">
        <v>39736</v>
      </c>
      <c r="K11206" t="s">
        <v>42792</v>
      </c>
      <c r="M11206" t="s">
        <v>44713</v>
      </c>
      <c r="N11206" t="s">
        <v>47304</v>
      </c>
      <c r="O11206" t="s">
        <v>47305</v>
      </c>
      <c r="P11206">
        <v>0</v>
      </c>
      <c r="Q11206">
        <v>0</v>
      </c>
      <c r="R11206" t="s">
        <v>47314</v>
      </c>
      <c r="S11206" t="s">
        <v>47596</v>
      </c>
      <c r="T11206" t="s">
        <v>49240</v>
      </c>
      <c r="U11206" t="s">
        <v>58782</v>
      </c>
      <c r="W11206" t="s">
        <v>44713</v>
      </c>
      <c r="X11206" t="s">
        <v>47315</v>
      </c>
    </row>
    <row r="11207" spans="1:24">
      <c r="A11207">
        <f>HYPERLINK("https://www.philgeps.gov.ph/GEPSNONPILOT/Tender/SplashBidNoticeAbstractUI.aspx?menuIndex=3&amp;refID=7183320&amp;Result=3","7183320")</f>
        <v>0</v>
      </c>
      <c r="B11207" t="s">
        <v>3229</v>
      </c>
      <c r="C11207" t="s">
        <v>14441</v>
      </c>
      <c r="D11207" t="s">
        <v>19018</v>
      </c>
      <c r="E11207" t="s">
        <v>28634</v>
      </c>
      <c r="F11207" t="s">
        <v>32606</v>
      </c>
      <c r="G11207" t="s">
        <v>32613</v>
      </c>
      <c r="H11207" t="s">
        <v>14201</v>
      </c>
      <c r="I11207" t="s">
        <v>4120</v>
      </c>
      <c r="J11207" t="s">
        <v>39737</v>
      </c>
      <c r="K11207" t="s">
        <v>42631</v>
      </c>
      <c r="M11207" t="s">
        <v>46459</v>
      </c>
      <c r="N11207" t="s">
        <v>47304</v>
      </c>
      <c r="O11207" t="s">
        <v>47305</v>
      </c>
      <c r="P11207">
        <v>0</v>
      </c>
      <c r="Q11207">
        <v>1</v>
      </c>
      <c r="R11207" t="s">
        <v>47314</v>
      </c>
      <c r="S11207" t="s">
        <v>47596</v>
      </c>
      <c r="T11207" t="s">
        <v>49052</v>
      </c>
      <c r="U11207" t="s">
        <v>58606</v>
      </c>
      <c r="W11207" t="s">
        <v>46459</v>
      </c>
      <c r="X11207" t="s">
        <v>47315</v>
      </c>
    </row>
    <row r="11208" spans="1:24">
      <c r="A11208">
        <f>HYPERLINK("https://www.philgeps.gov.ph/GEPSNONPILOT/Tender/SplashBidNoticeAbstractUI.aspx?menuIndex=3&amp;refID=7183362&amp;Result=3","7183362")</f>
        <v>0</v>
      </c>
      <c r="B11208" t="s">
        <v>3235</v>
      </c>
      <c r="C11208" t="s">
        <v>14442</v>
      </c>
      <c r="D11208" t="s">
        <v>19049</v>
      </c>
      <c r="E11208" t="s">
        <v>28635</v>
      </c>
      <c r="F11208" t="s">
        <v>32606</v>
      </c>
      <c r="G11208" t="s">
        <v>32613</v>
      </c>
      <c r="H11208" t="s">
        <v>32623</v>
      </c>
      <c r="I11208" t="s">
        <v>17648</v>
      </c>
      <c r="J11208" t="s">
        <v>39738</v>
      </c>
      <c r="K11208" t="s">
        <v>42856</v>
      </c>
      <c r="M11208" t="s">
        <v>46466</v>
      </c>
      <c r="N11208" t="s">
        <v>47304</v>
      </c>
      <c r="O11208" t="s">
        <v>47305</v>
      </c>
      <c r="P11208">
        <v>0</v>
      </c>
      <c r="Q11208">
        <v>2</v>
      </c>
      <c r="R11208" t="s">
        <v>47314</v>
      </c>
      <c r="S11208" t="s">
        <v>47596</v>
      </c>
      <c r="T11208" t="s">
        <v>49075</v>
      </c>
      <c r="U11208" t="s">
        <v>58783</v>
      </c>
      <c r="V11208" t="s">
        <v>63846</v>
      </c>
      <c r="W11208" t="s">
        <v>64530</v>
      </c>
      <c r="X11208" t="s">
        <v>47315</v>
      </c>
    </row>
    <row r="11209" spans="1:24">
      <c r="A11209">
        <f>HYPERLINK("https://www.philgeps.gov.ph/GEPSNONPILOT/Tender/SplashBidNoticeAbstractUI.aspx?menuIndex=3&amp;refID=7183476&amp;Result=3","7183476")</f>
        <v>0</v>
      </c>
      <c r="B11209" t="s">
        <v>3248</v>
      </c>
      <c r="C11209" t="s">
        <v>14443</v>
      </c>
      <c r="D11209" t="s">
        <v>18999</v>
      </c>
      <c r="E11209" t="s">
        <v>28636</v>
      </c>
      <c r="F11209" t="s">
        <v>32606</v>
      </c>
      <c r="G11209" t="s">
        <v>32613</v>
      </c>
      <c r="H11209" t="s">
        <v>14201</v>
      </c>
      <c r="I11209" t="s">
        <v>7529</v>
      </c>
      <c r="J11209" t="s">
        <v>33060</v>
      </c>
      <c r="K11209" t="s">
        <v>42623</v>
      </c>
      <c r="M11209" t="s">
        <v>46481</v>
      </c>
      <c r="N11209" t="s">
        <v>47304</v>
      </c>
      <c r="O11209" t="s">
        <v>47305</v>
      </c>
      <c r="P11209">
        <v>0</v>
      </c>
      <c r="Q11209">
        <v>7</v>
      </c>
      <c r="R11209" t="s">
        <v>47314</v>
      </c>
      <c r="S11209" t="s">
        <v>47596</v>
      </c>
      <c r="T11209" t="s">
        <v>48998</v>
      </c>
      <c r="U11209" t="s">
        <v>58784</v>
      </c>
      <c r="W11209" t="s">
        <v>46481</v>
      </c>
      <c r="X11209" t="s">
        <v>47315</v>
      </c>
    </row>
    <row r="11210" spans="1:24">
      <c r="A11210">
        <f>HYPERLINK("https://www.philgeps.gov.ph/GEPSNONPILOT/Tender/SplashBidNoticeAbstractUI.aspx?menuIndex=3&amp;refID=7183361&amp;Result=3","7183361")</f>
        <v>0</v>
      </c>
      <c r="B11210" t="s">
        <v>3229</v>
      </c>
      <c r="C11210" t="s">
        <v>14444</v>
      </c>
      <c r="D11210" t="s">
        <v>19018</v>
      </c>
      <c r="E11210" t="s">
        <v>28637</v>
      </c>
      <c r="F11210" t="s">
        <v>32606</v>
      </c>
      <c r="G11210" t="s">
        <v>32613</v>
      </c>
      <c r="H11210" t="s">
        <v>14201</v>
      </c>
      <c r="I11210" t="s">
        <v>4120</v>
      </c>
      <c r="J11210" t="s">
        <v>39739</v>
      </c>
      <c r="K11210" t="s">
        <v>42631</v>
      </c>
      <c r="M11210" t="s">
        <v>46459</v>
      </c>
      <c r="N11210" t="s">
        <v>47304</v>
      </c>
      <c r="O11210" t="s">
        <v>47305</v>
      </c>
      <c r="P11210">
        <v>0</v>
      </c>
      <c r="Q11210">
        <v>1</v>
      </c>
      <c r="R11210" t="s">
        <v>47314</v>
      </c>
      <c r="S11210" t="s">
        <v>47596</v>
      </c>
      <c r="T11210" t="s">
        <v>49052</v>
      </c>
      <c r="U11210" t="s">
        <v>58606</v>
      </c>
      <c r="W11210" t="s">
        <v>46459</v>
      </c>
      <c r="X11210" t="s">
        <v>47315</v>
      </c>
    </row>
    <row r="11211" spans="1:24">
      <c r="A11211">
        <f>HYPERLINK("https://www.philgeps.gov.ph/GEPSNONPILOT/Tender/SplashBidNoticeAbstractUI.aspx?menuIndex=3&amp;refID=7172502&amp;Result=3","7172502")</f>
        <v>0</v>
      </c>
      <c r="B11211" t="s">
        <v>2115</v>
      </c>
      <c r="C11211" t="s">
        <v>14445</v>
      </c>
      <c r="D11211" t="s">
        <v>19008</v>
      </c>
      <c r="E11211" t="s">
        <v>28638</v>
      </c>
      <c r="F11211" t="s">
        <v>32606</v>
      </c>
      <c r="G11211" t="s">
        <v>32613</v>
      </c>
      <c r="H11211" t="s">
        <v>14201</v>
      </c>
      <c r="I11211" t="s">
        <v>4678</v>
      </c>
      <c r="J11211" t="s">
        <v>39740</v>
      </c>
      <c r="K11211" t="s">
        <v>42638</v>
      </c>
      <c r="M11211" t="s">
        <v>45789</v>
      </c>
      <c r="N11211" t="s">
        <v>47304</v>
      </c>
      <c r="O11211" t="s">
        <v>47305</v>
      </c>
      <c r="P11211">
        <v>0</v>
      </c>
      <c r="Q11211">
        <v>5</v>
      </c>
      <c r="R11211" t="s">
        <v>47315</v>
      </c>
      <c r="S11211" t="s">
        <v>47665</v>
      </c>
      <c r="T11211" t="s">
        <v>49052</v>
      </c>
      <c r="U11211" t="s">
        <v>58785</v>
      </c>
      <c r="V11211" t="s">
        <v>63847</v>
      </c>
      <c r="W11211" t="s">
        <v>45789</v>
      </c>
      <c r="X11211" t="s">
        <v>47320</v>
      </c>
    </row>
    <row r="11212" spans="1:24">
      <c r="A11212">
        <f>HYPERLINK("https://www.philgeps.gov.ph/GEPSNONPILOT/Tender/SplashBidNoticeAbstractUI.aspx?menuIndex=3&amp;refID=7174310&amp;Result=3","7174310")</f>
        <v>0</v>
      </c>
      <c r="B11212" t="s">
        <v>3265</v>
      </c>
      <c r="C11212" t="s">
        <v>14446</v>
      </c>
      <c r="D11212" t="s">
        <v>19056</v>
      </c>
      <c r="E11212" t="s">
        <v>28639</v>
      </c>
      <c r="F11212" t="s">
        <v>32606</v>
      </c>
      <c r="G11212" t="s">
        <v>32613</v>
      </c>
      <c r="H11212" t="s">
        <v>32623</v>
      </c>
      <c r="I11212" t="s">
        <v>17648</v>
      </c>
      <c r="J11212" t="s">
        <v>39741</v>
      </c>
      <c r="K11212" t="s">
        <v>42646</v>
      </c>
      <c r="M11212" t="s">
        <v>46499</v>
      </c>
      <c r="N11212" t="s">
        <v>47304</v>
      </c>
      <c r="O11212" t="s">
        <v>47305</v>
      </c>
      <c r="P11212">
        <v>0</v>
      </c>
      <c r="Q11212">
        <v>0</v>
      </c>
      <c r="R11212" t="s">
        <v>47315</v>
      </c>
      <c r="S11212" t="s">
        <v>47665</v>
      </c>
      <c r="T11212" t="s">
        <v>49066</v>
      </c>
      <c r="U11212" t="s">
        <v>58786</v>
      </c>
      <c r="W11212" t="s">
        <v>46499</v>
      </c>
      <c r="X11212" t="s">
        <v>47319</v>
      </c>
    </row>
    <row r="11213" spans="1:24">
      <c r="A11213">
        <f>HYPERLINK("https://www.philgeps.gov.ph/GEPSNONPILOT/Tender/SplashBidNoticeAbstractUI.aspx?menuIndex=3&amp;refID=7183319&amp;Result=3","7183319")</f>
        <v>0</v>
      </c>
      <c r="B11213" t="s">
        <v>3239</v>
      </c>
      <c r="C11213" t="s">
        <v>14321</v>
      </c>
      <c r="D11213" t="s">
        <v>19056</v>
      </c>
      <c r="E11213" t="s">
        <v>28640</v>
      </c>
      <c r="F11213" t="s">
        <v>32606</v>
      </c>
      <c r="G11213" t="s">
        <v>32613</v>
      </c>
      <c r="H11213" t="s">
        <v>32623</v>
      </c>
      <c r="I11213" t="s">
        <v>17648</v>
      </c>
      <c r="J11213" t="s">
        <v>39742</v>
      </c>
      <c r="K11213" t="s">
        <v>42632</v>
      </c>
      <c r="M11213" t="s">
        <v>46472</v>
      </c>
      <c r="N11213" t="s">
        <v>47304</v>
      </c>
      <c r="O11213" t="s">
        <v>47305</v>
      </c>
      <c r="P11213">
        <v>0</v>
      </c>
      <c r="Q11213">
        <v>0</v>
      </c>
      <c r="R11213" t="s">
        <v>47314</v>
      </c>
      <c r="S11213" t="s">
        <v>47596</v>
      </c>
      <c r="T11213" t="s">
        <v>49047</v>
      </c>
      <c r="U11213" t="s">
        <v>58687</v>
      </c>
      <c r="W11213" t="s">
        <v>46472</v>
      </c>
      <c r="X11213" t="s">
        <v>47315</v>
      </c>
    </row>
    <row r="11214" spans="1:24">
      <c r="A11214">
        <f>HYPERLINK("https://www.philgeps.gov.ph/GEPSNONPILOT/Tender/SplashBidNoticeAbstractUI.aspx?menuIndex=3&amp;refID=7174251&amp;Result=3","7174251")</f>
        <v>0</v>
      </c>
      <c r="B11214" t="s">
        <v>899</v>
      </c>
      <c r="C11214" t="s">
        <v>14447</v>
      </c>
      <c r="E11214" t="s">
        <v>28641</v>
      </c>
      <c r="F11214" t="s">
        <v>32606</v>
      </c>
      <c r="G11214" t="s">
        <v>32613</v>
      </c>
      <c r="H11214" t="s">
        <v>14201</v>
      </c>
      <c r="I11214" t="s">
        <v>7677</v>
      </c>
      <c r="J11214" t="s">
        <v>39743</v>
      </c>
      <c r="K11214" t="s">
        <v>42624</v>
      </c>
      <c r="M11214" t="s">
        <v>44351</v>
      </c>
      <c r="N11214" t="s">
        <v>47304</v>
      </c>
      <c r="O11214" t="s">
        <v>47305</v>
      </c>
      <c r="P11214">
        <v>0</v>
      </c>
      <c r="Q11214">
        <v>16</v>
      </c>
      <c r="R11214" t="s">
        <v>47315</v>
      </c>
      <c r="S11214" t="s">
        <v>47665</v>
      </c>
      <c r="T11214" t="s">
        <v>49057</v>
      </c>
      <c r="U11214" t="s">
        <v>58787</v>
      </c>
      <c r="W11214" t="s">
        <v>44351</v>
      </c>
      <c r="X11214" t="s">
        <v>47319</v>
      </c>
    </row>
    <row r="11215" spans="1:24">
      <c r="A11215">
        <f>HYPERLINK("https://www.philgeps.gov.ph/GEPSNONPILOT/Tender/SplashBidNoticeAbstractUI.aspx?menuIndex=3&amp;refID=7174062&amp;Result=3","7174062")</f>
        <v>0</v>
      </c>
      <c r="B11215" t="s">
        <v>3266</v>
      </c>
      <c r="C11215" t="s">
        <v>14448</v>
      </c>
      <c r="D11215" t="s">
        <v>19014</v>
      </c>
      <c r="E11215" t="s">
        <v>19690</v>
      </c>
      <c r="F11215" t="s">
        <v>32606</v>
      </c>
      <c r="G11215" t="s">
        <v>32613</v>
      </c>
      <c r="H11215" t="s">
        <v>14201</v>
      </c>
      <c r="I11215" t="s">
        <v>6931</v>
      </c>
      <c r="J11215" t="s">
        <v>39744</v>
      </c>
      <c r="K11215" t="s">
        <v>42622</v>
      </c>
      <c r="M11215" t="s">
        <v>46500</v>
      </c>
      <c r="N11215" t="s">
        <v>47304</v>
      </c>
      <c r="O11215" t="s">
        <v>47305</v>
      </c>
      <c r="P11215">
        <v>0</v>
      </c>
      <c r="Q11215">
        <v>2</v>
      </c>
      <c r="R11215" t="s">
        <v>47315</v>
      </c>
      <c r="S11215" t="s">
        <v>47665</v>
      </c>
      <c r="T11215" t="s">
        <v>49221</v>
      </c>
      <c r="U11215" t="s">
        <v>58788</v>
      </c>
      <c r="V11215" t="s">
        <v>63848</v>
      </c>
      <c r="W11215" t="s">
        <v>46500</v>
      </c>
      <c r="X11215" t="s">
        <v>47320</v>
      </c>
    </row>
    <row r="11216" spans="1:24">
      <c r="A11216">
        <f>HYPERLINK("https://www.philgeps.gov.ph/GEPSNONPILOT/Tender/SplashBidNoticeAbstractUI.aspx?menuIndex=3&amp;refID=7173602&amp;Result=3","7173602")</f>
        <v>0</v>
      </c>
      <c r="B11216" t="s">
        <v>3267</v>
      </c>
      <c r="C11216" t="s">
        <v>14449</v>
      </c>
      <c r="D11216" t="s">
        <v>19026</v>
      </c>
      <c r="E11216" t="s">
        <v>28642</v>
      </c>
      <c r="F11216" t="s">
        <v>32606</v>
      </c>
      <c r="G11216" t="s">
        <v>32613</v>
      </c>
      <c r="H11216" t="s">
        <v>32623</v>
      </c>
      <c r="I11216" t="s">
        <v>17648</v>
      </c>
      <c r="J11216" t="s">
        <v>32772</v>
      </c>
      <c r="K11216" t="s">
        <v>42648</v>
      </c>
      <c r="M11216" t="s">
        <v>46501</v>
      </c>
      <c r="N11216" t="s">
        <v>47304</v>
      </c>
      <c r="O11216" t="s">
        <v>47305</v>
      </c>
      <c r="P11216">
        <v>0</v>
      </c>
      <c r="Q11216">
        <v>0</v>
      </c>
      <c r="R11216" t="s">
        <v>47315</v>
      </c>
      <c r="S11216" t="s">
        <v>47665</v>
      </c>
      <c r="T11216" t="s">
        <v>49094</v>
      </c>
      <c r="U11216" t="s">
        <v>58789</v>
      </c>
      <c r="V11216" t="s">
        <v>63055</v>
      </c>
      <c r="W11216" t="s">
        <v>46501</v>
      </c>
      <c r="X11216" t="s">
        <v>47320</v>
      </c>
    </row>
    <row r="11217" spans="1:24">
      <c r="A11217">
        <f>HYPERLINK("https://www.philgeps.gov.ph/GEPSNONPILOT/Tender/SplashBidNoticeAbstractUI.aspx?menuIndex=3&amp;refID=7173526&amp;Result=3","7173526")</f>
        <v>0</v>
      </c>
      <c r="B11217" t="s">
        <v>832</v>
      </c>
      <c r="C11217" t="s">
        <v>14450</v>
      </c>
      <c r="D11217" t="s">
        <v>19009</v>
      </c>
      <c r="E11217" t="s">
        <v>28643</v>
      </c>
      <c r="F11217" t="s">
        <v>32606</v>
      </c>
      <c r="G11217" t="s">
        <v>32613</v>
      </c>
      <c r="H11217" t="s">
        <v>32623</v>
      </c>
      <c r="I11217" t="s">
        <v>17648</v>
      </c>
      <c r="J11217" t="s">
        <v>39745</v>
      </c>
      <c r="K11217" t="s">
        <v>42645</v>
      </c>
      <c r="M11217" t="s">
        <v>43763</v>
      </c>
      <c r="N11217" t="s">
        <v>47304</v>
      </c>
      <c r="O11217" t="s">
        <v>47305</v>
      </c>
      <c r="P11217">
        <v>0</v>
      </c>
      <c r="Q11217">
        <v>0</v>
      </c>
      <c r="R11217" t="s">
        <v>47315</v>
      </c>
      <c r="S11217" t="s">
        <v>47665</v>
      </c>
      <c r="T11217" t="s">
        <v>49140</v>
      </c>
      <c r="U11217" t="s">
        <v>58790</v>
      </c>
      <c r="W11217" t="s">
        <v>43763</v>
      </c>
      <c r="X11217" t="s">
        <v>47320</v>
      </c>
    </row>
    <row r="11218" spans="1:24">
      <c r="A11218">
        <f>HYPERLINK("https://www.philgeps.gov.ph/GEPSNONPILOT/Tender/SplashBidNoticeAbstractUI.aspx?menuIndex=3&amp;refID=7173318&amp;Result=3","7173318")</f>
        <v>0</v>
      </c>
      <c r="B11218" t="s">
        <v>598</v>
      </c>
      <c r="C11218" t="s">
        <v>14451</v>
      </c>
      <c r="D11218" t="s">
        <v>18992</v>
      </c>
      <c r="E11218" t="s">
        <v>28644</v>
      </c>
      <c r="F11218" t="s">
        <v>32606</v>
      </c>
      <c r="G11218" t="s">
        <v>32613</v>
      </c>
      <c r="H11218" t="s">
        <v>32623</v>
      </c>
      <c r="I11218" t="s">
        <v>32675</v>
      </c>
      <c r="J11218" t="s">
        <v>39746</v>
      </c>
      <c r="K11218" t="s">
        <v>42767</v>
      </c>
      <c r="M11218" t="s">
        <v>43513</v>
      </c>
      <c r="N11218" t="s">
        <v>47304</v>
      </c>
      <c r="O11218" t="s">
        <v>47305</v>
      </c>
      <c r="P11218">
        <v>0</v>
      </c>
      <c r="Q11218">
        <v>0</v>
      </c>
      <c r="R11218" t="s">
        <v>47315</v>
      </c>
      <c r="S11218" t="s">
        <v>47665</v>
      </c>
      <c r="T11218" t="s">
        <v>49040</v>
      </c>
      <c r="U11218" t="s">
        <v>58791</v>
      </c>
      <c r="W11218" t="s">
        <v>43513</v>
      </c>
      <c r="X11218" t="s">
        <v>47320</v>
      </c>
    </row>
    <row r="11219" spans="1:24">
      <c r="A11219">
        <f>HYPERLINK("https://www.philgeps.gov.ph/GEPSNONPILOT/Tender/SplashBidNoticeAbstractUI.aspx?menuIndex=3&amp;refID=7173241&amp;Result=3","7173241")</f>
        <v>0</v>
      </c>
      <c r="B11219" t="s">
        <v>3268</v>
      </c>
      <c r="C11219" t="s">
        <v>14452</v>
      </c>
      <c r="D11219" t="s">
        <v>19011</v>
      </c>
      <c r="E11219" t="s">
        <v>21066</v>
      </c>
      <c r="F11219" t="s">
        <v>32606</v>
      </c>
      <c r="G11219" t="s">
        <v>32613</v>
      </c>
      <c r="H11219" t="s">
        <v>32623</v>
      </c>
      <c r="I11219" t="s">
        <v>17648</v>
      </c>
      <c r="J11219" t="s">
        <v>39747</v>
      </c>
      <c r="K11219" t="s">
        <v>42697</v>
      </c>
      <c r="M11219" t="s">
        <v>46502</v>
      </c>
      <c r="N11219" t="s">
        <v>47304</v>
      </c>
      <c r="O11219" t="s">
        <v>47305</v>
      </c>
      <c r="P11219">
        <v>0</v>
      </c>
      <c r="Q11219">
        <v>0</v>
      </c>
      <c r="R11219" t="s">
        <v>47315</v>
      </c>
      <c r="S11219" t="s">
        <v>47665</v>
      </c>
      <c r="T11219" t="s">
        <v>49140</v>
      </c>
      <c r="U11219" t="s">
        <v>58792</v>
      </c>
      <c r="V11219" t="s">
        <v>63849</v>
      </c>
      <c r="W11219" t="s">
        <v>46502</v>
      </c>
      <c r="X11219" t="s">
        <v>47320</v>
      </c>
    </row>
    <row r="11220" spans="1:24">
      <c r="A11220">
        <f>HYPERLINK("https://www.philgeps.gov.ph/GEPSNONPILOT/Tender/SplashBidNoticeAbstractUI.aspx?menuIndex=3&amp;refID=7170906&amp;Result=3","7170906")</f>
        <v>0</v>
      </c>
      <c r="B11220" t="s">
        <v>1539</v>
      </c>
      <c r="C11220" t="s">
        <v>14453</v>
      </c>
      <c r="D11220" t="s">
        <v>19016</v>
      </c>
      <c r="E11220" t="s">
        <v>28645</v>
      </c>
      <c r="F11220" t="s">
        <v>32606</v>
      </c>
      <c r="G11220" t="s">
        <v>32613</v>
      </c>
      <c r="H11220" t="s">
        <v>32623</v>
      </c>
      <c r="I11220" t="s">
        <v>17648</v>
      </c>
      <c r="J11220" t="s">
        <v>39748</v>
      </c>
      <c r="K11220" t="s">
        <v>42731</v>
      </c>
      <c r="M11220" t="s">
        <v>44543</v>
      </c>
      <c r="N11220" t="s">
        <v>47304</v>
      </c>
      <c r="O11220" t="s">
        <v>47305</v>
      </c>
      <c r="P11220">
        <v>0</v>
      </c>
      <c r="Q11220">
        <v>21</v>
      </c>
      <c r="R11220" t="s">
        <v>47315</v>
      </c>
      <c r="S11220" t="s">
        <v>47665</v>
      </c>
      <c r="T11220" t="s">
        <v>49119</v>
      </c>
      <c r="U11220" t="s">
        <v>58793</v>
      </c>
      <c r="W11220" t="s">
        <v>44543</v>
      </c>
      <c r="X11220" t="s">
        <v>47320</v>
      </c>
    </row>
    <row r="11221" spans="1:24">
      <c r="A11221">
        <f>HYPERLINK("https://www.philgeps.gov.ph/GEPSNONPILOT/Tender/SplashBidNoticeAbstractUI.aspx?menuIndex=3&amp;refID=7183233&amp;Result=3","7183233")</f>
        <v>0</v>
      </c>
      <c r="B11221" t="s">
        <v>3219</v>
      </c>
      <c r="C11221" t="s">
        <v>14454</v>
      </c>
      <c r="D11221" t="s">
        <v>19007</v>
      </c>
      <c r="E11221" t="s">
        <v>28646</v>
      </c>
      <c r="F11221" t="s">
        <v>32606</v>
      </c>
      <c r="G11221" t="s">
        <v>32613</v>
      </c>
      <c r="H11221" t="s">
        <v>32623</v>
      </c>
      <c r="I11221" t="s">
        <v>17648</v>
      </c>
      <c r="J11221" t="s">
        <v>39749</v>
      </c>
      <c r="K11221" t="s">
        <v>42636</v>
      </c>
      <c r="M11221" t="s">
        <v>46445</v>
      </c>
      <c r="N11221" t="s">
        <v>47304</v>
      </c>
      <c r="O11221" t="s">
        <v>47305</v>
      </c>
      <c r="P11221">
        <v>0</v>
      </c>
      <c r="Q11221">
        <v>2</v>
      </c>
      <c r="R11221" t="s">
        <v>47314</v>
      </c>
      <c r="S11221" t="s">
        <v>47596</v>
      </c>
      <c r="T11221" t="s">
        <v>49140</v>
      </c>
      <c r="U11221" t="s">
        <v>58794</v>
      </c>
      <c r="W11221" t="s">
        <v>46445</v>
      </c>
      <c r="X11221" t="s">
        <v>47315</v>
      </c>
    </row>
    <row r="11222" spans="1:24">
      <c r="A11222">
        <f>HYPERLINK("https://www.philgeps.gov.ph/GEPSNONPILOT/Tender/SplashBidNoticeAbstractUI.aspx?menuIndex=3&amp;refID=7169432&amp;Result=3","7169432")</f>
        <v>0</v>
      </c>
      <c r="B11222" t="s">
        <v>2890</v>
      </c>
      <c r="C11222" t="s">
        <v>14455</v>
      </c>
      <c r="D11222" t="s">
        <v>19013</v>
      </c>
      <c r="E11222" t="s">
        <v>28647</v>
      </c>
      <c r="F11222" t="s">
        <v>32606</v>
      </c>
      <c r="G11222" t="s">
        <v>32613</v>
      </c>
      <c r="H11222" t="s">
        <v>32623</v>
      </c>
      <c r="I11222" t="s">
        <v>17648</v>
      </c>
      <c r="J11222" t="s">
        <v>39750</v>
      </c>
      <c r="K11222" t="s">
        <v>42648</v>
      </c>
      <c r="M11222" t="s">
        <v>46063</v>
      </c>
      <c r="N11222" t="s">
        <v>47304</v>
      </c>
      <c r="O11222" t="s">
        <v>47305</v>
      </c>
      <c r="P11222">
        <v>0</v>
      </c>
      <c r="Q11222">
        <v>0</v>
      </c>
      <c r="R11222" t="s">
        <v>47315</v>
      </c>
      <c r="S11222" t="s">
        <v>47665</v>
      </c>
      <c r="T11222" t="s">
        <v>49099</v>
      </c>
      <c r="U11222" t="s">
        <v>58795</v>
      </c>
      <c r="W11222" t="s">
        <v>46063</v>
      </c>
      <c r="X11222" t="s">
        <v>47321</v>
      </c>
    </row>
    <row r="11223" spans="1:24">
      <c r="A11223">
        <f>HYPERLINK("https://www.philgeps.gov.ph/GEPSNONPILOT/Tender/SplashBidNoticeAbstractUI.aspx?menuIndex=3&amp;refID=7169169&amp;Result=3","7169169")</f>
        <v>0</v>
      </c>
      <c r="B11223" t="s">
        <v>2890</v>
      </c>
      <c r="C11223" t="s">
        <v>14456</v>
      </c>
      <c r="D11223" t="s">
        <v>19013</v>
      </c>
      <c r="E11223" t="s">
        <v>26503</v>
      </c>
      <c r="F11223" t="s">
        <v>32606</v>
      </c>
      <c r="G11223" t="s">
        <v>32613</v>
      </c>
      <c r="H11223" t="s">
        <v>32623</v>
      </c>
      <c r="I11223" t="s">
        <v>17648</v>
      </c>
      <c r="J11223" t="s">
        <v>34591</v>
      </c>
      <c r="K11223" t="s">
        <v>42648</v>
      </c>
      <c r="M11223" t="s">
        <v>46063</v>
      </c>
      <c r="N11223" t="s">
        <v>47304</v>
      </c>
      <c r="O11223" t="s">
        <v>47305</v>
      </c>
      <c r="P11223">
        <v>0</v>
      </c>
      <c r="Q11223">
        <v>0</v>
      </c>
      <c r="R11223" t="s">
        <v>47315</v>
      </c>
      <c r="S11223" t="s">
        <v>47665</v>
      </c>
      <c r="T11223" t="s">
        <v>49099</v>
      </c>
      <c r="U11223" t="s">
        <v>58796</v>
      </c>
      <c r="W11223" t="s">
        <v>46063</v>
      </c>
      <c r="X11223" t="s">
        <v>47321</v>
      </c>
    </row>
    <row r="11224" spans="1:24">
      <c r="A11224">
        <f>HYPERLINK("https://www.philgeps.gov.ph/GEPSNONPILOT/Tender/SplashBidNoticeAbstractUI.aspx?menuIndex=3&amp;refID=7168637&amp;Result=3","7168637")</f>
        <v>0</v>
      </c>
      <c r="B11224" t="s">
        <v>899</v>
      </c>
      <c r="C11224" t="s">
        <v>14457</v>
      </c>
      <c r="E11224" t="s">
        <v>28648</v>
      </c>
      <c r="F11224" t="s">
        <v>32606</v>
      </c>
      <c r="G11224" t="s">
        <v>32613</v>
      </c>
      <c r="H11224" t="s">
        <v>14201</v>
      </c>
      <c r="I11224" t="s">
        <v>6298</v>
      </c>
      <c r="J11224" t="s">
        <v>39751</v>
      </c>
      <c r="K11224" t="s">
        <v>42624</v>
      </c>
      <c r="M11224" t="s">
        <v>44351</v>
      </c>
      <c r="N11224" t="s">
        <v>47304</v>
      </c>
      <c r="O11224" t="s">
        <v>47305</v>
      </c>
      <c r="P11224">
        <v>0</v>
      </c>
      <c r="Q11224">
        <v>4</v>
      </c>
      <c r="R11224" t="s">
        <v>47315</v>
      </c>
      <c r="S11224" t="s">
        <v>47665</v>
      </c>
      <c r="T11224" t="s">
        <v>49455</v>
      </c>
      <c r="U11224" t="s">
        <v>58797</v>
      </c>
      <c r="W11224" t="s">
        <v>44351</v>
      </c>
      <c r="X11224" t="s">
        <v>47321</v>
      </c>
    </row>
    <row r="11225" spans="1:24">
      <c r="A11225">
        <f>HYPERLINK("https://www.philgeps.gov.ph/GEPSNONPILOT/Tender/SplashBidNoticeAbstractUI.aspx?menuIndex=3&amp;refID=7168079&amp;Result=3","7168079")</f>
        <v>0</v>
      </c>
      <c r="B11225" t="s">
        <v>1379</v>
      </c>
      <c r="C11225" t="s">
        <v>14458</v>
      </c>
      <c r="D11225" t="s">
        <v>19011</v>
      </c>
      <c r="E11225" t="s">
        <v>28649</v>
      </c>
      <c r="F11225" t="s">
        <v>32606</v>
      </c>
      <c r="G11225" t="s">
        <v>32613</v>
      </c>
      <c r="H11225" t="s">
        <v>14201</v>
      </c>
      <c r="I11225" t="s">
        <v>6309</v>
      </c>
      <c r="J11225" t="s">
        <v>39299</v>
      </c>
      <c r="K11225" t="s">
        <v>42631</v>
      </c>
      <c r="M11225" t="s">
        <v>44361</v>
      </c>
      <c r="N11225" t="s">
        <v>47304</v>
      </c>
      <c r="O11225" t="s">
        <v>47305</v>
      </c>
      <c r="P11225">
        <v>0</v>
      </c>
      <c r="Q11225">
        <v>2</v>
      </c>
      <c r="R11225" t="s">
        <v>47315</v>
      </c>
      <c r="S11225" t="s">
        <v>47665</v>
      </c>
      <c r="T11225" t="s">
        <v>48996</v>
      </c>
      <c r="U11225" t="s">
        <v>58798</v>
      </c>
      <c r="W11225" t="s">
        <v>44361</v>
      </c>
      <c r="X11225" t="s">
        <v>47321</v>
      </c>
    </row>
    <row r="11226" spans="1:24">
      <c r="A11226">
        <f>HYPERLINK("https://www.philgeps.gov.ph/GEPSNONPILOT/Tender/SplashBidNoticeAbstractUI.aspx?menuIndex=3&amp;refID=7169180&amp;Result=3","7169180")</f>
        <v>0</v>
      </c>
      <c r="B11226" t="s">
        <v>2109</v>
      </c>
      <c r="C11226" t="s">
        <v>14459</v>
      </c>
      <c r="D11226" t="s">
        <v>18988</v>
      </c>
      <c r="E11226" t="s">
        <v>28650</v>
      </c>
      <c r="F11226" t="s">
        <v>32606</v>
      </c>
      <c r="G11226" t="s">
        <v>32613</v>
      </c>
      <c r="H11226" t="s">
        <v>14201</v>
      </c>
      <c r="I11226" t="s">
        <v>6931</v>
      </c>
      <c r="J11226" t="s">
        <v>39752</v>
      </c>
      <c r="K11226" t="s">
        <v>42624</v>
      </c>
      <c r="M11226" t="s">
        <v>45194</v>
      </c>
      <c r="N11226" t="s">
        <v>47304</v>
      </c>
      <c r="O11226" t="s">
        <v>47305</v>
      </c>
      <c r="P11226">
        <v>0</v>
      </c>
      <c r="Q11226">
        <v>2</v>
      </c>
      <c r="R11226" t="s">
        <v>47315</v>
      </c>
      <c r="S11226" t="s">
        <v>47665</v>
      </c>
      <c r="T11226" t="s">
        <v>49234</v>
      </c>
      <c r="U11226" t="s">
        <v>54807</v>
      </c>
      <c r="W11226" t="s">
        <v>45194</v>
      </c>
      <c r="X11226" t="s">
        <v>47321</v>
      </c>
    </row>
    <row r="11227" spans="1:24">
      <c r="A11227">
        <f>HYPERLINK("https://www.philgeps.gov.ph/GEPSNONPILOT/Tender/SplashBidNoticeAbstractUI.aspx?menuIndex=3&amp;refID=7167008&amp;Result=3","7167008")</f>
        <v>0</v>
      </c>
      <c r="B11227" t="s">
        <v>1827</v>
      </c>
      <c r="C11227" t="s">
        <v>14460</v>
      </c>
      <c r="E11227" t="s">
        <v>28651</v>
      </c>
      <c r="F11227" t="s">
        <v>32606</v>
      </c>
      <c r="G11227" t="s">
        <v>32613</v>
      </c>
      <c r="H11227" t="s">
        <v>14201</v>
      </c>
      <c r="I11227" t="s">
        <v>32693</v>
      </c>
      <c r="J11227" t="s">
        <v>36248</v>
      </c>
      <c r="K11227" t="s">
        <v>42624</v>
      </c>
      <c r="M11227" t="s">
        <v>45577</v>
      </c>
      <c r="N11227" t="s">
        <v>47304</v>
      </c>
      <c r="O11227" t="s">
        <v>47305</v>
      </c>
      <c r="P11227">
        <v>0</v>
      </c>
      <c r="Q11227">
        <v>6</v>
      </c>
      <c r="R11227" t="s">
        <v>47315</v>
      </c>
      <c r="S11227" t="s">
        <v>47665</v>
      </c>
      <c r="T11227" t="s">
        <v>49234</v>
      </c>
      <c r="U11227" t="s">
        <v>58799</v>
      </c>
      <c r="W11227" t="s">
        <v>45577</v>
      </c>
      <c r="X11227" t="s">
        <v>47322</v>
      </c>
    </row>
    <row r="11228" spans="1:24">
      <c r="A11228">
        <f>HYPERLINK("https://www.philgeps.gov.ph/GEPSNONPILOT/Tender/SplashBidNoticeAbstractUI.aspx?menuIndex=3&amp;refID=6659377-2&amp;Result=3","6659377-2")</f>
        <v>0</v>
      </c>
      <c r="B11228" t="s">
        <v>3269</v>
      </c>
      <c r="C11228" t="s">
        <v>14461</v>
      </c>
      <c r="E11228" t="s">
        <v>28652</v>
      </c>
      <c r="F11228" t="s">
        <v>32606</v>
      </c>
      <c r="G11228" t="s">
        <v>32613</v>
      </c>
      <c r="H11228" t="s">
        <v>32624</v>
      </c>
      <c r="I11228" t="s">
        <v>9297</v>
      </c>
      <c r="J11228" t="s">
        <v>39753</v>
      </c>
      <c r="K11228" t="s">
        <v>42665</v>
      </c>
      <c r="M11228" t="s">
        <v>46503</v>
      </c>
      <c r="N11228" t="s">
        <v>47304</v>
      </c>
      <c r="O11228" t="s">
        <v>47305</v>
      </c>
      <c r="P11228">
        <v>0</v>
      </c>
      <c r="Q11228">
        <v>0</v>
      </c>
      <c r="R11228" t="s">
        <v>47315</v>
      </c>
      <c r="S11228" t="s">
        <v>47665</v>
      </c>
      <c r="T11228" t="s">
        <v>49010</v>
      </c>
      <c r="U11228" t="s">
        <v>58800</v>
      </c>
      <c r="W11228" t="s">
        <v>46503</v>
      </c>
      <c r="X11228" t="s">
        <v>64571</v>
      </c>
    </row>
    <row r="11229" spans="1:24">
      <c r="A11229">
        <f>HYPERLINK("https://www.philgeps.gov.ph/GEPSNONPILOT/Tender/SplashBidNoticeAbstractUI.aspx?menuIndex=3&amp;refID=7183229&amp;Result=3","7183229")</f>
        <v>0</v>
      </c>
      <c r="B11229" t="s">
        <v>1660</v>
      </c>
      <c r="C11229" t="s">
        <v>14462</v>
      </c>
      <c r="D11229" t="s">
        <v>19011</v>
      </c>
      <c r="E11229" t="s">
        <v>28653</v>
      </c>
      <c r="F11229" t="s">
        <v>32606</v>
      </c>
      <c r="G11229" t="s">
        <v>32613</v>
      </c>
      <c r="H11229" t="s">
        <v>14201</v>
      </c>
      <c r="I11229" t="s">
        <v>4112</v>
      </c>
      <c r="J11229" t="s">
        <v>39754</v>
      </c>
      <c r="K11229" t="s">
        <v>42623</v>
      </c>
      <c r="M11229" t="s">
        <v>44685</v>
      </c>
      <c r="N11229" t="s">
        <v>47304</v>
      </c>
      <c r="O11229" t="s">
        <v>47305</v>
      </c>
      <c r="Q11229">
        <v>1</v>
      </c>
      <c r="R11229" t="s">
        <v>47314</v>
      </c>
      <c r="S11229" t="s">
        <v>47666</v>
      </c>
      <c r="T11229" t="s">
        <v>49349</v>
      </c>
      <c r="U11229" t="s">
        <v>53354</v>
      </c>
      <c r="V11229" t="s">
        <v>63054</v>
      </c>
      <c r="W11229" t="s">
        <v>44685</v>
      </c>
      <c r="X11229" t="s">
        <v>47315</v>
      </c>
    </row>
    <row r="11230" spans="1:24">
      <c r="A11230">
        <f>HYPERLINK("https://www.philgeps.gov.ph/GEPSNONPILOT/Tender/SplashBidNoticeAbstractUI.aspx?menuIndex=3&amp;refID=7183227&amp;Result=3","7183227")</f>
        <v>0</v>
      </c>
      <c r="B11230" t="s">
        <v>1949</v>
      </c>
      <c r="C11230" t="s">
        <v>14463</v>
      </c>
      <c r="D11230" t="s">
        <v>18995</v>
      </c>
      <c r="E11230" t="s">
        <v>28654</v>
      </c>
      <c r="F11230" t="s">
        <v>32606</v>
      </c>
      <c r="G11230" t="s">
        <v>32613</v>
      </c>
      <c r="H11230" t="s">
        <v>32623</v>
      </c>
      <c r="I11230" t="s">
        <v>17648</v>
      </c>
      <c r="J11230" t="s">
        <v>32772</v>
      </c>
      <c r="K11230" t="s">
        <v>42631</v>
      </c>
      <c r="M11230" t="s">
        <v>45010</v>
      </c>
      <c r="N11230" t="s">
        <v>47304</v>
      </c>
      <c r="O11230" t="s">
        <v>47305</v>
      </c>
      <c r="P11230">
        <v>0</v>
      </c>
      <c r="Q11230">
        <v>0</v>
      </c>
      <c r="R11230" t="s">
        <v>47314</v>
      </c>
      <c r="S11230" t="s">
        <v>47596</v>
      </c>
      <c r="T11230" t="s">
        <v>49014</v>
      </c>
      <c r="U11230" t="s">
        <v>58801</v>
      </c>
      <c r="V11230" t="s">
        <v>63824</v>
      </c>
      <c r="W11230" t="s">
        <v>45010</v>
      </c>
      <c r="X11230" t="s">
        <v>47315</v>
      </c>
    </row>
    <row r="11231" spans="1:24">
      <c r="A11231">
        <f>HYPERLINK("https://www.philgeps.gov.ph/GEPSNONPILOT/Tender/SplashBidNoticeAbstractUI.aspx?menuIndex=3&amp;refID=7183173&amp;Result=3","7183173")</f>
        <v>0</v>
      </c>
      <c r="B11231" t="s">
        <v>3219</v>
      </c>
      <c r="C11231" t="s">
        <v>14464</v>
      </c>
      <c r="D11231" t="s">
        <v>19007</v>
      </c>
      <c r="E11231" t="s">
        <v>28655</v>
      </c>
      <c r="F11231" t="s">
        <v>32606</v>
      </c>
      <c r="G11231" t="s">
        <v>32613</v>
      </c>
      <c r="H11231" t="s">
        <v>32623</v>
      </c>
      <c r="I11231" t="s">
        <v>17648</v>
      </c>
      <c r="J11231" t="s">
        <v>39755</v>
      </c>
      <c r="K11231" t="s">
        <v>42768</v>
      </c>
      <c r="M11231" t="s">
        <v>46445</v>
      </c>
      <c r="N11231" t="s">
        <v>47304</v>
      </c>
      <c r="O11231" t="s">
        <v>47305</v>
      </c>
      <c r="P11231">
        <v>0</v>
      </c>
      <c r="Q11231">
        <v>3</v>
      </c>
      <c r="R11231" t="s">
        <v>47314</v>
      </c>
      <c r="S11231" t="s">
        <v>47596</v>
      </c>
      <c r="T11231" t="s">
        <v>49140</v>
      </c>
      <c r="U11231" t="s">
        <v>58628</v>
      </c>
      <c r="W11231" t="s">
        <v>46445</v>
      </c>
      <c r="X11231" t="s">
        <v>47315</v>
      </c>
    </row>
    <row r="11232" spans="1:24">
      <c r="A11232">
        <f>HYPERLINK("https://www.philgeps.gov.ph/GEPSNONPILOT/Tender/SplashBidNoticeAbstractUI.aspx?menuIndex=3&amp;refID=7183172&amp;Result=3","7183172")</f>
        <v>0</v>
      </c>
      <c r="B11232" t="s">
        <v>3237</v>
      </c>
      <c r="C11232" t="s">
        <v>14465</v>
      </c>
      <c r="E11232" t="s">
        <v>19522</v>
      </c>
      <c r="F11232" t="s">
        <v>32606</v>
      </c>
      <c r="G11232" t="s">
        <v>32613</v>
      </c>
      <c r="H11232" t="s">
        <v>14201</v>
      </c>
      <c r="I11232" t="s">
        <v>6931</v>
      </c>
      <c r="J11232" t="s">
        <v>32981</v>
      </c>
      <c r="K11232" t="s">
        <v>42624</v>
      </c>
      <c r="L11232" t="s">
        <v>3237</v>
      </c>
      <c r="M11232" t="s">
        <v>46469</v>
      </c>
      <c r="N11232" t="s">
        <v>47304</v>
      </c>
      <c r="O11232" t="s">
        <v>47305</v>
      </c>
      <c r="P11232">
        <v>0</v>
      </c>
      <c r="Q11232">
        <v>0</v>
      </c>
      <c r="R11232" t="s">
        <v>47314</v>
      </c>
      <c r="S11232" t="s">
        <v>47596</v>
      </c>
      <c r="T11232" t="s">
        <v>49062</v>
      </c>
      <c r="U11232" t="s">
        <v>58802</v>
      </c>
      <c r="W11232" t="s">
        <v>46469</v>
      </c>
      <c r="X11232" t="s">
        <v>47315</v>
      </c>
    </row>
    <row r="11233" spans="1:24">
      <c r="A11233">
        <f>HYPERLINK("https://www.philgeps.gov.ph/GEPSNONPILOT/Tender/SplashBidNoticeAbstractUI.aspx?menuIndex=3&amp;refID=7183168&amp;Result=3","7183168")</f>
        <v>0</v>
      </c>
      <c r="B11233" t="s">
        <v>3229</v>
      </c>
      <c r="C11233" t="s">
        <v>14466</v>
      </c>
      <c r="D11233" t="s">
        <v>19018</v>
      </c>
      <c r="E11233" t="s">
        <v>28656</v>
      </c>
      <c r="F11233" t="s">
        <v>32606</v>
      </c>
      <c r="G11233" t="s">
        <v>32613</v>
      </c>
      <c r="H11233" t="s">
        <v>14201</v>
      </c>
      <c r="I11233" t="s">
        <v>4120</v>
      </c>
      <c r="J11233" t="s">
        <v>39756</v>
      </c>
      <c r="K11233" t="s">
        <v>42631</v>
      </c>
      <c r="M11233" t="s">
        <v>46459</v>
      </c>
      <c r="N11233" t="s">
        <v>47304</v>
      </c>
      <c r="O11233" t="s">
        <v>47305</v>
      </c>
      <c r="P11233">
        <v>0</v>
      </c>
      <c r="Q11233">
        <v>0</v>
      </c>
      <c r="R11233" t="s">
        <v>47314</v>
      </c>
      <c r="S11233" t="s">
        <v>47596</v>
      </c>
      <c r="T11233" t="s">
        <v>49052</v>
      </c>
      <c r="U11233" t="s">
        <v>58606</v>
      </c>
      <c r="W11233" t="s">
        <v>46459</v>
      </c>
      <c r="X11233" t="s">
        <v>47315</v>
      </c>
    </row>
    <row r="11234" spans="1:24">
      <c r="A11234">
        <f>HYPERLINK("https://www.philgeps.gov.ph/GEPSNONPILOT/Tender/SplashBidNoticeAbstractUI.aspx?menuIndex=3&amp;refID=7183133&amp;Result=3","7183133")</f>
        <v>0</v>
      </c>
      <c r="B11234" t="s">
        <v>1949</v>
      </c>
      <c r="C11234" t="s">
        <v>14467</v>
      </c>
      <c r="D11234" t="s">
        <v>18995</v>
      </c>
      <c r="E11234" t="s">
        <v>28657</v>
      </c>
      <c r="F11234" t="s">
        <v>32606</v>
      </c>
      <c r="G11234" t="s">
        <v>32613</v>
      </c>
      <c r="H11234" t="s">
        <v>32623</v>
      </c>
      <c r="I11234" t="s">
        <v>17648</v>
      </c>
      <c r="J11234" t="s">
        <v>32772</v>
      </c>
      <c r="K11234" t="s">
        <v>42631</v>
      </c>
      <c r="M11234" t="s">
        <v>45010</v>
      </c>
      <c r="N11234" t="s">
        <v>47304</v>
      </c>
      <c r="O11234" t="s">
        <v>47305</v>
      </c>
      <c r="P11234">
        <v>0</v>
      </c>
      <c r="Q11234">
        <v>0</v>
      </c>
      <c r="R11234" t="s">
        <v>47314</v>
      </c>
      <c r="S11234" t="s">
        <v>47596</v>
      </c>
      <c r="T11234" t="s">
        <v>49014</v>
      </c>
      <c r="U11234" t="s">
        <v>58803</v>
      </c>
      <c r="V11234" t="s">
        <v>63850</v>
      </c>
      <c r="W11234" t="s">
        <v>45010</v>
      </c>
      <c r="X11234" t="s">
        <v>47315</v>
      </c>
    </row>
    <row r="11235" spans="1:24">
      <c r="A11235">
        <f>HYPERLINK("https://www.philgeps.gov.ph/GEPSNONPILOT/Tender/SplashBidNoticeAbstractUI.aspx?menuIndex=3&amp;refID=7183125&amp;Result=3","7183125")</f>
        <v>0</v>
      </c>
      <c r="B11235" t="s">
        <v>828</v>
      </c>
      <c r="C11235" t="s">
        <v>14468</v>
      </c>
      <c r="D11235" t="s">
        <v>19030</v>
      </c>
      <c r="E11235" t="s">
        <v>28658</v>
      </c>
      <c r="F11235" t="s">
        <v>32606</v>
      </c>
      <c r="G11235" t="s">
        <v>32613</v>
      </c>
      <c r="H11235" t="s">
        <v>14201</v>
      </c>
      <c r="I11235" t="s">
        <v>6993</v>
      </c>
      <c r="J11235" t="s">
        <v>39757</v>
      </c>
      <c r="K11235" t="s">
        <v>42630</v>
      </c>
      <c r="M11235" t="s">
        <v>43759</v>
      </c>
      <c r="N11235" t="s">
        <v>47304</v>
      </c>
      <c r="O11235" t="s">
        <v>47305</v>
      </c>
      <c r="P11235">
        <v>0</v>
      </c>
      <c r="Q11235">
        <v>0</v>
      </c>
      <c r="R11235" t="s">
        <v>47314</v>
      </c>
      <c r="S11235" t="s">
        <v>47596</v>
      </c>
      <c r="T11235" t="s">
        <v>49020</v>
      </c>
      <c r="U11235" t="s">
        <v>58804</v>
      </c>
      <c r="V11235" t="s">
        <v>63851</v>
      </c>
      <c r="W11235" t="s">
        <v>43759</v>
      </c>
      <c r="X11235" t="s">
        <v>47315</v>
      </c>
    </row>
    <row r="11236" spans="1:24">
      <c r="A11236">
        <f>HYPERLINK("https://www.philgeps.gov.ph/GEPSNONPILOT/Tender/SplashBidNoticeAbstractUI.aspx?menuIndex=3&amp;refID=7183359&amp;Result=3","7183359")</f>
        <v>0</v>
      </c>
      <c r="B11236" t="s">
        <v>1949</v>
      </c>
      <c r="C11236" t="s">
        <v>14312</v>
      </c>
      <c r="D11236" t="s">
        <v>18995</v>
      </c>
      <c r="E11236" t="s">
        <v>28659</v>
      </c>
      <c r="F11236" t="s">
        <v>32606</v>
      </c>
      <c r="G11236" t="s">
        <v>32613</v>
      </c>
      <c r="H11236" t="s">
        <v>14201</v>
      </c>
      <c r="I11236" t="s">
        <v>4678</v>
      </c>
      <c r="J11236" t="s">
        <v>33892</v>
      </c>
      <c r="K11236" t="s">
        <v>42632</v>
      </c>
      <c r="M11236" t="s">
        <v>45010</v>
      </c>
      <c r="N11236" t="s">
        <v>47304</v>
      </c>
      <c r="O11236" t="s">
        <v>47305</v>
      </c>
      <c r="P11236">
        <v>0</v>
      </c>
      <c r="Q11236">
        <v>3</v>
      </c>
      <c r="R11236" t="s">
        <v>47314</v>
      </c>
      <c r="S11236" t="s">
        <v>47596</v>
      </c>
      <c r="T11236" t="s">
        <v>49014</v>
      </c>
      <c r="U11236" t="s">
        <v>58805</v>
      </c>
      <c r="V11236" t="s">
        <v>63852</v>
      </c>
      <c r="W11236" t="s">
        <v>45010</v>
      </c>
      <c r="X11236" t="s">
        <v>47315</v>
      </c>
    </row>
    <row r="11237" spans="1:24">
      <c r="A11237">
        <f>HYPERLINK("https://www.philgeps.gov.ph/GEPSNONPILOT/Tender/SplashBidNoticeAbstractUI.aspx?menuIndex=3&amp;refID=7183120&amp;Result=3","7183120")</f>
        <v>0</v>
      </c>
      <c r="B11237" t="s">
        <v>1193</v>
      </c>
      <c r="C11237" t="s">
        <v>14469</v>
      </c>
      <c r="D11237" t="s">
        <v>19007</v>
      </c>
      <c r="E11237" t="s">
        <v>28660</v>
      </c>
      <c r="F11237" t="s">
        <v>32606</v>
      </c>
      <c r="G11237" t="s">
        <v>32613</v>
      </c>
      <c r="H11237" t="s">
        <v>14201</v>
      </c>
      <c r="I11237" t="s">
        <v>32631</v>
      </c>
      <c r="J11237" t="s">
        <v>39758</v>
      </c>
      <c r="K11237" t="s">
        <v>42624</v>
      </c>
      <c r="M11237" t="s">
        <v>44560</v>
      </c>
      <c r="N11237" t="s">
        <v>47304</v>
      </c>
      <c r="O11237" t="s">
        <v>47305</v>
      </c>
      <c r="P11237">
        <v>0</v>
      </c>
      <c r="Q11237">
        <v>2</v>
      </c>
      <c r="R11237" t="s">
        <v>47314</v>
      </c>
      <c r="S11237" t="s">
        <v>47596</v>
      </c>
      <c r="T11237" t="s">
        <v>49156</v>
      </c>
      <c r="U11237" t="s">
        <v>58806</v>
      </c>
      <c r="W11237" t="s">
        <v>44560</v>
      </c>
      <c r="X11237" t="s">
        <v>47315</v>
      </c>
    </row>
    <row r="11238" spans="1:24">
      <c r="A11238">
        <f>HYPERLINK("https://www.philgeps.gov.ph/GEPSNONPILOT/Tender/SplashBidNoticeAbstractUI.aspx?menuIndex=3&amp;refID=7183118&amp;Result=3","7183118")</f>
        <v>0</v>
      </c>
      <c r="B11238" t="s">
        <v>1058</v>
      </c>
      <c r="C11238" t="s">
        <v>14470</v>
      </c>
      <c r="D11238" t="s">
        <v>19039</v>
      </c>
      <c r="E11238" t="s">
        <v>28661</v>
      </c>
      <c r="F11238" t="s">
        <v>32606</v>
      </c>
      <c r="G11238" t="s">
        <v>32613</v>
      </c>
      <c r="H11238" t="s">
        <v>14201</v>
      </c>
      <c r="I11238" t="s">
        <v>7233</v>
      </c>
      <c r="J11238" t="s">
        <v>32782</v>
      </c>
      <c r="K11238" t="s">
        <v>42631</v>
      </c>
      <c r="M11238" t="s">
        <v>44011</v>
      </c>
      <c r="N11238" t="s">
        <v>47304</v>
      </c>
      <c r="O11238" t="s">
        <v>47305</v>
      </c>
      <c r="P11238">
        <v>0</v>
      </c>
      <c r="Q11238">
        <v>2</v>
      </c>
      <c r="R11238" t="s">
        <v>47314</v>
      </c>
      <c r="S11238" t="s">
        <v>47596</v>
      </c>
      <c r="T11238" t="s">
        <v>49068</v>
      </c>
      <c r="U11238" t="s">
        <v>51723</v>
      </c>
      <c r="W11238" t="s">
        <v>44011</v>
      </c>
      <c r="X11238" t="s">
        <v>47315</v>
      </c>
    </row>
    <row r="11239" spans="1:24">
      <c r="A11239">
        <f>HYPERLINK("https://www.philgeps.gov.ph/GEPSNONPILOT/Tender/SplashBidNoticeAbstractUI.aspx?menuIndex=3&amp;refID=7183114&amp;Result=3","7183114")</f>
        <v>0</v>
      </c>
      <c r="B11239" t="s">
        <v>897</v>
      </c>
      <c r="C11239" t="s">
        <v>14471</v>
      </c>
      <c r="D11239" t="s">
        <v>19067</v>
      </c>
      <c r="E11239" t="s">
        <v>28662</v>
      </c>
      <c r="F11239" t="s">
        <v>32606</v>
      </c>
      <c r="G11239" t="s">
        <v>32615</v>
      </c>
      <c r="H11239" t="s">
        <v>14201</v>
      </c>
      <c r="I11239" t="s">
        <v>4114</v>
      </c>
      <c r="J11239" t="s">
        <v>39759</v>
      </c>
      <c r="K11239" t="s">
        <v>42631</v>
      </c>
      <c r="M11239" t="s">
        <v>43834</v>
      </c>
      <c r="N11239" t="s">
        <v>47304</v>
      </c>
      <c r="O11239" t="s">
        <v>47305</v>
      </c>
      <c r="P11239">
        <v>0</v>
      </c>
      <c r="Q11239">
        <v>2</v>
      </c>
      <c r="R11239" t="s">
        <v>47314</v>
      </c>
      <c r="S11239" t="s">
        <v>47596</v>
      </c>
      <c r="T11239" t="s">
        <v>49165</v>
      </c>
      <c r="U11239" t="s">
        <v>58807</v>
      </c>
      <c r="W11239" t="s">
        <v>43834</v>
      </c>
      <c r="X11239" t="s">
        <v>47315</v>
      </c>
    </row>
    <row r="11240" spans="1:24">
      <c r="A11240">
        <f>HYPERLINK("https://www.philgeps.gov.ph/GEPSNONPILOT/Tender/SplashBidNoticeAbstractUI.aspx?menuIndex=3&amp;refID=7173625&amp;Result=3","7173625")</f>
        <v>0</v>
      </c>
      <c r="B11240" t="s">
        <v>3267</v>
      </c>
      <c r="C11240" t="s">
        <v>14472</v>
      </c>
      <c r="D11240" t="s">
        <v>19026</v>
      </c>
      <c r="E11240" t="s">
        <v>28663</v>
      </c>
      <c r="F11240" t="s">
        <v>32606</v>
      </c>
      <c r="G11240" t="s">
        <v>32613</v>
      </c>
      <c r="H11240" t="s">
        <v>32623</v>
      </c>
      <c r="I11240" t="s">
        <v>17648</v>
      </c>
      <c r="J11240" t="s">
        <v>39760</v>
      </c>
      <c r="K11240" t="s">
        <v>42646</v>
      </c>
      <c r="M11240" t="s">
        <v>46501</v>
      </c>
      <c r="N11240" t="s">
        <v>47304</v>
      </c>
      <c r="O11240" t="s">
        <v>47305</v>
      </c>
      <c r="P11240">
        <v>0</v>
      </c>
      <c r="Q11240">
        <v>0</v>
      </c>
      <c r="R11240" t="s">
        <v>47315</v>
      </c>
      <c r="S11240" t="s">
        <v>47665</v>
      </c>
      <c r="T11240" t="s">
        <v>49094</v>
      </c>
      <c r="U11240" t="s">
        <v>58808</v>
      </c>
      <c r="V11240" t="s">
        <v>63055</v>
      </c>
      <c r="W11240" t="s">
        <v>46501</v>
      </c>
      <c r="X11240" t="s">
        <v>47320</v>
      </c>
    </row>
    <row r="11241" spans="1:24">
      <c r="A11241">
        <f>HYPERLINK("https://www.philgeps.gov.ph/GEPSNONPILOT/Tender/SplashBidNoticeAbstractUI.aspx?menuIndex=3&amp;refID=7183049&amp;Result=3","7183049")</f>
        <v>0</v>
      </c>
      <c r="B11241" t="s">
        <v>644</v>
      </c>
      <c r="C11241" t="s">
        <v>14473</v>
      </c>
      <c r="D11241" t="s">
        <v>19022</v>
      </c>
      <c r="E11241" t="s">
        <v>14473</v>
      </c>
      <c r="F11241" t="s">
        <v>32606</v>
      </c>
      <c r="G11241" t="s">
        <v>32613</v>
      </c>
      <c r="H11241" t="s">
        <v>32623</v>
      </c>
      <c r="I11241" t="s">
        <v>32683</v>
      </c>
      <c r="J11241" t="s">
        <v>32767</v>
      </c>
      <c r="K11241" t="s">
        <v>42624</v>
      </c>
      <c r="M11241" t="s">
        <v>46457</v>
      </c>
      <c r="N11241" t="s">
        <v>47304</v>
      </c>
      <c r="O11241" t="s">
        <v>47305</v>
      </c>
      <c r="P11241">
        <v>0</v>
      </c>
      <c r="Q11241">
        <v>1</v>
      </c>
      <c r="R11241" t="s">
        <v>47314</v>
      </c>
      <c r="S11241" t="s">
        <v>47596</v>
      </c>
      <c r="T11241" t="s">
        <v>49119</v>
      </c>
      <c r="U11241" t="s">
        <v>58809</v>
      </c>
      <c r="W11241" t="s">
        <v>46457</v>
      </c>
      <c r="X11241" t="s">
        <v>47315</v>
      </c>
    </row>
    <row r="11242" spans="1:24">
      <c r="A11242">
        <f>HYPERLINK("https://www.philgeps.gov.ph/GEPSNONPILOT/Tender/SplashBidNoticeAbstractUI.aspx?menuIndex=3&amp;refID=7183048&amp;Result=3","7183048")</f>
        <v>0</v>
      </c>
      <c r="B11242" t="s">
        <v>1895</v>
      </c>
      <c r="C11242" t="s">
        <v>14474</v>
      </c>
      <c r="D11242" t="s">
        <v>19034</v>
      </c>
      <c r="E11242" t="s">
        <v>28664</v>
      </c>
      <c r="F11242" t="s">
        <v>32606</v>
      </c>
      <c r="G11242" t="s">
        <v>32614</v>
      </c>
      <c r="H11242" t="s">
        <v>14201</v>
      </c>
      <c r="I11242" t="s">
        <v>9008</v>
      </c>
      <c r="J11242" t="s">
        <v>32885</v>
      </c>
      <c r="K11242" t="s">
        <v>42648</v>
      </c>
      <c r="M11242" t="s">
        <v>44954</v>
      </c>
      <c r="N11242" t="s">
        <v>47304</v>
      </c>
      <c r="O11242" t="s">
        <v>47305</v>
      </c>
      <c r="P11242">
        <v>0</v>
      </c>
      <c r="Q11242">
        <v>0</v>
      </c>
      <c r="R11242" t="s">
        <v>47314</v>
      </c>
      <c r="S11242" t="s">
        <v>47596</v>
      </c>
      <c r="T11242" t="s">
        <v>48980</v>
      </c>
      <c r="U11242" t="s">
        <v>56056</v>
      </c>
      <c r="W11242" t="s">
        <v>44954</v>
      </c>
      <c r="X11242" t="s">
        <v>47315</v>
      </c>
    </row>
    <row r="11243" spans="1:24">
      <c r="A11243">
        <f>HYPERLINK("https://www.philgeps.gov.ph/GEPSNONPILOT/Tender/SplashBidNoticeAbstractUI.aspx?menuIndex=3&amp;refID=7183046&amp;Result=3","7183046")</f>
        <v>0</v>
      </c>
      <c r="B11243" t="s">
        <v>2887</v>
      </c>
      <c r="C11243" t="s">
        <v>14475</v>
      </c>
      <c r="D11243" t="s">
        <v>18997</v>
      </c>
      <c r="E11243" t="s">
        <v>28665</v>
      </c>
      <c r="F11243" t="s">
        <v>32606</v>
      </c>
      <c r="G11243" t="s">
        <v>32613</v>
      </c>
      <c r="H11243" t="s">
        <v>14201</v>
      </c>
      <c r="I11243" t="s">
        <v>32629</v>
      </c>
      <c r="J11243" t="s">
        <v>39761</v>
      </c>
      <c r="K11243" t="s">
        <v>42627</v>
      </c>
      <c r="M11243" t="s">
        <v>46060</v>
      </c>
      <c r="N11243" t="s">
        <v>47304</v>
      </c>
      <c r="O11243" t="s">
        <v>47305</v>
      </c>
      <c r="P11243">
        <v>0</v>
      </c>
      <c r="Q11243">
        <v>0</v>
      </c>
      <c r="R11243" t="s">
        <v>47314</v>
      </c>
      <c r="S11243" t="s">
        <v>47596</v>
      </c>
      <c r="T11243" t="s">
        <v>49023</v>
      </c>
      <c r="U11243" t="s">
        <v>58810</v>
      </c>
      <c r="W11243" t="s">
        <v>46060</v>
      </c>
      <c r="X11243" t="s">
        <v>47315</v>
      </c>
    </row>
    <row r="11244" spans="1:24">
      <c r="A11244">
        <f>HYPERLINK("https://www.philgeps.gov.ph/GEPSNONPILOT/Tender/SplashBidNoticeAbstractUI.aspx?menuIndex=3&amp;refID=7183043&amp;Result=3","7183043")</f>
        <v>0</v>
      </c>
      <c r="B11244" t="s">
        <v>1028</v>
      </c>
      <c r="C11244" t="s">
        <v>14476</v>
      </c>
      <c r="D11244" t="s">
        <v>19008</v>
      </c>
      <c r="E11244" t="s">
        <v>28666</v>
      </c>
      <c r="F11244" t="s">
        <v>32606</v>
      </c>
      <c r="G11244" t="s">
        <v>32613</v>
      </c>
      <c r="H11244" t="s">
        <v>14201</v>
      </c>
      <c r="I11244" t="s">
        <v>32638</v>
      </c>
      <c r="J11244" t="s">
        <v>33102</v>
      </c>
      <c r="K11244" t="s">
        <v>42631</v>
      </c>
      <c r="M11244" t="s">
        <v>43981</v>
      </c>
      <c r="N11244" t="s">
        <v>47304</v>
      </c>
      <c r="O11244" t="s">
        <v>47305</v>
      </c>
      <c r="P11244">
        <v>0</v>
      </c>
      <c r="Q11244">
        <v>18</v>
      </c>
      <c r="R11244" t="s">
        <v>47314</v>
      </c>
      <c r="S11244" t="s">
        <v>47596</v>
      </c>
      <c r="T11244" t="s">
        <v>49017</v>
      </c>
      <c r="U11244" t="s">
        <v>58811</v>
      </c>
      <c r="W11244" t="s">
        <v>43981</v>
      </c>
      <c r="X11244" t="s">
        <v>47315</v>
      </c>
    </row>
    <row r="11245" spans="1:24">
      <c r="A11245">
        <f>HYPERLINK("https://www.philgeps.gov.ph/GEPSNONPILOT/Tender/SplashBidNoticeAbstractUI.aspx?menuIndex=3&amp;refID=7182987&amp;Result=3","7182987")</f>
        <v>0</v>
      </c>
      <c r="B11245" t="s">
        <v>3222</v>
      </c>
      <c r="C11245" t="s">
        <v>14477</v>
      </c>
      <c r="D11245" t="s">
        <v>19011</v>
      </c>
      <c r="E11245" t="s">
        <v>28397</v>
      </c>
      <c r="F11245" t="s">
        <v>32606</v>
      </c>
      <c r="G11245" t="s">
        <v>32613</v>
      </c>
      <c r="H11245" t="s">
        <v>14201</v>
      </c>
      <c r="I11245" t="s">
        <v>6007</v>
      </c>
      <c r="J11245" t="s">
        <v>32778</v>
      </c>
      <c r="K11245" t="s">
        <v>42631</v>
      </c>
      <c r="M11245" t="s">
        <v>46448</v>
      </c>
      <c r="N11245" t="s">
        <v>47304</v>
      </c>
      <c r="O11245" t="s">
        <v>47305</v>
      </c>
      <c r="P11245">
        <v>0</v>
      </c>
      <c r="Q11245">
        <v>0</v>
      </c>
      <c r="R11245" t="s">
        <v>47314</v>
      </c>
      <c r="S11245" t="s">
        <v>47596</v>
      </c>
      <c r="T11245" t="s">
        <v>49099</v>
      </c>
      <c r="U11245" t="s">
        <v>58812</v>
      </c>
      <c r="W11245" t="s">
        <v>46448</v>
      </c>
      <c r="X11245" t="s">
        <v>47315</v>
      </c>
    </row>
    <row r="11246" spans="1:24">
      <c r="A11246">
        <f>HYPERLINK("https://www.philgeps.gov.ph/GEPSNONPILOT/Tender/SplashBidNoticeAbstractUI.aspx?menuIndex=3&amp;refID=7169285&amp;Result=3","7169285")</f>
        <v>0</v>
      </c>
      <c r="B11246" t="s">
        <v>2890</v>
      </c>
      <c r="C11246" t="s">
        <v>14478</v>
      </c>
      <c r="D11246" t="s">
        <v>19013</v>
      </c>
      <c r="E11246" t="s">
        <v>26522</v>
      </c>
      <c r="F11246" t="s">
        <v>32606</v>
      </c>
      <c r="G11246" t="s">
        <v>32613</v>
      </c>
      <c r="H11246" t="s">
        <v>32623</v>
      </c>
      <c r="I11246" t="s">
        <v>17648</v>
      </c>
      <c r="J11246" t="s">
        <v>32770</v>
      </c>
      <c r="K11246" t="s">
        <v>42639</v>
      </c>
      <c r="M11246" t="s">
        <v>46063</v>
      </c>
      <c r="N11246" t="s">
        <v>47304</v>
      </c>
      <c r="O11246" t="s">
        <v>47305</v>
      </c>
      <c r="P11246">
        <v>0</v>
      </c>
      <c r="Q11246">
        <v>0</v>
      </c>
      <c r="R11246" t="s">
        <v>47315</v>
      </c>
      <c r="S11246" t="s">
        <v>47665</v>
      </c>
      <c r="T11246" t="s">
        <v>49099</v>
      </c>
      <c r="U11246" t="s">
        <v>58813</v>
      </c>
      <c r="W11246" t="s">
        <v>46063</v>
      </c>
      <c r="X11246" t="s">
        <v>47321</v>
      </c>
    </row>
    <row r="11247" spans="1:24">
      <c r="A11247">
        <f>HYPERLINK("https://www.philgeps.gov.ph/GEPSNONPILOT/Tender/SplashBidNoticeAbstractUI.aspx?menuIndex=3&amp;refID=7182986&amp;Result=3","7182986")</f>
        <v>0</v>
      </c>
      <c r="B11247" t="s">
        <v>2397</v>
      </c>
      <c r="C11247" t="s">
        <v>14479</v>
      </c>
      <c r="E11247" t="s">
        <v>28667</v>
      </c>
      <c r="F11247" t="s">
        <v>32606</v>
      </c>
      <c r="G11247" t="s">
        <v>32613</v>
      </c>
      <c r="H11247" t="s">
        <v>32623</v>
      </c>
      <c r="I11247" t="s">
        <v>17648</v>
      </c>
      <c r="J11247" t="s">
        <v>39762</v>
      </c>
      <c r="K11247" t="s">
        <v>42624</v>
      </c>
      <c r="M11247" t="s">
        <v>45518</v>
      </c>
      <c r="N11247" t="s">
        <v>47304</v>
      </c>
      <c r="O11247" t="s">
        <v>47305</v>
      </c>
      <c r="Q11247">
        <v>5</v>
      </c>
      <c r="R11247" t="s">
        <v>47314</v>
      </c>
      <c r="S11247" t="s">
        <v>47667</v>
      </c>
      <c r="T11247" t="s">
        <v>49140</v>
      </c>
      <c r="U11247" t="s">
        <v>58814</v>
      </c>
      <c r="W11247" t="s">
        <v>64504</v>
      </c>
      <c r="X11247" t="s">
        <v>47315</v>
      </c>
    </row>
    <row r="11248" spans="1:24">
      <c r="A11248">
        <f>HYPERLINK("https://www.philgeps.gov.ph/GEPSNONPILOT/Tender/SplashBidNoticeAbstractUI.aspx?menuIndex=3&amp;refID=7182984&amp;Result=3","7182984")</f>
        <v>0</v>
      </c>
      <c r="B11248" t="s">
        <v>1014</v>
      </c>
      <c r="C11248" t="s">
        <v>14480</v>
      </c>
      <c r="D11248" t="s">
        <v>19056</v>
      </c>
      <c r="E11248" t="s">
        <v>28668</v>
      </c>
      <c r="F11248" t="s">
        <v>32606</v>
      </c>
      <c r="G11248" t="s">
        <v>32614</v>
      </c>
      <c r="H11248" t="s">
        <v>14201</v>
      </c>
      <c r="I11248" t="s">
        <v>4112</v>
      </c>
      <c r="J11248" t="s">
        <v>34470</v>
      </c>
      <c r="K11248" t="s">
        <v>42646</v>
      </c>
      <c r="M11248" t="s">
        <v>46082</v>
      </c>
      <c r="N11248" t="s">
        <v>47304</v>
      </c>
      <c r="O11248" t="s">
        <v>47305</v>
      </c>
      <c r="Q11248">
        <v>2</v>
      </c>
      <c r="R11248" t="s">
        <v>47314</v>
      </c>
      <c r="S11248" t="s">
        <v>47668</v>
      </c>
      <c r="T11248" t="s">
        <v>49200</v>
      </c>
      <c r="U11248" t="s">
        <v>58815</v>
      </c>
      <c r="W11248" t="s">
        <v>46082</v>
      </c>
      <c r="X11248" t="s">
        <v>47315</v>
      </c>
    </row>
    <row r="11249" spans="1:24">
      <c r="A11249">
        <f>HYPERLINK("https://www.philgeps.gov.ph/GEPSNONPILOT/Tender/SplashBidNoticeAbstractUI.aspx?menuIndex=3&amp;refID=7182975&amp;Result=3","7182975")</f>
        <v>0</v>
      </c>
      <c r="B11249" t="s">
        <v>970</v>
      </c>
      <c r="C11249" t="s">
        <v>14481</v>
      </c>
      <c r="D11249" t="s">
        <v>18990</v>
      </c>
      <c r="E11249" t="s">
        <v>28669</v>
      </c>
      <c r="F11249" t="s">
        <v>32606</v>
      </c>
      <c r="G11249" t="s">
        <v>32613</v>
      </c>
      <c r="H11249" t="s">
        <v>32623</v>
      </c>
      <c r="I11249" t="s">
        <v>17648</v>
      </c>
      <c r="J11249" t="s">
        <v>39763</v>
      </c>
      <c r="K11249" t="s">
        <v>42857</v>
      </c>
      <c r="M11249" t="s">
        <v>43916</v>
      </c>
      <c r="N11249" t="s">
        <v>47304</v>
      </c>
      <c r="O11249" t="s">
        <v>47305</v>
      </c>
      <c r="P11249">
        <v>0</v>
      </c>
      <c r="Q11249">
        <v>0</v>
      </c>
      <c r="R11249" t="s">
        <v>47314</v>
      </c>
      <c r="S11249" t="s">
        <v>47596</v>
      </c>
      <c r="T11249" t="s">
        <v>49040</v>
      </c>
      <c r="U11249" t="s">
        <v>58816</v>
      </c>
      <c r="W11249" t="s">
        <v>43916</v>
      </c>
      <c r="X11249" t="s">
        <v>47315</v>
      </c>
    </row>
    <row r="11250" spans="1:24">
      <c r="A11250">
        <f>HYPERLINK("https://www.philgeps.gov.ph/GEPSNONPILOT/Tender/SplashBidNoticeAbstractUI.aspx?menuIndex=3&amp;refID=7182971&amp;Result=3","7182971")</f>
        <v>0</v>
      </c>
      <c r="B11250" t="s">
        <v>903</v>
      </c>
      <c r="C11250" t="s">
        <v>14482</v>
      </c>
      <c r="D11250" t="s">
        <v>19049</v>
      </c>
      <c r="E11250" t="s">
        <v>28670</v>
      </c>
      <c r="F11250" t="s">
        <v>32606</v>
      </c>
      <c r="G11250" t="s">
        <v>32613</v>
      </c>
      <c r="H11250" t="s">
        <v>14201</v>
      </c>
      <c r="I11250" t="s">
        <v>6993</v>
      </c>
      <c r="J11250" t="s">
        <v>39764</v>
      </c>
      <c r="K11250" t="s">
        <v>42631</v>
      </c>
      <c r="M11250" t="s">
        <v>43840</v>
      </c>
      <c r="N11250" t="s">
        <v>47304</v>
      </c>
      <c r="O11250" t="s">
        <v>47305</v>
      </c>
      <c r="P11250">
        <v>0</v>
      </c>
      <c r="Q11250">
        <v>0</v>
      </c>
      <c r="R11250" t="s">
        <v>47314</v>
      </c>
      <c r="S11250" t="s">
        <v>47596</v>
      </c>
      <c r="T11250" t="s">
        <v>49221</v>
      </c>
      <c r="U11250" t="s">
        <v>58817</v>
      </c>
      <c r="W11250" t="s">
        <v>43840</v>
      </c>
      <c r="X11250" t="s">
        <v>47315</v>
      </c>
    </row>
    <row r="11251" spans="1:24">
      <c r="A11251">
        <f>HYPERLINK("https://www.philgeps.gov.ph/GEPSNONPILOT/Tender/SplashBidNoticeAbstractUI.aspx?menuIndex=3&amp;refID=7183129&amp;Result=3","7183129")</f>
        <v>0</v>
      </c>
      <c r="B11251" t="s">
        <v>3223</v>
      </c>
      <c r="C11251" t="s">
        <v>14483</v>
      </c>
      <c r="D11251" t="s">
        <v>18992</v>
      </c>
      <c r="E11251" t="s">
        <v>28671</v>
      </c>
      <c r="F11251" t="s">
        <v>32606</v>
      </c>
      <c r="G11251" t="s">
        <v>32613</v>
      </c>
      <c r="H11251" t="s">
        <v>32623</v>
      </c>
      <c r="I11251" t="s">
        <v>17648</v>
      </c>
      <c r="J11251" t="s">
        <v>32923</v>
      </c>
      <c r="K11251" t="s">
        <v>42682</v>
      </c>
      <c r="M11251" t="s">
        <v>46449</v>
      </c>
      <c r="N11251" t="s">
        <v>47304</v>
      </c>
      <c r="O11251" t="s">
        <v>47305</v>
      </c>
      <c r="P11251">
        <v>0</v>
      </c>
      <c r="Q11251">
        <v>0</v>
      </c>
      <c r="R11251" t="s">
        <v>47314</v>
      </c>
      <c r="S11251" t="s">
        <v>47596</v>
      </c>
      <c r="T11251" t="s">
        <v>48998</v>
      </c>
      <c r="U11251" t="s">
        <v>58818</v>
      </c>
      <c r="W11251" t="s">
        <v>46449</v>
      </c>
      <c r="X11251" t="s">
        <v>47315</v>
      </c>
    </row>
    <row r="11252" spans="1:24">
      <c r="A11252">
        <f>HYPERLINK("https://www.philgeps.gov.ph/GEPSNONPILOT/Tender/SplashBidNoticeAbstractUI.aspx?menuIndex=3&amp;refID=7182582&amp;Result=3","7182582")</f>
        <v>0</v>
      </c>
      <c r="B11252" t="s">
        <v>1201</v>
      </c>
      <c r="C11252" t="s">
        <v>14484</v>
      </c>
      <c r="E11252" t="s">
        <v>19462</v>
      </c>
      <c r="F11252" t="s">
        <v>32606</v>
      </c>
      <c r="G11252" t="s">
        <v>32613</v>
      </c>
      <c r="H11252" t="s">
        <v>32623</v>
      </c>
      <c r="I11252" t="s">
        <v>17648</v>
      </c>
      <c r="J11252" t="s">
        <v>39765</v>
      </c>
      <c r="K11252" t="s">
        <v>42694</v>
      </c>
      <c r="M11252" t="s">
        <v>45117</v>
      </c>
      <c r="N11252" t="s">
        <v>47304</v>
      </c>
      <c r="O11252" t="s">
        <v>47305</v>
      </c>
      <c r="P11252">
        <v>0</v>
      </c>
      <c r="Q11252">
        <v>6</v>
      </c>
      <c r="R11252" t="s">
        <v>47314</v>
      </c>
      <c r="S11252" t="s">
        <v>47596</v>
      </c>
      <c r="T11252" t="s">
        <v>49064</v>
      </c>
      <c r="U11252" t="s">
        <v>58819</v>
      </c>
      <c r="W11252" t="s">
        <v>45117</v>
      </c>
      <c r="X11252" t="s">
        <v>47315</v>
      </c>
    </row>
    <row r="11253" spans="1:24">
      <c r="A11253">
        <f>HYPERLINK("https://www.philgeps.gov.ph/GEPSNONPILOT/Tender/SplashBidNoticeAbstractUI.aspx?menuIndex=3&amp;refID=7183116&amp;Result=3","7183116")</f>
        <v>0</v>
      </c>
      <c r="B11253" t="s">
        <v>2887</v>
      </c>
      <c r="C11253" t="s">
        <v>14485</v>
      </c>
      <c r="D11253" t="s">
        <v>18997</v>
      </c>
      <c r="E11253" t="s">
        <v>28672</v>
      </c>
      <c r="F11253" t="s">
        <v>32606</v>
      </c>
      <c r="G11253" t="s">
        <v>32613</v>
      </c>
      <c r="H11253" t="s">
        <v>14201</v>
      </c>
      <c r="I11253" t="s">
        <v>6931</v>
      </c>
      <c r="J11253" t="s">
        <v>39766</v>
      </c>
      <c r="K11253" t="s">
        <v>42627</v>
      </c>
      <c r="M11253" t="s">
        <v>46060</v>
      </c>
      <c r="N11253" t="s">
        <v>47304</v>
      </c>
      <c r="O11253" t="s">
        <v>47305</v>
      </c>
      <c r="P11253">
        <v>0</v>
      </c>
      <c r="Q11253">
        <v>0</v>
      </c>
      <c r="R11253" t="s">
        <v>47314</v>
      </c>
      <c r="S11253" t="s">
        <v>47596</v>
      </c>
      <c r="T11253" t="s">
        <v>49023</v>
      </c>
      <c r="U11253" t="s">
        <v>58820</v>
      </c>
      <c r="W11253" t="s">
        <v>46060</v>
      </c>
      <c r="X11253" t="s">
        <v>47315</v>
      </c>
    </row>
    <row r="11254" spans="1:24">
      <c r="A11254">
        <f>HYPERLINK("https://www.philgeps.gov.ph/GEPSNONPILOT/Tender/SplashBidNoticeAbstractUI.aspx?menuIndex=3&amp;refID=7182181&amp;Result=3","7182181")</f>
        <v>0</v>
      </c>
      <c r="B11254" t="s">
        <v>984</v>
      </c>
      <c r="C11254" t="s">
        <v>14486</v>
      </c>
      <c r="D11254" t="s">
        <v>19039</v>
      </c>
      <c r="E11254" t="s">
        <v>28673</v>
      </c>
      <c r="F11254" t="s">
        <v>32606</v>
      </c>
      <c r="G11254" t="s">
        <v>32613</v>
      </c>
      <c r="H11254" t="s">
        <v>32623</v>
      </c>
      <c r="I11254" t="s">
        <v>17648</v>
      </c>
      <c r="J11254" t="s">
        <v>39767</v>
      </c>
      <c r="K11254" t="s">
        <v>42648</v>
      </c>
      <c r="L11254" t="s">
        <v>984</v>
      </c>
      <c r="M11254" t="s">
        <v>43930</v>
      </c>
      <c r="N11254" t="s">
        <v>47304</v>
      </c>
      <c r="O11254" t="s">
        <v>47305</v>
      </c>
      <c r="P11254">
        <v>0</v>
      </c>
      <c r="Q11254">
        <v>6</v>
      </c>
      <c r="R11254" t="s">
        <v>47314</v>
      </c>
      <c r="S11254" t="s">
        <v>47596</v>
      </c>
      <c r="T11254" t="s">
        <v>48992</v>
      </c>
      <c r="U11254" t="s">
        <v>58821</v>
      </c>
      <c r="W11254" t="s">
        <v>43930</v>
      </c>
      <c r="X11254" t="s">
        <v>47315</v>
      </c>
    </row>
    <row r="11255" spans="1:24">
      <c r="A11255">
        <f>HYPERLINK("https://www.philgeps.gov.ph/GEPSNONPILOT/Tender/SplashBidNoticeAbstractUI.aspx?menuIndex=3&amp;refID=7174347&amp;Result=3","7174347")</f>
        <v>0</v>
      </c>
      <c r="B11255" t="s">
        <v>3265</v>
      </c>
      <c r="C11255" t="s">
        <v>14487</v>
      </c>
      <c r="D11255" t="s">
        <v>19056</v>
      </c>
      <c r="E11255" t="s">
        <v>28674</v>
      </c>
      <c r="F11255" t="s">
        <v>32606</v>
      </c>
      <c r="G11255" t="s">
        <v>32613</v>
      </c>
      <c r="H11255" t="s">
        <v>32623</v>
      </c>
      <c r="I11255" t="s">
        <v>17648</v>
      </c>
      <c r="J11255" t="s">
        <v>39768</v>
      </c>
      <c r="K11255" t="s">
        <v>42646</v>
      </c>
      <c r="M11255" t="s">
        <v>46499</v>
      </c>
      <c r="N11255" t="s">
        <v>47304</v>
      </c>
      <c r="O11255" t="s">
        <v>47305</v>
      </c>
      <c r="P11255">
        <v>0</v>
      </c>
      <c r="Q11255">
        <v>0</v>
      </c>
      <c r="R11255" t="s">
        <v>47315</v>
      </c>
      <c r="S11255" t="s">
        <v>47665</v>
      </c>
      <c r="T11255" t="s">
        <v>49066</v>
      </c>
      <c r="U11255" t="s">
        <v>58822</v>
      </c>
      <c r="W11255" t="s">
        <v>46499</v>
      </c>
      <c r="X11255" t="s">
        <v>47319</v>
      </c>
    </row>
    <row r="11256" spans="1:24">
      <c r="A11256">
        <f>HYPERLINK("https://www.philgeps.gov.ph/GEPSNONPILOT/Tender/SplashBidNoticeAbstractUI.aspx?menuIndex=3&amp;refID=7182498&amp;Result=3","7182498")</f>
        <v>0</v>
      </c>
      <c r="B11256" t="s">
        <v>3270</v>
      </c>
      <c r="C11256" t="s">
        <v>4609</v>
      </c>
      <c r="D11256" t="s">
        <v>19001</v>
      </c>
      <c r="E11256" t="s">
        <v>22604</v>
      </c>
      <c r="F11256" t="s">
        <v>32606</v>
      </c>
      <c r="G11256" t="s">
        <v>32619</v>
      </c>
      <c r="H11256" t="s">
        <v>14201</v>
      </c>
      <c r="I11256" t="s">
        <v>4120</v>
      </c>
      <c r="J11256" t="s">
        <v>39769</v>
      </c>
      <c r="K11256" t="s">
        <v>42632</v>
      </c>
      <c r="M11256" t="s">
        <v>46504</v>
      </c>
      <c r="N11256" t="s">
        <v>47304</v>
      </c>
      <c r="O11256" t="s">
        <v>47305</v>
      </c>
      <c r="P11256">
        <v>0</v>
      </c>
      <c r="Q11256">
        <v>3</v>
      </c>
      <c r="R11256" t="s">
        <v>47314</v>
      </c>
      <c r="S11256" t="s">
        <v>47596</v>
      </c>
      <c r="T11256" t="s">
        <v>49047</v>
      </c>
      <c r="U11256" t="s">
        <v>58823</v>
      </c>
      <c r="W11256" t="s">
        <v>46504</v>
      </c>
      <c r="X11256" t="s">
        <v>47315</v>
      </c>
    </row>
    <row r="11257" spans="1:24">
      <c r="A11257">
        <f>HYPERLINK("https://www.philgeps.gov.ph/GEPSNONPILOT/Tender/SplashBidNoticeAbstractUI.aspx?menuIndex=3&amp;refID=7183042&amp;Result=3","7183042")</f>
        <v>0</v>
      </c>
      <c r="B11257" t="s">
        <v>3229</v>
      </c>
      <c r="C11257" t="s">
        <v>14488</v>
      </c>
      <c r="D11257" t="s">
        <v>19018</v>
      </c>
      <c r="E11257" t="s">
        <v>28675</v>
      </c>
      <c r="F11257" t="s">
        <v>32606</v>
      </c>
      <c r="G11257" t="s">
        <v>32613</v>
      </c>
      <c r="H11257" t="s">
        <v>14201</v>
      </c>
      <c r="I11257" t="s">
        <v>4120</v>
      </c>
      <c r="J11257" t="s">
        <v>39770</v>
      </c>
      <c r="K11257" t="s">
        <v>42631</v>
      </c>
      <c r="M11257" t="s">
        <v>46459</v>
      </c>
      <c r="N11257" t="s">
        <v>47304</v>
      </c>
      <c r="O11257" t="s">
        <v>47305</v>
      </c>
      <c r="P11257">
        <v>0</v>
      </c>
      <c r="Q11257">
        <v>3</v>
      </c>
      <c r="R11257" t="s">
        <v>47314</v>
      </c>
      <c r="S11257" t="s">
        <v>47596</v>
      </c>
      <c r="T11257" t="s">
        <v>49052</v>
      </c>
      <c r="U11257" t="s">
        <v>58606</v>
      </c>
      <c r="W11257" t="s">
        <v>46459</v>
      </c>
      <c r="X11257" t="s">
        <v>47315</v>
      </c>
    </row>
    <row r="11258" spans="1:24">
      <c r="A11258">
        <f>HYPERLINK("https://www.philgeps.gov.ph/GEPSNONPILOT/Tender/SplashBidNoticeAbstractUI.aspx?menuIndex=3&amp;refID=7175165&amp;Result=3","7175165")</f>
        <v>0</v>
      </c>
      <c r="B11258" t="s">
        <v>1193</v>
      </c>
      <c r="C11258" t="s">
        <v>14489</v>
      </c>
      <c r="D11258" t="s">
        <v>19007</v>
      </c>
      <c r="E11258" t="s">
        <v>28676</v>
      </c>
      <c r="F11258" t="s">
        <v>32606</v>
      </c>
      <c r="G11258" t="s">
        <v>32613</v>
      </c>
      <c r="H11258" t="s">
        <v>14201</v>
      </c>
      <c r="I11258" t="s">
        <v>13131</v>
      </c>
      <c r="J11258" t="s">
        <v>39771</v>
      </c>
      <c r="K11258" t="s">
        <v>42624</v>
      </c>
      <c r="M11258" t="s">
        <v>44227</v>
      </c>
      <c r="N11258" t="s">
        <v>47304</v>
      </c>
      <c r="O11258" t="s">
        <v>47305</v>
      </c>
      <c r="P11258">
        <v>0</v>
      </c>
      <c r="Q11258">
        <v>13</v>
      </c>
      <c r="R11258" t="s">
        <v>47315</v>
      </c>
      <c r="S11258" t="s">
        <v>47665</v>
      </c>
      <c r="T11258" t="s">
        <v>49156</v>
      </c>
      <c r="U11258" t="s">
        <v>58824</v>
      </c>
      <c r="W11258" t="s">
        <v>44560</v>
      </c>
      <c r="X11258" t="s">
        <v>47319</v>
      </c>
    </row>
    <row r="11259" spans="1:24">
      <c r="A11259">
        <f>HYPERLINK("https://www.philgeps.gov.ph/GEPSNONPILOT/Tender/SplashBidNoticeAbstractUI.aspx?menuIndex=3&amp;refID=7174841&amp;Result=3","7174841")</f>
        <v>0</v>
      </c>
      <c r="B11259" t="s">
        <v>3265</v>
      </c>
      <c r="C11259" t="s">
        <v>14490</v>
      </c>
      <c r="D11259" t="s">
        <v>19056</v>
      </c>
      <c r="E11259" t="s">
        <v>28677</v>
      </c>
      <c r="F11259" t="s">
        <v>32606</v>
      </c>
      <c r="G11259" t="s">
        <v>32613</v>
      </c>
      <c r="H11259" t="s">
        <v>32623</v>
      </c>
      <c r="I11259" t="s">
        <v>17648</v>
      </c>
      <c r="J11259" t="s">
        <v>39772</v>
      </c>
      <c r="K11259" t="s">
        <v>42639</v>
      </c>
      <c r="M11259" t="s">
        <v>46499</v>
      </c>
      <c r="N11259" t="s">
        <v>47304</v>
      </c>
      <c r="O11259" t="s">
        <v>47305</v>
      </c>
      <c r="P11259">
        <v>0</v>
      </c>
      <c r="Q11259">
        <v>0</v>
      </c>
      <c r="R11259" t="s">
        <v>47315</v>
      </c>
      <c r="S11259" t="s">
        <v>47665</v>
      </c>
      <c r="T11259" t="s">
        <v>49066</v>
      </c>
      <c r="U11259" t="s">
        <v>58825</v>
      </c>
      <c r="W11259" t="s">
        <v>46499</v>
      </c>
      <c r="X11259" t="s">
        <v>47319</v>
      </c>
    </row>
    <row r="11260" spans="1:24">
      <c r="A11260">
        <f>HYPERLINK("https://www.philgeps.gov.ph/GEPSNONPILOT/Tender/SplashBidNoticeAbstractUI.aspx?menuIndex=3&amp;refID=7182179&amp;Result=3","7182179")</f>
        <v>0</v>
      </c>
      <c r="B11260" t="s">
        <v>3271</v>
      </c>
      <c r="C11260" t="s">
        <v>14491</v>
      </c>
      <c r="D11260" t="s">
        <v>19031</v>
      </c>
      <c r="E11260" t="s">
        <v>28678</v>
      </c>
      <c r="F11260" t="s">
        <v>32606</v>
      </c>
      <c r="G11260" t="s">
        <v>32613</v>
      </c>
      <c r="H11260" t="s">
        <v>32623</v>
      </c>
      <c r="I11260" t="s">
        <v>17648</v>
      </c>
      <c r="J11260" t="s">
        <v>39773</v>
      </c>
      <c r="K11260" t="s">
        <v>42719</v>
      </c>
      <c r="M11260" t="s">
        <v>46505</v>
      </c>
      <c r="N11260" t="s">
        <v>47304</v>
      </c>
      <c r="O11260" t="s">
        <v>47305</v>
      </c>
      <c r="P11260">
        <v>0</v>
      </c>
      <c r="Q11260">
        <v>0</v>
      </c>
      <c r="R11260" t="s">
        <v>47314</v>
      </c>
      <c r="S11260" t="s">
        <v>47596</v>
      </c>
      <c r="T11260" t="s">
        <v>49001</v>
      </c>
      <c r="U11260" t="s">
        <v>58826</v>
      </c>
      <c r="V11260" t="s">
        <v>63853</v>
      </c>
      <c r="W11260" t="s">
        <v>46505</v>
      </c>
      <c r="X11260" t="s">
        <v>47315</v>
      </c>
    </row>
    <row r="11261" spans="1:24">
      <c r="A11261">
        <f>HYPERLINK("https://www.philgeps.gov.ph/GEPSNONPILOT/Tender/SplashBidNoticeAbstractUI.aspx?menuIndex=3&amp;refID=7175451&amp;Result=3","7175451")</f>
        <v>0</v>
      </c>
      <c r="B11261" t="s">
        <v>1119</v>
      </c>
      <c r="C11261" t="s">
        <v>14492</v>
      </c>
      <c r="D11261" t="s">
        <v>19002</v>
      </c>
      <c r="E11261" t="s">
        <v>28679</v>
      </c>
      <c r="F11261" t="s">
        <v>32606</v>
      </c>
      <c r="G11261" t="s">
        <v>32613</v>
      </c>
      <c r="H11261" t="s">
        <v>32623</v>
      </c>
      <c r="I11261" t="s">
        <v>17648</v>
      </c>
      <c r="J11261" t="s">
        <v>39774</v>
      </c>
      <c r="K11261" t="s">
        <v>42634</v>
      </c>
      <c r="M11261" t="s">
        <v>44081</v>
      </c>
      <c r="N11261" t="s">
        <v>47304</v>
      </c>
      <c r="O11261" t="s">
        <v>47305</v>
      </c>
      <c r="P11261">
        <v>0</v>
      </c>
      <c r="Q11261">
        <v>0</v>
      </c>
      <c r="R11261" t="s">
        <v>47315</v>
      </c>
      <c r="S11261" t="s">
        <v>47665</v>
      </c>
      <c r="T11261" t="s">
        <v>49100</v>
      </c>
      <c r="U11261" t="s">
        <v>58827</v>
      </c>
      <c r="W11261" t="s">
        <v>64534</v>
      </c>
      <c r="X11261" t="s">
        <v>47319</v>
      </c>
    </row>
    <row r="11262" spans="1:24">
      <c r="A11262">
        <f>HYPERLINK("https://www.philgeps.gov.ph/GEPSNONPILOT/Tender/SplashBidNoticeAbstractUI.aspx?menuIndex=3&amp;refID=7175456&amp;Result=3","7175456")</f>
        <v>0</v>
      </c>
      <c r="B11262" t="s">
        <v>1253</v>
      </c>
      <c r="C11262" t="s">
        <v>14493</v>
      </c>
      <c r="D11262" t="s">
        <v>19043</v>
      </c>
      <c r="E11262" t="s">
        <v>28680</v>
      </c>
      <c r="F11262" t="s">
        <v>32606</v>
      </c>
      <c r="G11262" t="s">
        <v>32613</v>
      </c>
      <c r="H11262" t="s">
        <v>14201</v>
      </c>
      <c r="I11262" t="s">
        <v>6007</v>
      </c>
      <c r="J11262" t="s">
        <v>39775</v>
      </c>
      <c r="K11262" t="s">
        <v>42624</v>
      </c>
      <c r="M11262" t="s">
        <v>44219</v>
      </c>
      <c r="N11262" t="s">
        <v>47304</v>
      </c>
      <c r="O11262" t="s">
        <v>47305</v>
      </c>
      <c r="P11262">
        <v>0</v>
      </c>
      <c r="Q11262">
        <v>0</v>
      </c>
      <c r="R11262" t="s">
        <v>47315</v>
      </c>
      <c r="S11262" t="s">
        <v>47665</v>
      </c>
      <c r="T11262" t="s">
        <v>49198</v>
      </c>
      <c r="U11262" t="s">
        <v>58828</v>
      </c>
      <c r="W11262" t="s">
        <v>64535</v>
      </c>
      <c r="X11262" t="s">
        <v>47319</v>
      </c>
    </row>
    <row r="11263" spans="1:24">
      <c r="A11263">
        <f>HYPERLINK("https://www.philgeps.gov.ph/GEPSNONPILOT/Tender/SplashBidNoticeAbstractUI.aspx?menuIndex=3&amp;refID=7182570&amp;Result=3","7182570")</f>
        <v>0</v>
      </c>
      <c r="B11263" t="s">
        <v>2728</v>
      </c>
      <c r="C11263" t="s">
        <v>14494</v>
      </c>
      <c r="D11263" t="s">
        <v>19003</v>
      </c>
      <c r="E11263" t="s">
        <v>28681</v>
      </c>
      <c r="F11263" t="s">
        <v>32606</v>
      </c>
      <c r="G11263" t="s">
        <v>32613</v>
      </c>
      <c r="H11263" t="s">
        <v>14201</v>
      </c>
      <c r="I11263" t="s">
        <v>6931</v>
      </c>
      <c r="J11263" t="s">
        <v>39776</v>
      </c>
      <c r="K11263" t="s">
        <v>42622</v>
      </c>
      <c r="M11263" t="s">
        <v>45883</v>
      </c>
      <c r="N11263" t="s">
        <v>47304</v>
      </c>
      <c r="O11263" t="s">
        <v>47305</v>
      </c>
      <c r="P11263">
        <v>0</v>
      </c>
      <c r="Q11263">
        <v>1</v>
      </c>
      <c r="R11263" t="s">
        <v>47314</v>
      </c>
      <c r="S11263" t="s">
        <v>47596</v>
      </c>
      <c r="T11263" t="s">
        <v>49256</v>
      </c>
      <c r="U11263" t="s">
        <v>58829</v>
      </c>
      <c r="W11263" t="s">
        <v>45883</v>
      </c>
      <c r="X11263" t="s">
        <v>47315</v>
      </c>
    </row>
    <row r="11264" spans="1:24">
      <c r="A11264">
        <f>HYPERLINK("https://www.philgeps.gov.ph/GEPSNONPILOT/Tender/SplashBidNoticeAbstractUI.aspx?menuIndex=3&amp;refID=7174513&amp;Result=3","7174513")</f>
        <v>0</v>
      </c>
      <c r="B11264" t="s">
        <v>1815</v>
      </c>
      <c r="C11264" t="s">
        <v>14495</v>
      </c>
      <c r="D11264" t="s">
        <v>19070</v>
      </c>
      <c r="E11264" t="s">
        <v>28682</v>
      </c>
      <c r="F11264" t="s">
        <v>32606</v>
      </c>
      <c r="G11264" t="s">
        <v>32613</v>
      </c>
      <c r="H11264" t="s">
        <v>32623</v>
      </c>
      <c r="I11264" t="s">
        <v>32649</v>
      </c>
      <c r="J11264" t="s">
        <v>39777</v>
      </c>
      <c r="K11264" t="s">
        <v>42646</v>
      </c>
      <c r="M11264" t="s">
        <v>44856</v>
      </c>
      <c r="N11264" t="s">
        <v>47304</v>
      </c>
      <c r="O11264" t="s">
        <v>47305</v>
      </c>
      <c r="P11264">
        <v>0</v>
      </c>
      <c r="Q11264">
        <v>2</v>
      </c>
      <c r="R11264" t="s">
        <v>47315</v>
      </c>
      <c r="S11264" t="s">
        <v>47665</v>
      </c>
      <c r="T11264" t="s">
        <v>49099</v>
      </c>
      <c r="U11264" t="s">
        <v>58830</v>
      </c>
      <c r="V11264" t="s">
        <v>63854</v>
      </c>
      <c r="W11264" t="s">
        <v>44856</v>
      </c>
      <c r="X11264" t="s">
        <v>47319</v>
      </c>
    </row>
    <row r="11265" spans="1:24">
      <c r="A11265">
        <f>HYPERLINK("https://www.philgeps.gov.ph/GEPSNONPILOT/Tender/SplashBidNoticeAbstractUI.aspx?menuIndex=3&amp;refID=7174497&amp;Result=3","7174497")</f>
        <v>0</v>
      </c>
      <c r="B11265" t="s">
        <v>3265</v>
      </c>
      <c r="C11265" t="s">
        <v>14496</v>
      </c>
      <c r="D11265" t="s">
        <v>19056</v>
      </c>
      <c r="E11265" t="s">
        <v>28683</v>
      </c>
      <c r="F11265" t="s">
        <v>32606</v>
      </c>
      <c r="G11265" t="s">
        <v>32613</v>
      </c>
      <c r="H11265" t="s">
        <v>32623</v>
      </c>
      <c r="I11265" t="s">
        <v>17648</v>
      </c>
      <c r="J11265" t="s">
        <v>39778</v>
      </c>
      <c r="K11265" t="s">
        <v>42636</v>
      </c>
      <c r="M11265" t="s">
        <v>46499</v>
      </c>
      <c r="N11265" t="s">
        <v>47304</v>
      </c>
      <c r="O11265" t="s">
        <v>47305</v>
      </c>
      <c r="P11265">
        <v>0</v>
      </c>
      <c r="Q11265">
        <v>0</v>
      </c>
      <c r="R11265" t="s">
        <v>47315</v>
      </c>
      <c r="S11265" t="s">
        <v>47665</v>
      </c>
      <c r="T11265" t="s">
        <v>49066</v>
      </c>
      <c r="U11265" t="s">
        <v>58831</v>
      </c>
      <c r="W11265" t="s">
        <v>46499</v>
      </c>
      <c r="X11265" t="s">
        <v>47319</v>
      </c>
    </row>
    <row r="11266" spans="1:24">
      <c r="A11266">
        <f>HYPERLINK("https://www.philgeps.gov.ph/GEPSNONPILOT/Tender/SplashBidNoticeAbstractUI.aspx?menuIndex=3&amp;refID=7176508&amp;Result=3","7176508")</f>
        <v>0</v>
      </c>
      <c r="B11266" t="s">
        <v>52</v>
      </c>
      <c r="C11266" t="s">
        <v>14497</v>
      </c>
      <c r="D11266" t="s">
        <v>19007</v>
      </c>
      <c r="E11266" t="s">
        <v>28684</v>
      </c>
      <c r="F11266" t="s">
        <v>32606</v>
      </c>
      <c r="G11266" t="s">
        <v>32613</v>
      </c>
      <c r="H11266" t="s">
        <v>14201</v>
      </c>
      <c r="I11266" t="s">
        <v>17648</v>
      </c>
      <c r="J11266" t="s">
        <v>39779</v>
      </c>
      <c r="K11266" t="s">
        <v>42646</v>
      </c>
      <c r="M11266" t="s">
        <v>42949</v>
      </c>
      <c r="N11266" t="s">
        <v>47304</v>
      </c>
      <c r="O11266" t="s">
        <v>47305</v>
      </c>
      <c r="P11266">
        <v>0</v>
      </c>
      <c r="Q11266">
        <v>0</v>
      </c>
      <c r="R11266" t="s">
        <v>47315</v>
      </c>
      <c r="S11266" t="s">
        <v>47665</v>
      </c>
      <c r="T11266" t="s">
        <v>49351</v>
      </c>
      <c r="U11266" t="s">
        <v>49586</v>
      </c>
      <c r="W11266" t="s">
        <v>42949</v>
      </c>
      <c r="X11266" t="s">
        <v>47319</v>
      </c>
    </row>
    <row r="11267" spans="1:24">
      <c r="A11267">
        <f>HYPERLINK("https://www.philgeps.gov.ph/GEPSNONPILOT/Tender/SplashBidNoticeAbstractUI.aspx?menuIndex=3&amp;refID=7176470&amp;Result=3","7176470")</f>
        <v>0</v>
      </c>
      <c r="B11267" t="s">
        <v>52</v>
      </c>
      <c r="C11267" t="s">
        <v>14498</v>
      </c>
      <c r="D11267" t="s">
        <v>19007</v>
      </c>
      <c r="E11267" t="s">
        <v>28685</v>
      </c>
      <c r="F11267" t="s">
        <v>32606</v>
      </c>
      <c r="G11267" t="s">
        <v>32613</v>
      </c>
      <c r="H11267" t="s">
        <v>14201</v>
      </c>
      <c r="I11267" t="s">
        <v>17648</v>
      </c>
      <c r="J11267" t="s">
        <v>39780</v>
      </c>
      <c r="K11267" t="s">
        <v>42682</v>
      </c>
      <c r="M11267" t="s">
        <v>42949</v>
      </c>
      <c r="N11267" t="s">
        <v>47304</v>
      </c>
      <c r="O11267" t="s">
        <v>47305</v>
      </c>
      <c r="P11267">
        <v>0</v>
      </c>
      <c r="Q11267">
        <v>0</v>
      </c>
      <c r="R11267" t="s">
        <v>47315</v>
      </c>
      <c r="S11267" t="s">
        <v>47665</v>
      </c>
      <c r="T11267" t="s">
        <v>49351</v>
      </c>
      <c r="U11267" t="s">
        <v>49586</v>
      </c>
      <c r="W11267" t="s">
        <v>42949</v>
      </c>
      <c r="X11267" t="s">
        <v>47319</v>
      </c>
    </row>
    <row r="11268" spans="1:24">
      <c r="A11268">
        <f>HYPERLINK("https://www.philgeps.gov.ph/GEPSNONPILOT/Tender/SplashBidNoticeAbstractUI.aspx?menuIndex=3&amp;refID=7176447&amp;Result=3","7176447")</f>
        <v>0</v>
      </c>
      <c r="B11268" t="s">
        <v>3272</v>
      </c>
      <c r="C11268" t="s">
        <v>14499</v>
      </c>
      <c r="D11268" t="s">
        <v>19049</v>
      </c>
      <c r="E11268" t="s">
        <v>28686</v>
      </c>
      <c r="F11268" t="s">
        <v>32606</v>
      </c>
      <c r="G11268" t="s">
        <v>32613</v>
      </c>
      <c r="H11268" t="s">
        <v>14201</v>
      </c>
      <c r="I11268" t="s">
        <v>32677</v>
      </c>
      <c r="J11268" t="s">
        <v>39781</v>
      </c>
      <c r="K11268" t="s">
        <v>42636</v>
      </c>
      <c r="M11268" t="s">
        <v>46506</v>
      </c>
      <c r="N11268" t="s">
        <v>47304</v>
      </c>
      <c r="O11268" t="s">
        <v>47305</v>
      </c>
      <c r="P11268">
        <v>0</v>
      </c>
      <c r="Q11268">
        <v>9</v>
      </c>
      <c r="R11268" t="s">
        <v>47315</v>
      </c>
      <c r="S11268" t="s">
        <v>47665</v>
      </c>
      <c r="T11268" t="s">
        <v>49032</v>
      </c>
      <c r="U11268" t="s">
        <v>58832</v>
      </c>
      <c r="W11268" t="s">
        <v>46506</v>
      </c>
      <c r="X11268" t="s">
        <v>47319</v>
      </c>
    </row>
    <row r="11269" spans="1:24">
      <c r="A11269">
        <f>HYPERLINK("https://www.philgeps.gov.ph/GEPSNONPILOT/Tender/SplashBidNoticeAbstractUI.aspx?menuIndex=3&amp;refID=7182573&amp;Result=3","7182573")</f>
        <v>0</v>
      </c>
      <c r="B11269" t="s">
        <v>984</v>
      </c>
      <c r="C11269" t="s">
        <v>14500</v>
      </c>
      <c r="D11269" t="s">
        <v>19039</v>
      </c>
      <c r="E11269" t="s">
        <v>28687</v>
      </c>
      <c r="F11269" t="s">
        <v>32606</v>
      </c>
      <c r="G11269" t="s">
        <v>32613</v>
      </c>
      <c r="H11269" t="s">
        <v>14201</v>
      </c>
      <c r="I11269" t="s">
        <v>4114</v>
      </c>
      <c r="J11269" t="s">
        <v>32765</v>
      </c>
      <c r="K11269" t="s">
        <v>42637</v>
      </c>
      <c r="L11269" t="s">
        <v>984</v>
      </c>
      <c r="M11269" t="s">
        <v>43930</v>
      </c>
      <c r="N11269" t="s">
        <v>47304</v>
      </c>
      <c r="O11269" t="s">
        <v>47305</v>
      </c>
      <c r="P11269">
        <v>0</v>
      </c>
      <c r="Q11269">
        <v>3</v>
      </c>
      <c r="R11269" t="s">
        <v>47314</v>
      </c>
      <c r="S11269" t="s">
        <v>47596</v>
      </c>
      <c r="T11269" t="s">
        <v>48992</v>
      </c>
      <c r="U11269" t="s">
        <v>58833</v>
      </c>
      <c r="W11269" t="s">
        <v>43930</v>
      </c>
      <c r="X11269" t="s">
        <v>47315</v>
      </c>
    </row>
    <row r="11270" spans="1:24">
      <c r="A11270">
        <f>HYPERLINK("https://www.philgeps.gov.ph/GEPSNONPILOT/Tender/SplashBidNoticeAbstractUI.aspx?menuIndex=3&amp;refID=7174579&amp;Result=3","7174579")</f>
        <v>0</v>
      </c>
      <c r="B11270" t="s">
        <v>3265</v>
      </c>
      <c r="C11270" t="s">
        <v>14501</v>
      </c>
      <c r="D11270" t="s">
        <v>19056</v>
      </c>
      <c r="E11270" t="s">
        <v>28688</v>
      </c>
      <c r="F11270" t="s">
        <v>32606</v>
      </c>
      <c r="G11270" t="s">
        <v>32613</v>
      </c>
      <c r="H11270" t="s">
        <v>32623</v>
      </c>
      <c r="I11270" t="s">
        <v>17648</v>
      </c>
      <c r="J11270" t="s">
        <v>39782</v>
      </c>
      <c r="K11270" t="s">
        <v>42636</v>
      </c>
      <c r="M11270" t="s">
        <v>46499</v>
      </c>
      <c r="N11270" t="s">
        <v>47304</v>
      </c>
      <c r="O11270" t="s">
        <v>47305</v>
      </c>
      <c r="P11270">
        <v>0</v>
      </c>
      <c r="Q11270">
        <v>0</v>
      </c>
      <c r="R11270" t="s">
        <v>47315</v>
      </c>
      <c r="S11270" t="s">
        <v>47665</v>
      </c>
      <c r="T11270" t="s">
        <v>49066</v>
      </c>
      <c r="U11270" t="s">
        <v>58834</v>
      </c>
      <c r="W11270" t="s">
        <v>46499</v>
      </c>
      <c r="X11270" t="s">
        <v>47319</v>
      </c>
    </row>
    <row r="11271" spans="1:24">
      <c r="A11271">
        <f>HYPERLINK("https://www.philgeps.gov.ph/GEPSNONPILOT/Tender/SplashBidNoticeAbstractUI.aspx?menuIndex=3&amp;refID=7175934&amp;Result=3","7175934")</f>
        <v>0</v>
      </c>
      <c r="B11271" t="s">
        <v>1807</v>
      </c>
      <c r="C11271" t="s">
        <v>14502</v>
      </c>
      <c r="D11271" t="s">
        <v>19026</v>
      </c>
      <c r="E11271" t="s">
        <v>28689</v>
      </c>
      <c r="F11271" t="s">
        <v>32606</v>
      </c>
      <c r="G11271" t="s">
        <v>32613</v>
      </c>
      <c r="H11271" t="s">
        <v>14201</v>
      </c>
      <c r="I11271" t="s">
        <v>4112</v>
      </c>
      <c r="J11271" t="s">
        <v>32795</v>
      </c>
      <c r="K11271" t="s">
        <v>42630</v>
      </c>
      <c r="M11271" t="s">
        <v>44864</v>
      </c>
      <c r="N11271" t="s">
        <v>47304</v>
      </c>
      <c r="O11271" t="s">
        <v>47305</v>
      </c>
      <c r="P11271">
        <v>0</v>
      </c>
      <c r="Q11271">
        <v>1</v>
      </c>
      <c r="R11271" t="s">
        <v>47315</v>
      </c>
      <c r="S11271" t="s">
        <v>47665</v>
      </c>
      <c r="T11271" t="s">
        <v>49234</v>
      </c>
      <c r="U11271" t="s">
        <v>58102</v>
      </c>
      <c r="W11271" t="s">
        <v>44864</v>
      </c>
      <c r="X11271" t="s">
        <v>47319</v>
      </c>
    </row>
    <row r="11272" spans="1:24">
      <c r="A11272">
        <f>HYPERLINK("https://www.philgeps.gov.ph/GEPSNONPILOT/Tender/SplashBidNoticeAbstractUI.aspx?menuIndex=3&amp;refID=7175607&amp;Result=3","7175607")</f>
        <v>0</v>
      </c>
      <c r="B11272" t="s">
        <v>1119</v>
      </c>
      <c r="C11272" t="s">
        <v>14503</v>
      </c>
      <c r="D11272" t="s">
        <v>19002</v>
      </c>
      <c r="E11272" t="s">
        <v>28690</v>
      </c>
      <c r="F11272" t="s">
        <v>32606</v>
      </c>
      <c r="G11272" t="s">
        <v>32613</v>
      </c>
      <c r="H11272" t="s">
        <v>32623</v>
      </c>
      <c r="I11272" t="s">
        <v>17648</v>
      </c>
      <c r="J11272" t="s">
        <v>39774</v>
      </c>
      <c r="K11272" t="s">
        <v>42634</v>
      </c>
      <c r="M11272" t="s">
        <v>44081</v>
      </c>
      <c r="N11272" t="s">
        <v>47304</v>
      </c>
      <c r="O11272" t="s">
        <v>47305</v>
      </c>
      <c r="P11272">
        <v>0</v>
      </c>
      <c r="Q11272">
        <v>0</v>
      </c>
      <c r="R11272" t="s">
        <v>47315</v>
      </c>
      <c r="S11272" t="s">
        <v>47665</v>
      </c>
      <c r="T11272" t="s">
        <v>49100</v>
      </c>
      <c r="U11272" t="s">
        <v>58827</v>
      </c>
      <c r="W11272" t="s">
        <v>64534</v>
      </c>
      <c r="X11272" t="s">
        <v>47319</v>
      </c>
    </row>
    <row r="11273" spans="1:24">
      <c r="A11273">
        <f>HYPERLINK("https://www.philgeps.gov.ph/GEPSNONPILOT/Tender/SplashBidNoticeAbstractUI.aspx?menuIndex=3&amp;refID=7174534&amp;Result=3","7174534")</f>
        <v>0</v>
      </c>
      <c r="B11273" t="s">
        <v>3265</v>
      </c>
      <c r="C11273" t="s">
        <v>14504</v>
      </c>
      <c r="D11273" t="s">
        <v>19056</v>
      </c>
      <c r="E11273" t="s">
        <v>28691</v>
      </c>
      <c r="F11273" t="s">
        <v>32606</v>
      </c>
      <c r="G11273" t="s">
        <v>32613</v>
      </c>
      <c r="H11273" t="s">
        <v>32623</v>
      </c>
      <c r="I11273" t="s">
        <v>17648</v>
      </c>
      <c r="J11273" t="s">
        <v>39783</v>
      </c>
      <c r="K11273" t="s">
        <v>42639</v>
      </c>
      <c r="M11273" t="s">
        <v>46499</v>
      </c>
      <c r="N11273" t="s">
        <v>47304</v>
      </c>
      <c r="O11273" t="s">
        <v>47305</v>
      </c>
      <c r="P11273">
        <v>0</v>
      </c>
      <c r="Q11273">
        <v>0</v>
      </c>
      <c r="R11273" t="s">
        <v>47315</v>
      </c>
      <c r="S11273" t="s">
        <v>47665</v>
      </c>
      <c r="T11273" t="s">
        <v>49066</v>
      </c>
      <c r="U11273" t="s">
        <v>58835</v>
      </c>
      <c r="W11273" t="s">
        <v>46499</v>
      </c>
      <c r="X11273" t="s">
        <v>47319</v>
      </c>
    </row>
    <row r="11274" spans="1:24">
      <c r="A11274">
        <f>HYPERLINK("https://www.philgeps.gov.ph/GEPSNONPILOT/Tender/SplashBidNoticeAbstractUI.aspx?menuIndex=3&amp;refID=7175553&amp;Result=3","7175553")</f>
        <v>0</v>
      </c>
      <c r="B11274" t="s">
        <v>3138</v>
      </c>
      <c r="C11274" t="s">
        <v>14505</v>
      </c>
      <c r="D11274" t="s">
        <v>19036</v>
      </c>
      <c r="E11274" t="s">
        <v>28692</v>
      </c>
      <c r="F11274" t="s">
        <v>32606</v>
      </c>
      <c r="G11274" t="s">
        <v>32613</v>
      </c>
      <c r="H11274" t="s">
        <v>32623</v>
      </c>
      <c r="I11274" t="s">
        <v>17648</v>
      </c>
      <c r="J11274" t="s">
        <v>39784</v>
      </c>
      <c r="K11274" t="s">
        <v>42639</v>
      </c>
      <c r="M11274" t="s">
        <v>46351</v>
      </c>
      <c r="N11274" t="s">
        <v>47304</v>
      </c>
      <c r="O11274" t="s">
        <v>47305</v>
      </c>
      <c r="P11274">
        <v>0</v>
      </c>
      <c r="Q11274">
        <v>0</v>
      </c>
      <c r="R11274" t="s">
        <v>47315</v>
      </c>
      <c r="S11274" t="s">
        <v>47665</v>
      </c>
      <c r="T11274" t="s">
        <v>49291</v>
      </c>
      <c r="U11274" t="s">
        <v>58195</v>
      </c>
      <c r="W11274" t="s">
        <v>46351</v>
      </c>
      <c r="X11274" t="s">
        <v>47319</v>
      </c>
    </row>
    <row r="11275" spans="1:24">
      <c r="A11275">
        <f>HYPERLINK("https://www.philgeps.gov.ph/GEPSNONPILOT/Tender/SplashBidNoticeAbstractUI.aspx?menuIndex=3&amp;refID=7175518&amp;Result=3","7175518")</f>
        <v>0</v>
      </c>
      <c r="B11275" t="s">
        <v>1253</v>
      </c>
      <c r="C11275" t="s">
        <v>14506</v>
      </c>
      <c r="D11275" t="s">
        <v>19043</v>
      </c>
      <c r="E11275" t="s">
        <v>28693</v>
      </c>
      <c r="F11275" t="s">
        <v>32606</v>
      </c>
      <c r="G11275" t="s">
        <v>32613</v>
      </c>
      <c r="H11275" t="s">
        <v>32623</v>
      </c>
      <c r="I11275" t="s">
        <v>17648</v>
      </c>
      <c r="J11275" t="s">
        <v>39785</v>
      </c>
      <c r="K11275" t="s">
        <v>42687</v>
      </c>
      <c r="M11275" t="s">
        <v>44219</v>
      </c>
      <c r="N11275" t="s">
        <v>47304</v>
      </c>
      <c r="O11275" t="s">
        <v>47305</v>
      </c>
      <c r="P11275">
        <v>0</v>
      </c>
      <c r="Q11275">
        <v>3</v>
      </c>
      <c r="R11275" t="s">
        <v>47315</v>
      </c>
      <c r="S11275" t="s">
        <v>47665</v>
      </c>
      <c r="T11275" t="s">
        <v>49198</v>
      </c>
      <c r="U11275" t="s">
        <v>58836</v>
      </c>
      <c r="W11275" t="s">
        <v>64535</v>
      </c>
      <c r="X11275" t="s">
        <v>47319</v>
      </c>
    </row>
    <row r="11276" spans="1:24">
      <c r="A11276">
        <f>HYPERLINK("https://www.philgeps.gov.ph/GEPSNONPILOT/Tender/SplashBidNoticeAbstractUI.aspx?menuIndex=3&amp;refID=7176240&amp;Result=3","7176240")</f>
        <v>0</v>
      </c>
      <c r="B11276" t="s">
        <v>2967</v>
      </c>
      <c r="C11276" t="s">
        <v>14507</v>
      </c>
      <c r="D11276" t="s">
        <v>19011</v>
      </c>
      <c r="E11276" t="s">
        <v>28694</v>
      </c>
      <c r="F11276" t="s">
        <v>32606</v>
      </c>
      <c r="G11276" t="s">
        <v>32613</v>
      </c>
      <c r="H11276" t="s">
        <v>14201</v>
      </c>
      <c r="I11276" t="s">
        <v>7677</v>
      </c>
      <c r="J11276" t="s">
        <v>32795</v>
      </c>
      <c r="K11276" t="s">
        <v>42623</v>
      </c>
      <c r="M11276" t="s">
        <v>46152</v>
      </c>
      <c r="N11276" t="s">
        <v>47304</v>
      </c>
      <c r="O11276" t="s">
        <v>47305</v>
      </c>
      <c r="P11276">
        <v>0</v>
      </c>
      <c r="Q11276">
        <v>7</v>
      </c>
      <c r="R11276" t="s">
        <v>47315</v>
      </c>
      <c r="S11276" t="s">
        <v>47665</v>
      </c>
      <c r="T11276" t="s">
        <v>49140</v>
      </c>
      <c r="U11276" t="s">
        <v>58837</v>
      </c>
      <c r="V11276" t="s">
        <v>63855</v>
      </c>
      <c r="W11276" t="s">
        <v>46152</v>
      </c>
      <c r="X11276" t="s">
        <v>47319</v>
      </c>
    </row>
    <row r="11277" spans="1:24">
      <c r="A11277">
        <f>HYPERLINK("https://www.philgeps.gov.ph/GEPSNONPILOT/Tender/SplashBidNoticeAbstractUI.aspx?menuIndex=3&amp;refID=7176239&amp;Result=3","7176239")</f>
        <v>0</v>
      </c>
      <c r="B11277" t="s">
        <v>952</v>
      </c>
      <c r="C11277" t="s">
        <v>14508</v>
      </c>
      <c r="D11277" t="s">
        <v>19040</v>
      </c>
      <c r="E11277" t="s">
        <v>28695</v>
      </c>
      <c r="F11277" t="s">
        <v>32606</v>
      </c>
      <c r="G11277" t="s">
        <v>32613</v>
      </c>
      <c r="H11277" t="s">
        <v>14201</v>
      </c>
      <c r="I11277" t="s">
        <v>4114</v>
      </c>
      <c r="J11277" t="s">
        <v>39786</v>
      </c>
      <c r="K11277" t="s">
        <v>42623</v>
      </c>
      <c r="M11277" t="s">
        <v>43894</v>
      </c>
      <c r="N11277" t="s">
        <v>47304</v>
      </c>
      <c r="O11277" t="s">
        <v>47305</v>
      </c>
      <c r="P11277">
        <v>0</v>
      </c>
      <c r="Q11277">
        <v>3</v>
      </c>
      <c r="R11277" t="s">
        <v>47315</v>
      </c>
      <c r="S11277" t="s">
        <v>47665</v>
      </c>
      <c r="T11277" t="s">
        <v>49052</v>
      </c>
      <c r="U11277" t="s">
        <v>58838</v>
      </c>
      <c r="V11277" t="s">
        <v>63856</v>
      </c>
      <c r="W11277" t="s">
        <v>43894</v>
      </c>
      <c r="X11277" t="s">
        <v>47319</v>
      </c>
    </row>
    <row r="11278" spans="1:24">
      <c r="A11278">
        <f>HYPERLINK("https://www.philgeps.gov.ph/GEPSNONPILOT/Tender/SplashBidNoticeAbstractUI.aspx?menuIndex=3&amp;refID=7175510&amp;Result=3","7175510")</f>
        <v>0</v>
      </c>
      <c r="B11278" t="s">
        <v>3138</v>
      </c>
      <c r="C11278" t="s">
        <v>14505</v>
      </c>
      <c r="D11278" t="s">
        <v>19036</v>
      </c>
      <c r="E11278" t="s">
        <v>28696</v>
      </c>
      <c r="F11278" t="s">
        <v>32606</v>
      </c>
      <c r="G11278" t="s">
        <v>32613</v>
      </c>
      <c r="H11278" t="s">
        <v>32623</v>
      </c>
      <c r="I11278" t="s">
        <v>17648</v>
      </c>
      <c r="J11278" t="s">
        <v>39784</v>
      </c>
      <c r="K11278" t="s">
        <v>42639</v>
      </c>
      <c r="M11278" t="s">
        <v>46351</v>
      </c>
      <c r="N11278" t="s">
        <v>47304</v>
      </c>
      <c r="O11278" t="s">
        <v>47305</v>
      </c>
      <c r="P11278">
        <v>0</v>
      </c>
      <c r="Q11278">
        <v>0</v>
      </c>
      <c r="R11278" t="s">
        <v>47315</v>
      </c>
      <c r="S11278" t="s">
        <v>47665</v>
      </c>
      <c r="T11278" t="s">
        <v>49156</v>
      </c>
      <c r="U11278" t="s">
        <v>58195</v>
      </c>
      <c r="W11278" t="s">
        <v>46351</v>
      </c>
      <c r="X11278" t="s">
        <v>47319</v>
      </c>
    </row>
    <row r="11279" spans="1:24">
      <c r="A11279">
        <f>HYPERLINK("https://www.philgeps.gov.ph/GEPSNONPILOT/Tender/SplashBidNoticeAbstractUI.aspx?menuIndex=3&amp;refID=7176566&amp;Result=3","7176566")</f>
        <v>0</v>
      </c>
      <c r="B11279" t="s">
        <v>52</v>
      </c>
      <c r="C11279" t="s">
        <v>14509</v>
      </c>
      <c r="D11279" t="s">
        <v>19007</v>
      </c>
      <c r="E11279" t="s">
        <v>28697</v>
      </c>
      <c r="F11279" t="s">
        <v>32606</v>
      </c>
      <c r="G11279" t="s">
        <v>32613</v>
      </c>
      <c r="H11279" t="s">
        <v>14201</v>
      </c>
      <c r="I11279" t="s">
        <v>17648</v>
      </c>
      <c r="J11279" t="s">
        <v>39787</v>
      </c>
      <c r="K11279" t="s">
        <v>42631</v>
      </c>
      <c r="M11279" t="s">
        <v>42949</v>
      </c>
      <c r="N11279" t="s">
        <v>47304</v>
      </c>
      <c r="O11279" t="s">
        <v>47305</v>
      </c>
      <c r="P11279">
        <v>0</v>
      </c>
      <c r="Q11279">
        <v>2</v>
      </c>
      <c r="R11279" t="s">
        <v>47315</v>
      </c>
      <c r="S11279" t="s">
        <v>47665</v>
      </c>
      <c r="T11279" t="s">
        <v>49351</v>
      </c>
      <c r="U11279" t="s">
        <v>49586</v>
      </c>
      <c r="W11279" t="s">
        <v>42949</v>
      </c>
      <c r="X11279" t="s">
        <v>47319</v>
      </c>
    </row>
    <row r="11280" spans="1:24">
      <c r="A11280">
        <f>HYPERLINK("https://www.philgeps.gov.ph/GEPSNONPILOT/Tender/SplashBidNoticeAbstractUI.aspx?menuIndex=3&amp;refID=7176648&amp;Result=3","7176648")</f>
        <v>0</v>
      </c>
      <c r="B11280" t="s">
        <v>1597</v>
      </c>
      <c r="C11280" t="s">
        <v>14510</v>
      </c>
      <c r="D11280" t="s">
        <v>19061</v>
      </c>
      <c r="E11280" t="s">
        <v>28698</v>
      </c>
      <c r="F11280" t="s">
        <v>32606</v>
      </c>
      <c r="G11280" t="s">
        <v>32613</v>
      </c>
      <c r="H11280" t="s">
        <v>32623</v>
      </c>
      <c r="I11280" t="s">
        <v>17648</v>
      </c>
      <c r="J11280" t="s">
        <v>32756</v>
      </c>
      <c r="K11280" t="s">
        <v>42683</v>
      </c>
      <c r="L11280" t="s">
        <v>1597</v>
      </c>
      <c r="M11280" t="s">
        <v>44612</v>
      </c>
      <c r="N11280" t="s">
        <v>47304</v>
      </c>
      <c r="O11280" t="s">
        <v>47305</v>
      </c>
      <c r="P11280">
        <v>0</v>
      </c>
      <c r="Q11280">
        <v>0</v>
      </c>
      <c r="R11280" t="s">
        <v>47315</v>
      </c>
      <c r="S11280" t="s">
        <v>47665</v>
      </c>
      <c r="T11280" t="s">
        <v>49140</v>
      </c>
      <c r="U11280" t="s">
        <v>53124</v>
      </c>
      <c r="V11280" t="s">
        <v>63857</v>
      </c>
      <c r="W11280" t="s">
        <v>44612</v>
      </c>
      <c r="X11280" t="s">
        <v>47319</v>
      </c>
    </row>
    <row r="11281" spans="1:24">
      <c r="A11281">
        <f>HYPERLINK("https://www.philgeps.gov.ph/GEPSNONPILOT/Tender/SplashBidNoticeAbstractUI.aspx?menuIndex=3&amp;refID=7177565&amp;Result=3","7177565")</f>
        <v>0</v>
      </c>
      <c r="B11281" t="s">
        <v>955</v>
      </c>
      <c r="C11281" t="s">
        <v>14511</v>
      </c>
      <c r="D11281" t="s">
        <v>19068</v>
      </c>
      <c r="E11281" t="s">
        <v>21030</v>
      </c>
      <c r="F11281" t="s">
        <v>32606</v>
      </c>
      <c r="G11281" t="s">
        <v>32613</v>
      </c>
      <c r="H11281" t="s">
        <v>32623</v>
      </c>
      <c r="I11281" t="s">
        <v>17648</v>
      </c>
      <c r="J11281" t="s">
        <v>34128</v>
      </c>
      <c r="K11281" t="s">
        <v>42624</v>
      </c>
      <c r="M11281" t="s">
        <v>43898</v>
      </c>
      <c r="N11281" t="s">
        <v>47304</v>
      </c>
      <c r="O11281" t="s">
        <v>47305</v>
      </c>
      <c r="P11281">
        <v>0</v>
      </c>
      <c r="Q11281">
        <v>0</v>
      </c>
      <c r="R11281" t="s">
        <v>47315</v>
      </c>
      <c r="S11281" t="s">
        <v>47665</v>
      </c>
      <c r="T11281" t="s">
        <v>49075</v>
      </c>
      <c r="U11281" t="s">
        <v>58839</v>
      </c>
      <c r="V11281" t="s">
        <v>63858</v>
      </c>
      <c r="W11281" t="s">
        <v>43898</v>
      </c>
      <c r="X11281" t="s">
        <v>47318</v>
      </c>
    </row>
    <row r="11282" spans="1:24">
      <c r="A11282">
        <f>HYPERLINK("https://www.philgeps.gov.ph/GEPSNONPILOT/Tender/SplashBidNoticeAbstractUI.aspx?menuIndex=3&amp;refID=7177770&amp;Result=3","7177770")</f>
        <v>0</v>
      </c>
      <c r="B11282" t="s">
        <v>3273</v>
      </c>
      <c r="C11282" t="s">
        <v>14512</v>
      </c>
      <c r="D11282" t="s">
        <v>19061</v>
      </c>
      <c r="E11282" t="s">
        <v>28699</v>
      </c>
      <c r="F11282" t="s">
        <v>32606</v>
      </c>
      <c r="G11282" t="s">
        <v>32613</v>
      </c>
      <c r="H11282" t="s">
        <v>14201</v>
      </c>
      <c r="I11282" t="s">
        <v>7577</v>
      </c>
      <c r="J11282" t="s">
        <v>39788</v>
      </c>
      <c r="K11282" t="s">
        <v>42624</v>
      </c>
      <c r="M11282" t="s">
        <v>46507</v>
      </c>
      <c r="N11282" t="s">
        <v>47304</v>
      </c>
      <c r="O11282" t="s">
        <v>47305</v>
      </c>
      <c r="P11282">
        <v>0</v>
      </c>
      <c r="Q11282">
        <v>12</v>
      </c>
      <c r="R11282" t="s">
        <v>47315</v>
      </c>
      <c r="S11282" t="s">
        <v>47665</v>
      </c>
      <c r="T11282" t="s">
        <v>49140</v>
      </c>
      <c r="U11282" t="s">
        <v>58840</v>
      </c>
      <c r="V11282" t="s">
        <v>63859</v>
      </c>
      <c r="W11282" t="s">
        <v>46507</v>
      </c>
      <c r="X11282" t="s">
        <v>47318</v>
      </c>
    </row>
    <row r="11283" spans="1:24">
      <c r="A11283">
        <f>HYPERLINK("https://www.philgeps.gov.ph/GEPSNONPILOT/Tender/SplashBidNoticeAbstractUI.aspx?menuIndex=3&amp;refID=7177670&amp;Result=3","7177670")</f>
        <v>0</v>
      </c>
      <c r="B11283" t="s">
        <v>3274</v>
      </c>
      <c r="C11283" t="s">
        <v>14513</v>
      </c>
      <c r="D11283" t="s">
        <v>19057</v>
      </c>
      <c r="E11283" t="s">
        <v>28700</v>
      </c>
      <c r="F11283" t="s">
        <v>32606</v>
      </c>
      <c r="G11283" t="s">
        <v>32618</v>
      </c>
      <c r="H11283" t="s">
        <v>32623</v>
      </c>
      <c r="I11283" t="s">
        <v>17648</v>
      </c>
      <c r="J11283" t="s">
        <v>32770</v>
      </c>
      <c r="K11283" t="s">
        <v>42646</v>
      </c>
      <c r="M11283" t="s">
        <v>46508</v>
      </c>
      <c r="N11283" t="s">
        <v>47304</v>
      </c>
      <c r="O11283" t="s">
        <v>47305</v>
      </c>
      <c r="P11283">
        <v>0</v>
      </c>
      <c r="Q11283">
        <v>0</v>
      </c>
      <c r="R11283" t="s">
        <v>47315</v>
      </c>
      <c r="S11283" t="s">
        <v>47665</v>
      </c>
      <c r="T11283" t="s">
        <v>49140</v>
      </c>
      <c r="U11283" t="s">
        <v>58841</v>
      </c>
      <c r="W11283" t="s">
        <v>46508</v>
      </c>
      <c r="X11283" t="s">
        <v>47318</v>
      </c>
    </row>
    <row r="11284" spans="1:24">
      <c r="A11284">
        <f>HYPERLINK("https://www.philgeps.gov.ph/GEPSNONPILOT/Tender/SplashBidNoticeAbstractUI.aspx?menuIndex=3&amp;refID=7172546&amp;Result=3","7172546")</f>
        <v>0</v>
      </c>
      <c r="B11284" t="s">
        <v>2859</v>
      </c>
      <c r="C11284" t="s">
        <v>14514</v>
      </c>
      <c r="D11284" t="s">
        <v>19002</v>
      </c>
      <c r="E11284" t="s">
        <v>28701</v>
      </c>
      <c r="F11284" t="s">
        <v>32606</v>
      </c>
      <c r="G11284" t="s">
        <v>32613</v>
      </c>
      <c r="H11284" t="s">
        <v>32623</v>
      </c>
      <c r="I11284" t="s">
        <v>17648</v>
      </c>
      <c r="J11284" t="s">
        <v>36161</v>
      </c>
      <c r="K11284" t="s">
        <v>42683</v>
      </c>
      <c r="M11284" t="s">
        <v>46028</v>
      </c>
      <c r="N11284" t="s">
        <v>47304</v>
      </c>
      <c r="O11284" t="s">
        <v>47305</v>
      </c>
      <c r="Q11284">
        <v>7</v>
      </c>
      <c r="R11284" t="s">
        <v>47315</v>
      </c>
      <c r="S11284" t="s">
        <v>47669</v>
      </c>
      <c r="T11284" t="s">
        <v>49456</v>
      </c>
      <c r="U11284" t="s">
        <v>57083</v>
      </c>
      <c r="W11284" t="s">
        <v>46028</v>
      </c>
      <c r="X11284" t="s">
        <v>47320</v>
      </c>
    </row>
    <row r="11285" spans="1:24">
      <c r="A11285">
        <f>HYPERLINK("https://www.philgeps.gov.ph/GEPSNONPILOT/Tender/SplashBidNoticeAbstractUI.aspx?menuIndex=3&amp;refID=7176784&amp;Result=3","7176784")</f>
        <v>0</v>
      </c>
      <c r="B11285" t="s">
        <v>598</v>
      </c>
      <c r="C11285" t="s">
        <v>14515</v>
      </c>
      <c r="D11285" t="s">
        <v>18992</v>
      </c>
      <c r="E11285" t="s">
        <v>28275</v>
      </c>
      <c r="F11285" t="s">
        <v>32606</v>
      </c>
      <c r="G11285" t="s">
        <v>32613</v>
      </c>
      <c r="H11285" t="s">
        <v>14201</v>
      </c>
      <c r="I11285" t="s">
        <v>32681</v>
      </c>
      <c r="J11285" t="s">
        <v>39789</v>
      </c>
      <c r="K11285" t="s">
        <v>42636</v>
      </c>
      <c r="M11285" t="s">
        <v>43513</v>
      </c>
      <c r="N11285" t="s">
        <v>47304</v>
      </c>
      <c r="O11285" t="s">
        <v>47305</v>
      </c>
      <c r="P11285">
        <v>0</v>
      </c>
      <c r="Q11285">
        <v>4</v>
      </c>
      <c r="R11285" t="s">
        <v>47315</v>
      </c>
      <c r="S11285" t="s">
        <v>47665</v>
      </c>
      <c r="T11285" t="s">
        <v>49040</v>
      </c>
      <c r="U11285" t="s">
        <v>58842</v>
      </c>
      <c r="W11285" t="s">
        <v>43513</v>
      </c>
      <c r="X11285" t="s">
        <v>47319</v>
      </c>
    </row>
    <row r="11286" spans="1:24">
      <c r="A11286">
        <f>HYPERLINK("https://www.philgeps.gov.ph/GEPSNONPILOT/Tender/SplashBidNoticeAbstractUI.aspx?menuIndex=3&amp;refID=7176747&amp;Result=3","7176747")</f>
        <v>0</v>
      </c>
      <c r="B11286" t="s">
        <v>598</v>
      </c>
      <c r="C11286" t="s">
        <v>14516</v>
      </c>
      <c r="D11286" t="s">
        <v>18992</v>
      </c>
      <c r="E11286" t="s">
        <v>22984</v>
      </c>
      <c r="F11286" t="s">
        <v>32606</v>
      </c>
      <c r="G11286" t="s">
        <v>32613</v>
      </c>
      <c r="H11286" t="s">
        <v>14201</v>
      </c>
      <c r="I11286" t="s">
        <v>6298</v>
      </c>
      <c r="J11286" t="s">
        <v>33382</v>
      </c>
      <c r="K11286" t="s">
        <v>42648</v>
      </c>
      <c r="M11286" t="s">
        <v>43513</v>
      </c>
      <c r="N11286" t="s">
        <v>47304</v>
      </c>
      <c r="O11286" t="s">
        <v>47305</v>
      </c>
      <c r="P11286">
        <v>0</v>
      </c>
      <c r="Q11286">
        <v>6</v>
      </c>
      <c r="R11286" t="s">
        <v>47315</v>
      </c>
      <c r="S11286" t="s">
        <v>47665</v>
      </c>
      <c r="T11286" t="s">
        <v>49040</v>
      </c>
      <c r="U11286" t="s">
        <v>58843</v>
      </c>
      <c r="W11286" t="s">
        <v>43513</v>
      </c>
      <c r="X11286" t="s">
        <v>47319</v>
      </c>
    </row>
    <row r="11287" spans="1:24">
      <c r="A11287">
        <f>HYPERLINK("https://www.philgeps.gov.ph/GEPSNONPILOT/Tender/SplashBidNoticeAbstractUI.aspx?menuIndex=3&amp;refID=7177705&amp;Result=3","7177705")</f>
        <v>0</v>
      </c>
      <c r="B11287" t="s">
        <v>1508</v>
      </c>
      <c r="C11287" t="s">
        <v>14517</v>
      </c>
      <c r="D11287" t="s">
        <v>19016</v>
      </c>
      <c r="E11287" t="s">
        <v>28702</v>
      </c>
      <c r="F11287" t="s">
        <v>32606</v>
      </c>
      <c r="G11287" t="s">
        <v>32613</v>
      </c>
      <c r="H11287" t="s">
        <v>14201</v>
      </c>
      <c r="I11287" t="s">
        <v>7677</v>
      </c>
      <c r="J11287" t="s">
        <v>39790</v>
      </c>
      <c r="K11287" t="s">
        <v>42631</v>
      </c>
      <c r="L11287" t="s">
        <v>1508</v>
      </c>
      <c r="M11287" t="s">
        <v>44506</v>
      </c>
      <c r="N11287" t="s">
        <v>47304</v>
      </c>
      <c r="O11287" t="s">
        <v>47305</v>
      </c>
      <c r="P11287">
        <v>0</v>
      </c>
      <c r="Q11287">
        <v>10</v>
      </c>
      <c r="R11287" t="s">
        <v>47315</v>
      </c>
      <c r="S11287" t="s">
        <v>47665</v>
      </c>
      <c r="T11287" t="s">
        <v>49052</v>
      </c>
      <c r="U11287" t="s">
        <v>53188</v>
      </c>
      <c r="W11287" t="s">
        <v>44506</v>
      </c>
      <c r="X11287" t="s">
        <v>47318</v>
      </c>
    </row>
    <row r="11288" spans="1:24">
      <c r="A11288">
        <f>HYPERLINK("https://www.philgeps.gov.ph/GEPSNONPILOT/Tender/SplashBidNoticeAbstractUI.aspx?menuIndex=3&amp;refID=7176738&amp;Result=3","7176738")</f>
        <v>0</v>
      </c>
      <c r="B11288" t="s">
        <v>464</v>
      </c>
      <c r="C11288" t="s">
        <v>14518</v>
      </c>
      <c r="D11288" t="s">
        <v>19044</v>
      </c>
      <c r="E11288" t="s">
        <v>28703</v>
      </c>
      <c r="F11288" t="s">
        <v>32606</v>
      </c>
      <c r="G11288" t="s">
        <v>32613</v>
      </c>
      <c r="H11288" t="s">
        <v>14201</v>
      </c>
      <c r="I11288" t="s">
        <v>7064</v>
      </c>
      <c r="J11288" t="s">
        <v>39791</v>
      </c>
      <c r="K11288" t="s">
        <v>42636</v>
      </c>
      <c r="M11288" t="s">
        <v>43374</v>
      </c>
      <c r="N11288" t="s">
        <v>47304</v>
      </c>
      <c r="O11288" t="s">
        <v>47305</v>
      </c>
      <c r="P11288">
        <v>0</v>
      </c>
      <c r="Q11288">
        <v>6</v>
      </c>
      <c r="R11288" t="s">
        <v>47315</v>
      </c>
      <c r="S11288" t="s">
        <v>47665</v>
      </c>
      <c r="T11288" t="s">
        <v>49457</v>
      </c>
      <c r="U11288" t="s">
        <v>58844</v>
      </c>
      <c r="V11288" t="s">
        <v>63860</v>
      </c>
      <c r="W11288" t="s">
        <v>43374</v>
      </c>
      <c r="X11288" t="s">
        <v>47319</v>
      </c>
    </row>
    <row r="11289" spans="1:24">
      <c r="A11289">
        <f>HYPERLINK("https://www.philgeps.gov.ph/GEPSNONPILOT/Tender/SplashBidNoticeAbstractUI.aspx?menuIndex=3&amp;refID=7177544&amp;Result=3","7177544")</f>
        <v>0</v>
      </c>
      <c r="B11289" t="s">
        <v>1687</v>
      </c>
      <c r="C11289" t="s">
        <v>14519</v>
      </c>
      <c r="D11289" t="s">
        <v>19008</v>
      </c>
      <c r="E11289" t="s">
        <v>28704</v>
      </c>
      <c r="F11289" t="s">
        <v>32606</v>
      </c>
      <c r="G11289" t="s">
        <v>32613</v>
      </c>
      <c r="H11289" t="s">
        <v>14201</v>
      </c>
      <c r="I11289" t="s">
        <v>32633</v>
      </c>
      <c r="J11289" t="s">
        <v>39792</v>
      </c>
      <c r="K11289" t="s">
        <v>42623</v>
      </c>
      <c r="M11289" t="s">
        <v>44872</v>
      </c>
      <c r="N11289" t="s">
        <v>47304</v>
      </c>
      <c r="O11289" t="s">
        <v>47305</v>
      </c>
      <c r="Q11289">
        <v>5</v>
      </c>
      <c r="R11289" t="s">
        <v>47315</v>
      </c>
      <c r="S11289" t="s">
        <v>47670</v>
      </c>
      <c r="T11289" t="s">
        <v>48970</v>
      </c>
      <c r="U11289" t="s">
        <v>58845</v>
      </c>
      <c r="W11289" t="s">
        <v>44872</v>
      </c>
      <c r="X11289" t="s">
        <v>47318</v>
      </c>
    </row>
    <row r="11290" spans="1:24">
      <c r="A11290">
        <f>HYPERLINK("https://www.philgeps.gov.ph/GEPSNONPILOT/Tender/SplashBidNoticeAbstractUI.aspx?menuIndex=3&amp;refID=7177889&amp;Result=3","7177889")</f>
        <v>0</v>
      </c>
      <c r="B11290" t="s">
        <v>2115</v>
      </c>
      <c r="C11290" t="s">
        <v>14520</v>
      </c>
      <c r="D11290" t="s">
        <v>19008</v>
      </c>
      <c r="E11290" t="s">
        <v>28705</v>
      </c>
      <c r="F11290" t="s">
        <v>32606</v>
      </c>
      <c r="G11290" t="s">
        <v>32613</v>
      </c>
      <c r="H11290" t="s">
        <v>14201</v>
      </c>
      <c r="I11290" t="s">
        <v>32632</v>
      </c>
      <c r="J11290" t="s">
        <v>39070</v>
      </c>
      <c r="K11290" t="s">
        <v>42638</v>
      </c>
      <c r="M11290" t="s">
        <v>45789</v>
      </c>
      <c r="N11290" t="s">
        <v>47304</v>
      </c>
      <c r="O11290" t="s">
        <v>47305</v>
      </c>
      <c r="P11290">
        <v>0</v>
      </c>
      <c r="Q11290">
        <v>1</v>
      </c>
      <c r="R11290" t="s">
        <v>47315</v>
      </c>
      <c r="S11290" t="s">
        <v>47665</v>
      </c>
      <c r="T11290" t="s">
        <v>49004</v>
      </c>
      <c r="U11290" t="s">
        <v>58846</v>
      </c>
      <c r="V11290" t="s">
        <v>63563</v>
      </c>
      <c r="W11290" t="s">
        <v>45789</v>
      </c>
      <c r="X11290" t="s">
        <v>47318</v>
      </c>
    </row>
    <row r="11291" spans="1:24">
      <c r="A11291">
        <f>HYPERLINK("https://www.philgeps.gov.ph/GEPSNONPILOT/Tender/SplashBidNoticeAbstractUI.aspx?menuIndex=3&amp;refID=7176722&amp;Result=3","7176722")</f>
        <v>0</v>
      </c>
      <c r="B11291" t="s">
        <v>260</v>
      </c>
      <c r="C11291" t="s">
        <v>14521</v>
      </c>
      <c r="D11291" t="s">
        <v>19030</v>
      </c>
      <c r="E11291" t="s">
        <v>28706</v>
      </c>
      <c r="F11291" t="s">
        <v>32606</v>
      </c>
      <c r="G11291" t="s">
        <v>32613</v>
      </c>
      <c r="H11291" t="s">
        <v>14201</v>
      </c>
      <c r="I11291" t="s">
        <v>4114</v>
      </c>
      <c r="J11291" t="s">
        <v>39793</v>
      </c>
      <c r="K11291" t="s">
        <v>42627</v>
      </c>
      <c r="M11291" t="s">
        <v>43161</v>
      </c>
      <c r="N11291" t="s">
        <v>47304</v>
      </c>
      <c r="O11291" t="s">
        <v>47305</v>
      </c>
      <c r="P11291">
        <v>0</v>
      </c>
      <c r="Q11291">
        <v>5</v>
      </c>
      <c r="R11291" t="s">
        <v>47315</v>
      </c>
      <c r="S11291" t="s">
        <v>47665</v>
      </c>
      <c r="T11291" t="s">
        <v>49124</v>
      </c>
      <c r="U11291" t="s">
        <v>58847</v>
      </c>
      <c r="W11291" t="s">
        <v>43161</v>
      </c>
      <c r="X11291" t="s">
        <v>47319</v>
      </c>
    </row>
    <row r="11292" spans="1:24">
      <c r="A11292">
        <f>HYPERLINK("https://www.philgeps.gov.ph/GEPSNONPILOT/Tender/SplashBidNoticeAbstractUI.aspx?menuIndex=3&amp;refID=7177925&amp;Result=3","7177925")</f>
        <v>0</v>
      </c>
      <c r="B11292" t="s">
        <v>2115</v>
      </c>
      <c r="C11292" t="s">
        <v>14522</v>
      </c>
      <c r="D11292" t="s">
        <v>19008</v>
      </c>
      <c r="E11292" t="s">
        <v>28707</v>
      </c>
      <c r="F11292" t="s">
        <v>32606</v>
      </c>
      <c r="G11292" t="s">
        <v>32613</v>
      </c>
      <c r="H11292" t="s">
        <v>14201</v>
      </c>
      <c r="I11292" t="s">
        <v>7677</v>
      </c>
      <c r="J11292" t="s">
        <v>32759</v>
      </c>
      <c r="K11292" t="s">
        <v>42638</v>
      </c>
      <c r="M11292" t="s">
        <v>45789</v>
      </c>
      <c r="N11292" t="s">
        <v>47304</v>
      </c>
      <c r="O11292" t="s">
        <v>47305</v>
      </c>
      <c r="P11292">
        <v>0</v>
      </c>
      <c r="Q11292">
        <v>3</v>
      </c>
      <c r="R11292" t="s">
        <v>47315</v>
      </c>
      <c r="S11292" t="s">
        <v>47665</v>
      </c>
      <c r="T11292" t="s">
        <v>49004</v>
      </c>
      <c r="U11292" t="s">
        <v>58848</v>
      </c>
      <c r="V11292" t="s">
        <v>63847</v>
      </c>
      <c r="W11292" t="s">
        <v>45789</v>
      </c>
      <c r="X11292" t="s">
        <v>47318</v>
      </c>
    </row>
    <row r="11293" spans="1:24">
      <c r="A11293">
        <f>HYPERLINK("https://www.philgeps.gov.ph/GEPSNONPILOT/Tender/SplashBidNoticeAbstractUI.aspx?menuIndex=3&amp;refID=7177864&amp;Result=3","7177864")</f>
        <v>0</v>
      </c>
      <c r="B11293" t="s">
        <v>2115</v>
      </c>
      <c r="C11293" t="s">
        <v>14523</v>
      </c>
      <c r="D11293" t="s">
        <v>19008</v>
      </c>
      <c r="E11293" t="s">
        <v>28708</v>
      </c>
      <c r="F11293" t="s">
        <v>32606</v>
      </c>
      <c r="G11293" t="s">
        <v>32613</v>
      </c>
      <c r="H11293" t="s">
        <v>14201</v>
      </c>
      <c r="I11293" t="s">
        <v>6014</v>
      </c>
      <c r="J11293" t="s">
        <v>39794</v>
      </c>
      <c r="K11293" t="s">
        <v>42638</v>
      </c>
      <c r="M11293" t="s">
        <v>45789</v>
      </c>
      <c r="N11293" t="s">
        <v>47304</v>
      </c>
      <c r="O11293" t="s">
        <v>47305</v>
      </c>
      <c r="P11293">
        <v>0</v>
      </c>
      <c r="Q11293">
        <v>0</v>
      </c>
      <c r="R11293" t="s">
        <v>47315</v>
      </c>
      <c r="S11293" t="s">
        <v>47665</v>
      </c>
      <c r="T11293" t="s">
        <v>49004</v>
      </c>
      <c r="U11293" t="s">
        <v>58849</v>
      </c>
      <c r="V11293" t="s">
        <v>63847</v>
      </c>
      <c r="W11293" t="s">
        <v>45789</v>
      </c>
      <c r="X11293" t="s">
        <v>47318</v>
      </c>
    </row>
    <row r="11294" spans="1:24">
      <c r="A11294">
        <f>HYPERLINK("https://www.philgeps.gov.ph/GEPSNONPILOT/Tender/SplashBidNoticeAbstractUI.aspx?menuIndex=3&amp;refID=7175479&amp;Result=3","7175479")</f>
        <v>0</v>
      </c>
      <c r="B11294" t="s">
        <v>1508</v>
      </c>
      <c r="C11294" t="s">
        <v>14524</v>
      </c>
      <c r="D11294" t="s">
        <v>19016</v>
      </c>
      <c r="E11294" t="s">
        <v>28709</v>
      </c>
      <c r="F11294" t="s">
        <v>32606</v>
      </c>
      <c r="G11294" t="s">
        <v>32613</v>
      </c>
      <c r="H11294" t="s">
        <v>14201</v>
      </c>
      <c r="I11294" t="s">
        <v>4112</v>
      </c>
      <c r="J11294" t="s">
        <v>32778</v>
      </c>
      <c r="K11294" t="s">
        <v>42646</v>
      </c>
      <c r="L11294" t="s">
        <v>1508</v>
      </c>
      <c r="M11294" t="s">
        <v>44506</v>
      </c>
      <c r="N11294" t="s">
        <v>47304</v>
      </c>
      <c r="O11294" t="s">
        <v>47305</v>
      </c>
      <c r="P11294">
        <v>0</v>
      </c>
      <c r="Q11294">
        <v>0</v>
      </c>
      <c r="R11294" t="s">
        <v>47315</v>
      </c>
      <c r="S11294" t="s">
        <v>47665</v>
      </c>
      <c r="T11294" t="s">
        <v>49052</v>
      </c>
      <c r="U11294" t="s">
        <v>53188</v>
      </c>
      <c r="W11294" t="s">
        <v>44506</v>
      </c>
      <c r="X11294" t="s">
        <v>47319</v>
      </c>
    </row>
    <row r="11295" spans="1:24">
      <c r="A11295">
        <f>HYPERLINK("https://www.philgeps.gov.ph/GEPSNONPILOT/Tender/SplashBidNoticeAbstractUI.aspx?menuIndex=3&amp;refID=7177807&amp;Result=3","7177807")</f>
        <v>0</v>
      </c>
      <c r="B11295" t="s">
        <v>2115</v>
      </c>
      <c r="C11295" t="s">
        <v>14525</v>
      </c>
      <c r="D11295" t="s">
        <v>19008</v>
      </c>
      <c r="E11295" t="s">
        <v>28710</v>
      </c>
      <c r="F11295" t="s">
        <v>32606</v>
      </c>
      <c r="G11295" t="s">
        <v>32613</v>
      </c>
      <c r="H11295" t="s">
        <v>14201</v>
      </c>
      <c r="I11295" t="s">
        <v>32633</v>
      </c>
      <c r="J11295" t="s">
        <v>32770</v>
      </c>
      <c r="K11295" t="s">
        <v>42638</v>
      </c>
      <c r="M11295" t="s">
        <v>45789</v>
      </c>
      <c r="N11295" t="s">
        <v>47304</v>
      </c>
      <c r="O11295" t="s">
        <v>47305</v>
      </c>
      <c r="P11295">
        <v>0</v>
      </c>
      <c r="Q11295">
        <v>4</v>
      </c>
      <c r="R11295" t="s">
        <v>47315</v>
      </c>
      <c r="S11295" t="s">
        <v>47665</v>
      </c>
      <c r="T11295" t="s">
        <v>48979</v>
      </c>
      <c r="U11295" t="s">
        <v>58850</v>
      </c>
      <c r="V11295" t="s">
        <v>63847</v>
      </c>
      <c r="W11295" t="s">
        <v>45789</v>
      </c>
      <c r="X11295" t="s">
        <v>47318</v>
      </c>
    </row>
    <row r="11296" spans="1:24">
      <c r="A11296">
        <f>HYPERLINK("https://www.philgeps.gov.ph/GEPSNONPILOT/Tender/SplashBidNoticeAbstractUI.aspx?menuIndex=3&amp;refID=7176680&amp;Result=3","7176680")</f>
        <v>0</v>
      </c>
      <c r="B11296" t="s">
        <v>366</v>
      </c>
      <c r="C11296" t="s">
        <v>14526</v>
      </c>
      <c r="D11296" t="s">
        <v>19057</v>
      </c>
      <c r="E11296" t="s">
        <v>28711</v>
      </c>
      <c r="F11296" t="s">
        <v>32606</v>
      </c>
      <c r="G11296" t="s">
        <v>32613</v>
      </c>
      <c r="H11296" t="s">
        <v>32623</v>
      </c>
      <c r="I11296" t="s">
        <v>17648</v>
      </c>
      <c r="J11296" t="s">
        <v>39795</v>
      </c>
      <c r="K11296" t="s">
        <v>42646</v>
      </c>
      <c r="M11296" t="s">
        <v>43268</v>
      </c>
      <c r="N11296" t="s">
        <v>47304</v>
      </c>
      <c r="O11296" t="s">
        <v>47305</v>
      </c>
      <c r="P11296">
        <v>0</v>
      </c>
      <c r="Q11296">
        <v>0</v>
      </c>
      <c r="R11296" t="s">
        <v>47315</v>
      </c>
      <c r="S11296" t="s">
        <v>47665</v>
      </c>
      <c r="T11296" t="s">
        <v>49040</v>
      </c>
      <c r="U11296" t="s">
        <v>58851</v>
      </c>
      <c r="W11296" t="s">
        <v>43268</v>
      </c>
      <c r="X11296" t="s">
        <v>47319</v>
      </c>
    </row>
    <row r="11297" spans="1:24">
      <c r="A11297">
        <f>HYPERLINK("https://www.philgeps.gov.ph/GEPSNONPILOT/Tender/SplashBidNoticeAbstractUI.aspx?menuIndex=3&amp;refID=7176708&amp;Result=3","7176708")</f>
        <v>0</v>
      </c>
      <c r="B11297" t="s">
        <v>366</v>
      </c>
      <c r="C11297" t="s">
        <v>14527</v>
      </c>
      <c r="D11297" t="s">
        <v>19057</v>
      </c>
      <c r="E11297" t="s">
        <v>28712</v>
      </c>
      <c r="F11297" t="s">
        <v>32606</v>
      </c>
      <c r="G11297" t="s">
        <v>32613</v>
      </c>
      <c r="H11297" t="s">
        <v>32623</v>
      </c>
      <c r="I11297" t="s">
        <v>17648</v>
      </c>
      <c r="J11297" t="s">
        <v>34719</v>
      </c>
      <c r="K11297" t="s">
        <v>42646</v>
      </c>
      <c r="M11297" t="s">
        <v>43268</v>
      </c>
      <c r="N11297" t="s">
        <v>47304</v>
      </c>
      <c r="O11297" t="s">
        <v>47305</v>
      </c>
      <c r="P11297">
        <v>0</v>
      </c>
      <c r="Q11297">
        <v>0</v>
      </c>
      <c r="R11297" t="s">
        <v>47315</v>
      </c>
      <c r="S11297" t="s">
        <v>47665</v>
      </c>
      <c r="T11297" t="s">
        <v>49040</v>
      </c>
      <c r="U11297" t="s">
        <v>58852</v>
      </c>
      <c r="W11297" t="s">
        <v>43268</v>
      </c>
      <c r="X11297" t="s">
        <v>47319</v>
      </c>
    </row>
    <row r="11298" spans="1:24">
      <c r="A11298">
        <f>HYPERLINK("https://www.philgeps.gov.ph/GEPSNONPILOT/Tender/SplashBidNoticeAbstractUI.aspx?menuIndex=3&amp;refID=7177669&amp;Result=3","7177669")</f>
        <v>0</v>
      </c>
      <c r="B11298" t="s">
        <v>2709</v>
      </c>
      <c r="C11298" t="s">
        <v>14528</v>
      </c>
      <c r="D11298" t="s">
        <v>19043</v>
      </c>
      <c r="E11298" t="s">
        <v>28713</v>
      </c>
      <c r="F11298" t="s">
        <v>32606</v>
      </c>
      <c r="G11298" t="s">
        <v>32613</v>
      </c>
      <c r="H11298" t="s">
        <v>32623</v>
      </c>
      <c r="I11298" t="s">
        <v>17648</v>
      </c>
      <c r="J11298" t="s">
        <v>32830</v>
      </c>
      <c r="K11298" t="s">
        <v>42646</v>
      </c>
      <c r="M11298" t="s">
        <v>45862</v>
      </c>
      <c r="N11298" t="s">
        <v>47304</v>
      </c>
      <c r="O11298" t="s">
        <v>47305</v>
      </c>
      <c r="P11298">
        <v>0</v>
      </c>
      <c r="Q11298">
        <v>1</v>
      </c>
      <c r="R11298" t="s">
        <v>47315</v>
      </c>
      <c r="S11298" t="s">
        <v>47665</v>
      </c>
      <c r="T11298" t="s">
        <v>49052</v>
      </c>
      <c r="U11298" t="s">
        <v>58853</v>
      </c>
      <c r="V11298" t="s">
        <v>63545</v>
      </c>
      <c r="W11298" t="s">
        <v>45862</v>
      </c>
      <c r="X11298" t="s">
        <v>47318</v>
      </c>
    </row>
    <row r="11299" spans="1:24">
      <c r="A11299">
        <f>HYPERLINK("https://www.philgeps.gov.ph/GEPSNONPILOT/Tender/SplashBidNoticeAbstractUI.aspx?menuIndex=3&amp;refID=7177837&amp;Result=3","7177837")</f>
        <v>0</v>
      </c>
      <c r="B11299" t="s">
        <v>2115</v>
      </c>
      <c r="C11299" t="s">
        <v>14529</v>
      </c>
      <c r="D11299" t="s">
        <v>19008</v>
      </c>
      <c r="E11299" t="s">
        <v>28714</v>
      </c>
      <c r="F11299" t="s">
        <v>32606</v>
      </c>
      <c r="G11299" t="s">
        <v>32613</v>
      </c>
      <c r="H11299" t="s">
        <v>14201</v>
      </c>
      <c r="I11299" t="s">
        <v>4120</v>
      </c>
      <c r="J11299" t="s">
        <v>39796</v>
      </c>
      <c r="K11299" t="s">
        <v>42638</v>
      </c>
      <c r="M11299" t="s">
        <v>45789</v>
      </c>
      <c r="N11299" t="s">
        <v>47304</v>
      </c>
      <c r="O11299" t="s">
        <v>47305</v>
      </c>
      <c r="P11299">
        <v>0</v>
      </c>
      <c r="Q11299">
        <v>1</v>
      </c>
      <c r="R11299" t="s">
        <v>47315</v>
      </c>
      <c r="S11299" t="s">
        <v>47665</v>
      </c>
      <c r="T11299" t="s">
        <v>49004</v>
      </c>
      <c r="U11299" t="s">
        <v>58854</v>
      </c>
      <c r="V11299" t="s">
        <v>63847</v>
      </c>
      <c r="W11299" t="s">
        <v>45789</v>
      </c>
      <c r="X11299" t="s">
        <v>47318</v>
      </c>
    </row>
    <row r="11300" spans="1:24">
      <c r="A11300">
        <f>HYPERLINK("https://www.philgeps.gov.ph/GEPSNONPILOT/Tender/SplashBidNoticeAbstractUI.aspx?menuIndex=3&amp;refID=7178184&amp;Result=3","7178184")</f>
        <v>0</v>
      </c>
      <c r="B11300" t="s">
        <v>2115</v>
      </c>
      <c r="C11300" t="s">
        <v>14530</v>
      </c>
      <c r="D11300" t="s">
        <v>19008</v>
      </c>
      <c r="E11300" t="s">
        <v>28715</v>
      </c>
      <c r="F11300" t="s">
        <v>32606</v>
      </c>
      <c r="G11300" t="s">
        <v>32613</v>
      </c>
      <c r="H11300" t="s">
        <v>14201</v>
      </c>
      <c r="I11300" t="s">
        <v>32638</v>
      </c>
      <c r="J11300" t="s">
        <v>39797</v>
      </c>
      <c r="K11300" t="s">
        <v>42638</v>
      </c>
      <c r="M11300" t="s">
        <v>45789</v>
      </c>
      <c r="N11300" t="s">
        <v>47304</v>
      </c>
      <c r="O11300" t="s">
        <v>47305</v>
      </c>
      <c r="P11300">
        <v>0</v>
      </c>
      <c r="Q11300">
        <v>6</v>
      </c>
      <c r="R11300" t="s">
        <v>47315</v>
      </c>
      <c r="S11300" t="s">
        <v>47665</v>
      </c>
      <c r="T11300" t="s">
        <v>49004</v>
      </c>
      <c r="U11300" t="s">
        <v>58855</v>
      </c>
      <c r="V11300" t="s">
        <v>63847</v>
      </c>
      <c r="W11300" t="s">
        <v>45789</v>
      </c>
      <c r="X11300" t="s">
        <v>47318</v>
      </c>
    </row>
    <row r="11301" spans="1:24">
      <c r="A11301">
        <f>HYPERLINK("https://www.philgeps.gov.ph/GEPSNONPILOT/Tender/SplashBidNoticeAbstractUI.aspx?menuIndex=3&amp;refID=7178163&amp;Result=3","7178163")</f>
        <v>0</v>
      </c>
      <c r="B11301" t="s">
        <v>3275</v>
      </c>
      <c r="C11301" t="s">
        <v>14531</v>
      </c>
      <c r="D11301" t="s">
        <v>19000</v>
      </c>
      <c r="E11301" t="s">
        <v>28716</v>
      </c>
      <c r="F11301" t="s">
        <v>32606</v>
      </c>
      <c r="G11301" t="s">
        <v>32613</v>
      </c>
      <c r="H11301" t="s">
        <v>14201</v>
      </c>
      <c r="I11301" t="s">
        <v>9008</v>
      </c>
      <c r="J11301" t="s">
        <v>39798</v>
      </c>
      <c r="K11301" t="s">
        <v>42631</v>
      </c>
      <c r="M11301" t="s">
        <v>46509</v>
      </c>
      <c r="N11301" t="s">
        <v>47304</v>
      </c>
      <c r="O11301" t="s">
        <v>47305</v>
      </c>
      <c r="Q11301">
        <v>3</v>
      </c>
      <c r="R11301" t="s">
        <v>47315</v>
      </c>
      <c r="S11301" t="s">
        <v>47671</v>
      </c>
      <c r="T11301" t="s">
        <v>49052</v>
      </c>
      <c r="U11301" t="s">
        <v>58856</v>
      </c>
      <c r="W11301" t="s">
        <v>46509</v>
      </c>
      <c r="X11301" t="s">
        <v>47318</v>
      </c>
    </row>
    <row r="11302" spans="1:24">
      <c r="A11302">
        <f>HYPERLINK("https://www.philgeps.gov.ph/GEPSNONPILOT/Tender/SplashBidNoticeAbstractUI.aspx?menuIndex=3&amp;refID=7178151&amp;Result=3","7178151")</f>
        <v>0</v>
      </c>
      <c r="B11302" t="s">
        <v>2115</v>
      </c>
      <c r="C11302" t="s">
        <v>14532</v>
      </c>
      <c r="D11302" t="s">
        <v>19008</v>
      </c>
      <c r="E11302" t="s">
        <v>28717</v>
      </c>
      <c r="F11302" t="s">
        <v>32606</v>
      </c>
      <c r="G11302" t="s">
        <v>32613</v>
      </c>
      <c r="H11302" t="s">
        <v>14201</v>
      </c>
      <c r="I11302" t="s">
        <v>7677</v>
      </c>
      <c r="J11302" t="s">
        <v>39799</v>
      </c>
      <c r="K11302" t="s">
        <v>42638</v>
      </c>
      <c r="M11302" t="s">
        <v>45789</v>
      </c>
      <c r="N11302" t="s">
        <v>47304</v>
      </c>
      <c r="O11302" t="s">
        <v>47305</v>
      </c>
      <c r="P11302">
        <v>0</v>
      </c>
      <c r="Q11302">
        <v>2</v>
      </c>
      <c r="R11302" t="s">
        <v>47315</v>
      </c>
      <c r="S11302" t="s">
        <v>47665</v>
      </c>
      <c r="T11302" t="s">
        <v>49004</v>
      </c>
      <c r="U11302" t="s">
        <v>58857</v>
      </c>
      <c r="V11302" t="s">
        <v>63847</v>
      </c>
      <c r="W11302" t="s">
        <v>45789</v>
      </c>
      <c r="X11302" t="s">
        <v>47318</v>
      </c>
    </row>
    <row r="11303" spans="1:24">
      <c r="A11303">
        <f>HYPERLINK("https://www.philgeps.gov.ph/GEPSNONPILOT/Tender/SplashBidNoticeAbstractUI.aspx?menuIndex=3&amp;refID=7178135&amp;Result=3","7178135")</f>
        <v>0</v>
      </c>
      <c r="B11303" t="s">
        <v>2115</v>
      </c>
      <c r="C11303" t="s">
        <v>14533</v>
      </c>
      <c r="D11303" t="s">
        <v>19008</v>
      </c>
      <c r="E11303" t="s">
        <v>28718</v>
      </c>
      <c r="F11303" t="s">
        <v>32606</v>
      </c>
      <c r="G11303" t="s">
        <v>32613</v>
      </c>
      <c r="H11303" t="s">
        <v>14201</v>
      </c>
      <c r="I11303" t="s">
        <v>32638</v>
      </c>
      <c r="J11303" t="s">
        <v>32833</v>
      </c>
      <c r="K11303" t="s">
        <v>42638</v>
      </c>
      <c r="M11303" t="s">
        <v>45789</v>
      </c>
      <c r="N11303" t="s">
        <v>47304</v>
      </c>
      <c r="O11303" t="s">
        <v>47305</v>
      </c>
      <c r="P11303">
        <v>0</v>
      </c>
      <c r="Q11303">
        <v>15</v>
      </c>
      <c r="R11303" t="s">
        <v>47315</v>
      </c>
      <c r="S11303" t="s">
        <v>47665</v>
      </c>
      <c r="T11303" t="s">
        <v>49004</v>
      </c>
      <c r="U11303" t="s">
        <v>58858</v>
      </c>
      <c r="V11303" t="s">
        <v>63847</v>
      </c>
      <c r="W11303" t="s">
        <v>45789</v>
      </c>
      <c r="X11303" t="s">
        <v>47318</v>
      </c>
    </row>
    <row r="11304" spans="1:24">
      <c r="A11304">
        <f>HYPERLINK("https://www.philgeps.gov.ph/GEPSNONPILOT/Tender/SplashBidNoticeAbstractUI.aspx?menuIndex=3&amp;refID=7178185&amp;Result=3","7178185")</f>
        <v>0</v>
      </c>
      <c r="B11304" t="s">
        <v>1435</v>
      </c>
      <c r="C11304" t="s">
        <v>14534</v>
      </c>
      <c r="D11304" t="s">
        <v>19025</v>
      </c>
      <c r="E11304" t="s">
        <v>20786</v>
      </c>
      <c r="F11304" t="s">
        <v>32606</v>
      </c>
      <c r="G11304" t="s">
        <v>32613</v>
      </c>
      <c r="H11304" t="s">
        <v>14201</v>
      </c>
      <c r="I11304" t="s">
        <v>7064</v>
      </c>
      <c r="J11304" t="s">
        <v>35138</v>
      </c>
      <c r="K11304" t="s">
        <v>42624</v>
      </c>
      <c r="M11304" t="s">
        <v>44913</v>
      </c>
      <c r="N11304" t="s">
        <v>47304</v>
      </c>
      <c r="O11304" t="s">
        <v>47305</v>
      </c>
      <c r="P11304">
        <v>0</v>
      </c>
      <c r="Q11304">
        <v>2</v>
      </c>
      <c r="R11304" t="s">
        <v>47315</v>
      </c>
      <c r="S11304" t="s">
        <v>47665</v>
      </c>
      <c r="T11304" t="s">
        <v>49066</v>
      </c>
      <c r="U11304" t="s">
        <v>58859</v>
      </c>
      <c r="W11304" t="s">
        <v>44913</v>
      </c>
      <c r="X11304" t="s">
        <v>47318</v>
      </c>
    </row>
    <row r="11305" spans="1:24">
      <c r="A11305">
        <f>HYPERLINK("https://www.philgeps.gov.ph/GEPSNONPILOT/Tender/SplashBidNoticeAbstractUI.aspx?menuIndex=3&amp;refID=7178120&amp;Result=3","7178120")</f>
        <v>0</v>
      </c>
      <c r="B11305" t="s">
        <v>2115</v>
      </c>
      <c r="C11305" t="s">
        <v>14535</v>
      </c>
      <c r="D11305" t="s">
        <v>19008</v>
      </c>
      <c r="E11305" t="s">
        <v>28719</v>
      </c>
      <c r="F11305" t="s">
        <v>32606</v>
      </c>
      <c r="G11305" t="s">
        <v>32613</v>
      </c>
      <c r="H11305" t="s">
        <v>14201</v>
      </c>
      <c r="I11305" t="s">
        <v>4120</v>
      </c>
      <c r="J11305" t="s">
        <v>39800</v>
      </c>
      <c r="K11305" t="s">
        <v>42638</v>
      </c>
      <c r="M11305" t="s">
        <v>45789</v>
      </c>
      <c r="N11305" t="s">
        <v>47304</v>
      </c>
      <c r="O11305" t="s">
        <v>47305</v>
      </c>
      <c r="P11305">
        <v>0</v>
      </c>
      <c r="Q11305">
        <v>0</v>
      </c>
      <c r="R11305" t="s">
        <v>47315</v>
      </c>
      <c r="S11305" t="s">
        <v>47665</v>
      </c>
      <c r="T11305" t="s">
        <v>49004</v>
      </c>
      <c r="U11305" t="s">
        <v>58860</v>
      </c>
      <c r="V11305" t="s">
        <v>63861</v>
      </c>
      <c r="W11305" t="s">
        <v>45789</v>
      </c>
      <c r="X11305" t="s">
        <v>47318</v>
      </c>
    </row>
    <row r="11306" spans="1:24">
      <c r="A11306">
        <f>HYPERLINK("https://www.philgeps.gov.ph/GEPSNONPILOT/Tender/SplashBidNoticeAbstractUI.aspx?menuIndex=3&amp;refID=7177954&amp;Result=3","7177954")</f>
        <v>0</v>
      </c>
      <c r="B11306" t="s">
        <v>207</v>
      </c>
      <c r="C11306" t="s">
        <v>14536</v>
      </c>
      <c r="D11306" t="s">
        <v>19047</v>
      </c>
      <c r="E11306" t="s">
        <v>28720</v>
      </c>
      <c r="F11306" t="s">
        <v>32606</v>
      </c>
      <c r="G11306" t="s">
        <v>32618</v>
      </c>
      <c r="H11306" t="s">
        <v>14201</v>
      </c>
      <c r="I11306" t="s">
        <v>32632</v>
      </c>
      <c r="J11306" t="s">
        <v>39801</v>
      </c>
      <c r="K11306" t="s">
        <v>42630</v>
      </c>
      <c r="M11306" t="s">
        <v>43108</v>
      </c>
      <c r="N11306" t="s">
        <v>47304</v>
      </c>
      <c r="O11306" t="s">
        <v>47305</v>
      </c>
      <c r="P11306">
        <v>0</v>
      </c>
      <c r="Q11306">
        <v>14</v>
      </c>
      <c r="R11306" t="s">
        <v>47315</v>
      </c>
      <c r="S11306" t="s">
        <v>47665</v>
      </c>
      <c r="T11306" t="s">
        <v>48989</v>
      </c>
      <c r="U11306" t="s">
        <v>49912</v>
      </c>
      <c r="V11306" t="s">
        <v>62695</v>
      </c>
      <c r="W11306" t="s">
        <v>43108</v>
      </c>
      <c r="X11306" t="s">
        <v>47318</v>
      </c>
    </row>
    <row r="11307" spans="1:24">
      <c r="A11307">
        <f>HYPERLINK("https://www.philgeps.gov.ph/GEPSNONPILOT/Tender/SplashBidNoticeAbstractUI.aspx?menuIndex=3&amp;refID=7178080&amp;Result=3","7178080")</f>
        <v>0</v>
      </c>
      <c r="B11307" t="s">
        <v>2115</v>
      </c>
      <c r="C11307" t="s">
        <v>14537</v>
      </c>
      <c r="D11307" t="s">
        <v>19008</v>
      </c>
      <c r="E11307" t="s">
        <v>28721</v>
      </c>
      <c r="F11307" t="s">
        <v>32606</v>
      </c>
      <c r="G11307" t="s">
        <v>32613</v>
      </c>
      <c r="H11307" t="s">
        <v>14201</v>
      </c>
      <c r="I11307" t="s">
        <v>32629</v>
      </c>
      <c r="J11307" t="s">
        <v>39802</v>
      </c>
      <c r="K11307" t="s">
        <v>42638</v>
      </c>
      <c r="M11307" t="s">
        <v>45789</v>
      </c>
      <c r="N11307" t="s">
        <v>47304</v>
      </c>
      <c r="O11307" t="s">
        <v>47305</v>
      </c>
      <c r="P11307">
        <v>0</v>
      </c>
      <c r="Q11307">
        <v>0</v>
      </c>
      <c r="R11307" t="s">
        <v>47315</v>
      </c>
      <c r="S11307" t="s">
        <v>47665</v>
      </c>
      <c r="T11307" t="s">
        <v>49004</v>
      </c>
      <c r="U11307" t="s">
        <v>58861</v>
      </c>
      <c r="V11307" t="s">
        <v>63563</v>
      </c>
      <c r="W11307" t="s">
        <v>45789</v>
      </c>
      <c r="X11307" t="s">
        <v>47318</v>
      </c>
    </row>
    <row r="11308" spans="1:24">
      <c r="A11308">
        <f>HYPERLINK("https://www.philgeps.gov.ph/GEPSNONPILOT/Tender/SplashBidNoticeAbstractUI.aspx?menuIndex=3&amp;refID=7178119&amp;Result=3","7178119")</f>
        <v>0</v>
      </c>
      <c r="B11308" t="s">
        <v>3276</v>
      </c>
      <c r="C11308" t="s">
        <v>14538</v>
      </c>
      <c r="D11308" t="s">
        <v>19008</v>
      </c>
      <c r="E11308" t="s">
        <v>19145</v>
      </c>
      <c r="F11308" t="s">
        <v>32607</v>
      </c>
      <c r="G11308" t="s">
        <v>32613</v>
      </c>
      <c r="H11308" t="s">
        <v>32623</v>
      </c>
      <c r="I11308" t="s">
        <v>17648</v>
      </c>
      <c r="J11308" t="s">
        <v>39803</v>
      </c>
      <c r="K11308" t="s">
        <v>42624</v>
      </c>
      <c r="M11308" t="s">
        <v>46510</v>
      </c>
      <c r="N11308" t="s">
        <v>47304</v>
      </c>
      <c r="O11308" t="s">
        <v>47305</v>
      </c>
      <c r="P11308">
        <v>0</v>
      </c>
      <c r="Q11308">
        <v>0</v>
      </c>
      <c r="R11308" t="s">
        <v>47315</v>
      </c>
      <c r="S11308" t="s">
        <v>47665</v>
      </c>
      <c r="T11308" t="s">
        <v>49076</v>
      </c>
      <c r="U11308" t="s">
        <v>58862</v>
      </c>
      <c r="V11308" t="s">
        <v>63862</v>
      </c>
      <c r="W11308" t="s">
        <v>46510</v>
      </c>
      <c r="X11308" t="s">
        <v>47318</v>
      </c>
    </row>
    <row r="11309" spans="1:24">
      <c r="A11309">
        <f>HYPERLINK("https://www.philgeps.gov.ph/GEPSNONPILOT/Tender/SplashBidNoticeAbstractUI.aspx?menuIndex=3&amp;refID=7178115&amp;Result=3","7178115")</f>
        <v>0</v>
      </c>
      <c r="B11309" t="s">
        <v>404</v>
      </c>
      <c r="C11309" t="s">
        <v>14539</v>
      </c>
      <c r="D11309" t="s">
        <v>19023</v>
      </c>
      <c r="E11309" t="s">
        <v>28722</v>
      </c>
      <c r="F11309" t="s">
        <v>32606</v>
      </c>
      <c r="G11309" t="s">
        <v>32613</v>
      </c>
      <c r="H11309" t="s">
        <v>14201</v>
      </c>
      <c r="I11309" t="s">
        <v>32629</v>
      </c>
      <c r="J11309" t="s">
        <v>39804</v>
      </c>
      <c r="K11309" t="s">
        <v>42664</v>
      </c>
      <c r="M11309" t="s">
        <v>44889</v>
      </c>
      <c r="N11309" t="s">
        <v>47304</v>
      </c>
      <c r="O11309" t="s">
        <v>47305</v>
      </c>
      <c r="P11309">
        <v>0</v>
      </c>
      <c r="Q11309">
        <v>0</v>
      </c>
      <c r="R11309" t="s">
        <v>47315</v>
      </c>
      <c r="S11309" t="s">
        <v>47665</v>
      </c>
      <c r="T11309" t="s">
        <v>49052</v>
      </c>
      <c r="U11309" t="s">
        <v>58863</v>
      </c>
      <c r="V11309" t="s">
        <v>62737</v>
      </c>
      <c r="W11309" t="s">
        <v>44889</v>
      </c>
      <c r="X11309" t="s">
        <v>47318</v>
      </c>
    </row>
    <row r="11310" spans="1:24">
      <c r="A11310">
        <f>HYPERLINK("https://www.philgeps.gov.ph/GEPSNONPILOT/Tender/SplashBidNoticeAbstractUI.aspx?menuIndex=3&amp;refID=7177947&amp;Result=3","7177947")</f>
        <v>0</v>
      </c>
      <c r="B11310" t="s">
        <v>1031</v>
      </c>
      <c r="C11310" t="s">
        <v>14540</v>
      </c>
      <c r="D11310" t="s">
        <v>19070</v>
      </c>
      <c r="E11310" t="s">
        <v>28723</v>
      </c>
      <c r="F11310" t="s">
        <v>32606</v>
      </c>
      <c r="G11310" t="s">
        <v>32613</v>
      </c>
      <c r="H11310" t="s">
        <v>32623</v>
      </c>
      <c r="I11310" t="s">
        <v>17648</v>
      </c>
      <c r="J11310" t="s">
        <v>39805</v>
      </c>
      <c r="K11310" t="s">
        <v>42631</v>
      </c>
      <c r="M11310" t="s">
        <v>46511</v>
      </c>
      <c r="N11310" t="s">
        <v>47304</v>
      </c>
      <c r="O11310" t="s">
        <v>47305</v>
      </c>
      <c r="P11310">
        <v>0</v>
      </c>
      <c r="Q11310">
        <v>0</v>
      </c>
      <c r="R11310" t="s">
        <v>47315</v>
      </c>
      <c r="S11310" t="s">
        <v>47665</v>
      </c>
      <c r="T11310" t="s">
        <v>49014</v>
      </c>
      <c r="U11310" t="s">
        <v>58864</v>
      </c>
      <c r="V11310" t="s">
        <v>63863</v>
      </c>
      <c r="W11310" t="s">
        <v>46511</v>
      </c>
      <c r="X11310" t="s">
        <v>47318</v>
      </c>
    </row>
    <row r="11311" spans="1:24">
      <c r="A11311">
        <f>HYPERLINK("https://www.philgeps.gov.ph/GEPSNONPILOT/Tender/SplashBidNoticeAbstractUI.aspx?menuIndex=3&amp;refID=7178274&amp;Result=3","7178274")</f>
        <v>0</v>
      </c>
      <c r="B11311" t="s">
        <v>684</v>
      </c>
      <c r="C11311" t="s">
        <v>14541</v>
      </c>
      <c r="D11311" t="s">
        <v>19012</v>
      </c>
      <c r="E11311" t="s">
        <v>28724</v>
      </c>
      <c r="F11311" t="s">
        <v>32606</v>
      </c>
      <c r="G11311" t="s">
        <v>32613</v>
      </c>
      <c r="H11311" t="s">
        <v>14201</v>
      </c>
      <c r="I11311" t="s">
        <v>32633</v>
      </c>
      <c r="J11311" t="s">
        <v>39806</v>
      </c>
      <c r="K11311" t="s">
        <v>42622</v>
      </c>
      <c r="L11311" t="s">
        <v>684</v>
      </c>
      <c r="M11311" t="s">
        <v>43605</v>
      </c>
      <c r="N11311" t="s">
        <v>47304</v>
      </c>
      <c r="O11311" t="s">
        <v>47305</v>
      </c>
      <c r="P11311">
        <v>0</v>
      </c>
      <c r="Q11311">
        <v>11</v>
      </c>
      <c r="R11311" t="s">
        <v>47315</v>
      </c>
      <c r="S11311" t="s">
        <v>47665</v>
      </c>
      <c r="T11311" t="s">
        <v>49053</v>
      </c>
      <c r="U11311" t="s">
        <v>50747</v>
      </c>
      <c r="V11311" t="s">
        <v>63129</v>
      </c>
      <c r="W11311" t="s">
        <v>43605</v>
      </c>
      <c r="X11311" t="s">
        <v>47318</v>
      </c>
    </row>
    <row r="11312" spans="1:24">
      <c r="A11312">
        <f>HYPERLINK("https://www.philgeps.gov.ph/GEPSNONPILOT/Tender/SplashBidNoticeAbstractUI.aspx?menuIndex=3&amp;refID=7178221&amp;Result=3","7178221")</f>
        <v>0</v>
      </c>
      <c r="B11312" t="s">
        <v>684</v>
      </c>
      <c r="C11312" t="s">
        <v>14542</v>
      </c>
      <c r="D11312" t="s">
        <v>19012</v>
      </c>
      <c r="E11312" t="s">
        <v>28725</v>
      </c>
      <c r="F11312" t="s">
        <v>32606</v>
      </c>
      <c r="G11312" t="s">
        <v>32613</v>
      </c>
      <c r="H11312" t="s">
        <v>14201</v>
      </c>
      <c r="I11312" t="s">
        <v>32653</v>
      </c>
      <c r="J11312" t="s">
        <v>35368</v>
      </c>
      <c r="K11312" t="s">
        <v>42648</v>
      </c>
      <c r="L11312" t="s">
        <v>684</v>
      </c>
      <c r="M11312" t="s">
        <v>43605</v>
      </c>
      <c r="N11312" t="s">
        <v>47304</v>
      </c>
      <c r="O11312" t="s">
        <v>47305</v>
      </c>
      <c r="P11312">
        <v>0</v>
      </c>
      <c r="Q11312">
        <v>15</v>
      </c>
      <c r="R11312" t="s">
        <v>47315</v>
      </c>
      <c r="S11312" t="s">
        <v>47665</v>
      </c>
      <c r="T11312" t="s">
        <v>49234</v>
      </c>
      <c r="U11312" t="s">
        <v>52303</v>
      </c>
      <c r="V11312" t="s">
        <v>63129</v>
      </c>
      <c r="W11312" t="s">
        <v>43605</v>
      </c>
      <c r="X11312" t="s">
        <v>47318</v>
      </c>
    </row>
    <row r="11313" spans="1:24">
      <c r="A11313">
        <f>HYPERLINK("https://www.philgeps.gov.ph/GEPSNONPILOT/Tender/SplashBidNoticeAbstractUI.aspx?menuIndex=3&amp;refID=7178196&amp;Result=3","7178196")</f>
        <v>0</v>
      </c>
      <c r="B11313" t="s">
        <v>955</v>
      </c>
      <c r="C11313" t="s">
        <v>14543</v>
      </c>
      <c r="D11313" t="s">
        <v>19068</v>
      </c>
      <c r="E11313" t="s">
        <v>21030</v>
      </c>
      <c r="F11313" t="s">
        <v>32606</v>
      </c>
      <c r="G11313" t="s">
        <v>32613</v>
      </c>
      <c r="H11313" t="s">
        <v>32623</v>
      </c>
      <c r="I11313" t="s">
        <v>17648</v>
      </c>
      <c r="J11313" t="s">
        <v>34789</v>
      </c>
      <c r="K11313" t="s">
        <v>42624</v>
      </c>
      <c r="M11313" t="s">
        <v>43898</v>
      </c>
      <c r="N11313" t="s">
        <v>47304</v>
      </c>
      <c r="O11313" t="s">
        <v>47305</v>
      </c>
      <c r="P11313">
        <v>0</v>
      </c>
      <c r="Q11313">
        <v>0</v>
      </c>
      <c r="R11313" t="s">
        <v>47315</v>
      </c>
      <c r="S11313" t="s">
        <v>47665</v>
      </c>
      <c r="T11313" t="s">
        <v>49075</v>
      </c>
      <c r="U11313" t="s">
        <v>58865</v>
      </c>
      <c r="V11313" t="s">
        <v>63858</v>
      </c>
      <c r="W11313" t="s">
        <v>43898</v>
      </c>
      <c r="X11313" t="s">
        <v>47318</v>
      </c>
    </row>
    <row r="11314" spans="1:24">
      <c r="A11314">
        <f>HYPERLINK("https://www.philgeps.gov.ph/GEPSNONPILOT/Tender/SplashBidNoticeAbstractUI.aspx?menuIndex=3&amp;refID=7178049&amp;Result=3","7178049")</f>
        <v>0</v>
      </c>
      <c r="B11314" t="s">
        <v>366</v>
      </c>
      <c r="C11314" t="s">
        <v>14544</v>
      </c>
      <c r="D11314" t="s">
        <v>19057</v>
      </c>
      <c r="E11314" t="s">
        <v>28726</v>
      </c>
      <c r="F11314" t="s">
        <v>32606</v>
      </c>
      <c r="G11314" t="s">
        <v>32613</v>
      </c>
      <c r="H11314" t="s">
        <v>32623</v>
      </c>
      <c r="I11314" t="s">
        <v>17648</v>
      </c>
      <c r="J11314" t="s">
        <v>32795</v>
      </c>
      <c r="K11314" t="s">
        <v>42752</v>
      </c>
      <c r="M11314" t="s">
        <v>43268</v>
      </c>
      <c r="N11314" t="s">
        <v>47304</v>
      </c>
      <c r="O11314" t="s">
        <v>47305</v>
      </c>
      <c r="P11314">
        <v>0</v>
      </c>
      <c r="Q11314">
        <v>0</v>
      </c>
      <c r="R11314" t="s">
        <v>47315</v>
      </c>
      <c r="S11314" t="s">
        <v>47665</v>
      </c>
      <c r="T11314" t="s">
        <v>49040</v>
      </c>
      <c r="U11314" t="s">
        <v>58866</v>
      </c>
      <c r="W11314" t="s">
        <v>43268</v>
      </c>
      <c r="X11314" t="s">
        <v>47318</v>
      </c>
    </row>
    <row r="11315" spans="1:24">
      <c r="A11315">
        <f>HYPERLINK("https://www.philgeps.gov.ph/GEPSNONPILOT/Tender/SplashBidNoticeAbstractUI.aspx?menuIndex=3&amp;refID=7178008&amp;Result=3","7178008")</f>
        <v>0</v>
      </c>
      <c r="B11315" t="s">
        <v>1899</v>
      </c>
      <c r="C11315" t="s">
        <v>14545</v>
      </c>
      <c r="D11315" t="s">
        <v>19041</v>
      </c>
      <c r="E11315" t="s">
        <v>28727</v>
      </c>
      <c r="F11315" t="s">
        <v>32606</v>
      </c>
      <c r="G11315" t="s">
        <v>32613</v>
      </c>
      <c r="H11315" t="s">
        <v>32623</v>
      </c>
      <c r="I11315" t="s">
        <v>17648</v>
      </c>
      <c r="J11315" t="s">
        <v>39807</v>
      </c>
      <c r="K11315" t="s">
        <v>42775</v>
      </c>
      <c r="M11315" t="s">
        <v>44958</v>
      </c>
      <c r="N11315" t="s">
        <v>47304</v>
      </c>
      <c r="O11315" t="s">
        <v>47305</v>
      </c>
      <c r="P11315">
        <v>0</v>
      </c>
      <c r="Q11315">
        <v>1</v>
      </c>
      <c r="R11315" t="s">
        <v>47315</v>
      </c>
      <c r="S11315" t="s">
        <v>47665</v>
      </c>
      <c r="T11315" t="s">
        <v>48989</v>
      </c>
      <c r="U11315" t="s">
        <v>58867</v>
      </c>
      <c r="W11315" t="s">
        <v>44958</v>
      </c>
      <c r="X11315" t="s">
        <v>47318</v>
      </c>
    </row>
    <row r="11316" spans="1:24">
      <c r="A11316">
        <f>HYPERLINK("https://www.philgeps.gov.ph/GEPSNONPILOT/Tender/SplashBidNoticeAbstractUI.aspx?menuIndex=3&amp;refID=7177985&amp;Result=3","7177985")</f>
        <v>0</v>
      </c>
      <c r="B11316" t="s">
        <v>3277</v>
      </c>
      <c r="C11316" t="s">
        <v>14546</v>
      </c>
      <c r="D11316" t="s">
        <v>19007</v>
      </c>
      <c r="E11316" t="s">
        <v>28728</v>
      </c>
      <c r="F11316" t="s">
        <v>32606</v>
      </c>
      <c r="G11316" t="s">
        <v>32613</v>
      </c>
      <c r="H11316" t="s">
        <v>14201</v>
      </c>
      <c r="I11316" t="s">
        <v>7064</v>
      </c>
      <c r="J11316" t="s">
        <v>39808</v>
      </c>
      <c r="K11316" t="s">
        <v>42694</v>
      </c>
      <c r="M11316" t="s">
        <v>46512</v>
      </c>
      <c r="N11316" t="s">
        <v>47304</v>
      </c>
      <c r="O11316" t="s">
        <v>47305</v>
      </c>
      <c r="P11316">
        <v>0</v>
      </c>
      <c r="Q11316">
        <v>2</v>
      </c>
      <c r="R11316" t="s">
        <v>47315</v>
      </c>
      <c r="S11316" t="s">
        <v>47665</v>
      </c>
      <c r="T11316" t="s">
        <v>49066</v>
      </c>
      <c r="U11316" t="s">
        <v>58868</v>
      </c>
      <c r="V11316" t="s">
        <v>62721</v>
      </c>
      <c r="W11316" t="s">
        <v>46512</v>
      </c>
      <c r="X11316" t="s">
        <v>47318</v>
      </c>
    </row>
    <row r="11317" spans="1:24">
      <c r="A11317">
        <f>HYPERLINK("https://www.philgeps.gov.ph/GEPSNONPILOT/Tender/SplashBidNoticeAbstractUI.aspx?menuIndex=3&amp;refID=7178306&amp;Result=3","7178306")</f>
        <v>0</v>
      </c>
      <c r="B11317" t="s">
        <v>684</v>
      </c>
      <c r="C11317" t="s">
        <v>14547</v>
      </c>
      <c r="D11317" t="s">
        <v>19012</v>
      </c>
      <c r="E11317" t="s">
        <v>28729</v>
      </c>
      <c r="F11317" t="s">
        <v>32606</v>
      </c>
      <c r="G11317" t="s">
        <v>32613</v>
      </c>
      <c r="H11317" t="s">
        <v>14201</v>
      </c>
      <c r="I11317" t="s">
        <v>4114</v>
      </c>
      <c r="J11317" t="s">
        <v>39809</v>
      </c>
      <c r="K11317" t="s">
        <v>42622</v>
      </c>
      <c r="L11317" t="s">
        <v>684</v>
      </c>
      <c r="M11317" t="s">
        <v>43605</v>
      </c>
      <c r="N11317" t="s">
        <v>47304</v>
      </c>
      <c r="O11317" t="s">
        <v>47305</v>
      </c>
      <c r="P11317">
        <v>0</v>
      </c>
      <c r="Q11317">
        <v>5</v>
      </c>
      <c r="R11317" t="s">
        <v>47315</v>
      </c>
      <c r="S11317" t="s">
        <v>47665</v>
      </c>
      <c r="T11317" t="s">
        <v>49053</v>
      </c>
      <c r="U11317" t="s">
        <v>58869</v>
      </c>
      <c r="V11317" t="s">
        <v>63129</v>
      </c>
      <c r="W11317" t="s">
        <v>43605</v>
      </c>
      <c r="X11317" t="s">
        <v>47318</v>
      </c>
    </row>
    <row r="11318" spans="1:24">
      <c r="A11318">
        <f>HYPERLINK("https://www.philgeps.gov.ph/GEPSNONPILOT/Tender/SplashBidNoticeAbstractUI.aspx?menuIndex=3&amp;refID=7178649&amp;Result=3","7178649")</f>
        <v>0</v>
      </c>
      <c r="B11318" t="s">
        <v>3278</v>
      </c>
      <c r="C11318" t="s">
        <v>14548</v>
      </c>
      <c r="D11318" t="s">
        <v>19020</v>
      </c>
      <c r="E11318" t="s">
        <v>28730</v>
      </c>
      <c r="F11318" t="s">
        <v>32606</v>
      </c>
      <c r="G11318" t="s">
        <v>32619</v>
      </c>
      <c r="H11318" t="s">
        <v>14201</v>
      </c>
      <c r="I11318" t="s">
        <v>6298</v>
      </c>
      <c r="J11318" t="s">
        <v>33169</v>
      </c>
      <c r="K11318" t="s">
        <v>42677</v>
      </c>
      <c r="M11318" t="s">
        <v>46513</v>
      </c>
      <c r="N11318" t="s">
        <v>47304</v>
      </c>
      <c r="O11318" t="s">
        <v>47305</v>
      </c>
      <c r="P11318">
        <v>0</v>
      </c>
      <c r="Q11318">
        <v>0</v>
      </c>
      <c r="R11318" t="s">
        <v>47315</v>
      </c>
      <c r="S11318" t="s">
        <v>47665</v>
      </c>
      <c r="T11318" t="s">
        <v>48988</v>
      </c>
      <c r="U11318" t="s">
        <v>58870</v>
      </c>
      <c r="W11318" t="s">
        <v>46513</v>
      </c>
      <c r="X11318" t="s">
        <v>47318</v>
      </c>
    </row>
    <row r="11319" spans="1:24">
      <c r="A11319">
        <f>HYPERLINK("https://www.philgeps.gov.ph/GEPSNONPILOT/Tender/SplashBidNoticeAbstractUI.aspx?menuIndex=3&amp;refID=7178165&amp;Result=3","7178165")</f>
        <v>0</v>
      </c>
      <c r="B11319" t="s">
        <v>684</v>
      </c>
      <c r="C11319" t="s">
        <v>14549</v>
      </c>
      <c r="D11319" t="s">
        <v>19012</v>
      </c>
      <c r="E11319" t="s">
        <v>28731</v>
      </c>
      <c r="F11319" t="s">
        <v>32606</v>
      </c>
      <c r="G11319" t="s">
        <v>32613</v>
      </c>
      <c r="H11319" t="s">
        <v>14201</v>
      </c>
      <c r="I11319" t="s">
        <v>7677</v>
      </c>
      <c r="J11319" t="s">
        <v>39810</v>
      </c>
      <c r="K11319" t="s">
        <v>42622</v>
      </c>
      <c r="L11319" t="s">
        <v>684</v>
      </c>
      <c r="M11319" t="s">
        <v>43605</v>
      </c>
      <c r="N11319" t="s">
        <v>47304</v>
      </c>
      <c r="O11319" t="s">
        <v>47305</v>
      </c>
      <c r="P11319">
        <v>0</v>
      </c>
      <c r="Q11319">
        <v>8</v>
      </c>
      <c r="R11319" t="s">
        <v>47315</v>
      </c>
      <c r="S11319" t="s">
        <v>47665</v>
      </c>
      <c r="T11319" t="s">
        <v>49234</v>
      </c>
      <c r="U11319" t="s">
        <v>51114</v>
      </c>
      <c r="V11319" t="s">
        <v>63129</v>
      </c>
      <c r="W11319" t="s">
        <v>43605</v>
      </c>
      <c r="X11319" t="s">
        <v>47318</v>
      </c>
    </row>
    <row r="11320" spans="1:24">
      <c r="A11320">
        <f>HYPERLINK("https://www.philgeps.gov.ph/GEPSNONPILOT/Tender/SplashBidNoticeAbstractUI.aspx?menuIndex=3&amp;refID=7178628&amp;Result=3","7178628")</f>
        <v>0</v>
      </c>
      <c r="B11320" t="s">
        <v>3279</v>
      </c>
      <c r="C11320" t="s">
        <v>14550</v>
      </c>
      <c r="D11320" t="s">
        <v>18995</v>
      </c>
      <c r="E11320" t="s">
        <v>28732</v>
      </c>
      <c r="F11320" t="s">
        <v>32606</v>
      </c>
      <c r="G11320" t="s">
        <v>32613</v>
      </c>
      <c r="H11320" t="s">
        <v>32623</v>
      </c>
      <c r="I11320" t="s">
        <v>17648</v>
      </c>
      <c r="J11320" t="s">
        <v>33263</v>
      </c>
      <c r="K11320" t="s">
        <v>42623</v>
      </c>
      <c r="M11320" t="s">
        <v>46514</v>
      </c>
      <c r="N11320" t="s">
        <v>47304</v>
      </c>
      <c r="O11320" t="s">
        <v>47305</v>
      </c>
      <c r="P11320">
        <v>0</v>
      </c>
      <c r="Q11320">
        <v>2</v>
      </c>
      <c r="R11320" t="s">
        <v>47315</v>
      </c>
      <c r="S11320" t="s">
        <v>47665</v>
      </c>
      <c r="T11320" t="s">
        <v>49140</v>
      </c>
      <c r="U11320" t="s">
        <v>58871</v>
      </c>
      <c r="V11320" t="s">
        <v>63864</v>
      </c>
      <c r="W11320" t="s">
        <v>46514</v>
      </c>
      <c r="X11320" t="s">
        <v>47318</v>
      </c>
    </row>
    <row r="11321" spans="1:24">
      <c r="A11321">
        <f>HYPERLINK("https://www.philgeps.gov.ph/GEPSNONPILOT/Tender/SplashBidNoticeAbstractUI.aspx?menuIndex=3&amp;refID=7178622&amp;Result=3","7178622")</f>
        <v>0</v>
      </c>
      <c r="B11321" t="s">
        <v>1884</v>
      </c>
      <c r="C11321" t="s">
        <v>14551</v>
      </c>
      <c r="D11321" t="s">
        <v>18993</v>
      </c>
      <c r="E11321" t="s">
        <v>28733</v>
      </c>
      <c r="F11321" t="s">
        <v>32606</v>
      </c>
      <c r="G11321" t="s">
        <v>32613</v>
      </c>
      <c r="H11321" t="s">
        <v>32624</v>
      </c>
      <c r="I11321" t="s">
        <v>9297</v>
      </c>
      <c r="J11321" t="s">
        <v>39811</v>
      </c>
      <c r="K11321" t="s">
        <v>42783</v>
      </c>
      <c r="M11321" t="s">
        <v>46515</v>
      </c>
      <c r="N11321" t="s">
        <v>47304</v>
      </c>
      <c r="O11321" t="s">
        <v>47305</v>
      </c>
      <c r="P11321">
        <v>0</v>
      </c>
      <c r="Q11321">
        <v>10</v>
      </c>
      <c r="R11321" t="s">
        <v>47315</v>
      </c>
      <c r="S11321" t="s">
        <v>47665</v>
      </c>
      <c r="T11321" t="s">
        <v>49364</v>
      </c>
      <c r="U11321" t="s">
        <v>58872</v>
      </c>
      <c r="W11321" t="s">
        <v>46515</v>
      </c>
      <c r="X11321" t="s">
        <v>47318</v>
      </c>
    </row>
    <row r="11322" spans="1:24">
      <c r="A11322">
        <f>HYPERLINK("https://www.philgeps.gov.ph/GEPSNONPILOT/Tender/SplashBidNoticeAbstractUI.aspx?menuIndex=3&amp;refID=7176700&amp;Result=3","7176700")</f>
        <v>0</v>
      </c>
      <c r="B11322" t="s">
        <v>1597</v>
      </c>
      <c r="C11322" t="s">
        <v>14552</v>
      </c>
      <c r="D11322" t="s">
        <v>19061</v>
      </c>
      <c r="E11322" t="s">
        <v>28734</v>
      </c>
      <c r="F11322" t="s">
        <v>32606</v>
      </c>
      <c r="G11322" t="s">
        <v>32613</v>
      </c>
      <c r="H11322" t="s">
        <v>32623</v>
      </c>
      <c r="I11322" t="s">
        <v>17648</v>
      </c>
      <c r="J11322" t="s">
        <v>34435</v>
      </c>
      <c r="K11322" t="s">
        <v>42712</v>
      </c>
      <c r="L11322" t="s">
        <v>1597</v>
      </c>
      <c r="M11322" t="s">
        <v>44612</v>
      </c>
      <c r="N11322" t="s">
        <v>47304</v>
      </c>
      <c r="O11322" t="s">
        <v>47305</v>
      </c>
      <c r="P11322">
        <v>0</v>
      </c>
      <c r="Q11322">
        <v>0</v>
      </c>
      <c r="R11322" t="s">
        <v>47315</v>
      </c>
      <c r="S11322" t="s">
        <v>47665</v>
      </c>
      <c r="T11322" t="s">
        <v>49140</v>
      </c>
      <c r="U11322" t="s">
        <v>53124</v>
      </c>
      <c r="V11322" t="s">
        <v>63857</v>
      </c>
      <c r="W11322" t="s">
        <v>44612</v>
      </c>
      <c r="X11322" t="s">
        <v>47319</v>
      </c>
    </row>
    <row r="11323" spans="1:24">
      <c r="A11323">
        <f>HYPERLINK("https://www.philgeps.gov.ph/GEPSNONPILOT/Tender/SplashBidNoticeAbstractUI.aspx?menuIndex=3&amp;refID=7178593&amp;Result=3","7178593")</f>
        <v>0</v>
      </c>
      <c r="B11323" t="s">
        <v>3280</v>
      </c>
      <c r="C11323" t="s">
        <v>14553</v>
      </c>
      <c r="D11323" t="s">
        <v>19024</v>
      </c>
      <c r="E11323" t="s">
        <v>27013</v>
      </c>
      <c r="F11323" t="s">
        <v>32606</v>
      </c>
      <c r="G11323" t="s">
        <v>32613</v>
      </c>
      <c r="H11323" t="s">
        <v>32623</v>
      </c>
      <c r="I11323" t="s">
        <v>17648</v>
      </c>
      <c r="J11323" t="s">
        <v>39812</v>
      </c>
      <c r="K11323" t="s">
        <v>42648</v>
      </c>
      <c r="M11323" t="s">
        <v>46516</v>
      </c>
      <c r="N11323" t="s">
        <v>47304</v>
      </c>
      <c r="O11323" t="s">
        <v>47305</v>
      </c>
      <c r="P11323">
        <v>0</v>
      </c>
      <c r="Q11323">
        <v>0</v>
      </c>
      <c r="R11323" t="s">
        <v>47315</v>
      </c>
      <c r="S11323" t="s">
        <v>47665</v>
      </c>
      <c r="T11323" t="s">
        <v>49052</v>
      </c>
      <c r="U11323" t="s">
        <v>58873</v>
      </c>
      <c r="W11323" t="s">
        <v>46516</v>
      </c>
      <c r="X11323" t="s">
        <v>47318</v>
      </c>
    </row>
    <row r="11324" spans="1:24">
      <c r="A11324">
        <f>HYPERLINK("https://www.philgeps.gov.ph/GEPSNONPILOT/Tender/SplashBidNoticeAbstractUI.aspx?menuIndex=3&amp;refID=7178577&amp;Result=3","7178577")</f>
        <v>0</v>
      </c>
      <c r="B11324" t="s">
        <v>72</v>
      </c>
      <c r="C11324" t="s">
        <v>14554</v>
      </c>
      <c r="D11324" t="s">
        <v>19018</v>
      </c>
      <c r="E11324" t="s">
        <v>28735</v>
      </c>
      <c r="F11324" t="s">
        <v>32606</v>
      </c>
      <c r="G11324" t="s">
        <v>32614</v>
      </c>
      <c r="H11324" t="s">
        <v>14201</v>
      </c>
      <c r="I11324" t="s">
        <v>4121</v>
      </c>
      <c r="J11324" t="s">
        <v>39813</v>
      </c>
      <c r="K11324" t="s">
        <v>42631</v>
      </c>
      <c r="M11324" t="s">
        <v>42969</v>
      </c>
      <c r="N11324" t="s">
        <v>47304</v>
      </c>
      <c r="O11324" t="s">
        <v>47305</v>
      </c>
      <c r="Q11324">
        <v>5</v>
      </c>
      <c r="R11324" t="s">
        <v>47315</v>
      </c>
      <c r="S11324" t="s">
        <v>47672</v>
      </c>
      <c r="T11324" t="s">
        <v>49075</v>
      </c>
      <c r="U11324" t="s">
        <v>58874</v>
      </c>
      <c r="V11324" t="s">
        <v>63865</v>
      </c>
      <c r="W11324" t="s">
        <v>42969</v>
      </c>
      <c r="X11324" t="s">
        <v>47318</v>
      </c>
    </row>
    <row r="11325" spans="1:24">
      <c r="A11325">
        <f>HYPERLINK("https://www.philgeps.gov.ph/GEPSNONPILOT/Tender/SplashBidNoticeAbstractUI.aspx?menuIndex=3&amp;refID=7178853&amp;Result=3","7178853")</f>
        <v>0</v>
      </c>
      <c r="B11325" t="s">
        <v>955</v>
      </c>
      <c r="C11325" t="s">
        <v>14555</v>
      </c>
      <c r="D11325" t="s">
        <v>19068</v>
      </c>
      <c r="E11325" t="s">
        <v>21030</v>
      </c>
      <c r="F11325" t="s">
        <v>32606</v>
      </c>
      <c r="G11325" t="s">
        <v>32613</v>
      </c>
      <c r="H11325" t="s">
        <v>32623</v>
      </c>
      <c r="I11325" t="s">
        <v>17648</v>
      </c>
      <c r="J11325" t="s">
        <v>32767</v>
      </c>
      <c r="K11325" t="s">
        <v>42624</v>
      </c>
      <c r="M11325" t="s">
        <v>43898</v>
      </c>
      <c r="N11325" t="s">
        <v>47304</v>
      </c>
      <c r="O11325" t="s">
        <v>47305</v>
      </c>
      <c r="P11325">
        <v>0</v>
      </c>
      <c r="Q11325">
        <v>0</v>
      </c>
      <c r="R11325" t="s">
        <v>47315</v>
      </c>
      <c r="S11325" t="s">
        <v>47665</v>
      </c>
      <c r="T11325" t="s">
        <v>49075</v>
      </c>
      <c r="U11325" t="s">
        <v>58875</v>
      </c>
      <c r="V11325" t="s">
        <v>63858</v>
      </c>
      <c r="W11325" t="s">
        <v>43898</v>
      </c>
      <c r="X11325" t="s">
        <v>47318</v>
      </c>
    </row>
    <row r="11326" spans="1:24">
      <c r="A11326">
        <f>HYPERLINK("https://www.philgeps.gov.ph/GEPSNONPILOT/Tender/SplashBidNoticeAbstractUI.aspx?menuIndex=3&amp;refID=7178847&amp;Result=3","7178847")</f>
        <v>0</v>
      </c>
      <c r="B11326" t="s">
        <v>2115</v>
      </c>
      <c r="C11326" t="s">
        <v>14556</v>
      </c>
      <c r="D11326" t="s">
        <v>19008</v>
      </c>
      <c r="E11326" t="s">
        <v>28736</v>
      </c>
      <c r="F11326" t="s">
        <v>32606</v>
      </c>
      <c r="G11326" t="s">
        <v>32613</v>
      </c>
      <c r="H11326" t="s">
        <v>14201</v>
      </c>
      <c r="I11326" t="s">
        <v>32629</v>
      </c>
      <c r="J11326" t="s">
        <v>39814</v>
      </c>
      <c r="K11326" t="s">
        <v>42638</v>
      </c>
      <c r="M11326" t="s">
        <v>45601</v>
      </c>
      <c r="N11326" t="s">
        <v>47304</v>
      </c>
      <c r="O11326" t="s">
        <v>47305</v>
      </c>
      <c r="P11326">
        <v>0</v>
      </c>
      <c r="Q11326">
        <v>0</v>
      </c>
      <c r="R11326" t="s">
        <v>47315</v>
      </c>
      <c r="S11326" t="s">
        <v>47665</v>
      </c>
      <c r="T11326" t="s">
        <v>49071</v>
      </c>
      <c r="U11326" t="s">
        <v>58876</v>
      </c>
      <c r="V11326" t="s">
        <v>62846</v>
      </c>
      <c r="W11326" t="s">
        <v>45601</v>
      </c>
      <c r="X11326" t="s">
        <v>47318</v>
      </c>
    </row>
    <row r="11327" spans="1:24">
      <c r="A11327">
        <f>HYPERLINK("https://www.philgeps.gov.ph/GEPSNONPILOT/Tender/SplashBidNoticeAbstractUI.aspx?menuIndex=3&amp;refID=7178637&amp;Result=3","7178637")</f>
        <v>0</v>
      </c>
      <c r="B11327" t="s">
        <v>3281</v>
      </c>
      <c r="C11327" t="s">
        <v>14557</v>
      </c>
      <c r="E11327" t="s">
        <v>28737</v>
      </c>
      <c r="F11327" t="s">
        <v>32606</v>
      </c>
      <c r="G11327" t="s">
        <v>32613</v>
      </c>
      <c r="H11327" t="s">
        <v>14201</v>
      </c>
      <c r="I11327" t="s">
        <v>6931</v>
      </c>
      <c r="J11327" t="s">
        <v>39815</v>
      </c>
      <c r="K11327" t="s">
        <v>42624</v>
      </c>
      <c r="M11327" t="s">
        <v>46517</v>
      </c>
      <c r="N11327" t="s">
        <v>47304</v>
      </c>
      <c r="O11327" t="s">
        <v>47305</v>
      </c>
      <c r="P11327">
        <v>0</v>
      </c>
      <c r="Q11327">
        <v>0</v>
      </c>
      <c r="R11327" t="s">
        <v>47315</v>
      </c>
      <c r="S11327" t="s">
        <v>47665</v>
      </c>
      <c r="T11327" t="s">
        <v>49072</v>
      </c>
      <c r="U11327" t="s">
        <v>58877</v>
      </c>
      <c r="W11327" t="s">
        <v>46517</v>
      </c>
      <c r="X11327" t="s">
        <v>47318</v>
      </c>
    </row>
    <row r="11328" spans="1:24">
      <c r="A11328">
        <f>HYPERLINK("https://www.philgeps.gov.ph/GEPSNONPILOT/Tender/SplashBidNoticeAbstractUI.aspx?menuIndex=3&amp;refID=7178820&amp;Result=3","7178820")</f>
        <v>0</v>
      </c>
      <c r="B11328" t="s">
        <v>955</v>
      </c>
      <c r="C11328" t="s">
        <v>14558</v>
      </c>
      <c r="D11328" t="s">
        <v>19068</v>
      </c>
      <c r="E11328" t="s">
        <v>21030</v>
      </c>
      <c r="F11328" t="s">
        <v>32606</v>
      </c>
      <c r="G11328" t="s">
        <v>32613</v>
      </c>
      <c r="H11328" t="s">
        <v>32623</v>
      </c>
      <c r="I11328" t="s">
        <v>17648</v>
      </c>
      <c r="J11328" t="s">
        <v>35749</v>
      </c>
      <c r="K11328" t="s">
        <v>42624</v>
      </c>
      <c r="M11328" t="s">
        <v>43898</v>
      </c>
      <c r="N11328" t="s">
        <v>47304</v>
      </c>
      <c r="O11328" t="s">
        <v>47305</v>
      </c>
      <c r="P11328">
        <v>0</v>
      </c>
      <c r="Q11328">
        <v>0</v>
      </c>
      <c r="R11328" t="s">
        <v>47315</v>
      </c>
      <c r="S11328" t="s">
        <v>47665</v>
      </c>
      <c r="T11328" t="s">
        <v>49075</v>
      </c>
      <c r="U11328" t="s">
        <v>58878</v>
      </c>
      <c r="V11328" t="s">
        <v>63858</v>
      </c>
      <c r="W11328" t="s">
        <v>43898</v>
      </c>
      <c r="X11328" t="s">
        <v>47318</v>
      </c>
    </row>
    <row r="11329" spans="1:24">
      <c r="A11329">
        <f>HYPERLINK("https://www.philgeps.gov.ph/GEPSNONPILOT/Tender/SplashBidNoticeAbstractUI.aspx?menuIndex=3&amp;refID=6470784&amp;Result=3","6470784")</f>
        <v>0</v>
      </c>
      <c r="B11329" t="s">
        <v>3281</v>
      </c>
      <c r="C11329" t="s">
        <v>14559</v>
      </c>
      <c r="E11329" t="s">
        <v>19393</v>
      </c>
      <c r="F11329" t="s">
        <v>32606</v>
      </c>
      <c r="G11329" t="s">
        <v>32613</v>
      </c>
      <c r="H11329" t="s">
        <v>14201</v>
      </c>
      <c r="I11329" t="s">
        <v>32635</v>
      </c>
      <c r="J11329" t="s">
        <v>32765</v>
      </c>
      <c r="K11329" t="s">
        <v>42624</v>
      </c>
      <c r="M11329" t="s">
        <v>46517</v>
      </c>
      <c r="N11329" t="s">
        <v>47304</v>
      </c>
      <c r="O11329" t="s">
        <v>47305</v>
      </c>
      <c r="P11329">
        <v>0</v>
      </c>
      <c r="Q11329">
        <v>1</v>
      </c>
      <c r="R11329" t="s">
        <v>47315</v>
      </c>
      <c r="S11329" t="s">
        <v>47665</v>
      </c>
      <c r="T11329" t="s">
        <v>49165</v>
      </c>
      <c r="U11329" t="s">
        <v>58879</v>
      </c>
      <c r="W11329" t="s">
        <v>46517</v>
      </c>
      <c r="X11329" t="s">
        <v>64572</v>
      </c>
    </row>
    <row r="11330" spans="1:24">
      <c r="A11330">
        <f>HYPERLINK("https://www.philgeps.gov.ph/GEPSNONPILOT/Tender/SplashBidNoticeAbstractUI.aspx?menuIndex=3&amp;refID=7178817&amp;Result=3","7178817")</f>
        <v>0</v>
      </c>
      <c r="B11330" t="s">
        <v>3282</v>
      </c>
      <c r="C11330" t="s">
        <v>14560</v>
      </c>
      <c r="D11330" t="s">
        <v>19058</v>
      </c>
      <c r="E11330" t="s">
        <v>28738</v>
      </c>
      <c r="F11330" t="s">
        <v>32606</v>
      </c>
      <c r="G11330" t="s">
        <v>32613</v>
      </c>
      <c r="H11330" t="s">
        <v>14201</v>
      </c>
      <c r="I11330" t="s">
        <v>32681</v>
      </c>
      <c r="J11330" t="s">
        <v>39816</v>
      </c>
      <c r="K11330" t="s">
        <v>42631</v>
      </c>
      <c r="M11330" t="s">
        <v>46518</v>
      </c>
      <c r="N11330" t="s">
        <v>47304</v>
      </c>
      <c r="O11330" t="s">
        <v>47305</v>
      </c>
      <c r="P11330">
        <v>0</v>
      </c>
      <c r="Q11330">
        <v>5</v>
      </c>
      <c r="R11330" t="s">
        <v>47315</v>
      </c>
      <c r="S11330" t="s">
        <v>47665</v>
      </c>
      <c r="T11330" t="s">
        <v>49075</v>
      </c>
      <c r="U11330" t="s">
        <v>58880</v>
      </c>
      <c r="W11330" t="s">
        <v>46518</v>
      </c>
      <c r="X11330" t="s">
        <v>47318</v>
      </c>
    </row>
    <row r="11331" spans="1:24">
      <c r="A11331">
        <f>HYPERLINK("https://www.philgeps.gov.ph/GEPSNONPILOT/Tender/SplashBidNoticeAbstractUI.aspx?menuIndex=3&amp;refID=7178814&amp;Result=3","7178814")</f>
        <v>0</v>
      </c>
      <c r="B11331" t="s">
        <v>1672</v>
      </c>
      <c r="C11331" t="s">
        <v>14561</v>
      </c>
      <c r="D11331" t="s">
        <v>19019</v>
      </c>
      <c r="E11331" t="s">
        <v>28739</v>
      </c>
      <c r="F11331" t="s">
        <v>32606</v>
      </c>
      <c r="G11331" t="s">
        <v>32613</v>
      </c>
      <c r="H11331" t="s">
        <v>32623</v>
      </c>
      <c r="I11331" t="s">
        <v>17648</v>
      </c>
      <c r="J11331" t="s">
        <v>39817</v>
      </c>
      <c r="K11331" t="s">
        <v>42636</v>
      </c>
      <c r="M11331" t="s">
        <v>44699</v>
      </c>
      <c r="N11331" t="s">
        <v>47304</v>
      </c>
      <c r="O11331" t="s">
        <v>47305</v>
      </c>
      <c r="P11331">
        <v>0</v>
      </c>
      <c r="Q11331">
        <v>0</v>
      </c>
      <c r="R11331" t="s">
        <v>47315</v>
      </c>
      <c r="S11331" t="s">
        <v>47665</v>
      </c>
      <c r="T11331" t="s">
        <v>49140</v>
      </c>
      <c r="U11331" t="s">
        <v>58881</v>
      </c>
      <c r="W11331" t="s">
        <v>44699</v>
      </c>
      <c r="X11331" t="s">
        <v>47318</v>
      </c>
    </row>
    <row r="11332" spans="1:24">
      <c r="A11332">
        <f>HYPERLINK("https://www.philgeps.gov.ph/GEPSNONPILOT/Tender/SplashBidNoticeAbstractUI.aspx?menuIndex=3&amp;refID=7178724&amp;Result=3","7178724")</f>
        <v>0</v>
      </c>
      <c r="B11332" t="s">
        <v>688</v>
      </c>
      <c r="C11332" t="s">
        <v>14562</v>
      </c>
      <c r="D11332" t="s">
        <v>19085</v>
      </c>
      <c r="E11332" t="s">
        <v>28740</v>
      </c>
      <c r="F11332" t="s">
        <v>32606</v>
      </c>
      <c r="G11332" t="s">
        <v>32613</v>
      </c>
      <c r="H11332" t="s">
        <v>14201</v>
      </c>
      <c r="I11332" t="s">
        <v>32654</v>
      </c>
      <c r="J11332" t="s">
        <v>39818</v>
      </c>
      <c r="K11332" t="s">
        <v>42624</v>
      </c>
      <c r="M11332" t="s">
        <v>43805</v>
      </c>
      <c r="N11332" t="s">
        <v>47304</v>
      </c>
      <c r="O11332" t="s">
        <v>47305</v>
      </c>
      <c r="P11332">
        <v>0</v>
      </c>
      <c r="Q11332">
        <v>1</v>
      </c>
      <c r="R11332" t="s">
        <v>47315</v>
      </c>
      <c r="S11332" t="s">
        <v>47665</v>
      </c>
      <c r="T11332" t="s">
        <v>49052</v>
      </c>
      <c r="U11332" t="s">
        <v>58882</v>
      </c>
      <c r="W11332" t="s">
        <v>43805</v>
      </c>
      <c r="X11332" t="s">
        <v>47318</v>
      </c>
    </row>
    <row r="11333" spans="1:24">
      <c r="A11333">
        <f>HYPERLINK("https://www.philgeps.gov.ph/GEPSNONPILOT/Tender/SplashBidNoticeAbstractUI.aspx?menuIndex=3&amp;refID=7178681&amp;Result=3","7178681")</f>
        <v>0</v>
      </c>
      <c r="B11333" t="s">
        <v>3281</v>
      </c>
      <c r="C11333" t="s">
        <v>12980</v>
      </c>
      <c r="E11333" t="s">
        <v>20420</v>
      </c>
      <c r="F11333" t="s">
        <v>32606</v>
      </c>
      <c r="G11333" t="s">
        <v>32613</v>
      </c>
      <c r="H11333" t="s">
        <v>14201</v>
      </c>
      <c r="I11333" t="s">
        <v>6931</v>
      </c>
      <c r="J11333" t="s">
        <v>39819</v>
      </c>
      <c r="K11333" t="s">
        <v>42624</v>
      </c>
      <c r="M11333" t="s">
        <v>46517</v>
      </c>
      <c r="N11333" t="s">
        <v>47304</v>
      </c>
      <c r="O11333" t="s">
        <v>47305</v>
      </c>
      <c r="P11333">
        <v>0</v>
      </c>
      <c r="Q11333">
        <v>0</v>
      </c>
      <c r="R11333" t="s">
        <v>47315</v>
      </c>
      <c r="S11333" t="s">
        <v>47665</v>
      </c>
      <c r="T11333" t="s">
        <v>49458</v>
      </c>
      <c r="U11333" t="s">
        <v>58883</v>
      </c>
      <c r="W11333" t="s">
        <v>46517</v>
      </c>
      <c r="X11333" t="s">
        <v>47318</v>
      </c>
    </row>
    <row r="11334" spans="1:24">
      <c r="A11334">
        <f>HYPERLINK("https://www.philgeps.gov.ph/GEPSNONPILOT/Tender/SplashBidNoticeAbstractUI.aspx?menuIndex=3&amp;refID=7178443&amp;Result=3","7178443")</f>
        <v>0</v>
      </c>
      <c r="B11334" t="s">
        <v>3281</v>
      </c>
      <c r="C11334" t="s">
        <v>14563</v>
      </c>
      <c r="E11334" t="s">
        <v>19379</v>
      </c>
      <c r="F11334" t="s">
        <v>32606</v>
      </c>
      <c r="G11334" t="s">
        <v>32613</v>
      </c>
      <c r="H11334" t="s">
        <v>14201</v>
      </c>
      <c r="I11334" t="s">
        <v>32696</v>
      </c>
      <c r="J11334" t="s">
        <v>32765</v>
      </c>
      <c r="K11334" t="s">
        <v>42624</v>
      </c>
      <c r="M11334" t="s">
        <v>46517</v>
      </c>
      <c r="N11334" t="s">
        <v>47304</v>
      </c>
      <c r="O11334" t="s">
        <v>47305</v>
      </c>
      <c r="P11334">
        <v>0</v>
      </c>
      <c r="Q11334">
        <v>0</v>
      </c>
      <c r="R11334" t="s">
        <v>47315</v>
      </c>
      <c r="S11334" t="s">
        <v>47665</v>
      </c>
      <c r="T11334" t="s">
        <v>49072</v>
      </c>
      <c r="U11334" t="s">
        <v>58884</v>
      </c>
      <c r="W11334" t="s">
        <v>46517</v>
      </c>
      <c r="X11334" t="s">
        <v>47318</v>
      </c>
    </row>
    <row r="11335" spans="1:24">
      <c r="A11335">
        <f>HYPERLINK("https://www.philgeps.gov.ph/GEPSNONPILOT/Tender/SplashBidNoticeAbstractUI.aspx?menuIndex=3&amp;refID=7178436&amp;Result=3","7178436")</f>
        <v>0</v>
      </c>
      <c r="B11335" t="s">
        <v>598</v>
      </c>
      <c r="C11335" t="s">
        <v>14564</v>
      </c>
      <c r="D11335" t="s">
        <v>18992</v>
      </c>
      <c r="E11335" t="s">
        <v>28741</v>
      </c>
      <c r="F11335" t="s">
        <v>32606</v>
      </c>
      <c r="G11335" t="s">
        <v>32613</v>
      </c>
      <c r="H11335" t="s">
        <v>14201</v>
      </c>
      <c r="I11335" t="s">
        <v>4678</v>
      </c>
      <c r="J11335" t="s">
        <v>33071</v>
      </c>
      <c r="K11335" t="s">
        <v>42631</v>
      </c>
      <c r="M11335" t="s">
        <v>43513</v>
      </c>
      <c r="N11335" t="s">
        <v>47304</v>
      </c>
      <c r="O11335" t="s">
        <v>47305</v>
      </c>
      <c r="P11335">
        <v>0</v>
      </c>
      <c r="Q11335">
        <v>6</v>
      </c>
      <c r="R11335" t="s">
        <v>47315</v>
      </c>
      <c r="S11335" t="s">
        <v>47665</v>
      </c>
      <c r="T11335" t="s">
        <v>49040</v>
      </c>
      <c r="U11335" t="s">
        <v>58885</v>
      </c>
      <c r="W11335" t="s">
        <v>43513</v>
      </c>
      <c r="X11335" t="s">
        <v>47318</v>
      </c>
    </row>
    <row r="11336" spans="1:24">
      <c r="A11336">
        <f>HYPERLINK("https://www.philgeps.gov.ph/GEPSNONPILOT/Tender/SplashBidNoticeAbstractUI.aspx?menuIndex=3&amp;refID=7178419&amp;Result=3","7178419")</f>
        <v>0</v>
      </c>
      <c r="B11336" t="s">
        <v>1031</v>
      </c>
      <c r="C11336" t="s">
        <v>14565</v>
      </c>
      <c r="D11336" t="s">
        <v>19070</v>
      </c>
      <c r="E11336" t="s">
        <v>28742</v>
      </c>
      <c r="F11336" t="s">
        <v>32606</v>
      </c>
      <c r="G11336" t="s">
        <v>32613</v>
      </c>
      <c r="H11336" t="s">
        <v>32623</v>
      </c>
      <c r="I11336" t="s">
        <v>17648</v>
      </c>
      <c r="J11336" t="s">
        <v>39820</v>
      </c>
      <c r="K11336" t="s">
        <v>42631</v>
      </c>
      <c r="M11336" t="s">
        <v>46511</v>
      </c>
      <c r="N11336" t="s">
        <v>47304</v>
      </c>
      <c r="O11336" t="s">
        <v>47305</v>
      </c>
      <c r="P11336">
        <v>0</v>
      </c>
      <c r="Q11336">
        <v>0</v>
      </c>
      <c r="R11336" t="s">
        <v>47315</v>
      </c>
      <c r="S11336" t="s">
        <v>47665</v>
      </c>
      <c r="T11336" t="s">
        <v>49014</v>
      </c>
      <c r="U11336" t="s">
        <v>58886</v>
      </c>
      <c r="V11336" t="s">
        <v>63863</v>
      </c>
      <c r="W11336" t="s">
        <v>46511</v>
      </c>
      <c r="X11336" t="s">
        <v>47318</v>
      </c>
    </row>
    <row r="11337" spans="1:24">
      <c r="A11337">
        <f>HYPERLINK("https://www.philgeps.gov.ph/GEPSNONPILOT/Tender/SplashBidNoticeAbstractUI.aspx?menuIndex=3&amp;refID=7178390&amp;Result=3","7178390")</f>
        <v>0</v>
      </c>
      <c r="B11337" t="s">
        <v>899</v>
      </c>
      <c r="C11337" t="s">
        <v>14566</v>
      </c>
      <c r="E11337" t="s">
        <v>28743</v>
      </c>
      <c r="F11337" t="s">
        <v>32606</v>
      </c>
      <c r="G11337" t="s">
        <v>32613</v>
      </c>
      <c r="H11337" t="s">
        <v>14201</v>
      </c>
      <c r="I11337" t="s">
        <v>7677</v>
      </c>
      <c r="J11337" t="s">
        <v>39821</v>
      </c>
      <c r="K11337" t="s">
        <v>42624</v>
      </c>
      <c r="M11337" t="s">
        <v>44351</v>
      </c>
      <c r="N11337" t="s">
        <v>47304</v>
      </c>
      <c r="O11337" t="s">
        <v>47305</v>
      </c>
      <c r="P11337">
        <v>0</v>
      </c>
      <c r="Q11337">
        <v>12</v>
      </c>
      <c r="R11337" t="s">
        <v>47315</v>
      </c>
      <c r="S11337" t="s">
        <v>47665</v>
      </c>
      <c r="T11337" t="s">
        <v>49057</v>
      </c>
      <c r="U11337" t="s">
        <v>58887</v>
      </c>
      <c r="W11337" t="s">
        <v>44351</v>
      </c>
      <c r="X11337" t="s">
        <v>47318</v>
      </c>
    </row>
    <row r="11338" spans="1:24">
      <c r="A11338">
        <f>HYPERLINK("https://www.philgeps.gov.ph/GEPSNONPILOT/Tender/SplashBidNoticeAbstractUI.aspx?menuIndex=3&amp;refID=7178239&amp;Result=3","7178239")</f>
        <v>0</v>
      </c>
      <c r="B11338" t="s">
        <v>684</v>
      </c>
      <c r="C11338" t="s">
        <v>14567</v>
      </c>
      <c r="D11338" t="s">
        <v>19012</v>
      </c>
      <c r="E11338" t="s">
        <v>28744</v>
      </c>
      <c r="F11338" t="s">
        <v>32606</v>
      </c>
      <c r="G11338" t="s">
        <v>32613</v>
      </c>
      <c r="H11338" t="s">
        <v>14201</v>
      </c>
      <c r="I11338" t="s">
        <v>7064</v>
      </c>
      <c r="J11338" t="s">
        <v>34128</v>
      </c>
      <c r="K11338" t="s">
        <v>42636</v>
      </c>
      <c r="L11338" t="s">
        <v>684</v>
      </c>
      <c r="M11338" t="s">
        <v>43605</v>
      </c>
      <c r="N11338" t="s">
        <v>47304</v>
      </c>
      <c r="O11338" t="s">
        <v>47305</v>
      </c>
      <c r="P11338">
        <v>0</v>
      </c>
      <c r="Q11338">
        <v>3</v>
      </c>
      <c r="R11338" t="s">
        <v>47315</v>
      </c>
      <c r="S11338" t="s">
        <v>47665</v>
      </c>
      <c r="T11338" t="s">
        <v>49234</v>
      </c>
      <c r="U11338" t="s">
        <v>53961</v>
      </c>
      <c r="V11338" t="s">
        <v>63129</v>
      </c>
      <c r="W11338" t="s">
        <v>43605</v>
      </c>
      <c r="X11338" t="s">
        <v>47318</v>
      </c>
    </row>
    <row r="11339" spans="1:24">
      <c r="A11339">
        <f>HYPERLINK("https://www.philgeps.gov.ph/GEPSNONPILOT/Tender/SplashBidNoticeAbstractUI.aspx?menuIndex=3&amp;refID=7178495&amp;Result=3","7178495")</f>
        <v>0</v>
      </c>
      <c r="B11339" t="s">
        <v>3283</v>
      </c>
      <c r="C11339" t="s">
        <v>14568</v>
      </c>
      <c r="D11339" t="s">
        <v>18993</v>
      </c>
      <c r="E11339" t="s">
        <v>26576</v>
      </c>
      <c r="F11339" t="s">
        <v>32606</v>
      </c>
      <c r="G11339" t="s">
        <v>32613</v>
      </c>
      <c r="H11339" t="s">
        <v>32625</v>
      </c>
      <c r="I11339" t="s">
        <v>32625</v>
      </c>
      <c r="J11339" t="s">
        <v>32830</v>
      </c>
      <c r="K11339" t="s">
        <v>42624</v>
      </c>
      <c r="M11339" t="s">
        <v>46519</v>
      </c>
      <c r="N11339" t="s">
        <v>47304</v>
      </c>
      <c r="O11339" t="s">
        <v>47305</v>
      </c>
      <c r="Q11339">
        <v>14</v>
      </c>
      <c r="R11339" t="s">
        <v>47315</v>
      </c>
      <c r="S11339" t="s">
        <v>47673</v>
      </c>
      <c r="T11339" t="s">
        <v>49459</v>
      </c>
      <c r="U11339" t="s">
        <v>58888</v>
      </c>
      <c r="W11339" t="s">
        <v>46519</v>
      </c>
      <c r="X11339" t="s">
        <v>47318</v>
      </c>
    </row>
    <row r="11340" spans="1:24">
      <c r="A11340">
        <f>HYPERLINK("https://www.philgeps.gov.ph/GEPSNONPILOT/Tender/SplashBidNoticeAbstractUI.aspx?menuIndex=3&amp;refID=7178653&amp;Result=3","7178653")</f>
        <v>0</v>
      </c>
      <c r="B11340" t="s">
        <v>3281</v>
      </c>
      <c r="C11340" t="s">
        <v>4402</v>
      </c>
      <c r="E11340" t="s">
        <v>28745</v>
      </c>
      <c r="F11340" t="s">
        <v>32606</v>
      </c>
      <c r="G11340" t="s">
        <v>32613</v>
      </c>
      <c r="H11340" t="s">
        <v>14201</v>
      </c>
      <c r="I11340" t="s">
        <v>6931</v>
      </c>
      <c r="J11340" t="s">
        <v>39822</v>
      </c>
      <c r="K11340" t="s">
        <v>42624</v>
      </c>
      <c r="M11340" t="s">
        <v>46517</v>
      </c>
      <c r="N11340" t="s">
        <v>47304</v>
      </c>
      <c r="O11340" t="s">
        <v>47305</v>
      </c>
      <c r="P11340">
        <v>0</v>
      </c>
      <c r="Q11340">
        <v>0</v>
      </c>
      <c r="R11340" t="s">
        <v>47315</v>
      </c>
      <c r="S11340" t="s">
        <v>47665</v>
      </c>
      <c r="T11340" t="s">
        <v>49072</v>
      </c>
      <c r="U11340" t="s">
        <v>58889</v>
      </c>
      <c r="W11340" t="s">
        <v>46517</v>
      </c>
      <c r="X11340" t="s">
        <v>47318</v>
      </c>
    </row>
    <row r="11341" spans="1:24">
      <c r="A11341">
        <f>HYPERLINK("https://www.philgeps.gov.ph/GEPSNONPILOT/Tender/SplashBidNoticeAbstractUI.aspx?menuIndex=3&amp;refID=7178881&amp;Result=3","7178881")</f>
        <v>0</v>
      </c>
      <c r="B11341" t="s">
        <v>3282</v>
      </c>
      <c r="C11341" t="s">
        <v>14569</v>
      </c>
      <c r="D11341" t="s">
        <v>19058</v>
      </c>
      <c r="E11341" t="s">
        <v>28746</v>
      </c>
      <c r="F11341" t="s">
        <v>32606</v>
      </c>
      <c r="G11341" t="s">
        <v>32613</v>
      </c>
      <c r="H11341" t="s">
        <v>14201</v>
      </c>
      <c r="I11341" t="s">
        <v>6298</v>
      </c>
      <c r="J11341" t="s">
        <v>33934</v>
      </c>
      <c r="K11341" t="s">
        <v>42631</v>
      </c>
      <c r="M11341" t="s">
        <v>46518</v>
      </c>
      <c r="N11341" t="s">
        <v>47304</v>
      </c>
      <c r="O11341" t="s">
        <v>47305</v>
      </c>
      <c r="P11341">
        <v>0</v>
      </c>
      <c r="Q11341">
        <v>6</v>
      </c>
      <c r="R11341" t="s">
        <v>47315</v>
      </c>
      <c r="S11341" t="s">
        <v>47665</v>
      </c>
      <c r="T11341" t="s">
        <v>49075</v>
      </c>
      <c r="U11341" t="s">
        <v>58890</v>
      </c>
      <c r="W11341" t="s">
        <v>46518</v>
      </c>
      <c r="X11341" t="s">
        <v>47318</v>
      </c>
    </row>
    <row r="11342" spans="1:24">
      <c r="A11342">
        <f>HYPERLINK("https://www.philgeps.gov.ph/GEPSNONPILOT/Tender/SplashBidNoticeAbstractUI.aspx?menuIndex=3&amp;refID=7179029&amp;Result=3","7179029")</f>
        <v>0</v>
      </c>
      <c r="B11342" t="s">
        <v>845</v>
      </c>
      <c r="C11342" t="s">
        <v>14570</v>
      </c>
      <c r="D11342" t="s">
        <v>19030</v>
      </c>
      <c r="E11342" t="s">
        <v>28747</v>
      </c>
      <c r="F11342" t="s">
        <v>32606</v>
      </c>
      <c r="G11342" t="s">
        <v>32613</v>
      </c>
      <c r="H11342" t="s">
        <v>32623</v>
      </c>
      <c r="I11342" t="s">
        <v>32675</v>
      </c>
      <c r="J11342" t="s">
        <v>39823</v>
      </c>
      <c r="K11342" t="s">
        <v>42677</v>
      </c>
      <c r="M11342" t="s">
        <v>43777</v>
      </c>
      <c r="N11342" t="s">
        <v>47304</v>
      </c>
      <c r="O11342" t="s">
        <v>47305</v>
      </c>
      <c r="P11342">
        <v>0</v>
      </c>
      <c r="Q11342">
        <v>0</v>
      </c>
      <c r="R11342" t="s">
        <v>47315</v>
      </c>
      <c r="S11342" t="s">
        <v>47665</v>
      </c>
      <c r="T11342" t="s">
        <v>49020</v>
      </c>
      <c r="U11342" t="s">
        <v>52172</v>
      </c>
      <c r="W11342" t="s">
        <v>43777</v>
      </c>
      <c r="X11342" t="s">
        <v>47318</v>
      </c>
    </row>
    <row r="11343" spans="1:24">
      <c r="A11343">
        <f>HYPERLINK("https://www.philgeps.gov.ph/GEPSNONPILOT/Tender/SplashBidNoticeAbstractUI.aspx?menuIndex=3&amp;refID=7179004&amp;Result=3","7179004")</f>
        <v>0</v>
      </c>
      <c r="B11343" t="s">
        <v>2165</v>
      </c>
      <c r="C11343" t="s">
        <v>14571</v>
      </c>
      <c r="D11343" t="s">
        <v>19065</v>
      </c>
      <c r="E11343" t="s">
        <v>28748</v>
      </c>
      <c r="F11343" t="s">
        <v>32606</v>
      </c>
      <c r="G11343" t="s">
        <v>32613</v>
      </c>
      <c r="H11343" t="s">
        <v>14201</v>
      </c>
      <c r="I11343" t="s">
        <v>6931</v>
      </c>
      <c r="J11343" t="s">
        <v>39824</v>
      </c>
      <c r="K11343" t="s">
        <v>42623</v>
      </c>
      <c r="M11343" t="s">
        <v>45259</v>
      </c>
      <c r="N11343" t="s">
        <v>47304</v>
      </c>
      <c r="O11343" t="s">
        <v>47305</v>
      </c>
      <c r="Q11343">
        <v>0</v>
      </c>
      <c r="R11343" t="s">
        <v>47315</v>
      </c>
      <c r="S11343" t="s">
        <v>47674</v>
      </c>
      <c r="T11343" t="s">
        <v>49234</v>
      </c>
      <c r="U11343" t="s">
        <v>58891</v>
      </c>
      <c r="W11343" t="s">
        <v>45259</v>
      </c>
      <c r="X11343" t="s">
        <v>47318</v>
      </c>
    </row>
    <row r="11344" spans="1:24">
      <c r="A11344">
        <f>HYPERLINK("https://www.philgeps.gov.ph/GEPSNONPILOT/Tender/SplashBidNoticeAbstractUI.aspx?menuIndex=3&amp;refID=7178300&amp;Result=3","7178300")</f>
        <v>0</v>
      </c>
      <c r="B11344" t="s">
        <v>3277</v>
      </c>
      <c r="C11344" t="s">
        <v>14572</v>
      </c>
      <c r="D11344" t="s">
        <v>19007</v>
      </c>
      <c r="E11344" t="s">
        <v>28749</v>
      </c>
      <c r="F11344" t="s">
        <v>32606</v>
      </c>
      <c r="G11344" t="s">
        <v>32613</v>
      </c>
      <c r="H11344" t="s">
        <v>14201</v>
      </c>
      <c r="I11344" t="s">
        <v>4678</v>
      </c>
      <c r="J11344" t="s">
        <v>39825</v>
      </c>
      <c r="K11344" t="s">
        <v>42648</v>
      </c>
      <c r="M11344" t="s">
        <v>46512</v>
      </c>
      <c r="N11344" t="s">
        <v>47304</v>
      </c>
      <c r="O11344" t="s">
        <v>47305</v>
      </c>
      <c r="P11344">
        <v>0</v>
      </c>
      <c r="Q11344">
        <v>3</v>
      </c>
      <c r="R11344" t="s">
        <v>47315</v>
      </c>
      <c r="S11344" t="s">
        <v>47665</v>
      </c>
      <c r="T11344" t="s">
        <v>49066</v>
      </c>
      <c r="U11344" t="s">
        <v>58892</v>
      </c>
      <c r="W11344" t="s">
        <v>46512</v>
      </c>
      <c r="X11344" t="s">
        <v>47318</v>
      </c>
    </row>
    <row r="11345" spans="1:24">
      <c r="A11345">
        <f>HYPERLINK("https://www.philgeps.gov.ph/GEPSNONPILOT/Tender/SplashBidNoticeAbstractUI.aspx?menuIndex=3&amp;refID=7178988&amp;Result=3","7178988")</f>
        <v>0</v>
      </c>
      <c r="B11345" t="s">
        <v>955</v>
      </c>
      <c r="C11345" t="s">
        <v>14573</v>
      </c>
      <c r="D11345" t="s">
        <v>19068</v>
      </c>
      <c r="E11345" t="s">
        <v>21030</v>
      </c>
      <c r="F11345" t="s">
        <v>32606</v>
      </c>
      <c r="G11345" t="s">
        <v>32613</v>
      </c>
      <c r="H11345" t="s">
        <v>32623</v>
      </c>
      <c r="I11345" t="s">
        <v>17648</v>
      </c>
      <c r="J11345" t="s">
        <v>33102</v>
      </c>
      <c r="K11345" t="s">
        <v>42624</v>
      </c>
      <c r="M11345" t="s">
        <v>43898</v>
      </c>
      <c r="N11345" t="s">
        <v>47304</v>
      </c>
      <c r="O11345" t="s">
        <v>47305</v>
      </c>
      <c r="P11345">
        <v>0</v>
      </c>
      <c r="Q11345">
        <v>0</v>
      </c>
      <c r="R11345" t="s">
        <v>47315</v>
      </c>
      <c r="S11345" t="s">
        <v>47665</v>
      </c>
      <c r="T11345" t="s">
        <v>49075</v>
      </c>
      <c r="U11345" t="s">
        <v>58893</v>
      </c>
      <c r="V11345" t="s">
        <v>63858</v>
      </c>
      <c r="W11345" t="s">
        <v>43898</v>
      </c>
      <c r="X11345" t="s">
        <v>47318</v>
      </c>
    </row>
    <row r="11346" spans="1:24">
      <c r="A11346">
        <f>HYPERLINK("https://www.philgeps.gov.ph/GEPSNONPILOT/Tender/SplashBidNoticeAbstractUI.aspx?menuIndex=3&amp;refID=7178980&amp;Result=3","7178980")</f>
        <v>0</v>
      </c>
      <c r="B11346" t="s">
        <v>2115</v>
      </c>
      <c r="C11346" t="s">
        <v>14574</v>
      </c>
      <c r="D11346" t="s">
        <v>19008</v>
      </c>
      <c r="E11346" t="s">
        <v>28750</v>
      </c>
      <c r="F11346" t="s">
        <v>32606</v>
      </c>
      <c r="G11346" t="s">
        <v>32613</v>
      </c>
      <c r="H11346" t="s">
        <v>14201</v>
      </c>
      <c r="I11346" t="s">
        <v>4678</v>
      </c>
      <c r="J11346" t="s">
        <v>33189</v>
      </c>
      <c r="K11346" t="s">
        <v>42630</v>
      </c>
      <c r="M11346" t="s">
        <v>45474</v>
      </c>
      <c r="N11346" t="s">
        <v>47304</v>
      </c>
      <c r="O11346" t="s">
        <v>47305</v>
      </c>
      <c r="P11346">
        <v>0</v>
      </c>
      <c r="Q11346">
        <v>0</v>
      </c>
      <c r="R11346" t="s">
        <v>47315</v>
      </c>
      <c r="S11346" t="s">
        <v>47665</v>
      </c>
      <c r="T11346" t="s">
        <v>49157</v>
      </c>
      <c r="U11346" t="s">
        <v>58894</v>
      </c>
      <c r="V11346" t="s">
        <v>63377</v>
      </c>
      <c r="W11346" t="s">
        <v>45474</v>
      </c>
      <c r="X11346" t="s">
        <v>47318</v>
      </c>
    </row>
    <row r="11347" spans="1:24">
      <c r="A11347">
        <f>HYPERLINK("https://www.philgeps.gov.ph/GEPSNONPILOT/Tender/SplashBidNoticeAbstractUI.aspx?menuIndex=3&amp;refID=7178904&amp;Result=3","7178904")</f>
        <v>0</v>
      </c>
      <c r="B11347" t="s">
        <v>2115</v>
      </c>
      <c r="C11347" t="s">
        <v>14575</v>
      </c>
      <c r="D11347" t="s">
        <v>19008</v>
      </c>
      <c r="E11347" t="s">
        <v>28751</v>
      </c>
      <c r="F11347" t="s">
        <v>32606</v>
      </c>
      <c r="G11347" t="s">
        <v>32613</v>
      </c>
      <c r="H11347" t="s">
        <v>14201</v>
      </c>
      <c r="I11347" t="s">
        <v>6993</v>
      </c>
      <c r="J11347" t="s">
        <v>39826</v>
      </c>
      <c r="K11347" t="s">
        <v>42638</v>
      </c>
      <c r="M11347" t="s">
        <v>45601</v>
      </c>
      <c r="N11347" t="s">
        <v>47304</v>
      </c>
      <c r="O11347" t="s">
        <v>47305</v>
      </c>
      <c r="P11347">
        <v>0</v>
      </c>
      <c r="Q11347">
        <v>0</v>
      </c>
      <c r="R11347" t="s">
        <v>47315</v>
      </c>
      <c r="S11347" t="s">
        <v>47665</v>
      </c>
      <c r="T11347" t="s">
        <v>49071</v>
      </c>
      <c r="U11347" t="s">
        <v>58895</v>
      </c>
      <c r="V11347" t="s">
        <v>62846</v>
      </c>
      <c r="W11347" t="s">
        <v>45601</v>
      </c>
      <c r="X11347" t="s">
        <v>47318</v>
      </c>
    </row>
    <row r="11348" spans="1:24">
      <c r="A11348">
        <f>HYPERLINK("https://www.philgeps.gov.ph/GEPSNONPILOT/Tender/SplashBidNoticeAbstractUI.aspx?menuIndex=3&amp;refID=7179030&amp;Result=3","7179030")</f>
        <v>0</v>
      </c>
      <c r="B11348" t="s">
        <v>955</v>
      </c>
      <c r="C11348" t="s">
        <v>14576</v>
      </c>
      <c r="D11348" t="s">
        <v>19068</v>
      </c>
      <c r="E11348" t="s">
        <v>21030</v>
      </c>
      <c r="F11348" t="s">
        <v>32606</v>
      </c>
      <c r="G11348" t="s">
        <v>32613</v>
      </c>
      <c r="H11348" t="s">
        <v>32623</v>
      </c>
      <c r="I11348" t="s">
        <v>17648</v>
      </c>
      <c r="J11348" t="s">
        <v>32770</v>
      </c>
      <c r="K11348" t="s">
        <v>42624</v>
      </c>
      <c r="M11348" t="s">
        <v>43898</v>
      </c>
      <c r="N11348" t="s">
        <v>47304</v>
      </c>
      <c r="O11348" t="s">
        <v>47305</v>
      </c>
      <c r="P11348">
        <v>0</v>
      </c>
      <c r="Q11348">
        <v>0</v>
      </c>
      <c r="R11348" t="s">
        <v>47315</v>
      </c>
      <c r="S11348" t="s">
        <v>47665</v>
      </c>
      <c r="T11348" t="s">
        <v>49075</v>
      </c>
      <c r="U11348" t="s">
        <v>58896</v>
      </c>
      <c r="V11348" t="s">
        <v>63858</v>
      </c>
      <c r="W11348" t="s">
        <v>43898</v>
      </c>
      <c r="X11348" t="s">
        <v>47318</v>
      </c>
    </row>
    <row r="11349" spans="1:24">
      <c r="A11349">
        <f>HYPERLINK("https://www.philgeps.gov.ph/GEPSNONPILOT/Tender/SplashBidNoticeAbstractUI.aspx?menuIndex=3&amp;refID=7178936&amp;Result=3","7178936")</f>
        <v>0</v>
      </c>
      <c r="B11349" t="s">
        <v>2115</v>
      </c>
      <c r="C11349" t="s">
        <v>14577</v>
      </c>
      <c r="D11349" t="s">
        <v>19008</v>
      </c>
      <c r="E11349" t="s">
        <v>28752</v>
      </c>
      <c r="F11349" t="s">
        <v>32606</v>
      </c>
      <c r="G11349" t="s">
        <v>32613</v>
      </c>
      <c r="H11349" t="s">
        <v>14201</v>
      </c>
      <c r="I11349" t="s">
        <v>6993</v>
      </c>
      <c r="J11349" t="s">
        <v>39827</v>
      </c>
      <c r="K11349" t="s">
        <v>42638</v>
      </c>
      <c r="M11349" t="s">
        <v>45601</v>
      </c>
      <c r="N11349" t="s">
        <v>47304</v>
      </c>
      <c r="O11349" t="s">
        <v>47305</v>
      </c>
      <c r="P11349">
        <v>0</v>
      </c>
      <c r="Q11349">
        <v>0</v>
      </c>
      <c r="R11349" t="s">
        <v>47315</v>
      </c>
      <c r="S11349" t="s">
        <v>47665</v>
      </c>
      <c r="T11349" t="s">
        <v>49071</v>
      </c>
      <c r="U11349" t="s">
        <v>58897</v>
      </c>
      <c r="V11349" t="s">
        <v>62846</v>
      </c>
      <c r="W11349" t="s">
        <v>45601</v>
      </c>
      <c r="X11349" t="s">
        <v>47318</v>
      </c>
    </row>
    <row r="11350" spans="1:24">
      <c r="A11350">
        <f>HYPERLINK("https://www.philgeps.gov.ph/GEPSNONPILOT/Tender/SplashBidNoticeAbstractUI.aspx?menuIndex=3&amp;refID=7178991&amp;Result=3","7178991")</f>
        <v>0</v>
      </c>
      <c r="B11350" t="s">
        <v>3284</v>
      </c>
      <c r="C11350" t="s">
        <v>14578</v>
      </c>
      <c r="D11350" t="s">
        <v>18989</v>
      </c>
      <c r="E11350" t="s">
        <v>28753</v>
      </c>
      <c r="F11350" t="s">
        <v>32606</v>
      </c>
      <c r="G11350" t="s">
        <v>32613</v>
      </c>
      <c r="H11350" t="s">
        <v>32623</v>
      </c>
      <c r="I11350" t="s">
        <v>17648</v>
      </c>
      <c r="J11350" t="s">
        <v>32821</v>
      </c>
      <c r="K11350" t="s">
        <v>42826</v>
      </c>
      <c r="M11350" t="s">
        <v>46520</v>
      </c>
      <c r="N11350" t="s">
        <v>47304</v>
      </c>
      <c r="O11350" t="s">
        <v>47305</v>
      </c>
      <c r="P11350">
        <v>0</v>
      </c>
      <c r="Q11350">
        <v>1</v>
      </c>
      <c r="R11350" t="s">
        <v>47315</v>
      </c>
      <c r="S11350" t="s">
        <v>47665</v>
      </c>
      <c r="T11350" t="s">
        <v>49132</v>
      </c>
      <c r="U11350" t="s">
        <v>58898</v>
      </c>
      <c r="W11350" t="s">
        <v>46520</v>
      </c>
      <c r="X11350" t="s">
        <v>47318</v>
      </c>
    </row>
    <row r="11351" spans="1:24">
      <c r="A11351">
        <f>HYPERLINK("https://www.philgeps.gov.ph/GEPSNONPILOT/Tender/SplashBidNoticeAbstractUI.aspx?menuIndex=3&amp;refID=7179169&amp;Result=3","7179169")</f>
        <v>0</v>
      </c>
      <c r="B11351" t="s">
        <v>2115</v>
      </c>
      <c r="C11351" t="s">
        <v>14579</v>
      </c>
      <c r="D11351" t="s">
        <v>19008</v>
      </c>
      <c r="E11351" t="s">
        <v>28754</v>
      </c>
      <c r="F11351" t="s">
        <v>32606</v>
      </c>
      <c r="G11351" t="s">
        <v>32613</v>
      </c>
      <c r="H11351" t="s">
        <v>14201</v>
      </c>
      <c r="I11351" t="s">
        <v>4121</v>
      </c>
      <c r="J11351" t="s">
        <v>32789</v>
      </c>
      <c r="K11351" t="s">
        <v>42630</v>
      </c>
      <c r="M11351" t="s">
        <v>45474</v>
      </c>
      <c r="N11351" t="s">
        <v>47304</v>
      </c>
      <c r="O11351" t="s">
        <v>47305</v>
      </c>
      <c r="P11351">
        <v>0</v>
      </c>
      <c r="Q11351">
        <v>2</v>
      </c>
      <c r="R11351" t="s">
        <v>47315</v>
      </c>
      <c r="S11351" t="s">
        <v>47665</v>
      </c>
      <c r="T11351" t="s">
        <v>49171</v>
      </c>
      <c r="U11351" t="s">
        <v>58899</v>
      </c>
      <c r="V11351" t="s">
        <v>63377</v>
      </c>
      <c r="W11351" t="s">
        <v>45474</v>
      </c>
      <c r="X11351" t="s">
        <v>47318</v>
      </c>
    </row>
    <row r="11352" spans="1:24">
      <c r="A11352">
        <f>HYPERLINK("https://www.philgeps.gov.ph/GEPSNONPILOT/Tender/SplashBidNoticeAbstractUI.aspx?menuIndex=3&amp;refID=7179124&amp;Result=3","7179124")</f>
        <v>0</v>
      </c>
      <c r="B11352" t="s">
        <v>3284</v>
      </c>
      <c r="C11352" t="s">
        <v>14580</v>
      </c>
      <c r="D11352" t="s">
        <v>18989</v>
      </c>
      <c r="E11352" t="s">
        <v>28755</v>
      </c>
      <c r="F11352" t="s">
        <v>32606</v>
      </c>
      <c r="G11352" t="s">
        <v>32613</v>
      </c>
      <c r="H11352" t="s">
        <v>14201</v>
      </c>
      <c r="I11352" t="s">
        <v>32656</v>
      </c>
      <c r="J11352" t="s">
        <v>35368</v>
      </c>
      <c r="K11352" t="s">
        <v>42648</v>
      </c>
      <c r="M11352" t="s">
        <v>46520</v>
      </c>
      <c r="N11352" t="s">
        <v>47304</v>
      </c>
      <c r="O11352" t="s">
        <v>47305</v>
      </c>
      <c r="P11352">
        <v>0</v>
      </c>
      <c r="Q11352">
        <v>5</v>
      </c>
      <c r="R11352" t="s">
        <v>47315</v>
      </c>
      <c r="S11352" t="s">
        <v>47665</v>
      </c>
      <c r="T11352" t="s">
        <v>49132</v>
      </c>
      <c r="U11352" t="s">
        <v>58900</v>
      </c>
      <c r="W11352" t="s">
        <v>46520</v>
      </c>
      <c r="X11352" t="s">
        <v>47318</v>
      </c>
    </row>
    <row r="11353" spans="1:24">
      <c r="A11353">
        <f>HYPERLINK("https://www.philgeps.gov.ph/GEPSNONPILOT/Tender/SplashBidNoticeAbstractUI.aspx?menuIndex=3&amp;refID=7179006&amp;Result=3","7179006")</f>
        <v>0</v>
      </c>
      <c r="B11353" t="s">
        <v>3285</v>
      </c>
      <c r="C11353" t="s">
        <v>14581</v>
      </c>
      <c r="D11353" t="s">
        <v>19013</v>
      </c>
      <c r="E11353" t="s">
        <v>19145</v>
      </c>
      <c r="F11353" t="s">
        <v>32606</v>
      </c>
      <c r="G11353" t="s">
        <v>32613</v>
      </c>
      <c r="H11353" t="s">
        <v>14201</v>
      </c>
      <c r="I11353" t="s">
        <v>6931</v>
      </c>
      <c r="J11353" t="s">
        <v>39828</v>
      </c>
      <c r="K11353" t="s">
        <v>42631</v>
      </c>
      <c r="M11353" t="s">
        <v>46521</v>
      </c>
      <c r="N11353" t="s">
        <v>47304</v>
      </c>
      <c r="O11353" t="s">
        <v>47305</v>
      </c>
      <c r="P11353">
        <v>0</v>
      </c>
      <c r="Q11353">
        <v>0</v>
      </c>
      <c r="R11353" t="s">
        <v>47315</v>
      </c>
      <c r="S11353" t="s">
        <v>47665</v>
      </c>
      <c r="T11353" t="s">
        <v>49020</v>
      </c>
      <c r="U11353" t="s">
        <v>58901</v>
      </c>
      <c r="W11353" t="s">
        <v>46521</v>
      </c>
      <c r="X11353" t="s">
        <v>47318</v>
      </c>
    </row>
    <row r="11354" spans="1:24">
      <c r="A11354">
        <f>HYPERLINK("https://www.philgeps.gov.ph/GEPSNONPILOT/Tender/SplashBidNoticeAbstractUI.aspx?menuIndex=3&amp;refID=7179042&amp;Result=3","7179042")</f>
        <v>0</v>
      </c>
      <c r="B11354" t="s">
        <v>1353</v>
      </c>
      <c r="C11354" t="s">
        <v>14582</v>
      </c>
      <c r="D11354" t="s">
        <v>19041</v>
      </c>
      <c r="E11354" t="s">
        <v>19185</v>
      </c>
      <c r="F11354" t="s">
        <v>32606</v>
      </c>
      <c r="G11354" t="s">
        <v>32613</v>
      </c>
      <c r="H11354" t="s">
        <v>14201</v>
      </c>
      <c r="I11354" t="s">
        <v>7064</v>
      </c>
      <c r="J11354" t="s">
        <v>37029</v>
      </c>
      <c r="K11354" t="s">
        <v>42631</v>
      </c>
      <c r="M11354" t="s">
        <v>44327</v>
      </c>
      <c r="N11354" t="s">
        <v>47304</v>
      </c>
      <c r="O11354" t="s">
        <v>47305</v>
      </c>
      <c r="P11354">
        <v>0</v>
      </c>
      <c r="Q11354">
        <v>7</v>
      </c>
      <c r="R11354" t="s">
        <v>47315</v>
      </c>
      <c r="S11354" t="s">
        <v>47665</v>
      </c>
      <c r="T11354" t="s">
        <v>49066</v>
      </c>
      <c r="U11354" t="s">
        <v>58902</v>
      </c>
      <c r="V11354" t="s">
        <v>63866</v>
      </c>
      <c r="W11354" t="s">
        <v>44327</v>
      </c>
      <c r="X11354" t="s">
        <v>47318</v>
      </c>
    </row>
    <row r="11355" spans="1:24">
      <c r="A11355">
        <f>HYPERLINK("https://www.philgeps.gov.ph/GEPSNONPILOT/Tender/SplashBidNoticeAbstractUI.aspx?menuIndex=3&amp;refID=7178916&amp;Result=3","7178916")</f>
        <v>0</v>
      </c>
      <c r="B11355" t="s">
        <v>3284</v>
      </c>
      <c r="C11355" t="s">
        <v>14583</v>
      </c>
      <c r="D11355" t="s">
        <v>18989</v>
      </c>
      <c r="E11355" t="s">
        <v>28756</v>
      </c>
      <c r="F11355" t="s">
        <v>32606</v>
      </c>
      <c r="G11355" t="s">
        <v>32613</v>
      </c>
      <c r="H11355" t="s">
        <v>32623</v>
      </c>
      <c r="I11355" t="s">
        <v>17648</v>
      </c>
      <c r="J11355" t="s">
        <v>32795</v>
      </c>
      <c r="K11355" t="s">
        <v>42811</v>
      </c>
      <c r="M11355" t="s">
        <v>46520</v>
      </c>
      <c r="N11355" t="s">
        <v>47304</v>
      </c>
      <c r="O11355" t="s">
        <v>47305</v>
      </c>
      <c r="P11355">
        <v>0</v>
      </c>
      <c r="Q11355">
        <v>1</v>
      </c>
      <c r="R11355" t="s">
        <v>47315</v>
      </c>
      <c r="S11355" t="s">
        <v>47665</v>
      </c>
      <c r="T11355" t="s">
        <v>49132</v>
      </c>
      <c r="U11355" t="s">
        <v>58898</v>
      </c>
      <c r="W11355" t="s">
        <v>46520</v>
      </c>
      <c r="X11355" t="s">
        <v>47318</v>
      </c>
    </row>
    <row r="11356" spans="1:24">
      <c r="A11356">
        <f>HYPERLINK("https://www.philgeps.gov.ph/GEPSNONPILOT/Tender/SplashBidNoticeAbstractUI.aspx?menuIndex=3&amp;refID=7179197&amp;Result=3","7179197")</f>
        <v>0</v>
      </c>
      <c r="B11356" t="s">
        <v>2115</v>
      </c>
      <c r="C11356" t="s">
        <v>14584</v>
      </c>
      <c r="D11356" t="s">
        <v>19008</v>
      </c>
      <c r="E11356" t="s">
        <v>28757</v>
      </c>
      <c r="F11356" t="s">
        <v>32606</v>
      </c>
      <c r="G11356" t="s">
        <v>32613</v>
      </c>
      <c r="H11356" t="s">
        <v>14201</v>
      </c>
      <c r="I11356" t="s">
        <v>7064</v>
      </c>
      <c r="J11356" t="s">
        <v>39829</v>
      </c>
      <c r="K11356" t="s">
        <v>42630</v>
      </c>
      <c r="M11356" t="s">
        <v>45474</v>
      </c>
      <c r="N11356" t="s">
        <v>47304</v>
      </c>
      <c r="O11356" t="s">
        <v>47305</v>
      </c>
      <c r="P11356">
        <v>0</v>
      </c>
      <c r="Q11356">
        <v>0</v>
      </c>
      <c r="R11356" t="s">
        <v>47315</v>
      </c>
      <c r="S11356" t="s">
        <v>47665</v>
      </c>
      <c r="T11356" t="s">
        <v>49157</v>
      </c>
      <c r="U11356" t="s">
        <v>58903</v>
      </c>
      <c r="V11356" t="s">
        <v>63377</v>
      </c>
      <c r="W11356" t="s">
        <v>45474</v>
      </c>
      <c r="X11356" t="s">
        <v>47318</v>
      </c>
    </row>
    <row r="11357" spans="1:24">
      <c r="A11357">
        <f>HYPERLINK("https://www.philgeps.gov.ph/GEPSNONPILOT/Tender/SplashBidNoticeAbstractUI.aspx?menuIndex=3&amp;refID=7179189&amp;Result=3","7179189")</f>
        <v>0</v>
      </c>
      <c r="B11357" t="s">
        <v>3286</v>
      </c>
      <c r="C11357" t="s">
        <v>14585</v>
      </c>
      <c r="D11357" t="s">
        <v>18999</v>
      </c>
      <c r="E11357" t="s">
        <v>28758</v>
      </c>
      <c r="F11357" t="s">
        <v>32606</v>
      </c>
      <c r="G11357" t="s">
        <v>32613</v>
      </c>
      <c r="H11357" t="s">
        <v>32623</v>
      </c>
      <c r="I11357" t="s">
        <v>17648</v>
      </c>
      <c r="J11357" t="s">
        <v>39830</v>
      </c>
      <c r="K11357" t="s">
        <v>42631</v>
      </c>
      <c r="M11357" t="s">
        <v>46522</v>
      </c>
      <c r="N11357" t="s">
        <v>47304</v>
      </c>
      <c r="O11357" t="s">
        <v>47305</v>
      </c>
      <c r="P11357">
        <v>0</v>
      </c>
      <c r="Q11357">
        <v>0</v>
      </c>
      <c r="R11357" t="s">
        <v>47315</v>
      </c>
      <c r="S11357" t="s">
        <v>47665</v>
      </c>
      <c r="T11357" t="s">
        <v>49268</v>
      </c>
      <c r="U11357" t="s">
        <v>58904</v>
      </c>
      <c r="V11357" t="s">
        <v>63867</v>
      </c>
      <c r="W11357" t="s">
        <v>46522</v>
      </c>
      <c r="X11357" t="s">
        <v>47318</v>
      </c>
    </row>
    <row r="11358" spans="1:24">
      <c r="A11358">
        <f>HYPERLINK("https://www.philgeps.gov.ph/GEPSNONPILOT/Tender/SplashBidNoticeAbstractUI.aspx?menuIndex=3&amp;refID=7179166&amp;Result=3","7179166")</f>
        <v>0</v>
      </c>
      <c r="B11358" t="s">
        <v>3284</v>
      </c>
      <c r="C11358" t="s">
        <v>14586</v>
      </c>
      <c r="D11358" t="s">
        <v>18989</v>
      </c>
      <c r="E11358" t="s">
        <v>28759</v>
      </c>
      <c r="F11358" t="s">
        <v>32606</v>
      </c>
      <c r="G11358" t="s">
        <v>32613</v>
      </c>
      <c r="H11358" t="s">
        <v>14201</v>
      </c>
      <c r="I11358" t="s">
        <v>32661</v>
      </c>
      <c r="J11358" t="s">
        <v>32821</v>
      </c>
      <c r="K11358" t="s">
        <v>42639</v>
      </c>
      <c r="M11358" t="s">
        <v>46520</v>
      </c>
      <c r="N11358" t="s">
        <v>47304</v>
      </c>
      <c r="O11358" t="s">
        <v>47305</v>
      </c>
      <c r="P11358">
        <v>0</v>
      </c>
      <c r="Q11358">
        <v>6</v>
      </c>
      <c r="R11358" t="s">
        <v>47315</v>
      </c>
      <c r="S11358" t="s">
        <v>47665</v>
      </c>
      <c r="T11358" t="s">
        <v>49132</v>
      </c>
      <c r="U11358" t="s">
        <v>58905</v>
      </c>
      <c r="W11358" t="s">
        <v>46520</v>
      </c>
      <c r="X11358" t="s">
        <v>47318</v>
      </c>
    </row>
    <row r="11359" spans="1:24">
      <c r="A11359">
        <f>HYPERLINK("https://www.philgeps.gov.ph/GEPSNONPILOT/Tender/SplashBidNoticeAbstractUI.aspx?menuIndex=3&amp;refID=7178945&amp;Result=3","7178945")</f>
        <v>0</v>
      </c>
      <c r="B11359" t="s">
        <v>3282</v>
      </c>
      <c r="C11359" t="s">
        <v>14587</v>
      </c>
      <c r="D11359" t="s">
        <v>19058</v>
      </c>
      <c r="E11359" t="s">
        <v>28760</v>
      </c>
      <c r="F11359" t="s">
        <v>32606</v>
      </c>
      <c r="G11359" t="s">
        <v>32613</v>
      </c>
      <c r="H11359" t="s">
        <v>14201</v>
      </c>
      <c r="I11359" t="s">
        <v>32737</v>
      </c>
      <c r="J11359" t="s">
        <v>33529</v>
      </c>
      <c r="K11359" t="s">
        <v>42697</v>
      </c>
      <c r="M11359" t="s">
        <v>46518</v>
      </c>
      <c r="N11359" t="s">
        <v>47304</v>
      </c>
      <c r="O11359" t="s">
        <v>47305</v>
      </c>
      <c r="P11359">
        <v>0</v>
      </c>
      <c r="Q11359">
        <v>5</v>
      </c>
      <c r="R11359" t="s">
        <v>47315</v>
      </c>
      <c r="S11359" t="s">
        <v>47665</v>
      </c>
      <c r="T11359" t="s">
        <v>49197</v>
      </c>
      <c r="U11359" t="s">
        <v>58906</v>
      </c>
      <c r="W11359" t="s">
        <v>46518</v>
      </c>
      <c r="X11359" t="s">
        <v>47318</v>
      </c>
    </row>
    <row r="11360" spans="1:24">
      <c r="A11360">
        <f>HYPERLINK("https://www.philgeps.gov.ph/GEPSNONPILOT/Tender/SplashBidNoticeAbstractUI.aspx?menuIndex=3&amp;refID=7179076&amp;Result=3","7179076")</f>
        <v>0</v>
      </c>
      <c r="B11360" t="s">
        <v>3284</v>
      </c>
      <c r="C11360" t="s">
        <v>14588</v>
      </c>
      <c r="D11360" t="s">
        <v>18989</v>
      </c>
      <c r="E11360" t="s">
        <v>28761</v>
      </c>
      <c r="F11360" t="s">
        <v>32606</v>
      </c>
      <c r="G11360" t="s">
        <v>32613</v>
      </c>
      <c r="H11360" t="s">
        <v>14201</v>
      </c>
      <c r="I11360" t="s">
        <v>4121</v>
      </c>
      <c r="J11360" t="s">
        <v>32756</v>
      </c>
      <c r="K11360" t="s">
        <v>42639</v>
      </c>
      <c r="M11360" t="s">
        <v>46520</v>
      </c>
      <c r="N11360" t="s">
        <v>47304</v>
      </c>
      <c r="O11360" t="s">
        <v>47305</v>
      </c>
      <c r="P11360">
        <v>0</v>
      </c>
      <c r="Q11360">
        <v>6</v>
      </c>
      <c r="R11360" t="s">
        <v>47315</v>
      </c>
      <c r="S11360" t="s">
        <v>47665</v>
      </c>
      <c r="T11360" t="s">
        <v>49132</v>
      </c>
      <c r="U11360" t="s">
        <v>58907</v>
      </c>
      <c r="W11360" t="s">
        <v>46520</v>
      </c>
      <c r="X11360" t="s">
        <v>47318</v>
      </c>
    </row>
    <row r="11361" spans="1:24">
      <c r="A11361">
        <f>HYPERLINK("https://www.philgeps.gov.ph/GEPSNONPILOT/Tender/SplashBidNoticeAbstractUI.aspx?menuIndex=3&amp;refID=7179353&amp;Result=3","7179353")</f>
        <v>0</v>
      </c>
      <c r="B11361" t="s">
        <v>955</v>
      </c>
      <c r="C11361" t="s">
        <v>14589</v>
      </c>
      <c r="D11361" t="s">
        <v>19068</v>
      </c>
      <c r="E11361" t="s">
        <v>21030</v>
      </c>
      <c r="F11361" t="s">
        <v>32606</v>
      </c>
      <c r="G11361" t="s">
        <v>32613</v>
      </c>
      <c r="H11361" t="s">
        <v>32623</v>
      </c>
      <c r="I11361" t="s">
        <v>17648</v>
      </c>
      <c r="J11361" t="s">
        <v>35178</v>
      </c>
      <c r="K11361" t="s">
        <v>42624</v>
      </c>
      <c r="M11361" t="s">
        <v>43898</v>
      </c>
      <c r="N11361" t="s">
        <v>47304</v>
      </c>
      <c r="O11361" t="s">
        <v>47305</v>
      </c>
      <c r="P11361">
        <v>0</v>
      </c>
      <c r="Q11361">
        <v>0</v>
      </c>
      <c r="R11361" t="s">
        <v>47315</v>
      </c>
      <c r="S11361" t="s">
        <v>47665</v>
      </c>
      <c r="T11361" t="s">
        <v>49075</v>
      </c>
      <c r="U11361" t="s">
        <v>58908</v>
      </c>
      <c r="V11361" t="s">
        <v>63858</v>
      </c>
      <c r="W11361" t="s">
        <v>43898</v>
      </c>
      <c r="X11361" t="s">
        <v>47318</v>
      </c>
    </row>
    <row r="11362" spans="1:24">
      <c r="A11362">
        <f>HYPERLINK("https://www.philgeps.gov.ph/GEPSNONPILOT/Tender/SplashBidNoticeAbstractUI.aspx?menuIndex=3&amp;refID=7179299&amp;Result=3","7179299")</f>
        <v>0</v>
      </c>
      <c r="B11362" t="s">
        <v>2586</v>
      </c>
      <c r="C11362" t="s">
        <v>14590</v>
      </c>
      <c r="E11362" t="s">
        <v>28762</v>
      </c>
      <c r="F11362" t="s">
        <v>32606</v>
      </c>
      <c r="G11362" t="s">
        <v>32613</v>
      </c>
      <c r="H11362" t="s">
        <v>32623</v>
      </c>
      <c r="I11362" t="s">
        <v>17648</v>
      </c>
      <c r="J11362" t="s">
        <v>39831</v>
      </c>
      <c r="K11362" t="s">
        <v>42624</v>
      </c>
      <c r="M11362" t="s">
        <v>45727</v>
      </c>
      <c r="N11362" t="s">
        <v>47304</v>
      </c>
      <c r="O11362" t="s">
        <v>47305</v>
      </c>
      <c r="P11362">
        <v>0</v>
      </c>
      <c r="Q11362">
        <v>6</v>
      </c>
      <c r="R11362" t="s">
        <v>47315</v>
      </c>
      <c r="S11362" t="s">
        <v>47665</v>
      </c>
      <c r="T11362" t="s">
        <v>49460</v>
      </c>
      <c r="U11362" t="s">
        <v>58909</v>
      </c>
      <c r="V11362" t="s">
        <v>63868</v>
      </c>
      <c r="W11362" t="s">
        <v>45727</v>
      </c>
      <c r="X11362" t="s">
        <v>47318</v>
      </c>
    </row>
    <row r="11363" spans="1:24">
      <c r="A11363">
        <f>HYPERLINK("https://www.philgeps.gov.ph/GEPSNONPILOT/Tender/SplashBidNoticeAbstractUI.aspx?menuIndex=3&amp;refID=7179297&amp;Result=3","7179297")</f>
        <v>0</v>
      </c>
      <c r="B11363" t="s">
        <v>598</v>
      </c>
      <c r="C11363" t="s">
        <v>14591</v>
      </c>
      <c r="D11363" t="s">
        <v>18992</v>
      </c>
      <c r="E11363" t="s">
        <v>28763</v>
      </c>
      <c r="F11363" t="s">
        <v>32606</v>
      </c>
      <c r="G11363" t="s">
        <v>32613</v>
      </c>
      <c r="H11363" t="s">
        <v>14201</v>
      </c>
      <c r="I11363" t="s">
        <v>6298</v>
      </c>
      <c r="J11363" t="s">
        <v>39832</v>
      </c>
      <c r="K11363" t="s">
        <v>42624</v>
      </c>
      <c r="M11363" t="s">
        <v>43513</v>
      </c>
      <c r="N11363" t="s">
        <v>47304</v>
      </c>
      <c r="O11363" t="s">
        <v>47305</v>
      </c>
      <c r="P11363">
        <v>0</v>
      </c>
      <c r="Q11363">
        <v>0</v>
      </c>
      <c r="R11363" t="s">
        <v>47315</v>
      </c>
      <c r="S11363" t="s">
        <v>47665</v>
      </c>
      <c r="T11363" t="s">
        <v>49040</v>
      </c>
      <c r="U11363" t="s">
        <v>58910</v>
      </c>
      <c r="W11363" t="s">
        <v>43513</v>
      </c>
      <c r="X11363" t="s">
        <v>47318</v>
      </c>
    </row>
    <row r="11364" spans="1:24">
      <c r="A11364">
        <f>HYPERLINK("https://www.philgeps.gov.ph/GEPSNONPILOT/Tender/SplashBidNoticeAbstractUI.aspx?menuIndex=3&amp;refID=7179255&amp;Result=3","7179255")</f>
        <v>0</v>
      </c>
      <c r="B11364" t="s">
        <v>1645</v>
      </c>
      <c r="C11364" t="s">
        <v>14592</v>
      </c>
      <c r="D11364" t="s">
        <v>18999</v>
      </c>
      <c r="E11364" t="s">
        <v>28764</v>
      </c>
      <c r="F11364" t="s">
        <v>32606</v>
      </c>
      <c r="G11364" t="s">
        <v>32613</v>
      </c>
      <c r="H11364" t="s">
        <v>14201</v>
      </c>
      <c r="I11364" t="s">
        <v>7677</v>
      </c>
      <c r="J11364" t="s">
        <v>35853</v>
      </c>
      <c r="K11364" t="s">
        <v>42630</v>
      </c>
      <c r="M11364" t="s">
        <v>44668</v>
      </c>
      <c r="N11364" t="s">
        <v>47304</v>
      </c>
      <c r="O11364" t="s">
        <v>47305</v>
      </c>
      <c r="P11364">
        <v>0</v>
      </c>
      <c r="Q11364">
        <v>11</v>
      </c>
      <c r="R11364" t="s">
        <v>47315</v>
      </c>
      <c r="S11364" t="s">
        <v>47665</v>
      </c>
      <c r="T11364" t="s">
        <v>49020</v>
      </c>
      <c r="U11364" t="s">
        <v>58911</v>
      </c>
      <c r="W11364" t="s">
        <v>44668</v>
      </c>
      <c r="X11364" t="s">
        <v>47318</v>
      </c>
    </row>
    <row r="11365" spans="1:24">
      <c r="A11365">
        <f>HYPERLINK("https://www.philgeps.gov.ph/GEPSNONPILOT/Tender/SplashBidNoticeAbstractUI.aspx?menuIndex=3&amp;refID=7179403&amp;Result=3","7179403")</f>
        <v>0</v>
      </c>
      <c r="B11365" t="s">
        <v>2586</v>
      </c>
      <c r="C11365" t="s">
        <v>14593</v>
      </c>
      <c r="E11365" t="s">
        <v>28765</v>
      </c>
      <c r="F11365" t="s">
        <v>32606</v>
      </c>
      <c r="G11365" t="s">
        <v>32613</v>
      </c>
      <c r="H11365" t="s">
        <v>32623</v>
      </c>
      <c r="I11365" t="s">
        <v>17648</v>
      </c>
      <c r="J11365" t="s">
        <v>39833</v>
      </c>
      <c r="K11365" t="s">
        <v>42624</v>
      </c>
      <c r="M11365" t="s">
        <v>45727</v>
      </c>
      <c r="N11365" t="s">
        <v>47304</v>
      </c>
      <c r="O11365" t="s">
        <v>47305</v>
      </c>
      <c r="P11365">
        <v>0</v>
      </c>
      <c r="Q11365">
        <v>8</v>
      </c>
      <c r="R11365" t="s">
        <v>47315</v>
      </c>
      <c r="S11365" t="s">
        <v>47665</v>
      </c>
      <c r="T11365" t="s">
        <v>49460</v>
      </c>
      <c r="U11365" t="s">
        <v>58909</v>
      </c>
      <c r="V11365" t="s">
        <v>63869</v>
      </c>
      <c r="W11365" t="s">
        <v>45727</v>
      </c>
      <c r="X11365" t="s">
        <v>47318</v>
      </c>
    </row>
    <row r="11366" spans="1:24">
      <c r="A11366">
        <f>HYPERLINK("https://www.philgeps.gov.ph/GEPSNONPILOT/Tender/SplashBidNoticeAbstractUI.aspx?menuIndex=3&amp;refID=7179604&amp;Result=3","7179604")</f>
        <v>0</v>
      </c>
      <c r="B11366" t="s">
        <v>617</v>
      </c>
      <c r="C11366" t="s">
        <v>14594</v>
      </c>
      <c r="D11366" t="s">
        <v>19058</v>
      </c>
      <c r="E11366" t="s">
        <v>28766</v>
      </c>
      <c r="F11366" t="s">
        <v>32606</v>
      </c>
      <c r="G11366" t="s">
        <v>32613</v>
      </c>
      <c r="H11366" t="s">
        <v>32623</v>
      </c>
      <c r="I11366" t="s">
        <v>17648</v>
      </c>
      <c r="J11366" t="s">
        <v>39834</v>
      </c>
      <c r="K11366" t="s">
        <v>42624</v>
      </c>
      <c r="M11366" t="s">
        <v>43535</v>
      </c>
      <c r="N11366" t="s">
        <v>47304</v>
      </c>
      <c r="O11366" t="s">
        <v>47305</v>
      </c>
      <c r="Q11366">
        <v>8</v>
      </c>
      <c r="R11366" t="s">
        <v>47315</v>
      </c>
      <c r="S11366" t="s">
        <v>47675</v>
      </c>
      <c r="T11366" t="s">
        <v>49037</v>
      </c>
      <c r="U11366" t="s">
        <v>58912</v>
      </c>
      <c r="V11366" t="s">
        <v>63870</v>
      </c>
      <c r="W11366" t="s">
        <v>43535</v>
      </c>
      <c r="X11366" t="s">
        <v>47318</v>
      </c>
    </row>
    <row r="11367" spans="1:24">
      <c r="A11367">
        <f>HYPERLINK("https://www.philgeps.gov.ph/GEPSNONPILOT/Tender/SplashBidNoticeAbstractUI.aspx?menuIndex=3&amp;refID=7179559&amp;Result=3","7179559")</f>
        <v>0</v>
      </c>
      <c r="B11367" t="s">
        <v>617</v>
      </c>
      <c r="C11367" t="s">
        <v>14595</v>
      </c>
      <c r="D11367" t="s">
        <v>19058</v>
      </c>
      <c r="E11367" t="s">
        <v>28767</v>
      </c>
      <c r="F11367" t="s">
        <v>32606</v>
      </c>
      <c r="G11367" t="s">
        <v>32613</v>
      </c>
      <c r="H11367" t="s">
        <v>32623</v>
      </c>
      <c r="I11367" t="s">
        <v>17648</v>
      </c>
      <c r="J11367" t="s">
        <v>39835</v>
      </c>
      <c r="K11367" t="s">
        <v>42624</v>
      </c>
      <c r="M11367" t="s">
        <v>43535</v>
      </c>
      <c r="N11367" t="s">
        <v>47304</v>
      </c>
      <c r="O11367" t="s">
        <v>47305</v>
      </c>
      <c r="Q11367">
        <v>5</v>
      </c>
      <c r="R11367" t="s">
        <v>47315</v>
      </c>
      <c r="S11367" t="s">
        <v>47676</v>
      </c>
      <c r="T11367" t="s">
        <v>49037</v>
      </c>
      <c r="U11367" t="s">
        <v>58913</v>
      </c>
      <c r="V11367" t="s">
        <v>63870</v>
      </c>
      <c r="W11367" t="s">
        <v>43535</v>
      </c>
      <c r="X11367" t="s">
        <v>47318</v>
      </c>
    </row>
    <row r="11368" spans="1:24">
      <c r="A11368">
        <f>HYPERLINK("https://www.philgeps.gov.ph/GEPSNONPILOT/Tender/SplashBidNoticeAbstractUI.aspx?menuIndex=3&amp;refID=7179520&amp;Result=3","7179520")</f>
        <v>0</v>
      </c>
      <c r="B11368" t="s">
        <v>1437</v>
      </c>
      <c r="C11368" t="s">
        <v>14596</v>
      </c>
      <c r="D11368" t="s">
        <v>18993</v>
      </c>
      <c r="E11368" t="s">
        <v>28768</v>
      </c>
      <c r="F11368" t="s">
        <v>32606</v>
      </c>
      <c r="G11368" t="s">
        <v>32613</v>
      </c>
      <c r="H11368" t="s">
        <v>14201</v>
      </c>
      <c r="I11368" t="s">
        <v>32655</v>
      </c>
      <c r="J11368" t="s">
        <v>32795</v>
      </c>
      <c r="K11368" t="s">
        <v>42648</v>
      </c>
      <c r="M11368" t="s">
        <v>44909</v>
      </c>
      <c r="N11368" t="s">
        <v>47304</v>
      </c>
      <c r="O11368" t="s">
        <v>47305</v>
      </c>
      <c r="P11368">
        <v>0</v>
      </c>
      <c r="Q11368">
        <v>30</v>
      </c>
      <c r="R11368" t="s">
        <v>47315</v>
      </c>
      <c r="S11368" t="s">
        <v>47665</v>
      </c>
      <c r="T11368" t="s">
        <v>48995</v>
      </c>
      <c r="U11368" t="s">
        <v>58914</v>
      </c>
      <c r="W11368" t="s">
        <v>44909</v>
      </c>
      <c r="X11368" t="s">
        <v>47318</v>
      </c>
    </row>
    <row r="11369" spans="1:24">
      <c r="A11369">
        <f>HYPERLINK("https://www.philgeps.gov.ph/GEPSNONPILOT/Tender/SplashBidNoticeAbstractUI.aspx?menuIndex=3&amp;refID=7179361&amp;Result=3","7179361")</f>
        <v>0</v>
      </c>
      <c r="B11369" t="s">
        <v>2586</v>
      </c>
      <c r="C11369" t="s">
        <v>14597</v>
      </c>
      <c r="E11369" t="s">
        <v>28769</v>
      </c>
      <c r="F11369" t="s">
        <v>32606</v>
      </c>
      <c r="G11369" t="s">
        <v>32613</v>
      </c>
      <c r="H11369" t="s">
        <v>32623</v>
      </c>
      <c r="I11369" t="s">
        <v>17648</v>
      </c>
      <c r="J11369" t="s">
        <v>39836</v>
      </c>
      <c r="K11369" t="s">
        <v>42624</v>
      </c>
      <c r="M11369" t="s">
        <v>45727</v>
      </c>
      <c r="N11369" t="s">
        <v>47304</v>
      </c>
      <c r="O11369" t="s">
        <v>47305</v>
      </c>
      <c r="P11369">
        <v>0</v>
      </c>
      <c r="Q11369">
        <v>6</v>
      </c>
      <c r="R11369" t="s">
        <v>47315</v>
      </c>
      <c r="S11369" t="s">
        <v>47665</v>
      </c>
      <c r="T11369" t="s">
        <v>49460</v>
      </c>
      <c r="U11369" t="s">
        <v>58909</v>
      </c>
      <c r="V11369" t="s">
        <v>63871</v>
      </c>
      <c r="W11369" t="s">
        <v>45727</v>
      </c>
      <c r="X11369" t="s">
        <v>47318</v>
      </c>
    </row>
    <row r="11370" spans="1:24">
      <c r="A11370">
        <f>HYPERLINK("https://www.philgeps.gov.ph/GEPSNONPILOT/Tender/SplashBidNoticeAbstractUI.aspx?menuIndex=3&amp;refID=7179454&amp;Result=3","7179454")</f>
        <v>0</v>
      </c>
      <c r="B11370" t="s">
        <v>617</v>
      </c>
      <c r="C11370" t="s">
        <v>14598</v>
      </c>
      <c r="D11370" t="s">
        <v>19058</v>
      </c>
      <c r="E11370" t="s">
        <v>28770</v>
      </c>
      <c r="F11370" t="s">
        <v>32606</v>
      </c>
      <c r="G11370" t="s">
        <v>32613</v>
      </c>
      <c r="H11370" t="s">
        <v>32623</v>
      </c>
      <c r="I11370" t="s">
        <v>17648</v>
      </c>
      <c r="J11370" t="s">
        <v>39837</v>
      </c>
      <c r="K11370" t="s">
        <v>42624</v>
      </c>
      <c r="M11370" t="s">
        <v>43535</v>
      </c>
      <c r="N11370" t="s">
        <v>47304</v>
      </c>
      <c r="O11370" t="s">
        <v>47305</v>
      </c>
      <c r="Q11370">
        <v>2</v>
      </c>
      <c r="R11370" t="s">
        <v>47315</v>
      </c>
      <c r="S11370" t="s">
        <v>47677</v>
      </c>
      <c r="T11370" t="s">
        <v>49037</v>
      </c>
      <c r="U11370" t="s">
        <v>58915</v>
      </c>
      <c r="V11370" t="s">
        <v>63870</v>
      </c>
      <c r="W11370" t="s">
        <v>43535</v>
      </c>
      <c r="X11370" t="s">
        <v>47318</v>
      </c>
    </row>
    <row r="11371" spans="1:24">
      <c r="A11371">
        <f>HYPERLINK("https://www.philgeps.gov.ph/GEPSNONPILOT/Tender/SplashBidNoticeAbstractUI.aspx?menuIndex=3&amp;refID=7179438&amp;Result=3","7179438")</f>
        <v>0</v>
      </c>
      <c r="B11371" t="s">
        <v>861</v>
      </c>
      <c r="C11371" t="s">
        <v>14599</v>
      </c>
      <c r="D11371" t="s">
        <v>19015</v>
      </c>
      <c r="E11371" t="s">
        <v>28771</v>
      </c>
      <c r="F11371" t="s">
        <v>32606</v>
      </c>
      <c r="G11371" t="s">
        <v>32613</v>
      </c>
      <c r="H11371" t="s">
        <v>32623</v>
      </c>
      <c r="I11371" t="s">
        <v>17648</v>
      </c>
      <c r="J11371" t="s">
        <v>39838</v>
      </c>
      <c r="K11371" t="s">
        <v>42646</v>
      </c>
      <c r="M11371" t="s">
        <v>43795</v>
      </c>
      <c r="N11371" t="s">
        <v>47304</v>
      </c>
      <c r="O11371" t="s">
        <v>47305</v>
      </c>
      <c r="P11371">
        <v>0</v>
      </c>
      <c r="Q11371">
        <v>36</v>
      </c>
      <c r="R11371" t="s">
        <v>47315</v>
      </c>
      <c r="S11371" t="s">
        <v>47665</v>
      </c>
      <c r="T11371" t="s">
        <v>49071</v>
      </c>
      <c r="U11371" t="s">
        <v>58916</v>
      </c>
      <c r="W11371" t="s">
        <v>43795</v>
      </c>
      <c r="X11371" t="s">
        <v>47318</v>
      </c>
    </row>
    <row r="11372" spans="1:24">
      <c r="A11372">
        <f>HYPERLINK("https://www.philgeps.gov.ph/GEPSNONPILOT/Tender/SplashBidNoticeAbstractUI.aspx?menuIndex=3&amp;refID=7179032&amp;Result=3","7179032")</f>
        <v>0</v>
      </c>
      <c r="B11372" t="s">
        <v>2115</v>
      </c>
      <c r="C11372" t="s">
        <v>14600</v>
      </c>
      <c r="D11372" t="s">
        <v>19008</v>
      </c>
      <c r="E11372" t="s">
        <v>28772</v>
      </c>
      <c r="F11372" t="s">
        <v>32606</v>
      </c>
      <c r="G11372" t="s">
        <v>32613</v>
      </c>
      <c r="H11372" t="s">
        <v>14201</v>
      </c>
      <c r="I11372" t="s">
        <v>4678</v>
      </c>
      <c r="J11372" t="s">
        <v>33263</v>
      </c>
      <c r="K11372" t="s">
        <v>42638</v>
      </c>
      <c r="M11372" t="s">
        <v>45474</v>
      </c>
      <c r="N11372" t="s">
        <v>47304</v>
      </c>
      <c r="O11372" t="s">
        <v>47305</v>
      </c>
      <c r="P11372">
        <v>0</v>
      </c>
      <c r="Q11372">
        <v>2</v>
      </c>
      <c r="R11372" t="s">
        <v>47315</v>
      </c>
      <c r="S11372" t="s">
        <v>47665</v>
      </c>
      <c r="T11372" t="s">
        <v>49171</v>
      </c>
      <c r="U11372" t="s">
        <v>58917</v>
      </c>
      <c r="V11372" t="s">
        <v>63377</v>
      </c>
      <c r="W11372" t="s">
        <v>45474</v>
      </c>
      <c r="X11372" t="s">
        <v>47318</v>
      </c>
    </row>
    <row r="11373" spans="1:24">
      <c r="A11373">
        <f>HYPERLINK("https://www.philgeps.gov.ph/GEPSNONPILOT/Tender/SplashBidNoticeAbstractUI.aspx?menuIndex=3&amp;refID=7179433&amp;Result=3","7179433")</f>
        <v>0</v>
      </c>
      <c r="B11373" t="s">
        <v>2115</v>
      </c>
      <c r="C11373" t="s">
        <v>14601</v>
      </c>
      <c r="D11373" t="s">
        <v>19008</v>
      </c>
      <c r="E11373" t="s">
        <v>28773</v>
      </c>
      <c r="F11373" t="s">
        <v>32606</v>
      </c>
      <c r="G11373" t="s">
        <v>32613</v>
      </c>
      <c r="H11373" t="s">
        <v>14201</v>
      </c>
      <c r="I11373" t="s">
        <v>6298</v>
      </c>
      <c r="J11373" t="s">
        <v>39839</v>
      </c>
      <c r="K11373" t="s">
        <v>42630</v>
      </c>
      <c r="M11373" t="s">
        <v>45474</v>
      </c>
      <c r="N11373" t="s">
        <v>47304</v>
      </c>
      <c r="O11373" t="s">
        <v>47305</v>
      </c>
      <c r="P11373">
        <v>0</v>
      </c>
      <c r="Q11373">
        <v>0</v>
      </c>
      <c r="R11373" t="s">
        <v>47315</v>
      </c>
      <c r="S11373" t="s">
        <v>47665</v>
      </c>
      <c r="T11373" t="s">
        <v>49071</v>
      </c>
      <c r="U11373" t="s">
        <v>58918</v>
      </c>
      <c r="V11373" t="s">
        <v>63377</v>
      </c>
      <c r="W11373" t="s">
        <v>45474</v>
      </c>
      <c r="X11373" t="s">
        <v>47318</v>
      </c>
    </row>
    <row r="11374" spans="1:24">
      <c r="A11374">
        <f>HYPERLINK("https://www.philgeps.gov.ph/GEPSNONPILOT/Tender/SplashBidNoticeAbstractUI.aspx?menuIndex=3&amp;refID=7179230&amp;Result=3","7179230")</f>
        <v>0</v>
      </c>
      <c r="B11374" t="s">
        <v>2157</v>
      </c>
      <c r="C11374" t="s">
        <v>14602</v>
      </c>
      <c r="D11374" t="s">
        <v>19016</v>
      </c>
      <c r="E11374" t="s">
        <v>27042</v>
      </c>
      <c r="F11374" t="s">
        <v>32606</v>
      </c>
      <c r="G11374" t="s">
        <v>32618</v>
      </c>
      <c r="H11374" t="s">
        <v>14201</v>
      </c>
      <c r="I11374" t="s">
        <v>32650</v>
      </c>
      <c r="J11374" t="s">
        <v>39840</v>
      </c>
      <c r="K11374" t="s">
        <v>42624</v>
      </c>
      <c r="M11374" t="s">
        <v>45251</v>
      </c>
      <c r="N11374" t="s">
        <v>47304</v>
      </c>
      <c r="O11374" t="s">
        <v>47305</v>
      </c>
      <c r="P11374">
        <v>0</v>
      </c>
      <c r="Q11374">
        <v>3</v>
      </c>
      <c r="R11374" t="s">
        <v>47315</v>
      </c>
      <c r="S11374" t="s">
        <v>47665</v>
      </c>
      <c r="T11374" t="s">
        <v>49099</v>
      </c>
      <c r="U11374" t="s">
        <v>58919</v>
      </c>
      <c r="W11374" t="s">
        <v>45251</v>
      </c>
      <c r="X11374" t="s">
        <v>47318</v>
      </c>
    </row>
    <row r="11375" spans="1:24">
      <c r="A11375">
        <f>HYPERLINK("https://www.philgeps.gov.ph/GEPSNONPILOT/Tender/SplashBidNoticeAbstractUI.aspx?menuIndex=3&amp;refID=7179226&amp;Result=3","7179226")</f>
        <v>0</v>
      </c>
      <c r="B11375" t="s">
        <v>2586</v>
      </c>
      <c r="C11375" t="s">
        <v>14603</v>
      </c>
      <c r="E11375" t="s">
        <v>28774</v>
      </c>
      <c r="F11375" t="s">
        <v>32606</v>
      </c>
      <c r="G11375" t="s">
        <v>32613</v>
      </c>
      <c r="H11375" t="s">
        <v>32623</v>
      </c>
      <c r="I11375" t="s">
        <v>17648</v>
      </c>
      <c r="J11375" t="s">
        <v>39841</v>
      </c>
      <c r="K11375" t="s">
        <v>42624</v>
      </c>
      <c r="M11375" t="s">
        <v>45727</v>
      </c>
      <c r="N11375" t="s">
        <v>47304</v>
      </c>
      <c r="O11375" t="s">
        <v>47305</v>
      </c>
      <c r="P11375">
        <v>0</v>
      </c>
      <c r="Q11375">
        <v>5</v>
      </c>
      <c r="R11375" t="s">
        <v>47315</v>
      </c>
      <c r="S11375" t="s">
        <v>47665</v>
      </c>
      <c r="T11375" t="s">
        <v>49460</v>
      </c>
      <c r="U11375" t="s">
        <v>58909</v>
      </c>
      <c r="V11375" t="s">
        <v>63872</v>
      </c>
      <c r="W11375" t="s">
        <v>45727</v>
      </c>
      <c r="X11375" t="s">
        <v>47318</v>
      </c>
    </row>
    <row r="11376" spans="1:24">
      <c r="A11376">
        <f>HYPERLINK("https://www.philgeps.gov.ph/GEPSNONPILOT/Tender/SplashBidNoticeAbstractUI.aspx?menuIndex=3&amp;refID=7179201&amp;Result=3","7179201")</f>
        <v>0</v>
      </c>
      <c r="B11376" t="s">
        <v>598</v>
      </c>
      <c r="C11376" t="s">
        <v>14604</v>
      </c>
      <c r="D11376" t="s">
        <v>18992</v>
      </c>
      <c r="E11376" t="s">
        <v>28775</v>
      </c>
      <c r="F11376" t="s">
        <v>32606</v>
      </c>
      <c r="G11376" t="s">
        <v>32613</v>
      </c>
      <c r="H11376" t="s">
        <v>14201</v>
      </c>
      <c r="I11376" t="s">
        <v>32651</v>
      </c>
      <c r="J11376" t="s">
        <v>39842</v>
      </c>
      <c r="K11376" t="s">
        <v>42632</v>
      </c>
      <c r="M11376" t="s">
        <v>43513</v>
      </c>
      <c r="N11376" t="s">
        <v>47304</v>
      </c>
      <c r="O11376" t="s">
        <v>47305</v>
      </c>
      <c r="P11376">
        <v>0</v>
      </c>
      <c r="Q11376">
        <v>1</v>
      </c>
      <c r="R11376" t="s">
        <v>47315</v>
      </c>
      <c r="S11376" t="s">
        <v>47665</v>
      </c>
      <c r="T11376" t="s">
        <v>49040</v>
      </c>
      <c r="U11376" t="s">
        <v>58920</v>
      </c>
      <c r="W11376" t="s">
        <v>43513</v>
      </c>
      <c r="X11376" t="s">
        <v>47318</v>
      </c>
    </row>
    <row r="11377" spans="1:24">
      <c r="A11377">
        <f>HYPERLINK("https://www.philgeps.gov.ph/GEPSNONPILOT/Tender/SplashBidNoticeAbstractUI.aspx?menuIndex=3&amp;refID=7179198&amp;Result=3","7179198")</f>
        <v>0</v>
      </c>
      <c r="B11377" t="s">
        <v>529</v>
      </c>
      <c r="C11377" t="s">
        <v>14605</v>
      </c>
      <c r="D11377" t="s">
        <v>19063</v>
      </c>
      <c r="E11377" t="s">
        <v>28776</v>
      </c>
      <c r="F11377" t="s">
        <v>32606</v>
      </c>
      <c r="G11377" t="s">
        <v>32613</v>
      </c>
      <c r="H11377" t="s">
        <v>32623</v>
      </c>
      <c r="I11377" t="s">
        <v>17648</v>
      </c>
      <c r="J11377" t="s">
        <v>39498</v>
      </c>
      <c r="K11377" t="s">
        <v>42858</v>
      </c>
      <c r="M11377" t="s">
        <v>43442</v>
      </c>
      <c r="N11377" t="s">
        <v>47304</v>
      </c>
      <c r="O11377" t="s">
        <v>47305</v>
      </c>
      <c r="P11377">
        <v>0</v>
      </c>
      <c r="Q11377">
        <v>3</v>
      </c>
      <c r="R11377" t="s">
        <v>47315</v>
      </c>
      <c r="S11377" t="s">
        <v>47665</v>
      </c>
      <c r="T11377" t="s">
        <v>49037</v>
      </c>
      <c r="U11377" t="s">
        <v>58921</v>
      </c>
      <c r="W11377" t="s">
        <v>43442</v>
      </c>
      <c r="X11377" t="s">
        <v>47318</v>
      </c>
    </row>
    <row r="11378" spans="1:24">
      <c r="A11378">
        <f>HYPERLINK("https://www.philgeps.gov.ph/GEPSNONPILOT/Tender/SplashBidNoticeAbstractUI.aspx?menuIndex=3&amp;refID=7179506&amp;Result=3","7179506")</f>
        <v>0</v>
      </c>
      <c r="B11378" t="s">
        <v>617</v>
      </c>
      <c r="C11378" t="s">
        <v>14606</v>
      </c>
      <c r="D11378" t="s">
        <v>19058</v>
      </c>
      <c r="E11378" t="s">
        <v>28777</v>
      </c>
      <c r="F11378" t="s">
        <v>32606</v>
      </c>
      <c r="G11378" t="s">
        <v>32613</v>
      </c>
      <c r="H11378" t="s">
        <v>32623</v>
      </c>
      <c r="I11378" t="s">
        <v>17648</v>
      </c>
      <c r="J11378" t="s">
        <v>34128</v>
      </c>
      <c r="K11378" t="s">
        <v>42624</v>
      </c>
      <c r="M11378" t="s">
        <v>43535</v>
      </c>
      <c r="N11378" t="s">
        <v>47304</v>
      </c>
      <c r="O11378" t="s">
        <v>47305</v>
      </c>
      <c r="Q11378">
        <v>2</v>
      </c>
      <c r="R11378" t="s">
        <v>47315</v>
      </c>
      <c r="S11378" t="s">
        <v>47678</v>
      </c>
      <c r="T11378" t="s">
        <v>49037</v>
      </c>
      <c r="U11378" t="s">
        <v>58922</v>
      </c>
      <c r="V11378" t="s">
        <v>63870</v>
      </c>
      <c r="W11378" t="s">
        <v>43535</v>
      </c>
      <c r="X11378" t="s">
        <v>47318</v>
      </c>
    </row>
    <row r="11379" spans="1:24">
      <c r="A11379">
        <f>HYPERLINK("https://www.philgeps.gov.ph/GEPSNONPILOT/Tender/SplashBidNoticeAbstractUI.aspx?menuIndex=3&amp;refID=7178990&amp;Result=3","7178990")</f>
        <v>0</v>
      </c>
      <c r="B11379" t="s">
        <v>2115</v>
      </c>
      <c r="C11379" t="s">
        <v>14607</v>
      </c>
      <c r="D11379" t="s">
        <v>19008</v>
      </c>
      <c r="E11379" t="s">
        <v>28778</v>
      </c>
      <c r="F11379" t="s">
        <v>32606</v>
      </c>
      <c r="G11379" t="s">
        <v>32613</v>
      </c>
      <c r="H11379" t="s">
        <v>14201</v>
      </c>
      <c r="I11379" t="s">
        <v>6993</v>
      </c>
      <c r="J11379" t="s">
        <v>35435</v>
      </c>
      <c r="K11379" t="s">
        <v>42627</v>
      </c>
      <c r="M11379" t="s">
        <v>45601</v>
      </c>
      <c r="N11379" t="s">
        <v>47304</v>
      </c>
      <c r="O11379" t="s">
        <v>47305</v>
      </c>
      <c r="P11379">
        <v>0</v>
      </c>
      <c r="Q11379">
        <v>2</v>
      </c>
      <c r="R11379" t="s">
        <v>47315</v>
      </c>
      <c r="S11379" t="s">
        <v>47665</v>
      </c>
      <c r="T11379" t="s">
        <v>49157</v>
      </c>
      <c r="U11379" t="s">
        <v>58923</v>
      </c>
      <c r="V11379" t="s">
        <v>62846</v>
      </c>
      <c r="W11379" t="s">
        <v>45601</v>
      </c>
      <c r="X11379" t="s">
        <v>47318</v>
      </c>
    </row>
    <row r="11380" spans="1:24">
      <c r="A11380">
        <f>HYPERLINK("https://www.philgeps.gov.ph/GEPSNONPILOT/Tender/SplashBidNoticeAbstractUI.aspx?menuIndex=3&amp;refID=7179609&amp;Result=3","7179609")</f>
        <v>0</v>
      </c>
      <c r="B11380" t="s">
        <v>2795</v>
      </c>
      <c r="C11380" t="s">
        <v>14608</v>
      </c>
      <c r="D11380" t="s">
        <v>19011</v>
      </c>
      <c r="E11380" t="s">
        <v>19392</v>
      </c>
      <c r="F11380" t="s">
        <v>32606</v>
      </c>
      <c r="G11380" t="s">
        <v>32613</v>
      </c>
      <c r="H11380" t="s">
        <v>32623</v>
      </c>
      <c r="I11380" t="s">
        <v>17648</v>
      </c>
      <c r="J11380" t="s">
        <v>39843</v>
      </c>
      <c r="K11380" t="s">
        <v>42624</v>
      </c>
      <c r="M11380" t="s">
        <v>45957</v>
      </c>
      <c r="N11380" t="s">
        <v>47304</v>
      </c>
      <c r="O11380" t="s">
        <v>47305</v>
      </c>
      <c r="P11380">
        <v>0</v>
      </c>
      <c r="Q11380">
        <v>1</v>
      </c>
      <c r="R11380" t="s">
        <v>47315</v>
      </c>
      <c r="S11380" t="s">
        <v>47665</v>
      </c>
      <c r="T11380" t="s">
        <v>48990</v>
      </c>
      <c r="U11380" t="s">
        <v>58924</v>
      </c>
      <c r="W11380" t="s">
        <v>45957</v>
      </c>
      <c r="X11380" t="s">
        <v>47318</v>
      </c>
    </row>
    <row r="11381" spans="1:24">
      <c r="A11381">
        <f>HYPERLINK("https://www.philgeps.gov.ph/GEPSNONPILOT/Tender/SplashBidNoticeAbstractUI.aspx?menuIndex=3&amp;refID=7179738&amp;Result=3","7179738")</f>
        <v>0</v>
      </c>
      <c r="B11381" t="s">
        <v>2165</v>
      </c>
      <c r="C11381" t="s">
        <v>14609</v>
      </c>
      <c r="D11381" t="s">
        <v>19065</v>
      </c>
      <c r="E11381" t="s">
        <v>28779</v>
      </c>
      <c r="F11381" t="s">
        <v>32606</v>
      </c>
      <c r="G11381" t="s">
        <v>32613</v>
      </c>
      <c r="H11381" t="s">
        <v>14201</v>
      </c>
      <c r="I11381" t="s">
        <v>4120</v>
      </c>
      <c r="J11381" t="s">
        <v>39844</v>
      </c>
      <c r="K11381" t="s">
        <v>42623</v>
      </c>
      <c r="M11381" t="s">
        <v>45259</v>
      </c>
      <c r="N11381" t="s">
        <v>47304</v>
      </c>
      <c r="O11381" t="s">
        <v>47305</v>
      </c>
      <c r="P11381">
        <v>0</v>
      </c>
      <c r="Q11381">
        <v>0</v>
      </c>
      <c r="R11381" t="s">
        <v>47315</v>
      </c>
      <c r="S11381" t="s">
        <v>47665</v>
      </c>
      <c r="T11381" t="s">
        <v>49234</v>
      </c>
      <c r="U11381" t="s">
        <v>58925</v>
      </c>
      <c r="W11381" t="s">
        <v>45259</v>
      </c>
      <c r="X11381" t="s">
        <v>47318</v>
      </c>
    </row>
    <row r="11382" spans="1:24">
      <c r="A11382">
        <f>HYPERLINK("https://www.philgeps.gov.ph/GEPSNONPILOT/Tender/SplashBidNoticeAbstractUI.aspx?menuIndex=3&amp;refID=7179686&amp;Result=3","7179686")</f>
        <v>0</v>
      </c>
      <c r="B11382" t="s">
        <v>3185</v>
      </c>
      <c r="C11382" t="s">
        <v>14610</v>
      </c>
      <c r="D11382" t="s">
        <v>19004</v>
      </c>
      <c r="E11382" t="s">
        <v>20544</v>
      </c>
      <c r="F11382" t="s">
        <v>32606</v>
      </c>
      <c r="G11382" t="s">
        <v>32613</v>
      </c>
      <c r="H11382" t="s">
        <v>14201</v>
      </c>
      <c r="I11382" t="s">
        <v>7064</v>
      </c>
      <c r="J11382" t="s">
        <v>39845</v>
      </c>
      <c r="K11382" t="s">
        <v>42631</v>
      </c>
      <c r="M11382" t="s">
        <v>46409</v>
      </c>
      <c r="N11382" t="s">
        <v>47304</v>
      </c>
      <c r="O11382" t="s">
        <v>47305</v>
      </c>
      <c r="P11382">
        <v>0</v>
      </c>
      <c r="Q11382">
        <v>13</v>
      </c>
      <c r="R11382" t="s">
        <v>47315</v>
      </c>
      <c r="S11382" t="s">
        <v>47665</v>
      </c>
      <c r="T11382" t="s">
        <v>48980</v>
      </c>
      <c r="U11382" t="s">
        <v>58926</v>
      </c>
      <c r="W11382" t="s">
        <v>46409</v>
      </c>
      <c r="X11382" t="s">
        <v>47318</v>
      </c>
    </row>
    <row r="11383" spans="1:24">
      <c r="A11383">
        <f>HYPERLINK("https://www.philgeps.gov.ph/GEPSNONPILOT/Tender/SplashBidNoticeAbstractUI.aspx?menuIndex=3&amp;refID=7179376&amp;Result=3","7179376")</f>
        <v>0</v>
      </c>
      <c r="B11383" t="s">
        <v>2115</v>
      </c>
      <c r="C11383" t="s">
        <v>14611</v>
      </c>
      <c r="D11383" t="s">
        <v>19008</v>
      </c>
      <c r="E11383" t="s">
        <v>28780</v>
      </c>
      <c r="F11383" t="s">
        <v>32606</v>
      </c>
      <c r="G11383" t="s">
        <v>32613</v>
      </c>
      <c r="H11383" t="s">
        <v>14201</v>
      </c>
      <c r="I11383" t="s">
        <v>5233</v>
      </c>
      <c r="J11383" t="s">
        <v>39846</v>
      </c>
      <c r="K11383" t="s">
        <v>42630</v>
      </c>
      <c r="M11383" t="s">
        <v>45474</v>
      </c>
      <c r="N11383" t="s">
        <v>47304</v>
      </c>
      <c r="O11383" t="s">
        <v>47305</v>
      </c>
      <c r="P11383">
        <v>0</v>
      </c>
      <c r="Q11383">
        <v>0</v>
      </c>
      <c r="R11383" t="s">
        <v>47315</v>
      </c>
      <c r="S11383" t="s">
        <v>47665</v>
      </c>
      <c r="T11383" t="s">
        <v>49071</v>
      </c>
      <c r="U11383" t="s">
        <v>58927</v>
      </c>
      <c r="V11383" t="s">
        <v>63377</v>
      </c>
      <c r="W11383" t="s">
        <v>45474</v>
      </c>
      <c r="X11383" t="s">
        <v>47318</v>
      </c>
    </row>
    <row r="11384" spans="1:24">
      <c r="A11384">
        <f>HYPERLINK("https://www.philgeps.gov.ph/GEPSNONPILOT/Tender/SplashBidNoticeAbstractUI.aspx?menuIndex=3&amp;refID=7179655&amp;Result=3","7179655")</f>
        <v>0</v>
      </c>
      <c r="B11384" t="s">
        <v>3287</v>
      </c>
      <c r="C11384" t="s">
        <v>14612</v>
      </c>
      <c r="D11384" t="s">
        <v>19016</v>
      </c>
      <c r="E11384" t="s">
        <v>28781</v>
      </c>
      <c r="F11384" t="s">
        <v>32606</v>
      </c>
      <c r="G11384" t="s">
        <v>32613</v>
      </c>
      <c r="H11384" t="s">
        <v>14201</v>
      </c>
      <c r="I11384" t="s">
        <v>32645</v>
      </c>
      <c r="J11384" t="s">
        <v>34591</v>
      </c>
      <c r="K11384" t="s">
        <v>42623</v>
      </c>
      <c r="M11384" t="s">
        <v>46523</v>
      </c>
      <c r="N11384" t="s">
        <v>47304</v>
      </c>
      <c r="O11384" t="s">
        <v>47305</v>
      </c>
      <c r="P11384">
        <v>0</v>
      </c>
      <c r="Q11384">
        <v>9</v>
      </c>
      <c r="R11384" t="s">
        <v>47315</v>
      </c>
      <c r="S11384" t="s">
        <v>47665</v>
      </c>
      <c r="T11384" t="s">
        <v>48992</v>
      </c>
      <c r="U11384" t="s">
        <v>58928</v>
      </c>
      <c r="V11384" t="s">
        <v>63873</v>
      </c>
      <c r="W11384" t="s">
        <v>46523</v>
      </c>
      <c r="X11384" t="s">
        <v>47318</v>
      </c>
    </row>
    <row r="11385" spans="1:24">
      <c r="A11385">
        <f>HYPERLINK("https://www.philgeps.gov.ph/GEPSNONPILOT/Tender/SplashBidNoticeAbstractUI.aspx?menuIndex=3&amp;refID=7179648&amp;Result=3","7179648")</f>
        <v>0</v>
      </c>
      <c r="B11385" t="s">
        <v>2795</v>
      </c>
      <c r="C11385" t="s">
        <v>14613</v>
      </c>
      <c r="D11385" t="s">
        <v>19011</v>
      </c>
      <c r="E11385" t="s">
        <v>19133</v>
      </c>
      <c r="F11385" t="s">
        <v>32606</v>
      </c>
      <c r="G11385" t="s">
        <v>32613</v>
      </c>
      <c r="H11385" t="s">
        <v>32623</v>
      </c>
      <c r="I11385" t="s">
        <v>17648</v>
      </c>
      <c r="J11385" t="s">
        <v>39847</v>
      </c>
      <c r="K11385" t="s">
        <v>42624</v>
      </c>
      <c r="M11385" t="s">
        <v>45957</v>
      </c>
      <c r="N11385" t="s">
        <v>47304</v>
      </c>
      <c r="O11385" t="s">
        <v>47305</v>
      </c>
      <c r="P11385">
        <v>0</v>
      </c>
      <c r="Q11385">
        <v>1</v>
      </c>
      <c r="R11385" t="s">
        <v>47315</v>
      </c>
      <c r="S11385" t="s">
        <v>47665</v>
      </c>
      <c r="T11385" t="s">
        <v>48990</v>
      </c>
      <c r="U11385" t="s">
        <v>58924</v>
      </c>
      <c r="W11385" t="s">
        <v>45957</v>
      </c>
      <c r="X11385" t="s">
        <v>47318</v>
      </c>
    </row>
    <row r="11386" spans="1:24">
      <c r="A11386">
        <f>HYPERLINK("https://www.philgeps.gov.ph/GEPSNONPILOT/Tender/SplashBidNoticeAbstractUI.aspx?menuIndex=3&amp;refID=7179636&amp;Result=3","7179636")</f>
        <v>0</v>
      </c>
      <c r="B11386" t="s">
        <v>3288</v>
      </c>
      <c r="C11386" t="s">
        <v>14614</v>
      </c>
      <c r="D11386" t="s">
        <v>18988</v>
      </c>
      <c r="E11386" t="s">
        <v>20079</v>
      </c>
      <c r="F11386" t="s">
        <v>32606</v>
      </c>
      <c r="G11386" t="s">
        <v>32613</v>
      </c>
      <c r="H11386" t="s">
        <v>14201</v>
      </c>
      <c r="I11386" t="s">
        <v>32658</v>
      </c>
      <c r="J11386" t="s">
        <v>39848</v>
      </c>
      <c r="K11386" t="s">
        <v>42625</v>
      </c>
      <c r="M11386" t="s">
        <v>46524</v>
      </c>
      <c r="N11386" t="s">
        <v>47304</v>
      </c>
      <c r="O11386" t="s">
        <v>47305</v>
      </c>
      <c r="P11386">
        <v>0</v>
      </c>
      <c r="Q11386">
        <v>1</v>
      </c>
      <c r="R11386" t="s">
        <v>47315</v>
      </c>
      <c r="S11386" t="s">
        <v>47665</v>
      </c>
      <c r="T11386" t="s">
        <v>49099</v>
      </c>
      <c r="U11386" t="s">
        <v>58929</v>
      </c>
      <c r="W11386" t="s">
        <v>46524</v>
      </c>
      <c r="X11386" t="s">
        <v>47318</v>
      </c>
    </row>
    <row r="11387" spans="1:24">
      <c r="A11387">
        <f>HYPERLINK("https://www.philgeps.gov.ph/GEPSNONPILOT/Tender/SplashBidNoticeAbstractUI.aspx?menuIndex=3&amp;refID=7179620&amp;Result=3","7179620")</f>
        <v>0</v>
      </c>
      <c r="B11387" t="s">
        <v>3287</v>
      </c>
      <c r="C11387" t="s">
        <v>14615</v>
      </c>
      <c r="D11387" t="s">
        <v>19016</v>
      </c>
      <c r="E11387" t="s">
        <v>28782</v>
      </c>
      <c r="F11387" t="s">
        <v>32606</v>
      </c>
      <c r="G11387" t="s">
        <v>32613</v>
      </c>
      <c r="H11387" t="s">
        <v>32623</v>
      </c>
      <c r="I11387" t="s">
        <v>32659</v>
      </c>
      <c r="J11387" t="s">
        <v>39849</v>
      </c>
      <c r="K11387" t="s">
        <v>42646</v>
      </c>
      <c r="M11387" t="s">
        <v>46523</v>
      </c>
      <c r="N11387" t="s">
        <v>47304</v>
      </c>
      <c r="O11387" t="s">
        <v>47305</v>
      </c>
      <c r="P11387">
        <v>0</v>
      </c>
      <c r="Q11387">
        <v>2</v>
      </c>
      <c r="R11387" t="s">
        <v>47315</v>
      </c>
      <c r="S11387" t="s">
        <v>47665</v>
      </c>
      <c r="T11387" t="s">
        <v>49104</v>
      </c>
      <c r="U11387" t="s">
        <v>58930</v>
      </c>
      <c r="V11387" t="s">
        <v>63874</v>
      </c>
      <c r="W11387" t="s">
        <v>46523</v>
      </c>
      <c r="X11387" t="s">
        <v>47318</v>
      </c>
    </row>
    <row r="11388" spans="1:24">
      <c r="A11388">
        <f>HYPERLINK("https://www.philgeps.gov.ph/GEPSNONPILOT/Tender/SplashBidNoticeAbstractUI.aspx?menuIndex=3&amp;refID=7179025&amp;Result=3","7179025")</f>
        <v>0</v>
      </c>
      <c r="B11388" t="s">
        <v>2917</v>
      </c>
      <c r="C11388" t="s">
        <v>14616</v>
      </c>
      <c r="D11388" t="s">
        <v>19056</v>
      </c>
      <c r="E11388" t="s">
        <v>28783</v>
      </c>
      <c r="F11388" t="s">
        <v>32606</v>
      </c>
      <c r="G11388" t="s">
        <v>32613</v>
      </c>
      <c r="H11388" t="s">
        <v>14201</v>
      </c>
      <c r="I11388" t="s">
        <v>4678</v>
      </c>
      <c r="J11388" t="s">
        <v>39850</v>
      </c>
      <c r="K11388" t="s">
        <v>42623</v>
      </c>
      <c r="M11388" t="s">
        <v>46525</v>
      </c>
      <c r="N11388" t="s">
        <v>47304</v>
      </c>
      <c r="O11388" t="s">
        <v>47305</v>
      </c>
      <c r="P11388">
        <v>0</v>
      </c>
      <c r="Q11388">
        <v>8</v>
      </c>
      <c r="R11388" t="s">
        <v>47315</v>
      </c>
      <c r="S11388" t="s">
        <v>47665</v>
      </c>
      <c r="T11388" t="s">
        <v>49390</v>
      </c>
      <c r="U11388" t="s">
        <v>58931</v>
      </c>
      <c r="W11388" t="s">
        <v>46525</v>
      </c>
      <c r="X11388" t="s">
        <v>47318</v>
      </c>
    </row>
    <row r="11389" spans="1:24">
      <c r="A11389">
        <f>HYPERLINK("https://www.philgeps.gov.ph/GEPSNONPILOT/Tender/SplashBidNoticeAbstractUI.aspx?menuIndex=3&amp;refID=7179750&amp;Result=3","7179750")</f>
        <v>0</v>
      </c>
      <c r="B11389" t="s">
        <v>1844</v>
      </c>
      <c r="C11389" t="s">
        <v>14617</v>
      </c>
      <c r="D11389" t="s">
        <v>19011</v>
      </c>
      <c r="E11389" t="s">
        <v>28784</v>
      </c>
      <c r="F11389" t="s">
        <v>32606</v>
      </c>
      <c r="G11389" t="s">
        <v>32613</v>
      </c>
      <c r="H11389" t="s">
        <v>32623</v>
      </c>
      <c r="I11389" t="s">
        <v>17648</v>
      </c>
      <c r="J11389" t="s">
        <v>32772</v>
      </c>
      <c r="K11389" t="s">
        <v>42646</v>
      </c>
      <c r="M11389" t="s">
        <v>44897</v>
      </c>
      <c r="N11389" t="s">
        <v>47304</v>
      </c>
      <c r="O11389" t="s">
        <v>47305</v>
      </c>
      <c r="P11389">
        <v>0</v>
      </c>
      <c r="Q11389">
        <v>1</v>
      </c>
      <c r="R11389" t="s">
        <v>47315</v>
      </c>
      <c r="S11389" t="s">
        <v>47665</v>
      </c>
      <c r="T11389" t="s">
        <v>49140</v>
      </c>
      <c r="U11389" t="s">
        <v>58932</v>
      </c>
      <c r="W11389" t="s">
        <v>44897</v>
      </c>
      <c r="X11389" t="s">
        <v>47318</v>
      </c>
    </row>
    <row r="11390" spans="1:24">
      <c r="A11390">
        <f>HYPERLINK("https://www.philgeps.gov.ph/GEPSNONPILOT/Tender/SplashBidNoticeAbstractUI.aspx?menuIndex=3&amp;refID=7179817&amp;Result=3","7179817")</f>
        <v>0</v>
      </c>
      <c r="B11390" t="s">
        <v>3064</v>
      </c>
      <c r="C11390" t="s">
        <v>14618</v>
      </c>
      <c r="D11390" t="s">
        <v>19008</v>
      </c>
      <c r="E11390" t="s">
        <v>28785</v>
      </c>
      <c r="F11390" t="s">
        <v>32606</v>
      </c>
      <c r="G11390" t="s">
        <v>32613</v>
      </c>
      <c r="H11390" t="s">
        <v>14201</v>
      </c>
      <c r="I11390" t="s">
        <v>32650</v>
      </c>
      <c r="J11390" t="s">
        <v>39851</v>
      </c>
      <c r="K11390" t="s">
        <v>42631</v>
      </c>
      <c r="M11390" t="s">
        <v>46526</v>
      </c>
      <c r="N11390" t="s">
        <v>47304</v>
      </c>
      <c r="O11390" t="s">
        <v>47305</v>
      </c>
      <c r="P11390">
        <v>0</v>
      </c>
      <c r="Q11390">
        <v>1</v>
      </c>
      <c r="R11390" t="s">
        <v>47315</v>
      </c>
      <c r="S11390" t="s">
        <v>47665</v>
      </c>
      <c r="T11390" t="s">
        <v>49240</v>
      </c>
      <c r="U11390" t="s">
        <v>58933</v>
      </c>
      <c r="W11390" t="s">
        <v>46526</v>
      </c>
      <c r="X11390" t="s">
        <v>47318</v>
      </c>
    </row>
    <row r="11391" spans="1:24">
      <c r="A11391">
        <f>HYPERLINK("https://www.philgeps.gov.ph/GEPSNONPILOT/Tender/SplashBidNoticeAbstractUI.aspx?menuIndex=3&amp;refID=7179653&amp;Result=3","7179653")</f>
        <v>0</v>
      </c>
      <c r="B11391" t="s">
        <v>617</v>
      </c>
      <c r="C11391" t="s">
        <v>14619</v>
      </c>
      <c r="D11391" t="s">
        <v>19058</v>
      </c>
      <c r="E11391" t="s">
        <v>28786</v>
      </c>
      <c r="F11391" t="s">
        <v>32606</v>
      </c>
      <c r="G11391" t="s">
        <v>32613</v>
      </c>
      <c r="H11391" t="s">
        <v>32623</v>
      </c>
      <c r="I11391" t="s">
        <v>17648</v>
      </c>
      <c r="J11391" t="s">
        <v>35368</v>
      </c>
      <c r="K11391" t="s">
        <v>42624</v>
      </c>
      <c r="M11391" t="s">
        <v>43535</v>
      </c>
      <c r="N11391" t="s">
        <v>47304</v>
      </c>
      <c r="O11391" t="s">
        <v>47305</v>
      </c>
      <c r="Q11391">
        <v>4</v>
      </c>
      <c r="R11391" t="s">
        <v>47315</v>
      </c>
      <c r="S11391" t="s">
        <v>47679</v>
      </c>
      <c r="T11391" t="s">
        <v>49037</v>
      </c>
      <c r="U11391" t="s">
        <v>58934</v>
      </c>
      <c r="V11391" t="s">
        <v>63870</v>
      </c>
      <c r="W11391" t="s">
        <v>43535</v>
      </c>
      <c r="X11391" t="s">
        <v>47318</v>
      </c>
    </row>
    <row r="11392" spans="1:24">
      <c r="A11392">
        <f>HYPERLINK("https://www.philgeps.gov.ph/GEPSNONPILOT/Tender/SplashBidNoticeAbstractUI.aspx?menuIndex=3&amp;refID=7179802&amp;Result=3","7179802")</f>
        <v>0</v>
      </c>
      <c r="B11392" t="s">
        <v>3064</v>
      </c>
      <c r="C11392" t="s">
        <v>14620</v>
      </c>
      <c r="D11392" t="s">
        <v>19083</v>
      </c>
      <c r="E11392" t="s">
        <v>28787</v>
      </c>
      <c r="F11392" t="s">
        <v>32606</v>
      </c>
      <c r="G11392" t="s">
        <v>32613</v>
      </c>
      <c r="H11392" t="s">
        <v>14201</v>
      </c>
      <c r="I11392" t="s">
        <v>32654</v>
      </c>
      <c r="J11392" t="s">
        <v>39852</v>
      </c>
      <c r="K11392" t="s">
        <v>42631</v>
      </c>
      <c r="M11392" t="s">
        <v>46526</v>
      </c>
      <c r="N11392" t="s">
        <v>47304</v>
      </c>
      <c r="O11392" t="s">
        <v>47305</v>
      </c>
      <c r="P11392">
        <v>0</v>
      </c>
      <c r="Q11392">
        <v>0</v>
      </c>
      <c r="R11392" t="s">
        <v>47315</v>
      </c>
      <c r="S11392" t="s">
        <v>47665</v>
      </c>
      <c r="T11392" t="s">
        <v>49240</v>
      </c>
      <c r="U11392" t="s">
        <v>58935</v>
      </c>
      <c r="W11392" t="s">
        <v>46526</v>
      </c>
      <c r="X11392" t="s">
        <v>47318</v>
      </c>
    </row>
    <row r="11393" spans="1:24">
      <c r="A11393">
        <f>HYPERLINK("https://www.philgeps.gov.ph/GEPSNONPILOT/Tender/SplashBidNoticeAbstractUI.aspx?menuIndex=3&amp;refID=7179811&amp;Result=3","7179811")</f>
        <v>0</v>
      </c>
      <c r="B11393" t="s">
        <v>3064</v>
      </c>
      <c r="C11393" t="s">
        <v>14621</v>
      </c>
      <c r="D11393" t="s">
        <v>19086</v>
      </c>
      <c r="E11393" t="s">
        <v>28788</v>
      </c>
      <c r="F11393" t="s">
        <v>32606</v>
      </c>
      <c r="G11393" t="s">
        <v>32613</v>
      </c>
      <c r="H11393" t="s">
        <v>14201</v>
      </c>
      <c r="I11393" t="s">
        <v>32660</v>
      </c>
      <c r="J11393" t="s">
        <v>32893</v>
      </c>
      <c r="K11393" t="s">
        <v>42648</v>
      </c>
      <c r="M11393" t="s">
        <v>46526</v>
      </c>
      <c r="N11393" t="s">
        <v>47304</v>
      </c>
      <c r="O11393" t="s">
        <v>47305</v>
      </c>
      <c r="P11393">
        <v>0</v>
      </c>
      <c r="Q11393">
        <v>0</v>
      </c>
      <c r="R11393" t="s">
        <v>47315</v>
      </c>
      <c r="S11393" t="s">
        <v>47665</v>
      </c>
      <c r="T11393" t="s">
        <v>49240</v>
      </c>
      <c r="U11393" t="s">
        <v>58936</v>
      </c>
      <c r="W11393" t="s">
        <v>46526</v>
      </c>
      <c r="X11393" t="s">
        <v>47318</v>
      </c>
    </row>
    <row r="11394" spans="1:24">
      <c r="A11394">
        <f>HYPERLINK("https://www.philgeps.gov.ph/GEPSNONPILOT/Tender/SplashBidNoticeAbstractUI.aspx?menuIndex=3&amp;refID=7179793&amp;Result=3","7179793")</f>
        <v>0</v>
      </c>
      <c r="B11394" t="s">
        <v>3064</v>
      </c>
      <c r="C11394" t="s">
        <v>14622</v>
      </c>
      <c r="D11394" t="s">
        <v>19008</v>
      </c>
      <c r="E11394" t="s">
        <v>28789</v>
      </c>
      <c r="F11394" t="s">
        <v>32606</v>
      </c>
      <c r="G11394" t="s">
        <v>32615</v>
      </c>
      <c r="H11394" t="s">
        <v>14201</v>
      </c>
      <c r="I11394" t="s">
        <v>32660</v>
      </c>
      <c r="J11394" t="s">
        <v>39853</v>
      </c>
      <c r="K11394" t="s">
        <v>42648</v>
      </c>
      <c r="M11394" t="s">
        <v>46526</v>
      </c>
      <c r="N11394" t="s">
        <v>47304</v>
      </c>
      <c r="O11394" t="s">
        <v>47305</v>
      </c>
      <c r="P11394">
        <v>0</v>
      </c>
      <c r="Q11394">
        <v>2</v>
      </c>
      <c r="R11394" t="s">
        <v>47315</v>
      </c>
      <c r="S11394" t="s">
        <v>47665</v>
      </c>
      <c r="T11394" t="s">
        <v>49422</v>
      </c>
      <c r="U11394" t="s">
        <v>58937</v>
      </c>
      <c r="W11394" t="s">
        <v>46526</v>
      </c>
      <c r="X11394" t="s">
        <v>47318</v>
      </c>
    </row>
    <row r="11395" spans="1:24">
      <c r="A11395">
        <f>HYPERLINK("https://www.philgeps.gov.ph/GEPSNONPILOT/Tender/SplashBidNoticeAbstractUI.aspx?menuIndex=3&amp;refID=7179824&amp;Result=3","7179824")</f>
        <v>0</v>
      </c>
      <c r="B11395" t="s">
        <v>3289</v>
      </c>
      <c r="C11395" t="s">
        <v>14623</v>
      </c>
      <c r="D11395" t="s">
        <v>18991</v>
      </c>
      <c r="E11395" t="s">
        <v>28790</v>
      </c>
      <c r="F11395" t="s">
        <v>32606</v>
      </c>
      <c r="G11395" t="s">
        <v>32613</v>
      </c>
      <c r="H11395" t="s">
        <v>14201</v>
      </c>
      <c r="I11395" t="s">
        <v>6931</v>
      </c>
      <c r="J11395" t="s">
        <v>36569</v>
      </c>
      <c r="K11395" t="s">
        <v>42622</v>
      </c>
      <c r="M11395" t="s">
        <v>46527</v>
      </c>
      <c r="N11395" t="s">
        <v>47304</v>
      </c>
      <c r="O11395" t="s">
        <v>47305</v>
      </c>
      <c r="P11395">
        <v>0</v>
      </c>
      <c r="Q11395">
        <v>1</v>
      </c>
      <c r="R11395" t="s">
        <v>47315</v>
      </c>
      <c r="S11395" t="s">
        <v>47665</v>
      </c>
      <c r="T11395" t="s">
        <v>49140</v>
      </c>
      <c r="U11395" t="s">
        <v>58938</v>
      </c>
      <c r="V11395" t="s">
        <v>63875</v>
      </c>
      <c r="W11395" t="s">
        <v>46527</v>
      </c>
      <c r="X11395" t="s">
        <v>47318</v>
      </c>
    </row>
    <row r="11396" spans="1:24">
      <c r="A11396">
        <f>HYPERLINK("https://www.philgeps.gov.ph/GEPSNONPILOT/Tender/SplashBidNoticeAbstractUI.aspx?menuIndex=3&amp;refID=7179763&amp;Result=3","7179763")</f>
        <v>0</v>
      </c>
      <c r="B11396" t="s">
        <v>1844</v>
      </c>
      <c r="C11396" t="s">
        <v>14624</v>
      </c>
      <c r="D11396" t="s">
        <v>19011</v>
      </c>
      <c r="E11396" t="s">
        <v>28791</v>
      </c>
      <c r="F11396" t="s">
        <v>32606</v>
      </c>
      <c r="G11396" t="s">
        <v>32613</v>
      </c>
      <c r="H11396" t="s">
        <v>32623</v>
      </c>
      <c r="I11396" t="s">
        <v>17648</v>
      </c>
      <c r="J11396" t="s">
        <v>39854</v>
      </c>
      <c r="K11396" t="s">
        <v>42649</v>
      </c>
      <c r="M11396" t="s">
        <v>44897</v>
      </c>
      <c r="N11396" t="s">
        <v>47304</v>
      </c>
      <c r="O11396" t="s">
        <v>47305</v>
      </c>
      <c r="P11396">
        <v>0</v>
      </c>
      <c r="Q11396">
        <v>1</v>
      </c>
      <c r="R11396" t="s">
        <v>47315</v>
      </c>
      <c r="S11396" t="s">
        <v>47665</v>
      </c>
      <c r="T11396" t="s">
        <v>49140</v>
      </c>
      <c r="U11396" t="s">
        <v>58939</v>
      </c>
      <c r="W11396" t="s">
        <v>44897</v>
      </c>
      <c r="X11396" t="s">
        <v>47318</v>
      </c>
    </row>
    <row r="11397" spans="1:24">
      <c r="A11397">
        <f>HYPERLINK("https://www.philgeps.gov.ph/GEPSNONPILOT/Tender/SplashBidNoticeAbstractUI.aspx?menuIndex=3&amp;refID=7179785&amp;Result=3","7179785")</f>
        <v>0</v>
      </c>
      <c r="B11397" t="s">
        <v>3290</v>
      </c>
      <c r="C11397" t="s">
        <v>14625</v>
      </c>
      <c r="D11397" t="s">
        <v>19057</v>
      </c>
      <c r="E11397" t="s">
        <v>28792</v>
      </c>
      <c r="F11397" t="s">
        <v>32606</v>
      </c>
      <c r="G11397" t="s">
        <v>32613</v>
      </c>
      <c r="H11397" t="s">
        <v>14201</v>
      </c>
      <c r="I11397" t="s">
        <v>4112</v>
      </c>
      <c r="J11397" t="s">
        <v>39855</v>
      </c>
      <c r="K11397" t="s">
        <v>42759</v>
      </c>
      <c r="M11397" t="s">
        <v>46528</v>
      </c>
      <c r="N11397" t="s">
        <v>47304</v>
      </c>
      <c r="O11397" t="s">
        <v>47305</v>
      </c>
      <c r="P11397">
        <v>0</v>
      </c>
      <c r="Q11397">
        <v>2</v>
      </c>
      <c r="R11397" t="s">
        <v>47315</v>
      </c>
      <c r="S11397" t="s">
        <v>47665</v>
      </c>
      <c r="T11397" t="s">
        <v>48976</v>
      </c>
      <c r="U11397" t="s">
        <v>58940</v>
      </c>
      <c r="W11397" t="s">
        <v>46528</v>
      </c>
      <c r="X11397" t="s">
        <v>47318</v>
      </c>
    </row>
    <row r="11398" spans="1:24">
      <c r="A11398">
        <f>HYPERLINK("https://www.philgeps.gov.ph/GEPSNONPILOT/Tender/SplashBidNoticeAbstractUI.aspx?menuIndex=3&amp;refID=7179770&amp;Result=3","7179770")</f>
        <v>0</v>
      </c>
      <c r="B11398" t="s">
        <v>3291</v>
      </c>
      <c r="C11398" t="s">
        <v>14626</v>
      </c>
      <c r="D11398" t="s">
        <v>18999</v>
      </c>
      <c r="E11398" t="s">
        <v>28793</v>
      </c>
      <c r="F11398" t="s">
        <v>32606</v>
      </c>
      <c r="G11398" t="s">
        <v>32613</v>
      </c>
      <c r="H11398" t="s">
        <v>32623</v>
      </c>
      <c r="I11398" t="s">
        <v>17648</v>
      </c>
      <c r="J11398" t="s">
        <v>39856</v>
      </c>
      <c r="K11398" t="s">
        <v>42624</v>
      </c>
      <c r="M11398" t="s">
        <v>46529</v>
      </c>
      <c r="N11398" t="s">
        <v>47304</v>
      </c>
      <c r="O11398" t="s">
        <v>47305</v>
      </c>
      <c r="Q11398">
        <v>40</v>
      </c>
      <c r="R11398" t="s">
        <v>47315</v>
      </c>
      <c r="S11398" t="s">
        <v>47680</v>
      </c>
      <c r="T11398" t="s">
        <v>49287</v>
      </c>
      <c r="U11398" t="s">
        <v>58941</v>
      </c>
      <c r="W11398" t="s">
        <v>46529</v>
      </c>
      <c r="X11398" t="s">
        <v>47318</v>
      </c>
    </row>
    <row r="11399" spans="1:24">
      <c r="A11399">
        <f>HYPERLINK("https://www.philgeps.gov.ph/GEPSNONPILOT/Tender/SplashBidNoticeAbstractUI.aspx?menuIndex=3&amp;refID=7179791&amp;Result=3","7179791")</f>
        <v>0</v>
      </c>
      <c r="B11399" t="s">
        <v>3289</v>
      </c>
      <c r="C11399" t="s">
        <v>14627</v>
      </c>
      <c r="D11399" t="s">
        <v>18991</v>
      </c>
      <c r="E11399" t="s">
        <v>28794</v>
      </c>
      <c r="F11399" t="s">
        <v>32606</v>
      </c>
      <c r="G11399" t="s">
        <v>32613</v>
      </c>
      <c r="H11399" t="s">
        <v>32623</v>
      </c>
      <c r="I11399" t="s">
        <v>17648</v>
      </c>
      <c r="J11399" t="s">
        <v>36574</v>
      </c>
      <c r="K11399" t="s">
        <v>42683</v>
      </c>
      <c r="M11399" t="s">
        <v>46527</v>
      </c>
      <c r="N11399" t="s">
        <v>47304</v>
      </c>
      <c r="O11399" t="s">
        <v>47305</v>
      </c>
      <c r="P11399">
        <v>0</v>
      </c>
      <c r="Q11399">
        <v>2</v>
      </c>
      <c r="R11399" t="s">
        <v>47315</v>
      </c>
      <c r="S11399" t="s">
        <v>47665</v>
      </c>
      <c r="T11399" t="s">
        <v>49066</v>
      </c>
      <c r="U11399" t="s">
        <v>58942</v>
      </c>
      <c r="V11399" t="s">
        <v>63875</v>
      </c>
      <c r="W11399" t="s">
        <v>46527</v>
      </c>
      <c r="X11399" t="s">
        <v>47318</v>
      </c>
    </row>
    <row r="11400" spans="1:24">
      <c r="A11400">
        <f>HYPERLINK("https://www.philgeps.gov.ph/GEPSNONPILOT/Tender/SplashBidNoticeAbstractUI.aspx?menuIndex=3&amp;refID=7179709&amp;Result=3","7179709")</f>
        <v>0</v>
      </c>
      <c r="B11400" t="s">
        <v>1238</v>
      </c>
      <c r="C11400" t="s">
        <v>14628</v>
      </c>
      <c r="D11400" t="s">
        <v>19022</v>
      </c>
      <c r="E11400" t="s">
        <v>28795</v>
      </c>
      <c r="F11400" t="s">
        <v>32606</v>
      </c>
      <c r="G11400" t="s">
        <v>32613</v>
      </c>
      <c r="H11400" t="s">
        <v>14201</v>
      </c>
      <c r="I11400" t="s">
        <v>32661</v>
      </c>
      <c r="J11400" t="s">
        <v>39857</v>
      </c>
      <c r="K11400" t="s">
        <v>42631</v>
      </c>
      <c r="M11400" t="s">
        <v>44203</v>
      </c>
      <c r="N11400" t="s">
        <v>47304</v>
      </c>
      <c r="O11400" t="s">
        <v>47305</v>
      </c>
      <c r="P11400">
        <v>0</v>
      </c>
      <c r="Q11400">
        <v>9</v>
      </c>
      <c r="R11400" t="s">
        <v>47315</v>
      </c>
      <c r="S11400" t="s">
        <v>47665</v>
      </c>
      <c r="T11400" t="s">
        <v>49324</v>
      </c>
      <c r="U11400" t="s">
        <v>57587</v>
      </c>
      <c r="W11400" t="s">
        <v>44203</v>
      </c>
      <c r="X11400" t="s">
        <v>47318</v>
      </c>
    </row>
    <row r="11401" spans="1:24">
      <c r="A11401">
        <f>HYPERLINK("https://www.philgeps.gov.ph/GEPSNONPILOT/Tender/SplashBidNoticeAbstractUI.aspx?menuIndex=3&amp;refID=7179730&amp;Result=3","7179730")</f>
        <v>0</v>
      </c>
      <c r="B11401" t="s">
        <v>3185</v>
      </c>
      <c r="C11401" t="s">
        <v>14629</v>
      </c>
      <c r="D11401" t="s">
        <v>19004</v>
      </c>
      <c r="E11401" t="s">
        <v>20544</v>
      </c>
      <c r="F11401" t="s">
        <v>32606</v>
      </c>
      <c r="G11401" t="s">
        <v>32613</v>
      </c>
      <c r="H11401" t="s">
        <v>14201</v>
      </c>
      <c r="I11401" t="s">
        <v>6931</v>
      </c>
      <c r="J11401" t="s">
        <v>32789</v>
      </c>
      <c r="K11401" t="s">
        <v>42623</v>
      </c>
      <c r="M11401" t="s">
        <v>46409</v>
      </c>
      <c r="N11401" t="s">
        <v>47304</v>
      </c>
      <c r="O11401" t="s">
        <v>47305</v>
      </c>
      <c r="P11401">
        <v>0</v>
      </c>
      <c r="Q11401">
        <v>1</v>
      </c>
      <c r="R11401" t="s">
        <v>47315</v>
      </c>
      <c r="S11401" t="s">
        <v>47665</v>
      </c>
      <c r="T11401" t="s">
        <v>49006</v>
      </c>
      <c r="U11401" t="s">
        <v>58943</v>
      </c>
      <c r="W11401" t="s">
        <v>46409</v>
      </c>
      <c r="X11401" t="s">
        <v>47318</v>
      </c>
    </row>
    <row r="11402" spans="1:24">
      <c r="A11402">
        <f>HYPERLINK("https://www.philgeps.gov.ph/GEPSNONPILOT/Tender/SplashBidNoticeAbstractUI.aspx?menuIndex=3&amp;refID=7179896&amp;Result=3","7179896")</f>
        <v>0</v>
      </c>
      <c r="B11402" t="s">
        <v>3292</v>
      </c>
      <c r="C11402" t="s">
        <v>14630</v>
      </c>
      <c r="D11402" t="s">
        <v>19048</v>
      </c>
      <c r="E11402" t="s">
        <v>28796</v>
      </c>
      <c r="F11402" t="s">
        <v>32606</v>
      </c>
      <c r="G11402" t="s">
        <v>32613</v>
      </c>
      <c r="H11402" t="s">
        <v>32623</v>
      </c>
      <c r="I11402" t="s">
        <v>17648</v>
      </c>
      <c r="J11402" t="s">
        <v>33102</v>
      </c>
      <c r="K11402" t="s">
        <v>42636</v>
      </c>
      <c r="M11402" t="s">
        <v>46530</v>
      </c>
      <c r="N11402" t="s">
        <v>47304</v>
      </c>
      <c r="O11402" t="s">
        <v>47305</v>
      </c>
      <c r="P11402">
        <v>0</v>
      </c>
      <c r="Q11402">
        <v>0</v>
      </c>
      <c r="R11402" t="s">
        <v>47315</v>
      </c>
      <c r="S11402" t="s">
        <v>47665</v>
      </c>
      <c r="T11402" t="s">
        <v>49099</v>
      </c>
      <c r="U11402" t="s">
        <v>58944</v>
      </c>
      <c r="W11402" t="s">
        <v>46530</v>
      </c>
      <c r="X11402" t="s">
        <v>47318</v>
      </c>
    </row>
    <row r="11403" spans="1:24">
      <c r="A11403">
        <f>HYPERLINK("https://www.philgeps.gov.ph/GEPSNONPILOT/Tender/SplashBidNoticeAbstractUI.aspx?menuIndex=3&amp;refID=7179825&amp;Result=3","7179825")</f>
        <v>0</v>
      </c>
      <c r="B11403" t="s">
        <v>3064</v>
      </c>
      <c r="C11403" t="s">
        <v>14631</v>
      </c>
      <c r="D11403" t="s">
        <v>19086</v>
      </c>
      <c r="E11403" t="s">
        <v>28797</v>
      </c>
      <c r="F11403" t="s">
        <v>32606</v>
      </c>
      <c r="G11403" t="s">
        <v>32613</v>
      </c>
      <c r="H11403" t="s">
        <v>14201</v>
      </c>
      <c r="I11403" t="s">
        <v>32660</v>
      </c>
      <c r="J11403" t="s">
        <v>32821</v>
      </c>
      <c r="K11403" t="s">
        <v>42648</v>
      </c>
      <c r="M11403" t="s">
        <v>46526</v>
      </c>
      <c r="N11403" t="s">
        <v>47304</v>
      </c>
      <c r="O11403" t="s">
        <v>47305</v>
      </c>
      <c r="P11403">
        <v>0</v>
      </c>
      <c r="Q11403">
        <v>0</v>
      </c>
      <c r="R11403" t="s">
        <v>47315</v>
      </c>
      <c r="S11403" t="s">
        <v>47665</v>
      </c>
      <c r="T11403" t="s">
        <v>49240</v>
      </c>
      <c r="U11403" t="s">
        <v>58945</v>
      </c>
      <c r="W11403" t="s">
        <v>46526</v>
      </c>
      <c r="X11403" t="s">
        <v>47318</v>
      </c>
    </row>
    <row r="11404" spans="1:24">
      <c r="A11404">
        <f>HYPERLINK("https://www.philgeps.gov.ph/GEPSNONPILOT/Tender/SplashBidNoticeAbstractUI.aspx?menuIndex=3&amp;refID=7179884&amp;Result=3","7179884")</f>
        <v>0</v>
      </c>
      <c r="B11404" t="s">
        <v>1899</v>
      </c>
      <c r="C11404" t="s">
        <v>14632</v>
      </c>
      <c r="D11404" t="s">
        <v>19041</v>
      </c>
      <c r="E11404" t="s">
        <v>28798</v>
      </c>
      <c r="F11404" t="s">
        <v>32606</v>
      </c>
      <c r="G11404" t="s">
        <v>32613</v>
      </c>
      <c r="H11404" t="s">
        <v>32623</v>
      </c>
      <c r="I11404" t="s">
        <v>17648</v>
      </c>
      <c r="J11404" t="s">
        <v>39858</v>
      </c>
      <c r="K11404" t="s">
        <v>42636</v>
      </c>
      <c r="M11404" t="s">
        <v>44958</v>
      </c>
      <c r="N11404" t="s">
        <v>47304</v>
      </c>
      <c r="O11404" t="s">
        <v>47305</v>
      </c>
      <c r="P11404">
        <v>0</v>
      </c>
      <c r="Q11404">
        <v>0</v>
      </c>
      <c r="R11404" t="s">
        <v>47315</v>
      </c>
      <c r="S11404" t="s">
        <v>47665</v>
      </c>
      <c r="T11404" t="s">
        <v>49348</v>
      </c>
      <c r="U11404" t="s">
        <v>58946</v>
      </c>
      <c r="W11404" t="s">
        <v>44958</v>
      </c>
      <c r="X11404" t="s">
        <v>47318</v>
      </c>
    </row>
    <row r="11405" spans="1:24">
      <c r="A11405">
        <f>HYPERLINK("https://www.philgeps.gov.ph/GEPSNONPILOT/Tender/SplashBidNoticeAbstractUI.aspx?menuIndex=3&amp;refID=7179899&amp;Result=3","7179899")</f>
        <v>0</v>
      </c>
      <c r="B11405" t="s">
        <v>1748</v>
      </c>
      <c r="C11405" t="s">
        <v>14633</v>
      </c>
      <c r="D11405" t="s">
        <v>18993</v>
      </c>
      <c r="E11405" t="s">
        <v>21769</v>
      </c>
      <c r="F11405" t="s">
        <v>32606</v>
      </c>
      <c r="G11405" t="s">
        <v>32613</v>
      </c>
      <c r="H11405" t="s">
        <v>14201</v>
      </c>
      <c r="I11405" t="s">
        <v>32638</v>
      </c>
      <c r="J11405" t="s">
        <v>39859</v>
      </c>
      <c r="K11405" t="s">
        <v>42636</v>
      </c>
      <c r="M11405" t="s">
        <v>44783</v>
      </c>
      <c r="N11405" t="s">
        <v>47304</v>
      </c>
      <c r="O11405" t="s">
        <v>47305</v>
      </c>
      <c r="P11405">
        <v>0</v>
      </c>
      <c r="Q11405">
        <v>52</v>
      </c>
      <c r="R11405" t="s">
        <v>47315</v>
      </c>
      <c r="S11405" t="s">
        <v>47665</v>
      </c>
      <c r="T11405" t="s">
        <v>49052</v>
      </c>
      <c r="U11405" t="s">
        <v>58947</v>
      </c>
      <c r="W11405" t="s">
        <v>44783</v>
      </c>
      <c r="X11405" t="s">
        <v>47318</v>
      </c>
    </row>
    <row r="11406" spans="1:24">
      <c r="A11406">
        <f>HYPERLINK("https://www.philgeps.gov.ph/GEPSNONPILOT/Tender/SplashBidNoticeAbstractUI.aspx?menuIndex=3&amp;refID=7179876&amp;Result=3","7179876")</f>
        <v>0</v>
      </c>
      <c r="B11406" t="s">
        <v>1694</v>
      </c>
      <c r="C11406" t="s">
        <v>14634</v>
      </c>
      <c r="D11406" t="s">
        <v>19061</v>
      </c>
      <c r="E11406" t="s">
        <v>28799</v>
      </c>
      <c r="F11406" t="s">
        <v>32606</v>
      </c>
      <c r="G11406" t="s">
        <v>32613</v>
      </c>
      <c r="H11406" t="s">
        <v>32623</v>
      </c>
      <c r="I11406" t="s">
        <v>17648</v>
      </c>
      <c r="J11406" t="s">
        <v>32772</v>
      </c>
      <c r="K11406" t="s">
        <v>42636</v>
      </c>
      <c r="M11406" t="s">
        <v>44723</v>
      </c>
      <c r="N11406" t="s">
        <v>47304</v>
      </c>
      <c r="O11406" t="s">
        <v>47305</v>
      </c>
      <c r="P11406">
        <v>0</v>
      </c>
      <c r="Q11406">
        <v>6</v>
      </c>
      <c r="R11406" t="s">
        <v>47315</v>
      </c>
      <c r="S11406" t="s">
        <v>47665</v>
      </c>
      <c r="T11406" t="s">
        <v>49269</v>
      </c>
      <c r="U11406" t="s">
        <v>58948</v>
      </c>
      <c r="W11406" t="s">
        <v>44723</v>
      </c>
      <c r="X11406" t="s">
        <v>47318</v>
      </c>
    </row>
    <row r="11407" spans="1:24">
      <c r="A11407">
        <f>HYPERLINK("https://www.philgeps.gov.ph/GEPSNONPILOT/Tender/SplashBidNoticeAbstractUI.aspx?menuIndex=3&amp;refID=7179874&amp;Result=3","7179874")</f>
        <v>0</v>
      </c>
      <c r="B11407" t="s">
        <v>652</v>
      </c>
      <c r="C11407" t="s">
        <v>14635</v>
      </c>
      <c r="D11407" t="s">
        <v>18993</v>
      </c>
      <c r="E11407" t="s">
        <v>28800</v>
      </c>
      <c r="F11407" t="s">
        <v>32606</v>
      </c>
      <c r="G11407" t="s">
        <v>32613</v>
      </c>
      <c r="H11407" t="s">
        <v>14201</v>
      </c>
      <c r="I11407" t="s">
        <v>32634</v>
      </c>
      <c r="J11407" t="s">
        <v>39860</v>
      </c>
      <c r="K11407" t="s">
        <v>42625</v>
      </c>
      <c r="M11407" t="s">
        <v>46531</v>
      </c>
      <c r="N11407" t="s">
        <v>47304</v>
      </c>
      <c r="O11407" t="s">
        <v>47305</v>
      </c>
      <c r="P11407">
        <v>0</v>
      </c>
      <c r="Q11407">
        <v>11</v>
      </c>
      <c r="R11407" t="s">
        <v>47315</v>
      </c>
      <c r="S11407" t="s">
        <v>47665</v>
      </c>
      <c r="T11407" t="s">
        <v>48970</v>
      </c>
      <c r="U11407" t="s">
        <v>58949</v>
      </c>
      <c r="V11407" t="s">
        <v>63876</v>
      </c>
      <c r="W11407" t="s">
        <v>46531</v>
      </c>
      <c r="X11407" t="s">
        <v>47318</v>
      </c>
    </row>
    <row r="11408" spans="1:24">
      <c r="A11408">
        <f>HYPERLINK("https://www.philgeps.gov.ph/GEPSNONPILOT/Tender/SplashBidNoticeAbstractUI.aspx?menuIndex=3&amp;refID=7179860&amp;Result=3","7179860")</f>
        <v>0</v>
      </c>
      <c r="B11408" t="s">
        <v>3292</v>
      </c>
      <c r="C11408" t="s">
        <v>14636</v>
      </c>
      <c r="D11408" t="s">
        <v>19048</v>
      </c>
      <c r="E11408" t="s">
        <v>28801</v>
      </c>
      <c r="F11408" t="s">
        <v>32606</v>
      </c>
      <c r="G11408" t="s">
        <v>32613</v>
      </c>
      <c r="H11408" t="s">
        <v>14201</v>
      </c>
      <c r="I11408" t="s">
        <v>7064</v>
      </c>
      <c r="J11408" t="s">
        <v>33102</v>
      </c>
      <c r="K11408" t="s">
        <v>42636</v>
      </c>
      <c r="M11408" t="s">
        <v>46530</v>
      </c>
      <c r="N11408" t="s">
        <v>47304</v>
      </c>
      <c r="O11408" t="s">
        <v>47305</v>
      </c>
      <c r="P11408">
        <v>0</v>
      </c>
      <c r="Q11408">
        <v>0</v>
      </c>
      <c r="R11408" t="s">
        <v>47315</v>
      </c>
      <c r="S11408" t="s">
        <v>47665</v>
      </c>
      <c r="T11408" t="s">
        <v>49099</v>
      </c>
      <c r="U11408" t="s">
        <v>58950</v>
      </c>
      <c r="W11408" t="s">
        <v>46530</v>
      </c>
      <c r="X11408" t="s">
        <v>47318</v>
      </c>
    </row>
    <row r="11409" spans="1:24">
      <c r="A11409">
        <f>HYPERLINK("https://www.philgeps.gov.ph/GEPSNONPILOT/Tender/SplashBidNoticeAbstractUI.aspx?menuIndex=3&amp;refID=7179904&amp;Result=3","7179904")</f>
        <v>0</v>
      </c>
      <c r="B11409" t="s">
        <v>3292</v>
      </c>
      <c r="C11409" t="s">
        <v>14637</v>
      </c>
      <c r="D11409" t="s">
        <v>19048</v>
      </c>
      <c r="E11409" t="s">
        <v>28802</v>
      </c>
      <c r="F11409" t="s">
        <v>32606</v>
      </c>
      <c r="G11409" t="s">
        <v>32613</v>
      </c>
      <c r="H11409" t="s">
        <v>32623</v>
      </c>
      <c r="I11409" t="s">
        <v>17648</v>
      </c>
      <c r="J11409" t="s">
        <v>32778</v>
      </c>
      <c r="K11409" t="s">
        <v>42636</v>
      </c>
      <c r="M11409" t="s">
        <v>46530</v>
      </c>
      <c r="N11409" t="s">
        <v>47304</v>
      </c>
      <c r="O11409" t="s">
        <v>47305</v>
      </c>
      <c r="P11409">
        <v>0</v>
      </c>
      <c r="Q11409">
        <v>0</v>
      </c>
      <c r="R11409" t="s">
        <v>47315</v>
      </c>
      <c r="S11409" t="s">
        <v>47665</v>
      </c>
      <c r="T11409" t="s">
        <v>49099</v>
      </c>
      <c r="U11409" t="s">
        <v>58951</v>
      </c>
      <c r="W11409" t="s">
        <v>46530</v>
      </c>
      <c r="X11409" t="s">
        <v>47318</v>
      </c>
    </row>
    <row r="11410" spans="1:24">
      <c r="A11410">
        <f>HYPERLINK("https://www.philgeps.gov.ph/GEPSNONPILOT/Tender/SplashBidNoticeAbstractUI.aspx?menuIndex=3&amp;refID=7179877&amp;Result=3","7179877")</f>
        <v>0</v>
      </c>
      <c r="B11410" t="s">
        <v>3292</v>
      </c>
      <c r="C11410" t="s">
        <v>14638</v>
      </c>
      <c r="D11410" t="s">
        <v>19048</v>
      </c>
      <c r="E11410" t="s">
        <v>28803</v>
      </c>
      <c r="F11410" t="s">
        <v>32606</v>
      </c>
      <c r="G11410" t="s">
        <v>32613</v>
      </c>
      <c r="H11410" t="s">
        <v>14201</v>
      </c>
      <c r="I11410" t="s">
        <v>6007</v>
      </c>
      <c r="J11410" t="s">
        <v>39861</v>
      </c>
      <c r="K11410" t="s">
        <v>42712</v>
      </c>
      <c r="M11410" t="s">
        <v>46530</v>
      </c>
      <c r="N11410" t="s">
        <v>47304</v>
      </c>
      <c r="O11410" t="s">
        <v>47305</v>
      </c>
      <c r="P11410">
        <v>0</v>
      </c>
      <c r="Q11410">
        <v>1</v>
      </c>
      <c r="R11410" t="s">
        <v>47315</v>
      </c>
      <c r="S11410" t="s">
        <v>47665</v>
      </c>
      <c r="T11410" t="s">
        <v>49099</v>
      </c>
      <c r="U11410" t="s">
        <v>58952</v>
      </c>
      <c r="W11410" t="s">
        <v>46530</v>
      </c>
      <c r="X11410" t="s">
        <v>47318</v>
      </c>
    </row>
    <row r="11411" spans="1:24">
      <c r="A11411">
        <f>HYPERLINK("https://www.philgeps.gov.ph/GEPSNONPILOT/Tender/SplashBidNoticeAbstractUI.aspx?menuIndex=3&amp;refID=7179941&amp;Result=3","7179941")</f>
        <v>0</v>
      </c>
      <c r="B11411" t="s">
        <v>1899</v>
      </c>
      <c r="C11411" t="s">
        <v>14639</v>
      </c>
      <c r="D11411" t="s">
        <v>19041</v>
      </c>
      <c r="E11411" t="s">
        <v>28804</v>
      </c>
      <c r="F11411" t="s">
        <v>32606</v>
      </c>
      <c r="G11411" t="s">
        <v>32613</v>
      </c>
      <c r="H11411" t="s">
        <v>32623</v>
      </c>
      <c r="I11411" t="s">
        <v>17648</v>
      </c>
      <c r="J11411" t="s">
        <v>39862</v>
      </c>
      <c r="K11411" t="s">
        <v>42770</v>
      </c>
      <c r="M11411" t="s">
        <v>44958</v>
      </c>
      <c r="N11411" t="s">
        <v>47304</v>
      </c>
      <c r="O11411" t="s">
        <v>47305</v>
      </c>
      <c r="P11411">
        <v>0</v>
      </c>
      <c r="Q11411">
        <v>0</v>
      </c>
      <c r="R11411" t="s">
        <v>47315</v>
      </c>
      <c r="S11411" t="s">
        <v>47665</v>
      </c>
      <c r="T11411" t="s">
        <v>49348</v>
      </c>
      <c r="U11411" t="s">
        <v>58953</v>
      </c>
      <c r="W11411" t="s">
        <v>44958</v>
      </c>
      <c r="X11411" t="s">
        <v>47318</v>
      </c>
    </row>
    <row r="11412" spans="1:24">
      <c r="A11412">
        <f>HYPERLINK("https://www.philgeps.gov.ph/GEPSNONPILOT/Tender/SplashBidNoticeAbstractUI.aspx?menuIndex=3&amp;refID=7179863&amp;Result=3","7179863")</f>
        <v>0</v>
      </c>
      <c r="B11412" t="s">
        <v>3292</v>
      </c>
      <c r="C11412" t="s">
        <v>14640</v>
      </c>
      <c r="D11412" t="s">
        <v>19048</v>
      </c>
      <c r="E11412" t="s">
        <v>28805</v>
      </c>
      <c r="F11412" t="s">
        <v>32606</v>
      </c>
      <c r="G11412" t="s">
        <v>32613</v>
      </c>
      <c r="H11412" t="s">
        <v>14201</v>
      </c>
      <c r="I11412" t="s">
        <v>7064</v>
      </c>
      <c r="J11412" t="s">
        <v>39863</v>
      </c>
      <c r="K11412" t="s">
        <v>42636</v>
      </c>
      <c r="M11412" t="s">
        <v>46530</v>
      </c>
      <c r="N11412" t="s">
        <v>47304</v>
      </c>
      <c r="O11412" t="s">
        <v>47305</v>
      </c>
      <c r="P11412">
        <v>0</v>
      </c>
      <c r="Q11412">
        <v>3</v>
      </c>
      <c r="R11412" t="s">
        <v>47315</v>
      </c>
      <c r="S11412" t="s">
        <v>47665</v>
      </c>
      <c r="T11412" t="s">
        <v>49099</v>
      </c>
      <c r="U11412" t="s">
        <v>58954</v>
      </c>
      <c r="W11412" t="s">
        <v>46530</v>
      </c>
      <c r="X11412" t="s">
        <v>47318</v>
      </c>
    </row>
    <row r="11413" spans="1:24">
      <c r="A11413">
        <f>HYPERLINK("https://www.philgeps.gov.ph/GEPSNONPILOT/Tender/SplashBidNoticeAbstractUI.aspx?menuIndex=3&amp;refID=7179936&amp;Result=3","7179936")</f>
        <v>0</v>
      </c>
      <c r="B11413" t="s">
        <v>3292</v>
      </c>
      <c r="C11413" t="s">
        <v>14641</v>
      </c>
      <c r="D11413" t="s">
        <v>19048</v>
      </c>
      <c r="E11413" t="s">
        <v>28806</v>
      </c>
      <c r="F11413" t="s">
        <v>32606</v>
      </c>
      <c r="G11413" t="s">
        <v>32613</v>
      </c>
      <c r="H11413" t="s">
        <v>32623</v>
      </c>
      <c r="I11413" t="s">
        <v>17648</v>
      </c>
      <c r="J11413" t="s">
        <v>35368</v>
      </c>
      <c r="K11413" t="s">
        <v>42636</v>
      </c>
      <c r="M11413" t="s">
        <v>46530</v>
      </c>
      <c r="N11413" t="s">
        <v>47304</v>
      </c>
      <c r="O11413" t="s">
        <v>47305</v>
      </c>
      <c r="P11413">
        <v>0</v>
      </c>
      <c r="Q11413">
        <v>0</v>
      </c>
      <c r="R11413" t="s">
        <v>47315</v>
      </c>
      <c r="S11413" t="s">
        <v>47665</v>
      </c>
      <c r="T11413" t="s">
        <v>49099</v>
      </c>
      <c r="U11413" t="s">
        <v>58955</v>
      </c>
      <c r="W11413" t="s">
        <v>46530</v>
      </c>
      <c r="X11413" t="s">
        <v>47318</v>
      </c>
    </row>
    <row r="11414" spans="1:24">
      <c r="A11414">
        <f>HYPERLINK("https://www.philgeps.gov.ph/GEPSNONPILOT/Tender/SplashBidNoticeAbstractUI.aspx?menuIndex=3&amp;refID=7179933&amp;Result=3","7179933")</f>
        <v>0</v>
      </c>
      <c r="B11414" t="s">
        <v>1899</v>
      </c>
      <c r="C11414" t="s">
        <v>14642</v>
      </c>
      <c r="D11414" t="s">
        <v>19041</v>
      </c>
      <c r="E11414" t="s">
        <v>28807</v>
      </c>
      <c r="F11414" t="s">
        <v>32606</v>
      </c>
      <c r="G11414" t="s">
        <v>32613</v>
      </c>
      <c r="H11414" t="s">
        <v>32623</v>
      </c>
      <c r="I11414" t="s">
        <v>17648</v>
      </c>
      <c r="J11414" t="s">
        <v>39864</v>
      </c>
      <c r="K11414" t="s">
        <v>42816</v>
      </c>
      <c r="M11414" t="s">
        <v>44958</v>
      </c>
      <c r="N11414" t="s">
        <v>47304</v>
      </c>
      <c r="O11414" t="s">
        <v>47305</v>
      </c>
      <c r="P11414">
        <v>0</v>
      </c>
      <c r="Q11414">
        <v>0</v>
      </c>
      <c r="R11414" t="s">
        <v>47315</v>
      </c>
      <c r="S11414" t="s">
        <v>47665</v>
      </c>
      <c r="T11414" t="s">
        <v>49348</v>
      </c>
      <c r="U11414" t="s">
        <v>58956</v>
      </c>
      <c r="W11414" t="s">
        <v>44958</v>
      </c>
      <c r="X11414" t="s">
        <v>47318</v>
      </c>
    </row>
    <row r="11415" spans="1:24">
      <c r="A11415">
        <f>HYPERLINK("https://www.philgeps.gov.ph/GEPSNONPILOT/Tender/SplashBidNoticeAbstractUI.aspx?menuIndex=3&amp;refID=7179851&amp;Result=3","7179851")</f>
        <v>0</v>
      </c>
      <c r="B11415" t="s">
        <v>467</v>
      </c>
      <c r="C11415" t="s">
        <v>14643</v>
      </c>
      <c r="E11415" t="s">
        <v>28808</v>
      </c>
      <c r="F11415" t="s">
        <v>32606</v>
      </c>
      <c r="G11415" t="s">
        <v>32615</v>
      </c>
      <c r="H11415" t="s">
        <v>32623</v>
      </c>
      <c r="I11415" t="s">
        <v>17648</v>
      </c>
      <c r="J11415" t="s">
        <v>39865</v>
      </c>
      <c r="K11415" t="s">
        <v>42624</v>
      </c>
      <c r="M11415" t="s">
        <v>46532</v>
      </c>
      <c r="N11415" t="s">
        <v>47304</v>
      </c>
      <c r="O11415" t="s">
        <v>47305</v>
      </c>
      <c r="Q11415">
        <v>10</v>
      </c>
      <c r="R11415" t="s">
        <v>47315</v>
      </c>
      <c r="S11415" t="s">
        <v>47681</v>
      </c>
      <c r="T11415" t="s">
        <v>49099</v>
      </c>
      <c r="U11415" t="s">
        <v>58957</v>
      </c>
      <c r="W11415" t="s">
        <v>46532</v>
      </c>
      <c r="X11415" t="s">
        <v>47318</v>
      </c>
    </row>
    <row r="11416" spans="1:24">
      <c r="A11416">
        <f>HYPERLINK("https://www.philgeps.gov.ph/GEPSNONPILOT/Tender/SplashBidNoticeAbstractUI.aspx?menuIndex=3&amp;refID=7179911&amp;Result=3","7179911")</f>
        <v>0</v>
      </c>
      <c r="B11416" t="s">
        <v>3292</v>
      </c>
      <c r="C11416" t="s">
        <v>14644</v>
      </c>
      <c r="D11416" t="s">
        <v>19048</v>
      </c>
      <c r="E11416" t="s">
        <v>28809</v>
      </c>
      <c r="F11416" t="s">
        <v>32606</v>
      </c>
      <c r="G11416" t="s">
        <v>32613</v>
      </c>
      <c r="H11416" t="s">
        <v>32623</v>
      </c>
      <c r="I11416" t="s">
        <v>17648</v>
      </c>
      <c r="J11416" t="s">
        <v>32767</v>
      </c>
      <c r="K11416" t="s">
        <v>42648</v>
      </c>
      <c r="M11416" t="s">
        <v>46530</v>
      </c>
      <c r="N11416" t="s">
        <v>47304</v>
      </c>
      <c r="O11416" t="s">
        <v>47305</v>
      </c>
      <c r="P11416">
        <v>0</v>
      </c>
      <c r="Q11416">
        <v>1</v>
      </c>
      <c r="R11416" t="s">
        <v>47315</v>
      </c>
      <c r="S11416" t="s">
        <v>47665</v>
      </c>
      <c r="T11416" t="s">
        <v>49099</v>
      </c>
      <c r="U11416" t="s">
        <v>58958</v>
      </c>
      <c r="W11416" t="s">
        <v>46530</v>
      </c>
      <c r="X11416" t="s">
        <v>47318</v>
      </c>
    </row>
    <row r="11417" spans="1:24">
      <c r="A11417">
        <f>HYPERLINK("https://www.philgeps.gov.ph/GEPSNONPILOT/Tender/SplashBidNoticeAbstractUI.aspx?menuIndex=3&amp;refID=7179950&amp;Result=3","7179950")</f>
        <v>0</v>
      </c>
      <c r="B11417" t="s">
        <v>1899</v>
      </c>
      <c r="C11417" t="s">
        <v>14645</v>
      </c>
      <c r="D11417" t="s">
        <v>19041</v>
      </c>
      <c r="E11417" t="s">
        <v>28810</v>
      </c>
      <c r="F11417" t="s">
        <v>32606</v>
      </c>
      <c r="G11417" t="s">
        <v>32613</v>
      </c>
      <c r="H11417" t="s">
        <v>32623</v>
      </c>
      <c r="I11417" t="s">
        <v>17648</v>
      </c>
      <c r="J11417" t="s">
        <v>39866</v>
      </c>
      <c r="K11417" t="s">
        <v>42771</v>
      </c>
      <c r="M11417" t="s">
        <v>44958</v>
      </c>
      <c r="N11417" t="s">
        <v>47304</v>
      </c>
      <c r="O11417" t="s">
        <v>47305</v>
      </c>
      <c r="P11417">
        <v>0</v>
      </c>
      <c r="Q11417">
        <v>0</v>
      </c>
      <c r="R11417" t="s">
        <v>47315</v>
      </c>
      <c r="S11417" t="s">
        <v>47665</v>
      </c>
      <c r="T11417" t="s">
        <v>49348</v>
      </c>
      <c r="U11417" t="s">
        <v>58959</v>
      </c>
      <c r="W11417" t="s">
        <v>44958</v>
      </c>
      <c r="X11417" t="s">
        <v>47318</v>
      </c>
    </row>
    <row r="11418" spans="1:24">
      <c r="A11418">
        <f>HYPERLINK("https://www.philgeps.gov.ph/GEPSNONPILOT/Tender/SplashBidNoticeAbstractUI.aspx?menuIndex=3&amp;refID=7179944&amp;Result=3","7179944")</f>
        <v>0</v>
      </c>
      <c r="B11418" t="s">
        <v>1899</v>
      </c>
      <c r="C11418" t="s">
        <v>14646</v>
      </c>
      <c r="D11418" t="s">
        <v>19041</v>
      </c>
      <c r="E11418" t="s">
        <v>28811</v>
      </c>
      <c r="F11418" t="s">
        <v>32606</v>
      </c>
      <c r="G11418" t="s">
        <v>32613</v>
      </c>
      <c r="H11418" t="s">
        <v>32623</v>
      </c>
      <c r="I11418" t="s">
        <v>17648</v>
      </c>
      <c r="J11418" t="s">
        <v>39867</v>
      </c>
      <c r="K11418" t="s">
        <v>42778</v>
      </c>
      <c r="M11418" t="s">
        <v>44958</v>
      </c>
      <c r="N11418" t="s">
        <v>47304</v>
      </c>
      <c r="O11418" t="s">
        <v>47305</v>
      </c>
      <c r="P11418">
        <v>0</v>
      </c>
      <c r="Q11418">
        <v>0</v>
      </c>
      <c r="R11418" t="s">
        <v>47315</v>
      </c>
      <c r="S11418" t="s">
        <v>47665</v>
      </c>
      <c r="T11418" t="s">
        <v>49348</v>
      </c>
      <c r="U11418" t="s">
        <v>58960</v>
      </c>
      <c r="W11418" t="s">
        <v>44958</v>
      </c>
      <c r="X11418" t="s">
        <v>47318</v>
      </c>
    </row>
    <row r="11419" spans="1:24">
      <c r="A11419">
        <f>HYPERLINK("https://www.philgeps.gov.ph/GEPSNONPILOT/Tender/SplashBidNoticeAbstractUI.aspx?menuIndex=3&amp;refID=7179926&amp;Result=3","7179926")</f>
        <v>0</v>
      </c>
      <c r="B11419" t="s">
        <v>3292</v>
      </c>
      <c r="C11419" t="s">
        <v>14647</v>
      </c>
      <c r="D11419" t="s">
        <v>19048</v>
      </c>
      <c r="E11419" t="s">
        <v>28812</v>
      </c>
      <c r="F11419" t="s">
        <v>32606</v>
      </c>
      <c r="G11419" t="s">
        <v>32613</v>
      </c>
      <c r="H11419" t="s">
        <v>32623</v>
      </c>
      <c r="I11419" t="s">
        <v>17648</v>
      </c>
      <c r="J11419" t="s">
        <v>32767</v>
      </c>
      <c r="K11419" t="s">
        <v>42676</v>
      </c>
      <c r="M11419" t="s">
        <v>46530</v>
      </c>
      <c r="N11419" t="s">
        <v>47304</v>
      </c>
      <c r="O11419" t="s">
        <v>47305</v>
      </c>
      <c r="P11419">
        <v>0</v>
      </c>
      <c r="Q11419">
        <v>0</v>
      </c>
      <c r="R11419" t="s">
        <v>47315</v>
      </c>
      <c r="S11419" t="s">
        <v>47665</v>
      </c>
      <c r="T11419" t="s">
        <v>49099</v>
      </c>
      <c r="U11419" t="s">
        <v>58961</v>
      </c>
      <c r="W11419" t="s">
        <v>46530</v>
      </c>
      <c r="X11419" t="s">
        <v>47318</v>
      </c>
    </row>
    <row r="11420" spans="1:24">
      <c r="A11420">
        <f>HYPERLINK("https://www.philgeps.gov.ph/GEPSNONPILOT/Tender/SplashBidNoticeAbstractUI.aspx?menuIndex=3&amp;refID=7179985&amp;Result=3","7179985")</f>
        <v>0</v>
      </c>
      <c r="B11420" t="s">
        <v>1899</v>
      </c>
      <c r="C11420" t="s">
        <v>14648</v>
      </c>
      <c r="D11420" t="s">
        <v>19041</v>
      </c>
      <c r="E11420" t="s">
        <v>28813</v>
      </c>
      <c r="F11420" t="s">
        <v>32606</v>
      </c>
      <c r="G11420" t="s">
        <v>32613</v>
      </c>
      <c r="H11420" t="s">
        <v>32623</v>
      </c>
      <c r="I11420" t="s">
        <v>17648</v>
      </c>
      <c r="J11420" t="s">
        <v>39868</v>
      </c>
      <c r="K11420" t="s">
        <v>42636</v>
      </c>
      <c r="M11420" t="s">
        <v>44958</v>
      </c>
      <c r="N11420" t="s">
        <v>47304</v>
      </c>
      <c r="O11420" t="s">
        <v>47305</v>
      </c>
      <c r="P11420">
        <v>0</v>
      </c>
      <c r="Q11420">
        <v>0</v>
      </c>
      <c r="R11420" t="s">
        <v>47315</v>
      </c>
      <c r="S11420" t="s">
        <v>47665</v>
      </c>
      <c r="T11420" t="s">
        <v>49348</v>
      </c>
      <c r="U11420" t="s">
        <v>58962</v>
      </c>
      <c r="W11420" t="s">
        <v>44958</v>
      </c>
      <c r="X11420" t="s">
        <v>47318</v>
      </c>
    </row>
    <row r="11421" spans="1:24">
      <c r="A11421">
        <f>HYPERLINK("https://www.philgeps.gov.ph/GEPSNONPILOT/Tender/SplashBidNoticeAbstractUI.aspx?menuIndex=3&amp;refID=7179983&amp;Result=3","7179983")</f>
        <v>0</v>
      </c>
      <c r="B11421" t="s">
        <v>1899</v>
      </c>
      <c r="C11421" t="s">
        <v>14649</v>
      </c>
      <c r="D11421" t="s">
        <v>19041</v>
      </c>
      <c r="E11421" t="s">
        <v>28814</v>
      </c>
      <c r="F11421" t="s">
        <v>32606</v>
      </c>
      <c r="G11421" t="s">
        <v>32613</v>
      </c>
      <c r="H11421" t="s">
        <v>32623</v>
      </c>
      <c r="I11421" t="s">
        <v>17648</v>
      </c>
      <c r="J11421" t="s">
        <v>39869</v>
      </c>
      <c r="K11421" t="s">
        <v>42719</v>
      </c>
      <c r="M11421" t="s">
        <v>44958</v>
      </c>
      <c r="N11421" t="s">
        <v>47304</v>
      </c>
      <c r="O11421" t="s">
        <v>47305</v>
      </c>
      <c r="P11421">
        <v>0</v>
      </c>
      <c r="Q11421">
        <v>0</v>
      </c>
      <c r="R11421" t="s">
        <v>47315</v>
      </c>
      <c r="S11421" t="s">
        <v>47665</v>
      </c>
      <c r="T11421" t="s">
        <v>49348</v>
      </c>
      <c r="U11421" t="s">
        <v>58963</v>
      </c>
      <c r="W11421" t="s">
        <v>44958</v>
      </c>
      <c r="X11421" t="s">
        <v>47318</v>
      </c>
    </row>
    <row r="11422" spans="1:24">
      <c r="A11422">
        <f>HYPERLINK("https://www.philgeps.gov.ph/GEPSNONPILOT/Tender/SplashBidNoticeAbstractUI.aspx?menuIndex=3&amp;refID=7179980&amp;Result=3","7179980")</f>
        <v>0</v>
      </c>
      <c r="B11422" t="s">
        <v>1899</v>
      </c>
      <c r="C11422" t="s">
        <v>14650</v>
      </c>
      <c r="D11422" t="s">
        <v>19041</v>
      </c>
      <c r="E11422" t="s">
        <v>28815</v>
      </c>
      <c r="F11422" t="s">
        <v>32606</v>
      </c>
      <c r="G11422" t="s">
        <v>32613</v>
      </c>
      <c r="H11422" t="s">
        <v>32623</v>
      </c>
      <c r="I11422" t="s">
        <v>17648</v>
      </c>
      <c r="J11422" t="s">
        <v>39870</v>
      </c>
      <c r="K11422" t="s">
        <v>42671</v>
      </c>
      <c r="M11422" t="s">
        <v>44958</v>
      </c>
      <c r="N11422" t="s">
        <v>47304</v>
      </c>
      <c r="O11422" t="s">
        <v>47305</v>
      </c>
      <c r="P11422">
        <v>0</v>
      </c>
      <c r="Q11422">
        <v>0</v>
      </c>
      <c r="R11422" t="s">
        <v>47315</v>
      </c>
      <c r="S11422" t="s">
        <v>47665</v>
      </c>
      <c r="T11422" t="s">
        <v>49348</v>
      </c>
      <c r="U11422" t="s">
        <v>58964</v>
      </c>
      <c r="W11422" t="s">
        <v>44958</v>
      </c>
      <c r="X11422" t="s">
        <v>47318</v>
      </c>
    </row>
    <row r="11423" spans="1:24">
      <c r="A11423">
        <f>HYPERLINK("https://www.philgeps.gov.ph/GEPSNONPILOT/Tender/SplashBidNoticeAbstractUI.aspx?menuIndex=3&amp;refID=7179930&amp;Result=3","7179930")</f>
        <v>0</v>
      </c>
      <c r="B11423" t="s">
        <v>3292</v>
      </c>
      <c r="C11423" t="s">
        <v>14651</v>
      </c>
      <c r="D11423" t="s">
        <v>19048</v>
      </c>
      <c r="E11423" t="s">
        <v>28816</v>
      </c>
      <c r="F11423" t="s">
        <v>32606</v>
      </c>
      <c r="G11423" t="s">
        <v>32613</v>
      </c>
      <c r="H11423" t="s">
        <v>32623</v>
      </c>
      <c r="I11423" t="s">
        <v>17648</v>
      </c>
      <c r="J11423" t="s">
        <v>32778</v>
      </c>
      <c r="K11423" t="s">
        <v>42636</v>
      </c>
      <c r="M11423" t="s">
        <v>46530</v>
      </c>
      <c r="N11423" t="s">
        <v>47304</v>
      </c>
      <c r="O11423" t="s">
        <v>47305</v>
      </c>
      <c r="P11423">
        <v>0</v>
      </c>
      <c r="Q11423">
        <v>0</v>
      </c>
      <c r="R11423" t="s">
        <v>47315</v>
      </c>
      <c r="S11423" t="s">
        <v>47665</v>
      </c>
      <c r="T11423" t="s">
        <v>49099</v>
      </c>
      <c r="U11423" t="s">
        <v>58965</v>
      </c>
      <c r="W11423" t="s">
        <v>46530</v>
      </c>
      <c r="X11423" t="s">
        <v>47318</v>
      </c>
    </row>
    <row r="11424" spans="1:24">
      <c r="A11424">
        <f>HYPERLINK("https://www.philgeps.gov.ph/GEPSNONPILOT/Tender/SplashBidNoticeAbstractUI.aspx?menuIndex=3&amp;refID=7180025&amp;Result=3","7180025")</f>
        <v>0</v>
      </c>
      <c r="B11424" t="s">
        <v>1899</v>
      </c>
      <c r="C11424" t="s">
        <v>14652</v>
      </c>
      <c r="D11424" t="s">
        <v>19041</v>
      </c>
      <c r="E11424" t="s">
        <v>28817</v>
      </c>
      <c r="F11424" t="s">
        <v>32606</v>
      </c>
      <c r="G11424" t="s">
        <v>32613</v>
      </c>
      <c r="H11424" t="s">
        <v>32623</v>
      </c>
      <c r="I11424" t="s">
        <v>17648</v>
      </c>
      <c r="J11424" t="s">
        <v>39871</v>
      </c>
      <c r="K11424" t="s">
        <v>42770</v>
      </c>
      <c r="M11424" t="s">
        <v>44958</v>
      </c>
      <c r="N11424" t="s">
        <v>47304</v>
      </c>
      <c r="O11424" t="s">
        <v>47305</v>
      </c>
      <c r="P11424">
        <v>0</v>
      </c>
      <c r="Q11424">
        <v>0</v>
      </c>
      <c r="R11424" t="s">
        <v>47315</v>
      </c>
      <c r="S11424" t="s">
        <v>47665</v>
      </c>
      <c r="T11424" t="s">
        <v>49348</v>
      </c>
      <c r="U11424" t="s">
        <v>58966</v>
      </c>
      <c r="W11424" t="s">
        <v>44958</v>
      </c>
      <c r="X11424" t="s">
        <v>47318</v>
      </c>
    </row>
    <row r="11425" spans="1:24">
      <c r="A11425">
        <f>HYPERLINK("https://www.philgeps.gov.ph/GEPSNONPILOT/Tender/SplashBidNoticeAbstractUI.aspx?menuIndex=3&amp;refID=7179991&amp;Result=3","7179991")</f>
        <v>0</v>
      </c>
      <c r="B11425" t="s">
        <v>1899</v>
      </c>
      <c r="C11425" t="s">
        <v>14653</v>
      </c>
      <c r="D11425" t="s">
        <v>19041</v>
      </c>
      <c r="E11425" t="s">
        <v>28818</v>
      </c>
      <c r="F11425" t="s">
        <v>32606</v>
      </c>
      <c r="G11425" t="s">
        <v>32613</v>
      </c>
      <c r="H11425" t="s">
        <v>32623</v>
      </c>
      <c r="I11425" t="s">
        <v>17648</v>
      </c>
      <c r="J11425" t="s">
        <v>39872</v>
      </c>
      <c r="K11425" t="s">
        <v>42670</v>
      </c>
      <c r="M11425" t="s">
        <v>44958</v>
      </c>
      <c r="N11425" t="s">
        <v>47304</v>
      </c>
      <c r="O11425" t="s">
        <v>47305</v>
      </c>
      <c r="P11425">
        <v>0</v>
      </c>
      <c r="Q11425">
        <v>0</v>
      </c>
      <c r="R11425" t="s">
        <v>47315</v>
      </c>
      <c r="S11425" t="s">
        <v>47665</v>
      </c>
      <c r="T11425" t="s">
        <v>49348</v>
      </c>
      <c r="U11425" t="s">
        <v>58967</v>
      </c>
      <c r="W11425" t="s">
        <v>44958</v>
      </c>
      <c r="X11425" t="s">
        <v>47318</v>
      </c>
    </row>
    <row r="11426" spans="1:24">
      <c r="A11426">
        <f>HYPERLINK("https://www.philgeps.gov.ph/GEPSNONPILOT/Tender/SplashBidNoticeAbstractUI.aspx?menuIndex=3&amp;refID=7179982&amp;Result=3","7179982")</f>
        <v>0</v>
      </c>
      <c r="B11426" t="s">
        <v>1899</v>
      </c>
      <c r="C11426" t="s">
        <v>14654</v>
      </c>
      <c r="D11426" t="s">
        <v>19041</v>
      </c>
      <c r="E11426" t="s">
        <v>28819</v>
      </c>
      <c r="F11426" t="s">
        <v>32606</v>
      </c>
      <c r="G11426" t="s">
        <v>32613</v>
      </c>
      <c r="H11426" t="s">
        <v>32623</v>
      </c>
      <c r="I11426" t="s">
        <v>17648</v>
      </c>
      <c r="J11426" t="s">
        <v>39873</v>
      </c>
      <c r="K11426" t="s">
        <v>42719</v>
      </c>
      <c r="M11426" t="s">
        <v>44958</v>
      </c>
      <c r="N11426" t="s">
        <v>47304</v>
      </c>
      <c r="O11426" t="s">
        <v>47305</v>
      </c>
      <c r="P11426">
        <v>0</v>
      </c>
      <c r="Q11426">
        <v>1</v>
      </c>
      <c r="R11426" t="s">
        <v>47315</v>
      </c>
      <c r="S11426" t="s">
        <v>47665</v>
      </c>
      <c r="T11426" t="s">
        <v>49348</v>
      </c>
      <c r="U11426" t="s">
        <v>58968</v>
      </c>
      <c r="W11426" t="s">
        <v>44958</v>
      </c>
      <c r="X11426" t="s">
        <v>47318</v>
      </c>
    </row>
    <row r="11427" spans="1:24">
      <c r="A11427">
        <f>HYPERLINK("https://www.philgeps.gov.ph/GEPSNONPILOT/Tender/SplashBidNoticeAbstractUI.aspx?menuIndex=3&amp;refID=7179993&amp;Result=3","7179993")</f>
        <v>0</v>
      </c>
      <c r="B11427" t="s">
        <v>1899</v>
      </c>
      <c r="C11427" t="s">
        <v>14655</v>
      </c>
      <c r="D11427" t="s">
        <v>19041</v>
      </c>
      <c r="E11427" t="s">
        <v>28820</v>
      </c>
      <c r="F11427" t="s">
        <v>32606</v>
      </c>
      <c r="G11427" t="s">
        <v>32613</v>
      </c>
      <c r="H11427" t="s">
        <v>32623</v>
      </c>
      <c r="I11427" t="s">
        <v>17648</v>
      </c>
      <c r="J11427" t="s">
        <v>39874</v>
      </c>
      <c r="K11427" t="s">
        <v>42770</v>
      </c>
      <c r="M11427" t="s">
        <v>44958</v>
      </c>
      <c r="N11427" t="s">
        <v>47304</v>
      </c>
      <c r="O11427" t="s">
        <v>47305</v>
      </c>
      <c r="P11427">
        <v>0</v>
      </c>
      <c r="Q11427">
        <v>0</v>
      </c>
      <c r="R11427" t="s">
        <v>47315</v>
      </c>
      <c r="S11427" t="s">
        <v>47665</v>
      </c>
      <c r="T11427" t="s">
        <v>49348</v>
      </c>
      <c r="U11427" t="s">
        <v>58969</v>
      </c>
      <c r="W11427" t="s">
        <v>44958</v>
      </c>
      <c r="X11427" t="s">
        <v>47318</v>
      </c>
    </row>
    <row r="11428" spans="1:24">
      <c r="A11428">
        <f>HYPERLINK("https://www.philgeps.gov.ph/GEPSNONPILOT/Tender/SplashBidNoticeAbstractUI.aspx?menuIndex=3&amp;refID=7179996&amp;Result=3","7179996")</f>
        <v>0</v>
      </c>
      <c r="B11428" t="s">
        <v>1899</v>
      </c>
      <c r="C11428" t="s">
        <v>14656</v>
      </c>
      <c r="D11428" t="s">
        <v>19041</v>
      </c>
      <c r="E11428" t="s">
        <v>28821</v>
      </c>
      <c r="F11428" t="s">
        <v>32606</v>
      </c>
      <c r="G11428" t="s">
        <v>32613</v>
      </c>
      <c r="H11428" t="s">
        <v>32623</v>
      </c>
      <c r="I11428" t="s">
        <v>17648</v>
      </c>
      <c r="J11428" t="s">
        <v>39875</v>
      </c>
      <c r="K11428" t="s">
        <v>42770</v>
      </c>
      <c r="M11428" t="s">
        <v>44958</v>
      </c>
      <c r="N11428" t="s">
        <v>47304</v>
      </c>
      <c r="O11428" t="s">
        <v>47305</v>
      </c>
      <c r="P11428">
        <v>0</v>
      </c>
      <c r="Q11428">
        <v>0</v>
      </c>
      <c r="R11428" t="s">
        <v>47315</v>
      </c>
      <c r="S11428" t="s">
        <v>47665</v>
      </c>
      <c r="T11428" t="s">
        <v>49348</v>
      </c>
      <c r="U11428" t="s">
        <v>58970</v>
      </c>
      <c r="W11428" t="s">
        <v>44958</v>
      </c>
      <c r="X11428" t="s">
        <v>47318</v>
      </c>
    </row>
    <row r="11429" spans="1:24">
      <c r="A11429">
        <f>HYPERLINK("https://www.philgeps.gov.ph/GEPSNONPILOT/Tender/SplashBidNoticeAbstractUI.aspx?menuIndex=3&amp;refID=7180021&amp;Result=3","7180021")</f>
        <v>0</v>
      </c>
      <c r="B11429" t="s">
        <v>1899</v>
      </c>
      <c r="C11429" t="s">
        <v>14657</v>
      </c>
      <c r="D11429" t="s">
        <v>19041</v>
      </c>
      <c r="E11429" t="s">
        <v>28822</v>
      </c>
      <c r="F11429" t="s">
        <v>32606</v>
      </c>
      <c r="G11429" t="s">
        <v>32613</v>
      </c>
      <c r="H11429" t="s">
        <v>32623</v>
      </c>
      <c r="I11429" t="s">
        <v>17648</v>
      </c>
      <c r="J11429" t="s">
        <v>39876</v>
      </c>
      <c r="K11429" t="s">
        <v>42720</v>
      </c>
      <c r="M11429" t="s">
        <v>44958</v>
      </c>
      <c r="N11429" t="s">
        <v>47304</v>
      </c>
      <c r="O11429" t="s">
        <v>47305</v>
      </c>
      <c r="P11429">
        <v>0</v>
      </c>
      <c r="Q11429">
        <v>0</v>
      </c>
      <c r="R11429" t="s">
        <v>47315</v>
      </c>
      <c r="S11429" t="s">
        <v>47665</v>
      </c>
      <c r="T11429" t="s">
        <v>49348</v>
      </c>
      <c r="U11429" t="s">
        <v>58971</v>
      </c>
      <c r="W11429" t="s">
        <v>44958</v>
      </c>
      <c r="X11429" t="s">
        <v>47318</v>
      </c>
    </row>
    <row r="11430" spans="1:24">
      <c r="A11430">
        <f>HYPERLINK("https://www.philgeps.gov.ph/GEPSNONPILOT/Tender/SplashBidNoticeAbstractUI.aspx?menuIndex=3&amp;refID=7179969&amp;Result=3","7179969")</f>
        <v>0</v>
      </c>
      <c r="B11430" t="s">
        <v>1899</v>
      </c>
      <c r="C11430" t="s">
        <v>14658</v>
      </c>
      <c r="D11430" t="s">
        <v>19041</v>
      </c>
      <c r="E11430" t="s">
        <v>28823</v>
      </c>
      <c r="F11430" t="s">
        <v>32606</v>
      </c>
      <c r="G11430" t="s">
        <v>32613</v>
      </c>
      <c r="H11430" t="s">
        <v>32623</v>
      </c>
      <c r="I11430" t="s">
        <v>17648</v>
      </c>
      <c r="J11430" t="s">
        <v>39877</v>
      </c>
      <c r="K11430" t="s">
        <v>42649</v>
      </c>
      <c r="M11430" t="s">
        <v>44958</v>
      </c>
      <c r="N11430" t="s">
        <v>47304</v>
      </c>
      <c r="O11430" t="s">
        <v>47305</v>
      </c>
      <c r="P11430">
        <v>0</v>
      </c>
      <c r="Q11430">
        <v>0</v>
      </c>
      <c r="R11430" t="s">
        <v>47315</v>
      </c>
      <c r="S11430" t="s">
        <v>47665</v>
      </c>
      <c r="T11430" t="s">
        <v>49348</v>
      </c>
      <c r="U11430" t="s">
        <v>58972</v>
      </c>
      <c r="W11430" t="s">
        <v>44958</v>
      </c>
      <c r="X11430" t="s">
        <v>47318</v>
      </c>
    </row>
    <row r="11431" spans="1:24">
      <c r="A11431">
        <f>HYPERLINK("https://www.philgeps.gov.ph/GEPSNONPILOT/Tender/SplashBidNoticeAbstractUI.aspx?menuIndex=3&amp;refID=7179947&amp;Result=3","7179947")</f>
        <v>0</v>
      </c>
      <c r="B11431" t="s">
        <v>1899</v>
      </c>
      <c r="C11431" t="s">
        <v>14659</v>
      </c>
      <c r="D11431" t="s">
        <v>19041</v>
      </c>
      <c r="E11431" t="s">
        <v>28824</v>
      </c>
      <c r="F11431" t="s">
        <v>32606</v>
      </c>
      <c r="G11431" t="s">
        <v>32613</v>
      </c>
      <c r="H11431" t="s">
        <v>32623</v>
      </c>
      <c r="I11431" t="s">
        <v>17648</v>
      </c>
      <c r="J11431" t="s">
        <v>39878</v>
      </c>
      <c r="K11431" t="s">
        <v>42771</v>
      </c>
      <c r="M11431" t="s">
        <v>44958</v>
      </c>
      <c r="N11431" t="s">
        <v>47304</v>
      </c>
      <c r="O11431" t="s">
        <v>47305</v>
      </c>
      <c r="P11431">
        <v>0</v>
      </c>
      <c r="Q11431">
        <v>0</v>
      </c>
      <c r="R11431" t="s">
        <v>47315</v>
      </c>
      <c r="S11431" t="s">
        <v>47665</v>
      </c>
      <c r="T11431" t="s">
        <v>49348</v>
      </c>
      <c r="U11431" t="s">
        <v>58973</v>
      </c>
      <c r="W11431" t="s">
        <v>44958</v>
      </c>
      <c r="X11431" t="s">
        <v>47318</v>
      </c>
    </row>
    <row r="11432" spans="1:24">
      <c r="A11432">
        <f>HYPERLINK("https://www.philgeps.gov.ph/GEPSNONPILOT/Tender/SplashBidNoticeAbstractUI.aspx?menuIndex=3&amp;refID=7179966&amp;Result=3","7179966")</f>
        <v>0</v>
      </c>
      <c r="B11432" t="s">
        <v>1899</v>
      </c>
      <c r="C11432" t="s">
        <v>14660</v>
      </c>
      <c r="D11432" t="s">
        <v>19041</v>
      </c>
      <c r="E11432" t="s">
        <v>28825</v>
      </c>
      <c r="F11432" t="s">
        <v>32606</v>
      </c>
      <c r="G11432" t="s">
        <v>32613</v>
      </c>
      <c r="H11432" t="s">
        <v>32623</v>
      </c>
      <c r="I11432" t="s">
        <v>17648</v>
      </c>
      <c r="J11432" t="s">
        <v>39879</v>
      </c>
      <c r="K11432" t="s">
        <v>42649</v>
      </c>
      <c r="M11432" t="s">
        <v>44958</v>
      </c>
      <c r="N11432" t="s">
        <v>47304</v>
      </c>
      <c r="O11432" t="s">
        <v>47305</v>
      </c>
      <c r="P11432">
        <v>0</v>
      </c>
      <c r="Q11432">
        <v>0</v>
      </c>
      <c r="R11432" t="s">
        <v>47315</v>
      </c>
      <c r="S11432" t="s">
        <v>47665</v>
      </c>
      <c r="T11432" t="s">
        <v>49348</v>
      </c>
      <c r="U11432" t="s">
        <v>58974</v>
      </c>
      <c r="W11432" t="s">
        <v>44958</v>
      </c>
      <c r="X11432" t="s">
        <v>47318</v>
      </c>
    </row>
    <row r="11433" spans="1:24">
      <c r="A11433">
        <f>HYPERLINK("https://www.philgeps.gov.ph/GEPSNONPILOT/Tender/SplashBidNoticeAbstractUI.aspx?menuIndex=3&amp;refID=7180005&amp;Result=3","7180005")</f>
        <v>0</v>
      </c>
      <c r="B11433" t="s">
        <v>1899</v>
      </c>
      <c r="C11433" t="s">
        <v>14661</v>
      </c>
      <c r="D11433" t="s">
        <v>19041</v>
      </c>
      <c r="E11433" t="s">
        <v>28826</v>
      </c>
      <c r="F11433" t="s">
        <v>32606</v>
      </c>
      <c r="G11433" t="s">
        <v>32613</v>
      </c>
      <c r="H11433" t="s">
        <v>32623</v>
      </c>
      <c r="I11433" t="s">
        <v>17648</v>
      </c>
      <c r="J11433" t="s">
        <v>39880</v>
      </c>
      <c r="K11433" t="s">
        <v>42770</v>
      </c>
      <c r="M11433" t="s">
        <v>44958</v>
      </c>
      <c r="N11433" t="s">
        <v>47304</v>
      </c>
      <c r="O11433" t="s">
        <v>47305</v>
      </c>
      <c r="P11433">
        <v>0</v>
      </c>
      <c r="Q11433">
        <v>0</v>
      </c>
      <c r="R11433" t="s">
        <v>47315</v>
      </c>
      <c r="S11433" t="s">
        <v>47665</v>
      </c>
      <c r="T11433" t="s">
        <v>49348</v>
      </c>
      <c r="U11433" t="s">
        <v>58975</v>
      </c>
      <c r="W11433" t="s">
        <v>44958</v>
      </c>
      <c r="X11433" t="s">
        <v>47318</v>
      </c>
    </row>
    <row r="11434" spans="1:24">
      <c r="A11434">
        <f>HYPERLINK("https://www.philgeps.gov.ph/GEPSNONPILOT/Tender/SplashBidNoticeAbstractUI.aspx?menuIndex=3&amp;refID=7180000&amp;Result=3","7180000")</f>
        <v>0</v>
      </c>
      <c r="B11434" t="s">
        <v>1899</v>
      </c>
      <c r="C11434" t="s">
        <v>14662</v>
      </c>
      <c r="D11434" t="s">
        <v>19041</v>
      </c>
      <c r="E11434" t="s">
        <v>28827</v>
      </c>
      <c r="F11434" t="s">
        <v>32606</v>
      </c>
      <c r="G11434" t="s">
        <v>32613</v>
      </c>
      <c r="H11434" t="s">
        <v>32623</v>
      </c>
      <c r="I11434" t="s">
        <v>17648</v>
      </c>
      <c r="J11434" t="s">
        <v>39881</v>
      </c>
      <c r="K11434" t="s">
        <v>42770</v>
      </c>
      <c r="M11434" t="s">
        <v>44958</v>
      </c>
      <c r="N11434" t="s">
        <v>47304</v>
      </c>
      <c r="O11434" t="s">
        <v>47305</v>
      </c>
      <c r="P11434">
        <v>0</v>
      </c>
      <c r="Q11434">
        <v>0</v>
      </c>
      <c r="R11434" t="s">
        <v>47315</v>
      </c>
      <c r="S11434" t="s">
        <v>47665</v>
      </c>
      <c r="T11434" t="s">
        <v>49348</v>
      </c>
      <c r="U11434" t="s">
        <v>58976</v>
      </c>
      <c r="W11434" t="s">
        <v>44958</v>
      </c>
      <c r="X11434" t="s">
        <v>47318</v>
      </c>
    </row>
    <row r="11435" spans="1:24">
      <c r="A11435">
        <f>HYPERLINK("https://www.philgeps.gov.ph/GEPSNONPILOT/Tender/SplashBidNoticeAbstractUI.aspx?menuIndex=3&amp;refID=7179952&amp;Result=3","7179952")</f>
        <v>0</v>
      </c>
      <c r="B11435" t="s">
        <v>1899</v>
      </c>
      <c r="C11435" t="s">
        <v>14663</v>
      </c>
      <c r="D11435" t="s">
        <v>19041</v>
      </c>
      <c r="E11435" t="s">
        <v>28828</v>
      </c>
      <c r="F11435" t="s">
        <v>32606</v>
      </c>
      <c r="G11435" t="s">
        <v>32613</v>
      </c>
      <c r="H11435" t="s">
        <v>32623</v>
      </c>
      <c r="I11435" t="s">
        <v>17648</v>
      </c>
      <c r="J11435" t="s">
        <v>39882</v>
      </c>
      <c r="K11435" t="s">
        <v>42770</v>
      </c>
      <c r="M11435" t="s">
        <v>44958</v>
      </c>
      <c r="N11435" t="s">
        <v>47304</v>
      </c>
      <c r="O11435" t="s">
        <v>47305</v>
      </c>
      <c r="P11435">
        <v>0</v>
      </c>
      <c r="Q11435">
        <v>0</v>
      </c>
      <c r="R11435" t="s">
        <v>47315</v>
      </c>
      <c r="S11435" t="s">
        <v>47665</v>
      </c>
      <c r="T11435" t="s">
        <v>49348</v>
      </c>
      <c r="U11435" t="s">
        <v>58977</v>
      </c>
      <c r="W11435" t="s">
        <v>44958</v>
      </c>
      <c r="X11435" t="s">
        <v>47318</v>
      </c>
    </row>
    <row r="11436" spans="1:24">
      <c r="A11436">
        <f>HYPERLINK("https://www.philgeps.gov.ph/GEPSNONPILOT/Tender/SplashBidNoticeAbstractUI.aspx?menuIndex=3&amp;refID=7179907&amp;Result=3","7179907")</f>
        <v>0</v>
      </c>
      <c r="B11436" t="s">
        <v>1748</v>
      </c>
      <c r="C11436" t="s">
        <v>14664</v>
      </c>
      <c r="D11436" t="s">
        <v>18993</v>
      </c>
      <c r="E11436" t="s">
        <v>22556</v>
      </c>
      <c r="F11436" t="s">
        <v>32606</v>
      </c>
      <c r="G11436" t="s">
        <v>32613</v>
      </c>
      <c r="H11436" t="s">
        <v>14201</v>
      </c>
      <c r="I11436" t="s">
        <v>32638</v>
      </c>
      <c r="J11436" t="s">
        <v>36532</v>
      </c>
      <c r="K11436" t="s">
        <v>42646</v>
      </c>
      <c r="M11436" t="s">
        <v>44783</v>
      </c>
      <c r="N11436" t="s">
        <v>47304</v>
      </c>
      <c r="O11436" t="s">
        <v>47305</v>
      </c>
      <c r="P11436">
        <v>0</v>
      </c>
      <c r="Q11436">
        <v>21</v>
      </c>
      <c r="R11436" t="s">
        <v>47315</v>
      </c>
      <c r="S11436" t="s">
        <v>47665</v>
      </c>
      <c r="T11436" t="s">
        <v>49170</v>
      </c>
      <c r="U11436" t="s">
        <v>58978</v>
      </c>
      <c r="W11436" t="s">
        <v>44783</v>
      </c>
      <c r="X11436" t="s">
        <v>47318</v>
      </c>
    </row>
    <row r="11437" spans="1:24">
      <c r="A11437">
        <f>HYPERLINK("https://www.philgeps.gov.ph/GEPSNONPILOT/Tender/SplashBidNoticeAbstractUI.aspx?menuIndex=3&amp;refID=7180287&amp;Result=3","7180287")</f>
        <v>0</v>
      </c>
      <c r="B11437" t="s">
        <v>3293</v>
      </c>
      <c r="C11437" t="s">
        <v>14665</v>
      </c>
      <c r="D11437" t="s">
        <v>19013</v>
      </c>
      <c r="E11437" t="s">
        <v>28829</v>
      </c>
      <c r="F11437" t="s">
        <v>32606</v>
      </c>
      <c r="G11437" t="s">
        <v>32613</v>
      </c>
      <c r="H11437" t="s">
        <v>32623</v>
      </c>
      <c r="I11437" t="s">
        <v>17648</v>
      </c>
      <c r="J11437" t="s">
        <v>39883</v>
      </c>
      <c r="K11437" t="s">
        <v>42744</v>
      </c>
      <c r="M11437" t="s">
        <v>46533</v>
      </c>
      <c r="N11437" t="s">
        <v>47304</v>
      </c>
      <c r="O11437" t="s">
        <v>47305</v>
      </c>
      <c r="P11437">
        <v>0</v>
      </c>
      <c r="Q11437">
        <v>0</v>
      </c>
      <c r="R11437" t="s">
        <v>47315</v>
      </c>
      <c r="S11437" t="s">
        <v>47665</v>
      </c>
      <c r="T11437" t="s">
        <v>49084</v>
      </c>
      <c r="U11437" t="s">
        <v>58979</v>
      </c>
      <c r="V11437" t="s">
        <v>63877</v>
      </c>
      <c r="W11437" t="s">
        <v>46533</v>
      </c>
      <c r="X11437" t="s">
        <v>47317</v>
      </c>
    </row>
    <row r="11438" spans="1:24">
      <c r="A11438">
        <f>HYPERLINK("https://www.philgeps.gov.ph/GEPSNONPILOT/Tender/SplashBidNoticeAbstractUI.aspx?menuIndex=3&amp;refID=7180281&amp;Result=3","7180281")</f>
        <v>0</v>
      </c>
      <c r="B11438" t="s">
        <v>3293</v>
      </c>
      <c r="C11438" t="s">
        <v>14666</v>
      </c>
      <c r="D11438" t="s">
        <v>19013</v>
      </c>
      <c r="E11438" t="s">
        <v>28830</v>
      </c>
      <c r="F11438" t="s">
        <v>32606</v>
      </c>
      <c r="G11438" t="s">
        <v>32613</v>
      </c>
      <c r="H11438" t="s">
        <v>32623</v>
      </c>
      <c r="I11438" t="s">
        <v>17648</v>
      </c>
      <c r="J11438" t="s">
        <v>39884</v>
      </c>
      <c r="K11438" t="s">
        <v>42643</v>
      </c>
      <c r="M11438" t="s">
        <v>46533</v>
      </c>
      <c r="N11438" t="s">
        <v>47304</v>
      </c>
      <c r="O11438" t="s">
        <v>47305</v>
      </c>
      <c r="P11438">
        <v>0</v>
      </c>
      <c r="Q11438">
        <v>0</v>
      </c>
      <c r="R11438" t="s">
        <v>47315</v>
      </c>
      <c r="S11438" t="s">
        <v>47665</v>
      </c>
      <c r="T11438" t="s">
        <v>49084</v>
      </c>
      <c r="U11438" t="s">
        <v>58980</v>
      </c>
      <c r="V11438" t="s">
        <v>63878</v>
      </c>
      <c r="W11438" t="s">
        <v>46533</v>
      </c>
      <c r="X11438" t="s">
        <v>47317</v>
      </c>
    </row>
    <row r="11439" spans="1:24">
      <c r="A11439">
        <f>HYPERLINK("https://www.philgeps.gov.ph/GEPSNONPILOT/Tender/SplashBidNoticeAbstractUI.aspx?menuIndex=3&amp;refID=7179958&amp;Result=3","7179958")</f>
        <v>0</v>
      </c>
      <c r="B11439" t="s">
        <v>1899</v>
      </c>
      <c r="C11439" t="s">
        <v>14667</v>
      </c>
      <c r="D11439" t="s">
        <v>19041</v>
      </c>
      <c r="E11439" t="s">
        <v>28831</v>
      </c>
      <c r="F11439" t="s">
        <v>32606</v>
      </c>
      <c r="G11439" t="s">
        <v>32613</v>
      </c>
      <c r="H11439" t="s">
        <v>32623</v>
      </c>
      <c r="I11439" t="s">
        <v>17648</v>
      </c>
      <c r="J11439" t="s">
        <v>39885</v>
      </c>
      <c r="K11439" t="s">
        <v>42859</v>
      </c>
      <c r="M11439" t="s">
        <v>44958</v>
      </c>
      <c r="N11439" t="s">
        <v>47304</v>
      </c>
      <c r="O11439" t="s">
        <v>47305</v>
      </c>
      <c r="P11439">
        <v>0</v>
      </c>
      <c r="Q11439">
        <v>1</v>
      </c>
      <c r="R11439" t="s">
        <v>47315</v>
      </c>
      <c r="S11439" t="s">
        <v>47665</v>
      </c>
      <c r="T11439" t="s">
        <v>49348</v>
      </c>
      <c r="U11439" t="s">
        <v>58981</v>
      </c>
      <c r="W11439" t="s">
        <v>44958</v>
      </c>
      <c r="X11439" t="s">
        <v>47318</v>
      </c>
    </row>
    <row r="11440" spans="1:24">
      <c r="A11440">
        <f>HYPERLINK("https://www.philgeps.gov.ph/GEPSNONPILOT/Tender/SplashBidNoticeAbstractUI.aspx?menuIndex=3&amp;refID=7180268&amp;Result=3","7180268")</f>
        <v>0</v>
      </c>
      <c r="B11440" t="s">
        <v>2487</v>
      </c>
      <c r="C11440" t="s">
        <v>14668</v>
      </c>
      <c r="D11440" t="s">
        <v>19033</v>
      </c>
      <c r="E11440" t="s">
        <v>28832</v>
      </c>
      <c r="F11440" t="s">
        <v>32608</v>
      </c>
      <c r="G11440" t="s">
        <v>32613</v>
      </c>
      <c r="H11440" t="s">
        <v>14201</v>
      </c>
      <c r="I11440" t="s">
        <v>6931</v>
      </c>
      <c r="J11440" t="s">
        <v>33102</v>
      </c>
      <c r="K11440" t="s">
        <v>42623</v>
      </c>
      <c r="L11440" t="s">
        <v>2487</v>
      </c>
      <c r="M11440" t="s">
        <v>45624</v>
      </c>
      <c r="N11440" t="s">
        <v>47304</v>
      </c>
      <c r="O11440" t="s">
        <v>47305</v>
      </c>
      <c r="P11440">
        <v>0</v>
      </c>
      <c r="Q11440">
        <v>0</v>
      </c>
      <c r="R11440" t="s">
        <v>47315</v>
      </c>
      <c r="S11440" t="s">
        <v>47665</v>
      </c>
      <c r="T11440" t="s">
        <v>48971</v>
      </c>
      <c r="U11440" t="s">
        <v>58982</v>
      </c>
      <c r="W11440" t="s">
        <v>45624</v>
      </c>
      <c r="X11440" t="s">
        <v>47317</v>
      </c>
    </row>
    <row r="11441" spans="1:24">
      <c r="A11441">
        <f>HYPERLINK("https://www.philgeps.gov.ph/GEPSNONPILOT/Tender/SplashBidNoticeAbstractUI.aspx?menuIndex=3&amp;refID=7179919&amp;Result=3","7179919")</f>
        <v>0</v>
      </c>
      <c r="B11441" t="s">
        <v>3292</v>
      </c>
      <c r="C11441" t="s">
        <v>14669</v>
      </c>
      <c r="D11441" t="s">
        <v>19048</v>
      </c>
      <c r="E11441" t="s">
        <v>28833</v>
      </c>
      <c r="F11441" t="s">
        <v>32606</v>
      </c>
      <c r="G11441" t="s">
        <v>32613</v>
      </c>
      <c r="H11441" t="s">
        <v>32623</v>
      </c>
      <c r="I11441" t="s">
        <v>17648</v>
      </c>
      <c r="J11441" t="s">
        <v>32767</v>
      </c>
      <c r="K11441" t="s">
        <v>42636</v>
      </c>
      <c r="M11441" t="s">
        <v>46530</v>
      </c>
      <c r="N11441" t="s">
        <v>47304</v>
      </c>
      <c r="O11441" t="s">
        <v>47305</v>
      </c>
      <c r="P11441">
        <v>0</v>
      </c>
      <c r="Q11441">
        <v>0</v>
      </c>
      <c r="R11441" t="s">
        <v>47315</v>
      </c>
      <c r="S11441" t="s">
        <v>47665</v>
      </c>
      <c r="T11441" t="s">
        <v>49099</v>
      </c>
      <c r="U11441" t="s">
        <v>58983</v>
      </c>
      <c r="W11441" t="s">
        <v>46530</v>
      </c>
      <c r="X11441" t="s">
        <v>47318</v>
      </c>
    </row>
    <row r="11442" spans="1:24">
      <c r="A11442">
        <f>HYPERLINK("https://www.philgeps.gov.ph/GEPSNONPILOT/Tender/SplashBidNoticeAbstractUI.aspx?menuIndex=3&amp;refID=7180204&amp;Result=3","7180204")</f>
        <v>0</v>
      </c>
      <c r="B11442" t="s">
        <v>1386</v>
      </c>
      <c r="C11442" t="s">
        <v>7059</v>
      </c>
      <c r="D11442" t="s">
        <v>19011</v>
      </c>
      <c r="E11442" t="s">
        <v>19315</v>
      </c>
      <c r="F11442" t="s">
        <v>32606</v>
      </c>
      <c r="G11442" t="s">
        <v>32613</v>
      </c>
      <c r="H11442" t="s">
        <v>14201</v>
      </c>
      <c r="I11442" t="s">
        <v>6931</v>
      </c>
      <c r="J11442" t="s">
        <v>35084</v>
      </c>
      <c r="K11442" t="s">
        <v>42624</v>
      </c>
      <c r="M11442" t="s">
        <v>44368</v>
      </c>
      <c r="N11442" t="s">
        <v>47304</v>
      </c>
      <c r="O11442" t="s">
        <v>47305</v>
      </c>
      <c r="P11442">
        <v>0</v>
      </c>
      <c r="Q11442">
        <v>0</v>
      </c>
      <c r="R11442" t="s">
        <v>47315</v>
      </c>
      <c r="S11442" t="s">
        <v>47665</v>
      </c>
      <c r="T11442" t="s">
        <v>49257</v>
      </c>
      <c r="U11442" t="s">
        <v>52461</v>
      </c>
      <c r="W11442" t="s">
        <v>44368</v>
      </c>
      <c r="X11442" t="s">
        <v>47317</v>
      </c>
    </row>
    <row r="11443" spans="1:24">
      <c r="A11443">
        <f>HYPERLINK("https://www.philgeps.gov.ph/GEPSNONPILOT/Tender/SplashBidNoticeAbstractUI.aspx?menuIndex=3&amp;refID=7180184&amp;Result=3","7180184")</f>
        <v>0</v>
      </c>
      <c r="B11443" t="s">
        <v>3293</v>
      </c>
      <c r="C11443" t="s">
        <v>14670</v>
      </c>
      <c r="D11443" t="s">
        <v>19013</v>
      </c>
      <c r="E11443" t="s">
        <v>28834</v>
      </c>
      <c r="F11443" t="s">
        <v>32606</v>
      </c>
      <c r="G11443" t="s">
        <v>32613</v>
      </c>
      <c r="H11443" t="s">
        <v>32623</v>
      </c>
      <c r="I11443" t="s">
        <v>17648</v>
      </c>
      <c r="J11443" t="s">
        <v>39886</v>
      </c>
      <c r="K11443" t="s">
        <v>42675</v>
      </c>
      <c r="M11443" t="s">
        <v>46533</v>
      </c>
      <c r="N11443" t="s">
        <v>47304</v>
      </c>
      <c r="O11443" t="s">
        <v>47305</v>
      </c>
      <c r="P11443">
        <v>0</v>
      </c>
      <c r="Q11443">
        <v>2</v>
      </c>
      <c r="R11443" t="s">
        <v>47315</v>
      </c>
      <c r="S11443" t="s">
        <v>47665</v>
      </c>
      <c r="T11443" t="s">
        <v>49084</v>
      </c>
      <c r="U11443" t="s">
        <v>58984</v>
      </c>
      <c r="V11443" t="s">
        <v>63879</v>
      </c>
      <c r="W11443" t="s">
        <v>46533</v>
      </c>
      <c r="X11443" t="s">
        <v>47317</v>
      </c>
    </row>
    <row r="11444" spans="1:24">
      <c r="A11444">
        <f>HYPERLINK("https://www.philgeps.gov.ph/GEPSNONPILOT/Tender/SplashBidNoticeAbstractUI.aspx?menuIndex=3&amp;refID=7180280&amp;Result=3","7180280")</f>
        <v>0</v>
      </c>
      <c r="B11444" t="s">
        <v>1777</v>
      </c>
      <c r="C11444" t="s">
        <v>14671</v>
      </c>
      <c r="E11444" t="s">
        <v>28835</v>
      </c>
      <c r="F11444" t="s">
        <v>32606</v>
      </c>
      <c r="G11444" t="s">
        <v>32619</v>
      </c>
      <c r="H11444" t="s">
        <v>14201</v>
      </c>
      <c r="I11444" t="s">
        <v>4678</v>
      </c>
      <c r="J11444" t="s">
        <v>39887</v>
      </c>
      <c r="K11444" t="s">
        <v>42627</v>
      </c>
      <c r="M11444" t="s">
        <v>44816</v>
      </c>
      <c r="N11444" t="s">
        <v>47304</v>
      </c>
      <c r="O11444" t="s">
        <v>47305</v>
      </c>
      <c r="P11444">
        <v>0</v>
      </c>
      <c r="Q11444">
        <v>1</v>
      </c>
      <c r="R11444" t="s">
        <v>47315</v>
      </c>
      <c r="S11444" t="s">
        <v>47665</v>
      </c>
      <c r="T11444" t="s">
        <v>49087</v>
      </c>
      <c r="U11444" t="s">
        <v>58985</v>
      </c>
      <c r="W11444" t="s">
        <v>44816</v>
      </c>
      <c r="X11444" t="s">
        <v>47317</v>
      </c>
    </row>
    <row r="11445" spans="1:24">
      <c r="A11445">
        <f>HYPERLINK("https://www.philgeps.gov.ph/GEPSNONPILOT/Tender/SplashBidNoticeAbstractUI.aspx?menuIndex=3&amp;refID=7180276&amp;Result=3","7180276")</f>
        <v>0</v>
      </c>
      <c r="B11445" t="s">
        <v>3293</v>
      </c>
      <c r="C11445" t="s">
        <v>14672</v>
      </c>
      <c r="D11445" t="s">
        <v>19013</v>
      </c>
      <c r="E11445" t="s">
        <v>28836</v>
      </c>
      <c r="F11445" t="s">
        <v>32606</v>
      </c>
      <c r="G11445" t="s">
        <v>32613</v>
      </c>
      <c r="H11445" t="s">
        <v>32623</v>
      </c>
      <c r="I11445" t="s">
        <v>17648</v>
      </c>
      <c r="J11445" t="s">
        <v>39888</v>
      </c>
      <c r="K11445" t="s">
        <v>42639</v>
      </c>
      <c r="M11445" t="s">
        <v>46533</v>
      </c>
      <c r="N11445" t="s">
        <v>47304</v>
      </c>
      <c r="O11445" t="s">
        <v>47305</v>
      </c>
      <c r="P11445">
        <v>0</v>
      </c>
      <c r="Q11445">
        <v>0</v>
      </c>
      <c r="R11445" t="s">
        <v>47315</v>
      </c>
      <c r="S11445" t="s">
        <v>47665</v>
      </c>
      <c r="T11445" t="s">
        <v>49084</v>
      </c>
      <c r="U11445" t="s">
        <v>58986</v>
      </c>
      <c r="V11445" t="s">
        <v>63880</v>
      </c>
      <c r="W11445" t="s">
        <v>46533</v>
      </c>
      <c r="X11445" t="s">
        <v>47317</v>
      </c>
    </row>
    <row r="11446" spans="1:24">
      <c r="A11446">
        <f>HYPERLINK("https://www.philgeps.gov.ph/GEPSNONPILOT/Tender/SplashBidNoticeAbstractUI.aspx?menuIndex=3&amp;refID=7180070&amp;Result=3","7180070")</f>
        <v>0</v>
      </c>
      <c r="B11446" t="s">
        <v>3294</v>
      </c>
      <c r="C11446" t="s">
        <v>14673</v>
      </c>
      <c r="D11446" t="s">
        <v>19004</v>
      </c>
      <c r="E11446" t="s">
        <v>28837</v>
      </c>
      <c r="F11446" t="s">
        <v>32606</v>
      </c>
      <c r="G11446" t="s">
        <v>32613</v>
      </c>
      <c r="H11446" t="s">
        <v>32623</v>
      </c>
      <c r="I11446" t="s">
        <v>17648</v>
      </c>
      <c r="J11446" t="s">
        <v>39889</v>
      </c>
      <c r="K11446" t="s">
        <v>42812</v>
      </c>
      <c r="M11446" t="s">
        <v>46534</v>
      </c>
      <c r="N11446" t="s">
        <v>47304</v>
      </c>
      <c r="O11446" t="s">
        <v>47305</v>
      </c>
      <c r="P11446">
        <v>0</v>
      </c>
      <c r="Q11446">
        <v>5</v>
      </c>
      <c r="R11446" t="s">
        <v>47315</v>
      </c>
      <c r="S11446" t="s">
        <v>47665</v>
      </c>
      <c r="T11446" t="s">
        <v>49234</v>
      </c>
      <c r="U11446" t="s">
        <v>58987</v>
      </c>
      <c r="W11446" t="s">
        <v>46534</v>
      </c>
      <c r="X11446" t="s">
        <v>47318</v>
      </c>
    </row>
    <row r="11447" spans="1:24">
      <c r="A11447">
        <f>HYPERLINK("https://www.philgeps.gov.ph/GEPSNONPILOT/Tender/SplashBidNoticeAbstractUI.aspx?menuIndex=3&amp;refID=7180060&amp;Result=3","7180060")</f>
        <v>0</v>
      </c>
      <c r="B11447" t="s">
        <v>1899</v>
      </c>
      <c r="C11447" t="s">
        <v>14674</v>
      </c>
      <c r="D11447" t="s">
        <v>19041</v>
      </c>
      <c r="E11447" t="s">
        <v>28838</v>
      </c>
      <c r="F11447" t="s">
        <v>32606</v>
      </c>
      <c r="G11447" t="s">
        <v>32613</v>
      </c>
      <c r="H11447" t="s">
        <v>32623</v>
      </c>
      <c r="I11447" t="s">
        <v>17648</v>
      </c>
      <c r="J11447" t="s">
        <v>39890</v>
      </c>
      <c r="K11447" t="s">
        <v>42770</v>
      </c>
      <c r="M11447" t="s">
        <v>44958</v>
      </c>
      <c r="N11447" t="s">
        <v>47304</v>
      </c>
      <c r="O11447" t="s">
        <v>47305</v>
      </c>
      <c r="P11447">
        <v>0</v>
      </c>
      <c r="Q11447">
        <v>1</v>
      </c>
      <c r="R11447" t="s">
        <v>47315</v>
      </c>
      <c r="S11447" t="s">
        <v>47665</v>
      </c>
      <c r="T11447" t="s">
        <v>49348</v>
      </c>
      <c r="U11447" t="s">
        <v>58988</v>
      </c>
      <c r="W11447" t="s">
        <v>44958</v>
      </c>
      <c r="X11447" t="s">
        <v>47318</v>
      </c>
    </row>
    <row r="11448" spans="1:24">
      <c r="A11448">
        <f>HYPERLINK("https://www.philgeps.gov.ph/GEPSNONPILOT/Tender/SplashBidNoticeAbstractUI.aspx?menuIndex=3&amp;refID=7180208&amp;Result=3","7180208")</f>
        <v>0</v>
      </c>
      <c r="B11448" t="s">
        <v>1475</v>
      </c>
      <c r="C11448" t="s">
        <v>14675</v>
      </c>
      <c r="D11448" t="s">
        <v>19011</v>
      </c>
      <c r="E11448" t="s">
        <v>19315</v>
      </c>
      <c r="F11448" t="s">
        <v>32606</v>
      </c>
      <c r="G11448" t="s">
        <v>32613</v>
      </c>
      <c r="H11448" t="s">
        <v>14201</v>
      </c>
      <c r="I11448" t="s">
        <v>32656</v>
      </c>
      <c r="J11448" t="s">
        <v>35308</v>
      </c>
      <c r="K11448" t="s">
        <v>42624</v>
      </c>
      <c r="M11448" t="s">
        <v>44469</v>
      </c>
      <c r="N11448" t="s">
        <v>47304</v>
      </c>
      <c r="O11448" t="s">
        <v>47305</v>
      </c>
      <c r="P11448">
        <v>0</v>
      </c>
      <c r="Q11448">
        <v>1</v>
      </c>
      <c r="R11448" t="s">
        <v>47315</v>
      </c>
      <c r="S11448" t="s">
        <v>47665</v>
      </c>
      <c r="T11448" t="s">
        <v>49068</v>
      </c>
      <c r="U11448" t="s">
        <v>58989</v>
      </c>
      <c r="W11448" t="s">
        <v>44469</v>
      </c>
      <c r="X11448" t="s">
        <v>47317</v>
      </c>
    </row>
    <row r="11449" spans="1:24">
      <c r="A11449">
        <f>HYPERLINK("https://www.philgeps.gov.ph/GEPSNONPILOT/Tender/SplashBidNoticeAbstractUI.aspx?menuIndex=3&amp;refID=7180058&amp;Result=3","7180058")</f>
        <v>0</v>
      </c>
      <c r="B11449" t="s">
        <v>1899</v>
      </c>
      <c r="C11449" t="s">
        <v>14676</v>
      </c>
      <c r="D11449" t="s">
        <v>19041</v>
      </c>
      <c r="E11449" t="s">
        <v>28839</v>
      </c>
      <c r="F11449" t="s">
        <v>32606</v>
      </c>
      <c r="G11449" t="s">
        <v>32613</v>
      </c>
      <c r="H11449" t="s">
        <v>32623</v>
      </c>
      <c r="I11449" t="s">
        <v>17648</v>
      </c>
      <c r="J11449" t="s">
        <v>39891</v>
      </c>
      <c r="K11449" t="s">
        <v>42719</v>
      </c>
      <c r="M11449" t="s">
        <v>44958</v>
      </c>
      <c r="N11449" t="s">
        <v>47304</v>
      </c>
      <c r="O11449" t="s">
        <v>47305</v>
      </c>
      <c r="P11449">
        <v>0</v>
      </c>
      <c r="Q11449">
        <v>1</v>
      </c>
      <c r="R11449" t="s">
        <v>47315</v>
      </c>
      <c r="S11449" t="s">
        <v>47665</v>
      </c>
      <c r="T11449" t="s">
        <v>49348</v>
      </c>
      <c r="U11449" t="s">
        <v>58990</v>
      </c>
      <c r="W11449" t="s">
        <v>44958</v>
      </c>
      <c r="X11449" t="s">
        <v>47318</v>
      </c>
    </row>
    <row r="11450" spans="1:24">
      <c r="A11450">
        <f>HYPERLINK("https://www.philgeps.gov.ph/GEPSNONPILOT/Tender/SplashBidNoticeAbstractUI.aspx?menuIndex=3&amp;refID=7180207&amp;Result=3","7180207")</f>
        <v>0</v>
      </c>
      <c r="B11450" t="s">
        <v>1386</v>
      </c>
      <c r="C11450" t="s">
        <v>7149</v>
      </c>
      <c r="D11450" t="s">
        <v>19011</v>
      </c>
      <c r="E11450" t="s">
        <v>19809</v>
      </c>
      <c r="F11450" t="s">
        <v>32606</v>
      </c>
      <c r="G11450" t="s">
        <v>32613</v>
      </c>
      <c r="H11450" t="s">
        <v>14201</v>
      </c>
      <c r="I11450" t="s">
        <v>6931</v>
      </c>
      <c r="J11450" t="s">
        <v>35141</v>
      </c>
      <c r="K11450" t="s">
        <v>42624</v>
      </c>
      <c r="M11450" t="s">
        <v>44368</v>
      </c>
      <c r="N11450" t="s">
        <v>47304</v>
      </c>
      <c r="O11450" t="s">
        <v>47305</v>
      </c>
      <c r="P11450">
        <v>0</v>
      </c>
      <c r="Q11450">
        <v>0</v>
      </c>
      <c r="R11450" t="s">
        <v>47315</v>
      </c>
      <c r="S11450" t="s">
        <v>47665</v>
      </c>
      <c r="T11450" t="s">
        <v>49257</v>
      </c>
      <c r="U11450" t="s">
        <v>52537</v>
      </c>
      <c r="W11450" t="s">
        <v>44368</v>
      </c>
      <c r="X11450" t="s">
        <v>47317</v>
      </c>
    </row>
    <row r="11451" spans="1:24">
      <c r="A11451">
        <f>HYPERLINK("https://www.philgeps.gov.ph/GEPSNONPILOT/Tender/SplashBidNoticeAbstractUI.aspx?menuIndex=3&amp;refID=7180053&amp;Result=3","7180053")</f>
        <v>0</v>
      </c>
      <c r="B11451" t="s">
        <v>1899</v>
      </c>
      <c r="C11451" t="s">
        <v>14677</v>
      </c>
      <c r="D11451" t="s">
        <v>19041</v>
      </c>
      <c r="E11451" t="s">
        <v>28840</v>
      </c>
      <c r="F11451" t="s">
        <v>32606</v>
      </c>
      <c r="G11451" t="s">
        <v>32613</v>
      </c>
      <c r="H11451" t="s">
        <v>32623</v>
      </c>
      <c r="I11451" t="s">
        <v>17648</v>
      </c>
      <c r="J11451" t="s">
        <v>39892</v>
      </c>
      <c r="K11451" t="s">
        <v>42649</v>
      </c>
      <c r="M11451" t="s">
        <v>44958</v>
      </c>
      <c r="N11451" t="s">
        <v>47304</v>
      </c>
      <c r="O11451" t="s">
        <v>47305</v>
      </c>
      <c r="P11451">
        <v>0</v>
      </c>
      <c r="Q11451">
        <v>0</v>
      </c>
      <c r="R11451" t="s">
        <v>47315</v>
      </c>
      <c r="S11451" t="s">
        <v>47665</v>
      </c>
      <c r="T11451" t="s">
        <v>49348</v>
      </c>
      <c r="U11451" t="s">
        <v>58991</v>
      </c>
      <c r="W11451" t="s">
        <v>44958</v>
      </c>
      <c r="X11451" t="s">
        <v>47318</v>
      </c>
    </row>
    <row r="11452" spans="1:24">
      <c r="A11452">
        <f>HYPERLINK("https://www.philgeps.gov.ph/GEPSNONPILOT/Tender/SplashBidNoticeAbstractUI.aspx?menuIndex=3&amp;refID=7179974&amp;Result=3","7179974")</f>
        <v>0</v>
      </c>
      <c r="B11452" t="s">
        <v>3295</v>
      </c>
      <c r="C11452" t="s">
        <v>4127</v>
      </c>
      <c r="D11452" t="s">
        <v>19006</v>
      </c>
      <c r="E11452" t="s">
        <v>28841</v>
      </c>
      <c r="F11452" t="s">
        <v>32606</v>
      </c>
      <c r="G11452" t="s">
        <v>32613</v>
      </c>
      <c r="H11452" t="s">
        <v>32623</v>
      </c>
      <c r="I11452" t="s">
        <v>17648</v>
      </c>
      <c r="J11452" t="s">
        <v>39893</v>
      </c>
      <c r="K11452" t="s">
        <v>42627</v>
      </c>
      <c r="M11452" t="s">
        <v>46535</v>
      </c>
      <c r="N11452" t="s">
        <v>47304</v>
      </c>
      <c r="O11452" t="s">
        <v>47305</v>
      </c>
      <c r="P11452">
        <v>0</v>
      </c>
      <c r="Q11452">
        <v>0</v>
      </c>
      <c r="R11452" t="s">
        <v>47315</v>
      </c>
      <c r="S11452" t="s">
        <v>47665</v>
      </c>
      <c r="T11452" t="s">
        <v>49076</v>
      </c>
      <c r="U11452" t="s">
        <v>58992</v>
      </c>
      <c r="W11452" t="s">
        <v>46535</v>
      </c>
      <c r="X11452" t="s">
        <v>47318</v>
      </c>
    </row>
    <row r="11453" spans="1:24">
      <c r="A11453">
        <f>HYPERLINK("https://www.philgeps.gov.ph/GEPSNONPILOT/Tender/SplashBidNoticeAbstractUI.aspx?menuIndex=3&amp;refID=7180481&amp;Result=3","7180481")</f>
        <v>0</v>
      </c>
      <c r="B11453" t="s">
        <v>3296</v>
      </c>
      <c r="C11453" t="s">
        <v>14678</v>
      </c>
      <c r="D11453" t="s">
        <v>19036</v>
      </c>
      <c r="E11453" t="s">
        <v>28842</v>
      </c>
      <c r="F11453" t="s">
        <v>32606</v>
      </c>
      <c r="G11453" t="s">
        <v>32613</v>
      </c>
      <c r="H11453" t="s">
        <v>32623</v>
      </c>
      <c r="I11453" t="s">
        <v>17648</v>
      </c>
      <c r="J11453" t="s">
        <v>33757</v>
      </c>
      <c r="K11453" t="s">
        <v>42648</v>
      </c>
      <c r="M11453" t="s">
        <v>46536</v>
      </c>
      <c r="N11453" t="s">
        <v>47304</v>
      </c>
      <c r="O11453" t="s">
        <v>47305</v>
      </c>
      <c r="P11453">
        <v>0</v>
      </c>
      <c r="Q11453">
        <v>4</v>
      </c>
      <c r="R11453" t="s">
        <v>47315</v>
      </c>
      <c r="S11453" t="s">
        <v>47665</v>
      </c>
      <c r="T11453" t="s">
        <v>49087</v>
      </c>
      <c r="U11453" t="s">
        <v>58993</v>
      </c>
      <c r="W11453" t="s">
        <v>46536</v>
      </c>
      <c r="X11453" t="s">
        <v>47316</v>
      </c>
    </row>
    <row r="11454" spans="1:24">
      <c r="A11454">
        <f>HYPERLINK("https://www.philgeps.gov.ph/GEPSNONPILOT/Tender/SplashBidNoticeAbstractUI.aspx?menuIndex=3&amp;refID=7180163&amp;Result=3","7180163")</f>
        <v>0</v>
      </c>
      <c r="B11454" t="s">
        <v>1890</v>
      </c>
      <c r="C11454" t="s">
        <v>14679</v>
      </c>
      <c r="D11454" t="s">
        <v>19042</v>
      </c>
      <c r="E11454" t="s">
        <v>28843</v>
      </c>
      <c r="F11454" t="s">
        <v>32606</v>
      </c>
      <c r="G11454" t="s">
        <v>32613</v>
      </c>
      <c r="H11454" t="s">
        <v>14201</v>
      </c>
      <c r="I11454" t="s">
        <v>32706</v>
      </c>
      <c r="J11454" t="s">
        <v>33071</v>
      </c>
      <c r="K11454" t="s">
        <v>42639</v>
      </c>
      <c r="M11454" t="s">
        <v>44948</v>
      </c>
      <c r="N11454" t="s">
        <v>47304</v>
      </c>
      <c r="O11454" t="s">
        <v>47305</v>
      </c>
      <c r="P11454">
        <v>0</v>
      </c>
      <c r="Q11454">
        <v>14</v>
      </c>
      <c r="R11454" t="s">
        <v>47315</v>
      </c>
      <c r="S11454" t="s">
        <v>47665</v>
      </c>
      <c r="T11454" t="s">
        <v>49109</v>
      </c>
      <c r="U11454" t="s">
        <v>58994</v>
      </c>
      <c r="V11454" t="s">
        <v>63881</v>
      </c>
      <c r="W11454" t="s">
        <v>44948</v>
      </c>
      <c r="X11454" t="s">
        <v>47317</v>
      </c>
    </row>
    <row r="11455" spans="1:24">
      <c r="A11455">
        <f>HYPERLINK("https://www.philgeps.gov.ph/GEPSNONPILOT/Tender/SplashBidNoticeAbstractUI.aspx?menuIndex=3&amp;refID=7180480&amp;Result=3","7180480")</f>
        <v>0</v>
      </c>
      <c r="B11455" t="s">
        <v>3297</v>
      </c>
      <c r="C11455" t="s">
        <v>14680</v>
      </c>
      <c r="D11455" t="s">
        <v>19007</v>
      </c>
      <c r="E11455" t="s">
        <v>28844</v>
      </c>
      <c r="F11455" t="s">
        <v>32606</v>
      </c>
      <c r="G11455" t="s">
        <v>32613</v>
      </c>
      <c r="H11455" t="s">
        <v>14201</v>
      </c>
      <c r="I11455" t="s">
        <v>7064</v>
      </c>
      <c r="J11455" t="s">
        <v>39894</v>
      </c>
      <c r="K11455" t="s">
        <v>42634</v>
      </c>
      <c r="M11455" t="s">
        <v>46537</v>
      </c>
      <c r="N11455" t="s">
        <v>47304</v>
      </c>
      <c r="O11455" t="s">
        <v>47305</v>
      </c>
      <c r="P11455">
        <v>0</v>
      </c>
      <c r="Q11455">
        <v>7</v>
      </c>
      <c r="R11455" t="s">
        <v>47315</v>
      </c>
      <c r="S11455" t="s">
        <v>47665</v>
      </c>
      <c r="T11455" t="s">
        <v>49096</v>
      </c>
      <c r="U11455" t="s">
        <v>58995</v>
      </c>
      <c r="W11455" t="s">
        <v>46537</v>
      </c>
      <c r="X11455" t="s">
        <v>47316</v>
      </c>
    </row>
    <row r="11456" spans="1:24">
      <c r="A11456">
        <f>HYPERLINK("https://www.philgeps.gov.ph/GEPSNONPILOT/Tender/SplashBidNoticeAbstractUI.aspx?menuIndex=3&amp;refID=7180466&amp;Result=3","7180466")</f>
        <v>0</v>
      </c>
      <c r="B11456" t="s">
        <v>3298</v>
      </c>
      <c r="C11456" t="s">
        <v>14681</v>
      </c>
      <c r="D11456" t="s">
        <v>19041</v>
      </c>
      <c r="E11456" t="s">
        <v>28845</v>
      </c>
      <c r="F11456" t="s">
        <v>32606</v>
      </c>
      <c r="G11456" t="s">
        <v>32613</v>
      </c>
      <c r="H11456" t="s">
        <v>14201</v>
      </c>
      <c r="I11456" t="s">
        <v>32657</v>
      </c>
      <c r="J11456" t="s">
        <v>39895</v>
      </c>
      <c r="K11456" t="s">
        <v>42646</v>
      </c>
      <c r="M11456" t="s">
        <v>46538</v>
      </c>
      <c r="N11456" t="s">
        <v>47304</v>
      </c>
      <c r="O11456" t="s">
        <v>47305</v>
      </c>
      <c r="Q11456">
        <v>3</v>
      </c>
      <c r="R11456" t="s">
        <v>47315</v>
      </c>
      <c r="S11456" t="s">
        <v>47682</v>
      </c>
      <c r="T11456" t="s">
        <v>49115</v>
      </c>
      <c r="U11456" t="s">
        <v>58996</v>
      </c>
      <c r="W11456" t="s">
        <v>46538</v>
      </c>
      <c r="X11456" t="s">
        <v>47316</v>
      </c>
    </row>
    <row r="11457" spans="1:24">
      <c r="A11457">
        <f>HYPERLINK("https://www.philgeps.gov.ph/GEPSNONPILOT/Tender/SplashBidNoticeAbstractUI.aspx?menuIndex=3&amp;refID=7180065&amp;Result=3","7180065")</f>
        <v>0</v>
      </c>
      <c r="B11457" t="s">
        <v>3294</v>
      </c>
      <c r="C11457" t="s">
        <v>14682</v>
      </c>
      <c r="D11457" t="s">
        <v>19004</v>
      </c>
      <c r="E11457" t="s">
        <v>28846</v>
      </c>
      <c r="F11457" t="s">
        <v>32606</v>
      </c>
      <c r="G11457" t="s">
        <v>32613</v>
      </c>
      <c r="H11457" t="s">
        <v>32623</v>
      </c>
      <c r="I11457" t="s">
        <v>17648</v>
      </c>
      <c r="J11457" t="s">
        <v>39896</v>
      </c>
      <c r="K11457" t="s">
        <v>42631</v>
      </c>
      <c r="M11457" t="s">
        <v>46534</v>
      </c>
      <c r="N11457" t="s">
        <v>47304</v>
      </c>
      <c r="O11457" t="s">
        <v>47305</v>
      </c>
      <c r="P11457">
        <v>0</v>
      </c>
      <c r="Q11457">
        <v>1</v>
      </c>
      <c r="R11457" t="s">
        <v>47315</v>
      </c>
      <c r="S11457" t="s">
        <v>47665</v>
      </c>
      <c r="T11457" t="s">
        <v>49234</v>
      </c>
      <c r="U11457" t="s">
        <v>58987</v>
      </c>
      <c r="W11457" t="s">
        <v>46534</v>
      </c>
      <c r="X11457" t="s">
        <v>47318</v>
      </c>
    </row>
    <row r="11458" spans="1:24">
      <c r="A11458">
        <f>HYPERLINK("https://www.philgeps.gov.ph/GEPSNONPILOT/Tender/SplashBidNoticeAbstractUI.aspx?menuIndex=3&amp;refID=7180463&amp;Result=3","7180463")</f>
        <v>0</v>
      </c>
      <c r="B11458" t="s">
        <v>3298</v>
      </c>
      <c r="C11458" t="s">
        <v>14683</v>
      </c>
      <c r="D11458" t="s">
        <v>18993</v>
      </c>
      <c r="E11458" t="s">
        <v>28847</v>
      </c>
      <c r="F11458" t="s">
        <v>32606</v>
      </c>
      <c r="G11458" t="s">
        <v>32613</v>
      </c>
      <c r="H11458" t="s">
        <v>14201</v>
      </c>
      <c r="I11458" t="s">
        <v>32691</v>
      </c>
      <c r="J11458" t="s">
        <v>39897</v>
      </c>
      <c r="K11458" t="s">
        <v>42636</v>
      </c>
      <c r="M11458" t="s">
        <v>46538</v>
      </c>
      <c r="N11458" t="s">
        <v>47304</v>
      </c>
      <c r="O11458" t="s">
        <v>47305</v>
      </c>
      <c r="Q11458">
        <v>14</v>
      </c>
      <c r="R11458" t="s">
        <v>47315</v>
      </c>
      <c r="S11458" t="s">
        <v>47683</v>
      </c>
      <c r="T11458" t="s">
        <v>49115</v>
      </c>
      <c r="U11458" t="s">
        <v>58997</v>
      </c>
      <c r="W11458" t="s">
        <v>46538</v>
      </c>
      <c r="X11458" t="s">
        <v>47316</v>
      </c>
    </row>
    <row r="11459" spans="1:24">
      <c r="A11459">
        <f>HYPERLINK("https://www.philgeps.gov.ph/GEPSNONPILOT/Tender/SplashBidNoticeAbstractUI.aspx?menuIndex=3&amp;refID=7180435&amp;Result=3","7180435")</f>
        <v>0</v>
      </c>
      <c r="B11459" t="s">
        <v>39</v>
      </c>
      <c r="C11459" t="s">
        <v>14684</v>
      </c>
      <c r="D11459" t="s">
        <v>18990</v>
      </c>
      <c r="E11459" t="s">
        <v>28848</v>
      </c>
      <c r="F11459" t="s">
        <v>32606</v>
      </c>
      <c r="G11459" t="s">
        <v>32613</v>
      </c>
      <c r="H11459" t="s">
        <v>32623</v>
      </c>
      <c r="I11459" t="s">
        <v>17648</v>
      </c>
      <c r="J11459" t="s">
        <v>39898</v>
      </c>
      <c r="K11459" t="s">
        <v>42682</v>
      </c>
      <c r="M11459" t="s">
        <v>42936</v>
      </c>
      <c r="N11459" t="s">
        <v>47304</v>
      </c>
      <c r="O11459" t="s">
        <v>47305</v>
      </c>
      <c r="P11459">
        <v>0</v>
      </c>
      <c r="Q11459">
        <v>0</v>
      </c>
      <c r="R11459" t="s">
        <v>47315</v>
      </c>
      <c r="S11459" t="s">
        <v>47665</v>
      </c>
      <c r="T11459" t="s">
        <v>49129</v>
      </c>
      <c r="U11459" t="s">
        <v>58998</v>
      </c>
      <c r="W11459" t="s">
        <v>42936</v>
      </c>
      <c r="X11459" t="s">
        <v>47316</v>
      </c>
    </row>
    <row r="11460" spans="1:24">
      <c r="A11460">
        <f>HYPERLINK("https://www.philgeps.gov.ph/GEPSNONPILOT/Tender/SplashBidNoticeAbstractUI.aspx?menuIndex=3&amp;refID=7180289&amp;Result=3","7180289")</f>
        <v>0</v>
      </c>
      <c r="B11460" t="s">
        <v>3293</v>
      </c>
      <c r="C11460" t="s">
        <v>14685</v>
      </c>
      <c r="D11460" t="s">
        <v>19013</v>
      </c>
      <c r="E11460" t="s">
        <v>28849</v>
      </c>
      <c r="F11460" t="s">
        <v>32606</v>
      </c>
      <c r="G11460" t="s">
        <v>32613</v>
      </c>
      <c r="H11460" t="s">
        <v>32623</v>
      </c>
      <c r="I11460" t="s">
        <v>17648</v>
      </c>
      <c r="J11460" t="s">
        <v>39899</v>
      </c>
      <c r="K11460" t="s">
        <v>42639</v>
      </c>
      <c r="M11460" t="s">
        <v>46533</v>
      </c>
      <c r="N11460" t="s">
        <v>47304</v>
      </c>
      <c r="O11460" t="s">
        <v>47305</v>
      </c>
      <c r="P11460">
        <v>0</v>
      </c>
      <c r="Q11460">
        <v>0</v>
      </c>
      <c r="R11460" t="s">
        <v>47315</v>
      </c>
      <c r="S11460" t="s">
        <v>47665</v>
      </c>
      <c r="T11460" t="s">
        <v>49084</v>
      </c>
      <c r="U11460" t="s">
        <v>58999</v>
      </c>
      <c r="V11460" t="s">
        <v>63882</v>
      </c>
      <c r="W11460" t="s">
        <v>46533</v>
      </c>
      <c r="X11460" t="s">
        <v>47317</v>
      </c>
    </row>
    <row r="11461" spans="1:24">
      <c r="A11461">
        <f>HYPERLINK("https://www.philgeps.gov.ph/GEPSNONPILOT/Tender/SplashBidNoticeAbstractUI.aspx?menuIndex=3&amp;refID=7180434&amp;Result=3","7180434")</f>
        <v>0</v>
      </c>
      <c r="B11461" t="s">
        <v>39</v>
      </c>
      <c r="C11461" t="s">
        <v>14686</v>
      </c>
      <c r="D11461" t="s">
        <v>18990</v>
      </c>
      <c r="E11461" t="s">
        <v>28850</v>
      </c>
      <c r="F11461" t="s">
        <v>32606</v>
      </c>
      <c r="G11461" t="s">
        <v>32613</v>
      </c>
      <c r="H11461" t="s">
        <v>32623</v>
      </c>
      <c r="I11461" t="s">
        <v>17648</v>
      </c>
      <c r="J11461" t="s">
        <v>39900</v>
      </c>
      <c r="K11461" t="s">
        <v>42648</v>
      </c>
      <c r="M11461" t="s">
        <v>42936</v>
      </c>
      <c r="N11461" t="s">
        <v>47304</v>
      </c>
      <c r="O11461" t="s">
        <v>47305</v>
      </c>
      <c r="P11461">
        <v>0</v>
      </c>
      <c r="Q11461">
        <v>0</v>
      </c>
      <c r="R11461" t="s">
        <v>47315</v>
      </c>
      <c r="S11461" t="s">
        <v>47665</v>
      </c>
      <c r="T11461" t="s">
        <v>49129</v>
      </c>
      <c r="U11461" t="s">
        <v>59000</v>
      </c>
      <c r="W11461" t="s">
        <v>42936</v>
      </c>
      <c r="X11461" t="s">
        <v>47316</v>
      </c>
    </row>
    <row r="11462" spans="1:24">
      <c r="A11462">
        <f>HYPERLINK("https://www.philgeps.gov.ph/GEPSNONPILOT/Tender/SplashBidNoticeAbstractUI.aspx?menuIndex=3&amp;refID=7180421&amp;Result=3","7180421")</f>
        <v>0</v>
      </c>
      <c r="B11462" t="s">
        <v>540</v>
      </c>
      <c r="C11462" t="s">
        <v>14687</v>
      </c>
      <c r="D11462" t="s">
        <v>19001</v>
      </c>
      <c r="E11462" t="s">
        <v>28851</v>
      </c>
      <c r="F11462" t="s">
        <v>32606</v>
      </c>
      <c r="G11462" t="s">
        <v>32613</v>
      </c>
      <c r="H11462" t="s">
        <v>14201</v>
      </c>
      <c r="I11462" t="s">
        <v>7064</v>
      </c>
      <c r="J11462" t="s">
        <v>39901</v>
      </c>
      <c r="K11462" t="s">
        <v>42631</v>
      </c>
      <c r="M11462" t="s">
        <v>43781</v>
      </c>
      <c r="N11462" t="s">
        <v>47304</v>
      </c>
      <c r="O11462" t="s">
        <v>47305</v>
      </c>
      <c r="P11462">
        <v>0</v>
      </c>
      <c r="Q11462">
        <v>0</v>
      </c>
      <c r="R11462" t="s">
        <v>47315</v>
      </c>
      <c r="S11462" t="s">
        <v>47665</v>
      </c>
      <c r="T11462" t="s">
        <v>49075</v>
      </c>
      <c r="U11462" t="s">
        <v>59001</v>
      </c>
      <c r="W11462" t="s">
        <v>43781</v>
      </c>
      <c r="X11462" t="s">
        <v>47317</v>
      </c>
    </row>
    <row r="11463" spans="1:24">
      <c r="A11463">
        <f>HYPERLINK("https://www.philgeps.gov.ph/GEPSNONPILOT/Tender/SplashBidNoticeAbstractUI.aspx?menuIndex=3&amp;refID=7180405&amp;Result=3","7180405")</f>
        <v>0</v>
      </c>
      <c r="B11463" t="s">
        <v>1598</v>
      </c>
      <c r="C11463" t="s">
        <v>14688</v>
      </c>
      <c r="D11463" t="s">
        <v>18993</v>
      </c>
      <c r="E11463" t="s">
        <v>28852</v>
      </c>
      <c r="F11463" t="s">
        <v>32606</v>
      </c>
      <c r="G11463" t="s">
        <v>32613</v>
      </c>
      <c r="H11463" t="s">
        <v>32623</v>
      </c>
      <c r="I11463" t="s">
        <v>17648</v>
      </c>
      <c r="J11463" t="s">
        <v>39902</v>
      </c>
      <c r="K11463" t="s">
        <v>42648</v>
      </c>
      <c r="M11463" t="s">
        <v>44613</v>
      </c>
      <c r="N11463" t="s">
        <v>47304</v>
      </c>
      <c r="O11463" t="s">
        <v>47305</v>
      </c>
      <c r="P11463">
        <v>0</v>
      </c>
      <c r="Q11463">
        <v>8</v>
      </c>
      <c r="R11463" t="s">
        <v>47315</v>
      </c>
      <c r="S11463" t="s">
        <v>47665</v>
      </c>
      <c r="T11463" t="s">
        <v>49240</v>
      </c>
      <c r="U11463" t="s">
        <v>59002</v>
      </c>
      <c r="W11463" t="s">
        <v>44613</v>
      </c>
      <c r="X11463" t="s">
        <v>47317</v>
      </c>
    </row>
    <row r="11464" spans="1:24">
      <c r="A11464">
        <f>HYPERLINK("https://www.philgeps.gov.ph/GEPSNONPILOT/Tender/SplashBidNoticeAbstractUI.aspx?menuIndex=3&amp;refID=7180460&amp;Result=3","7180460")</f>
        <v>0</v>
      </c>
      <c r="B11464" t="s">
        <v>3298</v>
      </c>
      <c r="C11464" t="s">
        <v>14689</v>
      </c>
      <c r="D11464" t="s">
        <v>18993</v>
      </c>
      <c r="E11464" t="s">
        <v>28853</v>
      </c>
      <c r="F11464" t="s">
        <v>32606</v>
      </c>
      <c r="G11464" t="s">
        <v>32613</v>
      </c>
      <c r="H11464" t="s">
        <v>14201</v>
      </c>
      <c r="I11464" t="s">
        <v>32652</v>
      </c>
      <c r="J11464" t="s">
        <v>37515</v>
      </c>
      <c r="K11464" t="s">
        <v>42646</v>
      </c>
      <c r="M11464" t="s">
        <v>46538</v>
      </c>
      <c r="N11464" t="s">
        <v>47304</v>
      </c>
      <c r="O11464" t="s">
        <v>47305</v>
      </c>
      <c r="Q11464">
        <v>3</v>
      </c>
      <c r="R11464" t="s">
        <v>47315</v>
      </c>
      <c r="S11464" t="s">
        <v>47684</v>
      </c>
      <c r="T11464" t="s">
        <v>49115</v>
      </c>
      <c r="U11464" t="s">
        <v>59003</v>
      </c>
      <c r="W11464" t="s">
        <v>46538</v>
      </c>
      <c r="X11464" t="s">
        <v>47316</v>
      </c>
    </row>
    <row r="11465" spans="1:24">
      <c r="A11465">
        <f>HYPERLINK("https://www.philgeps.gov.ph/GEPSNONPILOT/Tender/SplashBidNoticeAbstractUI.aspx?menuIndex=3&amp;refID=7180423&amp;Result=3","7180423")</f>
        <v>0</v>
      </c>
      <c r="B11465" t="s">
        <v>540</v>
      </c>
      <c r="C11465" t="s">
        <v>14690</v>
      </c>
      <c r="D11465" t="s">
        <v>19001</v>
      </c>
      <c r="E11465" t="s">
        <v>28854</v>
      </c>
      <c r="F11465" t="s">
        <v>32606</v>
      </c>
      <c r="G11465" t="s">
        <v>32613</v>
      </c>
      <c r="H11465" t="s">
        <v>14201</v>
      </c>
      <c r="I11465" t="s">
        <v>32662</v>
      </c>
      <c r="J11465" t="s">
        <v>33043</v>
      </c>
      <c r="K11465" t="s">
        <v>42631</v>
      </c>
      <c r="M11465" t="s">
        <v>43781</v>
      </c>
      <c r="N11465" t="s">
        <v>47304</v>
      </c>
      <c r="O11465" t="s">
        <v>47305</v>
      </c>
      <c r="P11465">
        <v>0</v>
      </c>
      <c r="Q11465">
        <v>13</v>
      </c>
      <c r="R11465" t="s">
        <v>47315</v>
      </c>
      <c r="S11465" t="s">
        <v>47665</v>
      </c>
      <c r="T11465" t="s">
        <v>49075</v>
      </c>
      <c r="U11465" t="s">
        <v>59004</v>
      </c>
      <c r="W11465" t="s">
        <v>43781</v>
      </c>
      <c r="X11465" t="s">
        <v>47316</v>
      </c>
    </row>
    <row r="11466" spans="1:24">
      <c r="A11466">
        <f>HYPERLINK("https://www.philgeps.gov.ph/GEPSNONPILOT/Tender/SplashBidNoticeAbstractUI.aspx?menuIndex=3&amp;refID=7180422&amp;Result=3","7180422")</f>
        <v>0</v>
      </c>
      <c r="B11466" t="s">
        <v>540</v>
      </c>
      <c r="C11466" t="s">
        <v>14691</v>
      </c>
      <c r="D11466" t="s">
        <v>19001</v>
      </c>
      <c r="E11466" t="s">
        <v>28855</v>
      </c>
      <c r="F11466" t="s">
        <v>32606</v>
      </c>
      <c r="G11466" t="s">
        <v>32613</v>
      </c>
      <c r="H11466" t="s">
        <v>14201</v>
      </c>
      <c r="I11466" t="s">
        <v>4369</v>
      </c>
      <c r="J11466" t="s">
        <v>39903</v>
      </c>
      <c r="K11466" t="s">
        <v>42622</v>
      </c>
      <c r="M11466" t="s">
        <v>43781</v>
      </c>
      <c r="N11466" t="s">
        <v>47304</v>
      </c>
      <c r="O11466" t="s">
        <v>47305</v>
      </c>
      <c r="P11466">
        <v>0</v>
      </c>
      <c r="Q11466">
        <v>8</v>
      </c>
      <c r="R11466" t="s">
        <v>47315</v>
      </c>
      <c r="S11466" t="s">
        <v>47665</v>
      </c>
      <c r="T11466" t="s">
        <v>49075</v>
      </c>
      <c r="U11466" t="s">
        <v>59005</v>
      </c>
      <c r="W11466" t="s">
        <v>43781</v>
      </c>
      <c r="X11466" t="s">
        <v>47316</v>
      </c>
    </row>
    <row r="11467" spans="1:24">
      <c r="A11467">
        <f>HYPERLINK("https://www.philgeps.gov.ph/GEPSNONPILOT/Tender/SplashBidNoticeAbstractUI.aspx?menuIndex=3&amp;refID=7180351&amp;Result=3","7180351")</f>
        <v>0</v>
      </c>
      <c r="B11467" t="s">
        <v>696</v>
      </c>
      <c r="C11467" t="s">
        <v>14692</v>
      </c>
      <c r="D11467" t="s">
        <v>19007</v>
      </c>
      <c r="E11467" t="s">
        <v>28856</v>
      </c>
      <c r="F11467" t="s">
        <v>32606</v>
      </c>
      <c r="G11467" t="s">
        <v>32613</v>
      </c>
      <c r="H11467" t="s">
        <v>14201</v>
      </c>
      <c r="I11467" t="s">
        <v>32686</v>
      </c>
      <c r="J11467" t="s">
        <v>39904</v>
      </c>
      <c r="K11467" t="s">
        <v>42624</v>
      </c>
      <c r="M11467" t="s">
        <v>43969</v>
      </c>
      <c r="N11467" t="s">
        <v>47304</v>
      </c>
      <c r="O11467" t="s">
        <v>47305</v>
      </c>
      <c r="P11467">
        <v>0</v>
      </c>
      <c r="Q11467">
        <v>3</v>
      </c>
      <c r="R11467" t="s">
        <v>47315</v>
      </c>
      <c r="S11467" t="s">
        <v>47665</v>
      </c>
      <c r="T11467" t="s">
        <v>49291</v>
      </c>
      <c r="U11467" t="s">
        <v>59006</v>
      </c>
      <c r="V11467" t="s">
        <v>63883</v>
      </c>
      <c r="W11467" t="s">
        <v>43969</v>
      </c>
      <c r="X11467" t="s">
        <v>47317</v>
      </c>
    </row>
    <row r="11468" spans="1:24">
      <c r="A11468">
        <f>HYPERLINK("https://www.philgeps.gov.ph/GEPSNONPILOT/Tender/SplashBidNoticeAbstractUI.aspx?menuIndex=3&amp;refID=7180347&amp;Result=3","7180347")</f>
        <v>0</v>
      </c>
      <c r="B11468" t="s">
        <v>696</v>
      </c>
      <c r="C11468" t="s">
        <v>14693</v>
      </c>
      <c r="D11468" t="s">
        <v>19054</v>
      </c>
      <c r="E11468" t="s">
        <v>28857</v>
      </c>
      <c r="F11468" t="s">
        <v>32606</v>
      </c>
      <c r="G11468" t="s">
        <v>32613</v>
      </c>
      <c r="H11468" t="s">
        <v>14201</v>
      </c>
      <c r="I11468" t="s">
        <v>32686</v>
      </c>
      <c r="J11468" t="s">
        <v>39905</v>
      </c>
      <c r="K11468" t="s">
        <v>42624</v>
      </c>
      <c r="M11468" t="s">
        <v>43969</v>
      </c>
      <c r="N11468" t="s">
        <v>47304</v>
      </c>
      <c r="O11468" t="s">
        <v>47305</v>
      </c>
      <c r="P11468">
        <v>0</v>
      </c>
      <c r="Q11468">
        <v>1</v>
      </c>
      <c r="R11468" t="s">
        <v>47315</v>
      </c>
      <c r="S11468" t="s">
        <v>47665</v>
      </c>
      <c r="T11468" t="s">
        <v>49291</v>
      </c>
      <c r="U11468" t="s">
        <v>59006</v>
      </c>
      <c r="V11468" t="s">
        <v>63883</v>
      </c>
      <c r="W11468" t="s">
        <v>43969</v>
      </c>
      <c r="X11468" t="s">
        <v>47317</v>
      </c>
    </row>
    <row r="11469" spans="1:24">
      <c r="A11469">
        <f>HYPERLINK("https://www.philgeps.gov.ph/GEPSNONPILOT/Tender/SplashBidNoticeAbstractUI.aspx?menuIndex=3&amp;refID=7179978&amp;Result=3","7179978")</f>
        <v>0</v>
      </c>
      <c r="B11469" t="s">
        <v>3299</v>
      </c>
      <c r="C11469" t="s">
        <v>14694</v>
      </c>
      <c r="D11469" t="s">
        <v>19006</v>
      </c>
      <c r="E11469" t="s">
        <v>28858</v>
      </c>
      <c r="F11469" t="s">
        <v>32606</v>
      </c>
      <c r="G11469" t="s">
        <v>32613</v>
      </c>
      <c r="H11469" t="s">
        <v>32623</v>
      </c>
      <c r="I11469" t="s">
        <v>17648</v>
      </c>
      <c r="J11469" t="s">
        <v>39906</v>
      </c>
      <c r="K11469" t="s">
        <v>42627</v>
      </c>
      <c r="M11469" t="s">
        <v>46539</v>
      </c>
      <c r="N11469" t="s">
        <v>47304</v>
      </c>
      <c r="O11469" t="s">
        <v>47305</v>
      </c>
      <c r="P11469">
        <v>0</v>
      </c>
      <c r="Q11469">
        <v>0</v>
      </c>
      <c r="R11469" t="s">
        <v>47315</v>
      </c>
      <c r="S11469" t="s">
        <v>47665</v>
      </c>
      <c r="T11469" t="s">
        <v>49076</v>
      </c>
      <c r="U11469" t="s">
        <v>59007</v>
      </c>
      <c r="W11469" t="s">
        <v>46539</v>
      </c>
      <c r="X11469" t="s">
        <v>47318</v>
      </c>
    </row>
    <row r="11470" spans="1:24">
      <c r="A11470">
        <f>HYPERLINK("https://www.philgeps.gov.ph/GEPSNONPILOT/Tender/SplashBidNoticeAbstractUI.aspx?menuIndex=3&amp;refID=7180315&amp;Result=3","7180315")</f>
        <v>0</v>
      </c>
      <c r="B11470" t="s">
        <v>3300</v>
      </c>
      <c r="C11470" t="s">
        <v>14695</v>
      </c>
      <c r="D11470" t="s">
        <v>19007</v>
      </c>
      <c r="E11470" t="s">
        <v>28859</v>
      </c>
      <c r="F11470" t="s">
        <v>32606</v>
      </c>
      <c r="G11470" t="s">
        <v>32613</v>
      </c>
      <c r="H11470" t="s">
        <v>32623</v>
      </c>
      <c r="I11470" t="s">
        <v>6931</v>
      </c>
      <c r="J11470" t="s">
        <v>33382</v>
      </c>
      <c r="K11470" t="s">
        <v>42712</v>
      </c>
      <c r="M11470" t="s">
        <v>46540</v>
      </c>
      <c r="N11470" t="s">
        <v>47304</v>
      </c>
      <c r="O11470" t="s">
        <v>47305</v>
      </c>
      <c r="P11470">
        <v>0</v>
      </c>
      <c r="Q11470">
        <v>0</v>
      </c>
      <c r="R11470" t="s">
        <v>47315</v>
      </c>
      <c r="S11470" t="s">
        <v>47665</v>
      </c>
      <c r="T11470" t="s">
        <v>49007</v>
      </c>
      <c r="U11470" t="s">
        <v>59008</v>
      </c>
      <c r="V11470" t="s">
        <v>50046</v>
      </c>
      <c r="W11470" t="s">
        <v>46540</v>
      </c>
      <c r="X11470" t="s">
        <v>47317</v>
      </c>
    </row>
    <row r="11471" spans="1:24">
      <c r="A11471">
        <f>HYPERLINK("https://www.philgeps.gov.ph/GEPSNONPILOT/Tender/SplashBidNoticeAbstractUI.aspx?menuIndex=3&amp;refID=7180320&amp;Result=3","7180320")</f>
        <v>0</v>
      </c>
      <c r="B11471" t="s">
        <v>1884</v>
      </c>
      <c r="C11471" t="s">
        <v>14696</v>
      </c>
      <c r="D11471" t="s">
        <v>18993</v>
      </c>
      <c r="E11471" t="s">
        <v>28860</v>
      </c>
      <c r="F11471" t="s">
        <v>32606</v>
      </c>
      <c r="G11471" t="s">
        <v>32613</v>
      </c>
      <c r="H11471" t="s">
        <v>14201</v>
      </c>
      <c r="I11471" t="s">
        <v>32744</v>
      </c>
      <c r="J11471" t="s">
        <v>33071</v>
      </c>
      <c r="K11471" t="s">
        <v>42639</v>
      </c>
      <c r="M11471" t="s">
        <v>46515</v>
      </c>
      <c r="N11471" t="s">
        <v>47304</v>
      </c>
      <c r="O11471" t="s">
        <v>47305</v>
      </c>
      <c r="P11471">
        <v>0</v>
      </c>
      <c r="Q11471">
        <v>4</v>
      </c>
      <c r="R11471" t="s">
        <v>47315</v>
      </c>
      <c r="S11471" t="s">
        <v>47665</v>
      </c>
      <c r="T11471" t="s">
        <v>49364</v>
      </c>
      <c r="U11471" t="s">
        <v>59009</v>
      </c>
      <c r="W11471" t="s">
        <v>46515</v>
      </c>
      <c r="X11471" t="s">
        <v>47317</v>
      </c>
    </row>
    <row r="11472" spans="1:24">
      <c r="A11472">
        <f>HYPERLINK("https://www.philgeps.gov.ph/GEPSNONPILOT/Tender/SplashBidNoticeAbstractUI.aspx?menuIndex=3&amp;refID=7180049&amp;Result=3","7180049")</f>
        <v>0</v>
      </c>
      <c r="B11472" t="s">
        <v>1899</v>
      </c>
      <c r="C11472" t="s">
        <v>14697</v>
      </c>
      <c r="D11472" t="s">
        <v>19041</v>
      </c>
      <c r="E11472" t="s">
        <v>28861</v>
      </c>
      <c r="F11472" t="s">
        <v>32606</v>
      </c>
      <c r="G11472" t="s">
        <v>32613</v>
      </c>
      <c r="H11472" t="s">
        <v>32623</v>
      </c>
      <c r="I11472" t="s">
        <v>17648</v>
      </c>
      <c r="J11472" t="s">
        <v>39907</v>
      </c>
      <c r="K11472" t="s">
        <v>42859</v>
      </c>
      <c r="M11472" t="s">
        <v>44958</v>
      </c>
      <c r="N11472" t="s">
        <v>47304</v>
      </c>
      <c r="O11472" t="s">
        <v>47305</v>
      </c>
      <c r="P11472">
        <v>0</v>
      </c>
      <c r="Q11472">
        <v>0</v>
      </c>
      <c r="R11472" t="s">
        <v>47315</v>
      </c>
      <c r="S11472" t="s">
        <v>47665</v>
      </c>
      <c r="T11472" t="s">
        <v>49348</v>
      </c>
      <c r="U11472" t="s">
        <v>59010</v>
      </c>
      <c r="W11472" t="s">
        <v>44958</v>
      </c>
      <c r="X11472" t="s">
        <v>47318</v>
      </c>
    </row>
    <row r="11473" spans="1:24">
      <c r="A11473">
        <f>HYPERLINK("https://www.philgeps.gov.ph/GEPSNONPILOT/Tender/SplashBidNoticeAbstractUI.aspx?menuIndex=3&amp;refID=7180050&amp;Result=3","7180050")</f>
        <v>0</v>
      </c>
      <c r="B11473" t="s">
        <v>1899</v>
      </c>
      <c r="C11473" t="s">
        <v>14698</v>
      </c>
      <c r="D11473" t="s">
        <v>19041</v>
      </c>
      <c r="E11473" t="s">
        <v>28862</v>
      </c>
      <c r="F11473" t="s">
        <v>32606</v>
      </c>
      <c r="G11473" t="s">
        <v>32613</v>
      </c>
      <c r="H11473" t="s">
        <v>32623</v>
      </c>
      <c r="I11473" t="s">
        <v>17648</v>
      </c>
      <c r="J11473" t="s">
        <v>39908</v>
      </c>
      <c r="K11473" t="s">
        <v>42648</v>
      </c>
      <c r="M11473" t="s">
        <v>44958</v>
      </c>
      <c r="N11473" t="s">
        <v>47304</v>
      </c>
      <c r="O11473" t="s">
        <v>47305</v>
      </c>
      <c r="P11473">
        <v>0</v>
      </c>
      <c r="Q11473">
        <v>0</v>
      </c>
      <c r="R11473" t="s">
        <v>47315</v>
      </c>
      <c r="S11473" t="s">
        <v>47665</v>
      </c>
      <c r="T11473" t="s">
        <v>49348</v>
      </c>
      <c r="U11473" t="s">
        <v>59011</v>
      </c>
      <c r="W11473" t="s">
        <v>44958</v>
      </c>
      <c r="X11473" t="s">
        <v>47318</v>
      </c>
    </row>
    <row r="11474" spans="1:24">
      <c r="A11474">
        <f>HYPERLINK("https://www.philgeps.gov.ph/GEPSNONPILOT/Tender/SplashBidNoticeAbstractUI.aspx?menuIndex=3&amp;refID=7180314&amp;Result=3","7180314")</f>
        <v>0</v>
      </c>
      <c r="B11474" t="s">
        <v>2115</v>
      </c>
      <c r="C11474" t="s">
        <v>14699</v>
      </c>
      <c r="D11474" t="s">
        <v>19008</v>
      </c>
      <c r="E11474" t="s">
        <v>28863</v>
      </c>
      <c r="F11474" t="s">
        <v>32606</v>
      </c>
      <c r="G11474" t="s">
        <v>32613</v>
      </c>
      <c r="H11474" t="s">
        <v>32623</v>
      </c>
      <c r="I11474" t="s">
        <v>17648</v>
      </c>
      <c r="J11474" t="s">
        <v>39909</v>
      </c>
      <c r="K11474" t="s">
        <v>42860</v>
      </c>
      <c r="M11474" t="s">
        <v>46541</v>
      </c>
      <c r="N11474" t="s">
        <v>47304</v>
      </c>
      <c r="O11474" t="s">
        <v>47305</v>
      </c>
      <c r="P11474">
        <v>0</v>
      </c>
      <c r="Q11474">
        <v>3</v>
      </c>
      <c r="R11474" t="s">
        <v>47315</v>
      </c>
      <c r="S11474" t="s">
        <v>47665</v>
      </c>
      <c r="T11474" t="s">
        <v>49157</v>
      </c>
      <c r="U11474" t="s">
        <v>58178</v>
      </c>
      <c r="V11474" t="s">
        <v>62846</v>
      </c>
      <c r="W11474" t="s">
        <v>46541</v>
      </c>
      <c r="X11474" t="s">
        <v>47317</v>
      </c>
    </row>
    <row r="11475" spans="1:24">
      <c r="A11475">
        <f>HYPERLINK("https://www.philgeps.gov.ph/GEPSNONPILOT/Tender/SplashBidNoticeAbstractUI.aspx?menuIndex=3&amp;refID=7180475&amp;Result=3","7180475")</f>
        <v>0</v>
      </c>
      <c r="B11475" t="s">
        <v>3296</v>
      </c>
      <c r="C11475" t="s">
        <v>14700</v>
      </c>
      <c r="D11475" t="s">
        <v>19036</v>
      </c>
      <c r="E11475" t="s">
        <v>28864</v>
      </c>
      <c r="F11475" t="s">
        <v>32606</v>
      </c>
      <c r="G11475" t="s">
        <v>32613</v>
      </c>
      <c r="H11475" t="s">
        <v>32623</v>
      </c>
      <c r="I11475" t="s">
        <v>17648</v>
      </c>
      <c r="J11475" t="s">
        <v>32767</v>
      </c>
      <c r="K11475" t="s">
        <v>42636</v>
      </c>
      <c r="M11475" t="s">
        <v>46536</v>
      </c>
      <c r="N11475" t="s">
        <v>47304</v>
      </c>
      <c r="O11475" t="s">
        <v>47305</v>
      </c>
      <c r="P11475">
        <v>0</v>
      </c>
      <c r="Q11475">
        <v>4</v>
      </c>
      <c r="R11475" t="s">
        <v>47315</v>
      </c>
      <c r="S11475" t="s">
        <v>47665</v>
      </c>
      <c r="T11475" t="s">
        <v>49087</v>
      </c>
      <c r="U11475" t="s">
        <v>59012</v>
      </c>
      <c r="W11475" t="s">
        <v>46536</v>
      </c>
      <c r="X11475" t="s">
        <v>47316</v>
      </c>
    </row>
    <row r="11476" spans="1:24">
      <c r="A11476">
        <f>HYPERLINK("https://www.philgeps.gov.ph/GEPSNONPILOT/Tender/SplashBidNoticeAbstractUI.aspx?menuIndex=3&amp;refID=7180485&amp;Result=3","7180485")</f>
        <v>0</v>
      </c>
      <c r="B11476" t="s">
        <v>3296</v>
      </c>
      <c r="C11476" t="s">
        <v>14701</v>
      </c>
      <c r="D11476" t="s">
        <v>19036</v>
      </c>
      <c r="E11476" t="s">
        <v>28865</v>
      </c>
      <c r="F11476" t="s">
        <v>32606</v>
      </c>
      <c r="G11476" t="s">
        <v>32613</v>
      </c>
      <c r="H11476" t="s">
        <v>32623</v>
      </c>
      <c r="I11476" t="s">
        <v>17648</v>
      </c>
      <c r="J11476" t="s">
        <v>32830</v>
      </c>
      <c r="K11476" t="s">
        <v>42636</v>
      </c>
      <c r="M11476" t="s">
        <v>46536</v>
      </c>
      <c r="N11476" t="s">
        <v>47304</v>
      </c>
      <c r="O11476" t="s">
        <v>47305</v>
      </c>
      <c r="P11476">
        <v>0</v>
      </c>
      <c r="Q11476">
        <v>3</v>
      </c>
      <c r="R11476" t="s">
        <v>47315</v>
      </c>
      <c r="S11476" t="s">
        <v>47665</v>
      </c>
      <c r="T11476" t="s">
        <v>49087</v>
      </c>
      <c r="U11476" t="s">
        <v>59013</v>
      </c>
      <c r="W11476" t="s">
        <v>46536</v>
      </c>
      <c r="X11476" t="s">
        <v>47316</v>
      </c>
    </row>
    <row r="11477" spans="1:24">
      <c r="A11477">
        <f>HYPERLINK("https://www.philgeps.gov.ph/GEPSNONPILOT/Tender/SplashBidNoticeAbstractUI.aspx?menuIndex=3&amp;refID=7180540&amp;Result=3","7180540")</f>
        <v>0</v>
      </c>
      <c r="B11477" t="s">
        <v>1129</v>
      </c>
      <c r="C11477" t="s">
        <v>14702</v>
      </c>
      <c r="D11477" t="s">
        <v>18993</v>
      </c>
      <c r="E11477" t="s">
        <v>28866</v>
      </c>
      <c r="F11477" t="s">
        <v>32606</v>
      </c>
      <c r="G11477" t="s">
        <v>32613</v>
      </c>
      <c r="H11477" t="s">
        <v>32623</v>
      </c>
      <c r="I11477" t="s">
        <v>17648</v>
      </c>
      <c r="J11477" t="s">
        <v>39910</v>
      </c>
      <c r="K11477" t="s">
        <v>42861</v>
      </c>
      <c r="M11477" t="s">
        <v>44091</v>
      </c>
      <c r="N11477" t="s">
        <v>47304</v>
      </c>
      <c r="O11477" t="s">
        <v>47305</v>
      </c>
      <c r="Q11477">
        <v>8</v>
      </c>
      <c r="R11477" t="s">
        <v>47315</v>
      </c>
      <c r="S11477" t="s">
        <v>47685</v>
      </c>
      <c r="T11477" t="s">
        <v>49266</v>
      </c>
      <c r="U11477" t="s">
        <v>51973</v>
      </c>
      <c r="W11477" t="s">
        <v>44091</v>
      </c>
      <c r="X11477" t="s">
        <v>47316</v>
      </c>
    </row>
    <row r="11478" spans="1:24">
      <c r="A11478">
        <f>HYPERLINK("https://www.philgeps.gov.ph/GEPSNONPILOT/Tender/SplashBidNoticeAbstractUI.aspx?menuIndex=3&amp;refID=7180368&amp;Result=3","7180368")</f>
        <v>0</v>
      </c>
      <c r="B11478" t="s">
        <v>3301</v>
      </c>
      <c r="C11478" t="s">
        <v>14703</v>
      </c>
      <c r="D11478" t="s">
        <v>19010</v>
      </c>
      <c r="E11478" t="s">
        <v>20959</v>
      </c>
      <c r="F11478" t="s">
        <v>32606</v>
      </c>
      <c r="G11478" t="s">
        <v>32613</v>
      </c>
      <c r="H11478" t="s">
        <v>14201</v>
      </c>
      <c r="I11478" t="s">
        <v>4678</v>
      </c>
      <c r="J11478" t="s">
        <v>32752</v>
      </c>
      <c r="K11478" t="s">
        <v>42623</v>
      </c>
      <c r="M11478" t="s">
        <v>46542</v>
      </c>
      <c r="N11478" t="s">
        <v>47304</v>
      </c>
      <c r="O11478" t="s">
        <v>47305</v>
      </c>
      <c r="P11478">
        <v>0</v>
      </c>
      <c r="Q11478">
        <v>3</v>
      </c>
      <c r="R11478" t="s">
        <v>47315</v>
      </c>
      <c r="S11478" t="s">
        <v>47665</v>
      </c>
      <c r="T11478" t="s">
        <v>49268</v>
      </c>
      <c r="U11478" t="s">
        <v>59014</v>
      </c>
      <c r="W11478" t="s">
        <v>46542</v>
      </c>
      <c r="X11478" t="s">
        <v>47317</v>
      </c>
    </row>
    <row r="11479" spans="1:24">
      <c r="A11479">
        <f>HYPERLINK("https://www.philgeps.gov.ph/GEPSNONPILOT/Tender/SplashBidNoticeAbstractUI.aspx?menuIndex=3&amp;refID=7180569&amp;Result=3","7180569")</f>
        <v>0</v>
      </c>
      <c r="B11479" t="s">
        <v>357</v>
      </c>
      <c r="C11479" t="s">
        <v>14704</v>
      </c>
      <c r="D11479" t="s">
        <v>19010</v>
      </c>
      <c r="E11479" t="s">
        <v>28867</v>
      </c>
      <c r="F11479" t="s">
        <v>32606</v>
      </c>
      <c r="G11479" t="s">
        <v>32613</v>
      </c>
      <c r="H11479" t="s">
        <v>32623</v>
      </c>
      <c r="I11479" t="s">
        <v>17648</v>
      </c>
      <c r="J11479" t="s">
        <v>39911</v>
      </c>
      <c r="K11479" t="s">
        <v>42646</v>
      </c>
      <c r="M11479" t="s">
        <v>43259</v>
      </c>
      <c r="N11479" t="s">
        <v>47304</v>
      </c>
      <c r="O11479" t="s">
        <v>47305</v>
      </c>
      <c r="P11479">
        <v>0</v>
      </c>
      <c r="Q11479">
        <v>0</v>
      </c>
      <c r="R11479" t="s">
        <v>47315</v>
      </c>
      <c r="S11479" t="s">
        <v>47665</v>
      </c>
      <c r="T11479" t="s">
        <v>49140</v>
      </c>
      <c r="U11479" t="s">
        <v>59015</v>
      </c>
      <c r="V11479" t="s">
        <v>62729</v>
      </c>
      <c r="W11479" t="s">
        <v>43259</v>
      </c>
      <c r="X11479" t="s">
        <v>47316</v>
      </c>
    </row>
    <row r="11480" spans="1:24">
      <c r="A11480">
        <f>HYPERLINK("https://www.philgeps.gov.ph/GEPSNONPILOT/Tender/SplashBidNoticeAbstractUI.aspx?menuIndex=3&amp;refID=7180031&amp;Result=3","7180031")</f>
        <v>0</v>
      </c>
      <c r="B11480" t="s">
        <v>1899</v>
      </c>
      <c r="C11480" t="s">
        <v>14705</v>
      </c>
      <c r="D11480" t="s">
        <v>19041</v>
      </c>
      <c r="E11480" t="s">
        <v>28868</v>
      </c>
      <c r="F11480" t="s">
        <v>32606</v>
      </c>
      <c r="G11480" t="s">
        <v>32613</v>
      </c>
      <c r="H11480" t="s">
        <v>32623</v>
      </c>
      <c r="I11480" t="s">
        <v>17648</v>
      </c>
      <c r="J11480" t="s">
        <v>39912</v>
      </c>
      <c r="K11480" t="s">
        <v>42648</v>
      </c>
      <c r="M11480" t="s">
        <v>44958</v>
      </c>
      <c r="N11480" t="s">
        <v>47304</v>
      </c>
      <c r="O11480" t="s">
        <v>47305</v>
      </c>
      <c r="P11480">
        <v>0</v>
      </c>
      <c r="Q11480">
        <v>1</v>
      </c>
      <c r="R11480" t="s">
        <v>47315</v>
      </c>
      <c r="S11480" t="s">
        <v>47665</v>
      </c>
      <c r="T11480" t="s">
        <v>49348</v>
      </c>
      <c r="U11480" t="s">
        <v>59016</v>
      </c>
      <c r="W11480" t="s">
        <v>44958</v>
      </c>
      <c r="X11480" t="s">
        <v>47318</v>
      </c>
    </row>
    <row r="11481" spans="1:24">
      <c r="A11481">
        <f>HYPERLINK("https://www.philgeps.gov.ph/GEPSNONPILOT/Tender/SplashBidNoticeAbstractUI.aspx?menuIndex=3&amp;refID=7180545&amp;Result=3","7180545")</f>
        <v>0</v>
      </c>
      <c r="B11481" t="s">
        <v>1129</v>
      </c>
      <c r="C11481" t="s">
        <v>14706</v>
      </c>
      <c r="D11481" t="s">
        <v>18993</v>
      </c>
      <c r="E11481" t="s">
        <v>28869</v>
      </c>
      <c r="F11481" t="s">
        <v>32606</v>
      </c>
      <c r="G11481" t="s">
        <v>32613</v>
      </c>
      <c r="H11481" t="s">
        <v>32623</v>
      </c>
      <c r="I11481" t="s">
        <v>17648</v>
      </c>
      <c r="J11481" t="s">
        <v>39913</v>
      </c>
      <c r="K11481" t="s">
        <v>42861</v>
      </c>
      <c r="M11481" t="s">
        <v>44091</v>
      </c>
      <c r="N11481" t="s">
        <v>47304</v>
      </c>
      <c r="O11481" t="s">
        <v>47305</v>
      </c>
      <c r="Q11481">
        <v>8</v>
      </c>
      <c r="R11481" t="s">
        <v>47315</v>
      </c>
      <c r="S11481" t="s">
        <v>47686</v>
      </c>
      <c r="T11481" t="s">
        <v>49266</v>
      </c>
      <c r="U11481" t="s">
        <v>51973</v>
      </c>
      <c r="W11481" t="s">
        <v>44091</v>
      </c>
      <c r="X11481" t="s">
        <v>47316</v>
      </c>
    </row>
    <row r="11482" spans="1:24">
      <c r="A11482">
        <f>HYPERLINK("https://www.philgeps.gov.ph/GEPSNONPILOT/Tender/SplashBidNoticeAbstractUI.aspx?menuIndex=3&amp;refID=7180560&amp;Result=3","7180560")</f>
        <v>0</v>
      </c>
      <c r="B11482" t="s">
        <v>2842</v>
      </c>
      <c r="C11482" t="s">
        <v>14707</v>
      </c>
      <c r="D11482" t="s">
        <v>19003</v>
      </c>
      <c r="E11482" t="s">
        <v>28870</v>
      </c>
      <c r="F11482" t="s">
        <v>32606</v>
      </c>
      <c r="G11482" t="s">
        <v>32613</v>
      </c>
      <c r="H11482" t="s">
        <v>14201</v>
      </c>
      <c r="I11482" t="s">
        <v>32675</v>
      </c>
      <c r="J11482" t="s">
        <v>32772</v>
      </c>
      <c r="K11482" t="s">
        <v>42631</v>
      </c>
      <c r="M11482" t="s">
        <v>46009</v>
      </c>
      <c r="N11482" t="s">
        <v>47304</v>
      </c>
      <c r="O11482" t="s">
        <v>47305</v>
      </c>
      <c r="Q11482">
        <v>1</v>
      </c>
      <c r="R11482" t="s">
        <v>47315</v>
      </c>
      <c r="S11482" t="s">
        <v>47687</v>
      </c>
      <c r="T11482" t="s">
        <v>49101</v>
      </c>
      <c r="U11482" t="s">
        <v>59017</v>
      </c>
      <c r="V11482" t="s">
        <v>63608</v>
      </c>
      <c r="W11482" t="s">
        <v>46009</v>
      </c>
      <c r="X11482" t="s">
        <v>47316</v>
      </c>
    </row>
    <row r="11483" spans="1:24">
      <c r="A11483">
        <f>HYPERLINK("https://www.philgeps.gov.ph/GEPSNONPILOT/Tender/SplashBidNoticeAbstractUI.aspx?menuIndex=3&amp;refID=7180555&amp;Result=3","7180555")</f>
        <v>0</v>
      </c>
      <c r="B11483" t="s">
        <v>967</v>
      </c>
      <c r="C11483" t="s">
        <v>14708</v>
      </c>
      <c r="D11483" t="s">
        <v>18992</v>
      </c>
      <c r="E11483" t="s">
        <v>28871</v>
      </c>
      <c r="F11483" t="s">
        <v>32606</v>
      </c>
      <c r="G11483" t="s">
        <v>32613</v>
      </c>
      <c r="H11483" t="s">
        <v>32623</v>
      </c>
      <c r="I11483" t="s">
        <v>17648</v>
      </c>
      <c r="J11483" t="s">
        <v>32772</v>
      </c>
      <c r="K11483" t="s">
        <v>42624</v>
      </c>
      <c r="M11483" t="s">
        <v>43912</v>
      </c>
      <c r="N11483" t="s">
        <v>47304</v>
      </c>
      <c r="O11483" t="s">
        <v>47305</v>
      </c>
      <c r="P11483">
        <v>0</v>
      </c>
      <c r="Q11483">
        <v>0</v>
      </c>
      <c r="R11483" t="s">
        <v>47315</v>
      </c>
      <c r="S11483" t="s">
        <v>47665</v>
      </c>
      <c r="T11483" t="s">
        <v>49148</v>
      </c>
      <c r="U11483" t="s">
        <v>59018</v>
      </c>
      <c r="W11483" t="s">
        <v>43912</v>
      </c>
      <c r="X11483" t="s">
        <v>47316</v>
      </c>
    </row>
    <row r="11484" spans="1:24">
      <c r="A11484">
        <f>HYPERLINK("https://www.philgeps.gov.ph/GEPSNONPILOT/Tender/SplashBidNoticeAbstractUI.aspx?menuIndex=3&amp;refID=7180035&amp;Result=3","7180035")</f>
        <v>0</v>
      </c>
      <c r="B11484" t="s">
        <v>1899</v>
      </c>
      <c r="C11484" t="s">
        <v>14709</v>
      </c>
      <c r="D11484" t="s">
        <v>19041</v>
      </c>
      <c r="E11484" t="s">
        <v>28872</v>
      </c>
      <c r="F11484" t="s">
        <v>32606</v>
      </c>
      <c r="G11484" t="s">
        <v>32613</v>
      </c>
      <c r="H11484" t="s">
        <v>32623</v>
      </c>
      <c r="I11484" t="s">
        <v>17648</v>
      </c>
      <c r="J11484" t="s">
        <v>39914</v>
      </c>
      <c r="K11484" t="s">
        <v>42645</v>
      </c>
      <c r="M11484" t="s">
        <v>44958</v>
      </c>
      <c r="N11484" t="s">
        <v>47304</v>
      </c>
      <c r="O11484" t="s">
        <v>47305</v>
      </c>
      <c r="P11484">
        <v>0</v>
      </c>
      <c r="Q11484">
        <v>0</v>
      </c>
      <c r="R11484" t="s">
        <v>47315</v>
      </c>
      <c r="S11484" t="s">
        <v>47665</v>
      </c>
      <c r="T11484" t="s">
        <v>49348</v>
      </c>
      <c r="U11484" t="s">
        <v>59019</v>
      </c>
      <c r="W11484" t="s">
        <v>44958</v>
      </c>
      <c r="X11484" t="s">
        <v>47318</v>
      </c>
    </row>
    <row r="11485" spans="1:24">
      <c r="A11485">
        <f>HYPERLINK("https://www.philgeps.gov.ph/GEPSNONPILOT/Tender/SplashBidNoticeAbstractUI.aspx?menuIndex=3&amp;refID=7179955&amp;Result=3","7179955")</f>
        <v>0</v>
      </c>
      <c r="B11485" t="s">
        <v>1899</v>
      </c>
      <c r="C11485" t="s">
        <v>14710</v>
      </c>
      <c r="D11485" t="s">
        <v>19041</v>
      </c>
      <c r="E11485" t="s">
        <v>28873</v>
      </c>
      <c r="F11485" t="s">
        <v>32606</v>
      </c>
      <c r="G11485" t="s">
        <v>32613</v>
      </c>
      <c r="H11485" t="s">
        <v>32623</v>
      </c>
      <c r="I11485" t="s">
        <v>17648</v>
      </c>
      <c r="J11485" t="s">
        <v>39915</v>
      </c>
      <c r="K11485" t="s">
        <v>42636</v>
      </c>
      <c r="M11485" t="s">
        <v>44958</v>
      </c>
      <c r="N11485" t="s">
        <v>47304</v>
      </c>
      <c r="O11485" t="s">
        <v>47305</v>
      </c>
      <c r="P11485">
        <v>0</v>
      </c>
      <c r="Q11485">
        <v>0</v>
      </c>
      <c r="R11485" t="s">
        <v>47315</v>
      </c>
      <c r="S11485" t="s">
        <v>47665</v>
      </c>
      <c r="T11485" t="s">
        <v>49348</v>
      </c>
      <c r="U11485" t="s">
        <v>59020</v>
      </c>
      <c r="W11485" t="s">
        <v>44958</v>
      </c>
      <c r="X11485" t="s">
        <v>47318</v>
      </c>
    </row>
    <row r="11486" spans="1:24">
      <c r="A11486">
        <f>HYPERLINK("https://www.philgeps.gov.ph/GEPSNONPILOT/Tender/SplashBidNoticeAbstractUI.aspx?menuIndex=3&amp;refID=7180534&amp;Result=3","7180534")</f>
        <v>0</v>
      </c>
      <c r="B11486" t="s">
        <v>3076</v>
      </c>
      <c r="C11486" t="s">
        <v>14711</v>
      </c>
      <c r="D11486" t="s">
        <v>19050</v>
      </c>
      <c r="E11486" t="s">
        <v>28874</v>
      </c>
      <c r="F11486" t="s">
        <v>32606</v>
      </c>
      <c r="G11486" t="s">
        <v>32615</v>
      </c>
      <c r="H11486" t="s">
        <v>32623</v>
      </c>
      <c r="I11486" t="s">
        <v>17648</v>
      </c>
      <c r="J11486" t="s">
        <v>39916</v>
      </c>
      <c r="K11486" t="s">
        <v>42712</v>
      </c>
      <c r="M11486" t="s">
        <v>46275</v>
      </c>
      <c r="N11486" t="s">
        <v>47304</v>
      </c>
      <c r="O11486" t="s">
        <v>47305</v>
      </c>
      <c r="P11486">
        <v>0</v>
      </c>
      <c r="Q11486">
        <v>3</v>
      </c>
      <c r="R11486" t="s">
        <v>47315</v>
      </c>
      <c r="S11486" t="s">
        <v>47665</v>
      </c>
      <c r="T11486" t="s">
        <v>48989</v>
      </c>
      <c r="U11486" t="s">
        <v>59021</v>
      </c>
      <c r="W11486" t="s">
        <v>46275</v>
      </c>
      <c r="X11486" t="s">
        <v>47316</v>
      </c>
    </row>
    <row r="11487" spans="1:24">
      <c r="A11487">
        <f>HYPERLINK("https://www.philgeps.gov.ph/GEPSNONPILOT/Tender/SplashBidNoticeAbstractUI.aspx?menuIndex=3&amp;refID=7180533&amp;Result=3","7180533")</f>
        <v>0</v>
      </c>
      <c r="B11487" t="s">
        <v>1129</v>
      </c>
      <c r="C11487" t="s">
        <v>14712</v>
      </c>
      <c r="D11487" t="s">
        <v>18993</v>
      </c>
      <c r="E11487" t="s">
        <v>28875</v>
      </c>
      <c r="F11487" t="s">
        <v>32606</v>
      </c>
      <c r="G11487" t="s">
        <v>32613</v>
      </c>
      <c r="H11487" t="s">
        <v>32623</v>
      </c>
      <c r="I11487" t="s">
        <v>17648</v>
      </c>
      <c r="J11487" t="s">
        <v>39917</v>
      </c>
      <c r="K11487" t="s">
        <v>42861</v>
      </c>
      <c r="M11487" t="s">
        <v>44091</v>
      </c>
      <c r="N11487" t="s">
        <v>47304</v>
      </c>
      <c r="O11487" t="s">
        <v>47305</v>
      </c>
      <c r="Q11487">
        <v>9</v>
      </c>
      <c r="R11487" t="s">
        <v>47315</v>
      </c>
      <c r="S11487" t="s">
        <v>47688</v>
      </c>
      <c r="T11487" t="s">
        <v>49266</v>
      </c>
      <c r="U11487" t="s">
        <v>51973</v>
      </c>
      <c r="W11487" t="s">
        <v>44091</v>
      </c>
      <c r="X11487" t="s">
        <v>47316</v>
      </c>
    </row>
    <row r="11488" spans="1:24">
      <c r="A11488">
        <f>HYPERLINK("https://www.philgeps.gov.ph/GEPSNONPILOT/Tender/SplashBidNoticeAbstractUI.aspx?menuIndex=3&amp;refID=7180358&amp;Result=3","7180358")</f>
        <v>0</v>
      </c>
      <c r="B11488" t="s">
        <v>696</v>
      </c>
      <c r="C11488" t="s">
        <v>14713</v>
      </c>
      <c r="D11488" t="s">
        <v>19069</v>
      </c>
      <c r="E11488" t="s">
        <v>28876</v>
      </c>
      <c r="F11488" t="s">
        <v>32606</v>
      </c>
      <c r="G11488" t="s">
        <v>32613</v>
      </c>
      <c r="H11488" t="s">
        <v>14201</v>
      </c>
      <c r="I11488" t="s">
        <v>32686</v>
      </c>
      <c r="J11488" t="s">
        <v>39918</v>
      </c>
      <c r="K11488" t="s">
        <v>42636</v>
      </c>
      <c r="M11488" t="s">
        <v>43969</v>
      </c>
      <c r="N11488" t="s">
        <v>47304</v>
      </c>
      <c r="O11488" t="s">
        <v>47305</v>
      </c>
      <c r="P11488">
        <v>0</v>
      </c>
      <c r="Q11488">
        <v>6</v>
      </c>
      <c r="R11488" t="s">
        <v>47315</v>
      </c>
      <c r="S11488" t="s">
        <v>47665</v>
      </c>
      <c r="T11488" t="s">
        <v>49390</v>
      </c>
      <c r="U11488" t="s">
        <v>59006</v>
      </c>
      <c r="V11488" t="s">
        <v>63884</v>
      </c>
      <c r="W11488" t="s">
        <v>43969</v>
      </c>
      <c r="X11488" t="s">
        <v>47317</v>
      </c>
    </row>
    <row r="11489" spans="1:24">
      <c r="A11489">
        <f>HYPERLINK("https://www.philgeps.gov.ph/GEPSNONPILOT/Tender/SplashBidNoticeAbstractUI.aspx?menuIndex=3&amp;refID=7180527&amp;Result=3","7180527")</f>
        <v>0</v>
      </c>
      <c r="B11489" t="s">
        <v>1129</v>
      </c>
      <c r="C11489" t="s">
        <v>14714</v>
      </c>
      <c r="D11489" t="s">
        <v>18993</v>
      </c>
      <c r="E11489" t="s">
        <v>28877</v>
      </c>
      <c r="F11489" t="s">
        <v>32606</v>
      </c>
      <c r="G11489" t="s">
        <v>32613</v>
      </c>
      <c r="H11489" t="s">
        <v>32624</v>
      </c>
      <c r="I11489" t="s">
        <v>32628</v>
      </c>
      <c r="J11489" t="s">
        <v>39919</v>
      </c>
      <c r="K11489" t="s">
        <v>42665</v>
      </c>
      <c r="M11489" t="s">
        <v>44091</v>
      </c>
      <c r="N11489" t="s">
        <v>47304</v>
      </c>
      <c r="O11489" t="s">
        <v>47305</v>
      </c>
      <c r="Q11489">
        <v>11</v>
      </c>
      <c r="R11489" t="s">
        <v>47315</v>
      </c>
      <c r="S11489" t="s">
        <v>47689</v>
      </c>
      <c r="T11489" t="s">
        <v>49148</v>
      </c>
      <c r="U11489" t="s">
        <v>59022</v>
      </c>
      <c r="W11489" t="s">
        <v>44091</v>
      </c>
      <c r="X11489" t="s">
        <v>47316</v>
      </c>
    </row>
    <row r="11490" spans="1:24">
      <c r="A11490">
        <f>HYPERLINK("https://www.philgeps.gov.ph/GEPSNONPILOT/Tender/SplashBidNoticeAbstractUI.aspx?menuIndex=3&amp;refID=7180513&amp;Result=3","7180513")</f>
        <v>0</v>
      </c>
      <c r="B11490" t="s">
        <v>1142</v>
      </c>
      <c r="C11490" t="s">
        <v>14715</v>
      </c>
      <c r="D11490" t="s">
        <v>19040</v>
      </c>
      <c r="E11490" t="s">
        <v>28878</v>
      </c>
      <c r="F11490" t="s">
        <v>32606</v>
      </c>
      <c r="G11490" t="s">
        <v>32614</v>
      </c>
      <c r="H11490" t="s">
        <v>14201</v>
      </c>
      <c r="I11490" t="s">
        <v>32693</v>
      </c>
      <c r="J11490" t="s">
        <v>39920</v>
      </c>
      <c r="K11490" t="s">
        <v>42622</v>
      </c>
      <c r="M11490" t="s">
        <v>44104</v>
      </c>
      <c r="N11490" t="s">
        <v>47304</v>
      </c>
      <c r="O11490" t="s">
        <v>47305</v>
      </c>
      <c r="Q11490">
        <v>2</v>
      </c>
      <c r="R11490" t="s">
        <v>47315</v>
      </c>
      <c r="S11490" t="s">
        <v>47690</v>
      </c>
      <c r="T11490" t="s">
        <v>49053</v>
      </c>
      <c r="U11490" t="s">
        <v>59023</v>
      </c>
      <c r="W11490" t="s">
        <v>44104</v>
      </c>
      <c r="X11490" t="s">
        <v>47316</v>
      </c>
    </row>
    <row r="11491" spans="1:24">
      <c r="A11491">
        <f>HYPERLINK("https://www.philgeps.gov.ph/GEPSNONPILOT/Tender/SplashBidNoticeAbstractUI.aspx?menuIndex=3&amp;refID=7180552&amp;Result=3","7180552")</f>
        <v>0</v>
      </c>
      <c r="B11491" t="s">
        <v>2842</v>
      </c>
      <c r="C11491" t="s">
        <v>14716</v>
      </c>
      <c r="D11491" t="s">
        <v>19003</v>
      </c>
      <c r="E11491" t="s">
        <v>28879</v>
      </c>
      <c r="F11491" t="s">
        <v>32606</v>
      </c>
      <c r="G11491" t="s">
        <v>32613</v>
      </c>
      <c r="H11491" t="s">
        <v>14201</v>
      </c>
      <c r="I11491" t="s">
        <v>7577</v>
      </c>
      <c r="J11491" t="s">
        <v>32772</v>
      </c>
      <c r="K11491" t="s">
        <v>42636</v>
      </c>
      <c r="M11491" t="s">
        <v>46009</v>
      </c>
      <c r="N11491" t="s">
        <v>47304</v>
      </c>
      <c r="O11491" t="s">
        <v>47305</v>
      </c>
      <c r="Q11491">
        <v>16</v>
      </c>
      <c r="R11491" t="s">
        <v>47315</v>
      </c>
      <c r="S11491" t="s">
        <v>47691</v>
      </c>
      <c r="T11491" t="s">
        <v>49101</v>
      </c>
      <c r="U11491" t="s">
        <v>59024</v>
      </c>
      <c r="V11491" t="s">
        <v>63608</v>
      </c>
      <c r="W11491" t="s">
        <v>46009</v>
      </c>
      <c r="X11491" t="s">
        <v>47316</v>
      </c>
    </row>
    <row r="11492" spans="1:24">
      <c r="A11492">
        <f>HYPERLINK("https://www.philgeps.gov.ph/GEPSNONPILOT/Tender/SplashBidNoticeAbstractUI.aspx?menuIndex=3&amp;refID=7180564&amp;Result=3","7180564")</f>
        <v>0</v>
      </c>
      <c r="B11492" t="s">
        <v>2842</v>
      </c>
      <c r="C11492" t="s">
        <v>14717</v>
      </c>
      <c r="D11492" t="s">
        <v>19003</v>
      </c>
      <c r="E11492" t="s">
        <v>28880</v>
      </c>
      <c r="F11492" t="s">
        <v>32606</v>
      </c>
      <c r="G11492" t="s">
        <v>32613</v>
      </c>
      <c r="H11492" t="s">
        <v>14201</v>
      </c>
      <c r="I11492" t="s">
        <v>32691</v>
      </c>
      <c r="J11492" t="s">
        <v>32772</v>
      </c>
      <c r="K11492" t="s">
        <v>42631</v>
      </c>
      <c r="M11492" t="s">
        <v>46009</v>
      </c>
      <c r="N11492" t="s">
        <v>47304</v>
      </c>
      <c r="O11492" t="s">
        <v>47305</v>
      </c>
      <c r="Q11492">
        <v>6</v>
      </c>
      <c r="R11492" t="s">
        <v>47315</v>
      </c>
      <c r="S11492" t="s">
        <v>47692</v>
      </c>
      <c r="T11492" t="s">
        <v>49101</v>
      </c>
      <c r="U11492" t="s">
        <v>59025</v>
      </c>
      <c r="V11492" t="s">
        <v>63608</v>
      </c>
      <c r="W11492" t="s">
        <v>46009</v>
      </c>
      <c r="X11492" t="s">
        <v>47316</v>
      </c>
    </row>
    <row r="11493" spans="1:24">
      <c r="A11493">
        <f>HYPERLINK("https://www.philgeps.gov.ph/GEPSNONPILOT/Tender/SplashBidNoticeAbstractUI.aspx?menuIndex=3&amp;refID=7180546&amp;Result=3","7180546")</f>
        <v>0</v>
      </c>
      <c r="B11493" t="s">
        <v>2121</v>
      </c>
      <c r="C11493" t="s">
        <v>14718</v>
      </c>
      <c r="D11493" t="s">
        <v>19007</v>
      </c>
      <c r="E11493" t="s">
        <v>28881</v>
      </c>
      <c r="F11493" t="s">
        <v>32606</v>
      </c>
      <c r="G11493" t="s">
        <v>32619</v>
      </c>
      <c r="H11493" t="s">
        <v>14201</v>
      </c>
      <c r="I11493" t="s">
        <v>32634</v>
      </c>
      <c r="J11493" t="s">
        <v>32999</v>
      </c>
      <c r="K11493" t="s">
        <v>42622</v>
      </c>
      <c r="M11493" t="s">
        <v>45208</v>
      </c>
      <c r="N11493" t="s">
        <v>47304</v>
      </c>
      <c r="O11493" t="s">
        <v>47305</v>
      </c>
      <c r="P11493">
        <v>0</v>
      </c>
      <c r="Q11493">
        <v>1</v>
      </c>
      <c r="R11493" t="s">
        <v>47315</v>
      </c>
      <c r="S11493" t="s">
        <v>47665</v>
      </c>
      <c r="T11493" t="s">
        <v>49020</v>
      </c>
      <c r="U11493" t="s">
        <v>59026</v>
      </c>
      <c r="W11493" t="s">
        <v>45208</v>
      </c>
      <c r="X11493" t="s">
        <v>47316</v>
      </c>
    </row>
    <row r="11494" spans="1:24">
      <c r="A11494">
        <f>HYPERLINK("https://www.philgeps.gov.ph/GEPSNONPILOT/Tender/SplashBidNoticeAbstractUI.aspx?menuIndex=3&amp;refID=7180500&amp;Result=3","7180500")</f>
        <v>0</v>
      </c>
      <c r="B11494" t="s">
        <v>3302</v>
      </c>
      <c r="C11494" t="s">
        <v>14719</v>
      </c>
      <c r="D11494" t="s">
        <v>19013</v>
      </c>
      <c r="E11494" t="s">
        <v>19315</v>
      </c>
      <c r="F11494" t="s">
        <v>32606</v>
      </c>
      <c r="G11494" t="s">
        <v>32613</v>
      </c>
      <c r="H11494" t="s">
        <v>14201</v>
      </c>
      <c r="I11494" t="s">
        <v>6931</v>
      </c>
      <c r="J11494" t="s">
        <v>39921</v>
      </c>
      <c r="K11494" t="s">
        <v>42630</v>
      </c>
      <c r="M11494" t="s">
        <v>46543</v>
      </c>
      <c r="N11494" t="s">
        <v>47304</v>
      </c>
      <c r="O11494" t="s">
        <v>47305</v>
      </c>
      <c r="P11494">
        <v>0</v>
      </c>
      <c r="Q11494">
        <v>0</v>
      </c>
      <c r="R11494" t="s">
        <v>47315</v>
      </c>
      <c r="S11494" t="s">
        <v>47665</v>
      </c>
      <c r="T11494" t="s">
        <v>48992</v>
      </c>
      <c r="U11494" t="s">
        <v>59027</v>
      </c>
      <c r="W11494" t="s">
        <v>46543</v>
      </c>
      <c r="X11494" t="s">
        <v>47316</v>
      </c>
    </row>
    <row r="11495" spans="1:24">
      <c r="A11495">
        <f>HYPERLINK("https://www.philgeps.gov.ph/GEPSNONPILOT/Tender/SplashBidNoticeAbstractUI.aspx?menuIndex=3&amp;refID=7180498&amp;Result=3","7180498")</f>
        <v>0</v>
      </c>
      <c r="B11495" t="s">
        <v>3296</v>
      </c>
      <c r="C11495" t="s">
        <v>14720</v>
      </c>
      <c r="D11495" t="s">
        <v>19036</v>
      </c>
      <c r="E11495" t="s">
        <v>28882</v>
      </c>
      <c r="F11495" t="s">
        <v>32606</v>
      </c>
      <c r="G11495" t="s">
        <v>32613</v>
      </c>
      <c r="H11495" t="s">
        <v>32623</v>
      </c>
      <c r="I11495" t="s">
        <v>17648</v>
      </c>
      <c r="J11495" t="s">
        <v>32772</v>
      </c>
      <c r="K11495" t="s">
        <v>42636</v>
      </c>
      <c r="M11495" t="s">
        <v>46536</v>
      </c>
      <c r="N11495" t="s">
        <v>47304</v>
      </c>
      <c r="O11495" t="s">
        <v>47305</v>
      </c>
      <c r="P11495">
        <v>0</v>
      </c>
      <c r="Q11495">
        <v>1</v>
      </c>
      <c r="R11495" t="s">
        <v>47315</v>
      </c>
      <c r="S11495" t="s">
        <v>47665</v>
      </c>
      <c r="T11495" t="s">
        <v>48996</v>
      </c>
      <c r="U11495" t="s">
        <v>59013</v>
      </c>
      <c r="W11495" t="s">
        <v>46536</v>
      </c>
      <c r="X11495" t="s">
        <v>47316</v>
      </c>
    </row>
    <row r="11496" spans="1:24">
      <c r="A11496">
        <f>HYPERLINK("https://www.philgeps.gov.ph/GEPSNONPILOT/Tender/SplashBidNoticeAbstractUI.aspx?menuIndex=3&amp;refID=7180495&amp;Result=3","7180495")</f>
        <v>0</v>
      </c>
      <c r="B11496" t="s">
        <v>3296</v>
      </c>
      <c r="C11496" t="s">
        <v>14721</v>
      </c>
      <c r="D11496" t="s">
        <v>19036</v>
      </c>
      <c r="E11496" t="s">
        <v>28883</v>
      </c>
      <c r="F11496" t="s">
        <v>32606</v>
      </c>
      <c r="G11496" t="s">
        <v>32613</v>
      </c>
      <c r="H11496" t="s">
        <v>32623</v>
      </c>
      <c r="I11496" t="s">
        <v>17648</v>
      </c>
      <c r="J11496" t="s">
        <v>32772</v>
      </c>
      <c r="K11496" t="s">
        <v>42648</v>
      </c>
      <c r="M11496" t="s">
        <v>46536</v>
      </c>
      <c r="N11496" t="s">
        <v>47304</v>
      </c>
      <c r="O11496" t="s">
        <v>47305</v>
      </c>
      <c r="P11496">
        <v>0</v>
      </c>
      <c r="Q11496">
        <v>1</v>
      </c>
      <c r="R11496" t="s">
        <v>47315</v>
      </c>
      <c r="S11496" t="s">
        <v>47665</v>
      </c>
      <c r="T11496" t="s">
        <v>48996</v>
      </c>
      <c r="U11496" t="s">
        <v>59013</v>
      </c>
      <c r="W11496" t="s">
        <v>46536</v>
      </c>
      <c r="X11496" t="s">
        <v>47316</v>
      </c>
    </row>
    <row r="11497" spans="1:24">
      <c r="A11497">
        <f>HYPERLINK("https://www.philgeps.gov.ph/GEPSNONPILOT/Tender/SplashBidNoticeAbstractUI.aspx?menuIndex=3&amp;refID=7180663&amp;Result=3","7180663")</f>
        <v>0</v>
      </c>
      <c r="B11497" t="s">
        <v>503</v>
      </c>
      <c r="C11497" t="s">
        <v>14722</v>
      </c>
      <c r="D11497" t="s">
        <v>19033</v>
      </c>
      <c r="E11497" t="s">
        <v>28884</v>
      </c>
      <c r="F11497" t="s">
        <v>32606</v>
      </c>
      <c r="G11497" t="s">
        <v>32613</v>
      </c>
      <c r="H11497" t="s">
        <v>14201</v>
      </c>
      <c r="I11497" t="s">
        <v>6931</v>
      </c>
      <c r="J11497" t="s">
        <v>39922</v>
      </c>
      <c r="K11497" t="s">
        <v>42631</v>
      </c>
      <c r="M11497" t="s">
        <v>43416</v>
      </c>
      <c r="N11497" t="s">
        <v>47304</v>
      </c>
      <c r="O11497" t="s">
        <v>47305</v>
      </c>
      <c r="P11497">
        <v>0</v>
      </c>
      <c r="Q11497">
        <v>2</v>
      </c>
      <c r="R11497" t="s">
        <v>47315</v>
      </c>
      <c r="S11497" t="s">
        <v>47665</v>
      </c>
      <c r="T11497" t="s">
        <v>49107</v>
      </c>
      <c r="U11497" t="s">
        <v>59028</v>
      </c>
      <c r="W11497" t="s">
        <v>43416</v>
      </c>
      <c r="X11497" t="s">
        <v>47316</v>
      </c>
    </row>
    <row r="11498" spans="1:24">
      <c r="A11498">
        <f>HYPERLINK("https://www.philgeps.gov.ph/GEPSNONPILOT/Tender/SplashBidNoticeAbstractUI.aspx?menuIndex=3&amp;refID=7180660&amp;Result=3","7180660")</f>
        <v>0</v>
      </c>
      <c r="B11498" t="s">
        <v>503</v>
      </c>
      <c r="C11498" t="s">
        <v>14723</v>
      </c>
      <c r="D11498" t="s">
        <v>19033</v>
      </c>
      <c r="E11498" t="s">
        <v>28885</v>
      </c>
      <c r="F11498" t="s">
        <v>32606</v>
      </c>
      <c r="G11498" t="s">
        <v>32613</v>
      </c>
      <c r="H11498" t="s">
        <v>14201</v>
      </c>
      <c r="I11498" t="s">
        <v>6931</v>
      </c>
      <c r="J11498" t="s">
        <v>39923</v>
      </c>
      <c r="K11498" t="s">
        <v>42631</v>
      </c>
      <c r="M11498" t="s">
        <v>43416</v>
      </c>
      <c r="N11498" t="s">
        <v>47304</v>
      </c>
      <c r="O11498" t="s">
        <v>47305</v>
      </c>
      <c r="P11498">
        <v>0</v>
      </c>
      <c r="Q11498">
        <v>6</v>
      </c>
      <c r="R11498" t="s">
        <v>47315</v>
      </c>
      <c r="S11498" t="s">
        <v>47665</v>
      </c>
      <c r="T11498" t="s">
        <v>49107</v>
      </c>
      <c r="U11498" t="s">
        <v>59028</v>
      </c>
      <c r="W11498" t="s">
        <v>43416</v>
      </c>
      <c r="X11498" t="s">
        <v>47316</v>
      </c>
    </row>
    <row r="11499" spans="1:24">
      <c r="A11499">
        <f>HYPERLINK("https://www.philgeps.gov.ph/GEPSNONPILOT/Tender/SplashBidNoticeAbstractUI.aspx?menuIndex=3&amp;refID=7180038&amp;Result=3","7180038")</f>
        <v>0</v>
      </c>
      <c r="B11499" t="s">
        <v>1899</v>
      </c>
      <c r="C11499" t="s">
        <v>14724</v>
      </c>
      <c r="D11499" t="s">
        <v>19041</v>
      </c>
      <c r="E11499" t="s">
        <v>28886</v>
      </c>
      <c r="F11499" t="s">
        <v>32606</v>
      </c>
      <c r="G11499" t="s">
        <v>32613</v>
      </c>
      <c r="H11499" t="s">
        <v>32623</v>
      </c>
      <c r="I11499" t="s">
        <v>17648</v>
      </c>
      <c r="J11499" t="s">
        <v>39924</v>
      </c>
      <c r="K11499" t="s">
        <v>42816</v>
      </c>
      <c r="M11499" t="s">
        <v>44958</v>
      </c>
      <c r="N11499" t="s">
        <v>47304</v>
      </c>
      <c r="O11499" t="s">
        <v>47305</v>
      </c>
      <c r="P11499">
        <v>0</v>
      </c>
      <c r="Q11499">
        <v>2</v>
      </c>
      <c r="R11499" t="s">
        <v>47315</v>
      </c>
      <c r="S11499" t="s">
        <v>47665</v>
      </c>
      <c r="T11499" t="s">
        <v>49348</v>
      </c>
      <c r="U11499" t="s">
        <v>59029</v>
      </c>
      <c r="W11499" t="s">
        <v>44958</v>
      </c>
      <c r="X11499" t="s">
        <v>47318</v>
      </c>
    </row>
    <row r="11500" spans="1:24">
      <c r="A11500">
        <f>HYPERLINK("https://www.philgeps.gov.ph/GEPSNONPILOT/Tender/SplashBidNoticeAbstractUI.aspx?menuIndex=3&amp;refID=7180651&amp;Result=3","7180651")</f>
        <v>0</v>
      </c>
      <c r="B11500" t="s">
        <v>3303</v>
      </c>
      <c r="C11500" t="s">
        <v>14725</v>
      </c>
      <c r="D11500" t="s">
        <v>18987</v>
      </c>
      <c r="E11500" t="s">
        <v>28887</v>
      </c>
      <c r="F11500" t="s">
        <v>32606</v>
      </c>
      <c r="G11500" t="s">
        <v>32613</v>
      </c>
      <c r="H11500" t="s">
        <v>32625</v>
      </c>
      <c r="I11500" t="s">
        <v>32625</v>
      </c>
      <c r="J11500" t="s">
        <v>33757</v>
      </c>
      <c r="K11500" t="s">
        <v>42733</v>
      </c>
      <c r="M11500" t="s">
        <v>46544</v>
      </c>
      <c r="N11500" t="s">
        <v>47304</v>
      </c>
      <c r="O11500" t="s">
        <v>47305</v>
      </c>
      <c r="P11500">
        <v>0</v>
      </c>
      <c r="Q11500">
        <v>5</v>
      </c>
      <c r="R11500" t="s">
        <v>47315</v>
      </c>
      <c r="S11500" t="s">
        <v>47665</v>
      </c>
      <c r="T11500" t="s">
        <v>48987</v>
      </c>
      <c r="U11500" t="s">
        <v>59030</v>
      </c>
      <c r="W11500" t="s">
        <v>46544</v>
      </c>
      <c r="X11500" t="s">
        <v>47316</v>
      </c>
    </row>
    <row r="11501" spans="1:24">
      <c r="A11501">
        <f>HYPERLINK("https://www.philgeps.gov.ph/GEPSNONPILOT/Tender/SplashBidNoticeAbstractUI.aspx?menuIndex=3&amp;refID=7180636&amp;Result=3","7180636")</f>
        <v>0</v>
      </c>
      <c r="B11501" t="s">
        <v>1500</v>
      </c>
      <c r="C11501" t="s">
        <v>14726</v>
      </c>
      <c r="D11501" t="s">
        <v>19064</v>
      </c>
      <c r="E11501" t="s">
        <v>28888</v>
      </c>
      <c r="F11501" t="s">
        <v>32606</v>
      </c>
      <c r="G11501" t="s">
        <v>32613</v>
      </c>
      <c r="H11501" t="s">
        <v>14201</v>
      </c>
      <c r="I11501" t="s">
        <v>9013</v>
      </c>
      <c r="J11501" t="s">
        <v>34545</v>
      </c>
      <c r="K11501" t="s">
        <v>42636</v>
      </c>
      <c r="M11501" t="s">
        <v>45022</v>
      </c>
      <c r="N11501" t="s">
        <v>47304</v>
      </c>
      <c r="O11501" t="s">
        <v>47305</v>
      </c>
      <c r="P11501">
        <v>0</v>
      </c>
      <c r="Q11501">
        <v>3</v>
      </c>
      <c r="R11501" t="s">
        <v>47315</v>
      </c>
      <c r="S11501" t="s">
        <v>47665</v>
      </c>
      <c r="T11501" t="s">
        <v>49350</v>
      </c>
      <c r="U11501" t="s">
        <v>54365</v>
      </c>
      <c r="W11501" t="s">
        <v>64486</v>
      </c>
      <c r="X11501" t="s">
        <v>47316</v>
      </c>
    </row>
    <row r="11502" spans="1:24">
      <c r="A11502">
        <f>HYPERLINK("https://www.philgeps.gov.ph/GEPSNONPILOT/Tender/SplashBidNoticeAbstractUI.aspx?menuIndex=3&amp;refID=7180571&amp;Result=3","7180571")</f>
        <v>0</v>
      </c>
      <c r="B11502" t="s">
        <v>2842</v>
      </c>
      <c r="C11502" t="s">
        <v>14727</v>
      </c>
      <c r="D11502" t="s">
        <v>19003</v>
      </c>
      <c r="E11502" t="s">
        <v>28889</v>
      </c>
      <c r="F11502" t="s">
        <v>32606</v>
      </c>
      <c r="G11502" t="s">
        <v>32613</v>
      </c>
      <c r="H11502" t="s">
        <v>14201</v>
      </c>
      <c r="I11502" t="s">
        <v>32675</v>
      </c>
      <c r="J11502" t="s">
        <v>39787</v>
      </c>
      <c r="K11502" t="s">
        <v>42634</v>
      </c>
      <c r="M11502" t="s">
        <v>46009</v>
      </c>
      <c r="N11502" t="s">
        <v>47304</v>
      </c>
      <c r="O11502" t="s">
        <v>47305</v>
      </c>
      <c r="Q11502">
        <v>1</v>
      </c>
      <c r="R11502" t="s">
        <v>47315</v>
      </c>
      <c r="S11502" t="s">
        <v>47693</v>
      </c>
      <c r="T11502" t="s">
        <v>49101</v>
      </c>
      <c r="U11502" t="s">
        <v>59031</v>
      </c>
      <c r="V11502" t="s">
        <v>63608</v>
      </c>
      <c r="W11502" t="s">
        <v>46009</v>
      </c>
      <c r="X11502" t="s">
        <v>47316</v>
      </c>
    </row>
    <row r="11503" spans="1:24">
      <c r="A11503">
        <f>HYPERLINK("https://www.philgeps.gov.ph/GEPSNONPILOT/Tender/SplashBidNoticeAbstractUI.aspx?menuIndex=3&amp;refID=7180630&amp;Result=3","7180630")</f>
        <v>0</v>
      </c>
      <c r="B11503" t="s">
        <v>1500</v>
      </c>
      <c r="C11503" t="s">
        <v>14728</v>
      </c>
      <c r="D11503" t="s">
        <v>19064</v>
      </c>
      <c r="E11503" t="s">
        <v>28890</v>
      </c>
      <c r="F11503" t="s">
        <v>32606</v>
      </c>
      <c r="G11503" t="s">
        <v>32613</v>
      </c>
      <c r="H11503" t="s">
        <v>32624</v>
      </c>
      <c r="I11503" t="s">
        <v>32683</v>
      </c>
      <c r="J11503" t="s">
        <v>39925</v>
      </c>
      <c r="K11503" t="s">
        <v>42623</v>
      </c>
      <c r="M11503" t="s">
        <v>45022</v>
      </c>
      <c r="N11503" t="s">
        <v>47304</v>
      </c>
      <c r="O11503" t="s">
        <v>47305</v>
      </c>
      <c r="P11503">
        <v>0</v>
      </c>
      <c r="Q11503">
        <v>1</v>
      </c>
      <c r="R11503" t="s">
        <v>47315</v>
      </c>
      <c r="S11503" t="s">
        <v>47665</v>
      </c>
      <c r="T11503" t="s">
        <v>49350</v>
      </c>
      <c r="U11503" t="s">
        <v>54365</v>
      </c>
      <c r="W11503" t="s">
        <v>64486</v>
      </c>
      <c r="X11503" t="s">
        <v>47316</v>
      </c>
    </row>
    <row r="11504" spans="1:24">
      <c r="A11504">
        <f>HYPERLINK("https://www.philgeps.gov.ph/GEPSNONPILOT/Tender/SplashBidNoticeAbstractUI.aspx?menuIndex=3&amp;refID=7180511&amp;Result=3","7180511")</f>
        <v>0</v>
      </c>
      <c r="B11504" t="s">
        <v>1142</v>
      </c>
      <c r="C11504" t="s">
        <v>14729</v>
      </c>
      <c r="D11504" t="s">
        <v>19040</v>
      </c>
      <c r="E11504" t="s">
        <v>28891</v>
      </c>
      <c r="F11504" t="s">
        <v>32606</v>
      </c>
      <c r="G11504" t="s">
        <v>32614</v>
      </c>
      <c r="H11504" t="s">
        <v>14201</v>
      </c>
      <c r="I11504" t="s">
        <v>32693</v>
      </c>
      <c r="J11504" t="s">
        <v>39926</v>
      </c>
      <c r="K11504" t="s">
        <v>42622</v>
      </c>
      <c r="M11504" t="s">
        <v>44104</v>
      </c>
      <c r="N11504" t="s">
        <v>47304</v>
      </c>
      <c r="O11504" t="s">
        <v>47305</v>
      </c>
      <c r="Q11504">
        <v>2</v>
      </c>
      <c r="R11504" t="s">
        <v>47315</v>
      </c>
      <c r="S11504" t="s">
        <v>47694</v>
      </c>
      <c r="T11504" t="s">
        <v>49053</v>
      </c>
      <c r="U11504" t="s">
        <v>59032</v>
      </c>
      <c r="W11504" t="s">
        <v>44104</v>
      </c>
      <c r="X11504" t="s">
        <v>47316</v>
      </c>
    </row>
    <row r="11505" spans="1:24">
      <c r="A11505">
        <f>HYPERLINK("https://www.philgeps.gov.ph/GEPSNONPILOT/Tender/SplashBidNoticeAbstractUI.aspx?menuIndex=3&amp;refID=7180614&amp;Result=3","7180614")</f>
        <v>0</v>
      </c>
      <c r="B11505" t="s">
        <v>1500</v>
      </c>
      <c r="C11505" t="s">
        <v>14730</v>
      </c>
      <c r="D11505" t="s">
        <v>19064</v>
      </c>
      <c r="E11505" t="s">
        <v>28892</v>
      </c>
      <c r="F11505" t="s">
        <v>32606</v>
      </c>
      <c r="G11505" t="s">
        <v>32613</v>
      </c>
      <c r="H11505" t="s">
        <v>32624</v>
      </c>
      <c r="I11505" t="s">
        <v>32652</v>
      </c>
      <c r="J11505" t="s">
        <v>39927</v>
      </c>
      <c r="K11505" t="s">
        <v>42631</v>
      </c>
      <c r="M11505" t="s">
        <v>45022</v>
      </c>
      <c r="N11505" t="s">
        <v>47304</v>
      </c>
      <c r="O11505" t="s">
        <v>47305</v>
      </c>
      <c r="P11505">
        <v>0</v>
      </c>
      <c r="Q11505">
        <v>0</v>
      </c>
      <c r="R11505" t="s">
        <v>47315</v>
      </c>
      <c r="S11505" t="s">
        <v>47665</v>
      </c>
      <c r="T11505" t="s">
        <v>49350</v>
      </c>
      <c r="U11505" t="s">
        <v>54365</v>
      </c>
      <c r="W11505" t="s">
        <v>64486</v>
      </c>
      <c r="X11505" t="s">
        <v>47316</v>
      </c>
    </row>
    <row r="11506" spans="1:24">
      <c r="A11506">
        <f>HYPERLINK("https://www.philgeps.gov.ph/GEPSNONPILOT/Tender/SplashBidNoticeAbstractUI.aspx?menuIndex=3&amp;refID=7180503&amp;Result=3","7180503")</f>
        <v>0</v>
      </c>
      <c r="B11506" t="s">
        <v>3296</v>
      </c>
      <c r="C11506" t="s">
        <v>14731</v>
      </c>
      <c r="D11506" t="s">
        <v>19036</v>
      </c>
      <c r="E11506" t="s">
        <v>28893</v>
      </c>
      <c r="F11506" t="s">
        <v>32606</v>
      </c>
      <c r="G11506" t="s">
        <v>32613</v>
      </c>
      <c r="H11506" t="s">
        <v>32623</v>
      </c>
      <c r="I11506" t="s">
        <v>17648</v>
      </c>
      <c r="J11506" t="s">
        <v>32770</v>
      </c>
      <c r="K11506" t="s">
        <v>42636</v>
      </c>
      <c r="M11506" t="s">
        <v>46536</v>
      </c>
      <c r="N11506" t="s">
        <v>47304</v>
      </c>
      <c r="O11506" t="s">
        <v>47305</v>
      </c>
      <c r="P11506">
        <v>0</v>
      </c>
      <c r="Q11506">
        <v>1</v>
      </c>
      <c r="R11506" t="s">
        <v>47315</v>
      </c>
      <c r="S11506" t="s">
        <v>47665</v>
      </c>
      <c r="T11506" t="s">
        <v>48996</v>
      </c>
      <c r="U11506" t="s">
        <v>59013</v>
      </c>
      <c r="W11506" t="s">
        <v>46536</v>
      </c>
      <c r="X11506" t="s">
        <v>47316</v>
      </c>
    </row>
    <row r="11507" spans="1:24">
      <c r="A11507">
        <f>HYPERLINK("https://www.philgeps.gov.ph/GEPSNONPILOT/Tender/SplashBidNoticeAbstractUI.aspx?menuIndex=3&amp;refID=7180611&amp;Result=3","7180611")</f>
        <v>0</v>
      </c>
      <c r="B11507" t="s">
        <v>1500</v>
      </c>
      <c r="C11507" t="s">
        <v>14732</v>
      </c>
      <c r="D11507" t="s">
        <v>19064</v>
      </c>
      <c r="E11507" t="s">
        <v>28894</v>
      </c>
      <c r="F11507" t="s">
        <v>32606</v>
      </c>
      <c r="G11507" t="s">
        <v>32613</v>
      </c>
      <c r="H11507" t="s">
        <v>32624</v>
      </c>
      <c r="I11507" t="s">
        <v>32652</v>
      </c>
      <c r="J11507" t="s">
        <v>32759</v>
      </c>
      <c r="K11507" t="s">
        <v>42627</v>
      </c>
      <c r="M11507" t="s">
        <v>45022</v>
      </c>
      <c r="N11507" t="s">
        <v>47304</v>
      </c>
      <c r="O11507" t="s">
        <v>47305</v>
      </c>
      <c r="P11507">
        <v>0</v>
      </c>
      <c r="Q11507">
        <v>4</v>
      </c>
      <c r="R11507" t="s">
        <v>47315</v>
      </c>
      <c r="S11507" t="s">
        <v>47665</v>
      </c>
      <c r="T11507" t="s">
        <v>49350</v>
      </c>
      <c r="U11507" t="s">
        <v>54365</v>
      </c>
      <c r="W11507" t="s">
        <v>64486</v>
      </c>
      <c r="X11507" t="s">
        <v>47316</v>
      </c>
    </row>
    <row r="11508" spans="1:24">
      <c r="A11508">
        <f>HYPERLINK("https://www.philgeps.gov.ph/GEPSNONPILOT/Tender/SplashBidNoticeAbstractUI.aspx?menuIndex=3&amp;refID=7180648&amp;Result=3","7180648")</f>
        <v>0</v>
      </c>
      <c r="B11508" t="s">
        <v>3304</v>
      </c>
      <c r="C11508" t="s">
        <v>14733</v>
      </c>
      <c r="D11508" t="s">
        <v>19005</v>
      </c>
      <c r="E11508" t="s">
        <v>25259</v>
      </c>
      <c r="F11508" t="s">
        <v>32606</v>
      </c>
      <c r="G11508" t="s">
        <v>32613</v>
      </c>
      <c r="H11508" t="s">
        <v>14201</v>
      </c>
      <c r="I11508" t="s">
        <v>7064</v>
      </c>
      <c r="J11508" t="s">
        <v>33043</v>
      </c>
      <c r="K11508" t="s">
        <v>42624</v>
      </c>
      <c r="M11508" t="s">
        <v>46545</v>
      </c>
      <c r="N11508" t="s">
        <v>47304</v>
      </c>
      <c r="O11508" t="s">
        <v>47305</v>
      </c>
      <c r="P11508">
        <v>0</v>
      </c>
      <c r="Q11508">
        <v>1</v>
      </c>
      <c r="R11508" t="s">
        <v>47315</v>
      </c>
      <c r="S11508" t="s">
        <v>47665</v>
      </c>
      <c r="T11508" t="s">
        <v>49165</v>
      </c>
      <c r="U11508" t="s">
        <v>59033</v>
      </c>
      <c r="W11508" t="s">
        <v>46545</v>
      </c>
      <c r="X11508" t="s">
        <v>47316</v>
      </c>
    </row>
    <row r="11509" spans="1:24">
      <c r="A11509">
        <f>HYPERLINK("https://www.philgeps.gov.ph/GEPSNONPILOT/Tender/SplashBidNoticeAbstractUI.aspx?menuIndex=3&amp;refID=7180603&amp;Result=3","7180603")</f>
        <v>0</v>
      </c>
      <c r="B11509" t="s">
        <v>1500</v>
      </c>
      <c r="C11509" t="s">
        <v>14734</v>
      </c>
      <c r="D11509" t="s">
        <v>19064</v>
      </c>
      <c r="E11509" t="s">
        <v>28895</v>
      </c>
      <c r="F11509" t="s">
        <v>32606</v>
      </c>
      <c r="G11509" t="s">
        <v>32613</v>
      </c>
      <c r="H11509" t="s">
        <v>32624</v>
      </c>
      <c r="I11509" t="s">
        <v>32641</v>
      </c>
      <c r="J11509" t="s">
        <v>39928</v>
      </c>
      <c r="K11509" t="s">
        <v>42631</v>
      </c>
      <c r="M11509" t="s">
        <v>45022</v>
      </c>
      <c r="N11509" t="s">
        <v>47304</v>
      </c>
      <c r="O11509" t="s">
        <v>47305</v>
      </c>
      <c r="P11509">
        <v>0</v>
      </c>
      <c r="Q11509">
        <v>4</v>
      </c>
      <c r="R11509" t="s">
        <v>47315</v>
      </c>
      <c r="S11509" t="s">
        <v>47665</v>
      </c>
      <c r="T11509" t="s">
        <v>49350</v>
      </c>
      <c r="U11509" t="s">
        <v>54365</v>
      </c>
      <c r="W11509" t="s">
        <v>64486</v>
      </c>
      <c r="X11509" t="s">
        <v>47316</v>
      </c>
    </row>
    <row r="11510" spans="1:24">
      <c r="A11510">
        <f>HYPERLINK("https://www.philgeps.gov.ph/GEPSNONPILOT/Tender/SplashBidNoticeAbstractUI.aspx?menuIndex=3&amp;refID=7180530&amp;Result=3","7180530")</f>
        <v>0</v>
      </c>
      <c r="B11510" t="s">
        <v>1129</v>
      </c>
      <c r="C11510" t="s">
        <v>14735</v>
      </c>
      <c r="D11510" t="s">
        <v>18993</v>
      </c>
      <c r="E11510" t="s">
        <v>28896</v>
      </c>
      <c r="F11510" t="s">
        <v>32606</v>
      </c>
      <c r="G11510" t="s">
        <v>32613</v>
      </c>
      <c r="H11510" t="s">
        <v>32623</v>
      </c>
      <c r="I11510" t="s">
        <v>17648</v>
      </c>
      <c r="J11510" t="s">
        <v>39929</v>
      </c>
      <c r="K11510" t="s">
        <v>42631</v>
      </c>
      <c r="M11510" t="s">
        <v>44091</v>
      </c>
      <c r="N11510" t="s">
        <v>47304</v>
      </c>
      <c r="O11510" t="s">
        <v>47305</v>
      </c>
      <c r="P11510">
        <v>0</v>
      </c>
      <c r="Q11510">
        <v>2</v>
      </c>
      <c r="R11510" t="s">
        <v>47315</v>
      </c>
      <c r="S11510" t="s">
        <v>47665</v>
      </c>
      <c r="T11510" t="s">
        <v>49140</v>
      </c>
      <c r="U11510" t="s">
        <v>59034</v>
      </c>
      <c r="W11510" t="s">
        <v>44091</v>
      </c>
      <c r="X11510" t="s">
        <v>47316</v>
      </c>
    </row>
    <row r="11511" spans="1:24">
      <c r="A11511">
        <f>HYPERLINK("https://www.philgeps.gov.ph/GEPSNONPILOT/Tender/SplashBidNoticeAbstractUI.aspx?menuIndex=3&amp;refID=7180737&amp;Result=3","7180737")</f>
        <v>0</v>
      </c>
      <c r="B11511" t="s">
        <v>1785</v>
      </c>
      <c r="C11511" t="s">
        <v>14736</v>
      </c>
      <c r="D11511" t="s">
        <v>19003</v>
      </c>
      <c r="E11511" t="s">
        <v>28897</v>
      </c>
      <c r="F11511" t="s">
        <v>32608</v>
      </c>
      <c r="G11511" t="s">
        <v>32613</v>
      </c>
      <c r="H11511" t="s">
        <v>32623</v>
      </c>
      <c r="I11511" t="s">
        <v>17648</v>
      </c>
      <c r="J11511" t="s">
        <v>39930</v>
      </c>
      <c r="K11511" t="s">
        <v>42631</v>
      </c>
      <c r="M11511" t="s">
        <v>46546</v>
      </c>
      <c r="N11511" t="s">
        <v>47304</v>
      </c>
      <c r="O11511" t="s">
        <v>47305</v>
      </c>
      <c r="P11511">
        <v>0</v>
      </c>
      <c r="Q11511">
        <v>4</v>
      </c>
      <c r="R11511" t="s">
        <v>47315</v>
      </c>
      <c r="S11511" t="s">
        <v>47665</v>
      </c>
      <c r="T11511" t="s">
        <v>49075</v>
      </c>
      <c r="U11511" t="s">
        <v>59035</v>
      </c>
      <c r="W11511" t="s">
        <v>46546</v>
      </c>
      <c r="X11511" t="s">
        <v>47316</v>
      </c>
    </row>
    <row r="11512" spans="1:24">
      <c r="A11512">
        <f>HYPERLINK("https://www.philgeps.gov.ph/GEPSNONPILOT/Tender/SplashBidNoticeAbstractUI.aspx?menuIndex=3&amp;refID=7180627&amp;Result=3","7180627")</f>
        <v>0</v>
      </c>
      <c r="B11512" t="s">
        <v>3305</v>
      </c>
      <c r="C11512" t="s">
        <v>14737</v>
      </c>
      <c r="D11512" t="s">
        <v>18993</v>
      </c>
      <c r="E11512" t="s">
        <v>28898</v>
      </c>
      <c r="F11512" t="s">
        <v>32608</v>
      </c>
      <c r="G11512" t="s">
        <v>32613</v>
      </c>
      <c r="H11512" t="s">
        <v>14201</v>
      </c>
      <c r="I11512" t="s">
        <v>7064</v>
      </c>
      <c r="J11512" t="s">
        <v>36641</v>
      </c>
      <c r="K11512" t="s">
        <v>42631</v>
      </c>
      <c r="M11512" t="s">
        <v>46547</v>
      </c>
      <c r="N11512" t="s">
        <v>47304</v>
      </c>
      <c r="O11512" t="s">
        <v>47305</v>
      </c>
      <c r="P11512">
        <v>0</v>
      </c>
      <c r="Q11512">
        <v>8</v>
      </c>
      <c r="R11512" t="s">
        <v>47315</v>
      </c>
      <c r="S11512" t="s">
        <v>47665</v>
      </c>
      <c r="T11512" t="s">
        <v>49052</v>
      </c>
      <c r="U11512" t="s">
        <v>59036</v>
      </c>
      <c r="V11512" t="s">
        <v>63885</v>
      </c>
      <c r="W11512" t="s">
        <v>46547</v>
      </c>
      <c r="X11512" t="s">
        <v>47316</v>
      </c>
    </row>
    <row r="11513" spans="1:24">
      <c r="A11513">
        <f>HYPERLINK("https://www.philgeps.gov.ph/GEPSNONPILOT/Tender/SplashBidNoticeAbstractUI.aspx?menuIndex=3&amp;refID=7180733&amp;Result=3","7180733")</f>
        <v>0</v>
      </c>
      <c r="B11513" t="s">
        <v>3306</v>
      </c>
      <c r="C11513" t="s">
        <v>14738</v>
      </c>
      <c r="D11513" t="s">
        <v>19035</v>
      </c>
      <c r="E11513" t="s">
        <v>19809</v>
      </c>
      <c r="F11513" t="s">
        <v>32606</v>
      </c>
      <c r="G11513" t="s">
        <v>32613</v>
      </c>
      <c r="H11513" t="s">
        <v>14201</v>
      </c>
      <c r="I11513" t="s">
        <v>6298</v>
      </c>
      <c r="J11513" t="s">
        <v>39931</v>
      </c>
      <c r="K11513" t="s">
        <v>42627</v>
      </c>
      <c r="M11513" t="s">
        <v>46548</v>
      </c>
      <c r="N11513" t="s">
        <v>47304</v>
      </c>
      <c r="O11513" t="s">
        <v>47305</v>
      </c>
      <c r="P11513">
        <v>0</v>
      </c>
      <c r="Q11513">
        <v>10</v>
      </c>
      <c r="R11513" t="s">
        <v>47315</v>
      </c>
      <c r="S11513" t="s">
        <v>47665</v>
      </c>
      <c r="T11513" t="s">
        <v>49268</v>
      </c>
      <c r="U11513" t="s">
        <v>53646</v>
      </c>
      <c r="W11513" t="s">
        <v>46548</v>
      </c>
      <c r="X11513" t="s">
        <v>47316</v>
      </c>
    </row>
    <row r="11514" spans="1:24">
      <c r="A11514">
        <f>HYPERLINK("https://www.philgeps.gov.ph/GEPSNONPILOT/Tender/SplashBidNoticeAbstractUI.aspx?menuIndex=3&amp;refID=7180730&amp;Result=3","7180730")</f>
        <v>0</v>
      </c>
      <c r="B11514" t="s">
        <v>3094</v>
      </c>
      <c r="C11514" t="s">
        <v>14739</v>
      </c>
      <c r="D11514" t="s">
        <v>19017</v>
      </c>
      <c r="E11514" t="s">
        <v>28899</v>
      </c>
      <c r="F11514" t="s">
        <v>32606</v>
      </c>
      <c r="G11514" t="s">
        <v>32613</v>
      </c>
      <c r="H11514" t="s">
        <v>14201</v>
      </c>
      <c r="I11514" t="s">
        <v>32650</v>
      </c>
      <c r="J11514" t="s">
        <v>39932</v>
      </c>
      <c r="K11514" t="s">
        <v>42636</v>
      </c>
      <c r="M11514" t="s">
        <v>46300</v>
      </c>
      <c r="N11514" t="s">
        <v>47304</v>
      </c>
      <c r="O11514" t="s">
        <v>47305</v>
      </c>
      <c r="Q11514">
        <v>2</v>
      </c>
      <c r="R11514" t="s">
        <v>47315</v>
      </c>
      <c r="S11514" t="s">
        <v>47695</v>
      </c>
      <c r="T11514" t="s">
        <v>49425</v>
      </c>
      <c r="U11514" t="s">
        <v>59037</v>
      </c>
      <c r="W11514" t="s">
        <v>46300</v>
      </c>
      <c r="X11514" t="s">
        <v>47316</v>
      </c>
    </row>
    <row r="11515" spans="1:24">
      <c r="A11515">
        <f>HYPERLINK("https://www.philgeps.gov.ph/GEPSNONPILOT/Tender/SplashBidNoticeAbstractUI.aspx?menuIndex=3&amp;refID=7180606&amp;Result=3","7180606")</f>
        <v>0</v>
      </c>
      <c r="B11515" t="s">
        <v>1500</v>
      </c>
      <c r="C11515" t="s">
        <v>14740</v>
      </c>
      <c r="D11515" t="s">
        <v>19064</v>
      </c>
      <c r="E11515" t="s">
        <v>28900</v>
      </c>
      <c r="F11515" t="s">
        <v>32606</v>
      </c>
      <c r="G11515" t="s">
        <v>32613</v>
      </c>
      <c r="H11515" t="s">
        <v>14201</v>
      </c>
      <c r="I11515" t="s">
        <v>9013</v>
      </c>
      <c r="J11515" t="s">
        <v>33771</v>
      </c>
      <c r="K11515" t="s">
        <v>42648</v>
      </c>
      <c r="M11515" t="s">
        <v>45022</v>
      </c>
      <c r="N11515" t="s">
        <v>47304</v>
      </c>
      <c r="O11515" t="s">
        <v>47305</v>
      </c>
      <c r="P11515">
        <v>0</v>
      </c>
      <c r="Q11515">
        <v>4</v>
      </c>
      <c r="R11515" t="s">
        <v>47315</v>
      </c>
      <c r="S11515" t="s">
        <v>47665</v>
      </c>
      <c r="T11515" t="s">
        <v>49350</v>
      </c>
      <c r="U11515" t="s">
        <v>54365</v>
      </c>
      <c r="W11515" t="s">
        <v>64486</v>
      </c>
      <c r="X11515" t="s">
        <v>47316</v>
      </c>
    </row>
    <row r="11516" spans="1:24">
      <c r="A11516">
        <f>HYPERLINK("https://www.philgeps.gov.ph/GEPSNONPILOT/Tender/SplashBidNoticeAbstractUI.aspx?menuIndex=3&amp;refID=7180665&amp;Result=3","7180665")</f>
        <v>0</v>
      </c>
      <c r="B11516" t="s">
        <v>503</v>
      </c>
      <c r="C11516" t="s">
        <v>14741</v>
      </c>
      <c r="D11516" t="s">
        <v>19033</v>
      </c>
      <c r="E11516" t="s">
        <v>28901</v>
      </c>
      <c r="F11516" t="s">
        <v>32606</v>
      </c>
      <c r="G11516" t="s">
        <v>32613</v>
      </c>
      <c r="H11516" t="s">
        <v>14201</v>
      </c>
      <c r="I11516" t="s">
        <v>7064</v>
      </c>
      <c r="J11516" t="s">
        <v>39933</v>
      </c>
      <c r="K11516" t="s">
        <v>42631</v>
      </c>
      <c r="M11516" t="s">
        <v>43416</v>
      </c>
      <c r="N11516" t="s">
        <v>47304</v>
      </c>
      <c r="O11516" t="s">
        <v>47305</v>
      </c>
      <c r="P11516">
        <v>0</v>
      </c>
      <c r="Q11516">
        <v>0</v>
      </c>
      <c r="R11516" t="s">
        <v>47315</v>
      </c>
      <c r="S11516" t="s">
        <v>47665</v>
      </c>
      <c r="T11516" t="s">
        <v>49107</v>
      </c>
      <c r="U11516" t="s">
        <v>59028</v>
      </c>
      <c r="W11516" t="s">
        <v>43416</v>
      </c>
      <c r="X11516" t="s">
        <v>47316</v>
      </c>
    </row>
    <row r="11517" spans="1:24">
      <c r="A11517">
        <f>HYPERLINK("https://www.philgeps.gov.ph/GEPSNONPILOT/Tender/SplashBidNoticeAbstractUI.aspx?menuIndex=3&amp;refID=7180506&amp;Result=3","7180506")</f>
        <v>0</v>
      </c>
      <c r="B11517" t="s">
        <v>1142</v>
      </c>
      <c r="C11517" t="s">
        <v>14742</v>
      </c>
      <c r="D11517" t="s">
        <v>19040</v>
      </c>
      <c r="E11517" t="s">
        <v>28902</v>
      </c>
      <c r="F11517" t="s">
        <v>32606</v>
      </c>
      <c r="G11517" t="s">
        <v>32614</v>
      </c>
      <c r="H11517" t="s">
        <v>14201</v>
      </c>
      <c r="I11517" t="s">
        <v>32693</v>
      </c>
      <c r="J11517" t="s">
        <v>39934</v>
      </c>
      <c r="K11517" t="s">
        <v>42622</v>
      </c>
      <c r="M11517" t="s">
        <v>44104</v>
      </c>
      <c r="N11517" t="s">
        <v>47304</v>
      </c>
      <c r="O11517" t="s">
        <v>47305</v>
      </c>
      <c r="Q11517">
        <v>2</v>
      </c>
      <c r="R11517" t="s">
        <v>47315</v>
      </c>
      <c r="S11517" t="s">
        <v>47696</v>
      </c>
      <c r="T11517" t="s">
        <v>48998</v>
      </c>
      <c r="U11517" t="s">
        <v>59038</v>
      </c>
      <c r="W11517" t="s">
        <v>44104</v>
      </c>
      <c r="X11517" t="s">
        <v>47316</v>
      </c>
    </row>
    <row r="11518" spans="1:24">
      <c r="A11518">
        <f>HYPERLINK("https://www.philgeps.gov.ph/GEPSNONPILOT/Tender/SplashBidNoticeAbstractUI.aspx?menuIndex=3&amp;refID=7180711&amp;Result=3","7180711")</f>
        <v>0</v>
      </c>
      <c r="B11518" t="s">
        <v>3307</v>
      </c>
      <c r="C11518" t="s">
        <v>14743</v>
      </c>
      <c r="E11518" t="s">
        <v>28903</v>
      </c>
      <c r="F11518" t="s">
        <v>32606</v>
      </c>
      <c r="G11518" t="s">
        <v>32613</v>
      </c>
      <c r="H11518" t="s">
        <v>14201</v>
      </c>
      <c r="I11518" t="s">
        <v>7677</v>
      </c>
      <c r="J11518" t="s">
        <v>39935</v>
      </c>
      <c r="K11518" t="s">
        <v>42624</v>
      </c>
      <c r="M11518" t="s">
        <v>46549</v>
      </c>
      <c r="N11518" t="s">
        <v>47304</v>
      </c>
      <c r="O11518" t="s">
        <v>47305</v>
      </c>
      <c r="Q11518">
        <v>18</v>
      </c>
      <c r="R11518" t="s">
        <v>47315</v>
      </c>
      <c r="S11518" t="s">
        <v>47697</v>
      </c>
      <c r="T11518" t="s">
        <v>49148</v>
      </c>
      <c r="U11518" t="s">
        <v>59039</v>
      </c>
      <c r="W11518" t="s">
        <v>46549</v>
      </c>
      <c r="X11518" t="s">
        <v>47316</v>
      </c>
    </row>
    <row r="11519" spans="1:24">
      <c r="A11519">
        <f>HYPERLINK("https://www.philgeps.gov.ph/GEPSNONPILOT/Tender/SplashBidNoticeAbstractUI.aspx?menuIndex=3&amp;refID=7180609&amp;Result=3","7180609")</f>
        <v>0</v>
      </c>
      <c r="B11519" t="s">
        <v>1500</v>
      </c>
      <c r="C11519" t="s">
        <v>14744</v>
      </c>
      <c r="D11519" t="s">
        <v>19064</v>
      </c>
      <c r="E11519" t="s">
        <v>28904</v>
      </c>
      <c r="F11519" t="s">
        <v>32606</v>
      </c>
      <c r="G11519" t="s">
        <v>32613</v>
      </c>
      <c r="H11519" t="s">
        <v>32624</v>
      </c>
      <c r="I11519" t="s">
        <v>8606</v>
      </c>
      <c r="J11519" t="s">
        <v>39936</v>
      </c>
      <c r="K11519" t="s">
        <v>42631</v>
      </c>
      <c r="M11519" t="s">
        <v>45022</v>
      </c>
      <c r="N11519" t="s">
        <v>47304</v>
      </c>
      <c r="O11519" t="s">
        <v>47305</v>
      </c>
      <c r="P11519">
        <v>0</v>
      </c>
      <c r="Q11519">
        <v>6</v>
      </c>
      <c r="R11519" t="s">
        <v>47315</v>
      </c>
      <c r="S11519" t="s">
        <v>47665</v>
      </c>
      <c r="T11519" t="s">
        <v>49350</v>
      </c>
      <c r="U11519" t="s">
        <v>54365</v>
      </c>
      <c r="W11519" t="s">
        <v>64486</v>
      </c>
      <c r="X11519" t="s">
        <v>47316</v>
      </c>
    </row>
    <row r="11520" spans="1:24">
      <c r="A11520">
        <f>HYPERLINK("https://www.philgeps.gov.ph/GEPSNONPILOT/Tender/SplashBidNoticeAbstractUI.aspx?menuIndex=3&amp;refID=7180705&amp;Result=3","7180705")</f>
        <v>0</v>
      </c>
      <c r="B11520" t="s">
        <v>3308</v>
      </c>
      <c r="C11520" t="s">
        <v>14745</v>
      </c>
      <c r="D11520" t="s">
        <v>19006</v>
      </c>
      <c r="E11520" t="s">
        <v>28905</v>
      </c>
      <c r="F11520" t="s">
        <v>32606</v>
      </c>
      <c r="G11520" t="s">
        <v>32613</v>
      </c>
      <c r="H11520" t="s">
        <v>32623</v>
      </c>
      <c r="I11520" t="s">
        <v>17648</v>
      </c>
      <c r="J11520" t="s">
        <v>39937</v>
      </c>
      <c r="K11520" t="s">
        <v>42646</v>
      </c>
      <c r="M11520" t="s">
        <v>46550</v>
      </c>
      <c r="N11520" t="s">
        <v>47304</v>
      </c>
      <c r="O11520" t="s">
        <v>47305</v>
      </c>
      <c r="P11520">
        <v>0</v>
      </c>
      <c r="Q11520">
        <v>11</v>
      </c>
      <c r="R11520" t="s">
        <v>47315</v>
      </c>
      <c r="S11520" t="s">
        <v>47665</v>
      </c>
      <c r="T11520" t="s">
        <v>49107</v>
      </c>
      <c r="U11520" t="s">
        <v>59040</v>
      </c>
      <c r="V11520" t="s">
        <v>63886</v>
      </c>
      <c r="W11520" t="s">
        <v>46550</v>
      </c>
      <c r="X11520" t="s">
        <v>47316</v>
      </c>
    </row>
    <row r="11521" spans="1:24">
      <c r="A11521">
        <f>HYPERLINK("https://www.philgeps.gov.ph/GEPSNONPILOT/Tender/SplashBidNoticeAbstractUI.aspx?menuIndex=3&amp;refID=7180693&amp;Result=3","7180693")</f>
        <v>0</v>
      </c>
      <c r="B11521" t="s">
        <v>3307</v>
      </c>
      <c r="C11521" t="s">
        <v>14746</v>
      </c>
      <c r="E11521" t="s">
        <v>28906</v>
      </c>
      <c r="F11521" t="s">
        <v>32606</v>
      </c>
      <c r="G11521" t="s">
        <v>32613</v>
      </c>
      <c r="H11521" t="s">
        <v>14201</v>
      </c>
      <c r="I11521" t="s">
        <v>7677</v>
      </c>
      <c r="J11521" t="s">
        <v>39938</v>
      </c>
      <c r="K11521" t="s">
        <v>42624</v>
      </c>
      <c r="M11521" t="s">
        <v>46549</v>
      </c>
      <c r="N11521" t="s">
        <v>47304</v>
      </c>
      <c r="O11521" t="s">
        <v>47305</v>
      </c>
      <c r="Q11521">
        <v>11</v>
      </c>
      <c r="R11521" t="s">
        <v>47315</v>
      </c>
      <c r="S11521" t="s">
        <v>47698</v>
      </c>
      <c r="T11521" t="s">
        <v>49148</v>
      </c>
      <c r="U11521" t="s">
        <v>59041</v>
      </c>
      <c r="W11521" t="s">
        <v>46549</v>
      </c>
      <c r="X11521" t="s">
        <v>47316</v>
      </c>
    </row>
    <row r="11522" spans="1:24">
      <c r="A11522">
        <f>HYPERLINK("https://www.philgeps.gov.ph/GEPSNONPILOT/Tender/SplashBidNoticeAbstractUI.aspx?menuIndex=3&amp;refID=7180640&amp;Result=3","7180640")</f>
        <v>0</v>
      </c>
      <c r="B11522" t="s">
        <v>1500</v>
      </c>
      <c r="C11522" t="s">
        <v>14747</v>
      </c>
      <c r="D11522" t="s">
        <v>19064</v>
      </c>
      <c r="E11522" t="s">
        <v>28907</v>
      </c>
      <c r="F11522" t="s">
        <v>32606</v>
      </c>
      <c r="G11522" t="s">
        <v>32613</v>
      </c>
      <c r="H11522" t="s">
        <v>14201</v>
      </c>
      <c r="I11522" t="s">
        <v>9013</v>
      </c>
      <c r="J11522" t="s">
        <v>39939</v>
      </c>
      <c r="K11522" t="s">
        <v>42631</v>
      </c>
      <c r="M11522" t="s">
        <v>45022</v>
      </c>
      <c r="N11522" t="s">
        <v>47304</v>
      </c>
      <c r="O11522" t="s">
        <v>47305</v>
      </c>
      <c r="P11522">
        <v>0</v>
      </c>
      <c r="Q11522">
        <v>2</v>
      </c>
      <c r="R11522" t="s">
        <v>47315</v>
      </c>
      <c r="S11522" t="s">
        <v>47665</v>
      </c>
      <c r="T11522" t="s">
        <v>49350</v>
      </c>
      <c r="U11522" t="s">
        <v>54365</v>
      </c>
      <c r="W11522" t="s">
        <v>64486</v>
      </c>
      <c r="X11522" t="s">
        <v>47316</v>
      </c>
    </row>
    <row r="11523" spans="1:24">
      <c r="A11523">
        <f>HYPERLINK("https://www.philgeps.gov.ph/GEPSNONPILOT/Tender/SplashBidNoticeAbstractUI.aspx?menuIndex=3&amp;refID=7180679&amp;Result=3","7180679")</f>
        <v>0</v>
      </c>
      <c r="B11523" t="s">
        <v>652</v>
      </c>
      <c r="C11523" t="s">
        <v>14748</v>
      </c>
      <c r="D11523" t="s">
        <v>18993</v>
      </c>
      <c r="E11523" t="s">
        <v>28908</v>
      </c>
      <c r="F11523" t="s">
        <v>32606</v>
      </c>
      <c r="G11523" t="s">
        <v>32613</v>
      </c>
      <c r="H11523" t="s">
        <v>14201</v>
      </c>
      <c r="I11523" t="s">
        <v>32661</v>
      </c>
      <c r="J11523" t="s">
        <v>39940</v>
      </c>
      <c r="K11523" t="s">
        <v>42636</v>
      </c>
      <c r="M11523" t="s">
        <v>46551</v>
      </c>
      <c r="N11523" t="s">
        <v>47304</v>
      </c>
      <c r="O11523" t="s">
        <v>47305</v>
      </c>
      <c r="P11523">
        <v>0</v>
      </c>
      <c r="Q11523">
        <v>15</v>
      </c>
      <c r="R11523" t="s">
        <v>47315</v>
      </c>
      <c r="S11523" t="s">
        <v>47665</v>
      </c>
      <c r="T11523" t="s">
        <v>49099</v>
      </c>
      <c r="U11523" t="s">
        <v>59042</v>
      </c>
      <c r="W11523" t="s">
        <v>46551</v>
      </c>
      <c r="X11523" t="s">
        <v>47316</v>
      </c>
    </row>
    <row r="11524" spans="1:24">
      <c r="A11524">
        <f>HYPERLINK("https://www.philgeps.gov.ph/GEPSNONPILOT/Tender/SplashBidNoticeAbstractUI.aspx?menuIndex=3&amp;refID=7180721&amp;Result=3","7180721")</f>
        <v>0</v>
      </c>
      <c r="B11524" t="s">
        <v>3307</v>
      </c>
      <c r="C11524" t="s">
        <v>14749</v>
      </c>
      <c r="E11524" t="s">
        <v>28909</v>
      </c>
      <c r="F11524" t="s">
        <v>32606</v>
      </c>
      <c r="G11524" t="s">
        <v>32613</v>
      </c>
      <c r="H11524" t="s">
        <v>14201</v>
      </c>
      <c r="I11524" t="s">
        <v>32638</v>
      </c>
      <c r="J11524" t="s">
        <v>39941</v>
      </c>
      <c r="K11524" t="s">
        <v>42624</v>
      </c>
      <c r="M11524" t="s">
        <v>46549</v>
      </c>
      <c r="N11524" t="s">
        <v>47304</v>
      </c>
      <c r="O11524" t="s">
        <v>47305</v>
      </c>
      <c r="Q11524">
        <v>33</v>
      </c>
      <c r="R11524" t="s">
        <v>47315</v>
      </c>
      <c r="S11524" t="s">
        <v>47699</v>
      </c>
      <c r="T11524" t="s">
        <v>49148</v>
      </c>
      <c r="U11524" t="s">
        <v>59039</v>
      </c>
      <c r="W11524" t="s">
        <v>46549</v>
      </c>
      <c r="X11524" t="s">
        <v>47316</v>
      </c>
    </row>
    <row r="11525" spans="1:24">
      <c r="A11525">
        <f>HYPERLINK("https://www.philgeps.gov.ph/GEPSNONPILOT/Tender/SplashBidNoticeAbstractUI.aspx?menuIndex=3&amp;refID=7180673&amp;Result=3","7180673")</f>
        <v>0</v>
      </c>
      <c r="B11525" t="s">
        <v>3309</v>
      </c>
      <c r="C11525" t="s">
        <v>14750</v>
      </c>
      <c r="D11525" t="s">
        <v>19025</v>
      </c>
      <c r="E11525" t="s">
        <v>28910</v>
      </c>
      <c r="F11525" t="s">
        <v>32606</v>
      </c>
      <c r="G11525" t="s">
        <v>32613</v>
      </c>
      <c r="H11525" t="s">
        <v>14201</v>
      </c>
      <c r="I11525" t="s">
        <v>4120</v>
      </c>
      <c r="J11525" t="s">
        <v>39942</v>
      </c>
      <c r="K11525" t="s">
        <v>42623</v>
      </c>
      <c r="M11525" t="s">
        <v>46552</v>
      </c>
      <c r="N11525" t="s">
        <v>47304</v>
      </c>
      <c r="O11525" t="s">
        <v>47305</v>
      </c>
      <c r="Q11525">
        <v>7</v>
      </c>
      <c r="R11525" t="s">
        <v>47315</v>
      </c>
      <c r="S11525" t="s">
        <v>47700</v>
      </c>
      <c r="T11525" t="s">
        <v>49066</v>
      </c>
      <c r="U11525" t="s">
        <v>59043</v>
      </c>
      <c r="W11525" t="s">
        <v>46552</v>
      </c>
      <c r="X11525" t="s">
        <v>47316</v>
      </c>
    </row>
    <row r="11526" spans="1:24">
      <c r="A11526">
        <f>HYPERLINK("https://www.philgeps.gov.ph/GEPSNONPILOT/Tender/SplashBidNoticeAbstractUI.aspx?menuIndex=3&amp;refID=7180674&amp;Result=3","7180674")</f>
        <v>0</v>
      </c>
      <c r="B11526" t="s">
        <v>415</v>
      </c>
      <c r="C11526" t="s">
        <v>14751</v>
      </c>
      <c r="E11526" t="s">
        <v>28911</v>
      </c>
      <c r="F11526" t="s">
        <v>32606</v>
      </c>
      <c r="G11526" t="s">
        <v>32613</v>
      </c>
      <c r="H11526" t="s">
        <v>14201</v>
      </c>
      <c r="I11526" t="s">
        <v>32661</v>
      </c>
      <c r="J11526" t="s">
        <v>33039</v>
      </c>
      <c r="K11526" t="s">
        <v>42624</v>
      </c>
      <c r="M11526" t="s">
        <v>46553</v>
      </c>
      <c r="N11526" t="s">
        <v>47304</v>
      </c>
      <c r="O11526" t="s">
        <v>47305</v>
      </c>
      <c r="Q11526">
        <v>10</v>
      </c>
      <c r="R11526" t="s">
        <v>47315</v>
      </c>
      <c r="S11526" t="s">
        <v>47701</v>
      </c>
      <c r="T11526" t="s">
        <v>49066</v>
      </c>
      <c r="U11526" t="s">
        <v>59044</v>
      </c>
      <c r="V11526" t="s">
        <v>63887</v>
      </c>
      <c r="W11526" t="s">
        <v>46553</v>
      </c>
      <c r="X11526" t="s">
        <v>47316</v>
      </c>
    </row>
    <row r="11527" spans="1:24">
      <c r="A11527">
        <f>HYPERLINK("https://www.philgeps.gov.ph/GEPSNONPILOT/Tender/SplashBidNoticeAbstractUI.aspx?menuIndex=3&amp;refID=7180670&amp;Result=3","7180670")</f>
        <v>0</v>
      </c>
      <c r="B11527" t="s">
        <v>3310</v>
      </c>
      <c r="C11527" t="s">
        <v>14752</v>
      </c>
      <c r="D11527" t="s">
        <v>19004</v>
      </c>
      <c r="E11527" t="s">
        <v>19315</v>
      </c>
      <c r="F11527" t="s">
        <v>32606</v>
      </c>
      <c r="G11527" t="s">
        <v>32613</v>
      </c>
      <c r="H11527" t="s">
        <v>14201</v>
      </c>
      <c r="I11527" t="s">
        <v>6298</v>
      </c>
      <c r="J11527" t="s">
        <v>32969</v>
      </c>
      <c r="K11527" t="s">
        <v>42630</v>
      </c>
      <c r="M11527" t="s">
        <v>46554</v>
      </c>
      <c r="N11527" t="s">
        <v>47304</v>
      </c>
      <c r="O11527" t="s">
        <v>47305</v>
      </c>
      <c r="P11527">
        <v>0</v>
      </c>
      <c r="Q11527">
        <v>0</v>
      </c>
      <c r="R11527" t="s">
        <v>47315</v>
      </c>
      <c r="S11527" t="s">
        <v>47665</v>
      </c>
      <c r="T11527" t="s">
        <v>49461</v>
      </c>
      <c r="U11527" t="s">
        <v>59045</v>
      </c>
      <c r="W11527" t="s">
        <v>46554</v>
      </c>
      <c r="X11527" t="s">
        <v>47316</v>
      </c>
    </row>
    <row r="11528" spans="1:24">
      <c r="A11528">
        <f>HYPERLINK("https://www.philgeps.gov.ph/GEPSNONPILOT/Tender/SplashBidNoticeAbstractUI.aspx?menuIndex=3&amp;refID=7180667&amp;Result=3","7180667")</f>
        <v>0</v>
      </c>
      <c r="B11528" t="s">
        <v>503</v>
      </c>
      <c r="C11528" t="s">
        <v>14753</v>
      </c>
      <c r="D11528" t="s">
        <v>19033</v>
      </c>
      <c r="E11528" t="s">
        <v>28912</v>
      </c>
      <c r="F11528" t="s">
        <v>32606</v>
      </c>
      <c r="G11528" t="s">
        <v>32613</v>
      </c>
      <c r="H11528" t="s">
        <v>14201</v>
      </c>
      <c r="I11528" t="s">
        <v>6931</v>
      </c>
      <c r="J11528" t="s">
        <v>39943</v>
      </c>
      <c r="K11528" t="s">
        <v>42636</v>
      </c>
      <c r="M11528" t="s">
        <v>43416</v>
      </c>
      <c r="N11528" t="s">
        <v>47304</v>
      </c>
      <c r="O11528" t="s">
        <v>47305</v>
      </c>
      <c r="P11528">
        <v>0</v>
      </c>
      <c r="Q11528">
        <v>0</v>
      </c>
      <c r="R11528" t="s">
        <v>47315</v>
      </c>
      <c r="S11528" t="s">
        <v>47665</v>
      </c>
      <c r="T11528" t="s">
        <v>49107</v>
      </c>
      <c r="U11528" t="s">
        <v>59028</v>
      </c>
      <c r="W11528" t="s">
        <v>43416</v>
      </c>
      <c r="X11528" t="s">
        <v>47316</v>
      </c>
    </row>
    <row r="11529" spans="1:24">
      <c r="A11529">
        <f>HYPERLINK("https://www.philgeps.gov.ph/GEPSNONPILOT/Tender/SplashBidNoticeAbstractUI.aspx?menuIndex=3&amp;refID=7180715&amp;Result=3","7180715")</f>
        <v>0</v>
      </c>
      <c r="B11529" t="s">
        <v>3307</v>
      </c>
      <c r="C11529" t="s">
        <v>14754</v>
      </c>
      <c r="E11529" t="s">
        <v>28913</v>
      </c>
      <c r="F11529" t="s">
        <v>32606</v>
      </c>
      <c r="G11529" t="s">
        <v>32613</v>
      </c>
      <c r="H11529" t="s">
        <v>14201</v>
      </c>
      <c r="I11529" t="s">
        <v>32691</v>
      </c>
      <c r="J11529" t="s">
        <v>39944</v>
      </c>
      <c r="K11529" t="s">
        <v>42624</v>
      </c>
      <c r="M11529" t="s">
        <v>46549</v>
      </c>
      <c r="N11529" t="s">
        <v>47304</v>
      </c>
      <c r="O11529" t="s">
        <v>47305</v>
      </c>
      <c r="Q11529">
        <v>9</v>
      </c>
      <c r="R11529" t="s">
        <v>47315</v>
      </c>
      <c r="S11529" t="s">
        <v>47702</v>
      </c>
      <c r="T11529" t="s">
        <v>49148</v>
      </c>
      <c r="U11529" t="s">
        <v>59039</v>
      </c>
      <c r="W11529" t="s">
        <v>46549</v>
      </c>
      <c r="X11529" t="s">
        <v>47316</v>
      </c>
    </row>
    <row r="11530" spans="1:24">
      <c r="A11530">
        <f>HYPERLINK("https://www.philgeps.gov.ph/GEPSNONPILOT/Tender/SplashBidNoticeAbstractUI.aspx?menuIndex=3&amp;refID=7180664&amp;Result=3","7180664")</f>
        <v>0</v>
      </c>
      <c r="B11530" t="s">
        <v>503</v>
      </c>
      <c r="C11530" t="s">
        <v>14755</v>
      </c>
      <c r="D11530" t="s">
        <v>19033</v>
      </c>
      <c r="E11530" t="s">
        <v>28914</v>
      </c>
      <c r="F11530" t="s">
        <v>32606</v>
      </c>
      <c r="G11530" t="s">
        <v>32613</v>
      </c>
      <c r="H11530" t="s">
        <v>14201</v>
      </c>
      <c r="I11530" t="s">
        <v>6931</v>
      </c>
      <c r="J11530" t="s">
        <v>39945</v>
      </c>
      <c r="K11530" t="s">
        <v>42631</v>
      </c>
      <c r="M11530" t="s">
        <v>43416</v>
      </c>
      <c r="N11530" t="s">
        <v>47304</v>
      </c>
      <c r="O11530" t="s">
        <v>47305</v>
      </c>
      <c r="P11530">
        <v>0</v>
      </c>
      <c r="Q11530">
        <v>1</v>
      </c>
      <c r="R11530" t="s">
        <v>47315</v>
      </c>
      <c r="S11530" t="s">
        <v>47665</v>
      </c>
      <c r="T11530" t="s">
        <v>49107</v>
      </c>
      <c r="U11530" t="s">
        <v>59028</v>
      </c>
      <c r="W11530" t="s">
        <v>43416</v>
      </c>
      <c r="X11530" t="s">
        <v>47316</v>
      </c>
    </row>
    <row r="11531" spans="1:24">
      <c r="A11531">
        <f>HYPERLINK("https://www.philgeps.gov.ph/GEPSNONPILOT/Tender/SplashBidNoticeAbstractUI.aspx?menuIndex=3&amp;refID=7180802&amp;Result=3","7180802")</f>
        <v>0</v>
      </c>
      <c r="B11531" t="s">
        <v>3311</v>
      </c>
      <c r="C11531" t="s">
        <v>14756</v>
      </c>
      <c r="D11531" t="s">
        <v>18993</v>
      </c>
      <c r="E11531" t="s">
        <v>28915</v>
      </c>
      <c r="F11531" t="s">
        <v>32606</v>
      </c>
      <c r="G11531" t="s">
        <v>32613</v>
      </c>
      <c r="H11531" t="s">
        <v>14201</v>
      </c>
      <c r="I11531" t="s">
        <v>32629</v>
      </c>
      <c r="J11531" t="s">
        <v>39946</v>
      </c>
      <c r="K11531" t="s">
        <v>42656</v>
      </c>
      <c r="M11531" t="s">
        <v>46555</v>
      </c>
      <c r="N11531" t="s">
        <v>47304</v>
      </c>
      <c r="O11531" t="s">
        <v>47305</v>
      </c>
      <c r="P11531">
        <v>0</v>
      </c>
      <c r="Q11531">
        <v>2</v>
      </c>
      <c r="R11531" t="s">
        <v>47315</v>
      </c>
      <c r="S11531" t="s">
        <v>47665</v>
      </c>
      <c r="T11531" t="s">
        <v>49052</v>
      </c>
      <c r="U11531" t="s">
        <v>59046</v>
      </c>
      <c r="V11531" t="s">
        <v>62763</v>
      </c>
      <c r="W11531" t="s">
        <v>46555</v>
      </c>
      <c r="X11531" t="s">
        <v>47316</v>
      </c>
    </row>
    <row r="11532" spans="1:24">
      <c r="A11532">
        <f>HYPERLINK("https://www.philgeps.gov.ph/GEPSNONPILOT/Tender/SplashBidNoticeAbstractUI.aspx?menuIndex=3&amp;refID=7180702&amp;Result=3","7180702")</f>
        <v>0</v>
      </c>
      <c r="B11532" t="s">
        <v>1995</v>
      </c>
      <c r="C11532" t="s">
        <v>14757</v>
      </c>
      <c r="D11532" t="s">
        <v>18993</v>
      </c>
      <c r="E11532" t="s">
        <v>28916</v>
      </c>
      <c r="F11532" t="s">
        <v>32606</v>
      </c>
      <c r="G11532" t="s">
        <v>32614</v>
      </c>
      <c r="H11532" t="s">
        <v>32624</v>
      </c>
      <c r="I11532" t="s">
        <v>32675</v>
      </c>
      <c r="J11532" t="s">
        <v>32772</v>
      </c>
      <c r="K11532" t="s">
        <v>42631</v>
      </c>
      <c r="M11532" t="s">
        <v>46556</v>
      </c>
      <c r="N11532" t="s">
        <v>47304</v>
      </c>
      <c r="O11532" t="s">
        <v>47305</v>
      </c>
      <c r="Q11532">
        <v>0</v>
      </c>
      <c r="R11532" t="s">
        <v>47315</v>
      </c>
      <c r="S11532" t="s">
        <v>47703</v>
      </c>
      <c r="T11532" t="s">
        <v>49071</v>
      </c>
      <c r="U11532" t="s">
        <v>59047</v>
      </c>
      <c r="W11532" t="s">
        <v>46556</v>
      </c>
      <c r="X11532" t="s">
        <v>47316</v>
      </c>
    </row>
    <row r="11533" spans="1:24">
      <c r="A11533">
        <f>HYPERLINK("https://www.philgeps.gov.ph/GEPSNONPILOT/Tender/SplashBidNoticeAbstractUI.aspx?menuIndex=3&amp;refID=7180697&amp;Result=3","7180697")</f>
        <v>0</v>
      </c>
      <c r="B11533" t="s">
        <v>3307</v>
      </c>
      <c r="C11533" t="s">
        <v>14758</v>
      </c>
      <c r="E11533" t="s">
        <v>28917</v>
      </c>
      <c r="F11533" t="s">
        <v>32606</v>
      </c>
      <c r="G11533" t="s">
        <v>32613</v>
      </c>
      <c r="H11533" t="s">
        <v>14201</v>
      </c>
      <c r="I11533" t="s">
        <v>7677</v>
      </c>
      <c r="J11533" t="s">
        <v>39947</v>
      </c>
      <c r="K11533" t="s">
        <v>42624</v>
      </c>
      <c r="M11533" t="s">
        <v>46549</v>
      </c>
      <c r="N11533" t="s">
        <v>47304</v>
      </c>
      <c r="O11533" t="s">
        <v>47305</v>
      </c>
      <c r="Q11533">
        <v>11</v>
      </c>
      <c r="R11533" t="s">
        <v>47315</v>
      </c>
      <c r="S11533" t="s">
        <v>47704</v>
      </c>
      <c r="T11533" t="s">
        <v>49148</v>
      </c>
      <c r="U11533" t="s">
        <v>59041</v>
      </c>
      <c r="W11533" t="s">
        <v>46549</v>
      </c>
      <c r="X11533" t="s">
        <v>47316</v>
      </c>
    </row>
    <row r="11534" spans="1:24">
      <c r="A11534">
        <f>HYPERLINK("https://www.philgeps.gov.ph/GEPSNONPILOT/Tender/SplashBidNoticeAbstractUI.aspx?menuIndex=3&amp;refID=7180799&amp;Result=3","7180799")</f>
        <v>0</v>
      </c>
      <c r="B11534" t="s">
        <v>1119</v>
      </c>
      <c r="C11534" t="s">
        <v>14759</v>
      </c>
      <c r="D11534" t="s">
        <v>19002</v>
      </c>
      <c r="E11534" t="s">
        <v>28918</v>
      </c>
      <c r="F11534" t="s">
        <v>32606</v>
      </c>
      <c r="G11534" t="s">
        <v>32613</v>
      </c>
      <c r="H11534" t="s">
        <v>32623</v>
      </c>
      <c r="I11534" t="s">
        <v>17648</v>
      </c>
      <c r="J11534" t="s">
        <v>33071</v>
      </c>
      <c r="K11534" t="s">
        <v>42646</v>
      </c>
      <c r="M11534" t="s">
        <v>44081</v>
      </c>
      <c r="N11534" t="s">
        <v>47304</v>
      </c>
      <c r="O11534" t="s">
        <v>47305</v>
      </c>
      <c r="P11534">
        <v>0</v>
      </c>
      <c r="Q11534">
        <v>1</v>
      </c>
      <c r="R11534" t="s">
        <v>47315</v>
      </c>
      <c r="S11534" t="s">
        <v>47665</v>
      </c>
      <c r="T11534" t="s">
        <v>49099</v>
      </c>
      <c r="U11534" t="s">
        <v>59048</v>
      </c>
      <c r="W11534" t="s">
        <v>64534</v>
      </c>
      <c r="X11534" t="s">
        <v>47316</v>
      </c>
    </row>
    <row r="11535" spans="1:24">
      <c r="A11535">
        <f>HYPERLINK("https://www.philgeps.gov.ph/GEPSNONPILOT/Tender/SplashBidNoticeAbstractUI.aspx?menuIndex=3&amp;refID=7180793&amp;Result=3","7180793")</f>
        <v>0</v>
      </c>
      <c r="B11535" t="s">
        <v>3312</v>
      </c>
      <c r="C11535" t="s">
        <v>14760</v>
      </c>
      <c r="D11535" t="s">
        <v>19006</v>
      </c>
      <c r="E11535" t="s">
        <v>28919</v>
      </c>
      <c r="F11535" t="s">
        <v>32606</v>
      </c>
      <c r="G11535" t="s">
        <v>32613</v>
      </c>
      <c r="H11535" t="s">
        <v>32623</v>
      </c>
      <c r="I11535" t="s">
        <v>17648</v>
      </c>
      <c r="J11535" t="s">
        <v>32981</v>
      </c>
      <c r="K11535" t="s">
        <v>42639</v>
      </c>
      <c r="M11535" t="s">
        <v>46557</v>
      </c>
      <c r="N11535" t="s">
        <v>47304</v>
      </c>
      <c r="O11535" t="s">
        <v>47305</v>
      </c>
      <c r="P11535">
        <v>0</v>
      </c>
      <c r="Q11535">
        <v>1</v>
      </c>
      <c r="R11535" t="s">
        <v>47315</v>
      </c>
      <c r="S11535" t="s">
        <v>47665</v>
      </c>
      <c r="T11535" t="s">
        <v>48996</v>
      </c>
      <c r="U11535" t="s">
        <v>59049</v>
      </c>
      <c r="W11535" t="s">
        <v>46557</v>
      </c>
      <c r="X11535" t="s">
        <v>47316</v>
      </c>
    </row>
    <row r="11536" spans="1:24">
      <c r="A11536">
        <f>HYPERLINK("https://www.philgeps.gov.ph/GEPSNONPILOT/Tender/SplashBidNoticeAbstractUI.aspx?menuIndex=3&amp;refID=7180719&amp;Result=3","7180719")</f>
        <v>0</v>
      </c>
      <c r="B11536" t="s">
        <v>3307</v>
      </c>
      <c r="C11536" t="s">
        <v>14761</v>
      </c>
      <c r="E11536" t="s">
        <v>28920</v>
      </c>
      <c r="F11536" t="s">
        <v>32606</v>
      </c>
      <c r="G11536" t="s">
        <v>32613</v>
      </c>
      <c r="H11536" t="s">
        <v>14201</v>
      </c>
      <c r="I11536" t="s">
        <v>7677</v>
      </c>
      <c r="J11536" t="s">
        <v>39948</v>
      </c>
      <c r="K11536" t="s">
        <v>42624</v>
      </c>
      <c r="M11536" t="s">
        <v>46549</v>
      </c>
      <c r="N11536" t="s">
        <v>47304</v>
      </c>
      <c r="O11536" t="s">
        <v>47305</v>
      </c>
      <c r="Q11536">
        <v>19</v>
      </c>
      <c r="R11536" t="s">
        <v>47315</v>
      </c>
      <c r="S11536" t="s">
        <v>47705</v>
      </c>
      <c r="T11536" t="s">
        <v>49148</v>
      </c>
      <c r="U11536" t="s">
        <v>59039</v>
      </c>
      <c r="W11536" t="s">
        <v>46549</v>
      </c>
      <c r="X11536" t="s">
        <v>47316</v>
      </c>
    </row>
    <row r="11537" spans="1:24">
      <c r="A11537">
        <f>HYPERLINK("https://www.philgeps.gov.ph/GEPSNONPILOT/Tender/SplashBidNoticeAbstractUI.aspx?menuIndex=3&amp;refID=7180792&amp;Result=3","7180792")</f>
        <v>0</v>
      </c>
      <c r="B11537" t="s">
        <v>1119</v>
      </c>
      <c r="C11537" t="s">
        <v>14762</v>
      </c>
      <c r="D11537" t="s">
        <v>19002</v>
      </c>
      <c r="E11537" t="s">
        <v>28921</v>
      </c>
      <c r="F11537" t="s">
        <v>32606</v>
      </c>
      <c r="G11537" t="s">
        <v>32613</v>
      </c>
      <c r="H11537" t="s">
        <v>32623</v>
      </c>
      <c r="I11537" t="s">
        <v>17648</v>
      </c>
      <c r="J11537" t="s">
        <v>34246</v>
      </c>
      <c r="K11537" t="s">
        <v>42768</v>
      </c>
      <c r="M11537" t="s">
        <v>44081</v>
      </c>
      <c r="N11537" t="s">
        <v>47304</v>
      </c>
      <c r="O11537" t="s">
        <v>47305</v>
      </c>
      <c r="P11537">
        <v>0</v>
      </c>
      <c r="Q11537">
        <v>1</v>
      </c>
      <c r="R11537" t="s">
        <v>47315</v>
      </c>
      <c r="S11537" t="s">
        <v>47665</v>
      </c>
      <c r="T11537" t="s">
        <v>49099</v>
      </c>
      <c r="U11537" t="s">
        <v>59050</v>
      </c>
      <c r="W11537" t="s">
        <v>64534</v>
      </c>
      <c r="X11537" t="s">
        <v>47316</v>
      </c>
    </row>
    <row r="11538" spans="1:24">
      <c r="A11538">
        <f>HYPERLINK("https://www.philgeps.gov.ph/GEPSNONPILOT/Tender/SplashBidNoticeAbstractUI.aspx?menuIndex=3&amp;refID=7180789&amp;Result=3","7180789")</f>
        <v>0</v>
      </c>
      <c r="B11538" t="s">
        <v>652</v>
      </c>
      <c r="C11538" t="s">
        <v>14763</v>
      </c>
      <c r="D11538" t="s">
        <v>18993</v>
      </c>
      <c r="E11538" t="s">
        <v>28922</v>
      </c>
      <c r="F11538" t="s">
        <v>32606</v>
      </c>
      <c r="G11538" t="s">
        <v>32613</v>
      </c>
      <c r="H11538" t="s">
        <v>14201</v>
      </c>
      <c r="I11538" t="s">
        <v>4120</v>
      </c>
      <c r="J11538" t="s">
        <v>39949</v>
      </c>
      <c r="K11538" t="s">
        <v>42624</v>
      </c>
      <c r="M11538" t="s">
        <v>44776</v>
      </c>
      <c r="N11538" t="s">
        <v>47304</v>
      </c>
      <c r="O11538" t="s">
        <v>47305</v>
      </c>
      <c r="P11538">
        <v>0</v>
      </c>
      <c r="Q11538">
        <v>16</v>
      </c>
      <c r="R11538" t="s">
        <v>47315</v>
      </c>
      <c r="S11538" t="s">
        <v>47665</v>
      </c>
      <c r="T11538" t="s">
        <v>49099</v>
      </c>
      <c r="U11538" t="s">
        <v>59051</v>
      </c>
      <c r="V11538" t="s">
        <v>63888</v>
      </c>
      <c r="W11538" t="s">
        <v>44776</v>
      </c>
      <c r="X11538" t="s">
        <v>47316</v>
      </c>
    </row>
    <row r="11539" spans="1:24">
      <c r="A11539">
        <f>HYPERLINK("https://www.philgeps.gov.ph/GEPSNONPILOT/Tender/SplashBidNoticeAbstractUI.aspx?menuIndex=3&amp;refID=7180787&amp;Result=3","7180787")</f>
        <v>0</v>
      </c>
      <c r="B11539" t="s">
        <v>1119</v>
      </c>
      <c r="C11539" t="s">
        <v>14764</v>
      </c>
      <c r="D11539" t="s">
        <v>19002</v>
      </c>
      <c r="E11539" t="s">
        <v>28923</v>
      </c>
      <c r="F11539" t="s">
        <v>32606</v>
      </c>
      <c r="G11539" t="s">
        <v>32613</v>
      </c>
      <c r="H11539" t="s">
        <v>32623</v>
      </c>
      <c r="I11539" t="s">
        <v>17648</v>
      </c>
      <c r="J11539" t="s">
        <v>33039</v>
      </c>
      <c r="K11539" t="s">
        <v>42645</v>
      </c>
      <c r="M11539" t="s">
        <v>44081</v>
      </c>
      <c r="N11539" t="s">
        <v>47304</v>
      </c>
      <c r="O11539" t="s">
        <v>47305</v>
      </c>
      <c r="P11539">
        <v>0</v>
      </c>
      <c r="Q11539">
        <v>1</v>
      </c>
      <c r="R11539" t="s">
        <v>47315</v>
      </c>
      <c r="S11539" t="s">
        <v>47665</v>
      </c>
      <c r="T11539" t="s">
        <v>49099</v>
      </c>
      <c r="U11539" t="s">
        <v>59052</v>
      </c>
      <c r="W11539" t="s">
        <v>64534</v>
      </c>
      <c r="X11539" t="s">
        <v>47316</v>
      </c>
    </row>
    <row r="11540" spans="1:24">
      <c r="A11540">
        <f>HYPERLINK("https://www.philgeps.gov.ph/GEPSNONPILOT/Tender/SplashBidNoticeAbstractUI.aspx?menuIndex=3&amp;refID=7180806&amp;Result=3","7180806")</f>
        <v>0</v>
      </c>
      <c r="B11540" t="s">
        <v>3312</v>
      </c>
      <c r="C11540" t="s">
        <v>14765</v>
      </c>
      <c r="D11540" t="s">
        <v>19006</v>
      </c>
      <c r="E11540" t="s">
        <v>28924</v>
      </c>
      <c r="F11540" t="s">
        <v>32606</v>
      </c>
      <c r="G11540" t="s">
        <v>32613</v>
      </c>
      <c r="H11540" t="s">
        <v>32623</v>
      </c>
      <c r="I11540" t="s">
        <v>17648</v>
      </c>
      <c r="J11540" t="s">
        <v>32789</v>
      </c>
      <c r="K11540" t="s">
        <v>42648</v>
      </c>
      <c r="M11540" t="s">
        <v>46557</v>
      </c>
      <c r="N11540" t="s">
        <v>47304</v>
      </c>
      <c r="O11540" t="s">
        <v>47305</v>
      </c>
      <c r="P11540">
        <v>0</v>
      </c>
      <c r="Q11540">
        <v>1</v>
      </c>
      <c r="R11540" t="s">
        <v>47315</v>
      </c>
      <c r="S11540" t="s">
        <v>47665</v>
      </c>
      <c r="T11540" t="s">
        <v>49017</v>
      </c>
      <c r="U11540" t="s">
        <v>59053</v>
      </c>
      <c r="W11540" t="s">
        <v>46557</v>
      </c>
      <c r="X11540" t="s">
        <v>47316</v>
      </c>
    </row>
    <row r="11541" spans="1:24">
      <c r="A11541">
        <f>HYPERLINK("https://www.philgeps.gov.ph/GEPSNONPILOT/Tender/SplashBidNoticeAbstractUI.aspx?menuIndex=3&amp;refID=7180724&amp;Result=3","7180724")</f>
        <v>0</v>
      </c>
      <c r="B11541" t="s">
        <v>3307</v>
      </c>
      <c r="C11541" t="s">
        <v>14766</v>
      </c>
      <c r="E11541" t="s">
        <v>28925</v>
      </c>
      <c r="F11541" t="s">
        <v>32606</v>
      </c>
      <c r="G11541" t="s">
        <v>32613</v>
      </c>
      <c r="H11541" t="s">
        <v>14201</v>
      </c>
      <c r="I11541" t="s">
        <v>4369</v>
      </c>
      <c r="J11541" t="s">
        <v>39950</v>
      </c>
      <c r="K11541" t="s">
        <v>42624</v>
      </c>
      <c r="M11541" t="s">
        <v>46549</v>
      </c>
      <c r="N11541" t="s">
        <v>47304</v>
      </c>
      <c r="O11541" t="s">
        <v>47305</v>
      </c>
      <c r="Q11541">
        <v>12</v>
      </c>
      <c r="R11541" t="s">
        <v>47315</v>
      </c>
      <c r="S11541" t="s">
        <v>47706</v>
      </c>
      <c r="T11541" t="s">
        <v>49148</v>
      </c>
      <c r="U11541" t="s">
        <v>59039</v>
      </c>
      <c r="W11541" t="s">
        <v>46549</v>
      </c>
      <c r="X11541" t="s">
        <v>47316</v>
      </c>
    </row>
    <row r="11542" spans="1:24">
      <c r="A11542">
        <f>HYPERLINK("https://www.philgeps.gov.ph/GEPSNONPILOT/Tender/SplashBidNoticeAbstractUI.aspx?menuIndex=3&amp;refID=7180781&amp;Result=3","7180781")</f>
        <v>0</v>
      </c>
      <c r="B11542" t="s">
        <v>3313</v>
      </c>
      <c r="C11542" t="s">
        <v>14767</v>
      </c>
      <c r="D11542" t="s">
        <v>19009</v>
      </c>
      <c r="E11542" t="s">
        <v>28926</v>
      </c>
      <c r="F11542" t="s">
        <v>32606</v>
      </c>
      <c r="G11542" t="s">
        <v>32613</v>
      </c>
      <c r="H11542" t="s">
        <v>32623</v>
      </c>
      <c r="I11542" t="s">
        <v>17648</v>
      </c>
      <c r="J11542" t="s">
        <v>32770</v>
      </c>
      <c r="K11542" t="s">
        <v>42694</v>
      </c>
      <c r="M11542" t="s">
        <v>46558</v>
      </c>
      <c r="N11542" t="s">
        <v>47304</v>
      </c>
      <c r="O11542" t="s">
        <v>47305</v>
      </c>
      <c r="P11542">
        <v>0</v>
      </c>
      <c r="Q11542">
        <v>0</v>
      </c>
      <c r="R11542" t="s">
        <v>47315</v>
      </c>
      <c r="S11542" t="s">
        <v>47665</v>
      </c>
      <c r="T11542" t="s">
        <v>49140</v>
      </c>
      <c r="U11542" t="s">
        <v>59054</v>
      </c>
      <c r="W11542" t="s">
        <v>46558</v>
      </c>
      <c r="X11542" t="s">
        <v>47316</v>
      </c>
    </row>
    <row r="11543" spans="1:24">
      <c r="A11543">
        <f>HYPERLINK("https://www.philgeps.gov.ph/GEPSNONPILOT/Tender/SplashBidNoticeAbstractUI.aspx?menuIndex=3&amp;refID=7180771&amp;Result=3","7180771")</f>
        <v>0</v>
      </c>
      <c r="B11543" t="s">
        <v>1119</v>
      </c>
      <c r="C11543" t="s">
        <v>14768</v>
      </c>
      <c r="D11543" t="s">
        <v>19002</v>
      </c>
      <c r="E11543" t="s">
        <v>28927</v>
      </c>
      <c r="F11543" t="s">
        <v>32606</v>
      </c>
      <c r="G11543" t="s">
        <v>32613</v>
      </c>
      <c r="H11543" t="s">
        <v>32623</v>
      </c>
      <c r="I11543" t="s">
        <v>17648</v>
      </c>
      <c r="J11543" t="s">
        <v>35888</v>
      </c>
      <c r="K11543" t="s">
        <v>42712</v>
      </c>
      <c r="M11543" t="s">
        <v>44081</v>
      </c>
      <c r="N11543" t="s">
        <v>47304</v>
      </c>
      <c r="O11543" t="s">
        <v>47305</v>
      </c>
      <c r="P11543">
        <v>0</v>
      </c>
      <c r="Q11543">
        <v>3</v>
      </c>
      <c r="R11543" t="s">
        <v>47315</v>
      </c>
      <c r="S11543" t="s">
        <v>47665</v>
      </c>
      <c r="T11543" t="s">
        <v>49099</v>
      </c>
      <c r="U11543" t="s">
        <v>59055</v>
      </c>
      <c r="W11543" t="s">
        <v>64534</v>
      </c>
      <c r="X11543" t="s">
        <v>47316</v>
      </c>
    </row>
    <row r="11544" spans="1:24">
      <c r="A11544">
        <f>HYPERLINK("https://www.philgeps.gov.ph/GEPSNONPILOT/Tender/SplashBidNoticeAbstractUI.aspx?menuIndex=3&amp;refID=7180666&amp;Result=3","7180666")</f>
        <v>0</v>
      </c>
      <c r="B11544" t="s">
        <v>415</v>
      </c>
      <c r="C11544" t="s">
        <v>14769</v>
      </c>
      <c r="E11544" t="s">
        <v>28928</v>
      </c>
      <c r="F11544" t="s">
        <v>32606</v>
      </c>
      <c r="G11544" t="s">
        <v>32613</v>
      </c>
      <c r="H11544" t="s">
        <v>14201</v>
      </c>
      <c r="I11544" t="s">
        <v>32635</v>
      </c>
      <c r="J11544" t="s">
        <v>32920</v>
      </c>
      <c r="K11544" t="s">
        <v>42631</v>
      </c>
      <c r="M11544" t="s">
        <v>46553</v>
      </c>
      <c r="N11544" t="s">
        <v>47304</v>
      </c>
      <c r="O11544" t="s">
        <v>47305</v>
      </c>
      <c r="Q11544">
        <v>1</v>
      </c>
      <c r="R11544" t="s">
        <v>47315</v>
      </c>
      <c r="S11544" t="s">
        <v>47707</v>
      </c>
      <c r="T11544" t="s">
        <v>49066</v>
      </c>
      <c r="U11544" t="s">
        <v>59056</v>
      </c>
      <c r="V11544" t="s">
        <v>63887</v>
      </c>
      <c r="W11544" t="s">
        <v>46553</v>
      </c>
      <c r="X11544" t="s">
        <v>47316</v>
      </c>
    </row>
    <row r="11545" spans="1:24">
      <c r="A11545">
        <f>HYPERLINK("https://www.philgeps.gov.ph/GEPSNONPILOT/Tender/SplashBidNoticeAbstractUI.aspx?menuIndex=3&amp;refID=7180770&amp;Result=3","7180770")</f>
        <v>0</v>
      </c>
      <c r="B11545" t="s">
        <v>3313</v>
      </c>
      <c r="C11545" t="s">
        <v>6426</v>
      </c>
      <c r="D11545" t="s">
        <v>19009</v>
      </c>
      <c r="E11545" t="s">
        <v>28929</v>
      </c>
      <c r="F11545" t="s">
        <v>32606</v>
      </c>
      <c r="G11545" t="s">
        <v>32613</v>
      </c>
      <c r="H11545" t="s">
        <v>32623</v>
      </c>
      <c r="I11545" t="s">
        <v>17648</v>
      </c>
      <c r="J11545" t="s">
        <v>32778</v>
      </c>
      <c r="K11545" t="s">
        <v>42694</v>
      </c>
      <c r="M11545" t="s">
        <v>46558</v>
      </c>
      <c r="N11545" t="s">
        <v>47304</v>
      </c>
      <c r="O11545" t="s">
        <v>47305</v>
      </c>
      <c r="P11545">
        <v>0</v>
      </c>
      <c r="Q11545">
        <v>0</v>
      </c>
      <c r="R11545" t="s">
        <v>47315</v>
      </c>
      <c r="S11545" t="s">
        <v>47665</v>
      </c>
      <c r="T11545" t="s">
        <v>49140</v>
      </c>
      <c r="U11545" t="s">
        <v>59057</v>
      </c>
      <c r="W11545" t="s">
        <v>46558</v>
      </c>
      <c r="X11545" t="s">
        <v>47316</v>
      </c>
    </row>
    <row r="11546" spans="1:24">
      <c r="A11546">
        <f>HYPERLINK("https://www.philgeps.gov.ph/GEPSNONPILOT/Tender/SplashBidNoticeAbstractUI.aspx?menuIndex=3&amp;refID=7180783&amp;Result=3","7180783")</f>
        <v>0</v>
      </c>
      <c r="B11546" t="s">
        <v>1119</v>
      </c>
      <c r="C11546" t="s">
        <v>14770</v>
      </c>
      <c r="D11546" t="s">
        <v>19002</v>
      </c>
      <c r="E11546" t="s">
        <v>28930</v>
      </c>
      <c r="F11546" t="s">
        <v>32606</v>
      </c>
      <c r="G11546" t="s">
        <v>32613</v>
      </c>
      <c r="H11546" t="s">
        <v>32623</v>
      </c>
      <c r="I11546" t="s">
        <v>17648</v>
      </c>
      <c r="J11546" t="s">
        <v>33039</v>
      </c>
      <c r="K11546" t="s">
        <v>42645</v>
      </c>
      <c r="M11546" t="s">
        <v>44081</v>
      </c>
      <c r="N11546" t="s">
        <v>47304</v>
      </c>
      <c r="O11546" t="s">
        <v>47305</v>
      </c>
      <c r="P11546">
        <v>0</v>
      </c>
      <c r="Q11546">
        <v>1</v>
      </c>
      <c r="R11546" t="s">
        <v>47315</v>
      </c>
      <c r="S11546" t="s">
        <v>47665</v>
      </c>
      <c r="T11546" t="s">
        <v>49099</v>
      </c>
      <c r="U11546" t="s">
        <v>59058</v>
      </c>
      <c r="W11546" t="s">
        <v>64534</v>
      </c>
      <c r="X11546" t="s">
        <v>47316</v>
      </c>
    </row>
    <row r="11547" spans="1:24">
      <c r="A11547">
        <f>HYPERLINK("https://www.philgeps.gov.ph/GEPSNONPILOT/Tender/SplashBidNoticeAbstractUI.aspx?menuIndex=3&amp;refID=7180812&amp;Result=3","7180812")</f>
        <v>0</v>
      </c>
      <c r="B11547" t="s">
        <v>652</v>
      </c>
      <c r="C11547" t="s">
        <v>14771</v>
      </c>
      <c r="D11547" t="s">
        <v>18993</v>
      </c>
      <c r="E11547" t="s">
        <v>28931</v>
      </c>
      <c r="F11547" t="s">
        <v>32606</v>
      </c>
      <c r="G11547" t="s">
        <v>32613</v>
      </c>
      <c r="H11547" t="s">
        <v>14201</v>
      </c>
      <c r="I11547" t="s">
        <v>4120</v>
      </c>
      <c r="J11547" t="s">
        <v>39951</v>
      </c>
      <c r="K11547" t="s">
        <v>42624</v>
      </c>
      <c r="M11547" t="s">
        <v>44776</v>
      </c>
      <c r="N11547" t="s">
        <v>47304</v>
      </c>
      <c r="O11547" t="s">
        <v>47305</v>
      </c>
      <c r="P11547">
        <v>0</v>
      </c>
      <c r="Q11547">
        <v>16</v>
      </c>
      <c r="R11547" t="s">
        <v>47315</v>
      </c>
      <c r="S11547" t="s">
        <v>47665</v>
      </c>
      <c r="T11547" t="s">
        <v>48970</v>
      </c>
      <c r="U11547" t="s">
        <v>59059</v>
      </c>
      <c r="V11547" t="s">
        <v>63889</v>
      </c>
      <c r="W11547" t="s">
        <v>44776</v>
      </c>
      <c r="X11547" t="s">
        <v>47316</v>
      </c>
    </row>
    <row r="11548" spans="1:24">
      <c r="A11548">
        <f>HYPERLINK("https://www.philgeps.gov.ph/GEPSNONPILOT/Tender/SplashBidNoticeAbstractUI.aspx?menuIndex=3&amp;refID=7180776&amp;Result=3","7180776")</f>
        <v>0</v>
      </c>
      <c r="B11548" t="s">
        <v>3147</v>
      </c>
      <c r="C11548" t="s">
        <v>14772</v>
      </c>
      <c r="D11548" t="s">
        <v>18989</v>
      </c>
      <c r="E11548" t="s">
        <v>28932</v>
      </c>
      <c r="F11548" t="s">
        <v>32606</v>
      </c>
      <c r="G11548" t="s">
        <v>32613</v>
      </c>
      <c r="H11548" t="s">
        <v>32623</v>
      </c>
      <c r="I11548" t="s">
        <v>17648</v>
      </c>
      <c r="J11548" t="s">
        <v>34557</v>
      </c>
      <c r="K11548" t="s">
        <v>42646</v>
      </c>
      <c r="M11548" t="s">
        <v>46363</v>
      </c>
      <c r="N11548" t="s">
        <v>47304</v>
      </c>
      <c r="O11548" t="s">
        <v>47305</v>
      </c>
      <c r="P11548">
        <v>0</v>
      </c>
      <c r="Q11548">
        <v>1</v>
      </c>
      <c r="R11548" t="s">
        <v>47315</v>
      </c>
      <c r="S11548" t="s">
        <v>47665</v>
      </c>
      <c r="T11548" t="s">
        <v>49075</v>
      </c>
      <c r="U11548" t="s">
        <v>59060</v>
      </c>
      <c r="W11548" t="s">
        <v>46363</v>
      </c>
      <c r="X11548" t="s">
        <v>47316</v>
      </c>
    </row>
    <row r="11549" spans="1:24">
      <c r="A11549">
        <f>HYPERLINK("https://www.philgeps.gov.ph/GEPSNONPILOT/Tender/SplashBidNoticeAbstractUI.aspx?menuIndex=3&amp;refID=7180145&amp;Result=3","7180145")</f>
        <v>0</v>
      </c>
      <c r="B11549" t="s">
        <v>1644</v>
      </c>
      <c r="C11549" t="s">
        <v>14773</v>
      </c>
      <c r="D11549" t="s">
        <v>19022</v>
      </c>
      <c r="E11549" t="s">
        <v>28933</v>
      </c>
      <c r="F11549" t="s">
        <v>32606</v>
      </c>
      <c r="G11549" t="s">
        <v>32614</v>
      </c>
      <c r="H11549" t="s">
        <v>14201</v>
      </c>
      <c r="I11549" t="s">
        <v>32654</v>
      </c>
      <c r="J11549" t="s">
        <v>32765</v>
      </c>
      <c r="K11549" t="s">
        <v>42630</v>
      </c>
      <c r="M11549" t="s">
        <v>44665</v>
      </c>
      <c r="N11549" t="s">
        <v>47304</v>
      </c>
      <c r="O11549" t="s">
        <v>47305</v>
      </c>
      <c r="P11549">
        <v>0</v>
      </c>
      <c r="Q11549">
        <v>0</v>
      </c>
      <c r="R11549" t="s">
        <v>47316</v>
      </c>
      <c r="S11549" t="s">
        <v>47708</v>
      </c>
      <c r="T11549" t="s">
        <v>49268</v>
      </c>
      <c r="U11549" t="s">
        <v>59061</v>
      </c>
      <c r="W11549" t="s">
        <v>64478</v>
      </c>
      <c r="X11549" t="s">
        <v>47317</v>
      </c>
    </row>
    <row r="11550" spans="1:24">
      <c r="A11550">
        <f>HYPERLINK("https://www.philgeps.gov.ph/GEPSNONPILOT/Tender/SplashBidNoticeAbstractUI.aspx?menuIndex=3&amp;refID=7180801&amp;Result=3","7180801")</f>
        <v>0</v>
      </c>
      <c r="B11550" t="s">
        <v>3313</v>
      </c>
      <c r="C11550" t="s">
        <v>14774</v>
      </c>
      <c r="D11550" t="s">
        <v>19009</v>
      </c>
      <c r="E11550" t="s">
        <v>28934</v>
      </c>
      <c r="F11550" t="s">
        <v>32606</v>
      </c>
      <c r="G11550" t="s">
        <v>32613</v>
      </c>
      <c r="H11550" t="s">
        <v>32623</v>
      </c>
      <c r="I11550" t="s">
        <v>17648</v>
      </c>
      <c r="J11550" t="s">
        <v>32770</v>
      </c>
      <c r="K11550" t="s">
        <v>42636</v>
      </c>
      <c r="M11550" t="s">
        <v>46558</v>
      </c>
      <c r="N11550" t="s">
        <v>47304</v>
      </c>
      <c r="O11550" t="s">
        <v>47305</v>
      </c>
      <c r="P11550">
        <v>0</v>
      </c>
      <c r="Q11550">
        <v>0</v>
      </c>
      <c r="R11550" t="s">
        <v>47315</v>
      </c>
      <c r="S11550" t="s">
        <v>47665</v>
      </c>
      <c r="T11550" t="s">
        <v>49140</v>
      </c>
      <c r="U11550" t="s">
        <v>59062</v>
      </c>
      <c r="W11550" t="s">
        <v>46558</v>
      </c>
      <c r="X11550" t="s">
        <v>47316</v>
      </c>
    </row>
    <row r="11551" spans="1:24">
      <c r="A11551">
        <f>HYPERLINK("https://www.philgeps.gov.ph/GEPSNONPILOT/Tender/SplashBidNoticeAbstractUI.aspx?menuIndex=3&amp;refID=7180157&amp;Result=3","7180157")</f>
        <v>0</v>
      </c>
      <c r="B11551" t="s">
        <v>2324</v>
      </c>
      <c r="C11551" t="s">
        <v>14775</v>
      </c>
      <c r="D11551" t="s">
        <v>19002</v>
      </c>
      <c r="E11551" t="s">
        <v>28935</v>
      </c>
      <c r="F11551" t="s">
        <v>32606</v>
      </c>
      <c r="G11551" t="s">
        <v>32613</v>
      </c>
      <c r="H11551" t="s">
        <v>14201</v>
      </c>
      <c r="I11551" t="s">
        <v>32664</v>
      </c>
      <c r="J11551" t="s">
        <v>39952</v>
      </c>
      <c r="K11551" t="s">
        <v>42654</v>
      </c>
      <c r="L11551" t="s">
        <v>2324</v>
      </c>
      <c r="M11551" t="s">
        <v>45432</v>
      </c>
      <c r="N11551" t="s">
        <v>47304</v>
      </c>
      <c r="O11551" t="s">
        <v>47305</v>
      </c>
      <c r="P11551">
        <v>0</v>
      </c>
      <c r="Q11551">
        <v>1</v>
      </c>
      <c r="R11551" t="s">
        <v>47316</v>
      </c>
      <c r="S11551" t="s">
        <v>47708</v>
      </c>
      <c r="T11551" t="s">
        <v>49268</v>
      </c>
      <c r="U11551" t="s">
        <v>59063</v>
      </c>
      <c r="W11551" t="s">
        <v>45432</v>
      </c>
      <c r="X11551" t="s">
        <v>47317</v>
      </c>
    </row>
    <row r="11552" spans="1:24">
      <c r="A11552">
        <f>HYPERLINK("https://www.philgeps.gov.ph/GEPSNONPILOT/Tender/SplashBidNoticeAbstractUI.aspx?menuIndex=3&amp;refID=7180154&amp;Result=3","7180154")</f>
        <v>0</v>
      </c>
      <c r="B11552" t="s">
        <v>1644</v>
      </c>
      <c r="C11552" t="s">
        <v>14776</v>
      </c>
      <c r="D11552" t="s">
        <v>19022</v>
      </c>
      <c r="E11552" t="s">
        <v>28936</v>
      </c>
      <c r="F11552" t="s">
        <v>32606</v>
      </c>
      <c r="G11552" t="s">
        <v>32614</v>
      </c>
      <c r="H11552" t="s">
        <v>14201</v>
      </c>
      <c r="I11552" t="s">
        <v>4114</v>
      </c>
      <c r="J11552" t="s">
        <v>39953</v>
      </c>
      <c r="K11552" t="s">
        <v>42630</v>
      </c>
      <c r="M11552" t="s">
        <v>44665</v>
      </c>
      <c r="N11552" t="s">
        <v>47304</v>
      </c>
      <c r="O11552" t="s">
        <v>47305</v>
      </c>
      <c r="P11552">
        <v>0</v>
      </c>
      <c r="Q11552">
        <v>3</v>
      </c>
      <c r="R11552" t="s">
        <v>47316</v>
      </c>
      <c r="S11552" t="s">
        <v>47708</v>
      </c>
      <c r="T11552" t="s">
        <v>49268</v>
      </c>
      <c r="U11552" t="s">
        <v>59064</v>
      </c>
      <c r="W11552" t="s">
        <v>64478</v>
      </c>
      <c r="X11552" t="s">
        <v>47317</v>
      </c>
    </row>
    <row r="11553" spans="1:24">
      <c r="A11553">
        <f>HYPERLINK("https://www.philgeps.gov.ph/GEPSNONPILOT/Tender/SplashBidNoticeAbstractUI.aspx?menuIndex=3&amp;refID=7180147&amp;Result=3","7180147")</f>
        <v>0</v>
      </c>
      <c r="B11553" t="s">
        <v>2324</v>
      </c>
      <c r="C11553" t="s">
        <v>14777</v>
      </c>
      <c r="D11553" t="s">
        <v>19002</v>
      </c>
      <c r="E11553" t="s">
        <v>28937</v>
      </c>
      <c r="F11553" t="s">
        <v>32606</v>
      </c>
      <c r="G11553" t="s">
        <v>32613</v>
      </c>
      <c r="H11553" t="s">
        <v>14201</v>
      </c>
      <c r="I11553" t="s">
        <v>32664</v>
      </c>
      <c r="J11553" t="s">
        <v>39954</v>
      </c>
      <c r="K11553" t="s">
        <v>42654</v>
      </c>
      <c r="L11553" t="s">
        <v>2324</v>
      </c>
      <c r="M11553" t="s">
        <v>45432</v>
      </c>
      <c r="N11553" t="s">
        <v>47304</v>
      </c>
      <c r="O11553" t="s">
        <v>47305</v>
      </c>
      <c r="P11553">
        <v>0</v>
      </c>
      <c r="Q11553">
        <v>0</v>
      </c>
      <c r="R11553" t="s">
        <v>47316</v>
      </c>
      <c r="S11553" t="s">
        <v>47708</v>
      </c>
      <c r="T11553" t="s">
        <v>49268</v>
      </c>
      <c r="U11553" t="s">
        <v>59065</v>
      </c>
      <c r="W11553" t="s">
        <v>45432</v>
      </c>
      <c r="X11553" t="s">
        <v>47317</v>
      </c>
    </row>
    <row r="11554" spans="1:24">
      <c r="A11554">
        <f>HYPERLINK("https://www.philgeps.gov.ph/GEPSNONPILOT/Tender/SplashBidNoticeAbstractUI.aspx?menuIndex=3&amp;refID=7180144&amp;Result=3","7180144")</f>
        <v>0</v>
      </c>
      <c r="B11554" t="s">
        <v>2324</v>
      </c>
      <c r="C11554" t="s">
        <v>14778</v>
      </c>
      <c r="D11554" t="s">
        <v>19002</v>
      </c>
      <c r="E11554" t="s">
        <v>28938</v>
      </c>
      <c r="F11554" t="s">
        <v>32606</v>
      </c>
      <c r="G11554" t="s">
        <v>32613</v>
      </c>
      <c r="H11554" t="s">
        <v>14201</v>
      </c>
      <c r="I11554" t="s">
        <v>32664</v>
      </c>
      <c r="J11554" t="s">
        <v>39954</v>
      </c>
      <c r="K11554" t="s">
        <v>42654</v>
      </c>
      <c r="L11554" t="s">
        <v>2324</v>
      </c>
      <c r="M11554" t="s">
        <v>45432</v>
      </c>
      <c r="N11554" t="s">
        <v>47304</v>
      </c>
      <c r="O11554" t="s">
        <v>47305</v>
      </c>
      <c r="P11554">
        <v>0</v>
      </c>
      <c r="Q11554">
        <v>1</v>
      </c>
      <c r="R11554" t="s">
        <v>47316</v>
      </c>
      <c r="S11554" t="s">
        <v>47708</v>
      </c>
      <c r="T11554" t="s">
        <v>49268</v>
      </c>
      <c r="U11554" t="s">
        <v>59063</v>
      </c>
      <c r="W11554" t="s">
        <v>45432</v>
      </c>
      <c r="X11554" t="s">
        <v>47317</v>
      </c>
    </row>
    <row r="11555" spans="1:24">
      <c r="A11555">
        <f>HYPERLINK("https://www.philgeps.gov.ph/GEPSNONPILOT/Tender/SplashBidNoticeAbstractUI.aspx?menuIndex=3&amp;refID=7180143&amp;Result=3","7180143")</f>
        <v>0</v>
      </c>
      <c r="B11555" t="s">
        <v>2324</v>
      </c>
      <c r="C11555" t="s">
        <v>14779</v>
      </c>
      <c r="D11555" t="s">
        <v>19002</v>
      </c>
      <c r="E11555" t="s">
        <v>28939</v>
      </c>
      <c r="F11555" t="s">
        <v>32606</v>
      </c>
      <c r="G11555" t="s">
        <v>32613</v>
      </c>
      <c r="H11555" t="s">
        <v>14201</v>
      </c>
      <c r="I11555" t="s">
        <v>17648</v>
      </c>
      <c r="J11555" t="s">
        <v>39954</v>
      </c>
      <c r="K11555" t="s">
        <v>42654</v>
      </c>
      <c r="L11555" t="s">
        <v>2324</v>
      </c>
      <c r="M11555" t="s">
        <v>45432</v>
      </c>
      <c r="N11555" t="s">
        <v>47304</v>
      </c>
      <c r="O11555" t="s">
        <v>47305</v>
      </c>
      <c r="P11555">
        <v>0</v>
      </c>
      <c r="Q11555">
        <v>0</v>
      </c>
      <c r="R11555" t="s">
        <v>47316</v>
      </c>
      <c r="S11555" t="s">
        <v>47708</v>
      </c>
      <c r="T11555" t="s">
        <v>49268</v>
      </c>
      <c r="U11555" t="s">
        <v>59063</v>
      </c>
      <c r="W11555" t="s">
        <v>45432</v>
      </c>
      <c r="X11555" t="s">
        <v>47317</v>
      </c>
    </row>
    <row r="11556" spans="1:24">
      <c r="A11556">
        <f>HYPERLINK("https://www.philgeps.gov.ph/GEPSNONPILOT/Tender/SplashBidNoticeAbstractUI.aspx?menuIndex=3&amp;refID=7180141&amp;Result=3","7180141")</f>
        <v>0</v>
      </c>
      <c r="B11556" t="s">
        <v>2324</v>
      </c>
      <c r="C11556" t="s">
        <v>14780</v>
      </c>
      <c r="D11556" t="s">
        <v>19002</v>
      </c>
      <c r="E11556" t="s">
        <v>28940</v>
      </c>
      <c r="F11556" t="s">
        <v>32606</v>
      </c>
      <c r="G11556" t="s">
        <v>32613</v>
      </c>
      <c r="H11556" t="s">
        <v>14201</v>
      </c>
      <c r="I11556" t="s">
        <v>32664</v>
      </c>
      <c r="J11556" t="s">
        <v>39954</v>
      </c>
      <c r="K11556" t="s">
        <v>42654</v>
      </c>
      <c r="L11556" t="s">
        <v>2324</v>
      </c>
      <c r="M11556" t="s">
        <v>45432</v>
      </c>
      <c r="N11556" t="s">
        <v>47304</v>
      </c>
      <c r="O11556" t="s">
        <v>47305</v>
      </c>
      <c r="P11556">
        <v>0</v>
      </c>
      <c r="Q11556">
        <v>0</v>
      </c>
      <c r="R11556" t="s">
        <v>47316</v>
      </c>
      <c r="S11556" t="s">
        <v>47708</v>
      </c>
      <c r="T11556" t="s">
        <v>49268</v>
      </c>
      <c r="U11556" t="s">
        <v>59063</v>
      </c>
      <c r="W11556" t="s">
        <v>45432</v>
      </c>
      <c r="X11556" t="s">
        <v>47317</v>
      </c>
    </row>
    <row r="11557" spans="1:24">
      <c r="A11557">
        <f>HYPERLINK("https://www.philgeps.gov.ph/GEPSNONPILOT/Tender/SplashBidNoticeAbstractUI.aspx?menuIndex=3&amp;refID=7180139&amp;Result=3","7180139")</f>
        <v>0</v>
      </c>
      <c r="B11557" t="s">
        <v>2324</v>
      </c>
      <c r="C11557" t="s">
        <v>14781</v>
      </c>
      <c r="D11557" t="s">
        <v>19002</v>
      </c>
      <c r="E11557" t="s">
        <v>28941</v>
      </c>
      <c r="F11557" t="s">
        <v>32606</v>
      </c>
      <c r="G11557" t="s">
        <v>32613</v>
      </c>
      <c r="H11557" t="s">
        <v>14201</v>
      </c>
      <c r="I11557" t="s">
        <v>32664</v>
      </c>
      <c r="J11557" t="s">
        <v>39954</v>
      </c>
      <c r="K11557" t="s">
        <v>42654</v>
      </c>
      <c r="L11557" t="s">
        <v>2324</v>
      </c>
      <c r="M11557" t="s">
        <v>45432</v>
      </c>
      <c r="N11557" t="s">
        <v>47304</v>
      </c>
      <c r="O11557" t="s">
        <v>47305</v>
      </c>
      <c r="P11557">
        <v>0</v>
      </c>
      <c r="Q11557">
        <v>1</v>
      </c>
      <c r="R11557" t="s">
        <v>47316</v>
      </c>
      <c r="S11557" t="s">
        <v>47708</v>
      </c>
      <c r="T11557" t="s">
        <v>49268</v>
      </c>
      <c r="U11557" t="s">
        <v>59063</v>
      </c>
      <c r="W11557" t="s">
        <v>45432</v>
      </c>
      <c r="X11557" t="s">
        <v>47317</v>
      </c>
    </row>
    <row r="11558" spans="1:24">
      <c r="A11558">
        <f>HYPERLINK("https://www.philgeps.gov.ph/GEPSNONPILOT/Tender/SplashBidNoticeAbstractUI.aspx?menuIndex=3&amp;refID=7180136&amp;Result=3","7180136")</f>
        <v>0</v>
      </c>
      <c r="B11558" t="s">
        <v>2324</v>
      </c>
      <c r="C11558" t="s">
        <v>14782</v>
      </c>
      <c r="D11558" t="s">
        <v>19002</v>
      </c>
      <c r="E11558" t="s">
        <v>28942</v>
      </c>
      <c r="F11558" t="s">
        <v>32606</v>
      </c>
      <c r="G11558" t="s">
        <v>32613</v>
      </c>
      <c r="H11558" t="s">
        <v>14201</v>
      </c>
      <c r="I11558" t="s">
        <v>32664</v>
      </c>
      <c r="J11558" t="s">
        <v>39954</v>
      </c>
      <c r="K11558" t="s">
        <v>42654</v>
      </c>
      <c r="L11558" t="s">
        <v>2324</v>
      </c>
      <c r="M11558" t="s">
        <v>45432</v>
      </c>
      <c r="N11558" t="s">
        <v>47304</v>
      </c>
      <c r="O11558" t="s">
        <v>47305</v>
      </c>
      <c r="P11558">
        <v>0</v>
      </c>
      <c r="Q11558">
        <v>1</v>
      </c>
      <c r="R11558" t="s">
        <v>47316</v>
      </c>
      <c r="S11558" t="s">
        <v>47708</v>
      </c>
      <c r="T11558" t="s">
        <v>49268</v>
      </c>
      <c r="U11558" t="s">
        <v>59065</v>
      </c>
      <c r="W11558" t="s">
        <v>45432</v>
      </c>
      <c r="X11558" t="s">
        <v>47317</v>
      </c>
    </row>
    <row r="11559" spans="1:24">
      <c r="A11559">
        <f>HYPERLINK("https://www.philgeps.gov.ph/GEPSNONPILOT/Tender/SplashBidNoticeAbstractUI.aspx?menuIndex=3&amp;refID=7180119&amp;Result=3","7180119")</f>
        <v>0</v>
      </c>
      <c r="B11559" t="s">
        <v>3314</v>
      </c>
      <c r="C11559" t="s">
        <v>14783</v>
      </c>
      <c r="D11559" t="s">
        <v>19007</v>
      </c>
      <c r="E11559" t="s">
        <v>28943</v>
      </c>
      <c r="F11559" t="s">
        <v>32606</v>
      </c>
      <c r="G11559" t="s">
        <v>32613</v>
      </c>
      <c r="H11559" t="s">
        <v>32623</v>
      </c>
      <c r="I11559" t="s">
        <v>17648</v>
      </c>
      <c r="J11559" t="s">
        <v>32778</v>
      </c>
      <c r="K11559" t="s">
        <v>42631</v>
      </c>
      <c r="M11559" t="s">
        <v>46559</v>
      </c>
      <c r="N11559" t="s">
        <v>47304</v>
      </c>
      <c r="O11559" t="s">
        <v>47305</v>
      </c>
      <c r="P11559">
        <v>0</v>
      </c>
      <c r="Q11559">
        <v>0</v>
      </c>
      <c r="R11559" t="s">
        <v>47316</v>
      </c>
      <c r="S11559" t="s">
        <v>47708</v>
      </c>
      <c r="T11559" t="s">
        <v>49107</v>
      </c>
      <c r="U11559" t="s">
        <v>59066</v>
      </c>
      <c r="V11559" t="s">
        <v>63890</v>
      </c>
      <c r="W11559" t="s">
        <v>46559</v>
      </c>
      <c r="X11559" t="s">
        <v>47317</v>
      </c>
    </row>
    <row r="11560" spans="1:24">
      <c r="A11560">
        <f>HYPERLINK("https://www.philgeps.gov.ph/GEPSNONPILOT/Tender/SplashBidNoticeAbstractUI.aspx?menuIndex=3&amp;refID=7179846&amp;Result=3","7179846")</f>
        <v>0</v>
      </c>
      <c r="B11560" t="s">
        <v>3315</v>
      </c>
      <c r="C11560" t="s">
        <v>14784</v>
      </c>
      <c r="D11560" t="s">
        <v>19056</v>
      </c>
      <c r="E11560" t="s">
        <v>28944</v>
      </c>
      <c r="F11560" t="s">
        <v>32606</v>
      </c>
      <c r="G11560" t="s">
        <v>32613</v>
      </c>
      <c r="H11560" t="s">
        <v>14201</v>
      </c>
      <c r="I11560" t="s">
        <v>9008</v>
      </c>
      <c r="J11560" t="s">
        <v>36227</v>
      </c>
      <c r="K11560" t="s">
        <v>42630</v>
      </c>
      <c r="M11560" t="s">
        <v>46560</v>
      </c>
      <c r="N11560" t="s">
        <v>47304</v>
      </c>
      <c r="O11560" t="s">
        <v>47305</v>
      </c>
      <c r="P11560">
        <v>0</v>
      </c>
      <c r="Q11560">
        <v>4</v>
      </c>
      <c r="R11560" t="s">
        <v>47316</v>
      </c>
      <c r="S11560" t="s">
        <v>47708</v>
      </c>
      <c r="T11560" t="s">
        <v>49170</v>
      </c>
      <c r="U11560" t="s">
        <v>59067</v>
      </c>
      <c r="V11560" t="s">
        <v>63891</v>
      </c>
      <c r="W11560" t="s">
        <v>46560</v>
      </c>
      <c r="X11560" t="s">
        <v>47318</v>
      </c>
    </row>
    <row r="11561" spans="1:24">
      <c r="A11561">
        <f>HYPERLINK("https://www.philgeps.gov.ph/GEPSNONPILOT/Tender/SplashBidNoticeAbstractUI.aspx?menuIndex=3&amp;refID=7180153&amp;Result=3","7180153")</f>
        <v>0</v>
      </c>
      <c r="B11561" t="s">
        <v>2324</v>
      </c>
      <c r="C11561" t="s">
        <v>14785</v>
      </c>
      <c r="D11561" t="s">
        <v>19002</v>
      </c>
      <c r="E11561" t="s">
        <v>28945</v>
      </c>
      <c r="F11561" t="s">
        <v>32606</v>
      </c>
      <c r="G11561" t="s">
        <v>32613</v>
      </c>
      <c r="H11561" t="s">
        <v>14201</v>
      </c>
      <c r="I11561" t="s">
        <v>32664</v>
      </c>
      <c r="J11561" t="s">
        <v>39955</v>
      </c>
      <c r="K11561" t="s">
        <v>42654</v>
      </c>
      <c r="L11561" t="s">
        <v>2324</v>
      </c>
      <c r="M11561" t="s">
        <v>45432</v>
      </c>
      <c r="N11561" t="s">
        <v>47304</v>
      </c>
      <c r="O11561" t="s">
        <v>47305</v>
      </c>
      <c r="P11561">
        <v>0</v>
      </c>
      <c r="Q11561">
        <v>1</v>
      </c>
      <c r="R11561" t="s">
        <v>47316</v>
      </c>
      <c r="S11561" t="s">
        <v>47708</v>
      </c>
      <c r="T11561" t="s">
        <v>49268</v>
      </c>
      <c r="U11561" t="s">
        <v>59068</v>
      </c>
      <c r="W11561" t="s">
        <v>45432</v>
      </c>
      <c r="X11561" t="s">
        <v>47317</v>
      </c>
    </row>
    <row r="11562" spans="1:24">
      <c r="A11562">
        <f>HYPERLINK("https://www.philgeps.gov.ph/GEPSNONPILOT/Tender/SplashBidNoticeAbstractUI.aspx?menuIndex=3&amp;refID=7176092&amp;Result=3","7176092")</f>
        <v>0</v>
      </c>
      <c r="B11562" t="s">
        <v>3316</v>
      </c>
      <c r="C11562" t="s">
        <v>14786</v>
      </c>
      <c r="D11562" t="s">
        <v>19015</v>
      </c>
      <c r="E11562" t="s">
        <v>19315</v>
      </c>
      <c r="F11562" t="s">
        <v>32606</v>
      </c>
      <c r="G11562" t="s">
        <v>32613</v>
      </c>
      <c r="H11562" t="s">
        <v>14201</v>
      </c>
      <c r="I11562" t="s">
        <v>6931</v>
      </c>
      <c r="J11562" t="s">
        <v>39956</v>
      </c>
      <c r="K11562" t="s">
        <v>42631</v>
      </c>
      <c r="M11562" t="s">
        <v>46561</v>
      </c>
      <c r="N11562" t="s">
        <v>47304</v>
      </c>
      <c r="O11562" t="s">
        <v>47305</v>
      </c>
      <c r="P11562">
        <v>0</v>
      </c>
      <c r="Q11562">
        <v>3</v>
      </c>
      <c r="R11562" t="s">
        <v>47316</v>
      </c>
      <c r="S11562" t="s">
        <v>47708</v>
      </c>
      <c r="T11562" t="s">
        <v>49321</v>
      </c>
      <c r="U11562" t="s">
        <v>59069</v>
      </c>
      <c r="W11562" t="s">
        <v>46561</v>
      </c>
      <c r="X11562" t="s">
        <v>47319</v>
      </c>
    </row>
    <row r="11563" spans="1:24">
      <c r="A11563">
        <f>HYPERLINK("https://www.philgeps.gov.ph/GEPSNONPILOT/Tender/SplashBidNoticeAbstractUI.aspx?menuIndex=3&amp;refID=7180820&amp;Result=3","7180820")</f>
        <v>0</v>
      </c>
      <c r="B11563" t="s">
        <v>3313</v>
      </c>
      <c r="C11563" t="s">
        <v>14787</v>
      </c>
      <c r="D11563" t="s">
        <v>19009</v>
      </c>
      <c r="E11563" t="s">
        <v>28946</v>
      </c>
      <c r="F11563" t="s">
        <v>32606</v>
      </c>
      <c r="G11563" t="s">
        <v>32613</v>
      </c>
      <c r="H11563" t="s">
        <v>32623</v>
      </c>
      <c r="I11563" t="s">
        <v>17648</v>
      </c>
      <c r="J11563" t="s">
        <v>35368</v>
      </c>
      <c r="K11563" t="s">
        <v>42646</v>
      </c>
      <c r="M11563" t="s">
        <v>46558</v>
      </c>
      <c r="N11563" t="s">
        <v>47304</v>
      </c>
      <c r="O11563" t="s">
        <v>47305</v>
      </c>
      <c r="P11563">
        <v>0</v>
      </c>
      <c r="Q11563">
        <v>0</v>
      </c>
      <c r="R11563" t="s">
        <v>47315</v>
      </c>
      <c r="S11563" t="s">
        <v>47665</v>
      </c>
      <c r="T11563" t="s">
        <v>49140</v>
      </c>
      <c r="U11563" t="s">
        <v>59070</v>
      </c>
      <c r="W11563" t="s">
        <v>46558</v>
      </c>
      <c r="X11563" t="s">
        <v>47316</v>
      </c>
    </row>
    <row r="11564" spans="1:24">
      <c r="A11564">
        <f>HYPERLINK("https://www.philgeps.gov.ph/GEPSNONPILOT/Tender/SplashBidNoticeAbstractUI.aspx?menuIndex=3&amp;refID=7180156&amp;Result=3","7180156")</f>
        <v>0</v>
      </c>
      <c r="B11564" t="s">
        <v>3317</v>
      </c>
      <c r="C11564" t="s">
        <v>6491</v>
      </c>
      <c r="D11564" t="s">
        <v>19021</v>
      </c>
      <c r="E11564" t="s">
        <v>28947</v>
      </c>
      <c r="F11564" t="s">
        <v>32606</v>
      </c>
      <c r="G11564" t="s">
        <v>32613</v>
      </c>
      <c r="H11564" t="s">
        <v>14201</v>
      </c>
      <c r="I11564" t="s">
        <v>32633</v>
      </c>
      <c r="J11564" t="s">
        <v>39957</v>
      </c>
      <c r="K11564" t="s">
        <v>42630</v>
      </c>
      <c r="M11564" t="s">
        <v>46562</v>
      </c>
      <c r="N11564" t="s">
        <v>47304</v>
      </c>
      <c r="O11564" t="s">
        <v>47305</v>
      </c>
      <c r="P11564">
        <v>0</v>
      </c>
      <c r="Q11564">
        <v>13</v>
      </c>
      <c r="R11564" t="s">
        <v>47316</v>
      </c>
      <c r="S11564" t="s">
        <v>47708</v>
      </c>
      <c r="T11564" t="s">
        <v>49084</v>
      </c>
      <c r="U11564" t="s">
        <v>54540</v>
      </c>
      <c r="W11564" t="s">
        <v>46562</v>
      </c>
      <c r="X11564" t="s">
        <v>47317</v>
      </c>
    </row>
    <row r="11565" spans="1:24">
      <c r="A11565">
        <f>HYPERLINK("https://www.philgeps.gov.ph/GEPSNONPILOT/Tender/SplashBidNoticeAbstractUI.aspx?menuIndex=3&amp;refID=7180774&amp;Result=3","7180774")</f>
        <v>0</v>
      </c>
      <c r="B11565" t="s">
        <v>3147</v>
      </c>
      <c r="C11565" t="s">
        <v>14788</v>
      </c>
      <c r="D11565" t="s">
        <v>18989</v>
      </c>
      <c r="E11565" t="s">
        <v>28948</v>
      </c>
      <c r="F11565" t="s">
        <v>32606</v>
      </c>
      <c r="G11565" t="s">
        <v>32613</v>
      </c>
      <c r="H11565" t="s">
        <v>32623</v>
      </c>
      <c r="I11565" t="s">
        <v>17648</v>
      </c>
      <c r="J11565" t="s">
        <v>34557</v>
      </c>
      <c r="K11565" t="s">
        <v>42646</v>
      </c>
      <c r="M11565" t="s">
        <v>46363</v>
      </c>
      <c r="N11565" t="s">
        <v>47304</v>
      </c>
      <c r="O11565" t="s">
        <v>47305</v>
      </c>
      <c r="P11565">
        <v>0</v>
      </c>
      <c r="Q11565">
        <v>1</v>
      </c>
      <c r="R11565" t="s">
        <v>47315</v>
      </c>
      <c r="S11565" t="s">
        <v>47665</v>
      </c>
      <c r="T11565" t="s">
        <v>49075</v>
      </c>
      <c r="U11565" t="s">
        <v>59071</v>
      </c>
      <c r="W11565" t="s">
        <v>46363</v>
      </c>
      <c r="X11565" t="s">
        <v>47316</v>
      </c>
    </row>
    <row r="11566" spans="1:24">
      <c r="A11566">
        <f>HYPERLINK("https://www.philgeps.gov.ph/GEPSNONPILOT/Tender/SplashBidNoticeAbstractUI.aspx?menuIndex=3&amp;refID=7180120&amp;Result=3","7180120")</f>
        <v>0</v>
      </c>
      <c r="B11566" t="s">
        <v>3314</v>
      </c>
      <c r="C11566" t="s">
        <v>14789</v>
      </c>
      <c r="D11566" t="s">
        <v>19007</v>
      </c>
      <c r="E11566" t="s">
        <v>28949</v>
      </c>
      <c r="F11566" t="s">
        <v>32606</v>
      </c>
      <c r="G11566" t="s">
        <v>32613</v>
      </c>
      <c r="H11566" t="s">
        <v>32623</v>
      </c>
      <c r="I11566" t="s">
        <v>17648</v>
      </c>
      <c r="J11566" t="s">
        <v>32765</v>
      </c>
      <c r="K11566" t="s">
        <v>42631</v>
      </c>
      <c r="M11566" t="s">
        <v>46559</v>
      </c>
      <c r="N11566" t="s">
        <v>47304</v>
      </c>
      <c r="O11566" t="s">
        <v>47305</v>
      </c>
      <c r="P11566">
        <v>0</v>
      </c>
      <c r="Q11566">
        <v>0</v>
      </c>
      <c r="R11566" t="s">
        <v>47316</v>
      </c>
      <c r="S11566" t="s">
        <v>47708</v>
      </c>
      <c r="T11566" t="s">
        <v>49107</v>
      </c>
      <c r="U11566" t="s">
        <v>58898</v>
      </c>
      <c r="V11566" t="s">
        <v>63892</v>
      </c>
      <c r="W11566" t="s">
        <v>46559</v>
      </c>
      <c r="X11566" t="s">
        <v>47317</v>
      </c>
    </row>
    <row r="11567" spans="1:24">
      <c r="A11567">
        <f>HYPERLINK("https://www.philgeps.gov.ph/GEPSNONPILOT/Tender/SplashBidNoticeAbstractUI.aspx?menuIndex=3&amp;refID=7180746&amp;Result=3","7180746")</f>
        <v>0</v>
      </c>
      <c r="B11567" t="s">
        <v>1119</v>
      </c>
      <c r="C11567" t="s">
        <v>14790</v>
      </c>
      <c r="D11567" t="s">
        <v>19002</v>
      </c>
      <c r="E11567" t="s">
        <v>28950</v>
      </c>
      <c r="F11567" t="s">
        <v>32606</v>
      </c>
      <c r="G11567" t="s">
        <v>32613</v>
      </c>
      <c r="H11567" t="s">
        <v>14201</v>
      </c>
      <c r="I11567" t="s">
        <v>32640</v>
      </c>
      <c r="J11567" t="s">
        <v>33071</v>
      </c>
      <c r="K11567" t="s">
        <v>42623</v>
      </c>
      <c r="M11567" t="s">
        <v>44081</v>
      </c>
      <c r="N11567" t="s">
        <v>47304</v>
      </c>
      <c r="O11567" t="s">
        <v>47305</v>
      </c>
      <c r="P11567">
        <v>0</v>
      </c>
      <c r="Q11567">
        <v>4</v>
      </c>
      <c r="R11567" t="s">
        <v>47315</v>
      </c>
      <c r="S11567" t="s">
        <v>47665</v>
      </c>
      <c r="T11567" t="s">
        <v>49109</v>
      </c>
      <c r="U11567" t="s">
        <v>59072</v>
      </c>
      <c r="W11567" t="s">
        <v>64462</v>
      </c>
      <c r="X11567" t="s">
        <v>47316</v>
      </c>
    </row>
    <row r="11568" spans="1:24">
      <c r="A11568">
        <f>HYPERLINK("https://www.philgeps.gov.ph/GEPSNONPILOT/Tender/SplashBidNoticeAbstractUI.aspx?menuIndex=3&amp;refID=7180813&amp;Result=3","7180813")</f>
        <v>0</v>
      </c>
      <c r="B11568" t="s">
        <v>3318</v>
      </c>
      <c r="C11568" t="s">
        <v>10249</v>
      </c>
      <c r="D11568" t="s">
        <v>19007</v>
      </c>
      <c r="E11568" t="s">
        <v>20525</v>
      </c>
      <c r="F11568" t="s">
        <v>32606</v>
      </c>
      <c r="G11568" t="s">
        <v>32613</v>
      </c>
      <c r="H11568" t="s">
        <v>32623</v>
      </c>
      <c r="I11568" t="s">
        <v>17648</v>
      </c>
      <c r="J11568" t="s">
        <v>39958</v>
      </c>
      <c r="K11568" t="s">
        <v>42639</v>
      </c>
      <c r="M11568" t="s">
        <v>46563</v>
      </c>
      <c r="N11568" t="s">
        <v>47304</v>
      </c>
      <c r="O11568" t="s">
        <v>47305</v>
      </c>
      <c r="P11568">
        <v>0</v>
      </c>
      <c r="Q11568">
        <v>0</v>
      </c>
      <c r="R11568" t="s">
        <v>47315</v>
      </c>
      <c r="S11568" t="s">
        <v>47665</v>
      </c>
      <c r="T11568" t="s">
        <v>49104</v>
      </c>
      <c r="U11568" t="s">
        <v>59073</v>
      </c>
      <c r="W11568" t="s">
        <v>46563</v>
      </c>
      <c r="X11568" t="s">
        <v>47316</v>
      </c>
    </row>
    <row r="11569" spans="1:24">
      <c r="A11569">
        <f>HYPERLINK("https://www.philgeps.gov.ph/GEPSNONPILOT/Tender/SplashBidNoticeAbstractUI.aspx?menuIndex=3&amp;refID=7180742&amp;Result=3","7180742")</f>
        <v>0</v>
      </c>
      <c r="B11569" t="s">
        <v>988</v>
      </c>
      <c r="C11569" t="s">
        <v>14791</v>
      </c>
      <c r="D11569" t="s">
        <v>18995</v>
      </c>
      <c r="E11569" t="s">
        <v>28951</v>
      </c>
      <c r="F11569" t="s">
        <v>32606</v>
      </c>
      <c r="G11569" t="s">
        <v>32613</v>
      </c>
      <c r="H11569" t="s">
        <v>14201</v>
      </c>
      <c r="I11569" t="s">
        <v>32633</v>
      </c>
      <c r="J11569" t="s">
        <v>39959</v>
      </c>
      <c r="K11569" t="s">
        <v>42631</v>
      </c>
      <c r="M11569" t="s">
        <v>43935</v>
      </c>
      <c r="N11569" t="s">
        <v>47304</v>
      </c>
      <c r="O11569" t="s">
        <v>47305</v>
      </c>
      <c r="P11569">
        <v>0</v>
      </c>
      <c r="Q11569">
        <v>8</v>
      </c>
      <c r="R11569" t="s">
        <v>47315</v>
      </c>
      <c r="S11569" t="s">
        <v>47665</v>
      </c>
      <c r="T11569" t="s">
        <v>49066</v>
      </c>
      <c r="U11569" t="s">
        <v>59074</v>
      </c>
      <c r="V11569" t="s">
        <v>53712</v>
      </c>
      <c r="W11569" t="s">
        <v>43935</v>
      </c>
      <c r="X11569" t="s">
        <v>47316</v>
      </c>
    </row>
    <row r="11570" spans="1:24">
      <c r="A11570">
        <f>HYPERLINK("https://www.philgeps.gov.ph/GEPSNONPILOT/Tender/SplashBidNoticeAbstractUI.aspx?menuIndex=3&amp;refID=7180741&amp;Result=3","7180741")</f>
        <v>0</v>
      </c>
      <c r="B11570" t="s">
        <v>1119</v>
      </c>
      <c r="C11570" t="s">
        <v>14792</v>
      </c>
      <c r="D11570" t="s">
        <v>19002</v>
      </c>
      <c r="E11570" t="s">
        <v>28952</v>
      </c>
      <c r="F11570" t="s">
        <v>32606</v>
      </c>
      <c r="G11570" t="s">
        <v>32613</v>
      </c>
      <c r="H11570" t="s">
        <v>14201</v>
      </c>
      <c r="I11570" t="s">
        <v>32654</v>
      </c>
      <c r="J11570" t="s">
        <v>39960</v>
      </c>
      <c r="K11570" t="s">
        <v>42623</v>
      </c>
      <c r="M11570" t="s">
        <v>44081</v>
      </c>
      <c r="N11570" t="s">
        <v>47304</v>
      </c>
      <c r="O11570" t="s">
        <v>47305</v>
      </c>
      <c r="P11570">
        <v>0</v>
      </c>
      <c r="Q11570">
        <v>2</v>
      </c>
      <c r="R11570" t="s">
        <v>47315</v>
      </c>
      <c r="S11570" t="s">
        <v>47665</v>
      </c>
      <c r="T11570" t="s">
        <v>49109</v>
      </c>
      <c r="U11570" t="s">
        <v>59075</v>
      </c>
      <c r="W11570" t="s">
        <v>64462</v>
      </c>
      <c r="X11570" t="s">
        <v>47316</v>
      </c>
    </row>
    <row r="11571" spans="1:24">
      <c r="A11571">
        <f>HYPERLINK("https://www.philgeps.gov.ph/GEPSNONPILOT/Tender/SplashBidNoticeAbstractUI.aspx?menuIndex=3&amp;refID=7180592&amp;Result=3","7180592")</f>
        <v>0</v>
      </c>
      <c r="B11571" t="s">
        <v>2842</v>
      </c>
      <c r="C11571" t="s">
        <v>14793</v>
      </c>
      <c r="D11571" t="s">
        <v>19003</v>
      </c>
      <c r="E11571" t="s">
        <v>28953</v>
      </c>
      <c r="F11571" t="s">
        <v>32606</v>
      </c>
      <c r="G11571" t="s">
        <v>32613</v>
      </c>
      <c r="H11571" t="s">
        <v>14201</v>
      </c>
      <c r="I11571" t="s">
        <v>32661</v>
      </c>
      <c r="J11571" t="s">
        <v>32772</v>
      </c>
      <c r="K11571" t="s">
        <v>42636</v>
      </c>
      <c r="M11571" t="s">
        <v>46009</v>
      </c>
      <c r="N11571" t="s">
        <v>47304</v>
      </c>
      <c r="O11571" t="s">
        <v>47305</v>
      </c>
      <c r="Q11571">
        <v>3</v>
      </c>
      <c r="R11571" t="s">
        <v>47315</v>
      </c>
      <c r="S11571" t="s">
        <v>47709</v>
      </c>
      <c r="T11571" t="s">
        <v>49101</v>
      </c>
      <c r="U11571" t="s">
        <v>59076</v>
      </c>
      <c r="V11571" t="s">
        <v>63608</v>
      </c>
      <c r="W11571" t="s">
        <v>46009</v>
      </c>
      <c r="X11571" t="s">
        <v>47316</v>
      </c>
    </row>
    <row r="11572" spans="1:24">
      <c r="A11572">
        <f>HYPERLINK("https://www.philgeps.gov.ph/GEPSNONPILOT/Tender/SplashBidNoticeAbstractUI.aspx?menuIndex=3&amp;refID=7180582&amp;Result=3","7180582")</f>
        <v>0</v>
      </c>
      <c r="B11572" t="s">
        <v>2842</v>
      </c>
      <c r="C11572" t="s">
        <v>14794</v>
      </c>
      <c r="D11572" t="s">
        <v>19003</v>
      </c>
      <c r="E11572" t="s">
        <v>28954</v>
      </c>
      <c r="F11572" t="s">
        <v>32606</v>
      </c>
      <c r="G11572" t="s">
        <v>32613</v>
      </c>
      <c r="H11572" t="s">
        <v>14201</v>
      </c>
      <c r="I11572" t="s">
        <v>32661</v>
      </c>
      <c r="J11572" t="s">
        <v>33102</v>
      </c>
      <c r="K11572" t="s">
        <v>42631</v>
      </c>
      <c r="M11572" t="s">
        <v>46009</v>
      </c>
      <c r="N11572" t="s">
        <v>47304</v>
      </c>
      <c r="O11572" t="s">
        <v>47305</v>
      </c>
      <c r="Q11572">
        <v>5</v>
      </c>
      <c r="R11572" t="s">
        <v>47315</v>
      </c>
      <c r="S11572" t="s">
        <v>47710</v>
      </c>
      <c r="T11572" t="s">
        <v>49101</v>
      </c>
      <c r="U11572" t="s">
        <v>59077</v>
      </c>
      <c r="V11572" t="s">
        <v>63608</v>
      </c>
      <c r="W11572" t="s">
        <v>46009</v>
      </c>
      <c r="X11572" t="s">
        <v>47316</v>
      </c>
    </row>
    <row r="11573" spans="1:24">
      <c r="A11573">
        <f>HYPERLINK("https://www.philgeps.gov.ph/GEPSNONPILOT/Tender/SplashBidNoticeAbstractUI.aspx?menuIndex=3&amp;refID=7180772&amp;Result=3","7180772")</f>
        <v>0</v>
      </c>
      <c r="B11573" t="s">
        <v>3147</v>
      </c>
      <c r="C11573" t="s">
        <v>14795</v>
      </c>
      <c r="D11573" t="s">
        <v>18989</v>
      </c>
      <c r="E11573" t="s">
        <v>28955</v>
      </c>
      <c r="F11573" t="s">
        <v>32606</v>
      </c>
      <c r="G11573" t="s">
        <v>32613</v>
      </c>
      <c r="H11573" t="s">
        <v>32623</v>
      </c>
      <c r="I11573" t="s">
        <v>17648</v>
      </c>
      <c r="J11573" t="s">
        <v>34557</v>
      </c>
      <c r="K11573" t="s">
        <v>42646</v>
      </c>
      <c r="M11573" t="s">
        <v>46363</v>
      </c>
      <c r="N11573" t="s">
        <v>47304</v>
      </c>
      <c r="O11573" t="s">
        <v>47305</v>
      </c>
      <c r="P11573">
        <v>0</v>
      </c>
      <c r="Q11573">
        <v>1</v>
      </c>
      <c r="R11573" t="s">
        <v>47315</v>
      </c>
      <c r="S11573" t="s">
        <v>47665</v>
      </c>
      <c r="T11573" t="s">
        <v>49075</v>
      </c>
      <c r="U11573" t="s">
        <v>59078</v>
      </c>
      <c r="W11573" t="s">
        <v>46363</v>
      </c>
      <c r="X11573" t="s">
        <v>47316</v>
      </c>
    </row>
    <row r="11574" spans="1:24">
      <c r="A11574">
        <f>HYPERLINK("https://www.philgeps.gov.ph/GEPSNONPILOT/Tender/SplashBidNoticeAbstractUI.aspx?menuIndex=3&amp;refID=7180745&amp;Result=3","7180745")</f>
        <v>0</v>
      </c>
      <c r="B11574" t="s">
        <v>1119</v>
      </c>
      <c r="C11574" t="s">
        <v>14796</v>
      </c>
      <c r="D11574" t="s">
        <v>19002</v>
      </c>
      <c r="E11574" t="s">
        <v>28956</v>
      </c>
      <c r="F11574" t="s">
        <v>32606</v>
      </c>
      <c r="G11574" t="s">
        <v>32613</v>
      </c>
      <c r="H11574" t="s">
        <v>14201</v>
      </c>
      <c r="I11574" t="s">
        <v>32650</v>
      </c>
      <c r="J11574" t="s">
        <v>39486</v>
      </c>
      <c r="K11574" t="s">
        <v>42623</v>
      </c>
      <c r="M11574" t="s">
        <v>44081</v>
      </c>
      <c r="N11574" t="s">
        <v>47304</v>
      </c>
      <c r="O11574" t="s">
        <v>47305</v>
      </c>
      <c r="P11574">
        <v>0</v>
      </c>
      <c r="Q11574">
        <v>1</v>
      </c>
      <c r="R11574" t="s">
        <v>47315</v>
      </c>
      <c r="S11574" t="s">
        <v>47665</v>
      </c>
      <c r="T11574" t="s">
        <v>49109</v>
      </c>
      <c r="U11574" t="s">
        <v>59079</v>
      </c>
      <c r="W11574" t="s">
        <v>64462</v>
      </c>
      <c r="X11574" t="s">
        <v>47316</v>
      </c>
    </row>
    <row r="11575" spans="1:24">
      <c r="A11575">
        <f>HYPERLINK("https://www.philgeps.gov.ph/GEPSNONPILOT/Tender/SplashBidNoticeAbstractUI.aspx?menuIndex=3&amp;refID=7180298&amp;Result=3","7180298")</f>
        <v>0</v>
      </c>
      <c r="B11575" t="s">
        <v>3319</v>
      </c>
      <c r="C11575" t="s">
        <v>14797</v>
      </c>
      <c r="D11575" t="s">
        <v>19015</v>
      </c>
      <c r="E11575" t="s">
        <v>19315</v>
      </c>
      <c r="F11575" t="s">
        <v>32606</v>
      </c>
      <c r="G11575" t="s">
        <v>32613</v>
      </c>
      <c r="H11575" t="s">
        <v>14201</v>
      </c>
      <c r="I11575" t="s">
        <v>6931</v>
      </c>
      <c r="J11575" t="s">
        <v>39961</v>
      </c>
      <c r="K11575" t="s">
        <v>42631</v>
      </c>
      <c r="M11575" t="s">
        <v>46564</v>
      </c>
      <c r="N11575" t="s">
        <v>47304</v>
      </c>
      <c r="O11575" t="s">
        <v>47305</v>
      </c>
      <c r="P11575">
        <v>0</v>
      </c>
      <c r="Q11575">
        <v>5</v>
      </c>
      <c r="R11575" t="s">
        <v>47316</v>
      </c>
      <c r="S11575" t="s">
        <v>47708</v>
      </c>
      <c r="T11575" t="s">
        <v>49245</v>
      </c>
      <c r="U11575" t="s">
        <v>59080</v>
      </c>
      <c r="W11575" t="s">
        <v>46564</v>
      </c>
      <c r="X11575" t="s">
        <v>47317</v>
      </c>
    </row>
    <row r="11576" spans="1:24">
      <c r="A11576">
        <f>HYPERLINK("https://www.philgeps.gov.ph/GEPSNONPILOT/Tender/SplashBidNoticeAbstractUI.aspx?menuIndex=3&amp;refID=7180840&amp;Result=3","7180840")</f>
        <v>0</v>
      </c>
      <c r="B11576" t="s">
        <v>1738</v>
      </c>
      <c r="C11576" t="s">
        <v>14798</v>
      </c>
      <c r="E11576" t="s">
        <v>28957</v>
      </c>
      <c r="F11576" t="s">
        <v>32606</v>
      </c>
      <c r="G11576" t="s">
        <v>32614</v>
      </c>
      <c r="H11576" t="s">
        <v>14201</v>
      </c>
      <c r="I11576" t="s">
        <v>32678</v>
      </c>
      <c r="J11576" t="s">
        <v>39962</v>
      </c>
      <c r="K11576" t="s">
        <v>42624</v>
      </c>
      <c r="M11576" t="s">
        <v>44835</v>
      </c>
      <c r="N11576" t="s">
        <v>47304</v>
      </c>
      <c r="O11576" t="s">
        <v>47305</v>
      </c>
      <c r="Q11576">
        <v>1</v>
      </c>
      <c r="R11576" t="s">
        <v>47315</v>
      </c>
      <c r="S11576" t="s">
        <v>47711</v>
      </c>
      <c r="T11576" t="s">
        <v>48998</v>
      </c>
      <c r="U11576" t="s">
        <v>59081</v>
      </c>
      <c r="W11576" t="s">
        <v>44835</v>
      </c>
      <c r="X11576" t="s">
        <v>47316</v>
      </c>
    </row>
    <row r="11577" spans="1:24">
      <c r="A11577">
        <f>HYPERLINK("https://www.philgeps.gov.ph/GEPSNONPILOT/Tender/SplashBidNoticeAbstractUI.aspx?menuIndex=3&amp;refID=7180302&amp;Result=3","7180302")</f>
        <v>0</v>
      </c>
      <c r="B11577" t="s">
        <v>3320</v>
      </c>
      <c r="C11577" t="s">
        <v>14760</v>
      </c>
      <c r="D11577" t="s">
        <v>19015</v>
      </c>
      <c r="E11577" t="s">
        <v>19315</v>
      </c>
      <c r="F11577" t="s">
        <v>32606</v>
      </c>
      <c r="G11577" t="s">
        <v>32613</v>
      </c>
      <c r="H11577" t="s">
        <v>14201</v>
      </c>
      <c r="I11577" t="s">
        <v>6931</v>
      </c>
      <c r="J11577" t="s">
        <v>39963</v>
      </c>
      <c r="K11577" t="s">
        <v>42694</v>
      </c>
      <c r="M11577" t="s">
        <v>46565</v>
      </c>
      <c r="N11577" t="s">
        <v>47304</v>
      </c>
      <c r="O11577" t="s">
        <v>47305</v>
      </c>
      <c r="P11577">
        <v>0</v>
      </c>
      <c r="Q11577">
        <v>7</v>
      </c>
      <c r="R11577" t="s">
        <v>47316</v>
      </c>
      <c r="S11577" t="s">
        <v>47708</v>
      </c>
      <c r="T11577" t="s">
        <v>49173</v>
      </c>
      <c r="U11577" t="s">
        <v>59082</v>
      </c>
      <c r="W11577" t="s">
        <v>46565</v>
      </c>
      <c r="X11577" t="s">
        <v>47317</v>
      </c>
    </row>
    <row r="11578" spans="1:24">
      <c r="A11578">
        <f>HYPERLINK("https://www.philgeps.gov.ph/GEPSNONPILOT/Tender/SplashBidNoticeAbstractUI.aspx?menuIndex=3&amp;refID=7180166&amp;Result=3","7180166")</f>
        <v>0</v>
      </c>
      <c r="B11578" t="s">
        <v>3321</v>
      </c>
      <c r="C11578" t="s">
        <v>14799</v>
      </c>
      <c r="D11578" t="s">
        <v>19052</v>
      </c>
      <c r="E11578" t="s">
        <v>19310</v>
      </c>
      <c r="F11578" t="s">
        <v>32606</v>
      </c>
      <c r="G11578" t="s">
        <v>32613</v>
      </c>
      <c r="H11578" t="s">
        <v>14201</v>
      </c>
      <c r="I11578" t="s">
        <v>6931</v>
      </c>
      <c r="J11578" t="s">
        <v>39964</v>
      </c>
      <c r="K11578" t="s">
        <v>42623</v>
      </c>
      <c r="M11578" t="s">
        <v>46566</v>
      </c>
      <c r="N11578" t="s">
        <v>47304</v>
      </c>
      <c r="O11578" t="s">
        <v>47305</v>
      </c>
      <c r="P11578">
        <v>0</v>
      </c>
      <c r="Q11578">
        <v>0</v>
      </c>
      <c r="R11578" t="s">
        <v>47316</v>
      </c>
      <c r="S11578" t="s">
        <v>47708</v>
      </c>
      <c r="T11578" t="s">
        <v>49178</v>
      </c>
      <c r="U11578" t="s">
        <v>59083</v>
      </c>
      <c r="V11578" t="s">
        <v>63893</v>
      </c>
      <c r="W11578" t="s">
        <v>46566</v>
      </c>
      <c r="X11578" t="s">
        <v>47317</v>
      </c>
    </row>
    <row r="11579" spans="1:24">
      <c r="A11579">
        <f>HYPERLINK("https://www.philgeps.gov.ph/GEPSNONPILOT/Tender/SplashBidNoticeAbstractUI.aspx?menuIndex=3&amp;refID=7180297&amp;Result=3","7180297")</f>
        <v>0</v>
      </c>
      <c r="B11579" t="s">
        <v>3322</v>
      </c>
      <c r="C11579" t="s">
        <v>14800</v>
      </c>
      <c r="D11579" t="s">
        <v>19015</v>
      </c>
      <c r="E11579" t="s">
        <v>19809</v>
      </c>
      <c r="F11579" t="s">
        <v>32606</v>
      </c>
      <c r="G11579" t="s">
        <v>32613</v>
      </c>
      <c r="H11579" t="s">
        <v>14201</v>
      </c>
      <c r="I11579" t="s">
        <v>6931</v>
      </c>
      <c r="J11579" t="s">
        <v>39965</v>
      </c>
      <c r="K11579" t="s">
        <v>42631</v>
      </c>
      <c r="M11579" t="s">
        <v>46567</v>
      </c>
      <c r="N11579" t="s">
        <v>47304</v>
      </c>
      <c r="O11579" t="s">
        <v>47305</v>
      </c>
      <c r="P11579">
        <v>0</v>
      </c>
      <c r="Q11579">
        <v>1</v>
      </c>
      <c r="R11579" t="s">
        <v>47316</v>
      </c>
      <c r="S11579" t="s">
        <v>47708</v>
      </c>
      <c r="T11579" t="s">
        <v>49429</v>
      </c>
      <c r="U11579" t="s">
        <v>59084</v>
      </c>
      <c r="W11579" t="s">
        <v>46567</v>
      </c>
      <c r="X11579" t="s">
        <v>47317</v>
      </c>
    </row>
    <row r="11580" spans="1:24">
      <c r="A11580">
        <f>HYPERLINK("https://www.philgeps.gov.ph/GEPSNONPILOT/Tender/SplashBidNoticeAbstractUI.aspx?menuIndex=3&amp;refID=7180808&amp;Result=3","7180808")</f>
        <v>0</v>
      </c>
      <c r="B11580" t="s">
        <v>3311</v>
      </c>
      <c r="C11580" t="s">
        <v>14801</v>
      </c>
      <c r="D11580" t="s">
        <v>18993</v>
      </c>
      <c r="E11580" t="s">
        <v>28958</v>
      </c>
      <c r="F11580" t="s">
        <v>32606</v>
      </c>
      <c r="G11580" t="s">
        <v>32613</v>
      </c>
      <c r="H11580" t="s">
        <v>14201</v>
      </c>
      <c r="I11580" t="s">
        <v>6993</v>
      </c>
      <c r="J11580" t="s">
        <v>39966</v>
      </c>
      <c r="K11580" t="s">
        <v>42636</v>
      </c>
      <c r="M11580" t="s">
        <v>46555</v>
      </c>
      <c r="N11580" t="s">
        <v>47304</v>
      </c>
      <c r="O11580" t="s">
        <v>47305</v>
      </c>
      <c r="P11580">
        <v>0</v>
      </c>
      <c r="Q11580">
        <v>12</v>
      </c>
      <c r="R11580" t="s">
        <v>47315</v>
      </c>
      <c r="S11580" t="s">
        <v>47665</v>
      </c>
      <c r="T11580" t="s">
        <v>49052</v>
      </c>
      <c r="U11580" t="s">
        <v>59085</v>
      </c>
      <c r="V11580" t="s">
        <v>62763</v>
      </c>
      <c r="W11580" t="s">
        <v>46555</v>
      </c>
      <c r="X11580" t="s">
        <v>47316</v>
      </c>
    </row>
    <row r="11581" spans="1:24">
      <c r="A11581">
        <f>HYPERLINK("https://www.philgeps.gov.ph/GEPSNONPILOT/Tender/SplashBidNoticeAbstractUI.aspx?menuIndex=3&amp;refID=7180293&amp;Result=3","7180293")</f>
        <v>0</v>
      </c>
      <c r="B11581" t="s">
        <v>3323</v>
      </c>
      <c r="C11581" t="s">
        <v>14802</v>
      </c>
      <c r="D11581" t="s">
        <v>19015</v>
      </c>
      <c r="E11581" t="s">
        <v>19315</v>
      </c>
      <c r="F11581" t="s">
        <v>32606</v>
      </c>
      <c r="G11581" t="s">
        <v>32613</v>
      </c>
      <c r="H11581" t="s">
        <v>14201</v>
      </c>
      <c r="I11581" t="s">
        <v>6931</v>
      </c>
      <c r="J11581" t="s">
        <v>39967</v>
      </c>
      <c r="K11581" t="s">
        <v>42675</v>
      </c>
      <c r="M11581" t="s">
        <v>46568</v>
      </c>
      <c r="N11581" t="s">
        <v>47304</v>
      </c>
      <c r="O11581" t="s">
        <v>47305</v>
      </c>
      <c r="P11581">
        <v>0</v>
      </c>
      <c r="Q11581">
        <v>4</v>
      </c>
      <c r="R11581" t="s">
        <v>47316</v>
      </c>
      <c r="S11581" t="s">
        <v>47708</v>
      </c>
      <c r="T11581" t="s">
        <v>49092</v>
      </c>
      <c r="U11581" t="s">
        <v>59086</v>
      </c>
      <c r="W11581" t="s">
        <v>46568</v>
      </c>
      <c r="X11581" t="s">
        <v>47317</v>
      </c>
    </row>
    <row r="11582" spans="1:24">
      <c r="A11582">
        <f>HYPERLINK("https://www.philgeps.gov.ph/GEPSNONPILOT/Tender/SplashBidNoticeAbstractUI.aspx?menuIndex=3&amp;refID=7180267&amp;Result=3","7180267")</f>
        <v>0</v>
      </c>
      <c r="B11582" t="s">
        <v>2324</v>
      </c>
      <c r="C11582" t="s">
        <v>14803</v>
      </c>
      <c r="D11582" t="s">
        <v>19002</v>
      </c>
      <c r="E11582" t="s">
        <v>28959</v>
      </c>
      <c r="F11582" t="s">
        <v>32606</v>
      </c>
      <c r="G11582" t="s">
        <v>32613</v>
      </c>
      <c r="H11582" t="s">
        <v>14201</v>
      </c>
      <c r="I11582" t="s">
        <v>32664</v>
      </c>
      <c r="J11582" t="s">
        <v>39968</v>
      </c>
      <c r="K11582" t="s">
        <v>42638</v>
      </c>
      <c r="M11582" t="s">
        <v>45432</v>
      </c>
      <c r="N11582" t="s">
        <v>47304</v>
      </c>
      <c r="O11582" t="s">
        <v>47305</v>
      </c>
      <c r="P11582">
        <v>0</v>
      </c>
      <c r="Q11582">
        <v>0</v>
      </c>
      <c r="R11582" t="s">
        <v>47316</v>
      </c>
      <c r="S11582" t="s">
        <v>47708</v>
      </c>
      <c r="T11582" t="s">
        <v>49268</v>
      </c>
      <c r="U11582" t="s">
        <v>59087</v>
      </c>
      <c r="W11582" t="s">
        <v>45432</v>
      </c>
      <c r="X11582" t="s">
        <v>47317</v>
      </c>
    </row>
    <row r="11583" spans="1:24">
      <c r="A11583">
        <f>HYPERLINK("https://www.philgeps.gov.ph/GEPSNONPILOT/Tender/SplashBidNoticeAbstractUI.aspx?menuIndex=3&amp;refID=7180258&amp;Result=3","7180258")</f>
        <v>0</v>
      </c>
      <c r="B11583" t="s">
        <v>573</v>
      </c>
      <c r="C11583" t="s">
        <v>14804</v>
      </c>
      <c r="D11583" t="s">
        <v>19024</v>
      </c>
      <c r="E11583" t="s">
        <v>28960</v>
      </c>
      <c r="F11583" t="s">
        <v>32606</v>
      </c>
      <c r="G11583" t="s">
        <v>32613</v>
      </c>
      <c r="H11583" t="s">
        <v>32624</v>
      </c>
      <c r="I11583" t="s">
        <v>32675</v>
      </c>
      <c r="J11583" t="s">
        <v>39969</v>
      </c>
      <c r="K11583" t="s">
        <v>42636</v>
      </c>
      <c r="M11583" t="s">
        <v>43488</v>
      </c>
      <c r="N11583" t="s">
        <v>47304</v>
      </c>
      <c r="O11583" t="s">
        <v>47305</v>
      </c>
      <c r="P11583">
        <v>0</v>
      </c>
      <c r="Q11583">
        <v>0</v>
      </c>
      <c r="R11583" t="s">
        <v>47316</v>
      </c>
      <c r="S11583" t="s">
        <v>47708</v>
      </c>
      <c r="T11583" t="s">
        <v>49268</v>
      </c>
      <c r="U11583" t="s">
        <v>59088</v>
      </c>
      <c r="W11583" t="s">
        <v>43488</v>
      </c>
      <c r="X11583" t="s">
        <v>47317</v>
      </c>
    </row>
    <row r="11584" spans="1:24">
      <c r="A11584">
        <f>HYPERLINK("https://www.philgeps.gov.ph/GEPSNONPILOT/Tender/SplashBidNoticeAbstractUI.aspx?menuIndex=3&amp;refID=7180786&amp;Result=3","7180786")</f>
        <v>0</v>
      </c>
      <c r="B11584" t="s">
        <v>3324</v>
      </c>
      <c r="C11584" t="s">
        <v>14805</v>
      </c>
      <c r="D11584" t="s">
        <v>18988</v>
      </c>
      <c r="E11584" t="s">
        <v>19522</v>
      </c>
      <c r="F11584" t="s">
        <v>32606</v>
      </c>
      <c r="G11584" t="s">
        <v>32613</v>
      </c>
      <c r="H11584" t="s">
        <v>14201</v>
      </c>
      <c r="I11584" t="s">
        <v>7064</v>
      </c>
      <c r="J11584" t="s">
        <v>32778</v>
      </c>
      <c r="K11584" t="s">
        <v>42630</v>
      </c>
      <c r="M11584" t="s">
        <v>46569</v>
      </c>
      <c r="N11584" t="s">
        <v>47304</v>
      </c>
      <c r="O11584" t="s">
        <v>47305</v>
      </c>
      <c r="P11584">
        <v>0</v>
      </c>
      <c r="Q11584">
        <v>0</v>
      </c>
      <c r="R11584" t="s">
        <v>47315</v>
      </c>
      <c r="S11584" t="s">
        <v>47665</v>
      </c>
      <c r="T11584" t="s">
        <v>49002</v>
      </c>
      <c r="U11584" t="s">
        <v>59089</v>
      </c>
      <c r="W11584" t="s">
        <v>46569</v>
      </c>
      <c r="X11584" t="s">
        <v>47316</v>
      </c>
    </row>
    <row r="11585" spans="1:24">
      <c r="A11585">
        <f>HYPERLINK("https://www.philgeps.gov.ph/GEPSNONPILOT/Tender/SplashBidNoticeAbstractUI.aspx?menuIndex=3&amp;refID=7180262&amp;Result=3","7180262")</f>
        <v>0</v>
      </c>
      <c r="B11585" t="s">
        <v>2324</v>
      </c>
      <c r="C11585" t="s">
        <v>14806</v>
      </c>
      <c r="D11585" t="s">
        <v>19002</v>
      </c>
      <c r="E11585" t="s">
        <v>28961</v>
      </c>
      <c r="F11585" t="s">
        <v>32606</v>
      </c>
      <c r="G11585" t="s">
        <v>32613</v>
      </c>
      <c r="H11585" t="s">
        <v>14201</v>
      </c>
      <c r="I11585" t="s">
        <v>32664</v>
      </c>
      <c r="J11585" t="s">
        <v>39970</v>
      </c>
      <c r="K11585" t="s">
        <v>42637</v>
      </c>
      <c r="M11585" t="s">
        <v>45432</v>
      </c>
      <c r="N11585" t="s">
        <v>47304</v>
      </c>
      <c r="O11585" t="s">
        <v>47305</v>
      </c>
      <c r="P11585">
        <v>0</v>
      </c>
      <c r="Q11585">
        <v>1</v>
      </c>
      <c r="R11585" t="s">
        <v>47316</v>
      </c>
      <c r="S11585" t="s">
        <v>47708</v>
      </c>
      <c r="T11585" t="s">
        <v>49268</v>
      </c>
      <c r="U11585" t="s">
        <v>59090</v>
      </c>
      <c r="W11585" t="s">
        <v>45432</v>
      </c>
      <c r="X11585" t="s">
        <v>47317</v>
      </c>
    </row>
    <row r="11586" spans="1:24">
      <c r="A11586">
        <f>HYPERLINK("https://www.philgeps.gov.ph/GEPSNONPILOT/Tender/SplashBidNoticeAbstractUI.aspx?menuIndex=3&amp;refID=7180306&amp;Result=3","7180306")</f>
        <v>0</v>
      </c>
      <c r="B11586" t="s">
        <v>3325</v>
      </c>
      <c r="C11586" t="s">
        <v>14807</v>
      </c>
      <c r="D11586" t="s">
        <v>19021</v>
      </c>
      <c r="E11586" t="s">
        <v>28962</v>
      </c>
      <c r="F11586" t="s">
        <v>32606</v>
      </c>
      <c r="G11586" t="s">
        <v>32613</v>
      </c>
      <c r="H11586" t="s">
        <v>14201</v>
      </c>
      <c r="I11586" t="s">
        <v>4114</v>
      </c>
      <c r="J11586" t="s">
        <v>39971</v>
      </c>
      <c r="K11586" t="s">
        <v>42631</v>
      </c>
      <c r="M11586" t="s">
        <v>46570</v>
      </c>
      <c r="N11586" t="s">
        <v>47304</v>
      </c>
      <c r="O11586" t="s">
        <v>47305</v>
      </c>
      <c r="P11586">
        <v>0</v>
      </c>
      <c r="Q11586">
        <v>2</v>
      </c>
      <c r="R11586" t="s">
        <v>47316</v>
      </c>
      <c r="S11586" t="s">
        <v>47708</v>
      </c>
      <c r="T11586" t="s">
        <v>49462</v>
      </c>
      <c r="U11586" t="s">
        <v>59091</v>
      </c>
      <c r="W11586" t="s">
        <v>46570</v>
      </c>
      <c r="X11586" t="s">
        <v>47317</v>
      </c>
    </row>
    <row r="11587" spans="1:24">
      <c r="A11587">
        <f>HYPERLINK("https://www.philgeps.gov.ph/GEPSNONPILOT/Tender/SplashBidNoticeAbstractUI.aspx?menuIndex=3&amp;refID=7180389&amp;Result=3","7180389")</f>
        <v>0</v>
      </c>
      <c r="B11587" t="s">
        <v>3326</v>
      </c>
      <c r="C11587" t="s">
        <v>14808</v>
      </c>
      <c r="D11587" t="s">
        <v>19056</v>
      </c>
      <c r="E11587" t="s">
        <v>19190</v>
      </c>
      <c r="F11587" t="s">
        <v>32606</v>
      </c>
      <c r="G11587" t="s">
        <v>32613</v>
      </c>
      <c r="H11587" t="s">
        <v>32623</v>
      </c>
      <c r="I11587" t="s">
        <v>17648</v>
      </c>
      <c r="J11587" t="s">
        <v>39972</v>
      </c>
      <c r="K11587" t="s">
        <v>42698</v>
      </c>
      <c r="L11587" t="s">
        <v>3326</v>
      </c>
      <c r="M11587" t="s">
        <v>46571</v>
      </c>
      <c r="N11587" t="s">
        <v>47304</v>
      </c>
      <c r="O11587" t="s">
        <v>47305</v>
      </c>
      <c r="P11587">
        <v>0</v>
      </c>
      <c r="Q11587">
        <v>0</v>
      </c>
      <c r="R11587" t="s">
        <v>47316</v>
      </c>
      <c r="S11587" t="s">
        <v>47708</v>
      </c>
      <c r="T11587" t="s">
        <v>49170</v>
      </c>
      <c r="U11587" t="s">
        <v>59092</v>
      </c>
      <c r="W11587" t="s">
        <v>46571</v>
      </c>
      <c r="X11587" t="s">
        <v>47317</v>
      </c>
    </row>
    <row r="11588" spans="1:24">
      <c r="A11588">
        <f>HYPERLINK("https://www.philgeps.gov.ph/GEPSNONPILOT/Tender/SplashBidNoticeAbstractUI.aspx?menuIndex=3&amp;refID=7180290&amp;Result=3","7180290")</f>
        <v>0</v>
      </c>
      <c r="B11588" t="s">
        <v>3327</v>
      </c>
      <c r="C11588" t="s">
        <v>14809</v>
      </c>
      <c r="D11588" t="s">
        <v>19028</v>
      </c>
      <c r="E11588" t="s">
        <v>28131</v>
      </c>
      <c r="F11588" t="s">
        <v>32606</v>
      </c>
      <c r="G11588" t="s">
        <v>32613</v>
      </c>
      <c r="H11588" t="s">
        <v>32625</v>
      </c>
      <c r="I11588" t="s">
        <v>7577</v>
      </c>
      <c r="J11588" t="s">
        <v>36645</v>
      </c>
      <c r="K11588" t="s">
        <v>42624</v>
      </c>
      <c r="M11588" t="s">
        <v>46572</v>
      </c>
      <c r="N11588" t="s">
        <v>47304</v>
      </c>
      <c r="O11588" t="s">
        <v>47305</v>
      </c>
      <c r="P11588">
        <v>0</v>
      </c>
      <c r="Q11588">
        <v>9</v>
      </c>
      <c r="R11588" t="s">
        <v>47316</v>
      </c>
      <c r="S11588" t="s">
        <v>47708</v>
      </c>
      <c r="T11588" t="s">
        <v>49170</v>
      </c>
      <c r="U11588" t="s">
        <v>59093</v>
      </c>
      <c r="W11588" t="s">
        <v>46572</v>
      </c>
      <c r="X11588" t="s">
        <v>47317</v>
      </c>
    </row>
    <row r="11589" spans="1:24">
      <c r="A11589">
        <f>HYPERLINK("https://www.philgeps.gov.ph/GEPSNONPILOT/Tender/SplashBidNoticeAbstractUI.aspx?menuIndex=3&amp;refID=7180259&amp;Result=3","7180259")</f>
        <v>0</v>
      </c>
      <c r="B11589" t="s">
        <v>2324</v>
      </c>
      <c r="C11589" t="s">
        <v>14810</v>
      </c>
      <c r="D11589" t="s">
        <v>19002</v>
      </c>
      <c r="E11589" t="s">
        <v>28963</v>
      </c>
      <c r="F11589" t="s">
        <v>32606</v>
      </c>
      <c r="G11589" t="s">
        <v>32613</v>
      </c>
      <c r="H11589" t="s">
        <v>14201</v>
      </c>
      <c r="I11589" t="s">
        <v>32664</v>
      </c>
      <c r="J11589" t="s">
        <v>39973</v>
      </c>
      <c r="K11589" t="s">
        <v>42684</v>
      </c>
      <c r="M11589" t="s">
        <v>45432</v>
      </c>
      <c r="N11589" t="s">
        <v>47304</v>
      </c>
      <c r="O11589" t="s">
        <v>47305</v>
      </c>
      <c r="P11589">
        <v>0</v>
      </c>
      <c r="Q11589">
        <v>1</v>
      </c>
      <c r="R11589" t="s">
        <v>47316</v>
      </c>
      <c r="S11589" t="s">
        <v>47708</v>
      </c>
      <c r="T11589" t="s">
        <v>49268</v>
      </c>
      <c r="U11589" t="s">
        <v>59090</v>
      </c>
      <c r="W11589" t="s">
        <v>45432</v>
      </c>
      <c r="X11589" t="s">
        <v>47317</v>
      </c>
    </row>
    <row r="11590" spans="1:24">
      <c r="A11590">
        <f>HYPERLINK("https://www.philgeps.gov.ph/GEPSNONPILOT/Tender/SplashBidNoticeAbstractUI.aspx?menuIndex=3&amp;refID=7153856&amp;Result=3","7153856")</f>
        <v>0</v>
      </c>
      <c r="B11590" t="s">
        <v>3328</v>
      </c>
      <c r="C11590" t="s">
        <v>14811</v>
      </c>
      <c r="D11590" t="s">
        <v>19011</v>
      </c>
      <c r="E11590" t="s">
        <v>28964</v>
      </c>
      <c r="F11590" t="s">
        <v>32607</v>
      </c>
      <c r="G11590" t="s">
        <v>32613</v>
      </c>
      <c r="H11590" t="s">
        <v>14201</v>
      </c>
      <c r="I11590" t="s">
        <v>32737</v>
      </c>
      <c r="J11590" t="s">
        <v>39974</v>
      </c>
      <c r="K11590" t="s">
        <v>42624</v>
      </c>
      <c r="M11590" t="s">
        <v>46573</v>
      </c>
      <c r="N11590" t="s">
        <v>47304</v>
      </c>
      <c r="O11590" t="s">
        <v>47305</v>
      </c>
      <c r="P11590">
        <v>0</v>
      </c>
      <c r="Q11590">
        <v>0</v>
      </c>
      <c r="R11590" t="s">
        <v>47317</v>
      </c>
      <c r="S11590" t="s">
        <v>47712</v>
      </c>
      <c r="T11590" t="s">
        <v>49376</v>
      </c>
      <c r="U11590" t="s">
        <v>59094</v>
      </c>
      <c r="V11590" t="s">
        <v>63894</v>
      </c>
      <c r="W11590" t="s">
        <v>46573</v>
      </c>
      <c r="X11590" t="s">
        <v>47328</v>
      </c>
    </row>
    <row r="11591" spans="1:24">
      <c r="A11591">
        <f>HYPERLINK("https://www.philgeps.gov.ph/GEPSNONPILOT/Tender/SplashBidNoticeAbstractUI.aspx?menuIndex=3&amp;refID=7180418&amp;Result=3","7180418")</f>
        <v>0</v>
      </c>
      <c r="B11591" t="s">
        <v>3329</v>
      </c>
      <c r="C11591" t="s">
        <v>14812</v>
      </c>
      <c r="D11591" t="s">
        <v>18999</v>
      </c>
      <c r="E11591" t="s">
        <v>28965</v>
      </c>
      <c r="F11591" t="s">
        <v>32606</v>
      </c>
      <c r="G11591" t="s">
        <v>32613</v>
      </c>
      <c r="H11591" t="s">
        <v>14201</v>
      </c>
      <c r="I11591" t="s">
        <v>4678</v>
      </c>
      <c r="J11591" t="s">
        <v>39975</v>
      </c>
      <c r="K11591" t="s">
        <v>42631</v>
      </c>
      <c r="M11591" t="s">
        <v>46574</v>
      </c>
      <c r="N11591" t="s">
        <v>47304</v>
      </c>
      <c r="O11591" t="s">
        <v>47305</v>
      </c>
      <c r="P11591">
        <v>0</v>
      </c>
      <c r="Q11591">
        <v>9</v>
      </c>
      <c r="R11591" t="s">
        <v>47316</v>
      </c>
      <c r="S11591" t="s">
        <v>47708</v>
      </c>
      <c r="T11591" t="s">
        <v>49066</v>
      </c>
      <c r="U11591" t="s">
        <v>59095</v>
      </c>
      <c r="W11591" t="s">
        <v>46574</v>
      </c>
      <c r="X11591" t="s">
        <v>47317</v>
      </c>
    </row>
    <row r="11592" spans="1:24">
      <c r="A11592">
        <f>HYPERLINK("https://www.philgeps.gov.ph/GEPSNONPILOT/Tender/SplashBidNoticeAbstractUI.aspx?menuIndex=3&amp;refID=7152538-2&amp;Result=3","7152538-2")</f>
        <v>0</v>
      </c>
      <c r="B11592" t="s">
        <v>84</v>
      </c>
      <c r="C11592" t="s">
        <v>14813</v>
      </c>
      <c r="D11592" t="s">
        <v>19087</v>
      </c>
      <c r="E11592" t="s">
        <v>28966</v>
      </c>
      <c r="F11592" t="s">
        <v>32606</v>
      </c>
      <c r="G11592" t="s">
        <v>32613</v>
      </c>
      <c r="H11592" t="s">
        <v>32625</v>
      </c>
      <c r="I11592" t="s">
        <v>32625</v>
      </c>
      <c r="J11592" t="s">
        <v>39976</v>
      </c>
      <c r="K11592" t="s">
        <v>42791</v>
      </c>
      <c r="M11592" t="s">
        <v>46023</v>
      </c>
      <c r="N11592" t="s">
        <v>47304</v>
      </c>
      <c r="O11592" t="s">
        <v>47305</v>
      </c>
      <c r="P11592">
        <v>0</v>
      </c>
      <c r="Q11592">
        <v>2</v>
      </c>
      <c r="R11592" t="s">
        <v>47317</v>
      </c>
      <c r="S11592" t="s">
        <v>47712</v>
      </c>
      <c r="T11592" t="s">
        <v>48986</v>
      </c>
      <c r="U11592" t="s">
        <v>59096</v>
      </c>
      <c r="V11592" t="s">
        <v>63895</v>
      </c>
      <c r="W11592" t="s">
        <v>46023</v>
      </c>
      <c r="X11592" t="s">
        <v>47318</v>
      </c>
    </row>
    <row r="11593" spans="1:24">
      <c r="A11593">
        <f>HYPERLINK("https://www.philgeps.gov.ph/GEPSNONPILOT/Tender/SplashBidNoticeAbstractUI.aspx?menuIndex=3&amp;refID=7180415&amp;Result=3","7180415")</f>
        <v>0</v>
      </c>
      <c r="B11593" t="s">
        <v>3330</v>
      </c>
      <c r="C11593" t="s">
        <v>14814</v>
      </c>
      <c r="D11593" t="s">
        <v>18995</v>
      </c>
      <c r="E11593" t="s">
        <v>28967</v>
      </c>
      <c r="F11593" t="s">
        <v>32606</v>
      </c>
      <c r="G11593" t="s">
        <v>32613</v>
      </c>
      <c r="H11593" t="s">
        <v>14201</v>
      </c>
      <c r="I11593" t="s">
        <v>32666</v>
      </c>
      <c r="J11593" t="s">
        <v>39977</v>
      </c>
      <c r="K11593" t="s">
        <v>42631</v>
      </c>
      <c r="M11593" t="s">
        <v>46575</v>
      </c>
      <c r="N11593" t="s">
        <v>47304</v>
      </c>
      <c r="O11593" t="s">
        <v>47305</v>
      </c>
      <c r="P11593">
        <v>0</v>
      </c>
      <c r="Q11593">
        <v>1</v>
      </c>
      <c r="R11593" t="s">
        <v>47316</v>
      </c>
      <c r="S11593" t="s">
        <v>47708</v>
      </c>
      <c r="T11593" t="s">
        <v>49124</v>
      </c>
      <c r="U11593" t="s">
        <v>59097</v>
      </c>
      <c r="W11593" t="s">
        <v>46575</v>
      </c>
      <c r="X11593" t="s">
        <v>47317</v>
      </c>
    </row>
    <row r="11594" spans="1:24">
      <c r="A11594">
        <f>HYPERLINK("https://www.philgeps.gov.ph/GEPSNONPILOT/Tender/SplashBidNoticeAbstractUI.aspx?menuIndex=3&amp;refID=7180257&amp;Result=3","7180257")</f>
        <v>0</v>
      </c>
      <c r="B11594" t="s">
        <v>2324</v>
      </c>
      <c r="C11594" t="s">
        <v>14815</v>
      </c>
      <c r="D11594" t="s">
        <v>19002</v>
      </c>
      <c r="E11594" t="s">
        <v>28968</v>
      </c>
      <c r="F11594" t="s">
        <v>32606</v>
      </c>
      <c r="G11594" t="s">
        <v>32613</v>
      </c>
      <c r="H11594" t="s">
        <v>14201</v>
      </c>
      <c r="I11594" t="s">
        <v>32664</v>
      </c>
      <c r="J11594" t="s">
        <v>39978</v>
      </c>
      <c r="K11594" t="s">
        <v>42622</v>
      </c>
      <c r="M11594" t="s">
        <v>45432</v>
      </c>
      <c r="N11594" t="s">
        <v>47304</v>
      </c>
      <c r="O11594" t="s">
        <v>47305</v>
      </c>
      <c r="P11594">
        <v>0</v>
      </c>
      <c r="Q11594">
        <v>0</v>
      </c>
      <c r="R11594" t="s">
        <v>47316</v>
      </c>
      <c r="S11594" t="s">
        <v>47708</v>
      </c>
      <c r="T11594" t="s">
        <v>49268</v>
      </c>
      <c r="U11594" t="s">
        <v>59098</v>
      </c>
      <c r="W11594" t="s">
        <v>45432</v>
      </c>
      <c r="X11594" t="s">
        <v>47317</v>
      </c>
    </row>
    <row r="11595" spans="1:24">
      <c r="A11595">
        <f>HYPERLINK("https://www.philgeps.gov.ph/GEPSNONPILOT/Tender/SplashBidNoticeAbstractUI.aspx?menuIndex=3&amp;refID=7180409&amp;Result=3","7180409")</f>
        <v>0</v>
      </c>
      <c r="B11595" t="s">
        <v>3330</v>
      </c>
      <c r="C11595" t="s">
        <v>14816</v>
      </c>
      <c r="D11595" t="s">
        <v>18995</v>
      </c>
      <c r="E11595" t="s">
        <v>28969</v>
      </c>
      <c r="F11595" t="s">
        <v>32606</v>
      </c>
      <c r="G11595" t="s">
        <v>32613</v>
      </c>
      <c r="H11595" t="s">
        <v>14201</v>
      </c>
      <c r="I11595" t="s">
        <v>4678</v>
      </c>
      <c r="J11595" t="s">
        <v>32923</v>
      </c>
      <c r="K11595" t="s">
        <v>42631</v>
      </c>
      <c r="M11595" t="s">
        <v>46575</v>
      </c>
      <c r="N11595" t="s">
        <v>47304</v>
      </c>
      <c r="O11595" t="s">
        <v>47305</v>
      </c>
      <c r="P11595">
        <v>0</v>
      </c>
      <c r="Q11595">
        <v>5</v>
      </c>
      <c r="R11595" t="s">
        <v>47316</v>
      </c>
      <c r="S11595" t="s">
        <v>47708</v>
      </c>
      <c r="T11595" t="s">
        <v>49124</v>
      </c>
      <c r="U11595" t="s">
        <v>59099</v>
      </c>
      <c r="W11595" t="s">
        <v>46575</v>
      </c>
      <c r="X11595" t="s">
        <v>47317</v>
      </c>
    </row>
    <row r="11596" spans="1:24">
      <c r="A11596">
        <f>HYPERLINK("https://www.philgeps.gov.ph/GEPSNONPILOT/Tender/SplashBidNoticeAbstractUI.aspx?menuIndex=3&amp;refID=7180401&amp;Result=3","7180401")</f>
        <v>0</v>
      </c>
      <c r="B11596" t="s">
        <v>3330</v>
      </c>
      <c r="C11596" t="s">
        <v>14817</v>
      </c>
      <c r="D11596" t="s">
        <v>18995</v>
      </c>
      <c r="E11596" t="s">
        <v>28970</v>
      </c>
      <c r="F11596" t="s">
        <v>32606</v>
      </c>
      <c r="G11596" t="s">
        <v>32613</v>
      </c>
      <c r="H11596" t="s">
        <v>32623</v>
      </c>
      <c r="I11596" t="s">
        <v>17648</v>
      </c>
      <c r="J11596" t="s">
        <v>39979</v>
      </c>
      <c r="K11596" t="s">
        <v>42645</v>
      </c>
      <c r="M11596" t="s">
        <v>46575</v>
      </c>
      <c r="N11596" t="s">
        <v>47304</v>
      </c>
      <c r="O11596" t="s">
        <v>47305</v>
      </c>
      <c r="P11596">
        <v>0</v>
      </c>
      <c r="Q11596">
        <v>2</v>
      </c>
      <c r="R11596" t="s">
        <v>47316</v>
      </c>
      <c r="S11596" t="s">
        <v>47708</v>
      </c>
      <c r="T11596" t="s">
        <v>49124</v>
      </c>
      <c r="U11596" t="s">
        <v>59100</v>
      </c>
      <c r="W11596" t="s">
        <v>46575</v>
      </c>
      <c r="X11596" t="s">
        <v>47317</v>
      </c>
    </row>
    <row r="11597" spans="1:24">
      <c r="A11597">
        <f>HYPERLINK("https://www.philgeps.gov.ph/GEPSNONPILOT/Tender/SplashBidNoticeAbstractUI.aspx?menuIndex=3&amp;refID=7153742&amp;Result=3","7153742")</f>
        <v>0</v>
      </c>
      <c r="B11597" t="s">
        <v>3328</v>
      </c>
      <c r="C11597" t="s">
        <v>14818</v>
      </c>
      <c r="D11597" t="s">
        <v>19011</v>
      </c>
      <c r="E11597" t="s">
        <v>28971</v>
      </c>
      <c r="F11597" t="s">
        <v>32607</v>
      </c>
      <c r="G11597" t="s">
        <v>32613</v>
      </c>
      <c r="H11597" t="s">
        <v>14201</v>
      </c>
      <c r="I11597" t="s">
        <v>4112</v>
      </c>
      <c r="J11597" t="s">
        <v>39980</v>
      </c>
      <c r="K11597" t="s">
        <v>42624</v>
      </c>
      <c r="M11597" t="s">
        <v>46573</v>
      </c>
      <c r="N11597" t="s">
        <v>47304</v>
      </c>
      <c r="O11597" t="s">
        <v>47305</v>
      </c>
      <c r="P11597">
        <v>0</v>
      </c>
      <c r="Q11597">
        <v>0</v>
      </c>
      <c r="R11597" t="s">
        <v>47317</v>
      </c>
      <c r="S11597" t="s">
        <v>47712</v>
      </c>
      <c r="T11597" t="s">
        <v>49376</v>
      </c>
      <c r="U11597" t="s">
        <v>59101</v>
      </c>
      <c r="V11597" t="s">
        <v>63896</v>
      </c>
      <c r="W11597" t="s">
        <v>46573</v>
      </c>
      <c r="X11597" t="s">
        <v>47328</v>
      </c>
    </row>
    <row r="11598" spans="1:24">
      <c r="A11598">
        <f>HYPERLINK("https://www.philgeps.gov.ph/GEPSNONPILOT/Tender/SplashBidNoticeAbstractUI.aspx?menuIndex=3&amp;refID=7180342&amp;Result=3","7180342")</f>
        <v>0</v>
      </c>
      <c r="B11598" t="s">
        <v>2023</v>
      </c>
      <c r="C11598" t="s">
        <v>14819</v>
      </c>
      <c r="D11598" t="s">
        <v>19000</v>
      </c>
      <c r="E11598" t="s">
        <v>28972</v>
      </c>
      <c r="F11598" t="s">
        <v>32606</v>
      </c>
      <c r="G11598" t="s">
        <v>32613</v>
      </c>
      <c r="H11598" t="s">
        <v>14201</v>
      </c>
      <c r="I11598" t="s">
        <v>4120</v>
      </c>
      <c r="J11598" t="s">
        <v>39981</v>
      </c>
      <c r="K11598" t="s">
        <v>42624</v>
      </c>
      <c r="M11598" t="s">
        <v>45097</v>
      </c>
      <c r="N11598" t="s">
        <v>47304</v>
      </c>
      <c r="O11598" t="s">
        <v>47305</v>
      </c>
      <c r="Q11598">
        <v>8</v>
      </c>
      <c r="R11598" t="s">
        <v>47316</v>
      </c>
      <c r="S11598" t="s">
        <v>47713</v>
      </c>
      <c r="T11598" t="s">
        <v>49075</v>
      </c>
      <c r="U11598" t="s">
        <v>59102</v>
      </c>
      <c r="W11598" t="s">
        <v>45097</v>
      </c>
      <c r="X11598" t="s">
        <v>47317</v>
      </c>
    </row>
    <row r="11599" spans="1:24">
      <c r="A11599">
        <f>HYPERLINK("https://www.philgeps.gov.ph/GEPSNONPILOT/Tender/SplashBidNoticeAbstractUI.aspx?menuIndex=3&amp;refID=7180337&amp;Result=3","7180337")</f>
        <v>0</v>
      </c>
      <c r="B11599" t="s">
        <v>3331</v>
      </c>
      <c r="C11599" t="s">
        <v>14820</v>
      </c>
      <c r="D11599" t="s">
        <v>18993</v>
      </c>
      <c r="E11599" t="s">
        <v>28973</v>
      </c>
      <c r="F11599" t="s">
        <v>32606</v>
      </c>
      <c r="G11599" t="s">
        <v>32613</v>
      </c>
      <c r="H11599" t="s">
        <v>14201</v>
      </c>
      <c r="I11599" t="s">
        <v>4678</v>
      </c>
      <c r="J11599" t="s">
        <v>32752</v>
      </c>
      <c r="K11599" t="s">
        <v>42630</v>
      </c>
      <c r="M11599" t="s">
        <v>46576</v>
      </c>
      <c r="N11599" t="s">
        <v>47304</v>
      </c>
      <c r="O11599" t="s">
        <v>47305</v>
      </c>
      <c r="P11599">
        <v>0</v>
      </c>
      <c r="Q11599">
        <v>1</v>
      </c>
      <c r="R11599" t="s">
        <v>47316</v>
      </c>
      <c r="S11599" t="s">
        <v>47708</v>
      </c>
      <c r="T11599" t="s">
        <v>49066</v>
      </c>
      <c r="U11599" t="s">
        <v>59103</v>
      </c>
      <c r="W11599" t="s">
        <v>46576</v>
      </c>
      <c r="X11599" t="s">
        <v>47317</v>
      </c>
    </row>
    <row r="11600" spans="1:24">
      <c r="A11600">
        <f>HYPERLINK("https://www.philgeps.gov.ph/GEPSNONPILOT/Tender/SplashBidNoticeAbstractUI.aspx?menuIndex=3&amp;refID=7180335&amp;Result=3","7180335")</f>
        <v>0</v>
      </c>
      <c r="B11600" t="s">
        <v>3325</v>
      </c>
      <c r="C11600" t="s">
        <v>14821</v>
      </c>
      <c r="D11600" t="s">
        <v>19021</v>
      </c>
      <c r="E11600" t="s">
        <v>28974</v>
      </c>
      <c r="F11600" t="s">
        <v>32606</v>
      </c>
      <c r="G11600" t="s">
        <v>32613</v>
      </c>
      <c r="H11600" t="s">
        <v>14201</v>
      </c>
      <c r="I11600" t="s">
        <v>4678</v>
      </c>
      <c r="J11600" t="s">
        <v>33099</v>
      </c>
      <c r="K11600" t="s">
        <v>42631</v>
      </c>
      <c r="M11600" t="s">
        <v>46570</v>
      </c>
      <c r="N11600" t="s">
        <v>47304</v>
      </c>
      <c r="O11600" t="s">
        <v>47305</v>
      </c>
      <c r="P11600">
        <v>0</v>
      </c>
      <c r="Q11600">
        <v>1</v>
      </c>
      <c r="R11600" t="s">
        <v>47316</v>
      </c>
      <c r="S11600" t="s">
        <v>47708</v>
      </c>
      <c r="T11600" t="s">
        <v>48986</v>
      </c>
      <c r="U11600" t="s">
        <v>59104</v>
      </c>
      <c r="W11600" t="s">
        <v>46570</v>
      </c>
      <c r="X11600" t="s">
        <v>47317</v>
      </c>
    </row>
    <row r="11601" spans="1:24">
      <c r="A11601">
        <f>HYPERLINK("https://www.philgeps.gov.ph/GEPSNONPILOT/Tender/SplashBidNoticeAbstractUI.aspx?menuIndex=3&amp;refID=7180384&amp;Result=3","7180384")</f>
        <v>0</v>
      </c>
      <c r="B11601" t="s">
        <v>3326</v>
      </c>
      <c r="C11601" t="s">
        <v>14822</v>
      </c>
      <c r="D11601" t="s">
        <v>19056</v>
      </c>
      <c r="E11601" t="s">
        <v>19232</v>
      </c>
      <c r="F11601" t="s">
        <v>32606</v>
      </c>
      <c r="G11601" t="s">
        <v>32613</v>
      </c>
      <c r="H11601" t="s">
        <v>32623</v>
      </c>
      <c r="I11601" t="s">
        <v>17648</v>
      </c>
      <c r="J11601" t="s">
        <v>39982</v>
      </c>
      <c r="K11601" t="s">
        <v>42638</v>
      </c>
      <c r="L11601" t="s">
        <v>3326</v>
      </c>
      <c r="M11601" t="s">
        <v>46571</v>
      </c>
      <c r="N11601" t="s">
        <v>47304</v>
      </c>
      <c r="O11601" t="s">
        <v>47305</v>
      </c>
      <c r="P11601">
        <v>0</v>
      </c>
      <c r="Q11601">
        <v>0</v>
      </c>
      <c r="R11601" t="s">
        <v>47316</v>
      </c>
      <c r="S11601" t="s">
        <v>47708</v>
      </c>
      <c r="T11601" t="s">
        <v>49170</v>
      </c>
      <c r="U11601" t="s">
        <v>59105</v>
      </c>
      <c r="W11601" t="s">
        <v>46571</v>
      </c>
      <c r="X11601" t="s">
        <v>47317</v>
      </c>
    </row>
    <row r="11602" spans="1:24">
      <c r="A11602">
        <f>HYPERLINK("https://www.philgeps.gov.ph/GEPSNONPILOT/Tender/SplashBidNoticeAbstractUI.aspx?menuIndex=3&amp;refID=7180332&amp;Result=3","7180332")</f>
        <v>0</v>
      </c>
      <c r="B11602" t="s">
        <v>3331</v>
      </c>
      <c r="C11602" t="s">
        <v>14823</v>
      </c>
      <c r="D11602" t="s">
        <v>18993</v>
      </c>
      <c r="E11602" t="s">
        <v>28975</v>
      </c>
      <c r="F11602" t="s">
        <v>32606</v>
      </c>
      <c r="G11602" t="s">
        <v>32613</v>
      </c>
      <c r="H11602" t="s">
        <v>14201</v>
      </c>
      <c r="I11602" t="s">
        <v>4678</v>
      </c>
      <c r="J11602" t="s">
        <v>32981</v>
      </c>
      <c r="K11602" t="s">
        <v>42630</v>
      </c>
      <c r="M11602" t="s">
        <v>46576</v>
      </c>
      <c r="N11602" t="s">
        <v>47304</v>
      </c>
      <c r="O11602" t="s">
        <v>47305</v>
      </c>
      <c r="P11602">
        <v>0</v>
      </c>
      <c r="Q11602">
        <v>1</v>
      </c>
      <c r="R11602" t="s">
        <v>47316</v>
      </c>
      <c r="S11602" t="s">
        <v>47708</v>
      </c>
      <c r="T11602" t="s">
        <v>49066</v>
      </c>
      <c r="U11602" t="s">
        <v>59106</v>
      </c>
      <c r="W11602" t="s">
        <v>46576</v>
      </c>
      <c r="X11602" t="s">
        <v>47317</v>
      </c>
    </row>
    <row r="11603" spans="1:24">
      <c r="A11603">
        <f>HYPERLINK("https://www.philgeps.gov.ph/GEPSNONPILOT/Tender/SplashBidNoticeAbstractUI.aspx?menuIndex=3&amp;refID=7180344&amp;Result=3","7180344")</f>
        <v>0</v>
      </c>
      <c r="B11603" t="s">
        <v>3325</v>
      </c>
      <c r="C11603" t="s">
        <v>14824</v>
      </c>
      <c r="D11603" t="s">
        <v>19021</v>
      </c>
      <c r="E11603" t="s">
        <v>28976</v>
      </c>
      <c r="F11603" t="s">
        <v>32606</v>
      </c>
      <c r="G11603" t="s">
        <v>32613</v>
      </c>
      <c r="H11603" t="s">
        <v>14201</v>
      </c>
      <c r="I11603" t="s">
        <v>32633</v>
      </c>
      <c r="J11603" t="s">
        <v>32770</v>
      </c>
      <c r="K11603" t="s">
        <v>42631</v>
      </c>
      <c r="M11603" t="s">
        <v>46570</v>
      </c>
      <c r="N11603" t="s">
        <v>47304</v>
      </c>
      <c r="O11603" t="s">
        <v>47305</v>
      </c>
      <c r="P11603">
        <v>0</v>
      </c>
      <c r="Q11603">
        <v>2</v>
      </c>
      <c r="R11603" t="s">
        <v>47316</v>
      </c>
      <c r="S11603" t="s">
        <v>47708</v>
      </c>
      <c r="T11603" t="s">
        <v>49462</v>
      </c>
      <c r="U11603" t="s">
        <v>59107</v>
      </c>
      <c r="W11603" t="s">
        <v>46570</v>
      </c>
      <c r="X11603" t="s">
        <v>47317</v>
      </c>
    </row>
    <row r="11604" spans="1:24">
      <c r="A11604">
        <f>HYPERLINK("https://www.philgeps.gov.ph/GEPSNONPILOT/Tender/SplashBidNoticeAbstractUI.aspx?menuIndex=3&amp;refID=7180317&amp;Result=3","7180317")</f>
        <v>0</v>
      </c>
      <c r="B11604" t="s">
        <v>3325</v>
      </c>
      <c r="C11604" t="s">
        <v>14825</v>
      </c>
      <c r="D11604" t="s">
        <v>19021</v>
      </c>
      <c r="E11604" t="s">
        <v>28977</v>
      </c>
      <c r="F11604" t="s">
        <v>32606</v>
      </c>
      <c r="G11604" t="s">
        <v>32613</v>
      </c>
      <c r="H11604" t="s">
        <v>14201</v>
      </c>
      <c r="I11604" t="s">
        <v>32664</v>
      </c>
      <c r="J11604" t="s">
        <v>32756</v>
      </c>
      <c r="K11604" t="s">
        <v>42631</v>
      </c>
      <c r="M11604" t="s">
        <v>46570</v>
      </c>
      <c r="N11604" t="s">
        <v>47304</v>
      </c>
      <c r="O11604" t="s">
        <v>47305</v>
      </c>
      <c r="P11604">
        <v>0</v>
      </c>
      <c r="Q11604">
        <v>5</v>
      </c>
      <c r="R11604" t="s">
        <v>47316</v>
      </c>
      <c r="S11604" t="s">
        <v>47708</v>
      </c>
      <c r="T11604" t="s">
        <v>49463</v>
      </c>
      <c r="U11604" t="s">
        <v>59108</v>
      </c>
      <c r="W11604" t="s">
        <v>46570</v>
      </c>
      <c r="X11604" t="s">
        <v>47317</v>
      </c>
    </row>
    <row r="11605" spans="1:24">
      <c r="A11605">
        <f>HYPERLINK("https://www.philgeps.gov.ph/GEPSNONPILOT/Tender/SplashBidNoticeAbstractUI.aspx?menuIndex=3&amp;refID=7180253&amp;Result=3","7180253")</f>
        <v>0</v>
      </c>
      <c r="B11605" t="s">
        <v>2324</v>
      </c>
      <c r="C11605" t="s">
        <v>14778</v>
      </c>
      <c r="D11605" t="s">
        <v>19002</v>
      </c>
      <c r="E11605" t="s">
        <v>28978</v>
      </c>
      <c r="F11605" t="s">
        <v>32606</v>
      </c>
      <c r="G11605" t="s">
        <v>32613</v>
      </c>
      <c r="H11605" t="s">
        <v>14201</v>
      </c>
      <c r="I11605" t="s">
        <v>32664</v>
      </c>
      <c r="J11605" t="s">
        <v>39978</v>
      </c>
      <c r="K11605" t="s">
        <v>42622</v>
      </c>
      <c r="M11605" t="s">
        <v>45432</v>
      </c>
      <c r="N11605" t="s">
        <v>47304</v>
      </c>
      <c r="O11605" t="s">
        <v>47305</v>
      </c>
      <c r="P11605">
        <v>0</v>
      </c>
      <c r="Q11605">
        <v>1</v>
      </c>
      <c r="R11605" t="s">
        <v>47316</v>
      </c>
      <c r="S11605" t="s">
        <v>47708</v>
      </c>
      <c r="T11605" t="s">
        <v>49268</v>
      </c>
      <c r="U11605" t="s">
        <v>59109</v>
      </c>
      <c r="W11605" t="s">
        <v>45432</v>
      </c>
      <c r="X11605" t="s">
        <v>47317</v>
      </c>
    </row>
    <row r="11606" spans="1:24">
      <c r="A11606">
        <f>HYPERLINK("https://www.philgeps.gov.ph/GEPSNONPILOT/Tender/SplashBidNoticeAbstractUI.aspx?menuIndex=3&amp;refID=7180250&amp;Result=3","7180250")</f>
        <v>0</v>
      </c>
      <c r="B11606" t="s">
        <v>2324</v>
      </c>
      <c r="C11606" t="s">
        <v>14826</v>
      </c>
      <c r="D11606" t="s">
        <v>19002</v>
      </c>
      <c r="E11606" t="s">
        <v>28979</v>
      </c>
      <c r="F11606" t="s">
        <v>32606</v>
      </c>
      <c r="G11606" t="s">
        <v>32613</v>
      </c>
      <c r="H11606" t="s">
        <v>14201</v>
      </c>
      <c r="I11606" t="s">
        <v>32664</v>
      </c>
      <c r="J11606" t="s">
        <v>39978</v>
      </c>
      <c r="K11606" t="s">
        <v>42622</v>
      </c>
      <c r="M11606" t="s">
        <v>45432</v>
      </c>
      <c r="N11606" t="s">
        <v>47304</v>
      </c>
      <c r="O11606" t="s">
        <v>47305</v>
      </c>
      <c r="P11606">
        <v>0</v>
      </c>
      <c r="Q11606">
        <v>0</v>
      </c>
      <c r="R11606" t="s">
        <v>47316</v>
      </c>
      <c r="S11606" t="s">
        <v>47708</v>
      </c>
      <c r="T11606" t="s">
        <v>49268</v>
      </c>
      <c r="U11606" t="s">
        <v>59109</v>
      </c>
      <c r="W11606" t="s">
        <v>45432</v>
      </c>
      <c r="X11606" t="s">
        <v>47317</v>
      </c>
    </row>
    <row r="11607" spans="1:24">
      <c r="A11607">
        <f>HYPERLINK("https://www.philgeps.gov.ph/GEPSNONPILOT/Tender/SplashBidNoticeAbstractUI.aspx?menuIndex=3&amp;refID=7180417&amp;Result=3","7180417")</f>
        <v>0</v>
      </c>
      <c r="B11607" t="s">
        <v>3329</v>
      </c>
      <c r="C11607" t="s">
        <v>14827</v>
      </c>
      <c r="D11607" t="s">
        <v>18999</v>
      </c>
      <c r="E11607" t="s">
        <v>28980</v>
      </c>
      <c r="F11607" t="s">
        <v>32606</v>
      </c>
      <c r="G11607" t="s">
        <v>32613</v>
      </c>
      <c r="H11607" t="s">
        <v>14201</v>
      </c>
      <c r="I11607" t="s">
        <v>7677</v>
      </c>
      <c r="J11607" t="s">
        <v>39983</v>
      </c>
      <c r="K11607" t="s">
        <v>42631</v>
      </c>
      <c r="M11607" t="s">
        <v>46574</v>
      </c>
      <c r="N11607" t="s">
        <v>47304</v>
      </c>
      <c r="O11607" t="s">
        <v>47305</v>
      </c>
      <c r="P11607">
        <v>0</v>
      </c>
      <c r="Q11607">
        <v>12</v>
      </c>
      <c r="R11607" t="s">
        <v>47316</v>
      </c>
      <c r="S11607" t="s">
        <v>47708</v>
      </c>
      <c r="T11607" t="s">
        <v>49066</v>
      </c>
      <c r="U11607" t="s">
        <v>59110</v>
      </c>
      <c r="W11607" t="s">
        <v>46574</v>
      </c>
      <c r="X11607" t="s">
        <v>47317</v>
      </c>
    </row>
    <row r="11608" spans="1:24">
      <c r="A11608">
        <f>HYPERLINK("https://www.philgeps.gov.ph/GEPSNONPILOT/Tender/SplashBidNoticeAbstractUI.aspx?menuIndex=3&amp;refID=7180249&amp;Result=3","7180249")</f>
        <v>0</v>
      </c>
      <c r="B11608" t="s">
        <v>2324</v>
      </c>
      <c r="C11608" t="s">
        <v>14828</v>
      </c>
      <c r="D11608" t="s">
        <v>19002</v>
      </c>
      <c r="E11608" t="s">
        <v>28981</v>
      </c>
      <c r="F11608" t="s">
        <v>32606</v>
      </c>
      <c r="G11608" t="s">
        <v>32613</v>
      </c>
      <c r="H11608" t="s">
        <v>14201</v>
      </c>
      <c r="I11608" t="s">
        <v>32664</v>
      </c>
      <c r="J11608" t="s">
        <v>39978</v>
      </c>
      <c r="K11608" t="s">
        <v>42622</v>
      </c>
      <c r="M11608" t="s">
        <v>45432</v>
      </c>
      <c r="N11608" t="s">
        <v>47304</v>
      </c>
      <c r="O11608" t="s">
        <v>47305</v>
      </c>
      <c r="P11608">
        <v>0</v>
      </c>
      <c r="Q11608">
        <v>0</v>
      </c>
      <c r="R11608" t="s">
        <v>47316</v>
      </c>
      <c r="S11608" t="s">
        <v>47708</v>
      </c>
      <c r="T11608" t="s">
        <v>49268</v>
      </c>
      <c r="U11608" t="s">
        <v>59109</v>
      </c>
      <c r="W11608" t="s">
        <v>45432</v>
      </c>
      <c r="X11608" t="s">
        <v>47317</v>
      </c>
    </row>
    <row r="11609" spans="1:24">
      <c r="A11609">
        <f>HYPERLINK("https://www.philgeps.gov.ph/GEPSNONPILOT/Tender/SplashBidNoticeAbstractUI.aspx?menuIndex=3&amp;refID=7180244&amp;Result=3","7180244")</f>
        <v>0</v>
      </c>
      <c r="B11609" t="s">
        <v>2324</v>
      </c>
      <c r="C11609" t="s">
        <v>14781</v>
      </c>
      <c r="D11609" t="s">
        <v>19002</v>
      </c>
      <c r="E11609" t="s">
        <v>28982</v>
      </c>
      <c r="F11609" t="s">
        <v>32606</v>
      </c>
      <c r="G11609" t="s">
        <v>32613</v>
      </c>
      <c r="H11609" t="s">
        <v>14201</v>
      </c>
      <c r="I11609" t="s">
        <v>32664</v>
      </c>
      <c r="J11609" t="s">
        <v>39978</v>
      </c>
      <c r="K11609" t="s">
        <v>42622</v>
      </c>
      <c r="M11609" t="s">
        <v>45432</v>
      </c>
      <c r="N11609" t="s">
        <v>47304</v>
      </c>
      <c r="O11609" t="s">
        <v>47305</v>
      </c>
      <c r="P11609">
        <v>0</v>
      </c>
      <c r="Q11609">
        <v>1</v>
      </c>
      <c r="R11609" t="s">
        <v>47316</v>
      </c>
      <c r="S11609" t="s">
        <v>47708</v>
      </c>
      <c r="T11609" t="s">
        <v>49268</v>
      </c>
      <c r="U11609" t="s">
        <v>59109</v>
      </c>
      <c r="W11609" t="s">
        <v>45432</v>
      </c>
      <c r="X11609" t="s">
        <v>47317</v>
      </c>
    </row>
    <row r="11610" spans="1:24">
      <c r="A11610">
        <f>HYPERLINK("https://www.philgeps.gov.ph/GEPSNONPILOT/Tender/SplashBidNoticeAbstractUI.aspx?menuIndex=3&amp;refID=7180330&amp;Result=3","7180330")</f>
        <v>0</v>
      </c>
      <c r="B11610" t="s">
        <v>3331</v>
      </c>
      <c r="C11610" t="s">
        <v>14829</v>
      </c>
      <c r="D11610" t="s">
        <v>18993</v>
      </c>
      <c r="E11610" t="s">
        <v>20284</v>
      </c>
      <c r="F11610" t="s">
        <v>32606</v>
      </c>
      <c r="G11610" t="s">
        <v>32613</v>
      </c>
      <c r="H11610" t="s">
        <v>14201</v>
      </c>
      <c r="I11610" t="s">
        <v>4120</v>
      </c>
      <c r="J11610" t="s">
        <v>33441</v>
      </c>
      <c r="K11610" t="s">
        <v>42630</v>
      </c>
      <c r="M11610" t="s">
        <v>46576</v>
      </c>
      <c r="N11610" t="s">
        <v>47304</v>
      </c>
      <c r="O11610" t="s">
        <v>47305</v>
      </c>
      <c r="P11610">
        <v>0</v>
      </c>
      <c r="Q11610">
        <v>1</v>
      </c>
      <c r="R11610" t="s">
        <v>47316</v>
      </c>
      <c r="S11610" t="s">
        <v>47708</v>
      </c>
      <c r="T11610" t="s">
        <v>49066</v>
      </c>
      <c r="U11610" t="s">
        <v>59106</v>
      </c>
      <c r="W11610" t="s">
        <v>46576</v>
      </c>
      <c r="X11610" t="s">
        <v>47317</v>
      </c>
    </row>
    <row r="11611" spans="1:24">
      <c r="A11611">
        <f>HYPERLINK("https://www.philgeps.gov.ph/GEPSNONPILOT/Tender/SplashBidNoticeAbstractUI.aspx?menuIndex=3&amp;refID=7180240&amp;Result=3","7180240")</f>
        <v>0</v>
      </c>
      <c r="B11611" t="s">
        <v>2324</v>
      </c>
      <c r="C11611" t="s">
        <v>14782</v>
      </c>
      <c r="D11611" t="s">
        <v>19002</v>
      </c>
      <c r="E11611" t="s">
        <v>28983</v>
      </c>
      <c r="F11611" t="s">
        <v>32606</v>
      </c>
      <c r="G11611" t="s">
        <v>32613</v>
      </c>
      <c r="H11611" t="s">
        <v>14201</v>
      </c>
      <c r="I11611" t="s">
        <v>32664</v>
      </c>
      <c r="J11611" t="s">
        <v>39978</v>
      </c>
      <c r="K11611" t="s">
        <v>42622</v>
      </c>
      <c r="M11611" t="s">
        <v>45432</v>
      </c>
      <c r="N11611" t="s">
        <v>47304</v>
      </c>
      <c r="O11611" t="s">
        <v>47305</v>
      </c>
      <c r="P11611">
        <v>0</v>
      </c>
      <c r="Q11611">
        <v>1</v>
      </c>
      <c r="R11611" t="s">
        <v>47316</v>
      </c>
      <c r="S11611" t="s">
        <v>47708</v>
      </c>
      <c r="T11611" t="s">
        <v>49268</v>
      </c>
      <c r="U11611" t="s">
        <v>59111</v>
      </c>
      <c r="W11611" t="s">
        <v>45432</v>
      </c>
      <c r="X11611" t="s">
        <v>47317</v>
      </c>
    </row>
    <row r="11612" spans="1:24">
      <c r="A11612">
        <f>HYPERLINK("https://www.philgeps.gov.ph/GEPSNONPILOT/Tender/SplashBidNoticeAbstractUI.aspx?menuIndex=3&amp;refID=7180235&amp;Result=3","7180235")</f>
        <v>0</v>
      </c>
      <c r="B11612" t="s">
        <v>3332</v>
      </c>
      <c r="C11612" t="s">
        <v>14830</v>
      </c>
      <c r="D11612" t="s">
        <v>18992</v>
      </c>
      <c r="E11612" t="s">
        <v>21154</v>
      </c>
      <c r="F11612" t="s">
        <v>32606</v>
      </c>
      <c r="G11612" t="s">
        <v>32613</v>
      </c>
      <c r="H11612" t="s">
        <v>32623</v>
      </c>
      <c r="I11612" t="s">
        <v>17648</v>
      </c>
      <c r="J11612" t="s">
        <v>32778</v>
      </c>
      <c r="K11612" t="s">
        <v>42636</v>
      </c>
      <c r="M11612" t="s">
        <v>46577</v>
      </c>
      <c r="N11612" t="s">
        <v>47304</v>
      </c>
      <c r="O11612" t="s">
        <v>47305</v>
      </c>
      <c r="Q11612">
        <v>0</v>
      </c>
      <c r="R11612" t="s">
        <v>47316</v>
      </c>
      <c r="S11612" t="s">
        <v>47714</v>
      </c>
      <c r="T11612" t="s">
        <v>49017</v>
      </c>
      <c r="U11612" t="s">
        <v>59112</v>
      </c>
      <c r="W11612" t="s">
        <v>46577</v>
      </c>
      <c r="X11612" t="s">
        <v>47317</v>
      </c>
    </row>
    <row r="11613" spans="1:24">
      <c r="A11613">
        <f>HYPERLINK("https://www.philgeps.gov.ph/GEPSNONPILOT/Tender/SplashBidNoticeAbstractUI.aspx?menuIndex=3&amp;refID=7180158&amp;Result=3","7180158")</f>
        <v>0</v>
      </c>
      <c r="B11613" t="s">
        <v>2324</v>
      </c>
      <c r="C11613" t="s">
        <v>14831</v>
      </c>
      <c r="D11613" t="s">
        <v>19002</v>
      </c>
      <c r="E11613" t="s">
        <v>28984</v>
      </c>
      <c r="F11613" t="s">
        <v>32606</v>
      </c>
      <c r="G11613" t="s">
        <v>32613</v>
      </c>
      <c r="H11613" t="s">
        <v>14201</v>
      </c>
      <c r="I11613" t="s">
        <v>32664</v>
      </c>
      <c r="J11613" t="s">
        <v>39984</v>
      </c>
      <c r="K11613" t="s">
        <v>42635</v>
      </c>
      <c r="L11613" t="s">
        <v>2324</v>
      </c>
      <c r="M11613" t="s">
        <v>45432</v>
      </c>
      <c r="N11613" t="s">
        <v>47304</v>
      </c>
      <c r="O11613" t="s">
        <v>47305</v>
      </c>
      <c r="P11613">
        <v>0</v>
      </c>
      <c r="Q11613">
        <v>0</v>
      </c>
      <c r="R11613" t="s">
        <v>47316</v>
      </c>
      <c r="S11613" t="s">
        <v>47708</v>
      </c>
      <c r="T11613" t="s">
        <v>49268</v>
      </c>
      <c r="U11613" t="s">
        <v>59063</v>
      </c>
      <c r="W11613" t="s">
        <v>45432</v>
      </c>
      <c r="X11613" t="s">
        <v>47317</v>
      </c>
    </row>
    <row r="11614" spans="1:24">
      <c r="A11614">
        <f>HYPERLINK("https://www.philgeps.gov.ph/GEPSNONPILOT/Tender/SplashBidNoticeAbstractUI.aspx?menuIndex=3&amp;refID=7180575&amp;Result=3","7180575")</f>
        <v>0</v>
      </c>
      <c r="B11614" t="s">
        <v>3333</v>
      </c>
      <c r="C11614" t="s">
        <v>14832</v>
      </c>
      <c r="D11614" t="s">
        <v>19011</v>
      </c>
      <c r="E11614" t="s">
        <v>28985</v>
      </c>
      <c r="F11614" t="s">
        <v>32610</v>
      </c>
      <c r="G11614" t="s">
        <v>32613</v>
      </c>
      <c r="H11614" t="s">
        <v>14201</v>
      </c>
      <c r="I11614" t="s">
        <v>17648</v>
      </c>
      <c r="J11614" t="s">
        <v>39985</v>
      </c>
      <c r="K11614" t="s">
        <v>42630</v>
      </c>
      <c r="M11614" t="s">
        <v>46578</v>
      </c>
      <c r="N11614" t="s">
        <v>47304</v>
      </c>
      <c r="O11614" t="s">
        <v>47305</v>
      </c>
      <c r="P11614">
        <v>0</v>
      </c>
      <c r="Q11614">
        <v>0</v>
      </c>
      <c r="R11614" t="s">
        <v>47315</v>
      </c>
      <c r="S11614" t="s">
        <v>47665</v>
      </c>
      <c r="T11614" t="s">
        <v>49464</v>
      </c>
      <c r="U11614" t="s">
        <v>59113</v>
      </c>
      <c r="W11614" t="s">
        <v>46578</v>
      </c>
      <c r="X11614" t="s">
        <v>47316</v>
      </c>
    </row>
    <row r="11615" spans="1:24">
      <c r="A11615">
        <f>HYPERLINK("https://www.philgeps.gov.ph/GEPSNONPILOT/Tender/SplashBidNoticeAbstractUI.aspx?menuIndex=3&amp;refID=7180574&amp;Result=3","7180574")</f>
        <v>0</v>
      </c>
      <c r="B11615" t="s">
        <v>2842</v>
      </c>
      <c r="C11615" t="s">
        <v>14833</v>
      </c>
      <c r="D11615" t="s">
        <v>19003</v>
      </c>
      <c r="E11615" t="s">
        <v>28986</v>
      </c>
      <c r="F11615" t="s">
        <v>32606</v>
      </c>
      <c r="G11615" t="s">
        <v>32613</v>
      </c>
      <c r="H11615" t="s">
        <v>14201</v>
      </c>
      <c r="I11615" t="s">
        <v>9013</v>
      </c>
      <c r="J11615" t="s">
        <v>33102</v>
      </c>
      <c r="K11615" t="s">
        <v>42631</v>
      </c>
      <c r="M11615" t="s">
        <v>46009</v>
      </c>
      <c r="N11615" t="s">
        <v>47304</v>
      </c>
      <c r="O11615" t="s">
        <v>47305</v>
      </c>
      <c r="Q11615">
        <v>2</v>
      </c>
      <c r="R11615" t="s">
        <v>47315</v>
      </c>
      <c r="S11615" t="s">
        <v>47715</v>
      </c>
      <c r="T11615" t="s">
        <v>49101</v>
      </c>
      <c r="U11615" t="s">
        <v>59114</v>
      </c>
      <c r="V11615" t="s">
        <v>63608</v>
      </c>
      <c r="W11615" t="s">
        <v>46009</v>
      </c>
      <c r="X11615" t="s">
        <v>47316</v>
      </c>
    </row>
    <row r="11616" spans="1:24">
      <c r="A11616">
        <f>HYPERLINK("https://www.philgeps.gov.ph/GEPSNONPILOT/Tender/SplashBidNoticeAbstractUI.aspx?menuIndex=3&amp;refID=7180573&amp;Result=3","7180573")</f>
        <v>0</v>
      </c>
      <c r="B11616" t="s">
        <v>2842</v>
      </c>
      <c r="C11616" t="s">
        <v>14834</v>
      </c>
      <c r="D11616" t="s">
        <v>19003</v>
      </c>
      <c r="E11616" t="s">
        <v>28987</v>
      </c>
      <c r="F11616" t="s">
        <v>32606</v>
      </c>
      <c r="G11616" t="s">
        <v>32613</v>
      </c>
      <c r="H11616" t="s">
        <v>14201</v>
      </c>
      <c r="I11616" t="s">
        <v>32714</v>
      </c>
      <c r="J11616" t="s">
        <v>34149</v>
      </c>
      <c r="K11616" t="s">
        <v>42631</v>
      </c>
      <c r="M11616" t="s">
        <v>46009</v>
      </c>
      <c r="N11616" t="s">
        <v>47304</v>
      </c>
      <c r="O11616" t="s">
        <v>47305</v>
      </c>
      <c r="Q11616">
        <v>7</v>
      </c>
      <c r="R11616" t="s">
        <v>47315</v>
      </c>
      <c r="S11616" t="s">
        <v>47716</v>
      </c>
      <c r="T11616" t="s">
        <v>49101</v>
      </c>
      <c r="U11616" t="s">
        <v>59115</v>
      </c>
      <c r="V11616" t="s">
        <v>63608</v>
      </c>
      <c r="W11616" t="s">
        <v>46009</v>
      </c>
      <c r="X11616" t="s">
        <v>47316</v>
      </c>
    </row>
    <row r="11617" spans="1:24">
      <c r="A11617">
        <f>HYPERLINK("https://www.philgeps.gov.ph/GEPSNONPILOT/Tender/SplashBidNoticeAbstractUI.aspx?menuIndex=3&amp;refID=7180322&amp;Result=3","7180322")</f>
        <v>0</v>
      </c>
      <c r="B11617" t="s">
        <v>3325</v>
      </c>
      <c r="C11617" t="s">
        <v>14835</v>
      </c>
      <c r="D11617" t="s">
        <v>19021</v>
      </c>
      <c r="E11617" t="s">
        <v>28988</v>
      </c>
      <c r="F11617" t="s">
        <v>32606</v>
      </c>
      <c r="G11617" t="s">
        <v>32613</v>
      </c>
      <c r="H11617" t="s">
        <v>14201</v>
      </c>
      <c r="I11617" t="s">
        <v>32632</v>
      </c>
      <c r="J11617" t="s">
        <v>33051</v>
      </c>
      <c r="K11617" t="s">
        <v>42631</v>
      </c>
      <c r="M11617" t="s">
        <v>46570</v>
      </c>
      <c r="N11617" t="s">
        <v>47304</v>
      </c>
      <c r="O11617" t="s">
        <v>47305</v>
      </c>
      <c r="P11617">
        <v>0</v>
      </c>
      <c r="Q11617">
        <v>6</v>
      </c>
      <c r="R11617" t="s">
        <v>47316</v>
      </c>
      <c r="S11617" t="s">
        <v>47708</v>
      </c>
      <c r="T11617" t="s">
        <v>49463</v>
      </c>
      <c r="U11617" t="s">
        <v>59116</v>
      </c>
      <c r="W11617" t="s">
        <v>46570</v>
      </c>
      <c r="X11617" t="s">
        <v>47317</v>
      </c>
    </row>
    <row r="11618" spans="1:24">
      <c r="A11618">
        <f>HYPERLINK("https://www.philgeps.gov.ph/GEPSNONPILOT/Tender/SplashBidNoticeAbstractUI.aspx?menuIndex=3&amp;refID=7172042&amp;Result=3","7172042")</f>
        <v>0</v>
      </c>
      <c r="B11618" t="s">
        <v>3334</v>
      </c>
      <c r="C11618" t="s">
        <v>14836</v>
      </c>
      <c r="D11618" t="s">
        <v>19025</v>
      </c>
      <c r="E11618" t="s">
        <v>28989</v>
      </c>
      <c r="F11618" t="s">
        <v>32606</v>
      </c>
      <c r="G11618" t="s">
        <v>32613</v>
      </c>
      <c r="H11618" t="s">
        <v>32623</v>
      </c>
      <c r="I11618" t="s">
        <v>6931</v>
      </c>
      <c r="J11618" t="s">
        <v>39986</v>
      </c>
      <c r="K11618" t="s">
        <v>42651</v>
      </c>
      <c r="M11618" t="s">
        <v>46579</v>
      </c>
      <c r="N11618" t="s">
        <v>47304</v>
      </c>
      <c r="O11618" t="s">
        <v>47305</v>
      </c>
      <c r="P11618">
        <v>0</v>
      </c>
      <c r="Q11618">
        <v>4</v>
      </c>
      <c r="R11618" t="s">
        <v>47317</v>
      </c>
      <c r="S11618" t="s">
        <v>47712</v>
      </c>
      <c r="T11618" t="s">
        <v>49023</v>
      </c>
      <c r="U11618" t="s">
        <v>59117</v>
      </c>
      <c r="V11618" t="s">
        <v>63897</v>
      </c>
      <c r="W11618" t="s">
        <v>46579</v>
      </c>
      <c r="X11618" t="s">
        <v>47320</v>
      </c>
    </row>
    <row r="11619" spans="1:24">
      <c r="A11619">
        <f>HYPERLINK("https://www.philgeps.gov.ph/GEPSNONPILOT/Tender/SplashBidNoticeAbstractUI.aspx?menuIndex=3&amp;refID=7180218&amp;Result=3","7180218")</f>
        <v>0</v>
      </c>
      <c r="B11619" t="s">
        <v>3321</v>
      </c>
      <c r="C11619" t="s">
        <v>14837</v>
      </c>
      <c r="D11619" t="s">
        <v>19052</v>
      </c>
      <c r="E11619" t="s">
        <v>19279</v>
      </c>
      <c r="F11619" t="s">
        <v>32607</v>
      </c>
      <c r="G11619" t="s">
        <v>32613</v>
      </c>
      <c r="H11619" t="s">
        <v>14201</v>
      </c>
      <c r="I11619" t="s">
        <v>6931</v>
      </c>
      <c r="J11619" t="s">
        <v>32981</v>
      </c>
      <c r="K11619" t="s">
        <v>42623</v>
      </c>
      <c r="M11619" t="s">
        <v>46566</v>
      </c>
      <c r="N11619" t="s">
        <v>47304</v>
      </c>
      <c r="O11619" t="s">
        <v>47305</v>
      </c>
      <c r="P11619">
        <v>0</v>
      </c>
      <c r="Q11619">
        <v>0</v>
      </c>
      <c r="R11619" t="s">
        <v>47316</v>
      </c>
      <c r="S11619" t="s">
        <v>47708</v>
      </c>
      <c r="T11619" t="s">
        <v>49087</v>
      </c>
      <c r="U11619" t="s">
        <v>59118</v>
      </c>
      <c r="V11619" t="s">
        <v>63893</v>
      </c>
      <c r="W11619" t="s">
        <v>46566</v>
      </c>
      <c r="X11619" t="s">
        <v>47317</v>
      </c>
    </row>
    <row r="11620" spans="1:24">
      <c r="A11620">
        <f>HYPERLINK("https://www.philgeps.gov.ph/GEPSNONPILOT/Tender/SplashBidNoticeAbstractUI.aspx?menuIndex=3&amp;refID=7180420&amp;Result=3","7180420")</f>
        <v>0</v>
      </c>
      <c r="B11620" t="s">
        <v>3329</v>
      </c>
      <c r="C11620" t="s">
        <v>14838</v>
      </c>
      <c r="D11620" t="s">
        <v>18999</v>
      </c>
      <c r="E11620" t="s">
        <v>28990</v>
      </c>
      <c r="F11620" t="s">
        <v>32606</v>
      </c>
      <c r="G11620" t="s">
        <v>32613</v>
      </c>
      <c r="H11620" t="s">
        <v>14201</v>
      </c>
      <c r="I11620" t="s">
        <v>32632</v>
      </c>
      <c r="J11620" t="s">
        <v>39987</v>
      </c>
      <c r="K11620" t="s">
        <v>42631</v>
      </c>
      <c r="M11620" t="s">
        <v>46574</v>
      </c>
      <c r="N11620" t="s">
        <v>47304</v>
      </c>
      <c r="O11620" t="s">
        <v>47305</v>
      </c>
      <c r="P11620">
        <v>0</v>
      </c>
      <c r="Q11620">
        <v>8</v>
      </c>
      <c r="R11620" t="s">
        <v>47316</v>
      </c>
      <c r="S11620" t="s">
        <v>47708</v>
      </c>
      <c r="T11620" t="s">
        <v>49066</v>
      </c>
      <c r="U11620" t="s">
        <v>59119</v>
      </c>
      <c r="W11620" t="s">
        <v>46574</v>
      </c>
      <c r="X11620" t="s">
        <v>47317</v>
      </c>
    </row>
    <row r="11621" spans="1:24">
      <c r="A11621">
        <f>HYPERLINK("https://www.philgeps.gov.ph/GEPSNONPILOT/Tender/SplashBidNoticeAbstractUI.aspx?menuIndex=3&amp;refID=7175376&amp;Result=3","7175376")</f>
        <v>0</v>
      </c>
      <c r="B11621" t="s">
        <v>3114</v>
      </c>
      <c r="C11621" t="s">
        <v>14839</v>
      </c>
      <c r="D11621" t="s">
        <v>18994</v>
      </c>
      <c r="F11621" t="s">
        <v>32606</v>
      </c>
      <c r="G11621" t="s">
        <v>32613</v>
      </c>
      <c r="H11621" t="s">
        <v>14201</v>
      </c>
      <c r="I11621" t="s">
        <v>32629</v>
      </c>
      <c r="J11621" t="s">
        <v>33441</v>
      </c>
      <c r="K11621" t="s">
        <v>42624</v>
      </c>
      <c r="M11621" t="s">
        <v>46324</v>
      </c>
      <c r="N11621" t="s">
        <v>47304</v>
      </c>
      <c r="O11621" t="s">
        <v>47305</v>
      </c>
      <c r="P11621">
        <v>0</v>
      </c>
      <c r="Q11621">
        <v>0</v>
      </c>
      <c r="R11621" t="s">
        <v>47317</v>
      </c>
      <c r="S11621" t="s">
        <v>47712</v>
      </c>
      <c r="T11621" t="s">
        <v>49002</v>
      </c>
      <c r="U11621" t="s">
        <v>59120</v>
      </c>
      <c r="W11621" t="s">
        <v>46324</v>
      </c>
      <c r="X11621" t="s">
        <v>47319</v>
      </c>
    </row>
    <row r="11622" spans="1:24">
      <c r="A11622">
        <f>HYPERLINK("https://www.philgeps.gov.ph/GEPSNONPILOT/Tender/SplashBidNoticeAbstractUI.aspx?menuIndex=3&amp;refID=7174803&amp;Result=3","7174803")</f>
        <v>0</v>
      </c>
      <c r="B11622" t="s">
        <v>1018</v>
      </c>
      <c r="C11622" t="s">
        <v>14840</v>
      </c>
      <c r="D11622" t="s">
        <v>19019</v>
      </c>
      <c r="E11622" t="s">
        <v>28991</v>
      </c>
      <c r="F11622" t="s">
        <v>32606</v>
      </c>
      <c r="G11622" t="s">
        <v>32613</v>
      </c>
      <c r="H11622" t="s">
        <v>14201</v>
      </c>
      <c r="I11622" t="s">
        <v>32661</v>
      </c>
      <c r="J11622" t="s">
        <v>34465</v>
      </c>
      <c r="K11622" t="s">
        <v>42636</v>
      </c>
      <c r="M11622" t="s">
        <v>43968</v>
      </c>
      <c r="N11622" t="s">
        <v>47304</v>
      </c>
      <c r="O11622" t="s">
        <v>47305</v>
      </c>
      <c r="P11622">
        <v>0</v>
      </c>
      <c r="Q11622">
        <v>1</v>
      </c>
      <c r="R11622" t="s">
        <v>47317</v>
      </c>
      <c r="S11622" t="s">
        <v>47712</v>
      </c>
      <c r="T11622" t="s">
        <v>49052</v>
      </c>
      <c r="U11622" t="s">
        <v>59121</v>
      </c>
      <c r="W11622" t="s">
        <v>43968</v>
      </c>
      <c r="X11622" t="s">
        <v>47319</v>
      </c>
    </row>
    <row r="11623" spans="1:24">
      <c r="A11623">
        <f>HYPERLINK("https://www.philgeps.gov.ph/GEPSNONPILOT/Tender/SplashBidNoticeAbstractUI.aspx?menuIndex=3&amp;refID=7174232&amp;Result=3","7174232")</f>
        <v>0</v>
      </c>
      <c r="B11623" t="s">
        <v>462</v>
      </c>
      <c r="C11623" t="s">
        <v>14841</v>
      </c>
      <c r="E11623" t="s">
        <v>28992</v>
      </c>
      <c r="F11623" t="s">
        <v>32606</v>
      </c>
      <c r="G11623" t="s">
        <v>32613</v>
      </c>
      <c r="H11623" t="s">
        <v>14201</v>
      </c>
      <c r="I11623" t="s">
        <v>32640</v>
      </c>
      <c r="J11623" t="s">
        <v>33269</v>
      </c>
      <c r="K11623" t="s">
        <v>42636</v>
      </c>
      <c r="M11623" t="s">
        <v>43372</v>
      </c>
      <c r="N11623" t="s">
        <v>47304</v>
      </c>
      <c r="O11623" t="s">
        <v>47305</v>
      </c>
      <c r="P11623">
        <v>0</v>
      </c>
      <c r="Q11623">
        <v>13</v>
      </c>
      <c r="R11623" t="s">
        <v>47317</v>
      </c>
      <c r="S11623" t="s">
        <v>47712</v>
      </c>
      <c r="T11623" t="s">
        <v>49029</v>
      </c>
      <c r="U11623" t="s">
        <v>59122</v>
      </c>
      <c r="W11623" t="s">
        <v>64436</v>
      </c>
      <c r="X11623" t="s">
        <v>47319</v>
      </c>
    </row>
    <row r="11624" spans="1:24">
      <c r="A11624">
        <f>HYPERLINK("https://www.philgeps.gov.ph/GEPSNONPILOT/Tender/SplashBidNoticeAbstractUI.aspx?menuIndex=3&amp;refID=7173661&amp;Result=3","7173661")</f>
        <v>0</v>
      </c>
      <c r="B11624" t="s">
        <v>444</v>
      </c>
      <c r="C11624" t="s">
        <v>14842</v>
      </c>
      <c r="D11624" t="s">
        <v>19006</v>
      </c>
      <c r="E11624" t="s">
        <v>28993</v>
      </c>
      <c r="F11624" t="s">
        <v>32606</v>
      </c>
      <c r="G11624" t="s">
        <v>32613</v>
      </c>
      <c r="H11624" t="s">
        <v>32623</v>
      </c>
      <c r="I11624" t="s">
        <v>17648</v>
      </c>
      <c r="J11624" t="s">
        <v>39988</v>
      </c>
      <c r="K11624" t="s">
        <v>42648</v>
      </c>
      <c r="M11624" t="s">
        <v>46580</v>
      </c>
      <c r="N11624" t="s">
        <v>47304</v>
      </c>
      <c r="O11624" t="s">
        <v>47305</v>
      </c>
      <c r="P11624">
        <v>0</v>
      </c>
      <c r="Q11624">
        <v>15</v>
      </c>
      <c r="R11624" t="s">
        <v>47317</v>
      </c>
      <c r="S11624" t="s">
        <v>47712</v>
      </c>
      <c r="T11624" t="s">
        <v>49234</v>
      </c>
      <c r="U11624" t="s">
        <v>59123</v>
      </c>
      <c r="W11624" t="s">
        <v>46860</v>
      </c>
      <c r="X11624" t="s">
        <v>47320</v>
      </c>
    </row>
    <row r="11625" spans="1:24">
      <c r="A11625">
        <f>HYPERLINK("https://www.philgeps.gov.ph/GEPSNONPILOT/Tender/SplashBidNoticeAbstractUI.aspx?menuIndex=3&amp;refID=7176649&amp;Result=3","7176649")</f>
        <v>0</v>
      </c>
      <c r="B11625" t="s">
        <v>778</v>
      </c>
      <c r="C11625" t="s">
        <v>14843</v>
      </c>
      <c r="D11625" t="s">
        <v>19012</v>
      </c>
      <c r="E11625" t="s">
        <v>19384</v>
      </c>
      <c r="F11625" t="s">
        <v>32606</v>
      </c>
      <c r="G11625" t="s">
        <v>32613</v>
      </c>
      <c r="H11625" t="s">
        <v>14201</v>
      </c>
      <c r="I11625" t="s">
        <v>6007</v>
      </c>
      <c r="J11625" t="s">
        <v>33623</v>
      </c>
      <c r="K11625" t="s">
        <v>42623</v>
      </c>
      <c r="M11625" t="s">
        <v>43708</v>
      </c>
      <c r="N11625" t="s">
        <v>47304</v>
      </c>
      <c r="O11625" t="s">
        <v>47305</v>
      </c>
      <c r="P11625">
        <v>0</v>
      </c>
      <c r="Q11625">
        <v>0</v>
      </c>
      <c r="R11625" t="s">
        <v>47317</v>
      </c>
      <c r="S11625" t="s">
        <v>47712</v>
      </c>
      <c r="T11625" t="s">
        <v>49017</v>
      </c>
      <c r="U11625" t="s">
        <v>59124</v>
      </c>
      <c r="W11625" t="s">
        <v>43708</v>
      </c>
      <c r="X11625" t="s">
        <v>47319</v>
      </c>
    </row>
    <row r="11626" spans="1:24">
      <c r="A11626">
        <f>HYPERLINK("https://www.philgeps.gov.ph/GEPSNONPILOT/Tender/SplashBidNoticeAbstractUI.aspx?menuIndex=3&amp;refID=7176614&amp;Result=3","7176614")</f>
        <v>0</v>
      </c>
      <c r="B11626" t="s">
        <v>3335</v>
      </c>
      <c r="C11626" t="s">
        <v>14844</v>
      </c>
      <c r="D11626" t="s">
        <v>19016</v>
      </c>
      <c r="E11626" t="s">
        <v>28994</v>
      </c>
      <c r="F11626" t="s">
        <v>32606</v>
      </c>
      <c r="G11626" t="s">
        <v>32613</v>
      </c>
      <c r="H11626" t="s">
        <v>14201</v>
      </c>
      <c r="I11626" t="s">
        <v>6931</v>
      </c>
      <c r="J11626" t="s">
        <v>39989</v>
      </c>
      <c r="K11626" t="s">
        <v>42622</v>
      </c>
      <c r="M11626" t="s">
        <v>46581</v>
      </c>
      <c r="N11626" t="s">
        <v>47304</v>
      </c>
      <c r="O11626" t="s">
        <v>47305</v>
      </c>
      <c r="P11626">
        <v>0</v>
      </c>
      <c r="Q11626">
        <v>1</v>
      </c>
      <c r="R11626" t="s">
        <v>47317</v>
      </c>
      <c r="S11626" t="s">
        <v>47712</v>
      </c>
      <c r="T11626" t="s">
        <v>49010</v>
      </c>
      <c r="U11626" t="s">
        <v>59125</v>
      </c>
      <c r="W11626" t="s">
        <v>46581</v>
      </c>
      <c r="X11626" t="s">
        <v>47319</v>
      </c>
    </row>
    <row r="11627" spans="1:24">
      <c r="A11627">
        <f>HYPERLINK("https://www.philgeps.gov.ph/GEPSNONPILOT/Tender/SplashBidNoticeAbstractUI.aspx?menuIndex=3&amp;refID=7176583&amp;Result=3","7176583")</f>
        <v>0</v>
      </c>
      <c r="B11627" t="s">
        <v>3335</v>
      </c>
      <c r="C11627" t="s">
        <v>9326</v>
      </c>
      <c r="D11627" t="s">
        <v>19016</v>
      </c>
      <c r="E11627" t="s">
        <v>28995</v>
      </c>
      <c r="F11627" t="s">
        <v>32606</v>
      </c>
      <c r="G11627" t="s">
        <v>32613</v>
      </c>
      <c r="H11627" t="s">
        <v>14201</v>
      </c>
      <c r="I11627" t="s">
        <v>6931</v>
      </c>
      <c r="J11627" t="s">
        <v>39990</v>
      </c>
      <c r="K11627" t="s">
        <v>42622</v>
      </c>
      <c r="M11627" t="s">
        <v>46581</v>
      </c>
      <c r="N11627" t="s">
        <v>47304</v>
      </c>
      <c r="O11627" t="s">
        <v>47305</v>
      </c>
      <c r="P11627">
        <v>0</v>
      </c>
      <c r="Q11627">
        <v>0</v>
      </c>
      <c r="R11627" t="s">
        <v>47317</v>
      </c>
      <c r="S11627" t="s">
        <v>47712</v>
      </c>
      <c r="T11627" t="s">
        <v>49010</v>
      </c>
      <c r="U11627" t="s">
        <v>59126</v>
      </c>
      <c r="W11627" t="s">
        <v>46581</v>
      </c>
      <c r="X11627" t="s">
        <v>47319</v>
      </c>
    </row>
    <row r="11628" spans="1:24">
      <c r="A11628">
        <f>HYPERLINK("https://www.philgeps.gov.ph/GEPSNONPILOT/Tender/SplashBidNoticeAbstractUI.aspx?menuIndex=3&amp;refID=7176660&amp;Result=3","7176660")</f>
        <v>0</v>
      </c>
      <c r="B11628" t="s">
        <v>867</v>
      </c>
      <c r="C11628" t="s">
        <v>5665</v>
      </c>
      <c r="D11628" t="s">
        <v>19053</v>
      </c>
      <c r="E11628" t="s">
        <v>28996</v>
      </c>
      <c r="F11628" t="s">
        <v>32606</v>
      </c>
      <c r="G11628" t="s">
        <v>32613</v>
      </c>
      <c r="H11628" t="s">
        <v>14201</v>
      </c>
      <c r="I11628" t="s">
        <v>7677</v>
      </c>
      <c r="J11628" t="s">
        <v>39991</v>
      </c>
      <c r="K11628" t="s">
        <v>42631</v>
      </c>
      <c r="M11628" t="s">
        <v>43801</v>
      </c>
      <c r="N11628" t="s">
        <v>47304</v>
      </c>
      <c r="O11628" t="s">
        <v>47305</v>
      </c>
      <c r="P11628">
        <v>0</v>
      </c>
      <c r="Q11628">
        <v>15</v>
      </c>
      <c r="R11628" t="s">
        <v>47317</v>
      </c>
      <c r="S11628" t="s">
        <v>47712</v>
      </c>
      <c r="T11628" t="s">
        <v>49140</v>
      </c>
      <c r="U11628" t="s">
        <v>59127</v>
      </c>
      <c r="W11628" t="s">
        <v>43801</v>
      </c>
      <c r="X11628" t="s">
        <v>47319</v>
      </c>
    </row>
    <row r="11629" spans="1:24">
      <c r="A11629">
        <f>HYPERLINK("https://www.philgeps.gov.ph/GEPSNONPILOT/Tender/SplashBidNoticeAbstractUI.aspx?menuIndex=3&amp;refID=7175962&amp;Result=3","7175962")</f>
        <v>0</v>
      </c>
      <c r="B11629" t="s">
        <v>3336</v>
      </c>
      <c r="C11629" t="s">
        <v>14845</v>
      </c>
      <c r="D11629" t="s">
        <v>19015</v>
      </c>
      <c r="E11629" t="s">
        <v>28997</v>
      </c>
      <c r="F11629" t="s">
        <v>32606</v>
      </c>
      <c r="G11629" t="s">
        <v>32613</v>
      </c>
      <c r="H11629" t="s">
        <v>32623</v>
      </c>
      <c r="I11629" t="s">
        <v>17648</v>
      </c>
      <c r="J11629" t="s">
        <v>32795</v>
      </c>
      <c r="K11629" t="s">
        <v>42646</v>
      </c>
      <c r="M11629" t="s">
        <v>46582</v>
      </c>
      <c r="N11629" t="s">
        <v>47304</v>
      </c>
      <c r="O11629" t="s">
        <v>47305</v>
      </c>
      <c r="P11629">
        <v>0</v>
      </c>
      <c r="Q11629">
        <v>100</v>
      </c>
      <c r="R11629" t="s">
        <v>47317</v>
      </c>
      <c r="S11629" t="s">
        <v>47712</v>
      </c>
      <c r="T11629" t="s">
        <v>48976</v>
      </c>
      <c r="U11629" t="s">
        <v>59128</v>
      </c>
      <c r="W11629" t="s">
        <v>46582</v>
      </c>
      <c r="X11629" t="s">
        <v>47319</v>
      </c>
    </row>
    <row r="11630" spans="1:24">
      <c r="A11630">
        <f>HYPERLINK("https://www.philgeps.gov.ph/GEPSNONPILOT/Tender/SplashBidNoticeAbstractUI.aspx?menuIndex=3&amp;refID=7176465&amp;Result=3","7176465")</f>
        <v>0</v>
      </c>
      <c r="B11630" t="s">
        <v>778</v>
      </c>
      <c r="C11630" t="s">
        <v>14846</v>
      </c>
      <c r="D11630" t="s">
        <v>19012</v>
      </c>
      <c r="E11630" t="s">
        <v>28998</v>
      </c>
      <c r="F11630" t="s">
        <v>32606</v>
      </c>
      <c r="G11630" t="s">
        <v>32613</v>
      </c>
      <c r="H11630" t="s">
        <v>14201</v>
      </c>
      <c r="I11630" t="s">
        <v>4120</v>
      </c>
      <c r="J11630" t="s">
        <v>32781</v>
      </c>
      <c r="K11630" t="s">
        <v>42623</v>
      </c>
      <c r="M11630" t="s">
        <v>43708</v>
      </c>
      <c r="N11630" t="s">
        <v>47304</v>
      </c>
      <c r="O11630" t="s">
        <v>47305</v>
      </c>
      <c r="P11630">
        <v>0</v>
      </c>
      <c r="Q11630">
        <v>5</v>
      </c>
      <c r="R11630" t="s">
        <v>47317</v>
      </c>
      <c r="S11630" t="s">
        <v>47712</v>
      </c>
      <c r="T11630" t="s">
        <v>49050</v>
      </c>
      <c r="U11630" t="s">
        <v>59129</v>
      </c>
      <c r="W11630" t="s">
        <v>43708</v>
      </c>
      <c r="X11630" t="s">
        <v>47319</v>
      </c>
    </row>
    <row r="11631" spans="1:24">
      <c r="A11631">
        <f>HYPERLINK("https://www.philgeps.gov.ph/GEPSNONPILOT/Tender/SplashBidNoticeAbstractUI.aspx?menuIndex=3&amp;refID=7176439&amp;Result=3","7176439")</f>
        <v>0</v>
      </c>
      <c r="B11631" t="s">
        <v>3337</v>
      </c>
      <c r="C11631" t="s">
        <v>4547</v>
      </c>
      <c r="D11631" t="s">
        <v>19039</v>
      </c>
      <c r="E11631" t="s">
        <v>28999</v>
      </c>
      <c r="F11631" t="s">
        <v>32606</v>
      </c>
      <c r="G11631" t="s">
        <v>32613</v>
      </c>
      <c r="H11631" t="s">
        <v>14201</v>
      </c>
      <c r="I11631" t="s">
        <v>4120</v>
      </c>
      <c r="J11631" t="s">
        <v>39992</v>
      </c>
      <c r="K11631" t="s">
        <v>42631</v>
      </c>
      <c r="M11631" t="s">
        <v>46583</v>
      </c>
      <c r="N11631" t="s">
        <v>47304</v>
      </c>
      <c r="O11631" t="s">
        <v>47305</v>
      </c>
      <c r="P11631">
        <v>0</v>
      </c>
      <c r="Q11631">
        <v>1</v>
      </c>
      <c r="R11631" t="s">
        <v>47317</v>
      </c>
      <c r="S11631" t="s">
        <v>47712</v>
      </c>
      <c r="T11631" t="s">
        <v>49096</v>
      </c>
      <c r="U11631" t="s">
        <v>59130</v>
      </c>
      <c r="V11631" t="s">
        <v>63898</v>
      </c>
      <c r="W11631" t="s">
        <v>46583</v>
      </c>
      <c r="X11631" t="s">
        <v>47319</v>
      </c>
    </row>
    <row r="11632" spans="1:24">
      <c r="A11632">
        <f>HYPERLINK("https://www.philgeps.gov.ph/GEPSNONPILOT/Tender/SplashBidNoticeAbstractUI.aspx?menuIndex=3&amp;refID=7176271&amp;Result=3","7176271")</f>
        <v>0</v>
      </c>
      <c r="B11632" t="s">
        <v>778</v>
      </c>
      <c r="C11632" t="s">
        <v>14847</v>
      </c>
      <c r="D11632" t="s">
        <v>19012</v>
      </c>
      <c r="E11632" t="s">
        <v>29000</v>
      </c>
      <c r="F11632" t="s">
        <v>32606</v>
      </c>
      <c r="G11632" t="s">
        <v>32613</v>
      </c>
      <c r="H11632" t="s">
        <v>14201</v>
      </c>
      <c r="I11632" t="s">
        <v>6007</v>
      </c>
      <c r="J11632" t="s">
        <v>32765</v>
      </c>
      <c r="K11632" t="s">
        <v>42623</v>
      </c>
      <c r="M11632" t="s">
        <v>43708</v>
      </c>
      <c r="N11632" t="s">
        <v>47304</v>
      </c>
      <c r="O11632" t="s">
        <v>47305</v>
      </c>
      <c r="P11632">
        <v>0</v>
      </c>
      <c r="Q11632">
        <v>0</v>
      </c>
      <c r="R11632" t="s">
        <v>47317</v>
      </c>
      <c r="S11632" t="s">
        <v>47712</v>
      </c>
      <c r="T11632" t="s">
        <v>49050</v>
      </c>
      <c r="U11632" t="s">
        <v>59131</v>
      </c>
      <c r="W11632" t="s">
        <v>43708</v>
      </c>
      <c r="X11632" t="s">
        <v>47319</v>
      </c>
    </row>
    <row r="11633" spans="1:24">
      <c r="A11633">
        <f>HYPERLINK("https://www.philgeps.gov.ph/GEPSNONPILOT/Tender/SplashBidNoticeAbstractUI.aspx?menuIndex=3&amp;refID=7176075&amp;Result=3","7176075")</f>
        <v>0</v>
      </c>
      <c r="B11633" t="s">
        <v>3336</v>
      </c>
      <c r="C11633" t="s">
        <v>14848</v>
      </c>
      <c r="D11633" t="s">
        <v>19015</v>
      </c>
      <c r="E11633" t="s">
        <v>29001</v>
      </c>
      <c r="F11633" t="s">
        <v>32606</v>
      </c>
      <c r="G11633" t="s">
        <v>32613</v>
      </c>
      <c r="H11633" t="s">
        <v>32624</v>
      </c>
      <c r="I11633" t="s">
        <v>7064</v>
      </c>
      <c r="J11633" t="s">
        <v>39993</v>
      </c>
      <c r="K11633" t="s">
        <v>42631</v>
      </c>
      <c r="M11633" t="s">
        <v>46582</v>
      </c>
      <c r="N11633" t="s">
        <v>47304</v>
      </c>
      <c r="O11633" t="s">
        <v>47305</v>
      </c>
      <c r="P11633">
        <v>0</v>
      </c>
      <c r="Q11633">
        <v>12</v>
      </c>
      <c r="R11633" t="s">
        <v>47317</v>
      </c>
      <c r="S11633" t="s">
        <v>47712</v>
      </c>
      <c r="T11633" t="s">
        <v>48976</v>
      </c>
      <c r="U11633" t="s">
        <v>59132</v>
      </c>
      <c r="W11633" t="s">
        <v>46582</v>
      </c>
      <c r="X11633" t="s">
        <v>47319</v>
      </c>
    </row>
    <row r="11634" spans="1:24">
      <c r="A11634">
        <f>HYPERLINK("https://www.philgeps.gov.ph/GEPSNONPILOT/Tender/SplashBidNoticeAbstractUI.aspx?menuIndex=3&amp;refID=7176005&amp;Result=3","7176005")</f>
        <v>0</v>
      </c>
      <c r="B11634" t="s">
        <v>3336</v>
      </c>
      <c r="C11634" t="s">
        <v>14849</v>
      </c>
      <c r="D11634" t="s">
        <v>19015</v>
      </c>
      <c r="E11634" t="s">
        <v>29002</v>
      </c>
      <c r="F11634" t="s">
        <v>32606</v>
      </c>
      <c r="G11634" t="s">
        <v>32613</v>
      </c>
      <c r="H11634" t="s">
        <v>32623</v>
      </c>
      <c r="I11634" t="s">
        <v>17648</v>
      </c>
      <c r="J11634" t="s">
        <v>39994</v>
      </c>
      <c r="K11634" t="s">
        <v>42646</v>
      </c>
      <c r="M11634" t="s">
        <v>46582</v>
      </c>
      <c r="N11634" t="s">
        <v>47304</v>
      </c>
      <c r="O11634" t="s">
        <v>47305</v>
      </c>
      <c r="P11634">
        <v>0</v>
      </c>
      <c r="Q11634">
        <v>101</v>
      </c>
      <c r="R11634" t="s">
        <v>47317</v>
      </c>
      <c r="S11634" t="s">
        <v>47712</v>
      </c>
      <c r="T11634" t="s">
        <v>48976</v>
      </c>
      <c r="U11634" t="s">
        <v>59133</v>
      </c>
      <c r="W11634" t="s">
        <v>46582</v>
      </c>
      <c r="X11634" t="s">
        <v>47319</v>
      </c>
    </row>
    <row r="11635" spans="1:24">
      <c r="A11635">
        <f>HYPERLINK("https://www.philgeps.gov.ph/GEPSNONPILOT/Tender/SplashBidNoticeAbstractUI.aspx?menuIndex=3&amp;refID=7174598&amp;Result=3","7174598")</f>
        <v>0</v>
      </c>
      <c r="B11635" t="s">
        <v>1018</v>
      </c>
      <c r="C11635" t="s">
        <v>14850</v>
      </c>
      <c r="D11635" t="s">
        <v>19019</v>
      </c>
      <c r="E11635" t="s">
        <v>29003</v>
      </c>
      <c r="F11635" t="s">
        <v>32606</v>
      </c>
      <c r="G11635" t="s">
        <v>32613</v>
      </c>
      <c r="H11635" t="s">
        <v>14201</v>
      </c>
      <c r="I11635" t="s">
        <v>17648</v>
      </c>
      <c r="J11635" t="s">
        <v>39538</v>
      </c>
      <c r="K11635" t="s">
        <v>42763</v>
      </c>
      <c r="M11635" t="s">
        <v>43968</v>
      </c>
      <c r="N11635" t="s">
        <v>47304</v>
      </c>
      <c r="O11635" t="s">
        <v>47305</v>
      </c>
      <c r="P11635">
        <v>0</v>
      </c>
      <c r="Q11635">
        <v>0</v>
      </c>
      <c r="R11635" t="s">
        <v>47317</v>
      </c>
      <c r="S11635" t="s">
        <v>47712</v>
      </c>
      <c r="T11635" t="s">
        <v>49052</v>
      </c>
      <c r="U11635" t="s">
        <v>59134</v>
      </c>
      <c r="W11635" t="s">
        <v>43968</v>
      </c>
      <c r="X11635" t="s">
        <v>47319</v>
      </c>
    </row>
    <row r="11636" spans="1:24">
      <c r="A11636">
        <f>HYPERLINK("https://www.philgeps.gov.ph/GEPSNONPILOT/Tender/SplashBidNoticeAbstractUI.aspx?menuIndex=3&amp;refID=7176094&amp;Result=3","7176094")</f>
        <v>0</v>
      </c>
      <c r="B11636" t="s">
        <v>3336</v>
      </c>
      <c r="C11636" t="s">
        <v>14851</v>
      </c>
      <c r="D11636" t="s">
        <v>19015</v>
      </c>
      <c r="E11636" t="s">
        <v>29004</v>
      </c>
      <c r="F11636" t="s">
        <v>32606</v>
      </c>
      <c r="G11636" t="s">
        <v>32613</v>
      </c>
      <c r="H11636" t="s">
        <v>32624</v>
      </c>
      <c r="I11636" t="s">
        <v>4678</v>
      </c>
      <c r="J11636" t="s">
        <v>32778</v>
      </c>
      <c r="K11636" t="s">
        <v>42631</v>
      </c>
      <c r="M11636" t="s">
        <v>46582</v>
      </c>
      <c r="N11636" t="s">
        <v>47304</v>
      </c>
      <c r="O11636" t="s">
        <v>47305</v>
      </c>
      <c r="P11636">
        <v>0</v>
      </c>
      <c r="Q11636">
        <v>9</v>
      </c>
      <c r="R11636" t="s">
        <v>47317</v>
      </c>
      <c r="S11636" t="s">
        <v>47712</v>
      </c>
      <c r="T11636" t="s">
        <v>48976</v>
      </c>
      <c r="U11636" t="s">
        <v>59135</v>
      </c>
      <c r="W11636" t="s">
        <v>46582</v>
      </c>
      <c r="X11636" t="s">
        <v>47319</v>
      </c>
    </row>
    <row r="11637" spans="1:24">
      <c r="A11637">
        <f>HYPERLINK("https://www.philgeps.gov.ph/GEPSNONPILOT/Tender/SplashBidNoticeAbstractUI.aspx?menuIndex=3&amp;refID=7176715&amp;Result=3","7176715")</f>
        <v>0</v>
      </c>
      <c r="B11637" t="s">
        <v>444</v>
      </c>
      <c r="C11637" t="s">
        <v>14852</v>
      </c>
      <c r="D11637" t="s">
        <v>19006</v>
      </c>
      <c r="E11637" t="s">
        <v>29005</v>
      </c>
      <c r="F11637" t="s">
        <v>32606</v>
      </c>
      <c r="G11637" t="s">
        <v>32613</v>
      </c>
      <c r="H11637" t="s">
        <v>32623</v>
      </c>
      <c r="I11637" t="s">
        <v>17648</v>
      </c>
      <c r="J11637" t="s">
        <v>32795</v>
      </c>
      <c r="K11637" t="s">
        <v>42648</v>
      </c>
      <c r="M11637" t="s">
        <v>46580</v>
      </c>
      <c r="N11637" t="s">
        <v>47304</v>
      </c>
      <c r="O11637" t="s">
        <v>47305</v>
      </c>
      <c r="P11637">
        <v>0</v>
      </c>
      <c r="Q11637">
        <v>9</v>
      </c>
      <c r="R11637" t="s">
        <v>47317</v>
      </c>
      <c r="S11637" t="s">
        <v>47712</v>
      </c>
      <c r="T11637" t="s">
        <v>49234</v>
      </c>
      <c r="U11637" t="s">
        <v>59136</v>
      </c>
      <c r="W11637" t="s">
        <v>46860</v>
      </c>
      <c r="X11637" t="s">
        <v>47319</v>
      </c>
    </row>
    <row r="11638" spans="1:24">
      <c r="A11638">
        <f>HYPERLINK("https://www.philgeps.gov.ph/GEPSNONPILOT/Tender/SplashBidNoticeAbstractUI.aspx?menuIndex=3&amp;refID=7176775&amp;Result=3","7176775")</f>
        <v>0</v>
      </c>
      <c r="B11638" t="s">
        <v>529</v>
      </c>
      <c r="C11638" t="s">
        <v>14853</v>
      </c>
      <c r="E11638" t="s">
        <v>29006</v>
      </c>
      <c r="F11638" t="s">
        <v>32606</v>
      </c>
      <c r="G11638" t="s">
        <v>32613</v>
      </c>
      <c r="H11638" t="s">
        <v>32623</v>
      </c>
      <c r="I11638" t="s">
        <v>17648</v>
      </c>
      <c r="J11638" t="s">
        <v>39995</v>
      </c>
      <c r="K11638" t="s">
        <v>42683</v>
      </c>
      <c r="M11638" t="s">
        <v>43442</v>
      </c>
      <c r="N11638" t="s">
        <v>47304</v>
      </c>
      <c r="O11638" t="s">
        <v>47305</v>
      </c>
      <c r="P11638">
        <v>0</v>
      </c>
      <c r="Q11638">
        <v>1</v>
      </c>
      <c r="R11638" t="s">
        <v>47317</v>
      </c>
      <c r="S11638" t="s">
        <v>47712</v>
      </c>
      <c r="T11638" t="s">
        <v>49107</v>
      </c>
      <c r="U11638" t="s">
        <v>55088</v>
      </c>
      <c r="W11638" t="s">
        <v>43442</v>
      </c>
      <c r="X11638" t="s">
        <v>47319</v>
      </c>
    </row>
    <row r="11639" spans="1:24">
      <c r="A11639">
        <f>HYPERLINK("https://www.philgeps.gov.ph/GEPSNONPILOT/Tender/SplashBidNoticeAbstractUI.aspx?menuIndex=3&amp;refID=7177548&amp;Result=3","7177548")</f>
        <v>0</v>
      </c>
      <c r="B11639" t="s">
        <v>444</v>
      </c>
      <c r="C11639" t="s">
        <v>14854</v>
      </c>
      <c r="D11639" t="s">
        <v>19006</v>
      </c>
      <c r="E11639" t="s">
        <v>29007</v>
      </c>
      <c r="F11639" t="s">
        <v>32606</v>
      </c>
      <c r="G11639" t="s">
        <v>32613</v>
      </c>
      <c r="H11639" t="s">
        <v>32623</v>
      </c>
      <c r="I11639" t="s">
        <v>17648</v>
      </c>
      <c r="J11639" t="s">
        <v>33043</v>
      </c>
      <c r="K11639" t="s">
        <v>42648</v>
      </c>
      <c r="M11639" t="s">
        <v>46580</v>
      </c>
      <c r="N11639" t="s">
        <v>47304</v>
      </c>
      <c r="O11639" t="s">
        <v>47305</v>
      </c>
      <c r="P11639">
        <v>0</v>
      </c>
      <c r="Q11639">
        <v>8</v>
      </c>
      <c r="R11639" t="s">
        <v>47317</v>
      </c>
      <c r="S11639" t="s">
        <v>47712</v>
      </c>
      <c r="T11639" t="s">
        <v>49234</v>
      </c>
      <c r="U11639" t="s">
        <v>59137</v>
      </c>
      <c r="W11639" t="s">
        <v>46860</v>
      </c>
      <c r="X11639" t="s">
        <v>47318</v>
      </c>
    </row>
    <row r="11640" spans="1:24">
      <c r="A11640">
        <f>HYPERLINK("https://www.philgeps.gov.ph/GEPSNONPILOT/Tender/SplashBidNoticeAbstractUI.aspx?menuIndex=3&amp;refID=7177578&amp;Result=3","7177578")</f>
        <v>0</v>
      </c>
      <c r="B11640" t="s">
        <v>444</v>
      </c>
      <c r="C11640" t="s">
        <v>14855</v>
      </c>
      <c r="D11640" t="s">
        <v>19006</v>
      </c>
      <c r="E11640" t="s">
        <v>29008</v>
      </c>
      <c r="F11640" t="s">
        <v>32606</v>
      </c>
      <c r="G11640" t="s">
        <v>32613</v>
      </c>
      <c r="H11640" t="s">
        <v>32623</v>
      </c>
      <c r="I11640" t="s">
        <v>17648</v>
      </c>
      <c r="J11640" t="s">
        <v>32772</v>
      </c>
      <c r="K11640" t="s">
        <v>42648</v>
      </c>
      <c r="M11640" t="s">
        <v>46580</v>
      </c>
      <c r="N11640" t="s">
        <v>47304</v>
      </c>
      <c r="O11640" t="s">
        <v>47305</v>
      </c>
      <c r="P11640">
        <v>0</v>
      </c>
      <c r="Q11640">
        <v>9</v>
      </c>
      <c r="R11640" t="s">
        <v>47317</v>
      </c>
      <c r="S11640" t="s">
        <v>47712</v>
      </c>
      <c r="T11640" t="s">
        <v>49234</v>
      </c>
      <c r="U11640" t="s">
        <v>59138</v>
      </c>
      <c r="W11640" t="s">
        <v>46860</v>
      </c>
      <c r="X11640" t="s">
        <v>47318</v>
      </c>
    </row>
    <row r="11641" spans="1:24">
      <c r="A11641">
        <f>HYPERLINK("https://www.philgeps.gov.ph/GEPSNONPILOT/Tender/SplashBidNoticeAbstractUI.aspx?menuIndex=3&amp;refID=7177570&amp;Result=3","7177570")</f>
        <v>0</v>
      </c>
      <c r="B11641" t="s">
        <v>3048</v>
      </c>
      <c r="C11641" t="s">
        <v>14856</v>
      </c>
      <c r="D11641" t="s">
        <v>19053</v>
      </c>
      <c r="E11641" t="s">
        <v>29009</v>
      </c>
      <c r="F11641" t="s">
        <v>32606</v>
      </c>
      <c r="G11641" t="s">
        <v>32613</v>
      </c>
      <c r="H11641" t="s">
        <v>14201</v>
      </c>
      <c r="I11641" t="s">
        <v>6931</v>
      </c>
      <c r="J11641" t="s">
        <v>39996</v>
      </c>
      <c r="K11641" t="s">
        <v>42636</v>
      </c>
      <c r="M11641" t="s">
        <v>46244</v>
      </c>
      <c r="N11641" t="s">
        <v>47304</v>
      </c>
      <c r="O11641" t="s">
        <v>47305</v>
      </c>
      <c r="P11641">
        <v>0</v>
      </c>
      <c r="Q11641">
        <v>0</v>
      </c>
      <c r="R11641" t="s">
        <v>47317</v>
      </c>
      <c r="S11641" t="s">
        <v>47712</v>
      </c>
      <c r="T11641" t="s">
        <v>49129</v>
      </c>
      <c r="U11641" t="s">
        <v>59139</v>
      </c>
      <c r="W11641" t="s">
        <v>46244</v>
      </c>
      <c r="X11641" t="s">
        <v>47318</v>
      </c>
    </row>
    <row r="11642" spans="1:24">
      <c r="A11642">
        <f>HYPERLINK("https://www.philgeps.gov.ph/GEPSNONPILOT/Tender/SplashBidNoticeAbstractUI.aspx?menuIndex=3&amp;refID=7176771&amp;Result=3","7176771")</f>
        <v>0</v>
      </c>
      <c r="B11642" t="s">
        <v>444</v>
      </c>
      <c r="C11642" t="s">
        <v>14857</v>
      </c>
      <c r="D11642" t="s">
        <v>19006</v>
      </c>
      <c r="E11642" t="s">
        <v>29010</v>
      </c>
      <c r="F11642" t="s">
        <v>32606</v>
      </c>
      <c r="G11642" t="s">
        <v>32613</v>
      </c>
      <c r="H11642" t="s">
        <v>32623</v>
      </c>
      <c r="I11642" t="s">
        <v>17648</v>
      </c>
      <c r="J11642" t="s">
        <v>39347</v>
      </c>
      <c r="K11642" t="s">
        <v>42648</v>
      </c>
      <c r="M11642" t="s">
        <v>46580</v>
      </c>
      <c r="N11642" t="s">
        <v>47304</v>
      </c>
      <c r="O11642" t="s">
        <v>47305</v>
      </c>
      <c r="P11642">
        <v>0</v>
      </c>
      <c r="Q11642">
        <v>8</v>
      </c>
      <c r="R11642" t="s">
        <v>47317</v>
      </c>
      <c r="S11642" t="s">
        <v>47712</v>
      </c>
      <c r="T11642" t="s">
        <v>49234</v>
      </c>
      <c r="U11642" t="s">
        <v>59140</v>
      </c>
      <c r="W11642" t="s">
        <v>46860</v>
      </c>
      <c r="X11642" t="s">
        <v>47319</v>
      </c>
    </row>
    <row r="11643" spans="1:24">
      <c r="A11643">
        <f>HYPERLINK("https://www.philgeps.gov.ph/GEPSNONPILOT/Tender/SplashBidNoticeAbstractUI.aspx?menuIndex=3&amp;refID=7175504&amp;Result=3","7175504")</f>
        <v>0</v>
      </c>
      <c r="B11643" t="s">
        <v>444</v>
      </c>
      <c r="C11643" t="s">
        <v>14858</v>
      </c>
      <c r="D11643" t="s">
        <v>19006</v>
      </c>
      <c r="E11643" t="s">
        <v>29011</v>
      </c>
      <c r="F11643" t="s">
        <v>32606</v>
      </c>
      <c r="G11643" t="s">
        <v>32613</v>
      </c>
      <c r="H11643" t="s">
        <v>32623</v>
      </c>
      <c r="I11643" t="s">
        <v>17648</v>
      </c>
      <c r="J11643" t="s">
        <v>39997</v>
      </c>
      <c r="K11643" t="s">
        <v>42648</v>
      </c>
      <c r="M11643" t="s">
        <v>46580</v>
      </c>
      <c r="N11643" t="s">
        <v>47304</v>
      </c>
      <c r="O11643" t="s">
        <v>47305</v>
      </c>
      <c r="P11643">
        <v>0</v>
      </c>
      <c r="Q11643">
        <v>13</v>
      </c>
      <c r="R11643" t="s">
        <v>47317</v>
      </c>
      <c r="S11643" t="s">
        <v>47712</v>
      </c>
      <c r="T11643" t="s">
        <v>49234</v>
      </c>
      <c r="U11643" t="s">
        <v>59141</v>
      </c>
      <c r="W11643" t="s">
        <v>46860</v>
      </c>
      <c r="X11643" t="s">
        <v>47319</v>
      </c>
    </row>
    <row r="11644" spans="1:24">
      <c r="A11644">
        <f>HYPERLINK("https://www.philgeps.gov.ph/GEPSNONPILOT/Tender/SplashBidNoticeAbstractUI.aspx?menuIndex=3&amp;refID=7177568&amp;Result=3","7177568")</f>
        <v>0</v>
      </c>
      <c r="B11644" t="s">
        <v>3338</v>
      </c>
      <c r="C11644" t="s">
        <v>14859</v>
      </c>
      <c r="D11644" t="s">
        <v>19010</v>
      </c>
      <c r="E11644" t="s">
        <v>24690</v>
      </c>
      <c r="F11644" t="s">
        <v>32606</v>
      </c>
      <c r="G11644" t="s">
        <v>32613</v>
      </c>
      <c r="H11644" t="s">
        <v>32623</v>
      </c>
      <c r="I11644" t="s">
        <v>17648</v>
      </c>
      <c r="J11644" t="s">
        <v>32756</v>
      </c>
      <c r="K11644" t="s">
        <v>42645</v>
      </c>
      <c r="M11644" t="s">
        <v>46584</v>
      </c>
      <c r="N11644" t="s">
        <v>47304</v>
      </c>
      <c r="O11644" t="s">
        <v>47305</v>
      </c>
      <c r="P11644">
        <v>0</v>
      </c>
      <c r="Q11644">
        <v>1</v>
      </c>
      <c r="R11644" t="s">
        <v>47317</v>
      </c>
      <c r="S11644" t="s">
        <v>47712</v>
      </c>
      <c r="T11644" t="s">
        <v>49065</v>
      </c>
      <c r="U11644" t="s">
        <v>59142</v>
      </c>
      <c r="W11644" t="s">
        <v>46584</v>
      </c>
      <c r="X11644" t="s">
        <v>47318</v>
      </c>
    </row>
    <row r="11645" spans="1:24">
      <c r="A11645">
        <f>HYPERLINK("https://www.philgeps.gov.ph/GEPSNONPILOT/Tender/SplashBidNoticeAbstractUI.aspx?menuIndex=3&amp;refID=7176045&amp;Result=3","7176045")</f>
        <v>0</v>
      </c>
      <c r="B11645" t="s">
        <v>3336</v>
      </c>
      <c r="C11645" t="s">
        <v>14860</v>
      </c>
      <c r="D11645" t="s">
        <v>19015</v>
      </c>
      <c r="E11645" t="s">
        <v>29012</v>
      </c>
      <c r="F11645" t="s">
        <v>32606</v>
      </c>
      <c r="G11645" t="s">
        <v>32613</v>
      </c>
      <c r="H11645" t="s">
        <v>32623</v>
      </c>
      <c r="I11645" t="s">
        <v>17648</v>
      </c>
      <c r="J11645" t="s">
        <v>32770</v>
      </c>
      <c r="K11645" t="s">
        <v>42646</v>
      </c>
      <c r="M11645" t="s">
        <v>46582</v>
      </c>
      <c r="N11645" t="s">
        <v>47304</v>
      </c>
      <c r="O11645" t="s">
        <v>47305</v>
      </c>
      <c r="P11645">
        <v>0</v>
      </c>
      <c r="Q11645">
        <v>84</v>
      </c>
      <c r="R11645" t="s">
        <v>47317</v>
      </c>
      <c r="S11645" t="s">
        <v>47712</v>
      </c>
      <c r="T11645" t="s">
        <v>48976</v>
      </c>
      <c r="U11645" t="s">
        <v>59143</v>
      </c>
      <c r="W11645" t="s">
        <v>46582</v>
      </c>
      <c r="X11645" t="s">
        <v>47319</v>
      </c>
    </row>
    <row r="11646" spans="1:24">
      <c r="A11646">
        <f>HYPERLINK("https://www.philgeps.gov.ph/GEPSNONPILOT/Tender/SplashBidNoticeAbstractUI.aspx?menuIndex=3&amp;refID=7177530&amp;Result=3","7177530")</f>
        <v>0</v>
      </c>
      <c r="B11646" t="s">
        <v>3339</v>
      </c>
      <c r="C11646" t="s">
        <v>14861</v>
      </c>
      <c r="E11646" t="s">
        <v>20079</v>
      </c>
      <c r="F11646" t="s">
        <v>32606</v>
      </c>
      <c r="G11646" t="s">
        <v>32613</v>
      </c>
      <c r="H11646" t="s">
        <v>14201</v>
      </c>
      <c r="I11646" t="s">
        <v>6931</v>
      </c>
      <c r="J11646" t="s">
        <v>39998</v>
      </c>
      <c r="K11646" t="s">
        <v>42630</v>
      </c>
      <c r="M11646" t="s">
        <v>46585</v>
      </c>
      <c r="N11646" t="s">
        <v>47304</v>
      </c>
      <c r="O11646" t="s">
        <v>47305</v>
      </c>
      <c r="P11646">
        <v>0</v>
      </c>
      <c r="Q11646">
        <v>0</v>
      </c>
      <c r="R11646" t="s">
        <v>47317</v>
      </c>
      <c r="S11646" t="s">
        <v>47712</v>
      </c>
      <c r="T11646" t="s">
        <v>49140</v>
      </c>
      <c r="U11646" t="s">
        <v>59144</v>
      </c>
      <c r="V11646" t="s">
        <v>63899</v>
      </c>
      <c r="W11646" t="s">
        <v>46585</v>
      </c>
      <c r="X11646" t="s">
        <v>47318</v>
      </c>
    </row>
    <row r="11647" spans="1:24">
      <c r="A11647">
        <f>HYPERLINK("https://www.philgeps.gov.ph/GEPSNONPILOT/Tender/SplashBidNoticeAbstractUI.aspx?menuIndex=3&amp;refID=7177527&amp;Result=3","7177527")</f>
        <v>0</v>
      </c>
      <c r="B11647" t="s">
        <v>1500</v>
      </c>
      <c r="C11647" t="s">
        <v>14862</v>
      </c>
      <c r="D11647" t="s">
        <v>19036</v>
      </c>
      <c r="E11647" t="s">
        <v>29013</v>
      </c>
      <c r="F11647" t="s">
        <v>32606</v>
      </c>
      <c r="G11647" t="s">
        <v>32614</v>
      </c>
      <c r="H11647" t="s">
        <v>14201</v>
      </c>
      <c r="I11647" t="s">
        <v>32652</v>
      </c>
      <c r="J11647" t="s">
        <v>39999</v>
      </c>
      <c r="K11647" t="s">
        <v>42859</v>
      </c>
      <c r="M11647" t="s">
        <v>46586</v>
      </c>
      <c r="N11647" t="s">
        <v>47304</v>
      </c>
      <c r="O11647" t="s">
        <v>47305</v>
      </c>
      <c r="Q11647">
        <v>1</v>
      </c>
      <c r="R11647" t="s">
        <v>47317</v>
      </c>
      <c r="S11647" t="s">
        <v>47717</v>
      </c>
      <c r="T11647" t="s">
        <v>49071</v>
      </c>
      <c r="U11647" t="s">
        <v>59145</v>
      </c>
      <c r="W11647" t="s">
        <v>46586</v>
      </c>
      <c r="X11647" t="s">
        <v>47318</v>
      </c>
    </row>
    <row r="11648" spans="1:24">
      <c r="A11648">
        <f>HYPERLINK("https://www.philgeps.gov.ph/GEPSNONPILOT/Tender/SplashBidNoticeAbstractUI.aspx?menuIndex=3&amp;refID=7176160&amp;Result=3","7176160")</f>
        <v>0</v>
      </c>
      <c r="B11648" t="s">
        <v>444</v>
      </c>
      <c r="C11648" t="s">
        <v>14863</v>
      </c>
      <c r="D11648" t="s">
        <v>19006</v>
      </c>
      <c r="E11648" t="s">
        <v>29011</v>
      </c>
      <c r="F11648" t="s">
        <v>32606</v>
      </c>
      <c r="G11648" t="s">
        <v>32613</v>
      </c>
      <c r="H11648" t="s">
        <v>32623</v>
      </c>
      <c r="I11648" t="s">
        <v>17648</v>
      </c>
      <c r="J11648" t="s">
        <v>34128</v>
      </c>
      <c r="K11648" t="s">
        <v>42648</v>
      </c>
      <c r="M11648" t="s">
        <v>46580</v>
      </c>
      <c r="N11648" t="s">
        <v>47304</v>
      </c>
      <c r="O11648" t="s">
        <v>47305</v>
      </c>
      <c r="P11648">
        <v>0</v>
      </c>
      <c r="Q11648">
        <v>7</v>
      </c>
      <c r="R11648" t="s">
        <v>47317</v>
      </c>
      <c r="S11648" t="s">
        <v>47712</v>
      </c>
      <c r="T11648" t="s">
        <v>49234</v>
      </c>
      <c r="U11648" t="s">
        <v>59146</v>
      </c>
      <c r="W11648" t="s">
        <v>46860</v>
      </c>
      <c r="X11648" t="s">
        <v>47319</v>
      </c>
    </row>
    <row r="11649" spans="1:24">
      <c r="A11649">
        <f>HYPERLINK("https://www.philgeps.gov.ph/GEPSNONPILOT/Tender/SplashBidNoticeAbstractUI.aspx?menuIndex=3&amp;refID=7177469&amp;Result=3","7177469")</f>
        <v>0</v>
      </c>
      <c r="B11649" t="s">
        <v>2243</v>
      </c>
      <c r="C11649" t="s">
        <v>14864</v>
      </c>
      <c r="D11649" t="s">
        <v>19004</v>
      </c>
      <c r="E11649" t="s">
        <v>29014</v>
      </c>
      <c r="F11649" t="s">
        <v>32606</v>
      </c>
      <c r="G11649" t="s">
        <v>32613</v>
      </c>
      <c r="H11649" t="s">
        <v>14201</v>
      </c>
      <c r="I11649" t="s">
        <v>7064</v>
      </c>
      <c r="J11649" t="s">
        <v>40000</v>
      </c>
      <c r="K11649" t="s">
        <v>42631</v>
      </c>
      <c r="M11649" t="s">
        <v>45347</v>
      </c>
      <c r="N11649" t="s">
        <v>47304</v>
      </c>
      <c r="O11649" t="s">
        <v>47305</v>
      </c>
      <c r="P11649">
        <v>0</v>
      </c>
      <c r="Q11649">
        <v>10</v>
      </c>
      <c r="R11649" t="s">
        <v>47317</v>
      </c>
      <c r="S11649" t="s">
        <v>47712</v>
      </c>
      <c r="T11649" t="s">
        <v>48989</v>
      </c>
      <c r="U11649" t="s">
        <v>55189</v>
      </c>
      <c r="W11649" t="s">
        <v>45347</v>
      </c>
      <c r="X11649" t="s">
        <v>47318</v>
      </c>
    </row>
    <row r="11650" spans="1:24">
      <c r="A11650">
        <f>HYPERLINK("https://www.philgeps.gov.ph/GEPSNONPILOT/Tender/SplashBidNoticeAbstractUI.aspx?menuIndex=3&amp;refID=7177419&amp;Result=3","7177419")</f>
        <v>0</v>
      </c>
      <c r="B11650" t="s">
        <v>2508</v>
      </c>
      <c r="C11650" t="s">
        <v>14865</v>
      </c>
      <c r="D11650" t="s">
        <v>19050</v>
      </c>
      <c r="E11650" t="s">
        <v>29015</v>
      </c>
      <c r="F11650" t="s">
        <v>32606</v>
      </c>
      <c r="G11650" t="s">
        <v>32613</v>
      </c>
      <c r="H11650" t="s">
        <v>32623</v>
      </c>
      <c r="I11650" t="s">
        <v>17648</v>
      </c>
      <c r="J11650" t="s">
        <v>40001</v>
      </c>
      <c r="K11650" t="s">
        <v>42712</v>
      </c>
      <c r="M11650" t="s">
        <v>45648</v>
      </c>
      <c r="N11650" t="s">
        <v>47304</v>
      </c>
      <c r="O11650" t="s">
        <v>47305</v>
      </c>
      <c r="P11650">
        <v>0</v>
      </c>
      <c r="Q11650">
        <v>1</v>
      </c>
      <c r="R11650" t="s">
        <v>47317</v>
      </c>
      <c r="S11650" t="s">
        <v>47712</v>
      </c>
      <c r="T11650" t="s">
        <v>49180</v>
      </c>
      <c r="U11650" t="s">
        <v>59147</v>
      </c>
      <c r="V11650" t="s">
        <v>63900</v>
      </c>
      <c r="W11650" t="s">
        <v>45648</v>
      </c>
      <c r="X11650" t="s">
        <v>47318</v>
      </c>
    </row>
    <row r="11651" spans="1:24">
      <c r="A11651">
        <f>HYPERLINK("https://www.philgeps.gov.ph/GEPSNONPILOT/Tender/SplashBidNoticeAbstractUI.aspx?menuIndex=3&amp;refID=7180286&amp;Result=3","7180286")</f>
        <v>0</v>
      </c>
      <c r="B11651" t="s">
        <v>3340</v>
      </c>
      <c r="C11651" t="s">
        <v>14866</v>
      </c>
      <c r="D11651" t="s">
        <v>19063</v>
      </c>
      <c r="E11651" t="s">
        <v>29016</v>
      </c>
      <c r="F11651" t="s">
        <v>32606</v>
      </c>
      <c r="G11651" t="s">
        <v>32613</v>
      </c>
      <c r="H11651" t="s">
        <v>14201</v>
      </c>
      <c r="I11651" t="s">
        <v>32647</v>
      </c>
      <c r="J11651" t="s">
        <v>32778</v>
      </c>
      <c r="K11651" t="s">
        <v>42623</v>
      </c>
      <c r="M11651" t="s">
        <v>46587</v>
      </c>
      <c r="N11651" t="s">
        <v>47304</v>
      </c>
      <c r="O11651" t="s">
        <v>47305</v>
      </c>
      <c r="P11651">
        <v>0</v>
      </c>
      <c r="Q11651">
        <v>3</v>
      </c>
      <c r="R11651" t="s">
        <v>47316</v>
      </c>
      <c r="S11651" t="s">
        <v>47708</v>
      </c>
      <c r="T11651" t="s">
        <v>48989</v>
      </c>
      <c r="U11651" t="s">
        <v>59148</v>
      </c>
      <c r="W11651" t="s">
        <v>46587</v>
      </c>
      <c r="X11651" t="s">
        <v>47317</v>
      </c>
    </row>
    <row r="11652" spans="1:24">
      <c r="A11652">
        <f>HYPERLINK("https://www.philgeps.gov.ph/GEPSNONPILOT/Tender/SplashBidNoticeAbstractUI.aspx?menuIndex=3&amp;refID=7177415&amp;Result=3","7177415")</f>
        <v>0</v>
      </c>
      <c r="B11652" t="s">
        <v>3341</v>
      </c>
      <c r="C11652" t="s">
        <v>11559</v>
      </c>
      <c r="D11652" t="s">
        <v>19018</v>
      </c>
      <c r="E11652" t="s">
        <v>19690</v>
      </c>
      <c r="F11652" t="s">
        <v>32606</v>
      </c>
      <c r="G11652" t="s">
        <v>32613</v>
      </c>
      <c r="H11652" t="s">
        <v>32623</v>
      </c>
      <c r="I11652" t="s">
        <v>17648</v>
      </c>
      <c r="J11652" t="s">
        <v>32765</v>
      </c>
      <c r="K11652" t="s">
        <v>42631</v>
      </c>
      <c r="M11652" t="s">
        <v>46588</v>
      </c>
      <c r="N11652" t="s">
        <v>47304</v>
      </c>
      <c r="O11652" t="s">
        <v>47305</v>
      </c>
      <c r="P11652">
        <v>0</v>
      </c>
      <c r="Q11652">
        <v>0</v>
      </c>
      <c r="R11652" t="s">
        <v>47317</v>
      </c>
      <c r="S11652" t="s">
        <v>47712</v>
      </c>
      <c r="T11652" t="s">
        <v>49081</v>
      </c>
      <c r="U11652" t="s">
        <v>59149</v>
      </c>
      <c r="W11652" t="s">
        <v>46588</v>
      </c>
      <c r="X11652" t="s">
        <v>47318</v>
      </c>
    </row>
    <row r="11653" spans="1:24">
      <c r="A11653">
        <f>HYPERLINK("https://www.philgeps.gov.ph/GEPSNONPILOT/Tender/SplashBidNoticeAbstractUI.aspx?menuIndex=3&amp;refID=7177555&amp;Result=3","7177555")</f>
        <v>0</v>
      </c>
      <c r="B11653" t="s">
        <v>3342</v>
      </c>
      <c r="C11653" t="s">
        <v>14867</v>
      </c>
      <c r="D11653" t="s">
        <v>18993</v>
      </c>
      <c r="E11653" t="s">
        <v>29017</v>
      </c>
      <c r="F11653" t="s">
        <v>32606</v>
      </c>
      <c r="G11653" t="s">
        <v>32614</v>
      </c>
      <c r="H11653" t="s">
        <v>14201</v>
      </c>
      <c r="I11653" t="s">
        <v>32681</v>
      </c>
      <c r="J11653" t="s">
        <v>32920</v>
      </c>
      <c r="K11653" t="s">
        <v>42624</v>
      </c>
      <c r="M11653" t="s">
        <v>46589</v>
      </c>
      <c r="N11653" t="s">
        <v>47304</v>
      </c>
      <c r="O11653" t="s">
        <v>47305</v>
      </c>
      <c r="P11653">
        <v>0</v>
      </c>
      <c r="Q11653">
        <v>3</v>
      </c>
      <c r="R11653" t="s">
        <v>47317</v>
      </c>
      <c r="S11653" t="s">
        <v>47712</v>
      </c>
      <c r="T11653" t="s">
        <v>49331</v>
      </c>
      <c r="U11653" t="s">
        <v>59150</v>
      </c>
      <c r="V11653" t="s">
        <v>62763</v>
      </c>
      <c r="W11653" t="s">
        <v>46589</v>
      </c>
      <c r="X11653" t="s">
        <v>47318</v>
      </c>
    </row>
    <row r="11654" spans="1:24">
      <c r="A11654">
        <f>HYPERLINK("https://www.philgeps.gov.ph/GEPSNONPILOT/Tender/SplashBidNoticeAbstractUI.aspx?menuIndex=3&amp;refID=7177413&amp;Result=3","7177413")</f>
        <v>0</v>
      </c>
      <c r="B11654" t="s">
        <v>3341</v>
      </c>
      <c r="C11654" t="s">
        <v>11559</v>
      </c>
      <c r="D11654" t="s">
        <v>19018</v>
      </c>
      <c r="E11654" t="s">
        <v>19145</v>
      </c>
      <c r="F11654" t="s">
        <v>32606</v>
      </c>
      <c r="G11654" t="s">
        <v>32613</v>
      </c>
      <c r="H11654" t="s">
        <v>32623</v>
      </c>
      <c r="I11654" t="s">
        <v>17648</v>
      </c>
      <c r="J11654" t="s">
        <v>33195</v>
      </c>
      <c r="K11654" t="s">
        <v>42631</v>
      </c>
      <c r="M11654" t="s">
        <v>46588</v>
      </c>
      <c r="N11654" t="s">
        <v>47304</v>
      </c>
      <c r="O11654" t="s">
        <v>47305</v>
      </c>
      <c r="P11654">
        <v>0</v>
      </c>
      <c r="Q11654">
        <v>0</v>
      </c>
      <c r="R11654" t="s">
        <v>47317</v>
      </c>
      <c r="S11654" t="s">
        <v>47712</v>
      </c>
      <c r="T11654" t="s">
        <v>49081</v>
      </c>
      <c r="U11654" t="s">
        <v>59151</v>
      </c>
      <c r="W11654" t="s">
        <v>46588</v>
      </c>
      <c r="X11654" t="s">
        <v>47318</v>
      </c>
    </row>
    <row r="11655" spans="1:24">
      <c r="A11655">
        <f>HYPERLINK("https://www.philgeps.gov.ph/GEPSNONPILOT/Tender/SplashBidNoticeAbstractUI.aspx?menuIndex=3&amp;refID=7177580&amp;Result=3","7177580")</f>
        <v>0</v>
      </c>
      <c r="B11655" t="s">
        <v>2236</v>
      </c>
      <c r="C11655" t="s">
        <v>14868</v>
      </c>
      <c r="D11655" t="s">
        <v>19058</v>
      </c>
      <c r="E11655" t="s">
        <v>23511</v>
      </c>
      <c r="F11655" t="s">
        <v>32606</v>
      </c>
      <c r="G11655" t="s">
        <v>32613</v>
      </c>
      <c r="H11655" t="s">
        <v>32623</v>
      </c>
      <c r="I11655" t="s">
        <v>17648</v>
      </c>
      <c r="J11655" t="s">
        <v>40002</v>
      </c>
      <c r="K11655" t="s">
        <v>42646</v>
      </c>
      <c r="M11655" t="s">
        <v>45340</v>
      </c>
      <c r="N11655" t="s">
        <v>47304</v>
      </c>
      <c r="O11655" t="s">
        <v>47305</v>
      </c>
      <c r="P11655">
        <v>0</v>
      </c>
      <c r="Q11655">
        <v>0</v>
      </c>
      <c r="R11655" t="s">
        <v>47317</v>
      </c>
      <c r="S11655" t="s">
        <v>47712</v>
      </c>
      <c r="T11655" t="s">
        <v>48996</v>
      </c>
      <c r="U11655" t="s">
        <v>59152</v>
      </c>
      <c r="V11655" t="s">
        <v>63901</v>
      </c>
      <c r="W11655" t="s">
        <v>45340</v>
      </c>
      <c r="X11655" t="s">
        <v>47318</v>
      </c>
    </row>
    <row r="11656" spans="1:24">
      <c r="A11656">
        <f>HYPERLINK("https://www.philgeps.gov.ph/GEPSNONPILOT/Tender/SplashBidNoticeAbstractUI.aspx?menuIndex=3&amp;refID=7177518&amp;Result=3","7177518")</f>
        <v>0</v>
      </c>
      <c r="B11656" t="s">
        <v>1500</v>
      </c>
      <c r="C11656" t="s">
        <v>14869</v>
      </c>
      <c r="D11656" t="s">
        <v>19036</v>
      </c>
      <c r="E11656" t="s">
        <v>29018</v>
      </c>
      <c r="F11656" t="s">
        <v>32606</v>
      </c>
      <c r="G11656" t="s">
        <v>32614</v>
      </c>
      <c r="H11656" t="s">
        <v>14201</v>
      </c>
      <c r="I11656" t="s">
        <v>32652</v>
      </c>
      <c r="J11656" t="s">
        <v>40003</v>
      </c>
      <c r="K11656" t="s">
        <v>42859</v>
      </c>
      <c r="M11656" t="s">
        <v>46586</v>
      </c>
      <c r="N11656" t="s">
        <v>47304</v>
      </c>
      <c r="O11656" t="s">
        <v>47305</v>
      </c>
      <c r="Q11656">
        <v>0</v>
      </c>
      <c r="R11656" t="s">
        <v>47317</v>
      </c>
      <c r="S11656" t="s">
        <v>47717</v>
      </c>
      <c r="T11656" t="s">
        <v>49071</v>
      </c>
      <c r="U11656" t="s">
        <v>59153</v>
      </c>
      <c r="W11656" t="s">
        <v>46586</v>
      </c>
      <c r="X11656" t="s">
        <v>47318</v>
      </c>
    </row>
    <row r="11657" spans="1:24">
      <c r="A11657">
        <f>HYPERLINK("https://www.philgeps.gov.ph/GEPSNONPILOT/Tender/SplashBidNoticeAbstractUI.aspx?menuIndex=3&amp;refID=7177734&amp;Result=3","7177734")</f>
        <v>0</v>
      </c>
      <c r="B11657" t="s">
        <v>1402</v>
      </c>
      <c r="C11657" t="s">
        <v>14870</v>
      </c>
      <c r="D11657" t="s">
        <v>18992</v>
      </c>
      <c r="E11657" t="s">
        <v>29019</v>
      </c>
      <c r="F11657" t="s">
        <v>32606</v>
      </c>
      <c r="G11657" t="s">
        <v>32613</v>
      </c>
      <c r="H11657" t="s">
        <v>14201</v>
      </c>
      <c r="I11657" t="s">
        <v>6007</v>
      </c>
      <c r="J11657" t="s">
        <v>40004</v>
      </c>
      <c r="K11657" t="s">
        <v>42624</v>
      </c>
      <c r="M11657" t="s">
        <v>45733</v>
      </c>
      <c r="N11657" t="s">
        <v>47304</v>
      </c>
      <c r="O11657" t="s">
        <v>47305</v>
      </c>
      <c r="P11657">
        <v>0</v>
      </c>
      <c r="Q11657">
        <v>0</v>
      </c>
      <c r="R11657" t="s">
        <v>47317</v>
      </c>
      <c r="S11657" t="s">
        <v>47712</v>
      </c>
      <c r="T11657" t="s">
        <v>48994</v>
      </c>
      <c r="U11657" t="s">
        <v>59154</v>
      </c>
      <c r="W11657" t="s">
        <v>45733</v>
      </c>
      <c r="X11657" t="s">
        <v>47318</v>
      </c>
    </row>
    <row r="11658" spans="1:24">
      <c r="A11658">
        <f>HYPERLINK("https://www.philgeps.gov.ph/GEPSNONPILOT/Tender/SplashBidNoticeAbstractUI.aspx?menuIndex=3&amp;refID=7177730&amp;Result=3","7177730")</f>
        <v>0</v>
      </c>
      <c r="B11658" t="s">
        <v>3343</v>
      </c>
      <c r="C11658" t="s">
        <v>14871</v>
      </c>
      <c r="D11658" t="s">
        <v>19032</v>
      </c>
      <c r="E11658" t="s">
        <v>29020</v>
      </c>
      <c r="F11658" t="s">
        <v>32606</v>
      </c>
      <c r="G11658" t="s">
        <v>32613</v>
      </c>
      <c r="H11658" t="s">
        <v>14201</v>
      </c>
      <c r="I11658" t="s">
        <v>4121</v>
      </c>
      <c r="J11658" t="s">
        <v>40005</v>
      </c>
      <c r="K11658" t="s">
        <v>42624</v>
      </c>
      <c r="M11658" t="s">
        <v>46590</v>
      </c>
      <c r="N11658" t="s">
        <v>47304</v>
      </c>
      <c r="O11658" t="s">
        <v>47305</v>
      </c>
      <c r="Q11658">
        <v>4</v>
      </c>
      <c r="R11658" t="s">
        <v>47317</v>
      </c>
      <c r="S11658" t="s">
        <v>47718</v>
      </c>
      <c r="T11658" t="s">
        <v>49065</v>
      </c>
      <c r="U11658" t="s">
        <v>59155</v>
      </c>
      <c r="V11658" t="s">
        <v>63902</v>
      </c>
      <c r="W11658" t="s">
        <v>46590</v>
      </c>
      <c r="X11658" t="s">
        <v>47318</v>
      </c>
    </row>
    <row r="11659" spans="1:24">
      <c r="A11659">
        <f>HYPERLINK("https://www.philgeps.gov.ph/GEPSNONPILOT/Tender/SplashBidNoticeAbstractUI.aspx?menuIndex=3&amp;refID=7177443&amp;Result=3","7177443")</f>
        <v>0</v>
      </c>
      <c r="B11659" t="s">
        <v>3344</v>
      </c>
      <c r="C11659" t="s">
        <v>14872</v>
      </c>
      <c r="D11659" t="s">
        <v>19008</v>
      </c>
      <c r="E11659" t="s">
        <v>29021</v>
      </c>
      <c r="F11659" t="s">
        <v>32606</v>
      </c>
      <c r="G11659" t="s">
        <v>32614</v>
      </c>
      <c r="H11659" t="s">
        <v>14201</v>
      </c>
      <c r="I11659" t="s">
        <v>32638</v>
      </c>
      <c r="J11659" t="s">
        <v>40006</v>
      </c>
      <c r="K11659" t="s">
        <v>42627</v>
      </c>
      <c r="M11659" t="s">
        <v>46591</v>
      </c>
      <c r="N11659" t="s">
        <v>47304</v>
      </c>
      <c r="O11659" t="s">
        <v>47305</v>
      </c>
      <c r="Q11659">
        <v>7</v>
      </c>
      <c r="R11659" t="s">
        <v>47317</v>
      </c>
      <c r="S11659" t="s">
        <v>47719</v>
      </c>
      <c r="T11659" t="s">
        <v>49062</v>
      </c>
      <c r="U11659" t="s">
        <v>59156</v>
      </c>
      <c r="V11659" t="s">
        <v>63903</v>
      </c>
      <c r="W11659" t="s">
        <v>46591</v>
      </c>
      <c r="X11659" t="s">
        <v>47318</v>
      </c>
    </row>
    <row r="11660" spans="1:24">
      <c r="A11660">
        <f>HYPERLINK("https://www.philgeps.gov.ph/GEPSNONPILOT/Tender/SplashBidNoticeAbstractUI.aspx?menuIndex=3&amp;refID=7177121&amp;Result=3","7177121")</f>
        <v>0</v>
      </c>
      <c r="B11660" t="s">
        <v>2508</v>
      </c>
      <c r="C11660" t="s">
        <v>14873</v>
      </c>
      <c r="D11660" t="s">
        <v>19050</v>
      </c>
      <c r="E11660" t="s">
        <v>29022</v>
      </c>
      <c r="F11660" t="s">
        <v>32606</v>
      </c>
      <c r="G11660" t="s">
        <v>32613</v>
      </c>
      <c r="H11660" t="s">
        <v>32623</v>
      </c>
      <c r="I11660" t="s">
        <v>17648</v>
      </c>
      <c r="J11660" t="s">
        <v>40007</v>
      </c>
      <c r="K11660" t="s">
        <v>42622</v>
      </c>
      <c r="M11660" t="s">
        <v>45648</v>
      </c>
      <c r="N11660" t="s">
        <v>47304</v>
      </c>
      <c r="O11660" t="s">
        <v>47305</v>
      </c>
      <c r="P11660">
        <v>0</v>
      </c>
      <c r="Q11660">
        <v>0</v>
      </c>
      <c r="R11660" t="s">
        <v>47317</v>
      </c>
      <c r="S11660" t="s">
        <v>47712</v>
      </c>
      <c r="T11660" t="s">
        <v>49107</v>
      </c>
      <c r="U11660" t="s">
        <v>59157</v>
      </c>
      <c r="V11660" t="s">
        <v>63904</v>
      </c>
      <c r="W11660" t="s">
        <v>45648</v>
      </c>
      <c r="X11660" t="s">
        <v>47319</v>
      </c>
    </row>
    <row r="11661" spans="1:24">
      <c r="A11661">
        <f>HYPERLINK("https://www.philgeps.gov.ph/GEPSNONPILOT/Tender/SplashBidNoticeAbstractUI.aspx?menuIndex=3&amp;refID=7176899&amp;Result=3","7176899")</f>
        <v>0</v>
      </c>
      <c r="B11661" t="s">
        <v>3345</v>
      </c>
      <c r="C11661" t="s">
        <v>14874</v>
      </c>
      <c r="D11661" t="s">
        <v>19011</v>
      </c>
      <c r="E11661" t="s">
        <v>14874</v>
      </c>
      <c r="F11661" t="s">
        <v>32606</v>
      </c>
      <c r="G11661" t="s">
        <v>32613</v>
      </c>
      <c r="H11661" t="s">
        <v>14201</v>
      </c>
      <c r="I11661" t="s">
        <v>4120</v>
      </c>
      <c r="J11661" t="s">
        <v>32789</v>
      </c>
      <c r="K11661" t="s">
        <v>42623</v>
      </c>
      <c r="M11661" t="s">
        <v>46592</v>
      </c>
      <c r="N11661" t="s">
        <v>47304</v>
      </c>
      <c r="O11661" t="s">
        <v>47305</v>
      </c>
      <c r="P11661">
        <v>0</v>
      </c>
      <c r="Q11661">
        <v>2</v>
      </c>
      <c r="R11661" t="s">
        <v>47317</v>
      </c>
      <c r="S11661" t="s">
        <v>47712</v>
      </c>
      <c r="T11661" t="s">
        <v>49287</v>
      </c>
      <c r="U11661" t="s">
        <v>59158</v>
      </c>
      <c r="W11661" t="s">
        <v>46592</v>
      </c>
      <c r="X11661" t="s">
        <v>47319</v>
      </c>
    </row>
    <row r="11662" spans="1:24">
      <c r="A11662">
        <f>HYPERLINK("https://www.philgeps.gov.ph/GEPSNONPILOT/Tender/SplashBidNoticeAbstractUI.aspx?menuIndex=3&amp;refID=7177529&amp;Result=3","7177529")</f>
        <v>0</v>
      </c>
      <c r="B11662" t="s">
        <v>2398</v>
      </c>
      <c r="C11662" t="s">
        <v>14875</v>
      </c>
      <c r="D11662" t="s">
        <v>19027</v>
      </c>
      <c r="E11662" t="s">
        <v>29023</v>
      </c>
      <c r="F11662" t="s">
        <v>32606</v>
      </c>
      <c r="G11662" t="s">
        <v>32613</v>
      </c>
      <c r="H11662" t="s">
        <v>14201</v>
      </c>
      <c r="I11662" t="s">
        <v>32711</v>
      </c>
      <c r="J11662" t="s">
        <v>33994</v>
      </c>
      <c r="K11662" t="s">
        <v>42623</v>
      </c>
      <c r="M11662" t="s">
        <v>45520</v>
      </c>
      <c r="N11662" t="s">
        <v>47304</v>
      </c>
      <c r="O11662" t="s">
        <v>47305</v>
      </c>
      <c r="P11662">
        <v>0</v>
      </c>
      <c r="Q11662">
        <v>2</v>
      </c>
      <c r="R11662" t="s">
        <v>47317</v>
      </c>
      <c r="S11662" t="s">
        <v>47712</v>
      </c>
      <c r="T11662" t="s">
        <v>49068</v>
      </c>
      <c r="U11662" t="s">
        <v>59159</v>
      </c>
      <c r="W11662" t="s">
        <v>45520</v>
      </c>
      <c r="X11662" t="s">
        <v>47318</v>
      </c>
    </row>
    <row r="11663" spans="1:24">
      <c r="A11663">
        <f>HYPERLINK("https://www.philgeps.gov.ph/GEPSNONPILOT/Tender/SplashBidNoticeAbstractUI.aspx?menuIndex=3&amp;refID=7177699&amp;Result=3","7177699")</f>
        <v>0</v>
      </c>
      <c r="B11663" t="s">
        <v>3346</v>
      </c>
      <c r="C11663" t="s">
        <v>14876</v>
      </c>
      <c r="D11663" t="s">
        <v>19000</v>
      </c>
      <c r="E11663" t="s">
        <v>19314</v>
      </c>
      <c r="F11663" t="s">
        <v>32606</v>
      </c>
      <c r="G11663" t="s">
        <v>32613</v>
      </c>
      <c r="H11663" t="s">
        <v>32623</v>
      </c>
      <c r="I11663" t="s">
        <v>17648</v>
      </c>
      <c r="J11663" t="s">
        <v>40008</v>
      </c>
      <c r="K11663" t="s">
        <v>42648</v>
      </c>
      <c r="M11663" t="s">
        <v>46593</v>
      </c>
      <c r="N11663" t="s">
        <v>47304</v>
      </c>
      <c r="O11663" t="s">
        <v>47305</v>
      </c>
      <c r="P11663">
        <v>0</v>
      </c>
      <c r="Q11663">
        <v>1</v>
      </c>
      <c r="R11663" t="s">
        <v>47317</v>
      </c>
      <c r="S11663" t="s">
        <v>47712</v>
      </c>
      <c r="T11663" t="s">
        <v>49099</v>
      </c>
      <c r="U11663" t="s">
        <v>59160</v>
      </c>
      <c r="W11663" t="s">
        <v>46593</v>
      </c>
      <c r="X11663" t="s">
        <v>47318</v>
      </c>
    </row>
    <row r="11664" spans="1:24">
      <c r="A11664">
        <f>HYPERLINK("https://www.philgeps.gov.ph/GEPSNONPILOT/Tender/SplashBidNoticeAbstractUI.aspx?menuIndex=3&amp;refID=7176808&amp;Result=3","7176808")</f>
        <v>0</v>
      </c>
      <c r="B11664" t="s">
        <v>444</v>
      </c>
      <c r="C11664" t="s">
        <v>14877</v>
      </c>
      <c r="D11664" t="s">
        <v>19006</v>
      </c>
      <c r="E11664" t="s">
        <v>29024</v>
      </c>
      <c r="F11664" t="s">
        <v>32606</v>
      </c>
      <c r="G11664" t="s">
        <v>32613</v>
      </c>
      <c r="H11664" t="s">
        <v>32623</v>
      </c>
      <c r="I11664" t="s">
        <v>17648</v>
      </c>
      <c r="J11664" t="s">
        <v>32759</v>
      </c>
      <c r="K11664" t="s">
        <v>42624</v>
      </c>
      <c r="M11664" t="s">
        <v>46580</v>
      </c>
      <c r="N11664" t="s">
        <v>47304</v>
      </c>
      <c r="O11664" t="s">
        <v>47305</v>
      </c>
      <c r="P11664">
        <v>0</v>
      </c>
      <c r="Q11664">
        <v>9</v>
      </c>
      <c r="R11664" t="s">
        <v>47317</v>
      </c>
      <c r="S11664" t="s">
        <v>47712</v>
      </c>
      <c r="T11664" t="s">
        <v>49234</v>
      </c>
      <c r="U11664" t="s">
        <v>59161</v>
      </c>
      <c r="W11664" t="s">
        <v>46860</v>
      </c>
      <c r="X11664" t="s">
        <v>47319</v>
      </c>
    </row>
    <row r="11665" spans="1:24">
      <c r="A11665">
        <f>HYPERLINK("https://www.philgeps.gov.ph/GEPSNONPILOT/Tender/SplashBidNoticeAbstractUI.aspx?menuIndex=3&amp;refID=7177813&amp;Result=3","7177813")</f>
        <v>0</v>
      </c>
      <c r="B11665" t="s">
        <v>3346</v>
      </c>
      <c r="C11665" t="s">
        <v>14878</v>
      </c>
      <c r="D11665" t="s">
        <v>19000</v>
      </c>
      <c r="E11665" t="s">
        <v>19318</v>
      </c>
      <c r="F11665" t="s">
        <v>32606</v>
      </c>
      <c r="G11665" t="s">
        <v>32613</v>
      </c>
      <c r="H11665" t="s">
        <v>32623</v>
      </c>
      <c r="I11665" t="s">
        <v>17648</v>
      </c>
      <c r="J11665" t="s">
        <v>32795</v>
      </c>
      <c r="K11665" t="s">
        <v>42645</v>
      </c>
      <c r="M11665" t="s">
        <v>46593</v>
      </c>
      <c r="N11665" t="s">
        <v>47304</v>
      </c>
      <c r="O11665" t="s">
        <v>47305</v>
      </c>
      <c r="P11665">
        <v>0</v>
      </c>
      <c r="Q11665">
        <v>1</v>
      </c>
      <c r="R11665" t="s">
        <v>47317</v>
      </c>
      <c r="S11665" t="s">
        <v>47712</v>
      </c>
      <c r="T11665" t="s">
        <v>49099</v>
      </c>
      <c r="U11665" t="s">
        <v>59162</v>
      </c>
      <c r="W11665" t="s">
        <v>46593</v>
      </c>
      <c r="X11665" t="s">
        <v>47318</v>
      </c>
    </row>
    <row r="11666" spans="1:24">
      <c r="A11666">
        <f>HYPERLINK("https://www.philgeps.gov.ph/GEPSNONPILOT/Tender/SplashBidNoticeAbstractUI.aspx?menuIndex=3&amp;refID=7180586&amp;Result=3","7180586")</f>
        <v>0</v>
      </c>
      <c r="B11666" t="s">
        <v>2842</v>
      </c>
      <c r="C11666" t="s">
        <v>14879</v>
      </c>
      <c r="D11666" t="s">
        <v>19003</v>
      </c>
      <c r="E11666" t="s">
        <v>29025</v>
      </c>
      <c r="F11666" t="s">
        <v>32606</v>
      </c>
      <c r="G11666" t="s">
        <v>32613</v>
      </c>
      <c r="H11666" t="s">
        <v>14201</v>
      </c>
      <c r="I11666" t="s">
        <v>32661</v>
      </c>
      <c r="J11666" t="s">
        <v>32778</v>
      </c>
      <c r="K11666" t="s">
        <v>42636</v>
      </c>
      <c r="M11666" t="s">
        <v>46009</v>
      </c>
      <c r="N11666" t="s">
        <v>47304</v>
      </c>
      <c r="O11666" t="s">
        <v>47305</v>
      </c>
      <c r="Q11666">
        <v>3</v>
      </c>
      <c r="R11666" t="s">
        <v>47315</v>
      </c>
      <c r="S11666" t="s">
        <v>47720</v>
      </c>
      <c r="T11666" t="s">
        <v>49101</v>
      </c>
      <c r="U11666" t="s">
        <v>59163</v>
      </c>
      <c r="V11666" t="s">
        <v>63608</v>
      </c>
      <c r="W11666" t="s">
        <v>46009</v>
      </c>
      <c r="X11666" t="s">
        <v>47316</v>
      </c>
    </row>
    <row r="11667" spans="1:24">
      <c r="A11667">
        <f>HYPERLINK("https://www.philgeps.gov.ph/GEPSNONPILOT/Tender/SplashBidNoticeAbstractUI.aspx?menuIndex=3&amp;refID=7177758&amp;Result=3","7177758")</f>
        <v>0</v>
      </c>
      <c r="B11667" t="s">
        <v>3346</v>
      </c>
      <c r="C11667" t="s">
        <v>14880</v>
      </c>
      <c r="D11667" t="s">
        <v>19000</v>
      </c>
      <c r="E11667" t="s">
        <v>19313</v>
      </c>
      <c r="F11667" t="s">
        <v>32606</v>
      </c>
      <c r="G11667" t="s">
        <v>32613</v>
      </c>
      <c r="H11667" t="s">
        <v>32623</v>
      </c>
      <c r="I11667" t="s">
        <v>17648</v>
      </c>
      <c r="J11667" t="s">
        <v>32795</v>
      </c>
      <c r="K11667" t="s">
        <v>42645</v>
      </c>
      <c r="M11667" t="s">
        <v>46593</v>
      </c>
      <c r="N11667" t="s">
        <v>47304</v>
      </c>
      <c r="O11667" t="s">
        <v>47305</v>
      </c>
      <c r="P11667">
        <v>0</v>
      </c>
      <c r="Q11667">
        <v>1</v>
      </c>
      <c r="R11667" t="s">
        <v>47317</v>
      </c>
      <c r="S11667" t="s">
        <v>47712</v>
      </c>
      <c r="T11667" t="s">
        <v>49099</v>
      </c>
      <c r="U11667" t="s">
        <v>59164</v>
      </c>
      <c r="W11667" t="s">
        <v>46593</v>
      </c>
      <c r="X11667" t="s">
        <v>47318</v>
      </c>
    </row>
    <row r="11668" spans="1:24">
      <c r="A11668">
        <f>HYPERLINK("https://www.philgeps.gov.ph/GEPSNONPILOT/Tender/SplashBidNoticeAbstractUI.aspx?menuIndex=3&amp;refID=7177756&amp;Result=3","7177756")</f>
        <v>0</v>
      </c>
      <c r="B11668" t="s">
        <v>1402</v>
      </c>
      <c r="C11668" t="s">
        <v>14881</v>
      </c>
      <c r="D11668" t="s">
        <v>18992</v>
      </c>
      <c r="E11668" t="s">
        <v>29026</v>
      </c>
      <c r="F11668" t="s">
        <v>32606</v>
      </c>
      <c r="G11668" t="s">
        <v>32613</v>
      </c>
      <c r="H11668" t="s">
        <v>14201</v>
      </c>
      <c r="I11668" t="s">
        <v>6007</v>
      </c>
      <c r="J11668" t="s">
        <v>40009</v>
      </c>
      <c r="K11668" t="s">
        <v>42624</v>
      </c>
      <c r="M11668" t="s">
        <v>45733</v>
      </c>
      <c r="N11668" t="s">
        <v>47304</v>
      </c>
      <c r="O11668" t="s">
        <v>47305</v>
      </c>
      <c r="P11668">
        <v>0</v>
      </c>
      <c r="Q11668">
        <v>0</v>
      </c>
      <c r="R11668" t="s">
        <v>47317</v>
      </c>
      <c r="S11668" t="s">
        <v>47712</v>
      </c>
      <c r="T11668" t="s">
        <v>48994</v>
      </c>
      <c r="U11668" t="s">
        <v>59165</v>
      </c>
      <c r="W11668" t="s">
        <v>45733</v>
      </c>
      <c r="X11668" t="s">
        <v>47318</v>
      </c>
    </row>
    <row r="11669" spans="1:24">
      <c r="A11669">
        <f>HYPERLINK("https://www.philgeps.gov.ph/GEPSNONPILOT/Tender/SplashBidNoticeAbstractUI.aspx?menuIndex=3&amp;refID=7177671&amp;Result=3","7177671")</f>
        <v>0</v>
      </c>
      <c r="B11669" t="s">
        <v>1402</v>
      </c>
      <c r="C11669" t="s">
        <v>14882</v>
      </c>
      <c r="D11669" t="s">
        <v>18992</v>
      </c>
      <c r="E11669" t="s">
        <v>29027</v>
      </c>
      <c r="F11669" t="s">
        <v>32606</v>
      </c>
      <c r="G11669" t="s">
        <v>32613</v>
      </c>
      <c r="H11669" t="s">
        <v>14201</v>
      </c>
      <c r="I11669" t="s">
        <v>6007</v>
      </c>
      <c r="J11669" t="s">
        <v>40010</v>
      </c>
      <c r="K11669" t="s">
        <v>42624</v>
      </c>
      <c r="M11669" t="s">
        <v>45733</v>
      </c>
      <c r="N11669" t="s">
        <v>47304</v>
      </c>
      <c r="O11669" t="s">
        <v>47305</v>
      </c>
      <c r="P11669">
        <v>0</v>
      </c>
      <c r="Q11669">
        <v>0</v>
      </c>
      <c r="R11669" t="s">
        <v>47317</v>
      </c>
      <c r="S11669" t="s">
        <v>47712</v>
      </c>
      <c r="T11669" t="s">
        <v>49347</v>
      </c>
      <c r="U11669" t="s">
        <v>59166</v>
      </c>
      <c r="W11669" t="s">
        <v>45733</v>
      </c>
      <c r="X11669" t="s">
        <v>47318</v>
      </c>
    </row>
    <row r="11670" spans="1:24">
      <c r="A11670">
        <f>HYPERLINK("https://www.philgeps.gov.ph/GEPSNONPILOT/Tender/SplashBidNoticeAbstractUI.aspx?menuIndex=3&amp;refID=7177844&amp;Result=3","7177844")</f>
        <v>0</v>
      </c>
      <c r="B11670" t="s">
        <v>3338</v>
      </c>
      <c r="C11670" t="s">
        <v>14883</v>
      </c>
      <c r="D11670" t="s">
        <v>19010</v>
      </c>
      <c r="E11670" t="s">
        <v>24883</v>
      </c>
      <c r="F11670" t="s">
        <v>32606</v>
      </c>
      <c r="G11670" t="s">
        <v>32613</v>
      </c>
      <c r="H11670" t="s">
        <v>14201</v>
      </c>
      <c r="I11670" t="s">
        <v>32640</v>
      </c>
      <c r="J11670" t="s">
        <v>40011</v>
      </c>
      <c r="K11670" t="s">
        <v>42623</v>
      </c>
      <c r="M11670" t="s">
        <v>46584</v>
      </c>
      <c r="N11670" t="s">
        <v>47304</v>
      </c>
      <c r="O11670" t="s">
        <v>47305</v>
      </c>
      <c r="P11670">
        <v>0</v>
      </c>
      <c r="Q11670">
        <v>4</v>
      </c>
      <c r="R11670" t="s">
        <v>47317</v>
      </c>
      <c r="S11670" t="s">
        <v>47712</v>
      </c>
      <c r="T11670" t="s">
        <v>49065</v>
      </c>
      <c r="U11670" t="s">
        <v>59167</v>
      </c>
      <c r="W11670" t="s">
        <v>46584</v>
      </c>
      <c r="X11670" t="s">
        <v>47318</v>
      </c>
    </row>
    <row r="11671" spans="1:24">
      <c r="A11671">
        <f>HYPERLINK("https://www.philgeps.gov.ph/GEPSNONPILOT/Tender/SplashBidNoticeAbstractUI.aspx?menuIndex=3&amp;refID=7177802&amp;Result=3","7177802")</f>
        <v>0</v>
      </c>
      <c r="B11671" t="s">
        <v>444</v>
      </c>
      <c r="C11671" t="s">
        <v>14884</v>
      </c>
      <c r="D11671" t="s">
        <v>19006</v>
      </c>
      <c r="E11671" t="s">
        <v>29028</v>
      </c>
      <c r="F11671" t="s">
        <v>32606</v>
      </c>
      <c r="G11671" t="s">
        <v>32613</v>
      </c>
      <c r="H11671" t="s">
        <v>32623</v>
      </c>
      <c r="I11671" t="s">
        <v>17648</v>
      </c>
      <c r="J11671" t="s">
        <v>39660</v>
      </c>
      <c r="K11671" t="s">
        <v>42648</v>
      </c>
      <c r="M11671" t="s">
        <v>46580</v>
      </c>
      <c r="N11671" t="s">
        <v>47304</v>
      </c>
      <c r="O11671" t="s">
        <v>47305</v>
      </c>
      <c r="P11671">
        <v>0</v>
      </c>
      <c r="Q11671">
        <v>8</v>
      </c>
      <c r="R11671" t="s">
        <v>47317</v>
      </c>
      <c r="S11671" t="s">
        <v>47712</v>
      </c>
      <c r="T11671" t="s">
        <v>49234</v>
      </c>
      <c r="U11671" t="s">
        <v>59168</v>
      </c>
      <c r="W11671" t="s">
        <v>46860</v>
      </c>
      <c r="X11671" t="s">
        <v>47318</v>
      </c>
    </row>
    <row r="11672" spans="1:24">
      <c r="A11672">
        <f>HYPERLINK("https://www.philgeps.gov.ph/GEPSNONPILOT/Tender/SplashBidNoticeAbstractUI.aspx?menuIndex=3&amp;refID=7177667&amp;Result=3","7177667")</f>
        <v>0</v>
      </c>
      <c r="B11672" t="s">
        <v>1018</v>
      </c>
      <c r="C11672" t="s">
        <v>14885</v>
      </c>
      <c r="D11672" t="s">
        <v>19019</v>
      </c>
      <c r="E11672" t="s">
        <v>29029</v>
      </c>
      <c r="F11672" t="s">
        <v>32606</v>
      </c>
      <c r="G11672" t="s">
        <v>32613</v>
      </c>
      <c r="H11672" t="s">
        <v>14201</v>
      </c>
      <c r="I11672" t="s">
        <v>17648</v>
      </c>
      <c r="J11672" t="s">
        <v>40012</v>
      </c>
      <c r="K11672" t="s">
        <v>42715</v>
      </c>
      <c r="M11672" t="s">
        <v>43968</v>
      </c>
      <c r="N11672" t="s">
        <v>47304</v>
      </c>
      <c r="O11672" t="s">
        <v>47305</v>
      </c>
      <c r="P11672">
        <v>0</v>
      </c>
      <c r="Q11672">
        <v>0</v>
      </c>
      <c r="R11672" t="s">
        <v>47317</v>
      </c>
      <c r="S11672" t="s">
        <v>47712</v>
      </c>
      <c r="T11672" t="s">
        <v>49052</v>
      </c>
      <c r="U11672" t="s">
        <v>59169</v>
      </c>
      <c r="W11672" t="s">
        <v>43968</v>
      </c>
      <c r="X11672" t="s">
        <v>47318</v>
      </c>
    </row>
    <row r="11673" spans="1:24">
      <c r="A11673">
        <f>HYPERLINK("https://www.philgeps.gov.ph/GEPSNONPILOT/Tender/SplashBidNoticeAbstractUI.aspx?menuIndex=3&amp;refID=7177635&amp;Result=3","7177635")</f>
        <v>0</v>
      </c>
      <c r="B11673" t="s">
        <v>3346</v>
      </c>
      <c r="C11673" t="s">
        <v>14886</v>
      </c>
      <c r="D11673" t="s">
        <v>19000</v>
      </c>
      <c r="E11673" t="s">
        <v>20525</v>
      </c>
      <c r="F11673" t="s">
        <v>32606</v>
      </c>
      <c r="G11673" t="s">
        <v>32613</v>
      </c>
      <c r="H11673" t="s">
        <v>32623</v>
      </c>
      <c r="I11673" t="s">
        <v>17648</v>
      </c>
      <c r="J11673" t="s">
        <v>32795</v>
      </c>
      <c r="K11673" t="s">
        <v>42645</v>
      </c>
      <c r="M11673" t="s">
        <v>46593</v>
      </c>
      <c r="N11673" t="s">
        <v>47304</v>
      </c>
      <c r="O11673" t="s">
        <v>47305</v>
      </c>
      <c r="P11673">
        <v>0</v>
      </c>
      <c r="Q11673">
        <v>1</v>
      </c>
      <c r="R11673" t="s">
        <v>47317</v>
      </c>
      <c r="S11673" t="s">
        <v>47712</v>
      </c>
      <c r="T11673" t="s">
        <v>49099</v>
      </c>
      <c r="U11673" t="s">
        <v>59170</v>
      </c>
      <c r="W11673" t="s">
        <v>46593</v>
      </c>
      <c r="X11673" t="s">
        <v>47318</v>
      </c>
    </row>
    <row r="11674" spans="1:24">
      <c r="A11674">
        <f>HYPERLINK("https://www.philgeps.gov.ph/GEPSNONPILOT/Tender/SplashBidNoticeAbstractUI.aspx?menuIndex=3&amp;refID=7177621&amp;Result=3","7177621")</f>
        <v>0</v>
      </c>
      <c r="B11674" t="s">
        <v>3347</v>
      </c>
      <c r="C11674" t="s">
        <v>14887</v>
      </c>
      <c r="D11674" t="s">
        <v>19024</v>
      </c>
      <c r="E11674" t="s">
        <v>19522</v>
      </c>
      <c r="F11674" t="s">
        <v>32606</v>
      </c>
      <c r="G11674" t="s">
        <v>32615</v>
      </c>
      <c r="H11674" t="s">
        <v>14201</v>
      </c>
      <c r="I11674" t="s">
        <v>6931</v>
      </c>
      <c r="J11674" t="s">
        <v>32981</v>
      </c>
      <c r="K11674" t="s">
        <v>42631</v>
      </c>
      <c r="M11674" t="s">
        <v>46594</v>
      </c>
      <c r="N11674" t="s">
        <v>47304</v>
      </c>
      <c r="O11674" t="s">
        <v>47305</v>
      </c>
      <c r="P11674">
        <v>0</v>
      </c>
      <c r="Q11674">
        <v>0</v>
      </c>
      <c r="R11674" t="s">
        <v>47317</v>
      </c>
      <c r="S11674" t="s">
        <v>47712</v>
      </c>
      <c r="T11674" t="s">
        <v>49004</v>
      </c>
      <c r="U11674" t="s">
        <v>59171</v>
      </c>
      <c r="W11674" t="s">
        <v>46594</v>
      </c>
      <c r="X11674" t="s">
        <v>47318</v>
      </c>
    </row>
    <row r="11675" spans="1:24">
      <c r="A11675">
        <f>HYPERLINK("https://www.philgeps.gov.ph/GEPSNONPILOT/Tender/SplashBidNoticeAbstractUI.aspx?menuIndex=3&amp;refID=7177586&amp;Result=3","7177586")</f>
        <v>0</v>
      </c>
      <c r="B11675" t="s">
        <v>3337</v>
      </c>
      <c r="C11675" t="s">
        <v>14888</v>
      </c>
      <c r="D11675" t="s">
        <v>19039</v>
      </c>
      <c r="E11675" t="s">
        <v>29030</v>
      </c>
      <c r="F11675" t="s">
        <v>32606</v>
      </c>
      <c r="G11675" t="s">
        <v>32613</v>
      </c>
      <c r="H11675" t="s">
        <v>32623</v>
      </c>
      <c r="I11675" t="s">
        <v>17648</v>
      </c>
      <c r="J11675" t="s">
        <v>33039</v>
      </c>
      <c r="K11675" t="s">
        <v>42646</v>
      </c>
      <c r="M11675" t="s">
        <v>46583</v>
      </c>
      <c r="N11675" t="s">
        <v>47304</v>
      </c>
      <c r="O11675" t="s">
        <v>47305</v>
      </c>
      <c r="P11675">
        <v>0</v>
      </c>
      <c r="Q11675">
        <v>7</v>
      </c>
      <c r="R11675" t="s">
        <v>47317</v>
      </c>
      <c r="S11675" t="s">
        <v>47712</v>
      </c>
      <c r="T11675" t="s">
        <v>49084</v>
      </c>
      <c r="U11675" t="s">
        <v>59172</v>
      </c>
      <c r="V11675" t="s">
        <v>63898</v>
      </c>
      <c r="W11675" t="s">
        <v>46583</v>
      </c>
      <c r="X11675" t="s">
        <v>47318</v>
      </c>
    </row>
    <row r="11676" spans="1:24">
      <c r="A11676">
        <f>HYPERLINK("https://www.philgeps.gov.ph/GEPSNONPILOT/Tender/SplashBidNoticeAbstractUI.aspx?menuIndex=3&amp;refID=7178001&amp;Result=3","7178001")</f>
        <v>0</v>
      </c>
      <c r="B11676" t="s">
        <v>3346</v>
      </c>
      <c r="C11676" t="s">
        <v>14889</v>
      </c>
      <c r="D11676" t="s">
        <v>19000</v>
      </c>
      <c r="E11676" t="s">
        <v>19120</v>
      </c>
      <c r="F11676" t="s">
        <v>32606</v>
      </c>
      <c r="G11676" t="s">
        <v>32613</v>
      </c>
      <c r="H11676" t="s">
        <v>32623</v>
      </c>
      <c r="I11676" t="s">
        <v>17648</v>
      </c>
      <c r="J11676" t="s">
        <v>32795</v>
      </c>
      <c r="K11676" t="s">
        <v>42645</v>
      </c>
      <c r="M11676" t="s">
        <v>46593</v>
      </c>
      <c r="N11676" t="s">
        <v>47304</v>
      </c>
      <c r="O11676" t="s">
        <v>47305</v>
      </c>
      <c r="P11676">
        <v>0</v>
      </c>
      <c r="Q11676">
        <v>2</v>
      </c>
      <c r="R11676" t="s">
        <v>47317</v>
      </c>
      <c r="S11676" t="s">
        <v>47712</v>
      </c>
      <c r="T11676" t="s">
        <v>49099</v>
      </c>
      <c r="U11676" t="s">
        <v>59173</v>
      </c>
      <c r="W11676" t="s">
        <v>46593</v>
      </c>
      <c r="X11676" t="s">
        <v>47318</v>
      </c>
    </row>
    <row r="11677" spans="1:24">
      <c r="A11677">
        <f>HYPERLINK("https://www.philgeps.gov.ph/GEPSNONPILOT/Tender/SplashBidNoticeAbstractUI.aspx?menuIndex=3&amp;refID=7177836&amp;Result=3","7177836")</f>
        <v>0</v>
      </c>
      <c r="B11677" t="s">
        <v>188</v>
      </c>
      <c r="C11677" t="s">
        <v>14890</v>
      </c>
      <c r="D11677" t="s">
        <v>19043</v>
      </c>
      <c r="E11677" t="s">
        <v>29031</v>
      </c>
      <c r="F11677" t="s">
        <v>32606</v>
      </c>
      <c r="G11677" t="s">
        <v>32613</v>
      </c>
      <c r="H11677" t="s">
        <v>14201</v>
      </c>
      <c r="I11677" t="s">
        <v>32629</v>
      </c>
      <c r="J11677" t="s">
        <v>40013</v>
      </c>
      <c r="K11677" t="s">
        <v>42624</v>
      </c>
      <c r="M11677" t="s">
        <v>43089</v>
      </c>
      <c r="N11677" t="s">
        <v>47304</v>
      </c>
      <c r="O11677" t="s">
        <v>47305</v>
      </c>
      <c r="P11677">
        <v>0</v>
      </c>
      <c r="Q11677">
        <v>0</v>
      </c>
      <c r="R11677" t="s">
        <v>47317</v>
      </c>
      <c r="S11677" t="s">
        <v>47712</v>
      </c>
      <c r="T11677" t="s">
        <v>49068</v>
      </c>
      <c r="U11677" t="s">
        <v>59174</v>
      </c>
      <c r="W11677" t="s">
        <v>43089</v>
      </c>
      <c r="X11677" t="s">
        <v>47318</v>
      </c>
    </row>
    <row r="11678" spans="1:24">
      <c r="A11678">
        <f>HYPERLINK("https://www.philgeps.gov.ph/GEPSNONPILOT/Tender/SplashBidNoticeAbstractUI.aspx?menuIndex=3&amp;refID=7177663&amp;Result=3","7177663")</f>
        <v>0</v>
      </c>
      <c r="B11678" t="s">
        <v>3348</v>
      </c>
      <c r="C11678" t="s">
        <v>14891</v>
      </c>
      <c r="D11678" t="s">
        <v>19063</v>
      </c>
      <c r="E11678" t="s">
        <v>29032</v>
      </c>
      <c r="F11678" t="s">
        <v>32606</v>
      </c>
      <c r="G11678" t="s">
        <v>32613</v>
      </c>
      <c r="H11678" t="s">
        <v>32623</v>
      </c>
      <c r="I11678" t="s">
        <v>17648</v>
      </c>
      <c r="J11678" t="s">
        <v>40014</v>
      </c>
      <c r="K11678" t="s">
        <v>42862</v>
      </c>
      <c r="M11678" t="s">
        <v>46595</v>
      </c>
      <c r="N11678" t="s">
        <v>47304</v>
      </c>
      <c r="O11678" t="s">
        <v>47305</v>
      </c>
      <c r="Q11678">
        <v>4</v>
      </c>
      <c r="R11678" t="s">
        <v>47317</v>
      </c>
      <c r="S11678" t="s">
        <v>47721</v>
      </c>
      <c r="T11678" t="s">
        <v>49149</v>
      </c>
      <c r="U11678" t="s">
        <v>59175</v>
      </c>
      <c r="W11678" t="s">
        <v>46595</v>
      </c>
      <c r="X11678" t="s">
        <v>47318</v>
      </c>
    </row>
    <row r="11679" spans="1:24">
      <c r="A11679">
        <f>HYPERLINK("https://www.philgeps.gov.ph/GEPSNONPILOT/Tender/SplashBidNoticeAbstractUI.aspx?menuIndex=3&amp;refID=7177685&amp;Result=3","7177685")</f>
        <v>0</v>
      </c>
      <c r="B11679" t="s">
        <v>3349</v>
      </c>
      <c r="C11679" t="s">
        <v>14892</v>
      </c>
      <c r="D11679" t="s">
        <v>19024</v>
      </c>
      <c r="E11679" t="s">
        <v>19561</v>
      </c>
      <c r="F11679" t="s">
        <v>32606</v>
      </c>
      <c r="G11679" t="s">
        <v>32613</v>
      </c>
      <c r="H11679" t="s">
        <v>14201</v>
      </c>
      <c r="I11679" t="s">
        <v>6298</v>
      </c>
      <c r="J11679" t="s">
        <v>32981</v>
      </c>
      <c r="K11679" t="s">
        <v>42631</v>
      </c>
      <c r="M11679" t="s">
        <v>46596</v>
      </c>
      <c r="N11679" t="s">
        <v>47304</v>
      </c>
      <c r="O11679" t="s">
        <v>47305</v>
      </c>
      <c r="P11679">
        <v>0</v>
      </c>
      <c r="Q11679">
        <v>2</v>
      </c>
      <c r="R11679" t="s">
        <v>47317</v>
      </c>
      <c r="S11679" t="s">
        <v>47712</v>
      </c>
      <c r="T11679" t="s">
        <v>49004</v>
      </c>
      <c r="U11679" t="s">
        <v>59176</v>
      </c>
      <c r="W11679" t="s">
        <v>46596</v>
      </c>
      <c r="X11679" t="s">
        <v>47318</v>
      </c>
    </row>
    <row r="11680" spans="1:24">
      <c r="A11680">
        <f>HYPERLINK("https://www.philgeps.gov.ph/GEPSNONPILOT/Tender/SplashBidNoticeAbstractUI.aspx?menuIndex=3&amp;refID=7178088&amp;Result=3","7178088")</f>
        <v>0</v>
      </c>
      <c r="B11680" t="s">
        <v>3350</v>
      </c>
      <c r="C11680" t="s">
        <v>14893</v>
      </c>
      <c r="D11680" t="s">
        <v>19036</v>
      </c>
      <c r="E11680" t="s">
        <v>29033</v>
      </c>
      <c r="F11680" t="s">
        <v>32606</v>
      </c>
      <c r="G11680" t="s">
        <v>32613</v>
      </c>
      <c r="H11680" t="s">
        <v>14201</v>
      </c>
      <c r="I11680" t="s">
        <v>4369</v>
      </c>
      <c r="J11680" t="s">
        <v>40015</v>
      </c>
      <c r="K11680" t="s">
        <v>42631</v>
      </c>
      <c r="M11680" t="s">
        <v>46597</v>
      </c>
      <c r="N11680" t="s">
        <v>47304</v>
      </c>
      <c r="O11680" t="s">
        <v>47305</v>
      </c>
      <c r="P11680">
        <v>0</v>
      </c>
      <c r="Q11680">
        <v>9</v>
      </c>
      <c r="R11680" t="s">
        <v>47317</v>
      </c>
      <c r="S11680" t="s">
        <v>47712</v>
      </c>
      <c r="T11680" t="s">
        <v>49140</v>
      </c>
      <c r="U11680" t="s">
        <v>59177</v>
      </c>
      <c r="W11680" t="s">
        <v>46597</v>
      </c>
      <c r="X11680" t="s">
        <v>47318</v>
      </c>
    </row>
    <row r="11681" spans="1:24">
      <c r="A11681">
        <f>HYPERLINK("https://www.philgeps.gov.ph/GEPSNONPILOT/Tender/SplashBidNoticeAbstractUI.aspx?menuIndex=3&amp;refID=7178094&amp;Result=3","7178094")</f>
        <v>0</v>
      </c>
      <c r="B11681" t="s">
        <v>3351</v>
      </c>
      <c r="C11681" t="s">
        <v>14894</v>
      </c>
      <c r="D11681" t="s">
        <v>19038</v>
      </c>
      <c r="E11681" t="s">
        <v>29034</v>
      </c>
      <c r="F11681" t="s">
        <v>32606</v>
      </c>
      <c r="G11681" t="s">
        <v>32613</v>
      </c>
      <c r="H11681" t="s">
        <v>14201</v>
      </c>
      <c r="I11681" t="s">
        <v>6931</v>
      </c>
      <c r="J11681" t="s">
        <v>40016</v>
      </c>
      <c r="K11681" t="s">
        <v>42623</v>
      </c>
      <c r="M11681" t="s">
        <v>46598</v>
      </c>
      <c r="N11681" t="s">
        <v>47304</v>
      </c>
      <c r="O11681" t="s">
        <v>47305</v>
      </c>
      <c r="P11681">
        <v>0</v>
      </c>
      <c r="Q11681">
        <v>0</v>
      </c>
      <c r="R11681" t="s">
        <v>47317</v>
      </c>
      <c r="S11681" t="s">
        <v>47712</v>
      </c>
      <c r="T11681" t="s">
        <v>49066</v>
      </c>
      <c r="U11681" t="s">
        <v>59178</v>
      </c>
      <c r="V11681" t="s">
        <v>63905</v>
      </c>
      <c r="W11681" t="s">
        <v>46598</v>
      </c>
      <c r="X11681" t="s">
        <v>47318</v>
      </c>
    </row>
    <row r="11682" spans="1:24">
      <c r="A11682">
        <f>HYPERLINK("https://www.philgeps.gov.ph/GEPSNONPILOT/Tender/SplashBidNoticeAbstractUI.aspx?menuIndex=3&amp;refID=7178084&amp;Result=3","7178084")</f>
        <v>0</v>
      </c>
      <c r="B11682" t="s">
        <v>790</v>
      </c>
      <c r="C11682" t="s">
        <v>14895</v>
      </c>
      <c r="D11682" t="s">
        <v>19013</v>
      </c>
      <c r="E11682" t="s">
        <v>29035</v>
      </c>
      <c r="F11682" t="s">
        <v>32606</v>
      </c>
      <c r="G11682" t="s">
        <v>32613</v>
      </c>
      <c r="H11682" t="s">
        <v>14201</v>
      </c>
      <c r="I11682" t="s">
        <v>4114</v>
      </c>
      <c r="J11682" t="s">
        <v>40017</v>
      </c>
      <c r="K11682" t="s">
        <v>42623</v>
      </c>
      <c r="M11682" t="s">
        <v>45715</v>
      </c>
      <c r="N11682" t="s">
        <v>47304</v>
      </c>
      <c r="O11682" t="s">
        <v>47305</v>
      </c>
      <c r="Q11682">
        <v>8</v>
      </c>
      <c r="R11682" t="s">
        <v>47317</v>
      </c>
      <c r="S11682" t="s">
        <v>47722</v>
      </c>
      <c r="T11682" t="s">
        <v>49066</v>
      </c>
      <c r="U11682" t="s">
        <v>59179</v>
      </c>
      <c r="W11682" t="s">
        <v>45715</v>
      </c>
      <c r="X11682" t="s">
        <v>47318</v>
      </c>
    </row>
    <row r="11683" spans="1:24">
      <c r="A11683">
        <f>HYPERLINK("https://www.philgeps.gov.ph/GEPSNONPILOT/Tender/SplashBidNoticeAbstractUI.aspx?menuIndex=3&amp;refID=7177860&amp;Result=3","7177860")</f>
        <v>0</v>
      </c>
      <c r="B11683" t="s">
        <v>3346</v>
      </c>
      <c r="C11683" t="s">
        <v>14896</v>
      </c>
      <c r="D11683" t="s">
        <v>19000</v>
      </c>
      <c r="E11683" t="s">
        <v>19317</v>
      </c>
      <c r="F11683" t="s">
        <v>32606</v>
      </c>
      <c r="G11683" t="s">
        <v>32613</v>
      </c>
      <c r="H11683" t="s">
        <v>32623</v>
      </c>
      <c r="I11683" t="s">
        <v>17648</v>
      </c>
      <c r="J11683" t="s">
        <v>40018</v>
      </c>
      <c r="K11683" t="s">
        <v>42648</v>
      </c>
      <c r="M11683" t="s">
        <v>46593</v>
      </c>
      <c r="N11683" t="s">
        <v>47304</v>
      </c>
      <c r="O11683" t="s">
        <v>47305</v>
      </c>
      <c r="P11683">
        <v>0</v>
      </c>
      <c r="Q11683">
        <v>1</v>
      </c>
      <c r="R11683" t="s">
        <v>47317</v>
      </c>
      <c r="S11683" t="s">
        <v>47712</v>
      </c>
      <c r="T11683" t="s">
        <v>49099</v>
      </c>
      <c r="U11683" t="s">
        <v>59180</v>
      </c>
      <c r="W11683" t="s">
        <v>46593</v>
      </c>
      <c r="X11683" t="s">
        <v>47318</v>
      </c>
    </row>
    <row r="11684" spans="1:24">
      <c r="A11684">
        <f>HYPERLINK("https://www.philgeps.gov.ph/GEPSNONPILOT/Tender/SplashBidNoticeAbstractUI.aspx?menuIndex=3&amp;refID=7178062&amp;Result=3","7178062")</f>
        <v>0</v>
      </c>
      <c r="B11684" t="s">
        <v>3350</v>
      </c>
      <c r="C11684" t="s">
        <v>14897</v>
      </c>
      <c r="D11684" t="s">
        <v>19036</v>
      </c>
      <c r="E11684" t="s">
        <v>29036</v>
      </c>
      <c r="F11684" t="s">
        <v>32606</v>
      </c>
      <c r="G11684" t="s">
        <v>32613</v>
      </c>
      <c r="H11684" t="s">
        <v>14201</v>
      </c>
      <c r="I11684" t="s">
        <v>4369</v>
      </c>
      <c r="J11684" t="s">
        <v>40019</v>
      </c>
      <c r="K11684" t="s">
        <v>42631</v>
      </c>
      <c r="M11684" t="s">
        <v>46597</v>
      </c>
      <c r="N11684" t="s">
        <v>47304</v>
      </c>
      <c r="O11684" t="s">
        <v>47305</v>
      </c>
      <c r="P11684">
        <v>0</v>
      </c>
      <c r="Q11684">
        <v>10</v>
      </c>
      <c r="R11684" t="s">
        <v>47317</v>
      </c>
      <c r="S11684" t="s">
        <v>47712</v>
      </c>
      <c r="T11684" t="s">
        <v>49037</v>
      </c>
      <c r="U11684" t="s">
        <v>59181</v>
      </c>
      <c r="W11684" t="s">
        <v>46597</v>
      </c>
      <c r="X11684" t="s">
        <v>47318</v>
      </c>
    </row>
    <row r="11685" spans="1:24">
      <c r="A11685">
        <f>HYPERLINK("https://www.philgeps.gov.ph/GEPSNONPILOT/Tender/SplashBidNoticeAbstractUI.aspx?menuIndex=3&amp;refID=7177995&amp;Result=3","7177995")</f>
        <v>0</v>
      </c>
      <c r="B11685" t="s">
        <v>3352</v>
      </c>
      <c r="C11685" t="s">
        <v>14898</v>
      </c>
      <c r="D11685" t="s">
        <v>18993</v>
      </c>
      <c r="E11685" t="s">
        <v>29037</v>
      </c>
      <c r="F11685" t="s">
        <v>32606</v>
      </c>
      <c r="G11685" t="s">
        <v>32614</v>
      </c>
      <c r="H11685" t="s">
        <v>32623</v>
      </c>
      <c r="I11685" t="s">
        <v>6931</v>
      </c>
      <c r="J11685" t="s">
        <v>40020</v>
      </c>
      <c r="K11685" t="s">
        <v>42631</v>
      </c>
      <c r="M11685" t="s">
        <v>46599</v>
      </c>
      <c r="N11685" t="s">
        <v>47304</v>
      </c>
      <c r="O11685" t="s">
        <v>47305</v>
      </c>
      <c r="P11685">
        <v>0</v>
      </c>
      <c r="Q11685">
        <v>4</v>
      </c>
      <c r="R11685" t="s">
        <v>47317</v>
      </c>
      <c r="S11685" t="s">
        <v>47712</v>
      </c>
      <c r="T11685" t="s">
        <v>48997</v>
      </c>
      <c r="U11685" t="s">
        <v>59182</v>
      </c>
      <c r="W11685" t="s">
        <v>46599</v>
      </c>
      <c r="X11685" t="s">
        <v>47318</v>
      </c>
    </row>
    <row r="11686" spans="1:24">
      <c r="A11686">
        <f>HYPERLINK("https://www.philgeps.gov.ph/GEPSNONPILOT/Tender/SplashBidNoticeAbstractUI.aspx?menuIndex=3&amp;refID=7177988&amp;Result=3","7177988")</f>
        <v>0</v>
      </c>
      <c r="B11686" t="s">
        <v>2213</v>
      </c>
      <c r="C11686" t="s">
        <v>14899</v>
      </c>
      <c r="D11686" t="s">
        <v>19065</v>
      </c>
      <c r="E11686" t="s">
        <v>29038</v>
      </c>
      <c r="F11686" t="s">
        <v>32606</v>
      </c>
      <c r="G11686" t="s">
        <v>32613</v>
      </c>
      <c r="H11686" t="s">
        <v>32625</v>
      </c>
      <c r="I11686" t="s">
        <v>32625</v>
      </c>
      <c r="J11686" t="s">
        <v>40021</v>
      </c>
      <c r="K11686" t="s">
        <v>42631</v>
      </c>
      <c r="M11686" t="s">
        <v>45317</v>
      </c>
      <c r="N11686" t="s">
        <v>47304</v>
      </c>
      <c r="O11686" t="s">
        <v>47305</v>
      </c>
      <c r="P11686">
        <v>0</v>
      </c>
      <c r="Q11686">
        <v>2</v>
      </c>
      <c r="R11686" t="s">
        <v>47317</v>
      </c>
      <c r="S11686" t="s">
        <v>47712</v>
      </c>
      <c r="T11686" t="s">
        <v>49001</v>
      </c>
      <c r="U11686" t="s">
        <v>59183</v>
      </c>
      <c r="V11686" t="s">
        <v>63906</v>
      </c>
      <c r="W11686" t="s">
        <v>45317</v>
      </c>
      <c r="X11686" t="s">
        <v>47318</v>
      </c>
    </row>
    <row r="11687" spans="1:24">
      <c r="A11687">
        <f>HYPERLINK("https://www.philgeps.gov.ph/GEPSNONPILOT/Tender/SplashBidNoticeAbstractUI.aspx?menuIndex=3&amp;refID=7177973&amp;Result=3","7177973")</f>
        <v>0</v>
      </c>
      <c r="B11687" t="s">
        <v>1496</v>
      </c>
      <c r="C11687" t="s">
        <v>14900</v>
      </c>
      <c r="D11687" t="s">
        <v>19044</v>
      </c>
      <c r="E11687" t="s">
        <v>29039</v>
      </c>
      <c r="F11687" t="s">
        <v>32606</v>
      </c>
      <c r="G11687" t="s">
        <v>32613</v>
      </c>
      <c r="H11687" t="s">
        <v>32623</v>
      </c>
      <c r="I11687" t="s">
        <v>17648</v>
      </c>
      <c r="J11687" t="s">
        <v>40022</v>
      </c>
      <c r="K11687" t="s">
        <v>42646</v>
      </c>
      <c r="M11687" t="s">
        <v>44492</v>
      </c>
      <c r="N11687" t="s">
        <v>47304</v>
      </c>
      <c r="O11687" t="s">
        <v>47305</v>
      </c>
      <c r="P11687">
        <v>0</v>
      </c>
      <c r="Q11687">
        <v>0</v>
      </c>
      <c r="R11687" t="s">
        <v>47317</v>
      </c>
      <c r="S11687" t="s">
        <v>47712</v>
      </c>
      <c r="T11687" t="s">
        <v>49104</v>
      </c>
      <c r="U11687" t="s">
        <v>59184</v>
      </c>
      <c r="W11687" t="s">
        <v>44492</v>
      </c>
      <c r="X11687" t="s">
        <v>47318</v>
      </c>
    </row>
    <row r="11688" spans="1:24">
      <c r="A11688">
        <f>HYPERLINK("https://www.philgeps.gov.ph/GEPSNONPILOT/Tender/SplashBidNoticeAbstractUI.aspx?menuIndex=3&amp;refID=7178122&amp;Result=3","7178122")</f>
        <v>0</v>
      </c>
      <c r="B11688" t="s">
        <v>3353</v>
      </c>
      <c r="C11688" t="s">
        <v>14901</v>
      </c>
      <c r="D11688" t="s">
        <v>19036</v>
      </c>
      <c r="E11688" t="s">
        <v>29040</v>
      </c>
      <c r="F11688" t="s">
        <v>32606</v>
      </c>
      <c r="G11688" t="s">
        <v>32613</v>
      </c>
      <c r="H11688" t="s">
        <v>14201</v>
      </c>
      <c r="I11688" t="s">
        <v>6993</v>
      </c>
      <c r="J11688" t="s">
        <v>40023</v>
      </c>
      <c r="K11688" t="s">
        <v>42623</v>
      </c>
      <c r="M11688" t="s">
        <v>46600</v>
      </c>
      <c r="N11688" t="s">
        <v>47304</v>
      </c>
      <c r="O11688" t="s">
        <v>47305</v>
      </c>
      <c r="P11688">
        <v>0</v>
      </c>
      <c r="Q11688">
        <v>1</v>
      </c>
      <c r="R11688" t="s">
        <v>47317</v>
      </c>
      <c r="S11688" t="s">
        <v>47712</v>
      </c>
      <c r="T11688" t="s">
        <v>49240</v>
      </c>
      <c r="U11688" t="s">
        <v>59185</v>
      </c>
      <c r="V11688" t="s">
        <v>63907</v>
      </c>
      <c r="W11688" t="s">
        <v>46600</v>
      </c>
      <c r="X11688" t="s">
        <v>47318</v>
      </c>
    </row>
    <row r="11689" spans="1:24">
      <c r="A11689">
        <f>HYPERLINK("https://www.philgeps.gov.ph/GEPSNONPILOT/Tender/SplashBidNoticeAbstractUI.aspx?menuIndex=3&amp;refID=7177949&amp;Result=3","7177949")</f>
        <v>0</v>
      </c>
      <c r="B11689" t="s">
        <v>922</v>
      </c>
      <c r="C11689" t="s">
        <v>14902</v>
      </c>
      <c r="D11689" t="s">
        <v>19023</v>
      </c>
      <c r="E11689" t="s">
        <v>29041</v>
      </c>
      <c r="F11689" t="s">
        <v>32606</v>
      </c>
      <c r="G11689" t="s">
        <v>32613</v>
      </c>
      <c r="H11689" t="s">
        <v>14201</v>
      </c>
      <c r="I11689" t="s">
        <v>7064</v>
      </c>
      <c r="J11689" t="s">
        <v>33382</v>
      </c>
      <c r="K11689" t="s">
        <v>42636</v>
      </c>
      <c r="M11689" t="s">
        <v>43862</v>
      </c>
      <c r="N11689" t="s">
        <v>47304</v>
      </c>
      <c r="O11689" t="s">
        <v>47305</v>
      </c>
      <c r="Q11689">
        <v>11</v>
      </c>
      <c r="R11689" t="s">
        <v>47317</v>
      </c>
      <c r="S11689" t="s">
        <v>47723</v>
      </c>
      <c r="T11689" t="s">
        <v>48986</v>
      </c>
      <c r="U11689" t="s">
        <v>59186</v>
      </c>
      <c r="W11689" t="s">
        <v>43862</v>
      </c>
      <c r="X11689" t="s">
        <v>47318</v>
      </c>
    </row>
    <row r="11690" spans="1:24">
      <c r="A11690">
        <f>HYPERLINK("https://www.philgeps.gov.ph/GEPSNONPILOT/Tender/SplashBidNoticeAbstractUI.aspx?menuIndex=3&amp;refID=7177939&amp;Result=3","7177939")</f>
        <v>0</v>
      </c>
      <c r="B11690" t="s">
        <v>3354</v>
      </c>
      <c r="C11690" t="s">
        <v>14903</v>
      </c>
      <c r="D11690" t="s">
        <v>19018</v>
      </c>
      <c r="E11690" t="s">
        <v>29042</v>
      </c>
      <c r="F11690" t="s">
        <v>32606</v>
      </c>
      <c r="G11690" t="s">
        <v>32613</v>
      </c>
      <c r="H11690" t="s">
        <v>32623</v>
      </c>
      <c r="I11690" t="s">
        <v>17648</v>
      </c>
      <c r="J11690" t="s">
        <v>32756</v>
      </c>
      <c r="K11690" t="s">
        <v>42645</v>
      </c>
      <c r="M11690" t="s">
        <v>46601</v>
      </c>
      <c r="N11690" t="s">
        <v>47304</v>
      </c>
      <c r="O11690" t="s">
        <v>47305</v>
      </c>
      <c r="P11690">
        <v>0</v>
      </c>
      <c r="Q11690">
        <v>0</v>
      </c>
      <c r="R11690" t="s">
        <v>47317</v>
      </c>
      <c r="S11690" t="s">
        <v>47712</v>
      </c>
      <c r="T11690" t="s">
        <v>49052</v>
      </c>
      <c r="U11690" t="s">
        <v>59187</v>
      </c>
      <c r="W11690" t="s">
        <v>46601</v>
      </c>
      <c r="X11690" t="s">
        <v>47318</v>
      </c>
    </row>
    <row r="11691" spans="1:24">
      <c r="A11691">
        <f>HYPERLINK("https://www.philgeps.gov.ph/GEPSNONPILOT/Tender/SplashBidNoticeAbstractUI.aspx?menuIndex=3&amp;refID=7177923&amp;Result=3","7177923")</f>
        <v>0</v>
      </c>
      <c r="B11691" t="s">
        <v>3355</v>
      </c>
      <c r="C11691" t="s">
        <v>14904</v>
      </c>
      <c r="D11691" t="s">
        <v>19010</v>
      </c>
      <c r="E11691" t="s">
        <v>20122</v>
      </c>
      <c r="F11691" t="s">
        <v>32606</v>
      </c>
      <c r="G11691" t="s">
        <v>32613</v>
      </c>
      <c r="H11691" t="s">
        <v>14201</v>
      </c>
      <c r="I11691" t="s">
        <v>4678</v>
      </c>
      <c r="J11691" t="s">
        <v>32752</v>
      </c>
      <c r="K11691" t="s">
        <v>42627</v>
      </c>
      <c r="M11691" t="s">
        <v>46602</v>
      </c>
      <c r="N11691" t="s">
        <v>47304</v>
      </c>
      <c r="O11691" t="s">
        <v>47305</v>
      </c>
      <c r="Q11691">
        <v>7</v>
      </c>
      <c r="R11691" t="s">
        <v>47317</v>
      </c>
      <c r="S11691" t="s">
        <v>47724</v>
      </c>
      <c r="T11691" t="s">
        <v>49023</v>
      </c>
      <c r="U11691" t="s">
        <v>59188</v>
      </c>
      <c r="W11691" t="s">
        <v>46602</v>
      </c>
      <c r="X11691" t="s">
        <v>47318</v>
      </c>
    </row>
    <row r="11692" spans="1:24">
      <c r="A11692">
        <f>HYPERLINK("https://www.philgeps.gov.ph/GEPSNONPILOT/Tender/SplashBidNoticeAbstractUI.aspx?menuIndex=3&amp;refID=7177916&amp;Result=3","7177916")</f>
        <v>0</v>
      </c>
      <c r="B11692" t="s">
        <v>3346</v>
      </c>
      <c r="C11692" t="s">
        <v>14905</v>
      </c>
      <c r="D11692" t="s">
        <v>19000</v>
      </c>
      <c r="E11692" t="s">
        <v>19316</v>
      </c>
      <c r="F11692" t="s">
        <v>32606</v>
      </c>
      <c r="G11692" t="s">
        <v>32613</v>
      </c>
      <c r="H11692" t="s">
        <v>32623</v>
      </c>
      <c r="I11692" t="s">
        <v>17648</v>
      </c>
      <c r="J11692" t="s">
        <v>40024</v>
      </c>
      <c r="K11692" t="s">
        <v>42648</v>
      </c>
      <c r="M11692" t="s">
        <v>46593</v>
      </c>
      <c r="N11692" t="s">
        <v>47304</v>
      </c>
      <c r="O11692" t="s">
        <v>47305</v>
      </c>
      <c r="P11692">
        <v>0</v>
      </c>
      <c r="Q11692">
        <v>2</v>
      </c>
      <c r="R11692" t="s">
        <v>47317</v>
      </c>
      <c r="S11692" t="s">
        <v>47712</v>
      </c>
      <c r="T11692" t="s">
        <v>49099</v>
      </c>
      <c r="U11692" t="s">
        <v>59189</v>
      </c>
      <c r="W11692" t="s">
        <v>46593</v>
      </c>
      <c r="X11692" t="s">
        <v>47318</v>
      </c>
    </row>
    <row r="11693" spans="1:24">
      <c r="A11693">
        <f>HYPERLINK("https://www.philgeps.gov.ph/GEPSNONPILOT/Tender/SplashBidNoticeAbstractUI.aspx?menuIndex=3&amp;refID=7178407&amp;Result=3","7178407")</f>
        <v>0</v>
      </c>
      <c r="B11693" t="s">
        <v>1201</v>
      </c>
      <c r="C11693" t="s">
        <v>14906</v>
      </c>
      <c r="E11693" t="s">
        <v>29043</v>
      </c>
      <c r="F11693" t="s">
        <v>32606</v>
      </c>
      <c r="G11693" t="s">
        <v>32613</v>
      </c>
      <c r="H11693" t="s">
        <v>14201</v>
      </c>
      <c r="I11693" t="s">
        <v>32640</v>
      </c>
      <c r="J11693" t="s">
        <v>40025</v>
      </c>
      <c r="K11693" t="s">
        <v>42631</v>
      </c>
      <c r="M11693" t="s">
        <v>45117</v>
      </c>
      <c r="N11693" t="s">
        <v>47304</v>
      </c>
      <c r="O11693" t="s">
        <v>47305</v>
      </c>
      <c r="P11693">
        <v>0</v>
      </c>
      <c r="Q11693">
        <v>17</v>
      </c>
      <c r="R11693" t="s">
        <v>47317</v>
      </c>
      <c r="S11693" t="s">
        <v>47712</v>
      </c>
      <c r="T11693" t="s">
        <v>49064</v>
      </c>
      <c r="U11693" t="s">
        <v>58819</v>
      </c>
      <c r="W11693" t="s">
        <v>45117</v>
      </c>
      <c r="X11693" t="s">
        <v>47318</v>
      </c>
    </row>
    <row r="11694" spans="1:24">
      <c r="A11694">
        <f>HYPERLINK("https://www.philgeps.gov.ph/GEPSNONPILOT/Tender/SplashBidNoticeAbstractUI.aspx?menuIndex=3&amp;refID=7178067&amp;Result=3","7178067")</f>
        <v>0</v>
      </c>
      <c r="B11694" t="s">
        <v>3356</v>
      </c>
      <c r="C11694" t="s">
        <v>14907</v>
      </c>
      <c r="D11694" t="s">
        <v>18993</v>
      </c>
      <c r="E11694" t="s">
        <v>29044</v>
      </c>
      <c r="F11694" t="s">
        <v>32606</v>
      </c>
      <c r="G11694" t="s">
        <v>32613</v>
      </c>
      <c r="H11694" t="s">
        <v>14201</v>
      </c>
      <c r="I11694" t="s">
        <v>4120</v>
      </c>
      <c r="J11694" t="s">
        <v>40026</v>
      </c>
      <c r="K11694" t="s">
        <v>42638</v>
      </c>
      <c r="M11694" t="s">
        <v>46603</v>
      </c>
      <c r="N11694" t="s">
        <v>47304</v>
      </c>
      <c r="O11694" t="s">
        <v>47305</v>
      </c>
      <c r="P11694">
        <v>0</v>
      </c>
      <c r="Q11694">
        <v>3</v>
      </c>
      <c r="R11694" t="s">
        <v>47317</v>
      </c>
      <c r="S11694" t="s">
        <v>47712</v>
      </c>
      <c r="T11694" t="s">
        <v>48980</v>
      </c>
      <c r="U11694" t="s">
        <v>59190</v>
      </c>
      <c r="W11694" t="s">
        <v>46603</v>
      </c>
      <c r="X11694" t="s">
        <v>47318</v>
      </c>
    </row>
    <row r="11695" spans="1:24">
      <c r="A11695">
        <f>HYPERLINK("https://www.philgeps.gov.ph/GEPSNONPILOT/Tender/SplashBidNoticeAbstractUI.aspx?menuIndex=3&amp;refID=7178432&amp;Result=3","7178432")</f>
        <v>0</v>
      </c>
      <c r="B11695" t="s">
        <v>3357</v>
      </c>
      <c r="C11695" t="s">
        <v>14908</v>
      </c>
      <c r="E11695" t="s">
        <v>29045</v>
      </c>
      <c r="F11695" t="s">
        <v>32606</v>
      </c>
      <c r="G11695" t="s">
        <v>32613</v>
      </c>
      <c r="H11695" t="s">
        <v>14201</v>
      </c>
      <c r="I11695" t="s">
        <v>32654</v>
      </c>
      <c r="J11695" t="s">
        <v>32756</v>
      </c>
      <c r="K11695" t="s">
        <v>42636</v>
      </c>
      <c r="M11695" t="s">
        <v>46604</v>
      </c>
      <c r="N11695" t="s">
        <v>47304</v>
      </c>
      <c r="O11695" t="s">
        <v>47305</v>
      </c>
      <c r="P11695">
        <v>0</v>
      </c>
      <c r="Q11695">
        <v>2</v>
      </c>
      <c r="R11695" t="s">
        <v>47317</v>
      </c>
      <c r="S11695" t="s">
        <v>47712</v>
      </c>
      <c r="T11695" t="s">
        <v>49198</v>
      </c>
      <c r="U11695" t="s">
        <v>59191</v>
      </c>
      <c r="W11695" t="s">
        <v>46604</v>
      </c>
      <c r="X11695" t="s">
        <v>47318</v>
      </c>
    </row>
    <row r="11696" spans="1:24">
      <c r="A11696">
        <f>HYPERLINK("https://www.philgeps.gov.ph/GEPSNONPILOT/Tender/SplashBidNoticeAbstractUI.aspx?menuIndex=3&amp;refID=7177751&amp;Result=3","7177751")</f>
        <v>0</v>
      </c>
      <c r="B11696" t="s">
        <v>3358</v>
      </c>
      <c r="C11696" t="s">
        <v>4636</v>
      </c>
      <c r="D11696" t="s">
        <v>19024</v>
      </c>
      <c r="E11696" t="s">
        <v>19522</v>
      </c>
      <c r="F11696" t="s">
        <v>32606</v>
      </c>
      <c r="G11696" t="s">
        <v>32613</v>
      </c>
      <c r="H11696" t="s">
        <v>32623</v>
      </c>
      <c r="I11696" t="s">
        <v>17648</v>
      </c>
      <c r="J11696" t="s">
        <v>40027</v>
      </c>
      <c r="K11696" t="s">
        <v>42631</v>
      </c>
      <c r="M11696" t="s">
        <v>46605</v>
      </c>
      <c r="N11696" t="s">
        <v>47304</v>
      </c>
      <c r="O11696" t="s">
        <v>47305</v>
      </c>
      <c r="P11696">
        <v>0</v>
      </c>
      <c r="Q11696">
        <v>0</v>
      </c>
      <c r="R11696" t="s">
        <v>47317</v>
      </c>
      <c r="S11696" t="s">
        <v>47712</v>
      </c>
      <c r="T11696" t="s">
        <v>49004</v>
      </c>
      <c r="U11696" t="s">
        <v>59192</v>
      </c>
      <c r="W11696" t="s">
        <v>46605</v>
      </c>
      <c r="X11696" t="s">
        <v>47318</v>
      </c>
    </row>
    <row r="11697" spans="1:24">
      <c r="A11697">
        <f>HYPERLINK("https://www.philgeps.gov.ph/GEPSNONPILOT/Tender/SplashBidNoticeAbstractUI.aspx?menuIndex=3&amp;refID=7178168&amp;Result=3","7178168")</f>
        <v>0</v>
      </c>
      <c r="B11697" t="s">
        <v>3353</v>
      </c>
      <c r="C11697" t="s">
        <v>14909</v>
      </c>
      <c r="D11697" t="s">
        <v>19036</v>
      </c>
      <c r="E11697" t="s">
        <v>29046</v>
      </c>
      <c r="F11697" t="s">
        <v>32606</v>
      </c>
      <c r="G11697" t="s">
        <v>32613</v>
      </c>
      <c r="H11697" t="s">
        <v>14201</v>
      </c>
      <c r="I11697" t="s">
        <v>6993</v>
      </c>
      <c r="J11697" t="s">
        <v>40028</v>
      </c>
      <c r="K11697" t="s">
        <v>42623</v>
      </c>
      <c r="M11697" t="s">
        <v>46600</v>
      </c>
      <c r="N11697" t="s">
        <v>47304</v>
      </c>
      <c r="O11697" t="s">
        <v>47305</v>
      </c>
      <c r="P11697">
        <v>0</v>
      </c>
      <c r="Q11697">
        <v>1</v>
      </c>
      <c r="R11697" t="s">
        <v>47317</v>
      </c>
      <c r="S11697" t="s">
        <v>47712</v>
      </c>
      <c r="T11697" t="s">
        <v>49240</v>
      </c>
      <c r="U11697" t="s">
        <v>59193</v>
      </c>
      <c r="V11697" t="s">
        <v>63907</v>
      </c>
      <c r="W11697" t="s">
        <v>46600</v>
      </c>
      <c r="X11697" t="s">
        <v>47318</v>
      </c>
    </row>
    <row r="11698" spans="1:24">
      <c r="A11698">
        <f>HYPERLINK("https://www.philgeps.gov.ph/GEPSNONPILOT/Tender/SplashBidNoticeAbstractUI.aspx?menuIndex=3&amp;refID=7178339&amp;Result=3","7178339")</f>
        <v>0</v>
      </c>
      <c r="B11698" t="s">
        <v>3346</v>
      </c>
      <c r="C11698" t="s">
        <v>14910</v>
      </c>
      <c r="D11698" t="s">
        <v>19000</v>
      </c>
      <c r="E11698" t="s">
        <v>24942</v>
      </c>
      <c r="F11698" t="s">
        <v>32606</v>
      </c>
      <c r="G11698" t="s">
        <v>32613</v>
      </c>
      <c r="H11698" t="s">
        <v>32623</v>
      </c>
      <c r="I11698" t="s">
        <v>17648</v>
      </c>
      <c r="J11698" t="s">
        <v>32795</v>
      </c>
      <c r="K11698" t="s">
        <v>42645</v>
      </c>
      <c r="M11698" t="s">
        <v>46593</v>
      </c>
      <c r="N11698" t="s">
        <v>47304</v>
      </c>
      <c r="O11698" t="s">
        <v>47305</v>
      </c>
      <c r="P11698">
        <v>0</v>
      </c>
      <c r="Q11698">
        <v>1</v>
      </c>
      <c r="R11698" t="s">
        <v>47317</v>
      </c>
      <c r="S11698" t="s">
        <v>47712</v>
      </c>
      <c r="T11698" t="s">
        <v>49099</v>
      </c>
      <c r="U11698" t="s">
        <v>59194</v>
      </c>
      <c r="W11698" t="s">
        <v>46593</v>
      </c>
      <c r="X11698" t="s">
        <v>47318</v>
      </c>
    </row>
    <row r="11699" spans="1:24">
      <c r="A11699">
        <f>HYPERLINK("https://www.philgeps.gov.ph/GEPSNONPILOT/Tender/SplashBidNoticeAbstractUI.aspx?menuIndex=3&amp;refID=7178361&amp;Result=3","7178361")</f>
        <v>0</v>
      </c>
      <c r="B11699" t="s">
        <v>1260</v>
      </c>
      <c r="C11699" t="s">
        <v>14911</v>
      </c>
      <c r="D11699" t="s">
        <v>18997</v>
      </c>
      <c r="E11699" t="s">
        <v>29047</v>
      </c>
      <c r="F11699" t="s">
        <v>32606</v>
      </c>
      <c r="G11699" t="s">
        <v>32613</v>
      </c>
      <c r="H11699" t="s">
        <v>32623</v>
      </c>
      <c r="I11699" t="s">
        <v>17648</v>
      </c>
      <c r="J11699" t="s">
        <v>40029</v>
      </c>
      <c r="K11699" t="s">
        <v>42645</v>
      </c>
      <c r="M11699" t="s">
        <v>46606</v>
      </c>
      <c r="N11699" t="s">
        <v>47304</v>
      </c>
      <c r="O11699" t="s">
        <v>47305</v>
      </c>
      <c r="P11699">
        <v>0</v>
      </c>
      <c r="Q11699">
        <v>3</v>
      </c>
      <c r="R11699" t="s">
        <v>47317</v>
      </c>
      <c r="S11699" t="s">
        <v>47712</v>
      </c>
      <c r="T11699" t="s">
        <v>49075</v>
      </c>
      <c r="U11699" t="s">
        <v>59195</v>
      </c>
      <c r="V11699" t="s">
        <v>63908</v>
      </c>
      <c r="W11699" t="s">
        <v>46606</v>
      </c>
      <c r="X11699" t="s">
        <v>47318</v>
      </c>
    </row>
    <row r="11700" spans="1:24">
      <c r="A11700">
        <f>HYPERLINK("https://www.philgeps.gov.ph/GEPSNONPILOT/Tender/SplashBidNoticeAbstractUI.aspx?menuIndex=3&amp;refID=7177720&amp;Result=3","7177720")</f>
        <v>0</v>
      </c>
      <c r="B11700" t="s">
        <v>1402</v>
      </c>
      <c r="C11700" t="s">
        <v>14912</v>
      </c>
      <c r="D11700" t="s">
        <v>18992</v>
      </c>
      <c r="E11700" t="s">
        <v>29048</v>
      </c>
      <c r="F11700" t="s">
        <v>32606</v>
      </c>
      <c r="G11700" t="s">
        <v>32613</v>
      </c>
      <c r="H11700" t="s">
        <v>14201</v>
      </c>
      <c r="I11700" t="s">
        <v>6007</v>
      </c>
      <c r="J11700" t="s">
        <v>40030</v>
      </c>
      <c r="K11700" t="s">
        <v>42624</v>
      </c>
      <c r="M11700" t="s">
        <v>45733</v>
      </c>
      <c r="N11700" t="s">
        <v>47304</v>
      </c>
      <c r="O11700" t="s">
        <v>47305</v>
      </c>
      <c r="P11700">
        <v>0</v>
      </c>
      <c r="Q11700">
        <v>0</v>
      </c>
      <c r="R11700" t="s">
        <v>47317</v>
      </c>
      <c r="S11700" t="s">
        <v>47712</v>
      </c>
      <c r="T11700" t="s">
        <v>48994</v>
      </c>
      <c r="U11700" t="s">
        <v>59196</v>
      </c>
      <c r="W11700" t="s">
        <v>45733</v>
      </c>
      <c r="X11700" t="s">
        <v>47318</v>
      </c>
    </row>
    <row r="11701" spans="1:24">
      <c r="A11701">
        <f>HYPERLINK("https://www.philgeps.gov.ph/GEPSNONPILOT/Tender/SplashBidNoticeAbstractUI.aspx?menuIndex=3&amp;refID=7178353&amp;Result=3","7178353")</f>
        <v>0</v>
      </c>
      <c r="B11701" t="s">
        <v>1201</v>
      </c>
      <c r="C11701" t="s">
        <v>14913</v>
      </c>
      <c r="E11701" t="s">
        <v>29049</v>
      </c>
      <c r="F11701" t="s">
        <v>32606</v>
      </c>
      <c r="G11701" t="s">
        <v>32613</v>
      </c>
      <c r="H11701" t="s">
        <v>14201</v>
      </c>
      <c r="I11701" t="s">
        <v>32640</v>
      </c>
      <c r="J11701" t="s">
        <v>40031</v>
      </c>
      <c r="K11701" t="s">
        <v>42631</v>
      </c>
      <c r="M11701" t="s">
        <v>45117</v>
      </c>
      <c r="N11701" t="s">
        <v>47304</v>
      </c>
      <c r="O11701" t="s">
        <v>47305</v>
      </c>
      <c r="P11701">
        <v>0</v>
      </c>
      <c r="Q11701">
        <v>11</v>
      </c>
      <c r="R11701" t="s">
        <v>47317</v>
      </c>
      <c r="S11701" t="s">
        <v>47712</v>
      </c>
      <c r="T11701" t="s">
        <v>49064</v>
      </c>
      <c r="U11701" t="s">
        <v>58819</v>
      </c>
      <c r="W11701" t="s">
        <v>45117</v>
      </c>
      <c r="X11701" t="s">
        <v>47318</v>
      </c>
    </row>
    <row r="11702" spans="1:24">
      <c r="A11702">
        <f>HYPERLINK("https://www.philgeps.gov.ph/GEPSNONPILOT/Tender/SplashBidNoticeAbstractUI.aspx?menuIndex=3&amp;refID=7178399&amp;Result=3","7178399")</f>
        <v>0</v>
      </c>
      <c r="B11702" t="s">
        <v>1864</v>
      </c>
      <c r="C11702" t="s">
        <v>14914</v>
      </c>
      <c r="D11702" t="s">
        <v>19029</v>
      </c>
      <c r="E11702" t="s">
        <v>29050</v>
      </c>
      <c r="F11702" t="s">
        <v>32606</v>
      </c>
      <c r="G11702" t="s">
        <v>32613</v>
      </c>
      <c r="H11702" t="s">
        <v>14201</v>
      </c>
      <c r="I11702" t="s">
        <v>7577</v>
      </c>
      <c r="J11702" t="s">
        <v>35892</v>
      </c>
      <c r="K11702" t="s">
        <v>42630</v>
      </c>
      <c r="M11702" t="s">
        <v>44921</v>
      </c>
      <c r="N11702" t="s">
        <v>47304</v>
      </c>
      <c r="O11702" t="s">
        <v>47305</v>
      </c>
      <c r="P11702">
        <v>0</v>
      </c>
      <c r="Q11702">
        <v>2</v>
      </c>
      <c r="R11702" t="s">
        <v>47317</v>
      </c>
      <c r="S11702" t="s">
        <v>47712</v>
      </c>
      <c r="T11702" t="s">
        <v>49356</v>
      </c>
      <c r="U11702" t="s">
        <v>59197</v>
      </c>
      <c r="W11702" t="s">
        <v>44921</v>
      </c>
      <c r="X11702" t="s">
        <v>47318</v>
      </c>
    </row>
    <row r="11703" spans="1:24">
      <c r="A11703">
        <f>HYPERLINK("https://www.philgeps.gov.ph/GEPSNONPILOT/Tender/SplashBidNoticeAbstractUI.aspx?menuIndex=3&amp;refID=7178347&amp;Result=3","7178347")</f>
        <v>0</v>
      </c>
      <c r="B11703" t="s">
        <v>3254</v>
      </c>
      <c r="C11703" t="s">
        <v>14915</v>
      </c>
      <c r="D11703" t="s">
        <v>19002</v>
      </c>
      <c r="E11703" t="s">
        <v>27166</v>
      </c>
      <c r="F11703" t="s">
        <v>32606</v>
      </c>
      <c r="G11703" t="s">
        <v>32613</v>
      </c>
      <c r="H11703" t="s">
        <v>14201</v>
      </c>
      <c r="I11703" t="s">
        <v>4678</v>
      </c>
      <c r="J11703" t="s">
        <v>37946</v>
      </c>
      <c r="K11703" t="s">
        <v>42623</v>
      </c>
      <c r="M11703" t="s">
        <v>46488</v>
      </c>
      <c r="N11703" t="s">
        <v>47304</v>
      </c>
      <c r="O11703" t="s">
        <v>47305</v>
      </c>
      <c r="P11703">
        <v>0</v>
      </c>
      <c r="Q11703">
        <v>3</v>
      </c>
      <c r="R11703" t="s">
        <v>47317</v>
      </c>
      <c r="S11703" t="s">
        <v>47712</v>
      </c>
      <c r="T11703" t="s">
        <v>49315</v>
      </c>
      <c r="U11703" t="s">
        <v>59198</v>
      </c>
      <c r="W11703" t="s">
        <v>46488</v>
      </c>
      <c r="X11703" t="s">
        <v>47318</v>
      </c>
    </row>
    <row r="11704" spans="1:24">
      <c r="A11704">
        <f>HYPERLINK("https://www.philgeps.gov.ph/GEPSNONPILOT/Tender/SplashBidNoticeAbstractUI.aspx?menuIndex=3&amp;refID=7178319&amp;Result=3","7178319")</f>
        <v>0</v>
      </c>
      <c r="B11704" t="s">
        <v>1864</v>
      </c>
      <c r="C11704" t="s">
        <v>14916</v>
      </c>
      <c r="D11704" t="s">
        <v>19029</v>
      </c>
      <c r="E11704" t="s">
        <v>29051</v>
      </c>
      <c r="F11704" t="s">
        <v>32606</v>
      </c>
      <c r="G11704" t="s">
        <v>32613</v>
      </c>
      <c r="H11704" t="s">
        <v>14201</v>
      </c>
      <c r="I11704" t="s">
        <v>7577</v>
      </c>
      <c r="J11704" t="s">
        <v>40032</v>
      </c>
      <c r="K11704" t="s">
        <v>42630</v>
      </c>
      <c r="M11704" t="s">
        <v>44921</v>
      </c>
      <c r="N11704" t="s">
        <v>47304</v>
      </c>
      <c r="O11704" t="s">
        <v>47305</v>
      </c>
      <c r="P11704">
        <v>0</v>
      </c>
      <c r="Q11704">
        <v>6</v>
      </c>
      <c r="R11704" t="s">
        <v>47317</v>
      </c>
      <c r="S11704" t="s">
        <v>47712</v>
      </c>
      <c r="T11704" t="s">
        <v>49148</v>
      </c>
      <c r="U11704" t="s">
        <v>59197</v>
      </c>
      <c r="W11704" t="s">
        <v>44921</v>
      </c>
      <c r="X11704" t="s">
        <v>47318</v>
      </c>
    </row>
    <row r="11705" spans="1:24">
      <c r="A11705">
        <f>HYPERLINK("https://www.philgeps.gov.ph/GEPSNONPILOT/Tender/SplashBidNoticeAbstractUI.aspx?menuIndex=3&amp;refID=7177911&amp;Result=3","7177911")</f>
        <v>0</v>
      </c>
      <c r="B11705" t="s">
        <v>867</v>
      </c>
      <c r="C11705" t="s">
        <v>14917</v>
      </c>
      <c r="D11705" t="s">
        <v>19053</v>
      </c>
      <c r="E11705" t="s">
        <v>29052</v>
      </c>
      <c r="F11705" t="s">
        <v>32606</v>
      </c>
      <c r="G11705" t="s">
        <v>32613</v>
      </c>
      <c r="H11705" t="s">
        <v>14201</v>
      </c>
      <c r="I11705" t="s">
        <v>32693</v>
      </c>
      <c r="J11705" t="s">
        <v>40033</v>
      </c>
      <c r="K11705" t="s">
        <v>42631</v>
      </c>
      <c r="M11705" t="s">
        <v>43801</v>
      </c>
      <c r="N11705" t="s">
        <v>47304</v>
      </c>
      <c r="O11705" t="s">
        <v>47305</v>
      </c>
      <c r="Q11705">
        <v>9</v>
      </c>
      <c r="R11705" t="s">
        <v>47317</v>
      </c>
      <c r="S11705" t="s">
        <v>47725</v>
      </c>
      <c r="T11705" t="s">
        <v>49170</v>
      </c>
      <c r="U11705" t="s">
        <v>59199</v>
      </c>
      <c r="W11705" t="s">
        <v>43801</v>
      </c>
      <c r="X11705" t="s">
        <v>47318</v>
      </c>
    </row>
    <row r="11706" spans="1:24">
      <c r="A11706">
        <f>HYPERLINK("https://www.philgeps.gov.ph/GEPSNONPILOT/Tender/SplashBidNoticeAbstractUI.aspx?menuIndex=3&amp;refID=7178299&amp;Result=3","7178299")</f>
        <v>0</v>
      </c>
      <c r="B11706" t="s">
        <v>2191</v>
      </c>
      <c r="C11706" t="s">
        <v>14918</v>
      </c>
      <c r="D11706" t="s">
        <v>19067</v>
      </c>
      <c r="E11706" t="s">
        <v>29053</v>
      </c>
      <c r="F11706" t="s">
        <v>32606</v>
      </c>
      <c r="G11706" t="s">
        <v>32613</v>
      </c>
      <c r="H11706" t="s">
        <v>32623</v>
      </c>
      <c r="I11706" t="s">
        <v>17648</v>
      </c>
      <c r="J11706" t="s">
        <v>32821</v>
      </c>
      <c r="K11706" t="s">
        <v>42636</v>
      </c>
      <c r="M11706" t="s">
        <v>45291</v>
      </c>
      <c r="N11706" t="s">
        <v>47304</v>
      </c>
      <c r="O11706" t="s">
        <v>47305</v>
      </c>
      <c r="P11706">
        <v>0</v>
      </c>
      <c r="Q11706">
        <v>0</v>
      </c>
      <c r="R11706" t="s">
        <v>47317</v>
      </c>
      <c r="S11706" t="s">
        <v>47712</v>
      </c>
      <c r="T11706" t="s">
        <v>49108</v>
      </c>
      <c r="U11706" t="s">
        <v>59200</v>
      </c>
      <c r="W11706" t="s">
        <v>45291</v>
      </c>
      <c r="X11706" t="s">
        <v>47318</v>
      </c>
    </row>
    <row r="11707" spans="1:24">
      <c r="A11707">
        <f>HYPERLINK("https://www.philgeps.gov.ph/GEPSNONPILOT/Tender/SplashBidNoticeAbstractUI.aspx?menuIndex=3&amp;refID=7178290&amp;Result=3","7178290")</f>
        <v>0</v>
      </c>
      <c r="B11707" t="s">
        <v>3346</v>
      </c>
      <c r="C11707" t="s">
        <v>14919</v>
      </c>
      <c r="D11707" t="s">
        <v>19000</v>
      </c>
      <c r="E11707" t="s">
        <v>19326</v>
      </c>
      <c r="F11707" t="s">
        <v>32606</v>
      </c>
      <c r="G11707" t="s">
        <v>32613</v>
      </c>
      <c r="H11707" t="s">
        <v>32623</v>
      </c>
      <c r="I11707" t="s">
        <v>17648</v>
      </c>
      <c r="J11707" t="s">
        <v>40024</v>
      </c>
      <c r="K11707" t="s">
        <v>42648</v>
      </c>
      <c r="M11707" t="s">
        <v>46593</v>
      </c>
      <c r="N11707" t="s">
        <v>47304</v>
      </c>
      <c r="O11707" t="s">
        <v>47305</v>
      </c>
      <c r="P11707">
        <v>0</v>
      </c>
      <c r="Q11707">
        <v>1</v>
      </c>
      <c r="R11707" t="s">
        <v>47317</v>
      </c>
      <c r="S11707" t="s">
        <v>47712</v>
      </c>
      <c r="T11707" t="s">
        <v>49099</v>
      </c>
      <c r="U11707" t="s">
        <v>59201</v>
      </c>
      <c r="W11707" t="s">
        <v>46593</v>
      </c>
      <c r="X11707" t="s">
        <v>47318</v>
      </c>
    </row>
    <row r="11708" spans="1:24">
      <c r="A11708">
        <f>HYPERLINK("https://www.philgeps.gov.ph/GEPSNONPILOT/Tender/SplashBidNoticeAbstractUI.aspx?menuIndex=3&amp;refID=7178356&amp;Result=3","7178356")</f>
        <v>0</v>
      </c>
      <c r="B11708" t="s">
        <v>3041</v>
      </c>
      <c r="C11708" t="s">
        <v>14920</v>
      </c>
      <c r="D11708" t="s">
        <v>19060</v>
      </c>
      <c r="E11708" t="s">
        <v>29054</v>
      </c>
      <c r="F11708" t="s">
        <v>32606</v>
      </c>
      <c r="G11708" t="s">
        <v>32613</v>
      </c>
      <c r="H11708" t="s">
        <v>32623</v>
      </c>
      <c r="I11708" t="s">
        <v>17648</v>
      </c>
      <c r="J11708" t="s">
        <v>32830</v>
      </c>
      <c r="K11708" t="s">
        <v>42624</v>
      </c>
      <c r="M11708" t="s">
        <v>46235</v>
      </c>
      <c r="N11708" t="s">
        <v>47304</v>
      </c>
      <c r="O11708" t="s">
        <v>47305</v>
      </c>
      <c r="P11708">
        <v>0</v>
      </c>
      <c r="Q11708">
        <v>0</v>
      </c>
      <c r="R11708" t="s">
        <v>47317</v>
      </c>
      <c r="S11708" t="s">
        <v>47712</v>
      </c>
      <c r="T11708" t="s">
        <v>48998</v>
      </c>
      <c r="U11708" t="s">
        <v>59202</v>
      </c>
      <c r="W11708" t="s">
        <v>46235</v>
      </c>
      <c r="X11708" t="s">
        <v>47318</v>
      </c>
    </row>
    <row r="11709" spans="1:24">
      <c r="A11709">
        <f>HYPERLINK("https://www.philgeps.gov.ph/GEPSNONPILOT/Tender/SplashBidNoticeAbstractUI.aspx?menuIndex=3&amp;refID=7178598&amp;Result=3","7178598")</f>
        <v>0</v>
      </c>
      <c r="B11709" t="s">
        <v>3356</v>
      </c>
      <c r="C11709" t="s">
        <v>14921</v>
      </c>
      <c r="D11709" t="s">
        <v>18993</v>
      </c>
      <c r="E11709" t="s">
        <v>29055</v>
      </c>
      <c r="F11709" t="s">
        <v>32606</v>
      </c>
      <c r="G11709" t="s">
        <v>32613</v>
      </c>
      <c r="H11709" t="s">
        <v>14201</v>
      </c>
      <c r="I11709" t="s">
        <v>7577</v>
      </c>
      <c r="J11709" t="s">
        <v>40034</v>
      </c>
      <c r="K11709" t="s">
        <v>42638</v>
      </c>
      <c r="M11709" t="s">
        <v>46603</v>
      </c>
      <c r="N11709" t="s">
        <v>47304</v>
      </c>
      <c r="O11709" t="s">
        <v>47305</v>
      </c>
      <c r="P11709">
        <v>0</v>
      </c>
      <c r="Q11709">
        <v>5</v>
      </c>
      <c r="R11709" t="s">
        <v>47317</v>
      </c>
      <c r="S11709" t="s">
        <v>47712</v>
      </c>
      <c r="T11709" t="s">
        <v>48980</v>
      </c>
      <c r="U11709" t="s">
        <v>59203</v>
      </c>
      <c r="W11709" t="s">
        <v>46603</v>
      </c>
      <c r="X11709" t="s">
        <v>47318</v>
      </c>
    </row>
    <row r="11710" spans="1:24">
      <c r="A11710">
        <f>HYPERLINK("https://www.philgeps.gov.ph/GEPSNONPILOT/Tender/SplashBidNoticeAbstractUI.aspx?menuIndex=3&amp;refID=7178376&amp;Result=3","7178376")</f>
        <v>0</v>
      </c>
      <c r="B11710" t="s">
        <v>1864</v>
      </c>
      <c r="C11710" t="s">
        <v>14922</v>
      </c>
      <c r="D11710" t="s">
        <v>19029</v>
      </c>
      <c r="E11710" t="s">
        <v>29056</v>
      </c>
      <c r="F11710" t="s">
        <v>32606</v>
      </c>
      <c r="G11710" t="s">
        <v>32613</v>
      </c>
      <c r="H11710" t="s">
        <v>14201</v>
      </c>
      <c r="I11710" t="s">
        <v>7577</v>
      </c>
      <c r="J11710" t="s">
        <v>40035</v>
      </c>
      <c r="K11710" t="s">
        <v>42630</v>
      </c>
      <c r="M11710" t="s">
        <v>44921</v>
      </c>
      <c r="N11710" t="s">
        <v>47304</v>
      </c>
      <c r="O11710" t="s">
        <v>47305</v>
      </c>
      <c r="P11710">
        <v>0</v>
      </c>
      <c r="Q11710">
        <v>5</v>
      </c>
      <c r="R11710" t="s">
        <v>47317</v>
      </c>
      <c r="S11710" t="s">
        <v>47712</v>
      </c>
      <c r="T11710" t="s">
        <v>49356</v>
      </c>
      <c r="U11710" t="s">
        <v>59197</v>
      </c>
      <c r="W11710" t="s">
        <v>44921</v>
      </c>
      <c r="X11710" t="s">
        <v>47318</v>
      </c>
    </row>
    <row r="11711" spans="1:24">
      <c r="A11711">
        <f>HYPERLINK("https://www.philgeps.gov.ph/GEPSNONPILOT/Tender/SplashBidNoticeAbstractUI.aspx?menuIndex=3&amp;refID=7178588&amp;Result=3","7178588")</f>
        <v>0</v>
      </c>
      <c r="B11711" t="s">
        <v>1491</v>
      </c>
      <c r="C11711" t="s">
        <v>14923</v>
      </c>
      <c r="D11711" t="s">
        <v>18987</v>
      </c>
      <c r="E11711" t="s">
        <v>29057</v>
      </c>
      <c r="F11711" t="s">
        <v>32606</v>
      </c>
      <c r="G11711" t="s">
        <v>32614</v>
      </c>
      <c r="H11711" t="s">
        <v>14201</v>
      </c>
      <c r="I11711" t="s">
        <v>32708</v>
      </c>
      <c r="J11711" t="s">
        <v>33427</v>
      </c>
      <c r="K11711" t="s">
        <v>42631</v>
      </c>
      <c r="M11711" t="s">
        <v>44486</v>
      </c>
      <c r="N11711" t="s">
        <v>47304</v>
      </c>
      <c r="O11711" t="s">
        <v>47305</v>
      </c>
      <c r="P11711">
        <v>0</v>
      </c>
      <c r="Q11711">
        <v>0</v>
      </c>
      <c r="R11711" t="s">
        <v>47317</v>
      </c>
      <c r="S11711" t="s">
        <v>47712</v>
      </c>
      <c r="T11711" t="s">
        <v>49071</v>
      </c>
      <c r="U11711" t="s">
        <v>59204</v>
      </c>
      <c r="V11711" t="s">
        <v>62938</v>
      </c>
      <c r="W11711" t="s">
        <v>44486</v>
      </c>
      <c r="X11711" t="s">
        <v>47318</v>
      </c>
    </row>
    <row r="11712" spans="1:24">
      <c r="A11712">
        <f>HYPERLINK("https://www.philgeps.gov.ph/GEPSNONPILOT/Tender/SplashBidNoticeAbstractUI.aspx?menuIndex=3&amp;refID=7178584&amp;Result=3","7178584")</f>
        <v>0</v>
      </c>
      <c r="B11712" t="s">
        <v>3359</v>
      </c>
      <c r="C11712" t="s">
        <v>14924</v>
      </c>
      <c r="D11712" t="s">
        <v>19008</v>
      </c>
      <c r="E11712" t="s">
        <v>23535</v>
      </c>
      <c r="F11712" t="s">
        <v>32606</v>
      </c>
      <c r="G11712" t="s">
        <v>32613</v>
      </c>
      <c r="H11712" t="s">
        <v>14201</v>
      </c>
      <c r="I11712" t="s">
        <v>7529</v>
      </c>
      <c r="J11712" t="s">
        <v>40036</v>
      </c>
      <c r="K11712" t="s">
        <v>42624</v>
      </c>
      <c r="M11712" t="s">
        <v>46607</v>
      </c>
      <c r="N11712" t="s">
        <v>47304</v>
      </c>
      <c r="O11712" t="s">
        <v>47305</v>
      </c>
      <c r="P11712">
        <v>0</v>
      </c>
      <c r="Q11712">
        <v>5</v>
      </c>
      <c r="R11712" t="s">
        <v>47317</v>
      </c>
      <c r="S11712" t="s">
        <v>47712</v>
      </c>
      <c r="T11712" t="s">
        <v>48980</v>
      </c>
      <c r="U11712" t="s">
        <v>59205</v>
      </c>
      <c r="W11712" t="s">
        <v>46607</v>
      </c>
      <c r="X11712" t="s">
        <v>47318</v>
      </c>
    </row>
    <row r="11713" spans="1:24">
      <c r="A11713">
        <f>HYPERLINK("https://www.philgeps.gov.ph/GEPSNONPILOT/Tender/SplashBidNoticeAbstractUI.aspx?menuIndex=3&amp;refID=7178573&amp;Result=3","7178573")</f>
        <v>0</v>
      </c>
      <c r="B11713" t="s">
        <v>3360</v>
      </c>
      <c r="C11713" t="s">
        <v>14925</v>
      </c>
      <c r="D11713" t="s">
        <v>19014</v>
      </c>
      <c r="E11713" t="s">
        <v>19181</v>
      </c>
      <c r="F11713" t="s">
        <v>32606</v>
      </c>
      <c r="G11713" t="s">
        <v>32619</v>
      </c>
      <c r="H11713" t="s">
        <v>14201</v>
      </c>
      <c r="I11713" t="s">
        <v>6014</v>
      </c>
      <c r="J11713" t="s">
        <v>40037</v>
      </c>
      <c r="K11713" t="s">
        <v>42631</v>
      </c>
      <c r="M11713" t="s">
        <v>46608</v>
      </c>
      <c r="N11713" t="s">
        <v>47304</v>
      </c>
      <c r="O11713" t="s">
        <v>47305</v>
      </c>
      <c r="Q11713">
        <v>2</v>
      </c>
      <c r="R11713" t="s">
        <v>47317</v>
      </c>
      <c r="S11713" t="s">
        <v>47726</v>
      </c>
      <c r="T11713" t="s">
        <v>49014</v>
      </c>
      <c r="U11713" t="s">
        <v>59206</v>
      </c>
      <c r="W11713" t="s">
        <v>46608</v>
      </c>
      <c r="X11713" t="s">
        <v>47318</v>
      </c>
    </row>
    <row r="11714" spans="1:24">
      <c r="A11714">
        <f>HYPERLINK("https://www.philgeps.gov.ph/GEPSNONPILOT/Tender/SplashBidNoticeAbstractUI.aspx?menuIndex=3&amp;refID=7178569&amp;Result=3","7178569")</f>
        <v>0</v>
      </c>
      <c r="B11714" t="s">
        <v>2232</v>
      </c>
      <c r="C11714" t="s">
        <v>14926</v>
      </c>
      <c r="D11714" t="s">
        <v>19038</v>
      </c>
      <c r="E11714" t="s">
        <v>21942</v>
      </c>
      <c r="F11714" t="s">
        <v>32606</v>
      </c>
      <c r="G11714" t="s">
        <v>32613</v>
      </c>
      <c r="H11714" t="s">
        <v>14201</v>
      </c>
      <c r="I11714" t="s">
        <v>6931</v>
      </c>
      <c r="J11714" t="s">
        <v>40038</v>
      </c>
      <c r="K11714" t="s">
        <v>42624</v>
      </c>
      <c r="M11714" t="s">
        <v>45336</v>
      </c>
      <c r="N11714" t="s">
        <v>47304</v>
      </c>
      <c r="O11714" t="s">
        <v>47305</v>
      </c>
      <c r="P11714">
        <v>0</v>
      </c>
      <c r="Q11714">
        <v>0</v>
      </c>
      <c r="R11714" t="s">
        <v>47317</v>
      </c>
      <c r="S11714" t="s">
        <v>47712</v>
      </c>
      <c r="T11714" t="s">
        <v>49267</v>
      </c>
      <c r="U11714" t="s">
        <v>59207</v>
      </c>
      <c r="W11714" t="s">
        <v>45336</v>
      </c>
      <c r="X11714" t="s">
        <v>47318</v>
      </c>
    </row>
    <row r="11715" spans="1:24">
      <c r="A11715">
        <f>HYPERLINK("https://www.philgeps.gov.ph/GEPSNONPILOT/Tender/SplashBidNoticeAbstractUI.aspx?menuIndex=3&amp;refID=7177722&amp;Result=3","7177722")</f>
        <v>0</v>
      </c>
      <c r="B11715" t="s">
        <v>3338</v>
      </c>
      <c r="C11715" t="s">
        <v>14927</v>
      </c>
      <c r="D11715" t="s">
        <v>19010</v>
      </c>
      <c r="E11715" t="s">
        <v>26341</v>
      </c>
      <c r="F11715" t="s">
        <v>32606</v>
      </c>
      <c r="G11715" t="s">
        <v>32613</v>
      </c>
      <c r="H11715" t="s">
        <v>14201</v>
      </c>
      <c r="I11715" t="s">
        <v>17648</v>
      </c>
      <c r="J11715" t="s">
        <v>40039</v>
      </c>
      <c r="K11715" t="s">
        <v>42630</v>
      </c>
      <c r="M11715" t="s">
        <v>46584</v>
      </c>
      <c r="N11715" t="s">
        <v>47304</v>
      </c>
      <c r="O11715" t="s">
        <v>47305</v>
      </c>
      <c r="P11715">
        <v>0</v>
      </c>
      <c r="Q11715">
        <v>0</v>
      </c>
      <c r="R11715" t="s">
        <v>47317</v>
      </c>
      <c r="S11715" t="s">
        <v>47712</v>
      </c>
      <c r="T11715" t="s">
        <v>49065</v>
      </c>
      <c r="U11715" t="s">
        <v>59208</v>
      </c>
      <c r="W11715" t="s">
        <v>46584</v>
      </c>
      <c r="X11715" t="s">
        <v>47318</v>
      </c>
    </row>
    <row r="11716" spans="1:24">
      <c r="A11716">
        <f>HYPERLINK("https://www.philgeps.gov.ph/GEPSNONPILOT/Tender/SplashBidNoticeAbstractUI.aspx?menuIndex=3&amp;refID=7178549&amp;Result=3","7178549")</f>
        <v>0</v>
      </c>
      <c r="B11716" t="s">
        <v>2331</v>
      </c>
      <c r="C11716" t="s">
        <v>14928</v>
      </c>
      <c r="D11716" t="s">
        <v>19015</v>
      </c>
      <c r="E11716" t="s">
        <v>29058</v>
      </c>
      <c r="F11716" t="s">
        <v>32606</v>
      </c>
      <c r="G11716" t="s">
        <v>32613</v>
      </c>
      <c r="H11716" t="s">
        <v>32623</v>
      </c>
      <c r="I11716" t="s">
        <v>17648</v>
      </c>
      <c r="J11716" t="s">
        <v>40040</v>
      </c>
      <c r="K11716" t="s">
        <v>42646</v>
      </c>
      <c r="M11716" t="s">
        <v>45441</v>
      </c>
      <c r="N11716" t="s">
        <v>47304</v>
      </c>
      <c r="O11716" t="s">
        <v>47305</v>
      </c>
      <c r="P11716">
        <v>0</v>
      </c>
      <c r="Q11716">
        <v>23</v>
      </c>
      <c r="R11716" t="s">
        <v>47317</v>
      </c>
      <c r="S11716" t="s">
        <v>47712</v>
      </c>
      <c r="T11716" t="s">
        <v>49096</v>
      </c>
      <c r="U11716" t="s">
        <v>59209</v>
      </c>
      <c r="W11716" t="s">
        <v>45441</v>
      </c>
      <c r="X11716" t="s">
        <v>47318</v>
      </c>
    </row>
    <row r="11717" spans="1:24">
      <c r="A11717">
        <f>HYPERLINK("https://www.philgeps.gov.ph/GEPSNONPILOT/Tender/SplashBidNoticeAbstractUI.aspx?menuIndex=3&amp;refID=7178543&amp;Result=3","7178543")</f>
        <v>0</v>
      </c>
      <c r="B11717" t="s">
        <v>1491</v>
      </c>
      <c r="C11717" t="s">
        <v>14929</v>
      </c>
      <c r="D11717" t="s">
        <v>18987</v>
      </c>
      <c r="E11717" t="s">
        <v>29059</v>
      </c>
      <c r="F11717" t="s">
        <v>32606</v>
      </c>
      <c r="G11717" t="s">
        <v>32614</v>
      </c>
      <c r="H11717" t="s">
        <v>14201</v>
      </c>
      <c r="I11717" t="s">
        <v>4120</v>
      </c>
      <c r="J11717" t="s">
        <v>40041</v>
      </c>
      <c r="K11717" t="s">
        <v>42631</v>
      </c>
      <c r="M11717" t="s">
        <v>44486</v>
      </c>
      <c r="N11717" t="s">
        <v>47304</v>
      </c>
      <c r="O11717" t="s">
        <v>47305</v>
      </c>
      <c r="P11717">
        <v>0</v>
      </c>
      <c r="Q11717">
        <v>0</v>
      </c>
      <c r="R11717" t="s">
        <v>47317</v>
      </c>
      <c r="S11717" t="s">
        <v>47712</v>
      </c>
      <c r="T11717" t="s">
        <v>49071</v>
      </c>
      <c r="U11717" t="s">
        <v>59210</v>
      </c>
      <c r="V11717" t="s">
        <v>62938</v>
      </c>
      <c r="W11717" t="s">
        <v>44486</v>
      </c>
      <c r="X11717" t="s">
        <v>47318</v>
      </c>
    </row>
    <row r="11718" spans="1:24">
      <c r="A11718">
        <f>HYPERLINK("https://www.philgeps.gov.ph/GEPSNONPILOT/Tender/SplashBidNoticeAbstractUI.aspx?menuIndex=3&amp;refID=7178533&amp;Result=3","7178533")</f>
        <v>0</v>
      </c>
      <c r="B11718" t="s">
        <v>3361</v>
      </c>
      <c r="C11718" t="s">
        <v>14930</v>
      </c>
      <c r="D11718" t="s">
        <v>19015</v>
      </c>
      <c r="E11718" t="s">
        <v>29060</v>
      </c>
      <c r="F11718" t="s">
        <v>32606</v>
      </c>
      <c r="G11718" t="s">
        <v>32613</v>
      </c>
      <c r="H11718" t="s">
        <v>32623</v>
      </c>
      <c r="I11718" t="s">
        <v>17648</v>
      </c>
      <c r="J11718" t="s">
        <v>32821</v>
      </c>
      <c r="K11718" t="s">
        <v>42646</v>
      </c>
      <c r="M11718" t="s">
        <v>46609</v>
      </c>
      <c r="N11718" t="s">
        <v>47304</v>
      </c>
      <c r="O11718" t="s">
        <v>47305</v>
      </c>
      <c r="Q11718">
        <v>103</v>
      </c>
      <c r="R11718" t="s">
        <v>47317</v>
      </c>
      <c r="S11718" t="s">
        <v>47727</v>
      </c>
      <c r="T11718" t="s">
        <v>49116</v>
      </c>
      <c r="U11718" t="s">
        <v>49594</v>
      </c>
      <c r="W11718" t="s">
        <v>46609</v>
      </c>
      <c r="X11718" t="s">
        <v>47318</v>
      </c>
    </row>
    <row r="11719" spans="1:24">
      <c r="A11719">
        <f>HYPERLINK("https://www.philgeps.gov.ph/GEPSNONPILOT/Tender/SplashBidNoticeAbstractUI.aspx?menuIndex=3&amp;refID=7178527&amp;Result=3","7178527")</f>
        <v>0</v>
      </c>
      <c r="B11719" t="s">
        <v>2331</v>
      </c>
      <c r="C11719" t="s">
        <v>14931</v>
      </c>
      <c r="D11719" t="s">
        <v>19015</v>
      </c>
      <c r="E11719" t="s">
        <v>29061</v>
      </c>
      <c r="F11719" t="s">
        <v>32606</v>
      </c>
      <c r="G11719" t="s">
        <v>32613</v>
      </c>
      <c r="H11719" t="s">
        <v>32623</v>
      </c>
      <c r="I11719" t="s">
        <v>17648</v>
      </c>
      <c r="J11719" t="s">
        <v>40042</v>
      </c>
      <c r="K11719" t="s">
        <v>42706</v>
      </c>
      <c r="M11719" t="s">
        <v>45441</v>
      </c>
      <c r="N11719" t="s">
        <v>47304</v>
      </c>
      <c r="O11719" t="s">
        <v>47305</v>
      </c>
      <c r="P11719">
        <v>0</v>
      </c>
      <c r="Q11719">
        <v>23</v>
      </c>
      <c r="R11719" t="s">
        <v>47317</v>
      </c>
      <c r="S11719" t="s">
        <v>47712</v>
      </c>
      <c r="T11719" t="s">
        <v>48989</v>
      </c>
      <c r="U11719" t="s">
        <v>59211</v>
      </c>
      <c r="W11719" t="s">
        <v>45441</v>
      </c>
      <c r="X11719" t="s">
        <v>47318</v>
      </c>
    </row>
    <row r="11720" spans="1:24">
      <c r="A11720">
        <f>HYPERLINK("https://www.philgeps.gov.ph/GEPSNONPILOT/Tender/SplashBidNoticeAbstractUI.aspx?menuIndex=3&amp;refID=7178522&amp;Result=3","7178522")</f>
        <v>0</v>
      </c>
      <c r="B11720" t="s">
        <v>3048</v>
      </c>
      <c r="C11720" t="s">
        <v>14932</v>
      </c>
      <c r="D11720" t="s">
        <v>19053</v>
      </c>
      <c r="E11720" t="s">
        <v>29062</v>
      </c>
      <c r="F11720" t="s">
        <v>32606</v>
      </c>
      <c r="G11720" t="s">
        <v>32613</v>
      </c>
      <c r="H11720" t="s">
        <v>14201</v>
      </c>
      <c r="I11720" t="s">
        <v>4120</v>
      </c>
      <c r="J11720" t="s">
        <v>32860</v>
      </c>
      <c r="K11720" t="s">
        <v>42631</v>
      </c>
      <c r="M11720" t="s">
        <v>46244</v>
      </c>
      <c r="N11720" t="s">
        <v>47304</v>
      </c>
      <c r="O11720" t="s">
        <v>47305</v>
      </c>
      <c r="P11720">
        <v>0</v>
      </c>
      <c r="Q11720">
        <v>3</v>
      </c>
      <c r="R11720" t="s">
        <v>47317</v>
      </c>
      <c r="S11720" t="s">
        <v>47712</v>
      </c>
      <c r="T11720" t="s">
        <v>49457</v>
      </c>
      <c r="U11720" t="s">
        <v>59212</v>
      </c>
      <c r="W11720" t="s">
        <v>46244</v>
      </c>
      <c r="X11720" t="s">
        <v>47318</v>
      </c>
    </row>
    <row r="11721" spans="1:24">
      <c r="A11721">
        <f>HYPERLINK("https://www.philgeps.gov.ph/GEPSNONPILOT/Tender/SplashBidNoticeAbstractUI.aspx?menuIndex=3&amp;refID=7178570&amp;Result=3","7178570")</f>
        <v>0</v>
      </c>
      <c r="B11721" t="s">
        <v>3359</v>
      </c>
      <c r="C11721" t="s">
        <v>14933</v>
      </c>
      <c r="D11721" t="s">
        <v>19008</v>
      </c>
      <c r="E11721" t="s">
        <v>28370</v>
      </c>
      <c r="F11721" t="s">
        <v>32606</v>
      </c>
      <c r="G11721" t="s">
        <v>32613</v>
      </c>
      <c r="H11721" t="s">
        <v>14201</v>
      </c>
      <c r="I11721" t="s">
        <v>6931</v>
      </c>
      <c r="J11721" t="s">
        <v>40043</v>
      </c>
      <c r="K11721" t="s">
        <v>42624</v>
      </c>
      <c r="M11721" t="s">
        <v>46607</v>
      </c>
      <c r="N11721" t="s">
        <v>47304</v>
      </c>
      <c r="O11721" t="s">
        <v>47305</v>
      </c>
      <c r="P11721">
        <v>0</v>
      </c>
      <c r="Q11721">
        <v>0</v>
      </c>
      <c r="R11721" t="s">
        <v>47317</v>
      </c>
      <c r="S11721" t="s">
        <v>47712</v>
      </c>
      <c r="T11721" t="s">
        <v>48980</v>
      </c>
      <c r="U11721" t="s">
        <v>59213</v>
      </c>
      <c r="W11721" t="s">
        <v>46607</v>
      </c>
      <c r="X11721" t="s">
        <v>47318</v>
      </c>
    </row>
    <row r="11722" spans="1:24">
      <c r="A11722">
        <f>HYPERLINK("https://www.philgeps.gov.ph/GEPSNONPILOT/Tender/SplashBidNoticeAbstractUI.aspx?menuIndex=3&amp;refID=7178494&amp;Result=3","7178494")</f>
        <v>0</v>
      </c>
      <c r="B11722" t="s">
        <v>383</v>
      </c>
      <c r="C11722" t="s">
        <v>4678</v>
      </c>
      <c r="E11722" t="s">
        <v>29063</v>
      </c>
      <c r="F11722" t="s">
        <v>32606</v>
      </c>
      <c r="G11722" t="s">
        <v>32613</v>
      </c>
      <c r="H11722" t="s">
        <v>14201</v>
      </c>
      <c r="I11722" t="s">
        <v>4678</v>
      </c>
      <c r="J11722" t="s">
        <v>38240</v>
      </c>
      <c r="K11722" t="s">
        <v>42624</v>
      </c>
      <c r="M11722" t="s">
        <v>43286</v>
      </c>
      <c r="N11722" t="s">
        <v>47304</v>
      </c>
      <c r="O11722" t="s">
        <v>47305</v>
      </c>
      <c r="P11722">
        <v>0</v>
      </c>
      <c r="Q11722">
        <v>0</v>
      </c>
      <c r="R11722" t="s">
        <v>47317</v>
      </c>
      <c r="S11722" t="s">
        <v>47712</v>
      </c>
      <c r="T11722" t="s">
        <v>49102</v>
      </c>
      <c r="U11722" t="s">
        <v>59214</v>
      </c>
      <c r="W11722" t="s">
        <v>43286</v>
      </c>
      <c r="X11722" t="s">
        <v>47318</v>
      </c>
    </row>
    <row r="11723" spans="1:24">
      <c r="A11723">
        <f>HYPERLINK("https://www.philgeps.gov.ph/GEPSNONPILOT/Tender/SplashBidNoticeAbstractUI.aspx?menuIndex=3&amp;refID=7178493&amp;Result=3","7178493")</f>
        <v>0</v>
      </c>
      <c r="B11723" t="s">
        <v>453</v>
      </c>
      <c r="C11723" t="s">
        <v>14934</v>
      </c>
      <c r="D11723" t="s">
        <v>19001</v>
      </c>
      <c r="E11723" t="s">
        <v>27143</v>
      </c>
      <c r="F11723" t="s">
        <v>32606</v>
      </c>
      <c r="G11723" t="s">
        <v>32613</v>
      </c>
      <c r="H11723" t="s">
        <v>32623</v>
      </c>
      <c r="I11723" t="s">
        <v>17648</v>
      </c>
      <c r="J11723" t="s">
        <v>35904</v>
      </c>
      <c r="K11723" t="s">
        <v>42634</v>
      </c>
      <c r="M11723" t="s">
        <v>43363</v>
      </c>
      <c r="N11723" t="s">
        <v>47304</v>
      </c>
      <c r="O11723" t="s">
        <v>47305</v>
      </c>
      <c r="P11723">
        <v>0</v>
      </c>
      <c r="Q11723">
        <v>0</v>
      </c>
      <c r="R11723" t="s">
        <v>47317</v>
      </c>
      <c r="S11723" t="s">
        <v>47712</v>
      </c>
      <c r="T11723" t="s">
        <v>49052</v>
      </c>
      <c r="U11723" t="s">
        <v>59215</v>
      </c>
      <c r="W11723" t="s">
        <v>43363</v>
      </c>
      <c r="X11723" t="s">
        <v>47318</v>
      </c>
    </row>
    <row r="11724" spans="1:24">
      <c r="A11724">
        <f>HYPERLINK("https://www.philgeps.gov.ph/GEPSNONPILOT/Tender/SplashBidNoticeAbstractUI.aspx?menuIndex=3&amp;refID=7178301&amp;Result=3","7178301")</f>
        <v>0</v>
      </c>
      <c r="B11724" t="s">
        <v>3254</v>
      </c>
      <c r="C11724" t="s">
        <v>14935</v>
      </c>
      <c r="D11724" t="s">
        <v>19002</v>
      </c>
      <c r="E11724" t="s">
        <v>28651</v>
      </c>
      <c r="F11724" t="s">
        <v>32606</v>
      </c>
      <c r="G11724" t="s">
        <v>32613</v>
      </c>
      <c r="H11724" t="s">
        <v>14201</v>
      </c>
      <c r="I11724" t="s">
        <v>6298</v>
      </c>
      <c r="J11724" t="s">
        <v>40044</v>
      </c>
      <c r="K11724" t="s">
        <v>42623</v>
      </c>
      <c r="M11724" t="s">
        <v>46488</v>
      </c>
      <c r="N11724" t="s">
        <v>47304</v>
      </c>
      <c r="O11724" t="s">
        <v>47305</v>
      </c>
      <c r="P11724">
        <v>0</v>
      </c>
      <c r="Q11724">
        <v>1</v>
      </c>
      <c r="R11724" t="s">
        <v>47317</v>
      </c>
      <c r="S11724" t="s">
        <v>47712</v>
      </c>
      <c r="T11724" t="s">
        <v>49315</v>
      </c>
      <c r="U11724" t="s">
        <v>59216</v>
      </c>
      <c r="W11724" t="s">
        <v>46488</v>
      </c>
      <c r="X11724" t="s">
        <v>47318</v>
      </c>
    </row>
    <row r="11725" spans="1:24">
      <c r="A11725">
        <f>HYPERLINK("https://www.philgeps.gov.ph/GEPSNONPILOT/Tender/SplashBidNoticeAbstractUI.aspx?menuIndex=3&amp;refID=7178458&amp;Result=3","7178458")</f>
        <v>0</v>
      </c>
      <c r="B11725" t="s">
        <v>383</v>
      </c>
      <c r="C11725" t="s">
        <v>4842</v>
      </c>
      <c r="E11725" t="s">
        <v>29064</v>
      </c>
      <c r="F11725" t="s">
        <v>32606</v>
      </c>
      <c r="G11725" t="s">
        <v>32613</v>
      </c>
      <c r="H11725" t="s">
        <v>14201</v>
      </c>
      <c r="I11725" t="s">
        <v>6931</v>
      </c>
      <c r="J11725" t="s">
        <v>36552</v>
      </c>
      <c r="K11725" t="s">
        <v>42624</v>
      </c>
      <c r="M11725" t="s">
        <v>43286</v>
      </c>
      <c r="N11725" t="s">
        <v>47304</v>
      </c>
      <c r="O11725" t="s">
        <v>47305</v>
      </c>
      <c r="P11725">
        <v>0</v>
      </c>
      <c r="Q11725">
        <v>0</v>
      </c>
      <c r="R11725" t="s">
        <v>47317</v>
      </c>
      <c r="S11725" t="s">
        <v>47712</v>
      </c>
      <c r="T11725" t="s">
        <v>49102</v>
      </c>
      <c r="U11725" t="s">
        <v>59217</v>
      </c>
      <c r="W11725" t="s">
        <v>43286</v>
      </c>
      <c r="X11725" t="s">
        <v>47318</v>
      </c>
    </row>
    <row r="11726" spans="1:24">
      <c r="A11726">
        <f>HYPERLINK("https://www.philgeps.gov.ph/GEPSNONPILOT/Tender/SplashBidNoticeAbstractUI.aspx?menuIndex=3&amp;refID=7178508&amp;Result=3","7178508")</f>
        <v>0</v>
      </c>
      <c r="B11726" t="s">
        <v>3346</v>
      </c>
      <c r="C11726" t="s">
        <v>14936</v>
      </c>
      <c r="D11726" t="s">
        <v>19000</v>
      </c>
      <c r="E11726" t="s">
        <v>25954</v>
      </c>
      <c r="F11726" t="s">
        <v>32606</v>
      </c>
      <c r="G11726" t="s">
        <v>32613</v>
      </c>
      <c r="H11726" t="s">
        <v>32623</v>
      </c>
      <c r="I11726" t="s">
        <v>17648</v>
      </c>
      <c r="J11726" t="s">
        <v>35368</v>
      </c>
      <c r="K11726" t="s">
        <v>42648</v>
      </c>
      <c r="M11726" t="s">
        <v>46593</v>
      </c>
      <c r="N11726" t="s">
        <v>47304</v>
      </c>
      <c r="O11726" t="s">
        <v>47305</v>
      </c>
      <c r="P11726">
        <v>0</v>
      </c>
      <c r="Q11726">
        <v>1</v>
      </c>
      <c r="R11726" t="s">
        <v>47317</v>
      </c>
      <c r="S11726" t="s">
        <v>47712</v>
      </c>
      <c r="T11726" t="s">
        <v>49099</v>
      </c>
      <c r="U11726" t="s">
        <v>59218</v>
      </c>
      <c r="W11726" t="s">
        <v>46593</v>
      </c>
      <c r="X11726" t="s">
        <v>47318</v>
      </c>
    </row>
    <row r="11727" spans="1:24">
      <c r="A11727">
        <f>HYPERLINK("https://www.philgeps.gov.ph/GEPSNONPILOT/Tender/SplashBidNoticeAbstractUI.aspx?menuIndex=3&amp;refID=7178490&amp;Result=3","7178490")</f>
        <v>0</v>
      </c>
      <c r="B11727" t="s">
        <v>1201</v>
      </c>
      <c r="C11727" t="s">
        <v>14937</v>
      </c>
      <c r="E11727" t="s">
        <v>29065</v>
      </c>
      <c r="F11727" t="s">
        <v>32606</v>
      </c>
      <c r="G11727" t="s">
        <v>32613</v>
      </c>
      <c r="H11727" t="s">
        <v>14201</v>
      </c>
      <c r="I11727" t="s">
        <v>32644</v>
      </c>
      <c r="J11727" t="s">
        <v>32770</v>
      </c>
      <c r="K11727" t="s">
        <v>42631</v>
      </c>
      <c r="M11727" t="s">
        <v>45117</v>
      </c>
      <c r="N11727" t="s">
        <v>47304</v>
      </c>
      <c r="O11727" t="s">
        <v>47305</v>
      </c>
      <c r="P11727">
        <v>0</v>
      </c>
      <c r="Q11727">
        <v>8</v>
      </c>
      <c r="R11727" t="s">
        <v>47317</v>
      </c>
      <c r="S11727" t="s">
        <v>47712</v>
      </c>
      <c r="T11727" t="s">
        <v>49064</v>
      </c>
      <c r="U11727" t="s">
        <v>58819</v>
      </c>
      <c r="W11727" t="s">
        <v>45117</v>
      </c>
      <c r="X11727" t="s">
        <v>47318</v>
      </c>
    </row>
    <row r="11728" spans="1:24">
      <c r="A11728">
        <f>HYPERLINK("https://www.philgeps.gov.ph/GEPSNONPILOT/Tender/SplashBidNoticeAbstractUI.aspx?menuIndex=3&amp;refID=7178281&amp;Result=3","7178281")</f>
        <v>0</v>
      </c>
      <c r="B11728" t="s">
        <v>1283</v>
      </c>
      <c r="C11728" t="s">
        <v>14938</v>
      </c>
      <c r="D11728" t="s">
        <v>18990</v>
      </c>
      <c r="E11728" t="s">
        <v>29066</v>
      </c>
      <c r="F11728" t="s">
        <v>32606</v>
      </c>
      <c r="G11728" t="s">
        <v>32613</v>
      </c>
      <c r="H11728" t="s">
        <v>32623</v>
      </c>
      <c r="I11728" t="s">
        <v>32659</v>
      </c>
      <c r="J11728" t="s">
        <v>32796</v>
      </c>
      <c r="K11728" t="s">
        <v>42646</v>
      </c>
      <c r="M11728" t="s">
        <v>46610</v>
      </c>
      <c r="N11728" t="s">
        <v>47304</v>
      </c>
      <c r="O11728" t="s">
        <v>47305</v>
      </c>
      <c r="P11728">
        <v>0</v>
      </c>
      <c r="Q11728">
        <v>4</v>
      </c>
      <c r="R11728" t="s">
        <v>47317</v>
      </c>
      <c r="S11728" t="s">
        <v>47712</v>
      </c>
      <c r="T11728" t="s">
        <v>49106</v>
      </c>
      <c r="U11728" t="s">
        <v>59219</v>
      </c>
      <c r="W11728" t="s">
        <v>46610</v>
      </c>
      <c r="X11728" t="s">
        <v>47318</v>
      </c>
    </row>
    <row r="11729" spans="1:24">
      <c r="A11729">
        <f>HYPERLINK("https://www.philgeps.gov.ph/GEPSNONPILOT/Tender/SplashBidNoticeAbstractUI.aspx?menuIndex=3&amp;refID=7178478&amp;Result=3","7178478")</f>
        <v>0</v>
      </c>
      <c r="B11729" t="s">
        <v>3346</v>
      </c>
      <c r="C11729" t="s">
        <v>14939</v>
      </c>
      <c r="D11729" t="s">
        <v>19000</v>
      </c>
      <c r="E11729" t="s">
        <v>22122</v>
      </c>
      <c r="F11729" t="s">
        <v>32606</v>
      </c>
      <c r="G11729" t="s">
        <v>32613</v>
      </c>
      <c r="H11729" t="s">
        <v>32623</v>
      </c>
      <c r="I11729" t="s">
        <v>17648</v>
      </c>
      <c r="J11729" t="s">
        <v>40045</v>
      </c>
      <c r="K11729" t="s">
        <v>42648</v>
      </c>
      <c r="M11729" t="s">
        <v>46593</v>
      </c>
      <c r="N11729" t="s">
        <v>47304</v>
      </c>
      <c r="O11729" t="s">
        <v>47305</v>
      </c>
      <c r="P11729">
        <v>0</v>
      </c>
      <c r="Q11729">
        <v>1</v>
      </c>
      <c r="R11729" t="s">
        <v>47317</v>
      </c>
      <c r="S11729" t="s">
        <v>47712</v>
      </c>
      <c r="T11729" t="s">
        <v>49099</v>
      </c>
      <c r="U11729" t="s">
        <v>59220</v>
      </c>
      <c r="W11729" t="s">
        <v>46593</v>
      </c>
      <c r="X11729" t="s">
        <v>47318</v>
      </c>
    </row>
    <row r="11730" spans="1:24">
      <c r="A11730">
        <f>HYPERLINK("https://www.philgeps.gov.ph/GEPSNONPILOT/Tender/SplashBidNoticeAbstractUI.aspx?menuIndex=3&amp;refID=7178228&amp;Result=3","7178228")</f>
        <v>0</v>
      </c>
      <c r="B11730" t="s">
        <v>295</v>
      </c>
      <c r="C11730" t="s">
        <v>14940</v>
      </c>
      <c r="D11730" t="s">
        <v>19033</v>
      </c>
      <c r="E11730" t="s">
        <v>14940</v>
      </c>
      <c r="F11730" t="s">
        <v>32606</v>
      </c>
      <c r="G11730" t="s">
        <v>32619</v>
      </c>
      <c r="H11730" t="s">
        <v>32624</v>
      </c>
      <c r="I11730" t="s">
        <v>32644</v>
      </c>
      <c r="J11730" t="s">
        <v>32949</v>
      </c>
      <c r="K11730" t="s">
        <v>42631</v>
      </c>
      <c r="M11730" t="s">
        <v>43197</v>
      </c>
      <c r="N11730" t="s">
        <v>47304</v>
      </c>
      <c r="O11730" t="s">
        <v>47305</v>
      </c>
      <c r="P11730">
        <v>0</v>
      </c>
      <c r="Q11730">
        <v>0</v>
      </c>
      <c r="R11730" t="s">
        <v>47317</v>
      </c>
      <c r="S11730" t="s">
        <v>47712</v>
      </c>
      <c r="T11730" t="s">
        <v>49116</v>
      </c>
      <c r="U11730" t="s">
        <v>59221</v>
      </c>
      <c r="W11730" t="s">
        <v>43197</v>
      </c>
      <c r="X11730" t="s">
        <v>47318</v>
      </c>
    </row>
    <row r="11731" spans="1:24">
      <c r="A11731">
        <f>HYPERLINK("https://www.philgeps.gov.ph/GEPSNONPILOT/Tender/SplashBidNoticeAbstractUI.aspx?menuIndex=3&amp;refID=7178475&amp;Result=3","7178475")</f>
        <v>0</v>
      </c>
      <c r="B11731" t="s">
        <v>383</v>
      </c>
      <c r="C11731" t="s">
        <v>9013</v>
      </c>
      <c r="E11731" t="s">
        <v>29067</v>
      </c>
      <c r="F11731" t="s">
        <v>32606</v>
      </c>
      <c r="G11731" t="s">
        <v>32613</v>
      </c>
      <c r="H11731" t="s">
        <v>14201</v>
      </c>
      <c r="I11731" t="s">
        <v>9013</v>
      </c>
      <c r="J11731" t="s">
        <v>40046</v>
      </c>
      <c r="K11731" t="s">
        <v>42624</v>
      </c>
      <c r="M11731" t="s">
        <v>43286</v>
      </c>
      <c r="N11731" t="s">
        <v>47304</v>
      </c>
      <c r="O11731" t="s">
        <v>47305</v>
      </c>
      <c r="P11731">
        <v>0</v>
      </c>
      <c r="Q11731">
        <v>1</v>
      </c>
      <c r="R11731" t="s">
        <v>47317</v>
      </c>
      <c r="S11731" t="s">
        <v>47712</v>
      </c>
      <c r="T11731" t="s">
        <v>49102</v>
      </c>
      <c r="U11731" t="s">
        <v>59222</v>
      </c>
      <c r="W11731" t="s">
        <v>43286</v>
      </c>
      <c r="X11731" t="s">
        <v>47318</v>
      </c>
    </row>
    <row r="11732" spans="1:24">
      <c r="A11732">
        <f>HYPERLINK("https://www.philgeps.gov.ph/GEPSNONPILOT/Tender/SplashBidNoticeAbstractUI.aspx?menuIndex=3&amp;refID=7177910&amp;Result=3","7177910")</f>
        <v>0</v>
      </c>
      <c r="B11732" t="s">
        <v>922</v>
      </c>
      <c r="C11732" t="s">
        <v>14941</v>
      </c>
      <c r="D11732" t="s">
        <v>19023</v>
      </c>
      <c r="E11732" t="s">
        <v>25920</v>
      </c>
      <c r="F11732" t="s">
        <v>32606</v>
      </c>
      <c r="G11732" t="s">
        <v>32613</v>
      </c>
      <c r="H11732" t="s">
        <v>14201</v>
      </c>
      <c r="I11732" t="s">
        <v>7064</v>
      </c>
      <c r="J11732" t="s">
        <v>35368</v>
      </c>
      <c r="K11732" t="s">
        <v>42636</v>
      </c>
      <c r="M11732" t="s">
        <v>43862</v>
      </c>
      <c r="N11732" t="s">
        <v>47304</v>
      </c>
      <c r="O11732" t="s">
        <v>47305</v>
      </c>
      <c r="Q11732">
        <v>9</v>
      </c>
      <c r="R11732" t="s">
        <v>47317</v>
      </c>
      <c r="S11732" t="s">
        <v>47728</v>
      </c>
      <c r="T11732" t="s">
        <v>49160</v>
      </c>
      <c r="U11732" t="s">
        <v>59223</v>
      </c>
      <c r="W11732" t="s">
        <v>43862</v>
      </c>
      <c r="X11732" t="s">
        <v>47318</v>
      </c>
    </row>
    <row r="11733" spans="1:24">
      <c r="A11733">
        <f>HYPERLINK("https://www.philgeps.gov.ph/GEPSNONPILOT/Tender/SplashBidNoticeAbstractUI.aspx?menuIndex=3&amp;refID=7178284&amp;Result=3","7178284")</f>
        <v>0</v>
      </c>
      <c r="B11733" t="s">
        <v>2977</v>
      </c>
      <c r="C11733" t="s">
        <v>14942</v>
      </c>
      <c r="D11733" t="s">
        <v>19058</v>
      </c>
      <c r="E11733" t="s">
        <v>29068</v>
      </c>
      <c r="F11733" t="s">
        <v>32608</v>
      </c>
      <c r="G11733" t="s">
        <v>32613</v>
      </c>
      <c r="H11733" t="s">
        <v>32623</v>
      </c>
      <c r="I11733" t="s">
        <v>17648</v>
      </c>
      <c r="J11733" t="s">
        <v>40047</v>
      </c>
      <c r="K11733" t="s">
        <v>42636</v>
      </c>
      <c r="M11733" t="s">
        <v>46164</v>
      </c>
      <c r="N11733" t="s">
        <v>47304</v>
      </c>
      <c r="O11733" t="s">
        <v>47305</v>
      </c>
      <c r="P11733">
        <v>0</v>
      </c>
      <c r="Q11733">
        <v>0</v>
      </c>
      <c r="R11733" t="s">
        <v>47317</v>
      </c>
      <c r="S11733" t="s">
        <v>47712</v>
      </c>
      <c r="T11733" t="s">
        <v>48976</v>
      </c>
      <c r="U11733" t="s">
        <v>59224</v>
      </c>
      <c r="W11733" t="s">
        <v>46164</v>
      </c>
      <c r="X11733" t="s">
        <v>47318</v>
      </c>
    </row>
    <row r="11734" spans="1:24">
      <c r="A11734">
        <f>HYPERLINK("https://www.philgeps.gov.ph/GEPSNONPILOT/Tender/SplashBidNoticeAbstractUI.aspx?menuIndex=3&amp;refID=7177878&amp;Result=3","7177878")</f>
        <v>0</v>
      </c>
      <c r="B11734" t="s">
        <v>439</v>
      </c>
      <c r="C11734" t="s">
        <v>14943</v>
      </c>
      <c r="D11734" t="s">
        <v>19054</v>
      </c>
      <c r="E11734" t="s">
        <v>29069</v>
      </c>
      <c r="F11734" t="s">
        <v>32606</v>
      </c>
      <c r="G11734" t="s">
        <v>32613</v>
      </c>
      <c r="H11734" t="s">
        <v>14201</v>
      </c>
      <c r="I11734" t="s">
        <v>7677</v>
      </c>
      <c r="J11734" t="s">
        <v>40048</v>
      </c>
      <c r="K11734" t="s">
        <v>42631</v>
      </c>
      <c r="M11734" t="s">
        <v>45807</v>
      </c>
      <c r="N11734" t="s">
        <v>47304</v>
      </c>
      <c r="O11734" t="s">
        <v>47305</v>
      </c>
      <c r="P11734">
        <v>0</v>
      </c>
      <c r="Q11734">
        <v>7</v>
      </c>
      <c r="R11734" t="s">
        <v>47317</v>
      </c>
      <c r="S11734" t="s">
        <v>47712</v>
      </c>
      <c r="T11734" t="s">
        <v>49140</v>
      </c>
      <c r="U11734" t="s">
        <v>56486</v>
      </c>
      <c r="W11734" t="s">
        <v>45807</v>
      </c>
      <c r="X11734" t="s">
        <v>47318</v>
      </c>
    </row>
    <row r="11735" spans="1:24">
      <c r="A11735">
        <f>HYPERLINK("https://www.philgeps.gov.ph/GEPSNONPILOT/Tender/SplashBidNoticeAbstractUI.aspx?menuIndex=3&amp;refID=7178373&amp;Result=3","7178373")</f>
        <v>0</v>
      </c>
      <c r="B11735" t="s">
        <v>2389</v>
      </c>
      <c r="C11735" t="s">
        <v>14944</v>
      </c>
      <c r="D11735" t="s">
        <v>19058</v>
      </c>
      <c r="E11735" t="s">
        <v>21514</v>
      </c>
      <c r="F11735" t="s">
        <v>32606</v>
      </c>
      <c r="G11735" t="s">
        <v>32613</v>
      </c>
      <c r="H11735" t="s">
        <v>14201</v>
      </c>
      <c r="I11735" t="s">
        <v>32640</v>
      </c>
      <c r="J11735" t="s">
        <v>33043</v>
      </c>
      <c r="K11735" t="s">
        <v>42627</v>
      </c>
      <c r="M11735" t="s">
        <v>45508</v>
      </c>
      <c r="N11735" t="s">
        <v>47304</v>
      </c>
      <c r="O11735" t="s">
        <v>47305</v>
      </c>
      <c r="P11735">
        <v>0</v>
      </c>
      <c r="Q11735">
        <v>7</v>
      </c>
      <c r="R11735" t="s">
        <v>47317</v>
      </c>
      <c r="S11735" t="s">
        <v>47712</v>
      </c>
      <c r="T11735" t="s">
        <v>49169</v>
      </c>
      <c r="U11735" t="s">
        <v>55668</v>
      </c>
      <c r="W11735" t="s">
        <v>45508</v>
      </c>
      <c r="X11735" t="s">
        <v>47318</v>
      </c>
    </row>
    <row r="11736" spans="1:24">
      <c r="A11736">
        <f>HYPERLINK("https://www.philgeps.gov.ph/GEPSNONPILOT/Tender/SplashBidNoticeAbstractUI.aspx?menuIndex=3&amp;refID=7178607&amp;Result=3","7178607")</f>
        <v>0</v>
      </c>
      <c r="B11736" t="s">
        <v>3362</v>
      </c>
      <c r="C11736" t="s">
        <v>14945</v>
      </c>
      <c r="D11736" t="s">
        <v>19019</v>
      </c>
      <c r="E11736" t="s">
        <v>29070</v>
      </c>
      <c r="F11736" t="s">
        <v>32606</v>
      </c>
      <c r="G11736" t="s">
        <v>32613</v>
      </c>
      <c r="H11736" t="s">
        <v>14201</v>
      </c>
      <c r="I11736" t="s">
        <v>6931</v>
      </c>
      <c r="J11736" t="s">
        <v>40049</v>
      </c>
      <c r="K11736" t="s">
        <v>42623</v>
      </c>
      <c r="M11736" t="s">
        <v>46611</v>
      </c>
      <c r="N11736" t="s">
        <v>47304</v>
      </c>
      <c r="O11736" t="s">
        <v>47305</v>
      </c>
      <c r="P11736">
        <v>0</v>
      </c>
      <c r="Q11736">
        <v>0</v>
      </c>
      <c r="R11736" t="s">
        <v>47317</v>
      </c>
      <c r="S11736" t="s">
        <v>47712</v>
      </c>
      <c r="T11736" t="s">
        <v>49124</v>
      </c>
      <c r="U11736" t="s">
        <v>59225</v>
      </c>
      <c r="W11736" t="s">
        <v>46611</v>
      </c>
      <c r="X11736" t="s">
        <v>47318</v>
      </c>
    </row>
    <row r="11737" spans="1:24">
      <c r="A11737">
        <f>HYPERLINK("https://www.philgeps.gov.ph/GEPSNONPILOT/Tender/SplashBidNoticeAbstractUI.aspx?menuIndex=3&amp;refID=7178275&amp;Result=3","7178275")</f>
        <v>0</v>
      </c>
      <c r="B11737" t="s">
        <v>3357</v>
      </c>
      <c r="C11737" t="s">
        <v>14946</v>
      </c>
      <c r="E11737" t="s">
        <v>23426</v>
      </c>
      <c r="F11737" t="s">
        <v>32606</v>
      </c>
      <c r="G11737" t="s">
        <v>32613</v>
      </c>
      <c r="H11737" t="s">
        <v>14201</v>
      </c>
      <c r="I11737" t="s">
        <v>32650</v>
      </c>
      <c r="J11737" t="s">
        <v>40050</v>
      </c>
      <c r="K11737" t="s">
        <v>42639</v>
      </c>
      <c r="M11737" t="s">
        <v>46604</v>
      </c>
      <c r="N11737" t="s">
        <v>47304</v>
      </c>
      <c r="O11737" t="s">
        <v>47305</v>
      </c>
      <c r="P11737">
        <v>0</v>
      </c>
      <c r="Q11737">
        <v>2</v>
      </c>
      <c r="R11737" t="s">
        <v>47317</v>
      </c>
      <c r="S11737" t="s">
        <v>47712</v>
      </c>
      <c r="T11737" t="s">
        <v>49198</v>
      </c>
      <c r="U11737" t="s">
        <v>59226</v>
      </c>
      <c r="W11737" t="s">
        <v>46604</v>
      </c>
      <c r="X11737" t="s">
        <v>47318</v>
      </c>
    </row>
    <row r="11738" spans="1:24">
      <c r="A11738">
        <f>HYPERLINK("https://www.philgeps.gov.ph/GEPSNONPILOT/Tender/SplashBidNoticeAbstractUI.aspx?menuIndex=3&amp;refID=7178770&amp;Result=3","7178770")</f>
        <v>0</v>
      </c>
      <c r="B11738" t="s">
        <v>867</v>
      </c>
      <c r="C11738" t="s">
        <v>4434</v>
      </c>
      <c r="D11738" t="s">
        <v>19053</v>
      </c>
      <c r="E11738" t="s">
        <v>28996</v>
      </c>
      <c r="F11738" t="s">
        <v>32606</v>
      </c>
      <c r="G11738" t="s">
        <v>32613</v>
      </c>
      <c r="H11738" t="s">
        <v>14201</v>
      </c>
      <c r="I11738" t="s">
        <v>32638</v>
      </c>
      <c r="J11738" t="s">
        <v>40051</v>
      </c>
      <c r="K11738" t="s">
        <v>42631</v>
      </c>
      <c r="M11738" t="s">
        <v>43801</v>
      </c>
      <c r="N11738" t="s">
        <v>47304</v>
      </c>
      <c r="O11738" t="s">
        <v>47305</v>
      </c>
      <c r="P11738">
        <v>0</v>
      </c>
      <c r="Q11738">
        <v>23</v>
      </c>
      <c r="R11738" t="s">
        <v>47317</v>
      </c>
      <c r="S11738" t="s">
        <v>47712</v>
      </c>
      <c r="T11738" t="s">
        <v>49140</v>
      </c>
      <c r="U11738" t="s">
        <v>59127</v>
      </c>
      <c r="W11738" t="s">
        <v>43801</v>
      </c>
      <c r="X11738" t="s">
        <v>47318</v>
      </c>
    </row>
    <row r="11739" spans="1:24">
      <c r="A11739">
        <f>HYPERLINK("https://www.philgeps.gov.ph/GEPSNONPILOT/Tender/SplashBidNoticeAbstractUI.aspx?menuIndex=3&amp;refID=7178446&amp;Result=3","7178446")</f>
        <v>0</v>
      </c>
      <c r="B11739" t="s">
        <v>383</v>
      </c>
      <c r="C11739" t="s">
        <v>4842</v>
      </c>
      <c r="E11739" t="s">
        <v>29071</v>
      </c>
      <c r="F11739" t="s">
        <v>32606</v>
      </c>
      <c r="G11739" t="s">
        <v>32613</v>
      </c>
      <c r="H11739" t="s">
        <v>14201</v>
      </c>
      <c r="I11739" t="s">
        <v>6931</v>
      </c>
      <c r="J11739" t="s">
        <v>40052</v>
      </c>
      <c r="K11739" t="s">
        <v>42624</v>
      </c>
      <c r="M11739" t="s">
        <v>43286</v>
      </c>
      <c r="N11739" t="s">
        <v>47304</v>
      </c>
      <c r="O11739" t="s">
        <v>47305</v>
      </c>
      <c r="P11739">
        <v>0</v>
      </c>
      <c r="Q11739">
        <v>0</v>
      </c>
      <c r="R11739" t="s">
        <v>47317</v>
      </c>
      <c r="S11739" t="s">
        <v>47712</v>
      </c>
      <c r="T11739" t="s">
        <v>49102</v>
      </c>
      <c r="U11739" t="s">
        <v>59217</v>
      </c>
      <c r="W11739" t="s">
        <v>43286</v>
      </c>
      <c r="X11739" t="s">
        <v>47318</v>
      </c>
    </row>
    <row r="11740" spans="1:24">
      <c r="A11740">
        <f>HYPERLINK("https://www.philgeps.gov.ph/GEPSNONPILOT/Tender/SplashBidNoticeAbstractUI.aspx?menuIndex=3&amp;refID=7178760&amp;Result=3","7178760")</f>
        <v>0</v>
      </c>
      <c r="B11740" t="s">
        <v>3363</v>
      </c>
      <c r="C11740" t="s">
        <v>14947</v>
      </c>
      <c r="E11740" t="s">
        <v>22021</v>
      </c>
      <c r="F11740" t="s">
        <v>32606</v>
      </c>
      <c r="G11740" t="s">
        <v>32613</v>
      </c>
      <c r="H11740" t="s">
        <v>32623</v>
      </c>
      <c r="I11740" t="s">
        <v>17648</v>
      </c>
      <c r="J11740" t="s">
        <v>40053</v>
      </c>
      <c r="K11740" t="s">
        <v>42768</v>
      </c>
      <c r="M11740" t="s">
        <v>46612</v>
      </c>
      <c r="N11740" t="s">
        <v>47304</v>
      </c>
      <c r="O11740" t="s">
        <v>47305</v>
      </c>
      <c r="P11740">
        <v>0</v>
      </c>
      <c r="Q11740">
        <v>1</v>
      </c>
      <c r="R11740" t="s">
        <v>47317</v>
      </c>
      <c r="S11740" t="s">
        <v>47712</v>
      </c>
      <c r="T11740" t="s">
        <v>49111</v>
      </c>
      <c r="U11740" t="s">
        <v>59227</v>
      </c>
      <c r="W11740" t="s">
        <v>46612</v>
      </c>
      <c r="X11740" t="s">
        <v>47318</v>
      </c>
    </row>
    <row r="11741" spans="1:24">
      <c r="A11741">
        <f>HYPERLINK("https://www.philgeps.gov.ph/GEPSNONPILOT/Tender/SplashBidNoticeAbstractUI.aspx?menuIndex=3&amp;refID=7178726&amp;Result=3","7178726")</f>
        <v>0</v>
      </c>
      <c r="B11741" t="s">
        <v>3364</v>
      </c>
      <c r="C11741" t="s">
        <v>14948</v>
      </c>
      <c r="D11741" t="s">
        <v>19051</v>
      </c>
      <c r="E11741" t="s">
        <v>29072</v>
      </c>
      <c r="F11741" t="s">
        <v>32606</v>
      </c>
      <c r="G11741" t="s">
        <v>32613</v>
      </c>
      <c r="H11741" t="s">
        <v>32623</v>
      </c>
      <c r="I11741" t="s">
        <v>17648</v>
      </c>
      <c r="J11741" t="s">
        <v>32778</v>
      </c>
      <c r="K11741" t="s">
        <v>42639</v>
      </c>
      <c r="M11741" t="s">
        <v>46613</v>
      </c>
      <c r="N11741" t="s">
        <v>47304</v>
      </c>
      <c r="O11741" t="s">
        <v>47305</v>
      </c>
      <c r="P11741">
        <v>0</v>
      </c>
      <c r="Q11741">
        <v>1</v>
      </c>
      <c r="R11741" t="s">
        <v>47317</v>
      </c>
      <c r="S11741" t="s">
        <v>47712</v>
      </c>
      <c r="T11741" t="s">
        <v>48996</v>
      </c>
      <c r="U11741" t="s">
        <v>59228</v>
      </c>
      <c r="W11741" t="s">
        <v>46613</v>
      </c>
      <c r="X11741" t="s">
        <v>47318</v>
      </c>
    </row>
    <row r="11742" spans="1:24">
      <c r="A11742">
        <f>HYPERLINK("https://www.philgeps.gov.ph/GEPSNONPILOT/Tender/SplashBidNoticeAbstractUI.aspx?menuIndex=3&amp;refID=7178713&amp;Result=3","7178713")</f>
        <v>0</v>
      </c>
      <c r="B11742" t="s">
        <v>3365</v>
      </c>
      <c r="C11742" t="s">
        <v>14949</v>
      </c>
      <c r="D11742" t="s">
        <v>19008</v>
      </c>
      <c r="E11742" t="s">
        <v>22021</v>
      </c>
      <c r="F11742" t="s">
        <v>32606</v>
      </c>
      <c r="G11742" t="s">
        <v>32613</v>
      </c>
      <c r="H11742" t="s">
        <v>32623</v>
      </c>
      <c r="I11742" t="s">
        <v>32709</v>
      </c>
      <c r="J11742" t="s">
        <v>40054</v>
      </c>
      <c r="K11742" t="s">
        <v>42712</v>
      </c>
      <c r="M11742" t="s">
        <v>46614</v>
      </c>
      <c r="N11742" t="s">
        <v>47304</v>
      </c>
      <c r="O11742" t="s">
        <v>47305</v>
      </c>
      <c r="P11742">
        <v>0</v>
      </c>
      <c r="Q11742">
        <v>7</v>
      </c>
      <c r="R11742" t="s">
        <v>47317</v>
      </c>
      <c r="S11742" t="s">
        <v>47712</v>
      </c>
      <c r="T11742" t="s">
        <v>49066</v>
      </c>
      <c r="U11742" t="s">
        <v>59229</v>
      </c>
      <c r="W11742" t="s">
        <v>46614</v>
      </c>
      <c r="X11742" t="s">
        <v>47318</v>
      </c>
    </row>
    <row r="11743" spans="1:24">
      <c r="A11743">
        <f>HYPERLINK("https://www.philgeps.gov.ph/GEPSNONPILOT/Tender/SplashBidNoticeAbstractUI.aspx?menuIndex=3&amp;refID=7178706&amp;Result=3","7178706")</f>
        <v>0</v>
      </c>
      <c r="B11743" t="s">
        <v>3366</v>
      </c>
      <c r="C11743" t="s">
        <v>14950</v>
      </c>
      <c r="D11743" t="s">
        <v>19028</v>
      </c>
      <c r="E11743" t="s">
        <v>29073</v>
      </c>
      <c r="F11743" t="s">
        <v>32606</v>
      </c>
      <c r="G11743" t="s">
        <v>32613</v>
      </c>
      <c r="H11743" t="s">
        <v>32623</v>
      </c>
      <c r="I11743" t="s">
        <v>17648</v>
      </c>
      <c r="J11743" t="s">
        <v>40055</v>
      </c>
      <c r="K11743" t="s">
        <v>42635</v>
      </c>
      <c r="M11743" t="s">
        <v>46615</v>
      </c>
      <c r="N11743" t="s">
        <v>47304</v>
      </c>
      <c r="O11743" t="s">
        <v>47305</v>
      </c>
      <c r="P11743">
        <v>0</v>
      </c>
      <c r="Q11743">
        <v>0</v>
      </c>
      <c r="R11743" t="s">
        <v>47317</v>
      </c>
      <c r="S11743" t="s">
        <v>47712</v>
      </c>
      <c r="T11743" t="s">
        <v>49071</v>
      </c>
      <c r="U11743" t="s">
        <v>59230</v>
      </c>
      <c r="W11743" t="s">
        <v>46615</v>
      </c>
      <c r="X11743" t="s">
        <v>47318</v>
      </c>
    </row>
    <row r="11744" spans="1:24">
      <c r="A11744">
        <f>HYPERLINK("https://www.philgeps.gov.ph/GEPSNONPILOT/Tender/SplashBidNoticeAbstractUI.aspx?menuIndex=3&amp;refID=7178701&amp;Result=3","7178701")</f>
        <v>0</v>
      </c>
      <c r="B11744" t="s">
        <v>3367</v>
      </c>
      <c r="C11744" t="s">
        <v>14951</v>
      </c>
      <c r="D11744" t="s">
        <v>18994</v>
      </c>
      <c r="E11744" t="s">
        <v>29074</v>
      </c>
      <c r="F11744" t="s">
        <v>32606</v>
      </c>
      <c r="G11744" t="s">
        <v>32613</v>
      </c>
      <c r="H11744" t="s">
        <v>32623</v>
      </c>
      <c r="I11744" t="s">
        <v>17648</v>
      </c>
      <c r="J11744" t="s">
        <v>40056</v>
      </c>
      <c r="K11744" t="s">
        <v>42648</v>
      </c>
      <c r="M11744" t="s">
        <v>46616</v>
      </c>
      <c r="N11744" t="s">
        <v>47304</v>
      </c>
      <c r="O11744" t="s">
        <v>47305</v>
      </c>
      <c r="P11744">
        <v>0</v>
      </c>
      <c r="Q11744">
        <v>0</v>
      </c>
      <c r="R11744" t="s">
        <v>47317</v>
      </c>
      <c r="S11744" t="s">
        <v>47712</v>
      </c>
      <c r="T11744" t="s">
        <v>49040</v>
      </c>
      <c r="U11744" t="s">
        <v>59231</v>
      </c>
      <c r="W11744" t="s">
        <v>46616</v>
      </c>
      <c r="X11744" t="s">
        <v>47318</v>
      </c>
    </row>
    <row r="11745" spans="1:24">
      <c r="A11745">
        <f>HYPERLINK("https://www.philgeps.gov.ph/GEPSNONPILOT/Tender/SplashBidNoticeAbstractUI.aspx?menuIndex=3&amp;refID=7178677&amp;Result=3","7178677")</f>
        <v>0</v>
      </c>
      <c r="B11745" t="s">
        <v>2645</v>
      </c>
      <c r="C11745" t="s">
        <v>14952</v>
      </c>
      <c r="D11745" t="s">
        <v>18999</v>
      </c>
      <c r="E11745" t="s">
        <v>29075</v>
      </c>
      <c r="F11745" t="s">
        <v>32606</v>
      </c>
      <c r="G11745" t="s">
        <v>32613</v>
      </c>
      <c r="H11745" t="s">
        <v>32623</v>
      </c>
      <c r="I11745" t="s">
        <v>17648</v>
      </c>
      <c r="J11745" t="s">
        <v>40057</v>
      </c>
      <c r="K11745" t="s">
        <v>42645</v>
      </c>
      <c r="M11745" t="s">
        <v>45791</v>
      </c>
      <c r="N11745" t="s">
        <v>47304</v>
      </c>
      <c r="O11745" t="s">
        <v>47305</v>
      </c>
      <c r="P11745">
        <v>0</v>
      </c>
      <c r="Q11745">
        <v>7</v>
      </c>
      <c r="R11745" t="s">
        <v>47317</v>
      </c>
      <c r="S11745" t="s">
        <v>47712</v>
      </c>
      <c r="T11745" t="s">
        <v>49300</v>
      </c>
      <c r="U11745" t="s">
        <v>59232</v>
      </c>
      <c r="W11745" t="s">
        <v>45791</v>
      </c>
      <c r="X11745" t="s">
        <v>47318</v>
      </c>
    </row>
    <row r="11746" spans="1:24">
      <c r="A11746">
        <f>HYPERLINK("https://www.philgeps.gov.ph/GEPSNONPILOT/Tender/SplashBidNoticeAbstractUI.aspx?menuIndex=3&amp;refID=7178666&amp;Result=3","7178666")</f>
        <v>0</v>
      </c>
      <c r="B11746" t="s">
        <v>3368</v>
      </c>
      <c r="C11746" t="s">
        <v>14953</v>
      </c>
      <c r="D11746" t="s">
        <v>19008</v>
      </c>
      <c r="E11746" t="s">
        <v>20038</v>
      </c>
      <c r="F11746" t="s">
        <v>32606</v>
      </c>
      <c r="G11746" t="s">
        <v>32613</v>
      </c>
      <c r="H11746" t="s">
        <v>14201</v>
      </c>
      <c r="I11746" t="s">
        <v>6931</v>
      </c>
      <c r="J11746" t="s">
        <v>40058</v>
      </c>
      <c r="K11746" t="s">
        <v>42622</v>
      </c>
      <c r="M11746" t="s">
        <v>46617</v>
      </c>
      <c r="N11746" t="s">
        <v>47304</v>
      </c>
      <c r="O11746" t="s">
        <v>47305</v>
      </c>
      <c r="P11746">
        <v>0</v>
      </c>
      <c r="Q11746">
        <v>0</v>
      </c>
      <c r="R11746" t="s">
        <v>47317</v>
      </c>
      <c r="S11746" t="s">
        <v>47712</v>
      </c>
      <c r="T11746" t="s">
        <v>49162</v>
      </c>
      <c r="U11746" t="s">
        <v>59233</v>
      </c>
      <c r="V11746" t="s">
        <v>63909</v>
      </c>
      <c r="W11746" t="s">
        <v>46617</v>
      </c>
      <c r="X11746" t="s">
        <v>47318</v>
      </c>
    </row>
    <row r="11747" spans="1:24">
      <c r="A11747">
        <f>HYPERLINK("https://www.philgeps.gov.ph/GEPSNONPILOT/Tender/SplashBidNoticeAbstractUI.aspx?menuIndex=3&amp;refID=7178600&amp;Result=3","7178600")</f>
        <v>0</v>
      </c>
      <c r="B11747" t="s">
        <v>867</v>
      </c>
      <c r="C11747" t="s">
        <v>14954</v>
      </c>
      <c r="D11747" t="s">
        <v>19053</v>
      </c>
      <c r="E11747" t="s">
        <v>28996</v>
      </c>
      <c r="F11747" t="s">
        <v>32606</v>
      </c>
      <c r="G11747" t="s">
        <v>32613</v>
      </c>
      <c r="H11747" t="s">
        <v>14201</v>
      </c>
      <c r="I11747" t="s">
        <v>7677</v>
      </c>
      <c r="J11747" t="s">
        <v>40059</v>
      </c>
      <c r="K11747" t="s">
        <v>42631</v>
      </c>
      <c r="M11747" t="s">
        <v>43801</v>
      </c>
      <c r="N11747" t="s">
        <v>47304</v>
      </c>
      <c r="O11747" t="s">
        <v>47305</v>
      </c>
      <c r="P11747">
        <v>0</v>
      </c>
      <c r="Q11747">
        <v>7</v>
      </c>
      <c r="R11747" t="s">
        <v>47317</v>
      </c>
      <c r="S11747" t="s">
        <v>47712</v>
      </c>
      <c r="T11747" t="s">
        <v>49140</v>
      </c>
      <c r="U11747" t="s">
        <v>59127</v>
      </c>
      <c r="W11747" t="s">
        <v>43801</v>
      </c>
      <c r="X11747" t="s">
        <v>47318</v>
      </c>
    </row>
    <row r="11748" spans="1:24">
      <c r="A11748">
        <f>HYPERLINK("https://www.philgeps.gov.ph/GEPSNONPILOT/Tender/SplashBidNoticeAbstractUI.aspx?menuIndex=3&amp;refID=7178768&amp;Result=3","7178768")</f>
        <v>0</v>
      </c>
      <c r="B11748" t="s">
        <v>3369</v>
      </c>
      <c r="C11748" t="s">
        <v>14955</v>
      </c>
      <c r="D11748" t="s">
        <v>19051</v>
      </c>
      <c r="E11748" t="s">
        <v>29076</v>
      </c>
      <c r="F11748" t="s">
        <v>32606</v>
      </c>
      <c r="G11748" t="s">
        <v>32613</v>
      </c>
      <c r="H11748" t="s">
        <v>32623</v>
      </c>
      <c r="I11748" t="s">
        <v>17648</v>
      </c>
      <c r="J11748" t="s">
        <v>36964</v>
      </c>
      <c r="K11748" t="s">
        <v>42639</v>
      </c>
      <c r="M11748" t="s">
        <v>46618</v>
      </c>
      <c r="N11748" t="s">
        <v>47304</v>
      </c>
      <c r="O11748" t="s">
        <v>47305</v>
      </c>
      <c r="P11748">
        <v>0</v>
      </c>
      <c r="Q11748">
        <v>0</v>
      </c>
      <c r="R11748" t="s">
        <v>47317</v>
      </c>
      <c r="S11748" t="s">
        <v>47712</v>
      </c>
      <c r="T11748" t="s">
        <v>48996</v>
      </c>
      <c r="U11748" t="s">
        <v>59234</v>
      </c>
      <c r="W11748" t="s">
        <v>46618</v>
      </c>
      <c r="X11748" t="s">
        <v>47318</v>
      </c>
    </row>
    <row r="11749" spans="1:24">
      <c r="A11749">
        <f>HYPERLINK("https://www.philgeps.gov.ph/GEPSNONPILOT/Tender/SplashBidNoticeAbstractUI.aspx?menuIndex=3&amp;refID=7178665&amp;Result=3","7178665")</f>
        <v>0</v>
      </c>
      <c r="B11749" t="s">
        <v>867</v>
      </c>
      <c r="C11749" t="s">
        <v>14956</v>
      </c>
      <c r="D11749" t="s">
        <v>19053</v>
      </c>
      <c r="E11749" t="s">
        <v>28996</v>
      </c>
      <c r="F11749" t="s">
        <v>32606</v>
      </c>
      <c r="G11749" t="s">
        <v>32613</v>
      </c>
      <c r="H11749" t="s">
        <v>14201</v>
      </c>
      <c r="I11749" t="s">
        <v>7677</v>
      </c>
      <c r="J11749" t="s">
        <v>40060</v>
      </c>
      <c r="K11749" t="s">
        <v>42631</v>
      </c>
      <c r="M11749" t="s">
        <v>43801</v>
      </c>
      <c r="N11749" t="s">
        <v>47304</v>
      </c>
      <c r="O11749" t="s">
        <v>47305</v>
      </c>
      <c r="P11749">
        <v>0</v>
      </c>
      <c r="Q11749">
        <v>6</v>
      </c>
      <c r="R11749" t="s">
        <v>47317</v>
      </c>
      <c r="S11749" t="s">
        <v>47712</v>
      </c>
      <c r="T11749" t="s">
        <v>49140</v>
      </c>
      <c r="U11749" t="s">
        <v>59127</v>
      </c>
      <c r="W11749" t="s">
        <v>43801</v>
      </c>
      <c r="X11749" t="s">
        <v>47318</v>
      </c>
    </row>
    <row r="11750" spans="1:24">
      <c r="A11750">
        <f>HYPERLINK("https://www.philgeps.gov.ph/GEPSNONPILOT/Tender/SplashBidNoticeAbstractUI.aspx?menuIndex=3&amp;refID=7178660&amp;Result=3","7178660")</f>
        <v>0</v>
      </c>
      <c r="B11750" t="s">
        <v>1500</v>
      </c>
      <c r="C11750" t="s">
        <v>14957</v>
      </c>
      <c r="D11750" t="s">
        <v>19036</v>
      </c>
      <c r="E11750" t="s">
        <v>14957</v>
      </c>
      <c r="F11750" t="s">
        <v>32606</v>
      </c>
      <c r="G11750" t="s">
        <v>32619</v>
      </c>
      <c r="H11750" t="s">
        <v>14201</v>
      </c>
      <c r="I11750" t="s">
        <v>6931</v>
      </c>
      <c r="J11750" t="s">
        <v>40061</v>
      </c>
      <c r="K11750" t="s">
        <v>42631</v>
      </c>
      <c r="M11750" t="s">
        <v>46619</v>
      </c>
      <c r="N11750" t="s">
        <v>47304</v>
      </c>
      <c r="O11750" t="s">
        <v>47305</v>
      </c>
      <c r="P11750">
        <v>0</v>
      </c>
      <c r="Q11750">
        <v>1</v>
      </c>
      <c r="R11750" t="s">
        <v>47317</v>
      </c>
      <c r="S11750" t="s">
        <v>47712</v>
      </c>
      <c r="T11750" t="s">
        <v>49256</v>
      </c>
      <c r="U11750" t="s">
        <v>59235</v>
      </c>
      <c r="W11750" t="s">
        <v>46619</v>
      </c>
      <c r="X11750" t="s">
        <v>47318</v>
      </c>
    </row>
    <row r="11751" spans="1:24">
      <c r="A11751">
        <f>HYPERLINK("https://www.philgeps.gov.ph/GEPSNONPILOT/Tender/SplashBidNoticeAbstractUI.aspx?menuIndex=3&amp;refID=7178659&amp;Result=3","7178659")</f>
        <v>0</v>
      </c>
      <c r="B11751" t="s">
        <v>3357</v>
      </c>
      <c r="C11751" t="s">
        <v>14958</v>
      </c>
      <c r="E11751" t="s">
        <v>22807</v>
      </c>
      <c r="F11751" t="s">
        <v>32606</v>
      </c>
      <c r="G11751" t="s">
        <v>32613</v>
      </c>
      <c r="H11751" t="s">
        <v>14201</v>
      </c>
      <c r="I11751" t="s">
        <v>32654</v>
      </c>
      <c r="J11751" t="s">
        <v>40062</v>
      </c>
      <c r="K11751" t="s">
        <v>42636</v>
      </c>
      <c r="M11751" t="s">
        <v>46604</v>
      </c>
      <c r="N11751" t="s">
        <v>47304</v>
      </c>
      <c r="O11751" t="s">
        <v>47305</v>
      </c>
      <c r="P11751">
        <v>0</v>
      </c>
      <c r="Q11751">
        <v>2</v>
      </c>
      <c r="R11751" t="s">
        <v>47317</v>
      </c>
      <c r="S11751" t="s">
        <v>47712</v>
      </c>
      <c r="T11751" t="s">
        <v>49198</v>
      </c>
      <c r="U11751" t="s">
        <v>59236</v>
      </c>
      <c r="W11751" t="s">
        <v>46604</v>
      </c>
      <c r="X11751" t="s">
        <v>47318</v>
      </c>
    </row>
    <row r="11752" spans="1:24">
      <c r="A11752">
        <f>HYPERLINK("https://www.philgeps.gov.ph/GEPSNONPILOT/Tender/SplashBidNoticeAbstractUI.aspx?menuIndex=3&amp;refID=7178658&amp;Result=3","7178658")</f>
        <v>0</v>
      </c>
      <c r="B11752" t="s">
        <v>2645</v>
      </c>
      <c r="C11752" t="s">
        <v>14959</v>
      </c>
      <c r="D11752" t="s">
        <v>18999</v>
      </c>
      <c r="E11752" t="s">
        <v>29075</v>
      </c>
      <c r="F11752" t="s">
        <v>32606</v>
      </c>
      <c r="G11752" t="s">
        <v>32613</v>
      </c>
      <c r="H11752" t="s">
        <v>32623</v>
      </c>
      <c r="I11752" t="s">
        <v>17648</v>
      </c>
      <c r="J11752" t="s">
        <v>40063</v>
      </c>
      <c r="K11752" t="s">
        <v>42646</v>
      </c>
      <c r="M11752" t="s">
        <v>45791</v>
      </c>
      <c r="N11752" t="s">
        <v>47304</v>
      </c>
      <c r="O11752" t="s">
        <v>47305</v>
      </c>
      <c r="P11752">
        <v>0</v>
      </c>
      <c r="Q11752">
        <v>2</v>
      </c>
      <c r="R11752" t="s">
        <v>47317</v>
      </c>
      <c r="S11752" t="s">
        <v>47712</v>
      </c>
      <c r="T11752" t="s">
        <v>49300</v>
      </c>
      <c r="U11752" t="s">
        <v>59232</v>
      </c>
      <c r="W11752" t="s">
        <v>45791</v>
      </c>
      <c r="X11752" t="s">
        <v>47318</v>
      </c>
    </row>
    <row r="11753" spans="1:24">
      <c r="A11753">
        <f>HYPERLINK("https://www.philgeps.gov.ph/GEPSNONPILOT/Tender/SplashBidNoticeAbstractUI.aspx?menuIndex=3&amp;refID=7178646&amp;Result=3","7178646")</f>
        <v>0</v>
      </c>
      <c r="B11753" t="s">
        <v>3370</v>
      </c>
      <c r="C11753" t="s">
        <v>14960</v>
      </c>
      <c r="D11753" t="s">
        <v>19019</v>
      </c>
      <c r="E11753" t="s">
        <v>20106</v>
      </c>
      <c r="F11753" t="s">
        <v>32606</v>
      </c>
      <c r="G11753" t="s">
        <v>32613</v>
      </c>
      <c r="H11753" t="s">
        <v>14201</v>
      </c>
      <c r="I11753" t="s">
        <v>7064</v>
      </c>
      <c r="J11753" t="s">
        <v>40064</v>
      </c>
      <c r="K11753" t="s">
        <v>42636</v>
      </c>
      <c r="M11753" t="s">
        <v>46620</v>
      </c>
      <c r="N11753" t="s">
        <v>47304</v>
      </c>
      <c r="O11753" t="s">
        <v>47305</v>
      </c>
      <c r="P11753">
        <v>0</v>
      </c>
      <c r="Q11753">
        <v>4</v>
      </c>
      <c r="R11753" t="s">
        <v>47317</v>
      </c>
      <c r="S11753" t="s">
        <v>47712</v>
      </c>
      <c r="T11753" t="s">
        <v>49084</v>
      </c>
      <c r="U11753" t="s">
        <v>59237</v>
      </c>
      <c r="V11753" t="s">
        <v>63910</v>
      </c>
      <c r="W11753" t="s">
        <v>46620</v>
      </c>
      <c r="X11753" t="s">
        <v>47318</v>
      </c>
    </row>
    <row r="11754" spans="1:24">
      <c r="A11754">
        <f>HYPERLINK("https://www.philgeps.gov.ph/GEPSNONPILOT/Tender/SplashBidNoticeAbstractUI.aspx?menuIndex=3&amp;refID=7178951&amp;Result=3","7178951")</f>
        <v>0</v>
      </c>
      <c r="B11754" t="s">
        <v>3363</v>
      </c>
      <c r="C11754" t="s">
        <v>14961</v>
      </c>
      <c r="E11754" t="s">
        <v>20168</v>
      </c>
      <c r="F11754" t="s">
        <v>32606</v>
      </c>
      <c r="G11754" t="s">
        <v>32613</v>
      </c>
      <c r="H11754" t="s">
        <v>32623</v>
      </c>
      <c r="I11754" t="s">
        <v>17648</v>
      </c>
      <c r="J11754" t="s">
        <v>40065</v>
      </c>
      <c r="K11754" t="s">
        <v>42712</v>
      </c>
      <c r="M11754" t="s">
        <v>46612</v>
      </c>
      <c r="N11754" t="s">
        <v>47304</v>
      </c>
      <c r="O11754" t="s">
        <v>47305</v>
      </c>
      <c r="P11754">
        <v>0</v>
      </c>
      <c r="Q11754">
        <v>1</v>
      </c>
      <c r="R11754" t="s">
        <v>47317</v>
      </c>
      <c r="S11754" t="s">
        <v>47712</v>
      </c>
      <c r="T11754" t="s">
        <v>49111</v>
      </c>
      <c r="U11754" t="s">
        <v>59238</v>
      </c>
      <c r="W11754" t="s">
        <v>46612</v>
      </c>
      <c r="X11754" t="s">
        <v>47318</v>
      </c>
    </row>
    <row r="11755" spans="1:24">
      <c r="A11755">
        <f>HYPERLINK("https://www.philgeps.gov.ph/GEPSNONPILOT/Tender/SplashBidNoticeAbstractUI.aspx?menuIndex=3&amp;refID=7178924&amp;Result=3","7178924")</f>
        <v>0</v>
      </c>
      <c r="B11755" t="s">
        <v>3119</v>
      </c>
      <c r="C11755" t="s">
        <v>14962</v>
      </c>
      <c r="D11755" t="s">
        <v>19006</v>
      </c>
      <c r="E11755" t="s">
        <v>29077</v>
      </c>
      <c r="F11755" t="s">
        <v>32606</v>
      </c>
      <c r="G11755" t="s">
        <v>32613</v>
      </c>
      <c r="H11755" t="s">
        <v>32623</v>
      </c>
      <c r="I11755" t="s">
        <v>17648</v>
      </c>
      <c r="J11755" t="s">
        <v>40066</v>
      </c>
      <c r="K11755" t="s">
        <v>42859</v>
      </c>
      <c r="M11755" t="s">
        <v>46329</v>
      </c>
      <c r="N11755" t="s">
        <v>47304</v>
      </c>
      <c r="O11755" t="s">
        <v>47305</v>
      </c>
      <c r="P11755">
        <v>0</v>
      </c>
      <c r="Q11755">
        <v>1</v>
      </c>
      <c r="R11755" t="s">
        <v>47317</v>
      </c>
      <c r="S11755" t="s">
        <v>47712</v>
      </c>
      <c r="T11755" t="s">
        <v>49075</v>
      </c>
      <c r="U11755" t="s">
        <v>59239</v>
      </c>
      <c r="V11755" t="s">
        <v>63747</v>
      </c>
      <c r="W11755" t="s">
        <v>46329</v>
      </c>
      <c r="X11755" t="s">
        <v>47318</v>
      </c>
    </row>
    <row r="11756" spans="1:24">
      <c r="A11756">
        <f>HYPERLINK("https://www.philgeps.gov.ph/GEPSNONPILOT/Tender/SplashBidNoticeAbstractUI.aspx?menuIndex=3&amp;refID=7178923&amp;Result=3","7178923")</f>
        <v>0</v>
      </c>
      <c r="B11756" t="s">
        <v>2658</v>
      </c>
      <c r="C11756" t="s">
        <v>14963</v>
      </c>
      <c r="E11756" t="s">
        <v>29078</v>
      </c>
      <c r="F11756" t="s">
        <v>32606</v>
      </c>
      <c r="G11756" t="s">
        <v>32613</v>
      </c>
      <c r="H11756" t="s">
        <v>14201</v>
      </c>
      <c r="I11756" t="s">
        <v>32637</v>
      </c>
      <c r="J11756" t="s">
        <v>40067</v>
      </c>
      <c r="K11756" t="s">
        <v>42624</v>
      </c>
      <c r="M11756" t="s">
        <v>45804</v>
      </c>
      <c r="N11756" t="s">
        <v>47304</v>
      </c>
      <c r="O11756" t="s">
        <v>47305</v>
      </c>
      <c r="P11756">
        <v>0</v>
      </c>
      <c r="Q11756">
        <v>5</v>
      </c>
      <c r="R11756" t="s">
        <v>47317</v>
      </c>
      <c r="S11756" t="s">
        <v>47712</v>
      </c>
      <c r="T11756" t="s">
        <v>49234</v>
      </c>
      <c r="U11756" t="s">
        <v>59240</v>
      </c>
      <c r="V11756" t="s">
        <v>63504</v>
      </c>
      <c r="W11756" t="s">
        <v>45804</v>
      </c>
      <c r="X11756" t="s">
        <v>47318</v>
      </c>
    </row>
    <row r="11757" spans="1:24">
      <c r="A11757">
        <f>HYPERLINK("https://www.philgeps.gov.ph/GEPSNONPILOT/Tender/SplashBidNoticeAbstractUI.aspx?menuIndex=3&amp;refID=7178911&amp;Result=3","7178911")</f>
        <v>0</v>
      </c>
      <c r="B11757" t="s">
        <v>3371</v>
      </c>
      <c r="C11757" t="s">
        <v>14964</v>
      </c>
      <c r="D11757" t="s">
        <v>19006</v>
      </c>
      <c r="E11757" t="s">
        <v>19279</v>
      </c>
      <c r="F11757" t="s">
        <v>32606</v>
      </c>
      <c r="G11757" t="s">
        <v>32614</v>
      </c>
      <c r="H11757" t="s">
        <v>14201</v>
      </c>
      <c r="I11757" t="s">
        <v>32673</v>
      </c>
      <c r="J11757" t="s">
        <v>32981</v>
      </c>
      <c r="K11757" t="s">
        <v>42624</v>
      </c>
      <c r="M11757" t="s">
        <v>46621</v>
      </c>
      <c r="N11757" t="s">
        <v>47304</v>
      </c>
      <c r="O11757" t="s">
        <v>47305</v>
      </c>
      <c r="P11757">
        <v>0</v>
      </c>
      <c r="Q11757">
        <v>3</v>
      </c>
      <c r="R11757" t="s">
        <v>47317</v>
      </c>
      <c r="S11757" t="s">
        <v>47712</v>
      </c>
      <c r="T11757" t="s">
        <v>49373</v>
      </c>
      <c r="U11757" t="s">
        <v>59241</v>
      </c>
      <c r="W11757" t="s">
        <v>46621</v>
      </c>
      <c r="X11757" t="s">
        <v>47318</v>
      </c>
    </row>
    <row r="11758" spans="1:24">
      <c r="A11758">
        <f>HYPERLINK("https://www.philgeps.gov.ph/GEPSNONPILOT/Tender/SplashBidNoticeAbstractUI.aspx?menuIndex=3&amp;refID=7178909&amp;Result=3","7178909")</f>
        <v>0</v>
      </c>
      <c r="B11758" t="s">
        <v>3372</v>
      </c>
      <c r="C11758" t="s">
        <v>14965</v>
      </c>
      <c r="D11758" t="s">
        <v>19001</v>
      </c>
      <c r="E11758" t="s">
        <v>29079</v>
      </c>
      <c r="F11758" t="s">
        <v>32606</v>
      </c>
      <c r="G11758" t="s">
        <v>32613</v>
      </c>
      <c r="H11758" t="s">
        <v>14201</v>
      </c>
      <c r="I11758" t="s">
        <v>32656</v>
      </c>
      <c r="J11758" t="s">
        <v>40068</v>
      </c>
      <c r="K11758" t="s">
        <v>42623</v>
      </c>
      <c r="M11758" t="s">
        <v>46622</v>
      </c>
      <c r="N11758" t="s">
        <v>47304</v>
      </c>
      <c r="O11758" t="s">
        <v>47305</v>
      </c>
      <c r="P11758">
        <v>0</v>
      </c>
      <c r="Q11758">
        <v>1</v>
      </c>
      <c r="R11758" t="s">
        <v>47317</v>
      </c>
      <c r="S11758" t="s">
        <v>47712</v>
      </c>
      <c r="T11758" t="s">
        <v>49081</v>
      </c>
      <c r="U11758" t="s">
        <v>59242</v>
      </c>
      <c r="W11758" t="s">
        <v>46622</v>
      </c>
      <c r="X11758" t="s">
        <v>47318</v>
      </c>
    </row>
    <row r="11759" spans="1:24">
      <c r="A11759">
        <f>HYPERLINK("https://www.philgeps.gov.ph/GEPSNONPILOT/Tender/SplashBidNoticeAbstractUI.aspx?menuIndex=3&amp;refID=7178674&amp;Result=3","7178674")</f>
        <v>0</v>
      </c>
      <c r="B11759" t="s">
        <v>1491</v>
      </c>
      <c r="C11759" t="s">
        <v>14966</v>
      </c>
      <c r="D11759" t="s">
        <v>18987</v>
      </c>
      <c r="E11759" t="s">
        <v>29080</v>
      </c>
      <c r="F11759" t="s">
        <v>32606</v>
      </c>
      <c r="G11759" t="s">
        <v>32613</v>
      </c>
      <c r="H11759" t="s">
        <v>14201</v>
      </c>
      <c r="I11759" t="s">
        <v>32640</v>
      </c>
      <c r="J11759" t="s">
        <v>40069</v>
      </c>
      <c r="K11759" t="s">
        <v>42639</v>
      </c>
      <c r="M11759" t="s">
        <v>44486</v>
      </c>
      <c r="N11759" t="s">
        <v>47304</v>
      </c>
      <c r="O11759" t="s">
        <v>47305</v>
      </c>
      <c r="P11759">
        <v>0</v>
      </c>
      <c r="Q11759">
        <v>1</v>
      </c>
      <c r="R11759" t="s">
        <v>47317</v>
      </c>
      <c r="S11759" t="s">
        <v>47712</v>
      </c>
      <c r="T11759" t="s">
        <v>49052</v>
      </c>
      <c r="U11759" t="s">
        <v>59243</v>
      </c>
      <c r="V11759" t="s">
        <v>62938</v>
      </c>
      <c r="W11759" t="s">
        <v>44486</v>
      </c>
      <c r="X11759" t="s">
        <v>47318</v>
      </c>
    </row>
    <row r="11760" spans="1:24">
      <c r="A11760">
        <f>HYPERLINK("https://www.philgeps.gov.ph/GEPSNONPILOT/Tender/SplashBidNoticeAbstractUI.aspx?menuIndex=3&amp;refID=7178877&amp;Result=3","7178877")</f>
        <v>0</v>
      </c>
      <c r="B11760" t="s">
        <v>3119</v>
      </c>
      <c r="C11760" t="s">
        <v>14967</v>
      </c>
      <c r="D11760" t="s">
        <v>19006</v>
      </c>
      <c r="E11760" t="s">
        <v>29081</v>
      </c>
      <c r="F11760" t="s">
        <v>32606</v>
      </c>
      <c r="G11760" t="s">
        <v>32613</v>
      </c>
      <c r="H11760" t="s">
        <v>32623</v>
      </c>
      <c r="I11760" t="s">
        <v>17648</v>
      </c>
      <c r="J11760" t="s">
        <v>40070</v>
      </c>
      <c r="K11760" t="s">
        <v>42863</v>
      </c>
      <c r="M11760" t="s">
        <v>46329</v>
      </c>
      <c r="N11760" t="s">
        <v>47304</v>
      </c>
      <c r="O11760" t="s">
        <v>47305</v>
      </c>
      <c r="P11760">
        <v>0</v>
      </c>
      <c r="Q11760">
        <v>0</v>
      </c>
      <c r="R11760" t="s">
        <v>47317</v>
      </c>
      <c r="S11760" t="s">
        <v>47712</v>
      </c>
      <c r="T11760" t="s">
        <v>49075</v>
      </c>
      <c r="U11760" t="s">
        <v>59244</v>
      </c>
      <c r="V11760" t="s">
        <v>63747</v>
      </c>
      <c r="W11760" t="s">
        <v>46329</v>
      </c>
      <c r="X11760" t="s">
        <v>47318</v>
      </c>
    </row>
    <row r="11761" spans="1:24">
      <c r="A11761">
        <f>HYPERLINK("https://www.philgeps.gov.ph/GEPSNONPILOT/Tender/SplashBidNoticeAbstractUI.aspx?menuIndex=3&amp;refID=7178712&amp;Result=3","7178712")</f>
        <v>0</v>
      </c>
      <c r="B11761" t="s">
        <v>867</v>
      </c>
      <c r="C11761" t="s">
        <v>4540</v>
      </c>
      <c r="D11761" t="s">
        <v>19053</v>
      </c>
      <c r="E11761" t="s">
        <v>28996</v>
      </c>
      <c r="F11761" t="s">
        <v>32606</v>
      </c>
      <c r="G11761" t="s">
        <v>32613</v>
      </c>
      <c r="H11761" t="s">
        <v>14201</v>
      </c>
      <c r="I11761" t="s">
        <v>32633</v>
      </c>
      <c r="J11761" t="s">
        <v>40071</v>
      </c>
      <c r="K11761" t="s">
        <v>42631</v>
      </c>
      <c r="M11761" t="s">
        <v>43801</v>
      </c>
      <c r="N11761" t="s">
        <v>47304</v>
      </c>
      <c r="O11761" t="s">
        <v>47305</v>
      </c>
      <c r="P11761">
        <v>0</v>
      </c>
      <c r="Q11761">
        <v>33</v>
      </c>
      <c r="R11761" t="s">
        <v>47317</v>
      </c>
      <c r="S11761" t="s">
        <v>47712</v>
      </c>
      <c r="T11761" t="s">
        <v>49140</v>
      </c>
      <c r="U11761" t="s">
        <v>59127</v>
      </c>
      <c r="W11761" t="s">
        <v>43801</v>
      </c>
      <c r="X11761" t="s">
        <v>47318</v>
      </c>
    </row>
    <row r="11762" spans="1:24">
      <c r="A11762">
        <f>HYPERLINK("https://www.philgeps.gov.ph/GEPSNONPILOT/Tender/SplashBidNoticeAbstractUI.aspx?menuIndex=3&amp;refID=7178873&amp;Result=3","7178873")</f>
        <v>0</v>
      </c>
      <c r="B11762" t="s">
        <v>689</v>
      </c>
      <c r="C11762" t="s">
        <v>14968</v>
      </c>
      <c r="D11762" t="s">
        <v>19004</v>
      </c>
      <c r="E11762" t="s">
        <v>29082</v>
      </c>
      <c r="F11762" t="s">
        <v>32606</v>
      </c>
      <c r="G11762" t="s">
        <v>32613</v>
      </c>
      <c r="H11762" t="s">
        <v>14201</v>
      </c>
      <c r="I11762" t="s">
        <v>32689</v>
      </c>
      <c r="J11762" t="s">
        <v>33119</v>
      </c>
      <c r="K11762" t="s">
        <v>42624</v>
      </c>
      <c r="M11762" t="s">
        <v>43610</v>
      </c>
      <c r="N11762" t="s">
        <v>47304</v>
      </c>
      <c r="O11762" t="s">
        <v>47305</v>
      </c>
      <c r="P11762">
        <v>0</v>
      </c>
      <c r="Q11762">
        <v>0</v>
      </c>
      <c r="R11762" t="s">
        <v>47317</v>
      </c>
      <c r="S11762" t="s">
        <v>47712</v>
      </c>
      <c r="T11762" t="s">
        <v>49268</v>
      </c>
      <c r="U11762" t="s">
        <v>59245</v>
      </c>
      <c r="W11762" t="s">
        <v>43610</v>
      </c>
      <c r="X11762" t="s">
        <v>47318</v>
      </c>
    </row>
    <row r="11763" spans="1:24">
      <c r="A11763">
        <f>HYPERLINK("https://www.philgeps.gov.ph/GEPSNONPILOT/Tender/SplashBidNoticeAbstractUI.aspx?menuIndex=3&amp;refID=7178849&amp;Result=3","7178849")</f>
        <v>0</v>
      </c>
      <c r="B11763" t="s">
        <v>3119</v>
      </c>
      <c r="C11763" t="s">
        <v>14969</v>
      </c>
      <c r="D11763" t="s">
        <v>19006</v>
      </c>
      <c r="E11763" t="s">
        <v>29083</v>
      </c>
      <c r="F11763" t="s">
        <v>32606</v>
      </c>
      <c r="G11763" t="s">
        <v>32613</v>
      </c>
      <c r="H11763" t="s">
        <v>32623</v>
      </c>
      <c r="I11763" t="s">
        <v>17648</v>
      </c>
      <c r="J11763" t="s">
        <v>40072</v>
      </c>
      <c r="K11763" t="s">
        <v>42667</v>
      </c>
      <c r="M11763" t="s">
        <v>46329</v>
      </c>
      <c r="N11763" t="s">
        <v>47304</v>
      </c>
      <c r="O11763" t="s">
        <v>47305</v>
      </c>
      <c r="P11763">
        <v>0</v>
      </c>
      <c r="Q11763">
        <v>0</v>
      </c>
      <c r="R11763" t="s">
        <v>47317</v>
      </c>
      <c r="S11763" t="s">
        <v>47712</v>
      </c>
      <c r="T11763" t="s">
        <v>49075</v>
      </c>
      <c r="U11763" t="s">
        <v>59246</v>
      </c>
      <c r="V11763" t="s">
        <v>63747</v>
      </c>
      <c r="W11763" t="s">
        <v>46329</v>
      </c>
      <c r="X11763" t="s">
        <v>47318</v>
      </c>
    </row>
    <row r="11764" spans="1:24">
      <c r="A11764">
        <f>HYPERLINK("https://www.philgeps.gov.ph/GEPSNONPILOT/Tender/SplashBidNoticeAbstractUI.aspx?menuIndex=3&amp;refID=7178831&amp;Result=3","7178831")</f>
        <v>0</v>
      </c>
      <c r="B11764" t="s">
        <v>3363</v>
      </c>
      <c r="C11764" t="s">
        <v>14970</v>
      </c>
      <c r="E11764" t="s">
        <v>20034</v>
      </c>
      <c r="F11764" t="s">
        <v>32606</v>
      </c>
      <c r="G11764" t="s">
        <v>32613</v>
      </c>
      <c r="H11764" t="s">
        <v>32623</v>
      </c>
      <c r="I11764" t="s">
        <v>17648</v>
      </c>
      <c r="J11764" t="s">
        <v>40073</v>
      </c>
      <c r="K11764" t="s">
        <v>42712</v>
      </c>
      <c r="M11764" t="s">
        <v>46612</v>
      </c>
      <c r="N11764" t="s">
        <v>47304</v>
      </c>
      <c r="O11764" t="s">
        <v>47305</v>
      </c>
      <c r="P11764">
        <v>0</v>
      </c>
      <c r="Q11764">
        <v>1</v>
      </c>
      <c r="R11764" t="s">
        <v>47317</v>
      </c>
      <c r="S11764" t="s">
        <v>47712</v>
      </c>
      <c r="T11764" t="s">
        <v>49111</v>
      </c>
      <c r="U11764" t="s">
        <v>59238</v>
      </c>
      <c r="W11764" t="s">
        <v>46612</v>
      </c>
      <c r="X11764" t="s">
        <v>47318</v>
      </c>
    </row>
    <row r="11765" spans="1:24">
      <c r="A11765">
        <f>HYPERLINK("https://www.philgeps.gov.ph/GEPSNONPILOT/Tender/SplashBidNoticeAbstractUI.aspx?menuIndex=3&amp;refID=7178830&amp;Result=3","7178830")</f>
        <v>0</v>
      </c>
      <c r="B11765" t="s">
        <v>3119</v>
      </c>
      <c r="C11765" t="s">
        <v>14971</v>
      </c>
      <c r="D11765" t="s">
        <v>19006</v>
      </c>
      <c r="E11765" t="s">
        <v>29084</v>
      </c>
      <c r="F11765" t="s">
        <v>32606</v>
      </c>
      <c r="G11765" t="s">
        <v>32613</v>
      </c>
      <c r="H11765" t="s">
        <v>32623</v>
      </c>
      <c r="I11765" t="s">
        <v>17648</v>
      </c>
      <c r="J11765" t="s">
        <v>40074</v>
      </c>
      <c r="K11765" t="s">
        <v>42776</v>
      </c>
      <c r="M11765" t="s">
        <v>46329</v>
      </c>
      <c r="N11765" t="s">
        <v>47304</v>
      </c>
      <c r="O11765" t="s">
        <v>47305</v>
      </c>
      <c r="P11765">
        <v>0</v>
      </c>
      <c r="Q11765">
        <v>0</v>
      </c>
      <c r="R11765" t="s">
        <v>47317</v>
      </c>
      <c r="S11765" t="s">
        <v>47712</v>
      </c>
      <c r="T11765" t="s">
        <v>49075</v>
      </c>
      <c r="U11765" t="s">
        <v>59247</v>
      </c>
      <c r="V11765" t="s">
        <v>63747</v>
      </c>
      <c r="W11765" t="s">
        <v>46329</v>
      </c>
      <c r="X11765" t="s">
        <v>47318</v>
      </c>
    </row>
    <row r="11766" spans="1:24">
      <c r="A11766">
        <f>HYPERLINK("https://www.philgeps.gov.ph/GEPSNONPILOT/Tender/SplashBidNoticeAbstractUI.aspx?menuIndex=3&amp;refID=7178967&amp;Result=3","7178967")</f>
        <v>0</v>
      </c>
      <c r="B11766" t="s">
        <v>383</v>
      </c>
      <c r="C11766" t="s">
        <v>14972</v>
      </c>
      <c r="E11766" t="s">
        <v>29085</v>
      </c>
      <c r="F11766" t="s">
        <v>32606</v>
      </c>
      <c r="G11766" t="s">
        <v>32613</v>
      </c>
      <c r="H11766" t="s">
        <v>14201</v>
      </c>
      <c r="I11766" t="s">
        <v>32635</v>
      </c>
      <c r="J11766" t="s">
        <v>40075</v>
      </c>
      <c r="K11766" t="s">
        <v>42624</v>
      </c>
      <c r="M11766" t="s">
        <v>43286</v>
      </c>
      <c r="N11766" t="s">
        <v>47304</v>
      </c>
      <c r="O11766" t="s">
        <v>47305</v>
      </c>
      <c r="P11766">
        <v>0</v>
      </c>
      <c r="Q11766">
        <v>0</v>
      </c>
      <c r="R11766" t="s">
        <v>47317</v>
      </c>
      <c r="S11766" t="s">
        <v>47712</v>
      </c>
      <c r="T11766" t="s">
        <v>49102</v>
      </c>
      <c r="U11766" t="s">
        <v>59248</v>
      </c>
      <c r="W11766" t="s">
        <v>43286</v>
      </c>
      <c r="X11766" t="s">
        <v>47318</v>
      </c>
    </row>
    <row r="11767" spans="1:24">
      <c r="A11767">
        <f>HYPERLINK("https://www.philgeps.gov.ph/GEPSNONPILOT/Tender/SplashBidNoticeAbstractUI.aspx?menuIndex=3&amp;refID=7177868&amp;Result=3","7177868")</f>
        <v>0</v>
      </c>
      <c r="B11767" t="s">
        <v>3343</v>
      </c>
      <c r="C11767" t="s">
        <v>14973</v>
      </c>
      <c r="D11767" t="s">
        <v>19032</v>
      </c>
      <c r="E11767" t="s">
        <v>29086</v>
      </c>
      <c r="F11767" t="s">
        <v>32606</v>
      </c>
      <c r="G11767" t="s">
        <v>32613</v>
      </c>
      <c r="H11767" t="s">
        <v>14201</v>
      </c>
      <c r="I11767" t="s">
        <v>4121</v>
      </c>
      <c r="J11767" t="s">
        <v>40076</v>
      </c>
      <c r="K11767" t="s">
        <v>42624</v>
      </c>
      <c r="M11767" t="s">
        <v>46590</v>
      </c>
      <c r="N11767" t="s">
        <v>47304</v>
      </c>
      <c r="O11767" t="s">
        <v>47305</v>
      </c>
      <c r="Q11767">
        <v>3</v>
      </c>
      <c r="R11767" t="s">
        <v>47317</v>
      </c>
      <c r="S11767" t="s">
        <v>47729</v>
      </c>
      <c r="T11767" t="s">
        <v>49065</v>
      </c>
      <c r="U11767" t="s">
        <v>59249</v>
      </c>
      <c r="V11767" t="s">
        <v>63911</v>
      </c>
      <c r="W11767" t="s">
        <v>46590</v>
      </c>
      <c r="X11767" t="s">
        <v>47318</v>
      </c>
    </row>
    <row r="11768" spans="1:24">
      <c r="A11768">
        <f>HYPERLINK("https://www.philgeps.gov.ph/GEPSNONPILOT/Tender/SplashBidNoticeAbstractUI.aspx?menuIndex=3&amp;refID=7179100&amp;Result=3","7179100")</f>
        <v>0</v>
      </c>
      <c r="B11768" t="s">
        <v>3373</v>
      </c>
      <c r="C11768" t="s">
        <v>14974</v>
      </c>
      <c r="D11768" t="s">
        <v>19011</v>
      </c>
      <c r="E11768" t="s">
        <v>29087</v>
      </c>
      <c r="F11768" t="s">
        <v>32606</v>
      </c>
      <c r="G11768" t="s">
        <v>32613</v>
      </c>
      <c r="H11768" t="s">
        <v>32623</v>
      </c>
      <c r="I11768" t="s">
        <v>17648</v>
      </c>
      <c r="J11768" t="s">
        <v>40077</v>
      </c>
      <c r="K11768" t="s">
        <v>42646</v>
      </c>
      <c r="M11768" t="s">
        <v>46623</v>
      </c>
      <c r="N11768" t="s">
        <v>47304</v>
      </c>
      <c r="O11768" t="s">
        <v>47305</v>
      </c>
      <c r="P11768">
        <v>0</v>
      </c>
      <c r="Q11768">
        <v>1</v>
      </c>
      <c r="R11768" t="s">
        <v>47317</v>
      </c>
      <c r="S11768" t="s">
        <v>47712</v>
      </c>
      <c r="T11768" t="s">
        <v>49140</v>
      </c>
      <c r="U11768" t="s">
        <v>59250</v>
      </c>
      <c r="W11768" t="s">
        <v>46623</v>
      </c>
      <c r="X11768" t="s">
        <v>47318</v>
      </c>
    </row>
    <row r="11769" spans="1:24">
      <c r="A11769">
        <f>HYPERLINK("https://www.philgeps.gov.ph/GEPSNONPILOT/Tender/SplashBidNoticeAbstractUI.aspx?menuIndex=3&amp;refID=7178896&amp;Result=3","7178896")</f>
        <v>0</v>
      </c>
      <c r="B11769" t="s">
        <v>3363</v>
      </c>
      <c r="C11769" t="s">
        <v>14975</v>
      </c>
      <c r="E11769" t="s">
        <v>20033</v>
      </c>
      <c r="F11769" t="s">
        <v>32606</v>
      </c>
      <c r="G11769" t="s">
        <v>32613</v>
      </c>
      <c r="H11769" t="s">
        <v>32623</v>
      </c>
      <c r="I11769" t="s">
        <v>17648</v>
      </c>
      <c r="J11769" t="s">
        <v>40078</v>
      </c>
      <c r="K11769" t="s">
        <v>42648</v>
      </c>
      <c r="M11769" t="s">
        <v>46612</v>
      </c>
      <c r="N11769" t="s">
        <v>47304</v>
      </c>
      <c r="O11769" t="s">
        <v>47305</v>
      </c>
      <c r="P11769">
        <v>0</v>
      </c>
      <c r="Q11769">
        <v>1</v>
      </c>
      <c r="R11769" t="s">
        <v>47317</v>
      </c>
      <c r="S11769" t="s">
        <v>47712</v>
      </c>
      <c r="T11769" t="s">
        <v>49111</v>
      </c>
      <c r="U11769" t="s">
        <v>59238</v>
      </c>
      <c r="W11769" t="s">
        <v>46612</v>
      </c>
      <c r="X11769" t="s">
        <v>47318</v>
      </c>
    </row>
    <row r="11770" spans="1:24">
      <c r="A11770">
        <f>HYPERLINK("https://www.philgeps.gov.ph/GEPSNONPILOT/Tender/SplashBidNoticeAbstractUI.aspx?menuIndex=3&amp;refID=7178895&amp;Result=3","7178895")</f>
        <v>0</v>
      </c>
      <c r="B11770" t="s">
        <v>439</v>
      </c>
      <c r="C11770" t="s">
        <v>14976</v>
      </c>
      <c r="D11770" t="s">
        <v>19054</v>
      </c>
      <c r="E11770" t="s">
        <v>29088</v>
      </c>
      <c r="F11770" t="s">
        <v>32606</v>
      </c>
      <c r="G11770" t="s">
        <v>32613</v>
      </c>
      <c r="H11770" t="s">
        <v>14201</v>
      </c>
      <c r="I11770" t="s">
        <v>32633</v>
      </c>
      <c r="J11770" t="s">
        <v>40079</v>
      </c>
      <c r="K11770" t="s">
        <v>42648</v>
      </c>
      <c r="M11770" t="s">
        <v>45807</v>
      </c>
      <c r="N11770" t="s">
        <v>47304</v>
      </c>
      <c r="O11770" t="s">
        <v>47305</v>
      </c>
      <c r="P11770">
        <v>0</v>
      </c>
      <c r="Q11770">
        <v>2</v>
      </c>
      <c r="R11770" t="s">
        <v>47317</v>
      </c>
      <c r="S11770" t="s">
        <v>47712</v>
      </c>
      <c r="T11770" t="s">
        <v>49140</v>
      </c>
      <c r="U11770" t="s">
        <v>56486</v>
      </c>
      <c r="W11770" t="s">
        <v>45807</v>
      </c>
      <c r="X11770" t="s">
        <v>47318</v>
      </c>
    </row>
    <row r="11771" spans="1:24">
      <c r="A11771">
        <f>HYPERLINK("https://www.philgeps.gov.ph/GEPSNONPILOT/Tender/SplashBidNoticeAbstractUI.aspx?menuIndex=3&amp;refID=7177901&amp;Result=3","7177901")</f>
        <v>0</v>
      </c>
      <c r="B11771" t="s">
        <v>3343</v>
      </c>
      <c r="C11771" t="s">
        <v>14977</v>
      </c>
      <c r="D11771" t="s">
        <v>19032</v>
      </c>
      <c r="E11771" t="s">
        <v>29089</v>
      </c>
      <c r="F11771" t="s">
        <v>32606</v>
      </c>
      <c r="G11771" t="s">
        <v>32613</v>
      </c>
      <c r="H11771" t="s">
        <v>14201</v>
      </c>
      <c r="I11771" t="s">
        <v>4121</v>
      </c>
      <c r="J11771" t="s">
        <v>37474</v>
      </c>
      <c r="K11771" t="s">
        <v>42624</v>
      </c>
      <c r="M11771" t="s">
        <v>46590</v>
      </c>
      <c r="N11771" t="s">
        <v>47304</v>
      </c>
      <c r="O11771" t="s">
        <v>47305</v>
      </c>
      <c r="Q11771">
        <v>3</v>
      </c>
      <c r="R11771" t="s">
        <v>47317</v>
      </c>
      <c r="S11771" t="s">
        <v>47730</v>
      </c>
      <c r="T11771" t="s">
        <v>49065</v>
      </c>
      <c r="U11771" t="s">
        <v>59251</v>
      </c>
      <c r="V11771" t="s">
        <v>63912</v>
      </c>
      <c r="W11771" t="s">
        <v>46590</v>
      </c>
      <c r="X11771" t="s">
        <v>47318</v>
      </c>
    </row>
    <row r="11772" spans="1:24">
      <c r="A11772">
        <f>HYPERLINK("https://www.philgeps.gov.ph/GEPSNONPILOT/Tender/SplashBidNoticeAbstractUI.aspx?menuIndex=3&amp;refID=7179075&amp;Result=3","7179075")</f>
        <v>0</v>
      </c>
      <c r="B11772" t="s">
        <v>432</v>
      </c>
      <c r="C11772" t="s">
        <v>14978</v>
      </c>
      <c r="D11772" t="s">
        <v>19032</v>
      </c>
      <c r="E11772" t="s">
        <v>29090</v>
      </c>
      <c r="F11772" t="s">
        <v>32606</v>
      </c>
      <c r="G11772" t="s">
        <v>32613</v>
      </c>
      <c r="H11772" t="s">
        <v>14201</v>
      </c>
      <c r="I11772" t="s">
        <v>32641</v>
      </c>
      <c r="J11772" t="s">
        <v>40080</v>
      </c>
      <c r="K11772" t="s">
        <v>42631</v>
      </c>
      <c r="M11772" t="s">
        <v>43338</v>
      </c>
      <c r="N11772" t="s">
        <v>47304</v>
      </c>
      <c r="O11772" t="s">
        <v>47305</v>
      </c>
      <c r="P11772">
        <v>0</v>
      </c>
      <c r="Q11772">
        <v>3</v>
      </c>
      <c r="R11772" t="s">
        <v>47317</v>
      </c>
      <c r="S11772" t="s">
        <v>47712</v>
      </c>
      <c r="T11772" t="s">
        <v>49148</v>
      </c>
      <c r="U11772" t="s">
        <v>59252</v>
      </c>
      <c r="W11772" t="s">
        <v>43338</v>
      </c>
      <c r="X11772" t="s">
        <v>47318</v>
      </c>
    </row>
    <row r="11773" spans="1:24">
      <c r="A11773">
        <f>HYPERLINK("https://www.philgeps.gov.ph/GEPSNONPILOT/Tender/SplashBidNoticeAbstractUI.aspx?menuIndex=3&amp;refID=7179090&amp;Result=3","7179090")</f>
        <v>0</v>
      </c>
      <c r="B11773" t="s">
        <v>3374</v>
      </c>
      <c r="C11773" t="s">
        <v>14979</v>
      </c>
      <c r="D11773" t="s">
        <v>19038</v>
      </c>
      <c r="E11773" t="s">
        <v>29091</v>
      </c>
      <c r="F11773" t="s">
        <v>32606</v>
      </c>
      <c r="G11773" t="s">
        <v>32613</v>
      </c>
      <c r="H11773" t="s">
        <v>14201</v>
      </c>
      <c r="I11773" t="s">
        <v>32626</v>
      </c>
      <c r="J11773" t="s">
        <v>40081</v>
      </c>
      <c r="K11773" t="s">
        <v>42631</v>
      </c>
      <c r="M11773" t="s">
        <v>46624</v>
      </c>
      <c r="N11773" t="s">
        <v>47304</v>
      </c>
      <c r="O11773" t="s">
        <v>47305</v>
      </c>
      <c r="P11773">
        <v>0</v>
      </c>
      <c r="Q11773">
        <v>0</v>
      </c>
      <c r="R11773" t="s">
        <v>47317</v>
      </c>
      <c r="S11773" t="s">
        <v>47712</v>
      </c>
      <c r="T11773" t="s">
        <v>48980</v>
      </c>
      <c r="U11773" t="s">
        <v>59253</v>
      </c>
      <c r="W11773" t="s">
        <v>46624</v>
      </c>
      <c r="X11773" t="s">
        <v>47318</v>
      </c>
    </row>
    <row r="11774" spans="1:24">
      <c r="A11774">
        <f>HYPERLINK("https://www.philgeps.gov.ph/GEPSNONPILOT/Tender/SplashBidNoticeAbstractUI.aspx?menuIndex=3&amp;refID=7179074&amp;Result=3","7179074")</f>
        <v>0</v>
      </c>
      <c r="B11774" t="s">
        <v>3375</v>
      </c>
      <c r="C11774" t="s">
        <v>14980</v>
      </c>
      <c r="D11774" t="s">
        <v>19008</v>
      </c>
      <c r="E11774" t="s">
        <v>29092</v>
      </c>
      <c r="F11774" t="s">
        <v>32607</v>
      </c>
      <c r="G11774" t="s">
        <v>32613</v>
      </c>
      <c r="H11774" t="s">
        <v>14201</v>
      </c>
      <c r="I11774" t="s">
        <v>7064</v>
      </c>
      <c r="J11774" t="s">
        <v>40082</v>
      </c>
      <c r="K11774" t="s">
        <v>42622</v>
      </c>
      <c r="M11774" t="s">
        <v>46625</v>
      </c>
      <c r="N11774" t="s">
        <v>47304</v>
      </c>
      <c r="O11774" t="s">
        <v>47305</v>
      </c>
      <c r="P11774">
        <v>0</v>
      </c>
      <c r="Q11774">
        <v>0</v>
      </c>
      <c r="R11774" t="s">
        <v>47317</v>
      </c>
      <c r="S11774" t="s">
        <v>47712</v>
      </c>
      <c r="T11774" t="s">
        <v>49178</v>
      </c>
      <c r="U11774" t="s">
        <v>59254</v>
      </c>
      <c r="W11774" t="s">
        <v>46625</v>
      </c>
      <c r="X11774" t="s">
        <v>47318</v>
      </c>
    </row>
    <row r="11775" spans="1:24">
      <c r="A11775">
        <f>HYPERLINK("https://www.philgeps.gov.ph/GEPSNONPILOT/Tender/SplashBidNoticeAbstractUI.aspx?menuIndex=3&amp;refID=7179059&amp;Result=3","7179059")</f>
        <v>0</v>
      </c>
      <c r="B11775" t="s">
        <v>2326</v>
      </c>
      <c r="C11775" t="s">
        <v>14981</v>
      </c>
      <c r="E11775" t="s">
        <v>29093</v>
      </c>
      <c r="F11775" t="s">
        <v>32606</v>
      </c>
      <c r="G11775" t="s">
        <v>32613</v>
      </c>
      <c r="H11775" t="s">
        <v>14201</v>
      </c>
      <c r="I11775" t="s">
        <v>6298</v>
      </c>
      <c r="J11775" t="s">
        <v>40083</v>
      </c>
      <c r="K11775" t="s">
        <v>42624</v>
      </c>
      <c r="M11775" t="s">
        <v>45434</v>
      </c>
      <c r="N11775" t="s">
        <v>47304</v>
      </c>
      <c r="O11775" t="s">
        <v>47305</v>
      </c>
      <c r="P11775">
        <v>0</v>
      </c>
      <c r="Q11775">
        <v>1</v>
      </c>
      <c r="R11775" t="s">
        <v>47317</v>
      </c>
      <c r="S11775" t="s">
        <v>47712</v>
      </c>
      <c r="T11775" t="s">
        <v>49140</v>
      </c>
      <c r="U11775" t="s">
        <v>59255</v>
      </c>
      <c r="W11775" t="s">
        <v>45434</v>
      </c>
      <c r="X11775" t="s">
        <v>47318</v>
      </c>
    </row>
    <row r="11776" spans="1:24">
      <c r="A11776">
        <f>HYPERLINK("https://www.philgeps.gov.ph/GEPSNONPILOT/Tender/SplashBidNoticeAbstractUI.aspx?menuIndex=3&amp;refID=7179049&amp;Result=3","7179049")</f>
        <v>0</v>
      </c>
      <c r="B11776" t="s">
        <v>2326</v>
      </c>
      <c r="C11776" t="s">
        <v>14982</v>
      </c>
      <c r="E11776" t="s">
        <v>29094</v>
      </c>
      <c r="F11776" t="s">
        <v>32606</v>
      </c>
      <c r="G11776" t="s">
        <v>32613</v>
      </c>
      <c r="H11776" t="s">
        <v>14201</v>
      </c>
      <c r="I11776" t="s">
        <v>4678</v>
      </c>
      <c r="J11776" t="s">
        <v>40084</v>
      </c>
      <c r="K11776" t="s">
        <v>42624</v>
      </c>
      <c r="M11776" t="s">
        <v>45434</v>
      </c>
      <c r="N11776" t="s">
        <v>47304</v>
      </c>
      <c r="O11776" t="s">
        <v>47305</v>
      </c>
      <c r="P11776">
        <v>0</v>
      </c>
      <c r="Q11776">
        <v>5</v>
      </c>
      <c r="R11776" t="s">
        <v>47317</v>
      </c>
      <c r="S11776" t="s">
        <v>47712</v>
      </c>
      <c r="T11776" t="s">
        <v>49140</v>
      </c>
      <c r="U11776" t="s">
        <v>59256</v>
      </c>
      <c r="W11776" t="s">
        <v>45434</v>
      </c>
      <c r="X11776" t="s">
        <v>47318</v>
      </c>
    </row>
    <row r="11777" spans="1:24">
      <c r="A11777">
        <f>HYPERLINK("https://www.philgeps.gov.ph/GEPSNONPILOT/Tender/SplashBidNoticeAbstractUI.aspx?menuIndex=3&amp;refID=7179040&amp;Result=3","7179040")</f>
        <v>0</v>
      </c>
      <c r="B11777" t="s">
        <v>3374</v>
      </c>
      <c r="C11777" t="s">
        <v>14983</v>
      </c>
      <c r="D11777" t="s">
        <v>19038</v>
      </c>
      <c r="E11777" t="s">
        <v>29095</v>
      </c>
      <c r="F11777" t="s">
        <v>32606</v>
      </c>
      <c r="G11777" t="s">
        <v>32613</v>
      </c>
      <c r="H11777" t="s">
        <v>14201</v>
      </c>
      <c r="I11777" t="s">
        <v>32626</v>
      </c>
      <c r="J11777" t="s">
        <v>40085</v>
      </c>
      <c r="K11777" t="s">
        <v>42631</v>
      </c>
      <c r="M11777" t="s">
        <v>46624</v>
      </c>
      <c r="N11777" t="s">
        <v>47304</v>
      </c>
      <c r="O11777" t="s">
        <v>47305</v>
      </c>
      <c r="P11777">
        <v>0</v>
      </c>
      <c r="Q11777">
        <v>0</v>
      </c>
      <c r="R11777" t="s">
        <v>47317</v>
      </c>
      <c r="S11777" t="s">
        <v>47712</v>
      </c>
      <c r="T11777" t="s">
        <v>48980</v>
      </c>
      <c r="U11777" t="s">
        <v>59257</v>
      </c>
      <c r="W11777" t="s">
        <v>46624</v>
      </c>
      <c r="X11777" t="s">
        <v>47318</v>
      </c>
    </row>
    <row r="11778" spans="1:24">
      <c r="A11778">
        <f>HYPERLINK("https://www.philgeps.gov.ph/GEPSNONPILOT/Tender/SplashBidNoticeAbstractUI.aspx?menuIndex=3&amp;refID=7179037&amp;Result=3","7179037")</f>
        <v>0</v>
      </c>
      <c r="B11778" t="s">
        <v>3119</v>
      </c>
      <c r="C11778" t="s">
        <v>14984</v>
      </c>
      <c r="D11778" t="s">
        <v>19006</v>
      </c>
      <c r="E11778" t="s">
        <v>29096</v>
      </c>
      <c r="F11778" t="s">
        <v>32606</v>
      </c>
      <c r="G11778" t="s">
        <v>32613</v>
      </c>
      <c r="H11778" t="s">
        <v>32623</v>
      </c>
      <c r="I11778" t="s">
        <v>17648</v>
      </c>
      <c r="J11778" t="s">
        <v>40086</v>
      </c>
      <c r="K11778" t="s">
        <v>42646</v>
      </c>
      <c r="M11778" t="s">
        <v>46329</v>
      </c>
      <c r="N11778" t="s">
        <v>47304</v>
      </c>
      <c r="O11778" t="s">
        <v>47305</v>
      </c>
      <c r="P11778">
        <v>0</v>
      </c>
      <c r="Q11778">
        <v>1</v>
      </c>
      <c r="R11778" t="s">
        <v>47317</v>
      </c>
      <c r="S11778" t="s">
        <v>47712</v>
      </c>
      <c r="T11778" t="s">
        <v>49075</v>
      </c>
      <c r="U11778" t="s">
        <v>59258</v>
      </c>
      <c r="V11778" t="s">
        <v>63747</v>
      </c>
      <c r="W11778" t="s">
        <v>46329</v>
      </c>
      <c r="X11778" t="s">
        <v>47318</v>
      </c>
    </row>
    <row r="11779" spans="1:24">
      <c r="A11779">
        <f>HYPERLINK("https://www.philgeps.gov.ph/GEPSNONPILOT/Tender/SplashBidNoticeAbstractUI.aspx?menuIndex=3&amp;refID=7179027&amp;Result=3","7179027")</f>
        <v>0</v>
      </c>
      <c r="B11779" t="s">
        <v>3119</v>
      </c>
      <c r="C11779" t="s">
        <v>14985</v>
      </c>
      <c r="D11779" t="s">
        <v>19006</v>
      </c>
      <c r="E11779" t="s">
        <v>29097</v>
      </c>
      <c r="F11779" t="s">
        <v>32606</v>
      </c>
      <c r="G11779" t="s">
        <v>32613</v>
      </c>
      <c r="H11779" t="s">
        <v>32623</v>
      </c>
      <c r="I11779" t="s">
        <v>17648</v>
      </c>
      <c r="J11779" t="s">
        <v>40087</v>
      </c>
      <c r="K11779" t="s">
        <v>42712</v>
      </c>
      <c r="M11779" t="s">
        <v>46329</v>
      </c>
      <c r="N11779" t="s">
        <v>47304</v>
      </c>
      <c r="O11779" t="s">
        <v>47305</v>
      </c>
      <c r="P11779">
        <v>0</v>
      </c>
      <c r="Q11779">
        <v>1</v>
      </c>
      <c r="R11779" t="s">
        <v>47317</v>
      </c>
      <c r="S11779" t="s">
        <v>47712</v>
      </c>
      <c r="T11779" t="s">
        <v>49075</v>
      </c>
      <c r="U11779" t="s">
        <v>59258</v>
      </c>
      <c r="V11779" t="s">
        <v>63747</v>
      </c>
      <c r="W11779" t="s">
        <v>46329</v>
      </c>
      <c r="X11779" t="s">
        <v>47318</v>
      </c>
    </row>
    <row r="11780" spans="1:24">
      <c r="A11780">
        <f>HYPERLINK("https://www.philgeps.gov.ph/GEPSNONPILOT/Tender/SplashBidNoticeAbstractUI.aspx?menuIndex=3&amp;refID=7178348&amp;Result=3","7178348")</f>
        <v>0</v>
      </c>
      <c r="B11780" t="s">
        <v>3357</v>
      </c>
      <c r="C11780" t="s">
        <v>14986</v>
      </c>
      <c r="E11780" t="s">
        <v>29098</v>
      </c>
      <c r="F11780" t="s">
        <v>32606</v>
      </c>
      <c r="G11780" t="s">
        <v>32614</v>
      </c>
      <c r="H11780" t="s">
        <v>14201</v>
      </c>
      <c r="I11780" t="s">
        <v>32654</v>
      </c>
      <c r="J11780" t="s">
        <v>39302</v>
      </c>
      <c r="K11780" t="s">
        <v>42631</v>
      </c>
      <c r="M11780" t="s">
        <v>46604</v>
      </c>
      <c r="N11780" t="s">
        <v>47304</v>
      </c>
      <c r="O11780" t="s">
        <v>47305</v>
      </c>
      <c r="P11780">
        <v>0</v>
      </c>
      <c r="Q11780">
        <v>1</v>
      </c>
      <c r="R11780" t="s">
        <v>47317</v>
      </c>
      <c r="S11780" t="s">
        <v>47712</v>
      </c>
      <c r="T11780" t="s">
        <v>49198</v>
      </c>
      <c r="U11780" t="s">
        <v>59259</v>
      </c>
      <c r="W11780" t="s">
        <v>46604</v>
      </c>
      <c r="X11780" t="s">
        <v>47318</v>
      </c>
    </row>
    <row r="11781" spans="1:24">
      <c r="A11781">
        <f>HYPERLINK("https://www.philgeps.gov.ph/GEPSNONPILOT/Tender/SplashBidNoticeAbstractUI.aspx?menuIndex=3&amp;refID=7179084&amp;Result=3","7179084")</f>
        <v>0</v>
      </c>
      <c r="B11781" t="s">
        <v>3119</v>
      </c>
      <c r="C11781" t="s">
        <v>14987</v>
      </c>
      <c r="D11781" t="s">
        <v>19006</v>
      </c>
      <c r="E11781" t="s">
        <v>29099</v>
      </c>
      <c r="F11781" t="s">
        <v>32606</v>
      </c>
      <c r="G11781" t="s">
        <v>32613</v>
      </c>
      <c r="H11781" t="s">
        <v>32623</v>
      </c>
      <c r="I11781" t="s">
        <v>17648</v>
      </c>
      <c r="J11781" t="s">
        <v>40088</v>
      </c>
      <c r="K11781" t="s">
        <v>42648</v>
      </c>
      <c r="M11781" t="s">
        <v>46329</v>
      </c>
      <c r="N11781" t="s">
        <v>47304</v>
      </c>
      <c r="O11781" t="s">
        <v>47305</v>
      </c>
      <c r="P11781">
        <v>0</v>
      </c>
      <c r="Q11781">
        <v>1</v>
      </c>
      <c r="R11781" t="s">
        <v>47317</v>
      </c>
      <c r="S11781" t="s">
        <v>47712</v>
      </c>
      <c r="T11781" t="s">
        <v>49111</v>
      </c>
      <c r="U11781" t="s">
        <v>59260</v>
      </c>
      <c r="V11781" t="s">
        <v>63747</v>
      </c>
      <c r="W11781" t="s">
        <v>46329</v>
      </c>
      <c r="X11781" t="s">
        <v>47318</v>
      </c>
    </row>
    <row r="11782" spans="1:24">
      <c r="A11782">
        <f>HYPERLINK("https://www.philgeps.gov.ph/GEPSNONPILOT/Tender/SplashBidNoticeAbstractUI.aspx?menuIndex=3&amp;refID=7179012&amp;Result=3","7179012")</f>
        <v>0</v>
      </c>
      <c r="B11782" t="s">
        <v>3119</v>
      </c>
      <c r="C11782" t="s">
        <v>14988</v>
      </c>
      <c r="D11782" t="s">
        <v>19006</v>
      </c>
      <c r="E11782" t="s">
        <v>29100</v>
      </c>
      <c r="F11782" t="s">
        <v>32606</v>
      </c>
      <c r="G11782" t="s">
        <v>32613</v>
      </c>
      <c r="H11782" t="s">
        <v>32623</v>
      </c>
      <c r="I11782" t="s">
        <v>17648</v>
      </c>
      <c r="J11782" t="s">
        <v>40089</v>
      </c>
      <c r="K11782" t="s">
        <v>42631</v>
      </c>
      <c r="M11782" t="s">
        <v>46329</v>
      </c>
      <c r="N11782" t="s">
        <v>47304</v>
      </c>
      <c r="O11782" t="s">
        <v>47305</v>
      </c>
      <c r="P11782">
        <v>0</v>
      </c>
      <c r="Q11782">
        <v>0</v>
      </c>
      <c r="R11782" t="s">
        <v>47317</v>
      </c>
      <c r="S11782" t="s">
        <v>47712</v>
      </c>
      <c r="T11782" t="s">
        <v>49075</v>
      </c>
      <c r="U11782" t="s">
        <v>59258</v>
      </c>
      <c r="V11782" t="s">
        <v>63747</v>
      </c>
      <c r="W11782" t="s">
        <v>46329</v>
      </c>
      <c r="X11782" t="s">
        <v>47318</v>
      </c>
    </row>
    <row r="11783" spans="1:24">
      <c r="A11783">
        <f>HYPERLINK("https://www.philgeps.gov.ph/GEPSNONPILOT/Tender/SplashBidNoticeAbstractUI.aspx?menuIndex=3&amp;refID=7179057&amp;Result=3","7179057")</f>
        <v>0</v>
      </c>
      <c r="B11783" t="s">
        <v>3119</v>
      </c>
      <c r="C11783" t="s">
        <v>14989</v>
      </c>
      <c r="D11783" t="s">
        <v>19006</v>
      </c>
      <c r="E11783" t="s">
        <v>29101</v>
      </c>
      <c r="F11783" t="s">
        <v>32606</v>
      </c>
      <c r="G11783" t="s">
        <v>32613</v>
      </c>
      <c r="H11783" t="s">
        <v>32623</v>
      </c>
      <c r="I11783" t="s">
        <v>17648</v>
      </c>
      <c r="J11783" t="s">
        <v>40090</v>
      </c>
      <c r="K11783" t="s">
        <v>42712</v>
      </c>
      <c r="M11783" t="s">
        <v>46329</v>
      </c>
      <c r="N11783" t="s">
        <v>47304</v>
      </c>
      <c r="O11783" t="s">
        <v>47305</v>
      </c>
      <c r="P11783">
        <v>0</v>
      </c>
      <c r="Q11783">
        <v>0</v>
      </c>
      <c r="R11783" t="s">
        <v>47317</v>
      </c>
      <c r="S11783" t="s">
        <v>47712</v>
      </c>
      <c r="T11783" t="s">
        <v>49075</v>
      </c>
      <c r="U11783" t="s">
        <v>59261</v>
      </c>
      <c r="V11783" t="s">
        <v>63747</v>
      </c>
      <c r="W11783" t="s">
        <v>46329</v>
      </c>
      <c r="X11783" t="s">
        <v>47318</v>
      </c>
    </row>
    <row r="11784" spans="1:24">
      <c r="A11784">
        <f>HYPERLINK("https://www.philgeps.gov.ph/GEPSNONPILOT/Tender/SplashBidNoticeAbstractUI.aspx?menuIndex=3&amp;refID=7179005&amp;Result=3","7179005")</f>
        <v>0</v>
      </c>
      <c r="B11784" t="s">
        <v>3374</v>
      </c>
      <c r="C11784" t="s">
        <v>14990</v>
      </c>
      <c r="D11784" t="s">
        <v>19038</v>
      </c>
      <c r="E11784" t="s">
        <v>29102</v>
      </c>
      <c r="F11784" t="s">
        <v>32606</v>
      </c>
      <c r="G11784" t="s">
        <v>32613</v>
      </c>
      <c r="H11784" t="s">
        <v>14201</v>
      </c>
      <c r="I11784" t="s">
        <v>32626</v>
      </c>
      <c r="J11784" t="s">
        <v>40091</v>
      </c>
      <c r="K11784" t="s">
        <v>42631</v>
      </c>
      <c r="M11784" t="s">
        <v>46624</v>
      </c>
      <c r="N11784" t="s">
        <v>47304</v>
      </c>
      <c r="O11784" t="s">
        <v>47305</v>
      </c>
      <c r="P11784">
        <v>0</v>
      </c>
      <c r="Q11784">
        <v>0</v>
      </c>
      <c r="R11784" t="s">
        <v>47317</v>
      </c>
      <c r="S11784" t="s">
        <v>47712</v>
      </c>
      <c r="T11784" t="s">
        <v>48980</v>
      </c>
      <c r="U11784" t="s">
        <v>59262</v>
      </c>
      <c r="W11784" t="s">
        <v>46624</v>
      </c>
      <c r="X11784" t="s">
        <v>47318</v>
      </c>
    </row>
    <row r="11785" spans="1:24">
      <c r="A11785">
        <f>HYPERLINK("https://www.philgeps.gov.ph/GEPSNONPILOT/Tender/SplashBidNoticeAbstractUI.aspx?menuIndex=3&amp;refID=7179022&amp;Result=3","7179022")</f>
        <v>0</v>
      </c>
      <c r="B11785" t="s">
        <v>2326</v>
      </c>
      <c r="C11785" t="s">
        <v>14991</v>
      </c>
      <c r="E11785" t="s">
        <v>29103</v>
      </c>
      <c r="F11785" t="s">
        <v>32606</v>
      </c>
      <c r="G11785" t="s">
        <v>32613</v>
      </c>
      <c r="H11785" t="s">
        <v>14201</v>
      </c>
      <c r="I11785" t="s">
        <v>32640</v>
      </c>
      <c r="J11785" t="s">
        <v>40092</v>
      </c>
      <c r="K11785" t="s">
        <v>42624</v>
      </c>
      <c r="M11785" t="s">
        <v>45434</v>
      </c>
      <c r="N11785" t="s">
        <v>47304</v>
      </c>
      <c r="O11785" t="s">
        <v>47305</v>
      </c>
      <c r="P11785">
        <v>0</v>
      </c>
      <c r="Q11785">
        <v>22</v>
      </c>
      <c r="R11785" t="s">
        <v>47317</v>
      </c>
      <c r="S11785" t="s">
        <v>47712</v>
      </c>
      <c r="T11785" t="s">
        <v>49140</v>
      </c>
      <c r="U11785" t="s">
        <v>59263</v>
      </c>
      <c r="W11785" t="s">
        <v>45434</v>
      </c>
      <c r="X11785" t="s">
        <v>47318</v>
      </c>
    </row>
    <row r="11786" spans="1:24">
      <c r="A11786">
        <f>HYPERLINK("https://www.philgeps.gov.ph/GEPSNONPILOT/Tender/SplashBidNoticeAbstractUI.aspx?menuIndex=3&amp;refID=7178812&amp;Result=3","7178812")</f>
        <v>0</v>
      </c>
      <c r="B11786" t="s">
        <v>3363</v>
      </c>
      <c r="C11786" t="s">
        <v>14992</v>
      </c>
      <c r="E11786" t="s">
        <v>26341</v>
      </c>
      <c r="F11786" t="s">
        <v>32606</v>
      </c>
      <c r="G11786" t="s">
        <v>32613</v>
      </c>
      <c r="H11786" t="s">
        <v>32623</v>
      </c>
      <c r="I11786" t="s">
        <v>17648</v>
      </c>
      <c r="J11786" t="s">
        <v>40093</v>
      </c>
      <c r="K11786" t="s">
        <v>42712</v>
      </c>
      <c r="M11786" t="s">
        <v>46612</v>
      </c>
      <c r="N11786" t="s">
        <v>47304</v>
      </c>
      <c r="O11786" t="s">
        <v>47305</v>
      </c>
      <c r="P11786">
        <v>0</v>
      </c>
      <c r="Q11786">
        <v>1</v>
      </c>
      <c r="R11786" t="s">
        <v>47317</v>
      </c>
      <c r="S11786" t="s">
        <v>47712</v>
      </c>
      <c r="T11786" t="s">
        <v>49111</v>
      </c>
      <c r="U11786" t="s">
        <v>59238</v>
      </c>
      <c r="W11786" t="s">
        <v>46612</v>
      </c>
      <c r="X11786" t="s">
        <v>47318</v>
      </c>
    </row>
    <row r="11787" spans="1:24">
      <c r="A11787">
        <f>HYPERLINK("https://www.philgeps.gov.ph/GEPSNONPILOT/Tender/SplashBidNoticeAbstractUI.aspx?menuIndex=3&amp;refID=7178986&amp;Result=3","7178986")</f>
        <v>0</v>
      </c>
      <c r="B11787" t="s">
        <v>3119</v>
      </c>
      <c r="C11787" t="s">
        <v>14993</v>
      </c>
      <c r="D11787" t="s">
        <v>19006</v>
      </c>
      <c r="E11787" t="s">
        <v>29104</v>
      </c>
      <c r="F11787" t="s">
        <v>32606</v>
      </c>
      <c r="G11787" t="s">
        <v>32613</v>
      </c>
      <c r="H11787" t="s">
        <v>32623</v>
      </c>
      <c r="I11787" t="s">
        <v>17648</v>
      </c>
      <c r="J11787" t="s">
        <v>40094</v>
      </c>
      <c r="K11787" t="s">
        <v>42685</v>
      </c>
      <c r="M11787" t="s">
        <v>46329</v>
      </c>
      <c r="N11787" t="s">
        <v>47304</v>
      </c>
      <c r="O11787" t="s">
        <v>47305</v>
      </c>
      <c r="P11787">
        <v>0</v>
      </c>
      <c r="Q11787">
        <v>1</v>
      </c>
      <c r="R11787" t="s">
        <v>47317</v>
      </c>
      <c r="S11787" t="s">
        <v>47712</v>
      </c>
      <c r="T11787" t="s">
        <v>49075</v>
      </c>
      <c r="U11787" t="s">
        <v>59264</v>
      </c>
      <c r="V11787" t="s">
        <v>63747</v>
      </c>
      <c r="W11787" t="s">
        <v>46329</v>
      </c>
      <c r="X11787" t="s">
        <v>47318</v>
      </c>
    </row>
    <row r="11788" spans="1:24">
      <c r="A11788">
        <f>HYPERLINK("https://www.philgeps.gov.ph/GEPSNONPILOT/Tender/SplashBidNoticeAbstractUI.aspx?menuIndex=3&amp;refID=7178973&amp;Result=3","7178973")</f>
        <v>0</v>
      </c>
      <c r="B11788" t="s">
        <v>3363</v>
      </c>
      <c r="C11788" t="s">
        <v>14994</v>
      </c>
      <c r="E11788" t="s">
        <v>28338</v>
      </c>
      <c r="F11788" t="s">
        <v>32606</v>
      </c>
      <c r="G11788" t="s">
        <v>32613</v>
      </c>
      <c r="H11788" t="s">
        <v>32623</v>
      </c>
      <c r="I11788" t="s">
        <v>17648</v>
      </c>
      <c r="J11788" t="s">
        <v>40095</v>
      </c>
      <c r="K11788" t="s">
        <v>42636</v>
      </c>
      <c r="M11788" t="s">
        <v>46612</v>
      </c>
      <c r="N11788" t="s">
        <v>47304</v>
      </c>
      <c r="O11788" t="s">
        <v>47305</v>
      </c>
      <c r="P11788">
        <v>0</v>
      </c>
      <c r="Q11788">
        <v>1</v>
      </c>
      <c r="R11788" t="s">
        <v>47317</v>
      </c>
      <c r="S11788" t="s">
        <v>47712</v>
      </c>
      <c r="T11788" t="s">
        <v>49111</v>
      </c>
      <c r="U11788" t="s">
        <v>59265</v>
      </c>
      <c r="W11788" t="s">
        <v>46612</v>
      </c>
      <c r="X11788" t="s">
        <v>47318</v>
      </c>
    </row>
    <row r="11789" spans="1:24">
      <c r="A11789">
        <f>HYPERLINK("https://www.philgeps.gov.ph/GEPSNONPILOT/Tender/SplashBidNoticeAbstractUI.aspx?menuIndex=3&amp;refID=7178798&amp;Result=3","7178798")</f>
        <v>0</v>
      </c>
      <c r="B11789" t="s">
        <v>3363</v>
      </c>
      <c r="C11789" t="s">
        <v>14995</v>
      </c>
      <c r="E11789" t="s">
        <v>24883</v>
      </c>
      <c r="F11789" t="s">
        <v>32606</v>
      </c>
      <c r="G11789" t="s">
        <v>32613</v>
      </c>
      <c r="H11789" t="s">
        <v>32623</v>
      </c>
      <c r="I11789" t="s">
        <v>17648</v>
      </c>
      <c r="J11789" t="s">
        <v>34561</v>
      </c>
      <c r="K11789" t="s">
        <v>42646</v>
      </c>
      <c r="M11789" t="s">
        <v>46612</v>
      </c>
      <c r="N11789" t="s">
        <v>47304</v>
      </c>
      <c r="O11789" t="s">
        <v>47305</v>
      </c>
      <c r="P11789">
        <v>0</v>
      </c>
      <c r="Q11789">
        <v>1</v>
      </c>
      <c r="R11789" t="s">
        <v>47317</v>
      </c>
      <c r="S11789" t="s">
        <v>47712</v>
      </c>
      <c r="T11789" t="s">
        <v>49111</v>
      </c>
      <c r="U11789" t="s">
        <v>59266</v>
      </c>
      <c r="W11789" t="s">
        <v>46612</v>
      </c>
      <c r="X11789" t="s">
        <v>47318</v>
      </c>
    </row>
    <row r="11790" spans="1:24">
      <c r="A11790">
        <f>HYPERLINK("https://www.philgeps.gov.ph/GEPSNONPILOT/Tender/SplashBidNoticeAbstractUI.aspx?menuIndex=3&amp;refID=7179034&amp;Result=3","7179034")</f>
        <v>0</v>
      </c>
      <c r="B11790" t="s">
        <v>2326</v>
      </c>
      <c r="C11790" t="s">
        <v>14996</v>
      </c>
      <c r="E11790" t="s">
        <v>29105</v>
      </c>
      <c r="F11790" t="s">
        <v>32606</v>
      </c>
      <c r="G11790" t="s">
        <v>32613</v>
      </c>
      <c r="H11790" t="s">
        <v>14201</v>
      </c>
      <c r="I11790" t="s">
        <v>4678</v>
      </c>
      <c r="J11790" t="s">
        <v>40096</v>
      </c>
      <c r="K11790" t="s">
        <v>42624</v>
      </c>
      <c r="M11790" t="s">
        <v>45434</v>
      </c>
      <c r="N11790" t="s">
        <v>47304</v>
      </c>
      <c r="O11790" t="s">
        <v>47305</v>
      </c>
      <c r="P11790">
        <v>0</v>
      </c>
      <c r="Q11790">
        <v>10</v>
      </c>
      <c r="R11790" t="s">
        <v>47317</v>
      </c>
      <c r="S11790" t="s">
        <v>47712</v>
      </c>
      <c r="T11790" t="s">
        <v>49140</v>
      </c>
      <c r="U11790" t="s">
        <v>59267</v>
      </c>
      <c r="W11790" t="s">
        <v>45434</v>
      </c>
      <c r="X11790" t="s">
        <v>47318</v>
      </c>
    </row>
    <row r="11791" spans="1:24">
      <c r="A11791">
        <f>HYPERLINK("https://www.philgeps.gov.ph/GEPSNONPILOT/Tender/SplashBidNoticeAbstractUI.aspx?menuIndex=3&amp;refID=7178782&amp;Result=3","7178782")</f>
        <v>0</v>
      </c>
      <c r="B11791" t="s">
        <v>3363</v>
      </c>
      <c r="C11791" t="s">
        <v>14997</v>
      </c>
      <c r="E11791" t="s">
        <v>24690</v>
      </c>
      <c r="F11791" t="s">
        <v>32606</v>
      </c>
      <c r="G11791" t="s">
        <v>32613</v>
      </c>
      <c r="H11791" t="s">
        <v>32623</v>
      </c>
      <c r="I11791" t="s">
        <v>17648</v>
      </c>
      <c r="J11791" t="s">
        <v>32821</v>
      </c>
      <c r="K11791" t="s">
        <v>42645</v>
      </c>
      <c r="M11791" t="s">
        <v>46612</v>
      </c>
      <c r="N11791" t="s">
        <v>47304</v>
      </c>
      <c r="O11791" t="s">
        <v>47305</v>
      </c>
      <c r="P11791">
        <v>0</v>
      </c>
      <c r="Q11791">
        <v>1</v>
      </c>
      <c r="R11791" t="s">
        <v>47317</v>
      </c>
      <c r="S11791" t="s">
        <v>47712</v>
      </c>
      <c r="T11791" t="s">
        <v>49111</v>
      </c>
      <c r="U11791" t="s">
        <v>59268</v>
      </c>
      <c r="W11791" t="s">
        <v>46612</v>
      </c>
      <c r="X11791" t="s">
        <v>47318</v>
      </c>
    </row>
    <row r="11792" spans="1:24">
      <c r="A11792">
        <f>HYPERLINK("https://www.philgeps.gov.ph/GEPSNONPILOT/Tender/SplashBidNoticeAbstractUI.aspx?menuIndex=3&amp;refID=7178780&amp;Result=3","7178780")</f>
        <v>0</v>
      </c>
      <c r="B11792" t="s">
        <v>3119</v>
      </c>
      <c r="C11792" t="s">
        <v>14998</v>
      </c>
      <c r="D11792" t="s">
        <v>19006</v>
      </c>
      <c r="E11792" t="s">
        <v>29106</v>
      </c>
      <c r="F11792" t="s">
        <v>32606</v>
      </c>
      <c r="G11792" t="s">
        <v>32613</v>
      </c>
      <c r="H11792" t="s">
        <v>32623</v>
      </c>
      <c r="I11792" t="s">
        <v>17648</v>
      </c>
      <c r="J11792" t="s">
        <v>40097</v>
      </c>
      <c r="K11792" t="s">
        <v>42651</v>
      </c>
      <c r="M11792" t="s">
        <v>46329</v>
      </c>
      <c r="N11792" t="s">
        <v>47304</v>
      </c>
      <c r="O11792" t="s">
        <v>47305</v>
      </c>
      <c r="P11792">
        <v>0</v>
      </c>
      <c r="Q11792">
        <v>0</v>
      </c>
      <c r="R11792" t="s">
        <v>47317</v>
      </c>
      <c r="S11792" t="s">
        <v>47712</v>
      </c>
      <c r="T11792" t="s">
        <v>49075</v>
      </c>
      <c r="U11792" t="s">
        <v>59269</v>
      </c>
      <c r="V11792" t="s">
        <v>63747</v>
      </c>
      <c r="W11792" t="s">
        <v>46329</v>
      </c>
      <c r="X11792" t="s">
        <v>47318</v>
      </c>
    </row>
    <row r="11793" spans="1:24">
      <c r="A11793">
        <f>HYPERLINK("https://www.philgeps.gov.ph/GEPSNONPILOT/Tender/SplashBidNoticeAbstractUI.aspx?menuIndex=3&amp;refID=7178776&amp;Result=3","7178776")</f>
        <v>0</v>
      </c>
      <c r="B11793" t="s">
        <v>3357</v>
      </c>
      <c r="C11793" t="s">
        <v>14999</v>
      </c>
      <c r="E11793" t="s">
        <v>22807</v>
      </c>
      <c r="F11793" t="s">
        <v>32606</v>
      </c>
      <c r="G11793" t="s">
        <v>32613</v>
      </c>
      <c r="H11793" t="s">
        <v>14201</v>
      </c>
      <c r="I11793" t="s">
        <v>32654</v>
      </c>
      <c r="J11793" t="s">
        <v>36026</v>
      </c>
      <c r="K11793" t="s">
        <v>42636</v>
      </c>
      <c r="M11793" t="s">
        <v>46604</v>
      </c>
      <c r="N11793" t="s">
        <v>47304</v>
      </c>
      <c r="O11793" t="s">
        <v>47305</v>
      </c>
      <c r="P11793">
        <v>0</v>
      </c>
      <c r="Q11793">
        <v>2</v>
      </c>
      <c r="R11793" t="s">
        <v>47317</v>
      </c>
      <c r="S11793" t="s">
        <v>47712</v>
      </c>
      <c r="T11793" t="s">
        <v>49198</v>
      </c>
      <c r="U11793" t="s">
        <v>59270</v>
      </c>
      <c r="W11793" t="s">
        <v>46604</v>
      </c>
      <c r="X11793" t="s">
        <v>47318</v>
      </c>
    </row>
    <row r="11794" spans="1:24">
      <c r="A11794">
        <f>HYPERLINK("https://www.philgeps.gov.ph/GEPSNONPILOT/Tender/SplashBidNoticeAbstractUI.aspx?menuIndex=3&amp;refID=7178774&amp;Result=3","7178774")</f>
        <v>0</v>
      </c>
      <c r="B11794" t="s">
        <v>3363</v>
      </c>
      <c r="C11794" t="s">
        <v>15000</v>
      </c>
      <c r="E11794" t="s">
        <v>26148</v>
      </c>
      <c r="F11794" t="s">
        <v>32606</v>
      </c>
      <c r="G11794" t="s">
        <v>32613</v>
      </c>
      <c r="H11794" t="s">
        <v>32623</v>
      </c>
      <c r="I11794" t="s">
        <v>17648</v>
      </c>
      <c r="J11794" t="s">
        <v>32832</v>
      </c>
      <c r="K11794" t="s">
        <v>42646</v>
      </c>
      <c r="M11794" t="s">
        <v>46612</v>
      </c>
      <c r="N11794" t="s">
        <v>47304</v>
      </c>
      <c r="O11794" t="s">
        <v>47305</v>
      </c>
      <c r="P11794">
        <v>0</v>
      </c>
      <c r="Q11794">
        <v>1</v>
      </c>
      <c r="R11794" t="s">
        <v>47317</v>
      </c>
      <c r="S11794" t="s">
        <v>47712</v>
      </c>
      <c r="T11794" t="s">
        <v>49111</v>
      </c>
      <c r="U11794" t="s">
        <v>59271</v>
      </c>
      <c r="W11794" t="s">
        <v>46612</v>
      </c>
      <c r="X11794" t="s">
        <v>47318</v>
      </c>
    </row>
    <row r="11795" spans="1:24">
      <c r="A11795">
        <f>HYPERLINK("https://www.philgeps.gov.ph/GEPSNONPILOT/Tender/SplashBidNoticeAbstractUI.aspx?menuIndex=3&amp;refID=7178623&amp;Result=3","7178623")</f>
        <v>0</v>
      </c>
      <c r="B11795" t="s">
        <v>1201</v>
      </c>
      <c r="C11795" t="s">
        <v>15001</v>
      </c>
      <c r="E11795" t="s">
        <v>29107</v>
      </c>
      <c r="F11795" t="s">
        <v>32606</v>
      </c>
      <c r="G11795" t="s">
        <v>32613</v>
      </c>
      <c r="H11795" t="s">
        <v>14201</v>
      </c>
      <c r="I11795" t="s">
        <v>32648</v>
      </c>
      <c r="J11795" t="s">
        <v>40098</v>
      </c>
      <c r="K11795" t="s">
        <v>42639</v>
      </c>
      <c r="M11795" t="s">
        <v>45117</v>
      </c>
      <c r="N11795" t="s">
        <v>47304</v>
      </c>
      <c r="O11795" t="s">
        <v>47305</v>
      </c>
      <c r="P11795">
        <v>0</v>
      </c>
      <c r="Q11795">
        <v>13</v>
      </c>
      <c r="R11795" t="s">
        <v>47317</v>
      </c>
      <c r="S11795" t="s">
        <v>47712</v>
      </c>
      <c r="T11795" t="s">
        <v>49064</v>
      </c>
      <c r="U11795" t="s">
        <v>58819</v>
      </c>
      <c r="W11795" t="s">
        <v>45117</v>
      </c>
      <c r="X11795" t="s">
        <v>47318</v>
      </c>
    </row>
    <row r="11796" spans="1:24">
      <c r="A11796">
        <f>HYPERLINK("https://www.philgeps.gov.ph/GEPSNONPILOT/Tender/SplashBidNoticeAbstractUI.aspx?menuIndex=3&amp;refID=7178618&amp;Result=3","7178618")</f>
        <v>0</v>
      </c>
      <c r="B11796" t="s">
        <v>3376</v>
      </c>
      <c r="C11796" t="s">
        <v>15002</v>
      </c>
      <c r="D11796" t="s">
        <v>19006</v>
      </c>
      <c r="E11796" t="s">
        <v>29108</v>
      </c>
      <c r="F11796" t="s">
        <v>32606</v>
      </c>
      <c r="G11796" t="s">
        <v>32613</v>
      </c>
      <c r="H11796" t="s">
        <v>14201</v>
      </c>
      <c r="I11796" t="s">
        <v>4114</v>
      </c>
      <c r="J11796" t="s">
        <v>40099</v>
      </c>
      <c r="K11796" t="s">
        <v>42630</v>
      </c>
      <c r="M11796" t="s">
        <v>46626</v>
      </c>
      <c r="N11796" t="s">
        <v>47304</v>
      </c>
      <c r="O11796" t="s">
        <v>47305</v>
      </c>
      <c r="P11796">
        <v>0</v>
      </c>
      <c r="Q11796">
        <v>9</v>
      </c>
      <c r="R11796" t="s">
        <v>47317</v>
      </c>
      <c r="S11796" t="s">
        <v>47712</v>
      </c>
      <c r="T11796" t="s">
        <v>49065</v>
      </c>
      <c r="U11796" t="s">
        <v>59272</v>
      </c>
      <c r="V11796" t="s">
        <v>63913</v>
      </c>
      <c r="W11796" t="s">
        <v>46626</v>
      </c>
      <c r="X11796" t="s">
        <v>47318</v>
      </c>
    </row>
    <row r="11797" spans="1:24">
      <c r="A11797">
        <f>HYPERLINK("https://www.philgeps.gov.ph/GEPSNONPILOT/Tender/SplashBidNoticeAbstractUI.aspx?menuIndex=3&amp;refID=7178611&amp;Result=3","7178611")</f>
        <v>0</v>
      </c>
      <c r="B11797" t="s">
        <v>575</v>
      </c>
      <c r="C11797" t="s">
        <v>15003</v>
      </c>
      <c r="D11797" t="s">
        <v>19036</v>
      </c>
      <c r="E11797" t="s">
        <v>29109</v>
      </c>
      <c r="F11797" t="s">
        <v>32606</v>
      </c>
      <c r="G11797" t="s">
        <v>32613</v>
      </c>
      <c r="H11797" t="s">
        <v>14201</v>
      </c>
      <c r="I11797" t="s">
        <v>9013</v>
      </c>
      <c r="J11797" t="s">
        <v>34128</v>
      </c>
      <c r="K11797" t="s">
        <v>42622</v>
      </c>
      <c r="M11797" t="s">
        <v>44035</v>
      </c>
      <c r="N11797" t="s">
        <v>47304</v>
      </c>
      <c r="O11797" t="s">
        <v>47305</v>
      </c>
      <c r="P11797">
        <v>0</v>
      </c>
      <c r="Q11797">
        <v>2</v>
      </c>
      <c r="R11797" t="s">
        <v>47317</v>
      </c>
      <c r="S11797" t="s">
        <v>47712</v>
      </c>
      <c r="T11797" t="s">
        <v>49157</v>
      </c>
      <c r="U11797" t="s">
        <v>59273</v>
      </c>
      <c r="W11797" t="s">
        <v>44035</v>
      </c>
      <c r="X11797" t="s">
        <v>47318</v>
      </c>
    </row>
    <row r="11798" spans="1:24">
      <c r="A11798">
        <f>HYPERLINK("https://www.philgeps.gov.ph/GEPSNONPILOT/Tender/SplashBidNoticeAbstractUI.aspx?menuIndex=3&amp;refID=7178971&amp;Result=3","7178971")</f>
        <v>0</v>
      </c>
      <c r="B11798" t="s">
        <v>1300</v>
      </c>
      <c r="C11798" t="s">
        <v>15004</v>
      </c>
      <c r="D11798" t="s">
        <v>19037</v>
      </c>
      <c r="E11798" t="s">
        <v>29110</v>
      </c>
      <c r="F11798" t="s">
        <v>32606</v>
      </c>
      <c r="G11798" t="s">
        <v>32613</v>
      </c>
      <c r="H11798" t="s">
        <v>14201</v>
      </c>
      <c r="I11798" t="s">
        <v>7064</v>
      </c>
      <c r="J11798" t="s">
        <v>35331</v>
      </c>
      <c r="K11798" t="s">
        <v>42629</v>
      </c>
      <c r="M11798" t="s">
        <v>44272</v>
      </c>
      <c r="N11798" t="s">
        <v>47304</v>
      </c>
      <c r="O11798" t="s">
        <v>47305</v>
      </c>
      <c r="P11798">
        <v>0</v>
      </c>
      <c r="Q11798">
        <v>20</v>
      </c>
      <c r="R11798" t="s">
        <v>47317</v>
      </c>
      <c r="S11798" t="s">
        <v>47712</v>
      </c>
      <c r="T11798" t="s">
        <v>49171</v>
      </c>
      <c r="U11798" t="s">
        <v>59274</v>
      </c>
      <c r="W11798" t="s">
        <v>44272</v>
      </c>
      <c r="X11798" t="s">
        <v>47318</v>
      </c>
    </row>
    <row r="11799" spans="1:24">
      <c r="A11799">
        <f>HYPERLINK("https://www.philgeps.gov.ph/GEPSNONPILOT/Tender/SplashBidNoticeAbstractUI.aspx?menuIndex=3&amp;refID=7178959&amp;Result=3","7178959")</f>
        <v>0</v>
      </c>
      <c r="B11799" t="s">
        <v>3119</v>
      </c>
      <c r="C11799" t="s">
        <v>15005</v>
      </c>
      <c r="D11799" t="s">
        <v>19006</v>
      </c>
      <c r="E11799" t="s">
        <v>29111</v>
      </c>
      <c r="F11799" t="s">
        <v>32606</v>
      </c>
      <c r="G11799" t="s">
        <v>32613</v>
      </c>
      <c r="H11799" t="s">
        <v>32623</v>
      </c>
      <c r="I11799" t="s">
        <v>17648</v>
      </c>
      <c r="J11799" t="s">
        <v>40100</v>
      </c>
      <c r="K11799" t="s">
        <v>42863</v>
      </c>
      <c r="M11799" t="s">
        <v>46329</v>
      </c>
      <c r="N11799" t="s">
        <v>47304</v>
      </c>
      <c r="O11799" t="s">
        <v>47305</v>
      </c>
      <c r="P11799">
        <v>0</v>
      </c>
      <c r="Q11799">
        <v>0</v>
      </c>
      <c r="R11799" t="s">
        <v>47317</v>
      </c>
      <c r="S11799" t="s">
        <v>47712</v>
      </c>
      <c r="T11799" t="s">
        <v>49075</v>
      </c>
      <c r="U11799" t="s">
        <v>59275</v>
      </c>
      <c r="V11799" t="s">
        <v>63747</v>
      </c>
      <c r="W11799" t="s">
        <v>46329</v>
      </c>
      <c r="X11799" t="s">
        <v>47318</v>
      </c>
    </row>
    <row r="11800" spans="1:24">
      <c r="A11800">
        <f>HYPERLINK("https://www.philgeps.gov.ph/GEPSNONPILOT/Tender/SplashBidNoticeAbstractUI.aspx?menuIndex=3&amp;refID=7178799&amp;Result=3","7178799")</f>
        <v>0</v>
      </c>
      <c r="B11800" t="s">
        <v>3119</v>
      </c>
      <c r="C11800" t="s">
        <v>15006</v>
      </c>
      <c r="D11800" t="s">
        <v>19006</v>
      </c>
      <c r="E11800" t="s">
        <v>29112</v>
      </c>
      <c r="F11800" t="s">
        <v>32606</v>
      </c>
      <c r="G11800" t="s">
        <v>32613</v>
      </c>
      <c r="H11800" t="s">
        <v>32623</v>
      </c>
      <c r="I11800" t="s">
        <v>17648</v>
      </c>
      <c r="J11800" t="s">
        <v>40101</v>
      </c>
      <c r="K11800" t="s">
        <v>42776</v>
      </c>
      <c r="M11800" t="s">
        <v>46329</v>
      </c>
      <c r="N11800" t="s">
        <v>47304</v>
      </c>
      <c r="O11800" t="s">
        <v>47305</v>
      </c>
      <c r="P11800">
        <v>0</v>
      </c>
      <c r="Q11800">
        <v>0</v>
      </c>
      <c r="R11800" t="s">
        <v>47317</v>
      </c>
      <c r="S11800" t="s">
        <v>47712</v>
      </c>
      <c r="T11800" t="s">
        <v>49075</v>
      </c>
      <c r="U11800" t="s">
        <v>59247</v>
      </c>
      <c r="V11800" t="s">
        <v>63747</v>
      </c>
      <c r="W11800" t="s">
        <v>46329</v>
      </c>
      <c r="X11800" t="s">
        <v>47318</v>
      </c>
    </row>
    <row r="11801" spans="1:24">
      <c r="A11801">
        <f>HYPERLINK("https://www.philgeps.gov.ph/GEPSNONPILOT/Tender/SplashBidNoticeAbstractUI.aspx?menuIndex=3&amp;refID=7179105&amp;Result=3","7179105")</f>
        <v>0</v>
      </c>
      <c r="B11801" t="s">
        <v>3119</v>
      </c>
      <c r="C11801" t="s">
        <v>15007</v>
      </c>
      <c r="D11801" t="s">
        <v>19006</v>
      </c>
      <c r="E11801" t="s">
        <v>29113</v>
      </c>
      <c r="F11801" t="s">
        <v>32606</v>
      </c>
      <c r="G11801" t="s">
        <v>32613</v>
      </c>
      <c r="H11801" t="s">
        <v>32623</v>
      </c>
      <c r="I11801" t="s">
        <v>17648</v>
      </c>
      <c r="J11801" t="s">
        <v>40102</v>
      </c>
      <c r="K11801" t="s">
        <v>42636</v>
      </c>
      <c r="M11801" t="s">
        <v>46329</v>
      </c>
      <c r="N11801" t="s">
        <v>47304</v>
      </c>
      <c r="O11801" t="s">
        <v>47305</v>
      </c>
      <c r="P11801">
        <v>0</v>
      </c>
      <c r="Q11801">
        <v>0</v>
      </c>
      <c r="R11801" t="s">
        <v>47317</v>
      </c>
      <c r="S11801" t="s">
        <v>47712</v>
      </c>
      <c r="T11801" t="s">
        <v>49111</v>
      </c>
      <c r="U11801" t="s">
        <v>59276</v>
      </c>
      <c r="V11801" t="s">
        <v>63747</v>
      </c>
      <c r="W11801" t="s">
        <v>46329</v>
      </c>
      <c r="X11801" t="s">
        <v>47318</v>
      </c>
    </row>
    <row r="11802" spans="1:24">
      <c r="A11802">
        <f>HYPERLINK("https://www.philgeps.gov.ph/GEPSNONPILOT/Tender/SplashBidNoticeAbstractUI.aspx?menuIndex=3&amp;refID=7179173&amp;Result=3","7179173")</f>
        <v>0</v>
      </c>
      <c r="B11802" t="s">
        <v>3373</v>
      </c>
      <c r="C11802" t="s">
        <v>15008</v>
      </c>
      <c r="D11802" t="s">
        <v>19011</v>
      </c>
      <c r="E11802" t="s">
        <v>29114</v>
      </c>
      <c r="F11802" t="s">
        <v>32606</v>
      </c>
      <c r="G11802" t="s">
        <v>32613</v>
      </c>
      <c r="H11802" t="s">
        <v>32623</v>
      </c>
      <c r="I11802" t="s">
        <v>17648</v>
      </c>
      <c r="J11802" t="s">
        <v>32795</v>
      </c>
      <c r="K11802" t="s">
        <v>42636</v>
      </c>
      <c r="M11802" t="s">
        <v>46623</v>
      </c>
      <c r="N11802" t="s">
        <v>47304</v>
      </c>
      <c r="O11802" t="s">
        <v>47305</v>
      </c>
      <c r="P11802">
        <v>0</v>
      </c>
      <c r="Q11802">
        <v>0</v>
      </c>
      <c r="R11802" t="s">
        <v>47317</v>
      </c>
      <c r="S11802" t="s">
        <v>47712</v>
      </c>
      <c r="T11802" t="s">
        <v>49140</v>
      </c>
      <c r="U11802" t="s">
        <v>59277</v>
      </c>
      <c r="W11802" t="s">
        <v>46623</v>
      </c>
      <c r="X11802" t="s">
        <v>47318</v>
      </c>
    </row>
    <row r="11803" spans="1:24">
      <c r="A11803">
        <f>HYPERLINK("https://www.philgeps.gov.ph/GEPSNONPILOT/Tender/SplashBidNoticeAbstractUI.aspx?menuIndex=3&amp;refID=7179207&amp;Result=3","7179207")</f>
        <v>0</v>
      </c>
      <c r="B11803" t="s">
        <v>728</v>
      </c>
      <c r="C11803" t="s">
        <v>15009</v>
      </c>
      <c r="D11803" t="s">
        <v>19025</v>
      </c>
      <c r="E11803" t="s">
        <v>29115</v>
      </c>
      <c r="F11803" t="s">
        <v>32606</v>
      </c>
      <c r="G11803" t="s">
        <v>32613</v>
      </c>
      <c r="H11803" t="s">
        <v>32623</v>
      </c>
      <c r="I11803" t="s">
        <v>17648</v>
      </c>
      <c r="J11803" t="s">
        <v>40103</v>
      </c>
      <c r="K11803" t="s">
        <v>42693</v>
      </c>
      <c r="M11803" t="s">
        <v>44360</v>
      </c>
      <c r="N11803" t="s">
        <v>47304</v>
      </c>
      <c r="O11803" t="s">
        <v>47305</v>
      </c>
      <c r="P11803">
        <v>0</v>
      </c>
      <c r="Q11803">
        <v>1</v>
      </c>
      <c r="R11803" t="s">
        <v>47317</v>
      </c>
      <c r="S11803" t="s">
        <v>47712</v>
      </c>
      <c r="T11803" t="s">
        <v>49148</v>
      </c>
      <c r="U11803" t="s">
        <v>59278</v>
      </c>
      <c r="W11803" t="s">
        <v>44360</v>
      </c>
      <c r="X11803" t="s">
        <v>47318</v>
      </c>
    </row>
    <row r="11804" spans="1:24">
      <c r="A11804">
        <f>HYPERLINK("https://www.philgeps.gov.ph/GEPSNONPILOT/Tender/SplashBidNoticeAbstractUI.aspx?menuIndex=3&amp;refID=7179162&amp;Result=3","7179162")</f>
        <v>0</v>
      </c>
      <c r="B11804" t="s">
        <v>3119</v>
      </c>
      <c r="C11804" t="s">
        <v>15010</v>
      </c>
      <c r="D11804" t="s">
        <v>19006</v>
      </c>
      <c r="E11804" t="s">
        <v>29116</v>
      </c>
      <c r="F11804" t="s">
        <v>32606</v>
      </c>
      <c r="G11804" t="s">
        <v>32613</v>
      </c>
      <c r="H11804" t="s">
        <v>32623</v>
      </c>
      <c r="I11804" t="s">
        <v>17648</v>
      </c>
      <c r="J11804" t="s">
        <v>40104</v>
      </c>
      <c r="K11804" t="s">
        <v>42648</v>
      </c>
      <c r="M11804" t="s">
        <v>46329</v>
      </c>
      <c r="N11804" t="s">
        <v>47304</v>
      </c>
      <c r="O11804" t="s">
        <v>47305</v>
      </c>
      <c r="P11804">
        <v>0</v>
      </c>
      <c r="Q11804">
        <v>0</v>
      </c>
      <c r="R11804" t="s">
        <v>47317</v>
      </c>
      <c r="S11804" t="s">
        <v>47712</v>
      </c>
      <c r="T11804" t="s">
        <v>49111</v>
      </c>
      <c r="U11804" t="s">
        <v>59276</v>
      </c>
      <c r="V11804" t="s">
        <v>63747</v>
      </c>
      <c r="W11804" t="s">
        <v>46329</v>
      </c>
      <c r="X11804" t="s">
        <v>47318</v>
      </c>
    </row>
    <row r="11805" spans="1:24">
      <c r="A11805">
        <f>HYPERLINK("https://www.philgeps.gov.ph/GEPSNONPILOT/Tender/SplashBidNoticeAbstractUI.aspx?menuIndex=3&amp;refID=7179160&amp;Result=3","7179160")</f>
        <v>0</v>
      </c>
      <c r="B11805" t="s">
        <v>2155</v>
      </c>
      <c r="C11805" t="s">
        <v>15011</v>
      </c>
      <c r="D11805" t="s">
        <v>19011</v>
      </c>
      <c r="E11805" t="s">
        <v>29117</v>
      </c>
      <c r="F11805" t="s">
        <v>32606</v>
      </c>
      <c r="G11805" t="s">
        <v>32613</v>
      </c>
      <c r="H11805" t="s">
        <v>32623</v>
      </c>
      <c r="I11805" t="s">
        <v>17648</v>
      </c>
      <c r="J11805" t="s">
        <v>40105</v>
      </c>
      <c r="K11805" t="s">
        <v>42624</v>
      </c>
      <c r="M11805" t="s">
        <v>45246</v>
      </c>
      <c r="N11805" t="s">
        <v>47304</v>
      </c>
      <c r="O11805" t="s">
        <v>47305</v>
      </c>
      <c r="P11805">
        <v>0</v>
      </c>
      <c r="Q11805">
        <v>0</v>
      </c>
      <c r="R11805" t="s">
        <v>47317</v>
      </c>
      <c r="S11805" t="s">
        <v>47712</v>
      </c>
      <c r="T11805" t="s">
        <v>49066</v>
      </c>
      <c r="U11805" t="s">
        <v>54912</v>
      </c>
      <c r="V11805" t="s">
        <v>54912</v>
      </c>
      <c r="W11805" t="s">
        <v>45246</v>
      </c>
      <c r="X11805" t="s">
        <v>47318</v>
      </c>
    </row>
    <row r="11806" spans="1:24">
      <c r="A11806">
        <f>HYPERLINK("https://www.philgeps.gov.ph/GEPSNONPILOT/Tender/SplashBidNoticeAbstractUI.aspx?menuIndex=3&amp;refID=7179158&amp;Result=3","7179158")</f>
        <v>0</v>
      </c>
      <c r="B11806" t="s">
        <v>3377</v>
      </c>
      <c r="C11806" t="s">
        <v>15012</v>
      </c>
      <c r="D11806" t="s">
        <v>19011</v>
      </c>
      <c r="E11806" t="s">
        <v>29118</v>
      </c>
      <c r="F11806" t="s">
        <v>32606</v>
      </c>
      <c r="G11806" t="s">
        <v>32613</v>
      </c>
      <c r="H11806" t="s">
        <v>32623</v>
      </c>
      <c r="I11806" t="s">
        <v>17648</v>
      </c>
      <c r="J11806" t="s">
        <v>32981</v>
      </c>
      <c r="K11806" t="s">
        <v>42623</v>
      </c>
      <c r="M11806" t="s">
        <v>46627</v>
      </c>
      <c r="N11806" t="s">
        <v>47304</v>
      </c>
      <c r="O11806" t="s">
        <v>47305</v>
      </c>
      <c r="P11806">
        <v>0</v>
      </c>
      <c r="Q11806">
        <v>0</v>
      </c>
      <c r="R11806" t="s">
        <v>47317</v>
      </c>
      <c r="S11806" t="s">
        <v>47712</v>
      </c>
      <c r="T11806" t="s">
        <v>49020</v>
      </c>
      <c r="U11806" t="s">
        <v>59279</v>
      </c>
      <c r="W11806" t="s">
        <v>46627</v>
      </c>
      <c r="X11806" t="s">
        <v>47318</v>
      </c>
    </row>
    <row r="11807" spans="1:24">
      <c r="A11807">
        <f>HYPERLINK("https://www.philgeps.gov.ph/GEPSNONPILOT/Tender/SplashBidNoticeAbstractUI.aspx?menuIndex=3&amp;refID=7179156&amp;Result=3","7179156")</f>
        <v>0</v>
      </c>
      <c r="B11807" t="s">
        <v>728</v>
      </c>
      <c r="C11807" t="s">
        <v>15013</v>
      </c>
      <c r="D11807" t="s">
        <v>19025</v>
      </c>
      <c r="E11807" t="s">
        <v>29119</v>
      </c>
      <c r="F11807" t="s">
        <v>32606</v>
      </c>
      <c r="G11807" t="s">
        <v>32613</v>
      </c>
      <c r="H11807" t="s">
        <v>32623</v>
      </c>
      <c r="I11807" t="s">
        <v>17648</v>
      </c>
      <c r="J11807" t="s">
        <v>34166</v>
      </c>
      <c r="K11807" t="s">
        <v>42828</v>
      </c>
      <c r="M11807" t="s">
        <v>44360</v>
      </c>
      <c r="N11807" t="s">
        <v>47304</v>
      </c>
      <c r="O11807" t="s">
        <v>47305</v>
      </c>
      <c r="P11807">
        <v>0</v>
      </c>
      <c r="Q11807">
        <v>0</v>
      </c>
      <c r="R11807" t="s">
        <v>47317</v>
      </c>
      <c r="S11807" t="s">
        <v>47712</v>
      </c>
      <c r="T11807" t="s">
        <v>49148</v>
      </c>
      <c r="U11807" t="s">
        <v>59280</v>
      </c>
      <c r="W11807" t="s">
        <v>44360</v>
      </c>
      <c r="X11807" t="s">
        <v>47318</v>
      </c>
    </row>
    <row r="11808" spans="1:24">
      <c r="A11808">
        <f>HYPERLINK("https://www.philgeps.gov.ph/GEPSNONPILOT/Tender/SplashBidNoticeAbstractUI.aspx?menuIndex=3&amp;refID=7179144&amp;Result=3","7179144")</f>
        <v>0</v>
      </c>
      <c r="B11808" t="s">
        <v>3378</v>
      </c>
      <c r="C11808" t="s">
        <v>15014</v>
      </c>
      <c r="D11808" t="s">
        <v>19050</v>
      </c>
      <c r="E11808" t="s">
        <v>29120</v>
      </c>
      <c r="F11808" t="s">
        <v>32606</v>
      </c>
      <c r="G11808" t="s">
        <v>32613</v>
      </c>
      <c r="H11808" t="s">
        <v>14201</v>
      </c>
      <c r="I11808" t="s">
        <v>32654</v>
      </c>
      <c r="J11808" t="s">
        <v>40106</v>
      </c>
      <c r="K11808" t="s">
        <v>42631</v>
      </c>
      <c r="M11808" t="s">
        <v>46628</v>
      </c>
      <c r="N11808" t="s">
        <v>47304</v>
      </c>
      <c r="O11808" t="s">
        <v>47305</v>
      </c>
      <c r="P11808">
        <v>0</v>
      </c>
      <c r="Q11808">
        <v>1</v>
      </c>
      <c r="R11808" t="s">
        <v>47317</v>
      </c>
      <c r="S11808" t="s">
        <v>47712</v>
      </c>
      <c r="T11808" t="s">
        <v>49465</v>
      </c>
      <c r="U11808" t="s">
        <v>59281</v>
      </c>
      <c r="W11808" t="s">
        <v>46628</v>
      </c>
      <c r="X11808" t="s">
        <v>47318</v>
      </c>
    </row>
    <row r="11809" spans="1:24">
      <c r="A11809">
        <f>HYPERLINK("https://www.philgeps.gov.ph/GEPSNONPILOT/Tender/SplashBidNoticeAbstractUI.aspx?menuIndex=3&amp;refID=7179139&amp;Result=3","7179139")</f>
        <v>0</v>
      </c>
      <c r="B11809" t="s">
        <v>2326</v>
      </c>
      <c r="C11809" t="s">
        <v>15015</v>
      </c>
      <c r="E11809" t="s">
        <v>29121</v>
      </c>
      <c r="F11809" t="s">
        <v>32606</v>
      </c>
      <c r="G11809" t="s">
        <v>32613</v>
      </c>
      <c r="H11809" t="s">
        <v>14201</v>
      </c>
      <c r="I11809" t="s">
        <v>32662</v>
      </c>
      <c r="J11809" t="s">
        <v>40107</v>
      </c>
      <c r="K11809" t="s">
        <v>42624</v>
      </c>
      <c r="M11809" t="s">
        <v>45434</v>
      </c>
      <c r="N11809" t="s">
        <v>47304</v>
      </c>
      <c r="O11809" t="s">
        <v>47305</v>
      </c>
      <c r="P11809">
        <v>0</v>
      </c>
      <c r="Q11809">
        <v>19</v>
      </c>
      <c r="R11809" t="s">
        <v>47317</v>
      </c>
      <c r="S11809" t="s">
        <v>47712</v>
      </c>
      <c r="T11809" t="s">
        <v>49140</v>
      </c>
      <c r="U11809" t="s">
        <v>59282</v>
      </c>
      <c r="W11809" t="s">
        <v>45434</v>
      </c>
      <c r="X11809" t="s">
        <v>47318</v>
      </c>
    </row>
    <row r="11810" spans="1:24">
      <c r="A11810">
        <f>HYPERLINK("https://www.philgeps.gov.ph/GEPSNONPILOT/Tender/SplashBidNoticeAbstractUI.aspx?menuIndex=3&amp;refID=7179250&amp;Result=3","7179250")</f>
        <v>0</v>
      </c>
      <c r="B11810" t="s">
        <v>575</v>
      </c>
      <c r="C11810" t="s">
        <v>15016</v>
      </c>
      <c r="D11810" t="s">
        <v>19036</v>
      </c>
      <c r="E11810" t="s">
        <v>29122</v>
      </c>
      <c r="F11810" t="s">
        <v>32606</v>
      </c>
      <c r="G11810" t="s">
        <v>32613</v>
      </c>
      <c r="H11810" t="s">
        <v>14201</v>
      </c>
      <c r="I11810" t="s">
        <v>32640</v>
      </c>
      <c r="J11810" t="s">
        <v>40108</v>
      </c>
      <c r="K11810" t="s">
        <v>42622</v>
      </c>
      <c r="M11810" t="s">
        <v>44035</v>
      </c>
      <c r="N11810" t="s">
        <v>47304</v>
      </c>
      <c r="O11810" t="s">
        <v>47305</v>
      </c>
      <c r="P11810">
        <v>0</v>
      </c>
      <c r="Q11810">
        <v>9</v>
      </c>
      <c r="R11810" t="s">
        <v>47317</v>
      </c>
      <c r="S11810" t="s">
        <v>47712</v>
      </c>
      <c r="T11810" t="s">
        <v>49171</v>
      </c>
      <c r="U11810" t="s">
        <v>59283</v>
      </c>
      <c r="W11810" t="s">
        <v>44035</v>
      </c>
      <c r="X11810" t="s">
        <v>47318</v>
      </c>
    </row>
    <row r="11811" spans="1:24">
      <c r="A11811">
        <f>HYPERLINK("https://www.philgeps.gov.ph/GEPSNONPILOT/Tender/SplashBidNoticeAbstractUI.aspx?menuIndex=3&amp;refID=7179177&amp;Result=3","7179177")</f>
        <v>0</v>
      </c>
      <c r="B11811" t="s">
        <v>3119</v>
      </c>
      <c r="C11811" t="s">
        <v>15017</v>
      </c>
      <c r="D11811" t="s">
        <v>19006</v>
      </c>
      <c r="E11811" t="s">
        <v>29123</v>
      </c>
      <c r="F11811" t="s">
        <v>32606</v>
      </c>
      <c r="G11811" t="s">
        <v>32613</v>
      </c>
      <c r="H11811" t="s">
        <v>32623</v>
      </c>
      <c r="I11811" t="s">
        <v>17648</v>
      </c>
      <c r="J11811" t="s">
        <v>40109</v>
      </c>
      <c r="K11811" t="s">
        <v>42636</v>
      </c>
      <c r="M11811" t="s">
        <v>46329</v>
      </c>
      <c r="N11811" t="s">
        <v>47304</v>
      </c>
      <c r="O11811" t="s">
        <v>47305</v>
      </c>
      <c r="P11811">
        <v>0</v>
      </c>
      <c r="Q11811">
        <v>0</v>
      </c>
      <c r="R11811" t="s">
        <v>47317</v>
      </c>
      <c r="S11811" t="s">
        <v>47712</v>
      </c>
      <c r="T11811" t="s">
        <v>49111</v>
      </c>
      <c r="U11811" t="s">
        <v>59276</v>
      </c>
      <c r="V11811" t="s">
        <v>63747</v>
      </c>
      <c r="W11811" t="s">
        <v>46329</v>
      </c>
      <c r="X11811" t="s">
        <v>47318</v>
      </c>
    </row>
    <row r="11812" spans="1:24">
      <c r="A11812">
        <f>HYPERLINK("https://www.philgeps.gov.ph/GEPSNONPILOT/Tender/SplashBidNoticeAbstractUI.aspx?menuIndex=3&amp;refID=7179249&amp;Result=3","7179249")</f>
        <v>0</v>
      </c>
      <c r="B11812" t="s">
        <v>237</v>
      </c>
      <c r="C11812" t="s">
        <v>15018</v>
      </c>
      <c r="D11812" t="s">
        <v>18993</v>
      </c>
      <c r="E11812" t="s">
        <v>29124</v>
      </c>
      <c r="F11812" t="s">
        <v>32606</v>
      </c>
      <c r="G11812" t="s">
        <v>32613</v>
      </c>
      <c r="H11812" t="s">
        <v>14201</v>
      </c>
      <c r="I11812" t="s">
        <v>4114</v>
      </c>
      <c r="J11812" t="s">
        <v>40110</v>
      </c>
      <c r="K11812" t="s">
        <v>42665</v>
      </c>
      <c r="M11812" t="s">
        <v>46629</v>
      </c>
      <c r="N11812" t="s">
        <v>47304</v>
      </c>
      <c r="O11812" t="s">
        <v>47305</v>
      </c>
      <c r="P11812">
        <v>0</v>
      </c>
      <c r="Q11812">
        <v>18</v>
      </c>
      <c r="R11812" t="s">
        <v>47317</v>
      </c>
      <c r="S11812" t="s">
        <v>47712</v>
      </c>
      <c r="T11812" t="s">
        <v>49075</v>
      </c>
      <c r="U11812" t="s">
        <v>59284</v>
      </c>
      <c r="W11812" t="s">
        <v>46629</v>
      </c>
      <c r="X11812" t="s">
        <v>47318</v>
      </c>
    </row>
    <row r="11813" spans="1:24">
      <c r="A11813">
        <f>HYPERLINK("https://www.philgeps.gov.ph/GEPSNONPILOT/Tender/SplashBidNoticeAbstractUI.aspx?menuIndex=3&amp;refID=7179159&amp;Result=3","7179159")</f>
        <v>0</v>
      </c>
      <c r="B11813" t="s">
        <v>2326</v>
      </c>
      <c r="C11813" t="s">
        <v>15019</v>
      </c>
      <c r="E11813" t="s">
        <v>29125</v>
      </c>
      <c r="F11813" t="s">
        <v>32606</v>
      </c>
      <c r="G11813" t="s">
        <v>32613</v>
      </c>
      <c r="H11813" t="s">
        <v>14201</v>
      </c>
      <c r="I11813" t="s">
        <v>4369</v>
      </c>
      <c r="J11813" t="s">
        <v>37965</v>
      </c>
      <c r="K11813" t="s">
        <v>42624</v>
      </c>
      <c r="M11813" t="s">
        <v>45434</v>
      </c>
      <c r="N11813" t="s">
        <v>47304</v>
      </c>
      <c r="O11813" t="s">
        <v>47305</v>
      </c>
      <c r="P11813">
        <v>0</v>
      </c>
      <c r="Q11813">
        <v>7</v>
      </c>
      <c r="R11813" t="s">
        <v>47317</v>
      </c>
      <c r="S11813" t="s">
        <v>47712</v>
      </c>
      <c r="T11813" t="s">
        <v>49140</v>
      </c>
      <c r="U11813" t="s">
        <v>59285</v>
      </c>
      <c r="W11813" t="s">
        <v>45434</v>
      </c>
      <c r="X11813" t="s">
        <v>47318</v>
      </c>
    </row>
    <row r="11814" spans="1:24">
      <c r="A11814">
        <f>HYPERLINK("https://www.philgeps.gov.ph/GEPSNONPILOT/Tender/SplashBidNoticeAbstractUI.aspx?menuIndex=3&amp;refID=7178942&amp;Result=3","7178942")</f>
        <v>0</v>
      </c>
      <c r="B11814" t="s">
        <v>1260</v>
      </c>
      <c r="C11814" t="s">
        <v>15020</v>
      </c>
      <c r="D11814" t="s">
        <v>18997</v>
      </c>
      <c r="E11814" t="s">
        <v>29126</v>
      </c>
      <c r="F11814" t="s">
        <v>32606</v>
      </c>
      <c r="G11814" t="s">
        <v>32613</v>
      </c>
      <c r="H11814" t="s">
        <v>32623</v>
      </c>
      <c r="I11814" t="s">
        <v>17648</v>
      </c>
      <c r="J11814" t="s">
        <v>36161</v>
      </c>
      <c r="K11814" t="s">
        <v>42697</v>
      </c>
      <c r="M11814" t="s">
        <v>46606</v>
      </c>
      <c r="N11814" t="s">
        <v>47304</v>
      </c>
      <c r="O11814" t="s">
        <v>47305</v>
      </c>
      <c r="P11814">
        <v>0</v>
      </c>
      <c r="Q11814">
        <v>4</v>
      </c>
      <c r="R11814" t="s">
        <v>47317</v>
      </c>
      <c r="S11814" t="s">
        <v>47712</v>
      </c>
      <c r="T11814" t="s">
        <v>49075</v>
      </c>
      <c r="U11814" t="s">
        <v>59195</v>
      </c>
      <c r="W11814" t="s">
        <v>46606</v>
      </c>
      <c r="X11814" t="s">
        <v>47318</v>
      </c>
    </row>
    <row r="11815" spans="1:24">
      <c r="A11815">
        <f>HYPERLINK("https://www.philgeps.gov.ph/GEPSNONPILOT/Tender/SplashBidNoticeAbstractUI.aspx?menuIndex=3&amp;refID=7179227&amp;Result=3","7179227")</f>
        <v>0</v>
      </c>
      <c r="B11815" t="s">
        <v>728</v>
      </c>
      <c r="C11815" t="s">
        <v>15021</v>
      </c>
      <c r="D11815" t="s">
        <v>19025</v>
      </c>
      <c r="E11815" t="s">
        <v>29127</v>
      </c>
      <c r="F11815" t="s">
        <v>32606</v>
      </c>
      <c r="G11815" t="s">
        <v>32613</v>
      </c>
      <c r="H11815" t="s">
        <v>32623</v>
      </c>
      <c r="I11815" t="s">
        <v>17648</v>
      </c>
      <c r="J11815" t="s">
        <v>40103</v>
      </c>
      <c r="K11815" t="s">
        <v>42693</v>
      </c>
      <c r="M11815" t="s">
        <v>44360</v>
      </c>
      <c r="N11815" t="s">
        <v>47304</v>
      </c>
      <c r="O11815" t="s">
        <v>47305</v>
      </c>
      <c r="P11815">
        <v>0</v>
      </c>
      <c r="Q11815">
        <v>0</v>
      </c>
      <c r="R11815" t="s">
        <v>47317</v>
      </c>
      <c r="S11815" t="s">
        <v>47712</v>
      </c>
      <c r="T11815" t="s">
        <v>49148</v>
      </c>
      <c r="U11815" t="s">
        <v>59286</v>
      </c>
      <c r="W11815" t="s">
        <v>44360</v>
      </c>
      <c r="X11815" t="s">
        <v>47318</v>
      </c>
    </row>
    <row r="11816" spans="1:24">
      <c r="A11816">
        <f>HYPERLINK("https://www.philgeps.gov.ph/GEPSNONPILOT/Tender/SplashBidNoticeAbstractUI.aspx?menuIndex=3&amp;refID=7179221&amp;Result=3","7179221")</f>
        <v>0</v>
      </c>
      <c r="B11816" t="s">
        <v>2566</v>
      </c>
      <c r="C11816" t="s">
        <v>15022</v>
      </c>
      <c r="D11816" t="s">
        <v>19049</v>
      </c>
      <c r="E11816" t="s">
        <v>29128</v>
      </c>
      <c r="F11816" t="s">
        <v>32606</v>
      </c>
      <c r="G11816" t="s">
        <v>32613</v>
      </c>
      <c r="H11816" t="s">
        <v>14201</v>
      </c>
      <c r="I11816" t="s">
        <v>32640</v>
      </c>
      <c r="J11816" t="s">
        <v>40111</v>
      </c>
      <c r="K11816" t="s">
        <v>42631</v>
      </c>
      <c r="M11816" t="s">
        <v>45706</v>
      </c>
      <c r="N11816" t="s">
        <v>47304</v>
      </c>
      <c r="O11816" t="s">
        <v>47305</v>
      </c>
      <c r="P11816">
        <v>0</v>
      </c>
      <c r="Q11816">
        <v>4</v>
      </c>
      <c r="R11816" t="s">
        <v>47317</v>
      </c>
      <c r="S11816" t="s">
        <v>47712</v>
      </c>
      <c r="T11816" t="s">
        <v>49119</v>
      </c>
      <c r="U11816" t="s">
        <v>59287</v>
      </c>
      <c r="V11816" t="s">
        <v>63441</v>
      </c>
      <c r="W11816" t="s">
        <v>45706</v>
      </c>
      <c r="X11816" t="s">
        <v>47318</v>
      </c>
    </row>
    <row r="11817" spans="1:24">
      <c r="A11817">
        <f>HYPERLINK("https://www.philgeps.gov.ph/GEPSNONPILOT/Tender/SplashBidNoticeAbstractUI.aspx?menuIndex=3&amp;refID=7179137&amp;Result=3","7179137")</f>
        <v>0</v>
      </c>
      <c r="B11817" t="s">
        <v>3373</v>
      </c>
      <c r="C11817" t="s">
        <v>15023</v>
      </c>
      <c r="D11817" t="s">
        <v>19011</v>
      </c>
      <c r="E11817" t="s">
        <v>29129</v>
      </c>
      <c r="F11817" t="s">
        <v>32606</v>
      </c>
      <c r="G11817" t="s">
        <v>32613</v>
      </c>
      <c r="H11817" t="s">
        <v>32623</v>
      </c>
      <c r="I11817" t="s">
        <v>17648</v>
      </c>
      <c r="J11817" t="s">
        <v>32756</v>
      </c>
      <c r="K11817" t="s">
        <v>42646</v>
      </c>
      <c r="M11817" t="s">
        <v>46623</v>
      </c>
      <c r="N11817" t="s">
        <v>47304</v>
      </c>
      <c r="O11817" t="s">
        <v>47305</v>
      </c>
      <c r="P11817">
        <v>0</v>
      </c>
      <c r="Q11817">
        <v>1</v>
      </c>
      <c r="R11817" t="s">
        <v>47317</v>
      </c>
      <c r="S11817" t="s">
        <v>47712</v>
      </c>
      <c r="T11817" t="s">
        <v>49140</v>
      </c>
      <c r="U11817" t="s">
        <v>59288</v>
      </c>
      <c r="W11817" t="s">
        <v>46623</v>
      </c>
      <c r="X11817" t="s">
        <v>47318</v>
      </c>
    </row>
    <row r="11818" spans="1:24">
      <c r="A11818">
        <f>HYPERLINK("https://www.philgeps.gov.ph/GEPSNONPILOT/Tender/SplashBidNoticeAbstractUI.aspx?menuIndex=3&amp;refID=7179111&amp;Result=3","7179111")</f>
        <v>0</v>
      </c>
      <c r="B11818" t="s">
        <v>3374</v>
      </c>
      <c r="C11818" t="s">
        <v>15024</v>
      </c>
      <c r="D11818" t="s">
        <v>19038</v>
      </c>
      <c r="E11818" t="s">
        <v>29130</v>
      </c>
      <c r="F11818" t="s">
        <v>32606</v>
      </c>
      <c r="G11818" t="s">
        <v>32613</v>
      </c>
      <c r="H11818" t="s">
        <v>14201</v>
      </c>
      <c r="I11818" t="s">
        <v>32626</v>
      </c>
      <c r="J11818" t="s">
        <v>40112</v>
      </c>
      <c r="K11818" t="s">
        <v>42631</v>
      </c>
      <c r="M11818" t="s">
        <v>46624</v>
      </c>
      <c r="N11818" t="s">
        <v>47304</v>
      </c>
      <c r="O11818" t="s">
        <v>47305</v>
      </c>
      <c r="P11818">
        <v>0</v>
      </c>
      <c r="Q11818">
        <v>0</v>
      </c>
      <c r="R11818" t="s">
        <v>47317</v>
      </c>
      <c r="S11818" t="s">
        <v>47712</v>
      </c>
      <c r="T11818" t="s">
        <v>48980</v>
      </c>
      <c r="U11818" t="s">
        <v>59289</v>
      </c>
      <c r="W11818" t="s">
        <v>46624</v>
      </c>
      <c r="X11818" t="s">
        <v>47318</v>
      </c>
    </row>
    <row r="11819" spans="1:24">
      <c r="A11819">
        <f>HYPERLINK("https://www.philgeps.gov.ph/GEPSNONPILOT/Tender/SplashBidNoticeAbstractUI.aspx?menuIndex=3&amp;refID=7179219&amp;Result=3","7179219")</f>
        <v>0</v>
      </c>
      <c r="B11819" t="s">
        <v>3119</v>
      </c>
      <c r="C11819" t="s">
        <v>15025</v>
      </c>
      <c r="D11819" t="s">
        <v>19006</v>
      </c>
      <c r="E11819" t="s">
        <v>29131</v>
      </c>
      <c r="F11819" t="s">
        <v>32606</v>
      </c>
      <c r="G11819" t="s">
        <v>32613</v>
      </c>
      <c r="H11819" t="s">
        <v>32623</v>
      </c>
      <c r="I11819" t="s">
        <v>17648</v>
      </c>
      <c r="J11819" t="s">
        <v>40113</v>
      </c>
      <c r="K11819" t="s">
        <v>42631</v>
      </c>
      <c r="M11819" t="s">
        <v>46329</v>
      </c>
      <c r="N11819" t="s">
        <v>47304</v>
      </c>
      <c r="O11819" t="s">
        <v>47305</v>
      </c>
      <c r="P11819">
        <v>0</v>
      </c>
      <c r="Q11819">
        <v>0</v>
      </c>
      <c r="R11819" t="s">
        <v>47317</v>
      </c>
      <c r="S11819" t="s">
        <v>47712</v>
      </c>
      <c r="T11819" t="s">
        <v>49111</v>
      </c>
      <c r="U11819" t="s">
        <v>59290</v>
      </c>
      <c r="V11819" t="s">
        <v>63747</v>
      </c>
      <c r="W11819" t="s">
        <v>46329</v>
      </c>
      <c r="X11819" t="s">
        <v>47318</v>
      </c>
    </row>
    <row r="11820" spans="1:24">
      <c r="A11820">
        <f>HYPERLINK("https://www.philgeps.gov.ph/GEPSNONPILOT/Tender/SplashBidNoticeAbstractUI.aspx?menuIndex=3&amp;refID=7179241&amp;Result=3","7179241")</f>
        <v>0</v>
      </c>
      <c r="B11820" t="s">
        <v>3119</v>
      </c>
      <c r="C11820" t="s">
        <v>15026</v>
      </c>
      <c r="D11820" t="s">
        <v>19006</v>
      </c>
      <c r="E11820" t="s">
        <v>29132</v>
      </c>
      <c r="F11820" t="s">
        <v>32606</v>
      </c>
      <c r="G11820" t="s">
        <v>32613</v>
      </c>
      <c r="H11820" t="s">
        <v>32623</v>
      </c>
      <c r="I11820" t="s">
        <v>17648</v>
      </c>
      <c r="J11820" t="s">
        <v>40114</v>
      </c>
      <c r="K11820" t="s">
        <v>42648</v>
      </c>
      <c r="M11820" t="s">
        <v>46329</v>
      </c>
      <c r="N11820" t="s">
        <v>47304</v>
      </c>
      <c r="O11820" t="s">
        <v>47305</v>
      </c>
      <c r="P11820">
        <v>0</v>
      </c>
      <c r="Q11820">
        <v>0</v>
      </c>
      <c r="R11820" t="s">
        <v>47317</v>
      </c>
      <c r="S11820" t="s">
        <v>47712</v>
      </c>
      <c r="T11820" t="s">
        <v>49111</v>
      </c>
      <c r="U11820" t="s">
        <v>59290</v>
      </c>
      <c r="V11820" t="s">
        <v>63747</v>
      </c>
      <c r="W11820" t="s">
        <v>46329</v>
      </c>
      <c r="X11820" t="s">
        <v>47318</v>
      </c>
    </row>
    <row r="11821" spans="1:24">
      <c r="A11821">
        <f>HYPERLINK("https://www.philgeps.gov.ph/GEPSNONPILOT/Tender/SplashBidNoticeAbstractUI.aspx?menuIndex=3&amp;refID=7179254&amp;Result=3","7179254")</f>
        <v>0</v>
      </c>
      <c r="B11821" t="s">
        <v>728</v>
      </c>
      <c r="C11821" t="s">
        <v>15027</v>
      </c>
      <c r="D11821" t="s">
        <v>19025</v>
      </c>
      <c r="E11821" t="s">
        <v>29133</v>
      </c>
      <c r="F11821" t="s">
        <v>32606</v>
      </c>
      <c r="G11821" t="s">
        <v>32613</v>
      </c>
      <c r="H11821" t="s">
        <v>32623</v>
      </c>
      <c r="I11821" t="s">
        <v>17648</v>
      </c>
      <c r="J11821" t="s">
        <v>40115</v>
      </c>
      <c r="K11821" t="s">
        <v>42737</v>
      </c>
      <c r="M11821" t="s">
        <v>44360</v>
      </c>
      <c r="N11821" t="s">
        <v>47304</v>
      </c>
      <c r="O11821" t="s">
        <v>47305</v>
      </c>
      <c r="P11821">
        <v>0</v>
      </c>
      <c r="Q11821">
        <v>2</v>
      </c>
      <c r="R11821" t="s">
        <v>47317</v>
      </c>
      <c r="S11821" t="s">
        <v>47712</v>
      </c>
      <c r="T11821" t="s">
        <v>49148</v>
      </c>
      <c r="U11821" t="s">
        <v>59291</v>
      </c>
      <c r="W11821" t="s">
        <v>44360</v>
      </c>
      <c r="X11821" t="s">
        <v>47318</v>
      </c>
    </row>
    <row r="11822" spans="1:24">
      <c r="A11822">
        <f>HYPERLINK("https://www.philgeps.gov.ph/GEPSNONPILOT/Tender/SplashBidNoticeAbstractUI.aspx?menuIndex=3&amp;refID=7179186&amp;Result=3","7179186")</f>
        <v>0</v>
      </c>
      <c r="B11822" t="s">
        <v>728</v>
      </c>
      <c r="C11822" t="s">
        <v>15028</v>
      </c>
      <c r="D11822" t="s">
        <v>19025</v>
      </c>
      <c r="E11822" t="s">
        <v>29134</v>
      </c>
      <c r="F11822" t="s">
        <v>32606</v>
      </c>
      <c r="G11822" t="s">
        <v>32613</v>
      </c>
      <c r="H11822" t="s">
        <v>32623</v>
      </c>
      <c r="I11822" t="s">
        <v>17648</v>
      </c>
      <c r="J11822" t="s">
        <v>40116</v>
      </c>
      <c r="K11822" t="s">
        <v>42828</v>
      </c>
      <c r="M11822" t="s">
        <v>44360</v>
      </c>
      <c r="N11822" t="s">
        <v>47304</v>
      </c>
      <c r="O11822" t="s">
        <v>47305</v>
      </c>
      <c r="P11822">
        <v>0</v>
      </c>
      <c r="Q11822">
        <v>0</v>
      </c>
      <c r="R11822" t="s">
        <v>47317</v>
      </c>
      <c r="S11822" t="s">
        <v>47712</v>
      </c>
      <c r="T11822" t="s">
        <v>49148</v>
      </c>
      <c r="U11822" t="s">
        <v>59292</v>
      </c>
      <c r="W11822" t="s">
        <v>44360</v>
      </c>
      <c r="X11822" t="s">
        <v>47318</v>
      </c>
    </row>
    <row r="11823" spans="1:24">
      <c r="A11823">
        <f>HYPERLINK("https://www.philgeps.gov.ph/GEPSNONPILOT/Tender/SplashBidNoticeAbstractUI.aspx?menuIndex=3&amp;refID=7179307&amp;Result=3","7179307")</f>
        <v>0</v>
      </c>
      <c r="B11823" t="s">
        <v>3222</v>
      </c>
      <c r="C11823" t="s">
        <v>15029</v>
      </c>
      <c r="D11823" t="s">
        <v>19011</v>
      </c>
      <c r="E11823" t="s">
        <v>29135</v>
      </c>
      <c r="F11823" t="s">
        <v>32606</v>
      </c>
      <c r="G11823" t="s">
        <v>32613</v>
      </c>
      <c r="H11823" t="s">
        <v>14201</v>
      </c>
      <c r="I11823" t="s">
        <v>6931</v>
      </c>
      <c r="J11823" t="s">
        <v>40117</v>
      </c>
      <c r="K11823" t="s">
        <v>42622</v>
      </c>
      <c r="M11823" t="s">
        <v>46448</v>
      </c>
      <c r="N11823" t="s">
        <v>47304</v>
      </c>
      <c r="O11823" t="s">
        <v>47305</v>
      </c>
      <c r="P11823">
        <v>0</v>
      </c>
      <c r="Q11823">
        <v>3</v>
      </c>
      <c r="R11823" t="s">
        <v>47317</v>
      </c>
      <c r="S11823" t="s">
        <v>47712</v>
      </c>
      <c r="T11823" t="s">
        <v>49104</v>
      </c>
      <c r="U11823" t="s">
        <v>59293</v>
      </c>
      <c r="W11823" t="s">
        <v>46448</v>
      </c>
      <c r="X11823" t="s">
        <v>47318</v>
      </c>
    </row>
    <row r="11824" spans="1:24">
      <c r="A11824">
        <f>HYPERLINK("https://www.philgeps.gov.ph/GEPSNONPILOT/Tender/SplashBidNoticeAbstractUI.aspx?menuIndex=3&amp;refID=7179273&amp;Result=3","7179273")</f>
        <v>0</v>
      </c>
      <c r="B11824" t="s">
        <v>3373</v>
      </c>
      <c r="C11824" t="s">
        <v>15030</v>
      </c>
      <c r="D11824" t="s">
        <v>19011</v>
      </c>
      <c r="E11824" t="s">
        <v>29136</v>
      </c>
      <c r="F11824" t="s">
        <v>32606</v>
      </c>
      <c r="G11824" t="s">
        <v>32613</v>
      </c>
      <c r="H11824" t="s">
        <v>32623</v>
      </c>
      <c r="I11824" t="s">
        <v>17648</v>
      </c>
      <c r="J11824" t="s">
        <v>32770</v>
      </c>
      <c r="K11824" t="s">
        <v>42639</v>
      </c>
      <c r="M11824" t="s">
        <v>46623</v>
      </c>
      <c r="N11824" t="s">
        <v>47304</v>
      </c>
      <c r="O11824" t="s">
        <v>47305</v>
      </c>
      <c r="P11824">
        <v>0</v>
      </c>
      <c r="Q11824">
        <v>0</v>
      </c>
      <c r="R11824" t="s">
        <v>47317</v>
      </c>
      <c r="S11824" t="s">
        <v>47712</v>
      </c>
      <c r="T11824" t="s">
        <v>49140</v>
      </c>
      <c r="U11824" t="s">
        <v>59294</v>
      </c>
      <c r="W11824" t="s">
        <v>46623</v>
      </c>
      <c r="X11824" t="s">
        <v>47318</v>
      </c>
    </row>
    <row r="11825" spans="1:24">
      <c r="A11825">
        <f>HYPERLINK("https://www.philgeps.gov.ph/GEPSNONPILOT/Tender/SplashBidNoticeAbstractUI.aspx?menuIndex=3&amp;refID=7179262&amp;Result=3","7179262")</f>
        <v>0</v>
      </c>
      <c r="B11825" t="s">
        <v>3119</v>
      </c>
      <c r="C11825" t="s">
        <v>15031</v>
      </c>
      <c r="D11825" t="s">
        <v>19006</v>
      </c>
      <c r="E11825" t="s">
        <v>29137</v>
      </c>
      <c r="F11825" t="s">
        <v>32606</v>
      </c>
      <c r="G11825" t="s">
        <v>32613</v>
      </c>
      <c r="H11825" t="s">
        <v>32623</v>
      </c>
      <c r="I11825" t="s">
        <v>17648</v>
      </c>
      <c r="J11825" t="s">
        <v>40118</v>
      </c>
      <c r="K11825" t="s">
        <v>42682</v>
      </c>
      <c r="M11825" t="s">
        <v>46329</v>
      </c>
      <c r="N11825" t="s">
        <v>47304</v>
      </c>
      <c r="O11825" t="s">
        <v>47305</v>
      </c>
      <c r="P11825">
        <v>0</v>
      </c>
      <c r="Q11825">
        <v>0</v>
      </c>
      <c r="R11825" t="s">
        <v>47317</v>
      </c>
      <c r="S11825" t="s">
        <v>47712</v>
      </c>
      <c r="T11825" t="s">
        <v>49111</v>
      </c>
      <c r="U11825" t="s">
        <v>59295</v>
      </c>
      <c r="V11825" t="s">
        <v>63747</v>
      </c>
      <c r="W11825" t="s">
        <v>46329</v>
      </c>
      <c r="X11825" t="s">
        <v>47318</v>
      </c>
    </row>
    <row r="11826" spans="1:24">
      <c r="A11826">
        <f>HYPERLINK("https://www.philgeps.gov.ph/GEPSNONPILOT/Tender/SplashBidNoticeAbstractUI.aspx?menuIndex=3&amp;refID=7179427&amp;Result=3","7179427")</f>
        <v>0</v>
      </c>
      <c r="B11826" t="s">
        <v>3222</v>
      </c>
      <c r="C11826" t="s">
        <v>15032</v>
      </c>
      <c r="D11826" t="s">
        <v>19011</v>
      </c>
      <c r="E11826" t="s">
        <v>29135</v>
      </c>
      <c r="F11826" t="s">
        <v>32606</v>
      </c>
      <c r="G11826" t="s">
        <v>32613</v>
      </c>
      <c r="H11826" t="s">
        <v>14201</v>
      </c>
      <c r="I11826" t="s">
        <v>7064</v>
      </c>
      <c r="J11826" t="s">
        <v>32860</v>
      </c>
      <c r="K11826" t="s">
        <v>42694</v>
      </c>
      <c r="M11826" t="s">
        <v>46448</v>
      </c>
      <c r="N11826" t="s">
        <v>47304</v>
      </c>
      <c r="O11826" t="s">
        <v>47305</v>
      </c>
      <c r="P11826">
        <v>0</v>
      </c>
      <c r="Q11826">
        <v>3</v>
      </c>
      <c r="R11826" t="s">
        <v>47317</v>
      </c>
      <c r="S11826" t="s">
        <v>47712</v>
      </c>
      <c r="T11826" t="s">
        <v>49104</v>
      </c>
      <c r="U11826" t="s">
        <v>59296</v>
      </c>
      <c r="W11826" t="s">
        <v>46448</v>
      </c>
      <c r="X11826" t="s">
        <v>47318</v>
      </c>
    </row>
    <row r="11827" spans="1:24">
      <c r="A11827">
        <f>HYPERLINK("https://www.philgeps.gov.ph/GEPSNONPILOT/Tender/SplashBidNoticeAbstractUI.aspx?menuIndex=3&amp;refID=7179398&amp;Result=3","7179398")</f>
        <v>0</v>
      </c>
      <c r="B11827" t="s">
        <v>3345</v>
      </c>
      <c r="C11827" t="s">
        <v>15033</v>
      </c>
      <c r="D11827" t="s">
        <v>19011</v>
      </c>
      <c r="E11827" t="s">
        <v>29138</v>
      </c>
      <c r="F11827" t="s">
        <v>32606</v>
      </c>
      <c r="G11827" t="s">
        <v>32613</v>
      </c>
      <c r="H11827" t="s">
        <v>14201</v>
      </c>
      <c r="I11827" t="s">
        <v>4678</v>
      </c>
      <c r="J11827" t="s">
        <v>32789</v>
      </c>
      <c r="K11827" t="s">
        <v>42623</v>
      </c>
      <c r="M11827" t="s">
        <v>46592</v>
      </c>
      <c r="N11827" t="s">
        <v>47304</v>
      </c>
      <c r="O11827" t="s">
        <v>47305</v>
      </c>
      <c r="P11827">
        <v>0</v>
      </c>
      <c r="Q11827">
        <v>3</v>
      </c>
      <c r="R11827" t="s">
        <v>47317</v>
      </c>
      <c r="S11827" t="s">
        <v>47712</v>
      </c>
      <c r="T11827" t="s">
        <v>49287</v>
      </c>
      <c r="U11827" t="s">
        <v>59297</v>
      </c>
      <c r="W11827" t="s">
        <v>46592</v>
      </c>
      <c r="X11827" t="s">
        <v>47318</v>
      </c>
    </row>
    <row r="11828" spans="1:24">
      <c r="A11828">
        <f>HYPERLINK("https://www.philgeps.gov.ph/GEPSNONPILOT/Tender/SplashBidNoticeAbstractUI.aspx?menuIndex=3&amp;refID=7179392&amp;Result=3","7179392")</f>
        <v>0</v>
      </c>
      <c r="B11828" t="s">
        <v>691</v>
      </c>
      <c r="C11828" t="s">
        <v>15034</v>
      </c>
      <c r="D11828" t="s">
        <v>19000</v>
      </c>
      <c r="E11828" t="s">
        <v>29139</v>
      </c>
      <c r="F11828" t="s">
        <v>32606</v>
      </c>
      <c r="G11828" t="s">
        <v>32613</v>
      </c>
      <c r="H11828" t="s">
        <v>32623</v>
      </c>
      <c r="I11828" t="s">
        <v>17648</v>
      </c>
      <c r="J11828" t="s">
        <v>34158</v>
      </c>
      <c r="K11828" t="s">
        <v>42636</v>
      </c>
      <c r="M11828" t="s">
        <v>45510</v>
      </c>
      <c r="N11828" t="s">
        <v>47304</v>
      </c>
      <c r="O11828" t="s">
        <v>47305</v>
      </c>
      <c r="P11828">
        <v>0</v>
      </c>
      <c r="Q11828">
        <v>0</v>
      </c>
      <c r="R11828" t="s">
        <v>47317</v>
      </c>
      <c r="S11828" t="s">
        <v>47712</v>
      </c>
      <c r="T11828" t="s">
        <v>48992</v>
      </c>
      <c r="U11828" t="s">
        <v>59298</v>
      </c>
      <c r="W11828" t="s">
        <v>45510</v>
      </c>
      <c r="X11828" t="s">
        <v>47318</v>
      </c>
    </row>
    <row r="11829" spans="1:24">
      <c r="A11829">
        <f>HYPERLINK("https://www.philgeps.gov.ph/GEPSNONPILOT/Tender/SplashBidNoticeAbstractUI.aspx?menuIndex=3&amp;refID=7179336&amp;Result=3","7179336")</f>
        <v>0</v>
      </c>
      <c r="B11829" t="s">
        <v>1342</v>
      </c>
      <c r="C11829" t="s">
        <v>15035</v>
      </c>
      <c r="D11829" t="s">
        <v>19009</v>
      </c>
      <c r="E11829" t="s">
        <v>26785</v>
      </c>
      <c r="F11829" t="s">
        <v>32606</v>
      </c>
      <c r="G11829" t="s">
        <v>32613</v>
      </c>
      <c r="H11829" t="s">
        <v>14201</v>
      </c>
      <c r="I11829" t="s">
        <v>6931</v>
      </c>
      <c r="J11829" t="s">
        <v>40119</v>
      </c>
      <c r="K11829" t="s">
        <v>42631</v>
      </c>
      <c r="M11829" t="s">
        <v>44316</v>
      </c>
      <c r="N11829" t="s">
        <v>47304</v>
      </c>
      <c r="O11829" t="s">
        <v>47305</v>
      </c>
      <c r="P11829">
        <v>0</v>
      </c>
      <c r="Q11829">
        <v>0</v>
      </c>
      <c r="R11829" t="s">
        <v>47317</v>
      </c>
      <c r="S11829" t="s">
        <v>47712</v>
      </c>
      <c r="T11829" t="s">
        <v>48971</v>
      </c>
      <c r="U11829" t="s">
        <v>59299</v>
      </c>
      <c r="W11829" t="s">
        <v>44316</v>
      </c>
      <c r="X11829" t="s">
        <v>47318</v>
      </c>
    </row>
    <row r="11830" spans="1:24">
      <c r="A11830">
        <f>HYPERLINK("https://www.philgeps.gov.ph/GEPSNONPILOT/Tender/SplashBidNoticeAbstractUI.aspx?menuIndex=3&amp;refID=7179391&amp;Result=3","7179391")</f>
        <v>0</v>
      </c>
      <c r="B11830" t="s">
        <v>3119</v>
      </c>
      <c r="C11830" t="s">
        <v>15036</v>
      </c>
      <c r="D11830" t="s">
        <v>19006</v>
      </c>
      <c r="E11830" t="s">
        <v>29140</v>
      </c>
      <c r="F11830" t="s">
        <v>32606</v>
      </c>
      <c r="G11830" t="s">
        <v>32613</v>
      </c>
      <c r="H11830" t="s">
        <v>32623</v>
      </c>
      <c r="I11830" t="s">
        <v>17648</v>
      </c>
      <c r="J11830" t="s">
        <v>40120</v>
      </c>
      <c r="K11830" t="s">
        <v>42636</v>
      </c>
      <c r="M11830" t="s">
        <v>46329</v>
      </c>
      <c r="N11830" t="s">
        <v>47304</v>
      </c>
      <c r="O11830" t="s">
        <v>47305</v>
      </c>
      <c r="P11830">
        <v>0</v>
      </c>
      <c r="Q11830">
        <v>0</v>
      </c>
      <c r="R11830" t="s">
        <v>47317</v>
      </c>
      <c r="S11830" t="s">
        <v>47712</v>
      </c>
      <c r="T11830" t="s">
        <v>49111</v>
      </c>
      <c r="U11830" t="s">
        <v>58126</v>
      </c>
      <c r="V11830" t="s">
        <v>63747</v>
      </c>
      <c r="W11830" t="s">
        <v>46329</v>
      </c>
      <c r="X11830" t="s">
        <v>47318</v>
      </c>
    </row>
    <row r="11831" spans="1:24">
      <c r="A11831">
        <f>HYPERLINK("https://www.philgeps.gov.ph/GEPSNONPILOT/Tender/SplashBidNoticeAbstractUI.aspx?menuIndex=3&amp;refID=7179368&amp;Result=3","7179368")</f>
        <v>0</v>
      </c>
      <c r="B11831" t="s">
        <v>691</v>
      </c>
      <c r="C11831" t="s">
        <v>15037</v>
      </c>
      <c r="D11831" t="s">
        <v>19000</v>
      </c>
      <c r="E11831" t="s">
        <v>29141</v>
      </c>
      <c r="F11831" t="s">
        <v>32606</v>
      </c>
      <c r="G11831" t="s">
        <v>32613</v>
      </c>
      <c r="H11831" t="s">
        <v>32623</v>
      </c>
      <c r="I11831" t="s">
        <v>17648</v>
      </c>
      <c r="J11831" t="s">
        <v>34166</v>
      </c>
      <c r="K11831" t="s">
        <v>42744</v>
      </c>
      <c r="M11831" t="s">
        <v>45510</v>
      </c>
      <c r="N11831" t="s">
        <v>47304</v>
      </c>
      <c r="O11831" t="s">
        <v>47305</v>
      </c>
      <c r="P11831">
        <v>0</v>
      </c>
      <c r="Q11831">
        <v>0</v>
      </c>
      <c r="R11831" t="s">
        <v>47317</v>
      </c>
      <c r="S11831" t="s">
        <v>47712</v>
      </c>
      <c r="T11831" t="s">
        <v>48992</v>
      </c>
      <c r="U11831" t="s">
        <v>59300</v>
      </c>
      <c r="W11831" t="s">
        <v>45510</v>
      </c>
      <c r="X11831" t="s">
        <v>47318</v>
      </c>
    </row>
    <row r="11832" spans="1:24">
      <c r="A11832">
        <f>HYPERLINK("https://www.philgeps.gov.ph/GEPSNONPILOT/Tender/SplashBidNoticeAbstractUI.aspx?menuIndex=3&amp;refID=7179363&amp;Result=3","7179363")</f>
        <v>0</v>
      </c>
      <c r="B11832" t="s">
        <v>3379</v>
      </c>
      <c r="C11832" t="s">
        <v>15038</v>
      </c>
      <c r="D11832" t="s">
        <v>19019</v>
      </c>
      <c r="E11832" t="s">
        <v>29142</v>
      </c>
      <c r="F11832" t="s">
        <v>32606</v>
      </c>
      <c r="G11832" t="s">
        <v>32613</v>
      </c>
      <c r="H11832" t="s">
        <v>14201</v>
      </c>
      <c r="I11832" t="s">
        <v>32632</v>
      </c>
      <c r="J11832" t="s">
        <v>32789</v>
      </c>
      <c r="K11832" t="s">
        <v>42622</v>
      </c>
      <c r="M11832" t="s">
        <v>46630</v>
      </c>
      <c r="N11832" t="s">
        <v>47304</v>
      </c>
      <c r="O11832" t="s">
        <v>47305</v>
      </c>
      <c r="P11832">
        <v>0</v>
      </c>
      <c r="Q11832">
        <v>0</v>
      </c>
      <c r="R11832" t="s">
        <v>47317</v>
      </c>
      <c r="S11832" t="s">
        <v>47712</v>
      </c>
      <c r="T11832" t="s">
        <v>49016</v>
      </c>
      <c r="U11832" t="s">
        <v>59301</v>
      </c>
      <c r="W11832" t="s">
        <v>64536</v>
      </c>
      <c r="X11832" t="s">
        <v>47318</v>
      </c>
    </row>
    <row r="11833" spans="1:24">
      <c r="A11833">
        <f>HYPERLINK("https://www.philgeps.gov.ph/GEPSNONPILOT/Tender/SplashBidNoticeAbstractUI.aspx?menuIndex=3&amp;refID=7179356&amp;Result=3","7179356")</f>
        <v>0</v>
      </c>
      <c r="B11833" t="s">
        <v>3345</v>
      </c>
      <c r="C11833" t="s">
        <v>15039</v>
      </c>
      <c r="D11833" t="s">
        <v>19011</v>
      </c>
      <c r="E11833" t="s">
        <v>29143</v>
      </c>
      <c r="F11833" t="s">
        <v>32607</v>
      </c>
      <c r="G11833" t="s">
        <v>32613</v>
      </c>
      <c r="H11833" t="s">
        <v>14201</v>
      </c>
      <c r="I11833" t="s">
        <v>32634</v>
      </c>
      <c r="J11833" t="s">
        <v>32789</v>
      </c>
      <c r="K11833" t="s">
        <v>42623</v>
      </c>
      <c r="M11833" t="s">
        <v>46592</v>
      </c>
      <c r="N11833" t="s">
        <v>47304</v>
      </c>
      <c r="O11833" t="s">
        <v>47305</v>
      </c>
      <c r="P11833">
        <v>0</v>
      </c>
      <c r="Q11833">
        <v>1</v>
      </c>
      <c r="R11833" t="s">
        <v>47317</v>
      </c>
      <c r="S11833" t="s">
        <v>47712</v>
      </c>
      <c r="T11833" t="s">
        <v>49287</v>
      </c>
      <c r="U11833" t="s">
        <v>59302</v>
      </c>
      <c r="W11833" t="s">
        <v>46592</v>
      </c>
      <c r="X11833" t="s">
        <v>47318</v>
      </c>
    </row>
    <row r="11834" spans="1:24">
      <c r="A11834">
        <f>HYPERLINK("https://www.philgeps.gov.ph/GEPSNONPILOT/Tender/SplashBidNoticeAbstractUI.aspx?menuIndex=3&amp;refID=7179354&amp;Result=3","7179354")</f>
        <v>0</v>
      </c>
      <c r="B11834" t="s">
        <v>3119</v>
      </c>
      <c r="C11834" t="s">
        <v>15040</v>
      </c>
      <c r="D11834" t="s">
        <v>19006</v>
      </c>
      <c r="E11834" t="s">
        <v>29144</v>
      </c>
      <c r="F11834" t="s">
        <v>32606</v>
      </c>
      <c r="G11834" t="s">
        <v>32613</v>
      </c>
      <c r="H11834" t="s">
        <v>32623</v>
      </c>
      <c r="I11834" t="s">
        <v>17648</v>
      </c>
      <c r="J11834" t="s">
        <v>40121</v>
      </c>
      <c r="K11834" t="s">
        <v>42719</v>
      </c>
      <c r="M11834" t="s">
        <v>46329</v>
      </c>
      <c r="N11834" t="s">
        <v>47304</v>
      </c>
      <c r="O11834" t="s">
        <v>47305</v>
      </c>
      <c r="P11834">
        <v>0</v>
      </c>
      <c r="Q11834">
        <v>0</v>
      </c>
      <c r="R11834" t="s">
        <v>47317</v>
      </c>
      <c r="S11834" t="s">
        <v>47712</v>
      </c>
      <c r="T11834" t="s">
        <v>49111</v>
      </c>
      <c r="U11834" t="s">
        <v>59295</v>
      </c>
      <c r="V11834" t="s">
        <v>63747</v>
      </c>
      <c r="W11834" t="s">
        <v>46329</v>
      </c>
      <c r="X11834" t="s">
        <v>47318</v>
      </c>
    </row>
    <row r="11835" spans="1:24">
      <c r="A11835">
        <f>HYPERLINK("https://www.philgeps.gov.ph/GEPSNONPILOT/Tender/SplashBidNoticeAbstractUI.aspx?menuIndex=3&amp;refID=7179343&amp;Result=3","7179343")</f>
        <v>0</v>
      </c>
      <c r="B11835" t="s">
        <v>691</v>
      </c>
      <c r="C11835" t="s">
        <v>15041</v>
      </c>
      <c r="D11835" t="s">
        <v>19000</v>
      </c>
      <c r="E11835" t="s">
        <v>29145</v>
      </c>
      <c r="F11835" t="s">
        <v>32606</v>
      </c>
      <c r="G11835" t="s">
        <v>32613</v>
      </c>
      <c r="H11835" t="s">
        <v>32623</v>
      </c>
      <c r="I11835" t="s">
        <v>17648</v>
      </c>
      <c r="J11835" t="s">
        <v>40122</v>
      </c>
      <c r="K11835" t="s">
        <v>42631</v>
      </c>
      <c r="M11835" t="s">
        <v>45510</v>
      </c>
      <c r="N11835" t="s">
        <v>47304</v>
      </c>
      <c r="O11835" t="s">
        <v>47305</v>
      </c>
      <c r="P11835">
        <v>0</v>
      </c>
      <c r="Q11835">
        <v>0</v>
      </c>
      <c r="R11835" t="s">
        <v>47317</v>
      </c>
      <c r="S11835" t="s">
        <v>47712</v>
      </c>
      <c r="T11835" t="s">
        <v>48992</v>
      </c>
      <c r="U11835" t="s">
        <v>59303</v>
      </c>
      <c r="W11835" t="s">
        <v>45510</v>
      </c>
      <c r="X11835" t="s">
        <v>47318</v>
      </c>
    </row>
    <row r="11836" spans="1:24">
      <c r="A11836">
        <f>HYPERLINK("https://www.philgeps.gov.ph/GEPSNONPILOT/Tender/SplashBidNoticeAbstractUI.aspx?menuIndex=3&amp;refID=7179294&amp;Result=3","7179294")</f>
        <v>0</v>
      </c>
      <c r="B11836" t="s">
        <v>3119</v>
      </c>
      <c r="C11836" t="s">
        <v>15042</v>
      </c>
      <c r="D11836" t="s">
        <v>19006</v>
      </c>
      <c r="E11836" t="s">
        <v>29146</v>
      </c>
      <c r="F11836" t="s">
        <v>32606</v>
      </c>
      <c r="G11836" t="s">
        <v>32613</v>
      </c>
      <c r="H11836" t="s">
        <v>32623</v>
      </c>
      <c r="I11836" t="s">
        <v>17648</v>
      </c>
      <c r="J11836" t="s">
        <v>40123</v>
      </c>
      <c r="K11836" t="s">
        <v>42648</v>
      </c>
      <c r="M11836" t="s">
        <v>46329</v>
      </c>
      <c r="N11836" t="s">
        <v>47304</v>
      </c>
      <c r="O11836" t="s">
        <v>47305</v>
      </c>
      <c r="P11836">
        <v>0</v>
      </c>
      <c r="Q11836">
        <v>0</v>
      </c>
      <c r="R11836" t="s">
        <v>47317</v>
      </c>
      <c r="S11836" t="s">
        <v>47712</v>
      </c>
      <c r="T11836" t="s">
        <v>49111</v>
      </c>
      <c r="U11836" t="s">
        <v>59295</v>
      </c>
      <c r="V11836" t="s">
        <v>63747</v>
      </c>
      <c r="W11836" t="s">
        <v>46329</v>
      </c>
      <c r="X11836" t="s">
        <v>47318</v>
      </c>
    </row>
    <row r="11837" spans="1:24">
      <c r="A11837">
        <f>HYPERLINK("https://www.philgeps.gov.ph/GEPSNONPILOT/Tender/SplashBidNoticeAbstractUI.aspx?menuIndex=3&amp;refID=7179431&amp;Result=3","7179431")</f>
        <v>0</v>
      </c>
      <c r="B11837" t="s">
        <v>3373</v>
      </c>
      <c r="C11837" t="s">
        <v>15043</v>
      </c>
      <c r="D11837" t="s">
        <v>19011</v>
      </c>
      <c r="E11837" t="s">
        <v>29147</v>
      </c>
      <c r="F11837" t="s">
        <v>32606</v>
      </c>
      <c r="G11837" t="s">
        <v>32613</v>
      </c>
      <c r="H11837" t="s">
        <v>32623</v>
      </c>
      <c r="I11837" t="s">
        <v>17648</v>
      </c>
      <c r="J11837" t="s">
        <v>32795</v>
      </c>
      <c r="K11837" t="s">
        <v>42648</v>
      </c>
      <c r="M11837" t="s">
        <v>46623</v>
      </c>
      <c r="N11837" t="s">
        <v>47304</v>
      </c>
      <c r="O11837" t="s">
        <v>47305</v>
      </c>
      <c r="P11837">
        <v>0</v>
      </c>
      <c r="Q11837">
        <v>1</v>
      </c>
      <c r="R11837" t="s">
        <v>47317</v>
      </c>
      <c r="S11837" t="s">
        <v>47712</v>
      </c>
      <c r="T11837" t="s">
        <v>49140</v>
      </c>
      <c r="U11837" t="s">
        <v>59304</v>
      </c>
      <c r="W11837" t="s">
        <v>46623</v>
      </c>
      <c r="X11837" t="s">
        <v>47318</v>
      </c>
    </row>
    <row r="11838" spans="1:24">
      <c r="A11838">
        <f>HYPERLINK("https://www.philgeps.gov.ph/GEPSNONPILOT/Tender/SplashBidNoticeAbstractUI.aspx?menuIndex=3&amp;refID=7179596&amp;Result=3","7179596")</f>
        <v>0</v>
      </c>
      <c r="B11838" t="s">
        <v>444</v>
      </c>
      <c r="C11838" t="s">
        <v>15044</v>
      </c>
      <c r="D11838" t="s">
        <v>19006</v>
      </c>
      <c r="E11838" t="s">
        <v>29148</v>
      </c>
      <c r="F11838" t="s">
        <v>32606</v>
      </c>
      <c r="G11838" t="s">
        <v>32613</v>
      </c>
      <c r="H11838" t="s">
        <v>32623</v>
      </c>
      <c r="I11838" t="s">
        <v>17648</v>
      </c>
      <c r="J11838" t="s">
        <v>32772</v>
      </c>
      <c r="K11838" t="s">
        <v>42648</v>
      </c>
      <c r="M11838" t="s">
        <v>46580</v>
      </c>
      <c r="N11838" t="s">
        <v>47304</v>
      </c>
      <c r="O11838" t="s">
        <v>47305</v>
      </c>
      <c r="P11838">
        <v>0</v>
      </c>
      <c r="Q11838">
        <v>9</v>
      </c>
      <c r="R11838" t="s">
        <v>47317</v>
      </c>
      <c r="S11838" t="s">
        <v>47712</v>
      </c>
      <c r="T11838" t="s">
        <v>49234</v>
      </c>
      <c r="U11838" t="s">
        <v>59305</v>
      </c>
      <c r="W11838" t="s">
        <v>46860</v>
      </c>
      <c r="X11838" t="s">
        <v>47318</v>
      </c>
    </row>
    <row r="11839" spans="1:24">
      <c r="A11839">
        <f>HYPERLINK("https://www.philgeps.gov.ph/GEPSNONPILOT/Tender/SplashBidNoticeAbstractUI.aspx?menuIndex=3&amp;refID=7179395&amp;Result=3","7179395")</f>
        <v>0</v>
      </c>
      <c r="B11839" t="s">
        <v>3380</v>
      </c>
      <c r="C11839" t="s">
        <v>15045</v>
      </c>
      <c r="D11839" t="s">
        <v>19006</v>
      </c>
      <c r="E11839" t="s">
        <v>29149</v>
      </c>
      <c r="F11839" t="s">
        <v>32606</v>
      </c>
      <c r="G11839" t="s">
        <v>32615</v>
      </c>
      <c r="H11839" t="s">
        <v>14201</v>
      </c>
      <c r="I11839" t="s">
        <v>7064</v>
      </c>
      <c r="J11839" t="s">
        <v>33071</v>
      </c>
      <c r="K11839" t="s">
        <v>42624</v>
      </c>
      <c r="M11839" t="s">
        <v>46631</v>
      </c>
      <c r="N11839" t="s">
        <v>47304</v>
      </c>
      <c r="O11839" t="s">
        <v>47305</v>
      </c>
      <c r="P11839">
        <v>0</v>
      </c>
      <c r="Q11839">
        <v>9</v>
      </c>
      <c r="R11839" t="s">
        <v>47317</v>
      </c>
      <c r="S11839" t="s">
        <v>47712</v>
      </c>
      <c r="T11839" t="s">
        <v>49047</v>
      </c>
      <c r="U11839" t="s">
        <v>59306</v>
      </c>
      <c r="W11839" t="s">
        <v>46631</v>
      </c>
      <c r="X11839" t="s">
        <v>47318</v>
      </c>
    </row>
    <row r="11840" spans="1:24">
      <c r="A11840">
        <f>HYPERLINK("https://www.philgeps.gov.ph/GEPSNONPILOT/Tender/SplashBidNoticeAbstractUI.aspx?menuIndex=3&amp;refID=7179671&amp;Result=3","7179671")</f>
        <v>0</v>
      </c>
      <c r="B11840" t="s">
        <v>3011</v>
      </c>
      <c r="C11840" t="s">
        <v>15046</v>
      </c>
      <c r="D11840" t="s">
        <v>19015</v>
      </c>
      <c r="E11840" t="s">
        <v>29150</v>
      </c>
      <c r="F11840" t="s">
        <v>32606</v>
      </c>
      <c r="G11840" t="s">
        <v>32613</v>
      </c>
      <c r="H11840" t="s">
        <v>14201</v>
      </c>
      <c r="I11840" t="s">
        <v>6931</v>
      </c>
      <c r="J11840" t="s">
        <v>40124</v>
      </c>
      <c r="K11840" t="s">
        <v>42622</v>
      </c>
      <c r="M11840" t="s">
        <v>46201</v>
      </c>
      <c r="N11840" t="s">
        <v>47304</v>
      </c>
      <c r="O11840" t="s">
        <v>47305</v>
      </c>
      <c r="P11840">
        <v>0</v>
      </c>
      <c r="Q11840">
        <v>6</v>
      </c>
      <c r="R11840" t="s">
        <v>47317</v>
      </c>
      <c r="S11840" t="s">
        <v>47712</v>
      </c>
      <c r="T11840" t="s">
        <v>49104</v>
      </c>
      <c r="U11840" t="s">
        <v>59307</v>
      </c>
      <c r="W11840" t="s">
        <v>46201</v>
      </c>
      <c r="X11840" t="s">
        <v>47318</v>
      </c>
    </row>
    <row r="11841" spans="1:24">
      <c r="A11841">
        <f>HYPERLINK("https://www.philgeps.gov.ph/GEPSNONPILOT/Tender/SplashBidNoticeAbstractUI.aspx?menuIndex=3&amp;refID=7179649&amp;Result=3","7179649")</f>
        <v>0</v>
      </c>
      <c r="B11841" t="s">
        <v>3144</v>
      </c>
      <c r="C11841" t="s">
        <v>15047</v>
      </c>
      <c r="D11841" t="s">
        <v>19051</v>
      </c>
      <c r="E11841" t="s">
        <v>29151</v>
      </c>
      <c r="F11841" t="s">
        <v>32606</v>
      </c>
      <c r="G11841" t="s">
        <v>32613</v>
      </c>
      <c r="H11841" t="s">
        <v>32623</v>
      </c>
      <c r="I11841" t="s">
        <v>17648</v>
      </c>
      <c r="J11841" t="s">
        <v>32767</v>
      </c>
      <c r="K11841" t="s">
        <v>42648</v>
      </c>
      <c r="M11841" t="s">
        <v>46360</v>
      </c>
      <c r="N11841" t="s">
        <v>47304</v>
      </c>
      <c r="O11841" t="s">
        <v>47305</v>
      </c>
      <c r="P11841">
        <v>0</v>
      </c>
      <c r="Q11841">
        <v>5</v>
      </c>
      <c r="R11841" t="s">
        <v>47317</v>
      </c>
      <c r="S11841" t="s">
        <v>47712</v>
      </c>
      <c r="T11841" t="s">
        <v>49084</v>
      </c>
      <c r="U11841" t="s">
        <v>59308</v>
      </c>
      <c r="W11841" t="s">
        <v>46360</v>
      </c>
      <c r="X11841" t="s">
        <v>47318</v>
      </c>
    </row>
    <row r="11842" spans="1:24">
      <c r="A11842">
        <f>HYPERLINK("https://www.philgeps.gov.ph/GEPSNONPILOT/Tender/SplashBidNoticeAbstractUI.aspx?menuIndex=3&amp;refID=7179437&amp;Result=3","7179437")</f>
        <v>0</v>
      </c>
      <c r="B11842" t="s">
        <v>3381</v>
      </c>
      <c r="C11842" t="s">
        <v>15048</v>
      </c>
      <c r="D11842" t="s">
        <v>19010</v>
      </c>
      <c r="E11842" t="s">
        <v>29152</v>
      </c>
      <c r="F11842" t="s">
        <v>32606</v>
      </c>
      <c r="G11842" t="s">
        <v>32613</v>
      </c>
      <c r="H11842" t="s">
        <v>32623</v>
      </c>
      <c r="I11842" t="s">
        <v>17648</v>
      </c>
      <c r="J11842" t="s">
        <v>40125</v>
      </c>
      <c r="K11842" t="s">
        <v>42631</v>
      </c>
      <c r="M11842" t="s">
        <v>46632</v>
      </c>
      <c r="N11842" t="s">
        <v>47304</v>
      </c>
      <c r="O11842" t="s">
        <v>47305</v>
      </c>
      <c r="P11842">
        <v>0</v>
      </c>
      <c r="Q11842">
        <v>0</v>
      </c>
      <c r="R11842" t="s">
        <v>47317</v>
      </c>
      <c r="S11842" t="s">
        <v>47712</v>
      </c>
      <c r="T11842" t="s">
        <v>49268</v>
      </c>
      <c r="U11842" t="s">
        <v>59309</v>
      </c>
      <c r="V11842" t="s">
        <v>63914</v>
      </c>
      <c r="W11842" t="s">
        <v>46632</v>
      </c>
      <c r="X11842" t="s">
        <v>47318</v>
      </c>
    </row>
    <row r="11843" spans="1:24">
      <c r="A11843">
        <f>HYPERLINK("https://www.philgeps.gov.ph/GEPSNONPILOT/Tender/SplashBidNoticeAbstractUI.aspx?menuIndex=3&amp;refID=7179581&amp;Result=3","7179581")</f>
        <v>0</v>
      </c>
      <c r="B11843" t="s">
        <v>664</v>
      </c>
      <c r="C11843" t="s">
        <v>15049</v>
      </c>
      <c r="E11843" t="s">
        <v>29153</v>
      </c>
      <c r="F11843" t="s">
        <v>32606</v>
      </c>
      <c r="G11843" t="s">
        <v>32613</v>
      </c>
      <c r="H11843" t="s">
        <v>14201</v>
      </c>
      <c r="I11843" t="s">
        <v>32640</v>
      </c>
      <c r="J11843" t="s">
        <v>40126</v>
      </c>
      <c r="K11843" t="s">
        <v>42624</v>
      </c>
      <c r="M11843" t="s">
        <v>43584</v>
      </c>
      <c r="N11843" t="s">
        <v>47304</v>
      </c>
      <c r="O11843" t="s">
        <v>47305</v>
      </c>
      <c r="P11843">
        <v>0</v>
      </c>
      <c r="Q11843">
        <v>8</v>
      </c>
      <c r="R11843" t="s">
        <v>47317</v>
      </c>
      <c r="S11843" t="s">
        <v>47712</v>
      </c>
      <c r="T11843" t="s">
        <v>49052</v>
      </c>
      <c r="U11843" t="s">
        <v>59310</v>
      </c>
      <c r="W11843" t="s">
        <v>43584</v>
      </c>
      <c r="X11843" t="s">
        <v>47318</v>
      </c>
    </row>
    <row r="11844" spans="1:24">
      <c r="A11844">
        <f>HYPERLINK("https://www.philgeps.gov.ph/GEPSNONPILOT/Tender/SplashBidNoticeAbstractUI.aspx?menuIndex=3&amp;refID=7179580&amp;Result=3","7179580")</f>
        <v>0</v>
      </c>
      <c r="B11844" t="s">
        <v>3373</v>
      </c>
      <c r="C11844" t="s">
        <v>15050</v>
      </c>
      <c r="D11844" t="s">
        <v>19011</v>
      </c>
      <c r="E11844" t="s">
        <v>29154</v>
      </c>
      <c r="F11844" t="s">
        <v>32606</v>
      </c>
      <c r="G11844" t="s">
        <v>32613</v>
      </c>
      <c r="H11844" t="s">
        <v>14201</v>
      </c>
      <c r="I11844" t="s">
        <v>32652</v>
      </c>
      <c r="J11844" t="s">
        <v>32923</v>
      </c>
      <c r="K11844" t="s">
        <v>42631</v>
      </c>
      <c r="M11844" t="s">
        <v>46623</v>
      </c>
      <c r="N11844" t="s">
        <v>47304</v>
      </c>
      <c r="O11844" t="s">
        <v>47305</v>
      </c>
      <c r="P11844">
        <v>0</v>
      </c>
      <c r="Q11844">
        <v>0</v>
      </c>
      <c r="R11844" t="s">
        <v>47317</v>
      </c>
      <c r="S11844" t="s">
        <v>47712</v>
      </c>
      <c r="T11844" t="s">
        <v>49140</v>
      </c>
      <c r="U11844" t="s">
        <v>59311</v>
      </c>
      <c r="W11844" t="s">
        <v>46623</v>
      </c>
      <c r="X11844" t="s">
        <v>47318</v>
      </c>
    </row>
    <row r="11845" spans="1:24">
      <c r="A11845">
        <f>HYPERLINK("https://www.philgeps.gov.ph/GEPSNONPILOT/Tender/SplashBidNoticeAbstractUI.aspx?menuIndex=3&amp;refID=7179652&amp;Result=3","7179652")</f>
        <v>0</v>
      </c>
      <c r="B11845" t="s">
        <v>3382</v>
      </c>
      <c r="C11845" t="s">
        <v>15051</v>
      </c>
      <c r="D11845" t="s">
        <v>18991</v>
      </c>
      <c r="E11845" t="s">
        <v>29155</v>
      </c>
      <c r="F11845" t="s">
        <v>32606</v>
      </c>
      <c r="G11845" t="s">
        <v>32618</v>
      </c>
      <c r="H11845" t="s">
        <v>14201</v>
      </c>
      <c r="I11845" t="s">
        <v>6007</v>
      </c>
      <c r="J11845" t="s">
        <v>40127</v>
      </c>
      <c r="K11845" t="s">
        <v>42714</v>
      </c>
      <c r="M11845" t="s">
        <v>46633</v>
      </c>
      <c r="N11845" t="s">
        <v>47304</v>
      </c>
      <c r="O11845" t="s">
        <v>47305</v>
      </c>
      <c r="P11845">
        <v>0</v>
      </c>
      <c r="Q11845">
        <v>0</v>
      </c>
      <c r="R11845" t="s">
        <v>47317</v>
      </c>
      <c r="S11845" t="s">
        <v>47712</v>
      </c>
      <c r="T11845" t="s">
        <v>49148</v>
      </c>
      <c r="U11845" t="s">
        <v>59312</v>
      </c>
      <c r="W11845" t="s">
        <v>46633</v>
      </c>
      <c r="X11845" t="s">
        <v>47318</v>
      </c>
    </row>
    <row r="11846" spans="1:24">
      <c r="A11846">
        <f>HYPERLINK("https://www.philgeps.gov.ph/GEPSNONPILOT/Tender/SplashBidNoticeAbstractUI.aspx?menuIndex=3&amp;refID=7179599&amp;Result=3","7179599")</f>
        <v>0</v>
      </c>
      <c r="B11846" t="s">
        <v>3222</v>
      </c>
      <c r="C11846" t="s">
        <v>15052</v>
      </c>
      <c r="D11846" t="s">
        <v>19011</v>
      </c>
      <c r="E11846" t="s">
        <v>29135</v>
      </c>
      <c r="F11846" t="s">
        <v>32606</v>
      </c>
      <c r="G11846" t="s">
        <v>32614</v>
      </c>
      <c r="H11846" t="s">
        <v>14201</v>
      </c>
      <c r="I11846" t="s">
        <v>4678</v>
      </c>
      <c r="J11846" t="s">
        <v>40128</v>
      </c>
      <c r="K11846" t="s">
        <v>42622</v>
      </c>
      <c r="M11846" t="s">
        <v>46448</v>
      </c>
      <c r="N11846" t="s">
        <v>47304</v>
      </c>
      <c r="O11846" t="s">
        <v>47305</v>
      </c>
      <c r="P11846">
        <v>0</v>
      </c>
      <c r="Q11846">
        <v>8</v>
      </c>
      <c r="R11846" t="s">
        <v>47317</v>
      </c>
      <c r="S11846" t="s">
        <v>47712</v>
      </c>
      <c r="T11846" t="s">
        <v>49104</v>
      </c>
      <c r="U11846" t="s">
        <v>59313</v>
      </c>
      <c r="W11846" t="s">
        <v>46448</v>
      </c>
      <c r="X11846" t="s">
        <v>47318</v>
      </c>
    </row>
    <row r="11847" spans="1:24">
      <c r="A11847">
        <f>HYPERLINK("https://www.philgeps.gov.ph/GEPSNONPILOT/Tender/SplashBidNoticeAbstractUI.aspx?menuIndex=3&amp;refID=7179331&amp;Result=3","7179331")</f>
        <v>0</v>
      </c>
      <c r="B11847" t="s">
        <v>2566</v>
      </c>
      <c r="C11847" t="s">
        <v>15053</v>
      </c>
      <c r="D11847" t="s">
        <v>19049</v>
      </c>
      <c r="E11847" t="s">
        <v>29156</v>
      </c>
      <c r="F11847" t="s">
        <v>32606</v>
      </c>
      <c r="G11847" t="s">
        <v>32613</v>
      </c>
      <c r="H11847" t="s">
        <v>14201</v>
      </c>
      <c r="I11847" t="s">
        <v>7064</v>
      </c>
      <c r="J11847" t="s">
        <v>40129</v>
      </c>
      <c r="K11847" t="s">
        <v>42639</v>
      </c>
      <c r="M11847" t="s">
        <v>45706</v>
      </c>
      <c r="N11847" t="s">
        <v>47304</v>
      </c>
      <c r="O11847" t="s">
        <v>47305</v>
      </c>
      <c r="P11847">
        <v>0</v>
      </c>
      <c r="Q11847">
        <v>3</v>
      </c>
      <c r="R11847" t="s">
        <v>47317</v>
      </c>
      <c r="S11847" t="s">
        <v>47712</v>
      </c>
      <c r="T11847" t="s">
        <v>49119</v>
      </c>
      <c r="U11847" t="s">
        <v>59314</v>
      </c>
      <c r="V11847" t="s">
        <v>63441</v>
      </c>
      <c r="W11847" t="s">
        <v>45706</v>
      </c>
      <c r="X11847" t="s">
        <v>47318</v>
      </c>
    </row>
    <row r="11848" spans="1:24">
      <c r="A11848">
        <f>HYPERLINK("https://www.philgeps.gov.ph/GEPSNONPILOT/Tender/SplashBidNoticeAbstractUI.aspx?menuIndex=3&amp;refID=7179595&amp;Result=3","7179595")</f>
        <v>0</v>
      </c>
      <c r="B11848" t="s">
        <v>3383</v>
      </c>
      <c r="C11848" t="s">
        <v>15054</v>
      </c>
      <c r="D11848" t="s">
        <v>18992</v>
      </c>
      <c r="E11848" t="s">
        <v>23530</v>
      </c>
      <c r="F11848" t="s">
        <v>32606</v>
      </c>
      <c r="G11848" t="s">
        <v>32613</v>
      </c>
      <c r="H11848" t="s">
        <v>32623</v>
      </c>
      <c r="I11848" t="s">
        <v>17648</v>
      </c>
      <c r="J11848" t="s">
        <v>40130</v>
      </c>
      <c r="K11848" t="s">
        <v>42648</v>
      </c>
      <c r="L11848" t="s">
        <v>3383</v>
      </c>
      <c r="M11848" t="s">
        <v>46634</v>
      </c>
      <c r="N11848" t="s">
        <v>47304</v>
      </c>
      <c r="O11848" t="s">
        <v>47305</v>
      </c>
      <c r="P11848">
        <v>0</v>
      </c>
      <c r="Q11848">
        <v>2</v>
      </c>
      <c r="R11848" t="s">
        <v>47317</v>
      </c>
      <c r="S11848" t="s">
        <v>47712</v>
      </c>
      <c r="T11848" t="s">
        <v>48970</v>
      </c>
      <c r="U11848" t="s">
        <v>59315</v>
      </c>
      <c r="V11848" t="s">
        <v>56040</v>
      </c>
      <c r="W11848" t="s">
        <v>46634</v>
      </c>
      <c r="X11848" t="s">
        <v>47318</v>
      </c>
    </row>
    <row r="11849" spans="1:24">
      <c r="A11849">
        <f>HYPERLINK("https://www.philgeps.gov.ph/GEPSNONPILOT/Tender/SplashBidNoticeAbstractUI.aspx?menuIndex=3&amp;refID=7179556&amp;Result=3","7179556")</f>
        <v>0</v>
      </c>
      <c r="B11849" t="s">
        <v>3373</v>
      </c>
      <c r="C11849" t="s">
        <v>15055</v>
      </c>
      <c r="D11849" t="s">
        <v>19011</v>
      </c>
      <c r="E11849" t="s">
        <v>29157</v>
      </c>
      <c r="F11849" t="s">
        <v>32606</v>
      </c>
      <c r="G11849" t="s">
        <v>32613</v>
      </c>
      <c r="H11849" t="s">
        <v>32623</v>
      </c>
      <c r="I11849" t="s">
        <v>17648</v>
      </c>
      <c r="J11849" t="s">
        <v>32772</v>
      </c>
      <c r="K11849" t="s">
        <v>42648</v>
      </c>
      <c r="M11849" t="s">
        <v>46623</v>
      </c>
      <c r="N11849" t="s">
        <v>47304</v>
      </c>
      <c r="O11849" t="s">
        <v>47305</v>
      </c>
      <c r="P11849">
        <v>0</v>
      </c>
      <c r="Q11849">
        <v>0</v>
      </c>
      <c r="R11849" t="s">
        <v>47317</v>
      </c>
      <c r="S11849" t="s">
        <v>47712</v>
      </c>
      <c r="T11849" t="s">
        <v>49140</v>
      </c>
      <c r="U11849" t="s">
        <v>59316</v>
      </c>
      <c r="W11849" t="s">
        <v>46623</v>
      </c>
      <c r="X11849" t="s">
        <v>47318</v>
      </c>
    </row>
    <row r="11850" spans="1:24">
      <c r="A11850">
        <f>HYPERLINK("https://www.philgeps.gov.ph/GEPSNONPILOT/Tender/SplashBidNoticeAbstractUI.aspx?menuIndex=3&amp;refID=7179538&amp;Result=3","7179538")</f>
        <v>0</v>
      </c>
      <c r="B11850" t="s">
        <v>3222</v>
      </c>
      <c r="C11850" t="s">
        <v>15056</v>
      </c>
      <c r="D11850" t="s">
        <v>19011</v>
      </c>
      <c r="E11850" t="s">
        <v>29135</v>
      </c>
      <c r="F11850" t="s">
        <v>32606</v>
      </c>
      <c r="G11850" t="s">
        <v>32613</v>
      </c>
      <c r="H11850" t="s">
        <v>14201</v>
      </c>
      <c r="I11850" t="s">
        <v>4678</v>
      </c>
      <c r="J11850" t="s">
        <v>32778</v>
      </c>
      <c r="K11850" t="s">
        <v>42622</v>
      </c>
      <c r="M11850" t="s">
        <v>46448</v>
      </c>
      <c r="N11850" t="s">
        <v>47304</v>
      </c>
      <c r="O11850" t="s">
        <v>47305</v>
      </c>
      <c r="P11850">
        <v>0</v>
      </c>
      <c r="Q11850">
        <v>5</v>
      </c>
      <c r="R11850" t="s">
        <v>47317</v>
      </c>
      <c r="S11850" t="s">
        <v>47712</v>
      </c>
      <c r="T11850" t="s">
        <v>49104</v>
      </c>
      <c r="U11850" t="s">
        <v>59317</v>
      </c>
      <c r="W11850" t="s">
        <v>46448</v>
      </c>
      <c r="X11850" t="s">
        <v>47318</v>
      </c>
    </row>
    <row r="11851" spans="1:24">
      <c r="A11851">
        <f>HYPERLINK("https://www.philgeps.gov.ph/GEPSNONPILOT/Tender/SplashBidNoticeAbstractUI.aspx?menuIndex=3&amp;refID=7179523&amp;Result=3","7179523")</f>
        <v>0</v>
      </c>
      <c r="B11851" t="s">
        <v>2871</v>
      </c>
      <c r="C11851" t="s">
        <v>15057</v>
      </c>
      <c r="E11851" t="s">
        <v>29158</v>
      </c>
      <c r="F11851" t="s">
        <v>32606</v>
      </c>
      <c r="G11851" t="s">
        <v>32613</v>
      </c>
      <c r="H11851" t="s">
        <v>14201</v>
      </c>
      <c r="I11851" t="s">
        <v>32633</v>
      </c>
      <c r="J11851" t="s">
        <v>40131</v>
      </c>
      <c r="K11851" t="s">
        <v>42624</v>
      </c>
      <c r="M11851" t="s">
        <v>46635</v>
      </c>
      <c r="N11851" t="s">
        <v>47304</v>
      </c>
      <c r="O11851" t="s">
        <v>47305</v>
      </c>
      <c r="P11851">
        <v>0</v>
      </c>
      <c r="Q11851">
        <v>6</v>
      </c>
      <c r="R11851" t="s">
        <v>47317</v>
      </c>
      <c r="S11851" t="s">
        <v>47712</v>
      </c>
      <c r="T11851" t="s">
        <v>49347</v>
      </c>
      <c r="U11851" t="s">
        <v>59318</v>
      </c>
      <c r="W11851" t="s">
        <v>46635</v>
      </c>
      <c r="X11851" t="s">
        <v>47318</v>
      </c>
    </row>
    <row r="11852" spans="1:24">
      <c r="A11852">
        <f>HYPERLINK("https://www.philgeps.gov.ph/GEPSNONPILOT/Tender/SplashBidNoticeAbstractUI.aspx?menuIndex=3&amp;refID=7179853&amp;Result=3","7179853")</f>
        <v>0</v>
      </c>
      <c r="B11852" t="s">
        <v>3384</v>
      </c>
      <c r="C11852" t="s">
        <v>15058</v>
      </c>
      <c r="D11852" t="s">
        <v>18994</v>
      </c>
      <c r="E11852" t="s">
        <v>29159</v>
      </c>
      <c r="F11852" t="s">
        <v>32606</v>
      </c>
      <c r="G11852" t="s">
        <v>32613</v>
      </c>
      <c r="H11852" t="s">
        <v>14201</v>
      </c>
      <c r="I11852" t="s">
        <v>4120</v>
      </c>
      <c r="J11852" t="s">
        <v>40132</v>
      </c>
      <c r="K11852" t="s">
        <v>42622</v>
      </c>
      <c r="M11852" t="s">
        <v>46636</v>
      </c>
      <c r="N11852" t="s">
        <v>47304</v>
      </c>
      <c r="O11852" t="s">
        <v>47305</v>
      </c>
      <c r="P11852">
        <v>0</v>
      </c>
      <c r="Q11852">
        <v>4</v>
      </c>
      <c r="R11852" t="s">
        <v>47317</v>
      </c>
      <c r="S11852" t="s">
        <v>47712</v>
      </c>
      <c r="T11852" t="s">
        <v>49052</v>
      </c>
      <c r="U11852" t="s">
        <v>59319</v>
      </c>
      <c r="V11852" t="s">
        <v>63915</v>
      </c>
      <c r="W11852" t="s">
        <v>46636</v>
      </c>
      <c r="X11852" t="s">
        <v>47318</v>
      </c>
    </row>
    <row r="11853" spans="1:24">
      <c r="A11853">
        <f>HYPERLINK("https://www.philgeps.gov.ph/GEPSNONPILOT/Tender/SplashBidNoticeAbstractUI.aspx?menuIndex=3&amp;refID=7179279&amp;Result=3","7179279")</f>
        <v>0</v>
      </c>
      <c r="B11853" t="s">
        <v>3119</v>
      </c>
      <c r="C11853" t="s">
        <v>15059</v>
      </c>
      <c r="D11853" t="s">
        <v>19006</v>
      </c>
      <c r="E11853" t="s">
        <v>29160</v>
      </c>
      <c r="F11853" t="s">
        <v>32606</v>
      </c>
      <c r="G11853" t="s">
        <v>32613</v>
      </c>
      <c r="H11853" t="s">
        <v>32623</v>
      </c>
      <c r="I11853" t="s">
        <v>17648</v>
      </c>
      <c r="J11853" t="s">
        <v>40133</v>
      </c>
      <c r="K11853" t="s">
        <v>42649</v>
      </c>
      <c r="M11853" t="s">
        <v>46329</v>
      </c>
      <c r="N11853" t="s">
        <v>47304</v>
      </c>
      <c r="O11853" t="s">
        <v>47305</v>
      </c>
      <c r="P11853">
        <v>0</v>
      </c>
      <c r="Q11853">
        <v>1</v>
      </c>
      <c r="R11853" t="s">
        <v>47317</v>
      </c>
      <c r="S11853" t="s">
        <v>47712</v>
      </c>
      <c r="T11853" t="s">
        <v>49111</v>
      </c>
      <c r="U11853" t="s">
        <v>59295</v>
      </c>
      <c r="V11853" t="s">
        <v>63747</v>
      </c>
      <c r="W11853" t="s">
        <v>46329</v>
      </c>
      <c r="X11853" t="s">
        <v>47318</v>
      </c>
    </row>
    <row r="11854" spans="1:24">
      <c r="A11854">
        <f>HYPERLINK("https://www.philgeps.gov.ph/GEPSNONPILOT/Tender/SplashBidNoticeAbstractUI.aspx?menuIndex=3&amp;refID=7179841&amp;Result=3","7179841")</f>
        <v>0</v>
      </c>
      <c r="B11854" t="s">
        <v>3269</v>
      </c>
      <c r="C11854" t="s">
        <v>15060</v>
      </c>
      <c r="D11854" t="s">
        <v>19039</v>
      </c>
      <c r="E11854" t="s">
        <v>21061</v>
      </c>
      <c r="F11854" t="s">
        <v>32606</v>
      </c>
      <c r="G11854" t="s">
        <v>32617</v>
      </c>
      <c r="H11854" t="s">
        <v>14201</v>
      </c>
      <c r="I11854" t="s">
        <v>13131</v>
      </c>
      <c r="J11854" t="s">
        <v>40134</v>
      </c>
      <c r="K11854" t="s">
        <v>42636</v>
      </c>
      <c r="M11854" t="s">
        <v>46503</v>
      </c>
      <c r="N11854" t="s">
        <v>47304</v>
      </c>
      <c r="O11854" t="s">
        <v>47305</v>
      </c>
      <c r="P11854">
        <v>0</v>
      </c>
      <c r="Q11854">
        <v>3</v>
      </c>
      <c r="R11854" t="s">
        <v>47317</v>
      </c>
      <c r="S11854" t="s">
        <v>47712</v>
      </c>
      <c r="T11854" t="s">
        <v>48998</v>
      </c>
      <c r="U11854" t="s">
        <v>59320</v>
      </c>
      <c r="W11854" t="s">
        <v>46503</v>
      </c>
      <c r="X11854" t="s">
        <v>47318</v>
      </c>
    </row>
    <row r="11855" spans="1:24">
      <c r="A11855">
        <f>HYPERLINK("https://www.philgeps.gov.ph/GEPSNONPILOT/Tender/SplashBidNoticeAbstractUI.aspx?menuIndex=3&amp;refID=7179527&amp;Result=3","7179527")</f>
        <v>0</v>
      </c>
      <c r="B11855" t="s">
        <v>2566</v>
      </c>
      <c r="C11855" t="s">
        <v>15061</v>
      </c>
      <c r="D11855" t="s">
        <v>19049</v>
      </c>
      <c r="E11855" t="s">
        <v>29161</v>
      </c>
      <c r="F11855" t="s">
        <v>32606</v>
      </c>
      <c r="G11855" t="s">
        <v>32613</v>
      </c>
      <c r="H11855" t="s">
        <v>14201</v>
      </c>
      <c r="I11855" t="s">
        <v>32640</v>
      </c>
      <c r="J11855" t="s">
        <v>32767</v>
      </c>
      <c r="K11855" t="s">
        <v>42639</v>
      </c>
      <c r="M11855" t="s">
        <v>45706</v>
      </c>
      <c r="N11855" t="s">
        <v>47304</v>
      </c>
      <c r="O11855" t="s">
        <v>47305</v>
      </c>
      <c r="P11855">
        <v>0</v>
      </c>
      <c r="Q11855">
        <v>8</v>
      </c>
      <c r="R11855" t="s">
        <v>47317</v>
      </c>
      <c r="S11855" t="s">
        <v>47712</v>
      </c>
      <c r="T11855" t="s">
        <v>49119</v>
      </c>
      <c r="U11855" t="s">
        <v>59321</v>
      </c>
      <c r="V11855" t="s">
        <v>63441</v>
      </c>
      <c r="W11855" t="s">
        <v>45706</v>
      </c>
      <c r="X11855" t="s">
        <v>47318</v>
      </c>
    </row>
    <row r="11856" spans="1:24">
      <c r="A11856">
        <f>HYPERLINK("https://www.philgeps.gov.ph/GEPSNONPILOT/Tender/SplashBidNoticeAbstractUI.aspx?menuIndex=3&amp;refID=7179810&amp;Result=3","7179810")</f>
        <v>0</v>
      </c>
      <c r="B11856" t="s">
        <v>3385</v>
      </c>
      <c r="C11856" t="s">
        <v>15062</v>
      </c>
      <c r="D11856" t="s">
        <v>19011</v>
      </c>
      <c r="E11856" t="s">
        <v>29162</v>
      </c>
      <c r="F11856" t="s">
        <v>32606</v>
      </c>
      <c r="G11856" t="s">
        <v>32613</v>
      </c>
      <c r="H11856" t="s">
        <v>32623</v>
      </c>
      <c r="I11856" t="s">
        <v>32656</v>
      </c>
      <c r="J11856" t="s">
        <v>33012</v>
      </c>
      <c r="K11856" t="s">
        <v>42631</v>
      </c>
      <c r="M11856" t="s">
        <v>46637</v>
      </c>
      <c r="N11856" t="s">
        <v>47304</v>
      </c>
      <c r="O11856" t="s">
        <v>47305</v>
      </c>
      <c r="P11856">
        <v>0</v>
      </c>
      <c r="Q11856">
        <v>5</v>
      </c>
      <c r="R11856" t="s">
        <v>47317</v>
      </c>
      <c r="S11856" t="s">
        <v>47712</v>
      </c>
      <c r="T11856" t="s">
        <v>49099</v>
      </c>
      <c r="U11856" t="s">
        <v>59322</v>
      </c>
      <c r="W11856" t="s">
        <v>46637</v>
      </c>
      <c r="X11856" t="s">
        <v>47318</v>
      </c>
    </row>
    <row r="11857" spans="1:24">
      <c r="A11857">
        <f>HYPERLINK("https://www.philgeps.gov.ph/GEPSNONPILOT/Tender/SplashBidNoticeAbstractUI.aspx?menuIndex=3&amp;refID=7179799&amp;Result=3","7179799")</f>
        <v>0</v>
      </c>
      <c r="B11857" t="s">
        <v>1141</v>
      </c>
      <c r="C11857" t="s">
        <v>15063</v>
      </c>
      <c r="D11857" t="s">
        <v>18988</v>
      </c>
      <c r="E11857" t="s">
        <v>29163</v>
      </c>
      <c r="F11857" t="s">
        <v>32606</v>
      </c>
      <c r="G11857" t="s">
        <v>32613</v>
      </c>
      <c r="H11857" t="s">
        <v>14201</v>
      </c>
      <c r="I11857" t="s">
        <v>7064</v>
      </c>
      <c r="J11857" t="s">
        <v>33016</v>
      </c>
      <c r="K11857" t="s">
        <v>42636</v>
      </c>
      <c r="M11857" t="s">
        <v>44103</v>
      </c>
      <c r="N11857" t="s">
        <v>47304</v>
      </c>
      <c r="O11857" t="s">
        <v>47305</v>
      </c>
      <c r="P11857">
        <v>0</v>
      </c>
      <c r="Q11857">
        <v>4</v>
      </c>
      <c r="R11857" t="s">
        <v>47317</v>
      </c>
      <c r="S11857" t="s">
        <v>47712</v>
      </c>
      <c r="T11857" t="s">
        <v>49107</v>
      </c>
      <c r="U11857" t="s">
        <v>59323</v>
      </c>
      <c r="W11857" t="s">
        <v>44103</v>
      </c>
      <c r="X11857" t="s">
        <v>47318</v>
      </c>
    </row>
    <row r="11858" spans="1:24">
      <c r="A11858">
        <f>HYPERLINK("https://www.philgeps.gov.ph/GEPSNONPILOT/Tender/SplashBidNoticeAbstractUI.aspx?menuIndex=3&amp;refID=7179417&amp;Result=3","7179417")</f>
        <v>0</v>
      </c>
      <c r="B11858" t="s">
        <v>3011</v>
      </c>
      <c r="C11858" t="s">
        <v>15064</v>
      </c>
      <c r="D11858" t="s">
        <v>19015</v>
      </c>
      <c r="E11858" t="s">
        <v>29164</v>
      </c>
      <c r="F11858" t="s">
        <v>32606</v>
      </c>
      <c r="G11858" t="s">
        <v>32613</v>
      </c>
      <c r="H11858" t="s">
        <v>14201</v>
      </c>
      <c r="I11858" t="s">
        <v>6931</v>
      </c>
      <c r="J11858" t="s">
        <v>40135</v>
      </c>
      <c r="K11858" t="s">
        <v>42622</v>
      </c>
      <c r="M11858" t="s">
        <v>46201</v>
      </c>
      <c r="N11858" t="s">
        <v>47304</v>
      </c>
      <c r="O11858" t="s">
        <v>47305</v>
      </c>
      <c r="P11858">
        <v>0</v>
      </c>
      <c r="Q11858">
        <v>5</v>
      </c>
      <c r="R11858" t="s">
        <v>47317</v>
      </c>
      <c r="S11858" t="s">
        <v>47712</v>
      </c>
      <c r="T11858" t="s">
        <v>48992</v>
      </c>
      <c r="U11858" t="s">
        <v>59324</v>
      </c>
      <c r="W11858" t="s">
        <v>46201</v>
      </c>
      <c r="X11858" t="s">
        <v>47318</v>
      </c>
    </row>
    <row r="11859" spans="1:24">
      <c r="A11859">
        <f>HYPERLINK("https://www.philgeps.gov.ph/GEPSNONPILOT/Tender/SplashBidNoticeAbstractUI.aspx?menuIndex=3&amp;refID=7179773&amp;Result=3","7179773")</f>
        <v>0</v>
      </c>
      <c r="B11859" t="s">
        <v>1141</v>
      </c>
      <c r="C11859" t="s">
        <v>15065</v>
      </c>
      <c r="D11859" t="s">
        <v>18988</v>
      </c>
      <c r="E11859" t="s">
        <v>29165</v>
      </c>
      <c r="F11859" t="s">
        <v>32606</v>
      </c>
      <c r="G11859" t="s">
        <v>32613</v>
      </c>
      <c r="H11859" t="s">
        <v>32623</v>
      </c>
      <c r="I11859" t="s">
        <v>17648</v>
      </c>
      <c r="J11859" t="s">
        <v>40136</v>
      </c>
      <c r="K11859" t="s">
        <v>42636</v>
      </c>
      <c r="M11859" t="s">
        <v>44103</v>
      </c>
      <c r="N11859" t="s">
        <v>47304</v>
      </c>
      <c r="O11859" t="s">
        <v>47305</v>
      </c>
      <c r="Q11859">
        <v>0</v>
      </c>
      <c r="R11859" t="s">
        <v>47317</v>
      </c>
      <c r="S11859" t="s">
        <v>47731</v>
      </c>
      <c r="T11859" t="s">
        <v>49107</v>
      </c>
      <c r="U11859" t="s">
        <v>59325</v>
      </c>
      <c r="W11859" t="s">
        <v>44103</v>
      </c>
      <c r="X11859" t="s">
        <v>47318</v>
      </c>
    </row>
    <row r="11860" spans="1:24">
      <c r="A11860">
        <f>HYPERLINK("https://www.philgeps.gov.ph/GEPSNONPILOT/Tender/SplashBidNoticeAbstractUI.aspx?menuIndex=3&amp;refID=7179325&amp;Result=3","7179325")</f>
        <v>0</v>
      </c>
      <c r="B11860" t="s">
        <v>3373</v>
      </c>
      <c r="C11860" t="s">
        <v>15066</v>
      </c>
      <c r="D11860" t="s">
        <v>19011</v>
      </c>
      <c r="E11860" t="s">
        <v>29166</v>
      </c>
      <c r="F11860" t="s">
        <v>32606</v>
      </c>
      <c r="G11860" t="s">
        <v>32613</v>
      </c>
      <c r="H11860" t="s">
        <v>32623</v>
      </c>
      <c r="I11860" t="s">
        <v>17648</v>
      </c>
      <c r="J11860" t="s">
        <v>32772</v>
      </c>
      <c r="K11860" t="s">
        <v>42648</v>
      </c>
      <c r="M11860" t="s">
        <v>46623</v>
      </c>
      <c r="N11860" t="s">
        <v>47304</v>
      </c>
      <c r="O11860" t="s">
        <v>47305</v>
      </c>
      <c r="P11860">
        <v>0</v>
      </c>
      <c r="Q11860">
        <v>0</v>
      </c>
      <c r="R11860" t="s">
        <v>47317</v>
      </c>
      <c r="S11860" t="s">
        <v>47712</v>
      </c>
      <c r="T11860" t="s">
        <v>49140</v>
      </c>
      <c r="U11860" t="s">
        <v>59326</v>
      </c>
      <c r="W11860" t="s">
        <v>46623</v>
      </c>
      <c r="X11860" t="s">
        <v>47318</v>
      </c>
    </row>
    <row r="11861" spans="1:24">
      <c r="A11861">
        <f>HYPERLINK("https://www.philgeps.gov.ph/GEPSNONPILOT/Tender/SplashBidNoticeAbstractUI.aspx?menuIndex=3&amp;refID=7179755&amp;Result=3","7179755")</f>
        <v>0</v>
      </c>
      <c r="B11861" t="s">
        <v>1141</v>
      </c>
      <c r="C11861" t="s">
        <v>15067</v>
      </c>
      <c r="D11861" t="s">
        <v>18988</v>
      </c>
      <c r="E11861" t="s">
        <v>29167</v>
      </c>
      <c r="F11861" t="s">
        <v>32606</v>
      </c>
      <c r="G11861" t="s">
        <v>32613</v>
      </c>
      <c r="H11861" t="s">
        <v>14201</v>
      </c>
      <c r="I11861" t="s">
        <v>32634</v>
      </c>
      <c r="J11861" t="s">
        <v>40137</v>
      </c>
      <c r="K11861" t="s">
        <v>42631</v>
      </c>
      <c r="M11861" t="s">
        <v>44103</v>
      </c>
      <c r="N11861" t="s">
        <v>47304</v>
      </c>
      <c r="O11861" t="s">
        <v>47305</v>
      </c>
      <c r="Q11861">
        <v>1</v>
      </c>
      <c r="R11861" t="s">
        <v>47317</v>
      </c>
      <c r="S11861" t="s">
        <v>47732</v>
      </c>
      <c r="T11861" t="s">
        <v>49107</v>
      </c>
      <c r="U11861" t="s">
        <v>59327</v>
      </c>
      <c r="W11861" t="s">
        <v>44103</v>
      </c>
      <c r="X11861" t="s">
        <v>47318</v>
      </c>
    </row>
    <row r="11862" spans="1:24">
      <c r="A11862">
        <f>HYPERLINK("https://www.philgeps.gov.ph/GEPSNONPILOT/Tender/SplashBidNoticeAbstractUI.aspx?menuIndex=3&amp;refID=7179725&amp;Result=3","7179725")</f>
        <v>0</v>
      </c>
      <c r="B11862" t="s">
        <v>3383</v>
      </c>
      <c r="C11862" t="s">
        <v>15068</v>
      </c>
      <c r="D11862" t="s">
        <v>18992</v>
      </c>
      <c r="E11862" t="s">
        <v>20349</v>
      </c>
      <c r="F11862" t="s">
        <v>32606</v>
      </c>
      <c r="G11862" t="s">
        <v>32613</v>
      </c>
      <c r="H11862" t="s">
        <v>32623</v>
      </c>
      <c r="I11862" t="s">
        <v>17648</v>
      </c>
      <c r="J11862" t="s">
        <v>40138</v>
      </c>
      <c r="K11862" t="s">
        <v>42646</v>
      </c>
      <c r="L11862" t="s">
        <v>3383</v>
      </c>
      <c r="M11862" t="s">
        <v>46634</v>
      </c>
      <c r="N11862" t="s">
        <v>47304</v>
      </c>
      <c r="O11862" t="s">
        <v>47305</v>
      </c>
      <c r="P11862">
        <v>0</v>
      </c>
      <c r="Q11862">
        <v>0</v>
      </c>
      <c r="R11862" t="s">
        <v>47317</v>
      </c>
      <c r="S11862" t="s">
        <v>47712</v>
      </c>
      <c r="T11862" t="s">
        <v>49057</v>
      </c>
      <c r="U11862" t="s">
        <v>59328</v>
      </c>
      <c r="V11862" t="s">
        <v>63916</v>
      </c>
      <c r="W11862" t="s">
        <v>46634</v>
      </c>
      <c r="X11862" t="s">
        <v>47318</v>
      </c>
    </row>
    <row r="11863" spans="1:24">
      <c r="A11863">
        <f>HYPERLINK("https://www.philgeps.gov.ph/GEPSNONPILOT/Tender/SplashBidNoticeAbstractUI.aspx?menuIndex=3&amp;refID=7179794&amp;Result=3","7179794")</f>
        <v>0</v>
      </c>
      <c r="B11863" t="s">
        <v>3386</v>
      </c>
      <c r="C11863" t="s">
        <v>15069</v>
      </c>
      <c r="D11863" t="s">
        <v>19037</v>
      </c>
      <c r="E11863" t="s">
        <v>29168</v>
      </c>
      <c r="F11863" t="s">
        <v>32606</v>
      </c>
      <c r="G11863" t="s">
        <v>32614</v>
      </c>
      <c r="H11863" t="s">
        <v>14201</v>
      </c>
      <c r="I11863" t="s">
        <v>13131</v>
      </c>
      <c r="J11863" t="s">
        <v>34942</v>
      </c>
      <c r="K11863" t="s">
        <v>42623</v>
      </c>
      <c r="M11863" t="s">
        <v>46638</v>
      </c>
      <c r="N11863" t="s">
        <v>47304</v>
      </c>
      <c r="O11863" t="s">
        <v>47305</v>
      </c>
      <c r="P11863">
        <v>0</v>
      </c>
      <c r="Q11863">
        <v>4</v>
      </c>
      <c r="R11863" t="s">
        <v>47317</v>
      </c>
      <c r="S11863" t="s">
        <v>47712</v>
      </c>
      <c r="T11863" t="s">
        <v>49065</v>
      </c>
      <c r="U11863" t="s">
        <v>59329</v>
      </c>
      <c r="W11863" t="s">
        <v>46638</v>
      </c>
      <c r="X11863" t="s">
        <v>47318</v>
      </c>
    </row>
    <row r="11864" spans="1:24">
      <c r="A11864">
        <f>HYPERLINK("https://www.philgeps.gov.ph/GEPSNONPILOT/Tender/SplashBidNoticeAbstractUI.aspx?menuIndex=3&amp;refID=7179720&amp;Result=3","7179720")</f>
        <v>0</v>
      </c>
      <c r="B11864" t="s">
        <v>1141</v>
      </c>
      <c r="C11864" t="s">
        <v>15070</v>
      </c>
      <c r="D11864" t="s">
        <v>19088</v>
      </c>
      <c r="E11864" t="s">
        <v>29169</v>
      </c>
      <c r="F11864" t="s">
        <v>32606</v>
      </c>
      <c r="G11864" t="s">
        <v>32613</v>
      </c>
      <c r="H11864" t="s">
        <v>14201</v>
      </c>
      <c r="I11864" t="s">
        <v>32661</v>
      </c>
      <c r="J11864" t="s">
        <v>38385</v>
      </c>
      <c r="K11864" t="s">
        <v>42636</v>
      </c>
      <c r="M11864" t="s">
        <v>44103</v>
      </c>
      <c r="N11864" t="s">
        <v>47304</v>
      </c>
      <c r="O11864" t="s">
        <v>47305</v>
      </c>
      <c r="Q11864">
        <v>0</v>
      </c>
      <c r="R11864" t="s">
        <v>47317</v>
      </c>
      <c r="S11864" t="s">
        <v>47733</v>
      </c>
      <c r="T11864" t="s">
        <v>49107</v>
      </c>
      <c r="U11864" t="s">
        <v>59330</v>
      </c>
      <c r="W11864" t="s">
        <v>44103</v>
      </c>
      <c r="X11864" t="s">
        <v>47318</v>
      </c>
    </row>
    <row r="11865" spans="1:24">
      <c r="A11865">
        <f>HYPERLINK("https://www.philgeps.gov.ph/GEPSNONPILOT/Tender/SplashBidNoticeAbstractUI.aspx?menuIndex=3&amp;refID=7179772&amp;Result=3","7179772")</f>
        <v>0</v>
      </c>
      <c r="B11865" t="s">
        <v>3387</v>
      </c>
      <c r="C11865" t="s">
        <v>15071</v>
      </c>
      <c r="D11865" t="s">
        <v>19018</v>
      </c>
      <c r="E11865" t="s">
        <v>20432</v>
      </c>
      <c r="F11865" t="s">
        <v>32606</v>
      </c>
      <c r="G11865" t="s">
        <v>32613</v>
      </c>
      <c r="H11865" t="s">
        <v>14201</v>
      </c>
      <c r="I11865" t="s">
        <v>6931</v>
      </c>
      <c r="J11865" t="s">
        <v>40139</v>
      </c>
      <c r="K11865" t="s">
        <v>42623</v>
      </c>
      <c r="M11865" t="s">
        <v>46639</v>
      </c>
      <c r="N11865" t="s">
        <v>47304</v>
      </c>
      <c r="O11865" t="s">
        <v>47305</v>
      </c>
      <c r="P11865">
        <v>0</v>
      </c>
      <c r="Q11865">
        <v>0</v>
      </c>
      <c r="R11865" t="s">
        <v>47317</v>
      </c>
      <c r="S11865" t="s">
        <v>47712</v>
      </c>
      <c r="T11865" t="s">
        <v>49106</v>
      </c>
      <c r="U11865" t="s">
        <v>59331</v>
      </c>
      <c r="W11865" t="s">
        <v>46639</v>
      </c>
      <c r="X11865" t="s">
        <v>47318</v>
      </c>
    </row>
    <row r="11866" spans="1:24">
      <c r="A11866">
        <f>HYPERLINK("https://www.philgeps.gov.ph/GEPSNONPILOT/Tender/SplashBidNoticeAbstractUI.aspx?menuIndex=3&amp;refID=7179722&amp;Result=3","7179722")</f>
        <v>0</v>
      </c>
      <c r="B11866" t="s">
        <v>3011</v>
      </c>
      <c r="C11866" t="s">
        <v>15072</v>
      </c>
      <c r="D11866" t="s">
        <v>19015</v>
      </c>
      <c r="E11866" t="s">
        <v>27433</v>
      </c>
      <c r="F11866" t="s">
        <v>32606</v>
      </c>
      <c r="G11866" t="s">
        <v>32613</v>
      </c>
      <c r="H11866" t="s">
        <v>14201</v>
      </c>
      <c r="I11866" t="s">
        <v>6931</v>
      </c>
      <c r="J11866" t="s">
        <v>40140</v>
      </c>
      <c r="K11866" t="s">
        <v>42622</v>
      </c>
      <c r="M11866" t="s">
        <v>46201</v>
      </c>
      <c r="N11866" t="s">
        <v>47304</v>
      </c>
      <c r="O11866" t="s">
        <v>47305</v>
      </c>
      <c r="P11866">
        <v>0</v>
      </c>
      <c r="Q11866">
        <v>5</v>
      </c>
      <c r="R11866" t="s">
        <v>47317</v>
      </c>
      <c r="S11866" t="s">
        <v>47712</v>
      </c>
      <c r="T11866" t="s">
        <v>49112</v>
      </c>
      <c r="U11866" t="s">
        <v>59332</v>
      </c>
      <c r="W11866" t="s">
        <v>46201</v>
      </c>
      <c r="X11866" t="s">
        <v>47318</v>
      </c>
    </row>
    <row r="11867" spans="1:24">
      <c r="A11867">
        <f>HYPERLINK("https://www.philgeps.gov.ph/GEPSNONPILOT/Tender/SplashBidNoticeAbstractUI.aspx?menuIndex=3&amp;refID=7179698&amp;Result=3","7179698")</f>
        <v>0</v>
      </c>
      <c r="B11867" t="s">
        <v>2309</v>
      </c>
      <c r="C11867" t="s">
        <v>15073</v>
      </c>
      <c r="D11867" t="s">
        <v>19042</v>
      </c>
      <c r="E11867" t="s">
        <v>19687</v>
      </c>
      <c r="F11867" t="s">
        <v>32606</v>
      </c>
      <c r="G11867" t="s">
        <v>32613</v>
      </c>
      <c r="H11867" t="s">
        <v>14201</v>
      </c>
      <c r="I11867" t="s">
        <v>6931</v>
      </c>
      <c r="J11867" t="s">
        <v>40141</v>
      </c>
      <c r="K11867" t="s">
        <v>42631</v>
      </c>
      <c r="M11867" t="s">
        <v>45415</v>
      </c>
      <c r="N11867" t="s">
        <v>47304</v>
      </c>
      <c r="O11867" t="s">
        <v>47305</v>
      </c>
      <c r="P11867">
        <v>0</v>
      </c>
      <c r="Q11867">
        <v>0</v>
      </c>
      <c r="R11867" t="s">
        <v>47317</v>
      </c>
      <c r="S11867" t="s">
        <v>47712</v>
      </c>
      <c r="T11867" t="s">
        <v>48987</v>
      </c>
      <c r="U11867" t="s">
        <v>59333</v>
      </c>
      <c r="W11867" t="s">
        <v>45415</v>
      </c>
      <c r="X11867" t="s">
        <v>47318</v>
      </c>
    </row>
    <row r="11868" spans="1:24">
      <c r="A11868">
        <f>HYPERLINK("https://www.philgeps.gov.ph/GEPSNONPILOT/Tender/SplashBidNoticeAbstractUI.aspx?menuIndex=3&amp;refID=7179718&amp;Result=3","7179718")</f>
        <v>0</v>
      </c>
      <c r="B11868" t="s">
        <v>1644</v>
      </c>
      <c r="C11868" t="s">
        <v>15074</v>
      </c>
      <c r="D11868" t="s">
        <v>19022</v>
      </c>
      <c r="E11868" t="s">
        <v>29170</v>
      </c>
      <c r="F11868" t="s">
        <v>32606</v>
      </c>
      <c r="G11868" t="s">
        <v>32613</v>
      </c>
      <c r="H11868" t="s">
        <v>14201</v>
      </c>
      <c r="I11868" t="s">
        <v>4678</v>
      </c>
      <c r="J11868" t="s">
        <v>40142</v>
      </c>
      <c r="K11868" t="s">
        <v>42630</v>
      </c>
      <c r="M11868" t="s">
        <v>44665</v>
      </c>
      <c r="N11868" t="s">
        <v>47304</v>
      </c>
      <c r="O11868" t="s">
        <v>47305</v>
      </c>
      <c r="P11868">
        <v>0</v>
      </c>
      <c r="Q11868">
        <v>4</v>
      </c>
      <c r="R11868" t="s">
        <v>47317</v>
      </c>
      <c r="S11868" t="s">
        <v>47712</v>
      </c>
      <c r="T11868" t="s">
        <v>49071</v>
      </c>
      <c r="U11868" t="s">
        <v>59334</v>
      </c>
      <c r="W11868" t="s">
        <v>64478</v>
      </c>
      <c r="X11868" t="s">
        <v>47318</v>
      </c>
    </row>
    <row r="11869" spans="1:24">
      <c r="A11869">
        <f>HYPERLINK("https://www.philgeps.gov.ph/GEPSNONPILOT/Tender/SplashBidNoticeAbstractUI.aspx?menuIndex=3&amp;refID=7179578&amp;Result=3","7179578")</f>
        <v>0</v>
      </c>
      <c r="B11869" t="s">
        <v>3011</v>
      </c>
      <c r="C11869" t="s">
        <v>15075</v>
      </c>
      <c r="D11869" t="s">
        <v>19015</v>
      </c>
      <c r="E11869" t="s">
        <v>29171</v>
      </c>
      <c r="F11869" t="s">
        <v>32606</v>
      </c>
      <c r="G11869" t="s">
        <v>32613</v>
      </c>
      <c r="H11869" t="s">
        <v>14201</v>
      </c>
      <c r="I11869" t="s">
        <v>6931</v>
      </c>
      <c r="J11869" t="s">
        <v>40143</v>
      </c>
      <c r="K11869" t="s">
        <v>42622</v>
      </c>
      <c r="M11869" t="s">
        <v>46201</v>
      </c>
      <c r="N11869" t="s">
        <v>47304</v>
      </c>
      <c r="O11869" t="s">
        <v>47305</v>
      </c>
      <c r="P11869">
        <v>0</v>
      </c>
      <c r="Q11869">
        <v>4</v>
      </c>
      <c r="R11869" t="s">
        <v>47317</v>
      </c>
      <c r="S11869" t="s">
        <v>47712</v>
      </c>
      <c r="T11869" t="s">
        <v>49447</v>
      </c>
      <c r="U11869" t="s">
        <v>59335</v>
      </c>
      <c r="W11869" t="s">
        <v>46201</v>
      </c>
      <c r="X11869" t="s">
        <v>47318</v>
      </c>
    </row>
    <row r="11870" spans="1:24">
      <c r="A11870">
        <f>HYPERLINK("https://www.philgeps.gov.ph/GEPSNONPILOT/Tender/SplashBidNoticeAbstractUI.aspx?menuIndex=3&amp;refID=7179706&amp;Result=3","7179706")</f>
        <v>0</v>
      </c>
      <c r="B11870" t="s">
        <v>72</v>
      </c>
      <c r="C11870" t="s">
        <v>15076</v>
      </c>
      <c r="D11870" t="s">
        <v>19018</v>
      </c>
      <c r="E11870" t="s">
        <v>29172</v>
      </c>
      <c r="F11870" t="s">
        <v>32606</v>
      </c>
      <c r="G11870" t="s">
        <v>32613</v>
      </c>
      <c r="H11870" t="s">
        <v>32625</v>
      </c>
      <c r="I11870" t="s">
        <v>32625</v>
      </c>
      <c r="J11870" t="s">
        <v>40144</v>
      </c>
      <c r="K11870" t="s">
        <v>42643</v>
      </c>
      <c r="M11870" t="s">
        <v>45779</v>
      </c>
      <c r="N11870" t="s">
        <v>47304</v>
      </c>
      <c r="O11870" t="s">
        <v>47305</v>
      </c>
      <c r="P11870">
        <v>0</v>
      </c>
      <c r="Q11870">
        <v>2</v>
      </c>
      <c r="R11870" t="s">
        <v>47317</v>
      </c>
      <c r="S11870" t="s">
        <v>47712</v>
      </c>
      <c r="T11870" t="s">
        <v>49268</v>
      </c>
      <c r="U11870" t="s">
        <v>59336</v>
      </c>
      <c r="V11870" t="s">
        <v>63917</v>
      </c>
      <c r="W11870" t="s">
        <v>45779</v>
      </c>
      <c r="X11870" t="s">
        <v>47318</v>
      </c>
    </row>
    <row r="11871" spans="1:24">
      <c r="A11871">
        <f>HYPERLINK("https://www.philgeps.gov.ph/GEPSNONPILOT/Tender/SplashBidNoticeAbstractUI.aspx?menuIndex=3&amp;refID=7179684&amp;Result=3","7179684")</f>
        <v>0</v>
      </c>
      <c r="B11871" t="s">
        <v>1141</v>
      </c>
      <c r="C11871" t="s">
        <v>15077</v>
      </c>
      <c r="D11871" t="s">
        <v>18988</v>
      </c>
      <c r="E11871" t="s">
        <v>29169</v>
      </c>
      <c r="F11871" t="s">
        <v>32606</v>
      </c>
      <c r="G11871" t="s">
        <v>32613</v>
      </c>
      <c r="H11871" t="s">
        <v>14201</v>
      </c>
      <c r="I11871" t="s">
        <v>7064</v>
      </c>
      <c r="J11871" t="s">
        <v>33016</v>
      </c>
      <c r="K11871" t="s">
        <v>42631</v>
      </c>
      <c r="M11871" t="s">
        <v>44103</v>
      </c>
      <c r="N11871" t="s">
        <v>47304</v>
      </c>
      <c r="O11871" t="s">
        <v>47305</v>
      </c>
      <c r="Q11871">
        <v>3</v>
      </c>
      <c r="R11871" t="s">
        <v>47317</v>
      </c>
      <c r="S11871" t="s">
        <v>47734</v>
      </c>
      <c r="T11871" t="s">
        <v>49107</v>
      </c>
      <c r="U11871" t="s">
        <v>59337</v>
      </c>
      <c r="W11871" t="s">
        <v>44103</v>
      </c>
      <c r="X11871" t="s">
        <v>47318</v>
      </c>
    </row>
    <row r="11872" spans="1:24">
      <c r="A11872">
        <f>HYPERLINK("https://www.philgeps.gov.ph/GEPSNONPILOT/Tender/SplashBidNoticeAbstractUI.aspx?menuIndex=3&amp;refID=7179828&amp;Result=3","7179828")</f>
        <v>0</v>
      </c>
      <c r="B11872" t="s">
        <v>3385</v>
      </c>
      <c r="C11872" t="s">
        <v>15078</v>
      </c>
      <c r="D11872" t="s">
        <v>19011</v>
      </c>
      <c r="E11872" t="s">
        <v>29173</v>
      </c>
      <c r="F11872" t="s">
        <v>32606</v>
      </c>
      <c r="G11872" t="s">
        <v>32613</v>
      </c>
      <c r="H11872" t="s">
        <v>14201</v>
      </c>
      <c r="I11872" t="s">
        <v>32638</v>
      </c>
      <c r="J11872" t="s">
        <v>40145</v>
      </c>
      <c r="K11872" t="s">
        <v>42623</v>
      </c>
      <c r="M11872" t="s">
        <v>46637</v>
      </c>
      <c r="N11872" t="s">
        <v>47304</v>
      </c>
      <c r="O11872" t="s">
        <v>47305</v>
      </c>
      <c r="P11872">
        <v>0</v>
      </c>
      <c r="Q11872">
        <v>14</v>
      </c>
      <c r="R11872" t="s">
        <v>47317</v>
      </c>
      <c r="S11872" t="s">
        <v>47712</v>
      </c>
      <c r="T11872" t="s">
        <v>49099</v>
      </c>
      <c r="U11872" t="s">
        <v>59338</v>
      </c>
      <c r="W11872" t="s">
        <v>46637</v>
      </c>
      <c r="X11872" t="s">
        <v>47318</v>
      </c>
    </row>
    <row r="11873" spans="1:24">
      <c r="A11873">
        <f>HYPERLINK("https://www.philgeps.gov.ph/GEPSNONPILOT/Tender/SplashBidNoticeAbstractUI.aspx?menuIndex=3&amp;refID=7179691&amp;Result=3","7179691")</f>
        <v>0</v>
      </c>
      <c r="B11873" t="s">
        <v>3388</v>
      </c>
      <c r="C11873" t="s">
        <v>15079</v>
      </c>
      <c r="D11873" t="s">
        <v>19058</v>
      </c>
      <c r="E11873" t="s">
        <v>29174</v>
      </c>
      <c r="F11873" t="s">
        <v>32608</v>
      </c>
      <c r="G11873" t="s">
        <v>32613</v>
      </c>
      <c r="H11873" t="s">
        <v>14201</v>
      </c>
      <c r="I11873" t="s">
        <v>6478</v>
      </c>
      <c r="J11873" t="s">
        <v>32950</v>
      </c>
      <c r="K11873" t="s">
        <v>42646</v>
      </c>
      <c r="M11873" t="s">
        <v>46640</v>
      </c>
      <c r="N11873" t="s">
        <v>47304</v>
      </c>
      <c r="O11873" t="s">
        <v>47305</v>
      </c>
      <c r="P11873">
        <v>0</v>
      </c>
      <c r="Q11873">
        <v>10</v>
      </c>
      <c r="R11873" t="s">
        <v>47317</v>
      </c>
      <c r="S11873" t="s">
        <v>47712</v>
      </c>
      <c r="T11873" t="s">
        <v>49108</v>
      </c>
      <c r="U11873" t="s">
        <v>59339</v>
      </c>
      <c r="W11873" t="s">
        <v>46640</v>
      </c>
      <c r="X11873" t="s">
        <v>47318</v>
      </c>
    </row>
    <row r="11874" spans="1:24">
      <c r="A11874">
        <f>HYPERLINK("https://www.philgeps.gov.ph/GEPSNONPILOT/Tender/SplashBidNoticeAbstractUI.aspx?menuIndex=3&amp;refID=7180096&amp;Result=3","7180096")</f>
        <v>0</v>
      </c>
      <c r="B11874" t="s">
        <v>1578</v>
      </c>
      <c r="C11874" t="s">
        <v>15080</v>
      </c>
      <c r="D11874" t="s">
        <v>19036</v>
      </c>
      <c r="E11874" t="s">
        <v>29175</v>
      </c>
      <c r="F11874" t="s">
        <v>32606</v>
      </c>
      <c r="G11874" t="s">
        <v>32613</v>
      </c>
      <c r="H11874" t="s">
        <v>32623</v>
      </c>
      <c r="I11874" t="s">
        <v>17648</v>
      </c>
      <c r="J11874" t="s">
        <v>40146</v>
      </c>
      <c r="K11874" t="s">
        <v>42624</v>
      </c>
      <c r="M11874" t="s">
        <v>44590</v>
      </c>
      <c r="N11874" t="s">
        <v>47304</v>
      </c>
      <c r="O11874" t="s">
        <v>47305</v>
      </c>
      <c r="P11874">
        <v>0</v>
      </c>
      <c r="Q11874">
        <v>2</v>
      </c>
      <c r="R11874" t="s">
        <v>47317</v>
      </c>
      <c r="S11874" t="s">
        <v>47712</v>
      </c>
      <c r="T11874" t="s">
        <v>49050</v>
      </c>
      <c r="U11874" t="s">
        <v>59340</v>
      </c>
      <c r="V11874" t="s">
        <v>63057</v>
      </c>
      <c r="W11874" t="s">
        <v>44590</v>
      </c>
      <c r="X11874" t="s">
        <v>47318</v>
      </c>
    </row>
    <row r="11875" spans="1:24">
      <c r="A11875">
        <f>HYPERLINK("https://www.philgeps.gov.ph/GEPSNONPILOT/Tender/SplashBidNoticeAbstractUI.aspx?menuIndex=3&amp;refID=7179692&amp;Result=3","7179692")</f>
        <v>0</v>
      </c>
      <c r="B11875" t="s">
        <v>3363</v>
      </c>
      <c r="C11875" t="s">
        <v>15081</v>
      </c>
      <c r="E11875" t="s">
        <v>29176</v>
      </c>
      <c r="F11875" t="s">
        <v>32606</v>
      </c>
      <c r="G11875" t="s">
        <v>32613</v>
      </c>
      <c r="H11875" t="s">
        <v>14201</v>
      </c>
      <c r="I11875" t="s">
        <v>7064</v>
      </c>
      <c r="J11875" t="s">
        <v>32767</v>
      </c>
      <c r="K11875" t="s">
        <v>42631</v>
      </c>
      <c r="M11875" t="s">
        <v>46612</v>
      </c>
      <c r="N11875" t="s">
        <v>47304</v>
      </c>
      <c r="O11875" t="s">
        <v>47305</v>
      </c>
      <c r="P11875">
        <v>0</v>
      </c>
      <c r="Q11875">
        <v>9</v>
      </c>
      <c r="R11875" t="s">
        <v>47317</v>
      </c>
      <c r="S11875" t="s">
        <v>47712</v>
      </c>
      <c r="T11875" t="s">
        <v>49111</v>
      </c>
      <c r="U11875" t="s">
        <v>59341</v>
      </c>
      <c r="W11875" t="s">
        <v>46612</v>
      </c>
      <c r="X11875" t="s">
        <v>47318</v>
      </c>
    </row>
    <row r="11876" spans="1:24">
      <c r="A11876">
        <f>HYPERLINK("https://www.philgeps.gov.ph/GEPSNONPILOT/Tender/SplashBidNoticeAbstractUI.aspx?menuIndex=3&amp;refID=7180090&amp;Result=3","7180090")</f>
        <v>0</v>
      </c>
      <c r="B11876" t="s">
        <v>3389</v>
      </c>
      <c r="C11876" t="s">
        <v>15082</v>
      </c>
      <c r="D11876" t="s">
        <v>19050</v>
      </c>
      <c r="E11876" t="s">
        <v>29177</v>
      </c>
      <c r="F11876" t="s">
        <v>32606</v>
      </c>
      <c r="G11876" t="s">
        <v>32613</v>
      </c>
      <c r="H11876" t="s">
        <v>32623</v>
      </c>
      <c r="I11876" t="s">
        <v>17648</v>
      </c>
      <c r="J11876" t="s">
        <v>40147</v>
      </c>
      <c r="K11876" t="s">
        <v>42645</v>
      </c>
      <c r="M11876" t="s">
        <v>46641</v>
      </c>
      <c r="N11876" t="s">
        <v>47304</v>
      </c>
      <c r="O11876" t="s">
        <v>47305</v>
      </c>
      <c r="P11876">
        <v>0</v>
      </c>
      <c r="Q11876">
        <v>0</v>
      </c>
      <c r="R11876" t="s">
        <v>47317</v>
      </c>
      <c r="S11876" t="s">
        <v>47712</v>
      </c>
      <c r="T11876" t="s">
        <v>49066</v>
      </c>
      <c r="U11876" t="s">
        <v>59342</v>
      </c>
      <c r="W11876" t="s">
        <v>46641</v>
      </c>
      <c r="X11876" t="s">
        <v>47318</v>
      </c>
    </row>
    <row r="11877" spans="1:24">
      <c r="A11877">
        <f>HYPERLINK("https://www.philgeps.gov.ph/GEPSNONPILOT/Tender/SplashBidNoticeAbstractUI.aspx?menuIndex=3&amp;refID=7180074&amp;Result=3","7180074")</f>
        <v>0</v>
      </c>
      <c r="B11877" t="s">
        <v>1032</v>
      </c>
      <c r="C11877" t="s">
        <v>15083</v>
      </c>
      <c r="D11877" t="s">
        <v>18993</v>
      </c>
      <c r="E11877" t="s">
        <v>29178</v>
      </c>
      <c r="F11877" t="s">
        <v>32606</v>
      </c>
      <c r="G11877" t="s">
        <v>32613</v>
      </c>
      <c r="H11877" t="s">
        <v>14201</v>
      </c>
      <c r="I11877" t="s">
        <v>32637</v>
      </c>
      <c r="J11877" t="s">
        <v>40148</v>
      </c>
      <c r="K11877" t="s">
        <v>42636</v>
      </c>
      <c r="M11877" t="s">
        <v>43985</v>
      </c>
      <c r="N11877" t="s">
        <v>47304</v>
      </c>
      <c r="O11877" t="s">
        <v>47305</v>
      </c>
      <c r="P11877">
        <v>0</v>
      </c>
      <c r="Q11877">
        <v>21</v>
      </c>
      <c r="R11877" t="s">
        <v>47317</v>
      </c>
      <c r="S11877" t="s">
        <v>47712</v>
      </c>
      <c r="T11877" t="s">
        <v>49066</v>
      </c>
      <c r="U11877" t="s">
        <v>53483</v>
      </c>
      <c r="W11877" t="s">
        <v>43985</v>
      </c>
      <c r="X11877" t="s">
        <v>47318</v>
      </c>
    </row>
    <row r="11878" spans="1:24">
      <c r="A11878">
        <f>HYPERLINK("https://www.philgeps.gov.ph/GEPSNONPILOT/Tender/SplashBidNoticeAbstractUI.aspx?menuIndex=3&amp;refID=7180040&amp;Result=3","7180040")</f>
        <v>0</v>
      </c>
      <c r="B11878" t="s">
        <v>3390</v>
      </c>
      <c r="C11878" t="s">
        <v>15084</v>
      </c>
      <c r="D11878" t="s">
        <v>18991</v>
      </c>
      <c r="E11878" t="s">
        <v>20122</v>
      </c>
      <c r="F11878" t="s">
        <v>32606</v>
      </c>
      <c r="G11878" t="s">
        <v>32613</v>
      </c>
      <c r="H11878" t="s">
        <v>14201</v>
      </c>
      <c r="I11878" t="s">
        <v>32631</v>
      </c>
      <c r="J11878" t="s">
        <v>33103</v>
      </c>
      <c r="K11878" t="s">
        <v>42623</v>
      </c>
      <c r="M11878" t="s">
        <v>46642</v>
      </c>
      <c r="N11878" t="s">
        <v>47304</v>
      </c>
      <c r="O11878" t="s">
        <v>47305</v>
      </c>
      <c r="P11878">
        <v>0</v>
      </c>
      <c r="Q11878">
        <v>0</v>
      </c>
      <c r="R11878" t="s">
        <v>47317</v>
      </c>
      <c r="S11878" t="s">
        <v>47712</v>
      </c>
      <c r="T11878" t="s">
        <v>49100</v>
      </c>
      <c r="U11878" t="s">
        <v>59343</v>
      </c>
      <c r="W11878" t="s">
        <v>46642</v>
      </c>
      <c r="X11878" t="s">
        <v>47318</v>
      </c>
    </row>
    <row r="11879" spans="1:24">
      <c r="A11879">
        <f>HYPERLINK("https://www.philgeps.gov.ph/GEPSNONPILOT/Tender/SplashBidNoticeAbstractUI.aspx?menuIndex=3&amp;refID=7180034&amp;Result=3","7180034")</f>
        <v>0</v>
      </c>
      <c r="B11879" t="s">
        <v>2070</v>
      </c>
      <c r="C11879" t="s">
        <v>15085</v>
      </c>
      <c r="E11879" t="s">
        <v>29179</v>
      </c>
      <c r="F11879" t="s">
        <v>32606</v>
      </c>
      <c r="G11879" t="s">
        <v>32613</v>
      </c>
      <c r="H11879" t="s">
        <v>32623</v>
      </c>
      <c r="I11879" t="s">
        <v>17648</v>
      </c>
      <c r="J11879" t="s">
        <v>40149</v>
      </c>
      <c r="K11879" t="s">
        <v>42624</v>
      </c>
      <c r="M11879" t="s">
        <v>45150</v>
      </c>
      <c r="N11879" t="s">
        <v>47304</v>
      </c>
      <c r="O11879" t="s">
        <v>47305</v>
      </c>
      <c r="P11879">
        <v>0</v>
      </c>
      <c r="Q11879">
        <v>5</v>
      </c>
      <c r="R11879" t="s">
        <v>47317</v>
      </c>
      <c r="S11879" t="s">
        <v>47712</v>
      </c>
      <c r="T11879" t="s">
        <v>49037</v>
      </c>
      <c r="U11879" t="s">
        <v>59344</v>
      </c>
      <c r="V11879" t="s">
        <v>63918</v>
      </c>
      <c r="W11879" t="s">
        <v>45150</v>
      </c>
      <c r="X11879" t="s">
        <v>47318</v>
      </c>
    </row>
    <row r="11880" spans="1:24">
      <c r="A11880">
        <f>HYPERLINK("https://www.philgeps.gov.ph/GEPSNONPILOT/Tender/SplashBidNoticeAbstractUI.aspx?menuIndex=3&amp;refID=7180028&amp;Result=3","7180028")</f>
        <v>0</v>
      </c>
      <c r="B11880" t="s">
        <v>2070</v>
      </c>
      <c r="C11880" t="s">
        <v>15086</v>
      </c>
      <c r="E11880" t="s">
        <v>29180</v>
      </c>
      <c r="F11880" t="s">
        <v>32606</v>
      </c>
      <c r="G11880" t="s">
        <v>32613</v>
      </c>
      <c r="H11880" t="s">
        <v>32623</v>
      </c>
      <c r="I11880" t="s">
        <v>17648</v>
      </c>
      <c r="J11880" t="s">
        <v>40150</v>
      </c>
      <c r="K11880" t="s">
        <v>42624</v>
      </c>
      <c r="M11880" t="s">
        <v>45150</v>
      </c>
      <c r="N11880" t="s">
        <v>47304</v>
      </c>
      <c r="O11880" t="s">
        <v>47305</v>
      </c>
      <c r="P11880">
        <v>0</v>
      </c>
      <c r="Q11880">
        <v>4</v>
      </c>
      <c r="R11880" t="s">
        <v>47317</v>
      </c>
      <c r="S11880" t="s">
        <v>47712</v>
      </c>
      <c r="T11880" t="s">
        <v>49037</v>
      </c>
      <c r="U11880" t="s">
        <v>59344</v>
      </c>
      <c r="V11880" t="s">
        <v>63919</v>
      </c>
      <c r="W11880" t="s">
        <v>45150</v>
      </c>
      <c r="X11880" t="s">
        <v>47318</v>
      </c>
    </row>
    <row r="11881" spans="1:24">
      <c r="A11881">
        <f>HYPERLINK("https://www.philgeps.gov.ph/GEPSNONPILOT/Tender/SplashBidNoticeAbstractUI.aspx?menuIndex=3&amp;refID=7126093&amp;Result=3","7126093")</f>
        <v>0</v>
      </c>
      <c r="B11881" t="s">
        <v>3391</v>
      </c>
      <c r="C11881" t="s">
        <v>15087</v>
      </c>
      <c r="D11881" t="s">
        <v>19022</v>
      </c>
      <c r="E11881" t="s">
        <v>29181</v>
      </c>
      <c r="F11881" t="s">
        <v>32606</v>
      </c>
      <c r="G11881" t="s">
        <v>32613</v>
      </c>
      <c r="H11881" t="s">
        <v>14201</v>
      </c>
      <c r="I11881" t="s">
        <v>32661</v>
      </c>
      <c r="J11881" t="s">
        <v>40151</v>
      </c>
      <c r="K11881" t="s">
        <v>42623</v>
      </c>
      <c r="M11881" t="s">
        <v>46643</v>
      </c>
      <c r="N11881" t="s">
        <v>47304</v>
      </c>
      <c r="O11881" t="s">
        <v>47305</v>
      </c>
      <c r="Q11881">
        <v>5</v>
      </c>
      <c r="R11881" t="s">
        <v>47318</v>
      </c>
      <c r="S11881" t="s">
        <v>47735</v>
      </c>
      <c r="T11881" t="s">
        <v>49066</v>
      </c>
      <c r="U11881" t="s">
        <v>59345</v>
      </c>
      <c r="W11881" t="s">
        <v>46643</v>
      </c>
      <c r="X11881" t="s">
        <v>47340</v>
      </c>
    </row>
    <row r="11882" spans="1:24">
      <c r="A11882">
        <f>HYPERLINK("https://www.philgeps.gov.ph/GEPSNONPILOT/Tender/SplashBidNoticeAbstractUI.aspx?menuIndex=3&amp;refID=7179998&amp;Result=3","7179998")</f>
        <v>0</v>
      </c>
      <c r="B11882" t="s">
        <v>3392</v>
      </c>
      <c r="C11882" t="s">
        <v>15088</v>
      </c>
      <c r="D11882" t="s">
        <v>19016</v>
      </c>
      <c r="E11882" t="s">
        <v>29182</v>
      </c>
      <c r="F11882" t="s">
        <v>32608</v>
      </c>
      <c r="G11882" t="s">
        <v>32613</v>
      </c>
      <c r="H11882" t="s">
        <v>14201</v>
      </c>
      <c r="I11882" t="s">
        <v>32658</v>
      </c>
      <c r="J11882" t="s">
        <v>40152</v>
      </c>
      <c r="K11882" t="s">
        <v>42622</v>
      </c>
      <c r="M11882" t="s">
        <v>46644</v>
      </c>
      <c r="N11882" t="s">
        <v>47304</v>
      </c>
      <c r="O11882" t="s">
        <v>47305</v>
      </c>
      <c r="P11882">
        <v>0</v>
      </c>
      <c r="Q11882">
        <v>0</v>
      </c>
      <c r="R11882" t="s">
        <v>47317</v>
      </c>
      <c r="S11882" t="s">
        <v>47712</v>
      </c>
      <c r="T11882" t="s">
        <v>49100</v>
      </c>
      <c r="U11882" t="s">
        <v>59346</v>
      </c>
      <c r="V11882" t="s">
        <v>63920</v>
      </c>
      <c r="W11882" t="s">
        <v>46644</v>
      </c>
      <c r="X11882" t="s">
        <v>47318</v>
      </c>
    </row>
    <row r="11883" spans="1:24">
      <c r="A11883">
        <f>HYPERLINK("https://www.philgeps.gov.ph/GEPSNONPILOT/Tender/SplashBidNoticeAbstractUI.aspx?menuIndex=3&amp;refID=7179989&amp;Result=3","7179989")</f>
        <v>0</v>
      </c>
      <c r="B11883" t="s">
        <v>3393</v>
      </c>
      <c r="C11883" t="s">
        <v>15089</v>
      </c>
      <c r="D11883" t="s">
        <v>18993</v>
      </c>
      <c r="E11883" t="s">
        <v>29183</v>
      </c>
      <c r="F11883" t="s">
        <v>32607</v>
      </c>
      <c r="G11883" t="s">
        <v>32613</v>
      </c>
      <c r="H11883" t="s">
        <v>14201</v>
      </c>
      <c r="I11883" t="s">
        <v>6298</v>
      </c>
      <c r="J11883" t="s">
        <v>32789</v>
      </c>
      <c r="K11883" t="s">
        <v>42631</v>
      </c>
      <c r="M11883" t="s">
        <v>46645</v>
      </c>
      <c r="N11883" t="s">
        <v>47304</v>
      </c>
      <c r="O11883" t="s">
        <v>47305</v>
      </c>
      <c r="P11883">
        <v>0</v>
      </c>
      <c r="Q11883">
        <v>3</v>
      </c>
      <c r="R11883" t="s">
        <v>47317</v>
      </c>
      <c r="S11883" t="s">
        <v>47712</v>
      </c>
      <c r="T11883" t="s">
        <v>48972</v>
      </c>
      <c r="U11883" t="s">
        <v>59347</v>
      </c>
      <c r="V11883" t="s">
        <v>63921</v>
      </c>
      <c r="W11883" t="s">
        <v>46645</v>
      </c>
      <c r="X11883" t="s">
        <v>47318</v>
      </c>
    </row>
    <row r="11884" spans="1:24">
      <c r="A11884">
        <f>HYPERLINK("https://www.philgeps.gov.ph/GEPSNONPILOT/Tender/SplashBidNoticeAbstractUI.aspx?menuIndex=3&amp;refID=7179760&amp;Result=3","7179760")</f>
        <v>0</v>
      </c>
      <c r="B11884" t="s">
        <v>3383</v>
      </c>
      <c r="C11884" t="s">
        <v>15090</v>
      </c>
      <c r="D11884" t="s">
        <v>18992</v>
      </c>
      <c r="E11884" t="s">
        <v>29184</v>
      </c>
      <c r="F11884" t="s">
        <v>32606</v>
      </c>
      <c r="G11884" t="s">
        <v>32613</v>
      </c>
      <c r="H11884" t="s">
        <v>14201</v>
      </c>
      <c r="I11884" t="s">
        <v>7064</v>
      </c>
      <c r="J11884" t="s">
        <v>32767</v>
      </c>
      <c r="K11884" t="s">
        <v>42631</v>
      </c>
      <c r="L11884" t="s">
        <v>3383</v>
      </c>
      <c r="M11884" t="s">
        <v>46634</v>
      </c>
      <c r="N11884" t="s">
        <v>47304</v>
      </c>
      <c r="O11884" t="s">
        <v>47305</v>
      </c>
      <c r="P11884">
        <v>0</v>
      </c>
      <c r="Q11884">
        <v>4</v>
      </c>
      <c r="R11884" t="s">
        <v>47317</v>
      </c>
      <c r="S11884" t="s">
        <v>47712</v>
      </c>
      <c r="T11884" t="s">
        <v>49037</v>
      </c>
      <c r="U11884" t="s">
        <v>59348</v>
      </c>
      <c r="V11884" t="s">
        <v>51703</v>
      </c>
      <c r="W11884" t="s">
        <v>46634</v>
      </c>
      <c r="X11884" t="s">
        <v>47318</v>
      </c>
    </row>
    <row r="11885" spans="1:24">
      <c r="A11885">
        <f>HYPERLINK("https://www.philgeps.gov.ph/GEPSNONPILOT/Tender/SplashBidNoticeAbstractUI.aspx?menuIndex=3&amp;refID=7180078&amp;Result=3","7180078")</f>
        <v>0</v>
      </c>
      <c r="B11885" t="s">
        <v>819</v>
      </c>
      <c r="C11885" t="s">
        <v>8811</v>
      </c>
      <c r="D11885" t="s">
        <v>19028</v>
      </c>
      <c r="E11885" t="s">
        <v>29185</v>
      </c>
      <c r="F11885" t="s">
        <v>32606</v>
      </c>
      <c r="G11885" t="s">
        <v>32619</v>
      </c>
      <c r="H11885" t="s">
        <v>14201</v>
      </c>
      <c r="I11885" t="s">
        <v>4120</v>
      </c>
      <c r="J11885" t="s">
        <v>34179</v>
      </c>
      <c r="K11885" t="s">
        <v>42630</v>
      </c>
      <c r="M11885" t="s">
        <v>44692</v>
      </c>
      <c r="N11885" t="s">
        <v>47304</v>
      </c>
      <c r="O11885" t="s">
        <v>47305</v>
      </c>
      <c r="P11885">
        <v>0</v>
      </c>
      <c r="Q11885">
        <v>3</v>
      </c>
      <c r="R11885" t="s">
        <v>47317</v>
      </c>
      <c r="S11885" t="s">
        <v>47712</v>
      </c>
      <c r="T11885" t="s">
        <v>49268</v>
      </c>
      <c r="U11885" t="s">
        <v>59349</v>
      </c>
      <c r="W11885" t="s">
        <v>44692</v>
      </c>
      <c r="X11885" t="s">
        <v>47318</v>
      </c>
    </row>
    <row r="11886" spans="1:24">
      <c r="A11886">
        <f>HYPERLINK("https://www.philgeps.gov.ph/GEPSNONPILOT/Tender/SplashBidNoticeAbstractUI.aspx?menuIndex=3&amp;refID=7132052-2&amp;Result=3","7132052-2")</f>
        <v>0</v>
      </c>
      <c r="B11886" t="s">
        <v>577</v>
      </c>
      <c r="C11886" t="s">
        <v>15091</v>
      </c>
      <c r="D11886" t="s">
        <v>18993</v>
      </c>
      <c r="E11886" t="s">
        <v>29186</v>
      </c>
      <c r="F11886" t="s">
        <v>32606</v>
      </c>
      <c r="G11886" t="s">
        <v>32613</v>
      </c>
      <c r="H11886" t="s">
        <v>32625</v>
      </c>
      <c r="I11886" t="s">
        <v>32625</v>
      </c>
      <c r="J11886" t="s">
        <v>40153</v>
      </c>
      <c r="K11886" t="s">
        <v>42646</v>
      </c>
      <c r="M11886" t="s">
        <v>46646</v>
      </c>
      <c r="N11886" t="s">
        <v>47304</v>
      </c>
      <c r="O11886" t="s">
        <v>47305</v>
      </c>
      <c r="P11886">
        <v>0</v>
      </c>
      <c r="Q11886">
        <v>2</v>
      </c>
      <c r="R11886" t="s">
        <v>47318</v>
      </c>
      <c r="S11886" t="s">
        <v>47736</v>
      </c>
      <c r="T11886" t="s">
        <v>49234</v>
      </c>
      <c r="U11886" t="s">
        <v>59350</v>
      </c>
      <c r="V11886" t="s">
        <v>63922</v>
      </c>
      <c r="W11886" t="s">
        <v>46646</v>
      </c>
      <c r="X11886" t="s">
        <v>47319</v>
      </c>
    </row>
    <row r="11887" spans="1:24">
      <c r="A11887">
        <f>HYPERLINK("https://www.philgeps.gov.ph/GEPSNONPILOT/Tender/SplashBidNoticeAbstractUI.aspx?menuIndex=3&amp;refID=7179682&amp;Result=3","7179682")</f>
        <v>0</v>
      </c>
      <c r="B11887" t="s">
        <v>3382</v>
      </c>
      <c r="C11887" t="s">
        <v>15092</v>
      </c>
      <c r="D11887" t="s">
        <v>18991</v>
      </c>
      <c r="E11887" t="s">
        <v>29187</v>
      </c>
      <c r="F11887" t="s">
        <v>32606</v>
      </c>
      <c r="G11887" t="s">
        <v>32618</v>
      </c>
      <c r="H11887" t="s">
        <v>32625</v>
      </c>
      <c r="I11887" t="s">
        <v>32652</v>
      </c>
      <c r="J11887" t="s">
        <v>34118</v>
      </c>
      <c r="K11887" t="s">
        <v>42751</v>
      </c>
      <c r="M11887" t="s">
        <v>46633</v>
      </c>
      <c r="N11887" t="s">
        <v>47304</v>
      </c>
      <c r="O11887" t="s">
        <v>47305</v>
      </c>
      <c r="P11887">
        <v>0</v>
      </c>
      <c r="Q11887">
        <v>1</v>
      </c>
      <c r="R11887" t="s">
        <v>47317</v>
      </c>
      <c r="S11887" t="s">
        <v>47712</v>
      </c>
      <c r="T11887" t="s">
        <v>49351</v>
      </c>
      <c r="U11887" t="s">
        <v>59351</v>
      </c>
      <c r="W11887" t="s">
        <v>46633</v>
      </c>
      <c r="X11887" t="s">
        <v>47318</v>
      </c>
    </row>
    <row r="11888" spans="1:24">
      <c r="A11888">
        <f>HYPERLINK("https://www.philgeps.gov.ph/GEPSNONPILOT/Tender/SplashBidNoticeAbstractUI.aspx?menuIndex=3&amp;refID=7180007&amp;Result=3","7180007")</f>
        <v>0</v>
      </c>
      <c r="B11888" t="s">
        <v>3393</v>
      </c>
      <c r="C11888" t="s">
        <v>15093</v>
      </c>
      <c r="D11888" t="s">
        <v>18993</v>
      </c>
      <c r="E11888" t="s">
        <v>29188</v>
      </c>
      <c r="F11888" t="s">
        <v>32607</v>
      </c>
      <c r="G11888" t="s">
        <v>32613</v>
      </c>
      <c r="H11888" t="s">
        <v>14201</v>
      </c>
      <c r="I11888" t="s">
        <v>6298</v>
      </c>
      <c r="J11888" t="s">
        <v>33274</v>
      </c>
      <c r="K11888" t="s">
        <v>42631</v>
      </c>
      <c r="M11888" t="s">
        <v>46645</v>
      </c>
      <c r="N11888" t="s">
        <v>47304</v>
      </c>
      <c r="O11888" t="s">
        <v>47305</v>
      </c>
      <c r="P11888">
        <v>0</v>
      </c>
      <c r="Q11888">
        <v>4</v>
      </c>
      <c r="R11888" t="s">
        <v>47317</v>
      </c>
      <c r="S11888" t="s">
        <v>47712</v>
      </c>
      <c r="T11888" t="s">
        <v>48972</v>
      </c>
      <c r="U11888" t="s">
        <v>59352</v>
      </c>
      <c r="V11888" t="s">
        <v>63921</v>
      </c>
      <c r="W11888" t="s">
        <v>46645</v>
      </c>
      <c r="X11888" t="s">
        <v>47318</v>
      </c>
    </row>
    <row r="11889" spans="1:24">
      <c r="A11889">
        <f>HYPERLINK("https://www.philgeps.gov.ph/GEPSNONPILOT/Tender/SplashBidNoticeAbstractUI.aspx?menuIndex=3&amp;refID=7179967&amp;Result=3","7179967")</f>
        <v>0</v>
      </c>
      <c r="B11889" t="s">
        <v>3393</v>
      </c>
      <c r="C11889" t="s">
        <v>9431</v>
      </c>
      <c r="D11889" t="s">
        <v>18993</v>
      </c>
      <c r="E11889" t="s">
        <v>29189</v>
      </c>
      <c r="F11889" t="s">
        <v>32607</v>
      </c>
      <c r="G11889" t="s">
        <v>32613</v>
      </c>
      <c r="H11889" t="s">
        <v>14201</v>
      </c>
      <c r="I11889" t="s">
        <v>4112</v>
      </c>
      <c r="J11889" t="s">
        <v>33009</v>
      </c>
      <c r="K11889" t="s">
        <v>42631</v>
      </c>
      <c r="M11889" t="s">
        <v>46645</v>
      </c>
      <c r="N11889" t="s">
        <v>47304</v>
      </c>
      <c r="O11889" t="s">
        <v>47305</v>
      </c>
      <c r="P11889">
        <v>0</v>
      </c>
      <c r="Q11889">
        <v>3</v>
      </c>
      <c r="R11889" t="s">
        <v>47317</v>
      </c>
      <c r="S11889" t="s">
        <v>47712</v>
      </c>
      <c r="T11889" t="s">
        <v>48972</v>
      </c>
      <c r="U11889" t="s">
        <v>59353</v>
      </c>
      <c r="V11889" t="s">
        <v>63921</v>
      </c>
      <c r="W11889" t="s">
        <v>46645</v>
      </c>
      <c r="X11889" t="s">
        <v>47318</v>
      </c>
    </row>
    <row r="11890" spans="1:24">
      <c r="A11890">
        <f>HYPERLINK("https://www.philgeps.gov.ph/GEPSNONPILOT/Tender/SplashBidNoticeAbstractUI.aspx?menuIndex=3&amp;refID=7150737&amp;Result=3","7150737")</f>
        <v>0</v>
      </c>
      <c r="B11890" t="s">
        <v>3394</v>
      </c>
      <c r="C11890" t="s">
        <v>15094</v>
      </c>
      <c r="E11890" t="s">
        <v>29190</v>
      </c>
      <c r="F11890" t="s">
        <v>32606</v>
      </c>
      <c r="G11890" t="s">
        <v>32619</v>
      </c>
      <c r="H11890" t="s">
        <v>14201</v>
      </c>
      <c r="I11890" t="s">
        <v>6993</v>
      </c>
      <c r="J11890" t="s">
        <v>40154</v>
      </c>
      <c r="K11890" t="s">
        <v>42624</v>
      </c>
      <c r="M11890" t="s">
        <v>46647</v>
      </c>
      <c r="N11890" t="s">
        <v>47304</v>
      </c>
      <c r="O11890" t="s">
        <v>47305</v>
      </c>
      <c r="P11890">
        <v>0</v>
      </c>
      <c r="Q11890">
        <v>0</v>
      </c>
      <c r="R11890" t="s">
        <v>47318</v>
      </c>
      <c r="S11890" t="s">
        <v>47736</v>
      </c>
      <c r="T11890" t="s">
        <v>49004</v>
      </c>
      <c r="U11890" t="s">
        <v>59354</v>
      </c>
      <c r="V11890" t="s">
        <v>63923</v>
      </c>
      <c r="W11890" t="s">
        <v>46647</v>
      </c>
      <c r="X11890" t="s">
        <v>47329</v>
      </c>
    </row>
    <row r="11891" spans="1:24">
      <c r="A11891">
        <f>HYPERLINK("https://www.philgeps.gov.ph/GEPSNONPILOT/Tender/SplashBidNoticeAbstractUI.aspx?menuIndex=3&amp;refID=7151147&amp;Result=3","7151147")</f>
        <v>0</v>
      </c>
      <c r="B11891" t="s">
        <v>3394</v>
      </c>
      <c r="C11891" t="s">
        <v>15095</v>
      </c>
      <c r="E11891" t="s">
        <v>29191</v>
      </c>
      <c r="F11891" t="s">
        <v>32606</v>
      </c>
      <c r="G11891" t="s">
        <v>32613</v>
      </c>
      <c r="H11891" t="s">
        <v>14201</v>
      </c>
      <c r="I11891" t="s">
        <v>4678</v>
      </c>
      <c r="J11891" t="s">
        <v>40155</v>
      </c>
      <c r="K11891" t="s">
        <v>42624</v>
      </c>
      <c r="M11891" t="s">
        <v>46647</v>
      </c>
      <c r="N11891" t="s">
        <v>47304</v>
      </c>
      <c r="O11891" t="s">
        <v>47305</v>
      </c>
      <c r="P11891">
        <v>0</v>
      </c>
      <c r="Q11891">
        <v>3</v>
      </c>
      <c r="R11891" t="s">
        <v>47318</v>
      </c>
      <c r="S11891" t="s">
        <v>47736</v>
      </c>
      <c r="T11891" t="s">
        <v>49004</v>
      </c>
      <c r="U11891" t="s">
        <v>59355</v>
      </c>
      <c r="V11891" t="s">
        <v>63923</v>
      </c>
      <c r="W11891" t="s">
        <v>46647</v>
      </c>
      <c r="X11891" t="s">
        <v>47329</v>
      </c>
    </row>
    <row r="11892" spans="1:24">
      <c r="A11892">
        <f>HYPERLINK("https://www.philgeps.gov.ph/GEPSNONPILOT/Tender/SplashBidNoticeAbstractUI.aspx?menuIndex=3&amp;refID=7150664&amp;Result=3","7150664")</f>
        <v>0</v>
      </c>
      <c r="B11892" t="s">
        <v>3394</v>
      </c>
      <c r="C11892" t="s">
        <v>15096</v>
      </c>
      <c r="E11892" t="s">
        <v>29192</v>
      </c>
      <c r="F11892" t="s">
        <v>32606</v>
      </c>
      <c r="G11892" t="s">
        <v>32619</v>
      </c>
      <c r="H11892" t="s">
        <v>14201</v>
      </c>
      <c r="I11892" t="s">
        <v>6993</v>
      </c>
      <c r="J11892" t="s">
        <v>40156</v>
      </c>
      <c r="K11892" t="s">
        <v>42624</v>
      </c>
      <c r="M11892" t="s">
        <v>46647</v>
      </c>
      <c r="N11892" t="s">
        <v>47304</v>
      </c>
      <c r="O11892" t="s">
        <v>47305</v>
      </c>
      <c r="P11892">
        <v>0</v>
      </c>
      <c r="Q11892">
        <v>0</v>
      </c>
      <c r="R11892" t="s">
        <v>47318</v>
      </c>
      <c r="S11892" t="s">
        <v>47736</v>
      </c>
      <c r="T11892" t="s">
        <v>49004</v>
      </c>
      <c r="U11892" t="s">
        <v>59356</v>
      </c>
      <c r="V11892" t="s">
        <v>63923</v>
      </c>
      <c r="W11892" t="s">
        <v>46647</v>
      </c>
      <c r="X11892" t="s">
        <v>47329</v>
      </c>
    </row>
    <row r="11893" spans="1:24">
      <c r="A11893">
        <f>HYPERLINK("https://www.philgeps.gov.ph/GEPSNONPILOT/Tender/SplashBidNoticeAbstractUI.aspx?menuIndex=3&amp;refID=7150539&amp;Result=3","7150539")</f>
        <v>0</v>
      </c>
      <c r="B11893" t="s">
        <v>3394</v>
      </c>
      <c r="C11893" t="s">
        <v>15097</v>
      </c>
      <c r="E11893" t="s">
        <v>29193</v>
      </c>
      <c r="F11893" t="s">
        <v>32606</v>
      </c>
      <c r="G11893" t="s">
        <v>32619</v>
      </c>
      <c r="H11893" t="s">
        <v>14201</v>
      </c>
      <c r="I11893" t="s">
        <v>6993</v>
      </c>
      <c r="J11893" t="s">
        <v>40157</v>
      </c>
      <c r="K11893" t="s">
        <v>42624</v>
      </c>
      <c r="M11893" t="s">
        <v>46647</v>
      </c>
      <c r="N11893" t="s">
        <v>47304</v>
      </c>
      <c r="O11893" t="s">
        <v>47305</v>
      </c>
      <c r="P11893">
        <v>0</v>
      </c>
      <c r="Q11893">
        <v>0</v>
      </c>
      <c r="R11893" t="s">
        <v>47318</v>
      </c>
      <c r="S11893" t="s">
        <v>47736</v>
      </c>
      <c r="T11893" t="s">
        <v>49004</v>
      </c>
      <c r="U11893" t="s">
        <v>59357</v>
      </c>
      <c r="V11893" t="s">
        <v>63923</v>
      </c>
      <c r="W11893" t="s">
        <v>46647</v>
      </c>
      <c r="X11893" t="s">
        <v>47329</v>
      </c>
    </row>
    <row r="11894" spans="1:24">
      <c r="A11894">
        <f>HYPERLINK("https://www.philgeps.gov.ph/GEPSNONPILOT/Tender/SplashBidNoticeAbstractUI.aspx?menuIndex=3&amp;refID=7149934&amp;Result=3","7149934")</f>
        <v>0</v>
      </c>
      <c r="B11894" t="s">
        <v>3394</v>
      </c>
      <c r="C11894" t="s">
        <v>15098</v>
      </c>
      <c r="E11894" t="s">
        <v>29194</v>
      </c>
      <c r="F11894" t="s">
        <v>32606</v>
      </c>
      <c r="G11894" t="s">
        <v>32619</v>
      </c>
      <c r="H11894" t="s">
        <v>14201</v>
      </c>
      <c r="I11894" t="s">
        <v>4678</v>
      </c>
      <c r="J11894" t="s">
        <v>33257</v>
      </c>
      <c r="K11894" t="s">
        <v>42624</v>
      </c>
      <c r="M11894" t="s">
        <v>46647</v>
      </c>
      <c r="N11894" t="s">
        <v>47304</v>
      </c>
      <c r="O11894" t="s">
        <v>47305</v>
      </c>
      <c r="P11894">
        <v>0</v>
      </c>
      <c r="Q11894">
        <v>1</v>
      </c>
      <c r="R11894" t="s">
        <v>47318</v>
      </c>
      <c r="S11894" t="s">
        <v>47736</v>
      </c>
      <c r="T11894" t="s">
        <v>49004</v>
      </c>
      <c r="U11894" t="s">
        <v>59358</v>
      </c>
      <c r="V11894" t="s">
        <v>63923</v>
      </c>
      <c r="W11894" t="s">
        <v>46647</v>
      </c>
      <c r="X11894" t="s">
        <v>47329</v>
      </c>
    </row>
    <row r="11895" spans="1:24">
      <c r="A11895">
        <f>HYPERLINK("https://www.philgeps.gov.ph/GEPSNONPILOT/Tender/SplashBidNoticeAbstractUI.aspx?menuIndex=3&amp;refID=7149887&amp;Result=3","7149887")</f>
        <v>0</v>
      </c>
      <c r="B11895" t="s">
        <v>3394</v>
      </c>
      <c r="C11895" t="s">
        <v>15099</v>
      </c>
      <c r="E11895" t="s">
        <v>29195</v>
      </c>
      <c r="F11895" t="s">
        <v>32606</v>
      </c>
      <c r="G11895" t="s">
        <v>32619</v>
      </c>
      <c r="H11895" t="s">
        <v>14201</v>
      </c>
      <c r="I11895" t="s">
        <v>4120</v>
      </c>
      <c r="J11895" t="s">
        <v>40158</v>
      </c>
      <c r="K11895" t="s">
        <v>42624</v>
      </c>
      <c r="M11895" t="s">
        <v>46647</v>
      </c>
      <c r="N11895" t="s">
        <v>47304</v>
      </c>
      <c r="O11895" t="s">
        <v>47305</v>
      </c>
      <c r="P11895">
        <v>0</v>
      </c>
      <c r="Q11895">
        <v>1</v>
      </c>
      <c r="R11895" t="s">
        <v>47318</v>
      </c>
      <c r="S11895" t="s">
        <v>47736</v>
      </c>
      <c r="T11895" t="s">
        <v>49004</v>
      </c>
      <c r="U11895" t="s">
        <v>59359</v>
      </c>
      <c r="V11895" t="s">
        <v>63923</v>
      </c>
      <c r="W11895" t="s">
        <v>46647</v>
      </c>
      <c r="X11895" t="s">
        <v>47329</v>
      </c>
    </row>
    <row r="11896" spans="1:24">
      <c r="A11896">
        <f>HYPERLINK("https://www.philgeps.gov.ph/GEPSNONPILOT/Tender/SplashBidNoticeAbstractUI.aspx?menuIndex=3&amp;refID=7149829&amp;Result=3","7149829")</f>
        <v>0</v>
      </c>
      <c r="B11896" t="s">
        <v>3394</v>
      </c>
      <c r="C11896" t="s">
        <v>15100</v>
      </c>
      <c r="E11896" t="s">
        <v>29196</v>
      </c>
      <c r="F11896" t="s">
        <v>32606</v>
      </c>
      <c r="G11896" t="s">
        <v>32613</v>
      </c>
      <c r="H11896" t="s">
        <v>14201</v>
      </c>
      <c r="I11896" t="s">
        <v>4678</v>
      </c>
      <c r="J11896" t="s">
        <v>40159</v>
      </c>
      <c r="K11896" t="s">
        <v>42624</v>
      </c>
      <c r="M11896" t="s">
        <v>46647</v>
      </c>
      <c r="N11896" t="s">
        <v>47304</v>
      </c>
      <c r="O11896" t="s">
        <v>47305</v>
      </c>
      <c r="P11896">
        <v>0</v>
      </c>
      <c r="Q11896">
        <v>1</v>
      </c>
      <c r="R11896" t="s">
        <v>47318</v>
      </c>
      <c r="S11896" t="s">
        <v>47736</v>
      </c>
      <c r="T11896" t="s">
        <v>49004</v>
      </c>
      <c r="U11896" t="s">
        <v>59360</v>
      </c>
      <c r="V11896" t="s">
        <v>63923</v>
      </c>
      <c r="W11896" t="s">
        <v>46647</v>
      </c>
      <c r="X11896" t="s">
        <v>47329</v>
      </c>
    </row>
    <row r="11897" spans="1:24">
      <c r="A11897">
        <f>HYPERLINK("https://www.philgeps.gov.ph/GEPSNONPILOT/Tender/SplashBidNoticeAbstractUI.aspx?menuIndex=3&amp;refID=7150779&amp;Result=3","7150779")</f>
        <v>0</v>
      </c>
      <c r="B11897" t="s">
        <v>3394</v>
      </c>
      <c r="C11897" t="s">
        <v>15101</v>
      </c>
      <c r="E11897" t="s">
        <v>29197</v>
      </c>
      <c r="F11897" t="s">
        <v>32606</v>
      </c>
      <c r="G11897" t="s">
        <v>32619</v>
      </c>
      <c r="H11897" t="s">
        <v>14201</v>
      </c>
      <c r="I11897" t="s">
        <v>32637</v>
      </c>
      <c r="J11897" t="s">
        <v>32957</v>
      </c>
      <c r="K11897" t="s">
        <v>42624</v>
      </c>
      <c r="M11897" t="s">
        <v>46647</v>
      </c>
      <c r="N11897" t="s">
        <v>47304</v>
      </c>
      <c r="O11897" t="s">
        <v>47305</v>
      </c>
      <c r="P11897">
        <v>0</v>
      </c>
      <c r="Q11897">
        <v>1</v>
      </c>
      <c r="R11897" t="s">
        <v>47318</v>
      </c>
      <c r="S11897" t="s">
        <v>47736</v>
      </c>
      <c r="T11897" t="s">
        <v>49004</v>
      </c>
      <c r="U11897" t="s">
        <v>59361</v>
      </c>
      <c r="V11897" t="s">
        <v>63923</v>
      </c>
      <c r="W11897" t="s">
        <v>46647</v>
      </c>
      <c r="X11897" t="s">
        <v>47329</v>
      </c>
    </row>
    <row r="11898" spans="1:24">
      <c r="A11898">
        <f>HYPERLINK("https://www.philgeps.gov.ph/GEPSNONPILOT/Tender/SplashBidNoticeAbstractUI.aspx?menuIndex=3&amp;refID=7149715&amp;Result=3","7149715")</f>
        <v>0</v>
      </c>
      <c r="B11898" t="s">
        <v>3394</v>
      </c>
      <c r="C11898" t="s">
        <v>15102</v>
      </c>
      <c r="E11898" t="s">
        <v>29198</v>
      </c>
      <c r="F11898" t="s">
        <v>32606</v>
      </c>
      <c r="G11898" t="s">
        <v>32619</v>
      </c>
      <c r="H11898" t="s">
        <v>14201</v>
      </c>
      <c r="I11898" t="s">
        <v>32631</v>
      </c>
      <c r="J11898" t="s">
        <v>40160</v>
      </c>
      <c r="K11898" t="s">
        <v>42624</v>
      </c>
      <c r="M11898" t="s">
        <v>46647</v>
      </c>
      <c r="N11898" t="s">
        <v>47304</v>
      </c>
      <c r="O11898" t="s">
        <v>47305</v>
      </c>
      <c r="P11898">
        <v>0</v>
      </c>
      <c r="Q11898">
        <v>0</v>
      </c>
      <c r="R11898" t="s">
        <v>47318</v>
      </c>
      <c r="S11898" t="s">
        <v>47736</v>
      </c>
      <c r="T11898" t="s">
        <v>49004</v>
      </c>
      <c r="U11898" t="s">
        <v>59362</v>
      </c>
      <c r="V11898" t="s">
        <v>63923</v>
      </c>
      <c r="W11898" t="s">
        <v>46647</v>
      </c>
      <c r="X11898" t="s">
        <v>47329</v>
      </c>
    </row>
    <row r="11899" spans="1:24">
      <c r="A11899">
        <f>HYPERLINK("https://www.philgeps.gov.ph/GEPSNONPILOT/Tender/SplashBidNoticeAbstractUI.aspx?menuIndex=3&amp;refID=6001470&amp;Result=3","6001470")</f>
        <v>0</v>
      </c>
      <c r="B11899" t="s">
        <v>3395</v>
      </c>
      <c r="C11899" t="s">
        <v>15103</v>
      </c>
      <c r="D11899" t="s">
        <v>19051</v>
      </c>
      <c r="E11899" t="s">
        <v>29199</v>
      </c>
      <c r="F11899" t="s">
        <v>32608</v>
      </c>
      <c r="G11899" t="s">
        <v>32613</v>
      </c>
      <c r="H11899" t="s">
        <v>14201</v>
      </c>
      <c r="I11899" t="s">
        <v>6931</v>
      </c>
      <c r="J11899" t="s">
        <v>40161</v>
      </c>
      <c r="K11899" t="s">
        <v>42631</v>
      </c>
      <c r="L11899" t="s">
        <v>3395</v>
      </c>
      <c r="M11899" t="s">
        <v>46648</v>
      </c>
      <c r="N11899" t="s">
        <v>47304</v>
      </c>
      <c r="O11899" t="s">
        <v>47305</v>
      </c>
      <c r="P11899">
        <v>0</v>
      </c>
      <c r="Q11899">
        <v>0</v>
      </c>
      <c r="R11899" t="s">
        <v>47318</v>
      </c>
      <c r="S11899" t="s">
        <v>47736</v>
      </c>
      <c r="T11899" t="s">
        <v>48996</v>
      </c>
      <c r="U11899" t="s">
        <v>59363</v>
      </c>
      <c r="W11899" t="s">
        <v>46648</v>
      </c>
      <c r="X11899" t="s">
        <v>64573</v>
      </c>
    </row>
    <row r="11900" spans="1:24">
      <c r="A11900">
        <f>HYPERLINK("https://www.philgeps.gov.ph/GEPSNONPILOT/Tender/SplashBidNoticeAbstractUI.aspx?menuIndex=3&amp;refID=7151114&amp;Result=3","7151114")</f>
        <v>0</v>
      </c>
      <c r="B11900" t="s">
        <v>3394</v>
      </c>
      <c r="C11900" t="s">
        <v>15104</v>
      </c>
      <c r="E11900" t="s">
        <v>29200</v>
      </c>
      <c r="F11900" t="s">
        <v>32606</v>
      </c>
      <c r="G11900" t="s">
        <v>32619</v>
      </c>
      <c r="H11900" t="s">
        <v>14201</v>
      </c>
      <c r="I11900" t="s">
        <v>6993</v>
      </c>
      <c r="J11900" t="s">
        <v>32957</v>
      </c>
      <c r="K11900" t="s">
        <v>42624</v>
      </c>
      <c r="M11900" t="s">
        <v>46647</v>
      </c>
      <c r="N11900" t="s">
        <v>47304</v>
      </c>
      <c r="O11900" t="s">
        <v>47305</v>
      </c>
      <c r="P11900">
        <v>0</v>
      </c>
      <c r="Q11900">
        <v>0</v>
      </c>
      <c r="R11900" t="s">
        <v>47318</v>
      </c>
      <c r="S11900" t="s">
        <v>47736</v>
      </c>
      <c r="T11900" t="s">
        <v>49004</v>
      </c>
      <c r="U11900" t="s">
        <v>59364</v>
      </c>
      <c r="V11900" t="s">
        <v>63923</v>
      </c>
      <c r="W11900" t="s">
        <v>46647</v>
      </c>
      <c r="X11900" t="s">
        <v>47329</v>
      </c>
    </row>
    <row r="11901" spans="1:24">
      <c r="A11901">
        <f>HYPERLINK("https://www.philgeps.gov.ph/GEPSNONPILOT/Tender/SplashBidNoticeAbstractUI.aspx?menuIndex=3&amp;refID=7149647&amp;Result=3","7149647")</f>
        <v>0</v>
      </c>
      <c r="B11901" t="s">
        <v>3394</v>
      </c>
      <c r="C11901" t="s">
        <v>15105</v>
      </c>
      <c r="E11901" t="s">
        <v>29201</v>
      </c>
      <c r="F11901" t="s">
        <v>32606</v>
      </c>
      <c r="G11901" t="s">
        <v>32613</v>
      </c>
      <c r="H11901" t="s">
        <v>14201</v>
      </c>
      <c r="I11901" t="s">
        <v>4114</v>
      </c>
      <c r="J11901" t="s">
        <v>40162</v>
      </c>
      <c r="K11901" t="s">
        <v>42624</v>
      </c>
      <c r="M11901" t="s">
        <v>46647</v>
      </c>
      <c r="N11901" t="s">
        <v>47304</v>
      </c>
      <c r="O11901" t="s">
        <v>47305</v>
      </c>
      <c r="P11901">
        <v>0</v>
      </c>
      <c r="Q11901">
        <v>3</v>
      </c>
      <c r="R11901" t="s">
        <v>47318</v>
      </c>
      <c r="S11901" t="s">
        <v>47736</v>
      </c>
      <c r="T11901" t="s">
        <v>49004</v>
      </c>
      <c r="U11901" t="s">
        <v>59365</v>
      </c>
      <c r="V11901" t="s">
        <v>63923</v>
      </c>
      <c r="W11901" t="s">
        <v>46647</v>
      </c>
      <c r="X11901" t="s">
        <v>47329</v>
      </c>
    </row>
    <row r="11902" spans="1:24">
      <c r="A11902">
        <f>HYPERLINK("https://www.philgeps.gov.ph/GEPSNONPILOT/Tender/SplashBidNoticeAbstractUI.aspx?menuIndex=3&amp;refID=7179568&amp;Result=3","7179568")</f>
        <v>0</v>
      </c>
      <c r="B11902" t="s">
        <v>1644</v>
      </c>
      <c r="C11902" t="s">
        <v>15106</v>
      </c>
      <c r="D11902" t="s">
        <v>19022</v>
      </c>
      <c r="E11902" t="s">
        <v>29202</v>
      </c>
      <c r="F11902" t="s">
        <v>32606</v>
      </c>
      <c r="G11902" t="s">
        <v>32613</v>
      </c>
      <c r="H11902" t="s">
        <v>14201</v>
      </c>
      <c r="I11902" t="s">
        <v>32655</v>
      </c>
      <c r="J11902" t="s">
        <v>40163</v>
      </c>
      <c r="K11902" t="s">
        <v>42630</v>
      </c>
      <c r="M11902" t="s">
        <v>44665</v>
      </c>
      <c r="N11902" t="s">
        <v>47304</v>
      </c>
      <c r="O11902" t="s">
        <v>47305</v>
      </c>
      <c r="Q11902">
        <v>15</v>
      </c>
      <c r="R11902" t="s">
        <v>47317</v>
      </c>
      <c r="S11902" t="s">
        <v>47737</v>
      </c>
      <c r="T11902" t="s">
        <v>49268</v>
      </c>
      <c r="U11902" t="s">
        <v>59334</v>
      </c>
      <c r="W11902" t="s">
        <v>64478</v>
      </c>
      <c r="X11902" t="s">
        <v>47318</v>
      </c>
    </row>
    <row r="11903" spans="1:24">
      <c r="A11903">
        <f>HYPERLINK("https://www.philgeps.gov.ph/GEPSNONPILOT/Tender/SplashBidNoticeAbstractUI.aspx?menuIndex=3&amp;refID=7179976&amp;Result=3","7179976")</f>
        <v>0</v>
      </c>
      <c r="B11903" t="s">
        <v>3396</v>
      </c>
      <c r="C11903" t="s">
        <v>15107</v>
      </c>
      <c r="D11903" t="s">
        <v>18995</v>
      </c>
      <c r="E11903" t="s">
        <v>19380</v>
      </c>
      <c r="F11903" t="s">
        <v>32606</v>
      </c>
      <c r="G11903" t="s">
        <v>32613</v>
      </c>
      <c r="H11903" t="s">
        <v>32623</v>
      </c>
      <c r="I11903" t="s">
        <v>17648</v>
      </c>
      <c r="J11903" t="s">
        <v>40164</v>
      </c>
      <c r="K11903" t="s">
        <v>42631</v>
      </c>
      <c r="M11903" t="s">
        <v>46649</v>
      </c>
      <c r="N11903" t="s">
        <v>47304</v>
      </c>
      <c r="O11903" t="s">
        <v>47305</v>
      </c>
      <c r="P11903">
        <v>0</v>
      </c>
      <c r="Q11903">
        <v>1</v>
      </c>
      <c r="R11903" t="s">
        <v>47317</v>
      </c>
      <c r="S11903" t="s">
        <v>47712</v>
      </c>
      <c r="T11903" t="s">
        <v>49268</v>
      </c>
      <c r="U11903" t="s">
        <v>59366</v>
      </c>
      <c r="W11903" t="s">
        <v>46649</v>
      </c>
      <c r="X11903" t="s">
        <v>47318</v>
      </c>
    </row>
    <row r="11904" spans="1:24">
      <c r="A11904">
        <f>HYPERLINK("https://www.philgeps.gov.ph/GEPSNONPILOT/Tender/SplashBidNoticeAbstractUI.aspx?menuIndex=3&amp;refID=7149518&amp;Result=3","7149518")</f>
        <v>0</v>
      </c>
      <c r="B11904" t="s">
        <v>3394</v>
      </c>
      <c r="C11904" t="s">
        <v>15108</v>
      </c>
      <c r="E11904" t="s">
        <v>29203</v>
      </c>
      <c r="F11904" t="s">
        <v>32606</v>
      </c>
      <c r="G11904" t="s">
        <v>32613</v>
      </c>
      <c r="H11904" t="s">
        <v>14201</v>
      </c>
      <c r="I11904" t="s">
        <v>4114</v>
      </c>
      <c r="J11904" t="s">
        <v>40165</v>
      </c>
      <c r="K11904" t="s">
        <v>42624</v>
      </c>
      <c r="M11904" t="s">
        <v>46647</v>
      </c>
      <c r="N11904" t="s">
        <v>47304</v>
      </c>
      <c r="O11904" t="s">
        <v>47305</v>
      </c>
      <c r="P11904">
        <v>0</v>
      </c>
      <c r="Q11904">
        <v>2</v>
      </c>
      <c r="R11904" t="s">
        <v>47318</v>
      </c>
      <c r="S11904" t="s">
        <v>47736</v>
      </c>
      <c r="T11904" t="s">
        <v>49004</v>
      </c>
      <c r="U11904" t="s">
        <v>59367</v>
      </c>
      <c r="V11904" t="s">
        <v>63924</v>
      </c>
      <c r="W11904" t="s">
        <v>46647</v>
      </c>
      <c r="X11904" t="s">
        <v>47329</v>
      </c>
    </row>
    <row r="11905" spans="1:24">
      <c r="A11905">
        <f>HYPERLINK("https://www.philgeps.gov.ph/GEPSNONPILOT/Tender/SplashBidNoticeAbstractUI.aspx?menuIndex=3&amp;refID=7148724&amp;Result=3","7148724")</f>
        <v>0</v>
      </c>
      <c r="B11905" t="s">
        <v>3397</v>
      </c>
      <c r="C11905" t="s">
        <v>15109</v>
      </c>
      <c r="D11905" t="s">
        <v>19015</v>
      </c>
      <c r="E11905" t="s">
        <v>19809</v>
      </c>
      <c r="F11905" t="s">
        <v>32606</v>
      </c>
      <c r="G11905" t="s">
        <v>32613</v>
      </c>
      <c r="H11905" t="s">
        <v>14201</v>
      </c>
      <c r="I11905" t="s">
        <v>6931</v>
      </c>
      <c r="J11905" t="s">
        <v>40166</v>
      </c>
      <c r="K11905" t="s">
        <v>42631</v>
      </c>
      <c r="M11905" t="s">
        <v>46650</v>
      </c>
      <c r="N11905" t="s">
        <v>47304</v>
      </c>
      <c r="O11905" t="s">
        <v>47305</v>
      </c>
      <c r="P11905">
        <v>0</v>
      </c>
      <c r="Q11905">
        <v>4</v>
      </c>
      <c r="R11905" t="s">
        <v>47318</v>
      </c>
      <c r="S11905" t="s">
        <v>47736</v>
      </c>
      <c r="T11905" t="s">
        <v>49132</v>
      </c>
      <c r="U11905" t="s">
        <v>59368</v>
      </c>
      <c r="W11905" t="s">
        <v>46650</v>
      </c>
      <c r="X11905" t="s">
        <v>47331</v>
      </c>
    </row>
    <row r="11906" spans="1:24">
      <c r="A11906">
        <f>HYPERLINK("https://www.philgeps.gov.ph/GEPSNONPILOT/Tender/SplashBidNoticeAbstractUI.aspx?menuIndex=3&amp;refID=7148719&amp;Result=3","7148719")</f>
        <v>0</v>
      </c>
      <c r="B11906" t="s">
        <v>3397</v>
      </c>
      <c r="C11906" t="s">
        <v>15110</v>
      </c>
      <c r="D11906" t="s">
        <v>19015</v>
      </c>
      <c r="E11906" t="s">
        <v>19315</v>
      </c>
      <c r="F11906" t="s">
        <v>32606</v>
      </c>
      <c r="G11906" t="s">
        <v>32613</v>
      </c>
      <c r="H11906" t="s">
        <v>14201</v>
      </c>
      <c r="I11906" t="s">
        <v>6931</v>
      </c>
      <c r="J11906" t="s">
        <v>40167</v>
      </c>
      <c r="K11906" t="s">
        <v>42631</v>
      </c>
      <c r="M11906" t="s">
        <v>46650</v>
      </c>
      <c r="N11906" t="s">
        <v>47304</v>
      </c>
      <c r="O11906" t="s">
        <v>47305</v>
      </c>
      <c r="P11906">
        <v>0</v>
      </c>
      <c r="Q11906">
        <v>5</v>
      </c>
      <c r="R11906" t="s">
        <v>47318</v>
      </c>
      <c r="S11906" t="s">
        <v>47736</v>
      </c>
      <c r="T11906" t="s">
        <v>49132</v>
      </c>
      <c r="U11906" t="s">
        <v>59369</v>
      </c>
      <c r="W11906" t="s">
        <v>46650</v>
      </c>
      <c r="X11906" t="s">
        <v>47331</v>
      </c>
    </row>
    <row r="11907" spans="1:24">
      <c r="A11907">
        <f>HYPERLINK("https://www.philgeps.gov.ph/GEPSNONPILOT/Tender/SplashBidNoticeAbstractUI.aspx?menuIndex=3&amp;refID=7152988&amp;Result=3","7152988")</f>
        <v>0</v>
      </c>
      <c r="B11907" t="s">
        <v>3394</v>
      </c>
      <c r="C11907" t="s">
        <v>15111</v>
      </c>
      <c r="E11907" t="s">
        <v>29204</v>
      </c>
      <c r="F11907" t="s">
        <v>32606</v>
      </c>
      <c r="G11907" t="s">
        <v>32619</v>
      </c>
      <c r="H11907" t="s">
        <v>14201</v>
      </c>
      <c r="I11907" t="s">
        <v>32631</v>
      </c>
      <c r="J11907" t="s">
        <v>40168</v>
      </c>
      <c r="K11907" t="s">
        <v>42624</v>
      </c>
      <c r="M11907" t="s">
        <v>46647</v>
      </c>
      <c r="N11907" t="s">
        <v>47304</v>
      </c>
      <c r="O11907" t="s">
        <v>47305</v>
      </c>
      <c r="P11907">
        <v>0</v>
      </c>
      <c r="Q11907">
        <v>0</v>
      </c>
      <c r="R11907" t="s">
        <v>47318</v>
      </c>
      <c r="S11907" t="s">
        <v>47736</v>
      </c>
      <c r="T11907" t="s">
        <v>49004</v>
      </c>
      <c r="U11907" t="s">
        <v>59370</v>
      </c>
      <c r="V11907" t="s">
        <v>63923</v>
      </c>
      <c r="W11907" t="s">
        <v>46647</v>
      </c>
      <c r="X11907" t="s">
        <v>47328</v>
      </c>
    </row>
    <row r="11908" spans="1:24">
      <c r="A11908">
        <f>HYPERLINK("https://www.philgeps.gov.ph/GEPSNONPILOT/Tender/SplashBidNoticeAbstractUI.aspx?menuIndex=3&amp;refID=7149782&amp;Result=3","7149782")</f>
        <v>0</v>
      </c>
      <c r="B11908" t="s">
        <v>3394</v>
      </c>
      <c r="C11908" t="s">
        <v>15112</v>
      </c>
      <c r="E11908" t="s">
        <v>29205</v>
      </c>
      <c r="F11908" t="s">
        <v>32606</v>
      </c>
      <c r="G11908" t="s">
        <v>32619</v>
      </c>
      <c r="H11908" t="s">
        <v>14201</v>
      </c>
      <c r="I11908" t="s">
        <v>4114</v>
      </c>
      <c r="J11908" t="s">
        <v>40169</v>
      </c>
      <c r="K11908" t="s">
        <v>42624</v>
      </c>
      <c r="M11908" t="s">
        <v>46647</v>
      </c>
      <c r="N11908" t="s">
        <v>47304</v>
      </c>
      <c r="O11908" t="s">
        <v>47305</v>
      </c>
      <c r="P11908">
        <v>0</v>
      </c>
      <c r="Q11908">
        <v>1</v>
      </c>
      <c r="R11908" t="s">
        <v>47318</v>
      </c>
      <c r="S11908" t="s">
        <v>47736</v>
      </c>
      <c r="T11908" t="s">
        <v>49004</v>
      </c>
      <c r="U11908" t="s">
        <v>59371</v>
      </c>
      <c r="V11908" t="s">
        <v>63923</v>
      </c>
      <c r="W11908" t="s">
        <v>46647</v>
      </c>
      <c r="X11908" t="s">
        <v>47329</v>
      </c>
    </row>
    <row r="11909" spans="1:24">
      <c r="A11909">
        <f>HYPERLINK("https://www.philgeps.gov.ph/GEPSNONPILOT/Tender/SplashBidNoticeAbstractUI.aspx?menuIndex=3&amp;refID=7149681&amp;Result=3","7149681")</f>
        <v>0</v>
      </c>
      <c r="B11909" t="s">
        <v>3394</v>
      </c>
      <c r="C11909" t="s">
        <v>15113</v>
      </c>
      <c r="E11909" t="s">
        <v>29206</v>
      </c>
      <c r="F11909" t="s">
        <v>32606</v>
      </c>
      <c r="G11909" t="s">
        <v>32613</v>
      </c>
      <c r="H11909" t="s">
        <v>14201</v>
      </c>
      <c r="I11909" t="s">
        <v>4678</v>
      </c>
      <c r="J11909" t="s">
        <v>40170</v>
      </c>
      <c r="K11909" t="s">
        <v>42624</v>
      </c>
      <c r="M11909" t="s">
        <v>46647</v>
      </c>
      <c r="N11909" t="s">
        <v>47304</v>
      </c>
      <c r="O11909" t="s">
        <v>47305</v>
      </c>
      <c r="P11909">
        <v>0</v>
      </c>
      <c r="Q11909">
        <v>2</v>
      </c>
      <c r="R11909" t="s">
        <v>47318</v>
      </c>
      <c r="S11909" t="s">
        <v>47736</v>
      </c>
      <c r="T11909" t="s">
        <v>49004</v>
      </c>
      <c r="U11909" t="s">
        <v>59372</v>
      </c>
      <c r="V11909" t="s">
        <v>63923</v>
      </c>
      <c r="W11909" t="s">
        <v>46647</v>
      </c>
      <c r="X11909" t="s">
        <v>47329</v>
      </c>
    </row>
    <row r="11910" spans="1:24">
      <c r="A11910">
        <f>HYPERLINK("https://www.philgeps.gov.ph/GEPSNONPILOT/Tender/SplashBidNoticeAbstractUI.aspx?menuIndex=3&amp;refID=7162975&amp;Result=3","7162975")</f>
        <v>0</v>
      </c>
      <c r="B11910" t="s">
        <v>3394</v>
      </c>
      <c r="C11910" t="s">
        <v>15114</v>
      </c>
      <c r="E11910" t="s">
        <v>29207</v>
      </c>
      <c r="F11910" t="s">
        <v>32606</v>
      </c>
      <c r="G11910" t="s">
        <v>32613</v>
      </c>
      <c r="H11910" t="s">
        <v>14201</v>
      </c>
      <c r="I11910" t="s">
        <v>32629</v>
      </c>
      <c r="J11910" t="s">
        <v>40171</v>
      </c>
      <c r="K11910" t="s">
        <v>42624</v>
      </c>
      <c r="M11910" t="s">
        <v>46647</v>
      </c>
      <c r="N11910" t="s">
        <v>47304</v>
      </c>
      <c r="O11910" t="s">
        <v>47305</v>
      </c>
      <c r="P11910">
        <v>0</v>
      </c>
      <c r="Q11910">
        <v>0</v>
      </c>
      <c r="R11910" t="s">
        <v>47318</v>
      </c>
      <c r="S11910" t="s">
        <v>47736</v>
      </c>
      <c r="T11910" t="s">
        <v>49004</v>
      </c>
      <c r="U11910" t="s">
        <v>59373</v>
      </c>
      <c r="V11910" t="s">
        <v>63923</v>
      </c>
      <c r="W11910" t="s">
        <v>46647</v>
      </c>
      <c r="X11910" t="s">
        <v>47325</v>
      </c>
    </row>
    <row r="11911" spans="1:24">
      <c r="A11911">
        <f>HYPERLINK("https://www.philgeps.gov.ph/GEPSNONPILOT/Tender/SplashBidNoticeAbstractUI.aspx?menuIndex=3&amp;refID=7160539&amp;Result=3","7160539")</f>
        <v>0</v>
      </c>
      <c r="B11911" t="s">
        <v>3394</v>
      </c>
      <c r="C11911" t="s">
        <v>15115</v>
      </c>
      <c r="E11911" t="s">
        <v>29208</v>
      </c>
      <c r="F11911" t="s">
        <v>32606</v>
      </c>
      <c r="G11911" t="s">
        <v>32619</v>
      </c>
      <c r="H11911" t="s">
        <v>14201</v>
      </c>
      <c r="I11911" t="s">
        <v>6007</v>
      </c>
      <c r="J11911" t="s">
        <v>33830</v>
      </c>
      <c r="K11911" t="s">
        <v>42624</v>
      </c>
      <c r="M11911" t="s">
        <v>46647</v>
      </c>
      <c r="N11911" t="s">
        <v>47304</v>
      </c>
      <c r="O11911" t="s">
        <v>47305</v>
      </c>
      <c r="P11911">
        <v>0</v>
      </c>
      <c r="Q11911">
        <v>0</v>
      </c>
      <c r="R11911" t="s">
        <v>47318</v>
      </c>
      <c r="S11911" t="s">
        <v>47736</v>
      </c>
      <c r="T11911" t="s">
        <v>49004</v>
      </c>
      <c r="U11911" t="s">
        <v>59374</v>
      </c>
      <c r="V11911" t="s">
        <v>63923</v>
      </c>
      <c r="W11911" t="s">
        <v>46647</v>
      </c>
      <c r="X11911" t="s">
        <v>47326</v>
      </c>
    </row>
    <row r="11912" spans="1:24">
      <c r="A11912">
        <f>HYPERLINK("https://www.philgeps.gov.ph/GEPSNONPILOT/Tender/SplashBidNoticeAbstractUI.aspx?menuIndex=3&amp;refID=7162992&amp;Result=3","7162992")</f>
        <v>0</v>
      </c>
      <c r="B11912" t="s">
        <v>3394</v>
      </c>
      <c r="C11912" t="s">
        <v>15116</v>
      </c>
      <c r="E11912" t="s">
        <v>29209</v>
      </c>
      <c r="F11912" t="s">
        <v>32606</v>
      </c>
      <c r="G11912" t="s">
        <v>32619</v>
      </c>
      <c r="H11912" t="s">
        <v>14201</v>
      </c>
      <c r="I11912" t="s">
        <v>4120</v>
      </c>
      <c r="J11912" t="s">
        <v>40172</v>
      </c>
      <c r="K11912" t="s">
        <v>42624</v>
      </c>
      <c r="M11912" t="s">
        <v>46647</v>
      </c>
      <c r="N11912" t="s">
        <v>47304</v>
      </c>
      <c r="O11912" t="s">
        <v>47305</v>
      </c>
      <c r="P11912">
        <v>0</v>
      </c>
      <c r="Q11912">
        <v>0</v>
      </c>
      <c r="R11912" t="s">
        <v>47318</v>
      </c>
      <c r="S11912" t="s">
        <v>47736</v>
      </c>
      <c r="T11912" t="s">
        <v>49004</v>
      </c>
      <c r="U11912" t="s">
        <v>59375</v>
      </c>
      <c r="V11912" t="s">
        <v>63923</v>
      </c>
      <c r="W11912" t="s">
        <v>46647</v>
      </c>
      <c r="X11912" t="s">
        <v>47325</v>
      </c>
    </row>
    <row r="11913" spans="1:24">
      <c r="A11913">
        <f>HYPERLINK("https://www.philgeps.gov.ph/GEPSNONPILOT/Tender/SplashBidNoticeAbstractUI.aspx?menuIndex=3&amp;refID=7160465&amp;Result=3","7160465")</f>
        <v>0</v>
      </c>
      <c r="B11913" t="s">
        <v>3394</v>
      </c>
      <c r="C11913" t="s">
        <v>15117</v>
      </c>
      <c r="E11913" t="s">
        <v>29210</v>
      </c>
      <c r="F11913" t="s">
        <v>32606</v>
      </c>
      <c r="G11913" t="s">
        <v>32619</v>
      </c>
      <c r="H11913" t="s">
        <v>14201</v>
      </c>
      <c r="I11913" t="s">
        <v>4120</v>
      </c>
      <c r="J11913" t="s">
        <v>40173</v>
      </c>
      <c r="K11913" t="s">
        <v>42624</v>
      </c>
      <c r="M11913" t="s">
        <v>46647</v>
      </c>
      <c r="N11913" t="s">
        <v>47304</v>
      </c>
      <c r="O11913" t="s">
        <v>47305</v>
      </c>
      <c r="P11913">
        <v>0</v>
      </c>
      <c r="Q11913">
        <v>0</v>
      </c>
      <c r="R11913" t="s">
        <v>47318</v>
      </c>
      <c r="S11913" t="s">
        <v>47736</v>
      </c>
      <c r="T11913" t="s">
        <v>49004</v>
      </c>
      <c r="U11913" t="s">
        <v>59376</v>
      </c>
      <c r="W11913" t="s">
        <v>46647</v>
      </c>
      <c r="X11913" t="s">
        <v>47326</v>
      </c>
    </row>
    <row r="11914" spans="1:24">
      <c r="A11914">
        <f>HYPERLINK("https://www.philgeps.gov.ph/GEPSNONPILOT/Tender/SplashBidNoticeAbstractUI.aspx?menuIndex=3&amp;refID=7160258&amp;Result=3","7160258")</f>
        <v>0</v>
      </c>
      <c r="B11914" t="s">
        <v>3394</v>
      </c>
      <c r="C11914" t="s">
        <v>15118</v>
      </c>
      <c r="E11914" t="s">
        <v>29211</v>
      </c>
      <c r="F11914" t="s">
        <v>32606</v>
      </c>
      <c r="G11914" t="s">
        <v>32619</v>
      </c>
      <c r="H11914" t="s">
        <v>14201</v>
      </c>
      <c r="I11914" t="s">
        <v>32631</v>
      </c>
      <c r="J11914" t="s">
        <v>40174</v>
      </c>
      <c r="K11914" t="s">
        <v>42624</v>
      </c>
      <c r="M11914" t="s">
        <v>46647</v>
      </c>
      <c r="N11914" t="s">
        <v>47304</v>
      </c>
      <c r="O11914" t="s">
        <v>47305</v>
      </c>
      <c r="P11914">
        <v>0</v>
      </c>
      <c r="Q11914">
        <v>0</v>
      </c>
      <c r="R11914" t="s">
        <v>47318</v>
      </c>
      <c r="S11914" t="s">
        <v>47736</v>
      </c>
      <c r="T11914" t="s">
        <v>49004</v>
      </c>
      <c r="U11914" t="s">
        <v>59377</v>
      </c>
      <c r="V11914" t="s">
        <v>63923</v>
      </c>
      <c r="W11914" t="s">
        <v>46647</v>
      </c>
      <c r="X11914" t="s">
        <v>47326</v>
      </c>
    </row>
    <row r="11915" spans="1:24">
      <c r="A11915">
        <f>HYPERLINK("https://www.philgeps.gov.ph/GEPSNONPILOT/Tender/SplashBidNoticeAbstractUI.aspx?menuIndex=3&amp;refID=7162953&amp;Result=3","7162953")</f>
        <v>0</v>
      </c>
      <c r="B11915" t="s">
        <v>3394</v>
      </c>
      <c r="C11915" t="s">
        <v>15119</v>
      </c>
      <c r="E11915" t="s">
        <v>29212</v>
      </c>
      <c r="F11915" t="s">
        <v>32606</v>
      </c>
      <c r="G11915" t="s">
        <v>32619</v>
      </c>
      <c r="H11915" t="s">
        <v>14201</v>
      </c>
      <c r="I11915" t="s">
        <v>32629</v>
      </c>
      <c r="J11915" t="s">
        <v>40175</v>
      </c>
      <c r="K11915" t="s">
        <v>42624</v>
      </c>
      <c r="M11915" t="s">
        <v>46647</v>
      </c>
      <c r="N11915" t="s">
        <v>47304</v>
      </c>
      <c r="O11915" t="s">
        <v>47305</v>
      </c>
      <c r="P11915">
        <v>0</v>
      </c>
      <c r="Q11915">
        <v>0</v>
      </c>
      <c r="R11915" t="s">
        <v>47318</v>
      </c>
      <c r="S11915" t="s">
        <v>47736</v>
      </c>
      <c r="T11915" t="s">
        <v>49004</v>
      </c>
      <c r="U11915" t="s">
        <v>59378</v>
      </c>
      <c r="V11915" t="s">
        <v>63923</v>
      </c>
      <c r="W11915" t="s">
        <v>46647</v>
      </c>
      <c r="X11915" t="s">
        <v>47325</v>
      </c>
    </row>
    <row r="11916" spans="1:24">
      <c r="A11916">
        <f>HYPERLINK("https://www.philgeps.gov.ph/GEPSNONPILOT/Tender/SplashBidNoticeAbstractUI.aspx?menuIndex=3&amp;refID=7159055&amp;Result=3","7159055")</f>
        <v>0</v>
      </c>
      <c r="B11916" t="s">
        <v>2794</v>
      </c>
      <c r="C11916" t="s">
        <v>15120</v>
      </c>
      <c r="D11916" t="s">
        <v>18989</v>
      </c>
      <c r="E11916" t="s">
        <v>29213</v>
      </c>
      <c r="F11916" t="s">
        <v>32606</v>
      </c>
      <c r="G11916" t="s">
        <v>32613</v>
      </c>
      <c r="H11916" t="s">
        <v>32623</v>
      </c>
      <c r="I11916" t="s">
        <v>17648</v>
      </c>
      <c r="J11916" t="s">
        <v>40176</v>
      </c>
      <c r="K11916" t="s">
        <v>42624</v>
      </c>
      <c r="M11916" t="s">
        <v>45956</v>
      </c>
      <c r="N11916" t="s">
        <v>47304</v>
      </c>
      <c r="O11916" t="s">
        <v>47305</v>
      </c>
      <c r="P11916">
        <v>0</v>
      </c>
      <c r="Q11916">
        <v>2</v>
      </c>
      <c r="R11916" t="s">
        <v>47318</v>
      </c>
      <c r="S11916" t="s">
        <v>47736</v>
      </c>
      <c r="T11916" t="s">
        <v>49101</v>
      </c>
      <c r="U11916" t="s">
        <v>59379</v>
      </c>
      <c r="W11916" t="s">
        <v>45956</v>
      </c>
      <c r="X11916" t="s">
        <v>47326</v>
      </c>
    </row>
    <row r="11917" spans="1:24">
      <c r="A11917">
        <f>HYPERLINK("https://www.philgeps.gov.ph/GEPSNONPILOT/Tender/SplashBidNoticeAbstractUI.aspx?menuIndex=3&amp;refID=7149974&amp;Result=3","7149974")</f>
        <v>0</v>
      </c>
      <c r="B11917" t="s">
        <v>3394</v>
      </c>
      <c r="C11917" t="s">
        <v>15121</v>
      </c>
      <c r="E11917" t="s">
        <v>29214</v>
      </c>
      <c r="F11917" t="s">
        <v>32606</v>
      </c>
      <c r="G11917" t="s">
        <v>32613</v>
      </c>
      <c r="H11917" t="s">
        <v>14201</v>
      </c>
      <c r="I11917" t="s">
        <v>9013</v>
      </c>
      <c r="J11917" t="s">
        <v>40177</v>
      </c>
      <c r="K11917" t="s">
        <v>42624</v>
      </c>
      <c r="M11917" t="s">
        <v>46647</v>
      </c>
      <c r="N11917" t="s">
        <v>47304</v>
      </c>
      <c r="O11917" t="s">
        <v>47305</v>
      </c>
      <c r="P11917">
        <v>0</v>
      </c>
      <c r="Q11917">
        <v>0</v>
      </c>
      <c r="R11917" t="s">
        <v>47318</v>
      </c>
      <c r="S11917" t="s">
        <v>47736</v>
      </c>
      <c r="T11917" t="s">
        <v>49004</v>
      </c>
      <c r="U11917" t="s">
        <v>59380</v>
      </c>
      <c r="V11917" t="s">
        <v>63923</v>
      </c>
      <c r="W11917" t="s">
        <v>46647</v>
      </c>
      <c r="X11917" t="s">
        <v>47329</v>
      </c>
    </row>
    <row r="11918" spans="1:24">
      <c r="A11918">
        <f>HYPERLINK("https://www.philgeps.gov.ph/GEPSNONPILOT/Tender/SplashBidNoticeAbstractUI.aspx?menuIndex=3&amp;refID=7154631&amp;Result=3","7154631")</f>
        <v>0</v>
      </c>
      <c r="B11918" t="s">
        <v>3394</v>
      </c>
      <c r="C11918" t="s">
        <v>15122</v>
      </c>
      <c r="E11918" t="s">
        <v>29215</v>
      </c>
      <c r="F11918" t="s">
        <v>32606</v>
      </c>
      <c r="G11918" t="s">
        <v>32619</v>
      </c>
      <c r="H11918" t="s">
        <v>14201</v>
      </c>
      <c r="I11918" t="s">
        <v>4114</v>
      </c>
      <c r="J11918" t="s">
        <v>40178</v>
      </c>
      <c r="K11918" t="s">
        <v>42624</v>
      </c>
      <c r="M11918" t="s">
        <v>46647</v>
      </c>
      <c r="N11918" t="s">
        <v>47304</v>
      </c>
      <c r="O11918" t="s">
        <v>47305</v>
      </c>
      <c r="P11918">
        <v>0</v>
      </c>
      <c r="Q11918">
        <v>0</v>
      </c>
      <c r="R11918" t="s">
        <v>47318</v>
      </c>
      <c r="S11918" t="s">
        <v>47736</v>
      </c>
      <c r="T11918" t="s">
        <v>49004</v>
      </c>
      <c r="U11918" t="s">
        <v>59381</v>
      </c>
      <c r="V11918" t="s">
        <v>63923</v>
      </c>
      <c r="W11918" t="s">
        <v>46647</v>
      </c>
      <c r="X11918" t="s">
        <v>47328</v>
      </c>
    </row>
    <row r="11919" spans="1:24">
      <c r="A11919">
        <f>HYPERLINK("https://www.philgeps.gov.ph/GEPSNONPILOT/Tender/SplashBidNoticeAbstractUI.aspx?menuIndex=3&amp;refID=7158937&amp;Result=3","7158937")</f>
        <v>0</v>
      </c>
      <c r="B11919" t="s">
        <v>2794</v>
      </c>
      <c r="C11919" t="s">
        <v>15120</v>
      </c>
      <c r="D11919" t="s">
        <v>18989</v>
      </c>
      <c r="E11919" t="s">
        <v>29216</v>
      </c>
      <c r="F11919" t="s">
        <v>32606</v>
      </c>
      <c r="G11919" t="s">
        <v>32613</v>
      </c>
      <c r="H11919" t="s">
        <v>32623</v>
      </c>
      <c r="I11919" t="s">
        <v>17648</v>
      </c>
      <c r="J11919" t="s">
        <v>32821</v>
      </c>
      <c r="K11919" t="s">
        <v>42624</v>
      </c>
      <c r="M11919" t="s">
        <v>45956</v>
      </c>
      <c r="N11919" t="s">
        <v>47304</v>
      </c>
      <c r="O11919" t="s">
        <v>47305</v>
      </c>
      <c r="P11919">
        <v>0</v>
      </c>
      <c r="Q11919">
        <v>1</v>
      </c>
      <c r="R11919" t="s">
        <v>47318</v>
      </c>
      <c r="S11919" t="s">
        <v>47736</v>
      </c>
      <c r="T11919" t="s">
        <v>49101</v>
      </c>
      <c r="U11919" t="s">
        <v>59382</v>
      </c>
      <c r="W11919" t="s">
        <v>45956</v>
      </c>
      <c r="X11919" t="s">
        <v>47326</v>
      </c>
    </row>
    <row r="11920" spans="1:24">
      <c r="A11920">
        <f>HYPERLINK("https://www.philgeps.gov.ph/GEPSNONPILOT/Tender/SplashBidNoticeAbstractUI.aspx?menuIndex=3&amp;refID=7162767&amp;Result=3","7162767")</f>
        <v>0</v>
      </c>
      <c r="B11920" t="s">
        <v>3394</v>
      </c>
      <c r="C11920" t="s">
        <v>15123</v>
      </c>
      <c r="E11920" t="s">
        <v>29217</v>
      </c>
      <c r="F11920" t="s">
        <v>32606</v>
      </c>
      <c r="G11920" t="s">
        <v>32619</v>
      </c>
      <c r="H11920" t="s">
        <v>14201</v>
      </c>
      <c r="I11920" t="s">
        <v>9013</v>
      </c>
      <c r="J11920" t="s">
        <v>40179</v>
      </c>
      <c r="K11920" t="s">
        <v>42624</v>
      </c>
      <c r="M11920" t="s">
        <v>46647</v>
      </c>
      <c r="N11920" t="s">
        <v>47304</v>
      </c>
      <c r="O11920" t="s">
        <v>47305</v>
      </c>
      <c r="P11920">
        <v>0</v>
      </c>
      <c r="Q11920">
        <v>0</v>
      </c>
      <c r="R11920" t="s">
        <v>47318</v>
      </c>
      <c r="S11920" t="s">
        <v>47736</v>
      </c>
      <c r="T11920" t="s">
        <v>49004</v>
      </c>
      <c r="U11920" t="s">
        <v>59383</v>
      </c>
      <c r="V11920" t="s">
        <v>63923</v>
      </c>
      <c r="W11920" t="s">
        <v>46647</v>
      </c>
      <c r="X11920" t="s">
        <v>47325</v>
      </c>
    </row>
    <row r="11921" spans="1:24">
      <c r="A11921">
        <f>HYPERLINK("https://www.philgeps.gov.ph/GEPSNONPILOT/Tender/SplashBidNoticeAbstractUI.aspx?menuIndex=3&amp;refID=7154590&amp;Result=3","7154590")</f>
        <v>0</v>
      </c>
      <c r="B11921" t="s">
        <v>3394</v>
      </c>
      <c r="C11921" t="s">
        <v>15124</v>
      </c>
      <c r="E11921" t="s">
        <v>29218</v>
      </c>
      <c r="F11921" t="s">
        <v>32606</v>
      </c>
      <c r="G11921" t="s">
        <v>32619</v>
      </c>
      <c r="H11921" t="s">
        <v>14201</v>
      </c>
      <c r="I11921" t="s">
        <v>4114</v>
      </c>
      <c r="J11921" t="s">
        <v>40180</v>
      </c>
      <c r="K11921" t="s">
        <v>42624</v>
      </c>
      <c r="M11921" t="s">
        <v>46647</v>
      </c>
      <c r="N11921" t="s">
        <v>47304</v>
      </c>
      <c r="O11921" t="s">
        <v>47305</v>
      </c>
      <c r="P11921">
        <v>0</v>
      </c>
      <c r="Q11921">
        <v>0</v>
      </c>
      <c r="R11921" t="s">
        <v>47318</v>
      </c>
      <c r="S11921" t="s">
        <v>47736</v>
      </c>
      <c r="T11921" t="s">
        <v>49004</v>
      </c>
      <c r="U11921" t="s">
        <v>59384</v>
      </c>
      <c r="V11921" t="s">
        <v>63923</v>
      </c>
      <c r="W11921" t="s">
        <v>46647</v>
      </c>
      <c r="X11921" t="s">
        <v>47328</v>
      </c>
    </row>
    <row r="11922" spans="1:24">
      <c r="A11922">
        <f>HYPERLINK("https://www.philgeps.gov.ph/GEPSNONPILOT/Tender/SplashBidNoticeAbstractUI.aspx?menuIndex=3&amp;refID=7154229&amp;Result=3","7154229")</f>
        <v>0</v>
      </c>
      <c r="B11922" t="s">
        <v>3394</v>
      </c>
      <c r="C11922" t="s">
        <v>15125</v>
      </c>
      <c r="E11922" t="s">
        <v>29219</v>
      </c>
      <c r="F11922" t="s">
        <v>32606</v>
      </c>
      <c r="G11922" t="s">
        <v>32619</v>
      </c>
      <c r="H11922" t="s">
        <v>14201</v>
      </c>
      <c r="I11922" t="s">
        <v>4678</v>
      </c>
      <c r="J11922" t="s">
        <v>34645</v>
      </c>
      <c r="K11922" t="s">
        <v>42624</v>
      </c>
      <c r="M11922" t="s">
        <v>46647</v>
      </c>
      <c r="N11922" t="s">
        <v>47304</v>
      </c>
      <c r="O11922" t="s">
        <v>47305</v>
      </c>
      <c r="P11922">
        <v>0</v>
      </c>
      <c r="Q11922">
        <v>0</v>
      </c>
      <c r="R11922" t="s">
        <v>47318</v>
      </c>
      <c r="S11922" t="s">
        <v>47736</v>
      </c>
      <c r="T11922" t="s">
        <v>49004</v>
      </c>
      <c r="U11922" t="s">
        <v>59385</v>
      </c>
      <c r="V11922" t="s">
        <v>63923</v>
      </c>
      <c r="W11922" t="s">
        <v>46647</v>
      </c>
      <c r="X11922" t="s">
        <v>47328</v>
      </c>
    </row>
    <row r="11923" spans="1:24">
      <c r="A11923">
        <f>HYPERLINK("https://www.philgeps.gov.ph/GEPSNONPILOT/Tender/SplashBidNoticeAbstractUI.aspx?menuIndex=3&amp;refID=7158883&amp;Result=3","7158883")</f>
        <v>0</v>
      </c>
      <c r="B11923" t="s">
        <v>3398</v>
      </c>
      <c r="C11923" t="s">
        <v>15126</v>
      </c>
      <c r="D11923" t="s">
        <v>19011</v>
      </c>
      <c r="E11923" t="s">
        <v>29220</v>
      </c>
      <c r="F11923" t="s">
        <v>32606</v>
      </c>
      <c r="G11923" t="s">
        <v>32613</v>
      </c>
      <c r="H11923" t="s">
        <v>14201</v>
      </c>
      <c r="I11923" t="s">
        <v>6931</v>
      </c>
      <c r="J11923" t="s">
        <v>40181</v>
      </c>
      <c r="K11923" t="s">
        <v>42627</v>
      </c>
      <c r="M11923" t="s">
        <v>46651</v>
      </c>
      <c r="N11923" t="s">
        <v>47304</v>
      </c>
      <c r="O11923" t="s">
        <v>47305</v>
      </c>
      <c r="P11923">
        <v>0</v>
      </c>
      <c r="Q11923">
        <v>2</v>
      </c>
      <c r="R11923" t="s">
        <v>47318</v>
      </c>
      <c r="S11923" t="s">
        <v>47736</v>
      </c>
      <c r="T11923" t="s">
        <v>49017</v>
      </c>
      <c r="U11923" t="s">
        <v>59386</v>
      </c>
      <c r="V11923" t="s">
        <v>63925</v>
      </c>
      <c r="W11923" t="s">
        <v>46651</v>
      </c>
      <c r="X11923" t="s">
        <v>47326</v>
      </c>
    </row>
    <row r="11924" spans="1:24">
      <c r="A11924">
        <f>HYPERLINK("https://www.philgeps.gov.ph/GEPSNONPILOT/Tender/SplashBidNoticeAbstractUI.aspx?menuIndex=3&amp;refID=7154151&amp;Result=3","7154151")</f>
        <v>0</v>
      </c>
      <c r="B11924" t="s">
        <v>3394</v>
      </c>
      <c r="C11924" t="s">
        <v>15127</v>
      </c>
      <c r="E11924" t="s">
        <v>29221</v>
      </c>
      <c r="F11924" t="s">
        <v>32606</v>
      </c>
      <c r="G11924" t="s">
        <v>32619</v>
      </c>
      <c r="H11924" t="s">
        <v>14201</v>
      </c>
      <c r="I11924" t="s">
        <v>6007</v>
      </c>
      <c r="J11924" t="s">
        <v>40182</v>
      </c>
      <c r="K11924" t="s">
        <v>42624</v>
      </c>
      <c r="M11924" t="s">
        <v>46647</v>
      </c>
      <c r="N11924" t="s">
        <v>47304</v>
      </c>
      <c r="O11924" t="s">
        <v>47305</v>
      </c>
      <c r="P11924">
        <v>0</v>
      </c>
      <c r="Q11924">
        <v>0</v>
      </c>
      <c r="R11924" t="s">
        <v>47318</v>
      </c>
      <c r="S11924" t="s">
        <v>47736</v>
      </c>
      <c r="T11924" t="s">
        <v>49004</v>
      </c>
      <c r="U11924" t="s">
        <v>59387</v>
      </c>
      <c r="V11924" t="s">
        <v>63923</v>
      </c>
      <c r="W11924" t="s">
        <v>46647</v>
      </c>
      <c r="X11924" t="s">
        <v>47328</v>
      </c>
    </row>
    <row r="11925" spans="1:24">
      <c r="A11925">
        <f>HYPERLINK("https://www.philgeps.gov.ph/GEPSNONPILOT/Tender/SplashBidNoticeAbstractUI.aspx?menuIndex=3&amp;refID=7154301&amp;Result=3","7154301")</f>
        <v>0</v>
      </c>
      <c r="B11925" t="s">
        <v>3394</v>
      </c>
      <c r="C11925" t="s">
        <v>15128</v>
      </c>
      <c r="E11925" t="s">
        <v>29222</v>
      </c>
      <c r="F11925" t="s">
        <v>32606</v>
      </c>
      <c r="G11925" t="s">
        <v>32619</v>
      </c>
      <c r="H11925" t="s">
        <v>14201</v>
      </c>
      <c r="I11925" t="s">
        <v>4114</v>
      </c>
      <c r="J11925" t="s">
        <v>40183</v>
      </c>
      <c r="K11925" t="s">
        <v>42624</v>
      </c>
      <c r="M11925" t="s">
        <v>46647</v>
      </c>
      <c r="N11925" t="s">
        <v>47304</v>
      </c>
      <c r="O11925" t="s">
        <v>47305</v>
      </c>
      <c r="P11925">
        <v>0</v>
      </c>
      <c r="Q11925">
        <v>1</v>
      </c>
      <c r="R11925" t="s">
        <v>47318</v>
      </c>
      <c r="S11925" t="s">
        <v>47736</v>
      </c>
      <c r="T11925" t="s">
        <v>49004</v>
      </c>
      <c r="U11925" t="s">
        <v>59388</v>
      </c>
      <c r="V11925" t="s">
        <v>63923</v>
      </c>
      <c r="W11925" t="s">
        <v>46647</v>
      </c>
      <c r="X11925" t="s">
        <v>47328</v>
      </c>
    </row>
    <row r="11926" spans="1:24">
      <c r="A11926">
        <f>HYPERLINK("https://www.philgeps.gov.ph/GEPSNONPILOT/Tender/SplashBidNoticeAbstractUI.aspx?menuIndex=3&amp;refID=7141889-2&amp;Result=3","7141889-2")</f>
        <v>0</v>
      </c>
      <c r="B11926" t="s">
        <v>2733</v>
      </c>
      <c r="C11926" t="s">
        <v>15129</v>
      </c>
      <c r="D11926" t="s">
        <v>19061</v>
      </c>
      <c r="E11926" t="s">
        <v>29223</v>
      </c>
      <c r="F11926" t="s">
        <v>32606</v>
      </c>
      <c r="G11926" t="s">
        <v>32613</v>
      </c>
      <c r="H11926" t="s">
        <v>32625</v>
      </c>
      <c r="I11926" t="s">
        <v>32625</v>
      </c>
      <c r="J11926" t="s">
        <v>40184</v>
      </c>
      <c r="K11926" t="s">
        <v>42636</v>
      </c>
      <c r="M11926" t="s">
        <v>45889</v>
      </c>
      <c r="N11926" t="s">
        <v>47304</v>
      </c>
      <c r="O11926" t="s">
        <v>47305</v>
      </c>
      <c r="P11926">
        <v>0</v>
      </c>
      <c r="Q11926">
        <v>1</v>
      </c>
      <c r="R11926" t="s">
        <v>47318</v>
      </c>
      <c r="S11926" t="s">
        <v>47736</v>
      </c>
      <c r="T11926" t="s">
        <v>48986</v>
      </c>
      <c r="U11926" t="s">
        <v>59389</v>
      </c>
      <c r="W11926" t="s">
        <v>64513</v>
      </c>
      <c r="X11926" t="s">
        <v>47319</v>
      </c>
    </row>
    <row r="11927" spans="1:24">
      <c r="A11927">
        <f>HYPERLINK("https://www.philgeps.gov.ph/GEPSNONPILOT/Tender/SplashBidNoticeAbstractUI.aspx?menuIndex=3&amp;refID=7179925&amp;Result=3","7179925")</f>
        <v>0</v>
      </c>
      <c r="B11927" t="s">
        <v>1485</v>
      </c>
      <c r="C11927" t="s">
        <v>15130</v>
      </c>
      <c r="D11927" t="s">
        <v>18993</v>
      </c>
      <c r="E11927" t="s">
        <v>29224</v>
      </c>
      <c r="F11927" t="s">
        <v>32606</v>
      </c>
      <c r="G11927" t="s">
        <v>32613</v>
      </c>
      <c r="H11927" t="s">
        <v>32623</v>
      </c>
      <c r="I11927" t="s">
        <v>32745</v>
      </c>
      <c r="J11927" t="s">
        <v>40185</v>
      </c>
      <c r="K11927" t="s">
        <v>42712</v>
      </c>
      <c r="M11927" t="s">
        <v>45048</v>
      </c>
      <c r="N11927" t="s">
        <v>47304</v>
      </c>
      <c r="O11927" t="s">
        <v>47305</v>
      </c>
      <c r="Q11927">
        <v>11</v>
      </c>
      <c r="R11927" t="s">
        <v>47317</v>
      </c>
      <c r="S11927" t="s">
        <v>47738</v>
      </c>
      <c r="T11927" t="s">
        <v>49066</v>
      </c>
      <c r="U11927" t="s">
        <v>59390</v>
      </c>
      <c r="W11927" t="s">
        <v>45048</v>
      </c>
      <c r="X11927" t="s">
        <v>47318</v>
      </c>
    </row>
    <row r="11928" spans="1:24">
      <c r="A11928">
        <f>HYPERLINK("https://www.philgeps.gov.ph/GEPSNONPILOT/Tender/SplashBidNoticeAbstractUI.aspx?menuIndex=3&amp;refID=7179915&amp;Result=3","7179915")</f>
        <v>0</v>
      </c>
      <c r="B11928" t="s">
        <v>3399</v>
      </c>
      <c r="C11928" t="s">
        <v>15131</v>
      </c>
      <c r="D11928" t="s">
        <v>18993</v>
      </c>
      <c r="E11928" t="s">
        <v>29225</v>
      </c>
      <c r="F11928" t="s">
        <v>32606</v>
      </c>
      <c r="G11928" t="s">
        <v>32614</v>
      </c>
      <c r="H11928" t="s">
        <v>32623</v>
      </c>
      <c r="I11928" t="s">
        <v>17648</v>
      </c>
      <c r="J11928" t="s">
        <v>40186</v>
      </c>
      <c r="K11928" t="s">
        <v>42636</v>
      </c>
      <c r="M11928" t="s">
        <v>46652</v>
      </c>
      <c r="N11928" t="s">
        <v>47304</v>
      </c>
      <c r="O11928" t="s">
        <v>47305</v>
      </c>
      <c r="Q11928">
        <v>3</v>
      </c>
      <c r="R11928" t="s">
        <v>47317</v>
      </c>
      <c r="S11928" t="s">
        <v>47739</v>
      </c>
      <c r="T11928" t="s">
        <v>49108</v>
      </c>
      <c r="U11928" t="s">
        <v>59391</v>
      </c>
      <c r="V11928" t="s">
        <v>63926</v>
      </c>
      <c r="W11928" t="s">
        <v>46652</v>
      </c>
      <c r="X11928" t="s">
        <v>47318</v>
      </c>
    </row>
    <row r="11929" spans="1:24">
      <c r="A11929">
        <f>HYPERLINK("https://www.philgeps.gov.ph/GEPSNONPILOT/Tender/SplashBidNoticeAbstractUI.aspx?menuIndex=3&amp;refID=7179901&amp;Result=3","7179901")</f>
        <v>0</v>
      </c>
      <c r="B11929" t="s">
        <v>3399</v>
      </c>
      <c r="C11929" t="s">
        <v>15132</v>
      </c>
      <c r="D11929" t="s">
        <v>18993</v>
      </c>
      <c r="E11929" t="s">
        <v>29226</v>
      </c>
      <c r="F11929" t="s">
        <v>32606</v>
      </c>
      <c r="G11929" t="s">
        <v>32613</v>
      </c>
      <c r="H11929" t="s">
        <v>14201</v>
      </c>
      <c r="I11929" t="s">
        <v>7064</v>
      </c>
      <c r="J11929" t="s">
        <v>32767</v>
      </c>
      <c r="K11929" t="s">
        <v>42623</v>
      </c>
      <c r="M11929" t="s">
        <v>46652</v>
      </c>
      <c r="N11929" t="s">
        <v>47304</v>
      </c>
      <c r="O11929" t="s">
        <v>47305</v>
      </c>
      <c r="P11929">
        <v>0</v>
      </c>
      <c r="Q11929">
        <v>4</v>
      </c>
      <c r="R11929" t="s">
        <v>47317</v>
      </c>
      <c r="S11929" t="s">
        <v>47712</v>
      </c>
      <c r="T11929" t="s">
        <v>49140</v>
      </c>
      <c r="U11929" t="s">
        <v>59392</v>
      </c>
      <c r="V11929" t="s">
        <v>63927</v>
      </c>
      <c r="W11929" t="s">
        <v>46652</v>
      </c>
      <c r="X11929" t="s">
        <v>47318</v>
      </c>
    </row>
    <row r="11930" spans="1:24">
      <c r="A11930">
        <f>HYPERLINK("https://www.philgeps.gov.ph/GEPSNONPILOT/Tender/SplashBidNoticeAbstractUI.aspx?menuIndex=3&amp;refID=7154537&amp;Result=3","7154537")</f>
        <v>0</v>
      </c>
      <c r="B11930" t="s">
        <v>3394</v>
      </c>
      <c r="C11930" t="s">
        <v>15133</v>
      </c>
      <c r="E11930" t="s">
        <v>29227</v>
      </c>
      <c r="F11930" t="s">
        <v>32606</v>
      </c>
      <c r="G11930" t="s">
        <v>32619</v>
      </c>
      <c r="H11930" t="s">
        <v>14201</v>
      </c>
      <c r="I11930" t="s">
        <v>4114</v>
      </c>
      <c r="J11930" t="s">
        <v>40187</v>
      </c>
      <c r="K11930" t="s">
        <v>42624</v>
      </c>
      <c r="M11930" t="s">
        <v>46647</v>
      </c>
      <c r="N11930" t="s">
        <v>47304</v>
      </c>
      <c r="O11930" t="s">
        <v>47305</v>
      </c>
      <c r="P11930">
        <v>0</v>
      </c>
      <c r="Q11930">
        <v>0</v>
      </c>
      <c r="R11930" t="s">
        <v>47318</v>
      </c>
      <c r="S11930" t="s">
        <v>47736</v>
      </c>
      <c r="T11930" t="s">
        <v>49004</v>
      </c>
      <c r="U11930" t="s">
        <v>59393</v>
      </c>
      <c r="V11930" t="s">
        <v>63923</v>
      </c>
      <c r="W11930" t="s">
        <v>46647</v>
      </c>
      <c r="X11930" t="s">
        <v>47328</v>
      </c>
    </row>
    <row r="11931" spans="1:24">
      <c r="A11931">
        <f>HYPERLINK("https://www.philgeps.gov.ph/GEPSNONPILOT/Tender/SplashBidNoticeAbstractUI.aspx?menuIndex=3&amp;refID=7154058&amp;Result=3","7154058")</f>
        <v>0</v>
      </c>
      <c r="B11931" t="s">
        <v>3394</v>
      </c>
      <c r="C11931" t="s">
        <v>15134</v>
      </c>
      <c r="E11931" t="s">
        <v>29228</v>
      </c>
      <c r="F11931" t="s">
        <v>32606</v>
      </c>
      <c r="G11931" t="s">
        <v>32619</v>
      </c>
      <c r="H11931" t="s">
        <v>14201</v>
      </c>
      <c r="I11931" t="s">
        <v>32631</v>
      </c>
      <c r="J11931" t="s">
        <v>40188</v>
      </c>
      <c r="K11931" t="s">
        <v>42624</v>
      </c>
      <c r="M11931" t="s">
        <v>46647</v>
      </c>
      <c r="N11931" t="s">
        <v>47304</v>
      </c>
      <c r="O11931" t="s">
        <v>47305</v>
      </c>
      <c r="P11931">
        <v>0</v>
      </c>
      <c r="Q11931">
        <v>0</v>
      </c>
      <c r="R11931" t="s">
        <v>47318</v>
      </c>
      <c r="S11931" t="s">
        <v>47736</v>
      </c>
      <c r="T11931" t="s">
        <v>49004</v>
      </c>
      <c r="U11931" t="s">
        <v>59394</v>
      </c>
      <c r="V11931" t="s">
        <v>63923</v>
      </c>
      <c r="W11931" t="s">
        <v>46647</v>
      </c>
      <c r="X11931" t="s">
        <v>47328</v>
      </c>
    </row>
    <row r="11932" spans="1:24">
      <c r="A11932">
        <f>HYPERLINK("https://www.philgeps.gov.ph/GEPSNONPILOT/Tender/SplashBidNoticeAbstractUI.aspx?menuIndex=3&amp;refID=7179856&amp;Result=3","7179856")</f>
        <v>0</v>
      </c>
      <c r="B11932" t="s">
        <v>1485</v>
      </c>
      <c r="C11932" t="s">
        <v>15135</v>
      </c>
      <c r="D11932" t="s">
        <v>18993</v>
      </c>
      <c r="E11932" t="s">
        <v>29229</v>
      </c>
      <c r="F11932" t="s">
        <v>32606</v>
      </c>
      <c r="G11932" t="s">
        <v>32613</v>
      </c>
      <c r="H11932" t="s">
        <v>32623</v>
      </c>
      <c r="I11932" t="s">
        <v>17648</v>
      </c>
      <c r="J11932" t="s">
        <v>40189</v>
      </c>
      <c r="K11932" t="s">
        <v>42819</v>
      </c>
      <c r="M11932" t="s">
        <v>45048</v>
      </c>
      <c r="N11932" t="s">
        <v>47304</v>
      </c>
      <c r="O11932" t="s">
        <v>47305</v>
      </c>
      <c r="Q11932">
        <v>33</v>
      </c>
      <c r="R11932" t="s">
        <v>47317</v>
      </c>
      <c r="S11932" t="s">
        <v>47740</v>
      </c>
      <c r="T11932" t="s">
        <v>49066</v>
      </c>
      <c r="U11932" t="s">
        <v>59395</v>
      </c>
      <c r="W11932" t="s">
        <v>45048</v>
      </c>
      <c r="X11932" t="s">
        <v>47318</v>
      </c>
    </row>
    <row r="11933" spans="1:24">
      <c r="A11933">
        <f>HYPERLINK("https://www.philgeps.gov.ph/GEPSNONPILOT/Tender/SplashBidNoticeAbstractUI.aspx?menuIndex=3&amp;refID=7179499&amp;Result=3","7179499")</f>
        <v>0</v>
      </c>
      <c r="B11933" t="s">
        <v>3400</v>
      </c>
      <c r="C11933" t="s">
        <v>15136</v>
      </c>
      <c r="D11933" t="s">
        <v>19031</v>
      </c>
      <c r="E11933" t="s">
        <v>29230</v>
      </c>
      <c r="F11933" t="s">
        <v>32606</v>
      </c>
      <c r="G11933" t="s">
        <v>32613</v>
      </c>
      <c r="H11933" t="s">
        <v>14201</v>
      </c>
      <c r="I11933" t="s">
        <v>32686</v>
      </c>
      <c r="J11933" t="s">
        <v>40190</v>
      </c>
      <c r="K11933" t="s">
        <v>42631</v>
      </c>
      <c r="M11933" t="s">
        <v>46653</v>
      </c>
      <c r="N11933" t="s">
        <v>47304</v>
      </c>
      <c r="O11933" t="s">
        <v>47305</v>
      </c>
      <c r="P11933">
        <v>0</v>
      </c>
      <c r="Q11933">
        <v>5</v>
      </c>
      <c r="R11933" t="s">
        <v>47317</v>
      </c>
      <c r="S11933" t="s">
        <v>47712</v>
      </c>
      <c r="T11933" t="s">
        <v>49106</v>
      </c>
      <c r="U11933" t="s">
        <v>59396</v>
      </c>
      <c r="W11933" t="s">
        <v>46653</v>
      </c>
      <c r="X11933" t="s">
        <v>47318</v>
      </c>
    </row>
    <row r="11934" spans="1:24">
      <c r="A11934">
        <f>HYPERLINK("https://www.philgeps.gov.ph/GEPSNONPILOT/Tender/SplashBidNoticeAbstractUI.aspx?menuIndex=3&amp;refID=7179490&amp;Result=3","7179490")</f>
        <v>0</v>
      </c>
      <c r="B11934" t="s">
        <v>838</v>
      </c>
      <c r="C11934" t="s">
        <v>15137</v>
      </c>
      <c r="D11934" t="s">
        <v>19039</v>
      </c>
      <c r="E11934" t="s">
        <v>29231</v>
      </c>
      <c r="F11934" t="s">
        <v>32606</v>
      </c>
      <c r="G11934" t="s">
        <v>32614</v>
      </c>
      <c r="H11934" t="s">
        <v>14201</v>
      </c>
      <c r="I11934" t="s">
        <v>32626</v>
      </c>
      <c r="J11934" t="s">
        <v>40191</v>
      </c>
      <c r="K11934" t="s">
        <v>42631</v>
      </c>
      <c r="M11934" t="s">
        <v>43770</v>
      </c>
      <c r="N11934" t="s">
        <v>47304</v>
      </c>
      <c r="O11934" t="s">
        <v>47305</v>
      </c>
      <c r="P11934">
        <v>0</v>
      </c>
      <c r="Q11934">
        <v>7</v>
      </c>
      <c r="R11934" t="s">
        <v>47317</v>
      </c>
      <c r="S11934" t="s">
        <v>47712</v>
      </c>
      <c r="T11934" t="s">
        <v>48980</v>
      </c>
      <c r="U11934" t="s">
        <v>59397</v>
      </c>
      <c r="W11934" t="s">
        <v>43770</v>
      </c>
      <c r="X11934" t="s">
        <v>47318</v>
      </c>
    </row>
    <row r="11935" spans="1:24">
      <c r="A11935">
        <f>HYPERLINK("https://www.philgeps.gov.ph/GEPSNONPILOT/Tender/SplashBidNoticeAbstractUI.aspx?menuIndex=3&amp;refID=7179886&amp;Result=3","7179886")</f>
        <v>0</v>
      </c>
      <c r="B11935" t="s">
        <v>2851</v>
      </c>
      <c r="C11935" t="s">
        <v>15138</v>
      </c>
      <c r="D11935" t="s">
        <v>18992</v>
      </c>
      <c r="E11935" t="s">
        <v>29232</v>
      </c>
      <c r="F11935" t="s">
        <v>32606</v>
      </c>
      <c r="G11935" t="s">
        <v>32613</v>
      </c>
      <c r="H11935" t="s">
        <v>14201</v>
      </c>
      <c r="I11935" t="s">
        <v>32626</v>
      </c>
      <c r="J11935" t="s">
        <v>33251</v>
      </c>
      <c r="K11935" t="s">
        <v>42632</v>
      </c>
      <c r="M11935" t="s">
        <v>46019</v>
      </c>
      <c r="N11935" t="s">
        <v>47304</v>
      </c>
      <c r="O11935" t="s">
        <v>47305</v>
      </c>
      <c r="P11935">
        <v>0</v>
      </c>
      <c r="Q11935">
        <v>1</v>
      </c>
      <c r="R11935" t="s">
        <v>47317</v>
      </c>
      <c r="S11935" t="s">
        <v>47712</v>
      </c>
      <c r="T11935" t="s">
        <v>49020</v>
      </c>
      <c r="U11935" t="s">
        <v>59398</v>
      </c>
      <c r="W11935" t="s">
        <v>46019</v>
      </c>
      <c r="X11935" t="s">
        <v>47318</v>
      </c>
    </row>
    <row r="11936" spans="1:24">
      <c r="A11936">
        <f>HYPERLINK("https://www.philgeps.gov.ph/GEPSNONPILOT/Tender/SplashBidNoticeAbstractUI.aspx?menuIndex=3&amp;refID=7154409&amp;Result=3","7154409")</f>
        <v>0</v>
      </c>
      <c r="B11936" t="s">
        <v>3394</v>
      </c>
      <c r="C11936" t="s">
        <v>15139</v>
      </c>
      <c r="E11936" t="s">
        <v>29233</v>
      </c>
      <c r="F11936" t="s">
        <v>32606</v>
      </c>
      <c r="G11936" t="s">
        <v>32619</v>
      </c>
      <c r="H11936" t="s">
        <v>14201</v>
      </c>
      <c r="I11936" t="s">
        <v>32631</v>
      </c>
      <c r="J11936" t="s">
        <v>40192</v>
      </c>
      <c r="K11936" t="s">
        <v>42624</v>
      </c>
      <c r="M11936" t="s">
        <v>46647</v>
      </c>
      <c r="N11936" t="s">
        <v>47304</v>
      </c>
      <c r="O11936" t="s">
        <v>47305</v>
      </c>
      <c r="P11936">
        <v>0</v>
      </c>
      <c r="Q11936">
        <v>0</v>
      </c>
      <c r="R11936" t="s">
        <v>47318</v>
      </c>
      <c r="S11936" t="s">
        <v>47736</v>
      </c>
      <c r="T11936" t="s">
        <v>49004</v>
      </c>
      <c r="U11936" t="s">
        <v>59399</v>
      </c>
      <c r="V11936" t="s">
        <v>63923</v>
      </c>
      <c r="W11936" t="s">
        <v>46647</v>
      </c>
      <c r="X11936" t="s">
        <v>47328</v>
      </c>
    </row>
    <row r="11937" spans="1:24">
      <c r="A11937">
        <f>HYPERLINK("https://www.philgeps.gov.ph/GEPSNONPILOT/Tender/SplashBidNoticeAbstractUI.aspx?menuIndex=3&amp;refID=7179514&amp;Result=3","7179514")</f>
        <v>0</v>
      </c>
      <c r="B11937" t="s">
        <v>2225</v>
      </c>
      <c r="C11937" t="s">
        <v>15140</v>
      </c>
      <c r="D11937" t="s">
        <v>18999</v>
      </c>
      <c r="E11937" t="s">
        <v>29234</v>
      </c>
      <c r="F11937" t="s">
        <v>32606</v>
      </c>
      <c r="G11937" t="s">
        <v>32613</v>
      </c>
      <c r="H11937" t="s">
        <v>32623</v>
      </c>
      <c r="I11937" t="s">
        <v>17648</v>
      </c>
      <c r="J11937" t="s">
        <v>40193</v>
      </c>
      <c r="K11937" t="s">
        <v>42636</v>
      </c>
      <c r="M11937" t="s">
        <v>46654</v>
      </c>
      <c r="N11937" t="s">
        <v>47304</v>
      </c>
      <c r="O11937" t="s">
        <v>47305</v>
      </c>
      <c r="P11937">
        <v>0</v>
      </c>
      <c r="Q11937">
        <v>26</v>
      </c>
      <c r="R11937" t="s">
        <v>47317</v>
      </c>
      <c r="S11937" t="s">
        <v>47712</v>
      </c>
      <c r="T11937" t="s">
        <v>49240</v>
      </c>
      <c r="U11937" t="s">
        <v>55148</v>
      </c>
      <c r="V11937" t="s">
        <v>63928</v>
      </c>
      <c r="W11937" t="s">
        <v>64537</v>
      </c>
      <c r="X11937" t="s">
        <v>47318</v>
      </c>
    </row>
    <row r="11938" spans="1:24">
      <c r="A11938">
        <f>HYPERLINK("https://www.philgeps.gov.ph/GEPSNONPILOT/Tender/SplashBidNoticeAbstractUI.aspx?menuIndex=3&amp;refID=7163799&amp;Result=3","7163799")</f>
        <v>0</v>
      </c>
      <c r="B11938" t="s">
        <v>3394</v>
      </c>
      <c r="C11938" t="s">
        <v>15141</v>
      </c>
      <c r="E11938" t="s">
        <v>29235</v>
      </c>
      <c r="F11938" t="s">
        <v>32606</v>
      </c>
      <c r="G11938" t="s">
        <v>32619</v>
      </c>
      <c r="H11938" t="s">
        <v>14201</v>
      </c>
      <c r="I11938" t="s">
        <v>32660</v>
      </c>
      <c r="J11938" t="s">
        <v>32951</v>
      </c>
      <c r="K11938" t="s">
        <v>42624</v>
      </c>
      <c r="M11938" t="s">
        <v>46647</v>
      </c>
      <c r="N11938" t="s">
        <v>47304</v>
      </c>
      <c r="O11938" t="s">
        <v>47305</v>
      </c>
      <c r="P11938">
        <v>0</v>
      </c>
      <c r="Q11938">
        <v>0</v>
      </c>
      <c r="R11938" t="s">
        <v>47318</v>
      </c>
      <c r="S11938" t="s">
        <v>47736</v>
      </c>
      <c r="T11938" t="s">
        <v>49004</v>
      </c>
      <c r="U11938" t="s">
        <v>59400</v>
      </c>
      <c r="V11938" t="s">
        <v>63923</v>
      </c>
      <c r="W11938" t="s">
        <v>46647</v>
      </c>
      <c r="X11938" t="s">
        <v>47325</v>
      </c>
    </row>
    <row r="11939" spans="1:24">
      <c r="A11939">
        <f>HYPERLINK("https://www.philgeps.gov.ph/GEPSNONPILOT/Tender/SplashBidNoticeAbstractUI.aspx?menuIndex=3&amp;refID=7146082&amp;Result=3","7146082")</f>
        <v>0</v>
      </c>
      <c r="B11939" t="s">
        <v>1825</v>
      </c>
      <c r="C11939" t="s">
        <v>15142</v>
      </c>
      <c r="D11939" t="s">
        <v>18999</v>
      </c>
      <c r="E11939" t="s">
        <v>29236</v>
      </c>
      <c r="F11939" t="s">
        <v>32606</v>
      </c>
      <c r="G11939" t="s">
        <v>32613</v>
      </c>
      <c r="H11939" t="s">
        <v>32623</v>
      </c>
      <c r="I11939" t="s">
        <v>17648</v>
      </c>
      <c r="J11939" t="s">
        <v>35368</v>
      </c>
      <c r="K11939" t="s">
        <v>42661</v>
      </c>
      <c r="M11939" t="s">
        <v>44870</v>
      </c>
      <c r="N11939" t="s">
        <v>47304</v>
      </c>
      <c r="O11939" t="s">
        <v>47305</v>
      </c>
      <c r="P11939">
        <v>0</v>
      </c>
      <c r="Q11939">
        <v>20</v>
      </c>
      <c r="R11939" t="s">
        <v>47318</v>
      </c>
      <c r="S11939" t="s">
        <v>47736</v>
      </c>
      <c r="T11939" t="s">
        <v>49127</v>
      </c>
      <c r="U11939" t="s">
        <v>59401</v>
      </c>
      <c r="W11939" t="s">
        <v>44870</v>
      </c>
      <c r="X11939" t="s">
        <v>47332</v>
      </c>
    </row>
    <row r="11940" spans="1:24">
      <c r="A11940">
        <f>HYPERLINK("https://www.philgeps.gov.ph/GEPSNONPILOT/Tender/SplashBidNoticeAbstractUI.aspx?menuIndex=3&amp;refID=7179486&amp;Result=3","7179486")</f>
        <v>0</v>
      </c>
      <c r="B11940" t="s">
        <v>3222</v>
      </c>
      <c r="C11940" t="s">
        <v>15143</v>
      </c>
      <c r="D11940" t="s">
        <v>19011</v>
      </c>
      <c r="E11940" t="s">
        <v>29135</v>
      </c>
      <c r="F11940" t="s">
        <v>32606</v>
      </c>
      <c r="G11940" t="s">
        <v>32613</v>
      </c>
      <c r="H11940" t="s">
        <v>14201</v>
      </c>
      <c r="I11940" t="s">
        <v>6931</v>
      </c>
      <c r="J11940" t="s">
        <v>40194</v>
      </c>
      <c r="K11940" t="s">
        <v>42622</v>
      </c>
      <c r="M11940" t="s">
        <v>46448</v>
      </c>
      <c r="N11940" t="s">
        <v>47304</v>
      </c>
      <c r="O11940" t="s">
        <v>47305</v>
      </c>
      <c r="P11940">
        <v>0</v>
      </c>
      <c r="Q11940">
        <v>3</v>
      </c>
      <c r="R11940" t="s">
        <v>47317</v>
      </c>
      <c r="S11940" t="s">
        <v>47712</v>
      </c>
      <c r="T11940" t="s">
        <v>49104</v>
      </c>
      <c r="U11940" t="s">
        <v>59402</v>
      </c>
      <c r="W11940" t="s">
        <v>46448</v>
      </c>
      <c r="X11940" t="s">
        <v>47318</v>
      </c>
    </row>
    <row r="11941" spans="1:24">
      <c r="A11941">
        <f>HYPERLINK("https://www.philgeps.gov.ph/GEPSNONPILOT/Tender/SplashBidNoticeAbstractUI.aspx?menuIndex=3&amp;refID=7163008&amp;Result=3","7163008")</f>
        <v>0</v>
      </c>
      <c r="B11941" t="s">
        <v>3394</v>
      </c>
      <c r="C11941" t="s">
        <v>15144</v>
      </c>
      <c r="E11941" t="s">
        <v>29237</v>
      </c>
      <c r="F11941" t="s">
        <v>32606</v>
      </c>
      <c r="G11941" t="s">
        <v>32619</v>
      </c>
      <c r="H11941" t="s">
        <v>14201</v>
      </c>
      <c r="I11941" t="s">
        <v>4678</v>
      </c>
      <c r="J11941" t="s">
        <v>34645</v>
      </c>
      <c r="K11941" t="s">
        <v>42624</v>
      </c>
      <c r="M11941" t="s">
        <v>46647</v>
      </c>
      <c r="N11941" t="s">
        <v>47304</v>
      </c>
      <c r="O11941" t="s">
        <v>47305</v>
      </c>
      <c r="P11941">
        <v>0</v>
      </c>
      <c r="Q11941">
        <v>0</v>
      </c>
      <c r="R11941" t="s">
        <v>47318</v>
      </c>
      <c r="S11941" t="s">
        <v>47736</v>
      </c>
      <c r="T11941" t="s">
        <v>49004</v>
      </c>
      <c r="U11941" t="s">
        <v>59403</v>
      </c>
      <c r="V11941" t="s">
        <v>63923</v>
      </c>
      <c r="W11941" t="s">
        <v>46647</v>
      </c>
      <c r="X11941" t="s">
        <v>47325</v>
      </c>
    </row>
    <row r="11942" spans="1:24">
      <c r="A11942">
        <f>HYPERLINK("https://www.philgeps.gov.ph/GEPSNONPILOT/Tender/SplashBidNoticeAbstractUI.aspx?menuIndex=3&amp;refID=7163707&amp;Result=3","7163707")</f>
        <v>0</v>
      </c>
      <c r="B11942" t="s">
        <v>3394</v>
      </c>
      <c r="C11942" t="s">
        <v>15145</v>
      </c>
      <c r="E11942" t="s">
        <v>29238</v>
      </c>
      <c r="F11942" t="s">
        <v>32606</v>
      </c>
      <c r="G11942" t="s">
        <v>32619</v>
      </c>
      <c r="H11942" t="s">
        <v>14201</v>
      </c>
      <c r="I11942" t="s">
        <v>32696</v>
      </c>
      <c r="J11942" t="s">
        <v>33083</v>
      </c>
      <c r="K11942" t="s">
        <v>42624</v>
      </c>
      <c r="M11942" t="s">
        <v>46647</v>
      </c>
      <c r="N11942" t="s">
        <v>47304</v>
      </c>
      <c r="O11942" t="s">
        <v>47305</v>
      </c>
      <c r="P11942">
        <v>0</v>
      </c>
      <c r="Q11942">
        <v>1</v>
      </c>
      <c r="R11942" t="s">
        <v>47318</v>
      </c>
      <c r="S11942" t="s">
        <v>47736</v>
      </c>
      <c r="T11942" t="s">
        <v>49004</v>
      </c>
      <c r="U11942" t="s">
        <v>59404</v>
      </c>
      <c r="V11942" t="s">
        <v>63923</v>
      </c>
      <c r="W11942" t="s">
        <v>46647</v>
      </c>
      <c r="X11942" t="s">
        <v>47325</v>
      </c>
    </row>
    <row r="11943" spans="1:24">
      <c r="A11943">
        <f>HYPERLINK("https://www.philgeps.gov.ph/GEPSNONPILOT/Tender/SplashBidNoticeAbstractUI.aspx?menuIndex=3&amp;refID=7163318&amp;Result=3","7163318")</f>
        <v>0</v>
      </c>
      <c r="B11943" t="s">
        <v>2933</v>
      </c>
      <c r="C11943" t="s">
        <v>15146</v>
      </c>
      <c r="D11943" t="s">
        <v>19039</v>
      </c>
      <c r="E11943" t="s">
        <v>29239</v>
      </c>
      <c r="F11943" t="s">
        <v>32606</v>
      </c>
      <c r="G11943" t="s">
        <v>32613</v>
      </c>
      <c r="H11943" t="s">
        <v>32623</v>
      </c>
      <c r="I11943" t="s">
        <v>17648</v>
      </c>
      <c r="J11943" t="s">
        <v>32778</v>
      </c>
      <c r="K11943" t="s">
        <v>42681</v>
      </c>
      <c r="M11943" t="s">
        <v>46113</v>
      </c>
      <c r="N11943" t="s">
        <v>47304</v>
      </c>
      <c r="O11943" t="s">
        <v>47305</v>
      </c>
      <c r="P11943">
        <v>0</v>
      </c>
      <c r="Q11943">
        <v>0</v>
      </c>
      <c r="R11943" t="s">
        <v>47318</v>
      </c>
      <c r="S11943" t="s">
        <v>47736</v>
      </c>
      <c r="T11943" t="s">
        <v>48987</v>
      </c>
      <c r="U11943" t="s">
        <v>59405</v>
      </c>
      <c r="W11943" t="s">
        <v>46113</v>
      </c>
      <c r="X11943" t="s">
        <v>47325</v>
      </c>
    </row>
    <row r="11944" spans="1:24">
      <c r="A11944">
        <f>HYPERLINK("https://www.philgeps.gov.ph/GEPSNONPILOT/Tender/SplashBidNoticeAbstractUI.aspx?menuIndex=3&amp;refID=7166521&amp;Result=3","7166521")</f>
        <v>0</v>
      </c>
      <c r="B11944" t="s">
        <v>3394</v>
      </c>
      <c r="C11944" t="s">
        <v>15147</v>
      </c>
      <c r="E11944" t="s">
        <v>29240</v>
      </c>
      <c r="F11944" t="s">
        <v>32606</v>
      </c>
      <c r="G11944" t="s">
        <v>32619</v>
      </c>
      <c r="H11944" t="s">
        <v>14201</v>
      </c>
      <c r="I11944" t="s">
        <v>32631</v>
      </c>
      <c r="J11944" t="s">
        <v>40195</v>
      </c>
      <c r="K11944" t="s">
        <v>42624</v>
      </c>
      <c r="M11944" t="s">
        <v>46647</v>
      </c>
      <c r="N11944" t="s">
        <v>47304</v>
      </c>
      <c r="O11944" t="s">
        <v>47305</v>
      </c>
      <c r="P11944">
        <v>0</v>
      </c>
      <c r="Q11944">
        <v>0</v>
      </c>
      <c r="R11944" t="s">
        <v>47318</v>
      </c>
      <c r="S11944" t="s">
        <v>47736</v>
      </c>
      <c r="T11944" t="s">
        <v>49004</v>
      </c>
      <c r="U11944" t="s">
        <v>59406</v>
      </c>
      <c r="V11944" t="s">
        <v>63923</v>
      </c>
      <c r="W11944" t="s">
        <v>46647</v>
      </c>
      <c r="X11944" t="s">
        <v>47322</v>
      </c>
    </row>
    <row r="11945" spans="1:24">
      <c r="A11945">
        <f>HYPERLINK("https://www.philgeps.gov.ph/GEPSNONPILOT/Tender/SplashBidNoticeAbstractUI.aspx?menuIndex=3&amp;refID=7163289&amp;Result=3","7163289")</f>
        <v>0</v>
      </c>
      <c r="B11945" t="s">
        <v>3394</v>
      </c>
      <c r="C11945" t="s">
        <v>15148</v>
      </c>
      <c r="E11945" t="s">
        <v>29241</v>
      </c>
      <c r="F11945" t="s">
        <v>32606</v>
      </c>
      <c r="G11945" t="s">
        <v>32619</v>
      </c>
      <c r="H11945" t="s">
        <v>14201</v>
      </c>
      <c r="I11945" t="s">
        <v>4120</v>
      </c>
      <c r="J11945" t="s">
        <v>40196</v>
      </c>
      <c r="K11945" t="s">
        <v>42624</v>
      </c>
      <c r="M11945" t="s">
        <v>46647</v>
      </c>
      <c r="N11945" t="s">
        <v>47304</v>
      </c>
      <c r="O11945" t="s">
        <v>47305</v>
      </c>
      <c r="P11945">
        <v>0</v>
      </c>
      <c r="Q11945">
        <v>0</v>
      </c>
      <c r="R11945" t="s">
        <v>47318</v>
      </c>
      <c r="S11945" t="s">
        <v>47736</v>
      </c>
      <c r="T11945" t="s">
        <v>49004</v>
      </c>
      <c r="U11945" t="s">
        <v>59407</v>
      </c>
      <c r="V11945" t="s">
        <v>63923</v>
      </c>
      <c r="W11945" t="s">
        <v>46647</v>
      </c>
      <c r="X11945" t="s">
        <v>47325</v>
      </c>
    </row>
    <row r="11946" spans="1:24">
      <c r="A11946">
        <f>HYPERLINK("https://www.philgeps.gov.ph/GEPSNONPILOT/Tender/SplashBidNoticeAbstractUI.aspx?menuIndex=3&amp;refID=7166297&amp;Result=3","7166297")</f>
        <v>0</v>
      </c>
      <c r="B11946" t="s">
        <v>3394</v>
      </c>
      <c r="C11946" t="s">
        <v>15149</v>
      </c>
      <c r="E11946" t="s">
        <v>29242</v>
      </c>
      <c r="F11946" t="s">
        <v>32606</v>
      </c>
      <c r="G11946" t="s">
        <v>32619</v>
      </c>
      <c r="H11946" t="s">
        <v>14201</v>
      </c>
      <c r="I11946" t="s">
        <v>4120</v>
      </c>
      <c r="J11946" t="s">
        <v>32963</v>
      </c>
      <c r="K11946" t="s">
        <v>42624</v>
      </c>
      <c r="M11946" t="s">
        <v>46647</v>
      </c>
      <c r="N11946" t="s">
        <v>47304</v>
      </c>
      <c r="O11946" t="s">
        <v>47305</v>
      </c>
      <c r="P11946">
        <v>0</v>
      </c>
      <c r="Q11946">
        <v>0</v>
      </c>
      <c r="R11946" t="s">
        <v>47318</v>
      </c>
      <c r="S11946" t="s">
        <v>47736</v>
      </c>
      <c r="T11946" t="s">
        <v>49004</v>
      </c>
      <c r="U11946" t="s">
        <v>59408</v>
      </c>
      <c r="V11946" t="s">
        <v>63923</v>
      </c>
      <c r="W11946" t="s">
        <v>46647</v>
      </c>
      <c r="X11946" t="s">
        <v>47322</v>
      </c>
    </row>
    <row r="11947" spans="1:24">
      <c r="A11947">
        <f>HYPERLINK("https://www.philgeps.gov.ph/GEPSNONPILOT/Tender/SplashBidNoticeAbstractUI.aspx?menuIndex=3&amp;refID=7166427&amp;Result=3","7166427")</f>
        <v>0</v>
      </c>
      <c r="B11947" t="s">
        <v>3394</v>
      </c>
      <c r="C11947" t="s">
        <v>15150</v>
      </c>
      <c r="E11947" t="s">
        <v>29243</v>
      </c>
      <c r="F11947" t="s">
        <v>32606</v>
      </c>
      <c r="G11947" t="s">
        <v>32619</v>
      </c>
      <c r="H11947" t="s">
        <v>14201</v>
      </c>
      <c r="I11947" t="s">
        <v>32631</v>
      </c>
      <c r="J11947" t="s">
        <v>40197</v>
      </c>
      <c r="K11947" t="s">
        <v>42624</v>
      </c>
      <c r="M11947" t="s">
        <v>46647</v>
      </c>
      <c r="N11947" t="s">
        <v>47304</v>
      </c>
      <c r="O11947" t="s">
        <v>47305</v>
      </c>
      <c r="P11947">
        <v>0</v>
      </c>
      <c r="Q11947">
        <v>0</v>
      </c>
      <c r="R11947" t="s">
        <v>47318</v>
      </c>
      <c r="S11947" t="s">
        <v>47736</v>
      </c>
      <c r="T11947" t="s">
        <v>49004</v>
      </c>
      <c r="U11947" t="s">
        <v>59409</v>
      </c>
      <c r="V11947" t="s">
        <v>63923</v>
      </c>
      <c r="W11947" t="s">
        <v>46647</v>
      </c>
      <c r="X11947" t="s">
        <v>47322</v>
      </c>
    </row>
    <row r="11948" spans="1:24">
      <c r="A11948">
        <f>HYPERLINK("https://www.philgeps.gov.ph/GEPSNONPILOT/Tender/SplashBidNoticeAbstractUI.aspx?menuIndex=3&amp;refID=7163748&amp;Result=3","7163748")</f>
        <v>0</v>
      </c>
      <c r="B11948" t="s">
        <v>3394</v>
      </c>
      <c r="C11948" t="s">
        <v>15151</v>
      </c>
      <c r="E11948" t="s">
        <v>29244</v>
      </c>
      <c r="F11948" t="s">
        <v>32606</v>
      </c>
      <c r="G11948" t="s">
        <v>32619</v>
      </c>
      <c r="H11948" t="s">
        <v>14201</v>
      </c>
      <c r="I11948" t="s">
        <v>6298</v>
      </c>
      <c r="J11948" t="s">
        <v>40198</v>
      </c>
      <c r="K11948" t="s">
        <v>42624</v>
      </c>
      <c r="M11948" t="s">
        <v>46647</v>
      </c>
      <c r="N11948" t="s">
        <v>47304</v>
      </c>
      <c r="O11948" t="s">
        <v>47305</v>
      </c>
      <c r="P11948">
        <v>0</v>
      </c>
      <c r="Q11948">
        <v>0</v>
      </c>
      <c r="R11948" t="s">
        <v>47318</v>
      </c>
      <c r="S11948" t="s">
        <v>47736</v>
      </c>
      <c r="T11948" t="s">
        <v>49004</v>
      </c>
      <c r="U11948" t="s">
        <v>59410</v>
      </c>
      <c r="V11948" t="s">
        <v>63923</v>
      </c>
      <c r="W11948" t="s">
        <v>46647</v>
      </c>
      <c r="X11948" t="s">
        <v>47325</v>
      </c>
    </row>
    <row r="11949" spans="1:24">
      <c r="A11949">
        <f>HYPERLINK("https://www.philgeps.gov.ph/GEPSNONPILOT/Tender/SplashBidNoticeAbstractUI.aspx?menuIndex=3&amp;refID=7166254&amp;Result=3","7166254")</f>
        <v>0</v>
      </c>
      <c r="B11949" t="s">
        <v>3394</v>
      </c>
      <c r="C11949" t="s">
        <v>15152</v>
      </c>
      <c r="E11949" t="s">
        <v>29245</v>
      </c>
      <c r="F11949" t="s">
        <v>32606</v>
      </c>
      <c r="G11949" t="s">
        <v>32619</v>
      </c>
      <c r="H11949" t="s">
        <v>14201</v>
      </c>
      <c r="I11949" t="s">
        <v>6007</v>
      </c>
      <c r="J11949" t="s">
        <v>40199</v>
      </c>
      <c r="K11949" t="s">
        <v>42624</v>
      </c>
      <c r="M11949" t="s">
        <v>46647</v>
      </c>
      <c r="N11949" t="s">
        <v>47304</v>
      </c>
      <c r="O11949" t="s">
        <v>47305</v>
      </c>
      <c r="P11949">
        <v>0</v>
      </c>
      <c r="Q11949">
        <v>0</v>
      </c>
      <c r="R11949" t="s">
        <v>47318</v>
      </c>
      <c r="S11949" t="s">
        <v>47736</v>
      </c>
      <c r="T11949" t="s">
        <v>49004</v>
      </c>
      <c r="U11949" t="s">
        <v>59411</v>
      </c>
      <c r="V11949" t="s">
        <v>63923</v>
      </c>
      <c r="W11949" t="s">
        <v>46647</v>
      </c>
      <c r="X11949" t="s">
        <v>47322</v>
      </c>
    </row>
    <row r="11950" spans="1:24">
      <c r="A11950">
        <f>HYPERLINK("https://www.philgeps.gov.ph/GEPSNONPILOT/Tender/SplashBidNoticeAbstractUI.aspx?menuIndex=3&amp;refID=7165743&amp;Result=3","7165743")</f>
        <v>0</v>
      </c>
      <c r="B11950" t="s">
        <v>3394</v>
      </c>
      <c r="C11950" t="s">
        <v>15153</v>
      </c>
      <c r="E11950" t="s">
        <v>29246</v>
      </c>
      <c r="F11950" t="s">
        <v>32606</v>
      </c>
      <c r="G11950" t="s">
        <v>32613</v>
      </c>
      <c r="H11950" t="s">
        <v>14201</v>
      </c>
      <c r="I11950" t="s">
        <v>6007</v>
      </c>
      <c r="J11950" t="s">
        <v>40200</v>
      </c>
      <c r="K11950" t="s">
        <v>42624</v>
      </c>
      <c r="M11950" t="s">
        <v>46647</v>
      </c>
      <c r="N11950" t="s">
        <v>47304</v>
      </c>
      <c r="O11950" t="s">
        <v>47305</v>
      </c>
      <c r="P11950">
        <v>0</v>
      </c>
      <c r="Q11950">
        <v>0</v>
      </c>
      <c r="R11950" t="s">
        <v>47318</v>
      </c>
      <c r="S11950" t="s">
        <v>47736</v>
      </c>
      <c r="T11950" t="s">
        <v>49004</v>
      </c>
      <c r="U11950" t="s">
        <v>59412</v>
      </c>
      <c r="V11950" t="s">
        <v>63923</v>
      </c>
      <c r="W11950" t="s">
        <v>46647</v>
      </c>
      <c r="X11950" t="s">
        <v>47322</v>
      </c>
    </row>
    <row r="11951" spans="1:24">
      <c r="A11951">
        <f>HYPERLINK("https://www.philgeps.gov.ph/GEPSNONPILOT/Tender/SplashBidNoticeAbstractUI.aspx?menuIndex=3&amp;refID=7166454&amp;Result=3","7166454")</f>
        <v>0</v>
      </c>
      <c r="B11951" t="s">
        <v>3394</v>
      </c>
      <c r="C11951" t="s">
        <v>15154</v>
      </c>
      <c r="E11951" t="s">
        <v>29247</v>
      </c>
      <c r="F11951" t="s">
        <v>32606</v>
      </c>
      <c r="G11951" t="s">
        <v>32619</v>
      </c>
      <c r="H11951" t="s">
        <v>14201</v>
      </c>
      <c r="I11951" t="s">
        <v>32631</v>
      </c>
      <c r="J11951" t="s">
        <v>40201</v>
      </c>
      <c r="K11951" t="s">
        <v>42624</v>
      </c>
      <c r="M11951" t="s">
        <v>46647</v>
      </c>
      <c r="N11951" t="s">
        <v>47304</v>
      </c>
      <c r="O11951" t="s">
        <v>47305</v>
      </c>
      <c r="P11951">
        <v>0</v>
      </c>
      <c r="Q11951">
        <v>0</v>
      </c>
      <c r="R11951" t="s">
        <v>47318</v>
      </c>
      <c r="S11951" t="s">
        <v>47736</v>
      </c>
      <c r="T11951" t="s">
        <v>49004</v>
      </c>
      <c r="U11951" t="s">
        <v>59413</v>
      </c>
      <c r="V11951" t="s">
        <v>63923</v>
      </c>
      <c r="W11951" t="s">
        <v>46647</v>
      </c>
      <c r="X11951" t="s">
        <v>47322</v>
      </c>
    </row>
    <row r="11952" spans="1:24">
      <c r="A11952">
        <f>HYPERLINK("https://www.philgeps.gov.ph/GEPSNONPILOT/Tender/SplashBidNoticeAbstractUI.aspx?menuIndex=3&amp;refID=7163666&amp;Result=3","7163666")</f>
        <v>0</v>
      </c>
      <c r="B11952" t="s">
        <v>3394</v>
      </c>
      <c r="C11952" t="s">
        <v>15155</v>
      </c>
      <c r="E11952" t="s">
        <v>29248</v>
      </c>
      <c r="F11952" t="s">
        <v>32606</v>
      </c>
      <c r="G11952" t="s">
        <v>32619</v>
      </c>
      <c r="H11952" t="s">
        <v>14201</v>
      </c>
      <c r="I11952" t="s">
        <v>6993</v>
      </c>
      <c r="J11952" t="s">
        <v>34069</v>
      </c>
      <c r="K11952" t="s">
        <v>42624</v>
      </c>
      <c r="M11952" t="s">
        <v>46647</v>
      </c>
      <c r="N11952" t="s">
        <v>47304</v>
      </c>
      <c r="O11952" t="s">
        <v>47305</v>
      </c>
      <c r="P11952">
        <v>0</v>
      </c>
      <c r="Q11952">
        <v>0</v>
      </c>
      <c r="R11952" t="s">
        <v>47318</v>
      </c>
      <c r="S11952" t="s">
        <v>47736</v>
      </c>
      <c r="T11952" t="s">
        <v>49004</v>
      </c>
      <c r="U11952" t="s">
        <v>59414</v>
      </c>
      <c r="V11952" t="s">
        <v>63923</v>
      </c>
      <c r="W11952" t="s">
        <v>46647</v>
      </c>
      <c r="X11952" t="s">
        <v>47325</v>
      </c>
    </row>
    <row r="11953" spans="1:24">
      <c r="A11953">
        <f>HYPERLINK("https://www.philgeps.gov.ph/GEPSNONPILOT/Tender/SplashBidNoticeAbstractUI.aspx?menuIndex=3&amp;refID=7163214&amp;Result=3","7163214")</f>
        <v>0</v>
      </c>
      <c r="B11953" t="s">
        <v>3394</v>
      </c>
      <c r="C11953" t="s">
        <v>15156</v>
      </c>
      <c r="E11953" t="s">
        <v>29249</v>
      </c>
      <c r="F11953" t="s">
        <v>32606</v>
      </c>
      <c r="G11953" t="s">
        <v>32619</v>
      </c>
      <c r="H11953" t="s">
        <v>14201</v>
      </c>
      <c r="I11953" t="s">
        <v>32633</v>
      </c>
      <c r="J11953" t="s">
        <v>40202</v>
      </c>
      <c r="K11953" t="s">
        <v>42624</v>
      </c>
      <c r="M11953" t="s">
        <v>46647</v>
      </c>
      <c r="N11953" t="s">
        <v>47304</v>
      </c>
      <c r="O11953" t="s">
        <v>47305</v>
      </c>
      <c r="P11953">
        <v>0</v>
      </c>
      <c r="Q11953">
        <v>2</v>
      </c>
      <c r="R11953" t="s">
        <v>47318</v>
      </c>
      <c r="S11953" t="s">
        <v>47736</v>
      </c>
      <c r="T11953" t="s">
        <v>49004</v>
      </c>
      <c r="U11953" t="s">
        <v>59415</v>
      </c>
      <c r="V11953" t="s">
        <v>63923</v>
      </c>
      <c r="W11953" t="s">
        <v>46647</v>
      </c>
      <c r="X11953" t="s">
        <v>47325</v>
      </c>
    </row>
    <row r="11954" spans="1:24">
      <c r="A11954">
        <f>HYPERLINK("https://www.philgeps.gov.ph/GEPSNONPILOT/Tender/SplashBidNoticeAbstractUI.aspx?menuIndex=3&amp;refID=7163104&amp;Result=3","7163104")</f>
        <v>0</v>
      </c>
      <c r="B11954" t="s">
        <v>3394</v>
      </c>
      <c r="C11954" t="s">
        <v>15157</v>
      </c>
      <c r="E11954" t="s">
        <v>29250</v>
      </c>
      <c r="F11954" t="s">
        <v>32606</v>
      </c>
      <c r="G11954" t="s">
        <v>32613</v>
      </c>
      <c r="H11954" t="s">
        <v>14201</v>
      </c>
      <c r="I11954" t="s">
        <v>4678</v>
      </c>
      <c r="J11954" t="s">
        <v>40203</v>
      </c>
      <c r="K11954" t="s">
        <v>42624</v>
      </c>
      <c r="M11954" t="s">
        <v>46647</v>
      </c>
      <c r="N11954" t="s">
        <v>47304</v>
      </c>
      <c r="O11954" t="s">
        <v>47305</v>
      </c>
      <c r="P11954">
        <v>0</v>
      </c>
      <c r="Q11954">
        <v>2</v>
      </c>
      <c r="R11954" t="s">
        <v>47318</v>
      </c>
      <c r="S11954" t="s">
        <v>47736</v>
      </c>
      <c r="T11954" t="s">
        <v>49004</v>
      </c>
      <c r="U11954" t="s">
        <v>59416</v>
      </c>
      <c r="V11954" t="s">
        <v>63923</v>
      </c>
      <c r="W11954" t="s">
        <v>46647</v>
      </c>
      <c r="X11954" t="s">
        <v>47325</v>
      </c>
    </row>
    <row r="11955" spans="1:24">
      <c r="A11955">
        <f>HYPERLINK("https://www.philgeps.gov.ph/GEPSNONPILOT/Tender/SplashBidNoticeAbstractUI.aspx?menuIndex=3&amp;refID=7166815&amp;Result=3","7166815")</f>
        <v>0</v>
      </c>
      <c r="B11955" t="s">
        <v>3394</v>
      </c>
      <c r="C11955" t="s">
        <v>15158</v>
      </c>
      <c r="E11955" t="s">
        <v>29251</v>
      </c>
      <c r="F11955" t="s">
        <v>32606</v>
      </c>
      <c r="G11955" t="s">
        <v>32619</v>
      </c>
      <c r="H11955" t="s">
        <v>14201</v>
      </c>
      <c r="I11955" t="s">
        <v>9013</v>
      </c>
      <c r="J11955" t="s">
        <v>40179</v>
      </c>
      <c r="K11955" t="s">
        <v>42624</v>
      </c>
      <c r="M11955" t="s">
        <v>46647</v>
      </c>
      <c r="N11955" t="s">
        <v>47304</v>
      </c>
      <c r="O11955" t="s">
        <v>47305</v>
      </c>
      <c r="P11955">
        <v>0</v>
      </c>
      <c r="Q11955">
        <v>0</v>
      </c>
      <c r="R11955" t="s">
        <v>47318</v>
      </c>
      <c r="S11955" t="s">
        <v>47736</v>
      </c>
      <c r="T11955" t="s">
        <v>49004</v>
      </c>
      <c r="U11955" t="s">
        <v>59417</v>
      </c>
      <c r="V11955" t="s">
        <v>63923</v>
      </c>
      <c r="W11955" t="s">
        <v>46647</v>
      </c>
      <c r="X11955" t="s">
        <v>47322</v>
      </c>
    </row>
    <row r="11956" spans="1:24">
      <c r="A11956">
        <f>HYPERLINK("https://www.philgeps.gov.ph/GEPSNONPILOT/Tender/SplashBidNoticeAbstractUI.aspx?menuIndex=3&amp;refID=7165837&amp;Result=3","7165837")</f>
        <v>0</v>
      </c>
      <c r="B11956" t="s">
        <v>3401</v>
      </c>
      <c r="C11956" t="s">
        <v>15159</v>
      </c>
      <c r="D11956" t="s">
        <v>19058</v>
      </c>
      <c r="E11956" t="s">
        <v>29252</v>
      </c>
      <c r="F11956" t="s">
        <v>32606</v>
      </c>
      <c r="G11956" t="s">
        <v>32613</v>
      </c>
      <c r="H11956" t="s">
        <v>14201</v>
      </c>
      <c r="I11956" t="s">
        <v>32640</v>
      </c>
      <c r="J11956" t="s">
        <v>40204</v>
      </c>
      <c r="K11956" t="s">
        <v>42631</v>
      </c>
      <c r="M11956" t="s">
        <v>46655</v>
      </c>
      <c r="N11956" t="s">
        <v>47304</v>
      </c>
      <c r="O11956" t="s">
        <v>47305</v>
      </c>
      <c r="P11956">
        <v>0</v>
      </c>
      <c r="Q11956">
        <v>8</v>
      </c>
      <c r="R11956" t="s">
        <v>47318</v>
      </c>
      <c r="S11956" t="s">
        <v>47736</v>
      </c>
      <c r="T11956" t="s">
        <v>49017</v>
      </c>
      <c r="U11956" t="s">
        <v>59418</v>
      </c>
      <c r="V11956" t="s">
        <v>63929</v>
      </c>
      <c r="W11956" t="s">
        <v>46655</v>
      </c>
      <c r="X11956" t="s">
        <v>47322</v>
      </c>
    </row>
    <row r="11957" spans="1:24">
      <c r="A11957">
        <f>HYPERLINK("https://www.philgeps.gov.ph/GEPSNONPILOT/Tender/SplashBidNoticeAbstractUI.aspx?menuIndex=3&amp;refID=7165275&amp;Result=3","7165275")</f>
        <v>0</v>
      </c>
      <c r="B11957" t="s">
        <v>219</v>
      </c>
      <c r="C11957" t="s">
        <v>15160</v>
      </c>
      <c r="D11957" t="s">
        <v>19050</v>
      </c>
      <c r="E11957" t="s">
        <v>29253</v>
      </c>
      <c r="F11957" t="s">
        <v>32609</v>
      </c>
      <c r="G11957" t="s">
        <v>32614</v>
      </c>
      <c r="H11957" t="s">
        <v>14201</v>
      </c>
      <c r="I11957" t="s">
        <v>32635</v>
      </c>
      <c r="J11957" t="s">
        <v>33152</v>
      </c>
      <c r="K11957" t="s">
        <v>42636</v>
      </c>
      <c r="M11957" t="s">
        <v>43120</v>
      </c>
      <c r="N11957" t="s">
        <v>47304</v>
      </c>
      <c r="O11957" t="s">
        <v>47305</v>
      </c>
      <c r="Q11957">
        <v>3</v>
      </c>
      <c r="R11957" t="s">
        <v>47318</v>
      </c>
      <c r="S11957" t="s">
        <v>47741</v>
      </c>
      <c r="T11957" t="s">
        <v>48987</v>
      </c>
      <c r="U11957" t="s">
        <v>59419</v>
      </c>
      <c r="W11957" t="s">
        <v>43120</v>
      </c>
      <c r="X11957" t="s">
        <v>47322</v>
      </c>
    </row>
    <row r="11958" spans="1:24">
      <c r="A11958">
        <f>HYPERLINK("https://www.philgeps.gov.ph/GEPSNONPILOT/Tender/SplashBidNoticeAbstractUI.aspx?menuIndex=3&amp;refID=7166198&amp;Result=3","7166198")</f>
        <v>0</v>
      </c>
      <c r="B11958" t="s">
        <v>3394</v>
      </c>
      <c r="C11958" t="s">
        <v>15161</v>
      </c>
      <c r="E11958" t="s">
        <v>29254</v>
      </c>
      <c r="F11958" t="s">
        <v>32606</v>
      </c>
      <c r="G11958" t="s">
        <v>32619</v>
      </c>
      <c r="H11958" t="s">
        <v>14201</v>
      </c>
      <c r="I11958" t="s">
        <v>4678</v>
      </c>
      <c r="J11958" t="s">
        <v>32957</v>
      </c>
      <c r="K11958" t="s">
        <v>42624</v>
      </c>
      <c r="M11958" t="s">
        <v>46647</v>
      </c>
      <c r="N11958" t="s">
        <v>47304</v>
      </c>
      <c r="O11958" t="s">
        <v>47305</v>
      </c>
      <c r="P11958">
        <v>0</v>
      </c>
      <c r="Q11958">
        <v>0</v>
      </c>
      <c r="R11958" t="s">
        <v>47318</v>
      </c>
      <c r="S11958" t="s">
        <v>47736</v>
      </c>
      <c r="T11958" t="s">
        <v>49004</v>
      </c>
      <c r="U11958" t="s">
        <v>59420</v>
      </c>
      <c r="V11958" t="s">
        <v>63923</v>
      </c>
      <c r="W11958" t="s">
        <v>46647</v>
      </c>
      <c r="X11958" t="s">
        <v>47322</v>
      </c>
    </row>
    <row r="11959" spans="1:24">
      <c r="A11959">
        <f>HYPERLINK("https://www.philgeps.gov.ph/GEPSNONPILOT/Tender/SplashBidNoticeAbstractUI.aspx?menuIndex=3&amp;refID=7179862&amp;Result=3","7179862")</f>
        <v>0</v>
      </c>
      <c r="B11959" t="s">
        <v>1715</v>
      </c>
      <c r="C11959" t="s">
        <v>15162</v>
      </c>
      <c r="E11959" t="s">
        <v>29255</v>
      </c>
      <c r="F11959" t="s">
        <v>32606</v>
      </c>
      <c r="G11959" t="s">
        <v>32613</v>
      </c>
      <c r="H11959" t="s">
        <v>32623</v>
      </c>
      <c r="I11959" t="s">
        <v>17648</v>
      </c>
      <c r="J11959" t="s">
        <v>40205</v>
      </c>
      <c r="K11959" t="s">
        <v>42864</v>
      </c>
      <c r="M11959" t="s">
        <v>44747</v>
      </c>
      <c r="N11959" t="s">
        <v>47304</v>
      </c>
      <c r="O11959" t="s">
        <v>47305</v>
      </c>
      <c r="Q11959">
        <v>12</v>
      </c>
      <c r="R11959" t="s">
        <v>47317</v>
      </c>
      <c r="S11959" t="s">
        <v>47697</v>
      </c>
      <c r="T11959" t="s">
        <v>49148</v>
      </c>
      <c r="U11959" t="s">
        <v>59421</v>
      </c>
      <c r="W11959" t="s">
        <v>44747</v>
      </c>
      <c r="X11959" t="s">
        <v>47318</v>
      </c>
    </row>
    <row r="11960" spans="1:24">
      <c r="A11960">
        <f>HYPERLINK("https://www.philgeps.gov.ph/GEPSNONPILOT/Tender/SplashBidNoticeAbstractUI.aspx?menuIndex=3&amp;refID=7171228&amp;Result=3","7171228")</f>
        <v>0</v>
      </c>
      <c r="B11960" t="s">
        <v>3215</v>
      </c>
      <c r="C11960" t="s">
        <v>15163</v>
      </c>
      <c r="D11960" t="s">
        <v>19002</v>
      </c>
      <c r="E11960" t="s">
        <v>29256</v>
      </c>
      <c r="F11960" t="s">
        <v>32606</v>
      </c>
      <c r="G11960" t="s">
        <v>32613</v>
      </c>
      <c r="H11960" t="s">
        <v>14201</v>
      </c>
      <c r="I11960" t="s">
        <v>6298</v>
      </c>
      <c r="J11960" t="s">
        <v>39535</v>
      </c>
      <c r="K11960" t="s">
        <v>42624</v>
      </c>
      <c r="M11960" t="s">
        <v>46441</v>
      </c>
      <c r="N11960" t="s">
        <v>47304</v>
      </c>
      <c r="O11960" t="s">
        <v>47305</v>
      </c>
      <c r="P11960">
        <v>0</v>
      </c>
      <c r="Q11960">
        <v>3</v>
      </c>
      <c r="R11960" t="s">
        <v>47318</v>
      </c>
      <c r="S11960" t="s">
        <v>47736</v>
      </c>
      <c r="T11960" t="s">
        <v>48975</v>
      </c>
      <c r="U11960" t="s">
        <v>59422</v>
      </c>
      <c r="V11960" t="s">
        <v>63803</v>
      </c>
      <c r="W11960" t="s">
        <v>46441</v>
      </c>
      <c r="X11960" t="s">
        <v>47320</v>
      </c>
    </row>
    <row r="11961" spans="1:24">
      <c r="A11961">
        <f>HYPERLINK("https://www.philgeps.gov.ph/GEPSNONPILOT/Tender/SplashBidNoticeAbstractUI.aspx?menuIndex=3&amp;refID=7171218&amp;Result=3","7171218")</f>
        <v>0</v>
      </c>
      <c r="B11961" t="s">
        <v>2527</v>
      </c>
      <c r="C11961" t="s">
        <v>15164</v>
      </c>
      <c r="D11961" t="s">
        <v>19024</v>
      </c>
      <c r="E11961" t="s">
        <v>29257</v>
      </c>
      <c r="F11961" t="s">
        <v>32606</v>
      </c>
      <c r="G11961" t="s">
        <v>32613</v>
      </c>
      <c r="H11961" t="s">
        <v>32623</v>
      </c>
      <c r="I11961" t="s">
        <v>17648</v>
      </c>
      <c r="J11961" t="s">
        <v>40012</v>
      </c>
      <c r="K11961" t="s">
        <v>42683</v>
      </c>
      <c r="M11961" t="s">
        <v>45667</v>
      </c>
      <c r="N11961" t="s">
        <v>47304</v>
      </c>
      <c r="O11961" t="s">
        <v>47305</v>
      </c>
      <c r="P11961">
        <v>0</v>
      </c>
      <c r="Q11961">
        <v>1</v>
      </c>
      <c r="R11961" t="s">
        <v>47318</v>
      </c>
      <c r="S11961" t="s">
        <v>47736</v>
      </c>
      <c r="T11961" t="s">
        <v>49300</v>
      </c>
      <c r="U11961" t="s">
        <v>59423</v>
      </c>
      <c r="V11961" t="s">
        <v>59423</v>
      </c>
      <c r="W11961" t="s">
        <v>45667</v>
      </c>
      <c r="X11961" t="s">
        <v>47320</v>
      </c>
    </row>
    <row r="11962" spans="1:24">
      <c r="A11962">
        <f>HYPERLINK("https://www.philgeps.gov.ph/GEPSNONPILOT/Tender/SplashBidNoticeAbstractUI.aspx?menuIndex=3&amp;refID=7170379&amp;Result=3","7170379")</f>
        <v>0</v>
      </c>
      <c r="B11962" t="s">
        <v>3402</v>
      </c>
      <c r="C11962" t="s">
        <v>15165</v>
      </c>
      <c r="D11962" t="s">
        <v>19024</v>
      </c>
      <c r="E11962" t="s">
        <v>29258</v>
      </c>
      <c r="F11962" t="s">
        <v>32606</v>
      </c>
      <c r="G11962" t="s">
        <v>32613</v>
      </c>
      <c r="H11962" t="s">
        <v>32623</v>
      </c>
      <c r="I11962" t="s">
        <v>17648</v>
      </c>
      <c r="J11962" t="s">
        <v>38816</v>
      </c>
      <c r="K11962" t="s">
        <v>42646</v>
      </c>
      <c r="M11962" t="s">
        <v>46656</v>
      </c>
      <c r="N11962" t="s">
        <v>47304</v>
      </c>
      <c r="O11962" t="s">
        <v>47305</v>
      </c>
      <c r="P11962">
        <v>0</v>
      </c>
      <c r="Q11962">
        <v>2</v>
      </c>
      <c r="R11962" t="s">
        <v>47318</v>
      </c>
      <c r="S11962" t="s">
        <v>47736</v>
      </c>
      <c r="T11962" t="s">
        <v>49107</v>
      </c>
      <c r="U11962" t="s">
        <v>59424</v>
      </c>
      <c r="W11962" t="s">
        <v>46656</v>
      </c>
      <c r="X11962" t="s">
        <v>47321</v>
      </c>
    </row>
    <row r="11963" spans="1:24">
      <c r="A11963">
        <f>HYPERLINK("https://www.philgeps.gov.ph/GEPSNONPILOT/Tender/SplashBidNoticeAbstractUI.aspx?menuIndex=3&amp;refID=7163053&amp;Result=3","7163053")</f>
        <v>0</v>
      </c>
      <c r="B11963" t="s">
        <v>3394</v>
      </c>
      <c r="C11963" t="s">
        <v>15166</v>
      </c>
      <c r="E11963" t="s">
        <v>29259</v>
      </c>
      <c r="F11963" t="s">
        <v>32606</v>
      </c>
      <c r="G11963" t="s">
        <v>32619</v>
      </c>
      <c r="H11963" t="s">
        <v>14201</v>
      </c>
      <c r="I11963" t="s">
        <v>32635</v>
      </c>
      <c r="J11963" t="s">
        <v>35183</v>
      </c>
      <c r="K11963" t="s">
        <v>42624</v>
      </c>
      <c r="M11963" t="s">
        <v>46647</v>
      </c>
      <c r="N11963" t="s">
        <v>47304</v>
      </c>
      <c r="O11963" t="s">
        <v>47305</v>
      </c>
      <c r="P11963">
        <v>0</v>
      </c>
      <c r="Q11963">
        <v>0</v>
      </c>
      <c r="R11963" t="s">
        <v>47318</v>
      </c>
      <c r="S11963" t="s">
        <v>47736</v>
      </c>
      <c r="T11963" t="s">
        <v>49004</v>
      </c>
      <c r="U11963" t="s">
        <v>59425</v>
      </c>
      <c r="V11963" t="s">
        <v>63923</v>
      </c>
      <c r="W11963" t="s">
        <v>46647</v>
      </c>
      <c r="X11963" t="s">
        <v>47325</v>
      </c>
    </row>
    <row r="11964" spans="1:24">
      <c r="A11964">
        <f>HYPERLINK("https://www.philgeps.gov.ph/GEPSNONPILOT/Tender/SplashBidNoticeAbstractUI.aspx?menuIndex=3&amp;refID=7166587&amp;Result=3","7166587")</f>
        <v>0</v>
      </c>
      <c r="B11964" t="s">
        <v>3394</v>
      </c>
      <c r="C11964" t="s">
        <v>15167</v>
      </c>
      <c r="E11964" t="s">
        <v>29240</v>
      </c>
      <c r="F11964" t="s">
        <v>32606</v>
      </c>
      <c r="G11964" t="s">
        <v>32619</v>
      </c>
      <c r="H11964" t="s">
        <v>14201</v>
      </c>
      <c r="I11964" t="s">
        <v>6993</v>
      </c>
      <c r="J11964" t="s">
        <v>40206</v>
      </c>
      <c r="K11964" t="s">
        <v>42624</v>
      </c>
      <c r="M11964" t="s">
        <v>46647</v>
      </c>
      <c r="N11964" t="s">
        <v>47304</v>
      </c>
      <c r="O11964" t="s">
        <v>47305</v>
      </c>
      <c r="P11964">
        <v>0</v>
      </c>
      <c r="Q11964">
        <v>0</v>
      </c>
      <c r="R11964" t="s">
        <v>47318</v>
      </c>
      <c r="S11964" t="s">
        <v>47736</v>
      </c>
      <c r="T11964" t="s">
        <v>49004</v>
      </c>
      <c r="U11964" t="s">
        <v>59426</v>
      </c>
      <c r="V11964" t="s">
        <v>63923</v>
      </c>
      <c r="W11964" t="s">
        <v>46647</v>
      </c>
      <c r="X11964" t="s">
        <v>47322</v>
      </c>
    </row>
    <row r="11965" spans="1:24">
      <c r="A11965">
        <f>HYPERLINK("https://www.philgeps.gov.ph/GEPSNONPILOT/Tender/SplashBidNoticeAbstractUI.aspx?menuIndex=3&amp;refID=7169828&amp;Result=3","7169828")</f>
        <v>0</v>
      </c>
      <c r="B11965" t="s">
        <v>251</v>
      </c>
      <c r="C11965" t="s">
        <v>15168</v>
      </c>
      <c r="D11965" t="s">
        <v>19023</v>
      </c>
      <c r="E11965" t="s">
        <v>29260</v>
      </c>
      <c r="F11965" t="s">
        <v>32606</v>
      </c>
      <c r="G11965" t="s">
        <v>32615</v>
      </c>
      <c r="H11965" t="s">
        <v>14201</v>
      </c>
      <c r="I11965" t="s">
        <v>32656</v>
      </c>
      <c r="J11965" t="s">
        <v>32767</v>
      </c>
      <c r="K11965" t="s">
        <v>42623</v>
      </c>
      <c r="M11965" t="s">
        <v>43152</v>
      </c>
      <c r="N11965" t="s">
        <v>47304</v>
      </c>
      <c r="O11965" t="s">
        <v>47305</v>
      </c>
      <c r="P11965">
        <v>0</v>
      </c>
      <c r="Q11965">
        <v>4</v>
      </c>
      <c r="R11965" t="s">
        <v>47318</v>
      </c>
      <c r="S11965" t="s">
        <v>47736</v>
      </c>
      <c r="T11965" t="s">
        <v>49175</v>
      </c>
      <c r="U11965" t="s">
        <v>59427</v>
      </c>
      <c r="V11965" t="s">
        <v>63930</v>
      </c>
      <c r="W11965" t="s">
        <v>43152</v>
      </c>
      <c r="X11965" t="s">
        <v>47321</v>
      </c>
    </row>
    <row r="11966" spans="1:24">
      <c r="A11966">
        <f>HYPERLINK("https://www.philgeps.gov.ph/GEPSNONPILOT/Tender/SplashBidNoticeAbstractUI.aspx?menuIndex=3&amp;refID=7159013&amp;Result=3","7159013")</f>
        <v>0</v>
      </c>
      <c r="B11966" t="s">
        <v>2794</v>
      </c>
      <c r="C11966" t="s">
        <v>15120</v>
      </c>
      <c r="D11966" t="s">
        <v>18989</v>
      </c>
      <c r="E11966" t="s">
        <v>29261</v>
      </c>
      <c r="F11966" t="s">
        <v>32606</v>
      </c>
      <c r="G11966" t="s">
        <v>32613</v>
      </c>
      <c r="H11966" t="s">
        <v>32623</v>
      </c>
      <c r="I11966" t="s">
        <v>17648</v>
      </c>
      <c r="J11966" t="s">
        <v>32821</v>
      </c>
      <c r="K11966" t="s">
        <v>42624</v>
      </c>
      <c r="M11966" t="s">
        <v>45956</v>
      </c>
      <c r="N11966" t="s">
        <v>47304</v>
      </c>
      <c r="O11966" t="s">
        <v>47305</v>
      </c>
      <c r="P11966">
        <v>0</v>
      </c>
      <c r="Q11966">
        <v>1</v>
      </c>
      <c r="R11966" t="s">
        <v>47318</v>
      </c>
      <c r="S11966" t="s">
        <v>47736</v>
      </c>
      <c r="T11966" t="s">
        <v>49101</v>
      </c>
      <c r="U11966" t="s">
        <v>59382</v>
      </c>
      <c r="W11966" t="s">
        <v>45956</v>
      </c>
      <c r="X11966" t="s">
        <v>47326</v>
      </c>
    </row>
    <row r="11967" spans="1:24">
      <c r="A11967">
        <f>HYPERLINK("https://www.philgeps.gov.ph/GEPSNONPILOT/Tender/SplashBidNoticeAbstractUI.aspx?menuIndex=3&amp;refID=7168256&amp;Result=3","7168256")</f>
        <v>0</v>
      </c>
      <c r="B11967" t="s">
        <v>251</v>
      </c>
      <c r="C11967" t="s">
        <v>15169</v>
      </c>
      <c r="D11967" t="s">
        <v>19023</v>
      </c>
      <c r="E11967" t="s">
        <v>29262</v>
      </c>
      <c r="F11967" t="s">
        <v>32606</v>
      </c>
      <c r="G11967" t="s">
        <v>32613</v>
      </c>
      <c r="H11967" t="s">
        <v>14201</v>
      </c>
      <c r="I11967" t="s">
        <v>32629</v>
      </c>
      <c r="J11967" t="s">
        <v>40207</v>
      </c>
      <c r="K11967" t="s">
        <v>42623</v>
      </c>
      <c r="M11967" t="s">
        <v>43152</v>
      </c>
      <c r="N11967" t="s">
        <v>47304</v>
      </c>
      <c r="O11967" t="s">
        <v>47305</v>
      </c>
      <c r="P11967">
        <v>0</v>
      </c>
      <c r="Q11967">
        <v>0</v>
      </c>
      <c r="R11967" t="s">
        <v>47318</v>
      </c>
      <c r="S11967" t="s">
        <v>47736</v>
      </c>
      <c r="T11967" t="s">
        <v>49175</v>
      </c>
      <c r="U11967" t="s">
        <v>59428</v>
      </c>
      <c r="V11967" t="s">
        <v>63930</v>
      </c>
      <c r="W11967" t="s">
        <v>43152</v>
      </c>
      <c r="X11967" t="s">
        <v>47321</v>
      </c>
    </row>
    <row r="11968" spans="1:24">
      <c r="A11968">
        <f>HYPERLINK("https://www.philgeps.gov.ph/GEPSNONPILOT/Tender/SplashBidNoticeAbstractUI.aspx?menuIndex=3&amp;refID=7169706&amp;Result=3","7169706")</f>
        <v>0</v>
      </c>
      <c r="B11968" t="s">
        <v>251</v>
      </c>
      <c r="C11968" t="s">
        <v>15170</v>
      </c>
      <c r="D11968" t="s">
        <v>19023</v>
      </c>
      <c r="E11968" t="s">
        <v>29263</v>
      </c>
      <c r="F11968" t="s">
        <v>32606</v>
      </c>
      <c r="G11968" t="s">
        <v>32613</v>
      </c>
      <c r="H11968" t="s">
        <v>14201</v>
      </c>
      <c r="I11968" t="s">
        <v>32664</v>
      </c>
      <c r="J11968" t="s">
        <v>40208</v>
      </c>
      <c r="K11968" t="s">
        <v>42623</v>
      </c>
      <c r="M11968" t="s">
        <v>43152</v>
      </c>
      <c r="N11968" t="s">
        <v>47304</v>
      </c>
      <c r="O11968" t="s">
        <v>47305</v>
      </c>
      <c r="P11968">
        <v>0</v>
      </c>
      <c r="Q11968">
        <v>2</v>
      </c>
      <c r="R11968" t="s">
        <v>47318</v>
      </c>
      <c r="S11968" t="s">
        <v>47736</v>
      </c>
      <c r="T11968" t="s">
        <v>49175</v>
      </c>
      <c r="U11968" t="s">
        <v>59429</v>
      </c>
      <c r="V11968" t="s">
        <v>63930</v>
      </c>
      <c r="W11968" t="s">
        <v>43152</v>
      </c>
      <c r="X11968" t="s">
        <v>47321</v>
      </c>
    </row>
    <row r="11969" spans="1:24">
      <c r="A11969">
        <f>HYPERLINK("https://www.philgeps.gov.ph/GEPSNONPILOT/Tender/SplashBidNoticeAbstractUI.aspx?menuIndex=3&amp;refID=7168181&amp;Result=3","7168181")</f>
        <v>0</v>
      </c>
      <c r="B11969" t="s">
        <v>3394</v>
      </c>
      <c r="C11969" t="s">
        <v>15171</v>
      </c>
      <c r="E11969" t="s">
        <v>29264</v>
      </c>
      <c r="F11969" t="s">
        <v>32606</v>
      </c>
      <c r="G11969" t="s">
        <v>32619</v>
      </c>
      <c r="H11969" t="s">
        <v>14201</v>
      </c>
      <c r="I11969" t="s">
        <v>4120</v>
      </c>
      <c r="J11969" t="s">
        <v>40209</v>
      </c>
      <c r="K11969" t="s">
        <v>42624</v>
      </c>
      <c r="M11969" t="s">
        <v>46647</v>
      </c>
      <c r="N11969" t="s">
        <v>47304</v>
      </c>
      <c r="O11969" t="s">
        <v>47305</v>
      </c>
      <c r="P11969">
        <v>0</v>
      </c>
      <c r="Q11969">
        <v>0</v>
      </c>
      <c r="R11969" t="s">
        <v>47318</v>
      </c>
      <c r="S11969" t="s">
        <v>47736</v>
      </c>
      <c r="T11969" t="s">
        <v>49004</v>
      </c>
      <c r="U11969" t="s">
        <v>59430</v>
      </c>
      <c r="V11969" t="s">
        <v>63923</v>
      </c>
      <c r="W11969" t="s">
        <v>46647</v>
      </c>
      <c r="X11969" t="s">
        <v>47321</v>
      </c>
    </row>
    <row r="11970" spans="1:24">
      <c r="A11970">
        <f>HYPERLINK("https://www.philgeps.gov.ph/GEPSNONPILOT/Tender/SplashBidNoticeAbstractUI.aspx?menuIndex=3&amp;refID=7168110&amp;Result=3","7168110")</f>
        <v>0</v>
      </c>
      <c r="B11970" t="s">
        <v>3403</v>
      </c>
      <c r="C11970" t="s">
        <v>15172</v>
      </c>
      <c r="D11970" t="s">
        <v>19022</v>
      </c>
      <c r="E11970" t="s">
        <v>24942</v>
      </c>
      <c r="F11970" t="s">
        <v>32606</v>
      </c>
      <c r="G11970" t="s">
        <v>32613</v>
      </c>
      <c r="H11970" t="s">
        <v>32623</v>
      </c>
      <c r="I11970" t="s">
        <v>17648</v>
      </c>
      <c r="J11970" t="s">
        <v>33382</v>
      </c>
      <c r="K11970" t="s">
        <v>42646</v>
      </c>
      <c r="M11970" t="s">
        <v>46657</v>
      </c>
      <c r="N11970" t="s">
        <v>47304</v>
      </c>
      <c r="O11970" t="s">
        <v>47305</v>
      </c>
      <c r="P11970">
        <v>0</v>
      </c>
      <c r="Q11970">
        <v>1</v>
      </c>
      <c r="R11970" t="s">
        <v>47318</v>
      </c>
      <c r="S11970" t="s">
        <v>47736</v>
      </c>
      <c r="T11970" t="s">
        <v>49066</v>
      </c>
      <c r="U11970" t="s">
        <v>59431</v>
      </c>
      <c r="W11970" t="s">
        <v>46657</v>
      </c>
      <c r="X11970" t="s">
        <v>47321</v>
      </c>
    </row>
    <row r="11971" spans="1:24">
      <c r="A11971">
        <f>HYPERLINK("https://www.philgeps.gov.ph/GEPSNONPILOT/Tender/SplashBidNoticeAbstractUI.aspx?menuIndex=3&amp;refID=7168240&amp;Result=3","7168240")</f>
        <v>0</v>
      </c>
      <c r="B11971" t="s">
        <v>251</v>
      </c>
      <c r="C11971" t="s">
        <v>15173</v>
      </c>
      <c r="D11971" t="s">
        <v>19023</v>
      </c>
      <c r="E11971" t="s">
        <v>29265</v>
      </c>
      <c r="F11971" t="s">
        <v>32606</v>
      </c>
      <c r="G11971" t="s">
        <v>32615</v>
      </c>
      <c r="H11971" t="s">
        <v>14201</v>
      </c>
      <c r="I11971" t="s">
        <v>32657</v>
      </c>
      <c r="J11971" t="s">
        <v>32853</v>
      </c>
      <c r="K11971" t="s">
        <v>42623</v>
      </c>
      <c r="M11971" t="s">
        <v>43152</v>
      </c>
      <c r="N11971" t="s">
        <v>47304</v>
      </c>
      <c r="O11971" t="s">
        <v>47305</v>
      </c>
      <c r="P11971">
        <v>0</v>
      </c>
      <c r="Q11971">
        <v>1</v>
      </c>
      <c r="R11971" t="s">
        <v>47318</v>
      </c>
      <c r="S11971" t="s">
        <v>47736</v>
      </c>
      <c r="T11971" t="s">
        <v>49175</v>
      </c>
      <c r="U11971" t="s">
        <v>59432</v>
      </c>
      <c r="V11971" t="s">
        <v>63930</v>
      </c>
      <c r="W11971" t="s">
        <v>43152</v>
      </c>
      <c r="X11971" t="s">
        <v>47321</v>
      </c>
    </row>
    <row r="11972" spans="1:24">
      <c r="A11972">
        <f>HYPERLINK("https://www.philgeps.gov.ph/GEPSNONPILOT/Tender/SplashBidNoticeAbstractUI.aspx?menuIndex=3&amp;refID=7171756&amp;Result=3","7171756")</f>
        <v>0</v>
      </c>
      <c r="B11972" t="s">
        <v>3404</v>
      </c>
      <c r="C11972" t="s">
        <v>15174</v>
      </c>
      <c r="D11972" t="s">
        <v>19039</v>
      </c>
      <c r="E11972" t="s">
        <v>29266</v>
      </c>
      <c r="F11972" t="s">
        <v>32606</v>
      </c>
      <c r="G11972" t="s">
        <v>32613</v>
      </c>
      <c r="H11972" t="s">
        <v>14201</v>
      </c>
      <c r="I11972" t="s">
        <v>32626</v>
      </c>
      <c r="J11972" t="s">
        <v>32765</v>
      </c>
      <c r="K11972" t="s">
        <v>42631</v>
      </c>
      <c r="L11972" t="s">
        <v>3404</v>
      </c>
      <c r="M11972" t="s">
        <v>46658</v>
      </c>
      <c r="N11972" t="s">
        <v>47304</v>
      </c>
      <c r="O11972" t="s">
        <v>47305</v>
      </c>
      <c r="P11972">
        <v>0</v>
      </c>
      <c r="Q11972">
        <v>0</v>
      </c>
      <c r="R11972" t="s">
        <v>47318</v>
      </c>
      <c r="S11972" t="s">
        <v>47736</v>
      </c>
      <c r="T11972" t="s">
        <v>49215</v>
      </c>
      <c r="U11972" t="s">
        <v>59433</v>
      </c>
      <c r="V11972" t="s">
        <v>63931</v>
      </c>
      <c r="W11972" t="s">
        <v>46658</v>
      </c>
      <c r="X11972" t="s">
        <v>47320</v>
      </c>
    </row>
    <row r="11973" spans="1:24">
      <c r="A11973">
        <f>HYPERLINK("https://www.philgeps.gov.ph/GEPSNONPILOT/Tender/SplashBidNoticeAbstractUI.aspx?menuIndex=3&amp;refID=7168250&amp;Result=3","7168250")</f>
        <v>0</v>
      </c>
      <c r="B11973" t="s">
        <v>1206</v>
      </c>
      <c r="C11973" t="s">
        <v>15175</v>
      </c>
      <c r="D11973" t="s">
        <v>19010</v>
      </c>
      <c r="E11973" t="s">
        <v>29267</v>
      </c>
      <c r="F11973" t="s">
        <v>32606</v>
      </c>
      <c r="G11973" t="s">
        <v>32613</v>
      </c>
      <c r="H11973" t="s">
        <v>32623</v>
      </c>
      <c r="I11973" t="s">
        <v>6931</v>
      </c>
      <c r="J11973" t="s">
        <v>34117</v>
      </c>
      <c r="K11973" t="s">
        <v>42645</v>
      </c>
      <c r="M11973" t="s">
        <v>44170</v>
      </c>
      <c r="N11973" t="s">
        <v>47304</v>
      </c>
      <c r="O11973" t="s">
        <v>47305</v>
      </c>
      <c r="P11973">
        <v>0</v>
      </c>
      <c r="Q11973">
        <v>4</v>
      </c>
      <c r="R11973" t="s">
        <v>47318</v>
      </c>
      <c r="S11973" t="s">
        <v>47736</v>
      </c>
      <c r="T11973" t="s">
        <v>49165</v>
      </c>
      <c r="U11973" t="s">
        <v>59434</v>
      </c>
      <c r="W11973" t="s">
        <v>44170</v>
      </c>
      <c r="X11973" t="s">
        <v>47321</v>
      </c>
    </row>
    <row r="11974" spans="1:24">
      <c r="A11974">
        <f>HYPERLINK("https://www.philgeps.gov.ph/GEPSNONPILOT/Tender/SplashBidNoticeAbstractUI.aspx?menuIndex=3&amp;refID=7174207&amp;Result=3","7174207")</f>
        <v>0</v>
      </c>
      <c r="B11974" t="s">
        <v>3405</v>
      </c>
      <c r="C11974" t="s">
        <v>15176</v>
      </c>
      <c r="D11974" t="s">
        <v>19033</v>
      </c>
      <c r="E11974" t="s">
        <v>29268</v>
      </c>
      <c r="F11974" t="s">
        <v>32606</v>
      </c>
      <c r="G11974" t="s">
        <v>32613</v>
      </c>
      <c r="H11974" t="s">
        <v>32623</v>
      </c>
      <c r="I11974" t="s">
        <v>32659</v>
      </c>
      <c r="J11974" t="s">
        <v>32767</v>
      </c>
      <c r="K11974" t="s">
        <v>42645</v>
      </c>
      <c r="M11974" t="s">
        <v>46659</v>
      </c>
      <c r="N11974" t="s">
        <v>47304</v>
      </c>
      <c r="O11974" t="s">
        <v>47305</v>
      </c>
      <c r="P11974">
        <v>0</v>
      </c>
      <c r="Q11974">
        <v>15</v>
      </c>
      <c r="R11974" t="s">
        <v>47318</v>
      </c>
      <c r="S11974" t="s">
        <v>47736</v>
      </c>
      <c r="T11974" t="s">
        <v>49077</v>
      </c>
      <c r="U11974" t="s">
        <v>59435</v>
      </c>
      <c r="W11974" t="s">
        <v>46659</v>
      </c>
      <c r="X11974" t="s">
        <v>47319</v>
      </c>
    </row>
    <row r="11975" spans="1:24">
      <c r="A11975">
        <f>HYPERLINK("https://www.philgeps.gov.ph/GEPSNONPILOT/Tender/SplashBidNoticeAbstractUI.aspx?menuIndex=3&amp;refID=7174211&amp;Result=3","7174211")</f>
        <v>0</v>
      </c>
      <c r="B11975" t="s">
        <v>3405</v>
      </c>
      <c r="C11975" t="s">
        <v>15176</v>
      </c>
      <c r="D11975" t="s">
        <v>19033</v>
      </c>
      <c r="E11975" t="s">
        <v>29269</v>
      </c>
      <c r="F11975" t="s">
        <v>32606</v>
      </c>
      <c r="G11975" t="s">
        <v>32613</v>
      </c>
      <c r="H11975" t="s">
        <v>32623</v>
      </c>
      <c r="I11975" t="s">
        <v>32659</v>
      </c>
      <c r="J11975" t="s">
        <v>32772</v>
      </c>
      <c r="K11975" t="s">
        <v>42645</v>
      </c>
      <c r="M11975" t="s">
        <v>46659</v>
      </c>
      <c r="N11975" t="s">
        <v>47304</v>
      </c>
      <c r="O11975" t="s">
        <v>47305</v>
      </c>
      <c r="P11975">
        <v>0</v>
      </c>
      <c r="Q11975">
        <v>15</v>
      </c>
      <c r="R11975" t="s">
        <v>47318</v>
      </c>
      <c r="S11975" t="s">
        <v>47736</v>
      </c>
      <c r="T11975" t="s">
        <v>49077</v>
      </c>
      <c r="U11975" t="s">
        <v>59436</v>
      </c>
      <c r="W11975" t="s">
        <v>46659</v>
      </c>
      <c r="X11975" t="s">
        <v>47319</v>
      </c>
    </row>
    <row r="11976" spans="1:24">
      <c r="A11976">
        <f>HYPERLINK("https://www.philgeps.gov.ph/GEPSNONPILOT/Tender/SplashBidNoticeAbstractUI.aspx?menuIndex=3&amp;refID=7174212&amp;Result=3","7174212")</f>
        <v>0</v>
      </c>
      <c r="B11976" t="s">
        <v>3405</v>
      </c>
      <c r="C11976" t="s">
        <v>15176</v>
      </c>
      <c r="D11976" t="s">
        <v>19033</v>
      </c>
      <c r="E11976" t="s">
        <v>29270</v>
      </c>
      <c r="F11976" t="s">
        <v>32606</v>
      </c>
      <c r="G11976" t="s">
        <v>32613</v>
      </c>
      <c r="H11976" t="s">
        <v>32623</v>
      </c>
      <c r="I11976" t="s">
        <v>32659</v>
      </c>
      <c r="J11976" t="s">
        <v>32767</v>
      </c>
      <c r="K11976" t="s">
        <v>42648</v>
      </c>
      <c r="M11976" t="s">
        <v>46659</v>
      </c>
      <c r="N11976" t="s">
        <v>47304</v>
      </c>
      <c r="O11976" t="s">
        <v>47305</v>
      </c>
      <c r="P11976">
        <v>0</v>
      </c>
      <c r="Q11976">
        <v>15</v>
      </c>
      <c r="R11976" t="s">
        <v>47318</v>
      </c>
      <c r="S11976" t="s">
        <v>47736</v>
      </c>
      <c r="T11976" t="s">
        <v>49077</v>
      </c>
      <c r="U11976" t="s">
        <v>59437</v>
      </c>
      <c r="W11976" t="s">
        <v>46659</v>
      </c>
      <c r="X11976" t="s">
        <v>47319</v>
      </c>
    </row>
    <row r="11977" spans="1:24">
      <c r="A11977">
        <f>HYPERLINK("https://www.philgeps.gov.ph/GEPSNONPILOT/Tender/SplashBidNoticeAbstractUI.aspx?menuIndex=3&amp;refID=7174210&amp;Result=3","7174210")</f>
        <v>0</v>
      </c>
      <c r="B11977" t="s">
        <v>3405</v>
      </c>
      <c r="C11977" t="s">
        <v>15176</v>
      </c>
      <c r="D11977" t="s">
        <v>19033</v>
      </c>
      <c r="E11977" t="s">
        <v>29271</v>
      </c>
      <c r="F11977" t="s">
        <v>32606</v>
      </c>
      <c r="G11977" t="s">
        <v>32613</v>
      </c>
      <c r="H11977" t="s">
        <v>32623</v>
      </c>
      <c r="I11977" t="s">
        <v>32659</v>
      </c>
      <c r="J11977" t="s">
        <v>32767</v>
      </c>
      <c r="K11977" t="s">
        <v>42648</v>
      </c>
      <c r="M11977" t="s">
        <v>46659</v>
      </c>
      <c r="N11977" t="s">
        <v>47304</v>
      </c>
      <c r="O11977" t="s">
        <v>47305</v>
      </c>
      <c r="P11977">
        <v>0</v>
      </c>
      <c r="Q11977">
        <v>15</v>
      </c>
      <c r="R11977" t="s">
        <v>47318</v>
      </c>
      <c r="S11977" t="s">
        <v>47736</v>
      </c>
      <c r="T11977" t="s">
        <v>49077</v>
      </c>
      <c r="U11977" t="s">
        <v>59438</v>
      </c>
      <c r="W11977" t="s">
        <v>46659</v>
      </c>
      <c r="X11977" t="s">
        <v>47319</v>
      </c>
    </row>
    <row r="11978" spans="1:24">
      <c r="A11978">
        <f>HYPERLINK("https://www.philgeps.gov.ph/GEPSNONPILOT/Tender/SplashBidNoticeAbstractUI.aspx?menuIndex=3&amp;refID=7174209&amp;Result=3","7174209")</f>
        <v>0</v>
      </c>
      <c r="B11978" t="s">
        <v>3405</v>
      </c>
      <c r="C11978" t="s">
        <v>15176</v>
      </c>
      <c r="D11978" t="s">
        <v>19033</v>
      </c>
      <c r="E11978" t="s">
        <v>29272</v>
      </c>
      <c r="F11978" t="s">
        <v>32606</v>
      </c>
      <c r="G11978" t="s">
        <v>32613</v>
      </c>
      <c r="H11978" t="s">
        <v>32623</v>
      </c>
      <c r="I11978" t="s">
        <v>32659</v>
      </c>
      <c r="J11978" t="s">
        <v>32795</v>
      </c>
      <c r="K11978" t="s">
        <v>42645</v>
      </c>
      <c r="M11978" t="s">
        <v>46659</v>
      </c>
      <c r="N11978" t="s">
        <v>47304</v>
      </c>
      <c r="O11978" t="s">
        <v>47305</v>
      </c>
      <c r="P11978">
        <v>0</v>
      </c>
      <c r="Q11978">
        <v>16</v>
      </c>
      <c r="R11978" t="s">
        <v>47318</v>
      </c>
      <c r="S11978" t="s">
        <v>47736</v>
      </c>
      <c r="T11978" t="s">
        <v>49077</v>
      </c>
      <c r="U11978" t="s">
        <v>59439</v>
      </c>
      <c r="W11978" t="s">
        <v>46659</v>
      </c>
      <c r="X11978" t="s">
        <v>47319</v>
      </c>
    </row>
    <row r="11979" spans="1:24">
      <c r="A11979">
        <f>HYPERLINK("https://www.philgeps.gov.ph/GEPSNONPILOT/Tender/SplashBidNoticeAbstractUI.aspx?menuIndex=3&amp;refID=7174202&amp;Result=3","7174202")</f>
        <v>0</v>
      </c>
      <c r="B11979" t="s">
        <v>1152</v>
      </c>
      <c r="C11979" t="s">
        <v>15177</v>
      </c>
      <c r="D11979" t="s">
        <v>19010</v>
      </c>
      <c r="E11979" t="s">
        <v>29273</v>
      </c>
      <c r="F11979" t="s">
        <v>32607</v>
      </c>
      <c r="G11979" t="s">
        <v>32613</v>
      </c>
      <c r="H11979" t="s">
        <v>14201</v>
      </c>
      <c r="I11979" t="s">
        <v>32662</v>
      </c>
      <c r="J11979" t="s">
        <v>32765</v>
      </c>
      <c r="K11979" t="s">
        <v>42623</v>
      </c>
      <c r="L11979" t="s">
        <v>1152</v>
      </c>
      <c r="M11979" t="s">
        <v>44115</v>
      </c>
      <c r="N11979" t="s">
        <v>47304</v>
      </c>
      <c r="O11979" t="s">
        <v>47305</v>
      </c>
      <c r="P11979">
        <v>0</v>
      </c>
      <c r="Q11979">
        <v>2</v>
      </c>
      <c r="R11979" t="s">
        <v>47318</v>
      </c>
      <c r="S11979" t="s">
        <v>47736</v>
      </c>
      <c r="T11979" t="s">
        <v>49116</v>
      </c>
      <c r="U11979" t="s">
        <v>59440</v>
      </c>
      <c r="V11979" t="s">
        <v>63932</v>
      </c>
      <c r="W11979" t="s">
        <v>44115</v>
      </c>
      <c r="X11979" t="s">
        <v>47319</v>
      </c>
    </row>
    <row r="11980" spans="1:24">
      <c r="A11980">
        <f>HYPERLINK("https://www.philgeps.gov.ph/GEPSNONPILOT/Tender/SplashBidNoticeAbstractUI.aspx?menuIndex=3&amp;refID=7169767&amp;Result=3","7169767")</f>
        <v>0</v>
      </c>
      <c r="B11980" t="s">
        <v>251</v>
      </c>
      <c r="C11980" t="s">
        <v>15178</v>
      </c>
      <c r="D11980" t="s">
        <v>19023</v>
      </c>
      <c r="E11980" t="s">
        <v>29274</v>
      </c>
      <c r="F11980" t="s">
        <v>32606</v>
      </c>
      <c r="G11980" t="s">
        <v>32615</v>
      </c>
      <c r="H11980" t="s">
        <v>14201</v>
      </c>
      <c r="I11980" t="s">
        <v>7577</v>
      </c>
      <c r="J11980" t="s">
        <v>32770</v>
      </c>
      <c r="K11980" t="s">
        <v>42623</v>
      </c>
      <c r="M11980" t="s">
        <v>43152</v>
      </c>
      <c r="N11980" t="s">
        <v>47304</v>
      </c>
      <c r="O11980" t="s">
        <v>47305</v>
      </c>
      <c r="P11980">
        <v>0</v>
      </c>
      <c r="Q11980">
        <v>2</v>
      </c>
      <c r="R11980" t="s">
        <v>47318</v>
      </c>
      <c r="S11980" t="s">
        <v>47736</v>
      </c>
      <c r="T11980" t="s">
        <v>49466</v>
      </c>
      <c r="U11980" t="s">
        <v>59441</v>
      </c>
      <c r="V11980" t="s">
        <v>63930</v>
      </c>
      <c r="W11980" t="s">
        <v>43152</v>
      </c>
      <c r="X11980" t="s">
        <v>47321</v>
      </c>
    </row>
    <row r="11981" spans="1:24">
      <c r="A11981">
        <f>HYPERLINK("https://www.philgeps.gov.ph/GEPSNONPILOT/Tender/SplashBidNoticeAbstractUI.aspx?menuIndex=3&amp;refID=7174187&amp;Result=3","7174187")</f>
        <v>0</v>
      </c>
      <c r="B11981" t="s">
        <v>3378</v>
      </c>
      <c r="C11981" t="s">
        <v>15179</v>
      </c>
      <c r="D11981" t="s">
        <v>19050</v>
      </c>
      <c r="E11981" t="s">
        <v>29275</v>
      </c>
      <c r="F11981" t="s">
        <v>32606</v>
      </c>
      <c r="G11981" t="s">
        <v>32613</v>
      </c>
      <c r="H11981" t="s">
        <v>14201</v>
      </c>
      <c r="I11981" t="s">
        <v>6931</v>
      </c>
      <c r="J11981" t="s">
        <v>40210</v>
      </c>
      <c r="K11981" t="s">
        <v>42631</v>
      </c>
      <c r="M11981" t="s">
        <v>46628</v>
      </c>
      <c r="N11981" t="s">
        <v>47304</v>
      </c>
      <c r="O11981" t="s">
        <v>47305</v>
      </c>
      <c r="P11981">
        <v>0</v>
      </c>
      <c r="Q11981">
        <v>0</v>
      </c>
      <c r="R11981" t="s">
        <v>47318</v>
      </c>
      <c r="S11981" t="s">
        <v>47736</v>
      </c>
      <c r="T11981" t="s">
        <v>49465</v>
      </c>
      <c r="U11981" t="s">
        <v>59442</v>
      </c>
      <c r="W11981" t="s">
        <v>46628</v>
      </c>
      <c r="X11981" t="s">
        <v>47319</v>
      </c>
    </row>
    <row r="11982" spans="1:24">
      <c r="A11982">
        <f>HYPERLINK("https://www.philgeps.gov.ph/GEPSNONPILOT/Tender/SplashBidNoticeAbstractUI.aspx?menuIndex=3&amp;refID=7171260&amp;Result=3","7171260")</f>
        <v>0</v>
      </c>
      <c r="B11982" t="s">
        <v>1565</v>
      </c>
      <c r="C11982" t="s">
        <v>15180</v>
      </c>
      <c r="D11982" t="s">
        <v>19029</v>
      </c>
      <c r="E11982" t="s">
        <v>29276</v>
      </c>
      <c r="F11982" t="s">
        <v>32606</v>
      </c>
      <c r="G11982" t="s">
        <v>32613</v>
      </c>
      <c r="H11982" t="s">
        <v>14201</v>
      </c>
      <c r="I11982" t="s">
        <v>4112</v>
      </c>
      <c r="J11982" t="s">
        <v>40211</v>
      </c>
      <c r="K11982" t="s">
        <v>42625</v>
      </c>
      <c r="M11982" t="s">
        <v>45610</v>
      </c>
      <c r="N11982" t="s">
        <v>47304</v>
      </c>
      <c r="O11982" t="s">
        <v>47305</v>
      </c>
      <c r="P11982">
        <v>0</v>
      </c>
      <c r="Q11982">
        <v>3</v>
      </c>
      <c r="R11982" t="s">
        <v>47318</v>
      </c>
      <c r="S11982" t="s">
        <v>47736</v>
      </c>
      <c r="T11982" t="s">
        <v>49467</v>
      </c>
      <c r="U11982" t="s">
        <v>59443</v>
      </c>
      <c r="W11982" t="s">
        <v>45610</v>
      </c>
      <c r="X11982" t="s">
        <v>47320</v>
      </c>
    </row>
    <row r="11983" spans="1:24">
      <c r="A11983">
        <f>HYPERLINK("https://www.philgeps.gov.ph/GEPSNONPILOT/Tender/SplashBidNoticeAbstractUI.aspx?menuIndex=3&amp;refID=7174208&amp;Result=3","7174208")</f>
        <v>0</v>
      </c>
      <c r="B11983" t="s">
        <v>1940</v>
      </c>
      <c r="C11983" t="s">
        <v>15181</v>
      </c>
      <c r="D11983" t="s">
        <v>19038</v>
      </c>
      <c r="E11983" t="s">
        <v>29277</v>
      </c>
      <c r="F11983" t="s">
        <v>32606</v>
      </c>
      <c r="G11983" t="s">
        <v>32613</v>
      </c>
      <c r="H11983" t="s">
        <v>14201</v>
      </c>
      <c r="I11983" t="s">
        <v>32626</v>
      </c>
      <c r="J11983" t="s">
        <v>40212</v>
      </c>
      <c r="K11983" t="s">
        <v>42631</v>
      </c>
      <c r="M11983" t="s">
        <v>45001</v>
      </c>
      <c r="N11983" t="s">
        <v>47304</v>
      </c>
      <c r="O11983" t="s">
        <v>47305</v>
      </c>
      <c r="P11983">
        <v>0</v>
      </c>
      <c r="Q11983">
        <v>1</v>
      </c>
      <c r="R11983" t="s">
        <v>47318</v>
      </c>
      <c r="S11983" t="s">
        <v>47736</v>
      </c>
      <c r="T11983" t="s">
        <v>48996</v>
      </c>
      <c r="U11983" t="s">
        <v>59444</v>
      </c>
      <c r="W11983" t="s">
        <v>45001</v>
      </c>
      <c r="X11983" t="s">
        <v>47319</v>
      </c>
    </row>
    <row r="11984" spans="1:24">
      <c r="A11984">
        <f>HYPERLINK("https://www.philgeps.gov.ph/GEPSNONPILOT/Tender/SplashBidNoticeAbstractUI.aspx?menuIndex=3&amp;refID=7173547&amp;Result=3","7173547")</f>
        <v>0</v>
      </c>
      <c r="B11984" t="s">
        <v>3406</v>
      </c>
      <c r="C11984" t="s">
        <v>15182</v>
      </c>
      <c r="D11984" t="s">
        <v>18995</v>
      </c>
      <c r="E11984" t="s">
        <v>20998</v>
      </c>
      <c r="F11984" t="s">
        <v>32606</v>
      </c>
      <c r="G11984" t="s">
        <v>32613</v>
      </c>
      <c r="H11984" t="s">
        <v>14201</v>
      </c>
      <c r="I11984" t="s">
        <v>32626</v>
      </c>
      <c r="J11984" t="s">
        <v>40213</v>
      </c>
      <c r="K11984" t="s">
        <v>42623</v>
      </c>
      <c r="M11984" t="s">
        <v>46660</v>
      </c>
      <c r="N11984" t="s">
        <v>47304</v>
      </c>
      <c r="O11984" t="s">
        <v>47305</v>
      </c>
      <c r="P11984">
        <v>0</v>
      </c>
      <c r="Q11984">
        <v>11</v>
      </c>
      <c r="R11984" t="s">
        <v>47318</v>
      </c>
      <c r="S11984" t="s">
        <v>47736</v>
      </c>
      <c r="T11984" t="s">
        <v>48979</v>
      </c>
      <c r="U11984" t="s">
        <v>59445</v>
      </c>
      <c r="W11984" t="s">
        <v>46660</v>
      </c>
      <c r="X11984" t="s">
        <v>47320</v>
      </c>
    </row>
    <row r="11985" spans="1:24">
      <c r="A11985">
        <f>HYPERLINK("https://www.philgeps.gov.ph/GEPSNONPILOT/Tender/SplashBidNoticeAbstractUI.aspx?menuIndex=3&amp;refID=7174186&amp;Result=3","7174186")</f>
        <v>0</v>
      </c>
      <c r="B11985" t="s">
        <v>3378</v>
      </c>
      <c r="C11985" t="s">
        <v>15183</v>
      </c>
      <c r="D11985" t="s">
        <v>19050</v>
      </c>
      <c r="E11985" t="s">
        <v>29278</v>
      </c>
      <c r="F11985" t="s">
        <v>32606</v>
      </c>
      <c r="G11985" t="s">
        <v>32613</v>
      </c>
      <c r="H11985" t="s">
        <v>32623</v>
      </c>
      <c r="I11985" t="s">
        <v>17648</v>
      </c>
      <c r="J11985" t="s">
        <v>40214</v>
      </c>
      <c r="K11985" t="s">
        <v>42631</v>
      </c>
      <c r="M11985" t="s">
        <v>46628</v>
      </c>
      <c r="N11985" t="s">
        <v>47304</v>
      </c>
      <c r="O11985" t="s">
        <v>47305</v>
      </c>
      <c r="P11985">
        <v>0</v>
      </c>
      <c r="Q11985">
        <v>0</v>
      </c>
      <c r="R11985" t="s">
        <v>47318</v>
      </c>
      <c r="S11985" t="s">
        <v>47736</v>
      </c>
      <c r="T11985" t="s">
        <v>49465</v>
      </c>
      <c r="U11985" t="s">
        <v>59446</v>
      </c>
      <c r="W11985" t="s">
        <v>46628</v>
      </c>
      <c r="X11985" t="s">
        <v>47319</v>
      </c>
    </row>
    <row r="11986" spans="1:24">
      <c r="A11986">
        <f>HYPERLINK("https://www.philgeps.gov.ph/GEPSNONPILOT/Tender/SplashBidNoticeAbstractUI.aspx?menuIndex=3&amp;refID=7173947&amp;Result=3","7173947")</f>
        <v>0</v>
      </c>
      <c r="B11986" t="s">
        <v>355</v>
      </c>
      <c r="C11986" t="s">
        <v>15184</v>
      </c>
      <c r="D11986" t="s">
        <v>19021</v>
      </c>
      <c r="E11986" t="s">
        <v>29279</v>
      </c>
      <c r="F11986" t="s">
        <v>32606</v>
      </c>
      <c r="G11986" t="s">
        <v>32613</v>
      </c>
      <c r="H11986" t="s">
        <v>32625</v>
      </c>
      <c r="I11986" t="s">
        <v>32625</v>
      </c>
      <c r="J11986" t="s">
        <v>39852</v>
      </c>
      <c r="K11986" t="s">
        <v>42636</v>
      </c>
      <c r="M11986" t="s">
        <v>43257</v>
      </c>
      <c r="N11986" t="s">
        <v>47304</v>
      </c>
      <c r="O11986" t="s">
        <v>47305</v>
      </c>
      <c r="P11986">
        <v>0</v>
      </c>
      <c r="Q11986">
        <v>1</v>
      </c>
      <c r="R11986" t="s">
        <v>47318</v>
      </c>
      <c r="S11986" t="s">
        <v>47736</v>
      </c>
      <c r="T11986" t="s">
        <v>49017</v>
      </c>
      <c r="U11986" t="s">
        <v>59447</v>
      </c>
      <c r="W11986" t="s">
        <v>43257</v>
      </c>
      <c r="X11986" t="s">
        <v>47320</v>
      </c>
    </row>
    <row r="11987" spans="1:24">
      <c r="A11987">
        <f>HYPERLINK("https://www.philgeps.gov.ph/GEPSNONPILOT/Tender/SplashBidNoticeAbstractUI.aspx?menuIndex=3&amp;refID=7172459&amp;Result=3","7172459")</f>
        <v>0</v>
      </c>
      <c r="B11987" t="s">
        <v>2321</v>
      </c>
      <c r="C11987" t="s">
        <v>15185</v>
      </c>
      <c r="D11987" t="s">
        <v>19000</v>
      </c>
      <c r="E11987" t="s">
        <v>29280</v>
      </c>
      <c r="F11987" t="s">
        <v>32606</v>
      </c>
      <c r="G11987" t="s">
        <v>32613</v>
      </c>
      <c r="H11987" t="s">
        <v>32623</v>
      </c>
      <c r="I11987" t="s">
        <v>17648</v>
      </c>
      <c r="J11987" t="s">
        <v>36161</v>
      </c>
      <c r="K11987" t="s">
        <v>42697</v>
      </c>
      <c r="M11987" t="s">
        <v>46661</v>
      </c>
      <c r="N11987" t="s">
        <v>47304</v>
      </c>
      <c r="O11987" t="s">
        <v>47305</v>
      </c>
      <c r="P11987">
        <v>0</v>
      </c>
      <c r="Q11987">
        <v>2</v>
      </c>
      <c r="R11987" t="s">
        <v>47318</v>
      </c>
      <c r="S11987" t="s">
        <v>47736</v>
      </c>
      <c r="T11987" t="s">
        <v>49101</v>
      </c>
      <c r="U11987" t="s">
        <v>59448</v>
      </c>
      <c r="W11987" t="s">
        <v>46661</v>
      </c>
      <c r="X11987" t="s">
        <v>47320</v>
      </c>
    </row>
    <row r="11988" spans="1:24">
      <c r="A11988">
        <f>HYPERLINK("https://www.philgeps.gov.ph/GEPSNONPILOT/Tender/SplashBidNoticeAbstractUI.aspx?menuIndex=3&amp;refID=7172373&amp;Result=3","7172373")</f>
        <v>0</v>
      </c>
      <c r="B11988" t="s">
        <v>185</v>
      </c>
      <c r="C11988" t="s">
        <v>15186</v>
      </c>
      <c r="D11988" t="s">
        <v>19025</v>
      </c>
      <c r="E11988" t="s">
        <v>29281</v>
      </c>
      <c r="F11988" t="s">
        <v>32606</v>
      </c>
      <c r="G11988" t="s">
        <v>32613</v>
      </c>
      <c r="H11988" t="s">
        <v>14201</v>
      </c>
      <c r="I11988" t="s">
        <v>32640</v>
      </c>
      <c r="J11988" t="s">
        <v>40215</v>
      </c>
      <c r="K11988" t="s">
        <v>42622</v>
      </c>
      <c r="M11988" t="s">
        <v>43350</v>
      </c>
      <c r="N11988" t="s">
        <v>47304</v>
      </c>
      <c r="O11988" t="s">
        <v>47305</v>
      </c>
      <c r="P11988">
        <v>0</v>
      </c>
      <c r="Q11988">
        <v>4</v>
      </c>
      <c r="R11988" t="s">
        <v>47318</v>
      </c>
      <c r="S11988" t="s">
        <v>47736</v>
      </c>
      <c r="T11988" t="s">
        <v>49075</v>
      </c>
      <c r="U11988" t="s">
        <v>50321</v>
      </c>
      <c r="V11988" t="s">
        <v>62747</v>
      </c>
      <c r="W11988" t="s">
        <v>64433</v>
      </c>
      <c r="X11988" t="s">
        <v>47320</v>
      </c>
    </row>
    <row r="11989" spans="1:24">
      <c r="A11989">
        <f>HYPERLINK("https://www.philgeps.gov.ph/GEPSNONPILOT/Tender/SplashBidNoticeAbstractUI.aspx?menuIndex=3&amp;refID=7172121&amp;Result=3","7172121")</f>
        <v>0</v>
      </c>
      <c r="B11989" t="s">
        <v>2115</v>
      </c>
      <c r="C11989" t="s">
        <v>15187</v>
      </c>
      <c r="D11989" t="s">
        <v>19008</v>
      </c>
      <c r="E11989" t="s">
        <v>15187</v>
      </c>
      <c r="F11989" t="s">
        <v>32606</v>
      </c>
      <c r="G11989" t="s">
        <v>32613</v>
      </c>
      <c r="H11989" t="s">
        <v>14201</v>
      </c>
      <c r="I11989" t="s">
        <v>13131</v>
      </c>
      <c r="J11989" t="s">
        <v>39761</v>
      </c>
      <c r="K11989" t="s">
        <v>42638</v>
      </c>
      <c r="M11989" t="s">
        <v>45202</v>
      </c>
      <c r="N11989" t="s">
        <v>47304</v>
      </c>
      <c r="O11989" t="s">
        <v>47305</v>
      </c>
      <c r="P11989">
        <v>0</v>
      </c>
      <c r="Q11989">
        <v>2</v>
      </c>
      <c r="R11989" t="s">
        <v>47318</v>
      </c>
      <c r="S11989" t="s">
        <v>47736</v>
      </c>
      <c r="T11989" t="s">
        <v>49071</v>
      </c>
      <c r="U11989" t="s">
        <v>59449</v>
      </c>
      <c r="V11989" t="s">
        <v>63615</v>
      </c>
      <c r="W11989" t="s">
        <v>45202</v>
      </c>
      <c r="X11989" t="s">
        <v>47320</v>
      </c>
    </row>
    <row r="11990" spans="1:24">
      <c r="A11990">
        <f>HYPERLINK("https://www.philgeps.gov.ph/GEPSNONPILOT/Tender/SplashBidNoticeAbstractUI.aspx?menuIndex=3&amp;refID=7171898&amp;Result=3","7171898")</f>
        <v>0</v>
      </c>
      <c r="B11990" t="s">
        <v>3404</v>
      </c>
      <c r="C11990" t="s">
        <v>15188</v>
      </c>
      <c r="D11990" t="s">
        <v>19039</v>
      </c>
      <c r="E11990" t="s">
        <v>29282</v>
      </c>
      <c r="F11990" t="s">
        <v>32606</v>
      </c>
      <c r="G11990" t="s">
        <v>32613</v>
      </c>
      <c r="H11990" t="s">
        <v>14201</v>
      </c>
      <c r="I11990" t="s">
        <v>7529</v>
      </c>
      <c r="J11990" t="s">
        <v>40216</v>
      </c>
      <c r="K11990" t="s">
        <v>42631</v>
      </c>
      <c r="L11990" t="s">
        <v>3404</v>
      </c>
      <c r="M11990" t="s">
        <v>46658</v>
      </c>
      <c r="N11990" t="s">
        <v>47304</v>
      </c>
      <c r="O11990" t="s">
        <v>47305</v>
      </c>
      <c r="P11990">
        <v>0</v>
      </c>
      <c r="Q11990">
        <v>3</v>
      </c>
      <c r="R11990" t="s">
        <v>47318</v>
      </c>
      <c r="S11990" t="s">
        <v>47736</v>
      </c>
      <c r="T11990" t="s">
        <v>49215</v>
      </c>
      <c r="U11990" t="s">
        <v>59450</v>
      </c>
      <c r="V11990" t="s">
        <v>63933</v>
      </c>
      <c r="W11990" t="s">
        <v>46658</v>
      </c>
      <c r="X11990" t="s">
        <v>47320</v>
      </c>
    </row>
    <row r="11991" spans="1:24">
      <c r="A11991">
        <f>HYPERLINK("https://www.philgeps.gov.ph/GEPSNONPILOT/Tender/SplashBidNoticeAbstractUI.aspx?menuIndex=3&amp;refID=7172874&amp;Result=3","7172874")</f>
        <v>0</v>
      </c>
      <c r="B11991" t="s">
        <v>900</v>
      </c>
      <c r="C11991" t="s">
        <v>15189</v>
      </c>
      <c r="D11991" t="s">
        <v>19005</v>
      </c>
      <c r="E11991" t="s">
        <v>19337</v>
      </c>
      <c r="F11991" t="s">
        <v>32606</v>
      </c>
      <c r="G11991" t="s">
        <v>32613</v>
      </c>
      <c r="H11991" t="s">
        <v>32623</v>
      </c>
      <c r="I11991" t="s">
        <v>17648</v>
      </c>
      <c r="J11991" t="s">
        <v>33934</v>
      </c>
      <c r="K11991" t="s">
        <v>42648</v>
      </c>
      <c r="M11991" t="s">
        <v>43837</v>
      </c>
      <c r="N11991" t="s">
        <v>47304</v>
      </c>
      <c r="O11991" t="s">
        <v>47305</v>
      </c>
      <c r="P11991">
        <v>0</v>
      </c>
      <c r="Q11991">
        <v>1</v>
      </c>
      <c r="R11991" t="s">
        <v>47318</v>
      </c>
      <c r="S11991" t="s">
        <v>47736</v>
      </c>
      <c r="T11991" t="s">
        <v>49064</v>
      </c>
      <c r="U11991" t="s">
        <v>59451</v>
      </c>
      <c r="W11991" t="s">
        <v>43837</v>
      </c>
      <c r="X11991" t="s">
        <v>47320</v>
      </c>
    </row>
    <row r="11992" spans="1:24">
      <c r="A11992">
        <f>HYPERLINK("https://www.philgeps.gov.ph/GEPSNONPILOT/Tender/SplashBidNoticeAbstractUI.aspx?menuIndex=3&amp;refID=7167771&amp;Result=3","7167771")</f>
        <v>0</v>
      </c>
      <c r="B11992" t="s">
        <v>3379</v>
      </c>
      <c r="C11992" t="s">
        <v>15190</v>
      </c>
      <c r="D11992" t="s">
        <v>19019</v>
      </c>
      <c r="E11992" t="s">
        <v>29283</v>
      </c>
      <c r="F11992" t="s">
        <v>32606</v>
      </c>
      <c r="G11992" t="s">
        <v>32613</v>
      </c>
      <c r="H11992" t="s">
        <v>32623</v>
      </c>
      <c r="I11992" t="s">
        <v>17648</v>
      </c>
      <c r="J11992" t="s">
        <v>33385</v>
      </c>
      <c r="K11992" t="s">
        <v>42636</v>
      </c>
      <c r="M11992" t="s">
        <v>46630</v>
      </c>
      <c r="N11992" t="s">
        <v>47304</v>
      </c>
      <c r="O11992" t="s">
        <v>47305</v>
      </c>
      <c r="P11992">
        <v>0</v>
      </c>
      <c r="Q11992">
        <v>1</v>
      </c>
      <c r="R11992" t="s">
        <v>47318</v>
      </c>
      <c r="S11992" t="s">
        <v>47736</v>
      </c>
      <c r="T11992" t="s">
        <v>49016</v>
      </c>
      <c r="U11992" t="s">
        <v>59452</v>
      </c>
      <c r="W11992" t="s">
        <v>64536</v>
      </c>
      <c r="X11992" t="s">
        <v>47322</v>
      </c>
    </row>
    <row r="11993" spans="1:24">
      <c r="A11993">
        <f>HYPERLINK("https://www.philgeps.gov.ph/GEPSNONPILOT/Tender/SplashBidNoticeAbstractUI.aspx?menuIndex=3&amp;refID=7167586&amp;Result=3","7167586")</f>
        <v>0</v>
      </c>
      <c r="B11993" t="s">
        <v>2794</v>
      </c>
      <c r="C11993" t="s">
        <v>15191</v>
      </c>
      <c r="D11993" t="s">
        <v>18989</v>
      </c>
      <c r="E11993" t="s">
        <v>29284</v>
      </c>
      <c r="F11993" t="s">
        <v>32606</v>
      </c>
      <c r="G11993" t="s">
        <v>32613</v>
      </c>
      <c r="H11993" t="s">
        <v>14201</v>
      </c>
      <c r="I11993" t="s">
        <v>6298</v>
      </c>
      <c r="J11993" t="s">
        <v>32995</v>
      </c>
      <c r="K11993" t="s">
        <v>42624</v>
      </c>
      <c r="M11993" t="s">
        <v>45956</v>
      </c>
      <c r="N11993" t="s">
        <v>47304</v>
      </c>
      <c r="O11993" t="s">
        <v>47305</v>
      </c>
      <c r="P11993">
        <v>0</v>
      </c>
      <c r="Q11993">
        <v>2</v>
      </c>
      <c r="R11993" t="s">
        <v>47318</v>
      </c>
      <c r="S11993" t="s">
        <v>47736</v>
      </c>
      <c r="T11993" t="s">
        <v>49101</v>
      </c>
      <c r="U11993" t="s">
        <v>59453</v>
      </c>
      <c r="W11993" t="s">
        <v>45956</v>
      </c>
      <c r="X11993" t="s">
        <v>47322</v>
      </c>
    </row>
    <row r="11994" spans="1:24">
      <c r="A11994">
        <f>HYPERLINK("https://www.philgeps.gov.ph/GEPSNONPILOT/Tender/SplashBidNoticeAbstractUI.aspx?menuIndex=3&amp;refID=7167575&amp;Result=3","7167575")</f>
        <v>0</v>
      </c>
      <c r="B11994" t="s">
        <v>2794</v>
      </c>
      <c r="C11994" t="s">
        <v>15192</v>
      </c>
      <c r="D11994" t="s">
        <v>18989</v>
      </c>
      <c r="E11994" t="s">
        <v>29285</v>
      </c>
      <c r="F11994" t="s">
        <v>32606</v>
      </c>
      <c r="G11994" t="s">
        <v>32613</v>
      </c>
      <c r="H11994" t="s">
        <v>14201</v>
      </c>
      <c r="I11994" t="s">
        <v>4120</v>
      </c>
      <c r="J11994" t="s">
        <v>40217</v>
      </c>
      <c r="K11994" t="s">
        <v>42624</v>
      </c>
      <c r="M11994" t="s">
        <v>45956</v>
      </c>
      <c r="N11994" t="s">
        <v>47304</v>
      </c>
      <c r="O11994" t="s">
        <v>47305</v>
      </c>
      <c r="P11994">
        <v>0</v>
      </c>
      <c r="Q11994">
        <v>5</v>
      </c>
      <c r="R11994" t="s">
        <v>47318</v>
      </c>
      <c r="S11994" t="s">
        <v>47736</v>
      </c>
      <c r="T11994" t="s">
        <v>49101</v>
      </c>
      <c r="U11994" t="s">
        <v>59454</v>
      </c>
      <c r="W11994" t="s">
        <v>45956</v>
      </c>
      <c r="X11994" t="s">
        <v>47322</v>
      </c>
    </row>
    <row r="11995" spans="1:24">
      <c r="A11995">
        <f>HYPERLINK("https://www.philgeps.gov.ph/GEPSNONPILOT/Tender/SplashBidNoticeAbstractUI.aspx?menuIndex=3&amp;refID=7166885&amp;Result=3","7166885")</f>
        <v>0</v>
      </c>
      <c r="B11995" t="s">
        <v>3394</v>
      </c>
      <c r="C11995" t="s">
        <v>15193</v>
      </c>
      <c r="E11995" t="s">
        <v>29286</v>
      </c>
      <c r="F11995" t="s">
        <v>32606</v>
      </c>
      <c r="G11995" t="s">
        <v>32619</v>
      </c>
      <c r="H11995" t="s">
        <v>14201</v>
      </c>
      <c r="I11995" t="s">
        <v>4114</v>
      </c>
      <c r="J11995" t="s">
        <v>40218</v>
      </c>
      <c r="K11995" t="s">
        <v>42624</v>
      </c>
      <c r="M11995" t="s">
        <v>46647</v>
      </c>
      <c r="N11995" t="s">
        <v>47304</v>
      </c>
      <c r="O11995" t="s">
        <v>47305</v>
      </c>
      <c r="P11995">
        <v>0</v>
      </c>
      <c r="Q11995">
        <v>0</v>
      </c>
      <c r="R11995" t="s">
        <v>47318</v>
      </c>
      <c r="S11995" t="s">
        <v>47736</v>
      </c>
      <c r="T11995" t="s">
        <v>49004</v>
      </c>
      <c r="U11995" t="s">
        <v>59455</v>
      </c>
      <c r="V11995" t="s">
        <v>63923</v>
      </c>
      <c r="W11995" t="s">
        <v>46647</v>
      </c>
      <c r="X11995" t="s">
        <v>47322</v>
      </c>
    </row>
    <row r="11996" spans="1:24">
      <c r="A11996">
        <f>HYPERLINK("https://www.philgeps.gov.ph/GEPSNONPILOT/Tender/SplashBidNoticeAbstractUI.aspx?menuIndex=3&amp;refID=7174234&amp;Result=3","7174234")</f>
        <v>0</v>
      </c>
      <c r="B11996" t="s">
        <v>192</v>
      </c>
      <c r="C11996" t="s">
        <v>15194</v>
      </c>
      <c r="D11996" t="s">
        <v>19016</v>
      </c>
      <c r="E11996" t="s">
        <v>29287</v>
      </c>
      <c r="F11996" t="s">
        <v>32606</v>
      </c>
      <c r="G11996" t="s">
        <v>32614</v>
      </c>
      <c r="H11996" t="s">
        <v>14201</v>
      </c>
      <c r="I11996" t="s">
        <v>7677</v>
      </c>
      <c r="J11996" t="s">
        <v>40219</v>
      </c>
      <c r="K11996" t="s">
        <v>42624</v>
      </c>
      <c r="M11996" t="s">
        <v>43093</v>
      </c>
      <c r="N11996" t="s">
        <v>47304</v>
      </c>
      <c r="O11996" t="s">
        <v>47305</v>
      </c>
      <c r="Q11996">
        <v>3</v>
      </c>
      <c r="R11996" t="s">
        <v>47318</v>
      </c>
      <c r="S11996" t="s">
        <v>47742</v>
      </c>
      <c r="T11996" t="s">
        <v>49269</v>
      </c>
      <c r="U11996" t="s">
        <v>49914</v>
      </c>
      <c r="V11996" t="s">
        <v>62691</v>
      </c>
      <c r="W11996" t="s">
        <v>43093</v>
      </c>
      <c r="X11996" t="s">
        <v>47319</v>
      </c>
    </row>
    <row r="11997" spans="1:24">
      <c r="A11997">
        <f>HYPERLINK("https://www.philgeps.gov.ph/GEPSNONPILOT/Tender/SplashBidNoticeAbstractUI.aspx?menuIndex=3&amp;refID=7168299&amp;Result=3","7168299")</f>
        <v>0</v>
      </c>
      <c r="B11997" t="s">
        <v>251</v>
      </c>
      <c r="C11997" t="s">
        <v>15195</v>
      </c>
      <c r="D11997" t="s">
        <v>19023</v>
      </c>
      <c r="E11997" t="s">
        <v>29288</v>
      </c>
      <c r="F11997" t="s">
        <v>32606</v>
      </c>
      <c r="G11997" t="s">
        <v>32613</v>
      </c>
      <c r="H11997" t="s">
        <v>14201</v>
      </c>
      <c r="I11997" t="s">
        <v>32631</v>
      </c>
      <c r="J11997" t="s">
        <v>40220</v>
      </c>
      <c r="K11997" t="s">
        <v>42623</v>
      </c>
      <c r="M11997" t="s">
        <v>43152</v>
      </c>
      <c r="N11997" t="s">
        <v>47304</v>
      </c>
      <c r="O11997" t="s">
        <v>47305</v>
      </c>
      <c r="P11997">
        <v>0</v>
      </c>
      <c r="Q11997">
        <v>1</v>
      </c>
      <c r="R11997" t="s">
        <v>47318</v>
      </c>
      <c r="S11997" t="s">
        <v>47736</v>
      </c>
      <c r="T11997" t="s">
        <v>49175</v>
      </c>
      <c r="U11997" t="s">
        <v>59456</v>
      </c>
      <c r="V11997" t="s">
        <v>63930</v>
      </c>
      <c r="W11997" t="s">
        <v>43152</v>
      </c>
      <c r="X11997" t="s">
        <v>47321</v>
      </c>
    </row>
    <row r="11998" spans="1:24">
      <c r="A11998">
        <f>HYPERLINK("https://www.philgeps.gov.ph/GEPSNONPILOT/Tender/SplashBidNoticeAbstractUI.aspx?menuIndex=3&amp;refID=7171835&amp;Result=3","7171835")</f>
        <v>0</v>
      </c>
      <c r="B11998" t="s">
        <v>3404</v>
      </c>
      <c r="C11998" t="s">
        <v>15196</v>
      </c>
      <c r="D11998" t="s">
        <v>19039</v>
      </c>
      <c r="E11998" t="s">
        <v>29289</v>
      </c>
      <c r="F11998" t="s">
        <v>32606</v>
      </c>
      <c r="G11998" t="s">
        <v>32613</v>
      </c>
      <c r="H11998" t="s">
        <v>14201</v>
      </c>
      <c r="I11998" t="s">
        <v>32633</v>
      </c>
      <c r="J11998" t="s">
        <v>40221</v>
      </c>
      <c r="K11998" t="s">
        <v>42631</v>
      </c>
      <c r="L11998" t="s">
        <v>3404</v>
      </c>
      <c r="M11998" t="s">
        <v>46658</v>
      </c>
      <c r="N11998" t="s">
        <v>47304</v>
      </c>
      <c r="O11998" t="s">
        <v>47305</v>
      </c>
      <c r="P11998">
        <v>0</v>
      </c>
      <c r="Q11998">
        <v>3</v>
      </c>
      <c r="R11998" t="s">
        <v>47318</v>
      </c>
      <c r="S11998" t="s">
        <v>47736</v>
      </c>
      <c r="T11998" t="s">
        <v>49215</v>
      </c>
      <c r="U11998" t="s">
        <v>59457</v>
      </c>
      <c r="V11998" t="s">
        <v>63933</v>
      </c>
      <c r="W11998" t="s">
        <v>46658</v>
      </c>
      <c r="X11998" t="s">
        <v>47320</v>
      </c>
    </row>
    <row r="11999" spans="1:24">
      <c r="A11999">
        <f>HYPERLINK("https://www.philgeps.gov.ph/GEPSNONPILOT/Tender/SplashBidNoticeAbstractUI.aspx?menuIndex=3&amp;refID=7174284&amp;Result=3","7174284")</f>
        <v>0</v>
      </c>
      <c r="B11999" t="s">
        <v>2604</v>
      </c>
      <c r="C11999" t="s">
        <v>15197</v>
      </c>
      <c r="D11999" t="s">
        <v>19056</v>
      </c>
      <c r="E11999" t="s">
        <v>29290</v>
      </c>
      <c r="F11999" t="s">
        <v>32606</v>
      </c>
      <c r="G11999" t="s">
        <v>32613</v>
      </c>
      <c r="H11999" t="s">
        <v>32623</v>
      </c>
      <c r="I11999" t="s">
        <v>17648</v>
      </c>
      <c r="J11999" t="s">
        <v>40222</v>
      </c>
      <c r="K11999" t="s">
        <v>42646</v>
      </c>
      <c r="M11999" t="s">
        <v>45748</v>
      </c>
      <c r="N11999" t="s">
        <v>47304</v>
      </c>
      <c r="O11999" t="s">
        <v>47305</v>
      </c>
      <c r="P11999">
        <v>0</v>
      </c>
      <c r="Q11999">
        <v>0</v>
      </c>
      <c r="R11999" t="s">
        <v>47318</v>
      </c>
      <c r="S11999" t="s">
        <v>47736</v>
      </c>
      <c r="T11999" t="s">
        <v>49036</v>
      </c>
      <c r="U11999" t="s">
        <v>59458</v>
      </c>
      <c r="V11999" t="s">
        <v>63934</v>
      </c>
      <c r="W11999" t="s">
        <v>45748</v>
      </c>
      <c r="X11999" t="s">
        <v>47319</v>
      </c>
    </row>
    <row r="12000" spans="1:24">
      <c r="A12000">
        <f>HYPERLINK("https://www.philgeps.gov.ph/GEPSNONPILOT/Tender/SplashBidNoticeAbstractUI.aspx?menuIndex=3&amp;refID=7174280&amp;Result=3","7174280")</f>
        <v>0</v>
      </c>
      <c r="B12000" t="s">
        <v>3271</v>
      </c>
      <c r="C12000" t="s">
        <v>15198</v>
      </c>
      <c r="D12000" t="s">
        <v>19031</v>
      </c>
      <c r="E12000" t="s">
        <v>29291</v>
      </c>
      <c r="F12000" t="s">
        <v>32606</v>
      </c>
      <c r="G12000" t="s">
        <v>32613</v>
      </c>
      <c r="H12000" t="s">
        <v>14201</v>
      </c>
      <c r="I12000" t="s">
        <v>6931</v>
      </c>
      <c r="J12000" t="s">
        <v>40223</v>
      </c>
      <c r="K12000" t="s">
        <v>42636</v>
      </c>
      <c r="M12000" t="s">
        <v>46505</v>
      </c>
      <c r="N12000" t="s">
        <v>47304</v>
      </c>
      <c r="O12000" t="s">
        <v>47305</v>
      </c>
      <c r="P12000">
        <v>0</v>
      </c>
      <c r="Q12000">
        <v>0</v>
      </c>
      <c r="R12000" t="s">
        <v>47318</v>
      </c>
      <c r="S12000" t="s">
        <v>47736</v>
      </c>
      <c r="T12000" t="s">
        <v>49080</v>
      </c>
      <c r="U12000" t="s">
        <v>59459</v>
      </c>
      <c r="V12000" t="s">
        <v>63935</v>
      </c>
      <c r="W12000" t="s">
        <v>46505</v>
      </c>
      <c r="X12000" t="s">
        <v>47319</v>
      </c>
    </row>
    <row r="12001" spans="1:24">
      <c r="A12001">
        <f>HYPERLINK("https://www.philgeps.gov.ph/GEPSNONPILOT/Tender/SplashBidNoticeAbstractUI.aspx?menuIndex=3&amp;refID=7171956&amp;Result=3","7171956")</f>
        <v>0</v>
      </c>
      <c r="B12001" t="s">
        <v>3407</v>
      </c>
      <c r="C12001" t="s">
        <v>15199</v>
      </c>
      <c r="D12001" t="s">
        <v>19067</v>
      </c>
      <c r="E12001" t="s">
        <v>29292</v>
      </c>
      <c r="F12001" t="s">
        <v>32606</v>
      </c>
      <c r="G12001" t="s">
        <v>32613</v>
      </c>
      <c r="H12001" t="s">
        <v>32623</v>
      </c>
      <c r="I12001" t="s">
        <v>17648</v>
      </c>
      <c r="J12001" t="s">
        <v>38364</v>
      </c>
      <c r="K12001" t="s">
        <v>42707</v>
      </c>
      <c r="M12001" t="s">
        <v>46662</v>
      </c>
      <c r="N12001" t="s">
        <v>47304</v>
      </c>
      <c r="O12001" t="s">
        <v>47305</v>
      </c>
      <c r="P12001">
        <v>0</v>
      </c>
      <c r="Q12001">
        <v>0</v>
      </c>
      <c r="R12001" t="s">
        <v>47318</v>
      </c>
      <c r="S12001" t="s">
        <v>47736</v>
      </c>
      <c r="T12001" t="s">
        <v>49014</v>
      </c>
      <c r="U12001" t="s">
        <v>59460</v>
      </c>
      <c r="W12001" t="s">
        <v>46662</v>
      </c>
      <c r="X12001" t="s">
        <v>47320</v>
      </c>
    </row>
    <row r="12002" spans="1:24">
      <c r="A12002">
        <f>HYPERLINK("https://www.philgeps.gov.ph/GEPSNONPILOT/Tender/SplashBidNoticeAbstractUI.aspx?menuIndex=3&amp;refID=7174260&amp;Result=3","7174260")</f>
        <v>0</v>
      </c>
      <c r="B12002" t="s">
        <v>534</v>
      </c>
      <c r="C12002" t="s">
        <v>15200</v>
      </c>
      <c r="D12002" t="s">
        <v>19006</v>
      </c>
      <c r="E12002" t="s">
        <v>29293</v>
      </c>
      <c r="F12002" t="s">
        <v>32606</v>
      </c>
      <c r="G12002" t="s">
        <v>32613</v>
      </c>
      <c r="H12002" t="s">
        <v>14201</v>
      </c>
      <c r="I12002" t="s">
        <v>4120</v>
      </c>
      <c r="J12002" t="s">
        <v>32963</v>
      </c>
      <c r="K12002" t="s">
        <v>42622</v>
      </c>
      <c r="M12002" t="s">
        <v>43447</v>
      </c>
      <c r="N12002" t="s">
        <v>47304</v>
      </c>
      <c r="O12002" t="s">
        <v>47305</v>
      </c>
      <c r="P12002">
        <v>0</v>
      </c>
      <c r="Q12002">
        <v>2</v>
      </c>
      <c r="R12002" t="s">
        <v>47318</v>
      </c>
      <c r="S12002" t="s">
        <v>47736</v>
      </c>
      <c r="T12002" t="s">
        <v>49066</v>
      </c>
      <c r="U12002" t="s">
        <v>59461</v>
      </c>
      <c r="W12002" t="s">
        <v>43447</v>
      </c>
      <c r="X12002" t="s">
        <v>47319</v>
      </c>
    </row>
    <row r="12003" spans="1:24">
      <c r="A12003">
        <f>HYPERLINK("https://www.philgeps.gov.ph/GEPSNONPILOT/Tender/SplashBidNoticeAbstractUI.aspx?menuIndex=3&amp;refID=7174250&amp;Result=3","7174250")</f>
        <v>0</v>
      </c>
      <c r="B12003" t="s">
        <v>1014</v>
      </c>
      <c r="C12003" t="s">
        <v>15201</v>
      </c>
      <c r="D12003" t="s">
        <v>19005</v>
      </c>
      <c r="E12003" t="s">
        <v>29294</v>
      </c>
      <c r="F12003" t="s">
        <v>32606</v>
      </c>
      <c r="G12003" t="s">
        <v>32614</v>
      </c>
      <c r="H12003" t="s">
        <v>14201</v>
      </c>
      <c r="I12003" t="s">
        <v>4112</v>
      </c>
      <c r="J12003" t="s">
        <v>38198</v>
      </c>
      <c r="K12003" t="s">
        <v>42646</v>
      </c>
      <c r="M12003" t="s">
        <v>46082</v>
      </c>
      <c r="N12003" t="s">
        <v>47304</v>
      </c>
      <c r="O12003" t="s">
        <v>47305</v>
      </c>
      <c r="Q12003">
        <v>6</v>
      </c>
      <c r="R12003" t="s">
        <v>47318</v>
      </c>
      <c r="S12003" t="s">
        <v>47743</v>
      </c>
      <c r="T12003" t="s">
        <v>49019</v>
      </c>
      <c r="U12003" t="s">
        <v>59462</v>
      </c>
      <c r="W12003" t="s">
        <v>46082</v>
      </c>
      <c r="X12003" t="s">
        <v>47319</v>
      </c>
    </row>
    <row r="12004" spans="1:24">
      <c r="A12004">
        <f>HYPERLINK("https://www.philgeps.gov.ph/GEPSNONPILOT/Tender/SplashBidNoticeAbstractUI.aspx?menuIndex=3&amp;refID=7174293&amp;Result=3","7174293")</f>
        <v>0</v>
      </c>
      <c r="B12004" t="s">
        <v>185</v>
      </c>
      <c r="C12004" t="s">
        <v>15202</v>
      </c>
      <c r="D12004" t="s">
        <v>19025</v>
      </c>
      <c r="E12004" t="s">
        <v>29295</v>
      </c>
      <c r="F12004" t="s">
        <v>32606</v>
      </c>
      <c r="G12004" t="s">
        <v>32613</v>
      </c>
      <c r="H12004" t="s">
        <v>14201</v>
      </c>
      <c r="I12004" t="s">
        <v>32629</v>
      </c>
      <c r="J12004" t="s">
        <v>40224</v>
      </c>
      <c r="K12004" t="s">
        <v>42622</v>
      </c>
      <c r="M12004" t="s">
        <v>43350</v>
      </c>
      <c r="N12004" t="s">
        <v>47304</v>
      </c>
      <c r="O12004" t="s">
        <v>47305</v>
      </c>
      <c r="P12004">
        <v>0</v>
      </c>
      <c r="Q12004">
        <v>0</v>
      </c>
      <c r="R12004" t="s">
        <v>47318</v>
      </c>
      <c r="S12004" t="s">
        <v>47736</v>
      </c>
      <c r="T12004" t="s">
        <v>49075</v>
      </c>
      <c r="U12004" t="s">
        <v>50321</v>
      </c>
      <c r="V12004" t="s">
        <v>62747</v>
      </c>
      <c r="W12004" t="s">
        <v>64433</v>
      </c>
      <c r="X12004" t="s">
        <v>47319</v>
      </c>
    </row>
    <row r="12005" spans="1:24">
      <c r="A12005">
        <f>HYPERLINK("https://www.philgeps.gov.ph/GEPSNONPILOT/Tender/SplashBidNoticeAbstractUI.aspx?menuIndex=3&amp;refID=7174290&amp;Result=3","7174290")</f>
        <v>0</v>
      </c>
      <c r="B12005" t="s">
        <v>183</v>
      </c>
      <c r="C12005" t="s">
        <v>6007</v>
      </c>
      <c r="D12005" t="s">
        <v>19002</v>
      </c>
      <c r="E12005" t="s">
        <v>29296</v>
      </c>
      <c r="F12005" t="s">
        <v>32606</v>
      </c>
      <c r="G12005" t="s">
        <v>32613</v>
      </c>
      <c r="H12005" t="s">
        <v>14201</v>
      </c>
      <c r="I12005" t="s">
        <v>6007</v>
      </c>
      <c r="J12005" t="s">
        <v>32833</v>
      </c>
      <c r="K12005" t="s">
        <v>42631</v>
      </c>
      <c r="M12005" t="s">
        <v>43084</v>
      </c>
      <c r="N12005" t="s">
        <v>47304</v>
      </c>
      <c r="O12005" t="s">
        <v>47305</v>
      </c>
      <c r="Q12005">
        <v>0</v>
      </c>
      <c r="R12005" t="s">
        <v>47318</v>
      </c>
      <c r="S12005" t="s">
        <v>47744</v>
      </c>
      <c r="T12005" t="s">
        <v>49140</v>
      </c>
      <c r="U12005" t="s">
        <v>59463</v>
      </c>
      <c r="V12005" t="s">
        <v>63936</v>
      </c>
      <c r="W12005" t="s">
        <v>43084</v>
      </c>
      <c r="X12005" t="s">
        <v>47319</v>
      </c>
    </row>
    <row r="12006" spans="1:24">
      <c r="A12006">
        <f>HYPERLINK("https://www.philgeps.gov.ph/GEPSNONPILOT/Tender/SplashBidNoticeAbstractUI.aspx?menuIndex=3&amp;refID=7174247&amp;Result=3","7174247")</f>
        <v>0</v>
      </c>
      <c r="B12006" t="s">
        <v>2730</v>
      </c>
      <c r="C12006" t="s">
        <v>15203</v>
      </c>
      <c r="D12006" t="s">
        <v>19040</v>
      </c>
      <c r="E12006" t="s">
        <v>29297</v>
      </c>
      <c r="F12006" t="s">
        <v>32606</v>
      </c>
      <c r="G12006" t="s">
        <v>32613</v>
      </c>
      <c r="H12006" t="s">
        <v>14201</v>
      </c>
      <c r="I12006" t="s">
        <v>4678</v>
      </c>
      <c r="J12006" t="s">
        <v>32778</v>
      </c>
      <c r="K12006" t="s">
        <v>42624</v>
      </c>
      <c r="M12006" t="s">
        <v>45886</v>
      </c>
      <c r="N12006" t="s">
        <v>47304</v>
      </c>
      <c r="O12006" t="s">
        <v>47305</v>
      </c>
      <c r="P12006">
        <v>0</v>
      </c>
      <c r="Q12006">
        <v>6</v>
      </c>
      <c r="R12006" t="s">
        <v>47318</v>
      </c>
      <c r="S12006" t="s">
        <v>47736</v>
      </c>
      <c r="T12006" t="s">
        <v>49071</v>
      </c>
      <c r="U12006" t="s">
        <v>59464</v>
      </c>
      <c r="V12006" t="s">
        <v>63937</v>
      </c>
      <c r="W12006" t="s">
        <v>45886</v>
      </c>
      <c r="X12006" t="s">
        <v>47319</v>
      </c>
    </row>
    <row r="12007" spans="1:24">
      <c r="A12007">
        <f>HYPERLINK("https://www.philgeps.gov.ph/GEPSNONPILOT/Tender/SplashBidNoticeAbstractUI.aspx?menuIndex=3&amp;refID=7173956&amp;Result=3","7173956")</f>
        <v>0</v>
      </c>
      <c r="B12007" t="s">
        <v>355</v>
      </c>
      <c r="C12007" t="s">
        <v>15204</v>
      </c>
      <c r="D12007" t="s">
        <v>19021</v>
      </c>
      <c r="E12007" t="s">
        <v>29298</v>
      </c>
      <c r="F12007" t="s">
        <v>32606</v>
      </c>
      <c r="G12007" t="s">
        <v>32613</v>
      </c>
      <c r="H12007" t="s">
        <v>32625</v>
      </c>
      <c r="I12007" t="s">
        <v>32625</v>
      </c>
      <c r="J12007" t="s">
        <v>36645</v>
      </c>
      <c r="K12007" t="s">
        <v>42646</v>
      </c>
      <c r="M12007" t="s">
        <v>43257</v>
      </c>
      <c r="N12007" t="s">
        <v>47304</v>
      </c>
      <c r="O12007" t="s">
        <v>47305</v>
      </c>
      <c r="P12007">
        <v>0</v>
      </c>
      <c r="Q12007">
        <v>3</v>
      </c>
      <c r="R12007" t="s">
        <v>47318</v>
      </c>
      <c r="S12007" t="s">
        <v>47736</v>
      </c>
      <c r="T12007" t="s">
        <v>49017</v>
      </c>
      <c r="U12007" t="s">
        <v>59465</v>
      </c>
      <c r="W12007" t="s">
        <v>43257</v>
      </c>
      <c r="X12007" t="s">
        <v>47320</v>
      </c>
    </row>
    <row r="12008" spans="1:24">
      <c r="A12008">
        <f>HYPERLINK("https://www.philgeps.gov.ph/GEPSNONPILOT/Tender/SplashBidNoticeAbstractUI.aspx?menuIndex=3&amp;refID=7174355&amp;Result=3","7174355")</f>
        <v>0</v>
      </c>
      <c r="B12008" t="s">
        <v>2604</v>
      </c>
      <c r="C12008" t="s">
        <v>15205</v>
      </c>
      <c r="D12008" t="s">
        <v>19056</v>
      </c>
      <c r="E12008" t="s">
        <v>29299</v>
      </c>
      <c r="F12008" t="s">
        <v>32606</v>
      </c>
      <c r="G12008" t="s">
        <v>32613</v>
      </c>
      <c r="H12008" t="s">
        <v>14201</v>
      </c>
      <c r="I12008" t="s">
        <v>32635</v>
      </c>
      <c r="J12008" t="s">
        <v>40225</v>
      </c>
      <c r="K12008" t="s">
        <v>42631</v>
      </c>
      <c r="M12008" t="s">
        <v>45748</v>
      </c>
      <c r="N12008" t="s">
        <v>47304</v>
      </c>
      <c r="O12008" t="s">
        <v>47305</v>
      </c>
      <c r="P12008">
        <v>0</v>
      </c>
      <c r="Q12008">
        <v>3</v>
      </c>
      <c r="R12008" t="s">
        <v>47318</v>
      </c>
      <c r="S12008" t="s">
        <v>47736</v>
      </c>
      <c r="T12008" t="s">
        <v>49036</v>
      </c>
      <c r="U12008" t="s">
        <v>59466</v>
      </c>
      <c r="V12008" t="s">
        <v>63938</v>
      </c>
      <c r="W12008" t="s">
        <v>45748</v>
      </c>
      <c r="X12008" t="s">
        <v>47319</v>
      </c>
    </row>
    <row r="12009" spans="1:24">
      <c r="A12009">
        <f>HYPERLINK("https://www.philgeps.gov.ph/GEPSNONPILOT/Tender/SplashBidNoticeAbstractUI.aspx?menuIndex=3&amp;refID=7174376&amp;Result=3","7174376")</f>
        <v>0</v>
      </c>
      <c r="B12009" t="s">
        <v>185</v>
      </c>
      <c r="C12009" t="s">
        <v>15206</v>
      </c>
      <c r="D12009" t="s">
        <v>19025</v>
      </c>
      <c r="E12009" t="s">
        <v>29300</v>
      </c>
      <c r="F12009" t="s">
        <v>32606</v>
      </c>
      <c r="G12009" t="s">
        <v>32613</v>
      </c>
      <c r="H12009" t="s">
        <v>14201</v>
      </c>
      <c r="I12009" t="s">
        <v>32629</v>
      </c>
      <c r="J12009" t="s">
        <v>40226</v>
      </c>
      <c r="K12009" t="s">
        <v>42622</v>
      </c>
      <c r="M12009" t="s">
        <v>43350</v>
      </c>
      <c r="N12009" t="s">
        <v>47304</v>
      </c>
      <c r="O12009" t="s">
        <v>47305</v>
      </c>
      <c r="P12009">
        <v>0</v>
      </c>
      <c r="Q12009">
        <v>0</v>
      </c>
      <c r="R12009" t="s">
        <v>47318</v>
      </c>
      <c r="S12009" t="s">
        <v>47736</v>
      </c>
      <c r="T12009" t="s">
        <v>49075</v>
      </c>
      <c r="U12009" t="s">
        <v>50321</v>
      </c>
      <c r="V12009" t="s">
        <v>62747</v>
      </c>
      <c r="W12009" t="s">
        <v>64433</v>
      </c>
      <c r="X12009" t="s">
        <v>47319</v>
      </c>
    </row>
    <row r="12010" spans="1:24">
      <c r="A12010">
        <f>HYPERLINK("https://www.philgeps.gov.ph/GEPSNONPILOT/Tender/SplashBidNoticeAbstractUI.aspx?menuIndex=3&amp;refID=7174343&amp;Result=3","7174343")</f>
        <v>0</v>
      </c>
      <c r="B12010" t="s">
        <v>459</v>
      </c>
      <c r="C12010" t="s">
        <v>15207</v>
      </c>
      <c r="D12010" t="s">
        <v>19038</v>
      </c>
      <c r="E12010" t="s">
        <v>29301</v>
      </c>
      <c r="F12010" t="s">
        <v>32606</v>
      </c>
      <c r="G12010" t="s">
        <v>32613</v>
      </c>
      <c r="H12010" t="s">
        <v>32623</v>
      </c>
      <c r="I12010" t="s">
        <v>17648</v>
      </c>
      <c r="J12010" t="s">
        <v>40227</v>
      </c>
      <c r="K12010" t="s">
        <v>42649</v>
      </c>
      <c r="M12010" t="s">
        <v>43369</v>
      </c>
      <c r="N12010" t="s">
        <v>47304</v>
      </c>
      <c r="O12010" t="s">
        <v>47305</v>
      </c>
      <c r="P12010">
        <v>0</v>
      </c>
      <c r="Q12010">
        <v>0</v>
      </c>
      <c r="R12010" t="s">
        <v>47318</v>
      </c>
      <c r="S12010" t="s">
        <v>47736</v>
      </c>
      <c r="T12010" t="s">
        <v>49064</v>
      </c>
      <c r="U12010" t="s">
        <v>59467</v>
      </c>
      <c r="W12010" t="s">
        <v>43369</v>
      </c>
      <c r="X12010" t="s">
        <v>47319</v>
      </c>
    </row>
    <row r="12011" spans="1:24">
      <c r="A12011">
        <f>HYPERLINK("https://www.philgeps.gov.ph/GEPSNONPILOT/Tender/SplashBidNoticeAbstractUI.aspx?menuIndex=3&amp;refID=7174385&amp;Result=3","7174385")</f>
        <v>0</v>
      </c>
      <c r="B12011" t="s">
        <v>3408</v>
      </c>
      <c r="C12011" t="s">
        <v>15208</v>
      </c>
      <c r="D12011" t="s">
        <v>19007</v>
      </c>
      <c r="E12011" t="s">
        <v>29302</v>
      </c>
      <c r="F12011" t="s">
        <v>32606</v>
      </c>
      <c r="G12011" t="s">
        <v>32613</v>
      </c>
      <c r="H12011" t="s">
        <v>14201</v>
      </c>
      <c r="I12011" t="s">
        <v>32712</v>
      </c>
      <c r="J12011" t="s">
        <v>34255</v>
      </c>
      <c r="K12011" t="s">
        <v>42632</v>
      </c>
      <c r="M12011" t="s">
        <v>46663</v>
      </c>
      <c r="N12011" t="s">
        <v>47304</v>
      </c>
      <c r="O12011" t="s">
        <v>47305</v>
      </c>
      <c r="P12011">
        <v>0</v>
      </c>
      <c r="Q12011">
        <v>1</v>
      </c>
      <c r="R12011" t="s">
        <v>47318</v>
      </c>
      <c r="S12011" t="s">
        <v>47736</v>
      </c>
      <c r="T12011" t="s">
        <v>49066</v>
      </c>
      <c r="U12011" t="s">
        <v>59468</v>
      </c>
      <c r="W12011" t="s">
        <v>46663</v>
      </c>
      <c r="X12011" t="s">
        <v>47319</v>
      </c>
    </row>
    <row r="12012" spans="1:24">
      <c r="A12012">
        <f>HYPERLINK("https://www.philgeps.gov.ph/GEPSNONPILOT/Tender/SplashBidNoticeAbstractUI.aspx?menuIndex=3&amp;refID=7174322&amp;Result=3","7174322")</f>
        <v>0</v>
      </c>
      <c r="B12012" t="s">
        <v>185</v>
      </c>
      <c r="C12012" t="s">
        <v>15209</v>
      </c>
      <c r="D12012" t="s">
        <v>19025</v>
      </c>
      <c r="E12012" t="s">
        <v>29303</v>
      </c>
      <c r="F12012" t="s">
        <v>32606</v>
      </c>
      <c r="G12012" t="s">
        <v>32613</v>
      </c>
      <c r="H12012" t="s">
        <v>14201</v>
      </c>
      <c r="I12012" t="s">
        <v>32629</v>
      </c>
      <c r="J12012" t="s">
        <v>40228</v>
      </c>
      <c r="K12012" t="s">
        <v>42622</v>
      </c>
      <c r="M12012" t="s">
        <v>43350</v>
      </c>
      <c r="N12012" t="s">
        <v>47304</v>
      </c>
      <c r="O12012" t="s">
        <v>47305</v>
      </c>
      <c r="P12012">
        <v>0</v>
      </c>
      <c r="Q12012">
        <v>0</v>
      </c>
      <c r="R12012" t="s">
        <v>47318</v>
      </c>
      <c r="S12012" t="s">
        <v>47736</v>
      </c>
      <c r="T12012" t="s">
        <v>49075</v>
      </c>
      <c r="U12012" t="s">
        <v>50321</v>
      </c>
      <c r="V12012" t="s">
        <v>62747</v>
      </c>
      <c r="W12012" t="s">
        <v>64433</v>
      </c>
      <c r="X12012" t="s">
        <v>47319</v>
      </c>
    </row>
    <row r="12013" spans="1:24">
      <c r="A12013">
        <f>HYPERLINK("https://www.philgeps.gov.ph/GEPSNONPILOT/Tender/SplashBidNoticeAbstractUI.aspx?menuIndex=3&amp;refID=7166113&amp;Result=3","7166113")</f>
        <v>0</v>
      </c>
      <c r="B12013" t="s">
        <v>3394</v>
      </c>
      <c r="C12013" t="s">
        <v>15210</v>
      </c>
      <c r="E12013" t="s">
        <v>29304</v>
      </c>
      <c r="F12013" t="s">
        <v>32606</v>
      </c>
      <c r="G12013" t="s">
        <v>32619</v>
      </c>
      <c r="H12013" t="s">
        <v>14201</v>
      </c>
      <c r="I12013" t="s">
        <v>6007</v>
      </c>
      <c r="J12013" t="s">
        <v>40229</v>
      </c>
      <c r="K12013" t="s">
        <v>42624</v>
      </c>
      <c r="M12013" t="s">
        <v>46647</v>
      </c>
      <c r="N12013" t="s">
        <v>47304</v>
      </c>
      <c r="O12013" t="s">
        <v>47305</v>
      </c>
      <c r="P12013">
        <v>0</v>
      </c>
      <c r="Q12013">
        <v>0</v>
      </c>
      <c r="R12013" t="s">
        <v>47318</v>
      </c>
      <c r="S12013" t="s">
        <v>47736</v>
      </c>
      <c r="T12013" t="s">
        <v>49004</v>
      </c>
      <c r="U12013" t="s">
        <v>59469</v>
      </c>
      <c r="V12013" t="s">
        <v>63923</v>
      </c>
      <c r="W12013" t="s">
        <v>46647</v>
      </c>
      <c r="X12013" t="s">
        <v>47322</v>
      </c>
    </row>
    <row r="12014" spans="1:24">
      <c r="A12014">
        <f>HYPERLINK("https://www.philgeps.gov.ph/GEPSNONPILOT/Tender/SplashBidNoticeAbstractUI.aspx?menuIndex=3&amp;refID=7174364&amp;Result=3","7174364")</f>
        <v>0</v>
      </c>
      <c r="B12014" t="s">
        <v>185</v>
      </c>
      <c r="C12014" t="s">
        <v>15211</v>
      </c>
      <c r="D12014" t="s">
        <v>19025</v>
      </c>
      <c r="E12014" t="s">
        <v>29305</v>
      </c>
      <c r="F12014" t="s">
        <v>32606</v>
      </c>
      <c r="G12014" t="s">
        <v>32613</v>
      </c>
      <c r="H12014" t="s">
        <v>14201</v>
      </c>
      <c r="I12014" t="s">
        <v>32629</v>
      </c>
      <c r="J12014" t="s">
        <v>40230</v>
      </c>
      <c r="K12014" t="s">
        <v>42622</v>
      </c>
      <c r="M12014" t="s">
        <v>43350</v>
      </c>
      <c r="N12014" t="s">
        <v>47304</v>
      </c>
      <c r="O12014" t="s">
        <v>47305</v>
      </c>
      <c r="P12014">
        <v>0</v>
      </c>
      <c r="Q12014">
        <v>0</v>
      </c>
      <c r="R12014" t="s">
        <v>47318</v>
      </c>
      <c r="S12014" t="s">
        <v>47736</v>
      </c>
      <c r="T12014" t="s">
        <v>49075</v>
      </c>
      <c r="U12014" t="s">
        <v>50321</v>
      </c>
      <c r="V12014" t="s">
        <v>62747</v>
      </c>
      <c r="W12014" t="s">
        <v>64433</v>
      </c>
      <c r="X12014" t="s">
        <v>47319</v>
      </c>
    </row>
    <row r="12015" spans="1:24">
      <c r="A12015">
        <f>HYPERLINK("https://www.philgeps.gov.ph/GEPSNONPILOT/Tender/SplashBidNoticeAbstractUI.aspx?menuIndex=3&amp;refID=7174235&amp;Result=3","7174235")</f>
        <v>0</v>
      </c>
      <c r="B12015" t="s">
        <v>1014</v>
      </c>
      <c r="C12015" t="s">
        <v>15212</v>
      </c>
      <c r="D12015" t="s">
        <v>18989</v>
      </c>
      <c r="E12015" t="s">
        <v>29306</v>
      </c>
      <c r="F12015" t="s">
        <v>32606</v>
      </c>
      <c r="G12015" t="s">
        <v>32614</v>
      </c>
      <c r="H12015" t="s">
        <v>14201</v>
      </c>
      <c r="I12015" t="s">
        <v>7577</v>
      </c>
      <c r="J12015" t="s">
        <v>33341</v>
      </c>
      <c r="K12015" t="s">
        <v>42677</v>
      </c>
      <c r="L12015" t="s">
        <v>1014</v>
      </c>
      <c r="M12015" t="s">
        <v>43962</v>
      </c>
      <c r="N12015" t="s">
        <v>47304</v>
      </c>
      <c r="O12015" t="s">
        <v>47305</v>
      </c>
      <c r="Q12015">
        <v>1</v>
      </c>
      <c r="R12015" t="s">
        <v>47318</v>
      </c>
      <c r="S12015" t="s">
        <v>47745</v>
      </c>
      <c r="T12015" t="s">
        <v>49158</v>
      </c>
      <c r="U12015" t="s">
        <v>51580</v>
      </c>
      <c r="W12015" t="s">
        <v>43962</v>
      </c>
      <c r="X12015" t="s">
        <v>47319</v>
      </c>
    </row>
    <row r="12016" spans="1:24">
      <c r="A12016">
        <f>HYPERLINK("https://www.philgeps.gov.ph/GEPSNONPILOT/Tender/SplashBidNoticeAbstractUI.aspx?menuIndex=3&amp;refID=7174274&amp;Result=3","7174274")</f>
        <v>0</v>
      </c>
      <c r="B12016" t="s">
        <v>3405</v>
      </c>
      <c r="C12016" t="s">
        <v>15176</v>
      </c>
      <c r="D12016" t="s">
        <v>19033</v>
      </c>
      <c r="E12016" t="s">
        <v>29307</v>
      </c>
      <c r="F12016" t="s">
        <v>32606</v>
      </c>
      <c r="G12016" t="s">
        <v>32613</v>
      </c>
      <c r="H12016" t="s">
        <v>32623</v>
      </c>
      <c r="I12016" t="s">
        <v>32659</v>
      </c>
      <c r="J12016" t="s">
        <v>32795</v>
      </c>
      <c r="K12016" t="s">
        <v>42712</v>
      </c>
      <c r="M12016" t="s">
        <v>46659</v>
      </c>
      <c r="N12016" t="s">
        <v>47304</v>
      </c>
      <c r="O12016" t="s">
        <v>47305</v>
      </c>
      <c r="P12016">
        <v>0</v>
      </c>
      <c r="Q12016">
        <v>16</v>
      </c>
      <c r="R12016" t="s">
        <v>47318</v>
      </c>
      <c r="S12016" t="s">
        <v>47736</v>
      </c>
      <c r="T12016" t="s">
        <v>49037</v>
      </c>
      <c r="U12016" t="s">
        <v>59470</v>
      </c>
      <c r="W12016" t="s">
        <v>46659</v>
      </c>
      <c r="X12016" t="s">
        <v>47319</v>
      </c>
    </row>
    <row r="12017" spans="1:24">
      <c r="A12017">
        <f>HYPERLINK("https://www.philgeps.gov.ph/GEPSNONPILOT/Tender/SplashBidNoticeAbstractUI.aspx?menuIndex=3&amp;refID=7174592&amp;Result=3","7174592")</f>
        <v>0</v>
      </c>
      <c r="B12017" t="s">
        <v>828</v>
      </c>
      <c r="C12017" t="s">
        <v>15213</v>
      </c>
      <c r="D12017" t="s">
        <v>19030</v>
      </c>
      <c r="E12017" t="s">
        <v>29308</v>
      </c>
      <c r="F12017" t="s">
        <v>32606</v>
      </c>
      <c r="G12017" t="s">
        <v>32613</v>
      </c>
      <c r="H12017" t="s">
        <v>14201</v>
      </c>
      <c r="I12017" t="s">
        <v>6993</v>
      </c>
      <c r="J12017" t="s">
        <v>40231</v>
      </c>
      <c r="K12017" t="s">
        <v>42630</v>
      </c>
      <c r="M12017" t="s">
        <v>43759</v>
      </c>
      <c r="N12017" t="s">
        <v>47304</v>
      </c>
      <c r="O12017" t="s">
        <v>47305</v>
      </c>
      <c r="P12017">
        <v>0</v>
      </c>
      <c r="Q12017">
        <v>0</v>
      </c>
      <c r="R12017" t="s">
        <v>47318</v>
      </c>
      <c r="S12017" t="s">
        <v>47736</v>
      </c>
      <c r="T12017" t="s">
        <v>49066</v>
      </c>
      <c r="U12017" t="s">
        <v>59471</v>
      </c>
      <c r="V12017" t="s">
        <v>63939</v>
      </c>
      <c r="W12017" t="s">
        <v>43759</v>
      </c>
      <c r="X12017" t="s">
        <v>47319</v>
      </c>
    </row>
    <row r="12018" spans="1:24">
      <c r="A12018">
        <f>HYPERLINK("https://www.philgeps.gov.ph/GEPSNONPILOT/Tender/SplashBidNoticeAbstractUI.aspx?menuIndex=3&amp;refID=7174584&amp;Result=3","7174584")</f>
        <v>0</v>
      </c>
      <c r="B12018" t="s">
        <v>185</v>
      </c>
      <c r="C12018" t="s">
        <v>15214</v>
      </c>
      <c r="D12018" t="s">
        <v>19025</v>
      </c>
      <c r="E12018" t="s">
        <v>29309</v>
      </c>
      <c r="F12018" t="s">
        <v>32606</v>
      </c>
      <c r="G12018" t="s">
        <v>32613</v>
      </c>
      <c r="H12018" t="s">
        <v>14201</v>
      </c>
      <c r="I12018" t="s">
        <v>32629</v>
      </c>
      <c r="J12018" t="s">
        <v>40232</v>
      </c>
      <c r="K12018" t="s">
        <v>42622</v>
      </c>
      <c r="M12018" t="s">
        <v>43350</v>
      </c>
      <c r="N12018" t="s">
        <v>47304</v>
      </c>
      <c r="O12018" t="s">
        <v>47305</v>
      </c>
      <c r="P12018">
        <v>0</v>
      </c>
      <c r="Q12018">
        <v>0</v>
      </c>
      <c r="R12018" t="s">
        <v>47318</v>
      </c>
      <c r="S12018" t="s">
        <v>47736</v>
      </c>
      <c r="T12018" t="s">
        <v>49075</v>
      </c>
      <c r="U12018" t="s">
        <v>50321</v>
      </c>
      <c r="V12018" t="s">
        <v>62747</v>
      </c>
      <c r="W12018" t="s">
        <v>64433</v>
      </c>
      <c r="X12018" t="s">
        <v>47319</v>
      </c>
    </row>
    <row r="12019" spans="1:24">
      <c r="A12019">
        <f>HYPERLINK("https://www.philgeps.gov.ph/GEPSNONPILOT/Tender/SplashBidNoticeAbstractUI.aspx?menuIndex=3&amp;refID=7174320&amp;Result=3","7174320")</f>
        <v>0</v>
      </c>
      <c r="B12019" t="s">
        <v>183</v>
      </c>
      <c r="C12019" t="s">
        <v>15215</v>
      </c>
      <c r="D12019" t="s">
        <v>19002</v>
      </c>
      <c r="E12019" t="s">
        <v>29310</v>
      </c>
      <c r="F12019" t="s">
        <v>32606</v>
      </c>
      <c r="G12019" t="s">
        <v>32613</v>
      </c>
      <c r="H12019" t="s">
        <v>32623</v>
      </c>
      <c r="I12019" t="s">
        <v>17648</v>
      </c>
      <c r="J12019" t="s">
        <v>40233</v>
      </c>
      <c r="K12019" t="s">
        <v>42648</v>
      </c>
      <c r="M12019" t="s">
        <v>43084</v>
      </c>
      <c r="N12019" t="s">
        <v>47304</v>
      </c>
      <c r="O12019" t="s">
        <v>47305</v>
      </c>
      <c r="Q12019">
        <v>0</v>
      </c>
      <c r="R12019" t="s">
        <v>47318</v>
      </c>
      <c r="S12019" t="s">
        <v>47746</v>
      </c>
      <c r="T12019" t="s">
        <v>49140</v>
      </c>
      <c r="U12019" t="s">
        <v>59472</v>
      </c>
      <c r="V12019" t="s">
        <v>63940</v>
      </c>
      <c r="W12019" t="s">
        <v>43084</v>
      </c>
      <c r="X12019" t="s">
        <v>47319</v>
      </c>
    </row>
    <row r="12020" spans="1:24">
      <c r="A12020">
        <f>HYPERLINK("https://www.philgeps.gov.ph/GEPSNONPILOT/Tender/SplashBidNoticeAbstractUI.aspx?menuIndex=3&amp;refID=7174526&amp;Result=3","7174526")</f>
        <v>0</v>
      </c>
      <c r="B12020" t="s">
        <v>379</v>
      </c>
      <c r="C12020" t="s">
        <v>15216</v>
      </c>
      <c r="D12020" t="s">
        <v>19049</v>
      </c>
      <c r="E12020" t="s">
        <v>29311</v>
      </c>
      <c r="F12020" t="s">
        <v>32606</v>
      </c>
      <c r="G12020" t="s">
        <v>32613</v>
      </c>
      <c r="H12020" t="s">
        <v>14201</v>
      </c>
      <c r="I12020" t="s">
        <v>32675</v>
      </c>
      <c r="J12020" t="s">
        <v>32821</v>
      </c>
      <c r="K12020" t="s">
        <v>42636</v>
      </c>
      <c r="M12020" t="s">
        <v>43281</v>
      </c>
      <c r="N12020" t="s">
        <v>47304</v>
      </c>
      <c r="O12020" t="s">
        <v>47305</v>
      </c>
      <c r="P12020">
        <v>0</v>
      </c>
      <c r="Q12020">
        <v>2</v>
      </c>
      <c r="R12020" t="s">
        <v>47318</v>
      </c>
      <c r="S12020" t="s">
        <v>47736</v>
      </c>
      <c r="T12020" t="s">
        <v>49215</v>
      </c>
      <c r="U12020" t="s">
        <v>59473</v>
      </c>
      <c r="W12020" t="s">
        <v>43281</v>
      </c>
      <c r="X12020" t="s">
        <v>47319</v>
      </c>
    </row>
    <row r="12021" spans="1:24">
      <c r="A12021">
        <f>HYPERLINK("https://www.philgeps.gov.ph/GEPSNONPILOT/Tender/SplashBidNoticeAbstractUI.aspx?menuIndex=3&amp;refID=7166910&amp;Result=3","7166910")</f>
        <v>0</v>
      </c>
      <c r="B12021" t="s">
        <v>3394</v>
      </c>
      <c r="C12021" t="s">
        <v>15217</v>
      </c>
      <c r="E12021" t="s">
        <v>29312</v>
      </c>
      <c r="F12021" t="s">
        <v>32606</v>
      </c>
      <c r="G12021" t="s">
        <v>32619</v>
      </c>
      <c r="H12021" t="s">
        <v>14201</v>
      </c>
      <c r="I12021" t="s">
        <v>32631</v>
      </c>
      <c r="J12021" t="s">
        <v>40192</v>
      </c>
      <c r="K12021" t="s">
        <v>42624</v>
      </c>
      <c r="M12021" t="s">
        <v>46647</v>
      </c>
      <c r="N12021" t="s">
        <v>47304</v>
      </c>
      <c r="O12021" t="s">
        <v>47305</v>
      </c>
      <c r="P12021">
        <v>0</v>
      </c>
      <c r="Q12021">
        <v>0</v>
      </c>
      <c r="R12021" t="s">
        <v>47318</v>
      </c>
      <c r="S12021" t="s">
        <v>47736</v>
      </c>
      <c r="T12021" t="s">
        <v>49004</v>
      </c>
      <c r="U12021" t="s">
        <v>59474</v>
      </c>
      <c r="V12021" t="s">
        <v>63923</v>
      </c>
      <c r="W12021" t="s">
        <v>46647</v>
      </c>
      <c r="X12021" t="s">
        <v>47322</v>
      </c>
    </row>
    <row r="12022" spans="1:24">
      <c r="A12022">
        <f>HYPERLINK("https://www.philgeps.gov.ph/GEPSNONPILOT/Tender/SplashBidNoticeAbstractUI.aspx?menuIndex=3&amp;refID=7174511&amp;Result=3","7174511")</f>
        <v>0</v>
      </c>
      <c r="B12022" t="s">
        <v>3409</v>
      </c>
      <c r="C12022" t="s">
        <v>15218</v>
      </c>
      <c r="D12022" t="s">
        <v>18993</v>
      </c>
      <c r="E12022" t="s">
        <v>29313</v>
      </c>
      <c r="F12022" t="s">
        <v>32607</v>
      </c>
      <c r="G12022" t="s">
        <v>32613</v>
      </c>
      <c r="H12022" t="s">
        <v>14201</v>
      </c>
      <c r="I12022" t="s">
        <v>32663</v>
      </c>
      <c r="J12022" t="s">
        <v>32885</v>
      </c>
      <c r="K12022" t="s">
        <v>42623</v>
      </c>
      <c r="M12022" t="s">
        <v>46664</v>
      </c>
      <c r="N12022" t="s">
        <v>47304</v>
      </c>
      <c r="O12022" t="s">
        <v>47305</v>
      </c>
      <c r="P12022">
        <v>0</v>
      </c>
      <c r="Q12022">
        <v>3</v>
      </c>
      <c r="R12022" t="s">
        <v>47318</v>
      </c>
      <c r="S12022" t="s">
        <v>47736</v>
      </c>
      <c r="T12022" t="s">
        <v>49103</v>
      </c>
      <c r="U12022" t="s">
        <v>59475</v>
      </c>
      <c r="W12022" t="s">
        <v>46664</v>
      </c>
      <c r="X12022" t="s">
        <v>47319</v>
      </c>
    </row>
    <row r="12023" spans="1:24">
      <c r="A12023">
        <f>HYPERLINK("https://www.philgeps.gov.ph/GEPSNONPILOT/Tender/SplashBidNoticeAbstractUI.aspx?menuIndex=3&amp;refID=7174502&amp;Result=3","7174502")</f>
        <v>0</v>
      </c>
      <c r="B12023" t="s">
        <v>3408</v>
      </c>
      <c r="C12023" t="s">
        <v>15219</v>
      </c>
      <c r="D12023" t="s">
        <v>19007</v>
      </c>
      <c r="E12023" t="s">
        <v>29302</v>
      </c>
      <c r="F12023" t="s">
        <v>32606</v>
      </c>
      <c r="G12023" t="s">
        <v>32613</v>
      </c>
      <c r="H12023" t="s">
        <v>32623</v>
      </c>
      <c r="I12023" t="s">
        <v>17648</v>
      </c>
      <c r="J12023" t="s">
        <v>40234</v>
      </c>
      <c r="K12023" t="s">
        <v>42631</v>
      </c>
      <c r="M12023" t="s">
        <v>46663</v>
      </c>
      <c r="N12023" t="s">
        <v>47304</v>
      </c>
      <c r="O12023" t="s">
        <v>47305</v>
      </c>
      <c r="P12023">
        <v>0</v>
      </c>
      <c r="Q12023">
        <v>0</v>
      </c>
      <c r="R12023" t="s">
        <v>47318</v>
      </c>
      <c r="S12023" t="s">
        <v>47736</v>
      </c>
      <c r="T12023" t="s">
        <v>49066</v>
      </c>
      <c r="U12023" t="s">
        <v>59476</v>
      </c>
      <c r="W12023" t="s">
        <v>46663</v>
      </c>
      <c r="X12023" t="s">
        <v>47319</v>
      </c>
    </row>
    <row r="12024" spans="1:24">
      <c r="A12024">
        <f>HYPERLINK("https://www.philgeps.gov.ph/GEPSNONPILOT/Tender/SplashBidNoticeAbstractUI.aspx?menuIndex=3&amp;refID=7174494&amp;Result=3","7174494")</f>
        <v>0</v>
      </c>
      <c r="B12024" t="s">
        <v>185</v>
      </c>
      <c r="C12024" t="s">
        <v>15220</v>
      </c>
      <c r="D12024" t="s">
        <v>19025</v>
      </c>
      <c r="E12024" t="s">
        <v>29314</v>
      </c>
      <c r="F12024" t="s">
        <v>32606</v>
      </c>
      <c r="G12024" t="s">
        <v>32613</v>
      </c>
      <c r="H12024" t="s">
        <v>14201</v>
      </c>
      <c r="I12024" t="s">
        <v>32629</v>
      </c>
      <c r="J12024" t="s">
        <v>40226</v>
      </c>
      <c r="K12024" t="s">
        <v>42622</v>
      </c>
      <c r="M12024" t="s">
        <v>43350</v>
      </c>
      <c r="N12024" t="s">
        <v>47304</v>
      </c>
      <c r="O12024" t="s">
        <v>47305</v>
      </c>
      <c r="P12024">
        <v>0</v>
      </c>
      <c r="Q12024">
        <v>0</v>
      </c>
      <c r="R12024" t="s">
        <v>47318</v>
      </c>
      <c r="S12024" t="s">
        <v>47736</v>
      </c>
      <c r="T12024" t="s">
        <v>49075</v>
      </c>
      <c r="U12024" t="s">
        <v>50321</v>
      </c>
      <c r="V12024" t="s">
        <v>62747</v>
      </c>
      <c r="W12024" t="s">
        <v>64433</v>
      </c>
      <c r="X12024" t="s">
        <v>47319</v>
      </c>
    </row>
    <row r="12025" spans="1:24">
      <c r="A12025">
        <f>HYPERLINK("https://www.philgeps.gov.ph/GEPSNONPILOT/Tender/SplashBidNoticeAbstractUI.aspx?menuIndex=3&amp;refID=7174490&amp;Result=3","7174490")</f>
        <v>0</v>
      </c>
      <c r="B12025" t="s">
        <v>1489</v>
      </c>
      <c r="C12025" t="s">
        <v>15221</v>
      </c>
      <c r="D12025" t="s">
        <v>19063</v>
      </c>
      <c r="E12025" t="s">
        <v>29315</v>
      </c>
      <c r="F12025" t="s">
        <v>32606</v>
      </c>
      <c r="G12025" t="s">
        <v>32614</v>
      </c>
      <c r="H12025" t="s">
        <v>14201</v>
      </c>
      <c r="I12025" t="s">
        <v>4369</v>
      </c>
      <c r="J12025" t="s">
        <v>32765</v>
      </c>
      <c r="K12025" t="s">
        <v>42622</v>
      </c>
      <c r="M12025" t="s">
        <v>44484</v>
      </c>
      <c r="N12025" t="s">
        <v>47304</v>
      </c>
      <c r="O12025" t="s">
        <v>47305</v>
      </c>
      <c r="P12025">
        <v>0</v>
      </c>
      <c r="Q12025">
        <v>7</v>
      </c>
      <c r="R12025" t="s">
        <v>47318</v>
      </c>
      <c r="S12025" t="s">
        <v>47736</v>
      </c>
      <c r="T12025" t="s">
        <v>49053</v>
      </c>
      <c r="U12025" t="s">
        <v>59477</v>
      </c>
      <c r="V12025" t="s">
        <v>63941</v>
      </c>
      <c r="W12025" t="s">
        <v>44484</v>
      </c>
      <c r="X12025" t="s">
        <v>47319</v>
      </c>
    </row>
    <row r="12026" spans="1:24">
      <c r="A12026">
        <f>HYPERLINK("https://www.philgeps.gov.ph/GEPSNONPILOT/Tender/SplashBidNoticeAbstractUI.aspx?menuIndex=3&amp;refID=7174244&amp;Result=3","7174244")</f>
        <v>0</v>
      </c>
      <c r="B12026" t="s">
        <v>1014</v>
      </c>
      <c r="C12026" t="s">
        <v>15222</v>
      </c>
      <c r="D12026" t="s">
        <v>18989</v>
      </c>
      <c r="E12026" t="s">
        <v>29316</v>
      </c>
      <c r="F12026" t="s">
        <v>32606</v>
      </c>
      <c r="G12026" t="s">
        <v>32614</v>
      </c>
      <c r="H12026" t="s">
        <v>14201</v>
      </c>
      <c r="I12026" t="s">
        <v>7577</v>
      </c>
      <c r="J12026" t="s">
        <v>40235</v>
      </c>
      <c r="K12026" t="s">
        <v>42677</v>
      </c>
      <c r="L12026" t="s">
        <v>1014</v>
      </c>
      <c r="M12026" t="s">
        <v>43962</v>
      </c>
      <c r="N12026" t="s">
        <v>47304</v>
      </c>
      <c r="O12026" t="s">
        <v>47305</v>
      </c>
      <c r="Q12026">
        <v>3</v>
      </c>
      <c r="R12026" t="s">
        <v>47318</v>
      </c>
      <c r="S12026" t="s">
        <v>47747</v>
      </c>
      <c r="T12026" t="s">
        <v>49158</v>
      </c>
      <c r="U12026" t="s">
        <v>51580</v>
      </c>
      <c r="W12026" t="s">
        <v>43962</v>
      </c>
      <c r="X12026" t="s">
        <v>47319</v>
      </c>
    </row>
    <row r="12027" spans="1:24">
      <c r="A12027">
        <f>HYPERLINK("https://www.philgeps.gov.ph/GEPSNONPILOT/Tender/SplashBidNoticeAbstractUI.aspx?menuIndex=3&amp;refID=7174484&amp;Result=3","7174484")</f>
        <v>0</v>
      </c>
      <c r="B12027" t="s">
        <v>3271</v>
      </c>
      <c r="C12027" t="s">
        <v>15223</v>
      </c>
      <c r="D12027" t="s">
        <v>19031</v>
      </c>
      <c r="E12027" t="s">
        <v>29317</v>
      </c>
      <c r="F12027" t="s">
        <v>32606</v>
      </c>
      <c r="G12027" t="s">
        <v>32613</v>
      </c>
      <c r="H12027" t="s">
        <v>14201</v>
      </c>
      <c r="I12027" t="s">
        <v>6931</v>
      </c>
      <c r="J12027" t="s">
        <v>40236</v>
      </c>
      <c r="K12027" t="s">
        <v>42636</v>
      </c>
      <c r="M12027" t="s">
        <v>46505</v>
      </c>
      <c r="N12027" t="s">
        <v>47304</v>
      </c>
      <c r="O12027" t="s">
        <v>47305</v>
      </c>
      <c r="P12027">
        <v>0</v>
      </c>
      <c r="Q12027">
        <v>0</v>
      </c>
      <c r="R12027" t="s">
        <v>47318</v>
      </c>
      <c r="S12027" t="s">
        <v>47736</v>
      </c>
      <c r="T12027" t="s">
        <v>49080</v>
      </c>
      <c r="U12027" t="s">
        <v>59478</v>
      </c>
      <c r="V12027" t="s">
        <v>63935</v>
      </c>
      <c r="W12027" t="s">
        <v>46505</v>
      </c>
      <c r="X12027" t="s">
        <v>47319</v>
      </c>
    </row>
    <row r="12028" spans="1:24">
      <c r="A12028">
        <f>HYPERLINK("https://www.philgeps.gov.ph/GEPSNONPILOT/Tender/SplashBidNoticeAbstractUI.aspx?menuIndex=3&amp;refID=7174471&amp;Result=3","7174471")</f>
        <v>0</v>
      </c>
      <c r="B12028" t="s">
        <v>636</v>
      </c>
      <c r="C12028" t="s">
        <v>15224</v>
      </c>
      <c r="D12028" t="s">
        <v>19019</v>
      </c>
      <c r="E12028" t="s">
        <v>29318</v>
      </c>
      <c r="F12028" t="s">
        <v>32606</v>
      </c>
      <c r="G12028" t="s">
        <v>32613</v>
      </c>
      <c r="H12028" t="s">
        <v>32624</v>
      </c>
      <c r="I12028" t="s">
        <v>32641</v>
      </c>
      <c r="J12028" t="s">
        <v>33748</v>
      </c>
      <c r="K12028" t="s">
        <v>42638</v>
      </c>
      <c r="M12028" t="s">
        <v>43554</v>
      </c>
      <c r="N12028" t="s">
        <v>47304</v>
      </c>
      <c r="O12028" t="s">
        <v>47305</v>
      </c>
      <c r="Q12028">
        <v>1</v>
      </c>
      <c r="R12028" t="s">
        <v>47318</v>
      </c>
      <c r="S12028" t="s">
        <v>47748</v>
      </c>
      <c r="T12028" t="s">
        <v>48971</v>
      </c>
      <c r="U12028" t="s">
        <v>59479</v>
      </c>
      <c r="V12028" t="s">
        <v>63942</v>
      </c>
      <c r="W12028" t="s">
        <v>43554</v>
      </c>
      <c r="X12028" t="s">
        <v>47319</v>
      </c>
    </row>
    <row r="12029" spans="1:24">
      <c r="A12029">
        <f>HYPERLINK("https://www.philgeps.gov.ph/GEPSNONPILOT/Tender/SplashBidNoticeAbstractUI.aspx?menuIndex=3&amp;refID=7174562&amp;Result=3","7174562")</f>
        <v>0</v>
      </c>
      <c r="B12029" t="s">
        <v>2117</v>
      </c>
      <c r="C12029" t="s">
        <v>15225</v>
      </c>
      <c r="D12029" t="s">
        <v>19063</v>
      </c>
      <c r="E12029" t="s">
        <v>29319</v>
      </c>
      <c r="F12029" t="s">
        <v>32606</v>
      </c>
      <c r="G12029" t="s">
        <v>32613</v>
      </c>
      <c r="H12029" t="s">
        <v>32623</v>
      </c>
      <c r="I12029" t="s">
        <v>17648</v>
      </c>
      <c r="J12029" t="s">
        <v>40237</v>
      </c>
      <c r="K12029" t="s">
        <v>42631</v>
      </c>
      <c r="M12029" t="s">
        <v>46665</v>
      </c>
      <c r="N12029" t="s">
        <v>47304</v>
      </c>
      <c r="O12029" t="s">
        <v>47305</v>
      </c>
      <c r="P12029">
        <v>0</v>
      </c>
      <c r="Q12029">
        <v>0</v>
      </c>
      <c r="R12029" t="s">
        <v>47318</v>
      </c>
      <c r="S12029" t="s">
        <v>47736</v>
      </c>
      <c r="T12029" t="s">
        <v>49081</v>
      </c>
      <c r="U12029" t="s">
        <v>59480</v>
      </c>
      <c r="W12029" t="s">
        <v>46665</v>
      </c>
      <c r="X12029" t="s">
        <v>47319</v>
      </c>
    </row>
    <row r="12030" spans="1:24">
      <c r="A12030">
        <f>HYPERLINK("https://www.philgeps.gov.ph/GEPSNONPILOT/Tender/SplashBidNoticeAbstractUI.aspx?menuIndex=3&amp;refID=7174338&amp;Result=3","7174338")</f>
        <v>0</v>
      </c>
      <c r="B12030" t="s">
        <v>183</v>
      </c>
      <c r="C12030" t="s">
        <v>15226</v>
      </c>
      <c r="D12030" t="s">
        <v>19002</v>
      </c>
      <c r="E12030" t="s">
        <v>29320</v>
      </c>
      <c r="F12030" t="s">
        <v>32606</v>
      </c>
      <c r="G12030" t="s">
        <v>32613</v>
      </c>
      <c r="H12030" t="s">
        <v>14201</v>
      </c>
      <c r="I12030" t="s">
        <v>7064</v>
      </c>
      <c r="J12030" t="s">
        <v>33804</v>
      </c>
      <c r="K12030" t="s">
        <v>42648</v>
      </c>
      <c r="M12030" t="s">
        <v>43084</v>
      </c>
      <c r="N12030" t="s">
        <v>47304</v>
      </c>
      <c r="O12030" t="s">
        <v>47305</v>
      </c>
      <c r="Q12030">
        <v>4</v>
      </c>
      <c r="R12030" t="s">
        <v>47318</v>
      </c>
      <c r="S12030" t="s">
        <v>47745</v>
      </c>
      <c r="T12030" t="s">
        <v>49140</v>
      </c>
      <c r="U12030" t="s">
        <v>59481</v>
      </c>
      <c r="V12030" t="s">
        <v>63943</v>
      </c>
      <c r="W12030" t="s">
        <v>43084</v>
      </c>
      <c r="X12030" t="s">
        <v>47319</v>
      </c>
    </row>
    <row r="12031" spans="1:24">
      <c r="A12031">
        <f>HYPERLINK("https://www.philgeps.gov.ph/GEPSNONPILOT/Tender/SplashBidNoticeAbstractUI.aspx?menuIndex=3&amp;refID=7174427&amp;Result=3","7174427")</f>
        <v>0</v>
      </c>
      <c r="B12031" t="s">
        <v>2331</v>
      </c>
      <c r="C12031" t="s">
        <v>15227</v>
      </c>
      <c r="D12031" t="s">
        <v>19015</v>
      </c>
      <c r="E12031" t="s">
        <v>29321</v>
      </c>
      <c r="F12031" t="s">
        <v>32606</v>
      </c>
      <c r="G12031" t="s">
        <v>32613</v>
      </c>
      <c r="H12031" t="s">
        <v>32623</v>
      </c>
      <c r="I12031" t="s">
        <v>17648</v>
      </c>
      <c r="J12031" t="s">
        <v>40238</v>
      </c>
      <c r="K12031" t="s">
        <v>42683</v>
      </c>
      <c r="M12031" t="s">
        <v>45441</v>
      </c>
      <c r="N12031" t="s">
        <v>47304</v>
      </c>
      <c r="O12031" t="s">
        <v>47305</v>
      </c>
      <c r="P12031">
        <v>0</v>
      </c>
      <c r="Q12031">
        <v>19</v>
      </c>
      <c r="R12031" t="s">
        <v>47318</v>
      </c>
      <c r="S12031" t="s">
        <v>47736</v>
      </c>
      <c r="T12031" t="s">
        <v>48986</v>
      </c>
      <c r="U12031" t="s">
        <v>59482</v>
      </c>
      <c r="W12031" t="s">
        <v>45441</v>
      </c>
      <c r="X12031" t="s">
        <v>47319</v>
      </c>
    </row>
    <row r="12032" spans="1:24">
      <c r="A12032">
        <f>HYPERLINK("https://www.philgeps.gov.ph/GEPSNONPILOT/Tender/SplashBidNoticeAbstractUI.aspx?menuIndex=3&amp;refID=7174585&amp;Result=3","7174585")</f>
        <v>0</v>
      </c>
      <c r="B12032" t="s">
        <v>1586</v>
      </c>
      <c r="C12032" t="s">
        <v>15228</v>
      </c>
      <c r="D12032" t="s">
        <v>19038</v>
      </c>
      <c r="E12032" t="s">
        <v>29322</v>
      </c>
      <c r="F12032" t="s">
        <v>32606</v>
      </c>
      <c r="G12032" t="s">
        <v>32613</v>
      </c>
      <c r="H12032" t="s">
        <v>14201</v>
      </c>
      <c r="I12032" t="s">
        <v>6931</v>
      </c>
      <c r="J12032" t="s">
        <v>40239</v>
      </c>
      <c r="K12032" t="s">
        <v>42630</v>
      </c>
      <c r="M12032" t="s">
        <v>44599</v>
      </c>
      <c r="N12032" t="s">
        <v>47304</v>
      </c>
      <c r="O12032" t="s">
        <v>47305</v>
      </c>
      <c r="P12032">
        <v>0</v>
      </c>
      <c r="Q12032">
        <v>0</v>
      </c>
      <c r="R12032" t="s">
        <v>47318</v>
      </c>
      <c r="S12032" t="s">
        <v>47736</v>
      </c>
      <c r="T12032" t="s">
        <v>49188</v>
      </c>
      <c r="U12032" t="s">
        <v>59483</v>
      </c>
      <c r="W12032" t="s">
        <v>44599</v>
      </c>
      <c r="X12032" t="s">
        <v>47319</v>
      </c>
    </row>
    <row r="12033" spans="1:24">
      <c r="A12033">
        <f>HYPERLINK("https://www.philgeps.gov.ph/GEPSNONPILOT/Tender/SplashBidNoticeAbstractUI.aspx?menuIndex=3&amp;refID=7174406&amp;Result=3","7174406")</f>
        <v>0</v>
      </c>
      <c r="B12033" t="s">
        <v>185</v>
      </c>
      <c r="C12033" t="s">
        <v>15229</v>
      </c>
      <c r="D12033" t="s">
        <v>19025</v>
      </c>
      <c r="E12033" t="s">
        <v>29323</v>
      </c>
      <c r="F12033" t="s">
        <v>32606</v>
      </c>
      <c r="G12033" t="s">
        <v>32613</v>
      </c>
      <c r="H12033" t="s">
        <v>14201</v>
      </c>
      <c r="I12033" t="s">
        <v>32629</v>
      </c>
      <c r="J12033" t="s">
        <v>40240</v>
      </c>
      <c r="K12033" t="s">
        <v>42622</v>
      </c>
      <c r="M12033" t="s">
        <v>43350</v>
      </c>
      <c r="N12033" t="s">
        <v>47304</v>
      </c>
      <c r="O12033" t="s">
        <v>47305</v>
      </c>
      <c r="P12033">
        <v>0</v>
      </c>
      <c r="Q12033">
        <v>1</v>
      </c>
      <c r="R12033" t="s">
        <v>47318</v>
      </c>
      <c r="S12033" t="s">
        <v>47736</v>
      </c>
      <c r="T12033" t="s">
        <v>49075</v>
      </c>
      <c r="U12033" t="s">
        <v>50321</v>
      </c>
      <c r="V12033" t="s">
        <v>62747</v>
      </c>
      <c r="W12033" t="s">
        <v>64433</v>
      </c>
      <c r="X12033" t="s">
        <v>47319</v>
      </c>
    </row>
    <row r="12034" spans="1:24">
      <c r="A12034">
        <f>HYPERLINK("https://www.philgeps.gov.ph/GEPSNONPILOT/Tender/SplashBidNoticeAbstractUI.aspx?menuIndex=3&amp;refID=7174485&amp;Result=3","7174485")</f>
        <v>0</v>
      </c>
      <c r="B12034" t="s">
        <v>3409</v>
      </c>
      <c r="C12034" t="s">
        <v>15230</v>
      </c>
      <c r="D12034" t="s">
        <v>18993</v>
      </c>
      <c r="E12034" t="s">
        <v>29324</v>
      </c>
      <c r="F12034" t="s">
        <v>32607</v>
      </c>
      <c r="G12034" t="s">
        <v>32613</v>
      </c>
      <c r="H12034" t="s">
        <v>14201</v>
      </c>
      <c r="I12034" t="s">
        <v>32691</v>
      </c>
      <c r="J12034" t="s">
        <v>32825</v>
      </c>
      <c r="K12034" t="s">
        <v>42623</v>
      </c>
      <c r="M12034" t="s">
        <v>46664</v>
      </c>
      <c r="N12034" t="s">
        <v>47304</v>
      </c>
      <c r="O12034" t="s">
        <v>47305</v>
      </c>
      <c r="P12034">
        <v>0</v>
      </c>
      <c r="Q12034">
        <v>2</v>
      </c>
      <c r="R12034" t="s">
        <v>47318</v>
      </c>
      <c r="S12034" t="s">
        <v>47736</v>
      </c>
      <c r="T12034" t="s">
        <v>49468</v>
      </c>
      <c r="U12034" t="s">
        <v>59484</v>
      </c>
      <c r="W12034" t="s">
        <v>46664</v>
      </c>
      <c r="X12034" t="s">
        <v>47319</v>
      </c>
    </row>
    <row r="12035" spans="1:24">
      <c r="A12035">
        <f>HYPERLINK("https://www.philgeps.gov.ph/GEPSNONPILOT/Tender/SplashBidNoticeAbstractUI.aspx?menuIndex=3&amp;refID=7174394&amp;Result=3","7174394")</f>
        <v>0</v>
      </c>
      <c r="B12035" t="s">
        <v>185</v>
      </c>
      <c r="C12035" t="s">
        <v>15231</v>
      </c>
      <c r="D12035" t="s">
        <v>19025</v>
      </c>
      <c r="E12035" t="s">
        <v>29325</v>
      </c>
      <c r="F12035" t="s">
        <v>32606</v>
      </c>
      <c r="G12035" t="s">
        <v>32613</v>
      </c>
      <c r="H12035" t="s">
        <v>14201</v>
      </c>
      <c r="I12035" t="s">
        <v>32629</v>
      </c>
      <c r="J12035" t="s">
        <v>40241</v>
      </c>
      <c r="K12035" t="s">
        <v>42622</v>
      </c>
      <c r="M12035" t="s">
        <v>43350</v>
      </c>
      <c r="N12035" t="s">
        <v>47304</v>
      </c>
      <c r="O12035" t="s">
        <v>47305</v>
      </c>
      <c r="P12035">
        <v>0</v>
      </c>
      <c r="Q12035">
        <v>0</v>
      </c>
      <c r="R12035" t="s">
        <v>47318</v>
      </c>
      <c r="S12035" t="s">
        <v>47736</v>
      </c>
      <c r="T12035" t="s">
        <v>49075</v>
      </c>
      <c r="U12035" t="s">
        <v>50321</v>
      </c>
      <c r="V12035" t="s">
        <v>62747</v>
      </c>
      <c r="W12035" t="s">
        <v>64433</v>
      </c>
      <c r="X12035" t="s">
        <v>47319</v>
      </c>
    </row>
    <row r="12036" spans="1:24">
      <c r="A12036">
        <f>HYPERLINK("https://www.philgeps.gov.ph/GEPSNONPILOT/Tender/SplashBidNoticeAbstractUI.aspx?menuIndex=3&amp;refID=7174462&amp;Result=3","7174462")</f>
        <v>0</v>
      </c>
      <c r="B12036" t="s">
        <v>3410</v>
      </c>
      <c r="C12036" t="s">
        <v>15232</v>
      </c>
      <c r="D12036" t="s">
        <v>18992</v>
      </c>
      <c r="E12036" t="s">
        <v>29326</v>
      </c>
      <c r="F12036" t="s">
        <v>32606</v>
      </c>
      <c r="G12036" t="s">
        <v>32613</v>
      </c>
      <c r="H12036" t="s">
        <v>14201</v>
      </c>
      <c r="I12036" t="s">
        <v>32629</v>
      </c>
      <c r="J12036" t="s">
        <v>40242</v>
      </c>
      <c r="K12036" t="s">
        <v>42631</v>
      </c>
      <c r="M12036" t="s">
        <v>46666</v>
      </c>
      <c r="N12036" t="s">
        <v>47304</v>
      </c>
      <c r="O12036" t="s">
        <v>47305</v>
      </c>
      <c r="Q12036">
        <v>0</v>
      </c>
      <c r="R12036" t="s">
        <v>47318</v>
      </c>
      <c r="S12036" t="s">
        <v>47749</v>
      </c>
      <c r="T12036" t="s">
        <v>48998</v>
      </c>
      <c r="U12036" t="s">
        <v>59485</v>
      </c>
      <c r="W12036" t="s">
        <v>46666</v>
      </c>
      <c r="X12036" t="s">
        <v>47319</v>
      </c>
    </row>
    <row r="12037" spans="1:24">
      <c r="A12037">
        <f>HYPERLINK("https://www.philgeps.gov.ph/GEPSNONPILOT/Tender/SplashBidNoticeAbstractUI.aspx?menuIndex=3&amp;refID=7174438&amp;Result=3","7174438")</f>
        <v>0</v>
      </c>
      <c r="B12037" t="s">
        <v>2520</v>
      </c>
      <c r="C12037" t="s">
        <v>15233</v>
      </c>
      <c r="D12037" t="s">
        <v>19018</v>
      </c>
      <c r="E12037" t="s">
        <v>29327</v>
      </c>
      <c r="F12037" t="s">
        <v>32606</v>
      </c>
      <c r="G12037" t="s">
        <v>32613</v>
      </c>
      <c r="H12037" t="s">
        <v>14201</v>
      </c>
      <c r="I12037" t="s">
        <v>32658</v>
      </c>
      <c r="J12037" t="s">
        <v>32778</v>
      </c>
      <c r="K12037" t="s">
        <v>42631</v>
      </c>
      <c r="M12037" t="s">
        <v>45661</v>
      </c>
      <c r="N12037" t="s">
        <v>47304</v>
      </c>
      <c r="O12037" t="s">
        <v>47305</v>
      </c>
      <c r="P12037">
        <v>0</v>
      </c>
      <c r="Q12037">
        <v>5</v>
      </c>
      <c r="R12037" t="s">
        <v>47318</v>
      </c>
      <c r="S12037" t="s">
        <v>47736</v>
      </c>
      <c r="T12037" t="s">
        <v>49052</v>
      </c>
      <c r="U12037" t="s">
        <v>59486</v>
      </c>
      <c r="W12037" t="s">
        <v>45661</v>
      </c>
      <c r="X12037" t="s">
        <v>47319</v>
      </c>
    </row>
    <row r="12038" spans="1:24">
      <c r="A12038">
        <f>HYPERLINK("https://www.philgeps.gov.ph/GEPSNONPILOT/Tender/SplashBidNoticeAbstractUI.aspx?menuIndex=3&amp;refID=7174337&amp;Result=3","7174337")</f>
        <v>0</v>
      </c>
      <c r="B12038" t="s">
        <v>185</v>
      </c>
      <c r="C12038" t="s">
        <v>15234</v>
      </c>
      <c r="D12038" t="s">
        <v>19025</v>
      </c>
      <c r="E12038" t="s">
        <v>29328</v>
      </c>
      <c r="F12038" t="s">
        <v>32606</v>
      </c>
      <c r="G12038" t="s">
        <v>32613</v>
      </c>
      <c r="H12038" t="s">
        <v>14201</v>
      </c>
      <c r="I12038" t="s">
        <v>32629</v>
      </c>
      <c r="J12038" t="s">
        <v>40243</v>
      </c>
      <c r="K12038" t="s">
        <v>42622</v>
      </c>
      <c r="M12038" t="s">
        <v>43350</v>
      </c>
      <c r="N12038" t="s">
        <v>47304</v>
      </c>
      <c r="O12038" t="s">
        <v>47305</v>
      </c>
      <c r="P12038">
        <v>0</v>
      </c>
      <c r="Q12038">
        <v>0</v>
      </c>
      <c r="R12038" t="s">
        <v>47318</v>
      </c>
      <c r="S12038" t="s">
        <v>47736</v>
      </c>
      <c r="T12038" t="s">
        <v>49075</v>
      </c>
      <c r="U12038" t="s">
        <v>50321</v>
      </c>
      <c r="V12038" t="s">
        <v>62747</v>
      </c>
      <c r="W12038" t="s">
        <v>64433</v>
      </c>
      <c r="X12038" t="s">
        <v>47319</v>
      </c>
    </row>
    <row r="12039" spans="1:24">
      <c r="A12039">
        <f>HYPERLINK("https://www.philgeps.gov.ph/GEPSNONPILOT/Tender/SplashBidNoticeAbstractUI.aspx?menuIndex=3&amp;refID=7174868&amp;Result=3","7174868")</f>
        <v>0</v>
      </c>
      <c r="B12039" t="s">
        <v>1349</v>
      </c>
      <c r="C12039" t="s">
        <v>15235</v>
      </c>
      <c r="D12039" t="s">
        <v>19016</v>
      </c>
      <c r="E12039" t="s">
        <v>29329</v>
      </c>
      <c r="F12039" t="s">
        <v>32606</v>
      </c>
      <c r="G12039" t="s">
        <v>32613</v>
      </c>
      <c r="H12039" t="s">
        <v>14201</v>
      </c>
      <c r="I12039" t="s">
        <v>7064</v>
      </c>
      <c r="J12039" t="s">
        <v>33071</v>
      </c>
      <c r="K12039" t="s">
        <v>42636</v>
      </c>
      <c r="M12039" t="s">
        <v>44323</v>
      </c>
      <c r="N12039" t="s">
        <v>47304</v>
      </c>
      <c r="O12039" t="s">
        <v>47305</v>
      </c>
      <c r="Q12039">
        <v>11</v>
      </c>
      <c r="R12039" t="s">
        <v>47318</v>
      </c>
      <c r="S12039" t="s">
        <v>47750</v>
      </c>
      <c r="T12039" t="s">
        <v>48973</v>
      </c>
      <c r="U12039" t="s">
        <v>59487</v>
      </c>
      <c r="W12039" t="s">
        <v>44323</v>
      </c>
      <c r="X12039" t="s">
        <v>47319</v>
      </c>
    </row>
    <row r="12040" spans="1:24">
      <c r="A12040">
        <f>HYPERLINK("https://www.philgeps.gov.ph/GEPSNONPILOT/Tender/SplashBidNoticeAbstractUI.aspx?menuIndex=3&amp;refID=7174855&amp;Result=3","7174855")</f>
        <v>0</v>
      </c>
      <c r="B12040" t="s">
        <v>1406</v>
      </c>
      <c r="C12040" t="s">
        <v>15236</v>
      </c>
      <c r="D12040" t="s">
        <v>19019</v>
      </c>
      <c r="E12040" t="s">
        <v>29330</v>
      </c>
      <c r="F12040" t="s">
        <v>32606</v>
      </c>
      <c r="G12040" t="s">
        <v>32613</v>
      </c>
      <c r="H12040" t="s">
        <v>14201</v>
      </c>
      <c r="I12040" t="s">
        <v>32635</v>
      </c>
      <c r="J12040" t="s">
        <v>34465</v>
      </c>
      <c r="K12040" t="s">
        <v>42636</v>
      </c>
      <c r="M12040" t="s">
        <v>44392</v>
      </c>
      <c r="N12040" t="s">
        <v>47304</v>
      </c>
      <c r="O12040" t="s">
        <v>47305</v>
      </c>
      <c r="P12040">
        <v>0</v>
      </c>
      <c r="Q12040">
        <v>2</v>
      </c>
      <c r="R12040" t="s">
        <v>47318</v>
      </c>
      <c r="S12040" t="s">
        <v>47736</v>
      </c>
      <c r="T12040" t="s">
        <v>49109</v>
      </c>
      <c r="U12040" t="s">
        <v>59488</v>
      </c>
      <c r="W12040" t="s">
        <v>44392</v>
      </c>
      <c r="X12040" t="s">
        <v>47319</v>
      </c>
    </row>
    <row r="12041" spans="1:24">
      <c r="A12041">
        <f>HYPERLINK("https://www.philgeps.gov.ph/GEPSNONPILOT/Tender/SplashBidNoticeAbstractUI.aspx?menuIndex=3&amp;refID=7174423&amp;Result=3","7174423")</f>
        <v>0</v>
      </c>
      <c r="B12041" t="s">
        <v>2361</v>
      </c>
      <c r="C12041" t="s">
        <v>15237</v>
      </c>
      <c r="D12041" t="s">
        <v>19056</v>
      </c>
      <c r="E12041" t="s">
        <v>29331</v>
      </c>
      <c r="F12041" t="s">
        <v>32606</v>
      </c>
      <c r="G12041" t="s">
        <v>32613</v>
      </c>
      <c r="H12041" t="s">
        <v>14201</v>
      </c>
      <c r="I12041" t="s">
        <v>32636</v>
      </c>
      <c r="J12041" t="s">
        <v>32770</v>
      </c>
      <c r="K12041" t="s">
        <v>42631</v>
      </c>
      <c r="M12041" t="s">
        <v>45475</v>
      </c>
      <c r="N12041" t="s">
        <v>47304</v>
      </c>
      <c r="O12041" t="s">
        <v>47305</v>
      </c>
      <c r="P12041">
        <v>0</v>
      </c>
      <c r="Q12041">
        <v>1</v>
      </c>
      <c r="R12041" t="s">
        <v>47318</v>
      </c>
      <c r="S12041" t="s">
        <v>47736</v>
      </c>
      <c r="T12041" t="s">
        <v>49072</v>
      </c>
      <c r="U12041" t="s">
        <v>59489</v>
      </c>
      <c r="W12041" t="s">
        <v>45475</v>
      </c>
      <c r="X12041" t="s">
        <v>47319</v>
      </c>
    </row>
    <row r="12042" spans="1:24">
      <c r="A12042">
        <f>HYPERLINK("https://www.philgeps.gov.ph/GEPSNONPILOT/Tender/SplashBidNoticeAbstractUI.aspx?menuIndex=3&amp;refID=7174832&amp;Result=3","7174832")</f>
        <v>0</v>
      </c>
      <c r="B12042" t="s">
        <v>3411</v>
      </c>
      <c r="C12042" t="s">
        <v>15238</v>
      </c>
      <c r="D12042" t="s">
        <v>18992</v>
      </c>
      <c r="E12042" t="s">
        <v>29332</v>
      </c>
      <c r="F12042" t="s">
        <v>32606</v>
      </c>
      <c r="G12042" t="s">
        <v>32613</v>
      </c>
      <c r="H12042" t="s">
        <v>32623</v>
      </c>
      <c r="I12042" t="s">
        <v>17648</v>
      </c>
      <c r="J12042" t="s">
        <v>32950</v>
      </c>
      <c r="K12042" t="s">
        <v>42648</v>
      </c>
      <c r="M12042" t="s">
        <v>46667</v>
      </c>
      <c r="N12042" t="s">
        <v>47304</v>
      </c>
      <c r="O12042" t="s">
        <v>47305</v>
      </c>
      <c r="P12042">
        <v>0</v>
      </c>
      <c r="Q12042">
        <v>0</v>
      </c>
      <c r="R12042" t="s">
        <v>47318</v>
      </c>
      <c r="S12042" t="s">
        <v>47736</v>
      </c>
      <c r="T12042" t="s">
        <v>48996</v>
      </c>
      <c r="U12042" t="s">
        <v>53319</v>
      </c>
      <c r="W12042" t="s">
        <v>46667</v>
      </c>
      <c r="X12042" t="s">
        <v>47319</v>
      </c>
    </row>
    <row r="12043" spans="1:24">
      <c r="A12043">
        <f>HYPERLINK("https://www.philgeps.gov.ph/GEPSNONPILOT/Tender/SplashBidNoticeAbstractUI.aspx?menuIndex=3&amp;refID=7174795&amp;Result=3","7174795")</f>
        <v>0</v>
      </c>
      <c r="B12043" t="s">
        <v>2739</v>
      </c>
      <c r="C12043" t="s">
        <v>15239</v>
      </c>
      <c r="D12043" t="s">
        <v>19056</v>
      </c>
      <c r="E12043" t="s">
        <v>29333</v>
      </c>
      <c r="F12043" t="s">
        <v>32606</v>
      </c>
      <c r="G12043" t="s">
        <v>32613</v>
      </c>
      <c r="H12043" t="s">
        <v>14201</v>
      </c>
      <c r="I12043" t="s">
        <v>6298</v>
      </c>
      <c r="J12043" t="s">
        <v>35448</v>
      </c>
      <c r="K12043" t="s">
        <v>42630</v>
      </c>
      <c r="M12043" t="s">
        <v>45895</v>
      </c>
      <c r="N12043" t="s">
        <v>47304</v>
      </c>
      <c r="O12043" t="s">
        <v>47305</v>
      </c>
      <c r="P12043">
        <v>0</v>
      </c>
      <c r="Q12043">
        <v>1</v>
      </c>
      <c r="R12043" t="s">
        <v>47318</v>
      </c>
      <c r="S12043" t="s">
        <v>47736</v>
      </c>
      <c r="T12043" t="s">
        <v>48971</v>
      </c>
      <c r="U12043" t="s">
        <v>59490</v>
      </c>
      <c r="W12043" t="s">
        <v>45895</v>
      </c>
      <c r="X12043" t="s">
        <v>47319</v>
      </c>
    </row>
    <row r="12044" spans="1:24">
      <c r="A12044">
        <f>HYPERLINK("https://www.philgeps.gov.ph/GEPSNONPILOT/Tender/SplashBidNoticeAbstractUI.aspx?menuIndex=3&amp;refID=7174808&amp;Result=3","7174808")</f>
        <v>0</v>
      </c>
      <c r="B12044" t="s">
        <v>2739</v>
      </c>
      <c r="C12044" t="s">
        <v>15240</v>
      </c>
      <c r="D12044" t="s">
        <v>19056</v>
      </c>
      <c r="E12044" t="s">
        <v>29334</v>
      </c>
      <c r="F12044" t="s">
        <v>32606</v>
      </c>
      <c r="G12044" t="s">
        <v>32613</v>
      </c>
      <c r="H12044" t="s">
        <v>14201</v>
      </c>
      <c r="I12044" t="s">
        <v>6298</v>
      </c>
      <c r="J12044" t="s">
        <v>34433</v>
      </c>
      <c r="K12044" t="s">
        <v>42630</v>
      </c>
      <c r="M12044" t="s">
        <v>45895</v>
      </c>
      <c r="N12044" t="s">
        <v>47304</v>
      </c>
      <c r="O12044" t="s">
        <v>47305</v>
      </c>
      <c r="P12044">
        <v>0</v>
      </c>
      <c r="Q12044">
        <v>1</v>
      </c>
      <c r="R12044" t="s">
        <v>47318</v>
      </c>
      <c r="S12044" t="s">
        <v>47736</v>
      </c>
      <c r="T12044" t="s">
        <v>48996</v>
      </c>
      <c r="U12044" t="s">
        <v>59490</v>
      </c>
      <c r="W12044" t="s">
        <v>45895</v>
      </c>
      <c r="X12044" t="s">
        <v>47319</v>
      </c>
    </row>
    <row r="12045" spans="1:24">
      <c r="A12045">
        <f>HYPERLINK("https://www.philgeps.gov.ph/GEPSNONPILOT/Tender/SplashBidNoticeAbstractUI.aspx?menuIndex=3&amp;refID=7174722&amp;Result=3","7174722")</f>
        <v>0</v>
      </c>
      <c r="B12045" t="s">
        <v>3290</v>
      </c>
      <c r="C12045" t="s">
        <v>15241</v>
      </c>
      <c r="D12045" t="s">
        <v>19057</v>
      </c>
      <c r="E12045" t="s">
        <v>29335</v>
      </c>
      <c r="F12045" t="s">
        <v>32606</v>
      </c>
      <c r="G12045" t="s">
        <v>32613</v>
      </c>
      <c r="H12045" t="s">
        <v>14201</v>
      </c>
      <c r="I12045" t="s">
        <v>4114</v>
      </c>
      <c r="J12045" t="s">
        <v>40244</v>
      </c>
      <c r="K12045" t="s">
        <v>42627</v>
      </c>
      <c r="M12045" t="s">
        <v>46528</v>
      </c>
      <c r="N12045" t="s">
        <v>47304</v>
      </c>
      <c r="O12045" t="s">
        <v>47305</v>
      </c>
      <c r="Q12045">
        <v>7</v>
      </c>
      <c r="R12045" t="s">
        <v>47318</v>
      </c>
      <c r="S12045" t="s">
        <v>47751</v>
      </c>
      <c r="T12045" t="s">
        <v>49004</v>
      </c>
      <c r="U12045" t="s">
        <v>59491</v>
      </c>
      <c r="W12045" t="s">
        <v>46528</v>
      </c>
      <c r="X12045" t="s">
        <v>47319</v>
      </c>
    </row>
    <row r="12046" spans="1:24">
      <c r="A12046">
        <f>HYPERLINK("https://www.philgeps.gov.ph/GEPSNONPILOT/Tender/SplashBidNoticeAbstractUI.aspx?menuIndex=3&amp;refID=7174787&amp;Result=3","7174787")</f>
        <v>0</v>
      </c>
      <c r="B12046" t="s">
        <v>3412</v>
      </c>
      <c r="C12046" t="s">
        <v>15242</v>
      </c>
      <c r="E12046" t="s">
        <v>29336</v>
      </c>
      <c r="F12046" t="s">
        <v>32606</v>
      </c>
      <c r="G12046" t="s">
        <v>32613</v>
      </c>
      <c r="H12046" t="s">
        <v>14201</v>
      </c>
      <c r="I12046" t="s">
        <v>32640</v>
      </c>
      <c r="J12046" t="s">
        <v>32861</v>
      </c>
      <c r="K12046" t="s">
        <v>42624</v>
      </c>
      <c r="M12046" t="s">
        <v>46668</v>
      </c>
      <c r="N12046" t="s">
        <v>47304</v>
      </c>
      <c r="O12046" t="s">
        <v>47305</v>
      </c>
      <c r="P12046">
        <v>0</v>
      </c>
      <c r="Q12046">
        <v>20</v>
      </c>
      <c r="R12046" t="s">
        <v>47318</v>
      </c>
      <c r="S12046" t="s">
        <v>47736</v>
      </c>
      <c r="T12046" t="s">
        <v>49189</v>
      </c>
      <c r="U12046" t="s">
        <v>59492</v>
      </c>
      <c r="W12046" t="s">
        <v>64538</v>
      </c>
      <c r="X12046" t="s">
        <v>47319</v>
      </c>
    </row>
    <row r="12047" spans="1:24">
      <c r="A12047">
        <f>HYPERLINK("https://www.philgeps.gov.ph/GEPSNONPILOT/Tender/SplashBidNoticeAbstractUI.aspx?menuIndex=3&amp;refID=7174718&amp;Result=3","7174718")</f>
        <v>0</v>
      </c>
      <c r="B12047" t="s">
        <v>1279</v>
      </c>
      <c r="C12047" t="s">
        <v>15243</v>
      </c>
      <c r="E12047" t="s">
        <v>29337</v>
      </c>
      <c r="F12047" t="s">
        <v>32606</v>
      </c>
      <c r="G12047" t="s">
        <v>32613</v>
      </c>
      <c r="H12047" t="s">
        <v>14201</v>
      </c>
      <c r="I12047" t="s">
        <v>32634</v>
      </c>
      <c r="J12047" t="s">
        <v>33897</v>
      </c>
      <c r="K12047" t="s">
        <v>42631</v>
      </c>
      <c r="M12047" t="s">
        <v>44249</v>
      </c>
      <c r="N12047" t="s">
        <v>47304</v>
      </c>
      <c r="O12047" t="s">
        <v>47305</v>
      </c>
      <c r="P12047">
        <v>0</v>
      </c>
      <c r="Q12047">
        <v>2</v>
      </c>
      <c r="R12047" t="s">
        <v>47318</v>
      </c>
      <c r="S12047" t="s">
        <v>47736</v>
      </c>
      <c r="T12047" t="s">
        <v>49184</v>
      </c>
      <c r="U12047" t="s">
        <v>59493</v>
      </c>
      <c r="W12047" t="s">
        <v>44249</v>
      </c>
      <c r="X12047" t="s">
        <v>47319</v>
      </c>
    </row>
    <row r="12048" spans="1:24">
      <c r="A12048">
        <f>HYPERLINK("https://www.philgeps.gov.ph/GEPSNONPILOT/Tender/SplashBidNoticeAbstractUI.aspx?menuIndex=3&amp;refID=7174695&amp;Result=3","7174695")</f>
        <v>0</v>
      </c>
      <c r="B12048" t="s">
        <v>185</v>
      </c>
      <c r="C12048" t="s">
        <v>15244</v>
      </c>
      <c r="D12048" t="s">
        <v>19025</v>
      </c>
      <c r="E12048" t="s">
        <v>29338</v>
      </c>
      <c r="F12048" t="s">
        <v>32606</v>
      </c>
      <c r="G12048" t="s">
        <v>32613</v>
      </c>
      <c r="H12048" t="s">
        <v>14201</v>
      </c>
      <c r="I12048" t="s">
        <v>32629</v>
      </c>
      <c r="J12048" t="s">
        <v>40245</v>
      </c>
      <c r="K12048" t="s">
        <v>42622</v>
      </c>
      <c r="M12048" t="s">
        <v>43350</v>
      </c>
      <c r="N12048" t="s">
        <v>47304</v>
      </c>
      <c r="O12048" t="s">
        <v>47305</v>
      </c>
      <c r="P12048">
        <v>0</v>
      </c>
      <c r="Q12048">
        <v>0</v>
      </c>
      <c r="R12048" t="s">
        <v>47318</v>
      </c>
      <c r="S12048" t="s">
        <v>47736</v>
      </c>
      <c r="T12048" t="s">
        <v>49075</v>
      </c>
      <c r="U12048" t="s">
        <v>50321</v>
      </c>
      <c r="V12048" t="s">
        <v>62747</v>
      </c>
      <c r="W12048" t="s">
        <v>64433</v>
      </c>
      <c r="X12048" t="s">
        <v>47319</v>
      </c>
    </row>
    <row r="12049" spans="1:24">
      <c r="A12049">
        <f>HYPERLINK("https://www.philgeps.gov.ph/GEPSNONPILOT/Tender/SplashBidNoticeAbstractUI.aspx?menuIndex=3&amp;refID=7174692&amp;Result=3","7174692")</f>
        <v>0</v>
      </c>
      <c r="B12049" t="s">
        <v>940</v>
      </c>
      <c r="C12049" t="s">
        <v>15245</v>
      </c>
      <c r="D12049" t="s">
        <v>19024</v>
      </c>
      <c r="E12049" t="s">
        <v>29339</v>
      </c>
      <c r="F12049" t="s">
        <v>32606</v>
      </c>
      <c r="G12049" t="s">
        <v>32613</v>
      </c>
      <c r="H12049" t="s">
        <v>32623</v>
      </c>
      <c r="I12049" t="s">
        <v>17648</v>
      </c>
      <c r="J12049" t="s">
        <v>40246</v>
      </c>
      <c r="K12049" t="s">
        <v>42631</v>
      </c>
      <c r="M12049" t="s">
        <v>43881</v>
      </c>
      <c r="N12049" t="s">
        <v>47304</v>
      </c>
      <c r="O12049" t="s">
        <v>47305</v>
      </c>
      <c r="Q12049">
        <v>0</v>
      </c>
      <c r="R12049" t="s">
        <v>47318</v>
      </c>
      <c r="S12049" t="s">
        <v>47752</v>
      </c>
      <c r="T12049" t="s">
        <v>49234</v>
      </c>
      <c r="U12049" t="s">
        <v>59494</v>
      </c>
      <c r="W12049" t="s">
        <v>43881</v>
      </c>
      <c r="X12049" t="s">
        <v>47319</v>
      </c>
    </row>
    <row r="12050" spans="1:24">
      <c r="A12050">
        <f>HYPERLINK("https://www.philgeps.gov.ph/GEPSNONPILOT/Tender/SplashBidNoticeAbstractUI.aspx?menuIndex=3&amp;refID=7174663&amp;Result=3","7174663")</f>
        <v>0</v>
      </c>
      <c r="B12050" t="s">
        <v>3413</v>
      </c>
      <c r="C12050" t="s">
        <v>15246</v>
      </c>
      <c r="D12050" t="s">
        <v>18988</v>
      </c>
      <c r="E12050" t="s">
        <v>29340</v>
      </c>
      <c r="F12050" t="s">
        <v>32606</v>
      </c>
      <c r="G12050" t="s">
        <v>32618</v>
      </c>
      <c r="H12050" t="s">
        <v>14201</v>
      </c>
      <c r="I12050" t="s">
        <v>4114</v>
      </c>
      <c r="J12050" t="s">
        <v>39606</v>
      </c>
      <c r="K12050" t="s">
        <v>42625</v>
      </c>
      <c r="M12050" t="s">
        <v>46669</v>
      </c>
      <c r="N12050" t="s">
        <v>47304</v>
      </c>
      <c r="O12050" t="s">
        <v>47305</v>
      </c>
      <c r="P12050">
        <v>0</v>
      </c>
      <c r="Q12050">
        <v>3</v>
      </c>
      <c r="R12050" t="s">
        <v>47318</v>
      </c>
      <c r="S12050" t="s">
        <v>47736</v>
      </c>
      <c r="T12050" t="s">
        <v>49023</v>
      </c>
      <c r="U12050" t="s">
        <v>59495</v>
      </c>
      <c r="W12050" t="s">
        <v>46669</v>
      </c>
      <c r="X12050" t="s">
        <v>47319</v>
      </c>
    </row>
    <row r="12051" spans="1:24">
      <c r="A12051">
        <f>HYPERLINK("https://www.philgeps.gov.ph/GEPSNONPILOT/Tender/SplashBidNoticeAbstractUI.aspx?menuIndex=3&amp;refID=7174656&amp;Result=3","7174656")</f>
        <v>0</v>
      </c>
      <c r="B12051" t="s">
        <v>185</v>
      </c>
      <c r="C12051" t="s">
        <v>15247</v>
      </c>
      <c r="D12051" t="s">
        <v>19025</v>
      </c>
      <c r="E12051" t="s">
        <v>29341</v>
      </c>
      <c r="F12051" t="s">
        <v>32606</v>
      </c>
      <c r="G12051" t="s">
        <v>32613</v>
      </c>
      <c r="H12051" t="s">
        <v>14201</v>
      </c>
      <c r="I12051" t="s">
        <v>32629</v>
      </c>
      <c r="J12051" t="s">
        <v>40247</v>
      </c>
      <c r="K12051" t="s">
        <v>42622</v>
      </c>
      <c r="M12051" t="s">
        <v>43350</v>
      </c>
      <c r="N12051" t="s">
        <v>47304</v>
      </c>
      <c r="O12051" t="s">
        <v>47305</v>
      </c>
      <c r="P12051">
        <v>0</v>
      </c>
      <c r="Q12051">
        <v>1</v>
      </c>
      <c r="R12051" t="s">
        <v>47318</v>
      </c>
      <c r="S12051" t="s">
        <v>47736</v>
      </c>
      <c r="T12051" t="s">
        <v>49075</v>
      </c>
      <c r="U12051" t="s">
        <v>50321</v>
      </c>
      <c r="V12051" t="s">
        <v>62747</v>
      </c>
      <c r="W12051" t="s">
        <v>64433</v>
      </c>
      <c r="X12051" t="s">
        <v>47319</v>
      </c>
    </row>
    <row r="12052" spans="1:24">
      <c r="A12052">
        <f>HYPERLINK("https://www.philgeps.gov.ph/GEPSNONPILOT/Tender/SplashBidNoticeAbstractUI.aspx?menuIndex=3&amp;refID=7174654&amp;Result=3","7174654")</f>
        <v>0</v>
      </c>
      <c r="B12052" t="s">
        <v>828</v>
      </c>
      <c r="C12052" t="s">
        <v>15213</v>
      </c>
      <c r="D12052" t="s">
        <v>19030</v>
      </c>
      <c r="E12052" t="s">
        <v>29342</v>
      </c>
      <c r="F12052" t="s">
        <v>32606</v>
      </c>
      <c r="G12052" t="s">
        <v>32613</v>
      </c>
      <c r="H12052" t="s">
        <v>14201</v>
      </c>
      <c r="I12052" t="s">
        <v>32631</v>
      </c>
      <c r="J12052" t="s">
        <v>40248</v>
      </c>
      <c r="K12052" t="s">
        <v>42630</v>
      </c>
      <c r="M12052" t="s">
        <v>43759</v>
      </c>
      <c r="N12052" t="s">
        <v>47304</v>
      </c>
      <c r="O12052" t="s">
        <v>47305</v>
      </c>
      <c r="P12052">
        <v>0</v>
      </c>
      <c r="Q12052">
        <v>0</v>
      </c>
      <c r="R12052" t="s">
        <v>47318</v>
      </c>
      <c r="S12052" t="s">
        <v>47736</v>
      </c>
      <c r="T12052" t="s">
        <v>49066</v>
      </c>
      <c r="U12052" t="s">
        <v>59471</v>
      </c>
      <c r="V12052" t="s">
        <v>63944</v>
      </c>
      <c r="W12052" t="s">
        <v>43759</v>
      </c>
      <c r="X12052" t="s">
        <v>47319</v>
      </c>
    </row>
    <row r="12053" spans="1:24">
      <c r="A12053">
        <f>HYPERLINK("https://www.philgeps.gov.ph/GEPSNONPILOT/Tender/SplashBidNoticeAbstractUI.aspx?menuIndex=3&amp;refID=7174612&amp;Result=3","7174612")</f>
        <v>0</v>
      </c>
      <c r="B12053" t="s">
        <v>185</v>
      </c>
      <c r="C12053" t="s">
        <v>15248</v>
      </c>
      <c r="D12053" t="s">
        <v>19025</v>
      </c>
      <c r="E12053" t="s">
        <v>29343</v>
      </c>
      <c r="F12053" t="s">
        <v>32606</v>
      </c>
      <c r="G12053" t="s">
        <v>32613</v>
      </c>
      <c r="H12053" t="s">
        <v>14201</v>
      </c>
      <c r="I12053" t="s">
        <v>32650</v>
      </c>
      <c r="J12053" t="s">
        <v>40249</v>
      </c>
      <c r="K12053" t="s">
        <v>42622</v>
      </c>
      <c r="M12053" t="s">
        <v>43350</v>
      </c>
      <c r="N12053" t="s">
        <v>47304</v>
      </c>
      <c r="O12053" t="s">
        <v>47305</v>
      </c>
      <c r="P12053">
        <v>0</v>
      </c>
      <c r="Q12053">
        <v>2</v>
      </c>
      <c r="R12053" t="s">
        <v>47318</v>
      </c>
      <c r="S12053" t="s">
        <v>47736</v>
      </c>
      <c r="T12053" t="s">
        <v>49075</v>
      </c>
      <c r="U12053" t="s">
        <v>50321</v>
      </c>
      <c r="V12053" t="s">
        <v>62747</v>
      </c>
      <c r="W12053" t="s">
        <v>64433</v>
      </c>
      <c r="X12053" t="s">
        <v>47319</v>
      </c>
    </row>
    <row r="12054" spans="1:24">
      <c r="A12054">
        <f>HYPERLINK("https://www.philgeps.gov.ph/GEPSNONPILOT/Tender/SplashBidNoticeAbstractUI.aspx?menuIndex=3&amp;refID=7174631&amp;Result=3","7174631")</f>
        <v>0</v>
      </c>
      <c r="B12054" t="s">
        <v>1028</v>
      </c>
      <c r="C12054" t="s">
        <v>15249</v>
      </c>
      <c r="D12054" t="s">
        <v>19008</v>
      </c>
      <c r="E12054" t="s">
        <v>29344</v>
      </c>
      <c r="F12054" t="s">
        <v>32606</v>
      </c>
      <c r="G12054" t="s">
        <v>32613</v>
      </c>
      <c r="H12054" t="s">
        <v>14201</v>
      </c>
      <c r="I12054" t="s">
        <v>6931</v>
      </c>
      <c r="J12054" t="s">
        <v>40250</v>
      </c>
      <c r="K12054" t="s">
        <v>42646</v>
      </c>
      <c r="M12054" t="s">
        <v>43981</v>
      </c>
      <c r="N12054" t="s">
        <v>47304</v>
      </c>
      <c r="O12054" t="s">
        <v>47305</v>
      </c>
      <c r="P12054">
        <v>0</v>
      </c>
      <c r="Q12054">
        <v>5</v>
      </c>
      <c r="R12054" t="s">
        <v>47318</v>
      </c>
      <c r="S12054" t="s">
        <v>47736</v>
      </c>
      <c r="T12054" t="s">
        <v>49017</v>
      </c>
      <c r="U12054" t="s">
        <v>59496</v>
      </c>
      <c r="W12054" t="s">
        <v>43981</v>
      </c>
      <c r="X12054" t="s">
        <v>47319</v>
      </c>
    </row>
    <row r="12055" spans="1:24">
      <c r="A12055">
        <f>HYPERLINK("https://www.philgeps.gov.ph/GEPSNONPILOT/Tender/SplashBidNoticeAbstractUI.aspx?menuIndex=3&amp;refID=7174625&amp;Result=3","7174625")</f>
        <v>0</v>
      </c>
      <c r="B12055" t="s">
        <v>619</v>
      </c>
      <c r="C12055" t="s">
        <v>15250</v>
      </c>
      <c r="D12055" t="s">
        <v>18986</v>
      </c>
      <c r="E12055" t="s">
        <v>29345</v>
      </c>
      <c r="F12055" t="s">
        <v>32606</v>
      </c>
      <c r="G12055" t="s">
        <v>32613</v>
      </c>
      <c r="H12055" t="s">
        <v>32623</v>
      </c>
      <c r="I12055" t="s">
        <v>17648</v>
      </c>
      <c r="J12055" t="s">
        <v>40251</v>
      </c>
      <c r="K12055" t="s">
        <v>42631</v>
      </c>
      <c r="M12055" t="s">
        <v>46670</v>
      </c>
      <c r="N12055" t="s">
        <v>47304</v>
      </c>
      <c r="O12055" t="s">
        <v>47305</v>
      </c>
      <c r="P12055">
        <v>0</v>
      </c>
      <c r="Q12055">
        <v>1</v>
      </c>
      <c r="R12055" t="s">
        <v>47318</v>
      </c>
      <c r="S12055" t="s">
        <v>47736</v>
      </c>
      <c r="T12055" t="s">
        <v>49240</v>
      </c>
      <c r="U12055" t="s">
        <v>59497</v>
      </c>
      <c r="W12055" t="s">
        <v>46670</v>
      </c>
      <c r="X12055" t="s">
        <v>47319</v>
      </c>
    </row>
    <row r="12056" spans="1:24">
      <c r="A12056">
        <f>HYPERLINK("https://www.philgeps.gov.ph/GEPSNONPILOT/Tender/SplashBidNoticeAbstractUI.aspx?menuIndex=3&amp;refID=7174600&amp;Result=3","7174600")</f>
        <v>0</v>
      </c>
      <c r="B12056" t="s">
        <v>3191</v>
      </c>
      <c r="C12056" t="s">
        <v>15251</v>
      </c>
      <c r="D12056" t="s">
        <v>19010</v>
      </c>
      <c r="E12056" t="s">
        <v>20124</v>
      </c>
      <c r="F12056" t="s">
        <v>32606</v>
      </c>
      <c r="G12056" t="s">
        <v>32613</v>
      </c>
      <c r="H12056" t="s">
        <v>14201</v>
      </c>
      <c r="I12056" t="s">
        <v>7064</v>
      </c>
      <c r="J12056" t="s">
        <v>33231</v>
      </c>
      <c r="K12056" t="s">
        <v>42636</v>
      </c>
      <c r="M12056" t="s">
        <v>46416</v>
      </c>
      <c r="N12056" t="s">
        <v>47304</v>
      </c>
      <c r="O12056" t="s">
        <v>47305</v>
      </c>
      <c r="P12056">
        <v>0</v>
      </c>
      <c r="Q12056">
        <v>4</v>
      </c>
      <c r="R12056" t="s">
        <v>47318</v>
      </c>
      <c r="S12056" t="s">
        <v>47736</v>
      </c>
      <c r="T12056" t="s">
        <v>49064</v>
      </c>
      <c r="U12056" t="s">
        <v>59498</v>
      </c>
      <c r="W12056" t="s">
        <v>46416</v>
      </c>
      <c r="X12056" t="s">
        <v>47319</v>
      </c>
    </row>
    <row r="12057" spans="1:24">
      <c r="A12057">
        <f>HYPERLINK("https://www.philgeps.gov.ph/GEPSNONPILOT/Tender/SplashBidNoticeAbstractUI.aspx?menuIndex=3&amp;refID=7174732&amp;Result=3","7174732")</f>
        <v>0</v>
      </c>
      <c r="B12057" t="s">
        <v>3072</v>
      </c>
      <c r="C12057" t="s">
        <v>15252</v>
      </c>
      <c r="D12057" t="s">
        <v>19011</v>
      </c>
      <c r="E12057" t="s">
        <v>29346</v>
      </c>
      <c r="F12057" t="s">
        <v>32606</v>
      </c>
      <c r="G12057" t="s">
        <v>32613</v>
      </c>
      <c r="H12057" t="s">
        <v>14201</v>
      </c>
      <c r="I12057" t="s">
        <v>6931</v>
      </c>
      <c r="J12057" t="s">
        <v>40252</v>
      </c>
      <c r="K12057" t="s">
        <v>42623</v>
      </c>
      <c r="M12057" t="s">
        <v>46271</v>
      </c>
      <c r="N12057" t="s">
        <v>47304</v>
      </c>
      <c r="O12057" t="s">
        <v>47305</v>
      </c>
      <c r="P12057">
        <v>0</v>
      </c>
      <c r="Q12057">
        <v>3</v>
      </c>
      <c r="R12057" t="s">
        <v>47318</v>
      </c>
      <c r="S12057" t="s">
        <v>47736</v>
      </c>
      <c r="T12057" t="s">
        <v>49017</v>
      </c>
      <c r="U12057" t="s">
        <v>59499</v>
      </c>
      <c r="W12057" t="s">
        <v>46271</v>
      </c>
      <c r="X12057" t="s">
        <v>47319</v>
      </c>
    </row>
    <row r="12058" spans="1:24">
      <c r="A12058">
        <f>HYPERLINK("https://www.philgeps.gov.ph/GEPSNONPILOT/Tender/SplashBidNoticeAbstractUI.aspx?menuIndex=3&amp;refID=7174874&amp;Result=3","7174874")</f>
        <v>0</v>
      </c>
      <c r="B12058" t="s">
        <v>3414</v>
      </c>
      <c r="C12058" t="s">
        <v>15253</v>
      </c>
      <c r="D12058" t="s">
        <v>19025</v>
      </c>
      <c r="E12058" t="s">
        <v>20240</v>
      </c>
      <c r="F12058" t="s">
        <v>32606</v>
      </c>
      <c r="G12058" t="s">
        <v>32613</v>
      </c>
      <c r="H12058" t="s">
        <v>32624</v>
      </c>
      <c r="I12058" t="s">
        <v>32649</v>
      </c>
      <c r="J12058" t="s">
        <v>40253</v>
      </c>
      <c r="K12058" t="s">
        <v>42682</v>
      </c>
      <c r="M12058" t="s">
        <v>46671</v>
      </c>
      <c r="N12058" t="s">
        <v>47304</v>
      </c>
      <c r="O12058" t="s">
        <v>47305</v>
      </c>
      <c r="P12058">
        <v>0</v>
      </c>
      <c r="Q12058">
        <v>2</v>
      </c>
      <c r="R12058" t="s">
        <v>47318</v>
      </c>
      <c r="S12058" t="s">
        <v>47736</v>
      </c>
      <c r="T12058" t="s">
        <v>49016</v>
      </c>
      <c r="U12058" t="s">
        <v>59500</v>
      </c>
      <c r="W12058" t="s">
        <v>46671</v>
      </c>
      <c r="X12058" t="s">
        <v>47319</v>
      </c>
    </row>
    <row r="12059" spans="1:24">
      <c r="A12059">
        <f>HYPERLINK("https://www.philgeps.gov.ph/GEPSNONPILOT/Tender/SplashBidNoticeAbstractUI.aspx?menuIndex=3&amp;refID=7174708&amp;Result=3","7174708")</f>
        <v>0</v>
      </c>
      <c r="B12059" t="s">
        <v>3008</v>
      </c>
      <c r="C12059" t="s">
        <v>15254</v>
      </c>
      <c r="D12059" t="s">
        <v>18993</v>
      </c>
      <c r="E12059" t="s">
        <v>29347</v>
      </c>
      <c r="F12059" t="s">
        <v>32606</v>
      </c>
      <c r="G12059" t="s">
        <v>32614</v>
      </c>
      <c r="H12059" t="s">
        <v>14201</v>
      </c>
      <c r="I12059" t="s">
        <v>32639</v>
      </c>
      <c r="J12059" t="s">
        <v>35858</v>
      </c>
      <c r="K12059" t="s">
        <v>42630</v>
      </c>
      <c r="M12059" t="s">
        <v>46197</v>
      </c>
      <c r="N12059" t="s">
        <v>47304</v>
      </c>
      <c r="O12059" t="s">
        <v>47305</v>
      </c>
      <c r="Q12059">
        <v>6</v>
      </c>
      <c r="R12059" t="s">
        <v>47318</v>
      </c>
      <c r="S12059" t="s">
        <v>47753</v>
      </c>
      <c r="T12059" t="s">
        <v>49000</v>
      </c>
      <c r="U12059" t="s">
        <v>59501</v>
      </c>
      <c r="V12059" t="s">
        <v>63945</v>
      </c>
      <c r="W12059" t="s">
        <v>46197</v>
      </c>
      <c r="X12059" t="s">
        <v>47319</v>
      </c>
    </row>
    <row r="12060" spans="1:24">
      <c r="A12060">
        <f>HYPERLINK("https://www.philgeps.gov.ph/GEPSNONPILOT/Tender/SplashBidNoticeAbstractUI.aspx?menuIndex=3&amp;refID=7174993&amp;Result=3","7174993")</f>
        <v>0</v>
      </c>
      <c r="B12060" t="s">
        <v>3184</v>
      </c>
      <c r="C12060" t="s">
        <v>15255</v>
      </c>
      <c r="D12060" t="s">
        <v>19011</v>
      </c>
      <c r="E12060" t="s">
        <v>29348</v>
      </c>
      <c r="F12060" t="s">
        <v>32607</v>
      </c>
      <c r="G12060" t="s">
        <v>32613</v>
      </c>
      <c r="H12060" t="s">
        <v>14201</v>
      </c>
      <c r="I12060" t="s">
        <v>7064</v>
      </c>
      <c r="J12060" t="s">
        <v>40254</v>
      </c>
      <c r="K12060" t="s">
        <v>42624</v>
      </c>
      <c r="M12060" t="s">
        <v>46408</v>
      </c>
      <c r="N12060" t="s">
        <v>47304</v>
      </c>
      <c r="O12060" t="s">
        <v>47305</v>
      </c>
      <c r="P12060">
        <v>0</v>
      </c>
      <c r="Q12060">
        <v>4</v>
      </c>
      <c r="R12060" t="s">
        <v>47318</v>
      </c>
      <c r="S12060" t="s">
        <v>47736</v>
      </c>
      <c r="T12060" t="s">
        <v>49099</v>
      </c>
      <c r="U12060" t="s">
        <v>59502</v>
      </c>
      <c r="V12060" t="s">
        <v>63946</v>
      </c>
      <c r="W12060" t="s">
        <v>46408</v>
      </c>
      <c r="X12060" t="s">
        <v>47319</v>
      </c>
    </row>
    <row r="12061" spans="1:24">
      <c r="A12061">
        <f>HYPERLINK("https://www.philgeps.gov.ph/GEPSNONPILOT/Tender/SplashBidNoticeAbstractUI.aspx?menuIndex=3&amp;refID=7174980&amp;Result=3","7174980")</f>
        <v>0</v>
      </c>
      <c r="B12061" t="s">
        <v>81</v>
      </c>
      <c r="C12061" t="s">
        <v>15256</v>
      </c>
      <c r="D12061" t="s">
        <v>18995</v>
      </c>
      <c r="E12061" t="s">
        <v>29349</v>
      </c>
      <c r="F12061" t="s">
        <v>32606</v>
      </c>
      <c r="G12061" t="s">
        <v>32613</v>
      </c>
      <c r="H12061" t="s">
        <v>32623</v>
      </c>
      <c r="I12061" t="s">
        <v>17648</v>
      </c>
      <c r="J12061" t="s">
        <v>40255</v>
      </c>
      <c r="K12061" t="s">
        <v>42624</v>
      </c>
      <c r="M12061" t="s">
        <v>42978</v>
      </c>
      <c r="N12061" t="s">
        <v>47304</v>
      </c>
      <c r="O12061" t="s">
        <v>47305</v>
      </c>
      <c r="P12061">
        <v>0</v>
      </c>
      <c r="Q12061">
        <v>1</v>
      </c>
      <c r="R12061" t="s">
        <v>47318</v>
      </c>
      <c r="S12061" t="s">
        <v>47736</v>
      </c>
      <c r="T12061" t="s">
        <v>48989</v>
      </c>
      <c r="U12061" t="s">
        <v>59503</v>
      </c>
      <c r="W12061" t="s">
        <v>42978</v>
      </c>
      <c r="X12061" t="s">
        <v>47319</v>
      </c>
    </row>
    <row r="12062" spans="1:24">
      <c r="A12062">
        <f>HYPERLINK("https://www.philgeps.gov.ph/GEPSNONPILOT/Tender/SplashBidNoticeAbstractUI.aspx?menuIndex=3&amp;refID=7174426&amp;Result=3","7174426")</f>
        <v>0</v>
      </c>
      <c r="B12062" t="s">
        <v>3409</v>
      </c>
      <c r="C12062" t="s">
        <v>15257</v>
      </c>
      <c r="D12062" t="s">
        <v>18993</v>
      </c>
      <c r="E12062" t="s">
        <v>25241</v>
      </c>
      <c r="F12062" t="s">
        <v>32607</v>
      </c>
      <c r="G12062" t="s">
        <v>32613</v>
      </c>
      <c r="H12062" t="s">
        <v>14201</v>
      </c>
      <c r="I12062" t="s">
        <v>7677</v>
      </c>
      <c r="J12062" t="s">
        <v>35448</v>
      </c>
      <c r="K12062" t="s">
        <v>42623</v>
      </c>
      <c r="M12062" t="s">
        <v>46664</v>
      </c>
      <c r="N12062" t="s">
        <v>47304</v>
      </c>
      <c r="O12062" t="s">
        <v>47305</v>
      </c>
      <c r="P12062">
        <v>0</v>
      </c>
      <c r="Q12062">
        <v>4</v>
      </c>
      <c r="R12062" t="s">
        <v>47318</v>
      </c>
      <c r="S12062" t="s">
        <v>47736</v>
      </c>
      <c r="T12062" t="s">
        <v>49065</v>
      </c>
      <c r="U12062" t="s">
        <v>59504</v>
      </c>
      <c r="W12062" t="s">
        <v>46664</v>
      </c>
      <c r="X12062" t="s">
        <v>47319</v>
      </c>
    </row>
    <row r="12063" spans="1:24">
      <c r="A12063">
        <f>HYPERLINK("https://www.philgeps.gov.ph/GEPSNONPILOT/Tender/SplashBidNoticeAbstractUI.aspx?menuIndex=3&amp;refID=7174459&amp;Result=3","7174459")</f>
        <v>0</v>
      </c>
      <c r="B12063" t="s">
        <v>3415</v>
      </c>
      <c r="C12063" t="s">
        <v>15258</v>
      </c>
      <c r="D12063" t="s">
        <v>19007</v>
      </c>
      <c r="E12063" t="s">
        <v>24390</v>
      </c>
      <c r="F12063" t="s">
        <v>32606</v>
      </c>
      <c r="G12063" t="s">
        <v>32613</v>
      </c>
      <c r="H12063" t="s">
        <v>32625</v>
      </c>
      <c r="I12063" t="s">
        <v>17648</v>
      </c>
      <c r="J12063" t="s">
        <v>32789</v>
      </c>
      <c r="K12063" t="s">
        <v>42631</v>
      </c>
      <c r="M12063" t="s">
        <v>46672</v>
      </c>
      <c r="N12063" t="s">
        <v>47304</v>
      </c>
      <c r="O12063" t="s">
        <v>47305</v>
      </c>
      <c r="P12063">
        <v>0</v>
      </c>
      <c r="Q12063">
        <v>2</v>
      </c>
      <c r="R12063" t="s">
        <v>47318</v>
      </c>
      <c r="S12063" t="s">
        <v>47736</v>
      </c>
      <c r="T12063" t="s">
        <v>49068</v>
      </c>
      <c r="U12063" t="s">
        <v>59505</v>
      </c>
      <c r="W12063" t="s">
        <v>46672</v>
      </c>
      <c r="X12063" t="s">
        <v>47319</v>
      </c>
    </row>
    <row r="12064" spans="1:24">
      <c r="A12064">
        <f>HYPERLINK("https://www.philgeps.gov.ph/GEPSNONPILOT/Tender/SplashBidNoticeAbstractUI.aspx?menuIndex=3&amp;refID=7174967&amp;Result=3","7174967")</f>
        <v>0</v>
      </c>
      <c r="B12064" t="s">
        <v>3411</v>
      </c>
      <c r="C12064" t="s">
        <v>15259</v>
      </c>
      <c r="D12064" t="s">
        <v>18992</v>
      </c>
      <c r="E12064" t="s">
        <v>29350</v>
      </c>
      <c r="F12064" t="s">
        <v>32606</v>
      </c>
      <c r="G12064" t="s">
        <v>32613</v>
      </c>
      <c r="H12064" t="s">
        <v>32623</v>
      </c>
      <c r="I12064" t="s">
        <v>17648</v>
      </c>
      <c r="J12064" t="s">
        <v>40256</v>
      </c>
      <c r="K12064" t="s">
        <v>42636</v>
      </c>
      <c r="M12064" t="s">
        <v>46667</v>
      </c>
      <c r="N12064" t="s">
        <v>47304</v>
      </c>
      <c r="O12064" t="s">
        <v>47305</v>
      </c>
      <c r="P12064">
        <v>0</v>
      </c>
      <c r="Q12064">
        <v>1</v>
      </c>
      <c r="R12064" t="s">
        <v>47318</v>
      </c>
      <c r="S12064" t="s">
        <v>47736</v>
      </c>
      <c r="T12064" t="s">
        <v>48996</v>
      </c>
      <c r="U12064" t="s">
        <v>53319</v>
      </c>
      <c r="W12064" t="s">
        <v>46667</v>
      </c>
      <c r="X12064" t="s">
        <v>47319</v>
      </c>
    </row>
    <row r="12065" spans="1:24">
      <c r="A12065">
        <f>HYPERLINK("https://www.philgeps.gov.ph/GEPSNONPILOT/Tender/SplashBidNoticeAbstractUI.aspx?menuIndex=3&amp;refID=7174969&amp;Result=3","7174969")</f>
        <v>0</v>
      </c>
      <c r="B12065" t="s">
        <v>3416</v>
      </c>
      <c r="C12065" t="s">
        <v>15260</v>
      </c>
      <c r="D12065" t="s">
        <v>19019</v>
      </c>
      <c r="E12065" t="s">
        <v>29351</v>
      </c>
      <c r="F12065" t="s">
        <v>32606</v>
      </c>
      <c r="G12065" t="s">
        <v>32613</v>
      </c>
      <c r="H12065" t="s">
        <v>14201</v>
      </c>
      <c r="I12065" t="s">
        <v>7677</v>
      </c>
      <c r="J12065" t="s">
        <v>40257</v>
      </c>
      <c r="K12065" t="s">
        <v>42623</v>
      </c>
      <c r="M12065" t="s">
        <v>46673</v>
      </c>
      <c r="N12065" t="s">
        <v>47304</v>
      </c>
      <c r="O12065" t="s">
        <v>47305</v>
      </c>
      <c r="P12065">
        <v>0</v>
      </c>
      <c r="Q12065">
        <v>1</v>
      </c>
      <c r="R12065" t="s">
        <v>47318</v>
      </c>
      <c r="S12065" t="s">
        <v>47736</v>
      </c>
      <c r="T12065" t="s">
        <v>48987</v>
      </c>
      <c r="U12065" t="s">
        <v>59506</v>
      </c>
      <c r="W12065" t="s">
        <v>46673</v>
      </c>
      <c r="X12065" t="s">
        <v>47319</v>
      </c>
    </row>
    <row r="12066" spans="1:24">
      <c r="A12066">
        <f>HYPERLINK("https://www.philgeps.gov.ph/GEPSNONPILOT/Tender/SplashBidNoticeAbstractUI.aspx?menuIndex=3&amp;refID=7174947&amp;Result=3","7174947")</f>
        <v>0</v>
      </c>
      <c r="B12066" t="s">
        <v>81</v>
      </c>
      <c r="C12066" t="s">
        <v>15261</v>
      </c>
      <c r="D12066" t="s">
        <v>18995</v>
      </c>
      <c r="E12066" t="s">
        <v>29352</v>
      </c>
      <c r="F12066" t="s">
        <v>32606</v>
      </c>
      <c r="G12066" t="s">
        <v>32613</v>
      </c>
      <c r="H12066" t="s">
        <v>32623</v>
      </c>
      <c r="I12066" t="s">
        <v>17648</v>
      </c>
      <c r="J12066" t="s">
        <v>34198</v>
      </c>
      <c r="K12066" t="s">
        <v>42624</v>
      </c>
      <c r="M12066" t="s">
        <v>42978</v>
      </c>
      <c r="N12066" t="s">
        <v>47304</v>
      </c>
      <c r="O12066" t="s">
        <v>47305</v>
      </c>
      <c r="P12066">
        <v>0</v>
      </c>
      <c r="Q12066">
        <v>1</v>
      </c>
      <c r="R12066" t="s">
        <v>47318</v>
      </c>
      <c r="S12066" t="s">
        <v>47736</v>
      </c>
      <c r="T12066" t="s">
        <v>48989</v>
      </c>
      <c r="U12066" t="s">
        <v>59507</v>
      </c>
      <c r="W12066" t="s">
        <v>42978</v>
      </c>
      <c r="X12066" t="s">
        <v>47319</v>
      </c>
    </row>
    <row r="12067" spans="1:24">
      <c r="A12067">
        <f>HYPERLINK("https://www.philgeps.gov.ph/GEPSNONPILOT/Tender/SplashBidNoticeAbstractUI.aspx?menuIndex=3&amp;refID=7175055&amp;Result=3","7175055")</f>
        <v>0</v>
      </c>
      <c r="B12067" t="s">
        <v>2541</v>
      </c>
      <c r="C12067" t="s">
        <v>15262</v>
      </c>
      <c r="D12067" t="s">
        <v>19022</v>
      </c>
      <c r="E12067" t="s">
        <v>29353</v>
      </c>
      <c r="F12067" t="s">
        <v>32606</v>
      </c>
      <c r="G12067" t="s">
        <v>32613</v>
      </c>
      <c r="H12067" t="s">
        <v>32623</v>
      </c>
      <c r="I12067" t="s">
        <v>32659</v>
      </c>
      <c r="J12067" t="s">
        <v>40258</v>
      </c>
      <c r="K12067" t="s">
        <v>42646</v>
      </c>
      <c r="M12067" t="s">
        <v>45681</v>
      </c>
      <c r="N12067" t="s">
        <v>47304</v>
      </c>
      <c r="O12067" t="s">
        <v>47305</v>
      </c>
      <c r="P12067">
        <v>0</v>
      </c>
      <c r="Q12067">
        <v>1</v>
      </c>
      <c r="R12067" t="s">
        <v>47318</v>
      </c>
      <c r="S12067" t="s">
        <v>47736</v>
      </c>
      <c r="T12067" t="s">
        <v>48989</v>
      </c>
      <c r="U12067" t="s">
        <v>59508</v>
      </c>
      <c r="V12067" t="s">
        <v>63947</v>
      </c>
      <c r="W12067" t="s">
        <v>45681</v>
      </c>
      <c r="X12067" t="s">
        <v>47319</v>
      </c>
    </row>
    <row r="12068" spans="1:24">
      <c r="A12068">
        <f>HYPERLINK("https://www.philgeps.gov.ph/GEPSNONPILOT/Tender/SplashBidNoticeAbstractUI.aspx?menuIndex=3&amp;refID=7174923&amp;Result=3","7174923")</f>
        <v>0</v>
      </c>
      <c r="B12068" t="s">
        <v>560</v>
      </c>
      <c r="C12068" t="s">
        <v>15263</v>
      </c>
      <c r="D12068" t="s">
        <v>19000</v>
      </c>
      <c r="E12068" t="s">
        <v>29354</v>
      </c>
      <c r="F12068" t="s">
        <v>32606</v>
      </c>
      <c r="G12068" t="s">
        <v>32613</v>
      </c>
      <c r="H12068" t="s">
        <v>14201</v>
      </c>
      <c r="I12068" t="s">
        <v>7064</v>
      </c>
      <c r="J12068" t="s">
        <v>33043</v>
      </c>
      <c r="K12068" t="s">
        <v>42639</v>
      </c>
      <c r="M12068" t="s">
        <v>43475</v>
      </c>
      <c r="N12068" t="s">
        <v>47304</v>
      </c>
      <c r="O12068" t="s">
        <v>47305</v>
      </c>
      <c r="P12068">
        <v>0</v>
      </c>
      <c r="Q12068">
        <v>2</v>
      </c>
      <c r="R12068" t="s">
        <v>47318</v>
      </c>
      <c r="S12068" t="s">
        <v>47736</v>
      </c>
      <c r="T12068" t="s">
        <v>49147</v>
      </c>
      <c r="U12068" t="s">
        <v>59509</v>
      </c>
      <c r="W12068" t="s">
        <v>43475</v>
      </c>
      <c r="X12068" t="s">
        <v>47319</v>
      </c>
    </row>
    <row r="12069" spans="1:24">
      <c r="A12069">
        <f>HYPERLINK("https://www.philgeps.gov.ph/GEPSNONPILOT/Tender/SplashBidNoticeAbstractUI.aspx?menuIndex=3&amp;refID=7174639&amp;Result=3","7174639")</f>
        <v>0</v>
      </c>
      <c r="B12069" t="s">
        <v>3174</v>
      </c>
      <c r="C12069" t="s">
        <v>15264</v>
      </c>
      <c r="D12069" t="s">
        <v>19006</v>
      </c>
      <c r="E12069" t="s">
        <v>29355</v>
      </c>
      <c r="F12069" t="s">
        <v>32606</v>
      </c>
      <c r="G12069" t="s">
        <v>32613</v>
      </c>
      <c r="H12069" t="s">
        <v>14201</v>
      </c>
      <c r="I12069" t="s">
        <v>6993</v>
      </c>
      <c r="J12069" t="s">
        <v>40259</v>
      </c>
      <c r="K12069" t="s">
        <v>42627</v>
      </c>
      <c r="M12069" t="s">
        <v>46395</v>
      </c>
      <c r="N12069" t="s">
        <v>47304</v>
      </c>
      <c r="O12069" t="s">
        <v>47305</v>
      </c>
      <c r="P12069">
        <v>0</v>
      </c>
      <c r="Q12069">
        <v>2</v>
      </c>
      <c r="R12069" t="s">
        <v>47318</v>
      </c>
      <c r="S12069" t="s">
        <v>47736</v>
      </c>
      <c r="T12069" t="s">
        <v>48996</v>
      </c>
      <c r="U12069" t="s">
        <v>59510</v>
      </c>
      <c r="V12069" t="s">
        <v>62644</v>
      </c>
      <c r="W12069" t="s">
        <v>46395</v>
      </c>
      <c r="X12069" t="s">
        <v>47319</v>
      </c>
    </row>
    <row r="12070" spans="1:24">
      <c r="A12070">
        <f>HYPERLINK("https://www.philgeps.gov.ph/GEPSNONPILOT/Tender/SplashBidNoticeAbstractUI.aspx?menuIndex=3&amp;refID=7175053&amp;Result=3","7175053")</f>
        <v>0</v>
      </c>
      <c r="B12070" t="s">
        <v>81</v>
      </c>
      <c r="C12070" t="s">
        <v>15265</v>
      </c>
      <c r="D12070" t="s">
        <v>18995</v>
      </c>
      <c r="E12070" t="s">
        <v>29356</v>
      </c>
      <c r="F12070" t="s">
        <v>32606</v>
      </c>
      <c r="G12070" t="s">
        <v>32613</v>
      </c>
      <c r="H12070" t="s">
        <v>32623</v>
      </c>
      <c r="I12070" t="s">
        <v>17648</v>
      </c>
      <c r="J12070" t="s">
        <v>32830</v>
      </c>
      <c r="K12070" t="s">
        <v>42624</v>
      </c>
      <c r="M12070" t="s">
        <v>42978</v>
      </c>
      <c r="N12070" t="s">
        <v>47304</v>
      </c>
      <c r="O12070" t="s">
        <v>47305</v>
      </c>
      <c r="P12070">
        <v>0</v>
      </c>
      <c r="Q12070">
        <v>1</v>
      </c>
      <c r="R12070" t="s">
        <v>47318</v>
      </c>
      <c r="S12070" t="s">
        <v>47736</v>
      </c>
      <c r="T12070" t="s">
        <v>48989</v>
      </c>
      <c r="U12070" t="s">
        <v>59511</v>
      </c>
      <c r="W12070" t="s">
        <v>42978</v>
      </c>
      <c r="X12070" t="s">
        <v>47319</v>
      </c>
    </row>
    <row r="12071" spans="1:24">
      <c r="A12071">
        <f>HYPERLINK("https://www.philgeps.gov.ph/GEPSNONPILOT/Tender/SplashBidNoticeAbstractUI.aspx?menuIndex=3&amp;refID=7175029&amp;Result=3","7175029")</f>
        <v>0</v>
      </c>
      <c r="B12071" t="s">
        <v>2198</v>
      </c>
      <c r="C12071" t="s">
        <v>15266</v>
      </c>
      <c r="D12071" t="s">
        <v>19008</v>
      </c>
      <c r="E12071" t="s">
        <v>29357</v>
      </c>
      <c r="F12071" t="s">
        <v>32606</v>
      </c>
      <c r="G12071" t="s">
        <v>32613</v>
      </c>
      <c r="H12071" t="s">
        <v>32623</v>
      </c>
      <c r="I12071" t="s">
        <v>17648</v>
      </c>
      <c r="J12071" t="s">
        <v>35071</v>
      </c>
      <c r="K12071" t="s">
        <v>42653</v>
      </c>
      <c r="M12071" t="s">
        <v>45298</v>
      </c>
      <c r="N12071" t="s">
        <v>47304</v>
      </c>
      <c r="O12071" t="s">
        <v>47305</v>
      </c>
      <c r="Q12071">
        <v>3</v>
      </c>
      <c r="R12071" t="s">
        <v>47318</v>
      </c>
      <c r="S12071" t="s">
        <v>47754</v>
      </c>
      <c r="T12071" t="s">
        <v>48986</v>
      </c>
      <c r="U12071" t="s">
        <v>59512</v>
      </c>
      <c r="W12071" t="s">
        <v>45298</v>
      </c>
      <c r="X12071" t="s">
        <v>47319</v>
      </c>
    </row>
    <row r="12072" spans="1:24">
      <c r="A12072">
        <f>HYPERLINK("https://www.philgeps.gov.ph/GEPSNONPILOT/Tender/SplashBidNoticeAbstractUI.aspx?menuIndex=3&amp;refID=7175036&amp;Result=3","7175036")</f>
        <v>0</v>
      </c>
      <c r="B12072" t="s">
        <v>1586</v>
      </c>
      <c r="C12072" t="s">
        <v>15267</v>
      </c>
      <c r="D12072" t="s">
        <v>19038</v>
      </c>
      <c r="E12072" t="s">
        <v>29358</v>
      </c>
      <c r="F12072" t="s">
        <v>32606</v>
      </c>
      <c r="G12072" t="s">
        <v>32613</v>
      </c>
      <c r="H12072" t="s">
        <v>14201</v>
      </c>
      <c r="I12072" t="s">
        <v>6931</v>
      </c>
      <c r="J12072" t="s">
        <v>40260</v>
      </c>
      <c r="K12072" t="s">
        <v>42630</v>
      </c>
      <c r="M12072" t="s">
        <v>44599</v>
      </c>
      <c r="N12072" t="s">
        <v>47304</v>
      </c>
      <c r="O12072" t="s">
        <v>47305</v>
      </c>
      <c r="P12072">
        <v>0</v>
      </c>
      <c r="Q12072">
        <v>0</v>
      </c>
      <c r="R12072" t="s">
        <v>47318</v>
      </c>
      <c r="S12072" t="s">
        <v>47736</v>
      </c>
      <c r="T12072" t="s">
        <v>49188</v>
      </c>
      <c r="U12072" t="s">
        <v>59513</v>
      </c>
      <c r="W12072" t="s">
        <v>44599</v>
      </c>
      <c r="X12072" t="s">
        <v>47319</v>
      </c>
    </row>
    <row r="12073" spans="1:24">
      <c r="A12073">
        <f>HYPERLINK("https://www.philgeps.gov.ph/GEPSNONPILOT/Tender/SplashBidNoticeAbstractUI.aspx?menuIndex=3&amp;refID=7174996&amp;Result=3","7174996")</f>
        <v>0</v>
      </c>
      <c r="B12073" t="s">
        <v>865</v>
      </c>
      <c r="C12073" t="s">
        <v>15268</v>
      </c>
      <c r="E12073" t="s">
        <v>29359</v>
      </c>
      <c r="F12073" t="s">
        <v>32606</v>
      </c>
      <c r="G12073" t="s">
        <v>32613</v>
      </c>
      <c r="H12073" t="s">
        <v>14201</v>
      </c>
      <c r="I12073" t="s">
        <v>6931</v>
      </c>
      <c r="J12073" t="s">
        <v>40261</v>
      </c>
      <c r="K12073" t="s">
        <v>42624</v>
      </c>
      <c r="M12073" t="s">
        <v>43799</v>
      </c>
      <c r="N12073" t="s">
        <v>47304</v>
      </c>
      <c r="O12073" t="s">
        <v>47305</v>
      </c>
      <c r="Q12073">
        <v>9</v>
      </c>
      <c r="R12073" t="s">
        <v>47318</v>
      </c>
      <c r="S12073" t="s">
        <v>47755</v>
      </c>
      <c r="T12073" t="s">
        <v>49107</v>
      </c>
      <c r="U12073" t="s">
        <v>59514</v>
      </c>
      <c r="V12073" t="s">
        <v>63948</v>
      </c>
      <c r="W12073" t="s">
        <v>43799</v>
      </c>
      <c r="X12073" t="s">
        <v>47319</v>
      </c>
    </row>
    <row r="12074" spans="1:24">
      <c r="A12074">
        <f>HYPERLINK("https://www.philgeps.gov.ph/GEPSNONPILOT/Tender/SplashBidNoticeAbstractUI.aspx?menuIndex=3&amp;refID=7174975&amp;Result=3","7174975")</f>
        <v>0</v>
      </c>
      <c r="B12074" t="s">
        <v>1337</v>
      </c>
      <c r="C12074" t="s">
        <v>15269</v>
      </c>
      <c r="E12074" t="s">
        <v>29360</v>
      </c>
      <c r="F12074" t="s">
        <v>32606</v>
      </c>
      <c r="G12074" t="s">
        <v>32613</v>
      </c>
      <c r="H12074" t="s">
        <v>32623</v>
      </c>
      <c r="I12074" t="s">
        <v>17648</v>
      </c>
      <c r="J12074" t="s">
        <v>40262</v>
      </c>
      <c r="K12074" t="s">
        <v>42624</v>
      </c>
      <c r="M12074" t="s">
        <v>44311</v>
      </c>
      <c r="N12074" t="s">
        <v>47304</v>
      </c>
      <c r="O12074" t="s">
        <v>47305</v>
      </c>
      <c r="P12074">
        <v>0</v>
      </c>
      <c r="Q12074">
        <v>4</v>
      </c>
      <c r="R12074" t="s">
        <v>47318</v>
      </c>
      <c r="S12074" t="s">
        <v>47736</v>
      </c>
      <c r="T12074" t="s">
        <v>48986</v>
      </c>
      <c r="U12074" t="s">
        <v>52345</v>
      </c>
      <c r="W12074" t="s">
        <v>44311</v>
      </c>
      <c r="X12074" t="s">
        <v>47319</v>
      </c>
    </row>
    <row r="12075" spans="1:24">
      <c r="A12075">
        <f>HYPERLINK("https://www.philgeps.gov.ph/GEPSNONPILOT/Tender/SplashBidNoticeAbstractUI.aspx?menuIndex=3&amp;refID=7174893&amp;Result=3","7174893")</f>
        <v>0</v>
      </c>
      <c r="B12075" t="s">
        <v>81</v>
      </c>
      <c r="C12075" t="s">
        <v>15270</v>
      </c>
      <c r="D12075" t="s">
        <v>18995</v>
      </c>
      <c r="E12075" t="s">
        <v>29361</v>
      </c>
      <c r="F12075" t="s">
        <v>32606</v>
      </c>
      <c r="G12075" t="s">
        <v>32613</v>
      </c>
      <c r="H12075" t="s">
        <v>32623</v>
      </c>
      <c r="I12075" t="s">
        <v>17648</v>
      </c>
      <c r="J12075" t="s">
        <v>34198</v>
      </c>
      <c r="K12075" t="s">
        <v>42624</v>
      </c>
      <c r="M12075" t="s">
        <v>42978</v>
      </c>
      <c r="N12075" t="s">
        <v>47304</v>
      </c>
      <c r="O12075" t="s">
        <v>47305</v>
      </c>
      <c r="P12075">
        <v>0</v>
      </c>
      <c r="Q12075">
        <v>1</v>
      </c>
      <c r="R12075" t="s">
        <v>47318</v>
      </c>
      <c r="S12075" t="s">
        <v>47736</v>
      </c>
      <c r="T12075" t="s">
        <v>48989</v>
      </c>
      <c r="U12075" t="s">
        <v>59515</v>
      </c>
      <c r="W12075" t="s">
        <v>42978</v>
      </c>
      <c r="X12075" t="s">
        <v>47319</v>
      </c>
    </row>
    <row r="12076" spans="1:24">
      <c r="A12076">
        <f>HYPERLINK("https://www.philgeps.gov.ph/GEPSNONPILOT/Tender/SplashBidNoticeAbstractUI.aspx?menuIndex=3&amp;refID=7175041&amp;Result=3","7175041")</f>
        <v>0</v>
      </c>
      <c r="B12076" t="s">
        <v>426</v>
      </c>
      <c r="C12076" t="s">
        <v>15271</v>
      </c>
      <c r="D12076" t="s">
        <v>19029</v>
      </c>
      <c r="E12076" t="s">
        <v>25279</v>
      </c>
      <c r="F12076" t="s">
        <v>32606</v>
      </c>
      <c r="G12076" t="s">
        <v>32613</v>
      </c>
      <c r="H12076" t="s">
        <v>14201</v>
      </c>
      <c r="I12076" t="s">
        <v>32633</v>
      </c>
      <c r="J12076" t="s">
        <v>40263</v>
      </c>
      <c r="K12076" t="s">
        <v>42714</v>
      </c>
      <c r="M12076" t="s">
        <v>43330</v>
      </c>
      <c r="N12076" t="s">
        <v>47304</v>
      </c>
      <c r="O12076" t="s">
        <v>47305</v>
      </c>
      <c r="P12076">
        <v>0</v>
      </c>
      <c r="Q12076">
        <v>22</v>
      </c>
      <c r="R12076" t="s">
        <v>47318</v>
      </c>
      <c r="S12076" t="s">
        <v>47736</v>
      </c>
      <c r="T12076" t="s">
        <v>49040</v>
      </c>
      <c r="U12076" t="s">
        <v>59516</v>
      </c>
      <c r="W12076" t="s">
        <v>43330</v>
      </c>
      <c r="X12076" t="s">
        <v>47319</v>
      </c>
    </row>
    <row r="12077" spans="1:24">
      <c r="A12077">
        <f>HYPERLINK("https://www.philgeps.gov.ph/GEPSNONPILOT/Tender/SplashBidNoticeAbstractUI.aspx?menuIndex=3&amp;refID=7175062&amp;Result=3","7175062")</f>
        <v>0</v>
      </c>
      <c r="B12077" t="s">
        <v>3417</v>
      </c>
      <c r="C12077" t="s">
        <v>15272</v>
      </c>
      <c r="D12077" t="s">
        <v>18987</v>
      </c>
      <c r="E12077" t="s">
        <v>29362</v>
      </c>
      <c r="F12077" t="s">
        <v>32606</v>
      </c>
      <c r="G12077" t="s">
        <v>32613</v>
      </c>
      <c r="H12077" t="s">
        <v>14201</v>
      </c>
      <c r="I12077" t="s">
        <v>7064</v>
      </c>
      <c r="J12077" t="s">
        <v>32830</v>
      </c>
      <c r="K12077" t="s">
        <v>42648</v>
      </c>
      <c r="M12077" t="s">
        <v>46674</v>
      </c>
      <c r="N12077" t="s">
        <v>47304</v>
      </c>
      <c r="O12077" t="s">
        <v>47305</v>
      </c>
      <c r="P12077">
        <v>0</v>
      </c>
      <c r="Q12077">
        <v>5</v>
      </c>
      <c r="R12077" t="s">
        <v>47318</v>
      </c>
      <c r="S12077" t="s">
        <v>47736</v>
      </c>
      <c r="T12077" t="s">
        <v>49052</v>
      </c>
      <c r="U12077" t="s">
        <v>59517</v>
      </c>
      <c r="W12077" t="s">
        <v>46674</v>
      </c>
      <c r="X12077" t="s">
        <v>47319</v>
      </c>
    </row>
    <row r="12078" spans="1:24">
      <c r="A12078">
        <f>HYPERLINK("https://www.philgeps.gov.ph/GEPSNONPILOT/Tender/SplashBidNoticeAbstractUI.aspx?menuIndex=3&amp;refID=7175005&amp;Result=3","7175005")</f>
        <v>0</v>
      </c>
      <c r="B12078" t="s">
        <v>3411</v>
      </c>
      <c r="C12078" t="s">
        <v>15273</v>
      </c>
      <c r="D12078" t="s">
        <v>18992</v>
      </c>
      <c r="E12078" t="s">
        <v>29363</v>
      </c>
      <c r="F12078" t="s">
        <v>32606</v>
      </c>
      <c r="G12078" t="s">
        <v>32613</v>
      </c>
      <c r="H12078" t="s">
        <v>32623</v>
      </c>
      <c r="I12078" t="s">
        <v>17648</v>
      </c>
      <c r="J12078" t="s">
        <v>33113</v>
      </c>
      <c r="K12078" t="s">
        <v>42639</v>
      </c>
      <c r="M12078" t="s">
        <v>46667</v>
      </c>
      <c r="N12078" t="s">
        <v>47304</v>
      </c>
      <c r="O12078" t="s">
        <v>47305</v>
      </c>
      <c r="P12078">
        <v>0</v>
      </c>
      <c r="Q12078">
        <v>0</v>
      </c>
      <c r="R12078" t="s">
        <v>47318</v>
      </c>
      <c r="S12078" t="s">
        <v>47736</v>
      </c>
      <c r="T12078" t="s">
        <v>48996</v>
      </c>
      <c r="U12078" t="s">
        <v>53319</v>
      </c>
      <c r="W12078" t="s">
        <v>46667</v>
      </c>
      <c r="X12078" t="s">
        <v>47319</v>
      </c>
    </row>
    <row r="12079" spans="1:24">
      <c r="A12079">
        <f>HYPERLINK("https://www.philgeps.gov.ph/GEPSNONPILOT/Tender/SplashBidNoticeAbstractUI.aspx?menuIndex=3&amp;refID=7175233&amp;Result=3","7175233")</f>
        <v>0</v>
      </c>
      <c r="B12079" t="s">
        <v>3418</v>
      </c>
      <c r="C12079" t="s">
        <v>15274</v>
      </c>
      <c r="D12079" t="s">
        <v>18997</v>
      </c>
      <c r="E12079" t="s">
        <v>20139</v>
      </c>
      <c r="F12079" t="s">
        <v>32606</v>
      </c>
      <c r="G12079" t="s">
        <v>32613</v>
      </c>
      <c r="H12079" t="s">
        <v>14201</v>
      </c>
      <c r="I12079" t="s">
        <v>4112</v>
      </c>
      <c r="J12079" t="s">
        <v>34031</v>
      </c>
      <c r="K12079" t="s">
        <v>42631</v>
      </c>
      <c r="M12079" t="s">
        <v>46675</v>
      </c>
      <c r="N12079" t="s">
        <v>47304</v>
      </c>
      <c r="O12079" t="s">
        <v>47305</v>
      </c>
      <c r="P12079">
        <v>0</v>
      </c>
      <c r="Q12079">
        <v>0</v>
      </c>
      <c r="R12079" t="s">
        <v>47318</v>
      </c>
      <c r="S12079" t="s">
        <v>47736</v>
      </c>
      <c r="T12079" t="s">
        <v>48998</v>
      </c>
      <c r="U12079" t="s">
        <v>59518</v>
      </c>
      <c r="W12079" t="s">
        <v>46675</v>
      </c>
      <c r="X12079" t="s">
        <v>47319</v>
      </c>
    </row>
    <row r="12080" spans="1:24">
      <c r="A12080">
        <f>HYPERLINK("https://www.philgeps.gov.ph/GEPSNONPILOT/Tender/SplashBidNoticeAbstractUI.aspx?menuIndex=3&amp;refID=7175225&amp;Result=3","7175225")</f>
        <v>0</v>
      </c>
      <c r="B12080" t="s">
        <v>2208</v>
      </c>
      <c r="C12080" t="s">
        <v>15275</v>
      </c>
      <c r="D12080" t="s">
        <v>19012</v>
      </c>
      <c r="E12080" t="s">
        <v>29364</v>
      </c>
      <c r="F12080" t="s">
        <v>32606</v>
      </c>
      <c r="G12080" t="s">
        <v>32613</v>
      </c>
      <c r="H12080" t="s">
        <v>14201</v>
      </c>
      <c r="I12080" t="s">
        <v>4120</v>
      </c>
      <c r="J12080" t="s">
        <v>33748</v>
      </c>
      <c r="K12080" t="s">
        <v>42631</v>
      </c>
      <c r="M12080" t="s">
        <v>45312</v>
      </c>
      <c r="N12080" t="s">
        <v>47304</v>
      </c>
      <c r="O12080" t="s">
        <v>47305</v>
      </c>
      <c r="P12080">
        <v>0</v>
      </c>
      <c r="Q12080">
        <v>2</v>
      </c>
      <c r="R12080" t="s">
        <v>47318</v>
      </c>
      <c r="S12080" t="s">
        <v>47736</v>
      </c>
      <c r="T12080" t="s">
        <v>49170</v>
      </c>
      <c r="U12080" t="s">
        <v>55073</v>
      </c>
      <c r="W12080" t="s">
        <v>45312</v>
      </c>
      <c r="X12080" t="s">
        <v>47319</v>
      </c>
    </row>
    <row r="12081" spans="1:24">
      <c r="A12081">
        <f>HYPERLINK("https://www.philgeps.gov.ph/GEPSNONPILOT/Tender/SplashBidNoticeAbstractUI.aspx?menuIndex=3&amp;refID=7174971&amp;Result=3","7174971")</f>
        <v>0</v>
      </c>
      <c r="B12081" t="s">
        <v>865</v>
      </c>
      <c r="C12081" t="s">
        <v>15276</v>
      </c>
      <c r="E12081" t="s">
        <v>29365</v>
      </c>
      <c r="F12081" t="s">
        <v>32606</v>
      </c>
      <c r="G12081" t="s">
        <v>32613</v>
      </c>
      <c r="H12081" t="s">
        <v>14201</v>
      </c>
      <c r="I12081" t="s">
        <v>17648</v>
      </c>
      <c r="J12081" t="s">
        <v>40264</v>
      </c>
      <c r="K12081" t="s">
        <v>42624</v>
      </c>
      <c r="M12081" t="s">
        <v>43799</v>
      </c>
      <c r="N12081" t="s">
        <v>47304</v>
      </c>
      <c r="O12081" t="s">
        <v>47305</v>
      </c>
      <c r="Q12081">
        <v>4</v>
      </c>
      <c r="R12081" t="s">
        <v>47318</v>
      </c>
      <c r="S12081" t="s">
        <v>47756</v>
      </c>
      <c r="T12081" t="s">
        <v>49180</v>
      </c>
      <c r="U12081" t="s">
        <v>59519</v>
      </c>
      <c r="V12081" t="s">
        <v>63949</v>
      </c>
      <c r="W12081" t="s">
        <v>43799</v>
      </c>
      <c r="X12081" t="s">
        <v>47319</v>
      </c>
    </row>
    <row r="12082" spans="1:24">
      <c r="A12082">
        <f>HYPERLINK("https://www.philgeps.gov.ph/GEPSNONPILOT/Tender/SplashBidNoticeAbstractUI.aspx?menuIndex=3&amp;refID=7174888&amp;Result=3","7174888")</f>
        <v>0</v>
      </c>
      <c r="B12082" t="s">
        <v>2361</v>
      </c>
      <c r="C12082" t="s">
        <v>15277</v>
      </c>
      <c r="D12082" t="s">
        <v>19056</v>
      </c>
      <c r="E12082" t="s">
        <v>29366</v>
      </c>
      <c r="F12082" t="s">
        <v>32606</v>
      </c>
      <c r="G12082" t="s">
        <v>32613</v>
      </c>
      <c r="H12082" t="s">
        <v>14201</v>
      </c>
      <c r="I12082" t="s">
        <v>6931</v>
      </c>
      <c r="J12082" t="s">
        <v>40265</v>
      </c>
      <c r="K12082" t="s">
        <v>42631</v>
      </c>
      <c r="M12082" t="s">
        <v>45475</v>
      </c>
      <c r="N12082" t="s">
        <v>47304</v>
      </c>
      <c r="O12082" t="s">
        <v>47305</v>
      </c>
      <c r="P12082">
        <v>0</v>
      </c>
      <c r="Q12082">
        <v>0</v>
      </c>
      <c r="R12082" t="s">
        <v>47318</v>
      </c>
      <c r="S12082" t="s">
        <v>47736</v>
      </c>
      <c r="T12082" t="s">
        <v>49072</v>
      </c>
      <c r="U12082" t="s">
        <v>57340</v>
      </c>
      <c r="W12082" t="s">
        <v>45475</v>
      </c>
      <c r="X12082" t="s">
        <v>47319</v>
      </c>
    </row>
    <row r="12083" spans="1:24">
      <c r="A12083">
        <f>HYPERLINK("https://www.philgeps.gov.ph/GEPSNONPILOT/Tender/SplashBidNoticeAbstractUI.aspx?menuIndex=3&amp;refID=7175198&amp;Result=3","7175198")</f>
        <v>0</v>
      </c>
      <c r="B12083" t="s">
        <v>1337</v>
      </c>
      <c r="C12083" t="s">
        <v>15278</v>
      </c>
      <c r="E12083" t="s">
        <v>22878</v>
      </c>
      <c r="F12083" t="s">
        <v>32606</v>
      </c>
      <c r="G12083" t="s">
        <v>32613</v>
      </c>
      <c r="H12083" t="s">
        <v>32623</v>
      </c>
      <c r="I12083" t="s">
        <v>17648</v>
      </c>
      <c r="J12083" t="s">
        <v>40266</v>
      </c>
      <c r="K12083" t="s">
        <v>42624</v>
      </c>
      <c r="M12083" t="s">
        <v>44311</v>
      </c>
      <c r="N12083" t="s">
        <v>47304</v>
      </c>
      <c r="O12083" t="s">
        <v>47305</v>
      </c>
      <c r="P12083">
        <v>0</v>
      </c>
      <c r="Q12083">
        <v>0</v>
      </c>
      <c r="R12083" t="s">
        <v>47318</v>
      </c>
      <c r="S12083" t="s">
        <v>47736</v>
      </c>
      <c r="T12083" t="s">
        <v>48986</v>
      </c>
      <c r="U12083" t="s">
        <v>52345</v>
      </c>
      <c r="W12083" t="s">
        <v>44311</v>
      </c>
      <c r="X12083" t="s">
        <v>47319</v>
      </c>
    </row>
    <row r="12084" spans="1:24">
      <c r="A12084">
        <f>HYPERLINK("https://www.philgeps.gov.ph/GEPSNONPILOT/Tender/SplashBidNoticeAbstractUI.aspx?menuIndex=3&amp;refID=7175247&amp;Result=3","7175247")</f>
        <v>0</v>
      </c>
      <c r="B12084" t="s">
        <v>3419</v>
      </c>
      <c r="C12084" t="s">
        <v>15279</v>
      </c>
      <c r="D12084" t="s">
        <v>19046</v>
      </c>
      <c r="E12084" t="s">
        <v>25401</v>
      </c>
      <c r="F12084" t="s">
        <v>32606</v>
      </c>
      <c r="G12084" t="s">
        <v>32613</v>
      </c>
      <c r="H12084" t="s">
        <v>14201</v>
      </c>
      <c r="I12084" t="s">
        <v>6931</v>
      </c>
      <c r="J12084" t="s">
        <v>40267</v>
      </c>
      <c r="K12084" t="s">
        <v>42631</v>
      </c>
      <c r="M12084" t="s">
        <v>46676</v>
      </c>
      <c r="N12084" t="s">
        <v>47304</v>
      </c>
      <c r="O12084" t="s">
        <v>47305</v>
      </c>
      <c r="P12084">
        <v>0</v>
      </c>
      <c r="Q12084">
        <v>0</v>
      </c>
      <c r="R12084" t="s">
        <v>47318</v>
      </c>
      <c r="S12084" t="s">
        <v>47736</v>
      </c>
      <c r="T12084" t="s">
        <v>49040</v>
      </c>
      <c r="U12084" t="s">
        <v>59520</v>
      </c>
      <c r="V12084" t="s">
        <v>63950</v>
      </c>
      <c r="W12084" t="s">
        <v>46676</v>
      </c>
      <c r="X12084" t="s">
        <v>47319</v>
      </c>
    </row>
    <row r="12085" spans="1:24">
      <c r="A12085">
        <f>HYPERLINK("https://www.philgeps.gov.ph/GEPSNONPILOT/Tender/SplashBidNoticeAbstractUI.aspx?menuIndex=3&amp;refID=7175323&amp;Result=3","7175323")</f>
        <v>0</v>
      </c>
      <c r="B12085" t="s">
        <v>3420</v>
      </c>
      <c r="C12085" t="s">
        <v>15280</v>
      </c>
      <c r="D12085" t="s">
        <v>18997</v>
      </c>
      <c r="E12085" t="s">
        <v>19786</v>
      </c>
      <c r="F12085" t="s">
        <v>32608</v>
      </c>
      <c r="G12085" t="s">
        <v>32613</v>
      </c>
      <c r="H12085" t="s">
        <v>32624</v>
      </c>
      <c r="I12085" t="s">
        <v>4120</v>
      </c>
      <c r="J12085" t="s">
        <v>40268</v>
      </c>
      <c r="K12085" t="s">
        <v>42623</v>
      </c>
      <c r="M12085" t="s">
        <v>46677</v>
      </c>
      <c r="N12085" t="s">
        <v>47304</v>
      </c>
      <c r="O12085" t="s">
        <v>47305</v>
      </c>
      <c r="P12085">
        <v>0</v>
      </c>
      <c r="Q12085">
        <v>4</v>
      </c>
      <c r="R12085" t="s">
        <v>47318</v>
      </c>
      <c r="S12085" t="s">
        <v>47736</v>
      </c>
      <c r="T12085" t="s">
        <v>49004</v>
      </c>
      <c r="U12085" t="s">
        <v>59521</v>
      </c>
      <c r="W12085" t="s">
        <v>46677</v>
      </c>
      <c r="X12085" t="s">
        <v>47319</v>
      </c>
    </row>
    <row r="12086" spans="1:24">
      <c r="A12086">
        <f>HYPERLINK("https://www.philgeps.gov.ph/GEPSNONPILOT/Tender/SplashBidNoticeAbstractUI.aspx?menuIndex=3&amp;refID=7175117&amp;Result=3","7175117")</f>
        <v>0</v>
      </c>
      <c r="B12086" t="s">
        <v>2942</v>
      </c>
      <c r="C12086" t="s">
        <v>15281</v>
      </c>
      <c r="D12086" t="s">
        <v>19011</v>
      </c>
      <c r="E12086" t="s">
        <v>29367</v>
      </c>
      <c r="F12086" t="s">
        <v>32606</v>
      </c>
      <c r="G12086" t="s">
        <v>32613</v>
      </c>
      <c r="H12086" t="s">
        <v>32623</v>
      </c>
      <c r="I12086" t="s">
        <v>17648</v>
      </c>
      <c r="J12086" t="s">
        <v>33043</v>
      </c>
      <c r="K12086" t="s">
        <v>42795</v>
      </c>
      <c r="M12086" t="s">
        <v>46123</v>
      </c>
      <c r="N12086" t="s">
        <v>47304</v>
      </c>
      <c r="O12086" t="s">
        <v>47305</v>
      </c>
      <c r="P12086">
        <v>0</v>
      </c>
      <c r="Q12086">
        <v>1</v>
      </c>
      <c r="R12086" t="s">
        <v>47318</v>
      </c>
      <c r="S12086" t="s">
        <v>47736</v>
      </c>
      <c r="T12086" t="s">
        <v>49017</v>
      </c>
      <c r="U12086" t="s">
        <v>59522</v>
      </c>
      <c r="W12086" t="s">
        <v>46123</v>
      </c>
      <c r="X12086" t="s">
        <v>47319</v>
      </c>
    </row>
    <row r="12087" spans="1:24">
      <c r="A12087">
        <f>HYPERLINK("https://www.philgeps.gov.ph/GEPSNONPILOT/Tender/SplashBidNoticeAbstractUI.aspx?menuIndex=3&amp;refID=7175297&amp;Result=3","7175297")</f>
        <v>0</v>
      </c>
      <c r="B12087" t="s">
        <v>3419</v>
      </c>
      <c r="C12087" t="s">
        <v>15282</v>
      </c>
      <c r="D12087" t="s">
        <v>19046</v>
      </c>
      <c r="E12087" t="s">
        <v>28275</v>
      </c>
      <c r="F12087" t="s">
        <v>32606</v>
      </c>
      <c r="G12087" t="s">
        <v>32613</v>
      </c>
      <c r="H12087" t="s">
        <v>14201</v>
      </c>
      <c r="I12087" t="s">
        <v>4678</v>
      </c>
      <c r="J12087" t="s">
        <v>40269</v>
      </c>
      <c r="K12087" t="s">
        <v>42631</v>
      </c>
      <c r="M12087" t="s">
        <v>46676</v>
      </c>
      <c r="N12087" t="s">
        <v>47304</v>
      </c>
      <c r="O12087" t="s">
        <v>47305</v>
      </c>
      <c r="P12087">
        <v>0</v>
      </c>
      <c r="Q12087">
        <v>0</v>
      </c>
      <c r="R12087" t="s">
        <v>47318</v>
      </c>
      <c r="S12087" t="s">
        <v>47736</v>
      </c>
      <c r="T12087" t="s">
        <v>49040</v>
      </c>
      <c r="U12087" t="s">
        <v>59523</v>
      </c>
      <c r="V12087" t="s">
        <v>63951</v>
      </c>
      <c r="W12087" t="s">
        <v>46676</v>
      </c>
      <c r="X12087" t="s">
        <v>47319</v>
      </c>
    </row>
    <row r="12088" spans="1:24">
      <c r="A12088">
        <f>HYPERLINK("https://www.philgeps.gov.ph/GEPSNONPILOT/Tender/SplashBidNoticeAbstractUI.aspx?menuIndex=3&amp;refID=7175279&amp;Result=3","7175279")</f>
        <v>0</v>
      </c>
      <c r="B12088" t="s">
        <v>3421</v>
      </c>
      <c r="C12088" t="s">
        <v>15283</v>
      </c>
      <c r="D12088" t="s">
        <v>19065</v>
      </c>
      <c r="E12088" t="s">
        <v>24209</v>
      </c>
      <c r="F12088" t="s">
        <v>32606</v>
      </c>
      <c r="G12088" t="s">
        <v>32613</v>
      </c>
      <c r="H12088" t="s">
        <v>14201</v>
      </c>
      <c r="I12088" t="s">
        <v>32640</v>
      </c>
      <c r="J12088" t="s">
        <v>40270</v>
      </c>
      <c r="K12088" t="s">
        <v>42636</v>
      </c>
      <c r="L12088" t="s">
        <v>3421</v>
      </c>
      <c r="M12088" t="s">
        <v>46678</v>
      </c>
      <c r="N12088" t="s">
        <v>47304</v>
      </c>
      <c r="O12088" t="s">
        <v>47305</v>
      </c>
      <c r="P12088">
        <v>0</v>
      </c>
      <c r="Q12088">
        <v>7</v>
      </c>
      <c r="R12088" t="s">
        <v>47318</v>
      </c>
      <c r="S12088" t="s">
        <v>47736</v>
      </c>
      <c r="T12088" t="s">
        <v>49052</v>
      </c>
      <c r="U12088" t="s">
        <v>59524</v>
      </c>
      <c r="W12088" t="s">
        <v>46678</v>
      </c>
      <c r="X12088" t="s">
        <v>47319</v>
      </c>
    </row>
    <row r="12089" spans="1:24">
      <c r="A12089">
        <f>HYPERLINK("https://www.philgeps.gov.ph/GEPSNONPILOT/Tender/SplashBidNoticeAbstractUI.aspx?menuIndex=3&amp;refID=7175014&amp;Result=3","7175014")</f>
        <v>0</v>
      </c>
      <c r="B12089" t="s">
        <v>81</v>
      </c>
      <c r="C12089" t="s">
        <v>15284</v>
      </c>
      <c r="D12089" t="s">
        <v>18995</v>
      </c>
      <c r="E12089" t="s">
        <v>29368</v>
      </c>
      <c r="F12089" t="s">
        <v>32606</v>
      </c>
      <c r="G12089" t="s">
        <v>32613</v>
      </c>
      <c r="H12089" t="s">
        <v>32623</v>
      </c>
      <c r="I12089" t="s">
        <v>17648</v>
      </c>
      <c r="J12089" t="s">
        <v>34117</v>
      </c>
      <c r="K12089" t="s">
        <v>42624</v>
      </c>
      <c r="M12089" t="s">
        <v>42978</v>
      </c>
      <c r="N12089" t="s">
        <v>47304</v>
      </c>
      <c r="O12089" t="s">
        <v>47305</v>
      </c>
      <c r="P12089">
        <v>0</v>
      </c>
      <c r="Q12089">
        <v>2</v>
      </c>
      <c r="R12089" t="s">
        <v>47318</v>
      </c>
      <c r="S12089" t="s">
        <v>47736</v>
      </c>
      <c r="T12089" t="s">
        <v>48989</v>
      </c>
      <c r="U12089" t="s">
        <v>59525</v>
      </c>
      <c r="W12089" t="s">
        <v>42978</v>
      </c>
      <c r="X12089" t="s">
        <v>47319</v>
      </c>
    </row>
    <row r="12090" spans="1:24">
      <c r="A12090">
        <f>HYPERLINK("https://www.philgeps.gov.ph/GEPSNONPILOT/Tender/SplashBidNoticeAbstractUI.aspx?menuIndex=3&amp;refID=7175278&amp;Result=3","7175278")</f>
        <v>0</v>
      </c>
      <c r="B12090" t="s">
        <v>1274</v>
      </c>
      <c r="C12090" t="s">
        <v>15285</v>
      </c>
      <c r="D12090" t="s">
        <v>19005</v>
      </c>
      <c r="E12090" t="s">
        <v>29369</v>
      </c>
      <c r="F12090" t="s">
        <v>32606</v>
      </c>
      <c r="G12090" t="s">
        <v>32613</v>
      </c>
      <c r="H12090" t="s">
        <v>32623</v>
      </c>
      <c r="I12090" t="s">
        <v>17648</v>
      </c>
      <c r="J12090" t="s">
        <v>32821</v>
      </c>
      <c r="K12090" t="s">
        <v>42798</v>
      </c>
      <c r="M12090" t="s">
        <v>44245</v>
      </c>
      <c r="N12090" t="s">
        <v>47304</v>
      </c>
      <c r="O12090" t="s">
        <v>47305</v>
      </c>
      <c r="P12090">
        <v>0</v>
      </c>
      <c r="Q12090">
        <v>2</v>
      </c>
      <c r="R12090" t="s">
        <v>47318</v>
      </c>
      <c r="S12090" t="s">
        <v>47736</v>
      </c>
      <c r="T12090" t="s">
        <v>49098</v>
      </c>
      <c r="U12090" t="s">
        <v>59526</v>
      </c>
      <c r="W12090" t="s">
        <v>44245</v>
      </c>
      <c r="X12090" t="s">
        <v>47319</v>
      </c>
    </row>
    <row r="12091" spans="1:24">
      <c r="A12091">
        <f>HYPERLINK("https://www.philgeps.gov.ph/GEPSNONPILOT/Tender/SplashBidNoticeAbstractUI.aspx?menuIndex=3&amp;refID=7175255&amp;Result=3","7175255")</f>
        <v>0</v>
      </c>
      <c r="B12091" t="s">
        <v>3418</v>
      </c>
      <c r="C12091" t="s">
        <v>15286</v>
      </c>
      <c r="D12091" t="s">
        <v>18997</v>
      </c>
      <c r="E12091" t="s">
        <v>23866</v>
      </c>
      <c r="F12091" t="s">
        <v>32606</v>
      </c>
      <c r="G12091" t="s">
        <v>32613</v>
      </c>
      <c r="H12091" t="s">
        <v>14201</v>
      </c>
      <c r="I12091" t="s">
        <v>8682</v>
      </c>
      <c r="J12091" t="s">
        <v>33062</v>
      </c>
      <c r="K12091" t="s">
        <v>42631</v>
      </c>
      <c r="M12091" t="s">
        <v>46675</v>
      </c>
      <c r="N12091" t="s">
        <v>47304</v>
      </c>
      <c r="O12091" t="s">
        <v>47305</v>
      </c>
      <c r="P12091">
        <v>0</v>
      </c>
      <c r="Q12091">
        <v>1</v>
      </c>
      <c r="R12091" t="s">
        <v>47318</v>
      </c>
      <c r="S12091" t="s">
        <v>47736</v>
      </c>
      <c r="T12091" t="s">
        <v>48998</v>
      </c>
      <c r="U12091" t="s">
        <v>59527</v>
      </c>
      <c r="W12091" t="s">
        <v>46675</v>
      </c>
      <c r="X12091" t="s">
        <v>47319</v>
      </c>
    </row>
    <row r="12092" spans="1:24">
      <c r="A12092">
        <f>HYPERLINK("https://www.philgeps.gov.ph/GEPSNONPILOT/Tender/SplashBidNoticeAbstractUI.aspx?menuIndex=3&amp;refID=7175194&amp;Result=3","7175194")</f>
        <v>0</v>
      </c>
      <c r="B12092" t="s">
        <v>3422</v>
      </c>
      <c r="C12092" t="s">
        <v>15287</v>
      </c>
      <c r="D12092" t="s">
        <v>18988</v>
      </c>
      <c r="E12092" t="s">
        <v>19809</v>
      </c>
      <c r="F12092" t="s">
        <v>32606</v>
      </c>
      <c r="G12092" t="s">
        <v>32613</v>
      </c>
      <c r="H12092" t="s">
        <v>32624</v>
      </c>
      <c r="I12092" t="s">
        <v>32628</v>
      </c>
      <c r="J12092" t="s">
        <v>39225</v>
      </c>
      <c r="K12092" t="s">
        <v>42665</v>
      </c>
      <c r="M12092" t="s">
        <v>46679</v>
      </c>
      <c r="N12092" t="s">
        <v>47304</v>
      </c>
      <c r="O12092" t="s">
        <v>47305</v>
      </c>
      <c r="Q12092">
        <v>1</v>
      </c>
      <c r="R12092" t="s">
        <v>47318</v>
      </c>
      <c r="S12092" t="s">
        <v>47757</v>
      </c>
      <c r="T12092" t="s">
        <v>49104</v>
      </c>
      <c r="U12092" t="s">
        <v>59528</v>
      </c>
      <c r="W12092" t="s">
        <v>46679</v>
      </c>
      <c r="X12092" t="s">
        <v>47319</v>
      </c>
    </row>
    <row r="12093" spans="1:24">
      <c r="A12093">
        <f>HYPERLINK("https://www.philgeps.gov.ph/GEPSNONPILOT/Tender/SplashBidNoticeAbstractUI.aspx?menuIndex=3&amp;refID=7175193&amp;Result=3","7175193")</f>
        <v>0</v>
      </c>
      <c r="B12093" t="s">
        <v>3423</v>
      </c>
      <c r="C12093" t="s">
        <v>15288</v>
      </c>
      <c r="E12093" t="s">
        <v>29370</v>
      </c>
      <c r="F12093" t="s">
        <v>32606</v>
      </c>
      <c r="G12093" t="s">
        <v>32613</v>
      </c>
      <c r="H12093" t="s">
        <v>32623</v>
      </c>
      <c r="I12093" t="s">
        <v>17648</v>
      </c>
      <c r="J12093" t="s">
        <v>40271</v>
      </c>
      <c r="K12093" t="s">
        <v>42623</v>
      </c>
      <c r="M12093" t="s">
        <v>46680</v>
      </c>
      <c r="N12093" t="s">
        <v>47304</v>
      </c>
      <c r="O12093" t="s">
        <v>47305</v>
      </c>
      <c r="P12093">
        <v>0</v>
      </c>
      <c r="Q12093">
        <v>0</v>
      </c>
      <c r="R12093" t="s">
        <v>47318</v>
      </c>
      <c r="S12093" t="s">
        <v>47736</v>
      </c>
      <c r="T12093" t="s">
        <v>49050</v>
      </c>
      <c r="U12093" t="s">
        <v>59529</v>
      </c>
      <c r="W12093" t="s">
        <v>46680</v>
      </c>
      <c r="X12093" t="s">
        <v>47319</v>
      </c>
    </row>
    <row r="12094" spans="1:24">
      <c r="A12094">
        <f>HYPERLINK("https://www.philgeps.gov.ph/GEPSNONPILOT/Tender/SplashBidNoticeAbstractUI.aspx?menuIndex=3&amp;refID=7175170&amp;Result=3","7175170")</f>
        <v>0</v>
      </c>
      <c r="B12094" t="s">
        <v>2541</v>
      </c>
      <c r="C12094" t="s">
        <v>15289</v>
      </c>
      <c r="D12094" t="s">
        <v>19022</v>
      </c>
      <c r="E12094" t="s">
        <v>29371</v>
      </c>
      <c r="F12094" t="s">
        <v>32606</v>
      </c>
      <c r="G12094" t="s">
        <v>32613</v>
      </c>
      <c r="H12094" t="s">
        <v>32623</v>
      </c>
      <c r="I12094" t="s">
        <v>32659</v>
      </c>
      <c r="J12094" t="s">
        <v>40272</v>
      </c>
      <c r="K12094" t="s">
        <v>42646</v>
      </c>
      <c r="M12094" t="s">
        <v>45681</v>
      </c>
      <c r="N12094" t="s">
        <v>47304</v>
      </c>
      <c r="O12094" t="s">
        <v>47305</v>
      </c>
      <c r="P12094">
        <v>0</v>
      </c>
      <c r="Q12094">
        <v>1</v>
      </c>
      <c r="R12094" t="s">
        <v>47318</v>
      </c>
      <c r="S12094" t="s">
        <v>47736</v>
      </c>
      <c r="T12094" t="s">
        <v>48989</v>
      </c>
      <c r="U12094" t="s">
        <v>59530</v>
      </c>
      <c r="V12094" t="s">
        <v>63947</v>
      </c>
      <c r="W12094" t="s">
        <v>45681</v>
      </c>
      <c r="X12094" t="s">
        <v>47319</v>
      </c>
    </row>
    <row r="12095" spans="1:24">
      <c r="A12095">
        <f>HYPERLINK("https://www.philgeps.gov.ph/GEPSNONPILOT/Tender/SplashBidNoticeAbstractUI.aspx?menuIndex=3&amp;refID=7175132&amp;Result=3","7175132")</f>
        <v>0</v>
      </c>
      <c r="B12095" t="s">
        <v>188</v>
      </c>
      <c r="C12095" t="s">
        <v>15290</v>
      </c>
      <c r="D12095" t="s">
        <v>19043</v>
      </c>
      <c r="E12095" t="s">
        <v>29372</v>
      </c>
      <c r="F12095" t="s">
        <v>32606</v>
      </c>
      <c r="G12095" t="s">
        <v>32613</v>
      </c>
      <c r="H12095" t="s">
        <v>14201</v>
      </c>
      <c r="I12095" t="s">
        <v>32629</v>
      </c>
      <c r="J12095" t="s">
        <v>40273</v>
      </c>
      <c r="K12095" t="s">
        <v>42624</v>
      </c>
      <c r="M12095" t="s">
        <v>43089</v>
      </c>
      <c r="N12095" t="s">
        <v>47304</v>
      </c>
      <c r="O12095" t="s">
        <v>47305</v>
      </c>
      <c r="P12095">
        <v>0</v>
      </c>
      <c r="Q12095">
        <v>0</v>
      </c>
      <c r="R12095" t="s">
        <v>47318</v>
      </c>
      <c r="S12095" t="s">
        <v>47736</v>
      </c>
      <c r="T12095" t="s">
        <v>49068</v>
      </c>
      <c r="U12095" t="s">
        <v>59531</v>
      </c>
      <c r="W12095" t="s">
        <v>43089</v>
      </c>
      <c r="X12095" t="s">
        <v>47319</v>
      </c>
    </row>
    <row r="12096" spans="1:24">
      <c r="A12096">
        <f>HYPERLINK("https://www.philgeps.gov.ph/GEPSNONPILOT/Tender/SplashBidNoticeAbstractUI.aspx?menuIndex=3&amp;refID=7175130&amp;Result=3","7175130")</f>
        <v>0</v>
      </c>
      <c r="B12096" t="s">
        <v>3417</v>
      </c>
      <c r="C12096" t="s">
        <v>15291</v>
      </c>
      <c r="D12096" t="s">
        <v>18987</v>
      </c>
      <c r="E12096" t="s">
        <v>29373</v>
      </c>
      <c r="F12096" t="s">
        <v>32606</v>
      </c>
      <c r="G12096" t="s">
        <v>32613</v>
      </c>
      <c r="H12096" t="s">
        <v>14201</v>
      </c>
      <c r="I12096" t="s">
        <v>7064</v>
      </c>
      <c r="J12096" t="s">
        <v>35368</v>
      </c>
      <c r="K12096" t="s">
        <v>42648</v>
      </c>
      <c r="M12096" t="s">
        <v>46674</v>
      </c>
      <c r="N12096" t="s">
        <v>47304</v>
      </c>
      <c r="O12096" t="s">
        <v>47305</v>
      </c>
      <c r="P12096">
        <v>0</v>
      </c>
      <c r="Q12096">
        <v>5</v>
      </c>
      <c r="R12096" t="s">
        <v>47318</v>
      </c>
      <c r="S12096" t="s">
        <v>47736</v>
      </c>
      <c r="T12096" t="s">
        <v>49052</v>
      </c>
      <c r="U12096" t="s">
        <v>59532</v>
      </c>
      <c r="W12096" t="s">
        <v>46674</v>
      </c>
      <c r="X12096" t="s">
        <v>47319</v>
      </c>
    </row>
    <row r="12097" spans="1:24">
      <c r="A12097">
        <f>HYPERLINK("https://www.philgeps.gov.ph/GEPSNONPILOT/Tender/SplashBidNoticeAbstractUI.aspx?menuIndex=3&amp;refID=7175129&amp;Result=3","7175129")</f>
        <v>0</v>
      </c>
      <c r="B12097" t="s">
        <v>192</v>
      </c>
      <c r="C12097" t="s">
        <v>15292</v>
      </c>
      <c r="D12097" t="s">
        <v>19016</v>
      </c>
      <c r="E12097" t="s">
        <v>29374</v>
      </c>
      <c r="F12097" t="s">
        <v>32606</v>
      </c>
      <c r="G12097" t="s">
        <v>32613</v>
      </c>
      <c r="H12097" t="s">
        <v>14201</v>
      </c>
      <c r="I12097" t="s">
        <v>8682</v>
      </c>
      <c r="J12097" t="s">
        <v>40274</v>
      </c>
      <c r="K12097" t="s">
        <v>42624</v>
      </c>
      <c r="M12097" t="s">
        <v>43093</v>
      </c>
      <c r="N12097" t="s">
        <v>47304</v>
      </c>
      <c r="O12097" t="s">
        <v>47305</v>
      </c>
      <c r="P12097">
        <v>0</v>
      </c>
      <c r="Q12097">
        <v>9</v>
      </c>
      <c r="R12097" t="s">
        <v>47318</v>
      </c>
      <c r="S12097" t="s">
        <v>47736</v>
      </c>
      <c r="T12097" t="s">
        <v>49291</v>
      </c>
      <c r="U12097" t="s">
        <v>59533</v>
      </c>
      <c r="V12097" t="s">
        <v>63952</v>
      </c>
      <c r="W12097" t="s">
        <v>43093</v>
      </c>
      <c r="X12097" t="s">
        <v>47319</v>
      </c>
    </row>
    <row r="12098" spans="1:24">
      <c r="A12098">
        <f>HYPERLINK("https://www.philgeps.gov.ph/GEPSNONPILOT/Tender/SplashBidNoticeAbstractUI.aspx?menuIndex=3&amp;refID=7175216&amp;Result=3","7175216")</f>
        <v>0</v>
      </c>
      <c r="B12098" t="s">
        <v>1274</v>
      </c>
      <c r="C12098" t="s">
        <v>15293</v>
      </c>
      <c r="D12098" t="s">
        <v>19005</v>
      </c>
      <c r="E12098" t="s">
        <v>29375</v>
      </c>
      <c r="F12098" t="s">
        <v>32606</v>
      </c>
      <c r="G12098" t="s">
        <v>32613</v>
      </c>
      <c r="H12098" t="s">
        <v>32623</v>
      </c>
      <c r="I12098" t="s">
        <v>17648</v>
      </c>
      <c r="J12098" t="s">
        <v>32821</v>
      </c>
      <c r="K12098" t="s">
        <v>42798</v>
      </c>
      <c r="M12098" t="s">
        <v>44245</v>
      </c>
      <c r="N12098" t="s">
        <v>47304</v>
      </c>
      <c r="O12098" t="s">
        <v>47305</v>
      </c>
      <c r="P12098">
        <v>0</v>
      </c>
      <c r="Q12098">
        <v>2</v>
      </c>
      <c r="R12098" t="s">
        <v>47318</v>
      </c>
      <c r="S12098" t="s">
        <v>47736</v>
      </c>
      <c r="T12098" t="s">
        <v>49098</v>
      </c>
      <c r="U12098" t="s">
        <v>59534</v>
      </c>
      <c r="W12098" t="s">
        <v>44245</v>
      </c>
      <c r="X12098" t="s">
        <v>47319</v>
      </c>
    </row>
    <row r="12099" spans="1:24">
      <c r="A12099">
        <f>HYPERLINK("https://www.philgeps.gov.ph/GEPSNONPILOT/Tender/SplashBidNoticeAbstractUI.aspx?menuIndex=3&amp;refID=7175221&amp;Result=3","7175221")</f>
        <v>0</v>
      </c>
      <c r="B12099" t="s">
        <v>3424</v>
      </c>
      <c r="C12099" t="s">
        <v>15294</v>
      </c>
      <c r="D12099" t="s">
        <v>18997</v>
      </c>
      <c r="E12099" t="s">
        <v>29376</v>
      </c>
      <c r="F12099" t="s">
        <v>32606</v>
      </c>
      <c r="G12099" t="s">
        <v>32613</v>
      </c>
      <c r="H12099" t="s">
        <v>14201</v>
      </c>
      <c r="I12099" t="s">
        <v>32630</v>
      </c>
      <c r="J12099" t="s">
        <v>33302</v>
      </c>
      <c r="K12099" t="s">
        <v>42622</v>
      </c>
      <c r="M12099" t="s">
        <v>46681</v>
      </c>
      <c r="N12099" t="s">
        <v>47304</v>
      </c>
      <c r="O12099" t="s">
        <v>47305</v>
      </c>
      <c r="P12099">
        <v>0</v>
      </c>
      <c r="Q12099">
        <v>0</v>
      </c>
      <c r="R12099" t="s">
        <v>47318</v>
      </c>
      <c r="S12099" t="s">
        <v>47736</v>
      </c>
      <c r="T12099" t="s">
        <v>49068</v>
      </c>
      <c r="U12099" t="s">
        <v>59535</v>
      </c>
      <c r="W12099" t="s">
        <v>46681</v>
      </c>
      <c r="X12099" t="s">
        <v>47319</v>
      </c>
    </row>
    <row r="12100" spans="1:24">
      <c r="A12100">
        <f>HYPERLINK("https://www.philgeps.gov.ph/GEPSNONPILOT/Tender/SplashBidNoticeAbstractUI.aspx?menuIndex=3&amp;refID=7175330&amp;Result=3","7175330")</f>
        <v>0</v>
      </c>
      <c r="B12100" t="s">
        <v>1511</v>
      </c>
      <c r="C12100" t="s">
        <v>15295</v>
      </c>
      <c r="D12100" t="s">
        <v>18993</v>
      </c>
      <c r="E12100" t="s">
        <v>29377</v>
      </c>
      <c r="F12100" t="s">
        <v>32606</v>
      </c>
      <c r="G12100" t="s">
        <v>32613</v>
      </c>
      <c r="H12100" t="s">
        <v>14201</v>
      </c>
      <c r="I12100" t="s">
        <v>7064</v>
      </c>
      <c r="J12100" t="s">
        <v>34667</v>
      </c>
      <c r="K12100" t="s">
        <v>42631</v>
      </c>
      <c r="M12100" t="s">
        <v>44510</v>
      </c>
      <c r="N12100" t="s">
        <v>47304</v>
      </c>
      <c r="O12100" t="s">
        <v>47305</v>
      </c>
      <c r="P12100">
        <v>0</v>
      </c>
      <c r="Q12100">
        <v>4</v>
      </c>
      <c r="R12100" t="s">
        <v>47318</v>
      </c>
      <c r="S12100" t="s">
        <v>47736</v>
      </c>
      <c r="T12100" t="s">
        <v>49279</v>
      </c>
      <c r="U12100" t="s">
        <v>59536</v>
      </c>
      <c r="W12100" t="s">
        <v>44510</v>
      </c>
      <c r="X12100" t="s">
        <v>47319</v>
      </c>
    </row>
    <row r="12101" spans="1:24">
      <c r="A12101">
        <f>HYPERLINK("https://www.philgeps.gov.ph/GEPSNONPILOT/Tender/SplashBidNoticeAbstractUI.aspx?menuIndex=3&amp;refID=7175472&amp;Result=3","7175472")</f>
        <v>0</v>
      </c>
      <c r="B12101" t="s">
        <v>2810</v>
      </c>
      <c r="C12101" t="s">
        <v>11857</v>
      </c>
      <c r="D12101" t="s">
        <v>19037</v>
      </c>
      <c r="E12101" t="s">
        <v>23511</v>
      </c>
      <c r="F12101" t="s">
        <v>32606</v>
      </c>
      <c r="G12101" t="s">
        <v>32613</v>
      </c>
      <c r="H12101" t="s">
        <v>32623</v>
      </c>
      <c r="I12101" t="s">
        <v>17648</v>
      </c>
      <c r="J12101" t="s">
        <v>40275</v>
      </c>
      <c r="K12101" t="s">
        <v>42748</v>
      </c>
      <c r="M12101" t="s">
        <v>45973</v>
      </c>
      <c r="N12101" t="s">
        <v>47304</v>
      </c>
      <c r="O12101" t="s">
        <v>47305</v>
      </c>
      <c r="P12101">
        <v>0</v>
      </c>
      <c r="Q12101">
        <v>2</v>
      </c>
      <c r="R12101" t="s">
        <v>47318</v>
      </c>
      <c r="S12101" t="s">
        <v>47736</v>
      </c>
      <c r="T12101" t="s">
        <v>49144</v>
      </c>
      <c r="U12101" t="s">
        <v>59537</v>
      </c>
      <c r="W12101" t="s">
        <v>45973</v>
      </c>
      <c r="X12101" t="s">
        <v>47319</v>
      </c>
    </row>
    <row r="12102" spans="1:24">
      <c r="A12102">
        <f>HYPERLINK("https://www.philgeps.gov.ph/GEPSNONPILOT/Tender/SplashBidNoticeAbstractUI.aspx?menuIndex=3&amp;refID=7174876&amp;Result=3","7174876")</f>
        <v>0</v>
      </c>
      <c r="B12102" t="s">
        <v>2208</v>
      </c>
      <c r="C12102" t="s">
        <v>15296</v>
      </c>
      <c r="D12102" t="s">
        <v>19012</v>
      </c>
      <c r="E12102" t="s">
        <v>29378</v>
      </c>
      <c r="F12102" t="s">
        <v>32606</v>
      </c>
      <c r="G12102" t="s">
        <v>32613</v>
      </c>
      <c r="H12102" t="s">
        <v>32623</v>
      </c>
      <c r="I12102" t="s">
        <v>17648</v>
      </c>
      <c r="J12102" t="s">
        <v>37510</v>
      </c>
      <c r="K12102" t="s">
        <v>42712</v>
      </c>
      <c r="M12102" t="s">
        <v>45312</v>
      </c>
      <c r="N12102" t="s">
        <v>47304</v>
      </c>
      <c r="O12102" t="s">
        <v>47305</v>
      </c>
      <c r="P12102">
        <v>0</v>
      </c>
      <c r="Q12102">
        <v>0</v>
      </c>
      <c r="R12102" t="s">
        <v>47318</v>
      </c>
      <c r="S12102" t="s">
        <v>47736</v>
      </c>
      <c r="T12102" t="s">
        <v>49109</v>
      </c>
      <c r="U12102" t="s">
        <v>55073</v>
      </c>
      <c r="W12102" t="s">
        <v>45312</v>
      </c>
      <c r="X12102" t="s">
        <v>47319</v>
      </c>
    </row>
    <row r="12103" spans="1:24">
      <c r="A12103">
        <f>HYPERLINK("https://www.philgeps.gov.ph/GEPSNONPILOT/Tender/SplashBidNoticeAbstractUI.aspx?menuIndex=3&amp;refID=7175419&amp;Result=3","7175419")</f>
        <v>0</v>
      </c>
      <c r="B12103" t="s">
        <v>477</v>
      </c>
      <c r="C12103" t="s">
        <v>15297</v>
      </c>
      <c r="D12103" t="s">
        <v>19019</v>
      </c>
      <c r="E12103" t="s">
        <v>29379</v>
      </c>
      <c r="F12103" t="s">
        <v>32606</v>
      </c>
      <c r="G12103" t="s">
        <v>32613</v>
      </c>
      <c r="H12103" t="s">
        <v>14201</v>
      </c>
      <c r="I12103" t="s">
        <v>32629</v>
      </c>
      <c r="J12103" t="s">
        <v>40276</v>
      </c>
      <c r="K12103" t="s">
        <v>42631</v>
      </c>
      <c r="M12103" t="s">
        <v>43388</v>
      </c>
      <c r="N12103" t="s">
        <v>47304</v>
      </c>
      <c r="O12103" t="s">
        <v>47305</v>
      </c>
      <c r="P12103">
        <v>0</v>
      </c>
      <c r="Q12103">
        <v>1</v>
      </c>
      <c r="R12103" t="s">
        <v>47318</v>
      </c>
      <c r="S12103" t="s">
        <v>47736</v>
      </c>
      <c r="T12103" t="s">
        <v>49052</v>
      </c>
      <c r="U12103" t="s">
        <v>59538</v>
      </c>
      <c r="W12103" t="s">
        <v>43388</v>
      </c>
      <c r="X12103" t="s">
        <v>47319</v>
      </c>
    </row>
    <row r="12104" spans="1:24">
      <c r="A12104">
        <f>HYPERLINK("https://www.philgeps.gov.ph/GEPSNONPILOT/Tender/SplashBidNoticeAbstractUI.aspx?menuIndex=3&amp;refID=7175332&amp;Result=3","7175332")</f>
        <v>0</v>
      </c>
      <c r="B12104" t="s">
        <v>1054</v>
      </c>
      <c r="C12104" t="s">
        <v>15298</v>
      </c>
      <c r="D12104" t="s">
        <v>19043</v>
      </c>
      <c r="E12104" t="s">
        <v>29380</v>
      </c>
      <c r="F12104" t="s">
        <v>32606</v>
      </c>
      <c r="G12104" t="s">
        <v>32613</v>
      </c>
      <c r="H12104" t="s">
        <v>14201</v>
      </c>
      <c r="I12104" t="s">
        <v>4369</v>
      </c>
      <c r="J12104" t="s">
        <v>40277</v>
      </c>
      <c r="K12104" t="s">
        <v>42631</v>
      </c>
      <c r="M12104" t="s">
        <v>44007</v>
      </c>
      <c r="N12104" t="s">
        <v>47304</v>
      </c>
      <c r="O12104" t="s">
        <v>47305</v>
      </c>
      <c r="Q12104">
        <v>7</v>
      </c>
      <c r="R12104" t="s">
        <v>47318</v>
      </c>
      <c r="S12104" t="s">
        <v>47742</v>
      </c>
      <c r="T12104" t="s">
        <v>49023</v>
      </c>
      <c r="U12104" t="s">
        <v>59539</v>
      </c>
      <c r="W12104" t="s">
        <v>44007</v>
      </c>
      <c r="X12104" t="s">
        <v>47319</v>
      </c>
    </row>
    <row r="12105" spans="1:24">
      <c r="A12105">
        <f>HYPERLINK("https://www.philgeps.gov.ph/GEPSNONPILOT/Tender/SplashBidNoticeAbstractUI.aspx?menuIndex=3&amp;refID=7175467&amp;Result=3","7175467")</f>
        <v>0</v>
      </c>
      <c r="B12105" t="s">
        <v>2264</v>
      </c>
      <c r="C12105" t="s">
        <v>15299</v>
      </c>
      <c r="D12105" t="s">
        <v>19063</v>
      </c>
      <c r="E12105" t="s">
        <v>29381</v>
      </c>
      <c r="F12105" t="s">
        <v>32606</v>
      </c>
      <c r="G12105" t="s">
        <v>32613</v>
      </c>
      <c r="H12105" t="s">
        <v>14201</v>
      </c>
      <c r="I12105" t="s">
        <v>4120</v>
      </c>
      <c r="J12105" t="s">
        <v>40278</v>
      </c>
      <c r="K12105" t="s">
        <v>42623</v>
      </c>
      <c r="M12105" t="s">
        <v>45369</v>
      </c>
      <c r="N12105" t="s">
        <v>47304</v>
      </c>
      <c r="O12105" t="s">
        <v>47305</v>
      </c>
      <c r="P12105">
        <v>0</v>
      </c>
      <c r="Q12105">
        <v>3</v>
      </c>
      <c r="R12105" t="s">
        <v>47318</v>
      </c>
      <c r="S12105" t="s">
        <v>47736</v>
      </c>
      <c r="T12105" t="s">
        <v>49066</v>
      </c>
      <c r="U12105" t="s">
        <v>59540</v>
      </c>
      <c r="W12105" t="s">
        <v>45369</v>
      </c>
      <c r="X12105" t="s">
        <v>47319</v>
      </c>
    </row>
    <row r="12106" spans="1:24">
      <c r="A12106">
        <f>HYPERLINK("https://www.philgeps.gov.ph/GEPSNONPILOT/Tender/SplashBidNoticeAbstractUI.aspx?menuIndex=3&amp;refID=7175393&amp;Result=3","7175393")</f>
        <v>0</v>
      </c>
      <c r="B12106" t="s">
        <v>3419</v>
      </c>
      <c r="C12106" t="s">
        <v>15300</v>
      </c>
      <c r="D12106" t="s">
        <v>19046</v>
      </c>
      <c r="E12106" t="s">
        <v>21701</v>
      </c>
      <c r="F12106" t="s">
        <v>32606</v>
      </c>
      <c r="G12106" t="s">
        <v>32613</v>
      </c>
      <c r="H12106" t="s">
        <v>14201</v>
      </c>
      <c r="I12106" t="s">
        <v>4678</v>
      </c>
      <c r="J12106" t="s">
        <v>32778</v>
      </c>
      <c r="K12106" t="s">
        <v>42631</v>
      </c>
      <c r="M12106" t="s">
        <v>46676</v>
      </c>
      <c r="N12106" t="s">
        <v>47304</v>
      </c>
      <c r="O12106" t="s">
        <v>47305</v>
      </c>
      <c r="P12106">
        <v>0</v>
      </c>
      <c r="Q12106">
        <v>2</v>
      </c>
      <c r="R12106" t="s">
        <v>47318</v>
      </c>
      <c r="S12106" t="s">
        <v>47736</v>
      </c>
      <c r="T12106" t="s">
        <v>49040</v>
      </c>
      <c r="U12106" t="s">
        <v>59541</v>
      </c>
      <c r="V12106" t="s">
        <v>63951</v>
      </c>
      <c r="W12106" t="s">
        <v>46676</v>
      </c>
      <c r="X12106" t="s">
        <v>47319</v>
      </c>
    </row>
    <row r="12107" spans="1:24">
      <c r="A12107">
        <f>HYPERLINK("https://www.philgeps.gov.ph/GEPSNONPILOT/Tender/SplashBidNoticeAbstractUI.aspx?menuIndex=3&amp;refID=7175352&amp;Result=3","7175352")</f>
        <v>0</v>
      </c>
      <c r="B12107" t="s">
        <v>3425</v>
      </c>
      <c r="C12107" t="s">
        <v>15301</v>
      </c>
      <c r="E12107" t="s">
        <v>29382</v>
      </c>
      <c r="F12107" t="s">
        <v>32606</v>
      </c>
      <c r="G12107" t="s">
        <v>32614</v>
      </c>
      <c r="H12107" t="s">
        <v>14201</v>
      </c>
      <c r="I12107" t="s">
        <v>6309</v>
      </c>
      <c r="J12107" t="s">
        <v>33062</v>
      </c>
      <c r="K12107" t="s">
        <v>42630</v>
      </c>
      <c r="M12107" t="s">
        <v>46682</v>
      </c>
      <c r="N12107" t="s">
        <v>47304</v>
      </c>
      <c r="O12107" t="s">
        <v>47305</v>
      </c>
      <c r="P12107">
        <v>0</v>
      </c>
      <c r="Q12107">
        <v>0</v>
      </c>
      <c r="R12107" t="s">
        <v>47318</v>
      </c>
      <c r="S12107" t="s">
        <v>47736</v>
      </c>
      <c r="T12107" t="s">
        <v>49117</v>
      </c>
      <c r="U12107" t="s">
        <v>59542</v>
      </c>
      <c r="W12107" t="s">
        <v>46682</v>
      </c>
      <c r="X12107" t="s">
        <v>47319</v>
      </c>
    </row>
    <row r="12108" spans="1:24">
      <c r="A12108">
        <f>HYPERLINK("https://www.philgeps.gov.ph/GEPSNONPILOT/Tender/SplashBidNoticeAbstractUI.aspx?menuIndex=3&amp;refID=7175383&amp;Result=3","7175383")</f>
        <v>0</v>
      </c>
      <c r="B12108" t="s">
        <v>2304</v>
      </c>
      <c r="C12108" t="s">
        <v>15302</v>
      </c>
      <c r="D12108" t="s">
        <v>19016</v>
      </c>
      <c r="E12108" t="s">
        <v>29383</v>
      </c>
      <c r="F12108" t="s">
        <v>32606</v>
      </c>
      <c r="G12108" t="s">
        <v>32613</v>
      </c>
      <c r="H12108" t="s">
        <v>14201</v>
      </c>
      <c r="I12108" t="s">
        <v>32631</v>
      </c>
      <c r="J12108" t="s">
        <v>40279</v>
      </c>
      <c r="K12108" t="s">
        <v>42624</v>
      </c>
      <c r="M12108" t="s">
        <v>45410</v>
      </c>
      <c r="N12108" t="s">
        <v>47304</v>
      </c>
      <c r="O12108" t="s">
        <v>47305</v>
      </c>
      <c r="P12108">
        <v>0</v>
      </c>
      <c r="Q12108">
        <v>1</v>
      </c>
      <c r="R12108" t="s">
        <v>47318</v>
      </c>
      <c r="S12108" t="s">
        <v>47736</v>
      </c>
      <c r="T12108" t="s">
        <v>49066</v>
      </c>
      <c r="U12108" t="s">
        <v>59543</v>
      </c>
      <c r="W12108" t="s">
        <v>45410</v>
      </c>
      <c r="X12108" t="s">
        <v>47319</v>
      </c>
    </row>
    <row r="12109" spans="1:24">
      <c r="A12109">
        <f>HYPERLINK("https://www.philgeps.gov.ph/GEPSNONPILOT/Tender/SplashBidNoticeAbstractUI.aspx?menuIndex=3&amp;refID=7175526&amp;Result=3","7175526")</f>
        <v>0</v>
      </c>
      <c r="B12109" t="s">
        <v>1014</v>
      </c>
      <c r="C12109" t="s">
        <v>15303</v>
      </c>
      <c r="D12109" t="s">
        <v>19005</v>
      </c>
      <c r="E12109" t="s">
        <v>28198</v>
      </c>
      <c r="F12109" t="s">
        <v>32606</v>
      </c>
      <c r="G12109" t="s">
        <v>32614</v>
      </c>
      <c r="H12109" t="s">
        <v>14201</v>
      </c>
      <c r="I12109" t="s">
        <v>4112</v>
      </c>
      <c r="J12109" t="s">
        <v>33861</v>
      </c>
      <c r="K12109" t="s">
        <v>42646</v>
      </c>
      <c r="M12109" t="s">
        <v>46082</v>
      </c>
      <c r="N12109" t="s">
        <v>47304</v>
      </c>
      <c r="O12109" t="s">
        <v>47305</v>
      </c>
      <c r="Q12109">
        <v>5</v>
      </c>
      <c r="R12109" t="s">
        <v>47318</v>
      </c>
      <c r="S12109" t="s">
        <v>47758</v>
      </c>
      <c r="T12109" t="s">
        <v>49019</v>
      </c>
      <c r="U12109" t="s">
        <v>59544</v>
      </c>
      <c r="W12109" t="s">
        <v>46082</v>
      </c>
      <c r="X12109" t="s">
        <v>47319</v>
      </c>
    </row>
    <row r="12110" spans="1:24">
      <c r="A12110">
        <f>HYPERLINK("https://www.philgeps.gov.ph/GEPSNONPILOT/Tender/SplashBidNoticeAbstractUI.aspx?menuIndex=3&amp;refID=7175448&amp;Result=3","7175448")</f>
        <v>0</v>
      </c>
      <c r="B12110" t="s">
        <v>726</v>
      </c>
      <c r="C12110" t="s">
        <v>15304</v>
      </c>
      <c r="D12110" t="s">
        <v>19009</v>
      </c>
      <c r="E12110" t="s">
        <v>29384</v>
      </c>
      <c r="F12110" t="s">
        <v>32606</v>
      </c>
      <c r="G12110" t="s">
        <v>32613</v>
      </c>
      <c r="H12110" t="s">
        <v>32625</v>
      </c>
      <c r="I12110" t="s">
        <v>32625</v>
      </c>
      <c r="J12110" t="s">
        <v>32789</v>
      </c>
      <c r="K12110" t="s">
        <v>42757</v>
      </c>
      <c r="M12110" t="s">
        <v>46187</v>
      </c>
      <c r="N12110" t="s">
        <v>47304</v>
      </c>
      <c r="O12110" t="s">
        <v>47305</v>
      </c>
      <c r="P12110">
        <v>0</v>
      </c>
      <c r="Q12110">
        <v>4</v>
      </c>
      <c r="R12110" t="s">
        <v>47318</v>
      </c>
      <c r="S12110" t="s">
        <v>47736</v>
      </c>
      <c r="T12110" t="s">
        <v>49249</v>
      </c>
      <c r="U12110" t="s">
        <v>59545</v>
      </c>
      <c r="V12110" t="s">
        <v>63953</v>
      </c>
      <c r="W12110" t="s">
        <v>46187</v>
      </c>
      <c r="X12110" t="s">
        <v>47319</v>
      </c>
    </row>
    <row r="12111" spans="1:24">
      <c r="A12111">
        <f>HYPERLINK("https://www.philgeps.gov.ph/GEPSNONPILOT/Tender/SplashBidNoticeAbstractUI.aspx?menuIndex=3&amp;refID=7175513&amp;Result=3","7175513")</f>
        <v>0</v>
      </c>
      <c r="B12111" t="s">
        <v>2516</v>
      </c>
      <c r="C12111" t="s">
        <v>15305</v>
      </c>
      <c r="D12111" t="s">
        <v>18995</v>
      </c>
      <c r="E12111" t="s">
        <v>29385</v>
      </c>
      <c r="F12111" t="s">
        <v>32606</v>
      </c>
      <c r="G12111" t="s">
        <v>32613</v>
      </c>
      <c r="H12111" t="s">
        <v>14201</v>
      </c>
      <c r="I12111" t="s">
        <v>6298</v>
      </c>
      <c r="J12111" t="s">
        <v>32778</v>
      </c>
      <c r="K12111" t="s">
        <v>42631</v>
      </c>
      <c r="M12111" t="s">
        <v>45657</v>
      </c>
      <c r="N12111" t="s">
        <v>47304</v>
      </c>
      <c r="O12111" t="s">
        <v>47305</v>
      </c>
      <c r="P12111">
        <v>0</v>
      </c>
      <c r="Q12111">
        <v>7</v>
      </c>
      <c r="R12111" t="s">
        <v>47318</v>
      </c>
      <c r="S12111" t="s">
        <v>47736</v>
      </c>
      <c r="T12111" t="s">
        <v>48988</v>
      </c>
      <c r="U12111" t="s">
        <v>59546</v>
      </c>
      <c r="W12111" t="s">
        <v>45657</v>
      </c>
      <c r="X12111" t="s">
        <v>47319</v>
      </c>
    </row>
    <row r="12112" spans="1:24">
      <c r="A12112">
        <f>HYPERLINK("https://www.philgeps.gov.ph/GEPSNONPILOT/Tender/SplashBidNoticeAbstractUI.aspx?menuIndex=3&amp;refID=7175303&amp;Result=3","7175303")</f>
        <v>0</v>
      </c>
      <c r="B12112" t="s">
        <v>2942</v>
      </c>
      <c r="C12112" t="s">
        <v>15306</v>
      </c>
      <c r="D12112" t="s">
        <v>19011</v>
      </c>
      <c r="E12112" t="s">
        <v>29386</v>
      </c>
      <c r="F12112" t="s">
        <v>32606</v>
      </c>
      <c r="G12112" t="s">
        <v>32613</v>
      </c>
      <c r="H12112" t="s">
        <v>32623</v>
      </c>
      <c r="I12112" t="s">
        <v>17648</v>
      </c>
      <c r="J12112" t="s">
        <v>40280</v>
      </c>
      <c r="K12112" t="s">
        <v>42750</v>
      </c>
      <c r="M12112" t="s">
        <v>46123</v>
      </c>
      <c r="N12112" t="s">
        <v>47304</v>
      </c>
      <c r="O12112" t="s">
        <v>47305</v>
      </c>
      <c r="P12112">
        <v>0</v>
      </c>
      <c r="Q12112">
        <v>1</v>
      </c>
      <c r="R12112" t="s">
        <v>47318</v>
      </c>
      <c r="S12112" t="s">
        <v>47736</v>
      </c>
      <c r="T12112" t="s">
        <v>49017</v>
      </c>
      <c r="U12112" t="s">
        <v>59547</v>
      </c>
      <c r="W12112" t="s">
        <v>46123</v>
      </c>
      <c r="X12112" t="s">
        <v>47319</v>
      </c>
    </row>
    <row r="12113" spans="1:24">
      <c r="A12113">
        <f>HYPERLINK("https://www.philgeps.gov.ph/GEPSNONPILOT/Tender/SplashBidNoticeAbstractUI.aspx?menuIndex=3&amp;refID=7175384&amp;Result=3","7175384")</f>
        <v>0</v>
      </c>
      <c r="B12113" t="s">
        <v>2810</v>
      </c>
      <c r="C12113" t="s">
        <v>11857</v>
      </c>
      <c r="D12113" t="s">
        <v>19037</v>
      </c>
      <c r="E12113" t="s">
        <v>24950</v>
      </c>
      <c r="F12113" t="s">
        <v>32606</v>
      </c>
      <c r="G12113" t="s">
        <v>32613</v>
      </c>
      <c r="H12113" t="s">
        <v>32623</v>
      </c>
      <c r="I12113" t="s">
        <v>17648</v>
      </c>
      <c r="J12113" t="s">
        <v>40281</v>
      </c>
      <c r="K12113" t="s">
        <v>42792</v>
      </c>
      <c r="M12113" t="s">
        <v>45973</v>
      </c>
      <c r="N12113" t="s">
        <v>47304</v>
      </c>
      <c r="O12113" t="s">
        <v>47305</v>
      </c>
      <c r="P12113">
        <v>0</v>
      </c>
      <c r="Q12113">
        <v>3</v>
      </c>
      <c r="R12113" t="s">
        <v>47318</v>
      </c>
      <c r="S12113" t="s">
        <v>47736</v>
      </c>
      <c r="T12113" t="s">
        <v>49144</v>
      </c>
      <c r="U12113" t="s">
        <v>59548</v>
      </c>
      <c r="W12113" t="s">
        <v>45973</v>
      </c>
      <c r="X12113" t="s">
        <v>47319</v>
      </c>
    </row>
    <row r="12114" spans="1:24">
      <c r="A12114">
        <f>HYPERLINK("https://www.philgeps.gov.ph/GEPSNONPILOT/Tender/SplashBidNoticeAbstractUI.aspx?menuIndex=3&amp;refID=7175347&amp;Result=3","7175347")</f>
        <v>0</v>
      </c>
      <c r="B12114" t="s">
        <v>3426</v>
      </c>
      <c r="C12114" t="s">
        <v>15307</v>
      </c>
      <c r="D12114" t="s">
        <v>19006</v>
      </c>
      <c r="E12114" t="s">
        <v>29387</v>
      </c>
      <c r="F12114" t="s">
        <v>32606</v>
      </c>
      <c r="G12114" t="s">
        <v>32613</v>
      </c>
      <c r="H12114" t="s">
        <v>14201</v>
      </c>
      <c r="I12114" t="s">
        <v>4114</v>
      </c>
      <c r="J12114" t="s">
        <v>40282</v>
      </c>
      <c r="K12114" t="s">
        <v>42622</v>
      </c>
      <c r="M12114" t="s">
        <v>46683</v>
      </c>
      <c r="N12114" t="s">
        <v>47304</v>
      </c>
      <c r="O12114" t="s">
        <v>47305</v>
      </c>
      <c r="P12114">
        <v>0</v>
      </c>
      <c r="Q12114">
        <v>1</v>
      </c>
      <c r="R12114" t="s">
        <v>47318</v>
      </c>
      <c r="S12114" t="s">
        <v>47736</v>
      </c>
      <c r="T12114" t="s">
        <v>49039</v>
      </c>
      <c r="U12114" t="s">
        <v>59549</v>
      </c>
      <c r="W12114" t="s">
        <v>46683</v>
      </c>
      <c r="X12114" t="s">
        <v>47319</v>
      </c>
    </row>
    <row r="12115" spans="1:24">
      <c r="A12115">
        <f>HYPERLINK("https://www.philgeps.gov.ph/GEPSNONPILOT/Tender/SplashBidNoticeAbstractUI.aspx?menuIndex=3&amp;refID=7175342&amp;Result=3","7175342")</f>
        <v>0</v>
      </c>
      <c r="B12115" t="s">
        <v>3114</v>
      </c>
      <c r="C12115" t="s">
        <v>15308</v>
      </c>
      <c r="D12115" t="s">
        <v>19038</v>
      </c>
      <c r="F12115" t="s">
        <v>32606</v>
      </c>
      <c r="G12115" t="s">
        <v>32613</v>
      </c>
      <c r="H12115" t="s">
        <v>14201</v>
      </c>
      <c r="I12115" t="s">
        <v>6931</v>
      </c>
      <c r="J12115" t="s">
        <v>40283</v>
      </c>
      <c r="K12115" t="s">
        <v>42624</v>
      </c>
      <c r="M12115" t="s">
        <v>46324</v>
      </c>
      <c r="N12115" t="s">
        <v>47304</v>
      </c>
      <c r="O12115" t="s">
        <v>47305</v>
      </c>
      <c r="P12115">
        <v>0</v>
      </c>
      <c r="Q12115">
        <v>0</v>
      </c>
      <c r="R12115" t="s">
        <v>47318</v>
      </c>
      <c r="S12115" t="s">
        <v>47736</v>
      </c>
      <c r="T12115" t="s">
        <v>49015</v>
      </c>
      <c r="U12115" t="s">
        <v>59550</v>
      </c>
      <c r="W12115" t="s">
        <v>46324</v>
      </c>
      <c r="X12115" t="s">
        <v>47319</v>
      </c>
    </row>
    <row r="12116" spans="1:24">
      <c r="A12116">
        <f>HYPERLINK("https://www.philgeps.gov.ph/GEPSNONPILOT/Tender/SplashBidNoticeAbstractUI.aspx?menuIndex=3&amp;refID=7175375&amp;Result=3","7175375")</f>
        <v>0</v>
      </c>
      <c r="B12116" t="s">
        <v>3423</v>
      </c>
      <c r="C12116" t="s">
        <v>15309</v>
      </c>
      <c r="E12116" t="s">
        <v>29388</v>
      </c>
      <c r="F12116" t="s">
        <v>32606</v>
      </c>
      <c r="G12116" t="s">
        <v>32613</v>
      </c>
      <c r="H12116" t="s">
        <v>32623</v>
      </c>
      <c r="I12116" t="s">
        <v>17648</v>
      </c>
      <c r="J12116" t="s">
        <v>32981</v>
      </c>
      <c r="K12116" t="s">
        <v>42678</v>
      </c>
      <c r="M12116" t="s">
        <v>46680</v>
      </c>
      <c r="N12116" t="s">
        <v>47304</v>
      </c>
      <c r="O12116" t="s">
        <v>47305</v>
      </c>
      <c r="P12116">
        <v>0</v>
      </c>
      <c r="Q12116">
        <v>1</v>
      </c>
      <c r="R12116" t="s">
        <v>47318</v>
      </c>
      <c r="S12116" t="s">
        <v>47736</v>
      </c>
      <c r="T12116" t="s">
        <v>49019</v>
      </c>
      <c r="U12116" t="s">
        <v>59551</v>
      </c>
      <c r="W12116" t="s">
        <v>46680</v>
      </c>
      <c r="X12116" t="s">
        <v>47319</v>
      </c>
    </row>
    <row r="12117" spans="1:24">
      <c r="A12117">
        <f>HYPERLINK("https://www.philgeps.gov.ph/GEPSNONPILOT/Tender/SplashBidNoticeAbstractUI.aspx?menuIndex=3&amp;refID=7175543&amp;Result=3","7175543")</f>
        <v>0</v>
      </c>
      <c r="B12117" t="s">
        <v>439</v>
      </c>
      <c r="C12117" t="s">
        <v>15310</v>
      </c>
      <c r="D12117" t="s">
        <v>19054</v>
      </c>
      <c r="E12117" t="s">
        <v>29389</v>
      </c>
      <c r="F12117" t="s">
        <v>32606</v>
      </c>
      <c r="G12117" t="s">
        <v>32613</v>
      </c>
      <c r="H12117" t="s">
        <v>14201</v>
      </c>
      <c r="I12117" t="s">
        <v>32629</v>
      </c>
      <c r="J12117" t="s">
        <v>40284</v>
      </c>
      <c r="K12117" t="s">
        <v>42648</v>
      </c>
      <c r="M12117" t="s">
        <v>45807</v>
      </c>
      <c r="N12117" t="s">
        <v>47304</v>
      </c>
      <c r="O12117" t="s">
        <v>47305</v>
      </c>
      <c r="P12117">
        <v>0</v>
      </c>
      <c r="Q12117">
        <v>0</v>
      </c>
      <c r="R12117" t="s">
        <v>47318</v>
      </c>
      <c r="S12117" t="s">
        <v>47736</v>
      </c>
      <c r="T12117" t="s">
        <v>49140</v>
      </c>
      <c r="U12117" t="s">
        <v>56486</v>
      </c>
      <c r="W12117" t="s">
        <v>45807</v>
      </c>
      <c r="X12117" t="s">
        <v>47319</v>
      </c>
    </row>
    <row r="12118" spans="1:24">
      <c r="A12118">
        <f>HYPERLINK("https://www.philgeps.gov.ph/GEPSNONPILOT/Tender/SplashBidNoticeAbstractUI.aspx?menuIndex=3&amp;refID=7175596&amp;Result=3","7175596")</f>
        <v>0</v>
      </c>
      <c r="B12118" t="s">
        <v>439</v>
      </c>
      <c r="C12118" t="s">
        <v>15311</v>
      </c>
      <c r="D12118" t="s">
        <v>19054</v>
      </c>
      <c r="E12118" t="s">
        <v>29390</v>
      </c>
      <c r="F12118" t="s">
        <v>32606</v>
      </c>
      <c r="G12118" t="s">
        <v>32613</v>
      </c>
      <c r="H12118" t="s">
        <v>14201</v>
      </c>
      <c r="I12118" t="s">
        <v>7677</v>
      </c>
      <c r="J12118" t="s">
        <v>40285</v>
      </c>
      <c r="K12118" t="s">
        <v>42631</v>
      </c>
      <c r="M12118" t="s">
        <v>45807</v>
      </c>
      <c r="N12118" t="s">
        <v>47304</v>
      </c>
      <c r="O12118" t="s">
        <v>47305</v>
      </c>
      <c r="P12118">
        <v>0</v>
      </c>
      <c r="Q12118">
        <v>5</v>
      </c>
      <c r="R12118" t="s">
        <v>47318</v>
      </c>
      <c r="S12118" t="s">
        <v>47736</v>
      </c>
      <c r="T12118" t="s">
        <v>49140</v>
      </c>
      <c r="U12118" t="s">
        <v>56479</v>
      </c>
      <c r="W12118" t="s">
        <v>45807</v>
      </c>
      <c r="X12118" t="s">
        <v>47319</v>
      </c>
    </row>
    <row r="12119" spans="1:24">
      <c r="A12119">
        <f>HYPERLINK("https://www.philgeps.gov.ph/GEPSNONPILOT/Tender/SplashBidNoticeAbstractUI.aspx?menuIndex=3&amp;refID=7175516&amp;Result=3","7175516")</f>
        <v>0</v>
      </c>
      <c r="B12119" t="s">
        <v>477</v>
      </c>
      <c r="C12119" t="s">
        <v>15312</v>
      </c>
      <c r="D12119" t="s">
        <v>19019</v>
      </c>
      <c r="E12119" t="s">
        <v>29391</v>
      </c>
      <c r="F12119" t="s">
        <v>32606</v>
      </c>
      <c r="G12119" t="s">
        <v>32613</v>
      </c>
      <c r="H12119" t="s">
        <v>14201</v>
      </c>
      <c r="I12119" t="s">
        <v>32635</v>
      </c>
      <c r="J12119" t="s">
        <v>40286</v>
      </c>
      <c r="K12119" t="s">
        <v>42631</v>
      </c>
      <c r="M12119" t="s">
        <v>43388</v>
      </c>
      <c r="N12119" t="s">
        <v>47304</v>
      </c>
      <c r="O12119" t="s">
        <v>47305</v>
      </c>
      <c r="P12119">
        <v>0</v>
      </c>
      <c r="Q12119">
        <v>2</v>
      </c>
      <c r="R12119" t="s">
        <v>47318</v>
      </c>
      <c r="S12119" t="s">
        <v>47736</v>
      </c>
      <c r="T12119" t="s">
        <v>49052</v>
      </c>
      <c r="U12119" t="s">
        <v>59552</v>
      </c>
      <c r="W12119" t="s">
        <v>43388</v>
      </c>
      <c r="X12119" t="s">
        <v>47319</v>
      </c>
    </row>
    <row r="12120" spans="1:24">
      <c r="A12120">
        <f>HYPERLINK("https://www.philgeps.gov.ph/GEPSNONPILOT/Tender/SplashBidNoticeAbstractUI.aspx?menuIndex=3&amp;refID=7175591&amp;Result=3","7175591")</f>
        <v>0</v>
      </c>
      <c r="B12120" t="s">
        <v>3425</v>
      </c>
      <c r="C12120" t="s">
        <v>15313</v>
      </c>
      <c r="D12120" t="s">
        <v>19034</v>
      </c>
      <c r="E12120" t="s">
        <v>29382</v>
      </c>
      <c r="F12120" t="s">
        <v>32606</v>
      </c>
      <c r="G12120" t="s">
        <v>32613</v>
      </c>
      <c r="H12120" t="s">
        <v>32623</v>
      </c>
      <c r="I12120" t="s">
        <v>17648</v>
      </c>
      <c r="J12120" t="s">
        <v>32765</v>
      </c>
      <c r="K12120" t="s">
        <v>42630</v>
      </c>
      <c r="M12120" t="s">
        <v>46682</v>
      </c>
      <c r="N12120" t="s">
        <v>47304</v>
      </c>
      <c r="O12120" t="s">
        <v>47305</v>
      </c>
      <c r="P12120">
        <v>0</v>
      </c>
      <c r="Q12120">
        <v>0</v>
      </c>
      <c r="R12120" t="s">
        <v>47318</v>
      </c>
      <c r="S12120" t="s">
        <v>47736</v>
      </c>
      <c r="T12120" t="s">
        <v>49117</v>
      </c>
      <c r="U12120" t="s">
        <v>59542</v>
      </c>
      <c r="W12120" t="s">
        <v>46682</v>
      </c>
      <c r="X12120" t="s">
        <v>47319</v>
      </c>
    </row>
    <row r="12121" spans="1:24">
      <c r="A12121">
        <f>HYPERLINK("https://www.philgeps.gov.ph/GEPSNONPILOT/Tender/SplashBidNoticeAbstractUI.aspx?menuIndex=3&amp;refID=7175433&amp;Result=3","7175433")</f>
        <v>0</v>
      </c>
      <c r="B12121" t="s">
        <v>2942</v>
      </c>
      <c r="C12121" t="s">
        <v>15314</v>
      </c>
      <c r="D12121" t="s">
        <v>19011</v>
      </c>
      <c r="E12121" t="s">
        <v>29392</v>
      </c>
      <c r="F12121" t="s">
        <v>32606</v>
      </c>
      <c r="G12121" t="s">
        <v>32613</v>
      </c>
      <c r="H12121" t="s">
        <v>32623</v>
      </c>
      <c r="I12121" t="s">
        <v>17648</v>
      </c>
      <c r="J12121" t="s">
        <v>36754</v>
      </c>
      <c r="K12121" t="s">
        <v>42709</v>
      </c>
      <c r="M12121" t="s">
        <v>46123</v>
      </c>
      <c r="N12121" t="s">
        <v>47304</v>
      </c>
      <c r="O12121" t="s">
        <v>47305</v>
      </c>
      <c r="P12121">
        <v>0</v>
      </c>
      <c r="Q12121">
        <v>2</v>
      </c>
      <c r="R12121" t="s">
        <v>47318</v>
      </c>
      <c r="S12121" t="s">
        <v>47736</v>
      </c>
      <c r="T12121" t="s">
        <v>49017</v>
      </c>
      <c r="U12121" t="s">
        <v>59553</v>
      </c>
      <c r="W12121" t="s">
        <v>46123</v>
      </c>
      <c r="X12121" t="s">
        <v>47319</v>
      </c>
    </row>
    <row r="12122" spans="1:24">
      <c r="A12122">
        <f>HYPERLINK("https://www.philgeps.gov.ph/GEPSNONPILOT/Tender/SplashBidNoticeAbstractUI.aspx?menuIndex=3&amp;refID=7175562&amp;Result=3","7175562")</f>
        <v>0</v>
      </c>
      <c r="B12122" t="s">
        <v>477</v>
      </c>
      <c r="C12122" t="s">
        <v>15315</v>
      </c>
      <c r="D12122" t="s">
        <v>19019</v>
      </c>
      <c r="E12122" t="s">
        <v>29393</v>
      </c>
      <c r="F12122" t="s">
        <v>32606</v>
      </c>
      <c r="G12122" t="s">
        <v>32613</v>
      </c>
      <c r="H12122" t="s">
        <v>14201</v>
      </c>
      <c r="I12122" t="s">
        <v>6298</v>
      </c>
      <c r="J12122" t="s">
        <v>40287</v>
      </c>
      <c r="K12122" t="s">
        <v>42631</v>
      </c>
      <c r="M12122" t="s">
        <v>43388</v>
      </c>
      <c r="N12122" t="s">
        <v>47304</v>
      </c>
      <c r="O12122" t="s">
        <v>47305</v>
      </c>
      <c r="P12122">
        <v>0</v>
      </c>
      <c r="Q12122">
        <v>2</v>
      </c>
      <c r="R12122" t="s">
        <v>47318</v>
      </c>
      <c r="S12122" t="s">
        <v>47736</v>
      </c>
      <c r="T12122" t="s">
        <v>49052</v>
      </c>
      <c r="U12122" t="s">
        <v>59554</v>
      </c>
      <c r="W12122" t="s">
        <v>43388</v>
      </c>
      <c r="X12122" t="s">
        <v>47319</v>
      </c>
    </row>
    <row r="12123" spans="1:24">
      <c r="A12123">
        <f>HYPERLINK("https://www.philgeps.gov.ph/GEPSNONPILOT/Tender/SplashBidNoticeAbstractUI.aspx?menuIndex=3&amp;refID=7175474&amp;Result=3","7175474")</f>
        <v>0</v>
      </c>
      <c r="B12123" t="s">
        <v>1830</v>
      </c>
      <c r="C12123" t="s">
        <v>15316</v>
      </c>
      <c r="D12123" t="s">
        <v>19052</v>
      </c>
      <c r="E12123" t="s">
        <v>29394</v>
      </c>
      <c r="F12123" t="s">
        <v>32606</v>
      </c>
      <c r="G12123" t="s">
        <v>32613</v>
      </c>
      <c r="H12123" t="s">
        <v>14201</v>
      </c>
      <c r="I12123" t="s">
        <v>32650</v>
      </c>
      <c r="J12123" t="s">
        <v>32770</v>
      </c>
      <c r="K12123" t="s">
        <v>42631</v>
      </c>
      <c r="M12123" t="s">
        <v>44877</v>
      </c>
      <c r="N12123" t="s">
        <v>47304</v>
      </c>
      <c r="O12123" t="s">
        <v>47305</v>
      </c>
      <c r="P12123">
        <v>0</v>
      </c>
      <c r="Q12123">
        <v>1</v>
      </c>
      <c r="R12123" t="s">
        <v>47318</v>
      </c>
      <c r="S12123" t="s">
        <v>47736</v>
      </c>
      <c r="T12123" t="s">
        <v>48971</v>
      </c>
      <c r="U12123" t="s">
        <v>59555</v>
      </c>
      <c r="V12123" t="s">
        <v>63954</v>
      </c>
      <c r="W12123" t="s">
        <v>44877</v>
      </c>
      <c r="X12123" t="s">
        <v>47319</v>
      </c>
    </row>
    <row r="12124" spans="1:24">
      <c r="A12124">
        <f>HYPERLINK("https://www.philgeps.gov.ph/GEPSNONPILOT/Tender/SplashBidNoticeAbstractUI.aspx?menuIndex=3&amp;refID=7175561&amp;Result=3","7175561")</f>
        <v>0</v>
      </c>
      <c r="B12124" t="s">
        <v>1830</v>
      </c>
      <c r="C12124" t="s">
        <v>15317</v>
      </c>
      <c r="D12124" t="s">
        <v>19052</v>
      </c>
      <c r="E12124" t="s">
        <v>29395</v>
      </c>
      <c r="F12124" t="s">
        <v>32606</v>
      </c>
      <c r="G12124" t="s">
        <v>32613</v>
      </c>
      <c r="H12124" t="s">
        <v>14201</v>
      </c>
      <c r="I12124" t="s">
        <v>32635</v>
      </c>
      <c r="J12124" t="s">
        <v>40288</v>
      </c>
      <c r="K12124" t="s">
        <v>42631</v>
      </c>
      <c r="M12124" t="s">
        <v>44877</v>
      </c>
      <c r="N12124" t="s">
        <v>47304</v>
      </c>
      <c r="O12124" t="s">
        <v>47305</v>
      </c>
      <c r="P12124">
        <v>0</v>
      </c>
      <c r="Q12124">
        <v>2</v>
      </c>
      <c r="R12124" t="s">
        <v>47318</v>
      </c>
      <c r="S12124" t="s">
        <v>47736</v>
      </c>
      <c r="T12124" t="s">
        <v>48996</v>
      </c>
      <c r="U12124" t="s">
        <v>59556</v>
      </c>
      <c r="V12124" t="s">
        <v>63954</v>
      </c>
      <c r="W12124" t="s">
        <v>44877</v>
      </c>
      <c r="X12124" t="s">
        <v>47319</v>
      </c>
    </row>
    <row r="12125" spans="1:24">
      <c r="A12125">
        <f>HYPERLINK("https://www.philgeps.gov.ph/GEPSNONPILOT/Tender/SplashBidNoticeAbstractUI.aspx?menuIndex=3&amp;refID=7175649&amp;Result=3","7175649")</f>
        <v>0</v>
      </c>
      <c r="B12125" t="s">
        <v>751</v>
      </c>
      <c r="C12125" t="s">
        <v>15318</v>
      </c>
      <c r="D12125" t="s">
        <v>18995</v>
      </c>
      <c r="E12125" t="s">
        <v>29396</v>
      </c>
      <c r="F12125" t="s">
        <v>32606</v>
      </c>
      <c r="G12125" t="s">
        <v>32613</v>
      </c>
      <c r="H12125" t="s">
        <v>32623</v>
      </c>
      <c r="I12125" t="s">
        <v>17648</v>
      </c>
      <c r="J12125" t="s">
        <v>32770</v>
      </c>
      <c r="K12125" t="s">
        <v>42694</v>
      </c>
      <c r="M12125" t="s">
        <v>43674</v>
      </c>
      <c r="N12125" t="s">
        <v>47304</v>
      </c>
      <c r="O12125" t="s">
        <v>47305</v>
      </c>
      <c r="P12125">
        <v>0</v>
      </c>
      <c r="Q12125">
        <v>1</v>
      </c>
      <c r="R12125" t="s">
        <v>47318</v>
      </c>
      <c r="S12125" t="s">
        <v>47736</v>
      </c>
      <c r="T12125" t="s">
        <v>48994</v>
      </c>
      <c r="U12125" t="s">
        <v>59557</v>
      </c>
      <c r="W12125" t="s">
        <v>43674</v>
      </c>
      <c r="X12125" t="s">
        <v>47319</v>
      </c>
    </row>
    <row r="12126" spans="1:24">
      <c r="A12126">
        <f>HYPERLINK("https://www.philgeps.gov.ph/GEPSNONPILOT/Tender/SplashBidNoticeAbstractUI.aspx?menuIndex=3&amp;refID=7175642&amp;Result=3","7175642")</f>
        <v>0</v>
      </c>
      <c r="B12126" t="s">
        <v>3425</v>
      </c>
      <c r="C12126" t="s">
        <v>15319</v>
      </c>
      <c r="D12126" t="s">
        <v>19034</v>
      </c>
      <c r="E12126" t="s">
        <v>29382</v>
      </c>
      <c r="F12126" t="s">
        <v>32606</v>
      </c>
      <c r="G12126" t="s">
        <v>32614</v>
      </c>
      <c r="H12126" t="s">
        <v>14201</v>
      </c>
      <c r="I12126" t="s">
        <v>32712</v>
      </c>
      <c r="J12126" t="s">
        <v>36794</v>
      </c>
      <c r="K12126" t="s">
        <v>42630</v>
      </c>
      <c r="M12126" t="s">
        <v>46682</v>
      </c>
      <c r="N12126" t="s">
        <v>47304</v>
      </c>
      <c r="O12126" t="s">
        <v>47305</v>
      </c>
      <c r="P12126">
        <v>0</v>
      </c>
      <c r="Q12126">
        <v>0</v>
      </c>
      <c r="R12126" t="s">
        <v>47318</v>
      </c>
      <c r="S12126" t="s">
        <v>47736</v>
      </c>
      <c r="T12126" t="s">
        <v>49117</v>
      </c>
      <c r="U12126" t="s">
        <v>59542</v>
      </c>
      <c r="W12126" t="s">
        <v>46682</v>
      </c>
      <c r="X12126" t="s">
        <v>47319</v>
      </c>
    </row>
    <row r="12127" spans="1:24">
      <c r="A12127">
        <f>HYPERLINK("https://www.philgeps.gov.ph/GEPSNONPILOT/Tender/SplashBidNoticeAbstractUI.aspx?menuIndex=3&amp;refID=7175609&amp;Result=3","7175609")</f>
        <v>0</v>
      </c>
      <c r="B12127" t="s">
        <v>477</v>
      </c>
      <c r="C12127" t="s">
        <v>15320</v>
      </c>
      <c r="D12127" t="s">
        <v>19019</v>
      </c>
      <c r="E12127" t="s">
        <v>29397</v>
      </c>
      <c r="F12127" t="s">
        <v>32606</v>
      </c>
      <c r="G12127" t="s">
        <v>32613</v>
      </c>
      <c r="H12127" t="s">
        <v>14201</v>
      </c>
      <c r="I12127" t="s">
        <v>6298</v>
      </c>
      <c r="J12127" t="s">
        <v>40289</v>
      </c>
      <c r="K12127" t="s">
        <v>42631</v>
      </c>
      <c r="M12127" t="s">
        <v>43388</v>
      </c>
      <c r="N12127" t="s">
        <v>47304</v>
      </c>
      <c r="O12127" t="s">
        <v>47305</v>
      </c>
      <c r="P12127">
        <v>0</v>
      </c>
      <c r="Q12127">
        <v>0</v>
      </c>
      <c r="R12127" t="s">
        <v>47318</v>
      </c>
      <c r="S12127" t="s">
        <v>47736</v>
      </c>
      <c r="T12127" t="s">
        <v>49052</v>
      </c>
      <c r="U12127" t="s">
        <v>59558</v>
      </c>
      <c r="W12127" t="s">
        <v>43388</v>
      </c>
      <c r="X12127" t="s">
        <v>47319</v>
      </c>
    </row>
    <row r="12128" spans="1:24">
      <c r="A12128">
        <f>HYPERLINK("https://www.philgeps.gov.ph/GEPSNONPILOT/Tender/SplashBidNoticeAbstractUI.aspx?menuIndex=3&amp;refID=7175637&amp;Result=3","7175637")</f>
        <v>0</v>
      </c>
      <c r="B12128" t="s">
        <v>2810</v>
      </c>
      <c r="C12128" t="s">
        <v>11857</v>
      </c>
      <c r="D12128" t="s">
        <v>19037</v>
      </c>
      <c r="E12128" t="s">
        <v>20658</v>
      </c>
      <c r="F12128" t="s">
        <v>32606</v>
      </c>
      <c r="G12128" t="s">
        <v>32613</v>
      </c>
      <c r="H12128" t="s">
        <v>32623</v>
      </c>
      <c r="I12128" t="s">
        <v>17648</v>
      </c>
      <c r="J12128" t="s">
        <v>40290</v>
      </c>
      <c r="K12128" t="s">
        <v>42737</v>
      </c>
      <c r="M12128" t="s">
        <v>45973</v>
      </c>
      <c r="N12128" t="s">
        <v>47304</v>
      </c>
      <c r="O12128" t="s">
        <v>47305</v>
      </c>
      <c r="P12128">
        <v>0</v>
      </c>
      <c r="Q12128">
        <v>3</v>
      </c>
      <c r="R12128" t="s">
        <v>47318</v>
      </c>
      <c r="S12128" t="s">
        <v>47736</v>
      </c>
      <c r="T12128" t="s">
        <v>49063</v>
      </c>
      <c r="U12128" t="s">
        <v>59559</v>
      </c>
      <c r="W12128" t="s">
        <v>45973</v>
      </c>
      <c r="X12128" t="s">
        <v>47319</v>
      </c>
    </row>
    <row r="12129" spans="1:24">
      <c r="A12129">
        <f>HYPERLINK("https://www.philgeps.gov.ph/GEPSNONPILOT/Tender/SplashBidNoticeAbstractUI.aspx?menuIndex=3&amp;refID=7175629&amp;Result=3","7175629")</f>
        <v>0</v>
      </c>
      <c r="B12129" t="s">
        <v>778</v>
      </c>
      <c r="C12129" t="s">
        <v>15321</v>
      </c>
      <c r="D12129" t="s">
        <v>19012</v>
      </c>
      <c r="E12129" t="s">
        <v>19455</v>
      </c>
      <c r="F12129" t="s">
        <v>32606</v>
      </c>
      <c r="G12129" t="s">
        <v>32613</v>
      </c>
      <c r="H12129" t="s">
        <v>32623</v>
      </c>
      <c r="I12129" t="s">
        <v>17648</v>
      </c>
      <c r="J12129" t="s">
        <v>40291</v>
      </c>
      <c r="K12129" t="s">
        <v>42636</v>
      </c>
      <c r="M12129" t="s">
        <v>43708</v>
      </c>
      <c r="N12129" t="s">
        <v>47304</v>
      </c>
      <c r="O12129" t="s">
        <v>47305</v>
      </c>
      <c r="P12129">
        <v>0</v>
      </c>
      <c r="Q12129">
        <v>0</v>
      </c>
      <c r="R12129" t="s">
        <v>47318</v>
      </c>
      <c r="S12129" t="s">
        <v>47736</v>
      </c>
      <c r="T12129" t="s">
        <v>49066</v>
      </c>
      <c r="U12129" t="s">
        <v>59560</v>
      </c>
      <c r="W12129" t="s">
        <v>43708</v>
      </c>
      <c r="X12129" t="s">
        <v>47319</v>
      </c>
    </row>
    <row r="12130" spans="1:24">
      <c r="A12130">
        <f>HYPERLINK("https://www.philgeps.gov.ph/GEPSNONPILOT/Tender/SplashBidNoticeAbstractUI.aspx?menuIndex=3&amp;refID=7175626&amp;Result=3","7175626")</f>
        <v>0</v>
      </c>
      <c r="B12130" t="s">
        <v>477</v>
      </c>
      <c r="C12130" t="s">
        <v>15322</v>
      </c>
      <c r="D12130" t="s">
        <v>19019</v>
      </c>
      <c r="E12130" t="s">
        <v>29398</v>
      </c>
      <c r="F12130" t="s">
        <v>32606</v>
      </c>
      <c r="G12130" t="s">
        <v>32613</v>
      </c>
      <c r="H12130" t="s">
        <v>14201</v>
      </c>
      <c r="I12130" t="s">
        <v>4678</v>
      </c>
      <c r="J12130" t="s">
        <v>40292</v>
      </c>
      <c r="K12130" t="s">
        <v>42631</v>
      </c>
      <c r="M12130" t="s">
        <v>43388</v>
      </c>
      <c r="N12130" t="s">
        <v>47304</v>
      </c>
      <c r="O12130" t="s">
        <v>47305</v>
      </c>
      <c r="P12130">
        <v>0</v>
      </c>
      <c r="Q12130">
        <v>6</v>
      </c>
      <c r="R12130" t="s">
        <v>47318</v>
      </c>
      <c r="S12130" t="s">
        <v>47736</v>
      </c>
      <c r="T12130" t="s">
        <v>49052</v>
      </c>
      <c r="U12130" t="s">
        <v>59561</v>
      </c>
      <c r="W12130" t="s">
        <v>43388</v>
      </c>
      <c r="X12130" t="s">
        <v>47319</v>
      </c>
    </row>
    <row r="12131" spans="1:24">
      <c r="A12131">
        <f>HYPERLINK("https://www.philgeps.gov.ph/GEPSNONPILOT/Tender/SplashBidNoticeAbstractUI.aspx?menuIndex=3&amp;refID=7175581&amp;Result=3","7175581")</f>
        <v>0</v>
      </c>
      <c r="B12131" t="s">
        <v>1508</v>
      </c>
      <c r="C12131" t="s">
        <v>15323</v>
      </c>
      <c r="D12131" t="s">
        <v>19016</v>
      </c>
      <c r="E12131" t="s">
        <v>29399</v>
      </c>
      <c r="F12131" t="s">
        <v>32606</v>
      </c>
      <c r="G12131" t="s">
        <v>32613</v>
      </c>
      <c r="H12131" t="s">
        <v>14201</v>
      </c>
      <c r="I12131" t="s">
        <v>4112</v>
      </c>
      <c r="J12131" t="s">
        <v>36134</v>
      </c>
      <c r="K12131" t="s">
        <v>42645</v>
      </c>
      <c r="L12131" t="s">
        <v>1508</v>
      </c>
      <c r="M12131" t="s">
        <v>44506</v>
      </c>
      <c r="N12131" t="s">
        <v>47304</v>
      </c>
      <c r="O12131" t="s">
        <v>47305</v>
      </c>
      <c r="P12131">
        <v>0</v>
      </c>
      <c r="Q12131">
        <v>1</v>
      </c>
      <c r="R12131" t="s">
        <v>47318</v>
      </c>
      <c r="S12131" t="s">
        <v>47736</v>
      </c>
      <c r="T12131" t="s">
        <v>49052</v>
      </c>
      <c r="U12131" t="s">
        <v>53188</v>
      </c>
      <c r="W12131" t="s">
        <v>44506</v>
      </c>
      <c r="X12131" t="s">
        <v>47319</v>
      </c>
    </row>
    <row r="12132" spans="1:24">
      <c r="A12132">
        <f>HYPERLINK("https://www.philgeps.gov.ph/GEPSNONPILOT/Tender/SplashBidNoticeAbstractUI.aspx?menuIndex=3&amp;refID=7175617&amp;Result=3","7175617")</f>
        <v>0</v>
      </c>
      <c r="B12132" t="s">
        <v>37</v>
      </c>
      <c r="C12132" t="s">
        <v>15324</v>
      </c>
      <c r="D12132" t="s">
        <v>18997</v>
      </c>
      <c r="E12132" t="s">
        <v>29400</v>
      </c>
      <c r="F12132" t="s">
        <v>32606</v>
      </c>
      <c r="G12132" t="s">
        <v>32613</v>
      </c>
      <c r="H12132" t="s">
        <v>14201</v>
      </c>
      <c r="I12132" t="s">
        <v>6478</v>
      </c>
      <c r="J12132" t="s">
        <v>40293</v>
      </c>
      <c r="K12132" t="s">
        <v>42631</v>
      </c>
      <c r="M12132" t="s">
        <v>42934</v>
      </c>
      <c r="N12132" t="s">
        <v>47304</v>
      </c>
      <c r="O12132" t="s">
        <v>47305</v>
      </c>
      <c r="P12132">
        <v>0</v>
      </c>
      <c r="Q12132">
        <v>7</v>
      </c>
      <c r="R12132" t="s">
        <v>47318</v>
      </c>
      <c r="S12132" t="s">
        <v>47736</v>
      </c>
      <c r="T12132" t="s">
        <v>49040</v>
      </c>
      <c r="U12132" t="s">
        <v>59562</v>
      </c>
      <c r="W12132" t="s">
        <v>42934</v>
      </c>
      <c r="X12132" t="s">
        <v>47319</v>
      </c>
    </row>
    <row r="12133" spans="1:24">
      <c r="A12133">
        <f>HYPERLINK("https://www.philgeps.gov.ph/GEPSNONPILOT/Tender/SplashBidNoticeAbstractUI.aspx?menuIndex=3&amp;refID=7175554&amp;Result=3","7175554")</f>
        <v>0</v>
      </c>
      <c r="B12133" t="s">
        <v>192</v>
      </c>
      <c r="C12133" t="s">
        <v>15325</v>
      </c>
      <c r="D12133" t="s">
        <v>19016</v>
      </c>
      <c r="E12133" t="s">
        <v>29401</v>
      </c>
      <c r="F12133" t="s">
        <v>32606</v>
      </c>
      <c r="G12133" t="s">
        <v>32619</v>
      </c>
      <c r="H12133" t="s">
        <v>32623</v>
      </c>
      <c r="I12133" t="s">
        <v>17648</v>
      </c>
      <c r="J12133" t="s">
        <v>40294</v>
      </c>
      <c r="K12133" t="s">
        <v>42624</v>
      </c>
      <c r="M12133" t="s">
        <v>43093</v>
      </c>
      <c r="N12133" t="s">
        <v>47304</v>
      </c>
      <c r="O12133" t="s">
        <v>47305</v>
      </c>
      <c r="Q12133">
        <v>2</v>
      </c>
      <c r="R12133" t="s">
        <v>47318</v>
      </c>
      <c r="S12133" t="s">
        <v>47759</v>
      </c>
      <c r="T12133" t="s">
        <v>49269</v>
      </c>
      <c r="U12133" t="s">
        <v>59563</v>
      </c>
      <c r="V12133" t="s">
        <v>62691</v>
      </c>
      <c r="W12133" t="s">
        <v>43093</v>
      </c>
      <c r="X12133" t="s">
        <v>47319</v>
      </c>
    </row>
    <row r="12134" spans="1:24">
      <c r="A12134">
        <f>HYPERLINK("https://www.philgeps.gov.ph/GEPSNONPILOT/Tender/SplashBidNoticeAbstractUI.aspx?menuIndex=3&amp;refID=7175552&amp;Result=3","7175552")</f>
        <v>0</v>
      </c>
      <c r="B12134" t="s">
        <v>2810</v>
      </c>
      <c r="C12134" t="s">
        <v>11857</v>
      </c>
      <c r="D12134" t="s">
        <v>19037</v>
      </c>
      <c r="E12134" t="s">
        <v>29402</v>
      </c>
      <c r="F12134" t="s">
        <v>32606</v>
      </c>
      <c r="G12134" t="s">
        <v>32613</v>
      </c>
      <c r="H12134" t="s">
        <v>32623</v>
      </c>
      <c r="I12134" t="s">
        <v>17648</v>
      </c>
      <c r="J12134" t="s">
        <v>40295</v>
      </c>
      <c r="K12134" t="s">
        <v>42639</v>
      </c>
      <c r="M12134" t="s">
        <v>45973</v>
      </c>
      <c r="N12134" t="s">
        <v>47304</v>
      </c>
      <c r="O12134" t="s">
        <v>47305</v>
      </c>
      <c r="P12134">
        <v>0</v>
      </c>
      <c r="Q12134">
        <v>3</v>
      </c>
      <c r="R12134" t="s">
        <v>47318</v>
      </c>
      <c r="S12134" t="s">
        <v>47736</v>
      </c>
      <c r="T12134" t="s">
        <v>49063</v>
      </c>
      <c r="U12134" t="s">
        <v>59564</v>
      </c>
      <c r="W12134" t="s">
        <v>45973</v>
      </c>
      <c r="X12134" t="s">
        <v>47319</v>
      </c>
    </row>
    <row r="12135" spans="1:24">
      <c r="A12135">
        <f>HYPERLINK("https://www.philgeps.gov.ph/GEPSNONPILOT/Tender/SplashBidNoticeAbstractUI.aspx?menuIndex=3&amp;refID=7175555&amp;Result=3","7175555")</f>
        <v>0</v>
      </c>
      <c r="B12135" t="s">
        <v>3427</v>
      </c>
      <c r="C12135" t="s">
        <v>15326</v>
      </c>
      <c r="D12135" t="s">
        <v>19002</v>
      </c>
      <c r="E12135" t="s">
        <v>29403</v>
      </c>
      <c r="F12135" t="s">
        <v>32606</v>
      </c>
      <c r="G12135" t="s">
        <v>32613</v>
      </c>
      <c r="H12135" t="s">
        <v>14201</v>
      </c>
      <c r="I12135" t="s">
        <v>32629</v>
      </c>
      <c r="J12135" t="s">
        <v>40296</v>
      </c>
      <c r="K12135" t="s">
        <v>42624</v>
      </c>
      <c r="M12135" t="s">
        <v>46684</v>
      </c>
      <c r="N12135" t="s">
        <v>47304</v>
      </c>
      <c r="O12135" t="s">
        <v>47305</v>
      </c>
      <c r="P12135">
        <v>0</v>
      </c>
      <c r="Q12135">
        <v>0</v>
      </c>
      <c r="R12135" t="s">
        <v>47318</v>
      </c>
      <c r="S12135" t="s">
        <v>47736</v>
      </c>
      <c r="T12135" t="s">
        <v>48986</v>
      </c>
      <c r="U12135" t="s">
        <v>59565</v>
      </c>
      <c r="W12135" t="s">
        <v>46684</v>
      </c>
      <c r="X12135" t="s">
        <v>47319</v>
      </c>
    </row>
    <row r="12136" spans="1:24">
      <c r="A12136">
        <f>HYPERLINK("https://www.philgeps.gov.ph/GEPSNONPILOT/Tender/SplashBidNoticeAbstractUI.aspx?menuIndex=3&amp;refID=7175545&amp;Result=3","7175545")</f>
        <v>0</v>
      </c>
      <c r="B12136" t="s">
        <v>2503</v>
      </c>
      <c r="C12136" t="s">
        <v>15327</v>
      </c>
      <c r="E12136" t="s">
        <v>29404</v>
      </c>
      <c r="F12136" t="s">
        <v>32606</v>
      </c>
      <c r="G12136" t="s">
        <v>32613</v>
      </c>
      <c r="H12136" t="s">
        <v>14201</v>
      </c>
      <c r="I12136" t="s">
        <v>32633</v>
      </c>
      <c r="J12136" t="s">
        <v>40297</v>
      </c>
      <c r="K12136" t="s">
        <v>42631</v>
      </c>
      <c r="N12136" t="s">
        <v>47304</v>
      </c>
      <c r="O12136" t="s">
        <v>47305</v>
      </c>
      <c r="P12136">
        <v>0</v>
      </c>
      <c r="Q12136">
        <v>5</v>
      </c>
      <c r="R12136" t="s">
        <v>47318</v>
      </c>
      <c r="S12136" t="s">
        <v>47736</v>
      </c>
      <c r="T12136" t="s">
        <v>48986</v>
      </c>
      <c r="U12136" t="s">
        <v>59566</v>
      </c>
      <c r="V12136" t="s">
        <v>63955</v>
      </c>
      <c r="W12136" t="s">
        <v>45641</v>
      </c>
      <c r="X12136" t="s">
        <v>47319</v>
      </c>
    </row>
    <row r="12137" spans="1:24">
      <c r="A12137">
        <f>HYPERLINK("https://www.philgeps.gov.ph/GEPSNONPILOT/Tender/SplashBidNoticeAbstractUI.aspx?menuIndex=3&amp;refID=7175666&amp;Result=3","7175666")</f>
        <v>0</v>
      </c>
      <c r="B12137" t="s">
        <v>477</v>
      </c>
      <c r="C12137" t="s">
        <v>15328</v>
      </c>
      <c r="D12137" t="s">
        <v>19019</v>
      </c>
      <c r="E12137" t="s">
        <v>29405</v>
      </c>
      <c r="F12137" t="s">
        <v>32606</v>
      </c>
      <c r="G12137" t="s">
        <v>32613</v>
      </c>
      <c r="H12137" t="s">
        <v>14201</v>
      </c>
      <c r="I12137" t="s">
        <v>4678</v>
      </c>
      <c r="J12137" t="s">
        <v>32767</v>
      </c>
      <c r="K12137" t="s">
        <v>42631</v>
      </c>
      <c r="M12137" t="s">
        <v>43388</v>
      </c>
      <c r="N12137" t="s">
        <v>47304</v>
      </c>
      <c r="O12137" t="s">
        <v>47305</v>
      </c>
      <c r="P12137">
        <v>0</v>
      </c>
      <c r="Q12137">
        <v>5</v>
      </c>
      <c r="R12137" t="s">
        <v>47318</v>
      </c>
      <c r="S12137" t="s">
        <v>47736</v>
      </c>
      <c r="T12137" t="s">
        <v>49052</v>
      </c>
      <c r="U12137" t="s">
        <v>59567</v>
      </c>
      <c r="W12137" t="s">
        <v>43388</v>
      </c>
      <c r="X12137" t="s">
        <v>47319</v>
      </c>
    </row>
    <row r="12138" spans="1:24">
      <c r="A12138">
        <f>HYPERLINK("https://www.philgeps.gov.ph/GEPSNONPILOT/Tender/SplashBidNoticeAbstractUI.aspx?menuIndex=3&amp;refID=7175780&amp;Result=3","7175780")</f>
        <v>0</v>
      </c>
      <c r="B12138" t="s">
        <v>3428</v>
      </c>
      <c r="C12138" t="s">
        <v>15329</v>
      </c>
      <c r="D12138" t="s">
        <v>19011</v>
      </c>
      <c r="E12138" t="s">
        <v>29406</v>
      </c>
      <c r="F12138" t="s">
        <v>32606</v>
      </c>
      <c r="G12138" t="s">
        <v>32613</v>
      </c>
      <c r="H12138" t="s">
        <v>14201</v>
      </c>
      <c r="I12138" t="s">
        <v>6931</v>
      </c>
      <c r="J12138" t="s">
        <v>40298</v>
      </c>
      <c r="K12138" t="s">
        <v>42622</v>
      </c>
      <c r="M12138" t="s">
        <v>46685</v>
      </c>
      <c r="N12138" t="s">
        <v>47304</v>
      </c>
      <c r="O12138" t="s">
        <v>47305</v>
      </c>
      <c r="P12138">
        <v>0</v>
      </c>
      <c r="Q12138">
        <v>2</v>
      </c>
      <c r="R12138" t="s">
        <v>47318</v>
      </c>
      <c r="S12138" t="s">
        <v>47736</v>
      </c>
      <c r="T12138" t="s">
        <v>48989</v>
      </c>
      <c r="U12138" t="s">
        <v>59568</v>
      </c>
      <c r="W12138" t="s">
        <v>46685</v>
      </c>
      <c r="X12138" t="s">
        <v>47319</v>
      </c>
    </row>
    <row r="12139" spans="1:24">
      <c r="A12139">
        <f>HYPERLINK("https://www.philgeps.gov.ph/GEPSNONPILOT/Tender/SplashBidNoticeAbstractUI.aspx?menuIndex=3&amp;refID=7175634&amp;Result=3","7175634")</f>
        <v>0</v>
      </c>
      <c r="B12139" t="s">
        <v>1054</v>
      </c>
      <c r="C12139" t="s">
        <v>15330</v>
      </c>
      <c r="D12139" t="s">
        <v>19043</v>
      </c>
      <c r="E12139" t="s">
        <v>29407</v>
      </c>
      <c r="F12139" t="s">
        <v>32606</v>
      </c>
      <c r="G12139" t="s">
        <v>32613</v>
      </c>
      <c r="H12139" t="s">
        <v>32623</v>
      </c>
      <c r="I12139" t="s">
        <v>17648</v>
      </c>
      <c r="J12139" t="s">
        <v>40299</v>
      </c>
      <c r="K12139" t="s">
        <v>42682</v>
      </c>
      <c r="M12139" t="s">
        <v>44007</v>
      </c>
      <c r="N12139" t="s">
        <v>47304</v>
      </c>
      <c r="O12139" t="s">
        <v>47305</v>
      </c>
      <c r="Q12139">
        <v>0</v>
      </c>
      <c r="R12139" t="s">
        <v>47318</v>
      </c>
      <c r="S12139" t="s">
        <v>47760</v>
      </c>
      <c r="T12139" t="s">
        <v>48977</v>
      </c>
      <c r="U12139" t="s">
        <v>59569</v>
      </c>
      <c r="W12139" t="s">
        <v>44007</v>
      </c>
      <c r="X12139" t="s">
        <v>47319</v>
      </c>
    </row>
    <row r="12140" spans="1:24">
      <c r="A12140">
        <f>HYPERLINK("https://www.philgeps.gov.ph/GEPSNONPILOT/Tender/SplashBidNoticeAbstractUI.aspx?menuIndex=3&amp;refID=7175773&amp;Result=3","7175773")</f>
        <v>0</v>
      </c>
      <c r="B12140" t="s">
        <v>2155</v>
      </c>
      <c r="C12140" t="s">
        <v>15331</v>
      </c>
      <c r="D12140" t="s">
        <v>19011</v>
      </c>
      <c r="E12140" t="s">
        <v>29408</v>
      </c>
      <c r="F12140" t="s">
        <v>32606</v>
      </c>
      <c r="G12140" t="s">
        <v>32613</v>
      </c>
      <c r="H12140" t="s">
        <v>14201</v>
      </c>
      <c r="I12140" t="s">
        <v>32662</v>
      </c>
      <c r="J12140" t="s">
        <v>40300</v>
      </c>
      <c r="K12140" t="s">
        <v>42639</v>
      </c>
      <c r="M12140" t="s">
        <v>45246</v>
      </c>
      <c r="N12140" t="s">
        <v>47304</v>
      </c>
      <c r="O12140" t="s">
        <v>47305</v>
      </c>
      <c r="P12140">
        <v>0</v>
      </c>
      <c r="Q12140">
        <v>16</v>
      </c>
      <c r="R12140" t="s">
        <v>47318</v>
      </c>
      <c r="S12140" t="s">
        <v>47736</v>
      </c>
      <c r="T12140" t="s">
        <v>49052</v>
      </c>
      <c r="U12140" t="s">
        <v>59570</v>
      </c>
      <c r="V12140" t="s">
        <v>63264</v>
      </c>
      <c r="W12140" t="s">
        <v>45246</v>
      </c>
      <c r="X12140" t="s">
        <v>47319</v>
      </c>
    </row>
    <row r="12141" spans="1:24">
      <c r="A12141">
        <f>HYPERLINK("https://www.philgeps.gov.ph/GEPSNONPILOT/Tender/SplashBidNoticeAbstractUI.aspx?menuIndex=3&amp;refID=7175819&amp;Result=3","7175819")</f>
        <v>0</v>
      </c>
      <c r="B12141" t="s">
        <v>2995</v>
      </c>
      <c r="C12141" t="s">
        <v>15332</v>
      </c>
      <c r="D12141" t="s">
        <v>18987</v>
      </c>
      <c r="E12141" t="s">
        <v>29409</v>
      </c>
      <c r="F12141" t="s">
        <v>32606</v>
      </c>
      <c r="G12141" t="s">
        <v>32613</v>
      </c>
      <c r="H12141" t="s">
        <v>32623</v>
      </c>
      <c r="I12141" t="s">
        <v>17648</v>
      </c>
      <c r="J12141" t="s">
        <v>32769</v>
      </c>
      <c r="K12141" t="s">
        <v>42676</v>
      </c>
      <c r="M12141" t="s">
        <v>46183</v>
      </c>
      <c r="N12141" t="s">
        <v>47304</v>
      </c>
      <c r="O12141" t="s">
        <v>47305</v>
      </c>
      <c r="P12141">
        <v>0</v>
      </c>
      <c r="Q12141">
        <v>2</v>
      </c>
      <c r="R12141" t="s">
        <v>47318</v>
      </c>
      <c r="S12141" t="s">
        <v>47736</v>
      </c>
      <c r="T12141" t="s">
        <v>49075</v>
      </c>
      <c r="U12141" t="s">
        <v>59571</v>
      </c>
      <c r="W12141" t="s">
        <v>46183</v>
      </c>
      <c r="X12141" t="s">
        <v>47319</v>
      </c>
    </row>
    <row r="12142" spans="1:24">
      <c r="A12142">
        <f>HYPERLINK("https://www.philgeps.gov.ph/GEPSNONPILOT/Tender/SplashBidNoticeAbstractUI.aspx?menuIndex=3&amp;refID=7175809&amp;Result=3","7175809")</f>
        <v>0</v>
      </c>
      <c r="B12142" t="s">
        <v>909</v>
      </c>
      <c r="C12142" t="s">
        <v>15333</v>
      </c>
      <c r="E12142" t="s">
        <v>29410</v>
      </c>
      <c r="F12142" t="s">
        <v>32609</v>
      </c>
      <c r="G12142" t="s">
        <v>32619</v>
      </c>
      <c r="H12142" t="s">
        <v>14201</v>
      </c>
      <c r="I12142" t="s">
        <v>32724</v>
      </c>
      <c r="J12142" t="s">
        <v>40301</v>
      </c>
      <c r="K12142" t="s">
        <v>42624</v>
      </c>
      <c r="M12142" t="s">
        <v>46686</v>
      </c>
      <c r="N12142" t="s">
        <v>47304</v>
      </c>
      <c r="O12142" t="s">
        <v>47305</v>
      </c>
      <c r="Q12142">
        <v>0</v>
      </c>
      <c r="R12142" t="s">
        <v>47318</v>
      </c>
      <c r="S12142" t="s">
        <v>47761</v>
      </c>
      <c r="T12142" t="s">
        <v>49004</v>
      </c>
      <c r="U12142" t="s">
        <v>59572</v>
      </c>
      <c r="W12142" t="s">
        <v>46686</v>
      </c>
      <c r="X12142" t="s">
        <v>47319</v>
      </c>
    </row>
    <row r="12143" spans="1:24">
      <c r="A12143">
        <f>HYPERLINK("https://www.philgeps.gov.ph/GEPSNONPILOT/Tender/SplashBidNoticeAbstractUI.aspx?menuIndex=3&amp;refID=7175795&amp;Result=3","7175795")</f>
        <v>0</v>
      </c>
      <c r="B12143" t="s">
        <v>3429</v>
      </c>
      <c r="C12143" t="s">
        <v>15334</v>
      </c>
      <c r="D12143" t="s">
        <v>19038</v>
      </c>
      <c r="F12143" t="s">
        <v>32606</v>
      </c>
      <c r="G12143" t="s">
        <v>32613</v>
      </c>
      <c r="H12143" t="s">
        <v>14201</v>
      </c>
      <c r="I12143" t="s">
        <v>6931</v>
      </c>
      <c r="J12143" t="s">
        <v>32820</v>
      </c>
      <c r="K12143" t="s">
        <v>42624</v>
      </c>
      <c r="M12143" t="s">
        <v>46687</v>
      </c>
      <c r="N12143" t="s">
        <v>47304</v>
      </c>
      <c r="O12143" t="s">
        <v>47305</v>
      </c>
      <c r="P12143">
        <v>0</v>
      </c>
      <c r="Q12143">
        <v>0</v>
      </c>
      <c r="R12143" t="s">
        <v>47318</v>
      </c>
      <c r="S12143" t="s">
        <v>47736</v>
      </c>
      <c r="T12143" t="s">
        <v>49010</v>
      </c>
      <c r="U12143" t="s">
        <v>59573</v>
      </c>
      <c r="W12143" t="s">
        <v>46687</v>
      </c>
      <c r="X12143" t="s">
        <v>47319</v>
      </c>
    </row>
    <row r="12144" spans="1:24">
      <c r="A12144">
        <f>HYPERLINK("https://www.philgeps.gov.ph/GEPSNONPILOT/Tender/SplashBidNoticeAbstractUI.aspx?menuIndex=3&amp;refID=7175781&amp;Result=3","7175781")</f>
        <v>0</v>
      </c>
      <c r="B12144" t="s">
        <v>3430</v>
      </c>
      <c r="C12144" t="s">
        <v>12997</v>
      </c>
      <c r="D12144" t="s">
        <v>19006</v>
      </c>
      <c r="E12144" t="s">
        <v>29411</v>
      </c>
      <c r="F12144" t="s">
        <v>32606</v>
      </c>
      <c r="G12144" t="s">
        <v>32613</v>
      </c>
      <c r="H12144" t="s">
        <v>32623</v>
      </c>
      <c r="I12144" t="s">
        <v>17648</v>
      </c>
      <c r="J12144" t="s">
        <v>32765</v>
      </c>
      <c r="K12144" t="s">
        <v>42623</v>
      </c>
      <c r="M12144" t="s">
        <v>46688</v>
      </c>
      <c r="N12144" t="s">
        <v>47304</v>
      </c>
      <c r="O12144" t="s">
        <v>47305</v>
      </c>
      <c r="P12144">
        <v>0</v>
      </c>
      <c r="Q12144">
        <v>2</v>
      </c>
      <c r="R12144" t="s">
        <v>47318</v>
      </c>
      <c r="S12144" t="s">
        <v>47736</v>
      </c>
      <c r="T12144" t="s">
        <v>49223</v>
      </c>
      <c r="U12144" t="s">
        <v>59574</v>
      </c>
      <c r="V12144" t="s">
        <v>63956</v>
      </c>
      <c r="W12144" t="s">
        <v>46688</v>
      </c>
      <c r="X12144" t="s">
        <v>47319</v>
      </c>
    </row>
    <row r="12145" spans="1:24">
      <c r="A12145">
        <f>HYPERLINK("https://www.philgeps.gov.ph/GEPSNONPILOT/Tender/SplashBidNoticeAbstractUI.aspx?menuIndex=3&amp;refID=7175573&amp;Result=3","7175573")</f>
        <v>0</v>
      </c>
      <c r="B12145" t="s">
        <v>439</v>
      </c>
      <c r="C12145" t="s">
        <v>15335</v>
      </c>
      <c r="D12145" t="s">
        <v>19054</v>
      </c>
      <c r="E12145" t="s">
        <v>29412</v>
      </c>
      <c r="F12145" t="s">
        <v>32606</v>
      </c>
      <c r="G12145" t="s">
        <v>32613</v>
      </c>
      <c r="H12145" t="s">
        <v>32623</v>
      </c>
      <c r="I12145" t="s">
        <v>17648</v>
      </c>
      <c r="J12145" t="s">
        <v>40302</v>
      </c>
      <c r="K12145" t="s">
        <v>42631</v>
      </c>
      <c r="M12145" t="s">
        <v>45807</v>
      </c>
      <c r="N12145" t="s">
        <v>47304</v>
      </c>
      <c r="O12145" t="s">
        <v>47305</v>
      </c>
      <c r="P12145">
        <v>0</v>
      </c>
      <c r="Q12145">
        <v>0</v>
      </c>
      <c r="R12145" t="s">
        <v>47318</v>
      </c>
      <c r="S12145" t="s">
        <v>47736</v>
      </c>
      <c r="T12145" t="s">
        <v>49140</v>
      </c>
      <c r="U12145" t="s">
        <v>59575</v>
      </c>
      <c r="W12145" t="s">
        <v>45807</v>
      </c>
      <c r="X12145" t="s">
        <v>47319</v>
      </c>
    </row>
    <row r="12146" spans="1:24">
      <c r="A12146">
        <f>HYPERLINK("https://www.philgeps.gov.ph/GEPSNONPILOT/Tender/SplashBidNoticeAbstractUI.aspx?menuIndex=3&amp;refID=7175772&amp;Result=3","7175772")</f>
        <v>0</v>
      </c>
      <c r="B12146" t="s">
        <v>751</v>
      </c>
      <c r="C12146" t="s">
        <v>15336</v>
      </c>
      <c r="D12146" t="s">
        <v>18995</v>
      </c>
      <c r="E12146" t="s">
        <v>29413</v>
      </c>
      <c r="F12146" t="s">
        <v>32606</v>
      </c>
      <c r="G12146" t="s">
        <v>32613</v>
      </c>
      <c r="H12146" t="s">
        <v>32623</v>
      </c>
      <c r="I12146" t="s">
        <v>17648</v>
      </c>
      <c r="J12146" t="s">
        <v>32778</v>
      </c>
      <c r="K12146" t="s">
        <v>42738</v>
      </c>
      <c r="M12146" t="s">
        <v>43674</v>
      </c>
      <c r="N12146" t="s">
        <v>47304</v>
      </c>
      <c r="O12146" t="s">
        <v>47305</v>
      </c>
      <c r="P12146">
        <v>0</v>
      </c>
      <c r="Q12146">
        <v>0</v>
      </c>
      <c r="R12146" t="s">
        <v>47318</v>
      </c>
      <c r="S12146" t="s">
        <v>47736</v>
      </c>
      <c r="T12146" t="s">
        <v>48994</v>
      </c>
      <c r="U12146" t="s">
        <v>59576</v>
      </c>
      <c r="W12146" t="s">
        <v>43674</v>
      </c>
      <c r="X12146" t="s">
        <v>47319</v>
      </c>
    </row>
    <row r="12147" spans="1:24">
      <c r="A12147">
        <f>HYPERLINK("https://www.philgeps.gov.ph/GEPSNONPILOT/Tender/SplashBidNoticeAbstractUI.aspx?menuIndex=3&amp;refID=7175759&amp;Result=3","7175759")</f>
        <v>0</v>
      </c>
      <c r="B12147" t="s">
        <v>3431</v>
      </c>
      <c r="C12147" t="s">
        <v>15337</v>
      </c>
      <c r="D12147" t="s">
        <v>19001</v>
      </c>
      <c r="E12147" t="s">
        <v>29414</v>
      </c>
      <c r="F12147" t="s">
        <v>32606</v>
      </c>
      <c r="G12147" t="s">
        <v>32613</v>
      </c>
      <c r="H12147" t="s">
        <v>32623</v>
      </c>
      <c r="I12147" t="s">
        <v>17648</v>
      </c>
      <c r="J12147" t="s">
        <v>33383</v>
      </c>
      <c r="K12147" t="s">
        <v>42648</v>
      </c>
      <c r="M12147" t="s">
        <v>46689</v>
      </c>
      <c r="N12147" t="s">
        <v>47304</v>
      </c>
      <c r="O12147" t="s">
        <v>47305</v>
      </c>
      <c r="P12147">
        <v>0</v>
      </c>
      <c r="Q12147">
        <v>5</v>
      </c>
      <c r="R12147" t="s">
        <v>47318</v>
      </c>
      <c r="S12147" t="s">
        <v>47736</v>
      </c>
      <c r="T12147" t="s">
        <v>49107</v>
      </c>
      <c r="U12147" t="s">
        <v>59577</v>
      </c>
      <c r="W12147" t="s">
        <v>46689</v>
      </c>
      <c r="X12147" t="s">
        <v>47319</v>
      </c>
    </row>
    <row r="12148" spans="1:24">
      <c r="A12148">
        <f>HYPERLINK("https://www.philgeps.gov.ph/GEPSNONPILOT/Tender/SplashBidNoticeAbstractUI.aspx?menuIndex=3&amp;refID=7175604&amp;Result=3","7175604")</f>
        <v>0</v>
      </c>
      <c r="B12148" t="s">
        <v>3432</v>
      </c>
      <c r="C12148" t="s">
        <v>15338</v>
      </c>
      <c r="D12148" t="s">
        <v>19022</v>
      </c>
      <c r="E12148" t="s">
        <v>29415</v>
      </c>
      <c r="F12148" t="s">
        <v>32606</v>
      </c>
      <c r="G12148" t="s">
        <v>32613</v>
      </c>
      <c r="H12148" t="s">
        <v>14201</v>
      </c>
      <c r="I12148" t="s">
        <v>32626</v>
      </c>
      <c r="J12148" t="s">
        <v>32790</v>
      </c>
      <c r="K12148" t="s">
        <v>42639</v>
      </c>
      <c r="M12148" t="s">
        <v>46690</v>
      </c>
      <c r="N12148" t="s">
        <v>47304</v>
      </c>
      <c r="O12148" t="s">
        <v>47305</v>
      </c>
      <c r="P12148">
        <v>0</v>
      </c>
      <c r="Q12148">
        <v>8</v>
      </c>
      <c r="R12148" t="s">
        <v>47318</v>
      </c>
      <c r="S12148" t="s">
        <v>47736</v>
      </c>
      <c r="T12148" t="s">
        <v>48971</v>
      </c>
      <c r="U12148" t="s">
        <v>59578</v>
      </c>
      <c r="W12148" t="s">
        <v>46690</v>
      </c>
      <c r="X12148" t="s">
        <v>47319</v>
      </c>
    </row>
    <row r="12149" spans="1:24">
      <c r="A12149">
        <f>HYPERLINK("https://www.philgeps.gov.ph/GEPSNONPILOT/Tender/SplashBidNoticeAbstractUI.aspx?menuIndex=3&amp;refID=7175799&amp;Result=3","7175799")</f>
        <v>0</v>
      </c>
      <c r="B12149" t="s">
        <v>3425</v>
      </c>
      <c r="C12149" t="s">
        <v>15339</v>
      </c>
      <c r="D12149" t="s">
        <v>19034</v>
      </c>
      <c r="E12149" t="s">
        <v>29382</v>
      </c>
      <c r="F12149" t="s">
        <v>32606</v>
      </c>
      <c r="G12149" t="s">
        <v>32613</v>
      </c>
      <c r="H12149" t="s">
        <v>14201</v>
      </c>
      <c r="I12149" t="s">
        <v>32695</v>
      </c>
      <c r="J12149" t="s">
        <v>40303</v>
      </c>
      <c r="K12149" t="s">
        <v>42630</v>
      </c>
      <c r="M12149" t="s">
        <v>46682</v>
      </c>
      <c r="N12149" t="s">
        <v>47304</v>
      </c>
      <c r="O12149" t="s">
        <v>47305</v>
      </c>
      <c r="P12149">
        <v>0</v>
      </c>
      <c r="Q12149">
        <v>0</v>
      </c>
      <c r="R12149" t="s">
        <v>47318</v>
      </c>
      <c r="S12149" t="s">
        <v>47736</v>
      </c>
      <c r="T12149" t="s">
        <v>49100</v>
      </c>
      <c r="U12149" t="s">
        <v>59542</v>
      </c>
      <c r="W12149" t="s">
        <v>46682</v>
      </c>
      <c r="X12149" t="s">
        <v>47319</v>
      </c>
    </row>
    <row r="12150" spans="1:24">
      <c r="A12150">
        <f>HYPERLINK("https://www.philgeps.gov.ph/GEPSNONPILOT/Tender/SplashBidNoticeAbstractUI.aspx?menuIndex=3&amp;refID=7175742&amp;Result=3","7175742")</f>
        <v>0</v>
      </c>
      <c r="B12150" t="s">
        <v>618</v>
      </c>
      <c r="C12150" t="s">
        <v>15340</v>
      </c>
      <c r="D12150" t="s">
        <v>19066</v>
      </c>
      <c r="E12150" t="s">
        <v>29416</v>
      </c>
      <c r="F12150" t="s">
        <v>32606</v>
      </c>
      <c r="G12150" t="s">
        <v>32613</v>
      </c>
      <c r="H12150" t="s">
        <v>14201</v>
      </c>
      <c r="I12150" t="s">
        <v>4678</v>
      </c>
      <c r="J12150" t="s">
        <v>40304</v>
      </c>
      <c r="K12150" t="s">
        <v>42631</v>
      </c>
      <c r="M12150" t="s">
        <v>43536</v>
      </c>
      <c r="N12150" t="s">
        <v>47304</v>
      </c>
      <c r="O12150" t="s">
        <v>47305</v>
      </c>
      <c r="Q12150">
        <v>5</v>
      </c>
      <c r="R12150" t="s">
        <v>47318</v>
      </c>
      <c r="S12150" t="s">
        <v>47762</v>
      </c>
      <c r="T12150" t="s">
        <v>49023</v>
      </c>
      <c r="U12150" t="s">
        <v>59579</v>
      </c>
      <c r="W12150" t="s">
        <v>43536</v>
      </c>
      <c r="X12150" t="s">
        <v>47319</v>
      </c>
    </row>
    <row r="12151" spans="1:24">
      <c r="A12151">
        <f>HYPERLINK("https://www.philgeps.gov.ph/GEPSNONPILOT/Tender/SplashBidNoticeAbstractUI.aspx?menuIndex=3&amp;refID=7175788&amp;Result=3","7175788")</f>
        <v>0</v>
      </c>
      <c r="B12151" t="s">
        <v>3433</v>
      </c>
      <c r="C12151" t="s">
        <v>15341</v>
      </c>
      <c r="D12151" t="s">
        <v>19011</v>
      </c>
      <c r="E12151" t="s">
        <v>29417</v>
      </c>
      <c r="F12151" t="s">
        <v>32606</v>
      </c>
      <c r="G12151" t="s">
        <v>32613</v>
      </c>
      <c r="H12151" t="s">
        <v>14201</v>
      </c>
      <c r="I12151" t="s">
        <v>7064</v>
      </c>
      <c r="J12151" t="s">
        <v>40305</v>
      </c>
      <c r="K12151" t="s">
        <v>42631</v>
      </c>
      <c r="M12151" t="s">
        <v>46691</v>
      </c>
      <c r="N12151" t="s">
        <v>47304</v>
      </c>
      <c r="O12151" t="s">
        <v>47305</v>
      </c>
      <c r="P12151">
        <v>0</v>
      </c>
      <c r="Q12151">
        <v>3</v>
      </c>
      <c r="R12151" t="s">
        <v>47318</v>
      </c>
      <c r="S12151" t="s">
        <v>47736</v>
      </c>
      <c r="T12151" t="s">
        <v>48976</v>
      </c>
      <c r="U12151" t="s">
        <v>59580</v>
      </c>
      <c r="W12151" t="s">
        <v>46691</v>
      </c>
      <c r="X12151" t="s">
        <v>47319</v>
      </c>
    </row>
    <row r="12152" spans="1:24">
      <c r="A12152">
        <f>HYPERLINK("https://www.philgeps.gov.ph/GEPSNONPILOT/Tender/SplashBidNoticeAbstractUI.aspx?menuIndex=3&amp;refID=7175681&amp;Result=3","7175681")</f>
        <v>0</v>
      </c>
      <c r="B12152" t="s">
        <v>2810</v>
      </c>
      <c r="C12152" t="s">
        <v>11857</v>
      </c>
      <c r="D12152" t="s">
        <v>19037</v>
      </c>
      <c r="E12152" t="s">
        <v>26873</v>
      </c>
      <c r="F12152" t="s">
        <v>32606</v>
      </c>
      <c r="G12152" t="s">
        <v>32613</v>
      </c>
      <c r="H12152" t="s">
        <v>32623</v>
      </c>
      <c r="I12152" t="s">
        <v>17648</v>
      </c>
      <c r="J12152" t="s">
        <v>40306</v>
      </c>
      <c r="K12152" t="s">
        <v>42717</v>
      </c>
      <c r="M12152" t="s">
        <v>45973</v>
      </c>
      <c r="N12152" t="s">
        <v>47304</v>
      </c>
      <c r="O12152" t="s">
        <v>47305</v>
      </c>
      <c r="P12152">
        <v>0</v>
      </c>
      <c r="Q12152">
        <v>3</v>
      </c>
      <c r="R12152" t="s">
        <v>47318</v>
      </c>
      <c r="S12152" t="s">
        <v>47736</v>
      </c>
      <c r="T12152" t="s">
        <v>49261</v>
      </c>
      <c r="U12152" t="s">
        <v>59581</v>
      </c>
      <c r="W12152" t="s">
        <v>45973</v>
      </c>
      <c r="X12152" t="s">
        <v>47319</v>
      </c>
    </row>
    <row r="12153" spans="1:24">
      <c r="A12153">
        <f>HYPERLINK("https://www.philgeps.gov.ph/GEPSNONPILOT/Tender/SplashBidNoticeAbstractUI.aspx?menuIndex=3&amp;refID=7175676&amp;Result=3","7175676")</f>
        <v>0</v>
      </c>
      <c r="B12153" t="s">
        <v>701</v>
      </c>
      <c r="C12153" t="s">
        <v>15342</v>
      </c>
      <c r="D12153" t="s">
        <v>19015</v>
      </c>
      <c r="E12153" t="s">
        <v>29418</v>
      </c>
      <c r="F12153" t="s">
        <v>32606</v>
      </c>
      <c r="G12153" t="s">
        <v>32613</v>
      </c>
      <c r="H12153" t="s">
        <v>14201</v>
      </c>
      <c r="I12153" t="s">
        <v>32635</v>
      </c>
      <c r="J12153" t="s">
        <v>40307</v>
      </c>
      <c r="K12153" t="s">
        <v>42677</v>
      </c>
      <c r="M12153" t="s">
        <v>43622</v>
      </c>
      <c r="N12153" t="s">
        <v>47304</v>
      </c>
      <c r="O12153" t="s">
        <v>47305</v>
      </c>
      <c r="Q12153">
        <v>4</v>
      </c>
      <c r="R12153" t="s">
        <v>47318</v>
      </c>
      <c r="S12153" t="s">
        <v>47763</v>
      </c>
      <c r="T12153" t="s">
        <v>49023</v>
      </c>
      <c r="U12153" t="s">
        <v>59582</v>
      </c>
      <c r="W12153" t="s">
        <v>43622</v>
      </c>
      <c r="X12153" t="s">
        <v>47319</v>
      </c>
    </row>
    <row r="12154" spans="1:24">
      <c r="A12154">
        <f>HYPERLINK("https://www.philgeps.gov.ph/GEPSNONPILOT/Tender/SplashBidNoticeAbstractUI.aspx?menuIndex=3&amp;refID=7175689&amp;Result=3","7175689")</f>
        <v>0</v>
      </c>
      <c r="B12154" t="s">
        <v>751</v>
      </c>
      <c r="C12154" t="s">
        <v>15343</v>
      </c>
      <c r="D12154" t="s">
        <v>18995</v>
      </c>
      <c r="E12154" t="s">
        <v>29419</v>
      </c>
      <c r="F12154" t="s">
        <v>32606</v>
      </c>
      <c r="G12154" t="s">
        <v>32613</v>
      </c>
      <c r="H12154" t="s">
        <v>32623</v>
      </c>
      <c r="I12154" t="s">
        <v>17648</v>
      </c>
      <c r="J12154" t="s">
        <v>32770</v>
      </c>
      <c r="K12154" t="s">
        <v>42694</v>
      </c>
      <c r="M12154" t="s">
        <v>43674</v>
      </c>
      <c r="N12154" t="s">
        <v>47304</v>
      </c>
      <c r="O12154" t="s">
        <v>47305</v>
      </c>
      <c r="P12154">
        <v>0</v>
      </c>
      <c r="Q12154">
        <v>1</v>
      </c>
      <c r="R12154" t="s">
        <v>47318</v>
      </c>
      <c r="S12154" t="s">
        <v>47736</v>
      </c>
      <c r="T12154" t="s">
        <v>48994</v>
      </c>
      <c r="U12154" t="s">
        <v>59583</v>
      </c>
      <c r="W12154" t="s">
        <v>43674</v>
      </c>
      <c r="X12154" t="s">
        <v>47319</v>
      </c>
    </row>
    <row r="12155" spans="1:24">
      <c r="A12155">
        <f>HYPERLINK("https://www.philgeps.gov.ph/GEPSNONPILOT/Tender/SplashBidNoticeAbstractUI.aspx?menuIndex=3&amp;refID=7175760&amp;Result=3","7175760")</f>
        <v>0</v>
      </c>
      <c r="B12155" t="s">
        <v>1014</v>
      </c>
      <c r="C12155" t="s">
        <v>15344</v>
      </c>
      <c r="D12155" t="s">
        <v>19005</v>
      </c>
      <c r="E12155" t="s">
        <v>29420</v>
      </c>
      <c r="F12155" t="s">
        <v>32606</v>
      </c>
      <c r="G12155" t="s">
        <v>32614</v>
      </c>
      <c r="H12155" t="s">
        <v>14201</v>
      </c>
      <c r="I12155" t="s">
        <v>4112</v>
      </c>
      <c r="J12155" t="s">
        <v>32759</v>
      </c>
      <c r="K12155" t="s">
        <v>42646</v>
      </c>
      <c r="M12155" t="s">
        <v>46082</v>
      </c>
      <c r="N12155" t="s">
        <v>47304</v>
      </c>
      <c r="O12155" t="s">
        <v>47305</v>
      </c>
      <c r="Q12155">
        <v>4</v>
      </c>
      <c r="R12155" t="s">
        <v>47318</v>
      </c>
      <c r="S12155" t="s">
        <v>47764</v>
      </c>
      <c r="T12155" t="s">
        <v>49019</v>
      </c>
      <c r="U12155" t="s">
        <v>59584</v>
      </c>
      <c r="W12155" t="s">
        <v>46082</v>
      </c>
      <c r="X12155" t="s">
        <v>47319</v>
      </c>
    </row>
    <row r="12156" spans="1:24">
      <c r="A12156">
        <f>HYPERLINK("https://www.philgeps.gov.ph/GEPSNONPILOT/Tender/SplashBidNoticeAbstractUI.aspx?menuIndex=3&amp;refID=7175708&amp;Result=3","7175708")</f>
        <v>0</v>
      </c>
      <c r="B12156" t="s">
        <v>3425</v>
      </c>
      <c r="C12156" t="s">
        <v>15345</v>
      </c>
      <c r="D12156" t="s">
        <v>19034</v>
      </c>
      <c r="E12156" t="s">
        <v>29382</v>
      </c>
      <c r="F12156" t="s">
        <v>32606</v>
      </c>
      <c r="G12156" t="s">
        <v>32614</v>
      </c>
      <c r="H12156" t="s">
        <v>14201</v>
      </c>
      <c r="I12156" t="s">
        <v>32651</v>
      </c>
      <c r="J12156" t="s">
        <v>34321</v>
      </c>
      <c r="K12156" t="s">
        <v>42630</v>
      </c>
      <c r="M12156" t="s">
        <v>46682</v>
      </c>
      <c r="N12156" t="s">
        <v>47304</v>
      </c>
      <c r="O12156" t="s">
        <v>47305</v>
      </c>
      <c r="P12156">
        <v>0</v>
      </c>
      <c r="Q12156">
        <v>0</v>
      </c>
      <c r="R12156" t="s">
        <v>47318</v>
      </c>
      <c r="S12156" t="s">
        <v>47736</v>
      </c>
      <c r="T12156" t="s">
        <v>48975</v>
      </c>
      <c r="U12156" t="s">
        <v>59542</v>
      </c>
      <c r="W12156" t="s">
        <v>46682</v>
      </c>
      <c r="X12156" t="s">
        <v>47319</v>
      </c>
    </row>
    <row r="12157" spans="1:24">
      <c r="A12157">
        <f>HYPERLINK("https://www.philgeps.gov.ph/GEPSNONPILOT/Tender/SplashBidNoticeAbstractUI.aspx?menuIndex=3&amp;refID=7175506&amp;Result=3","7175506")</f>
        <v>0</v>
      </c>
      <c r="B12157" t="s">
        <v>3425</v>
      </c>
      <c r="C12157" t="s">
        <v>15346</v>
      </c>
      <c r="D12157" t="s">
        <v>19034</v>
      </c>
      <c r="E12157" t="s">
        <v>29382</v>
      </c>
      <c r="F12157" t="s">
        <v>32606</v>
      </c>
      <c r="G12157" t="s">
        <v>32614</v>
      </c>
      <c r="H12157" t="s">
        <v>14201</v>
      </c>
      <c r="I12157" t="s">
        <v>6309</v>
      </c>
      <c r="J12157" t="s">
        <v>35542</v>
      </c>
      <c r="K12157" t="s">
        <v>42630</v>
      </c>
      <c r="M12157" t="s">
        <v>46682</v>
      </c>
      <c r="N12157" t="s">
        <v>47304</v>
      </c>
      <c r="O12157" t="s">
        <v>47305</v>
      </c>
      <c r="P12157">
        <v>0</v>
      </c>
      <c r="Q12157">
        <v>2</v>
      </c>
      <c r="R12157" t="s">
        <v>47318</v>
      </c>
      <c r="S12157" t="s">
        <v>47736</v>
      </c>
      <c r="T12157" t="s">
        <v>49117</v>
      </c>
      <c r="U12157" t="s">
        <v>59542</v>
      </c>
      <c r="W12157" t="s">
        <v>46682</v>
      </c>
      <c r="X12157" t="s">
        <v>47319</v>
      </c>
    </row>
    <row r="12158" spans="1:24">
      <c r="A12158">
        <f>HYPERLINK("https://www.philgeps.gov.ph/GEPSNONPILOT/Tender/SplashBidNoticeAbstractUI.aspx?menuIndex=3&amp;refID=7175972&amp;Result=3","7175972")</f>
        <v>0</v>
      </c>
      <c r="B12158" t="s">
        <v>1014</v>
      </c>
      <c r="C12158" t="s">
        <v>15347</v>
      </c>
      <c r="D12158" t="s">
        <v>19005</v>
      </c>
      <c r="E12158" t="s">
        <v>29421</v>
      </c>
      <c r="F12158" t="s">
        <v>32606</v>
      </c>
      <c r="G12158" t="s">
        <v>32614</v>
      </c>
      <c r="H12158" t="s">
        <v>14201</v>
      </c>
      <c r="I12158" t="s">
        <v>4112</v>
      </c>
      <c r="J12158" t="s">
        <v>39225</v>
      </c>
      <c r="K12158" t="s">
        <v>42646</v>
      </c>
      <c r="M12158" t="s">
        <v>46082</v>
      </c>
      <c r="N12158" t="s">
        <v>47304</v>
      </c>
      <c r="O12158" t="s">
        <v>47305</v>
      </c>
      <c r="Q12158">
        <v>4</v>
      </c>
      <c r="R12158" t="s">
        <v>47318</v>
      </c>
      <c r="S12158" t="s">
        <v>47765</v>
      </c>
      <c r="T12158" t="s">
        <v>49019</v>
      </c>
      <c r="U12158" t="s">
        <v>59585</v>
      </c>
      <c r="W12158" t="s">
        <v>46082</v>
      </c>
      <c r="X12158" t="s">
        <v>47319</v>
      </c>
    </row>
    <row r="12159" spans="1:24">
      <c r="A12159">
        <f>HYPERLINK("https://www.philgeps.gov.ph/GEPSNONPILOT/Tender/SplashBidNoticeAbstractUI.aspx?menuIndex=3&amp;refID=7175776&amp;Result=3","7175776")</f>
        <v>0</v>
      </c>
      <c r="B12159" t="s">
        <v>1091</v>
      </c>
      <c r="C12159" t="s">
        <v>15348</v>
      </c>
      <c r="D12159" t="s">
        <v>19008</v>
      </c>
      <c r="E12159" t="s">
        <v>29422</v>
      </c>
      <c r="F12159" t="s">
        <v>32606</v>
      </c>
      <c r="G12159" t="s">
        <v>32613</v>
      </c>
      <c r="H12159" t="s">
        <v>14201</v>
      </c>
      <c r="I12159" t="s">
        <v>32640</v>
      </c>
      <c r="J12159" t="s">
        <v>40308</v>
      </c>
      <c r="K12159" t="s">
        <v>42636</v>
      </c>
      <c r="M12159" t="s">
        <v>44047</v>
      </c>
      <c r="N12159" t="s">
        <v>47304</v>
      </c>
      <c r="O12159" t="s">
        <v>47305</v>
      </c>
      <c r="P12159">
        <v>0</v>
      </c>
      <c r="Q12159">
        <v>6</v>
      </c>
      <c r="R12159" t="s">
        <v>47318</v>
      </c>
      <c r="S12159" t="s">
        <v>47736</v>
      </c>
      <c r="T12159" t="s">
        <v>49066</v>
      </c>
      <c r="U12159" t="s">
        <v>50184</v>
      </c>
      <c r="W12159" t="s">
        <v>44047</v>
      </c>
      <c r="X12159" t="s">
        <v>47319</v>
      </c>
    </row>
    <row r="12160" spans="1:24">
      <c r="A12160">
        <f>HYPERLINK("https://www.philgeps.gov.ph/GEPSNONPILOT/Tender/SplashBidNoticeAbstractUI.aspx?menuIndex=3&amp;refID=7175952&amp;Result=3","7175952")</f>
        <v>0</v>
      </c>
      <c r="B12160" t="s">
        <v>3434</v>
      </c>
      <c r="C12160" t="s">
        <v>15349</v>
      </c>
      <c r="D12160" t="s">
        <v>19008</v>
      </c>
      <c r="E12160" t="s">
        <v>29423</v>
      </c>
      <c r="F12160" t="s">
        <v>32606</v>
      </c>
      <c r="G12160" t="s">
        <v>32613</v>
      </c>
      <c r="H12160" t="s">
        <v>14201</v>
      </c>
      <c r="I12160" t="s">
        <v>32661</v>
      </c>
      <c r="J12160" t="s">
        <v>32928</v>
      </c>
      <c r="K12160" t="s">
        <v>42631</v>
      </c>
      <c r="M12160" t="s">
        <v>46692</v>
      </c>
      <c r="N12160" t="s">
        <v>47304</v>
      </c>
      <c r="O12160" t="s">
        <v>47305</v>
      </c>
      <c r="P12160">
        <v>0</v>
      </c>
      <c r="Q12160">
        <v>9</v>
      </c>
      <c r="R12160" t="s">
        <v>47318</v>
      </c>
      <c r="S12160" t="s">
        <v>47736</v>
      </c>
      <c r="T12160" t="s">
        <v>49140</v>
      </c>
      <c r="U12160" t="s">
        <v>59586</v>
      </c>
      <c r="W12160" t="s">
        <v>46692</v>
      </c>
      <c r="X12160" t="s">
        <v>47319</v>
      </c>
    </row>
    <row r="12161" spans="1:24">
      <c r="A12161">
        <f>HYPERLINK("https://www.philgeps.gov.ph/GEPSNONPILOT/Tender/SplashBidNoticeAbstractUI.aspx?menuIndex=3&amp;refID=7175943&amp;Result=3","7175943")</f>
        <v>0</v>
      </c>
      <c r="B12161" t="s">
        <v>3435</v>
      </c>
      <c r="C12161" t="s">
        <v>15350</v>
      </c>
      <c r="D12161" t="s">
        <v>19000</v>
      </c>
      <c r="E12161" t="s">
        <v>29424</v>
      </c>
      <c r="F12161" t="s">
        <v>32606</v>
      </c>
      <c r="G12161" t="s">
        <v>32613</v>
      </c>
      <c r="H12161" t="s">
        <v>14201</v>
      </c>
      <c r="I12161" t="s">
        <v>32626</v>
      </c>
      <c r="J12161" t="s">
        <v>40309</v>
      </c>
      <c r="K12161" t="s">
        <v>42623</v>
      </c>
      <c r="M12161" t="s">
        <v>46693</v>
      </c>
      <c r="N12161" t="s">
        <v>47304</v>
      </c>
      <c r="O12161" t="s">
        <v>47305</v>
      </c>
      <c r="P12161">
        <v>0</v>
      </c>
      <c r="Q12161">
        <v>1</v>
      </c>
      <c r="R12161" t="s">
        <v>47318</v>
      </c>
      <c r="S12161" t="s">
        <v>47736</v>
      </c>
      <c r="T12161" t="s">
        <v>49103</v>
      </c>
      <c r="U12161" t="s">
        <v>59587</v>
      </c>
      <c r="V12161" t="s">
        <v>63957</v>
      </c>
      <c r="W12161" t="s">
        <v>64539</v>
      </c>
      <c r="X12161" t="s">
        <v>47319</v>
      </c>
    </row>
    <row r="12162" spans="1:24">
      <c r="A12162">
        <f>HYPERLINK("https://www.philgeps.gov.ph/GEPSNONPILOT/Tender/SplashBidNoticeAbstractUI.aspx?menuIndex=3&amp;refID=7175937&amp;Result=3","7175937")</f>
        <v>0</v>
      </c>
      <c r="B12162" t="s">
        <v>2198</v>
      </c>
      <c r="C12162" t="s">
        <v>15351</v>
      </c>
      <c r="D12162" t="s">
        <v>19008</v>
      </c>
      <c r="E12162" t="s">
        <v>29425</v>
      </c>
      <c r="F12162" t="s">
        <v>32606</v>
      </c>
      <c r="G12162" t="s">
        <v>32613</v>
      </c>
      <c r="H12162" t="s">
        <v>32623</v>
      </c>
      <c r="I12162" t="s">
        <v>17648</v>
      </c>
      <c r="J12162" t="s">
        <v>40310</v>
      </c>
      <c r="K12162" t="s">
        <v>42712</v>
      </c>
      <c r="M12162" t="s">
        <v>45298</v>
      </c>
      <c r="N12162" t="s">
        <v>47304</v>
      </c>
      <c r="O12162" t="s">
        <v>47305</v>
      </c>
      <c r="Q12162">
        <v>4</v>
      </c>
      <c r="R12162" t="s">
        <v>47318</v>
      </c>
      <c r="S12162" t="s">
        <v>47766</v>
      </c>
      <c r="T12162" t="s">
        <v>48986</v>
      </c>
      <c r="U12162" t="s">
        <v>59512</v>
      </c>
      <c r="W12162" t="s">
        <v>45298</v>
      </c>
      <c r="X12162" t="s">
        <v>47319</v>
      </c>
    </row>
    <row r="12163" spans="1:24">
      <c r="A12163">
        <f>HYPERLINK("https://www.philgeps.gov.ph/GEPSNONPILOT/Tender/SplashBidNoticeAbstractUI.aspx?menuIndex=3&amp;refID=7175679&amp;Result=3","7175679")</f>
        <v>0</v>
      </c>
      <c r="B12163" t="s">
        <v>3436</v>
      </c>
      <c r="C12163" t="s">
        <v>15352</v>
      </c>
      <c r="D12163" t="s">
        <v>19015</v>
      </c>
      <c r="E12163" t="s">
        <v>19145</v>
      </c>
      <c r="F12163" t="s">
        <v>32606</v>
      </c>
      <c r="G12163" t="s">
        <v>32613</v>
      </c>
      <c r="H12163" t="s">
        <v>32623</v>
      </c>
      <c r="I12163" t="s">
        <v>6931</v>
      </c>
      <c r="J12163" t="s">
        <v>40311</v>
      </c>
      <c r="K12163" t="s">
        <v>42623</v>
      </c>
      <c r="M12163" t="s">
        <v>46694</v>
      </c>
      <c r="N12163" t="s">
        <v>47304</v>
      </c>
      <c r="O12163" t="s">
        <v>47305</v>
      </c>
      <c r="P12163">
        <v>0</v>
      </c>
      <c r="Q12163">
        <v>2</v>
      </c>
      <c r="R12163" t="s">
        <v>47318</v>
      </c>
      <c r="S12163" t="s">
        <v>47736</v>
      </c>
      <c r="T12163" t="s">
        <v>49257</v>
      </c>
      <c r="U12163" t="s">
        <v>59588</v>
      </c>
      <c r="W12163" t="s">
        <v>46694</v>
      </c>
      <c r="X12163" t="s">
        <v>47319</v>
      </c>
    </row>
    <row r="12164" spans="1:24">
      <c r="A12164">
        <f>HYPERLINK("https://www.philgeps.gov.ph/GEPSNONPILOT/Tender/SplashBidNoticeAbstractUI.aspx?menuIndex=3&amp;refID=7175455&amp;Result=3","7175455")</f>
        <v>0</v>
      </c>
      <c r="B12164" t="s">
        <v>2939</v>
      </c>
      <c r="C12164" t="s">
        <v>15353</v>
      </c>
      <c r="E12164" t="s">
        <v>29426</v>
      </c>
      <c r="F12164" t="s">
        <v>32606</v>
      </c>
      <c r="G12164" t="s">
        <v>32613</v>
      </c>
      <c r="H12164" t="s">
        <v>14201</v>
      </c>
      <c r="I12164" t="s">
        <v>7064</v>
      </c>
      <c r="J12164" t="s">
        <v>40312</v>
      </c>
      <c r="K12164" t="s">
        <v>42624</v>
      </c>
      <c r="M12164" t="s">
        <v>46120</v>
      </c>
      <c r="N12164" t="s">
        <v>47304</v>
      </c>
      <c r="O12164" t="s">
        <v>47305</v>
      </c>
      <c r="P12164">
        <v>0</v>
      </c>
      <c r="Q12164">
        <v>5</v>
      </c>
      <c r="R12164" t="s">
        <v>47318</v>
      </c>
      <c r="S12164" t="s">
        <v>47736</v>
      </c>
      <c r="T12164" t="s">
        <v>49144</v>
      </c>
      <c r="U12164" t="s">
        <v>59589</v>
      </c>
      <c r="W12164" t="s">
        <v>46120</v>
      </c>
      <c r="X12164" t="s">
        <v>47319</v>
      </c>
    </row>
    <row r="12165" spans="1:24">
      <c r="A12165">
        <f>HYPERLINK("https://www.philgeps.gov.ph/GEPSNONPILOT/Tender/SplashBidNoticeAbstractUI.aspx?menuIndex=3&amp;refID=7175979&amp;Result=3","7175979")</f>
        <v>0</v>
      </c>
      <c r="B12165" t="s">
        <v>751</v>
      </c>
      <c r="C12165" t="s">
        <v>15354</v>
      </c>
      <c r="D12165" t="s">
        <v>18995</v>
      </c>
      <c r="E12165" t="s">
        <v>29427</v>
      </c>
      <c r="F12165" t="s">
        <v>32606</v>
      </c>
      <c r="G12165" t="s">
        <v>32613</v>
      </c>
      <c r="H12165" t="s">
        <v>32623</v>
      </c>
      <c r="I12165" t="s">
        <v>17648</v>
      </c>
      <c r="J12165" t="s">
        <v>32767</v>
      </c>
      <c r="K12165" t="s">
        <v>42643</v>
      </c>
      <c r="M12165" t="s">
        <v>43674</v>
      </c>
      <c r="N12165" t="s">
        <v>47304</v>
      </c>
      <c r="O12165" t="s">
        <v>47305</v>
      </c>
      <c r="P12165">
        <v>0</v>
      </c>
      <c r="Q12165">
        <v>0</v>
      </c>
      <c r="R12165" t="s">
        <v>47318</v>
      </c>
      <c r="S12165" t="s">
        <v>47736</v>
      </c>
      <c r="T12165" t="s">
        <v>48994</v>
      </c>
      <c r="U12165" t="s">
        <v>59590</v>
      </c>
      <c r="W12165" t="s">
        <v>43674</v>
      </c>
      <c r="X12165" t="s">
        <v>47319</v>
      </c>
    </row>
    <row r="12166" spans="1:24">
      <c r="A12166">
        <f>HYPERLINK("https://www.philgeps.gov.ph/GEPSNONPILOT/Tender/SplashBidNoticeAbstractUI.aspx?menuIndex=3&amp;refID=7175885&amp;Result=3","7175885")</f>
        <v>0</v>
      </c>
      <c r="B12166" t="s">
        <v>2712</v>
      </c>
      <c r="C12166" t="s">
        <v>15355</v>
      </c>
      <c r="D12166" t="s">
        <v>19011</v>
      </c>
      <c r="E12166" t="s">
        <v>25297</v>
      </c>
      <c r="F12166" t="s">
        <v>32606</v>
      </c>
      <c r="G12166" t="s">
        <v>32613</v>
      </c>
      <c r="H12166" t="s">
        <v>32623</v>
      </c>
      <c r="I12166" t="s">
        <v>17648</v>
      </c>
      <c r="J12166" t="s">
        <v>32795</v>
      </c>
      <c r="K12166" t="s">
        <v>42639</v>
      </c>
      <c r="M12166" t="s">
        <v>45866</v>
      </c>
      <c r="N12166" t="s">
        <v>47304</v>
      </c>
      <c r="O12166" t="s">
        <v>47305</v>
      </c>
      <c r="P12166">
        <v>0</v>
      </c>
      <c r="Q12166">
        <v>0</v>
      </c>
      <c r="R12166" t="s">
        <v>47318</v>
      </c>
      <c r="S12166" t="s">
        <v>47736</v>
      </c>
      <c r="T12166" t="s">
        <v>49007</v>
      </c>
      <c r="U12166" t="s">
        <v>56615</v>
      </c>
      <c r="W12166" t="s">
        <v>45866</v>
      </c>
      <c r="X12166" t="s">
        <v>47319</v>
      </c>
    </row>
    <row r="12167" spans="1:24">
      <c r="A12167">
        <f>HYPERLINK("https://www.philgeps.gov.ph/GEPSNONPILOT/Tender/SplashBidNoticeAbstractUI.aspx?menuIndex=3&amp;refID=7176009&amp;Result=3","7176009")</f>
        <v>0</v>
      </c>
      <c r="B12167" t="s">
        <v>3437</v>
      </c>
      <c r="C12167" t="s">
        <v>15356</v>
      </c>
      <c r="D12167" t="s">
        <v>19006</v>
      </c>
      <c r="E12167" t="s">
        <v>20122</v>
      </c>
      <c r="F12167" t="s">
        <v>32606</v>
      </c>
      <c r="G12167" t="s">
        <v>32613</v>
      </c>
      <c r="H12167" t="s">
        <v>32623</v>
      </c>
      <c r="I12167" t="s">
        <v>17648</v>
      </c>
      <c r="J12167" t="s">
        <v>32778</v>
      </c>
      <c r="K12167" t="s">
        <v>42632</v>
      </c>
      <c r="M12167" t="s">
        <v>46695</v>
      </c>
      <c r="N12167" t="s">
        <v>47304</v>
      </c>
      <c r="O12167" t="s">
        <v>47305</v>
      </c>
      <c r="P12167">
        <v>0</v>
      </c>
      <c r="Q12167">
        <v>0</v>
      </c>
      <c r="R12167" t="s">
        <v>47318</v>
      </c>
      <c r="S12167" t="s">
        <v>47736</v>
      </c>
      <c r="T12167" t="s">
        <v>49099</v>
      </c>
      <c r="U12167" t="s">
        <v>59591</v>
      </c>
      <c r="W12167" t="s">
        <v>46695</v>
      </c>
      <c r="X12167" t="s">
        <v>47319</v>
      </c>
    </row>
    <row r="12168" spans="1:24">
      <c r="A12168">
        <f>HYPERLINK("https://www.philgeps.gov.ph/GEPSNONPILOT/Tender/SplashBidNoticeAbstractUI.aspx?menuIndex=3&amp;refID=7175948&amp;Result=3","7175948")</f>
        <v>0</v>
      </c>
      <c r="B12168" t="s">
        <v>1588</v>
      </c>
      <c r="C12168" t="s">
        <v>15357</v>
      </c>
      <c r="D12168" t="s">
        <v>19011</v>
      </c>
      <c r="E12168" t="s">
        <v>29428</v>
      </c>
      <c r="F12168" t="s">
        <v>32606</v>
      </c>
      <c r="G12168" t="s">
        <v>32613</v>
      </c>
      <c r="H12168" t="s">
        <v>32623</v>
      </c>
      <c r="I12168" t="s">
        <v>17648</v>
      </c>
      <c r="J12168" t="s">
        <v>40313</v>
      </c>
      <c r="K12168" t="s">
        <v>42646</v>
      </c>
      <c r="M12168" t="s">
        <v>44601</v>
      </c>
      <c r="N12168" t="s">
        <v>47304</v>
      </c>
      <c r="O12168" t="s">
        <v>47305</v>
      </c>
      <c r="P12168">
        <v>0</v>
      </c>
      <c r="Q12168">
        <v>0</v>
      </c>
      <c r="R12168" t="s">
        <v>47318</v>
      </c>
      <c r="S12168" t="s">
        <v>47736</v>
      </c>
      <c r="T12168" t="s">
        <v>48985</v>
      </c>
      <c r="U12168" t="s">
        <v>59592</v>
      </c>
      <c r="W12168" t="s">
        <v>44601</v>
      </c>
      <c r="X12168" t="s">
        <v>47319</v>
      </c>
    </row>
    <row r="12169" spans="1:24">
      <c r="A12169">
        <f>HYPERLINK("https://www.philgeps.gov.ph/GEPSNONPILOT/Tender/SplashBidNoticeAbstractUI.aspx?menuIndex=3&amp;refID=7175909&amp;Result=3","7175909")</f>
        <v>0</v>
      </c>
      <c r="B12169" t="s">
        <v>751</v>
      </c>
      <c r="C12169" t="s">
        <v>15358</v>
      </c>
      <c r="D12169" t="s">
        <v>18995</v>
      </c>
      <c r="E12169" t="s">
        <v>29429</v>
      </c>
      <c r="F12169" t="s">
        <v>32606</v>
      </c>
      <c r="G12169" t="s">
        <v>32613</v>
      </c>
      <c r="H12169" t="s">
        <v>32623</v>
      </c>
      <c r="I12169" t="s">
        <v>17648</v>
      </c>
      <c r="J12169" t="s">
        <v>33102</v>
      </c>
      <c r="K12169" t="s">
        <v>42717</v>
      </c>
      <c r="M12169" t="s">
        <v>43674</v>
      </c>
      <c r="N12169" t="s">
        <v>47304</v>
      </c>
      <c r="O12169" t="s">
        <v>47305</v>
      </c>
      <c r="P12169">
        <v>0</v>
      </c>
      <c r="Q12169">
        <v>0</v>
      </c>
      <c r="R12169" t="s">
        <v>47318</v>
      </c>
      <c r="S12169" t="s">
        <v>47736</v>
      </c>
      <c r="T12169" t="s">
        <v>48994</v>
      </c>
      <c r="U12169" t="s">
        <v>59593</v>
      </c>
      <c r="W12169" t="s">
        <v>43674</v>
      </c>
      <c r="X12169" t="s">
        <v>47319</v>
      </c>
    </row>
    <row r="12170" spans="1:24">
      <c r="A12170">
        <f>HYPERLINK("https://www.philgeps.gov.ph/GEPSNONPILOT/Tender/SplashBidNoticeAbstractUI.aspx?menuIndex=3&amp;refID=7176093&amp;Result=3","7176093")</f>
        <v>0</v>
      </c>
      <c r="B12170" t="s">
        <v>568</v>
      </c>
      <c r="C12170" t="s">
        <v>15359</v>
      </c>
      <c r="D12170" t="s">
        <v>18993</v>
      </c>
      <c r="E12170" t="s">
        <v>29430</v>
      </c>
      <c r="F12170" t="s">
        <v>32606</v>
      </c>
      <c r="G12170" t="s">
        <v>32613</v>
      </c>
      <c r="H12170" t="s">
        <v>14201</v>
      </c>
      <c r="I12170" t="s">
        <v>13131</v>
      </c>
      <c r="J12170" t="s">
        <v>40314</v>
      </c>
      <c r="K12170" t="s">
        <v>42787</v>
      </c>
      <c r="M12170" t="s">
        <v>43483</v>
      </c>
      <c r="N12170" t="s">
        <v>47304</v>
      </c>
      <c r="O12170" t="s">
        <v>47305</v>
      </c>
      <c r="Q12170">
        <v>20</v>
      </c>
      <c r="R12170" t="s">
        <v>47318</v>
      </c>
      <c r="S12170" t="s">
        <v>47767</v>
      </c>
      <c r="T12170" t="s">
        <v>48996</v>
      </c>
      <c r="U12170" t="s">
        <v>50223</v>
      </c>
      <c r="W12170" t="s">
        <v>43483</v>
      </c>
      <c r="X12170" t="s">
        <v>47319</v>
      </c>
    </row>
    <row r="12171" spans="1:24">
      <c r="A12171">
        <f>HYPERLINK("https://www.philgeps.gov.ph/GEPSNONPILOT/Tender/SplashBidNoticeAbstractUI.aspx?menuIndex=3&amp;refID=7175892&amp;Result=3","7175892")</f>
        <v>0</v>
      </c>
      <c r="B12171" t="s">
        <v>1014</v>
      </c>
      <c r="C12171" t="s">
        <v>15360</v>
      </c>
      <c r="D12171" t="s">
        <v>19005</v>
      </c>
      <c r="E12171" t="s">
        <v>29431</v>
      </c>
      <c r="F12171" t="s">
        <v>32606</v>
      </c>
      <c r="G12171" t="s">
        <v>32614</v>
      </c>
      <c r="H12171" t="s">
        <v>14201</v>
      </c>
      <c r="I12171" t="s">
        <v>4112</v>
      </c>
      <c r="J12171" t="s">
        <v>32798</v>
      </c>
      <c r="K12171" t="s">
        <v>42646</v>
      </c>
      <c r="M12171" t="s">
        <v>46082</v>
      </c>
      <c r="N12171" t="s">
        <v>47304</v>
      </c>
      <c r="O12171" t="s">
        <v>47305</v>
      </c>
      <c r="Q12171">
        <v>3</v>
      </c>
      <c r="R12171" t="s">
        <v>47318</v>
      </c>
      <c r="S12171" t="s">
        <v>47768</v>
      </c>
      <c r="T12171" t="s">
        <v>49019</v>
      </c>
      <c r="U12171" t="s">
        <v>59594</v>
      </c>
      <c r="W12171" t="s">
        <v>46082</v>
      </c>
      <c r="X12171" t="s">
        <v>47319</v>
      </c>
    </row>
    <row r="12172" spans="1:24">
      <c r="A12172">
        <f>HYPERLINK("https://www.philgeps.gov.ph/GEPSNONPILOT/Tender/SplashBidNoticeAbstractUI.aspx?menuIndex=3&amp;refID=7175891&amp;Result=3","7175891")</f>
        <v>0</v>
      </c>
      <c r="B12172" t="s">
        <v>1588</v>
      </c>
      <c r="C12172" t="s">
        <v>15361</v>
      </c>
      <c r="D12172" t="s">
        <v>19011</v>
      </c>
      <c r="E12172" t="s">
        <v>29432</v>
      </c>
      <c r="F12172" t="s">
        <v>32606</v>
      </c>
      <c r="G12172" t="s">
        <v>32613</v>
      </c>
      <c r="H12172" t="s">
        <v>32623</v>
      </c>
      <c r="I12172" t="s">
        <v>17648</v>
      </c>
      <c r="J12172" t="s">
        <v>40315</v>
      </c>
      <c r="K12172" t="s">
        <v>42646</v>
      </c>
      <c r="M12172" t="s">
        <v>44601</v>
      </c>
      <c r="N12172" t="s">
        <v>47304</v>
      </c>
      <c r="O12172" t="s">
        <v>47305</v>
      </c>
      <c r="P12172">
        <v>0</v>
      </c>
      <c r="Q12172">
        <v>1</v>
      </c>
      <c r="R12172" t="s">
        <v>47318</v>
      </c>
      <c r="S12172" t="s">
        <v>47736</v>
      </c>
      <c r="T12172" t="s">
        <v>48985</v>
      </c>
      <c r="U12172" t="s">
        <v>59595</v>
      </c>
      <c r="W12172" t="s">
        <v>44601</v>
      </c>
      <c r="X12172" t="s">
        <v>47319</v>
      </c>
    </row>
    <row r="12173" spans="1:24">
      <c r="A12173">
        <f>HYPERLINK("https://www.philgeps.gov.ph/GEPSNONPILOT/Tender/SplashBidNoticeAbstractUI.aspx?menuIndex=3&amp;refID=7176128&amp;Result=3","7176128")</f>
        <v>0</v>
      </c>
      <c r="B12173" t="s">
        <v>3438</v>
      </c>
      <c r="C12173" t="s">
        <v>15362</v>
      </c>
      <c r="D12173" t="s">
        <v>19027</v>
      </c>
      <c r="E12173" t="s">
        <v>29433</v>
      </c>
      <c r="F12173" t="s">
        <v>32606</v>
      </c>
      <c r="G12173" t="s">
        <v>32613</v>
      </c>
      <c r="H12173" t="s">
        <v>14201</v>
      </c>
      <c r="I12173" t="s">
        <v>7064</v>
      </c>
      <c r="J12173" t="s">
        <v>40316</v>
      </c>
      <c r="K12173" t="s">
        <v>42631</v>
      </c>
      <c r="M12173" t="s">
        <v>46696</v>
      </c>
      <c r="N12173" t="s">
        <v>47304</v>
      </c>
      <c r="O12173" t="s">
        <v>47305</v>
      </c>
      <c r="P12173">
        <v>0</v>
      </c>
      <c r="Q12173">
        <v>1</v>
      </c>
      <c r="R12173" t="s">
        <v>47318</v>
      </c>
      <c r="S12173" t="s">
        <v>47736</v>
      </c>
      <c r="T12173" t="s">
        <v>48994</v>
      </c>
      <c r="U12173" t="s">
        <v>59596</v>
      </c>
      <c r="W12173" t="s">
        <v>46696</v>
      </c>
      <c r="X12173" t="s">
        <v>47319</v>
      </c>
    </row>
    <row r="12174" spans="1:24">
      <c r="A12174">
        <f>HYPERLINK("https://www.philgeps.gov.ph/GEPSNONPILOT/Tender/SplashBidNoticeAbstractUI.aspx?menuIndex=3&amp;refID=7175938&amp;Result=3","7175938")</f>
        <v>0</v>
      </c>
      <c r="B12174" t="s">
        <v>3439</v>
      </c>
      <c r="C12174" t="s">
        <v>15363</v>
      </c>
      <c r="D12174" t="s">
        <v>19006</v>
      </c>
      <c r="E12174" t="s">
        <v>29434</v>
      </c>
      <c r="F12174" t="s">
        <v>32606</v>
      </c>
      <c r="G12174" t="s">
        <v>32613</v>
      </c>
      <c r="H12174" t="s">
        <v>14201</v>
      </c>
      <c r="I12174" t="s">
        <v>6309</v>
      </c>
      <c r="J12174" t="s">
        <v>33748</v>
      </c>
      <c r="K12174" t="s">
        <v>42623</v>
      </c>
      <c r="M12174" t="s">
        <v>46697</v>
      </c>
      <c r="N12174" t="s">
        <v>47304</v>
      </c>
      <c r="O12174" t="s">
        <v>47305</v>
      </c>
      <c r="P12174">
        <v>0</v>
      </c>
      <c r="Q12174">
        <v>2</v>
      </c>
      <c r="R12174" t="s">
        <v>47318</v>
      </c>
      <c r="S12174" t="s">
        <v>47736</v>
      </c>
      <c r="T12174" t="s">
        <v>49103</v>
      </c>
      <c r="U12174" t="s">
        <v>59597</v>
      </c>
      <c r="W12174" t="s">
        <v>46697</v>
      </c>
      <c r="X12174" t="s">
        <v>47319</v>
      </c>
    </row>
    <row r="12175" spans="1:24">
      <c r="A12175">
        <f>HYPERLINK("https://www.philgeps.gov.ph/GEPSNONPILOT/Tender/SplashBidNoticeAbstractUI.aspx?menuIndex=3&amp;refID=7176105&amp;Result=3","7176105")</f>
        <v>0</v>
      </c>
      <c r="B12175" t="s">
        <v>3440</v>
      </c>
      <c r="C12175" t="s">
        <v>15364</v>
      </c>
      <c r="D12175" t="s">
        <v>19011</v>
      </c>
      <c r="E12175" t="s">
        <v>19707</v>
      </c>
      <c r="F12175" t="s">
        <v>32606</v>
      </c>
      <c r="G12175" t="s">
        <v>32613</v>
      </c>
      <c r="H12175" t="s">
        <v>32623</v>
      </c>
      <c r="I12175" t="s">
        <v>17648</v>
      </c>
      <c r="J12175" t="s">
        <v>40317</v>
      </c>
      <c r="K12175" t="s">
        <v>42623</v>
      </c>
      <c r="M12175" t="s">
        <v>46698</v>
      </c>
      <c r="N12175" t="s">
        <v>47304</v>
      </c>
      <c r="O12175" t="s">
        <v>47305</v>
      </c>
      <c r="P12175">
        <v>0</v>
      </c>
      <c r="Q12175">
        <v>0</v>
      </c>
      <c r="R12175" t="s">
        <v>47318</v>
      </c>
      <c r="S12175" t="s">
        <v>47736</v>
      </c>
      <c r="T12175" t="s">
        <v>49007</v>
      </c>
      <c r="U12175" t="s">
        <v>56615</v>
      </c>
      <c r="W12175" t="s">
        <v>46698</v>
      </c>
      <c r="X12175" t="s">
        <v>47319</v>
      </c>
    </row>
    <row r="12176" spans="1:24">
      <c r="A12176">
        <f>HYPERLINK("https://www.philgeps.gov.ph/GEPSNONPILOT/Tender/SplashBidNoticeAbstractUI.aspx?menuIndex=3&amp;refID=7176102&amp;Result=3","7176102")</f>
        <v>0</v>
      </c>
      <c r="B12176" t="s">
        <v>3441</v>
      </c>
      <c r="C12176" t="s">
        <v>15365</v>
      </c>
      <c r="D12176" t="s">
        <v>19006</v>
      </c>
      <c r="E12176" t="s">
        <v>29435</v>
      </c>
      <c r="F12176" t="s">
        <v>32606</v>
      </c>
      <c r="G12176" t="s">
        <v>32614</v>
      </c>
      <c r="H12176" t="s">
        <v>32623</v>
      </c>
      <c r="I12176" t="s">
        <v>17648</v>
      </c>
      <c r="J12176" t="s">
        <v>33102</v>
      </c>
      <c r="K12176" t="s">
        <v>42648</v>
      </c>
      <c r="M12176" t="s">
        <v>46699</v>
      </c>
      <c r="N12176" t="s">
        <v>47304</v>
      </c>
      <c r="O12176" t="s">
        <v>47305</v>
      </c>
      <c r="P12176">
        <v>0</v>
      </c>
      <c r="Q12176">
        <v>1</v>
      </c>
      <c r="R12176" t="s">
        <v>47318</v>
      </c>
      <c r="S12176" t="s">
        <v>47736</v>
      </c>
      <c r="T12176" t="s">
        <v>49081</v>
      </c>
      <c r="U12176" t="s">
        <v>59598</v>
      </c>
      <c r="W12176" t="s">
        <v>46699</v>
      </c>
      <c r="X12176" t="s">
        <v>47319</v>
      </c>
    </row>
    <row r="12177" spans="1:24">
      <c r="A12177">
        <f>HYPERLINK("https://www.philgeps.gov.ph/GEPSNONPILOT/Tender/SplashBidNoticeAbstractUI.aspx?menuIndex=3&amp;refID=7176086&amp;Result=3","7176086")</f>
        <v>0</v>
      </c>
      <c r="B12177" t="s">
        <v>751</v>
      </c>
      <c r="C12177" t="s">
        <v>15366</v>
      </c>
      <c r="D12177" t="s">
        <v>18995</v>
      </c>
      <c r="E12177" t="s">
        <v>29436</v>
      </c>
      <c r="F12177" t="s">
        <v>32606</v>
      </c>
      <c r="G12177" t="s">
        <v>32613</v>
      </c>
      <c r="H12177" t="s">
        <v>32623</v>
      </c>
      <c r="I12177" t="s">
        <v>17648</v>
      </c>
      <c r="J12177" t="s">
        <v>33263</v>
      </c>
      <c r="K12177" t="s">
        <v>42738</v>
      </c>
      <c r="M12177" t="s">
        <v>43674</v>
      </c>
      <c r="N12177" t="s">
        <v>47304</v>
      </c>
      <c r="O12177" t="s">
        <v>47305</v>
      </c>
      <c r="P12177">
        <v>0</v>
      </c>
      <c r="Q12177">
        <v>0</v>
      </c>
      <c r="R12177" t="s">
        <v>47318</v>
      </c>
      <c r="S12177" t="s">
        <v>47736</v>
      </c>
      <c r="T12177" t="s">
        <v>48994</v>
      </c>
      <c r="U12177" t="s">
        <v>59599</v>
      </c>
      <c r="W12177" t="s">
        <v>43674</v>
      </c>
      <c r="X12177" t="s">
        <v>47319</v>
      </c>
    </row>
    <row r="12178" spans="1:24">
      <c r="A12178">
        <f>HYPERLINK("https://www.philgeps.gov.ph/GEPSNONPILOT/Tender/SplashBidNoticeAbstractUI.aspx?menuIndex=3&amp;refID=7176073&amp;Result=3","7176073")</f>
        <v>0</v>
      </c>
      <c r="B12178" t="s">
        <v>3434</v>
      </c>
      <c r="C12178" t="s">
        <v>15367</v>
      </c>
      <c r="D12178" t="s">
        <v>19008</v>
      </c>
      <c r="E12178" t="s">
        <v>29437</v>
      </c>
      <c r="F12178" t="s">
        <v>32606</v>
      </c>
      <c r="G12178" t="s">
        <v>32613</v>
      </c>
      <c r="H12178" t="s">
        <v>14201</v>
      </c>
      <c r="I12178" t="s">
        <v>32681</v>
      </c>
      <c r="J12178" t="s">
        <v>32920</v>
      </c>
      <c r="K12178" t="s">
        <v>42631</v>
      </c>
      <c r="M12178" t="s">
        <v>46692</v>
      </c>
      <c r="N12178" t="s">
        <v>47304</v>
      </c>
      <c r="O12178" t="s">
        <v>47305</v>
      </c>
      <c r="P12178">
        <v>0</v>
      </c>
      <c r="Q12178">
        <v>4</v>
      </c>
      <c r="R12178" t="s">
        <v>47318</v>
      </c>
      <c r="S12178" t="s">
        <v>47736</v>
      </c>
      <c r="T12178" t="s">
        <v>49170</v>
      </c>
      <c r="U12178" t="s">
        <v>59600</v>
      </c>
      <c r="W12178" t="s">
        <v>46692</v>
      </c>
      <c r="X12178" t="s">
        <v>47319</v>
      </c>
    </row>
    <row r="12179" spans="1:24">
      <c r="A12179">
        <f>HYPERLINK("https://www.philgeps.gov.ph/GEPSNONPILOT/Tender/SplashBidNoticeAbstractUI.aspx?menuIndex=3&amp;refID=7176061&amp;Result=3","7176061")</f>
        <v>0</v>
      </c>
      <c r="B12179" t="s">
        <v>1169</v>
      </c>
      <c r="C12179" t="s">
        <v>15368</v>
      </c>
      <c r="D12179" t="s">
        <v>19003</v>
      </c>
      <c r="E12179" t="s">
        <v>29438</v>
      </c>
      <c r="F12179" t="s">
        <v>32606</v>
      </c>
      <c r="G12179" t="s">
        <v>32613</v>
      </c>
      <c r="H12179" t="s">
        <v>14201</v>
      </c>
      <c r="I12179" t="s">
        <v>32650</v>
      </c>
      <c r="J12179" t="s">
        <v>36386</v>
      </c>
      <c r="K12179" t="s">
        <v>42623</v>
      </c>
      <c r="M12179" t="s">
        <v>46700</v>
      </c>
      <c r="N12179" t="s">
        <v>47304</v>
      </c>
      <c r="O12179" t="s">
        <v>47305</v>
      </c>
      <c r="P12179">
        <v>0</v>
      </c>
      <c r="Q12179">
        <v>4</v>
      </c>
      <c r="R12179" t="s">
        <v>47318</v>
      </c>
      <c r="S12179" t="s">
        <v>47736</v>
      </c>
      <c r="T12179" t="s">
        <v>49256</v>
      </c>
      <c r="U12179" t="s">
        <v>59601</v>
      </c>
      <c r="W12179" t="s">
        <v>46700</v>
      </c>
      <c r="X12179" t="s">
        <v>47319</v>
      </c>
    </row>
    <row r="12180" spans="1:24">
      <c r="A12180">
        <f>HYPERLINK("https://www.philgeps.gov.ph/GEPSNONPILOT/Tender/SplashBidNoticeAbstractUI.aspx?menuIndex=3&amp;refID=7176048&amp;Result=3","7176048")</f>
        <v>0</v>
      </c>
      <c r="B12180" t="s">
        <v>477</v>
      </c>
      <c r="C12180" t="s">
        <v>15369</v>
      </c>
      <c r="D12180" t="s">
        <v>19019</v>
      </c>
      <c r="E12180" t="s">
        <v>29439</v>
      </c>
      <c r="F12180" t="s">
        <v>32606</v>
      </c>
      <c r="G12180" t="s">
        <v>32613</v>
      </c>
      <c r="H12180" t="s">
        <v>14201</v>
      </c>
      <c r="I12180" t="s">
        <v>4678</v>
      </c>
      <c r="J12180" t="s">
        <v>40318</v>
      </c>
      <c r="K12180" t="s">
        <v>42631</v>
      </c>
      <c r="M12180" t="s">
        <v>43388</v>
      </c>
      <c r="N12180" t="s">
        <v>47304</v>
      </c>
      <c r="O12180" t="s">
        <v>47305</v>
      </c>
      <c r="P12180">
        <v>0</v>
      </c>
      <c r="Q12180">
        <v>3</v>
      </c>
      <c r="R12180" t="s">
        <v>47318</v>
      </c>
      <c r="S12180" t="s">
        <v>47736</v>
      </c>
      <c r="T12180" t="s">
        <v>49052</v>
      </c>
      <c r="U12180" t="s">
        <v>59602</v>
      </c>
      <c r="W12180" t="s">
        <v>43388</v>
      </c>
      <c r="X12180" t="s">
        <v>47319</v>
      </c>
    </row>
    <row r="12181" spans="1:24">
      <c r="A12181">
        <f>HYPERLINK("https://www.philgeps.gov.ph/GEPSNONPILOT/Tender/SplashBidNoticeAbstractUI.aspx?menuIndex=3&amp;refID=7176046&amp;Result=3","7176046")</f>
        <v>0</v>
      </c>
      <c r="B12181" t="s">
        <v>3442</v>
      </c>
      <c r="C12181" t="s">
        <v>15370</v>
      </c>
      <c r="D12181" t="s">
        <v>19046</v>
      </c>
      <c r="E12181" t="s">
        <v>19125</v>
      </c>
      <c r="F12181" t="s">
        <v>32606</v>
      </c>
      <c r="G12181" t="s">
        <v>32613</v>
      </c>
      <c r="H12181" t="s">
        <v>32623</v>
      </c>
      <c r="I12181" t="s">
        <v>17648</v>
      </c>
      <c r="J12181" t="s">
        <v>40319</v>
      </c>
      <c r="K12181" t="s">
        <v>42622</v>
      </c>
      <c r="M12181" t="s">
        <v>46701</v>
      </c>
      <c r="N12181" t="s">
        <v>47304</v>
      </c>
      <c r="O12181" t="s">
        <v>47305</v>
      </c>
      <c r="P12181">
        <v>0</v>
      </c>
      <c r="Q12181">
        <v>0</v>
      </c>
      <c r="R12181" t="s">
        <v>47318</v>
      </c>
      <c r="S12181" t="s">
        <v>47736</v>
      </c>
      <c r="T12181" t="s">
        <v>49068</v>
      </c>
      <c r="U12181" t="s">
        <v>59603</v>
      </c>
      <c r="W12181" t="s">
        <v>46701</v>
      </c>
      <c r="X12181" t="s">
        <v>47319</v>
      </c>
    </row>
    <row r="12182" spans="1:24">
      <c r="A12182">
        <f>HYPERLINK("https://www.philgeps.gov.ph/GEPSNONPILOT/Tender/SplashBidNoticeAbstractUI.aspx?menuIndex=3&amp;refID=7176033&amp;Result=3","7176033")</f>
        <v>0</v>
      </c>
      <c r="B12182" t="s">
        <v>751</v>
      </c>
      <c r="C12182" t="s">
        <v>15371</v>
      </c>
      <c r="D12182" t="s">
        <v>18995</v>
      </c>
      <c r="E12182" t="s">
        <v>29440</v>
      </c>
      <c r="F12182" t="s">
        <v>32606</v>
      </c>
      <c r="G12182" t="s">
        <v>32613</v>
      </c>
      <c r="H12182" t="s">
        <v>32623</v>
      </c>
      <c r="I12182" t="s">
        <v>17648</v>
      </c>
      <c r="J12182" t="s">
        <v>32772</v>
      </c>
      <c r="K12182" t="s">
        <v>42778</v>
      </c>
      <c r="M12182" t="s">
        <v>43674</v>
      </c>
      <c r="N12182" t="s">
        <v>47304</v>
      </c>
      <c r="O12182" t="s">
        <v>47305</v>
      </c>
      <c r="P12182">
        <v>0</v>
      </c>
      <c r="Q12182">
        <v>0</v>
      </c>
      <c r="R12182" t="s">
        <v>47318</v>
      </c>
      <c r="S12182" t="s">
        <v>47736</v>
      </c>
      <c r="T12182" t="s">
        <v>48994</v>
      </c>
      <c r="U12182" t="s">
        <v>59604</v>
      </c>
      <c r="W12182" t="s">
        <v>43674</v>
      </c>
      <c r="X12182" t="s">
        <v>47319</v>
      </c>
    </row>
    <row r="12183" spans="1:24">
      <c r="A12183">
        <f>HYPERLINK("https://www.philgeps.gov.ph/GEPSNONPILOT/Tender/SplashBidNoticeAbstractUI.aspx?menuIndex=3&amp;refID=7176029&amp;Result=3","7176029")</f>
        <v>0</v>
      </c>
      <c r="B12183" t="s">
        <v>1132</v>
      </c>
      <c r="C12183" t="s">
        <v>13565</v>
      </c>
      <c r="D12183" t="s">
        <v>18993</v>
      </c>
      <c r="E12183" t="s">
        <v>29441</v>
      </c>
      <c r="F12183" t="s">
        <v>32607</v>
      </c>
      <c r="G12183" t="s">
        <v>32613</v>
      </c>
      <c r="H12183" t="s">
        <v>14201</v>
      </c>
      <c r="I12183" t="s">
        <v>6298</v>
      </c>
      <c r="J12183" t="s">
        <v>32778</v>
      </c>
      <c r="K12183" t="s">
        <v>42629</v>
      </c>
      <c r="M12183" t="s">
        <v>44094</v>
      </c>
      <c r="N12183" t="s">
        <v>47304</v>
      </c>
      <c r="O12183" t="s">
        <v>47305</v>
      </c>
      <c r="P12183">
        <v>0</v>
      </c>
      <c r="Q12183">
        <v>3</v>
      </c>
      <c r="R12183" t="s">
        <v>47318</v>
      </c>
      <c r="S12183" t="s">
        <v>47736</v>
      </c>
      <c r="T12183" t="s">
        <v>49050</v>
      </c>
      <c r="U12183" t="s">
        <v>59605</v>
      </c>
      <c r="V12183" t="s">
        <v>62933</v>
      </c>
      <c r="W12183" t="s">
        <v>44094</v>
      </c>
      <c r="X12183" t="s">
        <v>47319</v>
      </c>
    </row>
    <row r="12184" spans="1:24">
      <c r="A12184">
        <f>HYPERLINK("https://www.philgeps.gov.ph/GEPSNONPILOT/Tender/SplashBidNoticeAbstractUI.aspx?menuIndex=3&amp;refID=7176023&amp;Result=3","7176023")</f>
        <v>0</v>
      </c>
      <c r="B12184" t="s">
        <v>1014</v>
      </c>
      <c r="C12184" t="s">
        <v>15372</v>
      </c>
      <c r="D12184" t="s">
        <v>19005</v>
      </c>
      <c r="E12184" t="s">
        <v>29442</v>
      </c>
      <c r="F12184" t="s">
        <v>32606</v>
      </c>
      <c r="G12184" t="s">
        <v>32614</v>
      </c>
      <c r="H12184" t="s">
        <v>14201</v>
      </c>
      <c r="I12184" t="s">
        <v>4112</v>
      </c>
      <c r="J12184" t="s">
        <v>33113</v>
      </c>
      <c r="K12184" t="s">
        <v>42646</v>
      </c>
      <c r="M12184" t="s">
        <v>46082</v>
      </c>
      <c r="N12184" t="s">
        <v>47304</v>
      </c>
      <c r="O12184" t="s">
        <v>47305</v>
      </c>
      <c r="Q12184">
        <v>2</v>
      </c>
      <c r="R12184" t="s">
        <v>47318</v>
      </c>
      <c r="S12184" t="s">
        <v>47769</v>
      </c>
      <c r="T12184" t="s">
        <v>49019</v>
      </c>
      <c r="U12184" t="s">
        <v>59606</v>
      </c>
      <c r="W12184" t="s">
        <v>46082</v>
      </c>
      <c r="X12184" t="s">
        <v>47319</v>
      </c>
    </row>
    <row r="12185" spans="1:24">
      <c r="A12185">
        <f>HYPERLINK("https://www.philgeps.gov.ph/GEPSNONPILOT/Tender/SplashBidNoticeAbstractUI.aspx?menuIndex=3&amp;refID=7176015&amp;Result=3","7176015")</f>
        <v>0</v>
      </c>
      <c r="B12185" t="s">
        <v>2324</v>
      </c>
      <c r="C12185" t="s">
        <v>15373</v>
      </c>
      <c r="D12185" t="s">
        <v>19002</v>
      </c>
      <c r="E12185" t="s">
        <v>29443</v>
      </c>
      <c r="F12185" t="s">
        <v>32606</v>
      </c>
      <c r="G12185" t="s">
        <v>32613</v>
      </c>
      <c r="H12185" t="s">
        <v>32623</v>
      </c>
      <c r="I12185" t="s">
        <v>17648</v>
      </c>
      <c r="J12185" t="s">
        <v>40320</v>
      </c>
      <c r="K12185" t="s">
        <v>42865</v>
      </c>
      <c r="L12185" t="s">
        <v>2324</v>
      </c>
      <c r="M12185" t="s">
        <v>46702</v>
      </c>
      <c r="N12185" t="s">
        <v>47304</v>
      </c>
      <c r="O12185" t="s">
        <v>47305</v>
      </c>
      <c r="P12185">
        <v>0</v>
      </c>
      <c r="Q12185">
        <v>1</v>
      </c>
      <c r="R12185" t="s">
        <v>47318</v>
      </c>
      <c r="S12185" t="s">
        <v>47736</v>
      </c>
      <c r="T12185" t="s">
        <v>49107</v>
      </c>
      <c r="U12185" t="s">
        <v>59607</v>
      </c>
      <c r="W12185" t="s">
        <v>46702</v>
      </c>
      <c r="X12185" t="s">
        <v>47319</v>
      </c>
    </row>
    <row r="12186" spans="1:24">
      <c r="A12186">
        <f>HYPERLINK("https://www.philgeps.gov.ph/GEPSNONPILOT/Tender/SplashBidNoticeAbstractUI.aspx?menuIndex=3&amp;refID=7175987&amp;Result=3","7175987")</f>
        <v>0</v>
      </c>
      <c r="B12186" t="s">
        <v>1588</v>
      </c>
      <c r="C12186" t="s">
        <v>15374</v>
      </c>
      <c r="D12186" t="s">
        <v>19011</v>
      </c>
      <c r="E12186" t="s">
        <v>29444</v>
      </c>
      <c r="F12186" t="s">
        <v>32606</v>
      </c>
      <c r="G12186" t="s">
        <v>32613</v>
      </c>
      <c r="H12186" t="s">
        <v>32623</v>
      </c>
      <c r="I12186" t="s">
        <v>17648</v>
      </c>
      <c r="J12186" t="s">
        <v>40321</v>
      </c>
      <c r="K12186" t="s">
        <v>42648</v>
      </c>
      <c r="M12186" t="s">
        <v>44601</v>
      </c>
      <c r="N12186" t="s">
        <v>47304</v>
      </c>
      <c r="O12186" t="s">
        <v>47305</v>
      </c>
      <c r="P12186">
        <v>0</v>
      </c>
      <c r="Q12186">
        <v>0</v>
      </c>
      <c r="R12186" t="s">
        <v>47318</v>
      </c>
      <c r="S12186" t="s">
        <v>47736</v>
      </c>
      <c r="T12186" t="s">
        <v>48985</v>
      </c>
      <c r="U12186" t="s">
        <v>59608</v>
      </c>
      <c r="W12186" t="s">
        <v>44601</v>
      </c>
      <c r="X12186" t="s">
        <v>47319</v>
      </c>
    </row>
    <row r="12187" spans="1:24">
      <c r="A12187">
        <f>HYPERLINK("https://www.philgeps.gov.ph/GEPSNONPILOT/Tender/SplashBidNoticeAbstractUI.aspx?menuIndex=3&amp;refID=7176109&amp;Result=3","7176109")</f>
        <v>0</v>
      </c>
      <c r="B12187" t="s">
        <v>3443</v>
      </c>
      <c r="C12187" t="s">
        <v>15375</v>
      </c>
      <c r="E12187" t="s">
        <v>29445</v>
      </c>
      <c r="F12187" t="s">
        <v>32606</v>
      </c>
      <c r="G12187" t="s">
        <v>32613</v>
      </c>
      <c r="H12187" t="s">
        <v>14201</v>
      </c>
      <c r="I12187" t="s">
        <v>32635</v>
      </c>
      <c r="J12187" t="s">
        <v>38423</v>
      </c>
      <c r="K12187" t="s">
        <v>42624</v>
      </c>
      <c r="M12187" t="s">
        <v>46703</v>
      </c>
      <c r="N12187" t="s">
        <v>47304</v>
      </c>
      <c r="O12187" t="s">
        <v>47305</v>
      </c>
      <c r="P12187">
        <v>0</v>
      </c>
      <c r="Q12187">
        <v>3</v>
      </c>
      <c r="R12187" t="s">
        <v>47318</v>
      </c>
      <c r="S12187" t="s">
        <v>47736</v>
      </c>
      <c r="T12187" t="s">
        <v>49050</v>
      </c>
      <c r="U12187" t="s">
        <v>59609</v>
      </c>
      <c r="W12187" t="s">
        <v>46703</v>
      </c>
      <c r="X12187" t="s">
        <v>47319</v>
      </c>
    </row>
    <row r="12188" spans="1:24">
      <c r="A12188">
        <f>HYPERLINK("https://www.philgeps.gov.ph/GEPSNONPILOT/Tender/SplashBidNoticeAbstractUI.aspx?menuIndex=3&amp;refID=7176301&amp;Result=3","7176301")</f>
        <v>0</v>
      </c>
      <c r="B12188" t="s">
        <v>3444</v>
      </c>
      <c r="C12188" t="s">
        <v>15376</v>
      </c>
      <c r="D12188" t="s">
        <v>19001</v>
      </c>
      <c r="E12188" t="s">
        <v>29446</v>
      </c>
      <c r="F12188" t="s">
        <v>32606</v>
      </c>
      <c r="G12188" t="s">
        <v>32613</v>
      </c>
      <c r="H12188" t="s">
        <v>14201</v>
      </c>
      <c r="I12188" t="s">
        <v>6298</v>
      </c>
      <c r="J12188" t="s">
        <v>32923</v>
      </c>
      <c r="K12188" t="s">
        <v>42625</v>
      </c>
      <c r="M12188" t="s">
        <v>46704</v>
      </c>
      <c r="N12188" t="s">
        <v>47304</v>
      </c>
      <c r="O12188" t="s">
        <v>47305</v>
      </c>
      <c r="P12188">
        <v>0</v>
      </c>
      <c r="Q12188">
        <v>1</v>
      </c>
      <c r="R12188" t="s">
        <v>47318</v>
      </c>
      <c r="S12188" t="s">
        <v>47736</v>
      </c>
      <c r="T12188" t="s">
        <v>49066</v>
      </c>
      <c r="U12188" t="s">
        <v>59610</v>
      </c>
      <c r="W12188" t="s">
        <v>64540</v>
      </c>
      <c r="X12188" t="s">
        <v>47319</v>
      </c>
    </row>
    <row r="12189" spans="1:24">
      <c r="A12189">
        <f>HYPERLINK("https://www.philgeps.gov.ph/GEPSNONPILOT/Tender/SplashBidNoticeAbstractUI.aspx?menuIndex=3&amp;refID=7176087&amp;Result=3","7176087")</f>
        <v>0</v>
      </c>
      <c r="B12189" t="s">
        <v>3445</v>
      </c>
      <c r="C12189" t="s">
        <v>15377</v>
      </c>
      <c r="D12189" t="s">
        <v>18993</v>
      </c>
      <c r="E12189" t="s">
        <v>29447</v>
      </c>
      <c r="F12189" t="s">
        <v>32606</v>
      </c>
      <c r="G12189" t="s">
        <v>32613</v>
      </c>
      <c r="H12189" t="s">
        <v>32624</v>
      </c>
      <c r="I12189" t="s">
        <v>32652</v>
      </c>
      <c r="J12189" t="s">
        <v>32756</v>
      </c>
      <c r="K12189" t="s">
        <v>42665</v>
      </c>
      <c r="M12189" t="s">
        <v>46705</v>
      </c>
      <c r="N12189" t="s">
        <v>47304</v>
      </c>
      <c r="O12189" t="s">
        <v>47305</v>
      </c>
      <c r="Q12189">
        <v>3</v>
      </c>
      <c r="R12189" t="s">
        <v>47318</v>
      </c>
      <c r="S12189" t="s">
        <v>47770</v>
      </c>
      <c r="T12189" t="s">
        <v>49106</v>
      </c>
      <c r="U12189" t="s">
        <v>59611</v>
      </c>
      <c r="V12189" t="s">
        <v>63958</v>
      </c>
      <c r="W12189" t="s">
        <v>46705</v>
      </c>
      <c r="X12189" t="s">
        <v>47319</v>
      </c>
    </row>
    <row r="12190" spans="1:24">
      <c r="A12190">
        <f>HYPERLINK("https://www.philgeps.gov.ph/GEPSNONPILOT/Tender/SplashBidNoticeAbstractUI.aspx?menuIndex=3&amp;refID=7176264&amp;Result=3","7176264")</f>
        <v>0</v>
      </c>
      <c r="B12190" t="s">
        <v>3446</v>
      </c>
      <c r="C12190" t="s">
        <v>15378</v>
      </c>
      <c r="D12190" t="s">
        <v>19021</v>
      </c>
      <c r="E12190" t="s">
        <v>29448</v>
      </c>
      <c r="F12190" t="s">
        <v>32606</v>
      </c>
      <c r="G12190" t="s">
        <v>32613</v>
      </c>
      <c r="H12190" t="s">
        <v>14201</v>
      </c>
      <c r="I12190" t="s">
        <v>4120</v>
      </c>
      <c r="J12190" t="s">
        <v>40322</v>
      </c>
      <c r="K12190" t="s">
        <v>42623</v>
      </c>
      <c r="M12190" t="s">
        <v>46706</v>
      </c>
      <c r="N12190" t="s">
        <v>47304</v>
      </c>
      <c r="O12190" t="s">
        <v>47305</v>
      </c>
      <c r="Q12190">
        <v>5</v>
      </c>
      <c r="R12190" t="s">
        <v>47318</v>
      </c>
      <c r="S12190" t="s">
        <v>47771</v>
      </c>
      <c r="T12190" t="s">
        <v>49140</v>
      </c>
      <c r="U12190" t="s">
        <v>59612</v>
      </c>
      <c r="W12190" t="s">
        <v>46706</v>
      </c>
      <c r="X12190" t="s">
        <v>47319</v>
      </c>
    </row>
    <row r="12191" spans="1:24">
      <c r="A12191">
        <f>HYPERLINK("https://www.philgeps.gov.ph/GEPSNONPILOT/Tender/SplashBidNoticeAbstractUI.aspx?menuIndex=3&amp;refID=7176020&amp;Result=3","7176020")</f>
        <v>0</v>
      </c>
      <c r="B12191" t="s">
        <v>1588</v>
      </c>
      <c r="C12191" t="s">
        <v>15379</v>
      </c>
      <c r="D12191" t="s">
        <v>19011</v>
      </c>
      <c r="E12191" t="s">
        <v>29449</v>
      </c>
      <c r="F12191" t="s">
        <v>32606</v>
      </c>
      <c r="G12191" t="s">
        <v>32613</v>
      </c>
      <c r="H12191" t="s">
        <v>32623</v>
      </c>
      <c r="I12191" t="s">
        <v>17648</v>
      </c>
      <c r="J12191" t="s">
        <v>40323</v>
      </c>
      <c r="K12191" t="s">
        <v>42648</v>
      </c>
      <c r="M12191" t="s">
        <v>44601</v>
      </c>
      <c r="N12191" t="s">
        <v>47304</v>
      </c>
      <c r="O12191" t="s">
        <v>47305</v>
      </c>
      <c r="P12191">
        <v>0</v>
      </c>
      <c r="Q12191">
        <v>1</v>
      </c>
      <c r="R12191" t="s">
        <v>47318</v>
      </c>
      <c r="S12191" t="s">
        <v>47736</v>
      </c>
      <c r="T12191" t="s">
        <v>48985</v>
      </c>
      <c r="U12191" t="s">
        <v>59613</v>
      </c>
      <c r="W12191" t="s">
        <v>44601</v>
      </c>
      <c r="X12191" t="s">
        <v>47319</v>
      </c>
    </row>
    <row r="12192" spans="1:24">
      <c r="A12192">
        <f>HYPERLINK("https://www.philgeps.gov.ph/GEPSNONPILOT/Tender/SplashBidNoticeAbstractUI.aspx?menuIndex=3&amp;refID=7176116&amp;Result=3","7176116")</f>
        <v>0</v>
      </c>
      <c r="B12192" t="s">
        <v>542</v>
      </c>
      <c r="C12192" t="s">
        <v>15380</v>
      </c>
      <c r="D12192" t="s">
        <v>19023</v>
      </c>
      <c r="E12192" t="s">
        <v>29450</v>
      </c>
      <c r="F12192" t="s">
        <v>32606</v>
      </c>
      <c r="G12192" t="s">
        <v>32613</v>
      </c>
      <c r="H12192" t="s">
        <v>32623</v>
      </c>
      <c r="I12192" t="s">
        <v>17648</v>
      </c>
      <c r="J12192" t="s">
        <v>40324</v>
      </c>
      <c r="K12192" t="s">
        <v>42646</v>
      </c>
      <c r="M12192" t="s">
        <v>43456</v>
      </c>
      <c r="N12192" t="s">
        <v>47304</v>
      </c>
      <c r="O12192" t="s">
        <v>47305</v>
      </c>
      <c r="P12192">
        <v>0</v>
      </c>
      <c r="Q12192">
        <v>4</v>
      </c>
      <c r="R12192" t="s">
        <v>47318</v>
      </c>
      <c r="S12192" t="s">
        <v>47736</v>
      </c>
      <c r="T12192" t="s">
        <v>49052</v>
      </c>
      <c r="U12192" t="s">
        <v>59614</v>
      </c>
      <c r="V12192" t="s">
        <v>63959</v>
      </c>
      <c r="W12192" t="s">
        <v>43456</v>
      </c>
      <c r="X12192" t="s">
        <v>47319</v>
      </c>
    </row>
    <row r="12193" spans="1:24">
      <c r="A12193">
        <f>HYPERLINK("https://www.philgeps.gov.ph/GEPSNONPILOT/Tender/SplashBidNoticeAbstractUI.aspx?menuIndex=3&amp;refID=7176221&amp;Result=3","7176221")</f>
        <v>0</v>
      </c>
      <c r="B12193" t="s">
        <v>3447</v>
      </c>
      <c r="C12193" t="s">
        <v>15381</v>
      </c>
      <c r="D12193" t="s">
        <v>19019</v>
      </c>
      <c r="E12193" t="s">
        <v>29451</v>
      </c>
      <c r="F12193" t="s">
        <v>32606</v>
      </c>
      <c r="G12193" t="s">
        <v>32613</v>
      </c>
      <c r="H12193" t="s">
        <v>14201</v>
      </c>
      <c r="I12193" t="s">
        <v>32635</v>
      </c>
      <c r="J12193" t="s">
        <v>33074</v>
      </c>
      <c r="K12193" t="s">
        <v>42630</v>
      </c>
      <c r="M12193" t="s">
        <v>46707</v>
      </c>
      <c r="N12193" t="s">
        <v>47304</v>
      </c>
      <c r="O12193" t="s">
        <v>47305</v>
      </c>
      <c r="P12193">
        <v>0</v>
      </c>
      <c r="Q12193">
        <v>6</v>
      </c>
      <c r="R12193" t="s">
        <v>47318</v>
      </c>
      <c r="S12193" t="s">
        <v>47736</v>
      </c>
      <c r="T12193" t="s">
        <v>49162</v>
      </c>
      <c r="U12193" t="s">
        <v>59615</v>
      </c>
      <c r="V12193" t="s">
        <v>63960</v>
      </c>
      <c r="W12193" t="s">
        <v>46707</v>
      </c>
      <c r="X12193" t="s">
        <v>47319</v>
      </c>
    </row>
    <row r="12194" spans="1:24">
      <c r="A12194">
        <f>HYPERLINK("https://www.philgeps.gov.ph/GEPSNONPILOT/Tender/SplashBidNoticeAbstractUI.aspx?menuIndex=3&amp;refID=7176280&amp;Result=3","7176280")</f>
        <v>0</v>
      </c>
      <c r="B12194" t="s">
        <v>1072</v>
      </c>
      <c r="C12194" t="s">
        <v>15382</v>
      </c>
      <c r="D12194" t="s">
        <v>19012</v>
      </c>
      <c r="E12194" t="s">
        <v>29452</v>
      </c>
      <c r="F12194" t="s">
        <v>32607</v>
      </c>
      <c r="G12194" t="s">
        <v>32614</v>
      </c>
      <c r="H12194" t="s">
        <v>14201</v>
      </c>
      <c r="I12194" t="s">
        <v>32633</v>
      </c>
      <c r="J12194" t="s">
        <v>40325</v>
      </c>
      <c r="K12194" t="s">
        <v>42623</v>
      </c>
      <c r="M12194" t="s">
        <v>44025</v>
      </c>
      <c r="N12194" t="s">
        <v>47304</v>
      </c>
      <c r="O12194" t="s">
        <v>47305</v>
      </c>
      <c r="Q12194">
        <v>2</v>
      </c>
      <c r="R12194" t="s">
        <v>47318</v>
      </c>
      <c r="S12194" t="s">
        <v>47772</v>
      </c>
      <c r="T12194" t="s">
        <v>49108</v>
      </c>
      <c r="U12194" t="s">
        <v>53490</v>
      </c>
      <c r="W12194" t="s">
        <v>44025</v>
      </c>
      <c r="X12194" t="s">
        <v>47319</v>
      </c>
    </row>
    <row r="12195" spans="1:24">
      <c r="A12195">
        <f>HYPERLINK("https://www.philgeps.gov.ph/GEPSNONPILOT/Tender/SplashBidNoticeAbstractUI.aspx?menuIndex=3&amp;refID=7176205&amp;Result=3","7176205")</f>
        <v>0</v>
      </c>
      <c r="B12195" t="s">
        <v>3448</v>
      </c>
      <c r="C12195" t="s">
        <v>15383</v>
      </c>
      <c r="D12195" t="s">
        <v>19041</v>
      </c>
      <c r="E12195" t="s">
        <v>29453</v>
      </c>
      <c r="F12195" t="s">
        <v>32606</v>
      </c>
      <c r="G12195" t="s">
        <v>32613</v>
      </c>
      <c r="H12195" t="s">
        <v>32624</v>
      </c>
      <c r="I12195" t="s">
        <v>32628</v>
      </c>
      <c r="J12195" t="s">
        <v>34465</v>
      </c>
      <c r="K12195" t="s">
        <v>42665</v>
      </c>
      <c r="M12195" t="s">
        <v>46708</v>
      </c>
      <c r="N12195" t="s">
        <v>47304</v>
      </c>
      <c r="O12195" t="s">
        <v>47305</v>
      </c>
      <c r="Q12195">
        <v>8</v>
      </c>
      <c r="R12195" t="s">
        <v>47318</v>
      </c>
      <c r="S12195" t="s">
        <v>47773</v>
      </c>
      <c r="T12195" t="s">
        <v>49057</v>
      </c>
      <c r="U12195" t="s">
        <v>59616</v>
      </c>
      <c r="W12195" t="s">
        <v>46708</v>
      </c>
      <c r="X12195" t="s">
        <v>47319</v>
      </c>
    </row>
    <row r="12196" spans="1:24">
      <c r="A12196">
        <f>HYPERLINK("https://www.philgeps.gov.ph/GEPSNONPILOT/Tender/SplashBidNoticeAbstractUI.aspx?menuIndex=3&amp;refID=7176195&amp;Result=3","7176195")</f>
        <v>0</v>
      </c>
      <c r="B12196" t="s">
        <v>1014</v>
      </c>
      <c r="C12196" t="s">
        <v>15384</v>
      </c>
      <c r="D12196" t="s">
        <v>19005</v>
      </c>
      <c r="E12196" t="s">
        <v>29454</v>
      </c>
      <c r="F12196" t="s">
        <v>32606</v>
      </c>
      <c r="G12196" t="s">
        <v>32614</v>
      </c>
      <c r="H12196" t="s">
        <v>14201</v>
      </c>
      <c r="I12196" t="s">
        <v>4112</v>
      </c>
      <c r="J12196" t="s">
        <v>36134</v>
      </c>
      <c r="K12196" t="s">
        <v>42646</v>
      </c>
      <c r="M12196" t="s">
        <v>46082</v>
      </c>
      <c r="N12196" t="s">
        <v>47304</v>
      </c>
      <c r="O12196" t="s">
        <v>47305</v>
      </c>
      <c r="Q12196">
        <v>4</v>
      </c>
      <c r="R12196" t="s">
        <v>47318</v>
      </c>
      <c r="S12196" t="s">
        <v>47774</v>
      </c>
      <c r="T12196" t="s">
        <v>49019</v>
      </c>
      <c r="U12196" t="s">
        <v>59617</v>
      </c>
      <c r="W12196" t="s">
        <v>46082</v>
      </c>
      <c r="X12196" t="s">
        <v>47319</v>
      </c>
    </row>
    <row r="12197" spans="1:24">
      <c r="A12197">
        <f>HYPERLINK("https://www.philgeps.gov.ph/GEPSNONPILOT/Tender/SplashBidNoticeAbstractUI.aspx?menuIndex=3&amp;refID=7176255&amp;Result=3","7176255")</f>
        <v>0</v>
      </c>
      <c r="B12197" t="s">
        <v>1169</v>
      </c>
      <c r="C12197" t="s">
        <v>15385</v>
      </c>
      <c r="D12197" t="s">
        <v>19003</v>
      </c>
      <c r="E12197" t="s">
        <v>29455</v>
      </c>
      <c r="F12197" t="s">
        <v>32606</v>
      </c>
      <c r="G12197" t="s">
        <v>32613</v>
      </c>
      <c r="H12197" t="s">
        <v>14201</v>
      </c>
      <c r="I12197" t="s">
        <v>32668</v>
      </c>
      <c r="J12197" t="s">
        <v>32782</v>
      </c>
      <c r="K12197" t="s">
        <v>42623</v>
      </c>
      <c r="M12197" t="s">
        <v>46700</v>
      </c>
      <c r="N12197" t="s">
        <v>47304</v>
      </c>
      <c r="O12197" t="s">
        <v>47305</v>
      </c>
      <c r="P12197">
        <v>0</v>
      </c>
      <c r="Q12197">
        <v>1</v>
      </c>
      <c r="R12197" t="s">
        <v>47318</v>
      </c>
      <c r="S12197" t="s">
        <v>47736</v>
      </c>
      <c r="T12197" t="s">
        <v>49256</v>
      </c>
      <c r="U12197" t="s">
        <v>59618</v>
      </c>
      <c r="W12197" t="s">
        <v>46700</v>
      </c>
      <c r="X12197" t="s">
        <v>47319</v>
      </c>
    </row>
    <row r="12198" spans="1:24">
      <c r="A12198">
        <f>HYPERLINK("https://www.philgeps.gov.ph/GEPSNONPILOT/Tender/SplashBidNoticeAbstractUI.aspx?menuIndex=3&amp;refID=7176192&amp;Result=3","7176192")</f>
        <v>0</v>
      </c>
      <c r="B12198" t="s">
        <v>3449</v>
      </c>
      <c r="C12198" t="s">
        <v>15386</v>
      </c>
      <c r="D12198" t="s">
        <v>18988</v>
      </c>
      <c r="E12198" t="s">
        <v>29456</v>
      </c>
      <c r="F12198" t="s">
        <v>32606</v>
      </c>
      <c r="G12198" t="s">
        <v>32613</v>
      </c>
      <c r="H12198" t="s">
        <v>32625</v>
      </c>
      <c r="I12198" t="s">
        <v>32625</v>
      </c>
      <c r="J12198" t="s">
        <v>40326</v>
      </c>
      <c r="K12198" t="s">
        <v>42623</v>
      </c>
      <c r="M12198" t="s">
        <v>46709</v>
      </c>
      <c r="N12198" t="s">
        <v>47304</v>
      </c>
      <c r="O12198" t="s">
        <v>47305</v>
      </c>
      <c r="P12198">
        <v>0</v>
      </c>
      <c r="Q12198">
        <v>3</v>
      </c>
      <c r="R12198" t="s">
        <v>47318</v>
      </c>
      <c r="S12198" t="s">
        <v>47736</v>
      </c>
      <c r="T12198" t="s">
        <v>49469</v>
      </c>
      <c r="U12198" t="s">
        <v>59619</v>
      </c>
      <c r="W12198" t="s">
        <v>46709</v>
      </c>
      <c r="X12198" t="s">
        <v>47319</v>
      </c>
    </row>
    <row r="12199" spans="1:24">
      <c r="A12199">
        <f>HYPERLINK("https://www.philgeps.gov.ph/GEPSNONPILOT/Tender/SplashBidNoticeAbstractUI.aspx?menuIndex=3&amp;refID=7176188&amp;Result=3","7176188")</f>
        <v>0</v>
      </c>
      <c r="B12199" t="s">
        <v>778</v>
      </c>
      <c r="C12199" t="s">
        <v>15387</v>
      </c>
      <c r="D12199" t="s">
        <v>19012</v>
      </c>
      <c r="E12199" t="s">
        <v>29457</v>
      </c>
      <c r="F12199" t="s">
        <v>32606</v>
      </c>
      <c r="G12199" t="s">
        <v>32613</v>
      </c>
      <c r="H12199" t="s">
        <v>14201</v>
      </c>
      <c r="I12199" t="s">
        <v>6298</v>
      </c>
      <c r="J12199" t="s">
        <v>32789</v>
      </c>
      <c r="K12199" t="s">
        <v>42623</v>
      </c>
      <c r="M12199" t="s">
        <v>43708</v>
      </c>
      <c r="N12199" t="s">
        <v>47304</v>
      </c>
      <c r="O12199" t="s">
        <v>47305</v>
      </c>
      <c r="P12199">
        <v>0</v>
      </c>
      <c r="Q12199">
        <v>0</v>
      </c>
      <c r="R12199" t="s">
        <v>47318</v>
      </c>
      <c r="S12199" t="s">
        <v>47736</v>
      </c>
      <c r="T12199" t="s">
        <v>49020</v>
      </c>
      <c r="U12199" t="s">
        <v>59620</v>
      </c>
      <c r="W12199" t="s">
        <v>43708</v>
      </c>
      <c r="X12199" t="s">
        <v>47319</v>
      </c>
    </row>
    <row r="12200" spans="1:24">
      <c r="A12200">
        <f>HYPERLINK("https://www.philgeps.gov.ph/GEPSNONPILOT/Tender/SplashBidNoticeAbstractUI.aspx?menuIndex=3&amp;refID=7176186&amp;Result=3","7176186")</f>
        <v>0</v>
      </c>
      <c r="B12200" t="s">
        <v>921</v>
      </c>
      <c r="C12200" t="s">
        <v>15388</v>
      </c>
      <c r="D12200" t="s">
        <v>19008</v>
      </c>
      <c r="E12200" t="s">
        <v>29458</v>
      </c>
      <c r="F12200" t="s">
        <v>32606</v>
      </c>
      <c r="G12200" t="s">
        <v>32613</v>
      </c>
      <c r="H12200" t="s">
        <v>32623</v>
      </c>
      <c r="I12200" t="s">
        <v>17648</v>
      </c>
      <c r="J12200" t="s">
        <v>40327</v>
      </c>
      <c r="K12200" t="s">
        <v>42676</v>
      </c>
      <c r="M12200" t="s">
        <v>43861</v>
      </c>
      <c r="N12200" t="s">
        <v>47304</v>
      </c>
      <c r="O12200" t="s">
        <v>47305</v>
      </c>
      <c r="Q12200">
        <v>1</v>
      </c>
      <c r="R12200" t="s">
        <v>47318</v>
      </c>
      <c r="S12200" t="s">
        <v>47775</v>
      </c>
      <c r="T12200" t="s">
        <v>48971</v>
      </c>
      <c r="U12200" t="s">
        <v>59621</v>
      </c>
      <c r="W12200" t="s">
        <v>43861</v>
      </c>
      <c r="X12200" t="s">
        <v>47319</v>
      </c>
    </row>
    <row r="12201" spans="1:24">
      <c r="A12201">
        <f>HYPERLINK("https://www.philgeps.gov.ph/GEPSNONPILOT/Tender/SplashBidNoticeAbstractUI.aspx?menuIndex=3&amp;refID=7176191&amp;Result=3","7176191")</f>
        <v>0</v>
      </c>
      <c r="B12201" t="s">
        <v>2048</v>
      </c>
      <c r="C12201" t="s">
        <v>15389</v>
      </c>
      <c r="D12201" t="s">
        <v>19004</v>
      </c>
      <c r="E12201" t="s">
        <v>20122</v>
      </c>
      <c r="F12201" t="s">
        <v>32607</v>
      </c>
      <c r="G12201" t="s">
        <v>32613</v>
      </c>
      <c r="H12201" t="s">
        <v>32623</v>
      </c>
      <c r="I12201" t="s">
        <v>17648</v>
      </c>
      <c r="J12201" t="s">
        <v>32833</v>
      </c>
      <c r="K12201" t="s">
        <v>42631</v>
      </c>
      <c r="L12201" t="s">
        <v>2048</v>
      </c>
      <c r="M12201" t="s">
        <v>45127</v>
      </c>
      <c r="N12201" t="s">
        <v>47304</v>
      </c>
      <c r="O12201" t="s">
        <v>47305</v>
      </c>
      <c r="P12201">
        <v>0</v>
      </c>
      <c r="Q12201">
        <v>1</v>
      </c>
      <c r="R12201" t="s">
        <v>47318</v>
      </c>
      <c r="S12201" t="s">
        <v>47736</v>
      </c>
      <c r="T12201" t="s">
        <v>49456</v>
      </c>
      <c r="U12201" t="s">
        <v>59622</v>
      </c>
      <c r="W12201" t="s">
        <v>45127</v>
      </c>
      <c r="X12201" t="s">
        <v>47319</v>
      </c>
    </row>
    <row r="12202" spans="1:24">
      <c r="A12202">
        <f>HYPERLINK("https://www.philgeps.gov.ph/GEPSNONPILOT/Tender/SplashBidNoticeAbstractUI.aspx?menuIndex=3&amp;refID=7176184&amp;Result=3","7176184")</f>
        <v>0</v>
      </c>
      <c r="B12202" t="s">
        <v>3450</v>
      </c>
      <c r="C12202" t="s">
        <v>15390</v>
      </c>
      <c r="D12202" t="s">
        <v>19006</v>
      </c>
      <c r="E12202" t="s">
        <v>29459</v>
      </c>
      <c r="F12202" t="s">
        <v>32606</v>
      </c>
      <c r="G12202" t="s">
        <v>32613</v>
      </c>
      <c r="H12202" t="s">
        <v>14201</v>
      </c>
      <c r="I12202" t="s">
        <v>32654</v>
      </c>
      <c r="J12202" t="s">
        <v>40328</v>
      </c>
      <c r="K12202" t="s">
        <v>42648</v>
      </c>
      <c r="M12202" t="s">
        <v>46710</v>
      </c>
      <c r="N12202" t="s">
        <v>47304</v>
      </c>
      <c r="O12202" t="s">
        <v>47305</v>
      </c>
      <c r="Q12202">
        <v>4</v>
      </c>
      <c r="R12202" t="s">
        <v>47318</v>
      </c>
      <c r="S12202" t="s">
        <v>47776</v>
      </c>
      <c r="T12202" t="s">
        <v>49023</v>
      </c>
      <c r="U12202" t="s">
        <v>59623</v>
      </c>
      <c r="W12202" t="s">
        <v>46710</v>
      </c>
      <c r="X12202" t="s">
        <v>47319</v>
      </c>
    </row>
    <row r="12203" spans="1:24">
      <c r="A12203">
        <f>HYPERLINK("https://www.philgeps.gov.ph/GEPSNONPILOT/Tender/SplashBidNoticeAbstractUI.aspx?menuIndex=3&amp;refID=7176174&amp;Result=3","7176174")</f>
        <v>0</v>
      </c>
      <c r="B12203" t="s">
        <v>301</v>
      </c>
      <c r="C12203" t="s">
        <v>15391</v>
      </c>
      <c r="D12203" t="s">
        <v>19011</v>
      </c>
      <c r="E12203" t="s">
        <v>29460</v>
      </c>
      <c r="F12203" t="s">
        <v>32606</v>
      </c>
      <c r="G12203" t="s">
        <v>32613</v>
      </c>
      <c r="H12203" t="s">
        <v>14201</v>
      </c>
      <c r="I12203" t="s">
        <v>32640</v>
      </c>
      <c r="J12203" t="s">
        <v>33934</v>
      </c>
      <c r="K12203" t="s">
        <v>42639</v>
      </c>
      <c r="M12203" t="s">
        <v>45606</v>
      </c>
      <c r="N12203" t="s">
        <v>47304</v>
      </c>
      <c r="O12203" t="s">
        <v>47305</v>
      </c>
      <c r="P12203">
        <v>0</v>
      </c>
      <c r="Q12203">
        <v>11</v>
      </c>
      <c r="R12203" t="s">
        <v>47318</v>
      </c>
      <c r="S12203" t="s">
        <v>47736</v>
      </c>
      <c r="T12203" t="s">
        <v>49140</v>
      </c>
      <c r="U12203" t="s">
        <v>59624</v>
      </c>
      <c r="W12203" t="s">
        <v>45606</v>
      </c>
      <c r="X12203" t="s">
        <v>47319</v>
      </c>
    </row>
    <row r="12204" spans="1:24">
      <c r="A12204">
        <f>HYPERLINK("https://www.philgeps.gov.ph/GEPSNONPILOT/Tender/SplashBidNoticeAbstractUI.aspx?menuIndex=3&amp;refID=7176163&amp;Result=3","7176163")</f>
        <v>0</v>
      </c>
      <c r="B12204" t="s">
        <v>3451</v>
      </c>
      <c r="C12204" t="s">
        <v>15392</v>
      </c>
      <c r="D12204" t="s">
        <v>18993</v>
      </c>
      <c r="E12204" t="s">
        <v>29461</v>
      </c>
      <c r="F12204" t="s">
        <v>32606</v>
      </c>
      <c r="G12204" t="s">
        <v>32614</v>
      </c>
      <c r="H12204" t="s">
        <v>32624</v>
      </c>
      <c r="I12204" t="s">
        <v>32625</v>
      </c>
      <c r="J12204" t="s">
        <v>32920</v>
      </c>
      <c r="K12204" t="s">
        <v>42679</v>
      </c>
      <c r="M12204" t="s">
        <v>46711</v>
      </c>
      <c r="N12204" t="s">
        <v>47304</v>
      </c>
      <c r="O12204" t="s">
        <v>47305</v>
      </c>
      <c r="P12204">
        <v>0</v>
      </c>
      <c r="Q12204">
        <v>4</v>
      </c>
      <c r="R12204" t="s">
        <v>47318</v>
      </c>
      <c r="S12204" t="s">
        <v>47736</v>
      </c>
      <c r="T12204" t="s">
        <v>48997</v>
      </c>
      <c r="U12204" t="s">
        <v>59625</v>
      </c>
      <c r="W12204" t="s">
        <v>46711</v>
      </c>
      <c r="X12204" t="s">
        <v>47319</v>
      </c>
    </row>
    <row r="12205" spans="1:24">
      <c r="A12205">
        <f>HYPERLINK("https://www.philgeps.gov.ph/GEPSNONPILOT/Tender/SplashBidNoticeAbstractUI.aspx?menuIndex=3&amp;refID=7176155&amp;Result=3","7176155")</f>
        <v>0</v>
      </c>
      <c r="B12205" t="s">
        <v>3452</v>
      </c>
      <c r="C12205" t="s">
        <v>15393</v>
      </c>
      <c r="D12205" t="s">
        <v>19011</v>
      </c>
      <c r="E12205" t="s">
        <v>29462</v>
      </c>
      <c r="F12205" t="s">
        <v>32606</v>
      </c>
      <c r="G12205" t="s">
        <v>32613</v>
      </c>
      <c r="H12205" t="s">
        <v>32623</v>
      </c>
      <c r="I12205" t="s">
        <v>17648</v>
      </c>
      <c r="J12205" t="s">
        <v>40329</v>
      </c>
      <c r="K12205" t="s">
        <v>42622</v>
      </c>
      <c r="M12205" t="s">
        <v>46712</v>
      </c>
      <c r="N12205" t="s">
        <v>47304</v>
      </c>
      <c r="O12205" t="s">
        <v>47305</v>
      </c>
      <c r="P12205">
        <v>0</v>
      </c>
      <c r="Q12205">
        <v>0</v>
      </c>
      <c r="R12205" t="s">
        <v>47318</v>
      </c>
      <c r="S12205" t="s">
        <v>47736</v>
      </c>
      <c r="T12205" t="s">
        <v>49007</v>
      </c>
      <c r="U12205" t="s">
        <v>56615</v>
      </c>
      <c r="W12205" t="s">
        <v>46712</v>
      </c>
      <c r="X12205" t="s">
        <v>47319</v>
      </c>
    </row>
    <row r="12206" spans="1:24">
      <c r="A12206">
        <f>HYPERLINK("https://www.philgeps.gov.ph/GEPSNONPILOT/Tender/SplashBidNoticeAbstractUI.aspx?menuIndex=3&amp;refID=7176200&amp;Result=3","7176200")</f>
        <v>0</v>
      </c>
      <c r="B12206" t="s">
        <v>2516</v>
      </c>
      <c r="C12206" t="s">
        <v>15394</v>
      </c>
      <c r="D12206" t="s">
        <v>18995</v>
      </c>
      <c r="E12206" t="s">
        <v>29463</v>
      </c>
      <c r="F12206" t="s">
        <v>32606</v>
      </c>
      <c r="G12206" t="s">
        <v>32613</v>
      </c>
      <c r="H12206" t="s">
        <v>14201</v>
      </c>
      <c r="I12206" t="s">
        <v>7064</v>
      </c>
      <c r="J12206" t="s">
        <v>33016</v>
      </c>
      <c r="K12206" t="s">
        <v>42631</v>
      </c>
      <c r="M12206" t="s">
        <v>45657</v>
      </c>
      <c r="N12206" t="s">
        <v>47304</v>
      </c>
      <c r="O12206" t="s">
        <v>47305</v>
      </c>
      <c r="P12206">
        <v>0</v>
      </c>
      <c r="Q12206">
        <v>6</v>
      </c>
      <c r="R12206" t="s">
        <v>47318</v>
      </c>
      <c r="S12206" t="s">
        <v>47736</v>
      </c>
      <c r="T12206" t="s">
        <v>48988</v>
      </c>
      <c r="U12206" t="s">
        <v>59626</v>
      </c>
      <c r="W12206" t="s">
        <v>45657</v>
      </c>
      <c r="X12206" t="s">
        <v>47319</v>
      </c>
    </row>
    <row r="12207" spans="1:24">
      <c r="A12207">
        <f>HYPERLINK("https://www.philgeps.gov.ph/GEPSNONPILOT/Tender/SplashBidNoticeAbstractUI.aspx?menuIndex=3&amp;refID=7176134&amp;Result=3","7176134")</f>
        <v>0</v>
      </c>
      <c r="B12207" t="s">
        <v>3449</v>
      </c>
      <c r="C12207" t="s">
        <v>15395</v>
      </c>
      <c r="D12207" t="s">
        <v>18988</v>
      </c>
      <c r="E12207" t="s">
        <v>29464</v>
      </c>
      <c r="F12207" t="s">
        <v>32606</v>
      </c>
      <c r="G12207" t="s">
        <v>32613</v>
      </c>
      <c r="H12207" t="s">
        <v>32625</v>
      </c>
      <c r="I12207" t="s">
        <v>32625</v>
      </c>
      <c r="J12207" t="s">
        <v>40330</v>
      </c>
      <c r="K12207" t="s">
        <v>42749</v>
      </c>
      <c r="M12207" t="s">
        <v>46709</v>
      </c>
      <c r="N12207" t="s">
        <v>47304</v>
      </c>
      <c r="O12207" t="s">
        <v>47305</v>
      </c>
      <c r="P12207">
        <v>0</v>
      </c>
      <c r="Q12207">
        <v>3</v>
      </c>
      <c r="R12207" t="s">
        <v>47318</v>
      </c>
      <c r="S12207" t="s">
        <v>47736</v>
      </c>
      <c r="T12207" t="s">
        <v>49469</v>
      </c>
      <c r="U12207" t="s">
        <v>59627</v>
      </c>
      <c r="W12207" t="s">
        <v>46709</v>
      </c>
      <c r="X12207" t="s">
        <v>47319</v>
      </c>
    </row>
    <row r="12208" spans="1:24">
      <c r="A12208">
        <f>HYPERLINK("https://www.philgeps.gov.ph/GEPSNONPILOT/Tender/SplashBidNoticeAbstractUI.aspx?menuIndex=3&amp;refID=7176133&amp;Result=3","7176133")</f>
        <v>0</v>
      </c>
      <c r="B12208" t="s">
        <v>3434</v>
      </c>
      <c r="C12208" t="s">
        <v>15396</v>
      </c>
      <c r="D12208" t="s">
        <v>19008</v>
      </c>
      <c r="E12208" t="s">
        <v>29465</v>
      </c>
      <c r="F12208" t="s">
        <v>32606</v>
      </c>
      <c r="G12208" t="s">
        <v>32613</v>
      </c>
      <c r="H12208" t="s">
        <v>14201</v>
      </c>
      <c r="I12208" t="s">
        <v>4120</v>
      </c>
      <c r="J12208" t="s">
        <v>40331</v>
      </c>
      <c r="K12208" t="s">
        <v>42639</v>
      </c>
      <c r="M12208" t="s">
        <v>46692</v>
      </c>
      <c r="N12208" t="s">
        <v>47304</v>
      </c>
      <c r="O12208" t="s">
        <v>47305</v>
      </c>
      <c r="P12208">
        <v>0</v>
      </c>
      <c r="Q12208">
        <v>3</v>
      </c>
      <c r="R12208" t="s">
        <v>47318</v>
      </c>
      <c r="S12208" t="s">
        <v>47736</v>
      </c>
      <c r="T12208" t="s">
        <v>49075</v>
      </c>
      <c r="U12208" t="s">
        <v>59628</v>
      </c>
      <c r="W12208" t="s">
        <v>46692</v>
      </c>
      <c r="X12208" t="s">
        <v>47319</v>
      </c>
    </row>
    <row r="12209" spans="1:24">
      <c r="A12209">
        <f>HYPERLINK("https://www.philgeps.gov.ph/GEPSNONPILOT/Tender/SplashBidNoticeAbstractUI.aspx?menuIndex=3&amp;refID=7175868&amp;Result=3","7175868")</f>
        <v>0</v>
      </c>
      <c r="B12209" t="s">
        <v>3425</v>
      </c>
      <c r="C12209" t="s">
        <v>15397</v>
      </c>
      <c r="D12209" t="s">
        <v>19034</v>
      </c>
      <c r="E12209" t="s">
        <v>29382</v>
      </c>
      <c r="F12209" t="s">
        <v>32606</v>
      </c>
      <c r="G12209" t="s">
        <v>32613</v>
      </c>
      <c r="H12209" t="s">
        <v>14201</v>
      </c>
      <c r="I12209" t="s">
        <v>32625</v>
      </c>
      <c r="J12209" t="s">
        <v>40332</v>
      </c>
      <c r="K12209" t="s">
        <v>42630</v>
      </c>
      <c r="M12209" t="s">
        <v>46682</v>
      </c>
      <c r="N12209" t="s">
        <v>47304</v>
      </c>
      <c r="O12209" t="s">
        <v>47305</v>
      </c>
      <c r="P12209">
        <v>0</v>
      </c>
      <c r="Q12209">
        <v>0</v>
      </c>
      <c r="R12209" t="s">
        <v>47318</v>
      </c>
      <c r="S12209" t="s">
        <v>47736</v>
      </c>
      <c r="T12209" t="s">
        <v>49100</v>
      </c>
      <c r="U12209" t="s">
        <v>59542</v>
      </c>
      <c r="W12209" t="s">
        <v>46682</v>
      </c>
      <c r="X12209" t="s">
        <v>47319</v>
      </c>
    </row>
    <row r="12210" spans="1:24">
      <c r="A12210">
        <f>HYPERLINK("https://www.philgeps.gov.ph/GEPSNONPILOT/Tender/SplashBidNoticeAbstractUI.aspx?menuIndex=3&amp;refID=7175865&amp;Result=3","7175865")</f>
        <v>0</v>
      </c>
      <c r="B12210" t="s">
        <v>2942</v>
      </c>
      <c r="C12210" t="s">
        <v>15398</v>
      </c>
      <c r="D12210" t="s">
        <v>19011</v>
      </c>
      <c r="E12210" t="s">
        <v>29466</v>
      </c>
      <c r="F12210" t="s">
        <v>32606</v>
      </c>
      <c r="G12210" t="s">
        <v>32613</v>
      </c>
      <c r="H12210" t="s">
        <v>32623</v>
      </c>
      <c r="I12210" t="s">
        <v>17648</v>
      </c>
      <c r="J12210" t="s">
        <v>32795</v>
      </c>
      <c r="K12210" t="s">
        <v>42649</v>
      </c>
      <c r="M12210" t="s">
        <v>46123</v>
      </c>
      <c r="N12210" t="s">
        <v>47304</v>
      </c>
      <c r="O12210" t="s">
        <v>47305</v>
      </c>
      <c r="P12210">
        <v>0</v>
      </c>
      <c r="Q12210">
        <v>1</v>
      </c>
      <c r="R12210" t="s">
        <v>47318</v>
      </c>
      <c r="S12210" t="s">
        <v>47736</v>
      </c>
      <c r="T12210" t="s">
        <v>49017</v>
      </c>
      <c r="U12210" t="s">
        <v>59629</v>
      </c>
      <c r="W12210" t="s">
        <v>46123</v>
      </c>
      <c r="X12210" t="s">
        <v>47319</v>
      </c>
    </row>
    <row r="12211" spans="1:24">
      <c r="A12211">
        <f>HYPERLINK("https://www.philgeps.gov.ph/GEPSNONPILOT/Tender/SplashBidNoticeAbstractUI.aspx?menuIndex=3&amp;refID=7175858&amp;Result=3","7175858")</f>
        <v>0</v>
      </c>
      <c r="B12211" t="s">
        <v>2712</v>
      </c>
      <c r="C12211" t="s">
        <v>15399</v>
      </c>
      <c r="D12211" t="s">
        <v>19011</v>
      </c>
      <c r="E12211" t="s">
        <v>25471</v>
      </c>
      <c r="F12211" t="s">
        <v>32606</v>
      </c>
      <c r="G12211" t="s">
        <v>32613</v>
      </c>
      <c r="H12211" t="s">
        <v>32623</v>
      </c>
      <c r="I12211" t="s">
        <v>17648</v>
      </c>
      <c r="J12211" t="s">
        <v>32821</v>
      </c>
      <c r="K12211" t="s">
        <v>42636</v>
      </c>
      <c r="M12211" t="s">
        <v>45866</v>
      </c>
      <c r="N12211" t="s">
        <v>47304</v>
      </c>
      <c r="O12211" t="s">
        <v>47305</v>
      </c>
      <c r="P12211">
        <v>0</v>
      </c>
      <c r="Q12211">
        <v>0</v>
      </c>
      <c r="R12211" t="s">
        <v>47318</v>
      </c>
      <c r="S12211" t="s">
        <v>47736</v>
      </c>
      <c r="T12211" t="s">
        <v>49007</v>
      </c>
      <c r="U12211" t="s">
        <v>56615</v>
      </c>
      <c r="W12211" t="s">
        <v>45866</v>
      </c>
      <c r="X12211" t="s">
        <v>47319</v>
      </c>
    </row>
    <row r="12212" spans="1:24">
      <c r="A12212">
        <f>HYPERLINK("https://www.philgeps.gov.ph/GEPSNONPILOT/Tender/SplashBidNoticeAbstractUI.aspx?menuIndex=3&amp;refID=7175831&amp;Result=3","7175831")</f>
        <v>0</v>
      </c>
      <c r="B12212" t="s">
        <v>2155</v>
      </c>
      <c r="C12212" t="s">
        <v>15400</v>
      </c>
      <c r="D12212" t="s">
        <v>19011</v>
      </c>
      <c r="E12212" t="s">
        <v>29467</v>
      </c>
      <c r="F12212" t="s">
        <v>32606</v>
      </c>
      <c r="G12212" t="s">
        <v>32613</v>
      </c>
      <c r="H12212" t="s">
        <v>14201</v>
      </c>
      <c r="I12212" t="s">
        <v>32662</v>
      </c>
      <c r="J12212" t="s">
        <v>40333</v>
      </c>
      <c r="K12212" t="s">
        <v>42639</v>
      </c>
      <c r="M12212" t="s">
        <v>45246</v>
      </c>
      <c r="N12212" t="s">
        <v>47304</v>
      </c>
      <c r="O12212" t="s">
        <v>47305</v>
      </c>
      <c r="P12212">
        <v>0</v>
      </c>
      <c r="Q12212">
        <v>11</v>
      </c>
      <c r="R12212" t="s">
        <v>47318</v>
      </c>
      <c r="S12212" t="s">
        <v>47736</v>
      </c>
      <c r="T12212" t="s">
        <v>49052</v>
      </c>
      <c r="U12212" t="s">
        <v>59630</v>
      </c>
      <c r="V12212" t="s">
        <v>63264</v>
      </c>
      <c r="W12212" t="s">
        <v>45246</v>
      </c>
      <c r="X12212" t="s">
        <v>47319</v>
      </c>
    </row>
    <row r="12213" spans="1:24">
      <c r="A12213">
        <f>HYPERLINK("https://www.philgeps.gov.ph/GEPSNONPILOT/Tender/SplashBidNoticeAbstractUI.aspx?menuIndex=3&amp;refID=7175824&amp;Result=3","7175824")</f>
        <v>0</v>
      </c>
      <c r="B12213" t="s">
        <v>2712</v>
      </c>
      <c r="C12213" t="s">
        <v>15401</v>
      </c>
      <c r="D12213" t="s">
        <v>19011</v>
      </c>
      <c r="E12213" t="s">
        <v>25068</v>
      </c>
      <c r="F12213" t="s">
        <v>32606</v>
      </c>
      <c r="G12213" t="s">
        <v>32613</v>
      </c>
      <c r="H12213" t="s">
        <v>32623</v>
      </c>
      <c r="I12213" t="s">
        <v>17648</v>
      </c>
      <c r="J12213" t="s">
        <v>32772</v>
      </c>
      <c r="K12213" t="s">
        <v>42631</v>
      </c>
      <c r="M12213" t="s">
        <v>45866</v>
      </c>
      <c r="N12213" t="s">
        <v>47304</v>
      </c>
      <c r="O12213" t="s">
        <v>47305</v>
      </c>
      <c r="P12213">
        <v>0</v>
      </c>
      <c r="Q12213">
        <v>1</v>
      </c>
      <c r="R12213" t="s">
        <v>47318</v>
      </c>
      <c r="S12213" t="s">
        <v>47736</v>
      </c>
      <c r="T12213" t="s">
        <v>49007</v>
      </c>
      <c r="U12213" t="s">
        <v>56615</v>
      </c>
      <c r="W12213" t="s">
        <v>45866</v>
      </c>
      <c r="X12213" t="s">
        <v>47319</v>
      </c>
    </row>
    <row r="12214" spans="1:24">
      <c r="A12214">
        <f>HYPERLINK("https://www.philgeps.gov.ph/GEPSNONPILOT/Tender/SplashBidNoticeAbstractUI.aspx?menuIndex=3&amp;refID=7175820&amp;Result=3","7175820")</f>
        <v>0</v>
      </c>
      <c r="B12214" t="s">
        <v>1565</v>
      </c>
      <c r="C12214" t="s">
        <v>15402</v>
      </c>
      <c r="D12214" t="s">
        <v>19029</v>
      </c>
      <c r="E12214" t="s">
        <v>29468</v>
      </c>
      <c r="F12214" t="s">
        <v>32606</v>
      </c>
      <c r="G12214" t="s">
        <v>32615</v>
      </c>
      <c r="H12214" t="s">
        <v>14201</v>
      </c>
      <c r="I12214" t="s">
        <v>32662</v>
      </c>
      <c r="J12214" t="s">
        <v>40334</v>
      </c>
      <c r="K12214" t="s">
        <v>42638</v>
      </c>
      <c r="M12214" t="s">
        <v>46713</v>
      </c>
      <c r="N12214" t="s">
        <v>47304</v>
      </c>
      <c r="O12214" t="s">
        <v>47305</v>
      </c>
      <c r="P12214">
        <v>0</v>
      </c>
      <c r="Q12214">
        <v>14</v>
      </c>
      <c r="R12214" t="s">
        <v>47318</v>
      </c>
      <c r="S12214" t="s">
        <v>47736</v>
      </c>
      <c r="T12214" t="s">
        <v>49095</v>
      </c>
      <c r="U12214" t="s">
        <v>59631</v>
      </c>
      <c r="W12214" t="s">
        <v>46713</v>
      </c>
      <c r="X12214" t="s">
        <v>47319</v>
      </c>
    </row>
    <row r="12215" spans="1:24">
      <c r="A12215">
        <f>HYPERLINK("https://www.philgeps.gov.ph/GEPSNONPILOT/Tender/SplashBidNoticeAbstractUI.aspx?menuIndex=3&amp;refID=7176241&amp;Result=3","7176241")</f>
        <v>0</v>
      </c>
      <c r="B12215" t="s">
        <v>58</v>
      </c>
      <c r="C12215" t="s">
        <v>15403</v>
      </c>
      <c r="D12215" t="s">
        <v>19011</v>
      </c>
      <c r="E12215" t="s">
        <v>29469</v>
      </c>
      <c r="F12215" t="s">
        <v>32606</v>
      </c>
      <c r="G12215" t="s">
        <v>32613</v>
      </c>
      <c r="H12215" t="s">
        <v>32623</v>
      </c>
      <c r="I12215" t="s">
        <v>17648</v>
      </c>
      <c r="J12215" t="s">
        <v>40335</v>
      </c>
      <c r="K12215" t="s">
        <v>42697</v>
      </c>
      <c r="M12215" t="s">
        <v>46714</v>
      </c>
      <c r="N12215" t="s">
        <v>47304</v>
      </c>
      <c r="O12215" t="s">
        <v>47305</v>
      </c>
      <c r="Q12215">
        <v>1</v>
      </c>
      <c r="R12215" t="s">
        <v>47318</v>
      </c>
      <c r="S12215" t="s">
        <v>47777</v>
      </c>
      <c r="T12215" t="s">
        <v>49002</v>
      </c>
      <c r="U12215" t="s">
        <v>59632</v>
      </c>
      <c r="W12215" t="s">
        <v>46714</v>
      </c>
      <c r="X12215" t="s">
        <v>47319</v>
      </c>
    </row>
    <row r="12216" spans="1:24">
      <c r="A12216">
        <f>HYPERLINK("https://www.philgeps.gov.ph/GEPSNONPILOT/Tender/SplashBidNoticeAbstractUI.aspx?menuIndex=3&amp;refID=7176306&amp;Result=3","7176306")</f>
        <v>0</v>
      </c>
      <c r="B12216" t="s">
        <v>1522</v>
      </c>
      <c r="C12216" t="s">
        <v>10731</v>
      </c>
      <c r="D12216" t="s">
        <v>19023</v>
      </c>
      <c r="E12216" t="s">
        <v>29470</v>
      </c>
      <c r="F12216" t="s">
        <v>32606</v>
      </c>
      <c r="G12216" t="s">
        <v>32614</v>
      </c>
      <c r="H12216" t="s">
        <v>14201</v>
      </c>
      <c r="I12216" t="s">
        <v>32626</v>
      </c>
      <c r="J12216" t="s">
        <v>38894</v>
      </c>
      <c r="K12216" t="s">
        <v>42631</v>
      </c>
      <c r="M12216" t="s">
        <v>44523</v>
      </c>
      <c r="N12216" t="s">
        <v>47304</v>
      </c>
      <c r="O12216" t="s">
        <v>47305</v>
      </c>
      <c r="P12216">
        <v>0</v>
      </c>
      <c r="Q12216">
        <v>6</v>
      </c>
      <c r="R12216" t="s">
        <v>47318</v>
      </c>
      <c r="S12216" t="s">
        <v>47736</v>
      </c>
      <c r="T12216" t="s">
        <v>49014</v>
      </c>
      <c r="U12216" t="s">
        <v>59633</v>
      </c>
      <c r="W12216" t="s">
        <v>44523</v>
      </c>
      <c r="X12216" t="s">
        <v>47319</v>
      </c>
    </row>
    <row r="12217" spans="1:24">
      <c r="A12217">
        <f>HYPERLINK("https://www.philgeps.gov.ph/GEPSNONPILOT/Tender/SplashBidNoticeAbstractUI.aspx?menuIndex=3&amp;refID=7176408&amp;Result=3","7176408")</f>
        <v>0</v>
      </c>
      <c r="B12217" t="s">
        <v>726</v>
      </c>
      <c r="C12217" t="s">
        <v>15404</v>
      </c>
      <c r="D12217" t="s">
        <v>19009</v>
      </c>
      <c r="E12217" t="s">
        <v>29471</v>
      </c>
      <c r="F12217" t="s">
        <v>32606</v>
      </c>
      <c r="G12217" t="s">
        <v>32613</v>
      </c>
      <c r="H12217" t="s">
        <v>32623</v>
      </c>
      <c r="I12217" t="s">
        <v>17648</v>
      </c>
      <c r="J12217" t="s">
        <v>40336</v>
      </c>
      <c r="K12217" t="s">
        <v>42686</v>
      </c>
      <c r="M12217" t="s">
        <v>46187</v>
      </c>
      <c r="N12217" t="s">
        <v>47304</v>
      </c>
      <c r="O12217" t="s">
        <v>47305</v>
      </c>
      <c r="P12217">
        <v>0</v>
      </c>
      <c r="Q12217">
        <v>0</v>
      </c>
      <c r="R12217" t="s">
        <v>47318</v>
      </c>
      <c r="S12217" t="s">
        <v>47736</v>
      </c>
      <c r="T12217" t="s">
        <v>48987</v>
      </c>
      <c r="U12217" t="s">
        <v>59634</v>
      </c>
      <c r="V12217" t="s">
        <v>63961</v>
      </c>
      <c r="W12217" t="s">
        <v>46187</v>
      </c>
      <c r="X12217" t="s">
        <v>47319</v>
      </c>
    </row>
    <row r="12218" spans="1:24">
      <c r="A12218">
        <f>HYPERLINK("https://www.philgeps.gov.ph/GEPSNONPILOT/Tender/SplashBidNoticeAbstractUI.aspx?menuIndex=3&amp;refID=7176473&amp;Result=3","7176473")</f>
        <v>0</v>
      </c>
      <c r="B12218" t="s">
        <v>3453</v>
      </c>
      <c r="C12218" t="s">
        <v>15405</v>
      </c>
      <c r="D12218" t="s">
        <v>19011</v>
      </c>
      <c r="E12218" t="s">
        <v>29472</v>
      </c>
      <c r="F12218" t="s">
        <v>32606</v>
      </c>
      <c r="G12218" t="s">
        <v>32613</v>
      </c>
      <c r="H12218" t="s">
        <v>14201</v>
      </c>
      <c r="I12218" t="s">
        <v>7577</v>
      </c>
      <c r="J12218" t="s">
        <v>40337</v>
      </c>
      <c r="K12218" t="s">
        <v>42631</v>
      </c>
      <c r="M12218" t="s">
        <v>46715</v>
      </c>
      <c r="N12218" t="s">
        <v>47304</v>
      </c>
      <c r="O12218" t="s">
        <v>47305</v>
      </c>
      <c r="Q12218">
        <v>7</v>
      </c>
      <c r="R12218" t="s">
        <v>47318</v>
      </c>
      <c r="S12218" t="s">
        <v>47778</v>
      </c>
      <c r="T12218" t="s">
        <v>48986</v>
      </c>
      <c r="U12218" t="s">
        <v>59635</v>
      </c>
      <c r="W12218" t="s">
        <v>46715</v>
      </c>
      <c r="X12218" t="s">
        <v>47319</v>
      </c>
    </row>
    <row r="12219" spans="1:24">
      <c r="A12219">
        <f>HYPERLINK("https://www.philgeps.gov.ph/GEPSNONPILOT/Tender/SplashBidNoticeAbstractUI.aspx?menuIndex=3&amp;refID=7176083&amp;Result=3","7176083")</f>
        <v>0</v>
      </c>
      <c r="B12219" t="s">
        <v>411</v>
      </c>
      <c r="C12219" t="s">
        <v>15406</v>
      </c>
      <c r="D12219" t="s">
        <v>19047</v>
      </c>
      <c r="E12219" t="s">
        <v>29473</v>
      </c>
      <c r="F12219" t="s">
        <v>32606</v>
      </c>
      <c r="G12219" t="s">
        <v>32613</v>
      </c>
      <c r="H12219" t="s">
        <v>32623</v>
      </c>
      <c r="I12219" t="s">
        <v>17648</v>
      </c>
      <c r="J12219" t="s">
        <v>40338</v>
      </c>
      <c r="K12219" t="s">
        <v>42809</v>
      </c>
      <c r="M12219" t="s">
        <v>43315</v>
      </c>
      <c r="N12219" t="s">
        <v>47304</v>
      </c>
      <c r="O12219" t="s">
        <v>47305</v>
      </c>
      <c r="P12219">
        <v>0</v>
      </c>
      <c r="Q12219">
        <v>2</v>
      </c>
      <c r="R12219" t="s">
        <v>47318</v>
      </c>
      <c r="S12219" t="s">
        <v>47736</v>
      </c>
      <c r="T12219" t="s">
        <v>49052</v>
      </c>
      <c r="U12219" t="s">
        <v>59636</v>
      </c>
      <c r="W12219" t="s">
        <v>43315</v>
      </c>
      <c r="X12219" t="s">
        <v>47319</v>
      </c>
    </row>
    <row r="12220" spans="1:24">
      <c r="A12220">
        <f>HYPERLINK("https://www.philgeps.gov.ph/GEPSNONPILOT/Tender/SplashBidNoticeAbstractUI.aspx?menuIndex=3&amp;refID=7176461&amp;Result=3","7176461")</f>
        <v>0</v>
      </c>
      <c r="B12220" t="s">
        <v>81</v>
      </c>
      <c r="C12220" t="s">
        <v>15407</v>
      </c>
      <c r="D12220" t="s">
        <v>18995</v>
      </c>
      <c r="E12220" t="s">
        <v>29474</v>
      </c>
      <c r="F12220" t="s">
        <v>32606</v>
      </c>
      <c r="G12220" t="s">
        <v>32613</v>
      </c>
      <c r="H12220" t="s">
        <v>14201</v>
      </c>
      <c r="I12220" t="s">
        <v>9008</v>
      </c>
      <c r="J12220" t="s">
        <v>34435</v>
      </c>
      <c r="K12220" t="s">
        <v>42624</v>
      </c>
      <c r="M12220" t="s">
        <v>42978</v>
      </c>
      <c r="N12220" t="s">
        <v>47304</v>
      </c>
      <c r="O12220" t="s">
        <v>47305</v>
      </c>
      <c r="P12220">
        <v>0</v>
      </c>
      <c r="Q12220">
        <v>2</v>
      </c>
      <c r="R12220" t="s">
        <v>47318</v>
      </c>
      <c r="S12220" t="s">
        <v>47736</v>
      </c>
      <c r="T12220" t="s">
        <v>48989</v>
      </c>
      <c r="U12220" t="s">
        <v>59637</v>
      </c>
      <c r="W12220" t="s">
        <v>42978</v>
      </c>
      <c r="X12220" t="s">
        <v>47319</v>
      </c>
    </row>
    <row r="12221" spans="1:24">
      <c r="A12221">
        <f>HYPERLINK("https://www.philgeps.gov.ph/GEPSNONPILOT/Tender/SplashBidNoticeAbstractUI.aspx?menuIndex=3&amp;refID=7176459&amp;Result=3","7176459")</f>
        <v>0</v>
      </c>
      <c r="B12221" t="s">
        <v>3454</v>
      </c>
      <c r="C12221" t="s">
        <v>15408</v>
      </c>
      <c r="D12221" t="s">
        <v>19000</v>
      </c>
      <c r="E12221" t="s">
        <v>29475</v>
      </c>
      <c r="F12221" t="s">
        <v>32606</v>
      </c>
      <c r="G12221" t="s">
        <v>32613</v>
      </c>
      <c r="H12221" t="s">
        <v>14201</v>
      </c>
      <c r="I12221" t="s">
        <v>17648</v>
      </c>
      <c r="J12221" t="s">
        <v>40339</v>
      </c>
      <c r="K12221" t="s">
        <v>42648</v>
      </c>
      <c r="M12221" t="s">
        <v>46716</v>
      </c>
      <c r="N12221" t="s">
        <v>47304</v>
      </c>
      <c r="O12221" t="s">
        <v>47305</v>
      </c>
      <c r="P12221">
        <v>0</v>
      </c>
      <c r="Q12221">
        <v>0</v>
      </c>
      <c r="R12221" t="s">
        <v>47318</v>
      </c>
      <c r="S12221" t="s">
        <v>47736</v>
      </c>
      <c r="T12221" t="s">
        <v>49169</v>
      </c>
      <c r="U12221" t="s">
        <v>59638</v>
      </c>
      <c r="W12221" t="s">
        <v>46716</v>
      </c>
      <c r="X12221" t="s">
        <v>47319</v>
      </c>
    </row>
    <row r="12222" spans="1:24">
      <c r="A12222">
        <f>HYPERLINK("https://www.philgeps.gov.ph/GEPSNONPILOT/Tender/SplashBidNoticeAbstractUI.aspx?menuIndex=3&amp;refID=7176433&amp;Result=3","7176433")</f>
        <v>0</v>
      </c>
      <c r="B12222" t="s">
        <v>3455</v>
      </c>
      <c r="C12222" t="s">
        <v>15409</v>
      </c>
      <c r="D12222" t="s">
        <v>19040</v>
      </c>
      <c r="E12222" t="s">
        <v>29476</v>
      </c>
      <c r="F12222" t="s">
        <v>32606</v>
      </c>
      <c r="G12222" t="s">
        <v>32621</v>
      </c>
      <c r="H12222" t="s">
        <v>32624</v>
      </c>
      <c r="I12222" t="s">
        <v>7064</v>
      </c>
      <c r="J12222" t="s">
        <v>40340</v>
      </c>
      <c r="K12222" t="s">
        <v>42646</v>
      </c>
      <c r="M12222" t="s">
        <v>46717</v>
      </c>
      <c r="N12222" t="s">
        <v>47304</v>
      </c>
      <c r="O12222" t="s">
        <v>47305</v>
      </c>
      <c r="P12222">
        <v>0</v>
      </c>
      <c r="Q12222">
        <v>1</v>
      </c>
      <c r="R12222" t="s">
        <v>47318</v>
      </c>
      <c r="S12222" t="s">
        <v>47736</v>
      </c>
      <c r="T12222" t="s">
        <v>49116</v>
      </c>
      <c r="U12222" t="s">
        <v>59639</v>
      </c>
      <c r="W12222" t="s">
        <v>46717</v>
      </c>
      <c r="X12222" t="s">
        <v>47319</v>
      </c>
    </row>
    <row r="12223" spans="1:24">
      <c r="A12223">
        <f>HYPERLINK("https://www.philgeps.gov.ph/GEPSNONPILOT/Tender/SplashBidNoticeAbstractUI.aspx?menuIndex=3&amp;refID=7175836&amp;Result=3","7175836")</f>
        <v>0</v>
      </c>
      <c r="B12223" t="s">
        <v>2712</v>
      </c>
      <c r="C12223" t="s">
        <v>15410</v>
      </c>
      <c r="D12223" t="s">
        <v>19011</v>
      </c>
      <c r="E12223" t="s">
        <v>25103</v>
      </c>
      <c r="F12223" t="s">
        <v>32606</v>
      </c>
      <c r="G12223" t="s">
        <v>32613</v>
      </c>
      <c r="H12223" t="s">
        <v>32623</v>
      </c>
      <c r="I12223" t="s">
        <v>17648</v>
      </c>
      <c r="J12223" t="s">
        <v>40341</v>
      </c>
      <c r="K12223" t="s">
        <v>42648</v>
      </c>
      <c r="M12223" t="s">
        <v>45866</v>
      </c>
      <c r="N12223" t="s">
        <v>47304</v>
      </c>
      <c r="O12223" t="s">
        <v>47305</v>
      </c>
      <c r="P12223">
        <v>0</v>
      </c>
      <c r="Q12223">
        <v>0</v>
      </c>
      <c r="R12223" t="s">
        <v>47318</v>
      </c>
      <c r="S12223" t="s">
        <v>47736</v>
      </c>
      <c r="T12223" t="s">
        <v>49007</v>
      </c>
      <c r="U12223" t="s">
        <v>56615</v>
      </c>
      <c r="W12223" t="s">
        <v>45866</v>
      </c>
      <c r="X12223" t="s">
        <v>47319</v>
      </c>
    </row>
    <row r="12224" spans="1:24">
      <c r="A12224">
        <f>HYPERLINK("https://www.philgeps.gov.ph/GEPSNONPILOT/Tender/SplashBidNoticeAbstractUI.aspx?menuIndex=3&amp;refID=7176441&amp;Result=3","7176441")</f>
        <v>0</v>
      </c>
      <c r="B12224" t="s">
        <v>3456</v>
      </c>
      <c r="C12224" t="s">
        <v>15411</v>
      </c>
      <c r="D12224" t="s">
        <v>19059</v>
      </c>
      <c r="E12224" t="s">
        <v>29477</v>
      </c>
      <c r="F12224" t="s">
        <v>32606</v>
      </c>
      <c r="G12224" t="s">
        <v>32613</v>
      </c>
      <c r="H12224" t="s">
        <v>14201</v>
      </c>
      <c r="I12224" t="s">
        <v>32633</v>
      </c>
      <c r="J12224" t="s">
        <v>40342</v>
      </c>
      <c r="K12224" t="s">
        <v>42648</v>
      </c>
      <c r="M12224" t="s">
        <v>46718</v>
      </c>
      <c r="N12224" t="s">
        <v>47304</v>
      </c>
      <c r="O12224" t="s">
        <v>47305</v>
      </c>
      <c r="Q12224">
        <v>10</v>
      </c>
      <c r="R12224" t="s">
        <v>47318</v>
      </c>
      <c r="S12224" t="s">
        <v>47779</v>
      </c>
      <c r="T12224" t="s">
        <v>48986</v>
      </c>
      <c r="U12224" t="s">
        <v>59640</v>
      </c>
      <c r="W12224" t="s">
        <v>46718</v>
      </c>
      <c r="X12224" t="s">
        <v>47319</v>
      </c>
    </row>
    <row r="12225" spans="1:24">
      <c r="A12225">
        <f>HYPERLINK("https://www.philgeps.gov.ph/GEPSNONPILOT/Tender/SplashBidNoticeAbstractUI.aspx?menuIndex=3&amp;refID=7176430&amp;Result=3","7176430")</f>
        <v>0</v>
      </c>
      <c r="B12225" t="s">
        <v>1522</v>
      </c>
      <c r="C12225" t="s">
        <v>15412</v>
      </c>
      <c r="D12225" t="s">
        <v>19023</v>
      </c>
      <c r="E12225" t="s">
        <v>29478</v>
      </c>
      <c r="F12225" t="s">
        <v>32606</v>
      </c>
      <c r="G12225" t="s">
        <v>32614</v>
      </c>
      <c r="H12225" t="s">
        <v>14201</v>
      </c>
      <c r="I12225" t="s">
        <v>32626</v>
      </c>
      <c r="J12225" t="s">
        <v>34118</v>
      </c>
      <c r="K12225" t="s">
        <v>42631</v>
      </c>
      <c r="M12225" t="s">
        <v>44523</v>
      </c>
      <c r="N12225" t="s">
        <v>47304</v>
      </c>
      <c r="O12225" t="s">
        <v>47305</v>
      </c>
      <c r="P12225">
        <v>0</v>
      </c>
      <c r="Q12225">
        <v>6</v>
      </c>
      <c r="R12225" t="s">
        <v>47318</v>
      </c>
      <c r="S12225" t="s">
        <v>47736</v>
      </c>
      <c r="T12225" t="s">
        <v>49014</v>
      </c>
      <c r="U12225" t="s">
        <v>59641</v>
      </c>
      <c r="W12225" t="s">
        <v>44523</v>
      </c>
      <c r="X12225" t="s">
        <v>47319</v>
      </c>
    </row>
    <row r="12226" spans="1:24">
      <c r="A12226">
        <f>HYPERLINK("https://www.philgeps.gov.ph/GEPSNONPILOT/Tender/SplashBidNoticeAbstractUI.aspx?menuIndex=3&amp;refID=7176418&amp;Result=3","7176418")</f>
        <v>0</v>
      </c>
      <c r="B12226" t="s">
        <v>3449</v>
      </c>
      <c r="C12226" t="s">
        <v>15413</v>
      </c>
      <c r="D12226" t="s">
        <v>18988</v>
      </c>
      <c r="E12226" t="s">
        <v>29479</v>
      </c>
      <c r="F12226" t="s">
        <v>32606</v>
      </c>
      <c r="G12226" t="s">
        <v>32613</v>
      </c>
      <c r="H12226" t="s">
        <v>32625</v>
      </c>
      <c r="I12226" t="s">
        <v>32625</v>
      </c>
      <c r="J12226" t="s">
        <v>40343</v>
      </c>
      <c r="K12226" t="s">
        <v>42793</v>
      </c>
      <c r="M12226" t="s">
        <v>46709</v>
      </c>
      <c r="N12226" t="s">
        <v>47304</v>
      </c>
      <c r="O12226" t="s">
        <v>47305</v>
      </c>
      <c r="P12226">
        <v>0</v>
      </c>
      <c r="Q12226">
        <v>3</v>
      </c>
      <c r="R12226" t="s">
        <v>47318</v>
      </c>
      <c r="S12226" t="s">
        <v>47736</v>
      </c>
      <c r="T12226" t="s">
        <v>49469</v>
      </c>
      <c r="U12226" t="s">
        <v>59642</v>
      </c>
      <c r="W12226" t="s">
        <v>46709</v>
      </c>
      <c r="X12226" t="s">
        <v>47319</v>
      </c>
    </row>
    <row r="12227" spans="1:24">
      <c r="A12227">
        <f>HYPERLINK("https://www.philgeps.gov.ph/GEPSNONPILOT/Tender/SplashBidNoticeAbstractUI.aspx?menuIndex=3&amp;refID=7176450&amp;Result=3","7176450")</f>
        <v>0</v>
      </c>
      <c r="B12227" t="s">
        <v>3457</v>
      </c>
      <c r="C12227" t="s">
        <v>4640</v>
      </c>
      <c r="D12227" t="s">
        <v>19008</v>
      </c>
      <c r="E12227" t="s">
        <v>23530</v>
      </c>
      <c r="F12227" t="s">
        <v>32606</v>
      </c>
      <c r="G12227" t="s">
        <v>32613</v>
      </c>
      <c r="H12227" t="s">
        <v>14201</v>
      </c>
      <c r="I12227" t="s">
        <v>4678</v>
      </c>
      <c r="J12227" t="s">
        <v>33646</v>
      </c>
      <c r="K12227" t="s">
        <v>42631</v>
      </c>
      <c r="L12227" t="s">
        <v>3457</v>
      </c>
      <c r="M12227" t="s">
        <v>46719</v>
      </c>
      <c r="N12227" t="s">
        <v>47304</v>
      </c>
      <c r="O12227" t="s">
        <v>47305</v>
      </c>
      <c r="P12227">
        <v>0</v>
      </c>
      <c r="Q12227">
        <v>0</v>
      </c>
      <c r="R12227" t="s">
        <v>47318</v>
      </c>
      <c r="S12227" t="s">
        <v>47736</v>
      </c>
      <c r="T12227" t="s">
        <v>49015</v>
      </c>
      <c r="U12227" t="s">
        <v>59643</v>
      </c>
      <c r="V12227" t="s">
        <v>63962</v>
      </c>
      <c r="W12227" t="s">
        <v>46719</v>
      </c>
      <c r="X12227" t="s">
        <v>47319</v>
      </c>
    </row>
    <row r="12228" spans="1:24">
      <c r="A12228">
        <f>HYPERLINK("https://www.philgeps.gov.ph/GEPSNONPILOT/Tender/SplashBidNoticeAbstractUI.aspx?menuIndex=3&amp;refID=7176397&amp;Result=3","7176397")</f>
        <v>0</v>
      </c>
      <c r="B12228" t="s">
        <v>542</v>
      </c>
      <c r="C12228" t="s">
        <v>15414</v>
      </c>
      <c r="D12228" t="s">
        <v>19023</v>
      </c>
      <c r="E12228" t="s">
        <v>29480</v>
      </c>
      <c r="F12228" t="s">
        <v>32606</v>
      </c>
      <c r="G12228" t="s">
        <v>32613</v>
      </c>
      <c r="H12228" t="s">
        <v>32623</v>
      </c>
      <c r="I12228" t="s">
        <v>17648</v>
      </c>
      <c r="J12228" t="s">
        <v>40344</v>
      </c>
      <c r="K12228" t="s">
        <v>42712</v>
      </c>
      <c r="M12228" t="s">
        <v>43456</v>
      </c>
      <c r="N12228" t="s">
        <v>47304</v>
      </c>
      <c r="O12228" t="s">
        <v>47305</v>
      </c>
      <c r="P12228">
        <v>0</v>
      </c>
      <c r="Q12228">
        <v>3</v>
      </c>
      <c r="R12228" t="s">
        <v>47318</v>
      </c>
      <c r="S12228" t="s">
        <v>47736</v>
      </c>
      <c r="T12228" t="s">
        <v>49052</v>
      </c>
      <c r="U12228" t="s">
        <v>59644</v>
      </c>
      <c r="V12228" t="s">
        <v>63959</v>
      </c>
      <c r="W12228" t="s">
        <v>43456</v>
      </c>
      <c r="X12228" t="s">
        <v>47319</v>
      </c>
    </row>
    <row r="12229" spans="1:24">
      <c r="A12229">
        <f>HYPERLINK("https://www.philgeps.gov.ph/GEPSNONPILOT/Tender/SplashBidNoticeAbstractUI.aspx?menuIndex=3&amp;refID=7176420&amp;Result=3","7176420")</f>
        <v>0</v>
      </c>
      <c r="B12229" t="s">
        <v>2823</v>
      </c>
      <c r="C12229" t="s">
        <v>15415</v>
      </c>
      <c r="E12229" t="s">
        <v>29481</v>
      </c>
      <c r="F12229" t="s">
        <v>32609</v>
      </c>
      <c r="G12229" t="s">
        <v>32613</v>
      </c>
      <c r="H12229" t="s">
        <v>14201</v>
      </c>
      <c r="I12229" t="s">
        <v>6298</v>
      </c>
      <c r="J12229" t="s">
        <v>34719</v>
      </c>
      <c r="K12229" t="s">
        <v>42648</v>
      </c>
      <c r="M12229" t="s">
        <v>45987</v>
      </c>
      <c r="N12229" t="s">
        <v>47304</v>
      </c>
      <c r="O12229" t="s">
        <v>47305</v>
      </c>
      <c r="P12229">
        <v>0</v>
      </c>
      <c r="Q12229">
        <v>8</v>
      </c>
      <c r="R12229" t="s">
        <v>47318</v>
      </c>
      <c r="S12229" t="s">
        <v>47736</v>
      </c>
      <c r="T12229" t="s">
        <v>49470</v>
      </c>
      <c r="U12229" t="s">
        <v>59645</v>
      </c>
      <c r="W12229" t="s">
        <v>45987</v>
      </c>
      <c r="X12229" t="s">
        <v>47319</v>
      </c>
    </row>
    <row r="12230" spans="1:24">
      <c r="A12230">
        <f>HYPERLINK("https://www.philgeps.gov.ph/GEPSNONPILOT/Tender/SplashBidNoticeAbstractUI.aspx?menuIndex=3&amp;refID=7175906&amp;Result=3","7175906")</f>
        <v>0</v>
      </c>
      <c r="B12230" t="s">
        <v>2712</v>
      </c>
      <c r="C12230" t="s">
        <v>15416</v>
      </c>
      <c r="D12230" t="s">
        <v>19011</v>
      </c>
      <c r="E12230" t="s">
        <v>29482</v>
      </c>
      <c r="F12230" t="s">
        <v>32606</v>
      </c>
      <c r="G12230" t="s">
        <v>32613</v>
      </c>
      <c r="H12230" t="s">
        <v>32623</v>
      </c>
      <c r="I12230" t="s">
        <v>17648</v>
      </c>
      <c r="J12230" t="s">
        <v>32772</v>
      </c>
      <c r="K12230" t="s">
        <v>42631</v>
      </c>
      <c r="M12230" t="s">
        <v>45866</v>
      </c>
      <c r="N12230" t="s">
        <v>47304</v>
      </c>
      <c r="O12230" t="s">
        <v>47305</v>
      </c>
      <c r="P12230">
        <v>0</v>
      </c>
      <c r="Q12230">
        <v>1</v>
      </c>
      <c r="R12230" t="s">
        <v>47318</v>
      </c>
      <c r="S12230" t="s">
        <v>47736</v>
      </c>
      <c r="T12230" t="s">
        <v>49007</v>
      </c>
      <c r="U12230" t="s">
        <v>56615</v>
      </c>
      <c r="W12230" t="s">
        <v>45866</v>
      </c>
      <c r="X12230" t="s">
        <v>47319</v>
      </c>
    </row>
    <row r="12231" spans="1:24">
      <c r="A12231">
        <f>HYPERLINK("https://www.philgeps.gov.ph/GEPSNONPILOT/Tender/SplashBidNoticeAbstractUI.aspx?menuIndex=3&amp;refID=7176440&amp;Result=3","7176440")</f>
        <v>0</v>
      </c>
      <c r="B12231" t="s">
        <v>3449</v>
      </c>
      <c r="C12231" t="s">
        <v>15417</v>
      </c>
      <c r="D12231" t="s">
        <v>18988</v>
      </c>
      <c r="E12231" t="s">
        <v>29483</v>
      </c>
      <c r="F12231" t="s">
        <v>32606</v>
      </c>
      <c r="G12231" t="s">
        <v>32613</v>
      </c>
      <c r="H12231" t="s">
        <v>32625</v>
      </c>
      <c r="I12231" t="s">
        <v>32625</v>
      </c>
      <c r="J12231" t="s">
        <v>40345</v>
      </c>
      <c r="K12231" t="s">
        <v>42631</v>
      </c>
      <c r="M12231" t="s">
        <v>46709</v>
      </c>
      <c r="N12231" t="s">
        <v>47304</v>
      </c>
      <c r="O12231" t="s">
        <v>47305</v>
      </c>
      <c r="P12231">
        <v>0</v>
      </c>
      <c r="Q12231">
        <v>3</v>
      </c>
      <c r="R12231" t="s">
        <v>47318</v>
      </c>
      <c r="S12231" t="s">
        <v>47736</v>
      </c>
      <c r="T12231" t="s">
        <v>49469</v>
      </c>
      <c r="U12231" t="s">
        <v>59646</v>
      </c>
      <c r="W12231" t="s">
        <v>46709</v>
      </c>
      <c r="X12231" t="s">
        <v>47319</v>
      </c>
    </row>
    <row r="12232" spans="1:24">
      <c r="A12232">
        <f>HYPERLINK("https://www.philgeps.gov.ph/GEPSNONPILOT/Tender/SplashBidNoticeAbstractUI.aspx?menuIndex=3&amp;refID=7176165&amp;Result=3","7176165")</f>
        <v>0</v>
      </c>
      <c r="B12232" t="s">
        <v>3429</v>
      </c>
      <c r="C12232" t="s">
        <v>15418</v>
      </c>
      <c r="D12232" t="s">
        <v>19038</v>
      </c>
      <c r="F12232" t="s">
        <v>32606</v>
      </c>
      <c r="G12232" t="s">
        <v>32613</v>
      </c>
      <c r="H12232" t="s">
        <v>14201</v>
      </c>
      <c r="I12232" t="s">
        <v>6931</v>
      </c>
      <c r="J12232" t="s">
        <v>32820</v>
      </c>
      <c r="K12232" t="s">
        <v>42624</v>
      </c>
      <c r="M12232" t="s">
        <v>46687</v>
      </c>
      <c r="N12232" t="s">
        <v>47304</v>
      </c>
      <c r="O12232" t="s">
        <v>47305</v>
      </c>
      <c r="P12232">
        <v>0</v>
      </c>
      <c r="Q12232">
        <v>0</v>
      </c>
      <c r="R12232" t="s">
        <v>47318</v>
      </c>
      <c r="S12232" t="s">
        <v>47736</v>
      </c>
      <c r="T12232" t="s">
        <v>49100</v>
      </c>
      <c r="U12232" t="s">
        <v>59647</v>
      </c>
      <c r="W12232" t="s">
        <v>46687</v>
      </c>
      <c r="X12232" t="s">
        <v>47319</v>
      </c>
    </row>
    <row r="12233" spans="1:24">
      <c r="A12233">
        <f>HYPERLINK("https://www.philgeps.gov.ph/GEPSNONPILOT/Tender/SplashBidNoticeAbstractUI.aspx?menuIndex=3&amp;refID=7176677&amp;Result=3","7176677")</f>
        <v>0</v>
      </c>
      <c r="B12233" t="s">
        <v>1300</v>
      </c>
      <c r="C12233" t="s">
        <v>15419</v>
      </c>
      <c r="D12233" t="s">
        <v>19037</v>
      </c>
      <c r="E12233" t="s">
        <v>29484</v>
      </c>
      <c r="F12233" t="s">
        <v>32606</v>
      </c>
      <c r="G12233" t="s">
        <v>32613</v>
      </c>
      <c r="H12233" t="s">
        <v>14201</v>
      </c>
      <c r="I12233" t="s">
        <v>7064</v>
      </c>
      <c r="J12233" t="s">
        <v>32861</v>
      </c>
      <c r="K12233" t="s">
        <v>42629</v>
      </c>
      <c r="M12233" t="s">
        <v>44272</v>
      </c>
      <c r="N12233" t="s">
        <v>47304</v>
      </c>
      <c r="O12233" t="s">
        <v>47305</v>
      </c>
      <c r="P12233">
        <v>0</v>
      </c>
      <c r="Q12233">
        <v>1</v>
      </c>
      <c r="R12233" t="s">
        <v>47318</v>
      </c>
      <c r="S12233" t="s">
        <v>47736</v>
      </c>
      <c r="T12233" t="s">
        <v>49037</v>
      </c>
      <c r="U12233" t="s">
        <v>59648</v>
      </c>
      <c r="W12233" t="s">
        <v>44272</v>
      </c>
      <c r="X12233" t="s">
        <v>47319</v>
      </c>
    </row>
    <row r="12234" spans="1:24">
      <c r="A12234">
        <f>HYPERLINK("https://www.philgeps.gov.ph/GEPSNONPILOT/Tender/SplashBidNoticeAbstractUI.aspx?menuIndex=3&amp;refID=7176391&amp;Result=3","7176391")</f>
        <v>0</v>
      </c>
      <c r="B12234" t="s">
        <v>3454</v>
      </c>
      <c r="C12234" t="s">
        <v>15420</v>
      </c>
      <c r="D12234" t="s">
        <v>19000</v>
      </c>
      <c r="E12234" t="s">
        <v>29485</v>
      </c>
      <c r="F12234" t="s">
        <v>32606</v>
      </c>
      <c r="G12234" t="s">
        <v>32613</v>
      </c>
      <c r="H12234" t="s">
        <v>14201</v>
      </c>
      <c r="I12234" t="s">
        <v>32626</v>
      </c>
      <c r="J12234" t="s">
        <v>34207</v>
      </c>
      <c r="K12234" t="s">
        <v>42648</v>
      </c>
      <c r="M12234" t="s">
        <v>46716</v>
      </c>
      <c r="N12234" t="s">
        <v>47304</v>
      </c>
      <c r="O12234" t="s">
        <v>47305</v>
      </c>
      <c r="P12234">
        <v>0</v>
      </c>
      <c r="Q12234">
        <v>0</v>
      </c>
      <c r="R12234" t="s">
        <v>47318</v>
      </c>
      <c r="S12234" t="s">
        <v>47736</v>
      </c>
      <c r="T12234" t="s">
        <v>49169</v>
      </c>
      <c r="U12234" t="s">
        <v>59649</v>
      </c>
      <c r="W12234" t="s">
        <v>46716</v>
      </c>
      <c r="X12234" t="s">
        <v>47319</v>
      </c>
    </row>
    <row r="12235" spans="1:24">
      <c r="A12235">
        <f>HYPERLINK("https://www.philgeps.gov.ph/GEPSNONPILOT/Tender/SplashBidNoticeAbstractUI.aspx?menuIndex=3&amp;refID=7176380&amp;Result=3","7176380")</f>
        <v>0</v>
      </c>
      <c r="B12235" t="s">
        <v>3449</v>
      </c>
      <c r="C12235" t="s">
        <v>15421</v>
      </c>
      <c r="D12235" t="s">
        <v>18988</v>
      </c>
      <c r="E12235" t="s">
        <v>29486</v>
      </c>
      <c r="F12235" t="s">
        <v>32606</v>
      </c>
      <c r="G12235" t="s">
        <v>32613</v>
      </c>
      <c r="H12235" t="s">
        <v>32625</v>
      </c>
      <c r="I12235" t="s">
        <v>32625</v>
      </c>
      <c r="J12235" t="s">
        <v>40346</v>
      </c>
      <c r="K12235" t="s">
        <v>42627</v>
      </c>
      <c r="M12235" t="s">
        <v>46709</v>
      </c>
      <c r="N12235" t="s">
        <v>47304</v>
      </c>
      <c r="O12235" t="s">
        <v>47305</v>
      </c>
      <c r="P12235">
        <v>0</v>
      </c>
      <c r="Q12235">
        <v>3</v>
      </c>
      <c r="R12235" t="s">
        <v>47318</v>
      </c>
      <c r="S12235" t="s">
        <v>47736</v>
      </c>
      <c r="T12235" t="s">
        <v>49469</v>
      </c>
      <c r="U12235" t="s">
        <v>59650</v>
      </c>
      <c r="W12235" t="s">
        <v>46709</v>
      </c>
      <c r="X12235" t="s">
        <v>47319</v>
      </c>
    </row>
    <row r="12236" spans="1:24">
      <c r="A12236">
        <f>HYPERLINK("https://www.philgeps.gov.ph/GEPSNONPILOT/Tender/SplashBidNoticeAbstractUI.aspx?menuIndex=3&amp;refID=7176688&amp;Result=3","7176688")</f>
        <v>0</v>
      </c>
      <c r="B12236" t="s">
        <v>385</v>
      </c>
      <c r="C12236" t="s">
        <v>15422</v>
      </c>
      <c r="D12236" t="s">
        <v>19008</v>
      </c>
      <c r="E12236" t="s">
        <v>20240</v>
      </c>
      <c r="F12236" t="s">
        <v>32606</v>
      </c>
      <c r="G12236" t="s">
        <v>32613</v>
      </c>
      <c r="H12236" t="s">
        <v>14201</v>
      </c>
      <c r="I12236" t="s">
        <v>32633</v>
      </c>
      <c r="J12236" t="s">
        <v>33529</v>
      </c>
      <c r="K12236" t="s">
        <v>42631</v>
      </c>
      <c r="M12236" t="s">
        <v>43288</v>
      </c>
      <c r="N12236" t="s">
        <v>47304</v>
      </c>
      <c r="O12236" t="s">
        <v>47305</v>
      </c>
      <c r="Q12236">
        <v>15</v>
      </c>
      <c r="R12236" t="s">
        <v>47318</v>
      </c>
      <c r="S12236" t="s">
        <v>47780</v>
      </c>
      <c r="T12236" t="s">
        <v>48971</v>
      </c>
      <c r="U12236" t="s">
        <v>59651</v>
      </c>
      <c r="W12236" t="s">
        <v>43288</v>
      </c>
      <c r="X12236" t="s">
        <v>47319</v>
      </c>
    </row>
    <row r="12237" spans="1:24">
      <c r="A12237">
        <f>HYPERLINK("https://www.philgeps.gov.ph/GEPSNONPILOT/Tender/SplashBidNoticeAbstractUI.aspx?menuIndex=3&amp;refID=7176656&amp;Result=3","7176656")</f>
        <v>0</v>
      </c>
      <c r="B12237" t="s">
        <v>3458</v>
      </c>
      <c r="C12237" t="s">
        <v>15423</v>
      </c>
      <c r="D12237" t="s">
        <v>19022</v>
      </c>
      <c r="E12237" t="s">
        <v>29487</v>
      </c>
      <c r="F12237" t="s">
        <v>32606</v>
      </c>
      <c r="G12237" t="s">
        <v>32613</v>
      </c>
      <c r="H12237" t="s">
        <v>14201</v>
      </c>
      <c r="I12237" t="s">
        <v>4114</v>
      </c>
      <c r="J12237" t="s">
        <v>40347</v>
      </c>
      <c r="K12237" t="s">
        <v>42639</v>
      </c>
      <c r="M12237" t="s">
        <v>46720</v>
      </c>
      <c r="N12237" t="s">
        <v>47304</v>
      </c>
      <c r="O12237" t="s">
        <v>47305</v>
      </c>
      <c r="P12237">
        <v>0</v>
      </c>
      <c r="Q12237">
        <v>5</v>
      </c>
      <c r="R12237" t="s">
        <v>47318</v>
      </c>
      <c r="S12237" t="s">
        <v>47736</v>
      </c>
      <c r="T12237" t="s">
        <v>48994</v>
      </c>
      <c r="U12237" t="s">
        <v>59652</v>
      </c>
      <c r="W12237" t="s">
        <v>46720</v>
      </c>
      <c r="X12237" t="s">
        <v>47319</v>
      </c>
    </row>
    <row r="12238" spans="1:24">
      <c r="A12238">
        <f>HYPERLINK("https://www.philgeps.gov.ph/GEPSNONPILOT/Tender/SplashBidNoticeAbstractUI.aspx?menuIndex=3&amp;refID=7176676&amp;Result=3","7176676")</f>
        <v>0</v>
      </c>
      <c r="B12238" t="s">
        <v>3459</v>
      </c>
      <c r="C12238" t="s">
        <v>15424</v>
      </c>
      <c r="D12238" t="s">
        <v>19006</v>
      </c>
      <c r="E12238" t="s">
        <v>29488</v>
      </c>
      <c r="F12238" t="s">
        <v>32606</v>
      </c>
      <c r="G12238" t="s">
        <v>32613</v>
      </c>
      <c r="H12238" t="s">
        <v>32623</v>
      </c>
      <c r="I12238" t="s">
        <v>17648</v>
      </c>
      <c r="J12238" t="s">
        <v>37633</v>
      </c>
      <c r="K12238" t="s">
        <v>42761</v>
      </c>
      <c r="L12238" t="s">
        <v>3459</v>
      </c>
      <c r="M12238" t="s">
        <v>46721</v>
      </c>
      <c r="N12238" t="s">
        <v>47304</v>
      </c>
      <c r="O12238" t="s">
        <v>47305</v>
      </c>
      <c r="P12238">
        <v>0</v>
      </c>
      <c r="Q12238">
        <v>5</v>
      </c>
      <c r="R12238" t="s">
        <v>47318</v>
      </c>
      <c r="S12238" t="s">
        <v>47736</v>
      </c>
      <c r="T12238" t="s">
        <v>49065</v>
      </c>
      <c r="U12238" t="s">
        <v>59653</v>
      </c>
      <c r="W12238" t="s">
        <v>46721</v>
      </c>
      <c r="X12238" t="s">
        <v>47319</v>
      </c>
    </row>
    <row r="12239" spans="1:24">
      <c r="A12239">
        <f>HYPERLINK("https://www.philgeps.gov.ph/GEPSNONPILOT/Tender/SplashBidNoticeAbstractUI.aspx?menuIndex=3&amp;refID=7176613&amp;Result=3","7176613")</f>
        <v>0</v>
      </c>
      <c r="B12239" t="s">
        <v>726</v>
      </c>
      <c r="C12239" t="s">
        <v>15425</v>
      </c>
      <c r="D12239" t="s">
        <v>19009</v>
      </c>
      <c r="E12239" t="s">
        <v>29489</v>
      </c>
      <c r="F12239" t="s">
        <v>32606</v>
      </c>
      <c r="G12239" t="s">
        <v>32613</v>
      </c>
      <c r="H12239" t="s">
        <v>32623</v>
      </c>
      <c r="I12239" t="s">
        <v>17648</v>
      </c>
      <c r="J12239" t="s">
        <v>40348</v>
      </c>
      <c r="K12239" t="s">
        <v>42791</v>
      </c>
      <c r="M12239" t="s">
        <v>46187</v>
      </c>
      <c r="N12239" t="s">
        <v>47304</v>
      </c>
      <c r="O12239" t="s">
        <v>47305</v>
      </c>
      <c r="P12239">
        <v>0</v>
      </c>
      <c r="Q12239">
        <v>0</v>
      </c>
      <c r="R12239" t="s">
        <v>47318</v>
      </c>
      <c r="S12239" t="s">
        <v>47736</v>
      </c>
      <c r="T12239" t="s">
        <v>48987</v>
      </c>
      <c r="U12239" t="s">
        <v>59654</v>
      </c>
      <c r="V12239" t="s">
        <v>63963</v>
      </c>
      <c r="W12239" t="s">
        <v>46187</v>
      </c>
      <c r="X12239" t="s">
        <v>47319</v>
      </c>
    </row>
    <row r="12240" spans="1:24">
      <c r="A12240">
        <f>HYPERLINK("https://www.philgeps.gov.ph/GEPSNONPILOT/Tender/SplashBidNoticeAbstractUI.aspx?menuIndex=3&amp;refID=7176670&amp;Result=3","7176670")</f>
        <v>0</v>
      </c>
      <c r="B12240" t="s">
        <v>3460</v>
      </c>
      <c r="C12240" t="s">
        <v>15426</v>
      </c>
      <c r="D12240" t="s">
        <v>18993</v>
      </c>
      <c r="E12240" t="s">
        <v>29490</v>
      </c>
      <c r="F12240" t="s">
        <v>32606</v>
      </c>
      <c r="G12240" t="s">
        <v>32613</v>
      </c>
      <c r="H12240" t="s">
        <v>14201</v>
      </c>
      <c r="I12240" t="s">
        <v>7064</v>
      </c>
      <c r="J12240" t="s">
        <v>40349</v>
      </c>
      <c r="K12240" t="s">
        <v>42631</v>
      </c>
      <c r="M12240" t="s">
        <v>46722</v>
      </c>
      <c r="N12240" t="s">
        <v>47304</v>
      </c>
      <c r="O12240" t="s">
        <v>47305</v>
      </c>
      <c r="P12240">
        <v>0</v>
      </c>
      <c r="Q12240">
        <v>3</v>
      </c>
      <c r="R12240" t="s">
        <v>47318</v>
      </c>
      <c r="S12240" t="s">
        <v>47736</v>
      </c>
      <c r="T12240" t="s">
        <v>49162</v>
      </c>
      <c r="U12240" t="s">
        <v>59655</v>
      </c>
      <c r="V12240" t="s">
        <v>63964</v>
      </c>
      <c r="W12240" t="s">
        <v>46722</v>
      </c>
      <c r="X12240" t="s">
        <v>47319</v>
      </c>
    </row>
    <row r="12241" spans="1:24">
      <c r="A12241">
        <f>HYPERLINK("https://www.philgeps.gov.ph/GEPSNONPILOT/Tender/SplashBidNoticeAbstractUI.aspx?menuIndex=3&amp;refID=7176611&amp;Result=3","7176611")</f>
        <v>0</v>
      </c>
      <c r="B12241" t="s">
        <v>3379</v>
      </c>
      <c r="C12241" t="s">
        <v>15427</v>
      </c>
      <c r="D12241" t="s">
        <v>19019</v>
      </c>
      <c r="E12241" t="s">
        <v>29491</v>
      </c>
      <c r="F12241" t="s">
        <v>32606</v>
      </c>
      <c r="G12241" t="s">
        <v>32613</v>
      </c>
      <c r="H12241" t="s">
        <v>14201</v>
      </c>
      <c r="I12241" t="s">
        <v>32640</v>
      </c>
      <c r="J12241" t="s">
        <v>40350</v>
      </c>
      <c r="K12241" t="s">
        <v>42622</v>
      </c>
      <c r="M12241" t="s">
        <v>46630</v>
      </c>
      <c r="N12241" t="s">
        <v>47304</v>
      </c>
      <c r="O12241" t="s">
        <v>47305</v>
      </c>
      <c r="P12241">
        <v>0</v>
      </c>
      <c r="Q12241">
        <v>3</v>
      </c>
      <c r="R12241" t="s">
        <v>47318</v>
      </c>
      <c r="S12241" t="s">
        <v>47736</v>
      </c>
      <c r="T12241" t="s">
        <v>49002</v>
      </c>
      <c r="U12241" t="s">
        <v>59656</v>
      </c>
      <c r="W12241" t="s">
        <v>64536</v>
      </c>
      <c r="X12241" t="s">
        <v>47319</v>
      </c>
    </row>
    <row r="12242" spans="1:24">
      <c r="A12242">
        <f>HYPERLINK("https://www.philgeps.gov.ph/GEPSNONPILOT/Tender/SplashBidNoticeAbstractUI.aspx?menuIndex=3&amp;refID=7175978&amp;Result=3","7175978")</f>
        <v>0</v>
      </c>
      <c r="B12242" t="s">
        <v>2331</v>
      </c>
      <c r="C12242" t="s">
        <v>15428</v>
      </c>
      <c r="D12242" t="s">
        <v>19015</v>
      </c>
      <c r="E12242" t="s">
        <v>29492</v>
      </c>
      <c r="F12242" t="s">
        <v>32606</v>
      </c>
      <c r="G12242" t="s">
        <v>32613</v>
      </c>
      <c r="H12242" t="s">
        <v>32623</v>
      </c>
      <c r="I12242" t="s">
        <v>17648</v>
      </c>
      <c r="J12242" t="s">
        <v>40351</v>
      </c>
      <c r="K12242" t="s">
        <v>42712</v>
      </c>
      <c r="M12242" t="s">
        <v>45441</v>
      </c>
      <c r="N12242" t="s">
        <v>47304</v>
      </c>
      <c r="O12242" t="s">
        <v>47305</v>
      </c>
      <c r="P12242">
        <v>0</v>
      </c>
      <c r="Q12242">
        <v>25</v>
      </c>
      <c r="R12242" t="s">
        <v>47318</v>
      </c>
      <c r="S12242" t="s">
        <v>47736</v>
      </c>
      <c r="T12242" t="s">
        <v>48996</v>
      </c>
      <c r="U12242" t="s">
        <v>59657</v>
      </c>
      <c r="W12242" t="s">
        <v>45441</v>
      </c>
      <c r="X12242" t="s">
        <v>47319</v>
      </c>
    </row>
    <row r="12243" spans="1:24">
      <c r="A12243">
        <f>HYPERLINK("https://www.philgeps.gov.ph/GEPSNONPILOT/Tender/SplashBidNoticeAbstractUI.aspx?menuIndex=3&amp;refID=7176607&amp;Result=3","7176607")</f>
        <v>0</v>
      </c>
      <c r="B12243" t="s">
        <v>3461</v>
      </c>
      <c r="C12243" t="s">
        <v>15429</v>
      </c>
      <c r="D12243" t="s">
        <v>19003</v>
      </c>
      <c r="E12243" t="s">
        <v>29493</v>
      </c>
      <c r="F12243" t="s">
        <v>32608</v>
      </c>
      <c r="G12243" t="s">
        <v>32614</v>
      </c>
      <c r="H12243" t="s">
        <v>14201</v>
      </c>
      <c r="I12243" t="s">
        <v>4120</v>
      </c>
      <c r="J12243" t="s">
        <v>40352</v>
      </c>
      <c r="K12243" t="s">
        <v>42625</v>
      </c>
      <c r="M12243" t="s">
        <v>46723</v>
      </c>
      <c r="N12243" t="s">
        <v>47304</v>
      </c>
      <c r="O12243" t="s">
        <v>47305</v>
      </c>
      <c r="P12243">
        <v>0</v>
      </c>
      <c r="Q12243">
        <v>1</v>
      </c>
      <c r="R12243" t="s">
        <v>47318</v>
      </c>
      <c r="S12243" t="s">
        <v>47736</v>
      </c>
      <c r="T12243" t="s">
        <v>49108</v>
      </c>
      <c r="U12243" t="s">
        <v>59658</v>
      </c>
      <c r="V12243" t="s">
        <v>63965</v>
      </c>
      <c r="W12243" t="s">
        <v>46723</v>
      </c>
      <c r="X12243" t="s">
        <v>47319</v>
      </c>
    </row>
    <row r="12244" spans="1:24">
      <c r="A12244">
        <f>HYPERLINK("https://www.philgeps.gov.ph/GEPSNONPILOT/Tender/SplashBidNoticeAbstractUI.aspx?menuIndex=3&amp;refID=7176578&amp;Result=3","7176578")</f>
        <v>0</v>
      </c>
      <c r="B12244" t="s">
        <v>385</v>
      </c>
      <c r="C12244" t="s">
        <v>15430</v>
      </c>
      <c r="D12244" t="s">
        <v>19008</v>
      </c>
      <c r="E12244" t="s">
        <v>20176</v>
      </c>
      <c r="F12244" t="s">
        <v>32606</v>
      </c>
      <c r="G12244" t="s">
        <v>32613</v>
      </c>
      <c r="H12244" t="s">
        <v>14201</v>
      </c>
      <c r="I12244" t="s">
        <v>6298</v>
      </c>
      <c r="J12244" t="s">
        <v>32981</v>
      </c>
      <c r="K12244" t="s">
        <v>42623</v>
      </c>
      <c r="M12244" t="s">
        <v>43288</v>
      </c>
      <c r="N12244" t="s">
        <v>47304</v>
      </c>
      <c r="O12244" t="s">
        <v>47305</v>
      </c>
      <c r="Q12244">
        <v>5</v>
      </c>
      <c r="R12244" t="s">
        <v>47318</v>
      </c>
      <c r="S12244" t="s">
        <v>47781</v>
      </c>
      <c r="T12244" t="s">
        <v>48971</v>
      </c>
      <c r="U12244" t="s">
        <v>59651</v>
      </c>
      <c r="W12244" t="s">
        <v>43288</v>
      </c>
      <c r="X12244" t="s">
        <v>47319</v>
      </c>
    </row>
    <row r="12245" spans="1:24">
      <c r="A12245">
        <f>HYPERLINK("https://www.philgeps.gov.ph/GEPSNONPILOT/Tender/SplashBidNoticeAbstractUI.aspx?menuIndex=3&amp;refID=7176694&amp;Result=3","7176694")</f>
        <v>0</v>
      </c>
      <c r="B12245" t="s">
        <v>3459</v>
      </c>
      <c r="C12245" t="s">
        <v>15431</v>
      </c>
      <c r="D12245" t="s">
        <v>19006</v>
      </c>
      <c r="E12245" t="s">
        <v>29494</v>
      </c>
      <c r="F12245" t="s">
        <v>32606</v>
      </c>
      <c r="G12245" t="s">
        <v>32613</v>
      </c>
      <c r="H12245" t="s">
        <v>32623</v>
      </c>
      <c r="I12245" t="s">
        <v>17648</v>
      </c>
      <c r="J12245" t="s">
        <v>40353</v>
      </c>
      <c r="K12245" t="s">
        <v>42712</v>
      </c>
      <c r="L12245" t="s">
        <v>3459</v>
      </c>
      <c r="M12245" t="s">
        <v>46721</v>
      </c>
      <c r="N12245" t="s">
        <v>47304</v>
      </c>
      <c r="O12245" t="s">
        <v>47305</v>
      </c>
      <c r="P12245">
        <v>0</v>
      </c>
      <c r="Q12245">
        <v>5</v>
      </c>
      <c r="R12245" t="s">
        <v>47318</v>
      </c>
      <c r="S12245" t="s">
        <v>47736</v>
      </c>
      <c r="T12245" t="s">
        <v>49065</v>
      </c>
      <c r="U12245" t="s">
        <v>59659</v>
      </c>
      <c r="W12245" t="s">
        <v>46721</v>
      </c>
      <c r="X12245" t="s">
        <v>47319</v>
      </c>
    </row>
    <row r="12246" spans="1:24">
      <c r="A12246">
        <f>HYPERLINK("https://www.philgeps.gov.ph/GEPSNONPILOT/Tender/SplashBidNoticeAbstractUI.aspx?menuIndex=3&amp;refID=7176892&amp;Result=3","7176892")</f>
        <v>0</v>
      </c>
      <c r="B12246" t="s">
        <v>3462</v>
      </c>
      <c r="C12246" t="s">
        <v>15432</v>
      </c>
      <c r="D12246" t="s">
        <v>18995</v>
      </c>
      <c r="E12246" t="s">
        <v>29495</v>
      </c>
      <c r="F12246" t="s">
        <v>32606</v>
      </c>
      <c r="G12246" t="s">
        <v>32613</v>
      </c>
      <c r="H12246" t="s">
        <v>14201</v>
      </c>
      <c r="I12246" t="s">
        <v>32638</v>
      </c>
      <c r="J12246" t="s">
        <v>40354</v>
      </c>
      <c r="K12246" t="s">
        <v>42631</v>
      </c>
      <c r="M12246" t="s">
        <v>46724</v>
      </c>
      <c r="N12246" t="s">
        <v>47304</v>
      </c>
      <c r="O12246" t="s">
        <v>47305</v>
      </c>
      <c r="P12246">
        <v>0</v>
      </c>
      <c r="Q12246">
        <v>8</v>
      </c>
      <c r="R12246" t="s">
        <v>47318</v>
      </c>
      <c r="S12246" t="s">
        <v>47736</v>
      </c>
      <c r="T12246" t="s">
        <v>49169</v>
      </c>
      <c r="U12246" t="s">
        <v>59660</v>
      </c>
      <c r="V12246" t="s">
        <v>63966</v>
      </c>
      <c r="W12246" t="s">
        <v>46724</v>
      </c>
      <c r="X12246" t="s">
        <v>47319</v>
      </c>
    </row>
    <row r="12247" spans="1:24">
      <c r="A12247">
        <f>HYPERLINK("https://www.philgeps.gov.ph/GEPSNONPILOT/Tender/SplashBidNoticeAbstractUI.aspx?menuIndex=3&amp;refID=7176629&amp;Result=3","7176629")</f>
        <v>0</v>
      </c>
      <c r="B12247" t="s">
        <v>3460</v>
      </c>
      <c r="C12247" t="s">
        <v>15433</v>
      </c>
      <c r="D12247" t="s">
        <v>18993</v>
      </c>
      <c r="E12247" t="s">
        <v>29496</v>
      </c>
      <c r="F12247" t="s">
        <v>32606</v>
      </c>
      <c r="G12247" t="s">
        <v>32613</v>
      </c>
      <c r="H12247" t="s">
        <v>14201</v>
      </c>
      <c r="I12247" t="s">
        <v>4120</v>
      </c>
      <c r="J12247" t="s">
        <v>40355</v>
      </c>
      <c r="K12247" t="s">
        <v>42631</v>
      </c>
      <c r="M12247" t="s">
        <v>46722</v>
      </c>
      <c r="N12247" t="s">
        <v>47304</v>
      </c>
      <c r="O12247" t="s">
        <v>47305</v>
      </c>
      <c r="P12247">
        <v>0</v>
      </c>
      <c r="Q12247">
        <v>6</v>
      </c>
      <c r="R12247" t="s">
        <v>47318</v>
      </c>
      <c r="S12247" t="s">
        <v>47736</v>
      </c>
      <c r="T12247" t="s">
        <v>49162</v>
      </c>
      <c r="U12247" t="s">
        <v>59661</v>
      </c>
      <c r="V12247" t="s">
        <v>63964</v>
      </c>
      <c r="W12247" t="s">
        <v>46722</v>
      </c>
      <c r="X12247" t="s">
        <v>47319</v>
      </c>
    </row>
    <row r="12248" spans="1:24">
      <c r="A12248">
        <f>HYPERLINK("https://www.philgeps.gov.ph/GEPSNONPILOT/Tender/SplashBidNoticeAbstractUI.aspx?menuIndex=3&amp;refID=7176881&amp;Result=3","7176881")</f>
        <v>0</v>
      </c>
      <c r="B12248" t="s">
        <v>3047</v>
      </c>
      <c r="C12248" t="s">
        <v>15434</v>
      </c>
      <c r="D12248" t="s">
        <v>19008</v>
      </c>
      <c r="E12248" t="s">
        <v>29497</v>
      </c>
      <c r="F12248" t="s">
        <v>32606</v>
      </c>
      <c r="G12248" t="s">
        <v>32613</v>
      </c>
      <c r="H12248" t="s">
        <v>14201</v>
      </c>
      <c r="I12248" t="s">
        <v>32640</v>
      </c>
      <c r="J12248" t="s">
        <v>38412</v>
      </c>
      <c r="K12248" t="s">
        <v>42631</v>
      </c>
      <c r="M12248" t="s">
        <v>46243</v>
      </c>
      <c r="N12248" t="s">
        <v>47304</v>
      </c>
      <c r="O12248" t="s">
        <v>47305</v>
      </c>
      <c r="Q12248">
        <v>6</v>
      </c>
      <c r="R12248" t="s">
        <v>47318</v>
      </c>
      <c r="S12248" t="s">
        <v>47782</v>
      </c>
      <c r="T12248" t="s">
        <v>49390</v>
      </c>
      <c r="U12248" t="s">
        <v>59662</v>
      </c>
      <c r="W12248" t="s">
        <v>46243</v>
      </c>
      <c r="X12248" t="s">
        <v>47319</v>
      </c>
    </row>
    <row r="12249" spans="1:24">
      <c r="A12249">
        <f>HYPERLINK("https://www.philgeps.gov.ph/GEPSNONPILOT/Tender/SplashBidNoticeAbstractUI.aspx?menuIndex=3&amp;refID=7176666&amp;Result=3","7176666")</f>
        <v>0</v>
      </c>
      <c r="B12249" t="s">
        <v>2335</v>
      </c>
      <c r="C12249" t="s">
        <v>15435</v>
      </c>
      <c r="D12249" t="s">
        <v>19033</v>
      </c>
      <c r="E12249" t="s">
        <v>29498</v>
      </c>
      <c r="F12249" t="s">
        <v>32606</v>
      </c>
      <c r="G12249" t="s">
        <v>32613</v>
      </c>
      <c r="H12249" t="s">
        <v>32623</v>
      </c>
      <c r="I12249" t="s">
        <v>17648</v>
      </c>
      <c r="J12249" t="s">
        <v>40356</v>
      </c>
      <c r="K12249" t="s">
        <v>42646</v>
      </c>
      <c r="M12249" t="s">
        <v>45445</v>
      </c>
      <c r="N12249" t="s">
        <v>47304</v>
      </c>
      <c r="O12249" t="s">
        <v>47305</v>
      </c>
      <c r="P12249">
        <v>0</v>
      </c>
      <c r="Q12249">
        <v>4</v>
      </c>
      <c r="R12249" t="s">
        <v>47318</v>
      </c>
      <c r="S12249" t="s">
        <v>47736</v>
      </c>
      <c r="T12249" t="s">
        <v>49156</v>
      </c>
      <c r="U12249" t="s">
        <v>59663</v>
      </c>
      <c r="W12249" t="s">
        <v>45445</v>
      </c>
      <c r="X12249" t="s">
        <v>47319</v>
      </c>
    </row>
    <row r="12250" spans="1:24">
      <c r="A12250">
        <f>HYPERLINK("https://www.philgeps.gov.ph/GEPSNONPILOT/Tender/SplashBidNoticeAbstractUI.aspx?menuIndex=3&amp;refID=7176876&amp;Result=3","7176876")</f>
        <v>0</v>
      </c>
      <c r="B12250" t="s">
        <v>58</v>
      </c>
      <c r="C12250" t="s">
        <v>15436</v>
      </c>
      <c r="D12250" t="s">
        <v>19011</v>
      </c>
      <c r="E12250" t="s">
        <v>29499</v>
      </c>
      <c r="F12250" t="s">
        <v>32606</v>
      </c>
      <c r="G12250" t="s">
        <v>32613</v>
      </c>
      <c r="H12250" t="s">
        <v>32623</v>
      </c>
      <c r="I12250" t="s">
        <v>17648</v>
      </c>
      <c r="J12250" t="s">
        <v>40357</v>
      </c>
      <c r="K12250" t="s">
        <v>42697</v>
      </c>
      <c r="M12250" t="s">
        <v>46714</v>
      </c>
      <c r="N12250" t="s">
        <v>47304</v>
      </c>
      <c r="O12250" t="s">
        <v>47305</v>
      </c>
      <c r="Q12250">
        <v>0</v>
      </c>
      <c r="R12250" t="s">
        <v>47318</v>
      </c>
      <c r="S12250" t="s">
        <v>47783</v>
      </c>
      <c r="T12250" t="s">
        <v>49002</v>
      </c>
      <c r="U12250" t="s">
        <v>59664</v>
      </c>
      <c r="W12250" t="s">
        <v>46714</v>
      </c>
      <c r="X12250" t="s">
        <v>47319</v>
      </c>
    </row>
    <row r="12251" spans="1:24">
      <c r="A12251">
        <f>HYPERLINK("https://www.philgeps.gov.ph/GEPSNONPILOT/Tender/SplashBidNoticeAbstractUI.aspx?menuIndex=3&amp;refID=7176875&amp;Result=3","7176875")</f>
        <v>0</v>
      </c>
      <c r="B12251" t="s">
        <v>2266</v>
      </c>
      <c r="C12251" t="s">
        <v>15437</v>
      </c>
      <c r="D12251" t="s">
        <v>19003</v>
      </c>
      <c r="E12251" t="s">
        <v>29500</v>
      </c>
      <c r="F12251" t="s">
        <v>32606</v>
      </c>
      <c r="G12251" t="s">
        <v>32613</v>
      </c>
      <c r="H12251" t="s">
        <v>14201</v>
      </c>
      <c r="I12251" t="s">
        <v>6931</v>
      </c>
      <c r="J12251" t="s">
        <v>40358</v>
      </c>
      <c r="K12251" t="s">
        <v>42688</v>
      </c>
      <c r="M12251" t="s">
        <v>45371</v>
      </c>
      <c r="N12251" t="s">
        <v>47304</v>
      </c>
      <c r="O12251" t="s">
        <v>47305</v>
      </c>
      <c r="P12251">
        <v>0</v>
      </c>
      <c r="Q12251">
        <v>4</v>
      </c>
      <c r="R12251" t="s">
        <v>47318</v>
      </c>
      <c r="S12251" t="s">
        <v>47736</v>
      </c>
      <c r="T12251" t="s">
        <v>49099</v>
      </c>
      <c r="U12251" t="s">
        <v>59665</v>
      </c>
      <c r="W12251" t="s">
        <v>45371</v>
      </c>
      <c r="X12251" t="s">
        <v>47319</v>
      </c>
    </row>
    <row r="12252" spans="1:24">
      <c r="A12252">
        <f>HYPERLINK("https://www.philgeps.gov.ph/GEPSNONPILOT/Tender/SplashBidNoticeAbstractUI.aspx?menuIndex=3&amp;refID=7176855&amp;Result=3","7176855")</f>
        <v>0</v>
      </c>
      <c r="B12252" t="s">
        <v>3047</v>
      </c>
      <c r="C12252" t="s">
        <v>15438</v>
      </c>
      <c r="D12252" t="s">
        <v>19008</v>
      </c>
      <c r="E12252" t="s">
        <v>29501</v>
      </c>
      <c r="F12252" t="s">
        <v>32606</v>
      </c>
      <c r="G12252" t="s">
        <v>32613</v>
      </c>
      <c r="H12252" t="s">
        <v>32623</v>
      </c>
      <c r="I12252" t="s">
        <v>17648</v>
      </c>
      <c r="J12252" t="s">
        <v>40359</v>
      </c>
      <c r="K12252" t="s">
        <v>42651</v>
      </c>
      <c r="M12252" t="s">
        <v>46243</v>
      </c>
      <c r="N12252" t="s">
        <v>47304</v>
      </c>
      <c r="O12252" t="s">
        <v>47305</v>
      </c>
      <c r="Q12252">
        <v>11</v>
      </c>
      <c r="R12252" t="s">
        <v>47318</v>
      </c>
      <c r="S12252" t="s">
        <v>47784</v>
      </c>
      <c r="T12252" t="s">
        <v>49075</v>
      </c>
      <c r="U12252" t="s">
        <v>59666</v>
      </c>
      <c r="W12252" t="s">
        <v>46243</v>
      </c>
      <c r="X12252" t="s">
        <v>47319</v>
      </c>
    </row>
    <row r="12253" spans="1:24">
      <c r="A12253">
        <f>HYPERLINK("https://www.philgeps.gov.ph/GEPSNONPILOT/Tender/SplashBidNoticeAbstractUI.aspx?menuIndex=3&amp;refID=7176851&amp;Result=3","7176851")</f>
        <v>0</v>
      </c>
      <c r="B12253" t="s">
        <v>3244</v>
      </c>
      <c r="C12253" t="s">
        <v>15439</v>
      </c>
      <c r="E12253" t="s">
        <v>29502</v>
      </c>
      <c r="F12253" t="s">
        <v>32606</v>
      </c>
      <c r="G12253" t="s">
        <v>32613</v>
      </c>
      <c r="H12253" t="s">
        <v>14201</v>
      </c>
      <c r="I12253" t="s">
        <v>32743</v>
      </c>
      <c r="J12253" t="s">
        <v>35895</v>
      </c>
      <c r="K12253" t="s">
        <v>42624</v>
      </c>
      <c r="M12253" t="s">
        <v>46477</v>
      </c>
      <c r="N12253" t="s">
        <v>47304</v>
      </c>
      <c r="O12253" t="s">
        <v>47305</v>
      </c>
      <c r="Q12253">
        <v>12</v>
      </c>
      <c r="R12253" t="s">
        <v>47318</v>
      </c>
      <c r="S12253" t="s">
        <v>47785</v>
      </c>
      <c r="T12253" t="s">
        <v>49471</v>
      </c>
      <c r="U12253" t="s">
        <v>58699</v>
      </c>
      <c r="W12253" t="s">
        <v>46477</v>
      </c>
      <c r="X12253" t="s">
        <v>47319</v>
      </c>
    </row>
    <row r="12254" spans="1:24">
      <c r="A12254">
        <f>HYPERLINK("https://www.philgeps.gov.ph/GEPSNONPILOT/Tender/SplashBidNoticeAbstractUI.aspx?menuIndex=3&amp;refID=7176836&amp;Result=3","7176836")</f>
        <v>0</v>
      </c>
      <c r="B12254" t="s">
        <v>3244</v>
      </c>
      <c r="C12254" t="s">
        <v>15440</v>
      </c>
      <c r="E12254" t="s">
        <v>29503</v>
      </c>
      <c r="F12254" t="s">
        <v>32606</v>
      </c>
      <c r="G12254" t="s">
        <v>32613</v>
      </c>
      <c r="H12254" t="s">
        <v>14201</v>
      </c>
      <c r="I12254" t="s">
        <v>32743</v>
      </c>
      <c r="J12254" t="s">
        <v>40360</v>
      </c>
      <c r="K12254" t="s">
        <v>42624</v>
      </c>
      <c r="M12254" t="s">
        <v>46477</v>
      </c>
      <c r="N12254" t="s">
        <v>47304</v>
      </c>
      <c r="O12254" t="s">
        <v>47305</v>
      </c>
      <c r="Q12254">
        <v>13</v>
      </c>
      <c r="R12254" t="s">
        <v>47318</v>
      </c>
      <c r="S12254" t="s">
        <v>47786</v>
      </c>
      <c r="T12254" t="s">
        <v>49471</v>
      </c>
      <c r="U12254" t="s">
        <v>58699</v>
      </c>
      <c r="W12254" t="s">
        <v>46477</v>
      </c>
      <c r="X12254" t="s">
        <v>47319</v>
      </c>
    </row>
    <row r="12255" spans="1:24">
      <c r="A12255">
        <f>HYPERLINK("https://www.philgeps.gov.ph/GEPSNONPILOT/Tender/SplashBidNoticeAbstractUI.aspx?menuIndex=3&amp;refID=7176829&amp;Result=3","7176829")</f>
        <v>0</v>
      </c>
      <c r="B12255" t="s">
        <v>3244</v>
      </c>
      <c r="C12255" t="s">
        <v>15441</v>
      </c>
      <c r="E12255" t="s">
        <v>29504</v>
      </c>
      <c r="F12255" t="s">
        <v>32606</v>
      </c>
      <c r="G12255" t="s">
        <v>32613</v>
      </c>
      <c r="H12255" t="s">
        <v>14201</v>
      </c>
      <c r="I12255" t="s">
        <v>32743</v>
      </c>
      <c r="J12255" t="s">
        <v>40361</v>
      </c>
      <c r="K12255" t="s">
        <v>42624</v>
      </c>
      <c r="M12255" t="s">
        <v>46477</v>
      </c>
      <c r="N12255" t="s">
        <v>47304</v>
      </c>
      <c r="O12255" t="s">
        <v>47305</v>
      </c>
      <c r="Q12255">
        <v>11</v>
      </c>
      <c r="R12255" t="s">
        <v>47318</v>
      </c>
      <c r="S12255" t="s">
        <v>47787</v>
      </c>
      <c r="T12255" t="s">
        <v>49471</v>
      </c>
      <c r="U12255" t="s">
        <v>58699</v>
      </c>
      <c r="W12255" t="s">
        <v>46477</v>
      </c>
      <c r="X12255" t="s">
        <v>47319</v>
      </c>
    </row>
    <row r="12256" spans="1:24">
      <c r="A12256">
        <f>HYPERLINK("https://www.philgeps.gov.ph/GEPSNONPILOT/Tender/SplashBidNoticeAbstractUI.aspx?menuIndex=3&amp;refID=7176562&amp;Result=3","7176562")</f>
        <v>0</v>
      </c>
      <c r="B12256" t="s">
        <v>726</v>
      </c>
      <c r="C12256" t="s">
        <v>15442</v>
      </c>
      <c r="D12256" t="s">
        <v>19009</v>
      </c>
      <c r="E12256" t="s">
        <v>29505</v>
      </c>
      <c r="F12256" t="s">
        <v>32606</v>
      </c>
      <c r="G12256" t="s">
        <v>32613</v>
      </c>
      <c r="H12256" t="s">
        <v>32623</v>
      </c>
      <c r="I12256" t="s">
        <v>17648</v>
      </c>
      <c r="J12256" t="s">
        <v>40362</v>
      </c>
      <c r="K12256" t="s">
        <v>42698</v>
      </c>
      <c r="M12256" t="s">
        <v>46187</v>
      </c>
      <c r="N12256" t="s">
        <v>47304</v>
      </c>
      <c r="O12256" t="s">
        <v>47305</v>
      </c>
      <c r="P12256">
        <v>0</v>
      </c>
      <c r="Q12256">
        <v>0</v>
      </c>
      <c r="R12256" t="s">
        <v>47318</v>
      </c>
      <c r="S12256" t="s">
        <v>47736</v>
      </c>
      <c r="T12256" t="s">
        <v>48987</v>
      </c>
      <c r="U12256" t="s">
        <v>59667</v>
      </c>
      <c r="V12256" t="s">
        <v>63967</v>
      </c>
      <c r="W12256" t="s">
        <v>46187</v>
      </c>
      <c r="X12256" t="s">
        <v>47319</v>
      </c>
    </row>
    <row r="12257" spans="1:24">
      <c r="A12257">
        <f>HYPERLINK("https://www.philgeps.gov.ph/GEPSNONPILOT/Tender/SplashBidNoticeAbstractUI.aspx?menuIndex=3&amp;refID=7176823&amp;Result=3","7176823")</f>
        <v>0</v>
      </c>
      <c r="B12257" t="s">
        <v>3244</v>
      </c>
      <c r="C12257" t="s">
        <v>15443</v>
      </c>
      <c r="E12257" t="s">
        <v>29506</v>
      </c>
      <c r="F12257" t="s">
        <v>32606</v>
      </c>
      <c r="G12257" t="s">
        <v>32613</v>
      </c>
      <c r="H12257" t="s">
        <v>14201</v>
      </c>
      <c r="I12257" t="s">
        <v>32743</v>
      </c>
      <c r="J12257" t="s">
        <v>33039</v>
      </c>
      <c r="K12257" t="s">
        <v>42624</v>
      </c>
      <c r="M12257" t="s">
        <v>46477</v>
      </c>
      <c r="N12257" t="s">
        <v>47304</v>
      </c>
      <c r="O12257" t="s">
        <v>47305</v>
      </c>
      <c r="Q12257">
        <v>10</v>
      </c>
      <c r="R12257" t="s">
        <v>47318</v>
      </c>
      <c r="S12257" t="s">
        <v>47788</v>
      </c>
      <c r="T12257" t="s">
        <v>49471</v>
      </c>
      <c r="U12257" t="s">
        <v>58699</v>
      </c>
      <c r="W12257" t="s">
        <v>46477</v>
      </c>
      <c r="X12257" t="s">
        <v>47319</v>
      </c>
    </row>
    <row r="12258" spans="1:24">
      <c r="A12258">
        <f>HYPERLINK("https://www.philgeps.gov.ph/GEPSNONPILOT/Tender/SplashBidNoticeAbstractUI.aspx?menuIndex=3&amp;refID=7176378&amp;Result=3","7176378")</f>
        <v>0</v>
      </c>
      <c r="B12258" t="s">
        <v>3457</v>
      </c>
      <c r="C12258" t="s">
        <v>15444</v>
      </c>
      <c r="D12258" t="s">
        <v>19008</v>
      </c>
      <c r="E12258" t="s">
        <v>23545</v>
      </c>
      <c r="F12258" t="s">
        <v>32606</v>
      </c>
      <c r="G12258" t="s">
        <v>32613</v>
      </c>
      <c r="H12258" t="s">
        <v>14201</v>
      </c>
      <c r="I12258" t="s">
        <v>32646</v>
      </c>
      <c r="J12258" t="s">
        <v>35373</v>
      </c>
      <c r="K12258" t="s">
        <v>42631</v>
      </c>
      <c r="L12258" t="s">
        <v>3457</v>
      </c>
      <c r="M12258" t="s">
        <v>46719</v>
      </c>
      <c r="N12258" t="s">
        <v>47304</v>
      </c>
      <c r="O12258" t="s">
        <v>47305</v>
      </c>
      <c r="P12258">
        <v>0</v>
      </c>
      <c r="Q12258">
        <v>1</v>
      </c>
      <c r="R12258" t="s">
        <v>47318</v>
      </c>
      <c r="S12258" t="s">
        <v>47736</v>
      </c>
      <c r="T12258" t="s">
        <v>49015</v>
      </c>
      <c r="U12258" t="s">
        <v>59668</v>
      </c>
      <c r="V12258" t="s">
        <v>63962</v>
      </c>
      <c r="W12258" t="s">
        <v>46719</v>
      </c>
      <c r="X12258" t="s">
        <v>47319</v>
      </c>
    </row>
    <row r="12259" spans="1:24">
      <c r="A12259">
        <f>HYPERLINK("https://www.philgeps.gov.ph/GEPSNONPILOT/Tender/SplashBidNoticeAbstractUI.aspx?menuIndex=3&amp;refID=7176807&amp;Result=3","7176807")</f>
        <v>0</v>
      </c>
      <c r="B12259" t="s">
        <v>1698</v>
      </c>
      <c r="C12259" t="s">
        <v>15445</v>
      </c>
      <c r="E12259" t="s">
        <v>29507</v>
      </c>
      <c r="F12259" t="s">
        <v>32606</v>
      </c>
      <c r="G12259" t="s">
        <v>32613</v>
      </c>
      <c r="H12259" t="s">
        <v>14201</v>
      </c>
      <c r="I12259" t="s">
        <v>6298</v>
      </c>
      <c r="J12259" t="s">
        <v>40363</v>
      </c>
      <c r="K12259" t="s">
        <v>42624</v>
      </c>
      <c r="M12259" t="s">
        <v>44727</v>
      </c>
      <c r="N12259" t="s">
        <v>47304</v>
      </c>
      <c r="O12259" t="s">
        <v>47305</v>
      </c>
      <c r="P12259">
        <v>0</v>
      </c>
      <c r="Q12259">
        <v>13</v>
      </c>
      <c r="R12259" t="s">
        <v>47318</v>
      </c>
      <c r="S12259" t="s">
        <v>47736</v>
      </c>
      <c r="T12259" t="s">
        <v>49291</v>
      </c>
      <c r="U12259" t="s">
        <v>53458</v>
      </c>
      <c r="W12259" t="s">
        <v>44727</v>
      </c>
      <c r="X12259" t="s">
        <v>47319</v>
      </c>
    </row>
    <row r="12260" spans="1:24">
      <c r="A12260">
        <f>HYPERLINK("https://www.philgeps.gov.ph/GEPSNONPILOT/Tender/SplashBidNoticeAbstractUI.aspx?menuIndex=3&amp;refID=7176762&amp;Result=3","7176762")</f>
        <v>0</v>
      </c>
      <c r="B12260" t="s">
        <v>3460</v>
      </c>
      <c r="C12260" t="s">
        <v>15446</v>
      </c>
      <c r="D12260" t="s">
        <v>18993</v>
      </c>
      <c r="E12260" t="s">
        <v>29508</v>
      </c>
      <c r="F12260" t="s">
        <v>32606</v>
      </c>
      <c r="G12260" t="s">
        <v>32613</v>
      </c>
      <c r="H12260" t="s">
        <v>14201</v>
      </c>
      <c r="I12260" t="s">
        <v>7677</v>
      </c>
      <c r="J12260" t="s">
        <v>34246</v>
      </c>
      <c r="K12260" t="s">
        <v>42631</v>
      </c>
      <c r="M12260" t="s">
        <v>46722</v>
      </c>
      <c r="N12260" t="s">
        <v>47304</v>
      </c>
      <c r="O12260" t="s">
        <v>47305</v>
      </c>
      <c r="P12260">
        <v>0</v>
      </c>
      <c r="Q12260">
        <v>14</v>
      </c>
      <c r="R12260" t="s">
        <v>47318</v>
      </c>
      <c r="S12260" t="s">
        <v>47736</v>
      </c>
      <c r="T12260" t="s">
        <v>49162</v>
      </c>
      <c r="U12260" t="s">
        <v>59661</v>
      </c>
      <c r="V12260" t="s">
        <v>63964</v>
      </c>
      <c r="W12260" t="s">
        <v>46722</v>
      </c>
      <c r="X12260" t="s">
        <v>47319</v>
      </c>
    </row>
    <row r="12261" spans="1:24">
      <c r="A12261">
        <f>HYPERLINK("https://www.philgeps.gov.ph/GEPSNONPILOT/Tender/SplashBidNoticeAbstractUI.aspx?menuIndex=3&amp;refID=7176606&amp;Result=3","7176606")</f>
        <v>0</v>
      </c>
      <c r="B12261" t="s">
        <v>3244</v>
      </c>
      <c r="C12261" t="s">
        <v>15447</v>
      </c>
      <c r="E12261" t="s">
        <v>29509</v>
      </c>
      <c r="F12261" t="s">
        <v>32606</v>
      </c>
      <c r="G12261" t="s">
        <v>32613</v>
      </c>
      <c r="H12261" t="s">
        <v>32623</v>
      </c>
      <c r="I12261" t="s">
        <v>17648</v>
      </c>
      <c r="J12261" t="s">
        <v>40364</v>
      </c>
      <c r="K12261" t="s">
        <v>42624</v>
      </c>
      <c r="M12261" t="s">
        <v>46477</v>
      </c>
      <c r="N12261" t="s">
        <v>47304</v>
      </c>
      <c r="O12261" t="s">
        <v>47305</v>
      </c>
      <c r="Q12261">
        <v>14</v>
      </c>
      <c r="R12261" t="s">
        <v>47318</v>
      </c>
      <c r="S12261" t="s">
        <v>47789</v>
      </c>
      <c r="T12261" t="s">
        <v>49471</v>
      </c>
      <c r="U12261" t="s">
        <v>58699</v>
      </c>
      <c r="W12261" t="s">
        <v>46477</v>
      </c>
      <c r="X12261" t="s">
        <v>47319</v>
      </c>
    </row>
    <row r="12262" spans="1:24">
      <c r="A12262">
        <f>HYPERLINK("https://www.philgeps.gov.ph/GEPSNONPILOT/Tender/SplashBidNoticeAbstractUI.aspx?menuIndex=3&amp;refID=7176758&amp;Result=3","7176758")</f>
        <v>0</v>
      </c>
      <c r="B12262" t="s">
        <v>1698</v>
      </c>
      <c r="C12262" t="s">
        <v>15448</v>
      </c>
      <c r="E12262" t="s">
        <v>29510</v>
      </c>
      <c r="F12262" t="s">
        <v>32606</v>
      </c>
      <c r="G12262" t="s">
        <v>32613</v>
      </c>
      <c r="H12262" t="s">
        <v>14201</v>
      </c>
      <c r="I12262" t="s">
        <v>32633</v>
      </c>
      <c r="J12262" t="s">
        <v>40365</v>
      </c>
      <c r="K12262" t="s">
        <v>42624</v>
      </c>
      <c r="M12262" t="s">
        <v>44727</v>
      </c>
      <c r="N12262" t="s">
        <v>47304</v>
      </c>
      <c r="O12262" t="s">
        <v>47305</v>
      </c>
      <c r="P12262">
        <v>0</v>
      </c>
      <c r="Q12262">
        <v>20</v>
      </c>
      <c r="R12262" t="s">
        <v>47318</v>
      </c>
      <c r="S12262" t="s">
        <v>47736</v>
      </c>
      <c r="T12262" t="s">
        <v>49291</v>
      </c>
      <c r="U12262" t="s">
        <v>53458</v>
      </c>
      <c r="W12262" t="s">
        <v>44727</v>
      </c>
      <c r="X12262" t="s">
        <v>47319</v>
      </c>
    </row>
    <row r="12263" spans="1:24">
      <c r="A12263">
        <f>HYPERLINK("https://www.philgeps.gov.ph/GEPSNONPILOT/Tender/SplashBidNoticeAbstractUI.aspx?menuIndex=3&amp;refID=7176842&amp;Result=3","7176842")</f>
        <v>0</v>
      </c>
      <c r="B12263" t="s">
        <v>3244</v>
      </c>
      <c r="C12263" t="s">
        <v>15449</v>
      </c>
      <c r="E12263" t="s">
        <v>29511</v>
      </c>
      <c r="F12263" t="s">
        <v>32606</v>
      </c>
      <c r="G12263" t="s">
        <v>32613</v>
      </c>
      <c r="H12263" t="s">
        <v>14201</v>
      </c>
      <c r="I12263" t="s">
        <v>32743</v>
      </c>
      <c r="J12263" t="s">
        <v>40366</v>
      </c>
      <c r="K12263" t="s">
        <v>42624</v>
      </c>
      <c r="M12263" t="s">
        <v>46477</v>
      </c>
      <c r="N12263" t="s">
        <v>47304</v>
      </c>
      <c r="O12263" t="s">
        <v>47305</v>
      </c>
      <c r="Q12263">
        <v>10</v>
      </c>
      <c r="R12263" t="s">
        <v>47318</v>
      </c>
      <c r="S12263" t="s">
        <v>47790</v>
      </c>
      <c r="T12263" t="s">
        <v>49471</v>
      </c>
      <c r="U12263" t="s">
        <v>58699</v>
      </c>
      <c r="W12263" t="s">
        <v>46477</v>
      </c>
      <c r="X12263" t="s">
        <v>47319</v>
      </c>
    </row>
    <row r="12264" spans="1:24">
      <c r="A12264">
        <f>HYPERLINK("https://www.philgeps.gov.ph/GEPSNONPILOT/Tender/SplashBidNoticeAbstractUI.aspx?menuIndex=3&amp;refID=7176732&amp;Result=3","7176732")</f>
        <v>0</v>
      </c>
      <c r="B12264" t="s">
        <v>3460</v>
      </c>
      <c r="C12264" t="s">
        <v>15450</v>
      </c>
      <c r="D12264" t="s">
        <v>18993</v>
      </c>
      <c r="E12264" t="s">
        <v>29512</v>
      </c>
      <c r="F12264" t="s">
        <v>32606</v>
      </c>
      <c r="G12264" t="s">
        <v>32613</v>
      </c>
      <c r="H12264" t="s">
        <v>14201</v>
      </c>
      <c r="I12264" t="s">
        <v>7677</v>
      </c>
      <c r="J12264" t="s">
        <v>40367</v>
      </c>
      <c r="K12264" t="s">
        <v>42631</v>
      </c>
      <c r="M12264" t="s">
        <v>46722</v>
      </c>
      <c r="N12264" t="s">
        <v>47304</v>
      </c>
      <c r="O12264" t="s">
        <v>47305</v>
      </c>
      <c r="P12264">
        <v>0</v>
      </c>
      <c r="Q12264">
        <v>15</v>
      </c>
      <c r="R12264" t="s">
        <v>47318</v>
      </c>
      <c r="S12264" t="s">
        <v>47736</v>
      </c>
      <c r="T12264" t="s">
        <v>49162</v>
      </c>
      <c r="U12264" t="s">
        <v>59661</v>
      </c>
      <c r="V12264" t="s">
        <v>63964</v>
      </c>
      <c r="W12264" t="s">
        <v>46722</v>
      </c>
      <c r="X12264" t="s">
        <v>47319</v>
      </c>
    </row>
    <row r="12265" spans="1:24">
      <c r="A12265">
        <f>HYPERLINK("https://www.philgeps.gov.ph/GEPSNONPILOT/Tender/SplashBidNoticeAbstractUI.aspx?menuIndex=3&amp;refID=7176716&amp;Result=3","7176716")</f>
        <v>0</v>
      </c>
      <c r="B12265" t="s">
        <v>1612</v>
      </c>
      <c r="C12265" t="s">
        <v>15451</v>
      </c>
      <c r="D12265" t="s">
        <v>19047</v>
      </c>
      <c r="E12265" t="s">
        <v>29513</v>
      </c>
      <c r="F12265" t="s">
        <v>32606</v>
      </c>
      <c r="G12265" t="s">
        <v>32613</v>
      </c>
      <c r="H12265" t="s">
        <v>32623</v>
      </c>
      <c r="I12265" t="s">
        <v>17648</v>
      </c>
      <c r="J12265" t="s">
        <v>40368</v>
      </c>
      <c r="K12265" t="s">
        <v>42639</v>
      </c>
      <c r="M12265" t="s">
        <v>44632</v>
      </c>
      <c r="N12265" t="s">
        <v>47304</v>
      </c>
      <c r="O12265" t="s">
        <v>47305</v>
      </c>
      <c r="P12265">
        <v>0</v>
      </c>
      <c r="Q12265">
        <v>0</v>
      </c>
      <c r="R12265" t="s">
        <v>47318</v>
      </c>
      <c r="S12265" t="s">
        <v>47736</v>
      </c>
      <c r="T12265" t="s">
        <v>49140</v>
      </c>
      <c r="U12265" t="s">
        <v>59669</v>
      </c>
      <c r="W12265" t="s">
        <v>44632</v>
      </c>
      <c r="X12265" t="s">
        <v>47319</v>
      </c>
    </row>
    <row r="12266" spans="1:24">
      <c r="A12266">
        <f>HYPERLINK("https://www.philgeps.gov.ph/GEPSNONPILOT/Tender/SplashBidNoticeAbstractUI.aspx?menuIndex=3&amp;refID=7176555&amp;Result=3","7176555")</f>
        <v>0</v>
      </c>
      <c r="B12266" t="s">
        <v>3463</v>
      </c>
      <c r="C12266" t="s">
        <v>15452</v>
      </c>
      <c r="E12266" t="s">
        <v>29514</v>
      </c>
      <c r="F12266" t="s">
        <v>32606</v>
      </c>
      <c r="G12266" t="s">
        <v>32613</v>
      </c>
      <c r="H12266" t="s">
        <v>14201</v>
      </c>
      <c r="I12266" t="s">
        <v>6931</v>
      </c>
      <c r="J12266" t="s">
        <v>33240</v>
      </c>
      <c r="K12266" t="s">
        <v>42632</v>
      </c>
      <c r="M12266" t="s">
        <v>46725</v>
      </c>
      <c r="N12266" t="s">
        <v>47304</v>
      </c>
      <c r="O12266" t="s">
        <v>47305</v>
      </c>
      <c r="P12266">
        <v>0</v>
      </c>
      <c r="Q12266">
        <v>0</v>
      </c>
      <c r="R12266" t="s">
        <v>47318</v>
      </c>
      <c r="S12266" t="s">
        <v>47736</v>
      </c>
      <c r="T12266" t="s">
        <v>48980</v>
      </c>
      <c r="U12266" t="s">
        <v>59670</v>
      </c>
      <c r="W12266" t="s">
        <v>46725</v>
      </c>
      <c r="X12266" t="s">
        <v>47319</v>
      </c>
    </row>
    <row r="12267" spans="1:24">
      <c r="A12267">
        <f>HYPERLINK("https://www.philgeps.gov.ph/GEPSNONPILOT/Tender/SplashBidNoticeAbstractUI.aspx?menuIndex=3&amp;refID=7176527&amp;Result=3","7176527")</f>
        <v>0</v>
      </c>
      <c r="B12267" t="s">
        <v>3454</v>
      </c>
      <c r="C12267" t="s">
        <v>15453</v>
      </c>
      <c r="D12267" t="s">
        <v>19000</v>
      </c>
      <c r="E12267" t="s">
        <v>29515</v>
      </c>
      <c r="F12267" t="s">
        <v>32606</v>
      </c>
      <c r="G12267" t="s">
        <v>32613</v>
      </c>
      <c r="H12267" t="s">
        <v>14201</v>
      </c>
      <c r="I12267" t="s">
        <v>17648</v>
      </c>
      <c r="J12267" t="s">
        <v>32765</v>
      </c>
      <c r="K12267" t="s">
        <v>42636</v>
      </c>
      <c r="M12267" t="s">
        <v>46716</v>
      </c>
      <c r="N12267" t="s">
        <v>47304</v>
      </c>
      <c r="O12267" t="s">
        <v>47305</v>
      </c>
      <c r="P12267">
        <v>0</v>
      </c>
      <c r="Q12267">
        <v>0</v>
      </c>
      <c r="R12267" t="s">
        <v>47318</v>
      </c>
      <c r="S12267" t="s">
        <v>47736</v>
      </c>
      <c r="T12267" t="s">
        <v>49169</v>
      </c>
      <c r="U12267" t="s">
        <v>59671</v>
      </c>
      <c r="W12267" t="s">
        <v>46716</v>
      </c>
      <c r="X12267" t="s">
        <v>47319</v>
      </c>
    </row>
    <row r="12268" spans="1:24">
      <c r="A12268">
        <f>HYPERLINK("https://www.philgeps.gov.ph/GEPSNONPILOT/Tender/SplashBidNoticeAbstractUI.aspx?menuIndex=3&amp;refID=7176806&amp;Result=3","7176806")</f>
        <v>0</v>
      </c>
      <c r="B12268" t="s">
        <v>3244</v>
      </c>
      <c r="C12268" t="s">
        <v>15454</v>
      </c>
      <c r="E12268" t="s">
        <v>29516</v>
      </c>
      <c r="F12268" t="s">
        <v>32606</v>
      </c>
      <c r="G12268" t="s">
        <v>32613</v>
      </c>
      <c r="H12268" t="s">
        <v>14201</v>
      </c>
      <c r="I12268" t="s">
        <v>32743</v>
      </c>
      <c r="J12268" t="s">
        <v>40369</v>
      </c>
      <c r="K12268" t="s">
        <v>42624</v>
      </c>
      <c r="M12268" t="s">
        <v>46477</v>
      </c>
      <c r="N12268" t="s">
        <v>47304</v>
      </c>
      <c r="O12268" t="s">
        <v>47305</v>
      </c>
      <c r="Q12268">
        <v>11</v>
      </c>
      <c r="R12268" t="s">
        <v>47318</v>
      </c>
      <c r="S12268" t="s">
        <v>47791</v>
      </c>
      <c r="T12268" t="s">
        <v>49471</v>
      </c>
      <c r="U12268" t="s">
        <v>58699</v>
      </c>
      <c r="W12268" t="s">
        <v>46477</v>
      </c>
      <c r="X12268" t="s">
        <v>47319</v>
      </c>
    </row>
    <row r="12269" spans="1:24">
      <c r="A12269">
        <f>HYPERLINK("https://www.philgeps.gov.ph/GEPSNONPILOT/Tender/SplashBidNoticeAbstractUI.aspx?menuIndex=3&amp;refID=7176512&amp;Result=3","7176512")</f>
        <v>0</v>
      </c>
      <c r="B12269" t="s">
        <v>1522</v>
      </c>
      <c r="C12269" t="s">
        <v>15412</v>
      </c>
      <c r="D12269" t="s">
        <v>19023</v>
      </c>
      <c r="E12269" t="s">
        <v>29517</v>
      </c>
      <c r="F12269" t="s">
        <v>32606</v>
      </c>
      <c r="G12269" t="s">
        <v>32614</v>
      </c>
      <c r="H12269" t="s">
        <v>14201</v>
      </c>
      <c r="I12269" t="s">
        <v>32626</v>
      </c>
      <c r="J12269" t="s">
        <v>34118</v>
      </c>
      <c r="K12269" t="s">
        <v>42631</v>
      </c>
      <c r="M12269" t="s">
        <v>44523</v>
      </c>
      <c r="N12269" t="s">
        <v>47304</v>
      </c>
      <c r="O12269" t="s">
        <v>47305</v>
      </c>
      <c r="P12269">
        <v>0</v>
      </c>
      <c r="Q12269">
        <v>6</v>
      </c>
      <c r="R12269" t="s">
        <v>47318</v>
      </c>
      <c r="S12269" t="s">
        <v>47736</v>
      </c>
      <c r="T12269" t="s">
        <v>49014</v>
      </c>
      <c r="U12269" t="s">
        <v>59672</v>
      </c>
      <c r="W12269" t="s">
        <v>44523</v>
      </c>
      <c r="X12269" t="s">
        <v>47319</v>
      </c>
    </row>
    <row r="12270" spans="1:24">
      <c r="A12270">
        <f>HYPERLINK("https://www.philgeps.gov.ph/GEPSNONPILOT/Tender/SplashBidNoticeAbstractUI.aspx?menuIndex=3&amp;refID=7176488&amp;Result=3","7176488")</f>
        <v>0</v>
      </c>
      <c r="B12270" t="s">
        <v>2538</v>
      </c>
      <c r="C12270" t="s">
        <v>15455</v>
      </c>
      <c r="D12270" t="s">
        <v>18986</v>
      </c>
      <c r="E12270" t="s">
        <v>21696</v>
      </c>
      <c r="F12270" t="s">
        <v>32606</v>
      </c>
      <c r="G12270" t="s">
        <v>32613</v>
      </c>
      <c r="H12270" t="s">
        <v>14201</v>
      </c>
      <c r="I12270" t="s">
        <v>4678</v>
      </c>
      <c r="J12270" t="s">
        <v>40370</v>
      </c>
      <c r="K12270" t="s">
        <v>42630</v>
      </c>
      <c r="M12270" t="s">
        <v>45678</v>
      </c>
      <c r="N12270" t="s">
        <v>47304</v>
      </c>
      <c r="O12270" t="s">
        <v>47305</v>
      </c>
      <c r="P12270">
        <v>0</v>
      </c>
      <c r="Q12270">
        <v>2</v>
      </c>
      <c r="R12270" t="s">
        <v>47318</v>
      </c>
      <c r="S12270" t="s">
        <v>47736</v>
      </c>
      <c r="T12270" t="s">
        <v>49472</v>
      </c>
      <c r="U12270" t="s">
        <v>59673</v>
      </c>
      <c r="V12270" t="s">
        <v>63968</v>
      </c>
      <c r="W12270" t="s">
        <v>45678</v>
      </c>
      <c r="X12270" t="s">
        <v>47319</v>
      </c>
    </row>
    <row r="12271" spans="1:24">
      <c r="A12271">
        <f>HYPERLINK("https://www.philgeps.gov.ph/GEPSNONPILOT/Tender/SplashBidNoticeAbstractUI.aspx?menuIndex=3&amp;refID=7176495&amp;Result=3","7176495")</f>
        <v>0</v>
      </c>
      <c r="B12271" t="s">
        <v>3464</v>
      </c>
      <c r="C12271" t="s">
        <v>15456</v>
      </c>
      <c r="D12271" t="s">
        <v>19014</v>
      </c>
      <c r="E12271" t="s">
        <v>29518</v>
      </c>
      <c r="F12271" t="s">
        <v>32606</v>
      </c>
      <c r="G12271" t="s">
        <v>32613</v>
      </c>
      <c r="H12271" t="s">
        <v>14201</v>
      </c>
      <c r="I12271" t="s">
        <v>6931</v>
      </c>
      <c r="J12271" t="s">
        <v>40371</v>
      </c>
      <c r="K12271" t="s">
        <v>42625</v>
      </c>
      <c r="M12271" t="s">
        <v>46726</v>
      </c>
      <c r="N12271" t="s">
        <v>47304</v>
      </c>
      <c r="O12271" t="s">
        <v>47305</v>
      </c>
      <c r="P12271">
        <v>0</v>
      </c>
      <c r="Q12271">
        <v>4</v>
      </c>
      <c r="R12271" t="s">
        <v>47318</v>
      </c>
      <c r="S12271" t="s">
        <v>47736</v>
      </c>
      <c r="T12271" t="s">
        <v>49269</v>
      </c>
      <c r="U12271" t="s">
        <v>59674</v>
      </c>
      <c r="W12271" t="s">
        <v>46726</v>
      </c>
      <c r="X12271" t="s">
        <v>47319</v>
      </c>
    </row>
    <row r="12272" spans="1:24">
      <c r="A12272">
        <f>HYPERLINK("https://www.philgeps.gov.ph/GEPSNONPILOT/Tender/SplashBidNoticeAbstractUI.aspx?menuIndex=3&amp;refID=7176366&amp;Result=3","7176366")</f>
        <v>0</v>
      </c>
      <c r="B12272" t="s">
        <v>3465</v>
      </c>
      <c r="C12272" t="s">
        <v>15457</v>
      </c>
      <c r="D12272" t="s">
        <v>19036</v>
      </c>
      <c r="E12272" t="s">
        <v>23328</v>
      </c>
      <c r="F12272" t="s">
        <v>32606</v>
      </c>
      <c r="G12272" t="s">
        <v>32613</v>
      </c>
      <c r="H12272" t="s">
        <v>32623</v>
      </c>
      <c r="I12272" t="s">
        <v>32649</v>
      </c>
      <c r="J12272" t="s">
        <v>33750</v>
      </c>
      <c r="K12272" t="s">
        <v>42631</v>
      </c>
      <c r="M12272" t="s">
        <v>46727</v>
      </c>
      <c r="N12272" t="s">
        <v>47304</v>
      </c>
      <c r="O12272" t="s">
        <v>47305</v>
      </c>
      <c r="P12272">
        <v>0</v>
      </c>
      <c r="Q12272">
        <v>2</v>
      </c>
      <c r="R12272" t="s">
        <v>47318</v>
      </c>
      <c r="S12272" t="s">
        <v>47736</v>
      </c>
      <c r="T12272" t="s">
        <v>49140</v>
      </c>
      <c r="U12272" t="s">
        <v>59675</v>
      </c>
      <c r="W12272" t="s">
        <v>46727</v>
      </c>
      <c r="X12272" t="s">
        <v>47319</v>
      </c>
    </row>
    <row r="12273" spans="1:24">
      <c r="A12273">
        <f>HYPERLINK("https://www.philgeps.gov.ph/GEPSNONPILOT/Tender/SplashBidNoticeAbstractUI.aspx?menuIndex=3&amp;refID=7176701&amp;Result=3","7176701")</f>
        <v>0</v>
      </c>
      <c r="B12273" t="s">
        <v>2266</v>
      </c>
      <c r="C12273" t="s">
        <v>15458</v>
      </c>
      <c r="D12273" t="s">
        <v>19003</v>
      </c>
      <c r="E12273" t="s">
        <v>29519</v>
      </c>
      <c r="F12273" t="s">
        <v>32606</v>
      </c>
      <c r="G12273" t="s">
        <v>32613</v>
      </c>
      <c r="H12273" t="s">
        <v>14201</v>
      </c>
      <c r="I12273" t="s">
        <v>6931</v>
      </c>
      <c r="J12273" t="s">
        <v>40372</v>
      </c>
      <c r="K12273" t="s">
        <v>42688</v>
      </c>
      <c r="M12273" t="s">
        <v>45371</v>
      </c>
      <c r="N12273" t="s">
        <v>47304</v>
      </c>
      <c r="O12273" t="s">
        <v>47305</v>
      </c>
      <c r="P12273">
        <v>0</v>
      </c>
      <c r="Q12273">
        <v>2</v>
      </c>
      <c r="R12273" t="s">
        <v>47318</v>
      </c>
      <c r="S12273" t="s">
        <v>47736</v>
      </c>
      <c r="T12273" t="s">
        <v>49099</v>
      </c>
      <c r="U12273" t="s">
        <v>59676</v>
      </c>
      <c r="W12273" t="s">
        <v>45371</v>
      </c>
      <c r="X12273" t="s">
        <v>47319</v>
      </c>
    </row>
    <row r="12274" spans="1:24">
      <c r="A12274">
        <f>HYPERLINK("https://www.philgeps.gov.ph/GEPSNONPILOT/Tender/SplashBidNoticeAbstractUI.aspx?menuIndex=3&amp;refID=7176324&amp;Result=3","7176324")</f>
        <v>0</v>
      </c>
      <c r="B12274" t="s">
        <v>3429</v>
      </c>
      <c r="C12274" t="s">
        <v>15459</v>
      </c>
      <c r="D12274" t="s">
        <v>19038</v>
      </c>
      <c r="F12274" t="s">
        <v>32606</v>
      </c>
      <c r="G12274" t="s">
        <v>32613</v>
      </c>
      <c r="H12274" t="s">
        <v>14201</v>
      </c>
      <c r="I12274" t="s">
        <v>32629</v>
      </c>
      <c r="J12274" t="s">
        <v>40373</v>
      </c>
      <c r="K12274" t="s">
        <v>42624</v>
      </c>
      <c r="M12274" t="s">
        <v>46687</v>
      </c>
      <c r="N12274" t="s">
        <v>47304</v>
      </c>
      <c r="O12274" t="s">
        <v>47305</v>
      </c>
      <c r="P12274">
        <v>0</v>
      </c>
      <c r="Q12274">
        <v>0</v>
      </c>
      <c r="R12274" t="s">
        <v>47318</v>
      </c>
      <c r="S12274" t="s">
        <v>47736</v>
      </c>
      <c r="T12274" t="s">
        <v>48975</v>
      </c>
      <c r="U12274" t="s">
        <v>59677</v>
      </c>
      <c r="W12274" t="s">
        <v>46687</v>
      </c>
      <c r="X12274" t="s">
        <v>47319</v>
      </c>
    </row>
    <row r="12275" spans="1:24">
      <c r="A12275">
        <f>HYPERLINK("https://www.philgeps.gov.ph/GEPSNONPILOT/Tender/SplashBidNoticeAbstractUI.aspx?menuIndex=3&amp;refID=7176309&amp;Result=3","7176309")</f>
        <v>0</v>
      </c>
      <c r="B12275" t="s">
        <v>3466</v>
      </c>
      <c r="C12275" t="s">
        <v>15460</v>
      </c>
      <c r="D12275" t="s">
        <v>19024</v>
      </c>
      <c r="E12275" t="s">
        <v>20959</v>
      </c>
      <c r="F12275" t="s">
        <v>32607</v>
      </c>
      <c r="G12275" t="s">
        <v>32614</v>
      </c>
      <c r="H12275" t="s">
        <v>14201</v>
      </c>
      <c r="I12275" t="s">
        <v>32626</v>
      </c>
      <c r="J12275" t="s">
        <v>40374</v>
      </c>
      <c r="K12275" t="s">
        <v>42630</v>
      </c>
      <c r="M12275" t="s">
        <v>46728</v>
      </c>
      <c r="N12275" t="s">
        <v>47304</v>
      </c>
      <c r="O12275" t="s">
        <v>47305</v>
      </c>
      <c r="P12275">
        <v>0</v>
      </c>
      <c r="Q12275">
        <v>10</v>
      </c>
      <c r="R12275" t="s">
        <v>47318</v>
      </c>
      <c r="S12275" t="s">
        <v>47736</v>
      </c>
      <c r="T12275" t="s">
        <v>49363</v>
      </c>
      <c r="U12275" t="s">
        <v>59678</v>
      </c>
      <c r="W12275" t="s">
        <v>46728</v>
      </c>
      <c r="X12275" t="s">
        <v>47319</v>
      </c>
    </row>
    <row r="12276" spans="1:24">
      <c r="A12276">
        <f>HYPERLINK("https://www.philgeps.gov.ph/GEPSNONPILOT/Tender/SplashBidNoticeAbstractUI.aspx?menuIndex=3&amp;refID=7175669&amp;Result=3","7175669")</f>
        <v>0</v>
      </c>
      <c r="B12276" t="s">
        <v>2516</v>
      </c>
      <c r="C12276" t="s">
        <v>15461</v>
      </c>
      <c r="D12276" t="s">
        <v>18995</v>
      </c>
      <c r="E12276" t="s">
        <v>29520</v>
      </c>
      <c r="F12276" t="s">
        <v>32606</v>
      </c>
      <c r="G12276" t="s">
        <v>32613</v>
      </c>
      <c r="H12276" t="s">
        <v>14201</v>
      </c>
      <c r="I12276" t="s">
        <v>32646</v>
      </c>
      <c r="J12276" t="s">
        <v>32782</v>
      </c>
      <c r="K12276" t="s">
        <v>42631</v>
      </c>
      <c r="M12276" t="s">
        <v>45657</v>
      </c>
      <c r="N12276" t="s">
        <v>47304</v>
      </c>
      <c r="O12276" t="s">
        <v>47305</v>
      </c>
      <c r="P12276">
        <v>0</v>
      </c>
      <c r="Q12276">
        <v>8</v>
      </c>
      <c r="R12276" t="s">
        <v>47318</v>
      </c>
      <c r="S12276" t="s">
        <v>47736</v>
      </c>
      <c r="T12276" t="s">
        <v>48976</v>
      </c>
      <c r="U12276" t="s">
        <v>59679</v>
      </c>
      <c r="V12276" t="s">
        <v>63969</v>
      </c>
      <c r="W12276" t="s">
        <v>45657</v>
      </c>
      <c r="X12276" t="s">
        <v>47319</v>
      </c>
    </row>
    <row r="12277" spans="1:24">
      <c r="A12277">
        <f>HYPERLINK("https://www.philgeps.gov.ph/GEPSNONPILOT/Tender/SplashBidNoticeAbstractUI.aspx?menuIndex=3&amp;refID=7176883&amp;Result=3","7176883")</f>
        <v>0</v>
      </c>
      <c r="B12277" t="s">
        <v>718</v>
      </c>
      <c r="C12277" t="s">
        <v>15462</v>
      </c>
      <c r="D12277" t="s">
        <v>19037</v>
      </c>
      <c r="E12277" t="s">
        <v>29521</v>
      </c>
      <c r="F12277" t="s">
        <v>32606</v>
      </c>
      <c r="G12277" t="s">
        <v>32613</v>
      </c>
      <c r="H12277" t="s">
        <v>14201</v>
      </c>
      <c r="I12277" t="s">
        <v>32638</v>
      </c>
      <c r="J12277" t="s">
        <v>40375</v>
      </c>
      <c r="K12277" t="s">
        <v>42631</v>
      </c>
      <c r="M12277" t="s">
        <v>46729</v>
      </c>
      <c r="N12277" t="s">
        <v>47304</v>
      </c>
      <c r="O12277" t="s">
        <v>47305</v>
      </c>
      <c r="P12277">
        <v>0</v>
      </c>
      <c r="Q12277">
        <v>28</v>
      </c>
      <c r="R12277" t="s">
        <v>47318</v>
      </c>
      <c r="S12277" t="s">
        <v>47736</v>
      </c>
      <c r="T12277" t="s">
        <v>49007</v>
      </c>
      <c r="U12277" t="s">
        <v>59680</v>
      </c>
      <c r="W12277" t="s">
        <v>46729</v>
      </c>
      <c r="X12277" t="s">
        <v>47319</v>
      </c>
    </row>
    <row r="12278" spans="1:24">
      <c r="A12278">
        <f>HYPERLINK("https://www.philgeps.gov.ph/GEPSNONPILOT/Tender/SplashBidNoticeAbstractUI.aspx?menuIndex=3&amp;refID=7176500&amp;Result=3","7176500")</f>
        <v>0</v>
      </c>
      <c r="B12278" t="s">
        <v>726</v>
      </c>
      <c r="C12278" t="s">
        <v>15463</v>
      </c>
      <c r="D12278" t="s">
        <v>19009</v>
      </c>
      <c r="E12278" t="s">
        <v>29522</v>
      </c>
      <c r="F12278" t="s">
        <v>32606</v>
      </c>
      <c r="G12278" t="s">
        <v>32613</v>
      </c>
      <c r="H12278" t="s">
        <v>32623</v>
      </c>
      <c r="I12278" t="s">
        <v>17648</v>
      </c>
      <c r="J12278" t="s">
        <v>40376</v>
      </c>
      <c r="K12278" t="s">
        <v>42828</v>
      </c>
      <c r="M12278" t="s">
        <v>46187</v>
      </c>
      <c r="N12278" t="s">
        <v>47304</v>
      </c>
      <c r="O12278" t="s">
        <v>47305</v>
      </c>
      <c r="P12278">
        <v>0</v>
      </c>
      <c r="Q12278">
        <v>0</v>
      </c>
      <c r="R12278" t="s">
        <v>47318</v>
      </c>
      <c r="S12278" t="s">
        <v>47736</v>
      </c>
      <c r="T12278" t="s">
        <v>48987</v>
      </c>
      <c r="U12278" t="s">
        <v>59681</v>
      </c>
      <c r="V12278" t="s">
        <v>63970</v>
      </c>
      <c r="W12278" t="s">
        <v>46187</v>
      </c>
      <c r="X12278" t="s">
        <v>47319</v>
      </c>
    </row>
    <row r="12279" spans="1:24">
      <c r="A12279">
        <f>HYPERLINK("https://www.philgeps.gov.ph/GEPSNONPILOT/Tender/SplashBidNoticeAbstractUI.aspx?menuIndex=3&amp;refID=7176790&amp;Result=3","7176790")</f>
        <v>0</v>
      </c>
      <c r="B12279" t="s">
        <v>3244</v>
      </c>
      <c r="C12279" t="s">
        <v>15464</v>
      </c>
      <c r="E12279" t="s">
        <v>29523</v>
      </c>
      <c r="F12279" t="s">
        <v>32606</v>
      </c>
      <c r="G12279" t="s">
        <v>32613</v>
      </c>
      <c r="H12279" t="s">
        <v>14201</v>
      </c>
      <c r="I12279" t="s">
        <v>32743</v>
      </c>
      <c r="J12279" t="s">
        <v>40377</v>
      </c>
      <c r="K12279" t="s">
        <v>42624</v>
      </c>
      <c r="M12279" t="s">
        <v>46477</v>
      </c>
      <c r="N12279" t="s">
        <v>47304</v>
      </c>
      <c r="O12279" t="s">
        <v>47305</v>
      </c>
      <c r="Q12279">
        <v>11</v>
      </c>
      <c r="R12279" t="s">
        <v>47318</v>
      </c>
      <c r="S12279" t="s">
        <v>47792</v>
      </c>
      <c r="T12279" t="s">
        <v>49471</v>
      </c>
      <c r="U12279" t="s">
        <v>58699</v>
      </c>
      <c r="W12279" t="s">
        <v>46477</v>
      </c>
      <c r="X12279" t="s">
        <v>47319</v>
      </c>
    </row>
    <row r="12280" spans="1:24">
      <c r="A12280">
        <f>HYPERLINK("https://www.philgeps.gov.ph/GEPSNONPILOT/Tender/SplashBidNoticeAbstractUI.aspx?menuIndex=3&amp;refID=7176913&amp;Result=3","7176913")</f>
        <v>0</v>
      </c>
      <c r="B12280" t="s">
        <v>586</v>
      </c>
      <c r="C12280" t="s">
        <v>15465</v>
      </c>
      <c r="D12280" t="s">
        <v>19024</v>
      </c>
      <c r="E12280" t="s">
        <v>29524</v>
      </c>
      <c r="F12280" t="s">
        <v>32606</v>
      </c>
      <c r="G12280" t="s">
        <v>32613</v>
      </c>
      <c r="H12280" t="s">
        <v>14201</v>
      </c>
      <c r="I12280" t="s">
        <v>7064</v>
      </c>
      <c r="J12280" t="s">
        <v>40378</v>
      </c>
      <c r="K12280" t="s">
        <v>42631</v>
      </c>
      <c r="M12280" t="s">
        <v>43696</v>
      </c>
      <c r="N12280" t="s">
        <v>47304</v>
      </c>
      <c r="O12280" t="s">
        <v>47305</v>
      </c>
      <c r="P12280">
        <v>0</v>
      </c>
      <c r="Q12280">
        <v>2</v>
      </c>
      <c r="R12280" t="s">
        <v>47318</v>
      </c>
      <c r="S12280" t="s">
        <v>47736</v>
      </c>
      <c r="T12280" t="s">
        <v>49234</v>
      </c>
      <c r="U12280" t="s">
        <v>59682</v>
      </c>
      <c r="W12280" t="s">
        <v>43696</v>
      </c>
      <c r="X12280" t="s">
        <v>47319</v>
      </c>
    </row>
    <row r="12281" spans="1:24">
      <c r="A12281">
        <f>HYPERLINK("https://www.philgeps.gov.ph/GEPSNONPILOT/Tender/SplashBidNoticeAbstractUI.aspx?menuIndex=3&amp;refID=7176350&amp;Result=3","7176350")</f>
        <v>0</v>
      </c>
      <c r="B12281" t="s">
        <v>3449</v>
      </c>
      <c r="C12281" t="s">
        <v>15466</v>
      </c>
      <c r="D12281" t="s">
        <v>18988</v>
      </c>
      <c r="E12281" t="s">
        <v>29525</v>
      </c>
      <c r="F12281" t="s">
        <v>32606</v>
      </c>
      <c r="G12281" t="s">
        <v>32613</v>
      </c>
      <c r="H12281" t="s">
        <v>32625</v>
      </c>
      <c r="I12281" t="s">
        <v>32625</v>
      </c>
      <c r="J12281" t="s">
        <v>40326</v>
      </c>
      <c r="K12281" t="s">
        <v>42623</v>
      </c>
      <c r="M12281" t="s">
        <v>46709</v>
      </c>
      <c r="N12281" t="s">
        <v>47304</v>
      </c>
      <c r="O12281" t="s">
        <v>47305</v>
      </c>
      <c r="P12281">
        <v>0</v>
      </c>
      <c r="Q12281">
        <v>3</v>
      </c>
      <c r="R12281" t="s">
        <v>47318</v>
      </c>
      <c r="S12281" t="s">
        <v>47736</v>
      </c>
      <c r="T12281" t="s">
        <v>49469</v>
      </c>
      <c r="U12281" t="s">
        <v>59683</v>
      </c>
      <c r="W12281" t="s">
        <v>46709</v>
      </c>
      <c r="X12281" t="s">
        <v>47319</v>
      </c>
    </row>
    <row r="12282" spans="1:24">
      <c r="A12282">
        <f>HYPERLINK("https://www.philgeps.gov.ph/GEPSNONPILOT/Tender/SplashBidNoticeAbstractUI.aspx?menuIndex=3&amp;refID=7176951&amp;Result=3","7176951")</f>
        <v>0</v>
      </c>
      <c r="B12282" t="s">
        <v>555</v>
      </c>
      <c r="C12282" t="s">
        <v>15467</v>
      </c>
      <c r="D12282" t="s">
        <v>18993</v>
      </c>
      <c r="E12282" t="s">
        <v>29526</v>
      </c>
      <c r="F12282" t="s">
        <v>32606</v>
      </c>
      <c r="G12282" t="s">
        <v>32613</v>
      </c>
      <c r="H12282" t="s">
        <v>14201</v>
      </c>
      <c r="I12282" t="s">
        <v>7064</v>
      </c>
      <c r="J12282" t="s">
        <v>33273</v>
      </c>
      <c r="K12282" t="s">
        <v>42631</v>
      </c>
      <c r="M12282" t="s">
        <v>45969</v>
      </c>
      <c r="N12282" t="s">
        <v>47304</v>
      </c>
      <c r="O12282" t="s">
        <v>47305</v>
      </c>
      <c r="Q12282">
        <v>5</v>
      </c>
      <c r="R12282" t="s">
        <v>47318</v>
      </c>
      <c r="S12282" t="s">
        <v>47793</v>
      </c>
      <c r="T12282" t="s">
        <v>49011</v>
      </c>
      <c r="U12282" t="s">
        <v>59684</v>
      </c>
      <c r="W12282" t="s">
        <v>45969</v>
      </c>
      <c r="X12282" t="s">
        <v>47319</v>
      </c>
    </row>
    <row r="12283" spans="1:24">
      <c r="A12283">
        <f>HYPERLINK("https://www.philgeps.gov.ph/GEPSNONPILOT/Tender/SplashBidNoticeAbstractUI.aspx?menuIndex=3&amp;refID=7176905&amp;Result=3","7176905")</f>
        <v>0</v>
      </c>
      <c r="B12283" t="s">
        <v>586</v>
      </c>
      <c r="C12283" t="s">
        <v>15468</v>
      </c>
      <c r="D12283" t="s">
        <v>19024</v>
      </c>
      <c r="E12283" t="s">
        <v>29527</v>
      </c>
      <c r="F12283" t="s">
        <v>32606</v>
      </c>
      <c r="G12283" t="s">
        <v>32613</v>
      </c>
      <c r="H12283" t="s">
        <v>14201</v>
      </c>
      <c r="I12283" t="s">
        <v>6298</v>
      </c>
      <c r="J12283" t="s">
        <v>40379</v>
      </c>
      <c r="K12283" t="s">
        <v>42631</v>
      </c>
      <c r="M12283" t="s">
        <v>43696</v>
      </c>
      <c r="N12283" t="s">
        <v>47304</v>
      </c>
      <c r="O12283" t="s">
        <v>47305</v>
      </c>
      <c r="P12283">
        <v>0</v>
      </c>
      <c r="Q12283">
        <v>6</v>
      </c>
      <c r="R12283" t="s">
        <v>47318</v>
      </c>
      <c r="S12283" t="s">
        <v>47736</v>
      </c>
      <c r="T12283" t="s">
        <v>49234</v>
      </c>
      <c r="U12283" t="s">
        <v>59685</v>
      </c>
      <c r="W12283" t="s">
        <v>43696</v>
      </c>
      <c r="X12283" t="s">
        <v>47319</v>
      </c>
    </row>
    <row r="12284" spans="1:24">
      <c r="A12284">
        <f>HYPERLINK("https://www.philgeps.gov.ph/GEPSNONPILOT/Tender/SplashBidNoticeAbstractUI.aspx?menuIndex=3&amp;refID=7176959&amp;Result=3","7176959")</f>
        <v>0</v>
      </c>
      <c r="B12284" t="s">
        <v>2500</v>
      </c>
      <c r="C12284" t="s">
        <v>15469</v>
      </c>
      <c r="D12284" t="s">
        <v>19053</v>
      </c>
      <c r="E12284" t="s">
        <v>29528</v>
      </c>
      <c r="F12284" t="s">
        <v>32606</v>
      </c>
      <c r="G12284" t="s">
        <v>32613</v>
      </c>
      <c r="H12284" t="s">
        <v>32623</v>
      </c>
      <c r="I12284" t="s">
        <v>17648</v>
      </c>
      <c r="J12284" t="s">
        <v>40327</v>
      </c>
      <c r="K12284" t="s">
        <v>42676</v>
      </c>
      <c r="M12284" t="s">
        <v>45638</v>
      </c>
      <c r="N12284" t="s">
        <v>47304</v>
      </c>
      <c r="O12284" t="s">
        <v>47305</v>
      </c>
      <c r="Q12284">
        <v>0</v>
      </c>
      <c r="R12284" t="s">
        <v>47318</v>
      </c>
      <c r="S12284" t="s">
        <v>47794</v>
      </c>
      <c r="T12284" t="s">
        <v>49107</v>
      </c>
      <c r="U12284" t="s">
        <v>59686</v>
      </c>
      <c r="V12284" t="s">
        <v>63971</v>
      </c>
      <c r="W12284" t="s">
        <v>45638</v>
      </c>
      <c r="X12284" t="s">
        <v>47319</v>
      </c>
    </row>
    <row r="12285" spans="1:24">
      <c r="A12285">
        <f>HYPERLINK("https://www.philgeps.gov.ph/GEPSNONPILOT/Tender/SplashBidNoticeAbstractUI.aspx?menuIndex=3&amp;refID=7176933&amp;Result=3","7176933")</f>
        <v>0</v>
      </c>
      <c r="B12285" t="s">
        <v>586</v>
      </c>
      <c r="C12285" t="s">
        <v>15470</v>
      </c>
      <c r="D12285" t="s">
        <v>19024</v>
      </c>
      <c r="E12285" t="s">
        <v>29529</v>
      </c>
      <c r="F12285" t="s">
        <v>32606</v>
      </c>
      <c r="G12285" t="s">
        <v>32613</v>
      </c>
      <c r="H12285" t="s">
        <v>14201</v>
      </c>
      <c r="I12285" t="s">
        <v>4114</v>
      </c>
      <c r="J12285" t="s">
        <v>40380</v>
      </c>
      <c r="K12285" t="s">
        <v>42631</v>
      </c>
      <c r="M12285" t="s">
        <v>43696</v>
      </c>
      <c r="N12285" t="s">
        <v>47304</v>
      </c>
      <c r="O12285" t="s">
        <v>47305</v>
      </c>
      <c r="P12285">
        <v>0</v>
      </c>
      <c r="Q12285">
        <v>9</v>
      </c>
      <c r="R12285" t="s">
        <v>47318</v>
      </c>
      <c r="S12285" t="s">
        <v>47736</v>
      </c>
      <c r="T12285" t="s">
        <v>49234</v>
      </c>
      <c r="U12285" t="s">
        <v>59687</v>
      </c>
      <c r="W12285" t="s">
        <v>43696</v>
      </c>
      <c r="X12285" t="s">
        <v>47319</v>
      </c>
    </row>
    <row r="12286" spans="1:24">
      <c r="A12286">
        <f>HYPERLINK("https://www.philgeps.gov.ph/GEPSNONPILOT/Tender/SplashBidNoticeAbstractUI.aspx?menuIndex=3&amp;refID=7176954&amp;Result=3","7176954")</f>
        <v>0</v>
      </c>
      <c r="B12286" t="s">
        <v>855</v>
      </c>
      <c r="C12286" t="s">
        <v>15471</v>
      </c>
      <c r="D12286" t="s">
        <v>19040</v>
      </c>
      <c r="E12286" t="s">
        <v>29530</v>
      </c>
      <c r="F12286" t="s">
        <v>32606</v>
      </c>
      <c r="G12286" t="s">
        <v>32613</v>
      </c>
      <c r="H12286" t="s">
        <v>14201</v>
      </c>
      <c r="I12286" t="s">
        <v>7577</v>
      </c>
      <c r="J12286" t="s">
        <v>40381</v>
      </c>
      <c r="K12286" t="s">
        <v>42624</v>
      </c>
      <c r="M12286" t="s">
        <v>45985</v>
      </c>
      <c r="N12286" t="s">
        <v>47304</v>
      </c>
      <c r="O12286" t="s">
        <v>47305</v>
      </c>
      <c r="P12286">
        <v>0</v>
      </c>
      <c r="Q12286">
        <v>10</v>
      </c>
      <c r="R12286" t="s">
        <v>47318</v>
      </c>
      <c r="S12286" t="s">
        <v>47736</v>
      </c>
      <c r="T12286" t="s">
        <v>49291</v>
      </c>
      <c r="U12286" t="s">
        <v>59688</v>
      </c>
      <c r="V12286" t="s">
        <v>63596</v>
      </c>
      <c r="W12286" t="s">
        <v>45985</v>
      </c>
      <c r="X12286" t="s">
        <v>47319</v>
      </c>
    </row>
    <row r="12287" spans="1:24">
      <c r="A12287">
        <f>HYPERLINK("https://www.philgeps.gov.ph/GEPSNONPILOT/Tender/SplashBidNoticeAbstractUI.aspx?menuIndex=3&amp;refID=7176930&amp;Result=3","7176930")</f>
        <v>0</v>
      </c>
      <c r="B12287" t="s">
        <v>3467</v>
      </c>
      <c r="C12287" t="s">
        <v>15472</v>
      </c>
      <c r="D12287" t="s">
        <v>18993</v>
      </c>
      <c r="E12287" t="s">
        <v>29531</v>
      </c>
      <c r="F12287" t="s">
        <v>32606</v>
      </c>
      <c r="G12287" t="s">
        <v>32613</v>
      </c>
      <c r="H12287" t="s">
        <v>32623</v>
      </c>
      <c r="I12287" t="s">
        <v>17648</v>
      </c>
      <c r="J12287" t="s">
        <v>32821</v>
      </c>
      <c r="K12287" t="s">
        <v>42719</v>
      </c>
      <c r="M12287" t="s">
        <v>46730</v>
      </c>
      <c r="N12287" t="s">
        <v>47304</v>
      </c>
      <c r="O12287" t="s">
        <v>47305</v>
      </c>
      <c r="Q12287">
        <v>4</v>
      </c>
      <c r="R12287" t="s">
        <v>47318</v>
      </c>
      <c r="S12287" t="s">
        <v>47795</v>
      </c>
      <c r="T12287" t="s">
        <v>48987</v>
      </c>
      <c r="U12287" t="s">
        <v>59689</v>
      </c>
      <c r="W12287" t="s">
        <v>46730</v>
      </c>
      <c r="X12287" t="s">
        <v>47319</v>
      </c>
    </row>
    <row r="12288" spans="1:24">
      <c r="A12288">
        <f>HYPERLINK("https://www.philgeps.gov.ph/GEPSNONPILOT/Tender/SplashBidNoticeAbstractUI.aspx?menuIndex=3&amp;refID=7176922&amp;Result=3","7176922")</f>
        <v>0</v>
      </c>
      <c r="B12288" t="s">
        <v>586</v>
      </c>
      <c r="C12288" t="s">
        <v>15473</v>
      </c>
      <c r="D12288" t="s">
        <v>19024</v>
      </c>
      <c r="E12288" t="s">
        <v>29532</v>
      </c>
      <c r="F12288" t="s">
        <v>32606</v>
      </c>
      <c r="G12288" t="s">
        <v>32613</v>
      </c>
      <c r="H12288" t="s">
        <v>14201</v>
      </c>
      <c r="I12288" t="s">
        <v>6931</v>
      </c>
      <c r="J12288" t="s">
        <v>40382</v>
      </c>
      <c r="K12288" t="s">
        <v>42631</v>
      </c>
      <c r="M12288" t="s">
        <v>43696</v>
      </c>
      <c r="N12288" t="s">
        <v>47304</v>
      </c>
      <c r="O12288" t="s">
        <v>47305</v>
      </c>
      <c r="P12288">
        <v>0</v>
      </c>
      <c r="Q12288">
        <v>2</v>
      </c>
      <c r="R12288" t="s">
        <v>47318</v>
      </c>
      <c r="S12288" t="s">
        <v>47736</v>
      </c>
      <c r="T12288" t="s">
        <v>49234</v>
      </c>
      <c r="U12288" t="s">
        <v>59690</v>
      </c>
      <c r="W12288" t="s">
        <v>43696</v>
      </c>
      <c r="X12288" t="s">
        <v>47319</v>
      </c>
    </row>
    <row r="12289" spans="1:24">
      <c r="A12289">
        <f>HYPERLINK("https://www.philgeps.gov.ph/GEPSNONPILOT/Tender/SplashBidNoticeAbstractUI.aspx?menuIndex=3&amp;refID=7176910&amp;Result=3","7176910")</f>
        <v>0</v>
      </c>
      <c r="B12289" t="s">
        <v>718</v>
      </c>
      <c r="C12289" t="s">
        <v>15474</v>
      </c>
      <c r="D12289" t="s">
        <v>19037</v>
      </c>
      <c r="E12289" t="s">
        <v>29533</v>
      </c>
      <c r="F12289" t="s">
        <v>32606</v>
      </c>
      <c r="G12289" t="s">
        <v>32613</v>
      </c>
      <c r="H12289" t="s">
        <v>14201</v>
      </c>
      <c r="I12289" t="s">
        <v>32638</v>
      </c>
      <c r="J12289" t="s">
        <v>40383</v>
      </c>
      <c r="K12289" t="s">
        <v>42631</v>
      </c>
      <c r="M12289" t="s">
        <v>46729</v>
      </c>
      <c r="N12289" t="s">
        <v>47304</v>
      </c>
      <c r="O12289" t="s">
        <v>47305</v>
      </c>
      <c r="P12289">
        <v>0</v>
      </c>
      <c r="Q12289">
        <v>24</v>
      </c>
      <c r="R12289" t="s">
        <v>47318</v>
      </c>
      <c r="S12289" t="s">
        <v>47736</v>
      </c>
      <c r="T12289" t="s">
        <v>49007</v>
      </c>
      <c r="U12289" t="s">
        <v>59691</v>
      </c>
      <c r="W12289" t="s">
        <v>46729</v>
      </c>
      <c r="X12289" t="s">
        <v>47319</v>
      </c>
    </row>
    <row r="12290" spans="1:24">
      <c r="A12290">
        <f>HYPERLINK("https://www.philgeps.gov.ph/GEPSNONPILOT/Tender/SplashBidNoticeAbstractUI.aspx?menuIndex=3&amp;refID=7176984&amp;Result=3","7176984")</f>
        <v>0</v>
      </c>
      <c r="B12290" t="s">
        <v>503</v>
      </c>
      <c r="C12290" t="s">
        <v>15475</v>
      </c>
      <c r="D12290" t="s">
        <v>19033</v>
      </c>
      <c r="E12290" t="s">
        <v>29534</v>
      </c>
      <c r="F12290" t="s">
        <v>32606</v>
      </c>
      <c r="G12290" t="s">
        <v>32613</v>
      </c>
      <c r="H12290" t="s">
        <v>14201</v>
      </c>
      <c r="I12290" t="s">
        <v>6931</v>
      </c>
      <c r="J12290" t="s">
        <v>40384</v>
      </c>
      <c r="K12290" t="s">
        <v>42631</v>
      </c>
      <c r="M12290" t="s">
        <v>43416</v>
      </c>
      <c r="N12290" t="s">
        <v>47304</v>
      </c>
      <c r="O12290" t="s">
        <v>47305</v>
      </c>
      <c r="P12290">
        <v>0</v>
      </c>
      <c r="Q12290">
        <v>10</v>
      </c>
      <c r="R12290" t="s">
        <v>47318</v>
      </c>
      <c r="S12290" t="s">
        <v>47736</v>
      </c>
      <c r="T12290" t="s">
        <v>48996</v>
      </c>
      <c r="U12290" t="s">
        <v>59028</v>
      </c>
      <c r="W12290" t="s">
        <v>43416</v>
      </c>
      <c r="X12290" t="s">
        <v>47319</v>
      </c>
    </row>
    <row r="12291" spans="1:24">
      <c r="A12291">
        <f>HYPERLINK("https://www.philgeps.gov.ph/GEPSNONPILOT/Tender/SplashBidNoticeAbstractUI.aspx?menuIndex=3&amp;refID=7176940&amp;Result=3","7176940")</f>
        <v>0</v>
      </c>
      <c r="B12291" t="s">
        <v>503</v>
      </c>
      <c r="C12291" t="s">
        <v>15476</v>
      </c>
      <c r="D12291" t="s">
        <v>19033</v>
      </c>
      <c r="E12291" t="s">
        <v>29535</v>
      </c>
      <c r="F12291" t="s">
        <v>32606</v>
      </c>
      <c r="G12291" t="s">
        <v>32613</v>
      </c>
      <c r="H12291" t="s">
        <v>14201</v>
      </c>
      <c r="I12291" t="s">
        <v>32629</v>
      </c>
      <c r="J12291" t="s">
        <v>40385</v>
      </c>
      <c r="K12291" t="s">
        <v>42623</v>
      </c>
      <c r="M12291" t="s">
        <v>43416</v>
      </c>
      <c r="N12291" t="s">
        <v>47304</v>
      </c>
      <c r="O12291" t="s">
        <v>47305</v>
      </c>
      <c r="P12291">
        <v>0</v>
      </c>
      <c r="Q12291">
        <v>1</v>
      </c>
      <c r="R12291" t="s">
        <v>47318</v>
      </c>
      <c r="S12291" t="s">
        <v>47736</v>
      </c>
      <c r="T12291" t="s">
        <v>48996</v>
      </c>
      <c r="U12291" t="s">
        <v>59028</v>
      </c>
      <c r="W12291" t="s">
        <v>43416</v>
      </c>
      <c r="X12291" t="s">
        <v>47319</v>
      </c>
    </row>
    <row r="12292" spans="1:24">
      <c r="A12292">
        <f>HYPERLINK("https://www.philgeps.gov.ph/GEPSNONPILOT/Tender/SplashBidNoticeAbstractUI.aspx?menuIndex=3&amp;refID=7176974&amp;Result=3","7176974")</f>
        <v>0</v>
      </c>
      <c r="B12292" t="s">
        <v>503</v>
      </c>
      <c r="C12292" t="s">
        <v>15477</v>
      </c>
      <c r="D12292" t="s">
        <v>19033</v>
      </c>
      <c r="E12292" t="s">
        <v>29536</v>
      </c>
      <c r="F12292" t="s">
        <v>32606</v>
      </c>
      <c r="G12292" t="s">
        <v>32613</v>
      </c>
      <c r="H12292" t="s">
        <v>14201</v>
      </c>
      <c r="I12292" t="s">
        <v>6931</v>
      </c>
      <c r="J12292" t="s">
        <v>40386</v>
      </c>
      <c r="K12292" t="s">
        <v>42631</v>
      </c>
      <c r="M12292" t="s">
        <v>43416</v>
      </c>
      <c r="N12292" t="s">
        <v>47304</v>
      </c>
      <c r="O12292" t="s">
        <v>47305</v>
      </c>
      <c r="P12292">
        <v>0</v>
      </c>
      <c r="Q12292">
        <v>3</v>
      </c>
      <c r="R12292" t="s">
        <v>47318</v>
      </c>
      <c r="S12292" t="s">
        <v>47736</v>
      </c>
      <c r="T12292" t="s">
        <v>48996</v>
      </c>
      <c r="U12292" t="s">
        <v>59028</v>
      </c>
      <c r="W12292" t="s">
        <v>43416</v>
      </c>
      <c r="X12292" t="s">
        <v>47319</v>
      </c>
    </row>
    <row r="12293" spans="1:24">
      <c r="A12293">
        <f>HYPERLINK("https://www.philgeps.gov.ph/GEPSNONPILOT/Tender/SplashBidNoticeAbstractUI.aspx?menuIndex=3&amp;refID=7176960&amp;Result=3","7176960")</f>
        <v>0</v>
      </c>
      <c r="B12293" t="s">
        <v>58</v>
      </c>
      <c r="C12293" t="s">
        <v>15478</v>
      </c>
      <c r="D12293" t="s">
        <v>19011</v>
      </c>
      <c r="E12293" t="s">
        <v>29537</v>
      </c>
      <c r="F12293" t="s">
        <v>32606</v>
      </c>
      <c r="G12293" t="s">
        <v>32613</v>
      </c>
      <c r="H12293" t="s">
        <v>32623</v>
      </c>
      <c r="I12293" t="s">
        <v>17648</v>
      </c>
      <c r="J12293" t="s">
        <v>40387</v>
      </c>
      <c r="K12293" t="s">
        <v>42683</v>
      </c>
      <c r="M12293" t="s">
        <v>46714</v>
      </c>
      <c r="N12293" t="s">
        <v>47304</v>
      </c>
      <c r="O12293" t="s">
        <v>47305</v>
      </c>
      <c r="Q12293">
        <v>1</v>
      </c>
      <c r="R12293" t="s">
        <v>47318</v>
      </c>
      <c r="S12293" t="s">
        <v>47796</v>
      </c>
      <c r="T12293" t="s">
        <v>49002</v>
      </c>
      <c r="U12293" t="s">
        <v>59692</v>
      </c>
      <c r="W12293" t="s">
        <v>46714</v>
      </c>
      <c r="X12293" t="s">
        <v>47319</v>
      </c>
    </row>
    <row r="12294" spans="1:24">
      <c r="A12294">
        <f>HYPERLINK("https://www.philgeps.gov.ph/GEPSNONPILOT/Tender/SplashBidNoticeAbstractUI.aspx?menuIndex=3&amp;refID=7176921&amp;Result=3","7176921")</f>
        <v>0</v>
      </c>
      <c r="B12294" t="s">
        <v>58</v>
      </c>
      <c r="C12294" t="s">
        <v>15479</v>
      </c>
      <c r="D12294" t="s">
        <v>19011</v>
      </c>
      <c r="E12294" t="s">
        <v>29538</v>
      </c>
      <c r="F12294" t="s">
        <v>32606</v>
      </c>
      <c r="G12294" t="s">
        <v>32613</v>
      </c>
      <c r="H12294" t="s">
        <v>32623</v>
      </c>
      <c r="I12294" t="s">
        <v>17648</v>
      </c>
      <c r="J12294" t="s">
        <v>40388</v>
      </c>
      <c r="K12294" t="s">
        <v>42683</v>
      </c>
      <c r="M12294" t="s">
        <v>46714</v>
      </c>
      <c r="N12294" t="s">
        <v>47304</v>
      </c>
      <c r="O12294" t="s">
        <v>47305</v>
      </c>
      <c r="Q12294">
        <v>2</v>
      </c>
      <c r="R12294" t="s">
        <v>47318</v>
      </c>
      <c r="S12294" t="s">
        <v>47797</v>
      </c>
      <c r="T12294" t="s">
        <v>49002</v>
      </c>
      <c r="U12294" t="s">
        <v>59693</v>
      </c>
      <c r="W12294" t="s">
        <v>46714</v>
      </c>
      <c r="X12294" t="s">
        <v>47319</v>
      </c>
    </row>
    <row r="12295" spans="1:24">
      <c r="A12295">
        <f>HYPERLINK("https://www.philgeps.gov.ph/GEPSNONPILOT/Tender/SplashBidNoticeAbstractUI.aspx?menuIndex=3&amp;refID=7176980&amp;Result=3","7176980")</f>
        <v>0</v>
      </c>
      <c r="B12295" t="s">
        <v>2500</v>
      </c>
      <c r="C12295" t="s">
        <v>15480</v>
      </c>
      <c r="D12295" t="s">
        <v>19053</v>
      </c>
      <c r="E12295" t="s">
        <v>29539</v>
      </c>
      <c r="F12295" t="s">
        <v>32606</v>
      </c>
      <c r="G12295" t="s">
        <v>32613</v>
      </c>
      <c r="H12295" t="s">
        <v>32623</v>
      </c>
      <c r="I12295" t="s">
        <v>17648</v>
      </c>
      <c r="J12295" t="s">
        <v>32824</v>
      </c>
      <c r="K12295" t="s">
        <v>42719</v>
      </c>
      <c r="M12295" t="s">
        <v>45638</v>
      </c>
      <c r="N12295" t="s">
        <v>47304</v>
      </c>
      <c r="O12295" t="s">
        <v>47305</v>
      </c>
      <c r="Q12295">
        <v>0</v>
      </c>
      <c r="R12295" t="s">
        <v>47318</v>
      </c>
      <c r="S12295" t="s">
        <v>47798</v>
      </c>
      <c r="T12295" t="s">
        <v>49107</v>
      </c>
      <c r="U12295" t="s">
        <v>59694</v>
      </c>
      <c r="V12295" t="s">
        <v>63972</v>
      </c>
      <c r="W12295" t="s">
        <v>45638</v>
      </c>
      <c r="X12295" t="s">
        <v>47319</v>
      </c>
    </row>
    <row r="12296" spans="1:24">
      <c r="A12296">
        <f>HYPERLINK("https://www.philgeps.gov.ph/GEPSNONPILOT/Tender/SplashBidNoticeAbstractUI.aspx?menuIndex=3&amp;refID=7176977&amp;Result=3","7176977")</f>
        <v>0</v>
      </c>
      <c r="B12296" t="s">
        <v>3468</v>
      </c>
      <c r="C12296" t="s">
        <v>15481</v>
      </c>
      <c r="D12296" t="s">
        <v>19022</v>
      </c>
      <c r="E12296" t="s">
        <v>29540</v>
      </c>
      <c r="F12296" t="s">
        <v>32606</v>
      </c>
      <c r="G12296" t="s">
        <v>32613</v>
      </c>
      <c r="H12296" t="s">
        <v>14201</v>
      </c>
      <c r="I12296" t="s">
        <v>32635</v>
      </c>
      <c r="J12296" t="s">
        <v>32795</v>
      </c>
      <c r="K12296" t="s">
        <v>42624</v>
      </c>
      <c r="M12296" t="s">
        <v>46731</v>
      </c>
      <c r="N12296" t="s">
        <v>47304</v>
      </c>
      <c r="O12296" t="s">
        <v>47305</v>
      </c>
      <c r="Q12296">
        <v>8</v>
      </c>
      <c r="R12296" t="s">
        <v>47318</v>
      </c>
      <c r="S12296" t="s">
        <v>47799</v>
      </c>
      <c r="T12296" t="s">
        <v>48971</v>
      </c>
      <c r="U12296" t="s">
        <v>59695</v>
      </c>
      <c r="W12296" t="s">
        <v>46731</v>
      </c>
      <c r="X12296" t="s">
        <v>47319</v>
      </c>
    </row>
    <row r="12297" spans="1:24">
      <c r="A12297">
        <f>HYPERLINK("https://www.philgeps.gov.ph/GEPSNONPILOT/Tender/SplashBidNoticeAbstractUI.aspx?menuIndex=3&amp;refID=7176968&amp;Result=3","7176968")</f>
        <v>0</v>
      </c>
      <c r="B12297" t="s">
        <v>696</v>
      </c>
      <c r="C12297" t="s">
        <v>15482</v>
      </c>
      <c r="D12297" t="s">
        <v>19069</v>
      </c>
      <c r="E12297" t="s">
        <v>29541</v>
      </c>
      <c r="F12297" t="s">
        <v>32606</v>
      </c>
      <c r="G12297" t="s">
        <v>32613</v>
      </c>
      <c r="H12297" t="s">
        <v>14201</v>
      </c>
      <c r="I12297" t="s">
        <v>32628</v>
      </c>
      <c r="J12297" t="s">
        <v>40389</v>
      </c>
      <c r="K12297" t="s">
        <v>42626</v>
      </c>
      <c r="M12297" t="s">
        <v>43969</v>
      </c>
      <c r="N12297" t="s">
        <v>47304</v>
      </c>
      <c r="O12297" t="s">
        <v>47305</v>
      </c>
      <c r="P12297">
        <v>0</v>
      </c>
      <c r="Q12297">
        <v>6</v>
      </c>
      <c r="R12297" t="s">
        <v>47318</v>
      </c>
      <c r="S12297" t="s">
        <v>47736</v>
      </c>
      <c r="T12297" t="s">
        <v>49390</v>
      </c>
      <c r="U12297" t="s">
        <v>59696</v>
      </c>
      <c r="V12297" t="s">
        <v>63973</v>
      </c>
      <c r="W12297" t="s">
        <v>43969</v>
      </c>
      <c r="X12297" t="s">
        <v>47319</v>
      </c>
    </row>
    <row r="12298" spans="1:24">
      <c r="A12298">
        <f>HYPERLINK("https://www.philgeps.gov.ph/GEPSNONPILOT/Tender/SplashBidNoticeAbstractUI.aspx?menuIndex=3&amp;refID=7176989&amp;Result=3","7176989")</f>
        <v>0</v>
      </c>
      <c r="B12298" t="s">
        <v>58</v>
      </c>
      <c r="C12298" t="s">
        <v>15483</v>
      </c>
      <c r="D12298" t="s">
        <v>19011</v>
      </c>
      <c r="E12298" t="s">
        <v>29542</v>
      </c>
      <c r="F12298" t="s">
        <v>32606</v>
      </c>
      <c r="G12298" t="s">
        <v>32613</v>
      </c>
      <c r="H12298" t="s">
        <v>32623</v>
      </c>
      <c r="I12298" t="s">
        <v>17648</v>
      </c>
      <c r="J12298" t="s">
        <v>40390</v>
      </c>
      <c r="K12298" t="s">
        <v>42742</v>
      </c>
      <c r="M12298" t="s">
        <v>46714</v>
      </c>
      <c r="N12298" t="s">
        <v>47304</v>
      </c>
      <c r="O12298" t="s">
        <v>47305</v>
      </c>
      <c r="Q12298">
        <v>0</v>
      </c>
      <c r="R12298" t="s">
        <v>47318</v>
      </c>
      <c r="S12298" t="s">
        <v>47800</v>
      </c>
      <c r="T12298" t="s">
        <v>49002</v>
      </c>
      <c r="U12298" t="s">
        <v>59697</v>
      </c>
      <c r="W12298" t="s">
        <v>46714</v>
      </c>
      <c r="X12298" t="s">
        <v>47319</v>
      </c>
    </row>
    <row r="12299" spans="1:24">
      <c r="A12299">
        <f>HYPERLINK("https://www.philgeps.gov.ph/GEPSNONPILOT/Tender/SplashBidNoticeAbstractUI.aspx?menuIndex=3&amp;refID=7177038&amp;Result=3","7177038")</f>
        <v>0</v>
      </c>
      <c r="B12299" t="s">
        <v>58</v>
      </c>
      <c r="C12299" t="s">
        <v>15484</v>
      </c>
      <c r="D12299" t="s">
        <v>19011</v>
      </c>
      <c r="E12299" t="s">
        <v>29543</v>
      </c>
      <c r="F12299" t="s">
        <v>32606</v>
      </c>
      <c r="G12299" t="s">
        <v>32613</v>
      </c>
      <c r="H12299" t="s">
        <v>32623</v>
      </c>
      <c r="I12299" t="s">
        <v>17648</v>
      </c>
      <c r="J12299" t="s">
        <v>40391</v>
      </c>
      <c r="K12299" t="s">
        <v>42636</v>
      </c>
      <c r="M12299" t="s">
        <v>46714</v>
      </c>
      <c r="N12299" t="s">
        <v>47304</v>
      </c>
      <c r="O12299" t="s">
        <v>47305</v>
      </c>
      <c r="Q12299">
        <v>0</v>
      </c>
      <c r="R12299" t="s">
        <v>47318</v>
      </c>
      <c r="S12299" t="s">
        <v>47801</v>
      </c>
      <c r="T12299" t="s">
        <v>49002</v>
      </c>
      <c r="U12299" t="s">
        <v>59698</v>
      </c>
      <c r="W12299" t="s">
        <v>46714</v>
      </c>
      <c r="X12299" t="s">
        <v>47319</v>
      </c>
    </row>
    <row r="12300" spans="1:24">
      <c r="A12300">
        <f>HYPERLINK("https://www.philgeps.gov.ph/GEPSNONPILOT/Tender/SplashBidNoticeAbstractUI.aspx?menuIndex=3&amp;refID=7176991&amp;Result=3","7176991")</f>
        <v>0</v>
      </c>
      <c r="B12300" t="s">
        <v>3469</v>
      </c>
      <c r="C12300" t="s">
        <v>15485</v>
      </c>
      <c r="D12300" t="s">
        <v>19063</v>
      </c>
      <c r="E12300" t="s">
        <v>29544</v>
      </c>
      <c r="F12300" t="s">
        <v>32606</v>
      </c>
      <c r="G12300" t="s">
        <v>32613</v>
      </c>
      <c r="H12300" t="s">
        <v>14201</v>
      </c>
      <c r="I12300" t="s">
        <v>4114</v>
      </c>
      <c r="J12300" t="s">
        <v>40392</v>
      </c>
      <c r="K12300" t="s">
        <v>42630</v>
      </c>
      <c r="M12300" t="s">
        <v>46732</v>
      </c>
      <c r="N12300" t="s">
        <v>47304</v>
      </c>
      <c r="O12300" t="s">
        <v>47305</v>
      </c>
      <c r="P12300">
        <v>0</v>
      </c>
      <c r="Q12300">
        <v>15</v>
      </c>
      <c r="R12300" t="s">
        <v>47318</v>
      </c>
      <c r="S12300" t="s">
        <v>47736</v>
      </c>
      <c r="T12300" t="s">
        <v>49073</v>
      </c>
      <c r="U12300" t="s">
        <v>59699</v>
      </c>
      <c r="W12300" t="s">
        <v>46732</v>
      </c>
      <c r="X12300" t="s">
        <v>47319</v>
      </c>
    </row>
    <row r="12301" spans="1:24">
      <c r="A12301">
        <f>HYPERLINK("https://www.philgeps.gov.ph/GEPSNONPILOT/Tender/SplashBidNoticeAbstractUI.aspx?menuIndex=3&amp;refID=7177028&amp;Result=3","7177028")</f>
        <v>0</v>
      </c>
      <c r="B12301" t="s">
        <v>3470</v>
      </c>
      <c r="C12301" t="s">
        <v>15486</v>
      </c>
      <c r="D12301" t="s">
        <v>19057</v>
      </c>
      <c r="E12301" t="s">
        <v>19249</v>
      </c>
      <c r="F12301" t="s">
        <v>32606</v>
      </c>
      <c r="G12301" t="s">
        <v>32613</v>
      </c>
      <c r="H12301" t="s">
        <v>32623</v>
      </c>
      <c r="I12301" t="s">
        <v>17648</v>
      </c>
      <c r="J12301" t="s">
        <v>40350</v>
      </c>
      <c r="K12301" t="s">
        <v>42649</v>
      </c>
      <c r="M12301" t="s">
        <v>46733</v>
      </c>
      <c r="N12301" t="s">
        <v>47304</v>
      </c>
      <c r="O12301" t="s">
        <v>47305</v>
      </c>
      <c r="P12301">
        <v>0</v>
      </c>
      <c r="Q12301">
        <v>0</v>
      </c>
      <c r="R12301" t="s">
        <v>47318</v>
      </c>
      <c r="S12301" t="s">
        <v>47736</v>
      </c>
      <c r="T12301" t="s">
        <v>49023</v>
      </c>
      <c r="U12301" t="s">
        <v>59700</v>
      </c>
      <c r="W12301" t="s">
        <v>46733</v>
      </c>
      <c r="X12301" t="s">
        <v>47319</v>
      </c>
    </row>
    <row r="12302" spans="1:24">
      <c r="A12302">
        <f>HYPERLINK("https://www.philgeps.gov.ph/GEPSNONPILOT/Tender/SplashBidNoticeAbstractUI.aspx?menuIndex=3&amp;refID=7177041&amp;Result=3","7177041")</f>
        <v>0</v>
      </c>
      <c r="B12302" t="s">
        <v>1709</v>
      </c>
      <c r="C12302" t="s">
        <v>15487</v>
      </c>
      <c r="D12302" t="s">
        <v>19032</v>
      </c>
      <c r="E12302" t="s">
        <v>29545</v>
      </c>
      <c r="F12302" t="s">
        <v>32606</v>
      </c>
      <c r="G12302" t="s">
        <v>32613</v>
      </c>
      <c r="H12302" t="s">
        <v>14201</v>
      </c>
      <c r="I12302" t="s">
        <v>17648</v>
      </c>
      <c r="J12302" t="s">
        <v>40393</v>
      </c>
      <c r="K12302" t="s">
        <v>42711</v>
      </c>
      <c r="M12302" t="s">
        <v>46276</v>
      </c>
      <c r="N12302" t="s">
        <v>47304</v>
      </c>
      <c r="O12302" t="s">
        <v>47305</v>
      </c>
      <c r="P12302">
        <v>0</v>
      </c>
      <c r="Q12302">
        <v>0</v>
      </c>
      <c r="R12302" t="s">
        <v>47318</v>
      </c>
      <c r="S12302" t="s">
        <v>47736</v>
      </c>
      <c r="T12302" t="s">
        <v>48996</v>
      </c>
      <c r="U12302" t="s">
        <v>59701</v>
      </c>
      <c r="V12302" t="s">
        <v>63974</v>
      </c>
      <c r="W12302" t="s">
        <v>46276</v>
      </c>
      <c r="X12302" t="s">
        <v>47319</v>
      </c>
    </row>
    <row r="12303" spans="1:24">
      <c r="A12303">
        <f>HYPERLINK("https://www.philgeps.gov.ph/GEPSNONPILOT/Tender/SplashBidNoticeAbstractUI.aspx?menuIndex=3&amp;refID=7176920&amp;Result=3","7176920")</f>
        <v>0</v>
      </c>
      <c r="B12303" t="s">
        <v>3471</v>
      </c>
      <c r="C12303" t="s">
        <v>15488</v>
      </c>
      <c r="D12303" t="s">
        <v>19054</v>
      </c>
      <c r="E12303" t="s">
        <v>29546</v>
      </c>
      <c r="F12303" t="s">
        <v>32606</v>
      </c>
      <c r="G12303" t="s">
        <v>32618</v>
      </c>
      <c r="H12303" t="s">
        <v>14201</v>
      </c>
      <c r="I12303" t="s">
        <v>6931</v>
      </c>
      <c r="J12303" t="s">
        <v>40394</v>
      </c>
      <c r="K12303" t="s">
        <v>42623</v>
      </c>
      <c r="M12303" t="s">
        <v>46734</v>
      </c>
      <c r="N12303" t="s">
        <v>47304</v>
      </c>
      <c r="O12303" t="s">
        <v>47305</v>
      </c>
      <c r="P12303">
        <v>0</v>
      </c>
      <c r="Q12303">
        <v>0</v>
      </c>
      <c r="R12303" t="s">
        <v>47318</v>
      </c>
      <c r="S12303" t="s">
        <v>47736</v>
      </c>
      <c r="T12303" t="s">
        <v>49087</v>
      </c>
      <c r="U12303" t="s">
        <v>59702</v>
      </c>
      <c r="W12303" t="s">
        <v>46734</v>
      </c>
      <c r="X12303" t="s">
        <v>47319</v>
      </c>
    </row>
    <row r="12304" spans="1:24">
      <c r="A12304">
        <f>HYPERLINK("https://www.philgeps.gov.ph/GEPSNONPILOT/Tender/SplashBidNoticeAbstractUI.aspx?menuIndex=3&amp;refID=7176970&amp;Result=3","7176970")</f>
        <v>0</v>
      </c>
      <c r="B12304" t="s">
        <v>503</v>
      </c>
      <c r="C12304" t="s">
        <v>15489</v>
      </c>
      <c r="D12304" t="s">
        <v>19033</v>
      </c>
      <c r="E12304" t="s">
        <v>29547</v>
      </c>
      <c r="F12304" t="s">
        <v>32606</v>
      </c>
      <c r="G12304" t="s">
        <v>32613</v>
      </c>
      <c r="H12304" t="s">
        <v>14201</v>
      </c>
      <c r="I12304" t="s">
        <v>7529</v>
      </c>
      <c r="J12304" t="s">
        <v>32765</v>
      </c>
      <c r="K12304" t="s">
        <v>42623</v>
      </c>
      <c r="M12304" t="s">
        <v>43416</v>
      </c>
      <c r="N12304" t="s">
        <v>47304</v>
      </c>
      <c r="O12304" t="s">
        <v>47305</v>
      </c>
      <c r="P12304">
        <v>0</v>
      </c>
      <c r="Q12304">
        <v>1</v>
      </c>
      <c r="R12304" t="s">
        <v>47318</v>
      </c>
      <c r="S12304" t="s">
        <v>47736</v>
      </c>
      <c r="T12304" t="s">
        <v>48996</v>
      </c>
      <c r="U12304" t="s">
        <v>59028</v>
      </c>
      <c r="W12304" t="s">
        <v>43416</v>
      </c>
      <c r="X12304" t="s">
        <v>47319</v>
      </c>
    </row>
    <row r="12305" spans="1:24">
      <c r="A12305">
        <f>HYPERLINK("https://www.philgeps.gov.ph/GEPSNONPILOT/Tender/SplashBidNoticeAbstractUI.aspx?menuIndex=3&amp;refID=7177019&amp;Result=3","7177019")</f>
        <v>0</v>
      </c>
      <c r="B12305" t="s">
        <v>3470</v>
      </c>
      <c r="C12305" t="s">
        <v>15490</v>
      </c>
      <c r="D12305" t="s">
        <v>19057</v>
      </c>
      <c r="E12305" t="s">
        <v>20107</v>
      </c>
      <c r="F12305" t="s">
        <v>32606</v>
      </c>
      <c r="G12305" t="s">
        <v>32613</v>
      </c>
      <c r="H12305" t="s">
        <v>32623</v>
      </c>
      <c r="I12305" t="s">
        <v>17648</v>
      </c>
      <c r="J12305" t="s">
        <v>32778</v>
      </c>
      <c r="K12305" t="s">
        <v>42623</v>
      </c>
      <c r="M12305" t="s">
        <v>46733</v>
      </c>
      <c r="N12305" t="s">
        <v>47304</v>
      </c>
      <c r="O12305" t="s">
        <v>47305</v>
      </c>
      <c r="P12305">
        <v>0</v>
      </c>
      <c r="Q12305">
        <v>1</v>
      </c>
      <c r="R12305" t="s">
        <v>47318</v>
      </c>
      <c r="S12305" t="s">
        <v>47736</v>
      </c>
      <c r="T12305" t="s">
        <v>49023</v>
      </c>
      <c r="U12305" t="s">
        <v>59703</v>
      </c>
      <c r="W12305" t="s">
        <v>46733</v>
      </c>
      <c r="X12305" t="s">
        <v>47319</v>
      </c>
    </row>
    <row r="12306" spans="1:24">
      <c r="A12306">
        <f>HYPERLINK("https://www.philgeps.gov.ph/GEPSNONPILOT/Tender/SplashBidNoticeAbstractUI.aspx?menuIndex=3&amp;refID=7177017&amp;Result=3","7177017")</f>
        <v>0</v>
      </c>
      <c r="B12306" t="s">
        <v>58</v>
      </c>
      <c r="C12306" t="s">
        <v>15491</v>
      </c>
      <c r="D12306" t="s">
        <v>19011</v>
      </c>
      <c r="E12306" t="s">
        <v>29548</v>
      </c>
      <c r="F12306" t="s">
        <v>32606</v>
      </c>
      <c r="G12306" t="s">
        <v>32613</v>
      </c>
      <c r="H12306" t="s">
        <v>32623</v>
      </c>
      <c r="I12306" t="s">
        <v>17648</v>
      </c>
      <c r="J12306" t="s">
        <v>40395</v>
      </c>
      <c r="K12306" t="s">
        <v>42712</v>
      </c>
      <c r="M12306" t="s">
        <v>46714</v>
      </c>
      <c r="N12306" t="s">
        <v>47304</v>
      </c>
      <c r="O12306" t="s">
        <v>47305</v>
      </c>
      <c r="Q12306">
        <v>2</v>
      </c>
      <c r="R12306" t="s">
        <v>47318</v>
      </c>
      <c r="S12306" t="s">
        <v>47802</v>
      </c>
      <c r="T12306" t="s">
        <v>49002</v>
      </c>
      <c r="U12306" t="s">
        <v>59704</v>
      </c>
      <c r="W12306" t="s">
        <v>46714</v>
      </c>
      <c r="X12306" t="s">
        <v>47319</v>
      </c>
    </row>
    <row r="12307" spans="1:24">
      <c r="A12307">
        <f>HYPERLINK("https://www.philgeps.gov.ph/GEPSNONPILOT/Tender/SplashBidNoticeAbstractUI.aspx?menuIndex=3&amp;refID=7177069&amp;Result=3","7177069")</f>
        <v>0</v>
      </c>
      <c r="B12307" t="s">
        <v>1392</v>
      </c>
      <c r="C12307" t="s">
        <v>15492</v>
      </c>
      <c r="D12307" t="s">
        <v>19011</v>
      </c>
      <c r="E12307" t="s">
        <v>29549</v>
      </c>
      <c r="F12307" t="s">
        <v>32606</v>
      </c>
      <c r="G12307" t="s">
        <v>32613</v>
      </c>
      <c r="H12307" t="s">
        <v>14201</v>
      </c>
      <c r="I12307" t="s">
        <v>7677</v>
      </c>
      <c r="J12307" t="s">
        <v>40396</v>
      </c>
      <c r="K12307" t="s">
        <v>42623</v>
      </c>
      <c r="M12307" t="s">
        <v>44375</v>
      </c>
      <c r="N12307" t="s">
        <v>47304</v>
      </c>
      <c r="O12307" t="s">
        <v>47305</v>
      </c>
      <c r="P12307">
        <v>0</v>
      </c>
      <c r="Q12307">
        <v>8</v>
      </c>
      <c r="R12307" t="s">
        <v>47318</v>
      </c>
      <c r="S12307" t="s">
        <v>47736</v>
      </c>
      <c r="T12307" t="s">
        <v>48995</v>
      </c>
      <c r="U12307" t="s">
        <v>59705</v>
      </c>
      <c r="W12307" t="s">
        <v>44375</v>
      </c>
      <c r="X12307" t="s">
        <v>47319</v>
      </c>
    </row>
    <row r="12308" spans="1:24">
      <c r="A12308">
        <f>HYPERLINK("https://www.philgeps.gov.ph/GEPSNONPILOT/Tender/SplashBidNoticeAbstractUI.aspx?menuIndex=3&amp;refID=7177065&amp;Result=3","7177065")</f>
        <v>0</v>
      </c>
      <c r="B12308" t="s">
        <v>3470</v>
      </c>
      <c r="C12308" t="s">
        <v>15493</v>
      </c>
      <c r="D12308" t="s">
        <v>19057</v>
      </c>
      <c r="E12308" t="s">
        <v>23179</v>
      </c>
      <c r="F12308" t="s">
        <v>32606</v>
      </c>
      <c r="G12308" t="s">
        <v>32613</v>
      </c>
      <c r="H12308" t="s">
        <v>14201</v>
      </c>
      <c r="I12308" t="s">
        <v>7064</v>
      </c>
      <c r="J12308" t="s">
        <v>32778</v>
      </c>
      <c r="K12308" t="s">
        <v>42623</v>
      </c>
      <c r="M12308" t="s">
        <v>46733</v>
      </c>
      <c r="N12308" t="s">
        <v>47304</v>
      </c>
      <c r="O12308" t="s">
        <v>47305</v>
      </c>
      <c r="P12308">
        <v>0</v>
      </c>
      <c r="Q12308">
        <v>0</v>
      </c>
      <c r="R12308" t="s">
        <v>47318</v>
      </c>
      <c r="S12308" t="s">
        <v>47736</v>
      </c>
      <c r="T12308" t="s">
        <v>49023</v>
      </c>
      <c r="U12308" t="s">
        <v>59706</v>
      </c>
      <c r="W12308" t="s">
        <v>46733</v>
      </c>
      <c r="X12308" t="s">
        <v>47319</v>
      </c>
    </row>
    <row r="12309" spans="1:24">
      <c r="A12309">
        <f>HYPERLINK("https://www.philgeps.gov.ph/GEPSNONPILOT/Tender/SplashBidNoticeAbstractUI.aspx?menuIndex=3&amp;refID=7177057&amp;Result=3","7177057")</f>
        <v>0</v>
      </c>
      <c r="B12309" t="s">
        <v>58</v>
      </c>
      <c r="C12309" t="s">
        <v>15494</v>
      </c>
      <c r="D12309" t="s">
        <v>19011</v>
      </c>
      <c r="E12309" t="s">
        <v>29550</v>
      </c>
      <c r="F12309" t="s">
        <v>32606</v>
      </c>
      <c r="G12309" t="s">
        <v>32613</v>
      </c>
      <c r="H12309" t="s">
        <v>32623</v>
      </c>
      <c r="I12309" t="s">
        <v>17648</v>
      </c>
      <c r="J12309" t="s">
        <v>40397</v>
      </c>
      <c r="K12309" t="s">
        <v>42636</v>
      </c>
      <c r="M12309" t="s">
        <v>46714</v>
      </c>
      <c r="N12309" t="s">
        <v>47304</v>
      </c>
      <c r="O12309" t="s">
        <v>47305</v>
      </c>
      <c r="Q12309">
        <v>0</v>
      </c>
      <c r="R12309" t="s">
        <v>47318</v>
      </c>
      <c r="S12309" t="s">
        <v>47803</v>
      </c>
      <c r="T12309" t="s">
        <v>49002</v>
      </c>
      <c r="U12309" t="s">
        <v>59707</v>
      </c>
      <c r="W12309" t="s">
        <v>46714</v>
      </c>
      <c r="X12309" t="s">
        <v>47319</v>
      </c>
    </row>
    <row r="12310" spans="1:24">
      <c r="A12310">
        <f>HYPERLINK("https://www.philgeps.gov.ph/GEPSNONPILOT/Tender/SplashBidNoticeAbstractUI.aspx?menuIndex=3&amp;refID=7177055&amp;Result=3","7177055")</f>
        <v>0</v>
      </c>
      <c r="B12310" t="s">
        <v>945</v>
      </c>
      <c r="C12310" t="s">
        <v>15495</v>
      </c>
      <c r="D12310" t="s">
        <v>19059</v>
      </c>
      <c r="E12310" t="s">
        <v>29551</v>
      </c>
      <c r="F12310" t="s">
        <v>32607</v>
      </c>
      <c r="G12310" t="s">
        <v>32613</v>
      </c>
      <c r="H12310" t="s">
        <v>14201</v>
      </c>
      <c r="I12310" t="s">
        <v>32631</v>
      </c>
      <c r="J12310" t="s">
        <v>40398</v>
      </c>
      <c r="K12310" t="s">
        <v>42636</v>
      </c>
      <c r="M12310" t="s">
        <v>43886</v>
      </c>
      <c r="N12310" t="s">
        <v>47304</v>
      </c>
      <c r="O12310" t="s">
        <v>47305</v>
      </c>
      <c r="P12310">
        <v>0</v>
      </c>
      <c r="Q12310">
        <v>1</v>
      </c>
      <c r="R12310" t="s">
        <v>47318</v>
      </c>
      <c r="S12310" t="s">
        <v>47736</v>
      </c>
      <c r="T12310" t="s">
        <v>48980</v>
      </c>
      <c r="U12310" t="s">
        <v>59708</v>
      </c>
      <c r="W12310" t="s">
        <v>43886</v>
      </c>
      <c r="X12310" t="s">
        <v>47319</v>
      </c>
    </row>
    <row r="12311" spans="1:24">
      <c r="A12311">
        <f>HYPERLINK("https://www.philgeps.gov.ph/GEPSNONPILOT/Tender/SplashBidNoticeAbstractUI.aspx?menuIndex=3&amp;refID=7177040&amp;Result=3","7177040")</f>
        <v>0</v>
      </c>
      <c r="B12311" t="s">
        <v>3470</v>
      </c>
      <c r="C12311" t="s">
        <v>4812</v>
      </c>
      <c r="D12311" t="s">
        <v>19057</v>
      </c>
      <c r="E12311" t="s">
        <v>20284</v>
      </c>
      <c r="F12311" t="s">
        <v>32606</v>
      </c>
      <c r="G12311" t="s">
        <v>32613</v>
      </c>
      <c r="H12311" t="s">
        <v>32623</v>
      </c>
      <c r="I12311" t="s">
        <v>17648</v>
      </c>
      <c r="J12311" t="s">
        <v>33119</v>
      </c>
      <c r="K12311" t="s">
        <v>42623</v>
      </c>
      <c r="M12311" t="s">
        <v>46733</v>
      </c>
      <c r="N12311" t="s">
        <v>47304</v>
      </c>
      <c r="O12311" t="s">
        <v>47305</v>
      </c>
      <c r="P12311">
        <v>0</v>
      </c>
      <c r="Q12311">
        <v>1</v>
      </c>
      <c r="R12311" t="s">
        <v>47318</v>
      </c>
      <c r="S12311" t="s">
        <v>47736</v>
      </c>
      <c r="T12311" t="s">
        <v>49023</v>
      </c>
      <c r="U12311" t="s">
        <v>59709</v>
      </c>
      <c r="W12311" t="s">
        <v>46733</v>
      </c>
      <c r="X12311" t="s">
        <v>47319</v>
      </c>
    </row>
    <row r="12312" spans="1:24">
      <c r="A12312">
        <f>HYPERLINK("https://www.philgeps.gov.ph/GEPSNONPILOT/Tender/SplashBidNoticeAbstractUI.aspx?menuIndex=3&amp;refID=7177052&amp;Result=3","7177052")</f>
        <v>0</v>
      </c>
      <c r="B12312" t="s">
        <v>3470</v>
      </c>
      <c r="C12312" t="s">
        <v>15496</v>
      </c>
      <c r="D12312" t="s">
        <v>19057</v>
      </c>
      <c r="E12312" t="s">
        <v>21941</v>
      </c>
      <c r="F12312" t="s">
        <v>32606</v>
      </c>
      <c r="G12312" t="s">
        <v>32613</v>
      </c>
      <c r="H12312" t="s">
        <v>32623</v>
      </c>
      <c r="I12312" t="s">
        <v>17648</v>
      </c>
      <c r="J12312" t="s">
        <v>35368</v>
      </c>
      <c r="K12312" t="s">
        <v>42645</v>
      </c>
      <c r="M12312" t="s">
        <v>46733</v>
      </c>
      <c r="N12312" t="s">
        <v>47304</v>
      </c>
      <c r="O12312" t="s">
        <v>47305</v>
      </c>
      <c r="Q12312">
        <v>0</v>
      </c>
      <c r="R12312" t="s">
        <v>47318</v>
      </c>
      <c r="S12312" t="s">
        <v>47804</v>
      </c>
      <c r="T12312" t="s">
        <v>49023</v>
      </c>
      <c r="U12312" t="s">
        <v>59710</v>
      </c>
      <c r="W12312" t="s">
        <v>46733</v>
      </c>
      <c r="X12312" t="s">
        <v>47319</v>
      </c>
    </row>
    <row r="12313" spans="1:24">
      <c r="A12313">
        <f>HYPERLINK("https://www.philgeps.gov.ph/GEPSNONPILOT/Tender/SplashBidNoticeAbstractUI.aspx?menuIndex=3&amp;refID=7177018&amp;Result=3","7177018")</f>
        <v>0</v>
      </c>
      <c r="B12313" t="s">
        <v>3472</v>
      </c>
      <c r="C12313" t="s">
        <v>15497</v>
      </c>
      <c r="D12313" t="s">
        <v>19007</v>
      </c>
      <c r="E12313" t="s">
        <v>29552</v>
      </c>
      <c r="F12313" t="s">
        <v>32606</v>
      </c>
      <c r="G12313" t="s">
        <v>32613</v>
      </c>
      <c r="H12313" t="s">
        <v>32623</v>
      </c>
      <c r="I12313" t="s">
        <v>17648</v>
      </c>
      <c r="J12313" t="s">
        <v>34128</v>
      </c>
      <c r="K12313" t="s">
        <v>42648</v>
      </c>
      <c r="M12313" t="s">
        <v>46735</v>
      </c>
      <c r="N12313" t="s">
        <v>47304</v>
      </c>
      <c r="O12313" t="s">
        <v>47305</v>
      </c>
      <c r="P12313">
        <v>0</v>
      </c>
      <c r="Q12313">
        <v>0</v>
      </c>
      <c r="R12313" t="s">
        <v>47318</v>
      </c>
      <c r="S12313" t="s">
        <v>47736</v>
      </c>
      <c r="T12313" t="s">
        <v>49107</v>
      </c>
      <c r="U12313" t="s">
        <v>59711</v>
      </c>
      <c r="V12313" t="s">
        <v>63975</v>
      </c>
      <c r="W12313" t="s">
        <v>46735</v>
      </c>
      <c r="X12313" t="s">
        <v>47319</v>
      </c>
    </row>
    <row r="12314" spans="1:24">
      <c r="A12314">
        <f>HYPERLINK("https://www.philgeps.gov.ph/GEPSNONPILOT/Tender/SplashBidNoticeAbstractUI.aspx?menuIndex=3&amp;refID=7177044&amp;Result=3","7177044")</f>
        <v>0</v>
      </c>
      <c r="B12314" t="s">
        <v>3473</v>
      </c>
      <c r="C12314" t="s">
        <v>15498</v>
      </c>
      <c r="D12314" t="s">
        <v>19010</v>
      </c>
      <c r="E12314" t="s">
        <v>29553</v>
      </c>
      <c r="F12314" t="s">
        <v>32606</v>
      </c>
      <c r="G12314" t="s">
        <v>32613</v>
      </c>
      <c r="H12314" t="s">
        <v>32623</v>
      </c>
      <c r="I12314" t="s">
        <v>17648</v>
      </c>
      <c r="J12314" t="s">
        <v>32995</v>
      </c>
      <c r="K12314" t="s">
        <v>42636</v>
      </c>
      <c r="M12314" t="s">
        <v>46736</v>
      </c>
      <c r="N12314" t="s">
        <v>47304</v>
      </c>
      <c r="O12314" t="s">
        <v>47305</v>
      </c>
      <c r="P12314">
        <v>0</v>
      </c>
      <c r="Q12314">
        <v>0</v>
      </c>
      <c r="R12314" t="s">
        <v>47318</v>
      </c>
      <c r="S12314" t="s">
        <v>47736</v>
      </c>
      <c r="T12314" t="s">
        <v>49165</v>
      </c>
      <c r="U12314" t="s">
        <v>59712</v>
      </c>
      <c r="W12314" t="s">
        <v>46736</v>
      </c>
      <c r="X12314" t="s">
        <v>47319</v>
      </c>
    </row>
    <row r="12315" spans="1:24">
      <c r="A12315">
        <f>HYPERLINK("https://www.philgeps.gov.ph/GEPSNONPILOT/Tender/SplashBidNoticeAbstractUI.aspx?menuIndex=3&amp;refID=7177002&amp;Result=3","7177002")</f>
        <v>0</v>
      </c>
      <c r="B12315" t="s">
        <v>2776</v>
      </c>
      <c r="C12315" t="s">
        <v>15499</v>
      </c>
      <c r="D12315" t="s">
        <v>18993</v>
      </c>
      <c r="E12315" t="s">
        <v>29554</v>
      </c>
      <c r="F12315" t="s">
        <v>32606</v>
      </c>
      <c r="G12315" t="s">
        <v>32614</v>
      </c>
      <c r="H12315" t="s">
        <v>14201</v>
      </c>
      <c r="I12315" t="s">
        <v>4678</v>
      </c>
      <c r="J12315" t="s">
        <v>33167</v>
      </c>
      <c r="K12315" t="s">
        <v>42622</v>
      </c>
      <c r="M12315" t="s">
        <v>46737</v>
      </c>
      <c r="N12315" t="s">
        <v>47304</v>
      </c>
      <c r="O12315" t="s">
        <v>47305</v>
      </c>
      <c r="Q12315">
        <v>5</v>
      </c>
      <c r="R12315" t="s">
        <v>47318</v>
      </c>
      <c r="S12315" t="s">
        <v>47805</v>
      </c>
      <c r="T12315" t="s">
        <v>49108</v>
      </c>
      <c r="U12315" t="s">
        <v>59713</v>
      </c>
      <c r="W12315" t="s">
        <v>46737</v>
      </c>
      <c r="X12315" t="s">
        <v>47319</v>
      </c>
    </row>
    <row r="12316" spans="1:24">
      <c r="A12316">
        <f>HYPERLINK("https://www.philgeps.gov.ph/GEPSNONPILOT/Tender/SplashBidNoticeAbstractUI.aspx?menuIndex=3&amp;refID=7177075&amp;Result=3","7177075")</f>
        <v>0</v>
      </c>
      <c r="B12316" t="s">
        <v>732</v>
      </c>
      <c r="C12316" t="s">
        <v>15500</v>
      </c>
      <c r="D12316" t="s">
        <v>19016</v>
      </c>
      <c r="E12316" t="s">
        <v>29555</v>
      </c>
      <c r="F12316" t="s">
        <v>32606</v>
      </c>
      <c r="G12316" t="s">
        <v>32618</v>
      </c>
      <c r="H12316" t="s">
        <v>14201</v>
      </c>
      <c r="I12316" t="s">
        <v>4678</v>
      </c>
      <c r="J12316" t="s">
        <v>40399</v>
      </c>
      <c r="K12316" t="s">
        <v>42623</v>
      </c>
      <c r="M12316" t="s">
        <v>46738</v>
      </c>
      <c r="N12316" t="s">
        <v>47304</v>
      </c>
      <c r="O12316" t="s">
        <v>47305</v>
      </c>
      <c r="P12316">
        <v>0</v>
      </c>
      <c r="Q12316">
        <v>3</v>
      </c>
      <c r="R12316" t="s">
        <v>47318</v>
      </c>
      <c r="S12316" t="s">
        <v>47736</v>
      </c>
      <c r="T12316" t="s">
        <v>49213</v>
      </c>
      <c r="U12316" t="s">
        <v>59714</v>
      </c>
      <c r="V12316" t="s">
        <v>63976</v>
      </c>
      <c r="W12316" t="s">
        <v>46738</v>
      </c>
      <c r="X12316" t="s">
        <v>47319</v>
      </c>
    </row>
    <row r="12317" spans="1:24">
      <c r="A12317">
        <f>HYPERLINK("https://www.philgeps.gov.ph/GEPSNONPILOT/Tender/SplashBidNoticeAbstractUI.aspx?menuIndex=3&amp;refID=7177194&amp;Result=3","7177194")</f>
        <v>0</v>
      </c>
      <c r="B12317" t="s">
        <v>1030</v>
      </c>
      <c r="C12317" t="s">
        <v>15501</v>
      </c>
      <c r="D12317" t="s">
        <v>19004</v>
      </c>
      <c r="E12317" t="s">
        <v>29556</v>
      </c>
      <c r="F12317" t="s">
        <v>32606</v>
      </c>
      <c r="G12317" t="s">
        <v>32613</v>
      </c>
      <c r="H12317" t="s">
        <v>14201</v>
      </c>
      <c r="I12317" t="s">
        <v>6931</v>
      </c>
      <c r="J12317" t="s">
        <v>40400</v>
      </c>
      <c r="K12317" t="s">
        <v>42623</v>
      </c>
      <c r="M12317" t="s">
        <v>43983</v>
      </c>
      <c r="N12317" t="s">
        <v>47304</v>
      </c>
      <c r="O12317" t="s">
        <v>47305</v>
      </c>
      <c r="P12317">
        <v>0</v>
      </c>
      <c r="Q12317">
        <v>2</v>
      </c>
      <c r="R12317" t="s">
        <v>47318</v>
      </c>
      <c r="S12317" t="s">
        <v>47736</v>
      </c>
      <c r="T12317" t="s">
        <v>49066</v>
      </c>
      <c r="U12317" t="s">
        <v>59715</v>
      </c>
      <c r="W12317" t="s">
        <v>43983</v>
      </c>
      <c r="X12317" t="s">
        <v>47319</v>
      </c>
    </row>
    <row r="12318" spans="1:24">
      <c r="A12318">
        <f>HYPERLINK("https://www.philgeps.gov.ph/GEPSNONPILOT/Tender/SplashBidNoticeAbstractUI.aspx?menuIndex=3&amp;refID=7177033&amp;Result=3","7177033")</f>
        <v>0</v>
      </c>
      <c r="B12318" t="s">
        <v>945</v>
      </c>
      <c r="C12318" t="s">
        <v>15502</v>
      </c>
      <c r="D12318" t="s">
        <v>19059</v>
      </c>
      <c r="E12318" t="s">
        <v>29557</v>
      </c>
      <c r="F12318" t="s">
        <v>32607</v>
      </c>
      <c r="G12318" t="s">
        <v>32613</v>
      </c>
      <c r="H12318" t="s">
        <v>14201</v>
      </c>
      <c r="I12318" t="s">
        <v>32631</v>
      </c>
      <c r="J12318" t="s">
        <v>40401</v>
      </c>
      <c r="K12318" t="s">
        <v>42636</v>
      </c>
      <c r="M12318" t="s">
        <v>43886</v>
      </c>
      <c r="N12318" t="s">
        <v>47304</v>
      </c>
      <c r="O12318" t="s">
        <v>47305</v>
      </c>
      <c r="P12318">
        <v>0</v>
      </c>
      <c r="Q12318">
        <v>1</v>
      </c>
      <c r="R12318" t="s">
        <v>47318</v>
      </c>
      <c r="S12318" t="s">
        <v>47736</v>
      </c>
      <c r="T12318" t="s">
        <v>48980</v>
      </c>
      <c r="U12318" t="s">
        <v>59716</v>
      </c>
      <c r="W12318" t="s">
        <v>43886</v>
      </c>
      <c r="X12318" t="s">
        <v>47319</v>
      </c>
    </row>
    <row r="12319" spans="1:24">
      <c r="A12319">
        <f>HYPERLINK("https://www.philgeps.gov.ph/GEPSNONPILOT/Tender/SplashBidNoticeAbstractUI.aspx?menuIndex=3&amp;refID=7176935&amp;Result=3","7176935")</f>
        <v>0</v>
      </c>
      <c r="B12319" t="s">
        <v>3368</v>
      </c>
      <c r="C12319" t="s">
        <v>15503</v>
      </c>
      <c r="D12319" t="s">
        <v>19008</v>
      </c>
      <c r="E12319" t="s">
        <v>20079</v>
      </c>
      <c r="F12319" t="s">
        <v>32606</v>
      </c>
      <c r="G12319" t="s">
        <v>32613</v>
      </c>
      <c r="H12319" t="s">
        <v>32623</v>
      </c>
      <c r="I12319" t="s">
        <v>17648</v>
      </c>
      <c r="J12319" t="s">
        <v>32995</v>
      </c>
      <c r="K12319" t="s">
        <v>42689</v>
      </c>
      <c r="M12319" t="s">
        <v>46617</v>
      </c>
      <c r="N12319" t="s">
        <v>47304</v>
      </c>
      <c r="O12319" t="s">
        <v>47305</v>
      </c>
      <c r="P12319">
        <v>0</v>
      </c>
      <c r="Q12319">
        <v>0</v>
      </c>
      <c r="R12319" t="s">
        <v>47318</v>
      </c>
      <c r="S12319" t="s">
        <v>47736</v>
      </c>
      <c r="T12319" t="s">
        <v>49041</v>
      </c>
      <c r="U12319" t="s">
        <v>59717</v>
      </c>
      <c r="V12319" t="s">
        <v>63977</v>
      </c>
      <c r="W12319" t="s">
        <v>46617</v>
      </c>
      <c r="X12319" t="s">
        <v>47319</v>
      </c>
    </row>
    <row r="12320" spans="1:24">
      <c r="A12320">
        <f>HYPERLINK("https://www.philgeps.gov.ph/GEPSNONPILOT/Tender/SplashBidNoticeAbstractUI.aspx?menuIndex=3&amp;refID=7177193&amp;Result=3","7177193")</f>
        <v>0</v>
      </c>
      <c r="B12320" t="s">
        <v>3474</v>
      </c>
      <c r="C12320" t="s">
        <v>15504</v>
      </c>
      <c r="D12320" t="s">
        <v>19023</v>
      </c>
      <c r="E12320" t="s">
        <v>29558</v>
      </c>
      <c r="F12320" t="s">
        <v>32606</v>
      </c>
      <c r="G12320" t="s">
        <v>32613</v>
      </c>
      <c r="H12320" t="s">
        <v>14201</v>
      </c>
      <c r="I12320" t="s">
        <v>32629</v>
      </c>
      <c r="J12320" t="s">
        <v>40402</v>
      </c>
      <c r="K12320" t="s">
        <v>42639</v>
      </c>
      <c r="M12320" t="s">
        <v>46739</v>
      </c>
      <c r="N12320" t="s">
        <v>47304</v>
      </c>
      <c r="O12320" t="s">
        <v>47305</v>
      </c>
      <c r="P12320">
        <v>0</v>
      </c>
      <c r="Q12320">
        <v>0</v>
      </c>
      <c r="R12320" t="s">
        <v>47318</v>
      </c>
      <c r="S12320" t="s">
        <v>47736</v>
      </c>
      <c r="T12320" t="s">
        <v>49066</v>
      </c>
      <c r="U12320" t="s">
        <v>59718</v>
      </c>
      <c r="W12320" t="s">
        <v>46739</v>
      </c>
      <c r="X12320" t="s">
        <v>47319</v>
      </c>
    </row>
    <row r="12321" spans="1:24">
      <c r="A12321">
        <f>HYPERLINK("https://www.philgeps.gov.ph/GEPSNONPILOT/Tender/SplashBidNoticeAbstractUI.aspx?menuIndex=3&amp;refID=7177153&amp;Result=3","7177153")</f>
        <v>0</v>
      </c>
      <c r="B12321" t="s">
        <v>3475</v>
      </c>
      <c r="C12321" t="s">
        <v>15505</v>
      </c>
      <c r="D12321" t="s">
        <v>18997</v>
      </c>
      <c r="E12321" t="s">
        <v>29559</v>
      </c>
      <c r="F12321" t="s">
        <v>32606</v>
      </c>
      <c r="G12321" t="s">
        <v>32613</v>
      </c>
      <c r="H12321" t="s">
        <v>14201</v>
      </c>
      <c r="I12321" t="s">
        <v>32640</v>
      </c>
      <c r="J12321" t="s">
        <v>35368</v>
      </c>
      <c r="K12321" t="s">
        <v>42646</v>
      </c>
      <c r="M12321" t="s">
        <v>46740</v>
      </c>
      <c r="N12321" t="s">
        <v>47304</v>
      </c>
      <c r="O12321" t="s">
        <v>47305</v>
      </c>
      <c r="P12321">
        <v>0</v>
      </c>
      <c r="Q12321">
        <v>8</v>
      </c>
      <c r="R12321" t="s">
        <v>47318</v>
      </c>
      <c r="S12321" t="s">
        <v>47736</v>
      </c>
      <c r="T12321" t="s">
        <v>49066</v>
      </c>
      <c r="U12321" t="s">
        <v>59719</v>
      </c>
      <c r="W12321" t="s">
        <v>46740</v>
      </c>
      <c r="X12321" t="s">
        <v>47319</v>
      </c>
    </row>
    <row r="12322" spans="1:24">
      <c r="A12322">
        <f>HYPERLINK("https://www.philgeps.gov.ph/GEPSNONPILOT/Tender/SplashBidNoticeAbstractUI.aspx?menuIndex=3&amp;refID=7177023&amp;Result=3","7177023")</f>
        <v>0</v>
      </c>
      <c r="B12322" t="s">
        <v>3476</v>
      </c>
      <c r="C12322" t="s">
        <v>15506</v>
      </c>
      <c r="D12322" t="s">
        <v>19006</v>
      </c>
      <c r="E12322" t="s">
        <v>29560</v>
      </c>
      <c r="F12322" t="s">
        <v>32606</v>
      </c>
      <c r="G12322" t="s">
        <v>32613</v>
      </c>
      <c r="H12322" t="s">
        <v>32623</v>
      </c>
      <c r="I12322" t="s">
        <v>17648</v>
      </c>
      <c r="J12322" t="s">
        <v>32981</v>
      </c>
      <c r="K12322" t="s">
        <v>42622</v>
      </c>
      <c r="M12322" t="s">
        <v>46741</v>
      </c>
      <c r="N12322" t="s">
        <v>47304</v>
      </c>
      <c r="O12322" t="s">
        <v>47305</v>
      </c>
      <c r="P12322">
        <v>0</v>
      </c>
      <c r="Q12322">
        <v>0</v>
      </c>
      <c r="R12322" t="s">
        <v>47318</v>
      </c>
      <c r="S12322" t="s">
        <v>47736</v>
      </c>
      <c r="T12322" t="s">
        <v>49050</v>
      </c>
      <c r="U12322" t="s">
        <v>59720</v>
      </c>
      <c r="W12322" t="s">
        <v>46741</v>
      </c>
      <c r="X12322" t="s">
        <v>47319</v>
      </c>
    </row>
    <row r="12323" spans="1:24">
      <c r="A12323">
        <f>HYPERLINK("https://www.philgeps.gov.ph/GEPSNONPILOT/Tender/SplashBidNoticeAbstractUI.aspx?menuIndex=3&amp;refID=7177243&amp;Result=3","7177243")</f>
        <v>0</v>
      </c>
      <c r="B12323" t="s">
        <v>2117</v>
      </c>
      <c r="C12323" t="s">
        <v>15507</v>
      </c>
      <c r="D12323" t="s">
        <v>19063</v>
      </c>
      <c r="E12323" t="s">
        <v>29561</v>
      </c>
      <c r="F12323" t="s">
        <v>32606</v>
      </c>
      <c r="G12323" t="s">
        <v>32613</v>
      </c>
      <c r="H12323" t="s">
        <v>14201</v>
      </c>
      <c r="I12323" t="s">
        <v>32629</v>
      </c>
      <c r="J12323" t="s">
        <v>40403</v>
      </c>
      <c r="K12323" t="s">
        <v>42636</v>
      </c>
      <c r="M12323" t="s">
        <v>45204</v>
      </c>
      <c r="N12323" t="s">
        <v>47304</v>
      </c>
      <c r="O12323" t="s">
        <v>47305</v>
      </c>
      <c r="P12323">
        <v>0</v>
      </c>
      <c r="Q12323">
        <v>1</v>
      </c>
      <c r="R12323" t="s">
        <v>47318</v>
      </c>
      <c r="S12323" t="s">
        <v>47736</v>
      </c>
      <c r="T12323" t="s">
        <v>49065</v>
      </c>
      <c r="U12323" t="s">
        <v>54829</v>
      </c>
      <c r="W12323" t="s">
        <v>45204</v>
      </c>
      <c r="X12323" t="s">
        <v>47319</v>
      </c>
    </row>
    <row r="12324" spans="1:24">
      <c r="A12324">
        <f>HYPERLINK("https://www.philgeps.gov.ph/GEPSNONPILOT/Tender/SplashBidNoticeAbstractUI.aspx?menuIndex=3&amp;refID=7177010&amp;Result=3","7177010")</f>
        <v>0</v>
      </c>
      <c r="B12324" t="s">
        <v>3477</v>
      </c>
      <c r="C12324" t="s">
        <v>15508</v>
      </c>
      <c r="D12324" t="s">
        <v>19054</v>
      </c>
      <c r="E12324" t="s">
        <v>29546</v>
      </c>
      <c r="F12324" t="s">
        <v>32606</v>
      </c>
      <c r="G12324" t="s">
        <v>32618</v>
      </c>
      <c r="H12324" t="s">
        <v>14201</v>
      </c>
      <c r="I12324" t="s">
        <v>7064</v>
      </c>
      <c r="J12324" t="s">
        <v>33195</v>
      </c>
      <c r="K12324" t="s">
        <v>42623</v>
      </c>
      <c r="M12324" t="s">
        <v>46742</v>
      </c>
      <c r="N12324" t="s">
        <v>47304</v>
      </c>
      <c r="O12324" t="s">
        <v>47305</v>
      </c>
      <c r="P12324">
        <v>0</v>
      </c>
      <c r="Q12324">
        <v>0</v>
      </c>
      <c r="R12324" t="s">
        <v>47318</v>
      </c>
      <c r="S12324" t="s">
        <v>47736</v>
      </c>
      <c r="T12324" t="s">
        <v>49087</v>
      </c>
      <c r="U12324" t="s">
        <v>59721</v>
      </c>
      <c r="W12324" t="s">
        <v>46742</v>
      </c>
      <c r="X12324" t="s">
        <v>47319</v>
      </c>
    </row>
    <row r="12325" spans="1:24">
      <c r="A12325">
        <f>HYPERLINK("https://www.philgeps.gov.ph/GEPSNONPILOT/Tender/SplashBidNoticeAbstractUI.aspx?menuIndex=3&amp;refID=7177237&amp;Result=3","7177237")</f>
        <v>0</v>
      </c>
      <c r="B12325" t="s">
        <v>3474</v>
      </c>
      <c r="C12325" t="s">
        <v>15509</v>
      </c>
      <c r="D12325" t="s">
        <v>19023</v>
      </c>
      <c r="E12325" t="s">
        <v>29562</v>
      </c>
      <c r="F12325" t="s">
        <v>32606</v>
      </c>
      <c r="G12325" t="s">
        <v>32613</v>
      </c>
      <c r="H12325" t="s">
        <v>14201</v>
      </c>
      <c r="I12325" t="s">
        <v>32635</v>
      </c>
      <c r="J12325" t="s">
        <v>32772</v>
      </c>
      <c r="K12325" t="s">
        <v>42639</v>
      </c>
      <c r="M12325" t="s">
        <v>46739</v>
      </c>
      <c r="N12325" t="s">
        <v>47304</v>
      </c>
      <c r="O12325" t="s">
        <v>47305</v>
      </c>
      <c r="P12325">
        <v>0</v>
      </c>
      <c r="Q12325">
        <v>3</v>
      </c>
      <c r="R12325" t="s">
        <v>47318</v>
      </c>
      <c r="S12325" t="s">
        <v>47736</v>
      </c>
      <c r="T12325" t="s">
        <v>49066</v>
      </c>
      <c r="U12325" t="s">
        <v>59722</v>
      </c>
      <c r="W12325" t="s">
        <v>46739</v>
      </c>
      <c r="X12325" t="s">
        <v>47319</v>
      </c>
    </row>
    <row r="12326" spans="1:24">
      <c r="A12326">
        <f>HYPERLINK("https://www.philgeps.gov.ph/GEPSNONPILOT/Tender/SplashBidNoticeAbstractUI.aspx?menuIndex=3&amp;refID=7177212&amp;Result=3","7177212")</f>
        <v>0</v>
      </c>
      <c r="B12326" t="s">
        <v>3474</v>
      </c>
      <c r="C12326" t="s">
        <v>15510</v>
      </c>
      <c r="D12326" t="s">
        <v>19023</v>
      </c>
      <c r="E12326" t="s">
        <v>29563</v>
      </c>
      <c r="F12326" t="s">
        <v>32606</v>
      </c>
      <c r="G12326" t="s">
        <v>32613</v>
      </c>
      <c r="H12326" t="s">
        <v>14201</v>
      </c>
      <c r="I12326" t="s">
        <v>7064</v>
      </c>
      <c r="J12326" t="s">
        <v>34435</v>
      </c>
      <c r="K12326" t="s">
        <v>42639</v>
      </c>
      <c r="M12326" t="s">
        <v>46739</v>
      </c>
      <c r="N12326" t="s">
        <v>47304</v>
      </c>
      <c r="O12326" t="s">
        <v>47305</v>
      </c>
      <c r="P12326">
        <v>0</v>
      </c>
      <c r="Q12326">
        <v>7</v>
      </c>
      <c r="R12326" t="s">
        <v>47318</v>
      </c>
      <c r="S12326" t="s">
        <v>47736</v>
      </c>
      <c r="T12326" t="s">
        <v>49066</v>
      </c>
      <c r="U12326" t="s">
        <v>59723</v>
      </c>
      <c r="W12326" t="s">
        <v>46739</v>
      </c>
      <c r="X12326" t="s">
        <v>47319</v>
      </c>
    </row>
    <row r="12327" spans="1:24">
      <c r="A12327">
        <f>HYPERLINK("https://www.philgeps.gov.ph/GEPSNONPILOT/Tender/SplashBidNoticeAbstractUI.aspx?menuIndex=3&amp;refID=7177207&amp;Result=3","7177207")</f>
        <v>0</v>
      </c>
      <c r="B12327" t="s">
        <v>707</v>
      </c>
      <c r="C12327" t="s">
        <v>15511</v>
      </c>
      <c r="D12327" t="s">
        <v>19022</v>
      </c>
      <c r="E12327" t="s">
        <v>26266</v>
      </c>
      <c r="F12327" t="s">
        <v>32606</v>
      </c>
      <c r="G12327" t="s">
        <v>32613</v>
      </c>
      <c r="H12327" t="s">
        <v>14201</v>
      </c>
      <c r="I12327" t="s">
        <v>4120</v>
      </c>
      <c r="J12327" t="s">
        <v>40404</v>
      </c>
      <c r="K12327" t="s">
        <v>42622</v>
      </c>
      <c r="M12327" t="s">
        <v>43628</v>
      </c>
      <c r="N12327" t="s">
        <v>47304</v>
      </c>
      <c r="O12327" t="s">
        <v>47305</v>
      </c>
      <c r="Q12327">
        <v>13</v>
      </c>
      <c r="R12327" t="s">
        <v>47318</v>
      </c>
      <c r="S12327" t="s">
        <v>47806</v>
      </c>
      <c r="T12327" t="s">
        <v>48977</v>
      </c>
      <c r="U12327" t="s">
        <v>54212</v>
      </c>
      <c r="W12327" t="s">
        <v>43628</v>
      </c>
      <c r="X12327" t="s">
        <v>47319</v>
      </c>
    </row>
    <row r="12328" spans="1:24">
      <c r="A12328">
        <f>HYPERLINK("https://www.philgeps.gov.ph/GEPSNONPILOT/Tender/SplashBidNoticeAbstractUI.aspx?menuIndex=3&amp;refID=7176997&amp;Result=3","7176997")</f>
        <v>0</v>
      </c>
      <c r="B12328" t="s">
        <v>503</v>
      </c>
      <c r="C12328" t="s">
        <v>15512</v>
      </c>
      <c r="D12328" t="s">
        <v>19033</v>
      </c>
      <c r="E12328" t="s">
        <v>29564</v>
      </c>
      <c r="F12328" t="s">
        <v>32606</v>
      </c>
      <c r="G12328" t="s">
        <v>32613</v>
      </c>
      <c r="H12328" t="s">
        <v>14201</v>
      </c>
      <c r="I12328" t="s">
        <v>6931</v>
      </c>
      <c r="J12328" t="s">
        <v>40405</v>
      </c>
      <c r="K12328" t="s">
        <v>42631</v>
      </c>
      <c r="M12328" t="s">
        <v>43416</v>
      </c>
      <c r="N12328" t="s">
        <v>47304</v>
      </c>
      <c r="O12328" t="s">
        <v>47305</v>
      </c>
      <c r="P12328">
        <v>0</v>
      </c>
      <c r="Q12328">
        <v>7</v>
      </c>
      <c r="R12328" t="s">
        <v>47318</v>
      </c>
      <c r="S12328" t="s">
        <v>47736</v>
      </c>
      <c r="T12328" t="s">
        <v>48996</v>
      </c>
      <c r="U12328" t="s">
        <v>59028</v>
      </c>
      <c r="W12328" t="s">
        <v>43416</v>
      </c>
      <c r="X12328" t="s">
        <v>47319</v>
      </c>
    </row>
    <row r="12329" spans="1:24">
      <c r="A12329">
        <f>HYPERLINK("https://www.philgeps.gov.ph/GEPSNONPILOT/Tender/SplashBidNoticeAbstractUI.aspx?menuIndex=3&amp;refID=7177205&amp;Result=3","7177205")</f>
        <v>0</v>
      </c>
      <c r="B12329" t="s">
        <v>3478</v>
      </c>
      <c r="C12329" t="s">
        <v>15513</v>
      </c>
      <c r="D12329" t="s">
        <v>19051</v>
      </c>
      <c r="E12329" t="s">
        <v>29565</v>
      </c>
      <c r="F12329" t="s">
        <v>32608</v>
      </c>
      <c r="G12329" t="s">
        <v>32613</v>
      </c>
      <c r="H12329" t="s">
        <v>14201</v>
      </c>
      <c r="I12329" t="s">
        <v>6931</v>
      </c>
      <c r="J12329" t="s">
        <v>32789</v>
      </c>
      <c r="K12329" t="s">
        <v>42631</v>
      </c>
      <c r="M12329" t="s">
        <v>46743</v>
      </c>
      <c r="N12329" t="s">
        <v>47304</v>
      </c>
      <c r="O12329" t="s">
        <v>47305</v>
      </c>
      <c r="P12329">
        <v>0</v>
      </c>
      <c r="Q12329">
        <v>1</v>
      </c>
      <c r="R12329" t="s">
        <v>47318</v>
      </c>
      <c r="S12329" t="s">
        <v>47736</v>
      </c>
      <c r="T12329" t="s">
        <v>48996</v>
      </c>
      <c r="U12329" t="s">
        <v>59724</v>
      </c>
      <c r="W12329" t="s">
        <v>46743</v>
      </c>
      <c r="X12329" t="s">
        <v>47319</v>
      </c>
    </row>
    <row r="12330" spans="1:24">
      <c r="A12330">
        <f>HYPERLINK("https://www.philgeps.gov.ph/GEPSNONPILOT/Tender/SplashBidNoticeAbstractUI.aspx?menuIndex=3&amp;refID=7177198&amp;Result=3","7177198")</f>
        <v>0</v>
      </c>
      <c r="B12330" t="s">
        <v>1032</v>
      </c>
      <c r="C12330" t="s">
        <v>15514</v>
      </c>
      <c r="D12330" t="s">
        <v>18993</v>
      </c>
      <c r="E12330" t="s">
        <v>29566</v>
      </c>
      <c r="F12330" t="s">
        <v>32606</v>
      </c>
      <c r="G12330" t="s">
        <v>32613</v>
      </c>
      <c r="H12330" t="s">
        <v>14201</v>
      </c>
      <c r="I12330" t="s">
        <v>4121</v>
      </c>
      <c r="J12330" t="s">
        <v>40406</v>
      </c>
      <c r="K12330" t="s">
        <v>42634</v>
      </c>
      <c r="M12330" t="s">
        <v>46744</v>
      </c>
      <c r="N12330" t="s">
        <v>47304</v>
      </c>
      <c r="O12330" t="s">
        <v>47305</v>
      </c>
      <c r="P12330">
        <v>0</v>
      </c>
      <c r="Q12330">
        <v>6</v>
      </c>
      <c r="R12330" t="s">
        <v>47318</v>
      </c>
      <c r="S12330" t="s">
        <v>47736</v>
      </c>
      <c r="T12330" t="s">
        <v>49140</v>
      </c>
      <c r="U12330" t="s">
        <v>58341</v>
      </c>
      <c r="W12330" t="s">
        <v>46744</v>
      </c>
      <c r="X12330" t="s">
        <v>47319</v>
      </c>
    </row>
    <row r="12331" spans="1:24">
      <c r="A12331">
        <f>HYPERLINK("https://www.philgeps.gov.ph/GEPSNONPILOT/Tender/SplashBidNoticeAbstractUI.aspx?menuIndex=3&amp;refID=7177136&amp;Result=3","7177136")</f>
        <v>0</v>
      </c>
      <c r="B12331" t="s">
        <v>3462</v>
      </c>
      <c r="C12331" t="s">
        <v>15515</v>
      </c>
      <c r="D12331" t="s">
        <v>18995</v>
      </c>
      <c r="E12331" t="s">
        <v>29567</v>
      </c>
      <c r="F12331" t="s">
        <v>32606</v>
      </c>
      <c r="G12331" t="s">
        <v>32613</v>
      </c>
      <c r="H12331" t="s">
        <v>32623</v>
      </c>
      <c r="I12331" t="s">
        <v>17648</v>
      </c>
      <c r="J12331" t="s">
        <v>33088</v>
      </c>
      <c r="K12331" t="s">
        <v>42674</v>
      </c>
      <c r="M12331" t="s">
        <v>46724</v>
      </c>
      <c r="N12331" t="s">
        <v>47304</v>
      </c>
      <c r="O12331" t="s">
        <v>47305</v>
      </c>
      <c r="P12331">
        <v>0</v>
      </c>
      <c r="Q12331">
        <v>2</v>
      </c>
      <c r="R12331" t="s">
        <v>47318</v>
      </c>
      <c r="S12331" t="s">
        <v>47736</v>
      </c>
      <c r="T12331" t="s">
        <v>49169</v>
      </c>
      <c r="U12331" t="s">
        <v>59725</v>
      </c>
      <c r="V12331" t="s">
        <v>63978</v>
      </c>
      <c r="W12331" t="s">
        <v>46724</v>
      </c>
      <c r="X12331" t="s">
        <v>47319</v>
      </c>
    </row>
    <row r="12332" spans="1:24">
      <c r="A12332">
        <f>HYPERLINK("https://www.philgeps.gov.ph/GEPSNONPILOT/Tender/SplashBidNoticeAbstractUI.aspx?menuIndex=3&amp;refID=7177115&amp;Result=3","7177115")</f>
        <v>0</v>
      </c>
      <c r="B12332" t="s">
        <v>2503</v>
      </c>
      <c r="C12332" t="s">
        <v>15516</v>
      </c>
      <c r="D12332" t="s">
        <v>19010</v>
      </c>
      <c r="E12332" t="s">
        <v>27247</v>
      </c>
      <c r="F12332" t="s">
        <v>32606</v>
      </c>
      <c r="G12332" t="s">
        <v>32613</v>
      </c>
      <c r="H12332" t="s">
        <v>14201</v>
      </c>
      <c r="I12332" t="s">
        <v>7677</v>
      </c>
      <c r="J12332" t="s">
        <v>40407</v>
      </c>
      <c r="K12332" t="s">
        <v>42631</v>
      </c>
      <c r="M12332" t="s">
        <v>45641</v>
      </c>
      <c r="N12332" t="s">
        <v>47304</v>
      </c>
      <c r="O12332" t="s">
        <v>47305</v>
      </c>
      <c r="P12332">
        <v>0</v>
      </c>
      <c r="Q12332">
        <v>7</v>
      </c>
      <c r="R12332" t="s">
        <v>47318</v>
      </c>
      <c r="S12332" t="s">
        <v>47736</v>
      </c>
      <c r="T12332" t="s">
        <v>48986</v>
      </c>
      <c r="U12332" t="s">
        <v>59726</v>
      </c>
      <c r="V12332" t="s">
        <v>63979</v>
      </c>
      <c r="W12332" t="s">
        <v>45641</v>
      </c>
      <c r="X12332" t="s">
        <v>47319</v>
      </c>
    </row>
    <row r="12333" spans="1:24">
      <c r="A12333">
        <f>HYPERLINK("https://www.philgeps.gov.ph/GEPSNONPILOT/Tender/SplashBidNoticeAbstractUI.aspx?menuIndex=3&amp;refID=7177110&amp;Result=3","7177110")</f>
        <v>0</v>
      </c>
      <c r="B12333" t="s">
        <v>3462</v>
      </c>
      <c r="C12333" t="s">
        <v>15517</v>
      </c>
      <c r="D12333" t="s">
        <v>18995</v>
      </c>
      <c r="E12333" t="s">
        <v>29568</v>
      </c>
      <c r="F12333" t="s">
        <v>32606</v>
      </c>
      <c r="G12333" t="s">
        <v>32613</v>
      </c>
      <c r="H12333" t="s">
        <v>14201</v>
      </c>
      <c r="I12333" t="s">
        <v>7064</v>
      </c>
      <c r="J12333" t="s">
        <v>40408</v>
      </c>
      <c r="K12333" t="s">
        <v>42631</v>
      </c>
      <c r="M12333" t="s">
        <v>46724</v>
      </c>
      <c r="N12333" t="s">
        <v>47304</v>
      </c>
      <c r="O12333" t="s">
        <v>47305</v>
      </c>
      <c r="P12333">
        <v>0</v>
      </c>
      <c r="Q12333">
        <v>6</v>
      </c>
      <c r="R12333" t="s">
        <v>47318</v>
      </c>
      <c r="S12333" t="s">
        <v>47736</v>
      </c>
      <c r="T12333" t="s">
        <v>49169</v>
      </c>
      <c r="U12333" t="s">
        <v>59727</v>
      </c>
      <c r="V12333" t="s">
        <v>63980</v>
      </c>
      <c r="W12333" t="s">
        <v>46724</v>
      </c>
      <c r="X12333" t="s">
        <v>47319</v>
      </c>
    </row>
    <row r="12334" spans="1:24">
      <c r="A12334">
        <f>HYPERLINK("https://www.philgeps.gov.ph/GEPSNONPILOT/Tender/SplashBidNoticeAbstractUI.aspx?menuIndex=3&amp;refID=7177101&amp;Result=3","7177101")</f>
        <v>0</v>
      </c>
      <c r="B12334" t="s">
        <v>3479</v>
      </c>
      <c r="C12334" t="s">
        <v>15518</v>
      </c>
      <c r="D12334" t="s">
        <v>18990</v>
      </c>
      <c r="E12334" t="s">
        <v>19125</v>
      </c>
      <c r="F12334" t="s">
        <v>32606</v>
      </c>
      <c r="G12334" t="s">
        <v>32613</v>
      </c>
      <c r="H12334" t="s">
        <v>14201</v>
      </c>
      <c r="I12334" t="s">
        <v>32658</v>
      </c>
      <c r="J12334" t="s">
        <v>40409</v>
      </c>
      <c r="K12334" t="s">
        <v>42631</v>
      </c>
      <c r="M12334" t="s">
        <v>46745</v>
      </c>
      <c r="N12334" t="s">
        <v>47304</v>
      </c>
      <c r="O12334" t="s">
        <v>47305</v>
      </c>
      <c r="Q12334">
        <v>9</v>
      </c>
      <c r="R12334" t="s">
        <v>47318</v>
      </c>
      <c r="S12334" t="s">
        <v>47807</v>
      </c>
      <c r="T12334" t="s">
        <v>49052</v>
      </c>
      <c r="U12334" t="s">
        <v>59728</v>
      </c>
      <c r="W12334" t="s">
        <v>46745</v>
      </c>
      <c r="X12334" t="s">
        <v>47319</v>
      </c>
    </row>
    <row r="12335" spans="1:24">
      <c r="A12335">
        <f>HYPERLINK("https://www.philgeps.gov.ph/GEPSNONPILOT/Tender/SplashBidNoticeAbstractUI.aspx?menuIndex=3&amp;refID=7177096&amp;Result=3","7177096")</f>
        <v>0</v>
      </c>
      <c r="B12335" t="s">
        <v>1032</v>
      </c>
      <c r="C12335" t="s">
        <v>15519</v>
      </c>
      <c r="D12335" t="s">
        <v>18993</v>
      </c>
      <c r="E12335" t="s">
        <v>29569</v>
      </c>
      <c r="F12335" t="s">
        <v>32606</v>
      </c>
      <c r="G12335" t="s">
        <v>32613</v>
      </c>
      <c r="H12335" t="s">
        <v>14201</v>
      </c>
      <c r="I12335" t="s">
        <v>4121</v>
      </c>
      <c r="J12335" t="s">
        <v>34719</v>
      </c>
      <c r="K12335" t="s">
        <v>42648</v>
      </c>
      <c r="M12335" t="s">
        <v>46388</v>
      </c>
      <c r="N12335" t="s">
        <v>47304</v>
      </c>
      <c r="O12335" t="s">
        <v>47305</v>
      </c>
      <c r="P12335">
        <v>0</v>
      </c>
      <c r="Q12335">
        <v>9</v>
      </c>
      <c r="R12335" t="s">
        <v>47318</v>
      </c>
      <c r="S12335" t="s">
        <v>47736</v>
      </c>
      <c r="T12335" t="s">
        <v>49109</v>
      </c>
      <c r="U12335" t="s">
        <v>58341</v>
      </c>
      <c r="W12335" t="s">
        <v>46388</v>
      </c>
      <c r="X12335" t="s">
        <v>47319</v>
      </c>
    </row>
    <row r="12336" spans="1:24">
      <c r="A12336">
        <f>HYPERLINK("https://www.philgeps.gov.ph/GEPSNONPILOT/Tender/SplashBidNoticeAbstractUI.aspx?menuIndex=3&amp;refID=7177090&amp;Result=3","7177090")</f>
        <v>0</v>
      </c>
      <c r="B12336" t="s">
        <v>3462</v>
      </c>
      <c r="C12336" t="s">
        <v>15520</v>
      </c>
      <c r="D12336" t="s">
        <v>18995</v>
      </c>
      <c r="E12336" t="s">
        <v>29570</v>
      </c>
      <c r="F12336" t="s">
        <v>32606</v>
      </c>
      <c r="G12336" t="s">
        <v>32613</v>
      </c>
      <c r="H12336" t="s">
        <v>14201</v>
      </c>
      <c r="I12336" t="s">
        <v>7677</v>
      </c>
      <c r="J12336" t="s">
        <v>40410</v>
      </c>
      <c r="K12336" t="s">
        <v>42631</v>
      </c>
      <c r="M12336" t="s">
        <v>46724</v>
      </c>
      <c r="N12336" t="s">
        <v>47304</v>
      </c>
      <c r="O12336" t="s">
        <v>47305</v>
      </c>
      <c r="P12336">
        <v>0</v>
      </c>
      <c r="Q12336">
        <v>8</v>
      </c>
      <c r="R12336" t="s">
        <v>47318</v>
      </c>
      <c r="S12336" t="s">
        <v>47736</v>
      </c>
      <c r="T12336" t="s">
        <v>49169</v>
      </c>
      <c r="U12336" t="s">
        <v>59729</v>
      </c>
      <c r="V12336" t="s">
        <v>63981</v>
      </c>
      <c r="W12336" t="s">
        <v>46724</v>
      </c>
      <c r="X12336" t="s">
        <v>47319</v>
      </c>
    </row>
    <row r="12337" spans="1:24">
      <c r="A12337">
        <f>HYPERLINK("https://www.philgeps.gov.ph/GEPSNONPILOT/Tender/SplashBidNoticeAbstractUI.aspx?menuIndex=3&amp;refID=7177157&amp;Result=3","7177157")</f>
        <v>0</v>
      </c>
      <c r="B12337" t="s">
        <v>3480</v>
      </c>
      <c r="C12337" t="s">
        <v>9013</v>
      </c>
      <c r="D12337" t="s">
        <v>19024</v>
      </c>
      <c r="E12337" t="s">
        <v>29571</v>
      </c>
      <c r="F12337" t="s">
        <v>32607</v>
      </c>
      <c r="G12337" t="s">
        <v>32613</v>
      </c>
      <c r="H12337" t="s">
        <v>14201</v>
      </c>
      <c r="I12337" t="s">
        <v>9013</v>
      </c>
      <c r="J12337" t="s">
        <v>34489</v>
      </c>
      <c r="K12337" t="s">
        <v>42624</v>
      </c>
      <c r="M12337" t="s">
        <v>46746</v>
      </c>
      <c r="N12337" t="s">
        <v>47304</v>
      </c>
      <c r="O12337" t="s">
        <v>47305</v>
      </c>
      <c r="P12337">
        <v>0</v>
      </c>
      <c r="Q12337">
        <v>0</v>
      </c>
      <c r="R12337" t="s">
        <v>47318</v>
      </c>
      <c r="S12337" t="s">
        <v>47736</v>
      </c>
      <c r="T12337" t="s">
        <v>48980</v>
      </c>
      <c r="U12337" t="s">
        <v>59730</v>
      </c>
      <c r="W12337" t="s">
        <v>46746</v>
      </c>
      <c r="X12337" t="s">
        <v>47319</v>
      </c>
    </row>
    <row r="12338" spans="1:24">
      <c r="A12338">
        <f>HYPERLINK("https://www.philgeps.gov.ph/GEPSNONPILOT/Tender/SplashBidNoticeAbstractUI.aspx?menuIndex=3&amp;refID=7177155&amp;Result=3","7177155")</f>
        <v>0</v>
      </c>
      <c r="B12338" t="s">
        <v>3462</v>
      </c>
      <c r="C12338" t="s">
        <v>15521</v>
      </c>
      <c r="D12338" t="s">
        <v>18995</v>
      </c>
      <c r="E12338" t="s">
        <v>29572</v>
      </c>
      <c r="F12338" t="s">
        <v>32606</v>
      </c>
      <c r="G12338" t="s">
        <v>32613</v>
      </c>
      <c r="H12338" t="s">
        <v>14201</v>
      </c>
      <c r="I12338" t="s">
        <v>32640</v>
      </c>
      <c r="J12338" t="s">
        <v>40411</v>
      </c>
      <c r="K12338" t="s">
        <v>42631</v>
      </c>
      <c r="M12338" t="s">
        <v>46724</v>
      </c>
      <c r="N12338" t="s">
        <v>47304</v>
      </c>
      <c r="O12338" t="s">
        <v>47305</v>
      </c>
      <c r="P12338">
        <v>0</v>
      </c>
      <c r="Q12338">
        <v>7</v>
      </c>
      <c r="R12338" t="s">
        <v>47318</v>
      </c>
      <c r="S12338" t="s">
        <v>47736</v>
      </c>
      <c r="T12338" t="s">
        <v>49169</v>
      </c>
      <c r="U12338" t="s">
        <v>59731</v>
      </c>
      <c r="V12338" t="s">
        <v>63982</v>
      </c>
      <c r="W12338" t="s">
        <v>46724</v>
      </c>
      <c r="X12338" t="s">
        <v>47319</v>
      </c>
    </row>
    <row r="12339" spans="1:24">
      <c r="A12339">
        <f>HYPERLINK("https://www.philgeps.gov.ph/GEPSNONPILOT/Tender/SplashBidNoticeAbstractUI.aspx?menuIndex=3&amp;refID=7177086&amp;Result=3","7177086")</f>
        <v>0</v>
      </c>
      <c r="B12339" t="s">
        <v>3481</v>
      </c>
      <c r="C12339" t="s">
        <v>15522</v>
      </c>
      <c r="D12339" t="s">
        <v>18993</v>
      </c>
      <c r="E12339" t="s">
        <v>29573</v>
      </c>
      <c r="F12339" t="s">
        <v>32606</v>
      </c>
      <c r="G12339" t="s">
        <v>32618</v>
      </c>
      <c r="H12339" t="s">
        <v>14201</v>
      </c>
      <c r="I12339" t="s">
        <v>32640</v>
      </c>
      <c r="J12339" t="s">
        <v>33382</v>
      </c>
      <c r="K12339" t="s">
        <v>42631</v>
      </c>
      <c r="M12339" t="s">
        <v>46747</v>
      </c>
      <c r="N12339" t="s">
        <v>47304</v>
      </c>
      <c r="O12339" t="s">
        <v>47305</v>
      </c>
      <c r="Q12339">
        <v>18</v>
      </c>
      <c r="R12339" t="s">
        <v>47318</v>
      </c>
      <c r="S12339" t="s">
        <v>47808</v>
      </c>
      <c r="T12339" t="s">
        <v>49036</v>
      </c>
      <c r="U12339" t="s">
        <v>59732</v>
      </c>
      <c r="W12339" t="s">
        <v>46747</v>
      </c>
      <c r="X12339" t="s">
        <v>47319</v>
      </c>
    </row>
    <row r="12340" spans="1:24">
      <c r="A12340">
        <f>HYPERLINK("https://www.philgeps.gov.ph/GEPSNONPILOT/Tender/SplashBidNoticeAbstractUI.aspx?menuIndex=3&amp;refID=7176792&amp;Result=3","7176792")</f>
        <v>0</v>
      </c>
      <c r="B12340" t="s">
        <v>1027</v>
      </c>
      <c r="C12340" t="s">
        <v>15523</v>
      </c>
      <c r="D12340" t="s">
        <v>19016</v>
      </c>
      <c r="E12340" t="s">
        <v>29574</v>
      </c>
      <c r="F12340" t="s">
        <v>32606</v>
      </c>
      <c r="G12340" t="s">
        <v>32613</v>
      </c>
      <c r="H12340" t="s">
        <v>14201</v>
      </c>
      <c r="I12340" t="s">
        <v>7064</v>
      </c>
      <c r="J12340" t="s">
        <v>35138</v>
      </c>
      <c r="K12340" t="s">
        <v>42675</v>
      </c>
      <c r="L12340" t="s">
        <v>1027</v>
      </c>
      <c r="M12340" t="s">
        <v>43979</v>
      </c>
      <c r="N12340" t="s">
        <v>47304</v>
      </c>
      <c r="O12340" t="s">
        <v>47305</v>
      </c>
      <c r="Q12340">
        <v>14</v>
      </c>
      <c r="R12340" t="s">
        <v>47318</v>
      </c>
      <c r="S12340" t="s">
        <v>47809</v>
      </c>
      <c r="T12340" t="s">
        <v>49234</v>
      </c>
      <c r="U12340" t="s">
        <v>59733</v>
      </c>
      <c r="W12340" t="s">
        <v>43979</v>
      </c>
      <c r="X12340" t="s">
        <v>47319</v>
      </c>
    </row>
    <row r="12341" spans="1:24">
      <c r="A12341">
        <f>HYPERLINK("https://www.philgeps.gov.ph/GEPSNONPILOT/Tender/SplashBidNoticeAbstractUI.aspx?menuIndex=3&amp;refID=7177347&amp;Result=3","7177347")</f>
        <v>0</v>
      </c>
      <c r="B12341" t="s">
        <v>3482</v>
      </c>
      <c r="C12341" t="s">
        <v>15524</v>
      </c>
      <c r="D12341" t="s">
        <v>19008</v>
      </c>
      <c r="E12341" t="s">
        <v>19522</v>
      </c>
      <c r="F12341" t="s">
        <v>32606</v>
      </c>
      <c r="G12341" t="s">
        <v>32613</v>
      </c>
      <c r="H12341" t="s">
        <v>14201</v>
      </c>
      <c r="I12341" t="s">
        <v>6931</v>
      </c>
      <c r="J12341" t="s">
        <v>40412</v>
      </c>
      <c r="K12341" t="s">
        <v>42622</v>
      </c>
      <c r="M12341" t="s">
        <v>46748</v>
      </c>
      <c r="N12341" t="s">
        <v>47304</v>
      </c>
      <c r="O12341" t="s">
        <v>47305</v>
      </c>
      <c r="P12341">
        <v>0</v>
      </c>
      <c r="Q12341">
        <v>0</v>
      </c>
      <c r="R12341" t="s">
        <v>47318</v>
      </c>
      <c r="S12341" t="s">
        <v>47736</v>
      </c>
      <c r="T12341" t="s">
        <v>49047</v>
      </c>
      <c r="U12341" t="s">
        <v>59734</v>
      </c>
      <c r="V12341" t="s">
        <v>63983</v>
      </c>
      <c r="W12341" t="s">
        <v>46748</v>
      </c>
      <c r="X12341" t="s">
        <v>47319</v>
      </c>
    </row>
    <row r="12342" spans="1:24">
      <c r="A12342">
        <f>HYPERLINK("https://www.philgeps.gov.ph/GEPSNONPILOT/Tender/SplashBidNoticeAbstractUI.aspx?menuIndex=3&amp;refID=7177133&amp;Result=3","7177133")</f>
        <v>0</v>
      </c>
      <c r="B12342" t="s">
        <v>1092</v>
      </c>
      <c r="C12342" t="s">
        <v>15525</v>
      </c>
      <c r="D12342" t="s">
        <v>18993</v>
      </c>
      <c r="E12342" t="s">
        <v>29575</v>
      </c>
      <c r="F12342" t="s">
        <v>32606</v>
      </c>
      <c r="G12342" t="s">
        <v>32613</v>
      </c>
      <c r="H12342" t="s">
        <v>14201</v>
      </c>
      <c r="I12342" t="s">
        <v>32634</v>
      </c>
      <c r="J12342" t="s">
        <v>32795</v>
      </c>
      <c r="K12342" t="s">
        <v>42623</v>
      </c>
      <c r="M12342" t="s">
        <v>46287</v>
      </c>
      <c r="N12342" t="s">
        <v>47304</v>
      </c>
      <c r="O12342" t="s">
        <v>47305</v>
      </c>
      <c r="Q12342">
        <v>10</v>
      </c>
      <c r="R12342" t="s">
        <v>47318</v>
      </c>
      <c r="S12342" t="s">
        <v>47810</v>
      </c>
      <c r="T12342" t="s">
        <v>49291</v>
      </c>
      <c r="U12342" t="s">
        <v>59735</v>
      </c>
      <c r="W12342" t="s">
        <v>46287</v>
      </c>
      <c r="X12342" t="s">
        <v>47319</v>
      </c>
    </row>
    <row r="12343" spans="1:24">
      <c r="A12343">
        <f>HYPERLINK("https://www.philgeps.gov.ph/GEPSNONPILOT/Tender/SplashBidNoticeAbstractUI.aspx?menuIndex=3&amp;refID=7177252&amp;Result=3","7177252")</f>
        <v>0</v>
      </c>
      <c r="B12343" t="s">
        <v>1016</v>
      </c>
      <c r="C12343" t="s">
        <v>15526</v>
      </c>
      <c r="D12343" t="s">
        <v>18995</v>
      </c>
      <c r="E12343" t="s">
        <v>29576</v>
      </c>
      <c r="F12343" t="s">
        <v>32606</v>
      </c>
      <c r="G12343" t="s">
        <v>32613</v>
      </c>
      <c r="H12343" t="s">
        <v>14201</v>
      </c>
      <c r="I12343" t="s">
        <v>7677</v>
      </c>
      <c r="J12343" t="s">
        <v>40413</v>
      </c>
      <c r="K12343" t="s">
        <v>42627</v>
      </c>
      <c r="M12343" t="s">
        <v>43965</v>
      </c>
      <c r="N12343" t="s">
        <v>47304</v>
      </c>
      <c r="O12343" t="s">
        <v>47305</v>
      </c>
      <c r="P12343">
        <v>0</v>
      </c>
      <c r="Q12343">
        <v>8</v>
      </c>
      <c r="R12343" t="s">
        <v>47318</v>
      </c>
      <c r="S12343" t="s">
        <v>47736</v>
      </c>
      <c r="T12343" t="s">
        <v>49116</v>
      </c>
      <c r="U12343" t="s">
        <v>59736</v>
      </c>
      <c r="V12343" t="s">
        <v>63984</v>
      </c>
      <c r="W12343" t="s">
        <v>43965</v>
      </c>
      <c r="X12343" t="s">
        <v>47319</v>
      </c>
    </row>
    <row r="12344" spans="1:24">
      <c r="A12344">
        <f>HYPERLINK("https://www.philgeps.gov.ph/GEPSNONPILOT/Tender/SplashBidNoticeAbstractUI.aspx?menuIndex=3&amp;refID=7177345&amp;Result=3","7177345")</f>
        <v>0</v>
      </c>
      <c r="B12344" t="s">
        <v>3395</v>
      </c>
      <c r="C12344" t="s">
        <v>15527</v>
      </c>
      <c r="D12344" t="s">
        <v>19051</v>
      </c>
      <c r="E12344" t="s">
        <v>29577</v>
      </c>
      <c r="F12344" t="s">
        <v>32608</v>
      </c>
      <c r="G12344" t="s">
        <v>32613</v>
      </c>
      <c r="H12344" t="s">
        <v>14201</v>
      </c>
      <c r="I12344" t="s">
        <v>6931</v>
      </c>
      <c r="J12344" t="s">
        <v>40414</v>
      </c>
      <c r="K12344" t="s">
        <v>42631</v>
      </c>
      <c r="M12344" t="s">
        <v>46648</v>
      </c>
      <c r="N12344" t="s">
        <v>47304</v>
      </c>
      <c r="O12344" t="s">
        <v>47305</v>
      </c>
      <c r="P12344">
        <v>0</v>
      </c>
      <c r="Q12344">
        <v>0</v>
      </c>
      <c r="R12344" t="s">
        <v>47318</v>
      </c>
      <c r="S12344" t="s">
        <v>47736</v>
      </c>
      <c r="T12344" t="s">
        <v>48996</v>
      </c>
      <c r="U12344" t="s">
        <v>59737</v>
      </c>
      <c r="W12344" t="s">
        <v>46648</v>
      </c>
      <c r="X12344" t="s">
        <v>47319</v>
      </c>
    </row>
    <row r="12345" spans="1:24">
      <c r="A12345">
        <f>HYPERLINK("https://www.philgeps.gov.ph/GEPSNONPILOT/Tender/SplashBidNoticeAbstractUI.aspx?menuIndex=3&amp;refID=7177317&amp;Result=3","7177317")</f>
        <v>0</v>
      </c>
      <c r="B12345" t="s">
        <v>3395</v>
      </c>
      <c r="C12345" t="s">
        <v>15528</v>
      </c>
      <c r="D12345" t="s">
        <v>19051</v>
      </c>
      <c r="E12345" t="s">
        <v>29070</v>
      </c>
      <c r="F12345" t="s">
        <v>32608</v>
      </c>
      <c r="G12345" t="s">
        <v>32613</v>
      </c>
      <c r="H12345" t="s">
        <v>14201</v>
      </c>
      <c r="I12345" t="s">
        <v>6931</v>
      </c>
      <c r="J12345" t="s">
        <v>40415</v>
      </c>
      <c r="K12345" t="s">
        <v>42631</v>
      </c>
      <c r="M12345" t="s">
        <v>46648</v>
      </c>
      <c r="N12345" t="s">
        <v>47304</v>
      </c>
      <c r="O12345" t="s">
        <v>47305</v>
      </c>
      <c r="P12345">
        <v>0</v>
      </c>
      <c r="Q12345">
        <v>0</v>
      </c>
      <c r="R12345" t="s">
        <v>47318</v>
      </c>
      <c r="S12345" t="s">
        <v>47736</v>
      </c>
      <c r="T12345" t="s">
        <v>48996</v>
      </c>
      <c r="U12345" t="s">
        <v>59738</v>
      </c>
      <c r="W12345" t="s">
        <v>46648</v>
      </c>
      <c r="X12345" t="s">
        <v>47319</v>
      </c>
    </row>
    <row r="12346" spans="1:24">
      <c r="A12346">
        <f>HYPERLINK("https://www.philgeps.gov.ph/GEPSNONPILOT/Tender/SplashBidNoticeAbstractUI.aspx?menuIndex=3&amp;refID=7177286&amp;Result=3","7177286")</f>
        <v>0</v>
      </c>
      <c r="B12346" t="s">
        <v>3483</v>
      </c>
      <c r="C12346" t="s">
        <v>15529</v>
      </c>
      <c r="D12346" t="s">
        <v>19057</v>
      </c>
      <c r="E12346" t="s">
        <v>29578</v>
      </c>
      <c r="F12346" t="s">
        <v>32606</v>
      </c>
      <c r="G12346" t="s">
        <v>32613</v>
      </c>
      <c r="H12346" t="s">
        <v>32624</v>
      </c>
      <c r="I12346" t="s">
        <v>4114</v>
      </c>
      <c r="J12346" t="s">
        <v>32789</v>
      </c>
      <c r="K12346" t="s">
        <v>42631</v>
      </c>
      <c r="M12346" t="s">
        <v>46749</v>
      </c>
      <c r="N12346" t="s">
        <v>47304</v>
      </c>
      <c r="O12346" t="s">
        <v>47305</v>
      </c>
      <c r="P12346">
        <v>0</v>
      </c>
      <c r="Q12346">
        <v>2</v>
      </c>
      <c r="R12346" t="s">
        <v>47318</v>
      </c>
      <c r="S12346" t="s">
        <v>47736</v>
      </c>
      <c r="T12346" t="s">
        <v>49017</v>
      </c>
      <c r="U12346" t="s">
        <v>59739</v>
      </c>
      <c r="W12346" t="s">
        <v>46749</v>
      </c>
      <c r="X12346" t="s">
        <v>47319</v>
      </c>
    </row>
    <row r="12347" spans="1:24">
      <c r="A12347">
        <f>HYPERLINK("https://www.philgeps.gov.ph/GEPSNONPILOT/Tender/SplashBidNoticeAbstractUI.aspx?menuIndex=3&amp;refID=7177279&amp;Result=3","7177279")</f>
        <v>0</v>
      </c>
      <c r="B12347" t="s">
        <v>3483</v>
      </c>
      <c r="C12347" t="s">
        <v>15530</v>
      </c>
      <c r="D12347" t="s">
        <v>19057</v>
      </c>
      <c r="E12347" t="s">
        <v>20360</v>
      </c>
      <c r="F12347" t="s">
        <v>32606</v>
      </c>
      <c r="G12347" t="s">
        <v>32613</v>
      </c>
      <c r="H12347" t="s">
        <v>14201</v>
      </c>
      <c r="I12347" t="s">
        <v>7577</v>
      </c>
      <c r="J12347" t="s">
        <v>33630</v>
      </c>
      <c r="K12347" t="s">
        <v>42631</v>
      </c>
      <c r="M12347" t="s">
        <v>46749</v>
      </c>
      <c r="N12347" t="s">
        <v>47304</v>
      </c>
      <c r="O12347" t="s">
        <v>47305</v>
      </c>
      <c r="P12347">
        <v>0</v>
      </c>
      <c r="Q12347">
        <v>4</v>
      </c>
      <c r="R12347" t="s">
        <v>47318</v>
      </c>
      <c r="S12347" t="s">
        <v>47736</v>
      </c>
      <c r="T12347" t="s">
        <v>49017</v>
      </c>
      <c r="U12347" t="s">
        <v>59740</v>
      </c>
      <c r="W12347" t="s">
        <v>46749</v>
      </c>
      <c r="X12347" t="s">
        <v>47319</v>
      </c>
    </row>
    <row r="12348" spans="1:24">
      <c r="A12348">
        <f>HYPERLINK("https://www.philgeps.gov.ph/GEPSNONPILOT/Tender/SplashBidNoticeAbstractUI.aspx?menuIndex=3&amp;refID=7177275&amp;Result=3","7177275")</f>
        <v>0</v>
      </c>
      <c r="B12348" t="s">
        <v>1030</v>
      </c>
      <c r="C12348" t="s">
        <v>15531</v>
      </c>
      <c r="D12348" t="s">
        <v>19004</v>
      </c>
      <c r="E12348" t="s">
        <v>29579</v>
      </c>
      <c r="F12348" t="s">
        <v>32606</v>
      </c>
      <c r="G12348" t="s">
        <v>32613</v>
      </c>
      <c r="H12348" t="s">
        <v>14201</v>
      </c>
      <c r="I12348" t="s">
        <v>6931</v>
      </c>
      <c r="J12348" t="s">
        <v>40416</v>
      </c>
      <c r="K12348" t="s">
        <v>42631</v>
      </c>
      <c r="M12348" t="s">
        <v>43983</v>
      </c>
      <c r="N12348" t="s">
        <v>47304</v>
      </c>
      <c r="O12348" t="s">
        <v>47305</v>
      </c>
      <c r="P12348">
        <v>0</v>
      </c>
      <c r="Q12348">
        <v>4</v>
      </c>
      <c r="R12348" t="s">
        <v>47318</v>
      </c>
      <c r="S12348" t="s">
        <v>47736</v>
      </c>
      <c r="T12348" t="s">
        <v>49066</v>
      </c>
      <c r="U12348" t="s">
        <v>59715</v>
      </c>
      <c r="W12348" t="s">
        <v>43983</v>
      </c>
      <c r="X12348" t="s">
        <v>47319</v>
      </c>
    </row>
    <row r="12349" spans="1:24">
      <c r="A12349">
        <f>HYPERLINK("https://www.philgeps.gov.ph/GEPSNONPILOT/Tender/SplashBidNoticeAbstractUI.aspx?menuIndex=3&amp;refID=7177256&amp;Result=3","7177256")</f>
        <v>0</v>
      </c>
      <c r="B12349" t="s">
        <v>3400</v>
      </c>
      <c r="C12349" t="s">
        <v>15532</v>
      </c>
      <c r="D12349" t="s">
        <v>19031</v>
      </c>
      <c r="E12349" t="s">
        <v>29580</v>
      </c>
      <c r="F12349" t="s">
        <v>32606</v>
      </c>
      <c r="G12349" t="s">
        <v>32614</v>
      </c>
      <c r="H12349" t="s">
        <v>14201</v>
      </c>
      <c r="I12349" t="s">
        <v>32640</v>
      </c>
      <c r="J12349" t="s">
        <v>32999</v>
      </c>
      <c r="K12349" t="s">
        <v>42631</v>
      </c>
      <c r="M12349" t="s">
        <v>46653</v>
      </c>
      <c r="N12349" t="s">
        <v>47304</v>
      </c>
      <c r="O12349" t="s">
        <v>47305</v>
      </c>
      <c r="Q12349">
        <v>1</v>
      </c>
      <c r="R12349" t="s">
        <v>47318</v>
      </c>
      <c r="S12349" t="s">
        <v>47811</v>
      </c>
      <c r="T12349" t="s">
        <v>49018</v>
      </c>
      <c r="U12349" t="s">
        <v>59741</v>
      </c>
      <c r="W12349" t="s">
        <v>46653</v>
      </c>
      <c r="X12349" t="s">
        <v>47319</v>
      </c>
    </row>
    <row r="12350" spans="1:24">
      <c r="A12350">
        <f>HYPERLINK("https://www.philgeps.gov.ph/GEPSNONPILOT/Tender/SplashBidNoticeAbstractUI.aspx?menuIndex=3&amp;refID=7177404&amp;Result=3","7177404")</f>
        <v>0</v>
      </c>
      <c r="B12350" t="s">
        <v>1770</v>
      </c>
      <c r="C12350" t="s">
        <v>15533</v>
      </c>
      <c r="D12350" t="s">
        <v>19054</v>
      </c>
      <c r="E12350" t="s">
        <v>29581</v>
      </c>
      <c r="F12350" t="s">
        <v>32606</v>
      </c>
      <c r="G12350" t="s">
        <v>32613</v>
      </c>
      <c r="H12350" t="s">
        <v>32623</v>
      </c>
      <c r="I12350" t="s">
        <v>17648</v>
      </c>
      <c r="J12350" t="s">
        <v>40417</v>
      </c>
      <c r="K12350" t="s">
        <v>42866</v>
      </c>
      <c r="M12350" t="s">
        <v>44808</v>
      </c>
      <c r="N12350" t="s">
        <v>47304</v>
      </c>
      <c r="O12350" t="s">
        <v>47305</v>
      </c>
      <c r="P12350">
        <v>0</v>
      </c>
      <c r="Q12350">
        <v>1</v>
      </c>
      <c r="R12350" t="s">
        <v>47318</v>
      </c>
      <c r="S12350" t="s">
        <v>47736</v>
      </c>
      <c r="T12350" t="s">
        <v>49052</v>
      </c>
      <c r="U12350" t="s">
        <v>59742</v>
      </c>
      <c r="W12350" t="s">
        <v>44808</v>
      </c>
      <c r="X12350" t="s">
        <v>47319</v>
      </c>
    </row>
    <row r="12351" spans="1:24">
      <c r="A12351">
        <f>HYPERLINK("https://www.philgeps.gov.ph/GEPSNONPILOT/Tender/SplashBidNoticeAbstractUI.aspx?menuIndex=3&amp;refID=7177400&amp;Result=3","7177400")</f>
        <v>0</v>
      </c>
      <c r="B12351" t="s">
        <v>1770</v>
      </c>
      <c r="C12351" t="s">
        <v>15534</v>
      </c>
      <c r="D12351" t="s">
        <v>19054</v>
      </c>
      <c r="E12351" t="s">
        <v>29582</v>
      </c>
      <c r="F12351" t="s">
        <v>32606</v>
      </c>
      <c r="G12351" t="s">
        <v>32613</v>
      </c>
      <c r="H12351" t="s">
        <v>32623</v>
      </c>
      <c r="I12351" t="s">
        <v>17648</v>
      </c>
      <c r="J12351" t="s">
        <v>40418</v>
      </c>
      <c r="K12351" t="s">
        <v>42643</v>
      </c>
      <c r="M12351" t="s">
        <v>44808</v>
      </c>
      <c r="N12351" t="s">
        <v>47304</v>
      </c>
      <c r="O12351" t="s">
        <v>47305</v>
      </c>
      <c r="P12351">
        <v>0</v>
      </c>
      <c r="Q12351">
        <v>1</v>
      </c>
      <c r="R12351" t="s">
        <v>47318</v>
      </c>
      <c r="S12351" t="s">
        <v>47736</v>
      </c>
      <c r="T12351" t="s">
        <v>49052</v>
      </c>
      <c r="U12351" t="s">
        <v>59743</v>
      </c>
      <c r="W12351" t="s">
        <v>44808</v>
      </c>
      <c r="X12351" t="s">
        <v>47319</v>
      </c>
    </row>
    <row r="12352" spans="1:24">
      <c r="A12352">
        <f>HYPERLINK("https://www.philgeps.gov.ph/GEPSNONPILOT/Tender/SplashBidNoticeAbstractUI.aspx?menuIndex=3&amp;refID=7177253&amp;Result=3","7177253")</f>
        <v>0</v>
      </c>
      <c r="B12352" t="s">
        <v>2117</v>
      </c>
      <c r="C12352" t="s">
        <v>15535</v>
      </c>
      <c r="D12352" t="s">
        <v>19063</v>
      </c>
      <c r="E12352" t="s">
        <v>29583</v>
      </c>
      <c r="F12352" t="s">
        <v>32606</v>
      </c>
      <c r="G12352" t="s">
        <v>32613</v>
      </c>
      <c r="H12352" t="s">
        <v>14201</v>
      </c>
      <c r="I12352" t="s">
        <v>4678</v>
      </c>
      <c r="J12352" t="s">
        <v>33103</v>
      </c>
      <c r="K12352" t="s">
        <v>42648</v>
      </c>
      <c r="M12352" t="s">
        <v>45204</v>
      </c>
      <c r="N12352" t="s">
        <v>47304</v>
      </c>
      <c r="O12352" t="s">
        <v>47305</v>
      </c>
      <c r="P12352">
        <v>0</v>
      </c>
      <c r="Q12352">
        <v>1</v>
      </c>
      <c r="R12352" t="s">
        <v>47318</v>
      </c>
      <c r="S12352" t="s">
        <v>47736</v>
      </c>
      <c r="T12352" t="s">
        <v>49065</v>
      </c>
      <c r="U12352" t="s">
        <v>54829</v>
      </c>
      <c r="W12352" t="s">
        <v>45204</v>
      </c>
      <c r="X12352" t="s">
        <v>47319</v>
      </c>
    </row>
    <row r="12353" spans="1:24">
      <c r="A12353">
        <f>HYPERLINK("https://www.philgeps.gov.ph/GEPSNONPILOT/Tender/SplashBidNoticeAbstractUI.aspx?menuIndex=3&amp;refID=7177391&amp;Result=3","7177391")</f>
        <v>0</v>
      </c>
      <c r="B12353" t="s">
        <v>1770</v>
      </c>
      <c r="C12353" t="s">
        <v>15536</v>
      </c>
      <c r="D12353" t="s">
        <v>19054</v>
      </c>
      <c r="E12353" t="s">
        <v>29584</v>
      </c>
      <c r="F12353" t="s">
        <v>32606</v>
      </c>
      <c r="G12353" t="s">
        <v>32613</v>
      </c>
      <c r="H12353" t="s">
        <v>32623</v>
      </c>
      <c r="I12353" t="s">
        <v>17648</v>
      </c>
      <c r="J12353" t="s">
        <v>40419</v>
      </c>
      <c r="K12353" t="s">
        <v>42635</v>
      </c>
      <c r="M12353" t="s">
        <v>44808</v>
      </c>
      <c r="N12353" t="s">
        <v>47304</v>
      </c>
      <c r="O12353" t="s">
        <v>47305</v>
      </c>
      <c r="P12353">
        <v>0</v>
      </c>
      <c r="Q12353">
        <v>1</v>
      </c>
      <c r="R12353" t="s">
        <v>47318</v>
      </c>
      <c r="S12353" t="s">
        <v>47736</v>
      </c>
      <c r="T12353" t="s">
        <v>49052</v>
      </c>
      <c r="U12353" t="s">
        <v>59744</v>
      </c>
      <c r="W12353" t="s">
        <v>44808</v>
      </c>
      <c r="X12353" t="s">
        <v>47319</v>
      </c>
    </row>
    <row r="12354" spans="1:24">
      <c r="A12354">
        <f>HYPERLINK("https://www.philgeps.gov.ph/GEPSNONPILOT/Tender/SplashBidNoticeAbstractUI.aspx?menuIndex=3&amp;refID=7177379&amp;Result=3","7177379")</f>
        <v>0</v>
      </c>
      <c r="B12354" t="s">
        <v>3484</v>
      </c>
      <c r="C12354" t="s">
        <v>15537</v>
      </c>
      <c r="D12354" t="s">
        <v>19023</v>
      </c>
      <c r="E12354" t="s">
        <v>19400</v>
      </c>
      <c r="F12354" t="s">
        <v>32606</v>
      </c>
      <c r="G12354" t="s">
        <v>32613</v>
      </c>
      <c r="H12354" t="s">
        <v>14201</v>
      </c>
      <c r="I12354" t="s">
        <v>6931</v>
      </c>
      <c r="J12354" t="s">
        <v>40420</v>
      </c>
      <c r="K12354" t="s">
        <v>42627</v>
      </c>
      <c r="M12354" t="s">
        <v>46750</v>
      </c>
      <c r="N12354" t="s">
        <v>47304</v>
      </c>
      <c r="O12354" t="s">
        <v>47305</v>
      </c>
      <c r="Q12354">
        <v>1</v>
      </c>
      <c r="R12354" t="s">
        <v>47318</v>
      </c>
      <c r="S12354" t="s">
        <v>47812</v>
      </c>
      <c r="T12354" t="s">
        <v>49028</v>
      </c>
      <c r="U12354" t="s">
        <v>59745</v>
      </c>
      <c r="V12354" t="s">
        <v>63985</v>
      </c>
      <c r="W12354" t="s">
        <v>46750</v>
      </c>
      <c r="X12354" t="s">
        <v>47319</v>
      </c>
    </row>
    <row r="12355" spans="1:24">
      <c r="A12355">
        <f>HYPERLINK("https://www.philgeps.gov.ph/GEPSNONPILOT/Tender/SplashBidNoticeAbstractUI.aspx?menuIndex=3&amp;refID=7177387&amp;Result=3","7177387")</f>
        <v>0</v>
      </c>
      <c r="B12355" t="s">
        <v>1770</v>
      </c>
      <c r="C12355" t="s">
        <v>15538</v>
      </c>
      <c r="D12355" t="s">
        <v>19054</v>
      </c>
      <c r="E12355" t="s">
        <v>29585</v>
      </c>
      <c r="F12355" t="s">
        <v>32606</v>
      </c>
      <c r="G12355" t="s">
        <v>32613</v>
      </c>
      <c r="H12355" t="s">
        <v>32623</v>
      </c>
      <c r="I12355" t="s">
        <v>17648</v>
      </c>
      <c r="J12355" t="s">
        <v>40421</v>
      </c>
      <c r="K12355" t="s">
        <v>42661</v>
      </c>
      <c r="M12355" t="s">
        <v>44808</v>
      </c>
      <c r="N12355" t="s">
        <v>47304</v>
      </c>
      <c r="O12355" t="s">
        <v>47305</v>
      </c>
      <c r="P12355">
        <v>0</v>
      </c>
      <c r="Q12355">
        <v>1</v>
      </c>
      <c r="R12355" t="s">
        <v>47318</v>
      </c>
      <c r="S12355" t="s">
        <v>47736</v>
      </c>
      <c r="T12355" t="s">
        <v>49052</v>
      </c>
      <c r="U12355" t="s">
        <v>59746</v>
      </c>
      <c r="W12355" t="s">
        <v>44808</v>
      </c>
      <c r="X12355" t="s">
        <v>47319</v>
      </c>
    </row>
    <row r="12356" spans="1:24">
      <c r="A12356">
        <f>HYPERLINK("https://www.philgeps.gov.ph/GEPSNONPILOT/Tender/SplashBidNoticeAbstractUI.aspx?menuIndex=3&amp;refID=7177338&amp;Result=3","7177338")</f>
        <v>0</v>
      </c>
      <c r="B12356" t="s">
        <v>3395</v>
      </c>
      <c r="C12356" t="s">
        <v>15539</v>
      </c>
      <c r="D12356" t="s">
        <v>19051</v>
      </c>
      <c r="E12356" t="s">
        <v>29565</v>
      </c>
      <c r="F12356" t="s">
        <v>32608</v>
      </c>
      <c r="G12356" t="s">
        <v>32613</v>
      </c>
      <c r="H12356" t="s">
        <v>14201</v>
      </c>
      <c r="I12356" t="s">
        <v>32661</v>
      </c>
      <c r="J12356" t="s">
        <v>34000</v>
      </c>
      <c r="K12356" t="s">
        <v>42631</v>
      </c>
      <c r="M12356" t="s">
        <v>46648</v>
      </c>
      <c r="N12356" t="s">
        <v>47304</v>
      </c>
      <c r="O12356" t="s">
        <v>47305</v>
      </c>
      <c r="P12356">
        <v>0</v>
      </c>
      <c r="Q12356">
        <v>0</v>
      </c>
      <c r="R12356" t="s">
        <v>47318</v>
      </c>
      <c r="S12356" t="s">
        <v>47736</v>
      </c>
      <c r="T12356" t="s">
        <v>49028</v>
      </c>
      <c r="U12356" t="s">
        <v>59747</v>
      </c>
      <c r="W12356" t="s">
        <v>46648</v>
      </c>
      <c r="X12356" t="s">
        <v>47319</v>
      </c>
    </row>
    <row r="12357" spans="1:24">
      <c r="A12357">
        <f>HYPERLINK("https://www.philgeps.gov.ph/GEPSNONPILOT/Tender/SplashBidNoticeAbstractUI.aspx?menuIndex=3&amp;refID=7177381&amp;Result=3","7177381")</f>
        <v>0</v>
      </c>
      <c r="B12357" t="s">
        <v>3485</v>
      </c>
      <c r="C12357" t="s">
        <v>15540</v>
      </c>
      <c r="D12357" t="s">
        <v>19009</v>
      </c>
      <c r="E12357" t="s">
        <v>24209</v>
      </c>
      <c r="F12357" t="s">
        <v>32608</v>
      </c>
      <c r="G12357" t="s">
        <v>32616</v>
      </c>
      <c r="H12357" t="s">
        <v>14201</v>
      </c>
      <c r="I12357" t="s">
        <v>32710</v>
      </c>
      <c r="J12357" t="s">
        <v>32885</v>
      </c>
      <c r="K12357" t="s">
        <v>42630</v>
      </c>
      <c r="M12357" t="s">
        <v>46751</v>
      </c>
      <c r="N12357" t="s">
        <v>47304</v>
      </c>
      <c r="O12357" t="s">
        <v>47305</v>
      </c>
      <c r="P12357">
        <v>0</v>
      </c>
      <c r="Q12357">
        <v>1</v>
      </c>
      <c r="R12357" t="s">
        <v>47318</v>
      </c>
      <c r="S12357" t="s">
        <v>47736</v>
      </c>
      <c r="T12357" t="s">
        <v>48986</v>
      </c>
      <c r="U12357" t="s">
        <v>59748</v>
      </c>
      <c r="W12357" t="s">
        <v>46751</v>
      </c>
      <c r="X12357" t="s">
        <v>47319</v>
      </c>
    </row>
    <row r="12358" spans="1:24">
      <c r="A12358">
        <f>HYPERLINK("https://www.philgeps.gov.ph/GEPSNONPILOT/Tender/SplashBidNoticeAbstractUI.aspx?menuIndex=3&amp;refID=7177373&amp;Result=3","7177373")</f>
        <v>0</v>
      </c>
      <c r="B12358" t="s">
        <v>1770</v>
      </c>
      <c r="C12358" t="s">
        <v>15541</v>
      </c>
      <c r="D12358" t="s">
        <v>19054</v>
      </c>
      <c r="E12358" t="s">
        <v>29586</v>
      </c>
      <c r="F12358" t="s">
        <v>32606</v>
      </c>
      <c r="G12358" t="s">
        <v>32613</v>
      </c>
      <c r="H12358" t="s">
        <v>32623</v>
      </c>
      <c r="I12358" t="s">
        <v>17648</v>
      </c>
      <c r="J12358" t="s">
        <v>40422</v>
      </c>
      <c r="K12358" t="s">
        <v>42638</v>
      </c>
      <c r="M12358" t="s">
        <v>44808</v>
      </c>
      <c r="N12358" t="s">
        <v>47304</v>
      </c>
      <c r="O12358" t="s">
        <v>47305</v>
      </c>
      <c r="P12358">
        <v>0</v>
      </c>
      <c r="Q12358">
        <v>1</v>
      </c>
      <c r="R12358" t="s">
        <v>47318</v>
      </c>
      <c r="S12358" t="s">
        <v>47736</v>
      </c>
      <c r="T12358" t="s">
        <v>49052</v>
      </c>
      <c r="U12358" t="s">
        <v>59749</v>
      </c>
      <c r="W12358" t="s">
        <v>44808</v>
      </c>
      <c r="X12358" t="s">
        <v>47319</v>
      </c>
    </row>
    <row r="12359" spans="1:24">
      <c r="A12359">
        <f>HYPERLINK("https://www.philgeps.gov.ph/GEPSNONPILOT/Tender/SplashBidNoticeAbstractUI.aspx?menuIndex=3&amp;refID=7177348&amp;Result=3","7177348")</f>
        <v>0</v>
      </c>
      <c r="B12359" t="s">
        <v>3485</v>
      </c>
      <c r="C12359" t="s">
        <v>15542</v>
      </c>
      <c r="D12359" t="s">
        <v>19009</v>
      </c>
      <c r="E12359" t="s">
        <v>20122</v>
      </c>
      <c r="F12359" t="s">
        <v>32608</v>
      </c>
      <c r="G12359" t="s">
        <v>32616</v>
      </c>
      <c r="H12359" t="s">
        <v>14201</v>
      </c>
      <c r="I12359" t="s">
        <v>32631</v>
      </c>
      <c r="J12359" t="s">
        <v>40423</v>
      </c>
      <c r="K12359" t="s">
        <v>42630</v>
      </c>
      <c r="M12359" t="s">
        <v>46751</v>
      </c>
      <c r="N12359" t="s">
        <v>47304</v>
      </c>
      <c r="O12359" t="s">
        <v>47305</v>
      </c>
      <c r="P12359">
        <v>0</v>
      </c>
      <c r="Q12359">
        <v>0</v>
      </c>
      <c r="R12359" t="s">
        <v>47318</v>
      </c>
      <c r="S12359" t="s">
        <v>47736</v>
      </c>
      <c r="T12359" t="s">
        <v>48986</v>
      </c>
      <c r="U12359" t="s">
        <v>59750</v>
      </c>
      <c r="W12359" t="s">
        <v>46751</v>
      </c>
      <c r="X12359" t="s">
        <v>47319</v>
      </c>
    </row>
    <row r="12360" spans="1:24">
      <c r="A12360">
        <f>HYPERLINK("https://www.philgeps.gov.ph/GEPSNONPILOT/Tender/SplashBidNoticeAbstractUI.aspx?menuIndex=3&amp;refID=7177390&amp;Result=3","7177390")</f>
        <v>0</v>
      </c>
      <c r="B12360" t="s">
        <v>3485</v>
      </c>
      <c r="C12360" t="s">
        <v>15543</v>
      </c>
      <c r="D12360" t="s">
        <v>19009</v>
      </c>
      <c r="E12360" t="s">
        <v>22592</v>
      </c>
      <c r="F12360" t="s">
        <v>32607</v>
      </c>
      <c r="G12360" t="s">
        <v>32616</v>
      </c>
      <c r="H12360" t="s">
        <v>14201</v>
      </c>
      <c r="I12360" t="s">
        <v>32670</v>
      </c>
      <c r="J12360" t="s">
        <v>33291</v>
      </c>
      <c r="K12360" t="s">
        <v>42630</v>
      </c>
      <c r="M12360" t="s">
        <v>46751</v>
      </c>
      <c r="N12360" t="s">
        <v>47304</v>
      </c>
      <c r="O12360" t="s">
        <v>47305</v>
      </c>
      <c r="P12360">
        <v>0</v>
      </c>
      <c r="Q12360">
        <v>1</v>
      </c>
      <c r="R12360" t="s">
        <v>47318</v>
      </c>
      <c r="S12360" t="s">
        <v>47736</v>
      </c>
      <c r="T12360" t="s">
        <v>48986</v>
      </c>
      <c r="U12360" t="s">
        <v>59751</v>
      </c>
      <c r="W12360" t="s">
        <v>46751</v>
      </c>
      <c r="X12360" t="s">
        <v>47319</v>
      </c>
    </row>
    <row r="12361" spans="1:24">
      <c r="A12361">
        <f>HYPERLINK("https://www.philgeps.gov.ph/GEPSNONPILOT/Tender/SplashBidNoticeAbstractUI.aspx?menuIndex=3&amp;refID=7177353&amp;Result=3","7177353")</f>
        <v>0</v>
      </c>
      <c r="B12361" t="s">
        <v>1770</v>
      </c>
      <c r="C12361" t="s">
        <v>15544</v>
      </c>
      <c r="D12361" t="s">
        <v>19054</v>
      </c>
      <c r="E12361" t="s">
        <v>29587</v>
      </c>
      <c r="F12361" t="s">
        <v>32606</v>
      </c>
      <c r="G12361" t="s">
        <v>32613</v>
      </c>
      <c r="H12361" t="s">
        <v>32623</v>
      </c>
      <c r="I12361" t="s">
        <v>17648</v>
      </c>
      <c r="J12361" t="s">
        <v>40424</v>
      </c>
      <c r="K12361" t="s">
        <v>42643</v>
      </c>
      <c r="M12361" t="s">
        <v>44808</v>
      </c>
      <c r="N12361" t="s">
        <v>47304</v>
      </c>
      <c r="O12361" t="s">
        <v>47305</v>
      </c>
      <c r="P12361">
        <v>0</v>
      </c>
      <c r="Q12361">
        <v>1</v>
      </c>
      <c r="R12361" t="s">
        <v>47318</v>
      </c>
      <c r="S12361" t="s">
        <v>47736</v>
      </c>
      <c r="T12361" t="s">
        <v>49052</v>
      </c>
      <c r="U12361" t="s">
        <v>59752</v>
      </c>
      <c r="W12361" t="s">
        <v>44808</v>
      </c>
      <c r="X12361" t="s">
        <v>47319</v>
      </c>
    </row>
    <row r="12362" spans="1:24">
      <c r="A12362">
        <f>HYPERLINK("https://www.philgeps.gov.ph/GEPSNONPILOT/Tender/SplashBidNoticeAbstractUI.aspx?menuIndex=3&amp;refID=7177408&amp;Result=3","7177408")</f>
        <v>0</v>
      </c>
      <c r="B12362" t="s">
        <v>1770</v>
      </c>
      <c r="C12362" t="s">
        <v>15545</v>
      </c>
      <c r="D12362" t="s">
        <v>19054</v>
      </c>
      <c r="E12362" t="s">
        <v>29588</v>
      </c>
      <c r="F12362" t="s">
        <v>32606</v>
      </c>
      <c r="G12362" t="s">
        <v>32613</v>
      </c>
      <c r="H12362" t="s">
        <v>32623</v>
      </c>
      <c r="I12362" t="s">
        <v>17648</v>
      </c>
      <c r="J12362" t="s">
        <v>40425</v>
      </c>
      <c r="K12362" t="s">
        <v>42863</v>
      </c>
      <c r="M12362" t="s">
        <v>44808</v>
      </c>
      <c r="N12362" t="s">
        <v>47304</v>
      </c>
      <c r="O12362" t="s">
        <v>47305</v>
      </c>
      <c r="P12362">
        <v>0</v>
      </c>
      <c r="Q12362">
        <v>1</v>
      </c>
      <c r="R12362" t="s">
        <v>47318</v>
      </c>
      <c r="S12362" t="s">
        <v>47736</v>
      </c>
      <c r="T12362" t="s">
        <v>49052</v>
      </c>
      <c r="U12362" t="s">
        <v>59753</v>
      </c>
      <c r="W12362" t="s">
        <v>44808</v>
      </c>
      <c r="X12362" t="s">
        <v>47319</v>
      </c>
    </row>
    <row r="12363" spans="1:24">
      <c r="A12363">
        <f>HYPERLINK("https://www.philgeps.gov.ph/GEPSNONPILOT/Tender/SplashBidNoticeAbstractUI.aspx?menuIndex=3&amp;refID=7165390&amp;Result=3","7165390")</f>
        <v>0</v>
      </c>
      <c r="B12363" t="s">
        <v>2351</v>
      </c>
      <c r="C12363" t="s">
        <v>15546</v>
      </c>
      <c r="D12363" t="s">
        <v>19006</v>
      </c>
      <c r="E12363" t="s">
        <v>19380</v>
      </c>
      <c r="F12363" t="s">
        <v>32606</v>
      </c>
      <c r="G12363" t="s">
        <v>32613</v>
      </c>
      <c r="H12363" t="s">
        <v>32623</v>
      </c>
      <c r="I12363" t="s">
        <v>17648</v>
      </c>
      <c r="J12363" t="s">
        <v>40426</v>
      </c>
      <c r="K12363" t="s">
        <v>42624</v>
      </c>
      <c r="M12363" t="s">
        <v>45463</v>
      </c>
      <c r="N12363" t="s">
        <v>47304</v>
      </c>
      <c r="O12363" t="s">
        <v>47305</v>
      </c>
      <c r="P12363">
        <v>0</v>
      </c>
      <c r="Q12363">
        <v>13</v>
      </c>
      <c r="R12363" t="s">
        <v>47319</v>
      </c>
      <c r="S12363" t="s">
        <v>47813</v>
      </c>
      <c r="T12363" t="s">
        <v>48987</v>
      </c>
      <c r="U12363" t="s">
        <v>59754</v>
      </c>
      <c r="W12363" t="s">
        <v>45463</v>
      </c>
      <c r="X12363" t="s">
        <v>47322</v>
      </c>
    </row>
    <row r="12364" spans="1:24">
      <c r="A12364">
        <f>HYPERLINK("https://www.philgeps.gov.ph/GEPSNONPILOT/Tender/SplashBidNoticeAbstractUI.aspx?menuIndex=3&amp;refID=7148033&amp;Result=3","7148033")</f>
        <v>0</v>
      </c>
      <c r="B12364" t="s">
        <v>1671</v>
      </c>
      <c r="C12364" t="s">
        <v>15547</v>
      </c>
      <c r="D12364" t="s">
        <v>18993</v>
      </c>
      <c r="E12364" t="s">
        <v>15547</v>
      </c>
      <c r="F12364" t="s">
        <v>32606</v>
      </c>
      <c r="G12364" t="s">
        <v>32613</v>
      </c>
      <c r="H12364" t="s">
        <v>14201</v>
      </c>
      <c r="I12364" t="s">
        <v>32638</v>
      </c>
      <c r="J12364" t="s">
        <v>40427</v>
      </c>
      <c r="K12364" t="s">
        <v>42631</v>
      </c>
      <c r="M12364" t="s">
        <v>44698</v>
      </c>
      <c r="N12364" t="s">
        <v>47304</v>
      </c>
      <c r="O12364" t="s">
        <v>47305</v>
      </c>
      <c r="P12364">
        <v>0</v>
      </c>
      <c r="Q12364">
        <v>9</v>
      </c>
      <c r="R12364" t="s">
        <v>47319</v>
      </c>
      <c r="S12364" t="s">
        <v>47813</v>
      </c>
      <c r="T12364" t="s">
        <v>48987</v>
      </c>
      <c r="U12364" t="s">
        <v>53471</v>
      </c>
      <c r="W12364" t="s">
        <v>44698</v>
      </c>
      <c r="X12364" t="s">
        <v>47332</v>
      </c>
    </row>
    <row r="12365" spans="1:24">
      <c r="A12365">
        <f>HYPERLINK("https://www.philgeps.gov.ph/GEPSNONPILOT/Tender/SplashBidNoticeAbstractUI.aspx?menuIndex=3&amp;refID=7148031&amp;Result=3","7148031")</f>
        <v>0</v>
      </c>
      <c r="B12365" t="s">
        <v>1671</v>
      </c>
      <c r="C12365" t="s">
        <v>15548</v>
      </c>
      <c r="D12365" t="s">
        <v>18993</v>
      </c>
      <c r="E12365" t="s">
        <v>15548</v>
      </c>
      <c r="F12365" t="s">
        <v>32606</v>
      </c>
      <c r="G12365" t="s">
        <v>32613</v>
      </c>
      <c r="H12365" t="s">
        <v>14201</v>
      </c>
      <c r="I12365" t="s">
        <v>32638</v>
      </c>
      <c r="J12365" t="s">
        <v>32770</v>
      </c>
      <c r="K12365" t="s">
        <v>42631</v>
      </c>
      <c r="M12365" t="s">
        <v>44698</v>
      </c>
      <c r="N12365" t="s">
        <v>47304</v>
      </c>
      <c r="O12365" t="s">
        <v>47305</v>
      </c>
      <c r="P12365">
        <v>0</v>
      </c>
      <c r="Q12365">
        <v>13</v>
      </c>
      <c r="R12365" t="s">
        <v>47319</v>
      </c>
      <c r="S12365" t="s">
        <v>47813</v>
      </c>
      <c r="T12365" t="s">
        <v>48987</v>
      </c>
      <c r="U12365" t="s">
        <v>53471</v>
      </c>
      <c r="W12365" t="s">
        <v>44698</v>
      </c>
      <c r="X12365" t="s">
        <v>47332</v>
      </c>
    </row>
    <row r="12366" spans="1:24">
      <c r="A12366">
        <f>HYPERLINK("https://www.philgeps.gov.ph/GEPSNONPILOT/Tender/SplashBidNoticeAbstractUI.aspx?menuIndex=3&amp;refID=7143018&amp;Result=3","7143018")</f>
        <v>0</v>
      </c>
      <c r="B12366" t="s">
        <v>3486</v>
      </c>
      <c r="C12366" t="s">
        <v>15549</v>
      </c>
      <c r="D12366" t="s">
        <v>19024</v>
      </c>
      <c r="E12366" t="s">
        <v>24073</v>
      </c>
      <c r="F12366" t="s">
        <v>32606</v>
      </c>
      <c r="G12366" t="s">
        <v>32613</v>
      </c>
      <c r="H12366" t="s">
        <v>14201</v>
      </c>
      <c r="I12366" t="s">
        <v>32625</v>
      </c>
      <c r="J12366" t="s">
        <v>32923</v>
      </c>
      <c r="K12366" t="s">
        <v>42648</v>
      </c>
      <c r="L12366" t="s">
        <v>3486</v>
      </c>
      <c r="M12366" t="s">
        <v>46752</v>
      </c>
      <c r="N12366" t="s">
        <v>47304</v>
      </c>
      <c r="O12366" t="s">
        <v>47305</v>
      </c>
      <c r="P12366">
        <v>0</v>
      </c>
      <c r="Q12366">
        <v>1</v>
      </c>
      <c r="R12366" t="s">
        <v>47319</v>
      </c>
      <c r="S12366" t="s">
        <v>47813</v>
      </c>
      <c r="T12366" t="s">
        <v>49016</v>
      </c>
      <c r="U12366" t="s">
        <v>59755</v>
      </c>
      <c r="W12366" t="s">
        <v>46752</v>
      </c>
      <c r="X12366" t="s">
        <v>47333</v>
      </c>
    </row>
    <row r="12367" spans="1:24">
      <c r="A12367">
        <f>HYPERLINK("https://www.philgeps.gov.ph/GEPSNONPILOT/Tender/SplashBidNoticeAbstractUI.aspx?menuIndex=3&amp;refID=7177412&amp;Result=3","7177412")</f>
        <v>0</v>
      </c>
      <c r="B12367" t="s">
        <v>1770</v>
      </c>
      <c r="C12367" t="s">
        <v>15550</v>
      </c>
      <c r="D12367" t="s">
        <v>19054</v>
      </c>
      <c r="E12367" t="s">
        <v>29589</v>
      </c>
      <c r="F12367" t="s">
        <v>32606</v>
      </c>
      <c r="G12367" t="s">
        <v>32613</v>
      </c>
      <c r="H12367" t="s">
        <v>32623</v>
      </c>
      <c r="I12367" t="s">
        <v>17648</v>
      </c>
      <c r="J12367" t="s">
        <v>40428</v>
      </c>
      <c r="K12367" t="s">
        <v>42690</v>
      </c>
      <c r="M12367" t="s">
        <v>44808</v>
      </c>
      <c r="N12367" t="s">
        <v>47304</v>
      </c>
      <c r="O12367" t="s">
        <v>47305</v>
      </c>
      <c r="P12367">
        <v>0</v>
      </c>
      <c r="Q12367">
        <v>1</v>
      </c>
      <c r="R12367" t="s">
        <v>47318</v>
      </c>
      <c r="S12367" t="s">
        <v>47736</v>
      </c>
      <c r="T12367" t="s">
        <v>49052</v>
      </c>
      <c r="U12367" t="s">
        <v>59756</v>
      </c>
      <c r="W12367" t="s">
        <v>44808</v>
      </c>
      <c r="X12367" t="s">
        <v>47319</v>
      </c>
    </row>
    <row r="12368" spans="1:24">
      <c r="A12368">
        <f>HYPERLINK("https://www.philgeps.gov.ph/GEPSNONPILOT/Tender/SplashBidNoticeAbstractUI.aspx?menuIndex=3&amp;refID=7177410&amp;Result=3","7177410")</f>
        <v>0</v>
      </c>
      <c r="B12368" t="s">
        <v>1770</v>
      </c>
      <c r="C12368" t="s">
        <v>15551</v>
      </c>
      <c r="D12368" t="s">
        <v>19054</v>
      </c>
      <c r="E12368" t="s">
        <v>29590</v>
      </c>
      <c r="F12368" t="s">
        <v>32606</v>
      </c>
      <c r="G12368" t="s">
        <v>32613</v>
      </c>
      <c r="H12368" t="s">
        <v>32623</v>
      </c>
      <c r="I12368" t="s">
        <v>17648</v>
      </c>
      <c r="J12368" t="s">
        <v>40429</v>
      </c>
      <c r="K12368" t="s">
        <v>42743</v>
      </c>
      <c r="M12368" t="s">
        <v>44808</v>
      </c>
      <c r="N12368" t="s">
        <v>47304</v>
      </c>
      <c r="O12368" t="s">
        <v>47305</v>
      </c>
      <c r="P12368">
        <v>0</v>
      </c>
      <c r="Q12368">
        <v>2</v>
      </c>
      <c r="R12368" t="s">
        <v>47318</v>
      </c>
      <c r="S12368" t="s">
        <v>47736</v>
      </c>
      <c r="T12368" t="s">
        <v>49052</v>
      </c>
      <c r="U12368" t="s">
        <v>59757</v>
      </c>
      <c r="W12368" t="s">
        <v>44808</v>
      </c>
      <c r="X12368" t="s">
        <v>47319</v>
      </c>
    </row>
    <row r="12369" spans="1:24">
      <c r="A12369">
        <f>HYPERLINK("https://www.philgeps.gov.ph/GEPSNONPILOT/Tender/SplashBidNoticeAbstractUI.aspx?menuIndex=3&amp;refID=7148080&amp;Result=3","7148080")</f>
        <v>0</v>
      </c>
      <c r="B12369" t="s">
        <v>1671</v>
      </c>
      <c r="C12369" t="s">
        <v>15552</v>
      </c>
      <c r="D12369" t="s">
        <v>18993</v>
      </c>
      <c r="E12369" t="s">
        <v>29591</v>
      </c>
      <c r="F12369" t="s">
        <v>32606</v>
      </c>
      <c r="G12369" t="s">
        <v>32613</v>
      </c>
      <c r="H12369" t="s">
        <v>14201</v>
      </c>
      <c r="I12369" t="s">
        <v>7577</v>
      </c>
      <c r="J12369" t="s">
        <v>40430</v>
      </c>
      <c r="K12369" t="s">
        <v>42631</v>
      </c>
      <c r="M12369" t="s">
        <v>44698</v>
      </c>
      <c r="N12369" t="s">
        <v>47304</v>
      </c>
      <c r="O12369" t="s">
        <v>47305</v>
      </c>
      <c r="P12369">
        <v>0</v>
      </c>
      <c r="Q12369">
        <v>2</v>
      </c>
      <c r="R12369" t="s">
        <v>47319</v>
      </c>
      <c r="S12369" t="s">
        <v>47813</v>
      </c>
      <c r="T12369" t="s">
        <v>48987</v>
      </c>
      <c r="U12369" t="s">
        <v>59758</v>
      </c>
      <c r="W12369" t="s">
        <v>44698</v>
      </c>
      <c r="X12369" t="s">
        <v>47332</v>
      </c>
    </row>
    <row r="12370" spans="1:24">
      <c r="A12370">
        <f>HYPERLINK("https://www.philgeps.gov.ph/GEPSNONPILOT/Tender/SplashBidNoticeAbstractUI.aspx?menuIndex=3&amp;refID=7166257&amp;Result=3","7166257")</f>
        <v>0</v>
      </c>
      <c r="B12370" t="s">
        <v>3487</v>
      </c>
      <c r="C12370" t="s">
        <v>15553</v>
      </c>
      <c r="D12370" t="s">
        <v>19027</v>
      </c>
      <c r="E12370" t="s">
        <v>29592</v>
      </c>
      <c r="F12370" t="s">
        <v>32606</v>
      </c>
      <c r="G12370" t="s">
        <v>32613</v>
      </c>
      <c r="H12370" t="s">
        <v>14201</v>
      </c>
      <c r="I12370" t="s">
        <v>32626</v>
      </c>
      <c r="J12370" t="s">
        <v>40431</v>
      </c>
      <c r="K12370" t="s">
        <v>42631</v>
      </c>
      <c r="M12370" t="s">
        <v>46753</v>
      </c>
      <c r="N12370" t="s">
        <v>47304</v>
      </c>
      <c r="O12370" t="s">
        <v>47305</v>
      </c>
      <c r="P12370">
        <v>0</v>
      </c>
      <c r="Q12370">
        <v>12</v>
      </c>
      <c r="R12370" t="s">
        <v>47319</v>
      </c>
      <c r="S12370" t="s">
        <v>47813</v>
      </c>
      <c r="T12370" t="s">
        <v>49163</v>
      </c>
      <c r="U12370" t="s">
        <v>59759</v>
      </c>
      <c r="W12370" t="s">
        <v>46753</v>
      </c>
      <c r="X12370" t="s">
        <v>47322</v>
      </c>
    </row>
    <row r="12371" spans="1:24">
      <c r="A12371">
        <f>HYPERLINK("https://www.philgeps.gov.ph/GEPSNONPILOT/Tender/SplashBidNoticeAbstractUI.aspx?menuIndex=3&amp;refID=7166203&amp;Result=3","7166203")</f>
        <v>0</v>
      </c>
      <c r="B12371" t="s">
        <v>3488</v>
      </c>
      <c r="C12371" t="s">
        <v>15554</v>
      </c>
      <c r="D12371" t="s">
        <v>19005</v>
      </c>
      <c r="E12371" t="s">
        <v>29593</v>
      </c>
      <c r="F12371" t="s">
        <v>32607</v>
      </c>
      <c r="G12371" t="s">
        <v>32613</v>
      </c>
      <c r="H12371" t="s">
        <v>14201</v>
      </c>
      <c r="I12371" t="s">
        <v>32630</v>
      </c>
      <c r="J12371" t="s">
        <v>35016</v>
      </c>
      <c r="K12371" t="s">
        <v>42624</v>
      </c>
      <c r="M12371" t="s">
        <v>46754</v>
      </c>
      <c r="N12371" t="s">
        <v>47304</v>
      </c>
      <c r="O12371" t="s">
        <v>47305</v>
      </c>
      <c r="P12371">
        <v>0</v>
      </c>
      <c r="Q12371">
        <v>3</v>
      </c>
      <c r="R12371" t="s">
        <v>47319</v>
      </c>
      <c r="S12371" t="s">
        <v>47813</v>
      </c>
      <c r="T12371" t="s">
        <v>49072</v>
      </c>
      <c r="U12371" t="s">
        <v>59760</v>
      </c>
      <c r="W12371" t="s">
        <v>46754</v>
      </c>
      <c r="X12371" t="s">
        <v>47322</v>
      </c>
    </row>
    <row r="12372" spans="1:24">
      <c r="A12372">
        <f>HYPERLINK("https://www.philgeps.gov.ph/GEPSNONPILOT/Tender/SplashBidNoticeAbstractUI.aspx?menuIndex=3&amp;refID=7165969&amp;Result=3","7165969")</f>
        <v>0</v>
      </c>
      <c r="B12372" t="s">
        <v>1864</v>
      </c>
      <c r="C12372" t="s">
        <v>15555</v>
      </c>
      <c r="D12372" t="s">
        <v>19029</v>
      </c>
      <c r="E12372" t="s">
        <v>29594</v>
      </c>
      <c r="F12372" t="s">
        <v>32606</v>
      </c>
      <c r="G12372" t="s">
        <v>32614</v>
      </c>
      <c r="H12372" t="s">
        <v>14201</v>
      </c>
      <c r="I12372" t="s">
        <v>7064</v>
      </c>
      <c r="J12372" t="s">
        <v>32821</v>
      </c>
      <c r="K12372" t="s">
        <v>42631</v>
      </c>
      <c r="M12372" t="s">
        <v>44921</v>
      </c>
      <c r="N12372" t="s">
        <v>47304</v>
      </c>
      <c r="O12372" t="s">
        <v>47305</v>
      </c>
      <c r="Q12372">
        <v>8</v>
      </c>
      <c r="R12372" t="s">
        <v>47319</v>
      </c>
      <c r="S12372" t="s">
        <v>47814</v>
      </c>
      <c r="T12372" t="s">
        <v>49473</v>
      </c>
      <c r="U12372" t="s">
        <v>59761</v>
      </c>
      <c r="W12372" t="s">
        <v>44921</v>
      </c>
      <c r="X12372" t="s">
        <v>47322</v>
      </c>
    </row>
    <row r="12373" spans="1:24">
      <c r="A12373">
        <f>HYPERLINK("https://www.philgeps.gov.ph/GEPSNONPILOT/Tender/SplashBidNoticeAbstractUI.aspx?menuIndex=3&amp;refID=7165936&amp;Result=3","7165936")</f>
        <v>0</v>
      </c>
      <c r="B12373" t="s">
        <v>1864</v>
      </c>
      <c r="C12373" t="s">
        <v>15556</v>
      </c>
      <c r="D12373" t="s">
        <v>19029</v>
      </c>
      <c r="E12373" t="s">
        <v>29595</v>
      </c>
      <c r="F12373" t="s">
        <v>32606</v>
      </c>
      <c r="G12373" t="s">
        <v>32613</v>
      </c>
      <c r="H12373" t="s">
        <v>14201</v>
      </c>
      <c r="I12373" t="s">
        <v>7064</v>
      </c>
      <c r="J12373" t="s">
        <v>33273</v>
      </c>
      <c r="K12373" t="s">
        <v>42631</v>
      </c>
      <c r="M12373" t="s">
        <v>44921</v>
      </c>
      <c r="N12373" t="s">
        <v>47304</v>
      </c>
      <c r="O12373" t="s">
        <v>47305</v>
      </c>
      <c r="Q12373">
        <v>10</v>
      </c>
      <c r="R12373" t="s">
        <v>47319</v>
      </c>
      <c r="S12373" t="s">
        <v>47815</v>
      </c>
      <c r="T12373" t="s">
        <v>49473</v>
      </c>
      <c r="U12373" t="s">
        <v>59761</v>
      </c>
      <c r="W12373" t="s">
        <v>44921</v>
      </c>
      <c r="X12373" t="s">
        <v>47322</v>
      </c>
    </row>
    <row r="12374" spans="1:24">
      <c r="A12374">
        <f>HYPERLINK("https://www.philgeps.gov.ph/GEPSNONPILOT/Tender/SplashBidNoticeAbstractUI.aspx?menuIndex=3&amp;refID=7166246&amp;Result=3","7166246")</f>
        <v>0</v>
      </c>
      <c r="B12374" t="s">
        <v>497</v>
      </c>
      <c r="C12374" t="s">
        <v>15557</v>
      </c>
      <c r="D12374" t="s">
        <v>18991</v>
      </c>
      <c r="E12374" t="s">
        <v>29596</v>
      </c>
      <c r="F12374" t="s">
        <v>32606</v>
      </c>
      <c r="G12374" t="s">
        <v>32613</v>
      </c>
      <c r="H12374" t="s">
        <v>14201</v>
      </c>
      <c r="I12374" t="s">
        <v>32633</v>
      </c>
      <c r="J12374" t="s">
        <v>40432</v>
      </c>
      <c r="K12374" t="s">
        <v>42624</v>
      </c>
      <c r="M12374" t="s">
        <v>46356</v>
      </c>
      <c r="N12374" t="s">
        <v>47304</v>
      </c>
      <c r="O12374" t="s">
        <v>47305</v>
      </c>
      <c r="P12374">
        <v>0</v>
      </c>
      <c r="Q12374">
        <v>8</v>
      </c>
      <c r="R12374" t="s">
        <v>47319</v>
      </c>
      <c r="S12374" t="s">
        <v>47813</v>
      </c>
      <c r="T12374" t="s">
        <v>49041</v>
      </c>
      <c r="U12374" t="s">
        <v>59762</v>
      </c>
      <c r="W12374" t="s">
        <v>46356</v>
      </c>
      <c r="X12374" t="s">
        <v>47322</v>
      </c>
    </row>
    <row r="12375" spans="1:24">
      <c r="A12375">
        <f>HYPERLINK("https://www.philgeps.gov.ph/GEPSNONPILOT/Tender/SplashBidNoticeAbstractUI.aspx?menuIndex=3&amp;refID=7165598&amp;Result=3","7165598")</f>
        <v>0</v>
      </c>
      <c r="B12375" t="s">
        <v>1684</v>
      </c>
      <c r="C12375" t="s">
        <v>15558</v>
      </c>
      <c r="D12375" t="s">
        <v>19032</v>
      </c>
      <c r="E12375" t="s">
        <v>29597</v>
      </c>
      <c r="F12375" t="s">
        <v>32609</v>
      </c>
      <c r="G12375" t="s">
        <v>32619</v>
      </c>
      <c r="H12375" t="s">
        <v>14201</v>
      </c>
      <c r="I12375" t="s">
        <v>4121</v>
      </c>
      <c r="J12375" t="s">
        <v>32798</v>
      </c>
      <c r="K12375" t="s">
        <v>42631</v>
      </c>
      <c r="M12375" t="s">
        <v>44878</v>
      </c>
      <c r="N12375" t="s">
        <v>47304</v>
      </c>
      <c r="O12375" t="s">
        <v>47305</v>
      </c>
      <c r="Q12375">
        <v>7</v>
      </c>
      <c r="R12375" t="s">
        <v>47319</v>
      </c>
      <c r="S12375" t="s">
        <v>47816</v>
      </c>
      <c r="T12375" t="s">
        <v>49068</v>
      </c>
      <c r="U12375" t="s">
        <v>59763</v>
      </c>
      <c r="W12375" t="s">
        <v>44878</v>
      </c>
      <c r="X12375" t="s">
        <v>47322</v>
      </c>
    </row>
    <row r="12376" spans="1:24">
      <c r="A12376">
        <f>HYPERLINK("https://www.philgeps.gov.ph/GEPSNONPILOT/Tender/SplashBidNoticeAbstractUI.aspx?menuIndex=3&amp;refID=7166312&amp;Result=3","7166312")</f>
        <v>0</v>
      </c>
      <c r="B12376" t="s">
        <v>497</v>
      </c>
      <c r="C12376" t="s">
        <v>15559</v>
      </c>
      <c r="D12376" t="s">
        <v>18991</v>
      </c>
      <c r="E12376" t="s">
        <v>29598</v>
      </c>
      <c r="F12376" t="s">
        <v>32606</v>
      </c>
      <c r="G12376" t="s">
        <v>32613</v>
      </c>
      <c r="H12376" t="s">
        <v>14201</v>
      </c>
      <c r="I12376" t="s">
        <v>32638</v>
      </c>
      <c r="J12376" t="s">
        <v>40433</v>
      </c>
      <c r="K12376" t="s">
        <v>42624</v>
      </c>
      <c r="M12376" t="s">
        <v>46356</v>
      </c>
      <c r="N12376" t="s">
        <v>47304</v>
      </c>
      <c r="O12376" t="s">
        <v>47305</v>
      </c>
      <c r="P12376">
        <v>0</v>
      </c>
      <c r="Q12376">
        <v>16</v>
      </c>
      <c r="R12376" t="s">
        <v>47319</v>
      </c>
      <c r="S12376" t="s">
        <v>47813</v>
      </c>
      <c r="T12376" t="s">
        <v>49041</v>
      </c>
      <c r="U12376" t="s">
        <v>59764</v>
      </c>
      <c r="W12376" t="s">
        <v>46356</v>
      </c>
      <c r="X12376" t="s">
        <v>47322</v>
      </c>
    </row>
    <row r="12377" spans="1:24">
      <c r="A12377">
        <f>HYPERLINK("https://www.philgeps.gov.ph/GEPSNONPILOT/Tender/SplashBidNoticeAbstractUI.aspx?menuIndex=3&amp;refID=7166725&amp;Result=3","7166725")</f>
        <v>0</v>
      </c>
      <c r="B12377" t="s">
        <v>497</v>
      </c>
      <c r="C12377" t="s">
        <v>15557</v>
      </c>
      <c r="D12377" t="s">
        <v>18991</v>
      </c>
      <c r="E12377" t="s">
        <v>29599</v>
      </c>
      <c r="F12377" t="s">
        <v>32606</v>
      </c>
      <c r="G12377" t="s">
        <v>32613</v>
      </c>
      <c r="H12377" t="s">
        <v>14201</v>
      </c>
      <c r="I12377" t="s">
        <v>32633</v>
      </c>
      <c r="J12377" t="s">
        <v>33869</v>
      </c>
      <c r="K12377" t="s">
        <v>42624</v>
      </c>
      <c r="M12377" t="s">
        <v>46356</v>
      </c>
      <c r="N12377" t="s">
        <v>47304</v>
      </c>
      <c r="O12377" t="s">
        <v>47305</v>
      </c>
      <c r="P12377">
        <v>0</v>
      </c>
      <c r="Q12377">
        <v>5</v>
      </c>
      <c r="R12377" t="s">
        <v>47319</v>
      </c>
      <c r="S12377" t="s">
        <v>47813</v>
      </c>
      <c r="T12377" t="s">
        <v>49041</v>
      </c>
      <c r="U12377" t="s">
        <v>59765</v>
      </c>
      <c r="W12377" t="s">
        <v>46356</v>
      </c>
      <c r="X12377" t="s">
        <v>47322</v>
      </c>
    </row>
    <row r="12378" spans="1:24">
      <c r="A12378">
        <f>HYPERLINK("https://www.philgeps.gov.ph/GEPSNONPILOT/Tender/SplashBidNoticeAbstractUI.aspx?menuIndex=3&amp;refID=7166680&amp;Result=3","7166680")</f>
        <v>0</v>
      </c>
      <c r="B12378" t="s">
        <v>497</v>
      </c>
      <c r="C12378" t="s">
        <v>5665</v>
      </c>
      <c r="D12378" t="s">
        <v>18991</v>
      </c>
      <c r="E12378" t="s">
        <v>29600</v>
      </c>
      <c r="F12378" t="s">
        <v>32606</v>
      </c>
      <c r="G12378" t="s">
        <v>32613</v>
      </c>
      <c r="H12378" t="s">
        <v>14201</v>
      </c>
      <c r="I12378" t="s">
        <v>7677</v>
      </c>
      <c r="J12378" t="s">
        <v>40434</v>
      </c>
      <c r="K12378" t="s">
        <v>42624</v>
      </c>
      <c r="M12378" t="s">
        <v>46356</v>
      </c>
      <c r="N12378" t="s">
        <v>47304</v>
      </c>
      <c r="O12378" t="s">
        <v>47305</v>
      </c>
      <c r="P12378">
        <v>0</v>
      </c>
      <c r="Q12378">
        <v>2</v>
      </c>
      <c r="R12378" t="s">
        <v>47319</v>
      </c>
      <c r="S12378" t="s">
        <v>47813</v>
      </c>
      <c r="T12378" t="s">
        <v>49041</v>
      </c>
      <c r="U12378" t="s">
        <v>59766</v>
      </c>
      <c r="W12378" t="s">
        <v>46356</v>
      </c>
      <c r="X12378" t="s">
        <v>47322</v>
      </c>
    </row>
    <row r="12379" spans="1:24">
      <c r="A12379">
        <f>HYPERLINK("https://www.philgeps.gov.ph/GEPSNONPILOT/Tender/SplashBidNoticeAbstractUI.aspx?menuIndex=3&amp;refID=7166674&amp;Result=3","7166674")</f>
        <v>0</v>
      </c>
      <c r="B12379" t="s">
        <v>37</v>
      </c>
      <c r="C12379" t="s">
        <v>15560</v>
      </c>
      <c r="D12379" t="s">
        <v>18997</v>
      </c>
      <c r="E12379" t="s">
        <v>29601</v>
      </c>
      <c r="F12379" t="s">
        <v>32606</v>
      </c>
      <c r="G12379" t="s">
        <v>32613</v>
      </c>
      <c r="H12379" t="s">
        <v>14201</v>
      </c>
      <c r="I12379" t="s">
        <v>32633</v>
      </c>
      <c r="J12379" t="s">
        <v>40435</v>
      </c>
      <c r="K12379" t="s">
        <v>42631</v>
      </c>
      <c r="M12379" t="s">
        <v>42934</v>
      </c>
      <c r="N12379" t="s">
        <v>47304</v>
      </c>
      <c r="O12379" t="s">
        <v>47305</v>
      </c>
      <c r="Q12379">
        <v>5</v>
      </c>
      <c r="R12379" t="s">
        <v>47319</v>
      </c>
      <c r="S12379" t="s">
        <v>47817</v>
      </c>
      <c r="T12379" t="s">
        <v>49040</v>
      </c>
      <c r="U12379" t="s">
        <v>59767</v>
      </c>
      <c r="W12379" t="s">
        <v>42934</v>
      </c>
      <c r="X12379" t="s">
        <v>47322</v>
      </c>
    </row>
    <row r="12380" spans="1:24">
      <c r="A12380">
        <f>HYPERLINK("https://www.philgeps.gov.ph/GEPSNONPILOT/Tender/SplashBidNoticeAbstractUI.aspx?menuIndex=3&amp;refID=7166623&amp;Result=3","7166623")</f>
        <v>0</v>
      </c>
      <c r="B12380" t="s">
        <v>497</v>
      </c>
      <c r="C12380" t="s">
        <v>15557</v>
      </c>
      <c r="D12380" t="s">
        <v>18991</v>
      </c>
      <c r="E12380" t="s">
        <v>29602</v>
      </c>
      <c r="F12380" t="s">
        <v>32606</v>
      </c>
      <c r="G12380" t="s">
        <v>32613</v>
      </c>
      <c r="H12380" t="s">
        <v>14201</v>
      </c>
      <c r="I12380" t="s">
        <v>32633</v>
      </c>
      <c r="J12380" t="s">
        <v>38895</v>
      </c>
      <c r="K12380" t="s">
        <v>42624</v>
      </c>
      <c r="M12380" t="s">
        <v>46356</v>
      </c>
      <c r="N12380" t="s">
        <v>47304</v>
      </c>
      <c r="O12380" t="s">
        <v>47305</v>
      </c>
      <c r="P12380">
        <v>0</v>
      </c>
      <c r="Q12380">
        <v>4</v>
      </c>
      <c r="R12380" t="s">
        <v>47319</v>
      </c>
      <c r="S12380" t="s">
        <v>47813</v>
      </c>
      <c r="T12380" t="s">
        <v>49041</v>
      </c>
      <c r="U12380" t="s">
        <v>59768</v>
      </c>
      <c r="W12380" t="s">
        <v>46356</v>
      </c>
      <c r="X12380" t="s">
        <v>47322</v>
      </c>
    </row>
    <row r="12381" spans="1:24">
      <c r="A12381">
        <f>HYPERLINK("https://www.philgeps.gov.ph/GEPSNONPILOT/Tender/SplashBidNoticeAbstractUI.aspx?menuIndex=3&amp;refID=7166369&amp;Result=3","7166369")</f>
        <v>0</v>
      </c>
      <c r="B12381" t="s">
        <v>497</v>
      </c>
      <c r="C12381" t="s">
        <v>15557</v>
      </c>
      <c r="D12381" t="s">
        <v>18991</v>
      </c>
      <c r="E12381" t="s">
        <v>29603</v>
      </c>
      <c r="F12381" t="s">
        <v>32606</v>
      </c>
      <c r="G12381" t="s">
        <v>32613</v>
      </c>
      <c r="H12381" t="s">
        <v>14201</v>
      </c>
      <c r="I12381" t="s">
        <v>32633</v>
      </c>
      <c r="J12381" t="s">
        <v>33587</v>
      </c>
      <c r="K12381" t="s">
        <v>42624</v>
      </c>
      <c r="M12381" t="s">
        <v>46356</v>
      </c>
      <c r="N12381" t="s">
        <v>47304</v>
      </c>
      <c r="O12381" t="s">
        <v>47305</v>
      </c>
      <c r="P12381">
        <v>0</v>
      </c>
      <c r="Q12381">
        <v>5</v>
      </c>
      <c r="R12381" t="s">
        <v>47319</v>
      </c>
      <c r="S12381" t="s">
        <v>47813</v>
      </c>
      <c r="T12381" t="s">
        <v>49041</v>
      </c>
      <c r="U12381" t="s">
        <v>59769</v>
      </c>
      <c r="W12381" t="s">
        <v>46356</v>
      </c>
      <c r="X12381" t="s">
        <v>47322</v>
      </c>
    </row>
    <row r="12382" spans="1:24">
      <c r="A12382">
        <f>HYPERLINK("https://www.philgeps.gov.ph/GEPSNONPILOT/Tender/SplashBidNoticeAbstractUI.aspx?menuIndex=3&amp;refID=7148035&amp;Result=3","7148035")</f>
        <v>0</v>
      </c>
      <c r="B12382" t="s">
        <v>1671</v>
      </c>
      <c r="C12382" t="s">
        <v>15561</v>
      </c>
      <c r="D12382" t="s">
        <v>18993</v>
      </c>
      <c r="E12382" t="s">
        <v>15561</v>
      </c>
      <c r="F12382" t="s">
        <v>32606</v>
      </c>
      <c r="G12382" t="s">
        <v>32613</v>
      </c>
      <c r="H12382" t="s">
        <v>14201</v>
      </c>
      <c r="I12382" t="s">
        <v>32638</v>
      </c>
      <c r="J12382" t="s">
        <v>40436</v>
      </c>
      <c r="K12382" t="s">
        <v>42631</v>
      </c>
      <c r="M12382" t="s">
        <v>44698</v>
      </c>
      <c r="N12382" t="s">
        <v>47304</v>
      </c>
      <c r="O12382" t="s">
        <v>47305</v>
      </c>
      <c r="P12382">
        <v>0</v>
      </c>
      <c r="Q12382">
        <v>10</v>
      </c>
      <c r="R12382" t="s">
        <v>47319</v>
      </c>
      <c r="S12382" t="s">
        <v>47813</v>
      </c>
      <c r="T12382" t="s">
        <v>48987</v>
      </c>
      <c r="U12382" t="s">
        <v>53471</v>
      </c>
      <c r="W12382" t="s">
        <v>44698</v>
      </c>
      <c r="X12382" t="s">
        <v>47332</v>
      </c>
    </row>
    <row r="12383" spans="1:24">
      <c r="A12383">
        <f>HYPERLINK("https://www.philgeps.gov.ph/GEPSNONPILOT/Tender/SplashBidNoticeAbstractUI.aspx?menuIndex=3&amp;refID=7168225&amp;Result=3","7168225")</f>
        <v>0</v>
      </c>
      <c r="B12383" t="s">
        <v>688</v>
      </c>
      <c r="C12383" t="s">
        <v>15562</v>
      </c>
      <c r="D12383" t="s">
        <v>19006</v>
      </c>
      <c r="E12383" t="s">
        <v>29604</v>
      </c>
      <c r="F12383" t="s">
        <v>32606</v>
      </c>
      <c r="G12383" t="s">
        <v>32613</v>
      </c>
      <c r="H12383" t="s">
        <v>32623</v>
      </c>
      <c r="I12383" t="s">
        <v>32675</v>
      </c>
      <c r="J12383" t="s">
        <v>32830</v>
      </c>
      <c r="K12383" t="s">
        <v>42631</v>
      </c>
      <c r="M12383" t="s">
        <v>43805</v>
      </c>
      <c r="N12383" t="s">
        <v>47304</v>
      </c>
      <c r="O12383" t="s">
        <v>47305</v>
      </c>
      <c r="P12383">
        <v>0</v>
      </c>
      <c r="Q12383">
        <v>5</v>
      </c>
      <c r="R12383" t="s">
        <v>47319</v>
      </c>
      <c r="S12383" t="s">
        <v>47813</v>
      </c>
      <c r="T12383" t="s">
        <v>48971</v>
      </c>
      <c r="U12383" t="s">
        <v>59770</v>
      </c>
      <c r="W12383" t="s">
        <v>43805</v>
      </c>
      <c r="X12383" t="s">
        <v>47321</v>
      </c>
    </row>
    <row r="12384" spans="1:24">
      <c r="A12384">
        <f>HYPERLINK("https://www.philgeps.gov.ph/GEPSNONPILOT/Tender/SplashBidNoticeAbstractUI.aspx?menuIndex=3&amp;refID=7168074&amp;Result=3","7168074")</f>
        <v>0</v>
      </c>
      <c r="B12384" t="s">
        <v>2862</v>
      </c>
      <c r="C12384" t="s">
        <v>15563</v>
      </c>
      <c r="D12384" t="s">
        <v>19011</v>
      </c>
      <c r="E12384" t="s">
        <v>29605</v>
      </c>
      <c r="F12384" t="s">
        <v>32606</v>
      </c>
      <c r="G12384" t="s">
        <v>32613</v>
      </c>
      <c r="H12384" t="s">
        <v>32623</v>
      </c>
      <c r="I12384" t="s">
        <v>32675</v>
      </c>
      <c r="J12384" t="s">
        <v>40437</v>
      </c>
      <c r="K12384" t="s">
        <v>42648</v>
      </c>
      <c r="M12384" t="s">
        <v>46031</v>
      </c>
      <c r="N12384" t="s">
        <v>47304</v>
      </c>
      <c r="O12384" t="s">
        <v>47305</v>
      </c>
      <c r="Q12384">
        <v>9</v>
      </c>
      <c r="R12384" t="s">
        <v>47319</v>
      </c>
      <c r="S12384" t="s">
        <v>47818</v>
      </c>
      <c r="T12384" t="s">
        <v>49023</v>
      </c>
      <c r="U12384" t="s">
        <v>59771</v>
      </c>
      <c r="W12384" t="s">
        <v>46031</v>
      </c>
      <c r="X12384" t="s">
        <v>47321</v>
      </c>
    </row>
    <row r="12385" spans="1:24">
      <c r="A12385">
        <f>HYPERLINK("https://www.philgeps.gov.ph/GEPSNONPILOT/Tender/SplashBidNoticeAbstractUI.aspx?menuIndex=3&amp;refID=7167819&amp;Result=3","7167819")</f>
        <v>0</v>
      </c>
      <c r="B12385" t="s">
        <v>3489</v>
      </c>
      <c r="C12385" t="s">
        <v>15564</v>
      </c>
      <c r="D12385" t="s">
        <v>19041</v>
      </c>
      <c r="E12385" t="s">
        <v>29606</v>
      </c>
      <c r="F12385" t="s">
        <v>32606</v>
      </c>
      <c r="G12385" t="s">
        <v>32613</v>
      </c>
      <c r="H12385" t="s">
        <v>14201</v>
      </c>
      <c r="I12385" t="s">
        <v>32640</v>
      </c>
      <c r="J12385" t="s">
        <v>40438</v>
      </c>
      <c r="K12385" t="s">
        <v>42631</v>
      </c>
      <c r="M12385" t="s">
        <v>46755</v>
      </c>
      <c r="N12385" t="s">
        <v>47304</v>
      </c>
      <c r="O12385" t="s">
        <v>47305</v>
      </c>
      <c r="P12385">
        <v>0</v>
      </c>
      <c r="Q12385">
        <v>11</v>
      </c>
      <c r="R12385" t="s">
        <v>47319</v>
      </c>
      <c r="S12385" t="s">
        <v>47813</v>
      </c>
      <c r="T12385" t="s">
        <v>49004</v>
      </c>
      <c r="U12385" t="s">
        <v>59772</v>
      </c>
      <c r="W12385" t="s">
        <v>46755</v>
      </c>
      <c r="X12385" t="s">
        <v>47322</v>
      </c>
    </row>
    <row r="12386" spans="1:24">
      <c r="A12386">
        <f>HYPERLINK("https://www.philgeps.gov.ph/GEPSNONPILOT/Tender/SplashBidNoticeAbstractUI.aspx?menuIndex=3&amp;refID=7167768&amp;Result=3","7167768")</f>
        <v>0</v>
      </c>
      <c r="B12386" t="s">
        <v>3488</v>
      </c>
      <c r="C12386" t="s">
        <v>15565</v>
      </c>
      <c r="D12386" t="s">
        <v>19005</v>
      </c>
      <c r="E12386" t="s">
        <v>29607</v>
      </c>
      <c r="F12386" t="s">
        <v>32606</v>
      </c>
      <c r="G12386" t="s">
        <v>32613</v>
      </c>
      <c r="H12386" t="s">
        <v>14201</v>
      </c>
      <c r="I12386" t="s">
        <v>4120</v>
      </c>
      <c r="J12386" t="s">
        <v>33561</v>
      </c>
      <c r="K12386" t="s">
        <v>42624</v>
      </c>
      <c r="M12386" t="s">
        <v>46754</v>
      </c>
      <c r="N12386" t="s">
        <v>47304</v>
      </c>
      <c r="O12386" t="s">
        <v>47305</v>
      </c>
      <c r="P12386">
        <v>0</v>
      </c>
      <c r="Q12386">
        <v>3</v>
      </c>
      <c r="R12386" t="s">
        <v>47319</v>
      </c>
      <c r="S12386" t="s">
        <v>47813</v>
      </c>
      <c r="T12386" t="s">
        <v>49257</v>
      </c>
      <c r="U12386" t="s">
        <v>59773</v>
      </c>
      <c r="W12386" t="s">
        <v>46754</v>
      </c>
      <c r="X12386" t="s">
        <v>47322</v>
      </c>
    </row>
    <row r="12387" spans="1:24">
      <c r="A12387">
        <f>HYPERLINK("https://www.philgeps.gov.ph/GEPSNONPILOT/Tender/SplashBidNoticeAbstractUI.aspx?menuIndex=3&amp;refID=7167108&amp;Result=3","7167108")</f>
        <v>0</v>
      </c>
      <c r="B12387" t="s">
        <v>1684</v>
      </c>
      <c r="C12387" t="s">
        <v>15566</v>
      </c>
      <c r="D12387" t="s">
        <v>19032</v>
      </c>
      <c r="E12387" t="s">
        <v>29597</v>
      </c>
      <c r="F12387" t="s">
        <v>32609</v>
      </c>
      <c r="G12387" t="s">
        <v>32619</v>
      </c>
      <c r="H12387" t="s">
        <v>14201</v>
      </c>
      <c r="I12387" t="s">
        <v>6298</v>
      </c>
      <c r="J12387" t="s">
        <v>32981</v>
      </c>
      <c r="K12387" t="s">
        <v>42631</v>
      </c>
      <c r="M12387" t="s">
        <v>44878</v>
      </c>
      <c r="N12387" t="s">
        <v>47304</v>
      </c>
      <c r="O12387" t="s">
        <v>47305</v>
      </c>
      <c r="Q12387">
        <v>0</v>
      </c>
      <c r="R12387" t="s">
        <v>47319</v>
      </c>
      <c r="S12387" t="s">
        <v>47819</v>
      </c>
      <c r="T12387" t="s">
        <v>49068</v>
      </c>
      <c r="U12387" t="s">
        <v>59763</v>
      </c>
      <c r="W12387" t="s">
        <v>44878</v>
      </c>
      <c r="X12387" t="s">
        <v>47322</v>
      </c>
    </row>
    <row r="12388" spans="1:24">
      <c r="A12388">
        <f>HYPERLINK("https://www.philgeps.gov.ph/GEPSNONPILOT/Tender/SplashBidNoticeAbstractUI.aspx?menuIndex=3&amp;refID=7168261&amp;Result=3","7168261")</f>
        <v>0</v>
      </c>
      <c r="B12388" t="s">
        <v>2862</v>
      </c>
      <c r="C12388" t="s">
        <v>15567</v>
      </c>
      <c r="D12388" t="s">
        <v>19011</v>
      </c>
      <c r="E12388" t="s">
        <v>29608</v>
      </c>
      <c r="F12388" t="s">
        <v>32606</v>
      </c>
      <c r="G12388" t="s">
        <v>32613</v>
      </c>
      <c r="H12388" t="s">
        <v>32623</v>
      </c>
      <c r="I12388" t="s">
        <v>32675</v>
      </c>
      <c r="J12388" t="s">
        <v>40439</v>
      </c>
      <c r="K12388" t="s">
        <v>42731</v>
      </c>
      <c r="M12388" t="s">
        <v>46031</v>
      </c>
      <c r="N12388" t="s">
        <v>47304</v>
      </c>
      <c r="O12388" t="s">
        <v>47305</v>
      </c>
      <c r="Q12388">
        <v>10</v>
      </c>
      <c r="R12388" t="s">
        <v>47319</v>
      </c>
      <c r="S12388" t="s">
        <v>47820</v>
      </c>
      <c r="T12388" t="s">
        <v>49023</v>
      </c>
      <c r="U12388" t="s">
        <v>59774</v>
      </c>
      <c r="W12388" t="s">
        <v>46031</v>
      </c>
      <c r="X12388" t="s">
        <v>47321</v>
      </c>
    </row>
    <row r="12389" spans="1:24">
      <c r="A12389">
        <f>HYPERLINK("https://www.philgeps.gov.ph/GEPSNONPILOT/Tender/SplashBidNoticeAbstractUI.aspx?menuIndex=3&amp;refID=7166614&amp;Result=3","7166614")</f>
        <v>0</v>
      </c>
      <c r="B12389" t="s">
        <v>1738</v>
      </c>
      <c r="C12389" t="s">
        <v>15568</v>
      </c>
      <c r="E12389" t="s">
        <v>29609</v>
      </c>
      <c r="F12389" t="s">
        <v>32606</v>
      </c>
      <c r="G12389" t="s">
        <v>32613</v>
      </c>
      <c r="H12389" t="s">
        <v>14201</v>
      </c>
      <c r="I12389" t="s">
        <v>32640</v>
      </c>
      <c r="J12389" t="s">
        <v>40440</v>
      </c>
      <c r="K12389" t="s">
        <v>42624</v>
      </c>
      <c r="M12389" t="s">
        <v>45596</v>
      </c>
      <c r="N12389" t="s">
        <v>47304</v>
      </c>
      <c r="O12389" t="s">
        <v>47305</v>
      </c>
      <c r="P12389">
        <v>0</v>
      </c>
      <c r="Q12389">
        <v>17</v>
      </c>
      <c r="R12389" t="s">
        <v>47319</v>
      </c>
      <c r="S12389" t="s">
        <v>47813</v>
      </c>
      <c r="T12389" t="s">
        <v>49163</v>
      </c>
      <c r="U12389" t="s">
        <v>54315</v>
      </c>
      <c r="W12389" t="s">
        <v>45596</v>
      </c>
      <c r="X12389" t="s">
        <v>47322</v>
      </c>
    </row>
    <row r="12390" spans="1:24">
      <c r="A12390">
        <f>HYPERLINK("https://www.philgeps.gov.ph/GEPSNONPILOT/Tender/SplashBidNoticeAbstractUI.aspx?menuIndex=3&amp;refID=7165409&amp;Result=3","7165409")</f>
        <v>0</v>
      </c>
      <c r="B12390" t="s">
        <v>3217</v>
      </c>
      <c r="C12390" t="s">
        <v>15569</v>
      </c>
      <c r="E12390" t="s">
        <v>29610</v>
      </c>
      <c r="F12390" t="s">
        <v>32606</v>
      </c>
      <c r="G12390" t="s">
        <v>32613</v>
      </c>
      <c r="H12390" t="s">
        <v>32623</v>
      </c>
      <c r="I12390" t="s">
        <v>17648</v>
      </c>
      <c r="J12390" t="s">
        <v>40441</v>
      </c>
      <c r="K12390" t="s">
        <v>42624</v>
      </c>
      <c r="M12390" t="s">
        <v>46443</v>
      </c>
      <c r="N12390" t="s">
        <v>47304</v>
      </c>
      <c r="O12390" t="s">
        <v>47305</v>
      </c>
      <c r="Q12390">
        <v>7</v>
      </c>
      <c r="R12390" t="s">
        <v>47319</v>
      </c>
      <c r="S12390" t="s">
        <v>47821</v>
      </c>
      <c r="T12390" t="s">
        <v>48994</v>
      </c>
      <c r="U12390" t="s">
        <v>59775</v>
      </c>
      <c r="V12390" t="s">
        <v>63986</v>
      </c>
      <c r="W12390" t="s">
        <v>46443</v>
      </c>
      <c r="X12390" t="s">
        <v>47322</v>
      </c>
    </row>
    <row r="12391" spans="1:24">
      <c r="A12391">
        <f>HYPERLINK("https://www.philgeps.gov.ph/GEPSNONPILOT/Tender/SplashBidNoticeAbstractUI.aspx?menuIndex=3&amp;refID=7166568&amp;Result=3","7166568")</f>
        <v>0</v>
      </c>
      <c r="B12391" t="s">
        <v>1738</v>
      </c>
      <c r="C12391" t="s">
        <v>15570</v>
      </c>
      <c r="E12391" t="s">
        <v>29611</v>
      </c>
      <c r="F12391" t="s">
        <v>32606</v>
      </c>
      <c r="G12391" t="s">
        <v>32613</v>
      </c>
      <c r="H12391" t="s">
        <v>14201</v>
      </c>
      <c r="I12391" t="s">
        <v>32640</v>
      </c>
      <c r="J12391" t="s">
        <v>32767</v>
      </c>
      <c r="K12391" t="s">
        <v>42624</v>
      </c>
      <c r="M12391" t="s">
        <v>45596</v>
      </c>
      <c r="N12391" t="s">
        <v>47304</v>
      </c>
      <c r="O12391" t="s">
        <v>47305</v>
      </c>
      <c r="P12391">
        <v>0</v>
      </c>
      <c r="Q12391">
        <v>21</v>
      </c>
      <c r="R12391" t="s">
        <v>47319</v>
      </c>
      <c r="S12391" t="s">
        <v>47813</v>
      </c>
      <c r="T12391" t="s">
        <v>49163</v>
      </c>
      <c r="U12391" t="s">
        <v>54315</v>
      </c>
      <c r="W12391" t="s">
        <v>45596</v>
      </c>
      <c r="X12391" t="s">
        <v>47322</v>
      </c>
    </row>
    <row r="12392" spans="1:24">
      <c r="A12392">
        <f>HYPERLINK("https://www.philgeps.gov.ph/GEPSNONPILOT/Tender/SplashBidNoticeAbstractUI.aspx?menuIndex=3&amp;refID=7166534&amp;Result=3","7166534")</f>
        <v>0</v>
      </c>
      <c r="B12392" t="s">
        <v>497</v>
      </c>
      <c r="C12392" t="s">
        <v>5048</v>
      </c>
      <c r="D12392" t="s">
        <v>18991</v>
      </c>
      <c r="E12392" t="s">
        <v>29612</v>
      </c>
      <c r="F12392" t="s">
        <v>32606</v>
      </c>
      <c r="G12392" t="s">
        <v>32613</v>
      </c>
      <c r="H12392" t="s">
        <v>14201</v>
      </c>
      <c r="I12392" t="s">
        <v>4678</v>
      </c>
      <c r="J12392" t="s">
        <v>40442</v>
      </c>
      <c r="K12392" t="s">
        <v>42624</v>
      </c>
      <c r="M12392" t="s">
        <v>46356</v>
      </c>
      <c r="N12392" t="s">
        <v>47304</v>
      </c>
      <c r="O12392" t="s">
        <v>47305</v>
      </c>
      <c r="P12392">
        <v>0</v>
      </c>
      <c r="Q12392">
        <v>5</v>
      </c>
      <c r="R12392" t="s">
        <v>47319</v>
      </c>
      <c r="S12392" t="s">
        <v>47813</v>
      </c>
      <c r="T12392" t="s">
        <v>49041</v>
      </c>
      <c r="U12392" t="s">
        <v>59776</v>
      </c>
      <c r="W12392" t="s">
        <v>46356</v>
      </c>
      <c r="X12392" t="s">
        <v>47322</v>
      </c>
    </row>
    <row r="12393" spans="1:24">
      <c r="A12393">
        <f>HYPERLINK("https://www.philgeps.gov.ph/GEPSNONPILOT/Tender/SplashBidNoticeAbstractUI.aspx?menuIndex=3&amp;refID=7168106&amp;Result=3","7168106")</f>
        <v>0</v>
      </c>
      <c r="B12393" t="s">
        <v>688</v>
      </c>
      <c r="C12393" t="s">
        <v>15571</v>
      </c>
      <c r="D12393" t="s">
        <v>19089</v>
      </c>
      <c r="E12393" t="s">
        <v>29613</v>
      </c>
      <c r="F12393" t="s">
        <v>32606</v>
      </c>
      <c r="G12393" t="s">
        <v>32613</v>
      </c>
      <c r="H12393" t="s">
        <v>14201</v>
      </c>
      <c r="I12393" t="s">
        <v>32650</v>
      </c>
      <c r="J12393" t="s">
        <v>40443</v>
      </c>
      <c r="K12393" t="s">
        <v>42639</v>
      </c>
      <c r="M12393" t="s">
        <v>43805</v>
      </c>
      <c r="N12393" t="s">
        <v>47304</v>
      </c>
      <c r="O12393" t="s">
        <v>47305</v>
      </c>
      <c r="Q12393">
        <v>7</v>
      </c>
      <c r="R12393" t="s">
        <v>47319</v>
      </c>
      <c r="S12393" t="s">
        <v>47822</v>
      </c>
      <c r="T12393" t="s">
        <v>48971</v>
      </c>
      <c r="U12393" t="s">
        <v>59777</v>
      </c>
      <c r="W12393" t="s">
        <v>43805</v>
      </c>
      <c r="X12393" t="s">
        <v>47321</v>
      </c>
    </row>
    <row r="12394" spans="1:24">
      <c r="A12394">
        <f>HYPERLINK("https://www.philgeps.gov.ph/GEPSNONPILOT/Tender/SplashBidNoticeAbstractUI.aspx?menuIndex=3&amp;refID=7168332&amp;Result=3","7168332")</f>
        <v>0</v>
      </c>
      <c r="B12394" t="s">
        <v>2473</v>
      </c>
      <c r="C12394" t="s">
        <v>15572</v>
      </c>
      <c r="D12394" t="s">
        <v>19008</v>
      </c>
      <c r="E12394" t="s">
        <v>29614</v>
      </c>
      <c r="F12394" t="s">
        <v>32606</v>
      </c>
      <c r="G12394" t="s">
        <v>32613</v>
      </c>
      <c r="H12394" t="s">
        <v>14201</v>
      </c>
      <c r="I12394" t="s">
        <v>32633</v>
      </c>
      <c r="J12394" t="s">
        <v>40444</v>
      </c>
      <c r="K12394" t="s">
        <v>42622</v>
      </c>
      <c r="M12394" t="s">
        <v>45608</v>
      </c>
      <c r="N12394" t="s">
        <v>47304</v>
      </c>
      <c r="O12394" t="s">
        <v>47305</v>
      </c>
      <c r="P12394">
        <v>0</v>
      </c>
      <c r="Q12394">
        <v>10</v>
      </c>
      <c r="R12394" t="s">
        <v>47319</v>
      </c>
      <c r="S12394" t="s">
        <v>47813</v>
      </c>
      <c r="T12394" t="s">
        <v>49065</v>
      </c>
      <c r="U12394" t="s">
        <v>59778</v>
      </c>
      <c r="W12394" t="s">
        <v>45608</v>
      </c>
      <c r="X12394" t="s">
        <v>47321</v>
      </c>
    </row>
    <row r="12395" spans="1:24">
      <c r="A12395">
        <f>HYPERLINK("https://www.philgeps.gov.ph/GEPSNONPILOT/Tender/SplashBidNoticeAbstractUI.aspx?menuIndex=3&amp;refID=7168865&amp;Result=3","7168865")</f>
        <v>0</v>
      </c>
      <c r="B12395" t="s">
        <v>3490</v>
      </c>
      <c r="C12395" t="s">
        <v>15573</v>
      </c>
      <c r="D12395" t="s">
        <v>19040</v>
      </c>
      <c r="E12395" t="s">
        <v>29615</v>
      </c>
      <c r="F12395" t="s">
        <v>32606</v>
      </c>
      <c r="G12395" t="s">
        <v>32613</v>
      </c>
      <c r="H12395" t="s">
        <v>32623</v>
      </c>
      <c r="I12395" t="s">
        <v>17648</v>
      </c>
      <c r="J12395" t="s">
        <v>32789</v>
      </c>
      <c r="K12395" t="s">
        <v>42759</v>
      </c>
      <c r="M12395" t="s">
        <v>46756</v>
      </c>
      <c r="N12395" t="s">
        <v>47304</v>
      </c>
      <c r="O12395" t="s">
        <v>47305</v>
      </c>
      <c r="P12395">
        <v>0</v>
      </c>
      <c r="Q12395">
        <v>0</v>
      </c>
      <c r="R12395" t="s">
        <v>47319</v>
      </c>
      <c r="S12395" t="s">
        <v>47813</v>
      </c>
      <c r="T12395" t="s">
        <v>49020</v>
      </c>
      <c r="U12395" t="s">
        <v>59779</v>
      </c>
      <c r="V12395" t="s">
        <v>63987</v>
      </c>
      <c r="W12395" t="s">
        <v>46756</v>
      </c>
      <c r="X12395" t="s">
        <v>47321</v>
      </c>
    </row>
    <row r="12396" spans="1:24">
      <c r="A12396">
        <f>HYPERLINK("https://www.philgeps.gov.ph/GEPSNONPILOT/Tender/SplashBidNoticeAbstractUI.aspx?menuIndex=3&amp;refID=7167521&amp;Result=3","7167521")</f>
        <v>0</v>
      </c>
      <c r="B12396" t="s">
        <v>3289</v>
      </c>
      <c r="C12396" t="s">
        <v>15574</v>
      </c>
      <c r="D12396" t="s">
        <v>18991</v>
      </c>
      <c r="E12396" t="s">
        <v>29616</v>
      </c>
      <c r="F12396" t="s">
        <v>32606</v>
      </c>
      <c r="G12396" t="s">
        <v>32613</v>
      </c>
      <c r="H12396" t="s">
        <v>14201</v>
      </c>
      <c r="I12396" t="s">
        <v>6931</v>
      </c>
      <c r="J12396" t="s">
        <v>40445</v>
      </c>
      <c r="K12396" t="s">
        <v>42622</v>
      </c>
      <c r="M12396" t="s">
        <v>46527</v>
      </c>
      <c r="N12396" t="s">
        <v>47304</v>
      </c>
      <c r="O12396" t="s">
        <v>47305</v>
      </c>
      <c r="P12396">
        <v>0</v>
      </c>
      <c r="Q12396">
        <v>0</v>
      </c>
      <c r="R12396" t="s">
        <v>47319</v>
      </c>
      <c r="S12396" t="s">
        <v>47813</v>
      </c>
      <c r="T12396" t="s">
        <v>48996</v>
      </c>
      <c r="U12396" t="s">
        <v>59780</v>
      </c>
      <c r="V12396" t="s">
        <v>51649</v>
      </c>
      <c r="W12396" t="s">
        <v>46527</v>
      </c>
      <c r="X12396" t="s">
        <v>47322</v>
      </c>
    </row>
    <row r="12397" spans="1:24">
      <c r="A12397">
        <f>HYPERLINK("https://www.philgeps.gov.ph/GEPSNONPILOT/Tender/SplashBidNoticeAbstractUI.aspx?menuIndex=3&amp;refID=7169357&amp;Result=3","7169357")</f>
        <v>0</v>
      </c>
      <c r="B12397" t="s">
        <v>3491</v>
      </c>
      <c r="C12397" t="s">
        <v>15575</v>
      </c>
      <c r="D12397" t="s">
        <v>19068</v>
      </c>
      <c r="E12397" t="s">
        <v>29617</v>
      </c>
      <c r="F12397" t="s">
        <v>32606</v>
      </c>
      <c r="G12397" t="s">
        <v>32613</v>
      </c>
      <c r="H12397" t="s">
        <v>32623</v>
      </c>
      <c r="I12397" t="s">
        <v>17648</v>
      </c>
      <c r="J12397" t="s">
        <v>40446</v>
      </c>
      <c r="K12397" t="s">
        <v>42768</v>
      </c>
      <c r="M12397" t="s">
        <v>46757</v>
      </c>
      <c r="N12397" t="s">
        <v>47304</v>
      </c>
      <c r="O12397" t="s">
        <v>47305</v>
      </c>
      <c r="P12397">
        <v>0</v>
      </c>
      <c r="Q12397">
        <v>0</v>
      </c>
      <c r="R12397" t="s">
        <v>47319</v>
      </c>
      <c r="S12397" t="s">
        <v>47813</v>
      </c>
      <c r="T12397" t="s">
        <v>48986</v>
      </c>
      <c r="U12397" t="s">
        <v>59781</v>
      </c>
      <c r="V12397" t="s">
        <v>63988</v>
      </c>
      <c r="W12397" t="s">
        <v>46757</v>
      </c>
      <c r="X12397" t="s">
        <v>47321</v>
      </c>
    </row>
    <row r="12398" spans="1:24">
      <c r="A12398">
        <f>HYPERLINK("https://www.philgeps.gov.ph/GEPSNONPILOT/Tender/SplashBidNoticeAbstractUI.aspx?menuIndex=3&amp;refID=7169216&amp;Result=3","7169216")</f>
        <v>0</v>
      </c>
      <c r="B12398" t="s">
        <v>3492</v>
      </c>
      <c r="C12398" t="s">
        <v>15576</v>
      </c>
      <c r="D12398" t="s">
        <v>19052</v>
      </c>
      <c r="E12398" t="s">
        <v>15576</v>
      </c>
      <c r="F12398" t="s">
        <v>32606</v>
      </c>
      <c r="G12398" t="s">
        <v>32613</v>
      </c>
      <c r="H12398" t="s">
        <v>14201</v>
      </c>
      <c r="I12398" t="s">
        <v>32737</v>
      </c>
      <c r="J12398" t="s">
        <v>34329</v>
      </c>
      <c r="K12398" t="s">
        <v>42623</v>
      </c>
      <c r="M12398" t="s">
        <v>46758</v>
      </c>
      <c r="N12398" t="s">
        <v>47304</v>
      </c>
      <c r="O12398" t="s">
        <v>47305</v>
      </c>
      <c r="P12398">
        <v>0</v>
      </c>
      <c r="Q12398">
        <v>1</v>
      </c>
      <c r="R12398" t="s">
        <v>47319</v>
      </c>
      <c r="S12398" t="s">
        <v>47813</v>
      </c>
      <c r="T12398" t="s">
        <v>49016</v>
      </c>
      <c r="U12398" t="s">
        <v>59782</v>
      </c>
      <c r="W12398" t="s">
        <v>46758</v>
      </c>
      <c r="X12398" t="s">
        <v>47321</v>
      </c>
    </row>
    <row r="12399" spans="1:24">
      <c r="A12399">
        <f>HYPERLINK("https://www.philgeps.gov.ph/GEPSNONPILOT/Tender/SplashBidNoticeAbstractUI.aspx?menuIndex=3&amp;refID=7166576&amp;Result=3","7166576")</f>
        <v>0</v>
      </c>
      <c r="B12399" t="s">
        <v>497</v>
      </c>
      <c r="C12399" t="s">
        <v>5665</v>
      </c>
      <c r="D12399" t="s">
        <v>18991</v>
      </c>
      <c r="E12399" t="s">
        <v>29618</v>
      </c>
      <c r="F12399" t="s">
        <v>32606</v>
      </c>
      <c r="G12399" t="s">
        <v>32613</v>
      </c>
      <c r="H12399" t="s">
        <v>14201</v>
      </c>
      <c r="I12399" t="s">
        <v>7677</v>
      </c>
      <c r="J12399" t="s">
        <v>40447</v>
      </c>
      <c r="K12399" t="s">
        <v>42624</v>
      </c>
      <c r="M12399" t="s">
        <v>46356</v>
      </c>
      <c r="N12399" t="s">
        <v>47304</v>
      </c>
      <c r="O12399" t="s">
        <v>47305</v>
      </c>
      <c r="P12399">
        <v>0</v>
      </c>
      <c r="Q12399">
        <v>2</v>
      </c>
      <c r="R12399" t="s">
        <v>47319</v>
      </c>
      <c r="S12399" t="s">
        <v>47813</v>
      </c>
      <c r="T12399" t="s">
        <v>49041</v>
      </c>
      <c r="U12399" t="s">
        <v>59783</v>
      </c>
      <c r="W12399" t="s">
        <v>46356</v>
      </c>
      <c r="X12399" t="s">
        <v>47322</v>
      </c>
    </row>
    <row r="12400" spans="1:24">
      <c r="A12400">
        <f>HYPERLINK("https://www.philgeps.gov.ph/GEPSNONPILOT/Tender/SplashBidNoticeAbstractUI.aspx?menuIndex=3&amp;refID=7169195&amp;Result=3","7169195")</f>
        <v>0</v>
      </c>
      <c r="B12400" t="s">
        <v>1830</v>
      </c>
      <c r="C12400" t="s">
        <v>15577</v>
      </c>
      <c r="D12400" t="s">
        <v>19052</v>
      </c>
      <c r="E12400" t="s">
        <v>29619</v>
      </c>
      <c r="F12400" t="s">
        <v>32606</v>
      </c>
      <c r="G12400" t="s">
        <v>32613</v>
      </c>
      <c r="H12400" t="s">
        <v>32623</v>
      </c>
      <c r="I12400" t="s">
        <v>17648</v>
      </c>
      <c r="J12400" t="s">
        <v>33771</v>
      </c>
      <c r="K12400" t="s">
        <v>42648</v>
      </c>
      <c r="M12400" t="s">
        <v>44877</v>
      </c>
      <c r="N12400" t="s">
        <v>47304</v>
      </c>
      <c r="O12400" t="s">
        <v>47305</v>
      </c>
      <c r="P12400">
        <v>0</v>
      </c>
      <c r="Q12400">
        <v>0</v>
      </c>
      <c r="R12400" t="s">
        <v>47319</v>
      </c>
      <c r="S12400" t="s">
        <v>47813</v>
      </c>
      <c r="T12400" t="s">
        <v>48986</v>
      </c>
      <c r="U12400" t="s">
        <v>59784</v>
      </c>
      <c r="V12400" t="s">
        <v>63989</v>
      </c>
      <c r="W12400" t="s">
        <v>44877</v>
      </c>
      <c r="X12400" t="s">
        <v>47321</v>
      </c>
    </row>
    <row r="12401" spans="1:24">
      <c r="A12401">
        <f>HYPERLINK("https://www.philgeps.gov.ph/GEPSNONPILOT/Tender/SplashBidNoticeAbstractUI.aspx?menuIndex=3&amp;refID=7169147&amp;Result=3","7169147")</f>
        <v>0</v>
      </c>
      <c r="B12401" t="s">
        <v>1738</v>
      </c>
      <c r="C12401" t="s">
        <v>15578</v>
      </c>
      <c r="E12401" t="s">
        <v>29620</v>
      </c>
      <c r="F12401" t="s">
        <v>32606</v>
      </c>
      <c r="G12401" t="s">
        <v>32613</v>
      </c>
      <c r="H12401" t="s">
        <v>14201</v>
      </c>
      <c r="I12401" t="s">
        <v>32638</v>
      </c>
      <c r="J12401" t="s">
        <v>40448</v>
      </c>
      <c r="K12401" t="s">
        <v>42624</v>
      </c>
      <c r="M12401" t="s">
        <v>45596</v>
      </c>
      <c r="N12401" t="s">
        <v>47304</v>
      </c>
      <c r="O12401" t="s">
        <v>47305</v>
      </c>
      <c r="P12401">
        <v>0</v>
      </c>
      <c r="Q12401">
        <v>12</v>
      </c>
      <c r="R12401" t="s">
        <v>47319</v>
      </c>
      <c r="S12401" t="s">
        <v>47813</v>
      </c>
      <c r="T12401" t="s">
        <v>49163</v>
      </c>
      <c r="U12401" t="s">
        <v>54315</v>
      </c>
      <c r="W12401" t="s">
        <v>45596</v>
      </c>
      <c r="X12401" t="s">
        <v>47321</v>
      </c>
    </row>
    <row r="12402" spans="1:24">
      <c r="A12402">
        <f>HYPERLINK("https://www.philgeps.gov.ph/GEPSNONPILOT/Tender/SplashBidNoticeAbstractUI.aspx?menuIndex=3&amp;refID=7169062&amp;Result=3","7169062")</f>
        <v>0</v>
      </c>
      <c r="B12402" t="s">
        <v>1830</v>
      </c>
      <c r="C12402" t="s">
        <v>15579</v>
      </c>
      <c r="D12402" t="s">
        <v>19052</v>
      </c>
      <c r="E12402" t="s">
        <v>29621</v>
      </c>
      <c r="F12402" t="s">
        <v>32606</v>
      </c>
      <c r="G12402" t="s">
        <v>32613</v>
      </c>
      <c r="H12402" t="s">
        <v>32623</v>
      </c>
      <c r="I12402" t="s">
        <v>17648</v>
      </c>
      <c r="J12402" t="s">
        <v>32795</v>
      </c>
      <c r="K12402" t="s">
        <v>42712</v>
      </c>
      <c r="M12402" t="s">
        <v>44877</v>
      </c>
      <c r="N12402" t="s">
        <v>47304</v>
      </c>
      <c r="O12402" t="s">
        <v>47305</v>
      </c>
      <c r="P12402">
        <v>0</v>
      </c>
      <c r="Q12402">
        <v>0</v>
      </c>
      <c r="R12402" t="s">
        <v>47319</v>
      </c>
      <c r="S12402" t="s">
        <v>47813</v>
      </c>
      <c r="T12402" t="s">
        <v>49023</v>
      </c>
      <c r="U12402" t="s">
        <v>59785</v>
      </c>
      <c r="V12402" t="s">
        <v>63989</v>
      </c>
      <c r="W12402" t="s">
        <v>44877</v>
      </c>
      <c r="X12402" t="s">
        <v>47321</v>
      </c>
    </row>
    <row r="12403" spans="1:24">
      <c r="A12403">
        <f>HYPERLINK("https://www.philgeps.gov.ph/GEPSNONPILOT/Tender/SplashBidNoticeAbstractUI.aspx?menuIndex=3&amp;refID=7169010&amp;Result=3","7169010")</f>
        <v>0</v>
      </c>
      <c r="B12403" t="s">
        <v>3492</v>
      </c>
      <c r="C12403" t="s">
        <v>15580</v>
      </c>
      <c r="D12403" t="s">
        <v>19052</v>
      </c>
      <c r="E12403" t="s">
        <v>29622</v>
      </c>
      <c r="F12403" t="s">
        <v>32606</v>
      </c>
      <c r="G12403" t="s">
        <v>32613</v>
      </c>
      <c r="H12403" t="s">
        <v>14201</v>
      </c>
      <c r="I12403" t="s">
        <v>7677</v>
      </c>
      <c r="J12403" t="s">
        <v>40449</v>
      </c>
      <c r="K12403" t="s">
        <v>42623</v>
      </c>
      <c r="M12403" t="s">
        <v>46758</v>
      </c>
      <c r="N12403" t="s">
        <v>47304</v>
      </c>
      <c r="O12403" t="s">
        <v>47305</v>
      </c>
      <c r="P12403">
        <v>0</v>
      </c>
      <c r="Q12403">
        <v>1</v>
      </c>
      <c r="R12403" t="s">
        <v>47319</v>
      </c>
      <c r="S12403" t="s">
        <v>47813</v>
      </c>
      <c r="T12403" t="s">
        <v>49016</v>
      </c>
      <c r="U12403" t="s">
        <v>59786</v>
      </c>
      <c r="W12403" t="s">
        <v>46758</v>
      </c>
      <c r="X12403" t="s">
        <v>47321</v>
      </c>
    </row>
    <row r="12404" spans="1:24">
      <c r="A12404">
        <f>HYPERLINK("https://www.philgeps.gov.ph/GEPSNONPILOT/Tender/SplashBidNoticeAbstractUI.aspx?menuIndex=3&amp;refID=7169421&amp;Result=3","7169421")</f>
        <v>0</v>
      </c>
      <c r="B12404" t="s">
        <v>3493</v>
      </c>
      <c r="C12404" t="s">
        <v>15581</v>
      </c>
      <c r="E12404" t="s">
        <v>29623</v>
      </c>
      <c r="F12404" t="s">
        <v>32606</v>
      </c>
      <c r="G12404" t="s">
        <v>32613</v>
      </c>
      <c r="H12404" t="s">
        <v>32623</v>
      </c>
      <c r="I12404" t="s">
        <v>17648</v>
      </c>
      <c r="J12404" t="s">
        <v>40450</v>
      </c>
      <c r="K12404" t="s">
        <v>42624</v>
      </c>
      <c r="M12404" t="s">
        <v>46759</v>
      </c>
      <c r="N12404" t="s">
        <v>47304</v>
      </c>
      <c r="O12404" t="s">
        <v>47305</v>
      </c>
      <c r="P12404">
        <v>0</v>
      </c>
      <c r="Q12404">
        <v>2</v>
      </c>
      <c r="R12404" t="s">
        <v>47319</v>
      </c>
      <c r="S12404" t="s">
        <v>47813</v>
      </c>
      <c r="T12404" t="s">
        <v>49020</v>
      </c>
      <c r="U12404" t="s">
        <v>59787</v>
      </c>
      <c r="W12404" t="s">
        <v>46759</v>
      </c>
      <c r="X12404" t="s">
        <v>47321</v>
      </c>
    </row>
    <row r="12405" spans="1:24">
      <c r="A12405">
        <f>HYPERLINK("https://www.philgeps.gov.ph/GEPSNONPILOT/Tender/SplashBidNoticeAbstractUI.aspx?menuIndex=3&amp;refID=7169020&amp;Result=3","7169020")</f>
        <v>0</v>
      </c>
      <c r="B12405" t="s">
        <v>2967</v>
      </c>
      <c r="C12405" t="s">
        <v>15582</v>
      </c>
      <c r="D12405" t="s">
        <v>19011</v>
      </c>
      <c r="E12405" t="s">
        <v>29624</v>
      </c>
      <c r="F12405" t="s">
        <v>32606</v>
      </c>
      <c r="G12405" t="s">
        <v>32613</v>
      </c>
      <c r="H12405" t="s">
        <v>14201</v>
      </c>
      <c r="I12405" t="s">
        <v>4678</v>
      </c>
      <c r="J12405" t="s">
        <v>40451</v>
      </c>
      <c r="K12405" t="s">
        <v>42627</v>
      </c>
      <c r="M12405" t="s">
        <v>46152</v>
      </c>
      <c r="N12405" t="s">
        <v>47304</v>
      </c>
      <c r="O12405" t="s">
        <v>47305</v>
      </c>
      <c r="P12405">
        <v>0</v>
      </c>
      <c r="Q12405">
        <v>3</v>
      </c>
      <c r="R12405" t="s">
        <v>47319</v>
      </c>
      <c r="S12405" t="s">
        <v>47813</v>
      </c>
      <c r="T12405" t="s">
        <v>48986</v>
      </c>
      <c r="U12405" t="s">
        <v>59788</v>
      </c>
      <c r="V12405" t="s">
        <v>63653</v>
      </c>
      <c r="W12405" t="s">
        <v>46152</v>
      </c>
      <c r="X12405" t="s">
        <v>47321</v>
      </c>
    </row>
    <row r="12406" spans="1:24">
      <c r="A12406">
        <f>HYPERLINK("https://www.philgeps.gov.ph/GEPSNONPILOT/Tender/SplashBidNoticeAbstractUI.aspx?menuIndex=3&amp;refID=7168858&amp;Result=3","7168858")</f>
        <v>0</v>
      </c>
      <c r="B12406" t="s">
        <v>3490</v>
      </c>
      <c r="C12406" t="s">
        <v>15583</v>
      </c>
      <c r="D12406" t="s">
        <v>19040</v>
      </c>
      <c r="E12406" t="s">
        <v>29625</v>
      </c>
      <c r="F12406" t="s">
        <v>32606</v>
      </c>
      <c r="G12406" t="s">
        <v>32613</v>
      </c>
      <c r="H12406" t="s">
        <v>32623</v>
      </c>
      <c r="I12406" t="s">
        <v>17648</v>
      </c>
      <c r="J12406" t="s">
        <v>40452</v>
      </c>
      <c r="K12406" t="s">
        <v>42681</v>
      </c>
      <c r="M12406" t="s">
        <v>46756</v>
      </c>
      <c r="N12406" t="s">
        <v>47304</v>
      </c>
      <c r="O12406" t="s">
        <v>47305</v>
      </c>
      <c r="P12406">
        <v>0</v>
      </c>
      <c r="Q12406">
        <v>0</v>
      </c>
      <c r="R12406" t="s">
        <v>47319</v>
      </c>
      <c r="S12406" t="s">
        <v>47813</v>
      </c>
      <c r="T12406" t="s">
        <v>49020</v>
      </c>
      <c r="U12406" t="s">
        <v>59789</v>
      </c>
      <c r="V12406" t="s">
        <v>63987</v>
      </c>
      <c r="W12406" t="s">
        <v>46756</v>
      </c>
      <c r="X12406" t="s">
        <v>47321</v>
      </c>
    </row>
    <row r="12407" spans="1:24">
      <c r="A12407">
        <f>HYPERLINK("https://www.philgeps.gov.ph/GEPSNONPILOT/Tender/SplashBidNoticeAbstractUI.aspx?menuIndex=3&amp;refID=7169143&amp;Result=3","7169143")</f>
        <v>0</v>
      </c>
      <c r="B12407" t="s">
        <v>184</v>
      </c>
      <c r="C12407" t="s">
        <v>15584</v>
      </c>
      <c r="D12407" t="s">
        <v>19042</v>
      </c>
      <c r="E12407" t="s">
        <v>29626</v>
      </c>
      <c r="F12407" t="s">
        <v>32606</v>
      </c>
      <c r="G12407" t="s">
        <v>32613</v>
      </c>
      <c r="H12407" t="s">
        <v>14201</v>
      </c>
      <c r="I12407" t="s">
        <v>7064</v>
      </c>
      <c r="J12407" t="s">
        <v>32795</v>
      </c>
      <c r="K12407" t="s">
        <v>42631</v>
      </c>
      <c r="M12407" t="s">
        <v>43085</v>
      </c>
      <c r="N12407" t="s">
        <v>47304</v>
      </c>
      <c r="O12407" t="s">
        <v>47305</v>
      </c>
      <c r="Q12407">
        <v>6</v>
      </c>
      <c r="R12407" t="s">
        <v>47319</v>
      </c>
      <c r="S12407" t="s">
        <v>47823</v>
      </c>
      <c r="T12407" t="s">
        <v>49140</v>
      </c>
      <c r="U12407" t="s">
        <v>59790</v>
      </c>
      <c r="V12407" t="s">
        <v>51084</v>
      </c>
      <c r="W12407" t="s">
        <v>43085</v>
      </c>
      <c r="X12407" t="s">
        <v>47321</v>
      </c>
    </row>
    <row r="12408" spans="1:24">
      <c r="A12408">
        <f>HYPERLINK("https://www.philgeps.gov.ph/GEPSNONPILOT/Tender/SplashBidNoticeAbstractUI.aspx?menuIndex=3&amp;refID=7168746&amp;Result=3","7168746")</f>
        <v>0</v>
      </c>
      <c r="B12408" t="s">
        <v>2473</v>
      </c>
      <c r="C12408" t="s">
        <v>15585</v>
      </c>
      <c r="D12408" t="s">
        <v>19008</v>
      </c>
      <c r="E12408" t="s">
        <v>29627</v>
      </c>
      <c r="F12408" t="s">
        <v>32606</v>
      </c>
      <c r="G12408" t="s">
        <v>32613</v>
      </c>
      <c r="H12408" t="s">
        <v>14201</v>
      </c>
      <c r="I12408" t="s">
        <v>13131</v>
      </c>
      <c r="J12408" t="s">
        <v>40453</v>
      </c>
      <c r="K12408" t="s">
        <v>42622</v>
      </c>
      <c r="M12408" t="s">
        <v>45608</v>
      </c>
      <c r="N12408" t="s">
        <v>47304</v>
      </c>
      <c r="O12408" t="s">
        <v>47305</v>
      </c>
      <c r="P12408">
        <v>0</v>
      </c>
      <c r="Q12408">
        <v>14</v>
      </c>
      <c r="R12408" t="s">
        <v>47319</v>
      </c>
      <c r="S12408" t="s">
        <v>47813</v>
      </c>
      <c r="T12408" t="s">
        <v>49065</v>
      </c>
      <c r="U12408" t="s">
        <v>59791</v>
      </c>
      <c r="W12408" t="s">
        <v>45608</v>
      </c>
      <c r="X12408" t="s">
        <v>47321</v>
      </c>
    </row>
    <row r="12409" spans="1:24">
      <c r="A12409">
        <f>HYPERLINK("https://www.philgeps.gov.ph/GEPSNONPILOT/Tender/SplashBidNoticeAbstractUI.aspx?menuIndex=3&amp;refID=7169379&amp;Result=3","7169379")</f>
        <v>0</v>
      </c>
      <c r="B12409" t="s">
        <v>1830</v>
      </c>
      <c r="C12409" t="s">
        <v>15586</v>
      </c>
      <c r="D12409" t="s">
        <v>19052</v>
      </c>
      <c r="E12409" t="s">
        <v>29628</v>
      </c>
      <c r="F12409" t="s">
        <v>32606</v>
      </c>
      <c r="G12409" t="s">
        <v>32613</v>
      </c>
      <c r="H12409" t="s">
        <v>32623</v>
      </c>
      <c r="I12409" t="s">
        <v>17648</v>
      </c>
      <c r="J12409" t="s">
        <v>32821</v>
      </c>
      <c r="K12409" t="s">
        <v>42712</v>
      </c>
      <c r="M12409" t="s">
        <v>44877</v>
      </c>
      <c r="N12409" t="s">
        <v>47304</v>
      </c>
      <c r="O12409" t="s">
        <v>47305</v>
      </c>
      <c r="P12409">
        <v>0</v>
      </c>
      <c r="Q12409">
        <v>1</v>
      </c>
      <c r="R12409" t="s">
        <v>47319</v>
      </c>
      <c r="S12409" t="s">
        <v>47813</v>
      </c>
      <c r="T12409" t="s">
        <v>49160</v>
      </c>
      <c r="U12409" t="s">
        <v>59792</v>
      </c>
      <c r="V12409" t="s">
        <v>63989</v>
      </c>
      <c r="W12409" t="s">
        <v>44877</v>
      </c>
      <c r="X12409" t="s">
        <v>47321</v>
      </c>
    </row>
    <row r="12410" spans="1:24">
      <c r="A12410">
        <f>HYPERLINK("https://www.philgeps.gov.ph/GEPSNONPILOT/Tender/SplashBidNoticeAbstractUI.aspx?menuIndex=3&amp;refID=7168862&amp;Result=3","7168862")</f>
        <v>0</v>
      </c>
      <c r="B12410" t="s">
        <v>3490</v>
      </c>
      <c r="C12410" t="s">
        <v>15587</v>
      </c>
      <c r="D12410" t="s">
        <v>19040</v>
      </c>
      <c r="E12410" t="s">
        <v>29629</v>
      </c>
      <c r="F12410" t="s">
        <v>32606</v>
      </c>
      <c r="G12410" t="s">
        <v>32613</v>
      </c>
      <c r="H12410" t="s">
        <v>32623</v>
      </c>
      <c r="I12410" t="s">
        <v>17648</v>
      </c>
      <c r="J12410" t="s">
        <v>32789</v>
      </c>
      <c r="K12410" t="s">
        <v>42623</v>
      </c>
      <c r="M12410" t="s">
        <v>46756</v>
      </c>
      <c r="N12410" t="s">
        <v>47304</v>
      </c>
      <c r="O12410" t="s">
        <v>47305</v>
      </c>
      <c r="P12410">
        <v>0</v>
      </c>
      <c r="Q12410">
        <v>0</v>
      </c>
      <c r="R12410" t="s">
        <v>47319</v>
      </c>
      <c r="S12410" t="s">
        <v>47813</v>
      </c>
      <c r="T12410" t="s">
        <v>49020</v>
      </c>
      <c r="U12410" t="s">
        <v>59793</v>
      </c>
      <c r="V12410" t="s">
        <v>63987</v>
      </c>
      <c r="W12410" t="s">
        <v>46756</v>
      </c>
      <c r="X12410" t="s">
        <v>47321</v>
      </c>
    </row>
    <row r="12411" spans="1:24">
      <c r="A12411">
        <f>HYPERLINK("https://www.philgeps.gov.ph/GEPSNONPILOT/Tender/SplashBidNoticeAbstractUI.aspx?menuIndex=3&amp;refID=7168756&amp;Result=3","7168756")</f>
        <v>0</v>
      </c>
      <c r="B12411" t="s">
        <v>197</v>
      </c>
      <c r="C12411" t="s">
        <v>15588</v>
      </c>
      <c r="D12411" t="s">
        <v>19027</v>
      </c>
      <c r="E12411" t="s">
        <v>29630</v>
      </c>
      <c r="F12411" t="s">
        <v>32606</v>
      </c>
      <c r="G12411" t="s">
        <v>32618</v>
      </c>
      <c r="H12411" t="s">
        <v>14201</v>
      </c>
      <c r="I12411" t="s">
        <v>4114</v>
      </c>
      <c r="J12411" t="s">
        <v>40454</v>
      </c>
      <c r="K12411" t="s">
        <v>42632</v>
      </c>
      <c r="M12411" t="s">
        <v>46455</v>
      </c>
      <c r="N12411" t="s">
        <v>47304</v>
      </c>
      <c r="O12411" t="s">
        <v>47305</v>
      </c>
      <c r="P12411">
        <v>0</v>
      </c>
      <c r="Q12411">
        <v>6</v>
      </c>
      <c r="R12411" t="s">
        <v>47319</v>
      </c>
      <c r="S12411" t="s">
        <v>47813</v>
      </c>
      <c r="T12411" t="s">
        <v>48971</v>
      </c>
      <c r="U12411" t="s">
        <v>59794</v>
      </c>
      <c r="W12411" t="s">
        <v>46455</v>
      </c>
      <c r="X12411" t="s">
        <v>47321</v>
      </c>
    </row>
    <row r="12412" spans="1:24">
      <c r="A12412">
        <f>HYPERLINK("https://www.philgeps.gov.ph/GEPSNONPILOT/Tender/SplashBidNoticeAbstractUI.aspx?menuIndex=3&amp;refID=7170547&amp;Result=3","7170547")</f>
        <v>0</v>
      </c>
      <c r="B12412" t="s">
        <v>3494</v>
      </c>
      <c r="C12412" t="s">
        <v>15589</v>
      </c>
      <c r="D12412" t="s">
        <v>19000</v>
      </c>
      <c r="E12412" t="s">
        <v>29631</v>
      </c>
      <c r="F12412" t="s">
        <v>32606</v>
      </c>
      <c r="G12412" t="s">
        <v>32613</v>
      </c>
      <c r="H12412" t="s">
        <v>32623</v>
      </c>
      <c r="I12412" t="s">
        <v>17648</v>
      </c>
      <c r="J12412" t="s">
        <v>40455</v>
      </c>
      <c r="K12412" t="s">
        <v>42646</v>
      </c>
      <c r="M12412" t="s">
        <v>46760</v>
      </c>
      <c r="N12412" t="s">
        <v>47304</v>
      </c>
      <c r="O12412" t="s">
        <v>47305</v>
      </c>
      <c r="P12412">
        <v>0</v>
      </c>
      <c r="Q12412">
        <v>5</v>
      </c>
      <c r="R12412" t="s">
        <v>47319</v>
      </c>
      <c r="S12412" t="s">
        <v>47813</v>
      </c>
      <c r="T12412" t="s">
        <v>48986</v>
      </c>
      <c r="U12412" t="s">
        <v>59795</v>
      </c>
      <c r="W12412" t="s">
        <v>46760</v>
      </c>
      <c r="X12412" t="s">
        <v>47321</v>
      </c>
    </row>
    <row r="12413" spans="1:24">
      <c r="A12413">
        <f>HYPERLINK("https://www.philgeps.gov.ph/GEPSNONPILOT/Tender/SplashBidNoticeAbstractUI.aspx?menuIndex=3&amp;refID=7168854&amp;Result=3","7168854")</f>
        <v>0</v>
      </c>
      <c r="B12413" t="s">
        <v>3490</v>
      </c>
      <c r="C12413" t="s">
        <v>15590</v>
      </c>
      <c r="D12413" t="s">
        <v>19040</v>
      </c>
      <c r="E12413" t="s">
        <v>29632</v>
      </c>
      <c r="F12413" t="s">
        <v>32606</v>
      </c>
      <c r="G12413" t="s">
        <v>32613</v>
      </c>
      <c r="H12413" t="s">
        <v>32623</v>
      </c>
      <c r="I12413" t="s">
        <v>17648</v>
      </c>
      <c r="J12413" t="s">
        <v>32765</v>
      </c>
      <c r="K12413" t="s">
        <v>42638</v>
      </c>
      <c r="M12413" t="s">
        <v>46756</v>
      </c>
      <c r="N12413" t="s">
        <v>47304</v>
      </c>
      <c r="O12413" t="s">
        <v>47305</v>
      </c>
      <c r="P12413">
        <v>0</v>
      </c>
      <c r="Q12413">
        <v>0</v>
      </c>
      <c r="R12413" t="s">
        <v>47319</v>
      </c>
      <c r="S12413" t="s">
        <v>47813</v>
      </c>
      <c r="T12413" t="s">
        <v>49020</v>
      </c>
      <c r="U12413" t="s">
        <v>59796</v>
      </c>
      <c r="V12413" t="s">
        <v>63987</v>
      </c>
      <c r="W12413" t="s">
        <v>46756</v>
      </c>
      <c r="X12413" t="s">
        <v>47321</v>
      </c>
    </row>
    <row r="12414" spans="1:24">
      <c r="A12414">
        <f>HYPERLINK("https://www.philgeps.gov.ph/GEPSNONPILOT/Tender/SplashBidNoticeAbstractUI.aspx?menuIndex=3&amp;refID=7170506&amp;Result=3","7170506")</f>
        <v>0</v>
      </c>
      <c r="B12414" t="s">
        <v>3494</v>
      </c>
      <c r="C12414" t="s">
        <v>15591</v>
      </c>
      <c r="D12414" t="s">
        <v>19000</v>
      </c>
      <c r="E12414" t="s">
        <v>29633</v>
      </c>
      <c r="F12414" t="s">
        <v>32606</v>
      </c>
      <c r="G12414" t="s">
        <v>32613</v>
      </c>
      <c r="H12414" t="s">
        <v>14201</v>
      </c>
      <c r="I12414" t="s">
        <v>7064</v>
      </c>
      <c r="J12414" t="s">
        <v>32795</v>
      </c>
      <c r="K12414" t="s">
        <v>42636</v>
      </c>
      <c r="M12414" t="s">
        <v>46760</v>
      </c>
      <c r="N12414" t="s">
        <v>47304</v>
      </c>
      <c r="O12414" t="s">
        <v>47305</v>
      </c>
      <c r="P12414">
        <v>0</v>
      </c>
      <c r="Q12414">
        <v>7</v>
      </c>
      <c r="R12414" t="s">
        <v>47319</v>
      </c>
      <c r="S12414" t="s">
        <v>47813</v>
      </c>
      <c r="T12414" t="s">
        <v>48986</v>
      </c>
      <c r="U12414" t="s">
        <v>59797</v>
      </c>
      <c r="W12414" t="s">
        <v>46760</v>
      </c>
      <c r="X12414" t="s">
        <v>47321</v>
      </c>
    </row>
    <row r="12415" spans="1:24">
      <c r="A12415">
        <f>HYPERLINK("https://www.philgeps.gov.ph/GEPSNONPILOT/Tender/SplashBidNoticeAbstractUI.aspx?menuIndex=3&amp;refID=7170483&amp;Result=3","7170483")</f>
        <v>0</v>
      </c>
      <c r="B12415" t="s">
        <v>3494</v>
      </c>
      <c r="C12415" t="s">
        <v>15592</v>
      </c>
      <c r="D12415" t="s">
        <v>19000</v>
      </c>
      <c r="E12415" t="s">
        <v>29634</v>
      </c>
      <c r="F12415" t="s">
        <v>32606</v>
      </c>
      <c r="G12415" t="s">
        <v>32613</v>
      </c>
      <c r="H12415" t="s">
        <v>32623</v>
      </c>
      <c r="I12415" t="s">
        <v>17648</v>
      </c>
      <c r="J12415" t="s">
        <v>40456</v>
      </c>
      <c r="K12415" t="s">
        <v>42667</v>
      </c>
      <c r="M12415" t="s">
        <v>46760</v>
      </c>
      <c r="N12415" t="s">
        <v>47304</v>
      </c>
      <c r="O12415" t="s">
        <v>47305</v>
      </c>
      <c r="P12415">
        <v>0</v>
      </c>
      <c r="Q12415">
        <v>3</v>
      </c>
      <c r="R12415" t="s">
        <v>47319</v>
      </c>
      <c r="S12415" t="s">
        <v>47813</v>
      </c>
      <c r="T12415" t="s">
        <v>48977</v>
      </c>
      <c r="U12415" t="s">
        <v>59798</v>
      </c>
      <c r="W12415" t="s">
        <v>46760</v>
      </c>
      <c r="X12415" t="s">
        <v>47321</v>
      </c>
    </row>
    <row r="12416" spans="1:24">
      <c r="A12416">
        <f>HYPERLINK("https://www.philgeps.gov.ph/GEPSNONPILOT/Tender/SplashBidNoticeAbstractUI.aspx?menuIndex=3&amp;refID=7168687&amp;Result=3","7168687")</f>
        <v>0</v>
      </c>
      <c r="B12416" t="s">
        <v>2473</v>
      </c>
      <c r="C12416" t="s">
        <v>15593</v>
      </c>
      <c r="D12416" t="s">
        <v>19008</v>
      </c>
      <c r="E12416" t="s">
        <v>29635</v>
      </c>
      <c r="F12416" t="s">
        <v>32606</v>
      </c>
      <c r="G12416" t="s">
        <v>32613</v>
      </c>
      <c r="H12416" t="s">
        <v>14201</v>
      </c>
      <c r="I12416" t="s">
        <v>32732</v>
      </c>
      <c r="J12416" t="s">
        <v>33074</v>
      </c>
      <c r="K12416" t="s">
        <v>42631</v>
      </c>
      <c r="M12416" t="s">
        <v>45608</v>
      </c>
      <c r="N12416" t="s">
        <v>47304</v>
      </c>
      <c r="O12416" t="s">
        <v>47305</v>
      </c>
      <c r="P12416">
        <v>0</v>
      </c>
      <c r="Q12416">
        <v>5</v>
      </c>
      <c r="R12416" t="s">
        <v>47319</v>
      </c>
      <c r="S12416" t="s">
        <v>47813</v>
      </c>
      <c r="T12416" t="s">
        <v>49065</v>
      </c>
      <c r="U12416" t="s">
        <v>59799</v>
      </c>
      <c r="W12416" t="s">
        <v>45608</v>
      </c>
      <c r="X12416" t="s">
        <v>47321</v>
      </c>
    </row>
    <row r="12417" spans="1:24">
      <c r="A12417">
        <f>HYPERLINK("https://www.philgeps.gov.ph/GEPSNONPILOT/Tender/SplashBidNoticeAbstractUI.aspx?menuIndex=3&amp;refID=7161796&amp;Result=3","7161796")</f>
        <v>0</v>
      </c>
      <c r="B12417" t="s">
        <v>3495</v>
      </c>
      <c r="C12417" t="s">
        <v>15594</v>
      </c>
      <c r="D12417" t="s">
        <v>19072</v>
      </c>
      <c r="E12417" t="s">
        <v>29636</v>
      </c>
      <c r="F12417" t="s">
        <v>32606</v>
      </c>
      <c r="G12417" t="s">
        <v>32613</v>
      </c>
      <c r="H12417" t="s">
        <v>14201</v>
      </c>
      <c r="I12417" t="s">
        <v>32681</v>
      </c>
      <c r="J12417" t="s">
        <v>32770</v>
      </c>
      <c r="K12417" t="s">
        <v>42631</v>
      </c>
      <c r="M12417" t="s">
        <v>46761</v>
      </c>
      <c r="N12417" t="s">
        <v>47304</v>
      </c>
      <c r="O12417" t="s">
        <v>47305</v>
      </c>
      <c r="P12417">
        <v>0</v>
      </c>
      <c r="Q12417">
        <v>1</v>
      </c>
      <c r="R12417" t="s">
        <v>47319</v>
      </c>
      <c r="S12417" t="s">
        <v>47813</v>
      </c>
      <c r="T12417" t="s">
        <v>49108</v>
      </c>
      <c r="U12417" t="s">
        <v>59800</v>
      </c>
      <c r="W12417" t="s">
        <v>46761</v>
      </c>
      <c r="X12417" t="s">
        <v>47325</v>
      </c>
    </row>
    <row r="12418" spans="1:24">
      <c r="A12418">
        <f>HYPERLINK("https://www.philgeps.gov.ph/GEPSNONPILOT/Tender/SplashBidNoticeAbstractUI.aspx?menuIndex=3&amp;refID=7170400&amp;Result=3","7170400")</f>
        <v>0</v>
      </c>
      <c r="B12418" t="s">
        <v>3496</v>
      </c>
      <c r="C12418" t="s">
        <v>15595</v>
      </c>
      <c r="D12418" t="s">
        <v>19010</v>
      </c>
      <c r="E12418" t="s">
        <v>19279</v>
      </c>
      <c r="F12418" t="s">
        <v>32606</v>
      </c>
      <c r="G12418" t="s">
        <v>32613</v>
      </c>
      <c r="H12418" t="s">
        <v>32624</v>
      </c>
      <c r="I12418" t="s">
        <v>6478</v>
      </c>
      <c r="J12418" t="s">
        <v>40457</v>
      </c>
      <c r="K12418" t="s">
        <v>42630</v>
      </c>
      <c r="M12418" t="s">
        <v>46762</v>
      </c>
      <c r="N12418" t="s">
        <v>47304</v>
      </c>
      <c r="O12418" t="s">
        <v>47305</v>
      </c>
      <c r="P12418">
        <v>0</v>
      </c>
      <c r="Q12418">
        <v>1</v>
      </c>
      <c r="R12418" t="s">
        <v>47319</v>
      </c>
      <c r="S12418" t="s">
        <v>47813</v>
      </c>
      <c r="T12418" t="s">
        <v>49014</v>
      </c>
      <c r="U12418" t="s">
        <v>59801</v>
      </c>
      <c r="W12418" t="s">
        <v>46762</v>
      </c>
      <c r="X12418" t="s">
        <v>47321</v>
      </c>
    </row>
    <row r="12419" spans="1:24">
      <c r="A12419">
        <f>HYPERLINK("https://www.philgeps.gov.ph/GEPSNONPILOT/Tender/SplashBidNoticeAbstractUI.aspx?menuIndex=3&amp;refID=7170325&amp;Result=3","7170325")</f>
        <v>0</v>
      </c>
      <c r="B12419" t="s">
        <v>575</v>
      </c>
      <c r="C12419" t="s">
        <v>15596</v>
      </c>
      <c r="D12419" t="s">
        <v>19036</v>
      </c>
      <c r="E12419" t="s">
        <v>29637</v>
      </c>
      <c r="F12419" t="s">
        <v>32606</v>
      </c>
      <c r="G12419" t="s">
        <v>32615</v>
      </c>
      <c r="H12419" t="s">
        <v>14201</v>
      </c>
      <c r="I12419" t="s">
        <v>32714</v>
      </c>
      <c r="J12419" t="s">
        <v>40458</v>
      </c>
      <c r="K12419" t="s">
        <v>42622</v>
      </c>
      <c r="M12419" t="s">
        <v>44035</v>
      </c>
      <c r="N12419" t="s">
        <v>47304</v>
      </c>
      <c r="O12419" t="s">
        <v>47305</v>
      </c>
      <c r="P12419">
        <v>0</v>
      </c>
      <c r="Q12419">
        <v>11</v>
      </c>
      <c r="R12419" t="s">
        <v>47319</v>
      </c>
      <c r="S12419" t="s">
        <v>47813</v>
      </c>
      <c r="T12419" t="s">
        <v>49071</v>
      </c>
      <c r="U12419" t="s">
        <v>59802</v>
      </c>
      <c r="W12419" t="s">
        <v>44035</v>
      </c>
      <c r="X12419" t="s">
        <v>47321</v>
      </c>
    </row>
    <row r="12420" spans="1:24">
      <c r="A12420">
        <f>HYPERLINK("https://www.philgeps.gov.ph/GEPSNONPILOT/Tender/SplashBidNoticeAbstractUI.aspx?menuIndex=3&amp;refID=7170230&amp;Result=3","7170230")</f>
        <v>0</v>
      </c>
      <c r="B12420" t="s">
        <v>860</v>
      </c>
      <c r="C12420" t="s">
        <v>15597</v>
      </c>
      <c r="D12420" t="s">
        <v>18997</v>
      </c>
      <c r="E12420" t="s">
        <v>29638</v>
      </c>
      <c r="F12420" t="s">
        <v>32606</v>
      </c>
      <c r="G12420" t="s">
        <v>32613</v>
      </c>
      <c r="H12420" t="s">
        <v>32623</v>
      </c>
      <c r="I12420" t="s">
        <v>17648</v>
      </c>
      <c r="J12420" t="s">
        <v>40459</v>
      </c>
      <c r="K12420" t="s">
        <v>42645</v>
      </c>
      <c r="M12420" t="s">
        <v>43793</v>
      </c>
      <c r="N12420" t="s">
        <v>47304</v>
      </c>
      <c r="O12420" t="s">
        <v>47305</v>
      </c>
      <c r="P12420">
        <v>0</v>
      </c>
      <c r="Q12420">
        <v>5</v>
      </c>
      <c r="R12420" t="s">
        <v>47319</v>
      </c>
      <c r="S12420" t="s">
        <v>47813</v>
      </c>
      <c r="T12420" t="s">
        <v>48994</v>
      </c>
      <c r="U12420" t="s">
        <v>51177</v>
      </c>
      <c r="W12420" t="s">
        <v>43793</v>
      </c>
      <c r="X12420" t="s">
        <v>47321</v>
      </c>
    </row>
    <row r="12421" spans="1:24">
      <c r="A12421">
        <f>HYPERLINK("https://www.philgeps.gov.ph/GEPSNONPILOT/Tender/SplashBidNoticeAbstractUI.aspx?menuIndex=3&amp;refID=7170081&amp;Result=3","7170081")</f>
        <v>0</v>
      </c>
      <c r="B12421" t="s">
        <v>192</v>
      </c>
      <c r="C12421" t="s">
        <v>15598</v>
      </c>
      <c r="D12421" t="s">
        <v>19016</v>
      </c>
      <c r="E12421" t="s">
        <v>29639</v>
      </c>
      <c r="F12421" t="s">
        <v>32606</v>
      </c>
      <c r="G12421" t="s">
        <v>32619</v>
      </c>
      <c r="H12421" t="s">
        <v>14201</v>
      </c>
      <c r="I12421" t="s">
        <v>6931</v>
      </c>
      <c r="J12421" t="s">
        <v>40460</v>
      </c>
      <c r="K12421" t="s">
        <v>42624</v>
      </c>
      <c r="M12421" t="s">
        <v>43093</v>
      </c>
      <c r="N12421" t="s">
        <v>47304</v>
      </c>
      <c r="O12421" t="s">
        <v>47305</v>
      </c>
      <c r="Q12421">
        <v>1</v>
      </c>
      <c r="R12421" t="s">
        <v>47319</v>
      </c>
      <c r="S12421" t="s">
        <v>47824</v>
      </c>
      <c r="T12421" t="s">
        <v>49269</v>
      </c>
      <c r="U12421" t="s">
        <v>59803</v>
      </c>
      <c r="V12421" t="s">
        <v>62691</v>
      </c>
      <c r="W12421" t="s">
        <v>43093</v>
      </c>
      <c r="X12421" t="s">
        <v>47321</v>
      </c>
    </row>
    <row r="12422" spans="1:24">
      <c r="A12422">
        <f>HYPERLINK("https://www.philgeps.gov.ph/GEPSNONPILOT/Tender/SplashBidNoticeAbstractUI.aspx?menuIndex=3&amp;refID=7169935&amp;Result=3","7169935")</f>
        <v>0</v>
      </c>
      <c r="B12422" t="s">
        <v>42</v>
      </c>
      <c r="C12422" t="s">
        <v>15599</v>
      </c>
      <c r="E12422" t="s">
        <v>29640</v>
      </c>
      <c r="F12422" t="s">
        <v>32606</v>
      </c>
      <c r="G12422" t="s">
        <v>32613</v>
      </c>
      <c r="H12422" t="s">
        <v>14201</v>
      </c>
      <c r="I12422" t="s">
        <v>9013</v>
      </c>
      <c r="J12422" t="s">
        <v>40461</v>
      </c>
      <c r="K12422" t="s">
        <v>42630</v>
      </c>
      <c r="M12422" t="s">
        <v>42939</v>
      </c>
      <c r="N12422" t="s">
        <v>47304</v>
      </c>
      <c r="O12422" t="s">
        <v>47305</v>
      </c>
      <c r="P12422">
        <v>0</v>
      </c>
      <c r="Q12422">
        <v>2</v>
      </c>
      <c r="R12422" t="s">
        <v>47319</v>
      </c>
      <c r="S12422" t="s">
        <v>47813</v>
      </c>
      <c r="T12422" t="s">
        <v>49081</v>
      </c>
      <c r="U12422" t="s">
        <v>59804</v>
      </c>
      <c r="W12422" t="s">
        <v>42939</v>
      </c>
      <c r="X12422" t="s">
        <v>47321</v>
      </c>
    </row>
    <row r="12423" spans="1:24">
      <c r="A12423">
        <f>HYPERLINK("https://www.philgeps.gov.ph/GEPSNONPILOT/Tender/SplashBidNoticeAbstractUI.aspx?menuIndex=3&amp;refID=7169894&amp;Result=3","7169894")</f>
        <v>0</v>
      </c>
      <c r="B12423" t="s">
        <v>876</v>
      </c>
      <c r="C12423" t="s">
        <v>15600</v>
      </c>
      <c r="D12423" t="s">
        <v>19038</v>
      </c>
      <c r="E12423" t="s">
        <v>29641</v>
      </c>
      <c r="F12423" t="s">
        <v>32606</v>
      </c>
      <c r="G12423" t="s">
        <v>32613</v>
      </c>
      <c r="H12423" t="s">
        <v>14201</v>
      </c>
      <c r="I12423" t="s">
        <v>32664</v>
      </c>
      <c r="J12423" t="s">
        <v>34431</v>
      </c>
      <c r="K12423" t="s">
        <v>42624</v>
      </c>
      <c r="M12423" t="s">
        <v>43812</v>
      </c>
      <c r="N12423" t="s">
        <v>47304</v>
      </c>
      <c r="O12423" t="s">
        <v>47305</v>
      </c>
      <c r="P12423">
        <v>0</v>
      </c>
      <c r="Q12423">
        <v>2</v>
      </c>
      <c r="R12423" t="s">
        <v>47319</v>
      </c>
      <c r="S12423" t="s">
        <v>47813</v>
      </c>
      <c r="T12423" t="s">
        <v>48986</v>
      </c>
      <c r="U12423" t="s">
        <v>59805</v>
      </c>
      <c r="W12423" t="s">
        <v>43812</v>
      </c>
      <c r="X12423" t="s">
        <v>47321</v>
      </c>
    </row>
    <row r="12424" spans="1:24">
      <c r="A12424">
        <f>HYPERLINK("https://www.philgeps.gov.ph/GEPSNONPILOT/Tender/SplashBidNoticeAbstractUI.aspx?menuIndex=3&amp;refID=7170493&amp;Result=3","7170493")</f>
        <v>0</v>
      </c>
      <c r="B12424" t="s">
        <v>3494</v>
      </c>
      <c r="C12424" t="s">
        <v>15601</v>
      </c>
      <c r="D12424" t="s">
        <v>19000</v>
      </c>
      <c r="E12424" t="s">
        <v>29642</v>
      </c>
      <c r="F12424" t="s">
        <v>32606</v>
      </c>
      <c r="G12424" t="s">
        <v>32613</v>
      </c>
      <c r="H12424" t="s">
        <v>32623</v>
      </c>
      <c r="I12424" t="s">
        <v>17648</v>
      </c>
      <c r="J12424" t="s">
        <v>33051</v>
      </c>
      <c r="K12424" t="s">
        <v>42697</v>
      </c>
      <c r="M12424" t="s">
        <v>46760</v>
      </c>
      <c r="N12424" t="s">
        <v>47304</v>
      </c>
      <c r="O12424" t="s">
        <v>47305</v>
      </c>
      <c r="P12424">
        <v>0</v>
      </c>
      <c r="Q12424">
        <v>2</v>
      </c>
      <c r="R12424" t="s">
        <v>47319</v>
      </c>
      <c r="S12424" t="s">
        <v>47813</v>
      </c>
      <c r="T12424" t="s">
        <v>48977</v>
      </c>
      <c r="U12424" t="s">
        <v>59806</v>
      </c>
      <c r="W12424" t="s">
        <v>46760</v>
      </c>
      <c r="X12424" t="s">
        <v>47321</v>
      </c>
    </row>
    <row r="12425" spans="1:24">
      <c r="A12425">
        <f>HYPERLINK("https://www.philgeps.gov.ph/GEPSNONPILOT/Tender/SplashBidNoticeAbstractUI.aspx?menuIndex=3&amp;refID=7161797&amp;Result=3","7161797")</f>
        <v>0</v>
      </c>
      <c r="B12425" t="s">
        <v>3495</v>
      </c>
      <c r="C12425" t="s">
        <v>15602</v>
      </c>
      <c r="D12425" t="s">
        <v>19072</v>
      </c>
      <c r="E12425" t="s">
        <v>29643</v>
      </c>
      <c r="F12425" t="s">
        <v>32606</v>
      </c>
      <c r="G12425" t="s">
        <v>32613</v>
      </c>
      <c r="H12425" t="s">
        <v>14201</v>
      </c>
      <c r="I12425" t="s">
        <v>32641</v>
      </c>
      <c r="J12425" t="s">
        <v>37542</v>
      </c>
      <c r="K12425" t="s">
        <v>42636</v>
      </c>
      <c r="M12425" t="s">
        <v>46761</v>
      </c>
      <c r="N12425" t="s">
        <v>47304</v>
      </c>
      <c r="O12425" t="s">
        <v>47305</v>
      </c>
      <c r="P12425">
        <v>0</v>
      </c>
      <c r="Q12425">
        <v>1</v>
      </c>
      <c r="R12425" t="s">
        <v>47319</v>
      </c>
      <c r="S12425" t="s">
        <v>47813</v>
      </c>
      <c r="T12425" t="s">
        <v>49108</v>
      </c>
      <c r="U12425" t="s">
        <v>59807</v>
      </c>
      <c r="W12425" t="s">
        <v>46761</v>
      </c>
      <c r="X12425" t="s">
        <v>47325</v>
      </c>
    </row>
    <row r="12426" spans="1:24">
      <c r="A12426">
        <f>HYPERLINK("https://www.philgeps.gov.ph/GEPSNONPILOT/Tender/SplashBidNoticeAbstractUI.aspx?menuIndex=3&amp;refID=7169581&amp;Result=3","7169581")</f>
        <v>0</v>
      </c>
      <c r="B12426" t="s">
        <v>3497</v>
      </c>
      <c r="C12426" t="s">
        <v>15603</v>
      </c>
      <c r="D12426" t="s">
        <v>19011</v>
      </c>
      <c r="E12426" t="s">
        <v>29644</v>
      </c>
      <c r="F12426" t="s">
        <v>32606</v>
      </c>
      <c r="G12426" t="s">
        <v>32613</v>
      </c>
      <c r="H12426" t="s">
        <v>32623</v>
      </c>
      <c r="I12426" t="s">
        <v>17648</v>
      </c>
      <c r="J12426" t="s">
        <v>40462</v>
      </c>
      <c r="K12426" t="s">
        <v>42656</v>
      </c>
      <c r="M12426" t="s">
        <v>46763</v>
      </c>
      <c r="N12426" t="s">
        <v>47304</v>
      </c>
      <c r="O12426" t="s">
        <v>47305</v>
      </c>
      <c r="P12426">
        <v>0</v>
      </c>
      <c r="Q12426">
        <v>1</v>
      </c>
      <c r="R12426" t="s">
        <v>47319</v>
      </c>
      <c r="S12426" t="s">
        <v>47813</v>
      </c>
      <c r="T12426" t="s">
        <v>49160</v>
      </c>
      <c r="U12426" t="s">
        <v>59808</v>
      </c>
      <c r="W12426" t="s">
        <v>46763</v>
      </c>
      <c r="X12426" t="s">
        <v>47321</v>
      </c>
    </row>
    <row r="12427" spans="1:24">
      <c r="A12427">
        <f>HYPERLINK("https://www.philgeps.gov.ph/GEPSNONPILOT/Tender/SplashBidNoticeAbstractUI.aspx?menuIndex=3&amp;refID=7169554&amp;Result=3","7169554")</f>
        <v>0</v>
      </c>
      <c r="B12427" t="s">
        <v>42</v>
      </c>
      <c r="C12427" t="s">
        <v>15604</v>
      </c>
      <c r="E12427" t="s">
        <v>29645</v>
      </c>
      <c r="F12427" t="s">
        <v>32606</v>
      </c>
      <c r="G12427" t="s">
        <v>32613</v>
      </c>
      <c r="H12427" t="s">
        <v>32623</v>
      </c>
      <c r="I12427" t="s">
        <v>17648</v>
      </c>
      <c r="J12427" t="s">
        <v>40463</v>
      </c>
      <c r="K12427" t="s">
        <v>42636</v>
      </c>
      <c r="M12427" t="s">
        <v>42939</v>
      </c>
      <c r="N12427" t="s">
        <v>47304</v>
      </c>
      <c r="O12427" t="s">
        <v>47305</v>
      </c>
      <c r="P12427">
        <v>0</v>
      </c>
      <c r="Q12427">
        <v>1</v>
      </c>
      <c r="R12427" t="s">
        <v>47319</v>
      </c>
      <c r="S12427" t="s">
        <v>47813</v>
      </c>
      <c r="T12427" t="s">
        <v>49081</v>
      </c>
      <c r="U12427" t="s">
        <v>59809</v>
      </c>
      <c r="W12427" t="s">
        <v>42939</v>
      </c>
      <c r="X12427" t="s">
        <v>47321</v>
      </c>
    </row>
    <row r="12428" spans="1:24">
      <c r="A12428">
        <f>HYPERLINK("https://www.philgeps.gov.ph/GEPSNONPILOT/Tender/SplashBidNoticeAbstractUI.aspx?menuIndex=3&amp;refID=7169541&amp;Result=3","7169541")</f>
        <v>0</v>
      </c>
      <c r="B12428" t="s">
        <v>3497</v>
      </c>
      <c r="C12428" t="s">
        <v>15605</v>
      </c>
      <c r="D12428" t="s">
        <v>19011</v>
      </c>
      <c r="E12428" t="s">
        <v>29646</v>
      </c>
      <c r="F12428" t="s">
        <v>32606</v>
      </c>
      <c r="G12428" t="s">
        <v>32613</v>
      </c>
      <c r="H12428" t="s">
        <v>32623</v>
      </c>
      <c r="I12428" t="s">
        <v>17648</v>
      </c>
      <c r="J12428" t="s">
        <v>40464</v>
      </c>
      <c r="K12428" t="s">
        <v>42735</v>
      </c>
      <c r="M12428" t="s">
        <v>46763</v>
      </c>
      <c r="N12428" t="s">
        <v>47304</v>
      </c>
      <c r="O12428" t="s">
        <v>47305</v>
      </c>
      <c r="P12428">
        <v>0</v>
      </c>
      <c r="Q12428">
        <v>2</v>
      </c>
      <c r="R12428" t="s">
        <v>47319</v>
      </c>
      <c r="S12428" t="s">
        <v>47813</v>
      </c>
      <c r="T12428" t="s">
        <v>49023</v>
      </c>
      <c r="U12428" t="s">
        <v>59810</v>
      </c>
      <c r="W12428" t="s">
        <v>46763</v>
      </c>
      <c r="X12428" t="s">
        <v>47321</v>
      </c>
    </row>
    <row r="12429" spans="1:24">
      <c r="A12429">
        <f>HYPERLINK("https://www.philgeps.gov.ph/GEPSNONPILOT/Tender/SplashBidNoticeAbstractUI.aspx?menuIndex=3&amp;refID=7169865&amp;Result=3","7169865")</f>
        <v>0</v>
      </c>
      <c r="B12429" t="s">
        <v>42</v>
      </c>
      <c r="C12429" t="s">
        <v>15606</v>
      </c>
      <c r="E12429" t="s">
        <v>29647</v>
      </c>
      <c r="F12429" t="s">
        <v>32606</v>
      </c>
      <c r="G12429" t="s">
        <v>32613</v>
      </c>
      <c r="H12429" t="s">
        <v>14201</v>
      </c>
      <c r="I12429" t="s">
        <v>7064</v>
      </c>
      <c r="J12429" t="s">
        <v>34128</v>
      </c>
      <c r="K12429" t="s">
        <v>42631</v>
      </c>
      <c r="M12429" t="s">
        <v>42939</v>
      </c>
      <c r="N12429" t="s">
        <v>47304</v>
      </c>
      <c r="O12429" t="s">
        <v>47305</v>
      </c>
      <c r="P12429">
        <v>0</v>
      </c>
      <c r="Q12429">
        <v>4</v>
      </c>
      <c r="R12429" t="s">
        <v>47319</v>
      </c>
      <c r="S12429" t="s">
        <v>47813</v>
      </c>
      <c r="T12429" t="s">
        <v>49081</v>
      </c>
      <c r="U12429" t="s">
        <v>59811</v>
      </c>
      <c r="W12429" t="s">
        <v>42939</v>
      </c>
      <c r="X12429" t="s">
        <v>47321</v>
      </c>
    </row>
    <row r="12430" spans="1:24">
      <c r="A12430">
        <f>HYPERLINK("https://www.philgeps.gov.ph/GEPSNONPILOT/Tender/SplashBidNoticeAbstractUI.aspx?menuIndex=3&amp;refID=7170599&amp;Result=3","7170599")</f>
        <v>0</v>
      </c>
      <c r="B12430" t="s">
        <v>1884</v>
      </c>
      <c r="C12430" t="s">
        <v>15607</v>
      </c>
      <c r="E12430" t="s">
        <v>29648</v>
      </c>
      <c r="F12430" t="s">
        <v>32606</v>
      </c>
      <c r="G12430" t="s">
        <v>32613</v>
      </c>
      <c r="H12430" t="s">
        <v>14201</v>
      </c>
      <c r="I12430" t="s">
        <v>32640</v>
      </c>
      <c r="J12430" t="s">
        <v>40465</v>
      </c>
      <c r="K12430" t="s">
        <v>42624</v>
      </c>
      <c r="M12430" t="s">
        <v>46764</v>
      </c>
      <c r="N12430" t="s">
        <v>47304</v>
      </c>
      <c r="O12430" t="s">
        <v>47305</v>
      </c>
      <c r="P12430">
        <v>0</v>
      </c>
      <c r="Q12430">
        <v>18</v>
      </c>
      <c r="R12430" t="s">
        <v>47319</v>
      </c>
      <c r="S12430" t="s">
        <v>47813</v>
      </c>
      <c r="T12430" t="s">
        <v>48988</v>
      </c>
      <c r="U12430" t="s">
        <v>59812</v>
      </c>
      <c r="W12430" t="s">
        <v>46764</v>
      </c>
      <c r="X12430" t="s">
        <v>47321</v>
      </c>
    </row>
    <row r="12431" spans="1:24">
      <c r="A12431">
        <f>HYPERLINK("https://www.philgeps.gov.ph/GEPSNONPILOT/Tender/SplashBidNoticeAbstractUI.aspx?menuIndex=3&amp;refID=7169852&amp;Result=3","7169852")</f>
        <v>0</v>
      </c>
      <c r="B12431" t="s">
        <v>1203</v>
      </c>
      <c r="C12431" t="s">
        <v>15608</v>
      </c>
      <c r="D12431" t="s">
        <v>19027</v>
      </c>
      <c r="E12431" t="s">
        <v>29649</v>
      </c>
      <c r="F12431" t="s">
        <v>32606</v>
      </c>
      <c r="G12431" t="s">
        <v>32613</v>
      </c>
      <c r="H12431" t="s">
        <v>14201</v>
      </c>
      <c r="I12431" t="s">
        <v>32644</v>
      </c>
      <c r="J12431" t="s">
        <v>32765</v>
      </c>
      <c r="K12431" t="s">
        <v>42624</v>
      </c>
      <c r="M12431" t="s">
        <v>44167</v>
      </c>
      <c r="N12431" t="s">
        <v>47304</v>
      </c>
      <c r="O12431" t="s">
        <v>47305</v>
      </c>
      <c r="P12431">
        <v>0</v>
      </c>
      <c r="Q12431">
        <v>2</v>
      </c>
      <c r="R12431" t="s">
        <v>47319</v>
      </c>
      <c r="S12431" t="s">
        <v>47813</v>
      </c>
      <c r="T12431" t="s">
        <v>48987</v>
      </c>
      <c r="U12431" t="s">
        <v>59813</v>
      </c>
      <c r="V12431" t="s">
        <v>63990</v>
      </c>
      <c r="W12431" t="s">
        <v>44167</v>
      </c>
      <c r="X12431" t="s">
        <v>47321</v>
      </c>
    </row>
    <row r="12432" spans="1:24">
      <c r="A12432">
        <f>HYPERLINK("https://www.philgeps.gov.ph/GEPSNONPILOT/Tender/SplashBidNoticeAbstractUI.aspx?menuIndex=3&amp;refID=7169559&amp;Result=3","7169559")</f>
        <v>0</v>
      </c>
      <c r="B12432" t="s">
        <v>3497</v>
      </c>
      <c r="C12432" t="s">
        <v>15609</v>
      </c>
      <c r="D12432" t="s">
        <v>19011</v>
      </c>
      <c r="E12432" t="s">
        <v>29650</v>
      </c>
      <c r="F12432" t="s">
        <v>32606</v>
      </c>
      <c r="G12432" t="s">
        <v>32613</v>
      </c>
      <c r="H12432" t="s">
        <v>32623</v>
      </c>
      <c r="I12432" t="s">
        <v>17648</v>
      </c>
      <c r="J12432" t="s">
        <v>33231</v>
      </c>
      <c r="K12432" t="s">
        <v>42844</v>
      </c>
      <c r="M12432" t="s">
        <v>46763</v>
      </c>
      <c r="N12432" t="s">
        <v>47304</v>
      </c>
      <c r="O12432" t="s">
        <v>47305</v>
      </c>
      <c r="P12432">
        <v>0</v>
      </c>
      <c r="Q12432">
        <v>1</v>
      </c>
      <c r="R12432" t="s">
        <v>47319</v>
      </c>
      <c r="S12432" t="s">
        <v>47813</v>
      </c>
      <c r="T12432" t="s">
        <v>48986</v>
      </c>
      <c r="U12432" t="s">
        <v>59814</v>
      </c>
      <c r="W12432" t="s">
        <v>46763</v>
      </c>
      <c r="X12432" t="s">
        <v>47321</v>
      </c>
    </row>
    <row r="12433" spans="1:24">
      <c r="A12433">
        <f>HYPERLINK("https://www.philgeps.gov.ph/GEPSNONPILOT/Tender/SplashBidNoticeAbstractUI.aspx?menuIndex=3&amp;refID=7166500&amp;Result=3","7166500")</f>
        <v>0</v>
      </c>
      <c r="B12433" t="s">
        <v>497</v>
      </c>
      <c r="C12433" t="s">
        <v>15557</v>
      </c>
      <c r="D12433" t="s">
        <v>18991</v>
      </c>
      <c r="E12433" t="s">
        <v>29651</v>
      </c>
      <c r="F12433" t="s">
        <v>32606</v>
      </c>
      <c r="G12433" t="s">
        <v>32613</v>
      </c>
      <c r="H12433" t="s">
        <v>14201</v>
      </c>
      <c r="I12433" t="s">
        <v>32633</v>
      </c>
      <c r="J12433" t="s">
        <v>40466</v>
      </c>
      <c r="K12433" t="s">
        <v>42624</v>
      </c>
      <c r="M12433" t="s">
        <v>46356</v>
      </c>
      <c r="N12433" t="s">
        <v>47304</v>
      </c>
      <c r="O12433" t="s">
        <v>47305</v>
      </c>
      <c r="P12433">
        <v>0</v>
      </c>
      <c r="Q12433">
        <v>4</v>
      </c>
      <c r="R12433" t="s">
        <v>47319</v>
      </c>
      <c r="S12433" t="s">
        <v>47813</v>
      </c>
      <c r="T12433" t="s">
        <v>49041</v>
      </c>
      <c r="U12433" t="s">
        <v>59815</v>
      </c>
      <c r="W12433" t="s">
        <v>46356</v>
      </c>
      <c r="X12433" t="s">
        <v>47322</v>
      </c>
    </row>
    <row r="12434" spans="1:24">
      <c r="A12434">
        <f>HYPERLINK("https://www.philgeps.gov.ph/GEPSNONPILOT/Tender/SplashBidNoticeAbstractUI.aspx?menuIndex=3&amp;refID=7166424&amp;Result=3","7166424")</f>
        <v>0</v>
      </c>
      <c r="B12434" t="s">
        <v>497</v>
      </c>
      <c r="C12434" t="s">
        <v>7621</v>
      </c>
      <c r="D12434" t="s">
        <v>18991</v>
      </c>
      <c r="E12434" t="s">
        <v>29652</v>
      </c>
      <c r="F12434" t="s">
        <v>32606</v>
      </c>
      <c r="G12434" t="s">
        <v>32613</v>
      </c>
      <c r="H12434" t="s">
        <v>14201</v>
      </c>
      <c r="I12434" t="s">
        <v>6014</v>
      </c>
      <c r="J12434" t="s">
        <v>40467</v>
      </c>
      <c r="K12434" t="s">
        <v>42624</v>
      </c>
      <c r="M12434" t="s">
        <v>46356</v>
      </c>
      <c r="N12434" t="s">
        <v>47304</v>
      </c>
      <c r="O12434" t="s">
        <v>47305</v>
      </c>
      <c r="P12434">
        <v>0</v>
      </c>
      <c r="Q12434">
        <v>0</v>
      </c>
      <c r="R12434" t="s">
        <v>47319</v>
      </c>
      <c r="S12434" t="s">
        <v>47813</v>
      </c>
      <c r="T12434" t="s">
        <v>49041</v>
      </c>
      <c r="U12434" t="s">
        <v>59816</v>
      </c>
      <c r="W12434" t="s">
        <v>46356</v>
      </c>
      <c r="X12434" t="s">
        <v>47322</v>
      </c>
    </row>
    <row r="12435" spans="1:24">
      <c r="A12435">
        <f>HYPERLINK("https://www.philgeps.gov.ph/GEPSNONPILOT/Tender/SplashBidNoticeAbstractUI.aspx?menuIndex=3&amp;refID=7169475&amp;Result=3","7169475")</f>
        <v>0</v>
      </c>
      <c r="B12435" t="s">
        <v>3493</v>
      </c>
      <c r="C12435" t="s">
        <v>15610</v>
      </c>
      <c r="E12435" t="s">
        <v>29653</v>
      </c>
      <c r="F12435" t="s">
        <v>32606</v>
      </c>
      <c r="G12435" t="s">
        <v>32613</v>
      </c>
      <c r="H12435" t="s">
        <v>32623</v>
      </c>
      <c r="I12435" t="s">
        <v>17648</v>
      </c>
      <c r="J12435" t="s">
        <v>32830</v>
      </c>
      <c r="K12435" t="s">
        <v>42624</v>
      </c>
      <c r="M12435" t="s">
        <v>46759</v>
      </c>
      <c r="N12435" t="s">
        <v>47304</v>
      </c>
      <c r="O12435" t="s">
        <v>47305</v>
      </c>
      <c r="P12435">
        <v>0</v>
      </c>
      <c r="Q12435">
        <v>2</v>
      </c>
      <c r="R12435" t="s">
        <v>47319</v>
      </c>
      <c r="S12435" t="s">
        <v>47813</v>
      </c>
      <c r="T12435" t="s">
        <v>49346</v>
      </c>
      <c r="U12435" t="s">
        <v>59817</v>
      </c>
      <c r="W12435" t="s">
        <v>46759</v>
      </c>
      <c r="X12435" t="s">
        <v>47321</v>
      </c>
    </row>
    <row r="12436" spans="1:24">
      <c r="A12436">
        <f>HYPERLINK("https://www.philgeps.gov.ph/GEPSNONPILOT/Tender/SplashBidNoticeAbstractUI.aspx?menuIndex=3&amp;refID=7169504&amp;Result=3","7169504")</f>
        <v>0</v>
      </c>
      <c r="B12436" t="s">
        <v>3497</v>
      </c>
      <c r="C12436" t="s">
        <v>15611</v>
      </c>
      <c r="D12436" t="s">
        <v>19011</v>
      </c>
      <c r="E12436" t="s">
        <v>29654</v>
      </c>
      <c r="F12436" t="s">
        <v>32606</v>
      </c>
      <c r="G12436" t="s">
        <v>32613</v>
      </c>
      <c r="H12436" t="s">
        <v>14201</v>
      </c>
      <c r="I12436" t="s">
        <v>7577</v>
      </c>
      <c r="J12436" t="s">
        <v>40468</v>
      </c>
      <c r="K12436" t="s">
        <v>42623</v>
      </c>
      <c r="M12436" t="s">
        <v>46763</v>
      </c>
      <c r="N12436" t="s">
        <v>47304</v>
      </c>
      <c r="O12436" t="s">
        <v>47305</v>
      </c>
      <c r="P12436">
        <v>0</v>
      </c>
      <c r="Q12436">
        <v>7</v>
      </c>
      <c r="R12436" t="s">
        <v>47319</v>
      </c>
      <c r="S12436" t="s">
        <v>47813</v>
      </c>
      <c r="T12436" t="s">
        <v>49002</v>
      </c>
      <c r="U12436" t="s">
        <v>59818</v>
      </c>
      <c r="W12436" t="s">
        <v>46763</v>
      </c>
      <c r="X12436" t="s">
        <v>47321</v>
      </c>
    </row>
    <row r="12437" spans="1:24">
      <c r="A12437">
        <f>HYPERLINK("https://www.philgeps.gov.ph/GEPSNONPILOT/Tender/SplashBidNoticeAbstractUI.aspx?menuIndex=3&amp;refID=7170628&amp;Result=3","7170628")</f>
        <v>0</v>
      </c>
      <c r="B12437" t="s">
        <v>101</v>
      </c>
      <c r="C12437" t="s">
        <v>15612</v>
      </c>
      <c r="D12437" t="s">
        <v>18993</v>
      </c>
      <c r="E12437" t="s">
        <v>29655</v>
      </c>
      <c r="F12437" t="s">
        <v>32606</v>
      </c>
      <c r="G12437" t="s">
        <v>32613</v>
      </c>
      <c r="H12437" t="s">
        <v>32623</v>
      </c>
      <c r="I12437" t="s">
        <v>17648</v>
      </c>
      <c r="J12437" t="s">
        <v>40469</v>
      </c>
      <c r="K12437" t="s">
        <v>42646</v>
      </c>
      <c r="M12437" t="s">
        <v>46765</v>
      </c>
      <c r="N12437" t="s">
        <v>47304</v>
      </c>
      <c r="O12437" t="s">
        <v>47305</v>
      </c>
      <c r="P12437">
        <v>0</v>
      </c>
      <c r="Q12437">
        <v>36</v>
      </c>
      <c r="R12437" t="s">
        <v>47319</v>
      </c>
      <c r="S12437" t="s">
        <v>47813</v>
      </c>
      <c r="T12437" t="s">
        <v>49215</v>
      </c>
      <c r="U12437" t="s">
        <v>59819</v>
      </c>
      <c r="W12437" t="s">
        <v>46765</v>
      </c>
      <c r="X12437" t="s">
        <v>47321</v>
      </c>
    </row>
    <row r="12438" spans="1:24">
      <c r="A12438">
        <f>HYPERLINK("https://www.philgeps.gov.ph/GEPSNONPILOT/Tender/SplashBidNoticeAbstractUI.aspx?menuIndex=3&amp;refID=7168623&amp;Result=3","7168623")</f>
        <v>0</v>
      </c>
      <c r="B12438" t="s">
        <v>3498</v>
      </c>
      <c r="C12438" t="s">
        <v>15613</v>
      </c>
      <c r="D12438" t="s">
        <v>19001</v>
      </c>
      <c r="E12438" t="s">
        <v>29656</v>
      </c>
      <c r="F12438" t="s">
        <v>32606</v>
      </c>
      <c r="G12438" t="s">
        <v>32613</v>
      </c>
      <c r="H12438" t="s">
        <v>14201</v>
      </c>
      <c r="I12438" t="s">
        <v>6993</v>
      </c>
      <c r="J12438" t="s">
        <v>40470</v>
      </c>
      <c r="K12438" t="s">
        <v>42638</v>
      </c>
      <c r="M12438" t="s">
        <v>46766</v>
      </c>
      <c r="N12438" t="s">
        <v>47304</v>
      </c>
      <c r="O12438" t="s">
        <v>47305</v>
      </c>
      <c r="P12438">
        <v>0</v>
      </c>
      <c r="Q12438">
        <v>4</v>
      </c>
      <c r="R12438" t="s">
        <v>47319</v>
      </c>
      <c r="S12438" t="s">
        <v>47813</v>
      </c>
      <c r="T12438" t="s">
        <v>48986</v>
      </c>
      <c r="U12438" t="s">
        <v>59820</v>
      </c>
      <c r="W12438" t="s">
        <v>64541</v>
      </c>
      <c r="X12438" t="s">
        <v>47321</v>
      </c>
    </row>
    <row r="12439" spans="1:24">
      <c r="A12439">
        <f>HYPERLINK("https://www.philgeps.gov.ph/GEPSNONPILOT/Tender/SplashBidNoticeAbstractUI.aspx?menuIndex=3&amp;refID=7170834&amp;Result=3","7170834")</f>
        <v>0</v>
      </c>
      <c r="B12439" t="s">
        <v>3499</v>
      </c>
      <c r="C12439" t="s">
        <v>8363</v>
      </c>
      <c r="D12439" t="s">
        <v>19015</v>
      </c>
      <c r="E12439" t="s">
        <v>28258</v>
      </c>
      <c r="F12439" t="s">
        <v>32606</v>
      </c>
      <c r="G12439" t="s">
        <v>32613</v>
      </c>
      <c r="H12439" t="s">
        <v>14201</v>
      </c>
      <c r="I12439" t="s">
        <v>6931</v>
      </c>
      <c r="J12439" t="s">
        <v>40471</v>
      </c>
      <c r="K12439" t="s">
        <v>42623</v>
      </c>
      <c r="M12439" t="s">
        <v>46767</v>
      </c>
      <c r="N12439" t="s">
        <v>47304</v>
      </c>
      <c r="O12439" t="s">
        <v>47305</v>
      </c>
      <c r="P12439">
        <v>0</v>
      </c>
      <c r="Q12439">
        <v>3</v>
      </c>
      <c r="R12439" t="s">
        <v>47319</v>
      </c>
      <c r="S12439" t="s">
        <v>47813</v>
      </c>
      <c r="T12439" t="s">
        <v>49019</v>
      </c>
      <c r="U12439" t="s">
        <v>59821</v>
      </c>
      <c r="W12439" t="s">
        <v>46767</v>
      </c>
      <c r="X12439" t="s">
        <v>47320</v>
      </c>
    </row>
    <row r="12440" spans="1:24">
      <c r="A12440">
        <f>HYPERLINK("https://www.philgeps.gov.ph/GEPSNONPILOT/Tender/SplashBidNoticeAbstractUI.aspx?menuIndex=3&amp;refID=7170754&amp;Result=3","7170754")</f>
        <v>0</v>
      </c>
      <c r="B12440" t="s">
        <v>3340</v>
      </c>
      <c r="C12440" t="s">
        <v>15614</v>
      </c>
      <c r="D12440" t="s">
        <v>19063</v>
      </c>
      <c r="E12440" t="s">
        <v>29657</v>
      </c>
      <c r="F12440" t="s">
        <v>32606</v>
      </c>
      <c r="G12440" t="s">
        <v>32613</v>
      </c>
      <c r="H12440" t="s">
        <v>14201</v>
      </c>
      <c r="I12440" t="s">
        <v>6931</v>
      </c>
      <c r="J12440" t="s">
        <v>40472</v>
      </c>
      <c r="K12440" t="s">
        <v>42623</v>
      </c>
      <c r="M12440" t="s">
        <v>46587</v>
      </c>
      <c r="N12440" t="s">
        <v>47304</v>
      </c>
      <c r="O12440" t="s">
        <v>47305</v>
      </c>
      <c r="P12440">
        <v>0</v>
      </c>
      <c r="Q12440">
        <v>1</v>
      </c>
      <c r="R12440" t="s">
        <v>47319</v>
      </c>
      <c r="S12440" t="s">
        <v>47813</v>
      </c>
      <c r="T12440" t="s">
        <v>48996</v>
      </c>
      <c r="U12440" t="s">
        <v>59822</v>
      </c>
      <c r="W12440" t="s">
        <v>46587</v>
      </c>
      <c r="X12440" t="s">
        <v>47320</v>
      </c>
    </row>
    <row r="12441" spans="1:24">
      <c r="A12441">
        <f>HYPERLINK("https://www.philgeps.gov.ph/GEPSNONPILOT/Tender/SplashBidNoticeAbstractUI.aspx?menuIndex=3&amp;refID=7170751&amp;Result=3","7170751")</f>
        <v>0</v>
      </c>
      <c r="B12441" t="s">
        <v>3500</v>
      </c>
      <c r="C12441" t="s">
        <v>15615</v>
      </c>
      <c r="D12441" t="s">
        <v>19056</v>
      </c>
      <c r="E12441" t="s">
        <v>19809</v>
      </c>
      <c r="F12441" t="s">
        <v>32606</v>
      </c>
      <c r="G12441" t="s">
        <v>32613</v>
      </c>
      <c r="H12441" t="s">
        <v>14201</v>
      </c>
      <c r="I12441" t="s">
        <v>32635</v>
      </c>
      <c r="J12441" t="s">
        <v>33034</v>
      </c>
      <c r="K12441" t="s">
        <v>42630</v>
      </c>
      <c r="M12441" t="s">
        <v>46768</v>
      </c>
      <c r="N12441" t="s">
        <v>47304</v>
      </c>
      <c r="O12441" t="s">
        <v>47305</v>
      </c>
      <c r="P12441">
        <v>0</v>
      </c>
      <c r="Q12441">
        <v>2</v>
      </c>
      <c r="R12441" t="s">
        <v>47319</v>
      </c>
      <c r="S12441" t="s">
        <v>47813</v>
      </c>
      <c r="T12441" t="s">
        <v>49092</v>
      </c>
      <c r="U12441" t="s">
        <v>59823</v>
      </c>
      <c r="W12441" t="s">
        <v>46768</v>
      </c>
      <c r="X12441" t="s">
        <v>47320</v>
      </c>
    </row>
    <row r="12442" spans="1:24">
      <c r="A12442">
        <f>HYPERLINK("https://www.philgeps.gov.ph/GEPSNONPILOT/Tender/SplashBidNoticeAbstractUI.aspx?menuIndex=3&amp;refID=7170841&amp;Result=3","7170841")</f>
        <v>0</v>
      </c>
      <c r="B12442" t="s">
        <v>1365</v>
      </c>
      <c r="C12442" t="s">
        <v>15616</v>
      </c>
      <c r="E12442" t="s">
        <v>29658</v>
      </c>
      <c r="F12442" t="s">
        <v>32606</v>
      </c>
      <c r="G12442" t="s">
        <v>32613</v>
      </c>
      <c r="H12442" t="s">
        <v>14201</v>
      </c>
      <c r="I12442" t="s">
        <v>7064</v>
      </c>
      <c r="J12442" t="s">
        <v>40473</v>
      </c>
      <c r="K12442" t="s">
        <v>42636</v>
      </c>
      <c r="M12442" t="s">
        <v>44342</v>
      </c>
      <c r="N12442" t="s">
        <v>47304</v>
      </c>
      <c r="O12442" t="s">
        <v>47305</v>
      </c>
      <c r="P12442">
        <v>0</v>
      </c>
      <c r="Q12442">
        <v>3</v>
      </c>
      <c r="R12442" t="s">
        <v>47319</v>
      </c>
      <c r="S12442" t="s">
        <v>47813</v>
      </c>
      <c r="T12442" t="s">
        <v>48987</v>
      </c>
      <c r="U12442" t="s">
        <v>59824</v>
      </c>
      <c r="W12442" t="s">
        <v>44342</v>
      </c>
      <c r="X12442" t="s">
        <v>47320</v>
      </c>
    </row>
    <row r="12443" spans="1:24">
      <c r="A12443">
        <f>HYPERLINK("https://www.philgeps.gov.ph/GEPSNONPILOT/Tender/SplashBidNoticeAbstractUI.aspx?menuIndex=3&amp;refID=7166409&amp;Result=3","7166409")</f>
        <v>0</v>
      </c>
      <c r="B12443" t="s">
        <v>3501</v>
      </c>
      <c r="C12443" t="s">
        <v>15617</v>
      </c>
      <c r="D12443" t="s">
        <v>19029</v>
      </c>
      <c r="E12443" t="s">
        <v>29659</v>
      </c>
      <c r="F12443" t="s">
        <v>32606</v>
      </c>
      <c r="G12443" t="s">
        <v>32613</v>
      </c>
      <c r="H12443" t="s">
        <v>32623</v>
      </c>
      <c r="I12443" t="s">
        <v>17648</v>
      </c>
      <c r="J12443" t="s">
        <v>33382</v>
      </c>
      <c r="K12443" t="s">
        <v>42651</v>
      </c>
      <c r="M12443" t="s">
        <v>46769</v>
      </c>
      <c r="N12443" t="s">
        <v>47304</v>
      </c>
      <c r="O12443" t="s">
        <v>47305</v>
      </c>
      <c r="Q12443">
        <v>3</v>
      </c>
      <c r="R12443" t="s">
        <v>47319</v>
      </c>
      <c r="S12443" t="s">
        <v>47825</v>
      </c>
      <c r="T12443" t="s">
        <v>49406</v>
      </c>
      <c r="U12443" t="s">
        <v>59825</v>
      </c>
      <c r="V12443" t="s">
        <v>63991</v>
      </c>
      <c r="W12443" t="s">
        <v>46769</v>
      </c>
      <c r="X12443" t="s">
        <v>47322</v>
      </c>
    </row>
    <row r="12444" spans="1:24">
      <c r="A12444">
        <f>HYPERLINK("https://www.philgeps.gov.ph/GEPSNONPILOT/Tender/SplashBidNoticeAbstractUI.aspx?menuIndex=3&amp;refID=7170747&amp;Result=3","7170747")</f>
        <v>0</v>
      </c>
      <c r="B12444" t="s">
        <v>3502</v>
      </c>
      <c r="C12444" t="s">
        <v>15498</v>
      </c>
      <c r="D12444" t="s">
        <v>19056</v>
      </c>
      <c r="E12444" t="s">
        <v>19809</v>
      </c>
      <c r="F12444" t="s">
        <v>32606</v>
      </c>
      <c r="G12444" t="s">
        <v>32613</v>
      </c>
      <c r="H12444" t="s">
        <v>32623</v>
      </c>
      <c r="I12444" t="s">
        <v>6931</v>
      </c>
      <c r="J12444" t="s">
        <v>40474</v>
      </c>
      <c r="K12444" t="s">
        <v>42630</v>
      </c>
      <c r="M12444" t="s">
        <v>46770</v>
      </c>
      <c r="N12444" t="s">
        <v>47304</v>
      </c>
      <c r="O12444" t="s">
        <v>47305</v>
      </c>
      <c r="P12444">
        <v>0</v>
      </c>
      <c r="Q12444">
        <v>0</v>
      </c>
      <c r="R12444" t="s">
        <v>47319</v>
      </c>
      <c r="S12444" t="s">
        <v>47813</v>
      </c>
      <c r="T12444" t="s">
        <v>49150</v>
      </c>
      <c r="U12444" t="s">
        <v>59826</v>
      </c>
      <c r="W12444" t="s">
        <v>46770</v>
      </c>
      <c r="X12444" t="s">
        <v>47320</v>
      </c>
    </row>
    <row r="12445" spans="1:24">
      <c r="A12445">
        <f>HYPERLINK("https://www.philgeps.gov.ph/GEPSNONPILOT/Tender/SplashBidNoticeAbstractUI.aspx?menuIndex=3&amp;refID=7170742&amp;Result=3","7170742")</f>
        <v>0</v>
      </c>
      <c r="B12445" t="s">
        <v>3503</v>
      </c>
      <c r="C12445" t="s">
        <v>15618</v>
      </c>
      <c r="D12445" t="s">
        <v>18990</v>
      </c>
      <c r="E12445" t="s">
        <v>29660</v>
      </c>
      <c r="F12445" t="s">
        <v>32610</v>
      </c>
      <c r="G12445" t="s">
        <v>32618</v>
      </c>
      <c r="H12445" t="s">
        <v>14201</v>
      </c>
      <c r="I12445" t="s">
        <v>32650</v>
      </c>
      <c r="J12445" t="s">
        <v>40475</v>
      </c>
      <c r="K12445" t="s">
        <v>42631</v>
      </c>
      <c r="M12445" t="s">
        <v>46771</v>
      </c>
      <c r="N12445" t="s">
        <v>47304</v>
      </c>
      <c r="O12445" t="s">
        <v>47305</v>
      </c>
      <c r="Q12445">
        <v>2</v>
      </c>
      <c r="R12445" t="s">
        <v>47319</v>
      </c>
      <c r="S12445" t="s">
        <v>47826</v>
      </c>
      <c r="T12445" t="s">
        <v>49198</v>
      </c>
      <c r="U12445" t="s">
        <v>59827</v>
      </c>
      <c r="V12445" t="s">
        <v>63992</v>
      </c>
      <c r="W12445" t="s">
        <v>46771</v>
      </c>
      <c r="X12445" t="s">
        <v>47320</v>
      </c>
    </row>
    <row r="12446" spans="1:24">
      <c r="A12446">
        <f>HYPERLINK("https://www.philgeps.gov.ph/GEPSNONPILOT/Tender/SplashBidNoticeAbstractUI.aspx?menuIndex=3&amp;refID=7168675&amp;Result=3","7168675")</f>
        <v>0</v>
      </c>
      <c r="B12446" t="s">
        <v>108</v>
      </c>
      <c r="C12446" t="s">
        <v>15619</v>
      </c>
      <c r="D12446" t="s">
        <v>18997</v>
      </c>
      <c r="E12446" t="s">
        <v>29661</v>
      </c>
      <c r="F12446" t="s">
        <v>32606</v>
      </c>
      <c r="G12446" t="s">
        <v>32613</v>
      </c>
      <c r="H12446" t="s">
        <v>32623</v>
      </c>
      <c r="I12446" t="s">
        <v>17648</v>
      </c>
      <c r="J12446" t="s">
        <v>40476</v>
      </c>
      <c r="K12446" t="s">
        <v>42639</v>
      </c>
      <c r="M12446" t="s">
        <v>43007</v>
      </c>
      <c r="N12446" t="s">
        <v>47304</v>
      </c>
      <c r="O12446" t="s">
        <v>47305</v>
      </c>
      <c r="Q12446">
        <v>1</v>
      </c>
      <c r="R12446" t="s">
        <v>47319</v>
      </c>
      <c r="S12446" t="s">
        <v>47827</v>
      </c>
      <c r="T12446" t="s">
        <v>49016</v>
      </c>
      <c r="U12446" t="s">
        <v>59828</v>
      </c>
      <c r="W12446" t="s">
        <v>43007</v>
      </c>
      <c r="X12446" t="s">
        <v>47321</v>
      </c>
    </row>
    <row r="12447" spans="1:24">
      <c r="A12447">
        <f>HYPERLINK("https://www.philgeps.gov.ph/GEPSNONPILOT/Tender/SplashBidNoticeAbstractUI.aspx?menuIndex=3&amp;refID=7170746&amp;Result=3","7170746")</f>
        <v>0</v>
      </c>
      <c r="B12447" t="s">
        <v>3503</v>
      </c>
      <c r="C12447" t="s">
        <v>15620</v>
      </c>
      <c r="D12447" t="s">
        <v>18990</v>
      </c>
      <c r="E12447" t="s">
        <v>29662</v>
      </c>
      <c r="F12447" t="s">
        <v>32610</v>
      </c>
      <c r="G12447" t="s">
        <v>32618</v>
      </c>
      <c r="H12447" t="s">
        <v>14201</v>
      </c>
      <c r="I12447" t="s">
        <v>32696</v>
      </c>
      <c r="J12447" t="s">
        <v>40477</v>
      </c>
      <c r="K12447" t="s">
        <v>42631</v>
      </c>
      <c r="M12447" t="s">
        <v>46771</v>
      </c>
      <c r="N12447" t="s">
        <v>47304</v>
      </c>
      <c r="O12447" t="s">
        <v>47305</v>
      </c>
      <c r="Q12447">
        <v>1</v>
      </c>
      <c r="R12447" t="s">
        <v>47319</v>
      </c>
      <c r="S12447" t="s">
        <v>47828</v>
      </c>
      <c r="T12447" t="s">
        <v>49198</v>
      </c>
      <c r="U12447" t="s">
        <v>59829</v>
      </c>
      <c r="V12447" t="s">
        <v>63992</v>
      </c>
      <c r="W12447" t="s">
        <v>46771</v>
      </c>
      <c r="X12447" t="s">
        <v>47320</v>
      </c>
    </row>
    <row r="12448" spans="1:24">
      <c r="A12448">
        <f>HYPERLINK("https://www.philgeps.gov.ph/GEPSNONPILOT/Tender/SplashBidNoticeAbstractUI.aspx?menuIndex=3&amp;refID=7171054&amp;Result=3","7171054")</f>
        <v>0</v>
      </c>
      <c r="B12448" t="s">
        <v>3158</v>
      </c>
      <c r="C12448" t="s">
        <v>15621</v>
      </c>
      <c r="D12448" t="s">
        <v>19063</v>
      </c>
      <c r="E12448" t="s">
        <v>20533</v>
      </c>
      <c r="F12448" t="s">
        <v>32606</v>
      </c>
      <c r="G12448" t="s">
        <v>32613</v>
      </c>
      <c r="H12448" t="s">
        <v>32623</v>
      </c>
      <c r="I12448" t="s">
        <v>17648</v>
      </c>
      <c r="J12448" t="s">
        <v>35368</v>
      </c>
      <c r="K12448" t="s">
        <v>42711</v>
      </c>
      <c r="M12448" t="s">
        <v>46376</v>
      </c>
      <c r="N12448" t="s">
        <v>47304</v>
      </c>
      <c r="O12448" t="s">
        <v>47305</v>
      </c>
      <c r="P12448">
        <v>0</v>
      </c>
      <c r="Q12448">
        <v>2</v>
      </c>
      <c r="R12448" t="s">
        <v>47319</v>
      </c>
      <c r="S12448" t="s">
        <v>47813</v>
      </c>
      <c r="T12448" t="s">
        <v>49106</v>
      </c>
      <c r="U12448" t="s">
        <v>59830</v>
      </c>
      <c r="W12448" t="s">
        <v>46376</v>
      </c>
      <c r="X12448" t="s">
        <v>47320</v>
      </c>
    </row>
    <row r="12449" spans="1:24">
      <c r="A12449">
        <f>HYPERLINK("https://www.philgeps.gov.ph/GEPSNONPILOT/Tender/SplashBidNoticeAbstractUI.aspx?menuIndex=3&amp;refID=7170810&amp;Result=3","7170810")</f>
        <v>0</v>
      </c>
      <c r="B12449" t="s">
        <v>1507</v>
      </c>
      <c r="C12449" t="s">
        <v>15622</v>
      </c>
      <c r="D12449" t="s">
        <v>19039</v>
      </c>
      <c r="E12449" t="s">
        <v>29663</v>
      </c>
      <c r="F12449" t="s">
        <v>32607</v>
      </c>
      <c r="G12449" t="s">
        <v>32613</v>
      </c>
      <c r="H12449" t="s">
        <v>14201</v>
      </c>
      <c r="I12449" t="s">
        <v>6931</v>
      </c>
      <c r="J12449" t="s">
        <v>40478</v>
      </c>
      <c r="K12449" t="s">
        <v>42639</v>
      </c>
      <c r="M12449" t="s">
        <v>44505</v>
      </c>
      <c r="N12449" t="s">
        <v>47304</v>
      </c>
      <c r="O12449" t="s">
        <v>47305</v>
      </c>
      <c r="P12449">
        <v>0</v>
      </c>
      <c r="Q12449">
        <v>0</v>
      </c>
      <c r="R12449" t="s">
        <v>47319</v>
      </c>
      <c r="S12449" t="s">
        <v>47813</v>
      </c>
      <c r="T12449" t="s">
        <v>49257</v>
      </c>
      <c r="U12449" t="s">
        <v>59831</v>
      </c>
      <c r="V12449" t="s">
        <v>63993</v>
      </c>
      <c r="W12449" t="s">
        <v>44505</v>
      </c>
      <c r="X12449" t="s">
        <v>47320</v>
      </c>
    </row>
    <row r="12450" spans="1:24">
      <c r="A12450">
        <f>HYPERLINK("https://www.philgeps.gov.ph/GEPSNONPILOT/Tender/SplashBidNoticeAbstractUI.aspx?menuIndex=3&amp;refID=7169658&amp;Result=3","7169658")</f>
        <v>0</v>
      </c>
      <c r="B12450" t="s">
        <v>810</v>
      </c>
      <c r="C12450" t="s">
        <v>15623</v>
      </c>
      <c r="D12450" t="s">
        <v>19013</v>
      </c>
      <c r="E12450" t="s">
        <v>29664</v>
      </c>
      <c r="F12450" t="s">
        <v>32606</v>
      </c>
      <c r="G12450" t="s">
        <v>32613</v>
      </c>
      <c r="H12450" t="s">
        <v>14201</v>
      </c>
      <c r="I12450" t="s">
        <v>32628</v>
      </c>
      <c r="J12450" t="s">
        <v>40479</v>
      </c>
      <c r="K12450" t="s">
        <v>42624</v>
      </c>
      <c r="M12450" t="s">
        <v>43741</v>
      </c>
      <c r="N12450" t="s">
        <v>47304</v>
      </c>
      <c r="O12450" t="s">
        <v>47305</v>
      </c>
      <c r="P12450">
        <v>0</v>
      </c>
      <c r="Q12450">
        <v>2</v>
      </c>
      <c r="R12450" t="s">
        <v>47319</v>
      </c>
      <c r="S12450" t="s">
        <v>47813</v>
      </c>
      <c r="T12450" t="s">
        <v>48987</v>
      </c>
      <c r="U12450" t="s">
        <v>51044</v>
      </c>
      <c r="W12450" t="s">
        <v>43741</v>
      </c>
      <c r="X12450" t="s">
        <v>47321</v>
      </c>
    </row>
    <row r="12451" spans="1:24">
      <c r="A12451">
        <f>HYPERLINK("https://www.philgeps.gov.ph/GEPSNONPILOT/Tender/SplashBidNoticeAbstractUI.aspx?menuIndex=3&amp;refID=7171041&amp;Result=3","7171041")</f>
        <v>0</v>
      </c>
      <c r="B12451" t="s">
        <v>3034</v>
      </c>
      <c r="C12451" t="s">
        <v>15624</v>
      </c>
      <c r="D12451" t="s">
        <v>19032</v>
      </c>
      <c r="E12451" t="s">
        <v>29665</v>
      </c>
      <c r="F12451" t="s">
        <v>32606</v>
      </c>
      <c r="G12451" t="s">
        <v>32613</v>
      </c>
      <c r="H12451" t="s">
        <v>14201</v>
      </c>
      <c r="I12451" t="s">
        <v>4114</v>
      </c>
      <c r="J12451" t="s">
        <v>40480</v>
      </c>
      <c r="K12451" t="s">
        <v>42623</v>
      </c>
      <c r="M12451" t="s">
        <v>46227</v>
      </c>
      <c r="N12451" t="s">
        <v>47304</v>
      </c>
      <c r="O12451" t="s">
        <v>47305</v>
      </c>
      <c r="P12451">
        <v>0</v>
      </c>
      <c r="Q12451">
        <v>5</v>
      </c>
      <c r="R12451" t="s">
        <v>47319</v>
      </c>
      <c r="S12451" t="s">
        <v>47813</v>
      </c>
      <c r="T12451" t="s">
        <v>48980</v>
      </c>
      <c r="U12451" t="s">
        <v>59832</v>
      </c>
      <c r="V12451" t="s">
        <v>63688</v>
      </c>
      <c r="W12451" t="s">
        <v>46227</v>
      </c>
      <c r="X12451" t="s">
        <v>47320</v>
      </c>
    </row>
    <row r="12452" spans="1:24">
      <c r="A12452">
        <f>HYPERLINK("https://www.philgeps.gov.ph/GEPSNONPILOT/Tender/SplashBidNoticeAbstractUI.aspx?menuIndex=3&amp;refID=7171024&amp;Result=3","7171024")</f>
        <v>0</v>
      </c>
      <c r="B12452" t="s">
        <v>2225</v>
      </c>
      <c r="C12452" t="s">
        <v>15625</v>
      </c>
      <c r="D12452" t="s">
        <v>18999</v>
      </c>
      <c r="E12452" t="s">
        <v>29666</v>
      </c>
      <c r="F12452" t="s">
        <v>32606</v>
      </c>
      <c r="G12452" t="s">
        <v>32613</v>
      </c>
      <c r="H12452" t="s">
        <v>32623</v>
      </c>
      <c r="I12452" t="s">
        <v>17648</v>
      </c>
      <c r="J12452" t="s">
        <v>40481</v>
      </c>
      <c r="K12452" t="s">
        <v>42646</v>
      </c>
      <c r="M12452" t="s">
        <v>46772</v>
      </c>
      <c r="N12452" t="s">
        <v>47304</v>
      </c>
      <c r="O12452" t="s">
        <v>47305</v>
      </c>
      <c r="P12452">
        <v>0</v>
      </c>
      <c r="Q12452">
        <v>67</v>
      </c>
      <c r="R12452" t="s">
        <v>47319</v>
      </c>
      <c r="S12452" t="s">
        <v>47813</v>
      </c>
      <c r="T12452" t="s">
        <v>49002</v>
      </c>
      <c r="U12452" t="s">
        <v>55148</v>
      </c>
      <c r="V12452" t="s">
        <v>63928</v>
      </c>
      <c r="W12452" t="s">
        <v>64537</v>
      </c>
      <c r="X12452" t="s">
        <v>47320</v>
      </c>
    </row>
    <row r="12453" spans="1:24">
      <c r="A12453">
        <f>HYPERLINK("https://www.philgeps.gov.ph/GEPSNONPILOT/Tender/SplashBidNoticeAbstractUI.aspx?menuIndex=3&amp;refID=7170744&amp;Result=3","7170744")</f>
        <v>0</v>
      </c>
      <c r="B12453" t="s">
        <v>3503</v>
      </c>
      <c r="C12453" t="s">
        <v>15626</v>
      </c>
      <c r="D12453" t="s">
        <v>18990</v>
      </c>
      <c r="E12453" t="s">
        <v>29667</v>
      </c>
      <c r="F12453" t="s">
        <v>32610</v>
      </c>
      <c r="G12453" t="s">
        <v>32618</v>
      </c>
      <c r="H12453" t="s">
        <v>14201</v>
      </c>
      <c r="I12453" t="s">
        <v>5233</v>
      </c>
      <c r="J12453" t="s">
        <v>40482</v>
      </c>
      <c r="K12453" t="s">
        <v>42631</v>
      </c>
      <c r="M12453" t="s">
        <v>46771</v>
      </c>
      <c r="N12453" t="s">
        <v>47304</v>
      </c>
      <c r="O12453" t="s">
        <v>47305</v>
      </c>
      <c r="Q12453">
        <v>1</v>
      </c>
      <c r="R12453" t="s">
        <v>47319</v>
      </c>
      <c r="S12453" t="s">
        <v>47829</v>
      </c>
      <c r="T12453" t="s">
        <v>49198</v>
      </c>
      <c r="U12453" t="s">
        <v>59833</v>
      </c>
      <c r="V12453" t="s">
        <v>63992</v>
      </c>
      <c r="W12453" t="s">
        <v>46771</v>
      </c>
      <c r="X12453" t="s">
        <v>47320</v>
      </c>
    </row>
    <row r="12454" spans="1:24">
      <c r="A12454">
        <f>HYPERLINK("https://www.philgeps.gov.ph/GEPSNONPILOT/Tender/SplashBidNoticeAbstractUI.aspx?menuIndex=3&amp;refID=7170755&amp;Result=3","7170755")</f>
        <v>0</v>
      </c>
      <c r="B12454" t="s">
        <v>3340</v>
      </c>
      <c r="C12454" t="s">
        <v>15627</v>
      </c>
      <c r="D12454" t="s">
        <v>19063</v>
      </c>
      <c r="E12454" t="s">
        <v>29668</v>
      </c>
      <c r="F12454" t="s">
        <v>32606</v>
      </c>
      <c r="G12454" t="s">
        <v>32613</v>
      </c>
      <c r="H12454" t="s">
        <v>14201</v>
      </c>
      <c r="I12454" t="s">
        <v>4120</v>
      </c>
      <c r="J12454" t="s">
        <v>40483</v>
      </c>
      <c r="K12454" t="s">
        <v>42623</v>
      </c>
      <c r="M12454" t="s">
        <v>46587</v>
      </c>
      <c r="N12454" t="s">
        <v>47304</v>
      </c>
      <c r="O12454" t="s">
        <v>47305</v>
      </c>
      <c r="P12454">
        <v>0</v>
      </c>
      <c r="Q12454">
        <v>4</v>
      </c>
      <c r="R12454" t="s">
        <v>47319</v>
      </c>
      <c r="S12454" t="s">
        <v>47813</v>
      </c>
      <c r="T12454" t="s">
        <v>49017</v>
      </c>
      <c r="U12454" t="s">
        <v>59834</v>
      </c>
      <c r="W12454" t="s">
        <v>46587</v>
      </c>
      <c r="X12454" t="s">
        <v>47320</v>
      </c>
    </row>
    <row r="12455" spans="1:24">
      <c r="A12455">
        <f>HYPERLINK("https://www.philgeps.gov.ph/GEPSNONPILOT/Tender/SplashBidNoticeAbstractUI.aspx?menuIndex=3&amp;refID=7171114&amp;Result=3","7171114")</f>
        <v>0</v>
      </c>
      <c r="B12455" t="s">
        <v>3278</v>
      </c>
      <c r="C12455" t="s">
        <v>15628</v>
      </c>
      <c r="D12455" t="s">
        <v>19020</v>
      </c>
      <c r="E12455" t="s">
        <v>29669</v>
      </c>
      <c r="F12455" t="s">
        <v>32606</v>
      </c>
      <c r="G12455" t="s">
        <v>32619</v>
      </c>
      <c r="H12455" t="s">
        <v>14201</v>
      </c>
      <c r="I12455" t="s">
        <v>32629</v>
      </c>
      <c r="J12455" t="s">
        <v>40484</v>
      </c>
      <c r="K12455" t="s">
        <v>42631</v>
      </c>
      <c r="M12455" t="s">
        <v>46513</v>
      </c>
      <c r="N12455" t="s">
        <v>47304</v>
      </c>
      <c r="O12455" t="s">
        <v>47305</v>
      </c>
      <c r="P12455">
        <v>0</v>
      </c>
      <c r="Q12455">
        <v>0</v>
      </c>
      <c r="R12455" t="s">
        <v>47319</v>
      </c>
      <c r="S12455" t="s">
        <v>47813</v>
      </c>
      <c r="T12455" t="s">
        <v>49014</v>
      </c>
      <c r="U12455" t="s">
        <v>59835</v>
      </c>
      <c r="W12455" t="s">
        <v>46513</v>
      </c>
      <c r="X12455" t="s">
        <v>47320</v>
      </c>
    </row>
    <row r="12456" spans="1:24">
      <c r="A12456">
        <f>HYPERLINK("https://www.philgeps.gov.ph/GEPSNONPILOT/Tender/SplashBidNoticeAbstractUI.aspx?menuIndex=3&amp;refID=7170996&amp;Result=3","7170996")</f>
        <v>0</v>
      </c>
      <c r="B12456" t="s">
        <v>3504</v>
      </c>
      <c r="C12456" t="s">
        <v>15629</v>
      </c>
      <c r="D12456" t="s">
        <v>19010</v>
      </c>
      <c r="E12456" t="s">
        <v>29670</v>
      </c>
      <c r="F12456" t="s">
        <v>32606</v>
      </c>
      <c r="G12456" t="s">
        <v>32613</v>
      </c>
      <c r="H12456" t="s">
        <v>14201</v>
      </c>
      <c r="I12456" t="s">
        <v>6478</v>
      </c>
      <c r="J12456" t="s">
        <v>40485</v>
      </c>
      <c r="K12456" t="s">
        <v>42624</v>
      </c>
      <c r="M12456" t="s">
        <v>46773</v>
      </c>
      <c r="N12456" t="s">
        <v>47304</v>
      </c>
      <c r="O12456" t="s">
        <v>47305</v>
      </c>
      <c r="P12456">
        <v>0</v>
      </c>
      <c r="Q12456">
        <v>3</v>
      </c>
      <c r="R12456" t="s">
        <v>47319</v>
      </c>
      <c r="S12456" t="s">
        <v>47813</v>
      </c>
      <c r="T12456" t="s">
        <v>49023</v>
      </c>
      <c r="U12456" t="s">
        <v>59836</v>
      </c>
      <c r="W12456" t="s">
        <v>46773</v>
      </c>
      <c r="X12456" t="s">
        <v>47320</v>
      </c>
    </row>
    <row r="12457" spans="1:24">
      <c r="A12457">
        <f>HYPERLINK("https://www.philgeps.gov.ph/GEPSNONPILOT/Tender/SplashBidNoticeAbstractUI.aspx?menuIndex=3&amp;refID=7165583&amp;Result=3","7165583")</f>
        <v>0</v>
      </c>
      <c r="B12457" t="s">
        <v>497</v>
      </c>
      <c r="C12457" t="s">
        <v>15630</v>
      </c>
      <c r="D12457" t="s">
        <v>18991</v>
      </c>
      <c r="E12457" t="s">
        <v>29671</v>
      </c>
      <c r="F12457" t="s">
        <v>32606</v>
      </c>
      <c r="G12457" t="s">
        <v>32613</v>
      </c>
      <c r="H12457" t="s">
        <v>14201</v>
      </c>
      <c r="I12457" t="s">
        <v>32640</v>
      </c>
      <c r="J12457" t="s">
        <v>40486</v>
      </c>
      <c r="K12457" t="s">
        <v>42624</v>
      </c>
      <c r="M12457" t="s">
        <v>46319</v>
      </c>
      <c r="N12457" t="s">
        <v>47304</v>
      </c>
      <c r="O12457" t="s">
        <v>47305</v>
      </c>
      <c r="P12457">
        <v>0</v>
      </c>
      <c r="Q12457">
        <v>1</v>
      </c>
      <c r="R12457" t="s">
        <v>47319</v>
      </c>
      <c r="S12457" t="s">
        <v>47813</v>
      </c>
      <c r="T12457" t="s">
        <v>49041</v>
      </c>
      <c r="U12457" t="s">
        <v>59837</v>
      </c>
      <c r="V12457" t="s">
        <v>63994</v>
      </c>
      <c r="W12457" t="s">
        <v>46319</v>
      </c>
      <c r="X12457" t="s">
        <v>47322</v>
      </c>
    </row>
    <row r="12458" spans="1:24">
      <c r="A12458">
        <f>HYPERLINK("https://www.philgeps.gov.ph/GEPSNONPILOT/Tender/SplashBidNoticeAbstractUI.aspx?menuIndex=3&amp;refID=7171028&amp;Result=3","7171028")</f>
        <v>0</v>
      </c>
      <c r="B12458" t="s">
        <v>3505</v>
      </c>
      <c r="C12458" t="s">
        <v>15631</v>
      </c>
      <c r="D12458" t="s">
        <v>19024</v>
      </c>
      <c r="E12458" t="s">
        <v>19561</v>
      </c>
      <c r="F12458" t="s">
        <v>32606</v>
      </c>
      <c r="G12458" t="s">
        <v>32615</v>
      </c>
      <c r="H12458" t="s">
        <v>14201</v>
      </c>
      <c r="I12458" t="s">
        <v>6931</v>
      </c>
      <c r="J12458" t="s">
        <v>40487</v>
      </c>
      <c r="K12458" t="s">
        <v>42631</v>
      </c>
      <c r="M12458" t="s">
        <v>46774</v>
      </c>
      <c r="N12458" t="s">
        <v>47304</v>
      </c>
      <c r="O12458" t="s">
        <v>47305</v>
      </c>
      <c r="P12458">
        <v>0</v>
      </c>
      <c r="Q12458">
        <v>0</v>
      </c>
      <c r="R12458" t="s">
        <v>47319</v>
      </c>
      <c r="S12458" t="s">
        <v>47813</v>
      </c>
      <c r="T12458" t="s">
        <v>49071</v>
      </c>
      <c r="U12458" t="s">
        <v>59838</v>
      </c>
      <c r="W12458" t="s">
        <v>46774</v>
      </c>
      <c r="X12458" t="s">
        <v>47320</v>
      </c>
    </row>
    <row r="12459" spans="1:24">
      <c r="A12459">
        <f>HYPERLINK("https://www.philgeps.gov.ph/GEPSNONPILOT/Tender/SplashBidNoticeAbstractUI.aspx?menuIndex=3&amp;refID=7170991&amp;Result=3","7170991")</f>
        <v>0</v>
      </c>
      <c r="B12459" t="s">
        <v>233</v>
      </c>
      <c r="C12459" t="s">
        <v>15632</v>
      </c>
      <c r="D12459" t="s">
        <v>18997</v>
      </c>
      <c r="E12459" t="s">
        <v>29672</v>
      </c>
      <c r="F12459" t="s">
        <v>32606</v>
      </c>
      <c r="G12459" t="s">
        <v>32613</v>
      </c>
      <c r="H12459" t="s">
        <v>14201</v>
      </c>
      <c r="I12459" t="s">
        <v>6993</v>
      </c>
      <c r="J12459" t="s">
        <v>34198</v>
      </c>
      <c r="K12459" t="s">
        <v>42631</v>
      </c>
      <c r="M12459" t="s">
        <v>46037</v>
      </c>
      <c r="N12459" t="s">
        <v>47304</v>
      </c>
      <c r="O12459" t="s">
        <v>47305</v>
      </c>
      <c r="Q12459">
        <v>0</v>
      </c>
      <c r="R12459" t="s">
        <v>47319</v>
      </c>
      <c r="S12459" t="s">
        <v>47830</v>
      </c>
      <c r="T12459" t="s">
        <v>49065</v>
      </c>
      <c r="U12459" t="s">
        <v>57116</v>
      </c>
      <c r="V12459" t="s">
        <v>63002</v>
      </c>
      <c r="W12459" t="s">
        <v>46037</v>
      </c>
      <c r="X12459" t="s">
        <v>47320</v>
      </c>
    </row>
    <row r="12460" spans="1:24">
      <c r="A12460">
        <f>HYPERLINK("https://www.philgeps.gov.ph/GEPSNONPILOT/Tender/SplashBidNoticeAbstractUI.aspx?menuIndex=3&amp;refID=7170967&amp;Result=3","7170967")</f>
        <v>0</v>
      </c>
      <c r="B12460" t="s">
        <v>2595</v>
      </c>
      <c r="C12460" t="s">
        <v>15633</v>
      </c>
      <c r="D12460" t="s">
        <v>19033</v>
      </c>
      <c r="E12460" t="s">
        <v>29673</v>
      </c>
      <c r="F12460" t="s">
        <v>32606</v>
      </c>
      <c r="G12460" t="s">
        <v>32613</v>
      </c>
      <c r="H12460" t="s">
        <v>14201</v>
      </c>
      <c r="I12460" t="s">
        <v>4120</v>
      </c>
      <c r="J12460" t="s">
        <v>40488</v>
      </c>
      <c r="K12460" t="s">
        <v>42631</v>
      </c>
      <c r="M12460" t="s">
        <v>45739</v>
      </c>
      <c r="N12460" t="s">
        <v>47304</v>
      </c>
      <c r="O12460" t="s">
        <v>47305</v>
      </c>
      <c r="P12460">
        <v>0</v>
      </c>
      <c r="Q12460">
        <v>3</v>
      </c>
      <c r="R12460" t="s">
        <v>47319</v>
      </c>
      <c r="S12460" t="s">
        <v>47813</v>
      </c>
      <c r="T12460" t="s">
        <v>49116</v>
      </c>
      <c r="U12460" t="s">
        <v>59839</v>
      </c>
      <c r="V12460" t="s">
        <v>63464</v>
      </c>
      <c r="W12460" t="s">
        <v>45739</v>
      </c>
      <c r="X12460" t="s">
        <v>47320</v>
      </c>
    </row>
    <row r="12461" spans="1:24">
      <c r="A12461">
        <f>HYPERLINK("https://www.philgeps.gov.ph/GEPSNONPILOT/Tender/SplashBidNoticeAbstractUI.aspx?menuIndex=3&amp;refID=7171016&amp;Result=3","7171016")</f>
        <v>0</v>
      </c>
      <c r="B12461" t="s">
        <v>3506</v>
      </c>
      <c r="C12461" t="s">
        <v>15634</v>
      </c>
      <c r="D12461" t="s">
        <v>19010</v>
      </c>
      <c r="E12461" t="s">
        <v>29674</v>
      </c>
      <c r="F12461" t="s">
        <v>32606</v>
      </c>
      <c r="G12461" t="s">
        <v>32613</v>
      </c>
      <c r="H12461" t="s">
        <v>14201</v>
      </c>
      <c r="I12461" t="s">
        <v>9013</v>
      </c>
      <c r="J12461" t="s">
        <v>40489</v>
      </c>
      <c r="K12461" t="s">
        <v>42638</v>
      </c>
      <c r="M12461" t="s">
        <v>46775</v>
      </c>
      <c r="N12461" t="s">
        <v>47304</v>
      </c>
      <c r="O12461" t="s">
        <v>47305</v>
      </c>
      <c r="P12461">
        <v>0</v>
      </c>
      <c r="Q12461">
        <v>0</v>
      </c>
      <c r="R12461" t="s">
        <v>47319</v>
      </c>
      <c r="S12461" t="s">
        <v>47813</v>
      </c>
      <c r="T12461" t="s">
        <v>49268</v>
      </c>
      <c r="U12461" t="s">
        <v>59840</v>
      </c>
      <c r="V12461" t="s">
        <v>63995</v>
      </c>
      <c r="W12461" t="s">
        <v>46775</v>
      </c>
      <c r="X12461" t="s">
        <v>47320</v>
      </c>
    </row>
    <row r="12462" spans="1:24">
      <c r="A12462">
        <f>HYPERLINK("https://www.philgeps.gov.ph/GEPSNONPILOT/Tender/SplashBidNoticeAbstractUI.aspx?menuIndex=3&amp;refID=7170939&amp;Result=3","7170939")</f>
        <v>0</v>
      </c>
      <c r="B12462" t="s">
        <v>146</v>
      </c>
      <c r="C12462" t="s">
        <v>15635</v>
      </c>
      <c r="D12462" t="s">
        <v>19011</v>
      </c>
      <c r="E12462" t="s">
        <v>29675</v>
      </c>
      <c r="F12462" t="s">
        <v>32606</v>
      </c>
      <c r="G12462" t="s">
        <v>32613</v>
      </c>
      <c r="H12462" t="s">
        <v>32623</v>
      </c>
      <c r="I12462" t="s">
        <v>17648</v>
      </c>
      <c r="J12462" t="s">
        <v>32765</v>
      </c>
      <c r="K12462" t="s">
        <v>42631</v>
      </c>
      <c r="M12462" t="s">
        <v>43047</v>
      </c>
      <c r="N12462" t="s">
        <v>47304</v>
      </c>
      <c r="O12462" t="s">
        <v>47305</v>
      </c>
      <c r="P12462">
        <v>0</v>
      </c>
      <c r="Q12462">
        <v>0</v>
      </c>
      <c r="R12462" t="s">
        <v>47319</v>
      </c>
      <c r="S12462" t="s">
        <v>47813</v>
      </c>
      <c r="T12462" t="s">
        <v>48998</v>
      </c>
      <c r="U12462" t="s">
        <v>59841</v>
      </c>
      <c r="V12462" t="s">
        <v>61742</v>
      </c>
      <c r="W12462" t="s">
        <v>43047</v>
      </c>
      <c r="X12462" t="s">
        <v>47320</v>
      </c>
    </row>
    <row r="12463" spans="1:24">
      <c r="A12463">
        <f>HYPERLINK("https://www.philgeps.gov.ph/GEPSNONPILOT/Tender/SplashBidNoticeAbstractUI.aspx?menuIndex=3&amp;refID=7170936&amp;Result=3","7170936")</f>
        <v>0</v>
      </c>
      <c r="B12463" t="s">
        <v>2524</v>
      </c>
      <c r="C12463" t="s">
        <v>15636</v>
      </c>
      <c r="D12463" t="s">
        <v>18988</v>
      </c>
      <c r="E12463" t="s">
        <v>20536</v>
      </c>
      <c r="F12463" t="s">
        <v>32606</v>
      </c>
      <c r="G12463" t="s">
        <v>32613</v>
      </c>
      <c r="H12463" t="s">
        <v>14201</v>
      </c>
      <c r="I12463" t="s">
        <v>4678</v>
      </c>
      <c r="J12463" t="s">
        <v>33685</v>
      </c>
      <c r="K12463" t="s">
        <v>42622</v>
      </c>
      <c r="M12463" t="s">
        <v>45665</v>
      </c>
      <c r="N12463" t="s">
        <v>47304</v>
      </c>
      <c r="O12463" t="s">
        <v>47305</v>
      </c>
      <c r="P12463">
        <v>0</v>
      </c>
      <c r="Q12463">
        <v>4</v>
      </c>
      <c r="R12463" t="s">
        <v>47319</v>
      </c>
      <c r="S12463" t="s">
        <v>47813</v>
      </c>
      <c r="T12463" t="s">
        <v>48987</v>
      </c>
      <c r="U12463" t="s">
        <v>59842</v>
      </c>
      <c r="W12463" t="s">
        <v>45665</v>
      </c>
      <c r="X12463" t="s">
        <v>47320</v>
      </c>
    </row>
    <row r="12464" spans="1:24">
      <c r="A12464">
        <f>HYPERLINK("https://www.philgeps.gov.ph/GEPSNONPILOT/Tender/SplashBidNoticeAbstractUI.aspx?menuIndex=3&amp;refID=7170851&amp;Result=3","7170851")</f>
        <v>0</v>
      </c>
      <c r="B12464" t="s">
        <v>2115</v>
      </c>
      <c r="C12464" t="s">
        <v>15637</v>
      </c>
      <c r="D12464" t="s">
        <v>19008</v>
      </c>
      <c r="E12464" t="s">
        <v>29676</v>
      </c>
      <c r="F12464" t="s">
        <v>32606</v>
      </c>
      <c r="G12464" t="s">
        <v>32613</v>
      </c>
      <c r="H12464" t="s">
        <v>14201</v>
      </c>
      <c r="I12464" t="s">
        <v>32662</v>
      </c>
      <c r="J12464" t="s">
        <v>32861</v>
      </c>
      <c r="K12464" t="s">
        <v>42638</v>
      </c>
      <c r="M12464" t="s">
        <v>45789</v>
      </c>
      <c r="N12464" t="s">
        <v>47304</v>
      </c>
      <c r="O12464" t="s">
        <v>47305</v>
      </c>
      <c r="P12464">
        <v>0</v>
      </c>
      <c r="Q12464">
        <v>9</v>
      </c>
      <c r="R12464" t="s">
        <v>47319</v>
      </c>
      <c r="S12464" t="s">
        <v>47813</v>
      </c>
      <c r="T12464" t="s">
        <v>48992</v>
      </c>
      <c r="U12464" t="s">
        <v>59843</v>
      </c>
      <c r="V12464" t="s">
        <v>63377</v>
      </c>
      <c r="W12464" t="s">
        <v>45789</v>
      </c>
      <c r="X12464" t="s">
        <v>47320</v>
      </c>
    </row>
    <row r="12465" spans="1:24">
      <c r="A12465">
        <f>HYPERLINK("https://www.philgeps.gov.ph/GEPSNONPILOT/Tender/SplashBidNoticeAbstractUI.aspx?menuIndex=3&amp;refID=7170994&amp;Result=3","7170994")</f>
        <v>0</v>
      </c>
      <c r="B12465" t="s">
        <v>3507</v>
      </c>
      <c r="C12465" t="s">
        <v>15638</v>
      </c>
      <c r="D12465" t="s">
        <v>19000</v>
      </c>
      <c r="E12465" t="s">
        <v>29677</v>
      </c>
      <c r="F12465" t="s">
        <v>32606</v>
      </c>
      <c r="G12465" t="s">
        <v>32613</v>
      </c>
      <c r="H12465" t="s">
        <v>32623</v>
      </c>
      <c r="I12465" t="s">
        <v>17648</v>
      </c>
      <c r="J12465" t="s">
        <v>40490</v>
      </c>
      <c r="K12465" t="s">
        <v>42712</v>
      </c>
      <c r="M12465" t="s">
        <v>46776</v>
      </c>
      <c r="N12465" t="s">
        <v>47304</v>
      </c>
      <c r="O12465" t="s">
        <v>47305</v>
      </c>
      <c r="P12465">
        <v>0</v>
      </c>
      <c r="Q12465">
        <v>23</v>
      </c>
      <c r="R12465" t="s">
        <v>47319</v>
      </c>
      <c r="S12465" t="s">
        <v>47813</v>
      </c>
      <c r="T12465" t="s">
        <v>48990</v>
      </c>
      <c r="U12465" t="s">
        <v>59844</v>
      </c>
      <c r="W12465" t="s">
        <v>46776</v>
      </c>
      <c r="X12465" t="s">
        <v>47320</v>
      </c>
    </row>
    <row r="12466" spans="1:24">
      <c r="A12466">
        <f>HYPERLINK("https://www.philgeps.gov.ph/GEPSNONPILOT/Tender/SplashBidNoticeAbstractUI.aspx?menuIndex=3&amp;refID=7170986&amp;Result=3","7170986")</f>
        <v>0</v>
      </c>
      <c r="B12466" t="s">
        <v>2524</v>
      </c>
      <c r="C12466" t="s">
        <v>15639</v>
      </c>
      <c r="D12466" t="s">
        <v>18988</v>
      </c>
      <c r="E12466" t="s">
        <v>20027</v>
      </c>
      <c r="F12466" t="s">
        <v>32606</v>
      </c>
      <c r="G12466" t="s">
        <v>32613</v>
      </c>
      <c r="H12466" t="s">
        <v>14201</v>
      </c>
      <c r="I12466" t="s">
        <v>4678</v>
      </c>
      <c r="J12466" t="s">
        <v>37227</v>
      </c>
      <c r="K12466" t="s">
        <v>42632</v>
      </c>
      <c r="M12466" t="s">
        <v>45665</v>
      </c>
      <c r="N12466" t="s">
        <v>47304</v>
      </c>
      <c r="O12466" t="s">
        <v>47305</v>
      </c>
      <c r="P12466">
        <v>0</v>
      </c>
      <c r="Q12466">
        <v>5</v>
      </c>
      <c r="R12466" t="s">
        <v>47319</v>
      </c>
      <c r="S12466" t="s">
        <v>47813</v>
      </c>
      <c r="T12466" t="s">
        <v>48987</v>
      </c>
      <c r="U12466" t="s">
        <v>59845</v>
      </c>
      <c r="W12466" t="s">
        <v>45665</v>
      </c>
      <c r="X12466" t="s">
        <v>47320</v>
      </c>
    </row>
    <row r="12467" spans="1:24">
      <c r="A12467">
        <f>HYPERLINK("https://www.philgeps.gov.ph/GEPSNONPILOT/Tender/SplashBidNoticeAbstractUI.aspx?menuIndex=3&amp;refID=7170977&amp;Result=3","7170977")</f>
        <v>0</v>
      </c>
      <c r="B12467" t="s">
        <v>935</v>
      </c>
      <c r="C12467" t="s">
        <v>15640</v>
      </c>
      <c r="D12467" t="s">
        <v>19006</v>
      </c>
      <c r="E12467" t="s">
        <v>29678</v>
      </c>
      <c r="F12467" t="s">
        <v>32606</v>
      </c>
      <c r="G12467" t="s">
        <v>32613</v>
      </c>
      <c r="H12467" t="s">
        <v>14201</v>
      </c>
      <c r="I12467" t="s">
        <v>6931</v>
      </c>
      <c r="J12467" t="s">
        <v>40491</v>
      </c>
      <c r="K12467" t="s">
        <v>42631</v>
      </c>
      <c r="M12467" t="s">
        <v>43875</v>
      </c>
      <c r="N12467" t="s">
        <v>47304</v>
      </c>
      <c r="O12467" t="s">
        <v>47305</v>
      </c>
      <c r="P12467">
        <v>0</v>
      </c>
      <c r="Q12467">
        <v>0</v>
      </c>
      <c r="R12467" t="s">
        <v>47319</v>
      </c>
      <c r="S12467" t="s">
        <v>47813</v>
      </c>
      <c r="T12467" t="s">
        <v>49066</v>
      </c>
      <c r="U12467" t="s">
        <v>59846</v>
      </c>
      <c r="W12467" t="s">
        <v>43875</v>
      </c>
      <c r="X12467" t="s">
        <v>47320</v>
      </c>
    </row>
    <row r="12468" spans="1:24">
      <c r="A12468">
        <f>HYPERLINK("https://www.philgeps.gov.ph/GEPSNONPILOT/Tender/SplashBidNoticeAbstractUI.aspx?menuIndex=3&amp;refID=7170848&amp;Result=3","7170848")</f>
        <v>0</v>
      </c>
      <c r="B12468" t="s">
        <v>1507</v>
      </c>
      <c r="C12468" t="s">
        <v>15641</v>
      </c>
      <c r="D12468" t="s">
        <v>19039</v>
      </c>
      <c r="E12468" t="s">
        <v>29679</v>
      </c>
      <c r="F12468" t="s">
        <v>32607</v>
      </c>
      <c r="G12468" t="s">
        <v>32614</v>
      </c>
      <c r="H12468" t="s">
        <v>14201</v>
      </c>
      <c r="I12468" t="s">
        <v>32657</v>
      </c>
      <c r="J12468" t="s">
        <v>32981</v>
      </c>
      <c r="K12468" t="s">
        <v>42631</v>
      </c>
      <c r="M12468" t="s">
        <v>44505</v>
      </c>
      <c r="N12468" t="s">
        <v>47304</v>
      </c>
      <c r="O12468" t="s">
        <v>47305</v>
      </c>
      <c r="P12468">
        <v>0</v>
      </c>
      <c r="Q12468">
        <v>1</v>
      </c>
      <c r="R12468" t="s">
        <v>47319</v>
      </c>
      <c r="S12468" t="s">
        <v>47813</v>
      </c>
      <c r="T12468" t="s">
        <v>49257</v>
      </c>
      <c r="U12468" t="s">
        <v>59847</v>
      </c>
      <c r="W12468" t="s">
        <v>44505</v>
      </c>
      <c r="X12468" t="s">
        <v>47320</v>
      </c>
    </row>
    <row r="12469" spans="1:24">
      <c r="A12469">
        <f>HYPERLINK("https://www.philgeps.gov.ph/GEPSNONPILOT/Tender/SplashBidNoticeAbstractUI.aspx?menuIndex=3&amp;refID=7171008&amp;Result=3","7171008")</f>
        <v>0</v>
      </c>
      <c r="B12469" t="s">
        <v>2534</v>
      </c>
      <c r="C12469" t="s">
        <v>15642</v>
      </c>
      <c r="D12469" t="s">
        <v>19003</v>
      </c>
      <c r="E12469" t="s">
        <v>29680</v>
      </c>
      <c r="F12469" t="s">
        <v>32606</v>
      </c>
      <c r="G12469" t="s">
        <v>32613</v>
      </c>
      <c r="H12469" t="s">
        <v>14201</v>
      </c>
      <c r="I12469" t="s">
        <v>6931</v>
      </c>
      <c r="J12469" t="s">
        <v>40492</v>
      </c>
      <c r="K12469" t="s">
        <v>42622</v>
      </c>
      <c r="M12469" t="s">
        <v>45674</v>
      </c>
      <c r="N12469" t="s">
        <v>47304</v>
      </c>
      <c r="O12469" t="s">
        <v>47305</v>
      </c>
      <c r="Q12469">
        <v>0</v>
      </c>
      <c r="R12469" t="s">
        <v>47319</v>
      </c>
      <c r="S12469" t="s">
        <v>47831</v>
      </c>
      <c r="T12469" t="s">
        <v>49165</v>
      </c>
      <c r="U12469" t="s">
        <v>59848</v>
      </c>
      <c r="V12469" t="s">
        <v>63996</v>
      </c>
      <c r="W12469" t="s">
        <v>45674</v>
      </c>
      <c r="X12469" t="s">
        <v>47320</v>
      </c>
    </row>
    <row r="12470" spans="1:24">
      <c r="A12470">
        <f>HYPERLINK("https://www.philgeps.gov.ph/GEPSNONPILOT/Tender/SplashBidNoticeAbstractUI.aspx?menuIndex=3&amp;refID=7170740&amp;Result=3","7170740")</f>
        <v>0</v>
      </c>
      <c r="B12470" t="s">
        <v>3503</v>
      </c>
      <c r="C12470" t="s">
        <v>15643</v>
      </c>
      <c r="D12470" t="s">
        <v>18990</v>
      </c>
      <c r="E12470" t="s">
        <v>29681</v>
      </c>
      <c r="F12470" t="s">
        <v>32610</v>
      </c>
      <c r="G12470" t="s">
        <v>32618</v>
      </c>
      <c r="H12470" t="s">
        <v>14201</v>
      </c>
      <c r="I12470" t="s">
        <v>6298</v>
      </c>
      <c r="J12470" t="s">
        <v>40493</v>
      </c>
      <c r="K12470" t="s">
        <v>42631</v>
      </c>
      <c r="M12470" t="s">
        <v>46771</v>
      </c>
      <c r="N12470" t="s">
        <v>47304</v>
      </c>
      <c r="O12470" t="s">
        <v>47305</v>
      </c>
      <c r="Q12470">
        <v>1</v>
      </c>
      <c r="R12470" t="s">
        <v>47319</v>
      </c>
      <c r="S12470" t="s">
        <v>47832</v>
      </c>
      <c r="T12470" t="s">
        <v>49198</v>
      </c>
      <c r="U12470" t="s">
        <v>59849</v>
      </c>
      <c r="V12470" t="s">
        <v>63992</v>
      </c>
      <c r="W12470" t="s">
        <v>46771</v>
      </c>
      <c r="X12470" t="s">
        <v>47320</v>
      </c>
    </row>
    <row r="12471" spans="1:24">
      <c r="A12471">
        <f>HYPERLINK("https://www.philgeps.gov.ph/GEPSNONPILOT/Tender/SplashBidNoticeAbstractUI.aspx?menuIndex=3&amp;refID=7170739&amp;Result=3","7170739")</f>
        <v>0</v>
      </c>
      <c r="B12471" t="s">
        <v>3503</v>
      </c>
      <c r="C12471" t="s">
        <v>15644</v>
      </c>
      <c r="D12471" t="s">
        <v>18990</v>
      </c>
      <c r="E12471" t="s">
        <v>29682</v>
      </c>
      <c r="F12471" t="s">
        <v>32610</v>
      </c>
      <c r="G12471" t="s">
        <v>32618</v>
      </c>
      <c r="H12471" t="s">
        <v>14201</v>
      </c>
      <c r="I12471" t="s">
        <v>32640</v>
      </c>
      <c r="J12471" t="s">
        <v>40494</v>
      </c>
      <c r="K12471" t="s">
        <v>42631</v>
      </c>
      <c r="M12471" t="s">
        <v>46771</v>
      </c>
      <c r="N12471" t="s">
        <v>47304</v>
      </c>
      <c r="O12471" t="s">
        <v>47305</v>
      </c>
      <c r="Q12471">
        <v>2</v>
      </c>
      <c r="R12471" t="s">
        <v>47319</v>
      </c>
      <c r="S12471" t="s">
        <v>47833</v>
      </c>
      <c r="T12471" t="s">
        <v>49198</v>
      </c>
      <c r="U12471" t="s">
        <v>59850</v>
      </c>
      <c r="V12471" t="s">
        <v>63992</v>
      </c>
      <c r="W12471" t="s">
        <v>46771</v>
      </c>
      <c r="X12471" t="s">
        <v>47320</v>
      </c>
    </row>
    <row r="12472" spans="1:24">
      <c r="A12472">
        <f>HYPERLINK("https://www.philgeps.gov.ph/GEPSNONPILOT/Tender/SplashBidNoticeAbstractUI.aspx?menuIndex=3&amp;refID=7170915&amp;Result=3","7170915")</f>
        <v>0</v>
      </c>
      <c r="B12472" t="s">
        <v>2524</v>
      </c>
      <c r="C12472" t="s">
        <v>15645</v>
      </c>
      <c r="D12472" t="s">
        <v>18988</v>
      </c>
      <c r="E12472" t="s">
        <v>20335</v>
      </c>
      <c r="F12472" t="s">
        <v>32606</v>
      </c>
      <c r="G12472" t="s">
        <v>32613</v>
      </c>
      <c r="H12472" t="s">
        <v>14201</v>
      </c>
      <c r="I12472" t="s">
        <v>4120</v>
      </c>
      <c r="J12472" t="s">
        <v>40495</v>
      </c>
      <c r="K12472" t="s">
        <v>42622</v>
      </c>
      <c r="M12472" t="s">
        <v>45665</v>
      </c>
      <c r="N12472" t="s">
        <v>47304</v>
      </c>
      <c r="O12472" t="s">
        <v>47305</v>
      </c>
      <c r="P12472">
        <v>0</v>
      </c>
      <c r="Q12472">
        <v>3</v>
      </c>
      <c r="R12472" t="s">
        <v>47319</v>
      </c>
      <c r="S12472" t="s">
        <v>47813</v>
      </c>
      <c r="T12472" t="s">
        <v>48987</v>
      </c>
      <c r="U12472" t="s">
        <v>59851</v>
      </c>
      <c r="W12472" t="s">
        <v>45665</v>
      </c>
      <c r="X12472" t="s">
        <v>47320</v>
      </c>
    </row>
    <row r="12473" spans="1:24">
      <c r="A12473">
        <f>HYPERLINK("https://www.philgeps.gov.ph/GEPSNONPILOT/Tender/SplashBidNoticeAbstractUI.aspx?menuIndex=3&amp;refID=7171372&amp;Result=3","7171372")</f>
        <v>0</v>
      </c>
      <c r="B12473" t="s">
        <v>3508</v>
      </c>
      <c r="C12473" t="s">
        <v>15646</v>
      </c>
      <c r="D12473" t="s">
        <v>19057</v>
      </c>
      <c r="E12473" t="s">
        <v>21235</v>
      </c>
      <c r="F12473" t="s">
        <v>32607</v>
      </c>
      <c r="G12473" t="s">
        <v>32613</v>
      </c>
      <c r="H12473" t="s">
        <v>14201</v>
      </c>
      <c r="I12473" t="s">
        <v>6931</v>
      </c>
      <c r="J12473" t="s">
        <v>40496</v>
      </c>
      <c r="K12473" t="s">
        <v>42623</v>
      </c>
      <c r="M12473" t="s">
        <v>46777</v>
      </c>
      <c r="N12473" t="s">
        <v>47304</v>
      </c>
      <c r="O12473" t="s">
        <v>47305</v>
      </c>
      <c r="P12473">
        <v>0</v>
      </c>
      <c r="Q12473">
        <v>0</v>
      </c>
      <c r="R12473" t="s">
        <v>47319</v>
      </c>
      <c r="S12473" t="s">
        <v>47813</v>
      </c>
      <c r="T12473" t="s">
        <v>48986</v>
      </c>
      <c r="U12473" t="s">
        <v>59852</v>
      </c>
      <c r="W12473" t="s">
        <v>46777</v>
      </c>
      <c r="X12473" t="s">
        <v>47320</v>
      </c>
    </row>
    <row r="12474" spans="1:24">
      <c r="A12474">
        <f>HYPERLINK("https://www.philgeps.gov.ph/GEPSNONPILOT/Tender/SplashBidNoticeAbstractUI.aspx?menuIndex=3&amp;refID=7171370&amp;Result=3","7171370")</f>
        <v>0</v>
      </c>
      <c r="B12474" t="s">
        <v>1365</v>
      </c>
      <c r="C12474" t="s">
        <v>15647</v>
      </c>
      <c r="D12474" t="s">
        <v>19001</v>
      </c>
      <c r="E12474" t="s">
        <v>29683</v>
      </c>
      <c r="F12474" t="s">
        <v>32606</v>
      </c>
      <c r="G12474" t="s">
        <v>32613</v>
      </c>
      <c r="H12474" t="s">
        <v>14201</v>
      </c>
      <c r="I12474" t="s">
        <v>4121</v>
      </c>
      <c r="J12474" t="s">
        <v>34591</v>
      </c>
      <c r="K12474" t="s">
        <v>42636</v>
      </c>
      <c r="M12474" t="s">
        <v>44342</v>
      </c>
      <c r="N12474" t="s">
        <v>47304</v>
      </c>
      <c r="O12474" t="s">
        <v>47305</v>
      </c>
      <c r="P12474">
        <v>0</v>
      </c>
      <c r="Q12474">
        <v>6</v>
      </c>
      <c r="R12474" t="s">
        <v>47319</v>
      </c>
      <c r="S12474" t="s">
        <v>47813</v>
      </c>
      <c r="T12474" t="s">
        <v>48987</v>
      </c>
      <c r="U12474" t="s">
        <v>59853</v>
      </c>
      <c r="W12474" t="s">
        <v>44342</v>
      </c>
      <c r="X12474" t="s">
        <v>47320</v>
      </c>
    </row>
    <row r="12475" spans="1:24">
      <c r="A12475">
        <f>HYPERLINK("https://www.philgeps.gov.ph/GEPSNONPILOT/Tender/SplashBidNoticeAbstractUI.aspx?menuIndex=3&amp;refID=7171002&amp;Result=3","7171002")</f>
        <v>0</v>
      </c>
      <c r="B12475" t="s">
        <v>1829</v>
      </c>
      <c r="C12475" t="s">
        <v>15648</v>
      </c>
      <c r="D12475" t="s">
        <v>19007</v>
      </c>
      <c r="E12475" t="s">
        <v>29684</v>
      </c>
      <c r="F12475" t="s">
        <v>32606</v>
      </c>
      <c r="G12475" t="s">
        <v>32613</v>
      </c>
      <c r="H12475" t="s">
        <v>32623</v>
      </c>
      <c r="I12475" t="s">
        <v>17648</v>
      </c>
      <c r="J12475" t="s">
        <v>40497</v>
      </c>
      <c r="K12475" t="s">
        <v>42639</v>
      </c>
      <c r="L12475" t="s">
        <v>1829</v>
      </c>
      <c r="M12475" t="s">
        <v>44876</v>
      </c>
      <c r="N12475" t="s">
        <v>47304</v>
      </c>
      <c r="O12475" t="s">
        <v>47305</v>
      </c>
      <c r="P12475">
        <v>0</v>
      </c>
      <c r="Q12475">
        <v>0</v>
      </c>
      <c r="R12475" t="s">
        <v>47319</v>
      </c>
      <c r="S12475" t="s">
        <v>47813</v>
      </c>
      <c r="T12475" t="s">
        <v>49103</v>
      </c>
      <c r="U12475" t="s">
        <v>59854</v>
      </c>
      <c r="W12475" t="s">
        <v>44876</v>
      </c>
      <c r="X12475" t="s">
        <v>47320</v>
      </c>
    </row>
    <row r="12476" spans="1:24">
      <c r="A12476">
        <f>HYPERLINK("https://www.philgeps.gov.ph/GEPSNONPILOT/Tender/SplashBidNoticeAbstractUI.aspx?menuIndex=3&amp;refID=7171354&amp;Result=3","7171354")</f>
        <v>0</v>
      </c>
      <c r="B12476" t="s">
        <v>196</v>
      </c>
      <c r="C12476" t="s">
        <v>15649</v>
      </c>
      <c r="D12476" t="s">
        <v>19027</v>
      </c>
      <c r="E12476" t="s">
        <v>29685</v>
      </c>
      <c r="F12476" t="s">
        <v>32607</v>
      </c>
      <c r="G12476" t="s">
        <v>32613</v>
      </c>
      <c r="H12476" t="s">
        <v>14201</v>
      </c>
      <c r="I12476" t="s">
        <v>4678</v>
      </c>
      <c r="J12476" t="s">
        <v>32799</v>
      </c>
      <c r="K12476" t="s">
        <v>42623</v>
      </c>
      <c r="M12476" t="s">
        <v>43097</v>
      </c>
      <c r="N12476" t="s">
        <v>47304</v>
      </c>
      <c r="O12476" t="s">
        <v>47305</v>
      </c>
      <c r="P12476">
        <v>0</v>
      </c>
      <c r="Q12476">
        <v>5</v>
      </c>
      <c r="R12476" t="s">
        <v>47319</v>
      </c>
      <c r="S12476" t="s">
        <v>47813</v>
      </c>
      <c r="T12476" t="s">
        <v>49392</v>
      </c>
      <c r="U12476" t="s">
        <v>59855</v>
      </c>
      <c r="W12476" t="s">
        <v>43097</v>
      </c>
      <c r="X12476" t="s">
        <v>47320</v>
      </c>
    </row>
    <row r="12477" spans="1:24">
      <c r="A12477">
        <f>HYPERLINK("https://www.philgeps.gov.ph/GEPSNONPILOT/Tender/SplashBidNoticeAbstractUI.aspx?menuIndex=3&amp;refID=7171346&amp;Result=3","7171346")</f>
        <v>0</v>
      </c>
      <c r="B12477" t="s">
        <v>3492</v>
      </c>
      <c r="C12477" t="s">
        <v>15650</v>
      </c>
      <c r="D12477" t="s">
        <v>19052</v>
      </c>
      <c r="E12477" t="s">
        <v>29686</v>
      </c>
      <c r="F12477" t="s">
        <v>32606</v>
      </c>
      <c r="G12477" t="s">
        <v>32613</v>
      </c>
      <c r="H12477" t="s">
        <v>14201</v>
      </c>
      <c r="I12477" t="s">
        <v>7064</v>
      </c>
      <c r="J12477" t="s">
        <v>40498</v>
      </c>
      <c r="K12477" t="s">
        <v>42631</v>
      </c>
      <c r="M12477" t="s">
        <v>46758</v>
      </c>
      <c r="N12477" t="s">
        <v>47304</v>
      </c>
      <c r="O12477" t="s">
        <v>47305</v>
      </c>
      <c r="Q12477">
        <v>5</v>
      </c>
      <c r="R12477" t="s">
        <v>47319</v>
      </c>
      <c r="S12477" t="s">
        <v>47834</v>
      </c>
      <c r="T12477" t="s">
        <v>49016</v>
      </c>
      <c r="U12477" t="s">
        <v>59856</v>
      </c>
      <c r="W12477" t="s">
        <v>46758</v>
      </c>
      <c r="X12477" t="s">
        <v>47320</v>
      </c>
    </row>
    <row r="12478" spans="1:24">
      <c r="A12478">
        <f>HYPERLINK("https://www.philgeps.gov.ph/GEPSNONPILOT/Tender/SplashBidNoticeAbstractUI.aspx?menuIndex=3&amp;refID=7171308&amp;Result=3","7171308")</f>
        <v>0</v>
      </c>
      <c r="B12478" t="s">
        <v>3509</v>
      </c>
      <c r="C12478" t="s">
        <v>15651</v>
      </c>
      <c r="D12478" t="s">
        <v>19039</v>
      </c>
      <c r="E12478" t="s">
        <v>29687</v>
      </c>
      <c r="F12478" t="s">
        <v>32606</v>
      </c>
      <c r="G12478" t="s">
        <v>32613</v>
      </c>
      <c r="H12478" t="s">
        <v>14201</v>
      </c>
      <c r="I12478" t="s">
        <v>9013</v>
      </c>
      <c r="J12478" t="s">
        <v>40499</v>
      </c>
      <c r="K12478" t="s">
        <v>42636</v>
      </c>
      <c r="M12478" t="s">
        <v>46778</v>
      </c>
      <c r="N12478" t="s">
        <v>47304</v>
      </c>
      <c r="O12478" t="s">
        <v>47305</v>
      </c>
      <c r="Q12478">
        <v>6</v>
      </c>
      <c r="R12478" t="s">
        <v>47319</v>
      </c>
      <c r="S12478" t="s">
        <v>47835</v>
      </c>
      <c r="T12478" t="s">
        <v>49140</v>
      </c>
      <c r="U12478" t="s">
        <v>59857</v>
      </c>
      <c r="V12478" t="s">
        <v>63997</v>
      </c>
      <c r="W12478" t="s">
        <v>46778</v>
      </c>
      <c r="X12478" t="s">
        <v>47320</v>
      </c>
    </row>
    <row r="12479" spans="1:24">
      <c r="A12479">
        <f>HYPERLINK("https://www.philgeps.gov.ph/GEPSNONPILOT/Tender/SplashBidNoticeAbstractUI.aspx?menuIndex=3&amp;refID=7171134&amp;Result=3","7171134")</f>
        <v>0</v>
      </c>
      <c r="B12479" t="s">
        <v>3504</v>
      </c>
      <c r="C12479" t="s">
        <v>15652</v>
      </c>
      <c r="D12479" t="s">
        <v>19010</v>
      </c>
      <c r="E12479" t="s">
        <v>29688</v>
      </c>
      <c r="F12479" t="s">
        <v>32606</v>
      </c>
      <c r="G12479" t="s">
        <v>32613</v>
      </c>
      <c r="H12479" t="s">
        <v>14201</v>
      </c>
      <c r="I12479" t="s">
        <v>32658</v>
      </c>
      <c r="J12479" t="s">
        <v>40500</v>
      </c>
      <c r="K12479" t="s">
        <v>42624</v>
      </c>
      <c r="M12479" t="s">
        <v>46773</v>
      </c>
      <c r="N12479" t="s">
        <v>47304</v>
      </c>
      <c r="O12479" t="s">
        <v>47305</v>
      </c>
      <c r="P12479">
        <v>0</v>
      </c>
      <c r="Q12479">
        <v>0</v>
      </c>
      <c r="R12479" t="s">
        <v>47319</v>
      </c>
      <c r="S12479" t="s">
        <v>47813</v>
      </c>
      <c r="T12479" t="s">
        <v>49023</v>
      </c>
      <c r="U12479" t="s">
        <v>59858</v>
      </c>
      <c r="W12479" t="s">
        <v>46773</v>
      </c>
      <c r="X12479" t="s">
        <v>47320</v>
      </c>
    </row>
    <row r="12480" spans="1:24">
      <c r="A12480">
        <f>HYPERLINK("https://www.philgeps.gov.ph/GEPSNONPILOT/Tender/SplashBidNoticeAbstractUI.aspx?menuIndex=3&amp;refID=7170859&amp;Result=3","7170859")</f>
        <v>0</v>
      </c>
      <c r="B12480" t="s">
        <v>696</v>
      </c>
      <c r="C12480" t="s">
        <v>15653</v>
      </c>
      <c r="D12480" t="s">
        <v>19069</v>
      </c>
      <c r="E12480" t="s">
        <v>29689</v>
      </c>
      <c r="F12480" t="s">
        <v>32606</v>
      </c>
      <c r="G12480" t="s">
        <v>32613</v>
      </c>
      <c r="H12480" t="s">
        <v>14201</v>
      </c>
      <c r="I12480" t="s">
        <v>32686</v>
      </c>
      <c r="J12480" t="s">
        <v>40501</v>
      </c>
      <c r="K12480" t="s">
        <v>42636</v>
      </c>
      <c r="M12480" t="s">
        <v>43969</v>
      </c>
      <c r="N12480" t="s">
        <v>47304</v>
      </c>
      <c r="O12480" t="s">
        <v>47305</v>
      </c>
      <c r="Q12480">
        <v>12</v>
      </c>
      <c r="R12480" t="s">
        <v>47319</v>
      </c>
      <c r="S12480" t="s">
        <v>47836</v>
      </c>
      <c r="T12480" t="s">
        <v>49077</v>
      </c>
      <c r="U12480" t="s">
        <v>59859</v>
      </c>
      <c r="V12480" t="s">
        <v>63998</v>
      </c>
      <c r="W12480" t="s">
        <v>43969</v>
      </c>
      <c r="X12480" t="s">
        <v>47320</v>
      </c>
    </row>
    <row r="12481" spans="1:24">
      <c r="A12481">
        <f>HYPERLINK("https://www.philgeps.gov.ph/GEPSNONPILOT/Tender/SplashBidNoticeAbstractUI.aspx?menuIndex=3&amp;refID=7171349&amp;Result=3","7171349")</f>
        <v>0</v>
      </c>
      <c r="B12481" t="s">
        <v>3510</v>
      </c>
      <c r="C12481" t="s">
        <v>15654</v>
      </c>
      <c r="D12481" t="s">
        <v>19036</v>
      </c>
      <c r="E12481" t="s">
        <v>29690</v>
      </c>
      <c r="F12481" t="s">
        <v>32606</v>
      </c>
      <c r="G12481" t="s">
        <v>32613</v>
      </c>
      <c r="H12481" t="s">
        <v>32623</v>
      </c>
      <c r="I12481" t="s">
        <v>32649</v>
      </c>
      <c r="J12481" t="s">
        <v>34709</v>
      </c>
      <c r="K12481" t="s">
        <v>42623</v>
      </c>
      <c r="M12481" t="s">
        <v>46779</v>
      </c>
      <c r="N12481" t="s">
        <v>47304</v>
      </c>
      <c r="O12481" t="s">
        <v>47305</v>
      </c>
      <c r="P12481">
        <v>0</v>
      </c>
      <c r="Q12481">
        <v>0</v>
      </c>
      <c r="R12481" t="s">
        <v>47319</v>
      </c>
      <c r="S12481" t="s">
        <v>47813</v>
      </c>
      <c r="T12481" t="s">
        <v>49002</v>
      </c>
      <c r="U12481" t="s">
        <v>59860</v>
      </c>
      <c r="W12481" t="s">
        <v>46779</v>
      </c>
      <c r="X12481" t="s">
        <v>47320</v>
      </c>
    </row>
    <row r="12482" spans="1:24">
      <c r="A12482">
        <f>HYPERLINK("https://www.philgeps.gov.ph/GEPSNONPILOT/Tender/SplashBidNoticeAbstractUI.aspx?menuIndex=3&amp;refID=7171255&amp;Result=3","7171255")</f>
        <v>0</v>
      </c>
      <c r="B12482" t="s">
        <v>3511</v>
      </c>
      <c r="C12482" t="s">
        <v>15655</v>
      </c>
      <c r="E12482" t="s">
        <v>21411</v>
      </c>
      <c r="F12482" t="s">
        <v>32606</v>
      </c>
      <c r="G12482" t="s">
        <v>32613</v>
      </c>
      <c r="H12482" t="s">
        <v>32623</v>
      </c>
      <c r="I12482" t="s">
        <v>17648</v>
      </c>
      <c r="J12482" t="s">
        <v>33071</v>
      </c>
      <c r="K12482" t="s">
        <v>42624</v>
      </c>
      <c r="M12482" t="s">
        <v>46780</v>
      </c>
      <c r="N12482" t="s">
        <v>47304</v>
      </c>
      <c r="O12482" t="s">
        <v>47305</v>
      </c>
      <c r="P12482">
        <v>0</v>
      </c>
      <c r="Q12482">
        <v>34</v>
      </c>
      <c r="R12482" t="s">
        <v>47319</v>
      </c>
      <c r="S12482" t="s">
        <v>47813</v>
      </c>
      <c r="T12482" t="s">
        <v>49066</v>
      </c>
      <c r="U12482" t="s">
        <v>59861</v>
      </c>
      <c r="W12482" t="s">
        <v>46780</v>
      </c>
      <c r="X12482" t="s">
        <v>47320</v>
      </c>
    </row>
    <row r="12483" spans="1:24">
      <c r="A12483">
        <f>HYPERLINK("https://www.philgeps.gov.ph/GEPSNONPILOT/Tender/SplashBidNoticeAbstractUI.aspx?menuIndex=3&amp;refID=7171253&amp;Result=3","7171253")</f>
        <v>0</v>
      </c>
      <c r="B12483" t="s">
        <v>3512</v>
      </c>
      <c r="C12483" t="s">
        <v>15656</v>
      </c>
      <c r="D12483" t="s">
        <v>19024</v>
      </c>
      <c r="E12483" t="s">
        <v>29691</v>
      </c>
      <c r="F12483" t="s">
        <v>32606</v>
      </c>
      <c r="G12483" t="s">
        <v>32613</v>
      </c>
      <c r="H12483" t="s">
        <v>32623</v>
      </c>
      <c r="I12483" t="s">
        <v>17648</v>
      </c>
      <c r="J12483" t="s">
        <v>40502</v>
      </c>
      <c r="K12483" t="s">
        <v>42631</v>
      </c>
      <c r="M12483" t="s">
        <v>46781</v>
      </c>
      <c r="N12483" t="s">
        <v>47304</v>
      </c>
      <c r="O12483" t="s">
        <v>47305</v>
      </c>
      <c r="P12483">
        <v>0</v>
      </c>
      <c r="Q12483">
        <v>0</v>
      </c>
      <c r="R12483" t="s">
        <v>47319</v>
      </c>
      <c r="S12483" t="s">
        <v>47813</v>
      </c>
      <c r="T12483" t="s">
        <v>49065</v>
      </c>
      <c r="U12483" t="s">
        <v>59862</v>
      </c>
      <c r="W12483" t="s">
        <v>46781</v>
      </c>
      <c r="X12483" t="s">
        <v>47320</v>
      </c>
    </row>
    <row r="12484" spans="1:24">
      <c r="A12484">
        <f>HYPERLINK("https://www.philgeps.gov.ph/GEPSNONPILOT/Tender/SplashBidNoticeAbstractUI.aspx?menuIndex=3&amp;refID=7171215&amp;Result=3","7171215")</f>
        <v>0</v>
      </c>
      <c r="B12484" t="s">
        <v>3512</v>
      </c>
      <c r="C12484" t="s">
        <v>15657</v>
      </c>
      <c r="D12484" t="s">
        <v>19024</v>
      </c>
      <c r="E12484" t="s">
        <v>29692</v>
      </c>
      <c r="F12484" t="s">
        <v>32606</v>
      </c>
      <c r="G12484" t="s">
        <v>32613</v>
      </c>
      <c r="H12484" t="s">
        <v>32623</v>
      </c>
      <c r="I12484" t="s">
        <v>17648</v>
      </c>
      <c r="J12484" t="s">
        <v>40502</v>
      </c>
      <c r="K12484" t="s">
        <v>42631</v>
      </c>
      <c r="M12484" t="s">
        <v>46781</v>
      </c>
      <c r="N12484" t="s">
        <v>47304</v>
      </c>
      <c r="O12484" t="s">
        <v>47305</v>
      </c>
      <c r="P12484">
        <v>0</v>
      </c>
      <c r="Q12484">
        <v>0</v>
      </c>
      <c r="R12484" t="s">
        <v>47319</v>
      </c>
      <c r="S12484" t="s">
        <v>47813</v>
      </c>
      <c r="T12484" t="s">
        <v>49065</v>
      </c>
      <c r="U12484" t="s">
        <v>59863</v>
      </c>
      <c r="W12484" t="s">
        <v>46781</v>
      </c>
      <c r="X12484" t="s">
        <v>47320</v>
      </c>
    </row>
    <row r="12485" spans="1:24">
      <c r="A12485">
        <f>HYPERLINK("https://www.philgeps.gov.ph/GEPSNONPILOT/Tender/SplashBidNoticeAbstractUI.aspx?menuIndex=3&amp;refID=7171185&amp;Result=3","7171185")</f>
        <v>0</v>
      </c>
      <c r="B12485" t="s">
        <v>3512</v>
      </c>
      <c r="C12485" t="s">
        <v>15658</v>
      </c>
      <c r="D12485" t="s">
        <v>19024</v>
      </c>
      <c r="E12485" t="s">
        <v>29693</v>
      </c>
      <c r="F12485" t="s">
        <v>32606</v>
      </c>
      <c r="G12485" t="s">
        <v>32613</v>
      </c>
      <c r="H12485" t="s">
        <v>32623</v>
      </c>
      <c r="I12485" t="s">
        <v>17648</v>
      </c>
      <c r="J12485" t="s">
        <v>40503</v>
      </c>
      <c r="K12485" t="s">
        <v>42636</v>
      </c>
      <c r="M12485" t="s">
        <v>46781</v>
      </c>
      <c r="N12485" t="s">
        <v>47304</v>
      </c>
      <c r="O12485" t="s">
        <v>47305</v>
      </c>
      <c r="P12485">
        <v>0</v>
      </c>
      <c r="Q12485">
        <v>0</v>
      </c>
      <c r="R12485" t="s">
        <v>47319</v>
      </c>
      <c r="S12485" t="s">
        <v>47813</v>
      </c>
      <c r="T12485" t="s">
        <v>49065</v>
      </c>
      <c r="U12485" t="s">
        <v>59864</v>
      </c>
      <c r="W12485" t="s">
        <v>46781</v>
      </c>
      <c r="X12485" t="s">
        <v>47320</v>
      </c>
    </row>
    <row r="12486" spans="1:24">
      <c r="A12486">
        <f>HYPERLINK("https://www.philgeps.gov.ph/GEPSNONPILOT/Tender/SplashBidNoticeAbstractUI.aspx?menuIndex=3&amp;refID=7171265&amp;Result=3","7171265")</f>
        <v>0</v>
      </c>
      <c r="B12486" t="s">
        <v>3513</v>
      </c>
      <c r="C12486" t="s">
        <v>15659</v>
      </c>
      <c r="D12486" t="s">
        <v>19008</v>
      </c>
      <c r="E12486" t="s">
        <v>29694</v>
      </c>
      <c r="F12486" t="s">
        <v>32606</v>
      </c>
      <c r="G12486" t="s">
        <v>32613</v>
      </c>
      <c r="H12486" t="s">
        <v>14201</v>
      </c>
      <c r="I12486" t="s">
        <v>32646</v>
      </c>
      <c r="J12486" t="s">
        <v>40504</v>
      </c>
      <c r="K12486" t="s">
        <v>42624</v>
      </c>
      <c r="M12486" t="s">
        <v>46782</v>
      </c>
      <c r="N12486" t="s">
        <v>47304</v>
      </c>
      <c r="O12486" t="s">
        <v>47305</v>
      </c>
      <c r="Q12486">
        <v>6</v>
      </c>
      <c r="R12486" t="s">
        <v>47319</v>
      </c>
      <c r="S12486" t="s">
        <v>47837</v>
      </c>
      <c r="T12486" t="s">
        <v>48986</v>
      </c>
      <c r="U12486" t="s">
        <v>59865</v>
      </c>
      <c r="W12486" t="s">
        <v>46782</v>
      </c>
      <c r="X12486" t="s">
        <v>47320</v>
      </c>
    </row>
    <row r="12487" spans="1:24">
      <c r="A12487">
        <f>HYPERLINK("https://www.philgeps.gov.ph/GEPSNONPILOT/Tender/SplashBidNoticeAbstractUI.aspx?menuIndex=3&amp;refID=7171160&amp;Result=3","7171160")</f>
        <v>0</v>
      </c>
      <c r="B12487" t="s">
        <v>3505</v>
      </c>
      <c r="C12487" t="s">
        <v>13126</v>
      </c>
      <c r="D12487" t="s">
        <v>19024</v>
      </c>
      <c r="E12487" t="s">
        <v>19561</v>
      </c>
      <c r="F12487" t="s">
        <v>32606</v>
      </c>
      <c r="G12487" t="s">
        <v>32613</v>
      </c>
      <c r="H12487" t="s">
        <v>14201</v>
      </c>
      <c r="I12487" t="s">
        <v>6931</v>
      </c>
      <c r="J12487" t="s">
        <v>38868</v>
      </c>
      <c r="K12487" t="s">
        <v>42639</v>
      </c>
      <c r="M12487" t="s">
        <v>46774</v>
      </c>
      <c r="N12487" t="s">
        <v>47304</v>
      </c>
      <c r="O12487" t="s">
        <v>47305</v>
      </c>
      <c r="P12487">
        <v>0</v>
      </c>
      <c r="Q12487">
        <v>0</v>
      </c>
      <c r="R12487" t="s">
        <v>47319</v>
      </c>
      <c r="S12487" t="s">
        <v>47813</v>
      </c>
      <c r="T12487" t="s">
        <v>49071</v>
      </c>
      <c r="U12487" t="s">
        <v>59866</v>
      </c>
      <c r="W12487" t="s">
        <v>46774</v>
      </c>
      <c r="X12487" t="s">
        <v>47320</v>
      </c>
    </row>
    <row r="12488" spans="1:24">
      <c r="A12488">
        <f>HYPERLINK("https://www.philgeps.gov.ph/GEPSNONPILOT/Tender/SplashBidNoticeAbstractUI.aspx?menuIndex=3&amp;refID=7171148&amp;Result=3","7171148")</f>
        <v>0</v>
      </c>
      <c r="B12488" t="s">
        <v>3514</v>
      </c>
      <c r="C12488" t="s">
        <v>15660</v>
      </c>
      <c r="D12488" t="s">
        <v>18995</v>
      </c>
      <c r="E12488" t="s">
        <v>29695</v>
      </c>
      <c r="F12488" t="s">
        <v>32606</v>
      </c>
      <c r="G12488" t="s">
        <v>32613</v>
      </c>
      <c r="H12488" t="s">
        <v>32623</v>
      </c>
      <c r="I12488" t="s">
        <v>17648</v>
      </c>
      <c r="J12488" t="s">
        <v>32795</v>
      </c>
      <c r="K12488" t="s">
        <v>42682</v>
      </c>
      <c r="M12488" t="s">
        <v>46783</v>
      </c>
      <c r="N12488" t="s">
        <v>47304</v>
      </c>
      <c r="O12488" t="s">
        <v>47305</v>
      </c>
      <c r="P12488">
        <v>0</v>
      </c>
      <c r="Q12488">
        <v>1</v>
      </c>
      <c r="R12488" t="s">
        <v>47319</v>
      </c>
      <c r="S12488" t="s">
        <v>47813</v>
      </c>
      <c r="T12488" t="s">
        <v>49023</v>
      </c>
      <c r="U12488" t="s">
        <v>59867</v>
      </c>
      <c r="W12488" t="s">
        <v>46783</v>
      </c>
      <c r="X12488" t="s">
        <v>47320</v>
      </c>
    </row>
    <row r="12489" spans="1:24">
      <c r="A12489">
        <f>HYPERLINK("https://www.philgeps.gov.ph/GEPSNONPILOT/Tender/SplashBidNoticeAbstractUI.aspx?menuIndex=3&amp;refID=7170738&amp;Result=3","7170738")</f>
        <v>0</v>
      </c>
      <c r="B12489" t="s">
        <v>3503</v>
      </c>
      <c r="C12489" t="s">
        <v>15661</v>
      </c>
      <c r="D12489" t="s">
        <v>18990</v>
      </c>
      <c r="E12489" t="s">
        <v>29696</v>
      </c>
      <c r="F12489" t="s">
        <v>32610</v>
      </c>
      <c r="G12489" t="s">
        <v>32618</v>
      </c>
      <c r="H12489" t="s">
        <v>14201</v>
      </c>
      <c r="I12489" t="s">
        <v>32635</v>
      </c>
      <c r="J12489" t="s">
        <v>40505</v>
      </c>
      <c r="K12489" t="s">
        <v>42639</v>
      </c>
      <c r="M12489" t="s">
        <v>46771</v>
      </c>
      <c r="N12489" t="s">
        <v>47304</v>
      </c>
      <c r="O12489" t="s">
        <v>47305</v>
      </c>
      <c r="Q12489">
        <v>2</v>
      </c>
      <c r="R12489" t="s">
        <v>47319</v>
      </c>
      <c r="S12489" t="s">
        <v>47838</v>
      </c>
      <c r="T12489" t="s">
        <v>49198</v>
      </c>
      <c r="U12489" t="s">
        <v>59868</v>
      </c>
      <c r="V12489" t="s">
        <v>63999</v>
      </c>
      <c r="W12489" t="s">
        <v>46771</v>
      </c>
      <c r="X12489" t="s">
        <v>47320</v>
      </c>
    </row>
    <row r="12490" spans="1:24">
      <c r="A12490">
        <f>HYPERLINK("https://www.philgeps.gov.ph/GEPSNONPILOT/Tender/SplashBidNoticeAbstractUI.aspx?menuIndex=3&amp;refID=7170736&amp;Result=3","7170736")</f>
        <v>0</v>
      </c>
      <c r="B12490" t="s">
        <v>3503</v>
      </c>
      <c r="C12490" t="s">
        <v>15662</v>
      </c>
      <c r="D12490" t="s">
        <v>18990</v>
      </c>
      <c r="E12490" t="s">
        <v>29697</v>
      </c>
      <c r="F12490" t="s">
        <v>32610</v>
      </c>
      <c r="G12490" t="s">
        <v>32618</v>
      </c>
      <c r="H12490" t="s">
        <v>14201</v>
      </c>
      <c r="I12490" t="s">
        <v>32635</v>
      </c>
      <c r="J12490" t="s">
        <v>40506</v>
      </c>
      <c r="K12490" t="s">
        <v>42639</v>
      </c>
      <c r="M12490" t="s">
        <v>46771</v>
      </c>
      <c r="N12490" t="s">
        <v>47304</v>
      </c>
      <c r="O12490" t="s">
        <v>47305</v>
      </c>
      <c r="Q12490">
        <v>1</v>
      </c>
      <c r="R12490" t="s">
        <v>47319</v>
      </c>
      <c r="S12490" t="s">
        <v>47839</v>
      </c>
      <c r="T12490" t="s">
        <v>49198</v>
      </c>
      <c r="U12490" t="s">
        <v>59869</v>
      </c>
      <c r="V12490" t="s">
        <v>63999</v>
      </c>
      <c r="W12490" t="s">
        <v>46771</v>
      </c>
      <c r="X12490" t="s">
        <v>47321</v>
      </c>
    </row>
    <row r="12491" spans="1:24">
      <c r="A12491">
        <f>HYPERLINK("https://www.philgeps.gov.ph/GEPSNONPILOT/Tender/SplashBidNoticeAbstractUI.aspx?menuIndex=3&amp;refID=7171341&amp;Result=3","7171341")</f>
        <v>0</v>
      </c>
      <c r="B12491" t="s">
        <v>3514</v>
      </c>
      <c r="C12491" t="s">
        <v>15663</v>
      </c>
      <c r="D12491" t="s">
        <v>18995</v>
      </c>
      <c r="E12491" t="s">
        <v>29698</v>
      </c>
      <c r="F12491" t="s">
        <v>32606</v>
      </c>
      <c r="G12491" t="s">
        <v>32613</v>
      </c>
      <c r="H12491" t="s">
        <v>32623</v>
      </c>
      <c r="I12491" t="s">
        <v>17648</v>
      </c>
      <c r="J12491" t="s">
        <v>33449</v>
      </c>
      <c r="K12491" t="s">
        <v>42677</v>
      </c>
      <c r="M12491" t="s">
        <v>46783</v>
      </c>
      <c r="N12491" t="s">
        <v>47304</v>
      </c>
      <c r="O12491" t="s">
        <v>47305</v>
      </c>
      <c r="P12491">
        <v>0</v>
      </c>
      <c r="Q12491">
        <v>1</v>
      </c>
      <c r="R12491" t="s">
        <v>47319</v>
      </c>
      <c r="S12491" t="s">
        <v>47813</v>
      </c>
      <c r="T12491" t="s">
        <v>49023</v>
      </c>
      <c r="U12491" t="s">
        <v>59870</v>
      </c>
      <c r="W12491" t="s">
        <v>46783</v>
      </c>
      <c r="X12491" t="s">
        <v>47320</v>
      </c>
    </row>
    <row r="12492" spans="1:24">
      <c r="A12492">
        <f>HYPERLINK("https://www.philgeps.gov.ph/GEPSNONPILOT/Tender/SplashBidNoticeAbstractUI.aspx?menuIndex=3&amp;refID=7171198&amp;Result=3","7171198")</f>
        <v>0</v>
      </c>
      <c r="B12492" t="s">
        <v>3514</v>
      </c>
      <c r="C12492" t="s">
        <v>15664</v>
      </c>
      <c r="D12492" t="s">
        <v>18995</v>
      </c>
      <c r="E12492" t="s">
        <v>29699</v>
      </c>
      <c r="F12492" t="s">
        <v>32606</v>
      </c>
      <c r="G12492" t="s">
        <v>32613</v>
      </c>
      <c r="H12492" t="s">
        <v>32623</v>
      </c>
      <c r="I12492" t="s">
        <v>17648</v>
      </c>
      <c r="J12492" t="s">
        <v>32830</v>
      </c>
      <c r="K12492" t="s">
        <v>42636</v>
      </c>
      <c r="M12492" t="s">
        <v>46783</v>
      </c>
      <c r="N12492" t="s">
        <v>47304</v>
      </c>
      <c r="O12492" t="s">
        <v>47305</v>
      </c>
      <c r="P12492">
        <v>0</v>
      </c>
      <c r="Q12492">
        <v>1</v>
      </c>
      <c r="R12492" t="s">
        <v>47319</v>
      </c>
      <c r="S12492" t="s">
        <v>47813</v>
      </c>
      <c r="T12492" t="s">
        <v>49023</v>
      </c>
      <c r="U12492" t="s">
        <v>59871</v>
      </c>
      <c r="W12492" t="s">
        <v>46783</v>
      </c>
      <c r="X12492" t="s">
        <v>47320</v>
      </c>
    </row>
    <row r="12493" spans="1:24">
      <c r="A12493">
        <f>HYPERLINK("https://www.philgeps.gov.ph/GEPSNONPILOT/Tender/SplashBidNoticeAbstractUI.aspx?menuIndex=3&amp;refID=7171310&amp;Result=3","7171310")</f>
        <v>0</v>
      </c>
      <c r="B12493" t="s">
        <v>1308</v>
      </c>
      <c r="C12493" t="s">
        <v>15665</v>
      </c>
      <c r="D12493" t="s">
        <v>18990</v>
      </c>
      <c r="E12493" t="s">
        <v>29700</v>
      </c>
      <c r="F12493" t="s">
        <v>32606</v>
      </c>
      <c r="G12493" t="s">
        <v>32613</v>
      </c>
      <c r="H12493" t="s">
        <v>14201</v>
      </c>
      <c r="I12493" t="s">
        <v>6298</v>
      </c>
      <c r="J12493" t="s">
        <v>40507</v>
      </c>
      <c r="K12493" t="s">
        <v>42631</v>
      </c>
      <c r="M12493" t="s">
        <v>44282</v>
      </c>
      <c r="N12493" t="s">
        <v>47304</v>
      </c>
      <c r="O12493" t="s">
        <v>47305</v>
      </c>
      <c r="P12493">
        <v>0</v>
      </c>
      <c r="Q12493">
        <v>3</v>
      </c>
      <c r="R12493" t="s">
        <v>47319</v>
      </c>
      <c r="S12493" t="s">
        <v>47813</v>
      </c>
      <c r="T12493" t="s">
        <v>48994</v>
      </c>
      <c r="U12493" t="s">
        <v>59872</v>
      </c>
      <c r="V12493" t="s">
        <v>64000</v>
      </c>
      <c r="W12493" t="s">
        <v>44282</v>
      </c>
      <c r="X12493" t="s">
        <v>47320</v>
      </c>
    </row>
    <row r="12494" spans="1:24">
      <c r="A12494">
        <f>HYPERLINK("https://www.philgeps.gov.ph/GEPSNONPILOT/Tender/SplashBidNoticeAbstractUI.aspx?menuIndex=3&amp;refID=7171541&amp;Result=3","7171541")</f>
        <v>0</v>
      </c>
      <c r="B12494" t="s">
        <v>2099</v>
      </c>
      <c r="C12494" t="s">
        <v>15666</v>
      </c>
      <c r="D12494" t="s">
        <v>18993</v>
      </c>
      <c r="E12494" t="s">
        <v>29701</v>
      </c>
      <c r="F12494" t="s">
        <v>32606</v>
      </c>
      <c r="G12494" t="s">
        <v>32613</v>
      </c>
      <c r="H12494" t="s">
        <v>32623</v>
      </c>
      <c r="I12494" t="s">
        <v>17648</v>
      </c>
      <c r="J12494" t="s">
        <v>40508</v>
      </c>
      <c r="K12494" t="s">
        <v>42639</v>
      </c>
      <c r="M12494" t="s">
        <v>46784</v>
      </c>
      <c r="N12494" t="s">
        <v>47304</v>
      </c>
      <c r="O12494" t="s">
        <v>47305</v>
      </c>
      <c r="P12494">
        <v>0</v>
      </c>
      <c r="Q12494">
        <v>2</v>
      </c>
      <c r="R12494" t="s">
        <v>47319</v>
      </c>
      <c r="S12494" t="s">
        <v>47813</v>
      </c>
      <c r="T12494" t="s">
        <v>48971</v>
      </c>
      <c r="U12494" t="s">
        <v>59873</v>
      </c>
      <c r="V12494" t="s">
        <v>64001</v>
      </c>
      <c r="W12494" t="s">
        <v>46784</v>
      </c>
      <c r="X12494" t="s">
        <v>47320</v>
      </c>
    </row>
    <row r="12495" spans="1:24">
      <c r="A12495">
        <f>HYPERLINK("https://www.philgeps.gov.ph/GEPSNONPILOT/Tender/SplashBidNoticeAbstractUI.aspx?menuIndex=3&amp;refID=7171150&amp;Result=3","7171150")</f>
        <v>0</v>
      </c>
      <c r="B12495" t="s">
        <v>1829</v>
      </c>
      <c r="C12495" t="s">
        <v>15667</v>
      </c>
      <c r="D12495" t="s">
        <v>19007</v>
      </c>
      <c r="E12495" t="s">
        <v>29702</v>
      </c>
      <c r="F12495" t="s">
        <v>32606</v>
      </c>
      <c r="G12495" t="s">
        <v>32613</v>
      </c>
      <c r="H12495" t="s">
        <v>32623</v>
      </c>
      <c r="I12495" t="s">
        <v>17648</v>
      </c>
      <c r="J12495" t="s">
        <v>40509</v>
      </c>
      <c r="K12495" t="s">
        <v>42828</v>
      </c>
      <c r="L12495" t="s">
        <v>1829</v>
      </c>
      <c r="M12495" t="s">
        <v>44876</v>
      </c>
      <c r="N12495" t="s">
        <v>47304</v>
      </c>
      <c r="O12495" t="s">
        <v>47305</v>
      </c>
      <c r="P12495">
        <v>0</v>
      </c>
      <c r="Q12495">
        <v>1</v>
      </c>
      <c r="R12495" t="s">
        <v>47319</v>
      </c>
      <c r="S12495" t="s">
        <v>47813</v>
      </c>
      <c r="T12495" t="s">
        <v>49103</v>
      </c>
      <c r="U12495" t="s">
        <v>59854</v>
      </c>
      <c r="W12495" t="s">
        <v>44876</v>
      </c>
      <c r="X12495" t="s">
        <v>47320</v>
      </c>
    </row>
    <row r="12496" spans="1:24">
      <c r="A12496">
        <f>HYPERLINK("https://www.philgeps.gov.ph/GEPSNONPILOT/Tender/SplashBidNoticeAbstractUI.aspx?menuIndex=3&amp;refID=7171533&amp;Result=3","7171533")</f>
        <v>0</v>
      </c>
      <c r="B12496" t="s">
        <v>535</v>
      </c>
      <c r="C12496" t="s">
        <v>15668</v>
      </c>
      <c r="D12496" t="s">
        <v>19031</v>
      </c>
      <c r="E12496" t="s">
        <v>29703</v>
      </c>
      <c r="F12496" t="s">
        <v>32606</v>
      </c>
      <c r="G12496" t="s">
        <v>32613</v>
      </c>
      <c r="H12496" t="s">
        <v>14201</v>
      </c>
      <c r="I12496" t="s">
        <v>32660</v>
      </c>
      <c r="J12496" t="s">
        <v>40510</v>
      </c>
      <c r="K12496" t="s">
        <v>42639</v>
      </c>
      <c r="M12496" t="s">
        <v>43448</v>
      </c>
      <c r="N12496" t="s">
        <v>47304</v>
      </c>
      <c r="O12496" t="s">
        <v>47305</v>
      </c>
      <c r="P12496">
        <v>0</v>
      </c>
      <c r="Q12496">
        <v>2</v>
      </c>
      <c r="R12496" t="s">
        <v>47319</v>
      </c>
      <c r="S12496" t="s">
        <v>47813</v>
      </c>
      <c r="T12496" t="s">
        <v>49140</v>
      </c>
      <c r="U12496" t="s">
        <v>59874</v>
      </c>
      <c r="W12496" t="s">
        <v>43448</v>
      </c>
      <c r="X12496" t="s">
        <v>47320</v>
      </c>
    </row>
    <row r="12497" spans="1:24">
      <c r="A12497">
        <f>HYPERLINK("https://www.philgeps.gov.ph/GEPSNONPILOT/Tender/SplashBidNoticeAbstractUI.aspx?menuIndex=3&amp;refID=7171497&amp;Result=3","7171497")</f>
        <v>0</v>
      </c>
      <c r="B12497" t="s">
        <v>1613</v>
      </c>
      <c r="C12497" t="s">
        <v>15669</v>
      </c>
      <c r="D12497" t="s">
        <v>19039</v>
      </c>
      <c r="E12497" t="s">
        <v>29704</v>
      </c>
      <c r="F12497" t="s">
        <v>32606</v>
      </c>
      <c r="G12497" t="s">
        <v>32613</v>
      </c>
      <c r="H12497" t="s">
        <v>14201</v>
      </c>
      <c r="I12497" t="s">
        <v>6993</v>
      </c>
      <c r="J12497" t="s">
        <v>40511</v>
      </c>
      <c r="K12497" t="s">
        <v>42624</v>
      </c>
      <c r="M12497" t="s">
        <v>44633</v>
      </c>
      <c r="N12497" t="s">
        <v>47304</v>
      </c>
      <c r="O12497" t="s">
        <v>47305</v>
      </c>
      <c r="Q12497">
        <v>0</v>
      </c>
      <c r="R12497" t="s">
        <v>47319</v>
      </c>
      <c r="S12497" t="s">
        <v>47840</v>
      </c>
      <c r="T12497" t="s">
        <v>48980</v>
      </c>
      <c r="U12497" t="s">
        <v>59875</v>
      </c>
      <c r="W12497" t="s">
        <v>44633</v>
      </c>
      <c r="X12497" t="s">
        <v>47320</v>
      </c>
    </row>
    <row r="12498" spans="1:24">
      <c r="A12498">
        <f>HYPERLINK("https://www.philgeps.gov.ph/GEPSNONPILOT/Tender/SplashBidNoticeAbstractUI.aspx?menuIndex=3&amp;refID=7171544&amp;Result=3","7171544")</f>
        <v>0</v>
      </c>
      <c r="B12498" t="s">
        <v>1932</v>
      </c>
      <c r="C12498" t="s">
        <v>15670</v>
      </c>
      <c r="D12498" t="s">
        <v>19032</v>
      </c>
      <c r="E12498" t="s">
        <v>29705</v>
      </c>
      <c r="F12498" t="s">
        <v>32606</v>
      </c>
      <c r="G12498" t="s">
        <v>32613</v>
      </c>
      <c r="H12498" t="s">
        <v>14201</v>
      </c>
      <c r="I12498" t="s">
        <v>32664</v>
      </c>
      <c r="J12498" t="s">
        <v>35904</v>
      </c>
      <c r="K12498" t="s">
        <v>42622</v>
      </c>
      <c r="M12498" t="s">
        <v>44992</v>
      </c>
      <c r="N12498" t="s">
        <v>47304</v>
      </c>
      <c r="O12498" t="s">
        <v>47305</v>
      </c>
      <c r="Q12498">
        <v>11</v>
      </c>
      <c r="R12498" t="s">
        <v>47319</v>
      </c>
      <c r="S12498" t="s">
        <v>47841</v>
      </c>
      <c r="T12498" t="s">
        <v>49014</v>
      </c>
      <c r="U12498" t="s">
        <v>59876</v>
      </c>
      <c r="W12498" t="s">
        <v>44992</v>
      </c>
      <c r="X12498" t="s">
        <v>47320</v>
      </c>
    </row>
    <row r="12499" spans="1:24">
      <c r="A12499">
        <f>HYPERLINK("https://www.philgeps.gov.ph/GEPSNONPILOT/Tender/SplashBidNoticeAbstractUI.aspx?menuIndex=3&amp;refID=7171492&amp;Result=3","7171492")</f>
        <v>0</v>
      </c>
      <c r="B12499" t="s">
        <v>3508</v>
      </c>
      <c r="C12499" t="s">
        <v>15671</v>
      </c>
      <c r="D12499" t="s">
        <v>19057</v>
      </c>
      <c r="E12499" t="s">
        <v>29706</v>
      </c>
      <c r="F12499" t="s">
        <v>32607</v>
      </c>
      <c r="G12499" t="s">
        <v>32613</v>
      </c>
      <c r="H12499" t="s">
        <v>14201</v>
      </c>
      <c r="I12499" t="s">
        <v>6931</v>
      </c>
      <c r="J12499" t="s">
        <v>40512</v>
      </c>
      <c r="K12499" t="s">
        <v>42623</v>
      </c>
      <c r="M12499" t="s">
        <v>46777</v>
      </c>
      <c r="N12499" t="s">
        <v>47304</v>
      </c>
      <c r="O12499" t="s">
        <v>47305</v>
      </c>
      <c r="P12499">
        <v>0</v>
      </c>
      <c r="Q12499">
        <v>0</v>
      </c>
      <c r="R12499" t="s">
        <v>47319</v>
      </c>
      <c r="S12499" t="s">
        <v>47813</v>
      </c>
      <c r="T12499" t="s">
        <v>48986</v>
      </c>
      <c r="U12499" t="s">
        <v>59877</v>
      </c>
      <c r="W12499" t="s">
        <v>46777</v>
      </c>
      <c r="X12499" t="s">
        <v>47320</v>
      </c>
    </row>
    <row r="12500" spans="1:24">
      <c r="A12500">
        <f>HYPERLINK("https://www.philgeps.gov.ph/GEPSNONPILOT/Tender/SplashBidNoticeAbstractUI.aspx?menuIndex=3&amp;refID=7171457&amp;Result=3","7171457")</f>
        <v>0</v>
      </c>
      <c r="B12500" t="s">
        <v>263</v>
      </c>
      <c r="C12500" t="s">
        <v>15672</v>
      </c>
      <c r="D12500" t="s">
        <v>19008</v>
      </c>
      <c r="E12500" t="s">
        <v>29707</v>
      </c>
      <c r="F12500" t="s">
        <v>32606</v>
      </c>
      <c r="G12500" t="s">
        <v>32613</v>
      </c>
      <c r="H12500" t="s">
        <v>14201</v>
      </c>
      <c r="I12500" t="s">
        <v>6931</v>
      </c>
      <c r="J12500" t="s">
        <v>40513</v>
      </c>
      <c r="K12500" t="s">
        <v>42648</v>
      </c>
      <c r="M12500" t="s">
        <v>43164</v>
      </c>
      <c r="N12500" t="s">
        <v>47304</v>
      </c>
      <c r="O12500" t="s">
        <v>47305</v>
      </c>
      <c r="P12500">
        <v>0</v>
      </c>
      <c r="Q12500">
        <v>1</v>
      </c>
      <c r="R12500" t="s">
        <v>47319</v>
      </c>
      <c r="S12500" t="s">
        <v>47813</v>
      </c>
      <c r="T12500" t="s">
        <v>48988</v>
      </c>
      <c r="U12500" t="s">
        <v>59878</v>
      </c>
      <c r="W12500" t="s">
        <v>43164</v>
      </c>
      <c r="X12500" t="s">
        <v>47320</v>
      </c>
    </row>
    <row r="12501" spans="1:24">
      <c r="A12501">
        <f>HYPERLINK("https://www.philgeps.gov.ph/GEPSNONPILOT/Tender/SplashBidNoticeAbstractUI.aspx?menuIndex=3&amp;refID=7171453&amp;Result=3","7171453")</f>
        <v>0</v>
      </c>
      <c r="B12501" t="s">
        <v>3515</v>
      </c>
      <c r="C12501" t="s">
        <v>15673</v>
      </c>
      <c r="D12501" t="s">
        <v>19024</v>
      </c>
      <c r="E12501" t="s">
        <v>19561</v>
      </c>
      <c r="F12501" t="s">
        <v>32606</v>
      </c>
      <c r="G12501" t="s">
        <v>32615</v>
      </c>
      <c r="H12501" t="s">
        <v>14201</v>
      </c>
      <c r="I12501" t="s">
        <v>6931</v>
      </c>
      <c r="J12501" t="s">
        <v>40514</v>
      </c>
      <c r="K12501" t="s">
        <v>42631</v>
      </c>
      <c r="M12501" t="s">
        <v>46785</v>
      </c>
      <c r="N12501" t="s">
        <v>47304</v>
      </c>
      <c r="O12501" t="s">
        <v>47305</v>
      </c>
      <c r="P12501">
        <v>0</v>
      </c>
      <c r="Q12501">
        <v>0</v>
      </c>
      <c r="R12501" t="s">
        <v>47319</v>
      </c>
      <c r="S12501" t="s">
        <v>47813</v>
      </c>
      <c r="T12501" t="s">
        <v>49071</v>
      </c>
      <c r="U12501" t="s">
        <v>59879</v>
      </c>
      <c r="W12501" t="s">
        <v>46785</v>
      </c>
      <c r="X12501" t="s">
        <v>47320</v>
      </c>
    </row>
    <row r="12502" spans="1:24">
      <c r="A12502">
        <f>HYPERLINK("https://www.philgeps.gov.ph/GEPSNONPILOT/Tender/SplashBidNoticeAbstractUI.aspx?menuIndex=3&amp;refID=7171445&amp;Result=3","7171445")</f>
        <v>0</v>
      </c>
      <c r="B12502" t="s">
        <v>3508</v>
      </c>
      <c r="C12502" t="s">
        <v>15674</v>
      </c>
      <c r="D12502" t="s">
        <v>19057</v>
      </c>
      <c r="E12502" t="s">
        <v>29708</v>
      </c>
      <c r="F12502" t="s">
        <v>32607</v>
      </c>
      <c r="G12502" t="s">
        <v>32613</v>
      </c>
      <c r="H12502" t="s">
        <v>14201</v>
      </c>
      <c r="I12502" t="s">
        <v>6931</v>
      </c>
      <c r="J12502" t="s">
        <v>40515</v>
      </c>
      <c r="K12502" t="s">
        <v>42623</v>
      </c>
      <c r="M12502" t="s">
        <v>46777</v>
      </c>
      <c r="N12502" t="s">
        <v>47304</v>
      </c>
      <c r="O12502" t="s">
        <v>47305</v>
      </c>
      <c r="P12502">
        <v>0</v>
      </c>
      <c r="Q12502">
        <v>0</v>
      </c>
      <c r="R12502" t="s">
        <v>47319</v>
      </c>
      <c r="S12502" t="s">
        <v>47813</v>
      </c>
      <c r="T12502" t="s">
        <v>48986</v>
      </c>
      <c r="U12502" t="s">
        <v>59880</v>
      </c>
      <c r="W12502" t="s">
        <v>46777</v>
      </c>
      <c r="X12502" t="s">
        <v>47320</v>
      </c>
    </row>
    <row r="12503" spans="1:24">
      <c r="A12503">
        <f>HYPERLINK("https://www.philgeps.gov.ph/GEPSNONPILOT/Tender/SplashBidNoticeAbstractUI.aspx?menuIndex=3&amp;refID=7171261&amp;Result=3","7171261")</f>
        <v>0</v>
      </c>
      <c r="B12503" t="s">
        <v>3514</v>
      </c>
      <c r="C12503" t="s">
        <v>15675</v>
      </c>
      <c r="D12503" t="s">
        <v>18995</v>
      </c>
      <c r="E12503" t="s">
        <v>29709</v>
      </c>
      <c r="F12503" t="s">
        <v>32606</v>
      </c>
      <c r="G12503" t="s">
        <v>32613</v>
      </c>
      <c r="H12503" t="s">
        <v>32623</v>
      </c>
      <c r="I12503" t="s">
        <v>17648</v>
      </c>
      <c r="J12503" t="s">
        <v>32920</v>
      </c>
      <c r="K12503" t="s">
        <v>42675</v>
      </c>
      <c r="M12503" t="s">
        <v>46783</v>
      </c>
      <c r="N12503" t="s">
        <v>47304</v>
      </c>
      <c r="O12503" t="s">
        <v>47305</v>
      </c>
      <c r="P12503">
        <v>0</v>
      </c>
      <c r="Q12503">
        <v>1</v>
      </c>
      <c r="R12503" t="s">
        <v>47319</v>
      </c>
      <c r="S12503" t="s">
        <v>47813</v>
      </c>
      <c r="T12503" t="s">
        <v>49023</v>
      </c>
      <c r="U12503" t="s">
        <v>59881</v>
      </c>
      <c r="W12503" t="s">
        <v>46783</v>
      </c>
      <c r="X12503" t="s">
        <v>47320</v>
      </c>
    </row>
    <row r="12504" spans="1:24">
      <c r="A12504">
        <f>HYPERLINK("https://www.philgeps.gov.ph/GEPSNONPILOT/Tender/SplashBidNoticeAbstractUI.aspx?menuIndex=3&amp;refID=7171444&amp;Result=3","7171444")</f>
        <v>0</v>
      </c>
      <c r="B12504" t="s">
        <v>1613</v>
      </c>
      <c r="C12504" t="s">
        <v>15676</v>
      </c>
      <c r="D12504" t="s">
        <v>19039</v>
      </c>
      <c r="E12504" t="s">
        <v>29710</v>
      </c>
      <c r="F12504" t="s">
        <v>32606</v>
      </c>
      <c r="G12504" t="s">
        <v>32613</v>
      </c>
      <c r="H12504" t="s">
        <v>14201</v>
      </c>
      <c r="I12504" t="s">
        <v>32629</v>
      </c>
      <c r="J12504" t="s">
        <v>40516</v>
      </c>
      <c r="K12504" t="s">
        <v>42624</v>
      </c>
      <c r="M12504" t="s">
        <v>44633</v>
      </c>
      <c r="N12504" t="s">
        <v>47304</v>
      </c>
      <c r="O12504" t="s">
        <v>47305</v>
      </c>
      <c r="Q12504">
        <v>0</v>
      </c>
      <c r="R12504" t="s">
        <v>47319</v>
      </c>
      <c r="S12504" t="s">
        <v>47842</v>
      </c>
      <c r="T12504" t="s">
        <v>48980</v>
      </c>
      <c r="U12504" t="s">
        <v>59875</v>
      </c>
      <c r="W12504" t="s">
        <v>44633</v>
      </c>
      <c r="X12504" t="s">
        <v>47320</v>
      </c>
    </row>
    <row r="12505" spans="1:24">
      <c r="A12505">
        <f>HYPERLINK("https://www.philgeps.gov.ph/GEPSNONPILOT/Tender/SplashBidNoticeAbstractUI.aspx?menuIndex=3&amp;refID=7171441&amp;Result=3","7171441")</f>
        <v>0</v>
      </c>
      <c r="B12505" t="s">
        <v>2399</v>
      </c>
      <c r="C12505" t="s">
        <v>6089</v>
      </c>
      <c r="D12505" t="s">
        <v>19018</v>
      </c>
      <c r="E12505" t="s">
        <v>29711</v>
      </c>
      <c r="F12505" t="s">
        <v>32606</v>
      </c>
      <c r="G12505" t="s">
        <v>32613</v>
      </c>
      <c r="H12505" t="s">
        <v>14201</v>
      </c>
      <c r="I12505" t="s">
        <v>4115</v>
      </c>
      <c r="J12505" t="s">
        <v>40517</v>
      </c>
      <c r="K12505" t="s">
        <v>42623</v>
      </c>
      <c r="M12505" t="s">
        <v>45521</v>
      </c>
      <c r="N12505" t="s">
        <v>47304</v>
      </c>
      <c r="O12505" t="s">
        <v>47305</v>
      </c>
      <c r="P12505">
        <v>0</v>
      </c>
      <c r="Q12505">
        <v>2</v>
      </c>
      <c r="R12505" t="s">
        <v>47319</v>
      </c>
      <c r="S12505" t="s">
        <v>47813</v>
      </c>
      <c r="T12505" t="s">
        <v>49023</v>
      </c>
      <c r="U12505" t="s">
        <v>59882</v>
      </c>
      <c r="V12505" t="s">
        <v>62846</v>
      </c>
      <c r="W12505" t="s">
        <v>45521</v>
      </c>
      <c r="X12505" t="s">
        <v>47320</v>
      </c>
    </row>
    <row r="12506" spans="1:24">
      <c r="A12506">
        <f>HYPERLINK("https://www.philgeps.gov.ph/GEPSNONPILOT/Tender/SplashBidNoticeAbstractUI.aspx?menuIndex=3&amp;refID=7171472&amp;Result=3","7171472")</f>
        <v>0</v>
      </c>
      <c r="B12506" t="s">
        <v>1613</v>
      </c>
      <c r="C12506" t="s">
        <v>15676</v>
      </c>
      <c r="D12506" t="s">
        <v>19039</v>
      </c>
      <c r="E12506" t="s">
        <v>29712</v>
      </c>
      <c r="F12506" t="s">
        <v>32606</v>
      </c>
      <c r="G12506" t="s">
        <v>32613</v>
      </c>
      <c r="H12506" t="s">
        <v>14201</v>
      </c>
      <c r="I12506" t="s">
        <v>32629</v>
      </c>
      <c r="J12506" t="s">
        <v>40518</v>
      </c>
      <c r="K12506" t="s">
        <v>42624</v>
      </c>
      <c r="M12506" t="s">
        <v>44633</v>
      </c>
      <c r="N12506" t="s">
        <v>47304</v>
      </c>
      <c r="O12506" t="s">
        <v>47305</v>
      </c>
      <c r="Q12506">
        <v>0</v>
      </c>
      <c r="R12506" t="s">
        <v>47319</v>
      </c>
      <c r="S12506" t="s">
        <v>47843</v>
      </c>
      <c r="T12506" t="s">
        <v>48980</v>
      </c>
      <c r="U12506" t="s">
        <v>59875</v>
      </c>
      <c r="W12506" t="s">
        <v>44633</v>
      </c>
      <c r="X12506" t="s">
        <v>47320</v>
      </c>
    </row>
    <row r="12507" spans="1:24">
      <c r="A12507">
        <f>HYPERLINK("https://www.philgeps.gov.ph/GEPSNONPILOT/Tender/SplashBidNoticeAbstractUI.aspx?menuIndex=3&amp;refID=7171410&amp;Result=3","7171410")</f>
        <v>0</v>
      </c>
      <c r="B12507" t="s">
        <v>1613</v>
      </c>
      <c r="C12507" t="s">
        <v>15677</v>
      </c>
      <c r="D12507" t="s">
        <v>19039</v>
      </c>
      <c r="E12507" t="s">
        <v>29713</v>
      </c>
      <c r="F12507" t="s">
        <v>32606</v>
      </c>
      <c r="G12507" t="s">
        <v>32613</v>
      </c>
      <c r="H12507" t="s">
        <v>14201</v>
      </c>
      <c r="I12507" t="s">
        <v>32629</v>
      </c>
      <c r="J12507" t="s">
        <v>40519</v>
      </c>
      <c r="K12507" t="s">
        <v>42624</v>
      </c>
      <c r="M12507" t="s">
        <v>44633</v>
      </c>
      <c r="N12507" t="s">
        <v>47304</v>
      </c>
      <c r="O12507" t="s">
        <v>47305</v>
      </c>
      <c r="Q12507">
        <v>0</v>
      </c>
      <c r="R12507" t="s">
        <v>47319</v>
      </c>
      <c r="S12507" t="s">
        <v>47651</v>
      </c>
      <c r="T12507" t="s">
        <v>48980</v>
      </c>
      <c r="U12507" t="s">
        <v>59875</v>
      </c>
      <c r="W12507" t="s">
        <v>44633</v>
      </c>
      <c r="X12507" t="s">
        <v>47320</v>
      </c>
    </row>
    <row r="12508" spans="1:24">
      <c r="A12508">
        <f>HYPERLINK("https://www.philgeps.gov.ph/GEPSNONPILOT/Tender/SplashBidNoticeAbstractUI.aspx?menuIndex=3&amp;refID=7171409&amp;Result=3","7171409")</f>
        <v>0</v>
      </c>
      <c r="B12508" t="s">
        <v>1532</v>
      </c>
      <c r="C12508" t="s">
        <v>15678</v>
      </c>
      <c r="D12508" t="s">
        <v>19057</v>
      </c>
      <c r="E12508" t="s">
        <v>29714</v>
      </c>
      <c r="F12508" t="s">
        <v>32606</v>
      </c>
      <c r="G12508" t="s">
        <v>32613</v>
      </c>
      <c r="H12508" t="s">
        <v>32623</v>
      </c>
      <c r="I12508" t="s">
        <v>17648</v>
      </c>
      <c r="J12508" t="s">
        <v>32789</v>
      </c>
      <c r="K12508" t="s">
        <v>42636</v>
      </c>
      <c r="M12508" t="s">
        <v>44535</v>
      </c>
      <c r="N12508" t="s">
        <v>47304</v>
      </c>
      <c r="O12508" t="s">
        <v>47305</v>
      </c>
      <c r="P12508">
        <v>0</v>
      </c>
      <c r="Q12508">
        <v>1</v>
      </c>
      <c r="R12508" t="s">
        <v>47319</v>
      </c>
      <c r="S12508" t="s">
        <v>47813</v>
      </c>
      <c r="T12508" t="s">
        <v>49279</v>
      </c>
      <c r="U12508" t="s">
        <v>59883</v>
      </c>
      <c r="W12508" t="s">
        <v>44535</v>
      </c>
      <c r="X12508" t="s">
        <v>47320</v>
      </c>
    </row>
    <row r="12509" spans="1:24">
      <c r="A12509">
        <f>HYPERLINK("https://www.philgeps.gov.ph/GEPSNONPILOT/Tender/SplashBidNoticeAbstractUI.aspx?menuIndex=3&amp;refID=7171359&amp;Result=3","7171359")</f>
        <v>0</v>
      </c>
      <c r="B12509" t="s">
        <v>3516</v>
      </c>
      <c r="C12509" t="s">
        <v>15679</v>
      </c>
      <c r="D12509" t="s">
        <v>19043</v>
      </c>
      <c r="E12509" t="s">
        <v>19125</v>
      </c>
      <c r="F12509" t="s">
        <v>32606</v>
      </c>
      <c r="G12509" t="s">
        <v>32613</v>
      </c>
      <c r="H12509" t="s">
        <v>14201</v>
      </c>
      <c r="I12509" t="s">
        <v>17648</v>
      </c>
      <c r="J12509" t="s">
        <v>33757</v>
      </c>
      <c r="K12509" t="s">
        <v>42631</v>
      </c>
      <c r="M12509" t="s">
        <v>46786</v>
      </c>
      <c r="N12509" t="s">
        <v>47304</v>
      </c>
      <c r="O12509" t="s">
        <v>47305</v>
      </c>
      <c r="P12509">
        <v>0</v>
      </c>
      <c r="Q12509">
        <v>0</v>
      </c>
      <c r="R12509" t="s">
        <v>47319</v>
      </c>
      <c r="S12509" t="s">
        <v>47813</v>
      </c>
      <c r="T12509" t="s">
        <v>49162</v>
      </c>
      <c r="U12509" t="s">
        <v>59884</v>
      </c>
      <c r="V12509" t="s">
        <v>63299</v>
      </c>
      <c r="W12509" t="s">
        <v>46786</v>
      </c>
      <c r="X12509" t="s">
        <v>47320</v>
      </c>
    </row>
    <row r="12510" spans="1:24">
      <c r="A12510">
        <f>HYPERLINK("https://www.philgeps.gov.ph/GEPSNONPILOT/Tender/SplashBidNoticeAbstractUI.aspx?menuIndex=3&amp;refID=7171529&amp;Result=3","7171529")</f>
        <v>0</v>
      </c>
      <c r="B12510" t="s">
        <v>1613</v>
      </c>
      <c r="C12510" t="s">
        <v>15680</v>
      </c>
      <c r="D12510" t="s">
        <v>19039</v>
      </c>
      <c r="E12510" t="s">
        <v>29715</v>
      </c>
      <c r="F12510" t="s">
        <v>32606</v>
      </c>
      <c r="G12510" t="s">
        <v>32613</v>
      </c>
      <c r="H12510" t="s">
        <v>14201</v>
      </c>
      <c r="I12510" t="s">
        <v>6993</v>
      </c>
      <c r="J12510" t="s">
        <v>40520</v>
      </c>
      <c r="K12510" t="s">
        <v>42624</v>
      </c>
      <c r="M12510" t="s">
        <v>44633</v>
      </c>
      <c r="N12510" t="s">
        <v>47304</v>
      </c>
      <c r="O12510" t="s">
        <v>47305</v>
      </c>
      <c r="Q12510">
        <v>0</v>
      </c>
      <c r="R12510" t="s">
        <v>47319</v>
      </c>
      <c r="S12510" t="s">
        <v>47844</v>
      </c>
      <c r="T12510" t="s">
        <v>48980</v>
      </c>
      <c r="U12510" t="s">
        <v>59875</v>
      </c>
      <c r="W12510" t="s">
        <v>44633</v>
      </c>
      <c r="X12510" t="s">
        <v>47320</v>
      </c>
    </row>
    <row r="12511" spans="1:24">
      <c r="A12511">
        <f>HYPERLINK("https://www.philgeps.gov.ph/GEPSNONPILOT/Tender/SplashBidNoticeAbstractUI.aspx?menuIndex=3&amp;refID=7171438&amp;Result=3","7171438")</f>
        <v>0</v>
      </c>
      <c r="B12511" t="s">
        <v>1388</v>
      </c>
      <c r="C12511" t="s">
        <v>15681</v>
      </c>
      <c r="D12511" t="s">
        <v>18995</v>
      </c>
      <c r="E12511" t="s">
        <v>29716</v>
      </c>
      <c r="F12511" t="s">
        <v>32606</v>
      </c>
      <c r="G12511" t="s">
        <v>32613</v>
      </c>
      <c r="H12511" t="s">
        <v>14201</v>
      </c>
      <c r="I12511" t="s">
        <v>6931</v>
      </c>
      <c r="J12511" t="s">
        <v>40521</v>
      </c>
      <c r="K12511" t="s">
        <v>42624</v>
      </c>
      <c r="M12511" t="s">
        <v>44370</v>
      </c>
      <c r="N12511" t="s">
        <v>47304</v>
      </c>
      <c r="O12511" t="s">
        <v>47305</v>
      </c>
      <c r="P12511">
        <v>0</v>
      </c>
      <c r="Q12511">
        <v>2</v>
      </c>
      <c r="R12511" t="s">
        <v>47319</v>
      </c>
      <c r="S12511" t="s">
        <v>47813</v>
      </c>
      <c r="T12511" t="s">
        <v>49017</v>
      </c>
      <c r="U12511" t="s">
        <v>59885</v>
      </c>
      <c r="W12511" t="s">
        <v>44370</v>
      </c>
      <c r="X12511" t="s">
        <v>47320</v>
      </c>
    </row>
    <row r="12512" spans="1:24">
      <c r="A12512">
        <f>HYPERLINK("https://www.philgeps.gov.ph/GEPSNONPILOT/Tender/SplashBidNoticeAbstractUI.aspx?menuIndex=3&amp;refID=7171420&amp;Result=3","7171420")</f>
        <v>0</v>
      </c>
      <c r="B12512" t="s">
        <v>196</v>
      </c>
      <c r="C12512" t="s">
        <v>15682</v>
      </c>
      <c r="D12512" t="s">
        <v>19027</v>
      </c>
      <c r="E12512" t="s">
        <v>19446</v>
      </c>
      <c r="F12512" t="s">
        <v>32607</v>
      </c>
      <c r="G12512" t="s">
        <v>32613</v>
      </c>
      <c r="H12512" t="s">
        <v>14201</v>
      </c>
      <c r="I12512" t="s">
        <v>4120</v>
      </c>
      <c r="J12512" t="s">
        <v>36541</v>
      </c>
      <c r="K12512" t="s">
        <v>42623</v>
      </c>
      <c r="M12512" t="s">
        <v>43097</v>
      </c>
      <c r="N12512" t="s">
        <v>47304</v>
      </c>
      <c r="O12512" t="s">
        <v>47305</v>
      </c>
      <c r="P12512">
        <v>0</v>
      </c>
      <c r="Q12512">
        <v>4</v>
      </c>
      <c r="R12512" t="s">
        <v>47319</v>
      </c>
      <c r="S12512" t="s">
        <v>47813</v>
      </c>
      <c r="T12512" t="s">
        <v>49050</v>
      </c>
      <c r="U12512" t="s">
        <v>49893</v>
      </c>
      <c r="W12512" t="s">
        <v>43097</v>
      </c>
      <c r="X12512" t="s">
        <v>47320</v>
      </c>
    </row>
    <row r="12513" spans="1:24">
      <c r="A12513">
        <f>HYPERLINK("https://www.philgeps.gov.ph/GEPSNONPILOT/Tender/SplashBidNoticeAbstractUI.aspx?menuIndex=3&amp;refID=7171701&amp;Result=3","7171701")</f>
        <v>0</v>
      </c>
      <c r="B12513" t="s">
        <v>1279</v>
      </c>
      <c r="C12513" t="s">
        <v>15683</v>
      </c>
      <c r="E12513" t="s">
        <v>29717</v>
      </c>
      <c r="F12513" t="s">
        <v>32606</v>
      </c>
      <c r="G12513" t="s">
        <v>32613</v>
      </c>
      <c r="H12513" t="s">
        <v>14201</v>
      </c>
      <c r="I12513" t="s">
        <v>32640</v>
      </c>
      <c r="J12513" t="s">
        <v>40522</v>
      </c>
      <c r="K12513" t="s">
        <v>42631</v>
      </c>
      <c r="M12513" t="s">
        <v>44249</v>
      </c>
      <c r="N12513" t="s">
        <v>47304</v>
      </c>
      <c r="O12513" t="s">
        <v>47305</v>
      </c>
      <c r="P12513">
        <v>0</v>
      </c>
      <c r="Q12513">
        <v>7</v>
      </c>
      <c r="R12513" t="s">
        <v>47319</v>
      </c>
      <c r="S12513" t="s">
        <v>47813</v>
      </c>
      <c r="T12513" t="s">
        <v>49215</v>
      </c>
      <c r="U12513" t="s">
        <v>59493</v>
      </c>
      <c r="W12513" t="s">
        <v>44249</v>
      </c>
      <c r="X12513" t="s">
        <v>47320</v>
      </c>
    </row>
    <row r="12514" spans="1:24">
      <c r="A12514">
        <f>HYPERLINK("https://www.philgeps.gov.ph/GEPSNONPILOT/Tender/SplashBidNoticeAbstractUI.aspx?menuIndex=3&amp;refID=7171698&amp;Result=3","7171698")</f>
        <v>0</v>
      </c>
      <c r="B12514" t="s">
        <v>2099</v>
      </c>
      <c r="C12514" t="s">
        <v>15684</v>
      </c>
      <c r="D12514" t="s">
        <v>18993</v>
      </c>
      <c r="E12514" t="s">
        <v>29718</v>
      </c>
      <c r="F12514" t="s">
        <v>32606</v>
      </c>
      <c r="G12514" t="s">
        <v>32613</v>
      </c>
      <c r="H12514" t="s">
        <v>32623</v>
      </c>
      <c r="I12514" t="s">
        <v>17648</v>
      </c>
      <c r="J12514" t="s">
        <v>40523</v>
      </c>
      <c r="K12514" t="s">
        <v>42645</v>
      </c>
      <c r="M12514" t="s">
        <v>46784</v>
      </c>
      <c r="N12514" t="s">
        <v>47304</v>
      </c>
      <c r="O12514" t="s">
        <v>47305</v>
      </c>
      <c r="P12514">
        <v>0</v>
      </c>
      <c r="Q12514">
        <v>5</v>
      </c>
      <c r="R12514" t="s">
        <v>47319</v>
      </c>
      <c r="S12514" t="s">
        <v>47813</v>
      </c>
      <c r="T12514" t="s">
        <v>48971</v>
      </c>
      <c r="U12514" t="s">
        <v>59873</v>
      </c>
      <c r="V12514" t="s">
        <v>64002</v>
      </c>
      <c r="W12514" t="s">
        <v>46784</v>
      </c>
      <c r="X12514" t="s">
        <v>47320</v>
      </c>
    </row>
    <row r="12515" spans="1:24">
      <c r="A12515">
        <f>HYPERLINK("https://www.philgeps.gov.ph/GEPSNONPILOT/Tender/SplashBidNoticeAbstractUI.aspx?menuIndex=3&amp;refID=7171680&amp;Result=3","7171680")</f>
        <v>0</v>
      </c>
      <c r="B12515" t="s">
        <v>3517</v>
      </c>
      <c r="C12515" t="s">
        <v>15685</v>
      </c>
      <c r="D12515" t="s">
        <v>19011</v>
      </c>
      <c r="E12515" t="s">
        <v>29719</v>
      </c>
      <c r="F12515" t="s">
        <v>32606</v>
      </c>
      <c r="G12515" t="s">
        <v>32613</v>
      </c>
      <c r="H12515" t="s">
        <v>14201</v>
      </c>
      <c r="I12515" t="s">
        <v>6931</v>
      </c>
      <c r="J12515" t="s">
        <v>40524</v>
      </c>
      <c r="K12515" t="s">
        <v>42624</v>
      </c>
      <c r="M12515" t="s">
        <v>46787</v>
      </c>
      <c r="N12515" t="s">
        <v>47304</v>
      </c>
      <c r="O12515" t="s">
        <v>47305</v>
      </c>
      <c r="P12515">
        <v>0</v>
      </c>
      <c r="Q12515">
        <v>0</v>
      </c>
      <c r="R12515" t="s">
        <v>47319</v>
      </c>
      <c r="S12515" t="s">
        <v>47813</v>
      </c>
      <c r="T12515" t="s">
        <v>49081</v>
      </c>
      <c r="U12515" t="s">
        <v>59886</v>
      </c>
      <c r="W12515" t="s">
        <v>46787</v>
      </c>
      <c r="X12515" t="s">
        <v>47320</v>
      </c>
    </row>
    <row r="12516" spans="1:24">
      <c r="A12516">
        <f>HYPERLINK("https://www.philgeps.gov.ph/GEPSNONPILOT/Tender/SplashBidNoticeAbstractUI.aspx?menuIndex=3&amp;refID=7171652&amp;Result=3","7171652")</f>
        <v>0</v>
      </c>
      <c r="B12516" t="s">
        <v>3508</v>
      </c>
      <c r="C12516" t="s">
        <v>15686</v>
      </c>
      <c r="D12516" t="s">
        <v>19057</v>
      </c>
      <c r="E12516" t="s">
        <v>29720</v>
      </c>
      <c r="F12516" t="s">
        <v>32607</v>
      </c>
      <c r="G12516" t="s">
        <v>32613</v>
      </c>
      <c r="H12516" t="s">
        <v>14201</v>
      </c>
      <c r="I12516" t="s">
        <v>6931</v>
      </c>
      <c r="J12516" t="s">
        <v>40525</v>
      </c>
      <c r="K12516" t="s">
        <v>42623</v>
      </c>
      <c r="M12516" t="s">
        <v>46777</v>
      </c>
      <c r="N12516" t="s">
        <v>47304</v>
      </c>
      <c r="O12516" t="s">
        <v>47305</v>
      </c>
      <c r="P12516">
        <v>0</v>
      </c>
      <c r="Q12516">
        <v>0</v>
      </c>
      <c r="R12516" t="s">
        <v>47319</v>
      </c>
      <c r="S12516" t="s">
        <v>47813</v>
      </c>
      <c r="T12516" t="s">
        <v>48986</v>
      </c>
      <c r="U12516" t="s">
        <v>59887</v>
      </c>
      <c r="W12516" t="s">
        <v>46777</v>
      </c>
      <c r="X12516" t="s">
        <v>47320</v>
      </c>
    </row>
    <row r="12517" spans="1:24">
      <c r="A12517">
        <f>HYPERLINK("https://www.philgeps.gov.ph/GEPSNONPILOT/Tender/SplashBidNoticeAbstractUI.aspx?menuIndex=3&amp;refID=7171708&amp;Result=3","7171708")</f>
        <v>0</v>
      </c>
      <c r="B12517" t="s">
        <v>684</v>
      </c>
      <c r="C12517" t="s">
        <v>15687</v>
      </c>
      <c r="D12517" t="s">
        <v>19012</v>
      </c>
      <c r="E12517" t="s">
        <v>29721</v>
      </c>
      <c r="F12517" t="s">
        <v>32606</v>
      </c>
      <c r="G12517" t="s">
        <v>32613</v>
      </c>
      <c r="H12517" t="s">
        <v>14201</v>
      </c>
      <c r="I12517" t="s">
        <v>4678</v>
      </c>
      <c r="J12517" t="s">
        <v>39380</v>
      </c>
      <c r="K12517" t="s">
        <v>42623</v>
      </c>
      <c r="L12517" t="s">
        <v>684</v>
      </c>
      <c r="M12517" t="s">
        <v>43605</v>
      </c>
      <c r="N12517" t="s">
        <v>47304</v>
      </c>
      <c r="O12517" t="s">
        <v>47305</v>
      </c>
      <c r="P12517">
        <v>0</v>
      </c>
      <c r="Q12517">
        <v>9</v>
      </c>
      <c r="R12517" t="s">
        <v>47319</v>
      </c>
      <c r="S12517" t="s">
        <v>47813</v>
      </c>
      <c r="T12517" t="s">
        <v>49023</v>
      </c>
      <c r="U12517" t="s">
        <v>58869</v>
      </c>
      <c r="V12517" t="s">
        <v>63129</v>
      </c>
      <c r="W12517" t="s">
        <v>43605</v>
      </c>
      <c r="X12517" t="s">
        <v>47320</v>
      </c>
    </row>
    <row r="12518" spans="1:24">
      <c r="A12518">
        <f>HYPERLINK("https://www.philgeps.gov.ph/GEPSNONPILOT/Tender/SplashBidNoticeAbstractUI.aspx?menuIndex=3&amp;refID=7171644&amp;Result=3","7171644")</f>
        <v>0</v>
      </c>
      <c r="B12518" t="s">
        <v>3518</v>
      </c>
      <c r="C12518" t="s">
        <v>15688</v>
      </c>
      <c r="D12518" t="s">
        <v>19030</v>
      </c>
      <c r="E12518" t="s">
        <v>29722</v>
      </c>
      <c r="F12518" t="s">
        <v>32606</v>
      </c>
      <c r="G12518" t="s">
        <v>32613</v>
      </c>
      <c r="H12518" t="s">
        <v>14201</v>
      </c>
      <c r="I12518" t="s">
        <v>6993</v>
      </c>
      <c r="J12518" t="s">
        <v>32772</v>
      </c>
      <c r="K12518" t="s">
        <v>42631</v>
      </c>
      <c r="M12518" t="s">
        <v>46788</v>
      </c>
      <c r="N12518" t="s">
        <v>47304</v>
      </c>
      <c r="O12518" t="s">
        <v>47305</v>
      </c>
      <c r="P12518">
        <v>0</v>
      </c>
      <c r="Q12518">
        <v>0</v>
      </c>
      <c r="R12518" t="s">
        <v>47319</v>
      </c>
      <c r="S12518" t="s">
        <v>47813</v>
      </c>
      <c r="T12518" t="s">
        <v>48996</v>
      </c>
      <c r="U12518" t="s">
        <v>59888</v>
      </c>
      <c r="W12518" t="s">
        <v>46788</v>
      </c>
      <c r="X12518" t="s">
        <v>47320</v>
      </c>
    </row>
    <row r="12519" spans="1:24">
      <c r="A12519">
        <f>HYPERLINK("https://www.philgeps.gov.ph/GEPSNONPILOT/Tender/SplashBidNoticeAbstractUI.aspx?menuIndex=3&amp;refID=7171643&amp;Result=3","7171643")</f>
        <v>0</v>
      </c>
      <c r="B12519" t="s">
        <v>1613</v>
      </c>
      <c r="C12519" t="s">
        <v>15689</v>
      </c>
      <c r="D12519" t="s">
        <v>19039</v>
      </c>
      <c r="E12519" t="s">
        <v>29723</v>
      </c>
      <c r="F12519" t="s">
        <v>32606</v>
      </c>
      <c r="G12519" t="s">
        <v>32613</v>
      </c>
      <c r="H12519" t="s">
        <v>14201</v>
      </c>
      <c r="I12519" t="s">
        <v>6993</v>
      </c>
      <c r="J12519" t="s">
        <v>40526</v>
      </c>
      <c r="K12519" t="s">
        <v>42624</v>
      </c>
      <c r="M12519" t="s">
        <v>44633</v>
      </c>
      <c r="N12519" t="s">
        <v>47304</v>
      </c>
      <c r="O12519" t="s">
        <v>47305</v>
      </c>
      <c r="Q12519">
        <v>0</v>
      </c>
      <c r="R12519" t="s">
        <v>47319</v>
      </c>
      <c r="S12519" t="s">
        <v>47845</v>
      </c>
      <c r="T12519" t="s">
        <v>48980</v>
      </c>
      <c r="U12519" t="s">
        <v>59875</v>
      </c>
      <c r="W12519" t="s">
        <v>44633</v>
      </c>
      <c r="X12519" t="s">
        <v>47320</v>
      </c>
    </row>
    <row r="12520" spans="1:24">
      <c r="A12520">
        <f>HYPERLINK("https://www.philgeps.gov.ph/GEPSNONPILOT/Tender/SplashBidNoticeAbstractUI.aspx?menuIndex=3&amp;refID=7170703&amp;Result=3","7170703")</f>
        <v>0</v>
      </c>
      <c r="B12520" t="s">
        <v>101</v>
      </c>
      <c r="C12520" t="s">
        <v>15690</v>
      </c>
      <c r="D12520" t="s">
        <v>18993</v>
      </c>
      <c r="E12520" t="s">
        <v>29724</v>
      </c>
      <c r="F12520" t="s">
        <v>32606</v>
      </c>
      <c r="G12520" t="s">
        <v>32613</v>
      </c>
      <c r="H12520" t="s">
        <v>32623</v>
      </c>
      <c r="I12520" t="s">
        <v>17648</v>
      </c>
      <c r="J12520" t="s">
        <v>40527</v>
      </c>
      <c r="K12520" t="s">
        <v>42646</v>
      </c>
      <c r="M12520" t="s">
        <v>46765</v>
      </c>
      <c r="N12520" t="s">
        <v>47304</v>
      </c>
      <c r="O12520" t="s">
        <v>47305</v>
      </c>
      <c r="P12520">
        <v>0</v>
      </c>
      <c r="Q12520">
        <v>33</v>
      </c>
      <c r="R12520" t="s">
        <v>47319</v>
      </c>
      <c r="S12520" t="s">
        <v>47813</v>
      </c>
      <c r="T12520" t="s">
        <v>49215</v>
      </c>
      <c r="U12520" t="s">
        <v>59819</v>
      </c>
      <c r="W12520" t="s">
        <v>46765</v>
      </c>
      <c r="X12520" t="s">
        <v>47321</v>
      </c>
    </row>
    <row r="12521" spans="1:24">
      <c r="A12521">
        <f>HYPERLINK("https://www.philgeps.gov.ph/GEPSNONPILOT/Tender/SplashBidNoticeAbstractUI.aspx?menuIndex=3&amp;refID=7171639&amp;Result=3","7171639")</f>
        <v>0</v>
      </c>
      <c r="B12521" t="s">
        <v>1532</v>
      </c>
      <c r="C12521" t="s">
        <v>15691</v>
      </c>
      <c r="D12521" t="s">
        <v>19057</v>
      </c>
      <c r="E12521" t="s">
        <v>29725</v>
      </c>
      <c r="F12521" t="s">
        <v>32606</v>
      </c>
      <c r="G12521" t="s">
        <v>32613</v>
      </c>
      <c r="H12521" t="s">
        <v>32623</v>
      </c>
      <c r="I12521" t="s">
        <v>17648</v>
      </c>
      <c r="J12521" t="s">
        <v>32770</v>
      </c>
      <c r="K12521" t="s">
        <v>42636</v>
      </c>
      <c r="M12521" t="s">
        <v>44535</v>
      </c>
      <c r="N12521" t="s">
        <v>47304</v>
      </c>
      <c r="O12521" t="s">
        <v>47305</v>
      </c>
      <c r="P12521">
        <v>0</v>
      </c>
      <c r="Q12521">
        <v>1</v>
      </c>
      <c r="R12521" t="s">
        <v>47319</v>
      </c>
      <c r="S12521" t="s">
        <v>47813</v>
      </c>
      <c r="T12521" t="s">
        <v>49279</v>
      </c>
      <c r="U12521" t="s">
        <v>59889</v>
      </c>
      <c r="W12521" t="s">
        <v>44535</v>
      </c>
      <c r="X12521" t="s">
        <v>47320</v>
      </c>
    </row>
    <row r="12522" spans="1:24">
      <c r="A12522">
        <f>HYPERLINK("https://www.philgeps.gov.ph/GEPSNONPILOT/Tender/SplashBidNoticeAbstractUI.aspx?menuIndex=3&amp;refID=7171614&amp;Result=3","7171614")</f>
        <v>0</v>
      </c>
      <c r="B12522" t="s">
        <v>1613</v>
      </c>
      <c r="C12522" t="s">
        <v>15692</v>
      </c>
      <c r="D12522" t="s">
        <v>19039</v>
      </c>
      <c r="E12522" t="s">
        <v>29723</v>
      </c>
      <c r="F12522" t="s">
        <v>32606</v>
      </c>
      <c r="G12522" t="s">
        <v>32613</v>
      </c>
      <c r="H12522" t="s">
        <v>14201</v>
      </c>
      <c r="I12522" t="s">
        <v>6931</v>
      </c>
      <c r="J12522" t="s">
        <v>40520</v>
      </c>
      <c r="K12522" t="s">
        <v>42624</v>
      </c>
      <c r="M12522" t="s">
        <v>44633</v>
      </c>
      <c r="N12522" t="s">
        <v>47304</v>
      </c>
      <c r="O12522" t="s">
        <v>47305</v>
      </c>
      <c r="Q12522">
        <v>2</v>
      </c>
      <c r="R12522" t="s">
        <v>47319</v>
      </c>
      <c r="S12522" t="s">
        <v>47846</v>
      </c>
      <c r="T12522" t="s">
        <v>48980</v>
      </c>
      <c r="U12522" t="s">
        <v>59875</v>
      </c>
      <c r="W12522" t="s">
        <v>44633</v>
      </c>
      <c r="X12522" t="s">
        <v>47320</v>
      </c>
    </row>
    <row r="12523" spans="1:24">
      <c r="A12523">
        <f>HYPERLINK("https://www.philgeps.gov.ph/GEPSNONPILOT/Tender/SplashBidNoticeAbstractUI.aspx?menuIndex=3&amp;refID=7171682&amp;Result=3","7171682")</f>
        <v>0</v>
      </c>
      <c r="B12523" t="s">
        <v>706</v>
      </c>
      <c r="C12523" t="s">
        <v>15693</v>
      </c>
      <c r="D12523" t="s">
        <v>18986</v>
      </c>
      <c r="E12523" t="s">
        <v>24144</v>
      </c>
      <c r="F12523" t="s">
        <v>32606</v>
      </c>
      <c r="G12523" t="s">
        <v>32613</v>
      </c>
      <c r="H12523" t="s">
        <v>32623</v>
      </c>
      <c r="I12523" t="s">
        <v>17648</v>
      </c>
      <c r="J12523" t="s">
        <v>40528</v>
      </c>
      <c r="K12523" t="s">
        <v>42685</v>
      </c>
      <c r="M12523" t="s">
        <v>43627</v>
      </c>
      <c r="N12523" t="s">
        <v>47304</v>
      </c>
      <c r="O12523" t="s">
        <v>47305</v>
      </c>
      <c r="P12523">
        <v>0</v>
      </c>
      <c r="Q12523">
        <v>0</v>
      </c>
      <c r="R12523" t="s">
        <v>47319</v>
      </c>
      <c r="S12523" t="s">
        <v>47813</v>
      </c>
      <c r="T12523" t="s">
        <v>48986</v>
      </c>
      <c r="U12523" t="s">
        <v>59890</v>
      </c>
      <c r="W12523" t="s">
        <v>43627</v>
      </c>
      <c r="X12523" t="s">
        <v>47320</v>
      </c>
    </row>
    <row r="12524" spans="1:24">
      <c r="A12524">
        <f>HYPERLINK("https://www.philgeps.gov.ph/GEPSNONPILOT/Tender/SplashBidNoticeAbstractUI.aspx?menuIndex=3&amp;refID=7171591&amp;Result=3","7171591")</f>
        <v>0</v>
      </c>
      <c r="B12524" t="s">
        <v>567</v>
      </c>
      <c r="C12524" t="s">
        <v>15694</v>
      </c>
      <c r="E12524" t="s">
        <v>29726</v>
      </c>
      <c r="F12524" t="s">
        <v>32606</v>
      </c>
      <c r="G12524" t="s">
        <v>32613</v>
      </c>
      <c r="H12524" t="s">
        <v>14201</v>
      </c>
      <c r="I12524" t="s">
        <v>32628</v>
      </c>
      <c r="J12524" t="s">
        <v>40529</v>
      </c>
      <c r="K12524" t="s">
        <v>42624</v>
      </c>
      <c r="M12524" t="s">
        <v>43482</v>
      </c>
      <c r="N12524" t="s">
        <v>47304</v>
      </c>
      <c r="O12524" t="s">
        <v>47305</v>
      </c>
      <c r="P12524">
        <v>0</v>
      </c>
      <c r="Q12524">
        <v>2</v>
      </c>
      <c r="R12524" t="s">
        <v>47319</v>
      </c>
      <c r="S12524" t="s">
        <v>47813</v>
      </c>
      <c r="T12524" t="s">
        <v>49028</v>
      </c>
      <c r="U12524" t="s">
        <v>59891</v>
      </c>
      <c r="W12524" t="s">
        <v>43482</v>
      </c>
      <c r="X12524" t="s">
        <v>47320</v>
      </c>
    </row>
    <row r="12525" spans="1:24">
      <c r="A12525">
        <f>HYPERLINK("https://www.philgeps.gov.ph/GEPSNONPILOT/Tender/SplashBidNoticeAbstractUI.aspx?menuIndex=3&amp;refID=7171579&amp;Result=3","7171579")</f>
        <v>0</v>
      </c>
      <c r="B12525" t="s">
        <v>2099</v>
      </c>
      <c r="C12525" t="s">
        <v>15695</v>
      </c>
      <c r="D12525" t="s">
        <v>18993</v>
      </c>
      <c r="E12525" t="s">
        <v>29727</v>
      </c>
      <c r="F12525" t="s">
        <v>32606</v>
      </c>
      <c r="G12525" t="s">
        <v>32613</v>
      </c>
      <c r="H12525" t="s">
        <v>32623</v>
      </c>
      <c r="I12525" t="s">
        <v>17648</v>
      </c>
      <c r="J12525" t="s">
        <v>40530</v>
      </c>
      <c r="K12525" t="s">
        <v>42636</v>
      </c>
      <c r="M12525" t="s">
        <v>46784</v>
      </c>
      <c r="N12525" t="s">
        <v>47304</v>
      </c>
      <c r="O12525" t="s">
        <v>47305</v>
      </c>
      <c r="P12525">
        <v>0</v>
      </c>
      <c r="Q12525">
        <v>2</v>
      </c>
      <c r="R12525" t="s">
        <v>47319</v>
      </c>
      <c r="S12525" t="s">
        <v>47813</v>
      </c>
      <c r="T12525" t="s">
        <v>48971</v>
      </c>
      <c r="U12525" t="s">
        <v>59873</v>
      </c>
      <c r="V12525" t="s">
        <v>64001</v>
      </c>
      <c r="W12525" t="s">
        <v>46784</v>
      </c>
      <c r="X12525" t="s">
        <v>47320</v>
      </c>
    </row>
    <row r="12526" spans="1:24">
      <c r="A12526">
        <f>HYPERLINK("https://www.philgeps.gov.ph/GEPSNONPILOT/Tender/SplashBidNoticeAbstractUI.aspx?menuIndex=3&amp;refID=7171660&amp;Result=3","7171660")</f>
        <v>0</v>
      </c>
      <c r="B12526" t="s">
        <v>1279</v>
      </c>
      <c r="C12526" t="s">
        <v>15696</v>
      </c>
      <c r="E12526" t="s">
        <v>29728</v>
      </c>
      <c r="F12526" t="s">
        <v>32606</v>
      </c>
      <c r="G12526" t="s">
        <v>32613</v>
      </c>
      <c r="H12526" t="s">
        <v>14201</v>
      </c>
      <c r="I12526" t="s">
        <v>32640</v>
      </c>
      <c r="J12526" t="s">
        <v>40531</v>
      </c>
      <c r="K12526" t="s">
        <v>42631</v>
      </c>
      <c r="M12526" t="s">
        <v>44249</v>
      </c>
      <c r="N12526" t="s">
        <v>47304</v>
      </c>
      <c r="O12526" t="s">
        <v>47305</v>
      </c>
      <c r="P12526">
        <v>0</v>
      </c>
      <c r="Q12526">
        <v>10</v>
      </c>
      <c r="R12526" t="s">
        <v>47319</v>
      </c>
      <c r="S12526" t="s">
        <v>47813</v>
      </c>
      <c r="T12526" t="s">
        <v>48994</v>
      </c>
      <c r="U12526" t="s">
        <v>59493</v>
      </c>
      <c r="W12526" t="s">
        <v>44249</v>
      </c>
      <c r="X12526" t="s">
        <v>47320</v>
      </c>
    </row>
    <row r="12527" spans="1:24">
      <c r="A12527">
        <f>HYPERLINK("https://www.philgeps.gov.ph/GEPSNONPILOT/Tender/SplashBidNoticeAbstractUI.aspx?menuIndex=3&amp;refID=7171570&amp;Result=3","7171570")</f>
        <v>0</v>
      </c>
      <c r="B12527" t="s">
        <v>2708</v>
      </c>
      <c r="C12527" t="s">
        <v>15697</v>
      </c>
      <c r="D12527" t="s">
        <v>19058</v>
      </c>
      <c r="E12527" t="s">
        <v>29729</v>
      </c>
      <c r="F12527" t="s">
        <v>32606</v>
      </c>
      <c r="G12527" t="s">
        <v>32613</v>
      </c>
      <c r="H12527" t="s">
        <v>14201</v>
      </c>
      <c r="I12527" t="s">
        <v>32650</v>
      </c>
      <c r="J12527" t="s">
        <v>40532</v>
      </c>
      <c r="K12527" t="s">
        <v>42623</v>
      </c>
      <c r="M12527" t="s">
        <v>45861</v>
      </c>
      <c r="N12527" t="s">
        <v>47304</v>
      </c>
      <c r="O12527" t="s">
        <v>47305</v>
      </c>
      <c r="Q12527">
        <v>5</v>
      </c>
      <c r="R12527" t="s">
        <v>47319</v>
      </c>
      <c r="S12527" t="s">
        <v>47847</v>
      </c>
      <c r="T12527" t="s">
        <v>48988</v>
      </c>
      <c r="U12527" t="s">
        <v>56608</v>
      </c>
      <c r="W12527" t="s">
        <v>45861</v>
      </c>
      <c r="X12527" t="s">
        <v>47320</v>
      </c>
    </row>
    <row r="12528" spans="1:24">
      <c r="A12528">
        <f>HYPERLINK("https://www.philgeps.gov.ph/GEPSNONPILOT/Tender/SplashBidNoticeAbstractUI.aspx?menuIndex=3&amp;refID=7171648&amp;Result=3","7171648")</f>
        <v>0</v>
      </c>
      <c r="B12528" t="s">
        <v>2099</v>
      </c>
      <c r="C12528" t="s">
        <v>15698</v>
      </c>
      <c r="D12528" t="s">
        <v>18993</v>
      </c>
      <c r="E12528" t="s">
        <v>29730</v>
      </c>
      <c r="F12528" t="s">
        <v>32606</v>
      </c>
      <c r="G12528" t="s">
        <v>32613</v>
      </c>
      <c r="H12528" t="s">
        <v>32623</v>
      </c>
      <c r="I12528" t="s">
        <v>17648</v>
      </c>
      <c r="J12528" t="s">
        <v>40533</v>
      </c>
      <c r="K12528" t="s">
        <v>42648</v>
      </c>
      <c r="M12528" t="s">
        <v>46784</v>
      </c>
      <c r="N12528" t="s">
        <v>47304</v>
      </c>
      <c r="O12528" t="s">
        <v>47305</v>
      </c>
      <c r="Q12528">
        <v>3</v>
      </c>
      <c r="R12528" t="s">
        <v>47319</v>
      </c>
      <c r="S12528" t="s">
        <v>47848</v>
      </c>
      <c r="T12528" t="s">
        <v>49086</v>
      </c>
      <c r="U12528" t="s">
        <v>59873</v>
      </c>
      <c r="V12528" t="s">
        <v>64003</v>
      </c>
      <c r="W12528" t="s">
        <v>46784</v>
      </c>
      <c r="X12528" t="s">
        <v>47320</v>
      </c>
    </row>
    <row r="12529" spans="1:24">
      <c r="A12529">
        <f>HYPERLINK("https://www.philgeps.gov.ph/GEPSNONPILOT/Tender/SplashBidNoticeAbstractUI.aspx?menuIndex=3&amp;refID=7171561&amp;Result=3","7171561")</f>
        <v>0</v>
      </c>
      <c r="B12529" t="s">
        <v>2599</v>
      </c>
      <c r="C12529" t="s">
        <v>15699</v>
      </c>
      <c r="D12529" t="s">
        <v>18992</v>
      </c>
      <c r="E12529" t="s">
        <v>29731</v>
      </c>
      <c r="F12529" t="s">
        <v>32607</v>
      </c>
      <c r="G12529" t="s">
        <v>32619</v>
      </c>
      <c r="H12529" t="s">
        <v>14201</v>
      </c>
      <c r="I12529" t="s">
        <v>32681</v>
      </c>
      <c r="J12529" t="s">
        <v>32813</v>
      </c>
      <c r="K12529" t="s">
        <v>42622</v>
      </c>
      <c r="M12529" t="s">
        <v>45743</v>
      </c>
      <c r="N12529" t="s">
        <v>47304</v>
      </c>
      <c r="O12529" t="s">
        <v>47305</v>
      </c>
      <c r="P12529">
        <v>0</v>
      </c>
      <c r="Q12529">
        <v>3</v>
      </c>
      <c r="R12529" t="s">
        <v>47319</v>
      </c>
      <c r="S12529" t="s">
        <v>47813</v>
      </c>
      <c r="T12529" t="s">
        <v>48998</v>
      </c>
      <c r="U12529" t="s">
        <v>59892</v>
      </c>
      <c r="W12529" t="s">
        <v>45743</v>
      </c>
      <c r="X12529" t="s">
        <v>47320</v>
      </c>
    </row>
    <row r="12530" spans="1:24">
      <c r="A12530">
        <f>HYPERLINK("https://www.philgeps.gov.ph/GEPSNONPILOT/Tender/SplashBidNoticeAbstractUI.aspx?menuIndex=3&amp;refID=7171553&amp;Result=3","7171553")</f>
        <v>0</v>
      </c>
      <c r="B12530" t="s">
        <v>193</v>
      </c>
      <c r="C12530" t="s">
        <v>15700</v>
      </c>
      <c r="D12530" t="s">
        <v>19044</v>
      </c>
      <c r="E12530" t="s">
        <v>19873</v>
      </c>
      <c r="F12530" t="s">
        <v>32606</v>
      </c>
      <c r="G12530" t="s">
        <v>32613</v>
      </c>
      <c r="H12530" t="s">
        <v>14201</v>
      </c>
      <c r="I12530" t="s">
        <v>8606</v>
      </c>
      <c r="J12530" t="s">
        <v>33103</v>
      </c>
      <c r="K12530" t="s">
        <v>42631</v>
      </c>
      <c r="M12530" t="s">
        <v>43094</v>
      </c>
      <c r="N12530" t="s">
        <v>47304</v>
      </c>
      <c r="O12530" t="s">
        <v>47305</v>
      </c>
      <c r="P12530">
        <v>0</v>
      </c>
      <c r="Q12530">
        <v>2</v>
      </c>
      <c r="R12530" t="s">
        <v>47319</v>
      </c>
      <c r="S12530" t="s">
        <v>47813</v>
      </c>
      <c r="T12530" t="s">
        <v>49160</v>
      </c>
      <c r="U12530" t="s">
        <v>59893</v>
      </c>
      <c r="W12530" t="s">
        <v>43094</v>
      </c>
      <c r="X12530" t="s">
        <v>47320</v>
      </c>
    </row>
    <row r="12531" spans="1:24">
      <c r="A12531">
        <f>HYPERLINK("https://www.philgeps.gov.ph/GEPSNONPILOT/Tender/SplashBidNoticeAbstractUI.aspx?menuIndex=3&amp;refID=7171408&amp;Result=3","7171408")</f>
        <v>0</v>
      </c>
      <c r="B12531" t="s">
        <v>2290</v>
      </c>
      <c r="C12531" t="s">
        <v>15701</v>
      </c>
      <c r="D12531" t="s">
        <v>19018</v>
      </c>
      <c r="E12531" t="s">
        <v>25867</v>
      </c>
      <c r="F12531" t="s">
        <v>32606</v>
      </c>
      <c r="G12531" t="s">
        <v>32613</v>
      </c>
      <c r="H12531" t="s">
        <v>32623</v>
      </c>
      <c r="I12531" t="s">
        <v>17648</v>
      </c>
      <c r="J12531" t="s">
        <v>40534</v>
      </c>
      <c r="K12531" t="s">
        <v>42636</v>
      </c>
      <c r="M12531" t="s">
        <v>45395</v>
      </c>
      <c r="N12531" t="s">
        <v>47304</v>
      </c>
      <c r="O12531" t="s">
        <v>47305</v>
      </c>
      <c r="P12531">
        <v>0</v>
      </c>
      <c r="Q12531">
        <v>0</v>
      </c>
      <c r="R12531" t="s">
        <v>47319</v>
      </c>
      <c r="S12531" t="s">
        <v>47813</v>
      </c>
      <c r="T12531" t="s">
        <v>49184</v>
      </c>
      <c r="U12531" t="s">
        <v>59894</v>
      </c>
      <c r="W12531" t="s">
        <v>45395</v>
      </c>
      <c r="X12531" t="s">
        <v>47320</v>
      </c>
    </row>
    <row r="12532" spans="1:24">
      <c r="A12532">
        <f>HYPERLINK("https://www.philgeps.gov.ph/GEPSNONPILOT/Tender/SplashBidNoticeAbstractUI.aspx?menuIndex=3&amp;refID=7171394&amp;Result=3","7171394")</f>
        <v>0</v>
      </c>
      <c r="B12532" t="s">
        <v>3505</v>
      </c>
      <c r="C12532" t="s">
        <v>15702</v>
      </c>
      <c r="D12532" t="s">
        <v>19090</v>
      </c>
      <c r="E12532" t="s">
        <v>19522</v>
      </c>
      <c r="F12532" t="s">
        <v>32606</v>
      </c>
      <c r="G12532" t="s">
        <v>32613</v>
      </c>
      <c r="H12532" t="s">
        <v>14201</v>
      </c>
      <c r="I12532" t="s">
        <v>6298</v>
      </c>
      <c r="J12532" t="s">
        <v>32949</v>
      </c>
      <c r="K12532" t="s">
        <v>42631</v>
      </c>
      <c r="M12532" t="s">
        <v>46774</v>
      </c>
      <c r="N12532" t="s">
        <v>47304</v>
      </c>
      <c r="O12532" t="s">
        <v>47305</v>
      </c>
      <c r="P12532">
        <v>0</v>
      </c>
      <c r="Q12532">
        <v>0</v>
      </c>
      <c r="R12532" t="s">
        <v>47319</v>
      </c>
      <c r="S12532" t="s">
        <v>47813</v>
      </c>
      <c r="T12532" t="s">
        <v>49071</v>
      </c>
      <c r="U12532" t="s">
        <v>59895</v>
      </c>
      <c r="W12532" t="s">
        <v>46774</v>
      </c>
      <c r="X12532" t="s">
        <v>47320</v>
      </c>
    </row>
    <row r="12533" spans="1:24">
      <c r="A12533">
        <f>HYPERLINK("https://www.philgeps.gov.ph/GEPSNONPILOT/Tender/SplashBidNoticeAbstractUI.aspx?menuIndex=3&amp;refID=7171381&amp;Result=3","7171381")</f>
        <v>0</v>
      </c>
      <c r="B12533" t="s">
        <v>3514</v>
      </c>
      <c r="C12533" t="s">
        <v>15703</v>
      </c>
      <c r="D12533" t="s">
        <v>18995</v>
      </c>
      <c r="E12533" t="s">
        <v>29732</v>
      </c>
      <c r="F12533" t="s">
        <v>32606</v>
      </c>
      <c r="G12533" t="s">
        <v>32613</v>
      </c>
      <c r="H12533" t="s">
        <v>14201</v>
      </c>
      <c r="I12533" t="s">
        <v>6007</v>
      </c>
      <c r="J12533" t="s">
        <v>32772</v>
      </c>
      <c r="K12533" t="s">
        <v>42623</v>
      </c>
      <c r="M12533" t="s">
        <v>46783</v>
      </c>
      <c r="N12533" t="s">
        <v>47304</v>
      </c>
      <c r="O12533" t="s">
        <v>47305</v>
      </c>
      <c r="P12533">
        <v>0</v>
      </c>
      <c r="Q12533">
        <v>2</v>
      </c>
      <c r="R12533" t="s">
        <v>47319</v>
      </c>
      <c r="S12533" t="s">
        <v>47813</v>
      </c>
      <c r="T12533" t="s">
        <v>49023</v>
      </c>
      <c r="U12533" t="s">
        <v>59896</v>
      </c>
      <c r="W12533" t="s">
        <v>46783</v>
      </c>
      <c r="X12533" t="s">
        <v>47320</v>
      </c>
    </row>
    <row r="12534" spans="1:24">
      <c r="A12534">
        <f>HYPERLINK("https://www.philgeps.gov.ph/GEPSNONPILOT/Tender/SplashBidNoticeAbstractUI.aspx?menuIndex=3&amp;refID=7171388&amp;Result=3","7171388")</f>
        <v>0</v>
      </c>
      <c r="B12534" t="s">
        <v>196</v>
      </c>
      <c r="C12534" t="s">
        <v>15704</v>
      </c>
      <c r="D12534" t="s">
        <v>19027</v>
      </c>
      <c r="E12534" t="s">
        <v>29733</v>
      </c>
      <c r="F12534" t="s">
        <v>32607</v>
      </c>
      <c r="G12534" t="s">
        <v>32613</v>
      </c>
      <c r="H12534" t="s">
        <v>14201</v>
      </c>
      <c r="I12534" t="s">
        <v>9013</v>
      </c>
      <c r="J12534" t="s">
        <v>40535</v>
      </c>
      <c r="K12534" t="s">
        <v>42623</v>
      </c>
      <c r="M12534" t="s">
        <v>43097</v>
      </c>
      <c r="N12534" t="s">
        <v>47304</v>
      </c>
      <c r="O12534" t="s">
        <v>47305</v>
      </c>
      <c r="P12534">
        <v>0</v>
      </c>
      <c r="Q12534">
        <v>0</v>
      </c>
      <c r="R12534" t="s">
        <v>47319</v>
      </c>
      <c r="S12534" t="s">
        <v>47813</v>
      </c>
      <c r="T12534" t="s">
        <v>49050</v>
      </c>
      <c r="U12534" t="s">
        <v>49893</v>
      </c>
      <c r="W12534" t="s">
        <v>43097</v>
      </c>
      <c r="X12534" t="s">
        <v>47320</v>
      </c>
    </row>
    <row r="12535" spans="1:24">
      <c r="A12535">
        <f>HYPERLINK("https://www.philgeps.gov.ph/GEPSNONPILOT/Tender/SplashBidNoticeAbstractUI.aspx?menuIndex=3&amp;refID=7170686&amp;Result=3","7170686")</f>
        <v>0</v>
      </c>
      <c r="B12535" t="s">
        <v>101</v>
      </c>
      <c r="C12535" t="s">
        <v>15705</v>
      </c>
      <c r="D12535" t="s">
        <v>18993</v>
      </c>
      <c r="E12535" t="s">
        <v>29734</v>
      </c>
      <c r="F12535" t="s">
        <v>32606</v>
      </c>
      <c r="G12535" t="s">
        <v>32613</v>
      </c>
      <c r="H12535" t="s">
        <v>32623</v>
      </c>
      <c r="I12535" t="s">
        <v>17648</v>
      </c>
      <c r="J12535" t="s">
        <v>40536</v>
      </c>
      <c r="K12535" t="s">
        <v>42646</v>
      </c>
      <c r="M12535" t="s">
        <v>46765</v>
      </c>
      <c r="N12535" t="s">
        <v>47304</v>
      </c>
      <c r="O12535" t="s">
        <v>47305</v>
      </c>
      <c r="P12535">
        <v>0</v>
      </c>
      <c r="Q12535">
        <v>31</v>
      </c>
      <c r="R12535" t="s">
        <v>47319</v>
      </c>
      <c r="S12535" t="s">
        <v>47813</v>
      </c>
      <c r="T12535" t="s">
        <v>49215</v>
      </c>
      <c r="U12535" t="s">
        <v>59897</v>
      </c>
      <c r="W12535" t="s">
        <v>46765</v>
      </c>
      <c r="X12535" t="s">
        <v>47321</v>
      </c>
    </row>
    <row r="12536" spans="1:24">
      <c r="A12536">
        <f>HYPERLINK("https://www.philgeps.gov.ph/GEPSNONPILOT/Tender/SplashBidNoticeAbstractUI.aspx?menuIndex=3&amp;refID=7171715&amp;Result=3","7171715")</f>
        <v>0</v>
      </c>
      <c r="B12536" t="s">
        <v>3337</v>
      </c>
      <c r="C12536" t="s">
        <v>15706</v>
      </c>
      <c r="D12536" t="s">
        <v>19039</v>
      </c>
      <c r="E12536" t="s">
        <v>29735</v>
      </c>
      <c r="F12536" t="s">
        <v>32606</v>
      </c>
      <c r="G12536" t="s">
        <v>32613</v>
      </c>
      <c r="H12536" t="s">
        <v>32623</v>
      </c>
      <c r="I12536" t="s">
        <v>17648</v>
      </c>
      <c r="J12536" t="s">
        <v>34188</v>
      </c>
      <c r="K12536" t="s">
        <v>42638</v>
      </c>
      <c r="M12536" t="s">
        <v>46583</v>
      </c>
      <c r="N12536" t="s">
        <v>47304</v>
      </c>
      <c r="O12536" t="s">
        <v>47305</v>
      </c>
      <c r="P12536">
        <v>0</v>
      </c>
      <c r="Q12536">
        <v>0</v>
      </c>
      <c r="R12536" t="s">
        <v>47319</v>
      </c>
      <c r="S12536" t="s">
        <v>47813</v>
      </c>
      <c r="T12536" t="s">
        <v>49017</v>
      </c>
      <c r="U12536" t="s">
        <v>59898</v>
      </c>
      <c r="V12536" t="s">
        <v>64004</v>
      </c>
      <c r="W12536" t="s">
        <v>46583</v>
      </c>
      <c r="X12536" t="s">
        <v>47320</v>
      </c>
    </row>
    <row r="12537" spans="1:24">
      <c r="A12537">
        <f>HYPERLINK("https://www.philgeps.gov.ph/GEPSNONPILOT/Tender/SplashBidNoticeAbstractUI.aspx?menuIndex=3&amp;refID=7170691&amp;Result=3","7170691")</f>
        <v>0</v>
      </c>
      <c r="B12537" t="s">
        <v>101</v>
      </c>
      <c r="C12537" t="s">
        <v>15707</v>
      </c>
      <c r="D12537" t="s">
        <v>18993</v>
      </c>
      <c r="E12537" t="s">
        <v>29736</v>
      </c>
      <c r="F12537" t="s">
        <v>32606</v>
      </c>
      <c r="G12537" t="s">
        <v>32613</v>
      </c>
      <c r="H12537" t="s">
        <v>32623</v>
      </c>
      <c r="I12537" t="s">
        <v>17648</v>
      </c>
      <c r="J12537" t="s">
        <v>40537</v>
      </c>
      <c r="K12537" t="s">
        <v>42646</v>
      </c>
      <c r="M12537" t="s">
        <v>46765</v>
      </c>
      <c r="N12537" t="s">
        <v>47304</v>
      </c>
      <c r="O12537" t="s">
        <v>47305</v>
      </c>
      <c r="P12537">
        <v>0</v>
      </c>
      <c r="Q12537">
        <v>29</v>
      </c>
      <c r="R12537" t="s">
        <v>47319</v>
      </c>
      <c r="S12537" t="s">
        <v>47813</v>
      </c>
      <c r="T12537" t="s">
        <v>49215</v>
      </c>
      <c r="U12537" t="s">
        <v>59819</v>
      </c>
      <c r="W12537" t="s">
        <v>46765</v>
      </c>
      <c r="X12537" t="s">
        <v>47321</v>
      </c>
    </row>
    <row r="12538" spans="1:24">
      <c r="A12538">
        <f>HYPERLINK("https://www.philgeps.gov.ph/GEPSNONPILOT/Tender/SplashBidNoticeAbstractUI.aspx?menuIndex=3&amp;refID=7171564&amp;Result=3","7171564")</f>
        <v>0</v>
      </c>
      <c r="B12538" t="s">
        <v>1388</v>
      </c>
      <c r="C12538" t="s">
        <v>15708</v>
      </c>
      <c r="D12538" t="s">
        <v>18995</v>
      </c>
      <c r="E12538" t="s">
        <v>29737</v>
      </c>
      <c r="F12538" t="s">
        <v>32606</v>
      </c>
      <c r="G12538" t="s">
        <v>32613</v>
      </c>
      <c r="H12538" t="s">
        <v>14201</v>
      </c>
      <c r="I12538" t="s">
        <v>32695</v>
      </c>
      <c r="J12538" t="s">
        <v>33913</v>
      </c>
      <c r="K12538" t="s">
        <v>42624</v>
      </c>
      <c r="M12538" t="s">
        <v>44370</v>
      </c>
      <c r="N12538" t="s">
        <v>47304</v>
      </c>
      <c r="O12538" t="s">
        <v>47305</v>
      </c>
      <c r="P12538">
        <v>0</v>
      </c>
      <c r="Q12538">
        <v>3</v>
      </c>
      <c r="R12538" t="s">
        <v>47319</v>
      </c>
      <c r="S12538" t="s">
        <v>47813</v>
      </c>
      <c r="T12538" t="s">
        <v>49017</v>
      </c>
      <c r="U12538" t="s">
        <v>59899</v>
      </c>
      <c r="V12538" t="s">
        <v>64005</v>
      </c>
      <c r="W12538" t="s">
        <v>44370</v>
      </c>
      <c r="X12538" t="s">
        <v>47320</v>
      </c>
    </row>
    <row r="12539" spans="1:24">
      <c r="A12539">
        <f>HYPERLINK("https://www.philgeps.gov.ph/GEPSNONPILOT/Tender/SplashBidNoticeAbstractUI.aspx?menuIndex=3&amp;refID=7170729&amp;Result=3","7170729")</f>
        <v>0</v>
      </c>
      <c r="B12539" t="s">
        <v>3503</v>
      </c>
      <c r="C12539" t="s">
        <v>15709</v>
      </c>
      <c r="D12539" t="s">
        <v>18990</v>
      </c>
      <c r="E12539" t="s">
        <v>29738</v>
      </c>
      <c r="F12539" t="s">
        <v>32610</v>
      </c>
      <c r="G12539" t="s">
        <v>32618</v>
      </c>
      <c r="H12539" t="s">
        <v>14201</v>
      </c>
      <c r="I12539" t="s">
        <v>32635</v>
      </c>
      <c r="J12539" t="s">
        <v>33043</v>
      </c>
      <c r="K12539" t="s">
        <v>42639</v>
      </c>
      <c r="M12539" t="s">
        <v>46771</v>
      </c>
      <c r="N12539" t="s">
        <v>47304</v>
      </c>
      <c r="O12539" t="s">
        <v>47305</v>
      </c>
      <c r="Q12539">
        <v>3</v>
      </c>
      <c r="R12539" t="s">
        <v>47319</v>
      </c>
      <c r="S12539" t="s">
        <v>47849</v>
      </c>
      <c r="T12539" t="s">
        <v>49198</v>
      </c>
      <c r="U12539" t="s">
        <v>59900</v>
      </c>
      <c r="V12539" t="s">
        <v>64006</v>
      </c>
      <c r="W12539" t="s">
        <v>46771</v>
      </c>
      <c r="X12539" t="s">
        <v>47321</v>
      </c>
    </row>
    <row r="12540" spans="1:24">
      <c r="A12540">
        <f>HYPERLINK("https://www.philgeps.gov.ph/GEPSNONPILOT/Tender/SplashBidNoticeAbstractUI.aspx?menuIndex=3&amp;refID=7171796&amp;Result=3","7171796")</f>
        <v>0</v>
      </c>
      <c r="B12540" t="s">
        <v>3085</v>
      </c>
      <c r="C12540" t="s">
        <v>15710</v>
      </c>
      <c r="D12540" t="s">
        <v>19020</v>
      </c>
      <c r="E12540" t="s">
        <v>29739</v>
      </c>
      <c r="F12540" t="s">
        <v>32606</v>
      </c>
      <c r="G12540" t="s">
        <v>32613</v>
      </c>
      <c r="H12540" t="s">
        <v>32623</v>
      </c>
      <c r="I12540" t="s">
        <v>17648</v>
      </c>
      <c r="J12540" t="s">
        <v>40538</v>
      </c>
      <c r="K12540" t="s">
        <v>42730</v>
      </c>
      <c r="M12540" t="s">
        <v>46289</v>
      </c>
      <c r="N12540" t="s">
        <v>47304</v>
      </c>
      <c r="O12540" t="s">
        <v>47305</v>
      </c>
      <c r="P12540">
        <v>0</v>
      </c>
      <c r="Q12540">
        <v>1</v>
      </c>
      <c r="R12540" t="s">
        <v>47319</v>
      </c>
      <c r="S12540" t="s">
        <v>47813</v>
      </c>
      <c r="T12540" t="s">
        <v>48986</v>
      </c>
      <c r="U12540" t="s">
        <v>59901</v>
      </c>
      <c r="W12540" t="s">
        <v>46289</v>
      </c>
      <c r="X12540" t="s">
        <v>47320</v>
      </c>
    </row>
    <row r="12541" spans="1:24">
      <c r="A12541">
        <f>HYPERLINK("https://www.philgeps.gov.ph/GEPSNONPILOT/Tender/SplashBidNoticeAbstractUI.aspx?menuIndex=3&amp;refID=7171793&amp;Result=3","7171793")</f>
        <v>0</v>
      </c>
      <c r="B12541" t="s">
        <v>1617</v>
      </c>
      <c r="C12541" t="s">
        <v>15711</v>
      </c>
      <c r="D12541" t="s">
        <v>19019</v>
      </c>
      <c r="E12541" t="s">
        <v>19412</v>
      </c>
      <c r="F12541" t="s">
        <v>32606</v>
      </c>
      <c r="G12541" t="s">
        <v>32613</v>
      </c>
      <c r="H12541" t="s">
        <v>14201</v>
      </c>
      <c r="I12541" t="s">
        <v>6478</v>
      </c>
      <c r="J12541" t="s">
        <v>35895</v>
      </c>
      <c r="K12541" t="s">
        <v>42648</v>
      </c>
      <c r="M12541" t="s">
        <v>44637</v>
      </c>
      <c r="N12541" t="s">
        <v>47304</v>
      </c>
      <c r="O12541" t="s">
        <v>47305</v>
      </c>
      <c r="P12541">
        <v>0</v>
      </c>
      <c r="Q12541">
        <v>8</v>
      </c>
      <c r="R12541" t="s">
        <v>47319</v>
      </c>
      <c r="S12541" t="s">
        <v>47813</v>
      </c>
      <c r="T12541" t="s">
        <v>49017</v>
      </c>
      <c r="U12541" t="s">
        <v>59902</v>
      </c>
      <c r="W12541" t="s">
        <v>44637</v>
      </c>
      <c r="X12541" t="s">
        <v>47320</v>
      </c>
    </row>
    <row r="12542" spans="1:24">
      <c r="A12542">
        <f>HYPERLINK("https://www.philgeps.gov.ph/GEPSNONPILOT/Tender/SplashBidNoticeAbstractUI.aspx?menuIndex=3&amp;refID=7171884&amp;Result=3","7171884")</f>
        <v>0</v>
      </c>
      <c r="B12542" t="s">
        <v>3519</v>
      </c>
      <c r="C12542" t="s">
        <v>15712</v>
      </c>
      <c r="D12542" t="s">
        <v>19006</v>
      </c>
      <c r="E12542" t="s">
        <v>29740</v>
      </c>
      <c r="F12542" t="s">
        <v>32606</v>
      </c>
      <c r="G12542" t="s">
        <v>32613</v>
      </c>
      <c r="H12542" t="s">
        <v>32623</v>
      </c>
      <c r="I12542" t="s">
        <v>17648</v>
      </c>
      <c r="J12542" t="s">
        <v>34669</v>
      </c>
      <c r="K12542" t="s">
        <v>42627</v>
      </c>
      <c r="M12542" t="s">
        <v>46789</v>
      </c>
      <c r="N12542" t="s">
        <v>47304</v>
      </c>
      <c r="O12542" t="s">
        <v>47305</v>
      </c>
      <c r="P12542">
        <v>0</v>
      </c>
      <c r="Q12542">
        <v>0</v>
      </c>
      <c r="R12542" t="s">
        <v>47319</v>
      </c>
      <c r="S12542" t="s">
        <v>47813</v>
      </c>
      <c r="T12542" t="s">
        <v>49081</v>
      </c>
      <c r="U12542" t="s">
        <v>59903</v>
      </c>
      <c r="V12542" t="s">
        <v>63773</v>
      </c>
      <c r="W12542" t="s">
        <v>46789</v>
      </c>
      <c r="X12542" t="s">
        <v>47320</v>
      </c>
    </row>
    <row r="12543" spans="1:24">
      <c r="A12543">
        <f>HYPERLINK("https://www.philgeps.gov.ph/GEPSNONPILOT/Tender/SplashBidNoticeAbstractUI.aspx?menuIndex=3&amp;refID=7171848&amp;Result=3","7171848")</f>
        <v>0</v>
      </c>
      <c r="B12543" t="s">
        <v>1752</v>
      </c>
      <c r="C12543" t="s">
        <v>15713</v>
      </c>
      <c r="D12543" t="s">
        <v>19011</v>
      </c>
      <c r="E12543" t="s">
        <v>29741</v>
      </c>
      <c r="F12543" t="s">
        <v>32606</v>
      </c>
      <c r="G12543" t="s">
        <v>32613</v>
      </c>
      <c r="H12543" t="s">
        <v>32623</v>
      </c>
      <c r="I12543" t="s">
        <v>17648</v>
      </c>
      <c r="J12543" t="s">
        <v>40539</v>
      </c>
      <c r="K12543" t="s">
        <v>42636</v>
      </c>
      <c r="M12543" t="s">
        <v>44788</v>
      </c>
      <c r="N12543" t="s">
        <v>47304</v>
      </c>
      <c r="O12543" t="s">
        <v>47305</v>
      </c>
      <c r="P12543">
        <v>0</v>
      </c>
      <c r="Q12543">
        <v>1</v>
      </c>
      <c r="R12543" t="s">
        <v>47319</v>
      </c>
      <c r="S12543" t="s">
        <v>47813</v>
      </c>
      <c r="T12543" t="s">
        <v>48987</v>
      </c>
      <c r="U12543" t="s">
        <v>59904</v>
      </c>
      <c r="V12543" t="s">
        <v>64007</v>
      </c>
      <c r="W12543" t="s">
        <v>44788</v>
      </c>
      <c r="X12543" t="s">
        <v>47320</v>
      </c>
    </row>
    <row r="12544" spans="1:24">
      <c r="A12544">
        <f>HYPERLINK("https://www.philgeps.gov.ph/GEPSNONPILOT/Tender/SplashBidNoticeAbstractUI.aspx?menuIndex=3&amp;refID=7171845&amp;Result=3","7171845")</f>
        <v>0</v>
      </c>
      <c r="B12544" t="s">
        <v>3520</v>
      </c>
      <c r="C12544" t="s">
        <v>15714</v>
      </c>
      <c r="D12544" t="s">
        <v>19067</v>
      </c>
      <c r="E12544" t="s">
        <v>29742</v>
      </c>
      <c r="F12544" t="s">
        <v>32606</v>
      </c>
      <c r="G12544" t="s">
        <v>32613</v>
      </c>
      <c r="H12544" t="s">
        <v>32623</v>
      </c>
      <c r="I12544" t="s">
        <v>17648</v>
      </c>
      <c r="J12544" t="s">
        <v>32795</v>
      </c>
      <c r="K12544" t="s">
        <v>42719</v>
      </c>
      <c r="M12544" t="s">
        <v>46790</v>
      </c>
      <c r="N12544" t="s">
        <v>47304</v>
      </c>
      <c r="O12544" t="s">
        <v>47305</v>
      </c>
      <c r="P12544">
        <v>0</v>
      </c>
      <c r="Q12544">
        <v>0</v>
      </c>
      <c r="R12544" t="s">
        <v>47319</v>
      </c>
      <c r="S12544" t="s">
        <v>47813</v>
      </c>
      <c r="T12544" t="s">
        <v>49035</v>
      </c>
      <c r="U12544" t="s">
        <v>59905</v>
      </c>
      <c r="W12544" t="s">
        <v>46790</v>
      </c>
      <c r="X12544" t="s">
        <v>47320</v>
      </c>
    </row>
    <row r="12545" spans="1:24">
      <c r="A12545">
        <f>HYPERLINK("https://www.philgeps.gov.ph/GEPSNONPILOT/Tender/SplashBidNoticeAbstractUI.aspx?menuIndex=3&amp;refID=7171829&amp;Result=3","7171829")</f>
        <v>0</v>
      </c>
      <c r="B12545" t="s">
        <v>1532</v>
      </c>
      <c r="C12545" t="s">
        <v>15715</v>
      </c>
      <c r="D12545" t="s">
        <v>19057</v>
      </c>
      <c r="E12545" t="s">
        <v>29743</v>
      </c>
      <c r="F12545" t="s">
        <v>32606</v>
      </c>
      <c r="G12545" t="s">
        <v>32613</v>
      </c>
      <c r="H12545" t="s">
        <v>14201</v>
      </c>
      <c r="I12545" t="s">
        <v>9013</v>
      </c>
      <c r="J12545" t="s">
        <v>32923</v>
      </c>
      <c r="K12545" t="s">
        <v>42631</v>
      </c>
      <c r="M12545" t="s">
        <v>44535</v>
      </c>
      <c r="N12545" t="s">
        <v>47304</v>
      </c>
      <c r="O12545" t="s">
        <v>47305</v>
      </c>
      <c r="P12545">
        <v>0</v>
      </c>
      <c r="Q12545">
        <v>5</v>
      </c>
      <c r="R12545" t="s">
        <v>47319</v>
      </c>
      <c r="S12545" t="s">
        <v>47813</v>
      </c>
      <c r="T12545" t="s">
        <v>49175</v>
      </c>
      <c r="U12545" t="s">
        <v>59906</v>
      </c>
      <c r="W12545" t="s">
        <v>44535</v>
      </c>
      <c r="X12545" t="s">
        <v>47320</v>
      </c>
    </row>
    <row r="12546" spans="1:24">
      <c r="A12546">
        <f>HYPERLINK("https://www.philgeps.gov.ph/GEPSNONPILOT/Tender/SplashBidNoticeAbstractUI.aspx?menuIndex=3&amp;refID=7171801&amp;Result=3","7171801")</f>
        <v>0</v>
      </c>
      <c r="B12546" t="s">
        <v>1782</v>
      </c>
      <c r="C12546" t="s">
        <v>15716</v>
      </c>
      <c r="D12546" t="s">
        <v>18993</v>
      </c>
      <c r="E12546" t="s">
        <v>29744</v>
      </c>
      <c r="F12546" t="s">
        <v>32606</v>
      </c>
      <c r="G12546" t="s">
        <v>32613</v>
      </c>
      <c r="H12546" t="s">
        <v>14201</v>
      </c>
      <c r="I12546" t="s">
        <v>32628</v>
      </c>
      <c r="J12546" t="s">
        <v>40540</v>
      </c>
      <c r="K12546" t="s">
        <v>42665</v>
      </c>
      <c r="M12546" t="s">
        <v>44822</v>
      </c>
      <c r="N12546" t="s">
        <v>47304</v>
      </c>
      <c r="O12546" t="s">
        <v>47305</v>
      </c>
      <c r="Q12546">
        <v>13</v>
      </c>
      <c r="R12546" t="s">
        <v>47319</v>
      </c>
      <c r="S12546" t="s">
        <v>47850</v>
      </c>
      <c r="T12546" t="s">
        <v>49474</v>
      </c>
      <c r="U12546" t="s">
        <v>59907</v>
      </c>
      <c r="W12546" t="s">
        <v>44822</v>
      </c>
      <c r="X12546" t="s">
        <v>47320</v>
      </c>
    </row>
    <row r="12547" spans="1:24">
      <c r="A12547">
        <f>HYPERLINK("https://www.philgeps.gov.ph/GEPSNONPILOT/Tender/SplashBidNoticeAbstractUI.aspx?menuIndex=3&amp;refID=7171816&amp;Result=3","7171816")</f>
        <v>0</v>
      </c>
      <c r="B12547" t="s">
        <v>3520</v>
      </c>
      <c r="C12547" t="s">
        <v>15717</v>
      </c>
      <c r="D12547" t="s">
        <v>19067</v>
      </c>
      <c r="E12547" t="s">
        <v>28806</v>
      </c>
      <c r="F12547" t="s">
        <v>32606</v>
      </c>
      <c r="G12547" t="s">
        <v>32613</v>
      </c>
      <c r="H12547" t="s">
        <v>32623</v>
      </c>
      <c r="I12547" t="s">
        <v>32675</v>
      </c>
      <c r="J12547" t="s">
        <v>40541</v>
      </c>
      <c r="K12547" t="s">
        <v>42675</v>
      </c>
      <c r="M12547" t="s">
        <v>46790</v>
      </c>
      <c r="N12547" t="s">
        <v>47304</v>
      </c>
      <c r="O12547" t="s">
        <v>47305</v>
      </c>
      <c r="P12547">
        <v>0</v>
      </c>
      <c r="Q12547">
        <v>0</v>
      </c>
      <c r="R12547" t="s">
        <v>47319</v>
      </c>
      <c r="S12547" t="s">
        <v>47813</v>
      </c>
      <c r="T12547" t="s">
        <v>49157</v>
      </c>
      <c r="U12547" t="s">
        <v>59908</v>
      </c>
      <c r="W12547" t="s">
        <v>46790</v>
      </c>
      <c r="X12547" t="s">
        <v>47320</v>
      </c>
    </row>
    <row r="12548" spans="1:24">
      <c r="A12548">
        <f>HYPERLINK("https://www.philgeps.gov.ph/GEPSNONPILOT/Tender/SplashBidNoticeAbstractUI.aspx?menuIndex=3&amp;refID=7171769&amp;Result=3","7171769")</f>
        <v>0</v>
      </c>
      <c r="B12548" t="s">
        <v>684</v>
      </c>
      <c r="C12548" t="s">
        <v>15718</v>
      </c>
      <c r="D12548" t="s">
        <v>19012</v>
      </c>
      <c r="E12548" t="s">
        <v>29745</v>
      </c>
      <c r="F12548" t="s">
        <v>32606</v>
      </c>
      <c r="G12548" t="s">
        <v>32613</v>
      </c>
      <c r="H12548" t="s">
        <v>14201</v>
      </c>
      <c r="I12548" t="s">
        <v>4112</v>
      </c>
      <c r="J12548" t="s">
        <v>40542</v>
      </c>
      <c r="K12548" t="s">
        <v>42622</v>
      </c>
      <c r="L12548" t="s">
        <v>684</v>
      </c>
      <c r="M12548" t="s">
        <v>43605</v>
      </c>
      <c r="N12548" t="s">
        <v>47304</v>
      </c>
      <c r="O12548" t="s">
        <v>47305</v>
      </c>
      <c r="P12548">
        <v>0</v>
      </c>
      <c r="Q12548">
        <v>3</v>
      </c>
      <c r="R12548" t="s">
        <v>47319</v>
      </c>
      <c r="S12548" t="s">
        <v>47813</v>
      </c>
      <c r="T12548" t="s">
        <v>49023</v>
      </c>
      <c r="U12548" t="s">
        <v>53961</v>
      </c>
      <c r="V12548" t="s">
        <v>63129</v>
      </c>
      <c r="W12548" t="s">
        <v>43605</v>
      </c>
      <c r="X12548" t="s">
        <v>47320</v>
      </c>
    </row>
    <row r="12549" spans="1:24">
      <c r="A12549">
        <f>HYPERLINK("https://www.philgeps.gov.ph/GEPSNONPILOT/Tender/SplashBidNoticeAbstractUI.aspx?menuIndex=3&amp;refID=7170695&amp;Result=3","7170695")</f>
        <v>0</v>
      </c>
      <c r="B12549" t="s">
        <v>101</v>
      </c>
      <c r="C12549" t="s">
        <v>15719</v>
      </c>
      <c r="D12549" t="s">
        <v>18993</v>
      </c>
      <c r="E12549" t="s">
        <v>29746</v>
      </c>
      <c r="F12549" t="s">
        <v>32606</v>
      </c>
      <c r="G12549" t="s">
        <v>32613</v>
      </c>
      <c r="H12549" t="s">
        <v>32623</v>
      </c>
      <c r="I12549" t="s">
        <v>17648</v>
      </c>
      <c r="J12549" t="s">
        <v>40543</v>
      </c>
      <c r="K12549" t="s">
        <v>42646</v>
      </c>
      <c r="M12549" t="s">
        <v>46765</v>
      </c>
      <c r="N12549" t="s">
        <v>47304</v>
      </c>
      <c r="O12549" t="s">
        <v>47305</v>
      </c>
      <c r="P12549">
        <v>0</v>
      </c>
      <c r="Q12549">
        <v>32</v>
      </c>
      <c r="R12549" t="s">
        <v>47319</v>
      </c>
      <c r="S12549" t="s">
        <v>47813</v>
      </c>
      <c r="T12549" t="s">
        <v>49215</v>
      </c>
      <c r="U12549" t="s">
        <v>59819</v>
      </c>
      <c r="W12549" t="s">
        <v>46765</v>
      </c>
      <c r="X12549" t="s">
        <v>47321</v>
      </c>
    </row>
    <row r="12550" spans="1:24">
      <c r="A12550">
        <f>HYPERLINK("https://www.philgeps.gov.ph/GEPSNONPILOT/Tender/SplashBidNoticeAbstractUI.aspx?menuIndex=3&amp;refID=7171572&amp;Result=3","7171572")</f>
        <v>0</v>
      </c>
      <c r="B12550" t="s">
        <v>1613</v>
      </c>
      <c r="C12550" t="s">
        <v>15720</v>
      </c>
      <c r="D12550" t="s">
        <v>19039</v>
      </c>
      <c r="E12550" t="s">
        <v>29747</v>
      </c>
      <c r="F12550" t="s">
        <v>32606</v>
      </c>
      <c r="G12550" t="s">
        <v>32613</v>
      </c>
      <c r="H12550" t="s">
        <v>14201</v>
      </c>
      <c r="I12550" t="s">
        <v>6993</v>
      </c>
      <c r="J12550" t="s">
        <v>40544</v>
      </c>
      <c r="K12550" t="s">
        <v>42624</v>
      </c>
      <c r="M12550" t="s">
        <v>44633</v>
      </c>
      <c r="N12550" t="s">
        <v>47304</v>
      </c>
      <c r="O12550" t="s">
        <v>47305</v>
      </c>
      <c r="Q12550">
        <v>0</v>
      </c>
      <c r="R12550" t="s">
        <v>47319</v>
      </c>
      <c r="S12550" t="s">
        <v>47851</v>
      </c>
      <c r="T12550" t="s">
        <v>48980</v>
      </c>
      <c r="U12550" t="s">
        <v>59875</v>
      </c>
      <c r="W12550" t="s">
        <v>44633</v>
      </c>
      <c r="X12550" t="s">
        <v>47320</v>
      </c>
    </row>
    <row r="12551" spans="1:24">
      <c r="A12551">
        <f>HYPERLINK("https://www.philgeps.gov.ph/GEPSNONPILOT/Tender/SplashBidNoticeAbstractUI.aspx?menuIndex=3&amp;refID=7171735&amp;Result=3","7171735")</f>
        <v>0</v>
      </c>
      <c r="B12551" t="s">
        <v>684</v>
      </c>
      <c r="C12551" t="s">
        <v>15721</v>
      </c>
      <c r="D12551" t="s">
        <v>19012</v>
      </c>
      <c r="E12551" t="s">
        <v>29748</v>
      </c>
      <c r="F12551" t="s">
        <v>32606</v>
      </c>
      <c r="G12551" t="s">
        <v>32613</v>
      </c>
      <c r="H12551" t="s">
        <v>14201</v>
      </c>
      <c r="I12551" t="s">
        <v>32633</v>
      </c>
      <c r="J12551" t="s">
        <v>40545</v>
      </c>
      <c r="K12551" t="s">
        <v>42622</v>
      </c>
      <c r="L12551" t="s">
        <v>684</v>
      </c>
      <c r="M12551" t="s">
        <v>43605</v>
      </c>
      <c r="N12551" t="s">
        <v>47304</v>
      </c>
      <c r="O12551" t="s">
        <v>47305</v>
      </c>
      <c r="P12551">
        <v>0</v>
      </c>
      <c r="Q12551">
        <v>21</v>
      </c>
      <c r="R12551" t="s">
        <v>47319</v>
      </c>
      <c r="S12551" t="s">
        <v>47813</v>
      </c>
      <c r="T12551" t="s">
        <v>49023</v>
      </c>
      <c r="U12551" t="s">
        <v>52303</v>
      </c>
      <c r="V12551" t="s">
        <v>63129</v>
      </c>
      <c r="W12551" t="s">
        <v>43605</v>
      </c>
      <c r="X12551" t="s">
        <v>47320</v>
      </c>
    </row>
    <row r="12552" spans="1:24">
      <c r="A12552">
        <f>HYPERLINK("https://www.philgeps.gov.ph/GEPSNONPILOT/Tender/SplashBidNoticeAbstractUI.aspx?menuIndex=3&amp;refID=7171727&amp;Result=3","7171727")</f>
        <v>0</v>
      </c>
      <c r="B12552" t="s">
        <v>2967</v>
      </c>
      <c r="C12552" t="s">
        <v>15722</v>
      </c>
      <c r="D12552" t="s">
        <v>19011</v>
      </c>
      <c r="E12552" t="s">
        <v>29749</v>
      </c>
      <c r="F12552" t="s">
        <v>32606</v>
      </c>
      <c r="G12552" t="s">
        <v>32613</v>
      </c>
      <c r="H12552" t="s">
        <v>14201</v>
      </c>
      <c r="I12552" t="s">
        <v>4678</v>
      </c>
      <c r="J12552" t="s">
        <v>33219</v>
      </c>
      <c r="K12552" t="s">
        <v>42623</v>
      </c>
      <c r="M12552" t="s">
        <v>46152</v>
      </c>
      <c r="N12552" t="s">
        <v>47304</v>
      </c>
      <c r="O12552" t="s">
        <v>47305</v>
      </c>
      <c r="P12552">
        <v>0</v>
      </c>
      <c r="Q12552">
        <v>8</v>
      </c>
      <c r="R12552" t="s">
        <v>47319</v>
      </c>
      <c r="S12552" t="s">
        <v>47813</v>
      </c>
      <c r="T12552" t="s">
        <v>48986</v>
      </c>
      <c r="U12552" t="s">
        <v>59909</v>
      </c>
      <c r="V12552" t="s">
        <v>63653</v>
      </c>
      <c r="W12552" t="s">
        <v>46152</v>
      </c>
      <c r="X12552" t="s">
        <v>47320</v>
      </c>
    </row>
    <row r="12553" spans="1:24">
      <c r="A12553">
        <f>HYPERLINK("https://www.philgeps.gov.ph/GEPSNONPILOT/Tender/SplashBidNoticeAbstractUI.aspx?menuIndex=3&amp;refID=7171722&amp;Result=3","7171722")</f>
        <v>0</v>
      </c>
      <c r="B12553" t="s">
        <v>2439</v>
      </c>
      <c r="C12553" t="s">
        <v>15723</v>
      </c>
      <c r="D12553" t="s">
        <v>18993</v>
      </c>
      <c r="E12553" t="s">
        <v>19663</v>
      </c>
      <c r="F12553" t="s">
        <v>32606</v>
      </c>
      <c r="G12553" t="s">
        <v>32613</v>
      </c>
      <c r="H12553" t="s">
        <v>14201</v>
      </c>
      <c r="I12553" t="s">
        <v>32746</v>
      </c>
      <c r="J12553" t="s">
        <v>39558</v>
      </c>
      <c r="K12553" t="s">
        <v>42624</v>
      </c>
      <c r="M12553" t="s">
        <v>45566</v>
      </c>
      <c r="N12553" t="s">
        <v>47304</v>
      </c>
      <c r="O12553" t="s">
        <v>47305</v>
      </c>
      <c r="Q12553">
        <v>13</v>
      </c>
      <c r="R12553" t="s">
        <v>47319</v>
      </c>
      <c r="S12553" t="s">
        <v>47852</v>
      </c>
      <c r="T12553" t="s">
        <v>49062</v>
      </c>
      <c r="U12553" t="s">
        <v>59910</v>
      </c>
      <c r="W12553" t="s">
        <v>45566</v>
      </c>
      <c r="X12553" t="s">
        <v>47320</v>
      </c>
    </row>
    <row r="12554" spans="1:24">
      <c r="A12554">
        <f>HYPERLINK("https://www.philgeps.gov.ph/GEPSNONPILOT/Tender/SplashBidNoticeAbstractUI.aspx?menuIndex=3&amp;refID=7171768&amp;Result=3","7171768")</f>
        <v>0</v>
      </c>
      <c r="B12554" t="s">
        <v>2928</v>
      </c>
      <c r="C12554" t="s">
        <v>15724</v>
      </c>
      <c r="D12554" t="s">
        <v>19037</v>
      </c>
      <c r="E12554" t="s">
        <v>29750</v>
      </c>
      <c r="F12554" t="s">
        <v>32606</v>
      </c>
      <c r="G12554" t="s">
        <v>32613</v>
      </c>
      <c r="H12554" t="s">
        <v>14201</v>
      </c>
      <c r="I12554" t="s">
        <v>6478</v>
      </c>
      <c r="J12554" t="s">
        <v>40546</v>
      </c>
      <c r="K12554" t="s">
        <v>42622</v>
      </c>
      <c r="M12554" t="s">
        <v>46107</v>
      </c>
      <c r="N12554" t="s">
        <v>47304</v>
      </c>
      <c r="O12554" t="s">
        <v>47305</v>
      </c>
      <c r="P12554">
        <v>0</v>
      </c>
      <c r="Q12554">
        <v>4</v>
      </c>
      <c r="R12554" t="s">
        <v>47319</v>
      </c>
      <c r="S12554" t="s">
        <v>47813</v>
      </c>
      <c r="T12554" t="s">
        <v>48996</v>
      </c>
      <c r="U12554" t="s">
        <v>59911</v>
      </c>
      <c r="V12554" t="s">
        <v>64008</v>
      </c>
      <c r="W12554" t="s">
        <v>46107</v>
      </c>
      <c r="X12554" t="s">
        <v>47320</v>
      </c>
    </row>
    <row r="12555" spans="1:24">
      <c r="A12555">
        <f>HYPERLINK("https://www.philgeps.gov.ph/GEPSNONPILOT/Tender/SplashBidNoticeAbstractUI.aspx?menuIndex=3&amp;refID=7171752&amp;Result=3","7171752")</f>
        <v>0</v>
      </c>
      <c r="B12555" t="s">
        <v>684</v>
      </c>
      <c r="C12555" t="s">
        <v>15725</v>
      </c>
      <c r="D12555" t="s">
        <v>19012</v>
      </c>
      <c r="E12555" t="s">
        <v>29751</v>
      </c>
      <c r="F12555" t="s">
        <v>32606</v>
      </c>
      <c r="G12555" t="s">
        <v>32613</v>
      </c>
      <c r="H12555" t="s">
        <v>14201</v>
      </c>
      <c r="I12555" t="s">
        <v>7677</v>
      </c>
      <c r="J12555" t="s">
        <v>40547</v>
      </c>
      <c r="K12555" t="s">
        <v>42622</v>
      </c>
      <c r="L12555" t="s">
        <v>684</v>
      </c>
      <c r="M12555" t="s">
        <v>43605</v>
      </c>
      <c r="N12555" t="s">
        <v>47304</v>
      </c>
      <c r="O12555" t="s">
        <v>47305</v>
      </c>
      <c r="P12555">
        <v>0</v>
      </c>
      <c r="Q12555">
        <v>12</v>
      </c>
      <c r="R12555" t="s">
        <v>47319</v>
      </c>
      <c r="S12555" t="s">
        <v>47813</v>
      </c>
      <c r="T12555" t="s">
        <v>49023</v>
      </c>
      <c r="U12555" t="s">
        <v>52303</v>
      </c>
      <c r="V12555" t="s">
        <v>63129</v>
      </c>
      <c r="W12555" t="s">
        <v>43605</v>
      </c>
      <c r="X12555" t="s">
        <v>47320</v>
      </c>
    </row>
    <row r="12556" spans="1:24">
      <c r="A12556">
        <f>HYPERLINK("https://www.philgeps.gov.ph/GEPSNONPILOT/Tender/SplashBidNoticeAbstractUI.aspx?menuIndex=3&amp;refID=7171717&amp;Result=3","7171717")</f>
        <v>0</v>
      </c>
      <c r="B12556" t="s">
        <v>3508</v>
      </c>
      <c r="C12556" t="s">
        <v>15726</v>
      </c>
      <c r="D12556" t="s">
        <v>19057</v>
      </c>
      <c r="E12556" t="s">
        <v>29752</v>
      </c>
      <c r="F12556" t="s">
        <v>32607</v>
      </c>
      <c r="G12556" t="s">
        <v>32613</v>
      </c>
      <c r="H12556" t="s">
        <v>14201</v>
      </c>
      <c r="I12556" t="s">
        <v>6931</v>
      </c>
      <c r="J12556" t="s">
        <v>40548</v>
      </c>
      <c r="K12556" t="s">
        <v>42623</v>
      </c>
      <c r="M12556" t="s">
        <v>46777</v>
      </c>
      <c r="N12556" t="s">
        <v>47304</v>
      </c>
      <c r="O12556" t="s">
        <v>47305</v>
      </c>
      <c r="P12556">
        <v>0</v>
      </c>
      <c r="Q12556">
        <v>0</v>
      </c>
      <c r="R12556" t="s">
        <v>47319</v>
      </c>
      <c r="S12556" t="s">
        <v>47813</v>
      </c>
      <c r="T12556" t="s">
        <v>48986</v>
      </c>
      <c r="U12556" t="s">
        <v>59912</v>
      </c>
      <c r="W12556" t="s">
        <v>46777</v>
      </c>
      <c r="X12556" t="s">
        <v>47320</v>
      </c>
    </row>
    <row r="12557" spans="1:24">
      <c r="A12557">
        <f>HYPERLINK("https://www.philgeps.gov.ph/GEPSNONPILOT/Tender/SplashBidNoticeAbstractUI.aspx?menuIndex=3&amp;refID=7172060&amp;Result=3","7172060")</f>
        <v>0</v>
      </c>
      <c r="B12557" t="s">
        <v>644</v>
      </c>
      <c r="C12557" t="s">
        <v>15727</v>
      </c>
      <c r="E12557" t="s">
        <v>29753</v>
      </c>
      <c r="F12557" t="s">
        <v>32606</v>
      </c>
      <c r="G12557" t="s">
        <v>32613</v>
      </c>
      <c r="H12557" t="s">
        <v>14201</v>
      </c>
      <c r="I12557" t="s">
        <v>7064</v>
      </c>
      <c r="J12557" t="s">
        <v>32795</v>
      </c>
      <c r="K12557" t="s">
        <v>42624</v>
      </c>
      <c r="M12557" t="s">
        <v>43562</v>
      </c>
      <c r="N12557" t="s">
        <v>47304</v>
      </c>
      <c r="O12557" t="s">
        <v>47305</v>
      </c>
      <c r="P12557">
        <v>0</v>
      </c>
      <c r="Q12557">
        <v>3</v>
      </c>
      <c r="R12557" t="s">
        <v>47319</v>
      </c>
      <c r="S12557" t="s">
        <v>47813</v>
      </c>
      <c r="T12557" t="s">
        <v>49163</v>
      </c>
      <c r="U12557" t="s">
        <v>59913</v>
      </c>
      <c r="W12557" t="s">
        <v>43562</v>
      </c>
      <c r="X12557" t="s">
        <v>47320</v>
      </c>
    </row>
    <row r="12558" spans="1:24">
      <c r="A12558">
        <f>HYPERLINK("https://www.philgeps.gov.ph/GEPSNONPILOT/Tender/SplashBidNoticeAbstractUI.aspx?menuIndex=3&amp;refID=7172054&amp;Result=3","7172054")</f>
        <v>0</v>
      </c>
      <c r="B12558" t="s">
        <v>2503</v>
      </c>
      <c r="C12558" t="s">
        <v>15728</v>
      </c>
      <c r="D12558" t="s">
        <v>19010</v>
      </c>
      <c r="E12558" t="s">
        <v>26494</v>
      </c>
      <c r="F12558" t="s">
        <v>32606</v>
      </c>
      <c r="G12558" t="s">
        <v>32613</v>
      </c>
      <c r="H12558" t="s">
        <v>14201</v>
      </c>
      <c r="I12558" t="s">
        <v>32652</v>
      </c>
      <c r="J12558" t="s">
        <v>32923</v>
      </c>
      <c r="K12558" t="s">
        <v>42631</v>
      </c>
      <c r="M12558" t="s">
        <v>45641</v>
      </c>
      <c r="N12558" t="s">
        <v>47304</v>
      </c>
      <c r="O12558" t="s">
        <v>47305</v>
      </c>
      <c r="P12558">
        <v>0</v>
      </c>
      <c r="Q12558">
        <v>0</v>
      </c>
      <c r="R12558" t="s">
        <v>47319</v>
      </c>
      <c r="S12558" t="s">
        <v>47813</v>
      </c>
      <c r="T12558" t="s">
        <v>48986</v>
      </c>
      <c r="U12558" t="s">
        <v>59914</v>
      </c>
      <c r="V12558" t="s">
        <v>64009</v>
      </c>
      <c r="W12558" t="s">
        <v>45641</v>
      </c>
      <c r="X12558" t="s">
        <v>47320</v>
      </c>
    </row>
    <row r="12559" spans="1:24">
      <c r="A12559">
        <f>HYPERLINK("https://www.philgeps.gov.ph/GEPSNONPILOT/Tender/SplashBidNoticeAbstractUI.aspx?menuIndex=3&amp;refID=7171726&amp;Result=3","7171726")</f>
        <v>0</v>
      </c>
      <c r="B12559" t="s">
        <v>2099</v>
      </c>
      <c r="C12559" t="s">
        <v>15729</v>
      </c>
      <c r="D12559" t="s">
        <v>18993</v>
      </c>
      <c r="E12559" t="s">
        <v>29754</v>
      </c>
      <c r="F12559" t="s">
        <v>32606</v>
      </c>
      <c r="G12559" t="s">
        <v>32613</v>
      </c>
      <c r="H12559" t="s">
        <v>32623</v>
      </c>
      <c r="I12559" t="s">
        <v>17648</v>
      </c>
      <c r="J12559" t="s">
        <v>40549</v>
      </c>
      <c r="K12559" t="s">
        <v>42646</v>
      </c>
      <c r="M12559" t="s">
        <v>46784</v>
      </c>
      <c r="N12559" t="s">
        <v>47304</v>
      </c>
      <c r="O12559" t="s">
        <v>47305</v>
      </c>
      <c r="P12559">
        <v>0</v>
      </c>
      <c r="Q12559">
        <v>4</v>
      </c>
      <c r="R12559" t="s">
        <v>47319</v>
      </c>
      <c r="S12559" t="s">
        <v>47813</v>
      </c>
      <c r="T12559" t="s">
        <v>48971</v>
      </c>
      <c r="U12559" t="s">
        <v>59873</v>
      </c>
      <c r="V12559" t="s">
        <v>64001</v>
      </c>
      <c r="W12559" t="s">
        <v>46784</v>
      </c>
      <c r="X12559" t="s">
        <v>47320</v>
      </c>
    </row>
    <row r="12560" spans="1:24">
      <c r="A12560">
        <f>HYPERLINK("https://www.philgeps.gov.ph/GEPSNONPILOT/Tender/SplashBidNoticeAbstractUI.aspx?menuIndex=3&amp;refID=7171825&amp;Result=3","7171825")</f>
        <v>0</v>
      </c>
      <c r="B12560" t="s">
        <v>3407</v>
      </c>
      <c r="C12560" t="s">
        <v>15730</v>
      </c>
      <c r="D12560" t="s">
        <v>19067</v>
      </c>
      <c r="E12560" t="s">
        <v>29755</v>
      </c>
      <c r="F12560" t="s">
        <v>32606</v>
      </c>
      <c r="G12560" t="s">
        <v>32613</v>
      </c>
      <c r="H12560" t="s">
        <v>32623</v>
      </c>
      <c r="I12560" t="s">
        <v>17648</v>
      </c>
      <c r="J12560" t="s">
        <v>32772</v>
      </c>
      <c r="K12560" t="s">
        <v>42636</v>
      </c>
      <c r="M12560" t="s">
        <v>46662</v>
      </c>
      <c r="N12560" t="s">
        <v>47304</v>
      </c>
      <c r="O12560" t="s">
        <v>47305</v>
      </c>
      <c r="P12560">
        <v>0</v>
      </c>
      <c r="Q12560">
        <v>0</v>
      </c>
      <c r="R12560" t="s">
        <v>47319</v>
      </c>
      <c r="S12560" t="s">
        <v>47813</v>
      </c>
      <c r="T12560" t="s">
        <v>49165</v>
      </c>
      <c r="U12560" t="s">
        <v>59915</v>
      </c>
      <c r="W12560" t="s">
        <v>46662</v>
      </c>
      <c r="X12560" t="s">
        <v>47320</v>
      </c>
    </row>
    <row r="12561" spans="1:24">
      <c r="A12561">
        <f>HYPERLINK("https://www.philgeps.gov.ph/GEPSNONPILOT/Tender/SplashBidNoticeAbstractUI.aspx?menuIndex=3&amp;refID=7171755&amp;Result=3","7171755")</f>
        <v>0</v>
      </c>
      <c r="B12561" t="s">
        <v>744</v>
      </c>
      <c r="C12561" t="s">
        <v>15731</v>
      </c>
      <c r="D12561" t="s">
        <v>19056</v>
      </c>
      <c r="E12561" t="s">
        <v>29756</v>
      </c>
      <c r="F12561" t="s">
        <v>32606</v>
      </c>
      <c r="G12561" t="s">
        <v>32613</v>
      </c>
      <c r="H12561" t="s">
        <v>14201</v>
      </c>
      <c r="I12561" t="s">
        <v>7233</v>
      </c>
      <c r="J12561" t="s">
        <v>33994</v>
      </c>
      <c r="K12561" t="s">
        <v>42630</v>
      </c>
      <c r="M12561" t="s">
        <v>43667</v>
      </c>
      <c r="N12561" t="s">
        <v>47304</v>
      </c>
      <c r="O12561" t="s">
        <v>47305</v>
      </c>
      <c r="P12561">
        <v>0</v>
      </c>
      <c r="Q12561">
        <v>1</v>
      </c>
      <c r="R12561" t="s">
        <v>47319</v>
      </c>
      <c r="S12561" t="s">
        <v>47813</v>
      </c>
      <c r="T12561" t="s">
        <v>48996</v>
      </c>
      <c r="U12561" t="s">
        <v>52617</v>
      </c>
      <c r="W12561" t="s">
        <v>43667</v>
      </c>
      <c r="X12561" t="s">
        <v>47320</v>
      </c>
    </row>
    <row r="12562" spans="1:24">
      <c r="A12562">
        <f>HYPERLINK("https://www.philgeps.gov.ph/GEPSNONPILOT/Tender/SplashBidNoticeAbstractUI.aspx?menuIndex=3&amp;refID=7171596&amp;Result=3","7171596")</f>
        <v>0</v>
      </c>
      <c r="B12562" t="s">
        <v>3508</v>
      </c>
      <c r="C12562" t="s">
        <v>15732</v>
      </c>
      <c r="D12562" t="s">
        <v>19057</v>
      </c>
      <c r="E12562" t="s">
        <v>29757</v>
      </c>
      <c r="F12562" t="s">
        <v>32607</v>
      </c>
      <c r="G12562" t="s">
        <v>32613</v>
      </c>
      <c r="H12562" t="s">
        <v>14201</v>
      </c>
      <c r="I12562" t="s">
        <v>6931</v>
      </c>
      <c r="J12562" t="s">
        <v>36094</v>
      </c>
      <c r="K12562" t="s">
        <v>42623</v>
      </c>
      <c r="M12562" t="s">
        <v>46777</v>
      </c>
      <c r="N12562" t="s">
        <v>47304</v>
      </c>
      <c r="O12562" t="s">
        <v>47305</v>
      </c>
      <c r="P12562">
        <v>0</v>
      </c>
      <c r="Q12562">
        <v>0</v>
      </c>
      <c r="R12562" t="s">
        <v>47319</v>
      </c>
      <c r="S12562" t="s">
        <v>47813</v>
      </c>
      <c r="T12562" t="s">
        <v>48986</v>
      </c>
      <c r="U12562" t="s">
        <v>59916</v>
      </c>
      <c r="W12562" t="s">
        <v>46777</v>
      </c>
      <c r="X12562" t="s">
        <v>47320</v>
      </c>
    </row>
    <row r="12563" spans="1:24">
      <c r="A12563">
        <f>HYPERLINK("https://www.philgeps.gov.ph/GEPSNONPILOT/Tender/SplashBidNoticeAbstractUI.aspx?menuIndex=3&amp;refID=7171988&amp;Result=3","7171988")</f>
        <v>0</v>
      </c>
      <c r="B12563" t="s">
        <v>2633</v>
      </c>
      <c r="C12563" t="s">
        <v>15733</v>
      </c>
      <c r="D12563" t="s">
        <v>19008</v>
      </c>
      <c r="E12563" t="s">
        <v>29758</v>
      </c>
      <c r="F12563" t="s">
        <v>32606</v>
      </c>
      <c r="G12563" t="s">
        <v>32613</v>
      </c>
      <c r="H12563" t="s">
        <v>14201</v>
      </c>
      <c r="I12563" t="s">
        <v>7064</v>
      </c>
      <c r="J12563" t="s">
        <v>32772</v>
      </c>
      <c r="K12563" t="s">
        <v>42631</v>
      </c>
      <c r="M12563" t="s">
        <v>45777</v>
      </c>
      <c r="N12563" t="s">
        <v>47304</v>
      </c>
      <c r="O12563" t="s">
        <v>47305</v>
      </c>
      <c r="P12563">
        <v>0</v>
      </c>
      <c r="Q12563">
        <v>0</v>
      </c>
      <c r="R12563" t="s">
        <v>47319</v>
      </c>
      <c r="S12563" t="s">
        <v>47813</v>
      </c>
      <c r="T12563" t="s">
        <v>49107</v>
      </c>
      <c r="U12563" t="s">
        <v>59917</v>
      </c>
      <c r="V12563" t="s">
        <v>64010</v>
      </c>
      <c r="W12563" t="s">
        <v>45777</v>
      </c>
      <c r="X12563" t="s">
        <v>47320</v>
      </c>
    </row>
    <row r="12564" spans="1:24">
      <c r="A12564">
        <f>HYPERLINK("https://www.philgeps.gov.ph/GEPSNONPILOT/Tender/SplashBidNoticeAbstractUI.aspx?menuIndex=3&amp;refID=7171977&amp;Result=3","7171977")</f>
        <v>0</v>
      </c>
      <c r="B12564" t="s">
        <v>3463</v>
      </c>
      <c r="C12564" t="s">
        <v>15734</v>
      </c>
      <c r="D12564" t="s">
        <v>18989</v>
      </c>
      <c r="E12564" t="s">
        <v>29759</v>
      </c>
      <c r="F12564" t="s">
        <v>32606</v>
      </c>
      <c r="G12564" t="s">
        <v>32613</v>
      </c>
      <c r="H12564" t="s">
        <v>14201</v>
      </c>
      <c r="I12564" t="s">
        <v>4120</v>
      </c>
      <c r="J12564" t="s">
        <v>33587</v>
      </c>
      <c r="K12564" t="s">
        <v>42632</v>
      </c>
      <c r="M12564" t="s">
        <v>46725</v>
      </c>
      <c r="N12564" t="s">
        <v>47304</v>
      </c>
      <c r="O12564" t="s">
        <v>47305</v>
      </c>
      <c r="P12564">
        <v>0</v>
      </c>
      <c r="Q12564">
        <v>0</v>
      </c>
      <c r="R12564" t="s">
        <v>47319</v>
      </c>
      <c r="S12564" t="s">
        <v>47813</v>
      </c>
      <c r="T12564" t="s">
        <v>48998</v>
      </c>
      <c r="U12564" t="s">
        <v>59918</v>
      </c>
      <c r="W12564" t="s">
        <v>46725</v>
      </c>
      <c r="X12564" t="s">
        <v>47320</v>
      </c>
    </row>
    <row r="12565" spans="1:24">
      <c r="A12565">
        <f>HYPERLINK("https://www.philgeps.gov.ph/GEPSNONPILOT/Tender/SplashBidNoticeAbstractUI.aspx?menuIndex=3&amp;refID=7171960&amp;Result=3","7171960")</f>
        <v>0</v>
      </c>
      <c r="B12565" t="s">
        <v>3508</v>
      </c>
      <c r="C12565" t="s">
        <v>15735</v>
      </c>
      <c r="D12565" t="s">
        <v>19057</v>
      </c>
      <c r="E12565" t="s">
        <v>29760</v>
      </c>
      <c r="F12565" t="s">
        <v>32607</v>
      </c>
      <c r="G12565" t="s">
        <v>32613</v>
      </c>
      <c r="H12565" t="s">
        <v>14201</v>
      </c>
      <c r="I12565" t="s">
        <v>6931</v>
      </c>
      <c r="J12565" t="s">
        <v>40550</v>
      </c>
      <c r="K12565" t="s">
        <v>42622</v>
      </c>
      <c r="M12565" t="s">
        <v>46777</v>
      </c>
      <c r="N12565" t="s">
        <v>47304</v>
      </c>
      <c r="O12565" t="s">
        <v>47305</v>
      </c>
      <c r="P12565">
        <v>0</v>
      </c>
      <c r="Q12565">
        <v>0</v>
      </c>
      <c r="R12565" t="s">
        <v>47319</v>
      </c>
      <c r="S12565" t="s">
        <v>47813</v>
      </c>
      <c r="T12565" t="s">
        <v>48986</v>
      </c>
      <c r="U12565" t="s">
        <v>59919</v>
      </c>
      <c r="W12565" t="s">
        <v>46777</v>
      </c>
      <c r="X12565" t="s">
        <v>47320</v>
      </c>
    </row>
    <row r="12566" spans="1:24">
      <c r="A12566">
        <f>HYPERLINK("https://www.philgeps.gov.ph/GEPSNONPILOT/Tender/SplashBidNoticeAbstractUI.aspx?menuIndex=3&amp;refID=7172025&amp;Result=3","7172025")</f>
        <v>0</v>
      </c>
      <c r="B12566" t="s">
        <v>644</v>
      </c>
      <c r="C12566" t="s">
        <v>15736</v>
      </c>
      <c r="E12566" t="s">
        <v>29761</v>
      </c>
      <c r="F12566" t="s">
        <v>32606</v>
      </c>
      <c r="G12566" t="s">
        <v>32613</v>
      </c>
      <c r="H12566" t="s">
        <v>32625</v>
      </c>
      <c r="I12566" t="s">
        <v>32625</v>
      </c>
      <c r="J12566" t="s">
        <v>40551</v>
      </c>
      <c r="K12566" t="s">
        <v>42624</v>
      </c>
      <c r="M12566" t="s">
        <v>43562</v>
      </c>
      <c r="N12566" t="s">
        <v>47304</v>
      </c>
      <c r="O12566" t="s">
        <v>47305</v>
      </c>
      <c r="Q12566">
        <v>5</v>
      </c>
      <c r="R12566" t="s">
        <v>47319</v>
      </c>
      <c r="S12566" t="s">
        <v>47853</v>
      </c>
      <c r="T12566" t="s">
        <v>49163</v>
      </c>
      <c r="U12566" t="s">
        <v>59920</v>
      </c>
      <c r="W12566" t="s">
        <v>43562</v>
      </c>
      <c r="X12566" t="s">
        <v>47320</v>
      </c>
    </row>
    <row r="12567" spans="1:24">
      <c r="A12567">
        <f>HYPERLINK("https://www.philgeps.gov.ph/GEPSNONPILOT/Tender/SplashBidNoticeAbstractUI.aspx?menuIndex=3&amp;refID=7171891&amp;Result=3","7171891")</f>
        <v>0</v>
      </c>
      <c r="B12567" t="s">
        <v>3508</v>
      </c>
      <c r="C12567" t="s">
        <v>15737</v>
      </c>
      <c r="D12567" t="s">
        <v>19057</v>
      </c>
      <c r="E12567" t="s">
        <v>29762</v>
      </c>
      <c r="F12567" t="s">
        <v>32607</v>
      </c>
      <c r="G12567" t="s">
        <v>32613</v>
      </c>
      <c r="H12567" t="s">
        <v>14201</v>
      </c>
      <c r="I12567" t="s">
        <v>32629</v>
      </c>
      <c r="J12567" t="s">
        <v>33990</v>
      </c>
      <c r="K12567" t="s">
        <v>42622</v>
      </c>
      <c r="M12567" t="s">
        <v>46777</v>
      </c>
      <c r="N12567" t="s">
        <v>47304</v>
      </c>
      <c r="O12567" t="s">
        <v>47305</v>
      </c>
      <c r="P12567">
        <v>0</v>
      </c>
      <c r="Q12567">
        <v>0</v>
      </c>
      <c r="R12567" t="s">
        <v>47319</v>
      </c>
      <c r="S12567" t="s">
        <v>47813</v>
      </c>
      <c r="T12567" t="s">
        <v>48986</v>
      </c>
      <c r="U12567" t="s">
        <v>59921</v>
      </c>
      <c r="W12567" t="s">
        <v>46777</v>
      </c>
      <c r="X12567" t="s">
        <v>47320</v>
      </c>
    </row>
    <row r="12568" spans="1:24">
      <c r="A12568">
        <f>HYPERLINK("https://www.philgeps.gov.ph/GEPSNONPILOT/Tender/SplashBidNoticeAbstractUI.aspx?menuIndex=3&amp;refID=7171955&amp;Result=3","7171955")</f>
        <v>0</v>
      </c>
      <c r="B12568" t="s">
        <v>3521</v>
      </c>
      <c r="C12568" t="s">
        <v>15738</v>
      </c>
      <c r="D12568" t="s">
        <v>19067</v>
      </c>
      <c r="E12568" t="s">
        <v>29763</v>
      </c>
      <c r="F12568" t="s">
        <v>32606</v>
      </c>
      <c r="G12568" t="s">
        <v>32613</v>
      </c>
      <c r="H12568" t="s">
        <v>14201</v>
      </c>
      <c r="I12568" t="s">
        <v>6931</v>
      </c>
      <c r="J12568" t="s">
        <v>40552</v>
      </c>
      <c r="K12568" t="s">
        <v>42631</v>
      </c>
      <c r="M12568" t="s">
        <v>46791</v>
      </c>
      <c r="N12568" t="s">
        <v>47304</v>
      </c>
      <c r="O12568" t="s">
        <v>47305</v>
      </c>
      <c r="P12568">
        <v>0</v>
      </c>
      <c r="Q12568">
        <v>0</v>
      </c>
      <c r="R12568" t="s">
        <v>47319</v>
      </c>
      <c r="S12568" t="s">
        <v>47813</v>
      </c>
      <c r="T12568" t="s">
        <v>48996</v>
      </c>
      <c r="U12568" t="s">
        <v>55831</v>
      </c>
      <c r="W12568" t="s">
        <v>46791</v>
      </c>
      <c r="X12568" t="s">
        <v>47320</v>
      </c>
    </row>
    <row r="12569" spans="1:24">
      <c r="A12569">
        <f>HYPERLINK("https://www.philgeps.gov.ph/GEPSNONPILOT/Tender/SplashBidNoticeAbstractUI.aspx?menuIndex=3&amp;refID=7171953&amp;Result=3","7171953")</f>
        <v>0</v>
      </c>
      <c r="B12569" t="s">
        <v>1698</v>
      </c>
      <c r="C12569" t="s">
        <v>15739</v>
      </c>
      <c r="E12569" t="s">
        <v>29764</v>
      </c>
      <c r="F12569" t="s">
        <v>32606</v>
      </c>
      <c r="G12569" t="s">
        <v>32613</v>
      </c>
      <c r="H12569" t="s">
        <v>14201</v>
      </c>
      <c r="I12569" t="s">
        <v>7064</v>
      </c>
      <c r="J12569" t="s">
        <v>33263</v>
      </c>
      <c r="K12569" t="s">
        <v>42624</v>
      </c>
      <c r="M12569" t="s">
        <v>44727</v>
      </c>
      <c r="N12569" t="s">
        <v>47304</v>
      </c>
      <c r="O12569" t="s">
        <v>47305</v>
      </c>
      <c r="P12569">
        <v>0</v>
      </c>
      <c r="Q12569">
        <v>0</v>
      </c>
      <c r="R12569" t="s">
        <v>47319</v>
      </c>
      <c r="S12569" t="s">
        <v>47813</v>
      </c>
      <c r="T12569" t="s">
        <v>49011</v>
      </c>
      <c r="U12569" t="s">
        <v>59922</v>
      </c>
      <c r="W12569" t="s">
        <v>44727</v>
      </c>
      <c r="X12569" t="s">
        <v>47320</v>
      </c>
    </row>
    <row r="12570" spans="1:24">
      <c r="A12570">
        <f>HYPERLINK("https://www.philgeps.gov.ph/GEPSNONPILOT/Tender/SplashBidNoticeAbstractUI.aspx?menuIndex=3&amp;refID=7171950&amp;Result=3","7171950")</f>
        <v>0</v>
      </c>
      <c r="B12570" t="s">
        <v>3522</v>
      </c>
      <c r="C12570" t="s">
        <v>15740</v>
      </c>
      <c r="D12570" t="s">
        <v>19011</v>
      </c>
      <c r="E12570" t="s">
        <v>29765</v>
      </c>
      <c r="F12570" t="s">
        <v>32606</v>
      </c>
      <c r="G12570" t="s">
        <v>32613</v>
      </c>
      <c r="H12570" t="s">
        <v>14201</v>
      </c>
      <c r="I12570" t="s">
        <v>6931</v>
      </c>
      <c r="J12570" t="s">
        <v>32765</v>
      </c>
      <c r="K12570" t="s">
        <v>42631</v>
      </c>
      <c r="M12570" t="s">
        <v>46792</v>
      </c>
      <c r="N12570" t="s">
        <v>47304</v>
      </c>
      <c r="O12570" t="s">
        <v>47305</v>
      </c>
      <c r="P12570">
        <v>0</v>
      </c>
      <c r="Q12570">
        <v>4</v>
      </c>
      <c r="R12570" t="s">
        <v>47319</v>
      </c>
      <c r="S12570" t="s">
        <v>47813</v>
      </c>
      <c r="T12570" t="s">
        <v>49068</v>
      </c>
      <c r="U12570" t="s">
        <v>59923</v>
      </c>
      <c r="W12570" t="s">
        <v>46792</v>
      </c>
      <c r="X12570" t="s">
        <v>47320</v>
      </c>
    </row>
    <row r="12571" spans="1:24">
      <c r="A12571">
        <f>HYPERLINK("https://www.philgeps.gov.ph/GEPSNONPILOT/Tender/SplashBidNoticeAbstractUI.aspx?menuIndex=3&amp;refID=7171941&amp;Result=3","7171941")</f>
        <v>0</v>
      </c>
      <c r="B12571" t="s">
        <v>1698</v>
      </c>
      <c r="C12571" t="s">
        <v>15741</v>
      </c>
      <c r="E12571" t="s">
        <v>29766</v>
      </c>
      <c r="F12571" t="s">
        <v>32606</v>
      </c>
      <c r="G12571" t="s">
        <v>32613</v>
      </c>
      <c r="H12571" t="s">
        <v>14201</v>
      </c>
      <c r="I12571" t="s">
        <v>7064</v>
      </c>
      <c r="J12571" t="s">
        <v>40553</v>
      </c>
      <c r="K12571" t="s">
        <v>42624</v>
      </c>
      <c r="M12571" t="s">
        <v>44727</v>
      </c>
      <c r="N12571" t="s">
        <v>47304</v>
      </c>
      <c r="O12571" t="s">
        <v>47305</v>
      </c>
      <c r="P12571">
        <v>0</v>
      </c>
      <c r="Q12571">
        <v>0</v>
      </c>
      <c r="R12571" t="s">
        <v>47319</v>
      </c>
      <c r="S12571" t="s">
        <v>47813</v>
      </c>
      <c r="T12571" t="s">
        <v>49011</v>
      </c>
      <c r="U12571" t="s">
        <v>59922</v>
      </c>
      <c r="W12571" t="s">
        <v>44727</v>
      </c>
      <c r="X12571" t="s">
        <v>47320</v>
      </c>
    </row>
    <row r="12572" spans="1:24">
      <c r="A12572">
        <f>HYPERLINK("https://www.philgeps.gov.ph/GEPSNONPILOT/Tender/SplashBidNoticeAbstractUI.aspx?menuIndex=3&amp;refID=7171939&amp;Result=3","7171939")</f>
        <v>0</v>
      </c>
      <c r="B12572" t="s">
        <v>3508</v>
      </c>
      <c r="C12572" t="s">
        <v>15742</v>
      </c>
      <c r="D12572" t="s">
        <v>19057</v>
      </c>
      <c r="E12572" t="s">
        <v>29767</v>
      </c>
      <c r="F12572" t="s">
        <v>32607</v>
      </c>
      <c r="G12572" t="s">
        <v>32613</v>
      </c>
      <c r="H12572" t="s">
        <v>14201</v>
      </c>
      <c r="I12572" t="s">
        <v>6931</v>
      </c>
      <c r="J12572" t="s">
        <v>40554</v>
      </c>
      <c r="K12572" t="s">
        <v>42623</v>
      </c>
      <c r="M12572" t="s">
        <v>46777</v>
      </c>
      <c r="N12572" t="s">
        <v>47304</v>
      </c>
      <c r="O12572" t="s">
        <v>47305</v>
      </c>
      <c r="P12572">
        <v>0</v>
      </c>
      <c r="Q12572">
        <v>0</v>
      </c>
      <c r="R12572" t="s">
        <v>47319</v>
      </c>
      <c r="S12572" t="s">
        <v>47813</v>
      </c>
      <c r="T12572" t="s">
        <v>48986</v>
      </c>
      <c r="U12572" t="s">
        <v>59924</v>
      </c>
      <c r="W12572" t="s">
        <v>46777</v>
      </c>
      <c r="X12572" t="s">
        <v>47320</v>
      </c>
    </row>
    <row r="12573" spans="1:24">
      <c r="A12573">
        <f>HYPERLINK("https://www.philgeps.gov.ph/GEPSNONPILOT/Tender/SplashBidNoticeAbstractUI.aspx?menuIndex=3&amp;refID=7171921&amp;Result=3","7171921")</f>
        <v>0</v>
      </c>
      <c r="B12573" t="s">
        <v>3508</v>
      </c>
      <c r="C12573" t="s">
        <v>15743</v>
      </c>
      <c r="D12573" t="s">
        <v>19057</v>
      </c>
      <c r="E12573" t="s">
        <v>29768</v>
      </c>
      <c r="F12573" t="s">
        <v>32607</v>
      </c>
      <c r="G12573" t="s">
        <v>32613</v>
      </c>
      <c r="H12573" t="s">
        <v>14201</v>
      </c>
      <c r="I12573" t="s">
        <v>6931</v>
      </c>
      <c r="J12573" t="s">
        <v>40555</v>
      </c>
      <c r="K12573" t="s">
        <v>42623</v>
      </c>
      <c r="M12573" t="s">
        <v>46777</v>
      </c>
      <c r="N12573" t="s">
        <v>47304</v>
      </c>
      <c r="O12573" t="s">
        <v>47305</v>
      </c>
      <c r="P12573">
        <v>0</v>
      </c>
      <c r="Q12573">
        <v>0</v>
      </c>
      <c r="R12573" t="s">
        <v>47319</v>
      </c>
      <c r="S12573" t="s">
        <v>47813</v>
      </c>
      <c r="T12573" t="s">
        <v>48986</v>
      </c>
      <c r="U12573" t="s">
        <v>59925</v>
      </c>
      <c r="W12573" t="s">
        <v>46777</v>
      </c>
      <c r="X12573" t="s">
        <v>47320</v>
      </c>
    </row>
    <row r="12574" spans="1:24">
      <c r="A12574">
        <f>HYPERLINK("https://www.philgeps.gov.ph/GEPSNONPILOT/Tender/SplashBidNoticeAbstractUI.aspx?menuIndex=3&amp;refID=7171885&amp;Result=3","7171885")</f>
        <v>0</v>
      </c>
      <c r="B12574" t="s">
        <v>2667</v>
      </c>
      <c r="C12574" t="s">
        <v>15744</v>
      </c>
      <c r="D12574" t="s">
        <v>18989</v>
      </c>
      <c r="E12574" t="s">
        <v>29769</v>
      </c>
      <c r="F12574" t="s">
        <v>32606</v>
      </c>
      <c r="G12574" t="s">
        <v>32613</v>
      </c>
      <c r="H12574" t="s">
        <v>14201</v>
      </c>
      <c r="I12574" t="s">
        <v>32640</v>
      </c>
      <c r="J12574" t="s">
        <v>40556</v>
      </c>
      <c r="K12574" t="s">
        <v>42639</v>
      </c>
      <c r="M12574" t="s">
        <v>45816</v>
      </c>
      <c r="N12574" t="s">
        <v>47304</v>
      </c>
      <c r="O12574" t="s">
        <v>47305</v>
      </c>
      <c r="Q12574">
        <v>11</v>
      </c>
      <c r="R12574" t="s">
        <v>47319</v>
      </c>
      <c r="S12574" t="s">
        <v>47854</v>
      </c>
      <c r="T12574" t="s">
        <v>49170</v>
      </c>
      <c r="U12574" t="s">
        <v>59926</v>
      </c>
      <c r="W12574" t="s">
        <v>45816</v>
      </c>
      <c r="X12574" t="s">
        <v>47320</v>
      </c>
    </row>
    <row r="12575" spans="1:24">
      <c r="A12575">
        <f>HYPERLINK("https://www.philgeps.gov.ph/GEPSNONPILOT/Tender/SplashBidNoticeAbstractUI.aspx?menuIndex=3&amp;refID=7171938&amp;Result=3","7171938")</f>
        <v>0</v>
      </c>
      <c r="B12575" t="s">
        <v>640</v>
      </c>
      <c r="C12575" t="s">
        <v>6419</v>
      </c>
      <c r="D12575" t="s">
        <v>19066</v>
      </c>
      <c r="E12575" t="s">
        <v>29770</v>
      </c>
      <c r="F12575" t="s">
        <v>32606</v>
      </c>
      <c r="G12575" t="s">
        <v>32613</v>
      </c>
      <c r="H12575" t="s">
        <v>14201</v>
      </c>
      <c r="I12575" t="s">
        <v>7677</v>
      </c>
      <c r="J12575" t="s">
        <v>40557</v>
      </c>
      <c r="K12575" t="s">
        <v>42631</v>
      </c>
      <c r="M12575" t="s">
        <v>43558</v>
      </c>
      <c r="N12575" t="s">
        <v>47304</v>
      </c>
      <c r="O12575" t="s">
        <v>47305</v>
      </c>
      <c r="Q12575">
        <v>12</v>
      </c>
      <c r="R12575" t="s">
        <v>47319</v>
      </c>
      <c r="S12575" t="s">
        <v>47855</v>
      </c>
      <c r="T12575" t="s">
        <v>49023</v>
      </c>
      <c r="U12575" t="s">
        <v>59927</v>
      </c>
      <c r="W12575" t="s">
        <v>43558</v>
      </c>
      <c r="X12575" t="s">
        <v>47320</v>
      </c>
    </row>
    <row r="12576" spans="1:24">
      <c r="A12576">
        <f>HYPERLINK("https://www.philgeps.gov.ph/GEPSNONPILOT/Tender/SplashBidNoticeAbstractUI.aspx?menuIndex=3&amp;refID=7172189&amp;Result=3","7172189")</f>
        <v>0</v>
      </c>
      <c r="B12576" t="s">
        <v>644</v>
      </c>
      <c r="C12576" t="s">
        <v>15745</v>
      </c>
      <c r="E12576" t="s">
        <v>29771</v>
      </c>
      <c r="F12576" t="s">
        <v>32606</v>
      </c>
      <c r="G12576" t="s">
        <v>32613</v>
      </c>
      <c r="H12576" t="s">
        <v>14201</v>
      </c>
      <c r="I12576" t="s">
        <v>6993</v>
      </c>
      <c r="J12576" t="s">
        <v>35364</v>
      </c>
      <c r="K12576" t="s">
        <v>42624</v>
      </c>
      <c r="M12576" t="s">
        <v>43562</v>
      </c>
      <c r="N12576" t="s">
        <v>47304</v>
      </c>
      <c r="O12576" t="s">
        <v>47305</v>
      </c>
      <c r="P12576">
        <v>0</v>
      </c>
      <c r="Q12576">
        <v>6</v>
      </c>
      <c r="R12576" t="s">
        <v>47319</v>
      </c>
      <c r="S12576" t="s">
        <v>47813</v>
      </c>
      <c r="T12576" t="s">
        <v>49163</v>
      </c>
      <c r="U12576" t="s">
        <v>59928</v>
      </c>
      <c r="W12576" t="s">
        <v>43562</v>
      </c>
      <c r="X12576" t="s">
        <v>47320</v>
      </c>
    </row>
    <row r="12577" spans="1:24">
      <c r="A12577">
        <f>HYPERLINK("https://www.philgeps.gov.ph/GEPSNONPILOT/Tender/SplashBidNoticeAbstractUI.aspx?menuIndex=3&amp;refID=7171945&amp;Result=3","7171945")</f>
        <v>0</v>
      </c>
      <c r="B12577" t="s">
        <v>1337</v>
      </c>
      <c r="C12577" t="s">
        <v>15746</v>
      </c>
      <c r="E12577" t="s">
        <v>22286</v>
      </c>
      <c r="F12577" t="s">
        <v>32606</v>
      </c>
      <c r="G12577" t="s">
        <v>32613</v>
      </c>
      <c r="H12577" t="s">
        <v>32623</v>
      </c>
      <c r="I12577" t="s">
        <v>17648</v>
      </c>
      <c r="J12577" t="s">
        <v>40558</v>
      </c>
      <c r="K12577" t="s">
        <v>42624</v>
      </c>
      <c r="M12577" t="s">
        <v>44311</v>
      </c>
      <c r="N12577" t="s">
        <v>47304</v>
      </c>
      <c r="O12577" t="s">
        <v>47305</v>
      </c>
      <c r="Q12577">
        <v>3</v>
      </c>
      <c r="R12577" t="s">
        <v>47319</v>
      </c>
      <c r="S12577" t="s">
        <v>47856</v>
      </c>
      <c r="T12577" t="s">
        <v>48986</v>
      </c>
      <c r="U12577" t="s">
        <v>52345</v>
      </c>
      <c r="W12577" t="s">
        <v>44311</v>
      </c>
      <c r="X12577" t="s">
        <v>47320</v>
      </c>
    </row>
    <row r="12578" spans="1:24">
      <c r="A12578">
        <f>HYPERLINK("https://www.philgeps.gov.ph/GEPSNONPILOT/Tender/SplashBidNoticeAbstractUI.aspx?menuIndex=3&amp;refID=7172185&amp;Result=3","7172185")</f>
        <v>0</v>
      </c>
      <c r="B12578" t="s">
        <v>3508</v>
      </c>
      <c r="C12578" t="s">
        <v>15747</v>
      </c>
      <c r="D12578" t="s">
        <v>19057</v>
      </c>
      <c r="E12578" t="s">
        <v>29772</v>
      </c>
      <c r="F12578" t="s">
        <v>32607</v>
      </c>
      <c r="G12578" t="s">
        <v>32613</v>
      </c>
      <c r="H12578" t="s">
        <v>14201</v>
      </c>
      <c r="I12578" t="s">
        <v>6931</v>
      </c>
      <c r="J12578" t="s">
        <v>40559</v>
      </c>
      <c r="K12578" t="s">
        <v>42622</v>
      </c>
      <c r="M12578" t="s">
        <v>46777</v>
      </c>
      <c r="N12578" t="s">
        <v>47304</v>
      </c>
      <c r="O12578" t="s">
        <v>47305</v>
      </c>
      <c r="P12578">
        <v>0</v>
      </c>
      <c r="Q12578">
        <v>0</v>
      </c>
      <c r="R12578" t="s">
        <v>47319</v>
      </c>
      <c r="S12578" t="s">
        <v>47813</v>
      </c>
      <c r="T12578" t="s">
        <v>48986</v>
      </c>
      <c r="U12578" t="s">
        <v>59929</v>
      </c>
      <c r="W12578" t="s">
        <v>46777</v>
      </c>
      <c r="X12578" t="s">
        <v>47320</v>
      </c>
    </row>
    <row r="12579" spans="1:24">
      <c r="A12579">
        <f>HYPERLINK("https://www.philgeps.gov.ph/GEPSNONPILOT/Tender/SplashBidNoticeAbstractUI.aspx?menuIndex=3&amp;refID=7172172&amp;Result=3","7172172")</f>
        <v>0</v>
      </c>
      <c r="B12579" t="s">
        <v>644</v>
      </c>
      <c r="C12579" t="s">
        <v>15748</v>
      </c>
      <c r="E12579" t="s">
        <v>29773</v>
      </c>
      <c r="F12579" t="s">
        <v>32606</v>
      </c>
      <c r="G12579" t="s">
        <v>32613</v>
      </c>
      <c r="H12579" t="s">
        <v>14201</v>
      </c>
      <c r="I12579" t="s">
        <v>7064</v>
      </c>
      <c r="J12579" t="s">
        <v>40560</v>
      </c>
      <c r="K12579" t="s">
        <v>42624</v>
      </c>
      <c r="M12579" t="s">
        <v>43562</v>
      </c>
      <c r="N12579" t="s">
        <v>47304</v>
      </c>
      <c r="O12579" t="s">
        <v>47305</v>
      </c>
      <c r="P12579">
        <v>0</v>
      </c>
      <c r="Q12579">
        <v>0</v>
      </c>
      <c r="R12579" t="s">
        <v>47319</v>
      </c>
      <c r="S12579" t="s">
        <v>47813</v>
      </c>
      <c r="T12579" t="s">
        <v>49163</v>
      </c>
      <c r="U12579" t="s">
        <v>59930</v>
      </c>
      <c r="W12579" t="s">
        <v>43562</v>
      </c>
      <c r="X12579" t="s">
        <v>47320</v>
      </c>
    </row>
    <row r="12580" spans="1:24">
      <c r="A12580">
        <f>HYPERLINK("https://www.philgeps.gov.ph/GEPSNONPILOT/Tender/SplashBidNoticeAbstractUI.aspx?menuIndex=3&amp;refID=7172044&amp;Result=3","7172044")</f>
        <v>0</v>
      </c>
      <c r="B12580" t="s">
        <v>644</v>
      </c>
      <c r="C12580" t="s">
        <v>15749</v>
      </c>
      <c r="E12580" t="s">
        <v>29774</v>
      </c>
      <c r="F12580" t="s">
        <v>32606</v>
      </c>
      <c r="G12580" t="s">
        <v>32613</v>
      </c>
      <c r="H12580" t="s">
        <v>14201</v>
      </c>
      <c r="I12580" t="s">
        <v>7064</v>
      </c>
      <c r="J12580" t="s">
        <v>40561</v>
      </c>
      <c r="K12580" t="s">
        <v>42624</v>
      </c>
      <c r="M12580" t="s">
        <v>43562</v>
      </c>
      <c r="N12580" t="s">
        <v>47304</v>
      </c>
      <c r="O12580" t="s">
        <v>47305</v>
      </c>
      <c r="P12580">
        <v>0</v>
      </c>
      <c r="Q12580">
        <v>3</v>
      </c>
      <c r="R12580" t="s">
        <v>47319</v>
      </c>
      <c r="S12580" t="s">
        <v>47813</v>
      </c>
      <c r="T12580" t="s">
        <v>49163</v>
      </c>
      <c r="U12580" t="s">
        <v>59931</v>
      </c>
      <c r="W12580" t="s">
        <v>43562</v>
      </c>
      <c r="X12580" t="s">
        <v>47320</v>
      </c>
    </row>
    <row r="12581" spans="1:24">
      <c r="A12581">
        <f>HYPERLINK("https://www.philgeps.gov.ph/GEPSNONPILOT/Tender/SplashBidNoticeAbstractUI.aspx?menuIndex=3&amp;refID=7172180&amp;Result=3","7172180")</f>
        <v>0</v>
      </c>
      <c r="B12581" t="s">
        <v>2432</v>
      </c>
      <c r="C12581" t="s">
        <v>15750</v>
      </c>
      <c r="D12581" t="s">
        <v>19006</v>
      </c>
      <c r="E12581" t="s">
        <v>29775</v>
      </c>
      <c r="F12581" t="s">
        <v>32606</v>
      </c>
      <c r="G12581" t="s">
        <v>32613</v>
      </c>
      <c r="H12581" t="s">
        <v>32623</v>
      </c>
      <c r="I12581" t="s">
        <v>17648</v>
      </c>
      <c r="J12581" t="s">
        <v>35071</v>
      </c>
      <c r="K12581" t="s">
        <v>42715</v>
      </c>
      <c r="M12581" t="s">
        <v>45558</v>
      </c>
      <c r="N12581" t="s">
        <v>47304</v>
      </c>
      <c r="O12581" t="s">
        <v>47305</v>
      </c>
      <c r="P12581">
        <v>0</v>
      </c>
      <c r="Q12581">
        <v>6</v>
      </c>
      <c r="R12581" t="s">
        <v>47319</v>
      </c>
      <c r="S12581" t="s">
        <v>47813</v>
      </c>
      <c r="T12581" t="s">
        <v>49023</v>
      </c>
      <c r="U12581" t="s">
        <v>59932</v>
      </c>
      <c r="V12581" t="s">
        <v>64011</v>
      </c>
      <c r="W12581" t="s">
        <v>45558</v>
      </c>
      <c r="X12581" t="s">
        <v>47320</v>
      </c>
    </row>
    <row r="12582" spans="1:24">
      <c r="A12582">
        <f>HYPERLINK("https://www.philgeps.gov.ph/GEPSNONPILOT/Tender/SplashBidNoticeAbstractUI.aspx?menuIndex=3&amp;refID=7172156&amp;Result=3","7172156")</f>
        <v>0</v>
      </c>
      <c r="B12582" t="s">
        <v>644</v>
      </c>
      <c r="C12582" t="s">
        <v>15751</v>
      </c>
      <c r="E12582" t="s">
        <v>29776</v>
      </c>
      <c r="F12582" t="s">
        <v>32606</v>
      </c>
      <c r="G12582" t="s">
        <v>32613</v>
      </c>
      <c r="H12582" t="s">
        <v>14201</v>
      </c>
      <c r="I12582" t="s">
        <v>7064</v>
      </c>
      <c r="J12582" t="s">
        <v>33750</v>
      </c>
      <c r="K12582" t="s">
        <v>42624</v>
      </c>
      <c r="M12582" t="s">
        <v>43562</v>
      </c>
      <c r="N12582" t="s">
        <v>47304</v>
      </c>
      <c r="O12582" t="s">
        <v>47305</v>
      </c>
      <c r="P12582">
        <v>0</v>
      </c>
      <c r="Q12582">
        <v>2</v>
      </c>
      <c r="R12582" t="s">
        <v>47319</v>
      </c>
      <c r="S12582" t="s">
        <v>47813</v>
      </c>
      <c r="T12582" t="s">
        <v>49163</v>
      </c>
      <c r="U12582" t="s">
        <v>59933</v>
      </c>
      <c r="W12582" t="s">
        <v>43562</v>
      </c>
      <c r="X12582" t="s">
        <v>47320</v>
      </c>
    </row>
    <row r="12583" spans="1:24">
      <c r="A12583">
        <f>HYPERLINK("https://www.philgeps.gov.ph/GEPSNONPILOT/Tender/SplashBidNoticeAbstractUI.aspx?menuIndex=3&amp;refID=7172141&amp;Result=3","7172141")</f>
        <v>0</v>
      </c>
      <c r="B12583" t="s">
        <v>644</v>
      </c>
      <c r="C12583" t="s">
        <v>15752</v>
      </c>
      <c r="E12583" t="s">
        <v>29777</v>
      </c>
      <c r="F12583" t="s">
        <v>32606</v>
      </c>
      <c r="G12583" t="s">
        <v>32613</v>
      </c>
      <c r="H12583" t="s">
        <v>14201</v>
      </c>
      <c r="I12583" t="s">
        <v>7064</v>
      </c>
      <c r="J12583" t="s">
        <v>33934</v>
      </c>
      <c r="K12583" t="s">
        <v>42624</v>
      </c>
      <c r="M12583" t="s">
        <v>43562</v>
      </c>
      <c r="N12583" t="s">
        <v>47304</v>
      </c>
      <c r="O12583" t="s">
        <v>47305</v>
      </c>
      <c r="P12583">
        <v>0</v>
      </c>
      <c r="Q12583">
        <v>2</v>
      </c>
      <c r="R12583" t="s">
        <v>47319</v>
      </c>
      <c r="S12583" t="s">
        <v>47813</v>
      </c>
      <c r="T12583" t="s">
        <v>49163</v>
      </c>
      <c r="U12583" t="s">
        <v>59934</v>
      </c>
      <c r="W12583" t="s">
        <v>43562</v>
      </c>
      <c r="X12583" t="s">
        <v>47320</v>
      </c>
    </row>
    <row r="12584" spans="1:24">
      <c r="A12584">
        <f>HYPERLINK("https://www.philgeps.gov.ph/GEPSNONPILOT/Tender/SplashBidNoticeAbstractUI.aspx?menuIndex=3&amp;refID=7172203&amp;Result=3","7172203")</f>
        <v>0</v>
      </c>
      <c r="B12584" t="s">
        <v>2439</v>
      </c>
      <c r="C12584" t="s">
        <v>10913</v>
      </c>
      <c r="D12584" t="s">
        <v>18993</v>
      </c>
      <c r="E12584" t="s">
        <v>19380</v>
      </c>
      <c r="F12584" t="s">
        <v>32606</v>
      </c>
      <c r="G12584" t="s">
        <v>32613</v>
      </c>
      <c r="H12584" t="s">
        <v>14201</v>
      </c>
      <c r="I12584" t="s">
        <v>32640</v>
      </c>
      <c r="J12584" t="s">
        <v>40562</v>
      </c>
      <c r="K12584" t="s">
        <v>42624</v>
      </c>
      <c r="M12584" t="s">
        <v>45566</v>
      </c>
      <c r="N12584" t="s">
        <v>47304</v>
      </c>
      <c r="O12584" t="s">
        <v>47305</v>
      </c>
      <c r="Q12584">
        <v>18</v>
      </c>
      <c r="R12584" t="s">
        <v>47319</v>
      </c>
      <c r="S12584" t="s">
        <v>47857</v>
      </c>
      <c r="T12584" t="s">
        <v>49062</v>
      </c>
      <c r="U12584" t="s">
        <v>59935</v>
      </c>
      <c r="W12584" t="s">
        <v>45566</v>
      </c>
      <c r="X12584" t="s">
        <v>47320</v>
      </c>
    </row>
    <row r="12585" spans="1:24">
      <c r="A12585">
        <f>HYPERLINK("https://www.philgeps.gov.ph/GEPSNONPILOT/Tender/SplashBidNoticeAbstractUI.aspx?menuIndex=3&amp;refID=7172122&amp;Result=3","7172122")</f>
        <v>0</v>
      </c>
      <c r="B12585" t="s">
        <v>3041</v>
      </c>
      <c r="C12585" t="s">
        <v>15753</v>
      </c>
      <c r="D12585" t="s">
        <v>19060</v>
      </c>
      <c r="E12585" t="s">
        <v>29778</v>
      </c>
      <c r="F12585" t="s">
        <v>32606</v>
      </c>
      <c r="G12585" t="s">
        <v>32613</v>
      </c>
      <c r="H12585" t="s">
        <v>32623</v>
      </c>
      <c r="I12585" t="s">
        <v>17648</v>
      </c>
      <c r="J12585" t="s">
        <v>32767</v>
      </c>
      <c r="K12585" t="s">
        <v>42624</v>
      </c>
      <c r="M12585" t="s">
        <v>46235</v>
      </c>
      <c r="N12585" t="s">
        <v>47304</v>
      </c>
      <c r="O12585" t="s">
        <v>47305</v>
      </c>
      <c r="Q12585">
        <v>0</v>
      </c>
      <c r="R12585" t="s">
        <v>47319</v>
      </c>
      <c r="S12585" t="s">
        <v>47858</v>
      </c>
      <c r="T12585" t="s">
        <v>49238</v>
      </c>
      <c r="U12585" t="s">
        <v>59936</v>
      </c>
      <c r="W12585" t="s">
        <v>46235</v>
      </c>
      <c r="X12585" t="s">
        <v>47320</v>
      </c>
    </row>
    <row r="12586" spans="1:24">
      <c r="A12586">
        <f>HYPERLINK("https://www.philgeps.gov.ph/GEPSNONPILOT/Tender/SplashBidNoticeAbstractUI.aspx?menuIndex=3&amp;refID=7172053&amp;Result=3","7172053")</f>
        <v>0</v>
      </c>
      <c r="B12586" t="s">
        <v>644</v>
      </c>
      <c r="C12586" t="s">
        <v>15754</v>
      </c>
      <c r="E12586" t="s">
        <v>29779</v>
      </c>
      <c r="F12586" t="s">
        <v>32606</v>
      </c>
      <c r="G12586" t="s">
        <v>32613</v>
      </c>
      <c r="H12586" t="s">
        <v>14201</v>
      </c>
      <c r="I12586" t="s">
        <v>7064</v>
      </c>
      <c r="J12586" t="s">
        <v>33273</v>
      </c>
      <c r="K12586" t="s">
        <v>42624</v>
      </c>
      <c r="M12586" t="s">
        <v>43562</v>
      </c>
      <c r="N12586" t="s">
        <v>47304</v>
      </c>
      <c r="O12586" t="s">
        <v>47305</v>
      </c>
      <c r="P12586">
        <v>0</v>
      </c>
      <c r="Q12586">
        <v>4</v>
      </c>
      <c r="R12586" t="s">
        <v>47319</v>
      </c>
      <c r="S12586" t="s">
        <v>47813</v>
      </c>
      <c r="T12586" t="s">
        <v>49163</v>
      </c>
      <c r="U12586" t="s">
        <v>59937</v>
      </c>
      <c r="W12586" t="s">
        <v>43562</v>
      </c>
      <c r="X12586" t="s">
        <v>47320</v>
      </c>
    </row>
    <row r="12587" spans="1:24">
      <c r="A12587">
        <f>HYPERLINK("https://www.philgeps.gov.ph/GEPSNONPILOT/Tender/SplashBidNoticeAbstractUI.aspx?menuIndex=3&amp;refID=7172353&amp;Result=3","7172353")</f>
        <v>0</v>
      </c>
      <c r="B12587" t="s">
        <v>2326</v>
      </c>
      <c r="C12587" t="s">
        <v>15755</v>
      </c>
      <c r="E12587" t="s">
        <v>29780</v>
      </c>
      <c r="F12587" t="s">
        <v>32606</v>
      </c>
      <c r="G12587" t="s">
        <v>32613</v>
      </c>
      <c r="H12587" t="s">
        <v>14201</v>
      </c>
      <c r="I12587" t="s">
        <v>32633</v>
      </c>
      <c r="J12587" t="s">
        <v>40563</v>
      </c>
      <c r="K12587" t="s">
        <v>42624</v>
      </c>
      <c r="M12587" t="s">
        <v>45434</v>
      </c>
      <c r="N12587" t="s">
        <v>47304</v>
      </c>
      <c r="O12587" t="s">
        <v>47305</v>
      </c>
      <c r="P12587">
        <v>0</v>
      </c>
      <c r="Q12587">
        <v>4</v>
      </c>
      <c r="R12587" t="s">
        <v>47319</v>
      </c>
      <c r="S12587" t="s">
        <v>47813</v>
      </c>
      <c r="T12587" t="s">
        <v>48996</v>
      </c>
      <c r="U12587" t="s">
        <v>59938</v>
      </c>
      <c r="W12587" t="s">
        <v>45434</v>
      </c>
      <c r="X12587" t="s">
        <v>47320</v>
      </c>
    </row>
    <row r="12588" spans="1:24">
      <c r="A12588">
        <f>HYPERLINK("https://www.philgeps.gov.ph/GEPSNONPILOT/Tender/SplashBidNoticeAbstractUI.aspx?menuIndex=3&amp;refID=7171957&amp;Result=3","7171957")</f>
        <v>0</v>
      </c>
      <c r="B12588" t="s">
        <v>3523</v>
      </c>
      <c r="C12588" t="s">
        <v>15756</v>
      </c>
      <c r="D12588" t="s">
        <v>19000</v>
      </c>
      <c r="E12588" t="s">
        <v>29781</v>
      </c>
      <c r="F12588" t="s">
        <v>32606</v>
      </c>
      <c r="G12588" t="s">
        <v>32613</v>
      </c>
      <c r="H12588" t="s">
        <v>32623</v>
      </c>
      <c r="I12588" t="s">
        <v>17648</v>
      </c>
      <c r="J12588" t="s">
        <v>40564</v>
      </c>
      <c r="K12588" t="s">
        <v>42726</v>
      </c>
      <c r="M12588" t="s">
        <v>46793</v>
      </c>
      <c r="N12588" t="s">
        <v>47304</v>
      </c>
      <c r="O12588" t="s">
        <v>47305</v>
      </c>
      <c r="P12588">
        <v>0</v>
      </c>
      <c r="Q12588">
        <v>16</v>
      </c>
      <c r="R12588" t="s">
        <v>47319</v>
      </c>
      <c r="S12588" t="s">
        <v>47813</v>
      </c>
      <c r="T12588" t="s">
        <v>49169</v>
      </c>
      <c r="U12588" t="s">
        <v>59939</v>
      </c>
      <c r="W12588" t="s">
        <v>46793</v>
      </c>
      <c r="X12588" t="s">
        <v>47320</v>
      </c>
    </row>
    <row r="12589" spans="1:24">
      <c r="A12589">
        <f>HYPERLINK("https://www.philgeps.gov.ph/GEPSNONPILOT/Tender/SplashBidNoticeAbstractUI.aspx?menuIndex=3&amp;refID=7172325&amp;Result=3","7172325")</f>
        <v>0</v>
      </c>
      <c r="B12589" t="s">
        <v>2356</v>
      </c>
      <c r="C12589" t="s">
        <v>15757</v>
      </c>
      <c r="D12589" t="s">
        <v>19014</v>
      </c>
      <c r="E12589" t="s">
        <v>29782</v>
      </c>
      <c r="F12589" t="s">
        <v>32606</v>
      </c>
      <c r="G12589" t="s">
        <v>32613</v>
      </c>
      <c r="H12589" t="s">
        <v>32623</v>
      </c>
      <c r="I12589" t="s">
        <v>17648</v>
      </c>
      <c r="J12589" t="s">
        <v>40565</v>
      </c>
      <c r="K12589" t="s">
        <v>42712</v>
      </c>
      <c r="M12589" t="s">
        <v>45468</v>
      </c>
      <c r="N12589" t="s">
        <v>47304</v>
      </c>
      <c r="O12589" t="s">
        <v>47305</v>
      </c>
      <c r="Q12589">
        <v>33</v>
      </c>
      <c r="R12589" t="s">
        <v>47319</v>
      </c>
      <c r="S12589" t="s">
        <v>47859</v>
      </c>
      <c r="T12589" t="s">
        <v>48986</v>
      </c>
      <c r="U12589" t="s">
        <v>59940</v>
      </c>
      <c r="V12589" t="s">
        <v>63367</v>
      </c>
      <c r="W12589" t="s">
        <v>45468</v>
      </c>
      <c r="X12589" t="s">
        <v>47320</v>
      </c>
    </row>
    <row r="12590" spans="1:24">
      <c r="A12590">
        <f>HYPERLINK("https://www.philgeps.gov.ph/GEPSNONPILOT/Tender/SplashBidNoticeAbstractUI.aspx?menuIndex=3&amp;refID=7172351&amp;Result=3","7172351")</f>
        <v>0</v>
      </c>
      <c r="B12590" t="s">
        <v>1353</v>
      </c>
      <c r="C12590" t="s">
        <v>15758</v>
      </c>
      <c r="D12590" t="s">
        <v>19041</v>
      </c>
      <c r="E12590" t="s">
        <v>26431</v>
      </c>
      <c r="F12590" t="s">
        <v>32606</v>
      </c>
      <c r="G12590" t="s">
        <v>32613</v>
      </c>
      <c r="H12590" t="s">
        <v>14201</v>
      </c>
      <c r="I12590" t="s">
        <v>6298</v>
      </c>
      <c r="J12590" t="s">
        <v>32861</v>
      </c>
      <c r="K12590" t="s">
        <v>42623</v>
      </c>
      <c r="M12590" t="s">
        <v>44327</v>
      </c>
      <c r="N12590" t="s">
        <v>47304</v>
      </c>
      <c r="O12590" t="s">
        <v>47305</v>
      </c>
      <c r="P12590">
        <v>0</v>
      </c>
      <c r="Q12590">
        <v>1</v>
      </c>
      <c r="R12590" t="s">
        <v>47319</v>
      </c>
      <c r="S12590" t="s">
        <v>47813</v>
      </c>
      <c r="T12590" t="s">
        <v>48987</v>
      </c>
      <c r="U12590" t="s">
        <v>59941</v>
      </c>
      <c r="V12590" t="s">
        <v>64012</v>
      </c>
      <c r="W12590" t="s">
        <v>44327</v>
      </c>
      <c r="X12590" t="s">
        <v>47320</v>
      </c>
    </row>
    <row r="12591" spans="1:24">
      <c r="A12591">
        <f>HYPERLINK("https://www.philgeps.gov.ph/GEPSNONPILOT/Tender/SplashBidNoticeAbstractUI.aspx?menuIndex=3&amp;refID=7172138&amp;Result=3","7172138")</f>
        <v>0</v>
      </c>
      <c r="B12591" t="s">
        <v>3508</v>
      </c>
      <c r="C12591" t="s">
        <v>15759</v>
      </c>
      <c r="D12591" t="s">
        <v>19057</v>
      </c>
      <c r="E12591" t="s">
        <v>29783</v>
      </c>
      <c r="F12591" t="s">
        <v>32607</v>
      </c>
      <c r="G12591" t="s">
        <v>32613</v>
      </c>
      <c r="H12591" t="s">
        <v>14201</v>
      </c>
      <c r="I12591" t="s">
        <v>6931</v>
      </c>
      <c r="J12591" t="s">
        <v>40566</v>
      </c>
      <c r="K12591" t="s">
        <v>42622</v>
      </c>
      <c r="M12591" t="s">
        <v>46777</v>
      </c>
      <c r="N12591" t="s">
        <v>47304</v>
      </c>
      <c r="O12591" t="s">
        <v>47305</v>
      </c>
      <c r="P12591">
        <v>0</v>
      </c>
      <c r="Q12591">
        <v>0</v>
      </c>
      <c r="R12591" t="s">
        <v>47319</v>
      </c>
      <c r="S12591" t="s">
        <v>47813</v>
      </c>
      <c r="T12591" t="s">
        <v>48986</v>
      </c>
      <c r="U12591" t="s">
        <v>59942</v>
      </c>
      <c r="W12591" t="s">
        <v>46777</v>
      </c>
      <c r="X12591" t="s">
        <v>47320</v>
      </c>
    </row>
    <row r="12592" spans="1:24">
      <c r="A12592">
        <f>HYPERLINK("https://www.philgeps.gov.ph/GEPSNONPILOT/Tender/SplashBidNoticeAbstractUI.aspx?menuIndex=3&amp;refID=7172324&amp;Result=3","7172324")</f>
        <v>0</v>
      </c>
      <c r="B12592" t="s">
        <v>3508</v>
      </c>
      <c r="C12592" t="s">
        <v>15760</v>
      </c>
      <c r="D12592" t="s">
        <v>19057</v>
      </c>
      <c r="E12592" t="s">
        <v>29772</v>
      </c>
      <c r="F12592" t="s">
        <v>32607</v>
      </c>
      <c r="G12592" t="s">
        <v>32613</v>
      </c>
      <c r="H12592" t="s">
        <v>14201</v>
      </c>
      <c r="I12592" t="s">
        <v>6931</v>
      </c>
      <c r="J12592" t="s">
        <v>40567</v>
      </c>
      <c r="K12592" t="s">
        <v>42623</v>
      </c>
      <c r="M12592" t="s">
        <v>46777</v>
      </c>
      <c r="N12592" t="s">
        <v>47304</v>
      </c>
      <c r="O12592" t="s">
        <v>47305</v>
      </c>
      <c r="P12592">
        <v>0</v>
      </c>
      <c r="Q12592">
        <v>0</v>
      </c>
      <c r="R12592" t="s">
        <v>47319</v>
      </c>
      <c r="S12592" t="s">
        <v>47813</v>
      </c>
      <c r="T12592" t="s">
        <v>49023</v>
      </c>
      <c r="U12592" t="s">
        <v>59943</v>
      </c>
      <c r="W12592" t="s">
        <v>46777</v>
      </c>
      <c r="X12592" t="s">
        <v>47320</v>
      </c>
    </row>
    <row r="12593" spans="1:24">
      <c r="A12593">
        <f>HYPERLINK("https://www.philgeps.gov.ph/GEPSNONPILOT/Tender/SplashBidNoticeAbstractUI.aspx?menuIndex=3&amp;refID=7172302&amp;Result=3","7172302")</f>
        <v>0</v>
      </c>
      <c r="B12593" t="s">
        <v>1804</v>
      </c>
      <c r="C12593" t="s">
        <v>15761</v>
      </c>
      <c r="D12593" t="s">
        <v>18987</v>
      </c>
      <c r="E12593" t="s">
        <v>29784</v>
      </c>
      <c r="F12593" t="s">
        <v>32606</v>
      </c>
      <c r="G12593" t="s">
        <v>32619</v>
      </c>
      <c r="H12593" t="s">
        <v>14201</v>
      </c>
      <c r="I12593" t="s">
        <v>7677</v>
      </c>
      <c r="J12593" t="s">
        <v>40568</v>
      </c>
      <c r="K12593" t="s">
        <v>42623</v>
      </c>
      <c r="M12593" t="s">
        <v>44845</v>
      </c>
      <c r="N12593" t="s">
        <v>47304</v>
      </c>
      <c r="O12593" t="s">
        <v>47305</v>
      </c>
      <c r="P12593">
        <v>0</v>
      </c>
      <c r="Q12593">
        <v>2</v>
      </c>
      <c r="R12593" t="s">
        <v>47319</v>
      </c>
      <c r="S12593" t="s">
        <v>47813</v>
      </c>
      <c r="T12593" t="s">
        <v>49267</v>
      </c>
      <c r="U12593" t="s">
        <v>59944</v>
      </c>
      <c r="V12593" t="s">
        <v>64013</v>
      </c>
      <c r="W12593" t="s">
        <v>44845</v>
      </c>
      <c r="X12593" t="s">
        <v>47320</v>
      </c>
    </row>
    <row r="12594" spans="1:24">
      <c r="A12594">
        <f>HYPERLINK("https://www.philgeps.gov.ph/GEPSNONPILOT/Tender/SplashBidNoticeAbstractUI.aspx?menuIndex=3&amp;refID=7172286&amp;Result=3","7172286")</f>
        <v>0</v>
      </c>
      <c r="B12594" t="s">
        <v>2274</v>
      </c>
      <c r="C12594" t="s">
        <v>15762</v>
      </c>
      <c r="D12594" t="s">
        <v>19028</v>
      </c>
      <c r="E12594" t="s">
        <v>29785</v>
      </c>
      <c r="F12594" t="s">
        <v>32606</v>
      </c>
      <c r="G12594" t="s">
        <v>32613</v>
      </c>
      <c r="H12594" t="s">
        <v>32623</v>
      </c>
      <c r="I12594" t="s">
        <v>17648</v>
      </c>
      <c r="J12594" t="s">
        <v>32756</v>
      </c>
      <c r="K12594" t="s">
        <v>42645</v>
      </c>
      <c r="M12594" t="s">
        <v>46794</v>
      </c>
      <c r="N12594" t="s">
        <v>47304</v>
      </c>
      <c r="O12594" t="s">
        <v>47305</v>
      </c>
      <c r="P12594">
        <v>0</v>
      </c>
      <c r="Q12594">
        <v>2</v>
      </c>
      <c r="R12594" t="s">
        <v>47319</v>
      </c>
      <c r="S12594" t="s">
        <v>47813</v>
      </c>
      <c r="T12594" t="s">
        <v>49163</v>
      </c>
      <c r="U12594" t="s">
        <v>59945</v>
      </c>
      <c r="W12594" t="s">
        <v>46794</v>
      </c>
      <c r="X12594" t="s">
        <v>47320</v>
      </c>
    </row>
    <row r="12595" spans="1:24">
      <c r="A12595">
        <f>HYPERLINK("https://www.philgeps.gov.ph/GEPSNONPILOT/Tender/SplashBidNoticeAbstractUI.aspx?menuIndex=3&amp;refID=7171841&amp;Result=3","7171841")</f>
        <v>0</v>
      </c>
      <c r="B12595" t="s">
        <v>640</v>
      </c>
      <c r="C12595" t="s">
        <v>15763</v>
      </c>
      <c r="D12595" t="s">
        <v>19066</v>
      </c>
      <c r="E12595" t="s">
        <v>29786</v>
      </c>
      <c r="F12595" t="s">
        <v>32606</v>
      </c>
      <c r="G12595" t="s">
        <v>32613</v>
      </c>
      <c r="H12595" t="s">
        <v>14201</v>
      </c>
      <c r="I12595" t="s">
        <v>32662</v>
      </c>
      <c r="J12595" t="s">
        <v>37965</v>
      </c>
      <c r="K12595" t="s">
        <v>42631</v>
      </c>
      <c r="M12595" t="s">
        <v>43558</v>
      </c>
      <c r="N12595" t="s">
        <v>47304</v>
      </c>
      <c r="O12595" t="s">
        <v>47305</v>
      </c>
      <c r="Q12595">
        <v>7</v>
      </c>
      <c r="R12595" t="s">
        <v>47319</v>
      </c>
      <c r="S12595" t="s">
        <v>47860</v>
      </c>
      <c r="T12595" t="s">
        <v>49023</v>
      </c>
      <c r="U12595" t="s">
        <v>59946</v>
      </c>
      <c r="W12595" t="s">
        <v>43558</v>
      </c>
      <c r="X12595" t="s">
        <v>47320</v>
      </c>
    </row>
    <row r="12596" spans="1:24">
      <c r="A12596">
        <f>HYPERLINK("https://www.philgeps.gov.ph/GEPSNONPILOT/Tender/SplashBidNoticeAbstractUI.aspx?menuIndex=3&amp;refID=7172338&amp;Result=3","7172338")</f>
        <v>0</v>
      </c>
      <c r="B12596" t="s">
        <v>2432</v>
      </c>
      <c r="C12596" t="s">
        <v>15764</v>
      </c>
      <c r="D12596" t="s">
        <v>19006</v>
      </c>
      <c r="E12596" t="s">
        <v>29787</v>
      </c>
      <c r="F12596" t="s">
        <v>32606</v>
      </c>
      <c r="G12596" t="s">
        <v>32613</v>
      </c>
      <c r="H12596" t="s">
        <v>32623</v>
      </c>
      <c r="I12596" t="s">
        <v>17648</v>
      </c>
      <c r="J12596" t="s">
        <v>40569</v>
      </c>
      <c r="K12596" t="s">
        <v>42844</v>
      </c>
      <c r="M12596" t="s">
        <v>45558</v>
      </c>
      <c r="N12596" t="s">
        <v>47304</v>
      </c>
      <c r="O12596" t="s">
        <v>47305</v>
      </c>
      <c r="P12596">
        <v>0</v>
      </c>
      <c r="Q12596">
        <v>5</v>
      </c>
      <c r="R12596" t="s">
        <v>47319</v>
      </c>
      <c r="S12596" t="s">
        <v>47813</v>
      </c>
      <c r="T12596" t="s">
        <v>49023</v>
      </c>
      <c r="U12596" t="s">
        <v>59947</v>
      </c>
      <c r="V12596" t="s">
        <v>64011</v>
      </c>
      <c r="W12596" t="s">
        <v>45558</v>
      </c>
      <c r="X12596" t="s">
        <v>47320</v>
      </c>
    </row>
    <row r="12597" spans="1:24">
      <c r="A12597">
        <f>HYPERLINK("https://www.philgeps.gov.ph/GEPSNONPILOT/Tender/SplashBidNoticeAbstractUI.aspx?menuIndex=3&amp;refID=7172279&amp;Result=3","7172279")</f>
        <v>0</v>
      </c>
      <c r="B12597" t="s">
        <v>644</v>
      </c>
      <c r="C12597" t="s">
        <v>15765</v>
      </c>
      <c r="E12597" t="s">
        <v>29788</v>
      </c>
      <c r="F12597" t="s">
        <v>32606</v>
      </c>
      <c r="G12597" t="s">
        <v>32613</v>
      </c>
      <c r="H12597" t="s">
        <v>14201</v>
      </c>
      <c r="I12597" t="s">
        <v>6298</v>
      </c>
      <c r="J12597" t="s">
        <v>40570</v>
      </c>
      <c r="K12597" t="s">
        <v>42624</v>
      </c>
      <c r="M12597" t="s">
        <v>43562</v>
      </c>
      <c r="N12597" t="s">
        <v>47304</v>
      </c>
      <c r="O12597" t="s">
        <v>47305</v>
      </c>
      <c r="P12597">
        <v>0</v>
      </c>
      <c r="Q12597">
        <v>0</v>
      </c>
      <c r="R12597" t="s">
        <v>47319</v>
      </c>
      <c r="S12597" t="s">
        <v>47813</v>
      </c>
      <c r="T12597" t="s">
        <v>49163</v>
      </c>
      <c r="U12597" t="s">
        <v>59948</v>
      </c>
      <c r="W12597" t="s">
        <v>43562</v>
      </c>
      <c r="X12597" t="s">
        <v>47320</v>
      </c>
    </row>
    <row r="12598" spans="1:24">
      <c r="A12598">
        <f>HYPERLINK("https://www.philgeps.gov.ph/GEPSNONPILOT/Tender/SplashBidNoticeAbstractUI.aspx?menuIndex=3&amp;refID=7172264&amp;Result=3","7172264")</f>
        <v>0</v>
      </c>
      <c r="B12598" t="s">
        <v>2432</v>
      </c>
      <c r="C12598" t="s">
        <v>15766</v>
      </c>
      <c r="D12598" t="s">
        <v>19006</v>
      </c>
      <c r="E12598" t="s">
        <v>29789</v>
      </c>
      <c r="F12598" t="s">
        <v>32606</v>
      </c>
      <c r="G12598" t="s">
        <v>32613</v>
      </c>
      <c r="H12598" t="s">
        <v>32623</v>
      </c>
      <c r="I12598" t="s">
        <v>17648</v>
      </c>
      <c r="J12598" t="s">
        <v>40571</v>
      </c>
      <c r="K12598" t="s">
        <v>42772</v>
      </c>
      <c r="M12598" t="s">
        <v>45558</v>
      </c>
      <c r="N12598" t="s">
        <v>47304</v>
      </c>
      <c r="O12598" t="s">
        <v>47305</v>
      </c>
      <c r="P12598">
        <v>0</v>
      </c>
      <c r="Q12598">
        <v>5</v>
      </c>
      <c r="R12598" t="s">
        <v>47319</v>
      </c>
      <c r="S12598" t="s">
        <v>47813</v>
      </c>
      <c r="T12598" t="s">
        <v>49023</v>
      </c>
      <c r="U12598" t="s">
        <v>59949</v>
      </c>
      <c r="V12598" t="s">
        <v>64011</v>
      </c>
      <c r="W12598" t="s">
        <v>45558</v>
      </c>
      <c r="X12598" t="s">
        <v>47320</v>
      </c>
    </row>
    <row r="12599" spans="1:24">
      <c r="A12599">
        <f>HYPERLINK("https://www.philgeps.gov.ph/GEPSNONPILOT/Tender/SplashBidNoticeAbstractUI.aspx?menuIndex=3&amp;refID=7172154&amp;Result=3","7172154")</f>
        <v>0</v>
      </c>
      <c r="B12599" t="s">
        <v>2432</v>
      </c>
      <c r="C12599" t="s">
        <v>15767</v>
      </c>
      <c r="D12599" t="s">
        <v>19006</v>
      </c>
      <c r="E12599" t="s">
        <v>29790</v>
      </c>
      <c r="F12599" t="s">
        <v>32606</v>
      </c>
      <c r="G12599" t="s">
        <v>32613</v>
      </c>
      <c r="H12599" t="s">
        <v>32623</v>
      </c>
      <c r="I12599" t="s">
        <v>17648</v>
      </c>
      <c r="J12599" t="s">
        <v>35071</v>
      </c>
      <c r="K12599" t="s">
        <v>42647</v>
      </c>
      <c r="M12599" t="s">
        <v>45558</v>
      </c>
      <c r="N12599" t="s">
        <v>47304</v>
      </c>
      <c r="O12599" t="s">
        <v>47305</v>
      </c>
      <c r="P12599">
        <v>0</v>
      </c>
      <c r="Q12599">
        <v>4</v>
      </c>
      <c r="R12599" t="s">
        <v>47319</v>
      </c>
      <c r="S12599" t="s">
        <v>47813</v>
      </c>
      <c r="T12599" t="s">
        <v>49023</v>
      </c>
      <c r="U12599" t="s">
        <v>59950</v>
      </c>
      <c r="V12599" t="s">
        <v>64011</v>
      </c>
      <c r="W12599" t="s">
        <v>45558</v>
      </c>
      <c r="X12599" t="s">
        <v>47320</v>
      </c>
    </row>
    <row r="12600" spans="1:24">
      <c r="A12600">
        <f>HYPERLINK("https://www.philgeps.gov.ph/GEPSNONPILOT/Tender/SplashBidNoticeAbstractUI.aspx?menuIndex=3&amp;refID=7172258&amp;Result=3","7172258")</f>
        <v>0</v>
      </c>
      <c r="B12600" t="s">
        <v>2953</v>
      </c>
      <c r="C12600" t="s">
        <v>15768</v>
      </c>
      <c r="D12600" t="s">
        <v>19020</v>
      </c>
      <c r="E12600" t="s">
        <v>29791</v>
      </c>
      <c r="F12600" t="s">
        <v>32606</v>
      </c>
      <c r="G12600" t="s">
        <v>32619</v>
      </c>
      <c r="H12600" t="s">
        <v>14201</v>
      </c>
      <c r="I12600" t="s">
        <v>32669</v>
      </c>
      <c r="J12600" t="s">
        <v>33570</v>
      </c>
      <c r="K12600" t="s">
        <v>42623</v>
      </c>
      <c r="M12600" t="s">
        <v>46137</v>
      </c>
      <c r="N12600" t="s">
        <v>47304</v>
      </c>
      <c r="O12600" t="s">
        <v>47305</v>
      </c>
      <c r="P12600">
        <v>0</v>
      </c>
      <c r="Q12600">
        <v>0</v>
      </c>
      <c r="R12600" t="s">
        <v>47319</v>
      </c>
      <c r="S12600" t="s">
        <v>47813</v>
      </c>
      <c r="T12600" t="s">
        <v>49475</v>
      </c>
      <c r="U12600" t="s">
        <v>59951</v>
      </c>
      <c r="W12600" t="s">
        <v>46137</v>
      </c>
      <c r="X12600" t="s">
        <v>47320</v>
      </c>
    </row>
    <row r="12601" spans="1:24">
      <c r="A12601">
        <f>HYPERLINK("https://www.philgeps.gov.ph/GEPSNONPILOT/Tender/SplashBidNoticeAbstractUI.aspx?menuIndex=3&amp;refID=7172254&amp;Result=3","7172254")</f>
        <v>0</v>
      </c>
      <c r="B12601" t="s">
        <v>2439</v>
      </c>
      <c r="C12601" t="s">
        <v>10945</v>
      </c>
      <c r="D12601" t="s">
        <v>18993</v>
      </c>
      <c r="E12601" t="s">
        <v>20274</v>
      </c>
      <c r="F12601" t="s">
        <v>32606</v>
      </c>
      <c r="G12601" t="s">
        <v>32613</v>
      </c>
      <c r="H12601" t="s">
        <v>14201</v>
      </c>
      <c r="I12601" t="s">
        <v>32638</v>
      </c>
      <c r="J12601" t="s">
        <v>36312</v>
      </c>
      <c r="K12601" t="s">
        <v>42624</v>
      </c>
      <c r="M12601" t="s">
        <v>45566</v>
      </c>
      <c r="N12601" t="s">
        <v>47304</v>
      </c>
      <c r="O12601" t="s">
        <v>47305</v>
      </c>
      <c r="Q12601">
        <v>23</v>
      </c>
      <c r="R12601" t="s">
        <v>47319</v>
      </c>
      <c r="S12601" t="s">
        <v>47861</v>
      </c>
      <c r="T12601" t="s">
        <v>49062</v>
      </c>
      <c r="U12601" t="s">
        <v>59952</v>
      </c>
      <c r="W12601" t="s">
        <v>45566</v>
      </c>
      <c r="X12601" t="s">
        <v>47320</v>
      </c>
    </row>
    <row r="12602" spans="1:24">
      <c r="A12602">
        <f>HYPERLINK("https://www.philgeps.gov.ph/GEPSNONPILOT/Tender/SplashBidNoticeAbstractUI.aspx?menuIndex=3&amp;refID=7172252&amp;Result=3","7172252")</f>
        <v>0</v>
      </c>
      <c r="B12602" t="s">
        <v>644</v>
      </c>
      <c r="C12602" t="s">
        <v>15769</v>
      </c>
      <c r="E12602" t="s">
        <v>29792</v>
      </c>
      <c r="F12602" t="s">
        <v>32606</v>
      </c>
      <c r="G12602" t="s">
        <v>32613</v>
      </c>
      <c r="H12602" t="s">
        <v>14201</v>
      </c>
      <c r="I12602" t="s">
        <v>6298</v>
      </c>
      <c r="J12602" t="s">
        <v>33190</v>
      </c>
      <c r="K12602" t="s">
        <v>42624</v>
      </c>
      <c r="M12602" t="s">
        <v>43562</v>
      </c>
      <c r="N12602" t="s">
        <v>47304</v>
      </c>
      <c r="O12602" t="s">
        <v>47305</v>
      </c>
      <c r="P12602">
        <v>0</v>
      </c>
      <c r="Q12602">
        <v>1</v>
      </c>
      <c r="R12602" t="s">
        <v>47319</v>
      </c>
      <c r="S12602" t="s">
        <v>47813</v>
      </c>
      <c r="T12602" t="s">
        <v>49163</v>
      </c>
      <c r="U12602" t="s">
        <v>59953</v>
      </c>
      <c r="W12602" t="s">
        <v>43562</v>
      </c>
      <c r="X12602" t="s">
        <v>47320</v>
      </c>
    </row>
    <row r="12603" spans="1:24">
      <c r="A12603">
        <f>HYPERLINK("https://www.philgeps.gov.ph/GEPSNONPILOT/Tender/SplashBidNoticeAbstractUI.aspx?menuIndex=3&amp;refID=7172243&amp;Result=3","7172243")</f>
        <v>0</v>
      </c>
      <c r="B12603" t="s">
        <v>2432</v>
      </c>
      <c r="C12603" t="s">
        <v>15770</v>
      </c>
      <c r="D12603" t="s">
        <v>19006</v>
      </c>
      <c r="E12603" t="s">
        <v>29793</v>
      </c>
      <c r="F12603" t="s">
        <v>32606</v>
      </c>
      <c r="G12603" t="s">
        <v>32613</v>
      </c>
      <c r="H12603" t="s">
        <v>32623</v>
      </c>
      <c r="I12603" t="s">
        <v>17648</v>
      </c>
      <c r="J12603" t="s">
        <v>35071</v>
      </c>
      <c r="K12603" t="s">
        <v>42715</v>
      </c>
      <c r="M12603" t="s">
        <v>45558</v>
      </c>
      <c r="N12603" t="s">
        <v>47304</v>
      </c>
      <c r="O12603" t="s">
        <v>47305</v>
      </c>
      <c r="P12603">
        <v>0</v>
      </c>
      <c r="Q12603">
        <v>5</v>
      </c>
      <c r="R12603" t="s">
        <v>47319</v>
      </c>
      <c r="S12603" t="s">
        <v>47813</v>
      </c>
      <c r="T12603" t="s">
        <v>49023</v>
      </c>
      <c r="U12603" t="s">
        <v>59954</v>
      </c>
      <c r="V12603" t="s">
        <v>64011</v>
      </c>
      <c r="W12603" t="s">
        <v>45558</v>
      </c>
      <c r="X12603" t="s">
        <v>47320</v>
      </c>
    </row>
    <row r="12604" spans="1:24">
      <c r="A12604">
        <f>HYPERLINK("https://www.philgeps.gov.ph/GEPSNONPILOT/Tender/SplashBidNoticeAbstractUI.aspx?menuIndex=3&amp;refID=7172307&amp;Result=3","7172307")</f>
        <v>0</v>
      </c>
      <c r="B12604" t="s">
        <v>2044</v>
      </c>
      <c r="C12604" t="s">
        <v>9585</v>
      </c>
      <c r="D12604" t="s">
        <v>19013</v>
      </c>
      <c r="E12604" t="s">
        <v>29794</v>
      </c>
      <c r="F12604" t="s">
        <v>32607</v>
      </c>
      <c r="G12604" t="s">
        <v>32613</v>
      </c>
      <c r="H12604" t="s">
        <v>14201</v>
      </c>
      <c r="I12604" t="s">
        <v>6931</v>
      </c>
      <c r="J12604" t="s">
        <v>40572</v>
      </c>
      <c r="K12604" t="s">
        <v>42630</v>
      </c>
      <c r="M12604" t="s">
        <v>45122</v>
      </c>
      <c r="N12604" t="s">
        <v>47304</v>
      </c>
      <c r="O12604" t="s">
        <v>47305</v>
      </c>
      <c r="P12604">
        <v>0</v>
      </c>
      <c r="Q12604">
        <v>1</v>
      </c>
      <c r="R12604" t="s">
        <v>47319</v>
      </c>
      <c r="S12604" t="s">
        <v>47813</v>
      </c>
      <c r="T12604" t="s">
        <v>49047</v>
      </c>
      <c r="U12604" t="s">
        <v>59955</v>
      </c>
      <c r="V12604" t="s">
        <v>64014</v>
      </c>
      <c r="W12604" t="s">
        <v>45122</v>
      </c>
      <c r="X12604" t="s">
        <v>47320</v>
      </c>
    </row>
    <row r="12605" spans="1:24">
      <c r="A12605">
        <f>HYPERLINK("https://www.philgeps.gov.ph/GEPSNONPILOT/Tender/SplashBidNoticeAbstractUI.aspx?menuIndex=3&amp;refID=7172355&amp;Result=3","7172355")</f>
        <v>0</v>
      </c>
      <c r="B12605" t="s">
        <v>644</v>
      </c>
      <c r="C12605" t="s">
        <v>15771</v>
      </c>
      <c r="E12605" t="s">
        <v>29795</v>
      </c>
      <c r="F12605" t="s">
        <v>32606</v>
      </c>
      <c r="G12605" t="s">
        <v>32613</v>
      </c>
      <c r="H12605" t="s">
        <v>14201</v>
      </c>
      <c r="I12605" t="s">
        <v>9008</v>
      </c>
      <c r="J12605" t="s">
        <v>40573</v>
      </c>
      <c r="K12605" t="s">
        <v>42624</v>
      </c>
      <c r="M12605" t="s">
        <v>43562</v>
      </c>
      <c r="N12605" t="s">
        <v>47304</v>
      </c>
      <c r="O12605" t="s">
        <v>47305</v>
      </c>
      <c r="P12605">
        <v>0</v>
      </c>
      <c r="Q12605">
        <v>5</v>
      </c>
      <c r="R12605" t="s">
        <v>47319</v>
      </c>
      <c r="S12605" t="s">
        <v>47813</v>
      </c>
      <c r="T12605" t="s">
        <v>49163</v>
      </c>
      <c r="U12605" t="s">
        <v>59956</v>
      </c>
      <c r="W12605" t="s">
        <v>43562</v>
      </c>
      <c r="X12605" t="s">
        <v>47320</v>
      </c>
    </row>
    <row r="12606" spans="1:24">
      <c r="A12606">
        <f>HYPERLINK("https://www.philgeps.gov.ph/GEPSNONPILOT/Tender/SplashBidNoticeAbstractUI.aspx?menuIndex=3&amp;refID=7172301&amp;Result=3","7172301")</f>
        <v>0</v>
      </c>
      <c r="B12606" t="s">
        <v>2432</v>
      </c>
      <c r="C12606" t="s">
        <v>15772</v>
      </c>
      <c r="D12606" t="s">
        <v>19006</v>
      </c>
      <c r="E12606" t="s">
        <v>29796</v>
      </c>
      <c r="F12606" t="s">
        <v>32606</v>
      </c>
      <c r="G12606" t="s">
        <v>32613</v>
      </c>
      <c r="H12606" t="s">
        <v>32623</v>
      </c>
      <c r="I12606" t="s">
        <v>17648</v>
      </c>
      <c r="J12606" t="s">
        <v>40574</v>
      </c>
      <c r="K12606" t="s">
        <v>42687</v>
      </c>
      <c r="M12606" t="s">
        <v>45558</v>
      </c>
      <c r="N12606" t="s">
        <v>47304</v>
      </c>
      <c r="O12606" t="s">
        <v>47305</v>
      </c>
      <c r="P12606">
        <v>0</v>
      </c>
      <c r="Q12606">
        <v>5</v>
      </c>
      <c r="R12606" t="s">
        <v>47319</v>
      </c>
      <c r="S12606" t="s">
        <v>47813</v>
      </c>
      <c r="T12606" t="s">
        <v>49023</v>
      </c>
      <c r="U12606" t="s">
        <v>59957</v>
      </c>
      <c r="V12606" t="s">
        <v>64011</v>
      </c>
      <c r="W12606" t="s">
        <v>45558</v>
      </c>
      <c r="X12606" t="s">
        <v>47320</v>
      </c>
    </row>
    <row r="12607" spans="1:24">
      <c r="A12607">
        <f>HYPERLINK("https://www.philgeps.gov.ph/GEPSNONPILOT/Tender/SplashBidNoticeAbstractUI.aspx?menuIndex=3&amp;refID=7172460&amp;Result=3","7172460")</f>
        <v>0</v>
      </c>
      <c r="B12607" t="s">
        <v>3524</v>
      </c>
      <c r="C12607" t="s">
        <v>15773</v>
      </c>
      <c r="D12607" t="s">
        <v>18999</v>
      </c>
      <c r="E12607" t="s">
        <v>29797</v>
      </c>
      <c r="F12607" t="s">
        <v>32606</v>
      </c>
      <c r="G12607" t="s">
        <v>32613</v>
      </c>
      <c r="H12607" t="s">
        <v>14201</v>
      </c>
      <c r="I12607" t="s">
        <v>6931</v>
      </c>
      <c r="J12607" t="s">
        <v>40575</v>
      </c>
      <c r="K12607" t="s">
        <v>42631</v>
      </c>
      <c r="M12607" t="s">
        <v>46795</v>
      </c>
      <c r="N12607" t="s">
        <v>47304</v>
      </c>
      <c r="O12607" t="s">
        <v>47305</v>
      </c>
      <c r="P12607">
        <v>0</v>
      </c>
      <c r="Q12607">
        <v>0</v>
      </c>
      <c r="R12607" t="s">
        <v>47319</v>
      </c>
      <c r="S12607" t="s">
        <v>47813</v>
      </c>
      <c r="T12607" t="s">
        <v>49076</v>
      </c>
      <c r="U12607" t="s">
        <v>59958</v>
      </c>
      <c r="W12607" t="s">
        <v>46795</v>
      </c>
      <c r="X12607" t="s">
        <v>47320</v>
      </c>
    </row>
    <row r="12608" spans="1:24">
      <c r="A12608">
        <f>HYPERLINK("https://www.philgeps.gov.ph/GEPSNONPILOT/Tender/SplashBidNoticeAbstractUI.aspx?menuIndex=3&amp;refID=7172456&amp;Result=3","7172456")</f>
        <v>0</v>
      </c>
      <c r="B12608" t="s">
        <v>3525</v>
      </c>
      <c r="C12608" t="s">
        <v>15774</v>
      </c>
      <c r="D12608" t="s">
        <v>19042</v>
      </c>
      <c r="E12608" t="s">
        <v>29798</v>
      </c>
      <c r="F12608" t="s">
        <v>32606</v>
      </c>
      <c r="G12608" t="s">
        <v>32613</v>
      </c>
      <c r="H12608" t="s">
        <v>14201</v>
      </c>
      <c r="I12608" t="s">
        <v>32693</v>
      </c>
      <c r="J12608" t="s">
        <v>40576</v>
      </c>
      <c r="K12608" t="s">
        <v>42631</v>
      </c>
      <c r="M12608" t="s">
        <v>46796</v>
      </c>
      <c r="N12608" t="s">
        <v>47304</v>
      </c>
      <c r="O12608" t="s">
        <v>47305</v>
      </c>
      <c r="P12608">
        <v>0</v>
      </c>
      <c r="Q12608">
        <v>8</v>
      </c>
      <c r="R12608" t="s">
        <v>47319</v>
      </c>
      <c r="S12608" t="s">
        <v>47813</v>
      </c>
      <c r="T12608" t="s">
        <v>49148</v>
      </c>
      <c r="U12608" t="s">
        <v>59959</v>
      </c>
      <c r="W12608" t="s">
        <v>46796</v>
      </c>
      <c r="X12608" t="s">
        <v>47320</v>
      </c>
    </row>
    <row r="12609" spans="1:24">
      <c r="A12609">
        <f>HYPERLINK("https://www.philgeps.gov.ph/GEPSNONPILOT/Tender/SplashBidNoticeAbstractUI.aspx?menuIndex=3&amp;refID=7172443&amp;Result=3","7172443")</f>
        <v>0</v>
      </c>
      <c r="B12609" t="s">
        <v>395</v>
      </c>
      <c r="C12609" t="s">
        <v>15775</v>
      </c>
      <c r="D12609" t="s">
        <v>18997</v>
      </c>
      <c r="E12609" t="s">
        <v>29799</v>
      </c>
      <c r="F12609" t="s">
        <v>32606</v>
      </c>
      <c r="G12609" t="s">
        <v>32613</v>
      </c>
      <c r="H12609" t="s">
        <v>14201</v>
      </c>
      <c r="I12609" t="s">
        <v>32650</v>
      </c>
      <c r="J12609" t="s">
        <v>33123</v>
      </c>
      <c r="K12609" t="s">
        <v>42631</v>
      </c>
      <c r="M12609" t="s">
        <v>43298</v>
      </c>
      <c r="N12609" t="s">
        <v>47304</v>
      </c>
      <c r="O12609" t="s">
        <v>47305</v>
      </c>
      <c r="P12609">
        <v>0</v>
      </c>
      <c r="Q12609">
        <v>1</v>
      </c>
      <c r="R12609" t="s">
        <v>47319</v>
      </c>
      <c r="S12609" t="s">
        <v>47813</v>
      </c>
      <c r="T12609" t="s">
        <v>49476</v>
      </c>
      <c r="U12609" t="s">
        <v>59960</v>
      </c>
      <c r="V12609" t="s">
        <v>64015</v>
      </c>
      <c r="W12609" t="s">
        <v>43298</v>
      </c>
      <c r="X12609" t="s">
        <v>47320</v>
      </c>
    </row>
    <row r="12610" spans="1:24">
      <c r="A12610">
        <f>HYPERLINK("https://www.philgeps.gov.ph/GEPSNONPILOT/Tender/SplashBidNoticeAbstractUI.aspx?menuIndex=3&amp;refID=7172398&amp;Result=3","7172398")</f>
        <v>0</v>
      </c>
      <c r="B12610" t="s">
        <v>2356</v>
      </c>
      <c r="C12610" t="s">
        <v>15776</v>
      </c>
      <c r="D12610" t="s">
        <v>19014</v>
      </c>
      <c r="E12610" t="s">
        <v>29800</v>
      </c>
      <c r="F12610" t="s">
        <v>32606</v>
      </c>
      <c r="G12610" t="s">
        <v>32613</v>
      </c>
      <c r="H12610" t="s">
        <v>32623</v>
      </c>
      <c r="I12610" t="s">
        <v>17648</v>
      </c>
      <c r="J12610" t="s">
        <v>40577</v>
      </c>
      <c r="K12610" t="s">
        <v>42645</v>
      </c>
      <c r="M12610" t="s">
        <v>45468</v>
      </c>
      <c r="N12610" t="s">
        <v>47304</v>
      </c>
      <c r="O12610" t="s">
        <v>47305</v>
      </c>
      <c r="P12610">
        <v>0</v>
      </c>
      <c r="Q12610">
        <v>34</v>
      </c>
      <c r="R12610" t="s">
        <v>47319</v>
      </c>
      <c r="S12610" t="s">
        <v>47813</v>
      </c>
      <c r="T12610" t="s">
        <v>48986</v>
      </c>
      <c r="U12610" t="s">
        <v>59961</v>
      </c>
      <c r="V12610" t="s">
        <v>63367</v>
      </c>
      <c r="W12610" t="s">
        <v>45468</v>
      </c>
      <c r="X12610" t="s">
        <v>47320</v>
      </c>
    </row>
    <row r="12611" spans="1:24">
      <c r="A12611">
        <f>HYPERLINK("https://www.philgeps.gov.ph/GEPSNONPILOT/Tender/SplashBidNoticeAbstractUI.aspx?menuIndex=3&amp;refID=7172308&amp;Result=3","7172308")</f>
        <v>0</v>
      </c>
      <c r="B12611" t="s">
        <v>644</v>
      </c>
      <c r="C12611" t="s">
        <v>15777</v>
      </c>
      <c r="E12611" t="s">
        <v>29801</v>
      </c>
      <c r="F12611" t="s">
        <v>32606</v>
      </c>
      <c r="G12611" t="s">
        <v>32613</v>
      </c>
      <c r="H12611" t="s">
        <v>14201</v>
      </c>
      <c r="I12611" t="s">
        <v>6931</v>
      </c>
      <c r="J12611" t="s">
        <v>40578</v>
      </c>
      <c r="K12611" t="s">
        <v>42624</v>
      </c>
      <c r="M12611" t="s">
        <v>43562</v>
      </c>
      <c r="N12611" t="s">
        <v>47304</v>
      </c>
      <c r="O12611" t="s">
        <v>47305</v>
      </c>
      <c r="P12611">
        <v>0</v>
      </c>
      <c r="Q12611">
        <v>3</v>
      </c>
      <c r="R12611" t="s">
        <v>47319</v>
      </c>
      <c r="S12611" t="s">
        <v>47813</v>
      </c>
      <c r="T12611" t="s">
        <v>49163</v>
      </c>
      <c r="U12611" t="s">
        <v>59962</v>
      </c>
      <c r="W12611" t="s">
        <v>43562</v>
      </c>
      <c r="X12611" t="s">
        <v>47320</v>
      </c>
    </row>
    <row r="12612" spans="1:24">
      <c r="A12612">
        <f>HYPERLINK("https://www.philgeps.gov.ph/GEPSNONPILOT/Tender/SplashBidNoticeAbstractUI.aspx?menuIndex=3&amp;refID=7172394&amp;Result=3","7172394")</f>
        <v>0</v>
      </c>
      <c r="B12612" t="s">
        <v>1472</v>
      </c>
      <c r="C12612" t="s">
        <v>15778</v>
      </c>
      <c r="D12612" t="s">
        <v>19022</v>
      </c>
      <c r="E12612" t="s">
        <v>29802</v>
      </c>
      <c r="F12612" t="s">
        <v>32606</v>
      </c>
      <c r="G12612" t="s">
        <v>32613</v>
      </c>
      <c r="H12612" t="s">
        <v>32623</v>
      </c>
      <c r="I12612" t="s">
        <v>17648</v>
      </c>
      <c r="J12612" t="s">
        <v>40579</v>
      </c>
      <c r="K12612" t="s">
        <v>42646</v>
      </c>
      <c r="M12612" t="s">
        <v>44466</v>
      </c>
      <c r="N12612" t="s">
        <v>47304</v>
      </c>
      <c r="O12612" t="s">
        <v>47305</v>
      </c>
      <c r="P12612">
        <v>0</v>
      </c>
      <c r="Q12612">
        <v>2</v>
      </c>
      <c r="R12612" t="s">
        <v>47319</v>
      </c>
      <c r="S12612" t="s">
        <v>47813</v>
      </c>
      <c r="T12612" t="s">
        <v>49040</v>
      </c>
      <c r="U12612" t="s">
        <v>59963</v>
      </c>
      <c r="W12612" t="s">
        <v>44466</v>
      </c>
      <c r="X12612" t="s">
        <v>47320</v>
      </c>
    </row>
    <row r="12613" spans="1:24">
      <c r="A12613">
        <f>HYPERLINK("https://www.philgeps.gov.ph/GEPSNONPILOT/Tender/SplashBidNoticeAbstractUI.aspx?menuIndex=3&amp;refID=7172408&amp;Result=3","7172408")</f>
        <v>0</v>
      </c>
      <c r="B12613" t="s">
        <v>1625</v>
      </c>
      <c r="C12613" t="s">
        <v>15779</v>
      </c>
      <c r="D12613" t="s">
        <v>19034</v>
      </c>
      <c r="E12613" t="s">
        <v>29803</v>
      </c>
      <c r="F12613" t="s">
        <v>32606</v>
      </c>
      <c r="G12613" t="s">
        <v>32613</v>
      </c>
      <c r="H12613" t="s">
        <v>14201</v>
      </c>
      <c r="I12613" t="s">
        <v>6931</v>
      </c>
      <c r="J12613" t="s">
        <v>40580</v>
      </c>
      <c r="K12613" t="s">
        <v>42631</v>
      </c>
      <c r="M12613" t="s">
        <v>44645</v>
      </c>
      <c r="N12613" t="s">
        <v>47304</v>
      </c>
      <c r="O12613" t="s">
        <v>47305</v>
      </c>
      <c r="P12613">
        <v>0</v>
      </c>
      <c r="Q12613">
        <v>1</v>
      </c>
      <c r="R12613" t="s">
        <v>47319</v>
      </c>
      <c r="S12613" t="s">
        <v>47813</v>
      </c>
      <c r="T12613" t="s">
        <v>48986</v>
      </c>
      <c r="U12613" t="s">
        <v>53207</v>
      </c>
      <c r="W12613" t="s">
        <v>44645</v>
      </c>
      <c r="X12613" t="s">
        <v>47320</v>
      </c>
    </row>
    <row r="12614" spans="1:24">
      <c r="A12614">
        <f>HYPERLINK("https://www.philgeps.gov.ph/GEPSNONPILOT/Tender/SplashBidNoticeAbstractUI.aspx?menuIndex=3&amp;refID=7172393&amp;Result=3","7172393")</f>
        <v>0</v>
      </c>
      <c r="B12614" t="s">
        <v>644</v>
      </c>
      <c r="C12614" t="s">
        <v>15780</v>
      </c>
      <c r="E12614" t="s">
        <v>29804</v>
      </c>
      <c r="F12614" t="s">
        <v>32606</v>
      </c>
      <c r="G12614" t="s">
        <v>32613</v>
      </c>
      <c r="H12614" t="s">
        <v>14201</v>
      </c>
      <c r="I12614" t="s">
        <v>4120</v>
      </c>
      <c r="J12614" t="s">
        <v>40581</v>
      </c>
      <c r="K12614" t="s">
        <v>42624</v>
      </c>
      <c r="M12614" t="s">
        <v>43562</v>
      </c>
      <c r="N12614" t="s">
        <v>47304</v>
      </c>
      <c r="O12614" t="s">
        <v>47305</v>
      </c>
      <c r="P12614">
        <v>0</v>
      </c>
      <c r="Q12614">
        <v>3</v>
      </c>
      <c r="R12614" t="s">
        <v>47319</v>
      </c>
      <c r="S12614" t="s">
        <v>47813</v>
      </c>
      <c r="T12614" t="s">
        <v>49163</v>
      </c>
      <c r="U12614" t="s">
        <v>59964</v>
      </c>
      <c r="W12614" t="s">
        <v>43562</v>
      </c>
      <c r="X12614" t="s">
        <v>47320</v>
      </c>
    </row>
    <row r="12615" spans="1:24">
      <c r="A12615">
        <f>HYPERLINK("https://www.philgeps.gov.ph/GEPSNONPILOT/Tender/SplashBidNoticeAbstractUI.aspx?menuIndex=3&amp;refID=7172442&amp;Result=3","7172442")</f>
        <v>0</v>
      </c>
      <c r="B12615" t="s">
        <v>534</v>
      </c>
      <c r="C12615" t="s">
        <v>11776</v>
      </c>
      <c r="D12615" t="s">
        <v>19006</v>
      </c>
      <c r="E12615" t="s">
        <v>29805</v>
      </c>
      <c r="F12615" t="s">
        <v>32606</v>
      </c>
      <c r="G12615" t="s">
        <v>32613</v>
      </c>
      <c r="H12615" t="s">
        <v>14201</v>
      </c>
      <c r="I12615" t="s">
        <v>7677</v>
      </c>
      <c r="J12615" t="s">
        <v>40582</v>
      </c>
      <c r="K12615" t="s">
        <v>42622</v>
      </c>
      <c r="M12615" t="s">
        <v>43447</v>
      </c>
      <c r="N12615" t="s">
        <v>47304</v>
      </c>
      <c r="O12615" t="s">
        <v>47305</v>
      </c>
      <c r="P12615">
        <v>0</v>
      </c>
      <c r="Q12615">
        <v>4</v>
      </c>
      <c r="R12615" t="s">
        <v>47319</v>
      </c>
      <c r="S12615" t="s">
        <v>47813</v>
      </c>
      <c r="T12615" t="s">
        <v>49066</v>
      </c>
      <c r="U12615" t="s">
        <v>59965</v>
      </c>
      <c r="W12615" t="s">
        <v>43447</v>
      </c>
      <c r="X12615" t="s">
        <v>47320</v>
      </c>
    </row>
    <row r="12616" spans="1:24">
      <c r="A12616">
        <f>HYPERLINK("https://www.philgeps.gov.ph/GEPSNONPILOT/Tender/SplashBidNoticeAbstractUI.aspx?menuIndex=3&amp;refID=7172410&amp;Result=3","7172410")</f>
        <v>0</v>
      </c>
      <c r="B12616" t="s">
        <v>726</v>
      </c>
      <c r="C12616" t="s">
        <v>15781</v>
      </c>
      <c r="D12616" t="s">
        <v>19009</v>
      </c>
      <c r="E12616" t="s">
        <v>29806</v>
      </c>
      <c r="F12616" t="s">
        <v>32606</v>
      </c>
      <c r="G12616" t="s">
        <v>32613</v>
      </c>
      <c r="H12616" t="s">
        <v>32623</v>
      </c>
      <c r="I12616" t="s">
        <v>17648</v>
      </c>
      <c r="J12616" t="s">
        <v>40583</v>
      </c>
      <c r="K12616" t="s">
        <v>42636</v>
      </c>
      <c r="M12616" t="s">
        <v>46187</v>
      </c>
      <c r="N12616" t="s">
        <v>47304</v>
      </c>
      <c r="O12616" t="s">
        <v>47305</v>
      </c>
      <c r="P12616">
        <v>0</v>
      </c>
      <c r="Q12616">
        <v>0</v>
      </c>
      <c r="R12616" t="s">
        <v>47319</v>
      </c>
      <c r="S12616" t="s">
        <v>47813</v>
      </c>
      <c r="T12616" t="s">
        <v>48987</v>
      </c>
      <c r="U12616" t="s">
        <v>59966</v>
      </c>
      <c r="V12616" t="s">
        <v>64016</v>
      </c>
      <c r="W12616" t="s">
        <v>46187</v>
      </c>
      <c r="X12616" t="s">
        <v>47320</v>
      </c>
    </row>
    <row r="12617" spans="1:24">
      <c r="A12617">
        <f>HYPERLINK("https://www.philgeps.gov.ph/GEPSNONPILOT/Tender/SplashBidNoticeAbstractUI.aspx?menuIndex=3&amp;refID=7172380&amp;Result=3","7172380")</f>
        <v>0</v>
      </c>
      <c r="B12617" t="s">
        <v>3013</v>
      </c>
      <c r="C12617" t="s">
        <v>15782</v>
      </c>
      <c r="E12617" t="s">
        <v>29807</v>
      </c>
      <c r="F12617" t="s">
        <v>32606</v>
      </c>
      <c r="G12617" t="s">
        <v>32613</v>
      </c>
      <c r="H12617" t="s">
        <v>32623</v>
      </c>
      <c r="I12617" t="s">
        <v>17648</v>
      </c>
      <c r="J12617" t="s">
        <v>40584</v>
      </c>
      <c r="K12617" t="s">
        <v>42624</v>
      </c>
      <c r="M12617" t="s">
        <v>46204</v>
      </c>
      <c r="N12617" t="s">
        <v>47304</v>
      </c>
      <c r="O12617" t="s">
        <v>47305</v>
      </c>
      <c r="P12617">
        <v>0</v>
      </c>
      <c r="Q12617">
        <v>4</v>
      </c>
      <c r="R12617" t="s">
        <v>47319</v>
      </c>
      <c r="S12617" t="s">
        <v>47813</v>
      </c>
      <c r="T12617" t="s">
        <v>48986</v>
      </c>
      <c r="U12617" t="s">
        <v>59967</v>
      </c>
      <c r="V12617" t="s">
        <v>64017</v>
      </c>
      <c r="W12617" t="s">
        <v>46204</v>
      </c>
      <c r="X12617" t="s">
        <v>47320</v>
      </c>
    </row>
    <row r="12618" spans="1:24">
      <c r="A12618">
        <f>HYPERLINK("https://www.philgeps.gov.ph/GEPSNONPILOT/Tender/SplashBidNoticeAbstractUI.aspx?menuIndex=3&amp;refID=7172444&amp;Result=3","7172444")</f>
        <v>0</v>
      </c>
      <c r="B12618" t="s">
        <v>1586</v>
      </c>
      <c r="C12618" t="s">
        <v>15783</v>
      </c>
      <c r="D12618" t="s">
        <v>19038</v>
      </c>
      <c r="E12618" t="s">
        <v>29808</v>
      </c>
      <c r="F12618" t="s">
        <v>32606</v>
      </c>
      <c r="G12618" t="s">
        <v>32613</v>
      </c>
      <c r="H12618" t="s">
        <v>32623</v>
      </c>
      <c r="I12618" t="s">
        <v>17648</v>
      </c>
      <c r="J12618" t="s">
        <v>40585</v>
      </c>
      <c r="K12618" t="s">
        <v>42648</v>
      </c>
      <c r="M12618" t="s">
        <v>44599</v>
      </c>
      <c r="N12618" t="s">
        <v>47304</v>
      </c>
      <c r="O12618" t="s">
        <v>47305</v>
      </c>
      <c r="P12618">
        <v>0</v>
      </c>
      <c r="Q12618">
        <v>2</v>
      </c>
      <c r="R12618" t="s">
        <v>47319</v>
      </c>
      <c r="S12618" t="s">
        <v>47813</v>
      </c>
      <c r="T12618" t="s">
        <v>49188</v>
      </c>
      <c r="U12618" t="s">
        <v>59968</v>
      </c>
      <c r="W12618" t="s">
        <v>44599</v>
      </c>
      <c r="X12618" t="s">
        <v>47320</v>
      </c>
    </row>
    <row r="12619" spans="1:24">
      <c r="A12619">
        <f>HYPERLINK("https://www.philgeps.gov.ph/GEPSNONPILOT/Tender/SplashBidNoticeAbstractUI.aspx?menuIndex=3&amp;refID=7172379&amp;Result=3","7172379")</f>
        <v>0</v>
      </c>
      <c r="B12619" t="s">
        <v>3041</v>
      </c>
      <c r="C12619" t="s">
        <v>15784</v>
      </c>
      <c r="D12619" t="s">
        <v>19060</v>
      </c>
      <c r="E12619" t="s">
        <v>29809</v>
      </c>
      <c r="F12619" t="s">
        <v>32610</v>
      </c>
      <c r="G12619" t="s">
        <v>32613</v>
      </c>
      <c r="H12619" t="s">
        <v>32623</v>
      </c>
      <c r="I12619" t="s">
        <v>17648</v>
      </c>
      <c r="J12619" t="s">
        <v>40586</v>
      </c>
      <c r="K12619" t="s">
        <v>42624</v>
      </c>
      <c r="M12619" t="s">
        <v>46235</v>
      </c>
      <c r="N12619" t="s">
        <v>47304</v>
      </c>
      <c r="O12619" t="s">
        <v>47305</v>
      </c>
      <c r="Q12619">
        <v>0</v>
      </c>
      <c r="R12619" t="s">
        <v>47319</v>
      </c>
      <c r="S12619" t="s">
        <v>47862</v>
      </c>
      <c r="T12619" t="s">
        <v>49023</v>
      </c>
      <c r="U12619" t="s">
        <v>59969</v>
      </c>
      <c r="W12619" t="s">
        <v>46235</v>
      </c>
      <c r="X12619" t="s">
        <v>47320</v>
      </c>
    </row>
    <row r="12620" spans="1:24">
      <c r="A12620">
        <f>HYPERLINK("https://www.philgeps.gov.ph/GEPSNONPILOT/Tender/SplashBidNoticeAbstractUI.aspx?menuIndex=3&amp;refID=7172375&amp;Result=3","7172375")</f>
        <v>0</v>
      </c>
      <c r="B12620" t="s">
        <v>3526</v>
      </c>
      <c r="C12620" t="s">
        <v>15785</v>
      </c>
      <c r="D12620" t="s">
        <v>19001</v>
      </c>
      <c r="E12620" t="s">
        <v>29810</v>
      </c>
      <c r="F12620" t="s">
        <v>32606</v>
      </c>
      <c r="G12620" t="s">
        <v>32613</v>
      </c>
      <c r="H12620" t="s">
        <v>32623</v>
      </c>
      <c r="I12620" t="s">
        <v>17648</v>
      </c>
      <c r="J12620" t="s">
        <v>40587</v>
      </c>
      <c r="K12620" t="s">
        <v>42645</v>
      </c>
      <c r="M12620" t="s">
        <v>46797</v>
      </c>
      <c r="N12620" t="s">
        <v>47304</v>
      </c>
      <c r="O12620" t="s">
        <v>47305</v>
      </c>
      <c r="P12620">
        <v>0</v>
      </c>
      <c r="Q12620">
        <v>0</v>
      </c>
      <c r="R12620" t="s">
        <v>47319</v>
      </c>
      <c r="S12620" t="s">
        <v>47813</v>
      </c>
      <c r="T12620" t="s">
        <v>48996</v>
      </c>
      <c r="U12620" t="s">
        <v>59970</v>
      </c>
      <c r="W12620" t="s">
        <v>46797</v>
      </c>
      <c r="X12620" t="s">
        <v>47320</v>
      </c>
    </row>
    <row r="12621" spans="1:24">
      <c r="A12621">
        <f>HYPERLINK("https://www.philgeps.gov.ph/GEPSNONPILOT/Tender/SplashBidNoticeAbstractUI.aspx?menuIndex=3&amp;refID=7172569&amp;Result=3","7172569")</f>
        <v>0</v>
      </c>
      <c r="B12621" t="s">
        <v>2326</v>
      </c>
      <c r="C12621" t="s">
        <v>15786</v>
      </c>
      <c r="E12621" t="s">
        <v>29811</v>
      </c>
      <c r="F12621" t="s">
        <v>32606</v>
      </c>
      <c r="G12621" t="s">
        <v>32613</v>
      </c>
      <c r="H12621" t="s">
        <v>14201</v>
      </c>
      <c r="I12621" t="s">
        <v>6931</v>
      </c>
      <c r="J12621" t="s">
        <v>40588</v>
      </c>
      <c r="K12621" t="s">
        <v>42624</v>
      </c>
      <c r="M12621" t="s">
        <v>45434</v>
      </c>
      <c r="N12621" t="s">
        <v>47304</v>
      </c>
      <c r="O12621" t="s">
        <v>47305</v>
      </c>
      <c r="P12621">
        <v>0</v>
      </c>
      <c r="Q12621">
        <v>2</v>
      </c>
      <c r="R12621" t="s">
        <v>47319</v>
      </c>
      <c r="S12621" t="s">
        <v>47813</v>
      </c>
      <c r="T12621" t="s">
        <v>48996</v>
      </c>
      <c r="U12621" t="s">
        <v>59971</v>
      </c>
      <c r="V12621" t="s">
        <v>64018</v>
      </c>
      <c r="W12621" t="s">
        <v>45434</v>
      </c>
      <c r="X12621" t="s">
        <v>47320</v>
      </c>
    </row>
    <row r="12622" spans="1:24">
      <c r="A12622">
        <f>HYPERLINK("https://www.philgeps.gov.ph/GEPSNONPILOT/Tender/SplashBidNoticeAbstractUI.aspx?menuIndex=3&amp;refID=7172381&amp;Result=3","7172381")</f>
        <v>0</v>
      </c>
      <c r="B12622" t="s">
        <v>2573</v>
      </c>
      <c r="C12622" t="s">
        <v>15787</v>
      </c>
      <c r="D12622" t="s">
        <v>18994</v>
      </c>
      <c r="E12622" t="s">
        <v>29812</v>
      </c>
      <c r="F12622" t="s">
        <v>32606</v>
      </c>
      <c r="G12622" t="s">
        <v>32613</v>
      </c>
      <c r="H12622" t="s">
        <v>32623</v>
      </c>
      <c r="I12622" t="s">
        <v>17648</v>
      </c>
      <c r="J12622" t="s">
        <v>33735</v>
      </c>
      <c r="K12622" t="s">
        <v>42648</v>
      </c>
      <c r="M12622" t="s">
        <v>46798</v>
      </c>
      <c r="N12622" t="s">
        <v>47304</v>
      </c>
      <c r="O12622" t="s">
        <v>47305</v>
      </c>
      <c r="P12622">
        <v>0</v>
      </c>
      <c r="Q12622">
        <v>0</v>
      </c>
      <c r="R12622" t="s">
        <v>47319</v>
      </c>
      <c r="S12622" t="s">
        <v>47813</v>
      </c>
      <c r="T12622" t="s">
        <v>49016</v>
      </c>
      <c r="U12622" t="s">
        <v>56300</v>
      </c>
      <c r="W12622" t="s">
        <v>46798</v>
      </c>
      <c r="X12622" t="s">
        <v>47320</v>
      </c>
    </row>
    <row r="12623" spans="1:24">
      <c r="A12623">
        <f>HYPERLINK("https://www.philgeps.gov.ph/GEPSNONPILOT/Tender/SplashBidNoticeAbstractUI.aspx?menuIndex=3&amp;refID=7172568&amp;Result=3","7172568")</f>
        <v>0</v>
      </c>
      <c r="B12623" t="s">
        <v>2155</v>
      </c>
      <c r="C12623" t="s">
        <v>15788</v>
      </c>
      <c r="D12623" t="s">
        <v>19011</v>
      </c>
      <c r="E12623" t="s">
        <v>29813</v>
      </c>
      <c r="F12623" t="s">
        <v>32606</v>
      </c>
      <c r="G12623" t="s">
        <v>32613</v>
      </c>
      <c r="H12623" t="s">
        <v>32623</v>
      </c>
      <c r="I12623" t="s">
        <v>17648</v>
      </c>
      <c r="J12623" t="s">
        <v>40589</v>
      </c>
      <c r="K12623" t="s">
        <v>42759</v>
      </c>
      <c r="M12623" t="s">
        <v>45246</v>
      </c>
      <c r="N12623" t="s">
        <v>47304</v>
      </c>
      <c r="O12623" t="s">
        <v>47305</v>
      </c>
      <c r="P12623">
        <v>0</v>
      </c>
      <c r="Q12623">
        <v>0</v>
      </c>
      <c r="R12623" t="s">
        <v>47319</v>
      </c>
      <c r="S12623" t="s">
        <v>47813</v>
      </c>
      <c r="T12623" t="s">
        <v>49188</v>
      </c>
      <c r="U12623" t="s">
        <v>54912</v>
      </c>
      <c r="V12623" t="s">
        <v>63264</v>
      </c>
      <c r="W12623" t="s">
        <v>45246</v>
      </c>
      <c r="X12623" t="s">
        <v>47320</v>
      </c>
    </row>
    <row r="12624" spans="1:24">
      <c r="A12624">
        <f>HYPERLINK("https://www.philgeps.gov.ph/GEPSNONPILOT/Tender/SplashBidNoticeAbstractUI.aspx?menuIndex=3&amp;refID=7172561&amp;Result=3","7172561")</f>
        <v>0</v>
      </c>
      <c r="B12624" t="s">
        <v>726</v>
      </c>
      <c r="C12624" t="s">
        <v>15789</v>
      </c>
      <c r="D12624" t="s">
        <v>19009</v>
      </c>
      <c r="E12624" t="s">
        <v>29814</v>
      </c>
      <c r="F12624" t="s">
        <v>32606</v>
      </c>
      <c r="G12624" t="s">
        <v>32613</v>
      </c>
      <c r="H12624" t="s">
        <v>32623</v>
      </c>
      <c r="I12624" t="s">
        <v>17648</v>
      </c>
      <c r="J12624" t="s">
        <v>40590</v>
      </c>
      <c r="K12624" t="s">
        <v>42649</v>
      </c>
      <c r="M12624" t="s">
        <v>46187</v>
      </c>
      <c r="N12624" t="s">
        <v>47304</v>
      </c>
      <c r="O12624" t="s">
        <v>47305</v>
      </c>
      <c r="P12624">
        <v>0</v>
      </c>
      <c r="Q12624">
        <v>0</v>
      </c>
      <c r="R12624" t="s">
        <v>47319</v>
      </c>
      <c r="S12624" t="s">
        <v>47813</v>
      </c>
      <c r="T12624" t="s">
        <v>48987</v>
      </c>
      <c r="U12624" t="s">
        <v>59972</v>
      </c>
      <c r="V12624" t="s">
        <v>64019</v>
      </c>
      <c r="W12624" t="s">
        <v>46187</v>
      </c>
      <c r="X12624" t="s">
        <v>47320</v>
      </c>
    </row>
    <row r="12625" spans="1:24">
      <c r="A12625">
        <f>HYPERLINK("https://www.philgeps.gov.ph/GEPSNONPILOT/Tender/SplashBidNoticeAbstractUI.aspx?menuIndex=3&amp;refID=7172544&amp;Result=3","7172544")</f>
        <v>0</v>
      </c>
      <c r="B12625" t="s">
        <v>3527</v>
      </c>
      <c r="C12625" t="s">
        <v>15790</v>
      </c>
      <c r="D12625" t="s">
        <v>19000</v>
      </c>
      <c r="E12625" t="s">
        <v>29815</v>
      </c>
      <c r="F12625" t="s">
        <v>32606</v>
      </c>
      <c r="G12625" t="s">
        <v>32617</v>
      </c>
      <c r="H12625" t="s">
        <v>14201</v>
      </c>
      <c r="I12625" t="s">
        <v>32691</v>
      </c>
      <c r="J12625" t="s">
        <v>32781</v>
      </c>
      <c r="K12625" t="s">
        <v>42677</v>
      </c>
      <c r="M12625" t="s">
        <v>46799</v>
      </c>
      <c r="N12625" t="s">
        <v>47304</v>
      </c>
      <c r="O12625" t="s">
        <v>47305</v>
      </c>
      <c r="P12625">
        <v>0</v>
      </c>
      <c r="Q12625">
        <v>9</v>
      </c>
      <c r="R12625" t="s">
        <v>47319</v>
      </c>
      <c r="S12625" t="s">
        <v>47813</v>
      </c>
      <c r="T12625" t="s">
        <v>49144</v>
      </c>
      <c r="U12625" t="s">
        <v>59973</v>
      </c>
      <c r="W12625" t="s">
        <v>46799</v>
      </c>
      <c r="X12625" t="s">
        <v>47320</v>
      </c>
    </row>
    <row r="12626" spans="1:24">
      <c r="A12626">
        <f>HYPERLINK("https://www.philgeps.gov.ph/GEPSNONPILOT/Tender/SplashBidNoticeAbstractUI.aspx?menuIndex=3&amp;refID=7172447&amp;Result=3","7172447")</f>
        <v>0</v>
      </c>
      <c r="B12626" t="s">
        <v>2708</v>
      </c>
      <c r="C12626" t="s">
        <v>15791</v>
      </c>
      <c r="D12626" t="s">
        <v>19058</v>
      </c>
      <c r="E12626" t="s">
        <v>29816</v>
      </c>
      <c r="F12626" t="s">
        <v>32606</v>
      </c>
      <c r="G12626" t="s">
        <v>32613</v>
      </c>
      <c r="H12626" t="s">
        <v>32623</v>
      </c>
      <c r="I12626" t="s">
        <v>17648</v>
      </c>
      <c r="J12626" t="s">
        <v>32770</v>
      </c>
      <c r="K12626" t="s">
        <v>42627</v>
      </c>
      <c r="M12626" t="s">
        <v>45861</v>
      </c>
      <c r="N12626" t="s">
        <v>47304</v>
      </c>
      <c r="O12626" t="s">
        <v>47305</v>
      </c>
      <c r="Q12626">
        <v>1</v>
      </c>
      <c r="R12626" t="s">
        <v>47319</v>
      </c>
      <c r="S12626" t="s">
        <v>47863</v>
      </c>
      <c r="T12626" t="s">
        <v>48988</v>
      </c>
      <c r="U12626" t="s">
        <v>56608</v>
      </c>
      <c r="W12626" t="s">
        <v>45861</v>
      </c>
      <c r="X12626" t="s">
        <v>47320</v>
      </c>
    </row>
    <row r="12627" spans="1:24">
      <c r="A12627">
        <f>HYPERLINK("https://www.philgeps.gov.ph/GEPSNONPILOT/Tender/SplashBidNoticeAbstractUI.aspx?menuIndex=3&amp;refID=7172383&amp;Result=3","7172383")</f>
        <v>0</v>
      </c>
      <c r="B12627" t="s">
        <v>2326</v>
      </c>
      <c r="C12627" t="s">
        <v>15792</v>
      </c>
      <c r="E12627" t="s">
        <v>29817</v>
      </c>
      <c r="F12627" t="s">
        <v>32606</v>
      </c>
      <c r="G12627" t="s">
        <v>32613</v>
      </c>
      <c r="H12627" t="s">
        <v>14201</v>
      </c>
      <c r="I12627" t="s">
        <v>9008</v>
      </c>
      <c r="J12627" t="s">
        <v>40591</v>
      </c>
      <c r="K12627" t="s">
        <v>42624</v>
      </c>
      <c r="M12627" t="s">
        <v>45434</v>
      </c>
      <c r="N12627" t="s">
        <v>47304</v>
      </c>
      <c r="O12627" t="s">
        <v>47305</v>
      </c>
      <c r="P12627">
        <v>0</v>
      </c>
      <c r="Q12627">
        <v>5</v>
      </c>
      <c r="R12627" t="s">
        <v>47319</v>
      </c>
      <c r="S12627" t="s">
        <v>47813</v>
      </c>
      <c r="T12627" t="s">
        <v>48996</v>
      </c>
      <c r="U12627" t="s">
        <v>59974</v>
      </c>
      <c r="W12627" t="s">
        <v>45434</v>
      </c>
      <c r="X12627" t="s">
        <v>47320</v>
      </c>
    </row>
    <row r="12628" spans="1:24">
      <c r="A12628">
        <f>HYPERLINK("https://www.philgeps.gov.ph/GEPSNONPILOT/Tender/SplashBidNoticeAbstractUI.aspx?menuIndex=3&amp;refID=7172522&amp;Result=3","7172522")</f>
        <v>0</v>
      </c>
      <c r="B12628" t="s">
        <v>2326</v>
      </c>
      <c r="C12628" t="s">
        <v>15793</v>
      </c>
      <c r="E12628" t="s">
        <v>29818</v>
      </c>
      <c r="F12628" t="s">
        <v>32606</v>
      </c>
      <c r="G12628" t="s">
        <v>32613</v>
      </c>
      <c r="H12628" t="s">
        <v>14201</v>
      </c>
      <c r="I12628" t="s">
        <v>4369</v>
      </c>
      <c r="J12628" t="s">
        <v>40592</v>
      </c>
      <c r="K12628" t="s">
        <v>42624</v>
      </c>
      <c r="M12628" t="s">
        <v>45434</v>
      </c>
      <c r="N12628" t="s">
        <v>47304</v>
      </c>
      <c r="O12628" t="s">
        <v>47305</v>
      </c>
      <c r="Q12628">
        <v>6</v>
      </c>
      <c r="R12628" t="s">
        <v>47319</v>
      </c>
      <c r="S12628" t="s">
        <v>47864</v>
      </c>
      <c r="T12628" t="s">
        <v>48996</v>
      </c>
      <c r="U12628" t="s">
        <v>59975</v>
      </c>
      <c r="W12628" t="s">
        <v>45434</v>
      </c>
      <c r="X12628" t="s">
        <v>47320</v>
      </c>
    </row>
    <row r="12629" spans="1:24">
      <c r="A12629">
        <f>HYPERLINK("https://www.philgeps.gov.ph/GEPSNONPILOT/Tender/SplashBidNoticeAbstractUI.aspx?menuIndex=3&amp;refID=7172051&amp;Result=3","7172051")</f>
        <v>0</v>
      </c>
      <c r="B12629" t="s">
        <v>3528</v>
      </c>
      <c r="C12629" t="s">
        <v>15794</v>
      </c>
      <c r="D12629" t="s">
        <v>19016</v>
      </c>
      <c r="E12629" t="s">
        <v>19315</v>
      </c>
      <c r="F12629" t="s">
        <v>32606</v>
      </c>
      <c r="G12629" t="s">
        <v>32613</v>
      </c>
      <c r="H12629" t="s">
        <v>14201</v>
      </c>
      <c r="I12629" t="s">
        <v>32631</v>
      </c>
      <c r="J12629" t="s">
        <v>40593</v>
      </c>
      <c r="K12629" t="s">
        <v>42623</v>
      </c>
      <c r="M12629" t="s">
        <v>46800</v>
      </c>
      <c r="N12629" t="s">
        <v>47304</v>
      </c>
      <c r="O12629" t="s">
        <v>47305</v>
      </c>
      <c r="P12629">
        <v>0</v>
      </c>
      <c r="Q12629">
        <v>1</v>
      </c>
      <c r="R12629" t="s">
        <v>47319</v>
      </c>
      <c r="S12629" t="s">
        <v>47813</v>
      </c>
      <c r="T12629" t="s">
        <v>48998</v>
      </c>
      <c r="U12629" t="s">
        <v>59976</v>
      </c>
      <c r="W12629" t="s">
        <v>46800</v>
      </c>
      <c r="X12629" t="s">
        <v>47320</v>
      </c>
    </row>
    <row r="12630" spans="1:24">
      <c r="A12630">
        <f>HYPERLINK("https://www.philgeps.gov.ph/GEPSNONPILOT/Tender/SplashBidNoticeAbstractUI.aspx?menuIndex=3&amp;refID=7172509&amp;Result=3","7172509")</f>
        <v>0</v>
      </c>
      <c r="B12630" t="s">
        <v>2325</v>
      </c>
      <c r="C12630" t="s">
        <v>15795</v>
      </c>
      <c r="D12630" t="s">
        <v>18991</v>
      </c>
      <c r="E12630" t="s">
        <v>29819</v>
      </c>
      <c r="F12630" t="s">
        <v>32606</v>
      </c>
      <c r="G12630" t="s">
        <v>32613</v>
      </c>
      <c r="H12630" t="s">
        <v>14201</v>
      </c>
      <c r="I12630" t="s">
        <v>7677</v>
      </c>
      <c r="J12630" t="s">
        <v>32772</v>
      </c>
      <c r="K12630" t="s">
        <v>42624</v>
      </c>
      <c r="M12630" t="s">
        <v>45433</v>
      </c>
      <c r="N12630" t="s">
        <v>47304</v>
      </c>
      <c r="O12630" t="s">
        <v>47305</v>
      </c>
      <c r="P12630">
        <v>0</v>
      </c>
      <c r="Q12630">
        <v>5</v>
      </c>
      <c r="R12630" t="s">
        <v>47319</v>
      </c>
      <c r="S12630" t="s">
        <v>47813</v>
      </c>
      <c r="T12630" t="s">
        <v>49017</v>
      </c>
      <c r="U12630" t="s">
        <v>59977</v>
      </c>
      <c r="W12630" t="s">
        <v>45433</v>
      </c>
      <c r="X12630" t="s">
        <v>47320</v>
      </c>
    </row>
    <row r="12631" spans="1:24">
      <c r="A12631">
        <f>HYPERLINK("https://www.philgeps.gov.ph/GEPSNONPILOT/Tender/SplashBidNoticeAbstractUI.aspx?menuIndex=3&amp;refID=7172550&amp;Result=3","7172550")</f>
        <v>0</v>
      </c>
      <c r="B12631" t="s">
        <v>3524</v>
      </c>
      <c r="C12631" t="s">
        <v>15796</v>
      </c>
      <c r="D12631" t="s">
        <v>19023</v>
      </c>
      <c r="E12631" t="s">
        <v>29820</v>
      </c>
      <c r="F12631" t="s">
        <v>32606</v>
      </c>
      <c r="G12631" t="s">
        <v>32613</v>
      </c>
      <c r="H12631" t="s">
        <v>14201</v>
      </c>
      <c r="I12631" t="s">
        <v>6931</v>
      </c>
      <c r="J12631" t="s">
        <v>40594</v>
      </c>
      <c r="K12631" t="s">
        <v>42631</v>
      </c>
      <c r="M12631" t="s">
        <v>46795</v>
      </c>
      <c r="N12631" t="s">
        <v>47304</v>
      </c>
      <c r="O12631" t="s">
        <v>47305</v>
      </c>
      <c r="P12631">
        <v>0</v>
      </c>
      <c r="Q12631">
        <v>0</v>
      </c>
      <c r="R12631" t="s">
        <v>47319</v>
      </c>
      <c r="S12631" t="s">
        <v>47813</v>
      </c>
      <c r="T12631" t="s">
        <v>48975</v>
      </c>
      <c r="U12631" t="s">
        <v>59978</v>
      </c>
      <c r="W12631" t="s">
        <v>46795</v>
      </c>
      <c r="X12631" t="s">
        <v>47320</v>
      </c>
    </row>
    <row r="12632" spans="1:24">
      <c r="A12632">
        <f>HYPERLINK("https://www.philgeps.gov.ph/GEPSNONPILOT/Tender/SplashBidNoticeAbstractUI.aspx?menuIndex=3&amp;refID=7172494&amp;Result=3","7172494")</f>
        <v>0</v>
      </c>
      <c r="B12632" t="s">
        <v>3363</v>
      </c>
      <c r="C12632" t="s">
        <v>15797</v>
      </c>
      <c r="E12632" t="s">
        <v>29821</v>
      </c>
      <c r="F12632" t="s">
        <v>32606</v>
      </c>
      <c r="G12632" t="s">
        <v>32613</v>
      </c>
      <c r="H12632" t="s">
        <v>14201</v>
      </c>
      <c r="I12632" t="s">
        <v>32633</v>
      </c>
      <c r="J12632" t="s">
        <v>35368</v>
      </c>
      <c r="K12632" t="s">
        <v>42631</v>
      </c>
      <c r="M12632" t="s">
        <v>46612</v>
      </c>
      <c r="N12632" t="s">
        <v>47304</v>
      </c>
      <c r="O12632" t="s">
        <v>47305</v>
      </c>
      <c r="P12632">
        <v>0</v>
      </c>
      <c r="Q12632">
        <v>6</v>
      </c>
      <c r="R12632" t="s">
        <v>47319</v>
      </c>
      <c r="S12632" t="s">
        <v>47813</v>
      </c>
      <c r="T12632" t="s">
        <v>49111</v>
      </c>
      <c r="U12632" t="s">
        <v>59979</v>
      </c>
      <c r="W12632" t="s">
        <v>46612</v>
      </c>
      <c r="X12632" t="s">
        <v>47320</v>
      </c>
    </row>
    <row r="12633" spans="1:24">
      <c r="A12633">
        <f>HYPERLINK("https://www.philgeps.gov.ph/GEPSNONPILOT/Tender/SplashBidNoticeAbstractUI.aspx?menuIndex=3&amp;refID=7172491&amp;Result=3","7172491")</f>
        <v>0</v>
      </c>
      <c r="B12633" t="s">
        <v>2356</v>
      </c>
      <c r="C12633" t="s">
        <v>15798</v>
      </c>
      <c r="D12633" t="s">
        <v>19014</v>
      </c>
      <c r="E12633" t="s">
        <v>29822</v>
      </c>
      <c r="F12633" t="s">
        <v>32606</v>
      </c>
      <c r="G12633" t="s">
        <v>32613</v>
      </c>
      <c r="H12633" t="s">
        <v>32623</v>
      </c>
      <c r="I12633" t="s">
        <v>17648</v>
      </c>
      <c r="J12633" t="s">
        <v>40595</v>
      </c>
      <c r="K12633" t="s">
        <v>42651</v>
      </c>
      <c r="M12633" t="s">
        <v>45468</v>
      </c>
      <c r="N12633" t="s">
        <v>47304</v>
      </c>
      <c r="O12633" t="s">
        <v>47305</v>
      </c>
      <c r="P12633">
        <v>0</v>
      </c>
      <c r="Q12633">
        <v>17</v>
      </c>
      <c r="R12633" t="s">
        <v>47319</v>
      </c>
      <c r="S12633" t="s">
        <v>47813</v>
      </c>
      <c r="T12633" t="s">
        <v>48986</v>
      </c>
      <c r="U12633" t="s">
        <v>59980</v>
      </c>
      <c r="V12633" t="s">
        <v>63367</v>
      </c>
      <c r="W12633" t="s">
        <v>45468</v>
      </c>
      <c r="X12633" t="s">
        <v>47320</v>
      </c>
    </row>
    <row r="12634" spans="1:24">
      <c r="A12634">
        <f>HYPERLINK("https://www.philgeps.gov.ph/GEPSNONPILOT/Tender/SplashBidNoticeAbstractUI.aspx?menuIndex=3&amp;refID=7172388&amp;Result=3","7172388")</f>
        <v>0</v>
      </c>
      <c r="B12634" t="s">
        <v>2280</v>
      </c>
      <c r="C12634" t="s">
        <v>15799</v>
      </c>
      <c r="D12634" t="s">
        <v>19044</v>
      </c>
      <c r="E12634" t="s">
        <v>29823</v>
      </c>
      <c r="F12634" t="s">
        <v>32606</v>
      </c>
      <c r="G12634" t="s">
        <v>32613</v>
      </c>
      <c r="H12634" t="s">
        <v>32623</v>
      </c>
      <c r="I12634" t="s">
        <v>17648</v>
      </c>
      <c r="J12634" t="s">
        <v>40596</v>
      </c>
      <c r="K12634" t="s">
        <v>42863</v>
      </c>
      <c r="M12634" t="s">
        <v>45385</v>
      </c>
      <c r="N12634" t="s">
        <v>47304</v>
      </c>
      <c r="O12634" t="s">
        <v>47305</v>
      </c>
      <c r="P12634">
        <v>0</v>
      </c>
      <c r="Q12634">
        <v>0</v>
      </c>
      <c r="R12634" t="s">
        <v>47319</v>
      </c>
      <c r="S12634" t="s">
        <v>47813</v>
      </c>
      <c r="T12634" t="s">
        <v>48986</v>
      </c>
      <c r="U12634" t="s">
        <v>59981</v>
      </c>
      <c r="W12634" t="s">
        <v>45385</v>
      </c>
      <c r="X12634" t="s">
        <v>47320</v>
      </c>
    </row>
    <row r="12635" spans="1:24">
      <c r="A12635">
        <f>HYPERLINK("https://www.philgeps.gov.ph/GEPSNONPILOT/Tender/SplashBidNoticeAbstractUI.aspx?menuIndex=3&amp;refID=7172490&amp;Result=3","7172490")</f>
        <v>0</v>
      </c>
      <c r="B12635" t="s">
        <v>1895</v>
      </c>
      <c r="C12635" t="s">
        <v>15800</v>
      </c>
      <c r="D12635" t="s">
        <v>19034</v>
      </c>
      <c r="E12635" t="s">
        <v>29824</v>
      </c>
      <c r="F12635" t="s">
        <v>32606</v>
      </c>
      <c r="G12635" t="s">
        <v>32614</v>
      </c>
      <c r="H12635" t="s">
        <v>14201</v>
      </c>
      <c r="I12635" t="s">
        <v>4120</v>
      </c>
      <c r="J12635" t="s">
        <v>40597</v>
      </c>
      <c r="K12635" t="s">
        <v>42648</v>
      </c>
      <c r="M12635" t="s">
        <v>44954</v>
      </c>
      <c r="N12635" t="s">
        <v>47304</v>
      </c>
      <c r="O12635" t="s">
        <v>47305</v>
      </c>
      <c r="P12635">
        <v>0</v>
      </c>
      <c r="Q12635">
        <v>0</v>
      </c>
      <c r="R12635" t="s">
        <v>47319</v>
      </c>
      <c r="S12635" t="s">
        <v>47813</v>
      </c>
      <c r="T12635" t="s">
        <v>49268</v>
      </c>
      <c r="U12635" t="s">
        <v>56056</v>
      </c>
      <c r="W12635" t="s">
        <v>44954</v>
      </c>
      <c r="X12635" t="s">
        <v>47320</v>
      </c>
    </row>
    <row r="12636" spans="1:24">
      <c r="A12636">
        <f>HYPERLINK("https://www.philgeps.gov.ph/GEPSNONPILOT/Tender/SplashBidNoticeAbstractUI.aspx?menuIndex=3&amp;refID=7172515&amp;Result=3","7172515")</f>
        <v>0</v>
      </c>
      <c r="B12636" t="s">
        <v>1606</v>
      </c>
      <c r="C12636" t="s">
        <v>15801</v>
      </c>
      <c r="D12636" t="s">
        <v>19044</v>
      </c>
      <c r="E12636" t="s">
        <v>22842</v>
      </c>
      <c r="F12636" t="s">
        <v>32606</v>
      </c>
      <c r="G12636" t="s">
        <v>32613</v>
      </c>
      <c r="H12636" t="s">
        <v>14201</v>
      </c>
      <c r="I12636" t="s">
        <v>32627</v>
      </c>
      <c r="J12636" t="s">
        <v>32981</v>
      </c>
      <c r="K12636" t="s">
        <v>42631</v>
      </c>
      <c r="M12636" t="s">
        <v>46801</v>
      </c>
      <c r="N12636" t="s">
        <v>47304</v>
      </c>
      <c r="O12636" t="s">
        <v>47305</v>
      </c>
      <c r="P12636">
        <v>0</v>
      </c>
      <c r="Q12636">
        <v>2</v>
      </c>
      <c r="R12636" t="s">
        <v>47319</v>
      </c>
      <c r="S12636" t="s">
        <v>47813</v>
      </c>
      <c r="T12636" t="s">
        <v>48986</v>
      </c>
      <c r="U12636" t="s">
        <v>59982</v>
      </c>
      <c r="V12636" t="s">
        <v>64020</v>
      </c>
      <c r="W12636" t="s">
        <v>64476</v>
      </c>
      <c r="X12636" t="s">
        <v>47320</v>
      </c>
    </row>
    <row r="12637" spans="1:24">
      <c r="A12637">
        <f>HYPERLINK("https://www.philgeps.gov.ph/GEPSNONPILOT/Tender/SplashBidNoticeAbstractUI.aspx?menuIndex=3&amp;refID=7172481&amp;Result=3","7172481")</f>
        <v>0</v>
      </c>
      <c r="B12637" t="s">
        <v>2280</v>
      </c>
      <c r="C12637" t="s">
        <v>15802</v>
      </c>
      <c r="D12637" t="s">
        <v>19044</v>
      </c>
      <c r="E12637" t="s">
        <v>29825</v>
      </c>
      <c r="F12637" t="s">
        <v>32606</v>
      </c>
      <c r="G12637" t="s">
        <v>32613</v>
      </c>
      <c r="H12637" t="s">
        <v>32623</v>
      </c>
      <c r="I12637" t="s">
        <v>17648</v>
      </c>
      <c r="J12637" t="s">
        <v>40598</v>
      </c>
      <c r="K12637" t="s">
        <v>42863</v>
      </c>
      <c r="M12637" t="s">
        <v>45385</v>
      </c>
      <c r="N12637" t="s">
        <v>47304</v>
      </c>
      <c r="O12637" t="s">
        <v>47305</v>
      </c>
      <c r="P12637">
        <v>0</v>
      </c>
      <c r="Q12637">
        <v>0</v>
      </c>
      <c r="R12637" t="s">
        <v>47319</v>
      </c>
      <c r="S12637" t="s">
        <v>47813</v>
      </c>
      <c r="T12637" t="s">
        <v>48986</v>
      </c>
      <c r="U12637" t="s">
        <v>59983</v>
      </c>
      <c r="W12637" t="s">
        <v>45385</v>
      </c>
      <c r="X12637" t="s">
        <v>47320</v>
      </c>
    </row>
    <row r="12638" spans="1:24">
      <c r="A12638">
        <f>HYPERLINK("https://www.philgeps.gov.ph/GEPSNONPILOT/Tender/SplashBidNoticeAbstractUI.aspx?menuIndex=3&amp;refID=7172506&amp;Result=3","7172506")</f>
        <v>0</v>
      </c>
      <c r="B12638" t="s">
        <v>3026</v>
      </c>
      <c r="C12638" t="s">
        <v>15803</v>
      </c>
      <c r="D12638" t="s">
        <v>18994</v>
      </c>
      <c r="E12638" t="s">
        <v>29826</v>
      </c>
      <c r="F12638" t="s">
        <v>32606</v>
      </c>
      <c r="G12638" t="s">
        <v>32613</v>
      </c>
      <c r="H12638" t="s">
        <v>14201</v>
      </c>
      <c r="I12638" t="s">
        <v>32629</v>
      </c>
      <c r="J12638" t="s">
        <v>40599</v>
      </c>
      <c r="K12638" t="s">
        <v>42631</v>
      </c>
      <c r="M12638" t="s">
        <v>46218</v>
      </c>
      <c r="N12638" t="s">
        <v>47304</v>
      </c>
      <c r="O12638" t="s">
        <v>47305</v>
      </c>
      <c r="P12638">
        <v>0</v>
      </c>
      <c r="Q12638">
        <v>4</v>
      </c>
      <c r="R12638" t="s">
        <v>47319</v>
      </c>
      <c r="S12638" t="s">
        <v>47813</v>
      </c>
      <c r="T12638" t="s">
        <v>49086</v>
      </c>
      <c r="U12638" t="s">
        <v>59984</v>
      </c>
      <c r="W12638" t="s">
        <v>46218</v>
      </c>
      <c r="X12638" t="s">
        <v>47320</v>
      </c>
    </row>
    <row r="12639" spans="1:24">
      <c r="A12639">
        <f>HYPERLINK("https://www.philgeps.gov.ph/GEPSNONPILOT/Tender/SplashBidNoticeAbstractUI.aspx?menuIndex=3&amp;refID=7172496&amp;Result=3","7172496")</f>
        <v>0</v>
      </c>
      <c r="B12639" t="s">
        <v>3526</v>
      </c>
      <c r="C12639" t="s">
        <v>15804</v>
      </c>
      <c r="D12639" t="s">
        <v>19001</v>
      </c>
      <c r="E12639" t="s">
        <v>29827</v>
      </c>
      <c r="F12639" t="s">
        <v>32606</v>
      </c>
      <c r="G12639" t="s">
        <v>32613</v>
      </c>
      <c r="H12639" t="s">
        <v>14201</v>
      </c>
      <c r="I12639" t="s">
        <v>7677</v>
      </c>
      <c r="J12639" t="s">
        <v>32795</v>
      </c>
      <c r="K12639" t="s">
        <v>42630</v>
      </c>
      <c r="M12639" t="s">
        <v>46797</v>
      </c>
      <c r="N12639" t="s">
        <v>47304</v>
      </c>
      <c r="O12639" t="s">
        <v>47305</v>
      </c>
      <c r="P12639">
        <v>0</v>
      </c>
      <c r="Q12639">
        <v>12</v>
      </c>
      <c r="R12639" t="s">
        <v>47319</v>
      </c>
      <c r="S12639" t="s">
        <v>47813</v>
      </c>
      <c r="T12639" t="s">
        <v>48996</v>
      </c>
      <c r="U12639" t="s">
        <v>59985</v>
      </c>
      <c r="W12639" t="s">
        <v>46797</v>
      </c>
      <c r="X12639" t="s">
        <v>47320</v>
      </c>
    </row>
    <row r="12640" spans="1:24">
      <c r="A12640">
        <f>HYPERLINK("https://www.philgeps.gov.ph/GEPSNONPILOT/Tender/SplashBidNoticeAbstractUI.aspx?menuIndex=3&amp;refID=7172493&amp;Result=3","7172493")</f>
        <v>0</v>
      </c>
      <c r="B12640" t="s">
        <v>634</v>
      </c>
      <c r="C12640" t="s">
        <v>15805</v>
      </c>
      <c r="D12640" t="s">
        <v>19056</v>
      </c>
      <c r="E12640" t="s">
        <v>29828</v>
      </c>
      <c r="F12640" t="s">
        <v>32606</v>
      </c>
      <c r="G12640" t="s">
        <v>32613</v>
      </c>
      <c r="H12640" t="s">
        <v>14201</v>
      </c>
      <c r="I12640" t="s">
        <v>7064</v>
      </c>
      <c r="J12640" t="s">
        <v>33449</v>
      </c>
      <c r="K12640" t="s">
        <v>42639</v>
      </c>
      <c r="M12640" t="s">
        <v>43552</v>
      </c>
      <c r="N12640" t="s">
        <v>47304</v>
      </c>
      <c r="O12640" t="s">
        <v>47305</v>
      </c>
      <c r="P12640">
        <v>0</v>
      </c>
      <c r="Q12640">
        <v>0</v>
      </c>
      <c r="R12640" t="s">
        <v>47319</v>
      </c>
      <c r="S12640" t="s">
        <v>47813</v>
      </c>
      <c r="T12640" t="s">
        <v>49099</v>
      </c>
      <c r="U12640" t="s">
        <v>59986</v>
      </c>
      <c r="W12640" t="s">
        <v>43552</v>
      </c>
      <c r="X12640" t="s">
        <v>47320</v>
      </c>
    </row>
    <row r="12641" spans="1:24">
      <c r="A12641">
        <f>HYPERLINK("https://www.philgeps.gov.ph/GEPSNONPILOT/Tender/SplashBidNoticeAbstractUI.aspx?menuIndex=3&amp;refID=7172649&amp;Result=3","7172649")</f>
        <v>0</v>
      </c>
      <c r="B12641" t="s">
        <v>3524</v>
      </c>
      <c r="C12641" t="s">
        <v>15806</v>
      </c>
      <c r="D12641" t="s">
        <v>19023</v>
      </c>
      <c r="E12641" t="s">
        <v>29829</v>
      </c>
      <c r="F12641" t="s">
        <v>32606</v>
      </c>
      <c r="G12641" t="s">
        <v>32613</v>
      </c>
      <c r="H12641" t="s">
        <v>14201</v>
      </c>
      <c r="I12641" t="s">
        <v>6931</v>
      </c>
      <c r="J12641" t="s">
        <v>40600</v>
      </c>
      <c r="K12641" t="s">
        <v>42631</v>
      </c>
      <c r="M12641" t="s">
        <v>46795</v>
      </c>
      <c r="N12641" t="s">
        <v>47304</v>
      </c>
      <c r="O12641" t="s">
        <v>47305</v>
      </c>
      <c r="P12641">
        <v>0</v>
      </c>
      <c r="Q12641">
        <v>0</v>
      </c>
      <c r="R12641" t="s">
        <v>47319</v>
      </c>
      <c r="S12641" t="s">
        <v>47813</v>
      </c>
      <c r="T12641" t="s">
        <v>49076</v>
      </c>
      <c r="U12641" t="s">
        <v>59987</v>
      </c>
      <c r="W12641" t="s">
        <v>46795</v>
      </c>
      <c r="X12641" t="s">
        <v>47320</v>
      </c>
    </row>
    <row r="12642" spans="1:24">
      <c r="A12642">
        <f>HYPERLINK("https://www.philgeps.gov.ph/GEPSNONPILOT/Tender/SplashBidNoticeAbstractUI.aspx?menuIndex=3&amp;refID=7172644&amp;Result=3","7172644")</f>
        <v>0</v>
      </c>
      <c r="B12642" t="s">
        <v>3529</v>
      </c>
      <c r="C12642" t="s">
        <v>15807</v>
      </c>
      <c r="D12642" t="s">
        <v>19040</v>
      </c>
      <c r="E12642" t="s">
        <v>29830</v>
      </c>
      <c r="F12642" t="s">
        <v>32606</v>
      </c>
      <c r="G12642" t="s">
        <v>32613</v>
      </c>
      <c r="H12642" t="s">
        <v>14201</v>
      </c>
      <c r="I12642" t="s">
        <v>7064</v>
      </c>
      <c r="J12642" t="s">
        <v>32795</v>
      </c>
      <c r="K12642" t="s">
        <v>42639</v>
      </c>
      <c r="M12642" t="s">
        <v>46802</v>
      </c>
      <c r="N12642" t="s">
        <v>47304</v>
      </c>
      <c r="O12642" t="s">
        <v>47305</v>
      </c>
      <c r="P12642">
        <v>0</v>
      </c>
      <c r="Q12642">
        <v>6</v>
      </c>
      <c r="R12642" t="s">
        <v>47319</v>
      </c>
      <c r="S12642" t="s">
        <v>47813</v>
      </c>
      <c r="T12642" t="s">
        <v>49184</v>
      </c>
      <c r="U12642" t="s">
        <v>59988</v>
      </c>
      <c r="W12642" t="s">
        <v>46802</v>
      </c>
      <c r="X12642" t="s">
        <v>47320</v>
      </c>
    </row>
    <row r="12643" spans="1:24">
      <c r="A12643">
        <f>HYPERLINK("https://www.philgeps.gov.ph/GEPSNONPILOT/Tender/SplashBidNoticeAbstractUI.aspx?menuIndex=3&amp;refID=7172634&amp;Result=3","7172634")</f>
        <v>0</v>
      </c>
      <c r="B12643" t="s">
        <v>2309</v>
      </c>
      <c r="C12643" t="s">
        <v>15808</v>
      </c>
      <c r="D12643" t="s">
        <v>19042</v>
      </c>
      <c r="E12643" t="s">
        <v>20686</v>
      </c>
      <c r="F12643" t="s">
        <v>32606</v>
      </c>
      <c r="G12643" t="s">
        <v>32613</v>
      </c>
      <c r="H12643" t="s">
        <v>14201</v>
      </c>
      <c r="I12643" t="s">
        <v>6931</v>
      </c>
      <c r="J12643" t="s">
        <v>40601</v>
      </c>
      <c r="K12643" t="s">
        <v>42631</v>
      </c>
      <c r="M12643" t="s">
        <v>45415</v>
      </c>
      <c r="N12643" t="s">
        <v>47304</v>
      </c>
      <c r="O12643" t="s">
        <v>47305</v>
      </c>
      <c r="P12643">
        <v>0</v>
      </c>
      <c r="Q12643">
        <v>0</v>
      </c>
      <c r="R12643" t="s">
        <v>47319</v>
      </c>
      <c r="S12643" t="s">
        <v>47813</v>
      </c>
      <c r="T12643" t="s">
        <v>49068</v>
      </c>
      <c r="U12643" t="s">
        <v>59989</v>
      </c>
      <c r="V12643" t="s">
        <v>64021</v>
      </c>
      <c r="W12643" t="s">
        <v>45415</v>
      </c>
      <c r="X12643" t="s">
        <v>47320</v>
      </c>
    </row>
    <row r="12644" spans="1:24">
      <c r="A12644">
        <f>HYPERLINK("https://www.philgeps.gov.ph/GEPSNONPILOT/Tender/SplashBidNoticeAbstractUI.aspx?menuIndex=3&amp;refID=7172626&amp;Result=3","7172626")</f>
        <v>0</v>
      </c>
      <c r="B12644" t="s">
        <v>2042</v>
      </c>
      <c r="C12644" t="s">
        <v>15809</v>
      </c>
      <c r="D12644" t="s">
        <v>19070</v>
      </c>
      <c r="E12644" t="s">
        <v>29831</v>
      </c>
      <c r="F12644" t="s">
        <v>32606</v>
      </c>
      <c r="G12644" t="s">
        <v>32613</v>
      </c>
      <c r="H12644" t="s">
        <v>14201</v>
      </c>
      <c r="I12644" t="s">
        <v>7064</v>
      </c>
      <c r="J12644" t="s">
        <v>32893</v>
      </c>
      <c r="K12644" t="s">
        <v>42631</v>
      </c>
      <c r="M12644" t="s">
        <v>45120</v>
      </c>
      <c r="N12644" t="s">
        <v>47304</v>
      </c>
      <c r="O12644" t="s">
        <v>47305</v>
      </c>
      <c r="P12644">
        <v>0</v>
      </c>
      <c r="Q12644">
        <v>8</v>
      </c>
      <c r="R12644" t="s">
        <v>47319</v>
      </c>
      <c r="S12644" t="s">
        <v>47813</v>
      </c>
      <c r="T12644" t="s">
        <v>49065</v>
      </c>
      <c r="U12644" t="s">
        <v>59990</v>
      </c>
      <c r="V12644" t="s">
        <v>63229</v>
      </c>
      <c r="W12644" t="s">
        <v>45120</v>
      </c>
      <c r="X12644" t="s">
        <v>47320</v>
      </c>
    </row>
    <row r="12645" spans="1:24">
      <c r="A12645">
        <f>HYPERLINK("https://www.philgeps.gov.ph/GEPSNONPILOT/Tender/SplashBidNoticeAbstractUI.aspx?menuIndex=3&amp;refID=7172488&amp;Result=3","7172488")</f>
        <v>0</v>
      </c>
      <c r="B12645" t="s">
        <v>2439</v>
      </c>
      <c r="C12645" t="s">
        <v>15810</v>
      </c>
      <c r="D12645" t="s">
        <v>18993</v>
      </c>
      <c r="E12645" t="s">
        <v>20378</v>
      </c>
      <c r="F12645" t="s">
        <v>32606</v>
      </c>
      <c r="G12645" t="s">
        <v>32613</v>
      </c>
      <c r="H12645" t="s">
        <v>14201</v>
      </c>
      <c r="I12645" t="s">
        <v>32640</v>
      </c>
      <c r="J12645" t="s">
        <v>40602</v>
      </c>
      <c r="K12645" t="s">
        <v>42624</v>
      </c>
      <c r="M12645" t="s">
        <v>45566</v>
      </c>
      <c r="N12645" t="s">
        <v>47304</v>
      </c>
      <c r="O12645" t="s">
        <v>47305</v>
      </c>
      <c r="Q12645">
        <v>18</v>
      </c>
      <c r="R12645" t="s">
        <v>47319</v>
      </c>
      <c r="S12645" t="s">
        <v>47865</v>
      </c>
      <c r="T12645" t="s">
        <v>49062</v>
      </c>
      <c r="U12645" t="s">
        <v>59991</v>
      </c>
      <c r="W12645" t="s">
        <v>45566</v>
      </c>
      <c r="X12645" t="s">
        <v>47320</v>
      </c>
    </row>
    <row r="12646" spans="1:24">
      <c r="A12646">
        <f>HYPERLINK("https://www.philgeps.gov.ph/GEPSNONPILOT/Tender/SplashBidNoticeAbstractUI.aspx?menuIndex=3&amp;refID=7172640&amp;Result=3","7172640")</f>
        <v>0</v>
      </c>
      <c r="B12646" t="s">
        <v>1895</v>
      </c>
      <c r="C12646" t="s">
        <v>15811</v>
      </c>
      <c r="D12646" t="s">
        <v>19034</v>
      </c>
      <c r="E12646" t="s">
        <v>29832</v>
      </c>
      <c r="F12646" t="s">
        <v>32606</v>
      </c>
      <c r="G12646" t="s">
        <v>32614</v>
      </c>
      <c r="H12646" t="s">
        <v>14201</v>
      </c>
      <c r="I12646" t="s">
        <v>4120</v>
      </c>
      <c r="J12646" t="s">
        <v>40603</v>
      </c>
      <c r="K12646" t="s">
        <v>42648</v>
      </c>
      <c r="M12646" t="s">
        <v>44954</v>
      </c>
      <c r="N12646" t="s">
        <v>47304</v>
      </c>
      <c r="O12646" t="s">
        <v>47305</v>
      </c>
      <c r="P12646">
        <v>0</v>
      </c>
      <c r="Q12646">
        <v>0</v>
      </c>
      <c r="R12646" t="s">
        <v>47319</v>
      </c>
      <c r="S12646" t="s">
        <v>47813</v>
      </c>
      <c r="T12646" t="s">
        <v>49268</v>
      </c>
      <c r="U12646" t="s">
        <v>56056</v>
      </c>
      <c r="W12646" t="s">
        <v>44954</v>
      </c>
      <c r="X12646" t="s">
        <v>47320</v>
      </c>
    </row>
    <row r="12647" spans="1:24">
      <c r="A12647">
        <f>HYPERLINK("https://www.philgeps.gov.ph/GEPSNONPILOT/Tender/SplashBidNoticeAbstractUI.aspx?menuIndex=3&amp;refID=7172623&amp;Result=3","7172623")</f>
        <v>0</v>
      </c>
      <c r="B12647" t="s">
        <v>726</v>
      </c>
      <c r="C12647" t="s">
        <v>15812</v>
      </c>
      <c r="D12647" t="s">
        <v>19009</v>
      </c>
      <c r="E12647" t="s">
        <v>29833</v>
      </c>
      <c r="F12647" t="s">
        <v>32606</v>
      </c>
      <c r="G12647" t="s">
        <v>32613</v>
      </c>
      <c r="H12647" t="s">
        <v>32623</v>
      </c>
      <c r="I12647" t="s">
        <v>17648</v>
      </c>
      <c r="J12647" t="s">
        <v>40604</v>
      </c>
      <c r="K12647" t="s">
        <v>42748</v>
      </c>
      <c r="M12647" t="s">
        <v>46187</v>
      </c>
      <c r="N12647" t="s">
        <v>47304</v>
      </c>
      <c r="O12647" t="s">
        <v>47305</v>
      </c>
      <c r="P12647">
        <v>0</v>
      </c>
      <c r="Q12647">
        <v>0</v>
      </c>
      <c r="R12647" t="s">
        <v>47319</v>
      </c>
      <c r="S12647" t="s">
        <v>47813</v>
      </c>
      <c r="T12647" t="s">
        <v>48987</v>
      </c>
      <c r="U12647" t="s">
        <v>59992</v>
      </c>
      <c r="V12647" t="s">
        <v>64022</v>
      </c>
      <c r="W12647" t="s">
        <v>46187</v>
      </c>
      <c r="X12647" t="s">
        <v>47320</v>
      </c>
    </row>
    <row r="12648" spans="1:24">
      <c r="A12648">
        <f>HYPERLINK("https://www.philgeps.gov.ph/GEPSNONPILOT/Tender/SplashBidNoticeAbstractUI.aspx?menuIndex=3&amp;refID=7172629&amp;Result=3","7172629")</f>
        <v>0</v>
      </c>
      <c r="B12648" t="s">
        <v>2708</v>
      </c>
      <c r="C12648" t="s">
        <v>15813</v>
      </c>
      <c r="D12648" t="s">
        <v>19058</v>
      </c>
      <c r="E12648" t="s">
        <v>29834</v>
      </c>
      <c r="F12648" t="s">
        <v>32606</v>
      </c>
      <c r="G12648" t="s">
        <v>32613</v>
      </c>
      <c r="H12648" t="s">
        <v>32623</v>
      </c>
      <c r="I12648" t="s">
        <v>17648</v>
      </c>
      <c r="J12648" t="s">
        <v>32770</v>
      </c>
      <c r="K12648" t="s">
        <v>42627</v>
      </c>
      <c r="M12648" t="s">
        <v>45861</v>
      </c>
      <c r="N12648" t="s">
        <v>47304</v>
      </c>
      <c r="O12648" t="s">
        <v>47305</v>
      </c>
      <c r="Q12648">
        <v>2</v>
      </c>
      <c r="R12648" t="s">
        <v>47319</v>
      </c>
      <c r="S12648" t="s">
        <v>47866</v>
      </c>
      <c r="T12648" t="s">
        <v>48988</v>
      </c>
      <c r="U12648" t="s">
        <v>56608</v>
      </c>
      <c r="W12648" t="s">
        <v>45861</v>
      </c>
      <c r="X12648" t="s">
        <v>47320</v>
      </c>
    </row>
    <row r="12649" spans="1:24">
      <c r="A12649">
        <f>HYPERLINK("https://www.philgeps.gov.ph/GEPSNONPILOT/Tender/SplashBidNoticeAbstractUI.aspx?menuIndex=3&amp;refID=7172477&amp;Result=3","7172477")</f>
        <v>0</v>
      </c>
      <c r="B12649" t="s">
        <v>577</v>
      </c>
      <c r="C12649" t="s">
        <v>15814</v>
      </c>
      <c r="D12649" t="s">
        <v>18993</v>
      </c>
      <c r="E12649" t="s">
        <v>29835</v>
      </c>
      <c r="F12649" t="s">
        <v>32606</v>
      </c>
      <c r="G12649" t="s">
        <v>32613</v>
      </c>
      <c r="H12649" t="s">
        <v>14201</v>
      </c>
      <c r="I12649" t="s">
        <v>6298</v>
      </c>
      <c r="J12649" t="s">
        <v>40605</v>
      </c>
      <c r="K12649" t="s">
        <v>42648</v>
      </c>
      <c r="M12649" t="s">
        <v>46646</v>
      </c>
      <c r="N12649" t="s">
        <v>47304</v>
      </c>
      <c r="O12649" t="s">
        <v>47305</v>
      </c>
      <c r="P12649">
        <v>0</v>
      </c>
      <c r="Q12649">
        <v>2</v>
      </c>
      <c r="R12649" t="s">
        <v>47319</v>
      </c>
      <c r="S12649" t="s">
        <v>47813</v>
      </c>
      <c r="T12649" t="s">
        <v>48996</v>
      </c>
      <c r="U12649" t="s">
        <v>59993</v>
      </c>
      <c r="V12649" t="s">
        <v>64023</v>
      </c>
      <c r="W12649" t="s">
        <v>46646</v>
      </c>
      <c r="X12649" t="s">
        <v>47320</v>
      </c>
    </row>
    <row r="12650" spans="1:24">
      <c r="A12650">
        <f>HYPERLINK("https://www.philgeps.gov.ph/GEPSNONPILOT/Tender/SplashBidNoticeAbstractUI.aspx?menuIndex=3&amp;refID=7172607&amp;Result=3","7172607")</f>
        <v>0</v>
      </c>
      <c r="B12650" t="s">
        <v>3350</v>
      </c>
      <c r="C12650" t="s">
        <v>15815</v>
      </c>
      <c r="D12650" t="s">
        <v>19036</v>
      </c>
      <c r="E12650" t="s">
        <v>15815</v>
      </c>
      <c r="F12650" t="s">
        <v>32606</v>
      </c>
      <c r="G12650" t="s">
        <v>32613</v>
      </c>
      <c r="H12650" t="s">
        <v>14201</v>
      </c>
      <c r="I12650" t="s">
        <v>4114</v>
      </c>
      <c r="J12650" t="s">
        <v>40606</v>
      </c>
      <c r="K12650" t="s">
        <v>42631</v>
      </c>
      <c r="M12650" t="s">
        <v>46597</v>
      </c>
      <c r="N12650" t="s">
        <v>47304</v>
      </c>
      <c r="O12650" t="s">
        <v>47305</v>
      </c>
      <c r="Q12650">
        <v>10</v>
      </c>
      <c r="R12650" t="s">
        <v>47319</v>
      </c>
      <c r="S12650" t="s">
        <v>47842</v>
      </c>
      <c r="T12650" t="s">
        <v>49065</v>
      </c>
      <c r="U12650" t="s">
        <v>59994</v>
      </c>
      <c r="W12650" t="s">
        <v>46597</v>
      </c>
      <c r="X12650" t="s">
        <v>47320</v>
      </c>
    </row>
    <row r="12651" spans="1:24">
      <c r="A12651">
        <f>HYPERLINK("https://www.philgeps.gov.ph/GEPSNONPILOT/Tender/SplashBidNoticeAbstractUI.aspx?menuIndex=3&amp;refID=7172597&amp;Result=3","7172597")</f>
        <v>0</v>
      </c>
      <c r="B12651" t="s">
        <v>1851</v>
      </c>
      <c r="C12651" t="s">
        <v>15816</v>
      </c>
      <c r="D12651" t="s">
        <v>19006</v>
      </c>
      <c r="E12651" t="s">
        <v>29836</v>
      </c>
      <c r="F12651" t="s">
        <v>32606</v>
      </c>
      <c r="G12651" t="s">
        <v>32613</v>
      </c>
      <c r="H12651" t="s">
        <v>14201</v>
      </c>
      <c r="I12651" t="s">
        <v>4678</v>
      </c>
      <c r="J12651" t="s">
        <v>32789</v>
      </c>
      <c r="K12651" t="s">
        <v>42627</v>
      </c>
      <c r="M12651" t="s">
        <v>44905</v>
      </c>
      <c r="N12651" t="s">
        <v>47304</v>
      </c>
      <c r="O12651" t="s">
        <v>47305</v>
      </c>
      <c r="P12651">
        <v>0</v>
      </c>
      <c r="Q12651">
        <v>2</v>
      </c>
      <c r="R12651" t="s">
        <v>47319</v>
      </c>
      <c r="S12651" t="s">
        <v>47813</v>
      </c>
      <c r="T12651" t="s">
        <v>48996</v>
      </c>
      <c r="U12651" t="s">
        <v>59995</v>
      </c>
      <c r="W12651" t="s">
        <v>44905</v>
      </c>
      <c r="X12651" t="s">
        <v>47320</v>
      </c>
    </row>
    <row r="12652" spans="1:24">
      <c r="A12652">
        <f>HYPERLINK("https://www.philgeps.gov.ph/GEPSNONPILOT/Tender/SplashBidNoticeAbstractUI.aspx?menuIndex=3&amp;refID=7172593&amp;Result=3","7172593")</f>
        <v>0</v>
      </c>
      <c r="B12652" t="s">
        <v>2042</v>
      </c>
      <c r="C12652" t="s">
        <v>15817</v>
      </c>
      <c r="D12652" t="s">
        <v>19070</v>
      </c>
      <c r="E12652" t="s">
        <v>29837</v>
      </c>
      <c r="F12652" t="s">
        <v>32606</v>
      </c>
      <c r="G12652" t="s">
        <v>32613</v>
      </c>
      <c r="H12652" t="s">
        <v>14201</v>
      </c>
      <c r="I12652" t="s">
        <v>32644</v>
      </c>
      <c r="J12652" t="s">
        <v>40607</v>
      </c>
      <c r="K12652" t="s">
        <v>42631</v>
      </c>
      <c r="M12652" t="s">
        <v>45120</v>
      </c>
      <c r="N12652" t="s">
        <v>47304</v>
      </c>
      <c r="O12652" t="s">
        <v>47305</v>
      </c>
      <c r="P12652">
        <v>0</v>
      </c>
      <c r="Q12652">
        <v>6</v>
      </c>
      <c r="R12652" t="s">
        <v>47319</v>
      </c>
      <c r="S12652" t="s">
        <v>47813</v>
      </c>
      <c r="T12652" t="s">
        <v>49065</v>
      </c>
      <c r="U12652" t="s">
        <v>59990</v>
      </c>
      <c r="V12652" t="s">
        <v>63230</v>
      </c>
      <c r="W12652" t="s">
        <v>45120</v>
      </c>
      <c r="X12652" t="s">
        <v>47320</v>
      </c>
    </row>
    <row r="12653" spans="1:24">
      <c r="A12653">
        <f>HYPERLINK("https://www.philgeps.gov.ph/GEPSNONPILOT/Tender/SplashBidNoticeAbstractUI.aspx?menuIndex=3&amp;refID=7172769&amp;Result=3","7172769")</f>
        <v>0</v>
      </c>
      <c r="B12653" t="s">
        <v>903</v>
      </c>
      <c r="C12653" t="s">
        <v>15818</v>
      </c>
      <c r="D12653" t="s">
        <v>19049</v>
      </c>
      <c r="E12653" t="s">
        <v>29838</v>
      </c>
      <c r="F12653" t="s">
        <v>32606</v>
      </c>
      <c r="G12653" t="s">
        <v>32613</v>
      </c>
      <c r="H12653" t="s">
        <v>14201</v>
      </c>
      <c r="I12653" t="s">
        <v>32629</v>
      </c>
      <c r="J12653" t="s">
        <v>32821</v>
      </c>
      <c r="K12653" t="s">
        <v>42625</v>
      </c>
      <c r="M12653" t="s">
        <v>43840</v>
      </c>
      <c r="N12653" t="s">
        <v>47304</v>
      </c>
      <c r="O12653" t="s">
        <v>47305</v>
      </c>
      <c r="Q12653">
        <v>0</v>
      </c>
      <c r="R12653" t="s">
        <v>47319</v>
      </c>
      <c r="S12653" t="s">
        <v>47867</v>
      </c>
      <c r="T12653" t="s">
        <v>49175</v>
      </c>
      <c r="U12653" t="s">
        <v>59996</v>
      </c>
      <c r="W12653" t="s">
        <v>43840</v>
      </c>
      <c r="X12653" t="s">
        <v>47320</v>
      </c>
    </row>
    <row r="12654" spans="1:24">
      <c r="A12654">
        <f>HYPERLINK("https://www.philgeps.gov.ph/GEPSNONPILOT/Tender/SplashBidNoticeAbstractUI.aspx?menuIndex=3&amp;refID=7172605&amp;Result=3","7172605")</f>
        <v>0</v>
      </c>
      <c r="B12654" t="s">
        <v>2326</v>
      </c>
      <c r="C12654" t="s">
        <v>15819</v>
      </c>
      <c r="E12654" t="s">
        <v>29839</v>
      </c>
      <c r="F12654" t="s">
        <v>32606</v>
      </c>
      <c r="G12654" t="s">
        <v>32613</v>
      </c>
      <c r="H12654" t="s">
        <v>14201</v>
      </c>
      <c r="I12654" t="s">
        <v>32662</v>
      </c>
      <c r="J12654" t="s">
        <v>33039</v>
      </c>
      <c r="K12654" t="s">
        <v>42624</v>
      </c>
      <c r="M12654" t="s">
        <v>45434</v>
      </c>
      <c r="N12654" t="s">
        <v>47304</v>
      </c>
      <c r="O12654" t="s">
        <v>47305</v>
      </c>
      <c r="P12654">
        <v>0</v>
      </c>
      <c r="Q12654">
        <v>17</v>
      </c>
      <c r="R12654" t="s">
        <v>47319</v>
      </c>
      <c r="S12654" t="s">
        <v>47813</v>
      </c>
      <c r="T12654" t="s">
        <v>48996</v>
      </c>
      <c r="U12654" t="s">
        <v>59997</v>
      </c>
      <c r="W12654" t="s">
        <v>45434</v>
      </c>
      <c r="X12654" t="s">
        <v>47320</v>
      </c>
    </row>
    <row r="12655" spans="1:24">
      <c r="A12655">
        <f>HYPERLINK("https://www.philgeps.gov.ph/GEPSNONPILOT/Tender/SplashBidNoticeAbstractUI.aspx?menuIndex=3&amp;refID=7172743&amp;Result=3","7172743")</f>
        <v>0</v>
      </c>
      <c r="B12655" t="s">
        <v>304</v>
      </c>
      <c r="C12655" t="s">
        <v>15820</v>
      </c>
      <c r="D12655" t="s">
        <v>18994</v>
      </c>
      <c r="E12655" t="s">
        <v>29840</v>
      </c>
      <c r="F12655" t="s">
        <v>32606</v>
      </c>
      <c r="G12655" t="s">
        <v>32613</v>
      </c>
      <c r="H12655" t="s">
        <v>14201</v>
      </c>
      <c r="I12655" t="s">
        <v>7064</v>
      </c>
      <c r="J12655" t="s">
        <v>40608</v>
      </c>
      <c r="K12655" t="s">
        <v>42638</v>
      </c>
      <c r="M12655" t="s">
        <v>43206</v>
      </c>
      <c r="N12655" t="s">
        <v>47304</v>
      </c>
      <c r="O12655" t="s">
        <v>47305</v>
      </c>
      <c r="P12655">
        <v>0</v>
      </c>
      <c r="Q12655">
        <v>4</v>
      </c>
      <c r="R12655" t="s">
        <v>47319</v>
      </c>
      <c r="S12655" t="s">
        <v>47813</v>
      </c>
      <c r="T12655" t="s">
        <v>49023</v>
      </c>
      <c r="U12655" t="s">
        <v>59998</v>
      </c>
      <c r="V12655" t="s">
        <v>62836</v>
      </c>
      <c r="W12655" t="s">
        <v>43206</v>
      </c>
      <c r="X12655" t="s">
        <v>47320</v>
      </c>
    </row>
    <row r="12656" spans="1:24">
      <c r="A12656">
        <f>HYPERLINK("https://www.philgeps.gov.ph/GEPSNONPILOT/Tender/SplashBidNoticeAbstractUI.aspx?menuIndex=3&amp;refID=7172651&amp;Result=3","7172651")</f>
        <v>0</v>
      </c>
      <c r="B12656" t="s">
        <v>3530</v>
      </c>
      <c r="C12656" t="s">
        <v>15821</v>
      </c>
      <c r="D12656" t="s">
        <v>19001</v>
      </c>
      <c r="E12656" t="s">
        <v>21785</v>
      </c>
      <c r="F12656" t="s">
        <v>32606</v>
      </c>
      <c r="G12656" t="s">
        <v>32613</v>
      </c>
      <c r="H12656" t="s">
        <v>14201</v>
      </c>
      <c r="I12656" t="s">
        <v>32631</v>
      </c>
      <c r="J12656" t="s">
        <v>40609</v>
      </c>
      <c r="K12656" t="s">
        <v>42624</v>
      </c>
      <c r="M12656" t="s">
        <v>46803</v>
      </c>
      <c r="N12656" t="s">
        <v>47304</v>
      </c>
      <c r="O12656" t="s">
        <v>47305</v>
      </c>
      <c r="P12656">
        <v>0</v>
      </c>
      <c r="Q12656">
        <v>1</v>
      </c>
      <c r="R12656" t="s">
        <v>47319</v>
      </c>
      <c r="S12656" t="s">
        <v>47813</v>
      </c>
      <c r="T12656" t="s">
        <v>48996</v>
      </c>
      <c r="U12656" t="s">
        <v>59999</v>
      </c>
      <c r="W12656" t="s">
        <v>46803</v>
      </c>
      <c r="X12656" t="s">
        <v>47320</v>
      </c>
    </row>
    <row r="12657" spans="1:24">
      <c r="A12657">
        <f>HYPERLINK("https://www.philgeps.gov.ph/GEPSNONPILOT/Tender/SplashBidNoticeAbstractUI.aspx?menuIndex=3&amp;refID=7172742&amp;Result=3","7172742")</f>
        <v>0</v>
      </c>
      <c r="B12657" t="s">
        <v>726</v>
      </c>
      <c r="C12657" t="s">
        <v>15822</v>
      </c>
      <c r="D12657" t="s">
        <v>19009</v>
      </c>
      <c r="E12657" t="s">
        <v>29841</v>
      </c>
      <c r="F12657" t="s">
        <v>32606</v>
      </c>
      <c r="G12657" t="s">
        <v>32613</v>
      </c>
      <c r="H12657" t="s">
        <v>32623</v>
      </c>
      <c r="I12657" t="s">
        <v>17648</v>
      </c>
      <c r="J12657" t="s">
        <v>40610</v>
      </c>
      <c r="K12657" t="s">
        <v>42792</v>
      </c>
      <c r="M12657" t="s">
        <v>46187</v>
      </c>
      <c r="N12657" t="s">
        <v>47304</v>
      </c>
      <c r="O12657" t="s">
        <v>47305</v>
      </c>
      <c r="P12657">
        <v>0</v>
      </c>
      <c r="Q12657">
        <v>0</v>
      </c>
      <c r="R12657" t="s">
        <v>47319</v>
      </c>
      <c r="S12657" t="s">
        <v>47813</v>
      </c>
      <c r="T12657" t="s">
        <v>48987</v>
      </c>
      <c r="U12657" t="s">
        <v>60000</v>
      </c>
      <c r="V12657" t="s">
        <v>64024</v>
      </c>
      <c r="W12657" t="s">
        <v>46187</v>
      </c>
      <c r="X12657" t="s">
        <v>47320</v>
      </c>
    </row>
    <row r="12658" spans="1:24">
      <c r="A12658">
        <f>HYPERLINK("https://www.philgeps.gov.ph/GEPSNONPILOT/Tender/SplashBidNoticeAbstractUI.aspx?menuIndex=3&amp;refID=7172741&amp;Result=3","7172741")</f>
        <v>0</v>
      </c>
      <c r="B12658" t="s">
        <v>2326</v>
      </c>
      <c r="C12658" t="s">
        <v>15823</v>
      </c>
      <c r="E12658" t="s">
        <v>29842</v>
      </c>
      <c r="F12658" t="s">
        <v>32606</v>
      </c>
      <c r="G12658" t="s">
        <v>32613</v>
      </c>
      <c r="H12658" t="s">
        <v>14201</v>
      </c>
      <c r="I12658" t="s">
        <v>32662</v>
      </c>
      <c r="J12658" t="s">
        <v>40611</v>
      </c>
      <c r="K12658" t="s">
        <v>42624</v>
      </c>
      <c r="M12658" t="s">
        <v>45434</v>
      </c>
      <c r="N12658" t="s">
        <v>47304</v>
      </c>
      <c r="O12658" t="s">
        <v>47305</v>
      </c>
      <c r="P12658">
        <v>0</v>
      </c>
      <c r="Q12658">
        <v>4</v>
      </c>
      <c r="R12658" t="s">
        <v>47319</v>
      </c>
      <c r="S12658" t="s">
        <v>47813</v>
      </c>
      <c r="T12658" t="s">
        <v>48996</v>
      </c>
      <c r="U12658" t="s">
        <v>60001</v>
      </c>
      <c r="W12658" t="s">
        <v>45434</v>
      </c>
      <c r="X12658" t="s">
        <v>47320</v>
      </c>
    </row>
    <row r="12659" spans="1:24">
      <c r="A12659">
        <f>HYPERLINK("https://www.philgeps.gov.ph/GEPSNONPILOT/Tender/SplashBidNoticeAbstractUI.aspx?menuIndex=3&amp;refID=7172719&amp;Result=3","7172719")</f>
        <v>0</v>
      </c>
      <c r="B12659" t="s">
        <v>1851</v>
      </c>
      <c r="C12659" t="s">
        <v>15824</v>
      </c>
      <c r="D12659" t="s">
        <v>19006</v>
      </c>
      <c r="E12659" t="s">
        <v>29843</v>
      </c>
      <c r="F12659" t="s">
        <v>32606</v>
      </c>
      <c r="G12659" t="s">
        <v>32613</v>
      </c>
      <c r="H12659" t="s">
        <v>14201</v>
      </c>
      <c r="I12659" t="s">
        <v>32646</v>
      </c>
      <c r="J12659" t="s">
        <v>40612</v>
      </c>
      <c r="K12659" t="s">
        <v>42627</v>
      </c>
      <c r="M12659" t="s">
        <v>44905</v>
      </c>
      <c r="N12659" t="s">
        <v>47304</v>
      </c>
      <c r="O12659" t="s">
        <v>47305</v>
      </c>
      <c r="P12659">
        <v>0</v>
      </c>
      <c r="Q12659">
        <v>0</v>
      </c>
      <c r="R12659" t="s">
        <v>47319</v>
      </c>
      <c r="S12659" t="s">
        <v>47813</v>
      </c>
      <c r="T12659" t="s">
        <v>48996</v>
      </c>
      <c r="U12659" t="s">
        <v>60002</v>
      </c>
      <c r="W12659" t="s">
        <v>44905</v>
      </c>
      <c r="X12659" t="s">
        <v>47320</v>
      </c>
    </row>
    <row r="12660" spans="1:24">
      <c r="A12660">
        <f>HYPERLINK("https://www.philgeps.gov.ph/GEPSNONPILOT/Tender/SplashBidNoticeAbstractUI.aspx?menuIndex=3&amp;refID=7172732&amp;Result=3","7172732")</f>
        <v>0</v>
      </c>
      <c r="B12660" t="s">
        <v>3531</v>
      </c>
      <c r="C12660" t="s">
        <v>15825</v>
      </c>
      <c r="D12660" t="s">
        <v>19013</v>
      </c>
      <c r="E12660" t="s">
        <v>19311</v>
      </c>
      <c r="F12660" t="s">
        <v>32606</v>
      </c>
      <c r="G12660" t="s">
        <v>32613</v>
      </c>
      <c r="H12660" t="s">
        <v>14201</v>
      </c>
      <c r="I12660" t="s">
        <v>6931</v>
      </c>
      <c r="J12660" t="s">
        <v>40613</v>
      </c>
      <c r="K12660" t="s">
        <v>42630</v>
      </c>
      <c r="M12660" t="s">
        <v>46804</v>
      </c>
      <c r="N12660" t="s">
        <v>47304</v>
      </c>
      <c r="O12660" t="s">
        <v>47305</v>
      </c>
      <c r="P12660">
        <v>0</v>
      </c>
      <c r="Q12660">
        <v>1</v>
      </c>
      <c r="R12660" t="s">
        <v>47319</v>
      </c>
      <c r="S12660" t="s">
        <v>47813</v>
      </c>
      <c r="T12660" t="s">
        <v>48980</v>
      </c>
      <c r="U12660" t="s">
        <v>60003</v>
      </c>
      <c r="V12660" t="s">
        <v>63077</v>
      </c>
      <c r="W12660" t="s">
        <v>46804</v>
      </c>
      <c r="X12660" t="s">
        <v>47320</v>
      </c>
    </row>
    <row r="12661" spans="1:24">
      <c r="A12661">
        <f>HYPERLINK("https://www.philgeps.gov.ph/GEPSNONPILOT/Tender/SplashBidNoticeAbstractUI.aspx?menuIndex=3&amp;refID=7172715&amp;Result=3","7172715")</f>
        <v>0</v>
      </c>
      <c r="B12661" t="s">
        <v>2439</v>
      </c>
      <c r="C12661" t="s">
        <v>15723</v>
      </c>
      <c r="D12661" t="s">
        <v>18993</v>
      </c>
      <c r="E12661" t="s">
        <v>19249</v>
      </c>
      <c r="F12661" t="s">
        <v>32606</v>
      </c>
      <c r="G12661" t="s">
        <v>32613</v>
      </c>
      <c r="H12661" t="s">
        <v>14201</v>
      </c>
      <c r="I12661" t="s">
        <v>32746</v>
      </c>
      <c r="J12661" t="s">
        <v>32821</v>
      </c>
      <c r="K12661" t="s">
        <v>42624</v>
      </c>
      <c r="M12661" t="s">
        <v>45566</v>
      </c>
      <c r="N12661" t="s">
        <v>47304</v>
      </c>
      <c r="O12661" t="s">
        <v>47305</v>
      </c>
      <c r="Q12661">
        <v>9</v>
      </c>
      <c r="R12661" t="s">
        <v>47319</v>
      </c>
      <c r="S12661" t="s">
        <v>47868</v>
      </c>
      <c r="T12661" t="s">
        <v>49062</v>
      </c>
      <c r="U12661" t="s">
        <v>60004</v>
      </c>
      <c r="W12661" t="s">
        <v>45566</v>
      </c>
      <c r="X12661" t="s">
        <v>47320</v>
      </c>
    </row>
    <row r="12662" spans="1:24">
      <c r="A12662">
        <f>HYPERLINK("https://www.philgeps.gov.ph/GEPSNONPILOT/Tender/SplashBidNoticeAbstractUI.aspx?menuIndex=3&amp;refID=7172523&amp;Result=3","7172523")</f>
        <v>0</v>
      </c>
      <c r="B12662" t="s">
        <v>2042</v>
      </c>
      <c r="C12662" t="s">
        <v>15826</v>
      </c>
      <c r="D12662" t="s">
        <v>19070</v>
      </c>
      <c r="E12662" t="s">
        <v>29844</v>
      </c>
      <c r="F12662" t="s">
        <v>32606</v>
      </c>
      <c r="G12662" t="s">
        <v>32613</v>
      </c>
      <c r="H12662" t="s">
        <v>14201</v>
      </c>
      <c r="I12662" t="s">
        <v>6298</v>
      </c>
      <c r="J12662" t="s">
        <v>35809</v>
      </c>
      <c r="K12662" t="s">
        <v>42631</v>
      </c>
      <c r="M12662" t="s">
        <v>45120</v>
      </c>
      <c r="N12662" t="s">
        <v>47304</v>
      </c>
      <c r="O12662" t="s">
        <v>47305</v>
      </c>
      <c r="P12662">
        <v>0</v>
      </c>
      <c r="Q12662">
        <v>3</v>
      </c>
      <c r="R12662" t="s">
        <v>47319</v>
      </c>
      <c r="S12662" t="s">
        <v>47813</v>
      </c>
      <c r="T12662" t="s">
        <v>49065</v>
      </c>
      <c r="U12662" t="s">
        <v>54658</v>
      </c>
      <c r="V12662" t="s">
        <v>63230</v>
      </c>
      <c r="W12662" t="s">
        <v>45120</v>
      </c>
      <c r="X12662" t="s">
        <v>47320</v>
      </c>
    </row>
    <row r="12663" spans="1:24">
      <c r="A12663">
        <f>HYPERLINK("https://www.philgeps.gov.ph/GEPSNONPILOT/Tender/SplashBidNoticeAbstractUI.aspx?menuIndex=3&amp;refID=7172775&amp;Result=3","7172775")</f>
        <v>0</v>
      </c>
      <c r="B12663" t="s">
        <v>876</v>
      </c>
      <c r="C12663" t="s">
        <v>15827</v>
      </c>
      <c r="D12663" t="s">
        <v>19038</v>
      </c>
      <c r="E12663" t="s">
        <v>29845</v>
      </c>
      <c r="F12663" t="s">
        <v>32606</v>
      </c>
      <c r="G12663" t="s">
        <v>32613</v>
      </c>
      <c r="H12663" t="s">
        <v>14201</v>
      </c>
      <c r="I12663" t="s">
        <v>6931</v>
      </c>
      <c r="J12663" t="s">
        <v>40614</v>
      </c>
      <c r="K12663" t="s">
        <v>42624</v>
      </c>
      <c r="M12663" t="s">
        <v>43812</v>
      </c>
      <c r="N12663" t="s">
        <v>47304</v>
      </c>
      <c r="O12663" t="s">
        <v>47305</v>
      </c>
      <c r="P12663">
        <v>0</v>
      </c>
      <c r="Q12663">
        <v>0</v>
      </c>
      <c r="R12663" t="s">
        <v>47319</v>
      </c>
      <c r="S12663" t="s">
        <v>47813</v>
      </c>
      <c r="T12663" t="s">
        <v>49075</v>
      </c>
      <c r="U12663" t="s">
        <v>60005</v>
      </c>
      <c r="W12663" t="s">
        <v>43812</v>
      </c>
      <c r="X12663" t="s">
        <v>47320</v>
      </c>
    </row>
    <row r="12664" spans="1:24">
      <c r="A12664">
        <f>HYPERLINK("https://www.philgeps.gov.ph/GEPSNONPILOT/Tender/SplashBidNoticeAbstractUI.aspx?menuIndex=3&amp;refID=7172782&amp;Result=3","7172782")</f>
        <v>0</v>
      </c>
      <c r="B12664" t="s">
        <v>2326</v>
      </c>
      <c r="C12664" t="s">
        <v>15828</v>
      </c>
      <c r="E12664" t="s">
        <v>29846</v>
      </c>
      <c r="F12664" t="s">
        <v>32606</v>
      </c>
      <c r="G12664" t="s">
        <v>32613</v>
      </c>
      <c r="H12664" t="s">
        <v>14201</v>
      </c>
      <c r="I12664" t="s">
        <v>32638</v>
      </c>
      <c r="J12664" t="s">
        <v>40615</v>
      </c>
      <c r="K12664" t="s">
        <v>42624</v>
      </c>
      <c r="M12664" t="s">
        <v>45434</v>
      </c>
      <c r="N12664" t="s">
        <v>47304</v>
      </c>
      <c r="O12664" t="s">
        <v>47305</v>
      </c>
      <c r="P12664">
        <v>0</v>
      </c>
      <c r="Q12664">
        <v>3</v>
      </c>
      <c r="R12664" t="s">
        <v>47319</v>
      </c>
      <c r="S12664" t="s">
        <v>47813</v>
      </c>
      <c r="T12664" t="s">
        <v>48996</v>
      </c>
      <c r="U12664" t="s">
        <v>60006</v>
      </c>
      <c r="W12664" t="s">
        <v>45434</v>
      </c>
      <c r="X12664" t="s">
        <v>47320</v>
      </c>
    </row>
    <row r="12665" spans="1:24">
      <c r="A12665">
        <f>HYPERLINK("https://www.philgeps.gov.ph/GEPSNONPILOT/Tender/SplashBidNoticeAbstractUI.aspx?menuIndex=3&amp;refID=7172592&amp;Result=3","7172592")</f>
        <v>0</v>
      </c>
      <c r="B12665" t="s">
        <v>3524</v>
      </c>
      <c r="C12665" t="s">
        <v>15829</v>
      </c>
      <c r="D12665" t="s">
        <v>19023</v>
      </c>
      <c r="E12665" t="s">
        <v>29847</v>
      </c>
      <c r="F12665" t="s">
        <v>32606</v>
      </c>
      <c r="G12665" t="s">
        <v>32613</v>
      </c>
      <c r="H12665" t="s">
        <v>14201</v>
      </c>
      <c r="I12665" t="s">
        <v>6931</v>
      </c>
      <c r="J12665" t="s">
        <v>33986</v>
      </c>
      <c r="K12665" t="s">
        <v>42631</v>
      </c>
      <c r="M12665" t="s">
        <v>46795</v>
      </c>
      <c r="N12665" t="s">
        <v>47304</v>
      </c>
      <c r="O12665" t="s">
        <v>47305</v>
      </c>
      <c r="P12665">
        <v>0</v>
      </c>
      <c r="Q12665">
        <v>0</v>
      </c>
      <c r="R12665" t="s">
        <v>47319</v>
      </c>
      <c r="S12665" t="s">
        <v>47813</v>
      </c>
      <c r="T12665" t="s">
        <v>49076</v>
      </c>
      <c r="U12665" t="s">
        <v>60007</v>
      </c>
      <c r="W12665" t="s">
        <v>46795</v>
      </c>
      <c r="X12665" t="s">
        <v>47320</v>
      </c>
    </row>
    <row r="12666" spans="1:24">
      <c r="A12666">
        <f>HYPERLINK("https://www.philgeps.gov.ph/GEPSNONPILOT/Tender/SplashBidNoticeAbstractUI.aspx?menuIndex=3&amp;refID=7172976&amp;Result=3","7172976")</f>
        <v>0</v>
      </c>
      <c r="B12666" t="s">
        <v>3532</v>
      </c>
      <c r="C12666" t="s">
        <v>15830</v>
      </c>
      <c r="D12666" t="s">
        <v>19006</v>
      </c>
      <c r="E12666" t="s">
        <v>29848</v>
      </c>
      <c r="F12666" t="s">
        <v>32606</v>
      </c>
      <c r="G12666" t="s">
        <v>32613</v>
      </c>
      <c r="H12666" t="s">
        <v>32623</v>
      </c>
      <c r="I12666" t="s">
        <v>17648</v>
      </c>
      <c r="J12666" t="s">
        <v>32861</v>
      </c>
      <c r="K12666" t="s">
        <v>42682</v>
      </c>
      <c r="M12666" t="s">
        <v>46805</v>
      </c>
      <c r="N12666" t="s">
        <v>47304</v>
      </c>
      <c r="O12666" t="s">
        <v>47305</v>
      </c>
      <c r="P12666">
        <v>0</v>
      </c>
      <c r="Q12666">
        <v>2</v>
      </c>
      <c r="R12666" t="s">
        <v>47319</v>
      </c>
      <c r="S12666" t="s">
        <v>47813</v>
      </c>
      <c r="T12666" t="s">
        <v>49016</v>
      </c>
      <c r="U12666" t="s">
        <v>60008</v>
      </c>
      <c r="W12666" t="s">
        <v>46805</v>
      </c>
      <c r="X12666" t="s">
        <v>47320</v>
      </c>
    </row>
    <row r="12667" spans="1:24">
      <c r="A12667">
        <f>HYPERLINK("https://www.philgeps.gov.ph/GEPSNONPILOT/Tender/SplashBidNoticeAbstractUI.aspx?menuIndex=3&amp;refID=7172966&amp;Result=3","7172966")</f>
        <v>0</v>
      </c>
      <c r="B12667" t="s">
        <v>3533</v>
      </c>
      <c r="C12667" t="s">
        <v>15831</v>
      </c>
      <c r="D12667" t="s">
        <v>19014</v>
      </c>
      <c r="E12667" t="s">
        <v>23179</v>
      </c>
      <c r="F12667" t="s">
        <v>32606</v>
      </c>
      <c r="G12667" t="s">
        <v>32613</v>
      </c>
      <c r="H12667" t="s">
        <v>14201</v>
      </c>
      <c r="I12667" t="s">
        <v>6007</v>
      </c>
      <c r="J12667" t="s">
        <v>32861</v>
      </c>
      <c r="K12667" t="s">
        <v>42646</v>
      </c>
      <c r="L12667" t="s">
        <v>3533</v>
      </c>
      <c r="M12667" t="s">
        <v>46806</v>
      </c>
      <c r="N12667" t="s">
        <v>47304</v>
      </c>
      <c r="O12667" t="s">
        <v>47305</v>
      </c>
      <c r="Q12667">
        <v>7</v>
      </c>
      <c r="R12667" t="s">
        <v>47319</v>
      </c>
      <c r="S12667" t="s">
        <v>47869</v>
      </c>
      <c r="T12667" t="s">
        <v>49267</v>
      </c>
      <c r="U12667" t="s">
        <v>60009</v>
      </c>
      <c r="V12667" t="s">
        <v>64025</v>
      </c>
      <c r="W12667" t="s">
        <v>46806</v>
      </c>
      <c r="X12667" t="s">
        <v>47320</v>
      </c>
    </row>
    <row r="12668" spans="1:24">
      <c r="A12668">
        <f>HYPERLINK("https://www.philgeps.gov.ph/GEPSNONPILOT/Tender/SplashBidNoticeAbstractUI.aspx?menuIndex=3&amp;refID=7172947&amp;Result=3","7172947")</f>
        <v>0</v>
      </c>
      <c r="B12668" t="s">
        <v>119</v>
      </c>
      <c r="C12668" t="s">
        <v>15832</v>
      </c>
      <c r="D12668" t="s">
        <v>19006</v>
      </c>
      <c r="E12668" t="s">
        <v>29849</v>
      </c>
      <c r="F12668" t="s">
        <v>32606</v>
      </c>
      <c r="G12668" t="s">
        <v>32613</v>
      </c>
      <c r="H12668" t="s">
        <v>14201</v>
      </c>
      <c r="I12668" t="s">
        <v>32629</v>
      </c>
      <c r="J12668" t="s">
        <v>40616</v>
      </c>
      <c r="K12668" t="s">
        <v>42714</v>
      </c>
      <c r="M12668" t="s">
        <v>46807</v>
      </c>
      <c r="N12668" t="s">
        <v>47304</v>
      </c>
      <c r="O12668" t="s">
        <v>47305</v>
      </c>
      <c r="P12668">
        <v>0</v>
      </c>
      <c r="Q12668">
        <v>0</v>
      </c>
      <c r="R12668" t="s">
        <v>47319</v>
      </c>
      <c r="S12668" t="s">
        <v>47813</v>
      </c>
      <c r="T12668" t="s">
        <v>49081</v>
      </c>
      <c r="U12668" t="s">
        <v>60010</v>
      </c>
      <c r="W12668" t="s">
        <v>46807</v>
      </c>
      <c r="X12668" t="s">
        <v>47320</v>
      </c>
    </row>
    <row r="12669" spans="1:24">
      <c r="A12669">
        <f>HYPERLINK("https://www.philgeps.gov.ph/GEPSNONPILOT/Tender/SplashBidNoticeAbstractUI.aspx?menuIndex=3&amp;refID=7172941&amp;Result=3","7172941")</f>
        <v>0</v>
      </c>
      <c r="B12669" t="s">
        <v>3254</v>
      </c>
      <c r="C12669" t="s">
        <v>15833</v>
      </c>
      <c r="D12669" t="s">
        <v>19002</v>
      </c>
      <c r="E12669" t="s">
        <v>19151</v>
      </c>
      <c r="F12669" t="s">
        <v>32606</v>
      </c>
      <c r="G12669" t="s">
        <v>32613</v>
      </c>
      <c r="H12669" t="s">
        <v>14201</v>
      </c>
      <c r="I12669" t="s">
        <v>32650</v>
      </c>
      <c r="J12669" t="s">
        <v>32789</v>
      </c>
      <c r="K12669" t="s">
        <v>42623</v>
      </c>
      <c r="M12669" t="s">
        <v>46488</v>
      </c>
      <c r="N12669" t="s">
        <v>47304</v>
      </c>
      <c r="O12669" t="s">
        <v>47305</v>
      </c>
      <c r="P12669">
        <v>0</v>
      </c>
      <c r="Q12669">
        <v>1</v>
      </c>
      <c r="R12669" t="s">
        <v>47319</v>
      </c>
      <c r="S12669" t="s">
        <v>47813</v>
      </c>
      <c r="T12669" t="s">
        <v>49315</v>
      </c>
      <c r="U12669" t="s">
        <v>60011</v>
      </c>
      <c r="W12669" t="s">
        <v>46488</v>
      </c>
      <c r="X12669" t="s">
        <v>47320</v>
      </c>
    </row>
    <row r="12670" spans="1:24">
      <c r="A12670">
        <f>HYPERLINK("https://www.philgeps.gov.ph/GEPSNONPILOT/Tender/SplashBidNoticeAbstractUI.aspx?menuIndex=3&amp;refID=7172718&amp;Result=3","7172718")</f>
        <v>0</v>
      </c>
      <c r="B12670" t="s">
        <v>2326</v>
      </c>
      <c r="C12670" t="s">
        <v>15834</v>
      </c>
      <c r="E12670" t="s">
        <v>29850</v>
      </c>
      <c r="F12670" t="s">
        <v>32606</v>
      </c>
      <c r="G12670" t="s">
        <v>32613</v>
      </c>
      <c r="H12670" t="s">
        <v>14201</v>
      </c>
      <c r="I12670" t="s">
        <v>32662</v>
      </c>
      <c r="J12670" t="s">
        <v>40617</v>
      </c>
      <c r="K12670" t="s">
        <v>42624</v>
      </c>
      <c r="M12670" t="s">
        <v>45434</v>
      </c>
      <c r="N12670" t="s">
        <v>47304</v>
      </c>
      <c r="O12670" t="s">
        <v>47305</v>
      </c>
      <c r="P12670">
        <v>0</v>
      </c>
      <c r="Q12670">
        <v>10</v>
      </c>
      <c r="R12670" t="s">
        <v>47319</v>
      </c>
      <c r="S12670" t="s">
        <v>47813</v>
      </c>
      <c r="T12670" t="s">
        <v>48996</v>
      </c>
      <c r="U12670" t="s">
        <v>60012</v>
      </c>
      <c r="W12670" t="s">
        <v>45434</v>
      </c>
      <c r="X12670" t="s">
        <v>47320</v>
      </c>
    </row>
    <row r="12671" spans="1:24">
      <c r="A12671">
        <f>HYPERLINK("https://www.philgeps.gov.ph/GEPSNONPILOT/Tender/SplashBidNoticeAbstractUI.aspx?menuIndex=3&amp;refID=7172932&amp;Result=3","7172932")</f>
        <v>0</v>
      </c>
      <c r="B12671" t="s">
        <v>3534</v>
      </c>
      <c r="C12671" t="s">
        <v>15835</v>
      </c>
      <c r="D12671" t="s">
        <v>19008</v>
      </c>
      <c r="E12671" t="s">
        <v>29851</v>
      </c>
      <c r="F12671" t="s">
        <v>32607</v>
      </c>
      <c r="G12671" t="s">
        <v>32613</v>
      </c>
      <c r="H12671" t="s">
        <v>14201</v>
      </c>
      <c r="I12671" t="s">
        <v>6931</v>
      </c>
      <c r="J12671" t="s">
        <v>40618</v>
      </c>
      <c r="K12671" t="s">
        <v>42627</v>
      </c>
      <c r="M12671" t="s">
        <v>46808</v>
      </c>
      <c r="N12671" t="s">
        <v>47304</v>
      </c>
      <c r="O12671" t="s">
        <v>47305</v>
      </c>
      <c r="P12671">
        <v>0</v>
      </c>
      <c r="Q12671">
        <v>0</v>
      </c>
      <c r="R12671" t="s">
        <v>47319</v>
      </c>
      <c r="S12671" t="s">
        <v>47813</v>
      </c>
      <c r="T12671" t="s">
        <v>49148</v>
      </c>
      <c r="U12671" t="s">
        <v>54796</v>
      </c>
      <c r="V12671" t="s">
        <v>64026</v>
      </c>
      <c r="W12671" t="s">
        <v>46808</v>
      </c>
      <c r="X12671" t="s">
        <v>47320</v>
      </c>
    </row>
    <row r="12672" spans="1:24">
      <c r="A12672">
        <f>HYPERLINK("https://www.philgeps.gov.ph/GEPSNONPILOT/Tender/SplashBidNoticeAbstractUI.aspx?menuIndex=3&amp;refID=7172917&amp;Result=3","7172917")</f>
        <v>0</v>
      </c>
      <c r="B12672" t="s">
        <v>3535</v>
      </c>
      <c r="C12672" t="s">
        <v>15836</v>
      </c>
      <c r="D12672" t="s">
        <v>19049</v>
      </c>
      <c r="E12672" t="s">
        <v>29852</v>
      </c>
      <c r="F12672" t="s">
        <v>32606</v>
      </c>
      <c r="G12672" t="s">
        <v>32613</v>
      </c>
      <c r="H12672" t="s">
        <v>32623</v>
      </c>
      <c r="I12672" t="s">
        <v>17648</v>
      </c>
      <c r="J12672" t="s">
        <v>36161</v>
      </c>
      <c r="K12672" t="s">
        <v>42656</v>
      </c>
      <c r="M12672" t="s">
        <v>46809</v>
      </c>
      <c r="N12672" t="s">
        <v>47304</v>
      </c>
      <c r="O12672" t="s">
        <v>47305</v>
      </c>
      <c r="Q12672">
        <v>2</v>
      </c>
      <c r="R12672" t="s">
        <v>47319</v>
      </c>
      <c r="S12672" t="s">
        <v>47870</v>
      </c>
      <c r="T12672" t="s">
        <v>48996</v>
      </c>
      <c r="U12672" t="s">
        <v>60013</v>
      </c>
      <c r="W12672" t="s">
        <v>46809</v>
      </c>
      <c r="X12672" t="s">
        <v>47320</v>
      </c>
    </row>
    <row r="12673" spans="1:24">
      <c r="A12673">
        <f>HYPERLINK("https://www.philgeps.gov.ph/GEPSNONPILOT/Tender/SplashBidNoticeAbstractUI.aspx?menuIndex=3&amp;refID=7172699&amp;Result=3","7172699")</f>
        <v>0</v>
      </c>
      <c r="B12673" t="s">
        <v>2326</v>
      </c>
      <c r="C12673" t="s">
        <v>15837</v>
      </c>
      <c r="E12673" t="s">
        <v>29853</v>
      </c>
      <c r="F12673" t="s">
        <v>32606</v>
      </c>
      <c r="G12673" t="s">
        <v>32613</v>
      </c>
      <c r="H12673" t="s">
        <v>14201</v>
      </c>
      <c r="I12673" t="s">
        <v>32662</v>
      </c>
      <c r="J12673" t="s">
        <v>40619</v>
      </c>
      <c r="K12673" t="s">
        <v>42624</v>
      </c>
      <c r="M12673" t="s">
        <v>45434</v>
      </c>
      <c r="N12673" t="s">
        <v>47304</v>
      </c>
      <c r="O12673" t="s">
        <v>47305</v>
      </c>
      <c r="P12673">
        <v>0</v>
      </c>
      <c r="Q12673">
        <v>5</v>
      </c>
      <c r="R12673" t="s">
        <v>47319</v>
      </c>
      <c r="S12673" t="s">
        <v>47813</v>
      </c>
      <c r="T12673" t="s">
        <v>48996</v>
      </c>
      <c r="U12673" t="s">
        <v>60014</v>
      </c>
      <c r="W12673" t="s">
        <v>45434</v>
      </c>
      <c r="X12673" t="s">
        <v>47320</v>
      </c>
    </row>
    <row r="12674" spans="1:24">
      <c r="A12674">
        <f>HYPERLINK("https://www.philgeps.gov.ph/GEPSNONPILOT/Tender/SplashBidNoticeAbstractUI.aspx?menuIndex=3&amp;refID=7172916&amp;Result=3","7172916")</f>
        <v>0</v>
      </c>
      <c r="B12674" t="s">
        <v>634</v>
      </c>
      <c r="C12674" t="s">
        <v>15838</v>
      </c>
      <c r="D12674" t="s">
        <v>19056</v>
      </c>
      <c r="E12674" t="s">
        <v>29854</v>
      </c>
      <c r="F12674" t="s">
        <v>32606</v>
      </c>
      <c r="G12674" t="s">
        <v>32613</v>
      </c>
      <c r="H12674" t="s">
        <v>32623</v>
      </c>
      <c r="I12674" t="s">
        <v>17648</v>
      </c>
      <c r="J12674" t="s">
        <v>40620</v>
      </c>
      <c r="K12674" t="s">
        <v>42752</v>
      </c>
      <c r="M12674" t="s">
        <v>43552</v>
      </c>
      <c r="N12674" t="s">
        <v>47304</v>
      </c>
      <c r="O12674" t="s">
        <v>47305</v>
      </c>
      <c r="P12674">
        <v>0</v>
      </c>
      <c r="Q12674">
        <v>1</v>
      </c>
      <c r="R12674" t="s">
        <v>47319</v>
      </c>
      <c r="S12674" t="s">
        <v>47813</v>
      </c>
      <c r="T12674" t="s">
        <v>49116</v>
      </c>
      <c r="U12674" t="s">
        <v>60015</v>
      </c>
      <c r="W12674" t="s">
        <v>43552</v>
      </c>
      <c r="X12674" t="s">
        <v>47320</v>
      </c>
    </row>
    <row r="12675" spans="1:24">
      <c r="A12675">
        <f>HYPERLINK("https://www.philgeps.gov.ph/GEPSNONPILOT/Tender/SplashBidNoticeAbstractUI.aspx?menuIndex=3&amp;refID=7172907&amp;Result=3","7172907")</f>
        <v>0</v>
      </c>
      <c r="B12675" t="s">
        <v>1331</v>
      </c>
      <c r="C12675" t="s">
        <v>15839</v>
      </c>
      <c r="D12675" t="s">
        <v>18999</v>
      </c>
      <c r="E12675" t="s">
        <v>29855</v>
      </c>
      <c r="F12675" t="s">
        <v>32606</v>
      </c>
      <c r="G12675" t="s">
        <v>32613</v>
      </c>
      <c r="H12675" t="s">
        <v>32623</v>
      </c>
      <c r="I12675" t="s">
        <v>17648</v>
      </c>
      <c r="J12675" t="s">
        <v>40327</v>
      </c>
      <c r="K12675" t="s">
        <v>42648</v>
      </c>
      <c r="M12675" t="s">
        <v>44399</v>
      </c>
      <c r="N12675" t="s">
        <v>47304</v>
      </c>
      <c r="O12675" t="s">
        <v>47305</v>
      </c>
      <c r="Q12675">
        <v>20</v>
      </c>
      <c r="R12675" t="s">
        <v>47319</v>
      </c>
      <c r="S12675" t="s">
        <v>47871</v>
      </c>
      <c r="T12675" t="s">
        <v>49107</v>
      </c>
      <c r="U12675" t="s">
        <v>60016</v>
      </c>
      <c r="W12675" t="s">
        <v>64472</v>
      </c>
      <c r="X12675" t="s">
        <v>47320</v>
      </c>
    </row>
    <row r="12676" spans="1:24">
      <c r="A12676">
        <f>HYPERLINK("https://www.philgeps.gov.ph/GEPSNONPILOT/Tender/SplashBidNoticeAbstractUI.aspx?menuIndex=3&amp;refID=7172563&amp;Result=3","7172563")</f>
        <v>0</v>
      </c>
      <c r="B12676" t="s">
        <v>3536</v>
      </c>
      <c r="C12676" t="s">
        <v>15840</v>
      </c>
      <c r="D12676" t="s">
        <v>19016</v>
      </c>
      <c r="E12676" t="s">
        <v>29856</v>
      </c>
      <c r="F12676" t="s">
        <v>32606</v>
      </c>
      <c r="G12676" t="s">
        <v>32613</v>
      </c>
      <c r="H12676" t="s">
        <v>14201</v>
      </c>
      <c r="I12676" t="s">
        <v>7064</v>
      </c>
      <c r="J12676" t="s">
        <v>40621</v>
      </c>
      <c r="K12676" t="s">
        <v>42631</v>
      </c>
      <c r="M12676" t="s">
        <v>46810</v>
      </c>
      <c r="N12676" t="s">
        <v>47304</v>
      </c>
      <c r="O12676" t="s">
        <v>47305</v>
      </c>
      <c r="P12676">
        <v>0</v>
      </c>
      <c r="Q12676">
        <v>8</v>
      </c>
      <c r="R12676" t="s">
        <v>47319</v>
      </c>
      <c r="S12676" t="s">
        <v>47813</v>
      </c>
      <c r="T12676" t="s">
        <v>48987</v>
      </c>
      <c r="U12676" t="s">
        <v>60017</v>
      </c>
      <c r="W12676" t="s">
        <v>46810</v>
      </c>
      <c r="X12676" t="s">
        <v>47320</v>
      </c>
    </row>
    <row r="12677" spans="1:24">
      <c r="A12677">
        <f>HYPERLINK("https://www.philgeps.gov.ph/GEPSNONPILOT/Tender/SplashBidNoticeAbstractUI.aspx?menuIndex=3&amp;refID=7172881&amp;Result=3","7172881")</f>
        <v>0</v>
      </c>
      <c r="B12677" t="s">
        <v>1331</v>
      </c>
      <c r="C12677" t="s">
        <v>15841</v>
      </c>
      <c r="D12677" t="s">
        <v>18999</v>
      </c>
      <c r="E12677" t="s">
        <v>29857</v>
      </c>
      <c r="F12677" t="s">
        <v>32606</v>
      </c>
      <c r="G12677" t="s">
        <v>32613</v>
      </c>
      <c r="H12677" t="s">
        <v>32623</v>
      </c>
      <c r="I12677" t="s">
        <v>17648</v>
      </c>
      <c r="J12677" t="s">
        <v>40622</v>
      </c>
      <c r="K12677" t="s">
        <v>42631</v>
      </c>
      <c r="M12677" t="s">
        <v>44399</v>
      </c>
      <c r="N12677" t="s">
        <v>47304</v>
      </c>
      <c r="O12677" t="s">
        <v>47305</v>
      </c>
      <c r="Q12677">
        <v>19</v>
      </c>
      <c r="R12677" t="s">
        <v>47319</v>
      </c>
      <c r="S12677" t="s">
        <v>47872</v>
      </c>
      <c r="T12677" t="s">
        <v>49107</v>
      </c>
      <c r="U12677" t="s">
        <v>60016</v>
      </c>
      <c r="W12677" t="s">
        <v>64472</v>
      </c>
      <c r="X12677" t="s">
        <v>47320</v>
      </c>
    </row>
    <row r="12678" spans="1:24">
      <c r="A12678">
        <f>HYPERLINK("https://www.philgeps.gov.ph/GEPSNONPILOT/Tender/SplashBidNoticeAbstractUI.aspx?menuIndex=3&amp;refID=7172835&amp;Result=3","7172835")</f>
        <v>0</v>
      </c>
      <c r="B12678" t="s">
        <v>1331</v>
      </c>
      <c r="C12678" t="s">
        <v>15842</v>
      </c>
      <c r="D12678" t="s">
        <v>18999</v>
      </c>
      <c r="E12678" t="s">
        <v>29858</v>
      </c>
      <c r="F12678" t="s">
        <v>32606</v>
      </c>
      <c r="G12678" t="s">
        <v>32613</v>
      </c>
      <c r="H12678" t="s">
        <v>32623</v>
      </c>
      <c r="I12678" t="s">
        <v>17648</v>
      </c>
      <c r="J12678" t="s">
        <v>40623</v>
      </c>
      <c r="K12678" t="s">
        <v>42636</v>
      </c>
      <c r="M12678" t="s">
        <v>44399</v>
      </c>
      <c r="N12678" t="s">
        <v>47304</v>
      </c>
      <c r="O12678" t="s">
        <v>47305</v>
      </c>
      <c r="Q12678">
        <v>19</v>
      </c>
      <c r="R12678" t="s">
        <v>47319</v>
      </c>
      <c r="S12678" t="s">
        <v>47873</v>
      </c>
      <c r="T12678" t="s">
        <v>49107</v>
      </c>
      <c r="U12678" t="s">
        <v>60016</v>
      </c>
      <c r="W12678" t="s">
        <v>64472</v>
      </c>
      <c r="X12678" t="s">
        <v>47320</v>
      </c>
    </row>
    <row r="12679" spans="1:24">
      <c r="A12679">
        <f>HYPERLINK("https://www.philgeps.gov.ph/GEPSNONPILOT/Tender/SplashBidNoticeAbstractUI.aspx?menuIndex=3&amp;refID=7172813&amp;Result=3","7172813")</f>
        <v>0</v>
      </c>
      <c r="B12679" t="s">
        <v>2414</v>
      </c>
      <c r="C12679" t="s">
        <v>15843</v>
      </c>
      <c r="D12679" t="s">
        <v>19058</v>
      </c>
      <c r="E12679" t="s">
        <v>24260</v>
      </c>
      <c r="F12679" t="s">
        <v>32606</v>
      </c>
      <c r="G12679" t="s">
        <v>32617</v>
      </c>
      <c r="H12679" t="s">
        <v>14201</v>
      </c>
      <c r="I12679" t="s">
        <v>6298</v>
      </c>
      <c r="J12679" t="s">
        <v>40624</v>
      </c>
      <c r="K12679" t="s">
        <v>42639</v>
      </c>
      <c r="M12679" t="s">
        <v>45538</v>
      </c>
      <c r="N12679" t="s">
        <v>47304</v>
      </c>
      <c r="O12679" t="s">
        <v>47305</v>
      </c>
      <c r="Q12679">
        <v>6</v>
      </c>
      <c r="R12679" t="s">
        <v>47319</v>
      </c>
      <c r="S12679" t="s">
        <v>47874</v>
      </c>
      <c r="T12679" t="s">
        <v>49311</v>
      </c>
      <c r="U12679" t="s">
        <v>60018</v>
      </c>
      <c r="W12679" t="s">
        <v>45538</v>
      </c>
      <c r="X12679" t="s">
        <v>47320</v>
      </c>
    </row>
    <row r="12680" spans="1:24">
      <c r="A12680">
        <f>HYPERLINK("https://www.philgeps.gov.ph/GEPSNONPILOT/Tender/SplashBidNoticeAbstractUI.aspx?menuIndex=3&amp;refID=7172800&amp;Result=3","7172800")</f>
        <v>0</v>
      </c>
      <c r="B12680" t="s">
        <v>1474</v>
      </c>
      <c r="C12680" t="s">
        <v>15844</v>
      </c>
      <c r="D12680" t="s">
        <v>18988</v>
      </c>
      <c r="E12680" t="s">
        <v>29859</v>
      </c>
      <c r="F12680" t="s">
        <v>32606</v>
      </c>
      <c r="G12680" t="s">
        <v>32613</v>
      </c>
      <c r="H12680" t="s">
        <v>14201</v>
      </c>
      <c r="I12680" t="s">
        <v>6931</v>
      </c>
      <c r="J12680" t="s">
        <v>40625</v>
      </c>
      <c r="K12680" t="s">
        <v>42625</v>
      </c>
      <c r="M12680" t="s">
        <v>44468</v>
      </c>
      <c r="N12680" t="s">
        <v>47304</v>
      </c>
      <c r="O12680" t="s">
        <v>47305</v>
      </c>
      <c r="P12680">
        <v>0</v>
      </c>
      <c r="Q12680">
        <v>0</v>
      </c>
      <c r="R12680" t="s">
        <v>47319</v>
      </c>
      <c r="S12680" t="s">
        <v>47813</v>
      </c>
      <c r="T12680" t="s">
        <v>48977</v>
      </c>
      <c r="U12680" t="s">
        <v>60019</v>
      </c>
      <c r="W12680" t="s">
        <v>44468</v>
      </c>
      <c r="X12680" t="s">
        <v>47320</v>
      </c>
    </row>
    <row r="12681" spans="1:24">
      <c r="A12681">
        <f>HYPERLINK("https://www.philgeps.gov.ph/GEPSNONPILOT/Tender/SplashBidNoticeAbstractUI.aspx?menuIndex=3&amp;refID=7173122&amp;Result=3","7173122")</f>
        <v>0</v>
      </c>
      <c r="B12681" t="s">
        <v>2823</v>
      </c>
      <c r="C12681" t="s">
        <v>15845</v>
      </c>
      <c r="D12681" t="s">
        <v>18994</v>
      </c>
      <c r="E12681" t="s">
        <v>29860</v>
      </c>
      <c r="F12681" t="s">
        <v>32606</v>
      </c>
      <c r="G12681" t="s">
        <v>32613</v>
      </c>
      <c r="H12681" t="s">
        <v>32623</v>
      </c>
      <c r="I12681" t="s">
        <v>17648</v>
      </c>
      <c r="J12681" t="s">
        <v>40626</v>
      </c>
      <c r="K12681" t="s">
        <v>42641</v>
      </c>
      <c r="M12681" t="s">
        <v>46811</v>
      </c>
      <c r="N12681" t="s">
        <v>47304</v>
      </c>
      <c r="O12681" t="s">
        <v>47305</v>
      </c>
      <c r="P12681">
        <v>0</v>
      </c>
      <c r="Q12681">
        <v>1</v>
      </c>
      <c r="R12681" t="s">
        <v>47319</v>
      </c>
      <c r="S12681" t="s">
        <v>47813</v>
      </c>
      <c r="T12681" t="s">
        <v>49163</v>
      </c>
      <c r="U12681" t="s">
        <v>60020</v>
      </c>
      <c r="W12681" t="s">
        <v>46811</v>
      </c>
      <c r="X12681" t="s">
        <v>47320</v>
      </c>
    </row>
    <row r="12682" spans="1:24">
      <c r="A12682">
        <f>HYPERLINK("https://www.philgeps.gov.ph/GEPSNONPILOT/Tender/SplashBidNoticeAbstractUI.aspx?menuIndex=3&amp;refID=7172799&amp;Result=3","7172799")</f>
        <v>0</v>
      </c>
      <c r="B12682" t="s">
        <v>902</v>
      </c>
      <c r="C12682" t="s">
        <v>15846</v>
      </c>
      <c r="D12682" t="s">
        <v>19011</v>
      </c>
      <c r="E12682" t="s">
        <v>29861</v>
      </c>
      <c r="F12682" t="s">
        <v>32606</v>
      </c>
      <c r="G12682" t="s">
        <v>32613</v>
      </c>
      <c r="H12682" t="s">
        <v>14201</v>
      </c>
      <c r="I12682" t="s">
        <v>7064</v>
      </c>
      <c r="J12682" t="s">
        <v>35904</v>
      </c>
      <c r="K12682" t="s">
        <v>42624</v>
      </c>
      <c r="M12682" t="s">
        <v>43839</v>
      </c>
      <c r="N12682" t="s">
        <v>47304</v>
      </c>
      <c r="O12682" t="s">
        <v>47305</v>
      </c>
      <c r="Q12682">
        <v>10</v>
      </c>
      <c r="R12682" t="s">
        <v>47319</v>
      </c>
      <c r="S12682" t="s">
        <v>47875</v>
      </c>
      <c r="T12682" t="s">
        <v>48996</v>
      </c>
      <c r="U12682" t="s">
        <v>60021</v>
      </c>
      <c r="W12682" t="s">
        <v>43839</v>
      </c>
      <c r="X12682" t="s">
        <v>47320</v>
      </c>
    </row>
    <row r="12683" spans="1:24">
      <c r="A12683">
        <f>HYPERLINK("https://www.philgeps.gov.ph/GEPSNONPILOT/Tender/SplashBidNoticeAbstractUI.aspx?menuIndex=3&amp;refID=7172802&amp;Result=3","7172802")</f>
        <v>0</v>
      </c>
      <c r="B12683" t="s">
        <v>2326</v>
      </c>
      <c r="C12683" t="s">
        <v>15847</v>
      </c>
      <c r="E12683" t="s">
        <v>29862</v>
      </c>
      <c r="F12683" t="s">
        <v>32606</v>
      </c>
      <c r="G12683" t="s">
        <v>32613</v>
      </c>
      <c r="H12683" t="s">
        <v>14201</v>
      </c>
      <c r="I12683" t="s">
        <v>32633</v>
      </c>
      <c r="J12683" t="s">
        <v>38648</v>
      </c>
      <c r="K12683" t="s">
        <v>42624</v>
      </c>
      <c r="M12683" t="s">
        <v>45434</v>
      </c>
      <c r="N12683" t="s">
        <v>47304</v>
      </c>
      <c r="O12683" t="s">
        <v>47305</v>
      </c>
      <c r="P12683">
        <v>0</v>
      </c>
      <c r="Q12683">
        <v>8</v>
      </c>
      <c r="R12683" t="s">
        <v>47319</v>
      </c>
      <c r="S12683" t="s">
        <v>47813</v>
      </c>
      <c r="T12683" t="s">
        <v>48996</v>
      </c>
      <c r="U12683" t="s">
        <v>60022</v>
      </c>
      <c r="W12683" t="s">
        <v>45434</v>
      </c>
      <c r="X12683" t="s">
        <v>47320</v>
      </c>
    </row>
    <row r="12684" spans="1:24">
      <c r="A12684">
        <f>HYPERLINK("https://www.philgeps.gov.ph/GEPSNONPILOT/Tender/SplashBidNoticeAbstractUI.aspx?menuIndex=3&amp;refID=7173178&amp;Result=3","7173178")</f>
        <v>0</v>
      </c>
      <c r="B12684" t="s">
        <v>383</v>
      </c>
      <c r="C12684" t="s">
        <v>10601</v>
      </c>
      <c r="E12684" t="s">
        <v>29863</v>
      </c>
      <c r="F12684" t="s">
        <v>32606</v>
      </c>
      <c r="G12684" t="s">
        <v>32613</v>
      </c>
      <c r="H12684" t="s">
        <v>14201</v>
      </c>
      <c r="I12684" t="s">
        <v>7233</v>
      </c>
      <c r="J12684" t="s">
        <v>32926</v>
      </c>
      <c r="K12684" t="s">
        <v>42624</v>
      </c>
      <c r="M12684" t="s">
        <v>43286</v>
      </c>
      <c r="N12684" t="s">
        <v>47304</v>
      </c>
      <c r="O12684" t="s">
        <v>47305</v>
      </c>
      <c r="P12684">
        <v>0</v>
      </c>
      <c r="Q12684">
        <v>0</v>
      </c>
      <c r="R12684" t="s">
        <v>47319</v>
      </c>
      <c r="S12684" t="s">
        <v>47813</v>
      </c>
      <c r="T12684" t="s">
        <v>49102</v>
      </c>
      <c r="U12684" t="s">
        <v>60023</v>
      </c>
      <c r="W12684" t="s">
        <v>43286</v>
      </c>
      <c r="X12684" t="s">
        <v>47320</v>
      </c>
    </row>
    <row r="12685" spans="1:24">
      <c r="A12685">
        <f>HYPERLINK("https://www.philgeps.gov.ph/GEPSNONPILOT/Tender/SplashBidNoticeAbstractUI.aspx?menuIndex=3&amp;refID=7173166&amp;Result=3","7173166")</f>
        <v>0</v>
      </c>
      <c r="B12685" t="s">
        <v>2044</v>
      </c>
      <c r="C12685" t="s">
        <v>9585</v>
      </c>
      <c r="D12685" t="s">
        <v>19013</v>
      </c>
      <c r="E12685" t="s">
        <v>29864</v>
      </c>
      <c r="F12685" t="s">
        <v>32607</v>
      </c>
      <c r="G12685" t="s">
        <v>32613</v>
      </c>
      <c r="H12685" t="s">
        <v>14201</v>
      </c>
      <c r="I12685" t="s">
        <v>6931</v>
      </c>
      <c r="J12685" t="s">
        <v>40627</v>
      </c>
      <c r="K12685" t="s">
        <v>42630</v>
      </c>
      <c r="M12685" t="s">
        <v>45122</v>
      </c>
      <c r="N12685" t="s">
        <v>47304</v>
      </c>
      <c r="O12685" t="s">
        <v>47305</v>
      </c>
      <c r="P12685">
        <v>0</v>
      </c>
      <c r="Q12685">
        <v>1</v>
      </c>
      <c r="R12685" t="s">
        <v>47319</v>
      </c>
      <c r="S12685" t="s">
        <v>47813</v>
      </c>
      <c r="T12685" t="s">
        <v>49047</v>
      </c>
      <c r="U12685" t="s">
        <v>60024</v>
      </c>
      <c r="V12685" t="s">
        <v>64014</v>
      </c>
      <c r="W12685" t="s">
        <v>45122</v>
      </c>
      <c r="X12685" t="s">
        <v>47320</v>
      </c>
    </row>
    <row r="12686" spans="1:24">
      <c r="A12686">
        <f>HYPERLINK("https://www.philgeps.gov.ph/GEPSNONPILOT/Tender/SplashBidNoticeAbstractUI.aspx?menuIndex=3&amp;refID=7172928&amp;Result=3","7172928")</f>
        <v>0</v>
      </c>
      <c r="B12686" t="s">
        <v>3524</v>
      </c>
      <c r="C12686" t="s">
        <v>15848</v>
      </c>
      <c r="D12686" t="s">
        <v>19023</v>
      </c>
      <c r="E12686" t="s">
        <v>29865</v>
      </c>
      <c r="F12686" t="s">
        <v>32606</v>
      </c>
      <c r="G12686" t="s">
        <v>32613</v>
      </c>
      <c r="H12686" t="s">
        <v>14201</v>
      </c>
      <c r="I12686" t="s">
        <v>32633</v>
      </c>
      <c r="J12686" t="s">
        <v>32765</v>
      </c>
      <c r="K12686" t="s">
        <v>42623</v>
      </c>
      <c r="M12686" t="s">
        <v>46795</v>
      </c>
      <c r="N12686" t="s">
        <v>47304</v>
      </c>
      <c r="O12686" t="s">
        <v>47305</v>
      </c>
      <c r="P12686">
        <v>0</v>
      </c>
      <c r="Q12686">
        <v>1</v>
      </c>
      <c r="R12686" t="s">
        <v>47319</v>
      </c>
      <c r="S12686" t="s">
        <v>47813</v>
      </c>
      <c r="T12686" t="s">
        <v>48975</v>
      </c>
      <c r="U12686" t="s">
        <v>60025</v>
      </c>
      <c r="W12686" t="s">
        <v>46795</v>
      </c>
      <c r="X12686" t="s">
        <v>47320</v>
      </c>
    </row>
    <row r="12687" spans="1:24">
      <c r="A12687">
        <f>HYPERLINK("https://www.philgeps.gov.ph/GEPSNONPILOT/Tender/SplashBidNoticeAbstractUI.aspx?menuIndex=3&amp;refID=7173153&amp;Result=3","7173153")</f>
        <v>0</v>
      </c>
      <c r="B12687" t="s">
        <v>2225</v>
      </c>
      <c r="C12687" t="s">
        <v>15849</v>
      </c>
      <c r="D12687" t="s">
        <v>18999</v>
      </c>
      <c r="E12687" t="s">
        <v>29866</v>
      </c>
      <c r="F12687" t="s">
        <v>32606</v>
      </c>
      <c r="G12687" t="s">
        <v>32613</v>
      </c>
      <c r="H12687" t="s">
        <v>14201</v>
      </c>
      <c r="I12687" t="s">
        <v>8682</v>
      </c>
      <c r="J12687" t="s">
        <v>40628</v>
      </c>
      <c r="K12687" t="s">
        <v>42631</v>
      </c>
      <c r="M12687" t="s">
        <v>46812</v>
      </c>
      <c r="N12687" t="s">
        <v>47304</v>
      </c>
      <c r="O12687" t="s">
        <v>47305</v>
      </c>
      <c r="P12687">
        <v>0</v>
      </c>
      <c r="Q12687">
        <v>14</v>
      </c>
      <c r="R12687" t="s">
        <v>47319</v>
      </c>
      <c r="S12687" t="s">
        <v>47813</v>
      </c>
      <c r="T12687" t="s">
        <v>49002</v>
      </c>
      <c r="U12687" t="s">
        <v>55148</v>
      </c>
      <c r="V12687" t="s">
        <v>63928</v>
      </c>
      <c r="W12687" t="s">
        <v>64537</v>
      </c>
      <c r="X12687" t="s">
        <v>47320</v>
      </c>
    </row>
    <row r="12688" spans="1:24">
      <c r="A12688">
        <f>HYPERLINK("https://www.philgeps.gov.ph/GEPSNONPILOT/Tender/SplashBidNoticeAbstractUI.aspx?menuIndex=3&amp;refID=7173138&amp;Result=3","7173138")</f>
        <v>0</v>
      </c>
      <c r="B12688" t="s">
        <v>1337</v>
      </c>
      <c r="C12688" t="s">
        <v>15850</v>
      </c>
      <c r="E12688" t="s">
        <v>24826</v>
      </c>
      <c r="F12688" t="s">
        <v>32606</v>
      </c>
      <c r="G12688" t="s">
        <v>32613</v>
      </c>
      <c r="H12688" t="s">
        <v>14201</v>
      </c>
      <c r="I12688" t="s">
        <v>7064</v>
      </c>
      <c r="J12688" t="s">
        <v>32860</v>
      </c>
      <c r="K12688" t="s">
        <v>42624</v>
      </c>
      <c r="M12688" t="s">
        <v>44311</v>
      </c>
      <c r="N12688" t="s">
        <v>47304</v>
      </c>
      <c r="O12688" t="s">
        <v>47305</v>
      </c>
      <c r="Q12688">
        <v>3</v>
      </c>
      <c r="R12688" t="s">
        <v>47319</v>
      </c>
      <c r="S12688" t="s">
        <v>47876</v>
      </c>
      <c r="T12688" t="s">
        <v>48986</v>
      </c>
      <c r="U12688" t="s">
        <v>52345</v>
      </c>
      <c r="V12688" t="s">
        <v>64027</v>
      </c>
      <c r="W12688" t="s">
        <v>44311</v>
      </c>
      <c r="X12688" t="s">
        <v>47320</v>
      </c>
    </row>
    <row r="12689" spans="1:24">
      <c r="A12689">
        <f>HYPERLINK("https://www.philgeps.gov.ph/GEPSNONPILOT/Tender/SplashBidNoticeAbstractUI.aspx?menuIndex=3&amp;refID=7173133&amp;Result=3","7173133")</f>
        <v>0</v>
      </c>
      <c r="B12689" t="s">
        <v>1003</v>
      </c>
      <c r="C12689" t="s">
        <v>15851</v>
      </c>
      <c r="D12689" t="s">
        <v>18999</v>
      </c>
      <c r="E12689" t="s">
        <v>29867</v>
      </c>
      <c r="F12689" t="s">
        <v>32606</v>
      </c>
      <c r="G12689" t="s">
        <v>32613</v>
      </c>
      <c r="H12689" t="s">
        <v>14201</v>
      </c>
      <c r="I12689" t="s">
        <v>4114</v>
      </c>
      <c r="J12689" t="s">
        <v>40629</v>
      </c>
      <c r="K12689" t="s">
        <v>42631</v>
      </c>
      <c r="M12689" t="s">
        <v>43951</v>
      </c>
      <c r="N12689" t="s">
        <v>47304</v>
      </c>
      <c r="O12689" t="s">
        <v>47305</v>
      </c>
      <c r="P12689">
        <v>0</v>
      </c>
      <c r="Q12689">
        <v>8</v>
      </c>
      <c r="R12689" t="s">
        <v>47319</v>
      </c>
      <c r="S12689" t="s">
        <v>47813</v>
      </c>
      <c r="T12689" t="s">
        <v>49140</v>
      </c>
      <c r="U12689" t="s">
        <v>60026</v>
      </c>
      <c r="V12689" t="s">
        <v>62896</v>
      </c>
      <c r="W12689" t="s">
        <v>43951</v>
      </c>
      <c r="X12689" t="s">
        <v>47320</v>
      </c>
    </row>
    <row r="12690" spans="1:24">
      <c r="A12690">
        <f>HYPERLINK("https://www.philgeps.gov.ph/GEPSNONPILOT/Tender/SplashBidNoticeAbstractUI.aspx?menuIndex=3&amp;refID=7173129&amp;Result=3","7173129")</f>
        <v>0</v>
      </c>
      <c r="B12690" t="s">
        <v>3533</v>
      </c>
      <c r="C12690" t="s">
        <v>15852</v>
      </c>
      <c r="D12690" t="s">
        <v>19014</v>
      </c>
      <c r="E12690" t="s">
        <v>20667</v>
      </c>
      <c r="F12690" t="s">
        <v>32606</v>
      </c>
      <c r="G12690" t="s">
        <v>32613</v>
      </c>
      <c r="H12690" t="s">
        <v>14201</v>
      </c>
      <c r="I12690" t="s">
        <v>7577</v>
      </c>
      <c r="J12690" t="s">
        <v>33800</v>
      </c>
      <c r="K12690" t="s">
        <v>42631</v>
      </c>
      <c r="L12690" t="s">
        <v>3533</v>
      </c>
      <c r="M12690" t="s">
        <v>46806</v>
      </c>
      <c r="N12690" t="s">
        <v>47304</v>
      </c>
      <c r="O12690" t="s">
        <v>47305</v>
      </c>
      <c r="P12690">
        <v>0</v>
      </c>
      <c r="Q12690">
        <v>6</v>
      </c>
      <c r="R12690" t="s">
        <v>47319</v>
      </c>
      <c r="S12690" t="s">
        <v>47813</v>
      </c>
      <c r="T12690" t="s">
        <v>49267</v>
      </c>
      <c r="U12690" t="s">
        <v>60027</v>
      </c>
      <c r="V12690" t="s">
        <v>64025</v>
      </c>
      <c r="W12690" t="s">
        <v>46806</v>
      </c>
      <c r="X12690" t="s">
        <v>47320</v>
      </c>
    </row>
    <row r="12691" spans="1:24">
      <c r="A12691">
        <f>HYPERLINK("https://www.philgeps.gov.ph/GEPSNONPILOT/Tender/SplashBidNoticeAbstractUI.aspx?menuIndex=3&amp;refID=7173120&amp;Result=3","7173120")</f>
        <v>0</v>
      </c>
      <c r="B12691" t="s">
        <v>3524</v>
      </c>
      <c r="C12691" t="s">
        <v>15853</v>
      </c>
      <c r="D12691" t="s">
        <v>19023</v>
      </c>
      <c r="E12691" t="s">
        <v>29868</v>
      </c>
      <c r="F12691" t="s">
        <v>32606</v>
      </c>
      <c r="G12691" t="s">
        <v>32613</v>
      </c>
      <c r="H12691" t="s">
        <v>14201</v>
      </c>
      <c r="I12691" t="s">
        <v>32633</v>
      </c>
      <c r="J12691" t="s">
        <v>40630</v>
      </c>
      <c r="K12691" t="s">
        <v>42623</v>
      </c>
      <c r="M12691" t="s">
        <v>46795</v>
      </c>
      <c r="N12691" t="s">
        <v>47304</v>
      </c>
      <c r="O12691" t="s">
        <v>47305</v>
      </c>
      <c r="P12691">
        <v>0</v>
      </c>
      <c r="Q12691">
        <v>0</v>
      </c>
      <c r="R12691" t="s">
        <v>47319</v>
      </c>
      <c r="S12691" t="s">
        <v>47813</v>
      </c>
      <c r="T12691" t="s">
        <v>49076</v>
      </c>
      <c r="U12691" t="s">
        <v>60028</v>
      </c>
      <c r="W12691" t="s">
        <v>46795</v>
      </c>
      <c r="X12691" t="s">
        <v>47320</v>
      </c>
    </row>
    <row r="12692" spans="1:24">
      <c r="A12692">
        <f>HYPERLINK("https://www.philgeps.gov.ph/GEPSNONPILOT/Tender/SplashBidNoticeAbstractUI.aspx?menuIndex=3&amp;refID=7172795&amp;Result=3","7172795")</f>
        <v>0</v>
      </c>
      <c r="B12692" t="s">
        <v>1331</v>
      </c>
      <c r="C12692" t="s">
        <v>15854</v>
      </c>
      <c r="D12692" t="s">
        <v>18999</v>
      </c>
      <c r="E12692" t="s">
        <v>29869</v>
      </c>
      <c r="F12692" t="s">
        <v>32606</v>
      </c>
      <c r="G12692" t="s">
        <v>32613</v>
      </c>
      <c r="H12692" t="s">
        <v>32623</v>
      </c>
      <c r="I12692" t="s">
        <v>17648</v>
      </c>
      <c r="J12692" t="s">
        <v>33771</v>
      </c>
      <c r="K12692" t="s">
        <v>42636</v>
      </c>
      <c r="M12692" t="s">
        <v>44399</v>
      </c>
      <c r="N12692" t="s">
        <v>47304</v>
      </c>
      <c r="O12692" t="s">
        <v>47305</v>
      </c>
      <c r="Q12692">
        <v>9</v>
      </c>
      <c r="R12692" t="s">
        <v>47319</v>
      </c>
      <c r="S12692" t="s">
        <v>47877</v>
      </c>
      <c r="T12692" t="s">
        <v>49107</v>
      </c>
      <c r="U12692" t="s">
        <v>60016</v>
      </c>
      <c r="W12692" t="s">
        <v>64472</v>
      </c>
      <c r="X12692" t="s">
        <v>47320</v>
      </c>
    </row>
    <row r="12693" spans="1:24">
      <c r="A12693">
        <f>HYPERLINK("https://www.philgeps.gov.ph/GEPSNONPILOT/Tender/SplashBidNoticeAbstractUI.aspx?menuIndex=3&amp;refID=7173185&amp;Result=3","7173185")</f>
        <v>0</v>
      </c>
      <c r="B12693" t="s">
        <v>3497</v>
      </c>
      <c r="C12693" t="s">
        <v>15855</v>
      </c>
      <c r="D12693" t="s">
        <v>19011</v>
      </c>
      <c r="E12693" t="s">
        <v>29870</v>
      </c>
      <c r="F12693" t="s">
        <v>32606</v>
      </c>
      <c r="G12693" t="s">
        <v>32613</v>
      </c>
      <c r="H12693" t="s">
        <v>14201</v>
      </c>
      <c r="I12693" t="s">
        <v>4678</v>
      </c>
      <c r="J12693" t="s">
        <v>40631</v>
      </c>
      <c r="K12693" t="s">
        <v>42623</v>
      </c>
      <c r="M12693" t="s">
        <v>46763</v>
      </c>
      <c r="N12693" t="s">
        <v>47304</v>
      </c>
      <c r="O12693" t="s">
        <v>47305</v>
      </c>
      <c r="P12693">
        <v>0</v>
      </c>
      <c r="Q12693">
        <v>8</v>
      </c>
      <c r="R12693" t="s">
        <v>47319</v>
      </c>
      <c r="S12693" t="s">
        <v>47813</v>
      </c>
      <c r="T12693" t="s">
        <v>48987</v>
      </c>
      <c r="U12693" t="s">
        <v>60029</v>
      </c>
      <c r="W12693" t="s">
        <v>46763</v>
      </c>
      <c r="X12693" t="s">
        <v>47320</v>
      </c>
    </row>
    <row r="12694" spans="1:24">
      <c r="A12694">
        <f>HYPERLINK("https://www.philgeps.gov.ph/GEPSNONPILOT/Tender/SplashBidNoticeAbstractUI.aspx?menuIndex=3&amp;refID=7172931&amp;Result=3","7172931")</f>
        <v>0</v>
      </c>
      <c r="B12694" t="s">
        <v>1331</v>
      </c>
      <c r="C12694" t="s">
        <v>15856</v>
      </c>
      <c r="D12694" t="s">
        <v>18999</v>
      </c>
      <c r="E12694" t="s">
        <v>29871</v>
      </c>
      <c r="F12694" t="s">
        <v>32606</v>
      </c>
      <c r="G12694" t="s">
        <v>32613</v>
      </c>
      <c r="H12694" t="s">
        <v>32623</v>
      </c>
      <c r="I12694" t="s">
        <v>17648</v>
      </c>
      <c r="J12694" t="s">
        <v>37100</v>
      </c>
      <c r="K12694" t="s">
        <v>42682</v>
      </c>
      <c r="M12694" t="s">
        <v>44399</v>
      </c>
      <c r="N12694" t="s">
        <v>47304</v>
      </c>
      <c r="O12694" t="s">
        <v>47305</v>
      </c>
      <c r="Q12694">
        <v>21</v>
      </c>
      <c r="R12694" t="s">
        <v>47319</v>
      </c>
      <c r="S12694" t="s">
        <v>47878</v>
      </c>
      <c r="T12694" t="s">
        <v>49107</v>
      </c>
      <c r="U12694" t="s">
        <v>60016</v>
      </c>
      <c r="W12694" t="s">
        <v>64472</v>
      </c>
      <c r="X12694" t="s">
        <v>47320</v>
      </c>
    </row>
    <row r="12695" spans="1:24">
      <c r="A12695">
        <f>HYPERLINK("https://www.philgeps.gov.ph/GEPSNONPILOT/Tender/SplashBidNoticeAbstractUI.aspx?menuIndex=3&amp;refID=7173073&amp;Result=3","7173073")</f>
        <v>0</v>
      </c>
      <c r="B12695" t="s">
        <v>3537</v>
      </c>
      <c r="C12695" t="s">
        <v>15857</v>
      </c>
      <c r="D12695" t="s">
        <v>19006</v>
      </c>
      <c r="E12695" t="s">
        <v>29872</v>
      </c>
      <c r="F12695" t="s">
        <v>32606</v>
      </c>
      <c r="G12695" t="s">
        <v>32613</v>
      </c>
      <c r="H12695" t="s">
        <v>32623</v>
      </c>
      <c r="I12695" t="s">
        <v>17648</v>
      </c>
      <c r="J12695" t="s">
        <v>33460</v>
      </c>
      <c r="K12695" t="s">
        <v>42636</v>
      </c>
      <c r="M12695" t="s">
        <v>46813</v>
      </c>
      <c r="N12695" t="s">
        <v>47304</v>
      </c>
      <c r="O12695" t="s">
        <v>47305</v>
      </c>
      <c r="P12695">
        <v>0</v>
      </c>
      <c r="Q12695">
        <v>0</v>
      </c>
      <c r="R12695" t="s">
        <v>47319</v>
      </c>
      <c r="S12695" t="s">
        <v>47813</v>
      </c>
      <c r="T12695" t="s">
        <v>48986</v>
      </c>
      <c r="U12695" t="s">
        <v>60030</v>
      </c>
      <c r="V12695" t="s">
        <v>64028</v>
      </c>
      <c r="W12695" t="s">
        <v>64542</v>
      </c>
      <c r="X12695" t="s">
        <v>47320</v>
      </c>
    </row>
    <row r="12696" spans="1:24">
      <c r="A12696">
        <f>HYPERLINK("https://www.philgeps.gov.ph/GEPSNONPILOT/Tender/SplashBidNoticeAbstractUI.aspx?menuIndex=3&amp;refID=7173079&amp;Result=3","7173079")</f>
        <v>0</v>
      </c>
      <c r="B12696" t="s">
        <v>3254</v>
      </c>
      <c r="C12696" t="s">
        <v>15858</v>
      </c>
      <c r="D12696" t="s">
        <v>19002</v>
      </c>
      <c r="E12696" t="s">
        <v>21320</v>
      </c>
      <c r="F12696" t="s">
        <v>32606</v>
      </c>
      <c r="G12696" t="s">
        <v>32613</v>
      </c>
      <c r="H12696" t="s">
        <v>14201</v>
      </c>
      <c r="I12696" t="s">
        <v>6993</v>
      </c>
      <c r="J12696" t="s">
        <v>33363</v>
      </c>
      <c r="K12696" t="s">
        <v>42623</v>
      </c>
      <c r="M12696" t="s">
        <v>46488</v>
      </c>
      <c r="N12696" t="s">
        <v>47304</v>
      </c>
      <c r="O12696" t="s">
        <v>47305</v>
      </c>
      <c r="P12696">
        <v>0</v>
      </c>
      <c r="Q12696">
        <v>0</v>
      </c>
      <c r="R12696" t="s">
        <v>47319</v>
      </c>
      <c r="S12696" t="s">
        <v>47813</v>
      </c>
      <c r="T12696" t="s">
        <v>49315</v>
      </c>
      <c r="U12696" t="s">
        <v>60031</v>
      </c>
      <c r="W12696" t="s">
        <v>46488</v>
      </c>
      <c r="X12696" t="s">
        <v>47320</v>
      </c>
    </row>
    <row r="12697" spans="1:24">
      <c r="A12697">
        <f>HYPERLINK("https://www.philgeps.gov.ph/GEPSNONPILOT/Tender/SplashBidNoticeAbstractUI.aspx?menuIndex=3&amp;refID=7172595&amp;Result=3","7172595")</f>
        <v>0</v>
      </c>
      <c r="B12697" t="s">
        <v>1503</v>
      </c>
      <c r="C12697" t="s">
        <v>15859</v>
      </c>
      <c r="D12697" t="s">
        <v>19049</v>
      </c>
      <c r="E12697" t="s">
        <v>29873</v>
      </c>
      <c r="F12697" t="s">
        <v>32606</v>
      </c>
      <c r="G12697" t="s">
        <v>32613</v>
      </c>
      <c r="H12697" t="s">
        <v>32623</v>
      </c>
      <c r="I12697" t="s">
        <v>17648</v>
      </c>
      <c r="J12697" t="s">
        <v>40632</v>
      </c>
      <c r="K12697" t="s">
        <v>42867</v>
      </c>
      <c r="M12697" t="s">
        <v>46814</v>
      </c>
      <c r="N12697" t="s">
        <v>47304</v>
      </c>
      <c r="O12697" t="s">
        <v>47305</v>
      </c>
      <c r="Q12697">
        <v>2</v>
      </c>
      <c r="R12697" t="s">
        <v>47319</v>
      </c>
      <c r="S12697" t="s">
        <v>47879</v>
      </c>
      <c r="T12697" t="s">
        <v>49286</v>
      </c>
      <c r="U12697" t="s">
        <v>60032</v>
      </c>
      <c r="W12697" t="s">
        <v>46814</v>
      </c>
      <c r="X12697" t="s">
        <v>47320</v>
      </c>
    </row>
    <row r="12698" spans="1:24">
      <c r="A12698">
        <f>HYPERLINK("https://www.philgeps.gov.ph/GEPSNONPILOT/Tender/SplashBidNoticeAbstractUI.aspx?menuIndex=3&amp;refID=7173289&amp;Result=3","7173289")</f>
        <v>0</v>
      </c>
      <c r="B12698" t="s">
        <v>146</v>
      </c>
      <c r="C12698" t="s">
        <v>15860</v>
      </c>
      <c r="D12698" t="s">
        <v>19011</v>
      </c>
      <c r="E12698" t="s">
        <v>29874</v>
      </c>
      <c r="F12698" t="s">
        <v>32606</v>
      </c>
      <c r="G12698" t="s">
        <v>32613</v>
      </c>
      <c r="H12698" t="s">
        <v>14201</v>
      </c>
      <c r="I12698" t="s">
        <v>6931</v>
      </c>
      <c r="J12698" t="s">
        <v>32765</v>
      </c>
      <c r="K12698" t="s">
        <v>42627</v>
      </c>
      <c r="M12698" t="s">
        <v>43047</v>
      </c>
      <c r="N12698" t="s">
        <v>47304</v>
      </c>
      <c r="O12698" t="s">
        <v>47305</v>
      </c>
      <c r="P12698">
        <v>0</v>
      </c>
      <c r="Q12698">
        <v>1</v>
      </c>
      <c r="R12698" t="s">
        <v>47319</v>
      </c>
      <c r="S12698" t="s">
        <v>47813</v>
      </c>
      <c r="T12698" t="s">
        <v>49068</v>
      </c>
      <c r="U12698" t="s">
        <v>60033</v>
      </c>
      <c r="W12698" t="s">
        <v>43047</v>
      </c>
      <c r="X12698" t="s">
        <v>47320</v>
      </c>
    </row>
    <row r="12699" spans="1:24">
      <c r="A12699">
        <f>HYPERLINK("https://www.philgeps.gov.ph/GEPSNONPILOT/Tender/SplashBidNoticeAbstractUI.aspx?menuIndex=3&amp;refID=7173190&amp;Result=3","7173190")</f>
        <v>0</v>
      </c>
      <c r="B12699" t="s">
        <v>3538</v>
      </c>
      <c r="C12699" t="s">
        <v>15861</v>
      </c>
      <c r="D12699" t="s">
        <v>19044</v>
      </c>
      <c r="E12699" t="s">
        <v>20107</v>
      </c>
      <c r="F12699" t="s">
        <v>32606</v>
      </c>
      <c r="G12699" t="s">
        <v>32613</v>
      </c>
      <c r="H12699" t="s">
        <v>32623</v>
      </c>
      <c r="I12699" t="s">
        <v>17648</v>
      </c>
      <c r="J12699" t="s">
        <v>40633</v>
      </c>
      <c r="K12699" t="s">
        <v>42868</v>
      </c>
      <c r="M12699" t="s">
        <v>46815</v>
      </c>
      <c r="N12699" t="s">
        <v>47304</v>
      </c>
      <c r="O12699" t="s">
        <v>47305</v>
      </c>
      <c r="P12699">
        <v>0</v>
      </c>
      <c r="Q12699">
        <v>0</v>
      </c>
      <c r="R12699" t="s">
        <v>47319</v>
      </c>
      <c r="S12699" t="s">
        <v>47813</v>
      </c>
      <c r="T12699" t="s">
        <v>49477</v>
      </c>
      <c r="U12699" t="s">
        <v>60034</v>
      </c>
      <c r="W12699" t="s">
        <v>46815</v>
      </c>
      <c r="X12699" t="s">
        <v>47320</v>
      </c>
    </row>
    <row r="12700" spans="1:24">
      <c r="A12700">
        <f>HYPERLINK("https://www.philgeps.gov.ph/GEPSNONPILOT/Tender/SplashBidNoticeAbstractUI.aspx?menuIndex=3&amp;refID=7173072&amp;Result=3","7173072")</f>
        <v>0</v>
      </c>
      <c r="B12700" t="s">
        <v>1263</v>
      </c>
      <c r="C12700" t="s">
        <v>15862</v>
      </c>
      <c r="D12700" t="s">
        <v>19010</v>
      </c>
      <c r="E12700" t="s">
        <v>20611</v>
      </c>
      <c r="F12700" t="s">
        <v>32606</v>
      </c>
      <c r="G12700" t="s">
        <v>32613</v>
      </c>
      <c r="H12700" t="s">
        <v>32623</v>
      </c>
      <c r="I12700" t="s">
        <v>17648</v>
      </c>
      <c r="J12700" t="s">
        <v>40634</v>
      </c>
      <c r="K12700" t="s">
        <v>42646</v>
      </c>
      <c r="M12700" t="s">
        <v>44231</v>
      </c>
      <c r="N12700" t="s">
        <v>47304</v>
      </c>
      <c r="O12700" t="s">
        <v>47305</v>
      </c>
      <c r="Q12700">
        <v>0</v>
      </c>
      <c r="R12700" t="s">
        <v>47319</v>
      </c>
      <c r="S12700" t="s">
        <v>47880</v>
      </c>
      <c r="T12700" t="s">
        <v>49478</v>
      </c>
      <c r="U12700" t="s">
        <v>60035</v>
      </c>
      <c r="W12700" t="s">
        <v>44231</v>
      </c>
      <c r="X12700" t="s">
        <v>47320</v>
      </c>
    </row>
    <row r="12701" spans="1:24">
      <c r="A12701">
        <f>HYPERLINK("https://www.philgeps.gov.ph/GEPSNONPILOT/Tender/SplashBidNoticeAbstractUI.aspx?menuIndex=3&amp;refID=7173267&amp;Result=3","7173267")</f>
        <v>0</v>
      </c>
      <c r="B12701" t="s">
        <v>3013</v>
      </c>
      <c r="C12701" t="s">
        <v>15863</v>
      </c>
      <c r="E12701" t="s">
        <v>29875</v>
      </c>
      <c r="F12701" t="s">
        <v>32606</v>
      </c>
      <c r="G12701" t="s">
        <v>32613</v>
      </c>
      <c r="H12701" t="s">
        <v>14201</v>
      </c>
      <c r="I12701" t="s">
        <v>32735</v>
      </c>
      <c r="J12701" t="s">
        <v>33190</v>
      </c>
      <c r="K12701" t="s">
        <v>42624</v>
      </c>
      <c r="M12701" t="s">
        <v>46204</v>
      </c>
      <c r="N12701" t="s">
        <v>47304</v>
      </c>
      <c r="O12701" t="s">
        <v>47305</v>
      </c>
      <c r="Q12701">
        <v>5</v>
      </c>
      <c r="R12701" t="s">
        <v>47319</v>
      </c>
      <c r="S12701" t="s">
        <v>47881</v>
      </c>
      <c r="T12701" t="s">
        <v>49075</v>
      </c>
      <c r="U12701" t="s">
        <v>60036</v>
      </c>
      <c r="V12701" t="s">
        <v>64029</v>
      </c>
      <c r="W12701" t="s">
        <v>46204</v>
      </c>
      <c r="X12701" t="s">
        <v>47320</v>
      </c>
    </row>
    <row r="12702" spans="1:24">
      <c r="A12702">
        <f>HYPERLINK("https://www.philgeps.gov.ph/GEPSNONPILOT/Tender/SplashBidNoticeAbstractUI.aspx?menuIndex=3&amp;refID=7173250&amp;Result=3","7173250")</f>
        <v>0</v>
      </c>
      <c r="B12702" t="s">
        <v>2225</v>
      </c>
      <c r="C12702" t="s">
        <v>15864</v>
      </c>
      <c r="D12702" t="s">
        <v>18999</v>
      </c>
      <c r="E12702" t="s">
        <v>29876</v>
      </c>
      <c r="F12702" t="s">
        <v>32606</v>
      </c>
      <c r="G12702" t="s">
        <v>32613</v>
      </c>
      <c r="H12702" t="s">
        <v>14201</v>
      </c>
      <c r="I12702" t="s">
        <v>8682</v>
      </c>
      <c r="J12702" t="s">
        <v>40635</v>
      </c>
      <c r="K12702" t="s">
        <v>42631</v>
      </c>
      <c r="M12702" t="s">
        <v>46772</v>
      </c>
      <c r="N12702" t="s">
        <v>47304</v>
      </c>
      <c r="O12702" t="s">
        <v>47305</v>
      </c>
      <c r="P12702">
        <v>0</v>
      </c>
      <c r="Q12702">
        <v>16</v>
      </c>
      <c r="R12702" t="s">
        <v>47319</v>
      </c>
      <c r="S12702" t="s">
        <v>47813</v>
      </c>
      <c r="T12702" t="s">
        <v>49002</v>
      </c>
      <c r="U12702" t="s">
        <v>55148</v>
      </c>
      <c r="V12702" t="s">
        <v>63928</v>
      </c>
      <c r="W12702" t="s">
        <v>64537</v>
      </c>
      <c r="X12702" t="s">
        <v>47320</v>
      </c>
    </row>
    <row r="12703" spans="1:24">
      <c r="A12703">
        <f>HYPERLINK("https://www.philgeps.gov.ph/GEPSNONPILOT/Tender/SplashBidNoticeAbstractUI.aspx?menuIndex=3&amp;refID=7173263&amp;Result=3","7173263")</f>
        <v>0</v>
      </c>
      <c r="B12703" t="s">
        <v>3254</v>
      </c>
      <c r="C12703" t="s">
        <v>15865</v>
      </c>
      <c r="D12703" t="s">
        <v>19002</v>
      </c>
      <c r="E12703" t="s">
        <v>21313</v>
      </c>
      <c r="F12703" t="s">
        <v>32606</v>
      </c>
      <c r="G12703" t="s">
        <v>32613</v>
      </c>
      <c r="H12703" t="s">
        <v>14201</v>
      </c>
      <c r="I12703" t="s">
        <v>6298</v>
      </c>
      <c r="J12703" t="s">
        <v>33936</v>
      </c>
      <c r="K12703" t="s">
        <v>42623</v>
      </c>
      <c r="M12703" t="s">
        <v>46488</v>
      </c>
      <c r="N12703" t="s">
        <v>47304</v>
      </c>
      <c r="O12703" t="s">
        <v>47305</v>
      </c>
      <c r="P12703">
        <v>0</v>
      </c>
      <c r="Q12703">
        <v>0</v>
      </c>
      <c r="R12703" t="s">
        <v>47319</v>
      </c>
      <c r="S12703" t="s">
        <v>47813</v>
      </c>
      <c r="T12703" t="s">
        <v>49315</v>
      </c>
      <c r="U12703" t="s">
        <v>60037</v>
      </c>
      <c r="W12703" t="s">
        <v>46488</v>
      </c>
      <c r="X12703" t="s">
        <v>47320</v>
      </c>
    </row>
    <row r="12704" spans="1:24">
      <c r="A12704">
        <f>HYPERLINK("https://www.philgeps.gov.ph/GEPSNONPILOT/Tender/SplashBidNoticeAbstractUI.aspx?menuIndex=3&amp;refID=7172956&amp;Result=3","7172956")</f>
        <v>0</v>
      </c>
      <c r="B12704" t="s">
        <v>3539</v>
      </c>
      <c r="C12704" t="s">
        <v>15866</v>
      </c>
      <c r="D12704" t="s">
        <v>18994</v>
      </c>
      <c r="E12704" t="s">
        <v>29877</v>
      </c>
      <c r="F12704" t="s">
        <v>32606</v>
      </c>
      <c r="G12704" t="s">
        <v>32613</v>
      </c>
      <c r="H12704" t="s">
        <v>32623</v>
      </c>
      <c r="I12704" t="s">
        <v>17648</v>
      </c>
      <c r="J12704" t="s">
        <v>40636</v>
      </c>
      <c r="K12704" t="s">
        <v>42646</v>
      </c>
      <c r="M12704" t="s">
        <v>46816</v>
      </c>
      <c r="N12704" t="s">
        <v>47304</v>
      </c>
      <c r="O12704" t="s">
        <v>47305</v>
      </c>
      <c r="P12704">
        <v>0</v>
      </c>
      <c r="Q12704">
        <v>2</v>
      </c>
      <c r="R12704" t="s">
        <v>47319</v>
      </c>
      <c r="S12704" t="s">
        <v>47813</v>
      </c>
      <c r="T12704" t="s">
        <v>49057</v>
      </c>
      <c r="U12704" t="s">
        <v>60038</v>
      </c>
      <c r="W12704" t="s">
        <v>46816</v>
      </c>
      <c r="X12704" t="s">
        <v>47320</v>
      </c>
    </row>
    <row r="12705" spans="1:24">
      <c r="A12705">
        <f>HYPERLINK("https://www.philgeps.gov.ph/GEPSNONPILOT/Tender/SplashBidNoticeAbstractUI.aspx?menuIndex=3&amp;refID=7173259&amp;Result=3","7173259")</f>
        <v>0</v>
      </c>
      <c r="B12705" t="s">
        <v>3540</v>
      </c>
      <c r="C12705" t="s">
        <v>15867</v>
      </c>
      <c r="D12705" t="s">
        <v>18993</v>
      </c>
      <c r="E12705" t="s">
        <v>29256</v>
      </c>
      <c r="F12705" t="s">
        <v>32608</v>
      </c>
      <c r="G12705" t="s">
        <v>32613</v>
      </c>
      <c r="H12705" t="s">
        <v>14201</v>
      </c>
      <c r="I12705" t="s">
        <v>32681</v>
      </c>
      <c r="J12705" t="s">
        <v>33102</v>
      </c>
      <c r="K12705" t="s">
        <v>42630</v>
      </c>
      <c r="M12705" t="s">
        <v>46817</v>
      </c>
      <c r="N12705" t="s">
        <v>47304</v>
      </c>
      <c r="O12705" t="s">
        <v>47305</v>
      </c>
      <c r="P12705">
        <v>0</v>
      </c>
      <c r="Q12705">
        <v>6</v>
      </c>
      <c r="R12705" t="s">
        <v>47319</v>
      </c>
      <c r="S12705" t="s">
        <v>47813</v>
      </c>
      <c r="T12705" t="s">
        <v>49257</v>
      </c>
      <c r="U12705" t="s">
        <v>60039</v>
      </c>
      <c r="W12705" t="s">
        <v>46817</v>
      </c>
      <c r="X12705" t="s">
        <v>47320</v>
      </c>
    </row>
    <row r="12706" spans="1:24">
      <c r="A12706">
        <f>HYPERLINK("https://www.philgeps.gov.ph/GEPSNONPILOT/Tender/SplashBidNoticeAbstractUI.aspx?menuIndex=3&amp;refID=7173262&amp;Result=3","7173262")</f>
        <v>0</v>
      </c>
      <c r="B12706" t="s">
        <v>1337</v>
      </c>
      <c r="C12706" t="s">
        <v>15868</v>
      </c>
      <c r="E12706" t="s">
        <v>24957</v>
      </c>
      <c r="F12706" t="s">
        <v>32606</v>
      </c>
      <c r="G12706" t="s">
        <v>32613</v>
      </c>
      <c r="H12706" t="s">
        <v>14201</v>
      </c>
      <c r="I12706" t="s">
        <v>4121</v>
      </c>
      <c r="J12706" t="s">
        <v>34591</v>
      </c>
      <c r="K12706" t="s">
        <v>42624</v>
      </c>
      <c r="M12706" t="s">
        <v>44311</v>
      </c>
      <c r="N12706" t="s">
        <v>47304</v>
      </c>
      <c r="O12706" t="s">
        <v>47305</v>
      </c>
      <c r="Q12706">
        <v>4</v>
      </c>
      <c r="R12706" t="s">
        <v>47319</v>
      </c>
      <c r="S12706" t="s">
        <v>47882</v>
      </c>
      <c r="T12706" t="s">
        <v>48986</v>
      </c>
      <c r="U12706" t="s">
        <v>52345</v>
      </c>
      <c r="W12706" t="s">
        <v>44311</v>
      </c>
      <c r="X12706" t="s">
        <v>47320</v>
      </c>
    </row>
    <row r="12707" spans="1:24">
      <c r="A12707">
        <f>HYPERLINK("https://www.philgeps.gov.ph/GEPSNONPILOT/Tender/SplashBidNoticeAbstractUI.aspx?menuIndex=3&amp;refID=7173237&amp;Result=3","7173237")</f>
        <v>0</v>
      </c>
      <c r="B12707" t="s">
        <v>1804</v>
      </c>
      <c r="C12707" t="s">
        <v>15869</v>
      </c>
      <c r="D12707" t="s">
        <v>18987</v>
      </c>
      <c r="E12707" t="s">
        <v>29878</v>
      </c>
      <c r="F12707" t="s">
        <v>32606</v>
      </c>
      <c r="G12707" t="s">
        <v>32619</v>
      </c>
      <c r="H12707" t="s">
        <v>14201</v>
      </c>
      <c r="I12707" t="s">
        <v>32633</v>
      </c>
      <c r="J12707" t="s">
        <v>40637</v>
      </c>
      <c r="K12707" t="s">
        <v>42623</v>
      </c>
      <c r="M12707" t="s">
        <v>44845</v>
      </c>
      <c r="N12707" t="s">
        <v>47304</v>
      </c>
      <c r="O12707" t="s">
        <v>47305</v>
      </c>
      <c r="P12707">
        <v>0</v>
      </c>
      <c r="Q12707">
        <v>2</v>
      </c>
      <c r="R12707" t="s">
        <v>47319</v>
      </c>
      <c r="S12707" t="s">
        <v>47813</v>
      </c>
      <c r="T12707" t="s">
        <v>49267</v>
      </c>
      <c r="U12707" t="s">
        <v>60040</v>
      </c>
      <c r="V12707" t="s">
        <v>64030</v>
      </c>
      <c r="W12707" t="s">
        <v>44845</v>
      </c>
      <c r="X12707" t="s">
        <v>47320</v>
      </c>
    </row>
    <row r="12708" spans="1:24">
      <c r="A12708">
        <f>HYPERLINK("https://www.philgeps.gov.ph/GEPSNONPILOT/Tender/SplashBidNoticeAbstractUI.aspx?menuIndex=3&amp;refID=7173222&amp;Result=3","7173222")</f>
        <v>0</v>
      </c>
      <c r="B12708" t="s">
        <v>3497</v>
      </c>
      <c r="C12708" t="s">
        <v>15870</v>
      </c>
      <c r="D12708" t="s">
        <v>19011</v>
      </c>
      <c r="E12708" t="s">
        <v>29879</v>
      </c>
      <c r="F12708" t="s">
        <v>32606</v>
      </c>
      <c r="G12708" t="s">
        <v>32613</v>
      </c>
      <c r="H12708" t="s">
        <v>14201</v>
      </c>
      <c r="I12708" t="s">
        <v>32648</v>
      </c>
      <c r="J12708" t="s">
        <v>40638</v>
      </c>
      <c r="K12708" t="s">
        <v>42623</v>
      </c>
      <c r="M12708" t="s">
        <v>46763</v>
      </c>
      <c r="N12708" t="s">
        <v>47304</v>
      </c>
      <c r="O12708" t="s">
        <v>47305</v>
      </c>
      <c r="P12708">
        <v>0</v>
      </c>
      <c r="Q12708">
        <v>5</v>
      </c>
      <c r="R12708" t="s">
        <v>47319</v>
      </c>
      <c r="S12708" t="s">
        <v>47813</v>
      </c>
      <c r="T12708" t="s">
        <v>48982</v>
      </c>
      <c r="U12708" t="s">
        <v>60041</v>
      </c>
      <c r="W12708" t="s">
        <v>46763</v>
      </c>
      <c r="X12708" t="s">
        <v>47320</v>
      </c>
    </row>
    <row r="12709" spans="1:24">
      <c r="A12709">
        <f>HYPERLINK("https://www.philgeps.gov.ph/GEPSNONPILOT/Tender/SplashBidNoticeAbstractUI.aspx?menuIndex=3&amp;refID=7173281&amp;Result=3","7173281")</f>
        <v>0</v>
      </c>
      <c r="B12709" t="s">
        <v>3541</v>
      </c>
      <c r="C12709" t="s">
        <v>15871</v>
      </c>
      <c r="D12709" t="s">
        <v>19051</v>
      </c>
      <c r="E12709" t="s">
        <v>25858</v>
      </c>
      <c r="F12709" t="s">
        <v>32606</v>
      </c>
      <c r="G12709" t="s">
        <v>32613</v>
      </c>
      <c r="H12709" t="s">
        <v>14201</v>
      </c>
      <c r="I12709" t="s">
        <v>6931</v>
      </c>
      <c r="J12709" t="s">
        <v>40639</v>
      </c>
      <c r="K12709" t="s">
        <v>42622</v>
      </c>
      <c r="M12709" t="s">
        <v>46818</v>
      </c>
      <c r="N12709" t="s">
        <v>47304</v>
      </c>
      <c r="O12709" t="s">
        <v>47305</v>
      </c>
      <c r="Q12709">
        <v>1</v>
      </c>
      <c r="R12709" t="s">
        <v>47319</v>
      </c>
      <c r="S12709" t="s">
        <v>47883</v>
      </c>
      <c r="T12709" t="s">
        <v>48980</v>
      </c>
      <c r="U12709" t="s">
        <v>60042</v>
      </c>
      <c r="W12709" t="s">
        <v>46818</v>
      </c>
      <c r="X12709" t="s">
        <v>47320</v>
      </c>
    </row>
    <row r="12710" spans="1:24">
      <c r="A12710">
        <f>HYPERLINK("https://www.philgeps.gov.ph/GEPSNONPILOT/Tender/SplashBidNoticeAbstractUI.aspx?menuIndex=3&amp;refID=7173220&amp;Result=3","7173220")</f>
        <v>0</v>
      </c>
      <c r="B12710" t="s">
        <v>3540</v>
      </c>
      <c r="C12710" t="s">
        <v>15872</v>
      </c>
      <c r="D12710" t="s">
        <v>18993</v>
      </c>
      <c r="E12710" t="s">
        <v>29256</v>
      </c>
      <c r="F12710" t="s">
        <v>32608</v>
      </c>
      <c r="G12710" t="s">
        <v>32613</v>
      </c>
      <c r="H12710" t="s">
        <v>14201</v>
      </c>
      <c r="I12710" t="s">
        <v>4120</v>
      </c>
      <c r="J12710" t="s">
        <v>33102</v>
      </c>
      <c r="K12710" t="s">
        <v>42630</v>
      </c>
      <c r="M12710" t="s">
        <v>46817</v>
      </c>
      <c r="N12710" t="s">
        <v>47304</v>
      </c>
      <c r="O12710" t="s">
        <v>47305</v>
      </c>
      <c r="P12710">
        <v>0</v>
      </c>
      <c r="Q12710">
        <v>11</v>
      </c>
      <c r="R12710" t="s">
        <v>47319</v>
      </c>
      <c r="S12710" t="s">
        <v>47813</v>
      </c>
      <c r="T12710" t="s">
        <v>49257</v>
      </c>
      <c r="U12710" t="s">
        <v>60043</v>
      </c>
      <c r="W12710" t="s">
        <v>46817</v>
      </c>
      <c r="X12710" t="s">
        <v>47320</v>
      </c>
    </row>
    <row r="12711" spans="1:24">
      <c r="A12711">
        <f>HYPERLINK("https://www.philgeps.gov.ph/GEPSNONPILOT/Tender/SplashBidNoticeAbstractUI.aspx?menuIndex=3&amp;refID=7173215&amp;Result=3","7173215")</f>
        <v>0</v>
      </c>
      <c r="B12711" t="s">
        <v>3533</v>
      </c>
      <c r="C12711" t="s">
        <v>15873</v>
      </c>
      <c r="D12711" t="s">
        <v>19014</v>
      </c>
      <c r="E12711" t="s">
        <v>21514</v>
      </c>
      <c r="F12711" t="s">
        <v>32606</v>
      </c>
      <c r="G12711" t="s">
        <v>32613</v>
      </c>
      <c r="H12711" t="s">
        <v>14201</v>
      </c>
      <c r="I12711" t="s">
        <v>6931</v>
      </c>
      <c r="J12711" t="s">
        <v>40640</v>
      </c>
      <c r="K12711" t="s">
        <v>42631</v>
      </c>
      <c r="L12711" t="s">
        <v>3533</v>
      </c>
      <c r="M12711" t="s">
        <v>46806</v>
      </c>
      <c r="N12711" t="s">
        <v>47304</v>
      </c>
      <c r="O12711" t="s">
        <v>47305</v>
      </c>
      <c r="P12711">
        <v>0</v>
      </c>
      <c r="Q12711">
        <v>35</v>
      </c>
      <c r="R12711" t="s">
        <v>47319</v>
      </c>
      <c r="S12711" t="s">
        <v>47813</v>
      </c>
      <c r="T12711" t="s">
        <v>49267</v>
      </c>
      <c r="U12711" t="s">
        <v>54796</v>
      </c>
      <c r="V12711" t="s">
        <v>64025</v>
      </c>
      <c r="W12711" t="s">
        <v>46806</v>
      </c>
      <c r="X12711" t="s">
        <v>47320</v>
      </c>
    </row>
    <row r="12712" spans="1:24">
      <c r="A12712">
        <f>HYPERLINK("https://www.philgeps.gov.ph/GEPSNONPILOT/Tender/SplashBidNoticeAbstractUI.aspx?menuIndex=3&amp;refID=7173202&amp;Result=3","7173202")</f>
        <v>0</v>
      </c>
      <c r="B12712" t="s">
        <v>3542</v>
      </c>
      <c r="C12712" t="s">
        <v>15874</v>
      </c>
      <c r="D12712" t="s">
        <v>19006</v>
      </c>
      <c r="E12712" t="s">
        <v>29880</v>
      </c>
      <c r="F12712" t="s">
        <v>32607</v>
      </c>
      <c r="G12712" t="s">
        <v>32613</v>
      </c>
      <c r="H12712" t="s">
        <v>14201</v>
      </c>
      <c r="I12712" t="s">
        <v>7064</v>
      </c>
      <c r="J12712" t="s">
        <v>32765</v>
      </c>
      <c r="K12712" t="s">
        <v>42624</v>
      </c>
      <c r="M12712" t="s">
        <v>46819</v>
      </c>
      <c r="N12712" t="s">
        <v>47304</v>
      </c>
      <c r="O12712" t="s">
        <v>47305</v>
      </c>
      <c r="P12712">
        <v>0</v>
      </c>
      <c r="Q12712">
        <v>0</v>
      </c>
      <c r="R12712" t="s">
        <v>47319</v>
      </c>
      <c r="S12712" t="s">
        <v>47813</v>
      </c>
      <c r="T12712" t="s">
        <v>49165</v>
      </c>
      <c r="U12712" t="s">
        <v>60044</v>
      </c>
      <c r="W12712" t="s">
        <v>46819</v>
      </c>
      <c r="X12712" t="s">
        <v>47320</v>
      </c>
    </row>
    <row r="12713" spans="1:24">
      <c r="A12713">
        <f>HYPERLINK("https://www.philgeps.gov.ph/GEPSNONPILOT/Tender/SplashBidNoticeAbstractUI.aspx?menuIndex=3&amp;refID=7173193&amp;Result=3","7173193")</f>
        <v>0</v>
      </c>
      <c r="B12713" t="s">
        <v>3540</v>
      </c>
      <c r="C12713" t="s">
        <v>15875</v>
      </c>
      <c r="D12713" t="s">
        <v>18993</v>
      </c>
      <c r="E12713" t="s">
        <v>29256</v>
      </c>
      <c r="F12713" t="s">
        <v>32608</v>
      </c>
      <c r="G12713" t="s">
        <v>32613</v>
      </c>
      <c r="H12713" t="s">
        <v>14201</v>
      </c>
      <c r="I12713" t="s">
        <v>32644</v>
      </c>
      <c r="J12713" t="s">
        <v>32770</v>
      </c>
      <c r="K12713" t="s">
        <v>42630</v>
      </c>
      <c r="M12713" t="s">
        <v>46817</v>
      </c>
      <c r="N12713" t="s">
        <v>47304</v>
      </c>
      <c r="O12713" t="s">
        <v>47305</v>
      </c>
      <c r="P12713">
        <v>0</v>
      </c>
      <c r="Q12713">
        <v>10</v>
      </c>
      <c r="R12713" t="s">
        <v>47319</v>
      </c>
      <c r="S12713" t="s">
        <v>47813</v>
      </c>
      <c r="T12713" t="s">
        <v>49165</v>
      </c>
      <c r="U12713" t="s">
        <v>60045</v>
      </c>
      <c r="W12713" t="s">
        <v>46817</v>
      </c>
      <c r="X12713" t="s">
        <v>47320</v>
      </c>
    </row>
    <row r="12714" spans="1:24">
      <c r="A12714">
        <f>HYPERLINK("https://www.philgeps.gov.ph/GEPSNONPILOT/Tender/SplashBidNoticeAbstractUI.aspx?menuIndex=3&amp;refID=7173236&amp;Result=3","7173236")</f>
        <v>0</v>
      </c>
      <c r="B12714" t="s">
        <v>1003</v>
      </c>
      <c r="C12714" t="s">
        <v>15876</v>
      </c>
      <c r="D12714" t="s">
        <v>18999</v>
      </c>
      <c r="E12714" t="s">
        <v>29881</v>
      </c>
      <c r="F12714" t="s">
        <v>32606</v>
      </c>
      <c r="G12714" t="s">
        <v>32613</v>
      </c>
      <c r="H12714" t="s">
        <v>32623</v>
      </c>
      <c r="I12714" t="s">
        <v>17648</v>
      </c>
      <c r="J12714" t="s">
        <v>40641</v>
      </c>
      <c r="K12714" t="s">
        <v>42636</v>
      </c>
      <c r="M12714" t="s">
        <v>43951</v>
      </c>
      <c r="N12714" t="s">
        <v>47304</v>
      </c>
      <c r="O12714" t="s">
        <v>47305</v>
      </c>
      <c r="P12714">
        <v>0</v>
      </c>
      <c r="Q12714">
        <v>10</v>
      </c>
      <c r="R12714" t="s">
        <v>47319</v>
      </c>
      <c r="S12714" t="s">
        <v>47813</v>
      </c>
      <c r="T12714" t="s">
        <v>49066</v>
      </c>
      <c r="U12714" t="s">
        <v>60046</v>
      </c>
      <c r="V12714" t="s">
        <v>62896</v>
      </c>
      <c r="W12714" t="s">
        <v>43951</v>
      </c>
      <c r="X12714" t="s">
        <v>47320</v>
      </c>
    </row>
    <row r="12715" spans="1:24">
      <c r="A12715">
        <f>HYPERLINK("https://www.philgeps.gov.ph/GEPSNONPILOT/Tender/SplashBidNoticeAbstractUI.aspx?menuIndex=3&amp;refID=7173191&amp;Result=3","7173191")</f>
        <v>0</v>
      </c>
      <c r="B12715" t="s">
        <v>1168</v>
      </c>
      <c r="C12715" t="s">
        <v>15877</v>
      </c>
      <c r="D12715" t="s">
        <v>19002</v>
      </c>
      <c r="E12715" t="s">
        <v>29882</v>
      </c>
      <c r="F12715" t="s">
        <v>32606</v>
      </c>
      <c r="G12715" t="s">
        <v>32613</v>
      </c>
      <c r="H12715" t="s">
        <v>32623</v>
      </c>
      <c r="I12715" t="s">
        <v>17648</v>
      </c>
      <c r="J12715" t="s">
        <v>39661</v>
      </c>
      <c r="K12715" t="s">
        <v>42648</v>
      </c>
      <c r="L12715" t="s">
        <v>1168</v>
      </c>
      <c r="M12715" t="s">
        <v>44131</v>
      </c>
      <c r="N12715" t="s">
        <v>47304</v>
      </c>
      <c r="O12715" t="s">
        <v>47305</v>
      </c>
      <c r="P12715">
        <v>0</v>
      </c>
      <c r="Q12715">
        <v>2</v>
      </c>
      <c r="R12715" t="s">
        <v>47319</v>
      </c>
      <c r="S12715" t="s">
        <v>47813</v>
      </c>
      <c r="T12715" t="s">
        <v>48996</v>
      </c>
      <c r="U12715" t="s">
        <v>60047</v>
      </c>
      <c r="W12715" t="s">
        <v>44131</v>
      </c>
      <c r="X12715" t="s">
        <v>47320</v>
      </c>
    </row>
    <row r="12716" spans="1:24">
      <c r="A12716">
        <f>HYPERLINK("https://www.philgeps.gov.ph/GEPSNONPILOT/Tender/SplashBidNoticeAbstractUI.aspx?menuIndex=3&amp;refID=7173066&amp;Result=3","7173066")</f>
        <v>0</v>
      </c>
      <c r="B12716" t="s">
        <v>2500</v>
      </c>
      <c r="C12716" t="s">
        <v>15878</v>
      </c>
      <c r="D12716" t="s">
        <v>19053</v>
      </c>
      <c r="E12716" t="s">
        <v>29883</v>
      </c>
      <c r="F12716" t="s">
        <v>32606</v>
      </c>
      <c r="G12716" t="s">
        <v>32613</v>
      </c>
      <c r="H12716" t="s">
        <v>32623</v>
      </c>
      <c r="I12716" t="s">
        <v>17648</v>
      </c>
      <c r="J12716" t="s">
        <v>34158</v>
      </c>
      <c r="K12716" t="s">
        <v>42676</v>
      </c>
      <c r="M12716" t="s">
        <v>45638</v>
      </c>
      <c r="N12716" t="s">
        <v>47304</v>
      </c>
      <c r="O12716" t="s">
        <v>47305</v>
      </c>
      <c r="P12716">
        <v>0</v>
      </c>
      <c r="Q12716">
        <v>0</v>
      </c>
      <c r="R12716" t="s">
        <v>47319</v>
      </c>
      <c r="S12716" t="s">
        <v>47813</v>
      </c>
      <c r="T12716" t="s">
        <v>48996</v>
      </c>
      <c r="U12716" t="s">
        <v>60048</v>
      </c>
      <c r="V12716" t="s">
        <v>64031</v>
      </c>
      <c r="W12716" t="s">
        <v>45638</v>
      </c>
      <c r="X12716" t="s">
        <v>47320</v>
      </c>
    </row>
    <row r="12717" spans="1:24">
      <c r="A12717">
        <f>HYPERLINK("https://www.philgeps.gov.ph/GEPSNONPILOT/Tender/SplashBidNoticeAbstractUI.aspx?menuIndex=3&amp;refID=7173057&amp;Result=3","7173057")</f>
        <v>0</v>
      </c>
      <c r="B12717" t="s">
        <v>2225</v>
      </c>
      <c r="C12717" t="s">
        <v>15879</v>
      </c>
      <c r="D12717" t="s">
        <v>18999</v>
      </c>
      <c r="E12717" t="s">
        <v>29884</v>
      </c>
      <c r="F12717" t="s">
        <v>32606</v>
      </c>
      <c r="G12717" t="s">
        <v>32613</v>
      </c>
      <c r="H12717" t="s">
        <v>32623</v>
      </c>
      <c r="I12717" t="s">
        <v>17648</v>
      </c>
      <c r="J12717" t="s">
        <v>40642</v>
      </c>
      <c r="K12717" t="s">
        <v>42639</v>
      </c>
      <c r="M12717" t="s">
        <v>46820</v>
      </c>
      <c r="N12717" t="s">
        <v>47304</v>
      </c>
      <c r="O12717" t="s">
        <v>47305</v>
      </c>
      <c r="P12717">
        <v>0</v>
      </c>
      <c r="Q12717">
        <v>74</v>
      </c>
      <c r="R12717" t="s">
        <v>47319</v>
      </c>
      <c r="S12717" t="s">
        <v>47813</v>
      </c>
      <c r="T12717" t="s">
        <v>49002</v>
      </c>
      <c r="U12717" t="s">
        <v>55148</v>
      </c>
      <c r="V12717" t="s">
        <v>63928</v>
      </c>
      <c r="W12717" t="s">
        <v>64537</v>
      </c>
      <c r="X12717" t="s">
        <v>47320</v>
      </c>
    </row>
    <row r="12718" spans="1:24">
      <c r="A12718">
        <f>HYPERLINK("https://www.philgeps.gov.ph/GEPSNONPILOT/Tender/SplashBidNoticeAbstractUI.aspx?menuIndex=3&amp;refID=7173051&amp;Result=3","7173051")</f>
        <v>0</v>
      </c>
      <c r="B12718" t="s">
        <v>2290</v>
      </c>
      <c r="C12718" t="s">
        <v>15880</v>
      </c>
      <c r="D12718" t="s">
        <v>19018</v>
      </c>
      <c r="E12718" t="s">
        <v>25864</v>
      </c>
      <c r="F12718" t="s">
        <v>32606</v>
      </c>
      <c r="G12718" t="s">
        <v>32613</v>
      </c>
      <c r="H12718" t="s">
        <v>14201</v>
      </c>
      <c r="I12718" t="s">
        <v>32626</v>
      </c>
      <c r="J12718" t="s">
        <v>40643</v>
      </c>
      <c r="K12718" t="s">
        <v>42623</v>
      </c>
      <c r="M12718" t="s">
        <v>45395</v>
      </c>
      <c r="N12718" t="s">
        <v>47304</v>
      </c>
      <c r="O12718" t="s">
        <v>47305</v>
      </c>
      <c r="P12718">
        <v>0</v>
      </c>
      <c r="Q12718">
        <v>1</v>
      </c>
      <c r="R12718" t="s">
        <v>47319</v>
      </c>
      <c r="S12718" t="s">
        <v>47813</v>
      </c>
      <c r="T12718" t="s">
        <v>49158</v>
      </c>
      <c r="U12718" t="s">
        <v>60049</v>
      </c>
      <c r="W12718" t="s">
        <v>45395</v>
      </c>
      <c r="X12718" t="s">
        <v>47320</v>
      </c>
    </row>
    <row r="12719" spans="1:24">
      <c r="A12719">
        <f>HYPERLINK("https://www.philgeps.gov.ph/GEPSNONPILOT/Tender/SplashBidNoticeAbstractUI.aspx?menuIndex=3&amp;refID=7173192&amp;Result=3","7173192")</f>
        <v>0</v>
      </c>
      <c r="B12719" t="s">
        <v>2964</v>
      </c>
      <c r="C12719" t="s">
        <v>15881</v>
      </c>
      <c r="D12719" t="s">
        <v>19034</v>
      </c>
      <c r="E12719" t="s">
        <v>29885</v>
      </c>
      <c r="F12719" t="s">
        <v>32606</v>
      </c>
      <c r="G12719" t="s">
        <v>32614</v>
      </c>
      <c r="H12719" t="s">
        <v>14201</v>
      </c>
      <c r="I12719" t="s">
        <v>4112</v>
      </c>
      <c r="J12719" t="s">
        <v>40644</v>
      </c>
      <c r="K12719" t="s">
        <v>42623</v>
      </c>
      <c r="M12719" t="s">
        <v>46149</v>
      </c>
      <c r="N12719" t="s">
        <v>47304</v>
      </c>
      <c r="O12719" t="s">
        <v>47305</v>
      </c>
      <c r="P12719">
        <v>0</v>
      </c>
      <c r="Q12719">
        <v>0</v>
      </c>
      <c r="R12719" t="s">
        <v>47319</v>
      </c>
      <c r="S12719" t="s">
        <v>47813</v>
      </c>
      <c r="T12719" t="s">
        <v>49373</v>
      </c>
      <c r="U12719" t="s">
        <v>60050</v>
      </c>
      <c r="W12719" t="s">
        <v>46149</v>
      </c>
      <c r="X12719" t="s">
        <v>47320</v>
      </c>
    </row>
    <row r="12720" spans="1:24">
      <c r="A12720">
        <f>HYPERLINK("https://www.philgeps.gov.ph/GEPSNONPILOT/Tender/SplashBidNoticeAbstractUI.aspx?menuIndex=3&amp;refID=7173025&amp;Result=3","7173025")</f>
        <v>0</v>
      </c>
      <c r="B12720" t="s">
        <v>2500</v>
      </c>
      <c r="C12720" t="s">
        <v>15882</v>
      </c>
      <c r="D12720" t="s">
        <v>19053</v>
      </c>
      <c r="E12720" t="s">
        <v>29886</v>
      </c>
      <c r="F12720" t="s">
        <v>32606</v>
      </c>
      <c r="G12720" t="s">
        <v>32613</v>
      </c>
      <c r="H12720" t="s">
        <v>32623</v>
      </c>
      <c r="I12720" t="s">
        <v>17648</v>
      </c>
      <c r="J12720" t="s">
        <v>40645</v>
      </c>
      <c r="K12720" t="s">
        <v>42773</v>
      </c>
      <c r="M12720" t="s">
        <v>45638</v>
      </c>
      <c r="N12720" t="s">
        <v>47304</v>
      </c>
      <c r="O12720" t="s">
        <v>47305</v>
      </c>
      <c r="P12720">
        <v>0</v>
      </c>
      <c r="Q12720">
        <v>2</v>
      </c>
      <c r="R12720" t="s">
        <v>47319</v>
      </c>
      <c r="S12720" t="s">
        <v>47813</v>
      </c>
      <c r="T12720" t="s">
        <v>48996</v>
      </c>
      <c r="U12720" t="s">
        <v>60051</v>
      </c>
      <c r="V12720" t="s">
        <v>64032</v>
      </c>
      <c r="W12720" t="s">
        <v>45638</v>
      </c>
      <c r="X12720" t="s">
        <v>47320</v>
      </c>
    </row>
    <row r="12721" spans="1:24">
      <c r="A12721">
        <f>HYPERLINK("https://www.philgeps.gov.ph/GEPSNONPILOT/Tender/SplashBidNoticeAbstractUI.aspx?menuIndex=3&amp;refID=7173008&amp;Result=3","7173008")</f>
        <v>0</v>
      </c>
      <c r="B12721" t="s">
        <v>3535</v>
      </c>
      <c r="C12721" t="s">
        <v>15883</v>
      </c>
      <c r="D12721" t="s">
        <v>19049</v>
      </c>
      <c r="E12721" t="s">
        <v>29887</v>
      </c>
      <c r="F12721" t="s">
        <v>32606</v>
      </c>
      <c r="G12721" t="s">
        <v>32613</v>
      </c>
      <c r="H12721" t="s">
        <v>32623</v>
      </c>
      <c r="I12721" t="s">
        <v>17648</v>
      </c>
      <c r="J12721" t="s">
        <v>36161</v>
      </c>
      <c r="K12721" t="s">
        <v>42719</v>
      </c>
      <c r="M12721" t="s">
        <v>46809</v>
      </c>
      <c r="N12721" t="s">
        <v>47304</v>
      </c>
      <c r="O12721" t="s">
        <v>47305</v>
      </c>
      <c r="Q12721">
        <v>2</v>
      </c>
      <c r="R12721" t="s">
        <v>47319</v>
      </c>
      <c r="S12721" t="s">
        <v>47423</v>
      </c>
      <c r="T12721" t="s">
        <v>48996</v>
      </c>
      <c r="U12721" t="s">
        <v>60052</v>
      </c>
      <c r="W12721" t="s">
        <v>46809</v>
      </c>
      <c r="X12721" t="s">
        <v>47320</v>
      </c>
    </row>
    <row r="12722" spans="1:24">
      <c r="A12722">
        <f>HYPERLINK("https://www.philgeps.gov.ph/GEPSNONPILOT/Tender/SplashBidNoticeAbstractUI.aspx?menuIndex=3&amp;refID=7173291&amp;Result=3","7173291")</f>
        <v>0</v>
      </c>
      <c r="B12722" t="s">
        <v>1804</v>
      </c>
      <c r="C12722" t="s">
        <v>15884</v>
      </c>
      <c r="D12722" t="s">
        <v>18987</v>
      </c>
      <c r="E12722" t="s">
        <v>29888</v>
      </c>
      <c r="F12722" t="s">
        <v>32606</v>
      </c>
      <c r="G12722" t="s">
        <v>32619</v>
      </c>
      <c r="H12722" t="s">
        <v>14201</v>
      </c>
      <c r="I12722" t="s">
        <v>6993</v>
      </c>
      <c r="J12722" t="s">
        <v>33416</v>
      </c>
      <c r="K12722" t="s">
        <v>42623</v>
      </c>
      <c r="M12722" t="s">
        <v>44845</v>
      </c>
      <c r="N12722" t="s">
        <v>47304</v>
      </c>
      <c r="O12722" t="s">
        <v>47305</v>
      </c>
      <c r="P12722">
        <v>0</v>
      </c>
      <c r="Q12722">
        <v>0</v>
      </c>
      <c r="R12722" t="s">
        <v>47319</v>
      </c>
      <c r="S12722" t="s">
        <v>47813</v>
      </c>
      <c r="T12722" t="s">
        <v>49267</v>
      </c>
      <c r="U12722" t="s">
        <v>60053</v>
      </c>
      <c r="V12722" t="s">
        <v>64013</v>
      </c>
      <c r="W12722" t="s">
        <v>44845</v>
      </c>
      <c r="X12722" t="s">
        <v>47320</v>
      </c>
    </row>
    <row r="12723" spans="1:24">
      <c r="A12723">
        <f>HYPERLINK("https://www.philgeps.gov.ph/GEPSNONPILOT/Tender/SplashBidNoticeAbstractUI.aspx?menuIndex=3&amp;refID=7173367&amp;Result=3","7173367")</f>
        <v>0</v>
      </c>
      <c r="B12723" t="s">
        <v>1671</v>
      </c>
      <c r="C12723" t="s">
        <v>15885</v>
      </c>
      <c r="D12723" t="s">
        <v>18993</v>
      </c>
      <c r="E12723" t="s">
        <v>15885</v>
      </c>
      <c r="F12723" t="s">
        <v>32606</v>
      </c>
      <c r="G12723" t="s">
        <v>32613</v>
      </c>
      <c r="H12723" t="s">
        <v>14201</v>
      </c>
      <c r="I12723" t="s">
        <v>4114</v>
      </c>
      <c r="J12723" t="s">
        <v>32861</v>
      </c>
      <c r="K12723" t="s">
        <v>42631</v>
      </c>
      <c r="M12723" t="s">
        <v>44698</v>
      </c>
      <c r="N12723" t="s">
        <v>47304</v>
      </c>
      <c r="O12723" t="s">
        <v>47305</v>
      </c>
      <c r="P12723">
        <v>0</v>
      </c>
      <c r="Q12723">
        <v>2</v>
      </c>
      <c r="R12723" t="s">
        <v>47319</v>
      </c>
      <c r="S12723" t="s">
        <v>47813</v>
      </c>
      <c r="T12723" t="s">
        <v>48987</v>
      </c>
      <c r="U12723" t="s">
        <v>51117</v>
      </c>
      <c r="W12723" t="s">
        <v>44698</v>
      </c>
      <c r="X12723" t="s">
        <v>47320</v>
      </c>
    </row>
    <row r="12724" spans="1:24">
      <c r="A12724">
        <f>HYPERLINK("https://www.philgeps.gov.ph/GEPSNONPILOT/Tender/SplashBidNoticeAbstractUI.aspx?menuIndex=3&amp;refID=7173247&amp;Result=3","7173247")</f>
        <v>0</v>
      </c>
      <c r="B12724" t="s">
        <v>3540</v>
      </c>
      <c r="C12724" t="s">
        <v>15886</v>
      </c>
      <c r="D12724" t="s">
        <v>18993</v>
      </c>
      <c r="E12724" t="s">
        <v>29256</v>
      </c>
      <c r="F12724" t="s">
        <v>32608</v>
      </c>
      <c r="G12724" t="s">
        <v>32613</v>
      </c>
      <c r="H12724" t="s">
        <v>14201</v>
      </c>
      <c r="I12724" t="s">
        <v>32659</v>
      </c>
      <c r="J12724" t="s">
        <v>33263</v>
      </c>
      <c r="K12724" t="s">
        <v>42630</v>
      </c>
      <c r="M12724" t="s">
        <v>46817</v>
      </c>
      <c r="N12724" t="s">
        <v>47304</v>
      </c>
      <c r="O12724" t="s">
        <v>47305</v>
      </c>
      <c r="P12724">
        <v>0</v>
      </c>
      <c r="Q12724">
        <v>4</v>
      </c>
      <c r="R12724" t="s">
        <v>47319</v>
      </c>
      <c r="S12724" t="s">
        <v>47813</v>
      </c>
      <c r="T12724" t="s">
        <v>49257</v>
      </c>
      <c r="U12724" t="s">
        <v>60054</v>
      </c>
      <c r="W12724" t="s">
        <v>46817</v>
      </c>
      <c r="X12724" t="s">
        <v>47320</v>
      </c>
    </row>
    <row r="12725" spans="1:24">
      <c r="A12725">
        <f>HYPERLINK("https://www.philgeps.gov.ph/GEPSNONPILOT/Tender/SplashBidNoticeAbstractUI.aspx?menuIndex=3&amp;refID=7173361&amp;Result=3","7173361")</f>
        <v>0</v>
      </c>
      <c r="B12725" t="s">
        <v>3045</v>
      </c>
      <c r="C12725" t="s">
        <v>15887</v>
      </c>
      <c r="D12725" t="s">
        <v>19008</v>
      </c>
      <c r="E12725" t="s">
        <v>29889</v>
      </c>
      <c r="F12725" t="s">
        <v>32606</v>
      </c>
      <c r="G12725" t="s">
        <v>32613</v>
      </c>
      <c r="H12725" t="s">
        <v>32623</v>
      </c>
      <c r="I12725" t="s">
        <v>32661</v>
      </c>
      <c r="J12725" t="s">
        <v>33936</v>
      </c>
      <c r="K12725" t="s">
        <v>42631</v>
      </c>
      <c r="M12725" t="s">
        <v>46240</v>
      </c>
      <c r="N12725" t="s">
        <v>47304</v>
      </c>
      <c r="O12725" t="s">
        <v>47305</v>
      </c>
      <c r="P12725">
        <v>0</v>
      </c>
      <c r="Q12725">
        <v>1</v>
      </c>
      <c r="R12725" t="s">
        <v>47319</v>
      </c>
      <c r="S12725" t="s">
        <v>47813</v>
      </c>
      <c r="T12725" t="s">
        <v>49013</v>
      </c>
      <c r="U12725" t="s">
        <v>60055</v>
      </c>
      <c r="V12725" t="s">
        <v>62760</v>
      </c>
      <c r="W12725" t="s">
        <v>46240</v>
      </c>
      <c r="X12725" t="s">
        <v>47320</v>
      </c>
    </row>
    <row r="12726" spans="1:24">
      <c r="A12726">
        <f>HYPERLINK("https://www.philgeps.gov.ph/GEPSNONPILOT/Tender/SplashBidNoticeAbstractUI.aspx?menuIndex=3&amp;refID=7173355&amp;Result=3","7173355")</f>
        <v>0</v>
      </c>
      <c r="B12726" t="s">
        <v>1671</v>
      </c>
      <c r="C12726" t="s">
        <v>15888</v>
      </c>
      <c r="D12726" t="s">
        <v>18993</v>
      </c>
      <c r="E12726" t="s">
        <v>15888</v>
      </c>
      <c r="F12726" t="s">
        <v>32606</v>
      </c>
      <c r="G12726" t="s">
        <v>32613</v>
      </c>
      <c r="H12726" t="s">
        <v>14201</v>
      </c>
      <c r="I12726" t="s">
        <v>4114</v>
      </c>
      <c r="J12726" t="s">
        <v>33051</v>
      </c>
      <c r="K12726" t="s">
        <v>42631</v>
      </c>
      <c r="M12726" t="s">
        <v>44698</v>
      </c>
      <c r="N12726" t="s">
        <v>47304</v>
      </c>
      <c r="O12726" t="s">
        <v>47305</v>
      </c>
      <c r="P12726">
        <v>0</v>
      </c>
      <c r="Q12726">
        <v>1</v>
      </c>
      <c r="R12726" t="s">
        <v>47319</v>
      </c>
      <c r="S12726" t="s">
        <v>47813</v>
      </c>
      <c r="T12726" t="s">
        <v>48987</v>
      </c>
      <c r="U12726" t="s">
        <v>51117</v>
      </c>
      <c r="W12726" t="s">
        <v>44698</v>
      </c>
      <c r="X12726" t="s">
        <v>47320</v>
      </c>
    </row>
    <row r="12727" spans="1:24">
      <c r="A12727">
        <f>HYPERLINK("https://www.philgeps.gov.ph/GEPSNONPILOT/Tender/SplashBidNoticeAbstractUI.aspx?menuIndex=3&amp;refID=7173353&amp;Result=3","7173353")</f>
        <v>0</v>
      </c>
      <c r="B12727" t="s">
        <v>554</v>
      </c>
      <c r="C12727" t="s">
        <v>15889</v>
      </c>
      <c r="D12727" t="s">
        <v>19032</v>
      </c>
      <c r="E12727" t="s">
        <v>22595</v>
      </c>
      <c r="F12727" t="s">
        <v>32606</v>
      </c>
      <c r="G12727" t="s">
        <v>32613</v>
      </c>
      <c r="H12727" t="s">
        <v>32623</v>
      </c>
      <c r="I12727" t="s">
        <v>17648</v>
      </c>
      <c r="J12727" t="s">
        <v>32778</v>
      </c>
      <c r="K12727" t="s">
        <v>42649</v>
      </c>
      <c r="M12727" t="s">
        <v>43469</v>
      </c>
      <c r="N12727" t="s">
        <v>47304</v>
      </c>
      <c r="O12727" t="s">
        <v>47305</v>
      </c>
      <c r="P12727">
        <v>0</v>
      </c>
      <c r="Q12727">
        <v>0</v>
      </c>
      <c r="R12727" t="s">
        <v>47319</v>
      </c>
      <c r="S12727" t="s">
        <v>47813</v>
      </c>
      <c r="T12727" t="s">
        <v>49020</v>
      </c>
      <c r="U12727" t="s">
        <v>60056</v>
      </c>
      <c r="W12727" t="s">
        <v>43469</v>
      </c>
      <c r="X12727" t="s">
        <v>47320</v>
      </c>
    </row>
    <row r="12728" spans="1:24">
      <c r="A12728">
        <f>HYPERLINK("https://www.philgeps.gov.ph/GEPSNONPILOT/Tender/SplashBidNoticeAbstractUI.aspx?menuIndex=3&amp;refID=7173093&amp;Result=3","7173093")</f>
        <v>0</v>
      </c>
      <c r="B12728" t="s">
        <v>2225</v>
      </c>
      <c r="C12728" t="s">
        <v>15890</v>
      </c>
      <c r="D12728" t="s">
        <v>18999</v>
      </c>
      <c r="E12728" t="s">
        <v>29890</v>
      </c>
      <c r="F12728" t="s">
        <v>32606</v>
      </c>
      <c r="G12728" t="s">
        <v>32613</v>
      </c>
      <c r="H12728" t="s">
        <v>32623</v>
      </c>
      <c r="I12728" t="s">
        <v>17648</v>
      </c>
      <c r="J12728" t="s">
        <v>32861</v>
      </c>
      <c r="K12728" t="s">
        <v>42636</v>
      </c>
      <c r="M12728" t="s">
        <v>46654</v>
      </c>
      <c r="N12728" t="s">
        <v>47304</v>
      </c>
      <c r="O12728" t="s">
        <v>47305</v>
      </c>
      <c r="P12728">
        <v>0</v>
      </c>
      <c r="Q12728">
        <v>75</v>
      </c>
      <c r="R12728" t="s">
        <v>47319</v>
      </c>
      <c r="S12728" t="s">
        <v>47813</v>
      </c>
      <c r="T12728" t="s">
        <v>49002</v>
      </c>
      <c r="U12728" t="s">
        <v>55148</v>
      </c>
      <c r="V12728" t="s">
        <v>63928</v>
      </c>
      <c r="W12728" t="s">
        <v>64537</v>
      </c>
      <c r="X12728" t="s">
        <v>47320</v>
      </c>
    </row>
    <row r="12729" spans="1:24">
      <c r="A12729">
        <f>HYPERLINK("https://www.philgeps.gov.ph/GEPSNONPILOT/Tender/SplashBidNoticeAbstractUI.aspx?menuIndex=3&amp;refID=7173352&amp;Result=3","7173352")</f>
        <v>0</v>
      </c>
      <c r="B12729" t="s">
        <v>634</v>
      </c>
      <c r="C12729" t="s">
        <v>15891</v>
      </c>
      <c r="D12729" t="s">
        <v>19056</v>
      </c>
      <c r="E12729" t="s">
        <v>29891</v>
      </c>
      <c r="F12729" t="s">
        <v>32606</v>
      </c>
      <c r="G12729" t="s">
        <v>32613</v>
      </c>
      <c r="H12729" t="s">
        <v>32623</v>
      </c>
      <c r="I12729" t="s">
        <v>17648</v>
      </c>
      <c r="J12729" t="s">
        <v>40646</v>
      </c>
      <c r="K12729" t="s">
        <v>42869</v>
      </c>
      <c r="M12729" t="s">
        <v>43552</v>
      </c>
      <c r="N12729" t="s">
        <v>47304</v>
      </c>
      <c r="O12729" t="s">
        <v>47305</v>
      </c>
      <c r="P12729">
        <v>0</v>
      </c>
      <c r="Q12729">
        <v>0</v>
      </c>
      <c r="R12729" t="s">
        <v>47319</v>
      </c>
      <c r="S12729" t="s">
        <v>47813</v>
      </c>
      <c r="T12729" t="s">
        <v>49116</v>
      </c>
      <c r="U12729" t="s">
        <v>60057</v>
      </c>
      <c r="W12729" t="s">
        <v>43552</v>
      </c>
      <c r="X12729" t="s">
        <v>47320</v>
      </c>
    </row>
    <row r="12730" spans="1:24">
      <c r="A12730">
        <f>HYPERLINK("https://www.philgeps.gov.ph/GEPSNONPILOT/Tender/SplashBidNoticeAbstractUI.aspx?menuIndex=3&amp;refID=7173048&amp;Result=3","7173048")</f>
        <v>0</v>
      </c>
      <c r="B12730" t="s">
        <v>3532</v>
      </c>
      <c r="C12730" t="s">
        <v>15892</v>
      </c>
      <c r="D12730" t="s">
        <v>19006</v>
      </c>
      <c r="E12730" t="s">
        <v>29892</v>
      </c>
      <c r="F12730" t="s">
        <v>32606</v>
      </c>
      <c r="G12730" t="s">
        <v>32613</v>
      </c>
      <c r="H12730" t="s">
        <v>14201</v>
      </c>
      <c r="I12730" t="s">
        <v>4678</v>
      </c>
      <c r="J12730" t="s">
        <v>40647</v>
      </c>
      <c r="K12730" t="s">
        <v>42631</v>
      </c>
      <c r="M12730" t="s">
        <v>46805</v>
      </c>
      <c r="N12730" t="s">
        <v>47304</v>
      </c>
      <c r="O12730" t="s">
        <v>47305</v>
      </c>
      <c r="P12730">
        <v>0</v>
      </c>
      <c r="Q12730">
        <v>3</v>
      </c>
      <c r="R12730" t="s">
        <v>47319</v>
      </c>
      <c r="S12730" t="s">
        <v>47813</v>
      </c>
      <c r="T12730" t="s">
        <v>49016</v>
      </c>
      <c r="U12730" t="s">
        <v>60058</v>
      </c>
      <c r="W12730" t="s">
        <v>46805</v>
      </c>
      <c r="X12730" t="s">
        <v>47320</v>
      </c>
    </row>
    <row r="12731" spans="1:24">
      <c r="A12731">
        <f>HYPERLINK("https://www.philgeps.gov.ph/GEPSNONPILOT/Tender/SplashBidNoticeAbstractUI.aspx?menuIndex=3&amp;refID=7173324&amp;Result=3","7173324")</f>
        <v>0</v>
      </c>
      <c r="B12731" t="s">
        <v>3541</v>
      </c>
      <c r="C12731" t="s">
        <v>15893</v>
      </c>
      <c r="D12731" t="s">
        <v>19051</v>
      </c>
      <c r="E12731" t="s">
        <v>29893</v>
      </c>
      <c r="F12731" t="s">
        <v>32606</v>
      </c>
      <c r="G12731" t="s">
        <v>32613</v>
      </c>
      <c r="H12731" t="s">
        <v>14201</v>
      </c>
      <c r="I12731" t="s">
        <v>6931</v>
      </c>
      <c r="J12731" t="s">
        <v>40648</v>
      </c>
      <c r="K12731" t="s">
        <v>42622</v>
      </c>
      <c r="M12731" t="s">
        <v>46818</v>
      </c>
      <c r="N12731" t="s">
        <v>47304</v>
      </c>
      <c r="O12731" t="s">
        <v>47305</v>
      </c>
      <c r="P12731">
        <v>0</v>
      </c>
      <c r="Q12731">
        <v>0</v>
      </c>
      <c r="R12731" t="s">
        <v>47319</v>
      </c>
      <c r="S12731" t="s">
        <v>47813</v>
      </c>
      <c r="T12731" t="s">
        <v>48979</v>
      </c>
      <c r="U12731" t="s">
        <v>60059</v>
      </c>
      <c r="W12731" t="s">
        <v>46818</v>
      </c>
      <c r="X12731" t="s">
        <v>47320</v>
      </c>
    </row>
    <row r="12732" spans="1:24">
      <c r="A12732">
        <f>HYPERLINK("https://www.philgeps.gov.ph/GEPSNONPILOT/Tender/SplashBidNoticeAbstractUI.aspx?menuIndex=3&amp;refID=7173323&amp;Result=3","7173323")</f>
        <v>0</v>
      </c>
      <c r="B12732" t="s">
        <v>554</v>
      </c>
      <c r="C12732" t="s">
        <v>15894</v>
      </c>
      <c r="D12732" t="s">
        <v>19032</v>
      </c>
      <c r="E12732" t="s">
        <v>22543</v>
      </c>
      <c r="F12732" t="s">
        <v>32606</v>
      </c>
      <c r="G12732" t="s">
        <v>32613</v>
      </c>
      <c r="H12732" t="s">
        <v>32623</v>
      </c>
      <c r="I12732" t="s">
        <v>17648</v>
      </c>
      <c r="J12732" t="s">
        <v>32821</v>
      </c>
      <c r="K12732" t="s">
        <v>42651</v>
      </c>
      <c r="M12732" t="s">
        <v>43469</v>
      </c>
      <c r="N12732" t="s">
        <v>47304</v>
      </c>
      <c r="O12732" t="s">
        <v>47305</v>
      </c>
      <c r="P12732">
        <v>0</v>
      </c>
      <c r="Q12732">
        <v>0</v>
      </c>
      <c r="R12732" t="s">
        <v>47319</v>
      </c>
      <c r="S12732" t="s">
        <v>47813</v>
      </c>
      <c r="T12732" t="s">
        <v>49020</v>
      </c>
      <c r="U12732" t="s">
        <v>60060</v>
      </c>
      <c r="W12732" t="s">
        <v>43469</v>
      </c>
      <c r="X12732" t="s">
        <v>47320</v>
      </c>
    </row>
    <row r="12733" spans="1:24">
      <c r="A12733">
        <f>HYPERLINK("https://www.philgeps.gov.ph/GEPSNONPILOT/Tender/SplashBidNoticeAbstractUI.aspx?menuIndex=3&amp;refID=7173106&amp;Result=3","7173106")</f>
        <v>0</v>
      </c>
      <c r="B12733" t="s">
        <v>1472</v>
      </c>
      <c r="C12733" t="s">
        <v>4359</v>
      </c>
      <c r="D12733" t="s">
        <v>19022</v>
      </c>
      <c r="E12733" t="s">
        <v>29894</v>
      </c>
      <c r="F12733" t="s">
        <v>32606</v>
      </c>
      <c r="G12733" t="s">
        <v>32613</v>
      </c>
      <c r="H12733" t="s">
        <v>14201</v>
      </c>
      <c r="I12733" t="s">
        <v>6931</v>
      </c>
      <c r="J12733" t="s">
        <v>40649</v>
      </c>
      <c r="K12733" t="s">
        <v>42631</v>
      </c>
      <c r="M12733" t="s">
        <v>44466</v>
      </c>
      <c r="N12733" t="s">
        <v>47304</v>
      </c>
      <c r="O12733" t="s">
        <v>47305</v>
      </c>
      <c r="P12733">
        <v>0</v>
      </c>
      <c r="Q12733">
        <v>1</v>
      </c>
      <c r="R12733" t="s">
        <v>47319</v>
      </c>
      <c r="S12733" t="s">
        <v>47813</v>
      </c>
      <c r="T12733" t="s">
        <v>49040</v>
      </c>
      <c r="U12733" t="s">
        <v>60061</v>
      </c>
      <c r="W12733" t="s">
        <v>44466</v>
      </c>
      <c r="X12733" t="s">
        <v>47320</v>
      </c>
    </row>
    <row r="12734" spans="1:24">
      <c r="A12734">
        <f>HYPERLINK("https://www.philgeps.gov.ph/GEPSNONPILOT/Tender/SplashBidNoticeAbstractUI.aspx?menuIndex=3&amp;refID=7173310&amp;Result=3","7173310")</f>
        <v>0</v>
      </c>
      <c r="B12734" t="s">
        <v>374</v>
      </c>
      <c r="C12734" t="s">
        <v>15895</v>
      </c>
      <c r="D12734" t="s">
        <v>18999</v>
      </c>
      <c r="E12734" t="s">
        <v>29895</v>
      </c>
      <c r="F12734" t="s">
        <v>32606</v>
      </c>
      <c r="G12734" t="s">
        <v>32615</v>
      </c>
      <c r="H12734" t="s">
        <v>32623</v>
      </c>
      <c r="I12734" t="s">
        <v>17648</v>
      </c>
      <c r="J12734" t="s">
        <v>40650</v>
      </c>
      <c r="K12734" t="s">
        <v>42636</v>
      </c>
      <c r="M12734" t="s">
        <v>46821</v>
      </c>
      <c r="N12734" t="s">
        <v>47304</v>
      </c>
      <c r="O12734" t="s">
        <v>47305</v>
      </c>
      <c r="P12734">
        <v>0</v>
      </c>
      <c r="Q12734">
        <v>3</v>
      </c>
      <c r="R12734" t="s">
        <v>47319</v>
      </c>
      <c r="S12734" t="s">
        <v>47813</v>
      </c>
      <c r="T12734" t="s">
        <v>49268</v>
      </c>
      <c r="U12734" t="s">
        <v>60062</v>
      </c>
      <c r="W12734" t="s">
        <v>46821</v>
      </c>
      <c r="X12734" t="s">
        <v>47320</v>
      </c>
    </row>
    <row r="12735" spans="1:24">
      <c r="A12735">
        <f>HYPERLINK("https://www.philgeps.gov.ph/GEPSNONPILOT/Tender/SplashBidNoticeAbstractUI.aspx?menuIndex=3&amp;refID=7173342&amp;Result=3","7173342")</f>
        <v>0</v>
      </c>
      <c r="B12735" t="s">
        <v>3541</v>
      </c>
      <c r="C12735" t="s">
        <v>15896</v>
      </c>
      <c r="D12735" t="s">
        <v>19051</v>
      </c>
      <c r="E12735" t="s">
        <v>29896</v>
      </c>
      <c r="F12735" t="s">
        <v>32606</v>
      </c>
      <c r="G12735" t="s">
        <v>32613</v>
      </c>
      <c r="H12735" t="s">
        <v>14201</v>
      </c>
      <c r="I12735" t="s">
        <v>6931</v>
      </c>
      <c r="J12735" t="s">
        <v>40651</v>
      </c>
      <c r="K12735" t="s">
        <v>42622</v>
      </c>
      <c r="M12735" t="s">
        <v>46818</v>
      </c>
      <c r="N12735" t="s">
        <v>47304</v>
      </c>
      <c r="O12735" t="s">
        <v>47305</v>
      </c>
      <c r="P12735">
        <v>0</v>
      </c>
      <c r="Q12735">
        <v>1</v>
      </c>
      <c r="R12735" t="s">
        <v>47319</v>
      </c>
      <c r="S12735" t="s">
        <v>47813</v>
      </c>
      <c r="T12735" t="s">
        <v>48980</v>
      </c>
      <c r="U12735" t="s">
        <v>60063</v>
      </c>
      <c r="W12735" t="s">
        <v>46818</v>
      </c>
      <c r="X12735" t="s">
        <v>47320</v>
      </c>
    </row>
    <row r="12736" spans="1:24">
      <c r="A12736">
        <f>HYPERLINK("https://www.philgeps.gov.ph/GEPSNONPILOT/Tender/SplashBidNoticeAbstractUI.aspx?menuIndex=3&amp;refID=7173340&amp;Result=3","7173340")</f>
        <v>0</v>
      </c>
      <c r="B12736" t="s">
        <v>2538</v>
      </c>
      <c r="C12736" t="s">
        <v>15897</v>
      </c>
      <c r="D12736" t="s">
        <v>18986</v>
      </c>
      <c r="E12736" t="s">
        <v>26284</v>
      </c>
      <c r="F12736" t="s">
        <v>32606</v>
      </c>
      <c r="G12736" t="s">
        <v>32613</v>
      </c>
      <c r="H12736" t="s">
        <v>14201</v>
      </c>
      <c r="I12736" t="s">
        <v>9008</v>
      </c>
      <c r="J12736" t="s">
        <v>40652</v>
      </c>
      <c r="K12736" t="s">
        <v>42623</v>
      </c>
      <c r="M12736" t="s">
        <v>45678</v>
      </c>
      <c r="N12736" t="s">
        <v>47304</v>
      </c>
      <c r="O12736" t="s">
        <v>47305</v>
      </c>
      <c r="P12736">
        <v>0</v>
      </c>
      <c r="Q12736">
        <v>1</v>
      </c>
      <c r="R12736" t="s">
        <v>47319</v>
      </c>
      <c r="S12736" t="s">
        <v>47813</v>
      </c>
      <c r="T12736" t="s">
        <v>49479</v>
      </c>
      <c r="U12736" t="s">
        <v>60064</v>
      </c>
      <c r="V12736" t="s">
        <v>64033</v>
      </c>
      <c r="W12736" t="s">
        <v>45678</v>
      </c>
      <c r="X12736" t="s">
        <v>47320</v>
      </c>
    </row>
    <row r="12737" spans="1:24">
      <c r="A12737">
        <f>HYPERLINK("https://www.philgeps.gov.ph/GEPSNONPILOT/Tender/SplashBidNoticeAbstractUI.aspx?menuIndex=3&amp;refID=7173362&amp;Result=3","7173362")</f>
        <v>0</v>
      </c>
      <c r="B12737" t="s">
        <v>3543</v>
      </c>
      <c r="C12737" t="s">
        <v>15898</v>
      </c>
      <c r="D12737" t="s">
        <v>19007</v>
      </c>
      <c r="E12737" t="s">
        <v>24390</v>
      </c>
      <c r="F12737" t="s">
        <v>32606</v>
      </c>
      <c r="G12737" t="s">
        <v>32613</v>
      </c>
      <c r="H12737" t="s">
        <v>32623</v>
      </c>
      <c r="I12737" t="s">
        <v>17648</v>
      </c>
      <c r="J12737" t="s">
        <v>33994</v>
      </c>
      <c r="K12737" t="s">
        <v>42631</v>
      </c>
      <c r="M12737" t="s">
        <v>46822</v>
      </c>
      <c r="N12737" t="s">
        <v>47304</v>
      </c>
      <c r="O12737" t="s">
        <v>47305</v>
      </c>
      <c r="P12737">
        <v>0</v>
      </c>
      <c r="Q12737">
        <v>2</v>
      </c>
      <c r="R12737" t="s">
        <v>47319</v>
      </c>
      <c r="S12737" t="s">
        <v>47813</v>
      </c>
      <c r="T12737" t="s">
        <v>49268</v>
      </c>
      <c r="U12737" t="s">
        <v>60065</v>
      </c>
      <c r="W12737" t="s">
        <v>46822</v>
      </c>
      <c r="X12737" t="s">
        <v>47320</v>
      </c>
    </row>
    <row r="12738" spans="1:24">
      <c r="A12738">
        <f>HYPERLINK("https://www.philgeps.gov.ph/GEPSNONPILOT/Tender/SplashBidNoticeAbstractUI.aspx?menuIndex=3&amp;refID=7173456&amp;Result=3","7173456")</f>
        <v>0</v>
      </c>
      <c r="B12738" t="s">
        <v>276</v>
      </c>
      <c r="C12738" t="s">
        <v>15899</v>
      </c>
      <c r="D12738" t="s">
        <v>19001</v>
      </c>
      <c r="E12738" t="s">
        <v>29897</v>
      </c>
      <c r="F12738" t="s">
        <v>32606</v>
      </c>
      <c r="G12738" t="s">
        <v>32613</v>
      </c>
      <c r="H12738" t="s">
        <v>32624</v>
      </c>
      <c r="I12738" t="s">
        <v>32628</v>
      </c>
      <c r="J12738" t="s">
        <v>40653</v>
      </c>
      <c r="K12738" t="s">
        <v>42838</v>
      </c>
      <c r="M12738" t="s">
        <v>43964</v>
      </c>
      <c r="N12738" t="s">
        <v>47304</v>
      </c>
      <c r="O12738" t="s">
        <v>47305</v>
      </c>
      <c r="Q12738">
        <v>1</v>
      </c>
      <c r="R12738" t="s">
        <v>47319</v>
      </c>
      <c r="S12738" t="s">
        <v>47884</v>
      </c>
      <c r="T12738" t="s">
        <v>49081</v>
      </c>
      <c r="U12738" t="s">
        <v>60066</v>
      </c>
      <c r="W12738" t="s">
        <v>43964</v>
      </c>
      <c r="X12738" t="s">
        <v>47320</v>
      </c>
    </row>
    <row r="12739" spans="1:24">
      <c r="A12739">
        <f>HYPERLINK("https://www.philgeps.gov.ph/GEPSNONPILOT/Tender/SplashBidNoticeAbstractUI.aspx?menuIndex=3&amp;refID=7173205&amp;Result=3","7173205")</f>
        <v>0</v>
      </c>
      <c r="B12739" t="s">
        <v>3540</v>
      </c>
      <c r="C12739" t="s">
        <v>15900</v>
      </c>
      <c r="D12739" t="s">
        <v>18993</v>
      </c>
      <c r="E12739" t="s">
        <v>29256</v>
      </c>
      <c r="F12739" t="s">
        <v>32608</v>
      </c>
      <c r="G12739" t="s">
        <v>32613</v>
      </c>
      <c r="H12739" t="s">
        <v>14201</v>
      </c>
      <c r="I12739" t="s">
        <v>32644</v>
      </c>
      <c r="J12739" t="s">
        <v>33102</v>
      </c>
      <c r="K12739" t="s">
        <v>42630</v>
      </c>
      <c r="M12739" t="s">
        <v>46817</v>
      </c>
      <c r="N12739" t="s">
        <v>47304</v>
      </c>
      <c r="O12739" t="s">
        <v>47305</v>
      </c>
      <c r="P12739">
        <v>0</v>
      </c>
      <c r="Q12739">
        <v>8</v>
      </c>
      <c r="R12739" t="s">
        <v>47319</v>
      </c>
      <c r="S12739" t="s">
        <v>47813</v>
      </c>
      <c r="T12739" t="s">
        <v>49072</v>
      </c>
      <c r="U12739" t="s">
        <v>60067</v>
      </c>
      <c r="W12739" t="s">
        <v>46817</v>
      </c>
      <c r="X12739" t="s">
        <v>47320</v>
      </c>
    </row>
    <row r="12740" spans="1:24">
      <c r="A12740">
        <f>HYPERLINK("https://www.philgeps.gov.ph/GEPSNONPILOT/Tender/SplashBidNoticeAbstractUI.aspx?menuIndex=3&amp;refID=7173328&amp;Result=3","7173328")</f>
        <v>0</v>
      </c>
      <c r="B12740" t="s">
        <v>1671</v>
      </c>
      <c r="C12740" t="s">
        <v>15901</v>
      </c>
      <c r="D12740" t="s">
        <v>18993</v>
      </c>
      <c r="E12740" t="s">
        <v>15901</v>
      </c>
      <c r="F12740" t="s">
        <v>32606</v>
      </c>
      <c r="G12740" t="s">
        <v>32613</v>
      </c>
      <c r="H12740" t="s">
        <v>14201</v>
      </c>
      <c r="I12740" t="s">
        <v>4114</v>
      </c>
      <c r="J12740" t="s">
        <v>40654</v>
      </c>
      <c r="K12740" t="s">
        <v>42631</v>
      </c>
      <c r="M12740" t="s">
        <v>44698</v>
      </c>
      <c r="N12740" t="s">
        <v>47304</v>
      </c>
      <c r="O12740" t="s">
        <v>47305</v>
      </c>
      <c r="P12740">
        <v>0</v>
      </c>
      <c r="Q12740">
        <v>1</v>
      </c>
      <c r="R12740" t="s">
        <v>47319</v>
      </c>
      <c r="S12740" t="s">
        <v>47813</v>
      </c>
      <c r="T12740" t="s">
        <v>48987</v>
      </c>
      <c r="U12740" t="s">
        <v>53378</v>
      </c>
      <c r="W12740" t="s">
        <v>44698</v>
      </c>
      <c r="X12740" t="s">
        <v>47320</v>
      </c>
    </row>
    <row r="12741" spans="1:24">
      <c r="A12741">
        <f>HYPERLINK("https://www.philgeps.gov.ph/GEPSNONPILOT/Tender/SplashBidNoticeAbstractUI.aspx?menuIndex=3&amp;refID=7173307&amp;Result=3","7173307")</f>
        <v>0</v>
      </c>
      <c r="B12741" t="s">
        <v>3533</v>
      </c>
      <c r="C12741" t="s">
        <v>15902</v>
      </c>
      <c r="D12741" t="s">
        <v>19014</v>
      </c>
      <c r="E12741" t="s">
        <v>20898</v>
      </c>
      <c r="F12741" t="s">
        <v>32606</v>
      </c>
      <c r="G12741" t="s">
        <v>32613</v>
      </c>
      <c r="H12741" t="s">
        <v>14201</v>
      </c>
      <c r="I12741" t="s">
        <v>6931</v>
      </c>
      <c r="J12741" t="s">
        <v>40655</v>
      </c>
      <c r="K12741" t="s">
        <v>42631</v>
      </c>
      <c r="L12741" t="s">
        <v>3533</v>
      </c>
      <c r="M12741" t="s">
        <v>46806</v>
      </c>
      <c r="N12741" t="s">
        <v>47304</v>
      </c>
      <c r="O12741" t="s">
        <v>47305</v>
      </c>
      <c r="P12741">
        <v>0</v>
      </c>
      <c r="Q12741">
        <v>38</v>
      </c>
      <c r="R12741" t="s">
        <v>47319</v>
      </c>
      <c r="S12741" t="s">
        <v>47813</v>
      </c>
      <c r="T12741" t="s">
        <v>49267</v>
      </c>
      <c r="U12741" t="s">
        <v>54796</v>
      </c>
      <c r="V12741" t="s">
        <v>64025</v>
      </c>
      <c r="W12741" t="s">
        <v>46806</v>
      </c>
      <c r="X12741" t="s">
        <v>47320</v>
      </c>
    </row>
    <row r="12742" spans="1:24">
      <c r="A12742">
        <f>HYPERLINK("https://www.philgeps.gov.ph/GEPSNONPILOT/Tender/SplashBidNoticeAbstractUI.aspx?menuIndex=3&amp;refID=7173439&amp;Result=3","7173439")</f>
        <v>0</v>
      </c>
      <c r="B12742" t="s">
        <v>3350</v>
      </c>
      <c r="C12742" t="s">
        <v>15903</v>
      </c>
      <c r="D12742" t="s">
        <v>19036</v>
      </c>
      <c r="E12742" t="s">
        <v>29898</v>
      </c>
      <c r="F12742" t="s">
        <v>32606</v>
      </c>
      <c r="G12742" t="s">
        <v>32613</v>
      </c>
      <c r="H12742" t="s">
        <v>14201</v>
      </c>
      <c r="I12742" t="s">
        <v>32661</v>
      </c>
      <c r="J12742" t="s">
        <v>40656</v>
      </c>
      <c r="K12742" t="s">
        <v>42646</v>
      </c>
      <c r="M12742" t="s">
        <v>46597</v>
      </c>
      <c r="N12742" t="s">
        <v>47304</v>
      </c>
      <c r="O12742" t="s">
        <v>47305</v>
      </c>
      <c r="Q12742">
        <v>9</v>
      </c>
      <c r="R12742" t="s">
        <v>47319</v>
      </c>
      <c r="S12742" t="s">
        <v>47885</v>
      </c>
      <c r="T12742" t="s">
        <v>49188</v>
      </c>
      <c r="U12742" t="s">
        <v>60068</v>
      </c>
      <c r="W12742" t="s">
        <v>46597</v>
      </c>
      <c r="X12742" t="s">
        <v>47320</v>
      </c>
    </row>
    <row r="12743" spans="1:24">
      <c r="A12743">
        <f>HYPERLINK("https://www.philgeps.gov.ph/GEPSNONPILOT/Tender/SplashBidNoticeAbstractUI.aspx?menuIndex=3&amp;refID=7173436&amp;Result=3","7173436")</f>
        <v>0</v>
      </c>
      <c r="B12743" t="s">
        <v>3544</v>
      </c>
      <c r="C12743" t="s">
        <v>15904</v>
      </c>
      <c r="D12743" t="s">
        <v>19006</v>
      </c>
      <c r="E12743" t="s">
        <v>29899</v>
      </c>
      <c r="F12743" t="s">
        <v>32606</v>
      </c>
      <c r="G12743" t="s">
        <v>32613</v>
      </c>
      <c r="H12743" t="s">
        <v>14201</v>
      </c>
      <c r="I12743" t="s">
        <v>7677</v>
      </c>
      <c r="J12743" t="s">
        <v>34644</v>
      </c>
      <c r="K12743" t="s">
        <v>42631</v>
      </c>
      <c r="M12743" t="s">
        <v>46823</v>
      </c>
      <c r="N12743" t="s">
        <v>47304</v>
      </c>
      <c r="O12743" t="s">
        <v>47305</v>
      </c>
      <c r="P12743">
        <v>0</v>
      </c>
      <c r="Q12743">
        <v>5</v>
      </c>
      <c r="R12743" t="s">
        <v>47319</v>
      </c>
      <c r="S12743" t="s">
        <v>47813</v>
      </c>
      <c r="T12743" t="s">
        <v>48996</v>
      </c>
      <c r="U12743" t="s">
        <v>60069</v>
      </c>
      <c r="W12743" t="s">
        <v>46823</v>
      </c>
      <c r="X12743" t="s">
        <v>47320</v>
      </c>
    </row>
    <row r="12744" spans="1:24">
      <c r="A12744">
        <f>HYPERLINK("https://www.philgeps.gov.ph/GEPSNONPILOT/Tender/SplashBidNoticeAbstractUI.aspx?menuIndex=3&amp;refID=7173428&amp;Result=3","7173428")</f>
        <v>0</v>
      </c>
      <c r="B12744" t="s">
        <v>1671</v>
      </c>
      <c r="C12744" t="s">
        <v>15905</v>
      </c>
      <c r="D12744" t="s">
        <v>18993</v>
      </c>
      <c r="E12744" t="s">
        <v>15905</v>
      </c>
      <c r="F12744" t="s">
        <v>32606</v>
      </c>
      <c r="G12744" t="s">
        <v>32613</v>
      </c>
      <c r="H12744" t="s">
        <v>14201</v>
      </c>
      <c r="I12744" t="s">
        <v>4112</v>
      </c>
      <c r="J12744" t="s">
        <v>35849</v>
      </c>
      <c r="K12744" t="s">
        <v>42631</v>
      </c>
      <c r="M12744" t="s">
        <v>44698</v>
      </c>
      <c r="N12744" t="s">
        <v>47304</v>
      </c>
      <c r="O12744" t="s">
        <v>47305</v>
      </c>
      <c r="P12744">
        <v>0</v>
      </c>
      <c r="Q12744">
        <v>0</v>
      </c>
      <c r="R12744" t="s">
        <v>47319</v>
      </c>
      <c r="S12744" t="s">
        <v>47813</v>
      </c>
      <c r="T12744" t="s">
        <v>48987</v>
      </c>
      <c r="U12744" t="s">
        <v>53480</v>
      </c>
      <c r="W12744" t="s">
        <v>44698</v>
      </c>
      <c r="X12744" t="s">
        <v>47320</v>
      </c>
    </row>
    <row r="12745" spans="1:24">
      <c r="A12745">
        <f>HYPERLINK("https://www.philgeps.gov.ph/GEPSNONPILOT/Tender/SplashBidNoticeAbstractUI.aspx?menuIndex=3&amp;refID=7173455&amp;Result=3","7173455")</f>
        <v>0</v>
      </c>
      <c r="B12745" t="s">
        <v>1671</v>
      </c>
      <c r="C12745" t="s">
        <v>15906</v>
      </c>
      <c r="D12745" t="s">
        <v>18993</v>
      </c>
      <c r="E12745" t="s">
        <v>15906</v>
      </c>
      <c r="F12745" t="s">
        <v>32606</v>
      </c>
      <c r="G12745" t="s">
        <v>32613</v>
      </c>
      <c r="H12745" t="s">
        <v>14201</v>
      </c>
      <c r="I12745" t="s">
        <v>32638</v>
      </c>
      <c r="J12745" t="s">
        <v>32920</v>
      </c>
      <c r="K12745" t="s">
        <v>42631</v>
      </c>
      <c r="M12745" t="s">
        <v>44698</v>
      </c>
      <c r="N12745" t="s">
        <v>47304</v>
      </c>
      <c r="O12745" t="s">
        <v>47305</v>
      </c>
      <c r="P12745">
        <v>0</v>
      </c>
      <c r="Q12745">
        <v>9</v>
      </c>
      <c r="R12745" t="s">
        <v>47319</v>
      </c>
      <c r="S12745" t="s">
        <v>47813</v>
      </c>
      <c r="T12745" t="s">
        <v>48987</v>
      </c>
      <c r="U12745" t="s">
        <v>60070</v>
      </c>
      <c r="W12745" t="s">
        <v>44698</v>
      </c>
      <c r="X12745" t="s">
        <v>47320</v>
      </c>
    </row>
    <row r="12746" spans="1:24">
      <c r="A12746">
        <f>HYPERLINK("https://www.philgeps.gov.ph/GEPSNONPILOT/Tender/SplashBidNoticeAbstractUI.aspx?menuIndex=3&amp;refID=7173453&amp;Result=3","7173453")</f>
        <v>0</v>
      </c>
      <c r="B12746" t="s">
        <v>3211</v>
      </c>
      <c r="C12746" t="s">
        <v>15907</v>
      </c>
      <c r="D12746" t="s">
        <v>19039</v>
      </c>
      <c r="E12746" t="s">
        <v>20106</v>
      </c>
      <c r="F12746" t="s">
        <v>32607</v>
      </c>
      <c r="G12746" t="s">
        <v>32615</v>
      </c>
      <c r="H12746" t="s">
        <v>14201</v>
      </c>
      <c r="I12746" t="s">
        <v>32654</v>
      </c>
      <c r="J12746" t="s">
        <v>40657</v>
      </c>
      <c r="K12746" t="s">
        <v>42630</v>
      </c>
      <c r="M12746" t="s">
        <v>46437</v>
      </c>
      <c r="N12746" t="s">
        <v>47304</v>
      </c>
      <c r="O12746" t="s">
        <v>47305</v>
      </c>
      <c r="P12746">
        <v>0</v>
      </c>
      <c r="Q12746">
        <v>0</v>
      </c>
      <c r="R12746" t="s">
        <v>47319</v>
      </c>
      <c r="S12746" t="s">
        <v>47813</v>
      </c>
      <c r="T12746" t="s">
        <v>49107</v>
      </c>
      <c r="U12746" t="s">
        <v>60071</v>
      </c>
      <c r="V12746" t="s">
        <v>64034</v>
      </c>
      <c r="W12746" t="s">
        <v>46437</v>
      </c>
      <c r="X12746" t="s">
        <v>47320</v>
      </c>
    </row>
    <row r="12747" spans="1:24">
      <c r="A12747">
        <f>HYPERLINK("https://www.philgeps.gov.ph/GEPSNONPILOT/Tender/SplashBidNoticeAbstractUI.aspx?menuIndex=3&amp;refID=7173418&amp;Result=3","7173418")</f>
        <v>0</v>
      </c>
      <c r="B12747" t="s">
        <v>3508</v>
      </c>
      <c r="C12747" t="s">
        <v>15908</v>
      </c>
      <c r="D12747" t="s">
        <v>19057</v>
      </c>
      <c r="E12747" t="s">
        <v>29900</v>
      </c>
      <c r="F12747" t="s">
        <v>32607</v>
      </c>
      <c r="G12747" t="s">
        <v>32613</v>
      </c>
      <c r="H12747" t="s">
        <v>14201</v>
      </c>
      <c r="I12747" t="s">
        <v>6931</v>
      </c>
      <c r="J12747" t="s">
        <v>40658</v>
      </c>
      <c r="K12747" t="s">
        <v>42622</v>
      </c>
      <c r="M12747" t="s">
        <v>46777</v>
      </c>
      <c r="N12747" t="s">
        <v>47304</v>
      </c>
      <c r="O12747" t="s">
        <v>47305</v>
      </c>
      <c r="P12747">
        <v>0</v>
      </c>
      <c r="Q12747">
        <v>0</v>
      </c>
      <c r="R12747" t="s">
        <v>47319</v>
      </c>
      <c r="S12747" t="s">
        <v>47813</v>
      </c>
      <c r="T12747" t="s">
        <v>48986</v>
      </c>
      <c r="U12747" t="s">
        <v>60072</v>
      </c>
      <c r="W12747" t="s">
        <v>46777</v>
      </c>
      <c r="X12747" t="s">
        <v>47320</v>
      </c>
    </row>
    <row r="12748" spans="1:24">
      <c r="A12748">
        <f>HYPERLINK("https://www.philgeps.gov.ph/GEPSNONPILOT/Tender/SplashBidNoticeAbstractUI.aspx?menuIndex=3&amp;refID=7173401&amp;Result=3","7173401")</f>
        <v>0</v>
      </c>
      <c r="B12748" t="s">
        <v>3545</v>
      </c>
      <c r="C12748" t="s">
        <v>15909</v>
      </c>
      <c r="D12748" t="s">
        <v>19049</v>
      </c>
      <c r="E12748" t="s">
        <v>29901</v>
      </c>
      <c r="F12748" t="s">
        <v>32606</v>
      </c>
      <c r="G12748" t="s">
        <v>32613</v>
      </c>
      <c r="H12748" t="s">
        <v>32623</v>
      </c>
      <c r="I12748" t="s">
        <v>17648</v>
      </c>
      <c r="J12748" t="s">
        <v>32770</v>
      </c>
      <c r="K12748" t="s">
        <v>42665</v>
      </c>
      <c r="M12748" t="s">
        <v>46824</v>
      </c>
      <c r="N12748" t="s">
        <v>47304</v>
      </c>
      <c r="O12748" t="s">
        <v>47305</v>
      </c>
      <c r="P12748">
        <v>0</v>
      </c>
      <c r="Q12748">
        <v>0</v>
      </c>
      <c r="R12748" t="s">
        <v>47319</v>
      </c>
      <c r="S12748" t="s">
        <v>47813</v>
      </c>
      <c r="T12748" t="s">
        <v>49120</v>
      </c>
      <c r="U12748" t="s">
        <v>60073</v>
      </c>
      <c r="V12748" t="s">
        <v>64035</v>
      </c>
      <c r="W12748" t="s">
        <v>46824</v>
      </c>
      <c r="X12748" t="s">
        <v>47320</v>
      </c>
    </row>
    <row r="12749" spans="1:24">
      <c r="A12749">
        <f>HYPERLINK("https://www.philgeps.gov.ph/GEPSNONPILOT/Tender/SplashBidNoticeAbstractUI.aspx?menuIndex=3&amp;refID=7173431&amp;Result=3","7173431")</f>
        <v>0</v>
      </c>
      <c r="B12749" t="s">
        <v>1342</v>
      </c>
      <c r="C12749" t="s">
        <v>15910</v>
      </c>
      <c r="D12749" t="s">
        <v>19009</v>
      </c>
      <c r="E12749" t="s">
        <v>26776</v>
      </c>
      <c r="F12749" t="s">
        <v>32606</v>
      </c>
      <c r="G12749" t="s">
        <v>32613</v>
      </c>
      <c r="H12749" t="s">
        <v>14201</v>
      </c>
      <c r="I12749" t="s">
        <v>32650</v>
      </c>
      <c r="J12749" t="s">
        <v>40659</v>
      </c>
      <c r="K12749" t="s">
        <v>42627</v>
      </c>
      <c r="M12749" t="s">
        <v>44316</v>
      </c>
      <c r="N12749" t="s">
        <v>47304</v>
      </c>
      <c r="O12749" t="s">
        <v>47305</v>
      </c>
      <c r="P12749">
        <v>0</v>
      </c>
      <c r="Q12749">
        <v>3</v>
      </c>
      <c r="R12749" t="s">
        <v>47319</v>
      </c>
      <c r="S12749" t="s">
        <v>47813</v>
      </c>
      <c r="T12749" t="s">
        <v>48971</v>
      </c>
      <c r="U12749" t="s">
        <v>60074</v>
      </c>
      <c r="W12749" t="s">
        <v>44316</v>
      </c>
      <c r="X12749" t="s">
        <v>47320</v>
      </c>
    </row>
    <row r="12750" spans="1:24">
      <c r="A12750">
        <f>HYPERLINK("https://www.philgeps.gov.ph/GEPSNONPILOT/Tender/SplashBidNoticeAbstractUI.aspx?menuIndex=3&amp;refID=7173397&amp;Result=3","7173397")</f>
        <v>0</v>
      </c>
      <c r="B12750" t="s">
        <v>3533</v>
      </c>
      <c r="C12750" t="s">
        <v>4830</v>
      </c>
      <c r="D12750" t="s">
        <v>19014</v>
      </c>
      <c r="E12750" t="s">
        <v>29902</v>
      </c>
      <c r="F12750" t="s">
        <v>32606</v>
      </c>
      <c r="G12750" t="s">
        <v>32613</v>
      </c>
      <c r="H12750" t="s">
        <v>14201</v>
      </c>
      <c r="I12750" t="s">
        <v>4114</v>
      </c>
      <c r="J12750" t="s">
        <v>40660</v>
      </c>
      <c r="K12750" t="s">
        <v>42631</v>
      </c>
      <c r="L12750" t="s">
        <v>3533</v>
      </c>
      <c r="M12750" t="s">
        <v>46806</v>
      </c>
      <c r="N12750" t="s">
        <v>47304</v>
      </c>
      <c r="O12750" t="s">
        <v>47305</v>
      </c>
      <c r="P12750">
        <v>0</v>
      </c>
      <c r="Q12750">
        <v>7</v>
      </c>
      <c r="R12750" t="s">
        <v>47319</v>
      </c>
      <c r="S12750" t="s">
        <v>47813</v>
      </c>
      <c r="T12750" t="s">
        <v>49267</v>
      </c>
      <c r="U12750" t="s">
        <v>51117</v>
      </c>
      <c r="V12750" t="s">
        <v>64025</v>
      </c>
      <c r="W12750" t="s">
        <v>46806</v>
      </c>
      <c r="X12750" t="s">
        <v>47320</v>
      </c>
    </row>
    <row r="12751" spans="1:24">
      <c r="A12751">
        <f>HYPERLINK("https://www.philgeps.gov.ph/GEPSNONPILOT/Tender/SplashBidNoticeAbstractUI.aspx?menuIndex=3&amp;refID=7173255&amp;Result=3","7173255")</f>
        <v>0</v>
      </c>
      <c r="B12751" t="s">
        <v>1168</v>
      </c>
      <c r="C12751" t="s">
        <v>15911</v>
      </c>
      <c r="D12751" t="s">
        <v>19002</v>
      </c>
      <c r="E12751" t="s">
        <v>29903</v>
      </c>
      <c r="F12751" t="s">
        <v>32606</v>
      </c>
      <c r="G12751" t="s">
        <v>32613</v>
      </c>
      <c r="H12751" t="s">
        <v>32623</v>
      </c>
      <c r="I12751" t="s">
        <v>17648</v>
      </c>
      <c r="J12751" t="s">
        <v>40327</v>
      </c>
      <c r="K12751" t="s">
        <v>42646</v>
      </c>
      <c r="L12751" t="s">
        <v>1168</v>
      </c>
      <c r="M12751" t="s">
        <v>44131</v>
      </c>
      <c r="N12751" t="s">
        <v>47304</v>
      </c>
      <c r="O12751" t="s">
        <v>47305</v>
      </c>
      <c r="P12751">
        <v>0</v>
      </c>
      <c r="Q12751">
        <v>1</v>
      </c>
      <c r="R12751" t="s">
        <v>47319</v>
      </c>
      <c r="S12751" t="s">
        <v>47813</v>
      </c>
      <c r="T12751" t="s">
        <v>48996</v>
      </c>
      <c r="U12751" t="s">
        <v>60075</v>
      </c>
      <c r="W12751" t="s">
        <v>44131</v>
      </c>
      <c r="X12751" t="s">
        <v>47320</v>
      </c>
    </row>
    <row r="12752" spans="1:24">
      <c r="A12752">
        <f>HYPERLINK("https://www.philgeps.gov.ph/GEPSNONPILOT/Tender/SplashBidNoticeAbstractUI.aspx?menuIndex=3&amp;refID=7173408&amp;Result=3","7173408")</f>
        <v>0</v>
      </c>
      <c r="B12752" t="s">
        <v>1671</v>
      </c>
      <c r="C12752" t="s">
        <v>15912</v>
      </c>
      <c r="D12752" t="s">
        <v>18993</v>
      </c>
      <c r="E12752" t="s">
        <v>15912</v>
      </c>
      <c r="F12752" t="s">
        <v>32606</v>
      </c>
      <c r="G12752" t="s">
        <v>32613</v>
      </c>
      <c r="H12752" t="s">
        <v>14201</v>
      </c>
      <c r="I12752" t="s">
        <v>4114</v>
      </c>
      <c r="J12752" t="s">
        <v>40661</v>
      </c>
      <c r="K12752" t="s">
        <v>42631</v>
      </c>
      <c r="M12752" t="s">
        <v>44698</v>
      </c>
      <c r="N12752" t="s">
        <v>47304</v>
      </c>
      <c r="O12752" t="s">
        <v>47305</v>
      </c>
      <c r="P12752">
        <v>0</v>
      </c>
      <c r="Q12752">
        <v>0</v>
      </c>
      <c r="R12752" t="s">
        <v>47319</v>
      </c>
      <c r="S12752" t="s">
        <v>47813</v>
      </c>
      <c r="T12752" t="s">
        <v>48987</v>
      </c>
      <c r="U12752" t="s">
        <v>51117</v>
      </c>
      <c r="W12752" t="s">
        <v>44698</v>
      </c>
      <c r="X12752" t="s">
        <v>47320</v>
      </c>
    </row>
    <row r="12753" spans="1:24">
      <c r="A12753">
        <f>HYPERLINK("https://www.philgeps.gov.ph/GEPSNONPILOT/Tender/SplashBidNoticeAbstractUI.aspx?menuIndex=3&amp;refID=7173393&amp;Result=3","7173393")</f>
        <v>0</v>
      </c>
      <c r="B12753" t="s">
        <v>643</v>
      </c>
      <c r="C12753" t="s">
        <v>15913</v>
      </c>
      <c r="D12753" t="s">
        <v>19003</v>
      </c>
      <c r="E12753" t="s">
        <v>29904</v>
      </c>
      <c r="F12753" t="s">
        <v>32606</v>
      </c>
      <c r="G12753" t="s">
        <v>32613</v>
      </c>
      <c r="H12753" t="s">
        <v>32623</v>
      </c>
      <c r="I12753" t="s">
        <v>17648</v>
      </c>
      <c r="J12753" t="s">
        <v>40662</v>
      </c>
      <c r="K12753" t="s">
        <v>42627</v>
      </c>
      <c r="M12753" t="s">
        <v>43561</v>
      </c>
      <c r="N12753" t="s">
        <v>47304</v>
      </c>
      <c r="O12753" t="s">
        <v>47305</v>
      </c>
      <c r="P12753">
        <v>0</v>
      </c>
      <c r="Q12753">
        <v>2</v>
      </c>
      <c r="R12753" t="s">
        <v>47319</v>
      </c>
      <c r="S12753" t="s">
        <v>47813</v>
      </c>
      <c r="T12753" t="s">
        <v>49279</v>
      </c>
      <c r="U12753" t="s">
        <v>60076</v>
      </c>
      <c r="W12753" t="s">
        <v>43561</v>
      </c>
      <c r="X12753" t="s">
        <v>47320</v>
      </c>
    </row>
    <row r="12754" spans="1:24">
      <c r="A12754">
        <f>HYPERLINK("https://www.philgeps.gov.ph/GEPSNONPILOT/Tender/SplashBidNoticeAbstractUI.aspx?menuIndex=3&amp;refID=7173392&amp;Result=3","7173392")</f>
        <v>0</v>
      </c>
      <c r="B12754" t="s">
        <v>1524</v>
      </c>
      <c r="C12754" t="s">
        <v>15914</v>
      </c>
      <c r="D12754" t="s">
        <v>19002</v>
      </c>
      <c r="E12754" t="s">
        <v>29905</v>
      </c>
      <c r="F12754" t="s">
        <v>32606</v>
      </c>
      <c r="G12754" t="s">
        <v>32613</v>
      </c>
      <c r="H12754" t="s">
        <v>14201</v>
      </c>
      <c r="I12754" t="s">
        <v>6931</v>
      </c>
      <c r="J12754" t="s">
        <v>33102</v>
      </c>
      <c r="K12754" t="s">
        <v>42631</v>
      </c>
      <c r="M12754" t="s">
        <v>44525</v>
      </c>
      <c r="N12754" t="s">
        <v>47304</v>
      </c>
      <c r="O12754" t="s">
        <v>47305</v>
      </c>
      <c r="P12754">
        <v>0</v>
      </c>
      <c r="Q12754">
        <v>1</v>
      </c>
      <c r="R12754" t="s">
        <v>47319</v>
      </c>
      <c r="S12754" t="s">
        <v>47813</v>
      </c>
      <c r="T12754" t="s">
        <v>49016</v>
      </c>
      <c r="U12754" t="s">
        <v>60077</v>
      </c>
      <c r="W12754" t="s">
        <v>44525</v>
      </c>
      <c r="X12754" t="s">
        <v>47320</v>
      </c>
    </row>
    <row r="12755" spans="1:24">
      <c r="A12755">
        <f>HYPERLINK("https://www.philgeps.gov.ph/GEPSNONPILOT/Tender/SplashBidNoticeAbstractUI.aspx?menuIndex=3&amp;refID=7173389&amp;Result=3","7173389")</f>
        <v>0</v>
      </c>
      <c r="B12755" t="s">
        <v>554</v>
      </c>
      <c r="C12755" t="s">
        <v>15915</v>
      </c>
      <c r="D12755" t="s">
        <v>19032</v>
      </c>
      <c r="E12755" t="s">
        <v>29906</v>
      </c>
      <c r="F12755" t="s">
        <v>32606</v>
      </c>
      <c r="G12755" t="s">
        <v>32613</v>
      </c>
      <c r="H12755" t="s">
        <v>32623</v>
      </c>
      <c r="I12755" t="s">
        <v>17648</v>
      </c>
      <c r="J12755" t="s">
        <v>40663</v>
      </c>
      <c r="K12755" t="s">
        <v>42870</v>
      </c>
      <c r="M12755" t="s">
        <v>43469</v>
      </c>
      <c r="N12755" t="s">
        <v>47304</v>
      </c>
      <c r="O12755" t="s">
        <v>47305</v>
      </c>
      <c r="P12755">
        <v>0</v>
      </c>
      <c r="Q12755">
        <v>0</v>
      </c>
      <c r="R12755" t="s">
        <v>47319</v>
      </c>
      <c r="S12755" t="s">
        <v>47813</v>
      </c>
      <c r="T12755" t="s">
        <v>49017</v>
      </c>
      <c r="U12755" t="s">
        <v>60056</v>
      </c>
      <c r="W12755" t="s">
        <v>43469</v>
      </c>
      <c r="X12755" t="s">
        <v>47320</v>
      </c>
    </row>
    <row r="12756" spans="1:24">
      <c r="A12756">
        <f>HYPERLINK("https://www.philgeps.gov.ph/GEPSNONPILOT/Tender/SplashBidNoticeAbstractUI.aspx?menuIndex=3&amp;refID=7173387&amp;Result=3","7173387")</f>
        <v>0</v>
      </c>
      <c r="B12756" t="s">
        <v>3254</v>
      </c>
      <c r="C12756" t="s">
        <v>15916</v>
      </c>
      <c r="D12756" t="s">
        <v>19002</v>
      </c>
      <c r="E12756" t="s">
        <v>29907</v>
      </c>
      <c r="F12756" t="s">
        <v>32606</v>
      </c>
      <c r="G12756" t="s">
        <v>32613</v>
      </c>
      <c r="H12756" t="s">
        <v>14201</v>
      </c>
      <c r="I12756" t="s">
        <v>6298</v>
      </c>
      <c r="J12756" t="s">
        <v>39413</v>
      </c>
      <c r="K12756" t="s">
        <v>42623</v>
      </c>
      <c r="M12756" t="s">
        <v>46488</v>
      </c>
      <c r="N12756" t="s">
        <v>47304</v>
      </c>
      <c r="O12756" t="s">
        <v>47305</v>
      </c>
      <c r="P12756">
        <v>0</v>
      </c>
      <c r="Q12756">
        <v>2</v>
      </c>
      <c r="R12756" t="s">
        <v>47319</v>
      </c>
      <c r="S12756" t="s">
        <v>47813</v>
      </c>
      <c r="T12756" t="s">
        <v>49315</v>
      </c>
      <c r="U12756" t="s">
        <v>60078</v>
      </c>
      <c r="W12756" t="s">
        <v>46488</v>
      </c>
      <c r="X12756" t="s">
        <v>47320</v>
      </c>
    </row>
    <row r="12757" spans="1:24">
      <c r="A12757">
        <f>HYPERLINK("https://www.philgeps.gov.ph/GEPSNONPILOT/Tender/SplashBidNoticeAbstractUI.aspx?menuIndex=3&amp;refID=7173300&amp;Result=3","7173300")</f>
        <v>0</v>
      </c>
      <c r="B12757" t="s">
        <v>3013</v>
      </c>
      <c r="C12757" t="s">
        <v>15917</v>
      </c>
      <c r="E12757" t="s">
        <v>29908</v>
      </c>
      <c r="F12757" t="s">
        <v>32606</v>
      </c>
      <c r="G12757" t="s">
        <v>32613</v>
      </c>
      <c r="H12757" t="s">
        <v>14201</v>
      </c>
      <c r="I12757" t="s">
        <v>32735</v>
      </c>
      <c r="J12757" t="s">
        <v>40664</v>
      </c>
      <c r="K12757" t="s">
        <v>42624</v>
      </c>
      <c r="M12757" t="s">
        <v>46204</v>
      </c>
      <c r="N12757" t="s">
        <v>47304</v>
      </c>
      <c r="O12757" t="s">
        <v>47305</v>
      </c>
      <c r="Q12757">
        <v>3</v>
      </c>
      <c r="R12757" t="s">
        <v>47319</v>
      </c>
      <c r="S12757" t="s">
        <v>47588</v>
      </c>
      <c r="T12757" t="s">
        <v>49075</v>
      </c>
      <c r="U12757" t="s">
        <v>60079</v>
      </c>
      <c r="V12757" t="s">
        <v>64036</v>
      </c>
      <c r="W12757" t="s">
        <v>46204</v>
      </c>
      <c r="X12757" t="s">
        <v>47320</v>
      </c>
    </row>
    <row r="12758" spans="1:24">
      <c r="A12758">
        <f>HYPERLINK("https://www.philgeps.gov.ph/GEPSNONPILOT/Tender/SplashBidNoticeAbstractUI.aspx?menuIndex=3&amp;refID=7173297&amp;Result=3","7173297")</f>
        <v>0</v>
      </c>
      <c r="B12758" t="s">
        <v>3537</v>
      </c>
      <c r="C12758" t="s">
        <v>15918</v>
      </c>
      <c r="D12758" t="s">
        <v>19006</v>
      </c>
      <c r="E12758" t="s">
        <v>29909</v>
      </c>
      <c r="F12758" t="s">
        <v>32606</v>
      </c>
      <c r="G12758" t="s">
        <v>32613</v>
      </c>
      <c r="H12758" t="s">
        <v>32623</v>
      </c>
      <c r="I12758" t="s">
        <v>17648</v>
      </c>
      <c r="J12758" t="s">
        <v>40665</v>
      </c>
      <c r="K12758" t="s">
        <v>42639</v>
      </c>
      <c r="M12758" t="s">
        <v>46813</v>
      </c>
      <c r="N12758" t="s">
        <v>47304</v>
      </c>
      <c r="O12758" t="s">
        <v>47305</v>
      </c>
      <c r="P12758">
        <v>0</v>
      </c>
      <c r="Q12758">
        <v>0</v>
      </c>
      <c r="R12758" t="s">
        <v>47319</v>
      </c>
      <c r="S12758" t="s">
        <v>47813</v>
      </c>
      <c r="T12758" t="s">
        <v>48986</v>
      </c>
      <c r="U12758" t="s">
        <v>60080</v>
      </c>
      <c r="V12758" t="s">
        <v>64037</v>
      </c>
      <c r="W12758" t="s">
        <v>64542</v>
      </c>
      <c r="X12758" t="s">
        <v>47320</v>
      </c>
    </row>
    <row r="12759" spans="1:24">
      <c r="A12759">
        <f>HYPERLINK("https://www.philgeps.gov.ph/GEPSNONPILOT/Tender/SplashBidNoticeAbstractUI.aspx?menuIndex=3&amp;refID=7173394&amp;Result=3","7173394")</f>
        <v>0</v>
      </c>
      <c r="B12759" t="s">
        <v>529</v>
      </c>
      <c r="C12759" t="s">
        <v>15919</v>
      </c>
      <c r="E12759" t="s">
        <v>29910</v>
      </c>
      <c r="F12759" t="s">
        <v>32606</v>
      </c>
      <c r="G12759" t="s">
        <v>32613</v>
      </c>
      <c r="H12759" t="s">
        <v>32623</v>
      </c>
      <c r="I12759" t="s">
        <v>17648</v>
      </c>
      <c r="J12759" t="s">
        <v>33804</v>
      </c>
      <c r="K12759" t="s">
        <v>42645</v>
      </c>
      <c r="M12759" t="s">
        <v>43442</v>
      </c>
      <c r="N12759" t="s">
        <v>47304</v>
      </c>
      <c r="O12759" t="s">
        <v>47305</v>
      </c>
      <c r="P12759">
        <v>0</v>
      </c>
      <c r="Q12759">
        <v>0</v>
      </c>
      <c r="R12759" t="s">
        <v>47319</v>
      </c>
      <c r="S12759" t="s">
        <v>47813</v>
      </c>
      <c r="T12759" t="s">
        <v>48996</v>
      </c>
      <c r="U12759" t="s">
        <v>60081</v>
      </c>
      <c r="W12759" t="s">
        <v>43442</v>
      </c>
      <c r="X12759" t="s">
        <v>47320</v>
      </c>
    </row>
    <row r="12760" spans="1:24">
      <c r="A12760">
        <f>HYPERLINK("https://www.philgeps.gov.ph/GEPSNONPILOT/Tender/SplashBidNoticeAbstractUI.aspx?menuIndex=3&amp;refID=7173413&amp;Result=3","7173413")</f>
        <v>0</v>
      </c>
      <c r="B12760" t="s">
        <v>1995</v>
      </c>
      <c r="C12760" t="s">
        <v>15920</v>
      </c>
      <c r="D12760" t="s">
        <v>18993</v>
      </c>
      <c r="E12760" t="s">
        <v>29911</v>
      </c>
      <c r="F12760" t="s">
        <v>32606</v>
      </c>
      <c r="G12760" t="s">
        <v>32613</v>
      </c>
      <c r="H12760" t="s">
        <v>14201</v>
      </c>
      <c r="I12760" t="s">
        <v>32646</v>
      </c>
      <c r="J12760" t="s">
        <v>32759</v>
      </c>
      <c r="K12760" t="s">
        <v>42631</v>
      </c>
      <c r="M12760" t="s">
        <v>46825</v>
      </c>
      <c r="N12760" t="s">
        <v>47304</v>
      </c>
      <c r="O12760" t="s">
        <v>47305</v>
      </c>
      <c r="Q12760">
        <v>14</v>
      </c>
      <c r="R12760" t="s">
        <v>47319</v>
      </c>
      <c r="S12760" t="s">
        <v>47886</v>
      </c>
      <c r="T12760" t="s">
        <v>48992</v>
      </c>
      <c r="U12760" t="s">
        <v>60082</v>
      </c>
      <c r="W12760" t="s">
        <v>46825</v>
      </c>
      <c r="X12760" t="s">
        <v>47320</v>
      </c>
    </row>
    <row r="12761" spans="1:24">
      <c r="A12761">
        <f>HYPERLINK("https://www.philgeps.gov.ph/GEPSNONPILOT/Tender/SplashBidNoticeAbstractUI.aspx?menuIndex=3&amp;refID=7173290&amp;Result=3","7173290")</f>
        <v>0</v>
      </c>
      <c r="B12761" t="s">
        <v>554</v>
      </c>
      <c r="C12761" t="s">
        <v>15921</v>
      </c>
      <c r="D12761" t="s">
        <v>19032</v>
      </c>
      <c r="E12761" t="s">
        <v>29912</v>
      </c>
      <c r="F12761" t="s">
        <v>32606</v>
      </c>
      <c r="G12761" t="s">
        <v>32613</v>
      </c>
      <c r="H12761" t="s">
        <v>32623</v>
      </c>
      <c r="I12761" t="s">
        <v>17648</v>
      </c>
      <c r="J12761" t="s">
        <v>32981</v>
      </c>
      <c r="K12761" t="s">
        <v>42631</v>
      </c>
      <c r="M12761" t="s">
        <v>43469</v>
      </c>
      <c r="N12761" t="s">
        <v>47304</v>
      </c>
      <c r="O12761" t="s">
        <v>47305</v>
      </c>
      <c r="P12761">
        <v>0</v>
      </c>
      <c r="Q12761">
        <v>0</v>
      </c>
      <c r="R12761" t="s">
        <v>47319</v>
      </c>
      <c r="S12761" t="s">
        <v>47813</v>
      </c>
      <c r="T12761" t="s">
        <v>49020</v>
      </c>
      <c r="U12761" t="s">
        <v>60056</v>
      </c>
      <c r="W12761" t="s">
        <v>43469</v>
      </c>
      <c r="X12761" t="s">
        <v>47320</v>
      </c>
    </row>
    <row r="12762" spans="1:24">
      <c r="A12762">
        <f>HYPERLINK("https://www.philgeps.gov.ph/GEPSNONPILOT/Tender/SplashBidNoticeAbstractUI.aspx?menuIndex=3&amp;refID=7172790&amp;Result=3","7172790")</f>
        <v>0</v>
      </c>
      <c r="B12762" t="s">
        <v>1503</v>
      </c>
      <c r="C12762" t="s">
        <v>15922</v>
      </c>
      <c r="D12762" t="s">
        <v>19049</v>
      </c>
      <c r="E12762" t="s">
        <v>29913</v>
      </c>
      <c r="F12762" t="s">
        <v>32606</v>
      </c>
      <c r="G12762" t="s">
        <v>32613</v>
      </c>
      <c r="H12762" t="s">
        <v>32623</v>
      </c>
      <c r="I12762" t="s">
        <v>17648</v>
      </c>
      <c r="J12762" t="s">
        <v>40666</v>
      </c>
      <c r="K12762" t="s">
        <v>42639</v>
      </c>
      <c r="M12762" t="s">
        <v>46814</v>
      </c>
      <c r="N12762" t="s">
        <v>47304</v>
      </c>
      <c r="O12762" t="s">
        <v>47305</v>
      </c>
      <c r="Q12762">
        <v>1</v>
      </c>
      <c r="R12762" t="s">
        <v>47319</v>
      </c>
      <c r="S12762" t="s">
        <v>47887</v>
      </c>
      <c r="T12762" t="s">
        <v>49286</v>
      </c>
      <c r="U12762" t="s">
        <v>60083</v>
      </c>
      <c r="W12762" t="s">
        <v>46814</v>
      </c>
      <c r="X12762" t="s">
        <v>47320</v>
      </c>
    </row>
    <row r="12763" spans="1:24">
      <c r="A12763">
        <f>HYPERLINK("https://www.philgeps.gov.ph/GEPSNONPILOT/Tender/SplashBidNoticeAbstractUI.aspx?menuIndex=3&amp;refID=7173402&amp;Result=3","7173402")</f>
        <v>0</v>
      </c>
      <c r="B12763" t="s">
        <v>3546</v>
      </c>
      <c r="C12763" t="s">
        <v>15923</v>
      </c>
      <c r="D12763" t="s">
        <v>18991</v>
      </c>
      <c r="E12763" t="s">
        <v>19358</v>
      </c>
      <c r="F12763" t="s">
        <v>32606</v>
      </c>
      <c r="G12763" t="s">
        <v>32613</v>
      </c>
      <c r="H12763" t="s">
        <v>14201</v>
      </c>
      <c r="I12763" t="s">
        <v>32649</v>
      </c>
      <c r="J12763" t="s">
        <v>40667</v>
      </c>
      <c r="K12763" t="s">
        <v>42623</v>
      </c>
      <c r="M12763" t="s">
        <v>46826</v>
      </c>
      <c r="N12763" t="s">
        <v>47304</v>
      </c>
      <c r="O12763" t="s">
        <v>47305</v>
      </c>
      <c r="P12763">
        <v>0</v>
      </c>
      <c r="Q12763">
        <v>0</v>
      </c>
      <c r="R12763" t="s">
        <v>47319</v>
      </c>
      <c r="S12763" t="s">
        <v>47813</v>
      </c>
      <c r="T12763" t="s">
        <v>49480</v>
      </c>
      <c r="U12763" t="s">
        <v>60084</v>
      </c>
      <c r="W12763" t="s">
        <v>46826</v>
      </c>
      <c r="X12763" t="s">
        <v>47320</v>
      </c>
    </row>
    <row r="12764" spans="1:24">
      <c r="A12764">
        <f>HYPERLINK("https://www.philgeps.gov.ph/GEPSNONPILOT/Tender/SplashBidNoticeAbstractUI.aspx?menuIndex=3&amp;refID=7172698&amp;Result=3","7172698")</f>
        <v>0</v>
      </c>
      <c r="B12764" t="s">
        <v>2042</v>
      </c>
      <c r="C12764" t="s">
        <v>15924</v>
      </c>
      <c r="D12764" t="s">
        <v>19070</v>
      </c>
      <c r="E12764" t="s">
        <v>29914</v>
      </c>
      <c r="F12764" t="s">
        <v>32606</v>
      </c>
      <c r="G12764" t="s">
        <v>32613</v>
      </c>
      <c r="H12764" t="s">
        <v>14201</v>
      </c>
      <c r="I12764" t="s">
        <v>32681</v>
      </c>
      <c r="J12764" t="s">
        <v>40668</v>
      </c>
      <c r="K12764" t="s">
        <v>42631</v>
      </c>
      <c r="M12764" t="s">
        <v>45120</v>
      </c>
      <c r="N12764" t="s">
        <v>47304</v>
      </c>
      <c r="O12764" t="s">
        <v>47305</v>
      </c>
      <c r="P12764">
        <v>0</v>
      </c>
      <c r="Q12764">
        <v>1</v>
      </c>
      <c r="R12764" t="s">
        <v>47319</v>
      </c>
      <c r="S12764" t="s">
        <v>47813</v>
      </c>
      <c r="T12764" t="s">
        <v>49065</v>
      </c>
      <c r="U12764" t="s">
        <v>60085</v>
      </c>
      <c r="V12764" t="s">
        <v>63230</v>
      </c>
      <c r="W12764" t="s">
        <v>45120</v>
      </c>
      <c r="X12764" t="s">
        <v>47320</v>
      </c>
    </row>
    <row r="12765" spans="1:24">
      <c r="A12765">
        <f>HYPERLINK("https://www.philgeps.gov.ph/GEPSNONPILOT/Tender/SplashBidNoticeAbstractUI.aspx?menuIndex=3&amp;refID=7172697&amp;Result=3","7172697")</f>
        <v>0</v>
      </c>
      <c r="B12765" t="s">
        <v>574</v>
      </c>
      <c r="C12765" t="s">
        <v>15925</v>
      </c>
      <c r="D12765" t="s">
        <v>19043</v>
      </c>
      <c r="E12765" t="s">
        <v>29915</v>
      </c>
      <c r="F12765" t="s">
        <v>32606</v>
      </c>
      <c r="G12765" t="s">
        <v>32613</v>
      </c>
      <c r="H12765" t="s">
        <v>14201</v>
      </c>
      <c r="I12765" t="s">
        <v>6931</v>
      </c>
      <c r="J12765" t="s">
        <v>40669</v>
      </c>
      <c r="K12765" t="s">
        <v>42631</v>
      </c>
      <c r="M12765" t="s">
        <v>43489</v>
      </c>
      <c r="N12765" t="s">
        <v>47304</v>
      </c>
      <c r="O12765" t="s">
        <v>47305</v>
      </c>
      <c r="P12765">
        <v>0</v>
      </c>
      <c r="Q12765">
        <v>5</v>
      </c>
      <c r="R12765" t="s">
        <v>47319</v>
      </c>
      <c r="S12765" t="s">
        <v>47813</v>
      </c>
      <c r="T12765" t="s">
        <v>48996</v>
      </c>
      <c r="U12765" t="s">
        <v>60086</v>
      </c>
      <c r="V12765" t="s">
        <v>64038</v>
      </c>
      <c r="W12765" t="s">
        <v>43489</v>
      </c>
      <c r="X12765" t="s">
        <v>47320</v>
      </c>
    </row>
    <row r="12766" spans="1:24">
      <c r="A12766">
        <f>HYPERLINK("https://www.philgeps.gov.ph/GEPSNONPILOT/Tender/SplashBidNoticeAbstractUI.aspx?menuIndex=3&amp;refID=7172687&amp;Result=3","7172687")</f>
        <v>0</v>
      </c>
      <c r="B12766" t="s">
        <v>2126</v>
      </c>
      <c r="C12766" t="s">
        <v>15926</v>
      </c>
      <c r="D12766" t="s">
        <v>19016</v>
      </c>
      <c r="E12766" t="s">
        <v>29916</v>
      </c>
      <c r="F12766" t="s">
        <v>32606</v>
      </c>
      <c r="G12766" t="s">
        <v>32613</v>
      </c>
      <c r="H12766" t="s">
        <v>14201</v>
      </c>
      <c r="I12766" t="s">
        <v>32635</v>
      </c>
      <c r="J12766" t="s">
        <v>40670</v>
      </c>
      <c r="K12766" t="s">
        <v>42636</v>
      </c>
      <c r="M12766" t="s">
        <v>46827</v>
      </c>
      <c r="N12766" t="s">
        <v>47304</v>
      </c>
      <c r="O12766" t="s">
        <v>47305</v>
      </c>
      <c r="P12766">
        <v>0</v>
      </c>
      <c r="Q12766">
        <v>2</v>
      </c>
      <c r="R12766" t="s">
        <v>47319</v>
      </c>
      <c r="S12766" t="s">
        <v>47813</v>
      </c>
      <c r="T12766" t="s">
        <v>49115</v>
      </c>
      <c r="U12766" t="s">
        <v>60087</v>
      </c>
      <c r="W12766" t="s">
        <v>46827</v>
      </c>
      <c r="X12766" t="s">
        <v>47320</v>
      </c>
    </row>
    <row r="12767" spans="1:24">
      <c r="A12767">
        <f>HYPERLINK("https://www.philgeps.gov.ph/GEPSNONPILOT/Tender/SplashBidNoticeAbstractUI.aspx?menuIndex=3&amp;refID=7172673&amp;Result=3","7172673")</f>
        <v>0</v>
      </c>
      <c r="B12767" t="s">
        <v>726</v>
      </c>
      <c r="C12767" t="s">
        <v>15927</v>
      </c>
      <c r="D12767" t="s">
        <v>19009</v>
      </c>
      <c r="E12767" t="s">
        <v>29917</v>
      </c>
      <c r="F12767" t="s">
        <v>32606</v>
      </c>
      <c r="G12767" t="s">
        <v>32613</v>
      </c>
      <c r="H12767" t="s">
        <v>32623</v>
      </c>
      <c r="I12767" t="s">
        <v>17648</v>
      </c>
      <c r="J12767" t="s">
        <v>40671</v>
      </c>
      <c r="K12767" t="s">
        <v>42643</v>
      </c>
      <c r="M12767" t="s">
        <v>46187</v>
      </c>
      <c r="N12767" t="s">
        <v>47304</v>
      </c>
      <c r="O12767" t="s">
        <v>47305</v>
      </c>
      <c r="P12767">
        <v>0</v>
      </c>
      <c r="Q12767">
        <v>0</v>
      </c>
      <c r="R12767" t="s">
        <v>47319</v>
      </c>
      <c r="S12767" t="s">
        <v>47813</v>
      </c>
      <c r="T12767" t="s">
        <v>48987</v>
      </c>
      <c r="U12767" t="s">
        <v>60088</v>
      </c>
      <c r="V12767" t="s">
        <v>64039</v>
      </c>
      <c r="W12767" t="s">
        <v>46187</v>
      </c>
      <c r="X12767" t="s">
        <v>47320</v>
      </c>
    </row>
    <row r="12768" spans="1:24">
      <c r="A12768">
        <f>HYPERLINK("https://www.philgeps.gov.ph/GEPSNONPILOT/Tender/SplashBidNoticeAbstractUI.aspx?menuIndex=3&amp;refID=7173443&amp;Result=3","7173443")</f>
        <v>0</v>
      </c>
      <c r="B12768" t="s">
        <v>3547</v>
      </c>
      <c r="C12768" t="s">
        <v>15928</v>
      </c>
      <c r="D12768" t="s">
        <v>19009</v>
      </c>
      <c r="E12768" t="s">
        <v>25401</v>
      </c>
      <c r="F12768" t="s">
        <v>32606</v>
      </c>
      <c r="G12768" t="s">
        <v>32613</v>
      </c>
      <c r="H12768" t="s">
        <v>32623</v>
      </c>
      <c r="I12768" t="s">
        <v>17648</v>
      </c>
      <c r="J12768" t="s">
        <v>40672</v>
      </c>
      <c r="K12768" t="s">
        <v>42712</v>
      </c>
      <c r="M12768" t="s">
        <v>46828</v>
      </c>
      <c r="N12768" t="s">
        <v>47304</v>
      </c>
      <c r="O12768" t="s">
        <v>47305</v>
      </c>
      <c r="P12768">
        <v>0</v>
      </c>
      <c r="Q12768">
        <v>2</v>
      </c>
      <c r="R12768" t="s">
        <v>47319</v>
      </c>
      <c r="S12768" t="s">
        <v>47813</v>
      </c>
      <c r="T12768" t="s">
        <v>49447</v>
      </c>
      <c r="U12768" t="s">
        <v>60089</v>
      </c>
      <c r="W12768" t="s">
        <v>46828</v>
      </c>
      <c r="X12768" t="s">
        <v>47320</v>
      </c>
    </row>
    <row r="12769" spans="1:24">
      <c r="A12769">
        <f>HYPERLINK("https://www.philgeps.gov.ph/GEPSNONPILOT/Tender/SplashBidNoticeAbstractUI.aspx?menuIndex=3&amp;refID=7173295&amp;Result=3","7173295")</f>
        <v>0</v>
      </c>
      <c r="B12769" t="s">
        <v>2823</v>
      </c>
      <c r="C12769" t="s">
        <v>15929</v>
      </c>
      <c r="D12769" t="s">
        <v>18994</v>
      </c>
      <c r="E12769" t="s">
        <v>29918</v>
      </c>
      <c r="F12769" t="s">
        <v>32606</v>
      </c>
      <c r="G12769" t="s">
        <v>32613</v>
      </c>
      <c r="H12769" t="s">
        <v>32623</v>
      </c>
      <c r="I12769" t="s">
        <v>17648</v>
      </c>
      <c r="J12769" t="s">
        <v>40673</v>
      </c>
      <c r="K12769" t="s">
        <v>42658</v>
      </c>
      <c r="M12769" t="s">
        <v>46811</v>
      </c>
      <c r="N12769" t="s">
        <v>47304</v>
      </c>
      <c r="O12769" t="s">
        <v>47305</v>
      </c>
      <c r="P12769">
        <v>0</v>
      </c>
      <c r="Q12769">
        <v>0</v>
      </c>
      <c r="R12769" t="s">
        <v>47319</v>
      </c>
      <c r="S12769" t="s">
        <v>47813</v>
      </c>
      <c r="T12769" t="s">
        <v>49163</v>
      </c>
      <c r="U12769" t="s">
        <v>60020</v>
      </c>
      <c r="W12769" t="s">
        <v>46811</v>
      </c>
      <c r="X12769" t="s">
        <v>47320</v>
      </c>
    </row>
    <row r="12770" spans="1:24">
      <c r="A12770">
        <f>HYPERLINK("https://www.philgeps.gov.ph/GEPSNONPILOT/Tender/SplashBidNoticeAbstractUI.aspx?menuIndex=3&amp;refID=7172671&amp;Result=3","7172671")</f>
        <v>0</v>
      </c>
      <c r="B12770" t="s">
        <v>2708</v>
      </c>
      <c r="C12770" t="s">
        <v>15930</v>
      </c>
      <c r="D12770" t="s">
        <v>19058</v>
      </c>
      <c r="E12770" t="s">
        <v>29919</v>
      </c>
      <c r="F12770" t="s">
        <v>32606</v>
      </c>
      <c r="G12770" t="s">
        <v>32613</v>
      </c>
      <c r="H12770" t="s">
        <v>32623</v>
      </c>
      <c r="I12770" t="s">
        <v>17648</v>
      </c>
      <c r="J12770" t="s">
        <v>32772</v>
      </c>
      <c r="K12770" t="s">
        <v>42718</v>
      </c>
      <c r="M12770" t="s">
        <v>45861</v>
      </c>
      <c r="N12770" t="s">
        <v>47304</v>
      </c>
      <c r="O12770" t="s">
        <v>47305</v>
      </c>
      <c r="Q12770">
        <v>1</v>
      </c>
      <c r="R12770" t="s">
        <v>47319</v>
      </c>
      <c r="S12770" t="s">
        <v>47888</v>
      </c>
      <c r="T12770" t="s">
        <v>48988</v>
      </c>
      <c r="U12770" t="s">
        <v>56608</v>
      </c>
      <c r="W12770" t="s">
        <v>45861</v>
      </c>
      <c r="X12770" t="s">
        <v>47320</v>
      </c>
    </row>
    <row r="12771" spans="1:24">
      <c r="A12771">
        <f>HYPERLINK("https://www.philgeps.gov.ph/GEPSNONPILOT/Tender/SplashBidNoticeAbstractUI.aspx?menuIndex=3&amp;refID=7172667&amp;Result=3","7172667")</f>
        <v>0</v>
      </c>
      <c r="B12771" t="s">
        <v>2439</v>
      </c>
      <c r="C12771" t="s">
        <v>10913</v>
      </c>
      <c r="D12771" t="s">
        <v>18993</v>
      </c>
      <c r="E12771" t="s">
        <v>20107</v>
      </c>
      <c r="F12771" t="s">
        <v>32606</v>
      </c>
      <c r="G12771" t="s">
        <v>32613</v>
      </c>
      <c r="H12771" t="s">
        <v>14201</v>
      </c>
      <c r="I12771" t="s">
        <v>32640</v>
      </c>
      <c r="J12771" t="s">
        <v>40674</v>
      </c>
      <c r="K12771" t="s">
        <v>42624</v>
      </c>
      <c r="M12771" t="s">
        <v>45566</v>
      </c>
      <c r="N12771" t="s">
        <v>47304</v>
      </c>
      <c r="O12771" t="s">
        <v>47305</v>
      </c>
      <c r="Q12771">
        <v>9</v>
      </c>
      <c r="R12771" t="s">
        <v>47319</v>
      </c>
      <c r="S12771" t="s">
        <v>47889</v>
      </c>
      <c r="T12771" t="s">
        <v>49062</v>
      </c>
      <c r="U12771" t="s">
        <v>60090</v>
      </c>
      <c r="W12771" t="s">
        <v>45566</v>
      </c>
      <c r="X12771" t="s">
        <v>47320</v>
      </c>
    </row>
    <row r="12772" spans="1:24">
      <c r="A12772">
        <f>HYPERLINK("https://www.philgeps.gov.ph/GEPSNONPILOT/Tender/SplashBidNoticeAbstractUI.aspx?menuIndex=3&amp;refID=7173607&amp;Result=3","7173607")</f>
        <v>0</v>
      </c>
      <c r="B12772" t="s">
        <v>1032</v>
      </c>
      <c r="C12772" t="s">
        <v>15931</v>
      </c>
      <c r="D12772" t="s">
        <v>18993</v>
      </c>
      <c r="E12772" t="s">
        <v>29920</v>
      </c>
      <c r="F12772" t="s">
        <v>32606</v>
      </c>
      <c r="G12772" t="s">
        <v>32613</v>
      </c>
      <c r="H12772" t="s">
        <v>14201</v>
      </c>
      <c r="I12772" t="s">
        <v>32702</v>
      </c>
      <c r="J12772" t="s">
        <v>32795</v>
      </c>
      <c r="K12772" t="s">
        <v>42634</v>
      </c>
      <c r="M12772" t="s">
        <v>46829</v>
      </c>
      <c r="N12772" t="s">
        <v>47304</v>
      </c>
      <c r="O12772" t="s">
        <v>47305</v>
      </c>
      <c r="P12772">
        <v>0</v>
      </c>
      <c r="Q12772">
        <v>3</v>
      </c>
      <c r="R12772" t="s">
        <v>47319</v>
      </c>
      <c r="S12772" t="s">
        <v>47813</v>
      </c>
      <c r="T12772" t="s">
        <v>49016</v>
      </c>
      <c r="U12772" t="s">
        <v>60091</v>
      </c>
      <c r="W12772" t="s">
        <v>46829</v>
      </c>
      <c r="X12772" t="s">
        <v>47320</v>
      </c>
    </row>
    <row r="12773" spans="1:24">
      <c r="A12773">
        <f>HYPERLINK("https://www.philgeps.gov.ph/GEPSNONPILOT/Tender/SplashBidNoticeAbstractUI.aspx?menuIndex=3&amp;refID=7173597&amp;Result=3","7173597")</f>
        <v>0</v>
      </c>
      <c r="B12773" t="s">
        <v>3548</v>
      </c>
      <c r="C12773" t="s">
        <v>15932</v>
      </c>
      <c r="D12773" t="s">
        <v>19024</v>
      </c>
      <c r="E12773" t="s">
        <v>29921</v>
      </c>
      <c r="F12773" t="s">
        <v>32606</v>
      </c>
      <c r="G12773" t="s">
        <v>32613</v>
      </c>
      <c r="H12773" t="s">
        <v>14201</v>
      </c>
      <c r="I12773" t="s">
        <v>4678</v>
      </c>
      <c r="J12773" t="s">
        <v>40675</v>
      </c>
      <c r="K12773" t="s">
        <v>42631</v>
      </c>
      <c r="M12773" t="s">
        <v>46830</v>
      </c>
      <c r="N12773" t="s">
        <v>47304</v>
      </c>
      <c r="O12773" t="s">
        <v>47305</v>
      </c>
      <c r="P12773">
        <v>0</v>
      </c>
      <c r="Q12773">
        <v>4</v>
      </c>
      <c r="R12773" t="s">
        <v>47319</v>
      </c>
      <c r="S12773" t="s">
        <v>47813</v>
      </c>
      <c r="T12773" t="s">
        <v>49004</v>
      </c>
      <c r="U12773" t="s">
        <v>60092</v>
      </c>
      <c r="W12773" t="s">
        <v>46830</v>
      </c>
      <c r="X12773" t="s">
        <v>47320</v>
      </c>
    </row>
    <row r="12774" spans="1:24">
      <c r="A12774">
        <f>HYPERLINK("https://www.philgeps.gov.ph/GEPSNONPILOT/Tender/SplashBidNoticeAbstractUI.aspx?menuIndex=3&amp;refID=7173577&amp;Result=3","7173577")</f>
        <v>0</v>
      </c>
      <c r="B12774" t="s">
        <v>2829</v>
      </c>
      <c r="C12774" t="s">
        <v>15933</v>
      </c>
      <c r="D12774" t="s">
        <v>18993</v>
      </c>
      <c r="E12774" t="s">
        <v>29922</v>
      </c>
      <c r="F12774" t="s">
        <v>32606</v>
      </c>
      <c r="G12774" t="s">
        <v>32613</v>
      </c>
      <c r="H12774" t="s">
        <v>32624</v>
      </c>
      <c r="I12774" t="s">
        <v>32641</v>
      </c>
      <c r="J12774" t="s">
        <v>40676</v>
      </c>
      <c r="K12774" t="s">
        <v>42679</v>
      </c>
      <c r="M12774" t="s">
        <v>45994</v>
      </c>
      <c r="N12774" t="s">
        <v>47304</v>
      </c>
      <c r="O12774" t="s">
        <v>47305</v>
      </c>
      <c r="P12774">
        <v>0</v>
      </c>
      <c r="Q12774">
        <v>4</v>
      </c>
      <c r="R12774" t="s">
        <v>47319</v>
      </c>
      <c r="S12774" t="s">
        <v>47813</v>
      </c>
      <c r="T12774" t="s">
        <v>49065</v>
      </c>
      <c r="U12774" t="s">
        <v>56996</v>
      </c>
      <c r="V12774" t="s">
        <v>64040</v>
      </c>
      <c r="W12774" t="s">
        <v>45994</v>
      </c>
      <c r="X12774" t="s">
        <v>47320</v>
      </c>
    </row>
    <row r="12775" spans="1:24">
      <c r="A12775">
        <f>HYPERLINK("https://www.philgeps.gov.ph/GEPSNONPILOT/Tender/SplashBidNoticeAbstractUI.aspx?menuIndex=3&amp;refID=7172675&amp;Result=3","7172675")</f>
        <v>0</v>
      </c>
      <c r="B12775" t="s">
        <v>3410</v>
      </c>
      <c r="C12775" t="s">
        <v>15934</v>
      </c>
      <c r="D12775" t="s">
        <v>18992</v>
      </c>
      <c r="E12775" t="s">
        <v>29923</v>
      </c>
      <c r="F12775" t="s">
        <v>32606</v>
      </c>
      <c r="G12775" t="s">
        <v>32613</v>
      </c>
      <c r="H12775" t="s">
        <v>14201</v>
      </c>
      <c r="I12775" t="s">
        <v>6931</v>
      </c>
      <c r="J12775" t="s">
        <v>40677</v>
      </c>
      <c r="K12775" t="s">
        <v>42636</v>
      </c>
      <c r="M12775" t="s">
        <v>46666</v>
      </c>
      <c r="N12775" t="s">
        <v>47304</v>
      </c>
      <c r="O12775" t="s">
        <v>47305</v>
      </c>
      <c r="P12775">
        <v>0</v>
      </c>
      <c r="Q12775">
        <v>2</v>
      </c>
      <c r="R12775" t="s">
        <v>47319</v>
      </c>
      <c r="S12775" t="s">
        <v>47813</v>
      </c>
      <c r="T12775" t="s">
        <v>48998</v>
      </c>
      <c r="U12775" t="s">
        <v>60093</v>
      </c>
      <c r="W12775" t="s">
        <v>46666</v>
      </c>
      <c r="X12775" t="s">
        <v>47320</v>
      </c>
    </row>
    <row r="12776" spans="1:24">
      <c r="A12776">
        <f>HYPERLINK("https://www.philgeps.gov.ph/GEPSNONPILOT/Tender/SplashBidNoticeAbstractUI.aspx?menuIndex=3&amp;refID=7173552&amp;Result=3","7173552")</f>
        <v>0</v>
      </c>
      <c r="B12776" t="s">
        <v>1671</v>
      </c>
      <c r="C12776" t="s">
        <v>15935</v>
      </c>
      <c r="D12776" t="s">
        <v>18993</v>
      </c>
      <c r="E12776" t="s">
        <v>15935</v>
      </c>
      <c r="F12776" t="s">
        <v>32606</v>
      </c>
      <c r="G12776" t="s">
        <v>32613</v>
      </c>
      <c r="H12776" t="s">
        <v>14201</v>
      </c>
      <c r="I12776" t="s">
        <v>32638</v>
      </c>
      <c r="J12776" t="s">
        <v>32772</v>
      </c>
      <c r="K12776" t="s">
        <v>42631</v>
      </c>
      <c r="M12776" t="s">
        <v>44698</v>
      </c>
      <c r="N12776" t="s">
        <v>47304</v>
      </c>
      <c r="O12776" t="s">
        <v>47305</v>
      </c>
      <c r="P12776">
        <v>0</v>
      </c>
      <c r="Q12776">
        <v>5</v>
      </c>
      <c r="R12776" t="s">
        <v>47319</v>
      </c>
      <c r="S12776" t="s">
        <v>47813</v>
      </c>
      <c r="T12776" t="s">
        <v>48987</v>
      </c>
      <c r="U12776" t="s">
        <v>53471</v>
      </c>
      <c r="W12776" t="s">
        <v>44698</v>
      </c>
      <c r="X12776" t="s">
        <v>47320</v>
      </c>
    </row>
    <row r="12777" spans="1:24">
      <c r="A12777">
        <f>HYPERLINK("https://www.philgeps.gov.ph/GEPSNONPILOT/Tender/SplashBidNoticeAbstractUI.aspx?menuIndex=3&amp;refID=7173293&amp;Result=3","7173293")</f>
        <v>0</v>
      </c>
      <c r="B12777" t="s">
        <v>3549</v>
      </c>
      <c r="C12777" t="s">
        <v>15936</v>
      </c>
      <c r="D12777" t="s">
        <v>19063</v>
      </c>
      <c r="E12777" t="s">
        <v>29924</v>
      </c>
      <c r="F12777" t="s">
        <v>32606</v>
      </c>
      <c r="G12777" t="s">
        <v>32613</v>
      </c>
      <c r="H12777" t="s">
        <v>32623</v>
      </c>
      <c r="I12777" t="s">
        <v>17648</v>
      </c>
      <c r="J12777" t="s">
        <v>40678</v>
      </c>
      <c r="K12777" t="s">
        <v>42675</v>
      </c>
      <c r="M12777" t="s">
        <v>46831</v>
      </c>
      <c r="N12777" t="s">
        <v>47304</v>
      </c>
      <c r="O12777" t="s">
        <v>47305</v>
      </c>
      <c r="P12777">
        <v>0</v>
      </c>
      <c r="Q12777">
        <v>2</v>
      </c>
      <c r="R12777" t="s">
        <v>47319</v>
      </c>
      <c r="S12777" t="s">
        <v>47813</v>
      </c>
      <c r="T12777" t="s">
        <v>48989</v>
      </c>
      <c r="U12777" t="s">
        <v>60094</v>
      </c>
      <c r="W12777" t="s">
        <v>46831</v>
      </c>
      <c r="X12777" t="s">
        <v>47320</v>
      </c>
    </row>
    <row r="12778" spans="1:24">
      <c r="A12778">
        <f>HYPERLINK("https://www.philgeps.gov.ph/GEPSNONPILOT/Tender/SplashBidNoticeAbstractUI.aspx?menuIndex=3&amp;refID=7173542&amp;Result=3","7173542")</f>
        <v>0</v>
      </c>
      <c r="B12778" t="s">
        <v>3547</v>
      </c>
      <c r="C12778" t="s">
        <v>15887</v>
      </c>
      <c r="D12778" t="s">
        <v>19009</v>
      </c>
      <c r="E12778" t="s">
        <v>28275</v>
      </c>
      <c r="F12778" t="s">
        <v>32606</v>
      </c>
      <c r="G12778" t="s">
        <v>32613</v>
      </c>
      <c r="H12778" t="s">
        <v>32623</v>
      </c>
      <c r="I12778" t="s">
        <v>17648</v>
      </c>
      <c r="J12778" t="s">
        <v>40679</v>
      </c>
      <c r="K12778" t="s">
        <v>42636</v>
      </c>
      <c r="M12778" t="s">
        <v>46828</v>
      </c>
      <c r="N12778" t="s">
        <v>47304</v>
      </c>
      <c r="O12778" t="s">
        <v>47305</v>
      </c>
      <c r="P12778">
        <v>0</v>
      </c>
      <c r="Q12778">
        <v>8</v>
      </c>
      <c r="R12778" t="s">
        <v>47319</v>
      </c>
      <c r="S12778" t="s">
        <v>47813</v>
      </c>
      <c r="T12778" t="s">
        <v>49447</v>
      </c>
      <c r="U12778" t="s">
        <v>60095</v>
      </c>
      <c r="W12778" t="s">
        <v>46828</v>
      </c>
      <c r="X12778" t="s">
        <v>47320</v>
      </c>
    </row>
    <row r="12779" spans="1:24">
      <c r="A12779">
        <f>HYPERLINK("https://www.philgeps.gov.ph/GEPSNONPILOT/Tender/SplashBidNoticeAbstractUI.aspx?menuIndex=3&amp;refID=7173537&amp;Result=3","7173537")</f>
        <v>0</v>
      </c>
      <c r="B12779" t="s">
        <v>1671</v>
      </c>
      <c r="C12779" t="s">
        <v>15937</v>
      </c>
      <c r="D12779" t="s">
        <v>18993</v>
      </c>
      <c r="E12779" t="s">
        <v>15937</v>
      </c>
      <c r="F12779" t="s">
        <v>32606</v>
      </c>
      <c r="G12779" t="s">
        <v>32613</v>
      </c>
      <c r="H12779" t="s">
        <v>14201</v>
      </c>
      <c r="I12779" t="s">
        <v>32638</v>
      </c>
      <c r="J12779" t="s">
        <v>40680</v>
      </c>
      <c r="K12779" t="s">
        <v>42631</v>
      </c>
      <c r="M12779" t="s">
        <v>44698</v>
      </c>
      <c r="N12779" t="s">
        <v>47304</v>
      </c>
      <c r="O12779" t="s">
        <v>47305</v>
      </c>
      <c r="P12779">
        <v>0</v>
      </c>
      <c r="Q12779">
        <v>5</v>
      </c>
      <c r="R12779" t="s">
        <v>47319</v>
      </c>
      <c r="S12779" t="s">
        <v>47813</v>
      </c>
      <c r="T12779" t="s">
        <v>48987</v>
      </c>
      <c r="U12779" t="s">
        <v>53471</v>
      </c>
      <c r="W12779" t="s">
        <v>44698</v>
      </c>
      <c r="X12779" t="s">
        <v>47320</v>
      </c>
    </row>
    <row r="12780" spans="1:24">
      <c r="A12780">
        <f>HYPERLINK("https://www.philgeps.gov.ph/GEPSNONPILOT/Tender/SplashBidNoticeAbstractUI.aspx?menuIndex=3&amp;refID=7173380&amp;Result=3","7173380")</f>
        <v>0</v>
      </c>
      <c r="B12780" t="s">
        <v>3550</v>
      </c>
      <c r="C12780" t="s">
        <v>15938</v>
      </c>
      <c r="D12780" t="s">
        <v>19004</v>
      </c>
      <c r="E12780" t="s">
        <v>29896</v>
      </c>
      <c r="F12780" t="s">
        <v>32606</v>
      </c>
      <c r="G12780" t="s">
        <v>32613</v>
      </c>
      <c r="H12780" t="s">
        <v>14201</v>
      </c>
      <c r="I12780" t="s">
        <v>4114</v>
      </c>
      <c r="J12780" t="s">
        <v>40681</v>
      </c>
      <c r="K12780" t="s">
        <v>42629</v>
      </c>
      <c r="M12780" t="s">
        <v>46832</v>
      </c>
      <c r="N12780" t="s">
        <v>47304</v>
      </c>
      <c r="O12780" t="s">
        <v>47305</v>
      </c>
      <c r="P12780">
        <v>0</v>
      </c>
      <c r="Q12780">
        <v>7</v>
      </c>
      <c r="R12780" t="s">
        <v>47319</v>
      </c>
      <c r="S12780" t="s">
        <v>47813</v>
      </c>
      <c r="T12780" t="s">
        <v>48986</v>
      </c>
      <c r="U12780" t="s">
        <v>60096</v>
      </c>
      <c r="W12780" t="s">
        <v>46832</v>
      </c>
      <c r="X12780" t="s">
        <v>47320</v>
      </c>
    </row>
    <row r="12781" spans="1:24">
      <c r="A12781">
        <f>HYPERLINK("https://www.philgeps.gov.ph/GEPSNONPILOT/Tender/SplashBidNoticeAbstractUI.aspx?menuIndex=3&amp;refID=7173592&amp;Result=3","7173592")</f>
        <v>0</v>
      </c>
      <c r="B12781" t="s">
        <v>1516</v>
      </c>
      <c r="C12781" t="s">
        <v>15939</v>
      </c>
      <c r="D12781" t="s">
        <v>18995</v>
      </c>
      <c r="E12781" t="s">
        <v>29925</v>
      </c>
      <c r="F12781" t="s">
        <v>32606</v>
      </c>
      <c r="G12781" t="s">
        <v>32613</v>
      </c>
      <c r="H12781" t="s">
        <v>32623</v>
      </c>
      <c r="I12781" t="s">
        <v>17648</v>
      </c>
      <c r="J12781" t="s">
        <v>40682</v>
      </c>
      <c r="K12781" t="s">
        <v>42739</v>
      </c>
      <c r="M12781" t="s">
        <v>44517</v>
      </c>
      <c r="N12781" t="s">
        <v>47304</v>
      </c>
      <c r="O12781" t="s">
        <v>47305</v>
      </c>
      <c r="P12781">
        <v>0</v>
      </c>
      <c r="Q12781">
        <v>4</v>
      </c>
      <c r="R12781" t="s">
        <v>47319</v>
      </c>
      <c r="S12781" t="s">
        <v>47813</v>
      </c>
      <c r="T12781" t="s">
        <v>48986</v>
      </c>
      <c r="U12781" t="s">
        <v>60097</v>
      </c>
      <c r="W12781" t="s">
        <v>44517</v>
      </c>
      <c r="X12781" t="s">
        <v>47320</v>
      </c>
    </row>
    <row r="12782" spans="1:24">
      <c r="A12782">
        <f>HYPERLINK("https://www.philgeps.gov.ph/GEPSNONPILOT/Tender/SplashBidNoticeAbstractUI.aspx?menuIndex=3&amp;refID=7173512&amp;Result=3","7173512")</f>
        <v>0</v>
      </c>
      <c r="B12782" t="s">
        <v>1709</v>
      </c>
      <c r="C12782" t="s">
        <v>15940</v>
      </c>
      <c r="D12782" t="s">
        <v>19032</v>
      </c>
      <c r="E12782" t="s">
        <v>29926</v>
      </c>
      <c r="F12782" t="s">
        <v>32606</v>
      </c>
      <c r="G12782" t="s">
        <v>32613</v>
      </c>
      <c r="H12782" t="s">
        <v>14201</v>
      </c>
      <c r="I12782" t="s">
        <v>6931</v>
      </c>
      <c r="J12782" t="s">
        <v>40683</v>
      </c>
      <c r="K12782" t="s">
        <v>42630</v>
      </c>
      <c r="M12782" t="s">
        <v>46276</v>
      </c>
      <c r="N12782" t="s">
        <v>47304</v>
      </c>
      <c r="O12782" t="s">
        <v>47305</v>
      </c>
      <c r="P12782">
        <v>0</v>
      </c>
      <c r="Q12782">
        <v>0</v>
      </c>
      <c r="R12782" t="s">
        <v>47319</v>
      </c>
      <c r="S12782" t="s">
        <v>47813</v>
      </c>
      <c r="T12782" t="s">
        <v>49268</v>
      </c>
      <c r="U12782" t="s">
        <v>60098</v>
      </c>
      <c r="V12782" t="s">
        <v>63710</v>
      </c>
      <c r="W12782" t="s">
        <v>46276</v>
      </c>
      <c r="X12782" t="s">
        <v>47320</v>
      </c>
    </row>
    <row r="12783" spans="1:24">
      <c r="A12783">
        <f>HYPERLINK("https://www.philgeps.gov.ph/GEPSNONPILOT/Tender/SplashBidNoticeAbstractUI.aspx?menuIndex=3&amp;refID=7173500&amp;Result=3","7173500")</f>
        <v>0</v>
      </c>
      <c r="B12783" t="s">
        <v>1551</v>
      </c>
      <c r="C12783" t="s">
        <v>15941</v>
      </c>
      <c r="D12783" t="s">
        <v>19046</v>
      </c>
      <c r="E12783" t="s">
        <v>29927</v>
      </c>
      <c r="F12783" t="s">
        <v>32606</v>
      </c>
      <c r="G12783" t="s">
        <v>32613</v>
      </c>
      <c r="H12783" t="s">
        <v>14201</v>
      </c>
      <c r="I12783" t="s">
        <v>6931</v>
      </c>
      <c r="J12783" t="s">
        <v>40684</v>
      </c>
      <c r="K12783" t="s">
        <v>42631</v>
      </c>
      <c r="M12783" t="s">
        <v>44555</v>
      </c>
      <c r="N12783" t="s">
        <v>47304</v>
      </c>
      <c r="O12783" t="s">
        <v>47305</v>
      </c>
      <c r="Q12783">
        <v>0</v>
      </c>
      <c r="R12783" t="s">
        <v>47319</v>
      </c>
      <c r="S12783" t="s">
        <v>47890</v>
      </c>
      <c r="T12783" t="s">
        <v>49037</v>
      </c>
      <c r="U12783" t="s">
        <v>60099</v>
      </c>
      <c r="W12783" t="s">
        <v>44555</v>
      </c>
      <c r="X12783" t="s">
        <v>47320</v>
      </c>
    </row>
    <row r="12784" spans="1:24">
      <c r="A12784">
        <f>HYPERLINK("https://www.philgeps.gov.ph/GEPSNONPILOT/Tender/SplashBidNoticeAbstractUI.aspx?menuIndex=3&amp;refID=7173550&amp;Result=3","7173550")</f>
        <v>0</v>
      </c>
      <c r="B12784" t="s">
        <v>1675</v>
      </c>
      <c r="C12784" t="s">
        <v>15942</v>
      </c>
      <c r="D12784" t="s">
        <v>19006</v>
      </c>
      <c r="E12784" t="s">
        <v>29928</v>
      </c>
      <c r="F12784" t="s">
        <v>32606</v>
      </c>
      <c r="G12784" t="s">
        <v>32613</v>
      </c>
      <c r="H12784" t="s">
        <v>14201</v>
      </c>
      <c r="I12784" t="s">
        <v>32641</v>
      </c>
      <c r="J12784" t="s">
        <v>33255</v>
      </c>
      <c r="K12784" t="s">
        <v>42712</v>
      </c>
      <c r="M12784" t="s">
        <v>45930</v>
      </c>
      <c r="N12784" t="s">
        <v>47304</v>
      </c>
      <c r="O12784" t="s">
        <v>47305</v>
      </c>
      <c r="P12784">
        <v>0</v>
      </c>
      <c r="Q12784">
        <v>3</v>
      </c>
      <c r="R12784" t="s">
        <v>47319</v>
      </c>
      <c r="S12784" t="s">
        <v>47813</v>
      </c>
      <c r="T12784" t="s">
        <v>49243</v>
      </c>
      <c r="U12784" t="s">
        <v>60100</v>
      </c>
      <c r="W12784" t="s">
        <v>45930</v>
      </c>
      <c r="X12784" t="s">
        <v>47320</v>
      </c>
    </row>
    <row r="12785" spans="1:24">
      <c r="A12785">
        <f>HYPERLINK("https://www.philgeps.gov.ph/GEPSNONPILOT/Tender/SplashBidNoticeAbstractUI.aspx?menuIndex=3&amp;refID=7173489&amp;Result=3","7173489")</f>
        <v>0</v>
      </c>
      <c r="B12785" t="s">
        <v>1671</v>
      </c>
      <c r="C12785" t="s">
        <v>15943</v>
      </c>
      <c r="D12785" t="s">
        <v>18993</v>
      </c>
      <c r="E12785" t="s">
        <v>15943</v>
      </c>
      <c r="F12785" t="s">
        <v>32606</v>
      </c>
      <c r="G12785" t="s">
        <v>32613</v>
      </c>
      <c r="H12785" t="s">
        <v>14201</v>
      </c>
      <c r="I12785" t="s">
        <v>32638</v>
      </c>
      <c r="J12785" t="s">
        <v>33578</v>
      </c>
      <c r="K12785" t="s">
        <v>42631</v>
      </c>
      <c r="M12785" t="s">
        <v>44698</v>
      </c>
      <c r="N12785" t="s">
        <v>47304</v>
      </c>
      <c r="O12785" t="s">
        <v>47305</v>
      </c>
      <c r="P12785">
        <v>0</v>
      </c>
      <c r="Q12785">
        <v>6</v>
      </c>
      <c r="R12785" t="s">
        <v>47319</v>
      </c>
      <c r="S12785" t="s">
        <v>47813</v>
      </c>
      <c r="T12785" t="s">
        <v>48987</v>
      </c>
      <c r="U12785" t="s">
        <v>53471</v>
      </c>
      <c r="W12785" t="s">
        <v>44698</v>
      </c>
      <c r="X12785" t="s">
        <v>47320</v>
      </c>
    </row>
    <row r="12786" spans="1:24">
      <c r="A12786">
        <f>HYPERLINK("https://www.philgeps.gov.ph/GEPSNONPILOT/Tender/SplashBidNoticeAbstractUI.aspx?menuIndex=3&amp;refID=7172694&amp;Result=3","7172694")</f>
        <v>0</v>
      </c>
      <c r="B12786" t="s">
        <v>3524</v>
      </c>
      <c r="C12786" t="s">
        <v>15944</v>
      </c>
      <c r="D12786" t="s">
        <v>19023</v>
      </c>
      <c r="E12786" t="s">
        <v>29929</v>
      </c>
      <c r="F12786" t="s">
        <v>32606</v>
      </c>
      <c r="G12786" t="s">
        <v>32613</v>
      </c>
      <c r="H12786" t="s">
        <v>14201</v>
      </c>
      <c r="I12786" t="s">
        <v>6931</v>
      </c>
      <c r="J12786" t="s">
        <v>40685</v>
      </c>
      <c r="K12786" t="s">
        <v>42631</v>
      </c>
      <c r="M12786" t="s">
        <v>46795</v>
      </c>
      <c r="N12786" t="s">
        <v>47304</v>
      </c>
      <c r="O12786" t="s">
        <v>47305</v>
      </c>
      <c r="P12786">
        <v>0</v>
      </c>
      <c r="Q12786">
        <v>0</v>
      </c>
      <c r="R12786" t="s">
        <v>47319</v>
      </c>
      <c r="S12786" t="s">
        <v>47813</v>
      </c>
      <c r="T12786" t="s">
        <v>49076</v>
      </c>
      <c r="U12786" t="s">
        <v>60101</v>
      </c>
      <c r="W12786" t="s">
        <v>46795</v>
      </c>
      <c r="X12786" t="s">
        <v>47320</v>
      </c>
    </row>
    <row r="12787" spans="1:24">
      <c r="A12787">
        <f>HYPERLINK("https://www.philgeps.gov.ph/GEPSNONPILOT/Tender/SplashBidNoticeAbstractUI.aspx?menuIndex=3&amp;refID=7173498&amp;Result=3","7173498")</f>
        <v>0</v>
      </c>
      <c r="B12787" t="s">
        <v>1671</v>
      </c>
      <c r="C12787" t="s">
        <v>15945</v>
      </c>
      <c r="D12787" t="s">
        <v>18993</v>
      </c>
      <c r="E12787" t="s">
        <v>15945</v>
      </c>
      <c r="F12787" t="s">
        <v>32606</v>
      </c>
      <c r="G12787" t="s">
        <v>32613</v>
      </c>
      <c r="H12787" t="s">
        <v>14201</v>
      </c>
      <c r="I12787" t="s">
        <v>32638</v>
      </c>
      <c r="J12787" t="s">
        <v>40686</v>
      </c>
      <c r="K12787" t="s">
        <v>42631</v>
      </c>
      <c r="M12787" t="s">
        <v>44698</v>
      </c>
      <c r="N12787" t="s">
        <v>47304</v>
      </c>
      <c r="O12787" t="s">
        <v>47305</v>
      </c>
      <c r="P12787">
        <v>0</v>
      </c>
      <c r="Q12787">
        <v>4</v>
      </c>
      <c r="R12787" t="s">
        <v>47319</v>
      </c>
      <c r="S12787" t="s">
        <v>47813</v>
      </c>
      <c r="T12787" t="s">
        <v>48987</v>
      </c>
      <c r="U12787" t="s">
        <v>53471</v>
      </c>
      <c r="W12787" t="s">
        <v>44698</v>
      </c>
      <c r="X12787" t="s">
        <v>47320</v>
      </c>
    </row>
    <row r="12788" spans="1:24">
      <c r="A12788">
        <f>HYPERLINK("https://www.philgeps.gov.ph/GEPSNONPILOT/Tender/SplashBidNoticeAbstractUI.aspx?menuIndex=3&amp;refID=7173770&amp;Result=3","7173770")</f>
        <v>0</v>
      </c>
      <c r="B12788" t="s">
        <v>1749</v>
      </c>
      <c r="C12788" t="s">
        <v>15946</v>
      </c>
      <c r="E12788" t="s">
        <v>29930</v>
      </c>
      <c r="F12788" t="s">
        <v>32606</v>
      </c>
      <c r="G12788" t="s">
        <v>32613</v>
      </c>
      <c r="H12788" t="s">
        <v>14201</v>
      </c>
      <c r="I12788" t="s">
        <v>32635</v>
      </c>
      <c r="J12788" t="s">
        <v>40687</v>
      </c>
      <c r="K12788" t="s">
        <v>42646</v>
      </c>
      <c r="M12788" t="s">
        <v>45934</v>
      </c>
      <c r="N12788" t="s">
        <v>47304</v>
      </c>
      <c r="O12788" t="s">
        <v>47305</v>
      </c>
      <c r="P12788">
        <v>0</v>
      </c>
      <c r="Q12788">
        <v>10</v>
      </c>
      <c r="R12788" t="s">
        <v>47319</v>
      </c>
      <c r="S12788" t="s">
        <v>47813</v>
      </c>
      <c r="T12788" t="s">
        <v>49272</v>
      </c>
      <c r="U12788" t="s">
        <v>60102</v>
      </c>
      <c r="W12788" t="s">
        <v>46485</v>
      </c>
      <c r="X12788" t="s">
        <v>47320</v>
      </c>
    </row>
    <row r="12789" spans="1:24">
      <c r="A12789">
        <f>HYPERLINK("https://www.philgeps.gov.ph/GEPSNONPILOT/Tender/SplashBidNoticeAbstractUI.aspx?menuIndex=3&amp;refID=7173761&amp;Result=3","7173761")</f>
        <v>0</v>
      </c>
      <c r="B12789" t="s">
        <v>1433</v>
      </c>
      <c r="C12789" t="s">
        <v>15947</v>
      </c>
      <c r="D12789" t="s">
        <v>19029</v>
      </c>
      <c r="E12789" t="s">
        <v>29931</v>
      </c>
      <c r="F12789" t="s">
        <v>32606</v>
      </c>
      <c r="G12789" t="s">
        <v>32614</v>
      </c>
      <c r="H12789" t="s">
        <v>14201</v>
      </c>
      <c r="I12789" t="s">
        <v>32660</v>
      </c>
      <c r="J12789" t="s">
        <v>32950</v>
      </c>
      <c r="K12789" t="s">
        <v>42631</v>
      </c>
      <c r="M12789" t="s">
        <v>44422</v>
      </c>
      <c r="N12789" t="s">
        <v>47304</v>
      </c>
      <c r="O12789" t="s">
        <v>47305</v>
      </c>
      <c r="Q12789">
        <v>1</v>
      </c>
      <c r="R12789" t="s">
        <v>47319</v>
      </c>
      <c r="S12789" t="s">
        <v>47891</v>
      </c>
      <c r="T12789" t="s">
        <v>49315</v>
      </c>
      <c r="U12789" t="s">
        <v>52637</v>
      </c>
      <c r="V12789" t="s">
        <v>64041</v>
      </c>
      <c r="W12789" t="s">
        <v>64473</v>
      </c>
      <c r="X12789" t="s">
        <v>47320</v>
      </c>
    </row>
    <row r="12790" spans="1:24">
      <c r="A12790">
        <f>HYPERLINK("https://www.philgeps.gov.ph/GEPSNONPILOT/Tender/SplashBidNoticeAbstractUI.aspx?menuIndex=3&amp;refID=7173745&amp;Result=3","7173745")</f>
        <v>0</v>
      </c>
      <c r="B12790" t="s">
        <v>1433</v>
      </c>
      <c r="C12790" t="s">
        <v>15948</v>
      </c>
      <c r="D12790" t="s">
        <v>19061</v>
      </c>
      <c r="E12790" t="s">
        <v>29932</v>
      </c>
      <c r="F12790" t="s">
        <v>32606</v>
      </c>
      <c r="G12790" t="s">
        <v>32614</v>
      </c>
      <c r="H12790" t="s">
        <v>14201</v>
      </c>
      <c r="I12790" t="s">
        <v>32660</v>
      </c>
      <c r="J12790" t="s">
        <v>32950</v>
      </c>
      <c r="K12790" t="s">
        <v>42631</v>
      </c>
      <c r="M12790" t="s">
        <v>44422</v>
      </c>
      <c r="N12790" t="s">
        <v>47304</v>
      </c>
      <c r="O12790" t="s">
        <v>47305</v>
      </c>
      <c r="Q12790">
        <v>2</v>
      </c>
      <c r="R12790" t="s">
        <v>47319</v>
      </c>
      <c r="S12790" t="s">
        <v>47892</v>
      </c>
      <c r="T12790" t="s">
        <v>49315</v>
      </c>
      <c r="U12790" t="s">
        <v>52637</v>
      </c>
      <c r="V12790" t="s">
        <v>64041</v>
      </c>
      <c r="W12790" t="s">
        <v>64473</v>
      </c>
      <c r="X12790" t="s">
        <v>47320</v>
      </c>
    </row>
    <row r="12791" spans="1:24">
      <c r="A12791">
        <f>HYPERLINK("https://www.philgeps.gov.ph/GEPSNONPILOT/Tender/SplashBidNoticeAbstractUI.aspx?menuIndex=3&amp;refID=7173725&amp;Result=3","7173725")</f>
        <v>0</v>
      </c>
      <c r="B12791" t="s">
        <v>560</v>
      </c>
      <c r="C12791" t="s">
        <v>15949</v>
      </c>
      <c r="D12791" t="s">
        <v>19000</v>
      </c>
      <c r="E12791" t="s">
        <v>28328</v>
      </c>
      <c r="F12791" t="s">
        <v>32606</v>
      </c>
      <c r="G12791" t="s">
        <v>32613</v>
      </c>
      <c r="H12791" t="s">
        <v>32623</v>
      </c>
      <c r="I12791" t="s">
        <v>17648</v>
      </c>
      <c r="J12791" t="s">
        <v>34667</v>
      </c>
      <c r="K12791" t="s">
        <v>42636</v>
      </c>
      <c r="M12791" t="s">
        <v>43475</v>
      </c>
      <c r="N12791" t="s">
        <v>47304</v>
      </c>
      <c r="O12791" t="s">
        <v>47305</v>
      </c>
      <c r="P12791">
        <v>0</v>
      </c>
      <c r="Q12791">
        <v>7</v>
      </c>
      <c r="R12791" t="s">
        <v>47319</v>
      </c>
      <c r="S12791" t="s">
        <v>47813</v>
      </c>
      <c r="T12791" t="s">
        <v>49057</v>
      </c>
      <c r="U12791" t="s">
        <v>60103</v>
      </c>
      <c r="W12791" t="s">
        <v>43475</v>
      </c>
      <c r="X12791" t="s">
        <v>47320</v>
      </c>
    </row>
    <row r="12792" spans="1:24">
      <c r="A12792">
        <f>HYPERLINK("https://www.philgeps.gov.ph/GEPSNONPILOT/Tender/SplashBidNoticeAbstractUI.aspx?menuIndex=3&amp;refID=7173787&amp;Result=3","7173787")</f>
        <v>0</v>
      </c>
      <c r="B12792" t="s">
        <v>3539</v>
      </c>
      <c r="C12792" t="s">
        <v>15950</v>
      </c>
      <c r="D12792" t="s">
        <v>18994</v>
      </c>
      <c r="E12792" t="s">
        <v>29933</v>
      </c>
      <c r="F12792" t="s">
        <v>32606</v>
      </c>
      <c r="G12792" t="s">
        <v>32613</v>
      </c>
      <c r="H12792" t="s">
        <v>32623</v>
      </c>
      <c r="I12792" t="s">
        <v>17648</v>
      </c>
      <c r="J12792" t="s">
        <v>33804</v>
      </c>
      <c r="K12792" t="s">
        <v>42646</v>
      </c>
      <c r="M12792" t="s">
        <v>46816</v>
      </c>
      <c r="N12792" t="s">
        <v>47304</v>
      </c>
      <c r="O12792" t="s">
        <v>47305</v>
      </c>
      <c r="P12792">
        <v>0</v>
      </c>
      <c r="Q12792">
        <v>1</v>
      </c>
      <c r="R12792" t="s">
        <v>47319</v>
      </c>
      <c r="S12792" t="s">
        <v>47813</v>
      </c>
      <c r="T12792" t="s">
        <v>49057</v>
      </c>
      <c r="U12792" t="s">
        <v>60104</v>
      </c>
      <c r="W12792" t="s">
        <v>46816</v>
      </c>
      <c r="X12792" t="s">
        <v>47320</v>
      </c>
    </row>
    <row r="12793" spans="1:24">
      <c r="A12793">
        <f>HYPERLINK("https://www.philgeps.gov.ph/GEPSNONPILOT/Tender/SplashBidNoticeAbstractUI.aspx?menuIndex=3&amp;refID=7173711&amp;Result=3","7173711")</f>
        <v>0</v>
      </c>
      <c r="B12793" t="s">
        <v>1671</v>
      </c>
      <c r="C12793" t="s">
        <v>15951</v>
      </c>
      <c r="D12793" t="s">
        <v>18993</v>
      </c>
      <c r="E12793" t="s">
        <v>15951</v>
      </c>
      <c r="F12793" t="s">
        <v>32606</v>
      </c>
      <c r="G12793" t="s">
        <v>32613</v>
      </c>
      <c r="H12793" t="s">
        <v>14201</v>
      </c>
      <c r="I12793" t="s">
        <v>32638</v>
      </c>
      <c r="J12793" t="s">
        <v>32759</v>
      </c>
      <c r="K12793" t="s">
        <v>42631</v>
      </c>
      <c r="M12793" t="s">
        <v>44698</v>
      </c>
      <c r="N12793" t="s">
        <v>47304</v>
      </c>
      <c r="O12793" t="s">
        <v>47305</v>
      </c>
      <c r="P12793">
        <v>0</v>
      </c>
      <c r="Q12793">
        <v>4</v>
      </c>
      <c r="R12793" t="s">
        <v>47319</v>
      </c>
      <c r="S12793" t="s">
        <v>47813</v>
      </c>
      <c r="T12793" t="s">
        <v>48987</v>
      </c>
      <c r="U12793" t="s">
        <v>53471</v>
      </c>
      <c r="W12793" t="s">
        <v>44698</v>
      </c>
      <c r="X12793" t="s">
        <v>47320</v>
      </c>
    </row>
    <row r="12794" spans="1:24">
      <c r="A12794">
        <f>HYPERLINK("https://www.philgeps.gov.ph/GEPSNONPILOT/Tender/SplashBidNoticeAbstractUI.aspx?menuIndex=3&amp;refID=7173709&amp;Result=3","7173709")</f>
        <v>0</v>
      </c>
      <c r="B12794" t="s">
        <v>1671</v>
      </c>
      <c r="C12794" t="s">
        <v>15952</v>
      </c>
      <c r="D12794" t="s">
        <v>18993</v>
      </c>
      <c r="E12794" t="s">
        <v>15952</v>
      </c>
      <c r="F12794" t="s">
        <v>32606</v>
      </c>
      <c r="G12794" t="s">
        <v>32613</v>
      </c>
      <c r="H12794" t="s">
        <v>14201</v>
      </c>
      <c r="I12794" t="s">
        <v>32638</v>
      </c>
      <c r="J12794" t="s">
        <v>32767</v>
      </c>
      <c r="K12794" t="s">
        <v>42631</v>
      </c>
      <c r="M12794" t="s">
        <v>44698</v>
      </c>
      <c r="N12794" t="s">
        <v>47304</v>
      </c>
      <c r="O12794" t="s">
        <v>47305</v>
      </c>
      <c r="P12794">
        <v>0</v>
      </c>
      <c r="Q12794">
        <v>6</v>
      </c>
      <c r="R12794" t="s">
        <v>47319</v>
      </c>
      <c r="S12794" t="s">
        <v>47813</v>
      </c>
      <c r="T12794" t="s">
        <v>48987</v>
      </c>
      <c r="U12794" t="s">
        <v>53471</v>
      </c>
      <c r="W12794" t="s">
        <v>44698</v>
      </c>
      <c r="X12794" t="s">
        <v>47320</v>
      </c>
    </row>
    <row r="12795" spans="1:24">
      <c r="A12795">
        <f>HYPERLINK("https://www.philgeps.gov.ph/GEPSNONPILOT/Tender/SplashBidNoticeAbstractUI.aspx?menuIndex=3&amp;refID=7173703&amp;Result=3","7173703")</f>
        <v>0</v>
      </c>
      <c r="B12795" t="s">
        <v>1671</v>
      </c>
      <c r="C12795" t="s">
        <v>15953</v>
      </c>
      <c r="D12795" t="s">
        <v>18993</v>
      </c>
      <c r="E12795" t="s">
        <v>15953</v>
      </c>
      <c r="F12795" t="s">
        <v>32606</v>
      </c>
      <c r="G12795" t="s">
        <v>32613</v>
      </c>
      <c r="H12795" t="s">
        <v>14201</v>
      </c>
      <c r="I12795" t="s">
        <v>32638</v>
      </c>
      <c r="J12795" t="s">
        <v>32789</v>
      </c>
      <c r="K12795" t="s">
        <v>42631</v>
      </c>
      <c r="M12795" t="s">
        <v>44698</v>
      </c>
      <c r="N12795" t="s">
        <v>47304</v>
      </c>
      <c r="O12795" t="s">
        <v>47305</v>
      </c>
      <c r="P12795">
        <v>0</v>
      </c>
      <c r="Q12795">
        <v>5</v>
      </c>
      <c r="R12795" t="s">
        <v>47319</v>
      </c>
      <c r="S12795" t="s">
        <v>47813</v>
      </c>
      <c r="T12795" t="s">
        <v>48987</v>
      </c>
      <c r="U12795" t="s">
        <v>60105</v>
      </c>
      <c r="W12795" t="s">
        <v>44698</v>
      </c>
      <c r="X12795" t="s">
        <v>47320</v>
      </c>
    </row>
    <row r="12796" spans="1:24">
      <c r="A12796">
        <f>HYPERLINK("https://www.philgeps.gov.ph/GEPSNONPILOT/Tender/SplashBidNoticeAbstractUI.aspx?menuIndex=3&amp;refID=7173516&amp;Result=3","7173516")</f>
        <v>0</v>
      </c>
      <c r="B12796" t="s">
        <v>634</v>
      </c>
      <c r="C12796" t="s">
        <v>15954</v>
      </c>
      <c r="D12796" t="s">
        <v>19056</v>
      </c>
      <c r="E12796" t="s">
        <v>29934</v>
      </c>
      <c r="F12796" t="s">
        <v>32606</v>
      </c>
      <c r="G12796" t="s">
        <v>32613</v>
      </c>
      <c r="H12796" t="s">
        <v>32623</v>
      </c>
      <c r="I12796" t="s">
        <v>17648</v>
      </c>
      <c r="J12796" t="s">
        <v>40688</v>
      </c>
      <c r="K12796" t="s">
        <v>42871</v>
      </c>
      <c r="M12796" t="s">
        <v>43552</v>
      </c>
      <c r="N12796" t="s">
        <v>47304</v>
      </c>
      <c r="O12796" t="s">
        <v>47305</v>
      </c>
      <c r="P12796">
        <v>0</v>
      </c>
      <c r="Q12796">
        <v>0</v>
      </c>
      <c r="R12796" t="s">
        <v>47319</v>
      </c>
      <c r="S12796" t="s">
        <v>47813</v>
      </c>
      <c r="T12796" t="s">
        <v>49116</v>
      </c>
      <c r="U12796" t="s">
        <v>60106</v>
      </c>
      <c r="W12796" t="s">
        <v>43552</v>
      </c>
      <c r="X12796" t="s">
        <v>47320</v>
      </c>
    </row>
    <row r="12797" spans="1:24">
      <c r="A12797">
        <f>HYPERLINK("https://www.philgeps.gov.ph/GEPSNONPILOT/Tender/SplashBidNoticeAbstractUI.aspx?menuIndex=3&amp;refID=7173567&amp;Result=3","7173567")</f>
        <v>0</v>
      </c>
      <c r="B12797" t="s">
        <v>1671</v>
      </c>
      <c r="C12797" t="s">
        <v>15955</v>
      </c>
      <c r="D12797" t="s">
        <v>18993</v>
      </c>
      <c r="E12797" t="s">
        <v>15955</v>
      </c>
      <c r="F12797" t="s">
        <v>32606</v>
      </c>
      <c r="G12797" t="s">
        <v>32613</v>
      </c>
      <c r="H12797" t="s">
        <v>14201</v>
      </c>
      <c r="I12797" t="s">
        <v>4369</v>
      </c>
      <c r="J12797" t="s">
        <v>32920</v>
      </c>
      <c r="K12797" t="s">
        <v>42631</v>
      </c>
      <c r="M12797" t="s">
        <v>44698</v>
      </c>
      <c r="N12797" t="s">
        <v>47304</v>
      </c>
      <c r="O12797" t="s">
        <v>47305</v>
      </c>
      <c r="P12797">
        <v>0</v>
      </c>
      <c r="Q12797">
        <v>7</v>
      </c>
      <c r="R12797" t="s">
        <v>47319</v>
      </c>
      <c r="S12797" t="s">
        <v>47813</v>
      </c>
      <c r="T12797" t="s">
        <v>48987</v>
      </c>
      <c r="U12797" t="s">
        <v>60107</v>
      </c>
      <c r="W12797" t="s">
        <v>44698</v>
      </c>
      <c r="X12797" t="s">
        <v>47320</v>
      </c>
    </row>
    <row r="12798" spans="1:24">
      <c r="A12798">
        <f>HYPERLINK("https://www.philgeps.gov.ph/GEPSNONPILOT/Tender/SplashBidNoticeAbstractUI.aspx?menuIndex=3&amp;refID=7173666&amp;Result=3","7173666")</f>
        <v>0</v>
      </c>
      <c r="B12798" t="s">
        <v>1749</v>
      </c>
      <c r="C12798" t="s">
        <v>15956</v>
      </c>
      <c r="E12798" t="s">
        <v>29935</v>
      </c>
      <c r="F12798" t="s">
        <v>32606</v>
      </c>
      <c r="G12798" t="s">
        <v>32613</v>
      </c>
      <c r="H12798" t="s">
        <v>14201</v>
      </c>
      <c r="I12798" t="s">
        <v>32635</v>
      </c>
      <c r="J12798" t="s">
        <v>40689</v>
      </c>
      <c r="K12798" t="s">
        <v>42646</v>
      </c>
      <c r="M12798" t="s">
        <v>45934</v>
      </c>
      <c r="N12798" t="s">
        <v>47304</v>
      </c>
      <c r="O12798" t="s">
        <v>47305</v>
      </c>
      <c r="P12798">
        <v>0</v>
      </c>
      <c r="Q12798">
        <v>10</v>
      </c>
      <c r="R12798" t="s">
        <v>47319</v>
      </c>
      <c r="S12798" t="s">
        <v>47813</v>
      </c>
      <c r="T12798" t="s">
        <v>49111</v>
      </c>
      <c r="U12798" t="s">
        <v>60108</v>
      </c>
      <c r="W12798" t="s">
        <v>46485</v>
      </c>
      <c r="X12798" t="s">
        <v>47320</v>
      </c>
    </row>
    <row r="12799" spans="1:24">
      <c r="A12799">
        <f>HYPERLINK("https://www.philgeps.gov.ph/GEPSNONPILOT/Tender/SplashBidNoticeAbstractUI.aspx?menuIndex=3&amp;refID=7173810&amp;Result=3","7173810")</f>
        <v>0</v>
      </c>
      <c r="B12799" t="s">
        <v>3539</v>
      </c>
      <c r="C12799" t="s">
        <v>15957</v>
      </c>
      <c r="D12799" t="s">
        <v>18994</v>
      </c>
      <c r="E12799" t="s">
        <v>29936</v>
      </c>
      <c r="F12799" t="s">
        <v>32610</v>
      </c>
      <c r="G12799" t="s">
        <v>32613</v>
      </c>
      <c r="H12799" t="s">
        <v>32623</v>
      </c>
      <c r="I12799" t="s">
        <v>17648</v>
      </c>
      <c r="J12799" t="s">
        <v>32795</v>
      </c>
      <c r="K12799" t="s">
        <v>42648</v>
      </c>
      <c r="M12799" t="s">
        <v>46816</v>
      </c>
      <c r="N12799" t="s">
        <v>47304</v>
      </c>
      <c r="O12799" t="s">
        <v>47305</v>
      </c>
      <c r="P12799">
        <v>0</v>
      </c>
      <c r="Q12799">
        <v>2</v>
      </c>
      <c r="R12799" t="s">
        <v>47319</v>
      </c>
      <c r="S12799" t="s">
        <v>47813</v>
      </c>
      <c r="T12799" t="s">
        <v>49057</v>
      </c>
      <c r="U12799" t="s">
        <v>60109</v>
      </c>
      <c r="W12799" t="s">
        <v>46816</v>
      </c>
      <c r="X12799" t="s">
        <v>47320</v>
      </c>
    </row>
    <row r="12800" spans="1:24">
      <c r="A12800">
        <f>HYPERLINK("https://www.philgeps.gov.ph/GEPSNONPILOT/Tender/SplashBidNoticeAbstractUI.aspx?menuIndex=3&amp;refID=7173913&amp;Result=3","7173913")</f>
        <v>0</v>
      </c>
      <c r="B12800" t="s">
        <v>3544</v>
      </c>
      <c r="C12800" t="s">
        <v>15958</v>
      </c>
      <c r="D12800" t="s">
        <v>19006</v>
      </c>
      <c r="E12800" t="s">
        <v>29937</v>
      </c>
      <c r="F12800" t="s">
        <v>32606</v>
      </c>
      <c r="G12800" t="s">
        <v>32613</v>
      </c>
      <c r="H12800" t="s">
        <v>32623</v>
      </c>
      <c r="I12800" t="s">
        <v>17648</v>
      </c>
      <c r="J12800" t="s">
        <v>32789</v>
      </c>
      <c r="K12800" t="s">
        <v>42623</v>
      </c>
      <c r="M12800" t="s">
        <v>46823</v>
      </c>
      <c r="N12800" t="s">
        <v>47304</v>
      </c>
      <c r="O12800" t="s">
        <v>47305</v>
      </c>
      <c r="P12800">
        <v>0</v>
      </c>
      <c r="Q12800">
        <v>0</v>
      </c>
      <c r="R12800" t="s">
        <v>47319</v>
      </c>
      <c r="S12800" t="s">
        <v>47813</v>
      </c>
      <c r="T12800" t="s">
        <v>48996</v>
      </c>
      <c r="U12800" t="s">
        <v>60110</v>
      </c>
      <c r="W12800" t="s">
        <v>46823</v>
      </c>
      <c r="X12800" t="s">
        <v>47320</v>
      </c>
    </row>
    <row r="12801" spans="1:24">
      <c r="A12801">
        <f>HYPERLINK("https://www.philgeps.gov.ph/GEPSNONPILOT/Tender/SplashBidNoticeAbstractUI.aspx?menuIndex=3&amp;refID=7173940&amp;Result=3","7173940")</f>
        <v>0</v>
      </c>
      <c r="B12801" t="s">
        <v>1393</v>
      </c>
      <c r="C12801" t="s">
        <v>15959</v>
      </c>
      <c r="D12801" t="s">
        <v>18993</v>
      </c>
      <c r="E12801" t="s">
        <v>29938</v>
      </c>
      <c r="F12801" t="s">
        <v>32606</v>
      </c>
      <c r="G12801" t="s">
        <v>32613</v>
      </c>
      <c r="H12801" t="s">
        <v>32623</v>
      </c>
      <c r="I12801" t="s">
        <v>17648</v>
      </c>
      <c r="J12801" t="s">
        <v>40690</v>
      </c>
      <c r="K12801" t="s">
        <v>42646</v>
      </c>
      <c r="M12801" t="s">
        <v>46833</v>
      </c>
      <c r="N12801" t="s">
        <v>47304</v>
      </c>
      <c r="O12801" t="s">
        <v>47305</v>
      </c>
      <c r="P12801">
        <v>0</v>
      </c>
      <c r="Q12801">
        <v>58</v>
      </c>
      <c r="R12801" t="s">
        <v>47319</v>
      </c>
      <c r="S12801" t="s">
        <v>47813</v>
      </c>
      <c r="T12801" t="s">
        <v>49104</v>
      </c>
      <c r="U12801" t="s">
        <v>60111</v>
      </c>
      <c r="W12801" t="s">
        <v>46833</v>
      </c>
      <c r="X12801" t="s">
        <v>47320</v>
      </c>
    </row>
    <row r="12802" spans="1:24">
      <c r="A12802">
        <f>HYPERLINK("https://www.philgeps.gov.ph/GEPSNONPILOT/Tender/SplashBidNoticeAbstractUI.aspx?menuIndex=3&amp;refID=7173934&amp;Result=3","7173934")</f>
        <v>0</v>
      </c>
      <c r="B12802" t="s">
        <v>3544</v>
      </c>
      <c r="C12802" t="s">
        <v>15960</v>
      </c>
      <c r="D12802" t="s">
        <v>19006</v>
      </c>
      <c r="E12802" t="s">
        <v>29939</v>
      </c>
      <c r="F12802" t="s">
        <v>32606</v>
      </c>
      <c r="G12802" t="s">
        <v>32613</v>
      </c>
      <c r="H12802" t="s">
        <v>32623</v>
      </c>
      <c r="I12802" t="s">
        <v>17648</v>
      </c>
      <c r="J12802" t="s">
        <v>32778</v>
      </c>
      <c r="K12802" t="s">
        <v>42631</v>
      </c>
      <c r="M12802" t="s">
        <v>46823</v>
      </c>
      <c r="N12802" t="s">
        <v>47304</v>
      </c>
      <c r="O12802" t="s">
        <v>47305</v>
      </c>
      <c r="P12802">
        <v>0</v>
      </c>
      <c r="Q12802">
        <v>0</v>
      </c>
      <c r="R12802" t="s">
        <v>47319</v>
      </c>
      <c r="S12802" t="s">
        <v>47813</v>
      </c>
      <c r="T12802" t="s">
        <v>48996</v>
      </c>
      <c r="U12802" t="s">
        <v>60112</v>
      </c>
      <c r="W12802" t="s">
        <v>46823</v>
      </c>
      <c r="X12802" t="s">
        <v>47320</v>
      </c>
    </row>
    <row r="12803" spans="1:24">
      <c r="A12803">
        <f>HYPERLINK("https://www.philgeps.gov.ph/GEPSNONPILOT/Tender/SplashBidNoticeAbstractUI.aspx?menuIndex=3&amp;refID=7173917&amp;Result=3","7173917")</f>
        <v>0</v>
      </c>
      <c r="B12803" t="s">
        <v>392</v>
      </c>
      <c r="C12803" t="s">
        <v>15961</v>
      </c>
      <c r="D12803" t="s">
        <v>18993</v>
      </c>
      <c r="E12803" t="s">
        <v>29940</v>
      </c>
      <c r="F12803" t="s">
        <v>32606</v>
      </c>
      <c r="G12803" t="s">
        <v>32614</v>
      </c>
      <c r="H12803" t="s">
        <v>14201</v>
      </c>
      <c r="I12803" t="s">
        <v>32638</v>
      </c>
      <c r="J12803" t="s">
        <v>33119</v>
      </c>
      <c r="K12803" t="s">
        <v>42624</v>
      </c>
      <c r="M12803" t="s">
        <v>44062</v>
      </c>
      <c r="N12803" t="s">
        <v>47304</v>
      </c>
      <c r="O12803" t="s">
        <v>47305</v>
      </c>
      <c r="Q12803">
        <v>14</v>
      </c>
      <c r="R12803" t="s">
        <v>47319</v>
      </c>
      <c r="S12803" t="s">
        <v>47893</v>
      </c>
      <c r="T12803" t="s">
        <v>49315</v>
      </c>
      <c r="U12803" t="s">
        <v>60113</v>
      </c>
      <c r="V12803" t="s">
        <v>62920</v>
      </c>
      <c r="W12803" t="s">
        <v>44062</v>
      </c>
      <c r="X12803" t="s">
        <v>47320</v>
      </c>
    </row>
    <row r="12804" spans="1:24">
      <c r="A12804">
        <f>HYPERLINK("https://www.philgeps.gov.ph/GEPSNONPILOT/Tender/SplashBidNoticeAbstractUI.aspx?menuIndex=3&amp;refID=7173705&amp;Result=3","7173705")</f>
        <v>0</v>
      </c>
      <c r="B12804" t="s">
        <v>3539</v>
      </c>
      <c r="C12804" t="s">
        <v>15962</v>
      </c>
      <c r="D12804" t="s">
        <v>18994</v>
      </c>
      <c r="E12804" t="s">
        <v>29941</v>
      </c>
      <c r="F12804" t="s">
        <v>32606</v>
      </c>
      <c r="G12804" t="s">
        <v>32613</v>
      </c>
      <c r="H12804" t="s">
        <v>32623</v>
      </c>
      <c r="I12804" t="s">
        <v>17648</v>
      </c>
      <c r="J12804" t="s">
        <v>40691</v>
      </c>
      <c r="K12804" t="s">
        <v>42646</v>
      </c>
      <c r="M12804" t="s">
        <v>46816</v>
      </c>
      <c r="N12804" t="s">
        <v>47304</v>
      </c>
      <c r="O12804" t="s">
        <v>47305</v>
      </c>
      <c r="P12804">
        <v>0</v>
      </c>
      <c r="Q12804">
        <v>1</v>
      </c>
      <c r="R12804" t="s">
        <v>47319</v>
      </c>
      <c r="S12804" t="s">
        <v>47813</v>
      </c>
      <c r="T12804" t="s">
        <v>49057</v>
      </c>
      <c r="U12804" t="s">
        <v>60114</v>
      </c>
      <c r="W12804" t="s">
        <v>46816</v>
      </c>
      <c r="X12804" t="s">
        <v>47320</v>
      </c>
    </row>
    <row r="12805" spans="1:24">
      <c r="A12805">
        <f>HYPERLINK("https://www.philgeps.gov.ph/GEPSNONPILOT/Tender/SplashBidNoticeAbstractUI.aspx?menuIndex=3&amp;refID=7173915&amp;Result=3","7173915")</f>
        <v>0</v>
      </c>
      <c r="B12805" t="s">
        <v>1086</v>
      </c>
      <c r="C12805" t="s">
        <v>15963</v>
      </c>
      <c r="E12805" t="s">
        <v>29942</v>
      </c>
      <c r="F12805" t="s">
        <v>32606</v>
      </c>
      <c r="G12805" t="s">
        <v>32613</v>
      </c>
      <c r="H12805" t="s">
        <v>14201</v>
      </c>
      <c r="I12805" t="s">
        <v>32660</v>
      </c>
      <c r="J12805" t="s">
        <v>33421</v>
      </c>
      <c r="K12805" t="s">
        <v>42624</v>
      </c>
      <c r="M12805" t="s">
        <v>44041</v>
      </c>
      <c r="N12805" t="s">
        <v>47304</v>
      </c>
      <c r="O12805" t="s">
        <v>47305</v>
      </c>
      <c r="P12805">
        <v>0</v>
      </c>
      <c r="Q12805">
        <v>2</v>
      </c>
      <c r="R12805" t="s">
        <v>47319</v>
      </c>
      <c r="S12805" t="s">
        <v>47813</v>
      </c>
      <c r="T12805" t="s">
        <v>48971</v>
      </c>
      <c r="U12805" t="s">
        <v>60115</v>
      </c>
      <c r="W12805" t="s">
        <v>44041</v>
      </c>
      <c r="X12805" t="s">
        <v>47320</v>
      </c>
    </row>
    <row r="12806" spans="1:24">
      <c r="A12806">
        <f>HYPERLINK("https://www.philgeps.gov.ph/GEPSNONPILOT/Tender/SplashBidNoticeAbstractUI.aspx?menuIndex=3&amp;refID=7173910&amp;Result=3","7173910")</f>
        <v>0</v>
      </c>
      <c r="B12806" t="s">
        <v>1893</v>
      </c>
      <c r="C12806" t="s">
        <v>15964</v>
      </c>
      <c r="D12806" t="s">
        <v>18997</v>
      </c>
      <c r="E12806" t="s">
        <v>29943</v>
      </c>
      <c r="F12806" t="s">
        <v>32606</v>
      </c>
      <c r="G12806" t="s">
        <v>32619</v>
      </c>
      <c r="H12806" t="s">
        <v>14201</v>
      </c>
      <c r="I12806" t="s">
        <v>7577</v>
      </c>
      <c r="J12806" t="s">
        <v>36087</v>
      </c>
      <c r="K12806" t="s">
        <v>42624</v>
      </c>
      <c r="M12806" t="s">
        <v>44952</v>
      </c>
      <c r="N12806" t="s">
        <v>47304</v>
      </c>
      <c r="O12806" t="s">
        <v>47305</v>
      </c>
      <c r="Q12806">
        <v>0</v>
      </c>
      <c r="R12806" t="s">
        <v>47319</v>
      </c>
      <c r="S12806" t="s">
        <v>47894</v>
      </c>
      <c r="T12806" t="s">
        <v>49002</v>
      </c>
      <c r="U12806" t="s">
        <v>60116</v>
      </c>
      <c r="W12806" t="s">
        <v>44952</v>
      </c>
      <c r="X12806" t="s">
        <v>47320</v>
      </c>
    </row>
    <row r="12807" spans="1:24">
      <c r="A12807">
        <f>HYPERLINK("https://www.philgeps.gov.ph/GEPSNONPILOT/Tender/SplashBidNoticeAbstractUI.aspx?menuIndex=3&amp;refID=7173492&amp;Result=3","7173492")</f>
        <v>0</v>
      </c>
      <c r="B12807" t="s">
        <v>3211</v>
      </c>
      <c r="C12807" t="s">
        <v>15965</v>
      </c>
      <c r="D12807" t="s">
        <v>19039</v>
      </c>
      <c r="E12807" t="s">
        <v>20445</v>
      </c>
      <c r="F12807" t="s">
        <v>32607</v>
      </c>
      <c r="G12807" t="s">
        <v>32615</v>
      </c>
      <c r="H12807" t="s">
        <v>14201</v>
      </c>
      <c r="I12807" t="s">
        <v>32654</v>
      </c>
      <c r="J12807" t="s">
        <v>40692</v>
      </c>
      <c r="K12807" t="s">
        <v>42630</v>
      </c>
      <c r="M12807" t="s">
        <v>46437</v>
      </c>
      <c r="N12807" t="s">
        <v>47304</v>
      </c>
      <c r="O12807" t="s">
        <v>47305</v>
      </c>
      <c r="P12807">
        <v>0</v>
      </c>
      <c r="Q12807">
        <v>0</v>
      </c>
      <c r="R12807" t="s">
        <v>47319</v>
      </c>
      <c r="S12807" t="s">
        <v>47813</v>
      </c>
      <c r="T12807" t="s">
        <v>49107</v>
      </c>
      <c r="U12807" t="s">
        <v>60117</v>
      </c>
      <c r="V12807" t="s">
        <v>64034</v>
      </c>
      <c r="W12807" t="s">
        <v>46437</v>
      </c>
      <c r="X12807" t="s">
        <v>47320</v>
      </c>
    </row>
    <row r="12808" spans="1:24">
      <c r="A12808">
        <f>HYPERLINK("https://www.philgeps.gov.ph/GEPSNONPILOT/Tender/SplashBidNoticeAbstractUI.aspx?menuIndex=3&amp;refID=7173896&amp;Result=3","7173896")</f>
        <v>0</v>
      </c>
      <c r="B12808" t="s">
        <v>2945</v>
      </c>
      <c r="C12808" t="s">
        <v>15966</v>
      </c>
      <c r="D12808" t="s">
        <v>19049</v>
      </c>
      <c r="E12808" t="s">
        <v>29944</v>
      </c>
      <c r="F12808" t="s">
        <v>32606</v>
      </c>
      <c r="G12808" t="s">
        <v>32613</v>
      </c>
      <c r="H12808" t="s">
        <v>14201</v>
      </c>
      <c r="I12808" t="s">
        <v>4369</v>
      </c>
      <c r="J12808" t="s">
        <v>33274</v>
      </c>
      <c r="K12808" t="s">
        <v>42631</v>
      </c>
      <c r="M12808" t="s">
        <v>46127</v>
      </c>
      <c r="N12808" t="s">
        <v>47304</v>
      </c>
      <c r="O12808" t="s">
        <v>47305</v>
      </c>
      <c r="Q12808">
        <v>6</v>
      </c>
      <c r="R12808" t="s">
        <v>47319</v>
      </c>
      <c r="S12808" t="s">
        <v>47895</v>
      </c>
      <c r="T12808" t="s">
        <v>49017</v>
      </c>
      <c r="U12808" t="s">
        <v>60118</v>
      </c>
      <c r="W12808" t="s">
        <v>46127</v>
      </c>
      <c r="X12808" t="s">
        <v>47320</v>
      </c>
    </row>
    <row r="12809" spans="1:24">
      <c r="A12809">
        <f>HYPERLINK("https://www.philgeps.gov.ph/GEPSNONPILOT/Tender/SplashBidNoticeAbstractUI.aspx?menuIndex=3&amp;refID=7173888&amp;Result=3","7173888")</f>
        <v>0</v>
      </c>
      <c r="B12809" t="s">
        <v>1698</v>
      </c>
      <c r="C12809" t="s">
        <v>15967</v>
      </c>
      <c r="E12809" t="s">
        <v>29945</v>
      </c>
      <c r="F12809" t="s">
        <v>32606</v>
      </c>
      <c r="G12809" t="s">
        <v>32613</v>
      </c>
      <c r="H12809" t="s">
        <v>32623</v>
      </c>
      <c r="I12809" t="s">
        <v>17648</v>
      </c>
      <c r="J12809" t="s">
        <v>34744</v>
      </c>
      <c r="K12809" t="s">
        <v>42624</v>
      </c>
      <c r="M12809" t="s">
        <v>44727</v>
      </c>
      <c r="N12809" t="s">
        <v>47304</v>
      </c>
      <c r="O12809" t="s">
        <v>47305</v>
      </c>
      <c r="P12809">
        <v>0</v>
      </c>
      <c r="Q12809">
        <v>5</v>
      </c>
      <c r="R12809" t="s">
        <v>47319</v>
      </c>
      <c r="S12809" t="s">
        <v>47813</v>
      </c>
      <c r="T12809" t="s">
        <v>49011</v>
      </c>
      <c r="U12809" t="s">
        <v>60119</v>
      </c>
      <c r="W12809" t="s">
        <v>44727</v>
      </c>
      <c r="X12809" t="s">
        <v>47320</v>
      </c>
    </row>
    <row r="12810" spans="1:24">
      <c r="A12810">
        <f>HYPERLINK("https://www.philgeps.gov.ph/GEPSNONPILOT/Tender/SplashBidNoticeAbstractUI.aspx?menuIndex=3&amp;refID=7173887&amp;Result=3","7173887")</f>
        <v>0</v>
      </c>
      <c r="B12810" t="s">
        <v>1893</v>
      </c>
      <c r="C12810" t="s">
        <v>15968</v>
      </c>
      <c r="D12810" t="s">
        <v>18997</v>
      </c>
      <c r="E12810" t="s">
        <v>29946</v>
      </c>
      <c r="F12810" t="s">
        <v>32606</v>
      </c>
      <c r="G12810" t="s">
        <v>32619</v>
      </c>
      <c r="H12810" t="s">
        <v>14201</v>
      </c>
      <c r="I12810" t="s">
        <v>4120</v>
      </c>
      <c r="J12810" t="s">
        <v>40693</v>
      </c>
      <c r="K12810" t="s">
        <v>42624</v>
      </c>
      <c r="M12810" t="s">
        <v>44952</v>
      </c>
      <c r="N12810" t="s">
        <v>47304</v>
      </c>
      <c r="O12810" t="s">
        <v>47305</v>
      </c>
      <c r="Q12810">
        <v>0</v>
      </c>
      <c r="R12810" t="s">
        <v>47319</v>
      </c>
      <c r="S12810" t="s">
        <v>47896</v>
      </c>
      <c r="T12810" t="s">
        <v>49002</v>
      </c>
      <c r="U12810" t="s">
        <v>60120</v>
      </c>
      <c r="W12810" t="s">
        <v>44952</v>
      </c>
      <c r="X12810" t="s">
        <v>47320</v>
      </c>
    </row>
    <row r="12811" spans="1:24">
      <c r="A12811">
        <f>HYPERLINK("https://www.philgeps.gov.ph/GEPSNONPILOT/Tender/SplashBidNoticeAbstractUI.aspx?menuIndex=3&amp;refID=7173877&amp;Result=3","7173877")</f>
        <v>0</v>
      </c>
      <c r="B12811" t="s">
        <v>1169</v>
      </c>
      <c r="C12811" t="s">
        <v>15969</v>
      </c>
      <c r="D12811" t="s">
        <v>19003</v>
      </c>
      <c r="E12811" t="s">
        <v>29947</v>
      </c>
      <c r="F12811" t="s">
        <v>32606</v>
      </c>
      <c r="G12811" t="s">
        <v>32613</v>
      </c>
      <c r="H12811" t="s">
        <v>32623</v>
      </c>
      <c r="I12811" t="s">
        <v>17648</v>
      </c>
      <c r="J12811" t="s">
        <v>40694</v>
      </c>
      <c r="K12811" t="s">
        <v>42634</v>
      </c>
      <c r="M12811" t="s">
        <v>46834</v>
      </c>
      <c r="N12811" t="s">
        <v>47304</v>
      </c>
      <c r="O12811" t="s">
        <v>47305</v>
      </c>
      <c r="Q12811">
        <v>0</v>
      </c>
      <c r="R12811" t="s">
        <v>47319</v>
      </c>
      <c r="S12811" t="s">
        <v>47897</v>
      </c>
      <c r="T12811" t="s">
        <v>49011</v>
      </c>
      <c r="U12811" t="s">
        <v>60121</v>
      </c>
      <c r="W12811" t="s">
        <v>46834</v>
      </c>
      <c r="X12811" t="s">
        <v>47320</v>
      </c>
    </row>
    <row r="12812" spans="1:24">
      <c r="A12812">
        <f>HYPERLINK("https://www.philgeps.gov.ph/GEPSNONPILOT/Tender/SplashBidNoticeAbstractUI.aspx?menuIndex=3&amp;refID=7173852&amp;Result=3","7173852")</f>
        <v>0</v>
      </c>
      <c r="B12812" t="s">
        <v>1169</v>
      </c>
      <c r="C12812" t="s">
        <v>15970</v>
      </c>
      <c r="D12812" t="s">
        <v>19003</v>
      </c>
      <c r="E12812" t="s">
        <v>29948</v>
      </c>
      <c r="F12812" t="s">
        <v>32606</v>
      </c>
      <c r="G12812" t="s">
        <v>32613</v>
      </c>
      <c r="H12812" t="s">
        <v>32623</v>
      </c>
      <c r="I12812" t="s">
        <v>17648</v>
      </c>
      <c r="J12812" t="s">
        <v>32767</v>
      </c>
      <c r="K12812" t="s">
        <v>42648</v>
      </c>
      <c r="M12812" t="s">
        <v>46834</v>
      </c>
      <c r="N12812" t="s">
        <v>47304</v>
      </c>
      <c r="O12812" t="s">
        <v>47305</v>
      </c>
      <c r="Q12812">
        <v>1</v>
      </c>
      <c r="R12812" t="s">
        <v>47319</v>
      </c>
      <c r="S12812" t="s">
        <v>47898</v>
      </c>
      <c r="T12812" t="s">
        <v>49011</v>
      </c>
      <c r="U12812" t="s">
        <v>60122</v>
      </c>
      <c r="W12812" t="s">
        <v>46834</v>
      </c>
      <c r="X12812" t="s">
        <v>47320</v>
      </c>
    </row>
    <row r="12813" spans="1:24">
      <c r="A12813">
        <f>HYPERLINK("https://www.philgeps.gov.ph/GEPSNONPILOT/Tender/SplashBidNoticeAbstractUI.aspx?menuIndex=3&amp;refID=7173843&amp;Result=3","7173843")</f>
        <v>0</v>
      </c>
      <c r="B12813" t="s">
        <v>3551</v>
      </c>
      <c r="C12813" t="s">
        <v>15971</v>
      </c>
      <c r="D12813" t="s">
        <v>19008</v>
      </c>
      <c r="E12813" t="s">
        <v>21371</v>
      </c>
      <c r="F12813" t="s">
        <v>32606</v>
      </c>
      <c r="G12813" t="s">
        <v>32613</v>
      </c>
      <c r="H12813" t="s">
        <v>14201</v>
      </c>
      <c r="I12813" t="s">
        <v>32632</v>
      </c>
      <c r="J12813" t="s">
        <v>40695</v>
      </c>
      <c r="K12813" t="s">
        <v>42623</v>
      </c>
      <c r="L12813" t="s">
        <v>3551</v>
      </c>
      <c r="M12813" t="s">
        <v>46835</v>
      </c>
      <c r="N12813" t="s">
        <v>47304</v>
      </c>
      <c r="O12813" t="s">
        <v>47305</v>
      </c>
      <c r="Q12813">
        <v>7</v>
      </c>
      <c r="R12813" t="s">
        <v>47319</v>
      </c>
      <c r="S12813" t="s">
        <v>47899</v>
      </c>
      <c r="T12813" t="s">
        <v>49075</v>
      </c>
      <c r="U12813" t="s">
        <v>60123</v>
      </c>
      <c r="W12813" t="s">
        <v>46835</v>
      </c>
      <c r="X12813" t="s">
        <v>47320</v>
      </c>
    </row>
    <row r="12814" spans="1:24">
      <c r="A12814">
        <f>HYPERLINK("https://www.philgeps.gov.ph/GEPSNONPILOT/Tender/SplashBidNoticeAbstractUI.aspx?menuIndex=3&amp;refID=7173835&amp;Result=3","7173835")</f>
        <v>0</v>
      </c>
      <c r="B12814" t="s">
        <v>2503</v>
      </c>
      <c r="C12814" t="s">
        <v>15972</v>
      </c>
      <c r="D12814" t="s">
        <v>19010</v>
      </c>
      <c r="E12814" t="s">
        <v>27168</v>
      </c>
      <c r="F12814" t="s">
        <v>32606</v>
      </c>
      <c r="G12814" t="s">
        <v>32613</v>
      </c>
      <c r="H12814" t="s">
        <v>14201</v>
      </c>
      <c r="I12814" t="s">
        <v>7064</v>
      </c>
      <c r="J12814" t="s">
        <v>32821</v>
      </c>
      <c r="K12814" t="s">
        <v>42631</v>
      </c>
      <c r="M12814" t="s">
        <v>45641</v>
      </c>
      <c r="N12814" t="s">
        <v>47304</v>
      </c>
      <c r="O12814" t="s">
        <v>47305</v>
      </c>
      <c r="P12814">
        <v>0</v>
      </c>
      <c r="Q12814">
        <v>4</v>
      </c>
      <c r="R12814" t="s">
        <v>47319</v>
      </c>
      <c r="S12814" t="s">
        <v>47813</v>
      </c>
      <c r="T12814" t="s">
        <v>48986</v>
      </c>
      <c r="U12814" t="s">
        <v>60124</v>
      </c>
      <c r="V12814" t="s">
        <v>64042</v>
      </c>
      <c r="W12814" t="s">
        <v>45641</v>
      </c>
      <c r="X12814" t="s">
        <v>47320</v>
      </c>
    </row>
    <row r="12815" spans="1:24">
      <c r="A12815">
        <f>HYPERLINK("https://www.philgeps.gov.ph/GEPSNONPILOT/Tender/SplashBidNoticeAbstractUI.aspx?menuIndex=3&amp;refID=7173921&amp;Result=3","7173921")</f>
        <v>0</v>
      </c>
      <c r="B12815" t="s">
        <v>3544</v>
      </c>
      <c r="C12815" t="s">
        <v>15973</v>
      </c>
      <c r="D12815" t="s">
        <v>19006</v>
      </c>
      <c r="E12815" t="s">
        <v>29949</v>
      </c>
      <c r="F12815" t="s">
        <v>32606</v>
      </c>
      <c r="G12815" t="s">
        <v>32613</v>
      </c>
      <c r="H12815" t="s">
        <v>32623</v>
      </c>
      <c r="I12815" t="s">
        <v>17648</v>
      </c>
      <c r="J12815" t="s">
        <v>33263</v>
      </c>
      <c r="K12815" t="s">
        <v>42631</v>
      </c>
      <c r="M12815" t="s">
        <v>46823</v>
      </c>
      <c r="N12815" t="s">
        <v>47304</v>
      </c>
      <c r="O12815" t="s">
        <v>47305</v>
      </c>
      <c r="P12815">
        <v>0</v>
      </c>
      <c r="Q12815">
        <v>0</v>
      </c>
      <c r="R12815" t="s">
        <v>47319</v>
      </c>
      <c r="S12815" t="s">
        <v>47813</v>
      </c>
      <c r="T12815" t="s">
        <v>48996</v>
      </c>
      <c r="U12815" t="s">
        <v>60125</v>
      </c>
      <c r="W12815" t="s">
        <v>46823</v>
      </c>
      <c r="X12815" t="s">
        <v>47320</v>
      </c>
    </row>
    <row r="12816" spans="1:24">
      <c r="A12816">
        <f>HYPERLINK("https://www.philgeps.gov.ph/GEPSNONPILOT/Tender/SplashBidNoticeAbstractUI.aspx?menuIndex=3&amp;refID=7173943&amp;Result=3","7173943")</f>
        <v>0</v>
      </c>
      <c r="B12816" t="s">
        <v>2709</v>
      </c>
      <c r="C12816" t="s">
        <v>15974</v>
      </c>
      <c r="D12816" t="s">
        <v>19043</v>
      </c>
      <c r="E12816" t="s">
        <v>29950</v>
      </c>
      <c r="F12816" t="s">
        <v>32606</v>
      </c>
      <c r="G12816" t="s">
        <v>32613</v>
      </c>
      <c r="H12816" t="s">
        <v>14201</v>
      </c>
      <c r="I12816" t="s">
        <v>32631</v>
      </c>
      <c r="J12816" t="s">
        <v>40696</v>
      </c>
      <c r="K12816" t="s">
        <v>42627</v>
      </c>
      <c r="M12816" t="s">
        <v>45862</v>
      </c>
      <c r="N12816" t="s">
        <v>47304</v>
      </c>
      <c r="O12816" t="s">
        <v>47305</v>
      </c>
      <c r="Q12816">
        <v>0</v>
      </c>
      <c r="R12816" t="s">
        <v>47319</v>
      </c>
      <c r="S12816" t="s">
        <v>47900</v>
      </c>
      <c r="T12816" t="s">
        <v>48971</v>
      </c>
      <c r="U12816" t="s">
        <v>60126</v>
      </c>
      <c r="V12816" t="s">
        <v>63545</v>
      </c>
      <c r="W12816" t="s">
        <v>45862</v>
      </c>
      <c r="X12816" t="s">
        <v>47320</v>
      </c>
    </row>
    <row r="12817" spans="1:24">
      <c r="A12817">
        <f>HYPERLINK("https://www.philgeps.gov.ph/GEPSNONPILOT/Tender/SplashBidNoticeAbstractUI.aspx?menuIndex=3&amp;refID=7174018&amp;Result=3","7174018")</f>
        <v>0</v>
      </c>
      <c r="B12817" t="s">
        <v>3552</v>
      </c>
      <c r="C12817" t="s">
        <v>15975</v>
      </c>
      <c r="D12817" t="s">
        <v>19016</v>
      </c>
      <c r="E12817" t="s">
        <v>29951</v>
      </c>
      <c r="F12817" t="s">
        <v>32606</v>
      </c>
      <c r="G12817" t="s">
        <v>32613</v>
      </c>
      <c r="H12817" t="s">
        <v>14201</v>
      </c>
      <c r="I12817" t="s">
        <v>4114</v>
      </c>
      <c r="J12817" t="s">
        <v>40697</v>
      </c>
      <c r="K12817" t="s">
        <v>42639</v>
      </c>
      <c r="M12817" t="s">
        <v>46836</v>
      </c>
      <c r="N12817" t="s">
        <v>47304</v>
      </c>
      <c r="O12817" t="s">
        <v>47305</v>
      </c>
      <c r="P12817">
        <v>0</v>
      </c>
      <c r="Q12817">
        <v>5</v>
      </c>
      <c r="R12817" t="s">
        <v>47319</v>
      </c>
      <c r="S12817" t="s">
        <v>47813</v>
      </c>
      <c r="T12817" t="s">
        <v>49184</v>
      </c>
      <c r="U12817" t="s">
        <v>60127</v>
      </c>
      <c r="W12817" t="s">
        <v>46836</v>
      </c>
      <c r="X12817" t="s">
        <v>47320</v>
      </c>
    </row>
    <row r="12818" spans="1:24">
      <c r="A12818">
        <f>HYPERLINK("https://www.philgeps.gov.ph/GEPSNONPILOT/Tender/SplashBidNoticeAbstractUI.aspx?menuIndex=3&amp;refID=7173677&amp;Result=3","7173677")</f>
        <v>0</v>
      </c>
      <c r="B12818" t="s">
        <v>1263</v>
      </c>
      <c r="C12818" t="s">
        <v>15976</v>
      </c>
      <c r="D12818" t="s">
        <v>19010</v>
      </c>
      <c r="E12818" t="s">
        <v>29952</v>
      </c>
      <c r="F12818" t="s">
        <v>32606</v>
      </c>
      <c r="G12818" t="s">
        <v>32613</v>
      </c>
      <c r="H12818" t="s">
        <v>14201</v>
      </c>
      <c r="I12818" t="s">
        <v>32633</v>
      </c>
      <c r="J12818" t="s">
        <v>40698</v>
      </c>
      <c r="K12818" t="s">
        <v>42631</v>
      </c>
      <c r="M12818" t="s">
        <v>44231</v>
      </c>
      <c r="N12818" t="s">
        <v>47304</v>
      </c>
      <c r="O12818" t="s">
        <v>47305</v>
      </c>
      <c r="Q12818">
        <v>7</v>
      </c>
      <c r="R12818" t="s">
        <v>47319</v>
      </c>
      <c r="S12818" t="s">
        <v>47901</v>
      </c>
      <c r="T12818" t="s">
        <v>49478</v>
      </c>
      <c r="U12818" t="s">
        <v>60128</v>
      </c>
      <c r="W12818" t="s">
        <v>44231</v>
      </c>
      <c r="X12818" t="s">
        <v>47320</v>
      </c>
    </row>
    <row r="12819" spans="1:24">
      <c r="A12819">
        <f>HYPERLINK("https://www.philgeps.gov.ph/GEPSNONPILOT/Tender/SplashBidNoticeAbstractUI.aspx?menuIndex=3&amp;refID=7174009&amp;Result=3","7174009")</f>
        <v>0</v>
      </c>
      <c r="B12819" t="s">
        <v>2748</v>
      </c>
      <c r="C12819" t="s">
        <v>15977</v>
      </c>
      <c r="D12819" t="s">
        <v>19018</v>
      </c>
      <c r="E12819" t="s">
        <v>29953</v>
      </c>
      <c r="F12819" t="s">
        <v>32606</v>
      </c>
      <c r="G12819" t="s">
        <v>32613</v>
      </c>
      <c r="H12819" t="s">
        <v>14201</v>
      </c>
      <c r="I12819" t="s">
        <v>32655</v>
      </c>
      <c r="J12819" t="s">
        <v>33650</v>
      </c>
      <c r="K12819" t="s">
        <v>42623</v>
      </c>
      <c r="L12819" t="s">
        <v>2748</v>
      </c>
      <c r="M12819" t="s">
        <v>45904</v>
      </c>
      <c r="N12819" t="s">
        <v>47304</v>
      </c>
      <c r="O12819" t="s">
        <v>47305</v>
      </c>
      <c r="P12819">
        <v>0</v>
      </c>
      <c r="Q12819">
        <v>7</v>
      </c>
      <c r="R12819" t="s">
        <v>47319</v>
      </c>
      <c r="S12819" t="s">
        <v>47813</v>
      </c>
      <c r="T12819" t="s">
        <v>48996</v>
      </c>
      <c r="U12819" t="s">
        <v>60129</v>
      </c>
      <c r="W12819" t="s">
        <v>45904</v>
      </c>
      <c r="X12819" t="s">
        <v>47320</v>
      </c>
    </row>
    <row r="12820" spans="1:24">
      <c r="A12820">
        <f>HYPERLINK("https://www.philgeps.gov.ph/GEPSNONPILOT/Tender/SplashBidNoticeAbstractUI.aspx?menuIndex=3&amp;refID=7173999&amp;Result=3","7173999")</f>
        <v>0</v>
      </c>
      <c r="B12820" t="s">
        <v>1393</v>
      </c>
      <c r="C12820" t="s">
        <v>15978</v>
      </c>
      <c r="D12820" t="s">
        <v>18993</v>
      </c>
      <c r="E12820" t="s">
        <v>29954</v>
      </c>
      <c r="F12820" t="s">
        <v>32606</v>
      </c>
      <c r="G12820" t="s">
        <v>32613</v>
      </c>
      <c r="H12820" t="s">
        <v>32623</v>
      </c>
      <c r="I12820" t="s">
        <v>17648</v>
      </c>
      <c r="J12820" t="s">
        <v>40699</v>
      </c>
      <c r="K12820" t="s">
        <v>42645</v>
      </c>
      <c r="M12820" t="s">
        <v>46833</v>
      </c>
      <c r="N12820" t="s">
        <v>47304</v>
      </c>
      <c r="O12820" t="s">
        <v>47305</v>
      </c>
      <c r="P12820">
        <v>0</v>
      </c>
      <c r="Q12820">
        <v>58</v>
      </c>
      <c r="R12820" t="s">
        <v>47319</v>
      </c>
      <c r="S12820" t="s">
        <v>47813</v>
      </c>
      <c r="T12820" t="s">
        <v>49104</v>
      </c>
      <c r="U12820" t="s">
        <v>60130</v>
      </c>
      <c r="W12820" t="s">
        <v>46833</v>
      </c>
      <c r="X12820" t="s">
        <v>47320</v>
      </c>
    </row>
    <row r="12821" spans="1:24">
      <c r="A12821">
        <f>HYPERLINK("https://www.philgeps.gov.ph/GEPSNONPILOT/Tender/SplashBidNoticeAbstractUI.aspx?menuIndex=3&amp;refID=7173988&amp;Result=3","7173988")</f>
        <v>0</v>
      </c>
      <c r="B12821" t="s">
        <v>1393</v>
      </c>
      <c r="C12821" t="s">
        <v>15979</v>
      </c>
      <c r="D12821" t="s">
        <v>18993</v>
      </c>
      <c r="E12821" t="s">
        <v>29955</v>
      </c>
      <c r="F12821" t="s">
        <v>32606</v>
      </c>
      <c r="G12821" t="s">
        <v>32613</v>
      </c>
      <c r="H12821" t="s">
        <v>32623</v>
      </c>
      <c r="I12821" t="s">
        <v>17648</v>
      </c>
      <c r="J12821" t="s">
        <v>40700</v>
      </c>
      <c r="K12821" t="s">
        <v>42712</v>
      </c>
      <c r="M12821" t="s">
        <v>46833</v>
      </c>
      <c r="N12821" t="s">
        <v>47304</v>
      </c>
      <c r="O12821" t="s">
        <v>47305</v>
      </c>
      <c r="P12821">
        <v>0</v>
      </c>
      <c r="Q12821">
        <v>59</v>
      </c>
      <c r="R12821" t="s">
        <v>47319</v>
      </c>
      <c r="S12821" t="s">
        <v>47813</v>
      </c>
      <c r="T12821" t="s">
        <v>49104</v>
      </c>
      <c r="U12821" t="s">
        <v>60131</v>
      </c>
      <c r="W12821" t="s">
        <v>46833</v>
      </c>
      <c r="X12821" t="s">
        <v>47320</v>
      </c>
    </row>
    <row r="12822" spans="1:24">
      <c r="A12822">
        <f>HYPERLINK("https://www.philgeps.gov.ph/GEPSNONPILOT/Tender/SplashBidNoticeAbstractUI.aspx?menuIndex=3&amp;refID=7173670&amp;Result=3","7173670")</f>
        <v>0</v>
      </c>
      <c r="B12822" t="s">
        <v>3553</v>
      </c>
      <c r="C12822" t="s">
        <v>15980</v>
      </c>
      <c r="D12822" t="s">
        <v>19044</v>
      </c>
      <c r="E12822" t="s">
        <v>29956</v>
      </c>
      <c r="F12822" t="s">
        <v>32606</v>
      </c>
      <c r="G12822" t="s">
        <v>32613</v>
      </c>
      <c r="H12822" t="s">
        <v>32623</v>
      </c>
      <c r="I12822" t="s">
        <v>17648</v>
      </c>
      <c r="J12822" t="s">
        <v>40701</v>
      </c>
      <c r="K12822" t="s">
        <v>42768</v>
      </c>
      <c r="L12822" t="s">
        <v>3553</v>
      </c>
      <c r="M12822" t="s">
        <v>46837</v>
      </c>
      <c r="N12822" t="s">
        <v>47304</v>
      </c>
      <c r="O12822" t="s">
        <v>47305</v>
      </c>
      <c r="P12822">
        <v>0</v>
      </c>
      <c r="Q12822">
        <v>0</v>
      </c>
      <c r="R12822" t="s">
        <v>47319</v>
      </c>
      <c r="S12822" t="s">
        <v>47813</v>
      </c>
      <c r="T12822" t="s">
        <v>49107</v>
      </c>
      <c r="U12822" t="s">
        <v>60132</v>
      </c>
      <c r="V12822" t="s">
        <v>64043</v>
      </c>
      <c r="W12822" t="s">
        <v>46837</v>
      </c>
      <c r="X12822" t="s">
        <v>47320</v>
      </c>
    </row>
    <row r="12823" spans="1:24">
      <c r="A12823">
        <f>HYPERLINK("https://www.philgeps.gov.ph/GEPSNONPILOT/Tender/SplashBidNoticeAbstractUI.aspx?menuIndex=3&amp;refID=7173979&amp;Result=3","7173979")</f>
        <v>0</v>
      </c>
      <c r="B12823" t="s">
        <v>2748</v>
      </c>
      <c r="C12823" t="s">
        <v>15981</v>
      </c>
      <c r="D12823" t="s">
        <v>19018</v>
      </c>
      <c r="E12823" t="s">
        <v>29957</v>
      </c>
      <c r="F12823" t="s">
        <v>32606</v>
      </c>
      <c r="G12823" t="s">
        <v>32613</v>
      </c>
      <c r="H12823" t="s">
        <v>14201</v>
      </c>
      <c r="I12823" t="s">
        <v>4678</v>
      </c>
      <c r="J12823" t="s">
        <v>33251</v>
      </c>
      <c r="K12823" t="s">
        <v>42623</v>
      </c>
      <c r="L12823" t="s">
        <v>2748</v>
      </c>
      <c r="M12823" t="s">
        <v>45904</v>
      </c>
      <c r="N12823" t="s">
        <v>47304</v>
      </c>
      <c r="O12823" t="s">
        <v>47305</v>
      </c>
      <c r="P12823">
        <v>0</v>
      </c>
      <c r="Q12823">
        <v>4</v>
      </c>
      <c r="R12823" t="s">
        <v>47319</v>
      </c>
      <c r="S12823" t="s">
        <v>47813</v>
      </c>
      <c r="T12823" t="s">
        <v>48996</v>
      </c>
      <c r="U12823" t="s">
        <v>60133</v>
      </c>
      <c r="W12823" t="s">
        <v>45904</v>
      </c>
      <c r="X12823" t="s">
        <v>47320</v>
      </c>
    </row>
    <row r="12824" spans="1:24">
      <c r="A12824">
        <f>HYPERLINK("https://www.philgeps.gov.ph/GEPSNONPILOT/Tender/SplashBidNoticeAbstractUI.aspx?menuIndex=3&amp;refID=7173973&amp;Result=3","7173973")</f>
        <v>0</v>
      </c>
      <c r="B12824" t="s">
        <v>1393</v>
      </c>
      <c r="C12824" t="s">
        <v>15982</v>
      </c>
      <c r="D12824" t="s">
        <v>18993</v>
      </c>
      <c r="E12824" t="s">
        <v>29958</v>
      </c>
      <c r="F12824" t="s">
        <v>32606</v>
      </c>
      <c r="G12824" t="s">
        <v>32613</v>
      </c>
      <c r="H12824" t="s">
        <v>32623</v>
      </c>
      <c r="I12824" t="s">
        <v>17648</v>
      </c>
      <c r="J12824" t="s">
        <v>40702</v>
      </c>
      <c r="K12824" t="s">
        <v>42645</v>
      </c>
      <c r="M12824" t="s">
        <v>46833</v>
      </c>
      <c r="N12824" t="s">
        <v>47304</v>
      </c>
      <c r="O12824" t="s">
        <v>47305</v>
      </c>
      <c r="P12824">
        <v>0</v>
      </c>
      <c r="Q12824">
        <v>60</v>
      </c>
      <c r="R12824" t="s">
        <v>47319</v>
      </c>
      <c r="S12824" t="s">
        <v>47813</v>
      </c>
      <c r="T12824" t="s">
        <v>49104</v>
      </c>
      <c r="U12824" t="s">
        <v>60134</v>
      </c>
      <c r="W12824" t="s">
        <v>46833</v>
      </c>
      <c r="X12824" t="s">
        <v>47320</v>
      </c>
    </row>
    <row r="12825" spans="1:24">
      <c r="A12825">
        <f>HYPERLINK("https://www.philgeps.gov.ph/GEPSNONPILOT/Tender/SplashBidNoticeAbstractUI.aspx?menuIndex=3&amp;refID=7173982&amp;Result=3","7173982")</f>
        <v>0</v>
      </c>
      <c r="B12825" t="s">
        <v>1086</v>
      </c>
      <c r="C12825" t="s">
        <v>15983</v>
      </c>
      <c r="E12825" t="s">
        <v>29959</v>
      </c>
      <c r="F12825" t="s">
        <v>32606</v>
      </c>
      <c r="G12825" t="s">
        <v>32613</v>
      </c>
      <c r="H12825" t="s">
        <v>14201</v>
      </c>
      <c r="I12825" t="s">
        <v>32654</v>
      </c>
      <c r="J12825" t="s">
        <v>40703</v>
      </c>
      <c r="K12825" t="s">
        <v>42624</v>
      </c>
      <c r="M12825" t="s">
        <v>44041</v>
      </c>
      <c r="N12825" t="s">
        <v>47304</v>
      </c>
      <c r="O12825" t="s">
        <v>47305</v>
      </c>
      <c r="Q12825">
        <v>3</v>
      </c>
      <c r="R12825" t="s">
        <v>47319</v>
      </c>
      <c r="S12825" t="s">
        <v>47902</v>
      </c>
      <c r="T12825" t="s">
        <v>48971</v>
      </c>
      <c r="U12825" t="s">
        <v>60135</v>
      </c>
      <c r="W12825" t="s">
        <v>44041</v>
      </c>
      <c r="X12825" t="s">
        <v>47320</v>
      </c>
    </row>
    <row r="12826" spans="1:24">
      <c r="A12826">
        <f>HYPERLINK("https://www.philgeps.gov.ph/GEPSNONPILOT/Tender/SplashBidNoticeAbstractUI.aspx?menuIndex=3&amp;refID=7173970&amp;Result=3","7173970")</f>
        <v>0</v>
      </c>
      <c r="B12826" t="s">
        <v>173</v>
      </c>
      <c r="C12826" t="s">
        <v>15984</v>
      </c>
      <c r="E12826" t="s">
        <v>29960</v>
      </c>
      <c r="F12826" t="s">
        <v>32606</v>
      </c>
      <c r="G12826" t="s">
        <v>32613</v>
      </c>
      <c r="H12826" t="s">
        <v>32623</v>
      </c>
      <c r="I12826" t="s">
        <v>17648</v>
      </c>
      <c r="J12826" t="s">
        <v>40704</v>
      </c>
      <c r="K12826" t="s">
        <v>42624</v>
      </c>
      <c r="M12826" t="s">
        <v>43074</v>
      </c>
      <c r="N12826" t="s">
        <v>47304</v>
      </c>
      <c r="O12826" t="s">
        <v>47305</v>
      </c>
      <c r="Q12826">
        <v>1</v>
      </c>
      <c r="R12826" t="s">
        <v>47319</v>
      </c>
      <c r="S12826" t="s">
        <v>47903</v>
      </c>
      <c r="T12826" t="s">
        <v>49099</v>
      </c>
      <c r="U12826" t="s">
        <v>60136</v>
      </c>
      <c r="W12826" t="s">
        <v>43074</v>
      </c>
      <c r="X12826" t="s">
        <v>47320</v>
      </c>
    </row>
    <row r="12827" spans="1:24">
      <c r="A12827">
        <f>HYPERLINK("https://www.philgeps.gov.ph/GEPSNONPILOT/Tender/SplashBidNoticeAbstractUI.aspx?menuIndex=3&amp;refID=7173975&amp;Result=3","7173975")</f>
        <v>0</v>
      </c>
      <c r="B12827" t="s">
        <v>173</v>
      </c>
      <c r="C12827" t="s">
        <v>15985</v>
      </c>
      <c r="E12827" t="s">
        <v>29961</v>
      </c>
      <c r="F12827" t="s">
        <v>32606</v>
      </c>
      <c r="G12827" t="s">
        <v>32613</v>
      </c>
      <c r="H12827" t="s">
        <v>32623</v>
      </c>
      <c r="I12827" t="s">
        <v>17648</v>
      </c>
      <c r="J12827" t="s">
        <v>40705</v>
      </c>
      <c r="K12827" t="s">
        <v>42624</v>
      </c>
      <c r="M12827" t="s">
        <v>43074</v>
      </c>
      <c r="N12827" t="s">
        <v>47304</v>
      </c>
      <c r="O12827" t="s">
        <v>47305</v>
      </c>
      <c r="Q12827">
        <v>0</v>
      </c>
      <c r="R12827" t="s">
        <v>47319</v>
      </c>
      <c r="S12827" t="s">
        <v>47904</v>
      </c>
      <c r="T12827" t="s">
        <v>49099</v>
      </c>
      <c r="U12827" t="s">
        <v>60137</v>
      </c>
      <c r="W12827" t="s">
        <v>43074</v>
      </c>
      <c r="X12827" t="s">
        <v>47320</v>
      </c>
    </row>
    <row r="12828" spans="1:24">
      <c r="A12828">
        <f>HYPERLINK("https://www.philgeps.gov.ph/GEPSNONPILOT/Tender/SplashBidNoticeAbstractUI.aspx?menuIndex=3&amp;refID=7174005&amp;Result=3","7174005")</f>
        <v>0</v>
      </c>
      <c r="B12828" t="s">
        <v>2755</v>
      </c>
      <c r="C12828" t="s">
        <v>15986</v>
      </c>
      <c r="D12828" t="s">
        <v>19024</v>
      </c>
      <c r="E12828" t="s">
        <v>29962</v>
      </c>
      <c r="F12828" t="s">
        <v>32606</v>
      </c>
      <c r="G12828" t="s">
        <v>32613</v>
      </c>
      <c r="H12828" t="s">
        <v>14201</v>
      </c>
      <c r="I12828" t="s">
        <v>7064</v>
      </c>
      <c r="J12828" t="s">
        <v>36686</v>
      </c>
      <c r="K12828" t="s">
        <v>42624</v>
      </c>
      <c r="M12828" t="s">
        <v>45913</v>
      </c>
      <c r="N12828" t="s">
        <v>47304</v>
      </c>
      <c r="O12828" t="s">
        <v>47305</v>
      </c>
      <c r="P12828">
        <v>0</v>
      </c>
      <c r="Q12828">
        <v>6</v>
      </c>
      <c r="R12828" t="s">
        <v>47319</v>
      </c>
      <c r="S12828" t="s">
        <v>47813</v>
      </c>
      <c r="T12828" t="s">
        <v>48992</v>
      </c>
      <c r="U12828" t="s">
        <v>60138</v>
      </c>
      <c r="W12828" t="s">
        <v>45913</v>
      </c>
      <c r="X12828" t="s">
        <v>47320</v>
      </c>
    </row>
    <row r="12829" spans="1:24">
      <c r="A12829">
        <f>HYPERLINK("https://www.philgeps.gov.ph/GEPSNONPILOT/Tender/SplashBidNoticeAbstractUI.aspx?menuIndex=3&amp;refID=7173962&amp;Result=3","7173962")</f>
        <v>0</v>
      </c>
      <c r="B12829" t="s">
        <v>1086</v>
      </c>
      <c r="C12829" t="s">
        <v>15987</v>
      </c>
      <c r="E12829" t="s">
        <v>29963</v>
      </c>
      <c r="F12829" t="s">
        <v>32606</v>
      </c>
      <c r="G12829" t="s">
        <v>32613</v>
      </c>
      <c r="H12829" t="s">
        <v>14201</v>
      </c>
      <c r="I12829" t="s">
        <v>32650</v>
      </c>
      <c r="J12829" t="s">
        <v>40706</v>
      </c>
      <c r="K12829" t="s">
        <v>42624</v>
      </c>
      <c r="M12829" t="s">
        <v>44041</v>
      </c>
      <c r="N12829" t="s">
        <v>47304</v>
      </c>
      <c r="O12829" t="s">
        <v>47305</v>
      </c>
      <c r="Q12829">
        <v>0</v>
      </c>
      <c r="R12829" t="s">
        <v>47319</v>
      </c>
      <c r="S12829" t="s">
        <v>47905</v>
      </c>
      <c r="T12829" t="s">
        <v>48971</v>
      </c>
      <c r="U12829" t="s">
        <v>60139</v>
      </c>
      <c r="W12829" t="s">
        <v>44041</v>
      </c>
      <c r="X12829" t="s">
        <v>47320</v>
      </c>
    </row>
    <row r="12830" spans="1:24">
      <c r="A12830">
        <f>HYPERLINK("https://www.philgeps.gov.ph/GEPSNONPILOT/Tender/SplashBidNoticeAbstractUI.aspx?menuIndex=3&amp;refID=7173856&amp;Result=3","7173856")</f>
        <v>0</v>
      </c>
      <c r="B12830" t="s">
        <v>3554</v>
      </c>
      <c r="C12830" t="s">
        <v>15988</v>
      </c>
      <c r="D12830" t="s">
        <v>18993</v>
      </c>
      <c r="E12830" t="s">
        <v>29964</v>
      </c>
      <c r="F12830" t="s">
        <v>32606</v>
      </c>
      <c r="G12830" t="s">
        <v>32613</v>
      </c>
      <c r="H12830" t="s">
        <v>32623</v>
      </c>
      <c r="I12830" t="s">
        <v>17648</v>
      </c>
      <c r="J12830" t="s">
        <v>40707</v>
      </c>
      <c r="K12830" t="s">
        <v>42631</v>
      </c>
      <c r="M12830" t="s">
        <v>46838</v>
      </c>
      <c r="N12830" t="s">
        <v>47304</v>
      </c>
      <c r="O12830" t="s">
        <v>47305</v>
      </c>
      <c r="Q12830">
        <v>12</v>
      </c>
      <c r="R12830" t="s">
        <v>47319</v>
      </c>
      <c r="S12830" t="s">
        <v>47906</v>
      </c>
      <c r="T12830" t="s">
        <v>49160</v>
      </c>
      <c r="U12830" t="s">
        <v>60140</v>
      </c>
      <c r="W12830" t="s">
        <v>64543</v>
      </c>
      <c r="X12830" t="s">
        <v>47320</v>
      </c>
    </row>
    <row r="12831" spans="1:24">
      <c r="A12831">
        <f>HYPERLINK("https://www.philgeps.gov.ph/GEPSNONPILOT/Tender/SplashBidNoticeAbstractUI.aspx?menuIndex=3&amp;refID=7173961&amp;Result=3","7173961")</f>
        <v>0</v>
      </c>
      <c r="B12831" t="s">
        <v>1393</v>
      </c>
      <c r="C12831" t="s">
        <v>15989</v>
      </c>
      <c r="D12831" t="s">
        <v>18993</v>
      </c>
      <c r="E12831" t="s">
        <v>29965</v>
      </c>
      <c r="F12831" t="s">
        <v>32606</v>
      </c>
      <c r="G12831" t="s">
        <v>32613</v>
      </c>
      <c r="H12831" t="s">
        <v>32623</v>
      </c>
      <c r="I12831" t="s">
        <v>17648</v>
      </c>
      <c r="J12831" t="s">
        <v>40708</v>
      </c>
      <c r="K12831" t="s">
        <v>42646</v>
      </c>
      <c r="M12831" t="s">
        <v>46833</v>
      </c>
      <c r="N12831" t="s">
        <v>47304</v>
      </c>
      <c r="O12831" t="s">
        <v>47305</v>
      </c>
      <c r="P12831">
        <v>0</v>
      </c>
      <c r="Q12831">
        <v>58</v>
      </c>
      <c r="R12831" t="s">
        <v>47319</v>
      </c>
      <c r="S12831" t="s">
        <v>47813</v>
      </c>
      <c r="T12831" t="s">
        <v>49104</v>
      </c>
      <c r="U12831" t="s">
        <v>60141</v>
      </c>
      <c r="W12831" t="s">
        <v>46833</v>
      </c>
      <c r="X12831" t="s">
        <v>47320</v>
      </c>
    </row>
    <row r="12832" spans="1:24">
      <c r="A12832">
        <f>HYPERLINK("https://www.philgeps.gov.ph/GEPSNONPILOT/Tender/SplashBidNoticeAbstractUI.aspx?menuIndex=3&amp;refID=7173957&amp;Result=3","7173957")</f>
        <v>0</v>
      </c>
      <c r="B12832" t="s">
        <v>3555</v>
      </c>
      <c r="C12832" t="s">
        <v>15990</v>
      </c>
      <c r="D12832" t="s">
        <v>19025</v>
      </c>
      <c r="E12832" t="s">
        <v>29966</v>
      </c>
      <c r="F12832" t="s">
        <v>32606</v>
      </c>
      <c r="G12832" t="s">
        <v>32613</v>
      </c>
      <c r="H12832" t="s">
        <v>14201</v>
      </c>
      <c r="I12832" t="s">
        <v>7064</v>
      </c>
      <c r="J12832" t="s">
        <v>40563</v>
      </c>
      <c r="K12832" t="s">
        <v>42646</v>
      </c>
      <c r="M12832" t="s">
        <v>46839</v>
      </c>
      <c r="N12832" t="s">
        <v>47304</v>
      </c>
      <c r="O12832" t="s">
        <v>47305</v>
      </c>
      <c r="Q12832">
        <v>4</v>
      </c>
      <c r="R12832" t="s">
        <v>47319</v>
      </c>
      <c r="S12832" t="s">
        <v>47907</v>
      </c>
      <c r="T12832" t="s">
        <v>49219</v>
      </c>
      <c r="U12832" t="s">
        <v>60142</v>
      </c>
      <c r="W12832" t="s">
        <v>46839</v>
      </c>
      <c r="X12832" t="s">
        <v>47320</v>
      </c>
    </row>
    <row r="12833" spans="1:24">
      <c r="A12833">
        <f>HYPERLINK("https://www.philgeps.gov.ph/GEPSNONPILOT/Tender/SplashBidNoticeAbstractUI.aspx?menuIndex=3&amp;refID=7173966&amp;Result=3","7173966")</f>
        <v>0</v>
      </c>
      <c r="B12833" t="s">
        <v>3556</v>
      </c>
      <c r="C12833" t="s">
        <v>15991</v>
      </c>
      <c r="E12833" t="s">
        <v>29967</v>
      </c>
      <c r="F12833" t="s">
        <v>32606</v>
      </c>
      <c r="G12833" t="s">
        <v>32613</v>
      </c>
      <c r="H12833" t="s">
        <v>32623</v>
      </c>
      <c r="I12833" t="s">
        <v>17648</v>
      </c>
      <c r="J12833" t="s">
        <v>32789</v>
      </c>
      <c r="K12833" t="s">
        <v>42631</v>
      </c>
      <c r="M12833" t="s">
        <v>46840</v>
      </c>
      <c r="N12833" t="s">
        <v>47304</v>
      </c>
      <c r="O12833" t="s">
        <v>47305</v>
      </c>
      <c r="P12833">
        <v>0</v>
      </c>
      <c r="Q12833">
        <v>0</v>
      </c>
      <c r="R12833" t="s">
        <v>47319</v>
      </c>
      <c r="S12833" t="s">
        <v>47813</v>
      </c>
      <c r="T12833" t="s">
        <v>48972</v>
      </c>
      <c r="U12833" t="s">
        <v>60143</v>
      </c>
      <c r="W12833" t="s">
        <v>46840</v>
      </c>
      <c r="X12833" t="s">
        <v>47320</v>
      </c>
    </row>
    <row r="12834" spans="1:24">
      <c r="A12834">
        <f>HYPERLINK("https://www.philgeps.gov.ph/GEPSNONPILOT/Tender/SplashBidNoticeAbstractUI.aspx?menuIndex=3&amp;refID=7174094&amp;Result=3","7174094")</f>
        <v>0</v>
      </c>
      <c r="B12834" t="s">
        <v>1156</v>
      </c>
      <c r="C12834" t="s">
        <v>15992</v>
      </c>
      <c r="D12834" t="s">
        <v>19041</v>
      </c>
      <c r="E12834" t="s">
        <v>29968</v>
      </c>
      <c r="F12834" t="s">
        <v>32606</v>
      </c>
      <c r="G12834" t="s">
        <v>32613</v>
      </c>
      <c r="H12834" t="s">
        <v>32623</v>
      </c>
      <c r="I12834" t="s">
        <v>17648</v>
      </c>
      <c r="J12834" t="s">
        <v>40709</v>
      </c>
      <c r="K12834" t="s">
        <v>42646</v>
      </c>
      <c r="M12834" t="s">
        <v>44119</v>
      </c>
      <c r="N12834" t="s">
        <v>47304</v>
      </c>
      <c r="O12834" t="s">
        <v>47305</v>
      </c>
      <c r="Q12834">
        <v>13</v>
      </c>
      <c r="R12834" t="s">
        <v>47319</v>
      </c>
      <c r="S12834" t="s">
        <v>47908</v>
      </c>
      <c r="T12834" t="s">
        <v>49023</v>
      </c>
      <c r="U12834" t="s">
        <v>60144</v>
      </c>
      <c r="V12834" t="s">
        <v>64044</v>
      </c>
      <c r="W12834" t="s">
        <v>44119</v>
      </c>
      <c r="X12834" t="s">
        <v>47320</v>
      </c>
    </row>
    <row r="12835" spans="1:24">
      <c r="A12835">
        <f>HYPERLINK("https://www.philgeps.gov.ph/GEPSNONPILOT/Tender/SplashBidNoticeAbstractUI.aspx?menuIndex=3&amp;refID=7174086&amp;Result=3","7174086")</f>
        <v>0</v>
      </c>
      <c r="B12835" t="s">
        <v>3557</v>
      </c>
      <c r="C12835" t="s">
        <v>15993</v>
      </c>
      <c r="D12835" t="s">
        <v>19061</v>
      </c>
      <c r="E12835" t="s">
        <v>29969</v>
      </c>
      <c r="F12835" t="s">
        <v>32606</v>
      </c>
      <c r="G12835" t="s">
        <v>32613</v>
      </c>
      <c r="H12835" t="s">
        <v>32623</v>
      </c>
      <c r="I12835" t="s">
        <v>17648</v>
      </c>
      <c r="J12835" t="s">
        <v>40710</v>
      </c>
      <c r="K12835" t="s">
        <v>42636</v>
      </c>
      <c r="M12835" t="s">
        <v>46841</v>
      </c>
      <c r="N12835" t="s">
        <v>47304</v>
      </c>
      <c r="O12835" t="s">
        <v>47305</v>
      </c>
      <c r="P12835">
        <v>0</v>
      </c>
      <c r="Q12835">
        <v>2</v>
      </c>
      <c r="R12835" t="s">
        <v>47319</v>
      </c>
      <c r="S12835" t="s">
        <v>47813</v>
      </c>
      <c r="T12835" t="s">
        <v>48986</v>
      </c>
      <c r="U12835" t="s">
        <v>60145</v>
      </c>
      <c r="W12835" t="s">
        <v>46841</v>
      </c>
      <c r="X12835" t="s">
        <v>47320</v>
      </c>
    </row>
    <row r="12836" spans="1:24">
      <c r="A12836">
        <f>HYPERLINK("https://www.philgeps.gov.ph/GEPSNONPILOT/Tender/SplashBidNoticeAbstractUI.aspx?menuIndex=3&amp;refID=7174087&amp;Result=3","7174087")</f>
        <v>0</v>
      </c>
      <c r="B12836" t="s">
        <v>1156</v>
      </c>
      <c r="C12836" t="s">
        <v>15994</v>
      </c>
      <c r="D12836" t="s">
        <v>19041</v>
      </c>
      <c r="E12836" t="s">
        <v>29970</v>
      </c>
      <c r="F12836" t="s">
        <v>32606</v>
      </c>
      <c r="G12836" t="s">
        <v>32613</v>
      </c>
      <c r="H12836" t="s">
        <v>32623</v>
      </c>
      <c r="I12836" t="s">
        <v>17648</v>
      </c>
      <c r="J12836" t="s">
        <v>40711</v>
      </c>
      <c r="K12836" t="s">
        <v>42631</v>
      </c>
      <c r="M12836" t="s">
        <v>44119</v>
      </c>
      <c r="N12836" t="s">
        <v>47304</v>
      </c>
      <c r="O12836" t="s">
        <v>47305</v>
      </c>
      <c r="Q12836">
        <v>0</v>
      </c>
      <c r="R12836" t="s">
        <v>47319</v>
      </c>
      <c r="S12836" t="s">
        <v>47909</v>
      </c>
      <c r="T12836" t="s">
        <v>49023</v>
      </c>
      <c r="U12836" t="s">
        <v>60146</v>
      </c>
      <c r="V12836" t="s">
        <v>64045</v>
      </c>
      <c r="W12836" t="s">
        <v>44119</v>
      </c>
      <c r="X12836" t="s">
        <v>47320</v>
      </c>
    </row>
    <row r="12837" spans="1:24">
      <c r="A12837">
        <f>HYPERLINK("https://www.philgeps.gov.ph/GEPSNONPILOT/Tender/SplashBidNoticeAbstractUI.aspx?menuIndex=3&amp;refID=7174006&amp;Result=3","7174006")</f>
        <v>0</v>
      </c>
      <c r="B12837" t="s">
        <v>1393</v>
      </c>
      <c r="C12837" t="s">
        <v>15995</v>
      </c>
      <c r="D12837" t="s">
        <v>18993</v>
      </c>
      <c r="E12837" t="s">
        <v>29971</v>
      </c>
      <c r="F12837" t="s">
        <v>32606</v>
      </c>
      <c r="G12837" t="s">
        <v>32613</v>
      </c>
      <c r="H12837" t="s">
        <v>32623</v>
      </c>
      <c r="I12837" t="s">
        <v>17648</v>
      </c>
      <c r="J12837" t="s">
        <v>40712</v>
      </c>
      <c r="K12837" t="s">
        <v>42646</v>
      </c>
      <c r="M12837" t="s">
        <v>46833</v>
      </c>
      <c r="N12837" t="s">
        <v>47304</v>
      </c>
      <c r="O12837" t="s">
        <v>47305</v>
      </c>
      <c r="P12837">
        <v>0</v>
      </c>
      <c r="Q12837">
        <v>59</v>
      </c>
      <c r="R12837" t="s">
        <v>47319</v>
      </c>
      <c r="S12837" t="s">
        <v>47813</v>
      </c>
      <c r="T12837" t="s">
        <v>49104</v>
      </c>
      <c r="U12837" t="s">
        <v>60147</v>
      </c>
      <c r="W12837" t="s">
        <v>46833</v>
      </c>
      <c r="X12837" t="s">
        <v>47320</v>
      </c>
    </row>
    <row r="12838" spans="1:24">
      <c r="A12838">
        <f>HYPERLINK("https://www.philgeps.gov.ph/GEPSNONPILOT/Tender/SplashBidNoticeAbstractUI.aspx?menuIndex=3&amp;refID=7174082&amp;Result=3","7174082")</f>
        <v>0</v>
      </c>
      <c r="B12838" t="s">
        <v>696</v>
      </c>
      <c r="C12838" t="s">
        <v>15996</v>
      </c>
      <c r="D12838" t="s">
        <v>19069</v>
      </c>
      <c r="E12838" t="s">
        <v>29972</v>
      </c>
      <c r="F12838" t="s">
        <v>32606</v>
      </c>
      <c r="G12838" t="s">
        <v>32613</v>
      </c>
      <c r="H12838" t="s">
        <v>14201</v>
      </c>
      <c r="I12838" t="s">
        <v>4115</v>
      </c>
      <c r="J12838" t="s">
        <v>40713</v>
      </c>
      <c r="K12838" t="s">
        <v>42636</v>
      </c>
      <c r="M12838" t="s">
        <v>43969</v>
      </c>
      <c r="N12838" t="s">
        <v>47304</v>
      </c>
      <c r="O12838" t="s">
        <v>47305</v>
      </c>
      <c r="Q12838">
        <v>22</v>
      </c>
      <c r="R12838" t="s">
        <v>47319</v>
      </c>
      <c r="S12838" t="s">
        <v>47910</v>
      </c>
      <c r="T12838" t="s">
        <v>49390</v>
      </c>
      <c r="U12838" t="s">
        <v>60148</v>
      </c>
      <c r="V12838" t="s">
        <v>64046</v>
      </c>
      <c r="W12838" t="s">
        <v>43969</v>
      </c>
      <c r="X12838" t="s">
        <v>47320</v>
      </c>
    </row>
    <row r="12839" spans="1:24">
      <c r="A12839">
        <f>HYPERLINK("https://www.philgeps.gov.ph/GEPSNONPILOT/Tender/SplashBidNoticeAbstractUI.aspx?menuIndex=3&amp;refID=7174096&amp;Result=3","7174096")</f>
        <v>0</v>
      </c>
      <c r="B12839" t="s">
        <v>3558</v>
      </c>
      <c r="C12839" t="s">
        <v>15997</v>
      </c>
      <c r="D12839" t="s">
        <v>19007</v>
      </c>
      <c r="E12839" t="s">
        <v>21521</v>
      </c>
      <c r="F12839" t="s">
        <v>32606</v>
      </c>
      <c r="G12839" t="s">
        <v>32613</v>
      </c>
      <c r="H12839" t="s">
        <v>32623</v>
      </c>
      <c r="I12839" t="s">
        <v>17648</v>
      </c>
      <c r="J12839" t="s">
        <v>40714</v>
      </c>
      <c r="K12839" t="s">
        <v>42622</v>
      </c>
      <c r="M12839" t="s">
        <v>46842</v>
      </c>
      <c r="N12839" t="s">
        <v>47304</v>
      </c>
      <c r="O12839" t="s">
        <v>47305</v>
      </c>
      <c r="P12839">
        <v>0</v>
      </c>
      <c r="Q12839">
        <v>0</v>
      </c>
      <c r="R12839" t="s">
        <v>47319</v>
      </c>
      <c r="S12839" t="s">
        <v>47813</v>
      </c>
      <c r="T12839" t="s">
        <v>49066</v>
      </c>
      <c r="U12839" t="s">
        <v>60149</v>
      </c>
      <c r="W12839" t="s">
        <v>46842</v>
      </c>
      <c r="X12839" t="s">
        <v>47320</v>
      </c>
    </row>
    <row r="12840" spans="1:24">
      <c r="A12840">
        <f>HYPERLINK("https://www.philgeps.gov.ph/GEPSNONPILOT/Tender/SplashBidNoticeAbstractUI.aspx?menuIndex=3&amp;refID=7173871&amp;Result=3","7173871")</f>
        <v>0</v>
      </c>
      <c r="B12840" t="s">
        <v>3559</v>
      </c>
      <c r="C12840" t="s">
        <v>15998</v>
      </c>
      <c r="D12840" t="s">
        <v>19008</v>
      </c>
      <c r="E12840" t="s">
        <v>29973</v>
      </c>
      <c r="F12840" t="s">
        <v>32606</v>
      </c>
      <c r="G12840" t="s">
        <v>32613</v>
      </c>
      <c r="H12840" t="s">
        <v>32623</v>
      </c>
      <c r="I12840" t="s">
        <v>32626</v>
      </c>
      <c r="J12840" t="s">
        <v>40715</v>
      </c>
      <c r="K12840" t="s">
        <v>42648</v>
      </c>
      <c r="L12840" t="s">
        <v>3559</v>
      </c>
      <c r="M12840" t="s">
        <v>46843</v>
      </c>
      <c r="N12840" t="s">
        <v>47304</v>
      </c>
      <c r="O12840" t="s">
        <v>47305</v>
      </c>
      <c r="P12840">
        <v>0</v>
      </c>
      <c r="Q12840">
        <v>0</v>
      </c>
      <c r="R12840" t="s">
        <v>47319</v>
      </c>
      <c r="S12840" t="s">
        <v>47813</v>
      </c>
      <c r="T12840" t="s">
        <v>49107</v>
      </c>
      <c r="U12840" t="s">
        <v>60150</v>
      </c>
      <c r="W12840" t="s">
        <v>46843</v>
      </c>
      <c r="X12840" t="s">
        <v>47320</v>
      </c>
    </row>
    <row r="12841" spans="1:24">
      <c r="A12841">
        <f>HYPERLINK("https://www.philgeps.gov.ph/GEPSNONPILOT/Tender/SplashBidNoticeAbstractUI.aspx?menuIndex=3&amp;refID=7174067&amp;Result=3","7174067")</f>
        <v>0</v>
      </c>
      <c r="B12841" t="s">
        <v>2755</v>
      </c>
      <c r="C12841" t="s">
        <v>15999</v>
      </c>
      <c r="D12841" t="s">
        <v>19024</v>
      </c>
      <c r="E12841" t="s">
        <v>29974</v>
      </c>
      <c r="F12841" t="s">
        <v>32606</v>
      </c>
      <c r="G12841" t="s">
        <v>32613</v>
      </c>
      <c r="H12841" t="s">
        <v>14201</v>
      </c>
      <c r="I12841" t="s">
        <v>32633</v>
      </c>
      <c r="J12841" t="s">
        <v>40716</v>
      </c>
      <c r="K12841" t="s">
        <v>42624</v>
      </c>
      <c r="M12841" t="s">
        <v>45913</v>
      </c>
      <c r="N12841" t="s">
        <v>47304</v>
      </c>
      <c r="O12841" t="s">
        <v>47305</v>
      </c>
      <c r="P12841">
        <v>0</v>
      </c>
      <c r="Q12841">
        <v>10</v>
      </c>
      <c r="R12841" t="s">
        <v>47319</v>
      </c>
      <c r="S12841" t="s">
        <v>47813</v>
      </c>
      <c r="T12841" t="s">
        <v>48992</v>
      </c>
      <c r="U12841" t="s">
        <v>60151</v>
      </c>
      <c r="W12841" t="s">
        <v>45913</v>
      </c>
      <c r="X12841" t="s">
        <v>47320</v>
      </c>
    </row>
    <row r="12842" spans="1:24">
      <c r="A12842">
        <f>HYPERLINK("https://www.philgeps.gov.ph/GEPSNONPILOT/Tender/SplashBidNoticeAbstractUI.aspx?menuIndex=3&amp;refID=7174061&amp;Result=3","7174061")</f>
        <v>0</v>
      </c>
      <c r="B12842" t="s">
        <v>696</v>
      </c>
      <c r="C12842" t="s">
        <v>16000</v>
      </c>
      <c r="D12842" t="s">
        <v>19069</v>
      </c>
      <c r="E12842" t="s">
        <v>29975</v>
      </c>
      <c r="F12842" t="s">
        <v>32606</v>
      </c>
      <c r="G12842" t="s">
        <v>32613</v>
      </c>
      <c r="H12842" t="s">
        <v>14201</v>
      </c>
      <c r="I12842" t="s">
        <v>32686</v>
      </c>
      <c r="J12842" t="s">
        <v>40717</v>
      </c>
      <c r="K12842" t="s">
        <v>42636</v>
      </c>
      <c r="M12842" t="s">
        <v>43969</v>
      </c>
      <c r="N12842" t="s">
        <v>47304</v>
      </c>
      <c r="O12842" t="s">
        <v>47305</v>
      </c>
      <c r="Q12842">
        <v>8</v>
      </c>
      <c r="R12842" t="s">
        <v>47319</v>
      </c>
      <c r="S12842" t="s">
        <v>47911</v>
      </c>
      <c r="T12842" t="s">
        <v>49390</v>
      </c>
      <c r="U12842" t="s">
        <v>60148</v>
      </c>
      <c r="V12842" t="s">
        <v>62902</v>
      </c>
      <c r="W12842" t="s">
        <v>43969</v>
      </c>
      <c r="X12842" t="s">
        <v>47320</v>
      </c>
    </row>
    <row r="12843" spans="1:24">
      <c r="A12843">
        <f>HYPERLINK("https://www.philgeps.gov.ph/GEPSNONPILOT/Tender/SplashBidNoticeAbstractUI.aspx?menuIndex=3&amp;refID=7174078&amp;Result=3","7174078")</f>
        <v>0</v>
      </c>
      <c r="B12843" t="s">
        <v>3557</v>
      </c>
      <c r="C12843" t="s">
        <v>16001</v>
      </c>
      <c r="D12843" t="s">
        <v>19061</v>
      </c>
      <c r="E12843" t="s">
        <v>29976</v>
      </c>
      <c r="F12843" t="s">
        <v>32606</v>
      </c>
      <c r="G12843" t="s">
        <v>32613</v>
      </c>
      <c r="H12843" t="s">
        <v>32623</v>
      </c>
      <c r="I12843" t="s">
        <v>17648</v>
      </c>
      <c r="J12843" t="s">
        <v>40718</v>
      </c>
      <c r="K12843" t="s">
        <v>42744</v>
      </c>
      <c r="M12843" t="s">
        <v>46841</v>
      </c>
      <c r="N12843" t="s">
        <v>47304</v>
      </c>
      <c r="O12843" t="s">
        <v>47305</v>
      </c>
      <c r="P12843">
        <v>0</v>
      </c>
      <c r="Q12843">
        <v>2</v>
      </c>
      <c r="R12843" t="s">
        <v>47319</v>
      </c>
      <c r="S12843" t="s">
        <v>47813</v>
      </c>
      <c r="T12843" t="s">
        <v>48987</v>
      </c>
      <c r="U12843" t="s">
        <v>60152</v>
      </c>
      <c r="W12843" t="s">
        <v>46841</v>
      </c>
      <c r="X12843" t="s">
        <v>47320</v>
      </c>
    </row>
    <row r="12844" spans="1:24">
      <c r="A12844">
        <f>HYPERLINK("https://www.philgeps.gov.ph/GEPSNONPILOT/Tender/SplashBidNoticeAbstractUI.aspx?menuIndex=3&amp;refID=7174054&amp;Result=3","7174054")</f>
        <v>0</v>
      </c>
      <c r="B12844" t="s">
        <v>1393</v>
      </c>
      <c r="C12844" t="s">
        <v>16002</v>
      </c>
      <c r="D12844" t="s">
        <v>18993</v>
      </c>
      <c r="E12844" t="s">
        <v>29977</v>
      </c>
      <c r="F12844" t="s">
        <v>32606</v>
      </c>
      <c r="G12844" t="s">
        <v>32613</v>
      </c>
      <c r="H12844" t="s">
        <v>32623</v>
      </c>
      <c r="I12844" t="s">
        <v>17648</v>
      </c>
      <c r="J12844" t="s">
        <v>40719</v>
      </c>
      <c r="K12844" t="s">
        <v>42648</v>
      </c>
      <c r="M12844" t="s">
        <v>46833</v>
      </c>
      <c r="N12844" t="s">
        <v>47304</v>
      </c>
      <c r="O12844" t="s">
        <v>47305</v>
      </c>
      <c r="Q12844">
        <v>60</v>
      </c>
      <c r="R12844" t="s">
        <v>47319</v>
      </c>
      <c r="S12844" t="s">
        <v>47912</v>
      </c>
      <c r="T12844" t="s">
        <v>49104</v>
      </c>
      <c r="U12844" t="s">
        <v>60153</v>
      </c>
      <c r="W12844" t="s">
        <v>46833</v>
      </c>
      <c r="X12844" t="s">
        <v>47320</v>
      </c>
    </row>
    <row r="12845" spans="1:24">
      <c r="A12845">
        <f>HYPERLINK("https://www.philgeps.gov.ph/GEPSNONPILOT/Tender/SplashBidNoticeAbstractUI.aspx?menuIndex=3&amp;refID=7174073&amp;Result=3","7174073")</f>
        <v>0</v>
      </c>
      <c r="B12845" t="s">
        <v>1918</v>
      </c>
      <c r="C12845" t="s">
        <v>16003</v>
      </c>
      <c r="D12845" t="s">
        <v>18993</v>
      </c>
      <c r="E12845" t="s">
        <v>29978</v>
      </c>
      <c r="F12845" t="s">
        <v>32606</v>
      </c>
      <c r="G12845" t="s">
        <v>32613</v>
      </c>
      <c r="H12845" t="s">
        <v>14201</v>
      </c>
      <c r="I12845" t="s">
        <v>7577</v>
      </c>
      <c r="J12845" t="s">
        <v>40720</v>
      </c>
      <c r="K12845" t="s">
        <v>42631</v>
      </c>
      <c r="M12845" t="s">
        <v>44977</v>
      </c>
      <c r="N12845" t="s">
        <v>47304</v>
      </c>
      <c r="O12845" t="s">
        <v>47305</v>
      </c>
      <c r="Q12845">
        <v>11</v>
      </c>
      <c r="R12845" t="s">
        <v>47319</v>
      </c>
      <c r="S12845" t="s">
        <v>47913</v>
      </c>
      <c r="T12845" t="s">
        <v>48986</v>
      </c>
      <c r="U12845" t="s">
        <v>60154</v>
      </c>
      <c r="W12845" t="s">
        <v>44977</v>
      </c>
      <c r="X12845" t="s">
        <v>47320</v>
      </c>
    </row>
    <row r="12846" spans="1:24">
      <c r="A12846">
        <f>HYPERLINK("https://www.philgeps.gov.ph/GEPSNONPILOT/Tender/SplashBidNoticeAbstractUI.aspx?menuIndex=3&amp;refID=7174050&amp;Result=3","7174050")</f>
        <v>0</v>
      </c>
      <c r="B12846" t="s">
        <v>1918</v>
      </c>
      <c r="C12846" t="s">
        <v>16004</v>
      </c>
      <c r="D12846" t="s">
        <v>19023</v>
      </c>
      <c r="E12846" t="s">
        <v>29979</v>
      </c>
      <c r="F12846" t="s">
        <v>32606</v>
      </c>
      <c r="G12846" t="s">
        <v>32613</v>
      </c>
      <c r="H12846" t="s">
        <v>14201</v>
      </c>
      <c r="I12846" t="s">
        <v>32638</v>
      </c>
      <c r="J12846" t="s">
        <v>40721</v>
      </c>
      <c r="K12846" t="s">
        <v>42648</v>
      </c>
      <c r="M12846" t="s">
        <v>44977</v>
      </c>
      <c r="N12846" t="s">
        <v>47304</v>
      </c>
      <c r="O12846" t="s">
        <v>47305</v>
      </c>
      <c r="P12846">
        <v>0</v>
      </c>
      <c r="Q12846">
        <v>11</v>
      </c>
      <c r="R12846" t="s">
        <v>47319</v>
      </c>
      <c r="S12846" t="s">
        <v>47813</v>
      </c>
      <c r="T12846" t="s">
        <v>49002</v>
      </c>
      <c r="U12846" t="s">
        <v>60155</v>
      </c>
      <c r="W12846" t="s">
        <v>44977</v>
      </c>
      <c r="X12846" t="s">
        <v>47320</v>
      </c>
    </row>
    <row r="12847" spans="1:24">
      <c r="A12847">
        <f>HYPERLINK("https://www.philgeps.gov.ph/GEPSNONPILOT/Tender/SplashBidNoticeAbstractUI.aspx?menuIndex=3&amp;refID=7174042&amp;Result=3","7174042")</f>
        <v>0</v>
      </c>
      <c r="B12847" t="s">
        <v>2755</v>
      </c>
      <c r="C12847" t="s">
        <v>16005</v>
      </c>
      <c r="D12847" t="s">
        <v>19024</v>
      </c>
      <c r="E12847" t="s">
        <v>29980</v>
      </c>
      <c r="F12847" t="s">
        <v>32606</v>
      </c>
      <c r="G12847" t="s">
        <v>32613</v>
      </c>
      <c r="H12847" t="s">
        <v>14201</v>
      </c>
      <c r="I12847" t="s">
        <v>6931</v>
      </c>
      <c r="J12847" t="s">
        <v>32923</v>
      </c>
      <c r="K12847" t="s">
        <v>42624</v>
      </c>
      <c r="M12847" t="s">
        <v>45913</v>
      </c>
      <c r="N12847" t="s">
        <v>47304</v>
      </c>
      <c r="O12847" t="s">
        <v>47305</v>
      </c>
      <c r="P12847">
        <v>0</v>
      </c>
      <c r="Q12847">
        <v>1</v>
      </c>
      <c r="R12847" t="s">
        <v>47319</v>
      </c>
      <c r="S12847" t="s">
        <v>47813</v>
      </c>
      <c r="T12847" t="s">
        <v>49326</v>
      </c>
      <c r="U12847" t="s">
        <v>60156</v>
      </c>
      <c r="W12847" t="s">
        <v>45913</v>
      </c>
      <c r="X12847" t="s">
        <v>47320</v>
      </c>
    </row>
    <row r="12848" spans="1:24">
      <c r="A12848">
        <f>HYPERLINK("https://www.philgeps.gov.ph/GEPSNONPILOT/Tender/SplashBidNoticeAbstractUI.aspx?menuIndex=3&amp;refID=7174040&amp;Result=3","7174040")</f>
        <v>0</v>
      </c>
      <c r="B12848" t="s">
        <v>3560</v>
      </c>
      <c r="C12848" t="s">
        <v>16006</v>
      </c>
      <c r="D12848" t="s">
        <v>18999</v>
      </c>
      <c r="E12848" t="s">
        <v>29981</v>
      </c>
      <c r="F12848" t="s">
        <v>32606</v>
      </c>
      <c r="G12848" t="s">
        <v>32613</v>
      </c>
      <c r="H12848" t="s">
        <v>32623</v>
      </c>
      <c r="I12848" t="s">
        <v>17648</v>
      </c>
      <c r="J12848" t="s">
        <v>33934</v>
      </c>
      <c r="K12848" t="s">
        <v>42840</v>
      </c>
      <c r="M12848" t="s">
        <v>46844</v>
      </c>
      <c r="N12848" t="s">
        <v>47304</v>
      </c>
      <c r="O12848" t="s">
        <v>47305</v>
      </c>
      <c r="Q12848">
        <v>21</v>
      </c>
      <c r="R12848" t="s">
        <v>47319</v>
      </c>
      <c r="S12848" t="s">
        <v>47914</v>
      </c>
      <c r="T12848" t="s">
        <v>49140</v>
      </c>
      <c r="U12848" t="s">
        <v>60157</v>
      </c>
      <c r="V12848" t="s">
        <v>64047</v>
      </c>
      <c r="W12848" t="s">
        <v>46844</v>
      </c>
      <c r="X12848" t="s">
        <v>47320</v>
      </c>
    </row>
    <row r="12849" spans="1:24">
      <c r="A12849">
        <f>HYPERLINK("https://www.philgeps.gov.ph/GEPSNONPILOT/Tender/SplashBidNoticeAbstractUI.aspx?menuIndex=3&amp;refID=7174033&amp;Result=3","7174033")</f>
        <v>0</v>
      </c>
      <c r="B12849" t="s">
        <v>1393</v>
      </c>
      <c r="C12849" t="s">
        <v>16007</v>
      </c>
      <c r="D12849" t="s">
        <v>18993</v>
      </c>
      <c r="E12849" t="s">
        <v>29982</v>
      </c>
      <c r="F12849" t="s">
        <v>32606</v>
      </c>
      <c r="G12849" t="s">
        <v>32613</v>
      </c>
      <c r="H12849" t="s">
        <v>32623</v>
      </c>
      <c r="I12849" t="s">
        <v>17648</v>
      </c>
      <c r="J12849" t="s">
        <v>40722</v>
      </c>
      <c r="K12849" t="s">
        <v>42712</v>
      </c>
      <c r="M12849" t="s">
        <v>46833</v>
      </c>
      <c r="N12849" t="s">
        <v>47304</v>
      </c>
      <c r="O12849" t="s">
        <v>47305</v>
      </c>
      <c r="P12849">
        <v>0</v>
      </c>
      <c r="Q12849">
        <v>58</v>
      </c>
      <c r="R12849" t="s">
        <v>47319</v>
      </c>
      <c r="S12849" t="s">
        <v>47813</v>
      </c>
      <c r="T12849" t="s">
        <v>49104</v>
      </c>
      <c r="U12849" t="s">
        <v>60158</v>
      </c>
      <c r="W12849" t="s">
        <v>46833</v>
      </c>
      <c r="X12849" t="s">
        <v>47320</v>
      </c>
    </row>
    <row r="12850" spans="1:24">
      <c r="A12850">
        <f>HYPERLINK("https://www.philgeps.gov.ph/GEPSNONPILOT/Tender/SplashBidNoticeAbstractUI.aspx?menuIndex=3&amp;refID=7174100&amp;Result=3","7174100")</f>
        <v>0</v>
      </c>
      <c r="B12850" t="s">
        <v>1156</v>
      </c>
      <c r="C12850" t="s">
        <v>16008</v>
      </c>
      <c r="D12850" t="s">
        <v>19041</v>
      </c>
      <c r="E12850" t="s">
        <v>29983</v>
      </c>
      <c r="F12850" t="s">
        <v>32606</v>
      </c>
      <c r="G12850" t="s">
        <v>32613</v>
      </c>
      <c r="H12850" t="s">
        <v>32623</v>
      </c>
      <c r="I12850" t="s">
        <v>17648</v>
      </c>
      <c r="J12850" t="s">
        <v>40723</v>
      </c>
      <c r="K12850" t="s">
        <v>42646</v>
      </c>
      <c r="M12850" t="s">
        <v>44119</v>
      </c>
      <c r="N12850" t="s">
        <v>47304</v>
      </c>
      <c r="O12850" t="s">
        <v>47305</v>
      </c>
      <c r="Q12850">
        <v>16</v>
      </c>
      <c r="R12850" t="s">
        <v>47319</v>
      </c>
      <c r="S12850" t="s">
        <v>47915</v>
      </c>
      <c r="T12850" t="s">
        <v>49023</v>
      </c>
      <c r="U12850" t="s">
        <v>60159</v>
      </c>
      <c r="V12850" t="s">
        <v>64048</v>
      </c>
      <c r="W12850" t="s">
        <v>44119</v>
      </c>
      <c r="X12850" t="s">
        <v>47320</v>
      </c>
    </row>
    <row r="12851" spans="1:24">
      <c r="A12851">
        <f>HYPERLINK("https://www.philgeps.gov.ph/GEPSNONPILOT/Tender/SplashBidNoticeAbstractUI.aspx?menuIndex=3&amp;refID=7174085&amp;Result=3","7174085")</f>
        <v>0</v>
      </c>
      <c r="B12851" t="s">
        <v>309</v>
      </c>
      <c r="C12851" t="s">
        <v>16009</v>
      </c>
      <c r="D12851" t="s">
        <v>18991</v>
      </c>
      <c r="E12851" t="s">
        <v>29984</v>
      </c>
      <c r="F12851" t="s">
        <v>32606</v>
      </c>
      <c r="G12851" t="s">
        <v>32613</v>
      </c>
      <c r="H12851" t="s">
        <v>32623</v>
      </c>
      <c r="I12851" t="s">
        <v>17648</v>
      </c>
      <c r="J12851" t="s">
        <v>34264</v>
      </c>
      <c r="K12851" t="s">
        <v>42646</v>
      </c>
      <c r="M12851" t="s">
        <v>43211</v>
      </c>
      <c r="N12851" t="s">
        <v>47304</v>
      </c>
      <c r="O12851" t="s">
        <v>47305</v>
      </c>
      <c r="P12851">
        <v>0</v>
      </c>
      <c r="Q12851">
        <v>1</v>
      </c>
      <c r="R12851" t="s">
        <v>47319</v>
      </c>
      <c r="S12851" t="s">
        <v>47813</v>
      </c>
      <c r="T12851" t="s">
        <v>49107</v>
      </c>
      <c r="U12851" t="s">
        <v>60160</v>
      </c>
      <c r="W12851" t="s">
        <v>43211</v>
      </c>
      <c r="X12851" t="s">
        <v>47320</v>
      </c>
    </row>
    <row r="12852" spans="1:24">
      <c r="A12852">
        <f>HYPERLINK("https://www.philgeps.gov.ph/GEPSNONPILOT/Tender/SplashBidNoticeAbstractUI.aspx?menuIndex=3&amp;refID=7074330&amp;Result=3","7074330")</f>
        <v>0</v>
      </c>
      <c r="B12852" t="s">
        <v>985</v>
      </c>
      <c r="C12852" t="s">
        <v>16010</v>
      </c>
      <c r="D12852" t="s">
        <v>19034</v>
      </c>
      <c r="E12852" t="s">
        <v>29985</v>
      </c>
      <c r="F12852" t="s">
        <v>32606</v>
      </c>
      <c r="G12852" t="s">
        <v>32613</v>
      </c>
      <c r="H12852" t="s">
        <v>32623</v>
      </c>
      <c r="I12852" t="s">
        <v>17648</v>
      </c>
      <c r="J12852" t="s">
        <v>32821</v>
      </c>
      <c r="K12852" t="s">
        <v>42872</v>
      </c>
      <c r="M12852" t="s">
        <v>46845</v>
      </c>
      <c r="N12852" t="s">
        <v>47304</v>
      </c>
      <c r="O12852" t="s">
        <v>47305</v>
      </c>
      <c r="Q12852">
        <v>71</v>
      </c>
      <c r="R12852" t="s">
        <v>47320</v>
      </c>
      <c r="S12852" t="s">
        <v>47916</v>
      </c>
      <c r="T12852" t="s">
        <v>48979</v>
      </c>
      <c r="U12852" t="s">
        <v>60161</v>
      </c>
      <c r="W12852" t="s">
        <v>46845</v>
      </c>
      <c r="X12852" t="s">
        <v>47364</v>
      </c>
    </row>
    <row r="12853" spans="1:24">
      <c r="A12853">
        <f>HYPERLINK("https://www.philgeps.gov.ph/GEPSNONPILOT/Tender/SplashBidNoticeAbstractUI.aspx?menuIndex=3&amp;refID=7146035&amp;Result=3","7146035")</f>
        <v>0</v>
      </c>
      <c r="B12853" t="s">
        <v>3561</v>
      </c>
      <c r="C12853" t="s">
        <v>16011</v>
      </c>
      <c r="D12853" t="s">
        <v>19038</v>
      </c>
      <c r="E12853" t="s">
        <v>29986</v>
      </c>
      <c r="F12853" t="s">
        <v>32606</v>
      </c>
      <c r="G12853" t="s">
        <v>32613</v>
      </c>
      <c r="H12853" t="s">
        <v>14201</v>
      </c>
      <c r="I12853" t="s">
        <v>6931</v>
      </c>
      <c r="J12853" t="s">
        <v>40724</v>
      </c>
      <c r="K12853" t="s">
        <v>42631</v>
      </c>
      <c r="M12853" t="s">
        <v>46846</v>
      </c>
      <c r="N12853" t="s">
        <v>47304</v>
      </c>
      <c r="O12853" t="s">
        <v>47305</v>
      </c>
      <c r="P12853">
        <v>0</v>
      </c>
      <c r="Q12853">
        <v>0</v>
      </c>
      <c r="R12853" t="s">
        <v>47320</v>
      </c>
      <c r="S12853" t="s">
        <v>47917</v>
      </c>
      <c r="T12853" t="s">
        <v>49040</v>
      </c>
      <c r="U12853" t="s">
        <v>60162</v>
      </c>
      <c r="W12853" t="s">
        <v>46846</v>
      </c>
      <c r="X12853" t="s">
        <v>47332</v>
      </c>
    </row>
    <row r="12854" spans="1:24">
      <c r="A12854">
        <f>HYPERLINK("https://www.philgeps.gov.ph/GEPSNONPILOT/Tender/SplashBidNoticeAbstractUI.aspx?menuIndex=3&amp;refID=7174043&amp;Result=3","7174043")</f>
        <v>0</v>
      </c>
      <c r="B12854" t="s">
        <v>1393</v>
      </c>
      <c r="C12854" t="s">
        <v>16012</v>
      </c>
      <c r="D12854" t="s">
        <v>18993</v>
      </c>
      <c r="E12854" t="s">
        <v>29987</v>
      </c>
      <c r="F12854" t="s">
        <v>32606</v>
      </c>
      <c r="G12854" t="s">
        <v>32613</v>
      </c>
      <c r="H12854" t="s">
        <v>32623</v>
      </c>
      <c r="I12854" t="s">
        <v>17648</v>
      </c>
      <c r="J12854" t="s">
        <v>40725</v>
      </c>
      <c r="K12854" t="s">
        <v>42646</v>
      </c>
      <c r="M12854" t="s">
        <v>46833</v>
      </c>
      <c r="N12854" t="s">
        <v>47304</v>
      </c>
      <c r="O12854" t="s">
        <v>47305</v>
      </c>
      <c r="Q12854">
        <v>58</v>
      </c>
      <c r="R12854" t="s">
        <v>47319</v>
      </c>
      <c r="S12854" t="s">
        <v>47918</v>
      </c>
      <c r="T12854" t="s">
        <v>49104</v>
      </c>
      <c r="U12854" t="s">
        <v>60163</v>
      </c>
      <c r="W12854" t="s">
        <v>46833</v>
      </c>
      <c r="X12854" t="s">
        <v>47320</v>
      </c>
    </row>
    <row r="12855" spans="1:24">
      <c r="A12855">
        <f>HYPERLINK("https://www.philgeps.gov.ph/GEPSNONPILOT/Tender/SplashBidNoticeAbstractUI.aspx?menuIndex=3&amp;refID=7174034&amp;Result=3","7174034")</f>
        <v>0</v>
      </c>
      <c r="B12855" t="s">
        <v>2748</v>
      </c>
      <c r="C12855" t="s">
        <v>16013</v>
      </c>
      <c r="D12855" t="s">
        <v>19018</v>
      </c>
      <c r="E12855" t="s">
        <v>29988</v>
      </c>
      <c r="F12855" t="s">
        <v>32606</v>
      </c>
      <c r="G12855" t="s">
        <v>32613</v>
      </c>
      <c r="H12855" t="s">
        <v>14201</v>
      </c>
      <c r="I12855" t="s">
        <v>4678</v>
      </c>
      <c r="J12855" t="s">
        <v>33060</v>
      </c>
      <c r="K12855" t="s">
        <v>42623</v>
      </c>
      <c r="L12855" t="s">
        <v>2748</v>
      </c>
      <c r="M12855" t="s">
        <v>45904</v>
      </c>
      <c r="N12855" t="s">
        <v>47304</v>
      </c>
      <c r="O12855" t="s">
        <v>47305</v>
      </c>
      <c r="P12855">
        <v>0</v>
      </c>
      <c r="Q12855">
        <v>9</v>
      </c>
      <c r="R12855" t="s">
        <v>47319</v>
      </c>
      <c r="S12855" t="s">
        <v>47813</v>
      </c>
      <c r="T12855" t="s">
        <v>48996</v>
      </c>
      <c r="U12855" t="s">
        <v>60164</v>
      </c>
      <c r="W12855" t="s">
        <v>45904</v>
      </c>
      <c r="X12855" t="s">
        <v>47320</v>
      </c>
    </row>
    <row r="12856" spans="1:24">
      <c r="A12856">
        <f>HYPERLINK("https://www.philgeps.gov.ph/GEPSNONPILOT/Tender/SplashBidNoticeAbstractUI.aspx?menuIndex=3&amp;refID=7113804&amp;Result=3","7113804")</f>
        <v>0</v>
      </c>
      <c r="B12856" t="s">
        <v>3562</v>
      </c>
      <c r="C12856" t="s">
        <v>16014</v>
      </c>
      <c r="E12856" t="s">
        <v>29989</v>
      </c>
      <c r="F12856" t="s">
        <v>32606</v>
      </c>
      <c r="G12856" t="s">
        <v>32613</v>
      </c>
      <c r="H12856" t="s">
        <v>14201</v>
      </c>
      <c r="I12856" t="s">
        <v>32662</v>
      </c>
      <c r="J12856" t="s">
        <v>40035</v>
      </c>
      <c r="K12856" t="s">
        <v>42636</v>
      </c>
      <c r="M12856" t="s">
        <v>46847</v>
      </c>
      <c r="N12856" t="s">
        <v>47304</v>
      </c>
      <c r="O12856" t="s">
        <v>47305</v>
      </c>
      <c r="P12856">
        <v>0</v>
      </c>
      <c r="Q12856">
        <v>13</v>
      </c>
      <c r="R12856" t="s">
        <v>47320</v>
      </c>
      <c r="S12856" t="s">
        <v>47917</v>
      </c>
      <c r="T12856" t="s">
        <v>49052</v>
      </c>
      <c r="U12856" t="s">
        <v>60165</v>
      </c>
      <c r="V12856" t="s">
        <v>64049</v>
      </c>
      <c r="W12856" t="s">
        <v>46847</v>
      </c>
      <c r="X12856" t="s">
        <v>47345</v>
      </c>
    </row>
    <row r="12857" spans="1:24">
      <c r="A12857">
        <f>HYPERLINK("https://www.philgeps.gov.ph/GEPSNONPILOT/Tender/SplashBidNoticeAbstractUI.aspx?menuIndex=3&amp;refID=7113722&amp;Result=3","7113722")</f>
        <v>0</v>
      </c>
      <c r="B12857" t="s">
        <v>3562</v>
      </c>
      <c r="C12857" t="s">
        <v>16015</v>
      </c>
      <c r="E12857" t="s">
        <v>29989</v>
      </c>
      <c r="F12857" t="s">
        <v>32606</v>
      </c>
      <c r="G12857" t="s">
        <v>32613</v>
      </c>
      <c r="H12857" t="s">
        <v>14201</v>
      </c>
      <c r="I12857" t="s">
        <v>32662</v>
      </c>
      <c r="J12857" t="s">
        <v>33449</v>
      </c>
      <c r="K12857" t="s">
        <v>42636</v>
      </c>
      <c r="M12857" t="s">
        <v>46847</v>
      </c>
      <c r="N12857" t="s">
        <v>47304</v>
      </c>
      <c r="O12857" t="s">
        <v>47305</v>
      </c>
      <c r="P12857">
        <v>0</v>
      </c>
      <c r="Q12857">
        <v>16</v>
      </c>
      <c r="R12857" t="s">
        <v>47320</v>
      </c>
      <c r="S12857" t="s">
        <v>47917</v>
      </c>
      <c r="T12857" t="s">
        <v>49052</v>
      </c>
      <c r="U12857" t="s">
        <v>60165</v>
      </c>
      <c r="V12857" t="s">
        <v>64049</v>
      </c>
      <c r="W12857" t="s">
        <v>46847</v>
      </c>
      <c r="X12857" t="s">
        <v>47345</v>
      </c>
    </row>
    <row r="12858" spans="1:24">
      <c r="A12858">
        <f>HYPERLINK("https://www.philgeps.gov.ph/GEPSNONPILOT/Tender/SplashBidNoticeAbstractUI.aspx?menuIndex=3&amp;refID=7111889-2&amp;Result=3","7111889-2")</f>
        <v>0</v>
      </c>
      <c r="B12858" t="s">
        <v>3563</v>
      </c>
      <c r="C12858" t="s">
        <v>16016</v>
      </c>
      <c r="D12858" t="s">
        <v>19067</v>
      </c>
      <c r="E12858" t="s">
        <v>29990</v>
      </c>
      <c r="F12858" t="s">
        <v>32606</v>
      </c>
      <c r="G12858" t="s">
        <v>32613</v>
      </c>
      <c r="H12858" t="s">
        <v>32625</v>
      </c>
      <c r="I12858" t="s">
        <v>32625</v>
      </c>
      <c r="J12858" t="s">
        <v>40726</v>
      </c>
      <c r="K12858" t="s">
        <v>42635</v>
      </c>
      <c r="M12858" t="s">
        <v>46848</v>
      </c>
      <c r="N12858" t="s">
        <v>47304</v>
      </c>
      <c r="O12858" t="s">
        <v>47305</v>
      </c>
      <c r="P12858">
        <v>0</v>
      </c>
      <c r="Q12858">
        <v>0</v>
      </c>
      <c r="R12858" t="s">
        <v>47320</v>
      </c>
      <c r="S12858" t="s">
        <v>47917</v>
      </c>
      <c r="T12858" t="s">
        <v>48986</v>
      </c>
      <c r="U12858" t="s">
        <v>54767</v>
      </c>
      <c r="W12858" t="s">
        <v>46848</v>
      </c>
      <c r="X12858" t="s">
        <v>47321</v>
      </c>
    </row>
    <row r="12859" spans="1:24">
      <c r="A12859">
        <f>HYPERLINK("https://www.philgeps.gov.ph/GEPSNONPILOT/Tender/SplashBidNoticeAbstractUI.aspx?menuIndex=3&amp;refID=7174026&amp;Result=3","7174026")</f>
        <v>0</v>
      </c>
      <c r="B12859" t="s">
        <v>696</v>
      </c>
      <c r="C12859" t="s">
        <v>16017</v>
      </c>
      <c r="D12859" t="s">
        <v>19069</v>
      </c>
      <c r="E12859" t="s">
        <v>29991</v>
      </c>
      <c r="F12859" t="s">
        <v>32606</v>
      </c>
      <c r="G12859" t="s">
        <v>32613</v>
      </c>
      <c r="H12859" t="s">
        <v>14201</v>
      </c>
      <c r="I12859" t="s">
        <v>32686</v>
      </c>
      <c r="J12859" t="s">
        <v>40727</v>
      </c>
      <c r="K12859" t="s">
        <v>42712</v>
      </c>
      <c r="M12859" t="s">
        <v>43969</v>
      </c>
      <c r="N12859" t="s">
        <v>47304</v>
      </c>
      <c r="O12859" t="s">
        <v>47305</v>
      </c>
      <c r="Q12859">
        <v>7</v>
      </c>
      <c r="R12859" t="s">
        <v>47319</v>
      </c>
      <c r="S12859" t="s">
        <v>47919</v>
      </c>
      <c r="T12859" t="s">
        <v>49011</v>
      </c>
      <c r="U12859" t="s">
        <v>60148</v>
      </c>
      <c r="V12859" t="s">
        <v>64050</v>
      </c>
      <c r="W12859" t="s">
        <v>43969</v>
      </c>
      <c r="X12859" t="s">
        <v>47320</v>
      </c>
    </row>
    <row r="12860" spans="1:24">
      <c r="A12860">
        <f>HYPERLINK("https://www.philgeps.gov.ph/GEPSNONPILOT/Tender/SplashBidNoticeAbstractUI.aspx?menuIndex=3&amp;refID=7113762&amp;Result=3","7113762")</f>
        <v>0</v>
      </c>
      <c r="B12860" t="s">
        <v>3562</v>
      </c>
      <c r="C12860" t="s">
        <v>16018</v>
      </c>
      <c r="E12860" t="s">
        <v>29989</v>
      </c>
      <c r="F12860" t="s">
        <v>32606</v>
      </c>
      <c r="G12860" t="s">
        <v>32613</v>
      </c>
      <c r="H12860" t="s">
        <v>14201</v>
      </c>
      <c r="I12860" t="s">
        <v>32662</v>
      </c>
      <c r="J12860" t="s">
        <v>40728</v>
      </c>
      <c r="K12860" t="s">
        <v>42636</v>
      </c>
      <c r="M12860" t="s">
        <v>46847</v>
      </c>
      <c r="N12860" t="s">
        <v>47304</v>
      </c>
      <c r="O12860" t="s">
        <v>47305</v>
      </c>
      <c r="P12860">
        <v>0</v>
      </c>
      <c r="Q12860">
        <v>16</v>
      </c>
      <c r="R12860" t="s">
        <v>47320</v>
      </c>
      <c r="S12860" t="s">
        <v>47917</v>
      </c>
      <c r="T12860" t="s">
        <v>49052</v>
      </c>
      <c r="U12860" t="s">
        <v>60165</v>
      </c>
      <c r="V12860" t="s">
        <v>64049</v>
      </c>
      <c r="W12860" t="s">
        <v>46847</v>
      </c>
      <c r="X12860" t="s">
        <v>47345</v>
      </c>
    </row>
    <row r="12861" spans="1:24">
      <c r="A12861">
        <f>HYPERLINK("https://www.philgeps.gov.ph/GEPSNONPILOT/Tender/SplashBidNoticeAbstractUI.aspx?menuIndex=3&amp;refID=7074343&amp;Result=3","7074343")</f>
        <v>0</v>
      </c>
      <c r="B12861" t="s">
        <v>985</v>
      </c>
      <c r="C12861" t="s">
        <v>16019</v>
      </c>
      <c r="D12861" t="s">
        <v>19034</v>
      </c>
      <c r="E12861" t="s">
        <v>29992</v>
      </c>
      <c r="F12861" t="s">
        <v>32606</v>
      </c>
      <c r="G12861" t="s">
        <v>32613</v>
      </c>
      <c r="H12861" t="s">
        <v>32623</v>
      </c>
      <c r="I12861" t="s">
        <v>17648</v>
      </c>
      <c r="J12861" t="s">
        <v>32821</v>
      </c>
      <c r="K12861" t="s">
        <v>42872</v>
      </c>
      <c r="M12861" t="s">
        <v>46845</v>
      </c>
      <c r="N12861" t="s">
        <v>47304</v>
      </c>
      <c r="O12861" t="s">
        <v>47305</v>
      </c>
      <c r="Q12861">
        <v>71</v>
      </c>
      <c r="R12861" t="s">
        <v>47320</v>
      </c>
      <c r="S12861" t="s">
        <v>47886</v>
      </c>
      <c r="T12861" t="s">
        <v>48979</v>
      </c>
      <c r="U12861" t="s">
        <v>60166</v>
      </c>
      <c r="W12861" t="s">
        <v>46845</v>
      </c>
      <c r="X12861" t="s">
        <v>47364</v>
      </c>
    </row>
    <row r="12862" spans="1:24">
      <c r="A12862">
        <f>HYPERLINK("https://www.philgeps.gov.ph/GEPSNONPILOT/Tender/SplashBidNoticeAbstractUI.aspx?menuIndex=3&amp;refID=7174173&amp;Result=3","7174173")</f>
        <v>0</v>
      </c>
      <c r="B12862" t="s">
        <v>3564</v>
      </c>
      <c r="C12862" t="s">
        <v>16020</v>
      </c>
      <c r="D12862" t="s">
        <v>19060</v>
      </c>
      <c r="E12862" t="s">
        <v>29993</v>
      </c>
      <c r="F12862" t="s">
        <v>32606</v>
      </c>
      <c r="G12862" t="s">
        <v>32613</v>
      </c>
      <c r="H12862" t="s">
        <v>32623</v>
      </c>
      <c r="I12862" t="s">
        <v>17648</v>
      </c>
      <c r="J12862" t="s">
        <v>34246</v>
      </c>
      <c r="K12862" t="s">
        <v>42656</v>
      </c>
      <c r="M12862" t="s">
        <v>46849</v>
      </c>
      <c r="N12862" t="s">
        <v>47304</v>
      </c>
      <c r="O12862" t="s">
        <v>47305</v>
      </c>
      <c r="P12862">
        <v>0</v>
      </c>
      <c r="Q12862">
        <v>0</v>
      </c>
      <c r="R12862" t="s">
        <v>47319</v>
      </c>
      <c r="S12862" t="s">
        <v>47813</v>
      </c>
      <c r="T12862" t="s">
        <v>49065</v>
      </c>
      <c r="U12862" t="s">
        <v>60167</v>
      </c>
      <c r="V12862" t="s">
        <v>64051</v>
      </c>
      <c r="W12862" t="s">
        <v>64544</v>
      </c>
      <c r="X12862" t="s">
        <v>47320</v>
      </c>
    </row>
    <row r="12863" spans="1:24">
      <c r="A12863">
        <f>HYPERLINK("https://www.philgeps.gov.ph/GEPSNONPILOT/Tender/SplashBidNoticeAbstractUI.aspx?menuIndex=3&amp;refID=7174068&amp;Result=3","7174068")</f>
        <v>0</v>
      </c>
      <c r="B12863" t="s">
        <v>696</v>
      </c>
      <c r="C12863" t="s">
        <v>16021</v>
      </c>
      <c r="D12863" t="s">
        <v>18993</v>
      </c>
      <c r="E12863" t="s">
        <v>29994</v>
      </c>
      <c r="F12863" t="s">
        <v>32606</v>
      </c>
      <c r="G12863" t="s">
        <v>32613</v>
      </c>
      <c r="H12863" t="s">
        <v>14201</v>
      </c>
      <c r="I12863" t="s">
        <v>32640</v>
      </c>
      <c r="J12863" t="s">
        <v>34652</v>
      </c>
      <c r="K12863" t="s">
        <v>42631</v>
      </c>
      <c r="M12863" t="s">
        <v>43969</v>
      </c>
      <c r="N12863" t="s">
        <v>47304</v>
      </c>
      <c r="O12863" t="s">
        <v>47305</v>
      </c>
      <c r="Q12863">
        <v>7</v>
      </c>
      <c r="R12863" t="s">
        <v>47319</v>
      </c>
      <c r="S12863" t="s">
        <v>47920</v>
      </c>
      <c r="T12863" t="s">
        <v>49390</v>
      </c>
      <c r="U12863" t="s">
        <v>60148</v>
      </c>
      <c r="V12863" t="s">
        <v>64052</v>
      </c>
      <c r="W12863" t="s">
        <v>43969</v>
      </c>
      <c r="X12863" t="s">
        <v>47320</v>
      </c>
    </row>
    <row r="12864" spans="1:24">
      <c r="A12864">
        <f>HYPERLINK("https://www.philgeps.gov.ph/GEPSNONPILOT/Tender/SplashBidNoticeAbstractUI.aspx?menuIndex=3&amp;refID=7174144&amp;Result=3","7174144")</f>
        <v>0</v>
      </c>
      <c r="B12864" t="s">
        <v>3565</v>
      </c>
      <c r="C12864" t="s">
        <v>16022</v>
      </c>
      <c r="D12864" t="s">
        <v>18993</v>
      </c>
      <c r="E12864" t="s">
        <v>29995</v>
      </c>
      <c r="F12864" t="s">
        <v>32606</v>
      </c>
      <c r="G12864" t="s">
        <v>32613</v>
      </c>
      <c r="H12864" t="s">
        <v>14201</v>
      </c>
      <c r="I12864" t="s">
        <v>4369</v>
      </c>
      <c r="J12864" t="s">
        <v>40729</v>
      </c>
      <c r="K12864" t="s">
        <v>42623</v>
      </c>
      <c r="M12864" t="s">
        <v>46850</v>
      </c>
      <c r="N12864" t="s">
        <v>47304</v>
      </c>
      <c r="O12864" t="s">
        <v>47305</v>
      </c>
      <c r="Q12864">
        <v>24</v>
      </c>
      <c r="R12864" t="s">
        <v>47319</v>
      </c>
      <c r="S12864" t="s">
        <v>47921</v>
      </c>
      <c r="T12864" t="s">
        <v>49473</v>
      </c>
      <c r="U12864" t="s">
        <v>60168</v>
      </c>
      <c r="V12864" t="s">
        <v>64053</v>
      </c>
      <c r="W12864" t="s">
        <v>46850</v>
      </c>
      <c r="X12864" t="s">
        <v>47320</v>
      </c>
    </row>
    <row r="12865" spans="1:24">
      <c r="A12865">
        <f>HYPERLINK("https://www.philgeps.gov.ph/GEPSNONPILOT/Tender/SplashBidNoticeAbstractUI.aspx?menuIndex=3&amp;refID=7174132&amp;Result=3","7174132")</f>
        <v>0</v>
      </c>
      <c r="B12865" t="s">
        <v>309</v>
      </c>
      <c r="C12865" t="s">
        <v>16023</v>
      </c>
      <c r="D12865" t="s">
        <v>18991</v>
      </c>
      <c r="E12865" t="s">
        <v>29996</v>
      </c>
      <c r="F12865" t="s">
        <v>32606</v>
      </c>
      <c r="G12865" t="s">
        <v>32613</v>
      </c>
      <c r="H12865" t="s">
        <v>14201</v>
      </c>
      <c r="I12865" t="s">
        <v>7064</v>
      </c>
      <c r="J12865" t="s">
        <v>33363</v>
      </c>
      <c r="K12865" t="s">
        <v>42623</v>
      </c>
      <c r="M12865" t="s">
        <v>43211</v>
      </c>
      <c r="N12865" t="s">
        <v>47304</v>
      </c>
      <c r="O12865" t="s">
        <v>47305</v>
      </c>
      <c r="P12865">
        <v>0</v>
      </c>
      <c r="Q12865">
        <v>0</v>
      </c>
      <c r="R12865" t="s">
        <v>47319</v>
      </c>
      <c r="S12865" t="s">
        <v>47813</v>
      </c>
      <c r="T12865" t="s">
        <v>49149</v>
      </c>
      <c r="U12865" t="s">
        <v>60169</v>
      </c>
      <c r="W12865" t="s">
        <v>43211</v>
      </c>
      <c r="X12865" t="s">
        <v>47320</v>
      </c>
    </row>
    <row r="12866" spans="1:24">
      <c r="A12866">
        <f>HYPERLINK("https://www.philgeps.gov.ph/GEPSNONPILOT/Tender/SplashBidNoticeAbstractUI.aspx?menuIndex=3&amp;refID=7174122&amp;Result=3","7174122")</f>
        <v>0</v>
      </c>
      <c r="B12866" t="s">
        <v>309</v>
      </c>
      <c r="C12866" t="s">
        <v>16024</v>
      </c>
      <c r="D12866" t="s">
        <v>18991</v>
      </c>
      <c r="E12866" t="s">
        <v>29997</v>
      </c>
      <c r="F12866" t="s">
        <v>32606</v>
      </c>
      <c r="G12866" t="s">
        <v>32613</v>
      </c>
      <c r="H12866" t="s">
        <v>14201</v>
      </c>
      <c r="I12866" t="s">
        <v>32628</v>
      </c>
      <c r="J12866" t="s">
        <v>40730</v>
      </c>
      <c r="K12866" t="s">
        <v>42665</v>
      </c>
      <c r="M12866" t="s">
        <v>43211</v>
      </c>
      <c r="N12866" t="s">
        <v>47304</v>
      </c>
      <c r="O12866" t="s">
        <v>47305</v>
      </c>
      <c r="P12866">
        <v>0</v>
      </c>
      <c r="Q12866">
        <v>4</v>
      </c>
      <c r="R12866" t="s">
        <v>47319</v>
      </c>
      <c r="S12866" t="s">
        <v>47813</v>
      </c>
      <c r="T12866" t="s">
        <v>49180</v>
      </c>
      <c r="U12866" t="s">
        <v>60170</v>
      </c>
      <c r="W12866" t="s">
        <v>43211</v>
      </c>
      <c r="X12866" t="s">
        <v>47320</v>
      </c>
    </row>
    <row r="12867" spans="1:24">
      <c r="A12867">
        <f>HYPERLINK("https://www.philgeps.gov.ph/GEPSNONPILOT/Tender/SplashBidNoticeAbstractUI.aspx?menuIndex=3&amp;refID=7174120&amp;Result=3","7174120")</f>
        <v>0</v>
      </c>
      <c r="B12867" t="s">
        <v>278</v>
      </c>
      <c r="C12867" t="s">
        <v>16025</v>
      </c>
      <c r="D12867" t="s">
        <v>18993</v>
      </c>
      <c r="E12867" t="s">
        <v>29998</v>
      </c>
      <c r="F12867" t="s">
        <v>32606</v>
      </c>
      <c r="G12867" t="s">
        <v>32614</v>
      </c>
      <c r="H12867" t="s">
        <v>14201</v>
      </c>
      <c r="I12867" t="s">
        <v>13131</v>
      </c>
      <c r="J12867" t="s">
        <v>40731</v>
      </c>
      <c r="K12867" t="s">
        <v>42631</v>
      </c>
      <c r="M12867" t="s">
        <v>43179</v>
      </c>
      <c r="N12867" t="s">
        <v>47304</v>
      </c>
      <c r="O12867" t="s">
        <v>47305</v>
      </c>
      <c r="Q12867">
        <v>12</v>
      </c>
      <c r="R12867" t="s">
        <v>47319</v>
      </c>
      <c r="S12867" t="s">
        <v>47922</v>
      </c>
      <c r="T12867" t="s">
        <v>49004</v>
      </c>
      <c r="U12867" t="s">
        <v>60171</v>
      </c>
      <c r="W12867" t="s">
        <v>43179</v>
      </c>
      <c r="X12867" t="s">
        <v>47320</v>
      </c>
    </row>
    <row r="12868" spans="1:24">
      <c r="A12868">
        <f>HYPERLINK("https://www.philgeps.gov.ph/GEPSNONPILOT/Tender/SplashBidNoticeAbstractUI.aspx?menuIndex=3&amp;refID=7074305&amp;Result=3","7074305")</f>
        <v>0</v>
      </c>
      <c r="B12868" t="s">
        <v>985</v>
      </c>
      <c r="C12868" t="s">
        <v>16026</v>
      </c>
      <c r="D12868" t="s">
        <v>19034</v>
      </c>
      <c r="E12868" t="s">
        <v>29999</v>
      </c>
      <c r="F12868" t="s">
        <v>32606</v>
      </c>
      <c r="G12868" t="s">
        <v>32613</v>
      </c>
      <c r="H12868" t="s">
        <v>32623</v>
      </c>
      <c r="I12868" t="s">
        <v>17648</v>
      </c>
      <c r="J12868" t="s">
        <v>32821</v>
      </c>
      <c r="K12868" t="s">
        <v>42872</v>
      </c>
      <c r="M12868" t="s">
        <v>46845</v>
      </c>
      <c r="N12868" t="s">
        <v>47304</v>
      </c>
      <c r="O12868" t="s">
        <v>47305</v>
      </c>
      <c r="Q12868">
        <v>72</v>
      </c>
      <c r="R12868" t="s">
        <v>47320</v>
      </c>
      <c r="S12868" t="s">
        <v>47923</v>
      </c>
      <c r="T12868" t="s">
        <v>48979</v>
      </c>
      <c r="U12868" t="s">
        <v>60172</v>
      </c>
      <c r="W12868" t="s">
        <v>46845</v>
      </c>
      <c r="X12868" t="s">
        <v>47364</v>
      </c>
    </row>
    <row r="12869" spans="1:24">
      <c r="A12869">
        <f>HYPERLINK("https://www.philgeps.gov.ph/GEPSNONPILOT/Tender/SplashBidNoticeAbstractUI.aspx?menuIndex=3&amp;refID=7174109&amp;Result=3","7174109")</f>
        <v>0</v>
      </c>
      <c r="B12869" t="s">
        <v>673</v>
      </c>
      <c r="C12869" t="s">
        <v>16027</v>
      </c>
      <c r="D12869" t="s">
        <v>19060</v>
      </c>
      <c r="E12869" t="s">
        <v>30000</v>
      </c>
      <c r="F12869" t="s">
        <v>32606</v>
      </c>
      <c r="G12869" t="s">
        <v>32619</v>
      </c>
      <c r="H12869" t="s">
        <v>14201</v>
      </c>
      <c r="I12869" t="s">
        <v>7064</v>
      </c>
      <c r="J12869" t="s">
        <v>35725</v>
      </c>
      <c r="K12869" t="s">
        <v>42695</v>
      </c>
      <c r="M12869" t="s">
        <v>43593</v>
      </c>
      <c r="N12869" t="s">
        <v>47304</v>
      </c>
      <c r="O12869" t="s">
        <v>47305</v>
      </c>
      <c r="P12869">
        <v>0</v>
      </c>
      <c r="Q12869">
        <v>3</v>
      </c>
      <c r="R12869" t="s">
        <v>47319</v>
      </c>
      <c r="S12869" t="s">
        <v>47813</v>
      </c>
      <c r="T12869" t="s">
        <v>49140</v>
      </c>
      <c r="U12869" t="s">
        <v>60173</v>
      </c>
      <c r="V12869" t="s">
        <v>64054</v>
      </c>
      <c r="W12869" t="s">
        <v>43593</v>
      </c>
      <c r="X12869" t="s">
        <v>47320</v>
      </c>
    </row>
    <row r="12870" spans="1:24">
      <c r="A12870">
        <f>HYPERLINK("https://www.philgeps.gov.ph/GEPSNONPILOT/Tender/SplashBidNoticeAbstractUI.aspx?menuIndex=3&amp;refID=7174097&amp;Result=3","7174097")</f>
        <v>0</v>
      </c>
      <c r="B12870" t="s">
        <v>2755</v>
      </c>
      <c r="C12870" t="s">
        <v>16028</v>
      </c>
      <c r="D12870" t="s">
        <v>19024</v>
      </c>
      <c r="E12870" t="s">
        <v>30001</v>
      </c>
      <c r="F12870" t="s">
        <v>32606</v>
      </c>
      <c r="G12870" t="s">
        <v>32613</v>
      </c>
      <c r="H12870" t="s">
        <v>14201</v>
      </c>
      <c r="I12870" t="s">
        <v>32629</v>
      </c>
      <c r="J12870" t="s">
        <v>40732</v>
      </c>
      <c r="K12870" t="s">
        <v>42624</v>
      </c>
      <c r="M12870" t="s">
        <v>45913</v>
      </c>
      <c r="N12870" t="s">
        <v>47304</v>
      </c>
      <c r="O12870" t="s">
        <v>47305</v>
      </c>
      <c r="P12870">
        <v>0</v>
      </c>
      <c r="Q12870">
        <v>0</v>
      </c>
      <c r="R12870" t="s">
        <v>47319</v>
      </c>
      <c r="S12870" t="s">
        <v>47813</v>
      </c>
      <c r="T12870" t="s">
        <v>48992</v>
      </c>
      <c r="U12870" t="s">
        <v>60174</v>
      </c>
      <c r="W12870" t="s">
        <v>45913</v>
      </c>
      <c r="X12870" t="s">
        <v>47320</v>
      </c>
    </row>
    <row r="12871" spans="1:24">
      <c r="A12871">
        <f>HYPERLINK("https://www.philgeps.gov.ph/GEPSNONPILOT/Tender/SplashBidNoticeAbstractUI.aspx?menuIndex=3&amp;refID=7174116&amp;Result=3","7174116")</f>
        <v>0</v>
      </c>
      <c r="B12871" t="s">
        <v>342</v>
      </c>
      <c r="C12871" t="s">
        <v>16029</v>
      </c>
      <c r="D12871" t="s">
        <v>19039</v>
      </c>
      <c r="E12871" t="s">
        <v>30002</v>
      </c>
      <c r="F12871" t="s">
        <v>32606</v>
      </c>
      <c r="G12871" t="s">
        <v>32613</v>
      </c>
      <c r="H12871" t="s">
        <v>32623</v>
      </c>
      <c r="I12871" t="s">
        <v>17648</v>
      </c>
      <c r="J12871" t="s">
        <v>40733</v>
      </c>
      <c r="K12871" t="s">
        <v>42643</v>
      </c>
      <c r="M12871" t="s">
        <v>43244</v>
      </c>
      <c r="N12871" t="s">
        <v>47304</v>
      </c>
      <c r="O12871" t="s">
        <v>47305</v>
      </c>
      <c r="P12871">
        <v>0</v>
      </c>
      <c r="Q12871">
        <v>1</v>
      </c>
      <c r="R12871" t="s">
        <v>47319</v>
      </c>
      <c r="S12871" t="s">
        <v>47813</v>
      </c>
      <c r="T12871" t="s">
        <v>49002</v>
      </c>
      <c r="U12871" t="s">
        <v>60175</v>
      </c>
      <c r="W12871" t="s">
        <v>43244</v>
      </c>
      <c r="X12871" t="s">
        <v>47320</v>
      </c>
    </row>
    <row r="12872" spans="1:24">
      <c r="A12872">
        <f>HYPERLINK("https://www.philgeps.gov.ph/GEPSNONPILOT/Tender/SplashBidNoticeAbstractUI.aspx?menuIndex=3&amp;refID=7160507&amp;Result=3","7160507")</f>
        <v>0</v>
      </c>
      <c r="B12872" t="s">
        <v>1250</v>
      </c>
      <c r="C12872" t="s">
        <v>16030</v>
      </c>
      <c r="D12872" t="s">
        <v>19044</v>
      </c>
      <c r="E12872" t="s">
        <v>30003</v>
      </c>
      <c r="F12872" t="s">
        <v>32606</v>
      </c>
      <c r="G12872" t="s">
        <v>32613</v>
      </c>
      <c r="H12872" t="s">
        <v>14201</v>
      </c>
      <c r="I12872" t="s">
        <v>32691</v>
      </c>
      <c r="J12872" t="s">
        <v>40734</v>
      </c>
      <c r="K12872" t="s">
        <v>42630</v>
      </c>
      <c r="M12872" t="s">
        <v>46851</v>
      </c>
      <c r="N12872" t="s">
        <v>47304</v>
      </c>
      <c r="O12872" t="s">
        <v>47305</v>
      </c>
      <c r="P12872">
        <v>0</v>
      </c>
      <c r="Q12872">
        <v>4</v>
      </c>
      <c r="R12872" t="s">
        <v>47320</v>
      </c>
      <c r="S12872" t="s">
        <v>47917</v>
      </c>
      <c r="T12872" t="s">
        <v>49011</v>
      </c>
      <c r="U12872" t="s">
        <v>60176</v>
      </c>
      <c r="W12872" t="s">
        <v>46851</v>
      </c>
      <c r="X12872" t="s">
        <v>47326</v>
      </c>
    </row>
    <row r="12873" spans="1:24">
      <c r="A12873">
        <f>HYPERLINK("https://www.philgeps.gov.ph/GEPSNONPILOT/Tender/SplashBidNoticeAbstractUI.aspx?menuIndex=3&amp;refID=7158718&amp;Result=3","7158718")</f>
        <v>0</v>
      </c>
      <c r="B12873" t="s">
        <v>3566</v>
      </c>
      <c r="C12873" t="s">
        <v>16031</v>
      </c>
      <c r="D12873" t="s">
        <v>19003</v>
      </c>
      <c r="E12873" t="s">
        <v>30004</v>
      </c>
      <c r="F12873" t="s">
        <v>32606</v>
      </c>
      <c r="G12873" t="s">
        <v>32613</v>
      </c>
      <c r="H12873" t="s">
        <v>14201</v>
      </c>
      <c r="I12873" t="s">
        <v>4112</v>
      </c>
      <c r="J12873" t="s">
        <v>40735</v>
      </c>
      <c r="K12873" t="s">
        <v>42630</v>
      </c>
      <c r="M12873" t="s">
        <v>46852</v>
      </c>
      <c r="N12873" t="s">
        <v>47304</v>
      </c>
      <c r="O12873" t="s">
        <v>47305</v>
      </c>
      <c r="P12873">
        <v>0</v>
      </c>
      <c r="Q12873">
        <v>2</v>
      </c>
      <c r="R12873" t="s">
        <v>47320</v>
      </c>
      <c r="S12873" t="s">
        <v>47917</v>
      </c>
      <c r="T12873" t="s">
        <v>48986</v>
      </c>
      <c r="U12873" t="s">
        <v>60177</v>
      </c>
      <c r="W12873" t="s">
        <v>46852</v>
      </c>
      <c r="X12873" t="s">
        <v>47326</v>
      </c>
    </row>
    <row r="12874" spans="1:24">
      <c r="A12874">
        <f>HYPERLINK("https://www.philgeps.gov.ph/GEPSNONPILOT/Tender/SplashBidNoticeAbstractUI.aspx?menuIndex=3&amp;refID=7160331&amp;Result=3","7160331")</f>
        <v>0</v>
      </c>
      <c r="B12874" t="s">
        <v>2877</v>
      </c>
      <c r="C12874" t="s">
        <v>16032</v>
      </c>
      <c r="D12874" t="s">
        <v>19019</v>
      </c>
      <c r="E12874" t="s">
        <v>23535</v>
      </c>
      <c r="F12874" t="s">
        <v>32606</v>
      </c>
      <c r="G12874" t="s">
        <v>32613</v>
      </c>
      <c r="H12874" t="s">
        <v>32623</v>
      </c>
      <c r="I12874" t="s">
        <v>17648</v>
      </c>
      <c r="J12874" t="s">
        <v>40736</v>
      </c>
      <c r="K12874" t="s">
        <v>42643</v>
      </c>
      <c r="M12874" t="s">
        <v>46049</v>
      </c>
      <c r="N12874" t="s">
        <v>47304</v>
      </c>
      <c r="O12874" t="s">
        <v>47305</v>
      </c>
      <c r="P12874">
        <v>0</v>
      </c>
      <c r="Q12874">
        <v>0</v>
      </c>
      <c r="R12874" t="s">
        <v>47320</v>
      </c>
      <c r="S12874" t="s">
        <v>47917</v>
      </c>
      <c r="T12874" t="s">
        <v>49060</v>
      </c>
      <c r="U12874" t="s">
        <v>60178</v>
      </c>
      <c r="W12874" t="s">
        <v>46049</v>
      </c>
      <c r="X12874" t="s">
        <v>47326</v>
      </c>
    </row>
    <row r="12875" spans="1:24">
      <c r="A12875">
        <f>HYPERLINK("https://www.philgeps.gov.ph/GEPSNONPILOT/Tender/SplashBidNoticeAbstractUI.aspx?menuIndex=3&amp;refID=7174138&amp;Result=3","7174138")</f>
        <v>0</v>
      </c>
      <c r="B12875" t="s">
        <v>3552</v>
      </c>
      <c r="C12875" t="s">
        <v>16033</v>
      </c>
      <c r="D12875" t="s">
        <v>19016</v>
      </c>
      <c r="E12875" t="s">
        <v>30005</v>
      </c>
      <c r="F12875" t="s">
        <v>32606</v>
      </c>
      <c r="G12875" t="s">
        <v>32613</v>
      </c>
      <c r="H12875" t="s">
        <v>14201</v>
      </c>
      <c r="I12875" t="s">
        <v>32673</v>
      </c>
      <c r="J12875" t="s">
        <v>40737</v>
      </c>
      <c r="K12875" t="s">
        <v>42648</v>
      </c>
      <c r="M12875" t="s">
        <v>46836</v>
      </c>
      <c r="N12875" t="s">
        <v>47304</v>
      </c>
      <c r="O12875" t="s">
        <v>47305</v>
      </c>
      <c r="P12875">
        <v>0</v>
      </c>
      <c r="Q12875">
        <v>5</v>
      </c>
      <c r="R12875" t="s">
        <v>47319</v>
      </c>
      <c r="S12875" t="s">
        <v>47813</v>
      </c>
      <c r="T12875" t="s">
        <v>49028</v>
      </c>
      <c r="U12875" t="s">
        <v>60179</v>
      </c>
      <c r="W12875" t="s">
        <v>46836</v>
      </c>
      <c r="X12875" t="s">
        <v>47320</v>
      </c>
    </row>
    <row r="12876" spans="1:24">
      <c r="A12876">
        <f>HYPERLINK("https://www.philgeps.gov.ph/GEPSNONPILOT/Tender/SplashBidNoticeAbstractUI.aspx?menuIndex=3&amp;refID=7159295&amp;Result=3","7159295")</f>
        <v>0</v>
      </c>
      <c r="B12876" t="s">
        <v>3278</v>
      </c>
      <c r="C12876" t="s">
        <v>16034</v>
      </c>
      <c r="D12876" t="s">
        <v>19020</v>
      </c>
      <c r="E12876" t="s">
        <v>30006</v>
      </c>
      <c r="F12876" t="s">
        <v>32606</v>
      </c>
      <c r="G12876" t="s">
        <v>32613</v>
      </c>
      <c r="H12876" t="s">
        <v>14201</v>
      </c>
      <c r="I12876" t="s">
        <v>32632</v>
      </c>
      <c r="J12876" t="s">
        <v>40738</v>
      </c>
      <c r="K12876" t="s">
        <v>42631</v>
      </c>
      <c r="M12876" t="s">
        <v>46513</v>
      </c>
      <c r="N12876" t="s">
        <v>47304</v>
      </c>
      <c r="O12876" t="s">
        <v>47305</v>
      </c>
      <c r="P12876">
        <v>0</v>
      </c>
      <c r="Q12876">
        <v>2</v>
      </c>
      <c r="R12876" t="s">
        <v>47320</v>
      </c>
      <c r="S12876" t="s">
        <v>47917</v>
      </c>
      <c r="T12876" t="s">
        <v>48988</v>
      </c>
      <c r="U12876" t="s">
        <v>60180</v>
      </c>
      <c r="W12876" t="s">
        <v>46513</v>
      </c>
      <c r="X12876" t="s">
        <v>47326</v>
      </c>
    </row>
    <row r="12877" spans="1:24">
      <c r="A12877">
        <f>HYPERLINK("https://www.philgeps.gov.ph/GEPSNONPILOT/Tender/SplashBidNoticeAbstractUI.aspx?menuIndex=3&amp;refID=7156425&amp;Result=3","7156425")</f>
        <v>0</v>
      </c>
      <c r="B12877" t="s">
        <v>84</v>
      </c>
      <c r="C12877" t="s">
        <v>16035</v>
      </c>
      <c r="D12877" t="s">
        <v>19014</v>
      </c>
      <c r="E12877" t="s">
        <v>30007</v>
      </c>
      <c r="F12877" t="s">
        <v>32606</v>
      </c>
      <c r="G12877" t="s">
        <v>32613</v>
      </c>
      <c r="H12877" t="s">
        <v>32623</v>
      </c>
      <c r="I12877" t="s">
        <v>17648</v>
      </c>
      <c r="J12877" t="s">
        <v>40739</v>
      </c>
      <c r="K12877" t="s">
        <v>42645</v>
      </c>
      <c r="M12877" t="s">
        <v>46023</v>
      </c>
      <c r="N12877" t="s">
        <v>47304</v>
      </c>
      <c r="O12877" t="s">
        <v>47305</v>
      </c>
      <c r="P12877">
        <v>0</v>
      </c>
      <c r="Q12877">
        <v>11</v>
      </c>
      <c r="R12877" t="s">
        <v>47320</v>
      </c>
      <c r="S12877" t="s">
        <v>47917</v>
      </c>
      <c r="T12877" t="s">
        <v>48986</v>
      </c>
      <c r="U12877" t="s">
        <v>60181</v>
      </c>
      <c r="V12877" t="s">
        <v>56040</v>
      </c>
      <c r="W12877" t="s">
        <v>46023</v>
      </c>
      <c r="X12877" t="s">
        <v>47327</v>
      </c>
    </row>
    <row r="12878" spans="1:24">
      <c r="A12878">
        <f>HYPERLINK("https://www.philgeps.gov.ph/GEPSNONPILOT/Tender/SplashBidNoticeAbstractUI.aspx?menuIndex=3&amp;refID=7155283&amp;Result=3","7155283")</f>
        <v>0</v>
      </c>
      <c r="B12878" t="s">
        <v>84</v>
      </c>
      <c r="C12878" t="s">
        <v>16036</v>
      </c>
      <c r="D12878" t="s">
        <v>19014</v>
      </c>
      <c r="E12878" t="s">
        <v>30008</v>
      </c>
      <c r="F12878" t="s">
        <v>32606</v>
      </c>
      <c r="G12878" t="s">
        <v>32613</v>
      </c>
      <c r="H12878" t="s">
        <v>32623</v>
      </c>
      <c r="I12878" t="s">
        <v>17648</v>
      </c>
      <c r="J12878" t="s">
        <v>40740</v>
      </c>
      <c r="K12878" t="s">
        <v>42804</v>
      </c>
      <c r="M12878" t="s">
        <v>46023</v>
      </c>
      <c r="N12878" t="s">
        <v>47304</v>
      </c>
      <c r="O12878" t="s">
        <v>47305</v>
      </c>
      <c r="P12878">
        <v>0</v>
      </c>
      <c r="Q12878">
        <v>22</v>
      </c>
      <c r="R12878" t="s">
        <v>47320</v>
      </c>
      <c r="S12878" t="s">
        <v>47917</v>
      </c>
      <c r="T12878" t="s">
        <v>48986</v>
      </c>
      <c r="U12878" t="s">
        <v>60182</v>
      </c>
      <c r="V12878" t="s">
        <v>56040</v>
      </c>
      <c r="W12878" t="s">
        <v>46023</v>
      </c>
      <c r="X12878" t="s">
        <v>47327</v>
      </c>
    </row>
    <row r="12879" spans="1:24">
      <c r="A12879">
        <f>HYPERLINK("https://www.philgeps.gov.ph/GEPSNONPILOT/Tender/SplashBidNoticeAbstractUI.aspx?menuIndex=3&amp;refID=7156340&amp;Result=3","7156340")</f>
        <v>0</v>
      </c>
      <c r="B12879" t="s">
        <v>2115</v>
      </c>
      <c r="C12879" t="s">
        <v>16037</v>
      </c>
      <c r="D12879" t="s">
        <v>19008</v>
      </c>
      <c r="E12879" t="s">
        <v>30009</v>
      </c>
      <c r="F12879" t="s">
        <v>32606</v>
      </c>
      <c r="G12879" t="s">
        <v>32613</v>
      </c>
      <c r="H12879" t="s">
        <v>14201</v>
      </c>
      <c r="I12879" t="s">
        <v>32662</v>
      </c>
      <c r="J12879" t="s">
        <v>40741</v>
      </c>
      <c r="K12879" t="s">
        <v>42636</v>
      </c>
      <c r="M12879" t="s">
        <v>45474</v>
      </c>
      <c r="N12879" t="s">
        <v>47304</v>
      </c>
      <c r="O12879" t="s">
        <v>47305</v>
      </c>
      <c r="Q12879">
        <v>4</v>
      </c>
      <c r="R12879" t="s">
        <v>47320</v>
      </c>
      <c r="S12879" t="s">
        <v>47924</v>
      </c>
      <c r="T12879" t="s">
        <v>48971</v>
      </c>
      <c r="U12879" t="s">
        <v>60183</v>
      </c>
      <c r="V12879" t="s">
        <v>63615</v>
      </c>
      <c r="W12879" t="s">
        <v>45474</v>
      </c>
      <c r="X12879" t="s">
        <v>47327</v>
      </c>
    </row>
    <row r="12880" spans="1:24">
      <c r="A12880">
        <f>HYPERLINK("https://www.philgeps.gov.ph/GEPSNONPILOT/Tender/SplashBidNoticeAbstractUI.aspx?menuIndex=3&amp;refID=7153786&amp;Result=3","7153786")</f>
        <v>0</v>
      </c>
      <c r="B12880" t="s">
        <v>507</v>
      </c>
      <c r="C12880" t="s">
        <v>16038</v>
      </c>
      <c r="E12880" t="s">
        <v>30010</v>
      </c>
      <c r="F12880" t="s">
        <v>32606</v>
      </c>
      <c r="G12880" t="s">
        <v>32613</v>
      </c>
      <c r="H12880" t="s">
        <v>14201</v>
      </c>
      <c r="I12880" t="s">
        <v>7064</v>
      </c>
      <c r="J12880" t="s">
        <v>34128</v>
      </c>
      <c r="K12880" t="s">
        <v>42631</v>
      </c>
      <c r="M12880" t="s">
        <v>46853</v>
      </c>
      <c r="N12880" t="s">
        <v>47304</v>
      </c>
      <c r="O12880" t="s">
        <v>47305</v>
      </c>
      <c r="P12880">
        <v>0</v>
      </c>
      <c r="Q12880">
        <v>2</v>
      </c>
      <c r="R12880" t="s">
        <v>47320</v>
      </c>
      <c r="S12880" t="s">
        <v>47917</v>
      </c>
      <c r="T12880" t="s">
        <v>48986</v>
      </c>
      <c r="U12880" t="s">
        <v>60184</v>
      </c>
      <c r="V12880" t="s">
        <v>64055</v>
      </c>
      <c r="W12880" t="s">
        <v>46853</v>
      </c>
      <c r="X12880" t="s">
        <v>47328</v>
      </c>
    </row>
    <row r="12881" spans="1:24">
      <c r="A12881">
        <f>HYPERLINK("https://www.philgeps.gov.ph/GEPSNONPILOT/Tender/SplashBidNoticeAbstractUI.aspx?menuIndex=3&amp;refID=7152575&amp;Result=3","7152575")</f>
        <v>0</v>
      </c>
      <c r="B12881" t="s">
        <v>3561</v>
      </c>
      <c r="C12881" t="s">
        <v>16039</v>
      </c>
      <c r="D12881" t="s">
        <v>19038</v>
      </c>
      <c r="E12881" t="s">
        <v>29986</v>
      </c>
      <c r="F12881" t="s">
        <v>32606</v>
      </c>
      <c r="G12881" t="s">
        <v>32613</v>
      </c>
      <c r="H12881" t="s">
        <v>14201</v>
      </c>
      <c r="I12881" t="s">
        <v>6931</v>
      </c>
      <c r="J12881" t="s">
        <v>40742</v>
      </c>
      <c r="K12881" t="s">
        <v>42631</v>
      </c>
      <c r="M12881" t="s">
        <v>46846</v>
      </c>
      <c r="N12881" t="s">
        <v>47304</v>
      </c>
      <c r="O12881" t="s">
        <v>47305</v>
      </c>
      <c r="P12881">
        <v>0</v>
      </c>
      <c r="Q12881">
        <v>0</v>
      </c>
      <c r="R12881" t="s">
        <v>47320</v>
      </c>
      <c r="S12881" t="s">
        <v>47917</v>
      </c>
      <c r="T12881" t="s">
        <v>49040</v>
      </c>
      <c r="U12881" t="s">
        <v>60185</v>
      </c>
      <c r="W12881" t="s">
        <v>46846</v>
      </c>
      <c r="X12881" t="s">
        <v>47328</v>
      </c>
    </row>
    <row r="12882" spans="1:24">
      <c r="A12882">
        <f>HYPERLINK("https://www.philgeps.gov.ph/GEPSNONPILOT/Tender/SplashBidNoticeAbstractUI.aspx?menuIndex=3&amp;refID=7174179&amp;Result=3","7174179")</f>
        <v>0</v>
      </c>
      <c r="B12882" t="s">
        <v>1808</v>
      </c>
      <c r="C12882" t="s">
        <v>16040</v>
      </c>
      <c r="D12882" t="s">
        <v>19023</v>
      </c>
      <c r="E12882" t="s">
        <v>30011</v>
      </c>
      <c r="F12882" t="s">
        <v>32606</v>
      </c>
      <c r="G12882" t="s">
        <v>32613</v>
      </c>
      <c r="H12882" t="s">
        <v>14201</v>
      </c>
      <c r="I12882" t="s">
        <v>32663</v>
      </c>
      <c r="J12882" t="s">
        <v>40743</v>
      </c>
      <c r="K12882" t="s">
        <v>42623</v>
      </c>
      <c r="M12882" t="s">
        <v>44849</v>
      </c>
      <c r="N12882" t="s">
        <v>47304</v>
      </c>
      <c r="O12882" t="s">
        <v>47305</v>
      </c>
      <c r="Q12882">
        <v>1</v>
      </c>
      <c r="R12882" t="s">
        <v>47319</v>
      </c>
      <c r="S12882" t="s">
        <v>47925</v>
      </c>
      <c r="T12882" t="s">
        <v>49011</v>
      </c>
      <c r="U12882" t="s">
        <v>60186</v>
      </c>
      <c r="V12882" t="s">
        <v>63262</v>
      </c>
      <c r="W12882" t="s">
        <v>44849</v>
      </c>
      <c r="X12882" t="s">
        <v>47320</v>
      </c>
    </row>
    <row r="12883" spans="1:24">
      <c r="A12883">
        <f>HYPERLINK("https://www.philgeps.gov.ph/GEPSNONPILOT/Tender/SplashBidNoticeAbstractUI.aspx?menuIndex=3&amp;refID=7153194&amp;Result=3","7153194")</f>
        <v>0</v>
      </c>
      <c r="B12883" t="s">
        <v>966</v>
      </c>
      <c r="C12883" t="s">
        <v>16041</v>
      </c>
      <c r="D12883" t="s">
        <v>19056</v>
      </c>
      <c r="E12883" t="s">
        <v>30012</v>
      </c>
      <c r="F12883" t="s">
        <v>32606</v>
      </c>
      <c r="G12883" t="s">
        <v>32613</v>
      </c>
      <c r="H12883" t="s">
        <v>32623</v>
      </c>
      <c r="I12883" t="s">
        <v>17648</v>
      </c>
      <c r="J12883" t="s">
        <v>32893</v>
      </c>
      <c r="K12883" t="s">
        <v>42818</v>
      </c>
      <c r="M12883" t="s">
        <v>43911</v>
      </c>
      <c r="N12883" t="s">
        <v>47304</v>
      </c>
      <c r="O12883" t="s">
        <v>47305</v>
      </c>
      <c r="P12883">
        <v>0</v>
      </c>
      <c r="Q12883">
        <v>2</v>
      </c>
      <c r="R12883" t="s">
        <v>47320</v>
      </c>
      <c r="S12883" t="s">
        <v>47917</v>
      </c>
      <c r="T12883" t="s">
        <v>49023</v>
      </c>
      <c r="U12883" t="s">
        <v>60187</v>
      </c>
      <c r="W12883" t="s">
        <v>43911</v>
      </c>
      <c r="X12883" t="s">
        <v>47328</v>
      </c>
    </row>
    <row r="12884" spans="1:24">
      <c r="A12884">
        <f>HYPERLINK("https://www.philgeps.gov.ph/GEPSNONPILOT/Tender/SplashBidNoticeAbstractUI.aspx?menuIndex=3&amp;refID=7152614&amp;Result=3","7152614")</f>
        <v>0</v>
      </c>
      <c r="B12884" t="s">
        <v>3561</v>
      </c>
      <c r="C12884" t="s">
        <v>4123</v>
      </c>
      <c r="D12884" t="s">
        <v>19038</v>
      </c>
      <c r="E12884" t="s">
        <v>29986</v>
      </c>
      <c r="F12884" t="s">
        <v>32606</v>
      </c>
      <c r="G12884" t="s">
        <v>32613</v>
      </c>
      <c r="H12884" t="s">
        <v>14201</v>
      </c>
      <c r="I12884" t="s">
        <v>4678</v>
      </c>
      <c r="J12884" t="s">
        <v>33569</v>
      </c>
      <c r="K12884" t="s">
        <v>42631</v>
      </c>
      <c r="M12884" t="s">
        <v>46846</v>
      </c>
      <c r="N12884" t="s">
        <v>47304</v>
      </c>
      <c r="O12884" t="s">
        <v>47305</v>
      </c>
      <c r="P12884">
        <v>0</v>
      </c>
      <c r="Q12884">
        <v>0</v>
      </c>
      <c r="R12884" t="s">
        <v>47320</v>
      </c>
      <c r="S12884" t="s">
        <v>47917</v>
      </c>
      <c r="T12884" t="s">
        <v>49040</v>
      </c>
      <c r="U12884" t="s">
        <v>60188</v>
      </c>
      <c r="W12884" t="s">
        <v>46846</v>
      </c>
      <c r="X12884" t="s">
        <v>47328</v>
      </c>
    </row>
    <row r="12885" spans="1:24">
      <c r="A12885">
        <f>HYPERLINK("https://www.philgeps.gov.ph/GEPSNONPILOT/Tender/SplashBidNoticeAbstractUI.aspx?menuIndex=3&amp;refID=7164647&amp;Result=3","7164647")</f>
        <v>0</v>
      </c>
      <c r="B12885" t="s">
        <v>1994</v>
      </c>
      <c r="C12885" t="s">
        <v>16042</v>
      </c>
      <c r="D12885" t="s">
        <v>19027</v>
      </c>
      <c r="E12885" t="s">
        <v>30013</v>
      </c>
      <c r="F12885" t="s">
        <v>32606</v>
      </c>
      <c r="G12885" t="s">
        <v>32613</v>
      </c>
      <c r="H12885" t="s">
        <v>14201</v>
      </c>
      <c r="I12885" t="s">
        <v>17648</v>
      </c>
      <c r="J12885" t="s">
        <v>36766</v>
      </c>
      <c r="K12885" t="s">
        <v>42646</v>
      </c>
      <c r="M12885" t="s">
        <v>45062</v>
      </c>
      <c r="N12885" t="s">
        <v>47304</v>
      </c>
      <c r="O12885" t="s">
        <v>47305</v>
      </c>
      <c r="P12885">
        <v>0</v>
      </c>
      <c r="Q12885">
        <v>0</v>
      </c>
      <c r="R12885" t="s">
        <v>47320</v>
      </c>
      <c r="S12885" t="s">
        <v>47917</v>
      </c>
      <c r="T12885" t="s">
        <v>48987</v>
      </c>
      <c r="U12885" t="s">
        <v>60189</v>
      </c>
      <c r="V12885" t="s">
        <v>64056</v>
      </c>
      <c r="W12885" t="s">
        <v>45062</v>
      </c>
      <c r="X12885" t="s">
        <v>47323</v>
      </c>
    </row>
    <row r="12886" spans="1:24">
      <c r="A12886">
        <f>HYPERLINK("https://www.philgeps.gov.ph/GEPSNONPILOT/Tender/SplashBidNoticeAbstractUI.aspx?menuIndex=3&amp;refID=7164375&amp;Result=3","7164375")</f>
        <v>0</v>
      </c>
      <c r="B12886" t="s">
        <v>1994</v>
      </c>
      <c r="C12886" t="s">
        <v>16043</v>
      </c>
      <c r="D12886" t="s">
        <v>19027</v>
      </c>
      <c r="E12886" t="s">
        <v>30014</v>
      </c>
      <c r="F12886" t="s">
        <v>32606</v>
      </c>
      <c r="G12886" t="s">
        <v>32613</v>
      </c>
      <c r="H12886" t="s">
        <v>14201</v>
      </c>
      <c r="I12886" t="s">
        <v>32631</v>
      </c>
      <c r="J12886" t="s">
        <v>40744</v>
      </c>
      <c r="K12886" t="s">
        <v>42631</v>
      </c>
      <c r="M12886" t="s">
        <v>45062</v>
      </c>
      <c r="N12886" t="s">
        <v>47304</v>
      </c>
      <c r="O12886" t="s">
        <v>47305</v>
      </c>
      <c r="P12886">
        <v>0</v>
      </c>
      <c r="Q12886">
        <v>0</v>
      </c>
      <c r="R12886" t="s">
        <v>47320</v>
      </c>
      <c r="S12886" t="s">
        <v>47917</v>
      </c>
      <c r="T12886" t="s">
        <v>48987</v>
      </c>
      <c r="U12886" t="s">
        <v>60190</v>
      </c>
      <c r="V12886" t="s">
        <v>64057</v>
      </c>
      <c r="W12886" t="s">
        <v>45062</v>
      </c>
      <c r="X12886" t="s">
        <v>47324</v>
      </c>
    </row>
    <row r="12887" spans="1:24">
      <c r="A12887">
        <f>HYPERLINK("https://www.philgeps.gov.ph/GEPSNONPILOT/Tender/SplashBidNoticeAbstractUI.aspx?menuIndex=3&amp;refID=7164378&amp;Result=3","7164378")</f>
        <v>0</v>
      </c>
      <c r="B12887" t="s">
        <v>1994</v>
      </c>
      <c r="C12887" t="s">
        <v>16044</v>
      </c>
      <c r="D12887" t="s">
        <v>19027</v>
      </c>
      <c r="E12887" t="s">
        <v>30015</v>
      </c>
      <c r="F12887" t="s">
        <v>32606</v>
      </c>
      <c r="G12887" t="s">
        <v>32613</v>
      </c>
      <c r="H12887" t="s">
        <v>32623</v>
      </c>
      <c r="I12887" t="s">
        <v>17648</v>
      </c>
      <c r="J12887" t="s">
        <v>40745</v>
      </c>
      <c r="K12887" t="s">
        <v>42646</v>
      </c>
      <c r="M12887" t="s">
        <v>45062</v>
      </c>
      <c r="N12887" t="s">
        <v>47304</v>
      </c>
      <c r="O12887" t="s">
        <v>47305</v>
      </c>
      <c r="P12887">
        <v>0</v>
      </c>
      <c r="Q12887">
        <v>0</v>
      </c>
      <c r="R12887" t="s">
        <v>47320</v>
      </c>
      <c r="S12887" t="s">
        <v>47917</v>
      </c>
      <c r="T12887" t="s">
        <v>48987</v>
      </c>
      <c r="U12887" t="s">
        <v>60191</v>
      </c>
      <c r="V12887" t="s">
        <v>64056</v>
      </c>
      <c r="W12887" t="s">
        <v>45062</v>
      </c>
      <c r="X12887" t="s">
        <v>47324</v>
      </c>
    </row>
    <row r="12888" spans="1:24">
      <c r="A12888">
        <f>HYPERLINK("https://www.philgeps.gov.ph/GEPSNONPILOT/Tender/SplashBidNoticeAbstractUI.aspx?menuIndex=3&amp;refID=7163405&amp;Result=3","7163405")</f>
        <v>0</v>
      </c>
      <c r="B12888" t="s">
        <v>233</v>
      </c>
      <c r="C12888" t="s">
        <v>16045</v>
      </c>
      <c r="D12888" t="s">
        <v>18997</v>
      </c>
      <c r="E12888" t="s">
        <v>30016</v>
      </c>
      <c r="F12888" t="s">
        <v>32606</v>
      </c>
      <c r="G12888" t="s">
        <v>32613</v>
      </c>
      <c r="H12888" t="s">
        <v>32623</v>
      </c>
      <c r="I12888" t="s">
        <v>17648</v>
      </c>
      <c r="J12888" t="s">
        <v>38405</v>
      </c>
      <c r="K12888" t="s">
        <v>42873</v>
      </c>
      <c r="M12888" t="s">
        <v>44359</v>
      </c>
      <c r="N12888" t="s">
        <v>47304</v>
      </c>
      <c r="O12888" t="s">
        <v>47305</v>
      </c>
      <c r="Q12888">
        <v>14</v>
      </c>
      <c r="R12888" t="s">
        <v>47320</v>
      </c>
      <c r="S12888" t="s">
        <v>47926</v>
      </c>
      <c r="T12888" t="s">
        <v>49065</v>
      </c>
      <c r="U12888" t="s">
        <v>60192</v>
      </c>
      <c r="V12888" t="s">
        <v>63002</v>
      </c>
      <c r="W12888" t="s">
        <v>44359</v>
      </c>
      <c r="X12888" t="s">
        <v>47325</v>
      </c>
    </row>
    <row r="12889" spans="1:24">
      <c r="A12889">
        <f>HYPERLINK("https://www.philgeps.gov.ph/GEPSNONPILOT/Tender/SplashBidNoticeAbstractUI.aspx?menuIndex=3&amp;refID=7163385&amp;Result=3","7163385")</f>
        <v>0</v>
      </c>
      <c r="B12889" t="s">
        <v>1500</v>
      </c>
      <c r="C12889" t="s">
        <v>16046</v>
      </c>
      <c r="D12889" t="s">
        <v>19036</v>
      </c>
      <c r="E12889" t="s">
        <v>30017</v>
      </c>
      <c r="F12889" t="s">
        <v>32606</v>
      </c>
      <c r="G12889" t="s">
        <v>32614</v>
      </c>
      <c r="H12889" t="s">
        <v>14201</v>
      </c>
      <c r="I12889" t="s">
        <v>32652</v>
      </c>
      <c r="J12889" t="s">
        <v>32778</v>
      </c>
      <c r="K12889" t="s">
        <v>42631</v>
      </c>
      <c r="M12889" t="s">
        <v>46586</v>
      </c>
      <c r="N12889" t="s">
        <v>47304</v>
      </c>
      <c r="O12889" t="s">
        <v>47305</v>
      </c>
      <c r="Q12889">
        <v>1</v>
      </c>
      <c r="R12889" t="s">
        <v>47320</v>
      </c>
      <c r="S12889" t="s">
        <v>47927</v>
      </c>
      <c r="T12889" t="s">
        <v>49071</v>
      </c>
      <c r="U12889" t="s">
        <v>60193</v>
      </c>
      <c r="W12889" t="s">
        <v>46586</v>
      </c>
      <c r="X12889" t="s">
        <v>47325</v>
      </c>
    </row>
    <row r="12890" spans="1:24">
      <c r="A12890">
        <f>HYPERLINK("https://www.philgeps.gov.ph/GEPSNONPILOT/Tender/SplashBidNoticeAbstractUI.aspx?menuIndex=3&amp;refID=7163269&amp;Result=3","7163269")</f>
        <v>0</v>
      </c>
      <c r="B12890" t="s">
        <v>1029</v>
      </c>
      <c r="C12890" t="s">
        <v>16047</v>
      </c>
      <c r="D12890" t="s">
        <v>19028</v>
      </c>
      <c r="E12890" t="s">
        <v>30018</v>
      </c>
      <c r="F12890" t="s">
        <v>32606</v>
      </c>
      <c r="G12890" t="s">
        <v>32613</v>
      </c>
      <c r="H12890" t="s">
        <v>32623</v>
      </c>
      <c r="I12890" t="s">
        <v>17648</v>
      </c>
      <c r="J12890" t="s">
        <v>40746</v>
      </c>
      <c r="K12890" t="s">
        <v>42646</v>
      </c>
      <c r="M12890" t="s">
        <v>43982</v>
      </c>
      <c r="N12890" t="s">
        <v>47304</v>
      </c>
      <c r="O12890" t="s">
        <v>47305</v>
      </c>
      <c r="P12890">
        <v>0</v>
      </c>
      <c r="Q12890">
        <v>4</v>
      </c>
      <c r="R12890" t="s">
        <v>47320</v>
      </c>
      <c r="S12890" t="s">
        <v>47917</v>
      </c>
      <c r="T12890" t="s">
        <v>49175</v>
      </c>
      <c r="U12890" t="s">
        <v>60194</v>
      </c>
      <c r="W12890" t="s">
        <v>43982</v>
      </c>
      <c r="X12890" t="s">
        <v>47325</v>
      </c>
    </row>
    <row r="12891" spans="1:24">
      <c r="A12891">
        <f>HYPERLINK("https://www.philgeps.gov.ph/GEPSNONPILOT/Tender/SplashBidNoticeAbstractUI.aspx?menuIndex=3&amp;refID=7164908&amp;Result=3","7164908")</f>
        <v>0</v>
      </c>
      <c r="B12891" t="s">
        <v>3567</v>
      </c>
      <c r="C12891" t="s">
        <v>16048</v>
      </c>
      <c r="D12891" t="s">
        <v>19060</v>
      </c>
      <c r="E12891" t="s">
        <v>30019</v>
      </c>
      <c r="F12891" t="s">
        <v>32606</v>
      </c>
      <c r="G12891" t="s">
        <v>32613</v>
      </c>
      <c r="H12891" t="s">
        <v>32623</v>
      </c>
      <c r="I12891" t="s">
        <v>17648</v>
      </c>
      <c r="J12891" t="s">
        <v>40747</v>
      </c>
      <c r="K12891" t="s">
        <v>42675</v>
      </c>
      <c r="M12891" t="s">
        <v>46854</v>
      </c>
      <c r="N12891" t="s">
        <v>47304</v>
      </c>
      <c r="O12891" t="s">
        <v>47305</v>
      </c>
      <c r="P12891">
        <v>0</v>
      </c>
      <c r="Q12891">
        <v>1</v>
      </c>
      <c r="R12891" t="s">
        <v>47320</v>
      </c>
      <c r="S12891" t="s">
        <v>47917</v>
      </c>
      <c r="T12891" t="s">
        <v>49023</v>
      </c>
      <c r="U12891" t="s">
        <v>60195</v>
      </c>
      <c r="W12891" t="s">
        <v>46854</v>
      </c>
      <c r="X12891" t="s">
        <v>47323</v>
      </c>
    </row>
    <row r="12892" spans="1:24">
      <c r="A12892">
        <f>HYPERLINK("https://www.philgeps.gov.ph/GEPSNONPILOT/Tender/SplashBidNoticeAbstractUI.aspx?menuIndex=3&amp;refID=7163248&amp;Result=3","7163248")</f>
        <v>0</v>
      </c>
      <c r="B12892" t="s">
        <v>3125</v>
      </c>
      <c r="C12892" t="s">
        <v>16049</v>
      </c>
      <c r="D12892" t="s">
        <v>19051</v>
      </c>
      <c r="E12892" t="s">
        <v>30020</v>
      </c>
      <c r="F12892" t="s">
        <v>32606</v>
      </c>
      <c r="G12892" t="s">
        <v>32613</v>
      </c>
      <c r="H12892" t="s">
        <v>14201</v>
      </c>
      <c r="I12892" t="s">
        <v>32633</v>
      </c>
      <c r="J12892" t="s">
        <v>40748</v>
      </c>
      <c r="K12892" t="s">
        <v>42631</v>
      </c>
      <c r="M12892" t="s">
        <v>46336</v>
      </c>
      <c r="N12892" t="s">
        <v>47304</v>
      </c>
      <c r="O12892" t="s">
        <v>47305</v>
      </c>
      <c r="Q12892">
        <v>15</v>
      </c>
      <c r="R12892" t="s">
        <v>47320</v>
      </c>
      <c r="S12892" t="s">
        <v>47928</v>
      </c>
      <c r="T12892" t="s">
        <v>48986</v>
      </c>
      <c r="U12892" t="s">
        <v>60196</v>
      </c>
      <c r="V12892" t="s">
        <v>64058</v>
      </c>
      <c r="W12892" t="s">
        <v>46336</v>
      </c>
      <c r="X12892" t="s">
        <v>47325</v>
      </c>
    </row>
    <row r="12893" spans="1:24">
      <c r="A12893">
        <f>HYPERLINK("https://www.philgeps.gov.ph/GEPSNONPILOT/Tender/SplashBidNoticeAbstractUI.aspx?menuIndex=3&amp;refID=7164624&amp;Result=3","7164624")</f>
        <v>0</v>
      </c>
      <c r="B12893" t="s">
        <v>1806</v>
      </c>
      <c r="C12893" t="s">
        <v>16050</v>
      </c>
      <c r="D12893" t="s">
        <v>19023</v>
      </c>
      <c r="E12893" t="s">
        <v>30021</v>
      </c>
      <c r="F12893" t="s">
        <v>32606</v>
      </c>
      <c r="G12893" t="s">
        <v>32613</v>
      </c>
      <c r="H12893" t="s">
        <v>14201</v>
      </c>
      <c r="I12893" t="s">
        <v>32629</v>
      </c>
      <c r="J12893" t="s">
        <v>40749</v>
      </c>
      <c r="K12893" t="s">
        <v>42631</v>
      </c>
      <c r="M12893" t="s">
        <v>44847</v>
      </c>
      <c r="N12893" t="s">
        <v>47304</v>
      </c>
      <c r="O12893" t="s">
        <v>47305</v>
      </c>
      <c r="P12893">
        <v>0</v>
      </c>
      <c r="Q12893">
        <v>2</v>
      </c>
      <c r="R12893" t="s">
        <v>47320</v>
      </c>
      <c r="S12893" t="s">
        <v>47917</v>
      </c>
      <c r="T12893" t="s">
        <v>48986</v>
      </c>
      <c r="U12893" t="s">
        <v>60197</v>
      </c>
      <c r="V12893" t="s">
        <v>62846</v>
      </c>
      <c r="W12893" t="s">
        <v>44847</v>
      </c>
      <c r="X12893" t="s">
        <v>47324</v>
      </c>
    </row>
    <row r="12894" spans="1:24">
      <c r="A12894">
        <f>HYPERLINK("https://www.philgeps.gov.ph/GEPSNONPILOT/Tender/SplashBidNoticeAbstractUI.aspx?menuIndex=3&amp;refID=3202645&amp;Result=3","3202645")</f>
        <v>0</v>
      </c>
      <c r="B12894" t="s">
        <v>3568</v>
      </c>
      <c r="C12894" t="s">
        <v>16051</v>
      </c>
      <c r="D12894" t="s">
        <v>19022</v>
      </c>
      <c r="E12894" t="s">
        <v>30022</v>
      </c>
      <c r="F12894" t="s">
        <v>32606</v>
      </c>
      <c r="G12894" t="s">
        <v>32613</v>
      </c>
      <c r="H12894" t="s">
        <v>32623</v>
      </c>
      <c r="I12894" t="s">
        <v>17648</v>
      </c>
      <c r="J12894" t="s">
        <v>36512</v>
      </c>
      <c r="K12894" t="s">
        <v>42677</v>
      </c>
      <c r="M12894" t="s">
        <v>46855</v>
      </c>
      <c r="N12894" t="s">
        <v>47304</v>
      </c>
      <c r="O12894" t="s">
        <v>47305</v>
      </c>
      <c r="P12894">
        <v>0</v>
      </c>
      <c r="Q12894">
        <v>0</v>
      </c>
      <c r="R12894" t="s">
        <v>47320</v>
      </c>
      <c r="S12894" t="s">
        <v>47917</v>
      </c>
      <c r="T12894" t="s">
        <v>49076</v>
      </c>
      <c r="U12894" t="s">
        <v>60198</v>
      </c>
      <c r="W12894" t="s">
        <v>46855</v>
      </c>
      <c r="X12894" t="s">
        <v>64574</v>
      </c>
    </row>
    <row r="12895" spans="1:24">
      <c r="A12895">
        <f>HYPERLINK("https://www.philgeps.gov.ph/GEPSNONPILOT/Tender/SplashBidNoticeAbstractUI.aspx?menuIndex=3&amp;refID=7162875&amp;Result=3","7162875")</f>
        <v>0</v>
      </c>
      <c r="B12895" t="s">
        <v>648</v>
      </c>
      <c r="C12895" t="s">
        <v>16052</v>
      </c>
      <c r="D12895" t="s">
        <v>19059</v>
      </c>
      <c r="E12895" t="s">
        <v>30023</v>
      </c>
      <c r="F12895" t="s">
        <v>32606</v>
      </c>
      <c r="G12895" t="s">
        <v>32613</v>
      </c>
      <c r="H12895" t="s">
        <v>14201</v>
      </c>
      <c r="I12895" t="s">
        <v>6931</v>
      </c>
      <c r="J12895" t="s">
        <v>40750</v>
      </c>
      <c r="K12895" t="s">
        <v>42636</v>
      </c>
      <c r="M12895" t="s">
        <v>43566</v>
      </c>
      <c r="N12895" t="s">
        <v>47304</v>
      </c>
      <c r="O12895" t="s">
        <v>47305</v>
      </c>
      <c r="P12895">
        <v>0</v>
      </c>
      <c r="Q12895">
        <v>1</v>
      </c>
      <c r="R12895" t="s">
        <v>47320</v>
      </c>
      <c r="S12895" t="s">
        <v>47917</v>
      </c>
      <c r="T12895" t="s">
        <v>49020</v>
      </c>
      <c r="U12895" t="s">
        <v>60199</v>
      </c>
      <c r="W12895" t="s">
        <v>43566</v>
      </c>
      <c r="X12895" t="s">
        <v>47325</v>
      </c>
    </row>
    <row r="12896" spans="1:24">
      <c r="A12896">
        <f>HYPERLINK("https://www.philgeps.gov.ph/GEPSNONPILOT/Tender/SplashBidNoticeAbstractUI.aspx?menuIndex=3&amp;refID=7166601&amp;Result=3","7166601")</f>
        <v>0</v>
      </c>
      <c r="B12896" t="s">
        <v>594</v>
      </c>
      <c r="C12896" t="s">
        <v>16053</v>
      </c>
      <c r="E12896" t="s">
        <v>22878</v>
      </c>
      <c r="F12896" t="s">
        <v>32606</v>
      </c>
      <c r="G12896" t="s">
        <v>32613</v>
      </c>
      <c r="H12896" t="s">
        <v>14201</v>
      </c>
      <c r="I12896" t="s">
        <v>32660</v>
      </c>
      <c r="J12896" t="s">
        <v>40751</v>
      </c>
      <c r="K12896" t="s">
        <v>42624</v>
      </c>
      <c r="M12896" t="s">
        <v>46856</v>
      </c>
      <c r="N12896" t="s">
        <v>47304</v>
      </c>
      <c r="O12896" t="s">
        <v>47305</v>
      </c>
      <c r="P12896">
        <v>0</v>
      </c>
      <c r="Q12896">
        <v>2</v>
      </c>
      <c r="R12896" t="s">
        <v>47320</v>
      </c>
      <c r="S12896" t="s">
        <v>47917</v>
      </c>
      <c r="T12896" t="s">
        <v>49167</v>
      </c>
      <c r="U12896" t="s">
        <v>60200</v>
      </c>
      <c r="V12896" t="s">
        <v>64059</v>
      </c>
      <c r="W12896" t="s">
        <v>46856</v>
      </c>
      <c r="X12896" t="s">
        <v>47322</v>
      </c>
    </row>
    <row r="12897" spans="1:24">
      <c r="A12897">
        <f>HYPERLINK("https://www.philgeps.gov.ph/GEPSNONPILOT/Tender/SplashBidNoticeAbstractUI.aspx?menuIndex=3&amp;refID=7163301&amp;Result=3","7163301")</f>
        <v>0</v>
      </c>
      <c r="B12897" t="s">
        <v>1029</v>
      </c>
      <c r="C12897" t="s">
        <v>16054</v>
      </c>
      <c r="D12897" t="s">
        <v>19028</v>
      </c>
      <c r="E12897" t="s">
        <v>30024</v>
      </c>
      <c r="F12897" t="s">
        <v>32606</v>
      </c>
      <c r="G12897" t="s">
        <v>32613</v>
      </c>
      <c r="H12897" t="s">
        <v>32623</v>
      </c>
      <c r="I12897" t="s">
        <v>17648</v>
      </c>
      <c r="J12897" t="s">
        <v>40752</v>
      </c>
      <c r="K12897" t="s">
        <v>42646</v>
      </c>
      <c r="M12897" t="s">
        <v>43982</v>
      </c>
      <c r="N12897" t="s">
        <v>47304</v>
      </c>
      <c r="O12897" t="s">
        <v>47305</v>
      </c>
      <c r="P12897">
        <v>0</v>
      </c>
      <c r="Q12897">
        <v>1</v>
      </c>
      <c r="R12897" t="s">
        <v>47320</v>
      </c>
      <c r="S12897" t="s">
        <v>47917</v>
      </c>
      <c r="T12897" t="s">
        <v>49175</v>
      </c>
      <c r="U12897" t="s">
        <v>60201</v>
      </c>
      <c r="W12897" t="s">
        <v>43982</v>
      </c>
      <c r="X12897" t="s">
        <v>47325</v>
      </c>
    </row>
    <row r="12898" spans="1:24">
      <c r="A12898">
        <f>HYPERLINK("https://www.philgeps.gov.ph/GEPSNONPILOT/Tender/SplashBidNoticeAbstractUI.aspx?menuIndex=3&amp;refID=7166206&amp;Result=3","7166206")</f>
        <v>0</v>
      </c>
      <c r="B12898" t="s">
        <v>3454</v>
      </c>
      <c r="C12898" t="s">
        <v>16055</v>
      </c>
      <c r="D12898" t="s">
        <v>19000</v>
      </c>
      <c r="E12898" t="s">
        <v>29515</v>
      </c>
      <c r="F12898" t="s">
        <v>32606</v>
      </c>
      <c r="G12898" t="s">
        <v>32613</v>
      </c>
      <c r="H12898" t="s">
        <v>14201</v>
      </c>
      <c r="I12898" t="s">
        <v>7677</v>
      </c>
      <c r="J12898" t="s">
        <v>40753</v>
      </c>
      <c r="K12898" t="s">
        <v>42636</v>
      </c>
      <c r="M12898" t="s">
        <v>46716</v>
      </c>
      <c r="N12898" t="s">
        <v>47304</v>
      </c>
      <c r="O12898" t="s">
        <v>47305</v>
      </c>
      <c r="P12898">
        <v>0</v>
      </c>
      <c r="Q12898">
        <v>0</v>
      </c>
      <c r="R12898" t="s">
        <v>47320</v>
      </c>
      <c r="S12898" t="s">
        <v>47917</v>
      </c>
      <c r="T12898" t="s">
        <v>48977</v>
      </c>
      <c r="U12898" t="s">
        <v>60202</v>
      </c>
      <c r="W12898" t="s">
        <v>46716</v>
      </c>
      <c r="X12898" t="s">
        <v>47322</v>
      </c>
    </row>
    <row r="12899" spans="1:24">
      <c r="A12899">
        <f>HYPERLINK("https://www.philgeps.gov.ph/GEPSNONPILOT/Tender/SplashBidNoticeAbstractUI.aspx?menuIndex=3&amp;refID=7166114&amp;Result=3","7166114")</f>
        <v>0</v>
      </c>
      <c r="B12899" t="s">
        <v>3454</v>
      </c>
      <c r="C12899" t="s">
        <v>16056</v>
      </c>
      <c r="D12899" t="s">
        <v>19000</v>
      </c>
      <c r="E12899" t="s">
        <v>29475</v>
      </c>
      <c r="F12899" t="s">
        <v>32606</v>
      </c>
      <c r="G12899" t="s">
        <v>32613</v>
      </c>
      <c r="H12899" t="s">
        <v>14201</v>
      </c>
      <c r="I12899" t="s">
        <v>7677</v>
      </c>
      <c r="J12899" t="s">
        <v>35579</v>
      </c>
      <c r="K12899" t="s">
        <v>42636</v>
      </c>
      <c r="M12899" t="s">
        <v>46716</v>
      </c>
      <c r="N12899" t="s">
        <v>47304</v>
      </c>
      <c r="O12899" t="s">
        <v>47305</v>
      </c>
      <c r="P12899">
        <v>0</v>
      </c>
      <c r="Q12899">
        <v>3</v>
      </c>
      <c r="R12899" t="s">
        <v>47320</v>
      </c>
      <c r="S12899" t="s">
        <v>47917</v>
      </c>
      <c r="T12899" t="s">
        <v>48977</v>
      </c>
      <c r="U12899" t="s">
        <v>60203</v>
      </c>
      <c r="W12899" t="s">
        <v>46716</v>
      </c>
      <c r="X12899" t="s">
        <v>47322</v>
      </c>
    </row>
    <row r="12900" spans="1:24">
      <c r="A12900">
        <f>HYPERLINK("https://www.philgeps.gov.ph/GEPSNONPILOT/Tender/SplashBidNoticeAbstractUI.aspx?menuIndex=3&amp;refID=7165958&amp;Result=3","7165958")</f>
        <v>0</v>
      </c>
      <c r="B12900" t="s">
        <v>3454</v>
      </c>
      <c r="C12900" t="s">
        <v>16057</v>
      </c>
      <c r="D12900" t="s">
        <v>19000</v>
      </c>
      <c r="E12900" t="s">
        <v>30025</v>
      </c>
      <c r="F12900" t="s">
        <v>32606</v>
      </c>
      <c r="G12900" t="s">
        <v>32613</v>
      </c>
      <c r="H12900" t="s">
        <v>14201</v>
      </c>
      <c r="I12900" t="s">
        <v>4678</v>
      </c>
      <c r="J12900" t="s">
        <v>32926</v>
      </c>
      <c r="K12900" t="s">
        <v>42636</v>
      </c>
      <c r="M12900" t="s">
        <v>46716</v>
      </c>
      <c r="N12900" t="s">
        <v>47304</v>
      </c>
      <c r="O12900" t="s">
        <v>47305</v>
      </c>
      <c r="P12900">
        <v>0</v>
      </c>
      <c r="Q12900">
        <v>2</v>
      </c>
      <c r="R12900" t="s">
        <v>47320</v>
      </c>
      <c r="S12900" t="s">
        <v>47917</v>
      </c>
      <c r="T12900" t="s">
        <v>48977</v>
      </c>
      <c r="U12900" t="s">
        <v>60204</v>
      </c>
      <c r="W12900" t="s">
        <v>46716</v>
      </c>
      <c r="X12900" t="s">
        <v>47322</v>
      </c>
    </row>
    <row r="12901" spans="1:24">
      <c r="A12901">
        <f>HYPERLINK("https://www.philgeps.gov.ph/GEPSNONPILOT/Tender/SplashBidNoticeAbstractUI.aspx?menuIndex=3&amp;refID=7163196&amp;Result=3","7163196")</f>
        <v>0</v>
      </c>
      <c r="B12901" t="s">
        <v>3125</v>
      </c>
      <c r="C12901" t="s">
        <v>16058</v>
      </c>
      <c r="D12901" t="s">
        <v>19051</v>
      </c>
      <c r="E12901" t="s">
        <v>30026</v>
      </c>
      <c r="F12901" t="s">
        <v>32606</v>
      </c>
      <c r="G12901" t="s">
        <v>32613</v>
      </c>
      <c r="H12901" t="s">
        <v>14201</v>
      </c>
      <c r="I12901" t="s">
        <v>7677</v>
      </c>
      <c r="J12901" t="s">
        <v>40754</v>
      </c>
      <c r="K12901" t="s">
        <v>42631</v>
      </c>
      <c r="M12901" t="s">
        <v>46336</v>
      </c>
      <c r="N12901" t="s">
        <v>47304</v>
      </c>
      <c r="O12901" t="s">
        <v>47305</v>
      </c>
      <c r="Q12901">
        <v>9</v>
      </c>
      <c r="R12901" t="s">
        <v>47320</v>
      </c>
      <c r="S12901" t="s">
        <v>47929</v>
      </c>
      <c r="T12901" t="s">
        <v>48986</v>
      </c>
      <c r="U12901" t="s">
        <v>60205</v>
      </c>
      <c r="V12901" t="s">
        <v>64060</v>
      </c>
      <c r="W12901" t="s">
        <v>46336</v>
      </c>
      <c r="X12901" t="s">
        <v>47325</v>
      </c>
    </row>
    <row r="12902" spans="1:24">
      <c r="A12902">
        <f>HYPERLINK("https://www.philgeps.gov.ph/GEPSNONPILOT/Tender/SplashBidNoticeAbstractUI.aspx?menuIndex=3&amp;refID=7165915&amp;Result=3","7165915")</f>
        <v>0</v>
      </c>
      <c r="B12902" t="s">
        <v>3454</v>
      </c>
      <c r="C12902" t="s">
        <v>16059</v>
      </c>
      <c r="D12902" t="s">
        <v>19000</v>
      </c>
      <c r="E12902" t="s">
        <v>30027</v>
      </c>
      <c r="F12902" t="s">
        <v>32606</v>
      </c>
      <c r="G12902" t="s">
        <v>32613</v>
      </c>
      <c r="H12902" t="s">
        <v>14201</v>
      </c>
      <c r="I12902" t="s">
        <v>6007</v>
      </c>
      <c r="J12902" t="s">
        <v>32770</v>
      </c>
      <c r="K12902" t="s">
        <v>42636</v>
      </c>
      <c r="M12902" t="s">
        <v>46716</v>
      </c>
      <c r="N12902" t="s">
        <v>47304</v>
      </c>
      <c r="O12902" t="s">
        <v>47305</v>
      </c>
      <c r="P12902">
        <v>0</v>
      </c>
      <c r="Q12902">
        <v>0</v>
      </c>
      <c r="R12902" t="s">
        <v>47320</v>
      </c>
      <c r="S12902" t="s">
        <v>47917</v>
      </c>
      <c r="T12902" t="s">
        <v>48977</v>
      </c>
      <c r="U12902" t="s">
        <v>60206</v>
      </c>
      <c r="W12902" t="s">
        <v>46716</v>
      </c>
      <c r="X12902" t="s">
        <v>47322</v>
      </c>
    </row>
    <row r="12903" spans="1:24">
      <c r="A12903">
        <f>HYPERLINK("https://www.philgeps.gov.ph/GEPSNONPILOT/Tender/SplashBidNoticeAbstractUI.aspx?menuIndex=3&amp;refID=7165806&amp;Result=3","7165806")</f>
        <v>0</v>
      </c>
      <c r="B12903" t="s">
        <v>3569</v>
      </c>
      <c r="C12903" t="s">
        <v>16060</v>
      </c>
      <c r="D12903" t="s">
        <v>18993</v>
      </c>
      <c r="E12903" t="s">
        <v>30028</v>
      </c>
      <c r="F12903" t="s">
        <v>32606</v>
      </c>
      <c r="G12903" t="s">
        <v>32613</v>
      </c>
      <c r="H12903" t="s">
        <v>14201</v>
      </c>
      <c r="I12903" t="s">
        <v>32656</v>
      </c>
      <c r="J12903" t="s">
        <v>40755</v>
      </c>
      <c r="K12903" t="s">
        <v>42683</v>
      </c>
      <c r="M12903" t="s">
        <v>46857</v>
      </c>
      <c r="N12903" t="s">
        <v>47304</v>
      </c>
      <c r="O12903" t="s">
        <v>47305</v>
      </c>
      <c r="Q12903">
        <v>15</v>
      </c>
      <c r="R12903" t="s">
        <v>47320</v>
      </c>
      <c r="S12903" t="s">
        <v>47930</v>
      </c>
      <c r="T12903" t="s">
        <v>49243</v>
      </c>
      <c r="U12903" t="s">
        <v>60207</v>
      </c>
      <c r="W12903" t="s">
        <v>46857</v>
      </c>
      <c r="X12903" t="s">
        <v>47322</v>
      </c>
    </row>
    <row r="12904" spans="1:24">
      <c r="A12904">
        <f>HYPERLINK("https://www.philgeps.gov.ph/GEPSNONPILOT/Tender/SplashBidNoticeAbstractUI.aspx?menuIndex=3&amp;refID=7165838&amp;Result=3","7165838")</f>
        <v>0</v>
      </c>
      <c r="B12904" t="s">
        <v>3454</v>
      </c>
      <c r="C12904" t="s">
        <v>16061</v>
      </c>
      <c r="D12904" t="s">
        <v>19000</v>
      </c>
      <c r="E12904" t="s">
        <v>30029</v>
      </c>
      <c r="F12904" t="s">
        <v>32606</v>
      </c>
      <c r="G12904" t="s">
        <v>32613</v>
      </c>
      <c r="H12904" t="s">
        <v>14201</v>
      </c>
      <c r="I12904" t="s">
        <v>32668</v>
      </c>
      <c r="J12904" t="s">
        <v>32778</v>
      </c>
      <c r="K12904" t="s">
        <v>42636</v>
      </c>
      <c r="M12904" t="s">
        <v>46716</v>
      </c>
      <c r="N12904" t="s">
        <v>47304</v>
      </c>
      <c r="O12904" t="s">
        <v>47305</v>
      </c>
      <c r="P12904">
        <v>0</v>
      </c>
      <c r="Q12904">
        <v>4</v>
      </c>
      <c r="R12904" t="s">
        <v>47320</v>
      </c>
      <c r="S12904" t="s">
        <v>47917</v>
      </c>
      <c r="T12904" t="s">
        <v>48977</v>
      </c>
      <c r="U12904" t="s">
        <v>60208</v>
      </c>
      <c r="W12904" t="s">
        <v>46716</v>
      </c>
      <c r="X12904" t="s">
        <v>47322</v>
      </c>
    </row>
    <row r="12905" spans="1:24">
      <c r="A12905">
        <f>HYPERLINK("https://www.philgeps.gov.ph/GEPSNONPILOT/Tender/SplashBidNoticeAbstractUI.aspx?menuIndex=3&amp;refID=7166284&amp;Result=3","7166284")</f>
        <v>0</v>
      </c>
      <c r="B12905" t="s">
        <v>3454</v>
      </c>
      <c r="C12905" t="s">
        <v>16062</v>
      </c>
      <c r="D12905" t="s">
        <v>19000</v>
      </c>
      <c r="E12905" t="s">
        <v>29485</v>
      </c>
      <c r="F12905" t="s">
        <v>32606</v>
      </c>
      <c r="G12905" t="s">
        <v>32613</v>
      </c>
      <c r="H12905" t="s">
        <v>14201</v>
      </c>
      <c r="I12905" t="s">
        <v>9008</v>
      </c>
      <c r="J12905" t="s">
        <v>34942</v>
      </c>
      <c r="K12905" t="s">
        <v>42636</v>
      </c>
      <c r="M12905" t="s">
        <v>46716</v>
      </c>
      <c r="N12905" t="s">
        <v>47304</v>
      </c>
      <c r="O12905" t="s">
        <v>47305</v>
      </c>
      <c r="P12905">
        <v>0</v>
      </c>
      <c r="Q12905">
        <v>0</v>
      </c>
      <c r="R12905" t="s">
        <v>47320</v>
      </c>
      <c r="S12905" t="s">
        <v>47917</v>
      </c>
      <c r="T12905" t="s">
        <v>48977</v>
      </c>
      <c r="U12905" t="s">
        <v>60209</v>
      </c>
      <c r="W12905" t="s">
        <v>46716</v>
      </c>
      <c r="X12905" t="s">
        <v>47322</v>
      </c>
    </row>
    <row r="12906" spans="1:24">
      <c r="A12906">
        <f>HYPERLINK("https://www.philgeps.gov.ph/GEPSNONPILOT/Tender/SplashBidNoticeAbstractUI.aspx?menuIndex=3&amp;refID=7165601&amp;Result=3","7165601")</f>
        <v>0</v>
      </c>
      <c r="B12906" t="s">
        <v>48</v>
      </c>
      <c r="C12906" t="s">
        <v>16063</v>
      </c>
      <c r="D12906" t="s">
        <v>18994</v>
      </c>
      <c r="E12906" t="s">
        <v>30030</v>
      </c>
      <c r="F12906" t="s">
        <v>32606</v>
      </c>
      <c r="G12906" t="s">
        <v>32613</v>
      </c>
      <c r="H12906" t="s">
        <v>14201</v>
      </c>
      <c r="I12906" t="s">
        <v>4114</v>
      </c>
      <c r="J12906" t="s">
        <v>40756</v>
      </c>
      <c r="K12906" t="s">
        <v>42624</v>
      </c>
      <c r="L12906" t="s">
        <v>48</v>
      </c>
      <c r="M12906" t="s">
        <v>44627</v>
      </c>
      <c r="N12906" t="s">
        <v>47304</v>
      </c>
      <c r="O12906" t="s">
        <v>47305</v>
      </c>
      <c r="Q12906">
        <v>12</v>
      </c>
      <c r="R12906" t="s">
        <v>47320</v>
      </c>
      <c r="S12906" t="s">
        <v>47931</v>
      </c>
      <c r="T12906" t="s">
        <v>49017</v>
      </c>
      <c r="U12906" t="s">
        <v>60210</v>
      </c>
      <c r="W12906" t="s">
        <v>44627</v>
      </c>
      <c r="X12906" t="s">
        <v>47322</v>
      </c>
    </row>
    <row r="12907" spans="1:24">
      <c r="A12907">
        <f>HYPERLINK("https://www.philgeps.gov.ph/GEPSNONPILOT/Tender/SplashBidNoticeAbstractUI.aspx?menuIndex=3&amp;refID=7165539&amp;Result=3","7165539")</f>
        <v>0</v>
      </c>
      <c r="B12907" t="s">
        <v>48</v>
      </c>
      <c r="C12907" t="s">
        <v>16064</v>
      </c>
      <c r="D12907" t="s">
        <v>18994</v>
      </c>
      <c r="E12907" t="s">
        <v>30031</v>
      </c>
      <c r="F12907" t="s">
        <v>32606</v>
      </c>
      <c r="G12907" t="s">
        <v>32613</v>
      </c>
      <c r="H12907" t="s">
        <v>14201</v>
      </c>
      <c r="I12907" t="s">
        <v>4114</v>
      </c>
      <c r="J12907" t="s">
        <v>40757</v>
      </c>
      <c r="K12907" t="s">
        <v>42624</v>
      </c>
      <c r="L12907" t="s">
        <v>48</v>
      </c>
      <c r="M12907" t="s">
        <v>44627</v>
      </c>
      <c r="N12907" t="s">
        <v>47304</v>
      </c>
      <c r="O12907" t="s">
        <v>47305</v>
      </c>
      <c r="Q12907">
        <v>5</v>
      </c>
      <c r="R12907" t="s">
        <v>47320</v>
      </c>
      <c r="S12907" t="s">
        <v>47932</v>
      </c>
      <c r="T12907" t="s">
        <v>49017</v>
      </c>
      <c r="U12907" t="s">
        <v>60211</v>
      </c>
      <c r="W12907" t="s">
        <v>44627</v>
      </c>
      <c r="X12907" t="s">
        <v>47322</v>
      </c>
    </row>
    <row r="12908" spans="1:24">
      <c r="A12908">
        <f>HYPERLINK("https://www.philgeps.gov.ph/GEPSNONPILOT/Tender/SplashBidNoticeAbstractUI.aspx?menuIndex=3&amp;refID=7166030&amp;Result=3","7166030")</f>
        <v>0</v>
      </c>
      <c r="B12908" t="s">
        <v>3454</v>
      </c>
      <c r="C12908" t="s">
        <v>16065</v>
      </c>
      <c r="D12908" t="s">
        <v>19000</v>
      </c>
      <c r="E12908" t="s">
        <v>30032</v>
      </c>
      <c r="F12908" t="s">
        <v>32606</v>
      </c>
      <c r="G12908" t="s">
        <v>32613</v>
      </c>
      <c r="H12908" t="s">
        <v>14201</v>
      </c>
      <c r="I12908" t="s">
        <v>7677</v>
      </c>
      <c r="J12908" t="s">
        <v>33748</v>
      </c>
      <c r="K12908" t="s">
        <v>42636</v>
      </c>
      <c r="M12908" t="s">
        <v>46716</v>
      </c>
      <c r="N12908" t="s">
        <v>47304</v>
      </c>
      <c r="O12908" t="s">
        <v>47305</v>
      </c>
      <c r="P12908">
        <v>0</v>
      </c>
      <c r="Q12908">
        <v>4</v>
      </c>
      <c r="R12908" t="s">
        <v>47320</v>
      </c>
      <c r="S12908" t="s">
        <v>47917</v>
      </c>
      <c r="T12908" t="s">
        <v>48977</v>
      </c>
      <c r="U12908" t="s">
        <v>60212</v>
      </c>
      <c r="W12908" t="s">
        <v>46716</v>
      </c>
      <c r="X12908" t="s">
        <v>47322</v>
      </c>
    </row>
    <row r="12909" spans="1:24">
      <c r="A12909">
        <f>HYPERLINK("https://www.philgeps.gov.ph/GEPSNONPILOT/Tender/SplashBidNoticeAbstractUI.aspx?menuIndex=3&amp;refID=7173965&amp;Result=3","7173965")</f>
        <v>0</v>
      </c>
      <c r="B12909" t="s">
        <v>1393</v>
      </c>
      <c r="C12909" t="s">
        <v>16066</v>
      </c>
      <c r="D12909" t="s">
        <v>18993</v>
      </c>
      <c r="E12909" t="s">
        <v>30033</v>
      </c>
      <c r="F12909" t="s">
        <v>32606</v>
      </c>
      <c r="G12909" t="s">
        <v>32613</v>
      </c>
      <c r="H12909" t="s">
        <v>32623</v>
      </c>
      <c r="I12909" t="s">
        <v>17648</v>
      </c>
      <c r="J12909" t="s">
        <v>40758</v>
      </c>
      <c r="K12909" t="s">
        <v>42645</v>
      </c>
      <c r="M12909" t="s">
        <v>46833</v>
      </c>
      <c r="N12909" t="s">
        <v>47304</v>
      </c>
      <c r="O12909" t="s">
        <v>47305</v>
      </c>
      <c r="P12909">
        <v>0</v>
      </c>
      <c r="Q12909">
        <v>60</v>
      </c>
      <c r="R12909" t="s">
        <v>47319</v>
      </c>
      <c r="S12909" t="s">
        <v>47813</v>
      </c>
      <c r="T12909" t="s">
        <v>49104</v>
      </c>
      <c r="U12909" t="s">
        <v>60213</v>
      </c>
      <c r="W12909" t="s">
        <v>46833</v>
      </c>
      <c r="X12909" t="s">
        <v>47320</v>
      </c>
    </row>
    <row r="12910" spans="1:24">
      <c r="A12910">
        <f>HYPERLINK("https://www.philgeps.gov.ph/GEPSNONPILOT/Tender/SplashBidNoticeAbstractUI.aspx?menuIndex=3&amp;refID=7165538&amp;Result=3","7165538")</f>
        <v>0</v>
      </c>
      <c r="B12910" t="s">
        <v>2319</v>
      </c>
      <c r="C12910" t="s">
        <v>16067</v>
      </c>
      <c r="D12910" t="s">
        <v>19045</v>
      </c>
      <c r="E12910" t="s">
        <v>30034</v>
      </c>
      <c r="F12910" t="s">
        <v>32606</v>
      </c>
      <c r="G12910" t="s">
        <v>32613</v>
      </c>
      <c r="H12910" t="s">
        <v>14201</v>
      </c>
      <c r="I12910" t="s">
        <v>4678</v>
      </c>
      <c r="J12910" t="s">
        <v>40759</v>
      </c>
      <c r="K12910" t="s">
        <v>42622</v>
      </c>
      <c r="M12910" t="s">
        <v>45427</v>
      </c>
      <c r="N12910" t="s">
        <v>47304</v>
      </c>
      <c r="O12910" t="s">
        <v>47305</v>
      </c>
      <c r="P12910">
        <v>0</v>
      </c>
      <c r="Q12910">
        <v>7</v>
      </c>
      <c r="R12910" t="s">
        <v>47320</v>
      </c>
      <c r="S12910" t="s">
        <v>47917</v>
      </c>
      <c r="T12910" t="s">
        <v>49023</v>
      </c>
      <c r="U12910" t="s">
        <v>60214</v>
      </c>
      <c r="W12910" t="s">
        <v>45427</v>
      </c>
      <c r="X12910" t="s">
        <v>47322</v>
      </c>
    </row>
    <row r="12911" spans="1:24">
      <c r="A12911">
        <f>HYPERLINK("https://www.philgeps.gov.ph/GEPSNONPILOT/Tender/SplashBidNoticeAbstractUI.aspx?menuIndex=3&amp;refID=7165874&amp;Result=3","7165874")</f>
        <v>0</v>
      </c>
      <c r="B12911" t="s">
        <v>3454</v>
      </c>
      <c r="C12911" t="s">
        <v>16068</v>
      </c>
      <c r="D12911" t="s">
        <v>19000</v>
      </c>
      <c r="E12911" t="s">
        <v>30035</v>
      </c>
      <c r="F12911" t="s">
        <v>32606</v>
      </c>
      <c r="G12911" t="s">
        <v>32613</v>
      </c>
      <c r="H12911" t="s">
        <v>14201</v>
      </c>
      <c r="I12911" t="s">
        <v>6007</v>
      </c>
      <c r="J12911" t="s">
        <v>40760</v>
      </c>
      <c r="K12911" t="s">
        <v>42636</v>
      </c>
      <c r="M12911" t="s">
        <v>46716</v>
      </c>
      <c r="N12911" t="s">
        <v>47304</v>
      </c>
      <c r="O12911" t="s">
        <v>47305</v>
      </c>
      <c r="P12911">
        <v>0</v>
      </c>
      <c r="Q12911">
        <v>0</v>
      </c>
      <c r="R12911" t="s">
        <v>47320</v>
      </c>
      <c r="S12911" t="s">
        <v>47917</v>
      </c>
      <c r="T12911" t="s">
        <v>48977</v>
      </c>
      <c r="U12911" t="s">
        <v>60215</v>
      </c>
      <c r="W12911" t="s">
        <v>46716</v>
      </c>
      <c r="X12911" t="s">
        <v>47322</v>
      </c>
    </row>
    <row r="12912" spans="1:24">
      <c r="A12912">
        <f>HYPERLINK("https://www.philgeps.gov.ph/GEPSNONPILOT/Tender/SplashBidNoticeAbstractUI.aspx?menuIndex=3&amp;refID=7160475&amp;Result=3","7160475")</f>
        <v>0</v>
      </c>
      <c r="B12912" t="s">
        <v>1250</v>
      </c>
      <c r="C12912" t="s">
        <v>16069</v>
      </c>
      <c r="D12912" t="s">
        <v>19044</v>
      </c>
      <c r="E12912" t="s">
        <v>30036</v>
      </c>
      <c r="F12912" t="s">
        <v>32606</v>
      </c>
      <c r="G12912" t="s">
        <v>32613</v>
      </c>
      <c r="H12912" t="s">
        <v>14201</v>
      </c>
      <c r="I12912" t="s">
        <v>32650</v>
      </c>
      <c r="J12912" t="s">
        <v>33016</v>
      </c>
      <c r="K12912" t="s">
        <v>42630</v>
      </c>
      <c r="M12912" t="s">
        <v>46851</v>
      </c>
      <c r="N12912" t="s">
        <v>47304</v>
      </c>
      <c r="O12912" t="s">
        <v>47305</v>
      </c>
      <c r="P12912">
        <v>0</v>
      </c>
      <c r="Q12912">
        <v>1</v>
      </c>
      <c r="R12912" t="s">
        <v>47320</v>
      </c>
      <c r="S12912" t="s">
        <v>47917</v>
      </c>
      <c r="T12912" t="s">
        <v>49011</v>
      </c>
      <c r="U12912" t="s">
        <v>60216</v>
      </c>
      <c r="W12912" t="s">
        <v>46851</v>
      </c>
      <c r="X12912" t="s">
        <v>47326</v>
      </c>
    </row>
    <row r="12913" spans="1:24">
      <c r="A12913">
        <f>HYPERLINK("https://www.philgeps.gov.ph/GEPSNONPILOT/Tender/SplashBidNoticeAbstractUI.aspx?menuIndex=3&amp;refID=7167245&amp;Result=3","7167245")</f>
        <v>0</v>
      </c>
      <c r="B12913" t="s">
        <v>321</v>
      </c>
      <c r="C12913" t="s">
        <v>16070</v>
      </c>
      <c r="D12913" t="s">
        <v>19048</v>
      </c>
      <c r="E12913" t="s">
        <v>30037</v>
      </c>
      <c r="F12913" t="s">
        <v>32606</v>
      </c>
      <c r="G12913" t="s">
        <v>32613</v>
      </c>
      <c r="H12913" t="s">
        <v>32623</v>
      </c>
      <c r="I12913" t="s">
        <v>17648</v>
      </c>
      <c r="J12913" t="s">
        <v>33102</v>
      </c>
      <c r="K12913" t="s">
        <v>42624</v>
      </c>
      <c r="M12913" t="s">
        <v>43223</v>
      </c>
      <c r="N12913" t="s">
        <v>47304</v>
      </c>
      <c r="O12913" t="s">
        <v>47305</v>
      </c>
      <c r="P12913">
        <v>0</v>
      </c>
      <c r="Q12913">
        <v>1</v>
      </c>
      <c r="R12913" t="s">
        <v>47320</v>
      </c>
      <c r="S12913" t="s">
        <v>47917</v>
      </c>
      <c r="T12913" t="s">
        <v>49023</v>
      </c>
      <c r="U12913" t="s">
        <v>60217</v>
      </c>
      <c r="W12913" t="s">
        <v>43223</v>
      </c>
      <c r="X12913" t="s">
        <v>47322</v>
      </c>
    </row>
    <row r="12914" spans="1:24">
      <c r="A12914">
        <f>HYPERLINK("https://www.philgeps.gov.ph/GEPSNONPILOT/Tender/SplashBidNoticeAbstractUI.aspx?menuIndex=3&amp;refID=7167183&amp;Result=3","7167183")</f>
        <v>0</v>
      </c>
      <c r="B12914" t="s">
        <v>3566</v>
      </c>
      <c r="C12914" t="s">
        <v>16071</v>
      </c>
      <c r="D12914" t="s">
        <v>19003</v>
      </c>
      <c r="E12914" t="s">
        <v>21646</v>
      </c>
      <c r="F12914" t="s">
        <v>32606</v>
      </c>
      <c r="G12914" t="s">
        <v>32613</v>
      </c>
      <c r="H12914" t="s">
        <v>14201</v>
      </c>
      <c r="I12914" t="s">
        <v>4112</v>
      </c>
      <c r="J12914" t="s">
        <v>40761</v>
      </c>
      <c r="K12914" t="s">
        <v>42630</v>
      </c>
      <c r="M12914" t="s">
        <v>46852</v>
      </c>
      <c r="N12914" t="s">
        <v>47304</v>
      </c>
      <c r="O12914" t="s">
        <v>47305</v>
      </c>
      <c r="P12914">
        <v>0</v>
      </c>
      <c r="Q12914">
        <v>0</v>
      </c>
      <c r="R12914" t="s">
        <v>47320</v>
      </c>
      <c r="S12914" t="s">
        <v>47917</v>
      </c>
      <c r="T12914" t="s">
        <v>49160</v>
      </c>
      <c r="U12914" t="s">
        <v>60177</v>
      </c>
      <c r="W12914" t="s">
        <v>46852</v>
      </c>
      <c r="X12914" t="s">
        <v>47322</v>
      </c>
    </row>
    <row r="12915" spans="1:24">
      <c r="A12915">
        <f>HYPERLINK("https://www.philgeps.gov.ph/GEPSNONPILOT/Tender/SplashBidNoticeAbstractUI.aspx?menuIndex=3&amp;refID=7173298&amp;Result=3","7173298")</f>
        <v>0</v>
      </c>
      <c r="B12915" t="s">
        <v>3541</v>
      </c>
      <c r="C12915" t="s">
        <v>16072</v>
      </c>
      <c r="D12915" t="s">
        <v>19051</v>
      </c>
      <c r="E12915" t="s">
        <v>29462</v>
      </c>
      <c r="F12915" t="s">
        <v>32606</v>
      </c>
      <c r="G12915" t="s">
        <v>32613</v>
      </c>
      <c r="H12915" t="s">
        <v>14201</v>
      </c>
      <c r="I12915" t="s">
        <v>6931</v>
      </c>
      <c r="J12915" t="s">
        <v>40762</v>
      </c>
      <c r="K12915" t="s">
        <v>42622</v>
      </c>
      <c r="M12915" t="s">
        <v>46818</v>
      </c>
      <c r="N12915" t="s">
        <v>47304</v>
      </c>
      <c r="O12915" t="s">
        <v>47305</v>
      </c>
      <c r="P12915">
        <v>0</v>
      </c>
      <c r="Q12915">
        <v>1</v>
      </c>
      <c r="R12915" t="s">
        <v>47319</v>
      </c>
      <c r="S12915" t="s">
        <v>47813</v>
      </c>
      <c r="T12915" t="s">
        <v>48980</v>
      </c>
      <c r="U12915" t="s">
        <v>60218</v>
      </c>
      <c r="W12915" t="s">
        <v>46818</v>
      </c>
      <c r="X12915" t="s">
        <v>47320</v>
      </c>
    </row>
    <row r="12916" spans="1:24">
      <c r="A12916">
        <f>HYPERLINK("https://www.philgeps.gov.ph/GEPSNONPILOT/Tender/SplashBidNoticeAbstractUI.aspx?menuIndex=3&amp;refID=7167149&amp;Result=3","7167149")</f>
        <v>0</v>
      </c>
      <c r="B12916" t="s">
        <v>211</v>
      </c>
      <c r="C12916" t="s">
        <v>16073</v>
      </c>
      <c r="D12916" t="s">
        <v>19007</v>
      </c>
      <c r="E12916" t="s">
        <v>30038</v>
      </c>
      <c r="F12916" t="s">
        <v>32606</v>
      </c>
      <c r="G12916" t="s">
        <v>32613</v>
      </c>
      <c r="H12916" t="s">
        <v>14201</v>
      </c>
      <c r="I12916" t="s">
        <v>32662</v>
      </c>
      <c r="J12916" t="s">
        <v>33382</v>
      </c>
      <c r="K12916" t="s">
        <v>42624</v>
      </c>
      <c r="M12916" t="s">
        <v>43112</v>
      </c>
      <c r="N12916" t="s">
        <v>47304</v>
      </c>
      <c r="O12916" t="s">
        <v>47305</v>
      </c>
      <c r="P12916">
        <v>0</v>
      </c>
      <c r="Q12916">
        <v>39</v>
      </c>
      <c r="R12916" t="s">
        <v>47320</v>
      </c>
      <c r="S12916" t="s">
        <v>47917</v>
      </c>
      <c r="T12916" t="s">
        <v>49124</v>
      </c>
      <c r="U12916" t="s">
        <v>60219</v>
      </c>
      <c r="W12916" t="s">
        <v>43112</v>
      </c>
      <c r="X12916" t="s">
        <v>47322</v>
      </c>
    </row>
    <row r="12917" spans="1:24">
      <c r="A12917">
        <f>HYPERLINK("https://www.philgeps.gov.ph/GEPSNONPILOT/Tender/SplashBidNoticeAbstractUI.aspx?menuIndex=3&amp;refID=7167119&amp;Result=3","7167119")</f>
        <v>0</v>
      </c>
      <c r="B12917" t="s">
        <v>3153</v>
      </c>
      <c r="C12917" t="s">
        <v>16074</v>
      </c>
      <c r="D12917" t="s">
        <v>19008</v>
      </c>
      <c r="E12917" t="s">
        <v>30039</v>
      </c>
      <c r="F12917" t="s">
        <v>32606</v>
      </c>
      <c r="G12917" t="s">
        <v>32613</v>
      </c>
      <c r="H12917" t="s">
        <v>14201</v>
      </c>
      <c r="I12917" t="s">
        <v>6931</v>
      </c>
      <c r="J12917" t="s">
        <v>40763</v>
      </c>
      <c r="K12917" t="s">
        <v>42623</v>
      </c>
      <c r="M12917" t="s">
        <v>46370</v>
      </c>
      <c r="N12917" t="s">
        <v>47304</v>
      </c>
      <c r="O12917" t="s">
        <v>47305</v>
      </c>
      <c r="P12917">
        <v>0</v>
      </c>
      <c r="Q12917">
        <v>0</v>
      </c>
      <c r="R12917" t="s">
        <v>47320</v>
      </c>
      <c r="S12917" t="s">
        <v>47917</v>
      </c>
      <c r="T12917" t="s">
        <v>48988</v>
      </c>
      <c r="U12917" t="s">
        <v>60220</v>
      </c>
      <c r="W12917" t="s">
        <v>46370</v>
      </c>
      <c r="X12917" t="s">
        <v>47322</v>
      </c>
    </row>
    <row r="12918" spans="1:24">
      <c r="A12918">
        <f>HYPERLINK("https://www.philgeps.gov.ph/GEPSNONPILOT/Tender/SplashBidNoticeAbstractUI.aspx?menuIndex=3&amp;refID=7167100&amp;Result=3","7167100")</f>
        <v>0</v>
      </c>
      <c r="B12918" t="s">
        <v>211</v>
      </c>
      <c r="C12918" t="s">
        <v>16075</v>
      </c>
      <c r="D12918" t="s">
        <v>19007</v>
      </c>
      <c r="E12918" t="s">
        <v>30040</v>
      </c>
      <c r="F12918" t="s">
        <v>32606</v>
      </c>
      <c r="G12918" t="s">
        <v>32613</v>
      </c>
      <c r="H12918" t="s">
        <v>14201</v>
      </c>
      <c r="I12918" t="s">
        <v>32662</v>
      </c>
      <c r="J12918" t="s">
        <v>40305</v>
      </c>
      <c r="K12918" t="s">
        <v>42624</v>
      </c>
      <c r="M12918" t="s">
        <v>43112</v>
      </c>
      <c r="N12918" t="s">
        <v>47304</v>
      </c>
      <c r="O12918" t="s">
        <v>47305</v>
      </c>
      <c r="P12918">
        <v>0</v>
      </c>
      <c r="Q12918">
        <v>8</v>
      </c>
      <c r="R12918" t="s">
        <v>47320</v>
      </c>
      <c r="S12918" t="s">
        <v>47917</v>
      </c>
      <c r="T12918" t="s">
        <v>49124</v>
      </c>
      <c r="U12918" t="s">
        <v>60221</v>
      </c>
      <c r="W12918" t="s">
        <v>43112</v>
      </c>
      <c r="X12918" t="s">
        <v>47322</v>
      </c>
    </row>
    <row r="12919" spans="1:24">
      <c r="A12919">
        <f>HYPERLINK("https://www.philgeps.gov.ph/GEPSNONPILOT/Tender/SplashBidNoticeAbstractUI.aspx?menuIndex=3&amp;refID=7167069&amp;Result=3","7167069")</f>
        <v>0</v>
      </c>
      <c r="B12919" t="s">
        <v>211</v>
      </c>
      <c r="C12919" t="s">
        <v>16076</v>
      </c>
      <c r="D12919" t="s">
        <v>19007</v>
      </c>
      <c r="E12919" t="s">
        <v>30041</v>
      </c>
      <c r="F12919" t="s">
        <v>32606</v>
      </c>
      <c r="G12919" t="s">
        <v>32613</v>
      </c>
      <c r="H12919" t="s">
        <v>14201</v>
      </c>
      <c r="I12919" t="s">
        <v>32662</v>
      </c>
      <c r="J12919" t="s">
        <v>40764</v>
      </c>
      <c r="K12919" t="s">
        <v>42624</v>
      </c>
      <c r="M12919" t="s">
        <v>43112</v>
      </c>
      <c r="N12919" t="s">
        <v>47304</v>
      </c>
      <c r="O12919" t="s">
        <v>47305</v>
      </c>
      <c r="P12919">
        <v>0</v>
      </c>
      <c r="Q12919">
        <v>41</v>
      </c>
      <c r="R12919" t="s">
        <v>47320</v>
      </c>
      <c r="S12919" t="s">
        <v>47917</v>
      </c>
      <c r="T12919" t="s">
        <v>49124</v>
      </c>
      <c r="U12919" t="s">
        <v>60222</v>
      </c>
      <c r="W12919" t="s">
        <v>43112</v>
      </c>
      <c r="X12919" t="s">
        <v>47322</v>
      </c>
    </row>
    <row r="12920" spans="1:24">
      <c r="A12920">
        <f>HYPERLINK("https://www.philgeps.gov.ph/GEPSNONPILOT/Tender/SplashBidNoticeAbstractUI.aspx?menuIndex=3&amp;refID=7167039&amp;Result=3","7167039")</f>
        <v>0</v>
      </c>
      <c r="B12920" t="s">
        <v>211</v>
      </c>
      <c r="C12920" t="s">
        <v>16077</v>
      </c>
      <c r="D12920" t="s">
        <v>19007</v>
      </c>
      <c r="E12920" t="s">
        <v>30042</v>
      </c>
      <c r="F12920" t="s">
        <v>32606</v>
      </c>
      <c r="G12920" t="s">
        <v>32613</v>
      </c>
      <c r="H12920" t="s">
        <v>14201</v>
      </c>
      <c r="I12920" t="s">
        <v>32662</v>
      </c>
      <c r="J12920" t="s">
        <v>33598</v>
      </c>
      <c r="K12920" t="s">
        <v>42624</v>
      </c>
      <c r="M12920" t="s">
        <v>43112</v>
      </c>
      <c r="N12920" t="s">
        <v>47304</v>
      </c>
      <c r="O12920" t="s">
        <v>47305</v>
      </c>
      <c r="P12920">
        <v>0</v>
      </c>
      <c r="Q12920">
        <v>16</v>
      </c>
      <c r="R12920" t="s">
        <v>47320</v>
      </c>
      <c r="S12920" t="s">
        <v>47917</v>
      </c>
      <c r="T12920" t="s">
        <v>49124</v>
      </c>
      <c r="U12920" t="s">
        <v>60223</v>
      </c>
      <c r="W12920" t="s">
        <v>43112</v>
      </c>
      <c r="X12920" t="s">
        <v>47322</v>
      </c>
    </row>
    <row r="12921" spans="1:24">
      <c r="A12921">
        <f>HYPERLINK("https://www.philgeps.gov.ph/GEPSNONPILOT/Tender/SplashBidNoticeAbstractUI.aspx?menuIndex=3&amp;refID=7167214&amp;Result=3","7167214")</f>
        <v>0</v>
      </c>
      <c r="B12921" t="s">
        <v>211</v>
      </c>
      <c r="C12921" t="s">
        <v>16078</v>
      </c>
      <c r="D12921" t="s">
        <v>19007</v>
      </c>
      <c r="E12921" t="s">
        <v>30043</v>
      </c>
      <c r="F12921" t="s">
        <v>32606</v>
      </c>
      <c r="G12921" t="s">
        <v>32613</v>
      </c>
      <c r="H12921" t="s">
        <v>14201</v>
      </c>
      <c r="I12921" t="s">
        <v>32662</v>
      </c>
      <c r="J12921" t="s">
        <v>33039</v>
      </c>
      <c r="K12921" t="s">
        <v>42624</v>
      </c>
      <c r="M12921" t="s">
        <v>43112</v>
      </c>
      <c r="N12921" t="s">
        <v>47304</v>
      </c>
      <c r="O12921" t="s">
        <v>47305</v>
      </c>
      <c r="P12921">
        <v>0</v>
      </c>
      <c r="Q12921">
        <v>26</v>
      </c>
      <c r="R12921" t="s">
        <v>47320</v>
      </c>
      <c r="S12921" t="s">
        <v>47917</v>
      </c>
      <c r="T12921" t="s">
        <v>49124</v>
      </c>
      <c r="U12921" t="s">
        <v>60224</v>
      </c>
      <c r="W12921" t="s">
        <v>43112</v>
      </c>
      <c r="X12921" t="s">
        <v>47322</v>
      </c>
    </row>
    <row r="12922" spans="1:24">
      <c r="A12922">
        <f>HYPERLINK("https://www.philgeps.gov.ph/GEPSNONPILOT/Tender/SplashBidNoticeAbstractUI.aspx?menuIndex=3&amp;refID=7166995&amp;Result=3","7166995")</f>
        <v>0</v>
      </c>
      <c r="B12922" t="s">
        <v>211</v>
      </c>
      <c r="C12922" t="s">
        <v>16079</v>
      </c>
      <c r="D12922" t="s">
        <v>19007</v>
      </c>
      <c r="E12922" t="s">
        <v>30044</v>
      </c>
      <c r="F12922" t="s">
        <v>32606</v>
      </c>
      <c r="G12922" t="s">
        <v>32613</v>
      </c>
      <c r="H12922" t="s">
        <v>14201</v>
      </c>
      <c r="I12922" t="s">
        <v>32662</v>
      </c>
      <c r="J12922" t="s">
        <v>32821</v>
      </c>
      <c r="K12922" t="s">
        <v>42624</v>
      </c>
      <c r="M12922" t="s">
        <v>43112</v>
      </c>
      <c r="N12922" t="s">
        <v>47304</v>
      </c>
      <c r="O12922" t="s">
        <v>47305</v>
      </c>
      <c r="P12922">
        <v>0</v>
      </c>
      <c r="Q12922">
        <v>19</v>
      </c>
      <c r="R12922" t="s">
        <v>47320</v>
      </c>
      <c r="S12922" t="s">
        <v>47917</v>
      </c>
      <c r="T12922" t="s">
        <v>49124</v>
      </c>
      <c r="U12922" t="s">
        <v>60225</v>
      </c>
      <c r="W12922" t="s">
        <v>43112</v>
      </c>
      <c r="X12922" t="s">
        <v>47322</v>
      </c>
    </row>
    <row r="12923" spans="1:24">
      <c r="A12923">
        <f>HYPERLINK("https://www.philgeps.gov.ph/GEPSNONPILOT/Tender/SplashBidNoticeAbstractUI.aspx?menuIndex=3&amp;refID=7167087&amp;Result=3","7167087")</f>
        <v>0</v>
      </c>
      <c r="B12923" t="s">
        <v>754</v>
      </c>
      <c r="C12923" t="s">
        <v>16080</v>
      </c>
      <c r="D12923" t="s">
        <v>19029</v>
      </c>
      <c r="E12923" t="s">
        <v>30045</v>
      </c>
      <c r="F12923" t="s">
        <v>32606</v>
      </c>
      <c r="G12923" t="s">
        <v>32613</v>
      </c>
      <c r="H12923" t="s">
        <v>14201</v>
      </c>
      <c r="I12923" t="s">
        <v>4120</v>
      </c>
      <c r="J12923" t="s">
        <v>40765</v>
      </c>
      <c r="K12923" t="s">
        <v>42630</v>
      </c>
      <c r="M12923" t="s">
        <v>43678</v>
      </c>
      <c r="N12923" t="s">
        <v>47304</v>
      </c>
      <c r="O12923" t="s">
        <v>47305</v>
      </c>
      <c r="P12923">
        <v>0</v>
      </c>
      <c r="Q12923">
        <v>4</v>
      </c>
      <c r="R12923" t="s">
        <v>47320</v>
      </c>
      <c r="S12923" t="s">
        <v>47917</v>
      </c>
      <c r="T12923" t="s">
        <v>48986</v>
      </c>
      <c r="U12923" t="s">
        <v>60226</v>
      </c>
      <c r="V12923" t="s">
        <v>64061</v>
      </c>
      <c r="W12923" t="s">
        <v>43678</v>
      </c>
      <c r="X12923" t="s">
        <v>47322</v>
      </c>
    </row>
    <row r="12924" spans="1:24">
      <c r="A12924">
        <f>HYPERLINK("https://www.philgeps.gov.ph/GEPSNONPILOT/Tender/SplashBidNoticeAbstractUI.aspx?menuIndex=3&amp;refID=7165496&amp;Result=3","7165496")</f>
        <v>0</v>
      </c>
      <c r="B12924" t="s">
        <v>2319</v>
      </c>
      <c r="C12924" t="s">
        <v>16081</v>
      </c>
      <c r="D12924" t="s">
        <v>19045</v>
      </c>
      <c r="E12924" t="s">
        <v>30046</v>
      </c>
      <c r="F12924" t="s">
        <v>32606</v>
      </c>
      <c r="G12924" t="s">
        <v>32613</v>
      </c>
      <c r="H12924" t="s">
        <v>14201</v>
      </c>
      <c r="I12924" t="s">
        <v>4120</v>
      </c>
      <c r="J12924" t="s">
        <v>32821</v>
      </c>
      <c r="K12924" t="s">
        <v>42622</v>
      </c>
      <c r="M12924" t="s">
        <v>45427</v>
      </c>
      <c r="N12924" t="s">
        <v>47304</v>
      </c>
      <c r="O12924" t="s">
        <v>47305</v>
      </c>
      <c r="P12924">
        <v>0</v>
      </c>
      <c r="Q12924">
        <v>3</v>
      </c>
      <c r="R12924" t="s">
        <v>47320</v>
      </c>
      <c r="S12924" t="s">
        <v>47917</v>
      </c>
      <c r="T12924" t="s">
        <v>49023</v>
      </c>
      <c r="U12924" t="s">
        <v>60227</v>
      </c>
      <c r="W12924" t="s">
        <v>45427</v>
      </c>
      <c r="X12924" t="s">
        <v>47322</v>
      </c>
    </row>
    <row r="12925" spans="1:24">
      <c r="A12925">
        <f>HYPERLINK("https://www.philgeps.gov.ph/GEPSNONPILOT/Tender/SplashBidNoticeAbstractUI.aspx?menuIndex=3&amp;refID=7167042&amp;Result=3","7167042")</f>
        <v>0</v>
      </c>
      <c r="B12925" t="s">
        <v>3284</v>
      </c>
      <c r="C12925" t="s">
        <v>16082</v>
      </c>
      <c r="D12925" t="s">
        <v>18989</v>
      </c>
      <c r="E12925" t="s">
        <v>30047</v>
      </c>
      <c r="F12925" t="s">
        <v>32606</v>
      </c>
      <c r="G12925" t="s">
        <v>32613</v>
      </c>
      <c r="H12925" t="s">
        <v>14201</v>
      </c>
      <c r="I12925" t="s">
        <v>4121</v>
      </c>
      <c r="J12925" t="s">
        <v>32772</v>
      </c>
      <c r="K12925" t="s">
        <v>42631</v>
      </c>
      <c r="M12925" t="s">
        <v>46520</v>
      </c>
      <c r="N12925" t="s">
        <v>47304</v>
      </c>
      <c r="O12925" t="s">
        <v>47305</v>
      </c>
      <c r="P12925">
        <v>0</v>
      </c>
      <c r="Q12925">
        <v>9</v>
      </c>
      <c r="R12925" t="s">
        <v>47320</v>
      </c>
      <c r="S12925" t="s">
        <v>47917</v>
      </c>
      <c r="T12925" t="s">
        <v>49062</v>
      </c>
      <c r="U12925" t="s">
        <v>60228</v>
      </c>
      <c r="W12925" t="s">
        <v>46520</v>
      </c>
      <c r="X12925" t="s">
        <v>47322</v>
      </c>
    </row>
    <row r="12926" spans="1:24">
      <c r="A12926">
        <f>HYPERLINK("https://www.philgeps.gov.ph/GEPSNONPILOT/Tender/SplashBidNoticeAbstractUI.aspx?menuIndex=3&amp;refID=7165689&amp;Result=3","7165689")</f>
        <v>0</v>
      </c>
      <c r="B12926" t="s">
        <v>48</v>
      </c>
      <c r="C12926" t="s">
        <v>16083</v>
      </c>
      <c r="D12926" t="s">
        <v>18994</v>
      </c>
      <c r="E12926" t="s">
        <v>30048</v>
      </c>
      <c r="F12926" t="s">
        <v>32606</v>
      </c>
      <c r="G12926" t="s">
        <v>32613</v>
      </c>
      <c r="H12926" t="s">
        <v>14201</v>
      </c>
      <c r="I12926" t="s">
        <v>32669</v>
      </c>
      <c r="J12926" t="s">
        <v>40327</v>
      </c>
      <c r="K12926" t="s">
        <v>42624</v>
      </c>
      <c r="L12926" t="s">
        <v>48</v>
      </c>
      <c r="M12926" t="s">
        <v>44627</v>
      </c>
      <c r="N12926" t="s">
        <v>47304</v>
      </c>
      <c r="O12926" t="s">
        <v>47305</v>
      </c>
      <c r="Q12926">
        <v>3</v>
      </c>
      <c r="R12926" t="s">
        <v>47320</v>
      </c>
      <c r="S12926" t="s">
        <v>47699</v>
      </c>
      <c r="T12926" t="s">
        <v>49017</v>
      </c>
      <c r="U12926" t="s">
        <v>60229</v>
      </c>
      <c r="W12926" t="s">
        <v>44627</v>
      </c>
      <c r="X12926" t="s">
        <v>47322</v>
      </c>
    </row>
    <row r="12927" spans="1:24">
      <c r="A12927">
        <f>HYPERLINK("https://www.philgeps.gov.ph/GEPSNONPILOT/Tender/SplashBidNoticeAbstractUI.aspx?menuIndex=3&amp;refID=7166741&amp;Result=3","7166741")</f>
        <v>0</v>
      </c>
      <c r="B12927" t="s">
        <v>594</v>
      </c>
      <c r="C12927" t="s">
        <v>16084</v>
      </c>
      <c r="E12927" t="s">
        <v>30049</v>
      </c>
      <c r="F12927" t="s">
        <v>32606</v>
      </c>
      <c r="G12927" t="s">
        <v>32613</v>
      </c>
      <c r="H12927" t="s">
        <v>14201</v>
      </c>
      <c r="I12927" t="s">
        <v>32696</v>
      </c>
      <c r="J12927" t="s">
        <v>40766</v>
      </c>
      <c r="K12927" t="s">
        <v>42624</v>
      </c>
      <c r="M12927" t="s">
        <v>46856</v>
      </c>
      <c r="N12927" t="s">
        <v>47304</v>
      </c>
      <c r="O12927" t="s">
        <v>47305</v>
      </c>
      <c r="P12927">
        <v>0</v>
      </c>
      <c r="Q12927">
        <v>1</v>
      </c>
      <c r="R12927" t="s">
        <v>47320</v>
      </c>
      <c r="S12927" t="s">
        <v>47917</v>
      </c>
      <c r="T12927" t="s">
        <v>49167</v>
      </c>
      <c r="U12927" t="s">
        <v>60230</v>
      </c>
      <c r="V12927" t="s">
        <v>64059</v>
      </c>
      <c r="W12927" t="s">
        <v>46856</v>
      </c>
      <c r="X12927" t="s">
        <v>47322</v>
      </c>
    </row>
    <row r="12928" spans="1:24">
      <c r="A12928">
        <f>HYPERLINK("https://www.philgeps.gov.ph/GEPSNONPILOT/Tender/SplashBidNoticeAbstractUI.aspx?menuIndex=3&amp;refID=7165542&amp;Result=3","7165542")</f>
        <v>0</v>
      </c>
      <c r="B12928" t="s">
        <v>575</v>
      </c>
      <c r="C12928" t="s">
        <v>16085</v>
      </c>
      <c r="D12928" t="s">
        <v>19036</v>
      </c>
      <c r="E12928" t="s">
        <v>30050</v>
      </c>
      <c r="F12928" t="s">
        <v>32606</v>
      </c>
      <c r="G12928" t="s">
        <v>32613</v>
      </c>
      <c r="H12928" t="s">
        <v>14201</v>
      </c>
      <c r="I12928" t="s">
        <v>4369</v>
      </c>
      <c r="J12928" t="s">
        <v>40767</v>
      </c>
      <c r="K12928" t="s">
        <v>42623</v>
      </c>
      <c r="M12928" t="s">
        <v>44035</v>
      </c>
      <c r="N12928" t="s">
        <v>47304</v>
      </c>
      <c r="O12928" t="s">
        <v>47305</v>
      </c>
      <c r="P12928">
        <v>0</v>
      </c>
      <c r="Q12928">
        <v>11</v>
      </c>
      <c r="R12928" t="s">
        <v>47320</v>
      </c>
      <c r="S12928" t="s">
        <v>47917</v>
      </c>
      <c r="T12928" t="s">
        <v>49028</v>
      </c>
      <c r="U12928" t="s">
        <v>60231</v>
      </c>
      <c r="W12928" t="s">
        <v>44035</v>
      </c>
      <c r="X12928" t="s">
        <v>47322</v>
      </c>
    </row>
    <row r="12929" spans="1:24">
      <c r="A12929">
        <f>HYPERLINK("https://www.philgeps.gov.ph/GEPSNONPILOT/Tender/SplashBidNoticeAbstractUI.aspx?menuIndex=3&amp;refID=7166710&amp;Result=3","7166710")</f>
        <v>0</v>
      </c>
      <c r="B12929" t="s">
        <v>594</v>
      </c>
      <c r="C12929" t="s">
        <v>16086</v>
      </c>
      <c r="E12929" t="s">
        <v>30051</v>
      </c>
      <c r="F12929" t="s">
        <v>32606</v>
      </c>
      <c r="G12929" t="s">
        <v>32613</v>
      </c>
      <c r="H12929" t="s">
        <v>14201</v>
      </c>
      <c r="I12929" t="s">
        <v>4369</v>
      </c>
      <c r="J12929" t="s">
        <v>34128</v>
      </c>
      <c r="K12929" t="s">
        <v>42624</v>
      </c>
      <c r="M12929" t="s">
        <v>46856</v>
      </c>
      <c r="N12929" t="s">
        <v>47304</v>
      </c>
      <c r="O12929" t="s">
        <v>47305</v>
      </c>
      <c r="P12929">
        <v>0</v>
      </c>
      <c r="Q12929">
        <v>12</v>
      </c>
      <c r="R12929" t="s">
        <v>47320</v>
      </c>
      <c r="S12929" t="s">
        <v>47917</v>
      </c>
      <c r="T12929" t="s">
        <v>49167</v>
      </c>
      <c r="U12929" t="s">
        <v>60232</v>
      </c>
      <c r="V12929" t="s">
        <v>64059</v>
      </c>
      <c r="W12929" t="s">
        <v>46856</v>
      </c>
      <c r="X12929" t="s">
        <v>47322</v>
      </c>
    </row>
    <row r="12930" spans="1:24">
      <c r="A12930">
        <f>HYPERLINK("https://www.philgeps.gov.ph/GEPSNONPILOT/Tender/SplashBidNoticeAbstractUI.aspx?menuIndex=3&amp;refID=7166920&amp;Result=3","7166920")</f>
        <v>0</v>
      </c>
      <c r="B12930" t="s">
        <v>211</v>
      </c>
      <c r="C12930" t="s">
        <v>16087</v>
      </c>
      <c r="D12930" t="s">
        <v>19007</v>
      </c>
      <c r="E12930" t="s">
        <v>30052</v>
      </c>
      <c r="F12930" t="s">
        <v>32606</v>
      </c>
      <c r="G12930" t="s">
        <v>32613</v>
      </c>
      <c r="H12930" t="s">
        <v>14201</v>
      </c>
      <c r="I12930" t="s">
        <v>32662</v>
      </c>
      <c r="J12930" t="s">
        <v>32769</v>
      </c>
      <c r="K12930" t="s">
        <v>42624</v>
      </c>
      <c r="M12930" t="s">
        <v>43112</v>
      </c>
      <c r="N12930" t="s">
        <v>47304</v>
      </c>
      <c r="O12930" t="s">
        <v>47305</v>
      </c>
      <c r="P12930">
        <v>0</v>
      </c>
      <c r="Q12930">
        <v>24</v>
      </c>
      <c r="R12930" t="s">
        <v>47320</v>
      </c>
      <c r="S12930" t="s">
        <v>47917</v>
      </c>
      <c r="T12930" t="s">
        <v>49124</v>
      </c>
      <c r="U12930" t="s">
        <v>60233</v>
      </c>
      <c r="W12930" t="s">
        <v>43112</v>
      </c>
      <c r="X12930" t="s">
        <v>47322</v>
      </c>
    </row>
    <row r="12931" spans="1:24">
      <c r="A12931">
        <f>HYPERLINK("https://www.philgeps.gov.ph/GEPSNONPILOT/Tender/SplashBidNoticeAbstractUI.aspx?menuIndex=3&amp;refID=7165324&amp;Result=3","7165324")</f>
        <v>0</v>
      </c>
      <c r="B12931" t="s">
        <v>3570</v>
      </c>
      <c r="C12931" t="s">
        <v>16088</v>
      </c>
      <c r="D12931" t="s">
        <v>19050</v>
      </c>
      <c r="E12931" t="s">
        <v>22021</v>
      </c>
      <c r="F12931" t="s">
        <v>32606</v>
      </c>
      <c r="G12931" t="s">
        <v>32613</v>
      </c>
      <c r="H12931" t="s">
        <v>32623</v>
      </c>
      <c r="I12931" t="s">
        <v>17648</v>
      </c>
      <c r="J12931" t="s">
        <v>32772</v>
      </c>
      <c r="K12931" t="s">
        <v>42636</v>
      </c>
      <c r="M12931" t="s">
        <v>46858</v>
      </c>
      <c r="N12931" t="s">
        <v>47304</v>
      </c>
      <c r="O12931" t="s">
        <v>47305</v>
      </c>
      <c r="P12931">
        <v>0</v>
      </c>
      <c r="Q12931">
        <v>0</v>
      </c>
      <c r="R12931" t="s">
        <v>47320</v>
      </c>
      <c r="S12931" t="s">
        <v>47917</v>
      </c>
      <c r="T12931" t="s">
        <v>49017</v>
      </c>
      <c r="U12931" t="s">
        <v>60234</v>
      </c>
      <c r="W12931" t="s">
        <v>46858</v>
      </c>
      <c r="X12931" t="s">
        <v>47322</v>
      </c>
    </row>
    <row r="12932" spans="1:24">
      <c r="A12932">
        <f>HYPERLINK("https://www.philgeps.gov.ph/GEPSNONPILOT/Tender/SplashBidNoticeAbstractUI.aspx?menuIndex=3&amp;refID=7166812&amp;Result=3","7166812")</f>
        <v>0</v>
      </c>
      <c r="B12932" t="s">
        <v>211</v>
      </c>
      <c r="C12932" t="s">
        <v>16089</v>
      </c>
      <c r="D12932" t="s">
        <v>19007</v>
      </c>
      <c r="E12932" t="s">
        <v>30053</v>
      </c>
      <c r="F12932" t="s">
        <v>32606</v>
      </c>
      <c r="G12932" t="s">
        <v>32613</v>
      </c>
      <c r="H12932" t="s">
        <v>14201</v>
      </c>
      <c r="I12932" t="s">
        <v>32662</v>
      </c>
      <c r="J12932" t="s">
        <v>35297</v>
      </c>
      <c r="K12932" t="s">
        <v>42624</v>
      </c>
      <c r="M12932" t="s">
        <v>43112</v>
      </c>
      <c r="N12932" t="s">
        <v>47304</v>
      </c>
      <c r="O12932" t="s">
        <v>47305</v>
      </c>
      <c r="P12932">
        <v>0</v>
      </c>
      <c r="Q12932">
        <v>21</v>
      </c>
      <c r="R12932" t="s">
        <v>47320</v>
      </c>
      <c r="S12932" t="s">
        <v>47917</v>
      </c>
      <c r="T12932" t="s">
        <v>49124</v>
      </c>
      <c r="U12932" t="s">
        <v>60235</v>
      </c>
      <c r="W12932" t="s">
        <v>43112</v>
      </c>
      <c r="X12932" t="s">
        <v>47322</v>
      </c>
    </row>
    <row r="12933" spans="1:24">
      <c r="A12933">
        <f>HYPERLINK("https://www.philgeps.gov.ph/GEPSNONPILOT/Tender/SplashBidNoticeAbstractUI.aspx?menuIndex=3&amp;refID=7166760&amp;Result=3","7166760")</f>
        <v>0</v>
      </c>
      <c r="B12933" t="s">
        <v>211</v>
      </c>
      <c r="C12933" t="s">
        <v>16090</v>
      </c>
      <c r="D12933" t="s">
        <v>19007</v>
      </c>
      <c r="E12933" t="s">
        <v>30054</v>
      </c>
      <c r="F12933" t="s">
        <v>32606</v>
      </c>
      <c r="G12933" t="s">
        <v>32613</v>
      </c>
      <c r="H12933" t="s">
        <v>14201</v>
      </c>
      <c r="I12933" t="s">
        <v>32647</v>
      </c>
      <c r="J12933" t="s">
        <v>35368</v>
      </c>
      <c r="K12933" t="s">
        <v>42624</v>
      </c>
      <c r="M12933" t="s">
        <v>43112</v>
      </c>
      <c r="N12933" t="s">
        <v>47304</v>
      </c>
      <c r="O12933" t="s">
        <v>47305</v>
      </c>
      <c r="Q12933">
        <v>5</v>
      </c>
      <c r="R12933" t="s">
        <v>47320</v>
      </c>
      <c r="S12933" t="s">
        <v>47933</v>
      </c>
      <c r="T12933" t="s">
        <v>48977</v>
      </c>
      <c r="U12933" t="s">
        <v>60236</v>
      </c>
      <c r="W12933" t="s">
        <v>43112</v>
      </c>
      <c r="X12933" t="s">
        <v>47322</v>
      </c>
    </row>
    <row r="12934" spans="1:24">
      <c r="A12934">
        <f>HYPERLINK("https://www.philgeps.gov.ph/GEPSNONPILOT/Tender/SplashBidNoticeAbstractUI.aspx?menuIndex=3&amp;refID=7167904&amp;Result=3","7167904")</f>
        <v>0</v>
      </c>
      <c r="B12934" t="s">
        <v>3571</v>
      </c>
      <c r="C12934" t="s">
        <v>16091</v>
      </c>
      <c r="D12934" t="s">
        <v>18988</v>
      </c>
      <c r="E12934" t="s">
        <v>30055</v>
      </c>
      <c r="F12934" t="s">
        <v>32606</v>
      </c>
      <c r="G12934" t="s">
        <v>32613</v>
      </c>
      <c r="H12934" t="s">
        <v>14201</v>
      </c>
      <c r="I12934" t="s">
        <v>4120</v>
      </c>
      <c r="J12934" t="s">
        <v>40768</v>
      </c>
      <c r="K12934" t="s">
        <v>42625</v>
      </c>
      <c r="M12934" t="s">
        <v>46859</v>
      </c>
      <c r="N12934" t="s">
        <v>47304</v>
      </c>
      <c r="O12934" t="s">
        <v>47305</v>
      </c>
      <c r="P12934">
        <v>0</v>
      </c>
      <c r="Q12934">
        <v>2</v>
      </c>
      <c r="R12934" t="s">
        <v>47320</v>
      </c>
      <c r="S12934" t="s">
        <v>47917</v>
      </c>
      <c r="T12934" t="s">
        <v>48972</v>
      </c>
      <c r="U12934" t="s">
        <v>60237</v>
      </c>
      <c r="W12934" t="s">
        <v>46859</v>
      </c>
      <c r="X12934" t="s">
        <v>47321</v>
      </c>
    </row>
    <row r="12935" spans="1:24">
      <c r="A12935">
        <f>HYPERLINK("https://www.philgeps.gov.ph/GEPSNONPILOT/Tender/SplashBidNoticeAbstractUI.aspx?menuIndex=3&amp;refID=7167886&amp;Result=3","7167886")</f>
        <v>0</v>
      </c>
      <c r="B12935" t="s">
        <v>1994</v>
      </c>
      <c r="C12935" t="s">
        <v>16092</v>
      </c>
      <c r="D12935" t="s">
        <v>19027</v>
      </c>
      <c r="E12935" t="s">
        <v>30056</v>
      </c>
      <c r="F12935" t="s">
        <v>32606</v>
      </c>
      <c r="G12935" t="s">
        <v>32613</v>
      </c>
      <c r="H12935" t="s">
        <v>14201</v>
      </c>
      <c r="I12935" t="s">
        <v>7064</v>
      </c>
      <c r="J12935" t="s">
        <v>32772</v>
      </c>
      <c r="K12935" t="s">
        <v>42631</v>
      </c>
      <c r="M12935" t="s">
        <v>45062</v>
      </c>
      <c r="N12935" t="s">
        <v>47304</v>
      </c>
      <c r="O12935" t="s">
        <v>47305</v>
      </c>
      <c r="P12935">
        <v>0</v>
      </c>
      <c r="Q12935">
        <v>2</v>
      </c>
      <c r="R12935" t="s">
        <v>47320</v>
      </c>
      <c r="S12935" t="s">
        <v>47917</v>
      </c>
      <c r="T12935" t="s">
        <v>48987</v>
      </c>
      <c r="U12935" t="s">
        <v>60238</v>
      </c>
      <c r="V12935" t="s">
        <v>64057</v>
      </c>
      <c r="W12935" t="s">
        <v>45062</v>
      </c>
      <c r="X12935" t="s">
        <v>47321</v>
      </c>
    </row>
    <row r="12936" spans="1:24">
      <c r="A12936">
        <f>HYPERLINK("https://www.philgeps.gov.ph/GEPSNONPILOT/Tender/SplashBidNoticeAbstractUI.aspx?menuIndex=3&amp;refID=7167673&amp;Result=3","7167673")</f>
        <v>0</v>
      </c>
      <c r="B12936" t="s">
        <v>444</v>
      </c>
      <c r="C12936" t="s">
        <v>16093</v>
      </c>
      <c r="D12936" t="s">
        <v>19006</v>
      </c>
      <c r="E12936" t="s">
        <v>30057</v>
      </c>
      <c r="F12936" t="s">
        <v>32606</v>
      </c>
      <c r="G12936" t="s">
        <v>32613</v>
      </c>
      <c r="H12936" t="s">
        <v>14201</v>
      </c>
      <c r="I12936" t="s">
        <v>32662</v>
      </c>
      <c r="J12936" t="s">
        <v>40769</v>
      </c>
      <c r="K12936" t="s">
        <v>42631</v>
      </c>
      <c r="M12936" t="s">
        <v>46860</v>
      </c>
      <c r="N12936" t="s">
        <v>47304</v>
      </c>
      <c r="O12936" t="s">
        <v>47305</v>
      </c>
      <c r="P12936">
        <v>0</v>
      </c>
      <c r="Q12936">
        <v>13</v>
      </c>
      <c r="R12936" t="s">
        <v>47320</v>
      </c>
      <c r="S12936" t="s">
        <v>47917</v>
      </c>
      <c r="T12936" t="s">
        <v>49073</v>
      </c>
      <c r="U12936" t="s">
        <v>60239</v>
      </c>
      <c r="W12936" t="s">
        <v>46860</v>
      </c>
      <c r="X12936" t="s">
        <v>47322</v>
      </c>
    </row>
    <row r="12937" spans="1:24">
      <c r="A12937">
        <f>HYPERLINK("https://www.philgeps.gov.ph/GEPSNONPILOT/Tender/SplashBidNoticeAbstractUI.aspx?menuIndex=3&amp;refID=7167670&amp;Result=3","7167670")</f>
        <v>0</v>
      </c>
      <c r="B12937" t="s">
        <v>444</v>
      </c>
      <c r="C12937" t="s">
        <v>16094</v>
      </c>
      <c r="D12937" t="s">
        <v>19006</v>
      </c>
      <c r="E12937" t="s">
        <v>30058</v>
      </c>
      <c r="F12937" t="s">
        <v>32606</v>
      </c>
      <c r="G12937" t="s">
        <v>32613</v>
      </c>
      <c r="H12937" t="s">
        <v>14201</v>
      </c>
      <c r="I12937" t="s">
        <v>32662</v>
      </c>
      <c r="J12937" t="s">
        <v>40770</v>
      </c>
      <c r="K12937" t="s">
        <v>42631</v>
      </c>
      <c r="M12937" t="s">
        <v>46860</v>
      </c>
      <c r="N12937" t="s">
        <v>47304</v>
      </c>
      <c r="O12937" t="s">
        <v>47305</v>
      </c>
      <c r="P12937">
        <v>0</v>
      </c>
      <c r="Q12937">
        <v>12</v>
      </c>
      <c r="R12937" t="s">
        <v>47320</v>
      </c>
      <c r="S12937" t="s">
        <v>47917</v>
      </c>
      <c r="T12937" t="s">
        <v>49073</v>
      </c>
      <c r="U12937" t="s">
        <v>60240</v>
      </c>
      <c r="W12937" t="s">
        <v>46860</v>
      </c>
      <c r="X12937" t="s">
        <v>47322</v>
      </c>
    </row>
    <row r="12938" spans="1:24">
      <c r="A12938">
        <f>HYPERLINK("https://www.philgeps.gov.ph/GEPSNONPILOT/Tender/SplashBidNoticeAbstractUI.aspx?menuIndex=3&amp;refID=7167674&amp;Result=3","7167674")</f>
        <v>0</v>
      </c>
      <c r="B12938" t="s">
        <v>1893</v>
      </c>
      <c r="C12938" t="s">
        <v>16095</v>
      </c>
      <c r="D12938" t="s">
        <v>19039</v>
      </c>
      <c r="E12938" t="s">
        <v>30059</v>
      </c>
      <c r="F12938" t="s">
        <v>32606</v>
      </c>
      <c r="G12938" t="s">
        <v>32614</v>
      </c>
      <c r="H12938" t="s">
        <v>14201</v>
      </c>
      <c r="I12938" t="s">
        <v>32658</v>
      </c>
      <c r="J12938" t="s">
        <v>34755</v>
      </c>
      <c r="K12938" t="s">
        <v>42624</v>
      </c>
      <c r="M12938" t="s">
        <v>44952</v>
      </c>
      <c r="N12938" t="s">
        <v>47304</v>
      </c>
      <c r="O12938" t="s">
        <v>47305</v>
      </c>
      <c r="Q12938">
        <v>0</v>
      </c>
      <c r="R12938" t="s">
        <v>47320</v>
      </c>
      <c r="S12938" t="s">
        <v>47934</v>
      </c>
      <c r="T12938" t="s">
        <v>49002</v>
      </c>
      <c r="U12938" t="s">
        <v>60241</v>
      </c>
      <c r="W12938" t="s">
        <v>44952</v>
      </c>
      <c r="X12938" t="s">
        <v>47322</v>
      </c>
    </row>
    <row r="12939" spans="1:24">
      <c r="A12939">
        <f>HYPERLINK("https://www.philgeps.gov.ph/GEPSNONPILOT/Tender/SplashBidNoticeAbstractUI.aspx?menuIndex=3&amp;refID=7167663&amp;Result=3","7167663")</f>
        <v>0</v>
      </c>
      <c r="B12939" t="s">
        <v>444</v>
      </c>
      <c r="C12939" t="s">
        <v>16096</v>
      </c>
      <c r="D12939" t="s">
        <v>19006</v>
      </c>
      <c r="E12939" t="s">
        <v>30060</v>
      </c>
      <c r="F12939" t="s">
        <v>32606</v>
      </c>
      <c r="G12939" t="s">
        <v>32613</v>
      </c>
      <c r="H12939" t="s">
        <v>14201</v>
      </c>
      <c r="I12939" t="s">
        <v>32662</v>
      </c>
      <c r="J12939" t="s">
        <v>40771</v>
      </c>
      <c r="K12939" t="s">
        <v>42631</v>
      </c>
      <c r="M12939" t="s">
        <v>46860</v>
      </c>
      <c r="N12939" t="s">
        <v>47304</v>
      </c>
      <c r="O12939" t="s">
        <v>47305</v>
      </c>
      <c r="P12939">
        <v>0</v>
      </c>
      <c r="Q12939">
        <v>18</v>
      </c>
      <c r="R12939" t="s">
        <v>47320</v>
      </c>
      <c r="S12939" t="s">
        <v>47917</v>
      </c>
      <c r="T12939" t="s">
        <v>49073</v>
      </c>
      <c r="U12939" t="s">
        <v>60242</v>
      </c>
      <c r="W12939" t="s">
        <v>46860</v>
      </c>
      <c r="X12939" t="s">
        <v>47322</v>
      </c>
    </row>
    <row r="12940" spans="1:24">
      <c r="A12940">
        <f>HYPERLINK("https://www.philgeps.gov.ph/GEPSNONPILOT/Tender/SplashBidNoticeAbstractUI.aspx?menuIndex=3&amp;refID=7165224&amp;Result=3","7165224")</f>
        <v>0</v>
      </c>
      <c r="B12940" t="s">
        <v>3572</v>
      </c>
      <c r="C12940" t="s">
        <v>16097</v>
      </c>
      <c r="D12940" t="s">
        <v>19037</v>
      </c>
      <c r="E12940" t="s">
        <v>20349</v>
      </c>
      <c r="F12940" t="s">
        <v>32606</v>
      </c>
      <c r="G12940" t="s">
        <v>32613</v>
      </c>
      <c r="H12940" t="s">
        <v>14201</v>
      </c>
      <c r="I12940" t="s">
        <v>17648</v>
      </c>
      <c r="J12940" t="s">
        <v>40772</v>
      </c>
      <c r="K12940" t="s">
        <v>42752</v>
      </c>
      <c r="M12940" t="s">
        <v>46861</v>
      </c>
      <c r="N12940" t="s">
        <v>47304</v>
      </c>
      <c r="O12940" t="s">
        <v>47305</v>
      </c>
      <c r="P12940">
        <v>0</v>
      </c>
      <c r="Q12940">
        <v>0</v>
      </c>
      <c r="R12940" t="s">
        <v>47320</v>
      </c>
      <c r="S12940" t="s">
        <v>47917</v>
      </c>
      <c r="T12940" t="s">
        <v>48987</v>
      </c>
      <c r="U12940" t="s">
        <v>60243</v>
      </c>
      <c r="V12940" t="s">
        <v>64062</v>
      </c>
      <c r="W12940" t="s">
        <v>46861</v>
      </c>
      <c r="X12940" t="s">
        <v>47322</v>
      </c>
    </row>
    <row r="12941" spans="1:24">
      <c r="A12941">
        <f>HYPERLINK("https://www.philgeps.gov.ph/GEPSNONPILOT/Tender/SplashBidNoticeAbstractUI.aspx?menuIndex=3&amp;refID=7167909&amp;Result=3","7167909")</f>
        <v>0</v>
      </c>
      <c r="B12941" t="s">
        <v>3571</v>
      </c>
      <c r="C12941" t="s">
        <v>16098</v>
      </c>
      <c r="D12941" t="s">
        <v>18988</v>
      </c>
      <c r="E12941" t="s">
        <v>30061</v>
      </c>
      <c r="F12941" t="s">
        <v>32606</v>
      </c>
      <c r="G12941" t="s">
        <v>32613</v>
      </c>
      <c r="H12941" t="s">
        <v>14201</v>
      </c>
      <c r="I12941" t="s">
        <v>6931</v>
      </c>
      <c r="J12941" t="s">
        <v>36765</v>
      </c>
      <c r="K12941" t="s">
        <v>42625</v>
      </c>
      <c r="M12941" t="s">
        <v>46859</v>
      </c>
      <c r="N12941" t="s">
        <v>47304</v>
      </c>
      <c r="O12941" t="s">
        <v>47305</v>
      </c>
      <c r="P12941">
        <v>0</v>
      </c>
      <c r="Q12941">
        <v>0</v>
      </c>
      <c r="R12941" t="s">
        <v>47320</v>
      </c>
      <c r="S12941" t="s">
        <v>47917</v>
      </c>
      <c r="T12941" t="s">
        <v>48972</v>
      </c>
      <c r="U12941" t="s">
        <v>60244</v>
      </c>
      <c r="W12941" t="s">
        <v>46859</v>
      </c>
      <c r="X12941" t="s">
        <v>47321</v>
      </c>
    </row>
    <row r="12942" spans="1:24">
      <c r="A12942">
        <f>HYPERLINK("https://www.philgeps.gov.ph/GEPSNONPILOT/Tender/SplashBidNoticeAbstractUI.aspx?menuIndex=3&amp;refID=7167649&amp;Result=3","7167649")</f>
        <v>0</v>
      </c>
      <c r="B12942" t="s">
        <v>444</v>
      </c>
      <c r="C12942" t="s">
        <v>16099</v>
      </c>
      <c r="D12942" t="s">
        <v>19006</v>
      </c>
      <c r="E12942" t="s">
        <v>30062</v>
      </c>
      <c r="F12942" t="s">
        <v>32606</v>
      </c>
      <c r="G12942" t="s">
        <v>32613</v>
      </c>
      <c r="H12942" t="s">
        <v>14201</v>
      </c>
      <c r="I12942" t="s">
        <v>32662</v>
      </c>
      <c r="J12942" t="s">
        <v>40773</v>
      </c>
      <c r="K12942" t="s">
        <v>42631</v>
      </c>
      <c r="M12942" t="s">
        <v>46860</v>
      </c>
      <c r="N12942" t="s">
        <v>47304</v>
      </c>
      <c r="O12942" t="s">
        <v>47305</v>
      </c>
      <c r="P12942">
        <v>0</v>
      </c>
      <c r="Q12942">
        <v>12</v>
      </c>
      <c r="R12942" t="s">
        <v>47320</v>
      </c>
      <c r="S12942" t="s">
        <v>47917</v>
      </c>
      <c r="T12942" t="s">
        <v>49157</v>
      </c>
      <c r="U12942" t="s">
        <v>60245</v>
      </c>
      <c r="W12942" t="s">
        <v>46860</v>
      </c>
      <c r="X12942" t="s">
        <v>47322</v>
      </c>
    </row>
    <row r="12943" spans="1:24">
      <c r="A12943">
        <f>HYPERLINK("https://www.philgeps.gov.ph/GEPSNONPILOT/Tender/SplashBidNoticeAbstractUI.aspx?menuIndex=3&amp;refID=7167425&amp;Result=3","7167425")</f>
        <v>0</v>
      </c>
      <c r="B12943" t="s">
        <v>444</v>
      </c>
      <c r="C12943" t="s">
        <v>16100</v>
      </c>
      <c r="D12943" t="s">
        <v>19006</v>
      </c>
      <c r="E12943" t="s">
        <v>30063</v>
      </c>
      <c r="F12943" t="s">
        <v>32606</v>
      </c>
      <c r="G12943" t="s">
        <v>32613</v>
      </c>
      <c r="H12943" t="s">
        <v>14201</v>
      </c>
      <c r="I12943" t="s">
        <v>32662</v>
      </c>
      <c r="J12943" t="s">
        <v>40774</v>
      </c>
      <c r="K12943" t="s">
        <v>42631</v>
      </c>
      <c r="M12943" t="s">
        <v>46860</v>
      </c>
      <c r="N12943" t="s">
        <v>47304</v>
      </c>
      <c r="O12943" t="s">
        <v>47305</v>
      </c>
      <c r="P12943">
        <v>0</v>
      </c>
      <c r="Q12943">
        <v>21</v>
      </c>
      <c r="R12943" t="s">
        <v>47320</v>
      </c>
      <c r="S12943" t="s">
        <v>47917</v>
      </c>
      <c r="T12943" t="s">
        <v>49157</v>
      </c>
      <c r="U12943" t="s">
        <v>60246</v>
      </c>
      <c r="W12943" t="s">
        <v>46860</v>
      </c>
      <c r="X12943" t="s">
        <v>47322</v>
      </c>
    </row>
    <row r="12944" spans="1:24">
      <c r="A12944">
        <f>HYPERLINK("https://www.philgeps.gov.ph/GEPSNONPILOT/Tender/SplashBidNoticeAbstractUI.aspx?menuIndex=3&amp;refID=7167391&amp;Result=3","7167391")</f>
        <v>0</v>
      </c>
      <c r="B12944" t="s">
        <v>496</v>
      </c>
      <c r="C12944" t="s">
        <v>16101</v>
      </c>
      <c r="D12944" t="s">
        <v>18992</v>
      </c>
      <c r="E12944" t="s">
        <v>30064</v>
      </c>
      <c r="F12944" t="s">
        <v>32606</v>
      </c>
      <c r="G12944" t="s">
        <v>32615</v>
      </c>
      <c r="H12944" t="s">
        <v>14201</v>
      </c>
      <c r="I12944" t="s">
        <v>5233</v>
      </c>
      <c r="J12944" t="s">
        <v>40775</v>
      </c>
      <c r="K12944" t="s">
        <v>42631</v>
      </c>
      <c r="M12944" t="s">
        <v>43409</v>
      </c>
      <c r="N12944" t="s">
        <v>47304</v>
      </c>
      <c r="O12944" t="s">
        <v>47305</v>
      </c>
      <c r="Q12944">
        <v>2</v>
      </c>
      <c r="R12944" t="s">
        <v>47320</v>
      </c>
      <c r="S12944" t="s">
        <v>47780</v>
      </c>
      <c r="T12944" t="s">
        <v>48986</v>
      </c>
      <c r="U12944" t="s">
        <v>60247</v>
      </c>
      <c r="W12944" t="s">
        <v>64438</v>
      </c>
      <c r="X12944" t="s">
        <v>47322</v>
      </c>
    </row>
    <row r="12945" spans="1:24">
      <c r="A12945">
        <f>HYPERLINK("https://www.philgeps.gov.ph/GEPSNONPILOT/Tender/SplashBidNoticeAbstractUI.aspx?menuIndex=3&amp;refID=7166949&amp;Result=3","7166949")</f>
        <v>0</v>
      </c>
      <c r="B12945" t="s">
        <v>211</v>
      </c>
      <c r="C12945" t="s">
        <v>16102</v>
      </c>
      <c r="D12945" t="s">
        <v>19007</v>
      </c>
      <c r="E12945" t="s">
        <v>30065</v>
      </c>
      <c r="F12945" t="s">
        <v>32606</v>
      </c>
      <c r="G12945" t="s">
        <v>32613</v>
      </c>
      <c r="H12945" t="s">
        <v>14201</v>
      </c>
      <c r="I12945" t="s">
        <v>32662</v>
      </c>
      <c r="J12945" t="s">
        <v>33190</v>
      </c>
      <c r="K12945" t="s">
        <v>42624</v>
      </c>
      <c r="M12945" t="s">
        <v>43112</v>
      </c>
      <c r="N12945" t="s">
        <v>47304</v>
      </c>
      <c r="O12945" t="s">
        <v>47305</v>
      </c>
      <c r="P12945">
        <v>0</v>
      </c>
      <c r="Q12945">
        <v>17</v>
      </c>
      <c r="R12945" t="s">
        <v>47320</v>
      </c>
      <c r="S12945" t="s">
        <v>47917</v>
      </c>
      <c r="T12945" t="s">
        <v>49124</v>
      </c>
      <c r="U12945" t="s">
        <v>60248</v>
      </c>
      <c r="W12945" t="s">
        <v>43112</v>
      </c>
      <c r="X12945" t="s">
        <v>47322</v>
      </c>
    </row>
    <row r="12946" spans="1:24">
      <c r="A12946">
        <f>HYPERLINK("https://www.philgeps.gov.ph/GEPSNONPILOT/Tender/SplashBidNoticeAbstractUI.aspx?menuIndex=3&amp;refID=7168115&amp;Result=3","7168115")</f>
        <v>0</v>
      </c>
      <c r="B12946" t="s">
        <v>2112</v>
      </c>
      <c r="C12946" t="s">
        <v>16103</v>
      </c>
      <c r="D12946" t="s">
        <v>19070</v>
      </c>
      <c r="E12946" t="s">
        <v>30066</v>
      </c>
      <c r="F12946" t="s">
        <v>32606</v>
      </c>
      <c r="G12946" t="s">
        <v>32613</v>
      </c>
      <c r="H12946" t="s">
        <v>32623</v>
      </c>
      <c r="I12946" t="s">
        <v>17648</v>
      </c>
      <c r="J12946" t="s">
        <v>32767</v>
      </c>
      <c r="K12946" t="s">
        <v>42648</v>
      </c>
      <c r="M12946" t="s">
        <v>45198</v>
      </c>
      <c r="N12946" t="s">
        <v>47304</v>
      </c>
      <c r="O12946" t="s">
        <v>47305</v>
      </c>
      <c r="P12946">
        <v>0</v>
      </c>
      <c r="Q12946">
        <v>0</v>
      </c>
      <c r="R12946" t="s">
        <v>47320</v>
      </c>
      <c r="S12946" t="s">
        <v>47917</v>
      </c>
      <c r="T12946" t="s">
        <v>49481</v>
      </c>
      <c r="U12946" t="s">
        <v>60249</v>
      </c>
      <c r="W12946" t="s">
        <v>45198</v>
      </c>
      <c r="X12946" t="s">
        <v>47321</v>
      </c>
    </row>
    <row r="12947" spans="1:24">
      <c r="A12947">
        <f>HYPERLINK("https://www.philgeps.gov.ph/GEPSNONPILOT/Tender/SplashBidNoticeAbstractUI.aspx?menuIndex=3&amp;refID=7167644&amp;Result=3","7167644")</f>
        <v>0</v>
      </c>
      <c r="B12947" t="s">
        <v>444</v>
      </c>
      <c r="C12947" t="s">
        <v>16104</v>
      </c>
      <c r="D12947" t="s">
        <v>19006</v>
      </c>
      <c r="E12947" t="s">
        <v>30067</v>
      </c>
      <c r="F12947" t="s">
        <v>32606</v>
      </c>
      <c r="G12947" t="s">
        <v>32613</v>
      </c>
      <c r="H12947" t="s">
        <v>14201</v>
      </c>
      <c r="I12947" t="s">
        <v>32662</v>
      </c>
      <c r="J12947" t="s">
        <v>40776</v>
      </c>
      <c r="K12947" t="s">
        <v>42631</v>
      </c>
      <c r="M12947" t="s">
        <v>46860</v>
      </c>
      <c r="N12947" t="s">
        <v>47304</v>
      </c>
      <c r="O12947" t="s">
        <v>47305</v>
      </c>
      <c r="P12947">
        <v>0</v>
      </c>
      <c r="Q12947">
        <v>24</v>
      </c>
      <c r="R12947" t="s">
        <v>47320</v>
      </c>
      <c r="S12947" t="s">
        <v>47917</v>
      </c>
      <c r="T12947" t="s">
        <v>49157</v>
      </c>
      <c r="U12947" t="s">
        <v>60250</v>
      </c>
      <c r="W12947" t="s">
        <v>46860</v>
      </c>
      <c r="X12947" t="s">
        <v>47322</v>
      </c>
    </row>
    <row r="12948" spans="1:24">
      <c r="A12948">
        <f>HYPERLINK("https://www.philgeps.gov.ph/GEPSNONPILOT/Tender/SplashBidNoticeAbstractUI.aspx?menuIndex=3&amp;refID=7166635&amp;Result=3","7166635")</f>
        <v>0</v>
      </c>
      <c r="B12948" t="s">
        <v>594</v>
      </c>
      <c r="C12948" t="s">
        <v>16105</v>
      </c>
      <c r="E12948" t="s">
        <v>22286</v>
      </c>
      <c r="F12948" t="s">
        <v>32606</v>
      </c>
      <c r="G12948" t="s">
        <v>32613</v>
      </c>
      <c r="H12948" t="s">
        <v>14201</v>
      </c>
      <c r="I12948" t="s">
        <v>32660</v>
      </c>
      <c r="J12948" t="s">
        <v>40777</v>
      </c>
      <c r="K12948" t="s">
        <v>42624</v>
      </c>
      <c r="M12948" t="s">
        <v>46856</v>
      </c>
      <c r="N12948" t="s">
        <v>47304</v>
      </c>
      <c r="O12948" t="s">
        <v>47305</v>
      </c>
      <c r="P12948">
        <v>0</v>
      </c>
      <c r="Q12948">
        <v>1</v>
      </c>
      <c r="R12948" t="s">
        <v>47320</v>
      </c>
      <c r="S12948" t="s">
        <v>47917</v>
      </c>
      <c r="T12948" t="s">
        <v>49167</v>
      </c>
      <c r="U12948" t="s">
        <v>60251</v>
      </c>
      <c r="V12948" t="s">
        <v>64063</v>
      </c>
      <c r="W12948" t="s">
        <v>46856</v>
      </c>
      <c r="X12948" t="s">
        <v>47322</v>
      </c>
    </row>
    <row r="12949" spans="1:24">
      <c r="A12949">
        <f>HYPERLINK("https://www.philgeps.gov.ph/GEPSNONPILOT/Tender/SplashBidNoticeAbstractUI.aspx?menuIndex=3&amp;refID=7168099&amp;Result=3","7168099")</f>
        <v>0</v>
      </c>
      <c r="B12949" t="s">
        <v>936</v>
      </c>
      <c r="C12949" t="s">
        <v>16106</v>
      </c>
      <c r="D12949" t="s">
        <v>19035</v>
      </c>
      <c r="E12949" t="s">
        <v>30068</v>
      </c>
      <c r="F12949" t="s">
        <v>32606</v>
      </c>
      <c r="G12949" t="s">
        <v>32613</v>
      </c>
      <c r="H12949" t="s">
        <v>32623</v>
      </c>
      <c r="I12949" t="s">
        <v>17648</v>
      </c>
      <c r="J12949" t="s">
        <v>40778</v>
      </c>
      <c r="K12949" t="s">
        <v>42624</v>
      </c>
      <c r="M12949" t="s">
        <v>43876</v>
      </c>
      <c r="N12949" t="s">
        <v>47304</v>
      </c>
      <c r="O12949" t="s">
        <v>47305</v>
      </c>
      <c r="P12949">
        <v>0</v>
      </c>
      <c r="Q12949">
        <v>1</v>
      </c>
      <c r="R12949" t="s">
        <v>47320</v>
      </c>
      <c r="S12949" t="s">
        <v>47917</v>
      </c>
      <c r="T12949" t="s">
        <v>48986</v>
      </c>
      <c r="U12949" t="s">
        <v>60252</v>
      </c>
      <c r="W12949" t="s">
        <v>64457</v>
      </c>
      <c r="X12949" t="s">
        <v>47321</v>
      </c>
    </row>
    <row r="12950" spans="1:24">
      <c r="A12950">
        <f>HYPERLINK("https://www.philgeps.gov.ph/GEPSNONPILOT/Tender/SplashBidNoticeAbstractUI.aspx?menuIndex=3&amp;refID=7168071&amp;Result=3","7168071")</f>
        <v>0</v>
      </c>
      <c r="B12950" t="s">
        <v>952</v>
      </c>
      <c r="C12950" t="s">
        <v>16107</v>
      </c>
      <c r="D12950" t="s">
        <v>19040</v>
      </c>
      <c r="E12950" t="s">
        <v>30069</v>
      </c>
      <c r="F12950" t="s">
        <v>32606</v>
      </c>
      <c r="G12950" t="s">
        <v>32613</v>
      </c>
      <c r="H12950" t="s">
        <v>32623</v>
      </c>
      <c r="I12950" t="s">
        <v>17648</v>
      </c>
      <c r="J12950" t="s">
        <v>40779</v>
      </c>
      <c r="K12950" t="s">
        <v>42874</v>
      </c>
      <c r="M12950" t="s">
        <v>43894</v>
      </c>
      <c r="N12950" t="s">
        <v>47304</v>
      </c>
      <c r="O12950" t="s">
        <v>47305</v>
      </c>
      <c r="P12950">
        <v>0</v>
      </c>
      <c r="Q12950">
        <v>6</v>
      </c>
      <c r="R12950" t="s">
        <v>47320</v>
      </c>
      <c r="S12950" t="s">
        <v>47917</v>
      </c>
      <c r="T12950" t="s">
        <v>49090</v>
      </c>
      <c r="U12950" t="s">
        <v>60253</v>
      </c>
      <c r="V12950" t="s">
        <v>64064</v>
      </c>
      <c r="W12950" t="s">
        <v>43894</v>
      </c>
      <c r="X12950" t="s">
        <v>47321</v>
      </c>
    </row>
    <row r="12951" spans="1:24">
      <c r="A12951">
        <f>HYPERLINK("https://www.philgeps.gov.ph/GEPSNONPILOT/Tender/SplashBidNoticeAbstractUI.aspx?menuIndex=3&amp;refID=7168068&amp;Result=3","7168068")</f>
        <v>0</v>
      </c>
      <c r="B12951" t="s">
        <v>2399</v>
      </c>
      <c r="C12951" t="s">
        <v>16108</v>
      </c>
      <c r="D12951" t="s">
        <v>19018</v>
      </c>
      <c r="E12951" t="s">
        <v>30070</v>
      </c>
      <c r="F12951" t="s">
        <v>32606</v>
      </c>
      <c r="G12951" t="s">
        <v>32613</v>
      </c>
      <c r="H12951" t="s">
        <v>14201</v>
      </c>
      <c r="I12951" t="s">
        <v>6931</v>
      </c>
      <c r="J12951" t="s">
        <v>40780</v>
      </c>
      <c r="K12951" t="s">
        <v>42623</v>
      </c>
      <c r="M12951" t="s">
        <v>45521</v>
      </c>
      <c r="N12951" t="s">
        <v>47304</v>
      </c>
      <c r="O12951" t="s">
        <v>47305</v>
      </c>
      <c r="P12951">
        <v>0</v>
      </c>
      <c r="Q12951">
        <v>0</v>
      </c>
      <c r="R12951" t="s">
        <v>47320</v>
      </c>
      <c r="S12951" t="s">
        <v>47917</v>
      </c>
      <c r="T12951" t="s">
        <v>48986</v>
      </c>
      <c r="U12951" t="s">
        <v>60254</v>
      </c>
      <c r="V12951" t="s">
        <v>62846</v>
      </c>
      <c r="W12951" t="s">
        <v>45521</v>
      </c>
      <c r="X12951" t="s">
        <v>47321</v>
      </c>
    </row>
    <row r="12952" spans="1:24">
      <c r="A12952">
        <f>HYPERLINK("https://www.philgeps.gov.ph/GEPSNONPILOT/Tender/SplashBidNoticeAbstractUI.aspx?menuIndex=3&amp;refID=7166654&amp;Result=3","7166654")</f>
        <v>0</v>
      </c>
      <c r="B12952" t="s">
        <v>594</v>
      </c>
      <c r="C12952" t="s">
        <v>16109</v>
      </c>
      <c r="E12952" t="s">
        <v>21954</v>
      </c>
      <c r="F12952" t="s">
        <v>32606</v>
      </c>
      <c r="G12952" t="s">
        <v>32613</v>
      </c>
      <c r="H12952" t="s">
        <v>14201</v>
      </c>
      <c r="I12952" t="s">
        <v>32660</v>
      </c>
      <c r="J12952" t="s">
        <v>40781</v>
      </c>
      <c r="K12952" t="s">
        <v>42624</v>
      </c>
      <c r="M12952" t="s">
        <v>46856</v>
      </c>
      <c r="N12952" t="s">
        <v>47304</v>
      </c>
      <c r="O12952" t="s">
        <v>47305</v>
      </c>
      <c r="P12952">
        <v>0</v>
      </c>
      <c r="Q12952">
        <v>1</v>
      </c>
      <c r="R12952" t="s">
        <v>47320</v>
      </c>
      <c r="S12952" t="s">
        <v>47917</v>
      </c>
      <c r="T12952" t="s">
        <v>49167</v>
      </c>
      <c r="U12952" t="s">
        <v>60255</v>
      </c>
      <c r="V12952" t="s">
        <v>64059</v>
      </c>
      <c r="W12952" t="s">
        <v>46856</v>
      </c>
      <c r="X12952" t="s">
        <v>47322</v>
      </c>
    </row>
    <row r="12953" spans="1:24">
      <c r="A12953">
        <f>HYPERLINK("https://www.philgeps.gov.ph/GEPSNONPILOT/Tender/SplashBidNoticeAbstractUI.aspx?menuIndex=3&amp;refID=7168104&amp;Result=3","7168104")</f>
        <v>0</v>
      </c>
      <c r="B12953" t="s">
        <v>3573</v>
      </c>
      <c r="C12953" t="s">
        <v>16110</v>
      </c>
      <c r="D12953" t="s">
        <v>18994</v>
      </c>
      <c r="E12953" t="s">
        <v>30071</v>
      </c>
      <c r="F12953" t="s">
        <v>32606</v>
      </c>
      <c r="G12953" t="s">
        <v>32613</v>
      </c>
      <c r="H12953" t="s">
        <v>14201</v>
      </c>
      <c r="I12953" t="s">
        <v>7577</v>
      </c>
      <c r="J12953" t="s">
        <v>33913</v>
      </c>
      <c r="K12953" t="s">
        <v>42631</v>
      </c>
      <c r="M12953" t="s">
        <v>46862</v>
      </c>
      <c r="N12953" t="s">
        <v>47304</v>
      </c>
      <c r="O12953" t="s">
        <v>47305</v>
      </c>
      <c r="P12953">
        <v>0</v>
      </c>
      <c r="Q12953">
        <v>2</v>
      </c>
      <c r="R12953" t="s">
        <v>47320</v>
      </c>
      <c r="S12953" t="s">
        <v>47917</v>
      </c>
      <c r="T12953" t="s">
        <v>49006</v>
      </c>
      <c r="U12953" t="s">
        <v>60256</v>
      </c>
      <c r="W12953" t="s">
        <v>46862</v>
      </c>
      <c r="X12953" t="s">
        <v>47321</v>
      </c>
    </row>
    <row r="12954" spans="1:24">
      <c r="A12954">
        <f>HYPERLINK("https://www.philgeps.gov.ph/GEPSNONPILOT/Tender/SplashBidNoticeAbstractUI.aspx?menuIndex=3&amp;refID=7168036&amp;Result=3","7168036")</f>
        <v>0</v>
      </c>
      <c r="B12954" t="s">
        <v>3574</v>
      </c>
      <c r="C12954" t="s">
        <v>16111</v>
      </c>
      <c r="D12954" t="s">
        <v>19037</v>
      </c>
      <c r="E12954" t="s">
        <v>30072</v>
      </c>
      <c r="F12954" t="s">
        <v>32606</v>
      </c>
      <c r="G12954" t="s">
        <v>32614</v>
      </c>
      <c r="H12954" t="s">
        <v>32624</v>
      </c>
      <c r="I12954" t="s">
        <v>32652</v>
      </c>
      <c r="J12954" t="s">
        <v>40782</v>
      </c>
      <c r="K12954" t="s">
        <v>42631</v>
      </c>
      <c r="M12954" t="s">
        <v>46863</v>
      </c>
      <c r="N12954" t="s">
        <v>47304</v>
      </c>
      <c r="O12954" t="s">
        <v>47305</v>
      </c>
      <c r="Q12954">
        <v>0</v>
      </c>
      <c r="R12954" t="s">
        <v>47320</v>
      </c>
      <c r="S12954" t="s">
        <v>47935</v>
      </c>
      <c r="T12954" t="s">
        <v>48980</v>
      </c>
      <c r="U12954" t="s">
        <v>60257</v>
      </c>
      <c r="W12954" t="s">
        <v>46863</v>
      </c>
      <c r="X12954" t="s">
        <v>47321</v>
      </c>
    </row>
    <row r="12955" spans="1:24">
      <c r="A12955">
        <f>HYPERLINK("https://www.philgeps.gov.ph/GEPSNONPILOT/Tender/SplashBidNoticeAbstractUI.aspx?menuIndex=3&amp;refID=7168028&amp;Result=3","7168028")</f>
        <v>0</v>
      </c>
      <c r="B12955" t="s">
        <v>3575</v>
      </c>
      <c r="C12955" t="s">
        <v>16112</v>
      </c>
      <c r="D12955" t="s">
        <v>19006</v>
      </c>
      <c r="E12955" t="s">
        <v>30073</v>
      </c>
      <c r="F12955" t="s">
        <v>32606</v>
      </c>
      <c r="G12955" t="s">
        <v>32613</v>
      </c>
      <c r="H12955" t="s">
        <v>32623</v>
      </c>
      <c r="I12955" t="s">
        <v>17648</v>
      </c>
      <c r="J12955" t="s">
        <v>32770</v>
      </c>
      <c r="K12955" t="s">
        <v>42636</v>
      </c>
      <c r="L12955" t="s">
        <v>3575</v>
      </c>
      <c r="M12955" t="s">
        <v>46864</v>
      </c>
      <c r="N12955" t="s">
        <v>47304</v>
      </c>
      <c r="O12955" t="s">
        <v>47305</v>
      </c>
      <c r="P12955">
        <v>0</v>
      </c>
      <c r="Q12955">
        <v>2</v>
      </c>
      <c r="R12955" t="s">
        <v>47320</v>
      </c>
      <c r="S12955" t="s">
        <v>47917</v>
      </c>
      <c r="T12955" t="s">
        <v>49116</v>
      </c>
      <c r="U12955" t="s">
        <v>52172</v>
      </c>
      <c r="W12955" t="s">
        <v>46864</v>
      </c>
      <c r="X12955" t="s">
        <v>47321</v>
      </c>
    </row>
    <row r="12956" spans="1:24">
      <c r="A12956">
        <f>HYPERLINK("https://www.philgeps.gov.ph/GEPSNONPILOT/Tender/SplashBidNoticeAbstractUI.aspx?menuIndex=3&amp;refID=7168097&amp;Result=3","7168097")</f>
        <v>0</v>
      </c>
      <c r="B12956" t="s">
        <v>3576</v>
      </c>
      <c r="C12956" t="s">
        <v>16113</v>
      </c>
      <c r="D12956" t="s">
        <v>19042</v>
      </c>
      <c r="E12956" t="s">
        <v>30074</v>
      </c>
      <c r="F12956" t="s">
        <v>32606</v>
      </c>
      <c r="G12956" t="s">
        <v>32613</v>
      </c>
      <c r="H12956" t="s">
        <v>14201</v>
      </c>
      <c r="I12956" t="s">
        <v>4114</v>
      </c>
      <c r="J12956" t="s">
        <v>40783</v>
      </c>
      <c r="K12956" t="s">
        <v>42631</v>
      </c>
      <c r="M12956" t="s">
        <v>46865</v>
      </c>
      <c r="N12956" t="s">
        <v>47304</v>
      </c>
      <c r="O12956" t="s">
        <v>47305</v>
      </c>
      <c r="Q12956">
        <v>1</v>
      </c>
      <c r="R12956" t="s">
        <v>47320</v>
      </c>
      <c r="S12956" t="s">
        <v>47936</v>
      </c>
      <c r="T12956" t="s">
        <v>48986</v>
      </c>
      <c r="U12956" t="s">
        <v>60258</v>
      </c>
      <c r="W12956" t="s">
        <v>46865</v>
      </c>
      <c r="X12956" t="s">
        <v>47321</v>
      </c>
    </row>
    <row r="12957" spans="1:24">
      <c r="A12957">
        <f>HYPERLINK("https://www.philgeps.gov.ph/GEPSNONPILOT/Tender/SplashBidNoticeAbstractUI.aspx?menuIndex=3&amp;refID=7168043&amp;Result=3","7168043")</f>
        <v>0</v>
      </c>
      <c r="B12957" t="s">
        <v>3575</v>
      </c>
      <c r="C12957" t="s">
        <v>16114</v>
      </c>
      <c r="D12957" t="s">
        <v>19006</v>
      </c>
      <c r="E12957" t="s">
        <v>30075</v>
      </c>
      <c r="F12957" t="s">
        <v>32606</v>
      </c>
      <c r="G12957" t="s">
        <v>32613</v>
      </c>
      <c r="H12957" t="s">
        <v>32623</v>
      </c>
      <c r="I12957" t="s">
        <v>17648</v>
      </c>
      <c r="J12957" t="s">
        <v>32770</v>
      </c>
      <c r="K12957" t="s">
        <v>42639</v>
      </c>
      <c r="L12957" t="s">
        <v>3575</v>
      </c>
      <c r="M12957" t="s">
        <v>46864</v>
      </c>
      <c r="N12957" t="s">
        <v>47304</v>
      </c>
      <c r="O12957" t="s">
        <v>47305</v>
      </c>
      <c r="P12957">
        <v>0</v>
      </c>
      <c r="Q12957">
        <v>1</v>
      </c>
      <c r="R12957" t="s">
        <v>47320</v>
      </c>
      <c r="S12957" t="s">
        <v>47917</v>
      </c>
      <c r="T12957" t="s">
        <v>49188</v>
      </c>
      <c r="U12957" t="s">
        <v>52172</v>
      </c>
      <c r="W12957" t="s">
        <v>46864</v>
      </c>
      <c r="X12957" t="s">
        <v>47321</v>
      </c>
    </row>
    <row r="12958" spans="1:24">
      <c r="A12958">
        <f>HYPERLINK("https://www.philgeps.gov.ph/GEPSNONPILOT/Tender/SplashBidNoticeAbstractUI.aspx?menuIndex=3&amp;refID=7166876&amp;Result=3","7166876")</f>
        <v>0</v>
      </c>
      <c r="B12958" t="s">
        <v>211</v>
      </c>
      <c r="C12958" t="s">
        <v>16115</v>
      </c>
      <c r="D12958" t="s">
        <v>19007</v>
      </c>
      <c r="E12958" t="s">
        <v>30076</v>
      </c>
      <c r="F12958" t="s">
        <v>32606</v>
      </c>
      <c r="G12958" t="s">
        <v>32613</v>
      </c>
      <c r="H12958" t="s">
        <v>14201</v>
      </c>
      <c r="I12958" t="s">
        <v>32662</v>
      </c>
      <c r="J12958" t="s">
        <v>32821</v>
      </c>
      <c r="K12958" t="s">
        <v>42624</v>
      </c>
      <c r="M12958" t="s">
        <v>43112</v>
      </c>
      <c r="N12958" t="s">
        <v>47304</v>
      </c>
      <c r="O12958" t="s">
        <v>47305</v>
      </c>
      <c r="P12958">
        <v>0</v>
      </c>
      <c r="Q12958">
        <v>17</v>
      </c>
      <c r="R12958" t="s">
        <v>47320</v>
      </c>
      <c r="S12958" t="s">
        <v>47917</v>
      </c>
      <c r="T12958" t="s">
        <v>49124</v>
      </c>
      <c r="U12958" t="s">
        <v>60259</v>
      </c>
      <c r="W12958" t="s">
        <v>43112</v>
      </c>
      <c r="X12958" t="s">
        <v>47322</v>
      </c>
    </row>
    <row r="12959" spans="1:24">
      <c r="A12959">
        <f>HYPERLINK("https://www.philgeps.gov.ph/GEPSNONPILOT/Tender/SplashBidNoticeAbstractUI.aspx?menuIndex=3&amp;refID=7168232&amp;Result=3","7168232")</f>
        <v>0</v>
      </c>
      <c r="B12959" t="s">
        <v>3370</v>
      </c>
      <c r="C12959" t="s">
        <v>16116</v>
      </c>
      <c r="D12959" t="s">
        <v>19019</v>
      </c>
      <c r="E12959" t="s">
        <v>25480</v>
      </c>
      <c r="F12959" t="s">
        <v>32606</v>
      </c>
      <c r="G12959" t="s">
        <v>32613</v>
      </c>
      <c r="H12959" t="s">
        <v>14201</v>
      </c>
      <c r="I12959" t="s">
        <v>32661</v>
      </c>
      <c r="J12959" t="s">
        <v>32795</v>
      </c>
      <c r="K12959" t="s">
        <v>42636</v>
      </c>
      <c r="M12959" t="s">
        <v>46620</v>
      </c>
      <c r="N12959" t="s">
        <v>47304</v>
      </c>
      <c r="O12959" t="s">
        <v>47305</v>
      </c>
      <c r="P12959">
        <v>0</v>
      </c>
      <c r="Q12959">
        <v>7</v>
      </c>
      <c r="R12959" t="s">
        <v>47320</v>
      </c>
      <c r="S12959" t="s">
        <v>47917</v>
      </c>
      <c r="T12959" t="s">
        <v>48987</v>
      </c>
      <c r="U12959" t="s">
        <v>60260</v>
      </c>
      <c r="V12959" t="s">
        <v>63910</v>
      </c>
      <c r="W12959" t="s">
        <v>46620</v>
      </c>
      <c r="X12959" t="s">
        <v>47321</v>
      </c>
    </row>
    <row r="12960" spans="1:24">
      <c r="A12960">
        <f>HYPERLINK("https://www.philgeps.gov.ph/GEPSNONPILOT/Tender/SplashBidNoticeAbstractUI.aspx?menuIndex=3&amp;refID=7168031&amp;Result=3","7168031")</f>
        <v>0</v>
      </c>
      <c r="B12960" t="s">
        <v>243</v>
      </c>
      <c r="C12960" t="s">
        <v>16117</v>
      </c>
      <c r="D12960" t="s">
        <v>19027</v>
      </c>
      <c r="E12960" t="s">
        <v>30077</v>
      </c>
      <c r="F12960" t="s">
        <v>32606</v>
      </c>
      <c r="G12960" t="s">
        <v>32613</v>
      </c>
      <c r="H12960" t="s">
        <v>14201</v>
      </c>
      <c r="I12960" t="s">
        <v>4120</v>
      </c>
      <c r="J12960" t="s">
        <v>40784</v>
      </c>
      <c r="K12960" t="s">
        <v>42624</v>
      </c>
      <c r="M12960" t="s">
        <v>44391</v>
      </c>
      <c r="N12960" t="s">
        <v>47304</v>
      </c>
      <c r="O12960" t="s">
        <v>47305</v>
      </c>
      <c r="P12960">
        <v>0</v>
      </c>
      <c r="Q12960">
        <v>2</v>
      </c>
      <c r="R12960" t="s">
        <v>47320</v>
      </c>
      <c r="S12960" t="s">
        <v>47917</v>
      </c>
      <c r="T12960" t="s">
        <v>49037</v>
      </c>
      <c r="U12960" t="s">
        <v>60261</v>
      </c>
      <c r="W12960" t="s">
        <v>64471</v>
      </c>
      <c r="X12960" t="s">
        <v>47321</v>
      </c>
    </row>
    <row r="12961" spans="1:24">
      <c r="A12961">
        <f>HYPERLINK("https://www.philgeps.gov.ph/GEPSNONPILOT/Tender/SplashBidNoticeAbstractUI.aspx?menuIndex=3&amp;refID=7168227&amp;Result=3","7168227")</f>
        <v>0</v>
      </c>
      <c r="B12961" t="s">
        <v>1527</v>
      </c>
      <c r="C12961" t="s">
        <v>16118</v>
      </c>
      <c r="D12961" t="s">
        <v>19056</v>
      </c>
      <c r="E12961" t="s">
        <v>30078</v>
      </c>
      <c r="F12961" t="s">
        <v>32606</v>
      </c>
      <c r="G12961" t="s">
        <v>32613</v>
      </c>
      <c r="H12961" t="s">
        <v>14201</v>
      </c>
      <c r="I12961" t="s">
        <v>7064</v>
      </c>
      <c r="J12961" t="s">
        <v>40785</v>
      </c>
      <c r="K12961" t="s">
        <v>42630</v>
      </c>
      <c r="M12961" t="s">
        <v>44528</v>
      </c>
      <c r="N12961" t="s">
        <v>47304</v>
      </c>
      <c r="O12961" t="s">
        <v>47305</v>
      </c>
      <c r="Q12961">
        <v>7</v>
      </c>
      <c r="R12961" t="s">
        <v>47320</v>
      </c>
      <c r="S12961" t="s">
        <v>47937</v>
      </c>
      <c r="T12961" t="s">
        <v>48986</v>
      </c>
      <c r="U12961" t="s">
        <v>60262</v>
      </c>
      <c r="V12961" t="s">
        <v>64065</v>
      </c>
      <c r="W12961" t="s">
        <v>44528</v>
      </c>
      <c r="X12961" t="s">
        <v>47321</v>
      </c>
    </row>
    <row r="12962" spans="1:24">
      <c r="A12962">
        <f>HYPERLINK("https://www.philgeps.gov.ph/GEPSNONPILOT/Tender/SplashBidNoticeAbstractUI.aspx?menuIndex=3&amp;refID=7168219&amp;Result=3","7168219")</f>
        <v>0</v>
      </c>
      <c r="B12962" t="s">
        <v>1012</v>
      </c>
      <c r="C12962" t="s">
        <v>16119</v>
      </c>
      <c r="D12962" t="s">
        <v>18995</v>
      </c>
      <c r="E12962" t="s">
        <v>30079</v>
      </c>
      <c r="F12962" t="s">
        <v>32606</v>
      </c>
      <c r="G12962" t="s">
        <v>32613</v>
      </c>
      <c r="H12962" t="s">
        <v>14201</v>
      </c>
      <c r="I12962" t="s">
        <v>4114</v>
      </c>
      <c r="J12962" t="s">
        <v>32767</v>
      </c>
      <c r="K12962" t="s">
        <v>42631</v>
      </c>
      <c r="M12962" t="s">
        <v>43960</v>
      </c>
      <c r="N12962" t="s">
        <v>47304</v>
      </c>
      <c r="O12962" t="s">
        <v>47305</v>
      </c>
      <c r="P12962">
        <v>0</v>
      </c>
      <c r="Q12962">
        <v>6</v>
      </c>
      <c r="R12962" t="s">
        <v>47320</v>
      </c>
      <c r="S12962" t="s">
        <v>47917</v>
      </c>
      <c r="T12962" t="s">
        <v>48996</v>
      </c>
      <c r="U12962" t="s">
        <v>60263</v>
      </c>
      <c r="W12962" t="s">
        <v>43960</v>
      </c>
      <c r="X12962" t="s">
        <v>47321</v>
      </c>
    </row>
    <row r="12963" spans="1:24">
      <c r="A12963">
        <f>HYPERLINK("https://www.philgeps.gov.ph/GEPSNONPILOT/Tender/SplashBidNoticeAbstractUI.aspx?menuIndex=3&amp;refID=7168218&amp;Result=3","7168218")</f>
        <v>0</v>
      </c>
      <c r="B12963" t="s">
        <v>56</v>
      </c>
      <c r="C12963" t="s">
        <v>16120</v>
      </c>
      <c r="D12963" t="s">
        <v>19009</v>
      </c>
      <c r="E12963" t="s">
        <v>30080</v>
      </c>
      <c r="F12963" t="s">
        <v>32606</v>
      </c>
      <c r="G12963" t="s">
        <v>32613</v>
      </c>
      <c r="H12963" t="s">
        <v>14201</v>
      </c>
      <c r="I12963" t="s">
        <v>7064</v>
      </c>
      <c r="J12963" t="s">
        <v>40786</v>
      </c>
      <c r="K12963" t="s">
        <v>42631</v>
      </c>
      <c r="M12963" t="s">
        <v>42953</v>
      </c>
      <c r="N12963" t="s">
        <v>47304</v>
      </c>
      <c r="O12963" t="s">
        <v>47305</v>
      </c>
      <c r="P12963">
        <v>0</v>
      </c>
      <c r="Q12963">
        <v>6</v>
      </c>
      <c r="R12963" t="s">
        <v>47320</v>
      </c>
      <c r="S12963" t="s">
        <v>47917</v>
      </c>
      <c r="T12963" t="s">
        <v>48996</v>
      </c>
      <c r="U12963" t="s">
        <v>60264</v>
      </c>
      <c r="W12963" t="s">
        <v>42953</v>
      </c>
      <c r="X12963" t="s">
        <v>47321</v>
      </c>
    </row>
    <row r="12964" spans="1:24">
      <c r="A12964">
        <f>HYPERLINK("https://www.philgeps.gov.ph/GEPSNONPILOT/Tender/SplashBidNoticeAbstractUI.aspx?menuIndex=3&amp;refID=7168231&amp;Result=3","7168231")</f>
        <v>0</v>
      </c>
      <c r="B12964" t="s">
        <v>3577</v>
      </c>
      <c r="C12964" t="s">
        <v>16121</v>
      </c>
      <c r="D12964" t="s">
        <v>19027</v>
      </c>
      <c r="E12964" t="s">
        <v>30081</v>
      </c>
      <c r="F12964" t="s">
        <v>32606</v>
      </c>
      <c r="G12964" t="s">
        <v>32613</v>
      </c>
      <c r="H12964" t="s">
        <v>32623</v>
      </c>
      <c r="I12964" t="s">
        <v>17648</v>
      </c>
      <c r="J12964" t="s">
        <v>40787</v>
      </c>
      <c r="K12964" t="s">
        <v>42646</v>
      </c>
      <c r="M12964" t="s">
        <v>46866</v>
      </c>
      <c r="N12964" t="s">
        <v>47304</v>
      </c>
      <c r="O12964" t="s">
        <v>47305</v>
      </c>
      <c r="Q12964">
        <v>4</v>
      </c>
      <c r="R12964" t="s">
        <v>47320</v>
      </c>
      <c r="S12964" t="s">
        <v>47938</v>
      </c>
      <c r="T12964" t="s">
        <v>49101</v>
      </c>
      <c r="U12964" t="s">
        <v>60265</v>
      </c>
      <c r="W12964" t="s">
        <v>46866</v>
      </c>
      <c r="X12964" t="s">
        <v>47321</v>
      </c>
    </row>
    <row r="12965" spans="1:24">
      <c r="A12965">
        <f>HYPERLINK("https://www.philgeps.gov.ph/GEPSNONPILOT/Tender/SplashBidNoticeAbstractUI.aspx?menuIndex=3&amp;refID=7168229&amp;Result=3","7168229")</f>
        <v>0</v>
      </c>
      <c r="B12965" t="s">
        <v>2194</v>
      </c>
      <c r="C12965" t="s">
        <v>16122</v>
      </c>
      <c r="D12965" t="s">
        <v>18993</v>
      </c>
      <c r="E12965" t="s">
        <v>16122</v>
      </c>
      <c r="F12965" t="s">
        <v>32606</v>
      </c>
      <c r="G12965" t="s">
        <v>32619</v>
      </c>
      <c r="H12965" t="s">
        <v>14201</v>
      </c>
      <c r="I12965" t="s">
        <v>32646</v>
      </c>
      <c r="J12965" t="s">
        <v>33025</v>
      </c>
      <c r="K12965" t="s">
        <v>42624</v>
      </c>
      <c r="M12965" t="s">
        <v>45294</v>
      </c>
      <c r="N12965" t="s">
        <v>47304</v>
      </c>
      <c r="O12965" t="s">
        <v>47305</v>
      </c>
      <c r="Q12965">
        <v>6</v>
      </c>
      <c r="R12965" t="s">
        <v>47320</v>
      </c>
      <c r="S12965" t="s">
        <v>47939</v>
      </c>
      <c r="T12965" t="s">
        <v>49269</v>
      </c>
      <c r="U12965" t="s">
        <v>60266</v>
      </c>
      <c r="W12965" t="s">
        <v>45294</v>
      </c>
      <c r="X12965" t="s">
        <v>47321</v>
      </c>
    </row>
    <row r="12966" spans="1:24">
      <c r="A12966">
        <f>HYPERLINK("https://www.philgeps.gov.ph/GEPSNONPILOT/Tender/SplashBidNoticeAbstractUI.aspx?menuIndex=3&amp;refID=7168204&amp;Result=3","7168204")</f>
        <v>0</v>
      </c>
      <c r="B12966" t="s">
        <v>3578</v>
      </c>
      <c r="C12966" t="s">
        <v>11555</v>
      </c>
      <c r="D12966" t="s">
        <v>19007</v>
      </c>
      <c r="E12966" t="s">
        <v>25726</v>
      </c>
      <c r="F12966" t="s">
        <v>32608</v>
      </c>
      <c r="G12966" t="s">
        <v>32613</v>
      </c>
      <c r="H12966" t="s">
        <v>32623</v>
      </c>
      <c r="I12966" t="s">
        <v>17648</v>
      </c>
      <c r="J12966" t="s">
        <v>40788</v>
      </c>
      <c r="K12966" t="s">
        <v>42639</v>
      </c>
      <c r="M12966" t="s">
        <v>46867</v>
      </c>
      <c r="N12966" t="s">
        <v>47304</v>
      </c>
      <c r="O12966" t="s">
        <v>47305</v>
      </c>
      <c r="P12966">
        <v>0</v>
      </c>
      <c r="Q12966">
        <v>0</v>
      </c>
      <c r="R12966" t="s">
        <v>47320</v>
      </c>
      <c r="S12966" t="s">
        <v>47917</v>
      </c>
      <c r="T12966" t="s">
        <v>49020</v>
      </c>
      <c r="U12966" t="s">
        <v>60267</v>
      </c>
      <c r="W12966" t="s">
        <v>46867</v>
      </c>
      <c r="X12966" t="s">
        <v>47321</v>
      </c>
    </row>
    <row r="12967" spans="1:24">
      <c r="A12967">
        <f>HYPERLINK("https://www.philgeps.gov.ph/GEPSNONPILOT/Tender/SplashBidNoticeAbstractUI.aspx?menuIndex=3&amp;refID=7168200&amp;Result=3","7168200")</f>
        <v>0</v>
      </c>
      <c r="B12967" t="s">
        <v>1527</v>
      </c>
      <c r="C12967" t="s">
        <v>16123</v>
      </c>
      <c r="D12967" t="s">
        <v>19056</v>
      </c>
      <c r="E12967" t="s">
        <v>30082</v>
      </c>
      <c r="F12967" t="s">
        <v>32610</v>
      </c>
      <c r="G12967" t="s">
        <v>32613</v>
      </c>
      <c r="H12967" t="s">
        <v>14201</v>
      </c>
      <c r="I12967" t="s">
        <v>7064</v>
      </c>
      <c r="J12967" t="s">
        <v>33757</v>
      </c>
      <c r="K12967" t="s">
        <v>42630</v>
      </c>
      <c r="M12967" t="s">
        <v>44528</v>
      </c>
      <c r="N12967" t="s">
        <v>47304</v>
      </c>
      <c r="O12967" t="s">
        <v>47305</v>
      </c>
      <c r="Q12967">
        <v>7</v>
      </c>
      <c r="R12967" t="s">
        <v>47320</v>
      </c>
      <c r="S12967" t="s">
        <v>47940</v>
      </c>
      <c r="T12967" t="s">
        <v>48986</v>
      </c>
      <c r="U12967" t="s">
        <v>60268</v>
      </c>
      <c r="V12967" t="s">
        <v>64065</v>
      </c>
      <c r="W12967" t="s">
        <v>44528</v>
      </c>
      <c r="X12967" t="s">
        <v>47321</v>
      </c>
    </row>
    <row r="12968" spans="1:24">
      <c r="A12968">
        <f>HYPERLINK("https://www.philgeps.gov.ph/GEPSNONPILOT/Tender/SplashBidNoticeAbstractUI.aspx?menuIndex=3&amp;refID=7168199&amp;Result=3","7168199")</f>
        <v>0</v>
      </c>
      <c r="B12968" t="s">
        <v>321</v>
      </c>
      <c r="C12968" t="s">
        <v>16124</v>
      </c>
      <c r="D12968" t="s">
        <v>19048</v>
      </c>
      <c r="E12968" t="s">
        <v>30083</v>
      </c>
      <c r="F12968" t="s">
        <v>32606</v>
      </c>
      <c r="G12968" t="s">
        <v>32613</v>
      </c>
      <c r="H12968" t="s">
        <v>32623</v>
      </c>
      <c r="I12968" t="s">
        <v>17648</v>
      </c>
      <c r="J12968" t="s">
        <v>32830</v>
      </c>
      <c r="K12968" t="s">
        <v>42624</v>
      </c>
      <c r="M12968" t="s">
        <v>43223</v>
      </c>
      <c r="N12968" t="s">
        <v>47304</v>
      </c>
      <c r="O12968" t="s">
        <v>47305</v>
      </c>
      <c r="P12968">
        <v>0</v>
      </c>
      <c r="Q12968">
        <v>1</v>
      </c>
      <c r="R12968" t="s">
        <v>47320</v>
      </c>
      <c r="S12968" t="s">
        <v>47917</v>
      </c>
      <c r="T12968" t="s">
        <v>49023</v>
      </c>
      <c r="U12968" t="s">
        <v>60217</v>
      </c>
      <c r="W12968" t="s">
        <v>43223</v>
      </c>
      <c r="X12968" t="s">
        <v>47321</v>
      </c>
    </row>
    <row r="12969" spans="1:24">
      <c r="A12969">
        <f>HYPERLINK("https://www.philgeps.gov.ph/GEPSNONPILOT/Tender/SplashBidNoticeAbstractUI.aspx?menuIndex=3&amp;refID=7168183&amp;Result=3","7168183")</f>
        <v>0</v>
      </c>
      <c r="B12969" t="s">
        <v>936</v>
      </c>
      <c r="C12969" t="s">
        <v>16125</v>
      </c>
      <c r="D12969" t="s">
        <v>19035</v>
      </c>
      <c r="E12969" t="s">
        <v>30084</v>
      </c>
      <c r="F12969" t="s">
        <v>32606</v>
      </c>
      <c r="G12969" t="s">
        <v>32613</v>
      </c>
      <c r="H12969" t="s">
        <v>32623</v>
      </c>
      <c r="I12969" t="s">
        <v>17648</v>
      </c>
      <c r="J12969" t="s">
        <v>40789</v>
      </c>
      <c r="K12969" t="s">
        <v>42624</v>
      </c>
      <c r="M12969" t="s">
        <v>43876</v>
      </c>
      <c r="N12969" t="s">
        <v>47304</v>
      </c>
      <c r="O12969" t="s">
        <v>47305</v>
      </c>
      <c r="P12969">
        <v>0</v>
      </c>
      <c r="Q12969">
        <v>1</v>
      </c>
      <c r="R12969" t="s">
        <v>47320</v>
      </c>
      <c r="S12969" t="s">
        <v>47917</v>
      </c>
      <c r="T12969" t="s">
        <v>48986</v>
      </c>
      <c r="U12969" t="s">
        <v>60269</v>
      </c>
      <c r="W12969" t="s">
        <v>64457</v>
      </c>
      <c r="X12969" t="s">
        <v>47321</v>
      </c>
    </row>
    <row r="12970" spans="1:24">
      <c r="A12970">
        <f>HYPERLINK("https://www.philgeps.gov.ph/GEPSNONPILOT/Tender/SplashBidNoticeAbstractUI.aspx?menuIndex=3&amp;refID=7168171&amp;Result=3","7168171")</f>
        <v>0</v>
      </c>
      <c r="B12970" t="s">
        <v>3579</v>
      </c>
      <c r="C12970" t="s">
        <v>9805</v>
      </c>
      <c r="D12970" t="s">
        <v>19006</v>
      </c>
      <c r="E12970" t="s">
        <v>30085</v>
      </c>
      <c r="F12970" t="s">
        <v>32606</v>
      </c>
      <c r="G12970" t="s">
        <v>32613</v>
      </c>
      <c r="H12970" t="s">
        <v>32623</v>
      </c>
      <c r="I12970" t="s">
        <v>17648</v>
      </c>
      <c r="J12970" t="s">
        <v>32772</v>
      </c>
      <c r="K12970" t="s">
        <v>42636</v>
      </c>
      <c r="M12970" t="s">
        <v>46868</v>
      </c>
      <c r="N12970" t="s">
        <v>47304</v>
      </c>
      <c r="O12970" t="s">
        <v>47305</v>
      </c>
      <c r="P12970">
        <v>0</v>
      </c>
      <c r="Q12970">
        <v>2</v>
      </c>
      <c r="R12970" t="s">
        <v>47320</v>
      </c>
      <c r="S12970" t="s">
        <v>47917</v>
      </c>
      <c r="T12970" t="s">
        <v>49018</v>
      </c>
      <c r="U12970" t="s">
        <v>60270</v>
      </c>
      <c r="W12970" t="s">
        <v>46868</v>
      </c>
      <c r="X12970" t="s">
        <v>47321</v>
      </c>
    </row>
    <row r="12971" spans="1:24">
      <c r="A12971">
        <f>HYPERLINK("https://www.philgeps.gov.ph/GEPSNONPILOT/Tender/SplashBidNoticeAbstractUI.aspx?menuIndex=3&amp;refID=7167667&amp;Result=3","7167667")</f>
        <v>0</v>
      </c>
      <c r="B12971" t="s">
        <v>444</v>
      </c>
      <c r="C12971" t="s">
        <v>16126</v>
      </c>
      <c r="D12971" t="s">
        <v>19006</v>
      </c>
      <c r="E12971" t="s">
        <v>30086</v>
      </c>
      <c r="F12971" t="s">
        <v>32606</v>
      </c>
      <c r="G12971" t="s">
        <v>32613</v>
      </c>
      <c r="H12971" t="s">
        <v>14201</v>
      </c>
      <c r="I12971" t="s">
        <v>32662</v>
      </c>
      <c r="J12971" t="s">
        <v>40790</v>
      </c>
      <c r="K12971" t="s">
        <v>42631</v>
      </c>
      <c r="M12971" t="s">
        <v>46860</v>
      </c>
      <c r="N12971" t="s">
        <v>47304</v>
      </c>
      <c r="O12971" t="s">
        <v>47305</v>
      </c>
      <c r="P12971">
        <v>0</v>
      </c>
      <c r="Q12971">
        <v>12</v>
      </c>
      <c r="R12971" t="s">
        <v>47320</v>
      </c>
      <c r="S12971" t="s">
        <v>47917</v>
      </c>
      <c r="T12971" t="s">
        <v>49073</v>
      </c>
      <c r="U12971" t="s">
        <v>60271</v>
      </c>
      <c r="W12971" t="s">
        <v>46860</v>
      </c>
      <c r="X12971" t="s">
        <v>47322</v>
      </c>
    </row>
    <row r="12972" spans="1:24">
      <c r="A12972">
        <f>HYPERLINK("https://www.philgeps.gov.ph/GEPSNONPILOT/Tender/SplashBidNoticeAbstractUI.aspx?menuIndex=3&amp;refID=7168076&amp;Result=3","7168076")</f>
        <v>0</v>
      </c>
      <c r="B12972" t="s">
        <v>936</v>
      </c>
      <c r="C12972" t="s">
        <v>16127</v>
      </c>
      <c r="D12972" t="s">
        <v>19035</v>
      </c>
      <c r="E12972" t="s">
        <v>30087</v>
      </c>
      <c r="F12972" t="s">
        <v>32606</v>
      </c>
      <c r="G12972" t="s">
        <v>32613</v>
      </c>
      <c r="H12972" t="s">
        <v>32623</v>
      </c>
      <c r="I12972" t="s">
        <v>17648</v>
      </c>
      <c r="J12972" t="s">
        <v>40791</v>
      </c>
      <c r="K12972" t="s">
        <v>42624</v>
      </c>
      <c r="M12972" t="s">
        <v>43876</v>
      </c>
      <c r="N12972" t="s">
        <v>47304</v>
      </c>
      <c r="O12972" t="s">
        <v>47305</v>
      </c>
      <c r="P12972">
        <v>0</v>
      </c>
      <c r="Q12972">
        <v>1</v>
      </c>
      <c r="R12972" t="s">
        <v>47320</v>
      </c>
      <c r="S12972" t="s">
        <v>47917</v>
      </c>
      <c r="T12972" t="s">
        <v>48986</v>
      </c>
      <c r="U12972" t="s">
        <v>60272</v>
      </c>
      <c r="W12972" t="s">
        <v>64457</v>
      </c>
      <c r="X12972" t="s">
        <v>47321</v>
      </c>
    </row>
    <row r="12973" spans="1:24">
      <c r="A12973">
        <f>HYPERLINK("https://www.philgeps.gov.ph/GEPSNONPILOT/Tender/SplashBidNoticeAbstractUI.aspx?menuIndex=3&amp;refID=7168155&amp;Result=3","7168155")</f>
        <v>0</v>
      </c>
      <c r="B12973" t="s">
        <v>913</v>
      </c>
      <c r="C12973" t="s">
        <v>16128</v>
      </c>
      <c r="D12973" t="s">
        <v>19046</v>
      </c>
      <c r="E12973" t="s">
        <v>30088</v>
      </c>
      <c r="F12973" t="s">
        <v>32606</v>
      </c>
      <c r="G12973" t="s">
        <v>32613</v>
      </c>
      <c r="H12973" t="s">
        <v>14201</v>
      </c>
      <c r="I12973" t="s">
        <v>4678</v>
      </c>
      <c r="J12973" t="s">
        <v>32752</v>
      </c>
      <c r="K12973" t="s">
        <v>42623</v>
      </c>
      <c r="M12973" t="s">
        <v>43852</v>
      </c>
      <c r="N12973" t="s">
        <v>47304</v>
      </c>
      <c r="O12973" t="s">
        <v>47305</v>
      </c>
      <c r="P12973">
        <v>0</v>
      </c>
      <c r="Q12973">
        <v>0</v>
      </c>
      <c r="R12973" t="s">
        <v>47320</v>
      </c>
      <c r="S12973" t="s">
        <v>47917</v>
      </c>
      <c r="T12973" t="s">
        <v>49017</v>
      </c>
      <c r="U12973" t="s">
        <v>60273</v>
      </c>
      <c r="W12973" t="s">
        <v>43852</v>
      </c>
      <c r="X12973" t="s">
        <v>47321</v>
      </c>
    </row>
    <row r="12974" spans="1:24">
      <c r="A12974">
        <f>HYPERLINK("https://www.philgeps.gov.ph/GEPSNONPILOT/Tender/SplashBidNoticeAbstractUI.aspx?menuIndex=3&amp;refID=7168168&amp;Result=3","7168168")</f>
        <v>0</v>
      </c>
      <c r="B12974" t="s">
        <v>1527</v>
      </c>
      <c r="C12974" t="s">
        <v>16129</v>
      </c>
      <c r="D12974" t="s">
        <v>19056</v>
      </c>
      <c r="E12974" t="s">
        <v>30089</v>
      </c>
      <c r="F12974" t="s">
        <v>32606</v>
      </c>
      <c r="G12974" t="s">
        <v>32613</v>
      </c>
      <c r="H12974" t="s">
        <v>14201</v>
      </c>
      <c r="I12974" t="s">
        <v>7064</v>
      </c>
      <c r="J12974" t="s">
        <v>32767</v>
      </c>
      <c r="K12974" t="s">
        <v>42630</v>
      </c>
      <c r="M12974" t="s">
        <v>44528</v>
      </c>
      <c r="N12974" t="s">
        <v>47304</v>
      </c>
      <c r="O12974" t="s">
        <v>47305</v>
      </c>
      <c r="Q12974">
        <v>6</v>
      </c>
      <c r="R12974" t="s">
        <v>47320</v>
      </c>
      <c r="S12974" t="s">
        <v>47941</v>
      </c>
      <c r="T12974" t="s">
        <v>48986</v>
      </c>
      <c r="U12974" t="s">
        <v>60274</v>
      </c>
      <c r="V12974" t="s">
        <v>64065</v>
      </c>
      <c r="W12974" t="s">
        <v>44528</v>
      </c>
      <c r="X12974" t="s">
        <v>47321</v>
      </c>
    </row>
    <row r="12975" spans="1:24">
      <c r="A12975">
        <f>HYPERLINK("https://www.philgeps.gov.ph/GEPSNONPILOT/Tender/SplashBidNoticeAbstractUI.aspx?menuIndex=3&amp;refID=7168138&amp;Result=3","7168138")</f>
        <v>0</v>
      </c>
      <c r="B12975" t="s">
        <v>2208</v>
      </c>
      <c r="C12975" t="s">
        <v>16130</v>
      </c>
      <c r="D12975" t="s">
        <v>19012</v>
      </c>
      <c r="E12975" t="s">
        <v>30090</v>
      </c>
      <c r="F12975" t="s">
        <v>32606</v>
      </c>
      <c r="G12975" t="s">
        <v>32613</v>
      </c>
      <c r="H12975" t="s">
        <v>14201</v>
      </c>
      <c r="I12975" t="s">
        <v>6931</v>
      </c>
      <c r="J12975" t="s">
        <v>32770</v>
      </c>
      <c r="K12975" t="s">
        <v>42636</v>
      </c>
      <c r="M12975" t="s">
        <v>45312</v>
      </c>
      <c r="N12975" t="s">
        <v>47304</v>
      </c>
      <c r="O12975" t="s">
        <v>47305</v>
      </c>
      <c r="Q12975">
        <v>0</v>
      </c>
      <c r="R12975" t="s">
        <v>47320</v>
      </c>
      <c r="S12975" t="s">
        <v>47942</v>
      </c>
      <c r="T12975" t="s">
        <v>49117</v>
      </c>
      <c r="U12975" t="s">
        <v>55073</v>
      </c>
      <c r="W12975" t="s">
        <v>45312</v>
      </c>
      <c r="X12975" t="s">
        <v>47321</v>
      </c>
    </row>
    <row r="12976" spans="1:24">
      <c r="A12976">
        <f>HYPERLINK("https://www.philgeps.gov.ph/GEPSNONPILOT/Tender/SplashBidNoticeAbstractUI.aspx?menuIndex=3&amp;refID=7168102&amp;Result=3","7168102")</f>
        <v>0</v>
      </c>
      <c r="B12976" t="s">
        <v>1550</v>
      </c>
      <c r="C12976" t="s">
        <v>16131</v>
      </c>
      <c r="D12976" t="s">
        <v>19049</v>
      </c>
      <c r="E12976" t="s">
        <v>30091</v>
      </c>
      <c r="F12976" t="s">
        <v>32606</v>
      </c>
      <c r="G12976" t="s">
        <v>32613</v>
      </c>
      <c r="H12976" t="s">
        <v>14201</v>
      </c>
      <c r="I12976" t="s">
        <v>6931</v>
      </c>
      <c r="J12976" t="s">
        <v>40792</v>
      </c>
      <c r="K12976" t="s">
        <v>42623</v>
      </c>
      <c r="M12976" t="s">
        <v>44554</v>
      </c>
      <c r="N12976" t="s">
        <v>47304</v>
      </c>
      <c r="O12976" t="s">
        <v>47305</v>
      </c>
      <c r="P12976">
        <v>0</v>
      </c>
      <c r="Q12976">
        <v>0</v>
      </c>
      <c r="R12976" t="s">
        <v>47320</v>
      </c>
      <c r="S12976" t="s">
        <v>47917</v>
      </c>
      <c r="T12976" t="s">
        <v>49160</v>
      </c>
      <c r="U12976" t="s">
        <v>52968</v>
      </c>
      <c r="W12976" t="s">
        <v>44554</v>
      </c>
      <c r="X12976" t="s">
        <v>47321</v>
      </c>
    </row>
    <row r="12977" spans="1:24">
      <c r="A12977">
        <f>HYPERLINK("https://www.philgeps.gov.ph/GEPSNONPILOT/Tender/SplashBidNoticeAbstractUI.aspx?menuIndex=3&amp;refID=7168193&amp;Result=3","7168193")</f>
        <v>0</v>
      </c>
      <c r="B12977" t="s">
        <v>3418</v>
      </c>
      <c r="C12977" t="s">
        <v>16132</v>
      </c>
      <c r="D12977" t="s">
        <v>18997</v>
      </c>
      <c r="E12977" t="s">
        <v>19279</v>
      </c>
      <c r="F12977" t="s">
        <v>32606</v>
      </c>
      <c r="G12977" t="s">
        <v>32613</v>
      </c>
      <c r="H12977" t="s">
        <v>14201</v>
      </c>
      <c r="I12977" t="s">
        <v>6931</v>
      </c>
      <c r="J12977" t="s">
        <v>40793</v>
      </c>
      <c r="K12977" t="s">
        <v>42631</v>
      </c>
      <c r="M12977" t="s">
        <v>46675</v>
      </c>
      <c r="N12977" t="s">
        <v>47304</v>
      </c>
      <c r="O12977" t="s">
        <v>47305</v>
      </c>
      <c r="P12977">
        <v>0</v>
      </c>
      <c r="Q12977">
        <v>0</v>
      </c>
      <c r="R12977" t="s">
        <v>47320</v>
      </c>
      <c r="S12977" t="s">
        <v>47917</v>
      </c>
      <c r="T12977" t="s">
        <v>48998</v>
      </c>
      <c r="U12977" t="s">
        <v>60275</v>
      </c>
      <c r="W12977" t="s">
        <v>46675</v>
      </c>
      <c r="X12977" t="s">
        <v>47321</v>
      </c>
    </row>
    <row r="12978" spans="1:24">
      <c r="A12978">
        <f>HYPERLINK("https://www.philgeps.gov.ph/GEPSNONPILOT/Tender/SplashBidNoticeAbstractUI.aspx?menuIndex=3&amp;refID=7168178&amp;Result=3","7168178")</f>
        <v>0</v>
      </c>
      <c r="B12978" t="s">
        <v>1550</v>
      </c>
      <c r="C12978" t="s">
        <v>16133</v>
      </c>
      <c r="D12978" t="s">
        <v>19049</v>
      </c>
      <c r="E12978" t="s">
        <v>30092</v>
      </c>
      <c r="F12978" t="s">
        <v>32606</v>
      </c>
      <c r="G12978" t="s">
        <v>32613</v>
      </c>
      <c r="H12978" t="s">
        <v>14201</v>
      </c>
      <c r="I12978" t="s">
        <v>6931</v>
      </c>
      <c r="J12978" t="s">
        <v>40794</v>
      </c>
      <c r="K12978" t="s">
        <v>42623</v>
      </c>
      <c r="M12978" t="s">
        <v>44554</v>
      </c>
      <c r="N12978" t="s">
        <v>47304</v>
      </c>
      <c r="O12978" t="s">
        <v>47305</v>
      </c>
      <c r="P12978">
        <v>0</v>
      </c>
      <c r="Q12978">
        <v>0</v>
      </c>
      <c r="R12978" t="s">
        <v>47320</v>
      </c>
      <c r="S12978" t="s">
        <v>47917</v>
      </c>
      <c r="T12978" t="s">
        <v>48976</v>
      </c>
      <c r="U12978" t="s">
        <v>52968</v>
      </c>
      <c r="W12978" t="s">
        <v>44554</v>
      </c>
      <c r="X12978" t="s">
        <v>47321</v>
      </c>
    </row>
    <row r="12979" spans="1:24">
      <c r="A12979">
        <f>HYPERLINK("https://www.philgeps.gov.ph/GEPSNONPILOT/Tender/SplashBidNoticeAbstractUI.aspx?menuIndex=3&amp;refID=7168140&amp;Result=3","7168140")</f>
        <v>0</v>
      </c>
      <c r="B12979" t="s">
        <v>3089</v>
      </c>
      <c r="C12979" t="s">
        <v>16134</v>
      </c>
      <c r="D12979" t="s">
        <v>19050</v>
      </c>
      <c r="E12979" t="s">
        <v>30093</v>
      </c>
      <c r="F12979" t="s">
        <v>32606</v>
      </c>
      <c r="G12979" t="s">
        <v>32613</v>
      </c>
      <c r="H12979" t="s">
        <v>14201</v>
      </c>
      <c r="I12979" t="s">
        <v>7529</v>
      </c>
      <c r="J12979" t="s">
        <v>32833</v>
      </c>
      <c r="K12979" t="s">
        <v>42631</v>
      </c>
      <c r="L12979" t="s">
        <v>3089</v>
      </c>
      <c r="M12979" t="s">
        <v>46293</v>
      </c>
      <c r="N12979" t="s">
        <v>47304</v>
      </c>
      <c r="O12979" t="s">
        <v>47305</v>
      </c>
      <c r="P12979">
        <v>0</v>
      </c>
      <c r="Q12979">
        <v>9</v>
      </c>
      <c r="R12979" t="s">
        <v>47320</v>
      </c>
      <c r="S12979" t="s">
        <v>47917</v>
      </c>
      <c r="T12979" t="s">
        <v>48971</v>
      </c>
      <c r="U12979" t="s">
        <v>60276</v>
      </c>
      <c r="W12979" t="s">
        <v>46293</v>
      </c>
      <c r="X12979" t="s">
        <v>47321</v>
      </c>
    </row>
    <row r="12980" spans="1:24">
      <c r="A12980">
        <f>HYPERLINK("https://www.philgeps.gov.ph/GEPSNONPILOT/Tender/SplashBidNoticeAbstractUI.aspx?menuIndex=3&amp;refID=7167923&amp;Result=3","7167923")</f>
        <v>0</v>
      </c>
      <c r="B12980" t="s">
        <v>972</v>
      </c>
      <c r="C12980" t="s">
        <v>16135</v>
      </c>
      <c r="E12980" t="s">
        <v>30094</v>
      </c>
      <c r="F12980" t="s">
        <v>32606</v>
      </c>
      <c r="G12980" t="s">
        <v>32613</v>
      </c>
      <c r="H12980" t="s">
        <v>32623</v>
      </c>
      <c r="I12980" t="s">
        <v>17648</v>
      </c>
      <c r="J12980" t="s">
        <v>40795</v>
      </c>
      <c r="K12980" t="s">
        <v>42646</v>
      </c>
      <c r="M12980" t="s">
        <v>43918</v>
      </c>
      <c r="N12980" t="s">
        <v>47304</v>
      </c>
      <c r="O12980" t="s">
        <v>47305</v>
      </c>
      <c r="P12980">
        <v>0</v>
      </c>
      <c r="Q12980">
        <v>8</v>
      </c>
      <c r="R12980" t="s">
        <v>47320</v>
      </c>
      <c r="S12980" t="s">
        <v>47917</v>
      </c>
      <c r="T12980" t="s">
        <v>49023</v>
      </c>
      <c r="U12980" t="s">
        <v>60277</v>
      </c>
      <c r="V12980" t="s">
        <v>64066</v>
      </c>
      <c r="W12980" t="s">
        <v>43918</v>
      </c>
      <c r="X12980" t="s">
        <v>47321</v>
      </c>
    </row>
    <row r="12981" spans="1:24">
      <c r="A12981">
        <f>HYPERLINK("https://www.philgeps.gov.ph/GEPSNONPILOT/Tender/SplashBidNoticeAbstractUI.aspx?menuIndex=3&amp;refID=7167922&amp;Result=3","7167922")</f>
        <v>0</v>
      </c>
      <c r="B12981" t="s">
        <v>972</v>
      </c>
      <c r="C12981" t="s">
        <v>16136</v>
      </c>
      <c r="E12981" t="s">
        <v>30095</v>
      </c>
      <c r="F12981" t="s">
        <v>32606</v>
      </c>
      <c r="G12981" t="s">
        <v>32613</v>
      </c>
      <c r="H12981" t="s">
        <v>32623</v>
      </c>
      <c r="I12981" t="s">
        <v>17648</v>
      </c>
      <c r="J12981" t="s">
        <v>40796</v>
      </c>
      <c r="K12981" t="s">
        <v>42645</v>
      </c>
      <c r="M12981" t="s">
        <v>43918</v>
      </c>
      <c r="N12981" t="s">
        <v>47304</v>
      </c>
      <c r="O12981" t="s">
        <v>47305</v>
      </c>
      <c r="P12981">
        <v>0</v>
      </c>
      <c r="Q12981">
        <v>4</v>
      </c>
      <c r="R12981" t="s">
        <v>47320</v>
      </c>
      <c r="S12981" t="s">
        <v>47917</v>
      </c>
      <c r="T12981" t="s">
        <v>49023</v>
      </c>
      <c r="U12981" t="s">
        <v>60278</v>
      </c>
      <c r="V12981" t="s">
        <v>64066</v>
      </c>
      <c r="W12981" t="s">
        <v>43918</v>
      </c>
      <c r="X12981" t="s">
        <v>47321</v>
      </c>
    </row>
    <row r="12982" spans="1:24">
      <c r="A12982">
        <f>HYPERLINK("https://www.philgeps.gov.ph/GEPSNONPILOT/Tender/SplashBidNoticeAbstractUI.aspx?menuIndex=3&amp;refID=7168418&amp;Result=3","7168418")</f>
        <v>0</v>
      </c>
      <c r="B12982" t="s">
        <v>936</v>
      </c>
      <c r="C12982" t="s">
        <v>16137</v>
      </c>
      <c r="D12982" t="s">
        <v>19035</v>
      </c>
      <c r="E12982" t="s">
        <v>30096</v>
      </c>
      <c r="F12982" t="s">
        <v>32606</v>
      </c>
      <c r="G12982" t="s">
        <v>32613</v>
      </c>
      <c r="H12982" t="s">
        <v>32623</v>
      </c>
      <c r="I12982" t="s">
        <v>17648</v>
      </c>
      <c r="J12982" t="s">
        <v>40797</v>
      </c>
      <c r="K12982" t="s">
        <v>42624</v>
      </c>
      <c r="M12982" t="s">
        <v>43876</v>
      </c>
      <c r="N12982" t="s">
        <v>47304</v>
      </c>
      <c r="O12982" t="s">
        <v>47305</v>
      </c>
      <c r="P12982">
        <v>0</v>
      </c>
      <c r="Q12982">
        <v>1</v>
      </c>
      <c r="R12982" t="s">
        <v>47320</v>
      </c>
      <c r="S12982" t="s">
        <v>47917</v>
      </c>
      <c r="T12982" t="s">
        <v>48986</v>
      </c>
      <c r="U12982" t="s">
        <v>60279</v>
      </c>
      <c r="W12982" t="s">
        <v>64457</v>
      </c>
      <c r="X12982" t="s">
        <v>47321</v>
      </c>
    </row>
    <row r="12983" spans="1:24">
      <c r="A12983">
        <f>HYPERLINK("https://www.philgeps.gov.ph/GEPSNONPILOT/Tender/SplashBidNoticeAbstractUI.aspx?menuIndex=3&amp;refID=7168166&amp;Result=3","7168166")</f>
        <v>0</v>
      </c>
      <c r="B12983" t="s">
        <v>317</v>
      </c>
      <c r="C12983" t="s">
        <v>16138</v>
      </c>
      <c r="D12983" t="s">
        <v>19011</v>
      </c>
      <c r="E12983" t="s">
        <v>30097</v>
      </c>
      <c r="F12983" t="s">
        <v>32606</v>
      </c>
      <c r="G12983" t="s">
        <v>32613</v>
      </c>
      <c r="H12983" t="s">
        <v>14201</v>
      </c>
      <c r="I12983" t="s">
        <v>32660</v>
      </c>
      <c r="J12983" t="s">
        <v>32795</v>
      </c>
      <c r="K12983" t="s">
        <v>42622</v>
      </c>
      <c r="M12983" t="s">
        <v>43571</v>
      </c>
      <c r="N12983" t="s">
        <v>47304</v>
      </c>
      <c r="O12983" t="s">
        <v>47305</v>
      </c>
      <c r="P12983">
        <v>0</v>
      </c>
      <c r="Q12983">
        <v>0</v>
      </c>
      <c r="R12983" t="s">
        <v>47320</v>
      </c>
      <c r="S12983" t="s">
        <v>47917</v>
      </c>
      <c r="T12983" t="s">
        <v>48988</v>
      </c>
      <c r="U12983" t="s">
        <v>60280</v>
      </c>
      <c r="W12983" t="s">
        <v>43571</v>
      </c>
      <c r="X12983" t="s">
        <v>47321</v>
      </c>
    </row>
    <row r="12984" spans="1:24">
      <c r="A12984">
        <f>HYPERLINK("https://www.philgeps.gov.ph/GEPSNONPILOT/Tender/SplashBidNoticeAbstractUI.aspx?menuIndex=3&amp;refID=7168411&amp;Result=3","7168411")</f>
        <v>0</v>
      </c>
      <c r="B12984" t="s">
        <v>3533</v>
      </c>
      <c r="C12984" t="s">
        <v>16139</v>
      </c>
      <c r="D12984" t="s">
        <v>19014</v>
      </c>
      <c r="E12984" t="s">
        <v>19312</v>
      </c>
      <c r="F12984" t="s">
        <v>32606</v>
      </c>
      <c r="G12984" t="s">
        <v>32613</v>
      </c>
      <c r="H12984" t="s">
        <v>14201</v>
      </c>
      <c r="I12984" t="s">
        <v>6931</v>
      </c>
      <c r="J12984" t="s">
        <v>40798</v>
      </c>
      <c r="K12984" t="s">
        <v>42631</v>
      </c>
      <c r="L12984" t="s">
        <v>3533</v>
      </c>
      <c r="M12984" t="s">
        <v>46806</v>
      </c>
      <c r="N12984" t="s">
        <v>47304</v>
      </c>
      <c r="O12984" t="s">
        <v>47305</v>
      </c>
      <c r="P12984">
        <v>0</v>
      </c>
      <c r="Q12984">
        <v>50</v>
      </c>
      <c r="R12984" t="s">
        <v>47320</v>
      </c>
      <c r="S12984" t="s">
        <v>47917</v>
      </c>
      <c r="T12984" t="s">
        <v>49267</v>
      </c>
      <c r="U12984" t="s">
        <v>54796</v>
      </c>
      <c r="V12984" t="s">
        <v>64025</v>
      </c>
      <c r="W12984" t="s">
        <v>46806</v>
      </c>
      <c r="X12984" t="s">
        <v>47321</v>
      </c>
    </row>
    <row r="12985" spans="1:24">
      <c r="A12985">
        <f>HYPERLINK("https://www.philgeps.gov.ph/GEPSNONPILOT/Tender/SplashBidNoticeAbstractUI.aspx?menuIndex=3&amp;refID=7168127&amp;Result=3","7168127")</f>
        <v>0</v>
      </c>
      <c r="B12985" t="s">
        <v>2434</v>
      </c>
      <c r="C12985" t="s">
        <v>16140</v>
      </c>
      <c r="D12985" t="s">
        <v>18994</v>
      </c>
      <c r="E12985" t="s">
        <v>30098</v>
      </c>
      <c r="F12985" t="s">
        <v>32606</v>
      </c>
      <c r="G12985" t="s">
        <v>32613</v>
      </c>
      <c r="H12985" t="s">
        <v>14201</v>
      </c>
      <c r="I12985" t="s">
        <v>4678</v>
      </c>
      <c r="J12985" t="s">
        <v>40799</v>
      </c>
      <c r="K12985" t="s">
        <v>42623</v>
      </c>
      <c r="M12985" t="s">
        <v>45560</v>
      </c>
      <c r="N12985" t="s">
        <v>47304</v>
      </c>
      <c r="O12985" t="s">
        <v>47305</v>
      </c>
      <c r="Q12985">
        <v>5</v>
      </c>
      <c r="R12985" t="s">
        <v>47320</v>
      </c>
      <c r="S12985" t="s">
        <v>47943</v>
      </c>
      <c r="T12985" t="s">
        <v>48996</v>
      </c>
      <c r="U12985" t="s">
        <v>60281</v>
      </c>
      <c r="W12985" t="s">
        <v>45560</v>
      </c>
      <c r="X12985" t="s">
        <v>47321</v>
      </c>
    </row>
    <row r="12986" spans="1:24">
      <c r="A12986">
        <f>HYPERLINK("https://www.philgeps.gov.ph/GEPSNONPILOT/Tender/SplashBidNoticeAbstractUI.aspx?menuIndex=3&amp;refID=7168205&amp;Result=3","7168205")</f>
        <v>0</v>
      </c>
      <c r="B12986" t="s">
        <v>1932</v>
      </c>
      <c r="C12986" t="s">
        <v>16141</v>
      </c>
      <c r="D12986" t="s">
        <v>19032</v>
      </c>
      <c r="E12986" t="s">
        <v>30099</v>
      </c>
      <c r="F12986" t="s">
        <v>32606</v>
      </c>
      <c r="G12986" t="s">
        <v>32613</v>
      </c>
      <c r="H12986" t="s">
        <v>14201</v>
      </c>
      <c r="I12986" t="s">
        <v>4120</v>
      </c>
      <c r="J12986" t="s">
        <v>40800</v>
      </c>
      <c r="K12986" t="s">
        <v>42630</v>
      </c>
      <c r="M12986" t="s">
        <v>44992</v>
      </c>
      <c r="N12986" t="s">
        <v>47304</v>
      </c>
      <c r="O12986" t="s">
        <v>47305</v>
      </c>
      <c r="P12986">
        <v>0</v>
      </c>
      <c r="Q12986">
        <v>3</v>
      </c>
      <c r="R12986" t="s">
        <v>47320</v>
      </c>
      <c r="S12986" t="s">
        <v>47917</v>
      </c>
      <c r="T12986" t="s">
        <v>48979</v>
      </c>
      <c r="U12986" t="s">
        <v>60282</v>
      </c>
      <c r="W12986" t="s">
        <v>44992</v>
      </c>
      <c r="X12986" t="s">
        <v>47321</v>
      </c>
    </row>
    <row r="12987" spans="1:24">
      <c r="A12987">
        <f>HYPERLINK("https://www.philgeps.gov.ph/GEPSNONPILOT/Tender/SplashBidNoticeAbstractUI.aspx?menuIndex=3&amp;refID=7168375&amp;Result=3","7168375")</f>
        <v>0</v>
      </c>
      <c r="B12987" t="s">
        <v>3082</v>
      </c>
      <c r="C12987" t="s">
        <v>16142</v>
      </c>
      <c r="D12987" t="s">
        <v>19041</v>
      </c>
      <c r="E12987" t="s">
        <v>30100</v>
      </c>
      <c r="F12987" t="s">
        <v>32606</v>
      </c>
      <c r="G12987" t="s">
        <v>32613</v>
      </c>
      <c r="H12987" t="s">
        <v>32623</v>
      </c>
      <c r="I12987" t="s">
        <v>17648</v>
      </c>
      <c r="J12987" t="s">
        <v>35267</v>
      </c>
      <c r="K12987" t="s">
        <v>42645</v>
      </c>
      <c r="M12987" t="s">
        <v>46283</v>
      </c>
      <c r="N12987" t="s">
        <v>47304</v>
      </c>
      <c r="O12987" t="s">
        <v>47305</v>
      </c>
      <c r="P12987">
        <v>0</v>
      </c>
      <c r="Q12987">
        <v>3</v>
      </c>
      <c r="R12987" t="s">
        <v>47320</v>
      </c>
      <c r="S12987" t="s">
        <v>47917</v>
      </c>
      <c r="T12987" t="s">
        <v>48998</v>
      </c>
      <c r="U12987" t="s">
        <v>53794</v>
      </c>
      <c r="W12987" t="s">
        <v>46283</v>
      </c>
      <c r="X12987" t="s">
        <v>47321</v>
      </c>
    </row>
    <row r="12988" spans="1:24">
      <c r="A12988">
        <f>HYPERLINK("https://www.philgeps.gov.ph/GEPSNONPILOT/Tender/SplashBidNoticeAbstractUI.aspx?menuIndex=3&amp;refID=7168367&amp;Result=3","7168367")</f>
        <v>0</v>
      </c>
      <c r="B12988" t="s">
        <v>321</v>
      </c>
      <c r="C12988" t="s">
        <v>16143</v>
      </c>
      <c r="D12988" t="s">
        <v>19048</v>
      </c>
      <c r="E12988" t="s">
        <v>30101</v>
      </c>
      <c r="F12988" t="s">
        <v>32606</v>
      </c>
      <c r="G12988" t="s">
        <v>32613</v>
      </c>
      <c r="H12988" t="s">
        <v>32623</v>
      </c>
      <c r="I12988" t="s">
        <v>17648</v>
      </c>
      <c r="J12988" t="s">
        <v>33039</v>
      </c>
      <c r="K12988" t="s">
        <v>42624</v>
      </c>
      <c r="M12988" t="s">
        <v>43223</v>
      </c>
      <c r="N12988" t="s">
        <v>47304</v>
      </c>
      <c r="O12988" t="s">
        <v>47305</v>
      </c>
      <c r="P12988">
        <v>0</v>
      </c>
      <c r="Q12988">
        <v>1</v>
      </c>
      <c r="R12988" t="s">
        <v>47320</v>
      </c>
      <c r="S12988" t="s">
        <v>47917</v>
      </c>
      <c r="T12988" t="s">
        <v>49023</v>
      </c>
      <c r="U12988" t="s">
        <v>60217</v>
      </c>
      <c r="W12988" t="s">
        <v>43223</v>
      </c>
      <c r="X12988" t="s">
        <v>47321</v>
      </c>
    </row>
    <row r="12989" spans="1:24">
      <c r="A12989">
        <f>HYPERLINK("https://www.philgeps.gov.ph/GEPSNONPILOT/Tender/SplashBidNoticeAbstractUI.aspx?menuIndex=3&amp;refID=7168345&amp;Result=3","7168345")</f>
        <v>0</v>
      </c>
      <c r="B12989" t="s">
        <v>2434</v>
      </c>
      <c r="C12989" t="s">
        <v>16144</v>
      </c>
      <c r="D12989" t="s">
        <v>18994</v>
      </c>
      <c r="E12989" t="s">
        <v>30102</v>
      </c>
      <c r="F12989" t="s">
        <v>32606</v>
      </c>
      <c r="G12989" t="s">
        <v>32613</v>
      </c>
      <c r="H12989" t="s">
        <v>14201</v>
      </c>
      <c r="I12989" t="s">
        <v>4678</v>
      </c>
      <c r="J12989" t="s">
        <v>36048</v>
      </c>
      <c r="K12989" t="s">
        <v>42623</v>
      </c>
      <c r="M12989" t="s">
        <v>45560</v>
      </c>
      <c r="N12989" t="s">
        <v>47304</v>
      </c>
      <c r="O12989" t="s">
        <v>47305</v>
      </c>
      <c r="Q12989">
        <v>14</v>
      </c>
      <c r="R12989" t="s">
        <v>47320</v>
      </c>
      <c r="S12989" t="s">
        <v>47944</v>
      </c>
      <c r="T12989" t="s">
        <v>48996</v>
      </c>
      <c r="U12989" t="s">
        <v>60283</v>
      </c>
      <c r="W12989" t="s">
        <v>45560</v>
      </c>
      <c r="X12989" t="s">
        <v>47321</v>
      </c>
    </row>
    <row r="12990" spans="1:24">
      <c r="A12990">
        <f>HYPERLINK("https://www.philgeps.gov.ph/GEPSNONPILOT/Tender/SplashBidNoticeAbstractUI.aspx?menuIndex=3&amp;refID=7168335&amp;Result=3","7168335")</f>
        <v>0</v>
      </c>
      <c r="B12990" t="s">
        <v>936</v>
      </c>
      <c r="C12990" t="s">
        <v>16145</v>
      </c>
      <c r="D12990" t="s">
        <v>19035</v>
      </c>
      <c r="E12990" t="s">
        <v>30103</v>
      </c>
      <c r="F12990" t="s">
        <v>32606</v>
      </c>
      <c r="G12990" t="s">
        <v>32613</v>
      </c>
      <c r="H12990" t="s">
        <v>32623</v>
      </c>
      <c r="I12990" t="s">
        <v>17648</v>
      </c>
      <c r="J12990" t="s">
        <v>40801</v>
      </c>
      <c r="K12990" t="s">
        <v>42624</v>
      </c>
      <c r="M12990" t="s">
        <v>43876</v>
      </c>
      <c r="N12990" t="s">
        <v>47304</v>
      </c>
      <c r="O12990" t="s">
        <v>47305</v>
      </c>
      <c r="P12990">
        <v>0</v>
      </c>
      <c r="Q12990">
        <v>1</v>
      </c>
      <c r="R12990" t="s">
        <v>47320</v>
      </c>
      <c r="S12990" t="s">
        <v>47917</v>
      </c>
      <c r="T12990" t="s">
        <v>48986</v>
      </c>
      <c r="U12990" t="s">
        <v>60284</v>
      </c>
      <c r="W12990" t="s">
        <v>64457</v>
      </c>
      <c r="X12990" t="s">
        <v>47321</v>
      </c>
    </row>
    <row r="12991" spans="1:24">
      <c r="A12991">
        <f>HYPERLINK("https://www.philgeps.gov.ph/GEPSNONPILOT/Tender/SplashBidNoticeAbstractUI.aspx?menuIndex=3&amp;refID=7168380&amp;Result=3","7168380")</f>
        <v>0</v>
      </c>
      <c r="B12991" t="s">
        <v>340</v>
      </c>
      <c r="C12991" t="s">
        <v>16146</v>
      </c>
      <c r="D12991" t="s">
        <v>19029</v>
      </c>
      <c r="E12991" t="s">
        <v>30104</v>
      </c>
      <c r="F12991" t="s">
        <v>32606</v>
      </c>
      <c r="G12991" t="s">
        <v>32613</v>
      </c>
      <c r="H12991" t="s">
        <v>14201</v>
      </c>
      <c r="I12991" t="s">
        <v>32632</v>
      </c>
      <c r="J12991" t="s">
        <v>40802</v>
      </c>
      <c r="K12991" t="s">
        <v>42636</v>
      </c>
      <c r="M12991" t="s">
        <v>43242</v>
      </c>
      <c r="N12991" t="s">
        <v>47304</v>
      </c>
      <c r="O12991" t="s">
        <v>47305</v>
      </c>
      <c r="P12991">
        <v>0</v>
      </c>
      <c r="Q12991">
        <v>7</v>
      </c>
      <c r="R12991" t="s">
        <v>47320</v>
      </c>
      <c r="S12991" t="s">
        <v>47917</v>
      </c>
      <c r="T12991" t="s">
        <v>49081</v>
      </c>
      <c r="U12991" t="s">
        <v>60285</v>
      </c>
      <c r="V12991" t="s">
        <v>64067</v>
      </c>
      <c r="W12991" t="s">
        <v>43242</v>
      </c>
      <c r="X12991" t="s">
        <v>47321</v>
      </c>
    </row>
    <row r="12992" spans="1:24">
      <c r="A12992">
        <f>HYPERLINK("https://www.philgeps.gov.ph/GEPSNONPILOT/Tender/SplashBidNoticeAbstractUI.aspx?menuIndex=3&amp;refID=7167970&amp;Result=3","7167970")</f>
        <v>0</v>
      </c>
      <c r="B12992" t="s">
        <v>211</v>
      </c>
      <c r="C12992" t="s">
        <v>16147</v>
      </c>
      <c r="D12992" t="s">
        <v>19007</v>
      </c>
      <c r="E12992" t="s">
        <v>30105</v>
      </c>
      <c r="F12992" t="s">
        <v>32606</v>
      </c>
      <c r="G12992" t="s">
        <v>32613</v>
      </c>
      <c r="H12992" t="s">
        <v>14201</v>
      </c>
      <c r="I12992" t="s">
        <v>32662</v>
      </c>
      <c r="J12992" t="s">
        <v>33382</v>
      </c>
      <c r="K12992" t="s">
        <v>42624</v>
      </c>
      <c r="M12992" t="s">
        <v>43112</v>
      </c>
      <c r="N12992" t="s">
        <v>47304</v>
      </c>
      <c r="O12992" t="s">
        <v>47305</v>
      </c>
      <c r="P12992">
        <v>0</v>
      </c>
      <c r="Q12992">
        <v>29</v>
      </c>
      <c r="R12992" t="s">
        <v>47320</v>
      </c>
      <c r="S12992" t="s">
        <v>47917</v>
      </c>
      <c r="T12992" t="s">
        <v>49124</v>
      </c>
      <c r="U12992" t="s">
        <v>60286</v>
      </c>
      <c r="W12992" t="s">
        <v>43112</v>
      </c>
      <c r="X12992" t="s">
        <v>47321</v>
      </c>
    </row>
    <row r="12993" spans="1:24">
      <c r="A12993">
        <f>HYPERLINK("https://www.philgeps.gov.ph/GEPSNONPILOT/Tender/SplashBidNoticeAbstractUI.aspx?menuIndex=3&amp;refID=7168309&amp;Result=3","7168309")</f>
        <v>0</v>
      </c>
      <c r="B12993" t="s">
        <v>3580</v>
      </c>
      <c r="C12993" t="s">
        <v>5906</v>
      </c>
      <c r="D12993" t="s">
        <v>19010</v>
      </c>
      <c r="E12993" t="s">
        <v>21154</v>
      </c>
      <c r="F12993" t="s">
        <v>32606</v>
      </c>
      <c r="G12993" t="s">
        <v>32613</v>
      </c>
      <c r="H12993" t="s">
        <v>14201</v>
      </c>
      <c r="I12993" t="s">
        <v>6931</v>
      </c>
      <c r="J12993" t="s">
        <v>40803</v>
      </c>
      <c r="K12993" t="s">
        <v>42622</v>
      </c>
      <c r="M12993" t="s">
        <v>46869</v>
      </c>
      <c r="N12993" t="s">
        <v>47304</v>
      </c>
      <c r="O12993" t="s">
        <v>47305</v>
      </c>
      <c r="P12993">
        <v>0</v>
      </c>
      <c r="Q12993">
        <v>0</v>
      </c>
      <c r="R12993" t="s">
        <v>47320</v>
      </c>
      <c r="S12993" t="s">
        <v>47917</v>
      </c>
      <c r="T12993" t="s">
        <v>48986</v>
      </c>
      <c r="U12993" t="s">
        <v>60287</v>
      </c>
      <c r="W12993" t="s">
        <v>46869</v>
      </c>
      <c r="X12993" t="s">
        <v>47321</v>
      </c>
    </row>
    <row r="12994" spans="1:24">
      <c r="A12994">
        <f>HYPERLINK("https://www.philgeps.gov.ph/GEPSNONPILOT/Tender/SplashBidNoticeAbstractUI.aspx?menuIndex=3&amp;refID=7168356&amp;Result=3","7168356")</f>
        <v>0</v>
      </c>
      <c r="B12994" t="s">
        <v>1550</v>
      </c>
      <c r="C12994" t="s">
        <v>16148</v>
      </c>
      <c r="D12994" t="s">
        <v>19049</v>
      </c>
      <c r="E12994" t="s">
        <v>30106</v>
      </c>
      <c r="F12994" t="s">
        <v>32606</v>
      </c>
      <c r="G12994" t="s">
        <v>32613</v>
      </c>
      <c r="H12994" t="s">
        <v>14201</v>
      </c>
      <c r="I12994" t="s">
        <v>6931</v>
      </c>
      <c r="J12994" t="s">
        <v>40804</v>
      </c>
      <c r="K12994" t="s">
        <v>42623</v>
      </c>
      <c r="M12994" t="s">
        <v>44554</v>
      </c>
      <c r="N12994" t="s">
        <v>47304</v>
      </c>
      <c r="O12994" t="s">
        <v>47305</v>
      </c>
      <c r="P12994">
        <v>0</v>
      </c>
      <c r="Q12994">
        <v>0</v>
      </c>
      <c r="R12994" t="s">
        <v>47320</v>
      </c>
      <c r="S12994" t="s">
        <v>47917</v>
      </c>
      <c r="T12994" t="s">
        <v>49160</v>
      </c>
      <c r="U12994" t="s">
        <v>52968</v>
      </c>
      <c r="W12994" t="s">
        <v>44554</v>
      </c>
      <c r="X12994" t="s">
        <v>47321</v>
      </c>
    </row>
    <row r="12995" spans="1:24">
      <c r="A12995">
        <f>HYPERLINK("https://www.philgeps.gov.ph/GEPSNONPILOT/Tender/SplashBidNoticeAbstractUI.aspx?menuIndex=3&amp;refID=7168291&amp;Result=3","7168291")</f>
        <v>0</v>
      </c>
      <c r="B12995" t="s">
        <v>464</v>
      </c>
      <c r="C12995" t="s">
        <v>16149</v>
      </c>
      <c r="D12995" t="s">
        <v>19044</v>
      </c>
      <c r="E12995" t="s">
        <v>30107</v>
      </c>
      <c r="F12995" t="s">
        <v>32606</v>
      </c>
      <c r="G12995" t="s">
        <v>32613</v>
      </c>
      <c r="H12995" t="s">
        <v>32623</v>
      </c>
      <c r="I12995" t="s">
        <v>17648</v>
      </c>
      <c r="J12995" t="s">
        <v>40805</v>
      </c>
      <c r="K12995" t="s">
        <v>42875</v>
      </c>
      <c r="M12995" t="s">
        <v>43374</v>
      </c>
      <c r="N12995" t="s">
        <v>47304</v>
      </c>
      <c r="O12995" t="s">
        <v>47305</v>
      </c>
      <c r="P12995">
        <v>0</v>
      </c>
      <c r="Q12995">
        <v>0</v>
      </c>
      <c r="R12995" t="s">
        <v>47320</v>
      </c>
      <c r="S12995" t="s">
        <v>47917</v>
      </c>
      <c r="T12995" t="s">
        <v>49184</v>
      </c>
      <c r="U12995" t="s">
        <v>60288</v>
      </c>
      <c r="V12995" t="s">
        <v>64068</v>
      </c>
      <c r="W12995" t="s">
        <v>43374</v>
      </c>
      <c r="X12995" t="s">
        <v>47321</v>
      </c>
    </row>
    <row r="12996" spans="1:24">
      <c r="A12996">
        <f>HYPERLINK("https://www.philgeps.gov.ph/GEPSNONPILOT/Tender/SplashBidNoticeAbstractUI.aspx?menuIndex=3&amp;refID=7168409&amp;Result=3","7168409")</f>
        <v>0</v>
      </c>
      <c r="B12996" t="s">
        <v>3418</v>
      </c>
      <c r="C12996" t="s">
        <v>16150</v>
      </c>
      <c r="D12996" t="s">
        <v>18997</v>
      </c>
      <c r="E12996" t="s">
        <v>19314</v>
      </c>
      <c r="F12996" t="s">
        <v>32606</v>
      </c>
      <c r="G12996" t="s">
        <v>32613</v>
      </c>
      <c r="H12996" t="s">
        <v>14201</v>
      </c>
      <c r="I12996" t="s">
        <v>6931</v>
      </c>
      <c r="J12996" t="s">
        <v>40806</v>
      </c>
      <c r="K12996" t="s">
        <v>42631</v>
      </c>
      <c r="M12996" t="s">
        <v>46675</v>
      </c>
      <c r="N12996" t="s">
        <v>47304</v>
      </c>
      <c r="O12996" t="s">
        <v>47305</v>
      </c>
      <c r="P12996">
        <v>0</v>
      </c>
      <c r="Q12996">
        <v>0</v>
      </c>
      <c r="R12996" t="s">
        <v>47320</v>
      </c>
      <c r="S12996" t="s">
        <v>47917</v>
      </c>
      <c r="T12996" t="s">
        <v>48998</v>
      </c>
      <c r="U12996" t="s">
        <v>60289</v>
      </c>
      <c r="W12996" t="s">
        <v>46675</v>
      </c>
      <c r="X12996" t="s">
        <v>47321</v>
      </c>
    </row>
    <row r="12997" spans="1:24">
      <c r="A12997">
        <f>HYPERLINK("https://www.philgeps.gov.ph/GEPSNONPILOT/Tender/SplashBidNoticeAbstractUI.aspx?menuIndex=3&amp;refID=7168276&amp;Result=3","7168276")</f>
        <v>0</v>
      </c>
      <c r="B12997" t="s">
        <v>3082</v>
      </c>
      <c r="C12997" t="s">
        <v>16151</v>
      </c>
      <c r="D12997" t="s">
        <v>19041</v>
      </c>
      <c r="E12997" t="s">
        <v>30108</v>
      </c>
      <c r="F12997" t="s">
        <v>32606</v>
      </c>
      <c r="G12997" t="s">
        <v>32613</v>
      </c>
      <c r="H12997" t="s">
        <v>32623</v>
      </c>
      <c r="I12997" t="s">
        <v>17648</v>
      </c>
      <c r="J12997" t="s">
        <v>35267</v>
      </c>
      <c r="K12997" t="s">
        <v>42645</v>
      </c>
      <c r="M12997" t="s">
        <v>46283</v>
      </c>
      <c r="N12997" t="s">
        <v>47304</v>
      </c>
      <c r="O12997" t="s">
        <v>47305</v>
      </c>
      <c r="P12997">
        <v>0</v>
      </c>
      <c r="Q12997">
        <v>6</v>
      </c>
      <c r="R12997" t="s">
        <v>47320</v>
      </c>
      <c r="S12997" t="s">
        <v>47917</v>
      </c>
      <c r="T12997" t="s">
        <v>48998</v>
      </c>
      <c r="U12997" t="s">
        <v>53794</v>
      </c>
      <c r="W12997" t="s">
        <v>46283</v>
      </c>
      <c r="X12997" t="s">
        <v>47321</v>
      </c>
    </row>
    <row r="12998" spans="1:24">
      <c r="A12998">
        <f>HYPERLINK("https://www.philgeps.gov.ph/GEPSNONPILOT/Tender/SplashBidNoticeAbstractUI.aspx?menuIndex=3&amp;refID=7168255&amp;Result=3","7168255")</f>
        <v>0</v>
      </c>
      <c r="B12998" t="s">
        <v>936</v>
      </c>
      <c r="C12998" t="s">
        <v>16152</v>
      </c>
      <c r="D12998" t="s">
        <v>19035</v>
      </c>
      <c r="E12998" t="s">
        <v>30109</v>
      </c>
      <c r="F12998" t="s">
        <v>32606</v>
      </c>
      <c r="G12998" t="s">
        <v>32613</v>
      </c>
      <c r="H12998" t="s">
        <v>32623</v>
      </c>
      <c r="I12998" t="s">
        <v>17648</v>
      </c>
      <c r="J12998" t="s">
        <v>40807</v>
      </c>
      <c r="K12998" t="s">
        <v>42624</v>
      </c>
      <c r="M12998" t="s">
        <v>43876</v>
      </c>
      <c r="N12998" t="s">
        <v>47304</v>
      </c>
      <c r="O12998" t="s">
        <v>47305</v>
      </c>
      <c r="P12998">
        <v>0</v>
      </c>
      <c r="Q12998">
        <v>2</v>
      </c>
      <c r="R12998" t="s">
        <v>47320</v>
      </c>
      <c r="S12998" t="s">
        <v>47917</v>
      </c>
      <c r="T12998" t="s">
        <v>48986</v>
      </c>
      <c r="U12998" t="s">
        <v>60290</v>
      </c>
      <c r="W12998" t="s">
        <v>64457</v>
      </c>
      <c r="X12998" t="s">
        <v>47321</v>
      </c>
    </row>
    <row r="12999" spans="1:24">
      <c r="A12999">
        <f>HYPERLINK("https://www.philgeps.gov.ph/GEPSNONPILOT/Tender/SplashBidNoticeAbstractUI.aspx?menuIndex=3&amp;refID=7168304&amp;Result=3","7168304")</f>
        <v>0</v>
      </c>
      <c r="B12999" t="s">
        <v>513</v>
      </c>
      <c r="C12999" t="s">
        <v>16153</v>
      </c>
      <c r="D12999" t="s">
        <v>19008</v>
      </c>
      <c r="E12999" t="s">
        <v>19314</v>
      </c>
      <c r="F12999" t="s">
        <v>32606</v>
      </c>
      <c r="G12999" t="s">
        <v>32613</v>
      </c>
      <c r="H12999" t="s">
        <v>14201</v>
      </c>
      <c r="I12999" t="s">
        <v>7064</v>
      </c>
      <c r="J12999" t="s">
        <v>32795</v>
      </c>
      <c r="K12999" t="s">
        <v>42639</v>
      </c>
      <c r="M12999" t="s">
        <v>43426</v>
      </c>
      <c r="N12999" t="s">
        <v>47304</v>
      </c>
      <c r="O12999" t="s">
        <v>47305</v>
      </c>
      <c r="P12999">
        <v>0</v>
      </c>
      <c r="Q12999">
        <v>4</v>
      </c>
      <c r="R12999" t="s">
        <v>47320</v>
      </c>
      <c r="S12999" t="s">
        <v>47917</v>
      </c>
      <c r="T12999" t="s">
        <v>49108</v>
      </c>
      <c r="U12999" t="s">
        <v>60291</v>
      </c>
      <c r="W12999" t="s">
        <v>43426</v>
      </c>
      <c r="X12999" t="s">
        <v>47321</v>
      </c>
    </row>
    <row r="13000" spans="1:24">
      <c r="A13000">
        <f>HYPERLINK("https://www.philgeps.gov.ph/GEPSNONPILOT/Tender/SplashBidNoticeAbstractUI.aspx?menuIndex=3&amp;refID=7168252&amp;Result=3","7168252")</f>
        <v>0</v>
      </c>
      <c r="B13000" t="s">
        <v>3418</v>
      </c>
      <c r="C13000" t="s">
        <v>16132</v>
      </c>
      <c r="D13000" t="s">
        <v>18997</v>
      </c>
      <c r="E13000" t="s">
        <v>19370</v>
      </c>
      <c r="F13000" t="s">
        <v>32606</v>
      </c>
      <c r="G13000" t="s">
        <v>32613</v>
      </c>
      <c r="H13000" t="s">
        <v>14201</v>
      </c>
      <c r="I13000" t="s">
        <v>6931</v>
      </c>
      <c r="J13000" t="s">
        <v>40808</v>
      </c>
      <c r="K13000" t="s">
        <v>42631</v>
      </c>
      <c r="M13000" t="s">
        <v>46675</v>
      </c>
      <c r="N13000" t="s">
        <v>47304</v>
      </c>
      <c r="O13000" t="s">
        <v>47305</v>
      </c>
      <c r="P13000">
        <v>0</v>
      </c>
      <c r="Q13000">
        <v>0</v>
      </c>
      <c r="R13000" t="s">
        <v>47320</v>
      </c>
      <c r="S13000" t="s">
        <v>47917</v>
      </c>
      <c r="T13000" t="s">
        <v>48998</v>
      </c>
      <c r="U13000" t="s">
        <v>60292</v>
      </c>
      <c r="W13000" t="s">
        <v>46675</v>
      </c>
      <c r="X13000" t="s">
        <v>47321</v>
      </c>
    </row>
    <row r="13001" spans="1:24">
      <c r="A13001">
        <f>HYPERLINK("https://www.philgeps.gov.ph/GEPSNONPILOT/Tender/SplashBidNoticeAbstractUI.aspx?menuIndex=3&amp;refID=7168242&amp;Result=3","7168242")</f>
        <v>0</v>
      </c>
      <c r="B13001" t="s">
        <v>1550</v>
      </c>
      <c r="C13001" t="s">
        <v>16154</v>
      </c>
      <c r="D13001" t="s">
        <v>19049</v>
      </c>
      <c r="E13001" t="s">
        <v>22581</v>
      </c>
      <c r="F13001" t="s">
        <v>32606</v>
      </c>
      <c r="G13001" t="s">
        <v>32613</v>
      </c>
      <c r="H13001" t="s">
        <v>14201</v>
      </c>
      <c r="I13001" t="s">
        <v>6931</v>
      </c>
      <c r="J13001" t="s">
        <v>40809</v>
      </c>
      <c r="K13001" t="s">
        <v>42623</v>
      </c>
      <c r="M13001" t="s">
        <v>44554</v>
      </c>
      <c r="N13001" t="s">
        <v>47304</v>
      </c>
      <c r="O13001" t="s">
        <v>47305</v>
      </c>
      <c r="P13001">
        <v>0</v>
      </c>
      <c r="Q13001">
        <v>1</v>
      </c>
      <c r="R13001" t="s">
        <v>47320</v>
      </c>
      <c r="S13001" t="s">
        <v>47917</v>
      </c>
      <c r="T13001" t="s">
        <v>49160</v>
      </c>
      <c r="U13001" t="s">
        <v>52968</v>
      </c>
      <c r="W13001" t="s">
        <v>44554</v>
      </c>
      <c r="X13001" t="s">
        <v>47321</v>
      </c>
    </row>
    <row r="13002" spans="1:24">
      <c r="A13002">
        <f>HYPERLINK("https://www.philgeps.gov.ph/GEPSNONPILOT/Tender/SplashBidNoticeAbstractUI.aspx?menuIndex=3&amp;refID=7168265&amp;Result=3","7168265")</f>
        <v>0</v>
      </c>
      <c r="B13002" t="s">
        <v>3418</v>
      </c>
      <c r="C13002" t="s">
        <v>16150</v>
      </c>
      <c r="D13002" t="s">
        <v>18997</v>
      </c>
      <c r="E13002" t="s">
        <v>20525</v>
      </c>
      <c r="F13002" t="s">
        <v>32606</v>
      </c>
      <c r="G13002" t="s">
        <v>32613</v>
      </c>
      <c r="H13002" t="s">
        <v>14201</v>
      </c>
      <c r="I13002" t="s">
        <v>6931</v>
      </c>
      <c r="J13002" t="s">
        <v>40810</v>
      </c>
      <c r="K13002" t="s">
        <v>42631</v>
      </c>
      <c r="M13002" t="s">
        <v>46675</v>
      </c>
      <c r="N13002" t="s">
        <v>47304</v>
      </c>
      <c r="O13002" t="s">
        <v>47305</v>
      </c>
      <c r="P13002">
        <v>0</v>
      </c>
      <c r="Q13002">
        <v>0</v>
      </c>
      <c r="R13002" t="s">
        <v>47320</v>
      </c>
      <c r="S13002" t="s">
        <v>47917</v>
      </c>
      <c r="T13002" t="s">
        <v>48998</v>
      </c>
      <c r="U13002" t="s">
        <v>60293</v>
      </c>
      <c r="W13002" t="s">
        <v>46675</v>
      </c>
      <c r="X13002" t="s">
        <v>47321</v>
      </c>
    </row>
    <row r="13003" spans="1:24">
      <c r="A13003">
        <f>HYPERLINK("https://www.philgeps.gov.ph/GEPSNONPILOT/Tender/SplashBidNoticeAbstractUI.aspx?menuIndex=3&amp;refID=7168330&amp;Result=3","7168330")</f>
        <v>0</v>
      </c>
      <c r="B13003" t="s">
        <v>321</v>
      </c>
      <c r="C13003" t="s">
        <v>16155</v>
      </c>
      <c r="D13003" t="s">
        <v>19048</v>
      </c>
      <c r="E13003" t="s">
        <v>30110</v>
      </c>
      <c r="F13003" t="s">
        <v>32606</v>
      </c>
      <c r="G13003" t="s">
        <v>32613</v>
      </c>
      <c r="H13003" t="s">
        <v>32623</v>
      </c>
      <c r="I13003" t="s">
        <v>17648</v>
      </c>
      <c r="J13003" t="s">
        <v>40811</v>
      </c>
      <c r="K13003" t="s">
        <v>42624</v>
      </c>
      <c r="M13003" t="s">
        <v>43223</v>
      </c>
      <c r="N13003" t="s">
        <v>47304</v>
      </c>
      <c r="O13003" t="s">
        <v>47305</v>
      </c>
      <c r="P13003">
        <v>0</v>
      </c>
      <c r="Q13003">
        <v>1</v>
      </c>
      <c r="R13003" t="s">
        <v>47320</v>
      </c>
      <c r="S13003" t="s">
        <v>47917</v>
      </c>
      <c r="T13003" t="s">
        <v>49023</v>
      </c>
      <c r="U13003" t="s">
        <v>60217</v>
      </c>
      <c r="W13003" t="s">
        <v>43223</v>
      </c>
      <c r="X13003" t="s">
        <v>47321</v>
      </c>
    </row>
    <row r="13004" spans="1:24">
      <c r="A13004">
        <f>HYPERLINK("https://www.philgeps.gov.ph/GEPSNONPILOT/Tender/SplashBidNoticeAbstractUI.aspx?menuIndex=3&amp;refID=7167917&amp;Result=3","7167917")</f>
        <v>0</v>
      </c>
      <c r="B13004" t="s">
        <v>972</v>
      </c>
      <c r="C13004" t="s">
        <v>16156</v>
      </c>
      <c r="E13004" t="s">
        <v>30111</v>
      </c>
      <c r="F13004" t="s">
        <v>32606</v>
      </c>
      <c r="G13004" t="s">
        <v>32613</v>
      </c>
      <c r="H13004" t="s">
        <v>32623</v>
      </c>
      <c r="I13004" t="s">
        <v>17648</v>
      </c>
      <c r="J13004" t="s">
        <v>32772</v>
      </c>
      <c r="K13004" t="s">
        <v>42639</v>
      </c>
      <c r="M13004" t="s">
        <v>43918</v>
      </c>
      <c r="N13004" t="s">
        <v>47304</v>
      </c>
      <c r="O13004" t="s">
        <v>47305</v>
      </c>
      <c r="P13004">
        <v>0</v>
      </c>
      <c r="Q13004">
        <v>5</v>
      </c>
      <c r="R13004" t="s">
        <v>47320</v>
      </c>
      <c r="S13004" t="s">
        <v>47917</v>
      </c>
      <c r="T13004" t="s">
        <v>49023</v>
      </c>
      <c r="U13004" t="s">
        <v>60294</v>
      </c>
      <c r="V13004" t="s">
        <v>64066</v>
      </c>
      <c r="W13004" t="s">
        <v>43918</v>
      </c>
      <c r="X13004" t="s">
        <v>47321</v>
      </c>
    </row>
    <row r="13005" spans="1:24">
      <c r="A13005">
        <f>HYPERLINK("https://www.philgeps.gov.ph/GEPSNONPILOT/Tender/SplashBidNoticeAbstractUI.aspx?menuIndex=3&amp;refID=7167991&amp;Result=3","7167991")</f>
        <v>0</v>
      </c>
      <c r="B13005" t="s">
        <v>3581</v>
      </c>
      <c r="C13005" t="s">
        <v>16157</v>
      </c>
      <c r="E13005" t="s">
        <v>30112</v>
      </c>
      <c r="F13005" t="s">
        <v>32606</v>
      </c>
      <c r="G13005" t="s">
        <v>32613</v>
      </c>
      <c r="H13005" t="s">
        <v>14201</v>
      </c>
      <c r="I13005" t="s">
        <v>6931</v>
      </c>
      <c r="J13005" t="s">
        <v>40812</v>
      </c>
      <c r="K13005" t="s">
        <v>42623</v>
      </c>
      <c r="M13005" t="s">
        <v>46870</v>
      </c>
      <c r="N13005" t="s">
        <v>47304</v>
      </c>
      <c r="O13005" t="s">
        <v>47305</v>
      </c>
      <c r="P13005">
        <v>0</v>
      </c>
      <c r="Q13005">
        <v>0</v>
      </c>
      <c r="R13005" t="s">
        <v>47320</v>
      </c>
      <c r="S13005" t="s">
        <v>47917</v>
      </c>
      <c r="T13005" t="s">
        <v>49011</v>
      </c>
      <c r="U13005" t="s">
        <v>60295</v>
      </c>
      <c r="W13005" t="s">
        <v>46870</v>
      </c>
      <c r="X13005" t="s">
        <v>47321</v>
      </c>
    </row>
    <row r="13006" spans="1:24">
      <c r="A13006">
        <f>HYPERLINK("https://www.philgeps.gov.ph/GEPSNONPILOT/Tender/SplashBidNoticeAbstractUI.aspx?menuIndex=3&amp;refID=7168241&amp;Result=3","7168241")</f>
        <v>0</v>
      </c>
      <c r="B13006" t="s">
        <v>321</v>
      </c>
      <c r="C13006" t="s">
        <v>16158</v>
      </c>
      <c r="D13006" t="s">
        <v>19048</v>
      </c>
      <c r="E13006" t="s">
        <v>30113</v>
      </c>
      <c r="F13006" t="s">
        <v>32606</v>
      </c>
      <c r="G13006" t="s">
        <v>32613</v>
      </c>
      <c r="H13006" t="s">
        <v>32623</v>
      </c>
      <c r="I13006" t="s">
        <v>17648</v>
      </c>
      <c r="J13006" t="s">
        <v>32795</v>
      </c>
      <c r="K13006" t="s">
        <v>42624</v>
      </c>
      <c r="M13006" t="s">
        <v>43223</v>
      </c>
      <c r="N13006" t="s">
        <v>47304</v>
      </c>
      <c r="O13006" t="s">
        <v>47305</v>
      </c>
      <c r="P13006">
        <v>0</v>
      </c>
      <c r="Q13006">
        <v>1</v>
      </c>
      <c r="R13006" t="s">
        <v>47320</v>
      </c>
      <c r="S13006" t="s">
        <v>47917</v>
      </c>
      <c r="T13006" t="s">
        <v>49023</v>
      </c>
      <c r="U13006" t="s">
        <v>60217</v>
      </c>
      <c r="W13006" t="s">
        <v>43223</v>
      </c>
      <c r="X13006" t="s">
        <v>47321</v>
      </c>
    </row>
    <row r="13007" spans="1:24">
      <c r="A13007">
        <f>HYPERLINK("https://www.philgeps.gov.ph/GEPSNONPILOT/Tender/SplashBidNoticeAbstractUI.aspx?menuIndex=3&amp;refID=7167355&amp;Result=3","7167355")</f>
        <v>0</v>
      </c>
      <c r="B13007" t="s">
        <v>3153</v>
      </c>
      <c r="C13007" t="s">
        <v>16159</v>
      </c>
      <c r="D13007" t="s">
        <v>19008</v>
      </c>
      <c r="E13007" t="s">
        <v>30039</v>
      </c>
      <c r="F13007" t="s">
        <v>32606</v>
      </c>
      <c r="G13007" t="s">
        <v>32613</v>
      </c>
      <c r="H13007" t="s">
        <v>14201</v>
      </c>
      <c r="I13007" t="s">
        <v>6931</v>
      </c>
      <c r="J13007" t="s">
        <v>40813</v>
      </c>
      <c r="K13007" t="s">
        <v>42623</v>
      </c>
      <c r="M13007" t="s">
        <v>46370</v>
      </c>
      <c r="N13007" t="s">
        <v>47304</v>
      </c>
      <c r="O13007" t="s">
        <v>47305</v>
      </c>
      <c r="P13007">
        <v>0</v>
      </c>
      <c r="Q13007">
        <v>0</v>
      </c>
      <c r="R13007" t="s">
        <v>47320</v>
      </c>
      <c r="S13007" t="s">
        <v>47917</v>
      </c>
      <c r="T13007" t="s">
        <v>48988</v>
      </c>
      <c r="U13007" t="s">
        <v>60220</v>
      </c>
      <c r="W13007" t="s">
        <v>46370</v>
      </c>
      <c r="X13007" t="s">
        <v>47322</v>
      </c>
    </row>
    <row r="13008" spans="1:24">
      <c r="A13008">
        <f>HYPERLINK("https://www.philgeps.gov.ph/GEPSNONPILOT/Tender/SplashBidNoticeAbstractUI.aspx?menuIndex=3&amp;refID=7167367&amp;Result=3","7167367")</f>
        <v>0</v>
      </c>
      <c r="B13008" t="s">
        <v>211</v>
      </c>
      <c r="C13008" t="s">
        <v>16160</v>
      </c>
      <c r="D13008" t="s">
        <v>19007</v>
      </c>
      <c r="E13008" t="s">
        <v>30114</v>
      </c>
      <c r="F13008" t="s">
        <v>32606</v>
      </c>
      <c r="G13008" t="s">
        <v>32613</v>
      </c>
      <c r="H13008" t="s">
        <v>14201</v>
      </c>
      <c r="I13008" t="s">
        <v>32662</v>
      </c>
      <c r="J13008" t="s">
        <v>40814</v>
      </c>
      <c r="K13008" t="s">
        <v>42624</v>
      </c>
      <c r="M13008" t="s">
        <v>43112</v>
      </c>
      <c r="N13008" t="s">
        <v>47304</v>
      </c>
      <c r="O13008" t="s">
        <v>47305</v>
      </c>
      <c r="P13008">
        <v>0</v>
      </c>
      <c r="Q13008">
        <v>29</v>
      </c>
      <c r="R13008" t="s">
        <v>47320</v>
      </c>
      <c r="S13008" t="s">
        <v>47917</v>
      </c>
      <c r="T13008" t="s">
        <v>49124</v>
      </c>
      <c r="U13008" t="s">
        <v>60296</v>
      </c>
      <c r="W13008" t="s">
        <v>43112</v>
      </c>
      <c r="X13008" t="s">
        <v>47322</v>
      </c>
    </row>
    <row r="13009" spans="1:24">
      <c r="A13009">
        <f>HYPERLINK("https://www.philgeps.gov.ph/GEPSNONPILOT/Tender/SplashBidNoticeAbstractUI.aspx?menuIndex=3&amp;refID=7167913&amp;Result=3","7167913")</f>
        <v>0</v>
      </c>
      <c r="B13009" t="s">
        <v>972</v>
      </c>
      <c r="C13009" t="s">
        <v>16161</v>
      </c>
      <c r="E13009" t="s">
        <v>24841</v>
      </c>
      <c r="F13009" t="s">
        <v>32606</v>
      </c>
      <c r="G13009" t="s">
        <v>32613</v>
      </c>
      <c r="H13009" t="s">
        <v>14201</v>
      </c>
      <c r="I13009" t="s">
        <v>32640</v>
      </c>
      <c r="J13009" t="s">
        <v>40815</v>
      </c>
      <c r="K13009" t="s">
        <v>42636</v>
      </c>
      <c r="M13009" t="s">
        <v>43918</v>
      </c>
      <c r="N13009" t="s">
        <v>47304</v>
      </c>
      <c r="O13009" t="s">
        <v>47305</v>
      </c>
      <c r="P13009">
        <v>0</v>
      </c>
      <c r="Q13009">
        <v>8</v>
      </c>
      <c r="R13009" t="s">
        <v>47320</v>
      </c>
      <c r="S13009" t="s">
        <v>47917</v>
      </c>
      <c r="T13009" t="s">
        <v>49023</v>
      </c>
      <c r="U13009" t="s">
        <v>60297</v>
      </c>
      <c r="W13009" t="s">
        <v>43918</v>
      </c>
      <c r="X13009" t="s">
        <v>47321</v>
      </c>
    </row>
    <row r="13010" spans="1:24">
      <c r="A13010">
        <f>HYPERLINK("https://www.philgeps.gov.ph/GEPSNONPILOT/Tender/SplashBidNoticeAbstractUI.aspx?menuIndex=3&amp;refID=7167295&amp;Result=3","7167295")</f>
        <v>0</v>
      </c>
      <c r="B13010" t="s">
        <v>321</v>
      </c>
      <c r="C13010" t="s">
        <v>16162</v>
      </c>
      <c r="D13010" t="s">
        <v>19048</v>
      </c>
      <c r="E13010" t="s">
        <v>30115</v>
      </c>
      <c r="F13010" t="s">
        <v>32606</v>
      </c>
      <c r="G13010" t="s">
        <v>32613</v>
      </c>
      <c r="H13010" t="s">
        <v>32623</v>
      </c>
      <c r="I13010" t="s">
        <v>17648</v>
      </c>
      <c r="J13010" t="s">
        <v>32767</v>
      </c>
      <c r="K13010" t="s">
        <v>42624</v>
      </c>
      <c r="M13010" t="s">
        <v>43223</v>
      </c>
      <c r="N13010" t="s">
        <v>47304</v>
      </c>
      <c r="O13010" t="s">
        <v>47305</v>
      </c>
      <c r="P13010">
        <v>0</v>
      </c>
      <c r="Q13010">
        <v>1</v>
      </c>
      <c r="R13010" t="s">
        <v>47320</v>
      </c>
      <c r="S13010" t="s">
        <v>47917</v>
      </c>
      <c r="T13010" t="s">
        <v>49023</v>
      </c>
      <c r="U13010" t="s">
        <v>60217</v>
      </c>
      <c r="W13010" t="s">
        <v>43223</v>
      </c>
      <c r="X13010" t="s">
        <v>47322</v>
      </c>
    </row>
    <row r="13011" spans="1:24">
      <c r="A13011">
        <f>HYPERLINK("https://www.philgeps.gov.ph/GEPSNONPILOT/Tender/SplashBidNoticeAbstractUI.aspx?menuIndex=3&amp;refID=7167373&amp;Result=3","7167373")</f>
        <v>0</v>
      </c>
      <c r="B13011" t="s">
        <v>1058</v>
      </c>
      <c r="C13011" t="s">
        <v>16163</v>
      </c>
      <c r="D13011" t="s">
        <v>19039</v>
      </c>
      <c r="E13011" t="s">
        <v>30116</v>
      </c>
      <c r="F13011" t="s">
        <v>32606</v>
      </c>
      <c r="G13011" t="s">
        <v>32613</v>
      </c>
      <c r="H13011" t="s">
        <v>32623</v>
      </c>
      <c r="I13011" t="s">
        <v>17648</v>
      </c>
      <c r="J13011" t="s">
        <v>40816</v>
      </c>
      <c r="K13011" t="s">
        <v>42712</v>
      </c>
      <c r="M13011" t="s">
        <v>44011</v>
      </c>
      <c r="N13011" t="s">
        <v>47304</v>
      </c>
      <c r="O13011" t="s">
        <v>47305</v>
      </c>
      <c r="P13011">
        <v>0</v>
      </c>
      <c r="Q13011">
        <v>2</v>
      </c>
      <c r="R13011" t="s">
        <v>47320</v>
      </c>
      <c r="S13011" t="s">
        <v>47917</v>
      </c>
      <c r="T13011" t="s">
        <v>49081</v>
      </c>
      <c r="U13011" t="s">
        <v>51686</v>
      </c>
      <c r="W13011" t="s">
        <v>44011</v>
      </c>
      <c r="X13011" t="s">
        <v>47322</v>
      </c>
    </row>
    <row r="13012" spans="1:24">
      <c r="A13012">
        <f>HYPERLINK("https://www.philgeps.gov.ph/GEPSNONPILOT/Tender/SplashBidNoticeAbstractUI.aspx?menuIndex=3&amp;refID=7167284&amp;Result=3","7167284")</f>
        <v>0</v>
      </c>
      <c r="B13012" t="s">
        <v>211</v>
      </c>
      <c r="C13012" t="s">
        <v>16164</v>
      </c>
      <c r="D13012" t="s">
        <v>19007</v>
      </c>
      <c r="E13012" t="s">
        <v>30117</v>
      </c>
      <c r="F13012" t="s">
        <v>32606</v>
      </c>
      <c r="G13012" t="s">
        <v>32613</v>
      </c>
      <c r="H13012" t="s">
        <v>14201</v>
      </c>
      <c r="I13012" t="s">
        <v>32662</v>
      </c>
      <c r="J13012" t="s">
        <v>32861</v>
      </c>
      <c r="K13012" t="s">
        <v>42624</v>
      </c>
      <c r="M13012" t="s">
        <v>43112</v>
      </c>
      <c r="N13012" t="s">
        <v>47304</v>
      </c>
      <c r="O13012" t="s">
        <v>47305</v>
      </c>
      <c r="P13012">
        <v>0</v>
      </c>
      <c r="Q13012">
        <v>6</v>
      </c>
      <c r="R13012" t="s">
        <v>47320</v>
      </c>
      <c r="S13012" t="s">
        <v>47917</v>
      </c>
      <c r="T13012" t="s">
        <v>49124</v>
      </c>
      <c r="U13012" t="s">
        <v>60298</v>
      </c>
      <c r="W13012" t="s">
        <v>43112</v>
      </c>
      <c r="X13012" t="s">
        <v>47322</v>
      </c>
    </row>
    <row r="13013" spans="1:24">
      <c r="A13013">
        <f>HYPERLINK("https://www.philgeps.gov.ph/GEPSNONPILOT/Tender/SplashBidNoticeAbstractUI.aspx?menuIndex=3&amp;refID=7167921&amp;Result=3","7167921")</f>
        <v>0</v>
      </c>
      <c r="B13013" t="s">
        <v>462</v>
      </c>
      <c r="C13013" t="s">
        <v>16165</v>
      </c>
      <c r="E13013" t="s">
        <v>30118</v>
      </c>
      <c r="F13013" t="s">
        <v>32606</v>
      </c>
      <c r="G13013" t="s">
        <v>32615</v>
      </c>
      <c r="H13013" t="s">
        <v>14201</v>
      </c>
      <c r="I13013" t="s">
        <v>7064</v>
      </c>
      <c r="J13013" t="s">
        <v>33231</v>
      </c>
      <c r="K13013" t="s">
        <v>42639</v>
      </c>
      <c r="M13013" t="s">
        <v>43372</v>
      </c>
      <c r="N13013" t="s">
        <v>47304</v>
      </c>
      <c r="O13013" t="s">
        <v>47305</v>
      </c>
      <c r="P13013">
        <v>0</v>
      </c>
      <c r="Q13013">
        <v>4</v>
      </c>
      <c r="R13013" t="s">
        <v>47320</v>
      </c>
      <c r="S13013" t="s">
        <v>47917</v>
      </c>
      <c r="T13013" t="s">
        <v>49156</v>
      </c>
      <c r="U13013" t="s">
        <v>60299</v>
      </c>
      <c r="W13013" t="s">
        <v>64436</v>
      </c>
      <c r="X13013" t="s">
        <v>47321</v>
      </c>
    </row>
    <row r="13014" spans="1:24">
      <c r="A13014">
        <f>HYPERLINK("https://www.philgeps.gov.ph/GEPSNONPILOT/Tender/SplashBidNoticeAbstractUI.aspx?menuIndex=3&amp;refID=7168461&amp;Result=3","7168461")</f>
        <v>0</v>
      </c>
      <c r="B13014" t="s">
        <v>3418</v>
      </c>
      <c r="C13014" t="s">
        <v>16166</v>
      </c>
      <c r="D13014" t="s">
        <v>18997</v>
      </c>
      <c r="E13014" t="s">
        <v>19318</v>
      </c>
      <c r="F13014" t="s">
        <v>32606</v>
      </c>
      <c r="G13014" t="s">
        <v>32613</v>
      </c>
      <c r="H13014" t="s">
        <v>14201</v>
      </c>
      <c r="I13014" t="s">
        <v>6931</v>
      </c>
      <c r="J13014" t="s">
        <v>40817</v>
      </c>
      <c r="K13014" t="s">
        <v>42631</v>
      </c>
      <c r="M13014" t="s">
        <v>46675</v>
      </c>
      <c r="N13014" t="s">
        <v>47304</v>
      </c>
      <c r="O13014" t="s">
        <v>47305</v>
      </c>
      <c r="P13014">
        <v>0</v>
      </c>
      <c r="Q13014">
        <v>0</v>
      </c>
      <c r="R13014" t="s">
        <v>47320</v>
      </c>
      <c r="S13014" t="s">
        <v>47917</v>
      </c>
      <c r="T13014" t="s">
        <v>48998</v>
      </c>
      <c r="U13014" t="s">
        <v>60300</v>
      </c>
      <c r="W13014" t="s">
        <v>46675</v>
      </c>
      <c r="X13014" t="s">
        <v>47321</v>
      </c>
    </row>
    <row r="13015" spans="1:24">
      <c r="A13015">
        <f>HYPERLINK("https://www.philgeps.gov.ph/GEPSNONPILOT/Tender/SplashBidNoticeAbstractUI.aspx?menuIndex=3&amp;refID=7168460&amp;Result=3","7168460")</f>
        <v>0</v>
      </c>
      <c r="B13015" t="s">
        <v>3582</v>
      </c>
      <c r="C13015" t="s">
        <v>16167</v>
      </c>
      <c r="D13015" t="s">
        <v>19005</v>
      </c>
      <c r="E13015" t="s">
        <v>30119</v>
      </c>
      <c r="F13015" t="s">
        <v>32606</v>
      </c>
      <c r="G13015" t="s">
        <v>32613</v>
      </c>
      <c r="H13015" t="s">
        <v>32623</v>
      </c>
      <c r="I13015" t="s">
        <v>17648</v>
      </c>
      <c r="J13015" t="s">
        <v>40818</v>
      </c>
      <c r="K13015" t="s">
        <v>42648</v>
      </c>
      <c r="M13015" t="s">
        <v>46871</v>
      </c>
      <c r="N13015" t="s">
        <v>47304</v>
      </c>
      <c r="O13015" t="s">
        <v>47305</v>
      </c>
      <c r="P13015">
        <v>0</v>
      </c>
      <c r="Q13015">
        <v>3</v>
      </c>
      <c r="R13015" t="s">
        <v>47320</v>
      </c>
      <c r="S13015" t="s">
        <v>47917</v>
      </c>
      <c r="T13015" t="s">
        <v>48987</v>
      </c>
      <c r="U13015" t="s">
        <v>60301</v>
      </c>
      <c r="V13015" t="s">
        <v>64069</v>
      </c>
      <c r="W13015" t="s">
        <v>46871</v>
      </c>
      <c r="X13015" t="s">
        <v>47321</v>
      </c>
    </row>
    <row r="13016" spans="1:24">
      <c r="A13016">
        <f>HYPERLINK("https://www.philgeps.gov.ph/GEPSNONPILOT/Tender/SplashBidNoticeAbstractUI.aspx?menuIndex=3&amp;refID=7168503&amp;Result=3","7168503")</f>
        <v>0</v>
      </c>
      <c r="B13016" t="s">
        <v>721</v>
      </c>
      <c r="C13016" t="s">
        <v>16168</v>
      </c>
      <c r="D13016" t="s">
        <v>18994</v>
      </c>
      <c r="E13016" t="s">
        <v>30120</v>
      </c>
      <c r="F13016" t="s">
        <v>32606</v>
      </c>
      <c r="G13016" t="s">
        <v>32613</v>
      </c>
      <c r="H13016" t="s">
        <v>32623</v>
      </c>
      <c r="I13016" t="s">
        <v>17648</v>
      </c>
      <c r="J13016" t="s">
        <v>40819</v>
      </c>
      <c r="K13016" t="s">
        <v>42800</v>
      </c>
      <c r="M13016" t="s">
        <v>43642</v>
      </c>
      <c r="N13016" t="s">
        <v>47304</v>
      </c>
      <c r="O13016" t="s">
        <v>47305</v>
      </c>
      <c r="P13016">
        <v>0</v>
      </c>
      <c r="Q13016">
        <v>1</v>
      </c>
      <c r="R13016" t="s">
        <v>47320</v>
      </c>
      <c r="S13016" t="s">
        <v>47917</v>
      </c>
      <c r="T13016" t="s">
        <v>49023</v>
      </c>
      <c r="U13016" t="s">
        <v>60302</v>
      </c>
      <c r="V13016" t="s">
        <v>63696</v>
      </c>
      <c r="W13016" t="s">
        <v>43642</v>
      </c>
      <c r="X13016" t="s">
        <v>47321</v>
      </c>
    </row>
    <row r="13017" spans="1:24">
      <c r="A13017">
        <f>HYPERLINK("https://www.philgeps.gov.ph/GEPSNONPILOT/Tender/SplashBidNoticeAbstractUI.aspx?menuIndex=3&amp;refID=7167324&amp;Result=3","7167324")</f>
        <v>0</v>
      </c>
      <c r="B13017" t="s">
        <v>211</v>
      </c>
      <c r="C13017" t="s">
        <v>16169</v>
      </c>
      <c r="D13017" t="s">
        <v>19007</v>
      </c>
      <c r="E13017" t="s">
        <v>30121</v>
      </c>
      <c r="F13017" t="s">
        <v>32606</v>
      </c>
      <c r="G13017" t="s">
        <v>32613</v>
      </c>
      <c r="H13017" t="s">
        <v>14201</v>
      </c>
      <c r="I13017" t="s">
        <v>32662</v>
      </c>
      <c r="J13017" t="s">
        <v>40820</v>
      </c>
      <c r="K13017" t="s">
        <v>42624</v>
      </c>
      <c r="M13017" t="s">
        <v>43112</v>
      </c>
      <c r="N13017" t="s">
        <v>47304</v>
      </c>
      <c r="O13017" t="s">
        <v>47305</v>
      </c>
      <c r="P13017">
        <v>0</v>
      </c>
      <c r="Q13017">
        <v>16</v>
      </c>
      <c r="R13017" t="s">
        <v>47320</v>
      </c>
      <c r="S13017" t="s">
        <v>47917</v>
      </c>
      <c r="T13017" t="s">
        <v>49124</v>
      </c>
      <c r="U13017" t="s">
        <v>60303</v>
      </c>
      <c r="W13017" t="s">
        <v>43112</v>
      </c>
      <c r="X13017" t="s">
        <v>47322</v>
      </c>
    </row>
    <row r="13018" spans="1:24">
      <c r="A13018">
        <f>HYPERLINK("https://www.philgeps.gov.ph/GEPSNONPILOT/Tender/SplashBidNoticeAbstractUI.aspx?menuIndex=3&amp;refID=7168495&amp;Result=3","7168495")</f>
        <v>0</v>
      </c>
      <c r="B13018" t="s">
        <v>1550</v>
      </c>
      <c r="C13018" t="s">
        <v>16170</v>
      </c>
      <c r="D13018" t="s">
        <v>19049</v>
      </c>
      <c r="E13018" t="s">
        <v>26597</v>
      </c>
      <c r="F13018" t="s">
        <v>32606</v>
      </c>
      <c r="G13018" t="s">
        <v>32613</v>
      </c>
      <c r="H13018" t="s">
        <v>14201</v>
      </c>
      <c r="I13018" t="s">
        <v>6931</v>
      </c>
      <c r="J13018" t="s">
        <v>40821</v>
      </c>
      <c r="K13018" t="s">
        <v>42623</v>
      </c>
      <c r="M13018" t="s">
        <v>44554</v>
      </c>
      <c r="N13018" t="s">
        <v>47304</v>
      </c>
      <c r="O13018" t="s">
        <v>47305</v>
      </c>
      <c r="P13018">
        <v>0</v>
      </c>
      <c r="Q13018">
        <v>1</v>
      </c>
      <c r="R13018" t="s">
        <v>47320</v>
      </c>
      <c r="S13018" t="s">
        <v>47917</v>
      </c>
      <c r="T13018" t="s">
        <v>49160</v>
      </c>
      <c r="U13018" t="s">
        <v>52968</v>
      </c>
      <c r="W13018" t="s">
        <v>44554</v>
      </c>
      <c r="X13018" t="s">
        <v>47321</v>
      </c>
    </row>
    <row r="13019" spans="1:24">
      <c r="A13019">
        <f>HYPERLINK("https://www.philgeps.gov.ph/GEPSNONPILOT/Tender/SplashBidNoticeAbstractUI.aspx?menuIndex=3&amp;refID=7168488&amp;Result=3","7168488")</f>
        <v>0</v>
      </c>
      <c r="B13019" t="s">
        <v>754</v>
      </c>
      <c r="C13019" t="s">
        <v>16171</v>
      </c>
      <c r="D13019" t="s">
        <v>19029</v>
      </c>
      <c r="E13019" t="s">
        <v>26574</v>
      </c>
      <c r="F13019" t="s">
        <v>32606</v>
      </c>
      <c r="G13019" t="s">
        <v>32613</v>
      </c>
      <c r="H13019" t="s">
        <v>32624</v>
      </c>
      <c r="I13019" t="s">
        <v>32641</v>
      </c>
      <c r="J13019" t="s">
        <v>33016</v>
      </c>
      <c r="K13019" t="s">
        <v>42639</v>
      </c>
      <c r="M13019" t="s">
        <v>43678</v>
      </c>
      <c r="N13019" t="s">
        <v>47304</v>
      </c>
      <c r="O13019" t="s">
        <v>47305</v>
      </c>
      <c r="P13019">
        <v>0</v>
      </c>
      <c r="Q13019">
        <v>4</v>
      </c>
      <c r="R13019" t="s">
        <v>47320</v>
      </c>
      <c r="S13019" t="s">
        <v>47917</v>
      </c>
      <c r="T13019" t="s">
        <v>48976</v>
      </c>
      <c r="U13019" t="s">
        <v>60304</v>
      </c>
      <c r="V13019" t="s">
        <v>64070</v>
      </c>
      <c r="W13019" t="s">
        <v>43678</v>
      </c>
      <c r="X13019" t="s">
        <v>47321</v>
      </c>
    </row>
    <row r="13020" spans="1:24">
      <c r="A13020">
        <f>HYPERLINK("https://www.philgeps.gov.ph/GEPSNONPILOT/Tender/SplashBidNoticeAbstractUI.aspx?menuIndex=3&amp;refID=7168308&amp;Result=3","7168308")</f>
        <v>0</v>
      </c>
      <c r="B13020" t="s">
        <v>3370</v>
      </c>
      <c r="C13020" t="s">
        <v>16172</v>
      </c>
      <c r="D13020" t="s">
        <v>19019</v>
      </c>
      <c r="E13020" t="s">
        <v>22396</v>
      </c>
      <c r="F13020" t="s">
        <v>32606</v>
      </c>
      <c r="G13020" t="s">
        <v>32613</v>
      </c>
      <c r="H13020" t="s">
        <v>14201</v>
      </c>
      <c r="I13020" t="s">
        <v>32633</v>
      </c>
      <c r="J13020" t="s">
        <v>40822</v>
      </c>
      <c r="K13020" t="s">
        <v>42631</v>
      </c>
      <c r="M13020" t="s">
        <v>46620</v>
      </c>
      <c r="N13020" t="s">
        <v>47304</v>
      </c>
      <c r="O13020" t="s">
        <v>47305</v>
      </c>
      <c r="P13020">
        <v>0</v>
      </c>
      <c r="Q13020">
        <v>14</v>
      </c>
      <c r="R13020" t="s">
        <v>47320</v>
      </c>
      <c r="S13020" t="s">
        <v>47917</v>
      </c>
      <c r="T13020" t="s">
        <v>48987</v>
      </c>
      <c r="U13020" t="s">
        <v>60305</v>
      </c>
      <c r="V13020" t="s">
        <v>63910</v>
      </c>
      <c r="W13020" t="s">
        <v>46620</v>
      </c>
      <c r="X13020" t="s">
        <v>47321</v>
      </c>
    </row>
    <row r="13021" spans="1:24">
      <c r="A13021">
        <f>HYPERLINK("https://www.philgeps.gov.ph/GEPSNONPILOT/Tender/SplashBidNoticeAbstractUI.aspx?menuIndex=3&amp;refID=7168476&amp;Result=3","7168476")</f>
        <v>0</v>
      </c>
      <c r="B13021" t="s">
        <v>3583</v>
      </c>
      <c r="C13021" t="s">
        <v>16173</v>
      </c>
      <c r="D13021" t="s">
        <v>19011</v>
      </c>
      <c r="E13021" t="s">
        <v>30122</v>
      </c>
      <c r="F13021" t="s">
        <v>32606</v>
      </c>
      <c r="G13021" t="s">
        <v>32613</v>
      </c>
      <c r="H13021" t="s">
        <v>32623</v>
      </c>
      <c r="I13021" t="s">
        <v>17648</v>
      </c>
      <c r="J13021" t="s">
        <v>40823</v>
      </c>
      <c r="K13021" t="s">
        <v>42745</v>
      </c>
      <c r="M13021" t="s">
        <v>46872</v>
      </c>
      <c r="N13021" t="s">
        <v>47304</v>
      </c>
      <c r="O13021" t="s">
        <v>47305</v>
      </c>
      <c r="Q13021">
        <v>2</v>
      </c>
      <c r="R13021" t="s">
        <v>47320</v>
      </c>
      <c r="S13021" t="s">
        <v>47945</v>
      </c>
      <c r="T13021" t="s">
        <v>49289</v>
      </c>
      <c r="U13021" t="s">
        <v>60306</v>
      </c>
      <c r="V13021" t="s">
        <v>64071</v>
      </c>
      <c r="W13021" t="s">
        <v>46872</v>
      </c>
      <c r="X13021" t="s">
        <v>47321</v>
      </c>
    </row>
    <row r="13022" spans="1:24">
      <c r="A13022">
        <f>HYPERLINK("https://www.philgeps.gov.ph/GEPSNONPILOT/Tender/SplashBidNoticeAbstractUI.aspx?menuIndex=3&amp;refID=7168496&amp;Result=3","7168496")</f>
        <v>0</v>
      </c>
      <c r="B13022" t="s">
        <v>3082</v>
      </c>
      <c r="C13022" t="s">
        <v>16174</v>
      </c>
      <c r="D13022" t="s">
        <v>19041</v>
      </c>
      <c r="E13022" t="s">
        <v>30123</v>
      </c>
      <c r="F13022" t="s">
        <v>32606</v>
      </c>
      <c r="G13022" t="s">
        <v>32613</v>
      </c>
      <c r="H13022" t="s">
        <v>32623</v>
      </c>
      <c r="I13022" t="s">
        <v>17648</v>
      </c>
      <c r="J13022" t="s">
        <v>33039</v>
      </c>
      <c r="K13022" t="s">
        <v>42645</v>
      </c>
      <c r="M13022" t="s">
        <v>46283</v>
      </c>
      <c r="N13022" t="s">
        <v>47304</v>
      </c>
      <c r="O13022" t="s">
        <v>47305</v>
      </c>
      <c r="Q13022">
        <v>2</v>
      </c>
      <c r="R13022" t="s">
        <v>47320</v>
      </c>
      <c r="S13022" t="s">
        <v>47946</v>
      </c>
      <c r="T13022" t="s">
        <v>48998</v>
      </c>
      <c r="U13022" t="s">
        <v>60307</v>
      </c>
      <c r="W13022" t="s">
        <v>46283</v>
      </c>
      <c r="X13022" t="s">
        <v>47321</v>
      </c>
    </row>
    <row r="13023" spans="1:24">
      <c r="A13023">
        <f>HYPERLINK("https://www.philgeps.gov.ph/GEPSNONPILOT/Tender/SplashBidNoticeAbstractUI.aspx?menuIndex=3&amp;refID=7168454&amp;Result=3","7168454")</f>
        <v>0</v>
      </c>
      <c r="B13023" t="s">
        <v>3584</v>
      </c>
      <c r="C13023" t="s">
        <v>16175</v>
      </c>
      <c r="D13023" t="s">
        <v>19017</v>
      </c>
      <c r="E13023" t="s">
        <v>30124</v>
      </c>
      <c r="F13023" t="s">
        <v>32606</v>
      </c>
      <c r="G13023" t="s">
        <v>32613</v>
      </c>
      <c r="H13023" t="s">
        <v>14201</v>
      </c>
      <c r="I13023" t="s">
        <v>7677</v>
      </c>
      <c r="J13023" t="s">
        <v>40824</v>
      </c>
      <c r="K13023" t="s">
        <v>42623</v>
      </c>
      <c r="L13023" t="s">
        <v>3584</v>
      </c>
      <c r="M13023" t="s">
        <v>46873</v>
      </c>
      <c r="N13023" t="s">
        <v>47304</v>
      </c>
      <c r="O13023" t="s">
        <v>47305</v>
      </c>
      <c r="P13023">
        <v>0</v>
      </c>
      <c r="Q13023">
        <v>3</v>
      </c>
      <c r="R13023" t="s">
        <v>47320</v>
      </c>
      <c r="S13023" t="s">
        <v>47917</v>
      </c>
      <c r="T13023" t="s">
        <v>49023</v>
      </c>
      <c r="U13023" t="s">
        <v>60308</v>
      </c>
      <c r="V13023" t="s">
        <v>64072</v>
      </c>
      <c r="W13023" t="s">
        <v>46873</v>
      </c>
      <c r="X13023" t="s">
        <v>47321</v>
      </c>
    </row>
    <row r="13024" spans="1:24">
      <c r="A13024">
        <f>HYPERLINK("https://www.philgeps.gov.ph/GEPSNONPILOT/Tender/SplashBidNoticeAbstractUI.aspx?menuIndex=3&amp;refID=7168452&amp;Result=3","7168452")</f>
        <v>0</v>
      </c>
      <c r="B13024" t="s">
        <v>321</v>
      </c>
      <c r="C13024" t="s">
        <v>16176</v>
      </c>
      <c r="D13024" t="s">
        <v>19048</v>
      </c>
      <c r="E13024" t="s">
        <v>30125</v>
      </c>
      <c r="F13024" t="s">
        <v>32606</v>
      </c>
      <c r="G13024" t="s">
        <v>32613</v>
      </c>
      <c r="H13024" t="s">
        <v>32623</v>
      </c>
      <c r="I13024" t="s">
        <v>17648</v>
      </c>
      <c r="J13024" t="s">
        <v>32767</v>
      </c>
      <c r="K13024" t="s">
        <v>42624</v>
      </c>
      <c r="M13024" t="s">
        <v>43223</v>
      </c>
      <c r="N13024" t="s">
        <v>47304</v>
      </c>
      <c r="O13024" t="s">
        <v>47305</v>
      </c>
      <c r="P13024">
        <v>0</v>
      </c>
      <c r="Q13024">
        <v>1</v>
      </c>
      <c r="R13024" t="s">
        <v>47320</v>
      </c>
      <c r="S13024" t="s">
        <v>47917</v>
      </c>
      <c r="T13024" t="s">
        <v>49023</v>
      </c>
      <c r="U13024" t="s">
        <v>60217</v>
      </c>
      <c r="W13024" t="s">
        <v>43223</v>
      </c>
      <c r="X13024" t="s">
        <v>47321</v>
      </c>
    </row>
    <row r="13025" spans="1:24">
      <c r="A13025">
        <f>HYPERLINK("https://www.philgeps.gov.ph/GEPSNONPILOT/Tender/SplashBidNoticeAbstractUI.aspx?menuIndex=3&amp;refID=7168446&amp;Result=3","7168446")</f>
        <v>0</v>
      </c>
      <c r="B13025" t="s">
        <v>257</v>
      </c>
      <c r="C13025" t="s">
        <v>16177</v>
      </c>
      <c r="D13025" t="s">
        <v>19019</v>
      </c>
      <c r="E13025" t="s">
        <v>30126</v>
      </c>
      <c r="F13025" t="s">
        <v>32606</v>
      </c>
      <c r="G13025" t="s">
        <v>32613</v>
      </c>
      <c r="H13025" t="s">
        <v>32623</v>
      </c>
      <c r="I13025" t="s">
        <v>17648</v>
      </c>
      <c r="J13025" t="s">
        <v>40825</v>
      </c>
      <c r="K13025" t="s">
        <v>42712</v>
      </c>
      <c r="M13025" t="s">
        <v>43158</v>
      </c>
      <c r="N13025" t="s">
        <v>47304</v>
      </c>
      <c r="O13025" t="s">
        <v>47305</v>
      </c>
      <c r="P13025">
        <v>0</v>
      </c>
      <c r="Q13025">
        <v>0</v>
      </c>
      <c r="R13025" t="s">
        <v>47320</v>
      </c>
      <c r="S13025" t="s">
        <v>47917</v>
      </c>
      <c r="T13025" t="s">
        <v>48987</v>
      </c>
      <c r="U13025" t="s">
        <v>60309</v>
      </c>
      <c r="W13025" t="s">
        <v>43158</v>
      </c>
      <c r="X13025" t="s">
        <v>47321</v>
      </c>
    </row>
    <row r="13026" spans="1:24">
      <c r="A13026">
        <f>HYPERLINK("https://www.philgeps.gov.ph/GEPSNONPILOT/Tender/SplashBidNoticeAbstractUI.aspx?menuIndex=3&amp;refID=7168493&amp;Result=3","7168493")</f>
        <v>0</v>
      </c>
      <c r="B13026" t="s">
        <v>3585</v>
      </c>
      <c r="C13026" t="s">
        <v>16178</v>
      </c>
      <c r="E13026" t="s">
        <v>30127</v>
      </c>
      <c r="F13026" t="s">
        <v>32608</v>
      </c>
      <c r="G13026" t="s">
        <v>32613</v>
      </c>
      <c r="H13026" t="s">
        <v>14201</v>
      </c>
      <c r="I13026" t="s">
        <v>32660</v>
      </c>
      <c r="J13026" t="s">
        <v>32981</v>
      </c>
      <c r="K13026" t="s">
        <v>42630</v>
      </c>
      <c r="M13026" t="s">
        <v>46874</v>
      </c>
      <c r="N13026" t="s">
        <v>47304</v>
      </c>
      <c r="O13026" t="s">
        <v>47305</v>
      </c>
      <c r="P13026">
        <v>0</v>
      </c>
      <c r="Q13026">
        <v>0</v>
      </c>
      <c r="R13026" t="s">
        <v>47320</v>
      </c>
      <c r="S13026" t="s">
        <v>47917</v>
      </c>
      <c r="T13026" t="s">
        <v>49414</v>
      </c>
      <c r="U13026" t="s">
        <v>60310</v>
      </c>
      <c r="W13026" t="s">
        <v>46874</v>
      </c>
      <c r="X13026" t="s">
        <v>47321</v>
      </c>
    </row>
    <row r="13027" spans="1:24">
      <c r="A13027">
        <f>HYPERLINK("https://www.philgeps.gov.ph/GEPSNONPILOT/Tender/SplashBidNoticeAbstractUI.aspx?menuIndex=3&amp;refID=7168441&amp;Result=3","7168441")</f>
        <v>0</v>
      </c>
      <c r="B13027" t="s">
        <v>2373</v>
      </c>
      <c r="C13027" t="s">
        <v>4862</v>
      </c>
      <c r="D13027" t="s">
        <v>19031</v>
      </c>
      <c r="E13027" t="s">
        <v>20519</v>
      </c>
      <c r="F13027" t="s">
        <v>32606</v>
      </c>
      <c r="G13027" t="s">
        <v>32613</v>
      </c>
      <c r="H13027" t="s">
        <v>14201</v>
      </c>
      <c r="I13027" t="s">
        <v>4114</v>
      </c>
      <c r="J13027" t="s">
        <v>40826</v>
      </c>
      <c r="K13027" t="s">
        <v>42631</v>
      </c>
      <c r="M13027" t="s">
        <v>45488</v>
      </c>
      <c r="N13027" t="s">
        <v>47304</v>
      </c>
      <c r="O13027" t="s">
        <v>47305</v>
      </c>
      <c r="Q13027">
        <v>9</v>
      </c>
      <c r="R13027" t="s">
        <v>47320</v>
      </c>
      <c r="S13027" t="s">
        <v>47947</v>
      </c>
      <c r="T13027" t="s">
        <v>48996</v>
      </c>
      <c r="U13027" t="s">
        <v>60311</v>
      </c>
      <c r="W13027" t="s">
        <v>45488</v>
      </c>
      <c r="X13027" t="s">
        <v>47321</v>
      </c>
    </row>
    <row r="13028" spans="1:24">
      <c r="A13028">
        <f>HYPERLINK("https://www.philgeps.gov.ph/GEPSNONPILOT/Tender/SplashBidNoticeAbstractUI.aspx?menuIndex=3&amp;refID=7168481&amp;Result=3","7168481")</f>
        <v>0</v>
      </c>
      <c r="B13028" t="s">
        <v>3586</v>
      </c>
      <c r="C13028" t="s">
        <v>16179</v>
      </c>
      <c r="D13028" t="s">
        <v>19069</v>
      </c>
      <c r="E13028" t="s">
        <v>30128</v>
      </c>
      <c r="F13028" t="s">
        <v>32606</v>
      </c>
      <c r="G13028" t="s">
        <v>32613</v>
      </c>
      <c r="H13028" t="s">
        <v>14201</v>
      </c>
      <c r="I13028" t="s">
        <v>6931</v>
      </c>
      <c r="J13028" t="s">
        <v>40827</v>
      </c>
      <c r="K13028" t="s">
        <v>42622</v>
      </c>
      <c r="M13028" t="s">
        <v>46875</v>
      </c>
      <c r="N13028" t="s">
        <v>47304</v>
      </c>
      <c r="O13028" t="s">
        <v>47305</v>
      </c>
      <c r="P13028">
        <v>0</v>
      </c>
      <c r="Q13028">
        <v>0</v>
      </c>
      <c r="R13028" t="s">
        <v>47320</v>
      </c>
      <c r="S13028" t="s">
        <v>47917</v>
      </c>
      <c r="T13028" t="s">
        <v>49291</v>
      </c>
      <c r="U13028" t="s">
        <v>60312</v>
      </c>
      <c r="V13028" t="s">
        <v>64073</v>
      </c>
      <c r="W13028" t="s">
        <v>46875</v>
      </c>
      <c r="X13028" t="s">
        <v>47321</v>
      </c>
    </row>
    <row r="13029" spans="1:24">
      <c r="A13029">
        <f>HYPERLINK("https://www.philgeps.gov.ph/GEPSNONPILOT/Tender/SplashBidNoticeAbstractUI.aspx?menuIndex=3&amp;refID=7168434&amp;Result=3","7168434")</f>
        <v>0</v>
      </c>
      <c r="B13029" t="s">
        <v>3082</v>
      </c>
      <c r="C13029" t="s">
        <v>16180</v>
      </c>
      <c r="D13029" t="s">
        <v>19041</v>
      </c>
      <c r="E13029" t="s">
        <v>30129</v>
      </c>
      <c r="F13029" t="s">
        <v>32606</v>
      </c>
      <c r="G13029" t="s">
        <v>32613</v>
      </c>
      <c r="H13029" t="s">
        <v>32623</v>
      </c>
      <c r="I13029" t="s">
        <v>17648</v>
      </c>
      <c r="J13029" t="s">
        <v>35071</v>
      </c>
      <c r="K13029" t="s">
        <v>42645</v>
      </c>
      <c r="M13029" t="s">
        <v>46283</v>
      </c>
      <c r="N13029" t="s">
        <v>47304</v>
      </c>
      <c r="O13029" t="s">
        <v>47305</v>
      </c>
      <c r="P13029">
        <v>0</v>
      </c>
      <c r="Q13029">
        <v>3</v>
      </c>
      <c r="R13029" t="s">
        <v>47320</v>
      </c>
      <c r="S13029" t="s">
        <v>47917</v>
      </c>
      <c r="T13029" t="s">
        <v>48998</v>
      </c>
      <c r="U13029" t="s">
        <v>53794</v>
      </c>
      <c r="W13029" t="s">
        <v>46283</v>
      </c>
      <c r="X13029" t="s">
        <v>47321</v>
      </c>
    </row>
    <row r="13030" spans="1:24">
      <c r="A13030">
        <f>HYPERLINK("https://www.philgeps.gov.ph/GEPSNONPILOT/Tender/SplashBidNoticeAbstractUI.aspx?menuIndex=3&amp;refID=7168427&amp;Result=3","7168427")</f>
        <v>0</v>
      </c>
      <c r="B13030" t="s">
        <v>3418</v>
      </c>
      <c r="C13030" t="s">
        <v>16166</v>
      </c>
      <c r="D13030" t="s">
        <v>18997</v>
      </c>
      <c r="E13030" t="s">
        <v>19313</v>
      </c>
      <c r="F13030" t="s">
        <v>32606</v>
      </c>
      <c r="G13030" t="s">
        <v>32613</v>
      </c>
      <c r="H13030" t="s">
        <v>14201</v>
      </c>
      <c r="I13030" t="s">
        <v>6931</v>
      </c>
      <c r="J13030" t="s">
        <v>40828</v>
      </c>
      <c r="K13030" t="s">
        <v>42631</v>
      </c>
      <c r="M13030" t="s">
        <v>46675</v>
      </c>
      <c r="N13030" t="s">
        <v>47304</v>
      </c>
      <c r="O13030" t="s">
        <v>47305</v>
      </c>
      <c r="P13030">
        <v>0</v>
      </c>
      <c r="Q13030">
        <v>0</v>
      </c>
      <c r="R13030" t="s">
        <v>47320</v>
      </c>
      <c r="S13030" t="s">
        <v>47917</v>
      </c>
      <c r="T13030" t="s">
        <v>48998</v>
      </c>
      <c r="U13030" t="s">
        <v>60313</v>
      </c>
      <c r="W13030" t="s">
        <v>46675</v>
      </c>
      <c r="X13030" t="s">
        <v>47321</v>
      </c>
    </row>
    <row r="13031" spans="1:24">
      <c r="A13031">
        <f>HYPERLINK("https://www.philgeps.gov.ph/GEPSNONPILOT/Tender/SplashBidNoticeAbstractUI.aspx?menuIndex=3&amp;refID=7168421&amp;Result=3","7168421")</f>
        <v>0</v>
      </c>
      <c r="B13031" t="s">
        <v>681</v>
      </c>
      <c r="C13031" t="s">
        <v>16181</v>
      </c>
      <c r="D13031" t="s">
        <v>19054</v>
      </c>
      <c r="E13031" t="s">
        <v>30130</v>
      </c>
      <c r="F13031" t="s">
        <v>32606</v>
      </c>
      <c r="G13031" t="s">
        <v>32613</v>
      </c>
      <c r="H13031" t="s">
        <v>32623</v>
      </c>
      <c r="I13031" t="s">
        <v>17648</v>
      </c>
      <c r="J13031" t="s">
        <v>40829</v>
      </c>
      <c r="K13031" t="s">
        <v>42712</v>
      </c>
      <c r="M13031" t="s">
        <v>43601</v>
      </c>
      <c r="N13031" t="s">
        <v>47304</v>
      </c>
      <c r="O13031" t="s">
        <v>47305</v>
      </c>
      <c r="P13031">
        <v>0</v>
      </c>
      <c r="Q13031">
        <v>0</v>
      </c>
      <c r="R13031" t="s">
        <v>47320</v>
      </c>
      <c r="S13031" t="s">
        <v>47917</v>
      </c>
      <c r="T13031" t="s">
        <v>49016</v>
      </c>
      <c r="U13031" t="s">
        <v>60314</v>
      </c>
      <c r="W13031" t="s">
        <v>43601</v>
      </c>
      <c r="X13031" t="s">
        <v>47321</v>
      </c>
    </row>
    <row r="13032" spans="1:24">
      <c r="A13032">
        <f>HYPERLINK("https://www.philgeps.gov.ph/GEPSNONPILOT/Tender/SplashBidNoticeAbstractUI.aspx?menuIndex=3&amp;refID=7165186&amp;Result=3","7165186")</f>
        <v>0</v>
      </c>
      <c r="B13032" t="s">
        <v>3570</v>
      </c>
      <c r="C13032" t="s">
        <v>16182</v>
      </c>
      <c r="D13032" t="s">
        <v>19050</v>
      </c>
      <c r="E13032" t="s">
        <v>26148</v>
      </c>
      <c r="F13032" t="s">
        <v>32606</v>
      </c>
      <c r="G13032" t="s">
        <v>32613</v>
      </c>
      <c r="H13032" t="s">
        <v>32623</v>
      </c>
      <c r="I13032" t="s">
        <v>17648</v>
      </c>
      <c r="J13032" t="s">
        <v>40830</v>
      </c>
      <c r="K13032" t="s">
        <v>42648</v>
      </c>
      <c r="M13032" t="s">
        <v>46858</v>
      </c>
      <c r="N13032" t="s">
        <v>47304</v>
      </c>
      <c r="O13032" t="s">
        <v>47305</v>
      </c>
      <c r="P13032">
        <v>0</v>
      </c>
      <c r="Q13032">
        <v>0</v>
      </c>
      <c r="R13032" t="s">
        <v>47320</v>
      </c>
      <c r="S13032" t="s">
        <v>47917</v>
      </c>
      <c r="T13032" t="s">
        <v>49017</v>
      </c>
      <c r="U13032" t="s">
        <v>60234</v>
      </c>
      <c r="W13032" t="s">
        <v>46858</v>
      </c>
      <c r="X13032" t="s">
        <v>47322</v>
      </c>
    </row>
    <row r="13033" spans="1:24">
      <c r="A13033">
        <f>HYPERLINK("https://www.philgeps.gov.ph/GEPSNONPILOT/Tender/SplashBidNoticeAbstractUI.aspx?menuIndex=3&amp;refID=7168445&amp;Result=3","7168445")</f>
        <v>0</v>
      </c>
      <c r="B13033" t="s">
        <v>3533</v>
      </c>
      <c r="C13033" t="s">
        <v>16183</v>
      </c>
      <c r="D13033" t="s">
        <v>19014</v>
      </c>
      <c r="E13033" t="s">
        <v>19918</v>
      </c>
      <c r="F13033" t="s">
        <v>32606</v>
      </c>
      <c r="G13033" t="s">
        <v>32613</v>
      </c>
      <c r="H13033" t="s">
        <v>14201</v>
      </c>
      <c r="I13033" t="s">
        <v>6931</v>
      </c>
      <c r="J13033" t="s">
        <v>40831</v>
      </c>
      <c r="K13033" t="s">
        <v>42631</v>
      </c>
      <c r="L13033" t="s">
        <v>3533</v>
      </c>
      <c r="M13033" t="s">
        <v>46806</v>
      </c>
      <c r="N13033" t="s">
        <v>47304</v>
      </c>
      <c r="O13033" t="s">
        <v>47305</v>
      </c>
      <c r="P13033">
        <v>0</v>
      </c>
      <c r="Q13033">
        <v>47</v>
      </c>
      <c r="R13033" t="s">
        <v>47320</v>
      </c>
      <c r="S13033" t="s">
        <v>47917</v>
      </c>
      <c r="T13033" t="s">
        <v>49263</v>
      </c>
      <c r="U13033" t="s">
        <v>54796</v>
      </c>
      <c r="V13033" t="s">
        <v>64025</v>
      </c>
      <c r="W13033" t="s">
        <v>46806</v>
      </c>
      <c r="X13033" t="s">
        <v>47321</v>
      </c>
    </row>
    <row r="13034" spans="1:24">
      <c r="A13034">
        <f>HYPERLINK("https://www.philgeps.gov.ph/GEPSNONPILOT/Tender/SplashBidNoticeAbstractUI.aspx?menuIndex=3&amp;refID=7165014&amp;Result=3","7165014")</f>
        <v>0</v>
      </c>
      <c r="B13034" t="s">
        <v>3238</v>
      </c>
      <c r="C13034" t="s">
        <v>16184</v>
      </c>
      <c r="D13034" t="s">
        <v>19036</v>
      </c>
      <c r="E13034" t="s">
        <v>30131</v>
      </c>
      <c r="F13034" t="s">
        <v>32606</v>
      </c>
      <c r="G13034" t="s">
        <v>32613</v>
      </c>
      <c r="H13034" t="s">
        <v>14201</v>
      </c>
      <c r="I13034" t="s">
        <v>32640</v>
      </c>
      <c r="J13034" t="s">
        <v>39122</v>
      </c>
      <c r="K13034" t="s">
        <v>42639</v>
      </c>
      <c r="M13034" t="s">
        <v>46471</v>
      </c>
      <c r="N13034" t="s">
        <v>47304</v>
      </c>
      <c r="O13034" t="s">
        <v>47305</v>
      </c>
      <c r="Q13034">
        <v>10</v>
      </c>
      <c r="R13034" t="s">
        <v>47320</v>
      </c>
      <c r="S13034" t="s">
        <v>47948</v>
      </c>
      <c r="T13034" t="s">
        <v>48986</v>
      </c>
      <c r="U13034" t="s">
        <v>60315</v>
      </c>
      <c r="W13034" t="s">
        <v>46471</v>
      </c>
      <c r="X13034" t="s">
        <v>47322</v>
      </c>
    </row>
    <row r="13035" spans="1:24">
      <c r="A13035">
        <f>HYPERLINK("https://www.philgeps.gov.ph/GEPSNONPILOT/Tender/SplashBidNoticeAbstractUI.aspx?menuIndex=3&amp;refID=7162575&amp;Result=3","7162575")</f>
        <v>0</v>
      </c>
      <c r="B13035" t="s">
        <v>233</v>
      </c>
      <c r="C13035" t="s">
        <v>16185</v>
      </c>
      <c r="D13035" t="s">
        <v>18997</v>
      </c>
      <c r="E13035" t="s">
        <v>30132</v>
      </c>
      <c r="F13035" t="s">
        <v>32606</v>
      </c>
      <c r="G13035" t="s">
        <v>32613</v>
      </c>
      <c r="H13035" t="s">
        <v>14201</v>
      </c>
      <c r="I13035" t="s">
        <v>6931</v>
      </c>
      <c r="J13035" t="s">
        <v>40832</v>
      </c>
      <c r="K13035" t="s">
        <v>42631</v>
      </c>
      <c r="M13035" t="s">
        <v>44359</v>
      </c>
      <c r="N13035" t="s">
        <v>47304</v>
      </c>
      <c r="O13035" t="s">
        <v>47305</v>
      </c>
      <c r="Q13035">
        <v>1</v>
      </c>
      <c r="R13035" t="s">
        <v>47320</v>
      </c>
      <c r="S13035" t="s">
        <v>47949</v>
      </c>
      <c r="T13035" t="s">
        <v>49065</v>
      </c>
      <c r="U13035" t="s">
        <v>57116</v>
      </c>
      <c r="V13035" t="s">
        <v>63002</v>
      </c>
      <c r="W13035" t="s">
        <v>44359</v>
      </c>
      <c r="X13035" t="s">
        <v>47325</v>
      </c>
    </row>
    <row r="13036" spans="1:24">
      <c r="A13036">
        <f>HYPERLINK("https://www.philgeps.gov.ph/GEPSNONPILOT/Tender/SplashBidNoticeAbstractUI.aspx?menuIndex=3&amp;refID=7168437&amp;Result=3","7168437")</f>
        <v>0</v>
      </c>
      <c r="B13036" t="s">
        <v>340</v>
      </c>
      <c r="C13036" t="s">
        <v>16186</v>
      </c>
      <c r="D13036" t="s">
        <v>19029</v>
      </c>
      <c r="E13036" t="s">
        <v>30133</v>
      </c>
      <c r="F13036" t="s">
        <v>32606</v>
      </c>
      <c r="G13036" t="s">
        <v>32613</v>
      </c>
      <c r="H13036" t="s">
        <v>14201</v>
      </c>
      <c r="I13036" t="s">
        <v>32632</v>
      </c>
      <c r="J13036" t="s">
        <v>40833</v>
      </c>
      <c r="K13036" t="s">
        <v>42636</v>
      </c>
      <c r="M13036" t="s">
        <v>43242</v>
      </c>
      <c r="N13036" t="s">
        <v>47304</v>
      </c>
      <c r="O13036" t="s">
        <v>47305</v>
      </c>
      <c r="P13036">
        <v>0</v>
      </c>
      <c r="Q13036">
        <v>4</v>
      </c>
      <c r="R13036" t="s">
        <v>47320</v>
      </c>
      <c r="S13036" t="s">
        <v>47917</v>
      </c>
      <c r="T13036" t="s">
        <v>49081</v>
      </c>
      <c r="U13036" t="s">
        <v>60316</v>
      </c>
      <c r="V13036" t="s">
        <v>64074</v>
      </c>
      <c r="W13036" t="s">
        <v>43242</v>
      </c>
      <c r="X13036" t="s">
        <v>47321</v>
      </c>
    </row>
    <row r="13037" spans="1:24">
      <c r="A13037">
        <f>HYPERLINK("https://www.philgeps.gov.ph/GEPSNONPILOT/Tender/SplashBidNoticeAbstractUI.aspx?menuIndex=3&amp;refID=7168435&amp;Result=3","7168435")</f>
        <v>0</v>
      </c>
      <c r="B13037" t="s">
        <v>3587</v>
      </c>
      <c r="C13037" t="s">
        <v>16187</v>
      </c>
      <c r="D13037" t="s">
        <v>19031</v>
      </c>
      <c r="E13037" t="s">
        <v>30134</v>
      </c>
      <c r="F13037" t="s">
        <v>32606</v>
      </c>
      <c r="G13037" t="s">
        <v>32613</v>
      </c>
      <c r="H13037" t="s">
        <v>14201</v>
      </c>
      <c r="I13037" t="s">
        <v>32669</v>
      </c>
      <c r="J13037" t="s">
        <v>32769</v>
      </c>
      <c r="K13037" t="s">
        <v>42639</v>
      </c>
      <c r="M13037" t="s">
        <v>46876</v>
      </c>
      <c r="N13037" t="s">
        <v>47304</v>
      </c>
      <c r="O13037" t="s">
        <v>47305</v>
      </c>
      <c r="P13037">
        <v>0</v>
      </c>
      <c r="Q13037">
        <v>0</v>
      </c>
      <c r="R13037" t="s">
        <v>47320</v>
      </c>
      <c r="S13037" t="s">
        <v>47917</v>
      </c>
      <c r="T13037" t="s">
        <v>48986</v>
      </c>
      <c r="U13037" t="s">
        <v>60317</v>
      </c>
      <c r="W13037" t="s">
        <v>46876</v>
      </c>
      <c r="X13037" t="s">
        <v>47321</v>
      </c>
    </row>
    <row r="13038" spans="1:24">
      <c r="A13038">
        <f>HYPERLINK("https://www.philgeps.gov.ph/GEPSNONPILOT/Tender/SplashBidNoticeAbstractUI.aspx?menuIndex=3&amp;refID=7162550&amp;Result=3","7162550")</f>
        <v>0</v>
      </c>
      <c r="B13038" t="s">
        <v>1707</v>
      </c>
      <c r="C13038" t="s">
        <v>16188</v>
      </c>
      <c r="E13038" t="s">
        <v>20205</v>
      </c>
      <c r="F13038" t="s">
        <v>32606</v>
      </c>
      <c r="G13038" t="s">
        <v>32613</v>
      </c>
      <c r="H13038" t="s">
        <v>32623</v>
      </c>
      <c r="I13038" t="s">
        <v>17648</v>
      </c>
      <c r="J13038" t="s">
        <v>32772</v>
      </c>
      <c r="K13038" t="s">
        <v>42636</v>
      </c>
      <c r="M13038" t="s">
        <v>44738</v>
      </c>
      <c r="N13038" t="s">
        <v>47304</v>
      </c>
      <c r="O13038" t="s">
        <v>47305</v>
      </c>
      <c r="P13038">
        <v>0</v>
      </c>
      <c r="Q13038">
        <v>1</v>
      </c>
      <c r="R13038" t="s">
        <v>47320</v>
      </c>
      <c r="S13038" t="s">
        <v>47917</v>
      </c>
      <c r="T13038" t="s">
        <v>48986</v>
      </c>
      <c r="U13038" t="s">
        <v>53490</v>
      </c>
      <c r="W13038" t="s">
        <v>44738</v>
      </c>
      <c r="X13038" t="s">
        <v>47325</v>
      </c>
    </row>
    <row r="13039" spans="1:24">
      <c r="A13039">
        <f>HYPERLINK("https://www.philgeps.gov.ph/GEPSNONPILOT/Tender/SplashBidNoticeAbstractUI.aspx?menuIndex=3&amp;refID=7168641&amp;Result=3","7168641")</f>
        <v>0</v>
      </c>
      <c r="B13039" t="s">
        <v>3082</v>
      </c>
      <c r="C13039" t="s">
        <v>16189</v>
      </c>
      <c r="D13039" t="s">
        <v>19041</v>
      </c>
      <c r="E13039" t="s">
        <v>30135</v>
      </c>
      <c r="F13039" t="s">
        <v>32606</v>
      </c>
      <c r="G13039" t="s">
        <v>32613</v>
      </c>
      <c r="H13039" t="s">
        <v>32623</v>
      </c>
      <c r="I13039" t="s">
        <v>17648</v>
      </c>
      <c r="J13039" t="s">
        <v>40834</v>
      </c>
      <c r="K13039" t="s">
        <v>42651</v>
      </c>
      <c r="M13039" t="s">
        <v>46283</v>
      </c>
      <c r="N13039" t="s">
        <v>47304</v>
      </c>
      <c r="O13039" t="s">
        <v>47305</v>
      </c>
      <c r="Q13039">
        <v>9</v>
      </c>
      <c r="R13039" t="s">
        <v>47320</v>
      </c>
      <c r="S13039" t="s">
        <v>47950</v>
      </c>
      <c r="T13039" t="s">
        <v>48998</v>
      </c>
      <c r="U13039" t="s">
        <v>60318</v>
      </c>
      <c r="W13039" t="s">
        <v>46283</v>
      </c>
      <c r="X13039" t="s">
        <v>47321</v>
      </c>
    </row>
    <row r="13040" spans="1:24">
      <c r="A13040">
        <f>HYPERLINK("https://www.philgeps.gov.ph/GEPSNONPILOT/Tender/SplashBidNoticeAbstractUI.aspx?menuIndex=3&amp;refID=7168424&amp;Result=3","7168424")</f>
        <v>0</v>
      </c>
      <c r="B13040" t="s">
        <v>3584</v>
      </c>
      <c r="C13040" t="s">
        <v>16190</v>
      </c>
      <c r="D13040" t="s">
        <v>19017</v>
      </c>
      <c r="E13040" t="s">
        <v>30136</v>
      </c>
      <c r="F13040" t="s">
        <v>32606</v>
      </c>
      <c r="G13040" t="s">
        <v>32613</v>
      </c>
      <c r="H13040" t="s">
        <v>14201</v>
      </c>
      <c r="I13040" t="s">
        <v>7677</v>
      </c>
      <c r="J13040" t="s">
        <v>32778</v>
      </c>
      <c r="K13040" t="s">
        <v>42623</v>
      </c>
      <c r="L13040" t="s">
        <v>3584</v>
      </c>
      <c r="M13040" t="s">
        <v>46873</v>
      </c>
      <c r="N13040" t="s">
        <v>47304</v>
      </c>
      <c r="O13040" t="s">
        <v>47305</v>
      </c>
      <c r="P13040">
        <v>0</v>
      </c>
      <c r="Q13040">
        <v>3</v>
      </c>
      <c r="R13040" t="s">
        <v>47320</v>
      </c>
      <c r="S13040" t="s">
        <v>47917</v>
      </c>
      <c r="T13040" t="s">
        <v>49023</v>
      </c>
      <c r="U13040" t="s">
        <v>60319</v>
      </c>
      <c r="V13040" t="s">
        <v>64075</v>
      </c>
      <c r="W13040" t="s">
        <v>46873</v>
      </c>
      <c r="X13040" t="s">
        <v>47321</v>
      </c>
    </row>
    <row r="13041" spans="1:24">
      <c r="A13041">
        <f>HYPERLINK("https://www.philgeps.gov.ph/GEPSNONPILOT/Tender/SplashBidNoticeAbstractUI.aspx?menuIndex=3&amp;refID=7168602&amp;Result=3","7168602")</f>
        <v>0</v>
      </c>
      <c r="B13041" t="s">
        <v>318</v>
      </c>
      <c r="C13041" t="s">
        <v>16191</v>
      </c>
      <c r="D13041" t="s">
        <v>19025</v>
      </c>
      <c r="E13041" t="s">
        <v>30137</v>
      </c>
      <c r="F13041" t="s">
        <v>32606</v>
      </c>
      <c r="G13041" t="s">
        <v>32614</v>
      </c>
      <c r="H13041" t="s">
        <v>14201</v>
      </c>
      <c r="I13041" t="s">
        <v>32640</v>
      </c>
      <c r="J13041" t="s">
        <v>40835</v>
      </c>
      <c r="K13041" t="s">
        <v>42624</v>
      </c>
      <c r="M13041" t="s">
        <v>43220</v>
      </c>
      <c r="N13041" t="s">
        <v>47304</v>
      </c>
      <c r="O13041" t="s">
        <v>47305</v>
      </c>
      <c r="P13041">
        <v>0</v>
      </c>
      <c r="Q13041">
        <v>2</v>
      </c>
      <c r="R13041" t="s">
        <v>47320</v>
      </c>
      <c r="S13041" t="s">
        <v>47917</v>
      </c>
      <c r="T13041" t="s">
        <v>49020</v>
      </c>
      <c r="U13041" t="s">
        <v>60320</v>
      </c>
      <c r="W13041" t="s">
        <v>43220</v>
      </c>
      <c r="X13041" t="s">
        <v>47321</v>
      </c>
    </row>
    <row r="13042" spans="1:24">
      <c r="A13042">
        <f>HYPERLINK("https://www.philgeps.gov.ph/GEPSNONPILOT/Tender/SplashBidNoticeAbstractUI.aspx?menuIndex=3&amp;refID=7168591&amp;Result=3","7168591")</f>
        <v>0</v>
      </c>
      <c r="B13042" t="s">
        <v>3533</v>
      </c>
      <c r="C13042" t="s">
        <v>16192</v>
      </c>
      <c r="D13042" t="s">
        <v>19014</v>
      </c>
      <c r="E13042" t="s">
        <v>19380</v>
      </c>
      <c r="F13042" t="s">
        <v>32606</v>
      </c>
      <c r="G13042" t="s">
        <v>32613</v>
      </c>
      <c r="H13042" t="s">
        <v>14201</v>
      </c>
      <c r="I13042" t="s">
        <v>6931</v>
      </c>
      <c r="J13042" t="s">
        <v>40836</v>
      </c>
      <c r="K13042" t="s">
        <v>42631</v>
      </c>
      <c r="L13042" t="s">
        <v>3533</v>
      </c>
      <c r="M13042" t="s">
        <v>46806</v>
      </c>
      <c r="N13042" t="s">
        <v>47304</v>
      </c>
      <c r="O13042" t="s">
        <v>47305</v>
      </c>
      <c r="P13042">
        <v>0</v>
      </c>
      <c r="Q13042">
        <v>51</v>
      </c>
      <c r="R13042" t="s">
        <v>47320</v>
      </c>
      <c r="S13042" t="s">
        <v>47917</v>
      </c>
      <c r="T13042" t="s">
        <v>49267</v>
      </c>
      <c r="U13042" t="s">
        <v>54796</v>
      </c>
      <c r="V13042" t="s">
        <v>64025</v>
      </c>
      <c r="W13042" t="s">
        <v>46806</v>
      </c>
      <c r="X13042" t="s">
        <v>47321</v>
      </c>
    </row>
    <row r="13043" spans="1:24">
      <c r="A13043">
        <f>HYPERLINK("https://www.philgeps.gov.ph/GEPSNONPILOT/Tender/SplashBidNoticeAbstractUI.aspx?menuIndex=3&amp;refID=7167336&amp;Result=3","7167336")</f>
        <v>0</v>
      </c>
      <c r="B13043" t="s">
        <v>321</v>
      </c>
      <c r="C13043" t="s">
        <v>16193</v>
      </c>
      <c r="D13043" t="s">
        <v>19048</v>
      </c>
      <c r="E13043" t="s">
        <v>30138</v>
      </c>
      <c r="F13043" t="s">
        <v>32606</v>
      </c>
      <c r="G13043" t="s">
        <v>32613</v>
      </c>
      <c r="H13043" t="s">
        <v>32623</v>
      </c>
      <c r="I13043" t="s">
        <v>17648</v>
      </c>
      <c r="J13043" t="s">
        <v>32772</v>
      </c>
      <c r="K13043" t="s">
        <v>42624</v>
      </c>
      <c r="M13043" t="s">
        <v>43223</v>
      </c>
      <c r="N13043" t="s">
        <v>47304</v>
      </c>
      <c r="O13043" t="s">
        <v>47305</v>
      </c>
      <c r="P13043">
        <v>0</v>
      </c>
      <c r="Q13043">
        <v>1</v>
      </c>
      <c r="R13043" t="s">
        <v>47320</v>
      </c>
      <c r="S13043" t="s">
        <v>47917</v>
      </c>
      <c r="T13043" t="s">
        <v>49023</v>
      </c>
      <c r="U13043" t="s">
        <v>60217</v>
      </c>
      <c r="W13043" t="s">
        <v>43223</v>
      </c>
      <c r="X13043" t="s">
        <v>47322</v>
      </c>
    </row>
    <row r="13044" spans="1:24">
      <c r="A13044">
        <f>HYPERLINK("https://www.philgeps.gov.ph/GEPSNONPILOT/Tender/SplashBidNoticeAbstractUI.aspx?menuIndex=3&amp;refID=7168619&amp;Result=3","7168619")</f>
        <v>0</v>
      </c>
      <c r="B13044" t="s">
        <v>976</v>
      </c>
      <c r="C13044" t="s">
        <v>16194</v>
      </c>
      <c r="D13044" t="s">
        <v>19007</v>
      </c>
      <c r="E13044" t="s">
        <v>30139</v>
      </c>
      <c r="F13044" t="s">
        <v>32606</v>
      </c>
      <c r="G13044" t="s">
        <v>32613</v>
      </c>
      <c r="H13044" t="s">
        <v>32623</v>
      </c>
      <c r="I13044" t="s">
        <v>17648</v>
      </c>
      <c r="J13044" t="s">
        <v>40837</v>
      </c>
      <c r="K13044" t="s">
        <v>42639</v>
      </c>
      <c r="M13044" t="s">
        <v>43922</v>
      </c>
      <c r="N13044" t="s">
        <v>47304</v>
      </c>
      <c r="O13044" t="s">
        <v>47305</v>
      </c>
      <c r="P13044">
        <v>0</v>
      </c>
      <c r="Q13044">
        <v>4</v>
      </c>
      <c r="R13044" t="s">
        <v>47320</v>
      </c>
      <c r="S13044" t="s">
        <v>47917</v>
      </c>
      <c r="T13044" t="s">
        <v>49016</v>
      </c>
      <c r="U13044" t="s">
        <v>60321</v>
      </c>
      <c r="W13044" t="s">
        <v>43922</v>
      </c>
      <c r="X13044" t="s">
        <v>47321</v>
      </c>
    </row>
    <row r="13045" spans="1:24">
      <c r="A13045">
        <f>HYPERLINK("https://www.philgeps.gov.ph/GEPSNONPILOT/Tender/SplashBidNoticeAbstractUI.aspx?menuIndex=3&amp;refID=7168620&amp;Result=3","7168620")</f>
        <v>0</v>
      </c>
      <c r="B13045" t="s">
        <v>3533</v>
      </c>
      <c r="C13045" t="s">
        <v>16195</v>
      </c>
      <c r="D13045" t="s">
        <v>19014</v>
      </c>
      <c r="E13045" t="s">
        <v>23162</v>
      </c>
      <c r="F13045" t="s">
        <v>32606</v>
      </c>
      <c r="G13045" t="s">
        <v>32613</v>
      </c>
      <c r="H13045" t="s">
        <v>14201</v>
      </c>
      <c r="I13045" t="s">
        <v>6931</v>
      </c>
      <c r="J13045" t="s">
        <v>40836</v>
      </c>
      <c r="K13045" t="s">
        <v>42631</v>
      </c>
      <c r="L13045" t="s">
        <v>3533</v>
      </c>
      <c r="M13045" t="s">
        <v>46806</v>
      </c>
      <c r="N13045" t="s">
        <v>47304</v>
      </c>
      <c r="O13045" t="s">
        <v>47305</v>
      </c>
      <c r="P13045">
        <v>0</v>
      </c>
      <c r="Q13045">
        <v>49</v>
      </c>
      <c r="R13045" t="s">
        <v>47320</v>
      </c>
      <c r="S13045" t="s">
        <v>47917</v>
      </c>
      <c r="T13045" t="s">
        <v>49267</v>
      </c>
      <c r="U13045" t="s">
        <v>54796</v>
      </c>
      <c r="V13045" t="s">
        <v>64025</v>
      </c>
      <c r="W13045" t="s">
        <v>46806</v>
      </c>
      <c r="X13045" t="s">
        <v>47321</v>
      </c>
    </row>
    <row r="13046" spans="1:24">
      <c r="A13046">
        <f>HYPERLINK("https://www.philgeps.gov.ph/GEPSNONPILOT/Tender/SplashBidNoticeAbstractUI.aspx?menuIndex=3&amp;refID=7168606&amp;Result=3","7168606")</f>
        <v>0</v>
      </c>
      <c r="B13046" t="s">
        <v>321</v>
      </c>
      <c r="C13046" t="s">
        <v>16196</v>
      </c>
      <c r="D13046" t="s">
        <v>19048</v>
      </c>
      <c r="E13046" t="s">
        <v>30140</v>
      </c>
      <c r="F13046" t="s">
        <v>32606</v>
      </c>
      <c r="G13046" t="s">
        <v>32613</v>
      </c>
      <c r="H13046" t="s">
        <v>14201</v>
      </c>
      <c r="I13046" t="s">
        <v>32663</v>
      </c>
      <c r="J13046" t="s">
        <v>34128</v>
      </c>
      <c r="K13046" t="s">
        <v>42624</v>
      </c>
      <c r="M13046" t="s">
        <v>43223</v>
      </c>
      <c r="N13046" t="s">
        <v>47304</v>
      </c>
      <c r="O13046" t="s">
        <v>47305</v>
      </c>
      <c r="Q13046">
        <v>4</v>
      </c>
      <c r="R13046" t="s">
        <v>47320</v>
      </c>
      <c r="S13046" t="s">
        <v>47812</v>
      </c>
      <c r="T13046" t="s">
        <v>49023</v>
      </c>
      <c r="U13046" t="s">
        <v>60322</v>
      </c>
      <c r="W13046" t="s">
        <v>43223</v>
      </c>
      <c r="X13046" t="s">
        <v>47321</v>
      </c>
    </row>
    <row r="13047" spans="1:24">
      <c r="A13047">
        <f>HYPERLINK("https://www.philgeps.gov.ph/GEPSNONPILOT/Tender/SplashBidNoticeAbstractUI.aspx?menuIndex=3&amp;refID=7168564&amp;Result=3","7168564")</f>
        <v>0</v>
      </c>
      <c r="B13047" t="s">
        <v>3533</v>
      </c>
      <c r="C13047" t="s">
        <v>16197</v>
      </c>
      <c r="D13047" t="s">
        <v>19014</v>
      </c>
      <c r="E13047" t="s">
        <v>20274</v>
      </c>
      <c r="F13047" t="s">
        <v>32606</v>
      </c>
      <c r="G13047" t="s">
        <v>32613</v>
      </c>
      <c r="H13047" t="s">
        <v>14201</v>
      </c>
      <c r="I13047" t="s">
        <v>6931</v>
      </c>
      <c r="J13047" t="s">
        <v>40836</v>
      </c>
      <c r="K13047" t="s">
        <v>42631</v>
      </c>
      <c r="L13047" t="s">
        <v>3533</v>
      </c>
      <c r="M13047" t="s">
        <v>46806</v>
      </c>
      <c r="N13047" t="s">
        <v>47304</v>
      </c>
      <c r="O13047" t="s">
        <v>47305</v>
      </c>
      <c r="P13047">
        <v>0</v>
      </c>
      <c r="Q13047">
        <v>50</v>
      </c>
      <c r="R13047" t="s">
        <v>47320</v>
      </c>
      <c r="S13047" t="s">
        <v>47917</v>
      </c>
      <c r="T13047" t="s">
        <v>49267</v>
      </c>
      <c r="U13047" t="s">
        <v>54796</v>
      </c>
      <c r="V13047" t="s">
        <v>64025</v>
      </c>
      <c r="W13047" t="s">
        <v>46806</v>
      </c>
      <c r="X13047" t="s">
        <v>47321</v>
      </c>
    </row>
    <row r="13048" spans="1:24">
      <c r="A13048">
        <f>HYPERLINK("https://www.philgeps.gov.ph/GEPSNONPILOT/Tender/SplashBidNoticeAbstractUI.aspx?menuIndex=3&amp;refID=7168541&amp;Result=3","7168541")</f>
        <v>0</v>
      </c>
      <c r="B13048" t="s">
        <v>648</v>
      </c>
      <c r="C13048" t="s">
        <v>16198</v>
      </c>
      <c r="D13048" t="s">
        <v>19059</v>
      </c>
      <c r="E13048" t="s">
        <v>30141</v>
      </c>
      <c r="F13048" t="s">
        <v>32606</v>
      </c>
      <c r="G13048" t="s">
        <v>32613</v>
      </c>
      <c r="H13048" t="s">
        <v>32623</v>
      </c>
      <c r="I13048" t="s">
        <v>17648</v>
      </c>
      <c r="J13048" t="s">
        <v>40838</v>
      </c>
      <c r="K13048" t="s">
        <v>42876</v>
      </c>
      <c r="M13048" t="s">
        <v>43566</v>
      </c>
      <c r="N13048" t="s">
        <v>47304</v>
      </c>
      <c r="O13048" t="s">
        <v>47305</v>
      </c>
      <c r="P13048">
        <v>0</v>
      </c>
      <c r="Q13048">
        <v>0</v>
      </c>
      <c r="R13048" t="s">
        <v>47320</v>
      </c>
      <c r="S13048" t="s">
        <v>47917</v>
      </c>
      <c r="T13048" t="s">
        <v>49020</v>
      </c>
      <c r="U13048" t="s">
        <v>60323</v>
      </c>
      <c r="W13048" t="s">
        <v>43566</v>
      </c>
      <c r="X13048" t="s">
        <v>47321</v>
      </c>
    </row>
    <row r="13049" spans="1:24">
      <c r="A13049">
        <f>HYPERLINK("https://www.philgeps.gov.ph/GEPSNONPILOT/Tender/SplashBidNoticeAbstractUI.aspx?menuIndex=3&amp;refID=7168596&amp;Result=3","7168596")</f>
        <v>0</v>
      </c>
      <c r="B13049" t="s">
        <v>2434</v>
      </c>
      <c r="C13049" t="s">
        <v>16199</v>
      </c>
      <c r="D13049" t="s">
        <v>18994</v>
      </c>
      <c r="E13049" t="s">
        <v>30142</v>
      </c>
      <c r="F13049" t="s">
        <v>32606</v>
      </c>
      <c r="G13049" t="s">
        <v>32613</v>
      </c>
      <c r="H13049" t="s">
        <v>14201</v>
      </c>
      <c r="I13049" t="s">
        <v>4114</v>
      </c>
      <c r="J13049" t="s">
        <v>40839</v>
      </c>
      <c r="K13049" t="s">
        <v>42623</v>
      </c>
      <c r="M13049" t="s">
        <v>45560</v>
      </c>
      <c r="N13049" t="s">
        <v>47304</v>
      </c>
      <c r="O13049" t="s">
        <v>47305</v>
      </c>
      <c r="Q13049">
        <v>3</v>
      </c>
      <c r="R13049" t="s">
        <v>47320</v>
      </c>
      <c r="S13049" t="s">
        <v>47951</v>
      </c>
      <c r="T13049" t="s">
        <v>48996</v>
      </c>
      <c r="U13049" t="s">
        <v>60324</v>
      </c>
      <c r="W13049" t="s">
        <v>45560</v>
      </c>
      <c r="X13049" t="s">
        <v>47321</v>
      </c>
    </row>
    <row r="13050" spans="1:24">
      <c r="A13050">
        <f>HYPERLINK("https://www.philgeps.gov.ph/GEPSNONPILOT/Tender/SplashBidNoticeAbstractUI.aspx?menuIndex=3&amp;refID=7167387&amp;Result=3","7167387")</f>
        <v>0</v>
      </c>
      <c r="B13050" t="s">
        <v>444</v>
      </c>
      <c r="C13050" t="s">
        <v>16200</v>
      </c>
      <c r="D13050" t="s">
        <v>19006</v>
      </c>
      <c r="E13050" t="s">
        <v>30143</v>
      </c>
      <c r="F13050" t="s">
        <v>32606</v>
      </c>
      <c r="G13050" t="s">
        <v>32613</v>
      </c>
      <c r="H13050" t="s">
        <v>14201</v>
      </c>
      <c r="I13050" t="s">
        <v>32662</v>
      </c>
      <c r="J13050" t="s">
        <v>40840</v>
      </c>
      <c r="K13050" t="s">
        <v>42631</v>
      </c>
      <c r="M13050" t="s">
        <v>46860</v>
      </c>
      <c r="N13050" t="s">
        <v>47304</v>
      </c>
      <c r="O13050" t="s">
        <v>47305</v>
      </c>
      <c r="P13050">
        <v>0</v>
      </c>
      <c r="Q13050">
        <v>34</v>
      </c>
      <c r="R13050" t="s">
        <v>47320</v>
      </c>
      <c r="S13050" t="s">
        <v>47917</v>
      </c>
      <c r="T13050" t="s">
        <v>49157</v>
      </c>
      <c r="U13050" t="s">
        <v>60325</v>
      </c>
      <c r="W13050" t="s">
        <v>46860</v>
      </c>
      <c r="X13050" t="s">
        <v>47322</v>
      </c>
    </row>
    <row r="13051" spans="1:24">
      <c r="A13051">
        <f>HYPERLINK("https://www.philgeps.gov.ph/GEPSNONPILOT/Tender/SplashBidNoticeAbstractUI.aspx?menuIndex=3&amp;refID=7168540&amp;Result=3","7168540")</f>
        <v>0</v>
      </c>
      <c r="B13051" t="s">
        <v>3583</v>
      </c>
      <c r="C13051" t="s">
        <v>16201</v>
      </c>
      <c r="D13051" t="s">
        <v>19011</v>
      </c>
      <c r="E13051" t="s">
        <v>30144</v>
      </c>
      <c r="F13051" t="s">
        <v>32606</v>
      </c>
      <c r="G13051" t="s">
        <v>32613</v>
      </c>
      <c r="H13051" t="s">
        <v>32623</v>
      </c>
      <c r="I13051" t="s">
        <v>17648</v>
      </c>
      <c r="J13051" t="s">
        <v>40841</v>
      </c>
      <c r="K13051" t="s">
        <v>42695</v>
      </c>
      <c r="M13051" t="s">
        <v>46872</v>
      </c>
      <c r="N13051" t="s">
        <v>47304</v>
      </c>
      <c r="O13051" t="s">
        <v>47305</v>
      </c>
      <c r="P13051">
        <v>0</v>
      </c>
      <c r="Q13051">
        <v>1</v>
      </c>
      <c r="R13051" t="s">
        <v>47320</v>
      </c>
      <c r="S13051" t="s">
        <v>47917</v>
      </c>
      <c r="T13051" t="s">
        <v>49289</v>
      </c>
      <c r="U13051" t="s">
        <v>60326</v>
      </c>
      <c r="V13051" t="s">
        <v>64071</v>
      </c>
      <c r="W13051" t="s">
        <v>46872</v>
      </c>
      <c r="X13051" t="s">
        <v>47321</v>
      </c>
    </row>
    <row r="13052" spans="1:24">
      <c r="A13052">
        <f>HYPERLINK("https://www.philgeps.gov.ph/GEPSNONPILOT/Tender/SplashBidNoticeAbstractUI.aspx?menuIndex=3&amp;refID=7168662&amp;Result=3","7168662")</f>
        <v>0</v>
      </c>
      <c r="B13052" t="s">
        <v>3588</v>
      </c>
      <c r="C13052" t="s">
        <v>16202</v>
      </c>
      <c r="D13052" t="s">
        <v>19006</v>
      </c>
      <c r="E13052" t="s">
        <v>30112</v>
      </c>
      <c r="F13052" t="s">
        <v>32606</v>
      </c>
      <c r="G13052" t="s">
        <v>32613</v>
      </c>
      <c r="H13052" t="s">
        <v>14201</v>
      </c>
      <c r="I13052" t="s">
        <v>32626</v>
      </c>
      <c r="J13052" t="s">
        <v>40842</v>
      </c>
      <c r="K13052" t="s">
        <v>42694</v>
      </c>
      <c r="M13052" t="s">
        <v>46877</v>
      </c>
      <c r="N13052" t="s">
        <v>47304</v>
      </c>
      <c r="O13052" t="s">
        <v>47305</v>
      </c>
      <c r="P13052">
        <v>0</v>
      </c>
      <c r="Q13052">
        <v>0</v>
      </c>
      <c r="R13052" t="s">
        <v>47320</v>
      </c>
      <c r="S13052" t="s">
        <v>47917</v>
      </c>
      <c r="T13052" t="s">
        <v>49023</v>
      </c>
      <c r="U13052" t="s">
        <v>60327</v>
      </c>
      <c r="W13052" t="s">
        <v>46877</v>
      </c>
      <c r="X13052" t="s">
        <v>47321</v>
      </c>
    </row>
    <row r="13053" spans="1:24">
      <c r="A13053">
        <f>HYPERLINK("https://www.philgeps.gov.ph/GEPSNONPILOT/Tender/SplashBidNoticeAbstractUI.aspx?menuIndex=3&amp;refID=7168767&amp;Result=3","7168767")</f>
        <v>0</v>
      </c>
      <c r="B13053" t="s">
        <v>998</v>
      </c>
      <c r="C13053" t="s">
        <v>16203</v>
      </c>
      <c r="D13053" t="s">
        <v>19009</v>
      </c>
      <c r="E13053" t="s">
        <v>30145</v>
      </c>
      <c r="F13053" t="s">
        <v>32606</v>
      </c>
      <c r="G13053" t="s">
        <v>32613</v>
      </c>
      <c r="H13053" t="s">
        <v>14201</v>
      </c>
      <c r="I13053" t="s">
        <v>4114</v>
      </c>
      <c r="J13053" t="s">
        <v>32923</v>
      </c>
      <c r="K13053" t="s">
        <v>42668</v>
      </c>
      <c r="M13053" t="s">
        <v>43946</v>
      </c>
      <c r="N13053" t="s">
        <v>47304</v>
      </c>
      <c r="O13053" t="s">
        <v>47305</v>
      </c>
      <c r="P13053">
        <v>0</v>
      </c>
      <c r="Q13053">
        <v>3</v>
      </c>
      <c r="R13053" t="s">
        <v>47320</v>
      </c>
      <c r="S13053" t="s">
        <v>47917</v>
      </c>
      <c r="T13053" t="s">
        <v>48971</v>
      </c>
      <c r="U13053" t="s">
        <v>60328</v>
      </c>
      <c r="W13053" t="s">
        <v>43946</v>
      </c>
      <c r="X13053" t="s">
        <v>47321</v>
      </c>
    </row>
    <row r="13054" spans="1:24">
      <c r="A13054">
        <f>HYPERLINK("https://www.philgeps.gov.ph/GEPSNONPILOT/Tender/SplashBidNoticeAbstractUI.aspx?menuIndex=3&amp;refID=7168766&amp;Result=3","7168766")</f>
        <v>0</v>
      </c>
      <c r="B13054" t="s">
        <v>383</v>
      </c>
      <c r="C13054" t="s">
        <v>16204</v>
      </c>
      <c r="E13054" t="s">
        <v>30146</v>
      </c>
      <c r="F13054" t="s">
        <v>32606</v>
      </c>
      <c r="G13054" t="s">
        <v>32613</v>
      </c>
      <c r="H13054" t="s">
        <v>14201</v>
      </c>
      <c r="I13054" t="s">
        <v>6993</v>
      </c>
      <c r="J13054" t="s">
        <v>40843</v>
      </c>
      <c r="K13054" t="s">
        <v>42624</v>
      </c>
      <c r="M13054" t="s">
        <v>43286</v>
      </c>
      <c r="N13054" t="s">
        <v>47304</v>
      </c>
      <c r="O13054" t="s">
        <v>47305</v>
      </c>
      <c r="P13054">
        <v>0</v>
      </c>
      <c r="Q13054">
        <v>0</v>
      </c>
      <c r="R13054" t="s">
        <v>47320</v>
      </c>
      <c r="S13054" t="s">
        <v>47917</v>
      </c>
      <c r="T13054" t="s">
        <v>49102</v>
      </c>
      <c r="U13054" t="s">
        <v>60329</v>
      </c>
      <c r="W13054" t="s">
        <v>43286</v>
      </c>
      <c r="X13054" t="s">
        <v>47321</v>
      </c>
    </row>
    <row r="13055" spans="1:24">
      <c r="A13055">
        <f>HYPERLINK("https://www.philgeps.gov.ph/GEPSNONPILOT/Tender/SplashBidNoticeAbstractUI.aspx?menuIndex=3&amp;refID=7168543&amp;Result=3","7168543")</f>
        <v>0</v>
      </c>
      <c r="B13055" t="s">
        <v>1893</v>
      </c>
      <c r="C13055" t="s">
        <v>16205</v>
      </c>
      <c r="D13055" t="s">
        <v>19039</v>
      </c>
      <c r="E13055" t="s">
        <v>30147</v>
      </c>
      <c r="F13055" t="s">
        <v>32606</v>
      </c>
      <c r="G13055" t="s">
        <v>32619</v>
      </c>
      <c r="H13055" t="s">
        <v>14201</v>
      </c>
      <c r="I13055" t="s">
        <v>32712</v>
      </c>
      <c r="J13055" t="s">
        <v>40844</v>
      </c>
      <c r="K13055" t="s">
        <v>42624</v>
      </c>
      <c r="M13055" t="s">
        <v>44952</v>
      </c>
      <c r="N13055" t="s">
        <v>47304</v>
      </c>
      <c r="O13055" t="s">
        <v>47305</v>
      </c>
      <c r="Q13055">
        <v>1</v>
      </c>
      <c r="R13055" t="s">
        <v>47320</v>
      </c>
      <c r="S13055" t="s">
        <v>47952</v>
      </c>
      <c r="T13055" t="s">
        <v>49002</v>
      </c>
      <c r="U13055" t="s">
        <v>60330</v>
      </c>
      <c r="W13055" t="s">
        <v>44952</v>
      </c>
      <c r="X13055" t="s">
        <v>47321</v>
      </c>
    </row>
    <row r="13056" spans="1:24">
      <c r="A13056">
        <f>HYPERLINK("https://www.philgeps.gov.ph/GEPSNONPILOT/Tender/SplashBidNoticeAbstractUI.aspx?menuIndex=3&amp;refID=7168761&amp;Result=3","7168761")</f>
        <v>0</v>
      </c>
      <c r="B13056" t="s">
        <v>738</v>
      </c>
      <c r="C13056" t="s">
        <v>16206</v>
      </c>
      <c r="D13056" t="s">
        <v>19004</v>
      </c>
      <c r="E13056" t="s">
        <v>30148</v>
      </c>
      <c r="F13056" t="s">
        <v>32606</v>
      </c>
      <c r="G13056" t="s">
        <v>32613</v>
      </c>
      <c r="H13056" t="s">
        <v>32623</v>
      </c>
      <c r="I13056" t="s">
        <v>17648</v>
      </c>
      <c r="J13056" t="s">
        <v>32770</v>
      </c>
      <c r="K13056" t="s">
        <v>42636</v>
      </c>
      <c r="M13056" t="s">
        <v>43661</v>
      </c>
      <c r="N13056" t="s">
        <v>47304</v>
      </c>
      <c r="O13056" t="s">
        <v>47305</v>
      </c>
      <c r="P13056">
        <v>0</v>
      </c>
      <c r="Q13056">
        <v>0</v>
      </c>
      <c r="R13056" t="s">
        <v>47320</v>
      </c>
      <c r="S13056" t="s">
        <v>47917</v>
      </c>
      <c r="T13056" t="s">
        <v>49071</v>
      </c>
      <c r="U13056" t="s">
        <v>60331</v>
      </c>
      <c r="W13056" t="s">
        <v>43661</v>
      </c>
      <c r="X13056" t="s">
        <v>47321</v>
      </c>
    </row>
    <row r="13057" spans="1:24">
      <c r="A13057">
        <f>HYPERLINK("https://www.philgeps.gov.ph/GEPSNONPILOT/Tender/SplashBidNoticeAbstractUI.aspx?menuIndex=3&amp;refID=7168534&amp;Result=3","7168534")</f>
        <v>0</v>
      </c>
      <c r="B13057" t="s">
        <v>321</v>
      </c>
      <c r="C13057" t="s">
        <v>16207</v>
      </c>
      <c r="D13057" t="s">
        <v>19048</v>
      </c>
      <c r="E13057" t="s">
        <v>30149</v>
      </c>
      <c r="F13057" t="s">
        <v>32606</v>
      </c>
      <c r="G13057" t="s">
        <v>32613</v>
      </c>
      <c r="H13057" t="s">
        <v>32623</v>
      </c>
      <c r="I13057" t="s">
        <v>17648</v>
      </c>
      <c r="J13057" t="s">
        <v>32830</v>
      </c>
      <c r="K13057" t="s">
        <v>42624</v>
      </c>
      <c r="M13057" t="s">
        <v>43223</v>
      </c>
      <c r="N13057" t="s">
        <v>47304</v>
      </c>
      <c r="O13057" t="s">
        <v>47305</v>
      </c>
      <c r="P13057">
        <v>0</v>
      </c>
      <c r="Q13057">
        <v>1</v>
      </c>
      <c r="R13057" t="s">
        <v>47320</v>
      </c>
      <c r="S13057" t="s">
        <v>47917</v>
      </c>
      <c r="T13057" t="s">
        <v>49023</v>
      </c>
      <c r="U13057" t="s">
        <v>60217</v>
      </c>
      <c r="W13057" t="s">
        <v>43223</v>
      </c>
      <c r="X13057" t="s">
        <v>47321</v>
      </c>
    </row>
    <row r="13058" spans="1:24">
      <c r="A13058">
        <f>HYPERLINK("https://www.philgeps.gov.ph/GEPSNONPILOT/Tender/SplashBidNoticeAbstractUI.aspx?menuIndex=3&amp;refID=7168758&amp;Result=3","7168758")</f>
        <v>0</v>
      </c>
      <c r="B13058" t="s">
        <v>321</v>
      </c>
      <c r="C13058" t="s">
        <v>16208</v>
      </c>
      <c r="D13058" t="s">
        <v>19048</v>
      </c>
      <c r="E13058" t="s">
        <v>30150</v>
      </c>
      <c r="F13058" t="s">
        <v>32606</v>
      </c>
      <c r="G13058" t="s">
        <v>32613</v>
      </c>
      <c r="H13058" t="s">
        <v>14201</v>
      </c>
      <c r="I13058" t="s">
        <v>32660</v>
      </c>
      <c r="J13058" t="s">
        <v>33273</v>
      </c>
      <c r="K13058" t="s">
        <v>42624</v>
      </c>
      <c r="M13058" t="s">
        <v>43223</v>
      </c>
      <c r="N13058" t="s">
        <v>47304</v>
      </c>
      <c r="O13058" t="s">
        <v>47305</v>
      </c>
      <c r="P13058">
        <v>0</v>
      </c>
      <c r="Q13058">
        <v>3</v>
      </c>
      <c r="R13058" t="s">
        <v>47320</v>
      </c>
      <c r="S13058" t="s">
        <v>47917</v>
      </c>
      <c r="T13058" t="s">
        <v>49023</v>
      </c>
      <c r="U13058" t="s">
        <v>60322</v>
      </c>
      <c r="W13058" t="s">
        <v>43223</v>
      </c>
      <c r="X13058" t="s">
        <v>47321</v>
      </c>
    </row>
    <row r="13059" spans="1:24">
      <c r="A13059">
        <f>HYPERLINK("https://www.philgeps.gov.ph/GEPSNONPILOT/Tender/SplashBidNoticeAbstractUI.aspx?menuIndex=3&amp;refID=7168011&amp;Result=3","7168011")</f>
        <v>0</v>
      </c>
      <c r="B13059" t="s">
        <v>243</v>
      </c>
      <c r="C13059" t="s">
        <v>16209</v>
      </c>
      <c r="D13059" t="s">
        <v>19027</v>
      </c>
      <c r="E13059" t="s">
        <v>30151</v>
      </c>
      <c r="F13059" t="s">
        <v>32606</v>
      </c>
      <c r="G13059" t="s">
        <v>32613</v>
      </c>
      <c r="H13059" t="s">
        <v>32623</v>
      </c>
      <c r="I13059" t="s">
        <v>17648</v>
      </c>
      <c r="J13059" t="s">
        <v>34264</v>
      </c>
      <c r="K13059" t="s">
        <v>42648</v>
      </c>
      <c r="M13059" t="s">
        <v>44391</v>
      </c>
      <c r="N13059" t="s">
        <v>47304</v>
      </c>
      <c r="O13059" t="s">
        <v>47305</v>
      </c>
      <c r="P13059">
        <v>0</v>
      </c>
      <c r="Q13059">
        <v>0</v>
      </c>
      <c r="R13059" t="s">
        <v>47320</v>
      </c>
      <c r="S13059" t="s">
        <v>47917</v>
      </c>
      <c r="T13059" t="s">
        <v>49037</v>
      </c>
      <c r="U13059" t="s">
        <v>60332</v>
      </c>
      <c r="W13059" t="s">
        <v>64471</v>
      </c>
      <c r="X13059" t="s">
        <v>47321</v>
      </c>
    </row>
    <row r="13060" spans="1:24">
      <c r="A13060">
        <f>HYPERLINK("https://www.philgeps.gov.ph/GEPSNONPILOT/Tender/SplashBidNoticeAbstractUI.aspx?menuIndex=3&amp;refID=7168558&amp;Result=3","7168558")</f>
        <v>0</v>
      </c>
      <c r="B13060" t="s">
        <v>1550</v>
      </c>
      <c r="C13060" t="s">
        <v>16210</v>
      </c>
      <c r="D13060" t="s">
        <v>19049</v>
      </c>
      <c r="E13060" t="s">
        <v>26623</v>
      </c>
      <c r="F13060" t="s">
        <v>32606</v>
      </c>
      <c r="G13060" t="s">
        <v>32613</v>
      </c>
      <c r="H13060" t="s">
        <v>14201</v>
      </c>
      <c r="I13060" t="s">
        <v>6931</v>
      </c>
      <c r="J13060" t="s">
        <v>36066</v>
      </c>
      <c r="K13060" t="s">
        <v>42623</v>
      </c>
      <c r="M13060" t="s">
        <v>44554</v>
      </c>
      <c r="N13060" t="s">
        <v>47304</v>
      </c>
      <c r="O13060" t="s">
        <v>47305</v>
      </c>
      <c r="P13060">
        <v>0</v>
      </c>
      <c r="Q13060">
        <v>1</v>
      </c>
      <c r="R13060" t="s">
        <v>47320</v>
      </c>
      <c r="S13060" t="s">
        <v>47917</v>
      </c>
      <c r="T13060" t="s">
        <v>49160</v>
      </c>
      <c r="U13060" t="s">
        <v>52968</v>
      </c>
      <c r="W13060" t="s">
        <v>44554</v>
      </c>
      <c r="X13060" t="s">
        <v>47321</v>
      </c>
    </row>
    <row r="13061" spans="1:24">
      <c r="A13061">
        <f>HYPERLINK("https://www.philgeps.gov.ph/GEPSNONPILOT/Tender/SplashBidNoticeAbstractUI.aspx?menuIndex=3&amp;refID=7168734&amp;Result=3","7168734")</f>
        <v>0</v>
      </c>
      <c r="B13061" t="s">
        <v>2434</v>
      </c>
      <c r="C13061" t="s">
        <v>16211</v>
      </c>
      <c r="D13061" t="s">
        <v>18994</v>
      </c>
      <c r="E13061" t="s">
        <v>30152</v>
      </c>
      <c r="F13061" t="s">
        <v>32606</v>
      </c>
      <c r="G13061" t="s">
        <v>32613</v>
      </c>
      <c r="H13061" t="s">
        <v>14201</v>
      </c>
      <c r="I13061" t="s">
        <v>6931</v>
      </c>
      <c r="J13061" t="s">
        <v>40845</v>
      </c>
      <c r="K13061" t="s">
        <v>42623</v>
      </c>
      <c r="M13061" t="s">
        <v>45560</v>
      </c>
      <c r="N13061" t="s">
        <v>47304</v>
      </c>
      <c r="O13061" t="s">
        <v>47305</v>
      </c>
      <c r="Q13061">
        <v>7</v>
      </c>
      <c r="R13061" t="s">
        <v>47320</v>
      </c>
      <c r="S13061" t="s">
        <v>47953</v>
      </c>
      <c r="T13061" t="s">
        <v>48996</v>
      </c>
      <c r="U13061" t="s">
        <v>60333</v>
      </c>
      <c r="W13061" t="s">
        <v>45560</v>
      </c>
      <c r="X13061" t="s">
        <v>47321</v>
      </c>
    </row>
    <row r="13062" spans="1:24">
      <c r="A13062">
        <f>HYPERLINK("https://www.philgeps.gov.ph/GEPSNONPILOT/Tender/SplashBidNoticeAbstractUI.aspx?menuIndex=3&amp;refID=7168765&amp;Result=3","7168765")</f>
        <v>0</v>
      </c>
      <c r="B13062" t="s">
        <v>1522</v>
      </c>
      <c r="C13062" t="s">
        <v>16212</v>
      </c>
      <c r="D13062" t="s">
        <v>19023</v>
      </c>
      <c r="E13062" t="s">
        <v>30153</v>
      </c>
      <c r="F13062" t="s">
        <v>32606</v>
      </c>
      <c r="G13062" t="s">
        <v>32613</v>
      </c>
      <c r="H13062" t="s">
        <v>14201</v>
      </c>
      <c r="I13062" t="s">
        <v>6931</v>
      </c>
      <c r="J13062" t="s">
        <v>40846</v>
      </c>
      <c r="K13062" t="s">
        <v>42631</v>
      </c>
      <c r="M13062" t="s">
        <v>46451</v>
      </c>
      <c r="N13062" t="s">
        <v>47304</v>
      </c>
      <c r="O13062" t="s">
        <v>47305</v>
      </c>
      <c r="P13062">
        <v>0</v>
      </c>
      <c r="Q13062">
        <v>4</v>
      </c>
      <c r="R13062" t="s">
        <v>47320</v>
      </c>
      <c r="S13062" t="s">
        <v>47917</v>
      </c>
      <c r="T13062" t="s">
        <v>49018</v>
      </c>
      <c r="U13062" t="s">
        <v>60334</v>
      </c>
      <c r="W13062" t="s">
        <v>46451</v>
      </c>
      <c r="X13062" t="s">
        <v>47321</v>
      </c>
    </row>
    <row r="13063" spans="1:24">
      <c r="A13063">
        <f>HYPERLINK("https://www.philgeps.gov.ph/GEPSNONPILOT/Tender/SplashBidNoticeAbstractUI.aspx?menuIndex=3&amp;refID=7168727&amp;Result=3","7168727")</f>
        <v>0</v>
      </c>
      <c r="B13063" t="s">
        <v>998</v>
      </c>
      <c r="C13063" t="s">
        <v>16213</v>
      </c>
      <c r="D13063" t="s">
        <v>19009</v>
      </c>
      <c r="E13063" t="s">
        <v>30154</v>
      </c>
      <c r="F13063" t="s">
        <v>32606</v>
      </c>
      <c r="G13063" t="s">
        <v>32613</v>
      </c>
      <c r="H13063" t="s">
        <v>14201</v>
      </c>
      <c r="I13063" t="s">
        <v>6931</v>
      </c>
      <c r="J13063" t="s">
        <v>40847</v>
      </c>
      <c r="K13063" t="s">
        <v>42668</v>
      </c>
      <c r="M13063" t="s">
        <v>43946</v>
      </c>
      <c r="N13063" t="s">
        <v>47304</v>
      </c>
      <c r="O13063" t="s">
        <v>47305</v>
      </c>
      <c r="P13063">
        <v>0</v>
      </c>
      <c r="Q13063">
        <v>0</v>
      </c>
      <c r="R13063" t="s">
        <v>47320</v>
      </c>
      <c r="S13063" t="s">
        <v>47917</v>
      </c>
      <c r="T13063" t="s">
        <v>48971</v>
      </c>
      <c r="U13063" t="s">
        <v>60335</v>
      </c>
      <c r="W13063" t="s">
        <v>43946</v>
      </c>
      <c r="X13063" t="s">
        <v>47321</v>
      </c>
    </row>
    <row r="13064" spans="1:24">
      <c r="A13064">
        <f>HYPERLINK("https://www.philgeps.gov.ph/GEPSNONPILOT/Tender/SplashBidNoticeAbstractUI.aspx?menuIndex=3&amp;refID=7168577&amp;Result=3","7168577")</f>
        <v>0</v>
      </c>
      <c r="B13064" t="s">
        <v>3082</v>
      </c>
      <c r="C13064" t="s">
        <v>16214</v>
      </c>
      <c r="D13064" t="s">
        <v>19041</v>
      </c>
      <c r="E13064" t="s">
        <v>30155</v>
      </c>
      <c r="F13064" t="s">
        <v>32606</v>
      </c>
      <c r="G13064" t="s">
        <v>32613</v>
      </c>
      <c r="H13064" t="s">
        <v>32623</v>
      </c>
      <c r="I13064" t="s">
        <v>17648</v>
      </c>
      <c r="J13064" t="s">
        <v>40848</v>
      </c>
      <c r="K13064" t="s">
        <v>42731</v>
      </c>
      <c r="M13064" t="s">
        <v>46283</v>
      </c>
      <c r="N13064" t="s">
        <v>47304</v>
      </c>
      <c r="O13064" t="s">
        <v>47305</v>
      </c>
      <c r="Q13064">
        <v>12</v>
      </c>
      <c r="R13064" t="s">
        <v>47320</v>
      </c>
      <c r="S13064" t="s">
        <v>47954</v>
      </c>
      <c r="T13064" t="s">
        <v>48998</v>
      </c>
      <c r="U13064" t="s">
        <v>60336</v>
      </c>
      <c r="W13064" t="s">
        <v>46283</v>
      </c>
      <c r="X13064" t="s">
        <v>47321</v>
      </c>
    </row>
    <row r="13065" spans="1:24">
      <c r="A13065">
        <f>HYPERLINK("https://www.philgeps.gov.ph/GEPSNONPILOT/Tender/SplashBidNoticeAbstractUI.aspx?menuIndex=3&amp;refID=7168720&amp;Result=3","7168720")</f>
        <v>0</v>
      </c>
      <c r="B13065" t="s">
        <v>3589</v>
      </c>
      <c r="C13065" t="s">
        <v>16215</v>
      </c>
      <c r="D13065" t="s">
        <v>18993</v>
      </c>
      <c r="E13065" t="s">
        <v>30156</v>
      </c>
      <c r="F13065" t="s">
        <v>32606</v>
      </c>
      <c r="G13065" t="s">
        <v>32613</v>
      </c>
      <c r="H13065" t="s">
        <v>32624</v>
      </c>
      <c r="I13065" t="s">
        <v>4369</v>
      </c>
      <c r="J13065" t="s">
        <v>40849</v>
      </c>
      <c r="K13065" t="s">
        <v>42653</v>
      </c>
      <c r="M13065" t="s">
        <v>46878</v>
      </c>
      <c r="N13065" t="s">
        <v>47304</v>
      </c>
      <c r="O13065" t="s">
        <v>47305</v>
      </c>
      <c r="P13065">
        <v>0</v>
      </c>
      <c r="Q13065">
        <v>25</v>
      </c>
      <c r="R13065" t="s">
        <v>47320</v>
      </c>
      <c r="S13065" t="s">
        <v>47917</v>
      </c>
      <c r="T13065" t="s">
        <v>49023</v>
      </c>
      <c r="U13065" t="s">
        <v>60337</v>
      </c>
      <c r="W13065" t="s">
        <v>46878</v>
      </c>
      <c r="X13065" t="s">
        <v>47321</v>
      </c>
    </row>
    <row r="13066" spans="1:24">
      <c r="A13066">
        <f>HYPERLINK("https://www.philgeps.gov.ph/GEPSNONPILOT/Tender/SplashBidNoticeAbstractUI.aspx?menuIndex=3&amp;refID=7168740&amp;Result=3","7168740")</f>
        <v>0</v>
      </c>
      <c r="B13066" t="s">
        <v>3590</v>
      </c>
      <c r="C13066" t="s">
        <v>16216</v>
      </c>
      <c r="D13066" t="s">
        <v>19024</v>
      </c>
      <c r="E13066" t="s">
        <v>30157</v>
      </c>
      <c r="F13066" t="s">
        <v>32606</v>
      </c>
      <c r="G13066" t="s">
        <v>32613</v>
      </c>
      <c r="H13066" t="s">
        <v>14201</v>
      </c>
      <c r="I13066" t="s">
        <v>7064</v>
      </c>
      <c r="J13066" t="s">
        <v>32778</v>
      </c>
      <c r="K13066" t="s">
        <v>42631</v>
      </c>
      <c r="M13066" t="s">
        <v>46879</v>
      </c>
      <c r="N13066" t="s">
        <v>47304</v>
      </c>
      <c r="O13066" t="s">
        <v>47305</v>
      </c>
      <c r="P13066">
        <v>0</v>
      </c>
      <c r="Q13066">
        <v>1</v>
      </c>
      <c r="R13066" t="s">
        <v>47320</v>
      </c>
      <c r="S13066" t="s">
        <v>47917</v>
      </c>
      <c r="T13066" t="s">
        <v>48971</v>
      </c>
      <c r="U13066" t="s">
        <v>60338</v>
      </c>
      <c r="W13066" t="s">
        <v>46879</v>
      </c>
      <c r="X13066" t="s">
        <v>47321</v>
      </c>
    </row>
    <row r="13067" spans="1:24">
      <c r="A13067">
        <f>HYPERLINK("https://www.philgeps.gov.ph/GEPSNONPILOT/Tender/SplashBidNoticeAbstractUI.aspx?menuIndex=3&amp;refID=7168713&amp;Result=3","7168713")</f>
        <v>0</v>
      </c>
      <c r="B13067" t="s">
        <v>3082</v>
      </c>
      <c r="C13067" t="s">
        <v>16217</v>
      </c>
      <c r="D13067" t="s">
        <v>19041</v>
      </c>
      <c r="E13067" t="s">
        <v>30158</v>
      </c>
      <c r="F13067" t="s">
        <v>32606</v>
      </c>
      <c r="G13067" t="s">
        <v>32613</v>
      </c>
      <c r="H13067" t="s">
        <v>32623</v>
      </c>
      <c r="I13067" t="s">
        <v>17648</v>
      </c>
      <c r="J13067" t="s">
        <v>40850</v>
      </c>
      <c r="K13067" t="s">
        <v>42651</v>
      </c>
      <c r="M13067" t="s">
        <v>46283</v>
      </c>
      <c r="N13067" t="s">
        <v>47304</v>
      </c>
      <c r="O13067" t="s">
        <v>47305</v>
      </c>
      <c r="Q13067">
        <v>12</v>
      </c>
      <c r="R13067" t="s">
        <v>47320</v>
      </c>
      <c r="S13067" t="s">
        <v>47955</v>
      </c>
      <c r="T13067" t="s">
        <v>48998</v>
      </c>
      <c r="U13067" t="s">
        <v>60318</v>
      </c>
      <c r="W13067" t="s">
        <v>46283</v>
      </c>
      <c r="X13067" t="s">
        <v>47321</v>
      </c>
    </row>
    <row r="13068" spans="1:24">
      <c r="A13068">
        <f>HYPERLINK("https://www.philgeps.gov.ph/GEPSNONPILOT/Tender/SplashBidNoticeAbstractUI.aspx?menuIndex=3&amp;refID=7168757&amp;Result=3","7168757")</f>
        <v>0</v>
      </c>
      <c r="B13068" t="s">
        <v>3591</v>
      </c>
      <c r="C13068" t="s">
        <v>16218</v>
      </c>
      <c r="D13068" t="s">
        <v>18993</v>
      </c>
      <c r="E13068" t="s">
        <v>30159</v>
      </c>
      <c r="F13068" t="s">
        <v>32606</v>
      </c>
      <c r="G13068" t="s">
        <v>32614</v>
      </c>
      <c r="H13068" t="s">
        <v>14201</v>
      </c>
      <c r="I13068" t="s">
        <v>32640</v>
      </c>
      <c r="J13068" t="s">
        <v>32820</v>
      </c>
      <c r="K13068" t="s">
        <v>42623</v>
      </c>
      <c r="M13068" t="s">
        <v>46880</v>
      </c>
      <c r="N13068" t="s">
        <v>47304</v>
      </c>
      <c r="O13068" t="s">
        <v>47305</v>
      </c>
      <c r="P13068">
        <v>0</v>
      </c>
      <c r="Q13068">
        <v>2</v>
      </c>
      <c r="R13068" t="s">
        <v>47320</v>
      </c>
      <c r="S13068" t="s">
        <v>47917</v>
      </c>
      <c r="T13068" t="s">
        <v>49269</v>
      </c>
      <c r="U13068" t="s">
        <v>60339</v>
      </c>
      <c r="W13068" t="s">
        <v>46880</v>
      </c>
      <c r="X13068" t="s">
        <v>47321</v>
      </c>
    </row>
    <row r="13069" spans="1:24">
      <c r="A13069">
        <f>HYPERLINK("https://www.philgeps.gov.ph/GEPSNONPILOT/Tender/SplashBidNoticeAbstractUI.aspx?menuIndex=3&amp;refID=7168709&amp;Result=3","7168709")</f>
        <v>0</v>
      </c>
      <c r="B13069" t="s">
        <v>3533</v>
      </c>
      <c r="C13069" t="s">
        <v>16219</v>
      </c>
      <c r="D13069" t="s">
        <v>19014</v>
      </c>
      <c r="E13069" t="s">
        <v>30160</v>
      </c>
      <c r="F13069" t="s">
        <v>32606</v>
      </c>
      <c r="G13069" t="s">
        <v>32613</v>
      </c>
      <c r="H13069" t="s">
        <v>14201</v>
      </c>
      <c r="I13069" t="s">
        <v>13131</v>
      </c>
      <c r="J13069" t="s">
        <v>32772</v>
      </c>
      <c r="K13069" t="s">
        <v>42631</v>
      </c>
      <c r="L13069" t="s">
        <v>3533</v>
      </c>
      <c r="M13069" t="s">
        <v>46806</v>
      </c>
      <c r="N13069" t="s">
        <v>47304</v>
      </c>
      <c r="O13069" t="s">
        <v>47305</v>
      </c>
      <c r="P13069">
        <v>0</v>
      </c>
      <c r="Q13069">
        <v>20</v>
      </c>
      <c r="R13069" t="s">
        <v>47320</v>
      </c>
      <c r="S13069" t="s">
        <v>47917</v>
      </c>
      <c r="T13069" t="s">
        <v>49267</v>
      </c>
      <c r="U13069" t="s">
        <v>60340</v>
      </c>
      <c r="V13069" t="s">
        <v>64025</v>
      </c>
      <c r="W13069" t="s">
        <v>46806</v>
      </c>
      <c r="X13069" t="s">
        <v>47321</v>
      </c>
    </row>
    <row r="13070" spans="1:24">
      <c r="A13070">
        <f>HYPERLINK("https://www.philgeps.gov.ph/GEPSNONPILOT/Tender/SplashBidNoticeAbstractUI.aspx?menuIndex=3&amp;refID=7168699&amp;Result=3","7168699")</f>
        <v>0</v>
      </c>
      <c r="B13070" t="s">
        <v>3137</v>
      </c>
      <c r="C13070" t="s">
        <v>16220</v>
      </c>
      <c r="E13070" t="s">
        <v>30161</v>
      </c>
      <c r="F13070" t="s">
        <v>32606</v>
      </c>
      <c r="G13070" t="s">
        <v>32613</v>
      </c>
      <c r="H13070" t="s">
        <v>32623</v>
      </c>
      <c r="I13070" t="s">
        <v>17648</v>
      </c>
      <c r="J13070" t="s">
        <v>40851</v>
      </c>
      <c r="K13070" t="s">
        <v>42877</v>
      </c>
      <c r="M13070" t="s">
        <v>46350</v>
      </c>
      <c r="N13070" t="s">
        <v>47304</v>
      </c>
      <c r="O13070" t="s">
        <v>47305</v>
      </c>
      <c r="P13070">
        <v>0</v>
      </c>
      <c r="Q13070">
        <v>7</v>
      </c>
      <c r="R13070" t="s">
        <v>47320</v>
      </c>
      <c r="S13070" t="s">
        <v>47917</v>
      </c>
      <c r="T13070" t="s">
        <v>48986</v>
      </c>
      <c r="U13070" t="s">
        <v>60341</v>
      </c>
      <c r="V13070" t="s">
        <v>64076</v>
      </c>
      <c r="W13070" t="s">
        <v>46350</v>
      </c>
      <c r="X13070" t="s">
        <v>47321</v>
      </c>
    </row>
    <row r="13071" spans="1:24">
      <c r="A13071">
        <f>HYPERLINK("https://www.philgeps.gov.ph/GEPSNONPILOT/Tender/SplashBidNoticeAbstractUI.aspx?menuIndex=3&amp;refID=7168667&amp;Result=3","7168667")</f>
        <v>0</v>
      </c>
      <c r="B13071" t="s">
        <v>3533</v>
      </c>
      <c r="C13071" t="s">
        <v>10005</v>
      </c>
      <c r="D13071" t="s">
        <v>19014</v>
      </c>
      <c r="E13071" t="s">
        <v>20176</v>
      </c>
      <c r="F13071" t="s">
        <v>32606</v>
      </c>
      <c r="G13071" t="s">
        <v>32613</v>
      </c>
      <c r="H13071" t="s">
        <v>14201</v>
      </c>
      <c r="I13071" t="s">
        <v>32686</v>
      </c>
      <c r="J13071" t="s">
        <v>33449</v>
      </c>
      <c r="K13071" t="s">
        <v>42631</v>
      </c>
      <c r="L13071" t="s">
        <v>3533</v>
      </c>
      <c r="M13071" t="s">
        <v>46806</v>
      </c>
      <c r="N13071" t="s">
        <v>47304</v>
      </c>
      <c r="O13071" t="s">
        <v>47305</v>
      </c>
      <c r="P13071">
        <v>0</v>
      </c>
      <c r="Q13071">
        <v>15</v>
      </c>
      <c r="R13071" t="s">
        <v>47320</v>
      </c>
      <c r="S13071" t="s">
        <v>47917</v>
      </c>
      <c r="T13071" t="s">
        <v>49267</v>
      </c>
      <c r="U13071" t="s">
        <v>60342</v>
      </c>
      <c r="V13071" t="s">
        <v>64025</v>
      </c>
      <c r="W13071" t="s">
        <v>46806</v>
      </c>
      <c r="X13071" t="s">
        <v>47321</v>
      </c>
    </row>
    <row r="13072" spans="1:24">
      <c r="A13072">
        <f>HYPERLINK("https://www.philgeps.gov.ph/GEPSNONPILOT/Tender/SplashBidNoticeAbstractUI.aspx?menuIndex=3&amp;refID=7168532&amp;Result=3","7168532")</f>
        <v>0</v>
      </c>
      <c r="B13072" t="s">
        <v>2434</v>
      </c>
      <c r="C13072" t="s">
        <v>16221</v>
      </c>
      <c r="D13072" t="s">
        <v>18994</v>
      </c>
      <c r="E13072" t="s">
        <v>30162</v>
      </c>
      <c r="F13072" t="s">
        <v>32606</v>
      </c>
      <c r="G13072" t="s">
        <v>32613</v>
      </c>
      <c r="H13072" t="s">
        <v>14201</v>
      </c>
      <c r="I13072" t="s">
        <v>4114</v>
      </c>
      <c r="J13072" t="s">
        <v>40852</v>
      </c>
      <c r="K13072" t="s">
        <v>42623</v>
      </c>
      <c r="M13072" t="s">
        <v>45560</v>
      </c>
      <c r="N13072" t="s">
        <v>47304</v>
      </c>
      <c r="O13072" t="s">
        <v>47305</v>
      </c>
      <c r="Q13072">
        <v>7</v>
      </c>
      <c r="R13072" t="s">
        <v>47320</v>
      </c>
      <c r="S13072" t="s">
        <v>47956</v>
      </c>
      <c r="T13072" t="s">
        <v>48996</v>
      </c>
      <c r="U13072" t="s">
        <v>60343</v>
      </c>
      <c r="W13072" t="s">
        <v>45560</v>
      </c>
      <c r="X13072" t="s">
        <v>47321</v>
      </c>
    </row>
    <row r="13073" spans="1:24">
      <c r="A13073">
        <f>HYPERLINK("https://www.philgeps.gov.ph/GEPSNONPILOT/Tender/SplashBidNoticeAbstractUI.aspx?menuIndex=3&amp;refID=7168728&amp;Result=3","7168728")</f>
        <v>0</v>
      </c>
      <c r="B13073" t="s">
        <v>3592</v>
      </c>
      <c r="C13073" t="s">
        <v>16222</v>
      </c>
      <c r="D13073" t="s">
        <v>19010</v>
      </c>
      <c r="E13073" t="s">
        <v>30163</v>
      </c>
      <c r="F13073" t="s">
        <v>32606</v>
      </c>
      <c r="G13073" t="s">
        <v>32613</v>
      </c>
      <c r="H13073" t="s">
        <v>14201</v>
      </c>
      <c r="I13073" t="s">
        <v>6931</v>
      </c>
      <c r="J13073" t="s">
        <v>40853</v>
      </c>
      <c r="K13073" t="s">
        <v>42638</v>
      </c>
      <c r="M13073" t="s">
        <v>46881</v>
      </c>
      <c r="N13073" t="s">
        <v>47304</v>
      </c>
      <c r="O13073" t="s">
        <v>47305</v>
      </c>
      <c r="P13073">
        <v>0</v>
      </c>
      <c r="Q13073">
        <v>1</v>
      </c>
      <c r="R13073" t="s">
        <v>47320</v>
      </c>
      <c r="S13073" t="s">
        <v>47917</v>
      </c>
      <c r="T13073" t="s">
        <v>48987</v>
      </c>
      <c r="U13073" t="s">
        <v>60344</v>
      </c>
      <c r="V13073" t="s">
        <v>64077</v>
      </c>
      <c r="W13073" t="s">
        <v>46881</v>
      </c>
      <c r="X13073" t="s">
        <v>47321</v>
      </c>
    </row>
    <row r="13074" spans="1:24">
      <c r="A13074">
        <f>HYPERLINK("https://www.philgeps.gov.ph/GEPSNONPILOT/Tender/SplashBidNoticeAbstractUI.aspx?menuIndex=3&amp;refID=7168670&amp;Result=3","7168670")</f>
        <v>0</v>
      </c>
      <c r="B13074" t="s">
        <v>976</v>
      </c>
      <c r="C13074" t="s">
        <v>16223</v>
      </c>
      <c r="D13074" t="s">
        <v>19007</v>
      </c>
      <c r="E13074" t="s">
        <v>30164</v>
      </c>
      <c r="F13074" t="s">
        <v>32606</v>
      </c>
      <c r="G13074" t="s">
        <v>32613</v>
      </c>
      <c r="H13074" t="s">
        <v>32623</v>
      </c>
      <c r="I13074" t="s">
        <v>17648</v>
      </c>
      <c r="J13074" t="s">
        <v>40854</v>
      </c>
      <c r="K13074" t="s">
        <v>42636</v>
      </c>
      <c r="M13074" t="s">
        <v>43922</v>
      </c>
      <c r="N13074" t="s">
        <v>47304</v>
      </c>
      <c r="O13074" t="s">
        <v>47305</v>
      </c>
      <c r="P13074">
        <v>0</v>
      </c>
      <c r="Q13074">
        <v>0</v>
      </c>
      <c r="R13074" t="s">
        <v>47320</v>
      </c>
      <c r="S13074" t="s">
        <v>47917</v>
      </c>
      <c r="T13074" t="s">
        <v>49016</v>
      </c>
      <c r="U13074" t="s">
        <v>60345</v>
      </c>
      <c r="W13074" t="s">
        <v>43922</v>
      </c>
      <c r="X13074" t="s">
        <v>47321</v>
      </c>
    </row>
    <row r="13075" spans="1:24">
      <c r="A13075">
        <f>HYPERLINK("https://www.philgeps.gov.ph/GEPSNONPILOT/Tender/SplashBidNoticeAbstractUI.aspx?menuIndex=3&amp;refID=7168715&amp;Result=3","7168715")</f>
        <v>0</v>
      </c>
      <c r="B13075" t="s">
        <v>3593</v>
      </c>
      <c r="C13075" t="s">
        <v>16224</v>
      </c>
      <c r="D13075" t="s">
        <v>19070</v>
      </c>
      <c r="E13075" t="s">
        <v>30165</v>
      </c>
      <c r="F13075" t="s">
        <v>32606</v>
      </c>
      <c r="G13075" t="s">
        <v>32613</v>
      </c>
      <c r="H13075" t="s">
        <v>32623</v>
      </c>
      <c r="I13075" t="s">
        <v>17648</v>
      </c>
      <c r="J13075" t="s">
        <v>32767</v>
      </c>
      <c r="K13075" t="s">
        <v>42822</v>
      </c>
      <c r="M13075" t="s">
        <v>46882</v>
      </c>
      <c r="N13075" t="s">
        <v>47304</v>
      </c>
      <c r="O13075" t="s">
        <v>47305</v>
      </c>
      <c r="P13075">
        <v>0</v>
      </c>
      <c r="Q13075">
        <v>0</v>
      </c>
      <c r="R13075" t="s">
        <v>47320</v>
      </c>
      <c r="S13075" t="s">
        <v>47917</v>
      </c>
      <c r="T13075" t="s">
        <v>49219</v>
      </c>
      <c r="U13075" t="s">
        <v>60346</v>
      </c>
      <c r="W13075" t="s">
        <v>46882</v>
      </c>
      <c r="X13075" t="s">
        <v>47321</v>
      </c>
    </row>
    <row r="13076" spans="1:24">
      <c r="A13076">
        <f>HYPERLINK("https://www.philgeps.gov.ph/GEPSNONPILOT/Tender/SplashBidNoticeAbstractUI.aspx?menuIndex=3&amp;refID=7168509&amp;Result=3","7168509")</f>
        <v>0</v>
      </c>
      <c r="B13076" t="s">
        <v>2373</v>
      </c>
      <c r="C13076" t="s">
        <v>16225</v>
      </c>
      <c r="D13076" t="s">
        <v>19031</v>
      </c>
      <c r="E13076" t="s">
        <v>19392</v>
      </c>
      <c r="F13076" t="s">
        <v>32606</v>
      </c>
      <c r="G13076" t="s">
        <v>32613</v>
      </c>
      <c r="H13076" t="s">
        <v>14201</v>
      </c>
      <c r="I13076" t="s">
        <v>32687</v>
      </c>
      <c r="J13076" t="s">
        <v>34252</v>
      </c>
      <c r="K13076" t="s">
        <v>42631</v>
      </c>
      <c r="M13076" t="s">
        <v>45488</v>
      </c>
      <c r="N13076" t="s">
        <v>47304</v>
      </c>
      <c r="O13076" t="s">
        <v>47305</v>
      </c>
      <c r="Q13076">
        <v>9</v>
      </c>
      <c r="R13076" t="s">
        <v>47320</v>
      </c>
      <c r="S13076" t="s">
        <v>47957</v>
      </c>
      <c r="T13076" t="s">
        <v>49213</v>
      </c>
      <c r="U13076" t="s">
        <v>60347</v>
      </c>
      <c r="W13076" t="s">
        <v>45488</v>
      </c>
      <c r="X13076" t="s">
        <v>47321</v>
      </c>
    </row>
    <row r="13077" spans="1:24">
      <c r="A13077">
        <f>HYPERLINK("https://www.philgeps.gov.ph/GEPSNONPILOT/Tender/SplashBidNoticeAbstractUI.aspx?menuIndex=3&amp;refID=7168529&amp;Result=3","7168529")</f>
        <v>0</v>
      </c>
      <c r="B13077" t="s">
        <v>3533</v>
      </c>
      <c r="C13077" t="s">
        <v>16226</v>
      </c>
      <c r="D13077" t="s">
        <v>19014</v>
      </c>
      <c r="E13077" t="s">
        <v>19833</v>
      </c>
      <c r="F13077" t="s">
        <v>32606</v>
      </c>
      <c r="G13077" t="s">
        <v>32613</v>
      </c>
      <c r="H13077" t="s">
        <v>14201</v>
      </c>
      <c r="I13077" t="s">
        <v>6931</v>
      </c>
      <c r="J13077" t="s">
        <v>40836</v>
      </c>
      <c r="K13077" t="s">
        <v>42631</v>
      </c>
      <c r="L13077" t="s">
        <v>3533</v>
      </c>
      <c r="M13077" t="s">
        <v>46806</v>
      </c>
      <c r="N13077" t="s">
        <v>47304</v>
      </c>
      <c r="O13077" t="s">
        <v>47305</v>
      </c>
      <c r="P13077">
        <v>0</v>
      </c>
      <c r="Q13077">
        <v>49</v>
      </c>
      <c r="R13077" t="s">
        <v>47320</v>
      </c>
      <c r="S13077" t="s">
        <v>47917</v>
      </c>
      <c r="T13077" t="s">
        <v>49267</v>
      </c>
      <c r="U13077" t="s">
        <v>54796</v>
      </c>
      <c r="V13077" t="s">
        <v>64025</v>
      </c>
      <c r="W13077" t="s">
        <v>46806</v>
      </c>
      <c r="X13077" t="s">
        <v>47321</v>
      </c>
    </row>
    <row r="13078" spans="1:24">
      <c r="A13078">
        <f>HYPERLINK("https://www.philgeps.gov.ph/GEPSNONPILOT/Tender/SplashBidNoticeAbstractUI.aspx?menuIndex=3&amp;refID=7161982&amp;Result=3","7161982")</f>
        <v>0</v>
      </c>
      <c r="B13078" t="s">
        <v>204</v>
      </c>
      <c r="C13078" t="s">
        <v>16227</v>
      </c>
      <c r="D13078" t="s">
        <v>18989</v>
      </c>
      <c r="E13078" t="s">
        <v>19310</v>
      </c>
      <c r="F13078" t="s">
        <v>32606</v>
      </c>
      <c r="G13078" t="s">
        <v>32613</v>
      </c>
      <c r="H13078" t="s">
        <v>32623</v>
      </c>
      <c r="I13078" t="s">
        <v>17648</v>
      </c>
      <c r="J13078" t="s">
        <v>40855</v>
      </c>
      <c r="K13078" t="s">
        <v>42646</v>
      </c>
      <c r="M13078" t="s">
        <v>43105</v>
      </c>
      <c r="N13078" t="s">
        <v>47304</v>
      </c>
      <c r="O13078" t="s">
        <v>47305</v>
      </c>
      <c r="P13078">
        <v>0</v>
      </c>
      <c r="Q13078">
        <v>0</v>
      </c>
      <c r="R13078" t="s">
        <v>47320</v>
      </c>
      <c r="S13078" t="s">
        <v>47917</v>
      </c>
      <c r="T13078" t="s">
        <v>49023</v>
      </c>
      <c r="U13078" t="s">
        <v>60348</v>
      </c>
      <c r="W13078" t="s">
        <v>43105</v>
      </c>
      <c r="X13078" t="s">
        <v>47325</v>
      </c>
    </row>
    <row r="13079" spans="1:24">
      <c r="A13079">
        <f>HYPERLINK("https://www.philgeps.gov.ph/GEPSNONPILOT/Tender/SplashBidNoticeAbstractUI.aspx?menuIndex=3&amp;refID=7168583&amp;Result=3","7168583")</f>
        <v>0</v>
      </c>
      <c r="B13079" t="s">
        <v>2346</v>
      </c>
      <c r="C13079" t="s">
        <v>16228</v>
      </c>
      <c r="D13079" t="s">
        <v>19001</v>
      </c>
      <c r="E13079" t="s">
        <v>30166</v>
      </c>
      <c r="F13079" t="s">
        <v>32606</v>
      </c>
      <c r="G13079" t="s">
        <v>32613</v>
      </c>
      <c r="H13079" t="s">
        <v>14201</v>
      </c>
      <c r="I13079" t="s">
        <v>7064</v>
      </c>
      <c r="J13079" t="s">
        <v>33846</v>
      </c>
      <c r="K13079" t="s">
        <v>42631</v>
      </c>
      <c r="M13079" t="s">
        <v>45456</v>
      </c>
      <c r="N13079" t="s">
        <v>47304</v>
      </c>
      <c r="O13079" t="s">
        <v>47305</v>
      </c>
      <c r="P13079">
        <v>0</v>
      </c>
      <c r="Q13079">
        <v>4</v>
      </c>
      <c r="R13079" t="s">
        <v>47320</v>
      </c>
      <c r="S13079" t="s">
        <v>47917</v>
      </c>
      <c r="T13079" t="s">
        <v>49108</v>
      </c>
      <c r="U13079" t="s">
        <v>60349</v>
      </c>
      <c r="V13079" t="s">
        <v>63332</v>
      </c>
      <c r="W13079" t="s">
        <v>45456</v>
      </c>
      <c r="X13079" t="s">
        <v>47321</v>
      </c>
    </row>
    <row r="13080" spans="1:24">
      <c r="A13080">
        <f>HYPERLINK("https://www.philgeps.gov.ph/GEPSNONPILOT/Tender/SplashBidNoticeAbstractUI.aspx?menuIndex=3&amp;refID=7168524&amp;Result=3","7168524")</f>
        <v>0</v>
      </c>
      <c r="B13080" t="s">
        <v>567</v>
      </c>
      <c r="C13080" t="s">
        <v>16229</v>
      </c>
      <c r="E13080" t="s">
        <v>30167</v>
      </c>
      <c r="F13080" t="s">
        <v>32606</v>
      </c>
      <c r="G13080" t="s">
        <v>32613</v>
      </c>
      <c r="H13080" t="s">
        <v>14201</v>
      </c>
      <c r="I13080" t="s">
        <v>32638</v>
      </c>
      <c r="J13080" t="s">
        <v>40856</v>
      </c>
      <c r="K13080" t="s">
        <v>42624</v>
      </c>
      <c r="M13080" t="s">
        <v>43482</v>
      </c>
      <c r="N13080" t="s">
        <v>47304</v>
      </c>
      <c r="O13080" t="s">
        <v>47305</v>
      </c>
      <c r="P13080">
        <v>0</v>
      </c>
      <c r="Q13080">
        <v>20</v>
      </c>
      <c r="R13080" t="s">
        <v>47320</v>
      </c>
      <c r="S13080" t="s">
        <v>47917</v>
      </c>
      <c r="T13080" t="s">
        <v>48976</v>
      </c>
      <c r="U13080" t="s">
        <v>60350</v>
      </c>
      <c r="V13080" t="s">
        <v>64078</v>
      </c>
      <c r="W13080" t="s">
        <v>43482</v>
      </c>
      <c r="X13080" t="s">
        <v>47321</v>
      </c>
    </row>
    <row r="13081" spans="1:24">
      <c r="A13081">
        <f>HYPERLINK("https://www.philgeps.gov.ph/GEPSNONPILOT/Tender/SplashBidNoticeAbstractUI.aspx?menuIndex=3&amp;refID=7160934&amp;Result=3","7160934")</f>
        <v>0</v>
      </c>
      <c r="B13081" t="s">
        <v>3594</v>
      </c>
      <c r="C13081" t="s">
        <v>16230</v>
      </c>
      <c r="D13081" t="s">
        <v>19018</v>
      </c>
      <c r="E13081" t="s">
        <v>19315</v>
      </c>
      <c r="F13081" t="s">
        <v>32606</v>
      </c>
      <c r="G13081" t="s">
        <v>32613</v>
      </c>
      <c r="H13081" t="s">
        <v>32623</v>
      </c>
      <c r="I13081" t="s">
        <v>17648</v>
      </c>
      <c r="J13081" t="s">
        <v>34539</v>
      </c>
      <c r="K13081" t="s">
        <v>42623</v>
      </c>
      <c r="M13081" t="s">
        <v>46883</v>
      </c>
      <c r="N13081" t="s">
        <v>47304</v>
      </c>
      <c r="O13081" t="s">
        <v>47305</v>
      </c>
      <c r="P13081">
        <v>0</v>
      </c>
      <c r="Q13081">
        <v>0</v>
      </c>
      <c r="R13081" t="s">
        <v>47320</v>
      </c>
      <c r="S13081" t="s">
        <v>47917</v>
      </c>
      <c r="T13081" t="s">
        <v>49023</v>
      </c>
      <c r="U13081" t="s">
        <v>60351</v>
      </c>
      <c r="W13081" t="s">
        <v>46883</v>
      </c>
      <c r="X13081" t="s">
        <v>47326</v>
      </c>
    </row>
    <row r="13082" spans="1:24">
      <c r="A13082">
        <f>HYPERLINK("https://www.philgeps.gov.ph/GEPSNONPILOT/Tender/SplashBidNoticeAbstractUI.aspx?menuIndex=3&amp;refID=7168718&amp;Result=3","7168718")</f>
        <v>0</v>
      </c>
      <c r="B13082" t="s">
        <v>383</v>
      </c>
      <c r="C13082" t="s">
        <v>4572</v>
      </c>
      <c r="E13082" t="s">
        <v>30168</v>
      </c>
      <c r="F13082" t="s">
        <v>32606</v>
      </c>
      <c r="G13082" t="s">
        <v>32613</v>
      </c>
      <c r="H13082" t="s">
        <v>14201</v>
      </c>
      <c r="I13082" t="s">
        <v>32629</v>
      </c>
      <c r="J13082" t="s">
        <v>40857</v>
      </c>
      <c r="K13082" t="s">
        <v>42624</v>
      </c>
      <c r="M13082" t="s">
        <v>43286</v>
      </c>
      <c r="N13082" t="s">
        <v>47304</v>
      </c>
      <c r="O13082" t="s">
        <v>47305</v>
      </c>
      <c r="P13082">
        <v>0</v>
      </c>
      <c r="Q13082">
        <v>0</v>
      </c>
      <c r="R13082" t="s">
        <v>47320</v>
      </c>
      <c r="S13082" t="s">
        <v>47917</v>
      </c>
      <c r="T13082" t="s">
        <v>49102</v>
      </c>
      <c r="U13082" t="s">
        <v>50227</v>
      </c>
      <c r="W13082" t="s">
        <v>43286</v>
      </c>
      <c r="X13082" t="s">
        <v>47321</v>
      </c>
    </row>
    <row r="13083" spans="1:24">
      <c r="A13083">
        <f>HYPERLINK("https://www.philgeps.gov.ph/GEPSNONPILOT/Tender/SplashBidNoticeAbstractUI.aspx?menuIndex=3&amp;refID=7160536&amp;Result=3","7160536")</f>
        <v>0</v>
      </c>
      <c r="B13083" t="s">
        <v>1250</v>
      </c>
      <c r="C13083" t="s">
        <v>16231</v>
      </c>
      <c r="D13083" t="s">
        <v>19044</v>
      </c>
      <c r="E13083" t="s">
        <v>30169</v>
      </c>
      <c r="F13083" t="s">
        <v>32606</v>
      </c>
      <c r="G13083" t="s">
        <v>32613</v>
      </c>
      <c r="H13083" t="s">
        <v>14201</v>
      </c>
      <c r="I13083" t="s">
        <v>7064</v>
      </c>
      <c r="J13083" t="s">
        <v>32830</v>
      </c>
      <c r="K13083" t="s">
        <v>42630</v>
      </c>
      <c r="M13083" t="s">
        <v>46851</v>
      </c>
      <c r="N13083" t="s">
        <v>47304</v>
      </c>
      <c r="O13083" t="s">
        <v>47305</v>
      </c>
      <c r="P13083">
        <v>0</v>
      </c>
      <c r="Q13083">
        <v>6</v>
      </c>
      <c r="R13083" t="s">
        <v>47320</v>
      </c>
      <c r="S13083" t="s">
        <v>47917</v>
      </c>
      <c r="T13083" t="s">
        <v>49011</v>
      </c>
      <c r="U13083" t="s">
        <v>60352</v>
      </c>
      <c r="W13083" t="s">
        <v>46851</v>
      </c>
      <c r="X13083" t="s">
        <v>47326</v>
      </c>
    </row>
    <row r="13084" spans="1:24">
      <c r="A13084">
        <f>HYPERLINK("https://www.philgeps.gov.ph/GEPSNONPILOT/Tender/SplashBidNoticeAbstractUI.aspx?menuIndex=3&amp;refID=7162177&amp;Result=3","7162177")</f>
        <v>0</v>
      </c>
      <c r="B13084" t="s">
        <v>56</v>
      </c>
      <c r="C13084" t="s">
        <v>16232</v>
      </c>
      <c r="D13084" t="s">
        <v>19009</v>
      </c>
      <c r="E13084" t="s">
        <v>30170</v>
      </c>
      <c r="F13084" t="s">
        <v>32606</v>
      </c>
      <c r="G13084" t="s">
        <v>32613</v>
      </c>
      <c r="H13084" t="s">
        <v>14201</v>
      </c>
      <c r="I13084" t="s">
        <v>7064</v>
      </c>
      <c r="J13084" t="s">
        <v>34128</v>
      </c>
      <c r="K13084" t="s">
        <v>42694</v>
      </c>
      <c r="M13084" t="s">
        <v>42953</v>
      </c>
      <c r="N13084" t="s">
        <v>47304</v>
      </c>
      <c r="O13084" t="s">
        <v>47305</v>
      </c>
      <c r="P13084">
        <v>0</v>
      </c>
      <c r="Q13084">
        <v>4</v>
      </c>
      <c r="R13084" t="s">
        <v>47320</v>
      </c>
      <c r="S13084" t="s">
        <v>47917</v>
      </c>
      <c r="T13084" t="s">
        <v>48996</v>
      </c>
      <c r="U13084" t="s">
        <v>60353</v>
      </c>
      <c r="W13084" t="s">
        <v>42953</v>
      </c>
      <c r="X13084" t="s">
        <v>47325</v>
      </c>
    </row>
    <row r="13085" spans="1:24">
      <c r="A13085">
        <f>HYPERLINK("https://www.philgeps.gov.ph/GEPSNONPILOT/Tender/SplashBidNoticeAbstractUI.aspx?menuIndex=3&amp;refID=7168933&amp;Result=3","7168933")</f>
        <v>0</v>
      </c>
      <c r="B13085" t="s">
        <v>726</v>
      </c>
      <c r="C13085" t="s">
        <v>16233</v>
      </c>
      <c r="D13085" t="s">
        <v>19009</v>
      </c>
      <c r="E13085" t="s">
        <v>30171</v>
      </c>
      <c r="F13085" t="s">
        <v>32606</v>
      </c>
      <c r="G13085" t="s">
        <v>32613</v>
      </c>
      <c r="H13085" t="s">
        <v>14201</v>
      </c>
      <c r="I13085" t="s">
        <v>32633</v>
      </c>
      <c r="J13085" t="s">
        <v>40858</v>
      </c>
      <c r="K13085" t="s">
        <v>42623</v>
      </c>
      <c r="M13085" t="s">
        <v>46884</v>
      </c>
      <c r="N13085" t="s">
        <v>47304</v>
      </c>
      <c r="O13085" t="s">
        <v>47305</v>
      </c>
      <c r="P13085">
        <v>0</v>
      </c>
      <c r="Q13085">
        <v>6</v>
      </c>
      <c r="R13085" t="s">
        <v>47320</v>
      </c>
      <c r="S13085" t="s">
        <v>47917</v>
      </c>
      <c r="T13085" t="s">
        <v>49060</v>
      </c>
      <c r="U13085" t="s">
        <v>60354</v>
      </c>
      <c r="V13085" t="s">
        <v>62846</v>
      </c>
      <c r="W13085" t="s">
        <v>46884</v>
      </c>
      <c r="X13085" t="s">
        <v>47321</v>
      </c>
    </row>
    <row r="13086" spans="1:24">
      <c r="A13086">
        <f>HYPERLINK("https://www.philgeps.gov.ph/GEPSNONPILOT/Tender/SplashBidNoticeAbstractUI.aspx?menuIndex=3&amp;refID=7168665&amp;Result=3","7168665")</f>
        <v>0</v>
      </c>
      <c r="B13086" t="s">
        <v>1550</v>
      </c>
      <c r="C13086" t="s">
        <v>16234</v>
      </c>
      <c r="D13086" t="s">
        <v>19049</v>
      </c>
      <c r="E13086" t="s">
        <v>26649</v>
      </c>
      <c r="F13086" t="s">
        <v>32606</v>
      </c>
      <c r="G13086" t="s">
        <v>32613</v>
      </c>
      <c r="H13086" t="s">
        <v>14201</v>
      </c>
      <c r="I13086" t="s">
        <v>6931</v>
      </c>
      <c r="J13086" t="s">
        <v>40859</v>
      </c>
      <c r="K13086" t="s">
        <v>42623</v>
      </c>
      <c r="M13086" t="s">
        <v>44554</v>
      </c>
      <c r="N13086" t="s">
        <v>47304</v>
      </c>
      <c r="O13086" t="s">
        <v>47305</v>
      </c>
      <c r="P13086">
        <v>0</v>
      </c>
      <c r="Q13086">
        <v>0</v>
      </c>
      <c r="R13086" t="s">
        <v>47320</v>
      </c>
      <c r="S13086" t="s">
        <v>47917</v>
      </c>
      <c r="T13086" t="s">
        <v>49160</v>
      </c>
      <c r="U13086" t="s">
        <v>52968</v>
      </c>
      <c r="W13086" t="s">
        <v>44554</v>
      </c>
      <c r="X13086" t="s">
        <v>47321</v>
      </c>
    </row>
    <row r="13087" spans="1:24">
      <c r="A13087">
        <f>HYPERLINK("https://www.philgeps.gov.ph/GEPSNONPILOT/Tender/SplashBidNoticeAbstractUI.aspx?menuIndex=3&amp;refID=7168932&amp;Result=3","7168932")</f>
        <v>0</v>
      </c>
      <c r="B13087" t="s">
        <v>2252</v>
      </c>
      <c r="C13087" t="s">
        <v>16235</v>
      </c>
      <c r="D13087" t="s">
        <v>19091</v>
      </c>
      <c r="E13087" t="s">
        <v>26314</v>
      </c>
      <c r="F13087" t="s">
        <v>32606</v>
      </c>
      <c r="G13087" t="s">
        <v>32613</v>
      </c>
      <c r="H13087" t="s">
        <v>32623</v>
      </c>
      <c r="I13087" t="s">
        <v>17648</v>
      </c>
      <c r="J13087" t="s">
        <v>32920</v>
      </c>
      <c r="K13087" t="s">
        <v>42624</v>
      </c>
      <c r="M13087" t="s">
        <v>45357</v>
      </c>
      <c r="N13087" t="s">
        <v>47304</v>
      </c>
      <c r="O13087" t="s">
        <v>47305</v>
      </c>
      <c r="P13087">
        <v>0</v>
      </c>
      <c r="Q13087">
        <v>1</v>
      </c>
      <c r="R13087" t="s">
        <v>47320</v>
      </c>
      <c r="S13087" t="s">
        <v>47917</v>
      </c>
      <c r="T13087" t="s">
        <v>49004</v>
      </c>
      <c r="U13087" t="s">
        <v>60355</v>
      </c>
      <c r="W13087" t="s">
        <v>45357</v>
      </c>
      <c r="X13087" t="s">
        <v>47321</v>
      </c>
    </row>
    <row r="13088" spans="1:24">
      <c r="A13088">
        <f>HYPERLINK("https://www.philgeps.gov.ph/GEPSNONPILOT/Tender/SplashBidNoticeAbstractUI.aspx?menuIndex=3&amp;refID=7161545&amp;Result=3","7161545")</f>
        <v>0</v>
      </c>
      <c r="B13088" t="s">
        <v>3595</v>
      </c>
      <c r="C13088" t="s">
        <v>16236</v>
      </c>
      <c r="D13088" t="s">
        <v>19004</v>
      </c>
      <c r="E13088" t="s">
        <v>30172</v>
      </c>
      <c r="F13088" t="s">
        <v>32606</v>
      </c>
      <c r="G13088" t="s">
        <v>32613</v>
      </c>
      <c r="H13088" t="s">
        <v>14201</v>
      </c>
      <c r="I13088" t="s">
        <v>32663</v>
      </c>
      <c r="J13088" t="s">
        <v>40860</v>
      </c>
      <c r="K13088" t="s">
        <v>42623</v>
      </c>
      <c r="M13088" t="s">
        <v>46885</v>
      </c>
      <c r="N13088" t="s">
        <v>47304</v>
      </c>
      <c r="O13088" t="s">
        <v>47305</v>
      </c>
      <c r="P13088">
        <v>0</v>
      </c>
      <c r="Q13088">
        <v>3</v>
      </c>
      <c r="R13088" t="s">
        <v>47320</v>
      </c>
      <c r="S13088" t="s">
        <v>47917</v>
      </c>
      <c r="T13088" t="s">
        <v>48987</v>
      </c>
      <c r="U13088" t="s">
        <v>60356</v>
      </c>
      <c r="W13088" t="s">
        <v>46885</v>
      </c>
      <c r="X13088" t="s">
        <v>47326</v>
      </c>
    </row>
    <row r="13089" spans="1:24">
      <c r="A13089">
        <f>HYPERLINK("https://www.philgeps.gov.ph/GEPSNONPILOT/Tender/SplashBidNoticeAbstractUI.aspx?menuIndex=3&amp;refID=7168915&amp;Result=3","7168915")</f>
        <v>0</v>
      </c>
      <c r="B13089" t="s">
        <v>2645</v>
      </c>
      <c r="C13089" t="s">
        <v>16237</v>
      </c>
      <c r="D13089" t="s">
        <v>18999</v>
      </c>
      <c r="E13089" t="s">
        <v>30173</v>
      </c>
      <c r="F13089" t="s">
        <v>32606</v>
      </c>
      <c r="G13089" t="s">
        <v>32613</v>
      </c>
      <c r="H13089" t="s">
        <v>32623</v>
      </c>
      <c r="I13089" t="s">
        <v>17648</v>
      </c>
      <c r="J13089" t="s">
        <v>40861</v>
      </c>
      <c r="K13089" t="s">
        <v>42648</v>
      </c>
      <c r="M13089" t="s">
        <v>45791</v>
      </c>
      <c r="N13089" t="s">
        <v>47304</v>
      </c>
      <c r="O13089" t="s">
        <v>47305</v>
      </c>
      <c r="P13089">
        <v>0</v>
      </c>
      <c r="Q13089">
        <v>2</v>
      </c>
      <c r="R13089" t="s">
        <v>47320</v>
      </c>
      <c r="S13089" t="s">
        <v>47917</v>
      </c>
      <c r="T13089" t="s">
        <v>49300</v>
      </c>
      <c r="U13089" t="s">
        <v>60357</v>
      </c>
      <c r="W13089" t="s">
        <v>45791</v>
      </c>
      <c r="X13089" t="s">
        <v>47321</v>
      </c>
    </row>
    <row r="13090" spans="1:24">
      <c r="A13090">
        <f>HYPERLINK("https://www.philgeps.gov.ph/GEPSNONPILOT/Tender/SplashBidNoticeAbstractUI.aspx?menuIndex=3&amp;refID=7168898&amp;Result=3","7168898")</f>
        <v>0</v>
      </c>
      <c r="B13090" t="s">
        <v>3596</v>
      </c>
      <c r="C13090" t="s">
        <v>16238</v>
      </c>
      <c r="D13090" t="s">
        <v>18988</v>
      </c>
      <c r="E13090" t="s">
        <v>21793</v>
      </c>
      <c r="F13090" t="s">
        <v>32606</v>
      </c>
      <c r="G13090" t="s">
        <v>32613</v>
      </c>
      <c r="H13090" t="s">
        <v>32625</v>
      </c>
      <c r="I13090" t="s">
        <v>6007</v>
      </c>
      <c r="J13090" t="s">
        <v>32973</v>
      </c>
      <c r="K13090" t="s">
        <v>42632</v>
      </c>
      <c r="M13090" t="s">
        <v>46886</v>
      </c>
      <c r="N13090" t="s">
        <v>47304</v>
      </c>
      <c r="O13090" t="s">
        <v>47305</v>
      </c>
      <c r="P13090">
        <v>0</v>
      </c>
      <c r="Q13090">
        <v>0</v>
      </c>
      <c r="R13090" t="s">
        <v>47320</v>
      </c>
      <c r="S13090" t="s">
        <v>47917</v>
      </c>
      <c r="T13090" t="s">
        <v>49015</v>
      </c>
      <c r="U13090" t="s">
        <v>60358</v>
      </c>
      <c r="W13090" t="s">
        <v>46886</v>
      </c>
      <c r="X13090" t="s">
        <v>47321</v>
      </c>
    </row>
    <row r="13091" spans="1:24">
      <c r="A13091">
        <f>HYPERLINK("https://www.philgeps.gov.ph/GEPSNONPILOT/Tender/SplashBidNoticeAbstractUI.aspx?menuIndex=3&amp;refID=7168776&amp;Result=3","7168776")</f>
        <v>0</v>
      </c>
      <c r="B13091" t="s">
        <v>3533</v>
      </c>
      <c r="C13091" t="s">
        <v>7701</v>
      </c>
      <c r="D13091" t="s">
        <v>19014</v>
      </c>
      <c r="E13091" t="s">
        <v>30174</v>
      </c>
      <c r="F13091" t="s">
        <v>32606</v>
      </c>
      <c r="G13091" t="s">
        <v>32613</v>
      </c>
      <c r="H13091" t="s">
        <v>14201</v>
      </c>
      <c r="I13091" t="s">
        <v>6298</v>
      </c>
      <c r="J13091" t="s">
        <v>40862</v>
      </c>
      <c r="K13091" t="s">
        <v>42631</v>
      </c>
      <c r="L13091" t="s">
        <v>3533</v>
      </c>
      <c r="M13091" t="s">
        <v>46806</v>
      </c>
      <c r="N13091" t="s">
        <v>47304</v>
      </c>
      <c r="O13091" t="s">
        <v>47305</v>
      </c>
      <c r="P13091">
        <v>0</v>
      </c>
      <c r="Q13091">
        <v>17</v>
      </c>
      <c r="R13091" t="s">
        <v>47320</v>
      </c>
      <c r="S13091" t="s">
        <v>47917</v>
      </c>
      <c r="T13091" t="s">
        <v>49267</v>
      </c>
      <c r="U13091" t="s">
        <v>60359</v>
      </c>
      <c r="V13091" t="s">
        <v>64025</v>
      </c>
      <c r="W13091" t="s">
        <v>46806</v>
      </c>
      <c r="X13091" t="s">
        <v>47321</v>
      </c>
    </row>
    <row r="13092" spans="1:24">
      <c r="A13092">
        <f>HYPERLINK("https://www.philgeps.gov.ph/GEPSNONPILOT/Tender/SplashBidNoticeAbstractUI.aspx?menuIndex=3&amp;refID=7168886&amp;Result=3","7168886")</f>
        <v>0</v>
      </c>
      <c r="B13092" t="s">
        <v>2645</v>
      </c>
      <c r="C13092" t="s">
        <v>16239</v>
      </c>
      <c r="D13092" t="s">
        <v>18999</v>
      </c>
      <c r="E13092" t="s">
        <v>30173</v>
      </c>
      <c r="F13092" t="s">
        <v>32606</v>
      </c>
      <c r="G13092" t="s">
        <v>32613</v>
      </c>
      <c r="H13092" t="s">
        <v>32623</v>
      </c>
      <c r="I13092" t="s">
        <v>17648</v>
      </c>
      <c r="J13092" t="s">
        <v>40863</v>
      </c>
      <c r="K13092" t="s">
        <v>42631</v>
      </c>
      <c r="M13092" t="s">
        <v>45791</v>
      </c>
      <c r="N13092" t="s">
        <v>47304</v>
      </c>
      <c r="O13092" t="s">
        <v>47305</v>
      </c>
      <c r="P13092">
        <v>0</v>
      </c>
      <c r="Q13092">
        <v>1</v>
      </c>
      <c r="R13092" t="s">
        <v>47320</v>
      </c>
      <c r="S13092" t="s">
        <v>47917</v>
      </c>
      <c r="T13092" t="s">
        <v>49300</v>
      </c>
      <c r="U13092" t="s">
        <v>60357</v>
      </c>
      <c r="W13092" t="s">
        <v>45791</v>
      </c>
      <c r="X13092" t="s">
        <v>47321</v>
      </c>
    </row>
    <row r="13093" spans="1:24">
      <c r="A13093">
        <f>HYPERLINK("https://www.philgeps.gov.ph/GEPSNONPILOT/Tender/SplashBidNoticeAbstractUI.aspx?menuIndex=3&amp;refID=7161620&amp;Result=3","7161620")</f>
        <v>0</v>
      </c>
      <c r="B13093" t="s">
        <v>3597</v>
      </c>
      <c r="C13093" t="s">
        <v>16240</v>
      </c>
      <c r="D13093" t="s">
        <v>19008</v>
      </c>
      <c r="E13093" t="s">
        <v>24207</v>
      </c>
      <c r="F13093" t="s">
        <v>32606</v>
      </c>
      <c r="G13093" t="s">
        <v>32613</v>
      </c>
      <c r="H13093" t="s">
        <v>14201</v>
      </c>
      <c r="I13093" t="s">
        <v>4120</v>
      </c>
      <c r="J13093" t="s">
        <v>40864</v>
      </c>
      <c r="K13093" t="s">
        <v>42625</v>
      </c>
      <c r="M13093" t="s">
        <v>46887</v>
      </c>
      <c r="N13093" t="s">
        <v>47304</v>
      </c>
      <c r="O13093" t="s">
        <v>47305</v>
      </c>
      <c r="P13093">
        <v>0</v>
      </c>
      <c r="Q13093">
        <v>1</v>
      </c>
      <c r="R13093" t="s">
        <v>47320</v>
      </c>
      <c r="S13093" t="s">
        <v>47917</v>
      </c>
      <c r="T13093" t="s">
        <v>49160</v>
      </c>
      <c r="U13093" t="s">
        <v>60360</v>
      </c>
      <c r="V13093" t="s">
        <v>64079</v>
      </c>
      <c r="W13093" t="s">
        <v>46887</v>
      </c>
      <c r="X13093" t="s">
        <v>47326</v>
      </c>
    </row>
    <row r="13094" spans="1:24">
      <c r="A13094">
        <f>HYPERLINK("https://www.philgeps.gov.ph/GEPSNONPILOT/Tender/SplashBidNoticeAbstractUI.aspx?menuIndex=3&amp;refID=7168847&amp;Result=3","7168847")</f>
        <v>0</v>
      </c>
      <c r="B13094" t="s">
        <v>3593</v>
      </c>
      <c r="C13094" t="s">
        <v>16241</v>
      </c>
      <c r="D13094" t="s">
        <v>19070</v>
      </c>
      <c r="E13094" t="s">
        <v>30175</v>
      </c>
      <c r="F13094" t="s">
        <v>32606</v>
      </c>
      <c r="G13094" t="s">
        <v>32613</v>
      </c>
      <c r="H13094" t="s">
        <v>32623</v>
      </c>
      <c r="I13094" t="s">
        <v>17648</v>
      </c>
      <c r="J13094" t="s">
        <v>32772</v>
      </c>
      <c r="K13094" t="s">
        <v>42878</v>
      </c>
      <c r="M13094" t="s">
        <v>46882</v>
      </c>
      <c r="N13094" t="s">
        <v>47304</v>
      </c>
      <c r="O13094" t="s">
        <v>47305</v>
      </c>
      <c r="P13094">
        <v>0</v>
      </c>
      <c r="Q13094">
        <v>0</v>
      </c>
      <c r="R13094" t="s">
        <v>47320</v>
      </c>
      <c r="S13094" t="s">
        <v>47917</v>
      </c>
      <c r="T13094" t="s">
        <v>49219</v>
      </c>
      <c r="U13094" t="s">
        <v>60361</v>
      </c>
      <c r="W13094" t="s">
        <v>46882</v>
      </c>
      <c r="X13094" t="s">
        <v>47321</v>
      </c>
    </row>
    <row r="13095" spans="1:24">
      <c r="A13095">
        <f>HYPERLINK("https://www.philgeps.gov.ph/GEPSNONPILOT/Tender/SplashBidNoticeAbstractUI.aspx?menuIndex=3&amp;refID=7168511&amp;Result=3","7168511")</f>
        <v>0</v>
      </c>
      <c r="B13095" t="s">
        <v>3498</v>
      </c>
      <c r="C13095" t="s">
        <v>16242</v>
      </c>
      <c r="D13095" t="s">
        <v>19001</v>
      </c>
      <c r="E13095" t="s">
        <v>30176</v>
      </c>
      <c r="F13095" t="s">
        <v>32606</v>
      </c>
      <c r="G13095" t="s">
        <v>32613</v>
      </c>
      <c r="H13095" t="s">
        <v>14201</v>
      </c>
      <c r="I13095" t="s">
        <v>32633</v>
      </c>
      <c r="J13095" t="s">
        <v>33598</v>
      </c>
      <c r="K13095" t="s">
        <v>42638</v>
      </c>
      <c r="M13095" t="s">
        <v>46766</v>
      </c>
      <c r="N13095" t="s">
        <v>47304</v>
      </c>
      <c r="O13095" t="s">
        <v>47305</v>
      </c>
      <c r="P13095">
        <v>0</v>
      </c>
      <c r="Q13095">
        <v>45</v>
      </c>
      <c r="R13095" t="s">
        <v>47320</v>
      </c>
      <c r="S13095" t="s">
        <v>47917</v>
      </c>
      <c r="T13095" t="s">
        <v>48986</v>
      </c>
      <c r="U13095" t="s">
        <v>60362</v>
      </c>
      <c r="W13095" t="s">
        <v>64541</v>
      </c>
      <c r="X13095" t="s">
        <v>47321</v>
      </c>
    </row>
    <row r="13096" spans="1:24">
      <c r="A13096">
        <f>HYPERLINK("https://www.philgeps.gov.ph/GEPSNONPILOT/Tender/SplashBidNoticeAbstractUI.aspx?menuIndex=3&amp;refID=7168841&amp;Result=3","7168841")</f>
        <v>0</v>
      </c>
      <c r="B13096" t="s">
        <v>998</v>
      </c>
      <c r="C13096" t="s">
        <v>16243</v>
      </c>
      <c r="D13096" t="s">
        <v>19009</v>
      </c>
      <c r="E13096" t="s">
        <v>30177</v>
      </c>
      <c r="F13096" t="s">
        <v>32606</v>
      </c>
      <c r="G13096" t="s">
        <v>32613</v>
      </c>
      <c r="H13096" t="s">
        <v>32623</v>
      </c>
      <c r="I13096" t="s">
        <v>17648</v>
      </c>
      <c r="J13096" t="s">
        <v>40865</v>
      </c>
      <c r="K13096" t="s">
        <v>42879</v>
      </c>
      <c r="M13096" t="s">
        <v>43946</v>
      </c>
      <c r="N13096" t="s">
        <v>47304</v>
      </c>
      <c r="O13096" t="s">
        <v>47305</v>
      </c>
      <c r="P13096">
        <v>0</v>
      </c>
      <c r="Q13096">
        <v>0</v>
      </c>
      <c r="R13096" t="s">
        <v>47320</v>
      </c>
      <c r="S13096" t="s">
        <v>47917</v>
      </c>
      <c r="T13096" t="s">
        <v>48971</v>
      </c>
      <c r="U13096" t="s">
        <v>60363</v>
      </c>
      <c r="W13096" t="s">
        <v>43946</v>
      </c>
      <c r="X13096" t="s">
        <v>47321</v>
      </c>
    </row>
    <row r="13097" spans="1:24">
      <c r="A13097">
        <f>HYPERLINK("https://www.philgeps.gov.ph/GEPSNONPILOT/Tender/SplashBidNoticeAbstractUI.aspx?menuIndex=3&amp;refID=7168906&amp;Result=3","7168906")</f>
        <v>0</v>
      </c>
      <c r="B13097" t="s">
        <v>3598</v>
      </c>
      <c r="C13097" t="s">
        <v>16244</v>
      </c>
      <c r="D13097" t="s">
        <v>19039</v>
      </c>
      <c r="E13097" t="s">
        <v>30178</v>
      </c>
      <c r="F13097" t="s">
        <v>32606</v>
      </c>
      <c r="G13097" t="s">
        <v>32613</v>
      </c>
      <c r="H13097" t="s">
        <v>32623</v>
      </c>
      <c r="I13097" t="s">
        <v>17648</v>
      </c>
      <c r="J13097" t="s">
        <v>40866</v>
      </c>
      <c r="K13097" t="s">
        <v>42645</v>
      </c>
      <c r="M13097" t="s">
        <v>46888</v>
      </c>
      <c r="N13097" t="s">
        <v>47304</v>
      </c>
      <c r="O13097" t="s">
        <v>47305</v>
      </c>
      <c r="Q13097">
        <v>26</v>
      </c>
      <c r="R13097" t="s">
        <v>47320</v>
      </c>
      <c r="S13097" t="s">
        <v>47775</v>
      </c>
      <c r="T13097" t="s">
        <v>49117</v>
      </c>
      <c r="U13097" t="s">
        <v>60364</v>
      </c>
      <c r="W13097" t="s">
        <v>46888</v>
      </c>
      <c r="X13097" t="s">
        <v>47321</v>
      </c>
    </row>
    <row r="13098" spans="1:24">
      <c r="A13098">
        <f>HYPERLINK("https://www.philgeps.gov.ph/GEPSNONPILOT/Tender/SplashBidNoticeAbstractUI.aspx?menuIndex=3&amp;refID=7168956&amp;Result=3","7168956")</f>
        <v>0</v>
      </c>
      <c r="B13098" t="s">
        <v>590</v>
      </c>
      <c r="C13098" t="s">
        <v>16245</v>
      </c>
      <c r="D13098" t="s">
        <v>19007</v>
      </c>
      <c r="E13098" t="s">
        <v>30179</v>
      </c>
      <c r="F13098" t="s">
        <v>32606</v>
      </c>
      <c r="G13098" t="s">
        <v>32613</v>
      </c>
      <c r="H13098" t="s">
        <v>32623</v>
      </c>
      <c r="I13098" t="s">
        <v>17648</v>
      </c>
      <c r="J13098" t="s">
        <v>40867</v>
      </c>
      <c r="K13098" t="s">
        <v>42636</v>
      </c>
      <c r="M13098" t="s">
        <v>44385</v>
      </c>
      <c r="N13098" t="s">
        <v>47304</v>
      </c>
      <c r="O13098" t="s">
        <v>47305</v>
      </c>
      <c r="P13098">
        <v>0</v>
      </c>
      <c r="Q13098">
        <v>2</v>
      </c>
      <c r="R13098" t="s">
        <v>47320</v>
      </c>
      <c r="S13098" t="s">
        <v>47917</v>
      </c>
      <c r="T13098" t="s">
        <v>49160</v>
      </c>
      <c r="U13098" t="s">
        <v>60365</v>
      </c>
      <c r="W13098" t="s">
        <v>44385</v>
      </c>
      <c r="X13098" t="s">
        <v>47321</v>
      </c>
    </row>
    <row r="13099" spans="1:24">
      <c r="A13099">
        <f>HYPERLINK("https://www.philgeps.gov.ph/GEPSNONPILOT/Tender/SplashBidNoticeAbstractUI.aspx?menuIndex=3&amp;refID=7169017&amp;Result=3","7169017")</f>
        <v>0</v>
      </c>
      <c r="B13099" t="s">
        <v>2645</v>
      </c>
      <c r="C13099" t="s">
        <v>16246</v>
      </c>
      <c r="D13099" t="s">
        <v>18999</v>
      </c>
      <c r="E13099" t="s">
        <v>30173</v>
      </c>
      <c r="F13099" t="s">
        <v>32606</v>
      </c>
      <c r="G13099" t="s">
        <v>32613</v>
      </c>
      <c r="H13099" t="s">
        <v>32623</v>
      </c>
      <c r="I13099" t="s">
        <v>17648</v>
      </c>
      <c r="J13099" t="s">
        <v>40868</v>
      </c>
      <c r="K13099" t="s">
        <v>42624</v>
      </c>
      <c r="M13099" t="s">
        <v>45791</v>
      </c>
      <c r="N13099" t="s">
        <v>47304</v>
      </c>
      <c r="O13099" t="s">
        <v>47305</v>
      </c>
      <c r="P13099">
        <v>0</v>
      </c>
      <c r="Q13099">
        <v>1</v>
      </c>
      <c r="R13099" t="s">
        <v>47320</v>
      </c>
      <c r="S13099" t="s">
        <v>47917</v>
      </c>
      <c r="T13099" t="s">
        <v>49300</v>
      </c>
      <c r="U13099" t="s">
        <v>60357</v>
      </c>
      <c r="W13099" t="s">
        <v>45791</v>
      </c>
      <c r="X13099" t="s">
        <v>47321</v>
      </c>
    </row>
    <row r="13100" spans="1:24">
      <c r="A13100">
        <f>HYPERLINK("https://www.philgeps.gov.ph/GEPSNONPILOT/Tender/SplashBidNoticeAbstractUI.aspx?menuIndex=3&amp;refID=7168870&amp;Result=3","7168870")</f>
        <v>0</v>
      </c>
      <c r="B13100" t="s">
        <v>205</v>
      </c>
      <c r="C13100" t="s">
        <v>16247</v>
      </c>
      <c r="D13100" t="s">
        <v>19046</v>
      </c>
      <c r="E13100" t="s">
        <v>19392</v>
      </c>
      <c r="F13100" t="s">
        <v>32606</v>
      </c>
      <c r="G13100" t="s">
        <v>32613</v>
      </c>
      <c r="H13100" t="s">
        <v>32623</v>
      </c>
      <c r="I13100" t="s">
        <v>17648</v>
      </c>
      <c r="J13100" t="s">
        <v>40869</v>
      </c>
      <c r="K13100" t="s">
        <v>42828</v>
      </c>
      <c r="L13100" t="s">
        <v>205</v>
      </c>
      <c r="M13100" t="s">
        <v>43106</v>
      </c>
      <c r="N13100" t="s">
        <v>47304</v>
      </c>
      <c r="O13100" t="s">
        <v>47305</v>
      </c>
      <c r="P13100">
        <v>0</v>
      </c>
      <c r="Q13100">
        <v>0</v>
      </c>
      <c r="R13100" t="s">
        <v>47320</v>
      </c>
      <c r="S13100" t="s">
        <v>47917</v>
      </c>
      <c r="T13100" t="s">
        <v>48986</v>
      </c>
      <c r="U13100" t="s">
        <v>60366</v>
      </c>
      <c r="W13100" t="s">
        <v>43106</v>
      </c>
      <c r="X13100" t="s">
        <v>47321</v>
      </c>
    </row>
    <row r="13101" spans="1:24">
      <c r="A13101">
        <f>HYPERLINK("https://www.philgeps.gov.ph/GEPSNONPILOT/Tender/SplashBidNoticeAbstractUI.aspx?menuIndex=3&amp;refID=7169028&amp;Result=3","7169028")</f>
        <v>0</v>
      </c>
      <c r="B13101" t="s">
        <v>2645</v>
      </c>
      <c r="C13101" t="s">
        <v>16248</v>
      </c>
      <c r="D13101" t="s">
        <v>18999</v>
      </c>
      <c r="E13101" t="s">
        <v>30173</v>
      </c>
      <c r="F13101" t="s">
        <v>32606</v>
      </c>
      <c r="G13101" t="s">
        <v>32613</v>
      </c>
      <c r="H13101" t="s">
        <v>32623</v>
      </c>
      <c r="I13101" t="s">
        <v>17648</v>
      </c>
      <c r="J13101" t="s">
        <v>40870</v>
      </c>
      <c r="K13101" t="s">
        <v>42648</v>
      </c>
      <c r="M13101" t="s">
        <v>45791</v>
      </c>
      <c r="N13101" t="s">
        <v>47304</v>
      </c>
      <c r="O13101" t="s">
        <v>47305</v>
      </c>
      <c r="P13101">
        <v>0</v>
      </c>
      <c r="Q13101">
        <v>2</v>
      </c>
      <c r="R13101" t="s">
        <v>47320</v>
      </c>
      <c r="S13101" t="s">
        <v>47917</v>
      </c>
      <c r="T13101" t="s">
        <v>49157</v>
      </c>
      <c r="U13101" t="s">
        <v>60357</v>
      </c>
      <c r="W13101" t="s">
        <v>45791</v>
      </c>
      <c r="X13101" t="s">
        <v>47321</v>
      </c>
    </row>
    <row r="13102" spans="1:24">
      <c r="A13102">
        <f>HYPERLINK("https://www.philgeps.gov.ph/GEPSNONPILOT/Tender/SplashBidNoticeAbstractUI.aspx?menuIndex=3&amp;refID=7169012&amp;Result=3","7169012")</f>
        <v>0</v>
      </c>
      <c r="B13102" t="s">
        <v>2645</v>
      </c>
      <c r="C13102" t="s">
        <v>16249</v>
      </c>
      <c r="D13102" t="s">
        <v>18999</v>
      </c>
      <c r="E13102" t="s">
        <v>30173</v>
      </c>
      <c r="F13102" t="s">
        <v>32606</v>
      </c>
      <c r="G13102" t="s">
        <v>32613</v>
      </c>
      <c r="H13102" t="s">
        <v>32623</v>
      </c>
      <c r="I13102" t="s">
        <v>17648</v>
      </c>
      <c r="J13102" t="s">
        <v>40871</v>
      </c>
      <c r="K13102" t="s">
        <v>42646</v>
      </c>
      <c r="M13102" t="s">
        <v>45791</v>
      </c>
      <c r="N13102" t="s">
        <v>47304</v>
      </c>
      <c r="O13102" t="s">
        <v>47305</v>
      </c>
      <c r="P13102">
        <v>0</v>
      </c>
      <c r="Q13102">
        <v>2</v>
      </c>
      <c r="R13102" t="s">
        <v>47320</v>
      </c>
      <c r="S13102" t="s">
        <v>47917</v>
      </c>
      <c r="T13102" t="s">
        <v>49300</v>
      </c>
      <c r="U13102" t="s">
        <v>60357</v>
      </c>
      <c r="W13102" t="s">
        <v>45791</v>
      </c>
      <c r="X13102" t="s">
        <v>47321</v>
      </c>
    </row>
    <row r="13103" spans="1:24">
      <c r="A13103">
        <f>HYPERLINK("https://www.philgeps.gov.ph/GEPSNONPILOT/Tender/SplashBidNoticeAbstractUI.aspx?menuIndex=3&amp;refID=7169009&amp;Result=3","7169009")</f>
        <v>0</v>
      </c>
      <c r="B13103" t="s">
        <v>976</v>
      </c>
      <c r="C13103" t="s">
        <v>16250</v>
      </c>
      <c r="D13103" t="s">
        <v>19007</v>
      </c>
      <c r="E13103" t="s">
        <v>30180</v>
      </c>
      <c r="F13103" t="s">
        <v>32606</v>
      </c>
      <c r="G13103" t="s">
        <v>32613</v>
      </c>
      <c r="H13103" t="s">
        <v>14201</v>
      </c>
      <c r="I13103" t="s">
        <v>4678</v>
      </c>
      <c r="J13103" t="s">
        <v>32767</v>
      </c>
      <c r="K13103" t="s">
        <v>42622</v>
      </c>
      <c r="M13103" t="s">
        <v>43922</v>
      </c>
      <c r="N13103" t="s">
        <v>47304</v>
      </c>
      <c r="O13103" t="s">
        <v>47305</v>
      </c>
      <c r="P13103">
        <v>0</v>
      </c>
      <c r="Q13103">
        <v>16</v>
      </c>
      <c r="R13103" t="s">
        <v>47320</v>
      </c>
      <c r="S13103" t="s">
        <v>47917</v>
      </c>
      <c r="T13103" t="s">
        <v>49016</v>
      </c>
      <c r="U13103" t="s">
        <v>60367</v>
      </c>
      <c r="W13103" t="s">
        <v>43922</v>
      </c>
      <c r="X13103" t="s">
        <v>47321</v>
      </c>
    </row>
    <row r="13104" spans="1:24">
      <c r="A13104">
        <f>HYPERLINK("https://www.philgeps.gov.ph/GEPSNONPILOT/Tender/SplashBidNoticeAbstractUI.aspx?menuIndex=3&amp;refID=7169008&amp;Result=3","7169008")</f>
        <v>0</v>
      </c>
      <c r="B13104" t="s">
        <v>3288</v>
      </c>
      <c r="C13104" t="s">
        <v>16251</v>
      </c>
      <c r="D13104" t="s">
        <v>18988</v>
      </c>
      <c r="E13104" t="s">
        <v>19561</v>
      </c>
      <c r="F13104" t="s">
        <v>32606</v>
      </c>
      <c r="G13104" t="s">
        <v>32613</v>
      </c>
      <c r="H13104" t="s">
        <v>14201</v>
      </c>
      <c r="I13104" t="s">
        <v>32633</v>
      </c>
      <c r="J13104" t="s">
        <v>40872</v>
      </c>
      <c r="K13104" t="s">
        <v>42625</v>
      </c>
      <c r="M13104" t="s">
        <v>46524</v>
      </c>
      <c r="N13104" t="s">
        <v>47304</v>
      </c>
      <c r="O13104" t="s">
        <v>47305</v>
      </c>
      <c r="P13104">
        <v>0</v>
      </c>
      <c r="Q13104">
        <v>1</v>
      </c>
      <c r="R13104" t="s">
        <v>47320</v>
      </c>
      <c r="S13104" t="s">
        <v>47917</v>
      </c>
      <c r="T13104" t="s">
        <v>49016</v>
      </c>
      <c r="U13104" t="s">
        <v>58929</v>
      </c>
      <c r="W13104" t="s">
        <v>46524</v>
      </c>
      <c r="X13104" t="s">
        <v>47321</v>
      </c>
    </row>
    <row r="13105" spans="1:24">
      <c r="A13105">
        <f>HYPERLINK("https://www.philgeps.gov.ph/GEPSNONPILOT/Tender/SplashBidNoticeAbstractUI.aspx?menuIndex=3&amp;refID=7168895&amp;Result=3","7168895")</f>
        <v>0</v>
      </c>
      <c r="B13105" t="s">
        <v>2645</v>
      </c>
      <c r="C13105" t="s">
        <v>16252</v>
      </c>
      <c r="D13105" t="s">
        <v>18999</v>
      </c>
      <c r="E13105" t="s">
        <v>30173</v>
      </c>
      <c r="F13105" t="s">
        <v>32606</v>
      </c>
      <c r="G13105" t="s">
        <v>32613</v>
      </c>
      <c r="H13105" t="s">
        <v>32623</v>
      </c>
      <c r="I13105" t="s">
        <v>17648</v>
      </c>
      <c r="J13105" t="s">
        <v>40873</v>
      </c>
      <c r="K13105" t="s">
        <v>42636</v>
      </c>
      <c r="M13105" t="s">
        <v>45791</v>
      </c>
      <c r="N13105" t="s">
        <v>47304</v>
      </c>
      <c r="O13105" t="s">
        <v>47305</v>
      </c>
      <c r="P13105">
        <v>0</v>
      </c>
      <c r="Q13105">
        <v>1</v>
      </c>
      <c r="R13105" t="s">
        <v>47320</v>
      </c>
      <c r="S13105" t="s">
        <v>47917</v>
      </c>
      <c r="T13105" t="s">
        <v>49300</v>
      </c>
      <c r="U13105" t="s">
        <v>60357</v>
      </c>
      <c r="W13105" t="s">
        <v>45791</v>
      </c>
      <c r="X13105" t="s">
        <v>47321</v>
      </c>
    </row>
    <row r="13106" spans="1:24">
      <c r="A13106">
        <f>HYPERLINK("https://www.philgeps.gov.ph/GEPSNONPILOT/Tender/SplashBidNoticeAbstractUI.aspx?menuIndex=3&amp;refID=7169006&amp;Result=3","7169006")</f>
        <v>0</v>
      </c>
      <c r="B13106" t="s">
        <v>1402</v>
      </c>
      <c r="C13106" t="s">
        <v>16253</v>
      </c>
      <c r="D13106" t="s">
        <v>18992</v>
      </c>
      <c r="E13106" t="s">
        <v>30181</v>
      </c>
      <c r="F13106" t="s">
        <v>32606</v>
      </c>
      <c r="G13106" t="s">
        <v>32613</v>
      </c>
      <c r="H13106" t="s">
        <v>14201</v>
      </c>
      <c r="I13106" t="s">
        <v>32629</v>
      </c>
      <c r="J13106" t="s">
        <v>40874</v>
      </c>
      <c r="K13106" t="s">
        <v>42624</v>
      </c>
      <c r="M13106" t="s">
        <v>45733</v>
      </c>
      <c r="N13106" t="s">
        <v>47304</v>
      </c>
      <c r="O13106" t="s">
        <v>47305</v>
      </c>
      <c r="P13106">
        <v>0</v>
      </c>
      <c r="Q13106">
        <v>0</v>
      </c>
      <c r="R13106" t="s">
        <v>47320</v>
      </c>
      <c r="S13106" t="s">
        <v>47917</v>
      </c>
      <c r="T13106" t="s">
        <v>48994</v>
      </c>
      <c r="U13106" t="s">
        <v>60368</v>
      </c>
      <c r="W13106" t="s">
        <v>45733</v>
      </c>
      <c r="X13106" t="s">
        <v>47321</v>
      </c>
    </row>
    <row r="13107" spans="1:24">
      <c r="A13107">
        <f>HYPERLINK("https://www.philgeps.gov.ph/GEPSNONPILOT/Tender/SplashBidNoticeAbstractUI.aspx?menuIndex=3&amp;refID=7169021&amp;Result=3","7169021")</f>
        <v>0</v>
      </c>
      <c r="B13107" t="s">
        <v>146</v>
      </c>
      <c r="C13107" t="s">
        <v>16254</v>
      </c>
      <c r="D13107" t="s">
        <v>19011</v>
      </c>
      <c r="E13107" t="s">
        <v>30182</v>
      </c>
      <c r="F13107" t="s">
        <v>32606</v>
      </c>
      <c r="G13107" t="s">
        <v>32613</v>
      </c>
      <c r="H13107" t="s">
        <v>32623</v>
      </c>
      <c r="I13107" t="s">
        <v>17648</v>
      </c>
      <c r="J13107" t="s">
        <v>32765</v>
      </c>
      <c r="K13107" t="s">
        <v>42627</v>
      </c>
      <c r="M13107" t="s">
        <v>43047</v>
      </c>
      <c r="N13107" t="s">
        <v>47304</v>
      </c>
      <c r="O13107" t="s">
        <v>47305</v>
      </c>
      <c r="P13107">
        <v>0</v>
      </c>
      <c r="Q13107">
        <v>0</v>
      </c>
      <c r="R13107" t="s">
        <v>47320</v>
      </c>
      <c r="S13107" t="s">
        <v>47917</v>
      </c>
      <c r="T13107" t="s">
        <v>49268</v>
      </c>
      <c r="U13107" t="s">
        <v>60369</v>
      </c>
      <c r="V13107" t="s">
        <v>62679</v>
      </c>
      <c r="W13107" t="s">
        <v>43047</v>
      </c>
      <c r="X13107" t="s">
        <v>47321</v>
      </c>
    </row>
    <row r="13108" spans="1:24">
      <c r="A13108">
        <f>HYPERLINK("https://www.philgeps.gov.ph/GEPSNONPILOT/Tender/SplashBidNoticeAbstractUI.aspx?menuIndex=3&amp;refID=7169000&amp;Result=3","7169000")</f>
        <v>0</v>
      </c>
      <c r="B13108" t="s">
        <v>3599</v>
      </c>
      <c r="C13108" t="s">
        <v>16255</v>
      </c>
      <c r="D13108" t="s">
        <v>18989</v>
      </c>
      <c r="E13108" t="s">
        <v>30183</v>
      </c>
      <c r="F13108" t="s">
        <v>32606</v>
      </c>
      <c r="G13108" t="s">
        <v>32613</v>
      </c>
      <c r="H13108" t="s">
        <v>14201</v>
      </c>
      <c r="I13108" t="s">
        <v>32662</v>
      </c>
      <c r="J13108" t="s">
        <v>40875</v>
      </c>
      <c r="K13108" t="s">
        <v>42631</v>
      </c>
      <c r="M13108" t="s">
        <v>46889</v>
      </c>
      <c r="N13108" t="s">
        <v>47304</v>
      </c>
      <c r="O13108" t="s">
        <v>47305</v>
      </c>
      <c r="P13108">
        <v>0</v>
      </c>
      <c r="Q13108">
        <v>9</v>
      </c>
      <c r="R13108" t="s">
        <v>47320</v>
      </c>
      <c r="S13108" t="s">
        <v>47917</v>
      </c>
      <c r="T13108" t="s">
        <v>49018</v>
      </c>
      <c r="U13108" t="s">
        <v>60370</v>
      </c>
      <c r="W13108" t="s">
        <v>64545</v>
      </c>
      <c r="X13108" t="s">
        <v>47321</v>
      </c>
    </row>
    <row r="13109" spans="1:24">
      <c r="A13109">
        <f>HYPERLINK("https://www.philgeps.gov.ph/GEPSNONPILOT/Tender/SplashBidNoticeAbstractUI.aspx?menuIndex=3&amp;refID=7168960&amp;Result=3","7168960")</f>
        <v>0</v>
      </c>
      <c r="B13109" t="s">
        <v>2523</v>
      </c>
      <c r="C13109" t="s">
        <v>16256</v>
      </c>
      <c r="D13109" t="s">
        <v>19008</v>
      </c>
      <c r="E13109" t="s">
        <v>19317</v>
      </c>
      <c r="F13109" t="s">
        <v>32606</v>
      </c>
      <c r="G13109" t="s">
        <v>32613</v>
      </c>
      <c r="H13109" t="s">
        <v>14201</v>
      </c>
      <c r="I13109" t="s">
        <v>6931</v>
      </c>
      <c r="J13109" t="s">
        <v>40876</v>
      </c>
      <c r="K13109" t="s">
        <v>42622</v>
      </c>
      <c r="M13109" t="s">
        <v>45664</v>
      </c>
      <c r="N13109" t="s">
        <v>47304</v>
      </c>
      <c r="O13109" t="s">
        <v>47305</v>
      </c>
      <c r="P13109">
        <v>0</v>
      </c>
      <c r="Q13109">
        <v>2</v>
      </c>
      <c r="R13109" t="s">
        <v>47320</v>
      </c>
      <c r="S13109" t="s">
        <v>47917</v>
      </c>
      <c r="T13109" t="s">
        <v>49011</v>
      </c>
      <c r="U13109" t="s">
        <v>53093</v>
      </c>
      <c r="W13109" t="s">
        <v>45664</v>
      </c>
      <c r="X13109" t="s">
        <v>47321</v>
      </c>
    </row>
    <row r="13110" spans="1:24">
      <c r="A13110">
        <f>HYPERLINK("https://www.philgeps.gov.ph/GEPSNONPILOT/Tender/SplashBidNoticeAbstractUI.aspx?menuIndex=3&amp;refID=7169013&amp;Result=3","7169013")</f>
        <v>0</v>
      </c>
      <c r="B13110" t="s">
        <v>3418</v>
      </c>
      <c r="C13110" t="s">
        <v>16257</v>
      </c>
      <c r="D13110" t="s">
        <v>18997</v>
      </c>
      <c r="E13110" t="s">
        <v>19316</v>
      </c>
      <c r="F13110" t="s">
        <v>32606</v>
      </c>
      <c r="G13110" t="s">
        <v>32613</v>
      </c>
      <c r="H13110" t="s">
        <v>14201</v>
      </c>
      <c r="I13110" t="s">
        <v>4120</v>
      </c>
      <c r="J13110" t="s">
        <v>40877</v>
      </c>
      <c r="K13110" t="s">
        <v>42631</v>
      </c>
      <c r="M13110" t="s">
        <v>46675</v>
      </c>
      <c r="N13110" t="s">
        <v>47304</v>
      </c>
      <c r="O13110" t="s">
        <v>47305</v>
      </c>
      <c r="P13110">
        <v>0</v>
      </c>
      <c r="Q13110">
        <v>4</v>
      </c>
      <c r="R13110" t="s">
        <v>47320</v>
      </c>
      <c r="S13110" t="s">
        <v>47917</v>
      </c>
      <c r="T13110" t="s">
        <v>48998</v>
      </c>
      <c r="U13110" t="s">
        <v>60371</v>
      </c>
      <c r="W13110" t="s">
        <v>46675</v>
      </c>
      <c r="X13110" t="s">
        <v>47321</v>
      </c>
    </row>
    <row r="13111" spans="1:24">
      <c r="A13111">
        <f>HYPERLINK("https://www.philgeps.gov.ph/GEPSNONPILOT/Tender/SplashBidNoticeAbstractUI.aspx?menuIndex=3&amp;refID=7168973&amp;Result=3","7168973")</f>
        <v>0</v>
      </c>
      <c r="B13111" t="s">
        <v>3600</v>
      </c>
      <c r="C13111" t="s">
        <v>16258</v>
      </c>
      <c r="D13111" t="s">
        <v>19024</v>
      </c>
      <c r="E13111" t="s">
        <v>30184</v>
      </c>
      <c r="F13111" t="s">
        <v>32606</v>
      </c>
      <c r="G13111" t="s">
        <v>32613</v>
      </c>
      <c r="H13111" t="s">
        <v>32623</v>
      </c>
      <c r="I13111" t="s">
        <v>17648</v>
      </c>
      <c r="J13111" t="s">
        <v>40878</v>
      </c>
      <c r="K13111" t="s">
        <v>42636</v>
      </c>
      <c r="M13111" t="s">
        <v>46890</v>
      </c>
      <c r="N13111" t="s">
        <v>47304</v>
      </c>
      <c r="O13111" t="s">
        <v>47305</v>
      </c>
      <c r="P13111">
        <v>0</v>
      </c>
      <c r="Q13111">
        <v>0</v>
      </c>
      <c r="R13111" t="s">
        <v>47320</v>
      </c>
      <c r="S13111" t="s">
        <v>47917</v>
      </c>
      <c r="T13111" t="s">
        <v>48971</v>
      </c>
      <c r="U13111" t="s">
        <v>60372</v>
      </c>
      <c r="W13111" t="s">
        <v>46890</v>
      </c>
      <c r="X13111" t="s">
        <v>47321</v>
      </c>
    </row>
    <row r="13112" spans="1:24">
      <c r="A13112">
        <f>HYPERLINK("https://www.philgeps.gov.ph/GEPSNONPILOT/Tender/SplashBidNoticeAbstractUI.aspx?menuIndex=3&amp;refID=7168944&amp;Result=3","7168944")</f>
        <v>0</v>
      </c>
      <c r="B13112" t="s">
        <v>3275</v>
      </c>
      <c r="C13112" t="s">
        <v>16259</v>
      </c>
      <c r="D13112" t="s">
        <v>19063</v>
      </c>
      <c r="E13112" t="s">
        <v>30185</v>
      </c>
      <c r="F13112" t="s">
        <v>32606</v>
      </c>
      <c r="G13112" t="s">
        <v>32613</v>
      </c>
      <c r="H13112" t="s">
        <v>14201</v>
      </c>
      <c r="I13112" t="s">
        <v>6298</v>
      </c>
      <c r="J13112" t="s">
        <v>40879</v>
      </c>
      <c r="K13112" t="s">
        <v>42631</v>
      </c>
      <c r="M13112" t="s">
        <v>46509</v>
      </c>
      <c r="N13112" t="s">
        <v>47304</v>
      </c>
      <c r="O13112" t="s">
        <v>47305</v>
      </c>
      <c r="Q13112">
        <v>6</v>
      </c>
      <c r="R13112" t="s">
        <v>47320</v>
      </c>
      <c r="S13112" t="s">
        <v>47958</v>
      </c>
      <c r="T13112" t="s">
        <v>49023</v>
      </c>
      <c r="U13112" t="s">
        <v>60373</v>
      </c>
      <c r="W13112" t="s">
        <v>46509</v>
      </c>
      <c r="X13112" t="s">
        <v>47321</v>
      </c>
    </row>
    <row r="13113" spans="1:24">
      <c r="A13113">
        <f>HYPERLINK("https://www.philgeps.gov.ph/GEPSNONPILOT/Tender/SplashBidNoticeAbstractUI.aspx?menuIndex=3&amp;refID=7169007&amp;Result=3","7169007")</f>
        <v>0</v>
      </c>
      <c r="B13113" t="s">
        <v>1234</v>
      </c>
      <c r="C13113" t="s">
        <v>16260</v>
      </c>
      <c r="D13113" t="s">
        <v>19047</v>
      </c>
      <c r="E13113" t="s">
        <v>30186</v>
      </c>
      <c r="F13113" t="s">
        <v>32606</v>
      </c>
      <c r="G13113" t="s">
        <v>32613</v>
      </c>
      <c r="H13113" t="s">
        <v>14201</v>
      </c>
      <c r="I13113" t="s">
        <v>32650</v>
      </c>
      <c r="J13113" t="s">
        <v>40880</v>
      </c>
      <c r="K13113" t="s">
        <v>42631</v>
      </c>
      <c r="M13113" t="s">
        <v>44199</v>
      </c>
      <c r="N13113" t="s">
        <v>47304</v>
      </c>
      <c r="O13113" t="s">
        <v>47305</v>
      </c>
      <c r="Q13113">
        <v>1</v>
      </c>
      <c r="R13113" t="s">
        <v>47320</v>
      </c>
      <c r="S13113" t="s">
        <v>47959</v>
      </c>
      <c r="T13113" t="s">
        <v>48971</v>
      </c>
      <c r="U13113" t="s">
        <v>60374</v>
      </c>
      <c r="W13113" t="s">
        <v>44199</v>
      </c>
      <c r="X13113" t="s">
        <v>47321</v>
      </c>
    </row>
    <row r="13114" spans="1:24">
      <c r="A13114">
        <f>HYPERLINK("https://www.philgeps.gov.ph/GEPSNONPILOT/Tender/SplashBidNoticeAbstractUI.aspx?menuIndex=3&amp;refID=7168971&amp;Result=3","7168971")</f>
        <v>0</v>
      </c>
      <c r="B13114" t="s">
        <v>3288</v>
      </c>
      <c r="C13114" t="s">
        <v>16261</v>
      </c>
      <c r="D13114" t="s">
        <v>18988</v>
      </c>
      <c r="E13114" t="s">
        <v>19522</v>
      </c>
      <c r="F13114" t="s">
        <v>32606</v>
      </c>
      <c r="G13114" t="s">
        <v>32613</v>
      </c>
      <c r="H13114" t="s">
        <v>14201</v>
      </c>
      <c r="I13114" t="s">
        <v>6931</v>
      </c>
      <c r="J13114" t="s">
        <v>40881</v>
      </c>
      <c r="K13114" t="s">
        <v>42625</v>
      </c>
      <c r="M13114" t="s">
        <v>46524</v>
      </c>
      <c r="N13114" t="s">
        <v>47304</v>
      </c>
      <c r="O13114" t="s">
        <v>47305</v>
      </c>
      <c r="P13114">
        <v>0</v>
      </c>
      <c r="Q13114">
        <v>1</v>
      </c>
      <c r="R13114" t="s">
        <v>47320</v>
      </c>
      <c r="S13114" t="s">
        <v>47917</v>
      </c>
      <c r="T13114" t="s">
        <v>49016</v>
      </c>
      <c r="U13114" t="s">
        <v>58929</v>
      </c>
      <c r="W13114" t="s">
        <v>46524</v>
      </c>
      <c r="X13114" t="s">
        <v>47321</v>
      </c>
    </row>
    <row r="13115" spans="1:24">
      <c r="A13115">
        <f>HYPERLINK("https://www.philgeps.gov.ph/GEPSNONPILOT/Tender/SplashBidNoticeAbstractUI.aspx?menuIndex=3&amp;refID=7169176&amp;Result=3","7169176")</f>
        <v>0</v>
      </c>
      <c r="B13115" t="s">
        <v>3601</v>
      </c>
      <c r="C13115" t="s">
        <v>16262</v>
      </c>
      <c r="D13115" t="s">
        <v>18988</v>
      </c>
      <c r="E13115" t="s">
        <v>30187</v>
      </c>
      <c r="F13115" t="s">
        <v>32606</v>
      </c>
      <c r="G13115" t="s">
        <v>32613</v>
      </c>
      <c r="H13115" t="s">
        <v>32623</v>
      </c>
      <c r="I13115" t="s">
        <v>17648</v>
      </c>
      <c r="J13115" t="s">
        <v>39637</v>
      </c>
      <c r="K13115" t="s">
        <v>42772</v>
      </c>
      <c r="M13115" t="s">
        <v>46891</v>
      </c>
      <c r="N13115" t="s">
        <v>47304</v>
      </c>
      <c r="O13115" t="s">
        <v>47305</v>
      </c>
      <c r="P13115">
        <v>0</v>
      </c>
      <c r="Q13115">
        <v>12</v>
      </c>
      <c r="R13115" t="s">
        <v>47320</v>
      </c>
      <c r="S13115" t="s">
        <v>47917</v>
      </c>
      <c r="T13115" t="s">
        <v>48986</v>
      </c>
      <c r="U13115" t="s">
        <v>60375</v>
      </c>
      <c r="W13115" t="s">
        <v>46891</v>
      </c>
      <c r="X13115" t="s">
        <v>47321</v>
      </c>
    </row>
    <row r="13116" spans="1:24">
      <c r="A13116">
        <f>HYPERLINK("https://www.philgeps.gov.ph/GEPSNONPILOT/Tender/SplashBidNoticeAbstractUI.aspx?menuIndex=3&amp;refID=7169134&amp;Result=3","7169134")</f>
        <v>0</v>
      </c>
      <c r="B13116" t="s">
        <v>3602</v>
      </c>
      <c r="C13116" t="s">
        <v>16263</v>
      </c>
      <c r="D13116" t="s">
        <v>18992</v>
      </c>
      <c r="E13116" t="s">
        <v>30188</v>
      </c>
      <c r="F13116" t="s">
        <v>32606</v>
      </c>
      <c r="G13116" t="s">
        <v>32613</v>
      </c>
      <c r="H13116" t="s">
        <v>14201</v>
      </c>
      <c r="I13116" t="s">
        <v>6931</v>
      </c>
      <c r="J13116" t="s">
        <v>33263</v>
      </c>
      <c r="K13116" t="s">
        <v>42639</v>
      </c>
      <c r="M13116" t="s">
        <v>46892</v>
      </c>
      <c r="N13116" t="s">
        <v>47304</v>
      </c>
      <c r="O13116" t="s">
        <v>47305</v>
      </c>
      <c r="P13116">
        <v>0</v>
      </c>
      <c r="Q13116">
        <v>3</v>
      </c>
      <c r="R13116" t="s">
        <v>47320</v>
      </c>
      <c r="S13116" t="s">
        <v>47917</v>
      </c>
      <c r="T13116" t="s">
        <v>48996</v>
      </c>
      <c r="U13116" t="s">
        <v>60376</v>
      </c>
      <c r="W13116" t="s">
        <v>46892</v>
      </c>
      <c r="X13116" t="s">
        <v>47321</v>
      </c>
    </row>
    <row r="13117" spans="1:24">
      <c r="A13117">
        <f>HYPERLINK("https://www.philgeps.gov.ph/GEPSNONPILOT/Tender/SplashBidNoticeAbstractUI.aspx?menuIndex=3&amp;refID=7169168&amp;Result=3","7169168")</f>
        <v>0</v>
      </c>
      <c r="B13117" t="s">
        <v>726</v>
      </c>
      <c r="C13117" t="s">
        <v>16264</v>
      </c>
      <c r="D13117" t="s">
        <v>19009</v>
      </c>
      <c r="E13117" t="s">
        <v>30189</v>
      </c>
      <c r="F13117" t="s">
        <v>32606</v>
      </c>
      <c r="G13117" t="s">
        <v>32613</v>
      </c>
      <c r="H13117" t="s">
        <v>14201</v>
      </c>
      <c r="I13117" t="s">
        <v>32644</v>
      </c>
      <c r="J13117" t="s">
        <v>32772</v>
      </c>
      <c r="K13117" t="s">
        <v>42631</v>
      </c>
      <c r="M13117" t="s">
        <v>45264</v>
      </c>
      <c r="N13117" t="s">
        <v>47304</v>
      </c>
      <c r="O13117" t="s">
        <v>47305</v>
      </c>
      <c r="P13117">
        <v>0</v>
      </c>
      <c r="Q13117">
        <v>5</v>
      </c>
      <c r="R13117" t="s">
        <v>47320</v>
      </c>
      <c r="S13117" t="s">
        <v>47917</v>
      </c>
      <c r="T13117" t="s">
        <v>49060</v>
      </c>
      <c r="U13117" t="s">
        <v>60377</v>
      </c>
      <c r="V13117" t="s">
        <v>62846</v>
      </c>
      <c r="W13117" t="s">
        <v>45264</v>
      </c>
      <c r="X13117" t="s">
        <v>47321</v>
      </c>
    </row>
    <row r="13118" spans="1:24">
      <c r="A13118">
        <f>HYPERLINK("https://www.philgeps.gov.ph/GEPSNONPILOT/Tender/SplashBidNoticeAbstractUI.aspx?menuIndex=3&amp;refID=7169005&amp;Result=3","7169005")</f>
        <v>0</v>
      </c>
      <c r="B13118" t="s">
        <v>3418</v>
      </c>
      <c r="C13118" t="s">
        <v>16166</v>
      </c>
      <c r="D13118" t="s">
        <v>18997</v>
      </c>
      <c r="E13118" t="s">
        <v>19317</v>
      </c>
      <c r="F13118" t="s">
        <v>32606</v>
      </c>
      <c r="G13118" t="s">
        <v>32613</v>
      </c>
      <c r="H13118" t="s">
        <v>14201</v>
      </c>
      <c r="I13118" t="s">
        <v>6931</v>
      </c>
      <c r="J13118" t="s">
        <v>40882</v>
      </c>
      <c r="K13118" t="s">
        <v>42631</v>
      </c>
      <c r="M13118" t="s">
        <v>46675</v>
      </c>
      <c r="N13118" t="s">
        <v>47304</v>
      </c>
      <c r="O13118" t="s">
        <v>47305</v>
      </c>
      <c r="P13118">
        <v>0</v>
      </c>
      <c r="Q13118">
        <v>0</v>
      </c>
      <c r="R13118" t="s">
        <v>47320</v>
      </c>
      <c r="S13118" t="s">
        <v>47917</v>
      </c>
      <c r="T13118" t="s">
        <v>48998</v>
      </c>
      <c r="U13118" t="s">
        <v>60378</v>
      </c>
      <c r="W13118" t="s">
        <v>46675</v>
      </c>
      <c r="X13118" t="s">
        <v>47321</v>
      </c>
    </row>
    <row r="13119" spans="1:24">
      <c r="A13119">
        <f>HYPERLINK("https://www.philgeps.gov.ph/GEPSNONPILOT/Tender/SplashBidNoticeAbstractUI.aspx?menuIndex=3&amp;refID=7169157&amp;Result=3","7169157")</f>
        <v>0</v>
      </c>
      <c r="B13119" t="s">
        <v>2304</v>
      </c>
      <c r="C13119" t="s">
        <v>15302</v>
      </c>
      <c r="D13119" t="s">
        <v>19016</v>
      </c>
      <c r="E13119" t="s">
        <v>30190</v>
      </c>
      <c r="F13119" t="s">
        <v>32606</v>
      </c>
      <c r="G13119" t="s">
        <v>32613</v>
      </c>
      <c r="H13119" t="s">
        <v>14201</v>
      </c>
      <c r="I13119" t="s">
        <v>32631</v>
      </c>
      <c r="J13119" t="s">
        <v>40883</v>
      </c>
      <c r="K13119" t="s">
        <v>42624</v>
      </c>
      <c r="M13119" t="s">
        <v>45410</v>
      </c>
      <c r="N13119" t="s">
        <v>47304</v>
      </c>
      <c r="O13119" t="s">
        <v>47305</v>
      </c>
      <c r="P13119">
        <v>0</v>
      </c>
      <c r="Q13119">
        <v>1</v>
      </c>
      <c r="R13119" t="s">
        <v>47320</v>
      </c>
      <c r="S13119" t="s">
        <v>47917</v>
      </c>
      <c r="T13119" t="s">
        <v>48987</v>
      </c>
      <c r="U13119" t="s">
        <v>60379</v>
      </c>
      <c r="W13119" t="s">
        <v>45410</v>
      </c>
      <c r="X13119" t="s">
        <v>47321</v>
      </c>
    </row>
    <row r="13120" spans="1:24">
      <c r="A13120">
        <f>HYPERLINK("https://www.philgeps.gov.ph/GEPSNONPILOT/Tender/SplashBidNoticeAbstractUI.aspx?menuIndex=3&amp;refID=7169153&amp;Result=3","7169153")</f>
        <v>0</v>
      </c>
      <c r="B13120" t="s">
        <v>3599</v>
      </c>
      <c r="C13120" t="s">
        <v>16265</v>
      </c>
      <c r="D13120" t="s">
        <v>18989</v>
      </c>
      <c r="E13120" t="s">
        <v>30191</v>
      </c>
      <c r="F13120" t="s">
        <v>32606</v>
      </c>
      <c r="G13120" t="s">
        <v>32613</v>
      </c>
      <c r="H13120" t="s">
        <v>14201</v>
      </c>
      <c r="I13120" t="s">
        <v>32640</v>
      </c>
      <c r="J13120" t="s">
        <v>40884</v>
      </c>
      <c r="K13120" t="s">
        <v>42636</v>
      </c>
      <c r="M13120" t="s">
        <v>46889</v>
      </c>
      <c r="N13120" t="s">
        <v>47304</v>
      </c>
      <c r="O13120" t="s">
        <v>47305</v>
      </c>
      <c r="P13120">
        <v>0</v>
      </c>
      <c r="Q13120">
        <v>4</v>
      </c>
      <c r="R13120" t="s">
        <v>47320</v>
      </c>
      <c r="S13120" t="s">
        <v>47917</v>
      </c>
      <c r="T13120" t="s">
        <v>49018</v>
      </c>
      <c r="U13120" t="s">
        <v>60380</v>
      </c>
      <c r="W13120" t="s">
        <v>64545</v>
      </c>
      <c r="X13120" t="s">
        <v>47321</v>
      </c>
    </row>
    <row r="13121" spans="1:24">
      <c r="A13121">
        <f>HYPERLINK("https://www.philgeps.gov.ph/GEPSNONPILOT/Tender/SplashBidNoticeAbstractUI.aspx?menuIndex=3&amp;refID=7169120&amp;Result=3","7169120")</f>
        <v>0</v>
      </c>
      <c r="B13121" t="s">
        <v>883</v>
      </c>
      <c r="C13121" t="s">
        <v>16266</v>
      </c>
      <c r="D13121" t="s">
        <v>19027</v>
      </c>
      <c r="E13121" t="s">
        <v>26077</v>
      </c>
      <c r="F13121" t="s">
        <v>32606</v>
      </c>
      <c r="G13121" t="s">
        <v>32613</v>
      </c>
      <c r="H13121" t="s">
        <v>32623</v>
      </c>
      <c r="I13121" t="s">
        <v>32661</v>
      </c>
      <c r="J13121" t="s">
        <v>40885</v>
      </c>
      <c r="K13121" t="s">
        <v>42648</v>
      </c>
      <c r="M13121" t="s">
        <v>43819</v>
      </c>
      <c r="N13121" t="s">
        <v>47304</v>
      </c>
      <c r="O13121" t="s">
        <v>47305</v>
      </c>
      <c r="P13121">
        <v>0</v>
      </c>
      <c r="Q13121">
        <v>8</v>
      </c>
      <c r="R13121" t="s">
        <v>47320</v>
      </c>
      <c r="S13121" t="s">
        <v>47917</v>
      </c>
      <c r="T13121" t="s">
        <v>49107</v>
      </c>
      <c r="U13121" t="s">
        <v>60381</v>
      </c>
      <c r="W13121" t="s">
        <v>43819</v>
      </c>
      <c r="X13121" t="s">
        <v>47321</v>
      </c>
    </row>
    <row r="13122" spans="1:24">
      <c r="A13122">
        <f>HYPERLINK("https://www.philgeps.gov.ph/GEPSNONPILOT/Tender/SplashBidNoticeAbstractUI.aspx?menuIndex=3&amp;refID=7168984&amp;Result=3","7168984")</f>
        <v>0</v>
      </c>
      <c r="B13122" t="s">
        <v>2645</v>
      </c>
      <c r="C13122" t="s">
        <v>16267</v>
      </c>
      <c r="D13122" t="s">
        <v>18999</v>
      </c>
      <c r="E13122" t="s">
        <v>30173</v>
      </c>
      <c r="F13122" t="s">
        <v>32606</v>
      </c>
      <c r="G13122" t="s">
        <v>32613</v>
      </c>
      <c r="H13122" t="s">
        <v>32623</v>
      </c>
      <c r="I13122" t="s">
        <v>17648</v>
      </c>
      <c r="J13122" t="s">
        <v>40886</v>
      </c>
      <c r="K13122" t="s">
        <v>42712</v>
      </c>
      <c r="M13122" t="s">
        <v>45791</v>
      </c>
      <c r="N13122" t="s">
        <v>47304</v>
      </c>
      <c r="O13122" t="s">
        <v>47305</v>
      </c>
      <c r="P13122">
        <v>0</v>
      </c>
      <c r="Q13122">
        <v>3</v>
      </c>
      <c r="R13122" t="s">
        <v>47320</v>
      </c>
      <c r="S13122" t="s">
        <v>47917</v>
      </c>
      <c r="T13122" t="s">
        <v>49300</v>
      </c>
      <c r="U13122" t="s">
        <v>60357</v>
      </c>
      <c r="W13122" t="s">
        <v>45791</v>
      </c>
      <c r="X13122" t="s">
        <v>47321</v>
      </c>
    </row>
    <row r="13123" spans="1:24">
      <c r="A13123">
        <f>HYPERLINK("https://www.philgeps.gov.ph/GEPSNONPILOT/Tender/SplashBidNoticeAbstractUI.aspx?menuIndex=3&amp;refID=7169115&amp;Result=3","7169115")</f>
        <v>0</v>
      </c>
      <c r="B13123" t="s">
        <v>3599</v>
      </c>
      <c r="C13123" t="s">
        <v>16268</v>
      </c>
      <c r="D13123" t="s">
        <v>18989</v>
      </c>
      <c r="E13123" t="s">
        <v>30192</v>
      </c>
      <c r="F13123" t="s">
        <v>32606</v>
      </c>
      <c r="G13123" t="s">
        <v>32613</v>
      </c>
      <c r="H13123" t="s">
        <v>14201</v>
      </c>
      <c r="I13123" t="s">
        <v>32634</v>
      </c>
      <c r="J13123" t="s">
        <v>39337</v>
      </c>
      <c r="K13123" t="s">
        <v>42631</v>
      </c>
      <c r="M13123" t="s">
        <v>46889</v>
      </c>
      <c r="N13123" t="s">
        <v>47304</v>
      </c>
      <c r="O13123" t="s">
        <v>47305</v>
      </c>
      <c r="P13123">
        <v>0</v>
      </c>
      <c r="Q13123">
        <v>5</v>
      </c>
      <c r="R13123" t="s">
        <v>47320</v>
      </c>
      <c r="S13123" t="s">
        <v>47917</v>
      </c>
      <c r="T13123" t="s">
        <v>49018</v>
      </c>
      <c r="U13123" t="s">
        <v>60382</v>
      </c>
      <c r="W13123" t="s">
        <v>64545</v>
      </c>
      <c r="X13123" t="s">
        <v>47321</v>
      </c>
    </row>
    <row r="13124" spans="1:24">
      <c r="A13124">
        <f>HYPERLINK("https://www.philgeps.gov.ph/GEPSNONPILOT/Tender/SplashBidNoticeAbstractUI.aspx?menuIndex=3&amp;refID=7169096&amp;Result=3","7169096")</f>
        <v>0</v>
      </c>
      <c r="B13124" t="s">
        <v>2791</v>
      </c>
      <c r="C13124" t="s">
        <v>16269</v>
      </c>
      <c r="D13124" t="s">
        <v>19040</v>
      </c>
      <c r="E13124" t="s">
        <v>30193</v>
      </c>
      <c r="F13124" t="s">
        <v>32606</v>
      </c>
      <c r="G13124" t="s">
        <v>32613</v>
      </c>
      <c r="H13124" t="s">
        <v>14201</v>
      </c>
      <c r="I13124" t="s">
        <v>32629</v>
      </c>
      <c r="J13124" t="s">
        <v>40887</v>
      </c>
      <c r="K13124" t="s">
        <v>42679</v>
      </c>
      <c r="M13124" t="s">
        <v>45953</v>
      </c>
      <c r="N13124" t="s">
        <v>47304</v>
      </c>
      <c r="O13124" t="s">
        <v>47305</v>
      </c>
      <c r="P13124">
        <v>0</v>
      </c>
      <c r="Q13124">
        <v>2</v>
      </c>
      <c r="R13124" t="s">
        <v>47320</v>
      </c>
      <c r="S13124" t="s">
        <v>47917</v>
      </c>
      <c r="T13124" t="s">
        <v>48996</v>
      </c>
      <c r="U13124" t="s">
        <v>60383</v>
      </c>
      <c r="V13124" t="s">
        <v>63581</v>
      </c>
      <c r="W13124" t="s">
        <v>64518</v>
      </c>
      <c r="X13124" t="s">
        <v>47321</v>
      </c>
    </row>
    <row r="13125" spans="1:24">
      <c r="A13125">
        <f>HYPERLINK("https://www.philgeps.gov.ph/GEPSNONPILOT/Tender/SplashBidNoticeAbstractUI.aspx?menuIndex=3&amp;refID=7169159&amp;Result=3","7169159")</f>
        <v>0</v>
      </c>
      <c r="B13125" t="s">
        <v>201</v>
      </c>
      <c r="C13125" t="s">
        <v>16270</v>
      </c>
      <c r="D13125" t="s">
        <v>18993</v>
      </c>
      <c r="E13125" t="s">
        <v>30194</v>
      </c>
      <c r="F13125" t="s">
        <v>32606</v>
      </c>
      <c r="G13125" t="s">
        <v>32613</v>
      </c>
      <c r="H13125" t="s">
        <v>14201</v>
      </c>
      <c r="I13125" t="s">
        <v>32641</v>
      </c>
      <c r="J13125" t="s">
        <v>32778</v>
      </c>
      <c r="K13125" t="s">
        <v>42679</v>
      </c>
      <c r="M13125" t="s">
        <v>46893</v>
      </c>
      <c r="N13125" t="s">
        <v>47304</v>
      </c>
      <c r="O13125" t="s">
        <v>47305</v>
      </c>
      <c r="Q13125">
        <v>3</v>
      </c>
      <c r="R13125" t="s">
        <v>47320</v>
      </c>
      <c r="S13125" t="s">
        <v>47960</v>
      </c>
      <c r="T13125" t="s">
        <v>49011</v>
      </c>
      <c r="U13125" t="s">
        <v>60384</v>
      </c>
      <c r="W13125" t="s">
        <v>46893</v>
      </c>
      <c r="X13125" t="s">
        <v>47321</v>
      </c>
    </row>
    <row r="13126" spans="1:24">
      <c r="A13126">
        <f>HYPERLINK("https://www.philgeps.gov.ph/GEPSNONPILOT/Tender/SplashBidNoticeAbstractUI.aspx?menuIndex=3&amp;refID=7169004&amp;Result=3","7169004")</f>
        <v>0</v>
      </c>
      <c r="B13126" t="s">
        <v>2645</v>
      </c>
      <c r="C13126" t="s">
        <v>16271</v>
      </c>
      <c r="D13126" t="s">
        <v>18999</v>
      </c>
      <c r="E13126" t="s">
        <v>30173</v>
      </c>
      <c r="F13126" t="s">
        <v>32606</v>
      </c>
      <c r="G13126" t="s">
        <v>32613</v>
      </c>
      <c r="H13126" t="s">
        <v>32623</v>
      </c>
      <c r="I13126" t="s">
        <v>17648</v>
      </c>
      <c r="J13126" t="s">
        <v>40888</v>
      </c>
      <c r="K13126" t="s">
        <v>42645</v>
      </c>
      <c r="M13126" t="s">
        <v>45791</v>
      </c>
      <c r="N13126" t="s">
        <v>47304</v>
      </c>
      <c r="O13126" t="s">
        <v>47305</v>
      </c>
      <c r="P13126">
        <v>0</v>
      </c>
      <c r="Q13126">
        <v>5</v>
      </c>
      <c r="R13126" t="s">
        <v>47320</v>
      </c>
      <c r="S13126" t="s">
        <v>47917</v>
      </c>
      <c r="T13126" t="s">
        <v>49300</v>
      </c>
      <c r="U13126" t="s">
        <v>60357</v>
      </c>
      <c r="W13126" t="s">
        <v>45791</v>
      </c>
      <c r="X13126" t="s">
        <v>47321</v>
      </c>
    </row>
    <row r="13127" spans="1:24">
      <c r="A13127">
        <f>HYPERLINK("https://www.philgeps.gov.ph/GEPSNONPILOT/Tender/SplashBidNoticeAbstractUI.aspx?menuIndex=3&amp;refID=7169081&amp;Result=3","7169081")</f>
        <v>0</v>
      </c>
      <c r="B13127" t="s">
        <v>652</v>
      </c>
      <c r="C13127" t="s">
        <v>16272</v>
      </c>
      <c r="D13127" t="s">
        <v>18993</v>
      </c>
      <c r="E13127" t="s">
        <v>30195</v>
      </c>
      <c r="F13127" t="s">
        <v>32606</v>
      </c>
      <c r="G13127" t="s">
        <v>32613</v>
      </c>
      <c r="H13127" t="s">
        <v>32624</v>
      </c>
      <c r="I13127" t="s">
        <v>32644</v>
      </c>
      <c r="J13127" t="s">
        <v>40889</v>
      </c>
      <c r="K13127" t="s">
        <v>42648</v>
      </c>
      <c r="M13127" t="s">
        <v>46894</v>
      </c>
      <c r="N13127" t="s">
        <v>47304</v>
      </c>
      <c r="O13127" t="s">
        <v>47305</v>
      </c>
      <c r="P13127">
        <v>0</v>
      </c>
      <c r="Q13127">
        <v>20</v>
      </c>
      <c r="R13127" t="s">
        <v>47320</v>
      </c>
      <c r="S13127" t="s">
        <v>47917</v>
      </c>
      <c r="T13127" t="s">
        <v>49016</v>
      </c>
      <c r="U13127" t="s">
        <v>60385</v>
      </c>
      <c r="W13127" t="s">
        <v>46894</v>
      </c>
      <c r="X13127" t="s">
        <v>47321</v>
      </c>
    </row>
    <row r="13128" spans="1:24">
      <c r="A13128">
        <f>HYPERLINK("https://www.philgeps.gov.ph/GEPSNONPILOT/Tender/SplashBidNoticeAbstractUI.aspx?menuIndex=3&amp;refID=7169132&amp;Result=3","7169132")</f>
        <v>0</v>
      </c>
      <c r="B13128" t="s">
        <v>1234</v>
      </c>
      <c r="C13128" t="s">
        <v>16273</v>
      </c>
      <c r="D13128" t="s">
        <v>19047</v>
      </c>
      <c r="E13128" t="s">
        <v>30196</v>
      </c>
      <c r="F13128" t="s">
        <v>32606</v>
      </c>
      <c r="G13128" t="s">
        <v>32613</v>
      </c>
      <c r="H13128" t="s">
        <v>14201</v>
      </c>
      <c r="I13128" t="s">
        <v>32633</v>
      </c>
      <c r="J13128" t="s">
        <v>40890</v>
      </c>
      <c r="K13128" t="s">
        <v>42631</v>
      </c>
      <c r="M13128" t="s">
        <v>44199</v>
      </c>
      <c r="N13128" t="s">
        <v>47304</v>
      </c>
      <c r="O13128" t="s">
        <v>47305</v>
      </c>
      <c r="Q13128">
        <v>8</v>
      </c>
      <c r="R13128" t="s">
        <v>47320</v>
      </c>
      <c r="S13128" t="s">
        <v>47961</v>
      </c>
      <c r="T13128" t="s">
        <v>48971</v>
      </c>
      <c r="U13128" t="s">
        <v>60386</v>
      </c>
      <c r="W13128" t="s">
        <v>44199</v>
      </c>
      <c r="X13128" t="s">
        <v>47321</v>
      </c>
    </row>
    <row r="13129" spans="1:24">
      <c r="A13129">
        <f>HYPERLINK("https://www.philgeps.gov.ph/GEPSNONPILOT/Tender/SplashBidNoticeAbstractUI.aspx?menuIndex=3&amp;refID=7168981&amp;Result=3","7168981")</f>
        <v>0</v>
      </c>
      <c r="B13129" t="s">
        <v>2492</v>
      </c>
      <c r="C13129" t="s">
        <v>16274</v>
      </c>
      <c r="D13129" t="s">
        <v>19010</v>
      </c>
      <c r="E13129" t="s">
        <v>30197</v>
      </c>
      <c r="F13129" t="s">
        <v>32606</v>
      </c>
      <c r="G13129" t="s">
        <v>32613</v>
      </c>
      <c r="H13129" t="s">
        <v>32623</v>
      </c>
      <c r="I13129" t="s">
        <v>17648</v>
      </c>
      <c r="J13129" t="s">
        <v>32795</v>
      </c>
      <c r="K13129" t="s">
        <v>42648</v>
      </c>
      <c r="M13129" t="s">
        <v>45629</v>
      </c>
      <c r="N13129" t="s">
        <v>47304</v>
      </c>
      <c r="O13129" t="s">
        <v>47305</v>
      </c>
      <c r="P13129">
        <v>0</v>
      </c>
      <c r="Q13129">
        <v>2</v>
      </c>
      <c r="R13129" t="s">
        <v>47320</v>
      </c>
      <c r="S13129" t="s">
        <v>47917</v>
      </c>
      <c r="T13129" t="s">
        <v>48987</v>
      </c>
      <c r="U13129" t="s">
        <v>60387</v>
      </c>
      <c r="W13129" t="s">
        <v>45629</v>
      </c>
      <c r="X13129" t="s">
        <v>47321</v>
      </c>
    </row>
    <row r="13130" spans="1:24">
      <c r="A13130">
        <f>HYPERLINK("https://www.philgeps.gov.ph/GEPSNONPILOT/Tender/SplashBidNoticeAbstractUI.aspx?menuIndex=3&amp;refID=7169068&amp;Result=3","7169068")</f>
        <v>0</v>
      </c>
      <c r="B13130" t="s">
        <v>205</v>
      </c>
      <c r="C13130" t="s">
        <v>11266</v>
      </c>
      <c r="D13130" t="s">
        <v>19046</v>
      </c>
      <c r="E13130" t="s">
        <v>23293</v>
      </c>
      <c r="F13130" t="s">
        <v>32606</v>
      </c>
      <c r="G13130" t="s">
        <v>32613</v>
      </c>
      <c r="H13130" t="s">
        <v>14201</v>
      </c>
      <c r="I13130" t="s">
        <v>32633</v>
      </c>
      <c r="J13130" t="s">
        <v>40891</v>
      </c>
      <c r="K13130" t="s">
        <v>42694</v>
      </c>
      <c r="L13130" t="s">
        <v>205</v>
      </c>
      <c r="M13130" t="s">
        <v>43106</v>
      </c>
      <c r="N13130" t="s">
        <v>47304</v>
      </c>
      <c r="O13130" t="s">
        <v>47305</v>
      </c>
      <c r="P13130">
        <v>0</v>
      </c>
      <c r="Q13130">
        <v>2</v>
      </c>
      <c r="R13130" t="s">
        <v>47320</v>
      </c>
      <c r="S13130" t="s">
        <v>47917</v>
      </c>
      <c r="T13130" t="s">
        <v>48987</v>
      </c>
      <c r="U13130" t="s">
        <v>60388</v>
      </c>
      <c r="W13130" t="s">
        <v>43106</v>
      </c>
      <c r="X13130" t="s">
        <v>47321</v>
      </c>
    </row>
    <row r="13131" spans="1:24">
      <c r="A13131">
        <f>HYPERLINK("https://www.philgeps.gov.ph/GEPSNONPILOT/Tender/SplashBidNoticeAbstractUI.aspx?menuIndex=3&amp;refID=7169043&amp;Result=3","7169043")</f>
        <v>0</v>
      </c>
      <c r="B13131" t="s">
        <v>1513</v>
      </c>
      <c r="C13131" t="s">
        <v>16275</v>
      </c>
      <c r="D13131" t="s">
        <v>19042</v>
      </c>
      <c r="E13131" t="s">
        <v>30198</v>
      </c>
      <c r="F13131" t="s">
        <v>32606</v>
      </c>
      <c r="G13131" t="s">
        <v>32613</v>
      </c>
      <c r="H13131" t="s">
        <v>14201</v>
      </c>
      <c r="I13131" t="s">
        <v>5233</v>
      </c>
      <c r="J13131" t="s">
        <v>40892</v>
      </c>
      <c r="K13131" t="s">
        <v>42632</v>
      </c>
      <c r="L13131" t="s">
        <v>1513</v>
      </c>
      <c r="M13131" t="s">
        <v>44513</v>
      </c>
      <c r="N13131" t="s">
        <v>47304</v>
      </c>
      <c r="O13131" t="s">
        <v>47305</v>
      </c>
      <c r="P13131">
        <v>0</v>
      </c>
      <c r="Q13131">
        <v>1</v>
      </c>
      <c r="R13131" t="s">
        <v>47320</v>
      </c>
      <c r="S13131" t="s">
        <v>47917</v>
      </c>
      <c r="T13131" t="s">
        <v>48987</v>
      </c>
      <c r="U13131" t="s">
        <v>60389</v>
      </c>
      <c r="W13131" t="s">
        <v>44513</v>
      </c>
      <c r="X13131" t="s">
        <v>47321</v>
      </c>
    </row>
    <row r="13132" spans="1:24">
      <c r="A13132">
        <f>HYPERLINK("https://www.philgeps.gov.ph/GEPSNONPILOT/Tender/SplashBidNoticeAbstractUI.aspx?menuIndex=3&amp;refID=7169066&amp;Result=3","7169066")</f>
        <v>0</v>
      </c>
      <c r="B13132" t="s">
        <v>3603</v>
      </c>
      <c r="C13132" t="s">
        <v>16276</v>
      </c>
      <c r="E13132" t="s">
        <v>30199</v>
      </c>
      <c r="F13132" t="s">
        <v>32606</v>
      </c>
      <c r="G13132" t="s">
        <v>32613</v>
      </c>
      <c r="H13132" t="s">
        <v>14201</v>
      </c>
      <c r="I13132" t="s">
        <v>32654</v>
      </c>
      <c r="J13132" t="s">
        <v>40893</v>
      </c>
      <c r="K13132" t="s">
        <v>42636</v>
      </c>
      <c r="M13132" t="s">
        <v>46895</v>
      </c>
      <c r="N13132" t="s">
        <v>47304</v>
      </c>
      <c r="O13132" t="s">
        <v>47305</v>
      </c>
      <c r="P13132">
        <v>0</v>
      </c>
      <c r="Q13132">
        <v>4</v>
      </c>
      <c r="R13132" t="s">
        <v>47320</v>
      </c>
      <c r="S13132" t="s">
        <v>47917</v>
      </c>
      <c r="T13132" t="s">
        <v>49060</v>
      </c>
      <c r="U13132" t="s">
        <v>60390</v>
      </c>
      <c r="W13132" t="s">
        <v>46895</v>
      </c>
      <c r="X13132" t="s">
        <v>47321</v>
      </c>
    </row>
    <row r="13133" spans="1:24">
      <c r="A13133">
        <f>HYPERLINK("https://www.philgeps.gov.ph/GEPSNONPILOT/Tender/SplashBidNoticeAbstractUI.aspx?menuIndex=3&amp;refID=7169044&amp;Result=3","7169044")</f>
        <v>0</v>
      </c>
      <c r="B13133" t="s">
        <v>1402</v>
      </c>
      <c r="C13133" t="s">
        <v>16277</v>
      </c>
      <c r="D13133" t="s">
        <v>18992</v>
      </c>
      <c r="E13133" t="s">
        <v>30200</v>
      </c>
      <c r="F13133" t="s">
        <v>32606</v>
      </c>
      <c r="G13133" t="s">
        <v>32613</v>
      </c>
      <c r="H13133" t="s">
        <v>14201</v>
      </c>
      <c r="I13133" t="s">
        <v>32629</v>
      </c>
      <c r="J13133" t="s">
        <v>34264</v>
      </c>
      <c r="K13133" t="s">
        <v>42624</v>
      </c>
      <c r="M13133" t="s">
        <v>45733</v>
      </c>
      <c r="N13133" t="s">
        <v>47304</v>
      </c>
      <c r="O13133" t="s">
        <v>47305</v>
      </c>
      <c r="P13133">
        <v>0</v>
      </c>
      <c r="Q13133">
        <v>0</v>
      </c>
      <c r="R13133" t="s">
        <v>47320</v>
      </c>
      <c r="S13133" t="s">
        <v>47917</v>
      </c>
      <c r="T13133" t="s">
        <v>48994</v>
      </c>
      <c r="U13133" t="s">
        <v>60391</v>
      </c>
      <c r="W13133" t="s">
        <v>45733</v>
      </c>
      <c r="X13133" t="s">
        <v>47321</v>
      </c>
    </row>
    <row r="13134" spans="1:24">
      <c r="A13134">
        <f>HYPERLINK("https://www.philgeps.gov.ph/GEPSNONPILOT/Tender/SplashBidNoticeAbstractUI.aspx?menuIndex=3&amp;refID=7169031&amp;Result=3","7169031")</f>
        <v>0</v>
      </c>
      <c r="B13134" t="s">
        <v>262</v>
      </c>
      <c r="C13134" t="s">
        <v>16278</v>
      </c>
      <c r="D13134" t="s">
        <v>19038</v>
      </c>
      <c r="E13134" t="s">
        <v>30201</v>
      </c>
      <c r="F13134" t="s">
        <v>32606</v>
      </c>
      <c r="G13134" t="s">
        <v>32613</v>
      </c>
      <c r="H13134" t="s">
        <v>14201</v>
      </c>
      <c r="I13134" t="s">
        <v>17648</v>
      </c>
      <c r="J13134" t="s">
        <v>40894</v>
      </c>
      <c r="K13134" t="s">
        <v>42638</v>
      </c>
      <c r="M13134" t="s">
        <v>43163</v>
      </c>
      <c r="N13134" t="s">
        <v>47304</v>
      </c>
      <c r="O13134" t="s">
        <v>47305</v>
      </c>
      <c r="P13134">
        <v>0</v>
      </c>
      <c r="Q13134">
        <v>0</v>
      </c>
      <c r="R13134" t="s">
        <v>47320</v>
      </c>
      <c r="S13134" t="s">
        <v>47917</v>
      </c>
      <c r="T13134" t="s">
        <v>48986</v>
      </c>
      <c r="U13134" t="s">
        <v>60392</v>
      </c>
      <c r="W13134" t="s">
        <v>43163</v>
      </c>
      <c r="X13134" t="s">
        <v>47321</v>
      </c>
    </row>
    <row r="13135" spans="1:24">
      <c r="A13135">
        <f>HYPERLINK("https://www.philgeps.gov.ph/GEPSNONPILOT/Tender/SplashBidNoticeAbstractUI.aspx?menuIndex=3&amp;refID=7168950&amp;Result=3","7168950")</f>
        <v>0</v>
      </c>
      <c r="B13135" t="s">
        <v>2523</v>
      </c>
      <c r="C13135" t="s">
        <v>16279</v>
      </c>
      <c r="D13135" t="s">
        <v>19008</v>
      </c>
      <c r="E13135" t="s">
        <v>19318</v>
      </c>
      <c r="F13135" t="s">
        <v>32606</v>
      </c>
      <c r="G13135" t="s">
        <v>32613</v>
      </c>
      <c r="H13135" t="s">
        <v>14201</v>
      </c>
      <c r="I13135" t="s">
        <v>6931</v>
      </c>
      <c r="J13135" t="s">
        <v>33469</v>
      </c>
      <c r="K13135" t="s">
        <v>42622</v>
      </c>
      <c r="M13135" t="s">
        <v>45664</v>
      </c>
      <c r="N13135" t="s">
        <v>47304</v>
      </c>
      <c r="O13135" t="s">
        <v>47305</v>
      </c>
      <c r="P13135">
        <v>0</v>
      </c>
      <c r="Q13135">
        <v>2</v>
      </c>
      <c r="R13135" t="s">
        <v>47320</v>
      </c>
      <c r="S13135" t="s">
        <v>47917</v>
      </c>
      <c r="T13135" t="s">
        <v>49011</v>
      </c>
      <c r="U13135" t="s">
        <v>53093</v>
      </c>
      <c r="W13135" t="s">
        <v>45664</v>
      </c>
      <c r="X13135" t="s">
        <v>47321</v>
      </c>
    </row>
    <row r="13136" spans="1:24">
      <c r="A13136">
        <f>HYPERLINK("https://www.philgeps.gov.ph/GEPSNONPILOT/Tender/SplashBidNoticeAbstractUI.aspx?menuIndex=3&amp;refID=7168970&amp;Result=3","7168970")</f>
        <v>0</v>
      </c>
      <c r="B13136" t="s">
        <v>2523</v>
      </c>
      <c r="C13136" t="s">
        <v>16280</v>
      </c>
      <c r="D13136" t="s">
        <v>19008</v>
      </c>
      <c r="E13136" t="s">
        <v>19316</v>
      </c>
      <c r="F13136" t="s">
        <v>32606</v>
      </c>
      <c r="G13136" t="s">
        <v>32613</v>
      </c>
      <c r="H13136" t="s">
        <v>14201</v>
      </c>
      <c r="I13136" t="s">
        <v>6931</v>
      </c>
      <c r="J13136" t="s">
        <v>40895</v>
      </c>
      <c r="K13136" t="s">
        <v>42622</v>
      </c>
      <c r="M13136" t="s">
        <v>45664</v>
      </c>
      <c r="N13136" t="s">
        <v>47304</v>
      </c>
      <c r="O13136" t="s">
        <v>47305</v>
      </c>
      <c r="P13136">
        <v>0</v>
      </c>
      <c r="Q13136">
        <v>3</v>
      </c>
      <c r="R13136" t="s">
        <v>47320</v>
      </c>
      <c r="S13136" t="s">
        <v>47917</v>
      </c>
      <c r="T13136" t="s">
        <v>49011</v>
      </c>
      <c r="U13136" t="s">
        <v>53093</v>
      </c>
      <c r="W13136" t="s">
        <v>45664</v>
      </c>
      <c r="X13136" t="s">
        <v>47321</v>
      </c>
    </row>
    <row r="13137" spans="1:24">
      <c r="A13137">
        <f>HYPERLINK("https://www.philgeps.gov.ph/GEPSNONPILOT/Tender/SplashBidNoticeAbstractUI.aspx?menuIndex=3&amp;refID=7169030&amp;Result=3","7169030")</f>
        <v>0</v>
      </c>
      <c r="B13137" t="s">
        <v>883</v>
      </c>
      <c r="C13137" t="s">
        <v>16281</v>
      </c>
      <c r="D13137" t="s">
        <v>19027</v>
      </c>
      <c r="E13137" t="s">
        <v>30202</v>
      </c>
      <c r="F13137" t="s">
        <v>32606</v>
      </c>
      <c r="G13137" t="s">
        <v>32613</v>
      </c>
      <c r="H13137" t="s">
        <v>32623</v>
      </c>
      <c r="I13137" t="s">
        <v>17648</v>
      </c>
      <c r="J13137" t="s">
        <v>40896</v>
      </c>
      <c r="K13137" t="s">
        <v>42645</v>
      </c>
      <c r="M13137" t="s">
        <v>43819</v>
      </c>
      <c r="N13137" t="s">
        <v>47304</v>
      </c>
      <c r="O13137" t="s">
        <v>47305</v>
      </c>
      <c r="P13137">
        <v>0</v>
      </c>
      <c r="Q13137">
        <v>3</v>
      </c>
      <c r="R13137" t="s">
        <v>47320</v>
      </c>
      <c r="S13137" t="s">
        <v>47917</v>
      </c>
      <c r="T13137" t="s">
        <v>48996</v>
      </c>
      <c r="U13137" t="s">
        <v>60393</v>
      </c>
      <c r="W13137" t="s">
        <v>43819</v>
      </c>
      <c r="X13137" t="s">
        <v>47321</v>
      </c>
    </row>
    <row r="13138" spans="1:24">
      <c r="A13138">
        <f>HYPERLINK("https://www.philgeps.gov.ph/GEPSNONPILOT/Tender/SplashBidNoticeAbstractUI.aspx?menuIndex=3&amp;refID=7168828&amp;Result=3","7168828")</f>
        <v>0</v>
      </c>
      <c r="B13138" t="s">
        <v>2434</v>
      </c>
      <c r="C13138" t="s">
        <v>16282</v>
      </c>
      <c r="D13138" t="s">
        <v>18994</v>
      </c>
      <c r="E13138" t="s">
        <v>30203</v>
      </c>
      <c r="F13138" t="s">
        <v>32606</v>
      </c>
      <c r="G13138" t="s">
        <v>32613</v>
      </c>
      <c r="H13138" t="s">
        <v>14201</v>
      </c>
      <c r="I13138" t="s">
        <v>7577</v>
      </c>
      <c r="J13138" t="s">
        <v>32789</v>
      </c>
      <c r="K13138" t="s">
        <v>42623</v>
      </c>
      <c r="M13138" t="s">
        <v>45560</v>
      </c>
      <c r="N13138" t="s">
        <v>47304</v>
      </c>
      <c r="O13138" t="s">
        <v>47305</v>
      </c>
      <c r="Q13138">
        <v>6</v>
      </c>
      <c r="R13138" t="s">
        <v>47320</v>
      </c>
      <c r="S13138" t="s">
        <v>47962</v>
      </c>
      <c r="T13138" t="s">
        <v>48996</v>
      </c>
      <c r="U13138" t="s">
        <v>60394</v>
      </c>
      <c r="W13138" t="s">
        <v>45560</v>
      </c>
      <c r="X13138" t="s">
        <v>47321</v>
      </c>
    </row>
    <row r="13139" spans="1:24">
      <c r="A13139">
        <f>HYPERLINK("https://www.philgeps.gov.ph/GEPSNONPILOT/Tender/SplashBidNoticeAbstractUI.aspx?menuIndex=3&amp;refID=7169093&amp;Result=3","7169093")</f>
        <v>0</v>
      </c>
      <c r="B13139" t="s">
        <v>2871</v>
      </c>
      <c r="C13139" t="s">
        <v>16283</v>
      </c>
      <c r="D13139" t="s">
        <v>19025</v>
      </c>
      <c r="E13139" t="s">
        <v>30204</v>
      </c>
      <c r="F13139" t="s">
        <v>32606</v>
      </c>
      <c r="G13139" t="s">
        <v>32613</v>
      </c>
      <c r="H13139" t="s">
        <v>14201</v>
      </c>
      <c r="I13139" t="s">
        <v>32633</v>
      </c>
      <c r="J13139" t="s">
        <v>40897</v>
      </c>
      <c r="K13139" t="s">
        <v>42622</v>
      </c>
      <c r="M13139" t="s">
        <v>46042</v>
      </c>
      <c r="N13139" t="s">
        <v>47304</v>
      </c>
      <c r="O13139" t="s">
        <v>47305</v>
      </c>
      <c r="Q13139">
        <v>28</v>
      </c>
      <c r="R13139" t="s">
        <v>47320</v>
      </c>
      <c r="S13139" t="s">
        <v>47930</v>
      </c>
      <c r="T13139" t="s">
        <v>48994</v>
      </c>
      <c r="U13139" t="s">
        <v>60395</v>
      </c>
      <c r="W13139" t="s">
        <v>46042</v>
      </c>
      <c r="X13139" t="s">
        <v>47321</v>
      </c>
    </row>
    <row r="13140" spans="1:24">
      <c r="A13140">
        <f>HYPERLINK("https://www.philgeps.gov.ph/GEPSNONPILOT/Tender/SplashBidNoticeAbstractUI.aspx?menuIndex=3&amp;refID=7168804&amp;Result=3","7168804")</f>
        <v>0</v>
      </c>
      <c r="B13140" t="s">
        <v>998</v>
      </c>
      <c r="C13140" t="s">
        <v>16284</v>
      </c>
      <c r="D13140" t="s">
        <v>19009</v>
      </c>
      <c r="E13140" t="s">
        <v>30205</v>
      </c>
      <c r="F13140" t="s">
        <v>32606</v>
      </c>
      <c r="G13140" t="s">
        <v>32613</v>
      </c>
      <c r="H13140" t="s">
        <v>32623</v>
      </c>
      <c r="I13140" t="s">
        <v>17648</v>
      </c>
      <c r="J13140" t="s">
        <v>40898</v>
      </c>
      <c r="K13140" t="s">
        <v>42831</v>
      </c>
      <c r="M13140" t="s">
        <v>43946</v>
      </c>
      <c r="N13140" t="s">
        <v>47304</v>
      </c>
      <c r="O13140" t="s">
        <v>47305</v>
      </c>
      <c r="P13140">
        <v>0</v>
      </c>
      <c r="Q13140">
        <v>0</v>
      </c>
      <c r="R13140" t="s">
        <v>47320</v>
      </c>
      <c r="S13140" t="s">
        <v>47917</v>
      </c>
      <c r="T13140" t="s">
        <v>48971</v>
      </c>
      <c r="U13140" t="s">
        <v>60396</v>
      </c>
      <c r="W13140" t="s">
        <v>43946</v>
      </c>
      <c r="X13140" t="s">
        <v>47321</v>
      </c>
    </row>
    <row r="13141" spans="1:24">
      <c r="A13141">
        <f>HYPERLINK("https://www.philgeps.gov.ph/GEPSNONPILOT/Tender/SplashBidNoticeAbstractUI.aspx?menuIndex=3&amp;refID=7168801&amp;Result=3","7168801")</f>
        <v>0</v>
      </c>
      <c r="B13141" t="s">
        <v>899</v>
      </c>
      <c r="C13141" t="s">
        <v>16285</v>
      </c>
      <c r="E13141" t="s">
        <v>30206</v>
      </c>
      <c r="F13141" t="s">
        <v>32606</v>
      </c>
      <c r="G13141" t="s">
        <v>32615</v>
      </c>
      <c r="H13141" t="s">
        <v>14201</v>
      </c>
      <c r="I13141" t="s">
        <v>32638</v>
      </c>
      <c r="J13141" t="s">
        <v>40899</v>
      </c>
      <c r="K13141" t="s">
        <v>42624</v>
      </c>
      <c r="M13141" t="s">
        <v>44351</v>
      </c>
      <c r="N13141" t="s">
        <v>47304</v>
      </c>
      <c r="O13141" t="s">
        <v>47305</v>
      </c>
      <c r="P13141">
        <v>0</v>
      </c>
      <c r="Q13141">
        <v>23</v>
      </c>
      <c r="R13141" t="s">
        <v>47320</v>
      </c>
      <c r="S13141" t="s">
        <v>47917</v>
      </c>
      <c r="T13141" t="s">
        <v>48987</v>
      </c>
      <c r="U13141" t="s">
        <v>60397</v>
      </c>
      <c r="W13141" t="s">
        <v>44351</v>
      </c>
      <c r="X13141" t="s">
        <v>47321</v>
      </c>
    </row>
    <row r="13142" spans="1:24">
      <c r="A13142">
        <f>HYPERLINK("https://www.philgeps.gov.ph/GEPSNONPILOT/Tender/SplashBidNoticeAbstractUI.aspx?menuIndex=3&amp;refID=7169077&amp;Result=3","7169077")</f>
        <v>0</v>
      </c>
      <c r="B13142" t="s">
        <v>3599</v>
      </c>
      <c r="C13142" t="s">
        <v>16286</v>
      </c>
      <c r="D13142" t="s">
        <v>18989</v>
      </c>
      <c r="E13142" t="s">
        <v>30207</v>
      </c>
      <c r="F13142" t="s">
        <v>32606</v>
      </c>
      <c r="G13142" t="s">
        <v>32613</v>
      </c>
      <c r="H13142" t="s">
        <v>14201</v>
      </c>
      <c r="I13142" t="s">
        <v>32663</v>
      </c>
      <c r="J13142" t="s">
        <v>33934</v>
      </c>
      <c r="K13142" t="s">
        <v>42631</v>
      </c>
      <c r="M13142" t="s">
        <v>46889</v>
      </c>
      <c r="N13142" t="s">
        <v>47304</v>
      </c>
      <c r="O13142" t="s">
        <v>47305</v>
      </c>
      <c r="Q13142">
        <v>14</v>
      </c>
      <c r="R13142" t="s">
        <v>47320</v>
      </c>
      <c r="S13142" t="s">
        <v>47963</v>
      </c>
      <c r="T13142" t="s">
        <v>49018</v>
      </c>
      <c r="U13142" t="s">
        <v>60398</v>
      </c>
      <c r="W13142" t="s">
        <v>64545</v>
      </c>
      <c r="X13142" t="s">
        <v>47321</v>
      </c>
    </row>
    <row r="13143" spans="1:24">
      <c r="A13143">
        <f>HYPERLINK("https://www.philgeps.gov.ph/GEPSNONPILOT/Tender/SplashBidNoticeAbstractUI.aspx?menuIndex=3&amp;refID=7168803&amp;Result=3","7168803")</f>
        <v>0</v>
      </c>
      <c r="B13143" t="s">
        <v>3593</v>
      </c>
      <c r="C13143" t="s">
        <v>16287</v>
      </c>
      <c r="D13143" t="s">
        <v>19070</v>
      </c>
      <c r="E13143" t="s">
        <v>30208</v>
      </c>
      <c r="F13143" t="s">
        <v>32606</v>
      </c>
      <c r="G13143" t="s">
        <v>32613</v>
      </c>
      <c r="H13143" t="s">
        <v>32623</v>
      </c>
      <c r="I13143" t="s">
        <v>17648</v>
      </c>
      <c r="J13143" t="s">
        <v>32772</v>
      </c>
      <c r="K13143" t="s">
        <v>42636</v>
      </c>
      <c r="M13143" t="s">
        <v>46882</v>
      </c>
      <c r="N13143" t="s">
        <v>47304</v>
      </c>
      <c r="O13143" t="s">
        <v>47305</v>
      </c>
      <c r="P13143">
        <v>0</v>
      </c>
      <c r="Q13143">
        <v>0</v>
      </c>
      <c r="R13143" t="s">
        <v>47320</v>
      </c>
      <c r="S13143" t="s">
        <v>47917</v>
      </c>
      <c r="T13143" t="s">
        <v>49219</v>
      </c>
      <c r="U13143" t="s">
        <v>60399</v>
      </c>
      <c r="W13143" t="s">
        <v>46882</v>
      </c>
      <c r="X13143" t="s">
        <v>47321</v>
      </c>
    </row>
    <row r="13144" spans="1:24">
      <c r="A13144">
        <f>HYPERLINK("https://www.philgeps.gov.ph/GEPSNONPILOT/Tender/SplashBidNoticeAbstractUI.aspx?menuIndex=3&amp;refID=7152563&amp;Result=3","7152563")</f>
        <v>0</v>
      </c>
      <c r="B13144" t="s">
        <v>3561</v>
      </c>
      <c r="C13144" t="s">
        <v>16288</v>
      </c>
      <c r="D13144" t="s">
        <v>19038</v>
      </c>
      <c r="E13144" t="s">
        <v>29986</v>
      </c>
      <c r="F13144" t="s">
        <v>32606</v>
      </c>
      <c r="G13144" t="s">
        <v>32613</v>
      </c>
      <c r="H13144" t="s">
        <v>14201</v>
      </c>
      <c r="I13144" t="s">
        <v>32632</v>
      </c>
      <c r="J13144" t="s">
        <v>40900</v>
      </c>
      <c r="K13144" t="s">
        <v>42631</v>
      </c>
      <c r="M13144" t="s">
        <v>46846</v>
      </c>
      <c r="N13144" t="s">
        <v>47304</v>
      </c>
      <c r="O13144" t="s">
        <v>47305</v>
      </c>
      <c r="P13144">
        <v>0</v>
      </c>
      <c r="Q13144">
        <v>8</v>
      </c>
      <c r="R13144" t="s">
        <v>47320</v>
      </c>
      <c r="S13144" t="s">
        <v>47917</v>
      </c>
      <c r="T13144" t="s">
        <v>49040</v>
      </c>
      <c r="U13144" t="s">
        <v>60400</v>
      </c>
      <c r="W13144" t="s">
        <v>46846</v>
      </c>
      <c r="X13144" t="s">
        <v>47328</v>
      </c>
    </row>
    <row r="13145" spans="1:24">
      <c r="A13145">
        <f>HYPERLINK("https://www.philgeps.gov.ph/GEPSNONPILOT/Tender/SplashBidNoticeAbstractUI.aspx?menuIndex=3&amp;refID=7152405&amp;Result=3","7152405")</f>
        <v>0</v>
      </c>
      <c r="B13145" t="s">
        <v>3561</v>
      </c>
      <c r="C13145" t="s">
        <v>16289</v>
      </c>
      <c r="D13145" t="s">
        <v>19038</v>
      </c>
      <c r="E13145" t="s">
        <v>29986</v>
      </c>
      <c r="F13145" t="s">
        <v>32606</v>
      </c>
      <c r="G13145" t="s">
        <v>32613</v>
      </c>
      <c r="H13145" t="s">
        <v>14201</v>
      </c>
      <c r="I13145" t="s">
        <v>9013</v>
      </c>
      <c r="J13145" t="s">
        <v>40901</v>
      </c>
      <c r="K13145" t="s">
        <v>42631</v>
      </c>
      <c r="M13145" t="s">
        <v>46846</v>
      </c>
      <c r="N13145" t="s">
        <v>47304</v>
      </c>
      <c r="O13145" t="s">
        <v>47305</v>
      </c>
      <c r="P13145">
        <v>0</v>
      </c>
      <c r="Q13145">
        <v>0</v>
      </c>
      <c r="R13145" t="s">
        <v>47320</v>
      </c>
      <c r="S13145" t="s">
        <v>47917</v>
      </c>
      <c r="T13145" t="s">
        <v>49040</v>
      </c>
      <c r="U13145" t="s">
        <v>60401</v>
      </c>
      <c r="W13145" t="s">
        <v>46846</v>
      </c>
      <c r="X13145" t="s">
        <v>47328</v>
      </c>
    </row>
    <row r="13146" spans="1:24">
      <c r="A13146">
        <f>HYPERLINK("https://www.philgeps.gov.ph/GEPSNONPILOT/Tender/SplashBidNoticeAbstractUI.aspx?menuIndex=3&amp;refID=7151568&amp;Result=3","7151568")</f>
        <v>0</v>
      </c>
      <c r="B13146" t="s">
        <v>3561</v>
      </c>
      <c r="C13146" t="s">
        <v>16290</v>
      </c>
      <c r="D13146" t="s">
        <v>19038</v>
      </c>
      <c r="E13146" t="s">
        <v>29986</v>
      </c>
      <c r="F13146" t="s">
        <v>32606</v>
      </c>
      <c r="G13146" t="s">
        <v>32613</v>
      </c>
      <c r="H13146" t="s">
        <v>14201</v>
      </c>
      <c r="I13146" t="s">
        <v>32632</v>
      </c>
      <c r="J13146" t="s">
        <v>32999</v>
      </c>
      <c r="K13146" t="s">
        <v>42631</v>
      </c>
      <c r="M13146" t="s">
        <v>46846</v>
      </c>
      <c r="N13146" t="s">
        <v>47304</v>
      </c>
      <c r="O13146" t="s">
        <v>47305</v>
      </c>
      <c r="P13146">
        <v>0</v>
      </c>
      <c r="Q13146">
        <v>4</v>
      </c>
      <c r="R13146" t="s">
        <v>47320</v>
      </c>
      <c r="S13146" t="s">
        <v>47917</v>
      </c>
      <c r="T13146" t="s">
        <v>49040</v>
      </c>
      <c r="U13146" t="s">
        <v>60402</v>
      </c>
      <c r="W13146" t="s">
        <v>46846</v>
      </c>
      <c r="X13146" t="s">
        <v>47329</v>
      </c>
    </row>
    <row r="13147" spans="1:24">
      <c r="A13147">
        <f>HYPERLINK("https://www.philgeps.gov.ph/GEPSNONPILOT/Tender/SplashBidNoticeAbstractUI.aspx?menuIndex=3&amp;refID=7169088&amp;Result=3","7169088")</f>
        <v>0</v>
      </c>
      <c r="B13147" t="s">
        <v>1234</v>
      </c>
      <c r="C13147" t="s">
        <v>16291</v>
      </c>
      <c r="D13147" t="s">
        <v>19047</v>
      </c>
      <c r="E13147" t="s">
        <v>30209</v>
      </c>
      <c r="F13147" t="s">
        <v>32606</v>
      </c>
      <c r="G13147" t="s">
        <v>32613</v>
      </c>
      <c r="H13147" t="s">
        <v>14201</v>
      </c>
      <c r="I13147" t="s">
        <v>32650</v>
      </c>
      <c r="J13147" t="s">
        <v>40902</v>
      </c>
      <c r="K13147" t="s">
        <v>42631</v>
      </c>
      <c r="M13147" t="s">
        <v>44199</v>
      </c>
      <c r="N13147" t="s">
        <v>47304</v>
      </c>
      <c r="O13147" t="s">
        <v>47305</v>
      </c>
      <c r="Q13147">
        <v>2</v>
      </c>
      <c r="R13147" t="s">
        <v>47320</v>
      </c>
      <c r="S13147" t="s">
        <v>47964</v>
      </c>
      <c r="T13147" t="s">
        <v>48971</v>
      </c>
      <c r="U13147" t="s">
        <v>60403</v>
      </c>
      <c r="W13147" t="s">
        <v>44199</v>
      </c>
      <c r="X13147" t="s">
        <v>47321</v>
      </c>
    </row>
    <row r="13148" spans="1:24">
      <c r="A13148">
        <f>HYPERLINK("https://www.philgeps.gov.ph/GEPSNONPILOT/Tender/SplashBidNoticeAbstractUI.aspx?menuIndex=3&amp;refID=7151456&amp;Result=3","7151456")</f>
        <v>0</v>
      </c>
      <c r="B13148" t="s">
        <v>3561</v>
      </c>
      <c r="C13148" t="s">
        <v>16292</v>
      </c>
      <c r="D13148" t="s">
        <v>19038</v>
      </c>
      <c r="E13148" t="s">
        <v>29986</v>
      </c>
      <c r="F13148" t="s">
        <v>32606</v>
      </c>
      <c r="G13148" t="s">
        <v>32613</v>
      </c>
      <c r="H13148" t="s">
        <v>14201</v>
      </c>
      <c r="I13148" t="s">
        <v>6931</v>
      </c>
      <c r="J13148" t="s">
        <v>40903</v>
      </c>
      <c r="K13148" t="s">
        <v>42631</v>
      </c>
      <c r="M13148" t="s">
        <v>46846</v>
      </c>
      <c r="N13148" t="s">
        <v>47304</v>
      </c>
      <c r="O13148" t="s">
        <v>47305</v>
      </c>
      <c r="P13148">
        <v>0</v>
      </c>
      <c r="Q13148">
        <v>0</v>
      </c>
      <c r="R13148" t="s">
        <v>47320</v>
      </c>
      <c r="S13148" t="s">
        <v>47917</v>
      </c>
      <c r="T13148" t="s">
        <v>49040</v>
      </c>
      <c r="U13148" t="s">
        <v>60404</v>
      </c>
      <c r="W13148" t="s">
        <v>46846</v>
      </c>
      <c r="X13148" t="s">
        <v>47329</v>
      </c>
    </row>
    <row r="13149" spans="1:24">
      <c r="A13149">
        <f>HYPERLINK("https://www.philgeps.gov.ph/GEPSNONPILOT/Tender/SplashBidNoticeAbstractUI.aspx?menuIndex=3&amp;refID=7168805&amp;Result=3","7168805")</f>
        <v>0</v>
      </c>
      <c r="B13149" t="s">
        <v>2434</v>
      </c>
      <c r="C13149" t="s">
        <v>16293</v>
      </c>
      <c r="D13149" t="s">
        <v>18994</v>
      </c>
      <c r="E13149" t="s">
        <v>30210</v>
      </c>
      <c r="F13149" t="s">
        <v>32606</v>
      </c>
      <c r="G13149" t="s">
        <v>32613</v>
      </c>
      <c r="H13149" t="s">
        <v>14201</v>
      </c>
      <c r="I13149" t="s">
        <v>4114</v>
      </c>
      <c r="J13149" t="s">
        <v>40904</v>
      </c>
      <c r="K13149" t="s">
        <v>42623</v>
      </c>
      <c r="M13149" t="s">
        <v>45560</v>
      </c>
      <c r="N13149" t="s">
        <v>47304</v>
      </c>
      <c r="O13149" t="s">
        <v>47305</v>
      </c>
      <c r="Q13149">
        <v>4</v>
      </c>
      <c r="R13149" t="s">
        <v>47320</v>
      </c>
      <c r="S13149" t="s">
        <v>47965</v>
      </c>
      <c r="T13149" t="s">
        <v>48996</v>
      </c>
      <c r="U13149" t="s">
        <v>60405</v>
      </c>
      <c r="W13149" t="s">
        <v>45560</v>
      </c>
      <c r="X13149" t="s">
        <v>47321</v>
      </c>
    </row>
    <row r="13150" spans="1:24">
      <c r="A13150">
        <f>HYPERLINK("https://www.philgeps.gov.ph/GEPSNONPILOT/Tender/SplashBidNoticeAbstractUI.aspx?menuIndex=3&amp;refID=7149820&amp;Result=3","7149820")</f>
        <v>0</v>
      </c>
      <c r="B13150" t="s">
        <v>3570</v>
      </c>
      <c r="C13150" t="s">
        <v>16294</v>
      </c>
      <c r="D13150" t="s">
        <v>19050</v>
      </c>
      <c r="E13150" t="s">
        <v>25258</v>
      </c>
      <c r="F13150" t="s">
        <v>32606</v>
      </c>
      <c r="G13150" t="s">
        <v>32613</v>
      </c>
      <c r="H13150" t="s">
        <v>32623</v>
      </c>
      <c r="I13150" t="s">
        <v>32671</v>
      </c>
      <c r="J13150" t="s">
        <v>32772</v>
      </c>
      <c r="K13150" t="s">
        <v>42636</v>
      </c>
      <c r="M13150" t="s">
        <v>46858</v>
      </c>
      <c r="N13150" t="s">
        <v>47304</v>
      </c>
      <c r="O13150" t="s">
        <v>47305</v>
      </c>
      <c r="P13150">
        <v>0</v>
      </c>
      <c r="Q13150">
        <v>3</v>
      </c>
      <c r="R13150" t="s">
        <v>47320</v>
      </c>
      <c r="S13150" t="s">
        <v>47917</v>
      </c>
      <c r="T13150" t="s">
        <v>49017</v>
      </c>
      <c r="U13150" t="s">
        <v>60234</v>
      </c>
      <c r="W13150" t="s">
        <v>46858</v>
      </c>
      <c r="X13150" t="s">
        <v>47329</v>
      </c>
    </row>
    <row r="13151" spans="1:24">
      <c r="A13151">
        <f>HYPERLINK("https://www.philgeps.gov.ph/GEPSNONPILOT/Tender/SplashBidNoticeAbstractUI.aspx?menuIndex=3&amp;refID=7174022&amp;Result=3","7174022")</f>
        <v>0</v>
      </c>
      <c r="B13151" t="s">
        <v>1393</v>
      </c>
      <c r="C13151" t="s">
        <v>16295</v>
      </c>
      <c r="D13151" t="s">
        <v>18993</v>
      </c>
      <c r="E13151" t="s">
        <v>30211</v>
      </c>
      <c r="F13151" t="s">
        <v>32606</v>
      </c>
      <c r="G13151" t="s">
        <v>32613</v>
      </c>
      <c r="H13151" t="s">
        <v>32623</v>
      </c>
      <c r="I13151" t="s">
        <v>17648</v>
      </c>
      <c r="J13151" t="s">
        <v>40905</v>
      </c>
      <c r="K13151" t="s">
        <v>42712</v>
      </c>
      <c r="M13151" t="s">
        <v>46833</v>
      </c>
      <c r="N13151" t="s">
        <v>47304</v>
      </c>
      <c r="O13151" t="s">
        <v>47305</v>
      </c>
      <c r="P13151">
        <v>0</v>
      </c>
      <c r="Q13151">
        <v>60</v>
      </c>
      <c r="R13151" t="s">
        <v>47319</v>
      </c>
      <c r="S13151" t="s">
        <v>47813</v>
      </c>
      <c r="T13151" t="s">
        <v>49104</v>
      </c>
      <c r="U13151" t="s">
        <v>60406</v>
      </c>
      <c r="W13151" t="s">
        <v>46833</v>
      </c>
      <c r="X13151" t="s">
        <v>47320</v>
      </c>
    </row>
    <row r="13152" spans="1:24">
      <c r="A13152">
        <f>HYPERLINK("https://www.philgeps.gov.ph/GEPSNONPILOT/Tender/SplashBidNoticeAbstractUI.aspx?menuIndex=3&amp;refID=7152529&amp;Result=3","7152529")</f>
        <v>0</v>
      </c>
      <c r="B13152" t="s">
        <v>3561</v>
      </c>
      <c r="C13152" t="s">
        <v>16296</v>
      </c>
      <c r="D13152" t="s">
        <v>19038</v>
      </c>
      <c r="E13152" t="s">
        <v>29986</v>
      </c>
      <c r="F13152" t="s">
        <v>32606</v>
      </c>
      <c r="G13152" t="s">
        <v>32613</v>
      </c>
      <c r="H13152" t="s">
        <v>14201</v>
      </c>
      <c r="I13152" t="s">
        <v>32634</v>
      </c>
      <c r="J13152" t="s">
        <v>33195</v>
      </c>
      <c r="K13152" t="s">
        <v>42631</v>
      </c>
      <c r="M13152" t="s">
        <v>46846</v>
      </c>
      <c r="N13152" t="s">
        <v>47304</v>
      </c>
      <c r="O13152" t="s">
        <v>47305</v>
      </c>
      <c r="P13152">
        <v>0</v>
      </c>
      <c r="Q13152">
        <v>0</v>
      </c>
      <c r="R13152" t="s">
        <v>47320</v>
      </c>
      <c r="S13152" t="s">
        <v>47917</v>
      </c>
      <c r="T13152" t="s">
        <v>49040</v>
      </c>
      <c r="U13152" t="s">
        <v>60407</v>
      </c>
      <c r="W13152" t="s">
        <v>46846</v>
      </c>
      <c r="X13152" t="s">
        <v>47328</v>
      </c>
    </row>
    <row r="13153" spans="1:24">
      <c r="A13153">
        <f>HYPERLINK("https://www.philgeps.gov.ph/GEPSNONPILOT/Tender/SplashBidNoticeAbstractUI.aspx?menuIndex=3&amp;refID=7168807&amp;Result=3","7168807")</f>
        <v>0</v>
      </c>
      <c r="B13153" t="s">
        <v>383</v>
      </c>
      <c r="C13153" t="s">
        <v>16297</v>
      </c>
      <c r="E13153" t="s">
        <v>30212</v>
      </c>
      <c r="F13153" t="s">
        <v>32606</v>
      </c>
      <c r="G13153" t="s">
        <v>32613</v>
      </c>
      <c r="H13153" t="s">
        <v>14201</v>
      </c>
      <c r="I13153" t="s">
        <v>32680</v>
      </c>
      <c r="J13153" t="s">
        <v>32949</v>
      </c>
      <c r="K13153" t="s">
        <v>42624</v>
      </c>
      <c r="M13153" t="s">
        <v>43286</v>
      </c>
      <c r="N13153" t="s">
        <v>47304</v>
      </c>
      <c r="O13153" t="s">
        <v>47305</v>
      </c>
      <c r="P13153">
        <v>0</v>
      </c>
      <c r="Q13153">
        <v>1</v>
      </c>
      <c r="R13153" t="s">
        <v>47320</v>
      </c>
      <c r="S13153" t="s">
        <v>47917</v>
      </c>
      <c r="T13153" t="s">
        <v>49102</v>
      </c>
      <c r="U13153" t="s">
        <v>60408</v>
      </c>
      <c r="W13153" t="s">
        <v>43286</v>
      </c>
      <c r="X13153" t="s">
        <v>47321</v>
      </c>
    </row>
    <row r="13154" spans="1:24">
      <c r="A13154">
        <f>HYPERLINK("https://www.philgeps.gov.ph/GEPSNONPILOT/Tender/SplashBidNoticeAbstractUI.aspx?menuIndex=3&amp;refID=7173955&amp;Result=3","7173955")</f>
        <v>0</v>
      </c>
      <c r="B13154" t="s">
        <v>3604</v>
      </c>
      <c r="C13154" t="s">
        <v>16298</v>
      </c>
      <c r="D13154" t="s">
        <v>19000</v>
      </c>
      <c r="E13154" t="s">
        <v>19690</v>
      </c>
      <c r="F13154" t="s">
        <v>32606</v>
      </c>
      <c r="G13154" t="s">
        <v>32613</v>
      </c>
      <c r="H13154" t="s">
        <v>32623</v>
      </c>
      <c r="I13154" t="s">
        <v>17648</v>
      </c>
      <c r="J13154" t="s">
        <v>32981</v>
      </c>
      <c r="K13154" t="s">
        <v>42631</v>
      </c>
      <c r="M13154" t="s">
        <v>46896</v>
      </c>
      <c r="N13154" t="s">
        <v>47304</v>
      </c>
      <c r="O13154" t="s">
        <v>47305</v>
      </c>
      <c r="P13154">
        <v>0</v>
      </c>
      <c r="Q13154">
        <v>0</v>
      </c>
      <c r="R13154" t="s">
        <v>47319</v>
      </c>
      <c r="S13154" t="s">
        <v>47813</v>
      </c>
      <c r="T13154" t="s">
        <v>48972</v>
      </c>
      <c r="U13154" t="s">
        <v>60409</v>
      </c>
      <c r="W13154" t="s">
        <v>46896</v>
      </c>
      <c r="X13154" t="s">
        <v>47320</v>
      </c>
    </row>
    <row r="13155" spans="1:24">
      <c r="A13155">
        <f>HYPERLINK("https://www.philgeps.gov.ph/GEPSNONPILOT/Tender/SplashBidNoticeAbstractUI.aspx?menuIndex=3&amp;refID=7168910&amp;Result=3","7168910")</f>
        <v>0</v>
      </c>
      <c r="B13155" t="s">
        <v>2645</v>
      </c>
      <c r="C13155" t="s">
        <v>16299</v>
      </c>
      <c r="D13155" t="s">
        <v>18999</v>
      </c>
      <c r="E13155" t="s">
        <v>30173</v>
      </c>
      <c r="F13155" t="s">
        <v>32606</v>
      </c>
      <c r="G13155" t="s">
        <v>32613</v>
      </c>
      <c r="H13155" t="s">
        <v>32623</v>
      </c>
      <c r="I13155" t="s">
        <v>17648</v>
      </c>
      <c r="J13155" t="s">
        <v>40906</v>
      </c>
      <c r="K13155" t="s">
        <v>42636</v>
      </c>
      <c r="M13155" t="s">
        <v>45791</v>
      </c>
      <c r="N13155" t="s">
        <v>47304</v>
      </c>
      <c r="O13155" t="s">
        <v>47305</v>
      </c>
      <c r="P13155">
        <v>0</v>
      </c>
      <c r="Q13155">
        <v>1</v>
      </c>
      <c r="R13155" t="s">
        <v>47320</v>
      </c>
      <c r="S13155" t="s">
        <v>47917</v>
      </c>
      <c r="T13155" t="s">
        <v>49300</v>
      </c>
      <c r="U13155" t="s">
        <v>60357</v>
      </c>
      <c r="W13155" t="s">
        <v>45791</v>
      </c>
      <c r="X13155" t="s">
        <v>47321</v>
      </c>
    </row>
    <row r="13156" spans="1:24">
      <c r="A13156">
        <f>HYPERLINK("https://www.philgeps.gov.ph/GEPSNONPILOT/Tender/SplashBidNoticeAbstractUI.aspx?menuIndex=3&amp;refID=7173950&amp;Result=3","7173950")</f>
        <v>0</v>
      </c>
      <c r="B13156" t="s">
        <v>1393</v>
      </c>
      <c r="C13156" t="s">
        <v>16300</v>
      </c>
      <c r="D13156" t="s">
        <v>18993</v>
      </c>
      <c r="E13156" t="s">
        <v>30213</v>
      </c>
      <c r="F13156" t="s">
        <v>32606</v>
      </c>
      <c r="G13156" t="s">
        <v>32613</v>
      </c>
      <c r="H13156" t="s">
        <v>32623</v>
      </c>
      <c r="I13156" t="s">
        <v>17648</v>
      </c>
      <c r="J13156" t="s">
        <v>40907</v>
      </c>
      <c r="K13156" t="s">
        <v>42645</v>
      </c>
      <c r="M13156" t="s">
        <v>46833</v>
      </c>
      <c r="N13156" t="s">
        <v>47304</v>
      </c>
      <c r="O13156" t="s">
        <v>47305</v>
      </c>
      <c r="P13156">
        <v>0</v>
      </c>
      <c r="Q13156">
        <v>58</v>
      </c>
      <c r="R13156" t="s">
        <v>47319</v>
      </c>
      <c r="S13156" t="s">
        <v>47813</v>
      </c>
      <c r="T13156" t="s">
        <v>49104</v>
      </c>
      <c r="U13156" t="s">
        <v>60410</v>
      </c>
      <c r="W13156" t="s">
        <v>46833</v>
      </c>
      <c r="X13156" t="s">
        <v>47320</v>
      </c>
    </row>
    <row r="13157" spans="1:24">
      <c r="A13157">
        <f>HYPERLINK("https://www.philgeps.gov.ph/GEPSNONPILOT/Tender/SplashBidNoticeAbstractUI.aspx?menuIndex=3&amp;refID=7173949&amp;Result=3","7173949")</f>
        <v>0</v>
      </c>
      <c r="B13157" t="s">
        <v>3544</v>
      </c>
      <c r="C13157" t="s">
        <v>16301</v>
      </c>
      <c r="D13157" t="s">
        <v>19006</v>
      </c>
      <c r="E13157" t="s">
        <v>30214</v>
      </c>
      <c r="F13157" t="s">
        <v>32606</v>
      </c>
      <c r="G13157" t="s">
        <v>32613</v>
      </c>
      <c r="H13157" t="s">
        <v>32623</v>
      </c>
      <c r="I13157" t="s">
        <v>17648</v>
      </c>
      <c r="J13157" t="s">
        <v>32789</v>
      </c>
      <c r="K13157" t="s">
        <v>42631</v>
      </c>
      <c r="M13157" t="s">
        <v>46823</v>
      </c>
      <c r="N13157" t="s">
        <v>47304</v>
      </c>
      <c r="O13157" t="s">
        <v>47305</v>
      </c>
      <c r="P13157">
        <v>0</v>
      </c>
      <c r="Q13157">
        <v>0</v>
      </c>
      <c r="R13157" t="s">
        <v>47319</v>
      </c>
      <c r="S13157" t="s">
        <v>47813</v>
      </c>
      <c r="T13157" t="s">
        <v>48996</v>
      </c>
      <c r="U13157" t="s">
        <v>60411</v>
      </c>
      <c r="W13157" t="s">
        <v>46823</v>
      </c>
      <c r="X13157" t="s">
        <v>47320</v>
      </c>
    </row>
    <row r="13158" spans="1:24">
      <c r="A13158">
        <f>HYPERLINK("https://www.philgeps.gov.ph/GEPSNONPILOT/Tender/SplashBidNoticeAbstractUI.aspx?menuIndex=3&amp;refID=7168796&amp;Result=3","7168796")</f>
        <v>0</v>
      </c>
      <c r="B13158" t="s">
        <v>3605</v>
      </c>
      <c r="C13158" t="s">
        <v>8363</v>
      </c>
      <c r="D13158" t="s">
        <v>19015</v>
      </c>
      <c r="E13158" t="s">
        <v>25726</v>
      </c>
      <c r="F13158" t="s">
        <v>32606</v>
      </c>
      <c r="G13158" t="s">
        <v>32613</v>
      </c>
      <c r="H13158" t="s">
        <v>14201</v>
      </c>
      <c r="I13158" t="s">
        <v>6931</v>
      </c>
      <c r="J13158" t="s">
        <v>40908</v>
      </c>
      <c r="K13158" t="s">
        <v>42622</v>
      </c>
      <c r="M13158" t="s">
        <v>46897</v>
      </c>
      <c r="N13158" t="s">
        <v>47304</v>
      </c>
      <c r="O13158" t="s">
        <v>47305</v>
      </c>
      <c r="P13158">
        <v>0</v>
      </c>
      <c r="Q13158">
        <v>2</v>
      </c>
      <c r="R13158" t="s">
        <v>47320</v>
      </c>
      <c r="S13158" t="s">
        <v>47917</v>
      </c>
      <c r="T13158" t="s">
        <v>49010</v>
      </c>
      <c r="U13158" t="s">
        <v>60412</v>
      </c>
      <c r="W13158" t="s">
        <v>46897</v>
      </c>
      <c r="X13158" t="s">
        <v>47321</v>
      </c>
    </row>
    <row r="13159" spans="1:24">
      <c r="A13159">
        <f>HYPERLINK("https://www.philgeps.gov.ph/GEPSNONPILOT/Tender/SplashBidNoticeAbstractUI.aspx?menuIndex=3&amp;refID=7173827&amp;Result=3","7173827")</f>
        <v>0</v>
      </c>
      <c r="B13159" t="s">
        <v>3551</v>
      </c>
      <c r="C13159" t="s">
        <v>16302</v>
      </c>
      <c r="D13159" t="s">
        <v>19008</v>
      </c>
      <c r="E13159" t="s">
        <v>21328</v>
      </c>
      <c r="F13159" t="s">
        <v>32606</v>
      </c>
      <c r="G13159" t="s">
        <v>32613</v>
      </c>
      <c r="H13159" t="s">
        <v>32623</v>
      </c>
      <c r="I13159" t="s">
        <v>8606</v>
      </c>
      <c r="J13159" t="s">
        <v>40909</v>
      </c>
      <c r="K13159" t="s">
        <v>42648</v>
      </c>
      <c r="L13159" t="s">
        <v>3551</v>
      </c>
      <c r="M13159" t="s">
        <v>46835</v>
      </c>
      <c r="N13159" t="s">
        <v>47304</v>
      </c>
      <c r="O13159" t="s">
        <v>47305</v>
      </c>
      <c r="Q13159">
        <v>5</v>
      </c>
      <c r="R13159" t="s">
        <v>47319</v>
      </c>
      <c r="S13159" t="s">
        <v>47966</v>
      </c>
      <c r="T13159" t="s">
        <v>49075</v>
      </c>
      <c r="U13159" t="s">
        <v>60413</v>
      </c>
      <c r="W13159" t="s">
        <v>46835</v>
      </c>
      <c r="X13159" t="s">
        <v>47320</v>
      </c>
    </row>
    <row r="13160" spans="1:24">
      <c r="A13160">
        <f>HYPERLINK("https://www.philgeps.gov.ph/GEPSNONPILOT/Tender/SplashBidNoticeAbstractUI.aspx?menuIndex=3&amp;refID=7169182&amp;Result=3","7169182")</f>
        <v>0</v>
      </c>
      <c r="B13160" t="s">
        <v>2319</v>
      </c>
      <c r="C13160" t="s">
        <v>16303</v>
      </c>
      <c r="D13160" t="s">
        <v>19045</v>
      </c>
      <c r="E13160" t="s">
        <v>30215</v>
      </c>
      <c r="F13160" t="s">
        <v>32606</v>
      </c>
      <c r="G13160" t="s">
        <v>32613</v>
      </c>
      <c r="H13160" t="s">
        <v>14201</v>
      </c>
      <c r="I13160" t="s">
        <v>4678</v>
      </c>
      <c r="J13160" t="s">
        <v>40910</v>
      </c>
      <c r="K13160" t="s">
        <v>42622</v>
      </c>
      <c r="M13160" t="s">
        <v>45427</v>
      </c>
      <c r="N13160" t="s">
        <v>47304</v>
      </c>
      <c r="O13160" t="s">
        <v>47305</v>
      </c>
      <c r="P13160">
        <v>0</v>
      </c>
      <c r="Q13160">
        <v>5</v>
      </c>
      <c r="R13160" t="s">
        <v>47320</v>
      </c>
      <c r="S13160" t="s">
        <v>47917</v>
      </c>
      <c r="T13160" t="s">
        <v>49023</v>
      </c>
      <c r="U13160" t="s">
        <v>60414</v>
      </c>
      <c r="W13160" t="s">
        <v>45427</v>
      </c>
      <c r="X13160" t="s">
        <v>47321</v>
      </c>
    </row>
    <row r="13161" spans="1:24">
      <c r="A13161">
        <f>HYPERLINK("https://www.philgeps.gov.ph/GEPSNONPILOT/Tender/SplashBidNoticeAbstractUI.aspx?menuIndex=3&amp;refID=7169244&amp;Result=3","7169244")</f>
        <v>0</v>
      </c>
      <c r="B13161" t="s">
        <v>3606</v>
      </c>
      <c r="C13161" t="s">
        <v>16304</v>
      </c>
      <c r="D13161" t="s">
        <v>19044</v>
      </c>
      <c r="E13161" t="s">
        <v>30216</v>
      </c>
      <c r="F13161" t="s">
        <v>32606</v>
      </c>
      <c r="G13161" t="s">
        <v>32613</v>
      </c>
      <c r="H13161" t="s">
        <v>32623</v>
      </c>
      <c r="I13161" t="s">
        <v>17648</v>
      </c>
      <c r="J13161" t="s">
        <v>39745</v>
      </c>
      <c r="K13161" t="s">
        <v>42722</v>
      </c>
      <c r="M13161" t="s">
        <v>46898</v>
      </c>
      <c r="N13161" t="s">
        <v>47304</v>
      </c>
      <c r="O13161" t="s">
        <v>47305</v>
      </c>
      <c r="P13161">
        <v>0</v>
      </c>
      <c r="Q13161">
        <v>0</v>
      </c>
      <c r="R13161" t="s">
        <v>47320</v>
      </c>
      <c r="S13161" t="s">
        <v>47917</v>
      </c>
      <c r="T13161" t="s">
        <v>49016</v>
      </c>
      <c r="U13161" t="s">
        <v>60415</v>
      </c>
      <c r="V13161" t="s">
        <v>64080</v>
      </c>
      <c r="W13161" t="s">
        <v>46898</v>
      </c>
      <c r="X13161" t="s">
        <v>47321</v>
      </c>
    </row>
    <row r="13162" spans="1:24">
      <c r="A13162">
        <f>HYPERLINK("https://www.philgeps.gov.ph/GEPSNONPILOT/Tender/SplashBidNoticeAbstractUI.aspx?menuIndex=3&amp;refID=7150496&amp;Result=3","7150496")</f>
        <v>0</v>
      </c>
      <c r="B13162" t="s">
        <v>3561</v>
      </c>
      <c r="C13162" t="s">
        <v>16305</v>
      </c>
      <c r="D13162" t="s">
        <v>19038</v>
      </c>
      <c r="E13162" t="s">
        <v>29986</v>
      </c>
      <c r="F13162" t="s">
        <v>32606</v>
      </c>
      <c r="G13162" t="s">
        <v>32613</v>
      </c>
      <c r="H13162" t="s">
        <v>14201</v>
      </c>
      <c r="I13162" t="s">
        <v>6931</v>
      </c>
      <c r="J13162" t="s">
        <v>40903</v>
      </c>
      <c r="K13162" t="s">
        <v>42631</v>
      </c>
      <c r="M13162" t="s">
        <v>46846</v>
      </c>
      <c r="N13162" t="s">
        <v>47304</v>
      </c>
      <c r="O13162" t="s">
        <v>47305</v>
      </c>
      <c r="P13162">
        <v>0</v>
      </c>
      <c r="Q13162">
        <v>0</v>
      </c>
      <c r="R13162" t="s">
        <v>47320</v>
      </c>
      <c r="S13162" t="s">
        <v>47917</v>
      </c>
      <c r="T13162" t="s">
        <v>49040</v>
      </c>
      <c r="U13162" t="s">
        <v>60416</v>
      </c>
      <c r="W13162" t="s">
        <v>46846</v>
      </c>
      <c r="X13162" t="s">
        <v>47329</v>
      </c>
    </row>
    <row r="13163" spans="1:24">
      <c r="A13163">
        <f>HYPERLINK("https://www.philgeps.gov.ph/GEPSNONPILOT/Tender/SplashBidNoticeAbstractUI.aspx?menuIndex=3&amp;refID=7147506&amp;Result=3","7147506")</f>
        <v>0</v>
      </c>
      <c r="B13163" t="s">
        <v>3561</v>
      </c>
      <c r="C13163" t="s">
        <v>16306</v>
      </c>
      <c r="D13163" t="s">
        <v>19038</v>
      </c>
      <c r="E13163" t="s">
        <v>29986</v>
      </c>
      <c r="F13163" t="s">
        <v>32606</v>
      </c>
      <c r="G13163" t="s">
        <v>32613</v>
      </c>
      <c r="H13163" t="s">
        <v>14201</v>
      </c>
      <c r="I13163" t="s">
        <v>6931</v>
      </c>
      <c r="J13163" t="s">
        <v>40911</v>
      </c>
      <c r="K13163" t="s">
        <v>42631</v>
      </c>
      <c r="M13163" t="s">
        <v>46846</v>
      </c>
      <c r="N13163" t="s">
        <v>47304</v>
      </c>
      <c r="O13163" t="s">
        <v>47305</v>
      </c>
      <c r="P13163">
        <v>0</v>
      </c>
      <c r="Q13163">
        <v>0</v>
      </c>
      <c r="R13163" t="s">
        <v>47320</v>
      </c>
      <c r="S13163" t="s">
        <v>47917</v>
      </c>
      <c r="T13163" t="s">
        <v>49040</v>
      </c>
      <c r="U13163" t="s">
        <v>60417</v>
      </c>
      <c r="W13163" t="s">
        <v>46846</v>
      </c>
      <c r="X13163" t="s">
        <v>47332</v>
      </c>
    </row>
    <row r="13164" spans="1:24">
      <c r="A13164">
        <f>HYPERLINK("https://www.philgeps.gov.ph/GEPSNONPILOT/Tender/SplashBidNoticeAbstractUI.aspx?menuIndex=3&amp;refID=7169304&amp;Result=3","7169304")</f>
        <v>0</v>
      </c>
      <c r="B13164" t="s">
        <v>205</v>
      </c>
      <c r="C13164" t="s">
        <v>16307</v>
      </c>
      <c r="D13164" t="s">
        <v>19046</v>
      </c>
      <c r="E13164" t="s">
        <v>23210</v>
      </c>
      <c r="F13164" t="s">
        <v>32606</v>
      </c>
      <c r="G13164" t="s">
        <v>32613</v>
      </c>
      <c r="H13164" t="s">
        <v>14201</v>
      </c>
      <c r="I13164" t="s">
        <v>32633</v>
      </c>
      <c r="J13164" t="s">
        <v>40912</v>
      </c>
      <c r="K13164" t="s">
        <v>42694</v>
      </c>
      <c r="L13164" t="s">
        <v>205</v>
      </c>
      <c r="M13164" t="s">
        <v>43106</v>
      </c>
      <c r="N13164" t="s">
        <v>47304</v>
      </c>
      <c r="O13164" t="s">
        <v>47305</v>
      </c>
      <c r="P13164">
        <v>0</v>
      </c>
      <c r="Q13164">
        <v>2</v>
      </c>
      <c r="R13164" t="s">
        <v>47320</v>
      </c>
      <c r="S13164" t="s">
        <v>47917</v>
      </c>
      <c r="T13164" t="s">
        <v>48994</v>
      </c>
      <c r="U13164" t="s">
        <v>60418</v>
      </c>
      <c r="W13164" t="s">
        <v>43106</v>
      </c>
      <c r="X13164" t="s">
        <v>47321</v>
      </c>
    </row>
    <row r="13165" spans="1:24">
      <c r="A13165">
        <f>HYPERLINK("https://www.philgeps.gov.ph/GEPSNONPILOT/Tender/SplashBidNoticeAbstractUI.aspx?menuIndex=3&amp;refID=7169315&amp;Result=3","7169315")</f>
        <v>0</v>
      </c>
      <c r="B13165" t="s">
        <v>1636</v>
      </c>
      <c r="C13165" t="s">
        <v>16308</v>
      </c>
      <c r="D13165" t="s">
        <v>18997</v>
      </c>
      <c r="E13165" t="s">
        <v>30217</v>
      </c>
      <c r="F13165" t="s">
        <v>32606</v>
      </c>
      <c r="G13165" t="s">
        <v>32613</v>
      </c>
      <c r="H13165" t="s">
        <v>14201</v>
      </c>
      <c r="I13165" t="s">
        <v>7677</v>
      </c>
      <c r="J13165" t="s">
        <v>40913</v>
      </c>
      <c r="K13165" t="s">
        <v>42623</v>
      </c>
      <c r="L13165" t="s">
        <v>1636</v>
      </c>
      <c r="M13165" t="s">
        <v>44656</v>
      </c>
      <c r="N13165" t="s">
        <v>47304</v>
      </c>
      <c r="O13165" t="s">
        <v>47305</v>
      </c>
      <c r="P13165">
        <v>0</v>
      </c>
      <c r="Q13165">
        <v>11</v>
      </c>
      <c r="R13165" t="s">
        <v>47320</v>
      </c>
      <c r="S13165" t="s">
        <v>47917</v>
      </c>
      <c r="T13165" t="s">
        <v>48986</v>
      </c>
      <c r="U13165" t="s">
        <v>60419</v>
      </c>
      <c r="V13165" t="s">
        <v>64081</v>
      </c>
      <c r="W13165" t="s">
        <v>44656</v>
      </c>
      <c r="X13165" t="s">
        <v>47321</v>
      </c>
    </row>
    <row r="13166" spans="1:24">
      <c r="A13166">
        <f>HYPERLINK("https://www.philgeps.gov.ph/GEPSNONPILOT/Tender/SplashBidNoticeAbstractUI.aspx?menuIndex=3&amp;refID=7169294&amp;Result=3","7169294")</f>
        <v>0</v>
      </c>
      <c r="B13166" t="s">
        <v>3418</v>
      </c>
      <c r="C13166" t="s">
        <v>16309</v>
      </c>
      <c r="D13166" t="s">
        <v>18997</v>
      </c>
      <c r="E13166" t="s">
        <v>19120</v>
      </c>
      <c r="F13166" t="s">
        <v>32606</v>
      </c>
      <c r="G13166" t="s">
        <v>32613</v>
      </c>
      <c r="H13166" t="s">
        <v>14201</v>
      </c>
      <c r="I13166" t="s">
        <v>4120</v>
      </c>
      <c r="J13166" t="s">
        <v>40914</v>
      </c>
      <c r="K13166" t="s">
        <v>42631</v>
      </c>
      <c r="M13166" t="s">
        <v>46675</v>
      </c>
      <c r="N13166" t="s">
        <v>47304</v>
      </c>
      <c r="O13166" t="s">
        <v>47305</v>
      </c>
      <c r="P13166">
        <v>0</v>
      </c>
      <c r="Q13166">
        <v>3</v>
      </c>
      <c r="R13166" t="s">
        <v>47320</v>
      </c>
      <c r="S13166" t="s">
        <v>47917</v>
      </c>
      <c r="T13166" t="s">
        <v>48998</v>
      </c>
      <c r="U13166" t="s">
        <v>60420</v>
      </c>
      <c r="W13166" t="s">
        <v>46675</v>
      </c>
      <c r="X13166" t="s">
        <v>47321</v>
      </c>
    </row>
    <row r="13167" spans="1:24">
      <c r="A13167">
        <f>HYPERLINK("https://www.philgeps.gov.ph/GEPSNONPILOT/Tender/SplashBidNoticeAbstractUI.aspx?menuIndex=3&amp;refID=7169309&amp;Result=3","7169309")</f>
        <v>0</v>
      </c>
      <c r="B13167" t="s">
        <v>3607</v>
      </c>
      <c r="C13167" t="s">
        <v>16310</v>
      </c>
      <c r="D13167" t="s">
        <v>19043</v>
      </c>
      <c r="E13167" t="s">
        <v>30218</v>
      </c>
      <c r="F13167" t="s">
        <v>32606</v>
      </c>
      <c r="G13167" t="s">
        <v>32613</v>
      </c>
      <c r="H13167" t="s">
        <v>14201</v>
      </c>
      <c r="I13167" t="s">
        <v>4678</v>
      </c>
      <c r="J13167" t="s">
        <v>40915</v>
      </c>
      <c r="K13167" t="s">
        <v>42636</v>
      </c>
      <c r="M13167" t="s">
        <v>46899</v>
      </c>
      <c r="N13167" t="s">
        <v>47304</v>
      </c>
      <c r="O13167" t="s">
        <v>47305</v>
      </c>
      <c r="P13167">
        <v>0</v>
      </c>
      <c r="Q13167">
        <v>9</v>
      </c>
      <c r="R13167" t="s">
        <v>47320</v>
      </c>
      <c r="S13167" t="s">
        <v>47917</v>
      </c>
      <c r="T13167" t="s">
        <v>49017</v>
      </c>
      <c r="U13167" t="s">
        <v>60421</v>
      </c>
      <c r="V13167" t="s">
        <v>64082</v>
      </c>
      <c r="W13167" t="s">
        <v>46899</v>
      </c>
      <c r="X13167" t="s">
        <v>47321</v>
      </c>
    </row>
    <row r="13168" spans="1:24">
      <c r="A13168">
        <f>HYPERLINK("https://www.philgeps.gov.ph/GEPSNONPILOT/Tender/SplashBidNoticeAbstractUI.aspx?menuIndex=3&amp;refID=7169293&amp;Result=3","7169293")</f>
        <v>0</v>
      </c>
      <c r="B13168" t="s">
        <v>3400</v>
      </c>
      <c r="C13168" t="s">
        <v>16311</v>
      </c>
      <c r="D13168" t="s">
        <v>19031</v>
      </c>
      <c r="E13168" t="s">
        <v>30219</v>
      </c>
      <c r="F13168" t="s">
        <v>32606</v>
      </c>
      <c r="G13168" t="s">
        <v>32613</v>
      </c>
      <c r="H13168" t="s">
        <v>14201</v>
      </c>
      <c r="I13168" t="s">
        <v>32626</v>
      </c>
      <c r="J13168" t="s">
        <v>40916</v>
      </c>
      <c r="K13168" t="s">
        <v>42631</v>
      </c>
      <c r="M13168" t="s">
        <v>46653</v>
      </c>
      <c r="N13168" t="s">
        <v>47304</v>
      </c>
      <c r="O13168" t="s">
        <v>47305</v>
      </c>
      <c r="Q13168">
        <v>8</v>
      </c>
      <c r="R13168" t="s">
        <v>47320</v>
      </c>
      <c r="S13168" t="s">
        <v>47967</v>
      </c>
      <c r="T13168" t="s">
        <v>49127</v>
      </c>
      <c r="U13168" t="s">
        <v>60422</v>
      </c>
      <c r="W13168" t="s">
        <v>46653</v>
      </c>
      <c r="X13168" t="s">
        <v>47321</v>
      </c>
    </row>
    <row r="13169" spans="1:24">
      <c r="A13169">
        <f>HYPERLINK("https://www.philgeps.gov.ph/GEPSNONPILOT/Tender/SplashBidNoticeAbstractUI.aspx?menuIndex=3&amp;refID=7169283&amp;Result=3","7169283")</f>
        <v>0</v>
      </c>
      <c r="B13169" t="s">
        <v>3599</v>
      </c>
      <c r="C13169" t="s">
        <v>16312</v>
      </c>
      <c r="D13169" t="s">
        <v>18989</v>
      </c>
      <c r="E13169" t="s">
        <v>30220</v>
      </c>
      <c r="F13169" t="s">
        <v>32606</v>
      </c>
      <c r="G13169" t="s">
        <v>32613</v>
      </c>
      <c r="H13169" t="s">
        <v>14201</v>
      </c>
      <c r="I13169" t="s">
        <v>13131</v>
      </c>
      <c r="J13169" t="s">
        <v>39324</v>
      </c>
      <c r="K13169" t="s">
        <v>42631</v>
      </c>
      <c r="M13169" t="s">
        <v>46889</v>
      </c>
      <c r="N13169" t="s">
        <v>47304</v>
      </c>
      <c r="O13169" t="s">
        <v>47305</v>
      </c>
      <c r="P13169">
        <v>0</v>
      </c>
      <c r="Q13169">
        <v>10</v>
      </c>
      <c r="R13169" t="s">
        <v>47320</v>
      </c>
      <c r="S13169" t="s">
        <v>47917</v>
      </c>
      <c r="T13169" t="s">
        <v>49018</v>
      </c>
      <c r="U13169" t="s">
        <v>60423</v>
      </c>
      <c r="W13169" t="s">
        <v>64545</v>
      </c>
      <c r="X13169" t="s">
        <v>47321</v>
      </c>
    </row>
    <row r="13170" spans="1:24">
      <c r="A13170">
        <f>HYPERLINK("https://www.philgeps.gov.ph/GEPSNONPILOT/Tender/SplashBidNoticeAbstractUI.aspx?menuIndex=3&amp;refID=7169302&amp;Result=3","7169302")</f>
        <v>0</v>
      </c>
      <c r="B13170" t="s">
        <v>2871</v>
      </c>
      <c r="C13170" t="s">
        <v>16313</v>
      </c>
      <c r="E13170" t="s">
        <v>30221</v>
      </c>
      <c r="F13170" t="s">
        <v>32606</v>
      </c>
      <c r="G13170" t="s">
        <v>32613</v>
      </c>
      <c r="H13170" t="s">
        <v>14201</v>
      </c>
      <c r="I13170" t="s">
        <v>32637</v>
      </c>
      <c r="J13170" t="s">
        <v>40917</v>
      </c>
      <c r="K13170" t="s">
        <v>42624</v>
      </c>
      <c r="M13170" t="s">
        <v>46900</v>
      </c>
      <c r="N13170" t="s">
        <v>47304</v>
      </c>
      <c r="O13170" t="s">
        <v>47305</v>
      </c>
      <c r="Q13170">
        <v>6</v>
      </c>
      <c r="R13170" t="s">
        <v>47320</v>
      </c>
      <c r="S13170" t="s">
        <v>47968</v>
      </c>
      <c r="T13170" t="s">
        <v>49103</v>
      </c>
      <c r="U13170" t="s">
        <v>60424</v>
      </c>
      <c r="W13170" t="s">
        <v>46900</v>
      </c>
      <c r="X13170" t="s">
        <v>47321</v>
      </c>
    </row>
    <row r="13171" spans="1:24">
      <c r="A13171">
        <f>HYPERLINK("https://www.philgeps.gov.ph/GEPSNONPILOT/Tender/SplashBidNoticeAbstractUI.aspx?menuIndex=3&amp;refID=7169257&amp;Result=3","7169257")</f>
        <v>0</v>
      </c>
      <c r="B13171" t="s">
        <v>3599</v>
      </c>
      <c r="C13171" t="s">
        <v>16314</v>
      </c>
      <c r="D13171" t="s">
        <v>18989</v>
      </c>
      <c r="E13171" t="s">
        <v>30222</v>
      </c>
      <c r="F13171" t="s">
        <v>32606</v>
      </c>
      <c r="G13171" t="s">
        <v>32613</v>
      </c>
      <c r="H13171" t="s">
        <v>14201</v>
      </c>
      <c r="I13171" t="s">
        <v>6478</v>
      </c>
      <c r="J13171" t="s">
        <v>40918</v>
      </c>
      <c r="K13171" t="s">
        <v>42631</v>
      </c>
      <c r="M13171" t="s">
        <v>46889</v>
      </c>
      <c r="N13171" t="s">
        <v>47304</v>
      </c>
      <c r="O13171" t="s">
        <v>47305</v>
      </c>
      <c r="P13171">
        <v>0</v>
      </c>
      <c r="Q13171">
        <v>5</v>
      </c>
      <c r="R13171" t="s">
        <v>47320</v>
      </c>
      <c r="S13171" t="s">
        <v>47917</v>
      </c>
      <c r="T13171" t="s">
        <v>48976</v>
      </c>
      <c r="U13171" t="s">
        <v>60425</v>
      </c>
      <c r="W13171" t="s">
        <v>64545</v>
      </c>
      <c r="X13171" t="s">
        <v>47321</v>
      </c>
    </row>
    <row r="13172" spans="1:24">
      <c r="A13172">
        <f>HYPERLINK("https://www.philgeps.gov.ph/GEPSNONPILOT/Tender/SplashBidNoticeAbstractUI.aspx?menuIndex=3&amp;refID=7169319&amp;Result=3","7169319")</f>
        <v>0</v>
      </c>
      <c r="B13172" t="s">
        <v>3418</v>
      </c>
      <c r="C13172" t="s">
        <v>16309</v>
      </c>
      <c r="D13172" t="s">
        <v>18997</v>
      </c>
      <c r="E13172" t="s">
        <v>19326</v>
      </c>
      <c r="F13172" t="s">
        <v>32606</v>
      </c>
      <c r="G13172" t="s">
        <v>32613</v>
      </c>
      <c r="H13172" t="s">
        <v>14201</v>
      </c>
      <c r="I13172" t="s">
        <v>4112</v>
      </c>
      <c r="J13172" t="s">
        <v>40919</v>
      </c>
      <c r="K13172" t="s">
        <v>42631</v>
      </c>
      <c r="M13172" t="s">
        <v>46675</v>
      </c>
      <c r="N13172" t="s">
        <v>47304</v>
      </c>
      <c r="O13172" t="s">
        <v>47305</v>
      </c>
      <c r="P13172">
        <v>0</v>
      </c>
      <c r="Q13172">
        <v>1</v>
      </c>
      <c r="R13172" t="s">
        <v>47320</v>
      </c>
      <c r="S13172" t="s">
        <v>47917</v>
      </c>
      <c r="T13172" t="s">
        <v>48998</v>
      </c>
      <c r="U13172" t="s">
        <v>60426</v>
      </c>
      <c r="W13172" t="s">
        <v>46675</v>
      </c>
      <c r="X13172" t="s">
        <v>47321</v>
      </c>
    </row>
    <row r="13173" spans="1:24">
      <c r="A13173">
        <f>HYPERLINK("https://www.philgeps.gov.ph/GEPSNONPILOT/Tender/SplashBidNoticeAbstractUI.aspx?menuIndex=3&amp;refID=7173831&amp;Result=3","7173831")</f>
        <v>0</v>
      </c>
      <c r="B13173" t="s">
        <v>3608</v>
      </c>
      <c r="C13173" t="s">
        <v>16315</v>
      </c>
      <c r="D13173" t="s">
        <v>18995</v>
      </c>
      <c r="E13173" t="s">
        <v>30223</v>
      </c>
      <c r="F13173" t="s">
        <v>32606</v>
      </c>
      <c r="G13173" t="s">
        <v>32613</v>
      </c>
      <c r="H13173" t="s">
        <v>32623</v>
      </c>
      <c r="I13173" t="s">
        <v>17648</v>
      </c>
      <c r="J13173" t="s">
        <v>40920</v>
      </c>
      <c r="K13173" t="s">
        <v>42678</v>
      </c>
      <c r="M13173" t="s">
        <v>46901</v>
      </c>
      <c r="N13173" t="s">
        <v>47304</v>
      </c>
      <c r="O13173" t="s">
        <v>47305</v>
      </c>
      <c r="P13173">
        <v>0</v>
      </c>
      <c r="Q13173">
        <v>1</v>
      </c>
      <c r="R13173" t="s">
        <v>47319</v>
      </c>
      <c r="S13173" t="s">
        <v>47813</v>
      </c>
      <c r="T13173" t="s">
        <v>49004</v>
      </c>
      <c r="U13173" t="s">
        <v>60427</v>
      </c>
      <c r="W13173" t="s">
        <v>46901</v>
      </c>
      <c r="X13173" t="s">
        <v>47320</v>
      </c>
    </row>
    <row r="13174" spans="1:24">
      <c r="A13174">
        <f>HYPERLINK("https://www.philgeps.gov.ph/GEPSNONPILOT/Tender/SplashBidNoticeAbstractUI.aspx?menuIndex=3&amp;refID=7169242&amp;Result=3","7169242")</f>
        <v>0</v>
      </c>
      <c r="B13174" t="s">
        <v>3064</v>
      </c>
      <c r="C13174" t="s">
        <v>13297</v>
      </c>
      <c r="D13174" t="s">
        <v>19013</v>
      </c>
      <c r="E13174" t="s">
        <v>30224</v>
      </c>
      <c r="F13174" t="s">
        <v>32606</v>
      </c>
      <c r="G13174" t="s">
        <v>32614</v>
      </c>
      <c r="H13174" t="s">
        <v>32624</v>
      </c>
      <c r="I13174" t="s">
        <v>32669</v>
      </c>
      <c r="J13174" t="s">
        <v>32868</v>
      </c>
      <c r="K13174" t="s">
        <v>42684</v>
      </c>
      <c r="M13174" t="s">
        <v>46263</v>
      </c>
      <c r="N13174" t="s">
        <v>47304</v>
      </c>
      <c r="O13174" t="s">
        <v>47305</v>
      </c>
      <c r="Q13174">
        <v>1</v>
      </c>
      <c r="R13174" t="s">
        <v>47320</v>
      </c>
      <c r="S13174" t="s">
        <v>47969</v>
      </c>
      <c r="T13174" t="s">
        <v>49175</v>
      </c>
      <c r="U13174" t="s">
        <v>60428</v>
      </c>
      <c r="W13174" t="s">
        <v>46263</v>
      </c>
      <c r="X13174" t="s">
        <v>47321</v>
      </c>
    </row>
    <row r="13175" spans="1:24">
      <c r="A13175">
        <f>HYPERLINK("https://www.philgeps.gov.ph/GEPSNONPILOT/Tender/SplashBidNoticeAbstractUI.aspx?menuIndex=3&amp;refID=7169231&amp;Result=3","7169231")</f>
        <v>0</v>
      </c>
      <c r="B13175" t="s">
        <v>349</v>
      </c>
      <c r="C13175" t="s">
        <v>16316</v>
      </c>
      <c r="D13175" t="s">
        <v>19028</v>
      </c>
      <c r="E13175" t="s">
        <v>30225</v>
      </c>
      <c r="F13175" t="s">
        <v>32606</v>
      </c>
      <c r="G13175" t="s">
        <v>32613</v>
      </c>
      <c r="H13175" t="s">
        <v>14201</v>
      </c>
      <c r="I13175" t="s">
        <v>32652</v>
      </c>
      <c r="J13175" t="s">
        <v>32772</v>
      </c>
      <c r="K13175" t="s">
        <v>42631</v>
      </c>
      <c r="M13175" t="s">
        <v>43251</v>
      </c>
      <c r="N13175" t="s">
        <v>47304</v>
      </c>
      <c r="O13175" t="s">
        <v>47305</v>
      </c>
      <c r="P13175">
        <v>0</v>
      </c>
      <c r="Q13175">
        <v>1</v>
      </c>
      <c r="R13175" t="s">
        <v>47320</v>
      </c>
      <c r="S13175" t="s">
        <v>47917</v>
      </c>
      <c r="T13175" t="s">
        <v>48986</v>
      </c>
      <c r="U13175" t="s">
        <v>60429</v>
      </c>
      <c r="W13175" t="s">
        <v>43251</v>
      </c>
      <c r="X13175" t="s">
        <v>47321</v>
      </c>
    </row>
    <row r="13176" spans="1:24">
      <c r="A13176">
        <f>HYPERLINK("https://www.philgeps.gov.ph/GEPSNONPILOT/Tender/SplashBidNoticeAbstractUI.aspx?menuIndex=3&amp;refID=7169230&amp;Result=3","7169230")</f>
        <v>0</v>
      </c>
      <c r="B13176" t="s">
        <v>3599</v>
      </c>
      <c r="C13176" t="s">
        <v>16317</v>
      </c>
      <c r="D13176" t="s">
        <v>18989</v>
      </c>
      <c r="E13176" t="s">
        <v>30226</v>
      </c>
      <c r="F13176" t="s">
        <v>32606</v>
      </c>
      <c r="G13176" t="s">
        <v>32613</v>
      </c>
      <c r="H13176" t="s">
        <v>14201</v>
      </c>
      <c r="I13176" t="s">
        <v>32681</v>
      </c>
      <c r="J13176" t="s">
        <v>33079</v>
      </c>
      <c r="K13176" t="s">
        <v>42631</v>
      </c>
      <c r="M13176" t="s">
        <v>46889</v>
      </c>
      <c r="N13176" t="s">
        <v>47304</v>
      </c>
      <c r="O13176" t="s">
        <v>47305</v>
      </c>
      <c r="P13176">
        <v>0</v>
      </c>
      <c r="Q13176">
        <v>6</v>
      </c>
      <c r="R13176" t="s">
        <v>47320</v>
      </c>
      <c r="S13176" t="s">
        <v>47917</v>
      </c>
      <c r="T13176" t="s">
        <v>49018</v>
      </c>
      <c r="U13176" t="s">
        <v>60430</v>
      </c>
      <c r="W13176" t="s">
        <v>64545</v>
      </c>
      <c r="X13176" t="s">
        <v>47321</v>
      </c>
    </row>
    <row r="13177" spans="1:24">
      <c r="A13177">
        <f>HYPERLINK("https://www.philgeps.gov.ph/GEPSNONPILOT/Tender/SplashBidNoticeAbstractUI.aspx?menuIndex=3&amp;refID=7169449&amp;Result=3","7169449")</f>
        <v>0</v>
      </c>
      <c r="B13177" t="s">
        <v>2283</v>
      </c>
      <c r="C13177" t="s">
        <v>16318</v>
      </c>
      <c r="D13177" t="s">
        <v>19022</v>
      </c>
      <c r="E13177" t="s">
        <v>30227</v>
      </c>
      <c r="F13177" t="s">
        <v>32606</v>
      </c>
      <c r="G13177" t="s">
        <v>32613</v>
      </c>
      <c r="H13177" t="s">
        <v>14201</v>
      </c>
      <c r="I13177" t="s">
        <v>32629</v>
      </c>
      <c r="J13177" t="s">
        <v>40921</v>
      </c>
      <c r="K13177" t="s">
        <v>42629</v>
      </c>
      <c r="M13177" t="s">
        <v>46902</v>
      </c>
      <c r="N13177" t="s">
        <v>47304</v>
      </c>
      <c r="O13177" t="s">
        <v>47305</v>
      </c>
      <c r="P13177">
        <v>0</v>
      </c>
      <c r="Q13177">
        <v>0</v>
      </c>
      <c r="R13177" t="s">
        <v>47320</v>
      </c>
      <c r="S13177" t="s">
        <v>47917</v>
      </c>
      <c r="T13177" t="s">
        <v>49076</v>
      </c>
      <c r="U13177" t="s">
        <v>60431</v>
      </c>
      <c r="W13177" t="s">
        <v>46902</v>
      </c>
      <c r="X13177" t="s">
        <v>47321</v>
      </c>
    </row>
    <row r="13178" spans="1:24">
      <c r="A13178">
        <f>HYPERLINK("https://www.philgeps.gov.ph/GEPSNONPILOT/Tender/SplashBidNoticeAbstractUI.aspx?menuIndex=3&amp;refID=7169448&amp;Result=3","7169448")</f>
        <v>0</v>
      </c>
      <c r="B13178" t="s">
        <v>586</v>
      </c>
      <c r="C13178" t="s">
        <v>16319</v>
      </c>
      <c r="E13178" t="s">
        <v>30228</v>
      </c>
      <c r="F13178" t="s">
        <v>32606</v>
      </c>
      <c r="G13178" t="s">
        <v>32613</v>
      </c>
      <c r="H13178" t="s">
        <v>32623</v>
      </c>
      <c r="I13178" t="s">
        <v>17648</v>
      </c>
      <c r="J13178" t="s">
        <v>33071</v>
      </c>
      <c r="K13178" t="s">
        <v>42646</v>
      </c>
      <c r="M13178" t="s">
        <v>43501</v>
      </c>
      <c r="N13178" t="s">
        <v>47304</v>
      </c>
      <c r="O13178" t="s">
        <v>47305</v>
      </c>
      <c r="P13178">
        <v>0</v>
      </c>
      <c r="Q13178">
        <v>4</v>
      </c>
      <c r="R13178" t="s">
        <v>47320</v>
      </c>
      <c r="S13178" t="s">
        <v>47917</v>
      </c>
      <c r="T13178" t="s">
        <v>48988</v>
      </c>
      <c r="U13178" t="s">
        <v>60432</v>
      </c>
      <c r="W13178" t="s">
        <v>43501</v>
      </c>
      <c r="X13178" t="s">
        <v>47321</v>
      </c>
    </row>
    <row r="13179" spans="1:24">
      <c r="A13179">
        <f>HYPERLINK("https://www.philgeps.gov.ph/GEPSNONPILOT/Tender/SplashBidNoticeAbstractUI.aspx?menuIndex=3&amp;refID=7169467&amp;Result=3","7169467")</f>
        <v>0</v>
      </c>
      <c r="B13179" t="s">
        <v>3609</v>
      </c>
      <c r="C13179" t="s">
        <v>16320</v>
      </c>
      <c r="D13179" t="s">
        <v>19007</v>
      </c>
      <c r="E13179" t="s">
        <v>30229</v>
      </c>
      <c r="F13179" t="s">
        <v>32606</v>
      </c>
      <c r="G13179" t="s">
        <v>32613</v>
      </c>
      <c r="H13179" t="s">
        <v>32623</v>
      </c>
      <c r="I13179" t="s">
        <v>17648</v>
      </c>
      <c r="J13179" t="s">
        <v>32767</v>
      </c>
      <c r="K13179" t="s">
        <v>42645</v>
      </c>
      <c r="M13179" t="s">
        <v>46903</v>
      </c>
      <c r="N13179" t="s">
        <v>47304</v>
      </c>
      <c r="O13179" t="s">
        <v>47305</v>
      </c>
      <c r="P13179">
        <v>0</v>
      </c>
      <c r="Q13179">
        <v>1</v>
      </c>
      <c r="R13179" t="s">
        <v>47320</v>
      </c>
      <c r="S13179" t="s">
        <v>47917</v>
      </c>
      <c r="T13179" t="s">
        <v>48989</v>
      </c>
      <c r="U13179" t="s">
        <v>60433</v>
      </c>
      <c r="W13179" t="s">
        <v>46903</v>
      </c>
      <c r="X13179" t="s">
        <v>47321</v>
      </c>
    </row>
    <row r="13180" spans="1:24">
      <c r="A13180">
        <f>HYPERLINK("https://www.philgeps.gov.ph/GEPSNONPILOT/Tender/SplashBidNoticeAbstractUI.aspx?menuIndex=3&amp;refID=7169440&amp;Result=3","7169440")</f>
        <v>0</v>
      </c>
      <c r="B13180" t="s">
        <v>3599</v>
      </c>
      <c r="C13180" t="s">
        <v>16321</v>
      </c>
      <c r="D13180" t="s">
        <v>18989</v>
      </c>
      <c r="E13180" t="s">
        <v>30230</v>
      </c>
      <c r="F13180" t="s">
        <v>32606</v>
      </c>
      <c r="G13180" t="s">
        <v>32613</v>
      </c>
      <c r="H13180" t="s">
        <v>32623</v>
      </c>
      <c r="I13180" t="s">
        <v>17648</v>
      </c>
      <c r="J13180" t="s">
        <v>32778</v>
      </c>
      <c r="K13180" t="s">
        <v>42627</v>
      </c>
      <c r="M13180" t="s">
        <v>46889</v>
      </c>
      <c r="N13180" t="s">
        <v>47304</v>
      </c>
      <c r="O13180" t="s">
        <v>47305</v>
      </c>
      <c r="P13180">
        <v>0</v>
      </c>
      <c r="Q13180">
        <v>1</v>
      </c>
      <c r="R13180" t="s">
        <v>47320</v>
      </c>
      <c r="S13180" t="s">
        <v>47917</v>
      </c>
      <c r="T13180" t="s">
        <v>48976</v>
      </c>
      <c r="U13180" t="s">
        <v>60434</v>
      </c>
      <c r="W13180" t="s">
        <v>64545</v>
      </c>
      <c r="X13180" t="s">
        <v>47321</v>
      </c>
    </row>
    <row r="13181" spans="1:24">
      <c r="A13181">
        <f>HYPERLINK("https://www.philgeps.gov.ph/GEPSNONPILOT/Tender/SplashBidNoticeAbstractUI.aspx?menuIndex=3&amp;refID=7169416&amp;Result=3","7169416")</f>
        <v>0</v>
      </c>
      <c r="B13181" t="s">
        <v>3602</v>
      </c>
      <c r="C13181" t="s">
        <v>16322</v>
      </c>
      <c r="D13181" t="s">
        <v>18992</v>
      </c>
      <c r="E13181" t="s">
        <v>30231</v>
      </c>
      <c r="F13181" t="s">
        <v>32606</v>
      </c>
      <c r="G13181" t="s">
        <v>32613</v>
      </c>
      <c r="H13181" t="s">
        <v>32623</v>
      </c>
      <c r="I13181" t="s">
        <v>17648</v>
      </c>
      <c r="J13181" t="s">
        <v>40922</v>
      </c>
      <c r="K13181" t="s">
        <v>42648</v>
      </c>
      <c r="M13181" t="s">
        <v>46892</v>
      </c>
      <c r="N13181" t="s">
        <v>47304</v>
      </c>
      <c r="O13181" t="s">
        <v>47305</v>
      </c>
      <c r="P13181">
        <v>0</v>
      </c>
      <c r="Q13181">
        <v>0</v>
      </c>
      <c r="R13181" t="s">
        <v>47320</v>
      </c>
      <c r="S13181" t="s">
        <v>47917</v>
      </c>
      <c r="T13181" t="s">
        <v>48996</v>
      </c>
      <c r="U13181" t="s">
        <v>60435</v>
      </c>
      <c r="W13181" t="s">
        <v>46892</v>
      </c>
      <c r="X13181" t="s">
        <v>47321</v>
      </c>
    </row>
    <row r="13182" spans="1:24">
      <c r="A13182">
        <f>HYPERLINK("https://www.philgeps.gov.ph/GEPSNONPILOT/Tender/SplashBidNoticeAbstractUI.aspx?menuIndex=3&amp;refID=7173809&amp;Result=3","7173809")</f>
        <v>0</v>
      </c>
      <c r="B13182" t="s">
        <v>3551</v>
      </c>
      <c r="C13182" t="s">
        <v>16323</v>
      </c>
      <c r="D13182" t="s">
        <v>19008</v>
      </c>
      <c r="E13182" t="s">
        <v>29311</v>
      </c>
      <c r="F13182" t="s">
        <v>32606</v>
      </c>
      <c r="G13182" t="s">
        <v>32613</v>
      </c>
      <c r="H13182" t="s">
        <v>14201</v>
      </c>
      <c r="I13182" t="s">
        <v>7064</v>
      </c>
      <c r="J13182" t="s">
        <v>32795</v>
      </c>
      <c r="K13182" t="s">
        <v>42623</v>
      </c>
      <c r="L13182" t="s">
        <v>3551</v>
      </c>
      <c r="M13182" t="s">
        <v>46835</v>
      </c>
      <c r="N13182" t="s">
        <v>47304</v>
      </c>
      <c r="O13182" t="s">
        <v>47305</v>
      </c>
      <c r="Q13182">
        <v>7</v>
      </c>
      <c r="R13182" t="s">
        <v>47319</v>
      </c>
      <c r="S13182" t="s">
        <v>47970</v>
      </c>
      <c r="T13182" t="s">
        <v>49075</v>
      </c>
      <c r="U13182" t="s">
        <v>60436</v>
      </c>
      <c r="W13182" t="s">
        <v>46835</v>
      </c>
      <c r="X13182" t="s">
        <v>47320</v>
      </c>
    </row>
    <row r="13183" spans="1:24">
      <c r="A13183">
        <f>HYPERLINK("https://www.philgeps.gov.ph/GEPSNONPILOT/Tender/SplashBidNoticeAbstractUI.aspx?menuIndex=3&amp;refID=7169441&amp;Result=3","7169441")</f>
        <v>0</v>
      </c>
      <c r="B13183" t="s">
        <v>2871</v>
      </c>
      <c r="C13183" t="s">
        <v>16324</v>
      </c>
      <c r="E13183" t="s">
        <v>30232</v>
      </c>
      <c r="F13183" t="s">
        <v>32606</v>
      </c>
      <c r="G13183" t="s">
        <v>32613</v>
      </c>
      <c r="H13183" t="s">
        <v>14201</v>
      </c>
      <c r="I13183" t="s">
        <v>6298</v>
      </c>
      <c r="J13183" t="s">
        <v>40923</v>
      </c>
      <c r="K13183" t="s">
        <v>42624</v>
      </c>
      <c r="M13183" t="s">
        <v>46900</v>
      </c>
      <c r="N13183" t="s">
        <v>47304</v>
      </c>
      <c r="O13183" t="s">
        <v>47305</v>
      </c>
      <c r="P13183">
        <v>0</v>
      </c>
      <c r="Q13183">
        <v>5</v>
      </c>
      <c r="R13183" t="s">
        <v>47320</v>
      </c>
      <c r="S13183" t="s">
        <v>47917</v>
      </c>
      <c r="T13183" t="s">
        <v>49482</v>
      </c>
      <c r="U13183" t="s">
        <v>60437</v>
      </c>
      <c r="W13183" t="s">
        <v>46900</v>
      </c>
      <c r="X13183" t="s">
        <v>47321</v>
      </c>
    </row>
    <row r="13184" spans="1:24">
      <c r="A13184">
        <f>HYPERLINK("https://www.philgeps.gov.ph/GEPSNONPILOT/Tender/SplashBidNoticeAbstractUI.aspx?menuIndex=3&amp;refID=7169410&amp;Result=3","7169410")</f>
        <v>0</v>
      </c>
      <c r="B13184" t="s">
        <v>3599</v>
      </c>
      <c r="C13184" t="s">
        <v>16325</v>
      </c>
      <c r="D13184" t="s">
        <v>18989</v>
      </c>
      <c r="E13184" t="s">
        <v>30233</v>
      </c>
      <c r="F13184" t="s">
        <v>32606</v>
      </c>
      <c r="G13184" t="s">
        <v>32613</v>
      </c>
      <c r="H13184" t="s">
        <v>14201</v>
      </c>
      <c r="I13184" t="s">
        <v>32650</v>
      </c>
      <c r="J13184" t="s">
        <v>40924</v>
      </c>
      <c r="K13184" t="s">
        <v>42631</v>
      </c>
      <c r="M13184" t="s">
        <v>46889</v>
      </c>
      <c r="N13184" t="s">
        <v>47304</v>
      </c>
      <c r="O13184" t="s">
        <v>47305</v>
      </c>
      <c r="P13184">
        <v>0</v>
      </c>
      <c r="Q13184">
        <v>5</v>
      </c>
      <c r="R13184" t="s">
        <v>47320</v>
      </c>
      <c r="S13184" t="s">
        <v>47917</v>
      </c>
      <c r="T13184" t="s">
        <v>49018</v>
      </c>
      <c r="U13184" t="s">
        <v>60438</v>
      </c>
      <c r="W13184" t="s">
        <v>64545</v>
      </c>
      <c r="X13184" t="s">
        <v>47321</v>
      </c>
    </row>
    <row r="13185" spans="1:24">
      <c r="A13185">
        <f>HYPERLINK("https://www.philgeps.gov.ph/GEPSNONPILOT/Tender/SplashBidNoticeAbstractUI.aspx?menuIndex=3&amp;refID=7169386&amp;Result=3","7169386")</f>
        <v>0</v>
      </c>
      <c r="B13185" t="s">
        <v>3610</v>
      </c>
      <c r="C13185" t="s">
        <v>16326</v>
      </c>
      <c r="D13185" t="s">
        <v>19051</v>
      </c>
      <c r="E13185" t="s">
        <v>19314</v>
      </c>
      <c r="F13185" t="s">
        <v>32606</v>
      </c>
      <c r="G13185" t="s">
        <v>32613</v>
      </c>
      <c r="H13185" t="s">
        <v>32623</v>
      </c>
      <c r="I13185" t="s">
        <v>17648</v>
      </c>
      <c r="J13185" t="s">
        <v>32772</v>
      </c>
      <c r="K13185" t="s">
        <v>42631</v>
      </c>
      <c r="M13185" t="s">
        <v>46904</v>
      </c>
      <c r="N13185" t="s">
        <v>47304</v>
      </c>
      <c r="O13185" t="s">
        <v>47305</v>
      </c>
      <c r="P13185">
        <v>0</v>
      </c>
      <c r="Q13185">
        <v>3</v>
      </c>
      <c r="R13185" t="s">
        <v>47320</v>
      </c>
      <c r="S13185" t="s">
        <v>47917</v>
      </c>
      <c r="T13185" t="s">
        <v>48971</v>
      </c>
      <c r="U13185" t="s">
        <v>60439</v>
      </c>
      <c r="W13185" t="s">
        <v>46904</v>
      </c>
      <c r="X13185" t="s">
        <v>47321</v>
      </c>
    </row>
    <row r="13186" spans="1:24">
      <c r="A13186">
        <f>HYPERLINK("https://www.philgeps.gov.ph/GEPSNONPILOT/Tender/SplashBidNoticeAbstractUI.aspx?menuIndex=3&amp;refID=7169384&amp;Result=3","7169384")</f>
        <v>0</v>
      </c>
      <c r="B13186" t="s">
        <v>1568</v>
      </c>
      <c r="C13186" t="s">
        <v>16327</v>
      </c>
      <c r="D13186" t="s">
        <v>18994</v>
      </c>
      <c r="E13186" t="s">
        <v>30234</v>
      </c>
      <c r="F13186" t="s">
        <v>32606</v>
      </c>
      <c r="G13186" t="s">
        <v>32613</v>
      </c>
      <c r="H13186" t="s">
        <v>14201</v>
      </c>
      <c r="I13186" t="s">
        <v>6298</v>
      </c>
      <c r="J13186" t="s">
        <v>40925</v>
      </c>
      <c r="K13186" t="s">
        <v>42627</v>
      </c>
      <c r="M13186" t="s">
        <v>44577</v>
      </c>
      <c r="N13186" t="s">
        <v>47304</v>
      </c>
      <c r="O13186" t="s">
        <v>47305</v>
      </c>
      <c r="Q13186">
        <v>6</v>
      </c>
      <c r="R13186" t="s">
        <v>47320</v>
      </c>
      <c r="S13186" t="s">
        <v>47971</v>
      </c>
      <c r="T13186" t="s">
        <v>49011</v>
      </c>
      <c r="U13186" t="s">
        <v>60440</v>
      </c>
      <c r="V13186" t="s">
        <v>62763</v>
      </c>
      <c r="W13186" t="s">
        <v>44577</v>
      </c>
      <c r="X13186" t="s">
        <v>47321</v>
      </c>
    </row>
    <row r="13187" spans="1:24">
      <c r="A13187">
        <f>HYPERLINK("https://www.philgeps.gov.ph/GEPSNONPILOT/Tender/SplashBidNoticeAbstractUI.aspx?menuIndex=3&amp;refID=7169476&amp;Result=3","7169476")</f>
        <v>0</v>
      </c>
      <c r="B13187" t="s">
        <v>1898</v>
      </c>
      <c r="C13187" t="s">
        <v>16328</v>
      </c>
      <c r="D13187" t="s">
        <v>19058</v>
      </c>
      <c r="E13187" t="s">
        <v>30235</v>
      </c>
      <c r="F13187" t="s">
        <v>32606</v>
      </c>
      <c r="G13187" t="s">
        <v>32614</v>
      </c>
      <c r="H13187" t="s">
        <v>32625</v>
      </c>
      <c r="I13187" t="s">
        <v>32625</v>
      </c>
      <c r="J13187" t="s">
        <v>32752</v>
      </c>
      <c r="K13187" t="s">
        <v>42623</v>
      </c>
      <c r="M13187" t="s">
        <v>44983</v>
      </c>
      <c r="N13187" t="s">
        <v>47304</v>
      </c>
      <c r="O13187" t="s">
        <v>47305</v>
      </c>
      <c r="Q13187">
        <v>0</v>
      </c>
      <c r="R13187" t="s">
        <v>47320</v>
      </c>
      <c r="S13187" t="s">
        <v>47972</v>
      </c>
      <c r="T13187" t="s">
        <v>48998</v>
      </c>
      <c r="U13187" t="s">
        <v>60441</v>
      </c>
      <c r="W13187" t="s">
        <v>44957</v>
      </c>
      <c r="X13187" t="s">
        <v>47321</v>
      </c>
    </row>
    <row r="13188" spans="1:24">
      <c r="A13188">
        <f>HYPERLINK("https://www.philgeps.gov.ph/GEPSNONPILOT/Tender/SplashBidNoticeAbstractUI.aspx?menuIndex=3&amp;refID=7169385&amp;Result=3","7169385")</f>
        <v>0</v>
      </c>
      <c r="B13188" t="s">
        <v>3611</v>
      </c>
      <c r="C13188" t="s">
        <v>16329</v>
      </c>
      <c r="E13188" t="s">
        <v>21861</v>
      </c>
      <c r="F13188" t="s">
        <v>32606</v>
      </c>
      <c r="G13188" t="s">
        <v>32613</v>
      </c>
      <c r="H13188" t="s">
        <v>14201</v>
      </c>
      <c r="I13188" t="s">
        <v>6931</v>
      </c>
      <c r="J13188" t="s">
        <v>40926</v>
      </c>
      <c r="K13188" t="s">
        <v>42630</v>
      </c>
      <c r="M13188" t="s">
        <v>46905</v>
      </c>
      <c r="N13188" t="s">
        <v>47304</v>
      </c>
      <c r="O13188" t="s">
        <v>47305</v>
      </c>
      <c r="P13188">
        <v>0</v>
      </c>
      <c r="Q13188">
        <v>0</v>
      </c>
      <c r="R13188" t="s">
        <v>47320</v>
      </c>
      <c r="S13188" t="s">
        <v>47917</v>
      </c>
      <c r="T13188" t="s">
        <v>48976</v>
      </c>
      <c r="U13188" t="s">
        <v>60442</v>
      </c>
      <c r="V13188" t="s">
        <v>64083</v>
      </c>
      <c r="W13188" t="s">
        <v>46905</v>
      </c>
      <c r="X13188" t="s">
        <v>47321</v>
      </c>
    </row>
    <row r="13189" spans="1:24">
      <c r="A13189">
        <f>HYPERLINK("https://www.philgeps.gov.ph/GEPSNONPILOT/Tender/SplashBidNoticeAbstractUI.aspx?menuIndex=3&amp;refID=7169430&amp;Result=3","7169430")</f>
        <v>0</v>
      </c>
      <c r="B13189" t="s">
        <v>3612</v>
      </c>
      <c r="C13189" t="s">
        <v>16330</v>
      </c>
      <c r="E13189" t="s">
        <v>30236</v>
      </c>
      <c r="F13189" t="s">
        <v>32606</v>
      </c>
      <c r="G13189" t="s">
        <v>32613</v>
      </c>
      <c r="H13189" t="s">
        <v>32624</v>
      </c>
      <c r="I13189" t="s">
        <v>32661</v>
      </c>
      <c r="J13189" t="s">
        <v>40927</v>
      </c>
      <c r="K13189" t="s">
        <v>42631</v>
      </c>
      <c r="M13189" t="s">
        <v>46906</v>
      </c>
      <c r="N13189" t="s">
        <v>47304</v>
      </c>
      <c r="O13189" t="s">
        <v>47305</v>
      </c>
      <c r="P13189">
        <v>0</v>
      </c>
      <c r="Q13189">
        <v>4</v>
      </c>
      <c r="R13189" t="s">
        <v>47320</v>
      </c>
      <c r="S13189" t="s">
        <v>47917</v>
      </c>
      <c r="T13189" t="s">
        <v>49015</v>
      </c>
      <c r="U13189" t="s">
        <v>60443</v>
      </c>
      <c r="W13189" t="s">
        <v>46906</v>
      </c>
      <c r="X13189" t="s">
        <v>47321</v>
      </c>
    </row>
    <row r="13190" spans="1:24">
      <c r="A13190">
        <f>HYPERLINK("https://www.philgeps.gov.ph/GEPSNONPILOT/Tender/SplashBidNoticeAbstractUI.aspx?menuIndex=3&amp;refID=7169222&amp;Result=3","7169222")</f>
        <v>0</v>
      </c>
      <c r="B13190" t="s">
        <v>900</v>
      </c>
      <c r="C13190" t="s">
        <v>16331</v>
      </c>
      <c r="D13190" t="s">
        <v>19005</v>
      </c>
      <c r="E13190" t="s">
        <v>20836</v>
      </c>
      <c r="F13190" t="s">
        <v>32606</v>
      </c>
      <c r="G13190" t="s">
        <v>32613</v>
      </c>
      <c r="H13190" t="s">
        <v>14201</v>
      </c>
      <c r="I13190" t="s">
        <v>32640</v>
      </c>
      <c r="J13190" t="s">
        <v>33587</v>
      </c>
      <c r="K13190" t="s">
        <v>42631</v>
      </c>
      <c r="M13190" t="s">
        <v>43837</v>
      </c>
      <c r="N13190" t="s">
        <v>47304</v>
      </c>
      <c r="O13190" t="s">
        <v>47305</v>
      </c>
      <c r="P13190">
        <v>0</v>
      </c>
      <c r="Q13190">
        <v>1</v>
      </c>
      <c r="R13190" t="s">
        <v>47320</v>
      </c>
      <c r="S13190" t="s">
        <v>47917</v>
      </c>
      <c r="T13190" t="s">
        <v>49017</v>
      </c>
      <c r="U13190" t="s">
        <v>60444</v>
      </c>
      <c r="W13190" t="s">
        <v>43837</v>
      </c>
      <c r="X13190" t="s">
        <v>47321</v>
      </c>
    </row>
    <row r="13191" spans="1:24">
      <c r="A13191">
        <f>HYPERLINK("https://www.philgeps.gov.ph/GEPSNONPILOT/Tender/SplashBidNoticeAbstractUI.aspx?menuIndex=3&amp;refID=7169383&amp;Result=3","7169383")</f>
        <v>0</v>
      </c>
      <c r="B13191" t="s">
        <v>3418</v>
      </c>
      <c r="C13191" t="s">
        <v>16332</v>
      </c>
      <c r="D13191" t="s">
        <v>18997</v>
      </c>
      <c r="E13191" t="s">
        <v>24942</v>
      </c>
      <c r="F13191" t="s">
        <v>32606</v>
      </c>
      <c r="G13191" t="s">
        <v>32613</v>
      </c>
      <c r="H13191" t="s">
        <v>14201</v>
      </c>
      <c r="I13191" t="s">
        <v>4120</v>
      </c>
      <c r="J13191" t="s">
        <v>40928</v>
      </c>
      <c r="K13191" t="s">
        <v>42631</v>
      </c>
      <c r="M13191" t="s">
        <v>46675</v>
      </c>
      <c r="N13191" t="s">
        <v>47304</v>
      </c>
      <c r="O13191" t="s">
        <v>47305</v>
      </c>
      <c r="P13191">
        <v>0</v>
      </c>
      <c r="Q13191">
        <v>2</v>
      </c>
      <c r="R13191" t="s">
        <v>47320</v>
      </c>
      <c r="S13191" t="s">
        <v>47917</v>
      </c>
      <c r="T13191" t="s">
        <v>48998</v>
      </c>
      <c r="U13191" t="s">
        <v>60445</v>
      </c>
      <c r="W13191" t="s">
        <v>46675</v>
      </c>
      <c r="X13191" t="s">
        <v>47321</v>
      </c>
    </row>
    <row r="13192" spans="1:24">
      <c r="A13192">
        <f>HYPERLINK("https://www.philgeps.gov.ph/GEPSNONPILOT/Tender/SplashBidNoticeAbstractUI.aspx?menuIndex=3&amp;refID=7169543&amp;Result=3","7169543")</f>
        <v>0</v>
      </c>
      <c r="B13192" t="s">
        <v>2042</v>
      </c>
      <c r="C13192" t="s">
        <v>16333</v>
      </c>
      <c r="D13192" t="s">
        <v>19070</v>
      </c>
      <c r="E13192" t="s">
        <v>30237</v>
      </c>
      <c r="F13192" t="s">
        <v>32606</v>
      </c>
      <c r="G13192" t="s">
        <v>32613</v>
      </c>
      <c r="H13192" t="s">
        <v>32623</v>
      </c>
      <c r="I13192" t="s">
        <v>17648</v>
      </c>
      <c r="J13192" t="s">
        <v>32789</v>
      </c>
      <c r="K13192" t="s">
        <v>42631</v>
      </c>
      <c r="M13192" t="s">
        <v>45120</v>
      </c>
      <c r="N13192" t="s">
        <v>47304</v>
      </c>
      <c r="O13192" t="s">
        <v>47305</v>
      </c>
      <c r="P13192">
        <v>0</v>
      </c>
      <c r="Q13192">
        <v>0</v>
      </c>
      <c r="R13192" t="s">
        <v>47320</v>
      </c>
      <c r="S13192" t="s">
        <v>47917</v>
      </c>
      <c r="T13192" t="s">
        <v>48971</v>
      </c>
      <c r="U13192" t="s">
        <v>60446</v>
      </c>
      <c r="W13192" t="s">
        <v>45120</v>
      </c>
      <c r="X13192" t="s">
        <v>47321</v>
      </c>
    </row>
    <row r="13193" spans="1:24">
      <c r="A13193">
        <f>HYPERLINK("https://www.philgeps.gov.ph/GEPSNONPILOT/Tender/SplashBidNoticeAbstractUI.aspx?menuIndex=3&amp;refID=7169443&amp;Result=3","7169443")</f>
        <v>0</v>
      </c>
      <c r="B13193" t="s">
        <v>2093</v>
      </c>
      <c r="C13193" t="s">
        <v>16334</v>
      </c>
      <c r="D13193" t="s">
        <v>19069</v>
      </c>
      <c r="E13193" t="s">
        <v>30238</v>
      </c>
      <c r="F13193" t="s">
        <v>32606</v>
      </c>
      <c r="G13193" t="s">
        <v>32613</v>
      </c>
      <c r="H13193" t="s">
        <v>14201</v>
      </c>
      <c r="I13193" t="s">
        <v>4369</v>
      </c>
      <c r="J13193" t="s">
        <v>40929</v>
      </c>
      <c r="K13193" t="s">
        <v>42624</v>
      </c>
      <c r="M13193" t="s">
        <v>45178</v>
      </c>
      <c r="N13193" t="s">
        <v>47304</v>
      </c>
      <c r="O13193" t="s">
        <v>47305</v>
      </c>
      <c r="P13193">
        <v>0</v>
      </c>
      <c r="Q13193">
        <v>12</v>
      </c>
      <c r="R13193" t="s">
        <v>47320</v>
      </c>
      <c r="S13193" t="s">
        <v>47917</v>
      </c>
      <c r="T13193" t="s">
        <v>49483</v>
      </c>
      <c r="U13193" t="s">
        <v>60447</v>
      </c>
      <c r="V13193" t="s">
        <v>63282</v>
      </c>
      <c r="W13193" t="s">
        <v>45178</v>
      </c>
      <c r="X13193" t="s">
        <v>47321</v>
      </c>
    </row>
    <row r="13194" spans="1:24">
      <c r="A13194">
        <f>HYPERLINK("https://www.philgeps.gov.ph/GEPSNONPILOT/Tender/SplashBidNoticeAbstractUI.aspx?menuIndex=3&amp;refID=7169351&amp;Result=3","7169351")</f>
        <v>0</v>
      </c>
      <c r="B13194" t="s">
        <v>1450</v>
      </c>
      <c r="C13194" t="s">
        <v>16335</v>
      </c>
      <c r="D13194" t="s">
        <v>19002</v>
      </c>
      <c r="E13194" t="s">
        <v>23293</v>
      </c>
      <c r="F13194" t="s">
        <v>32606</v>
      </c>
      <c r="G13194" t="s">
        <v>32613</v>
      </c>
      <c r="H13194" t="s">
        <v>14201</v>
      </c>
      <c r="I13194" t="s">
        <v>32633</v>
      </c>
      <c r="J13194" t="s">
        <v>40930</v>
      </c>
      <c r="K13194" t="s">
        <v>42631</v>
      </c>
      <c r="M13194" t="s">
        <v>44441</v>
      </c>
      <c r="N13194" t="s">
        <v>47304</v>
      </c>
      <c r="O13194" t="s">
        <v>47305</v>
      </c>
      <c r="P13194">
        <v>0</v>
      </c>
      <c r="Q13194">
        <v>3</v>
      </c>
      <c r="R13194" t="s">
        <v>47320</v>
      </c>
      <c r="S13194" t="s">
        <v>47917</v>
      </c>
      <c r="T13194" t="s">
        <v>49017</v>
      </c>
      <c r="U13194" t="s">
        <v>60448</v>
      </c>
      <c r="V13194" t="s">
        <v>64084</v>
      </c>
      <c r="W13194" t="s">
        <v>44441</v>
      </c>
      <c r="X13194" t="s">
        <v>47321</v>
      </c>
    </row>
    <row r="13195" spans="1:24">
      <c r="A13195">
        <f>HYPERLINK("https://www.philgeps.gov.ph/GEPSNONPILOT/Tender/SplashBidNoticeAbstractUI.aspx?menuIndex=3&amp;refID=7169542&amp;Result=3","7169542")</f>
        <v>0</v>
      </c>
      <c r="B13195" t="s">
        <v>2319</v>
      </c>
      <c r="C13195" t="s">
        <v>16336</v>
      </c>
      <c r="D13195" t="s">
        <v>19045</v>
      </c>
      <c r="E13195" t="s">
        <v>30239</v>
      </c>
      <c r="F13195" t="s">
        <v>32606</v>
      </c>
      <c r="G13195" t="s">
        <v>32613</v>
      </c>
      <c r="H13195" t="s">
        <v>14201</v>
      </c>
      <c r="I13195" t="s">
        <v>6478</v>
      </c>
      <c r="J13195" t="s">
        <v>40931</v>
      </c>
      <c r="K13195" t="s">
        <v>42622</v>
      </c>
      <c r="M13195" t="s">
        <v>45427</v>
      </c>
      <c r="N13195" t="s">
        <v>47304</v>
      </c>
      <c r="O13195" t="s">
        <v>47305</v>
      </c>
      <c r="P13195">
        <v>0</v>
      </c>
      <c r="Q13195">
        <v>1</v>
      </c>
      <c r="R13195" t="s">
        <v>47320</v>
      </c>
      <c r="S13195" t="s">
        <v>47917</v>
      </c>
      <c r="T13195" t="s">
        <v>49023</v>
      </c>
      <c r="U13195" t="s">
        <v>60449</v>
      </c>
      <c r="W13195" t="s">
        <v>45427</v>
      </c>
      <c r="X13195" t="s">
        <v>47321</v>
      </c>
    </row>
    <row r="13196" spans="1:24">
      <c r="A13196">
        <f>HYPERLINK("https://www.philgeps.gov.ph/GEPSNONPILOT/Tender/SplashBidNoticeAbstractUI.aspx?menuIndex=3&amp;refID=7169536&amp;Result=3","7169536")</f>
        <v>0</v>
      </c>
      <c r="B13196" t="s">
        <v>2042</v>
      </c>
      <c r="C13196" t="s">
        <v>16337</v>
      </c>
      <c r="D13196" t="s">
        <v>19070</v>
      </c>
      <c r="E13196" t="s">
        <v>30240</v>
      </c>
      <c r="F13196" t="s">
        <v>32606</v>
      </c>
      <c r="G13196" t="s">
        <v>32613</v>
      </c>
      <c r="H13196" t="s">
        <v>32623</v>
      </c>
      <c r="I13196" t="s">
        <v>17648</v>
      </c>
      <c r="J13196" t="s">
        <v>33102</v>
      </c>
      <c r="K13196" t="s">
        <v>42631</v>
      </c>
      <c r="M13196" t="s">
        <v>45120</v>
      </c>
      <c r="N13196" t="s">
        <v>47304</v>
      </c>
      <c r="O13196" t="s">
        <v>47305</v>
      </c>
      <c r="P13196">
        <v>0</v>
      </c>
      <c r="Q13196">
        <v>0</v>
      </c>
      <c r="R13196" t="s">
        <v>47320</v>
      </c>
      <c r="S13196" t="s">
        <v>47917</v>
      </c>
      <c r="T13196" t="s">
        <v>48971</v>
      </c>
      <c r="U13196" t="s">
        <v>60446</v>
      </c>
      <c r="W13196" t="s">
        <v>45120</v>
      </c>
      <c r="X13196" t="s">
        <v>47321</v>
      </c>
    </row>
    <row r="13197" spans="1:24">
      <c r="A13197">
        <f>HYPERLINK("https://www.philgeps.gov.ph/GEPSNONPILOT/Tender/SplashBidNoticeAbstractUI.aspx?menuIndex=3&amp;refID=7169535&amp;Result=3","7169535")</f>
        <v>0</v>
      </c>
      <c r="B13197" t="s">
        <v>3416</v>
      </c>
      <c r="C13197" t="s">
        <v>16338</v>
      </c>
      <c r="D13197" t="s">
        <v>19019</v>
      </c>
      <c r="E13197" t="s">
        <v>30241</v>
      </c>
      <c r="F13197" t="s">
        <v>32606</v>
      </c>
      <c r="G13197" t="s">
        <v>32613</v>
      </c>
      <c r="H13197" t="s">
        <v>32623</v>
      </c>
      <c r="I13197" t="s">
        <v>6931</v>
      </c>
      <c r="J13197" t="s">
        <v>34435</v>
      </c>
      <c r="K13197" t="s">
        <v>42646</v>
      </c>
      <c r="M13197" t="s">
        <v>46673</v>
      </c>
      <c r="N13197" t="s">
        <v>47304</v>
      </c>
      <c r="O13197" t="s">
        <v>47305</v>
      </c>
      <c r="P13197">
        <v>0</v>
      </c>
      <c r="Q13197">
        <v>0</v>
      </c>
      <c r="R13197" t="s">
        <v>47320</v>
      </c>
      <c r="S13197" t="s">
        <v>47917</v>
      </c>
      <c r="T13197" t="s">
        <v>48987</v>
      </c>
      <c r="U13197" t="s">
        <v>60450</v>
      </c>
      <c r="W13197" t="s">
        <v>46673</v>
      </c>
      <c r="X13197" t="s">
        <v>47321</v>
      </c>
    </row>
    <row r="13198" spans="1:24">
      <c r="A13198">
        <f>HYPERLINK("https://www.philgeps.gov.ph/GEPSNONPILOT/Tender/SplashBidNoticeAbstractUI.aspx?menuIndex=3&amp;refID=7169534&amp;Result=3","7169534")</f>
        <v>0</v>
      </c>
      <c r="B13198" t="s">
        <v>3613</v>
      </c>
      <c r="C13198" t="s">
        <v>16339</v>
      </c>
      <c r="D13198" t="s">
        <v>19014</v>
      </c>
      <c r="E13198" t="s">
        <v>30242</v>
      </c>
      <c r="F13198" t="s">
        <v>32606</v>
      </c>
      <c r="G13198" t="s">
        <v>32613</v>
      </c>
      <c r="H13198" t="s">
        <v>32625</v>
      </c>
      <c r="I13198" t="s">
        <v>32625</v>
      </c>
      <c r="J13198" t="s">
        <v>34128</v>
      </c>
      <c r="K13198" t="s">
        <v>42664</v>
      </c>
      <c r="M13198" t="s">
        <v>46907</v>
      </c>
      <c r="N13198" t="s">
        <v>47304</v>
      </c>
      <c r="O13198" t="s">
        <v>47305</v>
      </c>
      <c r="P13198">
        <v>0</v>
      </c>
      <c r="Q13198">
        <v>16</v>
      </c>
      <c r="R13198" t="s">
        <v>47320</v>
      </c>
      <c r="S13198" t="s">
        <v>47917</v>
      </c>
      <c r="T13198" t="s">
        <v>48996</v>
      </c>
      <c r="U13198" t="s">
        <v>60451</v>
      </c>
      <c r="V13198" t="s">
        <v>63262</v>
      </c>
      <c r="W13198" t="s">
        <v>46907</v>
      </c>
      <c r="X13198" t="s">
        <v>47321</v>
      </c>
    </row>
    <row r="13199" spans="1:24">
      <c r="A13199">
        <f>HYPERLINK("https://www.philgeps.gov.ph/GEPSNONPILOT/Tender/SplashBidNoticeAbstractUI.aspx?menuIndex=3&amp;refID=7169528&amp;Result=3","7169528")</f>
        <v>0</v>
      </c>
      <c r="B13199" t="s">
        <v>1450</v>
      </c>
      <c r="C13199" t="s">
        <v>16340</v>
      </c>
      <c r="D13199" t="s">
        <v>19002</v>
      </c>
      <c r="E13199" t="s">
        <v>30202</v>
      </c>
      <c r="F13199" t="s">
        <v>32606</v>
      </c>
      <c r="G13199" t="s">
        <v>32613</v>
      </c>
      <c r="H13199" t="s">
        <v>32623</v>
      </c>
      <c r="I13199" t="s">
        <v>17648</v>
      </c>
      <c r="J13199" t="s">
        <v>34667</v>
      </c>
      <c r="K13199" t="s">
        <v>42648</v>
      </c>
      <c r="M13199" t="s">
        <v>44441</v>
      </c>
      <c r="N13199" t="s">
        <v>47304</v>
      </c>
      <c r="O13199" t="s">
        <v>47305</v>
      </c>
      <c r="P13199">
        <v>0</v>
      </c>
      <c r="Q13199">
        <v>1</v>
      </c>
      <c r="R13199" t="s">
        <v>47320</v>
      </c>
      <c r="S13199" t="s">
        <v>47917</v>
      </c>
      <c r="T13199" t="s">
        <v>49017</v>
      </c>
      <c r="U13199" t="s">
        <v>60452</v>
      </c>
      <c r="W13199" t="s">
        <v>44441</v>
      </c>
      <c r="X13199" t="s">
        <v>47321</v>
      </c>
    </row>
    <row r="13200" spans="1:24">
      <c r="A13200">
        <f>HYPERLINK("https://www.philgeps.gov.ph/GEPSNONPILOT/Tender/SplashBidNoticeAbstractUI.aspx?menuIndex=3&amp;refID=7169550&amp;Result=3","7169550")</f>
        <v>0</v>
      </c>
      <c r="B13200" t="s">
        <v>2419</v>
      </c>
      <c r="C13200" t="s">
        <v>16341</v>
      </c>
      <c r="D13200" t="s">
        <v>19055</v>
      </c>
      <c r="E13200" t="s">
        <v>30243</v>
      </c>
      <c r="F13200" t="s">
        <v>32606</v>
      </c>
      <c r="G13200" t="s">
        <v>32613</v>
      </c>
      <c r="H13200" t="s">
        <v>14201</v>
      </c>
      <c r="I13200" t="s">
        <v>7064</v>
      </c>
      <c r="J13200" t="s">
        <v>36686</v>
      </c>
      <c r="K13200" t="s">
        <v>42631</v>
      </c>
      <c r="M13200" t="s">
        <v>45545</v>
      </c>
      <c r="N13200" t="s">
        <v>47304</v>
      </c>
      <c r="O13200" t="s">
        <v>47305</v>
      </c>
      <c r="P13200">
        <v>0</v>
      </c>
      <c r="Q13200">
        <v>1</v>
      </c>
      <c r="R13200" t="s">
        <v>47320</v>
      </c>
      <c r="S13200" t="s">
        <v>47917</v>
      </c>
      <c r="T13200" t="s">
        <v>49076</v>
      </c>
      <c r="U13200" t="s">
        <v>60453</v>
      </c>
      <c r="W13200" t="s">
        <v>45545</v>
      </c>
      <c r="X13200" t="s">
        <v>47321</v>
      </c>
    </row>
    <row r="13201" spans="1:24">
      <c r="A13201">
        <f>HYPERLINK("https://www.philgeps.gov.ph/GEPSNONPILOT/Tender/SplashBidNoticeAbstractUI.aspx?menuIndex=3&amp;refID=7169527&amp;Result=3","7169527")</f>
        <v>0</v>
      </c>
      <c r="B13201" t="s">
        <v>311</v>
      </c>
      <c r="C13201" t="s">
        <v>16342</v>
      </c>
      <c r="D13201" t="s">
        <v>18993</v>
      </c>
      <c r="E13201" t="s">
        <v>30244</v>
      </c>
      <c r="F13201" t="s">
        <v>32606</v>
      </c>
      <c r="G13201" t="s">
        <v>32613</v>
      </c>
      <c r="H13201" t="s">
        <v>14201</v>
      </c>
      <c r="I13201" t="s">
        <v>32710</v>
      </c>
      <c r="J13201" t="s">
        <v>32767</v>
      </c>
      <c r="K13201" t="s">
        <v>42631</v>
      </c>
      <c r="M13201" t="s">
        <v>43888</v>
      </c>
      <c r="N13201" t="s">
        <v>47304</v>
      </c>
      <c r="O13201" t="s">
        <v>47305</v>
      </c>
      <c r="P13201">
        <v>0</v>
      </c>
      <c r="Q13201">
        <v>2</v>
      </c>
      <c r="R13201" t="s">
        <v>47320</v>
      </c>
      <c r="S13201" t="s">
        <v>47917</v>
      </c>
      <c r="T13201" t="s">
        <v>49002</v>
      </c>
      <c r="U13201" t="s">
        <v>60454</v>
      </c>
      <c r="W13201" t="s">
        <v>43888</v>
      </c>
      <c r="X13201" t="s">
        <v>47321</v>
      </c>
    </row>
    <row r="13202" spans="1:24">
      <c r="A13202">
        <f>HYPERLINK("https://www.philgeps.gov.ph/GEPSNONPILOT/Tender/SplashBidNoticeAbstractUI.aspx?menuIndex=3&amp;refID=7169521&amp;Result=3","7169521")</f>
        <v>0</v>
      </c>
      <c r="B13202" t="s">
        <v>2884</v>
      </c>
      <c r="C13202" t="s">
        <v>16343</v>
      </c>
      <c r="D13202" t="s">
        <v>19051</v>
      </c>
      <c r="E13202" t="s">
        <v>30245</v>
      </c>
      <c r="F13202" t="s">
        <v>32606</v>
      </c>
      <c r="G13202" t="s">
        <v>32613</v>
      </c>
      <c r="H13202" t="s">
        <v>14201</v>
      </c>
      <c r="I13202" t="s">
        <v>6931</v>
      </c>
      <c r="J13202" t="s">
        <v>40932</v>
      </c>
      <c r="K13202" t="s">
        <v>42623</v>
      </c>
      <c r="M13202" t="s">
        <v>46057</v>
      </c>
      <c r="N13202" t="s">
        <v>47304</v>
      </c>
      <c r="O13202" t="s">
        <v>47305</v>
      </c>
      <c r="P13202">
        <v>0</v>
      </c>
      <c r="Q13202">
        <v>0</v>
      </c>
      <c r="R13202" t="s">
        <v>47320</v>
      </c>
      <c r="S13202" t="s">
        <v>47917</v>
      </c>
      <c r="T13202" t="s">
        <v>49053</v>
      </c>
      <c r="U13202" t="s">
        <v>60455</v>
      </c>
      <c r="W13202" t="s">
        <v>46057</v>
      </c>
      <c r="X13202" t="s">
        <v>47321</v>
      </c>
    </row>
    <row r="13203" spans="1:24">
      <c r="A13203">
        <f>HYPERLINK("https://www.philgeps.gov.ph/GEPSNONPILOT/Tender/SplashBidNoticeAbstractUI.aspx?menuIndex=3&amp;refID=7169520&amp;Result=3","7169520")</f>
        <v>0</v>
      </c>
      <c r="B13203" t="s">
        <v>3614</v>
      </c>
      <c r="C13203" t="s">
        <v>7197</v>
      </c>
      <c r="D13203" t="s">
        <v>19056</v>
      </c>
      <c r="E13203" t="s">
        <v>30246</v>
      </c>
      <c r="F13203" t="s">
        <v>32606</v>
      </c>
      <c r="G13203" t="s">
        <v>32614</v>
      </c>
      <c r="H13203" t="s">
        <v>14201</v>
      </c>
      <c r="I13203" t="s">
        <v>32724</v>
      </c>
      <c r="J13203" t="s">
        <v>40933</v>
      </c>
      <c r="K13203" t="s">
        <v>42684</v>
      </c>
      <c r="M13203" t="s">
        <v>46908</v>
      </c>
      <c r="N13203" t="s">
        <v>47304</v>
      </c>
      <c r="O13203" t="s">
        <v>47305</v>
      </c>
      <c r="Q13203">
        <v>2</v>
      </c>
      <c r="R13203" t="s">
        <v>47320</v>
      </c>
      <c r="S13203" t="s">
        <v>47973</v>
      </c>
      <c r="T13203" t="s">
        <v>49315</v>
      </c>
      <c r="U13203" t="s">
        <v>60456</v>
      </c>
      <c r="W13203" t="s">
        <v>46908</v>
      </c>
      <c r="X13203" t="s">
        <v>47321</v>
      </c>
    </row>
    <row r="13204" spans="1:24">
      <c r="A13204">
        <f>HYPERLINK("https://www.philgeps.gov.ph/GEPSNONPILOT/Tender/SplashBidNoticeAbstractUI.aspx?menuIndex=3&amp;refID=7169506&amp;Result=3","7169506")</f>
        <v>0</v>
      </c>
      <c r="B13204" t="s">
        <v>622</v>
      </c>
      <c r="C13204" t="s">
        <v>16344</v>
      </c>
      <c r="D13204" t="s">
        <v>18989</v>
      </c>
      <c r="E13204" t="s">
        <v>30247</v>
      </c>
      <c r="F13204" t="s">
        <v>32606</v>
      </c>
      <c r="G13204" t="s">
        <v>32613</v>
      </c>
      <c r="H13204" t="s">
        <v>14201</v>
      </c>
      <c r="I13204" t="s">
        <v>7064</v>
      </c>
      <c r="J13204" t="s">
        <v>32830</v>
      </c>
      <c r="K13204" t="s">
        <v>42639</v>
      </c>
      <c r="M13204" t="s">
        <v>45998</v>
      </c>
      <c r="N13204" t="s">
        <v>47304</v>
      </c>
      <c r="O13204" t="s">
        <v>47305</v>
      </c>
      <c r="P13204">
        <v>0</v>
      </c>
      <c r="Q13204">
        <v>10</v>
      </c>
      <c r="R13204" t="s">
        <v>47320</v>
      </c>
      <c r="S13204" t="s">
        <v>47917</v>
      </c>
      <c r="T13204" t="s">
        <v>49016</v>
      </c>
      <c r="U13204" t="s">
        <v>60457</v>
      </c>
      <c r="W13204" t="s">
        <v>43540</v>
      </c>
      <c r="X13204" t="s">
        <v>47321</v>
      </c>
    </row>
    <row r="13205" spans="1:24">
      <c r="A13205">
        <f>HYPERLINK("https://www.philgeps.gov.ph/GEPSNONPILOT/Tender/SplashBidNoticeAbstractUI.aspx?menuIndex=3&amp;refID=7169505&amp;Result=3","7169505")</f>
        <v>0</v>
      </c>
      <c r="B13205" t="s">
        <v>2042</v>
      </c>
      <c r="C13205" t="s">
        <v>16345</v>
      </c>
      <c r="D13205" t="s">
        <v>19070</v>
      </c>
      <c r="E13205" t="s">
        <v>30248</v>
      </c>
      <c r="F13205" t="s">
        <v>32606</v>
      </c>
      <c r="G13205" t="s">
        <v>32613</v>
      </c>
      <c r="H13205" t="s">
        <v>32623</v>
      </c>
      <c r="I13205" t="s">
        <v>17648</v>
      </c>
      <c r="J13205" t="s">
        <v>32778</v>
      </c>
      <c r="K13205" t="s">
        <v>42648</v>
      </c>
      <c r="M13205" t="s">
        <v>45120</v>
      </c>
      <c r="N13205" t="s">
        <v>47304</v>
      </c>
      <c r="O13205" t="s">
        <v>47305</v>
      </c>
      <c r="P13205">
        <v>0</v>
      </c>
      <c r="Q13205">
        <v>0</v>
      </c>
      <c r="R13205" t="s">
        <v>47320</v>
      </c>
      <c r="S13205" t="s">
        <v>47917</v>
      </c>
      <c r="T13205" t="s">
        <v>48971</v>
      </c>
      <c r="U13205" t="s">
        <v>60446</v>
      </c>
      <c r="W13205" t="s">
        <v>45120</v>
      </c>
      <c r="X13205" t="s">
        <v>47321</v>
      </c>
    </row>
    <row r="13206" spans="1:24">
      <c r="A13206">
        <f>HYPERLINK("https://www.philgeps.gov.ph/GEPSNONPILOT/Tender/SplashBidNoticeAbstractUI.aspx?menuIndex=3&amp;refID=7169537&amp;Result=3","7169537")</f>
        <v>0</v>
      </c>
      <c r="B13206" t="s">
        <v>755</v>
      </c>
      <c r="C13206" t="s">
        <v>16346</v>
      </c>
      <c r="D13206" t="s">
        <v>18988</v>
      </c>
      <c r="E13206" t="s">
        <v>30249</v>
      </c>
      <c r="F13206" t="s">
        <v>32606</v>
      </c>
      <c r="G13206" t="s">
        <v>32613</v>
      </c>
      <c r="H13206" t="s">
        <v>14201</v>
      </c>
      <c r="I13206" t="s">
        <v>6993</v>
      </c>
      <c r="J13206" t="s">
        <v>40934</v>
      </c>
      <c r="K13206" t="s">
        <v>42631</v>
      </c>
      <c r="M13206" t="s">
        <v>43679</v>
      </c>
      <c r="N13206" t="s">
        <v>47304</v>
      </c>
      <c r="O13206" t="s">
        <v>47305</v>
      </c>
      <c r="Q13206">
        <v>4</v>
      </c>
      <c r="R13206" t="s">
        <v>47320</v>
      </c>
      <c r="S13206" t="s">
        <v>47974</v>
      </c>
      <c r="T13206" t="s">
        <v>49017</v>
      </c>
      <c r="U13206" t="s">
        <v>60458</v>
      </c>
      <c r="W13206" t="s">
        <v>43679</v>
      </c>
      <c r="X13206" t="s">
        <v>47321</v>
      </c>
    </row>
    <row r="13207" spans="1:24">
      <c r="A13207">
        <f>HYPERLINK("https://www.philgeps.gov.ph/GEPSNONPILOT/Tender/SplashBidNoticeAbstractUI.aspx?menuIndex=3&amp;refID=7169499&amp;Result=3","7169499")</f>
        <v>0</v>
      </c>
      <c r="B13207" t="s">
        <v>3599</v>
      </c>
      <c r="C13207" t="s">
        <v>16347</v>
      </c>
      <c r="D13207" t="s">
        <v>18989</v>
      </c>
      <c r="E13207" t="s">
        <v>30250</v>
      </c>
      <c r="F13207" t="s">
        <v>32606</v>
      </c>
      <c r="G13207" t="s">
        <v>32613</v>
      </c>
      <c r="H13207" t="s">
        <v>32623</v>
      </c>
      <c r="I13207" t="s">
        <v>17648</v>
      </c>
      <c r="J13207" t="s">
        <v>32795</v>
      </c>
      <c r="K13207" t="s">
        <v>42636</v>
      </c>
      <c r="M13207" t="s">
        <v>46889</v>
      </c>
      <c r="N13207" t="s">
        <v>47304</v>
      </c>
      <c r="O13207" t="s">
        <v>47305</v>
      </c>
      <c r="P13207">
        <v>0</v>
      </c>
      <c r="Q13207">
        <v>2</v>
      </c>
      <c r="R13207" t="s">
        <v>47320</v>
      </c>
      <c r="S13207" t="s">
        <v>47917</v>
      </c>
      <c r="T13207" t="s">
        <v>49018</v>
      </c>
      <c r="U13207" t="s">
        <v>60459</v>
      </c>
      <c r="W13207" t="s">
        <v>64545</v>
      </c>
      <c r="X13207" t="s">
        <v>47321</v>
      </c>
    </row>
    <row r="13208" spans="1:24">
      <c r="A13208">
        <f>HYPERLINK("https://www.philgeps.gov.ph/GEPSNONPILOT/Tender/SplashBidNoticeAbstractUI.aspx?menuIndex=3&amp;refID=7169371&amp;Result=3","7169371")</f>
        <v>0</v>
      </c>
      <c r="B13208" t="s">
        <v>3599</v>
      </c>
      <c r="C13208" t="s">
        <v>16348</v>
      </c>
      <c r="D13208" t="s">
        <v>18989</v>
      </c>
      <c r="E13208" t="s">
        <v>30251</v>
      </c>
      <c r="F13208" t="s">
        <v>32606</v>
      </c>
      <c r="G13208" t="s">
        <v>32613</v>
      </c>
      <c r="H13208" t="s">
        <v>14201</v>
      </c>
      <c r="I13208" t="s">
        <v>32635</v>
      </c>
      <c r="J13208" t="s">
        <v>40935</v>
      </c>
      <c r="K13208" t="s">
        <v>42631</v>
      </c>
      <c r="M13208" t="s">
        <v>46889</v>
      </c>
      <c r="N13208" t="s">
        <v>47304</v>
      </c>
      <c r="O13208" t="s">
        <v>47305</v>
      </c>
      <c r="P13208">
        <v>0</v>
      </c>
      <c r="Q13208">
        <v>5</v>
      </c>
      <c r="R13208" t="s">
        <v>47320</v>
      </c>
      <c r="S13208" t="s">
        <v>47917</v>
      </c>
      <c r="T13208" t="s">
        <v>49018</v>
      </c>
      <c r="U13208" t="s">
        <v>60460</v>
      </c>
      <c r="W13208" t="s">
        <v>64545</v>
      </c>
      <c r="X13208" t="s">
        <v>47321</v>
      </c>
    </row>
    <row r="13209" spans="1:24">
      <c r="A13209">
        <f>HYPERLINK("https://www.philgeps.gov.ph/GEPSNONPILOT/Tender/SplashBidNoticeAbstractUI.aspx?menuIndex=3&amp;refID=7169493&amp;Result=3","7169493")</f>
        <v>0</v>
      </c>
      <c r="B13209" t="s">
        <v>3602</v>
      </c>
      <c r="C13209" t="s">
        <v>16349</v>
      </c>
      <c r="D13209" t="s">
        <v>18992</v>
      </c>
      <c r="E13209" t="s">
        <v>30252</v>
      </c>
      <c r="F13209" t="s">
        <v>32606</v>
      </c>
      <c r="G13209" t="s">
        <v>32613</v>
      </c>
      <c r="H13209" t="s">
        <v>14201</v>
      </c>
      <c r="I13209" t="s">
        <v>7529</v>
      </c>
      <c r="J13209" t="s">
        <v>40936</v>
      </c>
      <c r="K13209" t="s">
        <v>42631</v>
      </c>
      <c r="M13209" t="s">
        <v>46892</v>
      </c>
      <c r="N13209" t="s">
        <v>47304</v>
      </c>
      <c r="O13209" t="s">
        <v>47305</v>
      </c>
      <c r="P13209">
        <v>0</v>
      </c>
      <c r="Q13209">
        <v>5</v>
      </c>
      <c r="R13209" t="s">
        <v>47320</v>
      </c>
      <c r="S13209" t="s">
        <v>47917</v>
      </c>
      <c r="T13209" t="s">
        <v>48996</v>
      </c>
      <c r="U13209" t="s">
        <v>60461</v>
      </c>
      <c r="W13209" t="s">
        <v>46892</v>
      </c>
      <c r="X13209" t="s">
        <v>47321</v>
      </c>
    </row>
    <row r="13210" spans="1:24">
      <c r="A13210">
        <f>HYPERLINK("https://www.philgeps.gov.ph/GEPSNONPILOT/Tender/SplashBidNoticeAbstractUI.aspx?menuIndex=3&amp;refID=7169491&amp;Result=3","7169491")</f>
        <v>0</v>
      </c>
      <c r="B13210" t="s">
        <v>3377</v>
      </c>
      <c r="C13210" t="s">
        <v>16350</v>
      </c>
      <c r="D13210" t="s">
        <v>19011</v>
      </c>
      <c r="E13210" t="s">
        <v>30253</v>
      </c>
      <c r="F13210" t="s">
        <v>32606</v>
      </c>
      <c r="G13210" t="s">
        <v>32613</v>
      </c>
      <c r="H13210" t="s">
        <v>14201</v>
      </c>
      <c r="I13210" t="s">
        <v>6931</v>
      </c>
      <c r="J13210" t="s">
        <v>32765</v>
      </c>
      <c r="K13210" t="s">
        <v>42623</v>
      </c>
      <c r="M13210" t="s">
        <v>46627</v>
      </c>
      <c r="N13210" t="s">
        <v>47304</v>
      </c>
      <c r="O13210" t="s">
        <v>47305</v>
      </c>
      <c r="P13210">
        <v>0</v>
      </c>
      <c r="Q13210">
        <v>2</v>
      </c>
      <c r="R13210" t="s">
        <v>47320</v>
      </c>
      <c r="S13210" t="s">
        <v>47917</v>
      </c>
      <c r="T13210" t="s">
        <v>49020</v>
      </c>
      <c r="U13210" t="s">
        <v>60462</v>
      </c>
      <c r="W13210" t="s">
        <v>46627</v>
      </c>
      <c r="X13210" t="s">
        <v>47321</v>
      </c>
    </row>
    <row r="13211" spans="1:24">
      <c r="A13211">
        <f>HYPERLINK("https://www.philgeps.gov.ph/GEPSNONPILOT/Tender/SplashBidNoticeAbstractUI.aspx?menuIndex=3&amp;refID=7169509&amp;Result=3","7169509")</f>
        <v>0</v>
      </c>
      <c r="B13211" t="s">
        <v>3615</v>
      </c>
      <c r="C13211" t="s">
        <v>16351</v>
      </c>
      <c r="D13211" t="s">
        <v>19016</v>
      </c>
      <c r="E13211" t="s">
        <v>30254</v>
      </c>
      <c r="F13211" t="s">
        <v>32606</v>
      </c>
      <c r="G13211" t="s">
        <v>32613</v>
      </c>
      <c r="H13211" t="s">
        <v>32623</v>
      </c>
      <c r="I13211" t="s">
        <v>17648</v>
      </c>
      <c r="J13211" t="s">
        <v>40937</v>
      </c>
      <c r="K13211" t="s">
        <v>42648</v>
      </c>
      <c r="M13211" t="s">
        <v>46909</v>
      </c>
      <c r="N13211" t="s">
        <v>47304</v>
      </c>
      <c r="O13211" t="s">
        <v>47305</v>
      </c>
      <c r="P13211">
        <v>0</v>
      </c>
      <c r="Q13211">
        <v>29</v>
      </c>
      <c r="R13211" t="s">
        <v>47320</v>
      </c>
      <c r="S13211" t="s">
        <v>47917</v>
      </c>
      <c r="T13211" t="s">
        <v>48976</v>
      </c>
      <c r="U13211" t="s">
        <v>60463</v>
      </c>
      <c r="W13211" t="s">
        <v>46909</v>
      </c>
      <c r="X13211" t="s">
        <v>47321</v>
      </c>
    </row>
    <row r="13212" spans="1:24">
      <c r="A13212">
        <f>HYPERLINK("https://www.philgeps.gov.ph/GEPSNONPILOT/Tender/SplashBidNoticeAbstractUI.aspx?menuIndex=3&amp;refID=7169329&amp;Result=3","7169329")</f>
        <v>0</v>
      </c>
      <c r="B13212" t="s">
        <v>3275</v>
      </c>
      <c r="C13212" t="s">
        <v>16352</v>
      </c>
      <c r="D13212" t="s">
        <v>19006</v>
      </c>
      <c r="E13212" t="s">
        <v>30255</v>
      </c>
      <c r="F13212" t="s">
        <v>32606</v>
      </c>
      <c r="G13212" t="s">
        <v>32613</v>
      </c>
      <c r="H13212" t="s">
        <v>14201</v>
      </c>
      <c r="I13212" t="s">
        <v>6298</v>
      </c>
      <c r="J13212" t="s">
        <v>40938</v>
      </c>
      <c r="K13212" t="s">
        <v>42631</v>
      </c>
      <c r="M13212" t="s">
        <v>46509</v>
      </c>
      <c r="N13212" t="s">
        <v>47304</v>
      </c>
      <c r="O13212" t="s">
        <v>47305</v>
      </c>
      <c r="Q13212">
        <v>5</v>
      </c>
      <c r="R13212" t="s">
        <v>47320</v>
      </c>
      <c r="S13212" t="s">
        <v>47975</v>
      </c>
      <c r="T13212" t="s">
        <v>49018</v>
      </c>
      <c r="U13212" t="s">
        <v>60464</v>
      </c>
      <c r="W13212" t="s">
        <v>46509</v>
      </c>
      <c r="X13212" t="s">
        <v>47321</v>
      </c>
    </row>
    <row r="13213" spans="1:24">
      <c r="A13213">
        <f>HYPERLINK("https://www.philgeps.gov.ph/GEPSNONPILOT/Tender/SplashBidNoticeAbstractUI.aspx?menuIndex=3&amp;refID=7169486&amp;Result=3","7169486")</f>
        <v>0</v>
      </c>
      <c r="B13213" t="s">
        <v>3616</v>
      </c>
      <c r="C13213" t="s">
        <v>16353</v>
      </c>
      <c r="D13213" t="s">
        <v>19040</v>
      </c>
      <c r="E13213" t="s">
        <v>30256</v>
      </c>
      <c r="F13213" t="s">
        <v>32606</v>
      </c>
      <c r="G13213" t="s">
        <v>32613</v>
      </c>
      <c r="H13213" t="s">
        <v>32623</v>
      </c>
      <c r="I13213" t="s">
        <v>17648</v>
      </c>
      <c r="J13213" t="s">
        <v>32767</v>
      </c>
      <c r="K13213" t="s">
        <v>42720</v>
      </c>
      <c r="M13213" t="s">
        <v>46910</v>
      </c>
      <c r="N13213" t="s">
        <v>47304</v>
      </c>
      <c r="O13213" t="s">
        <v>47305</v>
      </c>
      <c r="P13213">
        <v>0</v>
      </c>
      <c r="Q13213">
        <v>0</v>
      </c>
      <c r="R13213" t="s">
        <v>47320</v>
      </c>
      <c r="S13213" t="s">
        <v>47917</v>
      </c>
      <c r="T13213" t="s">
        <v>48992</v>
      </c>
      <c r="U13213" t="s">
        <v>60465</v>
      </c>
      <c r="V13213" t="s">
        <v>64085</v>
      </c>
      <c r="W13213" t="s">
        <v>46910</v>
      </c>
      <c r="X13213" t="s">
        <v>47321</v>
      </c>
    </row>
    <row r="13214" spans="1:24">
      <c r="A13214">
        <f>HYPERLINK("https://www.philgeps.gov.ph/GEPSNONPILOT/Tender/SplashBidNoticeAbstractUI.aspx?menuIndex=3&amp;refID=7169331&amp;Result=3","7169331")</f>
        <v>0</v>
      </c>
      <c r="B13214" t="s">
        <v>3610</v>
      </c>
      <c r="C13214" t="s">
        <v>16354</v>
      </c>
      <c r="D13214" t="s">
        <v>19051</v>
      </c>
      <c r="E13214" t="s">
        <v>20525</v>
      </c>
      <c r="F13214" t="s">
        <v>32606</v>
      </c>
      <c r="G13214" t="s">
        <v>32613</v>
      </c>
      <c r="H13214" t="s">
        <v>32623</v>
      </c>
      <c r="I13214" t="s">
        <v>17648</v>
      </c>
      <c r="J13214" t="s">
        <v>40327</v>
      </c>
      <c r="K13214" t="s">
        <v>42646</v>
      </c>
      <c r="M13214" t="s">
        <v>46904</v>
      </c>
      <c r="N13214" t="s">
        <v>47304</v>
      </c>
      <c r="O13214" t="s">
        <v>47305</v>
      </c>
      <c r="P13214">
        <v>0</v>
      </c>
      <c r="Q13214">
        <v>4</v>
      </c>
      <c r="R13214" t="s">
        <v>47320</v>
      </c>
      <c r="S13214" t="s">
        <v>47917</v>
      </c>
      <c r="T13214" t="s">
        <v>48971</v>
      </c>
      <c r="U13214" t="s">
        <v>60466</v>
      </c>
      <c r="W13214" t="s">
        <v>46904</v>
      </c>
      <c r="X13214" t="s">
        <v>47321</v>
      </c>
    </row>
    <row r="13215" spans="1:24">
      <c r="A13215">
        <f>HYPERLINK("https://www.philgeps.gov.ph/GEPSNONPILOT/Tender/SplashBidNoticeAbstractUI.aspx?menuIndex=3&amp;refID=7169213&amp;Result=3","7169213")</f>
        <v>0</v>
      </c>
      <c r="B13215" t="s">
        <v>837</v>
      </c>
      <c r="C13215" t="s">
        <v>16355</v>
      </c>
      <c r="D13215" t="s">
        <v>19011</v>
      </c>
      <c r="E13215" t="s">
        <v>30257</v>
      </c>
      <c r="F13215" t="s">
        <v>32606</v>
      </c>
      <c r="G13215" t="s">
        <v>32613</v>
      </c>
      <c r="H13215" t="s">
        <v>32624</v>
      </c>
      <c r="I13215" t="s">
        <v>32628</v>
      </c>
      <c r="J13215" t="s">
        <v>40939</v>
      </c>
      <c r="K13215" t="s">
        <v>42631</v>
      </c>
      <c r="M13215" t="s">
        <v>46911</v>
      </c>
      <c r="N13215" t="s">
        <v>47304</v>
      </c>
      <c r="O13215" t="s">
        <v>47305</v>
      </c>
      <c r="Q13215">
        <v>6</v>
      </c>
      <c r="R13215" t="s">
        <v>47320</v>
      </c>
      <c r="S13215" t="s">
        <v>47701</v>
      </c>
      <c r="T13215" t="s">
        <v>49023</v>
      </c>
      <c r="U13215" t="s">
        <v>60467</v>
      </c>
      <c r="W13215" t="s">
        <v>46911</v>
      </c>
      <c r="X13215" t="s">
        <v>47321</v>
      </c>
    </row>
    <row r="13216" spans="1:24">
      <c r="A13216">
        <f>HYPERLINK("https://www.philgeps.gov.ph/GEPSNONPILOT/Tender/SplashBidNoticeAbstractUI.aspx?menuIndex=3&amp;refID=7169500&amp;Result=3","7169500")</f>
        <v>0</v>
      </c>
      <c r="B13216" t="s">
        <v>3613</v>
      </c>
      <c r="C13216" t="s">
        <v>16356</v>
      </c>
      <c r="D13216" t="s">
        <v>19014</v>
      </c>
      <c r="E13216" t="s">
        <v>30258</v>
      </c>
      <c r="F13216" t="s">
        <v>32606</v>
      </c>
      <c r="G13216" t="s">
        <v>32613</v>
      </c>
      <c r="H13216" t="s">
        <v>14201</v>
      </c>
      <c r="I13216" t="s">
        <v>7064</v>
      </c>
      <c r="J13216" t="s">
        <v>40940</v>
      </c>
      <c r="K13216" t="s">
        <v>42623</v>
      </c>
      <c r="M13216" t="s">
        <v>46907</v>
      </c>
      <c r="N13216" t="s">
        <v>47304</v>
      </c>
      <c r="O13216" t="s">
        <v>47305</v>
      </c>
      <c r="P13216">
        <v>0</v>
      </c>
      <c r="Q13216">
        <v>10</v>
      </c>
      <c r="R13216" t="s">
        <v>47320</v>
      </c>
      <c r="S13216" t="s">
        <v>47917</v>
      </c>
      <c r="T13216" t="s">
        <v>48996</v>
      </c>
      <c r="U13216" t="s">
        <v>60468</v>
      </c>
      <c r="V13216" t="s">
        <v>63262</v>
      </c>
      <c r="W13216" t="s">
        <v>46907</v>
      </c>
      <c r="X13216" t="s">
        <v>47321</v>
      </c>
    </row>
    <row r="13217" spans="1:24">
      <c r="A13217">
        <f>HYPERLINK("https://www.philgeps.gov.ph/GEPSNONPILOT/Tender/SplashBidNoticeAbstractUI.aspx?menuIndex=3&amp;refID=7169206&amp;Result=3","7169206")</f>
        <v>0</v>
      </c>
      <c r="B13217" t="s">
        <v>726</v>
      </c>
      <c r="C13217" t="s">
        <v>16357</v>
      </c>
      <c r="D13217" t="s">
        <v>19009</v>
      </c>
      <c r="E13217" t="s">
        <v>30259</v>
      </c>
      <c r="F13217" t="s">
        <v>32606</v>
      </c>
      <c r="G13217" t="s">
        <v>32613</v>
      </c>
      <c r="H13217" t="s">
        <v>14201</v>
      </c>
      <c r="I13217" t="s">
        <v>4678</v>
      </c>
      <c r="J13217" t="s">
        <v>34205</v>
      </c>
      <c r="K13217" t="s">
        <v>42623</v>
      </c>
      <c r="M13217" t="s">
        <v>45264</v>
      </c>
      <c r="N13217" t="s">
        <v>47304</v>
      </c>
      <c r="O13217" t="s">
        <v>47305</v>
      </c>
      <c r="P13217">
        <v>0</v>
      </c>
      <c r="Q13217">
        <v>1</v>
      </c>
      <c r="R13217" t="s">
        <v>47320</v>
      </c>
      <c r="S13217" t="s">
        <v>47917</v>
      </c>
      <c r="T13217" t="s">
        <v>49060</v>
      </c>
      <c r="U13217" t="s">
        <v>60469</v>
      </c>
      <c r="V13217" t="s">
        <v>62846</v>
      </c>
      <c r="W13217" t="s">
        <v>45264</v>
      </c>
      <c r="X13217" t="s">
        <v>47321</v>
      </c>
    </row>
    <row r="13218" spans="1:24">
      <c r="A13218">
        <f>HYPERLINK("https://www.philgeps.gov.ph/GEPSNONPILOT/Tender/SplashBidNoticeAbstractUI.aspx?menuIndex=3&amp;refID=7169198&amp;Result=3","7169198")</f>
        <v>0</v>
      </c>
      <c r="B13218" t="s">
        <v>3599</v>
      </c>
      <c r="C13218" t="s">
        <v>16358</v>
      </c>
      <c r="D13218" t="s">
        <v>18989</v>
      </c>
      <c r="E13218" t="s">
        <v>30260</v>
      </c>
      <c r="F13218" t="s">
        <v>32606</v>
      </c>
      <c r="G13218" t="s">
        <v>32613</v>
      </c>
      <c r="H13218" t="s">
        <v>14201</v>
      </c>
      <c r="I13218" t="s">
        <v>32640</v>
      </c>
      <c r="J13218" t="s">
        <v>33051</v>
      </c>
      <c r="K13218" t="s">
        <v>42631</v>
      </c>
      <c r="M13218" t="s">
        <v>46889</v>
      </c>
      <c r="N13218" t="s">
        <v>47304</v>
      </c>
      <c r="O13218" t="s">
        <v>47305</v>
      </c>
      <c r="P13218">
        <v>0</v>
      </c>
      <c r="Q13218">
        <v>1</v>
      </c>
      <c r="R13218" t="s">
        <v>47320</v>
      </c>
      <c r="S13218" t="s">
        <v>47917</v>
      </c>
      <c r="T13218" t="s">
        <v>49018</v>
      </c>
      <c r="U13218" t="s">
        <v>60470</v>
      </c>
      <c r="W13218" t="s">
        <v>64545</v>
      </c>
      <c r="X13218" t="s">
        <v>47321</v>
      </c>
    </row>
    <row r="13219" spans="1:24">
      <c r="A13219">
        <f>HYPERLINK("https://www.philgeps.gov.ph/GEPSNONPILOT/Tender/SplashBidNoticeAbstractUI.aspx?menuIndex=3&amp;refID=7169364&amp;Result=3","7169364")</f>
        <v>0</v>
      </c>
      <c r="B13219" t="s">
        <v>3603</v>
      </c>
      <c r="C13219" t="s">
        <v>16359</v>
      </c>
      <c r="E13219" t="s">
        <v>30261</v>
      </c>
      <c r="F13219" t="s">
        <v>32606</v>
      </c>
      <c r="G13219" t="s">
        <v>32613</v>
      </c>
      <c r="H13219" t="s">
        <v>14201</v>
      </c>
      <c r="I13219" t="s">
        <v>32654</v>
      </c>
      <c r="J13219" t="s">
        <v>40941</v>
      </c>
      <c r="K13219" t="s">
        <v>42636</v>
      </c>
      <c r="M13219" t="s">
        <v>46895</v>
      </c>
      <c r="N13219" t="s">
        <v>47304</v>
      </c>
      <c r="O13219" t="s">
        <v>47305</v>
      </c>
      <c r="Q13219">
        <v>2</v>
      </c>
      <c r="R13219" t="s">
        <v>47320</v>
      </c>
      <c r="S13219" t="s">
        <v>47459</v>
      </c>
      <c r="T13219" t="s">
        <v>49484</v>
      </c>
      <c r="U13219" t="s">
        <v>60471</v>
      </c>
      <c r="W13219" t="s">
        <v>46895</v>
      </c>
      <c r="X13219" t="s">
        <v>47321</v>
      </c>
    </row>
    <row r="13220" spans="1:24">
      <c r="A13220">
        <f>HYPERLINK("https://www.philgeps.gov.ph/GEPSNONPILOT/Tender/SplashBidNoticeAbstractUI.aspx?menuIndex=3&amp;refID=7169503&amp;Result=3","7169503")</f>
        <v>0</v>
      </c>
      <c r="B13220" t="s">
        <v>311</v>
      </c>
      <c r="C13220" t="s">
        <v>16360</v>
      </c>
      <c r="D13220" t="s">
        <v>18993</v>
      </c>
      <c r="E13220" t="s">
        <v>30262</v>
      </c>
      <c r="F13220" t="s">
        <v>32606</v>
      </c>
      <c r="G13220" t="s">
        <v>32613</v>
      </c>
      <c r="H13220" t="s">
        <v>14201</v>
      </c>
      <c r="I13220" t="s">
        <v>32658</v>
      </c>
      <c r="J13220" t="s">
        <v>40942</v>
      </c>
      <c r="K13220" t="s">
        <v>42631</v>
      </c>
      <c r="M13220" t="s">
        <v>43888</v>
      </c>
      <c r="N13220" t="s">
        <v>47304</v>
      </c>
      <c r="O13220" t="s">
        <v>47305</v>
      </c>
      <c r="P13220">
        <v>0</v>
      </c>
      <c r="Q13220">
        <v>4</v>
      </c>
      <c r="R13220" t="s">
        <v>47320</v>
      </c>
      <c r="S13220" t="s">
        <v>47917</v>
      </c>
      <c r="T13220" t="s">
        <v>49002</v>
      </c>
      <c r="U13220" t="s">
        <v>60472</v>
      </c>
      <c r="W13220" t="s">
        <v>43888</v>
      </c>
      <c r="X13220" t="s">
        <v>47321</v>
      </c>
    </row>
    <row r="13221" spans="1:24">
      <c r="A13221">
        <f>HYPERLINK("https://www.philgeps.gov.ph/GEPSNONPILOT/Tender/SplashBidNoticeAbstractUI.aspx?menuIndex=3&amp;refID=7169615&amp;Result=3","7169615")</f>
        <v>0</v>
      </c>
      <c r="B13221" t="s">
        <v>3617</v>
      </c>
      <c r="C13221" t="s">
        <v>16361</v>
      </c>
      <c r="D13221" t="s">
        <v>19059</v>
      </c>
      <c r="E13221" t="s">
        <v>24293</v>
      </c>
      <c r="F13221" t="s">
        <v>32606</v>
      </c>
      <c r="G13221" t="s">
        <v>32613</v>
      </c>
      <c r="H13221" t="s">
        <v>32623</v>
      </c>
      <c r="I13221" t="s">
        <v>32661</v>
      </c>
      <c r="J13221" t="s">
        <v>40943</v>
      </c>
      <c r="K13221" t="s">
        <v>42624</v>
      </c>
      <c r="M13221" t="s">
        <v>46912</v>
      </c>
      <c r="N13221" t="s">
        <v>47304</v>
      </c>
      <c r="O13221" t="s">
        <v>47305</v>
      </c>
      <c r="P13221">
        <v>0</v>
      </c>
      <c r="Q13221">
        <v>1</v>
      </c>
      <c r="R13221" t="s">
        <v>47320</v>
      </c>
      <c r="S13221" t="s">
        <v>47917</v>
      </c>
      <c r="T13221" t="s">
        <v>48987</v>
      </c>
      <c r="U13221" t="s">
        <v>60473</v>
      </c>
      <c r="W13221" t="s">
        <v>46912</v>
      </c>
      <c r="X13221" t="s">
        <v>47321</v>
      </c>
    </row>
    <row r="13222" spans="1:24">
      <c r="A13222">
        <f>HYPERLINK("https://www.philgeps.gov.ph/GEPSNONPILOT/Tender/SplashBidNoticeAbstractUI.aspx?menuIndex=3&amp;refID=7169347&amp;Result=3","7169347")</f>
        <v>0</v>
      </c>
      <c r="B13222" t="s">
        <v>3618</v>
      </c>
      <c r="C13222" t="s">
        <v>16362</v>
      </c>
      <c r="D13222" t="s">
        <v>18993</v>
      </c>
      <c r="E13222" t="s">
        <v>30263</v>
      </c>
      <c r="F13222" t="s">
        <v>32606</v>
      </c>
      <c r="G13222" t="s">
        <v>32613</v>
      </c>
      <c r="H13222" t="s">
        <v>14201</v>
      </c>
      <c r="I13222" t="s">
        <v>4114</v>
      </c>
      <c r="J13222" t="s">
        <v>34561</v>
      </c>
      <c r="K13222" t="s">
        <v>42624</v>
      </c>
      <c r="M13222" t="s">
        <v>46913</v>
      </c>
      <c r="N13222" t="s">
        <v>47304</v>
      </c>
      <c r="O13222" t="s">
        <v>47305</v>
      </c>
      <c r="P13222">
        <v>0</v>
      </c>
      <c r="Q13222">
        <v>21</v>
      </c>
      <c r="R13222" t="s">
        <v>47320</v>
      </c>
      <c r="S13222" t="s">
        <v>47917</v>
      </c>
      <c r="T13222" t="s">
        <v>48980</v>
      </c>
      <c r="U13222" t="s">
        <v>60474</v>
      </c>
      <c r="W13222" t="s">
        <v>46913</v>
      </c>
      <c r="X13222" t="s">
        <v>47321</v>
      </c>
    </row>
    <row r="13223" spans="1:24">
      <c r="A13223">
        <f>HYPERLINK("https://www.philgeps.gov.ph/GEPSNONPILOT/Tender/SplashBidNoticeAbstractUI.aspx?menuIndex=3&amp;refID=7169610&amp;Result=3","7169610")</f>
        <v>0</v>
      </c>
      <c r="B13223" t="s">
        <v>2042</v>
      </c>
      <c r="C13223" t="s">
        <v>16363</v>
      </c>
      <c r="D13223" t="s">
        <v>19070</v>
      </c>
      <c r="E13223" t="s">
        <v>30264</v>
      </c>
      <c r="F13223" t="s">
        <v>32606</v>
      </c>
      <c r="G13223" t="s">
        <v>32613</v>
      </c>
      <c r="H13223" t="s">
        <v>32623</v>
      </c>
      <c r="I13223" t="s">
        <v>17648</v>
      </c>
      <c r="J13223" t="s">
        <v>32778</v>
      </c>
      <c r="K13223" t="s">
        <v>42631</v>
      </c>
      <c r="M13223" t="s">
        <v>45120</v>
      </c>
      <c r="N13223" t="s">
        <v>47304</v>
      </c>
      <c r="O13223" t="s">
        <v>47305</v>
      </c>
      <c r="P13223">
        <v>0</v>
      </c>
      <c r="Q13223">
        <v>0</v>
      </c>
      <c r="R13223" t="s">
        <v>47320</v>
      </c>
      <c r="S13223" t="s">
        <v>47917</v>
      </c>
      <c r="T13223" t="s">
        <v>48971</v>
      </c>
      <c r="U13223" t="s">
        <v>60446</v>
      </c>
      <c r="W13223" t="s">
        <v>45120</v>
      </c>
      <c r="X13223" t="s">
        <v>47321</v>
      </c>
    </row>
    <row r="13224" spans="1:24">
      <c r="A13224">
        <f>HYPERLINK("https://www.philgeps.gov.ph/GEPSNONPILOT/Tender/SplashBidNoticeAbstractUI.aspx?menuIndex=3&amp;refID=7169345&amp;Result=3","7169345")</f>
        <v>0</v>
      </c>
      <c r="B13224" t="s">
        <v>1893</v>
      </c>
      <c r="C13224" t="s">
        <v>16364</v>
      </c>
      <c r="D13224" t="s">
        <v>19039</v>
      </c>
      <c r="E13224" t="s">
        <v>30265</v>
      </c>
      <c r="F13224" t="s">
        <v>32606</v>
      </c>
      <c r="G13224" t="s">
        <v>32619</v>
      </c>
      <c r="H13224" t="s">
        <v>14201</v>
      </c>
      <c r="I13224" t="s">
        <v>4112</v>
      </c>
      <c r="J13224" t="s">
        <v>40944</v>
      </c>
      <c r="K13224" t="s">
        <v>42624</v>
      </c>
      <c r="M13224" t="s">
        <v>44952</v>
      </c>
      <c r="N13224" t="s">
        <v>47304</v>
      </c>
      <c r="O13224" t="s">
        <v>47305</v>
      </c>
      <c r="Q13224">
        <v>0</v>
      </c>
      <c r="R13224" t="s">
        <v>47320</v>
      </c>
      <c r="S13224" t="s">
        <v>47976</v>
      </c>
      <c r="T13224" t="s">
        <v>49002</v>
      </c>
      <c r="U13224" t="s">
        <v>60475</v>
      </c>
      <c r="W13224" t="s">
        <v>44952</v>
      </c>
      <c r="X13224" t="s">
        <v>47321</v>
      </c>
    </row>
    <row r="13225" spans="1:24">
      <c r="A13225">
        <f>HYPERLINK("https://www.philgeps.gov.ph/GEPSNONPILOT/Tender/SplashBidNoticeAbstractUI.aspx?menuIndex=3&amp;refID=7173659&amp;Result=3","7173659")</f>
        <v>0</v>
      </c>
      <c r="B13225" t="s">
        <v>1709</v>
      </c>
      <c r="C13225" t="s">
        <v>16365</v>
      </c>
      <c r="D13225" t="s">
        <v>19032</v>
      </c>
      <c r="E13225" t="s">
        <v>30266</v>
      </c>
      <c r="F13225" t="s">
        <v>32606</v>
      </c>
      <c r="G13225" t="s">
        <v>32613</v>
      </c>
      <c r="H13225" t="s">
        <v>14201</v>
      </c>
      <c r="I13225" t="s">
        <v>4112</v>
      </c>
      <c r="J13225" t="s">
        <v>40945</v>
      </c>
      <c r="K13225" t="s">
        <v>42630</v>
      </c>
      <c r="M13225" t="s">
        <v>46276</v>
      </c>
      <c r="N13225" t="s">
        <v>47304</v>
      </c>
      <c r="O13225" t="s">
        <v>47305</v>
      </c>
      <c r="P13225">
        <v>0</v>
      </c>
      <c r="Q13225">
        <v>0</v>
      </c>
      <c r="R13225" t="s">
        <v>47319</v>
      </c>
      <c r="S13225" t="s">
        <v>47813</v>
      </c>
      <c r="T13225" t="s">
        <v>49268</v>
      </c>
      <c r="U13225" t="s">
        <v>60476</v>
      </c>
      <c r="V13225" t="s">
        <v>63710</v>
      </c>
      <c r="W13225" t="s">
        <v>46276</v>
      </c>
      <c r="X13225" t="s">
        <v>47320</v>
      </c>
    </row>
    <row r="13226" spans="1:24">
      <c r="A13226">
        <f>HYPERLINK("https://www.philgeps.gov.ph/GEPSNONPILOT/Tender/SplashBidNoticeAbstractUI.aspx?menuIndex=3&amp;refID=7169623&amp;Result=3","7169623")</f>
        <v>0</v>
      </c>
      <c r="B13226" t="s">
        <v>2042</v>
      </c>
      <c r="C13226" t="s">
        <v>16366</v>
      </c>
      <c r="D13226" t="s">
        <v>19070</v>
      </c>
      <c r="E13226" t="s">
        <v>30267</v>
      </c>
      <c r="F13226" t="s">
        <v>32606</v>
      </c>
      <c r="G13226" t="s">
        <v>32613</v>
      </c>
      <c r="H13226" t="s">
        <v>32623</v>
      </c>
      <c r="I13226" t="s">
        <v>17648</v>
      </c>
      <c r="J13226" t="s">
        <v>32778</v>
      </c>
      <c r="K13226" t="s">
        <v>42631</v>
      </c>
      <c r="M13226" t="s">
        <v>45120</v>
      </c>
      <c r="N13226" t="s">
        <v>47304</v>
      </c>
      <c r="O13226" t="s">
        <v>47305</v>
      </c>
      <c r="P13226">
        <v>0</v>
      </c>
      <c r="Q13226">
        <v>0</v>
      </c>
      <c r="R13226" t="s">
        <v>47320</v>
      </c>
      <c r="S13226" t="s">
        <v>47917</v>
      </c>
      <c r="T13226" t="s">
        <v>48971</v>
      </c>
      <c r="U13226" t="s">
        <v>60446</v>
      </c>
      <c r="W13226" t="s">
        <v>45120</v>
      </c>
      <c r="X13226" t="s">
        <v>47321</v>
      </c>
    </row>
    <row r="13227" spans="1:24">
      <c r="A13227">
        <f>HYPERLINK("https://www.philgeps.gov.ph/GEPSNONPILOT/Tender/SplashBidNoticeAbstractUI.aspx?menuIndex=3&amp;refID=7169588&amp;Result=3","7169588")</f>
        <v>0</v>
      </c>
      <c r="B13227" t="s">
        <v>444</v>
      </c>
      <c r="C13227" t="s">
        <v>16367</v>
      </c>
      <c r="D13227" t="s">
        <v>19006</v>
      </c>
      <c r="E13227" t="s">
        <v>30268</v>
      </c>
      <c r="F13227" t="s">
        <v>32606</v>
      </c>
      <c r="G13227" t="s">
        <v>32613</v>
      </c>
      <c r="H13227" t="s">
        <v>14201</v>
      </c>
      <c r="I13227" t="s">
        <v>32662</v>
      </c>
      <c r="J13227" t="s">
        <v>40946</v>
      </c>
      <c r="K13227" t="s">
        <v>42631</v>
      </c>
      <c r="M13227" t="s">
        <v>46860</v>
      </c>
      <c r="N13227" t="s">
        <v>47304</v>
      </c>
      <c r="O13227" t="s">
        <v>47305</v>
      </c>
      <c r="P13227">
        <v>0</v>
      </c>
      <c r="Q13227">
        <v>14</v>
      </c>
      <c r="R13227" t="s">
        <v>47320</v>
      </c>
      <c r="S13227" t="s">
        <v>47917</v>
      </c>
      <c r="T13227" t="s">
        <v>49157</v>
      </c>
      <c r="U13227" t="s">
        <v>60477</v>
      </c>
      <c r="W13227" t="s">
        <v>46860</v>
      </c>
      <c r="X13227" t="s">
        <v>47321</v>
      </c>
    </row>
    <row r="13228" spans="1:24">
      <c r="A13228">
        <f>HYPERLINK("https://www.philgeps.gov.ph/GEPSNONPILOT/Tender/SplashBidNoticeAbstractUI.aspx?menuIndex=3&amp;refID=7169612&amp;Result=3","7169612")</f>
        <v>0</v>
      </c>
      <c r="B13228" t="s">
        <v>3619</v>
      </c>
      <c r="C13228" t="s">
        <v>16368</v>
      </c>
      <c r="D13228" t="s">
        <v>19054</v>
      </c>
      <c r="E13228" t="s">
        <v>19575</v>
      </c>
      <c r="F13228" t="s">
        <v>32606</v>
      </c>
      <c r="G13228" t="s">
        <v>32613</v>
      </c>
      <c r="H13228" t="s">
        <v>14201</v>
      </c>
      <c r="I13228" t="s">
        <v>6931</v>
      </c>
      <c r="J13228" t="s">
        <v>40947</v>
      </c>
      <c r="K13228" t="s">
        <v>42623</v>
      </c>
      <c r="M13228" t="s">
        <v>46914</v>
      </c>
      <c r="N13228" t="s">
        <v>47304</v>
      </c>
      <c r="O13228" t="s">
        <v>47305</v>
      </c>
      <c r="P13228">
        <v>0</v>
      </c>
      <c r="Q13228">
        <v>0</v>
      </c>
      <c r="R13228" t="s">
        <v>47320</v>
      </c>
      <c r="S13228" t="s">
        <v>47917</v>
      </c>
      <c r="T13228" t="s">
        <v>49175</v>
      </c>
      <c r="U13228" t="s">
        <v>60478</v>
      </c>
      <c r="W13228" t="s">
        <v>46914</v>
      </c>
      <c r="X13228" t="s">
        <v>47321</v>
      </c>
    </row>
    <row r="13229" spans="1:24">
      <c r="A13229">
        <f>HYPERLINK("https://www.philgeps.gov.ph/GEPSNONPILOT/Tender/SplashBidNoticeAbstractUI.aspx?menuIndex=3&amp;refID=7169587&amp;Result=3","7169587")</f>
        <v>0</v>
      </c>
      <c r="B13229" t="s">
        <v>2042</v>
      </c>
      <c r="C13229" t="s">
        <v>16369</v>
      </c>
      <c r="D13229" t="s">
        <v>19070</v>
      </c>
      <c r="E13229" t="s">
        <v>30269</v>
      </c>
      <c r="F13229" t="s">
        <v>32606</v>
      </c>
      <c r="G13229" t="s">
        <v>32613</v>
      </c>
      <c r="H13229" t="s">
        <v>32623</v>
      </c>
      <c r="I13229" t="s">
        <v>17648</v>
      </c>
      <c r="J13229" t="s">
        <v>32789</v>
      </c>
      <c r="K13229" t="s">
        <v>42631</v>
      </c>
      <c r="M13229" t="s">
        <v>45120</v>
      </c>
      <c r="N13229" t="s">
        <v>47304</v>
      </c>
      <c r="O13229" t="s">
        <v>47305</v>
      </c>
      <c r="P13229">
        <v>0</v>
      </c>
      <c r="Q13229">
        <v>0</v>
      </c>
      <c r="R13229" t="s">
        <v>47320</v>
      </c>
      <c r="S13229" t="s">
        <v>47917</v>
      </c>
      <c r="T13229" t="s">
        <v>48971</v>
      </c>
      <c r="U13229" t="s">
        <v>60446</v>
      </c>
      <c r="W13229" t="s">
        <v>45120</v>
      </c>
      <c r="X13229" t="s">
        <v>47321</v>
      </c>
    </row>
    <row r="13230" spans="1:24">
      <c r="A13230">
        <f>HYPERLINK("https://www.philgeps.gov.ph/GEPSNONPILOT/Tender/SplashBidNoticeAbstractUI.aspx?menuIndex=3&amp;refID=7169582&amp;Result=3","7169582")</f>
        <v>0</v>
      </c>
      <c r="B13230" t="s">
        <v>1275</v>
      </c>
      <c r="C13230" t="s">
        <v>16370</v>
      </c>
      <c r="D13230" t="s">
        <v>19035</v>
      </c>
      <c r="E13230" t="s">
        <v>30270</v>
      </c>
      <c r="F13230" t="s">
        <v>32606</v>
      </c>
      <c r="G13230" t="s">
        <v>32613</v>
      </c>
      <c r="H13230" t="s">
        <v>32623</v>
      </c>
      <c r="I13230" t="s">
        <v>17648</v>
      </c>
      <c r="J13230" t="s">
        <v>40948</v>
      </c>
      <c r="K13230" t="s">
        <v>42636</v>
      </c>
      <c r="L13230" t="s">
        <v>1275</v>
      </c>
      <c r="M13230" t="s">
        <v>45200</v>
      </c>
      <c r="N13230" t="s">
        <v>47304</v>
      </c>
      <c r="O13230" t="s">
        <v>47305</v>
      </c>
      <c r="P13230">
        <v>0</v>
      </c>
      <c r="Q13230">
        <v>2</v>
      </c>
      <c r="R13230" t="s">
        <v>47320</v>
      </c>
      <c r="S13230" t="s">
        <v>47917</v>
      </c>
      <c r="T13230" t="s">
        <v>48986</v>
      </c>
      <c r="U13230" t="s">
        <v>60479</v>
      </c>
      <c r="W13230" t="s">
        <v>45200</v>
      </c>
      <c r="X13230" t="s">
        <v>47321</v>
      </c>
    </row>
    <row r="13231" spans="1:24">
      <c r="A13231">
        <f>HYPERLINK("https://www.philgeps.gov.ph/GEPSNONPILOT/Tender/SplashBidNoticeAbstractUI.aspx?menuIndex=3&amp;refID=7169579&amp;Result=3","7169579")</f>
        <v>0</v>
      </c>
      <c r="B13231" t="s">
        <v>616</v>
      </c>
      <c r="C13231" t="s">
        <v>16371</v>
      </c>
      <c r="D13231" t="s">
        <v>18989</v>
      </c>
      <c r="E13231" t="s">
        <v>30271</v>
      </c>
      <c r="F13231" t="s">
        <v>32606</v>
      </c>
      <c r="G13231" t="s">
        <v>32615</v>
      </c>
      <c r="H13231" t="s">
        <v>14201</v>
      </c>
      <c r="I13231" t="s">
        <v>7677</v>
      </c>
      <c r="J13231" t="s">
        <v>40949</v>
      </c>
      <c r="K13231" t="s">
        <v>42624</v>
      </c>
      <c r="M13231" t="s">
        <v>43604</v>
      </c>
      <c r="N13231" t="s">
        <v>47304</v>
      </c>
      <c r="O13231" t="s">
        <v>47305</v>
      </c>
      <c r="P13231">
        <v>0</v>
      </c>
      <c r="Q13231">
        <v>18</v>
      </c>
      <c r="R13231" t="s">
        <v>47320</v>
      </c>
      <c r="S13231" t="s">
        <v>47917</v>
      </c>
      <c r="T13231" t="s">
        <v>49053</v>
      </c>
      <c r="U13231" t="s">
        <v>60480</v>
      </c>
      <c r="W13231" t="s">
        <v>43604</v>
      </c>
      <c r="X13231" t="s">
        <v>47321</v>
      </c>
    </row>
    <row r="13232" spans="1:24">
      <c r="A13232">
        <f>HYPERLINK("https://www.philgeps.gov.ph/GEPSNONPILOT/Tender/SplashBidNoticeAbstractUI.aspx?menuIndex=3&amp;refID=7169591&amp;Result=3","7169591")</f>
        <v>0</v>
      </c>
      <c r="B13232" t="s">
        <v>2042</v>
      </c>
      <c r="C13232" t="s">
        <v>16372</v>
      </c>
      <c r="D13232" t="s">
        <v>19070</v>
      </c>
      <c r="E13232" t="s">
        <v>30272</v>
      </c>
      <c r="F13232" t="s">
        <v>32606</v>
      </c>
      <c r="G13232" t="s">
        <v>32613</v>
      </c>
      <c r="H13232" t="s">
        <v>32623</v>
      </c>
      <c r="I13232" t="s">
        <v>17648</v>
      </c>
      <c r="J13232" t="s">
        <v>32778</v>
      </c>
      <c r="K13232" t="s">
        <v>42631</v>
      </c>
      <c r="M13232" t="s">
        <v>45120</v>
      </c>
      <c r="N13232" t="s">
        <v>47304</v>
      </c>
      <c r="O13232" t="s">
        <v>47305</v>
      </c>
      <c r="P13232">
        <v>0</v>
      </c>
      <c r="Q13232">
        <v>0</v>
      </c>
      <c r="R13232" t="s">
        <v>47320</v>
      </c>
      <c r="S13232" t="s">
        <v>47917</v>
      </c>
      <c r="T13232" t="s">
        <v>48971</v>
      </c>
      <c r="U13232" t="s">
        <v>60446</v>
      </c>
      <c r="W13232" t="s">
        <v>45120</v>
      </c>
      <c r="X13232" t="s">
        <v>47321</v>
      </c>
    </row>
    <row r="13233" spans="1:24">
      <c r="A13233">
        <f>HYPERLINK("https://www.philgeps.gov.ph/GEPSNONPILOT/Tender/SplashBidNoticeAbstractUI.aspx?menuIndex=3&amp;refID=7169221&amp;Result=3","7169221")</f>
        <v>0</v>
      </c>
      <c r="B13233" t="s">
        <v>3602</v>
      </c>
      <c r="C13233" t="s">
        <v>16373</v>
      </c>
      <c r="D13233" t="s">
        <v>18992</v>
      </c>
      <c r="E13233" t="s">
        <v>30273</v>
      </c>
      <c r="F13233" t="s">
        <v>32606</v>
      </c>
      <c r="G13233" t="s">
        <v>32613</v>
      </c>
      <c r="H13233" t="s">
        <v>32623</v>
      </c>
      <c r="I13233" t="s">
        <v>32656</v>
      </c>
      <c r="J13233" t="s">
        <v>40950</v>
      </c>
      <c r="K13233" t="s">
        <v>42631</v>
      </c>
      <c r="M13233" t="s">
        <v>46892</v>
      </c>
      <c r="N13233" t="s">
        <v>47304</v>
      </c>
      <c r="O13233" t="s">
        <v>47305</v>
      </c>
      <c r="P13233">
        <v>0</v>
      </c>
      <c r="Q13233">
        <v>6</v>
      </c>
      <c r="R13233" t="s">
        <v>47320</v>
      </c>
      <c r="S13233" t="s">
        <v>47917</v>
      </c>
      <c r="T13233" t="s">
        <v>48996</v>
      </c>
      <c r="U13233" t="s">
        <v>60481</v>
      </c>
      <c r="W13233" t="s">
        <v>46892</v>
      </c>
      <c r="X13233" t="s">
        <v>47321</v>
      </c>
    </row>
    <row r="13234" spans="1:24">
      <c r="A13234">
        <f>HYPERLINK("https://www.philgeps.gov.ph/GEPSNONPILOT/Tender/SplashBidNoticeAbstractUI.aspx?menuIndex=3&amp;refID=7169566&amp;Result=3","7169566")</f>
        <v>0</v>
      </c>
      <c r="B13234" t="s">
        <v>2042</v>
      </c>
      <c r="C13234" t="s">
        <v>16374</v>
      </c>
      <c r="D13234" t="s">
        <v>19070</v>
      </c>
      <c r="E13234" t="s">
        <v>30274</v>
      </c>
      <c r="F13234" t="s">
        <v>32606</v>
      </c>
      <c r="G13234" t="s">
        <v>32613</v>
      </c>
      <c r="H13234" t="s">
        <v>32623</v>
      </c>
      <c r="I13234" t="s">
        <v>17648</v>
      </c>
      <c r="J13234" t="s">
        <v>32789</v>
      </c>
      <c r="K13234" t="s">
        <v>42631</v>
      </c>
      <c r="M13234" t="s">
        <v>45120</v>
      </c>
      <c r="N13234" t="s">
        <v>47304</v>
      </c>
      <c r="O13234" t="s">
        <v>47305</v>
      </c>
      <c r="P13234">
        <v>0</v>
      </c>
      <c r="Q13234">
        <v>0</v>
      </c>
      <c r="R13234" t="s">
        <v>47320</v>
      </c>
      <c r="S13234" t="s">
        <v>47917</v>
      </c>
      <c r="T13234" t="s">
        <v>48971</v>
      </c>
      <c r="U13234" t="s">
        <v>60446</v>
      </c>
      <c r="W13234" t="s">
        <v>45120</v>
      </c>
      <c r="X13234" t="s">
        <v>47321</v>
      </c>
    </row>
    <row r="13235" spans="1:24">
      <c r="A13235">
        <f>HYPERLINK("https://www.philgeps.gov.ph/GEPSNONPILOT/Tender/SplashBidNoticeAbstractUI.aspx?menuIndex=3&amp;refID=7169586&amp;Result=3","7169586")</f>
        <v>0</v>
      </c>
      <c r="B13235" t="s">
        <v>2871</v>
      </c>
      <c r="C13235" t="s">
        <v>16375</v>
      </c>
      <c r="E13235" t="s">
        <v>30275</v>
      </c>
      <c r="F13235" t="s">
        <v>32606</v>
      </c>
      <c r="G13235" t="s">
        <v>32613</v>
      </c>
      <c r="H13235" t="s">
        <v>14201</v>
      </c>
      <c r="I13235" t="s">
        <v>32633</v>
      </c>
      <c r="J13235" t="s">
        <v>40951</v>
      </c>
      <c r="K13235" t="s">
        <v>42624</v>
      </c>
      <c r="M13235" t="s">
        <v>46635</v>
      </c>
      <c r="N13235" t="s">
        <v>47304</v>
      </c>
      <c r="O13235" t="s">
        <v>47305</v>
      </c>
      <c r="Q13235">
        <v>14</v>
      </c>
      <c r="R13235" t="s">
        <v>47320</v>
      </c>
      <c r="S13235" t="s">
        <v>47977</v>
      </c>
      <c r="T13235" t="s">
        <v>48994</v>
      </c>
      <c r="U13235" t="s">
        <v>60482</v>
      </c>
      <c r="W13235" t="s">
        <v>46635</v>
      </c>
      <c r="X13235" t="s">
        <v>47321</v>
      </c>
    </row>
    <row r="13236" spans="1:24">
      <c r="A13236">
        <f>HYPERLINK("https://www.philgeps.gov.ph/GEPSNONPILOT/Tender/SplashBidNoticeAbstractUI.aspx?menuIndex=3&amp;refID=7169606&amp;Result=3","7169606")</f>
        <v>0</v>
      </c>
      <c r="B13236" t="s">
        <v>540</v>
      </c>
      <c r="C13236" t="s">
        <v>16376</v>
      </c>
      <c r="D13236" t="s">
        <v>19001</v>
      </c>
      <c r="E13236" t="s">
        <v>30276</v>
      </c>
      <c r="F13236" t="s">
        <v>32606</v>
      </c>
      <c r="G13236" t="s">
        <v>32613</v>
      </c>
      <c r="H13236" t="s">
        <v>32623</v>
      </c>
      <c r="I13236" t="s">
        <v>17648</v>
      </c>
      <c r="J13236" t="s">
        <v>40952</v>
      </c>
      <c r="K13236" t="s">
        <v>42719</v>
      </c>
      <c r="M13236" t="s">
        <v>43781</v>
      </c>
      <c r="N13236" t="s">
        <v>47304</v>
      </c>
      <c r="O13236" t="s">
        <v>47305</v>
      </c>
      <c r="P13236">
        <v>0</v>
      </c>
      <c r="Q13236">
        <v>0</v>
      </c>
      <c r="R13236" t="s">
        <v>47320</v>
      </c>
      <c r="S13236" t="s">
        <v>47917</v>
      </c>
      <c r="T13236" t="s">
        <v>49107</v>
      </c>
      <c r="U13236" t="s">
        <v>60483</v>
      </c>
      <c r="W13236" t="s">
        <v>43781</v>
      </c>
      <c r="X13236" t="s">
        <v>47321</v>
      </c>
    </row>
    <row r="13237" spans="1:24">
      <c r="A13237">
        <f>HYPERLINK("https://www.philgeps.gov.ph/GEPSNONPILOT/Tender/SplashBidNoticeAbstractUI.aspx?menuIndex=3&amp;refID=7169740&amp;Result=3","7169740")</f>
        <v>0</v>
      </c>
      <c r="B13237" t="s">
        <v>1565</v>
      </c>
      <c r="C13237" t="s">
        <v>16377</v>
      </c>
      <c r="D13237" t="s">
        <v>19029</v>
      </c>
      <c r="E13237" t="s">
        <v>30277</v>
      </c>
      <c r="F13237" t="s">
        <v>32606</v>
      </c>
      <c r="G13237" t="s">
        <v>32613</v>
      </c>
      <c r="H13237" t="s">
        <v>14201</v>
      </c>
      <c r="I13237" t="s">
        <v>32633</v>
      </c>
      <c r="J13237" t="s">
        <v>34401</v>
      </c>
      <c r="K13237" t="s">
        <v>42622</v>
      </c>
      <c r="M13237" t="s">
        <v>45610</v>
      </c>
      <c r="N13237" t="s">
        <v>47304</v>
      </c>
      <c r="O13237" t="s">
        <v>47305</v>
      </c>
      <c r="P13237">
        <v>0</v>
      </c>
      <c r="Q13237">
        <v>3</v>
      </c>
      <c r="R13237" t="s">
        <v>47320</v>
      </c>
      <c r="S13237" t="s">
        <v>47917</v>
      </c>
      <c r="T13237" t="s">
        <v>49109</v>
      </c>
      <c r="U13237" t="s">
        <v>60484</v>
      </c>
      <c r="W13237" t="s">
        <v>45610</v>
      </c>
      <c r="X13237" t="s">
        <v>47321</v>
      </c>
    </row>
    <row r="13238" spans="1:24">
      <c r="A13238">
        <f>HYPERLINK("https://www.philgeps.gov.ph/GEPSNONPILOT/Tender/SplashBidNoticeAbstractUI.aspx?menuIndex=3&amp;refID=7169578&amp;Result=3","7169578")</f>
        <v>0</v>
      </c>
      <c r="B13238" t="s">
        <v>2042</v>
      </c>
      <c r="C13238" t="s">
        <v>16378</v>
      </c>
      <c r="D13238" t="s">
        <v>19070</v>
      </c>
      <c r="E13238" t="s">
        <v>30278</v>
      </c>
      <c r="F13238" t="s">
        <v>32606</v>
      </c>
      <c r="G13238" t="s">
        <v>32613</v>
      </c>
      <c r="H13238" t="s">
        <v>32623</v>
      </c>
      <c r="I13238" t="s">
        <v>17648</v>
      </c>
      <c r="J13238" t="s">
        <v>32789</v>
      </c>
      <c r="K13238" t="s">
        <v>42694</v>
      </c>
      <c r="M13238" t="s">
        <v>45120</v>
      </c>
      <c r="N13238" t="s">
        <v>47304</v>
      </c>
      <c r="O13238" t="s">
        <v>47305</v>
      </c>
      <c r="P13238">
        <v>0</v>
      </c>
      <c r="Q13238">
        <v>0</v>
      </c>
      <c r="R13238" t="s">
        <v>47320</v>
      </c>
      <c r="S13238" t="s">
        <v>47917</v>
      </c>
      <c r="T13238" t="s">
        <v>48971</v>
      </c>
      <c r="U13238" t="s">
        <v>60446</v>
      </c>
      <c r="W13238" t="s">
        <v>45120</v>
      </c>
      <c r="X13238" t="s">
        <v>47321</v>
      </c>
    </row>
    <row r="13239" spans="1:24">
      <c r="A13239">
        <f>HYPERLINK("https://www.philgeps.gov.ph/GEPSNONPILOT/Tender/SplashBidNoticeAbstractUI.aspx?menuIndex=3&amp;refID=7169576&amp;Result=3","7169576")</f>
        <v>0</v>
      </c>
      <c r="B13239" t="s">
        <v>2042</v>
      </c>
      <c r="C13239" t="s">
        <v>16379</v>
      </c>
      <c r="D13239" t="s">
        <v>19070</v>
      </c>
      <c r="E13239" t="s">
        <v>30279</v>
      </c>
      <c r="F13239" t="s">
        <v>32606</v>
      </c>
      <c r="G13239" t="s">
        <v>32613</v>
      </c>
      <c r="H13239" t="s">
        <v>32623</v>
      </c>
      <c r="I13239" t="s">
        <v>17648</v>
      </c>
      <c r="J13239" t="s">
        <v>32789</v>
      </c>
      <c r="K13239" t="s">
        <v>42631</v>
      </c>
      <c r="M13239" t="s">
        <v>45120</v>
      </c>
      <c r="N13239" t="s">
        <v>47304</v>
      </c>
      <c r="O13239" t="s">
        <v>47305</v>
      </c>
      <c r="P13239">
        <v>0</v>
      </c>
      <c r="Q13239">
        <v>0</v>
      </c>
      <c r="R13239" t="s">
        <v>47320</v>
      </c>
      <c r="S13239" t="s">
        <v>47917</v>
      </c>
      <c r="T13239" t="s">
        <v>48971</v>
      </c>
      <c r="U13239" t="s">
        <v>60446</v>
      </c>
      <c r="W13239" t="s">
        <v>45120</v>
      </c>
      <c r="X13239" t="s">
        <v>47321</v>
      </c>
    </row>
    <row r="13240" spans="1:24">
      <c r="A13240">
        <f>HYPERLINK("https://www.philgeps.gov.ph/GEPSNONPILOT/Tender/SplashBidNoticeAbstractUI.aspx?menuIndex=3&amp;refID=7169717&amp;Result=3","7169717")</f>
        <v>0</v>
      </c>
      <c r="B13240" t="s">
        <v>1342</v>
      </c>
      <c r="C13240" t="s">
        <v>16380</v>
      </c>
      <c r="D13240" t="s">
        <v>19009</v>
      </c>
      <c r="E13240" t="s">
        <v>30280</v>
      </c>
      <c r="F13240" t="s">
        <v>32606</v>
      </c>
      <c r="G13240" t="s">
        <v>32613</v>
      </c>
      <c r="H13240" t="s">
        <v>14201</v>
      </c>
      <c r="I13240" t="s">
        <v>17648</v>
      </c>
      <c r="J13240" t="s">
        <v>40953</v>
      </c>
      <c r="K13240" t="s">
        <v>42651</v>
      </c>
      <c r="M13240" t="s">
        <v>44316</v>
      </c>
      <c r="N13240" t="s">
        <v>47304</v>
      </c>
      <c r="O13240" t="s">
        <v>47305</v>
      </c>
      <c r="Q13240">
        <v>5</v>
      </c>
      <c r="R13240" t="s">
        <v>47320</v>
      </c>
      <c r="S13240" t="s">
        <v>47978</v>
      </c>
      <c r="T13240" t="s">
        <v>48971</v>
      </c>
      <c r="U13240" t="s">
        <v>60485</v>
      </c>
      <c r="W13240" t="s">
        <v>44316</v>
      </c>
      <c r="X13240" t="s">
        <v>47321</v>
      </c>
    </row>
    <row r="13241" spans="1:24">
      <c r="A13241">
        <f>HYPERLINK("https://www.philgeps.gov.ph/GEPSNONPILOT/Tender/SplashBidNoticeAbstractUI.aspx?menuIndex=3&amp;refID=7169710&amp;Result=3","7169710")</f>
        <v>0</v>
      </c>
      <c r="B13241" t="s">
        <v>3620</v>
      </c>
      <c r="C13241" t="s">
        <v>16381</v>
      </c>
      <c r="D13241" t="s">
        <v>19012</v>
      </c>
      <c r="E13241" t="s">
        <v>30281</v>
      </c>
      <c r="F13241" t="s">
        <v>32607</v>
      </c>
      <c r="G13241" t="s">
        <v>32613</v>
      </c>
      <c r="H13241" t="s">
        <v>14201</v>
      </c>
      <c r="I13241" t="s">
        <v>32635</v>
      </c>
      <c r="J13241" t="s">
        <v>40954</v>
      </c>
      <c r="K13241" t="s">
        <v>42622</v>
      </c>
      <c r="M13241" t="s">
        <v>46915</v>
      </c>
      <c r="N13241" t="s">
        <v>47304</v>
      </c>
      <c r="O13241" t="s">
        <v>47305</v>
      </c>
      <c r="P13241">
        <v>0</v>
      </c>
      <c r="Q13241">
        <v>3</v>
      </c>
      <c r="R13241" t="s">
        <v>47320</v>
      </c>
      <c r="S13241" t="s">
        <v>47917</v>
      </c>
      <c r="T13241" t="s">
        <v>49268</v>
      </c>
      <c r="U13241" t="s">
        <v>60486</v>
      </c>
      <c r="W13241" t="s">
        <v>46915</v>
      </c>
      <c r="X13241" t="s">
        <v>47321</v>
      </c>
    </row>
    <row r="13242" spans="1:24">
      <c r="A13242">
        <f>HYPERLINK("https://www.philgeps.gov.ph/GEPSNONPILOT/Tender/SplashBidNoticeAbstractUI.aspx?menuIndex=3&amp;refID=7169702&amp;Result=3","7169702")</f>
        <v>0</v>
      </c>
      <c r="B13242" t="s">
        <v>1898</v>
      </c>
      <c r="C13242" t="s">
        <v>16382</v>
      </c>
      <c r="D13242" t="s">
        <v>19048</v>
      </c>
      <c r="E13242" t="s">
        <v>30282</v>
      </c>
      <c r="F13242" t="s">
        <v>32606</v>
      </c>
      <c r="G13242" t="s">
        <v>32614</v>
      </c>
      <c r="H13242" t="s">
        <v>32625</v>
      </c>
      <c r="I13242" t="s">
        <v>32625</v>
      </c>
      <c r="J13242" t="s">
        <v>32752</v>
      </c>
      <c r="K13242" t="s">
        <v>42623</v>
      </c>
      <c r="M13242" t="s">
        <v>44983</v>
      </c>
      <c r="N13242" t="s">
        <v>47304</v>
      </c>
      <c r="O13242" t="s">
        <v>47305</v>
      </c>
      <c r="Q13242">
        <v>0</v>
      </c>
      <c r="R13242" t="s">
        <v>47320</v>
      </c>
      <c r="S13242" t="s">
        <v>47979</v>
      </c>
      <c r="T13242" t="s">
        <v>48998</v>
      </c>
      <c r="U13242" t="s">
        <v>60487</v>
      </c>
      <c r="W13242" t="s">
        <v>44957</v>
      </c>
      <c r="X13242" t="s">
        <v>47321</v>
      </c>
    </row>
    <row r="13243" spans="1:24">
      <c r="A13243">
        <f>HYPERLINK("https://www.philgeps.gov.ph/GEPSNONPILOT/Tender/SplashBidNoticeAbstractUI.aspx?menuIndex=3&amp;refID=7169701&amp;Result=3","7169701")</f>
        <v>0</v>
      </c>
      <c r="B13243" t="s">
        <v>3601</v>
      </c>
      <c r="C13243" t="s">
        <v>16383</v>
      </c>
      <c r="D13243" t="s">
        <v>18988</v>
      </c>
      <c r="E13243" t="s">
        <v>30283</v>
      </c>
      <c r="F13243" t="s">
        <v>32606</v>
      </c>
      <c r="G13243" t="s">
        <v>32613</v>
      </c>
      <c r="H13243" t="s">
        <v>32623</v>
      </c>
      <c r="I13243" t="s">
        <v>17648</v>
      </c>
      <c r="J13243" t="s">
        <v>40955</v>
      </c>
      <c r="K13243" t="s">
        <v>42796</v>
      </c>
      <c r="M13243" t="s">
        <v>46891</v>
      </c>
      <c r="N13243" t="s">
        <v>47304</v>
      </c>
      <c r="O13243" t="s">
        <v>47305</v>
      </c>
      <c r="P13243">
        <v>0</v>
      </c>
      <c r="Q13243">
        <v>12</v>
      </c>
      <c r="R13243" t="s">
        <v>47320</v>
      </c>
      <c r="S13243" t="s">
        <v>47917</v>
      </c>
      <c r="T13243" t="s">
        <v>48986</v>
      </c>
      <c r="U13243" t="s">
        <v>60488</v>
      </c>
      <c r="W13243" t="s">
        <v>46891</v>
      </c>
      <c r="X13243" t="s">
        <v>47321</v>
      </c>
    </row>
    <row r="13244" spans="1:24">
      <c r="A13244">
        <f>HYPERLINK("https://www.philgeps.gov.ph/GEPSNONPILOT/Tender/SplashBidNoticeAbstractUI.aspx?menuIndex=3&amp;refID=7169744&amp;Result=3","7169744")</f>
        <v>0</v>
      </c>
      <c r="B13244" t="s">
        <v>1568</v>
      </c>
      <c r="C13244" t="s">
        <v>16384</v>
      </c>
      <c r="D13244" t="s">
        <v>18994</v>
      </c>
      <c r="E13244" t="s">
        <v>30284</v>
      </c>
      <c r="F13244" t="s">
        <v>32606</v>
      </c>
      <c r="G13244" t="s">
        <v>32613</v>
      </c>
      <c r="H13244" t="s">
        <v>14201</v>
      </c>
      <c r="I13244" t="s">
        <v>32700</v>
      </c>
      <c r="J13244" t="s">
        <v>40956</v>
      </c>
      <c r="K13244" t="s">
        <v>42631</v>
      </c>
      <c r="M13244" t="s">
        <v>44577</v>
      </c>
      <c r="N13244" t="s">
        <v>47304</v>
      </c>
      <c r="O13244" t="s">
        <v>47305</v>
      </c>
      <c r="Q13244">
        <v>20</v>
      </c>
      <c r="R13244" t="s">
        <v>47320</v>
      </c>
      <c r="S13244" t="s">
        <v>47980</v>
      </c>
      <c r="T13244" t="s">
        <v>49011</v>
      </c>
      <c r="U13244" t="s">
        <v>60489</v>
      </c>
      <c r="V13244" t="s">
        <v>62763</v>
      </c>
      <c r="W13244" t="s">
        <v>44577</v>
      </c>
      <c r="X13244" t="s">
        <v>47321</v>
      </c>
    </row>
    <row r="13245" spans="1:24">
      <c r="A13245">
        <f>HYPERLINK("https://www.philgeps.gov.ph/GEPSNONPILOT/Tender/SplashBidNoticeAbstractUI.aspx?menuIndex=3&amp;refID=7169694&amp;Result=3","7169694")</f>
        <v>0</v>
      </c>
      <c r="B13245" t="s">
        <v>1275</v>
      </c>
      <c r="C13245" t="s">
        <v>16385</v>
      </c>
      <c r="D13245" t="s">
        <v>19035</v>
      </c>
      <c r="E13245" t="s">
        <v>30285</v>
      </c>
      <c r="F13245" t="s">
        <v>32606</v>
      </c>
      <c r="G13245" t="s">
        <v>32613</v>
      </c>
      <c r="H13245" t="s">
        <v>32623</v>
      </c>
      <c r="I13245" t="s">
        <v>17648</v>
      </c>
      <c r="J13245" t="s">
        <v>40957</v>
      </c>
      <c r="K13245" t="s">
        <v>42676</v>
      </c>
      <c r="L13245" t="s">
        <v>1275</v>
      </c>
      <c r="M13245" t="s">
        <v>45200</v>
      </c>
      <c r="N13245" t="s">
        <v>47304</v>
      </c>
      <c r="O13245" t="s">
        <v>47305</v>
      </c>
      <c r="P13245">
        <v>0</v>
      </c>
      <c r="Q13245">
        <v>2</v>
      </c>
      <c r="R13245" t="s">
        <v>47320</v>
      </c>
      <c r="S13245" t="s">
        <v>47917</v>
      </c>
      <c r="T13245" t="s">
        <v>48986</v>
      </c>
      <c r="U13245" t="s">
        <v>60490</v>
      </c>
      <c r="W13245" t="s">
        <v>45200</v>
      </c>
      <c r="X13245" t="s">
        <v>47321</v>
      </c>
    </row>
    <row r="13246" spans="1:24">
      <c r="A13246">
        <f>HYPERLINK("https://www.philgeps.gov.ph/GEPSNONPILOT/Tender/SplashBidNoticeAbstractUI.aspx?menuIndex=3&amp;refID=7169604&amp;Result=3","7169604")</f>
        <v>0</v>
      </c>
      <c r="B13246" t="s">
        <v>2042</v>
      </c>
      <c r="C13246" t="s">
        <v>16386</v>
      </c>
      <c r="D13246" t="s">
        <v>19070</v>
      </c>
      <c r="E13246" t="s">
        <v>30286</v>
      </c>
      <c r="F13246" t="s">
        <v>32606</v>
      </c>
      <c r="G13246" t="s">
        <v>32613</v>
      </c>
      <c r="H13246" t="s">
        <v>32623</v>
      </c>
      <c r="I13246" t="s">
        <v>17648</v>
      </c>
      <c r="J13246" t="s">
        <v>32778</v>
      </c>
      <c r="K13246" t="s">
        <v>42694</v>
      </c>
      <c r="M13246" t="s">
        <v>45120</v>
      </c>
      <c r="N13246" t="s">
        <v>47304</v>
      </c>
      <c r="O13246" t="s">
        <v>47305</v>
      </c>
      <c r="P13246">
        <v>0</v>
      </c>
      <c r="Q13246">
        <v>0</v>
      </c>
      <c r="R13246" t="s">
        <v>47320</v>
      </c>
      <c r="S13246" t="s">
        <v>47917</v>
      </c>
      <c r="T13246" t="s">
        <v>48971</v>
      </c>
      <c r="U13246" t="s">
        <v>60446</v>
      </c>
      <c r="W13246" t="s">
        <v>45120</v>
      </c>
      <c r="X13246" t="s">
        <v>47321</v>
      </c>
    </row>
    <row r="13247" spans="1:24">
      <c r="A13247">
        <f>HYPERLINK("https://www.philgeps.gov.ph/GEPSNONPILOT/Tender/SplashBidNoticeAbstractUI.aspx?menuIndex=3&amp;refID=7169675&amp;Result=3","7169675")</f>
        <v>0</v>
      </c>
      <c r="B13247" t="s">
        <v>1893</v>
      </c>
      <c r="C13247" t="s">
        <v>16387</v>
      </c>
      <c r="D13247" t="s">
        <v>19039</v>
      </c>
      <c r="E13247" t="s">
        <v>30287</v>
      </c>
      <c r="F13247" t="s">
        <v>32606</v>
      </c>
      <c r="G13247" t="s">
        <v>32619</v>
      </c>
      <c r="H13247" t="s">
        <v>14201</v>
      </c>
      <c r="I13247" t="s">
        <v>4112</v>
      </c>
      <c r="J13247" t="s">
        <v>40958</v>
      </c>
      <c r="K13247" t="s">
        <v>42624</v>
      </c>
      <c r="M13247" t="s">
        <v>44952</v>
      </c>
      <c r="N13247" t="s">
        <v>47304</v>
      </c>
      <c r="O13247" t="s">
        <v>47305</v>
      </c>
      <c r="Q13247">
        <v>0</v>
      </c>
      <c r="R13247" t="s">
        <v>47320</v>
      </c>
      <c r="S13247" t="s">
        <v>47976</v>
      </c>
      <c r="T13247" t="s">
        <v>49002</v>
      </c>
      <c r="U13247" t="s">
        <v>60491</v>
      </c>
      <c r="W13247" t="s">
        <v>44952</v>
      </c>
      <c r="X13247" t="s">
        <v>47321</v>
      </c>
    </row>
    <row r="13248" spans="1:24">
      <c r="A13248">
        <f>HYPERLINK("https://www.philgeps.gov.ph/GEPSNONPILOT/Tender/SplashBidNoticeAbstractUI.aspx?menuIndex=3&amp;refID=7169718&amp;Result=3","7169718")</f>
        <v>0</v>
      </c>
      <c r="B13248" t="s">
        <v>3621</v>
      </c>
      <c r="C13248" t="s">
        <v>16388</v>
      </c>
      <c r="D13248" t="s">
        <v>19007</v>
      </c>
      <c r="E13248" t="s">
        <v>30288</v>
      </c>
      <c r="F13248" t="s">
        <v>32606</v>
      </c>
      <c r="G13248" t="s">
        <v>32613</v>
      </c>
      <c r="H13248" t="s">
        <v>32623</v>
      </c>
      <c r="I13248" t="s">
        <v>17648</v>
      </c>
      <c r="J13248" t="s">
        <v>40959</v>
      </c>
      <c r="K13248" t="s">
        <v>42624</v>
      </c>
      <c r="M13248" t="s">
        <v>46916</v>
      </c>
      <c r="N13248" t="s">
        <v>47304</v>
      </c>
      <c r="O13248" t="s">
        <v>47305</v>
      </c>
      <c r="Q13248">
        <v>0</v>
      </c>
      <c r="R13248" t="s">
        <v>47320</v>
      </c>
      <c r="S13248" t="s">
        <v>47981</v>
      </c>
      <c r="T13248" t="s">
        <v>48996</v>
      </c>
      <c r="U13248" t="s">
        <v>60492</v>
      </c>
      <c r="W13248" t="s">
        <v>46916</v>
      </c>
      <c r="X13248" t="s">
        <v>47321</v>
      </c>
    </row>
    <row r="13249" spans="1:24">
      <c r="A13249">
        <f>HYPERLINK("https://www.philgeps.gov.ph/GEPSNONPILOT/Tender/SplashBidNoticeAbstractUI.aspx?menuIndex=3&amp;refID=7169720&amp;Result=3","7169720")</f>
        <v>0</v>
      </c>
      <c r="B13249" t="s">
        <v>540</v>
      </c>
      <c r="C13249" t="s">
        <v>16389</v>
      </c>
      <c r="D13249" t="s">
        <v>19001</v>
      </c>
      <c r="E13249" t="s">
        <v>30289</v>
      </c>
      <c r="F13249" t="s">
        <v>32606</v>
      </c>
      <c r="G13249" t="s">
        <v>32613</v>
      </c>
      <c r="H13249" t="s">
        <v>14201</v>
      </c>
      <c r="I13249" t="s">
        <v>32681</v>
      </c>
      <c r="J13249" t="s">
        <v>40960</v>
      </c>
      <c r="K13249" t="s">
        <v>42623</v>
      </c>
      <c r="M13249" t="s">
        <v>43781</v>
      </c>
      <c r="N13249" t="s">
        <v>47304</v>
      </c>
      <c r="O13249" t="s">
        <v>47305</v>
      </c>
      <c r="P13249">
        <v>0</v>
      </c>
      <c r="Q13249">
        <v>7</v>
      </c>
      <c r="R13249" t="s">
        <v>47320</v>
      </c>
      <c r="S13249" t="s">
        <v>47917</v>
      </c>
      <c r="T13249" t="s">
        <v>49107</v>
      </c>
      <c r="U13249" t="s">
        <v>60493</v>
      </c>
      <c r="W13249" t="s">
        <v>43781</v>
      </c>
      <c r="X13249" t="s">
        <v>47321</v>
      </c>
    </row>
    <row r="13250" spans="1:24">
      <c r="A13250">
        <f>HYPERLINK("https://www.philgeps.gov.ph/GEPSNONPILOT/Tender/SplashBidNoticeAbstractUI.aspx?menuIndex=3&amp;refID=7169671&amp;Result=3","7169671")</f>
        <v>0</v>
      </c>
      <c r="B13250" t="s">
        <v>2042</v>
      </c>
      <c r="C13250" t="s">
        <v>16390</v>
      </c>
      <c r="D13250" t="s">
        <v>19070</v>
      </c>
      <c r="E13250" t="s">
        <v>30290</v>
      </c>
      <c r="F13250" t="s">
        <v>32606</v>
      </c>
      <c r="G13250" t="s">
        <v>32613</v>
      </c>
      <c r="H13250" t="s">
        <v>32623</v>
      </c>
      <c r="I13250" t="s">
        <v>17648</v>
      </c>
      <c r="J13250" t="s">
        <v>32770</v>
      </c>
      <c r="K13250" t="s">
        <v>42694</v>
      </c>
      <c r="M13250" t="s">
        <v>45120</v>
      </c>
      <c r="N13250" t="s">
        <v>47304</v>
      </c>
      <c r="O13250" t="s">
        <v>47305</v>
      </c>
      <c r="P13250">
        <v>0</v>
      </c>
      <c r="Q13250">
        <v>0</v>
      </c>
      <c r="R13250" t="s">
        <v>47320</v>
      </c>
      <c r="S13250" t="s">
        <v>47917</v>
      </c>
      <c r="T13250" t="s">
        <v>48971</v>
      </c>
      <c r="U13250" t="s">
        <v>60446</v>
      </c>
      <c r="W13250" t="s">
        <v>45120</v>
      </c>
      <c r="X13250" t="s">
        <v>47321</v>
      </c>
    </row>
    <row r="13251" spans="1:24">
      <c r="A13251">
        <f>HYPERLINK("https://www.philgeps.gov.ph/GEPSNONPILOT/Tender/SplashBidNoticeAbstractUI.aspx?menuIndex=3&amp;refID=7169881&amp;Result=3","7169881")</f>
        <v>0</v>
      </c>
      <c r="B13251" t="s">
        <v>1188</v>
      </c>
      <c r="C13251" t="s">
        <v>16391</v>
      </c>
      <c r="D13251" t="s">
        <v>19070</v>
      </c>
      <c r="E13251" t="s">
        <v>30291</v>
      </c>
      <c r="F13251" t="s">
        <v>32606</v>
      </c>
      <c r="G13251" t="s">
        <v>32613</v>
      </c>
      <c r="H13251" t="s">
        <v>32623</v>
      </c>
      <c r="I13251" t="s">
        <v>32649</v>
      </c>
      <c r="J13251" t="s">
        <v>32789</v>
      </c>
      <c r="K13251" t="s">
        <v>42631</v>
      </c>
      <c r="M13251" t="s">
        <v>44152</v>
      </c>
      <c r="N13251" t="s">
        <v>47304</v>
      </c>
      <c r="O13251" t="s">
        <v>47305</v>
      </c>
      <c r="P13251">
        <v>0</v>
      </c>
      <c r="Q13251">
        <v>1</v>
      </c>
      <c r="R13251" t="s">
        <v>47320</v>
      </c>
      <c r="S13251" t="s">
        <v>47917</v>
      </c>
      <c r="T13251" t="s">
        <v>49018</v>
      </c>
      <c r="U13251" t="s">
        <v>60494</v>
      </c>
      <c r="W13251" t="s">
        <v>44152</v>
      </c>
      <c r="X13251" t="s">
        <v>47321</v>
      </c>
    </row>
    <row r="13252" spans="1:24">
      <c r="A13252">
        <f>HYPERLINK("https://www.philgeps.gov.ph/GEPSNONPILOT/Tender/SplashBidNoticeAbstractUI.aspx?menuIndex=3&amp;refID=7169876&amp;Result=3","7169876")</f>
        <v>0</v>
      </c>
      <c r="B13252" t="s">
        <v>321</v>
      </c>
      <c r="C13252" t="s">
        <v>16392</v>
      </c>
      <c r="D13252" t="s">
        <v>19048</v>
      </c>
      <c r="E13252" t="s">
        <v>30292</v>
      </c>
      <c r="F13252" t="s">
        <v>32606</v>
      </c>
      <c r="G13252" t="s">
        <v>32613</v>
      </c>
      <c r="H13252" t="s">
        <v>32623</v>
      </c>
      <c r="I13252" t="s">
        <v>17648</v>
      </c>
      <c r="J13252" t="s">
        <v>32795</v>
      </c>
      <c r="K13252" t="s">
        <v>42624</v>
      </c>
      <c r="M13252" t="s">
        <v>43223</v>
      </c>
      <c r="N13252" t="s">
        <v>47304</v>
      </c>
      <c r="O13252" t="s">
        <v>47305</v>
      </c>
      <c r="P13252">
        <v>0</v>
      </c>
      <c r="Q13252">
        <v>1</v>
      </c>
      <c r="R13252" t="s">
        <v>47320</v>
      </c>
      <c r="S13252" t="s">
        <v>47917</v>
      </c>
      <c r="T13252" t="s">
        <v>49023</v>
      </c>
      <c r="U13252" t="s">
        <v>60217</v>
      </c>
      <c r="W13252" t="s">
        <v>43223</v>
      </c>
      <c r="X13252" t="s">
        <v>47321</v>
      </c>
    </row>
    <row r="13253" spans="1:24">
      <c r="A13253">
        <f>HYPERLINK("https://www.philgeps.gov.ph/GEPSNONPILOT/Tender/SplashBidNoticeAbstractUI.aspx?menuIndex=3&amp;refID=7169680&amp;Result=3","7169680")</f>
        <v>0</v>
      </c>
      <c r="B13253" t="s">
        <v>1188</v>
      </c>
      <c r="C13253" t="s">
        <v>16393</v>
      </c>
      <c r="D13253" t="s">
        <v>19070</v>
      </c>
      <c r="E13253" t="s">
        <v>30293</v>
      </c>
      <c r="F13253" t="s">
        <v>32606</v>
      </c>
      <c r="G13253" t="s">
        <v>32613</v>
      </c>
      <c r="H13253" t="s">
        <v>32623</v>
      </c>
      <c r="I13253" t="s">
        <v>17648</v>
      </c>
      <c r="J13253" t="s">
        <v>33449</v>
      </c>
      <c r="K13253" t="s">
        <v>42636</v>
      </c>
      <c r="M13253" t="s">
        <v>44152</v>
      </c>
      <c r="N13253" t="s">
        <v>47304</v>
      </c>
      <c r="O13253" t="s">
        <v>47305</v>
      </c>
      <c r="P13253">
        <v>0</v>
      </c>
      <c r="Q13253">
        <v>0</v>
      </c>
      <c r="R13253" t="s">
        <v>47320</v>
      </c>
      <c r="S13253" t="s">
        <v>47917</v>
      </c>
      <c r="T13253" t="s">
        <v>49018</v>
      </c>
      <c r="U13253" t="s">
        <v>60495</v>
      </c>
      <c r="W13253" t="s">
        <v>44152</v>
      </c>
      <c r="X13253" t="s">
        <v>47321</v>
      </c>
    </row>
    <row r="13254" spans="1:24">
      <c r="A13254">
        <f>HYPERLINK("https://www.philgeps.gov.ph/GEPSNONPILOT/Tender/SplashBidNoticeAbstractUI.aspx?menuIndex=3&amp;refID=7169864&amp;Result=3","7169864")</f>
        <v>0</v>
      </c>
      <c r="B13254" t="s">
        <v>2867</v>
      </c>
      <c r="C13254" t="s">
        <v>16394</v>
      </c>
      <c r="D13254" t="s">
        <v>19037</v>
      </c>
      <c r="E13254" t="s">
        <v>30294</v>
      </c>
      <c r="F13254" t="s">
        <v>32606</v>
      </c>
      <c r="G13254" t="s">
        <v>32613</v>
      </c>
      <c r="H13254" t="s">
        <v>14201</v>
      </c>
      <c r="I13254" t="s">
        <v>32638</v>
      </c>
      <c r="J13254" t="s">
        <v>36324</v>
      </c>
      <c r="K13254" t="s">
        <v>42648</v>
      </c>
      <c r="M13254" t="s">
        <v>46038</v>
      </c>
      <c r="N13254" t="s">
        <v>47304</v>
      </c>
      <c r="O13254" t="s">
        <v>47305</v>
      </c>
      <c r="Q13254">
        <v>31</v>
      </c>
      <c r="R13254" t="s">
        <v>47320</v>
      </c>
      <c r="S13254" t="s">
        <v>47982</v>
      </c>
      <c r="T13254" t="s">
        <v>48987</v>
      </c>
      <c r="U13254" t="s">
        <v>60496</v>
      </c>
      <c r="W13254" t="s">
        <v>64546</v>
      </c>
      <c r="X13254" t="s">
        <v>47321</v>
      </c>
    </row>
    <row r="13255" spans="1:24">
      <c r="A13255">
        <f>HYPERLINK("https://www.philgeps.gov.ph/GEPSNONPILOT/Tender/SplashBidNoticeAbstractUI.aspx?menuIndex=3&amp;refID=7169857&amp;Result=3","7169857")</f>
        <v>0</v>
      </c>
      <c r="B13255" t="s">
        <v>1559</v>
      </c>
      <c r="C13255" t="s">
        <v>16395</v>
      </c>
      <c r="D13255" t="s">
        <v>19032</v>
      </c>
      <c r="E13255" t="s">
        <v>30295</v>
      </c>
      <c r="F13255" t="s">
        <v>32606</v>
      </c>
      <c r="G13255" t="s">
        <v>32613</v>
      </c>
      <c r="H13255" t="s">
        <v>32623</v>
      </c>
      <c r="I13255" t="s">
        <v>17648</v>
      </c>
      <c r="J13255" t="s">
        <v>40961</v>
      </c>
      <c r="K13255" t="s">
        <v>42731</v>
      </c>
      <c r="M13255" t="s">
        <v>44565</v>
      </c>
      <c r="N13255" t="s">
        <v>47304</v>
      </c>
      <c r="O13255" t="s">
        <v>47305</v>
      </c>
      <c r="Q13255">
        <v>2</v>
      </c>
      <c r="R13255" t="s">
        <v>47320</v>
      </c>
      <c r="S13255" t="s">
        <v>47837</v>
      </c>
      <c r="T13255" t="s">
        <v>49065</v>
      </c>
      <c r="U13255" t="s">
        <v>60497</v>
      </c>
      <c r="W13255" t="s">
        <v>44565</v>
      </c>
      <c r="X13255" t="s">
        <v>47321</v>
      </c>
    </row>
    <row r="13256" spans="1:24">
      <c r="A13256">
        <f>HYPERLINK("https://www.philgeps.gov.ph/GEPSNONPILOT/Tender/SplashBidNoticeAbstractUI.aspx?menuIndex=3&amp;refID=7169853&amp;Result=3","7169853")</f>
        <v>0</v>
      </c>
      <c r="B13256" t="s">
        <v>851</v>
      </c>
      <c r="C13256" t="s">
        <v>16396</v>
      </c>
      <c r="D13256" t="s">
        <v>19024</v>
      </c>
      <c r="E13256" t="s">
        <v>30296</v>
      </c>
      <c r="F13256" t="s">
        <v>32606</v>
      </c>
      <c r="G13256" t="s">
        <v>32613</v>
      </c>
      <c r="H13256" t="s">
        <v>14201</v>
      </c>
      <c r="I13256" t="s">
        <v>32671</v>
      </c>
      <c r="J13256" t="s">
        <v>40962</v>
      </c>
      <c r="K13256" t="s">
        <v>42631</v>
      </c>
      <c r="M13256" t="s">
        <v>43784</v>
      </c>
      <c r="N13256" t="s">
        <v>47304</v>
      </c>
      <c r="O13256" t="s">
        <v>47305</v>
      </c>
      <c r="Q13256">
        <v>6</v>
      </c>
      <c r="R13256" t="s">
        <v>47320</v>
      </c>
      <c r="S13256" t="s">
        <v>47983</v>
      </c>
      <c r="T13256" t="s">
        <v>49087</v>
      </c>
      <c r="U13256" t="s">
        <v>60498</v>
      </c>
      <c r="W13256" t="s">
        <v>64453</v>
      </c>
      <c r="X13256" t="s">
        <v>47321</v>
      </c>
    </row>
    <row r="13257" spans="1:24">
      <c r="A13257">
        <f>HYPERLINK("https://www.philgeps.gov.ph/GEPSNONPILOT/Tender/SplashBidNoticeAbstractUI.aspx?menuIndex=3&amp;refID=7169836&amp;Result=3","7169836")</f>
        <v>0</v>
      </c>
      <c r="B13257" t="s">
        <v>3622</v>
      </c>
      <c r="C13257" t="s">
        <v>16397</v>
      </c>
      <c r="D13257" t="s">
        <v>19039</v>
      </c>
      <c r="E13257" t="s">
        <v>30297</v>
      </c>
      <c r="F13257" t="s">
        <v>32606</v>
      </c>
      <c r="G13257" t="s">
        <v>32613</v>
      </c>
      <c r="H13257" t="s">
        <v>14201</v>
      </c>
      <c r="I13257" t="s">
        <v>32633</v>
      </c>
      <c r="J13257" t="s">
        <v>35778</v>
      </c>
      <c r="K13257" t="s">
        <v>42623</v>
      </c>
      <c r="M13257" t="s">
        <v>46917</v>
      </c>
      <c r="N13257" t="s">
        <v>47304</v>
      </c>
      <c r="O13257" t="s">
        <v>47305</v>
      </c>
      <c r="Q13257">
        <v>24</v>
      </c>
      <c r="R13257" t="s">
        <v>47320</v>
      </c>
      <c r="S13257" t="s">
        <v>47984</v>
      </c>
      <c r="T13257" t="s">
        <v>48986</v>
      </c>
      <c r="U13257" t="s">
        <v>60499</v>
      </c>
      <c r="W13257" t="s">
        <v>46917</v>
      </c>
      <c r="X13257" t="s">
        <v>47321</v>
      </c>
    </row>
    <row r="13258" spans="1:24">
      <c r="A13258">
        <f>HYPERLINK("https://www.philgeps.gov.ph/GEPSNONPILOT/Tender/SplashBidNoticeAbstractUI.aspx?menuIndex=3&amp;refID=7169688&amp;Result=3","7169688")</f>
        <v>0</v>
      </c>
      <c r="B13258" t="s">
        <v>3617</v>
      </c>
      <c r="C13258" t="s">
        <v>16398</v>
      </c>
      <c r="D13258" t="s">
        <v>19059</v>
      </c>
      <c r="E13258" t="s">
        <v>30298</v>
      </c>
      <c r="F13258" t="s">
        <v>32606</v>
      </c>
      <c r="G13258" t="s">
        <v>32613</v>
      </c>
      <c r="H13258" t="s">
        <v>32623</v>
      </c>
      <c r="I13258" t="s">
        <v>17648</v>
      </c>
      <c r="J13258" t="s">
        <v>40963</v>
      </c>
      <c r="K13258" t="s">
        <v>42624</v>
      </c>
      <c r="M13258" t="s">
        <v>46912</v>
      </c>
      <c r="N13258" t="s">
        <v>47304</v>
      </c>
      <c r="O13258" t="s">
        <v>47305</v>
      </c>
      <c r="P13258">
        <v>0</v>
      </c>
      <c r="Q13258">
        <v>2</v>
      </c>
      <c r="R13258" t="s">
        <v>47320</v>
      </c>
      <c r="S13258" t="s">
        <v>47917</v>
      </c>
      <c r="T13258" t="s">
        <v>48987</v>
      </c>
      <c r="U13258" t="s">
        <v>60500</v>
      </c>
      <c r="W13258" t="s">
        <v>46912</v>
      </c>
      <c r="X13258" t="s">
        <v>47321</v>
      </c>
    </row>
    <row r="13259" spans="1:24">
      <c r="A13259">
        <f>HYPERLINK("https://www.philgeps.gov.ph/GEPSNONPILOT/Tender/SplashBidNoticeAbstractUI.aspx?menuIndex=3&amp;refID=7169825&amp;Result=3","7169825")</f>
        <v>0</v>
      </c>
      <c r="B13259" t="s">
        <v>1188</v>
      </c>
      <c r="C13259" t="s">
        <v>16399</v>
      </c>
      <c r="D13259" t="s">
        <v>19070</v>
      </c>
      <c r="E13259" t="s">
        <v>30299</v>
      </c>
      <c r="F13259" t="s">
        <v>32606</v>
      </c>
      <c r="G13259" t="s">
        <v>32613</v>
      </c>
      <c r="H13259" t="s">
        <v>32623</v>
      </c>
      <c r="I13259" t="s">
        <v>17648</v>
      </c>
      <c r="J13259" t="s">
        <v>33102</v>
      </c>
      <c r="K13259" t="s">
        <v>42636</v>
      </c>
      <c r="M13259" t="s">
        <v>44152</v>
      </c>
      <c r="N13259" t="s">
        <v>47304</v>
      </c>
      <c r="O13259" t="s">
        <v>47305</v>
      </c>
      <c r="P13259">
        <v>0</v>
      </c>
      <c r="Q13259">
        <v>0</v>
      </c>
      <c r="R13259" t="s">
        <v>47320</v>
      </c>
      <c r="S13259" t="s">
        <v>47917</v>
      </c>
      <c r="T13259" t="s">
        <v>49018</v>
      </c>
      <c r="U13259" t="s">
        <v>60501</v>
      </c>
      <c r="W13259" t="s">
        <v>44152</v>
      </c>
      <c r="X13259" t="s">
        <v>47321</v>
      </c>
    </row>
    <row r="13260" spans="1:24">
      <c r="A13260">
        <f>HYPERLINK("https://www.philgeps.gov.ph/GEPSNONPILOT/Tender/SplashBidNoticeAbstractUI.aspx?menuIndex=3&amp;refID=7169810&amp;Result=3","7169810")</f>
        <v>0</v>
      </c>
      <c r="B13260" t="s">
        <v>412</v>
      </c>
      <c r="C13260" t="s">
        <v>16400</v>
      </c>
      <c r="D13260" t="s">
        <v>18994</v>
      </c>
      <c r="E13260" t="s">
        <v>30300</v>
      </c>
      <c r="F13260" t="s">
        <v>32606</v>
      </c>
      <c r="G13260" t="s">
        <v>32613</v>
      </c>
      <c r="H13260" t="s">
        <v>14201</v>
      </c>
      <c r="I13260" t="s">
        <v>32662</v>
      </c>
      <c r="J13260" t="s">
        <v>40964</v>
      </c>
      <c r="K13260" t="s">
        <v>42636</v>
      </c>
      <c r="M13260" t="s">
        <v>43316</v>
      </c>
      <c r="N13260" t="s">
        <v>47304</v>
      </c>
      <c r="O13260" t="s">
        <v>47305</v>
      </c>
      <c r="Q13260">
        <v>52</v>
      </c>
      <c r="R13260" t="s">
        <v>47320</v>
      </c>
      <c r="S13260" t="s">
        <v>47519</v>
      </c>
      <c r="T13260" t="s">
        <v>49023</v>
      </c>
      <c r="U13260" t="s">
        <v>60502</v>
      </c>
      <c r="W13260" t="s">
        <v>43316</v>
      </c>
      <c r="X13260" t="s">
        <v>47321</v>
      </c>
    </row>
    <row r="13261" spans="1:24">
      <c r="A13261">
        <f>HYPERLINK("https://www.philgeps.gov.ph/GEPSNONPILOT/Tender/SplashBidNoticeAbstractUI.aspx?menuIndex=3&amp;refID=7169752&amp;Result=3","7169752")</f>
        <v>0</v>
      </c>
      <c r="B13261" t="s">
        <v>3137</v>
      </c>
      <c r="C13261" t="s">
        <v>16401</v>
      </c>
      <c r="D13261" t="s">
        <v>19024</v>
      </c>
      <c r="E13261" t="s">
        <v>30301</v>
      </c>
      <c r="F13261" t="s">
        <v>32606</v>
      </c>
      <c r="G13261" t="s">
        <v>32613</v>
      </c>
      <c r="H13261" t="s">
        <v>14201</v>
      </c>
      <c r="I13261" t="s">
        <v>32640</v>
      </c>
      <c r="J13261" t="s">
        <v>34198</v>
      </c>
      <c r="K13261" t="s">
        <v>42631</v>
      </c>
      <c r="M13261" t="s">
        <v>46350</v>
      </c>
      <c r="N13261" t="s">
        <v>47304</v>
      </c>
      <c r="O13261" t="s">
        <v>47305</v>
      </c>
      <c r="P13261">
        <v>0</v>
      </c>
      <c r="Q13261">
        <v>3</v>
      </c>
      <c r="R13261" t="s">
        <v>47320</v>
      </c>
      <c r="S13261" t="s">
        <v>47917</v>
      </c>
      <c r="T13261" t="s">
        <v>48986</v>
      </c>
      <c r="U13261" t="s">
        <v>60503</v>
      </c>
      <c r="W13261" t="s">
        <v>46350</v>
      </c>
      <c r="X13261" t="s">
        <v>47321</v>
      </c>
    </row>
    <row r="13262" spans="1:24">
      <c r="A13262">
        <f>HYPERLINK("https://www.philgeps.gov.ph/GEPSNONPILOT/Tender/SplashBidNoticeAbstractUI.aspx?menuIndex=3&amp;refID=7169854&amp;Result=3","7169854")</f>
        <v>0</v>
      </c>
      <c r="B13262" t="s">
        <v>1568</v>
      </c>
      <c r="C13262" t="s">
        <v>16402</v>
      </c>
      <c r="D13262" t="s">
        <v>18994</v>
      </c>
      <c r="E13262" t="s">
        <v>30302</v>
      </c>
      <c r="F13262" t="s">
        <v>32606</v>
      </c>
      <c r="G13262" t="s">
        <v>32613</v>
      </c>
      <c r="H13262" t="s">
        <v>14201</v>
      </c>
      <c r="I13262" t="s">
        <v>32633</v>
      </c>
      <c r="J13262" t="s">
        <v>40965</v>
      </c>
      <c r="K13262" t="s">
        <v>42627</v>
      </c>
      <c r="M13262" t="s">
        <v>44577</v>
      </c>
      <c r="N13262" t="s">
        <v>47304</v>
      </c>
      <c r="O13262" t="s">
        <v>47305</v>
      </c>
      <c r="Q13262">
        <v>10</v>
      </c>
      <c r="R13262" t="s">
        <v>47320</v>
      </c>
      <c r="S13262" t="s">
        <v>47985</v>
      </c>
      <c r="T13262" t="s">
        <v>49011</v>
      </c>
      <c r="U13262" t="s">
        <v>60504</v>
      </c>
      <c r="V13262" t="s">
        <v>62763</v>
      </c>
      <c r="W13262" t="s">
        <v>44577</v>
      </c>
      <c r="X13262" t="s">
        <v>47321</v>
      </c>
    </row>
    <row r="13263" spans="1:24">
      <c r="A13263">
        <f>HYPERLINK("https://www.philgeps.gov.ph/GEPSNONPILOT/Tender/SplashBidNoticeAbstractUI.aspx?menuIndex=3&amp;refID=7169882&amp;Result=3","7169882")</f>
        <v>0</v>
      </c>
      <c r="B13263" t="s">
        <v>3544</v>
      </c>
      <c r="C13263" t="s">
        <v>16403</v>
      </c>
      <c r="D13263" t="s">
        <v>19006</v>
      </c>
      <c r="E13263" t="s">
        <v>30303</v>
      </c>
      <c r="F13263" t="s">
        <v>32606</v>
      </c>
      <c r="G13263" t="s">
        <v>32613</v>
      </c>
      <c r="H13263" t="s">
        <v>32623</v>
      </c>
      <c r="I13263" t="s">
        <v>17648</v>
      </c>
      <c r="J13263" t="s">
        <v>36512</v>
      </c>
      <c r="K13263" t="s">
        <v>42631</v>
      </c>
      <c r="M13263" t="s">
        <v>46823</v>
      </c>
      <c r="N13263" t="s">
        <v>47304</v>
      </c>
      <c r="O13263" t="s">
        <v>47305</v>
      </c>
      <c r="P13263">
        <v>0</v>
      </c>
      <c r="Q13263">
        <v>0</v>
      </c>
      <c r="R13263" t="s">
        <v>47320</v>
      </c>
      <c r="S13263" t="s">
        <v>47917</v>
      </c>
      <c r="T13263" t="s">
        <v>48986</v>
      </c>
      <c r="U13263" t="s">
        <v>60505</v>
      </c>
      <c r="W13263" t="s">
        <v>46823</v>
      </c>
      <c r="X13263" t="s">
        <v>47321</v>
      </c>
    </row>
    <row r="13264" spans="1:24">
      <c r="A13264">
        <f>HYPERLINK("https://www.philgeps.gov.ph/GEPSNONPILOT/Tender/SplashBidNoticeAbstractUI.aspx?menuIndex=3&amp;refID=7169883&amp;Result=3","7169883")</f>
        <v>0</v>
      </c>
      <c r="B13264" t="s">
        <v>3623</v>
      </c>
      <c r="C13264" t="s">
        <v>16404</v>
      </c>
      <c r="D13264" t="s">
        <v>19038</v>
      </c>
      <c r="E13264" t="s">
        <v>19311</v>
      </c>
      <c r="F13264" t="s">
        <v>32606</v>
      </c>
      <c r="G13264" t="s">
        <v>32613</v>
      </c>
      <c r="H13264" t="s">
        <v>14201</v>
      </c>
      <c r="I13264" t="s">
        <v>4120</v>
      </c>
      <c r="J13264" t="s">
        <v>40966</v>
      </c>
      <c r="K13264" t="s">
        <v>42631</v>
      </c>
      <c r="M13264" t="s">
        <v>46918</v>
      </c>
      <c r="N13264" t="s">
        <v>47304</v>
      </c>
      <c r="O13264" t="s">
        <v>47305</v>
      </c>
      <c r="Q13264">
        <v>5</v>
      </c>
      <c r="R13264" t="s">
        <v>47320</v>
      </c>
      <c r="S13264" t="s">
        <v>47986</v>
      </c>
      <c r="T13264" t="s">
        <v>49268</v>
      </c>
      <c r="U13264" t="s">
        <v>60506</v>
      </c>
      <c r="W13264" t="s">
        <v>46918</v>
      </c>
      <c r="X13264" t="s">
        <v>47321</v>
      </c>
    </row>
    <row r="13265" spans="1:24">
      <c r="A13265">
        <f>HYPERLINK("https://www.philgeps.gov.ph/GEPSNONPILOT/Tender/SplashBidNoticeAbstractUI.aspx?menuIndex=3&amp;refID=7169832&amp;Result=3","7169832")</f>
        <v>0</v>
      </c>
      <c r="B13265" t="s">
        <v>3614</v>
      </c>
      <c r="C13265" t="s">
        <v>7197</v>
      </c>
      <c r="D13265" t="s">
        <v>19056</v>
      </c>
      <c r="E13265" t="s">
        <v>30304</v>
      </c>
      <c r="F13265" t="s">
        <v>32606</v>
      </c>
      <c r="G13265" t="s">
        <v>32614</v>
      </c>
      <c r="H13265" t="s">
        <v>14201</v>
      </c>
      <c r="I13265" t="s">
        <v>32724</v>
      </c>
      <c r="J13265" t="s">
        <v>40967</v>
      </c>
      <c r="K13265" t="s">
        <v>42684</v>
      </c>
      <c r="M13265" t="s">
        <v>46908</v>
      </c>
      <c r="N13265" t="s">
        <v>47304</v>
      </c>
      <c r="O13265" t="s">
        <v>47305</v>
      </c>
      <c r="Q13265">
        <v>1</v>
      </c>
      <c r="R13265" t="s">
        <v>47320</v>
      </c>
      <c r="S13265" t="s">
        <v>47987</v>
      </c>
      <c r="T13265" t="s">
        <v>49315</v>
      </c>
      <c r="U13265" t="s">
        <v>60507</v>
      </c>
      <c r="W13265" t="s">
        <v>46908</v>
      </c>
      <c r="X13265" t="s">
        <v>47321</v>
      </c>
    </row>
    <row r="13266" spans="1:24">
      <c r="A13266">
        <f>HYPERLINK("https://www.philgeps.gov.ph/GEPSNONPILOT/Tender/SplashBidNoticeAbstractUI.aspx?menuIndex=3&amp;refID=7169605&amp;Result=3","7169605")</f>
        <v>0</v>
      </c>
      <c r="B13266" t="s">
        <v>965</v>
      </c>
      <c r="C13266" t="s">
        <v>16405</v>
      </c>
      <c r="D13266" t="s">
        <v>19070</v>
      </c>
      <c r="E13266" t="s">
        <v>30305</v>
      </c>
      <c r="F13266" t="s">
        <v>32606</v>
      </c>
      <c r="G13266" t="s">
        <v>32613</v>
      </c>
      <c r="H13266" t="s">
        <v>32623</v>
      </c>
      <c r="I13266" t="s">
        <v>17648</v>
      </c>
      <c r="J13266" t="s">
        <v>40968</v>
      </c>
      <c r="K13266" t="s">
        <v>42682</v>
      </c>
      <c r="M13266" t="s">
        <v>43910</v>
      </c>
      <c r="N13266" t="s">
        <v>47304</v>
      </c>
      <c r="O13266" t="s">
        <v>47305</v>
      </c>
      <c r="P13266">
        <v>0</v>
      </c>
      <c r="Q13266">
        <v>7</v>
      </c>
      <c r="R13266" t="s">
        <v>47320</v>
      </c>
      <c r="S13266" t="s">
        <v>47917</v>
      </c>
      <c r="T13266" t="s">
        <v>48986</v>
      </c>
      <c r="U13266" t="s">
        <v>60508</v>
      </c>
      <c r="W13266" t="s">
        <v>43910</v>
      </c>
      <c r="X13266" t="s">
        <v>47321</v>
      </c>
    </row>
    <row r="13267" spans="1:24">
      <c r="A13267">
        <f>HYPERLINK("https://www.philgeps.gov.ph/GEPSNONPILOT/Tender/SplashBidNoticeAbstractUI.aspx?menuIndex=3&amp;refID=7169954&amp;Result=3","7169954")</f>
        <v>0</v>
      </c>
      <c r="B13267" t="s">
        <v>876</v>
      </c>
      <c r="C13267" t="s">
        <v>16406</v>
      </c>
      <c r="D13267" t="s">
        <v>19038</v>
      </c>
      <c r="E13267" t="s">
        <v>30306</v>
      </c>
      <c r="F13267" t="s">
        <v>32606</v>
      </c>
      <c r="G13267" t="s">
        <v>32613</v>
      </c>
      <c r="H13267" t="s">
        <v>14201</v>
      </c>
      <c r="I13267" t="s">
        <v>6931</v>
      </c>
      <c r="J13267" t="s">
        <v>40969</v>
      </c>
      <c r="K13267" t="s">
        <v>42624</v>
      </c>
      <c r="M13267" t="s">
        <v>43812</v>
      </c>
      <c r="N13267" t="s">
        <v>47304</v>
      </c>
      <c r="O13267" t="s">
        <v>47305</v>
      </c>
      <c r="P13267">
        <v>0</v>
      </c>
      <c r="Q13267">
        <v>0</v>
      </c>
      <c r="R13267" t="s">
        <v>47320</v>
      </c>
      <c r="S13267" t="s">
        <v>47917</v>
      </c>
      <c r="T13267" t="s">
        <v>48986</v>
      </c>
      <c r="U13267" t="s">
        <v>60509</v>
      </c>
      <c r="W13267" t="s">
        <v>43812</v>
      </c>
      <c r="X13267" t="s">
        <v>47321</v>
      </c>
    </row>
    <row r="13268" spans="1:24">
      <c r="A13268">
        <f>HYPERLINK("https://www.philgeps.gov.ph/GEPSNONPILOT/Tender/SplashBidNoticeAbstractUI.aspx?menuIndex=3&amp;refID=7169948&amp;Result=3","7169948")</f>
        <v>0</v>
      </c>
      <c r="B13268" t="s">
        <v>3517</v>
      </c>
      <c r="C13268" t="s">
        <v>16407</v>
      </c>
      <c r="D13268" t="s">
        <v>19011</v>
      </c>
      <c r="E13268" t="s">
        <v>30307</v>
      </c>
      <c r="F13268" t="s">
        <v>32606</v>
      </c>
      <c r="G13268" t="s">
        <v>32613</v>
      </c>
      <c r="H13268" t="s">
        <v>14201</v>
      </c>
      <c r="I13268" t="s">
        <v>6931</v>
      </c>
      <c r="J13268" t="s">
        <v>40970</v>
      </c>
      <c r="K13268" t="s">
        <v>42624</v>
      </c>
      <c r="M13268" t="s">
        <v>46787</v>
      </c>
      <c r="N13268" t="s">
        <v>47304</v>
      </c>
      <c r="O13268" t="s">
        <v>47305</v>
      </c>
      <c r="P13268">
        <v>0</v>
      </c>
      <c r="Q13268">
        <v>0</v>
      </c>
      <c r="R13268" t="s">
        <v>47320</v>
      </c>
      <c r="S13268" t="s">
        <v>47917</v>
      </c>
      <c r="T13268" t="s">
        <v>49081</v>
      </c>
      <c r="U13268" t="s">
        <v>60510</v>
      </c>
      <c r="W13268" t="s">
        <v>46787</v>
      </c>
      <c r="X13268" t="s">
        <v>47321</v>
      </c>
    </row>
    <row r="13269" spans="1:24">
      <c r="A13269">
        <f>HYPERLINK("https://www.philgeps.gov.ph/GEPSNONPILOT/Tender/SplashBidNoticeAbstractUI.aspx?menuIndex=3&amp;refID=7169953&amp;Result=3","7169953")</f>
        <v>0</v>
      </c>
      <c r="B13269" t="s">
        <v>3624</v>
      </c>
      <c r="C13269" t="s">
        <v>16408</v>
      </c>
      <c r="D13269" t="s">
        <v>19058</v>
      </c>
      <c r="E13269" t="s">
        <v>19982</v>
      </c>
      <c r="F13269" t="s">
        <v>32606</v>
      </c>
      <c r="G13269" t="s">
        <v>32613</v>
      </c>
      <c r="H13269" t="s">
        <v>14201</v>
      </c>
      <c r="I13269" t="s">
        <v>32657</v>
      </c>
      <c r="J13269" t="s">
        <v>40971</v>
      </c>
      <c r="K13269" t="s">
        <v>42624</v>
      </c>
      <c r="M13269" t="s">
        <v>46919</v>
      </c>
      <c r="N13269" t="s">
        <v>47304</v>
      </c>
      <c r="O13269" t="s">
        <v>47305</v>
      </c>
      <c r="Q13269">
        <v>5</v>
      </c>
      <c r="R13269" t="s">
        <v>47320</v>
      </c>
      <c r="S13269" t="s">
        <v>47625</v>
      </c>
      <c r="T13269" t="s">
        <v>49219</v>
      </c>
      <c r="U13269" t="s">
        <v>60511</v>
      </c>
      <c r="W13269" t="s">
        <v>46919</v>
      </c>
      <c r="X13269" t="s">
        <v>47321</v>
      </c>
    </row>
    <row r="13270" spans="1:24">
      <c r="A13270">
        <f>HYPERLINK("https://www.philgeps.gov.ph/GEPSNONPILOT/Tender/SplashBidNoticeAbstractUI.aspx?menuIndex=3&amp;refID=7169715&amp;Result=3","7169715")</f>
        <v>0</v>
      </c>
      <c r="B13270" t="s">
        <v>962</v>
      </c>
      <c r="C13270" t="s">
        <v>16409</v>
      </c>
      <c r="D13270" t="s">
        <v>18991</v>
      </c>
      <c r="E13270" t="s">
        <v>30308</v>
      </c>
      <c r="F13270" t="s">
        <v>32606</v>
      </c>
      <c r="G13270" t="s">
        <v>32613</v>
      </c>
      <c r="H13270" t="s">
        <v>14201</v>
      </c>
      <c r="I13270" t="s">
        <v>6931</v>
      </c>
      <c r="J13270" t="s">
        <v>40972</v>
      </c>
      <c r="K13270" t="s">
        <v>42631</v>
      </c>
      <c r="M13270" t="s">
        <v>43907</v>
      </c>
      <c r="N13270" t="s">
        <v>47304</v>
      </c>
      <c r="O13270" t="s">
        <v>47305</v>
      </c>
      <c r="P13270">
        <v>0</v>
      </c>
      <c r="Q13270">
        <v>3</v>
      </c>
      <c r="R13270" t="s">
        <v>47320</v>
      </c>
      <c r="S13270" t="s">
        <v>47917</v>
      </c>
      <c r="T13270" t="s">
        <v>49002</v>
      </c>
      <c r="U13270" t="s">
        <v>60512</v>
      </c>
      <c r="W13270" t="s">
        <v>43907</v>
      </c>
      <c r="X13270" t="s">
        <v>47321</v>
      </c>
    </row>
    <row r="13271" spans="1:24">
      <c r="A13271">
        <f>HYPERLINK("https://www.philgeps.gov.ph/GEPSNONPILOT/Tender/SplashBidNoticeAbstractUI.aspx?menuIndex=3&amp;refID=7169940&amp;Result=3","7169940")</f>
        <v>0</v>
      </c>
      <c r="B13271" t="s">
        <v>876</v>
      </c>
      <c r="C13271" t="s">
        <v>16410</v>
      </c>
      <c r="D13271" t="s">
        <v>19038</v>
      </c>
      <c r="E13271" t="s">
        <v>30309</v>
      </c>
      <c r="F13271" t="s">
        <v>32606</v>
      </c>
      <c r="G13271" t="s">
        <v>32613</v>
      </c>
      <c r="H13271" t="s">
        <v>14201</v>
      </c>
      <c r="I13271" t="s">
        <v>6931</v>
      </c>
      <c r="J13271" t="s">
        <v>40973</v>
      </c>
      <c r="K13271" t="s">
        <v>42624</v>
      </c>
      <c r="M13271" t="s">
        <v>43812</v>
      </c>
      <c r="N13271" t="s">
        <v>47304</v>
      </c>
      <c r="O13271" t="s">
        <v>47305</v>
      </c>
      <c r="P13271">
        <v>0</v>
      </c>
      <c r="Q13271">
        <v>0</v>
      </c>
      <c r="R13271" t="s">
        <v>47320</v>
      </c>
      <c r="S13271" t="s">
        <v>47917</v>
      </c>
      <c r="T13271" t="s">
        <v>48986</v>
      </c>
      <c r="U13271" t="s">
        <v>60513</v>
      </c>
      <c r="W13271" t="s">
        <v>43812</v>
      </c>
      <c r="X13271" t="s">
        <v>47321</v>
      </c>
    </row>
    <row r="13272" spans="1:24">
      <c r="A13272">
        <f>HYPERLINK("https://www.philgeps.gov.ph/GEPSNONPILOT/Tender/SplashBidNoticeAbstractUI.aspx?menuIndex=3&amp;refID=7169930&amp;Result=3","7169930")</f>
        <v>0</v>
      </c>
      <c r="B13272" t="s">
        <v>3418</v>
      </c>
      <c r="C13272" t="s">
        <v>16411</v>
      </c>
      <c r="D13272" t="s">
        <v>18997</v>
      </c>
      <c r="E13272" t="s">
        <v>22122</v>
      </c>
      <c r="F13272" t="s">
        <v>32606</v>
      </c>
      <c r="G13272" t="s">
        <v>32613</v>
      </c>
      <c r="H13272" t="s">
        <v>14201</v>
      </c>
      <c r="I13272" t="s">
        <v>7577</v>
      </c>
      <c r="J13272" t="s">
        <v>40974</v>
      </c>
      <c r="K13272" t="s">
        <v>42631</v>
      </c>
      <c r="M13272" t="s">
        <v>46675</v>
      </c>
      <c r="N13272" t="s">
        <v>47304</v>
      </c>
      <c r="O13272" t="s">
        <v>47305</v>
      </c>
      <c r="P13272">
        <v>0</v>
      </c>
      <c r="Q13272">
        <v>2</v>
      </c>
      <c r="R13272" t="s">
        <v>47320</v>
      </c>
      <c r="S13272" t="s">
        <v>47917</v>
      </c>
      <c r="T13272" t="s">
        <v>48998</v>
      </c>
      <c r="U13272" t="s">
        <v>60514</v>
      </c>
      <c r="W13272" t="s">
        <v>46675</v>
      </c>
      <c r="X13272" t="s">
        <v>47321</v>
      </c>
    </row>
    <row r="13273" spans="1:24">
      <c r="A13273">
        <f>HYPERLINK("https://www.philgeps.gov.ph/GEPSNONPILOT/Tender/SplashBidNoticeAbstractUI.aspx?menuIndex=3&amp;refID=7169809&amp;Result=3","7169809")</f>
        <v>0</v>
      </c>
      <c r="B13273" t="s">
        <v>3625</v>
      </c>
      <c r="C13273" t="s">
        <v>16412</v>
      </c>
      <c r="D13273" t="s">
        <v>19063</v>
      </c>
      <c r="E13273" t="s">
        <v>30310</v>
      </c>
      <c r="F13273" t="s">
        <v>32606</v>
      </c>
      <c r="G13273" t="s">
        <v>32613</v>
      </c>
      <c r="H13273" t="s">
        <v>32623</v>
      </c>
      <c r="I13273" t="s">
        <v>17648</v>
      </c>
      <c r="J13273" t="s">
        <v>40975</v>
      </c>
      <c r="K13273" t="s">
        <v>42712</v>
      </c>
      <c r="M13273" t="s">
        <v>46920</v>
      </c>
      <c r="N13273" t="s">
        <v>47304</v>
      </c>
      <c r="O13273" t="s">
        <v>47305</v>
      </c>
      <c r="P13273">
        <v>0</v>
      </c>
      <c r="Q13273">
        <v>1</v>
      </c>
      <c r="R13273" t="s">
        <v>47320</v>
      </c>
      <c r="S13273" t="s">
        <v>47917</v>
      </c>
      <c r="T13273" t="s">
        <v>49158</v>
      </c>
      <c r="U13273" t="s">
        <v>60515</v>
      </c>
      <c r="W13273" t="s">
        <v>46920</v>
      </c>
      <c r="X13273" t="s">
        <v>47321</v>
      </c>
    </row>
    <row r="13274" spans="1:24">
      <c r="A13274">
        <f>HYPERLINK("https://www.philgeps.gov.ph/GEPSNONPILOT/Tender/SplashBidNoticeAbstractUI.aspx?menuIndex=3&amp;refID=7169928&amp;Result=3","7169928")</f>
        <v>0</v>
      </c>
      <c r="B13274" t="s">
        <v>2078</v>
      </c>
      <c r="C13274" t="s">
        <v>16413</v>
      </c>
      <c r="D13274" t="s">
        <v>19049</v>
      </c>
      <c r="E13274" t="s">
        <v>30311</v>
      </c>
      <c r="F13274" t="s">
        <v>32606</v>
      </c>
      <c r="G13274" t="s">
        <v>32613</v>
      </c>
      <c r="H13274" t="s">
        <v>14201</v>
      </c>
      <c r="I13274" t="s">
        <v>32660</v>
      </c>
      <c r="J13274" t="s">
        <v>32860</v>
      </c>
      <c r="K13274" t="s">
        <v>42639</v>
      </c>
      <c r="M13274" t="s">
        <v>45159</v>
      </c>
      <c r="N13274" t="s">
        <v>47304</v>
      </c>
      <c r="O13274" t="s">
        <v>47305</v>
      </c>
      <c r="Q13274">
        <v>1</v>
      </c>
      <c r="R13274" t="s">
        <v>47320</v>
      </c>
      <c r="S13274" t="s">
        <v>47988</v>
      </c>
      <c r="T13274" t="s">
        <v>49023</v>
      </c>
      <c r="U13274" t="s">
        <v>60516</v>
      </c>
      <c r="W13274" t="s">
        <v>45159</v>
      </c>
      <c r="X13274" t="s">
        <v>47321</v>
      </c>
    </row>
    <row r="13275" spans="1:24">
      <c r="A13275">
        <f>HYPERLINK("https://www.philgeps.gov.ph/GEPSNONPILOT/Tender/SplashBidNoticeAbstractUI.aspx?menuIndex=3&amp;refID=7169916&amp;Result=3","7169916")</f>
        <v>0</v>
      </c>
      <c r="B13275" t="s">
        <v>3614</v>
      </c>
      <c r="C13275" t="s">
        <v>7197</v>
      </c>
      <c r="D13275" t="s">
        <v>19056</v>
      </c>
      <c r="E13275" t="s">
        <v>30312</v>
      </c>
      <c r="F13275" t="s">
        <v>32606</v>
      </c>
      <c r="G13275" t="s">
        <v>32614</v>
      </c>
      <c r="H13275" t="s">
        <v>14201</v>
      </c>
      <c r="I13275" t="s">
        <v>32724</v>
      </c>
      <c r="J13275" t="s">
        <v>40976</v>
      </c>
      <c r="K13275" t="s">
        <v>42684</v>
      </c>
      <c r="M13275" t="s">
        <v>46908</v>
      </c>
      <c r="N13275" t="s">
        <v>47304</v>
      </c>
      <c r="O13275" t="s">
        <v>47305</v>
      </c>
      <c r="Q13275">
        <v>1</v>
      </c>
      <c r="R13275" t="s">
        <v>47320</v>
      </c>
      <c r="S13275" t="s">
        <v>47989</v>
      </c>
      <c r="T13275" t="s">
        <v>49315</v>
      </c>
      <c r="U13275" t="s">
        <v>60517</v>
      </c>
      <c r="W13275" t="s">
        <v>46908</v>
      </c>
      <c r="X13275" t="s">
        <v>47321</v>
      </c>
    </row>
    <row r="13276" spans="1:24">
      <c r="A13276">
        <f>HYPERLINK("https://www.philgeps.gov.ph/GEPSNONPILOT/Tender/SplashBidNoticeAbstractUI.aspx?menuIndex=3&amp;refID=7169915&amp;Result=3","7169915")</f>
        <v>0</v>
      </c>
      <c r="B13276" t="s">
        <v>321</v>
      </c>
      <c r="C13276" t="s">
        <v>16414</v>
      </c>
      <c r="D13276" t="s">
        <v>19048</v>
      </c>
      <c r="E13276" t="s">
        <v>30313</v>
      </c>
      <c r="F13276" t="s">
        <v>32606</v>
      </c>
      <c r="G13276" t="s">
        <v>32613</v>
      </c>
      <c r="H13276" t="s">
        <v>32623</v>
      </c>
      <c r="I13276" t="s">
        <v>17648</v>
      </c>
      <c r="J13276" t="s">
        <v>35138</v>
      </c>
      <c r="K13276" t="s">
        <v>42624</v>
      </c>
      <c r="M13276" t="s">
        <v>43223</v>
      </c>
      <c r="N13276" t="s">
        <v>47304</v>
      </c>
      <c r="O13276" t="s">
        <v>47305</v>
      </c>
      <c r="P13276">
        <v>0</v>
      </c>
      <c r="Q13276">
        <v>1</v>
      </c>
      <c r="R13276" t="s">
        <v>47320</v>
      </c>
      <c r="S13276" t="s">
        <v>47917</v>
      </c>
      <c r="T13276" t="s">
        <v>49023</v>
      </c>
      <c r="U13276" t="s">
        <v>60217</v>
      </c>
      <c r="W13276" t="s">
        <v>43223</v>
      </c>
      <c r="X13276" t="s">
        <v>47321</v>
      </c>
    </row>
    <row r="13277" spans="1:24">
      <c r="A13277">
        <f>HYPERLINK("https://www.philgeps.gov.ph/GEPSNONPILOT/Tender/SplashBidNoticeAbstractUI.aspx?menuIndex=3&amp;refID=7169932&amp;Result=3","7169932")</f>
        <v>0</v>
      </c>
      <c r="B13277" t="s">
        <v>3426</v>
      </c>
      <c r="C13277" t="s">
        <v>16415</v>
      </c>
      <c r="D13277" t="s">
        <v>19006</v>
      </c>
      <c r="E13277" t="s">
        <v>30314</v>
      </c>
      <c r="F13277" t="s">
        <v>32606</v>
      </c>
      <c r="G13277" t="s">
        <v>32613</v>
      </c>
      <c r="H13277" t="s">
        <v>14201</v>
      </c>
      <c r="I13277" t="s">
        <v>6931</v>
      </c>
      <c r="J13277" t="s">
        <v>40977</v>
      </c>
      <c r="K13277" t="s">
        <v>42622</v>
      </c>
      <c r="M13277" t="s">
        <v>46683</v>
      </c>
      <c r="N13277" t="s">
        <v>47304</v>
      </c>
      <c r="O13277" t="s">
        <v>47305</v>
      </c>
      <c r="P13277">
        <v>0</v>
      </c>
      <c r="Q13277">
        <v>0</v>
      </c>
      <c r="R13277" t="s">
        <v>47320</v>
      </c>
      <c r="S13277" t="s">
        <v>47917</v>
      </c>
      <c r="T13277" t="s">
        <v>49171</v>
      </c>
      <c r="U13277" t="s">
        <v>59549</v>
      </c>
      <c r="W13277" t="s">
        <v>46683</v>
      </c>
      <c r="X13277" t="s">
        <v>47321</v>
      </c>
    </row>
    <row r="13278" spans="1:24">
      <c r="A13278">
        <f>HYPERLINK("https://www.philgeps.gov.ph/GEPSNONPILOT/Tender/SplashBidNoticeAbstractUI.aspx?menuIndex=3&amp;refID=7169911&amp;Result=3","7169911")</f>
        <v>0</v>
      </c>
      <c r="B13278" t="s">
        <v>770</v>
      </c>
      <c r="C13278" t="s">
        <v>16416</v>
      </c>
      <c r="D13278" t="s">
        <v>19009</v>
      </c>
      <c r="E13278" t="s">
        <v>30315</v>
      </c>
      <c r="F13278" t="s">
        <v>32606</v>
      </c>
      <c r="G13278" t="s">
        <v>32615</v>
      </c>
      <c r="H13278" t="s">
        <v>14201</v>
      </c>
      <c r="I13278" t="s">
        <v>7064</v>
      </c>
      <c r="J13278" t="s">
        <v>32860</v>
      </c>
      <c r="K13278" t="s">
        <v>42631</v>
      </c>
      <c r="M13278" t="s">
        <v>43697</v>
      </c>
      <c r="N13278" t="s">
        <v>47304</v>
      </c>
      <c r="O13278" t="s">
        <v>47305</v>
      </c>
      <c r="P13278">
        <v>0</v>
      </c>
      <c r="Q13278">
        <v>3</v>
      </c>
      <c r="R13278" t="s">
        <v>47320</v>
      </c>
      <c r="S13278" t="s">
        <v>47917</v>
      </c>
      <c r="T13278" t="s">
        <v>49020</v>
      </c>
      <c r="U13278" t="s">
        <v>60518</v>
      </c>
      <c r="V13278" t="s">
        <v>64086</v>
      </c>
      <c r="W13278" t="s">
        <v>43697</v>
      </c>
      <c r="X13278" t="s">
        <v>47321</v>
      </c>
    </row>
    <row r="13279" spans="1:24">
      <c r="A13279">
        <f>HYPERLINK("https://www.philgeps.gov.ph/GEPSNONPILOT/Tender/SplashBidNoticeAbstractUI.aspx?menuIndex=3&amp;refID=7169955&amp;Result=3","7169955")</f>
        <v>0</v>
      </c>
      <c r="B13279" t="s">
        <v>2078</v>
      </c>
      <c r="C13279" t="s">
        <v>16417</v>
      </c>
      <c r="D13279" t="s">
        <v>19049</v>
      </c>
      <c r="E13279" t="s">
        <v>30316</v>
      </c>
      <c r="F13279" t="s">
        <v>32606</v>
      </c>
      <c r="G13279" t="s">
        <v>32613</v>
      </c>
      <c r="H13279" t="s">
        <v>14201</v>
      </c>
      <c r="I13279" t="s">
        <v>32660</v>
      </c>
      <c r="J13279" t="s">
        <v>40978</v>
      </c>
      <c r="K13279" t="s">
        <v>42639</v>
      </c>
      <c r="M13279" t="s">
        <v>45159</v>
      </c>
      <c r="N13279" t="s">
        <v>47304</v>
      </c>
      <c r="O13279" t="s">
        <v>47305</v>
      </c>
      <c r="Q13279">
        <v>3</v>
      </c>
      <c r="R13279" t="s">
        <v>47320</v>
      </c>
      <c r="S13279" t="s">
        <v>47990</v>
      </c>
      <c r="T13279" t="s">
        <v>49023</v>
      </c>
      <c r="U13279" t="s">
        <v>60519</v>
      </c>
      <c r="W13279" t="s">
        <v>45159</v>
      </c>
      <c r="X13279" t="s">
        <v>47321</v>
      </c>
    </row>
    <row r="13280" spans="1:24">
      <c r="A13280">
        <f>HYPERLINK("https://www.philgeps.gov.ph/GEPSNONPILOT/Tender/SplashBidNoticeAbstractUI.aspx?menuIndex=3&amp;refID=7169907&amp;Result=3","7169907")</f>
        <v>0</v>
      </c>
      <c r="B13280" t="s">
        <v>1559</v>
      </c>
      <c r="C13280" t="s">
        <v>16418</v>
      </c>
      <c r="D13280" t="s">
        <v>19032</v>
      </c>
      <c r="E13280" t="s">
        <v>30317</v>
      </c>
      <c r="F13280" t="s">
        <v>32606</v>
      </c>
      <c r="G13280" t="s">
        <v>32613</v>
      </c>
      <c r="H13280" t="s">
        <v>32623</v>
      </c>
      <c r="I13280" t="s">
        <v>17648</v>
      </c>
      <c r="J13280" t="s">
        <v>40979</v>
      </c>
      <c r="K13280" t="s">
        <v>42880</v>
      </c>
      <c r="M13280" t="s">
        <v>44565</v>
      </c>
      <c r="N13280" t="s">
        <v>47304</v>
      </c>
      <c r="O13280" t="s">
        <v>47305</v>
      </c>
      <c r="Q13280">
        <v>4</v>
      </c>
      <c r="R13280" t="s">
        <v>47320</v>
      </c>
      <c r="S13280" t="s">
        <v>47991</v>
      </c>
      <c r="T13280" t="s">
        <v>49065</v>
      </c>
      <c r="U13280" t="s">
        <v>60520</v>
      </c>
      <c r="W13280" t="s">
        <v>44565</v>
      </c>
      <c r="X13280" t="s">
        <v>47321</v>
      </c>
    </row>
    <row r="13281" spans="1:24">
      <c r="A13281">
        <f>HYPERLINK("https://www.philgeps.gov.ph/GEPSNONPILOT/Tender/SplashBidNoticeAbstractUI.aspx?menuIndex=3&amp;refID=7169906&amp;Result=3","7169906")</f>
        <v>0</v>
      </c>
      <c r="B13281" t="s">
        <v>3226</v>
      </c>
      <c r="C13281" t="s">
        <v>16419</v>
      </c>
      <c r="D13281" t="s">
        <v>19010</v>
      </c>
      <c r="E13281" t="s">
        <v>28414</v>
      </c>
      <c r="F13281" t="s">
        <v>32607</v>
      </c>
      <c r="G13281" t="s">
        <v>32613</v>
      </c>
      <c r="H13281" t="s">
        <v>14201</v>
      </c>
      <c r="I13281" t="s">
        <v>32653</v>
      </c>
      <c r="J13281" t="s">
        <v>40162</v>
      </c>
      <c r="K13281" t="s">
        <v>42638</v>
      </c>
      <c r="L13281" t="s">
        <v>3226</v>
      </c>
      <c r="M13281" t="s">
        <v>46453</v>
      </c>
      <c r="N13281" t="s">
        <v>47304</v>
      </c>
      <c r="O13281" t="s">
        <v>47305</v>
      </c>
      <c r="P13281">
        <v>0</v>
      </c>
      <c r="Q13281">
        <v>2</v>
      </c>
      <c r="R13281" t="s">
        <v>47320</v>
      </c>
      <c r="S13281" t="s">
        <v>47917</v>
      </c>
      <c r="T13281" t="s">
        <v>49087</v>
      </c>
      <c r="U13281" t="s">
        <v>60521</v>
      </c>
      <c r="W13281" t="s">
        <v>46453</v>
      </c>
      <c r="X13281" t="s">
        <v>47321</v>
      </c>
    </row>
    <row r="13282" spans="1:24">
      <c r="A13282">
        <f>HYPERLINK("https://www.philgeps.gov.ph/GEPSNONPILOT/Tender/SplashBidNoticeAbstractUI.aspx?menuIndex=3&amp;refID=7169902&amp;Result=3","7169902")</f>
        <v>0</v>
      </c>
      <c r="B13282" t="s">
        <v>3517</v>
      </c>
      <c r="C13282" t="s">
        <v>16420</v>
      </c>
      <c r="D13282" t="s">
        <v>19011</v>
      </c>
      <c r="E13282" t="s">
        <v>30318</v>
      </c>
      <c r="F13282" t="s">
        <v>32606</v>
      </c>
      <c r="G13282" t="s">
        <v>32613</v>
      </c>
      <c r="H13282" t="s">
        <v>32623</v>
      </c>
      <c r="I13282" t="s">
        <v>17648</v>
      </c>
      <c r="J13282" t="s">
        <v>32795</v>
      </c>
      <c r="K13282" t="s">
        <v>42624</v>
      </c>
      <c r="M13282" t="s">
        <v>46787</v>
      </c>
      <c r="N13282" t="s">
        <v>47304</v>
      </c>
      <c r="O13282" t="s">
        <v>47305</v>
      </c>
      <c r="P13282">
        <v>0</v>
      </c>
      <c r="Q13282">
        <v>0</v>
      </c>
      <c r="R13282" t="s">
        <v>47320</v>
      </c>
      <c r="S13282" t="s">
        <v>47917</v>
      </c>
      <c r="T13282" t="s">
        <v>49081</v>
      </c>
      <c r="U13282" t="s">
        <v>60522</v>
      </c>
      <c r="W13282" t="s">
        <v>46787</v>
      </c>
      <c r="X13282" t="s">
        <v>47321</v>
      </c>
    </row>
    <row r="13283" spans="1:24">
      <c r="A13283">
        <f>HYPERLINK("https://www.philgeps.gov.ph/GEPSNONPILOT/Tender/SplashBidNoticeAbstractUI.aspx?menuIndex=3&amp;refID=7169775&amp;Result=3","7169775")</f>
        <v>0</v>
      </c>
      <c r="B13283" t="s">
        <v>1898</v>
      </c>
      <c r="C13283" t="s">
        <v>16421</v>
      </c>
      <c r="D13283" t="s">
        <v>19001</v>
      </c>
      <c r="E13283" t="s">
        <v>30319</v>
      </c>
      <c r="F13283" t="s">
        <v>32606</v>
      </c>
      <c r="G13283" t="s">
        <v>32614</v>
      </c>
      <c r="H13283" t="s">
        <v>32625</v>
      </c>
      <c r="I13283" t="s">
        <v>32625</v>
      </c>
      <c r="J13283" t="s">
        <v>32752</v>
      </c>
      <c r="K13283" t="s">
        <v>42623</v>
      </c>
      <c r="M13283" t="s">
        <v>44983</v>
      </c>
      <c r="N13283" t="s">
        <v>47304</v>
      </c>
      <c r="O13283" t="s">
        <v>47305</v>
      </c>
      <c r="Q13283">
        <v>0</v>
      </c>
      <c r="R13283" t="s">
        <v>47320</v>
      </c>
      <c r="S13283" t="s">
        <v>47992</v>
      </c>
      <c r="T13283" t="s">
        <v>48998</v>
      </c>
      <c r="U13283" t="s">
        <v>60523</v>
      </c>
      <c r="W13283" t="s">
        <v>44957</v>
      </c>
      <c r="X13283" t="s">
        <v>47321</v>
      </c>
    </row>
    <row r="13284" spans="1:24">
      <c r="A13284">
        <f>HYPERLINK("https://www.philgeps.gov.ph/GEPSNONPILOT/Tender/SplashBidNoticeAbstractUI.aspx?menuIndex=3&amp;refID=7169965&amp;Result=3","7169965")</f>
        <v>0</v>
      </c>
      <c r="B13284" t="s">
        <v>2867</v>
      </c>
      <c r="C13284" t="s">
        <v>16422</v>
      </c>
      <c r="D13284" t="s">
        <v>19037</v>
      </c>
      <c r="E13284" t="s">
        <v>30320</v>
      </c>
      <c r="F13284" t="s">
        <v>32606</v>
      </c>
      <c r="G13284" t="s">
        <v>32613</v>
      </c>
      <c r="H13284" t="s">
        <v>14201</v>
      </c>
      <c r="I13284" t="s">
        <v>32660</v>
      </c>
      <c r="J13284" t="s">
        <v>40103</v>
      </c>
      <c r="K13284" t="s">
        <v>42631</v>
      </c>
      <c r="M13284" t="s">
        <v>46038</v>
      </c>
      <c r="N13284" t="s">
        <v>47304</v>
      </c>
      <c r="O13284" t="s">
        <v>47305</v>
      </c>
      <c r="Q13284">
        <v>1</v>
      </c>
      <c r="R13284" t="s">
        <v>47320</v>
      </c>
      <c r="S13284" t="s">
        <v>47993</v>
      </c>
      <c r="T13284" t="s">
        <v>48986</v>
      </c>
      <c r="U13284" t="s">
        <v>60524</v>
      </c>
      <c r="W13284" t="s">
        <v>64546</v>
      </c>
      <c r="X13284" t="s">
        <v>47321</v>
      </c>
    </row>
    <row r="13285" spans="1:24">
      <c r="A13285">
        <f>HYPERLINK("https://www.philgeps.gov.ph/GEPSNONPILOT/Tender/SplashBidNoticeAbstractUI.aspx?menuIndex=3&amp;refID=7169777&amp;Result=3","7169777")</f>
        <v>0</v>
      </c>
      <c r="B13285" t="s">
        <v>1216</v>
      </c>
      <c r="C13285" t="s">
        <v>16423</v>
      </c>
      <c r="D13285" t="s">
        <v>19011</v>
      </c>
      <c r="E13285" t="s">
        <v>30321</v>
      </c>
      <c r="F13285" t="s">
        <v>32606</v>
      </c>
      <c r="G13285" t="s">
        <v>32613</v>
      </c>
      <c r="H13285" t="s">
        <v>32623</v>
      </c>
      <c r="I13285" t="s">
        <v>32626</v>
      </c>
      <c r="J13285" t="s">
        <v>32830</v>
      </c>
      <c r="K13285" t="s">
        <v>42643</v>
      </c>
      <c r="M13285" t="s">
        <v>44181</v>
      </c>
      <c r="N13285" t="s">
        <v>47304</v>
      </c>
      <c r="O13285" t="s">
        <v>47305</v>
      </c>
      <c r="P13285">
        <v>0</v>
      </c>
      <c r="Q13285">
        <v>2</v>
      </c>
      <c r="R13285" t="s">
        <v>47320</v>
      </c>
      <c r="S13285" t="s">
        <v>47917</v>
      </c>
      <c r="T13285" t="s">
        <v>49485</v>
      </c>
      <c r="U13285" t="s">
        <v>52052</v>
      </c>
      <c r="V13285" t="s">
        <v>64087</v>
      </c>
      <c r="W13285" t="s">
        <v>44181</v>
      </c>
      <c r="X13285" t="s">
        <v>47321</v>
      </c>
    </row>
    <row r="13286" spans="1:24">
      <c r="A13286">
        <f>HYPERLINK("https://www.philgeps.gov.ph/GEPSNONPILOT/Tender/SplashBidNoticeAbstractUI.aspx?menuIndex=3&amp;refID=7170045&amp;Result=3","7170045")</f>
        <v>0</v>
      </c>
      <c r="B13286" t="s">
        <v>2201</v>
      </c>
      <c r="C13286" t="s">
        <v>16424</v>
      </c>
      <c r="D13286" t="s">
        <v>19018</v>
      </c>
      <c r="E13286" t="s">
        <v>30322</v>
      </c>
      <c r="F13286" t="s">
        <v>32606</v>
      </c>
      <c r="G13286" t="s">
        <v>32613</v>
      </c>
      <c r="H13286" t="s">
        <v>14201</v>
      </c>
      <c r="I13286" t="s">
        <v>32643</v>
      </c>
      <c r="J13286" t="s">
        <v>40980</v>
      </c>
      <c r="K13286" t="s">
        <v>42646</v>
      </c>
      <c r="M13286" t="s">
        <v>45305</v>
      </c>
      <c r="N13286" t="s">
        <v>47304</v>
      </c>
      <c r="O13286" t="s">
        <v>47305</v>
      </c>
      <c r="P13286">
        <v>0</v>
      </c>
      <c r="Q13286">
        <v>0</v>
      </c>
      <c r="R13286" t="s">
        <v>47320</v>
      </c>
      <c r="S13286" t="s">
        <v>47917</v>
      </c>
      <c r="T13286" t="s">
        <v>48987</v>
      </c>
      <c r="U13286" t="s">
        <v>60525</v>
      </c>
      <c r="W13286" t="s">
        <v>45305</v>
      </c>
      <c r="X13286" t="s">
        <v>47321</v>
      </c>
    </row>
    <row r="13287" spans="1:24">
      <c r="A13287">
        <f>HYPERLINK("https://www.philgeps.gov.ph/GEPSNONPILOT/Tender/SplashBidNoticeAbstractUI.aspx?menuIndex=3&amp;refID=7169917&amp;Result=3","7169917")</f>
        <v>0</v>
      </c>
      <c r="B13287" t="s">
        <v>1898</v>
      </c>
      <c r="C13287" t="s">
        <v>16425</v>
      </c>
      <c r="D13287" t="s">
        <v>19058</v>
      </c>
      <c r="E13287" t="s">
        <v>30323</v>
      </c>
      <c r="F13287" t="s">
        <v>32606</v>
      </c>
      <c r="G13287" t="s">
        <v>32614</v>
      </c>
      <c r="H13287" t="s">
        <v>32625</v>
      </c>
      <c r="I13287" t="s">
        <v>32625</v>
      </c>
      <c r="J13287" t="s">
        <v>32752</v>
      </c>
      <c r="K13287" t="s">
        <v>42623</v>
      </c>
      <c r="M13287" t="s">
        <v>44983</v>
      </c>
      <c r="N13287" t="s">
        <v>47304</v>
      </c>
      <c r="O13287" t="s">
        <v>47305</v>
      </c>
      <c r="Q13287">
        <v>2</v>
      </c>
      <c r="R13287" t="s">
        <v>47320</v>
      </c>
      <c r="S13287" t="s">
        <v>47874</v>
      </c>
      <c r="T13287" t="s">
        <v>48998</v>
      </c>
      <c r="U13287" t="s">
        <v>60526</v>
      </c>
      <c r="W13287" t="s">
        <v>44957</v>
      </c>
      <c r="X13287" t="s">
        <v>47321</v>
      </c>
    </row>
    <row r="13288" spans="1:24">
      <c r="A13288">
        <f>HYPERLINK("https://www.philgeps.gov.ph/GEPSNONPILOT/Tender/SplashBidNoticeAbstractUI.aspx?menuIndex=3&amp;refID=7170054&amp;Result=3","7170054")</f>
        <v>0</v>
      </c>
      <c r="B13288" t="s">
        <v>555</v>
      </c>
      <c r="C13288" t="s">
        <v>16426</v>
      </c>
      <c r="D13288" t="s">
        <v>18993</v>
      </c>
      <c r="E13288" t="s">
        <v>30324</v>
      </c>
      <c r="F13288" t="s">
        <v>32606</v>
      </c>
      <c r="G13288" t="s">
        <v>32615</v>
      </c>
      <c r="H13288" t="s">
        <v>14201</v>
      </c>
      <c r="I13288" t="s">
        <v>32638</v>
      </c>
      <c r="J13288" t="s">
        <v>33269</v>
      </c>
      <c r="K13288" t="s">
        <v>42639</v>
      </c>
      <c r="M13288" t="s">
        <v>45969</v>
      </c>
      <c r="N13288" t="s">
        <v>47304</v>
      </c>
      <c r="O13288" t="s">
        <v>47305</v>
      </c>
      <c r="Q13288">
        <v>25</v>
      </c>
      <c r="R13288" t="s">
        <v>47320</v>
      </c>
      <c r="S13288" t="s">
        <v>47994</v>
      </c>
      <c r="T13288" t="s">
        <v>49011</v>
      </c>
      <c r="U13288" t="s">
        <v>60527</v>
      </c>
      <c r="W13288" t="s">
        <v>45969</v>
      </c>
      <c r="X13288" t="s">
        <v>47321</v>
      </c>
    </row>
    <row r="13289" spans="1:24">
      <c r="A13289">
        <f>HYPERLINK("https://www.philgeps.gov.ph/GEPSNONPILOT/Tender/SplashBidNoticeAbstractUI.aspx?menuIndex=3&amp;refID=7170046&amp;Result=3","7170046")</f>
        <v>0</v>
      </c>
      <c r="B13289" t="s">
        <v>2871</v>
      </c>
      <c r="C13289" t="s">
        <v>16427</v>
      </c>
      <c r="D13289" t="s">
        <v>19025</v>
      </c>
      <c r="E13289" t="s">
        <v>30325</v>
      </c>
      <c r="F13289" t="s">
        <v>32606</v>
      </c>
      <c r="G13289" t="s">
        <v>32613</v>
      </c>
      <c r="H13289" t="s">
        <v>14201</v>
      </c>
      <c r="I13289" t="s">
        <v>32655</v>
      </c>
      <c r="J13289" t="s">
        <v>32769</v>
      </c>
      <c r="K13289" t="s">
        <v>42624</v>
      </c>
      <c r="M13289" t="s">
        <v>46400</v>
      </c>
      <c r="N13289" t="s">
        <v>47304</v>
      </c>
      <c r="O13289" t="s">
        <v>47305</v>
      </c>
      <c r="P13289">
        <v>0</v>
      </c>
      <c r="Q13289">
        <v>18</v>
      </c>
      <c r="R13289" t="s">
        <v>47320</v>
      </c>
      <c r="S13289" t="s">
        <v>47917</v>
      </c>
      <c r="T13289" t="s">
        <v>49103</v>
      </c>
      <c r="U13289" t="s">
        <v>60528</v>
      </c>
      <c r="W13289" t="s">
        <v>46400</v>
      </c>
      <c r="X13289" t="s">
        <v>47321</v>
      </c>
    </row>
    <row r="13290" spans="1:24">
      <c r="A13290">
        <f>HYPERLINK("https://www.philgeps.gov.ph/GEPSNONPILOT/Tender/SplashBidNoticeAbstractUI.aspx?menuIndex=3&amp;refID=7169884&amp;Result=3","7169884")</f>
        <v>0</v>
      </c>
      <c r="B13290" t="s">
        <v>2871</v>
      </c>
      <c r="C13290" t="s">
        <v>16428</v>
      </c>
      <c r="D13290" t="s">
        <v>19025</v>
      </c>
      <c r="E13290" t="s">
        <v>30326</v>
      </c>
      <c r="F13290" t="s">
        <v>32606</v>
      </c>
      <c r="G13290" t="s">
        <v>32613</v>
      </c>
      <c r="H13290" t="s">
        <v>14201</v>
      </c>
      <c r="I13290" t="s">
        <v>4120</v>
      </c>
      <c r="J13290" t="s">
        <v>40981</v>
      </c>
      <c r="K13290" t="s">
        <v>42624</v>
      </c>
      <c r="M13290" t="s">
        <v>46921</v>
      </c>
      <c r="N13290" t="s">
        <v>47304</v>
      </c>
      <c r="O13290" t="s">
        <v>47305</v>
      </c>
      <c r="P13290">
        <v>0</v>
      </c>
      <c r="Q13290">
        <v>0</v>
      </c>
      <c r="R13290" t="s">
        <v>47320</v>
      </c>
      <c r="S13290" t="s">
        <v>47917</v>
      </c>
      <c r="T13290" t="s">
        <v>49103</v>
      </c>
      <c r="U13290" t="s">
        <v>60529</v>
      </c>
      <c r="W13290" t="s">
        <v>46921</v>
      </c>
      <c r="X13290" t="s">
        <v>47321</v>
      </c>
    </row>
    <row r="13291" spans="1:24">
      <c r="A13291">
        <f>HYPERLINK("https://www.philgeps.gov.ph/GEPSNONPILOT/Tender/SplashBidNoticeAbstractUI.aspx?menuIndex=3&amp;refID=7170042&amp;Result=3","7170042")</f>
        <v>0</v>
      </c>
      <c r="B13291" t="s">
        <v>3418</v>
      </c>
      <c r="C13291" t="s">
        <v>16429</v>
      </c>
      <c r="D13291" t="s">
        <v>18997</v>
      </c>
      <c r="E13291" t="s">
        <v>21477</v>
      </c>
      <c r="F13291" t="s">
        <v>32606</v>
      </c>
      <c r="G13291" t="s">
        <v>32613</v>
      </c>
      <c r="H13291" t="s">
        <v>14201</v>
      </c>
      <c r="I13291" t="s">
        <v>7064</v>
      </c>
      <c r="J13291" t="s">
        <v>40982</v>
      </c>
      <c r="K13291" t="s">
        <v>42631</v>
      </c>
      <c r="M13291" t="s">
        <v>46675</v>
      </c>
      <c r="N13291" t="s">
        <v>47304</v>
      </c>
      <c r="O13291" t="s">
        <v>47305</v>
      </c>
      <c r="P13291">
        <v>0</v>
      </c>
      <c r="Q13291">
        <v>0</v>
      </c>
      <c r="R13291" t="s">
        <v>47320</v>
      </c>
      <c r="S13291" t="s">
        <v>47917</v>
      </c>
      <c r="T13291" t="s">
        <v>48998</v>
      </c>
      <c r="U13291" t="s">
        <v>60530</v>
      </c>
      <c r="W13291" t="s">
        <v>46675</v>
      </c>
      <c r="X13291" t="s">
        <v>47321</v>
      </c>
    </row>
    <row r="13292" spans="1:24">
      <c r="A13292">
        <f>HYPERLINK("https://www.philgeps.gov.ph/GEPSNONPILOT/Tender/SplashBidNoticeAbstractUI.aspx?menuIndex=3&amp;refID=7170039&amp;Result=3","7170039")</f>
        <v>0</v>
      </c>
      <c r="B13292" t="s">
        <v>540</v>
      </c>
      <c r="C13292" t="s">
        <v>16430</v>
      </c>
      <c r="D13292" t="s">
        <v>19001</v>
      </c>
      <c r="E13292" t="s">
        <v>30327</v>
      </c>
      <c r="F13292" t="s">
        <v>32606</v>
      </c>
      <c r="G13292" t="s">
        <v>32613</v>
      </c>
      <c r="H13292" t="s">
        <v>14201</v>
      </c>
      <c r="I13292" t="s">
        <v>32633</v>
      </c>
      <c r="J13292" t="s">
        <v>40983</v>
      </c>
      <c r="K13292" t="s">
        <v>42622</v>
      </c>
      <c r="M13292" t="s">
        <v>43781</v>
      </c>
      <c r="N13292" t="s">
        <v>47304</v>
      </c>
      <c r="O13292" t="s">
        <v>47305</v>
      </c>
      <c r="P13292">
        <v>0</v>
      </c>
      <c r="Q13292">
        <v>2</v>
      </c>
      <c r="R13292" t="s">
        <v>47320</v>
      </c>
      <c r="S13292" t="s">
        <v>47917</v>
      </c>
      <c r="T13292" t="s">
        <v>49107</v>
      </c>
      <c r="U13292" t="s">
        <v>60531</v>
      </c>
      <c r="W13292" t="s">
        <v>43781</v>
      </c>
      <c r="X13292" t="s">
        <v>47321</v>
      </c>
    </row>
    <row r="13293" spans="1:24">
      <c r="A13293">
        <f>HYPERLINK("https://www.philgeps.gov.ph/GEPSNONPILOT/Tender/SplashBidNoticeAbstractUI.aspx?menuIndex=3&amp;refID=7170038&amp;Result=3","7170038")</f>
        <v>0</v>
      </c>
      <c r="B13293" t="s">
        <v>1898</v>
      </c>
      <c r="C13293" t="s">
        <v>16431</v>
      </c>
      <c r="D13293" t="s">
        <v>18999</v>
      </c>
      <c r="E13293" t="s">
        <v>30328</v>
      </c>
      <c r="F13293" t="s">
        <v>32606</v>
      </c>
      <c r="G13293" t="s">
        <v>32614</v>
      </c>
      <c r="H13293" t="s">
        <v>32625</v>
      </c>
      <c r="I13293" t="s">
        <v>32625</v>
      </c>
      <c r="J13293" t="s">
        <v>33539</v>
      </c>
      <c r="K13293" t="s">
        <v>42623</v>
      </c>
      <c r="M13293" t="s">
        <v>44983</v>
      </c>
      <c r="N13293" t="s">
        <v>47304</v>
      </c>
      <c r="O13293" t="s">
        <v>47305</v>
      </c>
      <c r="Q13293">
        <v>1</v>
      </c>
      <c r="R13293" t="s">
        <v>47320</v>
      </c>
      <c r="S13293" t="s">
        <v>47995</v>
      </c>
      <c r="T13293" t="s">
        <v>48998</v>
      </c>
      <c r="U13293" t="s">
        <v>60532</v>
      </c>
      <c r="W13293" t="s">
        <v>44957</v>
      </c>
      <c r="X13293" t="s">
        <v>47321</v>
      </c>
    </row>
    <row r="13294" spans="1:24">
      <c r="A13294">
        <f>HYPERLINK("https://www.philgeps.gov.ph/GEPSNONPILOT/Tender/SplashBidNoticeAbstractUI.aspx?menuIndex=3&amp;refID=7170019&amp;Result=3","7170019")</f>
        <v>0</v>
      </c>
      <c r="B13294" t="s">
        <v>2078</v>
      </c>
      <c r="C13294" t="s">
        <v>16432</v>
      </c>
      <c r="D13294" t="s">
        <v>19049</v>
      </c>
      <c r="E13294" t="s">
        <v>30329</v>
      </c>
      <c r="F13294" t="s">
        <v>32606</v>
      </c>
      <c r="G13294" t="s">
        <v>32613</v>
      </c>
      <c r="H13294" t="s">
        <v>14201</v>
      </c>
      <c r="I13294" t="s">
        <v>32650</v>
      </c>
      <c r="J13294" t="s">
        <v>40984</v>
      </c>
      <c r="K13294" t="s">
        <v>42631</v>
      </c>
      <c r="M13294" t="s">
        <v>45159</v>
      </c>
      <c r="N13294" t="s">
        <v>47304</v>
      </c>
      <c r="O13294" t="s">
        <v>47305</v>
      </c>
      <c r="Q13294">
        <v>2</v>
      </c>
      <c r="R13294" t="s">
        <v>47320</v>
      </c>
      <c r="S13294" t="s">
        <v>47996</v>
      </c>
      <c r="T13294" t="s">
        <v>49023</v>
      </c>
      <c r="U13294" t="s">
        <v>60533</v>
      </c>
      <c r="W13294" t="s">
        <v>45159</v>
      </c>
      <c r="X13294" t="s">
        <v>47321</v>
      </c>
    </row>
    <row r="13295" spans="1:24">
      <c r="A13295">
        <f>HYPERLINK("https://www.philgeps.gov.ph/GEPSNONPILOT/Tender/SplashBidNoticeAbstractUI.aspx?menuIndex=3&amp;refID=7170048&amp;Result=3","7170048")</f>
        <v>0</v>
      </c>
      <c r="B13295" t="s">
        <v>2078</v>
      </c>
      <c r="C13295" t="s">
        <v>16433</v>
      </c>
      <c r="D13295" t="s">
        <v>19049</v>
      </c>
      <c r="E13295" t="s">
        <v>30330</v>
      </c>
      <c r="F13295" t="s">
        <v>32606</v>
      </c>
      <c r="G13295" t="s">
        <v>32613</v>
      </c>
      <c r="H13295" t="s">
        <v>14201</v>
      </c>
      <c r="I13295" t="s">
        <v>32738</v>
      </c>
      <c r="J13295" t="s">
        <v>40985</v>
      </c>
      <c r="K13295" t="s">
        <v>42677</v>
      </c>
      <c r="M13295" t="s">
        <v>45159</v>
      </c>
      <c r="N13295" t="s">
        <v>47304</v>
      </c>
      <c r="O13295" t="s">
        <v>47305</v>
      </c>
      <c r="Q13295">
        <v>1</v>
      </c>
      <c r="R13295" t="s">
        <v>47320</v>
      </c>
      <c r="S13295" t="s">
        <v>47996</v>
      </c>
      <c r="T13295" t="s">
        <v>49023</v>
      </c>
      <c r="U13295" t="s">
        <v>60534</v>
      </c>
      <c r="W13295" t="s">
        <v>45159</v>
      </c>
      <c r="X13295" t="s">
        <v>47321</v>
      </c>
    </row>
    <row r="13296" spans="1:24">
      <c r="A13296">
        <f>HYPERLINK("https://www.philgeps.gov.ph/GEPSNONPILOT/Tender/SplashBidNoticeAbstractUI.aspx?menuIndex=3&amp;refID=7170014&amp;Result=3","7170014")</f>
        <v>0</v>
      </c>
      <c r="B13296" t="s">
        <v>718</v>
      </c>
      <c r="C13296" t="s">
        <v>16434</v>
      </c>
      <c r="D13296" t="s">
        <v>19037</v>
      </c>
      <c r="E13296" t="s">
        <v>30331</v>
      </c>
      <c r="F13296" t="s">
        <v>32606</v>
      </c>
      <c r="G13296" t="s">
        <v>32613</v>
      </c>
      <c r="H13296" t="s">
        <v>14201</v>
      </c>
      <c r="I13296" t="s">
        <v>32640</v>
      </c>
      <c r="J13296" t="s">
        <v>40986</v>
      </c>
      <c r="K13296" t="s">
        <v>42631</v>
      </c>
      <c r="M13296" t="s">
        <v>46729</v>
      </c>
      <c r="N13296" t="s">
        <v>47304</v>
      </c>
      <c r="O13296" t="s">
        <v>47305</v>
      </c>
      <c r="Q13296">
        <v>13</v>
      </c>
      <c r="R13296" t="s">
        <v>47320</v>
      </c>
      <c r="S13296" t="s">
        <v>47604</v>
      </c>
      <c r="T13296" t="s">
        <v>48988</v>
      </c>
      <c r="U13296" t="s">
        <v>60535</v>
      </c>
      <c r="W13296" t="s">
        <v>46729</v>
      </c>
      <c r="X13296" t="s">
        <v>47321</v>
      </c>
    </row>
    <row r="13297" spans="1:24">
      <c r="A13297">
        <f>HYPERLINK("https://www.philgeps.gov.ph/GEPSNONPILOT/Tender/SplashBidNoticeAbstractUI.aspx?menuIndex=3&amp;refID=7169799&amp;Result=3","7169799")</f>
        <v>0</v>
      </c>
      <c r="B13297" t="s">
        <v>3626</v>
      </c>
      <c r="C13297" t="s">
        <v>11857</v>
      </c>
      <c r="D13297" t="s">
        <v>19010</v>
      </c>
      <c r="E13297" t="s">
        <v>19145</v>
      </c>
      <c r="F13297" t="s">
        <v>32611</v>
      </c>
      <c r="G13297" t="s">
        <v>32613</v>
      </c>
      <c r="H13297" t="s">
        <v>32623</v>
      </c>
      <c r="I13297" t="s">
        <v>17648</v>
      </c>
      <c r="J13297" t="s">
        <v>32789</v>
      </c>
      <c r="K13297" t="s">
        <v>42624</v>
      </c>
      <c r="M13297" t="s">
        <v>46922</v>
      </c>
      <c r="N13297" t="s">
        <v>47304</v>
      </c>
      <c r="O13297" t="s">
        <v>47305</v>
      </c>
      <c r="P13297">
        <v>0</v>
      </c>
      <c r="Q13297">
        <v>1</v>
      </c>
      <c r="R13297" t="s">
        <v>47320</v>
      </c>
      <c r="S13297" t="s">
        <v>47917</v>
      </c>
      <c r="T13297" t="s">
        <v>49175</v>
      </c>
      <c r="U13297" t="s">
        <v>60536</v>
      </c>
      <c r="W13297" t="s">
        <v>46922</v>
      </c>
      <c r="X13297" t="s">
        <v>47321</v>
      </c>
    </row>
    <row r="13298" spans="1:24">
      <c r="A13298">
        <f>HYPERLINK("https://www.philgeps.gov.ph/GEPSNONPILOT/Tender/SplashBidNoticeAbstractUI.aspx?menuIndex=3&amp;refID=7169921&amp;Result=3","7169921")</f>
        <v>0</v>
      </c>
      <c r="B13298" t="s">
        <v>3517</v>
      </c>
      <c r="C13298" t="s">
        <v>16435</v>
      </c>
      <c r="D13298" t="s">
        <v>19011</v>
      </c>
      <c r="E13298" t="s">
        <v>30332</v>
      </c>
      <c r="F13298" t="s">
        <v>32606</v>
      </c>
      <c r="G13298" t="s">
        <v>32613</v>
      </c>
      <c r="H13298" t="s">
        <v>32623</v>
      </c>
      <c r="I13298" t="s">
        <v>17648</v>
      </c>
      <c r="J13298" t="s">
        <v>40987</v>
      </c>
      <c r="K13298" t="s">
        <v>42624</v>
      </c>
      <c r="M13298" t="s">
        <v>46787</v>
      </c>
      <c r="N13298" t="s">
        <v>47304</v>
      </c>
      <c r="O13298" t="s">
        <v>47305</v>
      </c>
      <c r="P13298">
        <v>0</v>
      </c>
      <c r="Q13298">
        <v>0</v>
      </c>
      <c r="R13298" t="s">
        <v>47320</v>
      </c>
      <c r="S13298" t="s">
        <v>47917</v>
      </c>
      <c r="T13298" t="s">
        <v>49081</v>
      </c>
      <c r="U13298" t="s">
        <v>60537</v>
      </c>
      <c r="W13298" t="s">
        <v>46787</v>
      </c>
      <c r="X13298" t="s">
        <v>47321</v>
      </c>
    </row>
    <row r="13299" spans="1:24">
      <c r="A13299">
        <f>HYPERLINK("https://www.philgeps.gov.ph/GEPSNONPILOT/Tender/SplashBidNoticeAbstractUI.aspx?menuIndex=3&amp;refID=7170011&amp;Result=3","7170011")</f>
        <v>0</v>
      </c>
      <c r="B13299" t="s">
        <v>1507</v>
      </c>
      <c r="C13299" t="s">
        <v>16436</v>
      </c>
      <c r="D13299" t="s">
        <v>19039</v>
      </c>
      <c r="E13299" t="s">
        <v>30333</v>
      </c>
      <c r="F13299" t="s">
        <v>32607</v>
      </c>
      <c r="G13299" t="s">
        <v>32613</v>
      </c>
      <c r="H13299" t="s">
        <v>32623</v>
      </c>
      <c r="I13299" t="s">
        <v>17648</v>
      </c>
      <c r="J13299" t="s">
        <v>32759</v>
      </c>
      <c r="K13299" t="s">
        <v>42636</v>
      </c>
      <c r="M13299" t="s">
        <v>44505</v>
      </c>
      <c r="N13299" t="s">
        <v>47304</v>
      </c>
      <c r="O13299" t="s">
        <v>47305</v>
      </c>
      <c r="P13299">
        <v>0</v>
      </c>
      <c r="Q13299">
        <v>1</v>
      </c>
      <c r="R13299" t="s">
        <v>47320</v>
      </c>
      <c r="S13299" t="s">
        <v>47917</v>
      </c>
      <c r="T13299" t="s">
        <v>49257</v>
      </c>
      <c r="U13299" t="s">
        <v>60538</v>
      </c>
      <c r="V13299" t="s">
        <v>64088</v>
      </c>
      <c r="W13299" t="s">
        <v>44505</v>
      </c>
      <c r="X13299" t="s">
        <v>47321</v>
      </c>
    </row>
    <row r="13300" spans="1:24">
      <c r="A13300">
        <f>HYPERLINK("https://www.philgeps.gov.ph/GEPSNONPILOT/Tender/SplashBidNoticeAbstractUI.aspx?menuIndex=3&amp;refID=7169991&amp;Result=3","7169991")</f>
        <v>0</v>
      </c>
      <c r="B13300" t="s">
        <v>2201</v>
      </c>
      <c r="C13300" t="s">
        <v>16437</v>
      </c>
      <c r="D13300" t="s">
        <v>19018</v>
      </c>
      <c r="E13300" t="s">
        <v>30334</v>
      </c>
      <c r="F13300" t="s">
        <v>32606</v>
      </c>
      <c r="G13300" t="s">
        <v>32613</v>
      </c>
      <c r="H13300" t="s">
        <v>32623</v>
      </c>
      <c r="I13300" t="s">
        <v>17648</v>
      </c>
      <c r="J13300" t="s">
        <v>40988</v>
      </c>
      <c r="K13300" t="s">
        <v>42636</v>
      </c>
      <c r="M13300" t="s">
        <v>45305</v>
      </c>
      <c r="N13300" t="s">
        <v>47304</v>
      </c>
      <c r="O13300" t="s">
        <v>47305</v>
      </c>
      <c r="P13300">
        <v>0</v>
      </c>
      <c r="Q13300">
        <v>1</v>
      </c>
      <c r="R13300" t="s">
        <v>47320</v>
      </c>
      <c r="S13300" t="s">
        <v>47917</v>
      </c>
      <c r="T13300" t="s">
        <v>48987</v>
      </c>
      <c r="U13300" t="s">
        <v>60525</v>
      </c>
      <c r="W13300" t="s">
        <v>45305</v>
      </c>
      <c r="X13300" t="s">
        <v>47321</v>
      </c>
    </row>
    <row r="13301" spans="1:24">
      <c r="A13301">
        <f>HYPERLINK("https://www.philgeps.gov.ph/GEPSNONPILOT/Tender/SplashBidNoticeAbstractUI.aspx?menuIndex=3&amp;refID=7169982&amp;Result=3","7169982")</f>
        <v>0</v>
      </c>
      <c r="B13301" t="s">
        <v>321</v>
      </c>
      <c r="C13301" t="s">
        <v>16438</v>
      </c>
      <c r="D13301" t="s">
        <v>19048</v>
      </c>
      <c r="E13301" t="s">
        <v>30335</v>
      </c>
      <c r="F13301" t="s">
        <v>32606</v>
      </c>
      <c r="G13301" t="s">
        <v>32613</v>
      </c>
      <c r="H13301" t="s">
        <v>32623</v>
      </c>
      <c r="I13301" t="s">
        <v>17648</v>
      </c>
      <c r="J13301" t="s">
        <v>35368</v>
      </c>
      <c r="K13301" t="s">
        <v>42624</v>
      </c>
      <c r="M13301" t="s">
        <v>43223</v>
      </c>
      <c r="N13301" t="s">
        <v>47304</v>
      </c>
      <c r="O13301" t="s">
        <v>47305</v>
      </c>
      <c r="P13301">
        <v>0</v>
      </c>
      <c r="Q13301">
        <v>1</v>
      </c>
      <c r="R13301" t="s">
        <v>47320</v>
      </c>
      <c r="S13301" t="s">
        <v>47917</v>
      </c>
      <c r="T13301" t="s">
        <v>49023</v>
      </c>
      <c r="U13301" t="s">
        <v>60217</v>
      </c>
      <c r="W13301" t="s">
        <v>43223</v>
      </c>
      <c r="X13301" t="s">
        <v>47321</v>
      </c>
    </row>
    <row r="13302" spans="1:24">
      <c r="A13302">
        <f>HYPERLINK("https://www.philgeps.gov.ph/GEPSNONPILOT/Tender/SplashBidNoticeAbstractUI.aspx?menuIndex=3&amp;refID=7169913&amp;Result=3","7169913")</f>
        <v>0</v>
      </c>
      <c r="B13302" t="s">
        <v>876</v>
      </c>
      <c r="C13302" t="s">
        <v>16439</v>
      </c>
      <c r="D13302" t="s">
        <v>19038</v>
      </c>
      <c r="E13302" t="s">
        <v>30336</v>
      </c>
      <c r="F13302" t="s">
        <v>32606</v>
      </c>
      <c r="G13302" t="s">
        <v>32613</v>
      </c>
      <c r="H13302" t="s">
        <v>14201</v>
      </c>
      <c r="I13302" t="s">
        <v>6931</v>
      </c>
      <c r="J13302" t="s">
        <v>40989</v>
      </c>
      <c r="K13302" t="s">
        <v>42624</v>
      </c>
      <c r="M13302" t="s">
        <v>43812</v>
      </c>
      <c r="N13302" t="s">
        <v>47304</v>
      </c>
      <c r="O13302" t="s">
        <v>47305</v>
      </c>
      <c r="P13302">
        <v>0</v>
      </c>
      <c r="Q13302">
        <v>0</v>
      </c>
      <c r="R13302" t="s">
        <v>47320</v>
      </c>
      <c r="S13302" t="s">
        <v>47917</v>
      </c>
      <c r="T13302" t="s">
        <v>48986</v>
      </c>
      <c r="U13302" t="s">
        <v>60539</v>
      </c>
      <c r="W13302" t="s">
        <v>43812</v>
      </c>
      <c r="X13302" t="s">
        <v>47321</v>
      </c>
    </row>
    <row r="13303" spans="1:24">
      <c r="A13303">
        <f>HYPERLINK("https://www.philgeps.gov.ph/GEPSNONPILOT/Tender/SplashBidNoticeAbstractUI.aspx?menuIndex=3&amp;refID=7169974&amp;Result=3","7169974")</f>
        <v>0</v>
      </c>
      <c r="B13303" t="s">
        <v>3625</v>
      </c>
      <c r="C13303" t="s">
        <v>16440</v>
      </c>
      <c r="D13303" t="s">
        <v>19063</v>
      </c>
      <c r="E13303" t="s">
        <v>30337</v>
      </c>
      <c r="F13303" t="s">
        <v>32606</v>
      </c>
      <c r="G13303" t="s">
        <v>32613</v>
      </c>
      <c r="H13303" t="s">
        <v>32623</v>
      </c>
      <c r="I13303" t="s">
        <v>17648</v>
      </c>
      <c r="J13303" t="s">
        <v>40990</v>
      </c>
      <c r="K13303" t="s">
        <v>42623</v>
      </c>
      <c r="M13303" t="s">
        <v>46920</v>
      </c>
      <c r="N13303" t="s">
        <v>47304</v>
      </c>
      <c r="O13303" t="s">
        <v>47305</v>
      </c>
      <c r="P13303">
        <v>0</v>
      </c>
      <c r="Q13303">
        <v>0</v>
      </c>
      <c r="R13303" t="s">
        <v>47320</v>
      </c>
      <c r="S13303" t="s">
        <v>47917</v>
      </c>
      <c r="T13303" t="s">
        <v>49017</v>
      </c>
      <c r="U13303" t="s">
        <v>60540</v>
      </c>
      <c r="W13303" t="s">
        <v>46920</v>
      </c>
      <c r="X13303" t="s">
        <v>47321</v>
      </c>
    </row>
    <row r="13304" spans="1:24">
      <c r="A13304">
        <f>HYPERLINK("https://www.philgeps.gov.ph/GEPSNONPILOT/Tender/SplashBidNoticeAbstractUI.aspx?menuIndex=3&amp;refID=7169971&amp;Result=3","7169971")</f>
        <v>0</v>
      </c>
      <c r="B13304" t="s">
        <v>374</v>
      </c>
      <c r="C13304" t="s">
        <v>16441</v>
      </c>
      <c r="D13304" t="s">
        <v>18999</v>
      </c>
      <c r="E13304" t="s">
        <v>30338</v>
      </c>
      <c r="F13304" t="s">
        <v>32606</v>
      </c>
      <c r="G13304" t="s">
        <v>32613</v>
      </c>
      <c r="H13304" t="s">
        <v>32623</v>
      </c>
      <c r="I13304" t="s">
        <v>17648</v>
      </c>
      <c r="J13304" t="s">
        <v>40991</v>
      </c>
      <c r="K13304" t="s">
        <v>42648</v>
      </c>
      <c r="M13304" t="s">
        <v>46821</v>
      </c>
      <c r="N13304" t="s">
        <v>47304</v>
      </c>
      <c r="O13304" t="s">
        <v>47305</v>
      </c>
      <c r="P13304">
        <v>0</v>
      </c>
      <c r="Q13304">
        <v>14</v>
      </c>
      <c r="R13304" t="s">
        <v>47320</v>
      </c>
      <c r="S13304" t="s">
        <v>47917</v>
      </c>
      <c r="T13304" t="s">
        <v>48986</v>
      </c>
      <c r="U13304" t="s">
        <v>60541</v>
      </c>
      <c r="W13304" t="s">
        <v>46821</v>
      </c>
      <c r="X13304" t="s">
        <v>47321</v>
      </c>
    </row>
    <row r="13305" spans="1:24">
      <c r="A13305">
        <f>HYPERLINK("https://www.philgeps.gov.ph/GEPSNONPILOT/Tender/SplashBidNoticeAbstractUI.aspx?menuIndex=3&amp;refID=7169964&amp;Result=3","7169964")</f>
        <v>0</v>
      </c>
      <c r="B13305" t="s">
        <v>3544</v>
      </c>
      <c r="C13305" t="s">
        <v>16442</v>
      </c>
      <c r="D13305" t="s">
        <v>19006</v>
      </c>
      <c r="E13305" t="s">
        <v>30339</v>
      </c>
      <c r="F13305" t="s">
        <v>32606</v>
      </c>
      <c r="G13305" t="s">
        <v>32613</v>
      </c>
      <c r="H13305" t="s">
        <v>32623</v>
      </c>
      <c r="I13305" t="s">
        <v>17648</v>
      </c>
      <c r="J13305" t="s">
        <v>32789</v>
      </c>
      <c r="K13305" t="s">
        <v>42631</v>
      </c>
      <c r="M13305" t="s">
        <v>46823</v>
      </c>
      <c r="N13305" t="s">
        <v>47304</v>
      </c>
      <c r="O13305" t="s">
        <v>47305</v>
      </c>
      <c r="P13305">
        <v>0</v>
      </c>
      <c r="Q13305">
        <v>0</v>
      </c>
      <c r="R13305" t="s">
        <v>47320</v>
      </c>
      <c r="S13305" t="s">
        <v>47917</v>
      </c>
      <c r="T13305" t="s">
        <v>48986</v>
      </c>
      <c r="U13305" t="s">
        <v>60542</v>
      </c>
      <c r="W13305" t="s">
        <v>46823</v>
      </c>
      <c r="X13305" t="s">
        <v>47321</v>
      </c>
    </row>
    <row r="13306" spans="1:24">
      <c r="A13306">
        <f>HYPERLINK("https://www.philgeps.gov.ph/GEPSNONPILOT/Tender/SplashBidNoticeAbstractUI.aspx?menuIndex=3&amp;refID=7169768&amp;Result=3","7169768")</f>
        <v>0</v>
      </c>
      <c r="B13306" t="s">
        <v>1437</v>
      </c>
      <c r="C13306" t="s">
        <v>16443</v>
      </c>
      <c r="E13306" t="s">
        <v>30340</v>
      </c>
      <c r="F13306" t="s">
        <v>32606</v>
      </c>
      <c r="G13306" t="s">
        <v>32613</v>
      </c>
      <c r="H13306" t="s">
        <v>14201</v>
      </c>
      <c r="I13306" t="s">
        <v>32633</v>
      </c>
      <c r="J13306" t="s">
        <v>40992</v>
      </c>
      <c r="K13306" t="s">
        <v>42624</v>
      </c>
      <c r="M13306" t="s">
        <v>46923</v>
      </c>
      <c r="N13306" t="s">
        <v>47304</v>
      </c>
      <c r="O13306" t="s">
        <v>47305</v>
      </c>
      <c r="Q13306">
        <v>5</v>
      </c>
      <c r="R13306" t="s">
        <v>47320</v>
      </c>
      <c r="S13306" t="s">
        <v>47595</v>
      </c>
      <c r="T13306" t="s">
        <v>49023</v>
      </c>
      <c r="U13306" t="s">
        <v>60543</v>
      </c>
      <c r="W13306" t="s">
        <v>46923</v>
      </c>
      <c r="X13306" t="s">
        <v>47321</v>
      </c>
    </row>
    <row r="13307" spans="1:24">
      <c r="A13307">
        <f>HYPERLINK("https://www.philgeps.gov.ph/GEPSNONPILOT/Tender/SplashBidNoticeAbstractUI.aspx?menuIndex=3&amp;refID=7169754&amp;Result=3","7169754")</f>
        <v>0</v>
      </c>
      <c r="B13307" t="s">
        <v>2871</v>
      </c>
      <c r="C13307" t="s">
        <v>16444</v>
      </c>
      <c r="E13307" t="s">
        <v>30341</v>
      </c>
      <c r="F13307" t="s">
        <v>32606</v>
      </c>
      <c r="G13307" t="s">
        <v>32613</v>
      </c>
      <c r="H13307" t="s">
        <v>14201</v>
      </c>
      <c r="I13307" t="s">
        <v>32633</v>
      </c>
      <c r="J13307" t="s">
        <v>40993</v>
      </c>
      <c r="K13307" t="s">
        <v>42624</v>
      </c>
      <c r="M13307" t="s">
        <v>46635</v>
      </c>
      <c r="N13307" t="s">
        <v>47304</v>
      </c>
      <c r="O13307" t="s">
        <v>47305</v>
      </c>
      <c r="P13307">
        <v>0</v>
      </c>
      <c r="Q13307">
        <v>13</v>
      </c>
      <c r="R13307" t="s">
        <v>47320</v>
      </c>
      <c r="S13307" t="s">
        <v>47917</v>
      </c>
      <c r="T13307" t="s">
        <v>48994</v>
      </c>
      <c r="U13307" t="s">
        <v>60544</v>
      </c>
      <c r="W13307" t="s">
        <v>46635</v>
      </c>
      <c r="X13307" t="s">
        <v>47321</v>
      </c>
    </row>
    <row r="13308" spans="1:24">
      <c r="A13308">
        <f>HYPERLINK("https://www.philgeps.gov.ph/GEPSNONPILOT/Tender/SplashBidNoticeAbstractUI.aspx?menuIndex=3&amp;refID=7169986&amp;Result=3","7169986")</f>
        <v>0</v>
      </c>
      <c r="B13308" t="s">
        <v>2078</v>
      </c>
      <c r="C13308" t="s">
        <v>16445</v>
      </c>
      <c r="D13308" t="s">
        <v>19049</v>
      </c>
      <c r="E13308" t="s">
        <v>30342</v>
      </c>
      <c r="F13308" t="s">
        <v>32606</v>
      </c>
      <c r="G13308" t="s">
        <v>32613</v>
      </c>
      <c r="H13308" t="s">
        <v>14201</v>
      </c>
      <c r="I13308" t="s">
        <v>32650</v>
      </c>
      <c r="J13308" t="s">
        <v>40994</v>
      </c>
      <c r="K13308" t="s">
        <v>42631</v>
      </c>
      <c r="M13308" t="s">
        <v>45159</v>
      </c>
      <c r="N13308" t="s">
        <v>47304</v>
      </c>
      <c r="O13308" t="s">
        <v>47305</v>
      </c>
      <c r="Q13308">
        <v>6</v>
      </c>
      <c r="R13308" t="s">
        <v>47320</v>
      </c>
      <c r="S13308" t="s">
        <v>47997</v>
      </c>
      <c r="T13308" t="s">
        <v>49023</v>
      </c>
      <c r="U13308" t="s">
        <v>60545</v>
      </c>
      <c r="W13308" t="s">
        <v>45159</v>
      </c>
      <c r="X13308" t="s">
        <v>47321</v>
      </c>
    </row>
    <row r="13309" spans="1:24">
      <c r="A13309">
        <f>HYPERLINK("https://www.philgeps.gov.ph/GEPSNONPILOT/Tender/SplashBidNoticeAbstractUI.aspx?menuIndex=3&amp;refID=7169753&amp;Result=3","7169753")</f>
        <v>0</v>
      </c>
      <c r="B13309" t="s">
        <v>1188</v>
      </c>
      <c r="C13309" t="s">
        <v>16446</v>
      </c>
      <c r="D13309" t="s">
        <v>19070</v>
      </c>
      <c r="E13309" t="s">
        <v>30343</v>
      </c>
      <c r="F13309" t="s">
        <v>32606</v>
      </c>
      <c r="G13309" t="s">
        <v>32613</v>
      </c>
      <c r="H13309" t="s">
        <v>32623</v>
      </c>
      <c r="I13309" t="s">
        <v>17648</v>
      </c>
      <c r="J13309" t="s">
        <v>33385</v>
      </c>
      <c r="K13309" t="s">
        <v>42636</v>
      </c>
      <c r="M13309" t="s">
        <v>44152</v>
      </c>
      <c r="N13309" t="s">
        <v>47304</v>
      </c>
      <c r="O13309" t="s">
        <v>47305</v>
      </c>
      <c r="P13309">
        <v>0</v>
      </c>
      <c r="Q13309">
        <v>0</v>
      </c>
      <c r="R13309" t="s">
        <v>47320</v>
      </c>
      <c r="S13309" t="s">
        <v>47917</v>
      </c>
      <c r="T13309" t="s">
        <v>49018</v>
      </c>
      <c r="U13309" t="s">
        <v>60546</v>
      </c>
      <c r="W13309" t="s">
        <v>44152</v>
      </c>
      <c r="X13309" t="s">
        <v>47321</v>
      </c>
    </row>
    <row r="13310" spans="1:24">
      <c r="A13310">
        <f>HYPERLINK("https://www.philgeps.gov.ph/GEPSNONPILOT/Tender/SplashBidNoticeAbstractUI.aspx?menuIndex=3&amp;refID=7169665&amp;Result=3","7169665")</f>
        <v>0</v>
      </c>
      <c r="B13310" t="s">
        <v>3627</v>
      </c>
      <c r="C13310" t="s">
        <v>16447</v>
      </c>
      <c r="D13310" t="s">
        <v>19027</v>
      </c>
      <c r="E13310" t="s">
        <v>30344</v>
      </c>
      <c r="F13310" t="s">
        <v>32606</v>
      </c>
      <c r="G13310" t="s">
        <v>32613</v>
      </c>
      <c r="H13310" t="s">
        <v>32623</v>
      </c>
      <c r="I13310" t="s">
        <v>17648</v>
      </c>
      <c r="J13310" t="s">
        <v>40995</v>
      </c>
      <c r="K13310" t="s">
        <v>42821</v>
      </c>
      <c r="M13310" t="s">
        <v>46924</v>
      </c>
      <c r="N13310" t="s">
        <v>47304</v>
      </c>
      <c r="O13310" t="s">
        <v>47305</v>
      </c>
      <c r="Q13310">
        <v>0</v>
      </c>
      <c r="R13310" t="s">
        <v>47320</v>
      </c>
      <c r="S13310" t="s">
        <v>47998</v>
      </c>
      <c r="T13310" t="s">
        <v>48986</v>
      </c>
      <c r="U13310" t="s">
        <v>60547</v>
      </c>
      <c r="V13310" t="s">
        <v>64089</v>
      </c>
      <c r="W13310" t="s">
        <v>46924</v>
      </c>
      <c r="X13310" t="s">
        <v>47321</v>
      </c>
    </row>
    <row r="13311" spans="1:24">
      <c r="A13311">
        <f>HYPERLINK("https://www.philgeps.gov.ph/GEPSNONPILOT/Tender/SplashBidNoticeAbstractUI.aspx?menuIndex=3&amp;refID=7169661&amp;Result=3","7169661")</f>
        <v>0</v>
      </c>
      <c r="B13311" t="s">
        <v>1898</v>
      </c>
      <c r="C13311" t="s">
        <v>16448</v>
      </c>
      <c r="D13311" t="s">
        <v>19048</v>
      </c>
      <c r="E13311" t="s">
        <v>30345</v>
      </c>
      <c r="F13311" t="s">
        <v>32606</v>
      </c>
      <c r="G13311" t="s">
        <v>32614</v>
      </c>
      <c r="H13311" t="s">
        <v>32625</v>
      </c>
      <c r="I13311" t="s">
        <v>32625</v>
      </c>
      <c r="J13311" t="s">
        <v>32752</v>
      </c>
      <c r="K13311" t="s">
        <v>42623</v>
      </c>
      <c r="M13311" t="s">
        <v>44983</v>
      </c>
      <c r="N13311" t="s">
        <v>47304</v>
      </c>
      <c r="O13311" t="s">
        <v>47305</v>
      </c>
      <c r="Q13311">
        <v>0</v>
      </c>
      <c r="R13311" t="s">
        <v>47320</v>
      </c>
      <c r="S13311" t="s">
        <v>47999</v>
      </c>
      <c r="T13311" t="s">
        <v>48998</v>
      </c>
      <c r="U13311" t="s">
        <v>60548</v>
      </c>
      <c r="W13311" t="s">
        <v>44957</v>
      </c>
      <c r="X13311" t="s">
        <v>47321</v>
      </c>
    </row>
    <row r="13312" spans="1:24">
      <c r="A13312">
        <f>HYPERLINK("https://www.philgeps.gov.ph/GEPSNONPILOT/Tender/SplashBidNoticeAbstractUI.aspx?menuIndex=3&amp;refID=7169642&amp;Result=3","7169642")</f>
        <v>0</v>
      </c>
      <c r="B13312" t="s">
        <v>3609</v>
      </c>
      <c r="C13312" t="s">
        <v>16449</v>
      </c>
      <c r="D13312" t="s">
        <v>19007</v>
      </c>
      <c r="E13312" t="s">
        <v>30346</v>
      </c>
      <c r="F13312" t="s">
        <v>32606</v>
      </c>
      <c r="G13312" t="s">
        <v>32613</v>
      </c>
      <c r="H13312" t="s">
        <v>32623</v>
      </c>
      <c r="I13312" t="s">
        <v>17648</v>
      </c>
      <c r="J13312" t="s">
        <v>32772</v>
      </c>
      <c r="K13312" t="s">
        <v>42648</v>
      </c>
      <c r="M13312" t="s">
        <v>46903</v>
      </c>
      <c r="N13312" t="s">
        <v>47304</v>
      </c>
      <c r="O13312" t="s">
        <v>47305</v>
      </c>
      <c r="P13312">
        <v>0</v>
      </c>
      <c r="Q13312">
        <v>1</v>
      </c>
      <c r="R13312" t="s">
        <v>47320</v>
      </c>
      <c r="S13312" t="s">
        <v>47917</v>
      </c>
      <c r="T13312" t="s">
        <v>48989</v>
      </c>
      <c r="U13312" t="s">
        <v>60549</v>
      </c>
      <c r="W13312" t="s">
        <v>46903</v>
      </c>
      <c r="X13312" t="s">
        <v>47321</v>
      </c>
    </row>
    <row r="13313" spans="1:24">
      <c r="A13313">
        <f>HYPERLINK("https://www.philgeps.gov.ph/GEPSNONPILOT/Tender/SplashBidNoticeAbstractUI.aspx?menuIndex=3&amp;refID=7169745&amp;Result=3","7169745")</f>
        <v>0</v>
      </c>
      <c r="B13313" t="s">
        <v>3615</v>
      </c>
      <c r="C13313" t="s">
        <v>16450</v>
      </c>
      <c r="D13313" t="s">
        <v>19016</v>
      </c>
      <c r="E13313" t="s">
        <v>30347</v>
      </c>
      <c r="F13313" t="s">
        <v>32606</v>
      </c>
      <c r="G13313" t="s">
        <v>32613</v>
      </c>
      <c r="H13313" t="s">
        <v>32623</v>
      </c>
      <c r="I13313" t="s">
        <v>17648</v>
      </c>
      <c r="J13313" t="s">
        <v>40996</v>
      </c>
      <c r="K13313" t="s">
        <v>42735</v>
      </c>
      <c r="M13313" t="s">
        <v>46909</v>
      </c>
      <c r="N13313" t="s">
        <v>47304</v>
      </c>
      <c r="O13313" t="s">
        <v>47305</v>
      </c>
      <c r="P13313">
        <v>0</v>
      </c>
      <c r="Q13313">
        <v>26</v>
      </c>
      <c r="R13313" t="s">
        <v>47320</v>
      </c>
      <c r="S13313" t="s">
        <v>47917</v>
      </c>
      <c r="T13313" t="s">
        <v>48976</v>
      </c>
      <c r="U13313" t="s">
        <v>60550</v>
      </c>
      <c r="W13313" t="s">
        <v>46909</v>
      </c>
      <c r="X13313" t="s">
        <v>47321</v>
      </c>
    </row>
    <row r="13314" spans="1:24">
      <c r="A13314">
        <f>HYPERLINK("https://www.philgeps.gov.ph/GEPSNONPILOT/Tender/SplashBidNoticeAbstractUI.aspx?menuIndex=3&amp;refID=7169966&amp;Result=3","7169966")</f>
        <v>0</v>
      </c>
      <c r="B13314" t="s">
        <v>2871</v>
      </c>
      <c r="C13314" t="s">
        <v>16451</v>
      </c>
      <c r="D13314" t="s">
        <v>19025</v>
      </c>
      <c r="E13314" t="s">
        <v>30348</v>
      </c>
      <c r="F13314" t="s">
        <v>32606</v>
      </c>
      <c r="G13314" t="s">
        <v>32613</v>
      </c>
      <c r="H13314" t="s">
        <v>14201</v>
      </c>
      <c r="I13314" t="s">
        <v>6993</v>
      </c>
      <c r="J13314" t="s">
        <v>40997</v>
      </c>
      <c r="K13314" t="s">
        <v>42624</v>
      </c>
      <c r="M13314" t="s">
        <v>46093</v>
      </c>
      <c r="N13314" t="s">
        <v>47304</v>
      </c>
      <c r="O13314" t="s">
        <v>47305</v>
      </c>
      <c r="P13314">
        <v>0</v>
      </c>
      <c r="Q13314">
        <v>0</v>
      </c>
      <c r="R13314" t="s">
        <v>47320</v>
      </c>
      <c r="S13314" t="s">
        <v>47917</v>
      </c>
      <c r="T13314" t="s">
        <v>49103</v>
      </c>
      <c r="U13314" t="s">
        <v>60551</v>
      </c>
      <c r="W13314" t="s">
        <v>46093</v>
      </c>
      <c r="X13314" t="s">
        <v>47321</v>
      </c>
    </row>
    <row r="13315" spans="1:24">
      <c r="A13315">
        <f>HYPERLINK("https://www.philgeps.gov.ph/GEPSNONPILOT/Tender/SplashBidNoticeAbstractUI.aspx?menuIndex=3&amp;refID=7169562&amp;Result=3","7169562")</f>
        <v>0</v>
      </c>
      <c r="B13315" t="s">
        <v>3613</v>
      </c>
      <c r="C13315" t="s">
        <v>16452</v>
      </c>
      <c r="D13315" t="s">
        <v>19014</v>
      </c>
      <c r="E13315" t="s">
        <v>30349</v>
      </c>
      <c r="F13315" t="s">
        <v>32606</v>
      </c>
      <c r="G13315" t="s">
        <v>32613</v>
      </c>
      <c r="H13315" t="s">
        <v>32623</v>
      </c>
      <c r="I13315" t="s">
        <v>17648</v>
      </c>
      <c r="J13315" t="s">
        <v>40998</v>
      </c>
      <c r="K13315" t="s">
        <v>42881</v>
      </c>
      <c r="M13315" t="s">
        <v>46907</v>
      </c>
      <c r="N13315" t="s">
        <v>47304</v>
      </c>
      <c r="O13315" t="s">
        <v>47305</v>
      </c>
      <c r="P13315">
        <v>0</v>
      </c>
      <c r="Q13315">
        <v>148</v>
      </c>
      <c r="R13315" t="s">
        <v>47320</v>
      </c>
      <c r="S13315" t="s">
        <v>47917</v>
      </c>
      <c r="T13315" t="s">
        <v>48996</v>
      </c>
      <c r="U13315" t="s">
        <v>60552</v>
      </c>
      <c r="V13315" t="s">
        <v>63262</v>
      </c>
      <c r="W13315" t="s">
        <v>46907</v>
      </c>
      <c r="X13315" t="s">
        <v>47321</v>
      </c>
    </row>
    <row r="13316" spans="1:24">
      <c r="A13316">
        <f>HYPERLINK("https://www.philgeps.gov.ph/GEPSNONPILOT/Tender/SplashBidNoticeAbstractUI.aspx?menuIndex=3&amp;refID=7169557&amp;Result=3","7169557")</f>
        <v>0</v>
      </c>
      <c r="B13316" t="s">
        <v>3456</v>
      </c>
      <c r="C13316" t="s">
        <v>16453</v>
      </c>
      <c r="D13316" t="s">
        <v>19059</v>
      </c>
      <c r="E13316" t="s">
        <v>24458</v>
      </c>
      <c r="F13316" t="s">
        <v>32606</v>
      </c>
      <c r="G13316" t="s">
        <v>32614</v>
      </c>
      <c r="H13316" t="s">
        <v>14201</v>
      </c>
      <c r="I13316" t="s">
        <v>32655</v>
      </c>
      <c r="J13316" t="s">
        <v>40999</v>
      </c>
      <c r="K13316" t="s">
        <v>42646</v>
      </c>
      <c r="M13316" t="s">
        <v>46718</v>
      </c>
      <c r="N13316" t="s">
        <v>47304</v>
      </c>
      <c r="O13316" t="s">
        <v>47305</v>
      </c>
      <c r="Q13316">
        <v>47</v>
      </c>
      <c r="R13316" t="s">
        <v>47320</v>
      </c>
      <c r="S13316" t="s">
        <v>48000</v>
      </c>
      <c r="T13316" t="s">
        <v>48987</v>
      </c>
      <c r="U13316" t="s">
        <v>60553</v>
      </c>
      <c r="W13316" t="s">
        <v>46718</v>
      </c>
      <c r="X13316" t="s">
        <v>47321</v>
      </c>
    </row>
    <row r="13317" spans="1:24">
      <c r="A13317">
        <f>HYPERLINK("https://www.philgeps.gov.ph/GEPSNONPILOT/Tender/SplashBidNoticeAbstractUI.aspx?menuIndex=3&amp;refID=7169637&amp;Result=3","7169637")</f>
        <v>0</v>
      </c>
      <c r="B13317" t="s">
        <v>1616</v>
      </c>
      <c r="C13317" t="s">
        <v>16454</v>
      </c>
      <c r="D13317" t="s">
        <v>19019</v>
      </c>
      <c r="E13317" t="s">
        <v>26331</v>
      </c>
      <c r="F13317" t="s">
        <v>32606</v>
      </c>
      <c r="G13317" t="s">
        <v>32613</v>
      </c>
      <c r="H13317" t="s">
        <v>14201</v>
      </c>
      <c r="I13317" t="s">
        <v>32638</v>
      </c>
      <c r="J13317" t="s">
        <v>41000</v>
      </c>
      <c r="K13317" t="s">
        <v>42634</v>
      </c>
      <c r="M13317" t="s">
        <v>44636</v>
      </c>
      <c r="N13317" t="s">
        <v>47304</v>
      </c>
      <c r="O13317" t="s">
        <v>47305</v>
      </c>
      <c r="Q13317">
        <v>12</v>
      </c>
      <c r="R13317" t="s">
        <v>47320</v>
      </c>
      <c r="S13317" t="s">
        <v>48001</v>
      </c>
      <c r="T13317" t="s">
        <v>48996</v>
      </c>
      <c r="U13317" t="s">
        <v>60554</v>
      </c>
      <c r="W13317" t="s">
        <v>44636</v>
      </c>
      <c r="X13317" t="s">
        <v>47321</v>
      </c>
    </row>
    <row r="13318" spans="1:24">
      <c r="A13318">
        <f>HYPERLINK("https://www.philgeps.gov.ph/GEPSNONPILOT/Tender/SplashBidNoticeAbstractUI.aspx?menuIndex=3&amp;refID=7169555&amp;Result=3","7169555")</f>
        <v>0</v>
      </c>
      <c r="B13318" t="s">
        <v>2042</v>
      </c>
      <c r="C13318" t="s">
        <v>16455</v>
      </c>
      <c r="D13318" t="s">
        <v>19070</v>
      </c>
      <c r="E13318" t="s">
        <v>30350</v>
      </c>
      <c r="F13318" t="s">
        <v>32606</v>
      </c>
      <c r="G13318" t="s">
        <v>32613</v>
      </c>
      <c r="H13318" t="s">
        <v>32623</v>
      </c>
      <c r="I13318" t="s">
        <v>17648</v>
      </c>
      <c r="J13318" t="s">
        <v>32789</v>
      </c>
      <c r="K13318" t="s">
        <v>42631</v>
      </c>
      <c r="M13318" t="s">
        <v>45120</v>
      </c>
      <c r="N13318" t="s">
        <v>47304</v>
      </c>
      <c r="O13318" t="s">
        <v>47305</v>
      </c>
      <c r="P13318">
        <v>0</v>
      </c>
      <c r="Q13318">
        <v>0</v>
      </c>
      <c r="R13318" t="s">
        <v>47320</v>
      </c>
      <c r="S13318" t="s">
        <v>47917</v>
      </c>
      <c r="T13318" t="s">
        <v>48971</v>
      </c>
      <c r="U13318" t="s">
        <v>60446</v>
      </c>
      <c r="W13318" t="s">
        <v>45120</v>
      </c>
      <c r="X13318" t="s">
        <v>47321</v>
      </c>
    </row>
    <row r="13319" spans="1:24">
      <c r="A13319">
        <f>HYPERLINK("https://www.philgeps.gov.ph/GEPSNONPILOT/Tender/SplashBidNoticeAbstractUI.aspx?menuIndex=3&amp;refID=7173656&amp;Result=3","7173656")</f>
        <v>0</v>
      </c>
      <c r="B13319" t="s">
        <v>3553</v>
      </c>
      <c r="C13319" t="s">
        <v>16456</v>
      </c>
      <c r="D13319" t="s">
        <v>19044</v>
      </c>
      <c r="E13319" t="s">
        <v>30351</v>
      </c>
      <c r="F13319" t="s">
        <v>32606</v>
      </c>
      <c r="G13319" t="s">
        <v>32613</v>
      </c>
      <c r="H13319" t="s">
        <v>32623</v>
      </c>
      <c r="I13319" t="s">
        <v>17648</v>
      </c>
      <c r="J13319" t="s">
        <v>41001</v>
      </c>
      <c r="K13319" t="s">
        <v>42645</v>
      </c>
      <c r="L13319" t="s">
        <v>3553</v>
      </c>
      <c r="M13319" t="s">
        <v>46837</v>
      </c>
      <c r="N13319" t="s">
        <v>47304</v>
      </c>
      <c r="O13319" t="s">
        <v>47305</v>
      </c>
      <c r="P13319">
        <v>0</v>
      </c>
      <c r="Q13319">
        <v>0</v>
      </c>
      <c r="R13319" t="s">
        <v>47319</v>
      </c>
      <c r="S13319" t="s">
        <v>47813</v>
      </c>
      <c r="T13319" t="s">
        <v>49107</v>
      </c>
      <c r="U13319" t="s">
        <v>60555</v>
      </c>
      <c r="V13319" t="s">
        <v>64090</v>
      </c>
      <c r="W13319" t="s">
        <v>46837</v>
      </c>
      <c r="X13319" t="s">
        <v>47320</v>
      </c>
    </row>
    <row r="13320" spans="1:24">
      <c r="A13320">
        <f>HYPERLINK("https://www.philgeps.gov.ph/GEPSNONPILOT/Tender/SplashBidNoticeAbstractUI.aspx?menuIndex=3&amp;refID=7169664&amp;Result=3","7169664")</f>
        <v>0</v>
      </c>
      <c r="B13320" t="s">
        <v>2042</v>
      </c>
      <c r="C13320" t="s">
        <v>16457</v>
      </c>
      <c r="D13320" t="s">
        <v>19070</v>
      </c>
      <c r="E13320" t="s">
        <v>30352</v>
      </c>
      <c r="F13320" t="s">
        <v>32606</v>
      </c>
      <c r="G13320" t="s">
        <v>32613</v>
      </c>
      <c r="H13320" t="s">
        <v>32623</v>
      </c>
      <c r="I13320" t="s">
        <v>17648</v>
      </c>
      <c r="J13320" t="s">
        <v>32770</v>
      </c>
      <c r="K13320" t="s">
        <v>42718</v>
      </c>
      <c r="M13320" t="s">
        <v>45120</v>
      </c>
      <c r="N13320" t="s">
        <v>47304</v>
      </c>
      <c r="O13320" t="s">
        <v>47305</v>
      </c>
      <c r="P13320">
        <v>0</v>
      </c>
      <c r="Q13320">
        <v>0</v>
      </c>
      <c r="R13320" t="s">
        <v>47320</v>
      </c>
      <c r="S13320" t="s">
        <v>47917</v>
      </c>
      <c r="T13320" t="s">
        <v>48971</v>
      </c>
      <c r="U13320" t="s">
        <v>60446</v>
      </c>
      <c r="W13320" t="s">
        <v>45120</v>
      </c>
      <c r="X13320" t="s">
        <v>47321</v>
      </c>
    </row>
    <row r="13321" spans="1:24">
      <c r="A13321">
        <f>HYPERLINK("https://www.philgeps.gov.ph/GEPSNONPILOT/Tender/SplashBidNoticeAbstractUI.aspx?menuIndex=3&amp;refID=7169941&amp;Result=3","7169941")</f>
        <v>0</v>
      </c>
      <c r="B13321" t="s">
        <v>851</v>
      </c>
      <c r="C13321" t="s">
        <v>16458</v>
      </c>
      <c r="D13321" t="s">
        <v>19024</v>
      </c>
      <c r="E13321" t="s">
        <v>30353</v>
      </c>
      <c r="F13321" t="s">
        <v>32606</v>
      </c>
      <c r="G13321" t="s">
        <v>32613</v>
      </c>
      <c r="H13321" t="s">
        <v>14201</v>
      </c>
      <c r="I13321" t="s">
        <v>6931</v>
      </c>
      <c r="J13321" t="s">
        <v>41002</v>
      </c>
      <c r="K13321" t="s">
        <v>42631</v>
      </c>
      <c r="M13321" t="s">
        <v>43784</v>
      </c>
      <c r="N13321" t="s">
        <v>47304</v>
      </c>
      <c r="O13321" t="s">
        <v>47305</v>
      </c>
      <c r="Q13321">
        <v>3</v>
      </c>
      <c r="R13321" t="s">
        <v>47320</v>
      </c>
      <c r="S13321" t="s">
        <v>48002</v>
      </c>
      <c r="T13321" t="s">
        <v>49087</v>
      </c>
      <c r="U13321" t="s">
        <v>60498</v>
      </c>
      <c r="W13321" t="s">
        <v>64453</v>
      </c>
      <c r="X13321" t="s">
        <v>47321</v>
      </c>
    </row>
    <row r="13322" spans="1:24">
      <c r="A13322">
        <f>HYPERLINK("https://www.philgeps.gov.ph/GEPSNONPILOT/Tender/SplashBidNoticeAbstractUI.aspx?menuIndex=3&amp;refID=7169632&amp;Result=3","7169632")</f>
        <v>0</v>
      </c>
      <c r="B13322" t="s">
        <v>2042</v>
      </c>
      <c r="C13322" t="s">
        <v>16459</v>
      </c>
      <c r="D13322" t="s">
        <v>19070</v>
      </c>
      <c r="E13322" t="s">
        <v>30354</v>
      </c>
      <c r="F13322" t="s">
        <v>32606</v>
      </c>
      <c r="G13322" t="s">
        <v>32613</v>
      </c>
      <c r="H13322" t="s">
        <v>32623</v>
      </c>
      <c r="I13322" t="s">
        <v>17648</v>
      </c>
      <c r="J13322" t="s">
        <v>32789</v>
      </c>
      <c r="K13322" t="s">
        <v>42631</v>
      </c>
      <c r="M13322" t="s">
        <v>45120</v>
      </c>
      <c r="N13322" t="s">
        <v>47304</v>
      </c>
      <c r="O13322" t="s">
        <v>47305</v>
      </c>
      <c r="P13322">
        <v>0</v>
      </c>
      <c r="Q13322">
        <v>0</v>
      </c>
      <c r="R13322" t="s">
        <v>47320</v>
      </c>
      <c r="S13322" t="s">
        <v>47917</v>
      </c>
      <c r="T13322" t="s">
        <v>48971</v>
      </c>
      <c r="U13322" t="s">
        <v>60446</v>
      </c>
      <c r="W13322" t="s">
        <v>45120</v>
      </c>
      <c r="X13322" t="s">
        <v>47321</v>
      </c>
    </row>
    <row r="13323" spans="1:24">
      <c r="A13323">
        <f>HYPERLINK("https://www.philgeps.gov.ph/GEPSNONPILOT/Tender/SplashBidNoticeAbstractUI.aspx?menuIndex=3&amp;refID=7170155&amp;Result=3","7170155")</f>
        <v>0</v>
      </c>
      <c r="B13323" t="s">
        <v>3628</v>
      </c>
      <c r="C13323" t="s">
        <v>16460</v>
      </c>
      <c r="D13323" t="s">
        <v>19006</v>
      </c>
      <c r="E13323" t="s">
        <v>30355</v>
      </c>
      <c r="F13323" t="s">
        <v>32606</v>
      </c>
      <c r="G13323" t="s">
        <v>32613</v>
      </c>
      <c r="H13323" t="s">
        <v>14201</v>
      </c>
      <c r="I13323" t="s">
        <v>32640</v>
      </c>
      <c r="J13323" t="s">
        <v>41003</v>
      </c>
      <c r="K13323" t="s">
        <v>42639</v>
      </c>
      <c r="M13323" t="s">
        <v>46925</v>
      </c>
      <c r="N13323" t="s">
        <v>47304</v>
      </c>
      <c r="O13323" t="s">
        <v>47305</v>
      </c>
      <c r="P13323">
        <v>0</v>
      </c>
      <c r="Q13323">
        <v>7</v>
      </c>
      <c r="R13323" t="s">
        <v>47320</v>
      </c>
      <c r="S13323" t="s">
        <v>47917</v>
      </c>
      <c r="T13323" t="s">
        <v>49028</v>
      </c>
      <c r="U13323" t="s">
        <v>60556</v>
      </c>
      <c r="W13323" t="s">
        <v>46925</v>
      </c>
      <c r="X13323" t="s">
        <v>47321</v>
      </c>
    </row>
    <row r="13324" spans="1:24">
      <c r="A13324">
        <f>HYPERLINK("https://www.philgeps.gov.ph/GEPSNONPILOT/Tender/SplashBidNoticeAbstractUI.aspx?menuIndex=3&amp;refID=7169558&amp;Result=3","7169558")</f>
        <v>0</v>
      </c>
      <c r="B13324" t="s">
        <v>1450</v>
      </c>
      <c r="C13324" t="s">
        <v>16461</v>
      </c>
      <c r="D13324" t="s">
        <v>19002</v>
      </c>
      <c r="E13324" t="s">
        <v>26077</v>
      </c>
      <c r="F13324" t="s">
        <v>32606</v>
      </c>
      <c r="G13324" t="s">
        <v>32613</v>
      </c>
      <c r="H13324" t="s">
        <v>32623</v>
      </c>
      <c r="I13324" t="s">
        <v>17648</v>
      </c>
      <c r="J13324" t="s">
        <v>32767</v>
      </c>
      <c r="K13324" t="s">
        <v>42648</v>
      </c>
      <c r="M13324" t="s">
        <v>44441</v>
      </c>
      <c r="N13324" t="s">
        <v>47304</v>
      </c>
      <c r="O13324" t="s">
        <v>47305</v>
      </c>
      <c r="P13324">
        <v>0</v>
      </c>
      <c r="Q13324">
        <v>2</v>
      </c>
      <c r="R13324" t="s">
        <v>47320</v>
      </c>
      <c r="S13324" t="s">
        <v>47917</v>
      </c>
      <c r="T13324" t="s">
        <v>49017</v>
      </c>
      <c r="U13324" t="s">
        <v>60557</v>
      </c>
      <c r="W13324" t="s">
        <v>44441</v>
      </c>
      <c r="X13324" t="s">
        <v>47321</v>
      </c>
    </row>
    <row r="13325" spans="1:24">
      <c r="A13325">
        <f>HYPERLINK("https://www.philgeps.gov.ph/GEPSNONPILOT/Tender/SplashBidNoticeAbstractUI.aspx?menuIndex=3&amp;refID=7170151&amp;Result=3","7170151")</f>
        <v>0</v>
      </c>
      <c r="B13325" t="s">
        <v>48</v>
      </c>
      <c r="C13325" t="s">
        <v>16462</v>
      </c>
      <c r="D13325" t="s">
        <v>18994</v>
      </c>
      <c r="E13325" t="s">
        <v>30356</v>
      </c>
      <c r="F13325" t="s">
        <v>32606</v>
      </c>
      <c r="G13325" t="s">
        <v>32618</v>
      </c>
      <c r="H13325" t="s">
        <v>32623</v>
      </c>
      <c r="I13325" t="s">
        <v>17648</v>
      </c>
      <c r="J13325" t="s">
        <v>41004</v>
      </c>
      <c r="K13325" t="s">
        <v>42624</v>
      </c>
      <c r="L13325" t="s">
        <v>48</v>
      </c>
      <c r="M13325" t="s">
        <v>42945</v>
      </c>
      <c r="N13325" t="s">
        <v>47304</v>
      </c>
      <c r="O13325" t="s">
        <v>47305</v>
      </c>
      <c r="Q13325">
        <v>7</v>
      </c>
      <c r="R13325" t="s">
        <v>47320</v>
      </c>
      <c r="S13325" t="s">
        <v>48003</v>
      </c>
      <c r="T13325" t="s">
        <v>48987</v>
      </c>
      <c r="U13325" t="s">
        <v>60558</v>
      </c>
      <c r="W13325" t="s">
        <v>42945</v>
      </c>
      <c r="X13325" t="s">
        <v>47321</v>
      </c>
    </row>
    <row r="13326" spans="1:24">
      <c r="A13326">
        <f>HYPERLINK("https://www.philgeps.gov.ph/GEPSNONPILOT/Tender/SplashBidNoticeAbstractUI.aspx?menuIndex=3&amp;refID=7170141&amp;Result=3","7170141")</f>
        <v>0</v>
      </c>
      <c r="B13326" t="s">
        <v>101</v>
      </c>
      <c r="C13326" t="s">
        <v>16463</v>
      </c>
      <c r="D13326" t="s">
        <v>18993</v>
      </c>
      <c r="E13326" t="s">
        <v>30357</v>
      </c>
      <c r="F13326" t="s">
        <v>32606</v>
      </c>
      <c r="G13326" t="s">
        <v>32613</v>
      </c>
      <c r="H13326" t="s">
        <v>14201</v>
      </c>
      <c r="I13326" t="s">
        <v>32681</v>
      </c>
      <c r="J13326" t="s">
        <v>41005</v>
      </c>
      <c r="K13326" t="s">
        <v>42639</v>
      </c>
      <c r="M13326" t="s">
        <v>42999</v>
      </c>
      <c r="N13326" t="s">
        <v>47304</v>
      </c>
      <c r="O13326" t="s">
        <v>47305</v>
      </c>
      <c r="P13326">
        <v>0</v>
      </c>
      <c r="Q13326">
        <v>6</v>
      </c>
      <c r="R13326" t="s">
        <v>47320</v>
      </c>
      <c r="S13326" t="s">
        <v>47917</v>
      </c>
      <c r="T13326" t="s">
        <v>49160</v>
      </c>
      <c r="U13326" t="s">
        <v>60559</v>
      </c>
      <c r="W13326" t="s">
        <v>42999</v>
      </c>
      <c r="X13326" t="s">
        <v>47321</v>
      </c>
    </row>
    <row r="13327" spans="1:24">
      <c r="A13327">
        <f>HYPERLINK("https://www.philgeps.gov.ph/GEPSNONPILOT/Tender/SplashBidNoticeAbstractUI.aspx?menuIndex=3&amp;refID=7170007&amp;Result=3","7170007")</f>
        <v>0</v>
      </c>
      <c r="B13327" t="s">
        <v>101</v>
      </c>
      <c r="C13327" t="s">
        <v>16464</v>
      </c>
      <c r="D13327" t="s">
        <v>18993</v>
      </c>
      <c r="E13327" t="s">
        <v>30358</v>
      </c>
      <c r="F13327" t="s">
        <v>32606</v>
      </c>
      <c r="G13327" t="s">
        <v>32613</v>
      </c>
      <c r="H13327" t="s">
        <v>14201</v>
      </c>
      <c r="I13327" t="s">
        <v>9008</v>
      </c>
      <c r="J13327" t="s">
        <v>41006</v>
      </c>
      <c r="K13327" t="s">
        <v>42623</v>
      </c>
      <c r="M13327" t="s">
        <v>44602</v>
      </c>
      <c r="N13327" t="s">
        <v>47304</v>
      </c>
      <c r="O13327" t="s">
        <v>47305</v>
      </c>
      <c r="P13327">
        <v>0</v>
      </c>
      <c r="Q13327">
        <v>15</v>
      </c>
      <c r="R13327" t="s">
        <v>47320</v>
      </c>
      <c r="S13327" t="s">
        <v>47917</v>
      </c>
      <c r="T13327" t="s">
        <v>49160</v>
      </c>
      <c r="U13327" t="s">
        <v>60560</v>
      </c>
      <c r="W13327" t="s">
        <v>44602</v>
      </c>
      <c r="X13327" t="s">
        <v>47321</v>
      </c>
    </row>
    <row r="13328" spans="1:24">
      <c r="A13328">
        <f>HYPERLINK("https://www.philgeps.gov.ph/GEPSNONPILOT/Tender/SplashBidNoticeAbstractUI.aspx?menuIndex=3&amp;refID=7170133&amp;Result=3","7170133")</f>
        <v>0</v>
      </c>
      <c r="B13328" t="s">
        <v>101</v>
      </c>
      <c r="C13328" t="s">
        <v>16465</v>
      </c>
      <c r="D13328" t="s">
        <v>18993</v>
      </c>
      <c r="E13328" t="s">
        <v>30359</v>
      </c>
      <c r="F13328" t="s">
        <v>32606</v>
      </c>
      <c r="G13328" t="s">
        <v>32613</v>
      </c>
      <c r="H13328" t="s">
        <v>14201</v>
      </c>
      <c r="I13328" t="s">
        <v>13131</v>
      </c>
      <c r="J13328" t="s">
        <v>41007</v>
      </c>
      <c r="K13328" t="s">
        <v>42631</v>
      </c>
      <c r="M13328" t="s">
        <v>44372</v>
      </c>
      <c r="N13328" t="s">
        <v>47304</v>
      </c>
      <c r="O13328" t="s">
        <v>47305</v>
      </c>
      <c r="P13328">
        <v>0</v>
      </c>
      <c r="Q13328">
        <v>20</v>
      </c>
      <c r="R13328" t="s">
        <v>47320</v>
      </c>
      <c r="S13328" t="s">
        <v>47917</v>
      </c>
      <c r="T13328" t="s">
        <v>49160</v>
      </c>
      <c r="U13328" t="s">
        <v>60561</v>
      </c>
      <c r="W13328" t="s">
        <v>44372</v>
      </c>
      <c r="X13328" t="s">
        <v>47321</v>
      </c>
    </row>
    <row r="13329" spans="1:24">
      <c r="A13329">
        <f>HYPERLINK("https://www.philgeps.gov.ph/GEPSNONPILOT/Tender/SplashBidNoticeAbstractUI.aspx?menuIndex=3&amp;refID=7170123&amp;Result=3","7170123")</f>
        <v>0</v>
      </c>
      <c r="B13329" t="s">
        <v>2078</v>
      </c>
      <c r="C13329" t="s">
        <v>16466</v>
      </c>
      <c r="D13329" t="s">
        <v>19049</v>
      </c>
      <c r="E13329" t="s">
        <v>30360</v>
      </c>
      <c r="F13329" t="s">
        <v>32606</v>
      </c>
      <c r="G13329" t="s">
        <v>32613</v>
      </c>
      <c r="H13329" t="s">
        <v>14201</v>
      </c>
      <c r="I13329" t="s">
        <v>32654</v>
      </c>
      <c r="J13329" t="s">
        <v>41008</v>
      </c>
      <c r="K13329" t="s">
        <v>42631</v>
      </c>
      <c r="M13329" t="s">
        <v>45159</v>
      </c>
      <c r="N13329" t="s">
        <v>47304</v>
      </c>
      <c r="O13329" t="s">
        <v>47305</v>
      </c>
      <c r="Q13329">
        <v>3</v>
      </c>
      <c r="R13329" t="s">
        <v>47320</v>
      </c>
      <c r="S13329" t="s">
        <v>48004</v>
      </c>
      <c r="T13329" t="s">
        <v>49023</v>
      </c>
      <c r="U13329" t="s">
        <v>60562</v>
      </c>
      <c r="W13329" t="s">
        <v>45159</v>
      </c>
      <c r="X13329" t="s">
        <v>47321</v>
      </c>
    </row>
    <row r="13330" spans="1:24">
      <c r="A13330">
        <f>HYPERLINK("https://www.philgeps.gov.ph/GEPSNONPILOT/Tender/SplashBidNoticeAbstractUI.aspx?menuIndex=3&amp;refID=7170144&amp;Result=3","7170144")</f>
        <v>0</v>
      </c>
      <c r="B13330" t="s">
        <v>928</v>
      </c>
      <c r="C13330" t="s">
        <v>16467</v>
      </c>
      <c r="D13330" t="s">
        <v>19027</v>
      </c>
      <c r="E13330" t="s">
        <v>20122</v>
      </c>
      <c r="F13330" t="s">
        <v>32606</v>
      </c>
      <c r="G13330" t="s">
        <v>32613</v>
      </c>
      <c r="H13330" t="s">
        <v>14201</v>
      </c>
      <c r="I13330" t="s">
        <v>32628</v>
      </c>
      <c r="J13330" t="s">
        <v>41009</v>
      </c>
      <c r="K13330" t="s">
        <v>42665</v>
      </c>
      <c r="M13330" t="s">
        <v>43868</v>
      </c>
      <c r="N13330" t="s">
        <v>47304</v>
      </c>
      <c r="O13330" t="s">
        <v>47305</v>
      </c>
      <c r="Q13330">
        <v>3</v>
      </c>
      <c r="R13330" t="s">
        <v>47320</v>
      </c>
      <c r="S13330" t="s">
        <v>48005</v>
      </c>
      <c r="T13330" t="s">
        <v>49486</v>
      </c>
      <c r="U13330" t="s">
        <v>60563</v>
      </c>
      <c r="W13330" t="s">
        <v>43868</v>
      </c>
      <c r="X13330" t="s">
        <v>47321</v>
      </c>
    </row>
    <row r="13331" spans="1:24">
      <c r="A13331">
        <f>HYPERLINK("https://www.philgeps.gov.ph/GEPSNONPILOT/Tender/SplashBidNoticeAbstractUI.aspx?menuIndex=3&amp;refID=7170001&amp;Result=3","7170001")</f>
        <v>0</v>
      </c>
      <c r="B13331" t="s">
        <v>3418</v>
      </c>
      <c r="C13331" t="s">
        <v>16468</v>
      </c>
      <c r="D13331" t="s">
        <v>18997</v>
      </c>
      <c r="E13331" t="s">
        <v>25954</v>
      </c>
      <c r="F13331" t="s">
        <v>32606</v>
      </c>
      <c r="G13331" t="s">
        <v>32613</v>
      </c>
      <c r="H13331" t="s">
        <v>14201</v>
      </c>
      <c r="I13331" t="s">
        <v>6931</v>
      </c>
      <c r="J13331" t="s">
        <v>41010</v>
      </c>
      <c r="K13331" t="s">
        <v>42631</v>
      </c>
      <c r="M13331" t="s">
        <v>46675</v>
      </c>
      <c r="N13331" t="s">
        <v>47304</v>
      </c>
      <c r="O13331" t="s">
        <v>47305</v>
      </c>
      <c r="P13331">
        <v>0</v>
      </c>
      <c r="Q13331">
        <v>1</v>
      </c>
      <c r="R13331" t="s">
        <v>47320</v>
      </c>
      <c r="S13331" t="s">
        <v>47917</v>
      </c>
      <c r="T13331" t="s">
        <v>48998</v>
      </c>
      <c r="U13331" t="s">
        <v>60564</v>
      </c>
      <c r="W13331" t="s">
        <v>46675</v>
      </c>
      <c r="X13331" t="s">
        <v>47321</v>
      </c>
    </row>
    <row r="13332" spans="1:24">
      <c r="A13332">
        <f>HYPERLINK("https://www.philgeps.gov.ph/GEPSNONPILOT/Tender/SplashBidNoticeAbstractUI.aspx?menuIndex=3&amp;refID=7170105&amp;Result=3","7170105")</f>
        <v>0</v>
      </c>
      <c r="B13332" t="s">
        <v>3614</v>
      </c>
      <c r="C13332" t="s">
        <v>7197</v>
      </c>
      <c r="D13332" t="s">
        <v>19056</v>
      </c>
      <c r="E13332" t="s">
        <v>30361</v>
      </c>
      <c r="F13332" t="s">
        <v>32606</v>
      </c>
      <c r="G13332" t="s">
        <v>32614</v>
      </c>
      <c r="H13332" t="s">
        <v>14201</v>
      </c>
      <c r="I13332" t="s">
        <v>32724</v>
      </c>
      <c r="J13332" t="s">
        <v>41011</v>
      </c>
      <c r="K13332" t="s">
        <v>42681</v>
      </c>
      <c r="M13332" t="s">
        <v>46908</v>
      </c>
      <c r="N13332" t="s">
        <v>47304</v>
      </c>
      <c r="O13332" t="s">
        <v>47305</v>
      </c>
      <c r="Q13332">
        <v>2</v>
      </c>
      <c r="R13332" t="s">
        <v>47320</v>
      </c>
      <c r="S13332" t="s">
        <v>48006</v>
      </c>
      <c r="T13332" t="s">
        <v>49020</v>
      </c>
      <c r="U13332" t="s">
        <v>60565</v>
      </c>
      <c r="W13332" t="s">
        <v>46908</v>
      </c>
      <c r="X13332" t="s">
        <v>47321</v>
      </c>
    </row>
    <row r="13333" spans="1:24">
      <c r="A13333">
        <f>HYPERLINK("https://www.philgeps.gov.ph/GEPSNONPILOT/Tender/SplashBidNoticeAbstractUI.aspx?menuIndex=3&amp;refID=7170097&amp;Result=3","7170097")</f>
        <v>0</v>
      </c>
      <c r="B13333" t="s">
        <v>1500</v>
      </c>
      <c r="C13333" t="s">
        <v>16469</v>
      </c>
      <c r="D13333" t="s">
        <v>19036</v>
      </c>
      <c r="E13333" t="s">
        <v>30362</v>
      </c>
      <c r="F13333" t="s">
        <v>32606</v>
      </c>
      <c r="G13333" t="s">
        <v>32614</v>
      </c>
      <c r="H13333" t="s">
        <v>14201</v>
      </c>
      <c r="I13333" t="s">
        <v>32652</v>
      </c>
      <c r="J13333" t="s">
        <v>41012</v>
      </c>
      <c r="K13333" t="s">
        <v>42631</v>
      </c>
      <c r="M13333" t="s">
        <v>46586</v>
      </c>
      <c r="N13333" t="s">
        <v>47304</v>
      </c>
      <c r="O13333" t="s">
        <v>47305</v>
      </c>
      <c r="Q13333">
        <v>5</v>
      </c>
      <c r="R13333" t="s">
        <v>47320</v>
      </c>
      <c r="S13333" t="s">
        <v>48007</v>
      </c>
      <c r="T13333" t="s">
        <v>49071</v>
      </c>
      <c r="U13333" t="s">
        <v>60566</v>
      </c>
      <c r="W13333" t="s">
        <v>46586</v>
      </c>
      <c r="X13333" t="s">
        <v>47321</v>
      </c>
    </row>
    <row r="13334" spans="1:24">
      <c r="A13334">
        <f>HYPERLINK("https://www.philgeps.gov.ph/GEPSNONPILOT/Tender/SplashBidNoticeAbstractUI.aspx?menuIndex=3&amp;refID=7170096&amp;Result=3","7170096")</f>
        <v>0</v>
      </c>
      <c r="B13334" t="s">
        <v>101</v>
      </c>
      <c r="C13334" t="s">
        <v>16470</v>
      </c>
      <c r="D13334" t="s">
        <v>18993</v>
      </c>
      <c r="E13334" t="s">
        <v>30363</v>
      </c>
      <c r="F13334" t="s">
        <v>32606</v>
      </c>
      <c r="G13334" t="s">
        <v>32613</v>
      </c>
      <c r="H13334" t="s">
        <v>14201</v>
      </c>
      <c r="I13334" t="s">
        <v>7677</v>
      </c>
      <c r="J13334" t="s">
        <v>41013</v>
      </c>
      <c r="K13334" t="s">
        <v>42631</v>
      </c>
      <c r="M13334" t="s">
        <v>42999</v>
      </c>
      <c r="N13334" t="s">
        <v>47304</v>
      </c>
      <c r="O13334" t="s">
        <v>47305</v>
      </c>
      <c r="P13334">
        <v>0</v>
      </c>
      <c r="Q13334">
        <v>12</v>
      </c>
      <c r="R13334" t="s">
        <v>47320</v>
      </c>
      <c r="S13334" t="s">
        <v>47917</v>
      </c>
      <c r="T13334" t="s">
        <v>49160</v>
      </c>
      <c r="U13334" t="s">
        <v>60567</v>
      </c>
      <c r="W13334" t="s">
        <v>42999</v>
      </c>
      <c r="X13334" t="s">
        <v>47321</v>
      </c>
    </row>
    <row r="13335" spans="1:24">
      <c r="A13335">
        <f>HYPERLINK("https://www.philgeps.gov.ph/GEPSNONPILOT/Tender/SplashBidNoticeAbstractUI.aspx?menuIndex=3&amp;refID=7170114&amp;Result=3","7170114")</f>
        <v>0</v>
      </c>
      <c r="B13335" t="s">
        <v>2054</v>
      </c>
      <c r="C13335" t="s">
        <v>16471</v>
      </c>
      <c r="D13335" t="s">
        <v>19008</v>
      </c>
      <c r="E13335" t="s">
        <v>30364</v>
      </c>
      <c r="F13335" t="s">
        <v>32606</v>
      </c>
      <c r="G13335" t="s">
        <v>32613</v>
      </c>
      <c r="H13335" t="s">
        <v>32623</v>
      </c>
      <c r="I13335" t="s">
        <v>17648</v>
      </c>
      <c r="J13335" t="s">
        <v>41014</v>
      </c>
      <c r="K13335" t="s">
        <v>42624</v>
      </c>
      <c r="M13335" t="s">
        <v>45133</v>
      </c>
      <c r="N13335" t="s">
        <v>47304</v>
      </c>
      <c r="O13335" t="s">
        <v>47305</v>
      </c>
      <c r="P13335">
        <v>0</v>
      </c>
      <c r="Q13335">
        <v>2</v>
      </c>
      <c r="R13335" t="s">
        <v>47320</v>
      </c>
      <c r="S13335" t="s">
        <v>47917</v>
      </c>
      <c r="T13335" t="s">
        <v>48987</v>
      </c>
      <c r="U13335" t="s">
        <v>60568</v>
      </c>
      <c r="W13335" t="s">
        <v>45133</v>
      </c>
      <c r="X13335" t="s">
        <v>47321</v>
      </c>
    </row>
    <row r="13336" spans="1:24">
      <c r="A13336">
        <f>HYPERLINK("https://www.philgeps.gov.ph/GEPSNONPILOT/Tender/SplashBidNoticeAbstractUI.aspx?menuIndex=3&amp;refID=7170087&amp;Result=3","7170087")</f>
        <v>0</v>
      </c>
      <c r="B13336" t="s">
        <v>101</v>
      </c>
      <c r="C13336" t="s">
        <v>16472</v>
      </c>
      <c r="D13336" t="s">
        <v>18993</v>
      </c>
      <c r="E13336" t="s">
        <v>30365</v>
      </c>
      <c r="F13336" t="s">
        <v>32606</v>
      </c>
      <c r="G13336" t="s">
        <v>32613</v>
      </c>
      <c r="H13336" t="s">
        <v>14201</v>
      </c>
      <c r="I13336" t="s">
        <v>4678</v>
      </c>
      <c r="J13336" t="s">
        <v>41015</v>
      </c>
      <c r="K13336" t="s">
        <v>42631</v>
      </c>
      <c r="M13336" t="s">
        <v>43016</v>
      </c>
      <c r="N13336" t="s">
        <v>47304</v>
      </c>
      <c r="O13336" t="s">
        <v>47305</v>
      </c>
      <c r="P13336">
        <v>0</v>
      </c>
      <c r="Q13336">
        <v>31</v>
      </c>
      <c r="R13336" t="s">
        <v>47320</v>
      </c>
      <c r="S13336" t="s">
        <v>47917</v>
      </c>
      <c r="T13336" t="s">
        <v>49160</v>
      </c>
      <c r="U13336" t="s">
        <v>60569</v>
      </c>
      <c r="W13336" t="s">
        <v>43016</v>
      </c>
      <c r="X13336" t="s">
        <v>47321</v>
      </c>
    </row>
    <row r="13337" spans="1:24">
      <c r="A13337">
        <f>HYPERLINK("https://www.philgeps.gov.ph/GEPSNONPILOT/Tender/SplashBidNoticeAbstractUI.aspx?menuIndex=3&amp;refID=7170085&amp;Result=3","7170085")</f>
        <v>0</v>
      </c>
      <c r="B13337" t="s">
        <v>3426</v>
      </c>
      <c r="C13337" t="s">
        <v>16473</v>
      </c>
      <c r="D13337" t="s">
        <v>19006</v>
      </c>
      <c r="E13337" t="s">
        <v>30366</v>
      </c>
      <c r="F13337" t="s">
        <v>32606</v>
      </c>
      <c r="G13337" t="s">
        <v>32613</v>
      </c>
      <c r="H13337" t="s">
        <v>14201</v>
      </c>
      <c r="I13337" t="s">
        <v>6931</v>
      </c>
      <c r="J13337" t="s">
        <v>40977</v>
      </c>
      <c r="K13337" t="s">
        <v>42622</v>
      </c>
      <c r="M13337" t="s">
        <v>46683</v>
      </c>
      <c r="N13337" t="s">
        <v>47304</v>
      </c>
      <c r="O13337" t="s">
        <v>47305</v>
      </c>
      <c r="P13337">
        <v>0</v>
      </c>
      <c r="Q13337">
        <v>0</v>
      </c>
      <c r="R13337" t="s">
        <v>47320</v>
      </c>
      <c r="S13337" t="s">
        <v>47917</v>
      </c>
      <c r="T13337" t="s">
        <v>49351</v>
      </c>
      <c r="U13337" t="s">
        <v>59549</v>
      </c>
      <c r="W13337" t="s">
        <v>46683</v>
      </c>
      <c r="X13337" t="s">
        <v>47321</v>
      </c>
    </row>
    <row r="13338" spans="1:24">
      <c r="A13338">
        <f>HYPERLINK("https://www.philgeps.gov.ph/GEPSNONPILOT/Tender/SplashBidNoticeAbstractUI.aspx?menuIndex=3&amp;refID=7170084&amp;Result=3","7170084")</f>
        <v>0</v>
      </c>
      <c r="B13338" t="s">
        <v>3418</v>
      </c>
      <c r="C13338" t="s">
        <v>16474</v>
      </c>
      <c r="D13338" t="s">
        <v>18997</v>
      </c>
      <c r="E13338" t="s">
        <v>22352</v>
      </c>
      <c r="F13338" t="s">
        <v>32606</v>
      </c>
      <c r="G13338" t="s">
        <v>32613</v>
      </c>
      <c r="H13338" t="s">
        <v>14201</v>
      </c>
      <c r="I13338" t="s">
        <v>4114</v>
      </c>
      <c r="J13338" t="s">
        <v>32977</v>
      </c>
      <c r="K13338" t="s">
        <v>42631</v>
      </c>
      <c r="M13338" t="s">
        <v>46675</v>
      </c>
      <c r="N13338" t="s">
        <v>47304</v>
      </c>
      <c r="O13338" t="s">
        <v>47305</v>
      </c>
      <c r="P13338">
        <v>0</v>
      </c>
      <c r="Q13338">
        <v>2</v>
      </c>
      <c r="R13338" t="s">
        <v>47320</v>
      </c>
      <c r="S13338" t="s">
        <v>47917</v>
      </c>
      <c r="T13338" t="s">
        <v>48998</v>
      </c>
      <c r="U13338" t="s">
        <v>60570</v>
      </c>
      <c r="W13338" t="s">
        <v>46675</v>
      </c>
      <c r="X13338" t="s">
        <v>47321</v>
      </c>
    </row>
    <row r="13339" spans="1:24">
      <c r="A13339">
        <f>HYPERLINK("https://www.philgeps.gov.ph/GEPSNONPILOT/Tender/SplashBidNoticeAbstractUI.aspx?menuIndex=3&amp;refID=7170078&amp;Result=3","7170078")</f>
        <v>0</v>
      </c>
      <c r="B13339" t="s">
        <v>1500</v>
      </c>
      <c r="C13339" t="s">
        <v>16475</v>
      </c>
      <c r="D13339" t="s">
        <v>19036</v>
      </c>
      <c r="E13339" t="s">
        <v>30367</v>
      </c>
      <c r="F13339" t="s">
        <v>32606</v>
      </c>
      <c r="G13339" t="s">
        <v>32614</v>
      </c>
      <c r="H13339" t="s">
        <v>14201</v>
      </c>
      <c r="I13339" t="s">
        <v>32652</v>
      </c>
      <c r="J13339" t="s">
        <v>32770</v>
      </c>
      <c r="K13339" t="s">
        <v>42631</v>
      </c>
      <c r="M13339" t="s">
        <v>46586</v>
      </c>
      <c r="N13339" t="s">
        <v>47304</v>
      </c>
      <c r="O13339" t="s">
        <v>47305</v>
      </c>
      <c r="Q13339">
        <v>6</v>
      </c>
      <c r="R13339" t="s">
        <v>47320</v>
      </c>
      <c r="S13339" t="s">
        <v>48007</v>
      </c>
      <c r="T13339" t="s">
        <v>49071</v>
      </c>
      <c r="U13339" t="s">
        <v>60566</v>
      </c>
      <c r="W13339" t="s">
        <v>46586</v>
      </c>
      <c r="X13339" t="s">
        <v>47321</v>
      </c>
    </row>
    <row r="13340" spans="1:24">
      <c r="A13340">
        <f>HYPERLINK("https://www.philgeps.gov.ph/GEPSNONPILOT/Tender/SplashBidNoticeAbstractUI.aspx?menuIndex=3&amp;refID=7170072&amp;Result=3","7170072")</f>
        <v>0</v>
      </c>
      <c r="B13340" t="s">
        <v>101</v>
      </c>
      <c r="C13340" t="s">
        <v>16476</v>
      </c>
      <c r="D13340" t="s">
        <v>18993</v>
      </c>
      <c r="E13340" t="s">
        <v>30368</v>
      </c>
      <c r="F13340" t="s">
        <v>32606</v>
      </c>
      <c r="G13340" t="s">
        <v>32613</v>
      </c>
      <c r="H13340" t="s">
        <v>14201</v>
      </c>
      <c r="I13340" t="s">
        <v>4678</v>
      </c>
      <c r="J13340" t="s">
        <v>34198</v>
      </c>
      <c r="K13340" t="s">
        <v>42631</v>
      </c>
      <c r="M13340" t="s">
        <v>44515</v>
      </c>
      <c r="N13340" t="s">
        <v>47304</v>
      </c>
      <c r="O13340" t="s">
        <v>47305</v>
      </c>
      <c r="P13340">
        <v>0</v>
      </c>
      <c r="Q13340">
        <v>18</v>
      </c>
      <c r="R13340" t="s">
        <v>47320</v>
      </c>
      <c r="S13340" t="s">
        <v>47917</v>
      </c>
      <c r="T13340" t="s">
        <v>49160</v>
      </c>
      <c r="U13340" t="s">
        <v>60571</v>
      </c>
      <c r="W13340" t="s">
        <v>44515</v>
      </c>
      <c r="X13340" t="s">
        <v>47321</v>
      </c>
    </row>
    <row r="13341" spans="1:24">
      <c r="A13341">
        <f>HYPERLINK("https://www.philgeps.gov.ph/GEPSNONPILOT/Tender/SplashBidNoticeAbstractUI.aspx?menuIndex=3&amp;refID=7170067&amp;Result=3","7170067")</f>
        <v>0</v>
      </c>
      <c r="B13341" t="s">
        <v>1353</v>
      </c>
      <c r="C13341" t="s">
        <v>16477</v>
      </c>
      <c r="D13341" t="s">
        <v>19041</v>
      </c>
      <c r="E13341" t="s">
        <v>30369</v>
      </c>
      <c r="F13341" t="s">
        <v>32606</v>
      </c>
      <c r="G13341" t="s">
        <v>32613</v>
      </c>
      <c r="H13341" t="s">
        <v>32623</v>
      </c>
      <c r="I13341" t="s">
        <v>17648</v>
      </c>
      <c r="J13341" t="s">
        <v>37514</v>
      </c>
      <c r="K13341" t="s">
        <v>42636</v>
      </c>
      <c r="M13341" t="s">
        <v>46926</v>
      </c>
      <c r="N13341" t="s">
        <v>47304</v>
      </c>
      <c r="O13341" t="s">
        <v>47305</v>
      </c>
      <c r="P13341">
        <v>0</v>
      </c>
      <c r="Q13341">
        <v>1</v>
      </c>
      <c r="R13341" t="s">
        <v>47320</v>
      </c>
      <c r="S13341" t="s">
        <v>47917</v>
      </c>
      <c r="T13341" t="s">
        <v>49160</v>
      </c>
      <c r="U13341" t="s">
        <v>60572</v>
      </c>
      <c r="W13341" t="s">
        <v>46926</v>
      </c>
      <c r="X13341" t="s">
        <v>47321</v>
      </c>
    </row>
    <row r="13342" spans="1:24">
      <c r="A13342">
        <f>HYPERLINK("https://www.philgeps.gov.ph/GEPSNONPILOT/Tender/SplashBidNoticeAbstractUI.aspx?menuIndex=3&amp;refID=7170064&amp;Result=3","7170064")</f>
        <v>0</v>
      </c>
      <c r="B13342" t="s">
        <v>2078</v>
      </c>
      <c r="C13342" t="s">
        <v>16478</v>
      </c>
      <c r="D13342" t="s">
        <v>19049</v>
      </c>
      <c r="E13342" t="s">
        <v>30370</v>
      </c>
      <c r="F13342" t="s">
        <v>32606</v>
      </c>
      <c r="G13342" t="s">
        <v>32613</v>
      </c>
      <c r="H13342" t="s">
        <v>14201</v>
      </c>
      <c r="I13342" t="s">
        <v>32738</v>
      </c>
      <c r="J13342" t="s">
        <v>41016</v>
      </c>
      <c r="K13342" t="s">
        <v>42631</v>
      </c>
      <c r="M13342" t="s">
        <v>45159</v>
      </c>
      <c r="N13342" t="s">
        <v>47304</v>
      </c>
      <c r="O13342" t="s">
        <v>47305</v>
      </c>
      <c r="Q13342">
        <v>0</v>
      </c>
      <c r="R13342" t="s">
        <v>47320</v>
      </c>
      <c r="S13342" t="s">
        <v>48008</v>
      </c>
      <c r="T13342" t="s">
        <v>49023</v>
      </c>
      <c r="U13342" t="s">
        <v>60573</v>
      </c>
      <c r="W13342" t="s">
        <v>45159</v>
      </c>
      <c r="X13342" t="s">
        <v>47321</v>
      </c>
    </row>
    <row r="13343" spans="1:24">
      <c r="A13343">
        <f>HYPERLINK("https://www.philgeps.gov.ph/GEPSNONPILOT/Tender/SplashBidNoticeAbstractUI.aspx?menuIndex=3&amp;refID=7170089&amp;Result=3","7170089")</f>
        <v>0</v>
      </c>
      <c r="B13343" t="s">
        <v>2697</v>
      </c>
      <c r="C13343" t="s">
        <v>16479</v>
      </c>
      <c r="D13343" t="s">
        <v>19066</v>
      </c>
      <c r="E13343" t="s">
        <v>30371</v>
      </c>
      <c r="F13343" t="s">
        <v>32606</v>
      </c>
      <c r="G13343" t="s">
        <v>32615</v>
      </c>
      <c r="H13343" t="s">
        <v>14201</v>
      </c>
      <c r="I13343" t="s">
        <v>6931</v>
      </c>
      <c r="J13343" t="s">
        <v>41017</v>
      </c>
      <c r="K13343" t="s">
        <v>42636</v>
      </c>
      <c r="M13343" t="s">
        <v>45850</v>
      </c>
      <c r="N13343" t="s">
        <v>47304</v>
      </c>
      <c r="O13343" t="s">
        <v>47305</v>
      </c>
      <c r="P13343">
        <v>0</v>
      </c>
      <c r="Q13343">
        <v>0</v>
      </c>
      <c r="R13343" t="s">
        <v>47320</v>
      </c>
      <c r="S13343" t="s">
        <v>47917</v>
      </c>
      <c r="T13343" t="s">
        <v>49050</v>
      </c>
      <c r="U13343" t="s">
        <v>60574</v>
      </c>
      <c r="W13343" t="s">
        <v>45850</v>
      </c>
      <c r="X13343" t="s">
        <v>47321</v>
      </c>
    </row>
    <row r="13344" spans="1:24">
      <c r="A13344">
        <f>HYPERLINK("https://www.philgeps.gov.ph/GEPSNONPILOT/Tender/SplashBidNoticeAbstractUI.aspx?menuIndex=3&amp;refID=7173639&amp;Result=3","7173639")</f>
        <v>0</v>
      </c>
      <c r="B13344" t="s">
        <v>3217</v>
      </c>
      <c r="C13344" t="s">
        <v>16480</v>
      </c>
      <c r="E13344" t="s">
        <v>30372</v>
      </c>
      <c r="F13344" t="s">
        <v>32606</v>
      </c>
      <c r="G13344" t="s">
        <v>32613</v>
      </c>
      <c r="H13344" t="s">
        <v>32623</v>
      </c>
      <c r="I13344" t="s">
        <v>17648</v>
      </c>
      <c r="J13344" t="s">
        <v>41018</v>
      </c>
      <c r="K13344" t="s">
        <v>42624</v>
      </c>
      <c r="M13344" t="s">
        <v>46443</v>
      </c>
      <c r="N13344" t="s">
        <v>47304</v>
      </c>
      <c r="O13344" t="s">
        <v>47305</v>
      </c>
      <c r="Q13344">
        <v>2</v>
      </c>
      <c r="R13344" t="s">
        <v>47319</v>
      </c>
      <c r="S13344" t="s">
        <v>48009</v>
      </c>
      <c r="T13344" t="s">
        <v>48994</v>
      </c>
      <c r="U13344" t="s">
        <v>60575</v>
      </c>
      <c r="V13344" t="s">
        <v>63986</v>
      </c>
      <c r="W13344" t="s">
        <v>46443</v>
      </c>
      <c r="X13344" t="s">
        <v>47320</v>
      </c>
    </row>
    <row r="13345" spans="1:24">
      <c r="A13345">
        <f>HYPERLINK("https://www.philgeps.gov.ph/GEPSNONPILOT/Tender/SplashBidNoticeAbstractUI.aspx?menuIndex=3&amp;refID=7173646&amp;Result=3","7173646")</f>
        <v>0</v>
      </c>
      <c r="B13345" t="s">
        <v>3553</v>
      </c>
      <c r="C13345" t="s">
        <v>16481</v>
      </c>
      <c r="D13345" t="s">
        <v>19044</v>
      </c>
      <c r="E13345" t="s">
        <v>19389</v>
      </c>
      <c r="F13345" t="s">
        <v>32606</v>
      </c>
      <c r="G13345" t="s">
        <v>32613</v>
      </c>
      <c r="H13345" t="s">
        <v>32623</v>
      </c>
      <c r="I13345" t="s">
        <v>17648</v>
      </c>
      <c r="J13345" t="s">
        <v>37236</v>
      </c>
      <c r="K13345" t="s">
        <v>42867</v>
      </c>
      <c r="L13345" t="s">
        <v>3553</v>
      </c>
      <c r="M13345" t="s">
        <v>46837</v>
      </c>
      <c r="N13345" t="s">
        <v>47304</v>
      </c>
      <c r="O13345" t="s">
        <v>47305</v>
      </c>
      <c r="Q13345">
        <v>0</v>
      </c>
      <c r="R13345" t="s">
        <v>47319</v>
      </c>
      <c r="S13345" t="s">
        <v>48010</v>
      </c>
      <c r="T13345" t="s">
        <v>49107</v>
      </c>
      <c r="U13345" t="s">
        <v>60576</v>
      </c>
      <c r="V13345" t="s">
        <v>64091</v>
      </c>
      <c r="W13345" t="s">
        <v>46837</v>
      </c>
      <c r="X13345" t="s">
        <v>47320</v>
      </c>
    </row>
    <row r="13346" spans="1:24">
      <c r="A13346">
        <f>HYPERLINK("https://www.philgeps.gov.ph/GEPSNONPILOT/Tender/SplashBidNoticeAbstractUI.aspx?menuIndex=3&amp;refID=7173617&amp;Result=3","7173617")</f>
        <v>0</v>
      </c>
      <c r="B13346" t="s">
        <v>2612</v>
      </c>
      <c r="C13346" t="s">
        <v>16482</v>
      </c>
      <c r="D13346" t="s">
        <v>19058</v>
      </c>
      <c r="E13346" t="s">
        <v>30373</v>
      </c>
      <c r="F13346" t="s">
        <v>32606</v>
      </c>
      <c r="G13346" t="s">
        <v>32613</v>
      </c>
      <c r="H13346" t="s">
        <v>14201</v>
      </c>
      <c r="I13346" t="s">
        <v>4121</v>
      </c>
      <c r="J13346" t="s">
        <v>32832</v>
      </c>
      <c r="K13346" t="s">
        <v>42646</v>
      </c>
      <c r="M13346" t="s">
        <v>45756</v>
      </c>
      <c r="N13346" t="s">
        <v>47304</v>
      </c>
      <c r="O13346" t="s">
        <v>47305</v>
      </c>
      <c r="Q13346">
        <v>13</v>
      </c>
      <c r="R13346" t="s">
        <v>47319</v>
      </c>
      <c r="S13346" t="s">
        <v>48011</v>
      </c>
      <c r="T13346" t="s">
        <v>49103</v>
      </c>
      <c r="U13346" t="s">
        <v>60577</v>
      </c>
      <c r="W13346" t="s">
        <v>45756</v>
      </c>
      <c r="X13346" t="s">
        <v>47320</v>
      </c>
    </row>
    <row r="13347" spans="1:24">
      <c r="A13347">
        <f>HYPERLINK("https://www.philgeps.gov.ph/GEPSNONPILOT/Tender/SplashBidNoticeAbstractUI.aspx?menuIndex=3&amp;refID=7173645&amp;Result=3","7173645")</f>
        <v>0</v>
      </c>
      <c r="B13347" t="s">
        <v>2829</v>
      </c>
      <c r="C13347" t="s">
        <v>16483</v>
      </c>
      <c r="D13347" t="s">
        <v>18993</v>
      </c>
      <c r="E13347" t="s">
        <v>30374</v>
      </c>
      <c r="F13347" t="s">
        <v>32606</v>
      </c>
      <c r="G13347" t="s">
        <v>32613</v>
      </c>
      <c r="H13347" t="s">
        <v>14201</v>
      </c>
      <c r="I13347" t="s">
        <v>7577</v>
      </c>
      <c r="J13347" t="s">
        <v>32781</v>
      </c>
      <c r="K13347" t="s">
        <v>42631</v>
      </c>
      <c r="M13347" t="s">
        <v>45994</v>
      </c>
      <c r="N13347" t="s">
        <v>47304</v>
      </c>
      <c r="O13347" t="s">
        <v>47305</v>
      </c>
      <c r="P13347">
        <v>0</v>
      </c>
      <c r="Q13347">
        <v>9</v>
      </c>
      <c r="R13347" t="s">
        <v>47319</v>
      </c>
      <c r="S13347" t="s">
        <v>47813</v>
      </c>
      <c r="T13347" t="s">
        <v>49065</v>
      </c>
      <c r="U13347" t="s">
        <v>56996</v>
      </c>
      <c r="V13347" t="s">
        <v>64040</v>
      </c>
      <c r="W13347" t="s">
        <v>45994</v>
      </c>
      <c r="X13347" t="s">
        <v>47320</v>
      </c>
    </row>
    <row r="13348" spans="1:24">
      <c r="A13348">
        <f>HYPERLINK("https://www.philgeps.gov.ph/GEPSNONPILOT/Tender/SplashBidNoticeAbstractUI.aspx?menuIndex=3&amp;refID=7173652&amp;Result=3","7173652")</f>
        <v>0</v>
      </c>
      <c r="B13348" t="s">
        <v>3217</v>
      </c>
      <c r="C13348" t="s">
        <v>16484</v>
      </c>
      <c r="E13348" t="s">
        <v>30375</v>
      </c>
      <c r="F13348" t="s">
        <v>32606</v>
      </c>
      <c r="G13348" t="s">
        <v>32613</v>
      </c>
      <c r="H13348" t="s">
        <v>32623</v>
      </c>
      <c r="I13348" t="s">
        <v>17648</v>
      </c>
      <c r="J13348" t="s">
        <v>41019</v>
      </c>
      <c r="K13348" t="s">
        <v>42624</v>
      </c>
      <c r="M13348" t="s">
        <v>46443</v>
      </c>
      <c r="N13348" t="s">
        <v>47304</v>
      </c>
      <c r="O13348" t="s">
        <v>47305</v>
      </c>
      <c r="P13348">
        <v>0</v>
      </c>
      <c r="Q13348">
        <v>0</v>
      </c>
      <c r="R13348" t="s">
        <v>47319</v>
      </c>
      <c r="S13348" t="s">
        <v>47813</v>
      </c>
      <c r="T13348" t="s">
        <v>48994</v>
      </c>
      <c r="U13348" t="s">
        <v>60578</v>
      </c>
      <c r="V13348" t="s">
        <v>63986</v>
      </c>
      <c r="W13348" t="s">
        <v>46443</v>
      </c>
      <c r="X13348" t="s">
        <v>47320</v>
      </c>
    </row>
    <row r="13349" spans="1:24">
      <c r="A13349">
        <f>HYPERLINK("https://www.philgeps.gov.ph/GEPSNONPILOT/Tender/SplashBidNoticeAbstractUI.aspx?menuIndex=3&amp;refID=7173484&amp;Result=3","7173484")</f>
        <v>0</v>
      </c>
      <c r="B13349" t="s">
        <v>1819</v>
      </c>
      <c r="C13349" t="s">
        <v>16485</v>
      </c>
      <c r="D13349" t="s">
        <v>19019</v>
      </c>
      <c r="E13349" t="s">
        <v>30376</v>
      </c>
      <c r="F13349" t="s">
        <v>32606</v>
      </c>
      <c r="G13349" t="s">
        <v>32613</v>
      </c>
      <c r="H13349" t="s">
        <v>32623</v>
      </c>
      <c r="I13349" t="s">
        <v>17648</v>
      </c>
      <c r="J13349" t="s">
        <v>41020</v>
      </c>
      <c r="K13349" t="s">
        <v>42882</v>
      </c>
      <c r="M13349" t="s">
        <v>44860</v>
      </c>
      <c r="N13349" t="s">
        <v>47304</v>
      </c>
      <c r="O13349" t="s">
        <v>47305</v>
      </c>
      <c r="P13349">
        <v>0</v>
      </c>
      <c r="Q13349">
        <v>2</v>
      </c>
      <c r="R13349" t="s">
        <v>47319</v>
      </c>
      <c r="S13349" t="s">
        <v>47813</v>
      </c>
      <c r="T13349" t="s">
        <v>48986</v>
      </c>
      <c r="U13349" t="s">
        <v>53839</v>
      </c>
      <c r="W13349" t="s">
        <v>44860</v>
      </c>
      <c r="X13349" t="s">
        <v>47320</v>
      </c>
    </row>
    <row r="13350" spans="1:24">
      <c r="A13350">
        <f>HYPERLINK("https://www.philgeps.gov.ph/GEPSNONPILOT/Tender/SplashBidNoticeAbstractUI.aspx?menuIndex=3&amp;refID=7173468&amp;Result=3","7173468")</f>
        <v>0</v>
      </c>
      <c r="B13350" t="s">
        <v>510</v>
      </c>
      <c r="C13350" t="s">
        <v>16486</v>
      </c>
      <c r="D13350" t="s">
        <v>19024</v>
      </c>
      <c r="E13350" t="s">
        <v>30377</v>
      </c>
      <c r="F13350" t="s">
        <v>32606</v>
      </c>
      <c r="G13350" t="s">
        <v>32613</v>
      </c>
      <c r="H13350" t="s">
        <v>32623</v>
      </c>
      <c r="I13350" t="s">
        <v>17648</v>
      </c>
      <c r="J13350" t="s">
        <v>32772</v>
      </c>
      <c r="K13350" t="s">
        <v>42646</v>
      </c>
      <c r="M13350" t="s">
        <v>43423</v>
      </c>
      <c r="N13350" t="s">
        <v>47304</v>
      </c>
      <c r="O13350" t="s">
        <v>47305</v>
      </c>
      <c r="P13350">
        <v>0</v>
      </c>
      <c r="Q13350">
        <v>0</v>
      </c>
      <c r="R13350" t="s">
        <v>47319</v>
      </c>
      <c r="S13350" t="s">
        <v>47813</v>
      </c>
      <c r="T13350" t="s">
        <v>48971</v>
      </c>
      <c r="U13350" t="s">
        <v>60579</v>
      </c>
      <c r="W13350" t="s">
        <v>43423</v>
      </c>
      <c r="X13350" t="s">
        <v>47320</v>
      </c>
    </row>
    <row r="13351" spans="1:24">
      <c r="A13351">
        <f>HYPERLINK("https://www.philgeps.gov.ph/GEPSNONPILOT/Tender/SplashBidNoticeAbstractUI.aspx?menuIndex=3&amp;refID=7172653&amp;Result=3","7172653")</f>
        <v>0</v>
      </c>
      <c r="B13351" t="s">
        <v>2155</v>
      </c>
      <c r="C13351" t="s">
        <v>16487</v>
      </c>
      <c r="D13351" t="s">
        <v>19011</v>
      </c>
      <c r="E13351" t="s">
        <v>29813</v>
      </c>
      <c r="F13351" t="s">
        <v>32606</v>
      </c>
      <c r="G13351" t="s">
        <v>32613</v>
      </c>
      <c r="H13351" t="s">
        <v>32623</v>
      </c>
      <c r="I13351" t="s">
        <v>17648</v>
      </c>
      <c r="J13351" t="s">
        <v>40589</v>
      </c>
      <c r="K13351" t="s">
        <v>42759</v>
      </c>
      <c r="M13351" t="s">
        <v>45246</v>
      </c>
      <c r="N13351" t="s">
        <v>47304</v>
      </c>
      <c r="O13351" t="s">
        <v>47305</v>
      </c>
      <c r="P13351">
        <v>0</v>
      </c>
      <c r="Q13351">
        <v>1</v>
      </c>
      <c r="R13351" t="s">
        <v>47319</v>
      </c>
      <c r="S13351" t="s">
        <v>47813</v>
      </c>
      <c r="T13351" t="s">
        <v>49188</v>
      </c>
      <c r="U13351" t="s">
        <v>54912</v>
      </c>
      <c r="V13351" t="s">
        <v>63264</v>
      </c>
      <c r="W13351" t="s">
        <v>45246</v>
      </c>
      <c r="X13351" t="s">
        <v>47320</v>
      </c>
    </row>
    <row r="13352" spans="1:24">
      <c r="A13352">
        <f>HYPERLINK("https://www.philgeps.gov.ph/GEPSNONPILOT/Tender/SplashBidNoticeAbstractUI.aspx?menuIndex=3&amp;refID=7173658&amp;Result=3","7173658")</f>
        <v>0</v>
      </c>
      <c r="B13352" t="s">
        <v>1043</v>
      </c>
      <c r="C13352" t="s">
        <v>16488</v>
      </c>
      <c r="D13352" t="s">
        <v>19012</v>
      </c>
      <c r="E13352" t="s">
        <v>30378</v>
      </c>
      <c r="F13352" t="s">
        <v>32606</v>
      </c>
      <c r="G13352" t="s">
        <v>32613</v>
      </c>
      <c r="H13352" t="s">
        <v>14201</v>
      </c>
      <c r="I13352" t="s">
        <v>32672</v>
      </c>
      <c r="J13352" t="s">
        <v>38864</v>
      </c>
      <c r="K13352" t="s">
        <v>42646</v>
      </c>
      <c r="M13352" t="s">
        <v>45299</v>
      </c>
      <c r="N13352" t="s">
        <v>47304</v>
      </c>
      <c r="O13352" t="s">
        <v>47305</v>
      </c>
      <c r="P13352">
        <v>0</v>
      </c>
      <c r="Q13352">
        <v>5</v>
      </c>
      <c r="R13352" t="s">
        <v>47319</v>
      </c>
      <c r="S13352" t="s">
        <v>47813</v>
      </c>
      <c r="T13352" t="s">
        <v>48986</v>
      </c>
      <c r="U13352" t="s">
        <v>60580</v>
      </c>
      <c r="W13352" t="s">
        <v>45299</v>
      </c>
      <c r="X13352" t="s">
        <v>47320</v>
      </c>
    </row>
    <row r="13353" spans="1:24">
      <c r="A13353">
        <f>HYPERLINK("https://www.philgeps.gov.ph/GEPSNONPILOT/Tender/SplashBidNoticeAbstractUI.aspx?menuIndex=3&amp;refID=7170108&amp;Result=3","7170108")</f>
        <v>0</v>
      </c>
      <c r="B13353" t="s">
        <v>661</v>
      </c>
      <c r="C13353" t="s">
        <v>16489</v>
      </c>
      <c r="D13353" t="s">
        <v>19011</v>
      </c>
      <c r="E13353" t="s">
        <v>30379</v>
      </c>
      <c r="F13353" t="s">
        <v>32606</v>
      </c>
      <c r="G13353" t="s">
        <v>32613</v>
      </c>
      <c r="H13353" t="s">
        <v>14201</v>
      </c>
      <c r="I13353" t="s">
        <v>7677</v>
      </c>
      <c r="J13353" t="s">
        <v>41021</v>
      </c>
      <c r="K13353" t="s">
        <v>42631</v>
      </c>
      <c r="M13353" t="s">
        <v>43581</v>
      </c>
      <c r="N13353" t="s">
        <v>47304</v>
      </c>
      <c r="O13353" t="s">
        <v>47305</v>
      </c>
      <c r="Q13353">
        <v>12</v>
      </c>
      <c r="R13353" t="s">
        <v>47320</v>
      </c>
      <c r="S13353" t="s">
        <v>48012</v>
      </c>
      <c r="T13353" t="s">
        <v>48994</v>
      </c>
      <c r="U13353" t="s">
        <v>60581</v>
      </c>
      <c r="W13353" t="s">
        <v>43581</v>
      </c>
      <c r="X13353" t="s">
        <v>47321</v>
      </c>
    </row>
    <row r="13354" spans="1:24">
      <c r="A13354">
        <f>HYPERLINK("https://www.philgeps.gov.ph/GEPSNONPILOT/Tender/SplashBidNoticeAbstractUI.aspx?menuIndex=3&amp;refID=7172586&amp;Result=3","7172586")</f>
        <v>0</v>
      </c>
      <c r="B13354" t="s">
        <v>903</v>
      </c>
      <c r="C13354" t="s">
        <v>16490</v>
      </c>
      <c r="D13354" t="s">
        <v>19049</v>
      </c>
      <c r="E13354" t="s">
        <v>30380</v>
      </c>
      <c r="F13354" t="s">
        <v>32606</v>
      </c>
      <c r="G13354" t="s">
        <v>32613</v>
      </c>
      <c r="H13354" t="s">
        <v>14201</v>
      </c>
      <c r="I13354" t="s">
        <v>32678</v>
      </c>
      <c r="J13354" t="s">
        <v>41022</v>
      </c>
      <c r="K13354" t="s">
        <v>42631</v>
      </c>
      <c r="M13354" t="s">
        <v>43840</v>
      </c>
      <c r="N13354" t="s">
        <v>47304</v>
      </c>
      <c r="O13354" t="s">
        <v>47305</v>
      </c>
      <c r="Q13354">
        <v>0</v>
      </c>
      <c r="R13354" t="s">
        <v>47319</v>
      </c>
      <c r="S13354" t="s">
        <v>47827</v>
      </c>
      <c r="T13354" t="s">
        <v>49175</v>
      </c>
      <c r="U13354" t="s">
        <v>60582</v>
      </c>
      <c r="W13354" t="s">
        <v>43840</v>
      </c>
      <c r="X13354" t="s">
        <v>47320</v>
      </c>
    </row>
    <row r="13355" spans="1:24">
      <c r="A13355">
        <f>HYPERLINK("https://www.philgeps.gov.ph/GEPSNONPILOT/Tender/SplashBidNoticeAbstractUI.aspx?menuIndex=3&amp;refID=7170142&amp;Result=3","7170142")</f>
        <v>0</v>
      </c>
      <c r="B13355" t="s">
        <v>718</v>
      </c>
      <c r="C13355" t="s">
        <v>16491</v>
      </c>
      <c r="D13355" t="s">
        <v>19037</v>
      </c>
      <c r="E13355" t="s">
        <v>30381</v>
      </c>
      <c r="F13355" t="s">
        <v>32606</v>
      </c>
      <c r="G13355" t="s">
        <v>32613</v>
      </c>
      <c r="H13355" t="s">
        <v>14201</v>
      </c>
      <c r="I13355" t="s">
        <v>32640</v>
      </c>
      <c r="J13355" t="s">
        <v>41023</v>
      </c>
      <c r="K13355" t="s">
        <v>42631</v>
      </c>
      <c r="M13355" t="s">
        <v>46729</v>
      </c>
      <c r="N13355" t="s">
        <v>47304</v>
      </c>
      <c r="O13355" t="s">
        <v>47305</v>
      </c>
      <c r="P13355">
        <v>0</v>
      </c>
      <c r="Q13355">
        <v>12</v>
      </c>
      <c r="R13355" t="s">
        <v>47320</v>
      </c>
      <c r="S13355" t="s">
        <v>47917</v>
      </c>
      <c r="T13355" t="s">
        <v>48988</v>
      </c>
      <c r="U13355" t="s">
        <v>60583</v>
      </c>
      <c r="W13355" t="s">
        <v>46729</v>
      </c>
      <c r="X13355" t="s">
        <v>47321</v>
      </c>
    </row>
    <row r="13356" spans="1:24">
      <c r="A13356">
        <f>HYPERLINK("https://www.philgeps.gov.ph/GEPSNONPILOT/Tender/SplashBidNoticeAbstractUI.aspx?menuIndex=3&amp;refID=7173471&amp;Result=3","7173471")</f>
        <v>0</v>
      </c>
      <c r="B13356" t="s">
        <v>1342</v>
      </c>
      <c r="C13356" t="s">
        <v>16492</v>
      </c>
      <c r="D13356" t="s">
        <v>19009</v>
      </c>
      <c r="E13356" t="s">
        <v>19133</v>
      </c>
      <c r="F13356" t="s">
        <v>32606</v>
      </c>
      <c r="G13356" t="s">
        <v>32613</v>
      </c>
      <c r="H13356" t="s">
        <v>14201</v>
      </c>
      <c r="I13356" t="s">
        <v>7064</v>
      </c>
      <c r="J13356" t="s">
        <v>35232</v>
      </c>
      <c r="K13356" t="s">
        <v>42627</v>
      </c>
      <c r="M13356" t="s">
        <v>44316</v>
      </c>
      <c r="N13356" t="s">
        <v>47304</v>
      </c>
      <c r="O13356" t="s">
        <v>47305</v>
      </c>
      <c r="P13356">
        <v>0</v>
      </c>
      <c r="Q13356">
        <v>0</v>
      </c>
      <c r="R13356" t="s">
        <v>47319</v>
      </c>
      <c r="S13356" t="s">
        <v>47813</v>
      </c>
      <c r="T13356" t="s">
        <v>48971</v>
      </c>
      <c r="U13356" t="s">
        <v>60584</v>
      </c>
      <c r="W13356" t="s">
        <v>44316</v>
      </c>
      <c r="X13356" t="s">
        <v>47320</v>
      </c>
    </row>
    <row r="13357" spans="1:24">
      <c r="A13357">
        <f>HYPERLINK("https://www.philgeps.gov.ph/GEPSNONPILOT/Tender/SplashBidNoticeAbstractUI.aspx?menuIndex=3&amp;refID=7172570&amp;Result=3","7172570")</f>
        <v>0</v>
      </c>
      <c r="B13357" t="s">
        <v>3629</v>
      </c>
      <c r="C13357" t="s">
        <v>16493</v>
      </c>
      <c r="D13357" t="s">
        <v>19007</v>
      </c>
      <c r="E13357" t="s">
        <v>30382</v>
      </c>
      <c r="F13357" t="s">
        <v>32606</v>
      </c>
      <c r="G13357" t="s">
        <v>32613</v>
      </c>
      <c r="H13357" t="s">
        <v>32623</v>
      </c>
      <c r="I13357" t="s">
        <v>17648</v>
      </c>
      <c r="J13357" t="s">
        <v>41024</v>
      </c>
      <c r="K13357" t="s">
        <v>42624</v>
      </c>
      <c r="M13357" t="s">
        <v>46927</v>
      </c>
      <c r="N13357" t="s">
        <v>47304</v>
      </c>
      <c r="O13357" t="s">
        <v>47305</v>
      </c>
      <c r="P13357">
        <v>0</v>
      </c>
      <c r="Q13357">
        <v>2</v>
      </c>
      <c r="R13357" t="s">
        <v>47319</v>
      </c>
      <c r="S13357" t="s">
        <v>47813</v>
      </c>
      <c r="T13357" t="s">
        <v>49019</v>
      </c>
      <c r="U13357" t="s">
        <v>60585</v>
      </c>
      <c r="W13357" t="s">
        <v>46927</v>
      </c>
      <c r="X13357" t="s">
        <v>47320</v>
      </c>
    </row>
    <row r="13358" spans="1:24">
      <c r="A13358">
        <f>HYPERLINK("https://www.philgeps.gov.ph/GEPSNONPILOT/Tender/SplashBidNoticeAbstractUI.aspx?menuIndex=3&amp;refID=7172588&amp;Result=3","7172588")</f>
        <v>0</v>
      </c>
      <c r="B13358" t="s">
        <v>2439</v>
      </c>
      <c r="C13358" t="s">
        <v>10913</v>
      </c>
      <c r="D13358" t="s">
        <v>18993</v>
      </c>
      <c r="E13358" t="s">
        <v>23162</v>
      </c>
      <c r="F13358" t="s">
        <v>32606</v>
      </c>
      <c r="G13358" t="s">
        <v>32613</v>
      </c>
      <c r="H13358" t="s">
        <v>14201</v>
      </c>
      <c r="I13358" t="s">
        <v>32640</v>
      </c>
      <c r="J13358" t="s">
        <v>33039</v>
      </c>
      <c r="K13358" t="s">
        <v>42624</v>
      </c>
      <c r="M13358" t="s">
        <v>45566</v>
      </c>
      <c r="N13358" t="s">
        <v>47304</v>
      </c>
      <c r="O13358" t="s">
        <v>47305</v>
      </c>
      <c r="Q13358">
        <v>19</v>
      </c>
      <c r="R13358" t="s">
        <v>47319</v>
      </c>
      <c r="S13358" t="s">
        <v>48013</v>
      </c>
      <c r="T13358" t="s">
        <v>49062</v>
      </c>
      <c r="U13358" t="s">
        <v>60586</v>
      </c>
      <c r="W13358" t="s">
        <v>45566</v>
      </c>
      <c r="X13358" t="s">
        <v>47320</v>
      </c>
    </row>
    <row r="13359" spans="1:24">
      <c r="A13359">
        <f>HYPERLINK("https://www.philgeps.gov.ph/GEPSNONPILOT/Tender/SplashBidNoticeAbstractUI.aspx?menuIndex=3&amp;refID=7173473&amp;Result=3","7173473")</f>
        <v>0</v>
      </c>
      <c r="B13359" t="s">
        <v>1671</v>
      </c>
      <c r="C13359" t="s">
        <v>16494</v>
      </c>
      <c r="D13359" t="s">
        <v>18993</v>
      </c>
      <c r="E13359" t="s">
        <v>16494</v>
      </c>
      <c r="F13359" t="s">
        <v>32606</v>
      </c>
      <c r="G13359" t="s">
        <v>32613</v>
      </c>
      <c r="H13359" t="s">
        <v>14201</v>
      </c>
      <c r="I13359" t="s">
        <v>32638</v>
      </c>
      <c r="J13359" t="s">
        <v>35850</v>
      </c>
      <c r="K13359" t="s">
        <v>42631</v>
      </c>
      <c r="M13359" t="s">
        <v>44698</v>
      </c>
      <c r="N13359" t="s">
        <v>47304</v>
      </c>
      <c r="O13359" t="s">
        <v>47305</v>
      </c>
      <c r="P13359">
        <v>0</v>
      </c>
      <c r="Q13359">
        <v>6</v>
      </c>
      <c r="R13359" t="s">
        <v>47319</v>
      </c>
      <c r="S13359" t="s">
        <v>47813</v>
      </c>
      <c r="T13359" t="s">
        <v>48987</v>
      </c>
      <c r="U13359" t="s">
        <v>60070</v>
      </c>
      <c r="W13359" t="s">
        <v>44698</v>
      </c>
      <c r="X13359" t="s">
        <v>47320</v>
      </c>
    </row>
    <row r="13360" spans="1:24">
      <c r="A13360">
        <f>HYPERLINK("https://www.philgeps.gov.ph/GEPSNONPILOT/Tender/SplashBidNoticeAbstractUI.aspx?menuIndex=3&amp;refID=7172579&amp;Result=3","7172579")</f>
        <v>0</v>
      </c>
      <c r="B13360" t="s">
        <v>2325</v>
      </c>
      <c r="C13360" t="s">
        <v>16495</v>
      </c>
      <c r="D13360" t="s">
        <v>18991</v>
      </c>
      <c r="E13360" t="s">
        <v>30383</v>
      </c>
      <c r="F13360" t="s">
        <v>32606</v>
      </c>
      <c r="G13360" t="s">
        <v>32613</v>
      </c>
      <c r="H13360" t="s">
        <v>14201</v>
      </c>
      <c r="I13360" t="s">
        <v>6007</v>
      </c>
      <c r="J13360" t="s">
        <v>41025</v>
      </c>
      <c r="K13360" t="s">
        <v>42624</v>
      </c>
      <c r="M13360" t="s">
        <v>45433</v>
      </c>
      <c r="N13360" t="s">
        <v>47304</v>
      </c>
      <c r="O13360" t="s">
        <v>47305</v>
      </c>
      <c r="P13360">
        <v>0</v>
      </c>
      <c r="Q13360">
        <v>0</v>
      </c>
      <c r="R13360" t="s">
        <v>47319</v>
      </c>
      <c r="S13360" t="s">
        <v>47813</v>
      </c>
      <c r="T13360" t="s">
        <v>49017</v>
      </c>
      <c r="U13360" t="s">
        <v>60587</v>
      </c>
      <c r="W13360" t="s">
        <v>45433</v>
      </c>
      <c r="X13360" t="s">
        <v>47320</v>
      </c>
    </row>
    <row r="13361" spans="1:24">
      <c r="A13361">
        <f>HYPERLINK("https://www.philgeps.gov.ph/GEPSNONPILOT/Tender/SplashBidNoticeAbstractUI.aspx?menuIndex=3&amp;refID=7170227&amp;Result=3","7170227")</f>
        <v>0</v>
      </c>
      <c r="B13361" t="s">
        <v>48</v>
      </c>
      <c r="C13361" t="s">
        <v>16496</v>
      </c>
      <c r="D13361" t="s">
        <v>18994</v>
      </c>
      <c r="E13361" t="s">
        <v>30384</v>
      </c>
      <c r="F13361" t="s">
        <v>32606</v>
      </c>
      <c r="G13361" t="s">
        <v>32618</v>
      </c>
      <c r="H13361" t="s">
        <v>32623</v>
      </c>
      <c r="I13361" t="s">
        <v>17648</v>
      </c>
      <c r="J13361" t="s">
        <v>32795</v>
      </c>
      <c r="K13361" t="s">
        <v>42624</v>
      </c>
      <c r="L13361" t="s">
        <v>48</v>
      </c>
      <c r="M13361" t="s">
        <v>42945</v>
      </c>
      <c r="N13361" t="s">
        <v>47304</v>
      </c>
      <c r="O13361" t="s">
        <v>47305</v>
      </c>
      <c r="Q13361">
        <v>10</v>
      </c>
      <c r="R13361" t="s">
        <v>47320</v>
      </c>
      <c r="S13361" t="s">
        <v>48014</v>
      </c>
      <c r="T13361" t="s">
        <v>48987</v>
      </c>
      <c r="U13361" t="s">
        <v>60588</v>
      </c>
      <c r="W13361" t="s">
        <v>42945</v>
      </c>
      <c r="X13361" t="s">
        <v>47321</v>
      </c>
    </row>
    <row r="13362" spans="1:24">
      <c r="A13362">
        <f>HYPERLINK("https://www.philgeps.gov.ph/GEPSNONPILOT/Tender/SplashBidNoticeAbstractUI.aspx?menuIndex=3&amp;refID=7172662&amp;Result=3","7172662")</f>
        <v>0</v>
      </c>
      <c r="B13362" t="s">
        <v>903</v>
      </c>
      <c r="C13362" t="s">
        <v>16497</v>
      </c>
      <c r="D13362" t="s">
        <v>19049</v>
      </c>
      <c r="E13362" t="s">
        <v>30385</v>
      </c>
      <c r="F13362" t="s">
        <v>32606</v>
      </c>
      <c r="G13362" t="s">
        <v>32613</v>
      </c>
      <c r="H13362" t="s">
        <v>14201</v>
      </c>
      <c r="I13362" t="s">
        <v>6993</v>
      </c>
      <c r="J13362" t="s">
        <v>41026</v>
      </c>
      <c r="K13362" t="s">
        <v>42631</v>
      </c>
      <c r="M13362" t="s">
        <v>43840</v>
      </c>
      <c r="N13362" t="s">
        <v>47304</v>
      </c>
      <c r="O13362" t="s">
        <v>47305</v>
      </c>
      <c r="Q13362">
        <v>2</v>
      </c>
      <c r="R13362" t="s">
        <v>47319</v>
      </c>
      <c r="S13362" t="s">
        <v>47825</v>
      </c>
      <c r="T13362" t="s">
        <v>49175</v>
      </c>
      <c r="U13362" t="s">
        <v>60589</v>
      </c>
      <c r="W13362" t="s">
        <v>43840</v>
      </c>
      <c r="X13362" t="s">
        <v>47320</v>
      </c>
    </row>
    <row r="13363" spans="1:24">
      <c r="A13363">
        <f>HYPERLINK("https://www.philgeps.gov.ph/GEPSNONPILOT/Tender/SplashBidNoticeAbstractUI.aspx?menuIndex=3&amp;refID=7170226&amp;Result=3","7170226")</f>
        <v>0</v>
      </c>
      <c r="B13363" t="s">
        <v>101</v>
      </c>
      <c r="C13363" t="s">
        <v>16498</v>
      </c>
      <c r="D13363" t="s">
        <v>18993</v>
      </c>
      <c r="E13363" t="s">
        <v>30386</v>
      </c>
      <c r="F13363" t="s">
        <v>32606</v>
      </c>
      <c r="G13363" t="s">
        <v>32613</v>
      </c>
      <c r="H13363" t="s">
        <v>14201</v>
      </c>
      <c r="I13363" t="s">
        <v>7677</v>
      </c>
      <c r="J13363" t="s">
        <v>41027</v>
      </c>
      <c r="K13363" t="s">
        <v>42631</v>
      </c>
      <c r="M13363" t="s">
        <v>44679</v>
      </c>
      <c r="N13363" t="s">
        <v>47304</v>
      </c>
      <c r="O13363" t="s">
        <v>47305</v>
      </c>
      <c r="P13363">
        <v>0</v>
      </c>
      <c r="Q13363">
        <v>11</v>
      </c>
      <c r="R13363" t="s">
        <v>47320</v>
      </c>
      <c r="S13363" t="s">
        <v>47917</v>
      </c>
      <c r="T13363" t="s">
        <v>49160</v>
      </c>
      <c r="U13363" t="s">
        <v>60590</v>
      </c>
      <c r="W13363" t="s">
        <v>44679</v>
      </c>
      <c r="X13363" t="s">
        <v>47321</v>
      </c>
    </row>
    <row r="13364" spans="1:24">
      <c r="A13364">
        <f>HYPERLINK("https://www.philgeps.gov.ph/GEPSNONPILOT/Tender/SplashBidNoticeAbstractUI.aspx?menuIndex=3&amp;refID=7170203&amp;Result=3","7170203")</f>
        <v>0</v>
      </c>
      <c r="B13364" t="s">
        <v>459</v>
      </c>
      <c r="C13364" t="s">
        <v>16499</v>
      </c>
      <c r="D13364" t="s">
        <v>19038</v>
      </c>
      <c r="E13364" t="s">
        <v>30387</v>
      </c>
      <c r="F13364" t="s">
        <v>32606</v>
      </c>
      <c r="G13364" t="s">
        <v>32613</v>
      </c>
      <c r="H13364" t="s">
        <v>32623</v>
      </c>
      <c r="I13364" t="s">
        <v>17648</v>
      </c>
      <c r="J13364" t="s">
        <v>41028</v>
      </c>
      <c r="K13364" t="s">
        <v>42623</v>
      </c>
      <c r="M13364" t="s">
        <v>43369</v>
      </c>
      <c r="N13364" t="s">
        <v>47304</v>
      </c>
      <c r="O13364" t="s">
        <v>47305</v>
      </c>
      <c r="Q13364">
        <v>0</v>
      </c>
      <c r="R13364" t="s">
        <v>47320</v>
      </c>
      <c r="S13364" t="s">
        <v>48015</v>
      </c>
      <c r="T13364" t="s">
        <v>49081</v>
      </c>
      <c r="U13364" t="s">
        <v>60591</v>
      </c>
      <c r="W13364" t="s">
        <v>43369</v>
      </c>
      <c r="X13364" t="s">
        <v>47321</v>
      </c>
    </row>
    <row r="13365" spans="1:24">
      <c r="A13365">
        <f>HYPERLINK("https://www.philgeps.gov.ph/GEPSNONPILOT/Tender/SplashBidNoticeAbstractUI.aspx?menuIndex=3&amp;refID=7170231&amp;Result=3","7170231")</f>
        <v>0</v>
      </c>
      <c r="B13365" t="s">
        <v>3614</v>
      </c>
      <c r="C13365" t="s">
        <v>7197</v>
      </c>
      <c r="D13365" t="s">
        <v>19056</v>
      </c>
      <c r="E13365" t="s">
        <v>30388</v>
      </c>
      <c r="F13365" t="s">
        <v>32606</v>
      </c>
      <c r="G13365" t="s">
        <v>32614</v>
      </c>
      <c r="H13365" t="s">
        <v>14201</v>
      </c>
      <c r="I13365" t="s">
        <v>32724</v>
      </c>
      <c r="J13365" t="s">
        <v>41029</v>
      </c>
      <c r="K13365" t="s">
        <v>42684</v>
      </c>
      <c r="M13365" t="s">
        <v>46908</v>
      </c>
      <c r="N13365" t="s">
        <v>47304</v>
      </c>
      <c r="O13365" t="s">
        <v>47305</v>
      </c>
      <c r="Q13365">
        <v>2</v>
      </c>
      <c r="R13365" t="s">
        <v>47320</v>
      </c>
      <c r="S13365" t="s">
        <v>48016</v>
      </c>
      <c r="T13365" t="s">
        <v>49315</v>
      </c>
      <c r="U13365" t="s">
        <v>60592</v>
      </c>
      <c r="W13365" t="s">
        <v>46908</v>
      </c>
      <c r="X13365" t="s">
        <v>47321</v>
      </c>
    </row>
    <row r="13366" spans="1:24">
      <c r="A13366">
        <f>HYPERLINK("https://www.philgeps.gov.ph/GEPSNONPILOT/Tender/SplashBidNoticeAbstractUI.aspx?menuIndex=3&amp;refID=7170202&amp;Result=3","7170202")</f>
        <v>0</v>
      </c>
      <c r="B13366" t="s">
        <v>718</v>
      </c>
      <c r="C13366" t="s">
        <v>16500</v>
      </c>
      <c r="D13366" t="s">
        <v>19037</v>
      </c>
      <c r="E13366" t="s">
        <v>30389</v>
      </c>
      <c r="F13366" t="s">
        <v>32606</v>
      </c>
      <c r="G13366" t="s">
        <v>32613</v>
      </c>
      <c r="H13366" t="s">
        <v>14201</v>
      </c>
      <c r="I13366" t="s">
        <v>32696</v>
      </c>
      <c r="J13366" t="s">
        <v>41030</v>
      </c>
      <c r="K13366" t="s">
        <v>42623</v>
      </c>
      <c r="M13366" t="s">
        <v>46729</v>
      </c>
      <c r="N13366" t="s">
        <v>47304</v>
      </c>
      <c r="O13366" t="s">
        <v>47305</v>
      </c>
      <c r="P13366">
        <v>0</v>
      </c>
      <c r="Q13366">
        <v>3</v>
      </c>
      <c r="R13366" t="s">
        <v>47320</v>
      </c>
      <c r="S13366" t="s">
        <v>47917</v>
      </c>
      <c r="T13366" t="s">
        <v>48988</v>
      </c>
      <c r="U13366" t="s">
        <v>60593</v>
      </c>
      <c r="W13366" t="s">
        <v>46729</v>
      </c>
      <c r="X13366" t="s">
        <v>47321</v>
      </c>
    </row>
    <row r="13367" spans="1:24">
      <c r="A13367">
        <f>HYPERLINK("https://www.philgeps.gov.ph/GEPSNONPILOT/Tender/SplashBidNoticeAbstractUI.aspx?menuIndex=3&amp;refID=7170225&amp;Result=3","7170225")</f>
        <v>0</v>
      </c>
      <c r="B13367" t="s">
        <v>178</v>
      </c>
      <c r="C13367" t="s">
        <v>16501</v>
      </c>
      <c r="D13367" t="s">
        <v>18993</v>
      </c>
      <c r="E13367" t="s">
        <v>30390</v>
      </c>
      <c r="F13367" t="s">
        <v>32606</v>
      </c>
      <c r="G13367" t="s">
        <v>32613</v>
      </c>
      <c r="H13367" t="s">
        <v>14201</v>
      </c>
      <c r="I13367" t="s">
        <v>32662</v>
      </c>
      <c r="J13367" t="s">
        <v>37510</v>
      </c>
      <c r="K13367" t="s">
        <v>42631</v>
      </c>
      <c r="M13367" t="s">
        <v>43079</v>
      </c>
      <c r="N13367" t="s">
        <v>47304</v>
      </c>
      <c r="O13367" t="s">
        <v>47305</v>
      </c>
      <c r="Q13367">
        <v>29</v>
      </c>
      <c r="R13367" t="s">
        <v>47320</v>
      </c>
      <c r="S13367" t="s">
        <v>48017</v>
      </c>
      <c r="T13367" t="s">
        <v>48987</v>
      </c>
      <c r="U13367" t="s">
        <v>60594</v>
      </c>
      <c r="W13367" t="s">
        <v>43079</v>
      </c>
      <c r="X13367" t="s">
        <v>47321</v>
      </c>
    </row>
    <row r="13368" spans="1:24">
      <c r="A13368">
        <f>HYPERLINK("https://www.philgeps.gov.ph/GEPSNONPILOT/Tender/SplashBidNoticeAbstractUI.aspx?menuIndex=3&amp;refID=7170193&amp;Result=3","7170193")</f>
        <v>0</v>
      </c>
      <c r="B13368" t="s">
        <v>48</v>
      </c>
      <c r="C13368" t="s">
        <v>16502</v>
      </c>
      <c r="D13368" t="s">
        <v>18994</v>
      </c>
      <c r="E13368" t="s">
        <v>30391</v>
      </c>
      <c r="F13368" t="s">
        <v>32606</v>
      </c>
      <c r="G13368" t="s">
        <v>32618</v>
      </c>
      <c r="H13368" t="s">
        <v>32623</v>
      </c>
      <c r="I13368" t="s">
        <v>17648</v>
      </c>
      <c r="J13368" t="s">
        <v>38265</v>
      </c>
      <c r="K13368" t="s">
        <v>42624</v>
      </c>
      <c r="L13368" t="s">
        <v>48</v>
      </c>
      <c r="M13368" t="s">
        <v>42945</v>
      </c>
      <c r="N13368" t="s">
        <v>47304</v>
      </c>
      <c r="O13368" t="s">
        <v>47305</v>
      </c>
      <c r="Q13368">
        <v>7</v>
      </c>
      <c r="R13368" t="s">
        <v>47320</v>
      </c>
      <c r="S13368" t="s">
        <v>48018</v>
      </c>
      <c r="T13368" t="s">
        <v>48987</v>
      </c>
      <c r="U13368" t="s">
        <v>60595</v>
      </c>
      <c r="W13368" t="s">
        <v>42945</v>
      </c>
      <c r="X13368" t="s">
        <v>47321</v>
      </c>
    </row>
    <row r="13369" spans="1:24">
      <c r="A13369">
        <f>HYPERLINK("https://www.philgeps.gov.ph/GEPSNONPILOT/Tender/SplashBidNoticeAbstractUI.aspx?menuIndex=3&amp;refID=7170192&amp;Result=3","7170192")</f>
        <v>0</v>
      </c>
      <c r="B13369" t="s">
        <v>178</v>
      </c>
      <c r="C13369" t="s">
        <v>16503</v>
      </c>
      <c r="D13369" t="s">
        <v>18993</v>
      </c>
      <c r="E13369" t="s">
        <v>30392</v>
      </c>
      <c r="F13369" t="s">
        <v>32606</v>
      </c>
      <c r="G13369" t="s">
        <v>32613</v>
      </c>
      <c r="H13369" t="s">
        <v>14201</v>
      </c>
      <c r="I13369" t="s">
        <v>32662</v>
      </c>
      <c r="J13369" t="s">
        <v>33016</v>
      </c>
      <c r="K13369" t="s">
        <v>42631</v>
      </c>
      <c r="M13369" t="s">
        <v>43079</v>
      </c>
      <c r="N13369" t="s">
        <v>47304</v>
      </c>
      <c r="O13369" t="s">
        <v>47305</v>
      </c>
      <c r="Q13369">
        <v>26</v>
      </c>
      <c r="R13369" t="s">
        <v>47320</v>
      </c>
      <c r="S13369" t="s">
        <v>48019</v>
      </c>
      <c r="T13369" t="s">
        <v>48987</v>
      </c>
      <c r="U13369" t="s">
        <v>60596</v>
      </c>
      <c r="W13369" t="s">
        <v>43079</v>
      </c>
      <c r="X13369" t="s">
        <v>47321</v>
      </c>
    </row>
    <row r="13370" spans="1:24">
      <c r="A13370">
        <f>HYPERLINK("https://www.philgeps.gov.ph/GEPSNONPILOT/Tender/SplashBidNoticeAbstractUI.aspx?menuIndex=3&amp;refID=7170191&amp;Result=3","7170191")</f>
        <v>0</v>
      </c>
      <c r="B13370" t="s">
        <v>3628</v>
      </c>
      <c r="C13370" t="s">
        <v>16504</v>
      </c>
      <c r="D13370" t="s">
        <v>19006</v>
      </c>
      <c r="E13370" t="s">
        <v>30393</v>
      </c>
      <c r="F13370" t="s">
        <v>32606</v>
      </c>
      <c r="G13370" t="s">
        <v>32613</v>
      </c>
      <c r="H13370" t="s">
        <v>32623</v>
      </c>
      <c r="I13370" t="s">
        <v>17648</v>
      </c>
      <c r="J13370" t="s">
        <v>41031</v>
      </c>
      <c r="K13370" t="s">
        <v>42722</v>
      </c>
      <c r="M13370" t="s">
        <v>46925</v>
      </c>
      <c r="N13370" t="s">
        <v>47304</v>
      </c>
      <c r="O13370" t="s">
        <v>47305</v>
      </c>
      <c r="P13370">
        <v>0</v>
      </c>
      <c r="Q13370">
        <v>4</v>
      </c>
      <c r="R13370" t="s">
        <v>47320</v>
      </c>
      <c r="S13370" t="s">
        <v>47917</v>
      </c>
      <c r="T13370" t="s">
        <v>49028</v>
      </c>
      <c r="U13370" t="s">
        <v>60597</v>
      </c>
      <c r="W13370" t="s">
        <v>46925</v>
      </c>
      <c r="X13370" t="s">
        <v>47321</v>
      </c>
    </row>
    <row r="13371" spans="1:24">
      <c r="A13371">
        <f>HYPERLINK("https://www.philgeps.gov.ph/GEPSNONPILOT/Tender/SplashBidNoticeAbstractUI.aspx?menuIndex=3&amp;refID=7170184&amp;Result=3","7170184")</f>
        <v>0</v>
      </c>
      <c r="B13371" t="s">
        <v>101</v>
      </c>
      <c r="C13371" t="s">
        <v>16505</v>
      </c>
      <c r="D13371" t="s">
        <v>18993</v>
      </c>
      <c r="E13371" t="s">
        <v>30394</v>
      </c>
      <c r="F13371" t="s">
        <v>32606</v>
      </c>
      <c r="G13371" t="s">
        <v>32613</v>
      </c>
      <c r="H13371" t="s">
        <v>14201</v>
      </c>
      <c r="I13371" t="s">
        <v>4678</v>
      </c>
      <c r="J13371" t="s">
        <v>41032</v>
      </c>
      <c r="K13371" t="s">
        <v>42631</v>
      </c>
      <c r="M13371" t="s">
        <v>43016</v>
      </c>
      <c r="N13371" t="s">
        <v>47304</v>
      </c>
      <c r="O13371" t="s">
        <v>47305</v>
      </c>
      <c r="P13371">
        <v>0</v>
      </c>
      <c r="Q13371">
        <v>28</v>
      </c>
      <c r="R13371" t="s">
        <v>47320</v>
      </c>
      <c r="S13371" t="s">
        <v>47917</v>
      </c>
      <c r="T13371" t="s">
        <v>49160</v>
      </c>
      <c r="U13371" t="s">
        <v>60598</v>
      </c>
      <c r="W13371" t="s">
        <v>43016</v>
      </c>
      <c r="X13371" t="s">
        <v>47321</v>
      </c>
    </row>
    <row r="13372" spans="1:24">
      <c r="A13372">
        <f>HYPERLINK("https://www.philgeps.gov.ph/GEPSNONPILOT/Tender/SplashBidNoticeAbstractUI.aspx?menuIndex=3&amp;refID=7172577&amp;Result=3","7172577")</f>
        <v>0</v>
      </c>
      <c r="B13372" t="s">
        <v>304</v>
      </c>
      <c r="C13372" t="s">
        <v>16506</v>
      </c>
      <c r="D13372" t="s">
        <v>18994</v>
      </c>
      <c r="E13372" t="s">
        <v>30395</v>
      </c>
      <c r="F13372" t="s">
        <v>32606</v>
      </c>
      <c r="G13372" t="s">
        <v>32613</v>
      </c>
      <c r="H13372" t="s">
        <v>14201</v>
      </c>
      <c r="I13372" t="s">
        <v>32661</v>
      </c>
      <c r="J13372" t="s">
        <v>33231</v>
      </c>
      <c r="K13372" t="s">
        <v>42638</v>
      </c>
      <c r="M13372" t="s">
        <v>43206</v>
      </c>
      <c r="N13372" t="s">
        <v>47304</v>
      </c>
      <c r="O13372" t="s">
        <v>47305</v>
      </c>
      <c r="P13372">
        <v>0</v>
      </c>
      <c r="Q13372">
        <v>3</v>
      </c>
      <c r="R13372" t="s">
        <v>47319</v>
      </c>
      <c r="S13372" t="s">
        <v>47813</v>
      </c>
      <c r="T13372" t="s">
        <v>49023</v>
      </c>
      <c r="U13372" t="s">
        <v>60599</v>
      </c>
      <c r="V13372" t="s">
        <v>62836</v>
      </c>
      <c r="W13372" t="s">
        <v>43206</v>
      </c>
      <c r="X13372" t="s">
        <v>47320</v>
      </c>
    </row>
    <row r="13373" spans="1:24">
      <c r="A13373">
        <f>HYPERLINK("https://www.philgeps.gov.ph/GEPSNONPILOT/Tender/SplashBidNoticeAbstractUI.aspx?menuIndex=3&amp;refID=7170196&amp;Result=3","7170196")</f>
        <v>0</v>
      </c>
      <c r="B13373" t="s">
        <v>3614</v>
      </c>
      <c r="C13373" t="s">
        <v>7197</v>
      </c>
      <c r="D13373" t="s">
        <v>19056</v>
      </c>
      <c r="E13373" t="s">
        <v>30396</v>
      </c>
      <c r="F13373" t="s">
        <v>32606</v>
      </c>
      <c r="G13373" t="s">
        <v>32614</v>
      </c>
      <c r="H13373" t="s">
        <v>14201</v>
      </c>
      <c r="I13373" t="s">
        <v>32724</v>
      </c>
      <c r="J13373" t="s">
        <v>41033</v>
      </c>
      <c r="K13373" t="s">
        <v>42681</v>
      </c>
      <c r="M13373" t="s">
        <v>46908</v>
      </c>
      <c r="N13373" t="s">
        <v>47304</v>
      </c>
      <c r="O13373" t="s">
        <v>47305</v>
      </c>
      <c r="Q13373">
        <v>3</v>
      </c>
      <c r="R13373" t="s">
        <v>47320</v>
      </c>
      <c r="S13373" t="s">
        <v>48020</v>
      </c>
      <c r="T13373" t="s">
        <v>49020</v>
      </c>
      <c r="U13373" t="s">
        <v>60600</v>
      </c>
      <c r="W13373" t="s">
        <v>46908</v>
      </c>
      <c r="X13373" t="s">
        <v>47321</v>
      </c>
    </row>
    <row r="13374" spans="1:24">
      <c r="A13374">
        <f>HYPERLINK("https://www.philgeps.gov.ph/GEPSNONPILOT/Tender/SplashBidNoticeAbstractUI.aspx?menuIndex=3&amp;refID=7170207&amp;Result=3","7170207")</f>
        <v>0</v>
      </c>
      <c r="B13374" t="s">
        <v>3630</v>
      </c>
      <c r="C13374" t="s">
        <v>16507</v>
      </c>
      <c r="D13374" t="s">
        <v>19056</v>
      </c>
      <c r="E13374" t="s">
        <v>30397</v>
      </c>
      <c r="F13374" t="s">
        <v>32606</v>
      </c>
      <c r="G13374" t="s">
        <v>32613</v>
      </c>
      <c r="H13374" t="s">
        <v>32623</v>
      </c>
      <c r="I13374" t="s">
        <v>17648</v>
      </c>
      <c r="J13374" t="s">
        <v>41034</v>
      </c>
      <c r="K13374" t="s">
        <v>42650</v>
      </c>
      <c r="M13374" t="s">
        <v>46928</v>
      </c>
      <c r="N13374" t="s">
        <v>47304</v>
      </c>
      <c r="O13374" t="s">
        <v>47305</v>
      </c>
      <c r="Q13374">
        <v>2</v>
      </c>
      <c r="R13374" t="s">
        <v>47320</v>
      </c>
      <c r="S13374" t="s">
        <v>48021</v>
      </c>
      <c r="T13374" t="s">
        <v>48986</v>
      </c>
      <c r="U13374" t="s">
        <v>60601</v>
      </c>
      <c r="W13374" t="s">
        <v>46928</v>
      </c>
      <c r="X13374" t="s">
        <v>47321</v>
      </c>
    </row>
    <row r="13375" spans="1:24">
      <c r="A13375">
        <f>HYPERLINK("https://www.philgeps.gov.ph/GEPSNONPILOT/Tender/SplashBidNoticeAbstractUI.aspx?menuIndex=3&amp;refID=7170300&amp;Result=3","7170300")</f>
        <v>0</v>
      </c>
      <c r="B13375" t="s">
        <v>3631</v>
      </c>
      <c r="C13375" t="s">
        <v>16508</v>
      </c>
      <c r="D13375" t="s">
        <v>19009</v>
      </c>
      <c r="E13375" t="s">
        <v>25204</v>
      </c>
      <c r="F13375" t="s">
        <v>32606</v>
      </c>
      <c r="G13375" t="s">
        <v>32613</v>
      </c>
      <c r="H13375" t="s">
        <v>14201</v>
      </c>
      <c r="I13375" t="s">
        <v>32640</v>
      </c>
      <c r="J13375" t="s">
        <v>41035</v>
      </c>
      <c r="K13375" t="s">
        <v>42623</v>
      </c>
      <c r="M13375" t="s">
        <v>46929</v>
      </c>
      <c r="N13375" t="s">
        <v>47304</v>
      </c>
      <c r="O13375" t="s">
        <v>47305</v>
      </c>
      <c r="Q13375">
        <v>15</v>
      </c>
      <c r="R13375" t="s">
        <v>47320</v>
      </c>
      <c r="S13375" t="s">
        <v>48022</v>
      </c>
      <c r="T13375" t="s">
        <v>49015</v>
      </c>
      <c r="U13375" t="s">
        <v>53861</v>
      </c>
      <c r="W13375" t="s">
        <v>46929</v>
      </c>
      <c r="X13375" t="s">
        <v>47321</v>
      </c>
    </row>
    <row r="13376" spans="1:24">
      <c r="A13376">
        <f>HYPERLINK("https://www.philgeps.gov.ph/GEPSNONPILOT/Tender/SplashBidNoticeAbstractUI.aspx?menuIndex=3&amp;refID=7170299&amp;Result=3","7170299")</f>
        <v>0</v>
      </c>
      <c r="B13376" t="s">
        <v>1058</v>
      </c>
      <c r="C13376" t="s">
        <v>16509</v>
      </c>
      <c r="D13376" t="s">
        <v>19039</v>
      </c>
      <c r="E13376" t="s">
        <v>30398</v>
      </c>
      <c r="F13376" t="s">
        <v>32606</v>
      </c>
      <c r="G13376" t="s">
        <v>32613</v>
      </c>
      <c r="H13376" t="s">
        <v>14201</v>
      </c>
      <c r="I13376" t="s">
        <v>8682</v>
      </c>
      <c r="J13376" t="s">
        <v>41036</v>
      </c>
      <c r="K13376" t="s">
        <v>42636</v>
      </c>
      <c r="M13376" t="s">
        <v>44011</v>
      </c>
      <c r="N13376" t="s">
        <v>47304</v>
      </c>
      <c r="O13376" t="s">
        <v>47305</v>
      </c>
      <c r="Q13376">
        <v>1</v>
      </c>
      <c r="R13376" t="s">
        <v>47320</v>
      </c>
      <c r="S13376" t="s">
        <v>48023</v>
      </c>
      <c r="T13376" t="s">
        <v>49023</v>
      </c>
      <c r="U13376" t="s">
        <v>51723</v>
      </c>
      <c r="W13376" t="s">
        <v>44011</v>
      </c>
      <c r="X13376" t="s">
        <v>47321</v>
      </c>
    </row>
    <row r="13377" spans="1:24">
      <c r="A13377">
        <f>HYPERLINK("https://www.philgeps.gov.ph/GEPSNONPILOT/Tender/SplashBidNoticeAbstractUI.aspx?menuIndex=3&amp;refID=7170288&amp;Result=3","7170288")</f>
        <v>0</v>
      </c>
      <c r="B13377" t="s">
        <v>1947</v>
      </c>
      <c r="C13377" t="s">
        <v>16510</v>
      </c>
      <c r="D13377" t="s">
        <v>19011</v>
      </c>
      <c r="E13377" t="s">
        <v>24844</v>
      </c>
      <c r="F13377" t="s">
        <v>32606</v>
      </c>
      <c r="G13377" t="s">
        <v>32613</v>
      </c>
      <c r="H13377" t="s">
        <v>32623</v>
      </c>
      <c r="I13377" t="s">
        <v>17648</v>
      </c>
      <c r="J13377" t="s">
        <v>32770</v>
      </c>
      <c r="K13377" t="s">
        <v>42624</v>
      </c>
      <c r="M13377" t="s">
        <v>45008</v>
      </c>
      <c r="N13377" t="s">
        <v>47304</v>
      </c>
      <c r="O13377" t="s">
        <v>47305</v>
      </c>
      <c r="P13377">
        <v>0</v>
      </c>
      <c r="Q13377">
        <v>0</v>
      </c>
      <c r="R13377" t="s">
        <v>47320</v>
      </c>
      <c r="S13377" t="s">
        <v>47917</v>
      </c>
      <c r="T13377" t="s">
        <v>49269</v>
      </c>
      <c r="U13377" t="s">
        <v>60602</v>
      </c>
      <c r="W13377" t="s">
        <v>45008</v>
      </c>
      <c r="X13377" t="s">
        <v>47321</v>
      </c>
    </row>
    <row r="13378" spans="1:24">
      <c r="A13378">
        <f>HYPERLINK("https://www.philgeps.gov.ph/GEPSNONPILOT/Tender/SplashBidNoticeAbstractUI.aspx?menuIndex=3&amp;refID=7170285&amp;Result=3","7170285")</f>
        <v>0</v>
      </c>
      <c r="B13378" t="s">
        <v>3631</v>
      </c>
      <c r="C13378" t="s">
        <v>16511</v>
      </c>
      <c r="D13378" t="s">
        <v>19009</v>
      </c>
      <c r="E13378" t="s">
        <v>23191</v>
      </c>
      <c r="F13378" t="s">
        <v>32606</v>
      </c>
      <c r="G13378" t="s">
        <v>32613</v>
      </c>
      <c r="H13378" t="s">
        <v>14201</v>
      </c>
      <c r="I13378" t="s">
        <v>6478</v>
      </c>
      <c r="J13378" t="s">
        <v>36240</v>
      </c>
      <c r="K13378" t="s">
        <v>42623</v>
      </c>
      <c r="M13378" t="s">
        <v>46929</v>
      </c>
      <c r="N13378" t="s">
        <v>47304</v>
      </c>
      <c r="O13378" t="s">
        <v>47305</v>
      </c>
      <c r="Q13378">
        <v>15</v>
      </c>
      <c r="R13378" t="s">
        <v>47320</v>
      </c>
      <c r="S13378" t="s">
        <v>48024</v>
      </c>
      <c r="T13378" t="s">
        <v>49015</v>
      </c>
      <c r="U13378" t="s">
        <v>58632</v>
      </c>
      <c r="W13378" t="s">
        <v>46929</v>
      </c>
      <c r="X13378" t="s">
        <v>47321</v>
      </c>
    </row>
    <row r="13379" spans="1:24">
      <c r="A13379">
        <f>HYPERLINK("https://www.philgeps.gov.ph/GEPSNONPILOT/Tender/SplashBidNoticeAbstractUI.aspx?menuIndex=3&amp;refID=7170185&amp;Result=3","7170185")</f>
        <v>0</v>
      </c>
      <c r="B13379" t="s">
        <v>3504</v>
      </c>
      <c r="C13379" t="s">
        <v>16512</v>
      </c>
      <c r="D13379" t="s">
        <v>19010</v>
      </c>
      <c r="E13379" t="s">
        <v>30399</v>
      </c>
      <c r="F13379" t="s">
        <v>32606</v>
      </c>
      <c r="G13379" t="s">
        <v>32613</v>
      </c>
      <c r="H13379" t="s">
        <v>32625</v>
      </c>
      <c r="I13379" t="s">
        <v>32625</v>
      </c>
      <c r="J13379" t="s">
        <v>34205</v>
      </c>
      <c r="K13379" t="s">
        <v>42624</v>
      </c>
      <c r="M13379" t="s">
        <v>46773</v>
      </c>
      <c r="N13379" t="s">
        <v>47304</v>
      </c>
      <c r="O13379" t="s">
        <v>47305</v>
      </c>
      <c r="Q13379">
        <v>13</v>
      </c>
      <c r="R13379" t="s">
        <v>47320</v>
      </c>
      <c r="S13379" t="s">
        <v>48025</v>
      </c>
      <c r="T13379" t="s">
        <v>48976</v>
      </c>
      <c r="U13379" t="s">
        <v>60603</v>
      </c>
      <c r="W13379" t="s">
        <v>46773</v>
      </c>
      <c r="X13379" t="s">
        <v>47321</v>
      </c>
    </row>
    <row r="13380" spans="1:24">
      <c r="A13380">
        <f>HYPERLINK("https://www.philgeps.gov.ph/GEPSNONPILOT/Tender/SplashBidNoticeAbstractUI.aspx?menuIndex=3&amp;refID=7170275&amp;Result=3","7170275")</f>
        <v>0</v>
      </c>
      <c r="B13380" t="s">
        <v>1049</v>
      </c>
      <c r="C13380" t="s">
        <v>16513</v>
      </c>
      <c r="D13380" t="s">
        <v>18988</v>
      </c>
      <c r="E13380" t="s">
        <v>30400</v>
      </c>
      <c r="F13380" t="s">
        <v>32606</v>
      </c>
      <c r="G13380" t="s">
        <v>32613</v>
      </c>
      <c r="H13380" t="s">
        <v>32623</v>
      </c>
      <c r="I13380" t="s">
        <v>17648</v>
      </c>
      <c r="J13380" t="s">
        <v>40320</v>
      </c>
      <c r="K13380" t="s">
        <v>42725</v>
      </c>
      <c r="M13380" t="s">
        <v>44002</v>
      </c>
      <c r="N13380" t="s">
        <v>47304</v>
      </c>
      <c r="O13380" t="s">
        <v>47305</v>
      </c>
      <c r="P13380">
        <v>0</v>
      </c>
      <c r="Q13380">
        <v>8</v>
      </c>
      <c r="R13380" t="s">
        <v>47320</v>
      </c>
      <c r="S13380" t="s">
        <v>47917</v>
      </c>
      <c r="T13380" t="s">
        <v>48971</v>
      </c>
      <c r="U13380" t="s">
        <v>60604</v>
      </c>
      <c r="V13380" t="s">
        <v>62721</v>
      </c>
      <c r="W13380" t="s">
        <v>64460</v>
      </c>
      <c r="X13380" t="s">
        <v>47321</v>
      </c>
    </row>
    <row r="13381" spans="1:24">
      <c r="A13381">
        <f>HYPERLINK("https://www.philgeps.gov.ph/GEPSNONPILOT/Tender/SplashBidNoticeAbstractUI.aspx?menuIndex=3&amp;refID=7170302&amp;Result=3","7170302")</f>
        <v>0</v>
      </c>
      <c r="B13381" t="s">
        <v>3614</v>
      </c>
      <c r="C13381" t="s">
        <v>7197</v>
      </c>
      <c r="D13381" t="s">
        <v>19056</v>
      </c>
      <c r="E13381" t="s">
        <v>30401</v>
      </c>
      <c r="F13381" t="s">
        <v>32606</v>
      </c>
      <c r="G13381" t="s">
        <v>32614</v>
      </c>
      <c r="H13381" t="s">
        <v>14201</v>
      </c>
      <c r="I13381" t="s">
        <v>32724</v>
      </c>
      <c r="J13381" t="s">
        <v>41037</v>
      </c>
      <c r="K13381" t="s">
        <v>42684</v>
      </c>
      <c r="M13381" t="s">
        <v>46908</v>
      </c>
      <c r="N13381" t="s">
        <v>47304</v>
      </c>
      <c r="O13381" t="s">
        <v>47305</v>
      </c>
      <c r="Q13381">
        <v>2</v>
      </c>
      <c r="R13381" t="s">
        <v>47320</v>
      </c>
      <c r="S13381" t="s">
        <v>48026</v>
      </c>
      <c r="T13381" t="s">
        <v>49315</v>
      </c>
      <c r="U13381" t="s">
        <v>60605</v>
      </c>
      <c r="W13381" t="s">
        <v>46908</v>
      </c>
      <c r="X13381" t="s">
        <v>47321</v>
      </c>
    </row>
    <row r="13382" spans="1:24">
      <c r="A13382">
        <f>HYPERLINK("https://www.philgeps.gov.ph/GEPSNONPILOT/Tender/SplashBidNoticeAbstractUI.aspx?menuIndex=3&amp;refID=7170274&amp;Result=3","7170274")</f>
        <v>0</v>
      </c>
      <c r="B13382" t="s">
        <v>3614</v>
      </c>
      <c r="C13382" t="s">
        <v>7197</v>
      </c>
      <c r="D13382" t="s">
        <v>19056</v>
      </c>
      <c r="E13382" t="s">
        <v>30402</v>
      </c>
      <c r="F13382" t="s">
        <v>32606</v>
      </c>
      <c r="G13382" t="s">
        <v>32614</v>
      </c>
      <c r="H13382" t="s">
        <v>14201</v>
      </c>
      <c r="I13382" t="s">
        <v>32724</v>
      </c>
      <c r="J13382" t="s">
        <v>41038</v>
      </c>
      <c r="K13382" t="s">
        <v>42681</v>
      </c>
      <c r="M13382" t="s">
        <v>46908</v>
      </c>
      <c r="N13382" t="s">
        <v>47304</v>
      </c>
      <c r="O13382" t="s">
        <v>47305</v>
      </c>
      <c r="Q13382">
        <v>2</v>
      </c>
      <c r="R13382" t="s">
        <v>47320</v>
      </c>
      <c r="S13382" t="s">
        <v>47477</v>
      </c>
      <c r="T13382" t="s">
        <v>49315</v>
      </c>
      <c r="U13382" t="s">
        <v>60606</v>
      </c>
      <c r="W13382" t="s">
        <v>46908</v>
      </c>
      <c r="X13382" t="s">
        <v>47321</v>
      </c>
    </row>
    <row r="13383" spans="1:24">
      <c r="A13383">
        <f>HYPERLINK("https://www.philgeps.gov.ph/GEPSNONPILOT/Tender/SplashBidNoticeAbstractUI.aspx?menuIndex=3&amp;refID=7170270&amp;Result=3","7170270")</f>
        <v>0</v>
      </c>
      <c r="B13383" t="s">
        <v>1058</v>
      </c>
      <c r="C13383" t="s">
        <v>16514</v>
      </c>
      <c r="D13383" t="s">
        <v>19039</v>
      </c>
      <c r="E13383" t="s">
        <v>30403</v>
      </c>
      <c r="F13383" t="s">
        <v>32606</v>
      </c>
      <c r="G13383" t="s">
        <v>32613</v>
      </c>
      <c r="H13383" t="s">
        <v>32623</v>
      </c>
      <c r="I13383" t="s">
        <v>17648</v>
      </c>
      <c r="J13383" t="s">
        <v>41039</v>
      </c>
      <c r="K13383" t="s">
        <v>42648</v>
      </c>
      <c r="M13383" t="s">
        <v>44011</v>
      </c>
      <c r="N13383" t="s">
        <v>47304</v>
      </c>
      <c r="O13383" t="s">
        <v>47305</v>
      </c>
      <c r="P13383">
        <v>0</v>
      </c>
      <c r="Q13383">
        <v>1</v>
      </c>
      <c r="R13383" t="s">
        <v>47320</v>
      </c>
      <c r="S13383" t="s">
        <v>47917</v>
      </c>
      <c r="T13383" t="s">
        <v>49081</v>
      </c>
      <c r="U13383" t="s">
        <v>51686</v>
      </c>
      <c r="W13383" t="s">
        <v>44011</v>
      </c>
      <c r="X13383" t="s">
        <v>47321</v>
      </c>
    </row>
    <row r="13384" spans="1:24">
      <c r="A13384">
        <f>HYPERLINK("https://www.philgeps.gov.ph/GEPSNONPILOT/Tender/SplashBidNoticeAbstractUI.aspx?menuIndex=3&amp;refID=7170263&amp;Result=3","7170263")</f>
        <v>0</v>
      </c>
      <c r="B13384" t="s">
        <v>178</v>
      </c>
      <c r="C13384" t="s">
        <v>16515</v>
      </c>
      <c r="D13384" t="s">
        <v>18993</v>
      </c>
      <c r="E13384" t="s">
        <v>30404</v>
      </c>
      <c r="F13384" t="s">
        <v>32606</v>
      </c>
      <c r="G13384" t="s">
        <v>32613</v>
      </c>
      <c r="H13384" t="s">
        <v>14201</v>
      </c>
      <c r="I13384" t="s">
        <v>32662</v>
      </c>
      <c r="J13384" t="s">
        <v>32830</v>
      </c>
      <c r="K13384" t="s">
        <v>42631</v>
      </c>
      <c r="M13384" t="s">
        <v>43079</v>
      </c>
      <c r="N13384" t="s">
        <v>47304</v>
      </c>
      <c r="O13384" t="s">
        <v>47305</v>
      </c>
      <c r="Q13384">
        <v>25</v>
      </c>
      <c r="R13384" t="s">
        <v>47320</v>
      </c>
      <c r="S13384" t="s">
        <v>48027</v>
      </c>
      <c r="T13384" t="s">
        <v>48987</v>
      </c>
      <c r="U13384" t="s">
        <v>60607</v>
      </c>
      <c r="W13384" t="s">
        <v>43079</v>
      </c>
      <c r="X13384" t="s">
        <v>47321</v>
      </c>
    </row>
    <row r="13385" spans="1:24">
      <c r="A13385">
        <f>HYPERLINK("https://www.philgeps.gov.ph/GEPSNONPILOT/Tender/SplashBidNoticeAbstractUI.aspx?menuIndex=3&amp;refID=7172469&amp;Result=3","7172469")</f>
        <v>0</v>
      </c>
      <c r="B13385" t="s">
        <v>2964</v>
      </c>
      <c r="C13385" t="s">
        <v>16516</v>
      </c>
      <c r="D13385" t="s">
        <v>19034</v>
      </c>
      <c r="E13385" t="s">
        <v>30405</v>
      </c>
      <c r="F13385" t="s">
        <v>32606</v>
      </c>
      <c r="G13385" t="s">
        <v>32614</v>
      </c>
      <c r="H13385" t="s">
        <v>14201</v>
      </c>
      <c r="I13385" t="s">
        <v>6931</v>
      </c>
      <c r="J13385" t="s">
        <v>41040</v>
      </c>
      <c r="K13385" t="s">
        <v>42622</v>
      </c>
      <c r="M13385" t="s">
        <v>46149</v>
      </c>
      <c r="N13385" t="s">
        <v>47304</v>
      </c>
      <c r="O13385" t="s">
        <v>47305</v>
      </c>
      <c r="P13385">
        <v>0</v>
      </c>
      <c r="Q13385">
        <v>0</v>
      </c>
      <c r="R13385" t="s">
        <v>47319</v>
      </c>
      <c r="S13385" t="s">
        <v>47813</v>
      </c>
      <c r="T13385" t="s">
        <v>49373</v>
      </c>
      <c r="U13385" t="s">
        <v>60050</v>
      </c>
      <c r="W13385" t="s">
        <v>46149</v>
      </c>
      <c r="X13385" t="s">
        <v>47320</v>
      </c>
    </row>
    <row r="13386" spans="1:24">
      <c r="A13386">
        <f>HYPERLINK("https://www.philgeps.gov.ph/GEPSNONPILOT/Tender/SplashBidNoticeAbstractUI.aspx?menuIndex=3&amp;refID=7170252&amp;Result=3","7170252")</f>
        <v>0</v>
      </c>
      <c r="B13386" t="s">
        <v>48</v>
      </c>
      <c r="C13386" t="s">
        <v>16517</v>
      </c>
      <c r="D13386" t="s">
        <v>19003</v>
      </c>
      <c r="E13386" t="s">
        <v>30406</v>
      </c>
      <c r="F13386" t="s">
        <v>32606</v>
      </c>
      <c r="G13386" t="s">
        <v>32618</v>
      </c>
      <c r="H13386" t="s">
        <v>32623</v>
      </c>
      <c r="I13386" t="s">
        <v>17648</v>
      </c>
      <c r="J13386" t="s">
        <v>40814</v>
      </c>
      <c r="K13386" t="s">
        <v>42624</v>
      </c>
      <c r="L13386" t="s">
        <v>48</v>
      </c>
      <c r="M13386" t="s">
        <v>42945</v>
      </c>
      <c r="N13386" t="s">
        <v>47304</v>
      </c>
      <c r="O13386" t="s">
        <v>47305</v>
      </c>
      <c r="Q13386">
        <v>6</v>
      </c>
      <c r="R13386" t="s">
        <v>47320</v>
      </c>
      <c r="S13386" t="s">
        <v>48028</v>
      </c>
      <c r="T13386" t="s">
        <v>48987</v>
      </c>
      <c r="U13386" t="s">
        <v>60608</v>
      </c>
      <c r="W13386" t="s">
        <v>42945</v>
      </c>
      <c r="X13386" t="s">
        <v>47321</v>
      </c>
    </row>
    <row r="13387" spans="1:24">
      <c r="A13387">
        <f>HYPERLINK("https://www.philgeps.gov.ph/GEPSNONPILOT/Tender/SplashBidNoticeAbstractUI.aspx?menuIndex=3&amp;refID=7170251&amp;Result=3","7170251")</f>
        <v>0</v>
      </c>
      <c r="B13387" t="s">
        <v>3632</v>
      </c>
      <c r="C13387" t="s">
        <v>16518</v>
      </c>
      <c r="D13387" t="s">
        <v>19000</v>
      </c>
      <c r="E13387" t="s">
        <v>30407</v>
      </c>
      <c r="F13387" t="s">
        <v>32606</v>
      </c>
      <c r="G13387" t="s">
        <v>32613</v>
      </c>
      <c r="H13387" t="s">
        <v>32623</v>
      </c>
      <c r="I13387" t="s">
        <v>32661</v>
      </c>
      <c r="J13387" t="s">
        <v>35368</v>
      </c>
      <c r="K13387" t="s">
        <v>42828</v>
      </c>
      <c r="M13387" t="s">
        <v>46930</v>
      </c>
      <c r="N13387" t="s">
        <v>47304</v>
      </c>
      <c r="O13387" t="s">
        <v>47305</v>
      </c>
      <c r="P13387">
        <v>0</v>
      </c>
      <c r="Q13387">
        <v>2</v>
      </c>
      <c r="R13387" t="s">
        <v>47320</v>
      </c>
      <c r="S13387" t="s">
        <v>47917</v>
      </c>
      <c r="T13387" t="s">
        <v>48987</v>
      </c>
      <c r="U13387" t="s">
        <v>60609</v>
      </c>
      <c r="W13387" t="s">
        <v>46930</v>
      </c>
      <c r="X13387" t="s">
        <v>47321</v>
      </c>
    </row>
    <row r="13388" spans="1:24">
      <c r="A13388">
        <f>HYPERLINK("https://www.philgeps.gov.ph/GEPSNONPILOT/Tender/SplashBidNoticeAbstractUI.aspx?menuIndex=3&amp;refID=7170248&amp;Result=3","7170248")</f>
        <v>0</v>
      </c>
      <c r="B13388" t="s">
        <v>1058</v>
      </c>
      <c r="C13388" t="s">
        <v>16519</v>
      </c>
      <c r="D13388" t="s">
        <v>19039</v>
      </c>
      <c r="E13388" t="s">
        <v>30408</v>
      </c>
      <c r="F13388" t="s">
        <v>32606</v>
      </c>
      <c r="G13388" t="s">
        <v>32613</v>
      </c>
      <c r="H13388" t="s">
        <v>14201</v>
      </c>
      <c r="I13388" t="s">
        <v>32633</v>
      </c>
      <c r="J13388" t="s">
        <v>41041</v>
      </c>
      <c r="K13388" t="s">
        <v>42648</v>
      </c>
      <c r="M13388" t="s">
        <v>44011</v>
      </c>
      <c r="N13388" t="s">
        <v>47304</v>
      </c>
      <c r="O13388" t="s">
        <v>47305</v>
      </c>
      <c r="Q13388">
        <v>13</v>
      </c>
      <c r="R13388" t="s">
        <v>47320</v>
      </c>
      <c r="S13388" t="s">
        <v>48029</v>
      </c>
      <c r="T13388" t="s">
        <v>49023</v>
      </c>
      <c r="U13388" t="s">
        <v>51723</v>
      </c>
      <c r="W13388" t="s">
        <v>44011</v>
      </c>
      <c r="X13388" t="s">
        <v>47321</v>
      </c>
    </row>
    <row r="13389" spans="1:24">
      <c r="A13389">
        <f>HYPERLINK("https://www.philgeps.gov.ph/GEPSNONPILOT/Tender/SplashBidNoticeAbstractUI.aspx?menuIndex=3&amp;refID=7170297&amp;Result=3","7170297")</f>
        <v>0</v>
      </c>
      <c r="B13389" t="s">
        <v>718</v>
      </c>
      <c r="C13389" t="s">
        <v>16520</v>
      </c>
      <c r="D13389" t="s">
        <v>19037</v>
      </c>
      <c r="E13389" t="s">
        <v>30409</v>
      </c>
      <c r="F13389" t="s">
        <v>32606</v>
      </c>
      <c r="G13389" t="s">
        <v>32613</v>
      </c>
      <c r="H13389" t="s">
        <v>14201</v>
      </c>
      <c r="I13389" t="s">
        <v>32696</v>
      </c>
      <c r="J13389" t="s">
        <v>41042</v>
      </c>
      <c r="K13389" t="s">
        <v>42623</v>
      </c>
      <c r="M13389" t="s">
        <v>46729</v>
      </c>
      <c r="N13389" t="s">
        <v>47304</v>
      </c>
      <c r="O13389" t="s">
        <v>47305</v>
      </c>
      <c r="P13389">
        <v>0</v>
      </c>
      <c r="Q13389">
        <v>3</v>
      </c>
      <c r="R13389" t="s">
        <v>47320</v>
      </c>
      <c r="S13389" t="s">
        <v>47917</v>
      </c>
      <c r="T13389" t="s">
        <v>48988</v>
      </c>
      <c r="U13389" t="s">
        <v>60610</v>
      </c>
      <c r="W13389" t="s">
        <v>46729</v>
      </c>
      <c r="X13389" t="s">
        <v>47321</v>
      </c>
    </row>
    <row r="13390" spans="1:24">
      <c r="A13390">
        <f>HYPERLINK("https://www.philgeps.gov.ph/GEPSNONPILOT/Tender/SplashBidNoticeAbstractUI.aspx?menuIndex=3&amp;refID=7170354&amp;Result=3","7170354")</f>
        <v>0</v>
      </c>
      <c r="B13390" t="s">
        <v>3633</v>
      </c>
      <c r="C13390" t="s">
        <v>16521</v>
      </c>
      <c r="D13390" t="s">
        <v>18992</v>
      </c>
      <c r="E13390" t="s">
        <v>30410</v>
      </c>
      <c r="F13390" t="s">
        <v>32606</v>
      </c>
      <c r="G13390" t="s">
        <v>32613</v>
      </c>
      <c r="H13390" t="s">
        <v>14201</v>
      </c>
      <c r="I13390" t="s">
        <v>32698</v>
      </c>
      <c r="J13390" t="s">
        <v>33113</v>
      </c>
      <c r="K13390" t="s">
        <v>42631</v>
      </c>
      <c r="M13390" t="s">
        <v>46931</v>
      </c>
      <c r="N13390" t="s">
        <v>47304</v>
      </c>
      <c r="O13390" t="s">
        <v>47305</v>
      </c>
      <c r="Q13390">
        <v>1</v>
      </c>
      <c r="R13390" t="s">
        <v>47320</v>
      </c>
      <c r="S13390" t="s">
        <v>47588</v>
      </c>
      <c r="T13390" t="s">
        <v>49240</v>
      </c>
      <c r="U13390" t="s">
        <v>60611</v>
      </c>
      <c r="W13390" t="s">
        <v>46931</v>
      </c>
      <c r="X13390" t="s">
        <v>47321</v>
      </c>
    </row>
    <row r="13391" spans="1:24">
      <c r="A13391">
        <f>HYPERLINK("https://www.philgeps.gov.ph/GEPSNONPILOT/Tender/SplashBidNoticeAbstractUI.aspx?menuIndex=3&amp;refID=7170376&amp;Result=3","7170376")</f>
        <v>0</v>
      </c>
      <c r="B13391" t="s">
        <v>2366</v>
      </c>
      <c r="C13391" t="s">
        <v>16522</v>
      </c>
      <c r="E13391" t="s">
        <v>30411</v>
      </c>
      <c r="F13391" t="s">
        <v>32606</v>
      </c>
      <c r="G13391" t="s">
        <v>32613</v>
      </c>
      <c r="H13391" t="s">
        <v>32623</v>
      </c>
      <c r="I13391" t="s">
        <v>17648</v>
      </c>
      <c r="J13391" t="s">
        <v>41043</v>
      </c>
      <c r="K13391" t="s">
        <v>42624</v>
      </c>
      <c r="M13391" t="s">
        <v>45480</v>
      </c>
      <c r="N13391" t="s">
        <v>47304</v>
      </c>
      <c r="O13391" t="s">
        <v>47305</v>
      </c>
      <c r="P13391">
        <v>0</v>
      </c>
      <c r="Q13391">
        <v>0</v>
      </c>
      <c r="R13391" t="s">
        <v>47320</v>
      </c>
      <c r="S13391" t="s">
        <v>47917</v>
      </c>
      <c r="T13391" t="s">
        <v>48996</v>
      </c>
      <c r="U13391" t="s">
        <v>60612</v>
      </c>
      <c r="W13391" t="s">
        <v>45480</v>
      </c>
      <c r="X13391" t="s">
        <v>47321</v>
      </c>
    </row>
    <row r="13392" spans="1:24">
      <c r="A13392">
        <f>HYPERLINK("https://www.philgeps.gov.ph/GEPSNONPILOT/Tender/SplashBidNoticeAbstractUI.aspx?menuIndex=3&amp;refID=7172583&amp;Result=3","7172583")</f>
        <v>0</v>
      </c>
      <c r="B13392" t="s">
        <v>425</v>
      </c>
      <c r="C13392" t="s">
        <v>16523</v>
      </c>
      <c r="D13392" t="s">
        <v>19015</v>
      </c>
      <c r="E13392" t="s">
        <v>30412</v>
      </c>
      <c r="F13392" t="s">
        <v>32606</v>
      </c>
      <c r="G13392" t="s">
        <v>32613</v>
      </c>
      <c r="H13392" t="s">
        <v>14201</v>
      </c>
      <c r="I13392" t="s">
        <v>4120</v>
      </c>
      <c r="J13392" t="s">
        <v>41044</v>
      </c>
      <c r="K13392" t="s">
        <v>42631</v>
      </c>
      <c r="M13392" t="s">
        <v>43329</v>
      </c>
      <c r="N13392" t="s">
        <v>47304</v>
      </c>
      <c r="O13392" t="s">
        <v>47305</v>
      </c>
      <c r="P13392">
        <v>0</v>
      </c>
      <c r="Q13392">
        <v>12</v>
      </c>
      <c r="R13392" t="s">
        <v>47319</v>
      </c>
      <c r="S13392" t="s">
        <v>47813</v>
      </c>
      <c r="T13392" t="s">
        <v>48987</v>
      </c>
      <c r="U13392" t="s">
        <v>57308</v>
      </c>
      <c r="W13392" t="s">
        <v>64432</v>
      </c>
      <c r="X13392" t="s">
        <v>47320</v>
      </c>
    </row>
    <row r="13393" spans="1:24">
      <c r="A13393">
        <f>HYPERLINK("https://www.philgeps.gov.ph/GEPSNONPILOT/Tender/SplashBidNoticeAbstractUI.aspx?menuIndex=3&amp;refID=7170371&amp;Result=3","7170371")</f>
        <v>0</v>
      </c>
      <c r="B13393" t="s">
        <v>3632</v>
      </c>
      <c r="C13393" t="s">
        <v>6605</v>
      </c>
      <c r="D13393" t="s">
        <v>19000</v>
      </c>
      <c r="E13393" t="s">
        <v>30413</v>
      </c>
      <c r="F13393" t="s">
        <v>32606</v>
      </c>
      <c r="G13393" t="s">
        <v>32613</v>
      </c>
      <c r="H13393" t="s">
        <v>14201</v>
      </c>
      <c r="I13393" t="s">
        <v>7577</v>
      </c>
      <c r="J13393" t="s">
        <v>32821</v>
      </c>
      <c r="K13393" t="s">
        <v>42639</v>
      </c>
      <c r="M13393" t="s">
        <v>46930</v>
      </c>
      <c r="N13393" t="s">
        <v>47304</v>
      </c>
      <c r="O13393" t="s">
        <v>47305</v>
      </c>
      <c r="P13393">
        <v>0</v>
      </c>
      <c r="Q13393">
        <v>5</v>
      </c>
      <c r="R13393" t="s">
        <v>47320</v>
      </c>
      <c r="S13393" t="s">
        <v>47917</v>
      </c>
      <c r="T13393" t="s">
        <v>48987</v>
      </c>
      <c r="U13393" t="s">
        <v>60613</v>
      </c>
      <c r="W13393" t="s">
        <v>46930</v>
      </c>
      <c r="X13393" t="s">
        <v>47321</v>
      </c>
    </row>
    <row r="13394" spans="1:24">
      <c r="A13394">
        <f>HYPERLINK("https://www.philgeps.gov.ph/GEPSNONPILOT/Tender/SplashBidNoticeAbstractUI.aspx?menuIndex=3&amp;refID=7170363&amp;Result=3","7170363")</f>
        <v>0</v>
      </c>
      <c r="B13394" t="s">
        <v>104</v>
      </c>
      <c r="C13394" t="s">
        <v>16524</v>
      </c>
      <c r="D13394" t="s">
        <v>18993</v>
      </c>
      <c r="E13394" t="s">
        <v>30414</v>
      </c>
      <c r="F13394" t="s">
        <v>32606</v>
      </c>
      <c r="G13394" t="s">
        <v>32613</v>
      </c>
      <c r="H13394" t="s">
        <v>32624</v>
      </c>
      <c r="I13394" t="s">
        <v>32640</v>
      </c>
      <c r="J13394" t="s">
        <v>41045</v>
      </c>
      <c r="K13394" t="s">
        <v>42733</v>
      </c>
      <c r="M13394" t="s">
        <v>43002</v>
      </c>
      <c r="N13394" t="s">
        <v>47304</v>
      </c>
      <c r="O13394" t="s">
        <v>47305</v>
      </c>
      <c r="Q13394">
        <v>23</v>
      </c>
      <c r="R13394" t="s">
        <v>47320</v>
      </c>
      <c r="S13394" t="s">
        <v>48030</v>
      </c>
      <c r="T13394" t="s">
        <v>48986</v>
      </c>
      <c r="U13394" t="s">
        <v>60614</v>
      </c>
      <c r="W13394" t="s">
        <v>43002</v>
      </c>
      <c r="X13394" t="s">
        <v>47321</v>
      </c>
    </row>
    <row r="13395" spans="1:24">
      <c r="A13395">
        <f>HYPERLINK("https://www.philgeps.gov.ph/GEPSNONPILOT/Tender/SplashBidNoticeAbstractUI.aspx?menuIndex=3&amp;refID=7170273&amp;Result=3","7170273")</f>
        <v>0</v>
      </c>
      <c r="B13395" t="s">
        <v>765</v>
      </c>
      <c r="C13395" t="s">
        <v>16525</v>
      </c>
      <c r="D13395" t="s">
        <v>19046</v>
      </c>
      <c r="E13395" t="s">
        <v>30415</v>
      </c>
      <c r="F13395" t="s">
        <v>32606</v>
      </c>
      <c r="G13395" t="s">
        <v>32613</v>
      </c>
      <c r="H13395" t="s">
        <v>32623</v>
      </c>
      <c r="I13395" t="s">
        <v>17648</v>
      </c>
      <c r="J13395" t="s">
        <v>32778</v>
      </c>
      <c r="K13395" t="s">
        <v>42682</v>
      </c>
      <c r="M13395" t="s">
        <v>43691</v>
      </c>
      <c r="N13395" t="s">
        <v>47304</v>
      </c>
      <c r="O13395" t="s">
        <v>47305</v>
      </c>
      <c r="P13395">
        <v>0</v>
      </c>
      <c r="Q13395">
        <v>0</v>
      </c>
      <c r="R13395" t="s">
        <v>47320</v>
      </c>
      <c r="S13395" t="s">
        <v>47917</v>
      </c>
      <c r="T13395" t="s">
        <v>49175</v>
      </c>
      <c r="U13395" t="s">
        <v>60615</v>
      </c>
      <c r="W13395" t="s">
        <v>43691</v>
      </c>
      <c r="X13395" t="s">
        <v>47321</v>
      </c>
    </row>
    <row r="13396" spans="1:24">
      <c r="A13396">
        <f>HYPERLINK("https://www.philgeps.gov.ph/GEPSNONPILOT/Tender/SplashBidNoticeAbstractUI.aspx?menuIndex=3&amp;refID=7170258&amp;Result=3","7170258")</f>
        <v>0</v>
      </c>
      <c r="B13396" t="s">
        <v>793</v>
      </c>
      <c r="C13396" t="s">
        <v>16526</v>
      </c>
      <c r="D13396" t="s">
        <v>19014</v>
      </c>
      <c r="E13396" t="s">
        <v>22274</v>
      </c>
      <c r="F13396" t="s">
        <v>32606</v>
      </c>
      <c r="G13396" t="s">
        <v>32613</v>
      </c>
      <c r="H13396" t="s">
        <v>14201</v>
      </c>
      <c r="I13396" t="s">
        <v>32648</v>
      </c>
      <c r="J13396" t="s">
        <v>41046</v>
      </c>
      <c r="K13396" t="s">
        <v>42639</v>
      </c>
      <c r="M13396" t="s">
        <v>43724</v>
      </c>
      <c r="N13396" t="s">
        <v>47304</v>
      </c>
      <c r="O13396" t="s">
        <v>47305</v>
      </c>
      <c r="Q13396">
        <v>21</v>
      </c>
      <c r="R13396" t="s">
        <v>47320</v>
      </c>
      <c r="S13396" t="s">
        <v>48031</v>
      </c>
      <c r="T13396" t="s">
        <v>49065</v>
      </c>
      <c r="U13396" t="s">
        <v>60616</v>
      </c>
      <c r="W13396" t="s">
        <v>43724</v>
      </c>
      <c r="X13396" t="s">
        <v>47321</v>
      </c>
    </row>
    <row r="13397" spans="1:24">
      <c r="A13397">
        <f>HYPERLINK("https://www.philgeps.gov.ph/GEPSNONPILOT/Tender/SplashBidNoticeAbstractUI.aspx?menuIndex=3&amp;refID=7170352&amp;Result=3","7170352")</f>
        <v>0</v>
      </c>
      <c r="B13397" t="s">
        <v>3614</v>
      </c>
      <c r="C13397" t="s">
        <v>7197</v>
      </c>
      <c r="D13397" t="s">
        <v>19056</v>
      </c>
      <c r="E13397" t="s">
        <v>30416</v>
      </c>
      <c r="F13397" t="s">
        <v>32606</v>
      </c>
      <c r="G13397" t="s">
        <v>32614</v>
      </c>
      <c r="H13397" t="s">
        <v>14201</v>
      </c>
      <c r="I13397" t="s">
        <v>32724</v>
      </c>
      <c r="J13397" t="s">
        <v>37054</v>
      </c>
      <c r="K13397" t="s">
        <v>42681</v>
      </c>
      <c r="M13397" t="s">
        <v>46908</v>
      </c>
      <c r="N13397" t="s">
        <v>47304</v>
      </c>
      <c r="O13397" t="s">
        <v>47305</v>
      </c>
      <c r="Q13397">
        <v>2</v>
      </c>
      <c r="R13397" t="s">
        <v>47320</v>
      </c>
      <c r="S13397" t="s">
        <v>47517</v>
      </c>
      <c r="T13397" t="s">
        <v>49315</v>
      </c>
      <c r="U13397" t="s">
        <v>60617</v>
      </c>
      <c r="W13397" t="s">
        <v>46908</v>
      </c>
      <c r="X13397" t="s">
        <v>47321</v>
      </c>
    </row>
    <row r="13398" spans="1:24">
      <c r="A13398">
        <f>HYPERLINK("https://www.philgeps.gov.ph/GEPSNONPILOT/Tender/SplashBidNoticeAbstractUI.aspx?menuIndex=3&amp;refID=7170373&amp;Result=3","7170373")</f>
        <v>0</v>
      </c>
      <c r="B13398" t="s">
        <v>3614</v>
      </c>
      <c r="C13398" t="s">
        <v>7197</v>
      </c>
      <c r="D13398" t="s">
        <v>19056</v>
      </c>
      <c r="E13398" t="s">
        <v>30417</v>
      </c>
      <c r="F13398" t="s">
        <v>32606</v>
      </c>
      <c r="G13398" t="s">
        <v>32614</v>
      </c>
      <c r="H13398" t="s">
        <v>14201</v>
      </c>
      <c r="I13398" t="s">
        <v>32724</v>
      </c>
      <c r="J13398" t="s">
        <v>33840</v>
      </c>
      <c r="K13398" t="s">
        <v>42681</v>
      </c>
      <c r="M13398" t="s">
        <v>46908</v>
      </c>
      <c r="N13398" t="s">
        <v>47304</v>
      </c>
      <c r="O13398" t="s">
        <v>47305</v>
      </c>
      <c r="Q13398">
        <v>2</v>
      </c>
      <c r="R13398" t="s">
        <v>47320</v>
      </c>
      <c r="S13398" t="s">
        <v>48032</v>
      </c>
      <c r="T13398" t="s">
        <v>49315</v>
      </c>
      <c r="U13398" t="s">
        <v>60618</v>
      </c>
      <c r="W13398" t="s">
        <v>46908</v>
      </c>
      <c r="X13398" t="s">
        <v>47321</v>
      </c>
    </row>
    <row r="13399" spans="1:24">
      <c r="A13399">
        <f>HYPERLINK("https://www.philgeps.gov.ph/GEPSNONPILOT/Tender/SplashBidNoticeAbstractUI.aspx?menuIndex=3&amp;refID=7170348&amp;Result=3","7170348")</f>
        <v>0</v>
      </c>
      <c r="B13399" t="s">
        <v>1058</v>
      </c>
      <c r="C13399" t="s">
        <v>16527</v>
      </c>
      <c r="D13399" t="s">
        <v>19039</v>
      </c>
      <c r="E13399" t="s">
        <v>30418</v>
      </c>
      <c r="F13399" t="s">
        <v>32606</v>
      </c>
      <c r="G13399" t="s">
        <v>32613</v>
      </c>
      <c r="H13399" t="s">
        <v>14201</v>
      </c>
      <c r="I13399" t="s">
        <v>7233</v>
      </c>
      <c r="J13399" t="s">
        <v>41047</v>
      </c>
      <c r="K13399" t="s">
        <v>42636</v>
      </c>
      <c r="M13399" t="s">
        <v>44011</v>
      </c>
      <c r="N13399" t="s">
        <v>47304</v>
      </c>
      <c r="O13399" t="s">
        <v>47305</v>
      </c>
      <c r="Q13399">
        <v>1</v>
      </c>
      <c r="R13399" t="s">
        <v>47320</v>
      </c>
      <c r="S13399" t="s">
        <v>48033</v>
      </c>
      <c r="T13399" t="s">
        <v>49023</v>
      </c>
      <c r="U13399" t="s">
        <v>51723</v>
      </c>
      <c r="W13399" t="s">
        <v>44011</v>
      </c>
      <c r="X13399" t="s">
        <v>47321</v>
      </c>
    </row>
    <row r="13400" spans="1:24">
      <c r="A13400">
        <f>HYPERLINK("https://www.philgeps.gov.ph/GEPSNONPILOT/Tender/SplashBidNoticeAbstractUI.aspx?menuIndex=3&amp;refID=7170331&amp;Result=3","7170331")</f>
        <v>0</v>
      </c>
      <c r="B13400" t="s">
        <v>1058</v>
      </c>
      <c r="C13400" t="s">
        <v>16528</v>
      </c>
      <c r="D13400" t="s">
        <v>19039</v>
      </c>
      <c r="E13400" t="s">
        <v>30419</v>
      </c>
      <c r="F13400" t="s">
        <v>32606</v>
      </c>
      <c r="G13400" t="s">
        <v>32613</v>
      </c>
      <c r="H13400" t="s">
        <v>14201</v>
      </c>
      <c r="I13400" t="s">
        <v>32662</v>
      </c>
      <c r="J13400" t="s">
        <v>41048</v>
      </c>
      <c r="K13400" t="s">
        <v>42631</v>
      </c>
      <c r="M13400" t="s">
        <v>44011</v>
      </c>
      <c r="N13400" t="s">
        <v>47304</v>
      </c>
      <c r="O13400" t="s">
        <v>47305</v>
      </c>
      <c r="Q13400">
        <v>18</v>
      </c>
      <c r="R13400" t="s">
        <v>47320</v>
      </c>
      <c r="S13400" t="s">
        <v>48034</v>
      </c>
      <c r="T13400" t="s">
        <v>49023</v>
      </c>
      <c r="U13400" t="s">
        <v>51723</v>
      </c>
      <c r="W13400" t="s">
        <v>44011</v>
      </c>
      <c r="X13400" t="s">
        <v>47321</v>
      </c>
    </row>
    <row r="13401" spans="1:24">
      <c r="A13401">
        <f>HYPERLINK("https://www.philgeps.gov.ph/GEPSNONPILOT/Tender/SplashBidNoticeAbstractUI.aspx?menuIndex=3&amp;refID=7170361&amp;Result=3","7170361")</f>
        <v>0</v>
      </c>
      <c r="B13401" t="s">
        <v>3634</v>
      </c>
      <c r="C13401" t="s">
        <v>16529</v>
      </c>
      <c r="E13401" t="s">
        <v>20525</v>
      </c>
      <c r="F13401" t="s">
        <v>32606</v>
      </c>
      <c r="G13401" t="s">
        <v>32613</v>
      </c>
      <c r="H13401" t="s">
        <v>14201</v>
      </c>
      <c r="I13401" t="s">
        <v>4120</v>
      </c>
      <c r="J13401" t="s">
        <v>41049</v>
      </c>
      <c r="K13401" t="s">
        <v>42624</v>
      </c>
      <c r="M13401" t="s">
        <v>46932</v>
      </c>
      <c r="N13401" t="s">
        <v>47304</v>
      </c>
      <c r="O13401" t="s">
        <v>47305</v>
      </c>
      <c r="Q13401">
        <v>7</v>
      </c>
      <c r="R13401" t="s">
        <v>47320</v>
      </c>
      <c r="S13401" t="s">
        <v>48035</v>
      </c>
      <c r="T13401" t="s">
        <v>49015</v>
      </c>
      <c r="U13401" t="s">
        <v>60619</v>
      </c>
      <c r="W13401" t="s">
        <v>64547</v>
      </c>
      <c r="X13401" t="s">
        <v>47321</v>
      </c>
    </row>
    <row r="13402" spans="1:24">
      <c r="A13402">
        <f>HYPERLINK("https://www.philgeps.gov.ph/GEPSNONPILOT/Tender/SplashBidNoticeAbstractUI.aspx?menuIndex=3&amp;refID=7170322&amp;Result=3","7170322")</f>
        <v>0</v>
      </c>
      <c r="B13402" t="s">
        <v>1058</v>
      </c>
      <c r="C13402" t="s">
        <v>16530</v>
      </c>
      <c r="D13402" t="s">
        <v>19039</v>
      </c>
      <c r="E13402" t="s">
        <v>30420</v>
      </c>
      <c r="F13402" t="s">
        <v>32606</v>
      </c>
      <c r="G13402" t="s">
        <v>32613</v>
      </c>
      <c r="H13402" t="s">
        <v>14201</v>
      </c>
      <c r="I13402" t="s">
        <v>7677</v>
      </c>
      <c r="J13402" t="s">
        <v>41050</v>
      </c>
      <c r="K13402" t="s">
        <v>42623</v>
      </c>
      <c r="M13402" t="s">
        <v>44011</v>
      </c>
      <c r="N13402" t="s">
        <v>47304</v>
      </c>
      <c r="O13402" t="s">
        <v>47305</v>
      </c>
      <c r="Q13402">
        <v>2</v>
      </c>
      <c r="R13402" t="s">
        <v>47320</v>
      </c>
      <c r="S13402" t="s">
        <v>48036</v>
      </c>
      <c r="T13402" t="s">
        <v>49023</v>
      </c>
      <c r="U13402" t="s">
        <v>51723</v>
      </c>
      <c r="W13402" t="s">
        <v>44011</v>
      </c>
      <c r="X13402" t="s">
        <v>47321</v>
      </c>
    </row>
    <row r="13403" spans="1:24">
      <c r="A13403">
        <f>HYPERLINK("https://www.philgeps.gov.ph/GEPSNONPILOT/Tender/SplashBidNoticeAbstractUI.aspx?menuIndex=3&amp;refID=7170382&amp;Result=3","7170382")</f>
        <v>0</v>
      </c>
      <c r="B13403" t="s">
        <v>101</v>
      </c>
      <c r="C13403" t="s">
        <v>16531</v>
      </c>
      <c r="D13403" t="s">
        <v>18993</v>
      </c>
      <c r="E13403" t="s">
        <v>30421</v>
      </c>
      <c r="F13403" t="s">
        <v>32606</v>
      </c>
      <c r="G13403" t="s">
        <v>32613</v>
      </c>
      <c r="H13403" t="s">
        <v>14201</v>
      </c>
      <c r="I13403" t="s">
        <v>32717</v>
      </c>
      <c r="J13403" t="s">
        <v>36034</v>
      </c>
      <c r="K13403" t="s">
        <v>42665</v>
      </c>
      <c r="M13403" t="s">
        <v>46933</v>
      </c>
      <c r="N13403" t="s">
        <v>47304</v>
      </c>
      <c r="O13403" t="s">
        <v>47305</v>
      </c>
      <c r="P13403">
        <v>0</v>
      </c>
      <c r="Q13403">
        <v>8</v>
      </c>
      <c r="R13403" t="s">
        <v>47320</v>
      </c>
      <c r="S13403" t="s">
        <v>47917</v>
      </c>
      <c r="T13403" t="s">
        <v>49160</v>
      </c>
      <c r="U13403" t="s">
        <v>60620</v>
      </c>
      <c r="W13403" t="s">
        <v>46933</v>
      </c>
      <c r="X13403" t="s">
        <v>47321</v>
      </c>
    </row>
    <row r="13404" spans="1:24">
      <c r="A13404">
        <f>HYPERLINK("https://www.philgeps.gov.ph/GEPSNONPILOT/Tender/SplashBidNoticeAbstractUI.aspx?menuIndex=3&amp;refID=7170330&amp;Result=3","7170330")</f>
        <v>0</v>
      </c>
      <c r="B13404" t="s">
        <v>3614</v>
      </c>
      <c r="C13404" t="s">
        <v>7197</v>
      </c>
      <c r="D13404" t="s">
        <v>19056</v>
      </c>
      <c r="E13404" t="s">
        <v>30422</v>
      </c>
      <c r="F13404" t="s">
        <v>32606</v>
      </c>
      <c r="G13404" t="s">
        <v>32614</v>
      </c>
      <c r="H13404" t="s">
        <v>14201</v>
      </c>
      <c r="I13404" t="s">
        <v>32724</v>
      </c>
      <c r="J13404" t="s">
        <v>34550</v>
      </c>
      <c r="K13404" t="s">
        <v>42681</v>
      </c>
      <c r="M13404" t="s">
        <v>46908</v>
      </c>
      <c r="N13404" t="s">
        <v>47304</v>
      </c>
      <c r="O13404" t="s">
        <v>47305</v>
      </c>
      <c r="Q13404">
        <v>2</v>
      </c>
      <c r="R13404" t="s">
        <v>47320</v>
      </c>
      <c r="S13404" t="s">
        <v>48031</v>
      </c>
      <c r="T13404" t="s">
        <v>49315</v>
      </c>
      <c r="U13404" t="s">
        <v>60621</v>
      </c>
      <c r="W13404" t="s">
        <v>46908</v>
      </c>
      <c r="X13404" t="s">
        <v>47321</v>
      </c>
    </row>
    <row r="13405" spans="1:24">
      <c r="A13405">
        <f>HYPERLINK("https://www.philgeps.gov.ph/GEPSNONPILOT/Tender/SplashBidNoticeAbstractUI.aspx?menuIndex=3&amp;refID=7170313&amp;Result=3","7170313")</f>
        <v>0</v>
      </c>
      <c r="B13405" t="s">
        <v>3614</v>
      </c>
      <c r="C13405" t="s">
        <v>7197</v>
      </c>
      <c r="D13405" t="s">
        <v>19056</v>
      </c>
      <c r="E13405" t="s">
        <v>30423</v>
      </c>
      <c r="F13405" t="s">
        <v>32606</v>
      </c>
      <c r="G13405" t="s">
        <v>32614</v>
      </c>
      <c r="H13405" t="s">
        <v>14201</v>
      </c>
      <c r="I13405" t="s">
        <v>32724</v>
      </c>
      <c r="J13405" t="s">
        <v>36229</v>
      </c>
      <c r="K13405" t="s">
        <v>42684</v>
      </c>
      <c r="M13405" t="s">
        <v>46908</v>
      </c>
      <c r="N13405" t="s">
        <v>47304</v>
      </c>
      <c r="O13405" t="s">
        <v>47305</v>
      </c>
      <c r="Q13405">
        <v>2</v>
      </c>
      <c r="R13405" t="s">
        <v>47320</v>
      </c>
      <c r="S13405" t="s">
        <v>48037</v>
      </c>
      <c r="T13405" t="s">
        <v>49315</v>
      </c>
      <c r="U13405" t="s">
        <v>60622</v>
      </c>
      <c r="W13405" t="s">
        <v>46908</v>
      </c>
      <c r="X13405" t="s">
        <v>47321</v>
      </c>
    </row>
    <row r="13406" spans="1:24">
      <c r="A13406">
        <f>HYPERLINK("https://www.philgeps.gov.ph/GEPSNONPILOT/Tender/SplashBidNoticeAbstractUI.aspx?menuIndex=3&amp;refID=7170318&amp;Result=3","7170318")</f>
        <v>0</v>
      </c>
      <c r="B13406" t="s">
        <v>3635</v>
      </c>
      <c r="C13406" t="s">
        <v>16532</v>
      </c>
      <c r="D13406" t="s">
        <v>19024</v>
      </c>
      <c r="E13406" t="s">
        <v>30424</v>
      </c>
      <c r="F13406" t="s">
        <v>32606</v>
      </c>
      <c r="G13406" t="s">
        <v>32613</v>
      </c>
      <c r="H13406" t="s">
        <v>32623</v>
      </c>
      <c r="I13406" t="s">
        <v>17648</v>
      </c>
      <c r="J13406" t="s">
        <v>41051</v>
      </c>
      <c r="K13406" t="s">
        <v>42631</v>
      </c>
      <c r="M13406" t="s">
        <v>46934</v>
      </c>
      <c r="N13406" t="s">
        <v>47304</v>
      </c>
      <c r="O13406" t="s">
        <v>47305</v>
      </c>
      <c r="P13406">
        <v>0</v>
      </c>
      <c r="Q13406">
        <v>0</v>
      </c>
      <c r="R13406" t="s">
        <v>47320</v>
      </c>
      <c r="S13406" t="s">
        <v>47917</v>
      </c>
      <c r="T13406" t="s">
        <v>48986</v>
      </c>
      <c r="U13406" t="s">
        <v>60623</v>
      </c>
      <c r="W13406" t="s">
        <v>46934</v>
      </c>
      <c r="X13406" t="s">
        <v>47321</v>
      </c>
    </row>
    <row r="13407" spans="1:24">
      <c r="A13407">
        <f>HYPERLINK("https://www.philgeps.gov.ph/GEPSNONPILOT/Tender/SplashBidNoticeAbstractUI.aspx?menuIndex=3&amp;refID=7170314&amp;Result=3","7170314")</f>
        <v>0</v>
      </c>
      <c r="B13407" t="s">
        <v>3633</v>
      </c>
      <c r="C13407" t="s">
        <v>16533</v>
      </c>
      <c r="D13407" t="s">
        <v>18992</v>
      </c>
      <c r="E13407" t="s">
        <v>30410</v>
      </c>
      <c r="F13407" t="s">
        <v>32606</v>
      </c>
      <c r="G13407" t="s">
        <v>32613</v>
      </c>
      <c r="H13407" t="s">
        <v>14201</v>
      </c>
      <c r="I13407" t="s">
        <v>6298</v>
      </c>
      <c r="J13407" t="s">
        <v>33941</v>
      </c>
      <c r="K13407" t="s">
        <v>42631</v>
      </c>
      <c r="M13407" t="s">
        <v>46931</v>
      </c>
      <c r="N13407" t="s">
        <v>47304</v>
      </c>
      <c r="O13407" t="s">
        <v>47305</v>
      </c>
      <c r="P13407">
        <v>0</v>
      </c>
      <c r="Q13407">
        <v>3</v>
      </c>
      <c r="R13407" t="s">
        <v>47320</v>
      </c>
      <c r="S13407" t="s">
        <v>47917</v>
      </c>
      <c r="T13407" t="s">
        <v>49487</v>
      </c>
      <c r="U13407" t="s">
        <v>60624</v>
      </c>
      <c r="W13407" t="s">
        <v>46931</v>
      </c>
      <c r="X13407" t="s">
        <v>47321</v>
      </c>
    </row>
    <row r="13408" spans="1:24">
      <c r="A13408">
        <f>HYPERLINK("https://www.philgeps.gov.ph/GEPSNONPILOT/Tender/SplashBidNoticeAbstractUI.aspx?menuIndex=3&amp;refID=7170421&amp;Result=3","7170421")</f>
        <v>0</v>
      </c>
      <c r="B13408" t="s">
        <v>985</v>
      </c>
      <c r="C13408" t="s">
        <v>16534</v>
      </c>
      <c r="D13408" t="s">
        <v>19034</v>
      </c>
      <c r="E13408" t="s">
        <v>30425</v>
      </c>
      <c r="F13408" t="s">
        <v>32606</v>
      </c>
      <c r="G13408" t="s">
        <v>32613</v>
      </c>
      <c r="H13408" t="s">
        <v>32623</v>
      </c>
      <c r="I13408" t="s">
        <v>17648</v>
      </c>
      <c r="J13408" t="s">
        <v>41052</v>
      </c>
      <c r="K13408" t="s">
        <v>42636</v>
      </c>
      <c r="M13408" t="s">
        <v>46845</v>
      </c>
      <c r="N13408" t="s">
        <v>47304</v>
      </c>
      <c r="O13408" t="s">
        <v>47305</v>
      </c>
      <c r="Q13408">
        <v>70</v>
      </c>
      <c r="R13408" t="s">
        <v>47320</v>
      </c>
      <c r="S13408" t="s">
        <v>48038</v>
      </c>
      <c r="T13408" t="s">
        <v>48979</v>
      </c>
      <c r="U13408" t="s">
        <v>60625</v>
      </c>
      <c r="W13408" t="s">
        <v>46845</v>
      </c>
      <c r="X13408" t="s">
        <v>47321</v>
      </c>
    </row>
    <row r="13409" spans="1:24">
      <c r="A13409">
        <f>HYPERLINK("https://www.philgeps.gov.ph/GEPSNONPILOT/Tender/SplashBidNoticeAbstractUI.aspx?menuIndex=3&amp;refID=7170419&amp;Result=3","7170419")</f>
        <v>0</v>
      </c>
      <c r="B13409" t="s">
        <v>985</v>
      </c>
      <c r="C13409" t="s">
        <v>16535</v>
      </c>
      <c r="D13409" t="s">
        <v>19034</v>
      </c>
      <c r="E13409" t="s">
        <v>30426</v>
      </c>
      <c r="F13409" t="s">
        <v>32606</v>
      </c>
      <c r="G13409" t="s">
        <v>32613</v>
      </c>
      <c r="H13409" t="s">
        <v>32623</v>
      </c>
      <c r="I13409" t="s">
        <v>17648</v>
      </c>
      <c r="J13409" t="s">
        <v>41053</v>
      </c>
      <c r="K13409" t="s">
        <v>42778</v>
      </c>
      <c r="M13409" t="s">
        <v>46845</v>
      </c>
      <c r="N13409" t="s">
        <v>47304</v>
      </c>
      <c r="O13409" t="s">
        <v>47305</v>
      </c>
      <c r="Q13409">
        <v>72</v>
      </c>
      <c r="R13409" t="s">
        <v>47320</v>
      </c>
      <c r="S13409" t="s">
        <v>48039</v>
      </c>
      <c r="T13409" t="s">
        <v>48979</v>
      </c>
      <c r="U13409" t="s">
        <v>60626</v>
      </c>
      <c r="W13409" t="s">
        <v>46845</v>
      </c>
      <c r="X13409" t="s">
        <v>47321</v>
      </c>
    </row>
    <row r="13410" spans="1:24">
      <c r="A13410">
        <f>HYPERLINK("https://www.philgeps.gov.ph/GEPSNONPILOT/Tender/SplashBidNoticeAbstractUI.aspx?menuIndex=3&amp;refID=7170350&amp;Result=3","7170350")</f>
        <v>0</v>
      </c>
      <c r="B13410" t="s">
        <v>1088</v>
      </c>
      <c r="C13410" t="s">
        <v>16536</v>
      </c>
      <c r="D13410" t="s">
        <v>19006</v>
      </c>
      <c r="E13410" t="s">
        <v>30427</v>
      </c>
      <c r="F13410" t="s">
        <v>32606</v>
      </c>
      <c r="G13410" t="s">
        <v>32613</v>
      </c>
      <c r="H13410" t="s">
        <v>32623</v>
      </c>
      <c r="I13410" t="s">
        <v>17648</v>
      </c>
      <c r="J13410" t="s">
        <v>41054</v>
      </c>
      <c r="K13410" t="s">
        <v>42712</v>
      </c>
      <c r="M13410" t="s">
        <v>46199</v>
      </c>
      <c r="N13410" t="s">
        <v>47304</v>
      </c>
      <c r="O13410" t="s">
        <v>47305</v>
      </c>
      <c r="P13410">
        <v>0</v>
      </c>
      <c r="Q13410">
        <v>3</v>
      </c>
      <c r="R13410" t="s">
        <v>47320</v>
      </c>
      <c r="S13410" t="s">
        <v>47917</v>
      </c>
      <c r="T13410" t="s">
        <v>49002</v>
      </c>
      <c r="U13410" t="s">
        <v>60627</v>
      </c>
      <c r="W13410" t="s">
        <v>46199</v>
      </c>
      <c r="X13410" t="s">
        <v>47321</v>
      </c>
    </row>
    <row r="13411" spans="1:24">
      <c r="A13411">
        <f>HYPERLINK("https://www.philgeps.gov.ph/GEPSNONPILOT/Tender/SplashBidNoticeAbstractUI.aspx?menuIndex=3&amp;refID=7170415&amp;Result=3","7170415")</f>
        <v>0</v>
      </c>
      <c r="B13411" t="s">
        <v>985</v>
      </c>
      <c r="C13411" t="s">
        <v>16537</v>
      </c>
      <c r="D13411" t="s">
        <v>19034</v>
      </c>
      <c r="E13411" t="s">
        <v>30428</v>
      </c>
      <c r="F13411" t="s">
        <v>32606</v>
      </c>
      <c r="G13411" t="s">
        <v>32613</v>
      </c>
      <c r="H13411" t="s">
        <v>32623</v>
      </c>
      <c r="I13411" t="s">
        <v>17648</v>
      </c>
      <c r="J13411" t="s">
        <v>32821</v>
      </c>
      <c r="K13411" t="s">
        <v>42872</v>
      </c>
      <c r="M13411" t="s">
        <v>46845</v>
      </c>
      <c r="N13411" t="s">
        <v>47304</v>
      </c>
      <c r="O13411" t="s">
        <v>47305</v>
      </c>
      <c r="Q13411">
        <v>73</v>
      </c>
      <c r="R13411" t="s">
        <v>47320</v>
      </c>
      <c r="S13411" t="s">
        <v>48040</v>
      </c>
      <c r="T13411" t="s">
        <v>48979</v>
      </c>
      <c r="U13411" t="s">
        <v>60628</v>
      </c>
      <c r="W13411" t="s">
        <v>46845</v>
      </c>
      <c r="X13411" t="s">
        <v>47321</v>
      </c>
    </row>
    <row r="13412" spans="1:24">
      <c r="A13412">
        <f>HYPERLINK("https://www.philgeps.gov.ph/GEPSNONPILOT/Tender/SplashBidNoticeAbstractUI.aspx?menuIndex=3&amp;refID=7170422&amp;Result=3","7170422")</f>
        <v>0</v>
      </c>
      <c r="B13412" t="s">
        <v>3169</v>
      </c>
      <c r="C13412" t="s">
        <v>16538</v>
      </c>
      <c r="D13412" t="s">
        <v>19068</v>
      </c>
      <c r="E13412" t="s">
        <v>30429</v>
      </c>
      <c r="F13412" t="s">
        <v>32606</v>
      </c>
      <c r="G13412" t="s">
        <v>32613</v>
      </c>
      <c r="H13412" t="s">
        <v>32623</v>
      </c>
      <c r="I13412" t="s">
        <v>17648</v>
      </c>
      <c r="J13412" t="s">
        <v>41055</v>
      </c>
      <c r="K13412" t="s">
        <v>42641</v>
      </c>
      <c r="M13412" t="s">
        <v>46390</v>
      </c>
      <c r="N13412" t="s">
        <v>47304</v>
      </c>
      <c r="O13412" t="s">
        <v>47305</v>
      </c>
      <c r="P13412">
        <v>0</v>
      </c>
      <c r="Q13412">
        <v>0</v>
      </c>
      <c r="R13412" t="s">
        <v>47320</v>
      </c>
      <c r="S13412" t="s">
        <v>47917</v>
      </c>
      <c r="T13412" t="s">
        <v>48986</v>
      </c>
      <c r="U13412" t="s">
        <v>60629</v>
      </c>
      <c r="W13412" t="s">
        <v>46390</v>
      </c>
      <c r="X13412" t="s">
        <v>47321</v>
      </c>
    </row>
    <row r="13413" spans="1:24">
      <c r="A13413">
        <f>HYPERLINK("https://www.philgeps.gov.ph/GEPSNONPILOT/Tender/SplashBidNoticeAbstractUI.aspx?menuIndex=3&amp;refID=7170411&amp;Result=3","7170411")</f>
        <v>0</v>
      </c>
      <c r="B13413" t="s">
        <v>1644</v>
      </c>
      <c r="C13413" t="s">
        <v>16539</v>
      </c>
      <c r="D13413" t="s">
        <v>19022</v>
      </c>
      <c r="E13413" t="s">
        <v>30430</v>
      </c>
      <c r="F13413" t="s">
        <v>32606</v>
      </c>
      <c r="G13413" t="s">
        <v>32613</v>
      </c>
      <c r="H13413" t="s">
        <v>32623</v>
      </c>
      <c r="I13413" t="s">
        <v>17648</v>
      </c>
      <c r="J13413" t="s">
        <v>32795</v>
      </c>
      <c r="K13413" t="s">
        <v>42719</v>
      </c>
      <c r="M13413" t="s">
        <v>45522</v>
      </c>
      <c r="N13413" t="s">
        <v>47304</v>
      </c>
      <c r="O13413" t="s">
        <v>47305</v>
      </c>
      <c r="P13413">
        <v>0</v>
      </c>
      <c r="Q13413">
        <v>0</v>
      </c>
      <c r="R13413" t="s">
        <v>47320</v>
      </c>
      <c r="S13413" t="s">
        <v>47917</v>
      </c>
      <c r="T13413" t="s">
        <v>48986</v>
      </c>
      <c r="U13413" t="s">
        <v>60630</v>
      </c>
      <c r="W13413" t="s">
        <v>45522</v>
      </c>
      <c r="X13413" t="s">
        <v>47321</v>
      </c>
    </row>
    <row r="13414" spans="1:24">
      <c r="A13414">
        <f>HYPERLINK("https://www.philgeps.gov.ph/GEPSNONPILOT/Tender/SplashBidNoticeAbstractUI.aspx?menuIndex=3&amp;refID=7170408&amp;Result=3","7170408")</f>
        <v>0</v>
      </c>
      <c r="B13414" t="s">
        <v>2366</v>
      </c>
      <c r="C13414" t="s">
        <v>16540</v>
      </c>
      <c r="E13414" t="s">
        <v>30431</v>
      </c>
      <c r="F13414" t="s">
        <v>32606</v>
      </c>
      <c r="G13414" t="s">
        <v>32613</v>
      </c>
      <c r="H13414" t="s">
        <v>32623</v>
      </c>
      <c r="I13414" t="s">
        <v>17648</v>
      </c>
      <c r="J13414" t="s">
        <v>41056</v>
      </c>
      <c r="K13414" t="s">
        <v>42624</v>
      </c>
      <c r="M13414" t="s">
        <v>45480</v>
      </c>
      <c r="N13414" t="s">
        <v>47304</v>
      </c>
      <c r="O13414" t="s">
        <v>47305</v>
      </c>
      <c r="P13414">
        <v>0</v>
      </c>
      <c r="Q13414">
        <v>0</v>
      </c>
      <c r="R13414" t="s">
        <v>47320</v>
      </c>
      <c r="S13414" t="s">
        <v>47917</v>
      </c>
      <c r="T13414" t="s">
        <v>48996</v>
      </c>
      <c r="U13414" t="s">
        <v>60631</v>
      </c>
      <c r="W13414" t="s">
        <v>45480</v>
      </c>
      <c r="X13414" t="s">
        <v>47321</v>
      </c>
    </row>
    <row r="13415" spans="1:24">
      <c r="A13415">
        <f>HYPERLINK("https://www.philgeps.gov.ph/GEPSNONPILOT/Tender/SplashBidNoticeAbstractUI.aspx?menuIndex=3&amp;refID=7170407&amp;Result=3","7170407")</f>
        <v>0</v>
      </c>
      <c r="B13415" t="s">
        <v>985</v>
      </c>
      <c r="C13415" t="s">
        <v>16541</v>
      </c>
      <c r="D13415" t="s">
        <v>19034</v>
      </c>
      <c r="E13415" t="s">
        <v>30432</v>
      </c>
      <c r="F13415" t="s">
        <v>32606</v>
      </c>
      <c r="G13415" t="s">
        <v>32613</v>
      </c>
      <c r="H13415" t="s">
        <v>32623</v>
      </c>
      <c r="I13415" t="s">
        <v>17648</v>
      </c>
      <c r="J13415" t="s">
        <v>41057</v>
      </c>
      <c r="K13415" t="s">
        <v>42700</v>
      </c>
      <c r="M13415" t="s">
        <v>46845</v>
      </c>
      <c r="N13415" t="s">
        <v>47304</v>
      </c>
      <c r="O13415" t="s">
        <v>47305</v>
      </c>
      <c r="Q13415">
        <v>73</v>
      </c>
      <c r="R13415" t="s">
        <v>47320</v>
      </c>
      <c r="S13415" t="s">
        <v>48041</v>
      </c>
      <c r="T13415" t="s">
        <v>48979</v>
      </c>
      <c r="U13415" t="s">
        <v>60632</v>
      </c>
      <c r="W13415" t="s">
        <v>46845</v>
      </c>
      <c r="X13415" t="s">
        <v>47321</v>
      </c>
    </row>
    <row r="13416" spans="1:24">
      <c r="A13416">
        <f>HYPERLINK("https://www.philgeps.gov.ph/GEPSNONPILOT/Tender/SplashBidNoticeAbstractUI.aspx?menuIndex=3&amp;refID=7170364&amp;Result=3","7170364")</f>
        <v>0</v>
      </c>
      <c r="B13416" t="s">
        <v>3614</v>
      </c>
      <c r="C13416" t="s">
        <v>7197</v>
      </c>
      <c r="D13416" t="s">
        <v>19056</v>
      </c>
      <c r="E13416" t="s">
        <v>30433</v>
      </c>
      <c r="F13416" t="s">
        <v>32606</v>
      </c>
      <c r="G13416" t="s">
        <v>32614</v>
      </c>
      <c r="H13416" t="s">
        <v>14201</v>
      </c>
      <c r="I13416" t="s">
        <v>32724</v>
      </c>
      <c r="J13416" t="s">
        <v>41058</v>
      </c>
      <c r="K13416" t="s">
        <v>42684</v>
      </c>
      <c r="M13416" t="s">
        <v>46908</v>
      </c>
      <c r="N13416" t="s">
        <v>47304</v>
      </c>
      <c r="O13416" t="s">
        <v>47305</v>
      </c>
      <c r="Q13416">
        <v>1</v>
      </c>
      <c r="R13416" t="s">
        <v>47320</v>
      </c>
      <c r="S13416" t="s">
        <v>48042</v>
      </c>
      <c r="T13416" t="s">
        <v>49315</v>
      </c>
      <c r="U13416" t="s">
        <v>60633</v>
      </c>
      <c r="W13416" t="s">
        <v>46908</v>
      </c>
      <c r="X13416" t="s">
        <v>47321</v>
      </c>
    </row>
    <row r="13417" spans="1:24">
      <c r="A13417">
        <f>HYPERLINK("https://www.philgeps.gov.ph/GEPSNONPILOT/Tender/SplashBidNoticeAbstractUI.aspx?menuIndex=3&amp;refID=7170404&amp;Result=3","7170404")</f>
        <v>0</v>
      </c>
      <c r="B13417" t="s">
        <v>2366</v>
      </c>
      <c r="C13417" t="s">
        <v>16542</v>
      </c>
      <c r="E13417" t="s">
        <v>30434</v>
      </c>
      <c r="F13417" t="s">
        <v>32606</v>
      </c>
      <c r="G13417" t="s">
        <v>32613</v>
      </c>
      <c r="H13417" t="s">
        <v>32623</v>
      </c>
      <c r="I13417" t="s">
        <v>17648</v>
      </c>
      <c r="J13417" t="s">
        <v>41059</v>
      </c>
      <c r="K13417" t="s">
        <v>42624</v>
      </c>
      <c r="M13417" t="s">
        <v>45480</v>
      </c>
      <c r="N13417" t="s">
        <v>47304</v>
      </c>
      <c r="O13417" t="s">
        <v>47305</v>
      </c>
      <c r="P13417">
        <v>0</v>
      </c>
      <c r="Q13417">
        <v>0</v>
      </c>
      <c r="R13417" t="s">
        <v>47320</v>
      </c>
      <c r="S13417" t="s">
        <v>47917</v>
      </c>
      <c r="T13417" t="s">
        <v>49028</v>
      </c>
      <c r="U13417" t="s">
        <v>60634</v>
      </c>
      <c r="W13417" t="s">
        <v>45480</v>
      </c>
      <c r="X13417" t="s">
        <v>47321</v>
      </c>
    </row>
    <row r="13418" spans="1:24">
      <c r="A13418">
        <f>HYPERLINK("https://www.philgeps.gov.ph/GEPSNONPILOT/Tender/SplashBidNoticeAbstractUI.aspx?menuIndex=3&amp;refID=7170403&amp;Result=3","7170403")</f>
        <v>0</v>
      </c>
      <c r="B13418" t="s">
        <v>1644</v>
      </c>
      <c r="C13418" t="s">
        <v>16543</v>
      </c>
      <c r="D13418" t="s">
        <v>19022</v>
      </c>
      <c r="E13418" t="s">
        <v>30435</v>
      </c>
      <c r="F13418" t="s">
        <v>32606</v>
      </c>
      <c r="G13418" t="s">
        <v>32613</v>
      </c>
      <c r="H13418" t="s">
        <v>32623</v>
      </c>
      <c r="I13418" t="s">
        <v>17648</v>
      </c>
      <c r="J13418" t="s">
        <v>33071</v>
      </c>
      <c r="K13418" t="s">
        <v>42636</v>
      </c>
      <c r="M13418" t="s">
        <v>45522</v>
      </c>
      <c r="N13418" t="s">
        <v>47304</v>
      </c>
      <c r="O13418" t="s">
        <v>47305</v>
      </c>
      <c r="P13418">
        <v>0</v>
      </c>
      <c r="Q13418">
        <v>0</v>
      </c>
      <c r="R13418" t="s">
        <v>47320</v>
      </c>
      <c r="S13418" t="s">
        <v>47917</v>
      </c>
      <c r="T13418" t="s">
        <v>48986</v>
      </c>
      <c r="U13418" t="s">
        <v>60630</v>
      </c>
      <c r="W13418" t="s">
        <v>45522</v>
      </c>
      <c r="X13418" t="s">
        <v>47321</v>
      </c>
    </row>
    <row r="13419" spans="1:24">
      <c r="A13419">
        <f>HYPERLINK("https://www.philgeps.gov.ph/GEPSNONPILOT/Tender/SplashBidNoticeAbstractUI.aspx?menuIndex=3&amp;refID=7170417&amp;Result=3","7170417")</f>
        <v>0</v>
      </c>
      <c r="B13419" t="s">
        <v>2366</v>
      </c>
      <c r="C13419" t="s">
        <v>16544</v>
      </c>
      <c r="E13419" t="s">
        <v>30436</v>
      </c>
      <c r="F13419" t="s">
        <v>32606</v>
      </c>
      <c r="G13419" t="s">
        <v>32613</v>
      </c>
      <c r="H13419" t="s">
        <v>32623</v>
      </c>
      <c r="I13419" t="s">
        <v>17648</v>
      </c>
      <c r="J13419" t="s">
        <v>41060</v>
      </c>
      <c r="K13419" t="s">
        <v>42624</v>
      </c>
      <c r="M13419" t="s">
        <v>45480</v>
      </c>
      <c r="N13419" t="s">
        <v>47304</v>
      </c>
      <c r="O13419" t="s">
        <v>47305</v>
      </c>
      <c r="P13419">
        <v>0</v>
      </c>
      <c r="Q13419">
        <v>0</v>
      </c>
      <c r="R13419" t="s">
        <v>47320</v>
      </c>
      <c r="S13419" t="s">
        <v>47917</v>
      </c>
      <c r="T13419" t="s">
        <v>48996</v>
      </c>
      <c r="U13419" t="s">
        <v>60635</v>
      </c>
      <c r="W13419" t="s">
        <v>45480</v>
      </c>
      <c r="X13419" t="s">
        <v>47321</v>
      </c>
    </row>
    <row r="13420" spans="1:24">
      <c r="A13420">
        <f>HYPERLINK("https://www.philgeps.gov.ph/GEPSNONPILOT/Tender/SplashBidNoticeAbstractUI.aspx?menuIndex=3&amp;refID=7170412&amp;Result=3","7170412")</f>
        <v>0</v>
      </c>
      <c r="B13420" t="s">
        <v>985</v>
      </c>
      <c r="C13420" t="s">
        <v>16545</v>
      </c>
      <c r="D13420" t="s">
        <v>19034</v>
      </c>
      <c r="E13420" t="s">
        <v>30437</v>
      </c>
      <c r="F13420" t="s">
        <v>32606</v>
      </c>
      <c r="G13420" t="s">
        <v>32613</v>
      </c>
      <c r="H13420" t="s">
        <v>32623</v>
      </c>
      <c r="I13420" t="s">
        <v>17648</v>
      </c>
      <c r="J13420" t="s">
        <v>41061</v>
      </c>
      <c r="K13420" t="s">
        <v>42706</v>
      </c>
      <c r="M13420" t="s">
        <v>46845</v>
      </c>
      <c r="N13420" t="s">
        <v>47304</v>
      </c>
      <c r="O13420" t="s">
        <v>47305</v>
      </c>
      <c r="Q13420">
        <v>72</v>
      </c>
      <c r="R13420" t="s">
        <v>47320</v>
      </c>
      <c r="S13420" t="s">
        <v>48043</v>
      </c>
      <c r="T13420" t="s">
        <v>48979</v>
      </c>
      <c r="U13420" t="s">
        <v>60636</v>
      </c>
      <c r="W13420" t="s">
        <v>46845</v>
      </c>
      <c r="X13420" t="s">
        <v>47321</v>
      </c>
    </row>
    <row r="13421" spans="1:24">
      <c r="A13421">
        <f>HYPERLINK("https://www.philgeps.gov.ph/GEPSNONPILOT/Tender/SplashBidNoticeAbstractUI.aspx?menuIndex=3&amp;refID=7170396&amp;Result=3","7170396")</f>
        <v>0</v>
      </c>
      <c r="B13421" t="s">
        <v>3632</v>
      </c>
      <c r="C13421" t="s">
        <v>16546</v>
      </c>
      <c r="D13421" t="s">
        <v>19000</v>
      </c>
      <c r="E13421" t="s">
        <v>30438</v>
      </c>
      <c r="F13421" t="s">
        <v>32606</v>
      </c>
      <c r="G13421" t="s">
        <v>32613</v>
      </c>
      <c r="H13421" t="s">
        <v>14201</v>
      </c>
      <c r="I13421" t="s">
        <v>32658</v>
      </c>
      <c r="J13421" t="s">
        <v>41062</v>
      </c>
      <c r="K13421" t="s">
        <v>42623</v>
      </c>
      <c r="M13421" t="s">
        <v>46930</v>
      </c>
      <c r="N13421" t="s">
        <v>47304</v>
      </c>
      <c r="O13421" t="s">
        <v>47305</v>
      </c>
      <c r="P13421">
        <v>0</v>
      </c>
      <c r="Q13421">
        <v>1</v>
      </c>
      <c r="R13421" t="s">
        <v>47320</v>
      </c>
      <c r="S13421" t="s">
        <v>47917</v>
      </c>
      <c r="T13421" t="s">
        <v>48987</v>
      </c>
      <c r="U13421" t="s">
        <v>60637</v>
      </c>
      <c r="W13421" t="s">
        <v>46930</v>
      </c>
      <c r="X13421" t="s">
        <v>47321</v>
      </c>
    </row>
    <row r="13422" spans="1:24">
      <c r="A13422">
        <f>HYPERLINK("https://www.philgeps.gov.ph/GEPSNONPILOT/Tender/SplashBidNoticeAbstractUI.aspx?menuIndex=3&amp;refID=7170395&amp;Result=3","7170395")</f>
        <v>0</v>
      </c>
      <c r="B13422" t="s">
        <v>2366</v>
      </c>
      <c r="C13422" t="s">
        <v>16547</v>
      </c>
      <c r="E13422" t="s">
        <v>30439</v>
      </c>
      <c r="F13422" t="s">
        <v>32606</v>
      </c>
      <c r="G13422" t="s">
        <v>32613</v>
      </c>
      <c r="H13422" t="s">
        <v>32623</v>
      </c>
      <c r="I13422" t="s">
        <v>17648</v>
      </c>
      <c r="J13422" t="s">
        <v>41063</v>
      </c>
      <c r="K13422" t="s">
        <v>42624</v>
      </c>
      <c r="M13422" t="s">
        <v>45480</v>
      </c>
      <c r="N13422" t="s">
        <v>47304</v>
      </c>
      <c r="O13422" t="s">
        <v>47305</v>
      </c>
      <c r="P13422">
        <v>0</v>
      </c>
      <c r="Q13422">
        <v>0</v>
      </c>
      <c r="R13422" t="s">
        <v>47320</v>
      </c>
      <c r="S13422" t="s">
        <v>47917</v>
      </c>
      <c r="T13422" t="s">
        <v>48996</v>
      </c>
      <c r="U13422" t="s">
        <v>60638</v>
      </c>
      <c r="W13422" t="s">
        <v>45480</v>
      </c>
      <c r="X13422" t="s">
        <v>47321</v>
      </c>
    </row>
    <row r="13423" spans="1:24">
      <c r="A13423">
        <f>HYPERLINK("https://www.philgeps.gov.ph/GEPSNONPILOT/Tender/SplashBidNoticeAbstractUI.aspx?menuIndex=3&amp;refID=7170389&amp;Result=3","7170389")</f>
        <v>0</v>
      </c>
      <c r="B13423" t="s">
        <v>2366</v>
      </c>
      <c r="C13423" t="s">
        <v>16548</v>
      </c>
      <c r="E13423" t="s">
        <v>30440</v>
      </c>
      <c r="F13423" t="s">
        <v>32606</v>
      </c>
      <c r="G13423" t="s">
        <v>32613</v>
      </c>
      <c r="H13423" t="s">
        <v>32623</v>
      </c>
      <c r="I13423" t="s">
        <v>17648</v>
      </c>
      <c r="J13423" t="s">
        <v>41064</v>
      </c>
      <c r="K13423" t="s">
        <v>42624</v>
      </c>
      <c r="M13423" t="s">
        <v>45480</v>
      </c>
      <c r="N13423" t="s">
        <v>47304</v>
      </c>
      <c r="O13423" t="s">
        <v>47305</v>
      </c>
      <c r="P13423">
        <v>0</v>
      </c>
      <c r="Q13423">
        <v>0</v>
      </c>
      <c r="R13423" t="s">
        <v>47320</v>
      </c>
      <c r="S13423" t="s">
        <v>47917</v>
      </c>
      <c r="T13423" t="s">
        <v>48996</v>
      </c>
      <c r="U13423" t="s">
        <v>60639</v>
      </c>
      <c r="W13423" t="s">
        <v>45480</v>
      </c>
      <c r="X13423" t="s">
        <v>47321</v>
      </c>
    </row>
    <row r="13424" spans="1:24">
      <c r="A13424">
        <f>HYPERLINK("https://www.philgeps.gov.ph/GEPSNONPILOT/Tender/SplashBidNoticeAbstractUI.aspx?menuIndex=3&amp;refID=7170392&amp;Result=3","7170392")</f>
        <v>0</v>
      </c>
      <c r="B13424" t="s">
        <v>3169</v>
      </c>
      <c r="C13424" t="s">
        <v>16549</v>
      </c>
      <c r="D13424" t="s">
        <v>19068</v>
      </c>
      <c r="E13424" t="s">
        <v>30441</v>
      </c>
      <c r="F13424" t="s">
        <v>32606</v>
      </c>
      <c r="G13424" t="s">
        <v>32613</v>
      </c>
      <c r="H13424" t="s">
        <v>14201</v>
      </c>
      <c r="I13424" t="s">
        <v>32689</v>
      </c>
      <c r="J13424" t="s">
        <v>33068</v>
      </c>
      <c r="K13424" t="s">
        <v>42623</v>
      </c>
      <c r="M13424" t="s">
        <v>46390</v>
      </c>
      <c r="N13424" t="s">
        <v>47304</v>
      </c>
      <c r="O13424" t="s">
        <v>47305</v>
      </c>
      <c r="P13424">
        <v>0</v>
      </c>
      <c r="Q13424">
        <v>1</v>
      </c>
      <c r="R13424" t="s">
        <v>47320</v>
      </c>
      <c r="S13424" t="s">
        <v>47917</v>
      </c>
      <c r="T13424" t="s">
        <v>48986</v>
      </c>
      <c r="U13424" t="s">
        <v>60640</v>
      </c>
      <c r="W13424" t="s">
        <v>46390</v>
      </c>
      <c r="X13424" t="s">
        <v>47321</v>
      </c>
    </row>
    <row r="13425" spans="1:24">
      <c r="A13425">
        <f>HYPERLINK("https://www.philgeps.gov.ph/GEPSNONPILOT/Tender/SplashBidNoticeAbstractUI.aspx?menuIndex=3&amp;refID=7170381&amp;Result=3","7170381")</f>
        <v>0</v>
      </c>
      <c r="B13425" t="s">
        <v>3614</v>
      </c>
      <c r="C13425" t="s">
        <v>7197</v>
      </c>
      <c r="D13425" t="s">
        <v>19056</v>
      </c>
      <c r="E13425" t="s">
        <v>30442</v>
      </c>
      <c r="F13425" t="s">
        <v>32606</v>
      </c>
      <c r="G13425" t="s">
        <v>32614</v>
      </c>
      <c r="H13425" t="s">
        <v>14201</v>
      </c>
      <c r="I13425" t="s">
        <v>32724</v>
      </c>
      <c r="J13425" t="s">
        <v>41065</v>
      </c>
      <c r="K13425" t="s">
        <v>42684</v>
      </c>
      <c r="M13425" t="s">
        <v>46908</v>
      </c>
      <c r="N13425" t="s">
        <v>47304</v>
      </c>
      <c r="O13425" t="s">
        <v>47305</v>
      </c>
      <c r="Q13425">
        <v>2</v>
      </c>
      <c r="R13425" t="s">
        <v>47320</v>
      </c>
      <c r="S13425" t="s">
        <v>47424</v>
      </c>
      <c r="T13425" t="s">
        <v>49315</v>
      </c>
      <c r="U13425" t="s">
        <v>60641</v>
      </c>
      <c r="W13425" t="s">
        <v>46908</v>
      </c>
      <c r="X13425" t="s">
        <v>47321</v>
      </c>
    </row>
    <row r="13426" spans="1:24">
      <c r="A13426">
        <f>HYPERLINK("https://www.philgeps.gov.ph/GEPSNONPILOT/Tender/SplashBidNoticeAbstractUI.aspx?menuIndex=3&amp;refID=7170308&amp;Result=3","7170308")</f>
        <v>0</v>
      </c>
      <c r="B13426" t="s">
        <v>3635</v>
      </c>
      <c r="C13426" t="s">
        <v>16550</v>
      </c>
      <c r="D13426" t="s">
        <v>19024</v>
      </c>
      <c r="E13426" t="s">
        <v>23192</v>
      </c>
      <c r="F13426" t="s">
        <v>32606</v>
      </c>
      <c r="G13426" t="s">
        <v>32613</v>
      </c>
      <c r="H13426" t="s">
        <v>32623</v>
      </c>
      <c r="I13426" t="s">
        <v>17648</v>
      </c>
      <c r="J13426" t="s">
        <v>32981</v>
      </c>
      <c r="K13426" t="s">
        <v>42622</v>
      </c>
      <c r="M13426" t="s">
        <v>46934</v>
      </c>
      <c r="N13426" t="s">
        <v>47304</v>
      </c>
      <c r="O13426" t="s">
        <v>47305</v>
      </c>
      <c r="P13426">
        <v>0</v>
      </c>
      <c r="Q13426">
        <v>0</v>
      </c>
      <c r="R13426" t="s">
        <v>47320</v>
      </c>
      <c r="S13426" t="s">
        <v>47917</v>
      </c>
      <c r="T13426" t="s">
        <v>48986</v>
      </c>
      <c r="U13426" t="s">
        <v>60642</v>
      </c>
      <c r="W13426" t="s">
        <v>46934</v>
      </c>
      <c r="X13426" t="s">
        <v>47321</v>
      </c>
    </row>
    <row r="13427" spans="1:24">
      <c r="A13427">
        <f>HYPERLINK("https://www.philgeps.gov.ph/GEPSNONPILOT/Tender/SplashBidNoticeAbstractUI.aspx?menuIndex=3&amp;refID=7170401&amp;Result=3","7170401")</f>
        <v>0</v>
      </c>
      <c r="B13427" t="s">
        <v>2366</v>
      </c>
      <c r="C13427" t="s">
        <v>16551</v>
      </c>
      <c r="E13427" t="s">
        <v>30443</v>
      </c>
      <c r="F13427" t="s">
        <v>32606</v>
      </c>
      <c r="G13427" t="s">
        <v>32613</v>
      </c>
      <c r="H13427" t="s">
        <v>32623</v>
      </c>
      <c r="I13427" t="s">
        <v>17648</v>
      </c>
      <c r="J13427" t="s">
        <v>41066</v>
      </c>
      <c r="K13427" t="s">
        <v>42624</v>
      </c>
      <c r="M13427" t="s">
        <v>45480</v>
      </c>
      <c r="N13427" t="s">
        <v>47304</v>
      </c>
      <c r="O13427" t="s">
        <v>47305</v>
      </c>
      <c r="P13427">
        <v>0</v>
      </c>
      <c r="Q13427">
        <v>0</v>
      </c>
      <c r="R13427" t="s">
        <v>47320</v>
      </c>
      <c r="S13427" t="s">
        <v>47917</v>
      </c>
      <c r="T13427" t="s">
        <v>48996</v>
      </c>
      <c r="U13427" t="s">
        <v>60643</v>
      </c>
      <c r="W13427" t="s">
        <v>45480</v>
      </c>
      <c r="X13427" t="s">
        <v>47321</v>
      </c>
    </row>
    <row r="13428" spans="1:24">
      <c r="A13428">
        <f>HYPERLINK("https://www.philgeps.gov.ph/GEPSNONPILOT/Tender/SplashBidNoticeAbstractUI.aspx?menuIndex=3&amp;refID=7170386&amp;Result=3","7170386")</f>
        <v>0</v>
      </c>
      <c r="B13428" t="s">
        <v>2366</v>
      </c>
      <c r="C13428" t="s">
        <v>16552</v>
      </c>
      <c r="E13428" t="s">
        <v>30444</v>
      </c>
      <c r="F13428" t="s">
        <v>32606</v>
      </c>
      <c r="G13428" t="s">
        <v>32613</v>
      </c>
      <c r="H13428" t="s">
        <v>32623</v>
      </c>
      <c r="I13428" t="s">
        <v>17648</v>
      </c>
      <c r="J13428" t="s">
        <v>41067</v>
      </c>
      <c r="K13428" t="s">
        <v>42624</v>
      </c>
      <c r="M13428" t="s">
        <v>45480</v>
      </c>
      <c r="N13428" t="s">
        <v>47304</v>
      </c>
      <c r="O13428" t="s">
        <v>47305</v>
      </c>
      <c r="P13428">
        <v>0</v>
      </c>
      <c r="Q13428">
        <v>0</v>
      </c>
      <c r="R13428" t="s">
        <v>47320</v>
      </c>
      <c r="S13428" t="s">
        <v>47917</v>
      </c>
      <c r="T13428" t="s">
        <v>48996</v>
      </c>
      <c r="U13428" t="s">
        <v>60644</v>
      </c>
      <c r="W13428" t="s">
        <v>45480</v>
      </c>
      <c r="X13428" t="s">
        <v>47321</v>
      </c>
    </row>
    <row r="13429" spans="1:24">
      <c r="A13429">
        <f>HYPERLINK("https://www.philgeps.gov.ph/GEPSNONPILOT/Tender/SplashBidNoticeAbstractUI.aspx?menuIndex=3&amp;refID=7170247&amp;Result=3","7170247")</f>
        <v>0</v>
      </c>
      <c r="B13429" t="s">
        <v>3614</v>
      </c>
      <c r="C13429" t="s">
        <v>7197</v>
      </c>
      <c r="D13429" t="s">
        <v>19056</v>
      </c>
      <c r="E13429" t="s">
        <v>30445</v>
      </c>
      <c r="F13429" t="s">
        <v>32606</v>
      </c>
      <c r="G13429" t="s">
        <v>32614</v>
      </c>
      <c r="H13429" t="s">
        <v>14201</v>
      </c>
      <c r="I13429" t="s">
        <v>32724</v>
      </c>
      <c r="J13429" t="s">
        <v>41068</v>
      </c>
      <c r="K13429" t="s">
        <v>42684</v>
      </c>
      <c r="M13429" t="s">
        <v>46908</v>
      </c>
      <c r="N13429" t="s">
        <v>47304</v>
      </c>
      <c r="O13429" t="s">
        <v>47305</v>
      </c>
      <c r="Q13429">
        <v>2</v>
      </c>
      <c r="R13429" t="s">
        <v>47320</v>
      </c>
      <c r="S13429" t="s">
        <v>48044</v>
      </c>
      <c r="T13429" t="s">
        <v>49315</v>
      </c>
      <c r="U13429" t="s">
        <v>60645</v>
      </c>
      <c r="W13429" t="s">
        <v>46908</v>
      </c>
      <c r="X13429" t="s">
        <v>47321</v>
      </c>
    </row>
    <row r="13430" spans="1:24">
      <c r="A13430">
        <f>HYPERLINK("https://www.philgeps.gov.ph/GEPSNONPILOT/Tender/SplashBidNoticeAbstractUI.aspx?menuIndex=3&amp;refID=7170238&amp;Result=3","7170238")</f>
        <v>0</v>
      </c>
      <c r="B13430" t="s">
        <v>3632</v>
      </c>
      <c r="C13430" t="s">
        <v>16553</v>
      </c>
      <c r="D13430" t="s">
        <v>19000</v>
      </c>
      <c r="E13430" t="s">
        <v>30446</v>
      </c>
      <c r="F13430" t="s">
        <v>32606</v>
      </c>
      <c r="G13430" t="s">
        <v>32613</v>
      </c>
      <c r="H13430" t="s">
        <v>32623</v>
      </c>
      <c r="I13430" t="s">
        <v>17648</v>
      </c>
      <c r="J13430" t="s">
        <v>41069</v>
      </c>
      <c r="K13430" t="s">
        <v>42745</v>
      </c>
      <c r="M13430" t="s">
        <v>46930</v>
      </c>
      <c r="N13430" t="s">
        <v>47304</v>
      </c>
      <c r="O13430" t="s">
        <v>47305</v>
      </c>
      <c r="P13430">
        <v>0</v>
      </c>
      <c r="Q13430">
        <v>1</v>
      </c>
      <c r="R13430" t="s">
        <v>47320</v>
      </c>
      <c r="S13430" t="s">
        <v>47917</v>
      </c>
      <c r="T13430" t="s">
        <v>48987</v>
      </c>
      <c r="U13430" t="s">
        <v>60646</v>
      </c>
      <c r="W13430" t="s">
        <v>46930</v>
      </c>
      <c r="X13430" t="s">
        <v>47321</v>
      </c>
    </row>
    <row r="13431" spans="1:24">
      <c r="A13431">
        <f>HYPERLINK("https://www.philgeps.gov.ph/GEPSNONPILOT/Tender/SplashBidNoticeAbstractUI.aspx?menuIndex=3&amp;refID=7170237&amp;Result=3","7170237")</f>
        <v>0</v>
      </c>
      <c r="B13431" t="s">
        <v>1049</v>
      </c>
      <c r="C13431" t="s">
        <v>16554</v>
      </c>
      <c r="D13431" t="s">
        <v>18988</v>
      </c>
      <c r="E13431" t="s">
        <v>30447</v>
      </c>
      <c r="F13431" t="s">
        <v>32606</v>
      </c>
      <c r="G13431" t="s">
        <v>32613</v>
      </c>
      <c r="H13431" t="s">
        <v>32623</v>
      </c>
      <c r="I13431" t="s">
        <v>17648</v>
      </c>
      <c r="J13431" t="s">
        <v>40320</v>
      </c>
      <c r="K13431" t="s">
        <v>42822</v>
      </c>
      <c r="M13431" t="s">
        <v>44002</v>
      </c>
      <c r="N13431" t="s">
        <v>47304</v>
      </c>
      <c r="O13431" t="s">
        <v>47305</v>
      </c>
      <c r="Q13431">
        <v>8</v>
      </c>
      <c r="R13431" t="s">
        <v>47320</v>
      </c>
      <c r="S13431" t="s">
        <v>48045</v>
      </c>
      <c r="T13431" t="s">
        <v>48971</v>
      </c>
      <c r="U13431" t="s">
        <v>60647</v>
      </c>
      <c r="V13431" t="s">
        <v>62721</v>
      </c>
      <c r="W13431" t="s">
        <v>64460</v>
      </c>
      <c r="X13431" t="s">
        <v>47321</v>
      </c>
    </row>
    <row r="13432" spans="1:24">
      <c r="A13432">
        <f>HYPERLINK("https://www.philgeps.gov.ph/GEPSNONPILOT/Tender/SplashBidNoticeAbstractUI.aspx?menuIndex=3&amp;refID=7170410&amp;Result=3","7170410")</f>
        <v>0</v>
      </c>
      <c r="B13432" t="s">
        <v>985</v>
      </c>
      <c r="C13432" t="s">
        <v>16555</v>
      </c>
      <c r="D13432" t="s">
        <v>19034</v>
      </c>
      <c r="E13432" t="s">
        <v>30448</v>
      </c>
      <c r="F13432" t="s">
        <v>32606</v>
      </c>
      <c r="G13432" t="s">
        <v>32613</v>
      </c>
      <c r="H13432" t="s">
        <v>32623</v>
      </c>
      <c r="I13432" t="s">
        <v>17648</v>
      </c>
      <c r="J13432" t="s">
        <v>41057</v>
      </c>
      <c r="K13432" t="s">
        <v>42700</v>
      </c>
      <c r="M13432" t="s">
        <v>46845</v>
      </c>
      <c r="N13432" t="s">
        <v>47304</v>
      </c>
      <c r="O13432" t="s">
        <v>47305</v>
      </c>
      <c r="Q13432">
        <v>73</v>
      </c>
      <c r="R13432" t="s">
        <v>47320</v>
      </c>
      <c r="S13432" t="s">
        <v>48046</v>
      </c>
      <c r="T13432" t="s">
        <v>48979</v>
      </c>
      <c r="U13432" t="s">
        <v>60648</v>
      </c>
      <c r="W13432" t="s">
        <v>46845</v>
      </c>
      <c r="X13432" t="s">
        <v>47321</v>
      </c>
    </row>
    <row r="13433" spans="1:24">
      <c r="A13433">
        <f>HYPERLINK("https://www.philgeps.gov.ph/GEPSNONPILOT/Tender/SplashBidNoticeAbstractUI.aspx?menuIndex=3&amp;refID=7170305&amp;Result=3","7170305")</f>
        <v>0</v>
      </c>
      <c r="B13433" t="s">
        <v>1058</v>
      </c>
      <c r="C13433" t="s">
        <v>16556</v>
      </c>
      <c r="D13433" t="s">
        <v>19039</v>
      </c>
      <c r="E13433" t="s">
        <v>30449</v>
      </c>
      <c r="F13433" t="s">
        <v>32606</v>
      </c>
      <c r="G13433" t="s">
        <v>32613</v>
      </c>
      <c r="H13433" t="s">
        <v>14201</v>
      </c>
      <c r="I13433" t="s">
        <v>8682</v>
      </c>
      <c r="J13433" t="s">
        <v>41070</v>
      </c>
      <c r="K13433" t="s">
        <v>42648</v>
      </c>
      <c r="M13433" t="s">
        <v>44011</v>
      </c>
      <c r="N13433" t="s">
        <v>47304</v>
      </c>
      <c r="O13433" t="s">
        <v>47305</v>
      </c>
      <c r="Q13433">
        <v>2</v>
      </c>
      <c r="R13433" t="s">
        <v>47320</v>
      </c>
      <c r="S13433" t="s">
        <v>48047</v>
      </c>
      <c r="T13433" t="s">
        <v>49023</v>
      </c>
      <c r="U13433" t="s">
        <v>51723</v>
      </c>
      <c r="W13433" t="s">
        <v>44011</v>
      </c>
      <c r="X13433" t="s">
        <v>47321</v>
      </c>
    </row>
    <row r="13434" spans="1:24">
      <c r="A13434">
        <f>HYPERLINK("https://www.philgeps.gov.ph/GEPSNONPILOT/Tender/SplashBidNoticeAbstractUI.aspx?menuIndex=3&amp;refID=7170233&amp;Result=3","7170233")</f>
        <v>0</v>
      </c>
      <c r="B13434" t="s">
        <v>916</v>
      </c>
      <c r="C13434" t="s">
        <v>16557</v>
      </c>
      <c r="D13434" t="s">
        <v>19028</v>
      </c>
      <c r="E13434" t="s">
        <v>30450</v>
      </c>
      <c r="F13434" t="s">
        <v>32606</v>
      </c>
      <c r="G13434" t="s">
        <v>32613</v>
      </c>
      <c r="H13434" t="s">
        <v>32623</v>
      </c>
      <c r="I13434" t="s">
        <v>17648</v>
      </c>
      <c r="J13434" t="s">
        <v>41071</v>
      </c>
      <c r="K13434" t="s">
        <v>42791</v>
      </c>
      <c r="M13434" t="s">
        <v>43856</v>
      </c>
      <c r="N13434" t="s">
        <v>47304</v>
      </c>
      <c r="O13434" t="s">
        <v>47305</v>
      </c>
      <c r="P13434">
        <v>0</v>
      </c>
      <c r="Q13434">
        <v>11</v>
      </c>
      <c r="R13434" t="s">
        <v>47320</v>
      </c>
      <c r="S13434" t="s">
        <v>47917</v>
      </c>
      <c r="T13434" t="s">
        <v>48987</v>
      </c>
      <c r="U13434" t="s">
        <v>60649</v>
      </c>
      <c r="W13434" t="s">
        <v>43856</v>
      </c>
      <c r="X13434" t="s">
        <v>47321</v>
      </c>
    </row>
    <row r="13435" spans="1:24">
      <c r="A13435">
        <f>HYPERLINK("https://www.philgeps.gov.ph/GEPSNONPILOT/Tender/SplashBidNoticeAbstractUI.aspx?menuIndex=3&amp;refID=7170182&amp;Result=3","7170182")</f>
        <v>0</v>
      </c>
      <c r="B13435" t="s">
        <v>931</v>
      </c>
      <c r="C13435" t="s">
        <v>16558</v>
      </c>
      <c r="D13435" t="s">
        <v>18995</v>
      </c>
      <c r="E13435" t="s">
        <v>20970</v>
      </c>
      <c r="F13435" t="s">
        <v>32606</v>
      </c>
      <c r="G13435" t="s">
        <v>32613</v>
      </c>
      <c r="H13435" t="s">
        <v>14201</v>
      </c>
      <c r="I13435" t="s">
        <v>4678</v>
      </c>
      <c r="J13435" t="s">
        <v>34465</v>
      </c>
      <c r="K13435" t="s">
        <v>42623</v>
      </c>
      <c r="M13435" t="s">
        <v>43871</v>
      </c>
      <c r="N13435" t="s">
        <v>47304</v>
      </c>
      <c r="O13435" t="s">
        <v>47305</v>
      </c>
      <c r="Q13435">
        <v>4</v>
      </c>
      <c r="R13435" t="s">
        <v>47320</v>
      </c>
      <c r="S13435" t="s">
        <v>48048</v>
      </c>
      <c r="T13435" t="s">
        <v>49330</v>
      </c>
      <c r="U13435" t="s">
        <v>60650</v>
      </c>
      <c r="W13435" t="s">
        <v>43871</v>
      </c>
      <c r="X13435" t="s">
        <v>47321</v>
      </c>
    </row>
    <row r="13436" spans="1:24">
      <c r="A13436">
        <f>HYPERLINK("https://www.philgeps.gov.ph/GEPSNONPILOT/Tender/SplashBidNoticeAbstractUI.aspx?menuIndex=3&amp;refID=7170181&amp;Result=3","7170181")</f>
        <v>0</v>
      </c>
      <c r="B13436" t="s">
        <v>82</v>
      </c>
      <c r="C13436" t="s">
        <v>16559</v>
      </c>
      <c r="D13436" t="s">
        <v>19011</v>
      </c>
      <c r="E13436" t="s">
        <v>30451</v>
      </c>
      <c r="F13436" t="s">
        <v>32606</v>
      </c>
      <c r="G13436" t="s">
        <v>32613</v>
      </c>
      <c r="H13436" t="s">
        <v>14201</v>
      </c>
      <c r="I13436" t="s">
        <v>32647</v>
      </c>
      <c r="J13436" t="s">
        <v>41072</v>
      </c>
      <c r="K13436" t="s">
        <v>42624</v>
      </c>
      <c r="M13436" t="s">
        <v>43766</v>
      </c>
      <c r="N13436" t="s">
        <v>47304</v>
      </c>
      <c r="O13436" t="s">
        <v>47305</v>
      </c>
      <c r="P13436">
        <v>0</v>
      </c>
      <c r="Q13436">
        <v>1</v>
      </c>
      <c r="R13436" t="s">
        <v>47320</v>
      </c>
      <c r="S13436" t="s">
        <v>47917</v>
      </c>
      <c r="T13436" t="s">
        <v>49023</v>
      </c>
      <c r="U13436" t="s">
        <v>60651</v>
      </c>
      <c r="V13436" t="s">
        <v>62841</v>
      </c>
      <c r="W13436" t="s">
        <v>43766</v>
      </c>
      <c r="X13436" t="s">
        <v>47321</v>
      </c>
    </row>
    <row r="13437" spans="1:24">
      <c r="A13437">
        <f>HYPERLINK("https://www.philgeps.gov.ph/GEPSNONPILOT/Tender/SplashBidNoticeAbstractUI.aspx?menuIndex=3&amp;refID=7170398&amp;Result=3","7170398")</f>
        <v>0</v>
      </c>
      <c r="B13437" t="s">
        <v>101</v>
      </c>
      <c r="C13437" t="s">
        <v>16560</v>
      </c>
      <c r="D13437" t="s">
        <v>18993</v>
      </c>
      <c r="E13437" t="s">
        <v>30452</v>
      </c>
      <c r="F13437" t="s">
        <v>32606</v>
      </c>
      <c r="G13437" t="s">
        <v>32613</v>
      </c>
      <c r="H13437" t="s">
        <v>14201</v>
      </c>
      <c r="I13437" t="s">
        <v>7064</v>
      </c>
      <c r="J13437" t="s">
        <v>41073</v>
      </c>
      <c r="K13437" t="s">
        <v>42631</v>
      </c>
      <c r="M13437" t="s">
        <v>46935</v>
      </c>
      <c r="N13437" t="s">
        <v>47304</v>
      </c>
      <c r="O13437" t="s">
        <v>47305</v>
      </c>
      <c r="P13437">
        <v>0</v>
      </c>
      <c r="Q13437">
        <v>14</v>
      </c>
      <c r="R13437" t="s">
        <v>47320</v>
      </c>
      <c r="S13437" t="s">
        <v>47917</v>
      </c>
      <c r="T13437" t="s">
        <v>49160</v>
      </c>
      <c r="U13437" t="s">
        <v>60652</v>
      </c>
      <c r="W13437" t="s">
        <v>46935</v>
      </c>
      <c r="X13437" t="s">
        <v>47321</v>
      </c>
    </row>
    <row r="13438" spans="1:24">
      <c r="A13438">
        <f>HYPERLINK("https://www.philgeps.gov.ph/GEPSNONPILOT/Tender/SplashBidNoticeAbstractUI.aspx?menuIndex=3&amp;refID=7170179&amp;Result=3","7170179")</f>
        <v>0</v>
      </c>
      <c r="B13438" t="s">
        <v>3630</v>
      </c>
      <c r="C13438" t="s">
        <v>16561</v>
      </c>
      <c r="D13438" t="s">
        <v>19056</v>
      </c>
      <c r="E13438" t="s">
        <v>30453</v>
      </c>
      <c r="F13438" t="s">
        <v>32606</v>
      </c>
      <c r="G13438" t="s">
        <v>32613</v>
      </c>
      <c r="H13438" t="s">
        <v>32623</v>
      </c>
      <c r="I13438" t="s">
        <v>17648</v>
      </c>
      <c r="J13438" t="s">
        <v>41074</v>
      </c>
      <c r="K13438" t="s">
        <v>42650</v>
      </c>
      <c r="M13438" t="s">
        <v>46928</v>
      </c>
      <c r="N13438" t="s">
        <v>47304</v>
      </c>
      <c r="O13438" t="s">
        <v>47305</v>
      </c>
      <c r="Q13438">
        <v>2</v>
      </c>
      <c r="R13438" t="s">
        <v>47320</v>
      </c>
      <c r="S13438" t="s">
        <v>48049</v>
      </c>
      <c r="T13438" t="s">
        <v>48986</v>
      </c>
      <c r="U13438" t="s">
        <v>60601</v>
      </c>
      <c r="W13438" t="s">
        <v>46928</v>
      </c>
      <c r="X13438" t="s">
        <v>47321</v>
      </c>
    </row>
    <row r="13439" spans="1:24">
      <c r="A13439">
        <f>HYPERLINK("https://www.philgeps.gov.ph/GEPSNONPILOT/Tender/SplashBidNoticeAbstractUI.aspx?menuIndex=3&amp;refID=7170164&amp;Result=3","7170164")</f>
        <v>0</v>
      </c>
      <c r="B13439" t="s">
        <v>1058</v>
      </c>
      <c r="C13439" t="s">
        <v>16562</v>
      </c>
      <c r="D13439" t="s">
        <v>19039</v>
      </c>
      <c r="E13439" t="s">
        <v>30454</v>
      </c>
      <c r="F13439" t="s">
        <v>32606</v>
      </c>
      <c r="G13439" t="s">
        <v>32613</v>
      </c>
      <c r="H13439" t="s">
        <v>14201</v>
      </c>
      <c r="I13439" t="s">
        <v>32633</v>
      </c>
      <c r="J13439" t="s">
        <v>41075</v>
      </c>
      <c r="K13439" t="s">
        <v>42623</v>
      </c>
      <c r="M13439" t="s">
        <v>44011</v>
      </c>
      <c r="N13439" t="s">
        <v>47304</v>
      </c>
      <c r="O13439" t="s">
        <v>47305</v>
      </c>
      <c r="Q13439">
        <v>8</v>
      </c>
      <c r="R13439" t="s">
        <v>47320</v>
      </c>
      <c r="S13439" t="s">
        <v>48050</v>
      </c>
      <c r="T13439" t="s">
        <v>49023</v>
      </c>
      <c r="U13439" t="s">
        <v>51723</v>
      </c>
      <c r="W13439" t="s">
        <v>44011</v>
      </c>
      <c r="X13439" t="s">
        <v>47321</v>
      </c>
    </row>
    <row r="13440" spans="1:24">
      <c r="A13440">
        <f>HYPERLINK("https://www.philgeps.gov.ph/GEPSNONPILOT/Tender/SplashBidNoticeAbstractUI.aspx?menuIndex=3&amp;refID=7170157&amp;Result=3","7170157")</f>
        <v>0</v>
      </c>
      <c r="B13440" t="s">
        <v>2871</v>
      </c>
      <c r="C13440" t="s">
        <v>16563</v>
      </c>
      <c r="D13440" t="s">
        <v>19025</v>
      </c>
      <c r="E13440" t="s">
        <v>30455</v>
      </c>
      <c r="F13440" t="s">
        <v>32606</v>
      </c>
      <c r="G13440" t="s">
        <v>32613</v>
      </c>
      <c r="H13440" t="s">
        <v>14201</v>
      </c>
      <c r="I13440" t="s">
        <v>6931</v>
      </c>
      <c r="J13440" t="s">
        <v>41076</v>
      </c>
      <c r="K13440" t="s">
        <v>42624</v>
      </c>
      <c r="M13440" t="s">
        <v>46093</v>
      </c>
      <c r="N13440" t="s">
        <v>47304</v>
      </c>
      <c r="O13440" t="s">
        <v>47305</v>
      </c>
      <c r="P13440">
        <v>0</v>
      </c>
      <c r="Q13440">
        <v>3</v>
      </c>
      <c r="R13440" t="s">
        <v>47320</v>
      </c>
      <c r="S13440" t="s">
        <v>47917</v>
      </c>
      <c r="T13440" t="s">
        <v>49103</v>
      </c>
      <c r="U13440" t="s">
        <v>60653</v>
      </c>
      <c r="W13440" t="s">
        <v>46093</v>
      </c>
      <c r="X13440" t="s">
        <v>47321</v>
      </c>
    </row>
    <row r="13441" spans="1:24">
      <c r="A13441">
        <f>HYPERLINK("https://www.philgeps.gov.ph/GEPSNONPILOT/Tender/SplashBidNoticeAbstractUI.aspx?menuIndex=3&amp;refID=7170156&amp;Result=3","7170156")</f>
        <v>0</v>
      </c>
      <c r="B13441" t="s">
        <v>3630</v>
      </c>
      <c r="C13441" t="s">
        <v>16564</v>
      </c>
      <c r="D13441" t="s">
        <v>19056</v>
      </c>
      <c r="E13441" t="s">
        <v>30456</v>
      </c>
      <c r="F13441" t="s">
        <v>32606</v>
      </c>
      <c r="G13441" t="s">
        <v>32613</v>
      </c>
      <c r="H13441" t="s">
        <v>32623</v>
      </c>
      <c r="I13441" t="s">
        <v>17648</v>
      </c>
      <c r="J13441" t="s">
        <v>41034</v>
      </c>
      <c r="K13441" t="s">
        <v>42650</v>
      </c>
      <c r="M13441" t="s">
        <v>46928</v>
      </c>
      <c r="N13441" t="s">
        <v>47304</v>
      </c>
      <c r="O13441" t="s">
        <v>47305</v>
      </c>
      <c r="Q13441">
        <v>2</v>
      </c>
      <c r="R13441" t="s">
        <v>47320</v>
      </c>
      <c r="S13441" t="s">
        <v>48051</v>
      </c>
      <c r="T13441" t="s">
        <v>48986</v>
      </c>
      <c r="U13441" t="s">
        <v>60601</v>
      </c>
      <c r="W13441" t="s">
        <v>46928</v>
      </c>
      <c r="X13441" t="s">
        <v>47321</v>
      </c>
    </row>
    <row r="13442" spans="1:24">
      <c r="A13442">
        <f>HYPERLINK("https://www.philgeps.gov.ph/GEPSNONPILOT/Tender/SplashBidNoticeAbstractUI.aspx?menuIndex=3&amp;refID=7172369&amp;Result=3","7172369")</f>
        <v>0</v>
      </c>
      <c r="B13442" t="s">
        <v>644</v>
      </c>
      <c r="C13442" t="s">
        <v>16565</v>
      </c>
      <c r="E13442" t="s">
        <v>30457</v>
      </c>
      <c r="F13442" t="s">
        <v>32606</v>
      </c>
      <c r="G13442" t="s">
        <v>32613</v>
      </c>
      <c r="H13442" t="s">
        <v>14201</v>
      </c>
      <c r="I13442" t="s">
        <v>9008</v>
      </c>
      <c r="J13442" t="s">
        <v>41077</v>
      </c>
      <c r="K13442" t="s">
        <v>42624</v>
      </c>
      <c r="M13442" t="s">
        <v>43562</v>
      </c>
      <c r="N13442" t="s">
        <v>47304</v>
      </c>
      <c r="O13442" t="s">
        <v>47305</v>
      </c>
      <c r="P13442">
        <v>0</v>
      </c>
      <c r="Q13442">
        <v>1</v>
      </c>
      <c r="R13442" t="s">
        <v>47319</v>
      </c>
      <c r="S13442" t="s">
        <v>47813</v>
      </c>
      <c r="T13442" t="s">
        <v>49163</v>
      </c>
      <c r="U13442" t="s">
        <v>60654</v>
      </c>
      <c r="W13442" t="s">
        <v>43562</v>
      </c>
      <c r="X13442" t="s">
        <v>47320</v>
      </c>
    </row>
    <row r="13443" spans="1:24">
      <c r="A13443">
        <f>HYPERLINK("https://www.philgeps.gov.ph/GEPSNONPILOT/Tender/SplashBidNoticeAbstractUI.aspx?menuIndex=3&amp;refID=7172235&amp;Result=3","7172235")</f>
        <v>0</v>
      </c>
      <c r="B13443" t="s">
        <v>1353</v>
      </c>
      <c r="C13443" t="s">
        <v>4399</v>
      </c>
      <c r="D13443" t="s">
        <v>19041</v>
      </c>
      <c r="E13443" t="s">
        <v>30458</v>
      </c>
      <c r="F13443" t="s">
        <v>32606</v>
      </c>
      <c r="G13443" t="s">
        <v>32613</v>
      </c>
      <c r="H13443" t="s">
        <v>14201</v>
      </c>
      <c r="I13443" t="s">
        <v>32640</v>
      </c>
      <c r="J13443" t="s">
        <v>35368</v>
      </c>
      <c r="K13443" t="s">
        <v>42623</v>
      </c>
      <c r="M13443" t="s">
        <v>44327</v>
      </c>
      <c r="N13443" t="s">
        <v>47304</v>
      </c>
      <c r="O13443" t="s">
        <v>47305</v>
      </c>
      <c r="Q13443">
        <v>14</v>
      </c>
      <c r="R13443" t="s">
        <v>47319</v>
      </c>
      <c r="S13443" t="s">
        <v>48052</v>
      </c>
      <c r="T13443" t="s">
        <v>48987</v>
      </c>
      <c r="U13443" t="s">
        <v>60655</v>
      </c>
      <c r="V13443" t="s">
        <v>64092</v>
      </c>
      <c r="W13443" t="s">
        <v>44327</v>
      </c>
      <c r="X13443" t="s">
        <v>47320</v>
      </c>
    </row>
    <row r="13444" spans="1:24">
      <c r="A13444">
        <f>HYPERLINK("https://www.philgeps.gov.ph/GEPSNONPILOT/Tender/SplashBidNoticeAbstractUI.aspx?menuIndex=3&amp;refID=7172221&amp;Result=3","7172221")</f>
        <v>0</v>
      </c>
      <c r="B13444" t="s">
        <v>2432</v>
      </c>
      <c r="C13444" t="s">
        <v>16566</v>
      </c>
      <c r="D13444" t="s">
        <v>19006</v>
      </c>
      <c r="E13444" t="s">
        <v>30459</v>
      </c>
      <c r="F13444" t="s">
        <v>32606</v>
      </c>
      <c r="G13444" t="s">
        <v>32613</v>
      </c>
      <c r="H13444" t="s">
        <v>32623</v>
      </c>
      <c r="I13444" t="s">
        <v>17648</v>
      </c>
      <c r="J13444" t="s">
        <v>35071</v>
      </c>
      <c r="K13444" t="s">
        <v>42715</v>
      </c>
      <c r="M13444" t="s">
        <v>45558</v>
      </c>
      <c r="N13444" t="s">
        <v>47304</v>
      </c>
      <c r="O13444" t="s">
        <v>47305</v>
      </c>
      <c r="P13444">
        <v>0</v>
      </c>
      <c r="Q13444">
        <v>5</v>
      </c>
      <c r="R13444" t="s">
        <v>47319</v>
      </c>
      <c r="S13444" t="s">
        <v>47813</v>
      </c>
      <c r="T13444" t="s">
        <v>49023</v>
      </c>
      <c r="U13444" t="s">
        <v>60656</v>
      </c>
      <c r="V13444" t="s">
        <v>64011</v>
      </c>
      <c r="W13444" t="s">
        <v>45558</v>
      </c>
      <c r="X13444" t="s">
        <v>47320</v>
      </c>
    </row>
    <row r="13445" spans="1:24">
      <c r="A13445">
        <f>HYPERLINK("https://www.philgeps.gov.ph/GEPSNONPILOT/Tender/SplashBidNoticeAbstractUI.aspx?menuIndex=3&amp;refID=7172207&amp;Result=3","7172207")</f>
        <v>0</v>
      </c>
      <c r="B13445" t="s">
        <v>2356</v>
      </c>
      <c r="C13445" t="s">
        <v>16567</v>
      </c>
      <c r="D13445" t="s">
        <v>19014</v>
      </c>
      <c r="E13445" t="s">
        <v>30460</v>
      </c>
      <c r="F13445" t="s">
        <v>32606</v>
      </c>
      <c r="G13445" t="s">
        <v>32613</v>
      </c>
      <c r="H13445" t="s">
        <v>32623</v>
      </c>
      <c r="I13445" t="s">
        <v>17648</v>
      </c>
      <c r="J13445" t="s">
        <v>41078</v>
      </c>
      <c r="K13445" t="s">
        <v>42645</v>
      </c>
      <c r="M13445" t="s">
        <v>45468</v>
      </c>
      <c r="N13445" t="s">
        <v>47304</v>
      </c>
      <c r="O13445" t="s">
        <v>47305</v>
      </c>
      <c r="P13445">
        <v>0</v>
      </c>
      <c r="Q13445">
        <v>36</v>
      </c>
      <c r="R13445" t="s">
        <v>47319</v>
      </c>
      <c r="S13445" t="s">
        <v>47813</v>
      </c>
      <c r="T13445" t="s">
        <v>48986</v>
      </c>
      <c r="U13445" t="s">
        <v>60657</v>
      </c>
      <c r="V13445" t="s">
        <v>63367</v>
      </c>
      <c r="W13445" t="s">
        <v>45468</v>
      </c>
      <c r="X13445" t="s">
        <v>47320</v>
      </c>
    </row>
    <row r="13446" spans="1:24">
      <c r="A13446">
        <f>HYPERLINK("https://www.philgeps.gov.ph/GEPSNONPILOT/Tender/SplashBidNoticeAbstractUI.aspx?menuIndex=3&amp;refID=7170245&amp;Result=3","7170245")</f>
        <v>0</v>
      </c>
      <c r="B13446" t="s">
        <v>101</v>
      </c>
      <c r="C13446" t="s">
        <v>16568</v>
      </c>
      <c r="D13446" t="s">
        <v>18993</v>
      </c>
      <c r="E13446" t="s">
        <v>30461</v>
      </c>
      <c r="F13446" t="s">
        <v>32606</v>
      </c>
      <c r="G13446" t="s">
        <v>32613</v>
      </c>
      <c r="H13446" t="s">
        <v>14201</v>
      </c>
      <c r="I13446" t="s">
        <v>32691</v>
      </c>
      <c r="J13446" t="s">
        <v>36907</v>
      </c>
      <c r="K13446" t="s">
        <v>42623</v>
      </c>
      <c r="M13446" t="s">
        <v>44679</v>
      </c>
      <c r="N13446" t="s">
        <v>47304</v>
      </c>
      <c r="O13446" t="s">
        <v>47305</v>
      </c>
      <c r="Q13446">
        <v>5</v>
      </c>
      <c r="R13446" t="s">
        <v>47320</v>
      </c>
      <c r="S13446" t="s">
        <v>48053</v>
      </c>
      <c r="T13446" t="s">
        <v>49160</v>
      </c>
      <c r="U13446" t="s">
        <v>60658</v>
      </c>
      <c r="W13446" t="s">
        <v>44679</v>
      </c>
      <c r="X13446" t="s">
        <v>47321</v>
      </c>
    </row>
    <row r="13447" spans="1:24">
      <c r="A13447">
        <f>HYPERLINK("https://www.philgeps.gov.ph/GEPSNONPILOT/Tender/SplashBidNoticeAbstractUI.aspx?menuIndex=3&amp;refID=7172117&amp;Result=3","7172117")</f>
        <v>0</v>
      </c>
      <c r="B13447" t="s">
        <v>2458</v>
      </c>
      <c r="C13447" t="s">
        <v>16569</v>
      </c>
      <c r="D13447" t="s">
        <v>18993</v>
      </c>
      <c r="E13447" t="s">
        <v>30462</v>
      </c>
      <c r="F13447" t="s">
        <v>32606</v>
      </c>
      <c r="G13447" t="s">
        <v>32613</v>
      </c>
      <c r="H13447" t="s">
        <v>14201</v>
      </c>
      <c r="I13447" t="s">
        <v>32678</v>
      </c>
      <c r="J13447" t="s">
        <v>33231</v>
      </c>
      <c r="K13447" t="s">
        <v>42636</v>
      </c>
      <c r="M13447" t="s">
        <v>45590</v>
      </c>
      <c r="N13447" t="s">
        <v>47304</v>
      </c>
      <c r="O13447" t="s">
        <v>47305</v>
      </c>
      <c r="P13447">
        <v>0</v>
      </c>
      <c r="Q13447">
        <v>10</v>
      </c>
      <c r="R13447" t="s">
        <v>47319</v>
      </c>
      <c r="S13447" t="s">
        <v>47813</v>
      </c>
      <c r="T13447" t="s">
        <v>49107</v>
      </c>
      <c r="U13447" t="s">
        <v>55917</v>
      </c>
      <c r="W13447" t="s">
        <v>45590</v>
      </c>
      <c r="X13447" t="s">
        <v>47320</v>
      </c>
    </row>
    <row r="13448" spans="1:24">
      <c r="A13448">
        <f>HYPERLINK("https://www.philgeps.gov.ph/GEPSNONPILOT/Tender/SplashBidNoticeAbstractUI.aspx?menuIndex=3&amp;refID=7172111&amp;Result=3","7172111")</f>
        <v>0</v>
      </c>
      <c r="B13448" t="s">
        <v>2432</v>
      </c>
      <c r="C13448" t="s">
        <v>16570</v>
      </c>
      <c r="D13448" t="s">
        <v>19006</v>
      </c>
      <c r="E13448" t="s">
        <v>30463</v>
      </c>
      <c r="F13448" t="s">
        <v>32606</v>
      </c>
      <c r="G13448" t="s">
        <v>32613</v>
      </c>
      <c r="H13448" t="s">
        <v>32623</v>
      </c>
      <c r="I13448" t="s">
        <v>17648</v>
      </c>
      <c r="J13448" t="s">
        <v>37633</v>
      </c>
      <c r="K13448" t="s">
        <v>42647</v>
      </c>
      <c r="M13448" t="s">
        <v>45558</v>
      </c>
      <c r="N13448" t="s">
        <v>47304</v>
      </c>
      <c r="O13448" t="s">
        <v>47305</v>
      </c>
      <c r="P13448">
        <v>0</v>
      </c>
      <c r="Q13448">
        <v>7</v>
      </c>
      <c r="R13448" t="s">
        <v>47319</v>
      </c>
      <c r="S13448" t="s">
        <v>47813</v>
      </c>
      <c r="T13448" t="s">
        <v>49023</v>
      </c>
      <c r="U13448" t="s">
        <v>60659</v>
      </c>
      <c r="V13448" t="s">
        <v>64011</v>
      </c>
      <c r="W13448" t="s">
        <v>45558</v>
      </c>
      <c r="X13448" t="s">
        <v>47320</v>
      </c>
    </row>
    <row r="13449" spans="1:24">
      <c r="A13449">
        <f>HYPERLINK("https://www.philgeps.gov.ph/GEPSNONPILOT/Tender/SplashBidNoticeAbstractUI.aspx?menuIndex=3&amp;refID=7172105&amp;Result=3","7172105")</f>
        <v>0</v>
      </c>
      <c r="B13449" t="s">
        <v>2503</v>
      </c>
      <c r="C13449" t="s">
        <v>16571</v>
      </c>
      <c r="D13449" t="s">
        <v>19010</v>
      </c>
      <c r="E13449" t="s">
        <v>30464</v>
      </c>
      <c r="F13449" t="s">
        <v>32606</v>
      </c>
      <c r="G13449" t="s">
        <v>32613</v>
      </c>
      <c r="H13449" t="s">
        <v>14201</v>
      </c>
      <c r="I13449" t="s">
        <v>7529</v>
      </c>
      <c r="J13449" t="s">
        <v>39016</v>
      </c>
      <c r="K13449" t="s">
        <v>42631</v>
      </c>
      <c r="M13449" t="s">
        <v>45641</v>
      </c>
      <c r="N13449" t="s">
        <v>47304</v>
      </c>
      <c r="O13449" t="s">
        <v>47305</v>
      </c>
      <c r="P13449">
        <v>0</v>
      </c>
      <c r="Q13449">
        <v>0</v>
      </c>
      <c r="R13449" t="s">
        <v>47319</v>
      </c>
      <c r="S13449" t="s">
        <v>47813</v>
      </c>
      <c r="T13449" t="s">
        <v>48986</v>
      </c>
      <c r="U13449" t="s">
        <v>60660</v>
      </c>
      <c r="V13449" t="s">
        <v>64093</v>
      </c>
      <c r="W13449" t="s">
        <v>45641</v>
      </c>
      <c r="X13449" t="s">
        <v>47320</v>
      </c>
    </row>
    <row r="13450" spans="1:24">
      <c r="A13450">
        <f>HYPERLINK("https://www.philgeps.gov.ph/GEPSNONPILOT/Tender/SplashBidNoticeAbstractUI.aspx?menuIndex=3&amp;refID=7172370&amp;Result=3","7172370")</f>
        <v>0</v>
      </c>
      <c r="B13450" t="s">
        <v>1804</v>
      </c>
      <c r="C13450" t="s">
        <v>16572</v>
      </c>
      <c r="D13450" t="s">
        <v>18987</v>
      </c>
      <c r="E13450" t="s">
        <v>30465</v>
      </c>
      <c r="F13450" t="s">
        <v>32606</v>
      </c>
      <c r="G13450" t="s">
        <v>32619</v>
      </c>
      <c r="H13450" t="s">
        <v>14201</v>
      </c>
      <c r="I13450" t="s">
        <v>4678</v>
      </c>
      <c r="J13450" t="s">
        <v>33221</v>
      </c>
      <c r="K13450" t="s">
        <v>42623</v>
      </c>
      <c r="M13450" t="s">
        <v>44845</v>
      </c>
      <c r="N13450" t="s">
        <v>47304</v>
      </c>
      <c r="O13450" t="s">
        <v>47305</v>
      </c>
      <c r="P13450">
        <v>0</v>
      </c>
      <c r="Q13450">
        <v>0</v>
      </c>
      <c r="R13450" t="s">
        <v>47319</v>
      </c>
      <c r="S13450" t="s">
        <v>47813</v>
      </c>
      <c r="T13450" t="s">
        <v>49267</v>
      </c>
      <c r="U13450" t="s">
        <v>60661</v>
      </c>
      <c r="V13450" t="s">
        <v>64094</v>
      </c>
      <c r="W13450" t="s">
        <v>44845</v>
      </c>
      <c r="X13450" t="s">
        <v>47320</v>
      </c>
    </row>
    <row r="13451" spans="1:24">
      <c r="A13451">
        <f>HYPERLINK("https://www.philgeps.gov.ph/GEPSNONPILOT/Tender/SplashBidNoticeAbstractUI.aspx?menuIndex=3&amp;refID=7172215&amp;Result=3","7172215")</f>
        <v>0</v>
      </c>
      <c r="B13451" t="s">
        <v>2155</v>
      </c>
      <c r="C13451" t="s">
        <v>16573</v>
      </c>
      <c r="D13451" t="s">
        <v>19011</v>
      </c>
      <c r="E13451" t="s">
        <v>30466</v>
      </c>
      <c r="F13451" t="s">
        <v>32606</v>
      </c>
      <c r="G13451" t="s">
        <v>32613</v>
      </c>
      <c r="H13451" t="s">
        <v>14201</v>
      </c>
      <c r="I13451" t="s">
        <v>8682</v>
      </c>
      <c r="J13451" t="s">
        <v>41079</v>
      </c>
      <c r="K13451" t="s">
        <v>42631</v>
      </c>
      <c r="M13451" t="s">
        <v>45246</v>
      </c>
      <c r="N13451" t="s">
        <v>47304</v>
      </c>
      <c r="O13451" t="s">
        <v>47305</v>
      </c>
      <c r="P13451">
        <v>0</v>
      </c>
      <c r="Q13451">
        <v>7</v>
      </c>
      <c r="R13451" t="s">
        <v>47319</v>
      </c>
      <c r="S13451" t="s">
        <v>47813</v>
      </c>
      <c r="T13451" t="s">
        <v>49107</v>
      </c>
      <c r="U13451" t="s">
        <v>54912</v>
      </c>
      <c r="V13451" t="s">
        <v>63264</v>
      </c>
      <c r="W13451" t="s">
        <v>45246</v>
      </c>
      <c r="X13451" t="s">
        <v>47320</v>
      </c>
    </row>
    <row r="13452" spans="1:24">
      <c r="A13452">
        <f>HYPERLINK("https://www.philgeps.gov.ph/GEPSNONPILOT/Tender/SplashBidNoticeAbstractUI.aspx?menuIndex=3&amp;refID=7172097&amp;Result=3","7172097")</f>
        <v>0</v>
      </c>
      <c r="B13452" t="s">
        <v>403</v>
      </c>
      <c r="C13452" t="s">
        <v>16574</v>
      </c>
      <c r="D13452" t="s">
        <v>18999</v>
      </c>
      <c r="E13452" t="s">
        <v>30467</v>
      </c>
      <c r="F13452" t="s">
        <v>32606</v>
      </c>
      <c r="G13452" t="s">
        <v>32613</v>
      </c>
      <c r="H13452" t="s">
        <v>14201</v>
      </c>
      <c r="I13452" t="s">
        <v>32691</v>
      </c>
      <c r="J13452" t="s">
        <v>33079</v>
      </c>
      <c r="K13452" t="s">
        <v>42663</v>
      </c>
      <c r="M13452" t="s">
        <v>43306</v>
      </c>
      <c r="N13452" t="s">
        <v>47304</v>
      </c>
      <c r="O13452" t="s">
        <v>47305</v>
      </c>
      <c r="P13452">
        <v>0</v>
      </c>
      <c r="Q13452">
        <v>8</v>
      </c>
      <c r="R13452" t="s">
        <v>47319</v>
      </c>
      <c r="S13452" t="s">
        <v>47813</v>
      </c>
      <c r="T13452" t="s">
        <v>48971</v>
      </c>
      <c r="U13452" t="s">
        <v>60662</v>
      </c>
      <c r="V13452" t="s">
        <v>64095</v>
      </c>
      <c r="W13452" t="s">
        <v>43306</v>
      </c>
      <c r="X13452" t="s">
        <v>47320</v>
      </c>
    </row>
    <row r="13453" spans="1:24">
      <c r="A13453">
        <f>HYPERLINK("https://www.philgeps.gov.ph/GEPSNONPILOT/Tender/SplashBidNoticeAbstractUI.aspx?menuIndex=3&amp;refID=7172081&amp;Result=3","7172081")</f>
        <v>0</v>
      </c>
      <c r="B13453" t="s">
        <v>3636</v>
      </c>
      <c r="C13453" t="s">
        <v>16575</v>
      </c>
      <c r="D13453" t="s">
        <v>18989</v>
      </c>
      <c r="E13453" t="s">
        <v>30468</v>
      </c>
      <c r="F13453" t="s">
        <v>32606</v>
      </c>
      <c r="G13453" t="s">
        <v>32613</v>
      </c>
      <c r="H13453" t="s">
        <v>14201</v>
      </c>
      <c r="I13453" t="s">
        <v>7064</v>
      </c>
      <c r="J13453" t="s">
        <v>32770</v>
      </c>
      <c r="K13453" t="s">
        <v>42631</v>
      </c>
      <c r="M13453" t="s">
        <v>46936</v>
      </c>
      <c r="N13453" t="s">
        <v>47304</v>
      </c>
      <c r="O13453" t="s">
        <v>47305</v>
      </c>
      <c r="P13453">
        <v>0</v>
      </c>
      <c r="Q13453">
        <v>1</v>
      </c>
      <c r="R13453" t="s">
        <v>47319</v>
      </c>
      <c r="S13453" t="s">
        <v>47813</v>
      </c>
      <c r="T13453" t="s">
        <v>48971</v>
      </c>
      <c r="U13453" t="s">
        <v>60663</v>
      </c>
      <c r="W13453" t="s">
        <v>46936</v>
      </c>
      <c r="X13453" t="s">
        <v>47320</v>
      </c>
    </row>
    <row r="13454" spans="1:24">
      <c r="A13454">
        <f>HYPERLINK("https://www.philgeps.gov.ph/GEPSNONPILOT/Tender/SplashBidNoticeAbstractUI.aspx?menuIndex=3&amp;refID=7172079&amp;Result=3","7172079")</f>
        <v>0</v>
      </c>
      <c r="B13454" t="s">
        <v>3508</v>
      </c>
      <c r="C13454" t="s">
        <v>16576</v>
      </c>
      <c r="D13454" t="s">
        <v>19057</v>
      </c>
      <c r="E13454" t="s">
        <v>30469</v>
      </c>
      <c r="F13454" t="s">
        <v>32607</v>
      </c>
      <c r="G13454" t="s">
        <v>32613</v>
      </c>
      <c r="H13454" t="s">
        <v>14201</v>
      </c>
      <c r="I13454" t="s">
        <v>6931</v>
      </c>
      <c r="J13454" t="s">
        <v>41080</v>
      </c>
      <c r="K13454" t="s">
        <v>42622</v>
      </c>
      <c r="M13454" t="s">
        <v>46777</v>
      </c>
      <c r="N13454" t="s">
        <v>47304</v>
      </c>
      <c r="O13454" t="s">
        <v>47305</v>
      </c>
      <c r="P13454">
        <v>0</v>
      </c>
      <c r="Q13454">
        <v>0</v>
      </c>
      <c r="R13454" t="s">
        <v>47319</v>
      </c>
      <c r="S13454" t="s">
        <v>47813</v>
      </c>
      <c r="T13454" t="s">
        <v>48986</v>
      </c>
      <c r="U13454" t="s">
        <v>60664</v>
      </c>
      <c r="W13454" t="s">
        <v>46777</v>
      </c>
      <c r="X13454" t="s">
        <v>47320</v>
      </c>
    </row>
    <row r="13455" spans="1:24">
      <c r="A13455">
        <f>HYPERLINK("https://www.philgeps.gov.ph/GEPSNONPILOT/Tender/SplashBidNoticeAbstractUI.aspx?menuIndex=3&amp;refID=7172076&amp;Result=3","7172076")</f>
        <v>0</v>
      </c>
      <c r="B13455" t="s">
        <v>1308</v>
      </c>
      <c r="C13455" t="s">
        <v>16577</v>
      </c>
      <c r="D13455" t="s">
        <v>18990</v>
      </c>
      <c r="E13455" t="s">
        <v>30470</v>
      </c>
      <c r="F13455" t="s">
        <v>32606</v>
      </c>
      <c r="G13455" t="s">
        <v>32613</v>
      </c>
      <c r="H13455" t="s">
        <v>14201</v>
      </c>
      <c r="I13455" t="s">
        <v>4678</v>
      </c>
      <c r="J13455" t="s">
        <v>32923</v>
      </c>
      <c r="K13455" t="s">
        <v>42631</v>
      </c>
      <c r="M13455" t="s">
        <v>44282</v>
      </c>
      <c r="N13455" t="s">
        <v>47304</v>
      </c>
      <c r="O13455" t="s">
        <v>47305</v>
      </c>
      <c r="P13455">
        <v>0</v>
      </c>
      <c r="Q13455">
        <v>0</v>
      </c>
      <c r="R13455" t="s">
        <v>47319</v>
      </c>
      <c r="S13455" t="s">
        <v>47813</v>
      </c>
      <c r="T13455" t="s">
        <v>48996</v>
      </c>
      <c r="U13455" t="s">
        <v>60665</v>
      </c>
      <c r="V13455" t="s">
        <v>64096</v>
      </c>
      <c r="W13455" t="s">
        <v>44282</v>
      </c>
      <c r="X13455" t="s">
        <v>47320</v>
      </c>
    </row>
    <row r="13456" spans="1:24">
      <c r="A13456">
        <f>HYPERLINK("https://www.philgeps.gov.ph/GEPSNONPILOT/Tender/SplashBidNoticeAbstractUI.aspx?menuIndex=3&amp;refID=7172108&amp;Result=3","7172108")</f>
        <v>0</v>
      </c>
      <c r="B13456" t="s">
        <v>90</v>
      </c>
      <c r="C13456" t="s">
        <v>16578</v>
      </c>
      <c r="D13456" t="s">
        <v>18988</v>
      </c>
      <c r="E13456" t="s">
        <v>30471</v>
      </c>
      <c r="F13456" t="s">
        <v>32606</v>
      </c>
      <c r="G13456" t="s">
        <v>32613</v>
      </c>
      <c r="H13456" t="s">
        <v>14201</v>
      </c>
      <c r="I13456" t="s">
        <v>32626</v>
      </c>
      <c r="J13456" t="s">
        <v>41081</v>
      </c>
      <c r="K13456" t="s">
        <v>42624</v>
      </c>
      <c r="M13456" t="s">
        <v>42988</v>
      </c>
      <c r="N13456" t="s">
        <v>47304</v>
      </c>
      <c r="O13456" t="s">
        <v>47305</v>
      </c>
      <c r="P13456">
        <v>0</v>
      </c>
      <c r="Q13456">
        <v>2</v>
      </c>
      <c r="R13456" t="s">
        <v>47319</v>
      </c>
      <c r="S13456" t="s">
        <v>47813</v>
      </c>
      <c r="T13456" t="s">
        <v>49018</v>
      </c>
      <c r="U13456" t="s">
        <v>60666</v>
      </c>
      <c r="V13456" t="s">
        <v>64097</v>
      </c>
      <c r="W13456" t="s">
        <v>42988</v>
      </c>
      <c r="X13456" t="s">
        <v>47320</v>
      </c>
    </row>
    <row r="13457" spans="1:24">
      <c r="A13457">
        <f>HYPERLINK("https://www.philgeps.gov.ph/GEPSNONPILOT/Tender/SplashBidNoticeAbstractUI.aspx?menuIndex=3&amp;refID=7172102&amp;Result=3","7172102")</f>
        <v>0</v>
      </c>
      <c r="B13457" t="s">
        <v>535</v>
      </c>
      <c r="C13457" t="s">
        <v>16579</v>
      </c>
      <c r="D13457" t="s">
        <v>19031</v>
      </c>
      <c r="E13457" t="s">
        <v>30472</v>
      </c>
      <c r="F13457" t="s">
        <v>32606</v>
      </c>
      <c r="G13457" t="s">
        <v>32613</v>
      </c>
      <c r="H13457" t="s">
        <v>14201</v>
      </c>
      <c r="I13457" t="s">
        <v>32638</v>
      </c>
      <c r="J13457" t="s">
        <v>41082</v>
      </c>
      <c r="K13457" t="s">
        <v>42639</v>
      </c>
      <c r="M13457" t="s">
        <v>43448</v>
      </c>
      <c r="N13457" t="s">
        <v>47304</v>
      </c>
      <c r="O13457" t="s">
        <v>47305</v>
      </c>
      <c r="P13457">
        <v>0</v>
      </c>
      <c r="Q13457">
        <v>5</v>
      </c>
      <c r="R13457" t="s">
        <v>47319</v>
      </c>
      <c r="S13457" t="s">
        <v>47813</v>
      </c>
      <c r="T13457" t="s">
        <v>49140</v>
      </c>
      <c r="U13457" t="s">
        <v>60667</v>
      </c>
      <c r="W13457" t="s">
        <v>43448</v>
      </c>
      <c r="X13457" t="s">
        <v>47320</v>
      </c>
    </row>
    <row r="13458" spans="1:24">
      <c r="A13458">
        <f>HYPERLINK("https://www.philgeps.gov.ph/GEPSNONPILOT/Tender/SplashBidNoticeAbstractUI.aspx?menuIndex=3&amp;refID=7170158&amp;Result=3","7170158")</f>
        <v>0</v>
      </c>
      <c r="B13458" t="s">
        <v>3614</v>
      </c>
      <c r="C13458" t="s">
        <v>7197</v>
      </c>
      <c r="D13458" t="s">
        <v>19056</v>
      </c>
      <c r="E13458" t="s">
        <v>30473</v>
      </c>
      <c r="F13458" t="s">
        <v>32606</v>
      </c>
      <c r="G13458" t="s">
        <v>32614</v>
      </c>
      <c r="H13458" t="s">
        <v>14201</v>
      </c>
      <c r="I13458" t="s">
        <v>32724</v>
      </c>
      <c r="J13458" t="s">
        <v>37314</v>
      </c>
      <c r="K13458" t="s">
        <v>42681</v>
      </c>
      <c r="M13458" t="s">
        <v>46908</v>
      </c>
      <c r="N13458" t="s">
        <v>47304</v>
      </c>
      <c r="O13458" t="s">
        <v>47305</v>
      </c>
      <c r="Q13458">
        <v>1</v>
      </c>
      <c r="R13458" t="s">
        <v>47320</v>
      </c>
      <c r="S13458" t="s">
        <v>47425</v>
      </c>
      <c r="T13458" t="s">
        <v>49020</v>
      </c>
      <c r="U13458" t="s">
        <v>60668</v>
      </c>
      <c r="W13458" t="s">
        <v>46908</v>
      </c>
      <c r="X13458" t="s">
        <v>47321</v>
      </c>
    </row>
    <row r="13459" spans="1:24">
      <c r="A13459">
        <f>HYPERLINK("https://www.philgeps.gov.ph/GEPSNONPILOT/Tender/SplashBidNoticeAbstractUI.aspx?menuIndex=3&amp;refID=7170312&amp;Result=3","7170312")</f>
        <v>0</v>
      </c>
      <c r="B13459" t="s">
        <v>1058</v>
      </c>
      <c r="C13459" t="s">
        <v>16580</v>
      </c>
      <c r="D13459" t="s">
        <v>19039</v>
      </c>
      <c r="E13459" t="s">
        <v>30474</v>
      </c>
      <c r="F13459" t="s">
        <v>32606</v>
      </c>
      <c r="G13459" t="s">
        <v>32613</v>
      </c>
      <c r="H13459" t="s">
        <v>14201</v>
      </c>
      <c r="I13459" t="s">
        <v>7677</v>
      </c>
      <c r="J13459" t="s">
        <v>41083</v>
      </c>
      <c r="K13459" t="s">
        <v>42623</v>
      </c>
      <c r="M13459" t="s">
        <v>44011</v>
      </c>
      <c r="N13459" t="s">
        <v>47304</v>
      </c>
      <c r="O13459" t="s">
        <v>47305</v>
      </c>
      <c r="Q13459">
        <v>3</v>
      </c>
      <c r="R13459" t="s">
        <v>47320</v>
      </c>
      <c r="S13459" t="s">
        <v>48054</v>
      </c>
      <c r="T13459" t="s">
        <v>49023</v>
      </c>
      <c r="U13459" t="s">
        <v>51723</v>
      </c>
      <c r="W13459" t="s">
        <v>44011</v>
      </c>
      <c r="X13459" t="s">
        <v>47321</v>
      </c>
    </row>
    <row r="13460" spans="1:24">
      <c r="A13460">
        <f>HYPERLINK("https://www.philgeps.gov.ph/GEPSNONPILOT/Tender/SplashBidNoticeAbstractUI.aspx?menuIndex=3&amp;refID=7170484&amp;Result=3","7170484")</f>
        <v>0</v>
      </c>
      <c r="B13460" t="s">
        <v>3618</v>
      </c>
      <c r="C13460" t="s">
        <v>16581</v>
      </c>
      <c r="D13460" t="s">
        <v>18993</v>
      </c>
      <c r="E13460" t="s">
        <v>30475</v>
      </c>
      <c r="F13460" t="s">
        <v>32606</v>
      </c>
      <c r="G13460" t="s">
        <v>32613</v>
      </c>
      <c r="H13460" t="s">
        <v>14201</v>
      </c>
      <c r="I13460" t="s">
        <v>32663</v>
      </c>
      <c r="J13460" t="s">
        <v>41084</v>
      </c>
      <c r="K13460" t="s">
        <v>42624</v>
      </c>
      <c r="M13460" t="s">
        <v>46913</v>
      </c>
      <c r="N13460" t="s">
        <v>47304</v>
      </c>
      <c r="O13460" t="s">
        <v>47305</v>
      </c>
      <c r="Q13460">
        <v>6</v>
      </c>
      <c r="R13460" t="s">
        <v>47320</v>
      </c>
      <c r="S13460" t="s">
        <v>48055</v>
      </c>
      <c r="T13460" t="s">
        <v>48980</v>
      </c>
      <c r="U13460" t="s">
        <v>60474</v>
      </c>
      <c r="W13460" t="s">
        <v>46913</v>
      </c>
      <c r="X13460" t="s">
        <v>47321</v>
      </c>
    </row>
    <row r="13461" spans="1:24">
      <c r="A13461">
        <f>HYPERLINK("https://www.philgeps.gov.ph/GEPSNONPILOT/Tender/SplashBidNoticeAbstractUI.aspx?menuIndex=3&amp;refID=7172101&amp;Result=3","7172101")</f>
        <v>0</v>
      </c>
      <c r="B13461" t="s">
        <v>2201</v>
      </c>
      <c r="C13461" t="s">
        <v>16582</v>
      </c>
      <c r="D13461" t="s">
        <v>19018</v>
      </c>
      <c r="E13461" t="s">
        <v>30476</v>
      </c>
      <c r="F13461" t="s">
        <v>32606</v>
      </c>
      <c r="G13461" t="s">
        <v>32613</v>
      </c>
      <c r="H13461" t="s">
        <v>14201</v>
      </c>
      <c r="I13461" t="s">
        <v>7529</v>
      </c>
      <c r="J13461" t="s">
        <v>41085</v>
      </c>
      <c r="K13461" t="s">
        <v>42639</v>
      </c>
      <c r="M13461" t="s">
        <v>45305</v>
      </c>
      <c r="N13461" t="s">
        <v>47304</v>
      </c>
      <c r="O13461" t="s">
        <v>47305</v>
      </c>
      <c r="P13461">
        <v>0</v>
      </c>
      <c r="Q13461">
        <v>4</v>
      </c>
      <c r="R13461" t="s">
        <v>47319</v>
      </c>
      <c r="S13461" t="s">
        <v>47813</v>
      </c>
      <c r="T13461" t="s">
        <v>49017</v>
      </c>
      <c r="U13461" t="s">
        <v>60669</v>
      </c>
      <c r="W13461" t="s">
        <v>45305</v>
      </c>
      <c r="X13461" t="s">
        <v>47320</v>
      </c>
    </row>
    <row r="13462" spans="1:24">
      <c r="A13462">
        <f>HYPERLINK("https://www.philgeps.gov.ph/GEPSNONPILOT/Tender/SplashBidNoticeAbstractUI.aspx?menuIndex=3&amp;refID=7170428&amp;Result=3","7170428")</f>
        <v>0</v>
      </c>
      <c r="B13462" t="s">
        <v>985</v>
      </c>
      <c r="C13462" t="s">
        <v>16583</v>
      </c>
      <c r="D13462" t="s">
        <v>19034</v>
      </c>
      <c r="E13462" t="s">
        <v>30477</v>
      </c>
      <c r="F13462" t="s">
        <v>32606</v>
      </c>
      <c r="G13462" t="s">
        <v>32613</v>
      </c>
      <c r="H13462" t="s">
        <v>32623</v>
      </c>
      <c r="I13462" t="s">
        <v>17648</v>
      </c>
      <c r="J13462" t="s">
        <v>41086</v>
      </c>
      <c r="K13462" t="s">
        <v>42761</v>
      </c>
      <c r="M13462" t="s">
        <v>46845</v>
      </c>
      <c r="N13462" t="s">
        <v>47304</v>
      </c>
      <c r="O13462" t="s">
        <v>47305</v>
      </c>
      <c r="Q13462">
        <v>72</v>
      </c>
      <c r="R13462" t="s">
        <v>47320</v>
      </c>
      <c r="S13462" t="s">
        <v>48056</v>
      </c>
      <c r="T13462" t="s">
        <v>48979</v>
      </c>
      <c r="U13462" t="s">
        <v>60670</v>
      </c>
      <c r="W13462" t="s">
        <v>46845</v>
      </c>
      <c r="X13462" t="s">
        <v>47321</v>
      </c>
    </row>
    <row r="13463" spans="1:24">
      <c r="A13463">
        <f>HYPERLINK("https://www.philgeps.gov.ph/GEPSNONPILOT/Tender/SplashBidNoticeAbstractUI.aspx?menuIndex=3&amp;refID=7170482&amp;Result=3","7170482")</f>
        <v>0</v>
      </c>
      <c r="B13463" t="s">
        <v>3524</v>
      </c>
      <c r="C13463" t="s">
        <v>16584</v>
      </c>
      <c r="D13463" t="s">
        <v>19023</v>
      </c>
      <c r="E13463" t="s">
        <v>30478</v>
      </c>
      <c r="F13463" t="s">
        <v>32606</v>
      </c>
      <c r="G13463" t="s">
        <v>32613</v>
      </c>
      <c r="H13463" t="s">
        <v>14201</v>
      </c>
      <c r="I13463" t="s">
        <v>6298</v>
      </c>
      <c r="J13463" t="s">
        <v>33291</v>
      </c>
      <c r="K13463" t="s">
        <v>42631</v>
      </c>
      <c r="M13463" t="s">
        <v>46795</v>
      </c>
      <c r="N13463" t="s">
        <v>47304</v>
      </c>
      <c r="O13463" t="s">
        <v>47305</v>
      </c>
      <c r="P13463">
        <v>0</v>
      </c>
      <c r="Q13463">
        <v>0</v>
      </c>
      <c r="R13463" t="s">
        <v>47320</v>
      </c>
      <c r="S13463" t="s">
        <v>47917</v>
      </c>
      <c r="T13463" t="s">
        <v>48975</v>
      </c>
      <c r="U13463" t="s">
        <v>60671</v>
      </c>
      <c r="W13463" t="s">
        <v>46795</v>
      </c>
      <c r="X13463" t="s">
        <v>47321</v>
      </c>
    </row>
    <row r="13464" spans="1:24">
      <c r="A13464">
        <f>HYPERLINK("https://www.philgeps.gov.ph/GEPSNONPILOT/Tender/SplashBidNoticeAbstractUI.aspx?menuIndex=3&amp;refID=7170477&amp;Result=3","7170477")</f>
        <v>0</v>
      </c>
      <c r="B13464" t="s">
        <v>3524</v>
      </c>
      <c r="C13464" t="s">
        <v>16585</v>
      </c>
      <c r="D13464" t="s">
        <v>19023</v>
      </c>
      <c r="E13464" t="s">
        <v>30479</v>
      </c>
      <c r="F13464" t="s">
        <v>32606</v>
      </c>
      <c r="G13464" t="s">
        <v>32613</v>
      </c>
      <c r="H13464" t="s">
        <v>14201</v>
      </c>
      <c r="I13464" t="s">
        <v>8682</v>
      </c>
      <c r="J13464" t="s">
        <v>33119</v>
      </c>
      <c r="K13464" t="s">
        <v>42631</v>
      </c>
      <c r="M13464" t="s">
        <v>46795</v>
      </c>
      <c r="N13464" t="s">
        <v>47304</v>
      </c>
      <c r="O13464" t="s">
        <v>47305</v>
      </c>
      <c r="P13464">
        <v>0</v>
      </c>
      <c r="Q13464">
        <v>1</v>
      </c>
      <c r="R13464" t="s">
        <v>47320</v>
      </c>
      <c r="S13464" t="s">
        <v>47917</v>
      </c>
      <c r="T13464" t="s">
        <v>49076</v>
      </c>
      <c r="U13464" t="s">
        <v>60672</v>
      </c>
      <c r="W13464" t="s">
        <v>46795</v>
      </c>
      <c r="X13464" t="s">
        <v>47321</v>
      </c>
    </row>
    <row r="13465" spans="1:24">
      <c r="A13465">
        <f>HYPERLINK("https://www.philgeps.gov.ph/GEPSNONPILOT/Tender/SplashBidNoticeAbstractUI.aspx?menuIndex=3&amp;refID=7170464&amp;Result=3","7170464")</f>
        <v>0</v>
      </c>
      <c r="B13465" t="s">
        <v>3637</v>
      </c>
      <c r="C13465" t="s">
        <v>10070</v>
      </c>
      <c r="D13465" t="s">
        <v>19012</v>
      </c>
      <c r="E13465" t="s">
        <v>19358</v>
      </c>
      <c r="F13465" t="s">
        <v>32607</v>
      </c>
      <c r="G13465" t="s">
        <v>32613</v>
      </c>
      <c r="H13465" t="s">
        <v>14201</v>
      </c>
      <c r="I13465" t="s">
        <v>6931</v>
      </c>
      <c r="J13465" t="s">
        <v>41087</v>
      </c>
      <c r="K13465" t="s">
        <v>42622</v>
      </c>
      <c r="M13465" t="s">
        <v>46937</v>
      </c>
      <c r="N13465" t="s">
        <v>47304</v>
      </c>
      <c r="O13465" t="s">
        <v>47305</v>
      </c>
      <c r="P13465">
        <v>0</v>
      </c>
      <c r="Q13465">
        <v>0</v>
      </c>
      <c r="R13465" t="s">
        <v>47320</v>
      </c>
      <c r="S13465" t="s">
        <v>47917</v>
      </c>
      <c r="T13465" t="s">
        <v>49000</v>
      </c>
      <c r="U13465" t="s">
        <v>60673</v>
      </c>
      <c r="W13465" t="s">
        <v>46937</v>
      </c>
      <c r="X13465" t="s">
        <v>47321</v>
      </c>
    </row>
    <row r="13466" spans="1:24">
      <c r="A13466">
        <f>HYPERLINK("https://www.philgeps.gov.ph/GEPSNONPILOT/Tender/SplashBidNoticeAbstractUI.aspx?menuIndex=3&amp;refID=7170447&amp;Result=3","7170447")</f>
        <v>0</v>
      </c>
      <c r="B13466" t="s">
        <v>1088</v>
      </c>
      <c r="C13466" t="s">
        <v>16586</v>
      </c>
      <c r="D13466" t="s">
        <v>19006</v>
      </c>
      <c r="E13466" t="s">
        <v>30480</v>
      </c>
      <c r="F13466" t="s">
        <v>32606</v>
      </c>
      <c r="G13466" t="s">
        <v>32613</v>
      </c>
      <c r="H13466" t="s">
        <v>32623</v>
      </c>
      <c r="I13466" t="s">
        <v>17648</v>
      </c>
      <c r="J13466" t="s">
        <v>41088</v>
      </c>
      <c r="K13466" t="s">
        <v>42645</v>
      </c>
      <c r="M13466" t="s">
        <v>46199</v>
      </c>
      <c r="N13466" t="s">
        <v>47304</v>
      </c>
      <c r="O13466" t="s">
        <v>47305</v>
      </c>
      <c r="Q13466">
        <v>4</v>
      </c>
      <c r="R13466" t="s">
        <v>47320</v>
      </c>
      <c r="S13466" t="s">
        <v>48057</v>
      </c>
      <c r="T13466" t="s">
        <v>48987</v>
      </c>
      <c r="U13466" t="s">
        <v>60627</v>
      </c>
      <c r="W13466" t="s">
        <v>46199</v>
      </c>
      <c r="X13466" t="s">
        <v>47321</v>
      </c>
    </row>
    <row r="13467" spans="1:24">
      <c r="A13467">
        <f>HYPERLINK("https://www.philgeps.gov.ph/GEPSNONPILOT/Tender/SplashBidNoticeAbstractUI.aspx?menuIndex=3&amp;refID=7173483&amp;Result=3","7173483")</f>
        <v>0</v>
      </c>
      <c r="B13467" t="s">
        <v>3508</v>
      </c>
      <c r="C13467" t="s">
        <v>16587</v>
      </c>
      <c r="D13467" t="s">
        <v>19057</v>
      </c>
      <c r="E13467" t="s">
        <v>30481</v>
      </c>
      <c r="F13467" t="s">
        <v>32607</v>
      </c>
      <c r="G13467" t="s">
        <v>32613</v>
      </c>
      <c r="H13467" t="s">
        <v>14201</v>
      </c>
      <c r="I13467" t="s">
        <v>6931</v>
      </c>
      <c r="J13467" t="s">
        <v>36295</v>
      </c>
      <c r="K13467" t="s">
        <v>42622</v>
      </c>
      <c r="M13467" t="s">
        <v>46777</v>
      </c>
      <c r="N13467" t="s">
        <v>47304</v>
      </c>
      <c r="O13467" t="s">
        <v>47305</v>
      </c>
      <c r="P13467">
        <v>0</v>
      </c>
      <c r="Q13467">
        <v>0</v>
      </c>
      <c r="R13467" t="s">
        <v>47319</v>
      </c>
      <c r="S13467" t="s">
        <v>47813</v>
      </c>
      <c r="T13467" t="s">
        <v>48986</v>
      </c>
      <c r="U13467" t="s">
        <v>60674</v>
      </c>
      <c r="W13467" t="s">
        <v>46777</v>
      </c>
      <c r="X13467" t="s">
        <v>47320</v>
      </c>
    </row>
    <row r="13468" spans="1:24">
      <c r="A13468">
        <f>HYPERLINK("https://www.philgeps.gov.ph/GEPSNONPILOT/Tender/SplashBidNoticeAbstractUI.aspx?menuIndex=3&amp;refID=7170488&amp;Result=3","7170488")</f>
        <v>0</v>
      </c>
      <c r="B13468" t="s">
        <v>3524</v>
      </c>
      <c r="C13468" t="s">
        <v>16588</v>
      </c>
      <c r="D13468" t="s">
        <v>19023</v>
      </c>
      <c r="E13468" t="s">
        <v>30482</v>
      </c>
      <c r="F13468" t="s">
        <v>32606</v>
      </c>
      <c r="G13468" t="s">
        <v>32613</v>
      </c>
      <c r="H13468" t="s">
        <v>14201</v>
      </c>
      <c r="I13468" t="s">
        <v>32634</v>
      </c>
      <c r="J13468" t="s">
        <v>33119</v>
      </c>
      <c r="K13468" t="s">
        <v>42631</v>
      </c>
      <c r="M13468" t="s">
        <v>46795</v>
      </c>
      <c r="N13468" t="s">
        <v>47304</v>
      </c>
      <c r="O13468" t="s">
        <v>47305</v>
      </c>
      <c r="P13468">
        <v>0</v>
      </c>
      <c r="Q13468">
        <v>2</v>
      </c>
      <c r="R13468" t="s">
        <v>47320</v>
      </c>
      <c r="S13468" t="s">
        <v>47917</v>
      </c>
      <c r="T13468" t="s">
        <v>49076</v>
      </c>
      <c r="U13468" t="s">
        <v>60675</v>
      </c>
      <c r="W13468" t="s">
        <v>46795</v>
      </c>
      <c r="X13468" t="s">
        <v>47321</v>
      </c>
    </row>
    <row r="13469" spans="1:24">
      <c r="A13469">
        <f>HYPERLINK("https://www.philgeps.gov.ph/GEPSNONPILOT/Tender/SplashBidNoticeAbstractUI.aspx?menuIndex=3&amp;refID=7170438&amp;Result=3","7170438")</f>
        <v>0</v>
      </c>
      <c r="B13469" t="s">
        <v>1088</v>
      </c>
      <c r="C13469" t="s">
        <v>16589</v>
      </c>
      <c r="D13469" t="s">
        <v>19006</v>
      </c>
      <c r="E13469" t="s">
        <v>30483</v>
      </c>
      <c r="F13469" t="s">
        <v>32606</v>
      </c>
      <c r="G13469" t="s">
        <v>32613</v>
      </c>
      <c r="H13469" t="s">
        <v>32623</v>
      </c>
      <c r="I13469" t="s">
        <v>17648</v>
      </c>
      <c r="J13469" t="s">
        <v>41089</v>
      </c>
      <c r="K13469" t="s">
        <v>42645</v>
      </c>
      <c r="M13469" t="s">
        <v>46199</v>
      </c>
      <c r="N13469" t="s">
        <v>47304</v>
      </c>
      <c r="O13469" t="s">
        <v>47305</v>
      </c>
      <c r="Q13469">
        <v>3</v>
      </c>
      <c r="R13469" t="s">
        <v>47320</v>
      </c>
      <c r="S13469" t="s">
        <v>48058</v>
      </c>
      <c r="T13469" t="s">
        <v>49002</v>
      </c>
      <c r="U13469" t="s">
        <v>60627</v>
      </c>
      <c r="W13469" t="s">
        <v>46199</v>
      </c>
      <c r="X13469" t="s">
        <v>47321</v>
      </c>
    </row>
    <row r="13470" spans="1:24">
      <c r="A13470">
        <f>HYPERLINK("https://www.philgeps.gov.ph/GEPSNONPILOT/Tender/SplashBidNoticeAbstractUI.aspx?menuIndex=3&amp;refID=7170533&amp;Result=3","7170533")</f>
        <v>0</v>
      </c>
      <c r="B13470" t="s">
        <v>3638</v>
      </c>
      <c r="C13470" t="s">
        <v>16590</v>
      </c>
      <c r="D13470" t="s">
        <v>18997</v>
      </c>
      <c r="E13470" t="s">
        <v>30484</v>
      </c>
      <c r="F13470" t="s">
        <v>32606</v>
      </c>
      <c r="G13470" t="s">
        <v>32613</v>
      </c>
      <c r="H13470" t="s">
        <v>32623</v>
      </c>
      <c r="I13470" t="s">
        <v>17648</v>
      </c>
      <c r="J13470" t="s">
        <v>32772</v>
      </c>
      <c r="K13470" t="s">
        <v>42648</v>
      </c>
      <c r="M13470" t="s">
        <v>46938</v>
      </c>
      <c r="N13470" t="s">
        <v>47304</v>
      </c>
      <c r="O13470" t="s">
        <v>47305</v>
      </c>
      <c r="Q13470">
        <v>3</v>
      </c>
      <c r="R13470" t="s">
        <v>47320</v>
      </c>
      <c r="S13470" t="s">
        <v>48059</v>
      </c>
      <c r="T13470" t="s">
        <v>49087</v>
      </c>
      <c r="U13470" t="s">
        <v>60676</v>
      </c>
      <c r="W13470" t="s">
        <v>46938</v>
      </c>
      <c r="X13470" t="s">
        <v>47321</v>
      </c>
    </row>
    <row r="13471" spans="1:24">
      <c r="A13471">
        <f>HYPERLINK("https://www.philgeps.gov.ph/GEPSNONPILOT/Tender/SplashBidNoticeAbstractUI.aspx?menuIndex=3&amp;refID=7170509&amp;Result=3","7170509")</f>
        <v>0</v>
      </c>
      <c r="B13471" t="s">
        <v>3524</v>
      </c>
      <c r="C13471" t="s">
        <v>16591</v>
      </c>
      <c r="D13471" t="s">
        <v>19023</v>
      </c>
      <c r="E13471" t="s">
        <v>30485</v>
      </c>
      <c r="F13471" t="s">
        <v>32606</v>
      </c>
      <c r="G13471" t="s">
        <v>32613</v>
      </c>
      <c r="H13471" t="s">
        <v>14201</v>
      </c>
      <c r="I13471" t="s">
        <v>6931</v>
      </c>
      <c r="J13471" t="s">
        <v>41090</v>
      </c>
      <c r="K13471" t="s">
        <v>42631</v>
      </c>
      <c r="M13471" t="s">
        <v>46795</v>
      </c>
      <c r="N13471" t="s">
        <v>47304</v>
      </c>
      <c r="O13471" t="s">
        <v>47305</v>
      </c>
      <c r="P13471">
        <v>0</v>
      </c>
      <c r="Q13471">
        <v>0</v>
      </c>
      <c r="R13471" t="s">
        <v>47320</v>
      </c>
      <c r="S13471" t="s">
        <v>47917</v>
      </c>
      <c r="T13471" t="s">
        <v>49076</v>
      </c>
      <c r="U13471" t="s">
        <v>60677</v>
      </c>
      <c r="W13471" t="s">
        <v>46795</v>
      </c>
      <c r="X13471" t="s">
        <v>47321</v>
      </c>
    </row>
    <row r="13472" spans="1:24">
      <c r="A13472">
        <f>HYPERLINK("https://www.philgeps.gov.ph/GEPSNONPILOT/Tender/SplashBidNoticeAbstractUI.aspx?menuIndex=3&amp;refID=7170430&amp;Result=3","7170430")</f>
        <v>0</v>
      </c>
      <c r="B13472" t="s">
        <v>3639</v>
      </c>
      <c r="C13472" t="s">
        <v>16592</v>
      </c>
      <c r="D13472" t="s">
        <v>18993</v>
      </c>
      <c r="E13472" t="s">
        <v>30486</v>
      </c>
      <c r="F13472" t="s">
        <v>32606</v>
      </c>
      <c r="G13472" t="s">
        <v>32613</v>
      </c>
      <c r="H13472" t="s">
        <v>14201</v>
      </c>
      <c r="I13472" t="s">
        <v>7064</v>
      </c>
      <c r="J13472" t="s">
        <v>32821</v>
      </c>
      <c r="K13472" t="s">
        <v>42631</v>
      </c>
      <c r="M13472" t="s">
        <v>46939</v>
      </c>
      <c r="N13472" t="s">
        <v>47304</v>
      </c>
      <c r="O13472" t="s">
        <v>47305</v>
      </c>
      <c r="P13472">
        <v>0</v>
      </c>
      <c r="Q13472">
        <v>3</v>
      </c>
      <c r="R13472" t="s">
        <v>47320</v>
      </c>
      <c r="S13472" t="s">
        <v>47917</v>
      </c>
      <c r="T13472" t="s">
        <v>48986</v>
      </c>
      <c r="U13472" t="s">
        <v>60678</v>
      </c>
      <c r="V13472" t="s">
        <v>64098</v>
      </c>
      <c r="W13472" t="s">
        <v>46939</v>
      </c>
      <c r="X13472" t="s">
        <v>47321</v>
      </c>
    </row>
    <row r="13473" spans="1:24">
      <c r="A13473">
        <f>HYPERLINK("https://www.philgeps.gov.ph/GEPSNONPILOT/Tender/SplashBidNoticeAbstractUI.aspx?menuIndex=3&amp;refID=7170530&amp;Result=3","7170530")</f>
        <v>0</v>
      </c>
      <c r="B13473" t="s">
        <v>3524</v>
      </c>
      <c r="C13473" t="s">
        <v>16593</v>
      </c>
      <c r="D13473" t="s">
        <v>19023</v>
      </c>
      <c r="E13473" t="s">
        <v>30487</v>
      </c>
      <c r="F13473" t="s">
        <v>32606</v>
      </c>
      <c r="G13473" t="s">
        <v>32613</v>
      </c>
      <c r="H13473" t="s">
        <v>14201</v>
      </c>
      <c r="I13473" t="s">
        <v>6931</v>
      </c>
      <c r="J13473" t="s">
        <v>41091</v>
      </c>
      <c r="K13473" t="s">
        <v>42631</v>
      </c>
      <c r="M13473" t="s">
        <v>46795</v>
      </c>
      <c r="N13473" t="s">
        <v>47304</v>
      </c>
      <c r="O13473" t="s">
        <v>47305</v>
      </c>
      <c r="P13473">
        <v>0</v>
      </c>
      <c r="Q13473">
        <v>0</v>
      </c>
      <c r="R13473" t="s">
        <v>47320</v>
      </c>
      <c r="S13473" t="s">
        <v>47917</v>
      </c>
      <c r="T13473" t="s">
        <v>49076</v>
      </c>
      <c r="U13473" t="s">
        <v>60679</v>
      </c>
      <c r="W13473" t="s">
        <v>46795</v>
      </c>
      <c r="X13473" t="s">
        <v>47321</v>
      </c>
    </row>
    <row r="13474" spans="1:24">
      <c r="A13474">
        <f>HYPERLINK("https://www.philgeps.gov.ph/GEPSNONPILOT/Tender/SplashBidNoticeAbstractUI.aspx?menuIndex=3&amp;refID=7170529&amp;Result=3","7170529")</f>
        <v>0</v>
      </c>
      <c r="B13474" t="s">
        <v>575</v>
      </c>
      <c r="C13474" t="s">
        <v>16594</v>
      </c>
      <c r="D13474" t="s">
        <v>19036</v>
      </c>
      <c r="E13474" t="s">
        <v>30488</v>
      </c>
      <c r="F13474" t="s">
        <v>32606</v>
      </c>
      <c r="G13474" t="s">
        <v>32613</v>
      </c>
      <c r="H13474" t="s">
        <v>14201</v>
      </c>
      <c r="I13474" t="s">
        <v>32655</v>
      </c>
      <c r="J13474" t="s">
        <v>41092</v>
      </c>
      <c r="K13474" t="s">
        <v>42622</v>
      </c>
      <c r="M13474" t="s">
        <v>44070</v>
      </c>
      <c r="N13474" t="s">
        <v>47304</v>
      </c>
      <c r="O13474" t="s">
        <v>47305</v>
      </c>
      <c r="P13474">
        <v>0</v>
      </c>
      <c r="Q13474">
        <v>14</v>
      </c>
      <c r="R13474" t="s">
        <v>47320</v>
      </c>
      <c r="S13474" t="s">
        <v>47917</v>
      </c>
      <c r="T13474" t="s">
        <v>48971</v>
      </c>
      <c r="U13474" t="s">
        <v>60680</v>
      </c>
      <c r="W13474" t="s">
        <v>44070</v>
      </c>
      <c r="X13474" t="s">
        <v>47321</v>
      </c>
    </row>
    <row r="13475" spans="1:24">
      <c r="A13475">
        <f>HYPERLINK("https://www.philgeps.gov.ph/GEPSNONPILOT/Tender/SplashBidNoticeAbstractUI.aspx?menuIndex=3&amp;refID=7170494&amp;Result=3","7170494")</f>
        <v>0</v>
      </c>
      <c r="B13475" t="s">
        <v>3524</v>
      </c>
      <c r="C13475" t="s">
        <v>16595</v>
      </c>
      <c r="D13475" t="s">
        <v>19023</v>
      </c>
      <c r="E13475" t="s">
        <v>30489</v>
      </c>
      <c r="F13475" t="s">
        <v>32606</v>
      </c>
      <c r="G13475" t="s">
        <v>32613</v>
      </c>
      <c r="H13475" t="s">
        <v>14201</v>
      </c>
      <c r="I13475" t="s">
        <v>8606</v>
      </c>
      <c r="J13475" t="s">
        <v>32973</v>
      </c>
      <c r="K13475" t="s">
        <v>42631</v>
      </c>
      <c r="M13475" t="s">
        <v>46795</v>
      </c>
      <c r="N13475" t="s">
        <v>47304</v>
      </c>
      <c r="O13475" t="s">
        <v>47305</v>
      </c>
      <c r="P13475">
        <v>0</v>
      </c>
      <c r="Q13475">
        <v>0</v>
      </c>
      <c r="R13475" t="s">
        <v>47320</v>
      </c>
      <c r="S13475" t="s">
        <v>47917</v>
      </c>
      <c r="T13475" t="s">
        <v>49076</v>
      </c>
      <c r="U13475" t="s">
        <v>60681</v>
      </c>
      <c r="W13475" t="s">
        <v>46795</v>
      </c>
      <c r="X13475" t="s">
        <v>47321</v>
      </c>
    </row>
    <row r="13476" spans="1:24">
      <c r="A13476">
        <f>HYPERLINK("https://www.philgeps.gov.ph/GEPSNONPILOT/Tender/SplashBidNoticeAbstractUI.aspx?menuIndex=3&amp;refID=7170521&amp;Result=3","7170521")</f>
        <v>0</v>
      </c>
      <c r="B13476" t="s">
        <v>3640</v>
      </c>
      <c r="C13476" t="s">
        <v>16596</v>
      </c>
      <c r="D13476" t="s">
        <v>19028</v>
      </c>
      <c r="E13476" t="s">
        <v>30490</v>
      </c>
      <c r="F13476" t="s">
        <v>32606</v>
      </c>
      <c r="G13476" t="s">
        <v>32613</v>
      </c>
      <c r="H13476" t="s">
        <v>32623</v>
      </c>
      <c r="I13476" t="s">
        <v>17648</v>
      </c>
      <c r="J13476" t="s">
        <v>41093</v>
      </c>
      <c r="K13476" t="s">
        <v>42675</v>
      </c>
      <c r="M13476" t="s">
        <v>46940</v>
      </c>
      <c r="N13476" t="s">
        <v>47304</v>
      </c>
      <c r="O13476" t="s">
        <v>47305</v>
      </c>
      <c r="P13476">
        <v>0</v>
      </c>
      <c r="Q13476">
        <v>1</v>
      </c>
      <c r="R13476" t="s">
        <v>47320</v>
      </c>
      <c r="S13476" t="s">
        <v>47917</v>
      </c>
      <c r="T13476" t="s">
        <v>48987</v>
      </c>
      <c r="U13476" t="s">
        <v>60682</v>
      </c>
      <c r="W13476" t="s">
        <v>46940</v>
      </c>
      <c r="X13476" t="s">
        <v>47321</v>
      </c>
    </row>
    <row r="13477" spans="1:24">
      <c r="A13477">
        <f>HYPERLINK("https://www.philgeps.gov.ph/GEPSNONPILOT/Tender/SplashBidNoticeAbstractUI.aspx?menuIndex=3&amp;refID=7170542&amp;Result=3","7170542")</f>
        <v>0</v>
      </c>
      <c r="B13477" t="s">
        <v>3638</v>
      </c>
      <c r="C13477" t="s">
        <v>16590</v>
      </c>
      <c r="D13477" t="s">
        <v>18997</v>
      </c>
      <c r="E13477" t="s">
        <v>30491</v>
      </c>
      <c r="F13477" t="s">
        <v>32606</v>
      </c>
      <c r="G13477" t="s">
        <v>32613</v>
      </c>
      <c r="H13477" t="s">
        <v>32623</v>
      </c>
      <c r="I13477" t="s">
        <v>17648</v>
      </c>
      <c r="J13477" t="s">
        <v>32772</v>
      </c>
      <c r="K13477" t="s">
        <v>42648</v>
      </c>
      <c r="M13477" t="s">
        <v>46938</v>
      </c>
      <c r="N13477" t="s">
        <v>47304</v>
      </c>
      <c r="O13477" t="s">
        <v>47305</v>
      </c>
      <c r="Q13477">
        <v>3</v>
      </c>
      <c r="R13477" t="s">
        <v>47320</v>
      </c>
      <c r="S13477" t="s">
        <v>48060</v>
      </c>
      <c r="T13477" t="s">
        <v>49087</v>
      </c>
      <c r="U13477" t="s">
        <v>60683</v>
      </c>
      <c r="W13477" t="s">
        <v>46938</v>
      </c>
      <c r="X13477" t="s">
        <v>47321</v>
      </c>
    </row>
    <row r="13478" spans="1:24">
      <c r="A13478">
        <f>HYPERLINK("https://www.philgeps.gov.ph/GEPSNONPILOT/Tender/SplashBidNoticeAbstractUI.aspx?menuIndex=3&amp;refID=7170517&amp;Result=3","7170517")</f>
        <v>0</v>
      </c>
      <c r="B13478" t="s">
        <v>3524</v>
      </c>
      <c r="C13478" t="s">
        <v>16597</v>
      </c>
      <c r="D13478" t="s">
        <v>19023</v>
      </c>
      <c r="E13478" t="s">
        <v>30492</v>
      </c>
      <c r="F13478" t="s">
        <v>32606</v>
      </c>
      <c r="G13478" t="s">
        <v>32613</v>
      </c>
      <c r="H13478" t="s">
        <v>14201</v>
      </c>
      <c r="I13478" t="s">
        <v>6931</v>
      </c>
      <c r="J13478" t="s">
        <v>41094</v>
      </c>
      <c r="K13478" t="s">
        <v>42631</v>
      </c>
      <c r="M13478" t="s">
        <v>46795</v>
      </c>
      <c r="N13478" t="s">
        <v>47304</v>
      </c>
      <c r="O13478" t="s">
        <v>47305</v>
      </c>
      <c r="P13478">
        <v>0</v>
      </c>
      <c r="Q13478">
        <v>0</v>
      </c>
      <c r="R13478" t="s">
        <v>47320</v>
      </c>
      <c r="S13478" t="s">
        <v>47917</v>
      </c>
      <c r="T13478" t="s">
        <v>49076</v>
      </c>
      <c r="U13478" t="s">
        <v>60684</v>
      </c>
      <c r="W13478" t="s">
        <v>46795</v>
      </c>
      <c r="X13478" t="s">
        <v>47321</v>
      </c>
    </row>
    <row r="13479" spans="1:24">
      <c r="A13479">
        <f>HYPERLINK("https://www.philgeps.gov.ph/GEPSNONPILOT/Tender/SplashBidNoticeAbstractUI.aspx?menuIndex=3&amp;refID=7170572&amp;Result=3","7170572")</f>
        <v>0</v>
      </c>
      <c r="B13479" t="s">
        <v>575</v>
      </c>
      <c r="C13479" t="s">
        <v>5665</v>
      </c>
      <c r="D13479" t="s">
        <v>19036</v>
      </c>
      <c r="E13479" t="s">
        <v>30493</v>
      </c>
      <c r="F13479" t="s">
        <v>32606</v>
      </c>
      <c r="G13479" t="s">
        <v>32613</v>
      </c>
      <c r="H13479" t="s">
        <v>14201</v>
      </c>
      <c r="I13479" t="s">
        <v>7677</v>
      </c>
      <c r="J13479" t="s">
        <v>41095</v>
      </c>
      <c r="K13479" t="s">
        <v>42622</v>
      </c>
      <c r="M13479" t="s">
        <v>44070</v>
      </c>
      <c r="N13479" t="s">
        <v>47304</v>
      </c>
      <c r="O13479" t="s">
        <v>47305</v>
      </c>
      <c r="P13479">
        <v>0</v>
      </c>
      <c r="Q13479">
        <v>0</v>
      </c>
      <c r="R13479" t="s">
        <v>47320</v>
      </c>
      <c r="S13479" t="s">
        <v>47917</v>
      </c>
      <c r="T13479" t="s">
        <v>48971</v>
      </c>
      <c r="U13479" t="s">
        <v>60685</v>
      </c>
      <c r="W13479" t="s">
        <v>44070</v>
      </c>
      <c r="X13479" t="s">
        <v>47321</v>
      </c>
    </row>
    <row r="13480" spans="1:24">
      <c r="A13480">
        <f>HYPERLINK("https://www.philgeps.gov.ph/GEPSNONPILOT/Tender/SplashBidNoticeAbstractUI.aspx?menuIndex=3&amp;refID=7170569&amp;Result=3","7170569")</f>
        <v>0</v>
      </c>
      <c r="B13480" t="s">
        <v>3641</v>
      </c>
      <c r="C13480" t="s">
        <v>16598</v>
      </c>
      <c r="D13480" t="s">
        <v>19022</v>
      </c>
      <c r="E13480" t="s">
        <v>30494</v>
      </c>
      <c r="F13480" t="s">
        <v>32606</v>
      </c>
      <c r="G13480" t="s">
        <v>32613</v>
      </c>
      <c r="H13480" t="s">
        <v>32623</v>
      </c>
      <c r="I13480" t="s">
        <v>17648</v>
      </c>
      <c r="J13480" t="s">
        <v>32860</v>
      </c>
      <c r="K13480" t="s">
        <v>42682</v>
      </c>
      <c r="M13480" t="s">
        <v>46941</v>
      </c>
      <c r="N13480" t="s">
        <v>47304</v>
      </c>
      <c r="O13480" t="s">
        <v>47305</v>
      </c>
      <c r="Q13480">
        <v>1</v>
      </c>
      <c r="R13480" t="s">
        <v>47320</v>
      </c>
      <c r="S13480" t="s">
        <v>48061</v>
      </c>
      <c r="T13480" t="s">
        <v>49041</v>
      </c>
      <c r="U13480" t="s">
        <v>60686</v>
      </c>
      <c r="W13480" t="s">
        <v>46941</v>
      </c>
      <c r="X13480" t="s">
        <v>47321</v>
      </c>
    </row>
    <row r="13481" spans="1:24">
      <c r="A13481">
        <f>HYPERLINK("https://www.philgeps.gov.ph/GEPSNONPILOT/Tender/SplashBidNoticeAbstractUI.aspx?menuIndex=3&amp;refID=7170564&amp;Result=3","7170564")</f>
        <v>0</v>
      </c>
      <c r="B13481" t="s">
        <v>3638</v>
      </c>
      <c r="C13481" t="s">
        <v>16590</v>
      </c>
      <c r="D13481" t="s">
        <v>18997</v>
      </c>
      <c r="E13481" t="s">
        <v>30495</v>
      </c>
      <c r="F13481" t="s">
        <v>32606</v>
      </c>
      <c r="G13481" t="s">
        <v>32613</v>
      </c>
      <c r="H13481" t="s">
        <v>32623</v>
      </c>
      <c r="I13481" t="s">
        <v>17648</v>
      </c>
      <c r="J13481" t="s">
        <v>32772</v>
      </c>
      <c r="K13481" t="s">
        <v>42648</v>
      </c>
      <c r="M13481" t="s">
        <v>46938</v>
      </c>
      <c r="N13481" t="s">
        <v>47304</v>
      </c>
      <c r="O13481" t="s">
        <v>47305</v>
      </c>
      <c r="Q13481">
        <v>2</v>
      </c>
      <c r="R13481" t="s">
        <v>47320</v>
      </c>
      <c r="S13481" t="s">
        <v>48062</v>
      </c>
      <c r="T13481" t="s">
        <v>49087</v>
      </c>
      <c r="U13481" t="s">
        <v>60687</v>
      </c>
      <c r="W13481" t="s">
        <v>46938</v>
      </c>
      <c r="X13481" t="s">
        <v>47321</v>
      </c>
    </row>
    <row r="13482" spans="1:24">
      <c r="A13482">
        <f>HYPERLINK("https://www.philgeps.gov.ph/GEPSNONPILOT/Tender/SplashBidNoticeAbstractUI.aspx?menuIndex=3&amp;refID=7170562&amp;Result=3","7170562")</f>
        <v>0</v>
      </c>
      <c r="B13482" t="s">
        <v>903</v>
      </c>
      <c r="C13482" t="s">
        <v>16599</v>
      </c>
      <c r="D13482" t="s">
        <v>19049</v>
      </c>
      <c r="E13482" t="s">
        <v>30496</v>
      </c>
      <c r="F13482" t="s">
        <v>32606</v>
      </c>
      <c r="G13482" t="s">
        <v>32613</v>
      </c>
      <c r="H13482" t="s">
        <v>32623</v>
      </c>
      <c r="I13482" t="s">
        <v>17648</v>
      </c>
      <c r="J13482" t="s">
        <v>41096</v>
      </c>
      <c r="K13482" t="s">
        <v>42821</v>
      </c>
      <c r="M13482" t="s">
        <v>46942</v>
      </c>
      <c r="N13482" t="s">
        <v>47304</v>
      </c>
      <c r="O13482" t="s">
        <v>47305</v>
      </c>
      <c r="P13482">
        <v>0</v>
      </c>
      <c r="Q13482">
        <v>2</v>
      </c>
      <c r="R13482" t="s">
        <v>47320</v>
      </c>
      <c r="S13482" t="s">
        <v>47917</v>
      </c>
      <c r="T13482" t="s">
        <v>49219</v>
      </c>
      <c r="U13482" t="s">
        <v>60688</v>
      </c>
      <c r="W13482" t="s">
        <v>46942</v>
      </c>
      <c r="X13482" t="s">
        <v>47321</v>
      </c>
    </row>
    <row r="13483" spans="1:24">
      <c r="A13483">
        <f>HYPERLINK("https://www.philgeps.gov.ph/GEPSNONPILOT/Tender/SplashBidNoticeAbstractUI.aspx?menuIndex=3&amp;refID=7170556&amp;Result=3","7170556")</f>
        <v>0</v>
      </c>
      <c r="B13483" t="s">
        <v>903</v>
      </c>
      <c r="C13483" t="s">
        <v>16600</v>
      </c>
      <c r="D13483" t="s">
        <v>19049</v>
      </c>
      <c r="E13483" t="s">
        <v>30497</v>
      </c>
      <c r="F13483" t="s">
        <v>32606</v>
      </c>
      <c r="G13483" t="s">
        <v>32613</v>
      </c>
      <c r="H13483" t="s">
        <v>32623</v>
      </c>
      <c r="I13483" t="s">
        <v>17648</v>
      </c>
      <c r="J13483" t="s">
        <v>41097</v>
      </c>
      <c r="K13483" t="s">
        <v>42639</v>
      </c>
      <c r="M13483" t="s">
        <v>46942</v>
      </c>
      <c r="N13483" t="s">
        <v>47304</v>
      </c>
      <c r="O13483" t="s">
        <v>47305</v>
      </c>
      <c r="P13483">
        <v>0</v>
      </c>
      <c r="Q13483">
        <v>0</v>
      </c>
      <c r="R13483" t="s">
        <v>47320</v>
      </c>
      <c r="S13483" t="s">
        <v>47917</v>
      </c>
      <c r="T13483" t="s">
        <v>49219</v>
      </c>
      <c r="U13483" t="s">
        <v>60689</v>
      </c>
      <c r="W13483" t="s">
        <v>46942</v>
      </c>
      <c r="X13483" t="s">
        <v>47321</v>
      </c>
    </row>
    <row r="13484" spans="1:24">
      <c r="A13484">
        <f>HYPERLINK("https://www.philgeps.gov.ph/GEPSNONPILOT/Tender/SplashBidNoticeAbstractUI.aspx?menuIndex=3&amp;refID=7170554&amp;Result=3","7170554")</f>
        <v>0</v>
      </c>
      <c r="B13484" t="s">
        <v>3638</v>
      </c>
      <c r="C13484" t="s">
        <v>16590</v>
      </c>
      <c r="D13484" t="s">
        <v>18997</v>
      </c>
      <c r="E13484" t="s">
        <v>30498</v>
      </c>
      <c r="F13484" t="s">
        <v>32606</v>
      </c>
      <c r="G13484" t="s">
        <v>32613</v>
      </c>
      <c r="H13484" t="s">
        <v>32623</v>
      </c>
      <c r="I13484" t="s">
        <v>17648</v>
      </c>
      <c r="J13484" t="s">
        <v>32772</v>
      </c>
      <c r="K13484" t="s">
        <v>42648</v>
      </c>
      <c r="M13484" t="s">
        <v>46938</v>
      </c>
      <c r="N13484" t="s">
        <v>47304</v>
      </c>
      <c r="O13484" t="s">
        <v>47305</v>
      </c>
      <c r="Q13484">
        <v>3</v>
      </c>
      <c r="R13484" t="s">
        <v>47320</v>
      </c>
      <c r="S13484" t="s">
        <v>47632</v>
      </c>
      <c r="T13484" t="s">
        <v>49087</v>
      </c>
      <c r="U13484" t="s">
        <v>60690</v>
      </c>
      <c r="W13484" t="s">
        <v>46938</v>
      </c>
      <c r="X13484" t="s">
        <v>47321</v>
      </c>
    </row>
    <row r="13485" spans="1:24">
      <c r="A13485">
        <f>HYPERLINK("https://www.philgeps.gov.ph/GEPSNONPILOT/Tender/SplashBidNoticeAbstractUI.aspx?menuIndex=3&amp;refID=7170552&amp;Result=3","7170552")</f>
        <v>0</v>
      </c>
      <c r="B13485" t="s">
        <v>903</v>
      </c>
      <c r="C13485" t="s">
        <v>16601</v>
      </c>
      <c r="D13485" t="s">
        <v>19049</v>
      </c>
      <c r="E13485" t="s">
        <v>30499</v>
      </c>
      <c r="F13485" t="s">
        <v>32606</v>
      </c>
      <c r="G13485" t="s">
        <v>32613</v>
      </c>
      <c r="H13485" t="s">
        <v>32623</v>
      </c>
      <c r="I13485" t="s">
        <v>17648</v>
      </c>
      <c r="J13485" t="s">
        <v>41098</v>
      </c>
      <c r="K13485" t="s">
        <v>42712</v>
      </c>
      <c r="M13485" t="s">
        <v>46942</v>
      </c>
      <c r="N13485" t="s">
        <v>47304</v>
      </c>
      <c r="O13485" t="s">
        <v>47305</v>
      </c>
      <c r="P13485">
        <v>0</v>
      </c>
      <c r="Q13485">
        <v>4</v>
      </c>
      <c r="R13485" t="s">
        <v>47320</v>
      </c>
      <c r="S13485" t="s">
        <v>47917</v>
      </c>
      <c r="T13485" t="s">
        <v>49219</v>
      </c>
      <c r="U13485" t="s">
        <v>60691</v>
      </c>
      <c r="W13485" t="s">
        <v>46942</v>
      </c>
      <c r="X13485" t="s">
        <v>47321</v>
      </c>
    </row>
    <row r="13486" spans="1:24">
      <c r="A13486">
        <f>HYPERLINK("https://www.philgeps.gov.ph/GEPSNONPILOT/Tender/SplashBidNoticeAbstractUI.aspx?menuIndex=3&amp;refID=7170550&amp;Result=3","7170550")</f>
        <v>0</v>
      </c>
      <c r="B13486" t="s">
        <v>2594</v>
      </c>
      <c r="C13486" t="s">
        <v>16602</v>
      </c>
      <c r="D13486" t="s">
        <v>19009</v>
      </c>
      <c r="E13486" t="s">
        <v>22401</v>
      </c>
      <c r="F13486" t="s">
        <v>32606</v>
      </c>
      <c r="G13486" t="s">
        <v>32613</v>
      </c>
      <c r="H13486" t="s">
        <v>14201</v>
      </c>
      <c r="I13486" t="s">
        <v>6931</v>
      </c>
      <c r="J13486" t="s">
        <v>41099</v>
      </c>
      <c r="K13486" t="s">
        <v>42622</v>
      </c>
      <c r="M13486" t="s">
        <v>45737</v>
      </c>
      <c r="N13486" t="s">
        <v>47304</v>
      </c>
      <c r="O13486" t="s">
        <v>47305</v>
      </c>
      <c r="P13486">
        <v>0</v>
      </c>
      <c r="Q13486">
        <v>0</v>
      </c>
      <c r="R13486" t="s">
        <v>47320</v>
      </c>
      <c r="S13486" t="s">
        <v>47917</v>
      </c>
      <c r="T13486" t="s">
        <v>48987</v>
      </c>
      <c r="U13486" t="s">
        <v>60692</v>
      </c>
      <c r="W13486" t="s">
        <v>45737</v>
      </c>
      <c r="X13486" t="s">
        <v>47321</v>
      </c>
    </row>
    <row r="13487" spans="1:24">
      <c r="A13487">
        <f>HYPERLINK("https://www.philgeps.gov.ph/GEPSNONPILOT/Tender/SplashBidNoticeAbstractUI.aspx?menuIndex=3&amp;refID=7170591&amp;Result=3","7170591")</f>
        <v>0</v>
      </c>
      <c r="B13487" t="s">
        <v>3642</v>
      </c>
      <c r="C13487" t="s">
        <v>16603</v>
      </c>
      <c r="D13487" t="s">
        <v>19038</v>
      </c>
      <c r="E13487" t="s">
        <v>30500</v>
      </c>
      <c r="F13487" t="s">
        <v>32606</v>
      </c>
      <c r="G13487" t="s">
        <v>32613</v>
      </c>
      <c r="H13487" t="s">
        <v>14201</v>
      </c>
      <c r="I13487" t="s">
        <v>4369</v>
      </c>
      <c r="J13487" t="s">
        <v>41100</v>
      </c>
      <c r="K13487" t="s">
        <v>42630</v>
      </c>
      <c r="M13487" t="s">
        <v>46943</v>
      </c>
      <c r="N13487" t="s">
        <v>47304</v>
      </c>
      <c r="O13487" t="s">
        <v>47305</v>
      </c>
      <c r="P13487">
        <v>0</v>
      </c>
      <c r="Q13487">
        <v>6</v>
      </c>
      <c r="R13487" t="s">
        <v>47320</v>
      </c>
      <c r="S13487" t="s">
        <v>47917</v>
      </c>
      <c r="T13487" t="s">
        <v>48986</v>
      </c>
      <c r="U13487" t="s">
        <v>60693</v>
      </c>
      <c r="W13487" t="s">
        <v>46943</v>
      </c>
      <c r="X13487" t="s">
        <v>47321</v>
      </c>
    </row>
    <row r="13488" spans="1:24">
      <c r="A13488">
        <f>HYPERLINK("https://www.philgeps.gov.ph/GEPSNONPILOT/Tender/SplashBidNoticeAbstractUI.aspx?menuIndex=3&amp;refID=7170520&amp;Result=3","7170520")</f>
        <v>0</v>
      </c>
      <c r="B13488" t="s">
        <v>1759</v>
      </c>
      <c r="C13488" t="s">
        <v>16604</v>
      </c>
      <c r="D13488" t="s">
        <v>19035</v>
      </c>
      <c r="E13488" t="s">
        <v>30501</v>
      </c>
      <c r="F13488" t="s">
        <v>32606</v>
      </c>
      <c r="G13488" t="s">
        <v>32613</v>
      </c>
      <c r="H13488" t="s">
        <v>32623</v>
      </c>
      <c r="I13488" t="s">
        <v>17648</v>
      </c>
      <c r="J13488" t="s">
        <v>32795</v>
      </c>
      <c r="K13488" t="s">
        <v>42753</v>
      </c>
      <c r="M13488" t="s">
        <v>44796</v>
      </c>
      <c r="N13488" t="s">
        <v>47304</v>
      </c>
      <c r="O13488" t="s">
        <v>47305</v>
      </c>
      <c r="P13488">
        <v>0</v>
      </c>
      <c r="Q13488">
        <v>2</v>
      </c>
      <c r="R13488" t="s">
        <v>47320</v>
      </c>
      <c r="S13488" t="s">
        <v>47917</v>
      </c>
      <c r="T13488" t="s">
        <v>49002</v>
      </c>
      <c r="U13488" t="s">
        <v>60694</v>
      </c>
      <c r="W13488" t="s">
        <v>44796</v>
      </c>
      <c r="X13488" t="s">
        <v>47321</v>
      </c>
    </row>
    <row r="13489" spans="1:24">
      <c r="A13489">
        <f>HYPERLINK("https://www.philgeps.gov.ph/GEPSNONPILOT/Tender/SplashBidNoticeAbstractUI.aspx?menuIndex=3&amp;refID=7170585&amp;Result=3","7170585")</f>
        <v>0</v>
      </c>
      <c r="B13489" t="s">
        <v>3638</v>
      </c>
      <c r="C13489" t="s">
        <v>16605</v>
      </c>
      <c r="D13489" t="s">
        <v>18997</v>
      </c>
      <c r="E13489" t="s">
        <v>30502</v>
      </c>
      <c r="F13489" t="s">
        <v>32606</v>
      </c>
      <c r="G13489" t="s">
        <v>32613</v>
      </c>
      <c r="H13489" t="s">
        <v>14201</v>
      </c>
      <c r="I13489" t="s">
        <v>32626</v>
      </c>
      <c r="J13489" t="s">
        <v>33123</v>
      </c>
      <c r="K13489" t="s">
        <v>42639</v>
      </c>
      <c r="M13489" t="s">
        <v>46938</v>
      </c>
      <c r="N13489" t="s">
        <v>47304</v>
      </c>
      <c r="O13489" t="s">
        <v>47305</v>
      </c>
      <c r="Q13489">
        <v>2</v>
      </c>
      <c r="R13489" t="s">
        <v>47320</v>
      </c>
      <c r="S13489" t="s">
        <v>48063</v>
      </c>
      <c r="T13489" t="s">
        <v>49087</v>
      </c>
      <c r="U13489" t="s">
        <v>60695</v>
      </c>
      <c r="W13489" t="s">
        <v>46938</v>
      </c>
      <c r="X13489" t="s">
        <v>47321</v>
      </c>
    </row>
    <row r="13490" spans="1:24">
      <c r="A13490">
        <f>HYPERLINK("https://www.philgeps.gov.ph/GEPSNONPILOT/Tender/SplashBidNoticeAbstractUI.aspx?menuIndex=3&amp;refID=7170583&amp;Result=3","7170583")</f>
        <v>0</v>
      </c>
      <c r="B13490" t="s">
        <v>575</v>
      </c>
      <c r="C13490" t="s">
        <v>5665</v>
      </c>
      <c r="D13490" t="s">
        <v>19036</v>
      </c>
      <c r="E13490" t="s">
        <v>30503</v>
      </c>
      <c r="F13490" t="s">
        <v>32606</v>
      </c>
      <c r="G13490" t="s">
        <v>32613</v>
      </c>
      <c r="H13490" t="s">
        <v>14201</v>
      </c>
      <c r="I13490" t="s">
        <v>7677</v>
      </c>
      <c r="J13490" t="s">
        <v>41101</v>
      </c>
      <c r="K13490" t="s">
        <v>42622</v>
      </c>
      <c r="M13490" t="s">
        <v>44070</v>
      </c>
      <c r="N13490" t="s">
        <v>47304</v>
      </c>
      <c r="O13490" t="s">
        <v>47305</v>
      </c>
      <c r="P13490">
        <v>0</v>
      </c>
      <c r="Q13490">
        <v>0</v>
      </c>
      <c r="R13490" t="s">
        <v>47320</v>
      </c>
      <c r="S13490" t="s">
        <v>47917</v>
      </c>
      <c r="T13490" t="s">
        <v>48971</v>
      </c>
      <c r="U13490" t="s">
        <v>60696</v>
      </c>
      <c r="W13490" t="s">
        <v>44070</v>
      </c>
      <c r="X13490" t="s">
        <v>47321</v>
      </c>
    </row>
    <row r="13491" spans="1:24">
      <c r="A13491">
        <f>HYPERLINK("https://www.philgeps.gov.ph/GEPSNONPILOT/Tender/SplashBidNoticeAbstractUI.aspx?menuIndex=3&amp;refID=7170570&amp;Result=3","7170570")</f>
        <v>0</v>
      </c>
      <c r="B13491" t="s">
        <v>903</v>
      </c>
      <c r="C13491" t="s">
        <v>16606</v>
      </c>
      <c r="D13491" t="s">
        <v>19049</v>
      </c>
      <c r="E13491" t="s">
        <v>30504</v>
      </c>
      <c r="F13491" t="s">
        <v>32606</v>
      </c>
      <c r="G13491" t="s">
        <v>32613</v>
      </c>
      <c r="H13491" t="s">
        <v>32623</v>
      </c>
      <c r="I13491" t="s">
        <v>17648</v>
      </c>
      <c r="J13491" t="s">
        <v>41102</v>
      </c>
      <c r="K13491" t="s">
        <v>42856</v>
      </c>
      <c r="M13491" t="s">
        <v>46942</v>
      </c>
      <c r="N13491" t="s">
        <v>47304</v>
      </c>
      <c r="O13491" t="s">
        <v>47305</v>
      </c>
      <c r="P13491">
        <v>0</v>
      </c>
      <c r="Q13491">
        <v>2</v>
      </c>
      <c r="R13491" t="s">
        <v>47320</v>
      </c>
      <c r="S13491" t="s">
        <v>47917</v>
      </c>
      <c r="T13491" t="s">
        <v>49219</v>
      </c>
      <c r="U13491" t="s">
        <v>60697</v>
      </c>
      <c r="W13491" t="s">
        <v>46942</v>
      </c>
      <c r="X13491" t="s">
        <v>47321</v>
      </c>
    </row>
    <row r="13492" spans="1:24">
      <c r="A13492">
        <f>HYPERLINK("https://www.philgeps.gov.ph/GEPSNONPILOT/Tender/SplashBidNoticeAbstractUI.aspx?menuIndex=3&amp;refID=7170577&amp;Result=3","7170577")</f>
        <v>0</v>
      </c>
      <c r="B13492" t="s">
        <v>3643</v>
      </c>
      <c r="C13492" t="s">
        <v>16607</v>
      </c>
      <c r="D13492" t="s">
        <v>19036</v>
      </c>
      <c r="E13492" t="s">
        <v>30505</v>
      </c>
      <c r="F13492" t="s">
        <v>32606</v>
      </c>
      <c r="G13492" t="s">
        <v>32613</v>
      </c>
      <c r="H13492" t="s">
        <v>14201</v>
      </c>
      <c r="I13492" t="s">
        <v>6931</v>
      </c>
      <c r="J13492" t="s">
        <v>41103</v>
      </c>
      <c r="K13492" t="s">
        <v>42631</v>
      </c>
      <c r="M13492" t="s">
        <v>46944</v>
      </c>
      <c r="N13492" t="s">
        <v>47304</v>
      </c>
      <c r="O13492" t="s">
        <v>47305</v>
      </c>
      <c r="P13492">
        <v>0</v>
      </c>
      <c r="Q13492">
        <v>1</v>
      </c>
      <c r="R13492" t="s">
        <v>47320</v>
      </c>
      <c r="S13492" t="s">
        <v>47917</v>
      </c>
      <c r="T13492" t="s">
        <v>48986</v>
      </c>
      <c r="U13492" t="s">
        <v>60698</v>
      </c>
      <c r="W13492" t="s">
        <v>46944</v>
      </c>
      <c r="X13492" t="s">
        <v>47321</v>
      </c>
    </row>
    <row r="13493" spans="1:24">
      <c r="A13493">
        <f>HYPERLINK("https://www.philgeps.gov.ph/GEPSNONPILOT/Tender/SplashBidNoticeAbstractUI.aspx?menuIndex=3&amp;refID=7170502&amp;Result=3","7170502")</f>
        <v>0</v>
      </c>
      <c r="B13493" t="s">
        <v>3524</v>
      </c>
      <c r="C13493" t="s">
        <v>16608</v>
      </c>
      <c r="D13493" t="s">
        <v>19023</v>
      </c>
      <c r="E13493" t="s">
        <v>30506</v>
      </c>
      <c r="F13493" t="s">
        <v>32606</v>
      </c>
      <c r="G13493" t="s">
        <v>32613</v>
      </c>
      <c r="H13493" t="s">
        <v>14201</v>
      </c>
      <c r="I13493" t="s">
        <v>4678</v>
      </c>
      <c r="J13493" t="s">
        <v>33195</v>
      </c>
      <c r="K13493" t="s">
        <v>42631</v>
      </c>
      <c r="M13493" t="s">
        <v>46795</v>
      </c>
      <c r="N13493" t="s">
        <v>47304</v>
      </c>
      <c r="O13493" t="s">
        <v>47305</v>
      </c>
      <c r="P13493">
        <v>0</v>
      </c>
      <c r="Q13493">
        <v>0</v>
      </c>
      <c r="R13493" t="s">
        <v>47320</v>
      </c>
      <c r="S13493" t="s">
        <v>47917</v>
      </c>
      <c r="T13493" t="s">
        <v>49076</v>
      </c>
      <c r="U13493" t="s">
        <v>60699</v>
      </c>
      <c r="W13493" t="s">
        <v>46795</v>
      </c>
      <c r="X13493" t="s">
        <v>47321</v>
      </c>
    </row>
    <row r="13494" spans="1:24">
      <c r="A13494">
        <f>HYPERLINK("https://www.philgeps.gov.ph/GEPSNONPILOT/Tender/SplashBidNoticeAbstractUI.aspx?menuIndex=3&amp;refID=7170574&amp;Result=3","7170574")</f>
        <v>0</v>
      </c>
      <c r="B13494" t="s">
        <v>1129</v>
      </c>
      <c r="C13494" t="s">
        <v>16609</v>
      </c>
      <c r="D13494" t="s">
        <v>18993</v>
      </c>
      <c r="E13494" t="s">
        <v>30507</v>
      </c>
      <c r="F13494" t="s">
        <v>32606</v>
      </c>
      <c r="G13494" t="s">
        <v>32613</v>
      </c>
      <c r="H13494" t="s">
        <v>32623</v>
      </c>
      <c r="I13494" t="s">
        <v>17648</v>
      </c>
      <c r="J13494" t="s">
        <v>41104</v>
      </c>
      <c r="K13494" t="s">
        <v>42650</v>
      </c>
      <c r="M13494" t="s">
        <v>44091</v>
      </c>
      <c r="N13494" t="s">
        <v>47304</v>
      </c>
      <c r="O13494" t="s">
        <v>47305</v>
      </c>
      <c r="P13494">
        <v>0</v>
      </c>
      <c r="Q13494">
        <v>6</v>
      </c>
      <c r="R13494" t="s">
        <v>47320</v>
      </c>
      <c r="S13494" t="s">
        <v>47917</v>
      </c>
      <c r="T13494" t="s">
        <v>48986</v>
      </c>
      <c r="U13494" t="s">
        <v>51973</v>
      </c>
      <c r="W13494" t="s">
        <v>44091</v>
      </c>
      <c r="X13494" t="s">
        <v>47321</v>
      </c>
    </row>
    <row r="13495" spans="1:24">
      <c r="A13495">
        <f>HYPERLINK("https://www.philgeps.gov.ph/GEPSNONPILOT/Tender/SplashBidNoticeAbstractUI.aspx?menuIndex=3&amp;refID=7170573&amp;Result=3","7170573")</f>
        <v>0</v>
      </c>
      <c r="B13495" t="s">
        <v>3638</v>
      </c>
      <c r="C13495" t="s">
        <v>16590</v>
      </c>
      <c r="D13495" t="s">
        <v>18997</v>
      </c>
      <c r="E13495" t="s">
        <v>30508</v>
      </c>
      <c r="F13495" t="s">
        <v>32606</v>
      </c>
      <c r="G13495" t="s">
        <v>32613</v>
      </c>
      <c r="H13495" t="s">
        <v>32623</v>
      </c>
      <c r="I13495" t="s">
        <v>17648</v>
      </c>
      <c r="J13495" t="s">
        <v>32772</v>
      </c>
      <c r="K13495" t="s">
        <v>42648</v>
      </c>
      <c r="M13495" t="s">
        <v>46938</v>
      </c>
      <c r="N13495" t="s">
        <v>47304</v>
      </c>
      <c r="O13495" t="s">
        <v>47305</v>
      </c>
      <c r="Q13495">
        <v>2</v>
      </c>
      <c r="R13495" t="s">
        <v>47320</v>
      </c>
      <c r="S13495" t="s">
        <v>48064</v>
      </c>
      <c r="T13495" t="s">
        <v>49087</v>
      </c>
      <c r="U13495" t="s">
        <v>60700</v>
      </c>
      <c r="W13495" t="s">
        <v>46938</v>
      </c>
      <c r="X13495" t="s">
        <v>47321</v>
      </c>
    </row>
    <row r="13496" spans="1:24">
      <c r="A13496">
        <f>HYPERLINK("https://www.philgeps.gov.ph/GEPSNONPILOT/Tender/SplashBidNoticeAbstractUI.aspx?menuIndex=3&amp;refID=7170543&amp;Result=3","7170543")</f>
        <v>0</v>
      </c>
      <c r="B13496" t="s">
        <v>903</v>
      </c>
      <c r="C13496" t="s">
        <v>16610</v>
      </c>
      <c r="D13496" t="s">
        <v>19049</v>
      </c>
      <c r="E13496" t="s">
        <v>30509</v>
      </c>
      <c r="F13496" t="s">
        <v>32606</v>
      </c>
      <c r="G13496" t="s">
        <v>32613</v>
      </c>
      <c r="H13496" t="s">
        <v>32623</v>
      </c>
      <c r="I13496" t="s">
        <v>17648</v>
      </c>
      <c r="J13496" t="s">
        <v>41105</v>
      </c>
      <c r="K13496" t="s">
        <v>42701</v>
      </c>
      <c r="M13496" t="s">
        <v>46942</v>
      </c>
      <c r="N13496" t="s">
        <v>47304</v>
      </c>
      <c r="O13496" t="s">
        <v>47305</v>
      </c>
      <c r="P13496">
        <v>0</v>
      </c>
      <c r="Q13496">
        <v>2</v>
      </c>
      <c r="R13496" t="s">
        <v>47320</v>
      </c>
      <c r="S13496" t="s">
        <v>47917</v>
      </c>
      <c r="T13496" t="s">
        <v>49219</v>
      </c>
      <c r="U13496" t="s">
        <v>60701</v>
      </c>
      <c r="W13496" t="s">
        <v>46942</v>
      </c>
      <c r="X13496" t="s">
        <v>47321</v>
      </c>
    </row>
    <row r="13497" spans="1:24">
      <c r="A13497">
        <f>HYPERLINK("https://www.philgeps.gov.ph/GEPSNONPILOT/Tender/SplashBidNoticeAbstractUI.aspx?menuIndex=3&amp;refID=7170540&amp;Result=3","7170540")</f>
        <v>0</v>
      </c>
      <c r="B13497" t="s">
        <v>3524</v>
      </c>
      <c r="C13497" t="s">
        <v>16611</v>
      </c>
      <c r="D13497" t="s">
        <v>19023</v>
      </c>
      <c r="E13497" t="s">
        <v>30510</v>
      </c>
      <c r="F13497" t="s">
        <v>32606</v>
      </c>
      <c r="G13497" t="s">
        <v>32613</v>
      </c>
      <c r="H13497" t="s">
        <v>14201</v>
      </c>
      <c r="I13497" t="s">
        <v>6931</v>
      </c>
      <c r="J13497" t="s">
        <v>41106</v>
      </c>
      <c r="K13497" t="s">
        <v>42631</v>
      </c>
      <c r="M13497" t="s">
        <v>46795</v>
      </c>
      <c r="N13497" t="s">
        <v>47304</v>
      </c>
      <c r="O13497" t="s">
        <v>47305</v>
      </c>
      <c r="P13497">
        <v>0</v>
      </c>
      <c r="Q13497">
        <v>0</v>
      </c>
      <c r="R13497" t="s">
        <v>47320</v>
      </c>
      <c r="S13497" t="s">
        <v>47917</v>
      </c>
      <c r="T13497" t="s">
        <v>49076</v>
      </c>
      <c r="U13497" t="s">
        <v>60702</v>
      </c>
      <c r="W13497" t="s">
        <v>46795</v>
      </c>
      <c r="X13497" t="s">
        <v>47321</v>
      </c>
    </row>
    <row r="13498" spans="1:24">
      <c r="A13498">
        <f>HYPERLINK("https://www.philgeps.gov.ph/GEPSNONPILOT/Tender/SplashBidNoticeAbstractUI.aspx?menuIndex=3&amp;refID=7170546&amp;Result=3","7170546")</f>
        <v>0</v>
      </c>
      <c r="B13498" t="s">
        <v>575</v>
      </c>
      <c r="C13498" t="s">
        <v>4434</v>
      </c>
      <c r="D13498" t="s">
        <v>19036</v>
      </c>
      <c r="E13498" t="s">
        <v>30511</v>
      </c>
      <c r="F13498" t="s">
        <v>32606</v>
      </c>
      <c r="G13498" t="s">
        <v>32613</v>
      </c>
      <c r="H13498" t="s">
        <v>14201</v>
      </c>
      <c r="I13498" t="s">
        <v>32638</v>
      </c>
      <c r="J13498" t="s">
        <v>41107</v>
      </c>
      <c r="K13498" t="s">
        <v>42622</v>
      </c>
      <c r="M13498" t="s">
        <v>44070</v>
      </c>
      <c r="N13498" t="s">
        <v>47304</v>
      </c>
      <c r="O13498" t="s">
        <v>47305</v>
      </c>
      <c r="P13498">
        <v>0</v>
      </c>
      <c r="Q13498">
        <v>19</v>
      </c>
      <c r="R13498" t="s">
        <v>47320</v>
      </c>
      <c r="S13498" t="s">
        <v>47917</v>
      </c>
      <c r="T13498" t="s">
        <v>48971</v>
      </c>
      <c r="U13498" t="s">
        <v>60703</v>
      </c>
      <c r="W13498" t="s">
        <v>44070</v>
      </c>
      <c r="X13498" t="s">
        <v>47321</v>
      </c>
    </row>
    <row r="13499" spans="1:24">
      <c r="A13499">
        <f>HYPERLINK("https://www.philgeps.gov.ph/GEPSNONPILOT/Tender/SplashBidNoticeAbstractUI.aspx?menuIndex=3&amp;refID=7170578&amp;Result=3","7170578")</f>
        <v>0</v>
      </c>
      <c r="B13499" t="s">
        <v>3638</v>
      </c>
      <c r="C13499" t="s">
        <v>16612</v>
      </c>
      <c r="D13499" t="s">
        <v>18997</v>
      </c>
      <c r="E13499" t="s">
        <v>30512</v>
      </c>
      <c r="F13499" t="s">
        <v>32606</v>
      </c>
      <c r="G13499" t="s">
        <v>32613</v>
      </c>
      <c r="H13499" t="s">
        <v>14201</v>
      </c>
      <c r="I13499" t="s">
        <v>7064</v>
      </c>
      <c r="J13499" t="s">
        <v>32767</v>
      </c>
      <c r="K13499" t="s">
        <v>42639</v>
      </c>
      <c r="M13499" t="s">
        <v>46938</v>
      </c>
      <c r="N13499" t="s">
        <v>47304</v>
      </c>
      <c r="O13499" t="s">
        <v>47305</v>
      </c>
      <c r="Q13499">
        <v>1</v>
      </c>
      <c r="R13499" t="s">
        <v>47320</v>
      </c>
      <c r="S13499" t="s">
        <v>48065</v>
      </c>
      <c r="T13499" t="s">
        <v>49087</v>
      </c>
      <c r="U13499" t="s">
        <v>60704</v>
      </c>
      <c r="W13499" t="s">
        <v>46938</v>
      </c>
      <c r="X13499" t="s">
        <v>47321</v>
      </c>
    </row>
    <row r="13500" spans="1:24">
      <c r="A13500">
        <f>HYPERLINK("https://www.philgeps.gov.ph/GEPSNONPILOT/Tender/SplashBidNoticeAbstractUI.aspx?menuIndex=3&amp;refID=7170595&amp;Result=3","7170595")</f>
        <v>0</v>
      </c>
      <c r="B13500" t="s">
        <v>1169</v>
      </c>
      <c r="C13500" t="s">
        <v>16613</v>
      </c>
      <c r="D13500" t="s">
        <v>19003</v>
      </c>
      <c r="E13500" t="s">
        <v>30513</v>
      </c>
      <c r="F13500" t="s">
        <v>32606</v>
      </c>
      <c r="G13500" t="s">
        <v>32613</v>
      </c>
      <c r="H13500" t="s">
        <v>32623</v>
      </c>
      <c r="I13500" t="s">
        <v>17648</v>
      </c>
      <c r="J13500" t="s">
        <v>32772</v>
      </c>
      <c r="K13500" t="s">
        <v>42697</v>
      </c>
      <c r="M13500" t="s">
        <v>46834</v>
      </c>
      <c r="N13500" t="s">
        <v>47304</v>
      </c>
      <c r="O13500" t="s">
        <v>47305</v>
      </c>
      <c r="Q13500">
        <v>0</v>
      </c>
      <c r="R13500" t="s">
        <v>47320</v>
      </c>
      <c r="S13500" t="s">
        <v>48066</v>
      </c>
      <c r="T13500" t="s">
        <v>49011</v>
      </c>
      <c r="U13500" t="s">
        <v>60121</v>
      </c>
      <c r="W13500" t="s">
        <v>46834</v>
      </c>
      <c r="X13500" t="s">
        <v>47321</v>
      </c>
    </row>
    <row r="13501" spans="1:24">
      <c r="A13501">
        <f>HYPERLINK("https://www.philgeps.gov.ph/GEPSNONPILOT/Tender/SplashBidNoticeAbstractUI.aspx?menuIndex=3&amp;refID=7170584&amp;Result=3","7170584")</f>
        <v>0</v>
      </c>
      <c r="B13501" t="s">
        <v>1129</v>
      </c>
      <c r="C13501" t="s">
        <v>16614</v>
      </c>
      <c r="D13501" t="s">
        <v>18993</v>
      </c>
      <c r="E13501" t="s">
        <v>30514</v>
      </c>
      <c r="F13501" t="s">
        <v>32606</v>
      </c>
      <c r="G13501" t="s">
        <v>32613</v>
      </c>
      <c r="H13501" t="s">
        <v>32623</v>
      </c>
      <c r="I13501" t="s">
        <v>17648</v>
      </c>
      <c r="J13501" t="s">
        <v>41108</v>
      </c>
      <c r="K13501" t="s">
        <v>42651</v>
      </c>
      <c r="M13501" t="s">
        <v>44091</v>
      </c>
      <c r="N13501" t="s">
        <v>47304</v>
      </c>
      <c r="O13501" t="s">
        <v>47305</v>
      </c>
      <c r="Q13501">
        <v>7</v>
      </c>
      <c r="R13501" t="s">
        <v>47320</v>
      </c>
      <c r="S13501" t="s">
        <v>48067</v>
      </c>
      <c r="T13501" t="s">
        <v>48986</v>
      </c>
      <c r="U13501" t="s">
        <v>60705</v>
      </c>
      <c r="W13501" t="s">
        <v>44091</v>
      </c>
      <c r="X13501" t="s">
        <v>47321</v>
      </c>
    </row>
    <row r="13502" spans="1:24">
      <c r="A13502">
        <f>HYPERLINK("https://www.philgeps.gov.ph/GEPSNONPILOT/Tender/SplashBidNoticeAbstractUI.aspx?menuIndex=3&amp;refID=7170666&amp;Result=3","7170666")</f>
        <v>0</v>
      </c>
      <c r="B13502" t="s">
        <v>3644</v>
      </c>
      <c r="C13502" t="s">
        <v>16615</v>
      </c>
      <c r="D13502" t="s">
        <v>19050</v>
      </c>
      <c r="E13502" t="s">
        <v>30515</v>
      </c>
      <c r="F13502" t="s">
        <v>32606</v>
      </c>
      <c r="G13502" t="s">
        <v>32613</v>
      </c>
      <c r="H13502" t="s">
        <v>14201</v>
      </c>
      <c r="I13502" t="s">
        <v>4114</v>
      </c>
      <c r="J13502" t="s">
        <v>41109</v>
      </c>
      <c r="K13502" t="s">
        <v>42622</v>
      </c>
      <c r="M13502" t="s">
        <v>46945</v>
      </c>
      <c r="N13502" t="s">
        <v>47304</v>
      </c>
      <c r="O13502" t="s">
        <v>47305</v>
      </c>
      <c r="P13502">
        <v>0</v>
      </c>
      <c r="Q13502">
        <v>8</v>
      </c>
      <c r="R13502" t="s">
        <v>47320</v>
      </c>
      <c r="S13502" t="s">
        <v>47917</v>
      </c>
      <c r="T13502" t="s">
        <v>49023</v>
      </c>
      <c r="U13502" t="s">
        <v>60706</v>
      </c>
      <c r="W13502" t="s">
        <v>46945</v>
      </c>
      <c r="X13502" t="s">
        <v>47321</v>
      </c>
    </row>
    <row r="13503" spans="1:24">
      <c r="A13503">
        <f>HYPERLINK("https://www.philgeps.gov.ph/GEPSNONPILOT/Tender/SplashBidNoticeAbstractUI.aspx?menuIndex=3&amp;refID=7170684&amp;Result=3","7170684")</f>
        <v>0</v>
      </c>
      <c r="B13503" t="s">
        <v>3126</v>
      </c>
      <c r="C13503" t="s">
        <v>16616</v>
      </c>
      <c r="D13503" t="s">
        <v>19028</v>
      </c>
      <c r="E13503" t="s">
        <v>30516</v>
      </c>
      <c r="F13503" t="s">
        <v>32606</v>
      </c>
      <c r="G13503" t="s">
        <v>32613</v>
      </c>
      <c r="H13503" t="s">
        <v>32623</v>
      </c>
      <c r="I13503" t="s">
        <v>17648</v>
      </c>
      <c r="J13503" t="s">
        <v>41110</v>
      </c>
      <c r="K13503" t="s">
        <v>42676</v>
      </c>
      <c r="M13503" t="s">
        <v>46337</v>
      </c>
      <c r="N13503" t="s">
        <v>47304</v>
      </c>
      <c r="O13503" t="s">
        <v>47305</v>
      </c>
      <c r="Q13503">
        <v>12</v>
      </c>
      <c r="R13503" t="s">
        <v>47320</v>
      </c>
      <c r="S13503" t="s">
        <v>48068</v>
      </c>
      <c r="T13503" t="s">
        <v>48980</v>
      </c>
      <c r="U13503" t="s">
        <v>60707</v>
      </c>
      <c r="W13503" t="s">
        <v>46337</v>
      </c>
      <c r="X13503" t="s">
        <v>47321</v>
      </c>
    </row>
    <row r="13504" spans="1:24">
      <c r="A13504">
        <f>HYPERLINK("https://www.philgeps.gov.ph/GEPSNONPILOT/Tender/SplashBidNoticeAbstractUI.aspx?menuIndex=3&amp;refID=7170653&amp;Result=3","7170653")</f>
        <v>0</v>
      </c>
      <c r="B13504" t="s">
        <v>3094</v>
      </c>
      <c r="C13504" t="s">
        <v>16617</v>
      </c>
      <c r="D13504" t="s">
        <v>19017</v>
      </c>
      <c r="E13504" t="s">
        <v>30517</v>
      </c>
      <c r="F13504" t="s">
        <v>32606</v>
      </c>
      <c r="G13504" t="s">
        <v>32613</v>
      </c>
      <c r="H13504" t="s">
        <v>14201</v>
      </c>
      <c r="I13504" t="s">
        <v>7064</v>
      </c>
      <c r="J13504" t="s">
        <v>32830</v>
      </c>
      <c r="K13504" t="s">
        <v>42636</v>
      </c>
      <c r="M13504" t="s">
        <v>46300</v>
      </c>
      <c r="N13504" t="s">
        <v>47304</v>
      </c>
      <c r="O13504" t="s">
        <v>47305</v>
      </c>
      <c r="Q13504">
        <v>6</v>
      </c>
      <c r="R13504" t="s">
        <v>47320</v>
      </c>
      <c r="S13504" t="s">
        <v>48069</v>
      </c>
      <c r="T13504" t="s">
        <v>49198</v>
      </c>
      <c r="U13504" t="s">
        <v>60708</v>
      </c>
      <c r="W13504" t="s">
        <v>46300</v>
      </c>
      <c r="X13504" t="s">
        <v>47321</v>
      </c>
    </row>
    <row r="13505" spans="1:24">
      <c r="A13505">
        <f>HYPERLINK("https://www.philgeps.gov.ph/GEPSNONPILOT/Tender/SplashBidNoticeAbstractUI.aspx?menuIndex=3&amp;refID=7170620&amp;Result=3","7170620")</f>
        <v>0</v>
      </c>
      <c r="B13505" t="s">
        <v>903</v>
      </c>
      <c r="C13505" t="s">
        <v>16618</v>
      </c>
      <c r="D13505" t="s">
        <v>19049</v>
      </c>
      <c r="E13505" t="s">
        <v>30518</v>
      </c>
      <c r="F13505" t="s">
        <v>32606</v>
      </c>
      <c r="G13505" t="s">
        <v>32613</v>
      </c>
      <c r="H13505" t="s">
        <v>32623</v>
      </c>
      <c r="I13505" t="s">
        <v>17648</v>
      </c>
      <c r="J13505" t="s">
        <v>41111</v>
      </c>
      <c r="K13505" t="s">
        <v>42697</v>
      </c>
      <c r="M13505" t="s">
        <v>46942</v>
      </c>
      <c r="N13505" t="s">
        <v>47304</v>
      </c>
      <c r="O13505" t="s">
        <v>47305</v>
      </c>
      <c r="P13505">
        <v>0</v>
      </c>
      <c r="Q13505">
        <v>2</v>
      </c>
      <c r="R13505" t="s">
        <v>47320</v>
      </c>
      <c r="S13505" t="s">
        <v>47917</v>
      </c>
      <c r="T13505" t="s">
        <v>49219</v>
      </c>
      <c r="U13505" t="s">
        <v>60709</v>
      </c>
      <c r="W13505" t="s">
        <v>46942</v>
      </c>
      <c r="X13505" t="s">
        <v>47321</v>
      </c>
    </row>
    <row r="13506" spans="1:24">
      <c r="A13506">
        <f>HYPERLINK("https://www.philgeps.gov.ph/GEPSNONPILOT/Tender/SplashBidNoticeAbstractUI.aspx?menuIndex=3&amp;refID=7170616&amp;Result=3","7170616")</f>
        <v>0</v>
      </c>
      <c r="B13506" t="s">
        <v>71</v>
      </c>
      <c r="C13506" t="s">
        <v>16619</v>
      </c>
      <c r="D13506" t="s">
        <v>19017</v>
      </c>
      <c r="E13506" t="s">
        <v>30519</v>
      </c>
      <c r="F13506" t="s">
        <v>32606</v>
      </c>
      <c r="G13506" t="s">
        <v>32613</v>
      </c>
      <c r="H13506" t="s">
        <v>14201</v>
      </c>
      <c r="I13506" t="s">
        <v>4120</v>
      </c>
      <c r="J13506" t="s">
        <v>41112</v>
      </c>
      <c r="K13506" t="s">
        <v>42630</v>
      </c>
      <c r="M13506" t="s">
        <v>42968</v>
      </c>
      <c r="N13506" t="s">
        <v>47304</v>
      </c>
      <c r="O13506" t="s">
        <v>47305</v>
      </c>
      <c r="P13506">
        <v>0</v>
      </c>
      <c r="Q13506">
        <v>4</v>
      </c>
      <c r="R13506" t="s">
        <v>47320</v>
      </c>
      <c r="S13506" t="s">
        <v>47917</v>
      </c>
      <c r="T13506" t="s">
        <v>49007</v>
      </c>
      <c r="U13506" t="s">
        <v>60710</v>
      </c>
      <c r="W13506" t="s">
        <v>42968</v>
      </c>
      <c r="X13506" t="s">
        <v>47321</v>
      </c>
    </row>
    <row r="13507" spans="1:24">
      <c r="A13507">
        <f>HYPERLINK("https://www.philgeps.gov.ph/GEPSNONPILOT/Tender/SplashBidNoticeAbstractUI.aspx?menuIndex=3&amp;refID=7170598&amp;Result=3","7170598")</f>
        <v>0</v>
      </c>
      <c r="B13507" t="s">
        <v>575</v>
      </c>
      <c r="C13507" t="s">
        <v>4540</v>
      </c>
      <c r="D13507" t="s">
        <v>19036</v>
      </c>
      <c r="E13507" t="s">
        <v>30520</v>
      </c>
      <c r="F13507" t="s">
        <v>32606</v>
      </c>
      <c r="G13507" t="s">
        <v>32613</v>
      </c>
      <c r="H13507" t="s">
        <v>14201</v>
      </c>
      <c r="I13507" t="s">
        <v>32633</v>
      </c>
      <c r="J13507" t="s">
        <v>41113</v>
      </c>
      <c r="K13507" t="s">
        <v>42622</v>
      </c>
      <c r="M13507" t="s">
        <v>44070</v>
      </c>
      <c r="N13507" t="s">
        <v>47304</v>
      </c>
      <c r="O13507" t="s">
        <v>47305</v>
      </c>
      <c r="P13507">
        <v>0</v>
      </c>
      <c r="Q13507">
        <v>14</v>
      </c>
      <c r="R13507" t="s">
        <v>47320</v>
      </c>
      <c r="S13507" t="s">
        <v>47917</v>
      </c>
      <c r="T13507" t="s">
        <v>48971</v>
      </c>
      <c r="U13507" t="s">
        <v>60711</v>
      </c>
      <c r="W13507" t="s">
        <v>44070</v>
      </c>
      <c r="X13507" t="s">
        <v>47321</v>
      </c>
    </row>
    <row r="13508" spans="1:24">
      <c r="A13508">
        <f>HYPERLINK("https://www.philgeps.gov.ph/GEPSNONPILOT/Tender/SplashBidNoticeAbstractUI.aspx?menuIndex=3&amp;refID=7170525&amp;Result=3","7170525")</f>
        <v>0</v>
      </c>
      <c r="B13508" t="s">
        <v>3524</v>
      </c>
      <c r="C13508" t="s">
        <v>16620</v>
      </c>
      <c r="D13508" t="s">
        <v>19023</v>
      </c>
      <c r="E13508" t="s">
        <v>30521</v>
      </c>
      <c r="F13508" t="s">
        <v>32606</v>
      </c>
      <c r="G13508" t="s">
        <v>32613</v>
      </c>
      <c r="H13508" t="s">
        <v>14201</v>
      </c>
      <c r="I13508" t="s">
        <v>6931</v>
      </c>
      <c r="J13508" t="s">
        <v>41114</v>
      </c>
      <c r="K13508" t="s">
        <v>42631</v>
      </c>
      <c r="M13508" t="s">
        <v>46795</v>
      </c>
      <c r="N13508" t="s">
        <v>47304</v>
      </c>
      <c r="O13508" t="s">
        <v>47305</v>
      </c>
      <c r="P13508">
        <v>0</v>
      </c>
      <c r="Q13508">
        <v>0</v>
      </c>
      <c r="R13508" t="s">
        <v>47320</v>
      </c>
      <c r="S13508" t="s">
        <v>47917</v>
      </c>
      <c r="T13508" t="s">
        <v>49076</v>
      </c>
      <c r="U13508" t="s">
        <v>60712</v>
      </c>
      <c r="W13508" t="s">
        <v>46795</v>
      </c>
      <c r="X13508" t="s">
        <v>47321</v>
      </c>
    </row>
    <row r="13509" spans="1:24">
      <c r="A13509">
        <f>HYPERLINK("https://www.philgeps.gov.ph/GEPSNONPILOT/Tender/SplashBidNoticeAbstractUI.aspx?menuIndex=3&amp;refID=7170705&amp;Result=3","7170705")</f>
        <v>0</v>
      </c>
      <c r="B13509" t="s">
        <v>1119</v>
      </c>
      <c r="C13509" t="s">
        <v>16621</v>
      </c>
      <c r="D13509" t="s">
        <v>19002</v>
      </c>
      <c r="E13509" t="s">
        <v>30522</v>
      </c>
      <c r="F13509" t="s">
        <v>32606</v>
      </c>
      <c r="G13509" t="s">
        <v>32613</v>
      </c>
      <c r="H13509" t="s">
        <v>14201</v>
      </c>
      <c r="I13509" t="s">
        <v>32629</v>
      </c>
      <c r="J13509" t="s">
        <v>41115</v>
      </c>
      <c r="K13509" t="s">
        <v>42648</v>
      </c>
      <c r="M13509" t="s">
        <v>44081</v>
      </c>
      <c r="N13509" t="s">
        <v>47304</v>
      </c>
      <c r="O13509" t="s">
        <v>47305</v>
      </c>
      <c r="P13509">
        <v>0</v>
      </c>
      <c r="Q13509">
        <v>0</v>
      </c>
      <c r="R13509" t="s">
        <v>47320</v>
      </c>
      <c r="S13509" t="s">
        <v>47917</v>
      </c>
      <c r="T13509" t="s">
        <v>48971</v>
      </c>
      <c r="U13509" t="s">
        <v>60713</v>
      </c>
      <c r="W13509" t="s">
        <v>64462</v>
      </c>
      <c r="X13509" t="s">
        <v>47321</v>
      </c>
    </row>
    <row r="13510" spans="1:24">
      <c r="A13510">
        <f>HYPERLINK("https://www.philgeps.gov.ph/GEPSNONPILOT/Tender/SplashBidNoticeAbstractUI.aspx?menuIndex=3&amp;refID=7170683&amp;Result=3","7170683")</f>
        <v>0</v>
      </c>
      <c r="B13510" t="s">
        <v>1995</v>
      </c>
      <c r="C13510" t="s">
        <v>16622</v>
      </c>
      <c r="D13510" t="s">
        <v>18993</v>
      </c>
      <c r="E13510" t="s">
        <v>30523</v>
      </c>
      <c r="F13510" t="s">
        <v>32606</v>
      </c>
      <c r="G13510" t="s">
        <v>32613</v>
      </c>
      <c r="H13510" t="s">
        <v>32623</v>
      </c>
      <c r="I13510" t="s">
        <v>32675</v>
      </c>
      <c r="J13510" t="s">
        <v>33829</v>
      </c>
      <c r="K13510" t="s">
        <v>42651</v>
      </c>
      <c r="M13510" t="s">
        <v>46946</v>
      </c>
      <c r="N13510" t="s">
        <v>47304</v>
      </c>
      <c r="O13510" t="s">
        <v>47305</v>
      </c>
      <c r="P13510">
        <v>0</v>
      </c>
      <c r="Q13510">
        <v>3</v>
      </c>
      <c r="R13510" t="s">
        <v>47320</v>
      </c>
      <c r="S13510" t="s">
        <v>47917</v>
      </c>
      <c r="T13510" t="s">
        <v>48971</v>
      </c>
      <c r="U13510" t="s">
        <v>60714</v>
      </c>
      <c r="W13510" t="s">
        <v>46946</v>
      </c>
      <c r="X13510" t="s">
        <v>47321</v>
      </c>
    </row>
    <row r="13511" spans="1:24">
      <c r="A13511">
        <f>HYPERLINK("https://www.philgeps.gov.ph/GEPSNONPILOT/Tender/SplashBidNoticeAbstractUI.aspx?menuIndex=3&amp;refID=7170677&amp;Result=3","7170677")</f>
        <v>0</v>
      </c>
      <c r="B13511" t="s">
        <v>3644</v>
      </c>
      <c r="C13511" t="s">
        <v>16623</v>
      </c>
      <c r="D13511" t="s">
        <v>19050</v>
      </c>
      <c r="E13511" t="s">
        <v>30524</v>
      </c>
      <c r="F13511" t="s">
        <v>32606</v>
      </c>
      <c r="G13511" t="s">
        <v>32613</v>
      </c>
      <c r="H13511" t="s">
        <v>14201</v>
      </c>
      <c r="I13511" t="s">
        <v>32647</v>
      </c>
      <c r="J13511" t="s">
        <v>32772</v>
      </c>
      <c r="K13511" t="s">
        <v>42622</v>
      </c>
      <c r="M13511" t="s">
        <v>46945</v>
      </c>
      <c r="N13511" t="s">
        <v>47304</v>
      </c>
      <c r="O13511" t="s">
        <v>47305</v>
      </c>
      <c r="P13511">
        <v>0</v>
      </c>
      <c r="Q13511">
        <v>5</v>
      </c>
      <c r="R13511" t="s">
        <v>47320</v>
      </c>
      <c r="S13511" t="s">
        <v>47917</v>
      </c>
      <c r="T13511" t="s">
        <v>49023</v>
      </c>
      <c r="U13511" t="s">
        <v>60706</v>
      </c>
      <c r="W13511" t="s">
        <v>46945</v>
      </c>
      <c r="X13511" t="s">
        <v>47321</v>
      </c>
    </row>
    <row r="13512" spans="1:24">
      <c r="A13512">
        <f>HYPERLINK("https://www.philgeps.gov.ph/GEPSNONPILOT/Tender/SplashBidNoticeAbstractUI.aspx?menuIndex=3&amp;refID=7170639&amp;Result=3","7170639")</f>
        <v>0</v>
      </c>
      <c r="B13512" t="s">
        <v>71</v>
      </c>
      <c r="C13512" t="s">
        <v>16624</v>
      </c>
      <c r="D13512" t="s">
        <v>19017</v>
      </c>
      <c r="E13512" t="s">
        <v>30525</v>
      </c>
      <c r="F13512" t="s">
        <v>32606</v>
      </c>
      <c r="G13512" t="s">
        <v>32613</v>
      </c>
      <c r="H13512" t="s">
        <v>32623</v>
      </c>
      <c r="I13512" t="s">
        <v>17648</v>
      </c>
      <c r="J13512" t="s">
        <v>41116</v>
      </c>
      <c r="K13512" t="s">
        <v>42740</v>
      </c>
      <c r="M13512" t="s">
        <v>42968</v>
      </c>
      <c r="N13512" t="s">
        <v>47304</v>
      </c>
      <c r="O13512" t="s">
        <v>47305</v>
      </c>
      <c r="P13512">
        <v>0</v>
      </c>
      <c r="Q13512">
        <v>1</v>
      </c>
      <c r="R13512" t="s">
        <v>47320</v>
      </c>
      <c r="S13512" t="s">
        <v>47917</v>
      </c>
      <c r="T13512" t="s">
        <v>49156</v>
      </c>
      <c r="U13512" t="s">
        <v>60715</v>
      </c>
      <c r="V13512" t="s">
        <v>64099</v>
      </c>
      <c r="W13512" t="s">
        <v>42968</v>
      </c>
      <c r="X13512" t="s">
        <v>47321</v>
      </c>
    </row>
    <row r="13513" spans="1:24">
      <c r="A13513">
        <f>HYPERLINK("https://www.philgeps.gov.ph/GEPSNONPILOT/Tender/SplashBidNoticeAbstractUI.aspx?menuIndex=3&amp;refID=7170623&amp;Result=3","7170623")</f>
        <v>0</v>
      </c>
      <c r="B13513" t="s">
        <v>71</v>
      </c>
      <c r="C13513" t="s">
        <v>16625</v>
      </c>
      <c r="D13513" t="s">
        <v>19017</v>
      </c>
      <c r="E13513" t="s">
        <v>30519</v>
      </c>
      <c r="F13513" t="s">
        <v>32608</v>
      </c>
      <c r="G13513" t="s">
        <v>32613</v>
      </c>
      <c r="H13513" t="s">
        <v>14201</v>
      </c>
      <c r="I13513" t="s">
        <v>6007</v>
      </c>
      <c r="J13513" t="s">
        <v>36517</v>
      </c>
      <c r="K13513" t="s">
        <v>42630</v>
      </c>
      <c r="M13513" t="s">
        <v>42968</v>
      </c>
      <c r="N13513" t="s">
        <v>47304</v>
      </c>
      <c r="O13513" t="s">
        <v>47305</v>
      </c>
      <c r="P13513">
        <v>0</v>
      </c>
      <c r="Q13513">
        <v>0</v>
      </c>
      <c r="R13513" t="s">
        <v>47320</v>
      </c>
      <c r="S13513" t="s">
        <v>47917</v>
      </c>
      <c r="T13513" t="s">
        <v>49108</v>
      </c>
      <c r="U13513" t="s">
        <v>60716</v>
      </c>
      <c r="W13513" t="s">
        <v>42968</v>
      </c>
      <c r="X13513" t="s">
        <v>47321</v>
      </c>
    </row>
    <row r="13514" spans="1:24">
      <c r="A13514">
        <f>HYPERLINK("https://www.philgeps.gov.ph/GEPSNONPILOT/Tender/SplashBidNoticeAbstractUI.aspx?menuIndex=3&amp;refID=7170693&amp;Result=3","7170693")</f>
        <v>0</v>
      </c>
      <c r="B13514" t="s">
        <v>1119</v>
      </c>
      <c r="C13514" t="s">
        <v>16626</v>
      </c>
      <c r="D13514" t="s">
        <v>19002</v>
      </c>
      <c r="E13514" t="s">
        <v>30526</v>
      </c>
      <c r="F13514" t="s">
        <v>32606</v>
      </c>
      <c r="G13514" t="s">
        <v>32613</v>
      </c>
      <c r="H13514" t="s">
        <v>14201</v>
      </c>
      <c r="I13514" t="s">
        <v>6007</v>
      </c>
      <c r="J13514" t="s">
        <v>41117</v>
      </c>
      <c r="K13514" t="s">
        <v>42648</v>
      </c>
      <c r="M13514" t="s">
        <v>44081</v>
      </c>
      <c r="N13514" t="s">
        <v>47304</v>
      </c>
      <c r="O13514" t="s">
        <v>47305</v>
      </c>
      <c r="P13514">
        <v>0</v>
      </c>
      <c r="Q13514">
        <v>0</v>
      </c>
      <c r="R13514" t="s">
        <v>47320</v>
      </c>
      <c r="S13514" t="s">
        <v>47917</v>
      </c>
      <c r="T13514" t="s">
        <v>48971</v>
      </c>
      <c r="U13514" t="s">
        <v>60717</v>
      </c>
      <c r="W13514" t="s">
        <v>64462</v>
      </c>
      <c r="X13514" t="s">
        <v>47321</v>
      </c>
    </row>
    <row r="13515" spans="1:24">
      <c r="A13515">
        <f>HYPERLINK("https://www.philgeps.gov.ph/GEPSNONPILOT/Tender/SplashBidNoticeAbstractUI.aspx?menuIndex=3&amp;refID=7170701&amp;Result=3","7170701")</f>
        <v>0</v>
      </c>
      <c r="B13515" t="s">
        <v>1119</v>
      </c>
      <c r="C13515" t="s">
        <v>16627</v>
      </c>
      <c r="D13515" t="s">
        <v>19002</v>
      </c>
      <c r="E13515" t="s">
        <v>30527</v>
      </c>
      <c r="F13515" t="s">
        <v>32606</v>
      </c>
      <c r="G13515" t="s">
        <v>32613</v>
      </c>
      <c r="H13515" t="s">
        <v>14201</v>
      </c>
      <c r="I13515" t="s">
        <v>32655</v>
      </c>
      <c r="J13515" t="s">
        <v>34431</v>
      </c>
      <c r="K13515" t="s">
        <v>42631</v>
      </c>
      <c r="M13515" t="s">
        <v>44081</v>
      </c>
      <c r="N13515" t="s">
        <v>47304</v>
      </c>
      <c r="O13515" t="s">
        <v>47305</v>
      </c>
      <c r="P13515">
        <v>0</v>
      </c>
      <c r="Q13515">
        <v>5</v>
      </c>
      <c r="R13515" t="s">
        <v>47320</v>
      </c>
      <c r="S13515" t="s">
        <v>47917</v>
      </c>
      <c r="T13515" t="s">
        <v>48971</v>
      </c>
      <c r="U13515" t="s">
        <v>60718</v>
      </c>
      <c r="W13515" t="s">
        <v>64462</v>
      </c>
      <c r="X13515" t="s">
        <v>47321</v>
      </c>
    </row>
    <row r="13516" spans="1:24">
      <c r="A13516">
        <f>HYPERLINK("https://www.philgeps.gov.ph/GEPSNONPILOT/Tender/SplashBidNoticeAbstractUI.aspx?menuIndex=3&amp;refID=7170596&amp;Result=3","7170596")</f>
        <v>0</v>
      </c>
      <c r="B13516" t="s">
        <v>1129</v>
      </c>
      <c r="C13516" t="s">
        <v>16628</v>
      </c>
      <c r="D13516" t="s">
        <v>18993</v>
      </c>
      <c r="E13516" t="s">
        <v>30528</v>
      </c>
      <c r="F13516" t="s">
        <v>32606</v>
      </c>
      <c r="G13516" t="s">
        <v>32613</v>
      </c>
      <c r="H13516" t="s">
        <v>32623</v>
      </c>
      <c r="I13516" t="s">
        <v>17648</v>
      </c>
      <c r="J13516" t="s">
        <v>41118</v>
      </c>
      <c r="K13516" t="s">
        <v>42650</v>
      </c>
      <c r="M13516" t="s">
        <v>44091</v>
      </c>
      <c r="N13516" t="s">
        <v>47304</v>
      </c>
      <c r="O13516" t="s">
        <v>47305</v>
      </c>
      <c r="Q13516">
        <v>10</v>
      </c>
      <c r="R13516" t="s">
        <v>47320</v>
      </c>
      <c r="S13516" t="s">
        <v>48070</v>
      </c>
      <c r="T13516" t="s">
        <v>48986</v>
      </c>
      <c r="U13516" t="s">
        <v>60705</v>
      </c>
      <c r="W13516" t="s">
        <v>44091</v>
      </c>
      <c r="X13516" t="s">
        <v>47321</v>
      </c>
    </row>
    <row r="13517" spans="1:24">
      <c r="A13517">
        <f>HYPERLINK("https://www.philgeps.gov.ph/GEPSNONPILOT/Tender/SplashBidNoticeAbstractUI.aspx?menuIndex=3&amp;refID=7170615&amp;Result=3","7170615")</f>
        <v>0</v>
      </c>
      <c r="B13517" t="s">
        <v>3643</v>
      </c>
      <c r="C13517" t="s">
        <v>16629</v>
      </c>
      <c r="D13517" t="s">
        <v>19036</v>
      </c>
      <c r="E13517" t="s">
        <v>30529</v>
      </c>
      <c r="F13517" t="s">
        <v>32606</v>
      </c>
      <c r="G13517" t="s">
        <v>32613</v>
      </c>
      <c r="H13517" t="s">
        <v>14201</v>
      </c>
      <c r="I13517" t="s">
        <v>6931</v>
      </c>
      <c r="J13517" t="s">
        <v>41119</v>
      </c>
      <c r="K13517" t="s">
        <v>42631</v>
      </c>
      <c r="M13517" t="s">
        <v>46944</v>
      </c>
      <c r="N13517" t="s">
        <v>47304</v>
      </c>
      <c r="O13517" t="s">
        <v>47305</v>
      </c>
      <c r="P13517">
        <v>0</v>
      </c>
      <c r="Q13517">
        <v>0</v>
      </c>
      <c r="R13517" t="s">
        <v>47320</v>
      </c>
      <c r="S13517" t="s">
        <v>47917</v>
      </c>
      <c r="T13517" t="s">
        <v>48986</v>
      </c>
      <c r="U13517" t="s">
        <v>60719</v>
      </c>
      <c r="W13517" t="s">
        <v>46944</v>
      </c>
      <c r="X13517" t="s">
        <v>47321</v>
      </c>
    </row>
    <row r="13518" spans="1:24">
      <c r="A13518">
        <f>HYPERLINK("https://www.philgeps.gov.ph/GEPSNONPILOT/Tender/SplashBidNoticeAbstractUI.aspx?menuIndex=3&amp;refID=7170711&amp;Result=3","7170711")</f>
        <v>0</v>
      </c>
      <c r="B13518" t="s">
        <v>1119</v>
      </c>
      <c r="C13518" t="s">
        <v>16630</v>
      </c>
      <c r="D13518" t="s">
        <v>19002</v>
      </c>
      <c r="E13518" t="s">
        <v>30530</v>
      </c>
      <c r="F13518" t="s">
        <v>32606</v>
      </c>
      <c r="G13518" t="s">
        <v>32613</v>
      </c>
      <c r="H13518" t="s">
        <v>14201</v>
      </c>
      <c r="I13518" t="s">
        <v>32629</v>
      </c>
      <c r="J13518" t="s">
        <v>41120</v>
      </c>
      <c r="K13518" t="s">
        <v>42648</v>
      </c>
      <c r="M13518" t="s">
        <v>44081</v>
      </c>
      <c r="N13518" t="s">
        <v>47304</v>
      </c>
      <c r="O13518" t="s">
        <v>47305</v>
      </c>
      <c r="P13518">
        <v>0</v>
      </c>
      <c r="Q13518">
        <v>0</v>
      </c>
      <c r="R13518" t="s">
        <v>47320</v>
      </c>
      <c r="S13518" t="s">
        <v>47917</v>
      </c>
      <c r="T13518" t="s">
        <v>49101</v>
      </c>
      <c r="U13518" t="s">
        <v>60720</v>
      </c>
      <c r="W13518" t="s">
        <v>64462</v>
      </c>
      <c r="X13518" t="s">
        <v>47321</v>
      </c>
    </row>
    <row r="13519" spans="1:24">
      <c r="A13519">
        <f>HYPERLINK("https://www.philgeps.gov.ph/GEPSNONPILOT/Tender/SplashBidNoticeAbstractUI.aspx?menuIndex=3&amp;refID=7109635&amp;Result=3","7109635")</f>
        <v>0</v>
      </c>
      <c r="B13519" t="s">
        <v>3562</v>
      </c>
      <c r="C13519" t="s">
        <v>16631</v>
      </c>
      <c r="E13519" t="s">
        <v>29989</v>
      </c>
      <c r="F13519" t="s">
        <v>32606</v>
      </c>
      <c r="G13519" t="s">
        <v>32613</v>
      </c>
      <c r="H13519" t="s">
        <v>14201</v>
      </c>
      <c r="I13519" t="s">
        <v>32662</v>
      </c>
      <c r="J13519" t="s">
        <v>41121</v>
      </c>
      <c r="K13519" t="s">
        <v>42636</v>
      </c>
      <c r="M13519" t="s">
        <v>46847</v>
      </c>
      <c r="N13519" t="s">
        <v>47304</v>
      </c>
      <c r="O13519" t="s">
        <v>47305</v>
      </c>
      <c r="P13519">
        <v>0</v>
      </c>
      <c r="Q13519">
        <v>31</v>
      </c>
      <c r="R13519" t="s">
        <v>47321</v>
      </c>
      <c r="S13519" t="s">
        <v>48071</v>
      </c>
      <c r="T13519" t="s">
        <v>49052</v>
      </c>
      <c r="U13519" t="s">
        <v>60165</v>
      </c>
      <c r="V13519" t="s">
        <v>64100</v>
      </c>
      <c r="W13519" t="s">
        <v>46847</v>
      </c>
      <c r="X13519" t="s">
        <v>47349</v>
      </c>
    </row>
    <row r="13520" spans="1:24">
      <c r="A13520">
        <f>HYPERLINK("https://www.philgeps.gov.ph/GEPSNONPILOT/Tender/SplashBidNoticeAbstractUI.aspx?menuIndex=3&amp;refID=7109617&amp;Result=3","7109617")</f>
        <v>0</v>
      </c>
      <c r="B13520" t="s">
        <v>3562</v>
      </c>
      <c r="C13520" t="s">
        <v>16632</v>
      </c>
      <c r="E13520" t="s">
        <v>29989</v>
      </c>
      <c r="F13520" t="s">
        <v>32606</v>
      </c>
      <c r="G13520" t="s">
        <v>32613</v>
      </c>
      <c r="H13520" t="s">
        <v>14201</v>
      </c>
      <c r="I13520" t="s">
        <v>32662</v>
      </c>
      <c r="J13520" t="s">
        <v>41122</v>
      </c>
      <c r="K13520" t="s">
        <v>42636</v>
      </c>
      <c r="M13520" t="s">
        <v>46847</v>
      </c>
      <c r="N13520" t="s">
        <v>47304</v>
      </c>
      <c r="O13520" t="s">
        <v>47305</v>
      </c>
      <c r="P13520">
        <v>0</v>
      </c>
      <c r="Q13520">
        <v>28</v>
      </c>
      <c r="R13520" t="s">
        <v>47321</v>
      </c>
      <c r="S13520" t="s">
        <v>48071</v>
      </c>
      <c r="T13520" t="s">
        <v>49052</v>
      </c>
      <c r="U13520" t="s">
        <v>60165</v>
      </c>
      <c r="V13520" t="s">
        <v>64049</v>
      </c>
      <c r="W13520" t="s">
        <v>46847</v>
      </c>
      <c r="X13520" t="s">
        <v>47349</v>
      </c>
    </row>
    <row r="13521" spans="1:24">
      <c r="A13521">
        <f>HYPERLINK("https://www.philgeps.gov.ph/GEPSNONPILOT/Tender/SplashBidNoticeAbstractUI.aspx?menuIndex=3&amp;refID=7109516&amp;Result=3","7109516")</f>
        <v>0</v>
      </c>
      <c r="B13521" t="s">
        <v>3562</v>
      </c>
      <c r="C13521" t="s">
        <v>16633</v>
      </c>
      <c r="E13521" t="s">
        <v>29989</v>
      </c>
      <c r="F13521" t="s">
        <v>32606</v>
      </c>
      <c r="G13521" t="s">
        <v>32613</v>
      </c>
      <c r="H13521" t="s">
        <v>14201</v>
      </c>
      <c r="I13521" t="s">
        <v>32662</v>
      </c>
      <c r="J13521" t="s">
        <v>41123</v>
      </c>
      <c r="K13521" t="s">
        <v>42636</v>
      </c>
      <c r="M13521" t="s">
        <v>46847</v>
      </c>
      <c r="N13521" t="s">
        <v>47304</v>
      </c>
      <c r="O13521" t="s">
        <v>47305</v>
      </c>
      <c r="P13521">
        <v>0</v>
      </c>
      <c r="Q13521">
        <v>25</v>
      </c>
      <c r="R13521" t="s">
        <v>47321</v>
      </c>
      <c r="S13521" t="s">
        <v>48071</v>
      </c>
      <c r="T13521" t="s">
        <v>49052</v>
      </c>
      <c r="U13521" t="s">
        <v>60165</v>
      </c>
      <c r="V13521" t="s">
        <v>64049</v>
      </c>
      <c r="W13521" t="s">
        <v>46847</v>
      </c>
      <c r="X13521" t="s">
        <v>47349</v>
      </c>
    </row>
    <row r="13522" spans="1:24">
      <c r="A13522">
        <f>HYPERLINK("https://www.philgeps.gov.ph/GEPSNONPILOT/Tender/SplashBidNoticeAbstractUI.aspx?menuIndex=3&amp;refID=7170697&amp;Result=3","7170697")</f>
        <v>0</v>
      </c>
      <c r="B13522" t="s">
        <v>3126</v>
      </c>
      <c r="C13522" t="s">
        <v>16634</v>
      </c>
      <c r="D13522" t="s">
        <v>19028</v>
      </c>
      <c r="E13522" t="s">
        <v>30531</v>
      </c>
      <c r="F13522" t="s">
        <v>32606</v>
      </c>
      <c r="G13522" t="s">
        <v>32613</v>
      </c>
      <c r="H13522" t="s">
        <v>32623</v>
      </c>
      <c r="I13522" t="s">
        <v>17648</v>
      </c>
      <c r="J13522" t="s">
        <v>32783</v>
      </c>
      <c r="K13522" t="s">
        <v>42883</v>
      </c>
      <c r="M13522" t="s">
        <v>46337</v>
      </c>
      <c r="N13522" t="s">
        <v>47304</v>
      </c>
      <c r="O13522" t="s">
        <v>47305</v>
      </c>
      <c r="Q13522">
        <v>14</v>
      </c>
      <c r="R13522" t="s">
        <v>47320</v>
      </c>
      <c r="S13522" t="s">
        <v>48072</v>
      </c>
      <c r="T13522" t="s">
        <v>48980</v>
      </c>
      <c r="U13522" t="s">
        <v>60721</v>
      </c>
      <c r="W13522" t="s">
        <v>46337</v>
      </c>
      <c r="X13522" t="s">
        <v>47321</v>
      </c>
    </row>
    <row r="13523" spans="1:24">
      <c r="A13523">
        <f>HYPERLINK("https://www.philgeps.gov.ph/GEPSNONPILOT/Tender/SplashBidNoticeAbstractUI.aspx?menuIndex=3&amp;refID=7170689&amp;Result=3","7170689")</f>
        <v>0</v>
      </c>
      <c r="B13523" t="s">
        <v>3126</v>
      </c>
      <c r="C13523" t="s">
        <v>16635</v>
      </c>
      <c r="D13523" t="s">
        <v>19028</v>
      </c>
      <c r="E13523" t="s">
        <v>30532</v>
      </c>
      <c r="F13523" t="s">
        <v>32606</v>
      </c>
      <c r="G13523" t="s">
        <v>32613</v>
      </c>
      <c r="H13523" t="s">
        <v>32623</v>
      </c>
      <c r="I13523" t="s">
        <v>17648</v>
      </c>
      <c r="J13523" t="s">
        <v>41124</v>
      </c>
      <c r="K13523" t="s">
        <v>42683</v>
      </c>
      <c r="M13523" t="s">
        <v>46337</v>
      </c>
      <c r="N13523" t="s">
        <v>47304</v>
      </c>
      <c r="O13523" t="s">
        <v>47305</v>
      </c>
      <c r="P13523">
        <v>0</v>
      </c>
      <c r="Q13523">
        <v>16</v>
      </c>
      <c r="R13523" t="s">
        <v>47320</v>
      </c>
      <c r="S13523" t="s">
        <v>47917</v>
      </c>
      <c r="T13523" t="s">
        <v>48980</v>
      </c>
      <c r="U13523" t="s">
        <v>60722</v>
      </c>
      <c r="W13523" t="s">
        <v>46337</v>
      </c>
      <c r="X13523" t="s">
        <v>47321</v>
      </c>
    </row>
    <row r="13524" spans="1:24">
      <c r="A13524">
        <f>HYPERLINK("https://www.philgeps.gov.ph/GEPSNONPILOT/Tender/SplashBidNoticeAbstractUI.aspx?menuIndex=3&amp;refID=7109307&amp;Result=3","7109307")</f>
        <v>0</v>
      </c>
      <c r="B13524" t="s">
        <v>3562</v>
      </c>
      <c r="C13524" t="s">
        <v>16636</v>
      </c>
      <c r="E13524" t="s">
        <v>29989</v>
      </c>
      <c r="F13524" t="s">
        <v>32606</v>
      </c>
      <c r="G13524" t="s">
        <v>32613</v>
      </c>
      <c r="H13524" t="s">
        <v>14201</v>
      </c>
      <c r="I13524" t="s">
        <v>32662</v>
      </c>
      <c r="J13524" t="s">
        <v>41125</v>
      </c>
      <c r="K13524" t="s">
        <v>42636</v>
      </c>
      <c r="M13524" t="s">
        <v>46847</v>
      </c>
      <c r="N13524" t="s">
        <v>47304</v>
      </c>
      <c r="O13524" t="s">
        <v>47305</v>
      </c>
      <c r="P13524">
        <v>0</v>
      </c>
      <c r="Q13524">
        <v>22</v>
      </c>
      <c r="R13524" t="s">
        <v>47321</v>
      </c>
      <c r="S13524" t="s">
        <v>48071</v>
      </c>
      <c r="T13524" t="s">
        <v>49052</v>
      </c>
      <c r="U13524" t="s">
        <v>60165</v>
      </c>
      <c r="V13524" t="s">
        <v>64100</v>
      </c>
      <c r="W13524" t="s">
        <v>46847</v>
      </c>
      <c r="X13524" t="s">
        <v>47349</v>
      </c>
    </row>
    <row r="13525" spans="1:24">
      <c r="A13525">
        <f>HYPERLINK("https://www.philgeps.gov.ph/GEPSNONPILOT/Tender/SplashBidNoticeAbstractUI.aspx?menuIndex=3&amp;refID=7109017&amp;Result=3","7109017")</f>
        <v>0</v>
      </c>
      <c r="B13525" t="s">
        <v>3562</v>
      </c>
      <c r="C13525" t="s">
        <v>16637</v>
      </c>
      <c r="E13525" t="s">
        <v>29989</v>
      </c>
      <c r="F13525" t="s">
        <v>32606</v>
      </c>
      <c r="G13525" t="s">
        <v>32613</v>
      </c>
      <c r="H13525" t="s">
        <v>14201</v>
      </c>
      <c r="I13525" t="s">
        <v>32662</v>
      </c>
      <c r="J13525" t="s">
        <v>41126</v>
      </c>
      <c r="K13525" t="s">
        <v>42636</v>
      </c>
      <c r="M13525" t="s">
        <v>46847</v>
      </c>
      <c r="N13525" t="s">
        <v>47304</v>
      </c>
      <c r="O13525" t="s">
        <v>47305</v>
      </c>
      <c r="P13525">
        <v>0</v>
      </c>
      <c r="Q13525">
        <v>26</v>
      </c>
      <c r="R13525" t="s">
        <v>47321</v>
      </c>
      <c r="S13525" t="s">
        <v>48071</v>
      </c>
      <c r="T13525" t="s">
        <v>49052</v>
      </c>
      <c r="U13525" t="s">
        <v>60165</v>
      </c>
      <c r="V13525" t="s">
        <v>64100</v>
      </c>
      <c r="W13525" t="s">
        <v>46847</v>
      </c>
      <c r="X13525" t="s">
        <v>47349</v>
      </c>
    </row>
    <row r="13526" spans="1:24">
      <c r="A13526">
        <f>HYPERLINK("https://www.philgeps.gov.ph/GEPSNONPILOT/Tender/SplashBidNoticeAbstractUI.aspx?menuIndex=3&amp;refID=7109737&amp;Result=3","7109737")</f>
        <v>0</v>
      </c>
      <c r="B13526" t="s">
        <v>3562</v>
      </c>
      <c r="C13526" t="s">
        <v>16638</v>
      </c>
      <c r="E13526" t="s">
        <v>29989</v>
      </c>
      <c r="F13526" t="s">
        <v>32606</v>
      </c>
      <c r="G13526" t="s">
        <v>32613</v>
      </c>
      <c r="H13526" t="s">
        <v>14201</v>
      </c>
      <c r="I13526" t="s">
        <v>32662</v>
      </c>
      <c r="J13526" t="s">
        <v>34719</v>
      </c>
      <c r="K13526" t="s">
        <v>42636</v>
      </c>
      <c r="M13526" t="s">
        <v>46847</v>
      </c>
      <c r="N13526" t="s">
        <v>47304</v>
      </c>
      <c r="O13526" t="s">
        <v>47305</v>
      </c>
      <c r="P13526">
        <v>0</v>
      </c>
      <c r="Q13526">
        <v>24</v>
      </c>
      <c r="R13526" t="s">
        <v>47321</v>
      </c>
      <c r="S13526" t="s">
        <v>48071</v>
      </c>
      <c r="T13526" t="s">
        <v>49052</v>
      </c>
      <c r="U13526" t="s">
        <v>60165</v>
      </c>
      <c r="V13526" t="s">
        <v>64049</v>
      </c>
      <c r="W13526" t="s">
        <v>46847</v>
      </c>
      <c r="X13526" t="s">
        <v>47349</v>
      </c>
    </row>
    <row r="13527" spans="1:24">
      <c r="A13527">
        <f>HYPERLINK("https://www.philgeps.gov.ph/GEPSNONPILOT/Tender/SplashBidNoticeAbstractUI.aspx?menuIndex=3&amp;refID=7170710&amp;Result=3","7170710")</f>
        <v>0</v>
      </c>
      <c r="B13527" t="s">
        <v>1119</v>
      </c>
      <c r="C13527" t="s">
        <v>16639</v>
      </c>
      <c r="D13527" t="s">
        <v>19002</v>
      </c>
      <c r="E13527" t="s">
        <v>30533</v>
      </c>
      <c r="F13527" t="s">
        <v>32606</v>
      </c>
      <c r="G13527" t="s">
        <v>32613</v>
      </c>
      <c r="H13527" t="s">
        <v>14201</v>
      </c>
      <c r="I13527" t="s">
        <v>32629</v>
      </c>
      <c r="J13527" t="s">
        <v>41127</v>
      </c>
      <c r="K13527" t="s">
        <v>42648</v>
      </c>
      <c r="M13527" t="s">
        <v>44081</v>
      </c>
      <c r="N13527" t="s">
        <v>47304</v>
      </c>
      <c r="O13527" t="s">
        <v>47305</v>
      </c>
      <c r="P13527">
        <v>0</v>
      </c>
      <c r="Q13527">
        <v>0</v>
      </c>
      <c r="R13527" t="s">
        <v>47320</v>
      </c>
      <c r="S13527" t="s">
        <v>47917</v>
      </c>
      <c r="T13527" t="s">
        <v>48971</v>
      </c>
      <c r="U13527" t="s">
        <v>60723</v>
      </c>
      <c r="W13527" t="s">
        <v>64462</v>
      </c>
      <c r="X13527" t="s">
        <v>47321</v>
      </c>
    </row>
    <row r="13528" spans="1:24">
      <c r="A13528">
        <f>HYPERLINK("https://www.philgeps.gov.ph/GEPSNONPILOT/Tender/SplashBidNoticeAbstractUI.aspx?menuIndex=3&amp;refID=7109724&amp;Result=3","7109724")</f>
        <v>0</v>
      </c>
      <c r="B13528" t="s">
        <v>3562</v>
      </c>
      <c r="C13528" t="s">
        <v>16640</v>
      </c>
      <c r="E13528" t="s">
        <v>29989</v>
      </c>
      <c r="F13528" t="s">
        <v>32606</v>
      </c>
      <c r="G13528" t="s">
        <v>32613</v>
      </c>
      <c r="H13528" t="s">
        <v>14201</v>
      </c>
      <c r="I13528" t="s">
        <v>32662</v>
      </c>
      <c r="J13528" t="s">
        <v>41128</v>
      </c>
      <c r="K13528" t="s">
        <v>42636</v>
      </c>
      <c r="M13528" t="s">
        <v>46847</v>
      </c>
      <c r="N13528" t="s">
        <v>47304</v>
      </c>
      <c r="O13528" t="s">
        <v>47305</v>
      </c>
      <c r="P13528">
        <v>0</v>
      </c>
      <c r="Q13528">
        <v>24</v>
      </c>
      <c r="R13528" t="s">
        <v>47321</v>
      </c>
      <c r="S13528" t="s">
        <v>48071</v>
      </c>
      <c r="T13528" t="s">
        <v>49052</v>
      </c>
      <c r="U13528" t="s">
        <v>60165</v>
      </c>
      <c r="V13528" t="s">
        <v>64100</v>
      </c>
      <c r="W13528" t="s">
        <v>46847</v>
      </c>
      <c r="X13528" t="s">
        <v>47349</v>
      </c>
    </row>
    <row r="13529" spans="1:24">
      <c r="A13529">
        <f>HYPERLINK("https://www.philgeps.gov.ph/GEPSNONPILOT/Tender/SplashBidNoticeAbstractUI.aspx?menuIndex=3&amp;refID=7109713&amp;Result=3","7109713")</f>
        <v>0</v>
      </c>
      <c r="B13529" t="s">
        <v>3562</v>
      </c>
      <c r="C13529" t="s">
        <v>16641</v>
      </c>
      <c r="E13529" t="s">
        <v>29989</v>
      </c>
      <c r="F13529" t="s">
        <v>32606</v>
      </c>
      <c r="G13529" t="s">
        <v>32613</v>
      </c>
      <c r="H13529" t="s">
        <v>14201</v>
      </c>
      <c r="I13529" t="s">
        <v>32662</v>
      </c>
      <c r="J13529" t="s">
        <v>41129</v>
      </c>
      <c r="K13529" t="s">
        <v>42636</v>
      </c>
      <c r="M13529" t="s">
        <v>46847</v>
      </c>
      <c r="N13529" t="s">
        <v>47304</v>
      </c>
      <c r="O13529" t="s">
        <v>47305</v>
      </c>
      <c r="P13529">
        <v>0</v>
      </c>
      <c r="Q13529">
        <v>24</v>
      </c>
      <c r="R13529" t="s">
        <v>47321</v>
      </c>
      <c r="S13529" t="s">
        <v>48071</v>
      </c>
      <c r="T13529" t="s">
        <v>49052</v>
      </c>
      <c r="U13529" t="s">
        <v>60165</v>
      </c>
      <c r="V13529" t="s">
        <v>64100</v>
      </c>
      <c r="W13529" t="s">
        <v>46847</v>
      </c>
      <c r="X13529" t="s">
        <v>47349</v>
      </c>
    </row>
    <row r="13530" spans="1:24">
      <c r="A13530">
        <f>HYPERLINK("https://www.philgeps.gov.ph/GEPSNONPILOT/Tender/SplashBidNoticeAbstractUI.aspx?menuIndex=3&amp;refID=7109685&amp;Result=3","7109685")</f>
        <v>0</v>
      </c>
      <c r="B13530" t="s">
        <v>3562</v>
      </c>
      <c r="C13530" t="s">
        <v>16642</v>
      </c>
      <c r="E13530" t="s">
        <v>29989</v>
      </c>
      <c r="F13530" t="s">
        <v>32606</v>
      </c>
      <c r="G13530" t="s">
        <v>32613</v>
      </c>
      <c r="H13530" t="s">
        <v>14201</v>
      </c>
      <c r="I13530" t="s">
        <v>32662</v>
      </c>
      <c r="J13530" t="s">
        <v>41130</v>
      </c>
      <c r="K13530" t="s">
        <v>42636</v>
      </c>
      <c r="M13530" t="s">
        <v>46847</v>
      </c>
      <c r="N13530" t="s">
        <v>47304</v>
      </c>
      <c r="O13530" t="s">
        <v>47305</v>
      </c>
      <c r="P13530">
        <v>0</v>
      </c>
      <c r="Q13530">
        <v>31</v>
      </c>
      <c r="R13530" t="s">
        <v>47321</v>
      </c>
      <c r="S13530" t="s">
        <v>48071</v>
      </c>
      <c r="T13530" t="s">
        <v>49052</v>
      </c>
      <c r="U13530" t="s">
        <v>60165</v>
      </c>
      <c r="V13530" t="s">
        <v>64100</v>
      </c>
      <c r="W13530" t="s">
        <v>46847</v>
      </c>
      <c r="X13530" t="s">
        <v>47349</v>
      </c>
    </row>
    <row r="13531" spans="1:24">
      <c r="A13531">
        <f>HYPERLINK("https://www.philgeps.gov.ph/GEPSNONPILOT/Tender/SplashBidNoticeAbstractUI.aspx?menuIndex=3&amp;refID=7170704&amp;Result=3","7170704")</f>
        <v>0</v>
      </c>
      <c r="B13531" t="s">
        <v>1119</v>
      </c>
      <c r="C13531" t="s">
        <v>16643</v>
      </c>
      <c r="D13531" t="s">
        <v>19002</v>
      </c>
      <c r="E13531" t="s">
        <v>30534</v>
      </c>
      <c r="F13531" t="s">
        <v>32606</v>
      </c>
      <c r="G13531" t="s">
        <v>32613</v>
      </c>
      <c r="H13531" t="s">
        <v>14201</v>
      </c>
      <c r="I13531" t="s">
        <v>32629</v>
      </c>
      <c r="J13531" t="s">
        <v>41131</v>
      </c>
      <c r="K13531" t="s">
        <v>42648</v>
      </c>
      <c r="M13531" t="s">
        <v>44081</v>
      </c>
      <c r="N13531" t="s">
        <v>47304</v>
      </c>
      <c r="O13531" t="s">
        <v>47305</v>
      </c>
      <c r="P13531">
        <v>0</v>
      </c>
      <c r="Q13531">
        <v>0</v>
      </c>
      <c r="R13531" t="s">
        <v>47320</v>
      </c>
      <c r="S13531" t="s">
        <v>47917</v>
      </c>
      <c r="T13531" t="s">
        <v>48971</v>
      </c>
      <c r="U13531" t="s">
        <v>60724</v>
      </c>
      <c r="W13531" t="s">
        <v>64462</v>
      </c>
      <c r="X13531" t="s">
        <v>47321</v>
      </c>
    </row>
    <row r="13532" spans="1:24">
      <c r="A13532">
        <f>HYPERLINK("https://www.philgeps.gov.ph/GEPSNONPILOT/Tender/SplashBidNoticeAbstractUI.aspx?menuIndex=3&amp;refID=7170727&amp;Result=3","7170727")</f>
        <v>0</v>
      </c>
      <c r="B13532" t="s">
        <v>1783</v>
      </c>
      <c r="C13532" t="s">
        <v>16644</v>
      </c>
      <c r="D13532" t="s">
        <v>19014</v>
      </c>
      <c r="E13532" t="s">
        <v>30535</v>
      </c>
      <c r="F13532" t="s">
        <v>32606</v>
      </c>
      <c r="G13532" t="s">
        <v>32613</v>
      </c>
      <c r="H13532" t="s">
        <v>14201</v>
      </c>
      <c r="I13532" t="s">
        <v>32626</v>
      </c>
      <c r="J13532" t="s">
        <v>32778</v>
      </c>
      <c r="K13532" t="s">
        <v>42636</v>
      </c>
      <c r="L13532" t="s">
        <v>1783</v>
      </c>
      <c r="M13532" t="s">
        <v>44823</v>
      </c>
      <c r="N13532" t="s">
        <v>47304</v>
      </c>
      <c r="O13532" t="s">
        <v>47305</v>
      </c>
      <c r="P13532">
        <v>0</v>
      </c>
      <c r="Q13532">
        <v>2</v>
      </c>
      <c r="R13532" t="s">
        <v>47320</v>
      </c>
      <c r="S13532" t="s">
        <v>47917</v>
      </c>
      <c r="T13532" t="s">
        <v>49047</v>
      </c>
      <c r="U13532" t="s">
        <v>60725</v>
      </c>
      <c r="W13532" t="s">
        <v>44823</v>
      </c>
      <c r="X13532" t="s">
        <v>47321</v>
      </c>
    </row>
    <row r="13533" spans="1:24">
      <c r="A13533">
        <f>HYPERLINK("https://www.philgeps.gov.ph/GEPSNONPILOT/Tender/SplashBidNoticeAbstractUI.aspx?menuIndex=3&amp;refID=7109699&amp;Result=3","7109699")</f>
        <v>0</v>
      </c>
      <c r="B13533" t="s">
        <v>3562</v>
      </c>
      <c r="C13533" t="s">
        <v>16645</v>
      </c>
      <c r="E13533" t="s">
        <v>29989</v>
      </c>
      <c r="F13533" t="s">
        <v>32606</v>
      </c>
      <c r="G13533" t="s">
        <v>32613</v>
      </c>
      <c r="H13533" t="s">
        <v>14201</v>
      </c>
      <c r="I13533" t="s">
        <v>32662</v>
      </c>
      <c r="J13533" t="s">
        <v>41132</v>
      </c>
      <c r="K13533" t="s">
        <v>42636</v>
      </c>
      <c r="M13533" t="s">
        <v>46847</v>
      </c>
      <c r="N13533" t="s">
        <v>47304</v>
      </c>
      <c r="O13533" t="s">
        <v>47305</v>
      </c>
      <c r="P13533">
        <v>0</v>
      </c>
      <c r="Q13533">
        <v>36</v>
      </c>
      <c r="R13533" t="s">
        <v>47321</v>
      </c>
      <c r="S13533" t="s">
        <v>48071</v>
      </c>
      <c r="T13533" t="s">
        <v>49052</v>
      </c>
      <c r="U13533" t="s">
        <v>60165</v>
      </c>
      <c r="V13533" t="s">
        <v>64100</v>
      </c>
      <c r="W13533" t="s">
        <v>46847</v>
      </c>
      <c r="X13533" t="s">
        <v>47349</v>
      </c>
    </row>
    <row r="13534" spans="1:24">
      <c r="A13534">
        <f>HYPERLINK("https://www.philgeps.gov.ph/GEPSNONPILOT/Tender/SplashBidNoticeAbstractUI.aspx?menuIndex=3&amp;refID=7108884&amp;Result=3","7108884")</f>
        <v>0</v>
      </c>
      <c r="B13534" t="s">
        <v>3562</v>
      </c>
      <c r="C13534" t="s">
        <v>16646</v>
      </c>
      <c r="E13534" t="s">
        <v>29989</v>
      </c>
      <c r="F13534" t="s">
        <v>32606</v>
      </c>
      <c r="G13534" t="s">
        <v>32613</v>
      </c>
      <c r="H13534" t="s">
        <v>14201</v>
      </c>
      <c r="I13534" t="s">
        <v>32662</v>
      </c>
      <c r="J13534" t="s">
        <v>41133</v>
      </c>
      <c r="K13534" t="s">
        <v>42636</v>
      </c>
      <c r="M13534" t="s">
        <v>46847</v>
      </c>
      <c r="N13534" t="s">
        <v>47304</v>
      </c>
      <c r="O13534" t="s">
        <v>47305</v>
      </c>
      <c r="P13534">
        <v>0</v>
      </c>
      <c r="Q13534">
        <v>21</v>
      </c>
      <c r="R13534" t="s">
        <v>47321</v>
      </c>
      <c r="S13534" t="s">
        <v>48071</v>
      </c>
      <c r="T13534" t="s">
        <v>49052</v>
      </c>
      <c r="U13534" t="s">
        <v>60165</v>
      </c>
      <c r="V13534" t="s">
        <v>64049</v>
      </c>
      <c r="W13534" t="s">
        <v>46847</v>
      </c>
      <c r="X13534" t="s">
        <v>47349</v>
      </c>
    </row>
    <row r="13535" spans="1:24">
      <c r="A13535">
        <f>HYPERLINK("https://www.philgeps.gov.ph/GEPSNONPILOT/Tender/SplashBidNoticeAbstractUI.aspx?menuIndex=3&amp;refID=7170715&amp;Result=3","7170715")</f>
        <v>0</v>
      </c>
      <c r="B13535" t="s">
        <v>1119</v>
      </c>
      <c r="C13535" t="s">
        <v>16647</v>
      </c>
      <c r="D13535" t="s">
        <v>19002</v>
      </c>
      <c r="E13535" t="s">
        <v>30536</v>
      </c>
      <c r="F13535" t="s">
        <v>32606</v>
      </c>
      <c r="G13535" t="s">
        <v>32613</v>
      </c>
      <c r="H13535" t="s">
        <v>14201</v>
      </c>
      <c r="I13535" t="s">
        <v>32640</v>
      </c>
      <c r="J13535" t="s">
        <v>41134</v>
      </c>
      <c r="K13535" t="s">
        <v>42623</v>
      </c>
      <c r="M13535" t="s">
        <v>44081</v>
      </c>
      <c r="N13535" t="s">
        <v>47304</v>
      </c>
      <c r="O13535" t="s">
        <v>47305</v>
      </c>
      <c r="P13535">
        <v>0</v>
      </c>
      <c r="Q13535">
        <v>2</v>
      </c>
      <c r="R13535" t="s">
        <v>47320</v>
      </c>
      <c r="S13535" t="s">
        <v>47917</v>
      </c>
      <c r="T13535" t="s">
        <v>48971</v>
      </c>
      <c r="U13535" t="s">
        <v>60726</v>
      </c>
      <c r="W13535" t="s">
        <v>64462</v>
      </c>
      <c r="X13535" t="s">
        <v>47321</v>
      </c>
    </row>
    <row r="13536" spans="1:24">
      <c r="A13536">
        <f>HYPERLINK("https://www.philgeps.gov.ph/GEPSNONPILOT/Tender/SplashBidNoticeAbstractUI.aspx?menuIndex=3&amp;refID=7109649&amp;Result=3","7109649")</f>
        <v>0</v>
      </c>
      <c r="B13536" t="s">
        <v>3562</v>
      </c>
      <c r="C13536" t="s">
        <v>16648</v>
      </c>
      <c r="E13536" t="s">
        <v>29989</v>
      </c>
      <c r="F13536" t="s">
        <v>32606</v>
      </c>
      <c r="G13536" t="s">
        <v>32613</v>
      </c>
      <c r="H13536" t="s">
        <v>14201</v>
      </c>
      <c r="I13536" t="s">
        <v>32662</v>
      </c>
      <c r="J13536" t="s">
        <v>41135</v>
      </c>
      <c r="K13536" t="s">
        <v>42636</v>
      </c>
      <c r="M13536" t="s">
        <v>46847</v>
      </c>
      <c r="N13536" t="s">
        <v>47304</v>
      </c>
      <c r="O13536" t="s">
        <v>47305</v>
      </c>
      <c r="P13536">
        <v>0</v>
      </c>
      <c r="Q13536">
        <v>29</v>
      </c>
      <c r="R13536" t="s">
        <v>47321</v>
      </c>
      <c r="S13536" t="s">
        <v>48071</v>
      </c>
      <c r="T13536" t="s">
        <v>49052</v>
      </c>
      <c r="U13536" t="s">
        <v>60165</v>
      </c>
      <c r="V13536" t="s">
        <v>64100</v>
      </c>
      <c r="W13536" t="s">
        <v>46847</v>
      </c>
      <c r="X13536" t="s">
        <v>47349</v>
      </c>
    </row>
    <row r="13537" spans="1:24">
      <c r="A13537">
        <f>HYPERLINK("https://www.philgeps.gov.ph/GEPSNONPILOT/Tender/SplashBidNoticeAbstractUI.aspx?menuIndex=3&amp;refID=7158727&amp;Result=3","7158727")</f>
        <v>0</v>
      </c>
      <c r="B13537" t="s">
        <v>3645</v>
      </c>
      <c r="C13537" t="s">
        <v>16649</v>
      </c>
      <c r="D13537" t="s">
        <v>19037</v>
      </c>
      <c r="E13537" t="s">
        <v>30537</v>
      </c>
      <c r="F13537" t="s">
        <v>32606</v>
      </c>
      <c r="G13537" t="s">
        <v>32613</v>
      </c>
      <c r="H13537" t="s">
        <v>14201</v>
      </c>
      <c r="I13537" t="s">
        <v>32635</v>
      </c>
      <c r="J13537" t="s">
        <v>32821</v>
      </c>
      <c r="K13537" t="s">
        <v>42646</v>
      </c>
      <c r="M13537" t="s">
        <v>46947</v>
      </c>
      <c r="N13537" t="s">
        <v>47304</v>
      </c>
      <c r="O13537" t="s">
        <v>47305</v>
      </c>
      <c r="Q13537">
        <v>18</v>
      </c>
      <c r="R13537" t="s">
        <v>47321</v>
      </c>
      <c r="S13537" t="s">
        <v>48073</v>
      </c>
      <c r="T13537" t="s">
        <v>49075</v>
      </c>
      <c r="U13537" t="s">
        <v>60727</v>
      </c>
      <c r="V13537" t="s">
        <v>60727</v>
      </c>
      <c r="W13537" t="s">
        <v>46947</v>
      </c>
      <c r="X13537" t="s">
        <v>47326</v>
      </c>
    </row>
    <row r="13538" spans="1:24">
      <c r="A13538">
        <f>HYPERLINK("https://www.philgeps.gov.ph/GEPSNONPILOT/Tender/SplashBidNoticeAbstractUI.aspx?menuIndex=3&amp;refID=7158702&amp;Result=3","7158702")</f>
        <v>0</v>
      </c>
      <c r="B13538" t="s">
        <v>3645</v>
      </c>
      <c r="C13538" t="s">
        <v>16650</v>
      </c>
      <c r="D13538" t="s">
        <v>18992</v>
      </c>
      <c r="E13538" t="s">
        <v>30538</v>
      </c>
      <c r="F13538" t="s">
        <v>32606</v>
      </c>
      <c r="G13538" t="s">
        <v>32613</v>
      </c>
      <c r="H13538" t="s">
        <v>14201</v>
      </c>
      <c r="I13538" t="s">
        <v>32635</v>
      </c>
      <c r="J13538" t="s">
        <v>36312</v>
      </c>
      <c r="K13538" t="s">
        <v>42646</v>
      </c>
      <c r="M13538" t="s">
        <v>46947</v>
      </c>
      <c r="N13538" t="s">
        <v>47304</v>
      </c>
      <c r="O13538" t="s">
        <v>47305</v>
      </c>
      <c r="Q13538">
        <v>18</v>
      </c>
      <c r="R13538" t="s">
        <v>47321</v>
      </c>
      <c r="S13538" t="s">
        <v>48074</v>
      </c>
      <c r="T13538" t="s">
        <v>49075</v>
      </c>
      <c r="U13538" t="s">
        <v>60727</v>
      </c>
      <c r="V13538" t="s">
        <v>60727</v>
      </c>
      <c r="W13538" t="s">
        <v>46947</v>
      </c>
      <c r="X13538" t="s">
        <v>47326</v>
      </c>
    </row>
    <row r="13539" spans="1:24">
      <c r="A13539">
        <f>HYPERLINK("https://www.philgeps.gov.ph/GEPSNONPILOT/Tender/SplashBidNoticeAbstractUI.aspx?menuIndex=3&amp;refID=7109594&amp;Result=3","7109594")</f>
        <v>0</v>
      </c>
      <c r="B13539" t="s">
        <v>3562</v>
      </c>
      <c r="C13539" t="s">
        <v>16651</v>
      </c>
      <c r="E13539" t="s">
        <v>29989</v>
      </c>
      <c r="F13539" t="s">
        <v>32606</v>
      </c>
      <c r="G13539" t="s">
        <v>32613</v>
      </c>
      <c r="H13539" t="s">
        <v>14201</v>
      </c>
      <c r="I13539" t="s">
        <v>32662</v>
      </c>
      <c r="J13539" t="s">
        <v>32830</v>
      </c>
      <c r="K13539" t="s">
        <v>42636</v>
      </c>
      <c r="M13539" t="s">
        <v>46847</v>
      </c>
      <c r="N13539" t="s">
        <v>47304</v>
      </c>
      <c r="O13539" t="s">
        <v>47305</v>
      </c>
      <c r="P13539">
        <v>0</v>
      </c>
      <c r="Q13539">
        <v>25</v>
      </c>
      <c r="R13539" t="s">
        <v>47321</v>
      </c>
      <c r="S13539" t="s">
        <v>48071</v>
      </c>
      <c r="T13539" t="s">
        <v>49052</v>
      </c>
      <c r="U13539" t="s">
        <v>60165</v>
      </c>
      <c r="V13539" t="s">
        <v>64100</v>
      </c>
      <c r="W13539" t="s">
        <v>46847</v>
      </c>
      <c r="X13539" t="s">
        <v>47349</v>
      </c>
    </row>
    <row r="13540" spans="1:24">
      <c r="A13540">
        <f>HYPERLINK("https://www.philgeps.gov.ph/GEPSNONPILOT/Tender/SplashBidNoticeAbstractUI.aspx?menuIndex=3&amp;refID=7170725&amp;Result=3","7170725")</f>
        <v>0</v>
      </c>
      <c r="B13540" t="s">
        <v>3646</v>
      </c>
      <c r="C13540" t="s">
        <v>16652</v>
      </c>
      <c r="D13540" t="s">
        <v>18994</v>
      </c>
      <c r="E13540" t="s">
        <v>30539</v>
      </c>
      <c r="F13540" t="s">
        <v>32606</v>
      </c>
      <c r="G13540" t="s">
        <v>32613</v>
      </c>
      <c r="H13540" t="s">
        <v>14201</v>
      </c>
      <c r="I13540" t="s">
        <v>4369</v>
      </c>
      <c r="J13540" t="s">
        <v>41136</v>
      </c>
      <c r="K13540" t="s">
        <v>42631</v>
      </c>
      <c r="M13540" t="s">
        <v>46948</v>
      </c>
      <c r="N13540" t="s">
        <v>47304</v>
      </c>
      <c r="O13540" t="s">
        <v>47305</v>
      </c>
      <c r="P13540">
        <v>0</v>
      </c>
      <c r="Q13540">
        <v>12</v>
      </c>
      <c r="R13540" t="s">
        <v>47320</v>
      </c>
      <c r="S13540" t="s">
        <v>47917</v>
      </c>
      <c r="T13540" t="s">
        <v>49330</v>
      </c>
      <c r="U13540" t="s">
        <v>60728</v>
      </c>
      <c r="W13540" t="s">
        <v>46948</v>
      </c>
      <c r="X13540" t="s">
        <v>47321</v>
      </c>
    </row>
    <row r="13541" spans="1:24">
      <c r="A13541">
        <f>HYPERLINK("https://www.philgeps.gov.ph/GEPSNONPILOT/Tender/SplashBidNoticeAbstractUI.aspx?menuIndex=3&amp;refID=7170685&amp;Result=3","7170685")</f>
        <v>0</v>
      </c>
      <c r="B13541" t="s">
        <v>3644</v>
      </c>
      <c r="C13541" t="s">
        <v>16653</v>
      </c>
      <c r="D13541" t="s">
        <v>19050</v>
      </c>
      <c r="E13541" t="s">
        <v>30540</v>
      </c>
      <c r="F13541" t="s">
        <v>32606</v>
      </c>
      <c r="G13541" t="s">
        <v>32613</v>
      </c>
      <c r="H13541" t="s">
        <v>14201</v>
      </c>
      <c r="I13541" t="s">
        <v>32660</v>
      </c>
      <c r="J13541" t="s">
        <v>37014</v>
      </c>
      <c r="K13541" t="s">
        <v>42622</v>
      </c>
      <c r="M13541" t="s">
        <v>46945</v>
      </c>
      <c r="N13541" t="s">
        <v>47304</v>
      </c>
      <c r="O13541" t="s">
        <v>47305</v>
      </c>
      <c r="P13541">
        <v>0</v>
      </c>
      <c r="Q13541">
        <v>1</v>
      </c>
      <c r="R13541" t="s">
        <v>47320</v>
      </c>
      <c r="S13541" t="s">
        <v>47917</v>
      </c>
      <c r="T13541" t="s">
        <v>49023</v>
      </c>
      <c r="U13541" t="s">
        <v>60706</v>
      </c>
      <c r="W13541" t="s">
        <v>46945</v>
      </c>
      <c r="X13541" t="s">
        <v>47321</v>
      </c>
    </row>
    <row r="13542" spans="1:24">
      <c r="A13542">
        <f>HYPERLINK("https://www.philgeps.gov.ph/GEPSNONPILOT/Tender/SplashBidNoticeAbstractUI.aspx?menuIndex=3&amp;refID=7158993&amp;Result=3","7158993")</f>
        <v>0</v>
      </c>
      <c r="B13542" t="s">
        <v>3645</v>
      </c>
      <c r="C13542" t="s">
        <v>16654</v>
      </c>
      <c r="D13542" t="s">
        <v>18997</v>
      </c>
      <c r="E13542" t="s">
        <v>30541</v>
      </c>
      <c r="F13542" t="s">
        <v>32606</v>
      </c>
      <c r="G13542" t="s">
        <v>32613</v>
      </c>
      <c r="H13542" t="s">
        <v>14201</v>
      </c>
      <c r="I13542" t="s">
        <v>32635</v>
      </c>
      <c r="J13542" t="s">
        <v>34128</v>
      </c>
      <c r="K13542" t="s">
        <v>42646</v>
      </c>
      <c r="M13542" t="s">
        <v>46947</v>
      </c>
      <c r="N13542" t="s">
        <v>47304</v>
      </c>
      <c r="O13542" t="s">
        <v>47305</v>
      </c>
      <c r="Q13542">
        <v>3</v>
      </c>
      <c r="R13542" t="s">
        <v>47321</v>
      </c>
      <c r="S13542" t="s">
        <v>47699</v>
      </c>
      <c r="T13542" t="s">
        <v>49075</v>
      </c>
      <c r="U13542" t="s">
        <v>60727</v>
      </c>
      <c r="V13542" t="s">
        <v>60727</v>
      </c>
      <c r="W13542" t="s">
        <v>46947</v>
      </c>
      <c r="X13542" t="s">
        <v>47326</v>
      </c>
    </row>
    <row r="13543" spans="1:24">
      <c r="A13543">
        <f>HYPERLINK("https://www.philgeps.gov.ph/GEPSNONPILOT/Tender/SplashBidNoticeAbstractUI.aspx?menuIndex=3&amp;refID=7158813&amp;Result=3","7158813")</f>
        <v>0</v>
      </c>
      <c r="B13543" t="s">
        <v>2308</v>
      </c>
      <c r="C13543" t="s">
        <v>16655</v>
      </c>
      <c r="D13543" t="s">
        <v>19063</v>
      </c>
      <c r="E13543" t="s">
        <v>30542</v>
      </c>
      <c r="F13543" t="s">
        <v>32606</v>
      </c>
      <c r="G13543" t="s">
        <v>32613</v>
      </c>
      <c r="H13543" t="s">
        <v>32623</v>
      </c>
      <c r="I13543" t="s">
        <v>17648</v>
      </c>
      <c r="J13543" t="s">
        <v>35368</v>
      </c>
      <c r="K13543" t="s">
        <v>42631</v>
      </c>
      <c r="M13543" t="s">
        <v>45414</v>
      </c>
      <c r="N13543" t="s">
        <v>47304</v>
      </c>
      <c r="O13543" t="s">
        <v>47305</v>
      </c>
      <c r="P13543">
        <v>0</v>
      </c>
      <c r="Q13543">
        <v>7</v>
      </c>
      <c r="R13543" t="s">
        <v>47321</v>
      </c>
      <c r="S13543" t="s">
        <v>48071</v>
      </c>
      <c r="T13543" t="s">
        <v>48987</v>
      </c>
      <c r="U13543" t="s">
        <v>60729</v>
      </c>
      <c r="V13543" t="s">
        <v>64101</v>
      </c>
      <c r="W13543" t="s">
        <v>45414</v>
      </c>
      <c r="X13543" t="s">
        <v>47326</v>
      </c>
    </row>
    <row r="13544" spans="1:24">
      <c r="A13544">
        <f>HYPERLINK("https://www.philgeps.gov.ph/GEPSNONPILOT/Tender/SplashBidNoticeAbstractUI.aspx?menuIndex=3&amp;refID=7158785&amp;Result=3","7158785")</f>
        <v>0</v>
      </c>
      <c r="B13544" t="s">
        <v>3645</v>
      </c>
      <c r="C13544" t="s">
        <v>16656</v>
      </c>
      <c r="D13544" t="s">
        <v>19037</v>
      </c>
      <c r="E13544" t="s">
        <v>30543</v>
      </c>
      <c r="F13544" t="s">
        <v>32606</v>
      </c>
      <c r="G13544" t="s">
        <v>32613</v>
      </c>
      <c r="H13544" t="s">
        <v>14201</v>
      </c>
      <c r="I13544" t="s">
        <v>32635</v>
      </c>
      <c r="J13544" t="s">
        <v>36312</v>
      </c>
      <c r="K13544" t="s">
        <v>42646</v>
      </c>
      <c r="M13544" t="s">
        <v>46947</v>
      </c>
      <c r="N13544" t="s">
        <v>47304</v>
      </c>
      <c r="O13544" t="s">
        <v>47305</v>
      </c>
      <c r="Q13544">
        <v>12</v>
      </c>
      <c r="R13544" t="s">
        <v>47321</v>
      </c>
      <c r="S13544" t="s">
        <v>48075</v>
      </c>
      <c r="T13544" t="s">
        <v>49075</v>
      </c>
      <c r="U13544" t="s">
        <v>60727</v>
      </c>
      <c r="V13544" t="s">
        <v>60727</v>
      </c>
      <c r="W13544" t="s">
        <v>46947</v>
      </c>
      <c r="X13544" t="s">
        <v>47326</v>
      </c>
    </row>
    <row r="13545" spans="1:24">
      <c r="A13545">
        <f>HYPERLINK("https://www.philgeps.gov.ph/GEPSNONPILOT/Tender/SplashBidNoticeAbstractUI.aspx?menuIndex=3&amp;refID=7108575&amp;Result=3","7108575")</f>
        <v>0</v>
      </c>
      <c r="B13545" t="s">
        <v>3562</v>
      </c>
      <c r="C13545" t="s">
        <v>16657</v>
      </c>
      <c r="E13545" t="s">
        <v>29989</v>
      </c>
      <c r="F13545" t="s">
        <v>32606</v>
      </c>
      <c r="G13545" t="s">
        <v>32613</v>
      </c>
      <c r="H13545" t="s">
        <v>14201</v>
      </c>
      <c r="I13545" t="s">
        <v>32662</v>
      </c>
      <c r="J13545" t="s">
        <v>41137</v>
      </c>
      <c r="K13545" t="s">
        <v>42636</v>
      </c>
      <c r="M13545" t="s">
        <v>46847</v>
      </c>
      <c r="N13545" t="s">
        <v>47304</v>
      </c>
      <c r="O13545" t="s">
        <v>47305</v>
      </c>
      <c r="P13545">
        <v>0</v>
      </c>
      <c r="Q13545">
        <v>25</v>
      </c>
      <c r="R13545" t="s">
        <v>47321</v>
      </c>
      <c r="S13545" t="s">
        <v>48071</v>
      </c>
      <c r="T13545" t="s">
        <v>49052</v>
      </c>
      <c r="U13545" t="s">
        <v>60165</v>
      </c>
      <c r="V13545" t="s">
        <v>64100</v>
      </c>
      <c r="W13545" t="s">
        <v>46847</v>
      </c>
      <c r="X13545" t="s">
        <v>47349</v>
      </c>
    </row>
    <row r="13546" spans="1:24">
      <c r="A13546">
        <f>HYPERLINK("https://www.philgeps.gov.ph/GEPSNONPILOT/Tender/SplashBidNoticeAbstractUI.aspx?menuIndex=3&amp;refID=7170714&amp;Result=3","7170714")</f>
        <v>0</v>
      </c>
      <c r="B13546" t="s">
        <v>1119</v>
      </c>
      <c r="C13546" t="s">
        <v>16658</v>
      </c>
      <c r="D13546" t="s">
        <v>19002</v>
      </c>
      <c r="E13546" t="s">
        <v>30544</v>
      </c>
      <c r="F13546" t="s">
        <v>32606</v>
      </c>
      <c r="G13546" t="s">
        <v>32613</v>
      </c>
      <c r="H13546" t="s">
        <v>14201</v>
      </c>
      <c r="I13546" t="s">
        <v>32629</v>
      </c>
      <c r="J13546" t="s">
        <v>41138</v>
      </c>
      <c r="K13546" t="s">
        <v>42648</v>
      </c>
      <c r="M13546" t="s">
        <v>44081</v>
      </c>
      <c r="N13546" t="s">
        <v>47304</v>
      </c>
      <c r="O13546" t="s">
        <v>47305</v>
      </c>
      <c r="P13546">
        <v>0</v>
      </c>
      <c r="Q13546">
        <v>0</v>
      </c>
      <c r="R13546" t="s">
        <v>47320</v>
      </c>
      <c r="S13546" t="s">
        <v>47917</v>
      </c>
      <c r="T13546" t="s">
        <v>48971</v>
      </c>
      <c r="U13546" t="s">
        <v>60730</v>
      </c>
      <c r="W13546" t="s">
        <v>64462</v>
      </c>
      <c r="X13546" t="s">
        <v>47321</v>
      </c>
    </row>
    <row r="13547" spans="1:24">
      <c r="A13547">
        <f>HYPERLINK("https://www.philgeps.gov.ph/GEPSNONPILOT/Tender/SplashBidNoticeAbstractUI.aspx?menuIndex=3&amp;refID=7158749&amp;Result=3","7158749")</f>
        <v>0</v>
      </c>
      <c r="B13547" t="s">
        <v>3645</v>
      </c>
      <c r="C13547" t="s">
        <v>16659</v>
      </c>
      <c r="D13547" t="s">
        <v>19004</v>
      </c>
      <c r="E13547" t="s">
        <v>30545</v>
      </c>
      <c r="F13547" t="s">
        <v>32606</v>
      </c>
      <c r="G13547" t="s">
        <v>32613</v>
      </c>
      <c r="H13547" t="s">
        <v>14201</v>
      </c>
      <c r="I13547" t="s">
        <v>32635</v>
      </c>
      <c r="J13547" t="s">
        <v>32830</v>
      </c>
      <c r="K13547" t="s">
        <v>42646</v>
      </c>
      <c r="M13547" t="s">
        <v>46947</v>
      </c>
      <c r="N13547" t="s">
        <v>47304</v>
      </c>
      <c r="O13547" t="s">
        <v>47305</v>
      </c>
      <c r="Q13547">
        <v>15</v>
      </c>
      <c r="R13547" t="s">
        <v>47321</v>
      </c>
      <c r="S13547" t="s">
        <v>47521</v>
      </c>
      <c r="T13547" t="s">
        <v>49075</v>
      </c>
      <c r="U13547" t="s">
        <v>60727</v>
      </c>
      <c r="V13547" t="s">
        <v>60727</v>
      </c>
      <c r="W13547" t="s">
        <v>46947</v>
      </c>
      <c r="X13547" t="s">
        <v>47326</v>
      </c>
    </row>
    <row r="13548" spans="1:24">
      <c r="A13548">
        <f>HYPERLINK("https://www.philgeps.gov.ph/GEPSNONPILOT/Tender/SplashBidNoticeAbstractUI.aspx?menuIndex=3&amp;refID=7157945&amp;Result=3","7157945")</f>
        <v>0</v>
      </c>
      <c r="B13548" t="s">
        <v>2961</v>
      </c>
      <c r="C13548" t="s">
        <v>16660</v>
      </c>
      <c r="D13548" t="s">
        <v>18986</v>
      </c>
      <c r="E13548" t="s">
        <v>30546</v>
      </c>
      <c r="F13548" t="s">
        <v>32606</v>
      </c>
      <c r="G13548" t="s">
        <v>32613</v>
      </c>
      <c r="H13548" t="s">
        <v>32623</v>
      </c>
      <c r="I13548" t="s">
        <v>17648</v>
      </c>
      <c r="J13548" t="s">
        <v>33102</v>
      </c>
      <c r="K13548" t="s">
        <v>42627</v>
      </c>
      <c r="M13548" t="s">
        <v>46145</v>
      </c>
      <c r="N13548" t="s">
        <v>47304</v>
      </c>
      <c r="O13548" t="s">
        <v>47305</v>
      </c>
      <c r="P13548">
        <v>0</v>
      </c>
      <c r="Q13548">
        <v>0</v>
      </c>
      <c r="R13548" t="s">
        <v>47321</v>
      </c>
      <c r="S13548" t="s">
        <v>48071</v>
      </c>
      <c r="T13548" t="s">
        <v>49488</v>
      </c>
      <c r="U13548" t="s">
        <v>60731</v>
      </c>
      <c r="W13548" t="s">
        <v>46145</v>
      </c>
      <c r="X13548" t="s">
        <v>47327</v>
      </c>
    </row>
    <row r="13549" spans="1:24">
      <c r="A13549">
        <f>HYPERLINK("https://www.philgeps.gov.ph/GEPSNONPILOT/Tender/SplashBidNoticeAbstractUI.aspx?menuIndex=3&amp;refID=7109751&amp;Result=3","7109751")</f>
        <v>0</v>
      </c>
      <c r="B13549" t="s">
        <v>3562</v>
      </c>
      <c r="C13549" t="s">
        <v>16661</v>
      </c>
      <c r="E13549" t="s">
        <v>29989</v>
      </c>
      <c r="F13549" t="s">
        <v>32606</v>
      </c>
      <c r="G13549" t="s">
        <v>32613</v>
      </c>
      <c r="H13549" t="s">
        <v>14201</v>
      </c>
      <c r="I13549" t="s">
        <v>32662</v>
      </c>
      <c r="J13549" t="s">
        <v>41139</v>
      </c>
      <c r="K13549" t="s">
        <v>42636</v>
      </c>
      <c r="M13549" t="s">
        <v>46847</v>
      </c>
      <c r="N13549" t="s">
        <v>47304</v>
      </c>
      <c r="O13549" t="s">
        <v>47305</v>
      </c>
      <c r="P13549">
        <v>0</v>
      </c>
      <c r="Q13549">
        <v>25</v>
      </c>
      <c r="R13549" t="s">
        <v>47321</v>
      </c>
      <c r="S13549" t="s">
        <v>48071</v>
      </c>
      <c r="T13549" t="s">
        <v>49052</v>
      </c>
      <c r="U13549" t="s">
        <v>60165</v>
      </c>
      <c r="V13549" t="s">
        <v>64049</v>
      </c>
      <c r="W13549" t="s">
        <v>46847</v>
      </c>
      <c r="X13549" t="s">
        <v>47349</v>
      </c>
    </row>
    <row r="13550" spans="1:24">
      <c r="A13550">
        <f>HYPERLINK("https://www.philgeps.gov.ph/GEPSNONPILOT/Tender/SplashBidNoticeAbstractUI.aspx?menuIndex=3&amp;refID=7155756&amp;Result=3","7155756")</f>
        <v>0</v>
      </c>
      <c r="B13550" t="s">
        <v>55</v>
      </c>
      <c r="C13550" t="s">
        <v>16662</v>
      </c>
      <c r="E13550" t="s">
        <v>30547</v>
      </c>
      <c r="F13550" t="s">
        <v>32606</v>
      </c>
      <c r="G13550" t="s">
        <v>32613</v>
      </c>
      <c r="H13550" t="s">
        <v>14201</v>
      </c>
      <c r="I13550" t="s">
        <v>4114</v>
      </c>
      <c r="J13550" t="s">
        <v>41140</v>
      </c>
      <c r="K13550" t="s">
        <v>42624</v>
      </c>
      <c r="M13550" t="s">
        <v>42952</v>
      </c>
      <c r="N13550" t="s">
        <v>47304</v>
      </c>
      <c r="O13550" t="s">
        <v>47305</v>
      </c>
      <c r="P13550">
        <v>0</v>
      </c>
      <c r="Q13550">
        <v>9</v>
      </c>
      <c r="R13550" t="s">
        <v>47321</v>
      </c>
      <c r="S13550" t="s">
        <v>48071</v>
      </c>
      <c r="T13550" t="s">
        <v>49023</v>
      </c>
      <c r="U13550" t="s">
        <v>60732</v>
      </c>
      <c r="W13550" t="s">
        <v>42952</v>
      </c>
      <c r="X13550" t="s">
        <v>47327</v>
      </c>
    </row>
    <row r="13551" spans="1:24">
      <c r="A13551">
        <f>HYPERLINK("https://www.philgeps.gov.ph/GEPSNONPILOT/Tender/SplashBidNoticeAbstractUI.aspx?menuIndex=3&amp;refID=7154874&amp;Result=3","7154874")</f>
        <v>0</v>
      </c>
      <c r="B13551" t="s">
        <v>44</v>
      </c>
      <c r="C13551" t="s">
        <v>16663</v>
      </c>
      <c r="D13551" t="s">
        <v>19001</v>
      </c>
      <c r="E13551" t="s">
        <v>20501</v>
      </c>
      <c r="F13551" t="s">
        <v>32606</v>
      </c>
      <c r="G13551" t="s">
        <v>32613</v>
      </c>
      <c r="H13551" t="s">
        <v>14201</v>
      </c>
      <c r="I13551" t="s">
        <v>32664</v>
      </c>
      <c r="J13551" t="s">
        <v>41141</v>
      </c>
      <c r="K13551" t="s">
        <v>42636</v>
      </c>
      <c r="M13551" t="s">
        <v>42941</v>
      </c>
      <c r="N13551" t="s">
        <v>47304</v>
      </c>
      <c r="O13551" t="s">
        <v>47305</v>
      </c>
      <c r="Q13551">
        <v>3</v>
      </c>
      <c r="R13551" t="s">
        <v>47321</v>
      </c>
      <c r="S13551" t="s">
        <v>48076</v>
      </c>
      <c r="T13551" t="s">
        <v>48987</v>
      </c>
      <c r="U13551" t="s">
        <v>60733</v>
      </c>
      <c r="V13551" t="s">
        <v>62652</v>
      </c>
      <c r="W13551" t="s">
        <v>42941</v>
      </c>
      <c r="X13551" t="s">
        <v>47328</v>
      </c>
    </row>
    <row r="13552" spans="1:24">
      <c r="A13552">
        <f>HYPERLINK("https://www.philgeps.gov.ph/GEPSNONPILOT/Tender/SplashBidNoticeAbstractUI.aspx?menuIndex=3&amp;refID=7157979&amp;Result=3","7157979")</f>
        <v>0</v>
      </c>
      <c r="B13552" t="s">
        <v>2961</v>
      </c>
      <c r="C13552" t="s">
        <v>16664</v>
      </c>
      <c r="D13552" t="s">
        <v>18986</v>
      </c>
      <c r="E13552" t="s">
        <v>30548</v>
      </c>
      <c r="F13552" t="s">
        <v>32606</v>
      </c>
      <c r="G13552" t="s">
        <v>32613</v>
      </c>
      <c r="H13552" t="s">
        <v>32623</v>
      </c>
      <c r="I13552" t="s">
        <v>17648</v>
      </c>
      <c r="J13552" t="s">
        <v>33051</v>
      </c>
      <c r="K13552" t="s">
        <v>42631</v>
      </c>
      <c r="M13552" t="s">
        <v>46145</v>
      </c>
      <c r="N13552" t="s">
        <v>47304</v>
      </c>
      <c r="O13552" t="s">
        <v>47305</v>
      </c>
      <c r="P13552">
        <v>0</v>
      </c>
      <c r="Q13552">
        <v>0</v>
      </c>
      <c r="R13552" t="s">
        <v>47321</v>
      </c>
      <c r="S13552" t="s">
        <v>48071</v>
      </c>
      <c r="T13552" t="s">
        <v>48973</v>
      </c>
      <c r="U13552" t="s">
        <v>60734</v>
      </c>
      <c r="W13552" t="s">
        <v>46145</v>
      </c>
      <c r="X13552" t="s">
        <v>47327</v>
      </c>
    </row>
    <row r="13553" spans="1:24">
      <c r="A13553">
        <f>HYPERLINK("https://www.philgeps.gov.ph/GEPSNONPILOT/Tender/SplashBidNoticeAbstractUI.aspx?menuIndex=3&amp;refID=7153807&amp;Result=3","7153807")</f>
        <v>0</v>
      </c>
      <c r="B13553" t="s">
        <v>3647</v>
      </c>
      <c r="C13553" t="s">
        <v>16665</v>
      </c>
      <c r="D13553" t="s">
        <v>18993</v>
      </c>
      <c r="E13553" t="s">
        <v>30549</v>
      </c>
      <c r="F13553" t="s">
        <v>32606</v>
      </c>
      <c r="G13553" t="s">
        <v>32613</v>
      </c>
      <c r="H13553" t="s">
        <v>14201</v>
      </c>
      <c r="I13553" t="s">
        <v>32662</v>
      </c>
      <c r="J13553" t="s">
        <v>41142</v>
      </c>
      <c r="K13553" t="s">
        <v>42648</v>
      </c>
      <c r="M13553" t="s">
        <v>46949</v>
      </c>
      <c r="N13553" t="s">
        <v>47304</v>
      </c>
      <c r="O13553" t="s">
        <v>47305</v>
      </c>
      <c r="Q13553">
        <v>33</v>
      </c>
      <c r="R13553" t="s">
        <v>47321</v>
      </c>
      <c r="S13553" t="s">
        <v>48077</v>
      </c>
      <c r="T13553" t="s">
        <v>49023</v>
      </c>
      <c r="U13553" t="s">
        <v>60735</v>
      </c>
      <c r="V13553" t="s">
        <v>62763</v>
      </c>
      <c r="W13553" t="s">
        <v>46949</v>
      </c>
      <c r="X13553" t="s">
        <v>47328</v>
      </c>
    </row>
    <row r="13554" spans="1:24">
      <c r="A13554">
        <f>HYPERLINK("https://www.philgeps.gov.ph/GEPSNONPILOT/Tender/SplashBidNoticeAbstractUI.aspx?menuIndex=3&amp;refID=7153169&amp;Result=3","7153169")</f>
        <v>0</v>
      </c>
      <c r="B13554" t="s">
        <v>1379</v>
      </c>
      <c r="C13554" t="s">
        <v>16666</v>
      </c>
      <c r="D13554" t="s">
        <v>19011</v>
      </c>
      <c r="E13554" t="s">
        <v>30550</v>
      </c>
      <c r="F13554" t="s">
        <v>32606</v>
      </c>
      <c r="G13554" t="s">
        <v>32613</v>
      </c>
      <c r="H13554" t="s">
        <v>14201</v>
      </c>
      <c r="I13554" t="s">
        <v>32633</v>
      </c>
      <c r="J13554" t="s">
        <v>33024</v>
      </c>
      <c r="K13554" t="s">
        <v>42631</v>
      </c>
      <c r="M13554" t="s">
        <v>44361</v>
      </c>
      <c r="N13554" t="s">
        <v>47304</v>
      </c>
      <c r="O13554" t="s">
        <v>47305</v>
      </c>
      <c r="P13554">
        <v>0</v>
      </c>
      <c r="Q13554">
        <v>3</v>
      </c>
      <c r="R13554" t="s">
        <v>47321</v>
      </c>
      <c r="S13554" t="s">
        <v>48071</v>
      </c>
      <c r="T13554" t="s">
        <v>49268</v>
      </c>
      <c r="U13554" t="s">
        <v>60736</v>
      </c>
      <c r="W13554" t="s">
        <v>44361</v>
      </c>
      <c r="X13554" t="s">
        <v>47328</v>
      </c>
    </row>
    <row r="13555" spans="1:24">
      <c r="A13555">
        <f>HYPERLINK("https://www.philgeps.gov.ph/GEPSNONPILOT/Tender/SplashBidNoticeAbstractUI.aspx?menuIndex=3&amp;refID=7153088&amp;Result=3","7153088")</f>
        <v>0</v>
      </c>
      <c r="B13555" t="s">
        <v>1379</v>
      </c>
      <c r="C13555" t="s">
        <v>16667</v>
      </c>
      <c r="D13555" t="s">
        <v>19011</v>
      </c>
      <c r="E13555" t="s">
        <v>30551</v>
      </c>
      <c r="F13555" t="s">
        <v>32606</v>
      </c>
      <c r="G13555" t="s">
        <v>32613</v>
      </c>
      <c r="H13555" t="s">
        <v>14201</v>
      </c>
      <c r="I13555" t="s">
        <v>32650</v>
      </c>
      <c r="J13555" t="s">
        <v>39106</v>
      </c>
      <c r="K13555" t="s">
        <v>42631</v>
      </c>
      <c r="M13555" t="s">
        <v>44361</v>
      </c>
      <c r="N13555" t="s">
        <v>47304</v>
      </c>
      <c r="O13555" t="s">
        <v>47305</v>
      </c>
      <c r="P13555">
        <v>0</v>
      </c>
      <c r="Q13555">
        <v>3</v>
      </c>
      <c r="R13555" t="s">
        <v>47321</v>
      </c>
      <c r="S13555" t="s">
        <v>48071</v>
      </c>
      <c r="T13555" t="s">
        <v>49268</v>
      </c>
      <c r="U13555" t="s">
        <v>60737</v>
      </c>
      <c r="W13555" t="s">
        <v>44361</v>
      </c>
      <c r="X13555" t="s">
        <v>47328</v>
      </c>
    </row>
    <row r="13556" spans="1:24">
      <c r="A13556">
        <f>HYPERLINK("https://www.philgeps.gov.ph/GEPSNONPILOT/Tender/SplashBidNoticeAbstractUI.aspx?menuIndex=3&amp;refID=7158942&amp;Result=3","7158942")</f>
        <v>0</v>
      </c>
      <c r="B13556" t="s">
        <v>3645</v>
      </c>
      <c r="C13556" t="s">
        <v>16668</v>
      </c>
      <c r="D13556" t="s">
        <v>18988</v>
      </c>
      <c r="E13556" t="s">
        <v>30552</v>
      </c>
      <c r="F13556" t="s">
        <v>32606</v>
      </c>
      <c r="G13556" t="s">
        <v>32613</v>
      </c>
      <c r="H13556" t="s">
        <v>14201</v>
      </c>
      <c r="I13556" t="s">
        <v>32635</v>
      </c>
      <c r="J13556" t="s">
        <v>34128</v>
      </c>
      <c r="K13556" t="s">
        <v>42646</v>
      </c>
      <c r="M13556" t="s">
        <v>46947</v>
      </c>
      <c r="N13556" t="s">
        <v>47304</v>
      </c>
      <c r="O13556" t="s">
        <v>47305</v>
      </c>
      <c r="Q13556">
        <v>4</v>
      </c>
      <c r="R13556" t="s">
        <v>47321</v>
      </c>
      <c r="S13556" t="s">
        <v>47702</v>
      </c>
      <c r="T13556" t="s">
        <v>49075</v>
      </c>
      <c r="U13556" t="s">
        <v>60727</v>
      </c>
      <c r="V13556" t="s">
        <v>60727</v>
      </c>
      <c r="W13556" t="s">
        <v>46947</v>
      </c>
      <c r="X13556" t="s">
        <v>47326</v>
      </c>
    </row>
    <row r="13557" spans="1:24">
      <c r="A13557">
        <f>HYPERLINK("https://www.philgeps.gov.ph/GEPSNONPILOT/Tender/SplashBidNoticeAbstractUI.aspx?menuIndex=3&amp;refID=7157908&amp;Result=3","7157908")</f>
        <v>0</v>
      </c>
      <c r="B13557" t="s">
        <v>2961</v>
      </c>
      <c r="C13557" t="s">
        <v>16669</v>
      </c>
      <c r="D13557" t="s">
        <v>18986</v>
      </c>
      <c r="E13557" t="s">
        <v>30553</v>
      </c>
      <c r="F13557" t="s">
        <v>32606</v>
      </c>
      <c r="G13557" t="s">
        <v>32613</v>
      </c>
      <c r="H13557" t="s">
        <v>32623</v>
      </c>
      <c r="I13557" t="s">
        <v>17648</v>
      </c>
      <c r="J13557" t="s">
        <v>34128</v>
      </c>
      <c r="K13557" t="s">
        <v>42636</v>
      </c>
      <c r="M13557" t="s">
        <v>46145</v>
      </c>
      <c r="N13557" t="s">
        <v>47304</v>
      </c>
      <c r="O13557" t="s">
        <v>47305</v>
      </c>
      <c r="P13557">
        <v>0</v>
      </c>
      <c r="Q13557">
        <v>1</v>
      </c>
      <c r="R13557" t="s">
        <v>47321</v>
      </c>
      <c r="S13557" t="s">
        <v>48071</v>
      </c>
      <c r="T13557" t="s">
        <v>49080</v>
      </c>
      <c r="U13557" t="s">
        <v>60738</v>
      </c>
      <c r="W13557" t="s">
        <v>46145</v>
      </c>
      <c r="X13557" t="s">
        <v>47327</v>
      </c>
    </row>
    <row r="13558" spans="1:24">
      <c r="A13558">
        <f>HYPERLINK("https://www.philgeps.gov.ph/GEPSNONPILOT/Tender/SplashBidNoticeAbstractUI.aspx?menuIndex=3&amp;refID=7145381&amp;Result=3","7145381")</f>
        <v>0</v>
      </c>
      <c r="B13558" t="s">
        <v>3648</v>
      </c>
      <c r="C13558" t="s">
        <v>16670</v>
      </c>
      <c r="D13558" t="s">
        <v>19024</v>
      </c>
      <c r="E13558" t="s">
        <v>30554</v>
      </c>
      <c r="F13558" t="s">
        <v>32606</v>
      </c>
      <c r="G13558" t="s">
        <v>32613</v>
      </c>
      <c r="H13558" t="s">
        <v>32623</v>
      </c>
      <c r="I13558" t="s">
        <v>17648</v>
      </c>
      <c r="J13558" t="s">
        <v>41143</v>
      </c>
      <c r="K13558" t="s">
        <v>42624</v>
      </c>
      <c r="M13558" t="s">
        <v>46950</v>
      </c>
      <c r="N13558" t="s">
        <v>47304</v>
      </c>
      <c r="O13558" t="s">
        <v>47305</v>
      </c>
      <c r="P13558">
        <v>0</v>
      </c>
      <c r="Q13558">
        <v>1</v>
      </c>
      <c r="R13558" t="s">
        <v>47321</v>
      </c>
      <c r="S13558" t="s">
        <v>48071</v>
      </c>
      <c r="T13558" t="s">
        <v>48995</v>
      </c>
      <c r="U13558" t="s">
        <v>60739</v>
      </c>
      <c r="W13558" t="s">
        <v>46950</v>
      </c>
      <c r="X13558" t="s">
        <v>47332</v>
      </c>
    </row>
    <row r="13559" spans="1:24">
      <c r="A13559">
        <f>HYPERLINK("https://www.philgeps.gov.ph/GEPSNONPILOT/Tender/SplashBidNoticeAbstractUI.aspx?menuIndex=3&amp;refID=7148052&amp;Result=3","7148052")</f>
        <v>0</v>
      </c>
      <c r="B13559" t="s">
        <v>3649</v>
      </c>
      <c r="C13559" t="s">
        <v>16671</v>
      </c>
      <c r="D13559" t="s">
        <v>18993</v>
      </c>
      <c r="E13559" t="s">
        <v>30555</v>
      </c>
      <c r="F13559" t="s">
        <v>32606</v>
      </c>
      <c r="G13559" t="s">
        <v>32613</v>
      </c>
      <c r="H13559" t="s">
        <v>14201</v>
      </c>
      <c r="I13559" t="s">
        <v>32640</v>
      </c>
      <c r="J13559" t="s">
        <v>41144</v>
      </c>
      <c r="K13559" t="s">
        <v>42624</v>
      </c>
      <c r="M13559" t="s">
        <v>46951</v>
      </c>
      <c r="N13559" t="s">
        <v>47304</v>
      </c>
      <c r="O13559" t="s">
        <v>47305</v>
      </c>
      <c r="Q13559">
        <v>22</v>
      </c>
      <c r="R13559" t="s">
        <v>47321</v>
      </c>
      <c r="S13559" t="s">
        <v>47586</v>
      </c>
      <c r="T13559" t="s">
        <v>49023</v>
      </c>
      <c r="U13559" t="s">
        <v>60740</v>
      </c>
      <c r="V13559" t="s">
        <v>64102</v>
      </c>
      <c r="W13559" t="s">
        <v>46951</v>
      </c>
      <c r="X13559" t="s">
        <v>47332</v>
      </c>
    </row>
    <row r="13560" spans="1:24">
      <c r="A13560">
        <f>HYPERLINK("https://www.philgeps.gov.ph/GEPSNONPILOT/Tender/SplashBidNoticeAbstractUI.aspx?menuIndex=3&amp;refID=7158822&amp;Result=3","7158822")</f>
        <v>0</v>
      </c>
      <c r="B13560" t="s">
        <v>3645</v>
      </c>
      <c r="C13560" t="s">
        <v>16672</v>
      </c>
      <c r="D13560" t="s">
        <v>19008</v>
      </c>
      <c r="E13560" t="s">
        <v>30556</v>
      </c>
      <c r="F13560" t="s">
        <v>32606</v>
      </c>
      <c r="G13560" t="s">
        <v>32613</v>
      </c>
      <c r="H13560" t="s">
        <v>14201</v>
      </c>
      <c r="I13560" t="s">
        <v>32635</v>
      </c>
      <c r="J13560" t="s">
        <v>34128</v>
      </c>
      <c r="K13560" t="s">
        <v>42646</v>
      </c>
      <c r="M13560" t="s">
        <v>46947</v>
      </c>
      <c r="N13560" t="s">
        <v>47304</v>
      </c>
      <c r="O13560" t="s">
        <v>47305</v>
      </c>
      <c r="Q13560">
        <v>5</v>
      </c>
      <c r="R13560" t="s">
        <v>47321</v>
      </c>
      <c r="S13560" t="s">
        <v>47697</v>
      </c>
      <c r="T13560" t="s">
        <v>49234</v>
      </c>
      <c r="U13560" t="s">
        <v>60727</v>
      </c>
      <c r="V13560" t="s">
        <v>60727</v>
      </c>
      <c r="W13560" t="s">
        <v>46947</v>
      </c>
      <c r="X13560" t="s">
        <v>47326</v>
      </c>
    </row>
    <row r="13561" spans="1:24">
      <c r="A13561">
        <f>HYPERLINK("https://www.philgeps.gov.ph/GEPSNONPILOT/Tender/SplashBidNoticeAbstractUI.aspx?menuIndex=3&amp;refID=7159025&amp;Result=3","7159025")</f>
        <v>0</v>
      </c>
      <c r="B13561" t="s">
        <v>3645</v>
      </c>
      <c r="C13561" t="s">
        <v>16673</v>
      </c>
      <c r="D13561" t="s">
        <v>19005</v>
      </c>
      <c r="E13561" t="s">
        <v>30557</v>
      </c>
      <c r="F13561" t="s">
        <v>32606</v>
      </c>
      <c r="G13561" t="s">
        <v>32613</v>
      </c>
      <c r="H13561" t="s">
        <v>14201</v>
      </c>
      <c r="I13561" t="s">
        <v>32635</v>
      </c>
      <c r="J13561" t="s">
        <v>32861</v>
      </c>
      <c r="K13561" t="s">
        <v>42646</v>
      </c>
      <c r="M13561" t="s">
        <v>46947</v>
      </c>
      <c r="N13561" t="s">
        <v>47304</v>
      </c>
      <c r="O13561" t="s">
        <v>47305</v>
      </c>
      <c r="P13561">
        <v>0</v>
      </c>
      <c r="Q13561">
        <v>9</v>
      </c>
      <c r="R13561" t="s">
        <v>47321</v>
      </c>
      <c r="S13561" t="s">
        <v>48071</v>
      </c>
      <c r="T13561" t="s">
        <v>49075</v>
      </c>
      <c r="U13561" t="s">
        <v>60727</v>
      </c>
      <c r="V13561" t="s">
        <v>60727</v>
      </c>
      <c r="W13561" t="s">
        <v>46947</v>
      </c>
      <c r="X13561" t="s">
        <v>47326</v>
      </c>
    </row>
    <row r="13562" spans="1:24">
      <c r="A13562">
        <f>HYPERLINK("https://www.philgeps.gov.ph/GEPSNONPILOT/Tender/SplashBidNoticeAbstractUI.aspx?menuIndex=3&amp;refID=7160329&amp;Result=3","7160329")</f>
        <v>0</v>
      </c>
      <c r="B13562" t="s">
        <v>2226</v>
      </c>
      <c r="C13562" t="s">
        <v>16674</v>
      </c>
      <c r="D13562" t="s">
        <v>19058</v>
      </c>
      <c r="E13562" t="s">
        <v>30558</v>
      </c>
      <c r="F13562" t="s">
        <v>32606</v>
      </c>
      <c r="G13562" t="s">
        <v>32613</v>
      </c>
      <c r="H13562" t="s">
        <v>14201</v>
      </c>
      <c r="I13562" t="s">
        <v>4112</v>
      </c>
      <c r="J13562" t="s">
        <v>41145</v>
      </c>
      <c r="K13562" t="s">
        <v>42630</v>
      </c>
      <c r="M13562" t="s">
        <v>45330</v>
      </c>
      <c r="N13562" t="s">
        <v>47304</v>
      </c>
      <c r="O13562" t="s">
        <v>47305</v>
      </c>
      <c r="P13562">
        <v>0</v>
      </c>
      <c r="Q13562">
        <v>2</v>
      </c>
      <c r="R13562" t="s">
        <v>47321</v>
      </c>
      <c r="S13562" t="s">
        <v>48071</v>
      </c>
      <c r="T13562" t="s">
        <v>49268</v>
      </c>
      <c r="U13562" t="s">
        <v>60741</v>
      </c>
      <c r="W13562" t="s">
        <v>45330</v>
      </c>
      <c r="X13562" t="s">
        <v>47326</v>
      </c>
    </row>
    <row r="13563" spans="1:24">
      <c r="A13563">
        <f>HYPERLINK("https://www.philgeps.gov.ph/GEPSNONPILOT/Tender/SplashBidNoticeAbstractUI.aspx?menuIndex=3&amp;refID=7159923&amp;Result=3","7159923")</f>
        <v>0</v>
      </c>
      <c r="B13563" t="s">
        <v>64</v>
      </c>
      <c r="C13563" t="s">
        <v>16675</v>
      </c>
      <c r="D13563" t="s">
        <v>19004</v>
      </c>
      <c r="E13563" t="s">
        <v>30559</v>
      </c>
      <c r="F13563" t="s">
        <v>32606</v>
      </c>
      <c r="G13563" t="s">
        <v>32613</v>
      </c>
      <c r="H13563" t="s">
        <v>14201</v>
      </c>
      <c r="I13563" t="s">
        <v>32633</v>
      </c>
      <c r="J13563" t="s">
        <v>33836</v>
      </c>
      <c r="K13563" t="s">
        <v>42622</v>
      </c>
      <c r="M13563" t="s">
        <v>42961</v>
      </c>
      <c r="N13563" t="s">
        <v>47304</v>
      </c>
      <c r="O13563" t="s">
        <v>47305</v>
      </c>
      <c r="P13563">
        <v>0</v>
      </c>
      <c r="Q13563">
        <v>11</v>
      </c>
      <c r="R13563" t="s">
        <v>47321</v>
      </c>
      <c r="S13563" t="s">
        <v>48071</v>
      </c>
      <c r="T13563" t="s">
        <v>48996</v>
      </c>
      <c r="U13563" t="s">
        <v>60742</v>
      </c>
      <c r="W13563" t="s">
        <v>64420</v>
      </c>
      <c r="X13563" t="s">
        <v>47326</v>
      </c>
    </row>
    <row r="13564" spans="1:24">
      <c r="A13564">
        <f>HYPERLINK("https://www.philgeps.gov.ph/GEPSNONPILOT/Tender/SplashBidNoticeAbstractUI.aspx?menuIndex=3&amp;refID=7159898&amp;Result=3","7159898")</f>
        <v>0</v>
      </c>
      <c r="B13564" t="s">
        <v>64</v>
      </c>
      <c r="C13564" t="s">
        <v>16676</v>
      </c>
      <c r="D13564" t="s">
        <v>19004</v>
      </c>
      <c r="E13564" t="s">
        <v>30560</v>
      </c>
      <c r="F13564" t="s">
        <v>32606</v>
      </c>
      <c r="G13564" t="s">
        <v>32613</v>
      </c>
      <c r="H13564" t="s">
        <v>14201</v>
      </c>
      <c r="I13564" t="s">
        <v>7677</v>
      </c>
      <c r="J13564" t="s">
        <v>41146</v>
      </c>
      <c r="K13564" t="s">
        <v>42622</v>
      </c>
      <c r="M13564" t="s">
        <v>42961</v>
      </c>
      <c r="N13564" t="s">
        <v>47304</v>
      </c>
      <c r="O13564" t="s">
        <v>47305</v>
      </c>
      <c r="P13564">
        <v>0</v>
      </c>
      <c r="Q13564">
        <v>5</v>
      </c>
      <c r="R13564" t="s">
        <v>47321</v>
      </c>
      <c r="S13564" t="s">
        <v>48071</v>
      </c>
      <c r="T13564" t="s">
        <v>48996</v>
      </c>
      <c r="U13564" t="s">
        <v>60743</v>
      </c>
      <c r="W13564" t="s">
        <v>64420</v>
      </c>
      <c r="X13564" t="s">
        <v>47326</v>
      </c>
    </row>
    <row r="13565" spans="1:24">
      <c r="A13565">
        <f>HYPERLINK("https://www.philgeps.gov.ph/GEPSNONPILOT/Tender/SplashBidNoticeAbstractUI.aspx?menuIndex=3&amp;refID=7162033&amp;Result=3","7162033")</f>
        <v>0</v>
      </c>
      <c r="B13565" t="s">
        <v>341</v>
      </c>
      <c r="C13565" t="s">
        <v>16677</v>
      </c>
      <c r="D13565" t="s">
        <v>19030</v>
      </c>
      <c r="E13565" t="s">
        <v>30561</v>
      </c>
      <c r="F13565" t="s">
        <v>32606</v>
      </c>
      <c r="G13565" t="s">
        <v>32613</v>
      </c>
      <c r="H13565" t="s">
        <v>32623</v>
      </c>
      <c r="I13565" t="s">
        <v>17648</v>
      </c>
      <c r="J13565" t="s">
        <v>33039</v>
      </c>
      <c r="K13565" t="s">
        <v>42648</v>
      </c>
      <c r="M13565" t="s">
        <v>43243</v>
      </c>
      <c r="N13565" t="s">
        <v>47304</v>
      </c>
      <c r="O13565" t="s">
        <v>47305</v>
      </c>
      <c r="Q13565">
        <v>2</v>
      </c>
      <c r="R13565" t="s">
        <v>47321</v>
      </c>
      <c r="S13565" t="s">
        <v>48078</v>
      </c>
      <c r="T13565" t="s">
        <v>49175</v>
      </c>
      <c r="U13565" t="s">
        <v>60744</v>
      </c>
      <c r="V13565" t="s">
        <v>64103</v>
      </c>
      <c r="W13565" t="s">
        <v>64429</v>
      </c>
      <c r="X13565" t="s">
        <v>47325</v>
      </c>
    </row>
    <row r="13566" spans="1:24">
      <c r="A13566">
        <f>HYPERLINK("https://www.philgeps.gov.ph/GEPSNONPILOT/Tender/SplashBidNoticeAbstractUI.aspx?menuIndex=3&amp;refID=7113669&amp;Result=3","7113669")</f>
        <v>0</v>
      </c>
      <c r="B13566" t="s">
        <v>3562</v>
      </c>
      <c r="C13566" t="s">
        <v>16678</v>
      </c>
      <c r="E13566" t="s">
        <v>29989</v>
      </c>
      <c r="F13566" t="s">
        <v>32606</v>
      </c>
      <c r="G13566" t="s">
        <v>32613</v>
      </c>
      <c r="H13566" t="s">
        <v>14201</v>
      </c>
      <c r="I13566" t="s">
        <v>32662</v>
      </c>
      <c r="J13566" t="s">
        <v>37271</v>
      </c>
      <c r="K13566" t="s">
        <v>42636</v>
      </c>
      <c r="M13566" t="s">
        <v>46847</v>
      </c>
      <c r="N13566" t="s">
        <v>47304</v>
      </c>
      <c r="O13566" t="s">
        <v>47305</v>
      </c>
      <c r="P13566">
        <v>0</v>
      </c>
      <c r="Q13566">
        <v>21</v>
      </c>
      <c r="R13566" t="s">
        <v>47321</v>
      </c>
      <c r="S13566" t="s">
        <v>48071</v>
      </c>
      <c r="T13566" t="s">
        <v>49052</v>
      </c>
      <c r="U13566" t="s">
        <v>60165</v>
      </c>
      <c r="V13566" t="s">
        <v>64100</v>
      </c>
      <c r="W13566" t="s">
        <v>46847</v>
      </c>
      <c r="X13566" t="s">
        <v>47345</v>
      </c>
    </row>
    <row r="13567" spans="1:24">
      <c r="A13567">
        <f>HYPERLINK("https://www.philgeps.gov.ph/GEPSNONPILOT/Tender/SplashBidNoticeAbstractUI.aspx?menuIndex=3&amp;refID=7159787&amp;Result=3","7159787")</f>
        <v>0</v>
      </c>
      <c r="B13567" t="s">
        <v>64</v>
      </c>
      <c r="C13567" t="s">
        <v>16679</v>
      </c>
      <c r="D13567" t="s">
        <v>19004</v>
      </c>
      <c r="E13567" t="s">
        <v>30562</v>
      </c>
      <c r="F13567" t="s">
        <v>32606</v>
      </c>
      <c r="G13567" t="s">
        <v>32613</v>
      </c>
      <c r="H13567" t="s">
        <v>14201</v>
      </c>
      <c r="I13567" t="s">
        <v>32638</v>
      </c>
      <c r="J13567" t="s">
        <v>41147</v>
      </c>
      <c r="K13567" t="s">
        <v>42622</v>
      </c>
      <c r="M13567" t="s">
        <v>42961</v>
      </c>
      <c r="N13567" t="s">
        <v>47304</v>
      </c>
      <c r="O13567" t="s">
        <v>47305</v>
      </c>
      <c r="P13567">
        <v>0</v>
      </c>
      <c r="Q13567">
        <v>19</v>
      </c>
      <c r="R13567" t="s">
        <v>47321</v>
      </c>
      <c r="S13567" t="s">
        <v>48071</v>
      </c>
      <c r="T13567" t="s">
        <v>48996</v>
      </c>
      <c r="U13567" t="s">
        <v>60745</v>
      </c>
      <c r="W13567" t="s">
        <v>64420</v>
      </c>
      <c r="X13567" t="s">
        <v>47326</v>
      </c>
    </row>
    <row r="13568" spans="1:24">
      <c r="A13568">
        <f>HYPERLINK("https://www.philgeps.gov.ph/GEPSNONPILOT/Tender/SplashBidNoticeAbstractUI.aspx?menuIndex=3&amp;refID=7159768&amp;Result=3","7159768")</f>
        <v>0</v>
      </c>
      <c r="B13568" t="s">
        <v>64</v>
      </c>
      <c r="C13568" t="s">
        <v>16680</v>
      </c>
      <c r="D13568" t="s">
        <v>19004</v>
      </c>
      <c r="E13568" t="s">
        <v>30563</v>
      </c>
      <c r="F13568" t="s">
        <v>32606</v>
      </c>
      <c r="G13568" t="s">
        <v>32613</v>
      </c>
      <c r="H13568" t="s">
        <v>14201</v>
      </c>
      <c r="I13568" t="s">
        <v>32738</v>
      </c>
      <c r="J13568" t="s">
        <v>34363</v>
      </c>
      <c r="K13568" t="s">
        <v>42622</v>
      </c>
      <c r="M13568" t="s">
        <v>42961</v>
      </c>
      <c r="N13568" t="s">
        <v>47304</v>
      </c>
      <c r="O13568" t="s">
        <v>47305</v>
      </c>
      <c r="P13568">
        <v>0</v>
      </c>
      <c r="Q13568">
        <v>3</v>
      </c>
      <c r="R13568" t="s">
        <v>47321</v>
      </c>
      <c r="S13568" t="s">
        <v>48071</v>
      </c>
      <c r="T13568" t="s">
        <v>48996</v>
      </c>
      <c r="U13568" t="s">
        <v>60746</v>
      </c>
      <c r="W13568" t="s">
        <v>64420</v>
      </c>
      <c r="X13568" t="s">
        <v>47326</v>
      </c>
    </row>
    <row r="13569" spans="1:24">
      <c r="A13569">
        <f>HYPERLINK("https://www.philgeps.gov.ph/GEPSNONPILOT/Tender/SplashBidNoticeAbstractUI.aspx?menuIndex=3&amp;refID=7159751&amp;Result=3","7159751")</f>
        <v>0</v>
      </c>
      <c r="B13569" t="s">
        <v>64</v>
      </c>
      <c r="C13569" t="s">
        <v>16681</v>
      </c>
      <c r="D13569" t="s">
        <v>19004</v>
      </c>
      <c r="E13569" t="s">
        <v>30564</v>
      </c>
      <c r="F13569" t="s">
        <v>32606</v>
      </c>
      <c r="G13569" t="s">
        <v>32613</v>
      </c>
      <c r="H13569" t="s">
        <v>14201</v>
      </c>
      <c r="I13569" t="s">
        <v>6298</v>
      </c>
      <c r="J13569" t="s">
        <v>41148</v>
      </c>
      <c r="K13569" t="s">
        <v>42631</v>
      </c>
      <c r="M13569" t="s">
        <v>42961</v>
      </c>
      <c r="N13569" t="s">
        <v>47304</v>
      </c>
      <c r="O13569" t="s">
        <v>47305</v>
      </c>
      <c r="P13569">
        <v>0</v>
      </c>
      <c r="Q13569">
        <v>1</v>
      </c>
      <c r="R13569" t="s">
        <v>47321</v>
      </c>
      <c r="S13569" t="s">
        <v>48071</v>
      </c>
      <c r="T13569" t="s">
        <v>48996</v>
      </c>
      <c r="U13569" t="s">
        <v>60747</v>
      </c>
      <c r="W13569" t="s">
        <v>64420</v>
      </c>
      <c r="X13569" t="s">
        <v>47326</v>
      </c>
    </row>
    <row r="13570" spans="1:24">
      <c r="A13570">
        <f>HYPERLINK("https://www.philgeps.gov.ph/GEPSNONPILOT/Tender/SplashBidNoticeAbstractUI.aspx?menuIndex=3&amp;refID=7162493&amp;Result=3","7162493")</f>
        <v>0</v>
      </c>
      <c r="B13570" t="s">
        <v>1827</v>
      </c>
      <c r="C13570" t="s">
        <v>16682</v>
      </c>
      <c r="E13570" t="s">
        <v>30565</v>
      </c>
      <c r="F13570" t="s">
        <v>32606</v>
      </c>
      <c r="G13570" t="s">
        <v>32613</v>
      </c>
      <c r="H13570" t="s">
        <v>14201</v>
      </c>
      <c r="I13570" t="s">
        <v>32638</v>
      </c>
      <c r="J13570" t="s">
        <v>41149</v>
      </c>
      <c r="K13570" t="s">
        <v>42624</v>
      </c>
      <c r="M13570" t="s">
        <v>45577</v>
      </c>
      <c r="N13570" t="s">
        <v>47304</v>
      </c>
      <c r="O13570" t="s">
        <v>47305</v>
      </c>
      <c r="P13570">
        <v>0</v>
      </c>
      <c r="Q13570">
        <v>4</v>
      </c>
      <c r="R13570" t="s">
        <v>47321</v>
      </c>
      <c r="S13570" t="s">
        <v>48071</v>
      </c>
      <c r="T13570" t="s">
        <v>49023</v>
      </c>
      <c r="U13570" t="s">
        <v>60748</v>
      </c>
      <c r="W13570" t="s">
        <v>45577</v>
      </c>
      <c r="X13570" t="s">
        <v>47325</v>
      </c>
    </row>
    <row r="13571" spans="1:24">
      <c r="A13571">
        <f>HYPERLINK("https://www.philgeps.gov.ph/GEPSNONPILOT/Tender/SplashBidNoticeAbstractUI.aspx?menuIndex=3&amp;refID=7162480&amp;Result=3","7162480")</f>
        <v>0</v>
      </c>
      <c r="B13571" t="s">
        <v>1827</v>
      </c>
      <c r="C13571" t="s">
        <v>16683</v>
      </c>
      <c r="E13571" t="s">
        <v>30566</v>
      </c>
      <c r="F13571" t="s">
        <v>32606</v>
      </c>
      <c r="G13571" t="s">
        <v>32613</v>
      </c>
      <c r="H13571" t="s">
        <v>14201</v>
      </c>
      <c r="I13571" t="s">
        <v>32638</v>
      </c>
      <c r="J13571" t="s">
        <v>41150</v>
      </c>
      <c r="K13571" t="s">
        <v>42624</v>
      </c>
      <c r="M13571" t="s">
        <v>45577</v>
      </c>
      <c r="N13571" t="s">
        <v>47304</v>
      </c>
      <c r="O13571" t="s">
        <v>47305</v>
      </c>
      <c r="P13571">
        <v>0</v>
      </c>
      <c r="Q13571">
        <v>5</v>
      </c>
      <c r="R13571" t="s">
        <v>47321</v>
      </c>
      <c r="S13571" t="s">
        <v>48071</v>
      </c>
      <c r="T13571" t="s">
        <v>49023</v>
      </c>
      <c r="U13571" t="s">
        <v>60749</v>
      </c>
      <c r="W13571" t="s">
        <v>45577</v>
      </c>
      <c r="X13571" t="s">
        <v>47325</v>
      </c>
    </row>
    <row r="13572" spans="1:24">
      <c r="A13572">
        <f>HYPERLINK("https://www.philgeps.gov.ph/GEPSNONPILOT/Tender/SplashBidNoticeAbstractUI.aspx?menuIndex=3&amp;refID=7159805&amp;Result=3","7159805")</f>
        <v>0</v>
      </c>
      <c r="B13572" t="s">
        <v>64</v>
      </c>
      <c r="C13572" t="s">
        <v>16684</v>
      </c>
      <c r="D13572" t="s">
        <v>19004</v>
      </c>
      <c r="E13572" t="s">
        <v>30567</v>
      </c>
      <c r="F13572" t="s">
        <v>32606</v>
      </c>
      <c r="G13572" t="s">
        <v>32613</v>
      </c>
      <c r="H13572" t="s">
        <v>14201</v>
      </c>
      <c r="I13572" t="s">
        <v>7677</v>
      </c>
      <c r="J13572" t="s">
        <v>41151</v>
      </c>
      <c r="K13572" t="s">
        <v>42622</v>
      </c>
      <c r="M13572" t="s">
        <v>42961</v>
      </c>
      <c r="N13572" t="s">
        <v>47304</v>
      </c>
      <c r="O13572" t="s">
        <v>47305</v>
      </c>
      <c r="P13572">
        <v>0</v>
      </c>
      <c r="Q13572">
        <v>3</v>
      </c>
      <c r="R13572" t="s">
        <v>47321</v>
      </c>
      <c r="S13572" t="s">
        <v>48071</v>
      </c>
      <c r="T13572" t="s">
        <v>48996</v>
      </c>
      <c r="U13572" t="s">
        <v>60750</v>
      </c>
      <c r="W13572" t="s">
        <v>64420</v>
      </c>
      <c r="X13572" t="s">
        <v>47326</v>
      </c>
    </row>
    <row r="13573" spans="1:24">
      <c r="A13573">
        <f>HYPERLINK("https://www.philgeps.gov.ph/GEPSNONPILOT/Tender/SplashBidNoticeAbstractUI.aspx?menuIndex=3&amp;refID=7162453&amp;Result=3","7162453")</f>
        <v>0</v>
      </c>
      <c r="B13573" t="s">
        <v>1827</v>
      </c>
      <c r="C13573" t="s">
        <v>16685</v>
      </c>
      <c r="E13573" t="s">
        <v>30568</v>
      </c>
      <c r="F13573" t="s">
        <v>32606</v>
      </c>
      <c r="G13573" t="s">
        <v>32613</v>
      </c>
      <c r="H13573" t="s">
        <v>14201</v>
      </c>
      <c r="I13573" t="s">
        <v>32638</v>
      </c>
      <c r="J13573" t="s">
        <v>41152</v>
      </c>
      <c r="K13573" t="s">
        <v>42624</v>
      </c>
      <c r="M13573" t="s">
        <v>45577</v>
      </c>
      <c r="N13573" t="s">
        <v>47304</v>
      </c>
      <c r="O13573" t="s">
        <v>47305</v>
      </c>
      <c r="P13573">
        <v>0</v>
      </c>
      <c r="Q13573">
        <v>9</v>
      </c>
      <c r="R13573" t="s">
        <v>47321</v>
      </c>
      <c r="S13573" t="s">
        <v>48071</v>
      </c>
      <c r="T13573" t="s">
        <v>49023</v>
      </c>
      <c r="U13573" t="s">
        <v>60751</v>
      </c>
      <c r="W13573" t="s">
        <v>45577</v>
      </c>
      <c r="X13573" t="s">
        <v>47325</v>
      </c>
    </row>
    <row r="13574" spans="1:24">
      <c r="A13574">
        <f>HYPERLINK("https://www.philgeps.gov.ph/GEPSNONPILOT/Tender/SplashBidNoticeAbstractUI.aspx?menuIndex=3&amp;refID=7162468&amp;Result=3","7162468")</f>
        <v>0</v>
      </c>
      <c r="B13574" t="s">
        <v>1827</v>
      </c>
      <c r="C13574" t="s">
        <v>16686</v>
      </c>
      <c r="E13574" t="s">
        <v>30569</v>
      </c>
      <c r="F13574" t="s">
        <v>32606</v>
      </c>
      <c r="G13574" t="s">
        <v>32613</v>
      </c>
      <c r="H13574" t="s">
        <v>14201</v>
      </c>
      <c r="I13574" t="s">
        <v>32638</v>
      </c>
      <c r="J13574" t="s">
        <v>41153</v>
      </c>
      <c r="K13574" t="s">
        <v>42624</v>
      </c>
      <c r="M13574" t="s">
        <v>45577</v>
      </c>
      <c r="N13574" t="s">
        <v>47304</v>
      </c>
      <c r="O13574" t="s">
        <v>47305</v>
      </c>
      <c r="P13574">
        <v>0</v>
      </c>
      <c r="Q13574">
        <v>4</v>
      </c>
      <c r="R13574" t="s">
        <v>47321</v>
      </c>
      <c r="S13574" t="s">
        <v>48071</v>
      </c>
      <c r="T13574" t="s">
        <v>49023</v>
      </c>
      <c r="U13574" t="s">
        <v>60752</v>
      </c>
      <c r="W13574" t="s">
        <v>45577</v>
      </c>
      <c r="X13574" t="s">
        <v>47325</v>
      </c>
    </row>
    <row r="13575" spans="1:24">
      <c r="A13575">
        <f>HYPERLINK("https://www.philgeps.gov.ph/GEPSNONPILOT/Tender/SplashBidNoticeAbstractUI.aspx?menuIndex=3&amp;refID=7162436&amp;Result=3","7162436")</f>
        <v>0</v>
      </c>
      <c r="B13575" t="s">
        <v>1827</v>
      </c>
      <c r="C13575" t="s">
        <v>16687</v>
      </c>
      <c r="E13575" t="s">
        <v>30570</v>
      </c>
      <c r="F13575" t="s">
        <v>32606</v>
      </c>
      <c r="G13575" t="s">
        <v>32613</v>
      </c>
      <c r="H13575" t="s">
        <v>14201</v>
      </c>
      <c r="I13575" t="s">
        <v>32662</v>
      </c>
      <c r="J13575" t="s">
        <v>35242</v>
      </c>
      <c r="K13575" t="s">
        <v>42624</v>
      </c>
      <c r="M13575" t="s">
        <v>45577</v>
      </c>
      <c r="N13575" t="s">
        <v>47304</v>
      </c>
      <c r="O13575" t="s">
        <v>47305</v>
      </c>
      <c r="P13575">
        <v>0</v>
      </c>
      <c r="Q13575">
        <v>15</v>
      </c>
      <c r="R13575" t="s">
        <v>47321</v>
      </c>
      <c r="S13575" t="s">
        <v>48071</v>
      </c>
      <c r="T13575" t="s">
        <v>49023</v>
      </c>
      <c r="U13575" t="s">
        <v>60753</v>
      </c>
      <c r="W13575" t="s">
        <v>45577</v>
      </c>
      <c r="X13575" t="s">
        <v>47325</v>
      </c>
    </row>
    <row r="13576" spans="1:24">
      <c r="A13576">
        <f>HYPERLINK("https://www.philgeps.gov.ph/GEPSNONPILOT/Tender/SplashBidNoticeAbstractUI.aspx?menuIndex=3&amp;refID=7159943&amp;Result=3","7159943")</f>
        <v>0</v>
      </c>
      <c r="B13576" t="s">
        <v>64</v>
      </c>
      <c r="C13576" t="s">
        <v>16688</v>
      </c>
      <c r="D13576" t="s">
        <v>19004</v>
      </c>
      <c r="E13576" t="s">
        <v>30571</v>
      </c>
      <c r="F13576" t="s">
        <v>32606</v>
      </c>
      <c r="G13576" t="s">
        <v>32613</v>
      </c>
      <c r="H13576" t="s">
        <v>14201</v>
      </c>
      <c r="I13576" t="s">
        <v>32638</v>
      </c>
      <c r="J13576" t="s">
        <v>33255</v>
      </c>
      <c r="K13576" t="s">
        <v>42636</v>
      </c>
      <c r="M13576" t="s">
        <v>42961</v>
      </c>
      <c r="N13576" t="s">
        <v>47304</v>
      </c>
      <c r="O13576" t="s">
        <v>47305</v>
      </c>
      <c r="P13576">
        <v>0</v>
      </c>
      <c r="Q13576">
        <v>18</v>
      </c>
      <c r="R13576" t="s">
        <v>47321</v>
      </c>
      <c r="S13576" t="s">
        <v>48071</v>
      </c>
      <c r="T13576" t="s">
        <v>48996</v>
      </c>
      <c r="U13576" t="s">
        <v>60754</v>
      </c>
      <c r="W13576" t="s">
        <v>64420</v>
      </c>
      <c r="X13576" t="s">
        <v>47326</v>
      </c>
    </row>
    <row r="13577" spans="1:24">
      <c r="A13577">
        <f>HYPERLINK("https://www.philgeps.gov.ph/GEPSNONPILOT/Tender/SplashBidNoticeAbstractUI.aspx?menuIndex=3&amp;refID=7162505&amp;Result=3","7162505")</f>
        <v>0</v>
      </c>
      <c r="B13577" t="s">
        <v>1827</v>
      </c>
      <c r="C13577" t="s">
        <v>16689</v>
      </c>
      <c r="E13577" t="s">
        <v>30572</v>
      </c>
      <c r="F13577" t="s">
        <v>32606</v>
      </c>
      <c r="G13577" t="s">
        <v>32613</v>
      </c>
      <c r="H13577" t="s">
        <v>14201</v>
      </c>
      <c r="I13577" t="s">
        <v>32638</v>
      </c>
      <c r="J13577" t="s">
        <v>41154</v>
      </c>
      <c r="K13577" t="s">
        <v>42624</v>
      </c>
      <c r="M13577" t="s">
        <v>45577</v>
      </c>
      <c r="N13577" t="s">
        <v>47304</v>
      </c>
      <c r="O13577" t="s">
        <v>47305</v>
      </c>
      <c r="P13577">
        <v>0</v>
      </c>
      <c r="Q13577">
        <v>6</v>
      </c>
      <c r="R13577" t="s">
        <v>47321</v>
      </c>
      <c r="S13577" t="s">
        <v>48071</v>
      </c>
      <c r="T13577" t="s">
        <v>49023</v>
      </c>
      <c r="U13577" t="s">
        <v>60755</v>
      </c>
      <c r="W13577" t="s">
        <v>45577</v>
      </c>
      <c r="X13577" t="s">
        <v>47325</v>
      </c>
    </row>
    <row r="13578" spans="1:24">
      <c r="A13578">
        <f>HYPERLINK("https://www.philgeps.gov.ph/GEPSNONPILOT/Tender/SplashBidNoticeAbstractUI.aspx?menuIndex=3&amp;refID=7163981&amp;Result=3","7163981")</f>
        <v>0</v>
      </c>
      <c r="B13578" t="s">
        <v>3650</v>
      </c>
      <c r="C13578" t="s">
        <v>16690</v>
      </c>
      <c r="D13578" t="s">
        <v>19038</v>
      </c>
      <c r="E13578" t="s">
        <v>26234</v>
      </c>
      <c r="F13578" t="s">
        <v>32606</v>
      </c>
      <c r="G13578" t="s">
        <v>32613</v>
      </c>
      <c r="H13578" t="s">
        <v>14201</v>
      </c>
      <c r="I13578" t="s">
        <v>9013</v>
      </c>
      <c r="J13578" t="s">
        <v>41155</v>
      </c>
      <c r="K13578" t="s">
        <v>42631</v>
      </c>
      <c r="M13578" t="s">
        <v>46952</v>
      </c>
      <c r="N13578" t="s">
        <v>47304</v>
      </c>
      <c r="O13578" t="s">
        <v>47305</v>
      </c>
      <c r="P13578">
        <v>0</v>
      </c>
      <c r="Q13578">
        <v>0</v>
      </c>
      <c r="R13578" t="s">
        <v>47321</v>
      </c>
      <c r="S13578" t="s">
        <v>48071</v>
      </c>
      <c r="T13578" t="s">
        <v>48987</v>
      </c>
      <c r="U13578" t="s">
        <v>60756</v>
      </c>
      <c r="W13578" t="s">
        <v>46952</v>
      </c>
      <c r="X13578" t="s">
        <v>47325</v>
      </c>
    </row>
    <row r="13579" spans="1:24">
      <c r="A13579">
        <f>HYPERLINK("https://www.philgeps.gov.ph/GEPSNONPILOT/Tender/SplashBidNoticeAbstractUI.aspx?menuIndex=3&amp;refID=7163960&amp;Result=3","7163960")</f>
        <v>0</v>
      </c>
      <c r="B13579" t="s">
        <v>3650</v>
      </c>
      <c r="C13579" t="s">
        <v>16691</v>
      </c>
      <c r="D13579" t="s">
        <v>19038</v>
      </c>
      <c r="E13579" t="s">
        <v>26304</v>
      </c>
      <c r="F13579" t="s">
        <v>32606</v>
      </c>
      <c r="G13579" t="s">
        <v>32613</v>
      </c>
      <c r="H13579" t="s">
        <v>32623</v>
      </c>
      <c r="I13579" t="s">
        <v>17648</v>
      </c>
      <c r="J13579" t="s">
        <v>41156</v>
      </c>
      <c r="K13579" t="s">
        <v>42708</v>
      </c>
      <c r="M13579" t="s">
        <v>46952</v>
      </c>
      <c r="N13579" t="s">
        <v>47304</v>
      </c>
      <c r="O13579" t="s">
        <v>47305</v>
      </c>
      <c r="P13579">
        <v>0</v>
      </c>
      <c r="Q13579">
        <v>0</v>
      </c>
      <c r="R13579" t="s">
        <v>47321</v>
      </c>
      <c r="S13579" t="s">
        <v>48071</v>
      </c>
      <c r="T13579" t="s">
        <v>48987</v>
      </c>
      <c r="U13579" t="s">
        <v>60757</v>
      </c>
      <c r="W13579" t="s">
        <v>46952</v>
      </c>
      <c r="X13579" t="s">
        <v>47325</v>
      </c>
    </row>
    <row r="13580" spans="1:24">
      <c r="A13580">
        <f>HYPERLINK("https://www.philgeps.gov.ph/GEPSNONPILOT/Tender/SplashBidNoticeAbstractUI.aspx?menuIndex=3&amp;refID=7163892&amp;Result=3","7163892")</f>
        <v>0</v>
      </c>
      <c r="B13580" t="s">
        <v>3650</v>
      </c>
      <c r="C13580" t="s">
        <v>16692</v>
      </c>
      <c r="D13580" t="s">
        <v>19038</v>
      </c>
      <c r="E13580" t="s">
        <v>26317</v>
      </c>
      <c r="F13580" t="s">
        <v>32606</v>
      </c>
      <c r="G13580" t="s">
        <v>32613</v>
      </c>
      <c r="H13580" t="s">
        <v>32623</v>
      </c>
      <c r="I13580" t="s">
        <v>17648</v>
      </c>
      <c r="J13580" t="s">
        <v>32772</v>
      </c>
      <c r="K13580" t="s">
        <v>42648</v>
      </c>
      <c r="M13580" t="s">
        <v>46952</v>
      </c>
      <c r="N13580" t="s">
        <v>47304</v>
      </c>
      <c r="O13580" t="s">
        <v>47305</v>
      </c>
      <c r="P13580">
        <v>0</v>
      </c>
      <c r="Q13580">
        <v>0</v>
      </c>
      <c r="R13580" t="s">
        <v>47321</v>
      </c>
      <c r="S13580" t="s">
        <v>48071</v>
      </c>
      <c r="T13580" t="s">
        <v>48987</v>
      </c>
      <c r="U13580" t="s">
        <v>60758</v>
      </c>
      <c r="W13580" t="s">
        <v>46952</v>
      </c>
      <c r="X13580" t="s">
        <v>47325</v>
      </c>
    </row>
    <row r="13581" spans="1:24">
      <c r="A13581">
        <f>HYPERLINK("https://www.philgeps.gov.ph/GEPSNONPILOT/Tender/SplashBidNoticeAbstractUI.aspx?menuIndex=3&amp;refID=7163809&amp;Result=3","7163809")</f>
        <v>0</v>
      </c>
      <c r="B13581" t="s">
        <v>3650</v>
      </c>
      <c r="C13581" t="s">
        <v>16693</v>
      </c>
      <c r="D13581" t="s">
        <v>19038</v>
      </c>
      <c r="E13581" t="s">
        <v>26165</v>
      </c>
      <c r="F13581" t="s">
        <v>32606</v>
      </c>
      <c r="G13581" t="s">
        <v>32613</v>
      </c>
      <c r="H13581" t="s">
        <v>32623</v>
      </c>
      <c r="I13581" t="s">
        <v>17648</v>
      </c>
      <c r="J13581" t="s">
        <v>32772</v>
      </c>
      <c r="K13581" t="s">
        <v>42648</v>
      </c>
      <c r="M13581" t="s">
        <v>46952</v>
      </c>
      <c r="N13581" t="s">
        <v>47304</v>
      </c>
      <c r="O13581" t="s">
        <v>47305</v>
      </c>
      <c r="P13581">
        <v>0</v>
      </c>
      <c r="Q13581">
        <v>2</v>
      </c>
      <c r="R13581" t="s">
        <v>47321</v>
      </c>
      <c r="S13581" t="s">
        <v>48071</v>
      </c>
      <c r="T13581" t="s">
        <v>48987</v>
      </c>
      <c r="U13581" t="s">
        <v>60759</v>
      </c>
      <c r="W13581" t="s">
        <v>46952</v>
      </c>
      <c r="X13581" t="s">
        <v>47325</v>
      </c>
    </row>
    <row r="13582" spans="1:24">
      <c r="A13582">
        <f>HYPERLINK("https://www.philgeps.gov.ph/GEPSNONPILOT/Tender/SplashBidNoticeAbstractUI.aspx?menuIndex=3&amp;refID=7163773&amp;Result=3","7163773")</f>
        <v>0</v>
      </c>
      <c r="B13582" t="s">
        <v>3650</v>
      </c>
      <c r="C13582" t="s">
        <v>16694</v>
      </c>
      <c r="D13582" t="s">
        <v>19038</v>
      </c>
      <c r="E13582" t="s">
        <v>26164</v>
      </c>
      <c r="F13582" t="s">
        <v>32606</v>
      </c>
      <c r="G13582" t="s">
        <v>32613</v>
      </c>
      <c r="H13582" t="s">
        <v>32623</v>
      </c>
      <c r="I13582" t="s">
        <v>17648</v>
      </c>
      <c r="J13582" t="s">
        <v>32772</v>
      </c>
      <c r="K13582" t="s">
        <v>42648</v>
      </c>
      <c r="M13582" t="s">
        <v>46952</v>
      </c>
      <c r="N13582" t="s">
        <v>47304</v>
      </c>
      <c r="O13582" t="s">
        <v>47305</v>
      </c>
      <c r="P13582">
        <v>0</v>
      </c>
      <c r="Q13582">
        <v>1</v>
      </c>
      <c r="R13582" t="s">
        <v>47321</v>
      </c>
      <c r="S13582" t="s">
        <v>48071</v>
      </c>
      <c r="T13582" t="s">
        <v>48987</v>
      </c>
      <c r="U13582" t="s">
        <v>60760</v>
      </c>
      <c r="W13582" t="s">
        <v>46952</v>
      </c>
      <c r="X13582" t="s">
        <v>47325</v>
      </c>
    </row>
    <row r="13583" spans="1:24">
      <c r="A13583">
        <f>HYPERLINK("https://www.philgeps.gov.ph/GEPSNONPILOT/Tender/SplashBidNoticeAbstractUI.aspx?menuIndex=3&amp;refID=7163928&amp;Result=3","7163928")</f>
        <v>0</v>
      </c>
      <c r="B13583" t="s">
        <v>3650</v>
      </c>
      <c r="C13583" t="s">
        <v>16695</v>
      </c>
      <c r="D13583" t="s">
        <v>19038</v>
      </c>
      <c r="E13583" t="s">
        <v>26223</v>
      </c>
      <c r="F13583" t="s">
        <v>32606</v>
      </c>
      <c r="G13583" t="s">
        <v>32613</v>
      </c>
      <c r="H13583" t="s">
        <v>32623</v>
      </c>
      <c r="I13583" t="s">
        <v>17648</v>
      </c>
      <c r="J13583" t="s">
        <v>41157</v>
      </c>
      <c r="K13583" t="s">
        <v>42648</v>
      </c>
      <c r="M13583" t="s">
        <v>46952</v>
      </c>
      <c r="N13583" t="s">
        <v>47304</v>
      </c>
      <c r="O13583" t="s">
        <v>47305</v>
      </c>
      <c r="P13583">
        <v>0</v>
      </c>
      <c r="Q13583">
        <v>0</v>
      </c>
      <c r="R13583" t="s">
        <v>47321</v>
      </c>
      <c r="S13583" t="s">
        <v>48071</v>
      </c>
      <c r="T13583" t="s">
        <v>48987</v>
      </c>
      <c r="U13583" t="s">
        <v>60761</v>
      </c>
      <c r="W13583" t="s">
        <v>46952</v>
      </c>
      <c r="X13583" t="s">
        <v>47325</v>
      </c>
    </row>
    <row r="13584" spans="1:24">
      <c r="A13584">
        <f>HYPERLINK("https://www.philgeps.gov.ph/GEPSNONPILOT/Tender/SplashBidNoticeAbstractUI.aspx?menuIndex=3&amp;refID=7163849&amp;Result=3","7163849")</f>
        <v>0</v>
      </c>
      <c r="B13584" t="s">
        <v>3650</v>
      </c>
      <c r="C13584" t="s">
        <v>16696</v>
      </c>
      <c r="D13584" t="s">
        <v>19038</v>
      </c>
      <c r="E13584" t="s">
        <v>26178</v>
      </c>
      <c r="F13584" t="s">
        <v>32606</v>
      </c>
      <c r="G13584" t="s">
        <v>32613</v>
      </c>
      <c r="H13584" t="s">
        <v>32623</v>
      </c>
      <c r="I13584" t="s">
        <v>17648</v>
      </c>
      <c r="J13584" t="s">
        <v>32770</v>
      </c>
      <c r="K13584" t="s">
        <v>42639</v>
      </c>
      <c r="M13584" t="s">
        <v>46952</v>
      </c>
      <c r="N13584" t="s">
        <v>47304</v>
      </c>
      <c r="O13584" t="s">
        <v>47305</v>
      </c>
      <c r="P13584">
        <v>0</v>
      </c>
      <c r="Q13584">
        <v>1</v>
      </c>
      <c r="R13584" t="s">
        <v>47321</v>
      </c>
      <c r="S13584" t="s">
        <v>48071</v>
      </c>
      <c r="T13584" t="s">
        <v>48987</v>
      </c>
      <c r="U13584" t="s">
        <v>60762</v>
      </c>
      <c r="W13584" t="s">
        <v>46952</v>
      </c>
      <c r="X13584" t="s">
        <v>47325</v>
      </c>
    </row>
    <row r="13585" spans="1:24">
      <c r="A13585">
        <f>HYPERLINK("https://www.philgeps.gov.ph/GEPSNONPILOT/Tender/SplashBidNoticeAbstractUI.aspx?menuIndex=3&amp;refID=7162443&amp;Result=3","7162443")</f>
        <v>0</v>
      </c>
      <c r="B13585" t="s">
        <v>1827</v>
      </c>
      <c r="C13585" t="s">
        <v>16697</v>
      </c>
      <c r="E13585" t="s">
        <v>30573</v>
      </c>
      <c r="F13585" t="s">
        <v>32606</v>
      </c>
      <c r="G13585" t="s">
        <v>32613</v>
      </c>
      <c r="H13585" t="s">
        <v>14201</v>
      </c>
      <c r="I13585" t="s">
        <v>32638</v>
      </c>
      <c r="J13585" t="s">
        <v>41158</v>
      </c>
      <c r="K13585" t="s">
        <v>42624</v>
      </c>
      <c r="M13585" t="s">
        <v>45577</v>
      </c>
      <c r="N13585" t="s">
        <v>47304</v>
      </c>
      <c r="O13585" t="s">
        <v>47305</v>
      </c>
      <c r="P13585">
        <v>0</v>
      </c>
      <c r="Q13585">
        <v>12</v>
      </c>
      <c r="R13585" t="s">
        <v>47321</v>
      </c>
      <c r="S13585" t="s">
        <v>48071</v>
      </c>
      <c r="T13585" t="s">
        <v>49023</v>
      </c>
      <c r="U13585" t="s">
        <v>60763</v>
      </c>
      <c r="W13585" t="s">
        <v>45577</v>
      </c>
      <c r="X13585" t="s">
        <v>47325</v>
      </c>
    </row>
    <row r="13586" spans="1:24">
      <c r="A13586">
        <f>HYPERLINK("https://www.philgeps.gov.ph/GEPSNONPILOT/Tender/SplashBidNoticeAbstractUI.aspx?menuIndex=3&amp;refID=7160199&amp;Result=3","7160199")</f>
        <v>0</v>
      </c>
      <c r="B13586" t="s">
        <v>64</v>
      </c>
      <c r="C13586" t="s">
        <v>16698</v>
      </c>
      <c r="D13586" t="s">
        <v>19004</v>
      </c>
      <c r="E13586" t="s">
        <v>30574</v>
      </c>
      <c r="F13586" t="s">
        <v>32606</v>
      </c>
      <c r="G13586" t="s">
        <v>32613</v>
      </c>
      <c r="H13586" t="s">
        <v>14201</v>
      </c>
      <c r="I13586" t="s">
        <v>4678</v>
      </c>
      <c r="J13586" t="s">
        <v>40978</v>
      </c>
      <c r="K13586" t="s">
        <v>42639</v>
      </c>
      <c r="M13586" t="s">
        <v>42961</v>
      </c>
      <c r="N13586" t="s">
        <v>47304</v>
      </c>
      <c r="O13586" t="s">
        <v>47305</v>
      </c>
      <c r="P13586">
        <v>0</v>
      </c>
      <c r="Q13586">
        <v>2</v>
      </c>
      <c r="R13586" t="s">
        <v>47321</v>
      </c>
      <c r="S13586" t="s">
        <v>48071</v>
      </c>
      <c r="T13586" t="s">
        <v>48996</v>
      </c>
      <c r="U13586" t="s">
        <v>60764</v>
      </c>
      <c r="W13586" t="s">
        <v>64420</v>
      </c>
      <c r="X13586" t="s">
        <v>47326</v>
      </c>
    </row>
    <row r="13587" spans="1:24">
      <c r="A13587">
        <f>HYPERLINK("https://www.philgeps.gov.ph/GEPSNONPILOT/Tender/SplashBidNoticeAbstractUI.aspx?menuIndex=3&amp;refID=7164737&amp;Result=3","7164737")</f>
        <v>0</v>
      </c>
      <c r="B13587" t="s">
        <v>3649</v>
      </c>
      <c r="C13587" t="s">
        <v>16699</v>
      </c>
      <c r="E13587" t="s">
        <v>30575</v>
      </c>
      <c r="F13587" t="s">
        <v>32606</v>
      </c>
      <c r="G13587" t="s">
        <v>32613</v>
      </c>
      <c r="H13587" t="s">
        <v>14201</v>
      </c>
      <c r="I13587" t="s">
        <v>32640</v>
      </c>
      <c r="J13587" t="s">
        <v>41159</v>
      </c>
      <c r="K13587" t="s">
        <v>42624</v>
      </c>
      <c r="M13587" t="s">
        <v>46953</v>
      </c>
      <c r="N13587" t="s">
        <v>47304</v>
      </c>
      <c r="O13587" t="s">
        <v>47305</v>
      </c>
      <c r="Q13587">
        <v>28</v>
      </c>
      <c r="R13587" t="s">
        <v>47321</v>
      </c>
      <c r="S13587" t="s">
        <v>48079</v>
      </c>
      <c r="T13587" t="s">
        <v>49023</v>
      </c>
      <c r="U13587" t="s">
        <v>60765</v>
      </c>
      <c r="W13587" t="s">
        <v>46953</v>
      </c>
      <c r="X13587" t="s">
        <v>47323</v>
      </c>
    </row>
    <row r="13588" spans="1:24">
      <c r="A13588">
        <f>HYPERLINK("https://www.philgeps.gov.ph/GEPSNONPILOT/Tender/SplashBidNoticeAbstractUI.aspx?menuIndex=3&amp;refID=7163729&amp;Result=3","7163729")</f>
        <v>0</v>
      </c>
      <c r="B13588" t="s">
        <v>3650</v>
      </c>
      <c r="C13588" t="s">
        <v>16700</v>
      </c>
      <c r="D13588" t="s">
        <v>19038</v>
      </c>
      <c r="E13588" t="s">
        <v>26171</v>
      </c>
      <c r="F13588" t="s">
        <v>32606</v>
      </c>
      <c r="G13588" t="s">
        <v>32613</v>
      </c>
      <c r="H13588" t="s">
        <v>32623</v>
      </c>
      <c r="I13588" t="s">
        <v>17648</v>
      </c>
      <c r="J13588" t="s">
        <v>32772</v>
      </c>
      <c r="K13588" t="s">
        <v>42648</v>
      </c>
      <c r="M13588" t="s">
        <v>46952</v>
      </c>
      <c r="N13588" t="s">
        <v>47304</v>
      </c>
      <c r="O13588" t="s">
        <v>47305</v>
      </c>
      <c r="P13588">
        <v>0</v>
      </c>
      <c r="Q13588">
        <v>1</v>
      </c>
      <c r="R13588" t="s">
        <v>47321</v>
      </c>
      <c r="S13588" t="s">
        <v>48071</v>
      </c>
      <c r="T13588" t="s">
        <v>48987</v>
      </c>
      <c r="U13588" t="s">
        <v>60766</v>
      </c>
      <c r="W13588" t="s">
        <v>46952</v>
      </c>
      <c r="X13588" t="s">
        <v>47325</v>
      </c>
    </row>
    <row r="13589" spans="1:24">
      <c r="A13589">
        <f>HYPERLINK("https://www.philgeps.gov.ph/GEPSNONPILOT/Tender/SplashBidNoticeAbstractUI.aspx?menuIndex=3&amp;refID=7164719&amp;Result=3","7164719")</f>
        <v>0</v>
      </c>
      <c r="B13589" t="s">
        <v>301</v>
      </c>
      <c r="C13589" t="s">
        <v>16701</v>
      </c>
      <c r="D13589" t="s">
        <v>19011</v>
      </c>
      <c r="E13589" t="s">
        <v>30576</v>
      </c>
      <c r="F13589" t="s">
        <v>32606</v>
      </c>
      <c r="G13589" t="s">
        <v>32613</v>
      </c>
      <c r="H13589" t="s">
        <v>14201</v>
      </c>
      <c r="I13589" t="s">
        <v>32640</v>
      </c>
      <c r="J13589" t="s">
        <v>41160</v>
      </c>
      <c r="K13589" t="s">
        <v>42639</v>
      </c>
      <c r="M13589" t="s">
        <v>45606</v>
      </c>
      <c r="N13589" t="s">
        <v>47304</v>
      </c>
      <c r="O13589" t="s">
        <v>47305</v>
      </c>
      <c r="Q13589">
        <v>13</v>
      </c>
      <c r="R13589" t="s">
        <v>47321</v>
      </c>
      <c r="S13589" t="s">
        <v>48080</v>
      </c>
      <c r="T13589" t="s">
        <v>49087</v>
      </c>
      <c r="U13589" t="s">
        <v>60767</v>
      </c>
      <c r="W13589" t="s">
        <v>45606</v>
      </c>
      <c r="X13589" t="s">
        <v>47323</v>
      </c>
    </row>
    <row r="13590" spans="1:24">
      <c r="A13590">
        <f>HYPERLINK("https://www.philgeps.gov.ph/GEPSNONPILOT/Tender/SplashBidNoticeAbstractUI.aspx?menuIndex=3&amp;refID=7164643&amp;Result=3","7164643")</f>
        <v>0</v>
      </c>
      <c r="B13590" t="s">
        <v>1927</v>
      </c>
      <c r="C13590" t="s">
        <v>16702</v>
      </c>
      <c r="D13590" t="s">
        <v>19050</v>
      </c>
      <c r="E13590" t="s">
        <v>30577</v>
      </c>
      <c r="F13590" t="s">
        <v>32606</v>
      </c>
      <c r="G13590" t="s">
        <v>32613</v>
      </c>
      <c r="H13590" t="s">
        <v>32623</v>
      </c>
      <c r="I13590" t="s">
        <v>17648</v>
      </c>
      <c r="J13590" t="s">
        <v>41161</v>
      </c>
      <c r="K13590" t="s">
        <v>42636</v>
      </c>
      <c r="M13590" t="s">
        <v>44987</v>
      </c>
      <c r="N13590" t="s">
        <v>47304</v>
      </c>
      <c r="O13590" t="s">
        <v>47305</v>
      </c>
      <c r="P13590">
        <v>0</v>
      </c>
      <c r="Q13590">
        <v>0</v>
      </c>
      <c r="R13590" t="s">
        <v>47321</v>
      </c>
      <c r="S13590" t="s">
        <v>48071</v>
      </c>
      <c r="T13590" t="s">
        <v>49278</v>
      </c>
      <c r="U13590" t="s">
        <v>60768</v>
      </c>
      <c r="W13590" t="s">
        <v>44987</v>
      </c>
      <c r="X13590" t="s">
        <v>47323</v>
      </c>
    </row>
    <row r="13591" spans="1:24">
      <c r="A13591">
        <f>HYPERLINK("https://www.philgeps.gov.ph/GEPSNONPILOT/Tender/SplashBidNoticeAbstractUI.aspx?menuIndex=3&amp;refID=7164509&amp;Result=3","7164509")</f>
        <v>0</v>
      </c>
      <c r="B13591" t="s">
        <v>1927</v>
      </c>
      <c r="C13591" t="s">
        <v>16703</v>
      </c>
      <c r="D13591" t="s">
        <v>19050</v>
      </c>
      <c r="E13591" t="s">
        <v>30578</v>
      </c>
      <c r="F13591" t="s">
        <v>32606</v>
      </c>
      <c r="G13591" t="s">
        <v>32613</v>
      </c>
      <c r="H13591" t="s">
        <v>32623</v>
      </c>
      <c r="I13591" t="s">
        <v>17648</v>
      </c>
      <c r="J13591" t="s">
        <v>41162</v>
      </c>
      <c r="K13591" t="s">
        <v>42636</v>
      </c>
      <c r="M13591" t="s">
        <v>44987</v>
      </c>
      <c r="N13591" t="s">
        <v>47304</v>
      </c>
      <c r="O13591" t="s">
        <v>47305</v>
      </c>
      <c r="P13591">
        <v>0</v>
      </c>
      <c r="Q13591">
        <v>0</v>
      </c>
      <c r="R13591" t="s">
        <v>47321</v>
      </c>
      <c r="S13591" t="s">
        <v>48071</v>
      </c>
      <c r="T13591" t="s">
        <v>48976</v>
      </c>
      <c r="U13591" t="s">
        <v>60769</v>
      </c>
      <c r="W13591" t="s">
        <v>44987</v>
      </c>
      <c r="X13591" t="s">
        <v>47324</v>
      </c>
    </row>
    <row r="13592" spans="1:24">
      <c r="A13592">
        <f>HYPERLINK("https://www.philgeps.gov.ph/GEPSNONPILOT/Tender/SplashBidNoticeAbstractUI.aspx?menuIndex=3&amp;refID=7163517&amp;Result=3","7163517")</f>
        <v>0</v>
      </c>
      <c r="B13592" t="s">
        <v>1194</v>
      </c>
      <c r="C13592" t="s">
        <v>16704</v>
      </c>
      <c r="D13592" t="s">
        <v>19025</v>
      </c>
      <c r="E13592" t="s">
        <v>22537</v>
      </c>
      <c r="F13592" t="s">
        <v>32606</v>
      </c>
      <c r="G13592" t="s">
        <v>32613</v>
      </c>
      <c r="H13592" t="s">
        <v>32624</v>
      </c>
      <c r="I13592" t="s">
        <v>6309</v>
      </c>
      <c r="J13592" t="s">
        <v>41163</v>
      </c>
      <c r="K13592" t="s">
        <v>42636</v>
      </c>
      <c r="M13592" t="s">
        <v>44158</v>
      </c>
      <c r="N13592" t="s">
        <v>47304</v>
      </c>
      <c r="O13592" t="s">
        <v>47305</v>
      </c>
      <c r="Q13592">
        <v>3</v>
      </c>
      <c r="R13592" t="s">
        <v>47321</v>
      </c>
      <c r="S13592" t="s">
        <v>47870</v>
      </c>
      <c r="T13592" t="s">
        <v>49002</v>
      </c>
      <c r="U13592" t="s">
        <v>60770</v>
      </c>
      <c r="V13592" t="s">
        <v>64104</v>
      </c>
      <c r="W13592" t="s">
        <v>44158</v>
      </c>
      <c r="X13592" t="s">
        <v>47325</v>
      </c>
    </row>
    <row r="13593" spans="1:24">
      <c r="A13593">
        <f>HYPERLINK("https://www.philgeps.gov.ph/GEPSNONPILOT/Tender/SplashBidNoticeAbstractUI.aspx?menuIndex=3&amp;refID=7163485&amp;Result=3","7163485")</f>
        <v>0</v>
      </c>
      <c r="B13593" t="s">
        <v>1194</v>
      </c>
      <c r="C13593" t="s">
        <v>16705</v>
      </c>
      <c r="D13593" t="s">
        <v>19025</v>
      </c>
      <c r="E13593" t="s">
        <v>22537</v>
      </c>
      <c r="F13593" t="s">
        <v>32606</v>
      </c>
      <c r="G13593" t="s">
        <v>32613</v>
      </c>
      <c r="H13593" t="s">
        <v>14201</v>
      </c>
      <c r="I13593" t="s">
        <v>32632</v>
      </c>
      <c r="J13593" t="s">
        <v>37891</v>
      </c>
      <c r="K13593" t="s">
        <v>42631</v>
      </c>
      <c r="M13593" t="s">
        <v>44158</v>
      </c>
      <c r="N13593" t="s">
        <v>47304</v>
      </c>
      <c r="O13593" t="s">
        <v>47305</v>
      </c>
      <c r="Q13593">
        <v>13</v>
      </c>
      <c r="R13593" t="s">
        <v>47321</v>
      </c>
      <c r="S13593" t="s">
        <v>48081</v>
      </c>
      <c r="T13593" t="s">
        <v>49002</v>
      </c>
      <c r="U13593" t="s">
        <v>60771</v>
      </c>
      <c r="V13593" t="s">
        <v>64105</v>
      </c>
      <c r="W13593" t="s">
        <v>44158</v>
      </c>
      <c r="X13593" t="s">
        <v>47325</v>
      </c>
    </row>
    <row r="13594" spans="1:24">
      <c r="A13594">
        <f>HYPERLINK("https://www.philgeps.gov.ph/GEPSNONPILOT/Tender/SplashBidNoticeAbstractUI.aspx?menuIndex=3&amp;refID=7163256&amp;Result=3","7163256")</f>
        <v>0</v>
      </c>
      <c r="B13594" t="s">
        <v>74</v>
      </c>
      <c r="C13594" t="s">
        <v>16706</v>
      </c>
      <c r="E13594" t="s">
        <v>30579</v>
      </c>
      <c r="F13594" t="s">
        <v>32606</v>
      </c>
      <c r="G13594" t="s">
        <v>32613</v>
      </c>
      <c r="H13594" t="s">
        <v>32623</v>
      </c>
      <c r="I13594" t="s">
        <v>17648</v>
      </c>
      <c r="J13594" t="s">
        <v>37297</v>
      </c>
      <c r="K13594" t="s">
        <v>42624</v>
      </c>
      <c r="M13594" t="s">
        <v>42971</v>
      </c>
      <c r="N13594" t="s">
        <v>47304</v>
      </c>
      <c r="O13594" t="s">
        <v>47305</v>
      </c>
      <c r="P13594">
        <v>0</v>
      </c>
      <c r="Q13594">
        <v>2</v>
      </c>
      <c r="R13594" t="s">
        <v>47321</v>
      </c>
      <c r="S13594" t="s">
        <v>48071</v>
      </c>
      <c r="T13594" t="s">
        <v>48976</v>
      </c>
      <c r="U13594" t="s">
        <v>60772</v>
      </c>
      <c r="W13594" t="s">
        <v>42971</v>
      </c>
      <c r="X13594" t="s">
        <v>47325</v>
      </c>
    </row>
    <row r="13595" spans="1:24">
      <c r="A13595">
        <f>HYPERLINK("https://www.philgeps.gov.ph/GEPSNONPILOT/Tender/SplashBidNoticeAbstractUI.aspx?menuIndex=3&amp;refID=7162519&amp;Result=3","7162519")</f>
        <v>0</v>
      </c>
      <c r="B13595" t="s">
        <v>1827</v>
      </c>
      <c r="C13595" t="s">
        <v>16707</v>
      </c>
      <c r="E13595" t="s">
        <v>30580</v>
      </c>
      <c r="F13595" t="s">
        <v>32606</v>
      </c>
      <c r="G13595" t="s">
        <v>32613</v>
      </c>
      <c r="H13595" t="s">
        <v>14201</v>
      </c>
      <c r="I13595" t="s">
        <v>32638</v>
      </c>
      <c r="J13595" t="s">
        <v>37561</v>
      </c>
      <c r="K13595" t="s">
        <v>42624</v>
      </c>
      <c r="M13595" t="s">
        <v>45577</v>
      </c>
      <c r="N13595" t="s">
        <v>47304</v>
      </c>
      <c r="O13595" t="s">
        <v>47305</v>
      </c>
      <c r="P13595">
        <v>0</v>
      </c>
      <c r="Q13595">
        <v>7</v>
      </c>
      <c r="R13595" t="s">
        <v>47321</v>
      </c>
      <c r="S13595" t="s">
        <v>48071</v>
      </c>
      <c r="T13595" t="s">
        <v>49023</v>
      </c>
      <c r="U13595" t="s">
        <v>60773</v>
      </c>
      <c r="W13595" t="s">
        <v>45577</v>
      </c>
      <c r="X13595" t="s">
        <v>47325</v>
      </c>
    </row>
    <row r="13596" spans="1:24">
      <c r="A13596">
        <f>HYPERLINK("https://www.philgeps.gov.ph/GEPSNONPILOT/Tender/SplashBidNoticeAbstractUI.aspx?menuIndex=3&amp;refID=7165138&amp;Result=3","7165138")</f>
        <v>0</v>
      </c>
      <c r="B13596" t="s">
        <v>176</v>
      </c>
      <c r="C13596" t="s">
        <v>16708</v>
      </c>
      <c r="D13596" t="s">
        <v>19039</v>
      </c>
      <c r="E13596" t="s">
        <v>24586</v>
      </c>
      <c r="F13596" t="s">
        <v>32606</v>
      </c>
      <c r="G13596" t="s">
        <v>32613</v>
      </c>
      <c r="H13596" t="s">
        <v>14201</v>
      </c>
      <c r="I13596" t="s">
        <v>7064</v>
      </c>
      <c r="J13596" t="s">
        <v>35895</v>
      </c>
      <c r="K13596" t="s">
        <v>42630</v>
      </c>
      <c r="M13596" t="s">
        <v>43077</v>
      </c>
      <c r="N13596" t="s">
        <v>47304</v>
      </c>
      <c r="O13596" t="s">
        <v>47305</v>
      </c>
      <c r="P13596">
        <v>0</v>
      </c>
      <c r="Q13596">
        <v>10</v>
      </c>
      <c r="R13596" t="s">
        <v>47321</v>
      </c>
      <c r="S13596" t="s">
        <v>48071</v>
      </c>
      <c r="T13596" t="s">
        <v>49489</v>
      </c>
      <c r="U13596" t="s">
        <v>60774</v>
      </c>
      <c r="W13596" t="s">
        <v>43077</v>
      </c>
      <c r="X13596" t="s">
        <v>47322</v>
      </c>
    </row>
    <row r="13597" spans="1:24">
      <c r="A13597">
        <f>HYPERLINK("https://www.philgeps.gov.ph/GEPSNONPILOT/Tender/SplashBidNoticeAbstractUI.aspx?menuIndex=3&amp;refID=7162420&amp;Result=3","7162420")</f>
        <v>0</v>
      </c>
      <c r="B13597" t="s">
        <v>1827</v>
      </c>
      <c r="C13597" t="s">
        <v>16709</v>
      </c>
      <c r="E13597" t="s">
        <v>30581</v>
      </c>
      <c r="F13597" t="s">
        <v>32606</v>
      </c>
      <c r="G13597" t="s">
        <v>32613</v>
      </c>
      <c r="H13597" t="s">
        <v>14201</v>
      </c>
      <c r="I13597" t="s">
        <v>32662</v>
      </c>
      <c r="J13597" t="s">
        <v>41164</v>
      </c>
      <c r="K13597" t="s">
        <v>42624</v>
      </c>
      <c r="M13597" t="s">
        <v>45577</v>
      </c>
      <c r="N13597" t="s">
        <v>47304</v>
      </c>
      <c r="O13597" t="s">
        <v>47305</v>
      </c>
      <c r="P13597">
        <v>0</v>
      </c>
      <c r="Q13597">
        <v>37</v>
      </c>
      <c r="R13597" t="s">
        <v>47321</v>
      </c>
      <c r="S13597" t="s">
        <v>48071</v>
      </c>
      <c r="T13597" t="s">
        <v>49023</v>
      </c>
      <c r="U13597" t="s">
        <v>60775</v>
      </c>
      <c r="W13597" t="s">
        <v>45577</v>
      </c>
      <c r="X13597" t="s">
        <v>47325</v>
      </c>
    </row>
    <row r="13598" spans="1:24">
      <c r="A13598">
        <f>HYPERLINK("https://www.philgeps.gov.ph/GEPSNONPILOT/Tender/SplashBidNoticeAbstractUI.aspx?menuIndex=3&amp;refID=7164978&amp;Result=3","7164978")</f>
        <v>0</v>
      </c>
      <c r="B13598" t="s">
        <v>3651</v>
      </c>
      <c r="C13598" t="s">
        <v>16710</v>
      </c>
      <c r="D13598" t="s">
        <v>19068</v>
      </c>
      <c r="E13598" t="s">
        <v>30582</v>
      </c>
      <c r="F13598" t="s">
        <v>32606</v>
      </c>
      <c r="G13598" t="s">
        <v>32613</v>
      </c>
      <c r="H13598" t="s">
        <v>32623</v>
      </c>
      <c r="I13598" t="s">
        <v>17648</v>
      </c>
      <c r="J13598" t="s">
        <v>41165</v>
      </c>
      <c r="K13598" t="s">
        <v>42648</v>
      </c>
      <c r="M13598" t="s">
        <v>46954</v>
      </c>
      <c r="N13598" t="s">
        <v>47304</v>
      </c>
      <c r="O13598" t="s">
        <v>47305</v>
      </c>
      <c r="P13598">
        <v>0</v>
      </c>
      <c r="Q13598">
        <v>1</v>
      </c>
      <c r="R13598" t="s">
        <v>47321</v>
      </c>
      <c r="S13598" t="s">
        <v>48071</v>
      </c>
      <c r="T13598" t="s">
        <v>49490</v>
      </c>
      <c r="U13598" t="s">
        <v>60776</v>
      </c>
      <c r="W13598" t="s">
        <v>46954</v>
      </c>
      <c r="X13598" t="s">
        <v>47322</v>
      </c>
    </row>
    <row r="13599" spans="1:24">
      <c r="A13599">
        <f>HYPERLINK("https://www.philgeps.gov.ph/GEPSNONPILOT/Tender/SplashBidNoticeAbstractUI.aspx?menuIndex=3&amp;refID=7165227&amp;Result=3","7165227")</f>
        <v>0</v>
      </c>
      <c r="B13599" t="s">
        <v>3652</v>
      </c>
      <c r="C13599" t="s">
        <v>16711</v>
      </c>
      <c r="D13599" t="s">
        <v>19067</v>
      </c>
      <c r="E13599" t="s">
        <v>30583</v>
      </c>
      <c r="F13599" t="s">
        <v>32606</v>
      </c>
      <c r="G13599" t="s">
        <v>32613</v>
      </c>
      <c r="H13599" t="s">
        <v>14201</v>
      </c>
      <c r="I13599" t="s">
        <v>32626</v>
      </c>
      <c r="J13599" t="s">
        <v>32795</v>
      </c>
      <c r="K13599" t="s">
        <v>42623</v>
      </c>
      <c r="M13599" t="s">
        <v>46955</v>
      </c>
      <c r="N13599" t="s">
        <v>47304</v>
      </c>
      <c r="O13599" t="s">
        <v>47305</v>
      </c>
      <c r="P13599">
        <v>0</v>
      </c>
      <c r="Q13599">
        <v>12</v>
      </c>
      <c r="R13599" t="s">
        <v>47321</v>
      </c>
      <c r="S13599" t="s">
        <v>48071</v>
      </c>
      <c r="T13599" t="s">
        <v>48986</v>
      </c>
      <c r="U13599" t="s">
        <v>60777</v>
      </c>
      <c r="V13599" t="s">
        <v>64106</v>
      </c>
      <c r="W13599" t="s">
        <v>46955</v>
      </c>
      <c r="X13599" t="s">
        <v>47322</v>
      </c>
    </row>
    <row r="13600" spans="1:24">
      <c r="A13600">
        <f>HYPERLINK("https://www.philgeps.gov.ph/GEPSNONPILOT/Tender/SplashBidNoticeAbstractUI.aspx?menuIndex=3&amp;refID=7165214&amp;Result=3","7165214")</f>
        <v>0</v>
      </c>
      <c r="B13600" t="s">
        <v>3653</v>
      </c>
      <c r="C13600" t="s">
        <v>15492</v>
      </c>
      <c r="E13600" t="s">
        <v>19522</v>
      </c>
      <c r="F13600" t="s">
        <v>32606</v>
      </c>
      <c r="G13600" t="s">
        <v>32613</v>
      </c>
      <c r="H13600" t="s">
        <v>14201</v>
      </c>
      <c r="I13600" t="s">
        <v>7677</v>
      </c>
      <c r="J13600" t="s">
        <v>41166</v>
      </c>
      <c r="K13600" t="s">
        <v>42624</v>
      </c>
      <c r="M13600" t="s">
        <v>46956</v>
      </c>
      <c r="N13600" t="s">
        <v>47304</v>
      </c>
      <c r="O13600" t="s">
        <v>47305</v>
      </c>
      <c r="P13600">
        <v>0</v>
      </c>
      <c r="Q13600">
        <v>4</v>
      </c>
      <c r="R13600" t="s">
        <v>47321</v>
      </c>
      <c r="S13600" t="s">
        <v>48071</v>
      </c>
      <c r="T13600" t="s">
        <v>49037</v>
      </c>
      <c r="U13600" t="s">
        <v>60778</v>
      </c>
      <c r="W13600" t="s">
        <v>46956</v>
      </c>
      <c r="X13600" t="s">
        <v>47322</v>
      </c>
    </row>
    <row r="13601" spans="1:24">
      <c r="A13601">
        <f>HYPERLINK("https://www.philgeps.gov.ph/GEPSNONPILOT/Tender/SplashBidNoticeAbstractUI.aspx?menuIndex=3&amp;refID=7164975&amp;Result=3","7164975")</f>
        <v>0</v>
      </c>
      <c r="B13601" t="s">
        <v>1150</v>
      </c>
      <c r="C13601" t="s">
        <v>16712</v>
      </c>
      <c r="D13601" t="s">
        <v>19040</v>
      </c>
      <c r="E13601" t="s">
        <v>30584</v>
      </c>
      <c r="F13601" t="s">
        <v>32606</v>
      </c>
      <c r="G13601" t="s">
        <v>32613</v>
      </c>
      <c r="H13601" t="s">
        <v>32623</v>
      </c>
      <c r="I13601" t="s">
        <v>32661</v>
      </c>
      <c r="J13601" t="s">
        <v>33529</v>
      </c>
      <c r="K13601" t="s">
        <v>42736</v>
      </c>
      <c r="M13601" t="s">
        <v>44112</v>
      </c>
      <c r="N13601" t="s">
        <v>47304</v>
      </c>
      <c r="O13601" t="s">
        <v>47305</v>
      </c>
      <c r="P13601">
        <v>0</v>
      </c>
      <c r="Q13601">
        <v>1</v>
      </c>
      <c r="R13601" t="s">
        <v>47321</v>
      </c>
      <c r="S13601" t="s">
        <v>48071</v>
      </c>
      <c r="T13601" t="s">
        <v>48980</v>
      </c>
      <c r="U13601" t="s">
        <v>60779</v>
      </c>
      <c r="V13601" t="s">
        <v>64107</v>
      </c>
      <c r="W13601" t="s">
        <v>64465</v>
      </c>
      <c r="X13601" t="s">
        <v>47323</v>
      </c>
    </row>
    <row r="13602" spans="1:24">
      <c r="A13602">
        <f>HYPERLINK("https://www.philgeps.gov.ph/GEPSNONPILOT/Tender/SplashBidNoticeAbstractUI.aspx?menuIndex=3&amp;refID=7165201&amp;Result=3","7165201")</f>
        <v>0</v>
      </c>
      <c r="B13602" t="s">
        <v>3654</v>
      </c>
      <c r="C13602" t="s">
        <v>16713</v>
      </c>
      <c r="D13602" t="s">
        <v>19010</v>
      </c>
      <c r="E13602" t="s">
        <v>19690</v>
      </c>
      <c r="F13602" t="s">
        <v>32606</v>
      </c>
      <c r="G13602" t="s">
        <v>32615</v>
      </c>
      <c r="H13602" t="s">
        <v>14201</v>
      </c>
      <c r="I13602" t="s">
        <v>32683</v>
      </c>
      <c r="J13602" t="s">
        <v>41167</v>
      </c>
      <c r="K13602" t="s">
        <v>42630</v>
      </c>
      <c r="M13602" t="s">
        <v>46957</v>
      </c>
      <c r="N13602" t="s">
        <v>47304</v>
      </c>
      <c r="O13602" t="s">
        <v>47305</v>
      </c>
      <c r="P13602">
        <v>0</v>
      </c>
      <c r="Q13602">
        <v>1</v>
      </c>
      <c r="R13602" t="s">
        <v>47321</v>
      </c>
      <c r="S13602" t="s">
        <v>48071</v>
      </c>
      <c r="T13602" t="s">
        <v>49491</v>
      </c>
      <c r="U13602" t="s">
        <v>60780</v>
      </c>
      <c r="W13602" t="s">
        <v>46957</v>
      </c>
      <c r="X13602" t="s">
        <v>47322</v>
      </c>
    </row>
    <row r="13603" spans="1:24">
      <c r="A13603">
        <f>HYPERLINK("https://www.philgeps.gov.ph/GEPSNONPILOT/Tender/SplashBidNoticeAbstractUI.aspx?menuIndex=3&amp;refID=7165194&amp;Result=3","7165194")</f>
        <v>0</v>
      </c>
      <c r="B13603" t="s">
        <v>3655</v>
      </c>
      <c r="C13603" t="s">
        <v>16714</v>
      </c>
      <c r="D13603" t="s">
        <v>19014</v>
      </c>
      <c r="E13603" t="s">
        <v>30585</v>
      </c>
      <c r="F13603" t="s">
        <v>32606</v>
      </c>
      <c r="G13603" t="s">
        <v>32613</v>
      </c>
      <c r="H13603" t="s">
        <v>14201</v>
      </c>
      <c r="I13603" t="s">
        <v>6931</v>
      </c>
      <c r="J13603" t="s">
        <v>41168</v>
      </c>
      <c r="K13603" t="s">
        <v>42624</v>
      </c>
      <c r="M13603" t="s">
        <v>46958</v>
      </c>
      <c r="N13603" t="s">
        <v>47304</v>
      </c>
      <c r="O13603" t="s">
        <v>47305</v>
      </c>
      <c r="P13603">
        <v>0</v>
      </c>
      <c r="Q13603">
        <v>2</v>
      </c>
      <c r="R13603" t="s">
        <v>47321</v>
      </c>
      <c r="S13603" t="s">
        <v>48071</v>
      </c>
      <c r="T13603" t="s">
        <v>48997</v>
      </c>
      <c r="U13603" t="s">
        <v>60781</v>
      </c>
      <c r="V13603" t="s">
        <v>64108</v>
      </c>
      <c r="W13603" t="s">
        <v>46958</v>
      </c>
      <c r="X13603" t="s">
        <v>47322</v>
      </c>
    </row>
    <row r="13604" spans="1:24">
      <c r="A13604">
        <f>HYPERLINK("https://www.philgeps.gov.ph/GEPSNONPILOT/Tender/SplashBidNoticeAbstractUI.aspx?menuIndex=3&amp;refID=7165187&amp;Result=3","7165187")</f>
        <v>0</v>
      </c>
      <c r="B13604" t="s">
        <v>3656</v>
      </c>
      <c r="C13604" t="s">
        <v>16715</v>
      </c>
      <c r="D13604" t="s">
        <v>19003</v>
      </c>
      <c r="E13604" t="s">
        <v>30586</v>
      </c>
      <c r="F13604" t="s">
        <v>32606</v>
      </c>
      <c r="G13604" t="s">
        <v>32613</v>
      </c>
      <c r="H13604" t="s">
        <v>32623</v>
      </c>
      <c r="I13604" t="s">
        <v>17648</v>
      </c>
      <c r="J13604" t="s">
        <v>32767</v>
      </c>
      <c r="K13604" t="s">
        <v>42727</v>
      </c>
      <c r="M13604" t="s">
        <v>46959</v>
      </c>
      <c r="N13604" t="s">
        <v>47304</v>
      </c>
      <c r="O13604" t="s">
        <v>47305</v>
      </c>
      <c r="P13604">
        <v>0</v>
      </c>
      <c r="Q13604">
        <v>2</v>
      </c>
      <c r="R13604" t="s">
        <v>47321</v>
      </c>
      <c r="S13604" t="s">
        <v>48071</v>
      </c>
      <c r="T13604" t="s">
        <v>49144</v>
      </c>
      <c r="U13604" t="s">
        <v>60782</v>
      </c>
      <c r="W13604" t="s">
        <v>46959</v>
      </c>
      <c r="X13604" t="s">
        <v>47322</v>
      </c>
    </row>
    <row r="13605" spans="1:24">
      <c r="A13605">
        <f>HYPERLINK("https://www.philgeps.gov.ph/GEPSNONPILOT/Tender/SplashBidNoticeAbstractUI.aspx?menuIndex=3&amp;refID=7165148&amp;Result=3","7165148")</f>
        <v>0</v>
      </c>
      <c r="B13605" t="s">
        <v>3425</v>
      </c>
      <c r="C13605" t="s">
        <v>16716</v>
      </c>
      <c r="D13605" t="s">
        <v>19034</v>
      </c>
      <c r="E13605" t="s">
        <v>30587</v>
      </c>
      <c r="F13605" t="s">
        <v>32606</v>
      </c>
      <c r="G13605" t="s">
        <v>32613</v>
      </c>
      <c r="H13605" t="s">
        <v>14201</v>
      </c>
      <c r="I13605" t="s">
        <v>7233</v>
      </c>
      <c r="J13605" t="s">
        <v>32770</v>
      </c>
      <c r="K13605" t="s">
        <v>42630</v>
      </c>
      <c r="M13605" t="s">
        <v>46682</v>
      </c>
      <c r="N13605" t="s">
        <v>47304</v>
      </c>
      <c r="O13605" t="s">
        <v>47305</v>
      </c>
      <c r="P13605">
        <v>0</v>
      </c>
      <c r="Q13605">
        <v>1</v>
      </c>
      <c r="R13605" t="s">
        <v>47321</v>
      </c>
      <c r="S13605" t="s">
        <v>48071</v>
      </c>
      <c r="T13605" t="s">
        <v>49095</v>
      </c>
      <c r="U13605" t="s">
        <v>60783</v>
      </c>
      <c r="W13605" t="s">
        <v>46682</v>
      </c>
      <c r="X13605" t="s">
        <v>47322</v>
      </c>
    </row>
    <row r="13606" spans="1:24">
      <c r="A13606">
        <f>HYPERLINK("https://www.philgeps.gov.ph/GEPSNONPILOT/Tender/SplashBidNoticeAbstractUI.aspx?menuIndex=3&amp;refID=7161847&amp;Result=3","7161847")</f>
        <v>0</v>
      </c>
      <c r="B13606" t="s">
        <v>1814</v>
      </c>
      <c r="C13606" t="s">
        <v>16717</v>
      </c>
      <c r="D13606" t="s">
        <v>18995</v>
      </c>
      <c r="E13606" t="s">
        <v>30588</v>
      </c>
      <c r="F13606" t="s">
        <v>32606</v>
      </c>
      <c r="G13606" t="s">
        <v>32613</v>
      </c>
      <c r="H13606" t="s">
        <v>14201</v>
      </c>
      <c r="I13606" t="s">
        <v>32626</v>
      </c>
      <c r="J13606" t="s">
        <v>36887</v>
      </c>
      <c r="K13606" t="s">
        <v>42623</v>
      </c>
      <c r="M13606" t="s">
        <v>44855</v>
      </c>
      <c r="N13606" t="s">
        <v>47304</v>
      </c>
      <c r="O13606" t="s">
        <v>47305</v>
      </c>
      <c r="Q13606">
        <v>10</v>
      </c>
      <c r="R13606" t="s">
        <v>47321</v>
      </c>
      <c r="S13606" t="s">
        <v>47766</v>
      </c>
      <c r="T13606" t="s">
        <v>49160</v>
      </c>
      <c r="U13606" t="s">
        <v>60784</v>
      </c>
      <c r="W13606" t="s">
        <v>44855</v>
      </c>
      <c r="X13606" t="s">
        <v>47325</v>
      </c>
    </row>
    <row r="13607" spans="1:24">
      <c r="A13607">
        <f>HYPERLINK("https://www.philgeps.gov.ph/GEPSNONPILOT/Tender/SplashBidNoticeAbstractUI.aspx?menuIndex=3&amp;refID=7165126&amp;Result=3","7165126")</f>
        <v>0</v>
      </c>
      <c r="B13607" t="s">
        <v>726</v>
      </c>
      <c r="C13607" t="s">
        <v>16718</v>
      </c>
      <c r="D13607" t="s">
        <v>19009</v>
      </c>
      <c r="E13607" t="s">
        <v>30589</v>
      </c>
      <c r="F13607" t="s">
        <v>32606</v>
      </c>
      <c r="G13607" t="s">
        <v>32613</v>
      </c>
      <c r="H13607" t="s">
        <v>14201</v>
      </c>
      <c r="I13607" t="s">
        <v>32633</v>
      </c>
      <c r="J13607" t="s">
        <v>33529</v>
      </c>
      <c r="K13607" t="s">
        <v>42623</v>
      </c>
      <c r="M13607" t="s">
        <v>46884</v>
      </c>
      <c r="N13607" t="s">
        <v>47304</v>
      </c>
      <c r="O13607" t="s">
        <v>47305</v>
      </c>
      <c r="P13607">
        <v>0</v>
      </c>
      <c r="Q13607">
        <v>3</v>
      </c>
      <c r="R13607" t="s">
        <v>47321</v>
      </c>
      <c r="S13607" t="s">
        <v>48071</v>
      </c>
      <c r="T13607" t="s">
        <v>49060</v>
      </c>
      <c r="U13607" t="s">
        <v>60785</v>
      </c>
      <c r="V13607" t="s">
        <v>62846</v>
      </c>
      <c r="W13607" t="s">
        <v>46884</v>
      </c>
      <c r="X13607" t="s">
        <v>47322</v>
      </c>
    </row>
    <row r="13608" spans="1:24">
      <c r="A13608">
        <f>HYPERLINK("https://www.philgeps.gov.ph/GEPSNONPILOT/Tender/SplashBidNoticeAbstractUI.aspx?menuIndex=3&amp;refID=7160458&amp;Result=3","7160458")</f>
        <v>0</v>
      </c>
      <c r="B13608" t="s">
        <v>74</v>
      </c>
      <c r="C13608" t="s">
        <v>16719</v>
      </c>
      <c r="E13608" t="s">
        <v>30579</v>
      </c>
      <c r="F13608" t="s">
        <v>32606</v>
      </c>
      <c r="G13608" t="s">
        <v>32613</v>
      </c>
      <c r="H13608" t="s">
        <v>32623</v>
      </c>
      <c r="I13608" t="s">
        <v>17648</v>
      </c>
      <c r="J13608" t="s">
        <v>41169</v>
      </c>
      <c r="K13608" t="s">
        <v>42624</v>
      </c>
      <c r="M13608" t="s">
        <v>42971</v>
      </c>
      <c r="N13608" t="s">
        <v>47304</v>
      </c>
      <c r="O13608" t="s">
        <v>47305</v>
      </c>
      <c r="P13608">
        <v>0</v>
      </c>
      <c r="Q13608">
        <v>2</v>
      </c>
      <c r="R13608" t="s">
        <v>47321</v>
      </c>
      <c r="S13608" t="s">
        <v>48071</v>
      </c>
      <c r="T13608" t="s">
        <v>48986</v>
      </c>
      <c r="U13608" t="s">
        <v>60786</v>
      </c>
      <c r="W13608" t="s">
        <v>42971</v>
      </c>
      <c r="X13608" t="s">
        <v>47326</v>
      </c>
    </row>
    <row r="13609" spans="1:24">
      <c r="A13609">
        <f>HYPERLINK("https://www.philgeps.gov.ph/GEPSNONPILOT/Tender/SplashBidNoticeAbstractUI.aspx?menuIndex=3&amp;refID=7165060&amp;Result=3","7165060")</f>
        <v>0</v>
      </c>
      <c r="B13609" t="s">
        <v>1827</v>
      </c>
      <c r="C13609" t="s">
        <v>16720</v>
      </c>
      <c r="E13609" t="s">
        <v>30590</v>
      </c>
      <c r="F13609" t="s">
        <v>32606</v>
      </c>
      <c r="G13609" t="s">
        <v>32613</v>
      </c>
      <c r="H13609" t="s">
        <v>14201</v>
      </c>
      <c r="I13609" t="s">
        <v>32638</v>
      </c>
      <c r="J13609" t="s">
        <v>41170</v>
      </c>
      <c r="K13609" t="s">
        <v>42624</v>
      </c>
      <c r="M13609" t="s">
        <v>45577</v>
      </c>
      <c r="N13609" t="s">
        <v>47304</v>
      </c>
      <c r="O13609" t="s">
        <v>47305</v>
      </c>
      <c r="P13609">
        <v>0</v>
      </c>
      <c r="Q13609">
        <v>5</v>
      </c>
      <c r="R13609" t="s">
        <v>47321</v>
      </c>
      <c r="S13609" t="s">
        <v>48071</v>
      </c>
      <c r="T13609" t="s">
        <v>49023</v>
      </c>
      <c r="U13609" t="s">
        <v>60787</v>
      </c>
      <c r="W13609" t="s">
        <v>45577</v>
      </c>
      <c r="X13609" t="s">
        <v>47322</v>
      </c>
    </row>
    <row r="13610" spans="1:24">
      <c r="A13610">
        <f>HYPERLINK("https://www.philgeps.gov.ph/GEPSNONPILOT/Tender/SplashBidNoticeAbstractUI.aspx?menuIndex=3&amp;refID=7165058&amp;Result=3","7165058")</f>
        <v>0</v>
      </c>
      <c r="B13610" t="s">
        <v>1500</v>
      </c>
      <c r="C13610" t="s">
        <v>16721</v>
      </c>
      <c r="D13610" t="s">
        <v>19036</v>
      </c>
      <c r="E13610" t="s">
        <v>30591</v>
      </c>
      <c r="F13610" t="s">
        <v>32606</v>
      </c>
      <c r="G13610" t="s">
        <v>32617</v>
      </c>
      <c r="H13610" t="s">
        <v>14201</v>
      </c>
      <c r="I13610" t="s">
        <v>9013</v>
      </c>
      <c r="J13610" t="s">
        <v>33667</v>
      </c>
      <c r="K13610" t="s">
        <v>42631</v>
      </c>
      <c r="M13610" t="s">
        <v>46586</v>
      </c>
      <c r="N13610" t="s">
        <v>47304</v>
      </c>
      <c r="O13610" t="s">
        <v>47305</v>
      </c>
      <c r="Q13610">
        <v>9</v>
      </c>
      <c r="R13610" t="s">
        <v>47321</v>
      </c>
      <c r="S13610" t="s">
        <v>48082</v>
      </c>
      <c r="T13610" t="s">
        <v>49071</v>
      </c>
      <c r="U13610" t="s">
        <v>60788</v>
      </c>
      <c r="W13610" t="s">
        <v>46586</v>
      </c>
      <c r="X13610" t="s">
        <v>47322</v>
      </c>
    </row>
    <row r="13611" spans="1:24">
      <c r="A13611">
        <f>HYPERLINK("https://www.philgeps.gov.ph/GEPSNONPILOT/Tender/SplashBidNoticeAbstractUI.aspx?menuIndex=3&amp;refID=7165056&amp;Result=3","7165056")</f>
        <v>0</v>
      </c>
      <c r="B13611" t="s">
        <v>1827</v>
      </c>
      <c r="C13611" t="s">
        <v>16722</v>
      </c>
      <c r="E13611" t="s">
        <v>30592</v>
      </c>
      <c r="F13611" t="s">
        <v>32606</v>
      </c>
      <c r="G13611" t="s">
        <v>32613</v>
      </c>
      <c r="H13611" t="s">
        <v>14201</v>
      </c>
      <c r="I13611" t="s">
        <v>32638</v>
      </c>
      <c r="J13611" t="s">
        <v>41171</v>
      </c>
      <c r="K13611" t="s">
        <v>42624</v>
      </c>
      <c r="M13611" t="s">
        <v>45577</v>
      </c>
      <c r="N13611" t="s">
        <v>47304</v>
      </c>
      <c r="O13611" t="s">
        <v>47305</v>
      </c>
      <c r="P13611">
        <v>0</v>
      </c>
      <c r="Q13611">
        <v>4</v>
      </c>
      <c r="R13611" t="s">
        <v>47321</v>
      </c>
      <c r="S13611" t="s">
        <v>48071</v>
      </c>
      <c r="T13611" t="s">
        <v>49023</v>
      </c>
      <c r="U13611" t="s">
        <v>60789</v>
      </c>
      <c r="W13611" t="s">
        <v>45577</v>
      </c>
      <c r="X13611" t="s">
        <v>47322</v>
      </c>
    </row>
    <row r="13612" spans="1:24">
      <c r="A13612">
        <f>HYPERLINK("https://www.philgeps.gov.ph/GEPSNONPILOT/Tender/SplashBidNoticeAbstractUI.aspx?menuIndex=3&amp;refID=7165075&amp;Result=3","7165075")</f>
        <v>0</v>
      </c>
      <c r="B13612" t="s">
        <v>2730</v>
      </c>
      <c r="C13612" t="s">
        <v>16723</v>
      </c>
      <c r="D13612" t="s">
        <v>19040</v>
      </c>
      <c r="E13612" t="s">
        <v>30593</v>
      </c>
      <c r="F13612" t="s">
        <v>32606</v>
      </c>
      <c r="G13612" t="s">
        <v>32613</v>
      </c>
      <c r="H13612" t="s">
        <v>14201</v>
      </c>
      <c r="I13612" t="s">
        <v>4120</v>
      </c>
      <c r="J13612" t="s">
        <v>41172</v>
      </c>
      <c r="K13612" t="s">
        <v>42624</v>
      </c>
      <c r="M13612" t="s">
        <v>45886</v>
      </c>
      <c r="N13612" t="s">
        <v>47304</v>
      </c>
      <c r="O13612" t="s">
        <v>47305</v>
      </c>
      <c r="P13612">
        <v>0</v>
      </c>
      <c r="Q13612">
        <v>5</v>
      </c>
      <c r="R13612" t="s">
        <v>47321</v>
      </c>
      <c r="S13612" t="s">
        <v>48071</v>
      </c>
      <c r="T13612" t="s">
        <v>49071</v>
      </c>
      <c r="U13612" t="s">
        <v>60790</v>
      </c>
      <c r="V13612" t="s">
        <v>64109</v>
      </c>
      <c r="W13612" t="s">
        <v>45886</v>
      </c>
      <c r="X13612" t="s">
        <v>47322</v>
      </c>
    </row>
    <row r="13613" spans="1:24">
      <c r="A13613">
        <f>HYPERLINK("https://www.philgeps.gov.ph/GEPSNONPILOT/Tender/SplashBidNoticeAbstractUI.aspx?menuIndex=3&amp;refID=7165113&amp;Result=3","7165113")</f>
        <v>0</v>
      </c>
      <c r="B13613" t="s">
        <v>3657</v>
      </c>
      <c r="C13613" t="s">
        <v>16724</v>
      </c>
      <c r="D13613" t="s">
        <v>18994</v>
      </c>
      <c r="E13613" t="s">
        <v>19372</v>
      </c>
      <c r="F13613" t="s">
        <v>32606</v>
      </c>
      <c r="G13613" t="s">
        <v>32613</v>
      </c>
      <c r="H13613" t="s">
        <v>14201</v>
      </c>
      <c r="I13613" t="s">
        <v>7064</v>
      </c>
      <c r="J13613" t="s">
        <v>33263</v>
      </c>
      <c r="K13613" t="s">
        <v>42622</v>
      </c>
      <c r="M13613" t="s">
        <v>46960</v>
      </c>
      <c r="N13613" t="s">
        <v>47304</v>
      </c>
      <c r="O13613" t="s">
        <v>47305</v>
      </c>
      <c r="P13613">
        <v>0</v>
      </c>
      <c r="Q13613">
        <v>1</v>
      </c>
      <c r="R13613" t="s">
        <v>47321</v>
      </c>
      <c r="S13613" t="s">
        <v>48071</v>
      </c>
      <c r="T13613" t="s">
        <v>49050</v>
      </c>
      <c r="U13613" t="s">
        <v>60791</v>
      </c>
      <c r="W13613" t="s">
        <v>46960</v>
      </c>
      <c r="X13613" t="s">
        <v>47322</v>
      </c>
    </row>
    <row r="13614" spans="1:24">
      <c r="A13614">
        <f>HYPERLINK("https://www.philgeps.gov.ph/GEPSNONPILOT/Tender/SplashBidNoticeAbstractUI.aspx?menuIndex=3&amp;refID=7165079&amp;Result=3","7165079")</f>
        <v>0</v>
      </c>
      <c r="B13614" t="s">
        <v>3658</v>
      </c>
      <c r="C13614" t="s">
        <v>16725</v>
      </c>
      <c r="D13614" t="s">
        <v>19008</v>
      </c>
      <c r="E13614" t="s">
        <v>24209</v>
      </c>
      <c r="F13614" t="s">
        <v>32606</v>
      </c>
      <c r="G13614" t="s">
        <v>32613</v>
      </c>
      <c r="H13614" t="s">
        <v>14201</v>
      </c>
      <c r="I13614" t="s">
        <v>6931</v>
      </c>
      <c r="J13614" t="s">
        <v>41173</v>
      </c>
      <c r="K13614" t="s">
        <v>42623</v>
      </c>
      <c r="M13614" t="s">
        <v>46961</v>
      </c>
      <c r="N13614" t="s">
        <v>47304</v>
      </c>
      <c r="O13614" t="s">
        <v>47305</v>
      </c>
      <c r="P13614">
        <v>0</v>
      </c>
      <c r="Q13614">
        <v>0</v>
      </c>
      <c r="R13614" t="s">
        <v>47321</v>
      </c>
      <c r="S13614" t="s">
        <v>48071</v>
      </c>
      <c r="T13614" t="s">
        <v>48998</v>
      </c>
      <c r="U13614" t="s">
        <v>60792</v>
      </c>
      <c r="W13614" t="s">
        <v>46961</v>
      </c>
      <c r="X13614" t="s">
        <v>47322</v>
      </c>
    </row>
    <row r="13615" spans="1:24">
      <c r="A13615">
        <f>HYPERLINK("https://www.philgeps.gov.ph/GEPSNONPILOT/Tender/SplashBidNoticeAbstractUI.aspx?menuIndex=3&amp;refID=7165042&amp;Result=3","7165042")</f>
        <v>0</v>
      </c>
      <c r="B13615" t="s">
        <v>366</v>
      </c>
      <c r="C13615" t="s">
        <v>16726</v>
      </c>
      <c r="D13615" t="s">
        <v>19057</v>
      </c>
      <c r="E13615" t="s">
        <v>30594</v>
      </c>
      <c r="F13615" t="s">
        <v>32606</v>
      </c>
      <c r="G13615" t="s">
        <v>32613</v>
      </c>
      <c r="H13615" t="s">
        <v>32623</v>
      </c>
      <c r="I13615" t="s">
        <v>17648</v>
      </c>
      <c r="J13615" t="s">
        <v>32772</v>
      </c>
      <c r="K13615" t="s">
        <v>42636</v>
      </c>
      <c r="M13615" t="s">
        <v>43268</v>
      </c>
      <c r="N13615" t="s">
        <v>47304</v>
      </c>
      <c r="O13615" t="s">
        <v>47305</v>
      </c>
      <c r="P13615">
        <v>0</v>
      </c>
      <c r="Q13615">
        <v>1</v>
      </c>
      <c r="R13615" t="s">
        <v>47321</v>
      </c>
      <c r="S13615" t="s">
        <v>48071</v>
      </c>
      <c r="T13615" t="s">
        <v>48987</v>
      </c>
      <c r="U13615" t="s">
        <v>60793</v>
      </c>
      <c r="W13615" t="s">
        <v>43268</v>
      </c>
      <c r="X13615" t="s">
        <v>47322</v>
      </c>
    </row>
    <row r="13616" spans="1:24">
      <c r="A13616">
        <f>HYPERLINK("https://www.philgeps.gov.ph/GEPSNONPILOT/Tender/SplashBidNoticeAbstractUI.aspx?menuIndex=3&amp;refID=7165204&amp;Result=3","7165204")</f>
        <v>0</v>
      </c>
      <c r="B13616" t="s">
        <v>370</v>
      </c>
      <c r="C13616" t="s">
        <v>16727</v>
      </c>
      <c r="D13616" t="s">
        <v>19006</v>
      </c>
      <c r="E13616" t="s">
        <v>30595</v>
      </c>
      <c r="F13616" t="s">
        <v>32606</v>
      </c>
      <c r="G13616" t="s">
        <v>32613</v>
      </c>
      <c r="H13616" t="s">
        <v>32623</v>
      </c>
      <c r="I13616" t="s">
        <v>17648</v>
      </c>
      <c r="J13616" t="s">
        <v>34667</v>
      </c>
      <c r="K13616" t="s">
        <v>42631</v>
      </c>
      <c r="M13616" t="s">
        <v>43272</v>
      </c>
      <c r="N13616" t="s">
        <v>47304</v>
      </c>
      <c r="O13616" t="s">
        <v>47305</v>
      </c>
      <c r="P13616">
        <v>0</v>
      </c>
      <c r="Q13616">
        <v>1</v>
      </c>
      <c r="R13616" t="s">
        <v>47321</v>
      </c>
      <c r="S13616" t="s">
        <v>48071</v>
      </c>
      <c r="T13616" t="s">
        <v>49023</v>
      </c>
      <c r="U13616" t="s">
        <v>60794</v>
      </c>
      <c r="W13616" t="s">
        <v>43272</v>
      </c>
      <c r="X13616" t="s">
        <v>47322</v>
      </c>
    </row>
    <row r="13617" spans="1:24">
      <c r="A13617">
        <f>HYPERLINK("https://www.philgeps.gov.ph/GEPSNONPILOT/Tender/SplashBidNoticeAbstractUI.aspx?menuIndex=3&amp;refID=7165040&amp;Result=3","7165040")</f>
        <v>0</v>
      </c>
      <c r="B13617" t="s">
        <v>1194</v>
      </c>
      <c r="C13617" t="s">
        <v>16728</v>
      </c>
      <c r="D13617" t="s">
        <v>19025</v>
      </c>
      <c r="E13617" t="s">
        <v>22537</v>
      </c>
      <c r="F13617" t="s">
        <v>32606</v>
      </c>
      <c r="G13617" t="s">
        <v>32613</v>
      </c>
      <c r="H13617" t="s">
        <v>32624</v>
      </c>
      <c r="I13617" t="s">
        <v>32648</v>
      </c>
      <c r="J13617" t="s">
        <v>41174</v>
      </c>
      <c r="K13617" t="s">
        <v>42636</v>
      </c>
      <c r="M13617" t="s">
        <v>44158</v>
      </c>
      <c r="N13617" t="s">
        <v>47304</v>
      </c>
      <c r="O13617" t="s">
        <v>47305</v>
      </c>
      <c r="Q13617">
        <v>2</v>
      </c>
      <c r="R13617" t="s">
        <v>47321</v>
      </c>
      <c r="S13617" t="s">
        <v>48083</v>
      </c>
      <c r="T13617" t="s">
        <v>49002</v>
      </c>
      <c r="U13617" t="s">
        <v>60795</v>
      </c>
      <c r="V13617" t="s">
        <v>64110</v>
      </c>
      <c r="W13617" t="s">
        <v>44158</v>
      </c>
      <c r="X13617" t="s">
        <v>47322</v>
      </c>
    </row>
    <row r="13618" spans="1:24">
      <c r="A13618">
        <f>HYPERLINK("https://www.philgeps.gov.ph/GEPSNONPILOT/Tender/SplashBidNoticeAbstractUI.aspx?menuIndex=3&amp;refID=7165050&amp;Result=3","7165050")</f>
        <v>0</v>
      </c>
      <c r="B13618" t="s">
        <v>1827</v>
      </c>
      <c r="C13618" t="s">
        <v>16729</v>
      </c>
      <c r="E13618" t="s">
        <v>30596</v>
      </c>
      <c r="F13618" t="s">
        <v>32606</v>
      </c>
      <c r="G13618" t="s">
        <v>32613</v>
      </c>
      <c r="H13618" t="s">
        <v>14201</v>
      </c>
      <c r="I13618" t="s">
        <v>32638</v>
      </c>
      <c r="J13618" t="s">
        <v>41175</v>
      </c>
      <c r="K13618" t="s">
        <v>42624</v>
      </c>
      <c r="M13618" t="s">
        <v>45577</v>
      </c>
      <c r="N13618" t="s">
        <v>47304</v>
      </c>
      <c r="O13618" t="s">
        <v>47305</v>
      </c>
      <c r="P13618">
        <v>0</v>
      </c>
      <c r="Q13618">
        <v>4</v>
      </c>
      <c r="R13618" t="s">
        <v>47321</v>
      </c>
      <c r="S13618" t="s">
        <v>48071</v>
      </c>
      <c r="T13618" t="s">
        <v>49023</v>
      </c>
      <c r="U13618" t="s">
        <v>60796</v>
      </c>
      <c r="W13618" t="s">
        <v>45577</v>
      </c>
      <c r="X13618" t="s">
        <v>47322</v>
      </c>
    </row>
    <row r="13619" spans="1:24">
      <c r="A13619">
        <f>HYPERLINK("https://www.philgeps.gov.ph/GEPSNONPILOT/Tender/SplashBidNoticeAbstractUI.aspx?menuIndex=3&amp;refID=7165309&amp;Result=3","7165309")</f>
        <v>0</v>
      </c>
      <c r="B13619" t="s">
        <v>3659</v>
      </c>
      <c r="C13619" t="s">
        <v>16730</v>
      </c>
      <c r="D13619" t="s">
        <v>18999</v>
      </c>
      <c r="E13619" t="s">
        <v>30597</v>
      </c>
      <c r="F13619" t="s">
        <v>32606</v>
      </c>
      <c r="G13619" t="s">
        <v>32614</v>
      </c>
      <c r="H13619" t="s">
        <v>32624</v>
      </c>
      <c r="I13619" t="s">
        <v>32726</v>
      </c>
      <c r="J13619" t="s">
        <v>32789</v>
      </c>
      <c r="K13619" t="s">
        <v>42714</v>
      </c>
      <c r="M13619" t="s">
        <v>46962</v>
      </c>
      <c r="N13619" t="s">
        <v>47304</v>
      </c>
      <c r="O13619" t="s">
        <v>47305</v>
      </c>
      <c r="Q13619">
        <v>1</v>
      </c>
      <c r="R13619" t="s">
        <v>47321</v>
      </c>
      <c r="S13619" t="s">
        <v>48042</v>
      </c>
      <c r="T13619" t="s">
        <v>49076</v>
      </c>
      <c r="U13619" t="s">
        <v>60797</v>
      </c>
      <c r="W13619" t="s">
        <v>64548</v>
      </c>
      <c r="X13619" t="s">
        <v>47322</v>
      </c>
    </row>
    <row r="13620" spans="1:24">
      <c r="A13620">
        <f>HYPERLINK("https://www.philgeps.gov.ph/GEPSNONPILOT/Tender/SplashBidNoticeAbstractUI.aspx?menuIndex=3&amp;refID=7164976&amp;Result=3","7164976")</f>
        <v>0</v>
      </c>
      <c r="B13620" t="s">
        <v>1150</v>
      </c>
      <c r="C13620" t="s">
        <v>16731</v>
      </c>
      <c r="D13620" t="s">
        <v>19040</v>
      </c>
      <c r="E13620" t="s">
        <v>30598</v>
      </c>
      <c r="F13620" t="s">
        <v>32606</v>
      </c>
      <c r="G13620" t="s">
        <v>32613</v>
      </c>
      <c r="H13620" t="s">
        <v>32623</v>
      </c>
      <c r="I13620" t="s">
        <v>17648</v>
      </c>
      <c r="J13620" t="s">
        <v>32772</v>
      </c>
      <c r="K13620" t="s">
        <v>42643</v>
      </c>
      <c r="M13620" t="s">
        <v>44112</v>
      </c>
      <c r="N13620" t="s">
        <v>47304</v>
      </c>
      <c r="O13620" t="s">
        <v>47305</v>
      </c>
      <c r="P13620">
        <v>0</v>
      </c>
      <c r="Q13620">
        <v>0</v>
      </c>
      <c r="R13620" t="s">
        <v>47321</v>
      </c>
      <c r="S13620" t="s">
        <v>48071</v>
      </c>
      <c r="T13620" t="s">
        <v>48980</v>
      </c>
      <c r="U13620" t="s">
        <v>60798</v>
      </c>
      <c r="V13620" t="s">
        <v>64111</v>
      </c>
      <c r="W13620" t="s">
        <v>64465</v>
      </c>
      <c r="X13620" t="s">
        <v>47322</v>
      </c>
    </row>
    <row r="13621" spans="1:24">
      <c r="A13621">
        <f>HYPERLINK("https://www.philgeps.gov.ph/GEPSNONPILOT/Tender/SplashBidNoticeAbstractUI.aspx?menuIndex=3&amp;refID=7165299&amp;Result=3","7165299")</f>
        <v>0</v>
      </c>
      <c r="B13621" t="s">
        <v>3449</v>
      </c>
      <c r="C13621" t="s">
        <v>16732</v>
      </c>
      <c r="D13621" t="s">
        <v>18988</v>
      </c>
      <c r="E13621" t="s">
        <v>30599</v>
      </c>
      <c r="F13621" t="s">
        <v>32606</v>
      </c>
      <c r="G13621" t="s">
        <v>32613</v>
      </c>
      <c r="H13621" t="s">
        <v>14201</v>
      </c>
      <c r="I13621" t="s">
        <v>32629</v>
      </c>
      <c r="J13621" t="s">
        <v>41176</v>
      </c>
      <c r="K13621" t="s">
        <v>42627</v>
      </c>
      <c r="M13621" t="s">
        <v>46709</v>
      </c>
      <c r="N13621" t="s">
        <v>47304</v>
      </c>
      <c r="O13621" t="s">
        <v>47305</v>
      </c>
      <c r="P13621">
        <v>0</v>
      </c>
      <c r="Q13621">
        <v>1</v>
      </c>
      <c r="R13621" t="s">
        <v>47321</v>
      </c>
      <c r="S13621" t="s">
        <v>48071</v>
      </c>
      <c r="T13621" t="s">
        <v>49060</v>
      </c>
      <c r="U13621" t="s">
        <v>60799</v>
      </c>
      <c r="W13621" t="s">
        <v>46709</v>
      </c>
      <c r="X13621" t="s">
        <v>47322</v>
      </c>
    </row>
    <row r="13622" spans="1:24">
      <c r="A13622">
        <f>HYPERLINK("https://www.philgeps.gov.ph/GEPSNONPILOT/Tender/SplashBidNoticeAbstractUI.aspx?menuIndex=3&amp;refID=7165303&amp;Result=3","7165303")</f>
        <v>0</v>
      </c>
      <c r="B13622" t="s">
        <v>438</v>
      </c>
      <c r="C13622" t="s">
        <v>16733</v>
      </c>
      <c r="D13622" t="s">
        <v>19003</v>
      </c>
      <c r="E13622" t="s">
        <v>24072</v>
      </c>
      <c r="F13622" t="s">
        <v>32606</v>
      </c>
      <c r="G13622" t="s">
        <v>32613</v>
      </c>
      <c r="H13622" t="s">
        <v>32623</v>
      </c>
      <c r="I13622" t="s">
        <v>17648</v>
      </c>
      <c r="J13622" t="s">
        <v>41177</v>
      </c>
      <c r="K13622" t="s">
        <v>42645</v>
      </c>
      <c r="M13622" t="s">
        <v>43345</v>
      </c>
      <c r="N13622" t="s">
        <v>47304</v>
      </c>
      <c r="O13622" t="s">
        <v>47305</v>
      </c>
      <c r="P13622">
        <v>0</v>
      </c>
      <c r="Q13622">
        <v>0</v>
      </c>
      <c r="R13622" t="s">
        <v>47321</v>
      </c>
      <c r="S13622" t="s">
        <v>48071</v>
      </c>
      <c r="T13622" t="s">
        <v>49017</v>
      </c>
      <c r="U13622" t="s">
        <v>60800</v>
      </c>
      <c r="W13622" t="s">
        <v>43345</v>
      </c>
      <c r="X13622" t="s">
        <v>47322</v>
      </c>
    </row>
    <row r="13623" spans="1:24">
      <c r="A13623">
        <f>HYPERLINK("https://www.philgeps.gov.ph/GEPSNONPILOT/Tender/SplashBidNoticeAbstractUI.aspx?menuIndex=3&amp;refID=7165231&amp;Result=3","7165231")</f>
        <v>0</v>
      </c>
      <c r="B13623" t="s">
        <v>232</v>
      </c>
      <c r="C13623" t="s">
        <v>16734</v>
      </c>
      <c r="D13623" t="s">
        <v>19017</v>
      </c>
      <c r="E13623" t="s">
        <v>30600</v>
      </c>
      <c r="F13623" t="s">
        <v>32606</v>
      </c>
      <c r="G13623" t="s">
        <v>32613</v>
      </c>
      <c r="H13623" t="s">
        <v>32623</v>
      </c>
      <c r="I13623" t="s">
        <v>17648</v>
      </c>
      <c r="J13623" t="s">
        <v>41178</v>
      </c>
      <c r="K13623" t="s">
        <v>42816</v>
      </c>
      <c r="M13623" t="s">
        <v>43133</v>
      </c>
      <c r="N13623" t="s">
        <v>47304</v>
      </c>
      <c r="O13623" t="s">
        <v>47305</v>
      </c>
      <c r="P13623">
        <v>0</v>
      </c>
      <c r="Q13623">
        <v>1</v>
      </c>
      <c r="R13623" t="s">
        <v>47321</v>
      </c>
      <c r="S13623" t="s">
        <v>48071</v>
      </c>
      <c r="T13623" t="s">
        <v>49023</v>
      </c>
      <c r="U13623" t="s">
        <v>60801</v>
      </c>
      <c r="W13623" t="s">
        <v>43133</v>
      </c>
      <c r="X13623" t="s">
        <v>47322</v>
      </c>
    </row>
    <row r="13624" spans="1:24">
      <c r="A13624">
        <f>HYPERLINK("https://www.philgeps.gov.ph/GEPSNONPILOT/Tender/SplashBidNoticeAbstractUI.aspx?menuIndex=3&amp;refID=7165284&amp;Result=3","7165284")</f>
        <v>0</v>
      </c>
      <c r="B13624" t="s">
        <v>438</v>
      </c>
      <c r="C13624" t="s">
        <v>16735</v>
      </c>
      <c r="D13624" t="s">
        <v>19003</v>
      </c>
      <c r="E13624" t="s">
        <v>24073</v>
      </c>
      <c r="F13624" t="s">
        <v>32606</v>
      </c>
      <c r="G13624" t="s">
        <v>32613</v>
      </c>
      <c r="H13624" t="s">
        <v>32623</v>
      </c>
      <c r="I13624" t="s">
        <v>17648</v>
      </c>
      <c r="J13624" t="s">
        <v>41179</v>
      </c>
      <c r="K13624" t="s">
        <v>42642</v>
      </c>
      <c r="M13624" t="s">
        <v>43345</v>
      </c>
      <c r="N13624" t="s">
        <v>47304</v>
      </c>
      <c r="O13624" t="s">
        <v>47305</v>
      </c>
      <c r="P13624">
        <v>0</v>
      </c>
      <c r="Q13624">
        <v>1</v>
      </c>
      <c r="R13624" t="s">
        <v>47321</v>
      </c>
      <c r="S13624" t="s">
        <v>48071</v>
      </c>
      <c r="T13624" t="s">
        <v>49017</v>
      </c>
      <c r="U13624" t="s">
        <v>60802</v>
      </c>
      <c r="W13624" t="s">
        <v>43345</v>
      </c>
      <c r="X13624" t="s">
        <v>47322</v>
      </c>
    </row>
    <row r="13625" spans="1:24">
      <c r="A13625">
        <f>HYPERLINK("https://www.philgeps.gov.ph/GEPSNONPILOT/Tender/SplashBidNoticeAbstractUI.aspx?menuIndex=3&amp;refID=7165254&amp;Result=3","7165254")</f>
        <v>0</v>
      </c>
      <c r="B13625" t="s">
        <v>438</v>
      </c>
      <c r="C13625" t="s">
        <v>16736</v>
      </c>
      <c r="D13625" t="s">
        <v>19003</v>
      </c>
      <c r="E13625" t="s">
        <v>19933</v>
      </c>
      <c r="F13625" t="s">
        <v>32606</v>
      </c>
      <c r="G13625" t="s">
        <v>32613</v>
      </c>
      <c r="H13625" t="s">
        <v>32623</v>
      </c>
      <c r="I13625" t="s">
        <v>17648</v>
      </c>
      <c r="J13625" t="s">
        <v>41180</v>
      </c>
      <c r="K13625" t="s">
        <v>42712</v>
      </c>
      <c r="M13625" t="s">
        <v>43345</v>
      </c>
      <c r="N13625" t="s">
        <v>47304</v>
      </c>
      <c r="O13625" t="s">
        <v>47305</v>
      </c>
      <c r="P13625">
        <v>0</v>
      </c>
      <c r="Q13625">
        <v>0</v>
      </c>
      <c r="R13625" t="s">
        <v>47321</v>
      </c>
      <c r="S13625" t="s">
        <v>48071</v>
      </c>
      <c r="T13625" t="s">
        <v>49017</v>
      </c>
      <c r="U13625" t="s">
        <v>60803</v>
      </c>
      <c r="W13625" t="s">
        <v>43345</v>
      </c>
      <c r="X13625" t="s">
        <v>47322</v>
      </c>
    </row>
    <row r="13626" spans="1:24">
      <c r="A13626">
        <f>HYPERLINK("https://www.philgeps.gov.ph/GEPSNONPILOT/Tender/SplashBidNoticeAbstractUI.aspx?menuIndex=3&amp;refID=7165295&amp;Result=3","7165295")</f>
        <v>0</v>
      </c>
      <c r="B13626" t="s">
        <v>340</v>
      </c>
      <c r="C13626" t="s">
        <v>16737</v>
      </c>
      <c r="D13626" t="s">
        <v>19029</v>
      </c>
      <c r="E13626" t="s">
        <v>30601</v>
      </c>
      <c r="F13626" t="s">
        <v>32606</v>
      </c>
      <c r="G13626" t="s">
        <v>32613</v>
      </c>
      <c r="H13626" t="s">
        <v>14201</v>
      </c>
      <c r="I13626" t="s">
        <v>32635</v>
      </c>
      <c r="J13626" t="s">
        <v>41181</v>
      </c>
      <c r="K13626" t="s">
        <v>42636</v>
      </c>
      <c r="M13626" t="s">
        <v>43242</v>
      </c>
      <c r="N13626" t="s">
        <v>47304</v>
      </c>
      <c r="O13626" t="s">
        <v>47305</v>
      </c>
      <c r="Q13626">
        <v>6</v>
      </c>
      <c r="R13626" t="s">
        <v>47321</v>
      </c>
      <c r="S13626" t="s">
        <v>48084</v>
      </c>
      <c r="T13626" t="s">
        <v>49081</v>
      </c>
      <c r="U13626" t="s">
        <v>60804</v>
      </c>
      <c r="V13626" t="s">
        <v>64112</v>
      </c>
      <c r="W13626" t="s">
        <v>43242</v>
      </c>
      <c r="X13626" t="s">
        <v>47322</v>
      </c>
    </row>
    <row r="13627" spans="1:24">
      <c r="A13627">
        <f>HYPERLINK("https://www.philgeps.gov.ph/GEPSNONPILOT/Tender/SplashBidNoticeAbstractUI.aspx?menuIndex=3&amp;refID=7165248&amp;Result=3","7165248")</f>
        <v>0</v>
      </c>
      <c r="B13627" t="s">
        <v>3660</v>
      </c>
      <c r="C13627" t="s">
        <v>4359</v>
      </c>
      <c r="D13627" t="s">
        <v>19037</v>
      </c>
      <c r="E13627" t="s">
        <v>30602</v>
      </c>
      <c r="F13627" t="s">
        <v>32606</v>
      </c>
      <c r="G13627" t="s">
        <v>32613</v>
      </c>
      <c r="H13627" t="s">
        <v>14201</v>
      </c>
      <c r="I13627" t="s">
        <v>6931</v>
      </c>
      <c r="J13627" t="s">
        <v>34490</v>
      </c>
      <c r="K13627" t="s">
        <v>42638</v>
      </c>
      <c r="M13627" t="s">
        <v>46963</v>
      </c>
      <c r="N13627" t="s">
        <v>47304</v>
      </c>
      <c r="O13627" t="s">
        <v>47305</v>
      </c>
      <c r="P13627">
        <v>0</v>
      </c>
      <c r="Q13627">
        <v>1</v>
      </c>
      <c r="R13627" t="s">
        <v>47321</v>
      </c>
      <c r="S13627" t="s">
        <v>48071</v>
      </c>
      <c r="T13627" t="s">
        <v>49023</v>
      </c>
      <c r="U13627" t="s">
        <v>60805</v>
      </c>
      <c r="W13627" t="s">
        <v>46963</v>
      </c>
      <c r="X13627" t="s">
        <v>47322</v>
      </c>
    </row>
    <row r="13628" spans="1:24">
      <c r="A13628">
        <f>HYPERLINK("https://www.philgeps.gov.ph/GEPSNONPILOT/Tender/SplashBidNoticeAbstractUI.aspx?menuIndex=3&amp;refID=7165350&amp;Result=3","7165350")</f>
        <v>0</v>
      </c>
      <c r="B13628" t="s">
        <v>3661</v>
      </c>
      <c r="C13628" t="s">
        <v>16738</v>
      </c>
      <c r="D13628" t="s">
        <v>18992</v>
      </c>
      <c r="E13628" t="s">
        <v>30603</v>
      </c>
      <c r="F13628" t="s">
        <v>32606</v>
      </c>
      <c r="G13628" t="s">
        <v>32613</v>
      </c>
      <c r="H13628" t="s">
        <v>32623</v>
      </c>
      <c r="I13628" t="s">
        <v>17648</v>
      </c>
      <c r="J13628" t="s">
        <v>32778</v>
      </c>
      <c r="K13628" t="s">
        <v>42636</v>
      </c>
      <c r="M13628" t="s">
        <v>46964</v>
      </c>
      <c r="N13628" t="s">
        <v>47304</v>
      </c>
      <c r="O13628" t="s">
        <v>47305</v>
      </c>
      <c r="P13628">
        <v>0</v>
      </c>
      <c r="Q13628">
        <v>0</v>
      </c>
      <c r="R13628" t="s">
        <v>47321</v>
      </c>
      <c r="S13628" t="s">
        <v>48071</v>
      </c>
      <c r="T13628" t="s">
        <v>48996</v>
      </c>
      <c r="U13628" t="s">
        <v>60806</v>
      </c>
      <c r="V13628" t="s">
        <v>64113</v>
      </c>
      <c r="W13628" t="s">
        <v>46964</v>
      </c>
      <c r="X13628" t="s">
        <v>47322</v>
      </c>
    </row>
    <row r="13629" spans="1:24">
      <c r="A13629">
        <f>HYPERLINK("https://www.philgeps.gov.ph/GEPSNONPILOT/Tender/SplashBidNoticeAbstractUI.aspx?menuIndex=3&amp;refID=7165045&amp;Result=3","7165045")</f>
        <v>0</v>
      </c>
      <c r="B13629" t="s">
        <v>3282</v>
      </c>
      <c r="C13629" t="s">
        <v>16739</v>
      </c>
      <c r="D13629" t="s">
        <v>19058</v>
      </c>
      <c r="E13629" t="s">
        <v>30604</v>
      </c>
      <c r="F13629" t="s">
        <v>32606</v>
      </c>
      <c r="G13629" t="s">
        <v>32613</v>
      </c>
      <c r="H13629" t="s">
        <v>14201</v>
      </c>
      <c r="I13629" t="s">
        <v>6298</v>
      </c>
      <c r="J13629" t="s">
        <v>40245</v>
      </c>
      <c r="K13629" t="s">
        <v>42631</v>
      </c>
      <c r="M13629" t="s">
        <v>46518</v>
      </c>
      <c r="N13629" t="s">
        <v>47304</v>
      </c>
      <c r="O13629" t="s">
        <v>47305</v>
      </c>
      <c r="P13629">
        <v>0</v>
      </c>
      <c r="Q13629">
        <v>3</v>
      </c>
      <c r="R13629" t="s">
        <v>47321</v>
      </c>
      <c r="S13629" t="s">
        <v>48071</v>
      </c>
      <c r="T13629" t="s">
        <v>48996</v>
      </c>
      <c r="U13629" t="s">
        <v>60807</v>
      </c>
      <c r="W13629" t="s">
        <v>46518</v>
      </c>
      <c r="X13629" t="s">
        <v>47322</v>
      </c>
    </row>
    <row r="13630" spans="1:24">
      <c r="A13630">
        <f>HYPERLINK("https://www.philgeps.gov.ph/GEPSNONPILOT/Tender/SplashBidNoticeAbstractUI.aspx?menuIndex=3&amp;refID=7165304&amp;Result=3","7165304")</f>
        <v>0</v>
      </c>
      <c r="B13630" t="s">
        <v>315</v>
      </c>
      <c r="C13630" t="s">
        <v>16740</v>
      </c>
      <c r="D13630" t="s">
        <v>18991</v>
      </c>
      <c r="E13630" t="s">
        <v>30605</v>
      </c>
      <c r="F13630" t="s">
        <v>32606</v>
      </c>
      <c r="G13630" t="s">
        <v>32613</v>
      </c>
      <c r="H13630" t="s">
        <v>14201</v>
      </c>
      <c r="I13630" t="s">
        <v>7064</v>
      </c>
      <c r="J13630" t="s">
        <v>41182</v>
      </c>
      <c r="K13630" t="s">
        <v>42688</v>
      </c>
      <c r="M13630" t="s">
        <v>43217</v>
      </c>
      <c r="N13630" t="s">
        <v>47304</v>
      </c>
      <c r="O13630" t="s">
        <v>47305</v>
      </c>
      <c r="P13630">
        <v>0</v>
      </c>
      <c r="Q13630">
        <v>6</v>
      </c>
      <c r="R13630" t="s">
        <v>47321</v>
      </c>
      <c r="S13630" t="s">
        <v>48071</v>
      </c>
      <c r="T13630" t="s">
        <v>49023</v>
      </c>
      <c r="U13630" t="s">
        <v>60808</v>
      </c>
      <c r="W13630" t="s">
        <v>43217</v>
      </c>
      <c r="X13630" t="s">
        <v>47322</v>
      </c>
    </row>
    <row r="13631" spans="1:24">
      <c r="A13631">
        <f>HYPERLINK("https://www.philgeps.gov.ph/GEPSNONPILOT/Tender/SplashBidNoticeAbstractUI.aspx?menuIndex=3&amp;refID=7164977&amp;Result=3","7164977")</f>
        <v>0</v>
      </c>
      <c r="B13631" t="s">
        <v>1150</v>
      </c>
      <c r="C13631" t="s">
        <v>16741</v>
      </c>
      <c r="D13631" t="s">
        <v>19040</v>
      </c>
      <c r="E13631" t="s">
        <v>30606</v>
      </c>
      <c r="F13631" t="s">
        <v>32606</v>
      </c>
      <c r="G13631" t="s">
        <v>32613</v>
      </c>
      <c r="H13631" t="s">
        <v>32623</v>
      </c>
      <c r="I13631" t="s">
        <v>17648</v>
      </c>
      <c r="J13631" t="s">
        <v>32861</v>
      </c>
      <c r="K13631" t="s">
        <v>42719</v>
      </c>
      <c r="M13631" t="s">
        <v>44112</v>
      </c>
      <c r="N13631" t="s">
        <v>47304</v>
      </c>
      <c r="O13631" t="s">
        <v>47305</v>
      </c>
      <c r="P13631">
        <v>0</v>
      </c>
      <c r="Q13631">
        <v>0</v>
      </c>
      <c r="R13631" t="s">
        <v>47321</v>
      </c>
      <c r="S13631" t="s">
        <v>48071</v>
      </c>
      <c r="T13631" t="s">
        <v>48980</v>
      </c>
      <c r="U13631" t="s">
        <v>60809</v>
      </c>
      <c r="V13631" t="s">
        <v>64114</v>
      </c>
      <c r="W13631" t="s">
        <v>64465</v>
      </c>
      <c r="X13631" t="s">
        <v>47322</v>
      </c>
    </row>
    <row r="13632" spans="1:24">
      <c r="A13632">
        <f>HYPERLINK("https://www.philgeps.gov.ph/GEPSNONPILOT/Tender/SplashBidNoticeAbstractUI.aspx?menuIndex=3&amp;refID=7165255&amp;Result=3","7165255")</f>
        <v>0</v>
      </c>
      <c r="B13632" t="s">
        <v>232</v>
      </c>
      <c r="C13632" t="s">
        <v>16742</v>
      </c>
      <c r="D13632" t="s">
        <v>19017</v>
      </c>
      <c r="E13632" t="s">
        <v>30607</v>
      </c>
      <c r="F13632" t="s">
        <v>32606</v>
      </c>
      <c r="G13632" t="s">
        <v>32613</v>
      </c>
      <c r="H13632" t="s">
        <v>32623</v>
      </c>
      <c r="I13632" t="s">
        <v>17648</v>
      </c>
      <c r="J13632" t="s">
        <v>32821</v>
      </c>
      <c r="K13632" t="s">
        <v>42700</v>
      </c>
      <c r="M13632" t="s">
        <v>43133</v>
      </c>
      <c r="N13632" t="s">
        <v>47304</v>
      </c>
      <c r="O13632" t="s">
        <v>47305</v>
      </c>
      <c r="P13632">
        <v>0</v>
      </c>
      <c r="Q13632">
        <v>3</v>
      </c>
      <c r="R13632" t="s">
        <v>47321</v>
      </c>
      <c r="S13632" t="s">
        <v>48071</v>
      </c>
      <c r="T13632" t="s">
        <v>49023</v>
      </c>
      <c r="U13632" t="s">
        <v>60810</v>
      </c>
      <c r="W13632" t="s">
        <v>43133</v>
      </c>
      <c r="X13632" t="s">
        <v>47322</v>
      </c>
    </row>
    <row r="13633" spans="1:24">
      <c r="A13633">
        <f>HYPERLINK("https://www.philgeps.gov.ph/GEPSNONPILOT/Tender/SplashBidNoticeAbstractUI.aspx?menuIndex=3&amp;refID=7165311&amp;Result=3","7165311")</f>
        <v>0</v>
      </c>
      <c r="B13633" t="s">
        <v>3662</v>
      </c>
      <c r="C13633" t="s">
        <v>16743</v>
      </c>
      <c r="D13633" t="s">
        <v>18988</v>
      </c>
      <c r="E13633" t="s">
        <v>30608</v>
      </c>
      <c r="F13633" t="s">
        <v>32606</v>
      </c>
      <c r="G13633" t="s">
        <v>32613</v>
      </c>
      <c r="H13633" t="s">
        <v>14201</v>
      </c>
      <c r="I13633" t="s">
        <v>32658</v>
      </c>
      <c r="J13633" t="s">
        <v>41183</v>
      </c>
      <c r="K13633" t="s">
        <v>42629</v>
      </c>
      <c r="M13633" t="s">
        <v>46965</v>
      </c>
      <c r="N13633" t="s">
        <v>47304</v>
      </c>
      <c r="O13633" t="s">
        <v>47305</v>
      </c>
      <c r="P13633">
        <v>0</v>
      </c>
      <c r="Q13633">
        <v>1</v>
      </c>
      <c r="R13633" t="s">
        <v>47321</v>
      </c>
      <c r="S13633" t="s">
        <v>48071</v>
      </c>
      <c r="T13633" t="s">
        <v>48977</v>
      </c>
      <c r="U13633" t="s">
        <v>60811</v>
      </c>
      <c r="W13633" t="s">
        <v>46965</v>
      </c>
      <c r="X13633" t="s">
        <v>47322</v>
      </c>
    </row>
    <row r="13634" spans="1:24">
      <c r="A13634">
        <f>HYPERLINK("https://www.philgeps.gov.ph/GEPSNONPILOT/Tender/SplashBidNoticeAbstractUI.aspx?menuIndex=3&amp;refID=7165246&amp;Result=3","7165246")</f>
        <v>0</v>
      </c>
      <c r="B13634" t="s">
        <v>3163</v>
      </c>
      <c r="C13634" t="s">
        <v>16744</v>
      </c>
      <c r="D13634" t="s">
        <v>19008</v>
      </c>
      <c r="E13634" t="s">
        <v>30609</v>
      </c>
      <c r="F13634" t="s">
        <v>32606</v>
      </c>
      <c r="G13634" t="s">
        <v>32613</v>
      </c>
      <c r="H13634" t="s">
        <v>14201</v>
      </c>
      <c r="I13634" t="s">
        <v>32747</v>
      </c>
      <c r="J13634" t="s">
        <v>32772</v>
      </c>
      <c r="K13634" t="s">
        <v>42623</v>
      </c>
      <c r="M13634" t="s">
        <v>46382</v>
      </c>
      <c r="N13634" t="s">
        <v>47304</v>
      </c>
      <c r="O13634" t="s">
        <v>47305</v>
      </c>
      <c r="P13634">
        <v>0</v>
      </c>
      <c r="Q13634">
        <v>0</v>
      </c>
      <c r="R13634" t="s">
        <v>47321</v>
      </c>
      <c r="S13634" t="s">
        <v>48071</v>
      </c>
      <c r="T13634" t="s">
        <v>49041</v>
      </c>
      <c r="U13634" t="s">
        <v>58303</v>
      </c>
      <c r="W13634" t="s">
        <v>46382</v>
      </c>
      <c r="X13634" t="s">
        <v>47322</v>
      </c>
    </row>
    <row r="13635" spans="1:24">
      <c r="A13635">
        <f>HYPERLINK("https://www.philgeps.gov.ph/GEPSNONPILOT/Tender/SplashBidNoticeAbstractUI.aspx?menuIndex=3&amp;refID=7165232&amp;Result=3","7165232")</f>
        <v>0</v>
      </c>
      <c r="B13635" t="s">
        <v>3656</v>
      </c>
      <c r="C13635" t="s">
        <v>16745</v>
      </c>
      <c r="D13635" t="s">
        <v>19003</v>
      </c>
      <c r="E13635" t="s">
        <v>30586</v>
      </c>
      <c r="F13635" t="s">
        <v>32606</v>
      </c>
      <c r="G13635" t="s">
        <v>32613</v>
      </c>
      <c r="H13635" t="s">
        <v>32623</v>
      </c>
      <c r="I13635" t="s">
        <v>17648</v>
      </c>
      <c r="J13635" t="s">
        <v>32778</v>
      </c>
      <c r="K13635" t="s">
        <v>42631</v>
      </c>
      <c r="M13635" t="s">
        <v>46959</v>
      </c>
      <c r="N13635" t="s">
        <v>47304</v>
      </c>
      <c r="O13635" t="s">
        <v>47305</v>
      </c>
      <c r="P13635">
        <v>0</v>
      </c>
      <c r="Q13635">
        <v>0</v>
      </c>
      <c r="R13635" t="s">
        <v>47321</v>
      </c>
      <c r="S13635" t="s">
        <v>48071</v>
      </c>
      <c r="T13635" t="s">
        <v>49144</v>
      </c>
      <c r="U13635" t="s">
        <v>60812</v>
      </c>
      <c r="W13635" t="s">
        <v>46959</v>
      </c>
      <c r="X13635" t="s">
        <v>47322</v>
      </c>
    </row>
    <row r="13636" spans="1:24">
      <c r="A13636">
        <f>HYPERLINK("https://www.philgeps.gov.ph/GEPSNONPILOT/Tender/SplashBidNoticeAbstractUI.aspx?menuIndex=3&amp;refID=7165353&amp;Result=3","7165353")</f>
        <v>0</v>
      </c>
      <c r="B13636" t="s">
        <v>3217</v>
      </c>
      <c r="C13636" t="s">
        <v>16746</v>
      </c>
      <c r="E13636" t="s">
        <v>30610</v>
      </c>
      <c r="F13636" t="s">
        <v>32606</v>
      </c>
      <c r="G13636" t="s">
        <v>32613</v>
      </c>
      <c r="H13636" t="s">
        <v>32623</v>
      </c>
      <c r="I13636" t="s">
        <v>17648</v>
      </c>
      <c r="J13636" t="s">
        <v>41184</v>
      </c>
      <c r="K13636" t="s">
        <v>42624</v>
      </c>
      <c r="M13636" t="s">
        <v>46443</v>
      </c>
      <c r="N13636" t="s">
        <v>47304</v>
      </c>
      <c r="O13636" t="s">
        <v>47305</v>
      </c>
      <c r="P13636">
        <v>0</v>
      </c>
      <c r="Q13636">
        <v>2</v>
      </c>
      <c r="R13636" t="s">
        <v>47321</v>
      </c>
      <c r="S13636" t="s">
        <v>48071</v>
      </c>
      <c r="T13636" t="s">
        <v>49347</v>
      </c>
      <c r="U13636" t="s">
        <v>60813</v>
      </c>
      <c r="V13636" t="s">
        <v>64115</v>
      </c>
      <c r="W13636" t="s">
        <v>46443</v>
      </c>
      <c r="X13636" t="s">
        <v>47322</v>
      </c>
    </row>
    <row r="13637" spans="1:24">
      <c r="A13637">
        <f>HYPERLINK("https://www.philgeps.gov.ph/GEPSNONPILOT/Tender/SplashBidNoticeAbstractUI.aspx?menuIndex=3&amp;refID=7165327&amp;Result=3","7165327")</f>
        <v>0</v>
      </c>
      <c r="B13637" t="s">
        <v>232</v>
      </c>
      <c r="C13637" t="s">
        <v>16747</v>
      </c>
      <c r="D13637" t="s">
        <v>19017</v>
      </c>
      <c r="E13637" t="s">
        <v>30611</v>
      </c>
      <c r="F13637" t="s">
        <v>32606</v>
      </c>
      <c r="G13637" t="s">
        <v>32613</v>
      </c>
      <c r="H13637" t="s">
        <v>32623</v>
      </c>
      <c r="I13637" t="s">
        <v>17648</v>
      </c>
      <c r="J13637" t="s">
        <v>32795</v>
      </c>
      <c r="K13637" t="s">
        <v>42649</v>
      </c>
      <c r="M13637" t="s">
        <v>43133</v>
      </c>
      <c r="N13637" t="s">
        <v>47304</v>
      </c>
      <c r="O13637" t="s">
        <v>47305</v>
      </c>
      <c r="P13637">
        <v>0</v>
      </c>
      <c r="Q13637">
        <v>1</v>
      </c>
      <c r="R13637" t="s">
        <v>47321</v>
      </c>
      <c r="S13637" t="s">
        <v>48071</v>
      </c>
      <c r="T13637" t="s">
        <v>49023</v>
      </c>
      <c r="U13637" t="s">
        <v>60814</v>
      </c>
      <c r="W13637" t="s">
        <v>43133</v>
      </c>
      <c r="X13637" t="s">
        <v>47322</v>
      </c>
    </row>
    <row r="13638" spans="1:24">
      <c r="A13638">
        <f>HYPERLINK("https://www.philgeps.gov.ph/GEPSNONPILOT/Tender/SplashBidNoticeAbstractUI.aspx?menuIndex=3&amp;refID=7165453&amp;Result=3","7165453")</f>
        <v>0</v>
      </c>
      <c r="B13638" t="s">
        <v>1435</v>
      </c>
      <c r="C13638" t="s">
        <v>16748</v>
      </c>
      <c r="D13638" t="s">
        <v>19025</v>
      </c>
      <c r="E13638" t="s">
        <v>30612</v>
      </c>
      <c r="F13638" t="s">
        <v>32606</v>
      </c>
      <c r="G13638" t="s">
        <v>32613</v>
      </c>
      <c r="H13638" t="s">
        <v>14201</v>
      </c>
      <c r="I13638" t="s">
        <v>32640</v>
      </c>
      <c r="J13638" t="s">
        <v>41185</v>
      </c>
      <c r="K13638" t="s">
        <v>42624</v>
      </c>
      <c r="M13638" t="s">
        <v>44913</v>
      </c>
      <c r="N13638" t="s">
        <v>47304</v>
      </c>
      <c r="O13638" t="s">
        <v>47305</v>
      </c>
      <c r="P13638">
        <v>0</v>
      </c>
      <c r="Q13638">
        <v>11</v>
      </c>
      <c r="R13638" t="s">
        <v>47321</v>
      </c>
      <c r="S13638" t="s">
        <v>48071</v>
      </c>
      <c r="T13638" t="s">
        <v>48987</v>
      </c>
      <c r="U13638" t="s">
        <v>60815</v>
      </c>
      <c r="W13638" t="s">
        <v>44913</v>
      </c>
      <c r="X13638" t="s">
        <v>47322</v>
      </c>
    </row>
    <row r="13639" spans="1:24">
      <c r="A13639">
        <f>HYPERLINK("https://www.philgeps.gov.ph/GEPSNONPILOT/Tender/SplashBidNoticeAbstractUI.aspx?menuIndex=3&amp;refID=7165323&amp;Result=3","7165323")</f>
        <v>0</v>
      </c>
      <c r="B13639" t="s">
        <v>384</v>
      </c>
      <c r="C13639" t="s">
        <v>16749</v>
      </c>
      <c r="D13639" t="s">
        <v>18995</v>
      </c>
      <c r="E13639" t="s">
        <v>22091</v>
      </c>
      <c r="F13639" t="s">
        <v>32606</v>
      </c>
      <c r="G13639" t="s">
        <v>32613</v>
      </c>
      <c r="H13639" t="s">
        <v>14201</v>
      </c>
      <c r="I13639" t="s">
        <v>32737</v>
      </c>
      <c r="J13639" t="s">
        <v>41186</v>
      </c>
      <c r="K13639" t="s">
        <v>42631</v>
      </c>
      <c r="M13639" t="s">
        <v>43287</v>
      </c>
      <c r="N13639" t="s">
        <v>47304</v>
      </c>
      <c r="O13639" t="s">
        <v>47305</v>
      </c>
      <c r="Q13639">
        <v>4</v>
      </c>
      <c r="R13639" t="s">
        <v>47321</v>
      </c>
      <c r="S13639" t="s">
        <v>48085</v>
      </c>
      <c r="T13639" t="s">
        <v>49486</v>
      </c>
      <c r="U13639" t="s">
        <v>60816</v>
      </c>
      <c r="W13639" t="s">
        <v>43287</v>
      </c>
      <c r="X13639" t="s">
        <v>47322</v>
      </c>
    </row>
    <row r="13640" spans="1:24">
      <c r="A13640">
        <f>HYPERLINK("https://www.philgeps.gov.ph/GEPSNONPILOT/Tender/SplashBidNoticeAbstractUI.aspx?menuIndex=3&amp;refID=7165447&amp;Result=3","7165447")</f>
        <v>0</v>
      </c>
      <c r="B13640" t="s">
        <v>387</v>
      </c>
      <c r="C13640" t="s">
        <v>16750</v>
      </c>
      <c r="D13640" t="s">
        <v>18988</v>
      </c>
      <c r="E13640" t="s">
        <v>30613</v>
      </c>
      <c r="F13640" t="s">
        <v>32606</v>
      </c>
      <c r="G13640" t="s">
        <v>32613</v>
      </c>
      <c r="H13640" t="s">
        <v>14201</v>
      </c>
      <c r="I13640" t="s">
        <v>8606</v>
      </c>
      <c r="J13640" t="s">
        <v>32795</v>
      </c>
      <c r="K13640" t="s">
        <v>42627</v>
      </c>
      <c r="M13640" t="s">
        <v>43290</v>
      </c>
      <c r="N13640" t="s">
        <v>47304</v>
      </c>
      <c r="O13640" t="s">
        <v>47305</v>
      </c>
      <c r="P13640">
        <v>0</v>
      </c>
      <c r="Q13640">
        <v>8</v>
      </c>
      <c r="R13640" t="s">
        <v>47321</v>
      </c>
      <c r="S13640" t="s">
        <v>48071</v>
      </c>
      <c r="T13640" t="s">
        <v>49103</v>
      </c>
      <c r="U13640" t="s">
        <v>50231</v>
      </c>
      <c r="V13640" t="s">
        <v>64116</v>
      </c>
      <c r="W13640" t="s">
        <v>64549</v>
      </c>
      <c r="X13640" t="s">
        <v>47322</v>
      </c>
    </row>
    <row r="13641" spans="1:24">
      <c r="A13641">
        <f>HYPERLINK("https://www.philgeps.gov.ph/GEPSNONPILOT/Tender/SplashBidNoticeAbstractUI.aspx?menuIndex=3&amp;refID=7165441&amp;Result=3","7165441")</f>
        <v>0</v>
      </c>
      <c r="B13641" t="s">
        <v>3651</v>
      </c>
      <c r="C13641" t="s">
        <v>16751</v>
      </c>
      <c r="D13641" t="s">
        <v>19068</v>
      </c>
      <c r="E13641" t="s">
        <v>30614</v>
      </c>
      <c r="F13641" t="s">
        <v>32606</v>
      </c>
      <c r="G13641" t="s">
        <v>32613</v>
      </c>
      <c r="H13641" t="s">
        <v>32623</v>
      </c>
      <c r="I13641" t="s">
        <v>17648</v>
      </c>
      <c r="J13641" t="s">
        <v>41187</v>
      </c>
      <c r="K13641" t="s">
        <v>42648</v>
      </c>
      <c r="M13641" t="s">
        <v>46954</v>
      </c>
      <c r="N13641" t="s">
        <v>47304</v>
      </c>
      <c r="O13641" t="s">
        <v>47305</v>
      </c>
      <c r="P13641">
        <v>0</v>
      </c>
      <c r="Q13641">
        <v>2</v>
      </c>
      <c r="R13641" t="s">
        <v>47321</v>
      </c>
      <c r="S13641" t="s">
        <v>48071</v>
      </c>
      <c r="T13641" t="s">
        <v>49490</v>
      </c>
      <c r="U13641" t="s">
        <v>60817</v>
      </c>
      <c r="W13641" t="s">
        <v>46954</v>
      </c>
      <c r="X13641" t="s">
        <v>47322</v>
      </c>
    </row>
    <row r="13642" spans="1:24">
      <c r="A13642">
        <f>HYPERLINK("https://www.philgeps.gov.ph/GEPSNONPILOT/Tender/SplashBidNoticeAbstractUI.aspx?menuIndex=3&amp;refID=7165440&amp;Result=3","7165440")</f>
        <v>0</v>
      </c>
      <c r="B13642" t="s">
        <v>586</v>
      </c>
      <c r="C13642" t="s">
        <v>16752</v>
      </c>
      <c r="E13642" t="s">
        <v>30615</v>
      </c>
      <c r="F13642" t="s">
        <v>32606</v>
      </c>
      <c r="G13642" t="s">
        <v>32613</v>
      </c>
      <c r="H13642" t="s">
        <v>32623</v>
      </c>
      <c r="I13642" t="s">
        <v>17648</v>
      </c>
      <c r="J13642" t="s">
        <v>41188</v>
      </c>
      <c r="K13642" t="s">
        <v>42712</v>
      </c>
      <c r="M13642" t="s">
        <v>43501</v>
      </c>
      <c r="N13642" t="s">
        <v>47304</v>
      </c>
      <c r="O13642" t="s">
        <v>47305</v>
      </c>
      <c r="P13642">
        <v>0</v>
      </c>
      <c r="Q13642">
        <v>3</v>
      </c>
      <c r="R13642" t="s">
        <v>47321</v>
      </c>
      <c r="S13642" t="s">
        <v>48071</v>
      </c>
      <c r="T13642" t="s">
        <v>48988</v>
      </c>
      <c r="U13642" t="s">
        <v>60818</v>
      </c>
      <c r="W13642" t="s">
        <v>43501</v>
      </c>
      <c r="X13642" t="s">
        <v>47322</v>
      </c>
    </row>
    <row r="13643" spans="1:24">
      <c r="A13643">
        <f>HYPERLINK("https://www.philgeps.gov.ph/GEPSNONPILOT/Tender/SplashBidNoticeAbstractUI.aspx?menuIndex=3&amp;refID=7165392&amp;Result=3","7165392")</f>
        <v>0</v>
      </c>
      <c r="B13643" t="s">
        <v>418</v>
      </c>
      <c r="C13643" t="s">
        <v>16753</v>
      </c>
      <c r="D13643" t="s">
        <v>19006</v>
      </c>
      <c r="E13643" t="s">
        <v>30616</v>
      </c>
      <c r="F13643" t="s">
        <v>32606</v>
      </c>
      <c r="G13643" t="s">
        <v>32613</v>
      </c>
      <c r="H13643" t="s">
        <v>14201</v>
      </c>
      <c r="I13643" t="s">
        <v>32633</v>
      </c>
      <c r="J13643" t="s">
        <v>41189</v>
      </c>
      <c r="K13643" t="s">
        <v>42631</v>
      </c>
      <c r="M13643" t="s">
        <v>43322</v>
      </c>
      <c r="N13643" t="s">
        <v>47304</v>
      </c>
      <c r="O13643" t="s">
        <v>47305</v>
      </c>
      <c r="P13643">
        <v>0</v>
      </c>
      <c r="Q13643">
        <v>2</v>
      </c>
      <c r="R13643" t="s">
        <v>47321</v>
      </c>
      <c r="S13643" t="s">
        <v>48071</v>
      </c>
      <c r="T13643" t="s">
        <v>48988</v>
      </c>
      <c r="U13643" t="s">
        <v>60819</v>
      </c>
      <c r="V13643" t="s">
        <v>63262</v>
      </c>
      <c r="W13643" t="s">
        <v>43322</v>
      </c>
      <c r="X13643" t="s">
        <v>47322</v>
      </c>
    </row>
    <row r="13644" spans="1:24">
      <c r="A13644">
        <f>HYPERLINK("https://www.philgeps.gov.ph/GEPSNONPILOT/Tender/SplashBidNoticeAbstractUI.aspx?menuIndex=3&amp;refID=7165385&amp;Result=3","7165385")</f>
        <v>0</v>
      </c>
      <c r="B13644" t="s">
        <v>3062</v>
      </c>
      <c r="C13644" t="s">
        <v>16754</v>
      </c>
      <c r="D13644" t="s">
        <v>19042</v>
      </c>
      <c r="E13644" t="s">
        <v>30617</v>
      </c>
      <c r="F13644" t="s">
        <v>32606</v>
      </c>
      <c r="G13644" t="s">
        <v>32613</v>
      </c>
      <c r="H13644" t="s">
        <v>32623</v>
      </c>
      <c r="I13644" t="s">
        <v>6931</v>
      </c>
      <c r="J13644" t="s">
        <v>41190</v>
      </c>
      <c r="K13644" t="s">
        <v>42623</v>
      </c>
      <c r="M13644" t="s">
        <v>46260</v>
      </c>
      <c r="N13644" t="s">
        <v>47304</v>
      </c>
      <c r="O13644" t="s">
        <v>47305</v>
      </c>
      <c r="P13644">
        <v>0</v>
      </c>
      <c r="Q13644">
        <v>0</v>
      </c>
      <c r="R13644" t="s">
        <v>47321</v>
      </c>
      <c r="S13644" t="s">
        <v>48071</v>
      </c>
      <c r="T13644" t="s">
        <v>49012</v>
      </c>
      <c r="U13644" t="s">
        <v>60820</v>
      </c>
      <c r="V13644" t="s">
        <v>63707</v>
      </c>
      <c r="W13644" t="s">
        <v>46260</v>
      </c>
      <c r="X13644" t="s">
        <v>47322</v>
      </c>
    </row>
    <row r="13645" spans="1:24">
      <c r="A13645">
        <f>HYPERLINK("https://www.philgeps.gov.ph/GEPSNONPILOT/Tender/SplashBidNoticeAbstractUI.aspx?menuIndex=3&amp;refID=7165430&amp;Result=3","7165430")</f>
        <v>0</v>
      </c>
      <c r="B13645" t="s">
        <v>1597</v>
      </c>
      <c r="C13645" t="s">
        <v>16755</v>
      </c>
      <c r="D13645" t="s">
        <v>19061</v>
      </c>
      <c r="E13645" t="s">
        <v>30618</v>
      </c>
      <c r="F13645" t="s">
        <v>32606</v>
      </c>
      <c r="G13645" t="s">
        <v>32613</v>
      </c>
      <c r="H13645" t="s">
        <v>14201</v>
      </c>
      <c r="I13645" t="s">
        <v>4678</v>
      </c>
      <c r="J13645" t="s">
        <v>38266</v>
      </c>
      <c r="K13645" t="s">
        <v>42631</v>
      </c>
      <c r="L13645" t="s">
        <v>1597</v>
      </c>
      <c r="M13645" t="s">
        <v>44612</v>
      </c>
      <c r="N13645" t="s">
        <v>47304</v>
      </c>
      <c r="O13645" t="s">
        <v>47305</v>
      </c>
      <c r="Q13645">
        <v>14</v>
      </c>
      <c r="R13645" t="s">
        <v>47321</v>
      </c>
      <c r="S13645" t="s">
        <v>48086</v>
      </c>
      <c r="T13645" t="s">
        <v>49284</v>
      </c>
      <c r="U13645" t="s">
        <v>53124</v>
      </c>
      <c r="V13645" t="s">
        <v>63062</v>
      </c>
      <c r="W13645" t="s">
        <v>44612</v>
      </c>
      <c r="X13645" t="s">
        <v>47322</v>
      </c>
    </row>
    <row r="13646" spans="1:24">
      <c r="A13646">
        <f>HYPERLINK("https://www.philgeps.gov.ph/GEPSNONPILOT/Tender/SplashBidNoticeAbstractUI.aspx?menuIndex=3&amp;refID=7165512&amp;Result=3","7165512")</f>
        <v>0</v>
      </c>
      <c r="B13646" t="s">
        <v>418</v>
      </c>
      <c r="C13646" t="s">
        <v>16756</v>
      </c>
      <c r="D13646" t="s">
        <v>19006</v>
      </c>
      <c r="E13646" t="s">
        <v>30619</v>
      </c>
      <c r="F13646" t="s">
        <v>32606</v>
      </c>
      <c r="G13646" t="s">
        <v>32613</v>
      </c>
      <c r="H13646" t="s">
        <v>32623</v>
      </c>
      <c r="I13646" t="s">
        <v>17648</v>
      </c>
      <c r="J13646" t="s">
        <v>32830</v>
      </c>
      <c r="K13646" t="s">
        <v>42631</v>
      </c>
      <c r="M13646" t="s">
        <v>43322</v>
      </c>
      <c r="N13646" t="s">
        <v>47304</v>
      </c>
      <c r="O13646" t="s">
        <v>47305</v>
      </c>
      <c r="P13646">
        <v>0</v>
      </c>
      <c r="Q13646">
        <v>0</v>
      </c>
      <c r="R13646" t="s">
        <v>47321</v>
      </c>
      <c r="S13646" t="s">
        <v>48071</v>
      </c>
      <c r="T13646" t="s">
        <v>49002</v>
      </c>
      <c r="U13646" t="s">
        <v>60821</v>
      </c>
      <c r="V13646" t="s">
        <v>63262</v>
      </c>
      <c r="W13646" t="s">
        <v>43322</v>
      </c>
      <c r="X13646" t="s">
        <v>47322</v>
      </c>
    </row>
    <row r="13647" spans="1:24">
      <c r="A13647">
        <f>HYPERLINK("https://www.philgeps.gov.ph/GEPSNONPILOT/Tender/SplashBidNoticeAbstractUI.aspx?menuIndex=3&amp;refID=7165330&amp;Result=3","7165330")</f>
        <v>0</v>
      </c>
      <c r="B13647" t="s">
        <v>1520</v>
      </c>
      <c r="C13647" t="s">
        <v>16757</v>
      </c>
      <c r="D13647" t="s">
        <v>18988</v>
      </c>
      <c r="E13647" t="s">
        <v>30620</v>
      </c>
      <c r="F13647" t="s">
        <v>32606</v>
      </c>
      <c r="G13647" t="s">
        <v>32613</v>
      </c>
      <c r="H13647" t="s">
        <v>14201</v>
      </c>
      <c r="I13647" t="s">
        <v>7064</v>
      </c>
      <c r="J13647" t="s">
        <v>41191</v>
      </c>
      <c r="K13647" t="s">
        <v>42639</v>
      </c>
      <c r="M13647" t="s">
        <v>46966</v>
      </c>
      <c r="N13647" t="s">
        <v>47304</v>
      </c>
      <c r="O13647" t="s">
        <v>47305</v>
      </c>
      <c r="P13647">
        <v>0</v>
      </c>
      <c r="Q13647">
        <v>2</v>
      </c>
      <c r="R13647" t="s">
        <v>47321</v>
      </c>
      <c r="S13647" t="s">
        <v>48071</v>
      </c>
      <c r="T13647" t="s">
        <v>48976</v>
      </c>
      <c r="U13647" t="s">
        <v>60822</v>
      </c>
      <c r="W13647" t="s">
        <v>46966</v>
      </c>
      <c r="X13647" t="s">
        <v>47322</v>
      </c>
    </row>
    <row r="13648" spans="1:24">
      <c r="A13648">
        <f>HYPERLINK("https://www.philgeps.gov.ph/GEPSNONPILOT/Tender/SplashBidNoticeAbstractUI.aspx?menuIndex=3&amp;refID=7165452&amp;Result=3","7165452")</f>
        <v>0</v>
      </c>
      <c r="B13648" t="s">
        <v>418</v>
      </c>
      <c r="C13648" t="s">
        <v>16758</v>
      </c>
      <c r="D13648" t="s">
        <v>19006</v>
      </c>
      <c r="E13648" t="s">
        <v>30621</v>
      </c>
      <c r="F13648" t="s">
        <v>32606</v>
      </c>
      <c r="G13648" t="s">
        <v>32613</v>
      </c>
      <c r="H13648" t="s">
        <v>32623</v>
      </c>
      <c r="I13648" t="s">
        <v>17648</v>
      </c>
      <c r="J13648" t="s">
        <v>34667</v>
      </c>
      <c r="K13648" t="s">
        <v>42636</v>
      </c>
      <c r="M13648" t="s">
        <v>43322</v>
      </c>
      <c r="N13648" t="s">
        <v>47304</v>
      </c>
      <c r="O13648" t="s">
        <v>47305</v>
      </c>
      <c r="P13648">
        <v>0</v>
      </c>
      <c r="Q13648">
        <v>0</v>
      </c>
      <c r="R13648" t="s">
        <v>47321</v>
      </c>
      <c r="S13648" t="s">
        <v>48071</v>
      </c>
      <c r="T13648" t="s">
        <v>49002</v>
      </c>
      <c r="U13648" t="s">
        <v>60823</v>
      </c>
      <c r="V13648" t="s">
        <v>63262</v>
      </c>
      <c r="W13648" t="s">
        <v>43322</v>
      </c>
      <c r="X13648" t="s">
        <v>47322</v>
      </c>
    </row>
    <row r="13649" spans="1:24">
      <c r="A13649">
        <f>HYPERLINK("https://www.philgeps.gov.ph/GEPSNONPILOT/Tender/SplashBidNoticeAbstractUI.aspx?menuIndex=3&amp;refID=7165504&amp;Result=3","7165504")</f>
        <v>0</v>
      </c>
      <c r="B13649" t="s">
        <v>1435</v>
      </c>
      <c r="C13649" t="s">
        <v>16759</v>
      </c>
      <c r="D13649" t="s">
        <v>19025</v>
      </c>
      <c r="E13649" t="s">
        <v>21695</v>
      </c>
      <c r="F13649" t="s">
        <v>32606</v>
      </c>
      <c r="G13649" t="s">
        <v>32613</v>
      </c>
      <c r="H13649" t="s">
        <v>14201</v>
      </c>
      <c r="I13649" t="s">
        <v>4121</v>
      </c>
      <c r="J13649" t="s">
        <v>32772</v>
      </c>
      <c r="K13649" t="s">
        <v>42624</v>
      </c>
      <c r="M13649" t="s">
        <v>44913</v>
      </c>
      <c r="N13649" t="s">
        <v>47304</v>
      </c>
      <c r="O13649" t="s">
        <v>47305</v>
      </c>
      <c r="P13649">
        <v>0</v>
      </c>
      <c r="Q13649">
        <v>12</v>
      </c>
      <c r="R13649" t="s">
        <v>47321</v>
      </c>
      <c r="S13649" t="s">
        <v>48071</v>
      </c>
      <c r="T13649" t="s">
        <v>48987</v>
      </c>
      <c r="U13649" t="s">
        <v>60824</v>
      </c>
      <c r="W13649" t="s">
        <v>44913</v>
      </c>
      <c r="X13649" t="s">
        <v>47322</v>
      </c>
    </row>
    <row r="13650" spans="1:24">
      <c r="A13650">
        <f>HYPERLINK("https://www.philgeps.gov.ph/GEPSNONPILOT/Tender/SplashBidNoticeAbstractUI.aspx?menuIndex=3&amp;refID=7165516&amp;Result=3","7165516")</f>
        <v>0</v>
      </c>
      <c r="B13650" t="s">
        <v>399</v>
      </c>
      <c r="C13650" t="s">
        <v>16760</v>
      </c>
      <c r="E13650" t="s">
        <v>30622</v>
      </c>
      <c r="F13650" t="s">
        <v>32606</v>
      </c>
      <c r="G13650" t="s">
        <v>32613</v>
      </c>
      <c r="H13650" t="s">
        <v>14201</v>
      </c>
      <c r="I13650" t="s">
        <v>4120</v>
      </c>
      <c r="J13650" t="s">
        <v>41192</v>
      </c>
      <c r="K13650" t="s">
        <v>42624</v>
      </c>
      <c r="M13650" t="s">
        <v>43302</v>
      </c>
      <c r="N13650" t="s">
        <v>47304</v>
      </c>
      <c r="O13650" t="s">
        <v>47305</v>
      </c>
      <c r="P13650">
        <v>0</v>
      </c>
      <c r="Q13650">
        <v>0</v>
      </c>
      <c r="R13650" t="s">
        <v>47321</v>
      </c>
      <c r="S13650" t="s">
        <v>48071</v>
      </c>
      <c r="T13650" t="s">
        <v>49011</v>
      </c>
      <c r="U13650" t="s">
        <v>60825</v>
      </c>
      <c r="W13650" t="s">
        <v>43302</v>
      </c>
      <c r="X13650" t="s">
        <v>47322</v>
      </c>
    </row>
    <row r="13651" spans="1:24">
      <c r="A13651">
        <f>HYPERLINK("https://www.philgeps.gov.ph/GEPSNONPILOT/Tender/SplashBidNoticeAbstractUI.aspx?menuIndex=3&amp;refID=7165503&amp;Result=3","7165503")</f>
        <v>0</v>
      </c>
      <c r="B13651" t="s">
        <v>399</v>
      </c>
      <c r="C13651" t="s">
        <v>16761</v>
      </c>
      <c r="E13651" t="s">
        <v>30623</v>
      </c>
      <c r="F13651" t="s">
        <v>32606</v>
      </c>
      <c r="G13651" t="s">
        <v>32613</v>
      </c>
      <c r="H13651" t="s">
        <v>14201</v>
      </c>
      <c r="I13651" t="s">
        <v>4120</v>
      </c>
      <c r="J13651" t="s">
        <v>41193</v>
      </c>
      <c r="K13651" t="s">
        <v>42624</v>
      </c>
      <c r="M13651" t="s">
        <v>43302</v>
      </c>
      <c r="N13651" t="s">
        <v>47304</v>
      </c>
      <c r="O13651" t="s">
        <v>47305</v>
      </c>
      <c r="P13651">
        <v>0</v>
      </c>
      <c r="Q13651">
        <v>0</v>
      </c>
      <c r="R13651" t="s">
        <v>47321</v>
      </c>
      <c r="S13651" t="s">
        <v>48071</v>
      </c>
      <c r="T13651" t="s">
        <v>49023</v>
      </c>
      <c r="U13651" t="s">
        <v>60826</v>
      </c>
      <c r="W13651" t="s">
        <v>43302</v>
      </c>
      <c r="X13651" t="s">
        <v>47322</v>
      </c>
    </row>
    <row r="13652" spans="1:24">
      <c r="A13652">
        <f>HYPERLINK("https://www.philgeps.gov.ph/GEPSNONPILOT/Tender/SplashBidNoticeAbstractUI.aspx?menuIndex=3&amp;refID=7165471&amp;Result=3","7165471")</f>
        <v>0</v>
      </c>
      <c r="B13652" t="s">
        <v>586</v>
      </c>
      <c r="C13652" t="s">
        <v>16762</v>
      </c>
      <c r="E13652" t="s">
        <v>30624</v>
      </c>
      <c r="F13652" t="s">
        <v>32606</v>
      </c>
      <c r="G13652" t="s">
        <v>32613</v>
      </c>
      <c r="H13652" t="s">
        <v>32623</v>
      </c>
      <c r="I13652" t="s">
        <v>17648</v>
      </c>
      <c r="J13652" t="s">
        <v>41194</v>
      </c>
      <c r="K13652" t="s">
        <v>42645</v>
      </c>
      <c r="M13652" t="s">
        <v>43501</v>
      </c>
      <c r="N13652" t="s">
        <v>47304</v>
      </c>
      <c r="O13652" t="s">
        <v>47305</v>
      </c>
      <c r="P13652">
        <v>0</v>
      </c>
      <c r="Q13652">
        <v>4</v>
      </c>
      <c r="R13652" t="s">
        <v>47321</v>
      </c>
      <c r="S13652" t="s">
        <v>48071</v>
      </c>
      <c r="T13652" t="s">
        <v>48988</v>
      </c>
      <c r="U13652" t="s">
        <v>60827</v>
      </c>
      <c r="W13652" t="s">
        <v>43501</v>
      </c>
      <c r="X13652" t="s">
        <v>47322</v>
      </c>
    </row>
    <row r="13653" spans="1:24">
      <c r="A13653">
        <f>HYPERLINK("https://www.philgeps.gov.ph/GEPSNONPILOT/Tender/SplashBidNoticeAbstractUI.aspx?menuIndex=3&amp;refID=7165366&amp;Result=3","7165366")</f>
        <v>0</v>
      </c>
      <c r="B13653" t="s">
        <v>586</v>
      </c>
      <c r="C13653" t="s">
        <v>16763</v>
      </c>
      <c r="E13653" t="s">
        <v>30625</v>
      </c>
      <c r="F13653" t="s">
        <v>32606</v>
      </c>
      <c r="G13653" t="s">
        <v>32613</v>
      </c>
      <c r="H13653" t="s">
        <v>32623</v>
      </c>
      <c r="I13653" t="s">
        <v>17648</v>
      </c>
      <c r="J13653" t="s">
        <v>41195</v>
      </c>
      <c r="K13653" t="s">
        <v>42718</v>
      </c>
      <c r="M13653" t="s">
        <v>43501</v>
      </c>
      <c r="N13653" t="s">
        <v>47304</v>
      </c>
      <c r="O13653" t="s">
        <v>47305</v>
      </c>
      <c r="P13653">
        <v>0</v>
      </c>
      <c r="Q13653">
        <v>1</v>
      </c>
      <c r="R13653" t="s">
        <v>47321</v>
      </c>
      <c r="S13653" t="s">
        <v>48071</v>
      </c>
      <c r="T13653" t="s">
        <v>48988</v>
      </c>
      <c r="U13653" t="s">
        <v>60828</v>
      </c>
      <c r="W13653" t="s">
        <v>43501</v>
      </c>
      <c r="X13653" t="s">
        <v>47322</v>
      </c>
    </row>
    <row r="13654" spans="1:24">
      <c r="A13654">
        <f>HYPERLINK("https://www.philgeps.gov.ph/GEPSNONPILOT/Tender/SplashBidNoticeAbstractUI.aspx?menuIndex=3&amp;refID=7165383&amp;Result=3","7165383")</f>
        <v>0</v>
      </c>
      <c r="B13654" t="s">
        <v>575</v>
      </c>
      <c r="C13654" t="s">
        <v>16764</v>
      </c>
      <c r="D13654" t="s">
        <v>19036</v>
      </c>
      <c r="E13654" t="s">
        <v>30626</v>
      </c>
      <c r="F13654" t="s">
        <v>32606</v>
      </c>
      <c r="G13654" t="s">
        <v>32613</v>
      </c>
      <c r="H13654" t="s">
        <v>14201</v>
      </c>
      <c r="I13654" t="s">
        <v>6298</v>
      </c>
      <c r="J13654" t="s">
        <v>41196</v>
      </c>
      <c r="K13654" t="s">
        <v>42631</v>
      </c>
      <c r="M13654" t="s">
        <v>44035</v>
      </c>
      <c r="N13654" t="s">
        <v>47304</v>
      </c>
      <c r="O13654" t="s">
        <v>47305</v>
      </c>
      <c r="P13654">
        <v>0</v>
      </c>
      <c r="Q13654">
        <v>4</v>
      </c>
      <c r="R13654" t="s">
        <v>47321</v>
      </c>
      <c r="S13654" t="s">
        <v>48071</v>
      </c>
      <c r="T13654" t="s">
        <v>49028</v>
      </c>
      <c r="U13654" t="s">
        <v>60829</v>
      </c>
      <c r="W13654" t="s">
        <v>44035</v>
      </c>
      <c r="X13654" t="s">
        <v>47322</v>
      </c>
    </row>
    <row r="13655" spans="1:24">
      <c r="A13655">
        <f>HYPERLINK("https://www.philgeps.gov.ph/GEPSNONPILOT/Tender/SplashBidNoticeAbstractUI.aspx?menuIndex=3&amp;refID=7165354&amp;Result=3","7165354")</f>
        <v>0</v>
      </c>
      <c r="B13655" t="s">
        <v>232</v>
      </c>
      <c r="C13655" t="s">
        <v>16765</v>
      </c>
      <c r="D13655" t="s">
        <v>19017</v>
      </c>
      <c r="E13655" t="s">
        <v>30627</v>
      </c>
      <c r="F13655" t="s">
        <v>32606</v>
      </c>
      <c r="G13655" t="s">
        <v>32613</v>
      </c>
      <c r="H13655" t="s">
        <v>32623</v>
      </c>
      <c r="I13655" t="s">
        <v>17648</v>
      </c>
      <c r="J13655" t="s">
        <v>33071</v>
      </c>
      <c r="K13655" t="s">
        <v>42672</v>
      </c>
      <c r="M13655" t="s">
        <v>43133</v>
      </c>
      <c r="N13655" t="s">
        <v>47304</v>
      </c>
      <c r="O13655" t="s">
        <v>47305</v>
      </c>
      <c r="P13655">
        <v>0</v>
      </c>
      <c r="Q13655">
        <v>0</v>
      </c>
      <c r="R13655" t="s">
        <v>47321</v>
      </c>
      <c r="S13655" t="s">
        <v>48071</v>
      </c>
      <c r="T13655" t="s">
        <v>49023</v>
      </c>
      <c r="U13655" t="s">
        <v>60830</v>
      </c>
      <c r="W13655" t="s">
        <v>43133</v>
      </c>
      <c r="X13655" t="s">
        <v>47322</v>
      </c>
    </row>
    <row r="13656" spans="1:24">
      <c r="A13656">
        <f>HYPERLINK("https://www.philgeps.gov.ph/GEPSNONPILOT/Tender/SplashBidNoticeAbstractUI.aspx?menuIndex=3&amp;refID=7165541&amp;Result=3","7165541")</f>
        <v>0</v>
      </c>
      <c r="B13656" t="s">
        <v>3663</v>
      </c>
      <c r="C13656" t="s">
        <v>16766</v>
      </c>
      <c r="D13656" t="s">
        <v>19006</v>
      </c>
      <c r="E13656" t="s">
        <v>30628</v>
      </c>
      <c r="F13656" t="s">
        <v>32607</v>
      </c>
      <c r="G13656" t="s">
        <v>32613</v>
      </c>
      <c r="H13656" t="s">
        <v>14201</v>
      </c>
      <c r="I13656" t="s">
        <v>6931</v>
      </c>
      <c r="J13656" t="s">
        <v>41197</v>
      </c>
      <c r="K13656" t="s">
        <v>42622</v>
      </c>
      <c r="M13656" t="s">
        <v>46967</v>
      </c>
      <c r="N13656" t="s">
        <v>47304</v>
      </c>
      <c r="O13656" t="s">
        <v>47305</v>
      </c>
      <c r="P13656">
        <v>0</v>
      </c>
      <c r="Q13656">
        <v>0</v>
      </c>
      <c r="R13656" t="s">
        <v>47321</v>
      </c>
      <c r="S13656" t="s">
        <v>48071</v>
      </c>
      <c r="T13656" t="s">
        <v>49015</v>
      </c>
      <c r="U13656" t="s">
        <v>60831</v>
      </c>
      <c r="V13656" t="s">
        <v>58632</v>
      </c>
      <c r="W13656" t="s">
        <v>46967</v>
      </c>
      <c r="X13656" t="s">
        <v>47322</v>
      </c>
    </row>
    <row r="13657" spans="1:24">
      <c r="A13657">
        <f>HYPERLINK("https://www.philgeps.gov.ph/GEPSNONPILOT/Tender/SplashBidNoticeAbstractUI.aspx?menuIndex=3&amp;refID=7165489&amp;Result=3","7165489")</f>
        <v>0</v>
      </c>
      <c r="B13657" t="s">
        <v>2226</v>
      </c>
      <c r="C13657" t="s">
        <v>16767</v>
      </c>
      <c r="D13657" t="s">
        <v>19058</v>
      </c>
      <c r="E13657" t="s">
        <v>30629</v>
      </c>
      <c r="F13657" t="s">
        <v>32606</v>
      </c>
      <c r="G13657" t="s">
        <v>32613</v>
      </c>
      <c r="H13657" t="s">
        <v>32623</v>
      </c>
      <c r="I13657" t="s">
        <v>17648</v>
      </c>
      <c r="J13657" t="s">
        <v>32772</v>
      </c>
      <c r="K13657" t="s">
        <v>42639</v>
      </c>
      <c r="M13657" t="s">
        <v>45330</v>
      </c>
      <c r="N13657" t="s">
        <v>47304</v>
      </c>
      <c r="O13657" t="s">
        <v>47305</v>
      </c>
      <c r="P13657">
        <v>0</v>
      </c>
      <c r="Q13657">
        <v>0</v>
      </c>
      <c r="R13657" t="s">
        <v>47321</v>
      </c>
      <c r="S13657" t="s">
        <v>48071</v>
      </c>
      <c r="T13657" t="s">
        <v>49268</v>
      </c>
      <c r="U13657" t="s">
        <v>51703</v>
      </c>
      <c r="W13657" t="s">
        <v>45330</v>
      </c>
      <c r="X13657" t="s">
        <v>47322</v>
      </c>
    </row>
    <row r="13658" spans="1:24">
      <c r="A13658">
        <f>HYPERLINK("https://www.philgeps.gov.ph/GEPSNONPILOT/Tender/SplashBidNoticeAbstractUI.aspx?menuIndex=3&amp;refID=7165637&amp;Result=3","7165637")</f>
        <v>0</v>
      </c>
      <c r="B13658" t="s">
        <v>64</v>
      </c>
      <c r="C13658" t="s">
        <v>16768</v>
      </c>
      <c r="D13658" t="s">
        <v>19004</v>
      </c>
      <c r="E13658" t="s">
        <v>30630</v>
      </c>
      <c r="F13658" t="s">
        <v>32606</v>
      </c>
      <c r="G13658" t="s">
        <v>32613</v>
      </c>
      <c r="H13658" t="s">
        <v>32623</v>
      </c>
      <c r="I13658" t="s">
        <v>17648</v>
      </c>
      <c r="J13658" t="s">
        <v>41198</v>
      </c>
      <c r="K13658" t="s">
        <v>42636</v>
      </c>
      <c r="M13658" t="s">
        <v>46968</v>
      </c>
      <c r="N13658" t="s">
        <v>47304</v>
      </c>
      <c r="O13658" t="s">
        <v>47305</v>
      </c>
      <c r="P13658">
        <v>0</v>
      </c>
      <c r="Q13658">
        <v>1</v>
      </c>
      <c r="R13658" t="s">
        <v>47321</v>
      </c>
      <c r="S13658" t="s">
        <v>48071</v>
      </c>
      <c r="T13658" t="s">
        <v>48996</v>
      </c>
      <c r="U13658" t="s">
        <v>60832</v>
      </c>
      <c r="W13658" t="s">
        <v>64420</v>
      </c>
      <c r="X13658" t="s">
        <v>47322</v>
      </c>
    </row>
    <row r="13659" spans="1:24">
      <c r="A13659">
        <f>HYPERLINK("https://www.philgeps.gov.ph/GEPSNONPILOT/Tender/SplashBidNoticeAbstractUI.aspx?menuIndex=3&amp;refID=7165656&amp;Result=3","7165656")</f>
        <v>0</v>
      </c>
      <c r="B13659" t="s">
        <v>1597</v>
      </c>
      <c r="C13659" t="s">
        <v>16769</v>
      </c>
      <c r="D13659" t="s">
        <v>19061</v>
      </c>
      <c r="E13659" t="s">
        <v>30631</v>
      </c>
      <c r="F13659" t="s">
        <v>32606</v>
      </c>
      <c r="G13659" t="s">
        <v>32613</v>
      </c>
      <c r="H13659" t="s">
        <v>14201</v>
      </c>
      <c r="I13659" t="s">
        <v>32640</v>
      </c>
      <c r="J13659" t="s">
        <v>41199</v>
      </c>
      <c r="K13659" t="s">
        <v>42631</v>
      </c>
      <c r="L13659" t="s">
        <v>1597</v>
      </c>
      <c r="M13659" t="s">
        <v>44612</v>
      </c>
      <c r="N13659" t="s">
        <v>47304</v>
      </c>
      <c r="O13659" t="s">
        <v>47305</v>
      </c>
      <c r="Q13659">
        <v>12</v>
      </c>
      <c r="R13659" t="s">
        <v>47321</v>
      </c>
      <c r="S13659" t="s">
        <v>48087</v>
      </c>
      <c r="T13659" t="s">
        <v>48986</v>
      </c>
      <c r="U13659" t="s">
        <v>53124</v>
      </c>
      <c r="V13659" t="s">
        <v>63062</v>
      </c>
      <c r="W13659" t="s">
        <v>44612</v>
      </c>
      <c r="X13659" t="s">
        <v>47322</v>
      </c>
    </row>
    <row r="13660" spans="1:24">
      <c r="A13660">
        <f>HYPERLINK("https://www.philgeps.gov.ph/GEPSNONPILOT/Tender/SplashBidNoticeAbstractUI.aspx?menuIndex=3&amp;refID=7165685&amp;Result=3","7165685")</f>
        <v>0</v>
      </c>
      <c r="B13660" t="s">
        <v>3664</v>
      </c>
      <c r="C13660" t="s">
        <v>16770</v>
      </c>
      <c r="D13660" t="s">
        <v>19031</v>
      </c>
      <c r="E13660" t="s">
        <v>24941</v>
      </c>
      <c r="F13660" t="s">
        <v>32606</v>
      </c>
      <c r="G13660" t="s">
        <v>32613</v>
      </c>
      <c r="H13660" t="s">
        <v>32623</v>
      </c>
      <c r="I13660" t="s">
        <v>17648</v>
      </c>
      <c r="J13660" t="s">
        <v>32765</v>
      </c>
      <c r="K13660" t="s">
        <v>42639</v>
      </c>
      <c r="M13660" t="s">
        <v>46969</v>
      </c>
      <c r="N13660" t="s">
        <v>47304</v>
      </c>
      <c r="O13660" t="s">
        <v>47305</v>
      </c>
      <c r="P13660">
        <v>0</v>
      </c>
      <c r="Q13660">
        <v>0</v>
      </c>
      <c r="R13660" t="s">
        <v>47321</v>
      </c>
      <c r="S13660" t="s">
        <v>48071</v>
      </c>
      <c r="T13660" t="s">
        <v>49170</v>
      </c>
      <c r="U13660" t="s">
        <v>60833</v>
      </c>
      <c r="V13660" t="s">
        <v>64117</v>
      </c>
      <c r="W13660" t="s">
        <v>46969</v>
      </c>
      <c r="X13660" t="s">
        <v>47322</v>
      </c>
    </row>
    <row r="13661" spans="1:24">
      <c r="A13661">
        <f>HYPERLINK("https://www.philgeps.gov.ph/GEPSNONPILOT/Tender/SplashBidNoticeAbstractUI.aspx?menuIndex=3&amp;refID=7165644&amp;Result=3","7165644")</f>
        <v>0</v>
      </c>
      <c r="B13661" t="s">
        <v>343</v>
      </c>
      <c r="C13661" t="s">
        <v>16771</v>
      </c>
      <c r="D13661" t="s">
        <v>18993</v>
      </c>
      <c r="E13661" t="s">
        <v>30632</v>
      </c>
      <c r="F13661" t="s">
        <v>32606</v>
      </c>
      <c r="G13661" t="s">
        <v>32613</v>
      </c>
      <c r="H13661" t="s">
        <v>14201</v>
      </c>
      <c r="I13661" t="s">
        <v>32729</v>
      </c>
      <c r="J13661" t="s">
        <v>41200</v>
      </c>
      <c r="K13661" t="s">
        <v>42624</v>
      </c>
      <c r="M13661" t="s">
        <v>43833</v>
      </c>
      <c r="N13661" t="s">
        <v>47304</v>
      </c>
      <c r="O13661" t="s">
        <v>47305</v>
      </c>
      <c r="P13661">
        <v>0</v>
      </c>
      <c r="Q13661">
        <v>0</v>
      </c>
      <c r="R13661" t="s">
        <v>47321</v>
      </c>
      <c r="S13661" t="s">
        <v>48071</v>
      </c>
      <c r="T13661" t="s">
        <v>49023</v>
      </c>
      <c r="U13661" t="s">
        <v>60834</v>
      </c>
      <c r="V13661" t="s">
        <v>62856</v>
      </c>
      <c r="W13661" t="s">
        <v>43833</v>
      </c>
      <c r="X13661" t="s">
        <v>47322</v>
      </c>
    </row>
    <row r="13662" spans="1:24">
      <c r="A13662">
        <f>HYPERLINK("https://www.philgeps.gov.ph/GEPSNONPILOT/Tender/SplashBidNoticeAbstractUI.aspx?menuIndex=3&amp;refID=7165507&amp;Result=3","7165507")</f>
        <v>0</v>
      </c>
      <c r="B13662" t="s">
        <v>64</v>
      </c>
      <c r="C13662" t="s">
        <v>16772</v>
      </c>
      <c r="D13662" t="s">
        <v>19004</v>
      </c>
      <c r="E13662" t="s">
        <v>30633</v>
      </c>
      <c r="F13662" t="s">
        <v>32606</v>
      </c>
      <c r="G13662" t="s">
        <v>32613</v>
      </c>
      <c r="H13662" t="s">
        <v>32623</v>
      </c>
      <c r="I13662" t="s">
        <v>17648</v>
      </c>
      <c r="J13662" t="s">
        <v>41201</v>
      </c>
      <c r="K13662" t="s">
        <v>42629</v>
      </c>
      <c r="M13662" t="s">
        <v>46968</v>
      </c>
      <c r="N13662" t="s">
        <v>47304</v>
      </c>
      <c r="O13662" t="s">
        <v>47305</v>
      </c>
      <c r="P13662">
        <v>0</v>
      </c>
      <c r="Q13662">
        <v>0</v>
      </c>
      <c r="R13662" t="s">
        <v>47321</v>
      </c>
      <c r="S13662" t="s">
        <v>48071</v>
      </c>
      <c r="T13662" t="s">
        <v>48996</v>
      </c>
      <c r="U13662" t="s">
        <v>60835</v>
      </c>
      <c r="W13662" t="s">
        <v>64420</v>
      </c>
      <c r="X13662" t="s">
        <v>47322</v>
      </c>
    </row>
    <row r="13663" spans="1:24">
      <c r="A13663">
        <f>HYPERLINK("https://www.philgeps.gov.ph/GEPSNONPILOT/Tender/SplashBidNoticeAbstractUI.aspx?menuIndex=3&amp;refID=7165643&amp;Result=3","7165643")</f>
        <v>0</v>
      </c>
      <c r="B13663" t="s">
        <v>3537</v>
      </c>
      <c r="C13663" t="s">
        <v>16773</v>
      </c>
      <c r="D13663" t="s">
        <v>19006</v>
      </c>
      <c r="E13663" t="s">
        <v>30634</v>
      </c>
      <c r="F13663" t="s">
        <v>32606</v>
      </c>
      <c r="G13663" t="s">
        <v>32613</v>
      </c>
      <c r="H13663" t="s">
        <v>32623</v>
      </c>
      <c r="I13663" t="s">
        <v>17648</v>
      </c>
      <c r="J13663" t="s">
        <v>41202</v>
      </c>
      <c r="K13663" t="s">
        <v>42648</v>
      </c>
      <c r="M13663" t="s">
        <v>46813</v>
      </c>
      <c r="N13663" t="s">
        <v>47304</v>
      </c>
      <c r="O13663" t="s">
        <v>47305</v>
      </c>
      <c r="P13663">
        <v>0</v>
      </c>
      <c r="Q13663">
        <v>0</v>
      </c>
      <c r="R13663" t="s">
        <v>47321</v>
      </c>
      <c r="S13663" t="s">
        <v>48071</v>
      </c>
      <c r="T13663" t="s">
        <v>48986</v>
      </c>
      <c r="U13663" t="s">
        <v>60836</v>
      </c>
      <c r="V13663" t="s">
        <v>64118</v>
      </c>
      <c r="W13663" t="s">
        <v>64542</v>
      </c>
      <c r="X13663" t="s">
        <v>47322</v>
      </c>
    </row>
    <row r="13664" spans="1:24">
      <c r="A13664">
        <f>HYPERLINK("https://www.philgeps.gov.ph/GEPSNONPILOT/Tender/SplashBidNoticeAbstractUI.aspx?menuIndex=3&amp;refID=7165642&amp;Result=3","7165642")</f>
        <v>0</v>
      </c>
      <c r="B13664" t="s">
        <v>3665</v>
      </c>
      <c r="C13664" t="s">
        <v>16774</v>
      </c>
      <c r="D13664" t="s">
        <v>19028</v>
      </c>
      <c r="E13664" t="s">
        <v>30635</v>
      </c>
      <c r="F13664" t="s">
        <v>32606</v>
      </c>
      <c r="G13664" t="s">
        <v>32613</v>
      </c>
      <c r="H13664" t="s">
        <v>14201</v>
      </c>
      <c r="I13664" t="s">
        <v>4678</v>
      </c>
      <c r="J13664" t="s">
        <v>32830</v>
      </c>
      <c r="K13664" t="s">
        <v>42630</v>
      </c>
      <c r="M13664" t="s">
        <v>46970</v>
      </c>
      <c r="N13664" t="s">
        <v>47304</v>
      </c>
      <c r="O13664" t="s">
        <v>47305</v>
      </c>
      <c r="P13664">
        <v>0</v>
      </c>
      <c r="Q13664">
        <v>6</v>
      </c>
      <c r="R13664" t="s">
        <v>47321</v>
      </c>
      <c r="S13664" t="s">
        <v>48071</v>
      </c>
      <c r="T13664" t="s">
        <v>49200</v>
      </c>
      <c r="U13664" t="s">
        <v>60837</v>
      </c>
      <c r="W13664" t="s">
        <v>46970</v>
      </c>
      <c r="X13664" t="s">
        <v>47322</v>
      </c>
    </row>
    <row r="13665" spans="1:24">
      <c r="A13665">
        <f>HYPERLINK("https://www.philgeps.gov.ph/GEPSNONPILOT/Tender/SplashBidNoticeAbstractUI.aspx?menuIndex=3&amp;refID=7165635&amp;Result=3","7165635")</f>
        <v>0</v>
      </c>
      <c r="B13665" t="s">
        <v>586</v>
      </c>
      <c r="C13665" t="s">
        <v>16775</v>
      </c>
      <c r="E13665" t="s">
        <v>30636</v>
      </c>
      <c r="F13665" t="s">
        <v>32606</v>
      </c>
      <c r="G13665" t="s">
        <v>32613</v>
      </c>
      <c r="H13665" t="s">
        <v>32623</v>
      </c>
      <c r="I13665" t="s">
        <v>17648</v>
      </c>
      <c r="J13665" t="s">
        <v>41203</v>
      </c>
      <c r="K13665" t="s">
        <v>42636</v>
      </c>
      <c r="M13665" t="s">
        <v>43501</v>
      </c>
      <c r="N13665" t="s">
        <v>47304</v>
      </c>
      <c r="O13665" t="s">
        <v>47305</v>
      </c>
      <c r="Q13665">
        <v>0</v>
      </c>
      <c r="R13665" t="s">
        <v>47321</v>
      </c>
      <c r="S13665" t="s">
        <v>48088</v>
      </c>
      <c r="T13665" t="s">
        <v>48988</v>
      </c>
      <c r="U13665" t="s">
        <v>60838</v>
      </c>
      <c r="W13665" t="s">
        <v>43501</v>
      </c>
      <c r="X13665" t="s">
        <v>47322</v>
      </c>
    </row>
    <row r="13666" spans="1:24">
      <c r="A13666">
        <f>HYPERLINK("https://www.philgeps.gov.ph/GEPSNONPILOT/Tender/SplashBidNoticeAbstractUI.aspx?menuIndex=3&amp;refID=7165615&amp;Result=3","7165615")</f>
        <v>0</v>
      </c>
      <c r="B13666" t="s">
        <v>3666</v>
      </c>
      <c r="C13666" t="s">
        <v>16776</v>
      </c>
      <c r="D13666" t="s">
        <v>19036</v>
      </c>
      <c r="E13666" t="s">
        <v>30637</v>
      </c>
      <c r="F13666" t="s">
        <v>32606</v>
      </c>
      <c r="G13666" t="s">
        <v>32613</v>
      </c>
      <c r="H13666" t="s">
        <v>32623</v>
      </c>
      <c r="I13666" t="s">
        <v>17648</v>
      </c>
      <c r="J13666" t="s">
        <v>33757</v>
      </c>
      <c r="K13666" t="s">
        <v>42636</v>
      </c>
      <c r="M13666" t="s">
        <v>46971</v>
      </c>
      <c r="N13666" t="s">
        <v>47304</v>
      </c>
      <c r="O13666" t="s">
        <v>47305</v>
      </c>
      <c r="P13666">
        <v>0</v>
      </c>
      <c r="Q13666">
        <v>0</v>
      </c>
      <c r="R13666" t="s">
        <v>47321</v>
      </c>
      <c r="S13666" t="s">
        <v>48071</v>
      </c>
      <c r="T13666" t="s">
        <v>48989</v>
      </c>
      <c r="U13666" t="s">
        <v>60839</v>
      </c>
      <c r="W13666" t="s">
        <v>46971</v>
      </c>
      <c r="X13666" t="s">
        <v>47322</v>
      </c>
    </row>
    <row r="13667" spans="1:24">
      <c r="A13667">
        <f>HYPERLINK("https://www.philgeps.gov.ph/GEPSNONPILOT/Tender/SplashBidNoticeAbstractUI.aspx?menuIndex=3&amp;refID=7165638&amp;Result=3","7165638")</f>
        <v>0</v>
      </c>
      <c r="B13667" t="s">
        <v>1435</v>
      </c>
      <c r="C13667" t="s">
        <v>16777</v>
      </c>
      <c r="D13667" t="s">
        <v>19025</v>
      </c>
      <c r="E13667" t="s">
        <v>30638</v>
      </c>
      <c r="F13667" t="s">
        <v>32606</v>
      </c>
      <c r="G13667" t="s">
        <v>32613</v>
      </c>
      <c r="H13667" t="s">
        <v>14201</v>
      </c>
      <c r="I13667" t="s">
        <v>7064</v>
      </c>
      <c r="J13667" t="s">
        <v>34557</v>
      </c>
      <c r="K13667" t="s">
        <v>42624</v>
      </c>
      <c r="M13667" t="s">
        <v>44913</v>
      </c>
      <c r="N13667" t="s">
        <v>47304</v>
      </c>
      <c r="O13667" t="s">
        <v>47305</v>
      </c>
      <c r="P13667">
        <v>0</v>
      </c>
      <c r="Q13667">
        <v>6</v>
      </c>
      <c r="R13667" t="s">
        <v>47321</v>
      </c>
      <c r="S13667" t="s">
        <v>48071</v>
      </c>
      <c r="T13667" t="s">
        <v>48987</v>
      </c>
      <c r="U13667" t="s">
        <v>60840</v>
      </c>
      <c r="W13667" t="s">
        <v>44913</v>
      </c>
      <c r="X13667" t="s">
        <v>47322</v>
      </c>
    </row>
    <row r="13668" spans="1:24">
      <c r="A13668">
        <f>HYPERLINK("https://www.philgeps.gov.ph/GEPSNONPILOT/Tender/SplashBidNoticeAbstractUI.aspx?menuIndex=3&amp;refID=7165612&amp;Result=3","7165612")</f>
        <v>0</v>
      </c>
      <c r="B13668" t="s">
        <v>2146</v>
      </c>
      <c r="C13668" t="s">
        <v>16778</v>
      </c>
      <c r="D13668" t="s">
        <v>19019</v>
      </c>
      <c r="E13668" t="s">
        <v>30639</v>
      </c>
      <c r="F13668" t="s">
        <v>32606</v>
      </c>
      <c r="G13668" t="s">
        <v>32613</v>
      </c>
      <c r="H13668" t="s">
        <v>14201</v>
      </c>
      <c r="I13668" t="s">
        <v>7064</v>
      </c>
      <c r="J13668" t="s">
        <v>41204</v>
      </c>
      <c r="K13668" t="s">
        <v>42631</v>
      </c>
      <c r="M13668" t="s">
        <v>45236</v>
      </c>
      <c r="N13668" t="s">
        <v>47304</v>
      </c>
      <c r="O13668" t="s">
        <v>47305</v>
      </c>
      <c r="P13668">
        <v>0</v>
      </c>
      <c r="Q13668">
        <v>16</v>
      </c>
      <c r="R13668" t="s">
        <v>47321</v>
      </c>
      <c r="S13668" t="s">
        <v>48071</v>
      </c>
      <c r="T13668" t="s">
        <v>48971</v>
      </c>
      <c r="U13668" t="s">
        <v>60841</v>
      </c>
      <c r="W13668" t="s">
        <v>45236</v>
      </c>
      <c r="X13668" t="s">
        <v>47322</v>
      </c>
    </row>
    <row r="13669" spans="1:24">
      <c r="A13669">
        <f>HYPERLINK("https://www.philgeps.gov.ph/GEPSNONPILOT/Tender/SplashBidNoticeAbstractUI.aspx?menuIndex=3&amp;refID=7165611&amp;Result=3","7165611")</f>
        <v>0</v>
      </c>
      <c r="B13669" t="s">
        <v>2744</v>
      </c>
      <c r="C13669" t="s">
        <v>16779</v>
      </c>
      <c r="D13669" t="s">
        <v>18987</v>
      </c>
      <c r="E13669" t="s">
        <v>30640</v>
      </c>
      <c r="F13669" t="s">
        <v>32606</v>
      </c>
      <c r="G13669" t="s">
        <v>32613</v>
      </c>
      <c r="H13669" t="s">
        <v>14201</v>
      </c>
      <c r="I13669" t="s">
        <v>32650</v>
      </c>
      <c r="J13669" t="s">
        <v>37227</v>
      </c>
      <c r="K13669" t="s">
        <v>42631</v>
      </c>
      <c r="M13669" t="s">
        <v>45900</v>
      </c>
      <c r="N13669" t="s">
        <v>47304</v>
      </c>
      <c r="O13669" t="s">
        <v>47305</v>
      </c>
      <c r="P13669">
        <v>0</v>
      </c>
      <c r="Q13669">
        <v>1</v>
      </c>
      <c r="R13669" t="s">
        <v>47321</v>
      </c>
      <c r="S13669" t="s">
        <v>48071</v>
      </c>
      <c r="T13669" t="s">
        <v>49017</v>
      </c>
      <c r="U13669" t="s">
        <v>60842</v>
      </c>
      <c r="V13669" t="s">
        <v>64119</v>
      </c>
      <c r="W13669" t="s">
        <v>45900</v>
      </c>
      <c r="X13669" t="s">
        <v>47322</v>
      </c>
    </row>
    <row r="13670" spans="1:24">
      <c r="A13670">
        <f>HYPERLINK("https://www.philgeps.gov.ph/GEPSNONPILOT/Tender/SplashBidNoticeAbstractUI.aspx?menuIndex=3&amp;refID=7165610&amp;Result=3","7165610")</f>
        <v>0</v>
      </c>
      <c r="B13670" t="s">
        <v>64</v>
      </c>
      <c r="C13670" t="s">
        <v>16780</v>
      </c>
      <c r="D13670" t="s">
        <v>19004</v>
      </c>
      <c r="E13670" t="s">
        <v>30641</v>
      </c>
      <c r="F13670" t="s">
        <v>32606</v>
      </c>
      <c r="G13670" t="s">
        <v>32613</v>
      </c>
      <c r="H13670" t="s">
        <v>32623</v>
      </c>
      <c r="I13670" t="s">
        <v>17648</v>
      </c>
      <c r="J13670" t="s">
        <v>41205</v>
      </c>
      <c r="K13670" t="s">
        <v>42631</v>
      </c>
      <c r="M13670" t="s">
        <v>46968</v>
      </c>
      <c r="N13670" t="s">
        <v>47304</v>
      </c>
      <c r="O13670" t="s">
        <v>47305</v>
      </c>
      <c r="P13670">
        <v>0</v>
      </c>
      <c r="Q13670">
        <v>0</v>
      </c>
      <c r="R13670" t="s">
        <v>47321</v>
      </c>
      <c r="S13670" t="s">
        <v>48071</v>
      </c>
      <c r="T13670" t="s">
        <v>48996</v>
      </c>
      <c r="U13670" t="s">
        <v>60843</v>
      </c>
      <c r="W13670" t="s">
        <v>64420</v>
      </c>
      <c r="X13670" t="s">
        <v>47322</v>
      </c>
    </row>
    <row r="13671" spans="1:24">
      <c r="A13671">
        <f>HYPERLINK("https://www.philgeps.gov.ph/GEPSNONPILOT/Tender/SplashBidNoticeAbstractUI.aspx?menuIndex=3&amp;refID=7165595&amp;Result=3","7165595")</f>
        <v>0</v>
      </c>
      <c r="B13671" t="s">
        <v>418</v>
      </c>
      <c r="C13671" t="s">
        <v>16781</v>
      </c>
      <c r="D13671" t="s">
        <v>19006</v>
      </c>
      <c r="E13671" t="s">
        <v>30642</v>
      </c>
      <c r="F13671" t="s">
        <v>32606</v>
      </c>
      <c r="G13671" t="s">
        <v>32613</v>
      </c>
      <c r="H13671" t="s">
        <v>32623</v>
      </c>
      <c r="I13671" t="s">
        <v>17648</v>
      </c>
      <c r="J13671" t="s">
        <v>41206</v>
      </c>
      <c r="K13671" t="s">
        <v>42712</v>
      </c>
      <c r="M13671" t="s">
        <v>43322</v>
      </c>
      <c r="N13671" t="s">
        <v>47304</v>
      </c>
      <c r="O13671" t="s">
        <v>47305</v>
      </c>
      <c r="P13671">
        <v>0</v>
      </c>
      <c r="Q13671">
        <v>2</v>
      </c>
      <c r="R13671" t="s">
        <v>47321</v>
      </c>
      <c r="S13671" t="s">
        <v>48071</v>
      </c>
      <c r="T13671" t="s">
        <v>49002</v>
      </c>
      <c r="U13671" t="s">
        <v>60844</v>
      </c>
      <c r="V13671" t="s">
        <v>63262</v>
      </c>
      <c r="W13671" t="s">
        <v>43322</v>
      </c>
      <c r="X13671" t="s">
        <v>47322</v>
      </c>
    </row>
    <row r="13672" spans="1:24">
      <c r="A13672">
        <f>HYPERLINK("https://www.philgeps.gov.ph/GEPSNONPILOT/Tender/SplashBidNoticeAbstractUI.aspx?menuIndex=3&amp;refID=7165572&amp;Result=3","7165572")</f>
        <v>0</v>
      </c>
      <c r="B13672" t="s">
        <v>586</v>
      </c>
      <c r="C13672" t="s">
        <v>16782</v>
      </c>
      <c r="E13672" t="s">
        <v>30643</v>
      </c>
      <c r="F13672" t="s">
        <v>32606</v>
      </c>
      <c r="G13672" t="s">
        <v>32613</v>
      </c>
      <c r="H13672" t="s">
        <v>32623</v>
      </c>
      <c r="I13672" t="s">
        <v>17648</v>
      </c>
      <c r="J13672" t="s">
        <v>41207</v>
      </c>
      <c r="K13672" t="s">
        <v>42676</v>
      </c>
      <c r="M13672" t="s">
        <v>43501</v>
      </c>
      <c r="N13672" t="s">
        <v>47304</v>
      </c>
      <c r="O13672" t="s">
        <v>47305</v>
      </c>
      <c r="P13672">
        <v>0</v>
      </c>
      <c r="Q13672">
        <v>0</v>
      </c>
      <c r="R13672" t="s">
        <v>47321</v>
      </c>
      <c r="S13672" t="s">
        <v>48071</v>
      </c>
      <c r="T13672" t="s">
        <v>48988</v>
      </c>
      <c r="U13672" t="s">
        <v>60845</v>
      </c>
      <c r="W13672" t="s">
        <v>43501</v>
      </c>
      <c r="X13672" t="s">
        <v>47322</v>
      </c>
    </row>
    <row r="13673" spans="1:24">
      <c r="A13673">
        <f>HYPERLINK("https://www.philgeps.gov.ph/GEPSNONPILOT/Tender/SplashBidNoticeAbstractUI.aspx?menuIndex=3&amp;refID=7165569&amp;Result=3","7165569")</f>
        <v>0</v>
      </c>
      <c r="B13673" t="s">
        <v>343</v>
      </c>
      <c r="C13673" t="s">
        <v>16783</v>
      </c>
      <c r="D13673" t="s">
        <v>18993</v>
      </c>
      <c r="E13673" t="s">
        <v>23015</v>
      </c>
      <c r="F13673" t="s">
        <v>32606</v>
      </c>
      <c r="G13673" t="s">
        <v>32613</v>
      </c>
      <c r="H13673" t="s">
        <v>14201</v>
      </c>
      <c r="I13673" t="s">
        <v>32652</v>
      </c>
      <c r="J13673" t="s">
        <v>36641</v>
      </c>
      <c r="K13673" t="s">
        <v>42624</v>
      </c>
      <c r="M13673" t="s">
        <v>44502</v>
      </c>
      <c r="N13673" t="s">
        <v>47304</v>
      </c>
      <c r="O13673" t="s">
        <v>47305</v>
      </c>
      <c r="P13673">
        <v>0</v>
      </c>
      <c r="Q13673">
        <v>0</v>
      </c>
      <c r="R13673" t="s">
        <v>47321</v>
      </c>
      <c r="S13673" t="s">
        <v>48071</v>
      </c>
      <c r="T13673" t="s">
        <v>49023</v>
      </c>
      <c r="U13673" t="s">
        <v>60846</v>
      </c>
      <c r="W13673" t="s">
        <v>44502</v>
      </c>
      <c r="X13673" t="s">
        <v>47322</v>
      </c>
    </row>
    <row r="13674" spans="1:24">
      <c r="A13674">
        <f>HYPERLINK("https://www.philgeps.gov.ph/GEPSNONPILOT/Tender/SplashBidNoticeAbstractUI.aspx?menuIndex=3&amp;refID=7165567&amp;Result=3","7165567")</f>
        <v>0</v>
      </c>
      <c r="B13674" t="s">
        <v>418</v>
      </c>
      <c r="C13674" t="s">
        <v>16784</v>
      </c>
      <c r="D13674" t="s">
        <v>19006</v>
      </c>
      <c r="E13674" t="s">
        <v>30644</v>
      </c>
      <c r="F13674" t="s">
        <v>32606</v>
      </c>
      <c r="G13674" t="s">
        <v>32613</v>
      </c>
      <c r="H13674" t="s">
        <v>14201</v>
      </c>
      <c r="I13674" t="s">
        <v>6298</v>
      </c>
      <c r="J13674" t="s">
        <v>41208</v>
      </c>
      <c r="K13674" t="s">
        <v>42639</v>
      </c>
      <c r="M13674" t="s">
        <v>43322</v>
      </c>
      <c r="N13674" t="s">
        <v>47304</v>
      </c>
      <c r="O13674" t="s">
        <v>47305</v>
      </c>
      <c r="Q13674">
        <v>8</v>
      </c>
      <c r="R13674" t="s">
        <v>47321</v>
      </c>
      <c r="S13674" t="s">
        <v>48089</v>
      </c>
      <c r="T13674" t="s">
        <v>49002</v>
      </c>
      <c r="U13674" t="s">
        <v>60847</v>
      </c>
      <c r="V13674" t="s">
        <v>63262</v>
      </c>
      <c r="W13674" t="s">
        <v>43322</v>
      </c>
      <c r="X13674" t="s">
        <v>47322</v>
      </c>
    </row>
    <row r="13675" spans="1:24">
      <c r="A13675">
        <f>HYPERLINK("https://www.philgeps.gov.ph/GEPSNONPILOT/Tender/SplashBidNoticeAbstractUI.aspx?menuIndex=3&amp;refID=7165622&amp;Result=3","7165622")</f>
        <v>0</v>
      </c>
      <c r="B13675" t="s">
        <v>1597</v>
      </c>
      <c r="C13675" t="s">
        <v>16785</v>
      </c>
      <c r="D13675" t="s">
        <v>19061</v>
      </c>
      <c r="E13675" t="s">
        <v>30645</v>
      </c>
      <c r="F13675" t="s">
        <v>32606</v>
      </c>
      <c r="G13675" t="s">
        <v>32613</v>
      </c>
      <c r="H13675" t="s">
        <v>14201</v>
      </c>
      <c r="I13675" t="s">
        <v>4120</v>
      </c>
      <c r="J13675" t="s">
        <v>41209</v>
      </c>
      <c r="K13675" t="s">
        <v>42631</v>
      </c>
      <c r="L13675" t="s">
        <v>1597</v>
      </c>
      <c r="M13675" t="s">
        <v>44612</v>
      </c>
      <c r="N13675" t="s">
        <v>47304</v>
      </c>
      <c r="O13675" t="s">
        <v>47305</v>
      </c>
      <c r="Q13675">
        <v>4</v>
      </c>
      <c r="R13675" t="s">
        <v>47321</v>
      </c>
      <c r="S13675" t="s">
        <v>48090</v>
      </c>
      <c r="T13675" t="s">
        <v>48986</v>
      </c>
      <c r="U13675" t="s">
        <v>53124</v>
      </c>
      <c r="V13675" t="s">
        <v>63062</v>
      </c>
      <c r="W13675" t="s">
        <v>44612</v>
      </c>
      <c r="X13675" t="s">
        <v>47322</v>
      </c>
    </row>
    <row r="13676" spans="1:24">
      <c r="A13676">
        <f>HYPERLINK("https://www.philgeps.gov.ph/GEPSNONPILOT/Tender/SplashBidNoticeAbstractUI.aspx?menuIndex=3&amp;refID=7165691&amp;Result=3","7165691")</f>
        <v>0</v>
      </c>
      <c r="B13676" t="s">
        <v>1343</v>
      </c>
      <c r="C13676" t="s">
        <v>16786</v>
      </c>
      <c r="D13676" t="s">
        <v>19016</v>
      </c>
      <c r="E13676" t="s">
        <v>30646</v>
      </c>
      <c r="F13676" t="s">
        <v>32606</v>
      </c>
      <c r="G13676" t="s">
        <v>32613</v>
      </c>
      <c r="H13676" t="s">
        <v>14201</v>
      </c>
      <c r="I13676" t="s">
        <v>32661</v>
      </c>
      <c r="J13676" t="s">
        <v>41210</v>
      </c>
      <c r="K13676" t="s">
        <v>42631</v>
      </c>
      <c r="M13676" t="s">
        <v>44317</v>
      </c>
      <c r="N13676" t="s">
        <v>47304</v>
      </c>
      <c r="O13676" t="s">
        <v>47305</v>
      </c>
      <c r="P13676">
        <v>0</v>
      </c>
      <c r="Q13676">
        <v>5</v>
      </c>
      <c r="R13676" t="s">
        <v>47321</v>
      </c>
      <c r="S13676" t="s">
        <v>48071</v>
      </c>
      <c r="T13676" t="s">
        <v>49009</v>
      </c>
      <c r="U13676" t="s">
        <v>60848</v>
      </c>
      <c r="W13676" t="s">
        <v>44317</v>
      </c>
      <c r="X13676" t="s">
        <v>47322</v>
      </c>
    </row>
    <row r="13677" spans="1:24">
      <c r="A13677">
        <f>HYPERLINK("https://www.philgeps.gov.ph/GEPSNONPILOT/Tender/SplashBidNoticeAbstractUI.aspx?menuIndex=3&amp;refID=7165816&amp;Result=3","7165816")</f>
        <v>0</v>
      </c>
      <c r="B13677" t="s">
        <v>3664</v>
      </c>
      <c r="C13677" t="s">
        <v>16787</v>
      </c>
      <c r="D13677" t="s">
        <v>19031</v>
      </c>
      <c r="E13677" t="s">
        <v>27852</v>
      </c>
      <c r="F13677" t="s">
        <v>32606</v>
      </c>
      <c r="G13677" t="s">
        <v>32613</v>
      </c>
      <c r="H13677" t="s">
        <v>32623</v>
      </c>
      <c r="I13677" t="s">
        <v>17648</v>
      </c>
      <c r="J13677" t="s">
        <v>37932</v>
      </c>
      <c r="K13677" t="s">
        <v>42677</v>
      </c>
      <c r="M13677" t="s">
        <v>46969</v>
      </c>
      <c r="N13677" t="s">
        <v>47304</v>
      </c>
      <c r="O13677" t="s">
        <v>47305</v>
      </c>
      <c r="P13677">
        <v>0</v>
      </c>
      <c r="Q13677">
        <v>0</v>
      </c>
      <c r="R13677" t="s">
        <v>47321</v>
      </c>
      <c r="S13677" t="s">
        <v>48071</v>
      </c>
      <c r="T13677" t="s">
        <v>49170</v>
      </c>
      <c r="U13677" t="s">
        <v>60849</v>
      </c>
      <c r="V13677" t="s">
        <v>64120</v>
      </c>
      <c r="W13677" t="s">
        <v>46969</v>
      </c>
      <c r="X13677" t="s">
        <v>47322</v>
      </c>
    </row>
    <row r="13678" spans="1:24">
      <c r="A13678">
        <f>HYPERLINK("https://www.philgeps.gov.ph/GEPSNONPILOT/Tender/SplashBidNoticeAbstractUI.aspx?menuIndex=3&amp;refID=7165369&amp;Result=3","7165369")</f>
        <v>0</v>
      </c>
      <c r="B13678" t="s">
        <v>3217</v>
      </c>
      <c r="C13678" t="s">
        <v>16788</v>
      </c>
      <c r="E13678" t="s">
        <v>30647</v>
      </c>
      <c r="F13678" t="s">
        <v>32606</v>
      </c>
      <c r="G13678" t="s">
        <v>32613</v>
      </c>
      <c r="H13678" t="s">
        <v>32623</v>
      </c>
      <c r="I13678" t="s">
        <v>17648</v>
      </c>
      <c r="J13678" t="s">
        <v>41211</v>
      </c>
      <c r="K13678" t="s">
        <v>42624</v>
      </c>
      <c r="M13678" t="s">
        <v>46443</v>
      </c>
      <c r="N13678" t="s">
        <v>47304</v>
      </c>
      <c r="O13678" t="s">
        <v>47305</v>
      </c>
      <c r="P13678">
        <v>0</v>
      </c>
      <c r="Q13678">
        <v>0</v>
      </c>
      <c r="R13678" t="s">
        <v>47321</v>
      </c>
      <c r="S13678" t="s">
        <v>48071</v>
      </c>
      <c r="T13678" t="s">
        <v>49347</v>
      </c>
      <c r="U13678" t="s">
        <v>60850</v>
      </c>
      <c r="V13678" t="s">
        <v>64115</v>
      </c>
      <c r="W13678" t="s">
        <v>46443</v>
      </c>
      <c r="X13678" t="s">
        <v>47322</v>
      </c>
    </row>
    <row r="13679" spans="1:24">
      <c r="A13679">
        <f>HYPERLINK("https://www.philgeps.gov.ph/GEPSNONPILOT/Tender/SplashBidNoticeAbstractUI.aspx?menuIndex=3&amp;refID=7165341&amp;Result=3","7165341")</f>
        <v>0</v>
      </c>
      <c r="B13679" t="s">
        <v>1203</v>
      </c>
      <c r="C13679" t="s">
        <v>16789</v>
      </c>
      <c r="D13679" t="s">
        <v>19027</v>
      </c>
      <c r="E13679" t="s">
        <v>30648</v>
      </c>
      <c r="F13679" t="s">
        <v>32606</v>
      </c>
      <c r="G13679" t="s">
        <v>32613</v>
      </c>
      <c r="H13679" t="s">
        <v>14201</v>
      </c>
      <c r="I13679" t="s">
        <v>7233</v>
      </c>
      <c r="J13679" t="s">
        <v>41212</v>
      </c>
      <c r="K13679" t="s">
        <v>42624</v>
      </c>
      <c r="M13679" t="s">
        <v>44167</v>
      </c>
      <c r="N13679" t="s">
        <v>47304</v>
      </c>
      <c r="O13679" t="s">
        <v>47305</v>
      </c>
      <c r="P13679">
        <v>0</v>
      </c>
      <c r="Q13679">
        <v>2</v>
      </c>
      <c r="R13679" t="s">
        <v>47321</v>
      </c>
      <c r="S13679" t="s">
        <v>48071</v>
      </c>
      <c r="T13679" t="s">
        <v>48987</v>
      </c>
      <c r="U13679" t="s">
        <v>60851</v>
      </c>
      <c r="V13679" t="s">
        <v>64121</v>
      </c>
      <c r="W13679" t="s">
        <v>44167</v>
      </c>
      <c r="X13679" t="s">
        <v>47322</v>
      </c>
    </row>
    <row r="13680" spans="1:24">
      <c r="A13680">
        <f>HYPERLINK("https://www.philgeps.gov.ph/GEPSNONPILOT/Tender/SplashBidNoticeAbstractUI.aspx?menuIndex=3&amp;refID=7165797&amp;Result=3","7165797")</f>
        <v>0</v>
      </c>
      <c r="B13680" t="s">
        <v>753</v>
      </c>
      <c r="C13680" t="s">
        <v>16790</v>
      </c>
      <c r="E13680" t="s">
        <v>30649</v>
      </c>
      <c r="F13680" t="s">
        <v>32606</v>
      </c>
      <c r="G13680" t="s">
        <v>32613</v>
      </c>
      <c r="H13680" t="s">
        <v>14201</v>
      </c>
      <c r="I13680" t="s">
        <v>6931</v>
      </c>
      <c r="J13680" t="s">
        <v>41213</v>
      </c>
      <c r="K13680" t="s">
        <v>42622</v>
      </c>
      <c r="M13680" t="s">
        <v>43676</v>
      </c>
      <c r="N13680" t="s">
        <v>47304</v>
      </c>
      <c r="O13680" t="s">
        <v>47305</v>
      </c>
      <c r="P13680">
        <v>0</v>
      </c>
      <c r="Q13680">
        <v>0</v>
      </c>
      <c r="R13680" t="s">
        <v>47321</v>
      </c>
      <c r="S13680" t="s">
        <v>48071</v>
      </c>
      <c r="T13680" t="s">
        <v>48972</v>
      </c>
      <c r="U13680" t="s">
        <v>60852</v>
      </c>
      <c r="W13680" t="s">
        <v>43676</v>
      </c>
      <c r="X13680" t="s">
        <v>47322</v>
      </c>
    </row>
    <row r="13681" spans="1:24">
      <c r="A13681">
        <f>HYPERLINK("https://www.philgeps.gov.ph/GEPSNONPILOT/Tender/SplashBidNoticeAbstractUI.aspx?menuIndex=3&amp;refID=7165812&amp;Result=3","7165812")</f>
        <v>0</v>
      </c>
      <c r="B13681" t="s">
        <v>586</v>
      </c>
      <c r="C13681" t="s">
        <v>16791</v>
      </c>
      <c r="E13681" t="s">
        <v>30650</v>
      </c>
      <c r="F13681" t="s">
        <v>32606</v>
      </c>
      <c r="G13681" t="s">
        <v>32613</v>
      </c>
      <c r="H13681" t="s">
        <v>32623</v>
      </c>
      <c r="I13681" t="s">
        <v>17648</v>
      </c>
      <c r="J13681" t="s">
        <v>41214</v>
      </c>
      <c r="K13681" t="s">
        <v>42645</v>
      </c>
      <c r="M13681" t="s">
        <v>43501</v>
      </c>
      <c r="N13681" t="s">
        <v>47304</v>
      </c>
      <c r="O13681" t="s">
        <v>47305</v>
      </c>
      <c r="P13681">
        <v>0</v>
      </c>
      <c r="Q13681">
        <v>1</v>
      </c>
      <c r="R13681" t="s">
        <v>47321</v>
      </c>
      <c r="S13681" t="s">
        <v>48071</v>
      </c>
      <c r="T13681" t="s">
        <v>48988</v>
      </c>
      <c r="U13681" t="s">
        <v>60853</v>
      </c>
      <c r="W13681" t="s">
        <v>43501</v>
      </c>
      <c r="X13681" t="s">
        <v>47322</v>
      </c>
    </row>
    <row r="13682" spans="1:24">
      <c r="A13682">
        <f>HYPERLINK("https://www.philgeps.gov.ph/GEPSNONPILOT/Tender/SplashBidNoticeAbstractUI.aspx?menuIndex=3&amp;refID=7165793&amp;Result=3","7165793")</f>
        <v>0</v>
      </c>
      <c r="B13682" t="s">
        <v>953</v>
      </c>
      <c r="C13682" t="s">
        <v>16792</v>
      </c>
      <c r="D13682" t="s">
        <v>19010</v>
      </c>
      <c r="E13682" t="s">
        <v>30651</v>
      </c>
      <c r="F13682" t="s">
        <v>32606</v>
      </c>
      <c r="G13682" t="s">
        <v>32613</v>
      </c>
      <c r="H13682" t="s">
        <v>14201</v>
      </c>
      <c r="I13682" t="s">
        <v>7064</v>
      </c>
      <c r="J13682" t="s">
        <v>41215</v>
      </c>
      <c r="K13682" t="s">
        <v>42631</v>
      </c>
      <c r="M13682" t="s">
        <v>43895</v>
      </c>
      <c r="N13682" t="s">
        <v>47304</v>
      </c>
      <c r="O13682" t="s">
        <v>47305</v>
      </c>
      <c r="P13682">
        <v>0</v>
      </c>
      <c r="Q13682">
        <v>9</v>
      </c>
      <c r="R13682" t="s">
        <v>47321</v>
      </c>
      <c r="S13682" t="s">
        <v>48071</v>
      </c>
      <c r="T13682" t="s">
        <v>49066</v>
      </c>
      <c r="U13682" t="s">
        <v>60854</v>
      </c>
      <c r="W13682" t="s">
        <v>43895</v>
      </c>
      <c r="X13682" t="s">
        <v>47322</v>
      </c>
    </row>
    <row r="13683" spans="1:24">
      <c r="A13683">
        <f>HYPERLINK("https://www.philgeps.gov.ph/GEPSNONPILOT/Tender/SplashBidNoticeAbstractUI.aspx?menuIndex=3&amp;refID=7165802&amp;Result=3","7165802")</f>
        <v>0</v>
      </c>
      <c r="B13683" t="s">
        <v>586</v>
      </c>
      <c r="C13683" t="s">
        <v>16793</v>
      </c>
      <c r="E13683" t="s">
        <v>30652</v>
      </c>
      <c r="F13683" t="s">
        <v>32606</v>
      </c>
      <c r="G13683" t="s">
        <v>32613</v>
      </c>
      <c r="H13683" t="s">
        <v>32623</v>
      </c>
      <c r="I13683" t="s">
        <v>17648</v>
      </c>
      <c r="J13683" t="s">
        <v>41216</v>
      </c>
      <c r="K13683" t="s">
        <v>42636</v>
      </c>
      <c r="M13683" t="s">
        <v>43501</v>
      </c>
      <c r="N13683" t="s">
        <v>47304</v>
      </c>
      <c r="O13683" t="s">
        <v>47305</v>
      </c>
      <c r="P13683">
        <v>0</v>
      </c>
      <c r="Q13683">
        <v>0</v>
      </c>
      <c r="R13683" t="s">
        <v>47321</v>
      </c>
      <c r="S13683" t="s">
        <v>48071</v>
      </c>
      <c r="T13683" t="s">
        <v>48988</v>
      </c>
      <c r="U13683" t="s">
        <v>60855</v>
      </c>
      <c r="W13683" t="s">
        <v>43501</v>
      </c>
      <c r="X13683" t="s">
        <v>47322</v>
      </c>
    </row>
    <row r="13684" spans="1:24">
      <c r="A13684">
        <f>HYPERLINK("https://www.philgeps.gov.ph/GEPSNONPILOT/Tender/SplashBidNoticeAbstractUI.aspx?menuIndex=3&amp;refID=7165786&amp;Result=3","7165786")</f>
        <v>0</v>
      </c>
      <c r="B13684" t="s">
        <v>1343</v>
      </c>
      <c r="C13684" t="s">
        <v>16794</v>
      </c>
      <c r="D13684" t="s">
        <v>19016</v>
      </c>
      <c r="E13684" t="s">
        <v>30653</v>
      </c>
      <c r="F13684" t="s">
        <v>32606</v>
      </c>
      <c r="G13684" t="s">
        <v>32613</v>
      </c>
      <c r="H13684" t="s">
        <v>14201</v>
      </c>
      <c r="I13684" t="s">
        <v>32681</v>
      </c>
      <c r="J13684" t="s">
        <v>41217</v>
      </c>
      <c r="K13684" t="s">
        <v>42631</v>
      </c>
      <c r="M13684" t="s">
        <v>44317</v>
      </c>
      <c r="N13684" t="s">
        <v>47304</v>
      </c>
      <c r="O13684" t="s">
        <v>47305</v>
      </c>
      <c r="P13684">
        <v>0</v>
      </c>
      <c r="Q13684">
        <v>4</v>
      </c>
      <c r="R13684" t="s">
        <v>47321</v>
      </c>
      <c r="S13684" t="s">
        <v>48071</v>
      </c>
      <c r="T13684" t="s">
        <v>49009</v>
      </c>
      <c r="U13684" t="s">
        <v>60856</v>
      </c>
      <c r="W13684" t="s">
        <v>44317</v>
      </c>
      <c r="X13684" t="s">
        <v>47322</v>
      </c>
    </row>
    <row r="13685" spans="1:24">
      <c r="A13685">
        <f>HYPERLINK("https://www.philgeps.gov.ph/GEPSNONPILOT/Tender/SplashBidNoticeAbstractUI.aspx?menuIndex=3&amp;refID=7165785&amp;Result=3","7165785")</f>
        <v>0</v>
      </c>
      <c r="B13685" t="s">
        <v>3435</v>
      </c>
      <c r="C13685" t="s">
        <v>16795</v>
      </c>
      <c r="D13685" t="s">
        <v>19000</v>
      </c>
      <c r="E13685" t="s">
        <v>30654</v>
      </c>
      <c r="F13685" t="s">
        <v>32606</v>
      </c>
      <c r="G13685" t="s">
        <v>32613</v>
      </c>
      <c r="H13685" t="s">
        <v>32623</v>
      </c>
      <c r="I13685" t="s">
        <v>17648</v>
      </c>
      <c r="J13685" t="s">
        <v>41218</v>
      </c>
      <c r="K13685" t="s">
        <v>42646</v>
      </c>
      <c r="M13685" t="s">
        <v>46693</v>
      </c>
      <c r="N13685" t="s">
        <v>47304</v>
      </c>
      <c r="O13685" t="s">
        <v>47305</v>
      </c>
      <c r="P13685">
        <v>0</v>
      </c>
      <c r="Q13685">
        <v>44</v>
      </c>
      <c r="R13685" t="s">
        <v>47321</v>
      </c>
      <c r="S13685" t="s">
        <v>48071</v>
      </c>
      <c r="T13685" t="s">
        <v>49325</v>
      </c>
      <c r="U13685" t="s">
        <v>60857</v>
      </c>
      <c r="V13685" t="s">
        <v>64122</v>
      </c>
      <c r="W13685" t="s">
        <v>64539</v>
      </c>
      <c r="X13685" t="s">
        <v>47322</v>
      </c>
    </row>
    <row r="13686" spans="1:24">
      <c r="A13686">
        <f>HYPERLINK("https://www.philgeps.gov.ph/GEPSNONPILOT/Tender/SplashBidNoticeAbstractUI.aspx?menuIndex=3&amp;refID=7165781&amp;Result=3","7165781")</f>
        <v>0</v>
      </c>
      <c r="B13686" t="s">
        <v>2734</v>
      </c>
      <c r="C13686" t="s">
        <v>16796</v>
      </c>
      <c r="E13686" t="s">
        <v>30655</v>
      </c>
      <c r="F13686" t="s">
        <v>32606</v>
      </c>
      <c r="G13686" t="s">
        <v>32613</v>
      </c>
      <c r="H13686" t="s">
        <v>14201</v>
      </c>
      <c r="I13686" t="s">
        <v>17648</v>
      </c>
      <c r="J13686" t="s">
        <v>41219</v>
      </c>
      <c r="K13686" t="s">
        <v>42624</v>
      </c>
      <c r="M13686" t="s">
        <v>45890</v>
      </c>
      <c r="N13686" t="s">
        <v>47304</v>
      </c>
      <c r="O13686" t="s">
        <v>47305</v>
      </c>
      <c r="P13686">
        <v>0</v>
      </c>
      <c r="Q13686">
        <v>8</v>
      </c>
      <c r="R13686" t="s">
        <v>47321</v>
      </c>
      <c r="S13686" t="s">
        <v>48071</v>
      </c>
      <c r="T13686" t="s">
        <v>49017</v>
      </c>
      <c r="U13686" t="s">
        <v>56669</v>
      </c>
      <c r="W13686" t="s">
        <v>45890</v>
      </c>
      <c r="X13686" t="s">
        <v>47322</v>
      </c>
    </row>
    <row r="13687" spans="1:24">
      <c r="A13687">
        <f>HYPERLINK("https://www.philgeps.gov.ph/GEPSNONPILOT/Tender/SplashBidNoticeAbstractUI.aspx?menuIndex=3&amp;refID=7165766&amp;Result=3","7165766")</f>
        <v>0</v>
      </c>
      <c r="B13687" t="s">
        <v>3141</v>
      </c>
      <c r="C13687" t="s">
        <v>16797</v>
      </c>
      <c r="D13687" t="s">
        <v>18993</v>
      </c>
      <c r="E13687" t="s">
        <v>28087</v>
      </c>
      <c r="F13687" t="s">
        <v>32606</v>
      </c>
      <c r="G13687" t="s">
        <v>32613</v>
      </c>
      <c r="H13687" t="s">
        <v>32624</v>
      </c>
      <c r="I13687" t="s">
        <v>7064</v>
      </c>
      <c r="J13687" t="s">
        <v>33934</v>
      </c>
      <c r="K13687" t="s">
        <v>42631</v>
      </c>
      <c r="M13687" t="s">
        <v>46355</v>
      </c>
      <c r="N13687" t="s">
        <v>47304</v>
      </c>
      <c r="O13687" t="s">
        <v>47305</v>
      </c>
      <c r="P13687">
        <v>0</v>
      </c>
      <c r="Q13687">
        <v>6</v>
      </c>
      <c r="R13687" t="s">
        <v>47321</v>
      </c>
      <c r="S13687" t="s">
        <v>48071</v>
      </c>
      <c r="T13687" t="s">
        <v>48980</v>
      </c>
      <c r="U13687" t="s">
        <v>60858</v>
      </c>
      <c r="V13687" t="s">
        <v>64123</v>
      </c>
      <c r="W13687" t="s">
        <v>46355</v>
      </c>
      <c r="X13687" t="s">
        <v>47322</v>
      </c>
    </row>
    <row r="13688" spans="1:24">
      <c r="A13688">
        <f>HYPERLINK("https://www.philgeps.gov.ph/GEPSNONPILOT/Tender/SplashBidNoticeAbstractUI.aspx?menuIndex=3&amp;refID=7165763&amp;Result=3","7165763")</f>
        <v>0</v>
      </c>
      <c r="B13688" t="s">
        <v>586</v>
      </c>
      <c r="C13688" t="s">
        <v>16798</v>
      </c>
      <c r="E13688" t="s">
        <v>30656</v>
      </c>
      <c r="F13688" t="s">
        <v>32606</v>
      </c>
      <c r="G13688" t="s">
        <v>32613</v>
      </c>
      <c r="H13688" t="s">
        <v>32623</v>
      </c>
      <c r="I13688" t="s">
        <v>17648</v>
      </c>
      <c r="J13688" t="s">
        <v>41220</v>
      </c>
      <c r="K13688" t="s">
        <v>42636</v>
      </c>
      <c r="M13688" t="s">
        <v>43501</v>
      </c>
      <c r="N13688" t="s">
        <v>47304</v>
      </c>
      <c r="O13688" t="s">
        <v>47305</v>
      </c>
      <c r="Q13688">
        <v>1</v>
      </c>
      <c r="R13688" t="s">
        <v>47321</v>
      </c>
      <c r="S13688" t="s">
        <v>48091</v>
      </c>
      <c r="T13688" t="s">
        <v>48988</v>
      </c>
      <c r="U13688" t="s">
        <v>60859</v>
      </c>
      <c r="W13688" t="s">
        <v>43501</v>
      </c>
      <c r="X13688" t="s">
        <v>47322</v>
      </c>
    </row>
    <row r="13689" spans="1:24">
      <c r="A13689">
        <f>HYPERLINK("https://www.philgeps.gov.ph/GEPSNONPILOT/Tender/SplashBidNoticeAbstractUI.aspx?menuIndex=3&amp;refID=7165759&amp;Result=3","7165759")</f>
        <v>0</v>
      </c>
      <c r="B13689" t="s">
        <v>3667</v>
      </c>
      <c r="C13689" t="s">
        <v>16799</v>
      </c>
      <c r="D13689" t="s">
        <v>18992</v>
      </c>
      <c r="E13689" t="s">
        <v>30657</v>
      </c>
      <c r="F13689" t="s">
        <v>32606</v>
      </c>
      <c r="G13689" t="s">
        <v>32613</v>
      </c>
      <c r="H13689" t="s">
        <v>32623</v>
      </c>
      <c r="I13689" t="s">
        <v>17648</v>
      </c>
      <c r="J13689" t="s">
        <v>33449</v>
      </c>
      <c r="K13689" t="s">
        <v>42828</v>
      </c>
      <c r="M13689" t="s">
        <v>46972</v>
      </c>
      <c r="N13689" t="s">
        <v>47304</v>
      </c>
      <c r="O13689" t="s">
        <v>47305</v>
      </c>
      <c r="Q13689">
        <v>0</v>
      </c>
      <c r="R13689" t="s">
        <v>47321</v>
      </c>
      <c r="S13689" t="s">
        <v>48092</v>
      </c>
      <c r="T13689" t="s">
        <v>49002</v>
      </c>
      <c r="U13689" t="s">
        <v>60860</v>
      </c>
      <c r="W13689" t="s">
        <v>46972</v>
      </c>
      <c r="X13689" t="s">
        <v>47322</v>
      </c>
    </row>
    <row r="13690" spans="1:24">
      <c r="A13690">
        <f>HYPERLINK("https://www.philgeps.gov.ph/GEPSNONPILOT/Tender/SplashBidNoticeAbstractUI.aspx?menuIndex=3&amp;refID=7165756&amp;Result=3","7165756")</f>
        <v>0</v>
      </c>
      <c r="B13690" t="s">
        <v>3668</v>
      </c>
      <c r="C13690" t="s">
        <v>16800</v>
      </c>
      <c r="D13690" t="s">
        <v>19020</v>
      </c>
      <c r="E13690" t="s">
        <v>30658</v>
      </c>
      <c r="F13690" t="s">
        <v>32606</v>
      </c>
      <c r="G13690" t="s">
        <v>32613</v>
      </c>
      <c r="H13690" t="s">
        <v>32623</v>
      </c>
      <c r="I13690" t="s">
        <v>17648</v>
      </c>
      <c r="J13690" t="s">
        <v>41221</v>
      </c>
      <c r="K13690" t="s">
        <v>42639</v>
      </c>
      <c r="M13690" t="s">
        <v>46973</v>
      </c>
      <c r="N13690" t="s">
        <v>47304</v>
      </c>
      <c r="O13690" t="s">
        <v>47305</v>
      </c>
      <c r="P13690">
        <v>0</v>
      </c>
      <c r="Q13690">
        <v>0</v>
      </c>
      <c r="R13690" t="s">
        <v>47321</v>
      </c>
      <c r="S13690" t="s">
        <v>48071</v>
      </c>
      <c r="T13690" t="s">
        <v>49023</v>
      </c>
      <c r="U13690" t="s">
        <v>60861</v>
      </c>
      <c r="W13690" t="s">
        <v>46973</v>
      </c>
      <c r="X13690" t="s">
        <v>47322</v>
      </c>
    </row>
    <row r="13691" spans="1:24">
      <c r="A13691">
        <f>HYPERLINK("https://www.philgeps.gov.ph/GEPSNONPILOT/Tender/SplashBidNoticeAbstractUI.aspx?menuIndex=3&amp;refID=7165792&amp;Result=3","7165792")</f>
        <v>0</v>
      </c>
      <c r="B13691" t="s">
        <v>586</v>
      </c>
      <c r="C13691" t="s">
        <v>16801</v>
      </c>
      <c r="E13691" t="s">
        <v>30659</v>
      </c>
      <c r="F13691" t="s">
        <v>32606</v>
      </c>
      <c r="G13691" t="s">
        <v>32613</v>
      </c>
      <c r="H13691" t="s">
        <v>32623</v>
      </c>
      <c r="I13691" t="s">
        <v>17648</v>
      </c>
      <c r="J13691" t="s">
        <v>41222</v>
      </c>
      <c r="K13691" t="s">
        <v>42731</v>
      </c>
      <c r="M13691" t="s">
        <v>43501</v>
      </c>
      <c r="N13691" t="s">
        <v>47304</v>
      </c>
      <c r="O13691" t="s">
        <v>47305</v>
      </c>
      <c r="P13691">
        <v>0</v>
      </c>
      <c r="Q13691">
        <v>2</v>
      </c>
      <c r="R13691" t="s">
        <v>47321</v>
      </c>
      <c r="S13691" t="s">
        <v>48071</v>
      </c>
      <c r="T13691" t="s">
        <v>48988</v>
      </c>
      <c r="U13691" t="s">
        <v>60862</v>
      </c>
      <c r="W13691" t="s">
        <v>43501</v>
      </c>
      <c r="X13691" t="s">
        <v>47322</v>
      </c>
    </row>
    <row r="13692" spans="1:24">
      <c r="A13692">
        <f>HYPERLINK("https://www.philgeps.gov.ph/GEPSNONPILOT/Tender/SplashBidNoticeAbstractUI.aspx?menuIndex=3&amp;refID=7165780&amp;Result=3","7165780")</f>
        <v>0</v>
      </c>
      <c r="B13692" t="s">
        <v>3664</v>
      </c>
      <c r="C13692" t="s">
        <v>16802</v>
      </c>
      <c r="D13692" t="s">
        <v>19031</v>
      </c>
      <c r="E13692" t="s">
        <v>27849</v>
      </c>
      <c r="F13692" t="s">
        <v>32606</v>
      </c>
      <c r="G13692" t="s">
        <v>32613</v>
      </c>
      <c r="H13692" t="s">
        <v>32623</v>
      </c>
      <c r="I13692" t="s">
        <v>17648</v>
      </c>
      <c r="J13692" t="s">
        <v>32885</v>
      </c>
      <c r="K13692" t="s">
        <v>42666</v>
      </c>
      <c r="M13692" t="s">
        <v>46969</v>
      </c>
      <c r="N13692" t="s">
        <v>47304</v>
      </c>
      <c r="O13692" t="s">
        <v>47305</v>
      </c>
      <c r="P13692">
        <v>0</v>
      </c>
      <c r="Q13692">
        <v>1</v>
      </c>
      <c r="R13692" t="s">
        <v>47321</v>
      </c>
      <c r="S13692" t="s">
        <v>48071</v>
      </c>
      <c r="T13692" t="s">
        <v>49170</v>
      </c>
      <c r="U13692" t="s">
        <v>60863</v>
      </c>
      <c r="V13692" t="s">
        <v>64124</v>
      </c>
      <c r="W13692" t="s">
        <v>46969</v>
      </c>
      <c r="X13692" t="s">
        <v>47322</v>
      </c>
    </row>
    <row r="13693" spans="1:24">
      <c r="A13693">
        <f>HYPERLINK("https://www.philgeps.gov.ph/GEPSNONPILOT/Tender/SplashBidNoticeAbstractUI.aspx?menuIndex=3&amp;refID=7165992&amp;Result=3","7165992")</f>
        <v>0</v>
      </c>
      <c r="B13693" t="s">
        <v>89</v>
      </c>
      <c r="C13693" t="s">
        <v>16803</v>
      </c>
      <c r="D13693" t="s">
        <v>19018</v>
      </c>
      <c r="E13693" t="s">
        <v>30660</v>
      </c>
      <c r="F13693" t="s">
        <v>32606</v>
      </c>
      <c r="G13693" t="s">
        <v>32613</v>
      </c>
      <c r="H13693" t="s">
        <v>14201</v>
      </c>
      <c r="I13693" t="s">
        <v>6007</v>
      </c>
      <c r="J13693" t="s">
        <v>33269</v>
      </c>
      <c r="K13693" t="s">
        <v>42631</v>
      </c>
      <c r="M13693" t="s">
        <v>42987</v>
      </c>
      <c r="N13693" t="s">
        <v>47304</v>
      </c>
      <c r="O13693" t="s">
        <v>47305</v>
      </c>
      <c r="P13693">
        <v>0</v>
      </c>
      <c r="Q13693">
        <v>0</v>
      </c>
      <c r="R13693" t="s">
        <v>47321</v>
      </c>
      <c r="S13693" t="s">
        <v>48071</v>
      </c>
      <c r="T13693" t="s">
        <v>48986</v>
      </c>
      <c r="U13693" t="s">
        <v>60864</v>
      </c>
      <c r="W13693" t="s">
        <v>42987</v>
      </c>
      <c r="X13693" t="s">
        <v>47322</v>
      </c>
    </row>
    <row r="13694" spans="1:24">
      <c r="A13694">
        <f>HYPERLINK("https://www.philgeps.gov.ph/GEPSNONPILOT/Tender/SplashBidNoticeAbstractUI.aspx?menuIndex=3&amp;refID=7165568&amp;Result=3","7165568")</f>
        <v>0</v>
      </c>
      <c r="B13694" t="s">
        <v>3669</v>
      </c>
      <c r="C13694" t="s">
        <v>16804</v>
      </c>
      <c r="D13694" t="s">
        <v>19023</v>
      </c>
      <c r="E13694" t="s">
        <v>30661</v>
      </c>
      <c r="F13694" t="s">
        <v>32606</v>
      </c>
      <c r="G13694" t="s">
        <v>32613</v>
      </c>
      <c r="H13694" t="s">
        <v>32623</v>
      </c>
      <c r="I13694" t="s">
        <v>32649</v>
      </c>
      <c r="J13694" t="s">
        <v>41223</v>
      </c>
      <c r="K13694" t="s">
        <v>42648</v>
      </c>
      <c r="M13694" t="s">
        <v>46974</v>
      </c>
      <c r="N13694" t="s">
        <v>47304</v>
      </c>
      <c r="O13694" t="s">
        <v>47305</v>
      </c>
      <c r="P13694">
        <v>0</v>
      </c>
      <c r="Q13694">
        <v>1</v>
      </c>
      <c r="R13694" t="s">
        <v>47321</v>
      </c>
      <c r="S13694" t="s">
        <v>48071</v>
      </c>
      <c r="T13694" t="s">
        <v>49019</v>
      </c>
      <c r="U13694" t="s">
        <v>60865</v>
      </c>
      <c r="W13694" t="s">
        <v>46974</v>
      </c>
      <c r="X13694" t="s">
        <v>47322</v>
      </c>
    </row>
    <row r="13695" spans="1:24">
      <c r="A13695">
        <f>HYPERLINK("https://www.philgeps.gov.ph/GEPSNONPILOT/Tender/SplashBidNoticeAbstractUI.aspx?menuIndex=3&amp;refID=7165742&amp;Result=3","7165742")</f>
        <v>0</v>
      </c>
      <c r="B13695" t="s">
        <v>586</v>
      </c>
      <c r="C13695" t="s">
        <v>16805</v>
      </c>
      <c r="E13695" t="s">
        <v>30662</v>
      </c>
      <c r="F13695" t="s">
        <v>32606</v>
      </c>
      <c r="G13695" t="s">
        <v>32613</v>
      </c>
      <c r="H13695" t="s">
        <v>32623</v>
      </c>
      <c r="I13695" t="s">
        <v>17648</v>
      </c>
      <c r="J13695" t="s">
        <v>41224</v>
      </c>
      <c r="K13695" t="s">
        <v>42648</v>
      </c>
      <c r="M13695" t="s">
        <v>43501</v>
      </c>
      <c r="N13695" t="s">
        <v>47304</v>
      </c>
      <c r="O13695" t="s">
        <v>47305</v>
      </c>
      <c r="P13695">
        <v>0</v>
      </c>
      <c r="Q13695">
        <v>3</v>
      </c>
      <c r="R13695" t="s">
        <v>47321</v>
      </c>
      <c r="S13695" t="s">
        <v>48071</v>
      </c>
      <c r="T13695" t="s">
        <v>48988</v>
      </c>
      <c r="U13695" t="s">
        <v>60866</v>
      </c>
      <c r="W13695" t="s">
        <v>43501</v>
      </c>
      <c r="X13695" t="s">
        <v>47322</v>
      </c>
    </row>
    <row r="13696" spans="1:24">
      <c r="A13696">
        <f>HYPERLINK("https://www.philgeps.gov.ph/GEPSNONPILOT/Tender/SplashBidNoticeAbstractUI.aspx?menuIndex=3&amp;refID=7165970&amp;Result=3","7165970")</f>
        <v>0</v>
      </c>
      <c r="B13696" t="s">
        <v>384</v>
      </c>
      <c r="C13696" t="s">
        <v>16806</v>
      </c>
      <c r="D13696" t="s">
        <v>18995</v>
      </c>
      <c r="E13696" t="s">
        <v>22091</v>
      </c>
      <c r="F13696" t="s">
        <v>32606</v>
      </c>
      <c r="G13696" t="s">
        <v>32613</v>
      </c>
      <c r="H13696" t="s">
        <v>14201</v>
      </c>
      <c r="I13696" t="s">
        <v>6298</v>
      </c>
      <c r="J13696" t="s">
        <v>33051</v>
      </c>
      <c r="K13696" t="s">
        <v>42631</v>
      </c>
      <c r="M13696" t="s">
        <v>43287</v>
      </c>
      <c r="N13696" t="s">
        <v>47304</v>
      </c>
      <c r="O13696" t="s">
        <v>47305</v>
      </c>
      <c r="Q13696">
        <v>1</v>
      </c>
      <c r="R13696" t="s">
        <v>47321</v>
      </c>
      <c r="S13696" t="s">
        <v>48093</v>
      </c>
      <c r="T13696" t="s">
        <v>49486</v>
      </c>
      <c r="U13696" t="s">
        <v>60867</v>
      </c>
      <c r="W13696" t="s">
        <v>43287</v>
      </c>
      <c r="X13696" t="s">
        <v>47322</v>
      </c>
    </row>
    <row r="13697" spans="1:24">
      <c r="A13697">
        <f>HYPERLINK("https://www.philgeps.gov.ph/GEPSNONPILOT/Tender/SplashBidNoticeAbstractUI.aspx?menuIndex=3&amp;refID=7165989&amp;Result=3","7165989")</f>
        <v>0</v>
      </c>
      <c r="B13697" t="s">
        <v>2930</v>
      </c>
      <c r="C13697" t="s">
        <v>16807</v>
      </c>
      <c r="D13697" t="s">
        <v>19002</v>
      </c>
      <c r="E13697" t="s">
        <v>30663</v>
      </c>
      <c r="F13697" t="s">
        <v>32606</v>
      </c>
      <c r="G13697" t="s">
        <v>32613</v>
      </c>
      <c r="H13697" t="s">
        <v>32623</v>
      </c>
      <c r="I13697" t="s">
        <v>17648</v>
      </c>
      <c r="J13697" t="s">
        <v>34912</v>
      </c>
      <c r="K13697" t="s">
        <v>42624</v>
      </c>
      <c r="M13697" t="s">
        <v>46110</v>
      </c>
      <c r="N13697" t="s">
        <v>47304</v>
      </c>
      <c r="O13697" t="s">
        <v>47305</v>
      </c>
      <c r="Q13697">
        <v>2</v>
      </c>
      <c r="R13697" t="s">
        <v>47321</v>
      </c>
      <c r="S13697" t="s">
        <v>48094</v>
      </c>
      <c r="T13697" t="s">
        <v>49075</v>
      </c>
      <c r="U13697" t="s">
        <v>60868</v>
      </c>
      <c r="W13697" t="s">
        <v>46110</v>
      </c>
      <c r="X13697" t="s">
        <v>47322</v>
      </c>
    </row>
    <row r="13698" spans="1:24">
      <c r="A13698">
        <f>HYPERLINK("https://www.philgeps.gov.ph/GEPSNONPILOT/Tender/SplashBidNoticeAbstractUI.aspx?menuIndex=3&amp;refID=7165934&amp;Result=3","7165934")</f>
        <v>0</v>
      </c>
      <c r="B13698" t="s">
        <v>89</v>
      </c>
      <c r="C13698" t="s">
        <v>16808</v>
      </c>
      <c r="D13698" t="s">
        <v>19018</v>
      </c>
      <c r="E13698" t="s">
        <v>30664</v>
      </c>
      <c r="F13698" t="s">
        <v>32606</v>
      </c>
      <c r="G13698" t="s">
        <v>32613</v>
      </c>
      <c r="H13698" t="s">
        <v>14201</v>
      </c>
      <c r="I13698" t="s">
        <v>6007</v>
      </c>
      <c r="J13698" t="s">
        <v>35650</v>
      </c>
      <c r="K13698" t="s">
        <v>42631</v>
      </c>
      <c r="M13698" t="s">
        <v>42987</v>
      </c>
      <c r="N13698" t="s">
        <v>47304</v>
      </c>
      <c r="O13698" t="s">
        <v>47305</v>
      </c>
      <c r="P13698">
        <v>0</v>
      </c>
      <c r="Q13698">
        <v>1</v>
      </c>
      <c r="R13698" t="s">
        <v>47321</v>
      </c>
      <c r="S13698" t="s">
        <v>48071</v>
      </c>
      <c r="T13698" t="s">
        <v>48986</v>
      </c>
      <c r="U13698" t="s">
        <v>60869</v>
      </c>
      <c r="W13698" t="s">
        <v>42987</v>
      </c>
      <c r="X13698" t="s">
        <v>47322</v>
      </c>
    </row>
    <row r="13699" spans="1:24">
      <c r="A13699">
        <f>HYPERLINK("https://www.philgeps.gov.ph/GEPSNONPILOT/Tender/SplashBidNoticeAbstractUI.aspx?menuIndex=3&amp;refID=7165930&amp;Result=3","7165930")</f>
        <v>0</v>
      </c>
      <c r="B13699" t="s">
        <v>2226</v>
      </c>
      <c r="C13699" t="s">
        <v>16809</v>
      </c>
      <c r="D13699" t="s">
        <v>19058</v>
      </c>
      <c r="E13699" t="s">
        <v>30665</v>
      </c>
      <c r="F13699" t="s">
        <v>32606</v>
      </c>
      <c r="G13699" t="s">
        <v>32613</v>
      </c>
      <c r="H13699" t="s">
        <v>32623</v>
      </c>
      <c r="I13699" t="s">
        <v>17648</v>
      </c>
      <c r="J13699" t="s">
        <v>40245</v>
      </c>
      <c r="K13699" t="s">
        <v>42631</v>
      </c>
      <c r="M13699" t="s">
        <v>45330</v>
      </c>
      <c r="N13699" t="s">
        <v>47304</v>
      </c>
      <c r="O13699" t="s">
        <v>47305</v>
      </c>
      <c r="P13699">
        <v>0</v>
      </c>
      <c r="Q13699">
        <v>0</v>
      </c>
      <c r="R13699" t="s">
        <v>47321</v>
      </c>
      <c r="S13699" t="s">
        <v>48071</v>
      </c>
      <c r="T13699" t="s">
        <v>49268</v>
      </c>
      <c r="U13699" t="s">
        <v>51703</v>
      </c>
      <c r="W13699" t="s">
        <v>45330</v>
      </c>
      <c r="X13699" t="s">
        <v>47322</v>
      </c>
    </row>
    <row r="13700" spans="1:24">
      <c r="A13700">
        <f>HYPERLINK("https://www.philgeps.gov.ph/GEPSNONPILOT/Tender/SplashBidNoticeAbstractUI.aspx?menuIndex=3&amp;refID=7165955&amp;Result=3","7165955")</f>
        <v>0</v>
      </c>
      <c r="B13700" t="s">
        <v>89</v>
      </c>
      <c r="C13700" t="s">
        <v>16810</v>
      </c>
      <c r="D13700" t="s">
        <v>19018</v>
      </c>
      <c r="E13700" t="s">
        <v>30666</v>
      </c>
      <c r="F13700" t="s">
        <v>32606</v>
      </c>
      <c r="G13700" t="s">
        <v>32613</v>
      </c>
      <c r="H13700" t="s">
        <v>14201</v>
      </c>
      <c r="I13700" t="s">
        <v>6007</v>
      </c>
      <c r="J13700" t="s">
        <v>32981</v>
      </c>
      <c r="K13700" t="s">
        <v>42631</v>
      </c>
      <c r="M13700" t="s">
        <v>42987</v>
      </c>
      <c r="N13700" t="s">
        <v>47304</v>
      </c>
      <c r="O13700" t="s">
        <v>47305</v>
      </c>
      <c r="P13700">
        <v>0</v>
      </c>
      <c r="Q13700">
        <v>0</v>
      </c>
      <c r="R13700" t="s">
        <v>47321</v>
      </c>
      <c r="S13700" t="s">
        <v>48071</v>
      </c>
      <c r="T13700" t="s">
        <v>48986</v>
      </c>
      <c r="U13700" t="s">
        <v>60870</v>
      </c>
      <c r="W13700" t="s">
        <v>42987</v>
      </c>
      <c r="X13700" t="s">
        <v>47322</v>
      </c>
    </row>
    <row r="13701" spans="1:24">
      <c r="A13701">
        <f>HYPERLINK("https://www.philgeps.gov.ph/GEPSNONPILOT/Tender/SplashBidNoticeAbstractUI.aspx?menuIndex=3&amp;refID=7165947&amp;Result=3","7165947")</f>
        <v>0</v>
      </c>
      <c r="B13701" t="s">
        <v>2572</v>
      </c>
      <c r="C13701" t="s">
        <v>16811</v>
      </c>
      <c r="D13701" t="s">
        <v>19016</v>
      </c>
      <c r="E13701" t="s">
        <v>26021</v>
      </c>
      <c r="F13701" t="s">
        <v>32606</v>
      </c>
      <c r="G13701" t="s">
        <v>32613</v>
      </c>
      <c r="H13701" t="s">
        <v>14201</v>
      </c>
      <c r="I13701" t="s">
        <v>4112</v>
      </c>
      <c r="J13701" t="s">
        <v>41225</v>
      </c>
      <c r="K13701" t="s">
        <v>42629</v>
      </c>
      <c r="M13701" t="s">
        <v>45712</v>
      </c>
      <c r="N13701" t="s">
        <v>47304</v>
      </c>
      <c r="O13701" t="s">
        <v>47305</v>
      </c>
      <c r="Q13701">
        <v>2</v>
      </c>
      <c r="R13701" t="s">
        <v>47321</v>
      </c>
      <c r="S13701" t="s">
        <v>48095</v>
      </c>
      <c r="T13701" t="s">
        <v>49087</v>
      </c>
      <c r="U13701" t="s">
        <v>60871</v>
      </c>
      <c r="V13701" t="s">
        <v>63447</v>
      </c>
      <c r="W13701" t="s">
        <v>45712</v>
      </c>
      <c r="X13701" t="s">
        <v>47322</v>
      </c>
    </row>
    <row r="13702" spans="1:24">
      <c r="A13702">
        <f>HYPERLINK("https://www.philgeps.gov.ph/GEPSNONPILOT/Tender/SplashBidNoticeAbstractUI.aspx?menuIndex=3&amp;refID=7165906&amp;Result=3","7165906")</f>
        <v>0</v>
      </c>
      <c r="B13702" t="s">
        <v>384</v>
      </c>
      <c r="C13702" t="s">
        <v>16812</v>
      </c>
      <c r="D13702" t="s">
        <v>18995</v>
      </c>
      <c r="E13702" t="s">
        <v>22091</v>
      </c>
      <c r="F13702" t="s">
        <v>32606</v>
      </c>
      <c r="G13702" t="s">
        <v>32613</v>
      </c>
      <c r="H13702" t="s">
        <v>14201</v>
      </c>
      <c r="I13702" t="s">
        <v>6298</v>
      </c>
      <c r="J13702" t="s">
        <v>41226</v>
      </c>
      <c r="K13702" t="s">
        <v>42631</v>
      </c>
      <c r="M13702" t="s">
        <v>43287</v>
      </c>
      <c r="N13702" t="s">
        <v>47304</v>
      </c>
      <c r="O13702" t="s">
        <v>47305</v>
      </c>
      <c r="Q13702">
        <v>2</v>
      </c>
      <c r="R13702" t="s">
        <v>47321</v>
      </c>
      <c r="S13702" t="s">
        <v>48096</v>
      </c>
      <c r="T13702" t="s">
        <v>49486</v>
      </c>
      <c r="U13702" t="s">
        <v>60872</v>
      </c>
      <c r="W13702" t="s">
        <v>43287</v>
      </c>
      <c r="X13702" t="s">
        <v>47322</v>
      </c>
    </row>
    <row r="13703" spans="1:24">
      <c r="A13703">
        <f>HYPERLINK("https://www.philgeps.gov.ph/GEPSNONPILOT/Tender/SplashBidNoticeAbstractUI.aspx?menuIndex=3&amp;refID=7165891&amp;Result=3","7165891")</f>
        <v>0</v>
      </c>
      <c r="B13703" t="s">
        <v>89</v>
      </c>
      <c r="C13703" t="s">
        <v>16813</v>
      </c>
      <c r="D13703" t="s">
        <v>19018</v>
      </c>
      <c r="E13703" t="s">
        <v>30667</v>
      </c>
      <c r="F13703" t="s">
        <v>32606</v>
      </c>
      <c r="G13703" t="s">
        <v>32613</v>
      </c>
      <c r="H13703" t="s">
        <v>14201</v>
      </c>
      <c r="I13703" t="s">
        <v>7233</v>
      </c>
      <c r="J13703" t="s">
        <v>41227</v>
      </c>
      <c r="K13703" t="s">
        <v>42631</v>
      </c>
      <c r="M13703" t="s">
        <v>42987</v>
      </c>
      <c r="N13703" t="s">
        <v>47304</v>
      </c>
      <c r="O13703" t="s">
        <v>47305</v>
      </c>
      <c r="P13703">
        <v>0</v>
      </c>
      <c r="Q13703">
        <v>0</v>
      </c>
      <c r="R13703" t="s">
        <v>47321</v>
      </c>
      <c r="S13703" t="s">
        <v>48071</v>
      </c>
      <c r="T13703" t="s">
        <v>48986</v>
      </c>
      <c r="U13703" t="s">
        <v>60873</v>
      </c>
      <c r="W13703" t="s">
        <v>42987</v>
      </c>
      <c r="X13703" t="s">
        <v>47322</v>
      </c>
    </row>
    <row r="13704" spans="1:24">
      <c r="A13704">
        <f>HYPERLINK("https://www.philgeps.gov.ph/GEPSNONPILOT/Tender/SplashBidNoticeAbstractUI.aspx?menuIndex=3&amp;refID=7165647&amp;Result=3","7165647")</f>
        <v>0</v>
      </c>
      <c r="B13704" t="s">
        <v>1343</v>
      </c>
      <c r="C13704" t="s">
        <v>16814</v>
      </c>
      <c r="D13704" t="s">
        <v>19016</v>
      </c>
      <c r="E13704" t="s">
        <v>30668</v>
      </c>
      <c r="F13704" t="s">
        <v>32606</v>
      </c>
      <c r="G13704" t="s">
        <v>32613</v>
      </c>
      <c r="H13704" t="s">
        <v>14201</v>
      </c>
      <c r="I13704" t="s">
        <v>32681</v>
      </c>
      <c r="J13704" t="s">
        <v>41228</v>
      </c>
      <c r="K13704" t="s">
        <v>42631</v>
      </c>
      <c r="M13704" t="s">
        <v>44317</v>
      </c>
      <c r="N13704" t="s">
        <v>47304</v>
      </c>
      <c r="O13704" t="s">
        <v>47305</v>
      </c>
      <c r="P13704">
        <v>0</v>
      </c>
      <c r="Q13704">
        <v>2</v>
      </c>
      <c r="R13704" t="s">
        <v>47321</v>
      </c>
      <c r="S13704" t="s">
        <v>48071</v>
      </c>
      <c r="T13704" t="s">
        <v>49024</v>
      </c>
      <c r="U13704" t="s">
        <v>60874</v>
      </c>
      <c r="W13704" t="s">
        <v>44317</v>
      </c>
      <c r="X13704" t="s">
        <v>47322</v>
      </c>
    </row>
    <row r="13705" spans="1:24">
      <c r="A13705">
        <f>HYPERLINK("https://www.philgeps.gov.ph/GEPSNONPILOT/Tender/SplashBidNoticeAbstractUI.aspx?menuIndex=3&amp;refID=7165879&amp;Result=3","7165879")</f>
        <v>0</v>
      </c>
      <c r="B13705" t="s">
        <v>2434</v>
      </c>
      <c r="C13705" t="s">
        <v>16815</v>
      </c>
      <c r="D13705" t="s">
        <v>18994</v>
      </c>
      <c r="E13705" t="s">
        <v>30669</v>
      </c>
      <c r="F13705" t="s">
        <v>32606</v>
      </c>
      <c r="G13705" t="s">
        <v>32613</v>
      </c>
      <c r="H13705" t="s">
        <v>32623</v>
      </c>
      <c r="I13705" t="s">
        <v>17648</v>
      </c>
      <c r="J13705" t="s">
        <v>41229</v>
      </c>
      <c r="K13705" t="s">
        <v>42884</v>
      </c>
      <c r="M13705" t="s">
        <v>45560</v>
      </c>
      <c r="N13705" t="s">
        <v>47304</v>
      </c>
      <c r="O13705" t="s">
        <v>47305</v>
      </c>
      <c r="Q13705">
        <v>2</v>
      </c>
      <c r="R13705" t="s">
        <v>47321</v>
      </c>
      <c r="S13705" t="s">
        <v>48097</v>
      </c>
      <c r="T13705" t="s">
        <v>49315</v>
      </c>
      <c r="U13705" t="s">
        <v>60875</v>
      </c>
      <c r="W13705" t="s">
        <v>45560</v>
      </c>
      <c r="X13705" t="s">
        <v>47322</v>
      </c>
    </row>
    <row r="13706" spans="1:24">
      <c r="A13706">
        <f>HYPERLINK("https://www.philgeps.gov.ph/GEPSNONPILOT/Tender/SplashBidNoticeAbstractUI.aspx?menuIndex=3&amp;refID=7165859&amp;Result=3","7165859")</f>
        <v>0</v>
      </c>
      <c r="B13706" t="s">
        <v>1568</v>
      </c>
      <c r="C13706" t="s">
        <v>16816</v>
      </c>
      <c r="D13706" t="s">
        <v>18994</v>
      </c>
      <c r="E13706" t="s">
        <v>30670</v>
      </c>
      <c r="F13706" t="s">
        <v>32606</v>
      </c>
      <c r="G13706" t="s">
        <v>32613</v>
      </c>
      <c r="H13706" t="s">
        <v>14201</v>
      </c>
      <c r="I13706" t="s">
        <v>32669</v>
      </c>
      <c r="J13706" t="s">
        <v>32860</v>
      </c>
      <c r="K13706" t="s">
        <v>42714</v>
      </c>
      <c r="M13706" t="s">
        <v>44577</v>
      </c>
      <c r="N13706" t="s">
        <v>47304</v>
      </c>
      <c r="O13706" t="s">
        <v>47305</v>
      </c>
      <c r="Q13706">
        <v>5</v>
      </c>
      <c r="R13706" t="s">
        <v>47321</v>
      </c>
      <c r="S13706" t="s">
        <v>48098</v>
      </c>
      <c r="T13706" t="s">
        <v>49011</v>
      </c>
      <c r="U13706" t="s">
        <v>60876</v>
      </c>
      <c r="V13706" t="s">
        <v>62763</v>
      </c>
      <c r="W13706" t="s">
        <v>44577</v>
      </c>
      <c r="X13706" t="s">
        <v>47322</v>
      </c>
    </row>
    <row r="13707" spans="1:24">
      <c r="A13707">
        <f>HYPERLINK("https://www.philgeps.gov.ph/GEPSNONPILOT/Tender/SplashBidNoticeAbstractUI.aspx?menuIndex=3&amp;refID=7165848&amp;Result=3","7165848")</f>
        <v>0</v>
      </c>
      <c r="B13707" t="s">
        <v>89</v>
      </c>
      <c r="C13707" t="s">
        <v>16817</v>
      </c>
      <c r="D13707" t="s">
        <v>19018</v>
      </c>
      <c r="E13707" t="s">
        <v>30671</v>
      </c>
      <c r="F13707" t="s">
        <v>32606</v>
      </c>
      <c r="G13707" t="s">
        <v>32613</v>
      </c>
      <c r="H13707" t="s">
        <v>14201</v>
      </c>
      <c r="I13707" t="s">
        <v>7233</v>
      </c>
      <c r="J13707" t="s">
        <v>41230</v>
      </c>
      <c r="K13707" t="s">
        <v>42631</v>
      </c>
      <c r="M13707" t="s">
        <v>42987</v>
      </c>
      <c r="N13707" t="s">
        <v>47304</v>
      </c>
      <c r="O13707" t="s">
        <v>47305</v>
      </c>
      <c r="P13707">
        <v>0</v>
      </c>
      <c r="Q13707">
        <v>0</v>
      </c>
      <c r="R13707" t="s">
        <v>47321</v>
      </c>
      <c r="S13707" t="s">
        <v>48071</v>
      </c>
      <c r="T13707" t="s">
        <v>48986</v>
      </c>
      <c r="U13707" t="s">
        <v>60877</v>
      </c>
      <c r="W13707" t="s">
        <v>42987</v>
      </c>
      <c r="X13707" t="s">
        <v>47322</v>
      </c>
    </row>
    <row r="13708" spans="1:24">
      <c r="A13708">
        <f>HYPERLINK("https://www.philgeps.gov.ph/GEPSNONPILOT/Tender/SplashBidNoticeAbstractUI.aspx?menuIndex=3&amp;refID=7165829&amp;Result=3","7165829")</f>
        <v>0</v>
      </c>
      <c r="B13708" t="s">
        <v>586</v>
      </c>
      <c r="C13708" t="s">
        <v>16818</v>
      </c>
      <c r="E13708" t="s">
        <v>30672</v>
      </c>
      <c r="F13708" t="s">
        <v>32606</v>
      </c>
      <c r="G13708" t="s">
        <v>32613</v>
      </c>
      <c r="H13708" t="s">
        <v>32623</v>
      </c>
      <c r="I13708" t="s">
        <v>17648</v>
      </c>
      <c r="J13708" t="s">
        <v>32821</v>
      </c>
      <c r="K13708" t="s">
        <v>42645</v>
      </c>
      <c r="M13708" t="s">
        <v>43501</v>
      </c>
      <c r="N13708" t="s">
        <v>47304</v>
      </c>
      <c r="O13708" t="s">
        <v>47305</v>
      </c>
      <c r="P13708">
        <v>0</v>
      </c>
      <c r="Q13708">
        <v>1</v>
      </c>
      <c r="R13708" t="s">
        <v>47321</v>
      </c>
      <c r="S13708" t="s">
        <v>48071</v>
      </c>
      <c r="T13708" t="s">
        <v>48988</v>
      </c>
      <c r="U13708" t="s">
        <v>60878</v>
      </c>
      <c r="W13708" t="s">
        <v>43501</v>
      </c>
      <c r="X13708" t="s">
        <v>47322</v>
      </c>
    </row>
    <row r="13709" spans="1:24">
      <c r="A13709">
        <f>HYPERLINK("https://www.philgeps.gov.ph/GEPSNONPILOT/Tender/SplashBidNoticeAbstractUI.aspx?menuIndex=3&amp;refID=7166008&amp;Result=3","7166008")</f>
        <v>0</v>
      </c>
      <c r="B13709" t="s">
        <v>3670</v>
      </c>
      <c r="C13709" t="s">
        <v>16819</v>
      </c>
      <c r="D13709" t="s">
        <v>19008</v>
      </c>
      <c r="E13709" t="s">
        <v>20284</v>
      </c>
      <c r="F13709" t="s">
        <v>32606</v>
      </c>
      <c r="G13709" t="s">
        <v>32613</v>
      </c>
      <c r="H13709" t="s">
        <v>14201</v>
      </c>
      <c r="I13709" t="s">
        <v>32659</v>
      </c>
      <c r="J13709" t="s">
        <v>41231</v>
      </c>
      <c r="K13709" t="s">
        <v>42622</v>
      </c>
      <c r="M13709" t="s">
        <v>46975</v>
      </c>
      <c r="N13709" t="s">
        <v>47304</v>
      </c>
      <c r="O13709" t="s">
        <v>47305</v>
      </c>
      <c r="P13709">
        <v>0</v>
      </c>
      <c r="Q13709">
        <v>0</v>
      </c>
      <c r="R13709" t="s">
        <v>47321</v>
      </c>
      <c r="S13709" t="s">
        <v>48071</v>
      </c>
      <c r="T13709" t="s">
        <v>49019</v>
      </c>
      <c r="U13709" t="s">
        <v>60879</v>
      </c>
      <c r="W13709" t="s">
        <v>46975</v>
      </c>
      <c r="X13709" t="s">
        <v>47322</v>
      </c>
    </row>
    <row r="13710" spans="1:24">
      <c r="A13710">
        <f>HYPERLINK("https://www.philgeps.gov.ph/GEPSNONPILOT/Tender/SplashBidNoticeAbstractUI.aspx?menuIndex=3&amp;refID=7165824&amp;Result=3","7165824")</f>
        <v>0</v>
      </c>
      <c r="B13710" t="s">
        <v>52</v>
      </c>
      <c r="C13710" t="s">
        <v>16820</v>
      </c>
      <c r="D13710" t="s">
        <v>19007</v>
      </c>
      <c r="E13710" t="s">
        <v>30673</v>
      </c>
      <c r="F13710" t="s">
        <v>32606</v>
      </c>
      <c r="G13710" t="s">
        <v>32613</v>
      </c>
      <c r="H13710" t="s">
        <v>14201</v>
      </c>
      <c r="I13710" t="s">
        <v>9008</v>
      </c>
      <c r="J13710" t="s">
        <v>32772</v>
      </c>
      <c r="K13710" t="s">
        <v>42631</v>
      </c>
      <c r="M13710" t="s">
        <v>42949</v>
      </c>
      <c r="N13710" t="s">
        <v>47304</v>
      </c>
      <c r="O13710" t="s">
        <v>47305</v>
      </c>
      <c r="P13710">
        <v>0</v>
      </c>
      <c r="Q13710">
        <v>2</v>
      </c>
      <c r="R13710" t="s">
        <v>47321</v>
      </c>
      <c r="S13710" t="s">
        <v>48071</v>
      </c>
      <c r="T13710" t="s">
        <v>49098</v>
      </c>
      <c r="U13710" t="s">
        <v>49586</v>
      </c>
      <c r="W13710" t="s">
        <v>42949</v>
      </c>
      <c r="X13710" t="s">
        <v>47322</v>
      </c>
    </row>
    <row r="13711" spans="1:24">
      <c r="A13711">
        <f>HYPERLINK("https://www.philgeps.gov.ph/GEPSNONPILOT/Tender/SplashBidNoticeAbstractUI.aspx?menuIndex=3&amp;refID=7166182&amp;Result=3","7166182")</f>
        <v>0</v>
      </c>
      <c r="B13711" t="s">
        <v>1203</v>
      </c>
      <c r="C13711" t="s">
        <v>16821</v>
      </c>
      <c r="D13711" t="s">
        <v>19027</v>
      </c>
      <c r="E13711" t="s">
        <v>30674</v>
      </c>
      <c r="F13711" t="s">
        <v>32606</v>
      </c>
      <c r="G13711" t="s">
        <v>32613</v>
      </c>
      <c r="H13711" t="s">
        <v>14201</v>
      </c>
      <c r="I13711" t="s">
        <v>32633</v>
      </c>
      <c r="J13711" t="s">
        <v>33102</v>
      </c>
      <c r="K13711" t="s">
        <v>42624</v>
      </c>
      <c r="M13711" t="s">
        <v>44167</v>
      </c>
      <c r="N13711" t="s">
        <v>47304</v>
      </c>
      <c r="O13711" t="s">
        <v>47305</v>
      </c>
      <c r="P13711">
        <v>0</v>
      </c>
      <c r="Q13711">
        <v>8</v>
      </c>
      <c r="R13711" t="s">
        <v>47321</v>
      </c>
      <c r="S13711" t="s">
        <v>48071</v>
      </c>
      <c r="T13711" t="s">
        <v>48987</v>
      </c>
      <c r="U13711" t="s">
        <v>60880</v>
      </c>
      <c r="V13711" t="s">
        <v>64121</v>
      </c>
      <c r="W13711" t="s">
        <v>44167</v>
      </c>
      <c r="X13711" t="s">
        <v>47322</v>
      </c>
    </row>
    <row r="13712" spans="1:24">
      <c r="A13712">
        <f>HYPERLINK("https://www.philgeps.gov.ph/GEPSNONPILOT/Tender/SplashBidNoticeAbstractUI.aspx?menuIndex=3&amp;refID=7165282&amp;Result=3","7165282")</f>
        <v>0</v>
      </c>
      <c r="B13712" t="s">
        <v>1491</v>
      </c>
      <c r="C13712" t="s">
        <v>16822</v>
      </c>
      <c r="D13712" t="s">
        <v>18987</v>
      </c>
      <c r="E13712" t="s">
        <v>30675</v>
      </c>
      <c r="F13712" t="s">
        <v>32606</v>
      </c>
      <c r="G13712" t="s">
        <v>32613</v>
      </c>
      <c r="H13712" t="s">
        <v>14201</v>
      </c>
      <c r="I13712" t="s">
        <v>4120</v>
      </c>
      <c r="J13712" t="s">
        <v>41232</v>
      </c>
      <c r="K13712" t="s">
        <v>42631</v>
      </c>
      <c r="M13712" t="s">
        <v>44486</v>
      </c>
      <c r="N13712" t="s">
        <v>47304</v>
      </c>
      <c r="O13712" t="s">
        <v>47305</v>
      </c>
      <c r="P13712">
        <v>0</v>
      </c>
      <c r="Q13712">
        <v>1</v>
      </c>
      <c r="R13712" t="s">
        <v>47321</v>
      </c>
      <c r="S13712" t="s">
        <v>48071</v>
      </c>
      <c r="T13712" t="s">
        <v>49071</v>
      </c>
      <c r="U13712" t="s">
        <v>51117</v>
      </c>
      <c r="V13712" t="s">
        <v>62938</v>
      </c>
      <c r="W13712" t="s">
        <v>44486</v>
      </c>
      <c r="X13712" t="s">
        <v>47322</v>
      </c>
    </row>
    <row r="13713" spans="1:24">
      <c r="A13713">
        <f>HYPERLINK("https://www.philgeps.gov.ph/GEPSNONPILOT/Tender/SplashBidNoticeAbstractUI.aspx?menuIndex=3&amp;refID=7166181&amp;Result=3","7166181")</f>
        <v>0</v>
      </c>
      <c r="B13713" t="s">
        <v>3671</v>
      </c>
      <c r="C13713" t="s">
        <v>16823</v>
      </c>
      <c r="D13713" t="s">
        <v>19039</v>
      </c>
      <c r="E13713" t="s">
        <v>30676</v>
      </c>
      <c r="F13713" t="s">
        <v>32606</v>
      </c>
      <c r="G13713" t="s">
        <v>32613</v>
      </c>
      <c r="H13713" t="s">
        <v>32623</v>
      </c>
      <c r="I13713" t="s">
        <v>17648</v>
      </c>
      <c r="J13713" t="s">
        <v>41233</v>
      </c>
      <c r="K13713" t="s">
        <v>42637</v>
      </c>
      <c r="M13713" t="s">
        <v>46976</v>
      </c>
      <c r="N13713" t="s">
        <v>47304</v>
      </c>
      <c r="O13713" t="s">
        <v>47305</v>
      </c>
      <c r="P13713">
        <v>0</v>
      </c>
      <c r="Q13713">
        <v>0</v>
      </c>
      <c r="R13713" t="s">
        <v>47321</v>
      </c>
      <c r="S13713" t="s">
        <v>48071</v>
      </c>
      <c r="T13713" t="s">
        <v>49023</v>
      </c>
      <c r="U13713" t="s">
        <v>60881</v>
      </c>
      <c r="W13713" t="s">
        <v>46976</v>
      </c>
      <c r="X13713" t="s">
        <v>47322</v>
      </c>
    </row>
    <row r="13714" spans="1:24">
      <c r="A13714">
        <f>HYPERLINK("https://www.philgeps.gov.ph/GEPSNONPILOT/Tender/SplashBidNoticeAbstractUI.aspx?menuIndex=3&amp;refID=7165907&amp;Result=3","7165907")</f>
        <v>0</v>
      </c>
      <c r="B13714" t="s">
        <v>3672</v>
      </c>
      <c r="C13714" t="s">
        <v>16824</v>
      </c>
      <c r="E13714" t="s">
        <v>30677</v>
      </c>
      <c r="F13714" t="s">
        <v>32606</v>
      </c>
      <c r="G13714" t="s">
        <v>32613</v>
      </c>
      <c r="H13714" t="s">
        <v>14201</v>
      </c>
      <c r="I13714" t="s">
        <v>6931</v>
      </c>
      <c r="J13714" t="s">
        <v>32778</v>
      </c>
      <c r="K13714" t="s">
        <v>42627</v>
      </c>
      <c r="M13714" t="s">
        <v>46977</v>
      </c>
      <c r="N13714" t="s">
        <v>47304</v>
      </c>
      <c r="O13714" t="s">
        <v>47305</v>
      </c>
      <c r="P13714">
        <v>0</v>
      </c>
      <c r="Q13714">
        <v>0</v>
      </c>
      <c r="R13714" t="s">
        <v>47321</v>
      </c>
      <c r="S13714" t="s">
        <v>48071</v>
      </c>
      <c r="T13714" t="s">
        <v>48996</v>
      </c>
      <c r="U13714" t="s">
        <v>60882</v>
      </c>
      <c r="V13714" t="s">
        <v>62938</v>
      </c>
      <c r="W13714" t="s">
        <v>46977</v>
      </c>
      <c r="X13714" t="s">
        <v>47322</v>
      </c>
    </row>
    <row r="13715" spans="1:24">
      <c r="A13715">
        <f>HYPERLINK("https://www.philgeps.gov.ph/GEPSNONPILOT/Tender/SplashBidNoticeAbstractUI.aspx?menuIndex=3&amp;refID=7166159&amp;Result=3","7166159")</f>
        <v>0</v>
      </c>
      <c r="B13715" t="s">
        <v>1121</v>
      </c>
      <c r="C13715" t="s">
        <v>16825</v>
      </c>
      <c r="D13715" t="s">
        <v>19037</v>
      </c>
      <c r="E13715" t="s">
        <v>30678</v>
      </c>
      <c r="F13715" t="s">
        <v>32606</v>
      </c>
      <c r="G13715" t="s">
        <v>32613</v>
      </c>
      <c r="H13715" t="s">
        <v>32625</v>
      </c>
      <c r="I13715" t="s">
        <v>32625</v>
      </c>
      <c r="J13715" t="s">
        <v>32830</v>
      </c>
      <c r="K13715" t="s">
        <v>42712</v>
      </c>
      <c r="M13715" t="s">
        <v>44083</v>
      </c>
      <c r="N13715" t="s">
        <v>47304</v>
      </c>
      <c r="O13715" t="s">
        <v>47305</v>
      </c>
      <c r="Q13715">
        <v>7</v>
      </c>
      <c r="R13715" t="s">
        <v>47321</v>
      </c>
      <c r="S13715" t="s">
        <v>48099</v>
      </c>
      <c r="T13715" t="s">
        <v>49144</v>
      </c>
      <c r="U13715" t="s">
        <v>60883</v>
      </c>
      <c r="W13715" t="s">
        <v>64463</v>
      </c>
      <c r="X13715" t="s">
        <v>47322</v>
      </c>
    </row>
    <row r="13716" spans="1:24">
      <c r="A13716">
        <f>HYPERLINK("https://www.philgeps.gov.ph/GEPSNONPILOT/Tender/SplashBidNoticeAbstractUI.aspx?menuIndex=3&amp;refID=7166180&amp;Result=3","7166180")</f>
        <v>0</v>
      </c>
      <c r="B13716" t="s">
        <v>362</v>
      </c>
      <c r="C13716" t="s">
        <v>16826</v>
      </c>
      <c r="D13716" t="s">
        <v>19023</v>
      </c>
      <c r="E13716" t="s">
        <v>30679</v>
      </c>
      <c r="F13716" t="s">
        <v>32606</v>
      </c>
      <c r="G13716" t="s">
        <v>32613</v>
      </c>
      <c r="H13716" t="s">
        <v>32623</v>
      </c>
      <c r="I13716" t="s">
        <v>17648</v>
      </c>
      <c r="J13716" t="s">
        <v>41234</v>
      </c>
      <c r="K13716" t="s">
        <v>42796</v>
      </c>
      <c r="M13716" t="s">
        <v>43264</v>
      </c>
      <c r="N13716" t="s">
        <v>47304</v>
      </c>
      <c r="O13716" t="s">
        <v>47305</v>
      </c>
      <c r="P13716">
        <v>0</v>
      </c>
      <c r="Q13716">
        <v>0</v>
      </c>
      <c r="R13716" t="s">
        <v>47321</v>
      </c>
      <c r="S13716" t="s">
        <v>48071</v>
      </c>
      <c r="T13716" t="s">
        <v>49017</v>
      </c>
      <c r="U13716" t="s">
        <v>60884</v>
      </c>
      <c r="W13716" t="s">
        <v>43264</v>
      </c>
      <c r="X13716" t="s">
        <v>47322</v>
      </c>
    </row>
    <row r="13717" spans="1:24">
      <c r="A13717">
        <f>HYPERLINK("https://www.philgeps.gov.ph/GEPSNONPILOT/Tender/SplashBidNoticeAbstractUI.aspx?menuIndex=3&amp;refID=7166150&amp;Result=3","7166150")</f>
        <v>0</v>
      </c>
      <c r="B13717" t="s">
        <v>1491</v>
      </c>
      <c r="C13717" t="s">
        <v>16827</v>
      </c>
      <c r="D13717" t="s">
        <v>18987</v>
      </c>
      <c r="E13717" t="s">
        <v>30680</v>
      </c>
      <c r="F13717" t="s">
        <v>32606</v>
      </c>
      <c r="G13717" t="s">
        <v>32614</v>
      </c>
      <c r="H13717" t="s">
        <v>14201</v>
      </c>
      <c r="I13717" t="s">
        <v>4114</v>
      </c>
      <c r="J13717" t="s">
        <v>41235</v>
      </c>
      <c r="K13717" t="s">
        <v>42631</v>
      </c>
      <c r="M13717" t="s">
        <v>44486</v>
      </c>
      <c r="N13717" t="s">
        <v>47304</v>
      </c>
      <c r="O13717" t="s">
        <v>47305</v>
      </c>
      <c r="P13717">
        <v>0</v>
      </c>
      <c r="Q13717">
        <v>1</v>
      </c>
      <c r="R13717" t="s">
        <v>47321</v>
      </c>
      <c r="S13717" t="s">
        <v>48071</v>
      </c>
      <c r="T13717" t="s">
        <v>49071</v>
      </c>
      <c r="U13717" t="s">
        <v>60885</v>
      </c>
      <c r="V13717" t="s">
        <v>64125</v>
      </c>
      <c r="W13717" t="s">
        <v>44486</v>
      </c>
      <c r="X13717" t="s">
        <v>47322</v>
      </c>
    </row>
    <row r="13718" spans="1:24">
      <c r="A13718">
        <f>HYPERLINK("https://www.philgeps.gov.ph/GEPSNONPILOT/Tender/SplashBidNoticeAbstractUI.aspx?menuIndex=3&amp;refID=7165843&amp;Result=3","7165843")</f>
        <v>0</v>
      </c>
      <c r="B13718" t="s">
        <v>3673</v>
      </c>
      <c r="C13718" t="s">
        <v>16828</v>
      </c>
      <c r="D13718" t="s">
        <v>19008</v>
      </c>
      <c r="E13718" t="s">
        <v>30677</v>
      </c>
      <c r="F13718" t="s">
        <v>32606</v>
      </c>
      <c r="G13718" t="s">
        <v>32613</v>
      </c>
      <c r="H13718" t="s">
        <v>14201</v>
      </c>
      <c r="I13718" t="s">
        <v>6931</v>
      </c>
      <c r="J13718" t="s">
        <v>41236</v>
      </c>
      <c r="K13718" t="s">
        <v>42627</v>
      </c>
      <c r="M13718" t="s">
        <v>46978</v>
      </c>
      <c r="N13718" t="s">
        <v>47304</v>
      </c>
      <c r="O13718" t="s">
        <v>47305</v>
      </c>
      <c r="P13718">
        <v>0</v>
      </c>
      <c r="Q13718">
        <v>0</v>
      </c>
      <c r="R13718" t="s">
        <v>47321</v>
      </c>
      <c r="S13718" t="s">
        <v>48071</v>
      </c>
      <c r="T13718" t="s">
        <v>48996</v>
      </c>
      <c r="U13718" t="s">
        <v>60886</v>
      </c>
      <c r="V13718" t="s">
        <v>62938</v>
      </c>
      <c r="W13718" t="s">
        <v>46978</v>
      </c>
      <c r="X13718" t="s">
        <v>47322</v>
      </c>
    </row>
    <row r="13719" spans="1:24">
      <c r="A13719">
        <f>HYPERLINK("https://www.philgeps.gov.ph/GEPSNONPILOT/Tender/SplashBidNoticeAbstractUI.aspx?menuIndex=3&amp;refID=7165290&amp;Result=3","7165290")</f>
        <v>0</v>
      </c>
      <c r="B13719" t="s">
        <v>232</v>
      </c>
      <c r="C13719" t="s">
        <v>16829</v>
      </c>
      <c r="D13719" t="s">
        <v>19017</v>
      </c>
      <c r="E13719" t="s">
        <v>30681</v>
      </c>
      <c r="F13719" t="s">
        <v>32606</v>
      </c>
      <c r="G13719" t="s">
        <v>32613</v>
      </c>
      <c r="H13719" t="s">
        <v>32623</v>
      </c>
      <c r="I13719" t="s">
        <v>17648</v>
      </c>
      <c r="J13719" t="s">
        <v>33071</v>
      </c>
      <c r="K13719" t="s">
        <v>42798</v>
      </c>
      <c r="M13719" t="s">
        <v>43133</v>
      </c>
      <c r="N13719" t="s">
        <v>47304</v>
      </c>
      <c r="O13719" t="s">
        <v>47305</v>
      </c>
      <c r="P13719">
        <v>0</v>
      </c>
      <c r="Q13719">
        <v>1</v>
      </c>
      <c r="R13719" t="s">
        <v>47321</v>
      </c>
      <c r="S13719" t="s">
        <v>48071</v>
      </c>
      <c r="T13719" t="s">
        <v>49023</v>
      </c>
      <c r="U13719" t="s">
        <v>60887</v>
      </c>
      <c r="W13719" t="s">
        <v>43133</v>
      </c>
      <c r="X13719" t="s">
        <v>47322</v>
      </c>
    </row>
    <row r="13720" spans="1:24">
      <c r="A13720">
        <f>HYPERLINK("https://www.philgeps.gov.ph/GEPSNONPILOT/Tender/SplashBidNoticeAbstractUI.aspx?menuIndex=3&amp;refID=7166143&amp;Result=3","7166143")</f>
        <v>0</v>
      </c>
      <c r="B13720" t="s">
        <v>703</v>
      </c>
      <c r="C13720" t="s">
        <v>16830</v>
      </c>
      <c r="D13720" t="s">
        <v>18992</v>
      </c>
      <c r="E13720" t="s">
        <v>30682</v>
      </c>
      <c r="F13720" t="s">
        <v>32606</v>
      </c>
      <c r="G13720" t="s">
        <v>32613</v>
      </c>
      <c r="H13720" t="s">
        <v>14201</v>
      </c>
      <c r="I13720" t="s">
        <v>32678</v>
      </c>
      <c r="J13720" t="s">
        <v>32853</v>
      </c>
      <c r="K13720" t="s">
        <v>42631</v>
      </c>
      <c r="M13720" t="s">
        <v>43624</v>
      </c>
      <c r="N13720" t="s">
        <v>47304</v>
      </c>
      <c r="O13720" t="s">
        <v>47305</v>
      </c>
      <c r="P13720">
        <v>0</v>
      </c>
      <c r="Q13720">
        <v>1</v>
      </c>
      <c r="R13720" t="s">
        <v>47321</v>
      </c>
      <c r="S13720" t="s">
        <v>48071</v>
      </c>
      <c r="T13720" t="s">
        <v>48994</v>
      </c>
      <c r="U13720" t="s">
        <v>60888</v>
      </c>
      <c r="V13720" t="s">
        <v>64126</v>
      </c>
      <c r="W13720" t="s">
        <v>43624</v>
      </c>
      <c r="X13720" t="s">
        <v>47322</v>
      </c>
    </row>
    <row r="13721" spans="1:24">
      <c r="A13721">
        <f>HYPERLINK("https://www.philgeps.gov.ph/GEPSNONPILOT/Tender/SplashBidNoticeAbstractUI.aspx?menuIndex=3&amp;refID=7166118&amp;Result=3","7166118")</f>
        <v>0</v>
      </c>
      <c r="B13721" t="s">
        <v>431</v>
      </c>
      <c r="C13721" t="s">
        <v>16831</v>
      </c>
      <c r="D13721" t="s">
        <v>19001</v>
      </c>
      <c r="E13721" t="s">
        <v>20618</v>
      </c>
      <c r="F13721" t="s">
        <v>32606</v>
      </c>
      <c r="G13721" t="s">
        <v>32613</v>
      </c>
      <c r="H13721" t="s">
        <v>14201</v>
      </c>
      <c r="I13721" t="s">
        <v>7064</v>
      </c>
      <c r="J13721" t="s">
        <v>34435</v>
      </c>
      <c r="K13721" t="s">
        <v>42631</v>
      </c>
      <c r="M13721" t="s">
        <v>43337</v>
      </c>
      <c r="N13721" t="s">
        <v>47304</v>
      </c>
      <c r="O13721" t="s">
        <v>47305</v>
      </c>
      <c r="P13721">
        <v>0</v>
      </c>
      <c r="Q13721">
        <v>7</v>
      </c>
      <c r="R13721" t="s">
        <v>47321</v>
      </c>
      <c r="S13721" t="s">
        <v>48071</v>
      </c>
      <c r="T13721" t="s">
        <v>48986</v>
      </c>
      <c r="U13721" t="s">
        <v>60889</v>
      </c>
      <c r="W13721" t="s">
        <v>43337</v>
      </c>
      <c r="X13721" t="s">
        <v>47322</v>
      </c>
    </row>
    <row r="13722" spans="1:24">
      <c r="A13722">
        <f>HYPERLINK("https://www.philgeps.gov.ph/GEPSNONPILOT/Tender/SplashBidNoticeAbstractUI.aspx?menuIndex=3&amp;refID=7166149&amp;Result=3","7166149")</f>
        <v>0</v>
      </c>
      <c r="B13722" t="s">
        <v>2119</v>
      </c>
      <c r="C13722" t="s">
        <v>16832</v>
      </c>
      <c r="D13722" t="s">
        <v>18993</v>
      </c>
      <c r="E13722" t="s">
        <v>30683</v>
      </c>
      <c r="F13722" t="s">
        <v>32607</v>
      </c>
      <c r="G13722" t="s">
        <v>32613</v>
      </c>
      <c r="H13722" t="s">
        <v>14201</v>
      </c>
      <c r="I13722" t="s">
        <v>6931</v>
      </c>
      <c r="J13722" t="s">
        <v>41237</v>
      </c>
      <c r="K13722" t="s">
        <v>42631</v>
      </c>
      <c r="M13722" t="s">
        <v>45206</v>
      </c>
      <c r="N13722" t="s">
        <v>47304</v>
      </c>
      <c r="O13722" t="s">
        <v>47305</v>
      </c>
      <c r="P13722">
        <v>0</v>
      </c>
      <c r="Q13722">
        <v>2</v>
      </c>
      <c r="R13722" t="s">
        <v>47321</v>
      </c>
      <c r="S13722" t="s">
        <v>48071</v>
      </c>
      <c r="T13722" t="s">
        <v>49071</v>
      </c>
      <c r="U13722" t="s">
        <v>60890</v>
      </c>
      <c r="V13722" t="s">
        <v>63251</v>
      </c>
      <c r="W13722" t="s">
        <v>45206</v>
      </c>
      <c r="X13722" t="s">
        <v>47322</v>
      </c>
    </row>
    <row r="13723" spans="1:24">
      <c r="A13723">
        <f>HYPERLINK("https://www.philgeps.gov.ph/GEPSNONPILOT/Tender/SplashBidNoticeAbstractUI.aspx?menuIndex=3&amp;refID=7166092&amp;Result=3","7166092")</f>
        <v>0</v>
      </c>
      <c r="B13723" t="s">
        <v>703</v>
      </c>
      <c r="C13723" t="s">
        <v>16833</v>
      </c>
      <c r="D13723" t="s">
        <v>18992</v>
      </c>
      <c r="E13723" t="s">
        <v>30684</v>
      </c>
      <c r="F13723" t="s">
        <v>32606</v>
      </c>
      <c r="G13723" t="s">
        <v>32613</v>
      </c>
      <c r="H13723" t="s">
        <v>14201</v>
      </c>
      <c r="I13723" t="s">
        <v>6478</v>
      </c>
      <c r="J13723" t="s">
        <v>34433</v>
      </c>
      <c r="K13723" t="s">
        <v>42694</v>
      </c>
      <c r="M13723" t="s">
        <v>43624</v>
      </c>
      <c r="N13723" t="s">
        <v>47304</v>
      </c>
      <c r="O13723" t="s">
        <v>47305</v>
      </c>
      <c r="P13723">
        <v>0</v>
      </c>
      <c r="Q13723">
        <v>1</v>
      </c>
      <c r="R13723" t="s">
        <v>47321</v>
      </c>
      <c r="S13723" t="s">
        <v>48071</v>
      </c>
      <c r="T13723" t="s">
        <v>48994</v>
      </c>
      <c r="U13723" t="s">
        <v>60891</v>
      </c>
      <c r="V13723" t="s">
        <v>64127</v>
      </c>
      <c r="W13723" t="s">
        <v>43624</v>
      </c>
      <c r="X13723" t="s">
        <v>47322</v>
      </c>
    </row>
    <row r="13724" spans="1:24">
      <c r="A13724">
        <f>HYPERLINK("https://www.philgeps.gov.ph/GEPSNONPILOT/Tender/SplashBidNoticeAbstractUI.aspx?menuIndex=3&amp;refID=7166167&amp;Result=3","7166167")</f>
        <v>0</v>
      </c>
      <c r="B13724" t="s">
        <v>384</v>
      </c>
      <c r="C13724" t="s">
        <v>16834</v>
      </c>
      <c r="D13724" t="s">
        <v>18995</v>
      </c>
      <c r="E13724" t="s">
        <v>22091</v>
      </c>
      <c r="F13724" t="s">
        <v>32606</v>
      </c>
      <c r="G13724" t="s">
        <v>32613</v>
      </c>
      <c r="H13724" t="s">
        <v>14201</v>
      </c>
      <c r="I13724" t="s">
        <v>6298</v>
      </c>
      <c r="J13724" t="s">
        <v>41238</v>
      </c>
      <c r="K13724" t="s">
        <v>42631</v>
      </c>
      <c r="M13724" t="s">
        <v>43287</v>
      </c>
      <c r="N13724" t="s">
        <v>47304</v>
      </c>
      <c r="O13724" t="s">
        <v>47305</v>
      </c>
      <c r="Q13724">
        <v>1</v>
      </c>
      <c r="R13724" t="s">
        <v>47321</v>
      </c>
      <c r="S13724" t="s">
        <v>48100</v>
      </c>
      <c r="T13724" t="s">
        <v>49486</v>
      </c>
      <c r="U13724" t="s">
        <v>60892</v>
      </c>
      <c r="W13724" t="s">
        <v>43287</v>
      </c>
      <c r="X13724" t="s">
        <v>47322</v>
      </c>
    </row>
    <row r="13725" spans="1:24">
      <c r="A13725">
        <f>HYPERLINK("https://www.philgeps.gov.ph/GEPSNONPILOT/Tender/SplashBidNoticeAbstractUI.aspx?menuIndex=3&amp;refID=7166094&amp;Result=3","7166094")</f>
        <v>0</v>
      </c>
      <c r="B13725" t="s">
        <v>3674</v>
      </c>
      <c r="C13725" t="s">
        <v>16835</v>
      </c>
      <c r="D13725" t="s">
        <v>19058</v>
      </c>
      <c r="E13725" t="s">
        <v>20501</v>
      </c>
      <c r="F13725" t="s">
        <v>32606</v>
      </c>
      <c r="G13725" t="s">
        <v>32613</v>
      </c>
      <c r="H13725" t="s">
        <v>32623</v>
      </c>
      <c r="I13725" t="s">
        <v>17648</v>
      </c>
      <c r="J13725" t="s">
        <v>41239</v>
      </c>
      <c r="K13725" t="s">
        <v>42631</v>
      </c>
      <c r="M13725" t="s">
        <v>46979</v>
      </c>
      <c r="N13725" t="s">
        <v>47304</v>
      </c>
      <c r="O13725" t="s">
        <v>47305</v>
      </c>
      <c r="P13725">
        <v>0</v>
      </c>
      <c r="Q13725">
        <v>2</v>
      </c>
      <c r="R13725" t="s">
        <v>47321</v>
      </c>
      <c r="S13725" t="s">
        <v>48071</v>
      </c>
      <c r="T13725" t="s">
        <v>49018</v>
      </c>
      <c r="U13725" t="s">
        <v>60893</v>
      </c>
      <c r="V13725" t="s">
        <v>62846</v>
      </c>
      <c r="W13725" t="s">
        <v>46979</v>
      </c>
      <c r="X13725" t="s">
        <v>47322</v>
      </c>
    </row>
    <row r="13726" spans="1:24">
      <c r="A13726">
        <f>HYPERLINK("https://www.philgeps.gov.ph/GEPSNONPILOT/Tender/SplashBidNoticeAbstractUI.aspx?menuIndex=3&amp;refID=7166311&amp;Result=3","7166311")</f>
        <v>0</v>
      </c>
      <c r="B13726" t="s">
        <v>3144</v>
      </c>
      <c r="C13726" t="s">
        <v>16836</v>
      </c>
      <c r="D13726" t="s">
        <v>19051</v>
      </c>
      <c r="E13726" t="s">
        <v>29151</v>
      </c>
      <c r="F13726" t="s">
        <v>32606</v>
      </c>
      <c r="G13726" t="s">
        <v>32613</v>
      </c>
      <c r="H13726" t="s">
        <v>14201</v>
      </c>
      <c r="I13726" t="s">
        <v>13131</v>
      </c>
      <c r="J13726" t="s">
        <v>41240</v>
      </c>
      <c r="K13726" t="s">
        <v>42648</v>
      </c>
      <c r="M13726" t="s">
        <v>46360</v>
      </c>
      <c r="N13726" t="s">
        <v>47304</v>
      </c>
      <c r="O13726" t="s">
        <v>47305</v>
      </c>
      <c r="Q13726">
        <v>8</v>
      </c>
      <c r="R13726" t="s">
        <v>47321</v>
      </c>
      <c r="S13726" t="s">
        <v>48101</v>
      </c>
      <c r="T13726" t="s">
        <v>48987</v>
      </c>
      <c r="U13726" t="s">
        <v>60894</v>
      </c>
      <c r="W13726" t="s">
        <v>46360</v>
      </c>
      <c r="X13726" t="s">
        <v>47322</v>
      </c>
    </row>
    <row r="13727" spans="1:24">
      <c r="A13727">
        <f>HYPERLINK("https://www.philgeps.gov.ph/GEPSNONPILOT/Tender/SplashBidNoticeAbstractUI.aspx?menuIndex=3&amp;refID=7166107&amp;Result=3","7166107")</f>
        <v>0</v>
      </c>
      <c r="B13727" t="s">
        <v>1491</v>
      </c>
      <c r="C13727" t="s">
        <v>16837</v>
      </c>
      <c r="D13727" t="s">
        <v>18987</v>
      </c>
      <c r="E13727" t="s">
        <v>30685</v>
      </c>
      <c r="F13727" t="s">
        <v>32606</v>
      </c>
      <c r="G13727" t="s">
        <v>32614</v>
      </c>
      <c r="H13727" t="s">
        <v>14201</v>
      </c>
      <c r="I13727" t="s">
        <v>7064</v>
      </c>
      <c r="J13727" t="s">
        <v>41241</v>
      </c>
      <c r="K13727" t="s">
        <v>42631</v>
      </c>
      <c r="M13727" t="s">
        <v>44486</v>
      </c>
      <c r="N13727" t="s">
        <v>47304</v>
      </c>
      <c r="O13727" t="s">
        <v>47305</v>
      </c>
      <c r="P13727">
        <v>0</v>
      </c>
      <c r="Q13727">
        <v>2</v>
      </c>
      <c r="R13727" t="s">
        <v>47321</v>
      </c>
      <c r="S13727" t="s">
        <v>48071</v>
      </c>
      <c r="T13727" t="s">
        <v>49071</v>
      </c>
      <c r="U13727" t="s">
        <v>60895</v>
      </c>
      <c r="V13727" t="s">
        <v>64125</v>
      </c>
      <c r="W13727" t="s">
        <v>44486</v>
      </c>
      <c r="X13727" t="s">
        <v>47322</v>
      </c>
    </row>
    <row r="13728" spans="1:24">
      <c r="A13728">
        <f>HYPERLINK("https://www.philgeps.gov.ph/GEPSNONPILOT/Tender/SplashBidNoticeAbstractUI.aspx?menuIndex=3&amp;refID=7166128&amp;Result=3","7166128")</f>
        <v>0</v>
      </c>
      <c r="B13728" t="s">
        <v>3675</v>
      </c>
      <c r="C13728" t="s">
        <v>16838</v>
      </c>
      <c r="D13728" t="s">
        <v>19031</v>
      </c>
      <c r="E13728" t="s">
        <v>20122</v>
      </c>
      <c r="F13728" t="s">
        <v>32606</v>
      </c>
      <c r="G13728" t="s">
        <v>32613</v>
      </c>
      <c r="H13728" t="s">
        <v>14201</v>
      </c>
      <c r="I13728" t="s">
        <v>6931</v>
      </c>
      <c r="J13728" t="s">
        <v>41242</v>
      </c>
      <c r="K13728" t="s">
        <v>42623</v>
      </c>
      <c r="M13728" t="s">
        <v>46980</v>
      </c>
      <c r="N13728" t="s">
        <v>47304</v>
      </c>
      <c r="O13728" t="s">
        <v>47305</v>
      </c>
      <c r="P13728">
        <v>0</v>
      </c>
      <c r="Q13728">
        <v>0</v>
      </c>
      <c r="R13728" t="s">
        <v>47321</v>
      </c>
      <c r="S13728" t="s">
        <v>48071</v>
      </c>
      <c r="T13728" t="s">
        <v>48988</v>
      </c>
      <c r="U13728" t="s">
        <v>60896</v>
      </c>
      <c r="V13728" t="s">
        <v>62838</v>
      </c>
      <c r="W13728" t="s">
        <v>46980</v>
      </c>
      <c r="X13728" t="s">
        <v>47322</v>
      </c>
    </row>
    <row r="13729" spans="1:24">
      <c r="A13729">
        <f>HYPERLINK("https://www.philgeps.gov.ph/GEPSNONPILOT/Tender/SplashBidNoticeAbstractUI.aspx?menuIndex=3&amp;refID=7166301&amp;Result=3","7166301")</f>
        <v>0</v>
      </c>
      <c r="B13729" t="s">
        <v>3676</v>
      </c>
      <c r="C13729" t="s">
        <v>16839</v>
      </c>
      <c r="D13729" t="s">
        <v>19047</v>
      </c>
      <c r="E13729" t="s">
        <v>30686</v>
      </c>
      <c r="F13729" t="s">
        <v>32606</v>
      </c>
      <c r="G13729" t="s">
        <v>32613</v>
      </c>
      <c r="H13729" t="s">
        <v>32623</v>
      </c>
      <c r="I13729" t="s">
        <v>17648</v>
      </c>
      <c r="J13729" t="s">
        <v>41243</v>
      </c>
      <c r="K13729" t="s">
        <v>42634</v>
      </c>
      <c r="M13729" t="s">
        <v>46981</v>
      </c>
      <c r="N13729" t="s">
        <v>47304</v>
      </c>
      <c r="O13729" t="s">
        <v>47305</v>
      </c>
      <c r="P13729">
        <v>0</v>
      </c>
      <c r="Q13729">
        <v>0</v>
      </c>
      <c r="R13729" t="s">
        <v>47321</v>
      </c>
      <c r="S13729" t="s">
        <v>48071</v>
      </c>
      <c r="T13729" t="s">
        <v>48986</v>
      </c>
      <c r="U13729" t="s">
        <v>54788</v>
      </c>
      <c r="W13729" t="s">
        <v>46981</v>
      </c>
      <c r="X13729" t="s">
        <v>47322</v>
      </c>
    </row>
    <row r="13730" spans="1:24">
      <c r="A13730">
        <f>HYPERLINK("https://www.philgeps.gov.ph/GEPSNONPILOT/Tender/SplashBidNoticeAbstractUI.aspx?menuIndex=3&amp;refID=7166295&amp;Result=3","7166295")</f>
        <v>0</v>
      </c>
      <c r="B13730" t="s">
        <v>257</v>
      </c>
      <c r="C13730" t="s">
        <v>16840</v>
      </c>
      <c r="D13730" t="s">
        <v>19019</v>
      </c>
      <c r="E13730" t="s">
        <v>30687</v>
      </c>
      <c r="F13730" t="s">
        <v>32606</v>
      </c>
      <c r="G13730" t="s">
        <v>32613</v>
      </c>
      <c r="H13730" t="s">
        <v>32623</v>
      </c>
      <c r="I13730" t="s">
        <v>17648</v>
      </c>
      <c r="J13730" t="s">
        <v>41244</v>
      </c>
      <c r="K13730" t="s">
        <v>42648</v>
      </c>
      <c r="M13730" t="s">
        <v>43158</v>
      </c>
      <c r="N13730" t="s">
        <v>47304</v>
      </c>
      <c r="O13730" t="s">
        <v>47305</v>
      </c>
      <c r="P13730">
        <v>0</v>
      </c>
      <c r="Q13730">
        <v>0</v>
      </c>
      <c r="R13730" t="s">
        <v>47321</v>
      </c>
      <c r="S13730" t="s">
        <v>48071</v>
      </c>
      <c r="T13730" t="s">
        <v>48987</v>
      </c>
      <c r="U13730" t="s">
        <v>60897</v>
      </c>
      <c r="W13730" t="s">
        <v>43158</v>
      </c>
      <c r="X13730" t="s">
        <v>47322</v>
      </c>
    </row>
    <row r="13731" spans="1:24">
      <c r="A13731">
        <f>HYPERLINK("https://www.philgeps.gov.ph/GEPSNONPILOT/Tender/SplashBidNoticeAbstractUI.aspx?menuIndex=3&amp;refID=7166304&amp;Result=3","7166304")</f>
        <v>0</v>
      </c>
      <c r="B13731" t="s">
        <v>2996</v>
      </c>
      <c r="C13731" t="s">
        <v>16841</v>
      </c>
      <c r="D13731" t="s">
        <v>19005</v>
      </c>
      <c r="E13731" t="s">
        <v>30688</v>
      </c>
      <c r="F13731" t="s">
        <v>32606</v>
      </c>
      <c r="G13731" t="s">
        <v>32613</v>
      </c>
      <c r="H13731" t="s">
        <v>14201</v>
      </c>
      <c r="I13731" t="s">
        <v>32633</v>
      </c>
      <c r="J13731" t="s">
        <v>41245</v>
      </c>
      <c r="K13731" t="s">
        <v>42623</v>
      </c>
      <c r="L13731" t="s">
        <v>2996</v>
      </c>
      <c r="M13731" t="s">
        <v>46184</v>
      </c>
      <c r="N13731" t="s">
        <v>47304</v>
      </c>
      <c r="O13731" t="s">
        <v>47305</v>
      </c>
      <c r="P13731">
        <v>0</v>
      </c>
      <c r="Q13731">
        <v>2</v>
      </c>
      <c r="R13731" t="s">
        <v>47321</v>
      </c>
      <c r="S13731" t="s">
        <v>48071</v>
      </c>
      <c r="T13731" t="s">
        <v>48987</v>
      </c>
      <c r="U13731" t="s">
        <v>60898</v>
      </c>
      <c r="W13731" t="s">
        <v>46184</v>
      </c>
      <c r="X13731" t="s">
        <v>47322</v>
      </c>
    </row>
    <row r="13732" spans="1:24">
      <c r="A13732">
        <f>HYPERLINK("https://www.philgeps.gov.ph/GEPSNONPILOT/Tender/SplashBidNoticeAbstractUI.aspx?menuIndex=3&amp;refID=7166286&amp;Result=3","7166286")</f>
        <v>0</v>
      </c>
      <c r="B13732" t="s">
        <v>3677</v>
      </c>
      <c r="C13732" t="s">
        <v>16842</v>
      </c>
      <c r="D13732" t="s">
        <v>19016</v>
      </c>
      <c r="E13732" t="s">
        <v>30689</v>
      </c>
      <c r="F13732" t="s">
        <v>32606</v>
      </c>
      <c r="G13732" t="s">
        <v>32613</v>
      </c>
      <c r="H13732" t="s">
        <v>14201</v>
      </c>
      <c r="I13732" t="s">
        <v>6931</v>
      </c>
      <c r="J13732" t="s">
        <v>41246</v>
      </c>
      <c r="K13732" t="s">
        <v>42639</v>
      </c>
      <c r="M13732" t="s">
        <v>46982</v>
      </c>
      <c r="N13732" t="s">
        <v>47304</v>
      </c>
      <c r="O13732" t="s">
        <v>47305</v>
      </c>
      <c r="P13732">
        <v>0</v>
      </c>
      <c r="Q13732">
        <v>5</v>
      </c>
      <c r="R13732" t="s">
        <v>47321</v>
      </c>
      <c r="S13732" t="s">
        <v>48071</v>
      </c>
      <c r="T13732" t="s">
        <v>49135</v>
      </c>
      <c r="U13732" t="s">
        <v>60899</v>
      </c>
      <c r="W13732" t="s">
        <v>46982</v>
      </c>
      <c r="X13732" t="s">
        <v>47322</v>
      </c>
    </row>
    <row r="13733" spans="1:24">
      <c r="A13733">
        <f>HYPERLINK("https://www.philgeps.gov.ph/GEPSNONPILOT/Tender/SplashBidNoticeAbstractUI.aspx?menuIndex=3&amp;refID=7166266&amp;Result=3","7166266")</f>
        <v>0</v>
      </c>
      <c r="B13733" t="s">
        <v>3678</v>
      </c>
      <c r="C13733" t="s">
        <v>16843</v>
      </c>
      <c r="D13733" t="s">
        <v>19063</v>
      </c>
      <c r="E13733" t="s">
        <v>30690</v>
      </c>
      <c r="F13733" t="s">
        <v>32606</v>
      </c>
      <c r="G13733" t="s">
        <v>32613</v>
      </c>
      <c r="H13733" t="s">
        <v>32623</v>
      </c>
      <c r="I13733" t="s">
        <v>17648</v>
      </c>
      <c r="J13733" t="s">
        <v>32770</v>
      </c>
      <c r="K13733" t="s">
        <v>42639</v>
      </c>
      <c r="M13733" t="s">
        <v>46983</v>
      </c>
      <c r="N13733" t="s">
        <v>47304</v>
      </c>
      <c r="O13733" t="s">
        <v>47305</v>
      </c>
      <c r="P13733">
        <v>0</v>
      </c>
      <c r="Q13733">
        <v>0</v>
      </c>
      <c r="R13733" t="s">
        <v>47321</v>
      </c>
      <c r="S13733" t="s">
        <v>48071</v>
      </c>
      <c r="T13733" t="s">
        <v>49099</v>
      </c>
      <c r="U13733" t="s">
        <v>60900</v>
      </c>
      <c r="W13733" t="s">
        <v>46983</v>
      </c>
      <c r="X13733" t="s">
        <v>47322</v>
      </c>
    </row>
    <row r="13734" spans="1:24">
      <c r="A13734">
        <f>HYPERLINK("https://www.philgeps.gov.ph/GEPSNONPILOT/Tender/SplashBidNoticeAbstractUI.aspx?menuIndex=3&amp;refID=7166258&amp;Result=3","7166258")</f>
        <v>0</v>
      </c>
      <c r="B13734" t="s">
        <v>3676</v>
      </c>
      <c r="C13734" t="s">
        <v>16844</v>
      </c>
      <c r="D13734" t="s">
        <v>19047</v>
      </c>
      <c r="E13734" t="s">
        <v>30691</v>
      </c>
      <c r="F13734" t="s">
        <v>32606</v>
      </c>
      <c r="G13734" t="s">
        <v>32613</v>
      </c>
      <c r="H13734" t="s">
        <v>32623</v>
      </c>
      <c r="I13734" t="s">
        <v>17648</v>
      </c>
      <c r="J13734" t="s">
        <v>41247</v>
      </c>
      <c r="K13734" t="s">
        <v>42648</v>
      </c>
      <c r="M13734" t="s">
        <v>46981</v>
      </c>
      <c r="N13734" t="s">
        <v>47304</v>
      </c>
      <c r="O13734" t="s">
        <v>47305</v>
      </c>
      <c r="P13734">
        <v>0</v>
      </c>
      <c r="Q13734">
        <v>0</v>
      </c>
      <c r="R13734" t="s">
        <v>47321</v>
      </c>
      <c r="S13734" t="s">
        <v>48071</v>
      </c>
      <c r="T13734" t="s">
        <v>48986</v>
      </c>
      <c r="U13734" t="s">
        <v>54788</v>
      </c>
      <c r="W13734" t="s">
        <v>46981</v>
      </c>
      <c r="X13734" t="s">
        <v>47322</v>
      </c>
    </row>
    <row r="13735" spans="1:24">
      <c r="A13735">
        <f>HYPERLINK("https://www.philgeps.gov.ph/GEPSNONPILOT/Tender/SplashBidNoticeAbstractUI.aspx?menuIndex=3&amp;refID=7166243&amp;Result=3","7166243")</f>
        <v>0</v>
      </c>
      <c r="B13735" t="s">
        <v>2496</v>
      </c>
      <c r="C13735" t="s">
        <v>16845</v>
      </c>
      <c r="D13735" t="s">
        <v>18995</v>
      </c>
      <c r="E13735" t="s">
        <v>30692</v>
      </c>
      <c r="F13735" t="s">
        <v>32606</v>
      </c>
      <c r="G13735" t="s">
        <v>32613</v>
      </c>
      <c r="H13735" t="s">
        <v>14201</v>
      </c>
      <c r="I13735" t="s">
        <v>4678</v>
      </c>
      <c r="J13735" t="s">
        <v>41248</v>
      </c>
      <c r="K13735" t="s">
        <v>42631</v>
      </c>
      <c r="M13735" t="s">
        <v>46984</v>
      </c>
      <c r="N13735" t="s">
        <v>47304</v>
      </c>
      <c r="O13735" t="s">
        <v>47305</v>
      </c>
      <c r="P13735">
        <v>0</v>
      </c>
      <c r="Q13735">
        <v>6</v>
      </c>
      <c r="R13735" t="s">
        <v>47321</v>
      </c>
      <c r="S13735" t="s">
        <v>48071</v>
      </c>
      <c r="T13735" t="s">
        <v>49015</v>
      </c>
      <c r="U13735" t="s">
        <v>60901</v>
      </c>
      <c r="V13735" t="s">
        <v>63227</v>
      </c>
      <c r="W13735" t="s">
        <v>46984</v>
      </c>
      <c r="X13735" t="s">
        <v>47322</v>
      </c>
    </row>
    <row r="13736" spans="1:24">
      <c r="A13736">
        <f>HYPERLINK("https://www.philgeps.gov.ph/GEPSNONPILOT/Tender/SplashBidNoticeAbstractUI.aspx?menuIndex=3&amp;refID=7166234&amp;Result=3","7166234")</f>
        <v>0</v>
      </c>
      <c r="B13736" t="s">
        <v>3679</v>
      </c>
      <c r="C13736" t="s">
        <v>16846</v>
      </c>
      <c r="D13736" t="s">
        <v>18990</v>
      </c>
      <c r="E13736" t="s">
        <v>19315</v>
      </c>
      <c r="F13736" t="s">
        <v>32606</v>
      </c>
      <c r="G13736" t="s">
        <v>32613</v>
      </c>
      <c r="H13736" t="s">
        <v>14201</v>
      </c>
      <c r="I13736" t="s">
        <v>6478</v>
      </c>
      <c r="J13736" t="s">
        <v>35368</v>
      </c>
      <c r="K13736" t="s">
        <v>42636</v>
      </c>
      <c r="M13736" t="s">
        <v>46985</v>
      </c>
      <c r="N13736" t="s">
        <v>47304</v>
      </c>
      <c r="O13736" t="s">
        <v>47305</v>
      </c>
      <c r="P13736">
        <v>0</v>
      </c>
      <c r="Q13736">
        <v>4</v>
      </c>
      <c r="R13736" t="s">
        <v>47321</v>
      </c>
      <c r="S13736" t="s">
        <v>48071</v>
      </c>
      <c r="T13736" t="s">
        <v>49087</v>
      </c>
      <c r="U13736" t="s">
        <v>60902</v>
      </c>
      <c r="W13736" t="s">
        <v>46985</v>
      </c>
      <c r="X13736" t="s">
        <v>47322</v>
      </c>
    </row>
    <row r="13737" spans="1:24">
      <c r="A13737">
        <f>HYPERLINK("https://www.philgeps.gov.ph/GEPSNONPILOT/Tender/SplashBidNoticeAbstractUI.aspx?menuIndex=3&amp;refID=7166308&amp;Result=3","7166308")</f>
        <v>0</v>
      </c>
      <c r="B13737" t="s">
        <v>362</v>
      </c>
      <c r="C13737" t="s">
        <v>16847</v>
      </c>
      <c r="D13737" t="s">
        <v>19023</v>
      </c>
      <c r="E13737" t="s">
        <v>30693</v>
      </c>
      <c r="F13737" t="s">
        <v>32606</v>
      </c>
      <c r="G13737" t="s">
        <v>32613</v>
      </c>
      <c r="H13737" t="s">
        <v>14201</v>
      </c>
      <c r="I13737" t="s">
        <v>7064</v>
      </c>
      <c r="J13737" t="s">
        <v>32795</v>
      </c>
      <c r="K13737" t="s">
        <v>42631</v>
      </c>
      <c r="M13737" t="s">
        <v>43264</v>
      </c>
      <c r="N13737" t="s">
        <v>47304</v>
      </c>
      <c r="O13737" t="s">
        <v>47305</v>
      </c>
      <c r="P13737">
        <v>0</v>
      </c>
      <c r="Q13737">
        <v>2</v>
      </c>
      <c r="R13737" t="s">
        <v>47321</v>
      </c>
      <c r="S13737" t="s">
        <v>48071</v>
      </c>
      <c r="T13737" t="s">
        <v>48994</v>
      </c>
      <c r="U13737" t="s">
        <v>53681</v>
      </c>
      <c r="V13737" t="s">
        <v>64128</v>
      </c>
      <c r="W13737" t="s">
        <v>43264</v>
      </c>
      <c r="X13737" t="s">
        <v>47322</v>
      </c>
    </row>
    <row r="13738" spans="1:24">
      <c r="A13738">
        <f>HYPERLINK("https://www.philgeps.gov.ph/GEPSNONPILOT/Tender/SplashBidNoticeAbstractUI.aspx?menuIndex=3&amp;refID=7166228&amp;Result=3","7166228")</f>
        <v>0</v>
      </c>
      <c r="B13738" t="s">
        <v>2227</v>
      </c>
      <c r="C13738" t="s">
        <v>16848</v>
      </c>
      <c r="D13738" t="s">
        <v>18988</v>
      </c>
      <c r="E13738" t="s">
        <v>30694</v>
      </c>
      <c r="F13738" t="s">
        <v>32606</v>
      </c>
      <c r="G13738" t="s">
        <v>32613</v>
      </c>
      <c r="H13738" t="s">
        <v>32624</v>
      </c>
      <c r="I13738" t="s">
        <v>32676</v>
      </c>
      <c r="J13738" t="s">
        <v>32830</v>
      </c>
      <c r="K13738" t="s">
        <v>42644</v>
      </c>
      <c r="M13738" t="s">
        <v>45331</v>
      </c>
      <c r="N13738" t="s">
        <v>47304</v>
      </c>
      <c r="O13738" t="s">
        <v>47305</v>
      </c>
      <c r="P13738">
        <v>0</v>
      </c>
      <c r="Q13738">
        <v>1</v>
      </c>
      <c r="R13738" t="s">
        <v>47321</v>
      </c>
      <c r="S13738" t="s">
        <v>48071</v>
      </c>
      <c r="T13738" t="s">
        <v>48987</v>
      </c>
      <c r="U13738" t="s">
        <v>60903</v>
      </c>
      <c r="W13738" t="s">
        <v>45331</v>
      </c>
      <c r="X13738" t="s">
        <v>47322</v>
      </c>
    </row>
    <row r="13739" spans="1:24">
      <c r="A13739">
        <f>HYPERLINK("https://www.philgeps.gov.ph/GEPSNONPILOT/Tender/SplashBidNoticeAbstractUI.aspx?menuIndex=3&amp;refID=7166169&amp;Result=3","7166169")</f>
        <v>0</v>
      </c>
      <c r="B13739" t="s">
        <v>1264</v>
      </c>
      <c r="C13739" t="s">
        <v>16849</v>
      </c>
      <c r="D13739" t="s">
        <v>19005</v>
      </c>
      <c r="E13739" t="s">
        <v>30695</v>
      </c>
      <c r="F13739" t="s">
        <v>32606</v>
      </c>
      <c r="G13739" t="s">
        <v>32613</v>
      </c>
      <c r="H13739" t="s">
        <v>32623</v>
      </c>
      <c r="I13739" t="s">
        <v>17648</v>
      </c>
      <c r="J13739" t="s">
        <v>32795</v>
      </c>
      <c r="K13739" t="s">
        <v>42646</v>
      </c>
      <c r="M13739" t="s">
        <v>44232</v>
      </c>
      <c r="N13739" t="s">
        <v>47304</v>
      </c>
      <c r="O13739" t="s">
        <v>47305</v>
      </c>
      <c r="P13739">
        <v>0</v>
      </c>
      <c r="Q13739">
        <v>3</v>
      </c>
      <c r="R13739" t="s">
        <v>47321</v>
      </c>
      <c r="S13739" t="s">
        <v>48071</v>
      </c>
      <c r="T13739" t="s">
        <v>49076</v>
      </c>
      <c r="U13739" t="s">
        <v>60904</v>
      </c>
      <c r="V13739" t="s">
        <v>64129</v>
      </c>
      <c r="W13739" t="s">
        <v>44232</v>
      </c>
      <c r="X13739" t="s">
        <v>47322</v>
      </c>
    </row>
    <row r="13740" spans="1:24">
      <c r="A13740">
        <f>HYPERLINK("https://www.philgeps.gov.ph/GEPSNONPILOT/Tender/SplashBidNoticeAbstractUI.aspx?menuIndex=3&amp;refID=7166221&amp;Result=3","7166221")</f>
        <v>0</v>
      </c>
      <c r="B13740" t="s">
        <v>1264</v>
      </c>
      <c r="C13740" t="s">
        <v>16850</v>
      </c>
      <c r="D13740" t="s">
        <v>19005</v>
      </c>
      <c r="E13740" t="s">
        <v>30696</v>
      </c>
      <c r="F13740" t="s">
        <v>32606</v>
      </c>
      <c r="G13740" t="s">
        <v>32613</v>
      </c>
      <c r="H13740" t="s">
        <v>32623</v>
      </c>
      <c r="I13740" t="s">
        <v>17648</v>
      </c>
      <c r="J13740" t="s">
        <v>32772</v>
      </c>
      <c r="K13740" t="s">
        <v>42719</v>
      </c>
      <c r="M13740" t="s">
        <v>44232</v>
      </c>
      <c r="N13740" t="s">
        <v>47304</v>
      </c>
      <c r="O13740" t="s">
        <v>47305</v>
      </c>
      <c r="P13740">
        <v>0</v>
      </c>
      <c r="Q13740">
        <v>3</v>
      </c>
      <c r="R13740" t="s">
        <v>47321</v>
      </c>
      <c r="S13740" t="s">
        <v>48071</v>
      </c>
      <c r="T13740" t="s">
        <v>49076</v>
      </c>
      <c r="U13740" t="s">
        <v>60905</v>
      </c>
      <c r="V13740" t="s">
        <v>64130</v>
      </c>
      <c r="W13740" t="s">
        <v>44232</v>
      </c>
      <c r="X13740" t="s">
        <v>47322</v>
      </c>
    </row>
    <row r="13741" spans="1:24">
      <c r="A13741">
        <f>HYPERLINK("https://www.philgeps.gov.ph/GEPSNONPILOT/Tender/SplashBidNoticeAbstractUI.aspx?menuIndex=3&amp;refID=7166218&amp;Result=3","7166218")</f>
        <v>0</v>
      </c>
      <c r="B13741" t="s">
        <v>3676</v>
      </c>
      <c r="C13741" t="s">
        <v>16851</v>
      </c>
      <c r="D13741" t="s">
        <v>19047</v>
      </c>
      <c r="E13741" t="s">
        <v>30697</v>
      </c>
      <c r="F13741" t="s">
        <v>32606</v>
      </c>
      <c r="G13741" t="s">
        <v>32613</v>
      </c>
      <c r="H13741" t="s">
        <v>32623</v>
      </c>
      <c r="I13741" t="s">
        <v>17648</v>
      </c>
      <c r="J13741" t="s">
        <v>41249</v>
      </c>
      <c r="K13741" t="s">
        <v>42648</v>
      </c>
      <c r="M13741" t="s">
        <v>46981</v>
      </c>
      <c r="N13741" t="s">
        <v>47304</v>
      </c>
      <c r="O13741" t="s">
        <v>47305</v>
      </c>
      <c r="P13741">
        <v>0</v>
      </c>
      <c r="Q13741">
        <v>0</v>
      </c>
      <c r="R13741" t="s">
        <v>47321</v>
      </c>
      <c r="S13741" t="s">
        <v>48071</v>
      </c>
      <c r="T13741" t="s">
        <v>48986</v>
      </c>
      <c r="U13741" t="s">
        <v>54788</v>
      </c>
      <c r="W13741" t="s">
        <v>46981</v>
      </c>
      <c r="X13741" t="s">
        <v>47322</v>
      </c>
    </row>
    <row r="13742" spans="1:24">
      <c r="A13742">
        <f>HYPERLINK("https://www.philgeps.gov.ph/GEPSNONPILOT/Tender/SplashBidNoticeAbstractUI.aspx?menuIndex=3&amp;refID=7166260&amp;Result=3","7166260")</f>
        <v>0</v>
      </c>
      <c r="B13742" t="s">
        <v>3677</v>
      </c>
      <c r="C13742" t="s">
        <v>16852</v>
      </c>
      <c r="D13742" t="s">
        <v>19016</v>
      </c>
      <c r="E13742" t="s">
        <v>30698</v>
      </c>
      <c r="F13742" t="s">
        <v>32606</v>
      </c>
      <c r="G13742" t="s">
        <v>32613</v>
      </c>
      <c r="H13742" t="s">
        <v>14201</v>
      </c>
      <c r="I13742" t="s">
        <v>6931</v>
      </c>
      <c r="J13742" t="s">
        <v>41250</v>
      </c>
      <c r="K13742" t="s">
        <v>42682</v>
      </c>
      <c r="M13742" t="s">
        <v>46982</v>
      </c>
      <c r="N13742" t="s">
        <v>47304</v>
      </c>
      <c r="O13742" t="s">
        <v>47305</v>
      </c>
      <c r="P13742">
        <v>0</v>
      </c>
      <c r="Q13742">
        <v>7</v>
      </c>
      <c r="R13742" t="s">
        <v>47321</v>
      </c>
      <c r="S13742" t="s">
        <v>48071</v>
      </c>
      <c r="T13742" t="s">
        <v>49023</v>
      </c>
      <c r="U13742" t="s">
        <v>60906</v>
      </c>
      <c r="W13742" t="s">
        <v>46982</v>
      </c>
      <c r="X13742" t="s">
        <v>47322</v>
      </c>
    </row>
    <row r="13743" spans="1:24">
      <c r="A13743">
        <f>HYPERLINK("https://www.philgeps.gov.ph/GEPSNONPILOT/Tender/SplashBidNoticeAbstractUI.aspx?menuIndex=3&amp;refID=7166197&amp;Result=3","7166197")</f>
        <v>0</v>
      </c>
      <c r="B13743" t="s">
        <v>497</v>
      </c>
      <c r="C13743" t="s">
        <v>15630</v>
      </c>
      <c r="D13743" t="s">
        <v>18991</v>
      </c>
      <c r="E13743" t="s">
        <v>30699</v>
      </c>
      <c r="F13743" t="s">
        <v>32606</v>
      </c>
      <c r="G13743" t="s">
        <v>32613</v>
      </c>
      <c r="H13743" t="s">
        <v>14201</v>
      </c>
      <c r="I13743" t="s">
        <v>32640</v>
      </c>
      <c r="J13743" t="s">
        <v>37965</v>
      </c>
      <c r="K13743" t="s">
        <v>42624</v>
      </c>
      <c r="M13743" t="s">
        <v>46319</v>
      </c>
      <c r="N13743" t="s">
        <v>47304</v>
      </c>
      <c r="O13743" t="s">
        <v>47305</v>
      </c>
      <c r="Q13743">
        <v>5</v>
      </c>
      <c r="R13743" t="s">
        <v>47321</v>
      </c>
      <c r="S13743" t="s">
        <v>48102</v>
      </c>
      <c r="T13743" t="s">
        <v>49108</v>
      </c>
      <c r="U13743" t="s">
        <v>60907</v>
      </c>
      <c r="V13743" t="s">
        <v>64131</v>
      </c>
      <c r="W13743" t="s">
        <v>46319</v>
      </c>
      <c r="X13743" t="s">
        <v>47322</v>
      </c>
    </row>
    <row r="13744" spans="1:24">
      <c r="A13744">
        <f>HYPERLINK("https://www.philgeps.gov.ph/GEPSNONPILOT/Tender/SplashBidNoticeAbstractUI.aspx?menuIndex=3&amp;refID=7166195&amp;Result=3","7166195")</f>
        <v>0</v>
      </c>
      <c r="B13744" t="s">
        <v>2227</v>
      </c>
      <c r="C13744" t="s">
        <v>16853</v>
      </c>
      <c r="D13744" t="s">
        <v>18988</v>
      </c>
      <c r="E13744" t="s">
        <v>30700</v>
      </c>
      <c r="F13744" t="s">
        <v>32606</v>
      </c>
      <c r="G13744" t="s">
        <v>32613</v>
      </c>
      <c r="H13744" t="s">
        <v>32624</v>
      </c>
      <c r="I13744" t="s">
        <v>32676</v>
      </c>
      <c r="J13744" t="s">
        <v>32770</v>
      </c>
      <c r="K13744" t="s">
        <v>42644</v>
      </c>
      <c r="M13744" t="s">
        <v>45331</v>
      </c>
      <c r="N13744" t="s">
        <v>47304</v>
      </c>
      <c r="O13744" t="s">
        <v>47305</v>
      </c>
      <c r="P13744">
        <v>0</v>
      </c>
      <c r="Q13744">
        <v>0</v>
      </c>
      <c r="R13744" t="s">
        <v>47321</v>
      </c>
      <c r="S13744" t="s">
        <v>48071</v>
      </c>
      <c r="T13744" t="s">
        <v>48987</v>
      </c>
      <c r="U13744" t="s">
        <v>60908</v>
      </c>
      <c r="W13744" t="s">
        <v>45331</v>
      </c>
      <c r="X13744" t="s">
        <v>47322</v>
      </c>
    </row>
    <row r="13745" spans="1:24">
      <c r="A13745">
        <f>HYPERLINK("https://www.philgeps.gov.ph/GEPSNONPILOT/Tender/SplashBidNoticeAbstractUI.aspx?menuIndex=3&amp;refID=7166060&amp;Result=3","7166060")</f>
        <v>0</v>
      </c>
      <c r="B13745" t="s">
        <v>703</v>
      </c>
      <c r="C13745" t="s">
        <v>16854</v>
      </c>
      <c r="D13745" t="s">
        <v>18992</v>
      </c>
      <c r="E13745" t="s">
        <v>30701</v>
      </c>
      <c r="F13745" t="s">
        <v>32606</v>
      </c>
      <c r="G13745" t="s">
        <v>32613</v>
      </c>
      <c r="H13745" t="s">
        <v>14201</v>
      </c>
      <c r="I13745" t="s">
        <v>13131</v>
      </c>
      <c r="J13745" t="s">
        <v>33569</v>
      </c>
      <c r="K13745" t="s">
        <v>42694</v>
      </c>
      <c r="M13745" t="s">
        <v>43624</v>
      </c>
      <c r="N13745" t="s">
        <v>47304</v>
      </c>
      <c r="O13745" t="s">
        <v>47305</v>
      </c>
      <c r="P13745">
        <v>0</v>
      </c>
      <c r="Q13745">
        <v>2</v>
      </c>
      <c r="R13745" t="s">
        <v>47321</v>
      </c>
      <c r="S13745" t="s">
        <v>48071</v>
      </c>
      <c r="T13745" t="s">
        <v>48994</v>
      </c>
      <c r="U13745" t="s">
        <v>60909</v>
      </c>
      <c r="V13745" t="s">
        <v>64132</v>
      </c>
      <c r="W13745" t="s">
        <v>43624</v>
      </c>
      <c r="X13745" t="s">
        <v>47322</v>
      </c>
    </row>
    <row r="13746" spans="1:24">
      <c r="A13746">
        <f>HYPERLINK("https://www.philgeps.gov.ph/GEPSNONPILOT/Tender/SplashBidNoticeAbstractUI.aspx?menuIndex=3&amp;refID=7166057&amp;Result=3","7166057")</f>
        <v>0</v>
      </c>
      <c r="B13746" t="s">
        <v>384</v>
      </c>
      <c r="C13746" t="s">
        <v>16855</v>
      </c>
      <c r="D13746" t="s">
        <v>18995</v>
      </c>
      <c r="E13746" t="s">
        <v>22091</v>
      </c>
      <c r="F13746" t="s">
        <v>32606</v>
      </c>
      <c r="G13746" t="s">
        <v>32613</v>
      </c>
      <c r="H13746" t="s">
        <v>14201</v>
      </c>
      <c r="I13746" t="s">
        <v>6298</v>
      </c>
      <c r="J13746" t="s">
        <v>41251</v>
      </c>
      <c r="K13746" t="s">
        <v>42631</v>
      </c>
      <c r="M13746" t="s">
        <v>43287</v>
      </c>
      <c r="N13746" t="s">
        <v>47304</v>
      </c>
      <c r="O13746" t="s">
        <v>47305</v>
      </c>
      <c r="Q13746">
        <v>1</v>
      </c>
      <c r="R13746" t="s">
        <v>47321</v>
      </c>
      <c r="S13746" t="s">
        <v>48103</v>
      </c>
      <c r="T13746" t="s">
        <v>49486</v>
      </c>
      <c r="U13746" t="s">
        <v>60910</v>
      </c>
      <c r="W13746" t="s">
        <v>43287</v>
      </c>
      <c r="X13746" t="s">
        <v>47322</v>
      </c>
    </row>
    <row r="13747" spans="1:24">
      <c r="A13747">
        <f>HYPERLINK("https://www.philgeps.gov.ph/GEPSNONPILOT/Tender/SplashBidNoticeAbstractUI.aspx?menuIndex=3&amp;refID=7166238&amp;Result=3","7166238")</f>
        <v>0</v>
      </c>
      <c r="B13747" t="s">
        <v>301</v>
      </c>
      <c r="C13747" t="s">
        <v>16856</v>
      </c>
      <c r="D13747" t="s">
        <v>19011</v>
      </c>
      <c r="E13747" t="s">
        <v>30702</v>
      </c>
      <c r="F13747" t="s">
        <v>32606</v>
      </c>
      <c r="G13747" t="s">
        <v>32613</v>
      </c>
      <c r="H13747" t="s">
        <v>14201</v>
      </c>
      <c r="I13747" t="s">
        <v>4121</v>
      </c>
      <c r="J13747" t="s">
        <v>41252</v>
      </c>
      <c r="K13747" t="s">
        <v>42623</v>
      </c>
      <c r="M13747" t="s">
        <v>45606</v>
      </c>
      <c r="N13747" t="s">
        <v>47304</v>
      </c>
      <c r="O13747" t="s">
        <v>47305</v>
      </c>
      <c r="Q13747">
        <v>9</v>
      </c>
      <c r="R13747" t="s">
        <v>47321</v>
      </c>
      <c r="S13747" t="s">
        <v>48104</v>
      </c>
      <c r="T13747" t="s">
        <v>49237</v>
      </c>
      <c r="U13747" t="s">
        <v>60911</v>
      </c>
      <c r="W13747" t="s">
        <v>45606</v>
      </c>
      <c r="X13747" t="s">
        <v>47322</v>
      </c>
    </row>
    <row r="13748" spans="1:24">
      <c r="A13748">
        <f>HYPERLINK("https://www.philgeps.gov.ph/GEPSNONPILOT/Tender/SplashBidNoticeAbstractUI.aspx?menuIndex=3&amp;refID=7166184&amp;Result=3","7166184")</f>
        <v>0</v>
      </c>
      <c r="B13748" t="s">
        <v>3676</v>
      </c>
      <c r="C13748" t="s">
        <v>16857</v>
      </c>
      <c r="D13748" t="s">
        <v>19047</v>
      </c>
      <c r="E13748" t="s">
        <v>30703</v>
      </c>
      <c r="F13748" t="s">
        <v>32606</v>
      </c>
      <c r="G13748" t="s">
        <v>32613</v>
      </c>
      <c r="H13748" t="s">
        <v>32623</v>
      </c>
      <c r="I13748" t="s">
        <v>17648</v>
      </c>
      <c r="J13748" t="s">
        <v>41253</v>
      </c>
      <c r="K13748" t="s">
        <v>42634</v>
      </c>
      <c r="M13748" t="s">
        <v>46981</v>
      </c>
      <c r="N13748" t="s">
        <v>47304</v>
      </c>
      <c r="O13748" t="s">
        <v>47305</v>
      </c>
      <c r="P13748">
        <v>0</v>
      </c>
      <c r="Q13748">
        <v>0</v>
      </c>
      <c r="R13748" t="s">
        <v>47321</v>
      </c>
      <c r="S13748" t="s">
        <v>48071</v>
      </c>
      <c r="T13748" t="s">
        <v>48986</v>
      </c>
      <c r="U13748" t="s">
        <v>54788</v>
      </c>
      <c r="W13748" t="s">
        <v>46981</v>
      </c>
      <c r="X13748" t="s">
        <v>47322</v>
      </c>
    </row>
    <row r="13749" spans="1:24">
      <c r="A13749">
        <f>HYPERLINK("https://www.philgeps.gov.ph/GEPSNONPILOT/Tender/SplashBidNoticeAbstractUI.aspx?menuIndex=3&amp;refID=7166185&amp;Result=3","7166185")</f>
        <v>0</v>
      </c>
      <c r="B13749" t="s">
        <v>703</v>
      </c>
      <c r="C13749" t="s">
        <v>16858</v>
      </c>
      <c r="D13749" t="s">
        <v>18992</v>
      </c>
      <c r="E13749" t="s">
        <v>30704</v>
      </c>
      <c r="F13749" t="s">
        <v>32606</v>
      </c>
      <c r="G13749" t="s">
        <v>32613</v>
      </c>
      <c r="H13749" t="s">
        <v>14201</v>
      </c>
      <c r="I13749" t="s">
        <v>32640</v>
      </c>
      <c r="J13749" t="s">
        <v>41254</v>
      </c>
      <c r="K13749" t="s">
        <v>42694</v>
      </c>
      <c r="M13749" t="s">
        <v>43624</v>
      </c>
      <c r="N13749" t="s">
        <v>47304</v>
      </c>
      <c r="O13749" t="s">
        <v>47305</v>
      </c>
      <c r="P13749">
        <v>0</v>
      </c>
      <c r="Q13749">
        <v>2</v>
      </c>
      <c r="R13749" t="s">
        <v>47321</v>
      </c>
      <c r="S13749" t="s">
        <v>48071</v>
      </c>
      <c r="T13749" t="s">
        <v>48994</v>
      </c>
      <c r="U13749" t="s">
        <v>60912</v>
      </c>
      <c r="V13749" t="s">
        <v>64133</v>
      </c>
      <c r="W13749" t="s">
        <v>43624</v>
      </c>
      <c r="X13749" t="s">
        <v>47322</v>
      </c>
    </row>
    <row r="13750" spans="1:24">
      <c r="A13750">
        <f>HYPERLINK("https://www.philgeps.gov.ph/GEPSNONPILOT/Tender/SplashBidNoticeAbstractUI.aspx?menuIndex=3&amp;refID=7166172&amp;Result=3","7166172")</f>
        <v>0</v>
      </c>
      <c r="B13750" t="s">
        <v>3680</v>
      </c>
      <c r="C13750" t="s">
        <v>16859</v>
      </c>
      <c r="D13750" t="s">
        <v>19036</v>
      </c>
      <c r="E13750" t="s">
        <v>30705</v>
      </c>
      <c r="F13750" t="s">
        <v>32606</v>
      </c>
      <c r="G13750" t="s">
        <v>32613</v>
      </c>
      <c r="H13750" t="s">
        <v>14201</v>
      </c>
      <c r="I13750" t="s">
        <v>6931</v>
      </c>
      <c r="J13750" t="s">
        <v>41255</v>
      </c>
      <c r="K13750" t="s">
        <v>42639</v>
      </c>
      <c r="M13750" t="s">
        <v>46986</v>
      </c>
      <c r="N13750" t="s">
        <v>47304</v>
      </c>
      <c r="O13750" t="s">
        <v>47305</v>
      </c>
      <c r="P13750">
        <v>0</v>
      </c>
      <c r="Q13750">
        <v>4</v>
      </c>
      <c r="R13750" t="s">
        <v>47321</v>
      </c>
      <c r="S13750" t="s">
        <v>48071</v>
      </c>
      <c r="T13750" t="s">
        <v>49003</v>
      </c>
      <c r="U13750" t="s">
        <v>60913</v>
      </c>
      <c r="W13750" t="s">
        <v>46986</v>
      </c>
      <c r="X13750" t="s">
        <v>47322</v>
      </c>
    </row>
    <row r="13751" spans="1:24">
      <c r="A13751">
        <f>HYPERLINK("https://www.philgeps.gov.ph/GEPSNONPILOT/Tender/SplashBidNoticeAbstractUI.aspx?menuIndex=3&amp;refID=7166040&amp;Result=3","7166040")</f>
        <v>0</v>
      </c>
      <c r="B13751" t="s">
        <v>3469</v>
      </c>
      <c r="C13751" t="s">
        <v>16860</v>
      </c>
      <c r="D13751" t="s">
        <v>19063</v>
      </c>
      <c r="E13751" t="s">
        <v>30706</v>
      </c>
      <c r="F13751" t="s">
        <v>32606</v>
      </c>
      <c r="G13751" t="s">
        <v>32613</v>
      </c>
      <c r="H13751" t="s">
        <v>32623</v>
      </c>
      <c r="I13751" t="s">
        <v>17648</v>
      </c>
      <c r="J13751" t="s">
        <v>41256</v>
      </c>
      <c r="K13751" t="s">
        <v>42648</v>
      </c>
      <c r="M13751" t="s">
        <v>46732</v>
      </c>
      <c r="N13751" t="s">
        <v>47304</v>
      </c>
      <c r="O13751" t="s">
        <v>47305</v>
      </c>
      <c r="P13751">
        <v>0</v>
      </c>
      <c r="Q13751">
        <v>30</v>
      </c>
      <c r="R13751" t="s">
        <v>47321</v>
      </c>
      <c r="S13751" t="s">
        <v>48071</v>
      </c>
      <c r="T13751" t="s">
        <v>49023</v>
      </c>
      <c r="U13751" t="s">
        <v>60914</v>
      </c>
      <c r="W13751" t="s">
        <v>46732</v>
      </c>
      <c r="X13751" t="s">
        <v>47322</v>
      </c>
    </row>
    <row r="13752" spans="1:24">
      <c r="A13752">
        <f>HYPERLINK("https://www.philgeps.gov.ph/GEPSNONPILOT/Tender/SplashBidNoticeAbstractUI.aspx?menuIndex=3&amp;refID=7165822&amp;Result=3","7165822")</f>
        <v>0</v>
      </c>
      <c r="B13752" t="s">
        <v>586</v>
      </c>
      <c r="C13752" t="s">
        <v>16861</v>
      </c>
      <c r="E13752" t="s">
        <v>30707</v>
      </c>
      <c r="F13752" t="s">
        <v>32606</v>
      </c>
      <c r="G13752" t="s">
        <v>32613</v>
      </c>
      <c r="H13752" t="s">
        <v>32623</v>
      </c>
      <c r="I13752" t="s">
        <v>17648</v>
      </c>
      <c r="J13752" t="s">
        <v>41257</v>
      </c>
      <c r="K13752" t="s">
        <v>42712</v>
      </c>
      <c r="M13752" t="s">
        <v>43501</v>
      </c>
      <c r="N13752" t="s">
        <v>47304</v>
      </c>
      <c r="O13752" t="s">
        <v>47305</v>
      </c>
      <c r="P13752">
        <v>0</v>
      </c>
      <c r="Q13752">
        <v>2</v>
      </c>
      <c r="R13752" t="s">
        <v>47321</v>
      </c>
      <c r="S13752" t="s">
        <v>48071</v>
      </c>
      <c r="T13752" t="s">
        <v>48988</v>
      </c>
      <c r="U13752" t="s">
        <v>60915</v>
      </c>
      <c r="W13752" t="s">
        <v>43501</v>
      </c>
      <c r="X13752" t="s">
        <v>47322</v>
      </c>
    </row>
    <row r="13753" spans="1:24">
      <c r="A13753">
        <f>HYPERLINK("https://www.philgeps.gov.ph/GEPSNONPILOT/Tender/SplashBidNoticeAbstractUI.aspx?menuIndex=3&amp;refID=7165818&amp;Result=3","7165818")</f>
        <v>0</v>
      </c>
      <c r="B13753" t="s">
        <v>586</v>
      </c>
      <c r="C13753" t="s">
        <v>16862</v>
      </c>
      <c r="E13753" t="s">
        <v>30708</v>
      </c>
      <c r="F13753" t="s">
        <v>32606</v>
      </c>
      <c r="G13753" t="s">
        <v>32613</v>
      </c>
      <c r="H13753" t="s">
        <v>32623</v>
      </c>
      <c r="I13753" t="s">
        <v>17648</v>
      </c>
      <c r="J13753" t="s">
        <v>41258</v>
      </c>
      <c r="K13753" t="s">
        <v>42712</v>
      </c>
      <c r="M13753" t="s">
        <v>43501</v>
      </c>
      <c r="N13753" t="s">
        <v>47304</v>
      </c>
      <c r="O13753" t="s">
        <v>47305</v>
      </c>
      <c r="Q13753">
        <v>1</v>
      </c>
      <c r="R13753" t="s">
        <v>47321</v>
      </c>
      <c r="S13753" t="s">
        <v>48105</v>
      </c>
      <c r="T13753" t="s">
        <v>48988</v>
      </c>
      <c r="U13753" t="s">
        <v>60916</v>
      </c>
      <c r="W13753" t="s">
        <v>43501</v>
      </c>
      <c r="X13753" t="s">
        <v>47322</v>
      </c>
    </row>
    <row r="13754" spans="1:24">
      <c r="A13754">
        <f>HYPERLINK("https://www.philgeps.gov.ph/GEPSNONPILOT/Tender/SplashBidNoticeAbstractUI.aspx?menuIndex=3&amp;refID=7166225&amp;Result=3","7166225")</f>
        <v>0</v>
      </c>
      <c r="B13754" t="s">
        <v>609</v>
      </c>
      <c r="C13754" t="s">
        <v>16863</v>
      </c>
      <c r="D13754" t="s">
        <v>19024</v>
      </c>
      <c r="E13754" t="s">
        <v>30709</v>
      </c>
      <c r="F13754" t="s">
        <v>32606</v>
      </c>
      <c r="G13754" t="s">
        <v>32613</v>
      </c>
      <c r="H13754" t="s">
        <v>14201</v>
      </c>
      <c r="I13754" t="s">
        <v>32655</v>
      </c>
      <c r="J13754" t="s">
        <v>33071</v>
      </c>
      <c r="K13754" t="s">
        <v>42624</v>
      </c>
      <c r="M13754" t="s">
        <v>43526</v>
      </c>
      <c r="N13754" t="s">
        <v>47304</v>
      </c>
      <c r="O13754" t="s">
        <v>47305</v>
      </c>
      <c r="Q13754">
        <v>21</v>
      </c>
      <c r="R13754" t="s">
        <v>47321</v>
      </c>
      <c r="S13754" t="s">
        <v>48106</v>
      </c>
      <c r="T13754" t="s">
        <v>49023</v>
      </c>
      <c r="U13754" t="s">
        <v>60917</v>
      </c>
      <c r="W13754" t="s">
        <v>43526</v>
      </c>
      <c r="X13754" t="s">
        <v>47322</v>
      </c>
    </row>
    <row r="13755" spans="1:24">
      <c r="A13755">
        <f>HYPERLINK("https://www.philgeps.gov.ph/GEPSNONPILOT/Tender/SplashBidNoticeAbstractUI.aspx?menuIndex=3&amp;refID=7165730&amp;Result=3","7165730")</f>
        <v>0</v>
      </c>
      <c r="B13755" t="s">
        <v>2262</v>
      </c>
      <c r="C13755" t="s">
        <v>16864</v>
      </c>
      <c r="D13755" t="s">
        <v>19029</v>
      </c>
      <c r="E13755" t="s">
        <v>30710</v>
      </c>
      <c r="F13755" t="s">
        <v>32606</v>
      </c>
      <c r="G13755" t="s">
        <v>32613</v>
      </c>
      <c r="H13755" t="s">
        <v>14201</v>
      </c>
      <c r="I13755" t="s">
        <v>32638</v>
      </c>
      <c r="J13755" t="s">
        <v>41259</v>
      </c>
      <c r="K13755" t="s">
        <v>42648</v>
      </c>
      <c r="M13755" t="s">
        <v>45367</v>
      </c>
      <c r="N13755" t="s">
        <v>47304</v>
      </c>
      <c r="O13755" t="s">
        <v>47305</v>
      </c>
      <c r="P13755">
        <v>0</v>
      </c>
      <c r="Q13755">
        <v>25</v>
      </c>
      <c r="R13755" t="s">
        <v>47321</v>
      </c>
      <c r="S13755" t="s">
        <v>48071</v>
      </c>
      <c r="T13755" t="s">
        <v>49019</v>
      </c>
      <c r="U13755" t="s">
        <v>60918</v>
      </c>
      <c r="W13755" t="s">
        <v>45367</v>
      </c>
      <c r="X13755" t="s">
        <v>47322</v>
      </c>
    </row>
    <row r="13756" spans="1:24">
      <c r="A13756">
        <f>HYPERLINK("https://www.philgeps.gov.ph/GEPSNONPILOT/Tender/SplashBidNoticeAbstractUI.aspx?menuIndex=3&amp;refID=7165695&amp;Result=3","7165695")</f>
        <v>0</v>
      </c>
      <c r="B13756" t="s">
        <v>586</v>
      </c>
      <c r="C13756" t="s">
        <v>16865</v>
      </c>
      <c r="E13756" t="s">
        <v>30711</v>
      </c>
      <c r="F13756" t="s">
        <v>32606</v>
      </c>
      <c r="G13756" t="s">
        <v>32613</v>
      </c>
      <c r="H13756" t="s">
        <v>32623</v>
      </c>
      <c r="I13756" t="s">
        <v>17648</v>
      </c>
      <c r="J13756" t="s">
        <v>41260</v>
      </c>
      <c r="K13756" t="s">
        <v>42719</v>
      </c>
      <c r="M13756" t="s">
        <v>43501</v>
      </c>
      <c r="N13756" t="s">
        <v>47304</v>
      </c>
      <c r="O13756" t="s">
        <v>47305</v>
      </c>
      <c r="P13756">
        <v>0</v>
      </c>
      <c r="Q13756">
        <v>1</v>
      </c>
      <c r="R13756" t="s">
        <v>47321</v>
      </c>
      <c r="S13756" t="s">
        <v>48071</v>
      </c>
      <c r="T13756" t="s">
        <v>48988</v>
      </c>
      <c r="U13756" t="s">
        <v>60919</v>
      </c>
      <c r="W13756" t="s">
        <v>43501</v>
      </c>
      <c r="X13756" t="s">
        <v>47322</v>
      </c>
    </row>
    <row r="13757" spans="1:24">
      <c r="A13757">
        <f>HYPERLINK("https://www.philgeps.gov.ph/GEPSNONPILOT/Tender/SplashBidNoticeAbstractUI.aspx?menuIndex=3&amp;refID=7165863&amp;Result=3","7165863")</f>
        <v>0</v>
      </c>
      <c r="B13757" t="s">
        <v>3681</v>
      </c>
      <c r="C13757" t="s">
        <v>16866</v>
      </c>
      <c r="D13757" t="s">
        <v>18986</v>
      </c>
      <c r="E13757" t="s">
        <v>30712</v>
      </c>
      <c r="F13757" t="s">
        <v>32606</v>
      </c>
      <c r="G13757" t="s">
        <v>32613</v>
      </c>
      <c r="H13757" t="s">
        <v>32623</v>
      </c>
      <c r="I13757" t="s">
        <v>17648</v>
      </c>
      <c r="J13757" t="s">
        <v>41261</v>
      </c>
      <c r="K13757" t="s">
        <v>42738</v>
      </c>
      <c r="M13757" t="s">
        <v>46987</v>
      </c>
      <c r="N13757" t="s">
        <v>47304</v>
      </c>
      <c r="O13757" t="s">
        <v>47305</v>
      </c>
      <c r="Q13757">
        <v>0</v>
      </c>
      <c r="R13757" t="s">
        <v>47321</v>
      </c>
      <c r="S13757" t="s">
        <v>48107</v>
      </c>
      <c r="T13757" t="s">
        <v>49023</v>
      </c>
      <c r="U13757" t="s">
        <v>60920</v>
      </c>
      <c r="W13757" t="s">
        <v>46987</v>
      </c>
      <c r="X13757" t="s">
        <v>47322</v>
      </c>
    </row>
    <row r="13758" spans="1:24">
      <c r="A13758">
        <f>HYPERLINK("https://www.philgeps.gov.ph/GEPSNONPILOT/Tender/SplashBidNoticeAbstractUI.aspx?menuIndex=3&amp;refID=7166032&amp;Result=3","7166032")</f>
        <v>0</v>
      </c>
      <c r="B13758" t="s">
        <v>1491</v>
      </c>
      <c r="C13758" t="s">
        <v>16867</v>
      </c>
      <c r="D13758" t="s">
        <v>18987</v>
      </c>
      <c r="E13758" t="s">
        <v>30713</v>
      </c>
      <c r="F13758" t="s">
        <v>32606</v>
      </c>
      <c r="G13758" t="s">
        <v>32614</v>
      </c>
      <c r="H13758" t="s">
        <v>14201</v>
      </c>
      <c r="I13758" t="s">
        <v>32631</v>
      </c>
      <c r="J13758" t="s">
        <v>41262</v>
      </c>
      <c r="K13758" t="s">
        <v>42631</v>
      </c>
      <c r="M13758" t="s">
        <v>44486</v>
      </c>
      <c r="N13758" t="s">
        <v>47304</v>
      </c>
      <c r="O13758" t="s">
        <v>47305</v>
      </c>
      <c r="P13758">
        <v>0</v>
      </c>
      <c r="Q13758">
        <v>0</v>
      </c>
      <c r="R13758" t="s">
        <v>47321</v>
      </c>
      <c r="S13758" t="s">
        <v>48071</v>
      </c>
      <c r="T13758" t="s">
        <v>49071</v>
      </c>
      <c r="U13758" t="s">
        <v>60921</v>
      </c>
      <c r="V13758" t="s">
        <v>64125</v>
      </c>
      <c r="W13758" t="s">
        <v>44486</v>
      </c>
      <c r="X13758" t="s">
        <v>47322</v>
      </c>
    </row>
    <row r="13759" spans="1:24">
      <c r="A13759">
        <f>HYPERLINK("https://www.philgeps.gov.ph/GEPSNONPILOT/Tender/SplashBidNoticeAbstractUI.aspx?menuIndex=3&amp;refID=7166321&amp;Result=3","7166321")</f>
        <v>0</v>
      </c>
      <c r="B13759" t="s">
        <v>3682</v>
      </c>
      <c r="C13759" t="s">
        <v>8363</v>
      </c>
      <c r="D13759" t="s">
        <v>19008</v>
      </c>
      <c r="E13759" t="s">
        <v>30714</v>
      </c>
      <c r="F13759" t="s">
        <v>32607</v>
      </c>
      <c r="G13759" t="s">
        <v>32613</v>
      </c>
      <c r="H13759" t="s">
        <v>14201</v>
      </c>
      <c r="I13759" t="s">
        <v>6931</v>
      </c>
      <c r="J13759" t="s">
        <v>41263</v>
      </c>
      <c r="K13759" t="s">
        <v>42627</v>
      </c>
      <c r="M13759" t="s">
        <v>46988</v>
      </c>
      <c r="N13759" t="s">
        <v>47304</v>
      </c>
      <c r="O13759" t="s">
        <v>47305</v>
      </c>
      <c r="P13759">
        <v>0</v>
      </c>
      <c r="Q13759">
        <v>0</v>
      </c>
      <c r="R13759" t="s">
        <v>47321</v>
      </c>
      <c r="S13759" t="s">
        <v>48071</v>
      </c>
      <c r="T13759" t="s">
        <v>48976</v>
      </c>
      <c r="U13759" t="s">
        <v>54796</v>
      </c>
      <c r="V13759" t="s">
        <v>64134</v>
      </c>
      <c r="W13759" t="s">
        <v>46988</v>
      </c>
      <c r="X13759" t="s">
        <v>47322</v>
      </c>
    </row>
    <row r="13760" spans="1:24">
      <c r="A13760">
        <f>HYPERLINK("https://www.philgeps.gov.ph/GEPSNONPILOT/Tender/SplashBidNoticeAbstractUI.aspx?menuIndex=3&amp;refID=7165739&amp;Result=3","7165739")</f>
        <v>0</v>
      </c>
      <c r="B13760" t="s">
        <v>3664</v>
      </c>
      <c r="C13760" t="s">
        <v>16868</v>
      </c>
      <c r="D13760" t="s">
        <v>19031</v>
      </c>
      <c r="E13760" t="s">
        <v>30715</v>
      </c>
      <c r="F13760" t="s">
        <v>32606</v>
      </c>
      <c r="G13760" t="s">
        <v>32613</v>
      </c>
      <c r="H13760" t="s">
        <v>32623</v>
      </c>
      <c r="I13760" t="s">
        <v>17648</v>
      </c>
      <c r="J13760" t="s">
        <v>33780</v>
      </c>
      <c r="K13760" t="s">
        <v>42645</v>
      </c>
      <c r="M13760" t="s">
        <v>46969</v>
      </c>
      <c r="N13760" t="s">
        <v>47304</v>
      </c>
      <c r="O13760" t="s">
        <v>47305</v>
      </c>
      <c r="P13760">
        <v>0</v>
      </c>
      <c r="Q13760">
        <v>0</v>
      </c>
      <c r="R13760" t="s">
        <v>47321</v>
      </c>
      <c r="S13760" t="s">
        <v>48071</v>
      </c>
      <c r="T13760" t="s">
        <v>49170</v>
      </c>
      <c r="U13760" t="s">
        <v>60922</v>
      </c>
      <c r="V13760" t="s">
        <v>64120</v>
      </c>
      <c r="W13760" t="s">
        <v>46969</v>
      </c>
      <c r="X13760" t="s">
        <v>47322</v>
      </c>
    </row>
    <row r="13761" spans="1:24">
      <c r="A13761">
        <f>HYPERLINK("https://www.philgeps.gov.ph/GEPSNONPILOT/Tender/SplashBidNoticeAbstractUI.aspx?menuIndex=3&amp;refID=7166412&amp;Result=3","7166412")</f>
        <v>0</v>
      </c>
      <c r="B13761" t="s">
        <v>3469</v>
      </c>
      <c r="C13761" t="s">
        <v>16869</v>
      </c>
      <c r="D13761" t="s">
        <v>19063</v>
      </c>
      <c r="E13761" t="s">
        <v>30706</v>
      </c>
      <c r="F13761" t="s">
        <v>32606</v>
      </c>
      <c r="G13761" t="s">
        <v>32613</v>
      </c>
      <c r="H13761" t="s">
        <v>32623</v>
      </c>
      <c r="I13761" t="s">
        <v>17648</v>
      </c>
      <c r="J13761" t="s">
        <v>41264</v>
      </c>
      <c r="K13761" t="s">
        <v>42648</v>
      </c>
      <c r="M13761" t="s">
        <v>46732</v>
      </c>
      <c r="N13761" t="s">
        <v>47304</v>
      </c>
      <c r="O13761" t="s">
        <v>47305</v>
      </c>
      <c r="P13761">
        <v>0</v>
      </c>
      <c r="Q13761">
        <v>30</v>
      </c>
      <c r="R13761" t="s">
        <v>47321</v>
      </c>
      <c r="S13761" t="s">
        <v>48071</v>
      </c>
      <c r="T13761" t="s">
        <v>49023</v>
      </c>
      <c r="U13761" t="s">
        <v>60923</v>
      </c>
      <c r="W13761" t="s">
        <v>46732</v>
      </c>
      <c r="X13761" t="s">
        <v>47322</v>
      </c>
    </row>
    <row r="13762" spans="1:24">
      <c r="A13762">
        <f>HYPERLINK("https://www.philgeps.gov.ph/GEPSNONPILOT/Tender/SplashBidNoticeAbstractUI.aspx?menuIndex=3&amp;refID=7165717&amp;Result=3","7165717")</f>
        <v>0</v>
      </c>
      <c r="B13762" t="s">
        <v>64</v>
      </c>
      <c r="C13762" t="s">
        <v>16870</v>
      </c>
      <c r="D13762" t="s">
        <v>19004</v>
      </c>
      <c r="E13762" t="s">
        <v>30716</v>
      </c>
      <c r="F13762" t="s">
        <v>32606</v>
      </c>
      <c r="G13762" t="s">
        <v>32613</v>
      </c>
      <c r="H13762" t="s">
        <v>32623</v>
      </c>
      <c r="I13762" t="s">
        <v>17648</v>
      </c>
      <c r="J13762" t="s">
        <v>41265</v>
      </c>
      <c r="K13762" t="s">
        <v>42636</v>
      </c>
      <c r="M13762" t="s">
        <v>46968</v>
      </c>
      <c r="N13762" t="s">
        <v>47304</v>
      </c>
      <c r="O13762" t="s">
        <v>47305</v>
      </c>
      <c r="P13762">
        <v>0</v>
      </c>
      <c r="Q13762">
        <v>1</v>
      </c>
      <c r="R13762" t="s">
        <v>47321</v>
      </c>
      <c r="S13762" t="s">
        <v>48071</v>
      </c>
      <c r="T13762" t="s">
        <v>48996</v>
      </c>
      <c r="U13762" t="s">
        <v>60924</v>
      </c>
      <c r="W13762" t="s">
        <v>64420</v>
      </c>
      <c r="X13762" t="s">
        <v>47322</v>
      </c>
    </row>
    <row r="13763" spans="1:24">
      <c r="A13763">
        <f>HYPERLINK("https://www.philgeps.gov.ph/GEPSNONPILOT/Tender/SplashBidNoticeAbstractUI.aspx?menuIndex=3&amp;refID=7166402&amp;Result=3","7166402")</f>
        <v>0</v>
      </c>
      <c r="B13763" t="s">
        <v>262</v>
      </c>
      <c r="C13763" t="s">
        <v>16871</v>
      </c>
      <c r="D13763" t="s">
        <v>19038</v>
      </c>
      <c r="E13763" t="s">
        <v>30717</v>
      </c>
      <c r="F13763" t="s">
        <v>32606</v>
      </c>
      <c r="G13763" t="s">
        <v>32613</v>
      </c>
      <c r="H13763" t="s">
        <v>14201</v>
      </c>
      <c r="I13763" t="s">
        <v>17648</v>
      </c>
      <c r="J13763" t="s">
        <v>41266</v>
      </c>
      <c r="K13763" t="s">
        <v>42638</v>
      </c>
      <c r="M13763" t="s">
        <v>43163</v>
      </c>
      <c r="N13763" t="s">
        <v>47304</v>
      </c>
      <c r="O13763" t="s">
        <v>47305</v>
      </c>
      <c r="P13763">
        <v>0</v>
      </c>
      <c r="Q13763">
        <v>1</v>
      </c>
      <c r="R13763" t="s">
        <v>47321</v>
      </c>
      <c r="S13763" t="s">
        <v>48071</v>
      </c>
      <c r="T13763" t="s">
        <v>48986</v>
      </c>
      <c r="U13763" t="s">
        <v>60925</v>
      </c>
      <c r="W13763" t="s">
        <v>43163</v>
      </c>
      <c r="X13763" t="s">
        <v>47322</v>
      </c>
    </row>
    <row r="13764" spans="1:24">
      <c r="A13764">
        <f>HYPERLINK("https://www.philgeps.gov.ph/GEPSNONPILOT/Tender/SplashBidNoticeAbstractUI.aspx?menuIndex=3&amp;refID=7166327&amp;Result=3","7166327")</f>
        <v>0</v>
      </c>
      <c r="B13764" t="s">
        <v>1073</v>
      </c>
      <c r="C13764" t="s">
        <v>16872</v>
      </c>
      <c r="D13764" t="s">
        <v>19004</v>
      </c>
      <c r="E13764" t="s">
        <v>30718</v>
      </c>
      <c r="F13764" t="s">
        <v>32606</v>
      </c>
      <c r="G13764" t="s">
        <v>32613</v>
      </c>
      <c r="H13764" t="s">
        <v>32623</v>
      </c>
      <c r="I13764" t="s">
        <v>17648</v>
      </c>
      <c r="J13764" t="s">
        <v>41267</v>
      </c>
      <c r="K13764" t="s">
        <v>42760</v>
      </c>
      <c r="M13764" t="s">
        <v>44026</v>
      </c>
      <c r="N13764" t="s">
        <v>47304</v>
      </c>
      <c r="O13764" t="s">
        <v>47305</v>
      </c>
      <c r="Q13764">
        <v>6</v>
      </c>
      <c r="R13764" t="s">
        <v>47321</v>
      </c>
      <c r="S13764" t="s">
        <v>48108</v>
      </c>
      <c r="T13764" t="s">
        <v>48986</v>
      </c>
      <c r="U13764" t="s">
        <v>51715</v>
      </c>
      <c r="V13764" t="s">
        <v>64135</v>
      </c>
      <c r="W13764" t="s">
        <v>44026</v>
      </c>
      <c r="X13764" t="s">
        <v>47322</v>
      </c>
    </row>
    <row r="13765" spans="1:24">
      <c r="A13765">
        <f>HYPERLINK("https://www.philgeps.gov.ph/GEPSNONPILOT/Tender/SplashBidNoticeAbstractUI.aspx?menuIndex=3&amp;refID=7166359&amp;Result=3","7166359")</f>
        <v>0</v>
      </c>
      <c r="B13765" t="s">
        <v>257</v>
      </c>
      <c r="C13765" t="s">
        <v>16873</v>
      </c>
      <c r="D13765" t="s">
        <v>19019</v>
      </c>
      <c r="E13765" t="s">
        <v>30719</v>
      </c>
      <c r="F13765" t="s">
        <v>32606</v>
      </c>
      <c r="G13765" t="s">
        <v>32613</v>
      </c>
      <c r="H13765" t="s">
        <v>32623</v>
      </c>
      <c r="I13765" t="s">
        <v>17648</v>
      </c>
      <c r="J13765" t="s">
        <v>41268</v>
      </c>
      <c r="K13765" t="s">
        <v>42648</v>
      </c>
      <c r="M13765" t="s">
        <v>43158</v>
      </c>
      <c r="N13765" t="s">
        <v>47304</v>
      </c>
      <c r="O13765" t="s">
        <v>47305</v>
      </c>
      <c r="P13765">
        <v>0</v>
      </c>
      <c r="Q13765">
        <v>0</v>
      </c>
      <c r="R13765" t="s">
        <v>47321</v>
      </c>
      <c r="S13765" t="s">
        <v>48071</v>
      </c>
      <c r="T13765" t="s">
        <v>48987</v>
      </c>
      <c r="U13765" t="s">
        <v>60309</v>
      </c>
      <c r="W13765" t="s">
        <v>43158</v>
      </c>
      <c r="X13765" t="s">
        <v>47322</v>
      </c>
    </row>
    <row r="13766" spans="1:24">
      <c r="A13766">
        <f>HYPERLINK("https://www.philgeps.gov.ph/GEPSNONPILOT/Tender/SplashBidNoticeAbstractUI.aspx?menuIndex=3&amp;refID=7166355&amp;Result=3","7166355")</f>
        <v>0</v>
      </c>
      <c r="B13766" t="s">
        <v>2996</v>
      </c>
      <c r="C13766" t="s">
        <v>16874</v>
      </c>
      <c r="D13766" t="s">
        <v>19005</v>
      </c>
      <c r="E13766" t="s">
        <v>30720</v>
      </c>
      <c r="F13766" t="s">
        <v>32606</v>
      </c>
      <c r="G13766" t="s">
        <v>32613</v>
      </c>
      <c r="H13766" t="s">
        <v>14201</v>
      </c>
      <c r="I13766" t="s">
        <v>4114</v>
      </c>
      <c r="J13766" t="s">
        <v>41269</v>
      </c>
      <c r="K13766" t="s">
        <v>42623</v>
      </c>
      <c r="L13766" t="s">
        <v>2996</v>
      </c>
      <c r="M13766" t="s">
        <v>46184</v>
      </c>
      <c r="N13766" t="s">
        <v>47304</v>
      </c>
      <c r="O13766" t="s">
        <v>47305</v>
      </c>
      <c r="P13766">
        <v>0</v>
      </c>
      <c r="Q13766">
        <v>1</v>
      </c>
      <c r="R13766" t="s">
        <v>47321</v>
      </c>
      <c r="S13766" t="s">
        <v>48071</v>
      </c>
      <c r="T13766" t="s">
        <v>48987</v>
      </c>
      <c r="U13766" t="s">
        <v>60926</v>
      </c>
      <c r="W13766" t="s">
        <v>46184</v>
      </c>
      <c r="X13766" t="s">
        <v>47322</v>
      </c>
    </row>
    <row r="13767" spans="1:24">
      <c r="A13767">
        <f>HYPERLINK("https://www.philgeps.gov.ph/GEPSNONPILOT/Tender/SplashBidNoticeAbstractUI.aspx?menuIndex=3&amp;refID=7166403&amp;Result=3","7166403")</f>
        <v>0</v>
      </c>
      <c r="B13767" t="s">
        <v>2534</v>
      </c>
      <c r="C13767" t="s">
        <v>16875</v>
      </c>
      <c r="D13767" t="s">
        <v>19003</v>
      </c>
      <c r="E13767" t="s">
        <v>30721</v>
      </c>
      <c r="F13767" t="s">
        <v>32606</v>
      </c>
      <c r="G13767" t="s">
        <v>32613</v>
      </c>
      <c r="H13767" t="s">
        <v>14201</v>
      </c>
      <c r="I13767" t="s">
        <v>7064</v>
      </c>
      <c r="J13767" t="s">
        <v>34128</v>
      </c>
      <c r="K13767" t="s">
        <v>42648</v>
      </c>
      <c r="M13767" t="s">
        <v>45674</v>
      </c>
      <c r="N13767" t="s">
        <v>47304</v>
      </c>
      <c r="O13767" t="s">
        <v>47305</v>
      </c>
      <c r="P13767">
        <v>0</v>
      </c>
      <c r="Q13767">
        <v>2</v>
      </c>
      <c r="R13767" t="s">
        <v>47321</v>
      </c>
      <c r="S13767" t="s">
        <v>48071</v>
      </c>
      <c r="T13767" t="s">
        <v>49107</v>
      </c>
      <c r="U13767" t="s">
        <v>60927</v>
      </c>
      <c r="V13767" t="s">
        <v>63996</v>
      </c>
      <c r="W13767" t="s">
        <v>45674</v>
      </c>
      <c r="X13767" t="s">
        <v>47322</v>
      </c>
    </row>
    <row r="13768" spans="1:24">
      <c r="A13768">
        <f>HYPERLINK("https://www.philgeps.gov.ph/GEPSNONPILOT/Tender/SplashBidNoticeAbstractUI.aspx?menuIndex=3&amp;refID=7166054&amp;Result=3","7166054")</f>
        <v>0</v>
      </c>
      <c r="B13768" t="s">
        <v>433</v>
      </c>
      <c r="C13768" t="s">
        <v>16876</v>
      </c>
      <c r="D13768" t="s">
        <v>19012</v>
      </c>
      <c r="E13768" t="s">
        <v>30722</v>
      </c>
      <c r="F13768" t="s">
        <v>32606</v>
      </c>
      <c r="G13768" t="s">
        <v>32613</v>
      </c>
      <c r="H13768" t="s">
        <v>14201</v>
      </c>
      <c r="I13768" t="s">
        <v>6931</v>
      </c>
      <c r="J13768" t="s">
        <v>41270</v>
      </c>
      <c r="K13768" t="s">
        <v>42623</v>
      </c>
      <c r="M13768" t="s">
        <v>43339</v>
      </c>
      <c r="N13768" t="s">
        <v>47304</v>
      </c>
      <c r="O13768" t="s">
        <v>47305</v>
      </c>
      <c r="Q13768">
        <v>0</v>
      </c>
      <c r="R13768" t="s">
        <v>47321</v>
      </c>
      <c r="S13768" t="s">
        <v>48109</v>
      </c>
      <c r="T13768" t="s">
        <v>49065</v>
      </c>
      <c r="U13768" t="s">
        <v>60928</v>
      </c>
      <c r="W13768" t="s">
        <v>43339</v>
      </c>
      <c r="X13768" t="s">
        <v>47322</v>
      </c>
    </row>
    <row r="13769" spans="1:24">
      <c r="A13769">
        <f>HYPERLINK("https://www.philgeps.gov.ph/GEPSNONPILOT/Tender/SplashBidNoticeAbstractUI.aspx?menuIndex=3&amp;refID=7166447&amp;Result=3","7166447")</f>
        <v>0</v>
      </c>
      <c r="B13769" t="s">
        <v>70</v>
      </c>
      <c r="C13769" t="s">
        <v>16877</v>
      </c>
      <c r="D13769" t="s">
        <v>18993</v>
      </c>
      <c r="E13769" t="s">
        <v>30723</v>
      </c>
      <c r="F13769" t="s">
        <v>32606</v>
      </c>
      <c r="G13769" t="s">
        <v>32613</v>
      </c>
      <c r="H13769" t="s">
        <v>14201</v>
      </c>
      <c r="I13769" t="s">
        <v>7064</v>
      </c>
      <c r="J13769" t="s">
        <v>32860</v>
      </c>
      <c r="K13769" t="s">
        <v>42623</v>
      </c>
      <c r="M13769" t="s">
        <v>42967</v>
      </c>
      <c r="N13769" t="s">
        <v>47304</v>
      </c>
      <c r="O13769" t="s">
        <v>47305</v>
      </c>
      <c r="Q13769">
        <v>3</v>
      </c>
      <c r="R13769" t="s">
        <v>47321</v>
      </c>
      <c r="S13769" t="s">
        <v>48110</v>
      </c>
      <c r="T13769" t="s">
        <v>49076</v>
      </c>
      <c r="U13769" t="s">
        <v>60929</v>
      </c>
      <c r="W13769" t="s">
        <v>42967</v>
      </c>
      <c r="X13769" t="s">
        <v>47322</v>
      </c>
    </row>
    <row r="13770" spans="1:24">
      <c r="A13770">
        <f>HYPERLINK("https://www.philgeps.gov.ph/GEPSNONPILOT/Tender/SplashBidNoticeAbstractUI.aspx?menuIndex=3&amp;refID=7166374&amp;Result=3","7166374")</f>
        <v>0</v>
      </c>
      <c r="B13770" t="s">
        <v>651</v>
      </c>
      <c r="C13770" t="s">
        <v>16878</v>
      </c>
      <c r="D13770" t="s">
        <v>19060</v>
      </c>
      <c r="E13770" t="s">
        <v>30724</v>
      </c>
      <c r="F13770" t="s">
        <v>32606</v>
      </c>
      <c r="G13770" t="s">
        <v>32613</v>
      </c>
      <c r="H13770" t="s">
        <v>14201</v>
      </c>
      <c r="I13770" t="s">
        <v>6478</v>
      </c>
      <c r="J13770" t="s">
        <v>41271</v>
      </c>
      <c r="K13770" t="s">
        <v>42631</v>
      </c>
      <c r="M13770" t="s">
        <v>43570</v>
      </c>
      <c r="N13770" t="s">
        <v>47304</v>
      </c>
      <c r="O13770" t="s">
        <v>47305</v>
      </c>
      <c r="P13770">
        <v>0</v>
      </c>
      <c r="Q13770">
        <v>1</v>
      </c>
      <c r="R13770" t="s">
        <v>47321</v>
      </c>
      <c r="S13770" t="s">
        <v>48071</v>
      </c>
      <c r="T13770" t="s">
        <v>48975</v>
      </c>
      <c r="U13770" t="s">
        <v>60930</v>
      </c>
      <c r="W13770" t="s">
        <v>43570</v>
      </c>
      <c r="X13770" t="s">
        <v>47322</v>
      </c>
    </row>
    <row r="13771" spans="1:24">
      <c r="A13771">
        <f>HYPERLINK("https://www.philgeps.gov.ph/GEPSNONPILOT/Tender/SplashBidNoticeAbstractUI.aspx?menuIndex=3&amp;refID=7166365&amp;Result=3","7166365")</f>
        <v>0</v>
      </c>
      <c r="B13771" t="s">
        <v>1306</v>
      </c>
      <c r="C13771" t="s">
        <v>16879</v>
      </c>
      <c r="D13771" t="s">
        <v>19011</v>
      </c>
      <c r="E13771" t="s">
        <v>30725</v>
      </c>
      <c r="F13771" t="s">
        <v>32606</v>
      </c>
      <c r="G13771" t="s">
        <v>32613</v>
      </c>
      <c r="H13771" t="s">
        <v>14201</v>
      </c>
      <c r="I13771" t="s">
        <v>32686</v>
      </c>
      <c r="J13771" t="s">
        <v>41272</v>
      </c>
      <c r="K13771" t="s">
        <v>42648</v>
      </c>
      <c r="M13771" t="s">
        <v>44278</v>
      </c>
      <c r="N13771" t="s">
        <v>47304</v>
      </c>
      <c r="O13771" t="s">
        <v>47305</v>
      </c>
      <c r="P13771">
        <v>0</v>
      </c>
      <c r="Q13771">
        <v>6</v>
      </c>
      <c r="R13771" t="s">
        <v>47321</v>
      </c>
      <c r="S13771" t="s">
        <v>48071</v>
      </c>
      <c r="T13771" t="s">
        <v>49011</v>
      </c>
      <c r="U13771" t="s">
        <v>60931</v>
      </c>
      <c r="W13771" t="s">
        <v>44278</v>
      </c>
      <c r="X13771" t="s">
        <v>47322</v>
      </c>
    </row>
    <row r="13772" spans="1:24">
      <c r="A13772">
        <f>HYPERLINK("https://www.philgeps.gov.ph/GEPSNONPILOT/Tender/SplashBidNoticeAbstractUI.aspx?menuIndex=3&amp;refID=7166339&amp;Result=3","7166339")</f>
        <v>0</v>
      </c>
      <c r="B13772" t="s">
        <v>2226</v>
      </c>
      <c r="C13772" t="s">
        <v>16880</v>
      </c>
      <c r="D13772" t="s">
        <v>19058</v>
      </c>
      <c r="E13772" t="s">
        <v>30726</v>
      </c>
      <c r="F13772" t="s">
        <v>32606</v>
      </c>
      <c r="G13772" t="s">
        <v>32613</v>
      </c>
      <c r="H13772" t="s">
        <v>32623</v>
      </c>
      <c r="I13772" t="s">
        <v>17648</v>
      </c>
      <c r="J13772" t="s">
        <v>41273</v>
      </c>
      <c r="K13772" t="s">
        <v>42631</v>
      </c>
      <c r="M13772" t="s">
        <v>45330</v>
      </c>
      <c r="N13772" t="s">
        <v>47304</v>
      </c>
      <c r="O13772" t="s">
        <v>47305</v>
      </c>
      <c r="P13772">
        <v>0</v>
      </c>
      <c r="Q13772">
        <v>2</v>
      </c>
      <c r="R13772" t="s">
        <v>47321</v>
      </c>
      <c r="S13772" t="s">
        <v>48071</v>
      </c>
      <c r="T13772" t="s">
        <v>49268</v>
      </c>
      <c r="U13772" t="s">
        <v>60932</v>
      </c>
      <c r="W13772" t="s">
        <v>45330</v>
      </c>
      <c r="X13772" t="s">
        <v>47322</v>
      </c>
    </row>
    <row r="13773" spans="1:24">
      <c r="A13773">
        <f>HYPERLINK("https://www.philgeps.gov.ph/GEPSNONPILOT/Tender/SplashBidNoticeAbstractUI.aspx?menuIndex=3&amp;refID=7166441&amp;Result=3","7166441")</f>
        <v>0</v>
      </c>
      <c r="B13773" t="s">
        <v>497</v>
      </c>
      <c r="C13773" t="s">
        <v>16881</v>
      </c>
      <c r="D13773" t="s">
        <v>18991</v>
      </c>
      <c r="E13773" t="s">
        <v>30727</v>
      </c>
      <c r="F13773" t="s">
        <v>32606</v>
      </c>
      <c r="G13773" t="s">
        <v>32613</v>
      </c>
      <c r="H13773" t="s">
        <v>14201</v>
      </c>
      <c r="I13773" t="s">
        <v>4678</v>
      </c>
      <c r="J13773" t="s">
        <v>41274</v>
      </c>
      <c r="K13773" t="s">
        <v>42624</v>
      </c>
      <c r="M13773" t="s">
        <v>46319</v>
      </c>
      <c r="N13773" t="s">
        <v>47304</v>
      </c>
      <c r="O13773" t="s">
        <v>47305</v>
      </c>
      <c r="Q13773">
        <v>8</v>
      </c>
      <c r="R13773" t="s">
        <v>47321</v>
      </c>
      <c r="S13773" t="s">
        <v>48111</v>
      </c>
      <c r="T13773" t="s">
        <v>49108</v>
      </c>
      <c r="U13773" t="s">
        <v>60933</v>
      </c>
      <c r="V13773" t="s">
        <v>64136</v>
      </c>
      <c r="W13773" t="s">
        <v>46319</v>
      </c>
      <c r="X13773" t="s">
        <v>47322</v>
      </c>
    </row>
    <row r="13774" spans="1:24">
      <c r="A13774">
        <f>HYPERLINK("https://www.philgeps.gov.ph/GEPSNONPILOT/Tender/SplashBidNoticeAbstractUI.aspx?menuIndex=3&amp;refID=7166442&amp;Result=3","7166442")</f>
        <v>0</v>
      </c>
      <c r="B13774" t="s">
        <v>257</v>
      </c>
      <c r="C13774" t="s">
        <v>16882</v>
      </c>
      <c r="D13774" t="s">
        <v>19019</v>
      </c>
      <c r="E13774" t="s">
        <v>30728</v>
      </c>
      <c r="F13774" t="s">
        <v>32606</v>
      </c>
      <c r="G13774" t="s">
        <v>32613</v>
      </c>
      <c r="H13774" t="s">
        <v>32623</v>
      </c>
      <c r="I13774" t="s">
        <v>17648</v>
      </c>
      <c r="J13774" t="s">
        <v>41275</v>
      </c>
      <c r="K13774" t="s">
        <v>42648</v>
      </c>
      <c r="M13774" t="s">
        <v>43158</v>
      </c>
      <c r="N13774" t="s">
        <v>47304</v>
      </c>
      <c r="O13774" t="s">
        <v>47305</v>
      </c>
      <c r="P13774">
        <v>0</v>
      </c>
      <c r="Q13774">
        <v>0</v>
      </c>
      <c r="R13774" t="s">
        <v>47321</v>
      </c>
      <c r="S13774" t="s">
        <v>48071</v>
      </c>
      <c r="T13774" t="s">
        <v>48987</v>
      </c>
      <c r="U13774" t="s">
        <v>60309</v>
      </c>
      <c r="W13774" t="s">
        <v>43158</v>
      </c>
      <c r="X13774" t="s">
        <v>47322</v>
      </c>
    </row>
    <row r="13775" spans="1:24">
      <c r="A13775">
        <f>HYPERLINK("https://www.philgeps.gov.ph/GEPSNONPILOT/Tender/SplashBidNoticeAbstractUI.aspx?menuIndex=3&amp;refID=7166336&amp;Result=3","7166336")</f>
        <v>0</v>
      </c>
      <c r="B13775" t="s">
        <v>3677</v>
      </c>
      <c r="C13775" t="s">
        <v>16883</v>
      </c>
      <c r="D13775" t="s">
        <v>19016</v>
      </c>
      <c r="E13775" t="s">
        <v>30729</v>
      </c>
      <c r="F13775" t="s">
        <v>32606</v>
      </c>
      <c r="G13775" t="s">
        <v>32613</v>
      </c>
      <c r="H13775" t="s">
        <v>14201</v>
      </c>
      <c r="I13775" t="s">
        <v>6931</v>
      </c>
      <c r="J13775" t="s">
        <v>41276</v>
      </c>
      <c r="K13775" t="s">
        <v>42734</v>
      </c>
      <c r="M13775" t="s">
        <v>46982</v>
      </c>
      <c r="N13775" t="s">
        <v>47304</v>
      </c>
      <c r="O13775" t="s">
        <v>47305</v>
      </c>
      <c r="P13775">
        <v>0</v>
      </c>
      <c r="Q13775">
        <v>11</v>
      </c>
      <c r="R13775" t="s">
        <v>47321</v>
      </c>
      <c r="S13775" t="s">
        <v>48071</v>
      </c>
      <c r="T13775" t="s">
        <v>49018</v>
      </c>
      <c r="U13775" t="s">
        <v>60934</v>
      </c>
      <c r="W13775" t="s">
        <v>46982</v>
      </c>
      <c r="X13775" t="s">
        <v>47322</v>
      </c>
    </row>
    <row r="13776" spans="1:24">
      <c r="A13776">
        <f>HYPERLINK("https://www.philgeps.gov.ph/GEPSNONPILOT/Tender/SplashBidNoticeAbstractUI.aspx?menuIndex=3&amp;refID=7166440&amp;Result=3","7166440")</f>
        <v>0</v>
      </c>
      <c r="B13776" t="s">
        <v>3678</v>
      </c>
      <c r="C13776" t="s">
        <v>16884</v>
      </c>
      <c r="D13776" t="s">
        <v>19063</v>
      </c>
      <c r="E13776" t="s">
        <v>30730</v>
      </c>
      <c r="F13776" t="s">
        <v>32606</v>
      </c>
      <c r="G13776" t="s">
        <v>32613</v>
      </c>
      <c r="H13776" t="s">
        <v>32623</v>
      </c>
      <c r="I13776" t="s">
        <v>17648</v>
      </c>
      <c r="J13776" t="s">
        <v>32770</v>
      </c>
      <c r="K13776" t="s">
        <v>42639</v>
      </c>
      <c r="M13776" t="s">
        <v>46983</v>
      </c>
      <c r="N13776" t="s">
        <v>47304</v>
      </c>
      <c r="O13776" t="s">
        <v>47305</v>
      </c>
      <c r="P13776">
        <v>0</v>
      </c>
      <c r="Q13776">
        <v>0</v>
      </c>
      <c r="R13776" t="s">
        <v>47321</v>
      </c>
      <c r="S13776" t="s">
        <v>48071</v>
      </c>
      <c r="T13776" t="s">
        <v>49099</v>
      </c>
      <c r="U13776" t="s">
        <v>60900</v>
      </c>
      <c r="W13776" t="s">
        <v>46983</v>
      </c>
      <c r="X13776" t="s">
        <v>47322</v>
      </c>
    </row>
    <row r="13777" spans="1:24">
      <c r="A13777">
        <f>HYPERLINK("https://www.philgeps.gov.ph/GEPSNONPILOT/Tender/SplashBidNoticeAbstractUI.aspx?menuIndex=3&amp;refID=7166452&amp;Result=3","7166452")</f>
        <v>0</v>
      </c>
      <c r="B13777" t="s">
        <v>662</v>
      </c>
      <c r="C13777" t="s">
        <v>16885</v>
      </c>
      <c r="D13777" t="s">
        <v>19023</v>
      </c>
      <c r="E13777" t="s">
        <v>30731</v>
      </c>
      <c r="F13777" t="s">
        <v>32606</v>
      </c>
      <c r="G13777" t="s">
        <v>32613</v>
      </c>
      <c r="H13777" t="s">
        <v>32623</v>
      </c>
      <c r="I13777" t="s">
        <v>17648</v>
      </c>
      <c r="J13777" t="s">
        <v>32769</v>
      </c>
      <c r="K13777" t="s">
        <v>42825</v>
      </c>
      <c r="M13777" t="s">
        <v>43582</v>
      </c>
      <c r="N13777" t="s">
        <v>47304</v>
      </c>
      <c r="O13777" t="s">
        <v>47305</v>
      </c>
      <c r="P13777">
        <v>0</v>
      </c>
      <c r="Q13777">
        <v>1</v>
      </c>
      <c r="R13777" t="s">
        <v>47321</v>
      </c>
      <c r="S13777" t="s">
        <v>48071</v>
      </c>
      <c r="T13777" t="s">
        <v>49015</v>
      </c>
      <c r="U13777" t="s">
        <v>60935</v>
      </c>
      <c r="W13777" t="s">
        <v>43582</v>
      </c>
      <c r="X13777" t="s">
        <v>47322</v>
      </c>
    </row>
    <row r="13778" spans="1:24">
      <c r="A13778">
        <f>HYPERLINK("https://www.philgeps.gov.ph/GEPSNONPILOT/Tender/SplashBidNoticeAbstractUI.aspx?menuIndex=3&amp;refID=7166405&amp;Result=3","7166405")</f>
        <v>0</v>
      </c>
      <c r="B13778" t="s">
        <v>257</v>
      </c>
      <c r="C13778" t="s">
        <v>16886</v>
      </c>
      <c r="D13778" t="s">
        <v>19019</v>
      </c>
      <c r="E13778" t="s">
        <v>30732</v>
      </c>
      <c r="F13778" t="s">
        <v>32606</v>
      </c>
      <c r="G13778" t="s">
        <v>32613</v>
      </c>
      <c r="H13778" t="s">
        <v>32623</v>
      </c>
      <c r="I13778" t="s">
        <v>17648</v>
      </c>
      <c r="J13778" t="s">
        <v>41277</v>
      </c>
      <c r="K13778" t="s">
        <v>42648</v>
      </c>
      <c r="M13778" t="s">
        <v>43158</v>
      </c>
      <c r="N13778" t="s">
        <v>47304</v>
      </c>
      <c r="O13778" t="s">
        <v>47305</v>
      </c>
      <c r="P13778">
        <v>0</v>
      </c>
      <c r="Q13778">
        <v>0</v>
      </c>
      <c r="R13778" t="s">
        <v>47321</v>
      </c>
      <c r="S13778" t="s">
        <v>48071</v>
      </c>
      <c r="T13778" t="s">
        <v>48987</v>
      </c>
      <c r="U13778" t="s">
        <v>60309</v>
      </c>
      <c r="W13778" t="s">
        <v>43158</v>
      </c>
      <c r="X13778" t="s">
        <v>47322</v>
      </c>
    </row>
    <row r="13779" spans="1:24">
      <c r="A13779">
        <f>HYPERLINK("https://www.philgeps.gov.ph/GEPSNONPILOT/Tender/SplashBidNoticeAbstractUI.aspx?menuIndex=3&amp;refID=7166449&amp;Result=3","7166449")</f>
        <v>0</v>
      </c>
      <c r="B13779" t="s">
        <v>1551</v>
      </c>
      <c r="C13779" t="s">
        <v>16887</v>
      </c>
      <c r="D13779" t="s">
        <v>19046</v>
      </c>
      <c r="E13779" t="s">
        <v>30733</v>
      </c>
      <c r="F13779" t="s">
        <v>32606</v>
      </c>
      <c r="G13779" t="s">
        <v>32613</v>
      </c>
      <c r="H13779" t="s">
        <v>32623</v>
      </c>
      <c r="I13779" t="s">
        <v>17648</v>
      </c>
      <c r="J13779" t="s">
        <v>41278</v>
      </c>
      <c r="K13779" t="s">
        <v>42634</v>
      </c>
      <c r="M13779" t="s">
        <v>44555</v>
      </c>
      <c r="N13779" t="s">
        <v>47304</v>
      </c>
      <c r="O13779" t="s">
        <v>47305</v>
      </c>
      <c r="Q13779">
        <v>2</v>
      </c>
      <c r="R13779" t="s">
        <v>47321</v>
      </c>
      <c r="S13779" t="s">
        <v>48112</v>
      </c>
      <c r="T13779" t="s">
        <v>48996</v>
      </c>
      <c r="U13779" t="s">
        <v>60936</v>
      </c>
      <c r="W13779" t="s">
        <v>44555</v>
      </c>
      <c r="X13779" t="s">
        <v>47322</v>
      </c>
    </row>
    <row r="13780" spans="1:24">
      <c r="A13780">
        <f>HYPERLINK("https://www.philgeps.gov.ph/GEPSNONPILOT/Tender/SplashBidNoticeAbstractUI.aspx?menuIndex=3&amp;refID=7166545&amp;Result=3","7166545")</f>
        <v>0</v>
      </c>
      <c r="B13780" t="s">
        <v>37</v>
      </c>
      <c r="C13780" t="s">
        <v>16888</v>
      </c>
      <c r="D13780" t="s">
        <v>18997</v>
      </c>
      <c r="E13780" t="s">
        <v>30734</v>
      </c>
      <c r="F13780" t="s">
        <v>32606</v>
      </c>
      <c r="G13780" t="s">
        <v>32613</v>
      </c>
      <c r="H13780" t="s">
        <v>14201</v>
      </c>
      <c r="I13780" t="s">
        <v>9008</v>
      </c>
      <c r="J13780" t="s">
        <v>41279</v>
      </c>
      <c r="K13780" t="s">
        <v>42623</v>
      </c>
      <c r="M13780" t="s">
        <v>42934</v>
      </c>
      <c r="N13780" t="s">
        <v>47304</v>
      </c>
      <c r="O13780" t="s">
        <v>47305</v>
      </c>
      <c r="P13780">
        <v>0</v>
      </c>
      <c r="Q13780">
        <v>1</v>
      </c>
      <c r="R13780" t="s">
        <v>47321</v>
      </c>
      <c r="S13780" t="s">
        <v>48071</v>
      </c>
      <c r="T13780" t="s">
        <v>48987</v>
      </c>
      <c r="U13780" t="s">
        <v>60937</v>
      </c>
      <c r="W13780" t="s">
        <v>42934</v>
      </c>
      <c r="X13780" t="s">
        <v>47322</v>
      </c>
    </row>
    <row r="13781" spans="1:24">
      <c r="A13781">
        <f>HYPERLINK("https://www.philgeps.gov.ph/GEPSNONPILOT/Tender/SplashBidNoticeAbstractUI.aspx?menuIndex=3&amp;refID=7166526&amp;Result=3","7166526")</f>
        <v>0</v>
      </c>
      <c r="B13781" t="s">
        <v>2326</v>
      </c>
      <c r="C13781" t="s">
        <v>16889</v>
      </c>
      <c r="E13781" t="s">
        <v>30735</v>
      </c>
      <c r="F13781" t="s">
        <v>32606</v>
      </c>
      <c r="G13781" t="s">
        <v>32613</v>
      </c>
      <c r="H13781" t="s">
        <v>32623</v>
      </c>
      <c r="I13781" t="s">
        <v>17648</v>
      </c>
      <c r="J13781" t="s">
        <v>41280</v>
      </c>
      <c r="K13781" t="s">
        <v>42624</v>
      </c>
      <c r="M13781" t="s">
        <v>45434</v>
      </c>
      <c r="N13781" t="s">
        <v>47304</v>
      </c>
      <c r="O13781" t="s">
        <v>47305</v>
      </c>
      <c r="P13781">
        <v>0</v>
      </c>
      <c r="Q13781">
        <v>1</v>
      </c>
      <c r="R13781" t="s">
        <v>47321</v>
      </c>
      <c r="S13781" t="s">
        <v>48071</v>
      </c>
      <c r="T13781" t="s">
        <v>48989</v>
      </c>
      <c r="U13781" t="s">
        <v>60938</v>
      </c>
      <c r="W13781" t="s">
        <v>45434</v>
      </c>
      <c r="X13781" t="s">
        <v>47322</v>
      </c>
    </row>
    <row r="13782" spans="1:24">
      <c r="A13782">
        <f>HYPERLINK("https://www.philgeps.gov.ph/GEPSNONPILOT/Tender/SplashBidNoticeAbstractUI.aspx?menuIndex=3&amp;refID=7166338&amp;Result=3","7166338")</f>
        <v>0</v>
      </c>
      <c r="B13782" t="s">
        <v>2496</v>
      </c>
      <c r="C13782" t="s">
        <v>16890</v>
      </c>
      <c r="D13782" t="s">
        <v>18995</v>
      </c>
      <c r="E13782" t="s">
        <v>30736</v>
      </c>
      <c r="F13782" t="s">
        <v>32606</v>
      </c>
      <c r="G13782" t="s">
        <v>32613</v>
      </c>
      <c r="H13782" t="s">
        <v>14201</v>
      </c>
      <c r="I13782" t="s">
        <v>7577</v>
      </c>
      <c r="J13782" t="s">
        <v>41281</v>
      </c>
      <c r="K13782" t="s">
        <v>42631</v>
      </c>
      <c r="M13782" t="s">
        <v>46984</v>
      </c>
      <c r="N13782" t="s">
        <v>47304</v>
      </c>
      <c r="O13782" t="s">
        <v>47305</v>
      </c>
      <c r="P13782">
        <v>0</v>
      </c>
      <c r="Q13782">
        <v>6</v>
      </c>
      <c r="R13782" t="s">
        <v>47321</v>
      </c>
      <c r="S13782" t="s">
        <v>48071</v>
      </c>
      <c r="T13782" t="s">
        <v>49015</v>
      </c>
      <c r="U13782" t="s">
        <v>60939</v>
      </c>
      <c r="V13782" t="s">
        <v>63227</v>
      </c>
      <c r="W13782" t="s">
        <v>46984</v>
      </c>
      <c r="X13782" t="s">
        <v>47322</v>
      </c>
    </row>
    <row r="13783" spans="1:24">
      <c r="A13783">
        <f>HYPERLINK("https://www.philgeps.gov.ph/GEPSNONPILOT/Tender/SplashBidNoticeAbstractUI.aspx?menuIndex=3&amp;refID=7166593&amp;Result=3","7166593")</f>
        <v>0</v>
      </c>
      <c r="B13783" t="s">
        <v>662</v>
      </c>
      <c r="C13783" t="s">
        <v>16891</v>
      </c>
      <c r="D13783" t="s">
        <v>19023</v>
      </c>
      <c r="E13783" t="s">
        <v>30737</v>
      </c>
      <c r="F13783" t="s">
        <v>32606</v>
      </c>
      <c r="G13783" t="s">
        <v>32613</v>
      </c>
      <c r="H13783" t="s">
        <v>14201</v>
      </c>
      <c r="I13783" t="s">
        <v>6931</v>
      </c>
      <c r="J13783" t="s">
        <v>41282</v>
      </c>
      <c r="K13783" t="s">
        <v>42631</v>
      </c>
      <c r="M13783" t="s">
        <v>43582</v>
      </c>
      <c r="N13783" t="s">
        <v>47304</v>
      </c>
      <c r="O13783" t="s">
        <v>47305</v>
      </c>
      <c r="P13783">
        <v>0</v>
      </c>
      <c r="Q13783">
        <v>2</v>
      </c>
      <c r="R13783" t="s">
        <v>47321</v>
      </c>
      <c r="S13783" t="s">
        <v>48071</v>
      </c>
      <c r="T13783" t="s">
        <v>48975</v>
      </c>
      <c r="U13783" t="s">
        <v>60940</v>
      </c>
      <c r="W13783" t="s">
        <v>43582</v>
      </c>
      <c r="X13783" t="s">
        <v>47322</v>
      </c>
    </row>
    <row r="13784" spans="1:24">
      <c r="A13784">
        <f>HYPERLINK("https://www.philgeps.gov.ph/GEPSNONPILOT/Tender/SplashBidNoticeAbstractUI.aspx?menuIndex=3&amp;refID=7166348&amp;Result=3","7166348")</f>
        <v>0</v>
      </c>
      <c r="B13784" t="s">
        <v>362</v>
      </c>
      <c r="C13784" t="s">
        <v>16892</v>
      </c>
      <c r="D13784" t="s">
        <v>19023</v>
      </c>
      <c r="E13784" t="s">
        <v>30738</v>
      </c>
      <c r="F13784" t="s">
        <v>32606</v>
      </c>
      <c r="G13784" t="s">
        <v>32613</v>
      </c>
      <c r="H13784" t="s">
        <v>14201</v>
      </c>
      <c r="I13784" t="s">
        <v>6993</v>
      </c>
      <c r="J13784" t="s">
        <v>41283</v>
      </c>
      <c r="K13784" t="s">
        <v>42630</v>
      </c>
      <c r="M13784" t="s">
        <v>43264</v>
      </c>
      <c r="N13784" t="s">
        <v>47304</v>
      </c>
      <c r="O13784" t="s">
        <v>47305</v>
      </c>
      <c r="P13784">
        <v>0</v>
      </c>
      <c r="Q13784">
        <v>2</v>
      </c>
      <c r="R13784" t="s">
        <v>47321</v>
      </c>
      <c r="S13784" t="s">
        <v>48071</v>
      </c>
      <c r="T13784" t="s">
        <v>48994</v>
      </c>
      <c r="U13784" t="s">
        <v>53681</v>
      </c>
      <c r="V13784" t="s">
        <v>64137</v>
      </c>
      <c r="W13784" t="s">
        <v>43264</v>
      </c>
      <c r="X13784" t="s">
        <v>47322</v>
      </c>
    </row>
    <row r="13785" spans="1:24">
      <c r="A13785">
        <f>HYPERLINK("https://www.philgeps.gov.ph/GEPSNONPILOT/Tender/SplashBidNoticeAbstractUI.aspx?menuIndex=3&amp;refID=7166418&amp;Result=3","7166418")</f>
        <v>0</v>
      </c>
      <c r="B13785" t="s">
        <v>2496</v>
      </c>
      <c r="C13785" t="s">
        <v>16893</v>
      </c>
      <c r="D13785" t="s">
        <v>18995</v>
      </c>
      <c r="E13785" t="s">
        <v>30739</v>
      </c>
      <c r="F13785" t="s">
        <v>32606</v>
      </c>
      <c r="G13785" t="s">
        <v>32613</v>
      </c>
      <c r="H13785" t="s">
        <v>14201</v>
      </c>
      <c r="I13785" t="s">
        <v>9013</v>
      </c>
      <c r="J13785" t="s">
        <v>41284</v>
      </c>
      <c r="K13785" t="s">
        <v>42631</v>
      </c>
      <c r="M13785" t="s">
        <v>46984</v>
      </c>
      <c r="N13785" t="s">
        <v>47304</v>
      </c>
      <c r="O13785" t="s">
        <v>47305</v>
      </c>
      <c r="P13785">
        <v>0</v>
      </c>
      <c r="Q13785">
        <v>8</v>
      </c>
      <c r="R13785" t="s">
        <v>47321</v>
      </c>
      <c r="S13785" t="s">
        <v>48071</v>
      </c>
      <c r="T13785" t="s">
        <v>49015</v>
      </c>
      <c r="U13785" t="s">
        <v>60941</v>
      </c>
      <c r="V13785" t="s">
        <v>63227</v>
      </c>
      <c r="W13785" t="s">
        <v>46984</v>
      </c>
      <c r="X13785" t="s">
        <v>47322</v>
      </c>
    </row>
    <row r="13786" spans="1:24">
      <c r="A13786">
        <f>HYPERLINK("https://www.philgeps.gov.ph/GEPSNONPILOT/Tender/SplashBidNoticeAbstractUI.aspx?menuIndex=3&amp;refID=7166349&amp;Result=3","7166349")</f>
        <v>0</v>
      </c>
      <c r="B13786" t="s">
        <v>3676</v>
      </c>
      <c r="C13786" t="s">
        <v>16894</v>
      </c>
      <c r="D13786" t="s">
        <v>19047</v>
      </c>
      <c r="E13786" t="s">
        <v>30740</v>
      </c>
      <c r="F13786" t="s">
        <v>32606</v>
      </c>
      <c r="G13786" t="s">
        <v>32613</v>
      </c>
      <c r="H13786" t="s">
        <v>32623</v>
      </c>
      <c r="I13786" t="s">
        <v>17648</v>
      </c>
      <c r="J13786" t="s">
        <v>41285</v>
      </c>
      <c r="K13786" t="s">
        <v>42744</v>
      </c>
      <c r="M13786" t="s">
        <v>46981</v>
      </c>
      <c r="N13786" t="s">
        <v>47304</v>
      </c>
      <c r="O13786" t="s">
        <v>47305</v>
      </c>
      <c r="P13786">
        <v>0</v>
      </c>
      <c r="Q13786">
        <v>0</v>
      </c>
      <c r="R13786" t="s">
        <v>47321</v>
      </c>
      <c r="S13786" t="s">
        <v>48071</v>
      </c>
      <c r="T13786" t="s">
        <v>48986</v>
      </c>
      <c r="U13786" t="s">
        <v>54788</v>
      </c>
      <c r="W13786" t="s">
        <v>46981</v>
      </c>
      <c r="X13786" t="s">
        <v>47322</v>
      </c>
    </row>
    <row r="13787" spans="1:24">
      <c r="A13787">
        <f>HYPERLINK("https://www.philgeps.gov.ph/GEPSNONPILOT/Tender/SplashBidNoticeAbstractUI.aspx?menuIndex=3&amp;refID=7166535&amp;Result=3","7166535")</f>
        <v>0</v>
      </c>
      <c r="B13787" t="s">
        <v>3683</v>
      </c>
      <c r="C13787" t="s">
        <v>16895</v>
      </c>
      <c r="D13787" t="s">
        <v>19016</v>
      </c>
      <c r="E13787" t="s">
        <v>30741</v>
      </c>
      <c r="F13787" t="s">
        <v>32607</v>
      </c>
      <c r="G13787" t="s">
        <v>32613</v>
      </c>
      <c r="H13787" t="s">
        <v>32624</v>
      </c>
      <c r="I13787" t="s">
        <v>4369</v>
      </c>
      <c r="J13787" t="s">
        <v>32799</v>
      </c>
      <c r="K13787" t="s">
        <v>42638</v>
      </c>
      <c r="M13787" t="s">
        <v>46989</v>
      </c>
      <c r="N13787" t="s">
        <v>47304</v>
      </c>
      <c r="O13787" t="s">
        <v>47305</v>
      </c>
      <c r="Q13787">
        <v>4</v>
      </c>
      <c r="R13787" t="s">
        <v>47321</v>
      </c>
      <c r="S13787" t="s">
        <v>48113</v>
      </c>
      <c r="T13787" t="s">
        <v>49373</v>
      </c>
      <c r="U13787" t="s">
        <v>60942</v>
      </c>
      <c r="V13787" t="s">
        <v>64138</v>
      </c>
      <c r="W13787" t="s">
        <v>46989</v>
      </c>
      <c r="X13787" t="s">
        <v>47322</v>
      </c>
    </row>
    <row r="13788" spans="1:24">
      <c r="A13788">
        <f>HYPERLINK("https://www.philgeps.gov.ph/GEPSNONPILOT/Tender/SplashBidNoticeAbstractUI.aspx?menuIndex=3&amp;refID=7166533&amp;Result=3","7166533")</f>
        <v>0</v>
      </c>
      <c r="B13788" t="s">
        <v>203</v>
      </c>
      <c r="C13788" t="s">
        <v>4262</v>
      </c>
      <c r="D13788" t="s">
        <v>19003</v>
      </c>
      <c r="E13788" t="s">
        <v>25401</v>
      </c>
      <c r="F13788" t="s">
        <v>32606</v>
      </c>
      <c r="G13788" t="s">
        <v>32613</v>
      </c>
      <c r="H13788" t="s">
        <v>14201</v>
      </c>
      <c r="I13788" t="s">
        <v>4112</v>
      </c>
      <c r="J13788" t="s">
        <v>41286</v>
      </c>
      <c r="K13788" t="s">
        <v>42622</v>
      </c>
      <c r="M13788" t="s">
        <v>43104</v>
      </c>
      <c r="N13788" t="s">
        <v>47304</v>
      </c>
      <c r="O13788" t="s">
        <v>47305</v>
      </c>
      <c r="P13788">
        <v>0</v>
      </c>
      <c r="Q13788">
        <v>2</v>
      </c>
      <c r="R13788" t="s">
        <v>47321</v>
      </c>
      <c r="S13788" t="s">
        <v>48071</v>
      </c>
      <c r="T13788" t="s">
        <v>49081</v>
      </c>
      <c r="U13788" t="s">
        <v>60943</v>
      </c>
      <c r="W13788" t="s">
        <v>43104</v>
      </c>
      <c r="X13788" t="s">
        <v>47322</v>
      </c>
    </row>
    <row r="13789" spans="1:24">
      <c r="A13789">
        <f>HYPERLINK("https://www.philgeps.gov.ph/GEPSNONPILOT/Tender/SplashBidNoticeAbstractUI.aspx?menuIndex=3&amp;refID=7166557&amp;Result=3","7166557")</f>
        <v>0</v>
      </c>
      <c r="B13789" t="s">
        <v>2326</v>
      </c>
      <c r="C13789" t="s">
        <v>16896</v>
      </c>
      <c r="E13789" t="s">
        <v>30742</v>
      </c>
      <c r="F13789" t="s">
        <v>32606</v>
      </c>
      <c r="G13789" t="s">
        <v>32613</v>
      </c>
      <c r="H13789" t="s">
        <v>32623</v>
      </c>
      <c r="I13789" t="s">
        <v>17648</v>
      </c>
      <c r="J13789" t="s">
        <v>41287</v>
      </c>
      <c r="K13789" t="s">
        <v>42624</v>
      </c>
      <c r="M13789" t="s">
        <v>45434</v>
      </c>
      <c r="N13789" t="s">
        <v>47304</v>
      </c>
      <c r="O13789" t="s">
        <v>47305</v>
      </c>
      <c r="P13789">
        <v>0</v>
      </c>
      <c r="Q13789">
        <v>2</v>
      </c>
      <c r="R13789" t="s">
        <v>47321</v>
      </c>
      <c r="S13789" t="s">
        <v>48071</v>
      </c>
      <c r="T13789" t="s">
        <v>48989</v>
      </c>
      <c r="U13789" t="s">
        <v>60944</v>
      </c>
      <c r="W13789" t="s">
        <v>45434</v>
      </c>
      <c r="X13789" t="s">
        <v>47322</v>
      </c>
    </row>
    <row r="13790" spans="1:24">
      <c r="A13790">
        <f>HYPERLINK("https://www.philgeps.gov.ph/GEPSNONPILOT/Tender/SplashBidNoticeAbstractUI.aspx?menuIndex=3&amp;refID=7166524&amp;Result=3","7166524")</f>
        <v>0</v>
      </c>
      <c r="B13790" t="s">
        <v>276</v>
      </c>
      <c r="C13790" t="s">
        <v>16897</v>
      </c>
      <c r="D13790" t="s">
        <v>19001</v>
      </c>
      <c r="E13790" t="s">
        <v>30743</v>
      </c>
      <c r="F13790" t="s">
        <v>32606</v>
      </c>
      <c r="G13790" t="s">
        <v>32613</v>
      </c>
      <c r="H13790" t="s">
        <v>32623</v>
      </c>
      <c r="I13790" t="s">
        <v>17648</v>
      </c>
      <c r="J13790" t="s">
        <v>34166</v>
      </c>
      <c r="K13790" t="s">
        <v>42648</v>
      </c>
      <c r="M13790" t="s">
        <v>43964</v>
      </c>
      <c r="N13790" t="s">
        <v>47304</v>
      </c>
      <c r="O13790" t="s">
        <v>47305</v>
      </c>
      <c r="P13790">
        <v>0</v>
      </c>
      <c r="Q13790">
        <v>0</v>
      </c>
      <c r="R13790" t="s">
        <v>47321</v>
      </c>
      <c r="S13790" t="s">
        <v>48071</v>
      </c>
      <c r="T13790" t="s">
        <v>48987</v>
      </c>
      <c r="U13790" t="s">
        <v>60945</v>
      </c>
      <c r="W13790" t="s">
        <v>43964</v>
      </c>
      <c r="X13790" t="s">
        <v>47322</v>
      </c>
    </row>
    <row r="13791" spans="1:24">
      <c r="A13791">
        <f>HYPERLINK("https://www.philgeps.gov.ph/GEPSNONPILOT/Tender/SplashBidNoticeAbstractUI.aspx?menuIndex=3&amp;refID=7166501&amp;Result=3","7166501")</f>
        <v>0</v>
      </c>
      <c r="B13791" t="s">
        <v>203</v>
      </c>
      <c r="C13791" t="s">
        <v>16898</v>
      </c>
      <c r="D13791" t="s">
        <v>19003</v>
      </c>
      <c r="E13791" t="s">
        <v>25401</v>
      </c>
      <c r="F13791" t="s">
        <v>32606</v>
      </c>
      <c r="G13791" t="s">
        <v>32613</v>
      </c>
      <c r="H13791" t="s">
        <v>14201</v>
      </c>
      <c r="I13791" t="s">
        <v>32634</v>
      </c>
      <c r="J13791" t="s">
        <v>34118</v>
      </c>
      <c r="K13791" t="s">
        <v>42622</v>
      </c>
      <c r="M13791" t="s">
        <v>43104</v>
      </c>
      <c r="N13791" t="s">
        <v>47304</v>
      </c>
      <c r="O13791" t="s">
        <v>47305</v>
      </c>
      <c r="P13791">
        <v>0</v>
      </c>
      <c r="Q13791">
        <v>1</v>
      </c>
      <c r="R13791" t="s">
        <v>47321</v>
      </c>
      <c r="S13791" t="s">
        <v>48071</v>
      </c>
      <c r="T13791" t="s">
        <v>49081</v>
      </c>
      <c r="U13791" t="s">
        <v>60946</v>
      </c>
      <c r="W13791" t="s">
        <v>43104</v>
      </c>
      <c r="X13791" t="s">
        <v>47322</v>
      </c>
    </row>
    <row r="13792" spans="1:24">
      <c r="A13792">
        <f>HYPERLINK("https://www.philgeps.gov.ph/GEPSNONPILOT/Tender/SplashBidNoticeAbstractUI.aspx?menuIndex=3&amp;refID=7166484&amp;Result=3","7166484")</f>
        <v>0</v>
      </c>
      <c r="B13792" t="s">
        <v>89</v>
      </c>
      <c r="C13792" t="s">
        <v>16899</v>
      </c>
      <c r="D13792" t="s">
        <v>19018</v>
      </c>
      <c r="E13792" t="s">
        <v>30744</v>
      </c>
      <c r="F13792" t="s">
        <v>32606</v>
      </c>
      <c r="G13792" t="s">
        <v>32613</v>
      </c>
      <c r="H13792" t="s">
        <v>14201</v>
      </c>
      <c r="I13792" t="s">
        <v>32662</v>
      </c>
      <c r="J13792" t="s">
        <v>32893</v>
      </c>
      <c r="K13792" t="s">
        <v>42631</v>
      </c>
      <c r="M13792" t="s">
        <v>42987</v>
      </c>
      <c r="N13792" t="s">
        <v>47304</v>
      </c>
      <c r="O13792" t="s">
        <v>47305</v>
      </c>
      <c r="P13792">
        <v>0</v>
      </c>
      <c r="Q13792">
        <v>23</v>
      </c>
      <c r="R13792" t="s">
        <v>47321</v>
      </c>
      <c r="S13792" t="s">
        <v>48071</v>
      </c>
      <c r="T13792" t="s">
        <v>48986</v>
      </c>
      <c r="U13792" t="s">
        <v>60947</v>
      </c>
      <c r="W13792" t="s">
        <v>42987</v>
      </c>
      <c r="X13792" t="s">
        <v>47322</v>
      </c>
    </row>
    <row r="13793" spans="1:24">
      <c r="A13793">
        <f>HYPERLINK("https://www.philgeps.gov.ph/GEPSNONPILOT/Tender/SplashBidNoticeAbstractUI.aspx?menuIndex=3&amp;refID=7166476&amp;Result=3","7166476")</f>
        <v>0</v>
      </c>
      <c r="B13793" t="s">
        <v>3667</v>
      </c>
      <c r="C13793" t="s">
        <v>16900</v>
      </c>
      <c r="D13793" t="s">
        <v>18992</v>
      </c>
      <c r="E13793" t="s">
        <v>30745</v>
      </c>
      <c r="F13793" t="s">
        <v>32606</v>
      </c>
      <c r="G13793" t="s">
        <v>32613</v>
      </c>
      <c r="H13793" t="s">
        <v>32623</v>
      </c>
      <c r="I13793" t="s">
        <v>17648</v>
      </c>
      <c r="J13793" t="s">
        <v>36259</v>
      </c>
      <c r="K13793" t="s">
        <v>42828</v>
      </c>
      <c r="M13793" t="s">
        <v>46972</v>
      </c>
      <c r="N13793" t="s">
        <v>47304</v>
      </c>
      <c r="O13793" t="s">
        <v>47305</v>
      </c>
      <c r="Q13793">
        <v>0</v>
      </c>
      <c r="R13793" t="s">
        <v>47321</v>
      </c>
      <c r="S13793" t="s">
        <v>48114</v>
      </c>
      <c r="T13793" t="s">
        <v>49002</v>
      </c>
      <c r="U13793" t="s">
        <v>60948</v>
      </c>
      <c r="W13793" t="s">
        <v>46972</v>
      </c>
      <c r="X13793" t="s">
        <v>47322</v>
      </c>
    </row>
    <row r="13794" spans="1:24">
      <c r="A13794">
        <f>HYPERLINK("https://www.philgeps.gov.ph/GEPSNONPILOT/Tender/SplashBidNoticeAbstractUI.aspx?menuIndex=3&amp;refID=7166577&amp;Result=3","7166577")</f>
        <v>0</v>
      </c>
      <c r="B13794" t="s">
        <v>3469</v>
      </c>
      <c r="C13794" t="s">
        <v>16901</v>
      </c>
      <c r="D13794" t="s">
        <v>19063</v>
      </c>
      <c r="E13794" t="s">
        <v>30706</v>
      </c>
      <c r="F13794" t="s">
        <v>32606</v>
      </c>
      <c r="G13794" t="s">
        <v>32613</v>
      </c>
      <c r="H13794" t="s">
        <v>32623</v>
      </c>
      <c r="I13794" t="s">
        <v>17648</v>
      </c>
      <c r="J13794" t="s">
        <v>41288</v>
      </c>
      <c r="K13794" t="s">
        <v>42648</v>
      </c>
      <c r="M13794" t="s">
        <v>46732</v>
      </c>
      <c r="N13794" t="s">
        <v>47304</v>
      </c>
      <c r="O13794" t="s">
        <v>47305</v>
      </c>
      <c r="P13794">
        <v>0</v>
      </c>
      <c r="Q13794">
        <v>28</v>
      </c>
      <c r="R13794" t="s">
        <v>47321</v>
      </c>
      <c r="S13794" t="s">
        <v>48071</v>
      </c>
      <c r="T13794" t="s">
        <v>49023</v>
      </c>
      <c r="U13794" t="s">
        <v>60949</v>
      </c>
      <c r="W13794" t="s">
        <v>46732</v>
      </c>
      <c r="X13794" t="s">
        <v>47322</v>
      </c>
    </row>
    <row r="13795" spans="1:24">
      <c r="A13795">
        <f>HYPERLINK("https://www.philgeps.gov.ph/GEPSNONPILOT/Tender/SplashBidNoticeAbstractUI.aspx?menuIndex=3&amp;refID=7166559&amp;Result=3","7166559")</f>
        <v>0</v>
      </c>
      <c r="B13795" t="s">
        <v>203</v>
      </c>
      <c r="C13795" t="s">
        <v>16902</v>
      </c>
      <c r="D13795" t="s">
        <v>19003</v>
      </c>
      <c r="E13795" t="s">
        <v>25401</v>
      </c>
      <c r="F13795" t="s">
        <v>32606</v>
      </c>
      <c r="G13795" t="s">
        <v>32614</v>
      </c>
      <c r="H13795" t="s">
        <v>14201</v>
      </c>
      <c r="I13795" t="s">
        <v>32671</v>
      </c>
      <c r="J13795" t="s">
        <v>41289</v>
      </c>
      <c r="K13795" t="s">
        <v>42622</v>
      </c>
      <c r="M13795" t="s">
        <v>43104</v>
      </c>
      <c r="N13795" t="s">
        <v>47304</v>
      </c>
      <c r="O13795" t="s">
        <v>47305</v>
      </c>
      <c r="Q13795">
        <v>9</v>
      </c>
      <c r="R13795" t="s">
        <v>47321</v>
      </c>
      <c r="S13795" t="s">
        <v>48115</v>
      </c>
      <c r="T13795" t="s">
        <v>49081</v>
      </c>
      <c r="U13795" t="s">
        <v>60950</v>
      </c>
      <c r="W13795" t="s">
        <v>43104</v>
      </c>
      <c r="X13795" t="s">
        <v>47322</v>
      </c>
    </row>
    <row r="13796" spans="1:24">
      <c r="A13796">
        <f>HYPERLINK("https://www.philgeps.gov.ph/GEPSNONPILOT/Tender/SplashBidNoticeAbstractUI.aspx?menuIndex=3&amp;refID=7166463&amp;Result=3","7166463")</f>
        <v>0</v>
      </c>
      <c r="B13796" t="s">
        <v>1073</v>
      </c>
      <c r="C13796" t="s">
        <v>16903</v>
      </c>
      <c r="D13796" t="s">
        <v>19004</v>
      </c>
      <c r="E13796" t="s">
        <v>30746</v>
      </c>
      <c r="F13796" t="s">
        <v>32606</v>
      </c>
      <c r="G13796" t="s">
        <v>32613</v>
      </c>
      <c r="H13796" t="s">
        <v>14201</v>
      </c>
      <c r="I13796" t="s">
        <v>32678</v>
      </c>
      <c r="J13796" t="s">
        <v>41290</v>
      </c>
      <c r="K13796" t="s">
        <v>42622</v>
      </c>
      <c r="M13796" t="s">
        <v>44026</v>
      </c>
      <c r="N13796" t="s">
        <v>47304</v>
      </c>
      <c r="O13796" t="s">
        <v>47305</v>
      </c>
      <c r="Q13796">
        <v>5</v>
      </c>
      <c r="R13796" t="s">
        <v>47321</v>
      </c>
      <c r="S13796" t="s">
        <v>48116</v>
      </c>
      <c r="T13796" t="s">
        <v>48986</v>
      </c>
      <c r="U13796" t="s">
        <v>51715</v>
      </c>
      <c r="V13796" t="s">
        <v>64139</v>
      </c>
      <c r="W13796" t="s">
        <v>44026</v>
      </c>
      <c r="X13796" t="s">
        <v>47322</v>
      </c>
    </row>
    <row r="13797" spans="1:24">
      <c r="A13797">
        <f>HYPERLINK("https://www.philgeps.gov.ph/GEPSNONPILOT/Tender/SplashBidNoticeAbstractUI.aspx?menuIndex=3&amp;refID=7166747&amp;Result=3","7166747")</f>
        <v>0</v>
      </c>
      <c r="B13797" t="s">
        <v>899</v>
      </c>
      <c r="C13797" t="s">
        <v>16904</v>
      </c>
      <c r="E13797" t="s">
        <v>30747</v>
      </c>
      <c r="F13797" t="s">
        <v>32606</v>
      </c>
      <c r="G13797" t="s">
        <v>32613</v>
      </c>
      <c r="H13797" t="s">
        <v>32623</v>
      </c>
      <c r="I13797" t="s">
        <v>17648</v>
      </c>
      <c r="J13797" t="s">
        <v>41291</v>
      </c>
      <c r="K13797" t="s">
        <v>42624</v>
      </c>
      <c r="M13797" t="s">
        <v>44351</v>
      </c>
      <c r="N13797" t="s">
        <v>47304</v>
      </c>
      <c r="O13797" t="s">
        <v>47305</v>
      </c>
      <c r="P13797">
        <v>0</v>
      </c>
      <c r="Q13797">
        <v>1</v>
      </c>
      <c r="R13797" t="s">
        <v>47321</v>
      </c>
      <c r="S13797" t="s">
        <v>48071</v>
      </c>
      <c r="T13797" t="s">
        <v>49023</v>
      </c>
      <c r="U13797" t="s">
        <v>60951</v>
      </c>
      <c r="W13797" t="s">
        <v>44351</v>
      </c>
      <c r="X13797" t="s">
        <v>47322</v>
      </c>
    </row>
    <row r="13798" spans="1:24">
      <c r="A13798">
        <f>HYPERLINK("https://www.philgeps.gov.ph/GEPSNONPILOT/Tender/SplashBidNoticeAbstractUI.aspx?menuIndex=3&amp;refID=7166475&amp;Result=3","7166475")</f>
        <v>0</v>
      </c>
      <c r="B13798" t="s">
        <v>2119</v>
      </c>
      <c r="C13798" t="s">
        <v>16905</v>
      </c>
      <c r="D13798" t="s">
        <v>18993</v>
      </c>
      <c r="E13798" t="s">
        <v>30748</v>
      </c>
      <c r="F13798" t="s">
        <v>32607</v>
      </c>
      <c r="G13798" t="s">
        <v>32613</v>
      </c>
      <c r="H13798" t="s">
        <v>14201</v>
      </c>
      <c r="I13798" t="s">
        <v>32633</v>
      </c>
      <c r="J13798" t="s">
        <v>41292</v>
      </c>
      <c r="K13798" t="s">
        <v>42631</v>
      </c>
      <c r="M13798" t="s">
        <v>45206</v>
      </c>
      <c r="N13798" t="s">
        <v>47304</v>
      </c>
      <c r="O13798" t="s">
        <v>47305</v>
      </c>
      <c r="P13798">
        <v>0</v>
      </c>
      <c r="Q13798">
        <v>2</v>
      </c>
      <c r="R13798" t="s">
        <v>47321</v>
      </c>
      <c r="S13798" t="s">
        <v>48071</v>
      </c>
      <c r="T13798" t="s">
        <v>49267</v>
      </c>
      <c r="U13798" t="s">
        <v>60952</v>
      </c>
      <c r="V13798" t="s">
        <v>63251</v>
      </c>
      <c r="W13798" t="s">
        <v>45206</v>
      </c>
      <c r="X13798" t="s">
        <v>47322</v>
      </c>
    </row>
    <row r="13799" spans="1:24">
      <c r="A13799">
        <f>HYPERLINK("https://www.philgeps.gov.ph/GEPSNONPILOT/Tender/SplashBidNoticeAbstractUI.aspx?menuIndex=3&amp;refID=7166629&amp;Result=3","7166629")</f>
        <v>0</v>
      </c>
      <c r="B13799" t="s">
        <v>726</v>
      </c>
      <c r="C13799" t="s">
        <v>16906</v>
      </c>
      <c r="D13799" t="s">
        <v>19009</v>
      </c>
      <c r="E13799" t="s">
        <v>30749</v>
      </c>
      <c r="F13799" t="s">
        <v>32606</v>
      </c>
      <c r="G13799" t="s">
        <v>32613</v>
      </c>
      <c r="H13799" t="s">
        <v>14201</v>
      </c>
      <c r="I13799" t="s">
        <v>7677</v>
      </c>
      <c r="J13799" t="s">
        <v>41293</v>
      </c>
      <c r="K13799" t="s">
        <v>42623</v>
      </c>
      <c r="M13799" t="s">
        <v>46884</v>
      </c>
      <c r="N13799" t="s">
        <v>47304</v>
      </c>
      <c r="O13799" t="s">
        <v>47305</v>
      </c>
      <c r="P13799">
        <v>0</v>
      </c>
      <c r="Q13799">
        <v>7</v>
      </c>
      <c r="R13799" t="s">
        <v>47321</v>
      </c>
      <c r="S13799" t="s">
        <v>48071</v>
      </c>
      <c r="T13799" t="s">
        <v>49060</v>
      </c>
      <c r="U13799" t="s">
        <v>60953</v>
      </c>
      <c r="V13799" t="s">
        <v>62846</v>
      </c>
      <c r="W13799" t="s">
        <v>46884</v>
      </c>
      <c r="X13799" t="s">
        <v>47322</v>
      </c>
    </row>
    <row r="13800" spans="1:24">
      <c r="A13800">
        <f>HYPERLINK("https://www.philgeps.gov.ph/GEPSNONPILOT/Tender/SplashBidNoticeAbstractUI.aspx?menuIndex=3&amp;refID=7166722&amp;Result=3","7166722")</f>
        <v>0</v>
      </c>
      <c r="B13800" t="s">
        <v>2326</v>
      </c>
      <c r="C13800" t="s">
        <v>16907</v>
      </c>
      <c r="E13800" t="s">
        <v>30750</v>
      </c>
      <c r="F13800" t="s">
        <v>32606</v>
      </c>
      <c r="G13800" t="s">
        <v>32613</v>
      </c>
      <c r="H13800" t="s">
        <v>32623</v>
      </c>
      <c r="I13800" t="s">
        <v>17648</v>
      </c>
      <c r="J13800" t="s">
        <v>41294</v>
      </c>
      <c r="K13800" t="s">
        <v>42624</v>
      </c>
      <c r="M13800" t="s">
        <v>45434</v>
      </c>
      <c r="N13800" t="s">
        <v>47304</v>
      </c>
      <c r="O13800" t="s">
        <v>47305</v>
      </c>
      <c r="P13800">
        <v>0</v>
      </c>
      <c r="Q13800">
        <v>2</v>
      </c>
      <c r="R13800" t="s">
        <v>47321</v>
      </c>
      <c r="S13800" t="s">
        <v>48071</v>
      </c>
      <c r="T13800" t="s">
        <v>48989</v>
      </c>
      <c r="U13800" t="s">
        <v>60954</v>
      </c>
      <c r="W13800" t="s">
        <v>45434</v>
      </c>
      <c r="X13800" t="s">
        <v>47322</v>
      </c>
    </row>
    <row r="13801" spans="1:24">
      <c r="A13801">
        <f>HYPERLINK("https://www.philgeps.gov.ph/GEPSNONPILOT/Tender/SplashBidNoticeAbstractUI.aspx?menuIndex=3&amp;refID=7166594&amp;Result=3","7166594")</f>
        <v>0</v>
      </c>
      <c r="B13801" t="s">
        <v>1562</v>
      </c>
      <c r="C13801" t="s">
        <v>16908</v>
      </c>
      <c r="D13801" t="s">
        <v>18995</v>
      </c>
      <c r="E13801" t="s">
        <v>30751</v>
      </c>
      <c r="F13801" t="s">
        <v>32606</v>
      </c>
      <c r="G13801" t="s">
        <v>32613</v>
      </c>
      <c r="H13801" t="s">
        <v>32623</v>
      </c>
      <c r="I13801" t="s">
        <v>17648</v>
      </c>
      <c r="J13801" t="s">
        <v>32778</v>
      </c>
      <c r="K13801" t="s">
        <v>42631</v>
      </c>
      <c r="M13801" t="s">
        <v>44569</v>
      </c>
      <c r="N13801" t="s">
        <v>47304</v>
      </c>
      <c r="O13801" t="s">
        <v>47305</v>
      </c>
      <c r="P13801">
        <v>0</v>
      </c>
      <c r="Q13801">
        <v>1</v>
      </c>
      <c r="R13801" t="s">
        <v>47321</v>
      </c>
      <c r="S13801" t="s">
        <v>48071</v>
      </c>
      <c r="T13801" t="s">
        <v>49108</v>
      </c>
      <c r="U13801" t="s">
        <v>60955</v>
      </c>
      <c r="W13801" t="s">
        <v>44569</v>
      </c>
      <c r="X13801" t="s">
        <v>47322</v>
      </c>
    </row>
    <row r="13802" spans="1:24">
      <c r="A13802">
        <f>HYPERLINK("https://www.philgeps.gov.ph/GEPSNONPILOT/Tender/SplashBidNoticeAbstractUI.aspx?menuIndex=3&amp;refID=7166737&amp;Result=3","7166737")</f>
        <v>0</v>
      </c>
      <c r="B13802" t="s">
        <v>2326</v>
      </c>
      <c r="C13802" t="s">
        <v>16909</v>
      </c>
      <c r="E13802" t="s">
        <v>30752</v>
      </c>
      <c r="F13802" t="s">
        <v>32606</v>
      </c>
      <c r="G13802" t="s">
        <v>32613</v>
      </c>
      <c r="H13802" t="s">
        <v>32623</v>
      </c>
      <c r="I13802" t="s">
        <v>17648</v>
      </c>
      <c r="J13802" t="s">
        <v>41295</v>
      </c>
      <c r="K13802" t="s">
        <v>42624</v>
      </c>
      <c r="M13802" t="s">
        <v>45434</v>
      </c>
      <c r="N13802" t="s">
        <v>47304</v>
      </c>
      <c r="O13802" t="s">
        <v>47305</v>
      </c>
      <c r="P13802">
        <v>0</v>
      </c>
      <c r="Q13802">
        <v>1</v>
      </c>
      <c r="R13802" t="s">
        <v>47321</v>
      </c>
      <c r="S13802" t="s">
        <v>48071</v>
      </c>
      <c r="T13802" t="s">
        <v>48989</v>
      </c>
      <c r="U13802" t="s">
        <v>60956</v>
      </c>
      <c r="W13802" t="s">
        <v>45434</v>
      </c>
      <c r="X13802" t="s">
        <v>47322</v>
      </c>
    </row>
    <row r="13803" spans="1:24">
      <c r="A13803">
        <f>HYPERLINK("https://www.philgeps.gov.ph/GEPSNONPILOT/Tender/SplashBidNoticeAbstractUI.aspx?menuIndex=3&amp;refID=7166493&amp;Result=3","7166493")</f>
        <v>0</v>
      </c>
      <c r="B13803" t="s">
        <v>726</v>
      </c>
      <c r="C13803" t="s">
        <v>16910</v>
      </c>
      <c r="D13803" t="s">
        <v>19009</v>
      </c>
      <c r="E13803" t="s">
        <v>30753</v>
      </c>
      <c r="F13803" t="s">
        <v>32606</v>
      </c>
      <c r="G13803" t="s">
        <v>32613</v>
      </c>
      <c r="H13803" t="s">
        <v>14201</v>
      </c>
      <c r="I13803" t="s">
        <v>32633</v>
      </c>
      <c r="J13803" t="s">
        <v>41296</v>
      </c>
      <c r="K13803" t="s">
        <v>42623</v>
      </c>
      <c r="M13803" t="s">
        <v>46884</v>
      </c>
      <c r="N13803" t="s">
        <v>47304</v>
      </c>
      <c r="O13803" t="s">
        <v>47305</v>
      </c>
      <c r="P13803">
        <v>0</v>
      </c>
      <c r="Q13803">
        <v>2</v>
      </c>
      <c r="R13803" t="s">
        <v>47321</v>
      </c>
      <c r="S13803" t="s">
        <v>48071</v>
      </c>
      <c r="T13803" t="s">
        <v>49060</v>
      </c>
      <c r="U13803" t="s">
        <v>60957</v>
      </c>
      <c r="V13803" t="s">
        <v>62846</v>
      </c>
      <c r="W13803" t="s">
        <v>46884</v>
      </c>
      <c r="X13803" t="s">
        <v>47322</v>
      </c>
    </row>
    <row r="13804" spans="1:24">
      <c r="A13804">
        <f>HYPERLINK("https://www.philgeps.gov.ph/GEPSNONPILOT/Tender/SplashBidNoticeAbstractUI.aspx?menuIndex=3&amp;refID=7166775&amp;Result=3","7166775")</f>
        <v>0</v>
      </c>
      <c r="B13804" t="s">
        <v>276</v>
      </c>
      <c r="C13804" t="s">
        <v>16911</v>
      </c>
      <c r="D13804" t="s">
        <v>19001</v>
      </c>
      <c r="E13804" t="s">
        <v>30754</v>
      </c>
      <c r="F13804" t="s">
        <v>32606</v>
      </c>
      <c r="G13804" t="s">
        <v>32613</v>
      </c>
      <c r="H13804" t="s">
        <v>32623</v>
      </c>
      <c r="I13804" t="s">
        <v>17648</v>
      </c>
      <c r="J13804" t="s">
        <v>41297</v>
      </c>
      <c r="K13804" t="s">
        <v>42636</v>
      </c>
      <c r="M13804" t="s">
        <v>43964</v>
      </c>
      <c r="N13804" t="s">
        <v>47304</v>
      </c>
      <c r="O13804" t="s">
        <v>47305</v>
      </c>
      <c r="P13804">
        <v>0</v>
      </c>
      <c r="Q13804">
        <v>1</v>
      </c>
      <c r="R13804" t="s">
        <v>47321</v>
      </c>
      <c r="S13804" t="s">
        <v>48071</v>
      </c>
      <c r="T13804" t="s">
        <v>48987</v>
      </c>
      <c r="U13804" t="s">
        <v>60958</v>
      </c>
      <c r="W13804" t="s">
        <v>43964</v>
      </c>
      <c r="X13804" t="s">
        <v>47322</v>
      </c>
    </row>
    <row r="13805" spans="1:24">
      <c r="A13805">
        <f>HYPERLINK("https://www.philgeps.gov.ph/GEPSNONPILOT/Tender/SplashBidNoticeAbstractUI.aspx?menuIndex=3&amp;refID=7166592&amp;Result=3","7166592")</f>
        <v>0</v>
      </c>
      <c r="B13805" t="s">
        <v>276</v>
      </c>
      <c r="C13805" t="s">
        <v>16912</v>
      </c>
      <c r="D13805" t="s">
        <v>19001</v>
      </c>
      <c r="E13805" t="s">
        <v>30755</v>
      </c>
      <c r="F13805" t="s">
        <v>32606</v>
      </c>
      <c r="G13805" t="s">
        <v>32613</v>
      </c>
      <c r="H13805" t="s">
        <v>32623</v>
      </c>
      <c r="I13805" t="s">
        <v>17648</v>
      </c>
      <c r="J13805" t="s">
        <v>41298</v>
      </c>
      <c r="K13805" t="s">
        <v>42636</v>
      </c>
      <c r="M13805" t="s">
        <v>43964</v>
      </c>
      <c r="N13805" t="s">
        <v>47304</v>
      </c>
      <c r="O13805" t="s">
        <v>47305</v>
      </c>
      <c r="P13805">
        <v>0</v>
      </c>
      <c r="Q13805">
        <v>1</v>
      </c>
      <c r="R13805" t="s">
        <v>47321</v>
      </c>
      <c r="S13805" t="s">
        <v>48071</v>
      </c>
      <c r="T13805" t="s">
        <v>48987</v>
      </c>
      <c r="U13805" t="s">
        <v>60959</v>
      </c>
      <c r="W13805" t="s">
        <v>43964</v>
      </c>
      <c r="X13805" t="s">
        <v>47322</v>
      </c>
    </row>
    <row r="13806" spans="1:24">
      <c r="A13806">
        <f>HYPERLINK("https://www.philgeps.gov.ph/GEPSNONPILOT/Tender/SplashBidNoticeAbstractUI.aspx?menuIndex=3&amp;refID=7166753&amp;Result=3","7166753")</f>
        <v>0</v>
      </c>
      <c r="B13806" t="s">
        <v>276</v>
      </c>
      <c r="C13806" t="s">
        <v>16913</v>
      </c>
      <c r="D13806" t="s">
        <v>19001</v>
      </c>
      <c r="E13806" t="s">
        <v>30756</v>
      </c>
      <c r="F13806" t="s">
        <v>32606</v>
      </c>
      <c r="G13806" t="s">
        <v>32613</v>
      </c>
      <c r="H13806" t="s">
        <v>32623</v>
      </c>
      <c r="I13806" t="s">
        <v>17648</v>
      </c>
      <c r="J13806" t="s">
        <v>41299</v>
      </c>
      <c r="K13806" t="s">
        <v>42636</v>
      </c>
      <c r="M13806" t="s">
        <v>43964</v>
      </c>
      <c r="N13806" t="s">
        <v>47304</v>
      </c>
      <c r="O13806" t="s">
        <v>47305</v>
      </c>
      <c r="P13806">
        <v>0</v>
      </c>
      <c r="Q13806">
        <v>1</v>
      </c>
      <c r="R13806" t="s">
        <v>47321</v>
      </c>
      <c r="S13806" t="s">
        <v>48071</v>
      </c>
      <c r="T13806" t="s">
        <v>48987</v>
      </c>
      <c r="U13806" t="s">
        <v>60960</v>
      </c>
      <c r="W13806" t="s">
        <v>43964</v>
      </c>
      <c r="X13806" t="s">
        <v>47322</v>
      </c>
    </row>
    <row r="13807" spans="1:24">
      <c r="A13807">
        <f>HYPERLINK("https://www.philgeps.gov.ph/GEPSNONPILOT/Tender/SplashBidNoticeAbstractUI.aspx?menuIndex=3&amp;refID=7166772&amp;Result=3","7166772")</f>
        <v>0</v>
      </c>
      <c r="B13807" t="s">
        <v>1486</v>
      </c>
      <c r="C13807" t="s">
        <v>16914</v>
      </c>
      <c r="D13807" t="s">
        <v>19044</v>
      </c>
      <c r="E13807" t="s">
        <v>30757</v>
      </c>
      <c r="F13807" t="s">
        <v>32606</v>
      </c>
      <c r="G13807" t="s">
        <v>32613</v>
      </c>
      <c r="H13807" t="s">
        <v>14201</v>
      </c>
      <c r="I13807" t="s">
        <v>32631</v>
      </c>
      <c r="J13807" t="s">
        <v>41300</v>
      </c>
      <c r="K13807" t="s">
        <v>42639</v>
      </c>
      <c r="M13807" t="s">
        <v>44481</v>
      </c>
      <c r="N13807" t="s">
        <v>47304</v>
      </c>
      <c r="O13807" t="s">
        <v>47305</v>
      </c>
      <c r="P13807">
        <v>0</v>
      </c>
      <c r="Q13807">
        <v>0</v>
      </c>
      <c r="R13807" t="s">
        <v>47321</v>
      </c>
      <c r="S13807" t="s">
        <v>48071</v>
      </c>
      <c r="T13807" t="s">
        <v>49015</v>
      </c>
      <c r="U13807" t="s">
        <v>60961</v>
      </c>
      <c r="W13807" t="s">
        <v>44481</v>
      </c>
      <c r="X13807" t="s">
        <v>47322</v>
      </c>
    </row>
    <row r="13808" spans="1:24">
      <c r="A13808">
        <f>HYPERLINK("https://www.philgeps.gov.ph/GEPSNONPILOT/Tender/SplashBidNoticeAbstractUI.aspx?menuIndex=3&amp;refID=7166751&amp;Result=3","7166751")</f>
        <v>0</v>
      </c>
      <c r="B13808" t="s">
        <v>2326</v>
      </c>
      <c r="C13808" t="s">
        <v>16915</v>
      </c>
      <c r="E13808" t="s">
        <v>30758</v>
      </c>
      <c r="F13808" t="s">
        <v>32606</v>
      </c>
      <c r="G13808" t="s">
        <v>32613</v>
      </c>
      <c r="H13808" t="s">
        <v>32623</v>
      </c>
      <c r="I13808" t="s">
        <v>17648</v>
      </c>
      <c r="J13808" t="s">
        <v>41301</v>
      </c>
      <c r="K13808" t="s">
        <v>42624</v>
      </c>
      <c r="M13808" t="s">
        <v>45434</v>
      </c>
      <c r="N13808" t="s">
        <v>47304</v>
      </c>
      <c r="O13808" t="s">
        <v>47305</v>
      </c>
      <c r="P13808">
        <v>0</v>
      </c>
      <c r="Q13808">
        <v>2</v>
      </c>
      <c r="R13808" t="s">
        <v>47321</v>
      </c>
      <c r="S13808" t="s">
        <v>48071</v>
      </c>
      <c r="T13808" t="s">
        <v>48989</v>
      </c>
      <c r="U13808" t="s">
        <v>60962</v>
      </c>
      <c r="W13808" t="s">
        <v>45434</v>
      </c>
      <c r="X13808" t="s">
        <v>47322</v>
      </c>
    </row>
    <row r="13809" spans="1:24">
      <c r="A13809">
        <f>HYPERLINK("https://www.philgeps.gov.ph/GEPSNONPILOT/Tender/SplashBidNoticeAbstractUI.aspx?menuIndex=3&amp;refID=7166685&amp;Result=3","7166685")</f>
        <v>0</v>
      </c>
      <c r="B13809" t="s">
        <v>644</v>
      </c>
      <c r="C13809" t="s">
        <v>16916</v>
      </c>
      <c r="D13809" t="s">
        <v>19022</v>
      </c>
      <c r="E13809" t="s">
        <v>16916</v>
      </c>
      <c r="F13809" t="s">
        <v>32606</v>
      </c>
      <c r="G13809" t="s">
        <v>32613</v>
      </c>
      <c r="H13809" t="s">
        <v>32623</v>
      </c>
      <c r="I13809" t="s">
        <v>32683</v>
      </c>
      <c r="J13809" t="s">
        <v>41302</v>
      </c>
      <c r="K13809" t="s">
        <v>42624</v>
      </c>
      <c r="M13809" t="s">
        <v>46457</v>
      </c>
      <c r="N13809" t="s">
        <v>47304</v>
      </c>
      <c r="O13809" t="s">
        <v>47305</v>
      </c>
      <c r="P13809">
        <v>0</v>
      </c>
      <c r="Q13809">
        <v>2</v>
      </c>
      <c r="R13809" t="s">
        <v>47321</v>
      </c>
      <c r="S13809" t="s">
        <v>48071</v>
      </c>
      <c r="T13809" t="s">
        <v>49175</v>
      </c>
      <c r="U13809" t="s">
        <v>60963</v>
      </c>
      <c r="W13809" t="s">
        <v>46457</v>
      </c>
      <c r="X13809" t="s">
        <v>47322</v>
      </c>
    </row>
    <row r="13810" spans="1:24">
      <c r="A13810">
        <f>HYPERLINK("https://www.philgeps.gov.ph/GEPSNONPILOT/Tender/SplashBidNoticeAbstractUI.aspx?menuIndex=3&amp;refID=7166486&amp;Result=3","7166486")</f>
        <v>0</v>
      </c>
      <c r="B13810" t="s">
        <v>1805</v>
      </c>
      <c r="C13810" t="s">
        <v>16917</v>
      </c>
      <c r="D13810" t="s">
        <v>19018</v>
      </c>
      <c r="E13810" t="s">
        <v>30759</v>
      </c>
      <c r="F13810" t="s">
        <v>32606</v>
      </c>
      <c r="G13810" t="s">
        <v>32613</v>
      </c>
      <c r="H13810" t="s">
        <v>14201</v>
      </c>
      <c r="I13810" t="s">
        <v>32640</v>
      </c>
      <c r="J13810" t="s">
        <v>41303</v>
      </c>
      <c r="K13810" t="s">
        <v>42624</v>
      </c>
      <c r="M13810" t="s">
        <v>44846</v>
      </c>
      <c r="N13810" t="s">
        <v>47304</v>
      </c>
      <c r="O13810" t="s">
        <v>47305</v>
      </c>
      <c r="Q13810">
        <v>4</v>
      </c>
      <c r="R13810" t="s">
        <v>47321</v>
      </c>
      <c r="S13810" t="s">
        <v>48117</v>
      </c>
      <c r="T13810" t="s">
        <v>48986</v>
      </c>
      <c r="U13810" t="s">
        <v>60964</v>
      </c>
      <c r="W13810" t="s">
        <v>44846</v>
      </c>
      <c r="X13810" t="s">
        <v>47322</v>
      </c>
    </row>
    <row r="13811" spans="1:24">
      <c r="A13811">
        <f>HYPERLINK("https://www.philgeps.gov.ph/GEPSNONPILOT/Tender/SplashBidNoticeAbstractUI.aspx?menuIndex=3&amp;refID=7166672&amp;Result=3","7166672")</f>
        <v>0</v>
      </c>
      <c r="B13811" t="s">
        <v>1562</v>
      </c>
      <c r="C13811" t="s">
        <v>16918</v>
      </c>
      <c r="D13811" t="s">
        <v>18995</v>
      </c>
      <c r="E13811" t="s">
        <v>30760</v>
      </c>
      <c r="F13811" t="s">
        <v>32606</v>
      </c>
      <c r="G13811" t="s">
        <v>32613</v>
      </c>
      <c r="H13811" t="s">
        <v>32623</v>
      </c>
      <c r="I13811" t="s">
        <v>17648</v>
      </c>
      <c r="J13811" t="s">
        <v>32767</v>
      </c>
      <c r="K13811" t="s">
        <v>42631</v>
      </c>
      <c r="M13811" t="s">
        <v>44569</v>
      </c>
      <c r="N13811" t="s">
        <v>47304</v>
      </c>
      <c r="O13811" t="s">
        <v>47305</v>
      </c>
      <c r="P13811">
        <v>0</v>
      </c>
      <c r="Q13811">
        <v>2</v>
      </c>
      <c r="R13811" t="s">
        <v>47321</v>
      </c>
      <c r="S13811" t="s">
        <v>48071</v>
      </c>
      <c r="T13811" t="s">
        <v>49108</v>
      </c>
      <c r="U13811" t="s">
        <v>60965</v>
      </c>
      <c r="W13811" t="s">
        <v>44569</v>
      </c>
      <c r="X13811" t="s">
        <v>47322</v>
      </c>
    </row>
    <row r="13812" spans="1:24">
      <c r="A13812">
        <f>HYPERLINK("https://www.philgeps.gov.ph/GEPSNONPILOT/Tender/SplashBidNoticeAbstractUI.aspx?menuIndex=3&amp;refID=7166553&amp;Result=3","7166553")</f>
        <v>0</v>
      </c>
      <c r="B13812" t="s">
        <v>3313</v>
      </c>
      <c r="C13812" t="s">
        <v>16919</v>
      </c>
      <c r="D13812" t="s">
        <v>19009</v>
      </c>
      <c r="E13812" t="s">
        <v>28929</v>
      </c>
      <c r="F13812" t="s">
        <v>32606</v>
      </c>
      <c r="G13812" t="s">
        <v>32613</v>
      </c>
      <c r="H13812" t="s">
        <v>14201</v>
      </c>
      <c r="I13812" t="s">
        <v>6298</v>
      </c>
      <c r="J13812" t="s">
        <v>33748</v>
      </c>
      <c r="K13812" t="s">
        <v>42623</v>
      </c>
      <c r="M13812" t="s">
        <v>46558</v>
      </c>
      <c r="N13812" t="s">
        <v>47304</v>
      </c>
      <c r="O13812" t="s">
        <v>47305</v>
      </c>
      <c r="P13812">
        <v>0</v>
      </c>
      <c r="Q13812">
        <v>2</v>
      </c>
      <c r="R13812" t="s">
        <v>47321</v>
      </c>
      <c r="S13812" t="s">
        <v>48071</v>
      </c>
      <c r="T13812" t="s">
        <v>49087</v>
      </c>
      <c r="U13812" t="s">
        <v>60966</v>
      </c>
      <c r="W13812" t="s">
        <v>46558</v>
      </c>
      <c r="X13812" t="s">
        <v>47322</v>
      </c>
    </row>
    <row r="13813" spans="1:24">
      <c r="A13813">
        <f>HYPERLINK("https://www.philgeps.gov.ph/GEPSNONPILOT/Tender/SplashBidNoticeAbstractUI.aspx?menuIndex=3&amp;refID=7166668&amp;Result=3","7166668")</f>
        <v>0</v>
      </c>
      <c r="B13813" t="s">
        <v>3684</v>
      </c>
      <c r="C13813" t="s">
        <v>16920</v>
      </c>
      <c r="D13813" t="s">
        <v>19031</v>
      </c>
      <c r="E13813" t="s">
        <v>30761</v>
      </c>
      <c r="F13813" t="s">
        <v>32606</v>
      </c>
      <c r="G13813" t="s">
        <v>32613</v>
      </c>
      <c r="H13813" t="s">
        <v>32623</v>
      </c>
      <c r="I13813" t="s">
        <v>17648</v>
      </c>
      <c r="J13813" t="s">
        <v>41304</v>
      </c>
      <c r="K13813" t="s">
        <v>42627</v>
      </c>
      <c r="M13813" t="s">
        <v>46990</v>
      </c>
      <c r="N13813" t="s">
        <v>47304</v>
      </c>
      <c r="O13813" t="s">
        <v>47305</v>
      </c>
      <c r="P13813">
        <v>0</v>
      </c>
      <c r="Q13813">
        <v>1</v>
      </c>
      <c r="R13813" t="s">
        <v>47321</v>
      </c>
      <c r="S13813" t="s">
        <v>48071</v>
      </c>
      <c r="T13813" t="s">
        <v>48988</v>
      </c>
      <c r="U13813" t="s">
        <v>60967</v>
      </c>
      <c r="V13813" t="s">
        <v>62838</v>
      </c>
      <c r="W13813" t="s">
        <v>46990</v>
      </c>
      <c r="X13813" t="s">
        <v>47322</v>
      </c>
    </row>
    <row r="13814" spans="1:24">
      <c r="A13814">
        <f>HYPERLINK("https://www.philgeps.gov.ph/GEPSNONPILOT/Tender/SplashBidNoticeAbstractUI.aspx?menuIndex=3&amp;refID=7166665&amp;Result=3","7166665")</f>
        <v>0</v>
      </c>
      <c r="B13814" t="s">
        <v>2119</v>
      </c>
      <c r="C13814" t="s">
        <v>16921</v>
      </c>
      <c r="D13814" t="s">
        <v>18993</v>
      </c>
      <c r="E13814" t="s">
        <v>30762</v>
      </c>
      <c r="F13814" t="s">
        <v>32607</v>
      </c>
      <c r="G13814" t="s">
        <v>32613</v>
      </c>
      <c r="H13814" t="s">
        <v>14201</v>
      </c>
      <c r="I13814" t="s">
        <v>32633</v>
      </c>
      <c r="J13814" t="s">
        <v>41305</v>
      </c>
      <c r="K13814" t="s">
        <v>42631</v>
      </c>
      <c r="M13814" t="s">
        <v>45206</v>
      </c>
      <c r="N13814" t="s">
        <v>47304</v>
      </c>
      <c r="O13814" t="s">
        <v>47305</v>
      </c>
      <c r="P13814">
        <v>0</v>
      </c>
      <c r="Q13814">
        <v>1</v>
      </c>
      <c r="R13814" t="s">
        <v>47321</v>
      </c>
      <c r="S13814" t="s">
        <v>48071</v>
      </c>
      <c r="T13814" t="s">
        <v>49020</v>
      </c>
      <c r="U13814" t="s">
        <v>60968</v>
      </c>
      <c r="V13814" t="s">
        <v>63251</v>
      </c>
      <c r="W13814" t="s">
        <v>45206</v>
      </c>
      <c r="X13814" t="s">
        <v>47322</v>
      </c>
    </row>
    <row r="13815" spans="1:24">
      <c r="A13815">
        <f>HYPERLINK("https://www.philgeps.gov.ph/GEPSNONPILOT/Tender/SplashBidNoticeAbstractUI.aspx?menuIndex=3&amp;refID=7166662&amp;Result=3","7166662")</f>
        <v>0</v>
      </c>
      <c r="B13815" t="s">
        <v>661</v>
      </c>
      <c r="C13815" t="s">
        <v>16922</v>
      </c>
      <c r="D13815" t="s">
        <v>19011</v>
      </c>
      <c r="E13815" t="s">
        <v>30763</v>
      </c>
      <c r="F13815" t="s">
        <v>32606</v>
      </c>
      <c r="G13815" t="s">
        <v>32613</v>
      </c>
      <c r="H13815" t="s">
        <v>14201</v>
      </c>
      <c r="I13815" t="s">
        <v>32741</v>
      </c>
      <c r="J13815" t="s">
        <v>33071</v>
      </c>
      <c r="K13815" t="s">
        <v>42714</v>
      </c>
      <c r="M13815" t="s">
        <v>43581</v>
      </c>
      <c r="N13815" t="s">
        <v>47304</v>
      </c>
      <c r="O13815" t="s">
        <v>47305</v>
      </c>
      <c r="P13815">
        <v>0</v>
      </c>
      <c r="Q13815">
        <v>2</v>
      </c>
      <c r="R13815" t="s">
        <v>47321</v>
      </c>
      <c r="S13815" t="s">
        <v>48071</v>
      </c>
      <c r="T13815" t="s">
        <v>49011</v>
      </c>
      <c r="U13815" t="s">
        <v>60969</v>
      </c>
      <c r="W13815" t="s">
        <v>43581</v>
      </c>
      <c r="X13815" t="s">
        <v>47322</v>
      </c>
    </row>
    <row r="13816" spans="1:24">
      <c r="A13816">
        <f>HYPERLINK("https://www.philgeps.gov.ph/GEPSNONPILOT/Tender/SplashBidNoticeAbstractUI.aspx?menuIndex=3&amp;refID=7166658&amp;Result=3","7166658")</f>
        <v>0</v>
      </c>
      <c r="B13816" t="s">
        <v>3678</v>
      </c>
      <c r="C13816" t="s">
        <v>16923</v>
      </c>
      <c r="D13816" t="s">
        <v>19063</v>
      </c>
      <c r="E13816" t="s">
        <v>30764</v>
      </c>
      <c r="F13816" t="s">
        <v>32606</v>
      </c>
      <c r="G13816" t="s">
        <v>32613</v>
      </c>
      <c r="H13816" t="s">
        <v>32623</v>
      </c>
      <c r="I13816" t="s">
        <v>17648</v>
      </c>
      <c r="J13816" t="s">
        <v>32770</v>
      </c>
      <c r="K13816" t="s">
        <v>42639</v>
      </c>
      <c r="M13816" t="s">
        <v>46983</v>
      </c>
      <c r="N13816" t="s">
        <v>47304</v>
      </c>
      <c r="O13816" t="s">
        <v>47305</v>
      </c>
      <c r="P13816">
        <v>0</v>
      </c>
      <c r="Q13816">
        <v>0</v>
      </c>
      <c r="R13816" t="s">
        <v>47321</v>
      </c>
      <c r="S13816" t="s">
        <v>48071</v>
      </c>
      <c r="T13816" t="s">
        <v>48970</v>
      </c>
      <c r="U13816" t="s">
        <v>60900</v>
      </c>
      <c r="W13816" t="s">
        <v>46983</v>
      </c>
      <c r="X13816" t="s">
        <v>47322</v>
      </c>
    </row>
    <row r="13817" spans="1:24">
      <c r="A13817">
        <f>HYPERLINK("https://www.philgeps.gov.ph/GEPSNONPILOT/Tender/SplashBidNoticeAbstractUI.aspx?menuIndex=3&amp;refID=7166637&amp;Result=3","7166637")</f>
        <v>0</v>
      </c>
      <c r="B13817" t="s">
        <v>89</v>
      </c>
      <c r="C13817" t="s">
        <v>16924</v>
      </c>
      <c r="D13817" t="s">
        <v>19018</v>
      </c>
      <c r="E13817" t="s">
        <v>30765</v>
      </c>
      <c r="F13817" t="s">
        <v>32606</v>
      </c>
      <c r="G13817" t="s">
        <v>32613</v>
      </c>
      <c r="H13817" t="s">
        <v>14201</v>
      </c>
      <c r="I13817" t="s">
        <v>32733</v>
      </c>
      <c r="J13817" t="s">
        <v>32949</v>
      </c>
      <c r="K13817" t="s">
        <v>42631</v>
      </c>
      <c r="M13817" t="s">
        <v>42987</v>
      </c>
      <c r="N13817" t="s">
        <v>47304</v>
      </c>
      <c r="O13817" t="s">
        <v>47305</v>
      </c>
      <c r="P13817">
        <v>0</v>
      </c>
      <c r="Q13817">
        <v>2</v>
      </c>
      <c r="R13817" t="s">
        <v>47321</v>
      </c>
      <c r="S13817" t="s">
        <v>48071</v>
      </c>
      <c r="T13817" t="s">
        <v>49492</v>
      </c>
      <c r="U13817" t="s">
        <v>60970</v>
      </c>
      <c r="W13817" t="s">
        <v>42987</v>
      </c>
      <c r="X13817" t="s">
        <v>47322</v>
      </c>
    </row>
    <row r="13818" spans="1:24">
      <c r="A13818">
        <f>HYPERLINK("https://www.philgeps.gov.ph/GEPSNONPILOT/Tender/SplashBidNoticeAbstractUI.aspx?menuIndex=3&amp;refID=7166688&amp;Result=3","7166688")</f>
        <v>0</v>
      </c>
      <c r="B13818" t="s">
        <v>3685</v>
      </c>
      <c r="C13818" t="s">
        <v>16925</v>
      </c>
      <c r="D13818" t="s">
        <v>18988</v>
      </c>
      <c r="E13818" t="s">
        <v>30766</v>
      </c>
      <c r="F13818" t="s">
        <v>32606</v>
      </c>
      <c r="G13818" t="s">
        <v>32613</v>
      </c>
      <c r="H13818" t="s">
        <v>14201</v>
      </c>
      <c r="I13818" t="s">
        <v>4114</v>
      </c>
      <c r="J13818" t="s">
        <v>32913</v>
      </c>
      <c r="K13818" t="s">
        <v>42625</v>
      </c>
      <c r="M13818" t="s">
        <v>46991</v>
      </c>
      <c r="N13818" t="s">
        <v>47304</v>
      </c>
      <c r="O13818" t="s">
        <v>47305</v>
      </c>
      <c r="P13818">
        <v>0</v>
      </c>
      <c r="Q13818">
        <v>2</v>
      </c>
      <c r="R13818" t="s">
        <v>47321</v>
      </c>
      <c r="S13818" t="s">
        <v>48071</v>
      </c>
      <c r="T13818" t="s">
        <v>49486</v>
      </c>
      <c r="U13818" t="s">
        <v>60971</v>
      </c>
      <c r="W13818" t="s">
        <v>46991</v>
      </c>
      <c r="X13818" t="s">
        <v>47322</v>
      </c>
    </row>
    <row r="13819" spans="1:24">
      <c r="A13819">
        <f>HYPERLINK("https://www.philgeps.gov.ph/GEPSNONPILOT/Tender/SplashBidNoticeAbstractUI.aspx?menuIndex=3&amp;refID=7166769&amp;Result=3","7166769")</f>
        <v>0</v>
      </c>
      <c r="B13819" t="s">
        <v>2326</v>
      </c>
      <c r="C13819" t="s">
        <v>16926</v>
      </c>
      <c r="E13819" t="s">
        <v>30767</v>
      </c>
      <c r="F13819" t="s">
        <v>32606</v>
      </c>
      <c r="G13819" t="s">
        <v>32613</v>
      </c>
      <c r="H13819" t="s">
        <v>32623</v>
      </c>
      <c r="I13819" t="s">
        <v>17648</v>
      </c>
      <c r="J13819" t="s">
        <v>41306</v>
      </c>
      <c r="K13819" t="s">
        <v>42624</v>
      </c>
      <c r="M13819" t="s">
        <v>45434</v>
      </c>
      <c r="N13819" t="s">
        <v>47304</v>
      </c>
      <c r="O13819" t="s">
        <v>47305</v>
      </c>
      <c r="P13819">
        <v>0</v>
      </c>
      <c r="Q13819">
        <v>3</v>
      </c>
      <c r="R13819" t="s">
        <v>47321</v>
      </c>
      <c r="S13819" t="s">
        <v>48071</v>
      </c>
      <c r="T13819" t="s">
        <v>48989</v>
      </c>
      <c r="U13819" t="s">
        <v>60972</v>
      </c>
      <c r="W13819" t="s">
        <v>45434</v>
      </c>
      <c r="X13819" t="s">
        <v>47322</v>
      </c>
    </row>
    <row r="13820" spans="1:24">
      <c r="A13820">
        <f>HYPERLINK("https://www.philgeps.gov.ph/GEPSNONPILOT/Tender/SplashBidNoticeAbstractUI.aspx?menuIndex=3&amp;refID=7166630&amp;Result=3","7166630")</f>
        <v>0</v>
      </c>
      <c r="B13820" t="s">
        <v>3686</v>
      </c>
      <c r="C13820" t="s">
        <v>16927</v>
      </c>
      <c r="D13820" t="s">
        <v>19008</v>
      </c>
      <c r="E13820" t="s">
        <v>30768</v>
      </c>
      <c r="F13820" t="s">
        <v>32606</v>
      </c>
      <c r="G13820" t="s">
        <v>32613</v>
      </c>
      <c r="H13820" t="s">
        <v>32623</v>
      </c>
      <c r="I13820" t="s">
        <v>17648</v>
      </c>
      <c r="J13820" t="s">
        <v>32770</v>
      </c>
      <c r="K13820" t="s">
        <v>42631</v>
      </c>
      <c r="M13820" t="s">
        <v>46992</v>
      </c>
      <c r="N13820" t="s">
        <v>47304</v>
      </c>
      <c r="O13820" t="s">
        <v>47305</v>
      </c>
      <c r="P13820">
        <v>0</v>
      </c>
      <c r="Q13820">
        <v>0</v>
      </c>
      <c r="R13820" t="s">
        <v>47321</v>
      </c>
      <c r="S13820" t="s">
        <v>48071</v>
      </c>
      <c r="T13820" t="s">
        <v>49014</v>
      </c>
      <c r="U13820" t="s">
        <v>60973</v>
      </c>
      <c r="W13820" t="s">
        <v>46992</v>
      </c>
      <c r="X13820" t="s">
        <v>47322</v>
      </c>
    </row>
    <row r="13821" spans="1:24">
      <c r="A13821">
        <f>HYPERLINK("https://www.philgeps.gov.ph/GEPSNONPILOT/Tender/SplashBidNoticeAbstractUI.aspx?menuIndex=3&amp;refID=7166784&amp;Result=3","7166784")</f>
        <v>0</v>
      </c>
      <c r="B13821" t="s">
        <v>3686</v>
      </c>
      <c r="C13821" t="s">
        <v>16928</v>
      </c>
      <c r="D13821" t="s">
        <v>19008</v>
      </c>
      <c r="E13821" t="s">
        <v>30769</v>
      </c>
      <c r="F13821" t="s">
        <v>32606</v>
      </c>
      <c r="G13821" t="s">
        <v>32613</v>
      </c>
      <c r="H13821" t="s">
        <v>32623</v>
      </c>
      <c r="I13821" t="s">
        <v>17648</v>
      </c>
      <c r="J13821" t="s">
        <v>32772</v>
      </c>
      <c r="K13821" t="s">
        <v>42719</v>
      </c>
      <c r="M13821" t="s">
        <v>46992</v>
      </c>
      <c r="N13821" t="s">
        <v>47304</v>
      </c>
      <c r="O13821" t="s">
        <v>47305</v>
      </c>
      <c r="P13821">
        <v>0</v>
      </c>
      <c r="Q13821">
        <v>1</v>
      </c>
      <c r="R13821" t="s">
        <v>47321</v>
      </c>
      <c r="S13821" t="s">
        <v>48071</v>
      </c>
      <c r="T13821" t="s">
        <v>49014</v>
      </c>
      <c r="U13821" t="s">
        <v>60974</v>
      </c>
      <c r="W13821" t="s">
        <v>46992</v>
      </c>
      <c r="X13821" t="s">
        <v>47322</v>
      </c>
    </row>
    <row r="13822" spans="1:24">
      <c r="A13822">
        <f>HYPERLINK("https://www.philgeps.gov.ph/GEPSNONPILOT/Tender/SplashBidNoticeAbstractUI.aspx?menuIndex=3&amp;refID=7166874&amp;Result=3","7166874")</f>
        <v>0</v>
      </c>
      <c r="B13822" t="s">
        <v>2326</v>
      </c>
      <c r="C13822" t="s">
        <v>16929</v>
      </c>
      <c r="E13822" t="s">
        <v>30770</v>
      </c>
      <c r="F13822" t="s">
        <v>32606</v>
      </c>
      <c r="G13822" t="s">
        <v>32613</v>
      </c>
      <c r="H13822" t="s">
        <v>32623</v>
      </c>
      <c r="I13822" t="s">
        <v>17648</v>
      </c>
      <c r="J13822" t="s">
        <v>41307</v>
      </c>
      <c r="K13822" t="s">
        <v>42624</v>
      </c>
      <c r="M13822" t="s">
        <v>45434</v>
      </c>
      <c r="N13822" t="s">
        <v>47304</v>
      </c>
      <c r="O13822" t="s">
        <v>47305</v>
      </c>
      <c r="P13822">
        <v>0</v>
      </c>
      <c r="Q13822">
        <v>2</v>
      </c>
      <c r="R13822" t="s">
        <v>47321</v>
      </c>
      <c r="S13822" t="s">
        <v>48071</v>
      </c>
      <c r="T13822" t="s">
        <v>48989</v>
      </c>
      <c r="U13822" t="s">
        <v>60975</v>
      </c>
      <c r="W13822" t="s">
        <v>45434</v>
      </c>
      <c r="X13822" t="s">
        <v>47322</v>
      </c>
    </row>
    <row r="13823" spans="1:24">
      <c r="A13823">
        <f>HYPERLINK("https://www.philgeps.gov.ph/GEPSNONPILOT/Tender/SplashBidNoticeAbstractUI.aspx?menuIndex=3&amp;refID=7166823&amp;Result=3","7166823")</f>
        <v>0</v>
      </c>
      <c r="B13823" t="s">
        <v>2425</v>
      </c>
      <c r="C13823" t="s">
        <v>16930</v>
      </c>
      <c r="D13823" t="s">
        <v>19005</v>
      </c>
      <c r="E13823" t="s">
        <v>30771</v>
      </c>
      <c r="F13823" t="s">
        <v>32606</v>
      </c>
      <c r="G13823" t="s">
        <v>32613</v>
      </c>
      <c r="H13823" t="s">
        <v>14201</v>
      </c>
      <c r="I13823" t="s">
        <v>17648</v>
      </c>
      <c r="J13823" t="s">
        <v>33757</v>
      </c>
      <c r="K13823" t="s">
        <v>42646</v>
      </c>
      <c r="M13823" t="s">
        <v>45551</v>
      </c>
      <c r="N13823" t="s">
        <v>47304</v>
      </c>
      <c r="O13823" t="s">
        <v>47305</v>
      </c>
      <c r="Q13823">
        <v>5</v>
      </c>
      <c r="R13823" t="s">
        <v>47321</v>
      </c>
      <c r="S13823" t="s">
        <v>48118</v>
      </c>
      <c r="T13823" t="s">
        <v>49390</v>
      </c>
      <c r="U13823" t="s">
        <v>60976</v>
      </c>
      <c r="W13823" t="s">
        <v>45551</v>
      </c>
      <c r="X13823" t="s">
        <v>47322</v>
      </c>
    </row>
    <row r="13824" spans="1:24">
      <c r="A13824">
        <f>HYPERLINK("https://www.philgeps.gov.ph/GEPSNONPILOT/Tender/SplashBidNoticeAbstractUI.aspx?menuIndex=3&amp;refID=7166869&amp;Result=3","7166869")</f>
        <v>0</v>
      </c>
      <c r="B13824" t="s">
        <v>3687</v>
      </c>
      <c r="C13824" t="s">
        <v>16931</v>
      </c>
      <c r="D13824" t="s">
        <v>19003</v>
      </c>
      <c r="E13824" t="s">
        <v>30772</v>
      </c>
      <c r="F13824" t="s">
        <v>32606</v>
      </c>
      <c r="G13824" t="s">
        <v>32613</v>
      </c>
      <c r="H13824" t="s">
        <v>32623</v>
      </c>
      <c r="I13824" t="s">
        <v>17648</v>
      </c>
      <c r="J13824" t="s">
        <v>33231</v>
      </c>
      <c r="K13824" t="s">
        <v>42645</v>
      </c>
      <c r="M13824" t="s">
        <v>46993</v>
      </c>
      <c r="N13824" t="s">
        <v>47304</v>
      </c>
      <c r="O13824" t="s">
        <v>47305</v>
      </c>
      <c r="Q13824">
        <v>0</v>
      </c>
      <c r="R13824" t="s">
        <v>47321</v>
      </c>
      <c r="S13824" t="s">
        <v>47769</v>
      </c>
      <c r="T13824" t="s">
        <v>49107</v>
      </c>
      <c r="U13824" t="s">
        <v>60977</v>
      </c>
      <c r="V13824" t="s">
        <v>64140</v>
      </c>
      <c r="W13824" t="s">
        <v>46993</v>
      </c>
      <c r="X13824" t="s">
        <v>47322</v>
      </c>
    </row>
    <row r="13825" spans="1:24">
      <c r="A13825">
        <f>HYPERLINK("https://www.philgeps.gov.ph/GEPSNONPILOT/Tender/SplashBidNoticeAbstractUI.aspx?menuIndex=3&amp;refID=7166818&amp;Result=3","7166818")</f>
        <v>0</v>
      </c>
      <c r="B13825" t="s">
        <v>143</v>
      </c>
      <c r="C13825" t="s">
        <v>16932</v>
      </c>
      <c r="D13825" t="s">
        <v>19032</v>
      </c>
      <c r="E13825" t="s">
        <v>30773</v>
      </c>
      <c r="F13825" t="s">
        <v>32606</v>
      </c>
      <c r="G13825" t="s">
        <v>32613</v>
      </c>
      <c r="H13825" t="s">
        <v>32623</v>
      </c>
      <c r="I13825" t="s">
        <v>17648</v>
      </c>
      <c r="J13825" t="s">
        <v>41308</v>
      </c>
      <c r="K13825" t="s">
        <v>42841</v>
      </c>
      <c r="M13825" t="s">
        <v>43044</v>
      </c>
      <c r="N13825" t="s">
        <v>47304</v>
      </c>
      <c r="O13825" t="s">
        <v>47305</v>
      </c>
      <c r="Q13825">
        <v>0</v>
      </c>
      <c r="R13825" t="s">
        <v>47321</v>
      </c>
      <c r="S13825" t="s">
        <v>48119</v>
      </c>
      <c r="T13825" t="s">
        <v>49050</v>
      </c>
      <c r="U13825" t="s">
        <v>53658</v>
      </c>
      <c r="V13825" t="s">
        <v>64141</v>
      </c>
      <c r="W13825" t="s">
        <v>43044</v>
      </c>
      <c r="X13825" t="s">
        <v>47322</v>
      </c>
    </row>
    <row r="13826" spans="1:24">
      <c r="A13826">
        <f>HYPERLINK("https://www.philgeps.gov.ph/GEPSNONPILOT/Tender/SplashBidNoticeAbstractUI.aspx?menuIndex=3&amp;refID=7166852&amp;Result=3","7166852")</f>
        <v>0</v>
      </c>
      <c r="B13826" t="s">
        <v>2226</v>
      </c>
      <c r="C13826" t="s">
        <v>4830</v>
      </c>
      <c r="D13826" t="s">
        <v>19058</v>
      </c>
      <c r="E13826" t="s">
        <v>30774</v>
      </c>
      <c r="F13826" t="s">
        <v>32606</v>
      </c>
      <c r="G13826" t="s">
        <v>32613</v>
      </c>
      <c r="H13826" t="s">
        <v>14201</v>
      </c>
      <c r="I13826" t="s">
        <v>4120</v>
      </c>
      <c r="J13826" t="s">
        <v>41309</v>
      </c>
      <c r="K13826" t="s">
        <v>42630</v>
      </c>
      <c r="M13826" t="s">
        <v>45330</v>
      </c>
      <c r="N13826" t="s">
        <v>47304</v>
      </c>
      <c r="O13826" t="s">
        <v>47305</v>
      </c>
      <c r="P13826">
        <v>0</v>
      </c>
      <c r="Q13826">
        <v>5</v>
      </c>
      <c r="R13826" t="s">
        <v>47321</v>
      </c>
      <c r="S13826" t="s">
        <v>48071</v>
      </c>
      <c r="T13826" t="s">
        <v>49268</v>
      </c>
      <c r="U13826" t="s">
        <v>51703</v>
      </c>
      <c r="W13826" t="s">
        <v>45330</v>
      </c>
      <c r="X13826" t="s">
        <v>47322</v>
      </c>
    </row>
    <row r="13827" spans="1:24">
      <c r="A13827">
        <f>HYPERLINK("https://www.philgeps.gov.ph/GEPSNONPILOT/Tender/SplashBidNoticeAbstractUI.aspx?menuIndex=3&amp;refID=7166904&amp;Result=3","7166904")</f>
        <v>0</v>
      </c>
      <c r="B13827" t="s">
        <v>143</v>
      </c>
      <c r="C13827" t="s">
        <v>16933</v>
      </c>
      <c r="D13827" t="s">
        <v>19032</v>
      </c>
      <c r="E13827" t="s">
        <v>30775</v>
      </c>
      <c r="F13827" t="s">
        <v>32606</v>
      </c>
      <c r="G13827" t="s">
        <v>32613</v>
      </c>
      <c r="H13827" t="s">
        <v>32623</v>
      </c>
      <c r="I13827" t="s">
        <v>17648</v>
      </c>
      <c r="J13827" t="s">
        <v>41310</v>
      </c>
      <c r="K13827" t="s">
        <v>42646</v>
      </c>
      <c r="M13827" t="s">
        <v>43044</v>
      </c>
      <c r="N13827" t="s">
        <v>47304</v>
      </c>
      <c r="O13827" t="s">
        <v>47305</v>
      </c>
      <c r="Q13827">
        <v>0</v>
      </c>
      <c r="R13827" t="s">
        <v>47321</v>
      </c>
      <c r="S13827" t="s">
        <v>48120</v>
      </c>
      <c r="T13827" t="s">
        <v>49040</v>
      </c>
      <c r="U13827" t="s">
        <v>60978</v>
      </c>
      <c r="V13827" t="s">
        <v>64142</v>
      </c>
      <c r="W13827" t="s">
        <v>43044</v>
      </c>
      <c r="X13827" t="s">
        <v>47322</v>
      </c>
    </row>
    <row r="13828" spans="1:24">
      <c r="A13828">
        <f>HYPERLINK("https://www.philgeps.gov.ph/GEPSNONPILOT/Tender/SplashBidNoticeAbstractUI.aspx?menuIndex=3&amp;refID=7166841&amp;Result=3","7166841")</f>
        <v>0</v>
      </c>
      <c r="B13828" t="s">
        <v>1780</v>
      </c>
      <c r="C13828" t="s">
        <v>16934</v>
      </c>
      <c r="D13828" t="s">
        <v>19040</v>
      </c>
      <c r="E13828" t="s">
        <v>30776</v>
      </c>
      <c r="F13828" t="s">
        <v>32606</v>
      </c>
      <c r="G13828" t="s">
        <v>32613</v>
      </c>
      <c r="H13828" t="s">
        <v>32623</v>
      </c>
      <c r="I13828" t="s">
        <v>17648</v>
      </c>
      <c r="J13828" t="s">
        <v>41311</v>
      </c>
      <c r="K13828" t="s">
        <v>42685</v>
      </c>
      <c r="M13828" t="s">
        <v>44820</v>
      </c>
      <c r="N13828" t="s">
        <v>47304</v>
      </c>
      <c r="O13828" t="s">
        <v>47305</v>
      </c>
      <c r="P13828">
        <v>0</v>
      </c>
      <c r="Q13828">
        <v>0</v>
      </c>
      <c r="R13828" t="s">
        <v>47321</v>
      </c>
      <c r="S13828" t="s">
        <v>48071</v>
      </c>
      <c r="T13828" t="s">
        <v>49002</v>
      </c>
      <c r="U13828" t="s">
        <v>60979</v>
      </c>
      <c r="V13828" t="s">
        <v>64143</v>
      </c>
      <c r="W13828" t="s">
        <v>44820</v>
      </c>
      <c r="X13828" t="s">
        <v>47322</v>
      </c>
    </row>
    <row r="13829" spans="1:24">
      <c r="A13829">
        <f>HYPERLINK("https://www.philgeps.gov.ph/GEPSNONPILOT/Tender/SplashBidNoticeAbstractUI.aspx?menuIndex=3&amp;refID=7166951&amp;Result=3","7166951")</f>
        <v>0</v>
      </c>
      <c r="B13829" t="s">
        <v>411</v>
      </c>
      <c r="C13829" t="s">
        <v>16935</v>
      </c>
      <c r="D13829" t="s">
        <v>19047</v>
      </c>
      <c r="E13829" t="s">
        <v>30777</v>
      </c>
      <c r="F13829" t="s">
        <v>32606</v>
      </c>
      <c r="G13829" t="s">
        <v>32613</v>
      </c>
      <c r="H13829" t="s">
        <v>32623</v>
      </c>
      <c r="I13829" t="s">
        <v>17648</v>
      </c>
      <c r="J13829" t="s">
        <v>41312</v>
      </c>
      <c r="K13829" t="s">
        <v>42639</v>
      </c>
      <c r="M13829" t="s">
        <v>43315</v>
      </c>
      <c r="N13829" t="s">
        <v>47304</v>
      </c>
      <c r="O13829" t="s">
        <v>47305</v>
      </c>
      <c r="P13829">
        <v>0</v>
      </c>
      <c r="Q13829">
        <v>1</v>
      </c>
      <c r="R13829" t="s">
        <v>47321</v>
      </c>
      <c r="S13829" t="s">
        <v>48071</v>
      </c>
      <c r="T13829" t="s">
        <v>49002</v>
      </c>
      <c r="U13829" t="s">
        <v>60980</v>
      </c>
      <c r="W13829" t="s">
        <v>43315</v>
      </c>
      <c r="X13829" t="s">
        <v>47322</v>
      </c>
    </row>
    <row r="13830" spans="1:24">
      <c r="A13830">
        <f>HYPERLINK("https://www.philgeps.gov.ph/GEPSNONPILOT/Tender/SplashBidNoticeAbstractUI.aspx?menuIndex=3&amp;refID=7166952&amp;Result=3","7166952")</f>
        <v>0</v>
      </c>
      <c r="B13830" t="s">
        <v>1086</v>
      </c>
      <c r="C13830" t="s">
        <v>16936</v>
      </c>
      <c r="E13830" t="s">
        <v>30778</v>
      </c>
      <c r="F13830" t="s">
        <v>32606</v>
      </c>
      <c r="G13830" t="s">
        <v>32613</v>
      </c>
      <c r="H13830" t="s">
        <v>14201</v>
      </c>
      <c r="I13830" t="s">
        <v>6007</v>
      </c>
      <c r="J13830" t="s">
        <v>41313</v>
      </c>
      <c r="K13830" t="s">
        <v>42624</v>
      </c>
      <c r="M13830" t="s">
        <v>44041</v>
      </c>
      <c r="N13830" t="s">
        <v>47304</v>
      </c>
      <c r="O13830" t="s">
        <v>47305</v>
      </c>
      <c r="Q13830">
        <v>1</v>
      </c>
      <c r="R13830" t="s">
        <v>47321</v>
      </c>
      <c r="S13830" t="s">
        <v>48121</v>
      </c>
      <c r="T13830" t="s">
        <v>49023</v>
      </c>
      <c r="U13830" t="s">
        <v>60981</v>
      </c>
      <c r="W13830" t="s">
        <v>44041</v>
      </c>
      <c r="X13830" t="s">
        <v>47322</v>
      </c>
    </row>
    <row r="13831" spans="1:24">
      <c r="A13831">
        <f>HYPERLINK("https://www.philgeps.gov.ph/GEPSNONPILOT/Tender/SplashBidNoticeAbstractUI.aspx?menuIndex=3&amp;refID=7166930&amp;Result=3","7166930")</f>
        <v>0</v>
      </c>
      <c r="B13831" t="s">
        <v>1678</v>
      </c>
      <c r="C13831" t="s">
        <v>16937</v>
      </c>
      <c r="D13831" t="s">
        <v>18993</v>
      </c>
      <c r="E13831" t="s">
        <v>30779</v>
      </c>
      <c r="F13831" t="s">
        <v>32606</v>
      </c>
      <c r="G13831" t="s">
        <v>32613</v>
      </c>
      <c r="H13831" t="s">
        <v>14201</v>
      </c>
      <c r="I13831" t="s">
        <v>32638</v>
      </c>
      <c r="J13831" t="s">
        <v>41314</v>
      </c>
      <c r="K13831" t="s">
        <v>42648</v>
      </c>
      <c r="M13831" t="s">
        <v>44706</v>
      </c>
      <c r="N13831" t="s">
        <v>47304</v>
      </c>
      <c r="O13831" t="s">
        <v>47305</v>
      </c>
      <c r="Q13831">
        <v>10</v>
      </c>
      <c r="R13831" t="s">
        <v>47321</v>
      </c>
      <c r="S13831" t="s">
        <v>48122</v>
      </c>
      <c r="T13831" t="s">
        <v>49493</v>
      </c>
      <c r="U13831" t="s">
        <v>60982</v>
      </c>
      <c r="V13831" t="s">
        <v>63076</v>
      </c>
      <c r="W13831" t="s">
        <v>44706</v>
      </c>
      <c r="X13831" t="s">
        <v>47322</v>
      </c>
    </row>
    <row r="13832" spans="1:24">
      <c r="A13832">
        <f>HYPERLINK("https://www.philgeps.gov.ph/GEPSNONPILOT/Tender/SplashBidNoticeAbstractUI.aspx?menuIndex=3&amp;refID=7166829&amp;Result=3","7166829")</f>
        <v>0</v>
      </c>
      <c r="B13832" t="s">
        <v>3688</v>
      </c>
      <c r="C13832" t="s">
        <v>16938</v>
      </c>
      <c r="D13832" t="s">
        <v>19024</v>
      </c>
      <c r="E13832" t="s">
        <v>30780</v>
      </c>
      <c r="F13832" t="s">
        <v>32606</v>
      </c>
      <c r="G13832" t="s">
        <v>32613</v>
      </c>
      <c r="H13832" t="s">
        <v>32623</v>
      </c>
      <c r="I13832" t="s">
        <v>17648</v>
      </c>
      <c r="J13832" t="s">
        <v>41315</v>
      </c>
      <c r="K13832" t="s">
        <v>42648</v>
      </c>
      <c r="L13832" t="s">
        <v>3688</v>
      </c>
      <c r="M13832" t="s">
        <v>46994</v>
      </c>
      <c r="N13832" t="s">
        <v>47304</v>
      </c>
      <c r="O13832" t="s">
        <v>47305</v>
      </c>
      <c r="P13832">
        <v>0</v>
      </c>
      <c r="Q13832">
        <v>3</v>
      </c>
      <c r="R13832" t="s">
        <v>47321</v>
      </c>
      <c r="S13832" t="s">
        <v>48071</v>
      </c>
      <c r="T13832" t="s">
        <v>49087</v>
      </c>
      <c r="U13832" t="s">
        <v>60983</v>
      </c>
      <c r="W13832" t="s">
        <v>46994</v>
      </c>
      <c r="X13832" t="s">
        <v>47322</v>
      </c>
    </row>
    <row r="13833" spans="1:24">
      <c r="A13833">
        <f>HYPERLINK("https://www.philgeps.gov.ph/GEPSNONPILOT/Tender/SplashBidNoticeAbstractUI.aspx?menuIndex=3&amp;refID=7166911&amp;Result=3","7166911")</f>
        <v>0</v>
      </c>
      <c r="B13833" t="s">
        <v>3689</v>
      </c>
      <c r="C13833" t="s">
        <v>16939</v>
      </c>
      <c r="D13833" t="s">
        <v>19011</v>
      </c>
      <c r="E13833" t="s">
        <v>28275</v>
      </c>
      <c r="F13833" t="s">
        <v>32606</v>
      </c>
      <c r="G13833" t="s">
        <v>32613</v>
      </c>
      <c r="H13833" t="s">
        <v>32623</v>
      </c>
      <c r="I13833" t="s">
        <v>17648</v>
      </c>
      <c r="J13833" t="s">
        <v>41316</v>
      </c>
      <c r="K13833" t="s">
        <v>42648</v>
      </c>
      <c r="M13833" t="s">
        <v>46995</v>
      </c>
      <c r="N13833" t="s">
        <v>47304</v>
      </c>
      <c r="O13833" t="s">
        <v>47305</v>
      </c>
      <c r="P13833">
        <v>0</v>
      </c>
      <c r="Q13833">
        <v>1</v>
      </c>
      <c r="R13833" t="s">
        <v>47321</v>
      </c>
      <c r="S13833" t="s">
        <v>48071</v>
      </c>
      <c r="T13833" t="s">
        <v>49016</v>
      </c>
      <c r="U13833" t="s">
        <v>60984</v>
      </c>
      <c r="W13833" t="s">
        <v>46995</v>
      </c>
      <c r="X13833" t="s">
        <v>47322</v>
      </c>
    </row>
    <row r="13834" spans="1:24">
      <c r="A13834">
        <f>HYPERLINK("https://www.philgeps.gov.ph/GEPSNONPILOT/Tender/SplashBidNoticeAbstractUI.aspx?menuIndex=3&amp;refID=7166810&amp;Result=3","7166810")</f>
        <v>0</v>
      </c>
      <c r="B13834" t="s">
        <v>2326</v>
      </c>
      <c r="C13834" t="s">
        <v>16940</v>
      </c>
      <c r="E13834" t="s">
        <v>30781</v>
      </c>
      <c r="F13834" t="s">
        <v>32606</v>
      </c>
      <c r="G13834" t="s">
        <v>32613</v>
      </c>
      <c r="H13834" t="s">
        <v>32623</v>
      </c>
      <c r="I13834" t="s">
        <v>17648</v>
      </c>
      <c r="J13834" t="s">
        <v>41317</v>
      </c>
      <c r="K13834" t="s">
        <v>42624</v>
      </c>
      <c r="M13834" t="s">
        <v>45434</v>
      </c>
      <c r="N13834" t="s">
        <v>47304</v>
      </c>
      <c r="O13834" t="s">
        <v>47305</v>
      </c>
      <c r="P13834">
        <v>0</v>
      </c>
      <c r="Q13834">
        <v>3</v>
      </c>
      <c r="R13834" t="s">
        <v>47321</v>
      </c>
      <c r="S13834" t="s">
        <v>48071</v>
      </c>
      <c r="T13834" t="s">
        <v>48989</v>
      </c>
      <c r="U13834" t="s">
        <v>60985</v>
      </c>
      <c r="W13834" t="s">
        <v>45434</v>
      </c>
      <c r="X13834" t="s">
        <v>47322</v>
      </c>
    </row>
    <row r="13835" spans="1:24">
      <c r="A13835">
        <f>HYPERLINK("https://www.philgeps.gov.ph/GEPSNONPILOT/Tender/SplashBidNoticeAbstractUI.aspx?menuIndex=3&amp;refID=7166931&amp;Result=3","7166931")</f>
        <v>0</v>
      </c>
      <c r="B13835" t="s">
        <v>1306</v>
      </c>
      <c r="C13835" t="s">
        <v>16941</v>
      </c>
      <c r="D13835" t="s">
        <v>19011</v>
      </c>
      <c r="E13835" t="s">
        <v>30782</v>
      </c>
      <c r="F13835" t="s">
        <v>32606</v>
      </c>
      <c r="G13835" t="s">
        <v>32613</v>
      </c>
      <c r="H13835" t="s">
        <v>14201</v>
      </c>
      <c r="I13835" t="s">
        <v>32686</v>
      </c>
      <c r="J13835" t="s">
        <v>41318</v>
      </c>
      <c r="K13835" t="s">
        <v>42648</v>
      </c>
      <c r="M13835" t="s">
        <v>44278</v>
      </c>
      <c r="N13835" t="s">
        <v>47304</v>
      </c>
      <c r="O13835" t="s">
        <v>47305</v>
      </c>
      <c r="P13835">
        <v>0</v>
      </c>
      <c r="Q13835">
        <v>4</v>
      </c>
      <c r="R13835" t="s">
        <v>47321</v>
      </c>
      <c r="S13835" t="s">
        <v>48071</v>
      </c>
      <c r="T13835" t="s">
        <v>49011</v>
      </c>
      <c r="U13835" t="s">
        <v>60931</v>
      </c>
      <c r="W13835" t="s">
        <v>44278</v>
      </c>
      <c r="X13835" t="s">
        <v>47322</v>
      </c>
    </row>
    <row r="13836" spans="1:24">
      <c r="A13836">
        <f>HYPERLINK("https://www.philgeps.gov.ph/GEPSNONPILOT/Tender/SplashBidNoticeAbstractUI.aspx?menuIndex=3&amp;refID=7166799&amp;Result=3","7166799")</f>
        <v>0</v>
      </c>
      <c r="B13836" t="s">
        <v>1306</v>
      </c>
      <c r="C13836" t="s">
        <v>16942</v>
      </c>
      <c r="D13836" t="s">
        <v>19011</v>
      </c>
      <c r="E13836" t="s">
        <v>30783</v>
      </c>
      <c r="F13836" t="s">
        <v>32606</v>
      </c>
      <c r="G13836" t="s">
        <v>32613</v>
      </c>
      <c r="H13836" t="s">
        <v>14201</v>
      </c>
      <c r="I13836" t="s">
        <v>32686</v>
      </c>
      <c r="J13836" t="s">
        <v>33449</v>
      </c>
      <c r="K13836" t="s">
        <v>42648</v>
      </c>
      <c r="M13836" t="s">
        <v>44278</v>
      </c>
      <c r="N13836" t="s">
        <v>47304</v>
      </c>
      <c r="O13836" t="s">
        <v>47305</v>
      </c>
      <c r="Q13836">
        <v>5</v>
      </c>
      <c r="R13836" t="s">
        <v>47321</v>
      </c>
      <c r="S13836" t="s">
        <v>48123</v>
      </c>
      <c r="T13836" t="s">
        <v>49011</v>
      </c>
      <c r="U13836" t="s">
        <v>60931</v>
      </c>
      <c r="W13836" t="s">
        <v>44278</v>
      </c>
      <c r="X13836" t="s">
        <v>47322</v>
      </c>
    </row>
    <row r="13837" spans="1:24">
      <c r="A13837">
        <f>HYPERLINK("https://www.philgeps.gov.ph/GEPSNONPILOT/Tender/SplashBidNoticeAbstractUI.aspx?menuIndex=3&amp;refID=7166967&amp;Result=3","7166967")</f>
        <v>0</v>
      </c>
      <c r="B13837" t="s">
        <v>810</v>
      </c>
      <c r="C13837" t="s">
        <v>16943</v>
      </c>
      <c r="D13837" t="s">
        <v>19013</v>
      </c>
      <c r="E13837" t="s">
        <v>30784</v>
      </c>
      <c r="F13837" t="s">
        <v>32606</v>
      </c>
      <c r="G13837" t="s">
        <v>32613</v>
      </c>
      <c r="H13837" t="s">
        <v>32623</v>
      </c>
      <c r="I13837" t="s">
        <v>17648</v>
      </c>
      <c r="J13837" t="s">
        <v>41319</v>
      </c>
      <c r="K13837" t="s">
        <v>42624</v>
      </c>
      <c r="M13837" t="s">
        <v>44780</v>
      </c>
      <c r="N13837" t="s">
        <v>47304</v>
      </c>
      <c r="O13837" t="s">
        <v>47305</v>
      </c>
      <c r="P13837">
        <v>0</v>
      </c>
      <c r="Q13837">
        <v>0</v>
      </c>
      <c r="R13837" t="s">
        <v>47321</v>
      </c>
      <c r="S13837" t="s">
        <v>48071</v>
      </c>
      <c r="T13837" t="s">
        <v>48987</v>
      </c>
      <c r="U13837" t="s">
        <v>58466</v>
      </c>
      <c r="W13837" t="s">
        <v>44780</v>
      </c>
      <c r="X13837" t="s">
        <v>47322</v>
      </c>
    </row>
    <row r="13838" spans="1:24">
      <c r="A13838">
        <f>HYPERLINK("https://www.philgeps.gov.ph/GEPSNONPILOT/Tender/SplashBidNoticeAbstractUI.aspx?menuIndex=3&amp;refID=7166963&amp;Result=3","7166963")</f>
        <v>0</v>
      </c>
      <c r="B13838" t="s">
        <v>3284</v>
      </c>
      <c r="C13838" t="s">
        <v>16944</v>
      </c>
      <c r="D13838" t="s">
        <v>18989</v>
      </c>
      <c r="E13838" t="s">
        <v>30785</v>
      </c>
      <c r="F13838" t="s">
        <v>32606</v>
      </c>
      <c r="G13838" t="s">
        <v>32613</v>
      </c>
      <c r="H13838" t="s">
        <v>32623</v>
      </c>
      <c r="I13838" t="s">
        <v>17648</v>
      </c>
      <c r="J13838" t="s">
        <v>32772</v>
      </c>
      <c r="K13838" t="s">
        <v>42673</v>
      </c>
      <c r="M13838" t="s">
        <v>46520</v>
      </c>
      <c r="N13838" t="s">
        <v>47304</v>
      </c>
      <c r="O13838" t="s">
        <v>47305</v>
      </c>
      <c r="P13838">
        <v>0</v>
      </c>
      <c r="Q13838">
        <v>0</v>
      </c>
      <c r="R13838" t="s">
        <v>47321</v>
      </c>
      <c r="S13838" t="s">
        <v>48071</v>
      </c>
      <c r="T13838" t="s">
        <v>49062</v>
      </c>
      <c r="U13838" t="s">
        <v>60986</v>
      </c>
      <c r="W13838" t="s">
        <v>46520</v>
      </c>
      <c r="X13838" t="s">
        <v>47322</v>
      </c>
    </row>
    <row r="13839" spans="1:24">
      <c r="A13839">
        <f>HYPERLINK("https://www.philgeps.gov.ph/GEPSNONPILOT/Tender/SplashBidNoticeAbstractUI.aspx?menuIndex=3&amp;refID=7167135&amp;Result=3","7167135")</f>
        <v>0</v>
      </c>
      <c r="B13839" t="s">
        <v>2119</v>
      </c>
      <c r="C13839" t="s">
        <v>16945</v>
      </c>
      <c r="D13839" t="s">
        <v>18993</v>
      </c>
      <c r="E13839" t="s">
        <v>30786</v>
      </c>
      <c r="F13839" t="s">
        <v>32607</v>
      </c>
      <c r="G13839" t="s">
        <v>32613</v>
      </c>
      <c r="H13839" t="s">
        <v>14201</v>
      </c>
      <c r="I13839" t="s">
        <v>32633</v>
      </c>
      <c r="J13839" t="s">
        <v>41320</v>
      </c>
      <c r="K13839" t="s">
        <v>42631</v>
      </c>
      <c r="M13839" t="s">
        <v>45206</v>
      </c>
      <c r="N13839" t="s">
        <v>47304</v>
      </c>
      <c r="O13839" t="s">
        <v>47305</v>
      </c>
      <c r="P13839">
        <v>0</v>
      </c>
      <c r="Q13839">
        <v>2</v>
      </c>
      <c r="R13839" t="s">
        <v>47321</v>
      </c>
      <c r="S13839" t="s">
        <v>48071</v>
      </c>
      <c r="T13839" t="s">
        <v>49053</v>
      </c>
      <c r="U13839" t="s">
        <v>60987</v>
      </c>
      <c r="V13839" t="s">
        <v>63251</v>
      </c>
      <c r="W13839" t="s">
        <v>45206</v>
      </c>
      <c r="X13839" t="s">
        <v>47322</v>
      </c>
    </row>
    <row r="13840" spans="1:24">
      <c r="A13840">
        <f>HYPERLINK("https://www.philgeps.gov.ph/GEPSNONPILOT/Tender/SplashBidNoticeAbstractUI.aspx?menuIndex=3&amp;refID=7166675&amp;Result=3","7166675")</f>
        <v>0</v>
      </c>
      <c r="B13840" t="s">
        <v>899</v>
      </c>
      <c r="C13840" t="s">
        <v>16946</v>
      </c>
      <c r="E13840" t="s">
        <v>30787</v>
      </c>
      <c r="F13840" t="s">
        <v>32606</v>
      </c>
      <c r="G13840" t="s">
        <v>32613</v>
      </c>
      <c r="H13840" t="s">
        <v>14201</v>
      </c>
      <c r="I13840" t="s">
        <v>17648</v>
      </c>
      <c r="J13840" t="s">
        <v>41321</v>
      </c>
      <c r="K13840" t="s">
        <v>42624</v>
      </c>
      <c r="M13840" t="s">
        <v>44351</v>
      </c>
      <c r="N13840" t="s">
        <v>47304</v>
      </c>
      <c r="O13840" t="s">
        <v>47305</v>
      </c>
      <c r="P13840">
        <v>0</v>
      </c>
      <c r="Q13840">
        <v>3</v>
      </c>
      <c r="R13840" t="s">
        <v>47321</v>
      </c>
      <c r="S13840" t="s">
        <v>48071</v>
      </c>
      <c r="T13840" t="s">
        <v>49023</v>
      </c>
      <c r="U13840" t="s">
        <v>60988</v>
      </c>
      <c r="W13840" t="s">
        <v>44351</v>
      </c>
      <c r="X13840" t="s">
        <v>47322</v>
      </c>
    </row>
    <row r="13841" spans="1:24">
      <c r="A13841">
        <f>HYPERLINK("https://www.philgeps.gov.ph/GEPSNONPILOT/Tender/SplashBidNoticeAbstractUI.aspx?menuIndex=3&amp;refID=7166933&amp;Result=3","7166933")</f>
        <v>0</v>
      </c>
      <c r="B13841" t="s">
        <v>940</v>
      </c>
      <c r="C13841" t="s">
        <v>16947</v>
      </c>
      <c r="D13841" t="s">
        <v>19024</v>
      </c>
      <c r="E13841" t="s">
        <v>30788</v>
      </c>
      <c r="F13841" t="s">
        <v>32606</v>
      </c>
      <c r="G13841" t="s">
        <v>32613</v>
      </c>
      <c r="H13841" t="s">
        <v>14201</v>
      </c>
      <c r="I13841" t="s">
        <v>6931</v>
      </c>
      <c r="J13841" t="s">
        <v>41322</v>
      </c>
      <c r="K13841" t="s">
        <v>42623</v>
      </c>
      <c r="M13841" t="s">
        <v>43881</v>
      </c>
      <c r="N13841" t="s">
        <v>47304</v>
      </c>
      <c r="O13841" t="s">
        <v>47305</v>
      </c>
      <c r="P13841">
        <v>0</v>
      </c>
      <c r="Q13841">
        <v>0</v>
      </c>
      <c r="R13841" t="s">
        <v>47321</v>
      </c>
      <c r="S13841" t="s">
        <v>48071</v>
      </c>
      <c r="T13841" t="s">
        <v>49023</v>
      </c>
      <c r="U13841" t="s">
        <v>60989</v>
      </c>
      <c r="W13841" t="s">
        <v>43881</v>
      </c>
      <c r="X13841" t="s">
        <v>47322</v>
      </c>
    </row>
    <row r="13842" spans="1:24">
      <c r="A13842">
        <f>HYPERLINK("https://www.philgeps.gov.ph/GEPSNONPILOT/Tender/SplashBidNoticeAbstractUI.aspx?menuIndex=3&amp;refID=7166820&amp;Result=3","7166820")</f>
        <v>0</v>
      </c>
      <c r="B13842" t="s">
        <v>726</v>
      </c>
      <c r="C13842" t="s">
        <v>16948</v>
      </c>
      <c r="D13842" t="s">
        <v>19009</v>
      </c>
      <c r="E13842" t="s">
        <v>30789</v>
      </c>
      <c r="F13842" t="s">
        <v>32606</v>
      </c>
      <c r="G13842" t="s">
        <v>32613</v>
      </c>
      <c r="H13842" t="s">
        <v>14201</v>
      </c>
      <c r="I13842" t="s">
        <v>32633</v>
      </c>
      <c r="J13842" t="s">
        <v>41323</v>
      </c>
      <c r="K13842" t="s">
        <v>42623</v>
      </c>
      <c r="M13842" t="s">
        <v>46884</v>
      </c>
      <c r="N13842" t="s">
        <v>47304</v>
      </c>
      <c r="O13842" t="s">
        <v>47305</v>
      </c>
      <c r="P13842">
        <v>0</v>
      </c>
      <c r="Q13842">
        <v>5</v>
      </c>
      <c r="R13842" t="s">
        <v>47321</v>
      </c>
      <c r="S13842" t="s">
        <v>48071</v>
      </c>
      <c r="T13842" t="s">
        <v>49060</v>
      </c>
      <c r="U13842" t="s">
        <v>60990</v>
      </c>
      <c r="V13842" t="s">
        <v>62846</v>
      </c>
      <c r="W13842" t="s">
        <v>46884</v>
      </c>
      <c r="X13842" t="s">
        <v>47322</v>
      </c>
    </row>
    <row r="13843" spans="1:24">
      <c r="A13843">
        <f>HYPERLINK("https://www.philgeps.gov.ph/GEPSNONPILOT/Tender/SplashBidNoticeAbstractUI.aspx?menuIndex=3&amp;refID=7167113&amp;Result=3","7167113")</f>
        <v>0</v>
      </c>
      <c r="B13843" t="s">
        <v>810</v>
      </c>
      <c r="C13843" t="s">
        <v>16949</v>
      </c>
      <c r="D13843" t="s">
        <v>19013</v>
      </c>
      <c r="E13843" t="s">
        <v>30790</v>
      </c>
      <c r="F13843" t="s">
        <v>32606</v>
      </c>
      <c r="G13843" t="s">
        <v>32613</v>
      </c>
      <c r="H13843" t="s">
        <v>32623</v>
      </c>
      <c r="I13843" t="s">
        <v>17648</v>
      </c>
      <c r="J13843" t="s">
        <v>41324</v>
      </c>
      <c r="K13843" t="s">
        <v>42624</v>
      </c>
      <c r="M13843" t="s">
        <v>44780</v>
      </c>
      <c r="N13843" t="s">
        <v>47304</v>
      </c>
      <c r="O13843" t="s">
        <v>47305</v>
      </c>
      <c r="P13843">
        <v>0</v>
      </c>
      <c r="Q13843">
        <v>0</v>
      </c>
      <c r="R13843" t="s">
        <v>47321</v>
      </c>
      <c r="S13843" t="s">
        <v>48071</v>
      </c>
      <c r="T13843" t="s">
        <v>48987</v>
      </c>
      <c r="U13843" t="s">
        <v>60991</v>
      </c>
      <c r="W13843" t="s">
        <v>44780</v>
      </c>
      <c r="X13843" t="s">
        <v>47322</v>
      </c>
    </row>
    <row r="13844" spans="1:24">
      <c r="A13844">
        <f>HYPERLINK("https://www.philgeps.gov.ph/GEPSNONPILOT/Tender/SplashBidNoticeAbstractUI.aspx?menuIndex=3&amp;refID=7167034&amp;Result=3","7167034")</f>
        <v>0</v>
      </c>
      <c r="B13844" t="s">
        <v>257</v>
      </c>
      <c r="C13844" t="s">
        <v>16950</v>
      </c>
      <c r="D13844" t="s">
        <v>19019</v>
      </c>
      <c r="E13844" t="s">
        <v>30791</v>
      </c>
      <c r="F13844" t="s">
        <v>32606</v>
      </c>
      <c r="G13844" t="s">
        <v>32613</v>
      </c>
      <c r="H13844" t="s">
        <v>32623</v>
      </c>
      <c r="I13844" t="s">
        <v>17648</v>
      </c>
      <c r="J13844" t="s">
        <v>41325</v>
      </c>
      <c r="K13844" t="s">
        <v>42683</v>
      </c>
      <c r="M13844" t="s">
        <v>43158</v>
      </c>
      <c r="N13844" t="s">
        <v>47304</v>
      </c>
      <c r="O13844" t="s">
        <v>47305</v>
      </c>
      <c r="P13844">
        <v>0</v>
      </c>
      <c r="Q13844">
        <v>0</v>
      </c>
      <c r="R13844" t="s">
        <v>47321</v>
      </c>
      <c r="S13844" t="s">
        <v>48071</v>
      </c>
      <c r="T13844" t="s">
        <v>48987</v>
      </c>
      <c r="U13844" t="s">
        <v>60309</v>
      </c>
      <c r="W13844" t="s">
        <v>43158</v>
      </c>
      <c r="X13844" t="s">
        <v>47322</v>
      </c>
    </row>
    <row r="13845" spans="1:24">
      <c r="A13845">
        <f>HYPERLINK("https://www.philgeps.gov.ph/GEPSNONPILOT/Tender/SplashBidNoticeAbstractUI.aspx?menuIndex=3&amp;refID=7167099&amp;Result=3","7167099")</f>
        <v>0</v>
      </c>
      <c r="B13845" t="s">
        <v>1562</v>
      </c>
      <c r="C13845" t="s">
        <v>16951</v>
      </c>
      <c r="D13845" t="s">
        <v>18995</v>
      </c>
      <c r="E13845" t="s">
        <v>30792</v>
      </c>
      <c r="F13845" t="s">
        <v>32606</v>
      </c>
      <c r="G13845" t="s">
        <v>32613</v>
      </c>
      <c r="H13845" t="s">
        <v>32623</v>
      </c>
      <c r="I13845" t="s">
        <v>17648</v>
      </c>
      <c r="J13845" t="s">
        <v>32772</v>
      </c>
      <c r="K13845" t="s">
        <v>42631</v>
      </c>
      <c r="M13845" t="s">
        <v>44569</v>
      </c>
      <c r="N13845" t="s">
        <v>47304</v>
      </c>
      <c r="O13845" t="s">
        <v>47305</v>
      </c>
      <c r="P13845">
        <v>0</v>
      </c>
      <c r="Q13845">
        <v>2</v>
      </c>
      <c r="R13845" t="s">
        <v>47321</v>
      </c>
      <c r="S13845" t="s">
        <v>48071</v>
      </c>
      <c r="T13845" t="s">
        <v>49108</v>
      </c>
      <c r="U13845" t="s">
        <v>60965</v>
      </c>
      <c r="W13845" t="s">
        <v>44569</v>
      </c>
      <c r="X13845" t="s">
        <v>47322</v>
      </c>
    </row>
    <row r="13846" spans="1:24">
      <c r="A13846">
        <f>HYPERLINK("https://www.philgeps.gov.ph/GEPSNONPILOT/Tender/SplashBidNoticeAbstractUI.aspx?menuIndex=3&amp;refID=7167057&amp;Result=3","7167057")</f>
        <v>0</v>
      </c>
      <c r="B13846" t="s">
        <v>1327</v>
      </c>
      <c r="C13846" t="s">
        <v>16952</v>
      </c>
      <c r="D13846" t="s">
        <v>19018</v>
      </c>
      <c r="E13846" t="s">
        <v>20525</v>
      </c>
      <c r="F13846" t="s">
        <v>32606</v>
      </c>
      <c r="G13846" t="s">
        <v>32613</v>
      </c>
      <c r="H13846" t="s">
        <v>32623</v>
      </c>
      <c r="I13846" t="s">
        <v>17648</v>
      </c>
      <c r="J13846" t="s">
        <v>41326</v>
      </c>
      <c r="K13846" t="s">
        <v>42645</v>
      </c>
      <c r="M13846" t="s">
        <v>44301</v>
      </c>
      <c r="N13846" t="s">
        <v>47304</v>
      </c>
      <c r="O13846" t="s">
        <v>47305</v>
      </c>
      <c r="P13846">
        <v>0</v>
      </c>
      <c r="Q13846">
        <v>5</v>
      </c>
      <c r="R13846" t="s">
        <v>47321</v>
      </c>
      <c r="S13846" t="s">
        <v>48071</v>
      </c>
      <c r="T13846" t="s">
        <v>48987</v>
      </c>
      <c r="U13846" t="s">
        <v>60992</v>
      </c>
      <c r="W13846" t="s">
        <v>44301</v>
      </c>
      <c r="X13846" t="s">
        <v>47322</v>
      </c>
    </row>
    <row r="13847" spans="1:24">
      <c r="A13847">
        <f>HYPERLINK("https://www.philgeps.gov.ph/GEPSNONPILOT/Tender/SplashBidNoticeAbstractUI.aspx?menuIndex=3&amp;refID=7167053&amp;Result=3","7167053")</f>
        <v>0</v>
      </c>
      <c r="B13847" t="s">
        <v>940</v>
      </c>
      <c r="C13847" t="s">
        <v>16953</v>
      </c>
      <c r="D13847" t="s">
        <v>19024</v>
      </c>
      <c r="E13847" t="s">
        <v>30793</v>
      </c>
      <c r="F13847" t="s">
        <v>32606</v>
      </c>
      <c r="G13847" t="s">
        <v>32613</v>
      </c>
      <c r="H13847" t="s">
        <v>14201</v>
      </c>
      <c r="I13847" t="s">
        <v>13131</v>
      </c>
      <c r="J13847" t="s">
        <v>32789</v>
      </c>
      <c r="K13847" t="s">
        <v>42623</v>
      </c>
      <c r="M13847" t="s">
        <v>43881</v>
      </c>
      <c r="N13847" t="s">
        <v>47304</v>
      </c>
      <c r="O13847" t="s">
        <v>47305</v>
      </c>
      <c r="P13847">
        <v>0</v>
      </c>
      <c r="Q13847">
        <v>4</v>
      </c>
      <c r="R13847" t="s">
        <v>47321</v>
      </c>
      <c r="S13847" t="s">
        <v>48071</v>
      </c>
      <c r="T13847" t="s">
        <v>48986</v>
      </c>
      <c r="U13847" t="s">
        <v>60993</v>
      </c>
      <c r="W13847" t="s">
        <v>43881</v>
      </c>
      <c r="X13847" t="s">
        <v>47322</v>
      </c>
    </row>
    <row r="13848" spans="1:24">
      <c r="A13848">
        <f>HYPERLINK("https://www.philgeps.gov.ph/GEPSNONPILOT/Tender/SplashBidNoticeAbstractUI.aspx?menuIndex=3&amp;refID=7167134&amp;Result=3","7167134")</f>
        <v>0</v>
      </c>
      <c r="B13848" t="s">
        <v>381</v>
      </c>
      <c r="C13848" t="s">
        <v>16954</v>
      </c>
      <c r="E13848" t="s">
        <v>30794</v>
      </c>
      <c r="F13848" t="s">
        <v>32606</v>
      </c>
      <c r="G13848" t="s">
        <v>32613</v>
      </c>
      <c r="H13848" t="s">
        <v>14201</v>
      </c>
      <c r="I13848" t="s">
        <v>7677</v>
      </c>
      <c r="J13848" t="s">
        <v>41327</v>
      </c>
      <c r="K13848" t="s">
        <v>42624</v>
      </c>
      <c r="M13848" t="s">
        <v>46996</v>
      </c>
      <c r="N13848" t="s">
        <v>47304</v>
      </c>
      <c r="O13848" t="s">
        <v>47305</v>
      </c>
      <c r="Q13848">
        <v>22</v>
      </c>
      <c r="R13848" t="s">
        <v>47321</v>
      </c>
      <c r="S13848" t="s">
        <v>48124</v>
      </c>
      <c r="T13848" t="s">
        <v>48986</v>
      </c>
      <c r="U13848" t="s">
        <v>60994</v>
      </c>
      <c r="W13848" t="s">
        <v>46996</v>
      </c>
      <c r="X13848" t="s">
        <v>47322</v>
      </c>
    </row>
    <row r="13849" spans="1:24">
      <c r="A13849">
        <f>HYPERLINK("https://www.philgeps.gov.ph/GEPSNONPILOT/Tender/SplashBidNoticeAbstractUI.aspx?menuIndex=3&amp;refID=7167033&amp;Result=3","7167033")</f>
        <v>0</v>
      </c>
      <c r="B13849" t="s">
        <v>810</v>
      </c>
      <c r="C13849" t="s">
        <v>16955</v>
      </c>
      <c r="D13849" t="s">
        <v>19013</v>
      </c>
      <c r="E13849" t="s">
        <v>30795</v>
      </c>
      <c r="F13849" t="s">
        <v>32606</v>
      </c>
      <c r="G13849" t="s">
        <v>32613</v>
      </c>
      <c r="H13849" t="s">
        <v>32623</v>
      </c>
      <c r="I13849" t="s">
        <v>17648</v>
      </c>
      <c r="J13849" t="s">
        <v>41328</v>
      </c>
      <c r="K13849" t="s">
        <v>42624</v>
      </c>
      <c r="M13849" t="s">
        <v>44780</v>
      </c>
      <c r="N13849" t="s">
        <v>47304</v>
      </c>
      <c r="O13849" t="s">
        <v>47305</v>
      </c>
      <c r="P13849">
        <v>0</v>
      </c>
      <c r="Q13849">
        <v>1</v>
      </c>
      <c r="R13849" t="s">
        <v>47321</v>
      </c>
      <c r="S13849" t="s">
        <v>48071</v>
      </c>
      <c r="T13849" t="s">
        <v>48987</v>
      </c>
      <c r="U13849" t="s">
        <v>60995</v>
      </c>
      <c r="W13849" t="s">
        <v>44780</v>
      </c>
      <c r="X13849" t="s">
        <v>47322</v>
      </c>
    </row>
    <row r="13850" spans="1:24">
      <c r="A13850">
        <f>HYPERLINK("https://www.philgeps.gov.ph/GEPSNONPILOT/Tender/SplashBidNoticeAbstractUI.aspx?menuIndex=3&amp;refID=7167007&amp;Result=3","7167007")</f>
        <v>0</v>
      </c>
      <c r="B13850" t="s">
        <v>1327</v>
      </c>
      <c r="C13850" t="s">
        <v>16956</v>
      </c>
      <c r="D13850" t="s">
        <v>19018</v>
      </c>
      <c r="E13850" t="s">
        <v>19370</v>
      </c>
      <c r="F13850" t="s">
        <v>32606</v>
      </c>
      <c r="G13850" t="s">
        <v>32613</v>
      </c>
      <c r="H13850" t="s">
        <v>14201</v>
      </c>
      <c r="I13850" t="s">
        <v>32660</v>
      </c>
      <c r="J13850" t="s">
        <v>34557</v>
      </c>
      <c r="K13850" t="s">
        <v>42631</v>
      </c>
      <c r="M13850" t="s">
        <v>44301</v>
      </c>
      <c r="N13850" t="s">
        <v>47304</v>
      </c>
      <c r="O13850" t="s">
        <v>47305</v>
      </c>
      <c r="P13850">
        <v>0</v>
      </c>
      <c r="Q13850">
        <v>0</v>
      </c>
      <c r="R13850" t="s">
        <v>47321</v>
      </c>
      <c r="S13850" t="s">
        <v>48071</v>
      </c>
      <c r="T13850" t="s">
        <v>48987</v>
      </c>
      <c r="U13850" t="s">
        <v>60996</v>
      </c>
      <c r="W13850" t="s">
        <v>44301</v>
      </c>
      <c r="X13850" t="s">
        <v>47322</v>
      </c>
    </row>
    <row r="13851" spans="1:24">
      <c r="A13851">
        <f>HYPERLINK("https://www.philgeps.gov.ph/GEPSNONPILOT/Tender/SplashBidNoticeAbstractUI.aspx?menuIndex=3&amp;refID=7167126&amp;Result=3","7167126")</f>
        <v>0</v>
      </c>
      <c r="B13851" t="s">
        <v>940</v>
      </c>
      <c r="C13851" t="s">
        <v>16957</v>
      </c>
      <c r="D13851" t="s">
        <v>19024</v>
      </c>
      <c r="E13851" t="s">
        <v>30796</v>
      </c>
      <c r="F13851" t="s">
        <v>32606</v>
      </c>
      <c r="G13851" t="s">
        <v>32613</v>
      </c>
      <c r="H13851" t="s">
        <v>14201</v>
      </c>
      <c r="I13851" t="s">
        <v>32711</v>
      </c>
      <c r="J13851" t="s">
        <v>33650</v>
      </c>
      <c r="K13851" t="s">
        <v>42623</v>
      </c>
      <c r="M13851" t="s">
        <v>43881</v>
      </c>
      <c r="N13851" t="s">
        <v>47304</v>
      </c>
      <c r="O13851" t="s">
        <v>47305</v>
      </c>
      <c r="P13851">
        <v>0</v>
      </c>
      <c r="Q13851">
        <v>1</v>
      </c>
      <c r="R13851" t="s">
        <v>47321</v>
      </c>
      <c r="S13851" t="s">
        <v>48071</v>
      </c>
      <c r="T13851" t="s">
        <v>49160</v>
      </c>
      <c r="U13851" t="s">
        <v>60997</v>
      </c>
      <c r="W13851" t="s">
        <v>43881</v>
      </c>
      <c r="X13851" t="s">
        <v>47322</v>
      </c>
    </row>
    <row r="13852" spans="1:24">
      <c r="A13852">
        <f>HYPERLINK("https://www.philgeps.gov.ph/GEPSNONPILOT/Tender/SplashBidNoticeAbstractUI.aspx?menuIndex=3&amp;refID=7167003&amp;Result=3","7167003")</f>
        <v>0</v>
      </c>
      <c r="B13852" t="s">
        <v>1562</v>
      </c>
      <c r="C13852" t="s">
        <v>16958</v>
      </c>
      <c r="D13852" t="s">
        <v>18995</v>
      </c>
      <c r="E13852" t="s">
        <v>30797</v>
      </c>
      <c r="F13852" t="s">
        <v>32606</v>
      </c>
      <c r="G13852" t="s">
        <v>32613</v>
      </c>
      <c r="H13852" t="s">
        <v>32623</v>
      </c>
      <c r="I13852" t="s">
        <v>17648</v>
      </c>
      <c r="J13852" t="s">
        <v>34128</v>
      </c>
      <c r="K13852" t="s">
        <v>42631</v>
      </c>
      <c r="M13852" t="s">
        <v>44569</v>
      </c>
      <c r="N13852" t="s">
        <v>47304</v>
      </c>
      <c r="O13852" t="s">
        <v>47305</v>
      </c>
      <c r="P13852">
        <v>0</v>
      </c>
      <c r="Q13852">
        <v>2</v>
      </c>
      <c r="R13852" t="s">
        <v>47321</v>
      </c>
      <c r="S13852" t="s">
        <v>48071</v>
      </c>
      <c r="T13852" t="s">
        <v>49108</v>
      </c>
      <c r="U13852" t="s">
        <v>60965</v>
      </c>
      <c r="W13852" t="s">
        <v>44569</v>
      </c>
      <c r="X13852" t="s">
        <v>47322</v>
      </c>
    </row>
    <row r="13853" spans="1:24">
      <c r="A13853">
        <f>HYPERLINK("https://www.philgeps.gov.ph/GEPSNONPILOT/Tender/SplashBidNoticeAbstractUI.aspx?menuIndex=3&amp;refID=7166997&amp;Result=3","7166997")</f>
        <v>0</v>
      </c>
      <c r="B13853" t="s">
        <v>433</v>
      </c>
      <c r="C13853" t="s">
        <v>16959</v>
      </c>
      <c r="D13853" t="s">
        <v>19012</v>
      </c>
      <c r="E13853" t="s">
        <v>30798</v>
      </c>
      <c r="F13853" t="s">
        <v>32606</v>
      </c>
      <c r="G13853" t="s">
        <v>32614</v>
      </c>
      <c r="H13853" t="s">
        <v>14201</v>
      </c>
      <c r="I13853" t="s">
        <v>6298</v>
      </c>
      <c r="J13853" t="s">
        <v>32781</v>
      </c>
      <c r="K13853" t="s">
        <v>42631</v>
      </c>
      <c r="M13853" t="s">
        <v>43339</v>
      </c>
      <c r="N13853" t="s">
        <v>47304</v>
      </c>
      <c r="O13853" t="s">
        <v>47305</v>
      </c>
      <c r="Q13853">
        <v>3</v>
      </c>
      <c r="R13853" t="s">
        <v>47321</v>
      </c>
      <c r="S13853" t="s">
        <v>48125</v>
      </c>
      <c r="T13853" t="s">
        <v>48987</v>
      </c>
      <c r="U13853" t="s">
        <v>60998</v>
      </c>
      <c r="W13853" t="s">
        <v>43339</v>
      </c>
      <c r="X13853" t="s">
        <v>47322</v>
      </c>
    </row>
    <row r="13854" spans="1:24">
      <c r="A13854">
        <f>HYPERLINK("https://www.philgeps.gov.ph/GEPSNONPILOT/Tender/SplashBidNoticeAbstractUI.aspx?menuIndex=3&amp;refID=7167137&amp;Result=3","7167137")</f>
        <v>0</v>
      </c>
      <c r="B13854" t="s">
        <v>3690</v>
      </c>
      <c r="C13854" t="s">
        <v>16960</v>
      </c>
      <c r="D13854" t="s">
        <v>18988</v>
      </c>
      <c r="E13854" t="s">
        <v>30799</v>
      </c>
      <c r="F13854" t="s">
        <v>32606</v>
      </c>
      <c r="G13854" t="s">
        <v>32613</v>
      </c>
      <c r="H13854" t="s">
        <v>14201</v>
      </c>
      <c r="I13854" t="s">
        <v>32673</v>
      </c>
      <c r="J13854" t="s">
        <v>33257</v>
      </c>
      <c r="K13854" t="s">
        <v>42625</v>
      </c>
      <c r="M13854" t="s">
        <v>46997</v>
      </c>
      <c r="N13854" t="s">
        <v>47304</v>
      </c>
      <c r="O13854" t="s">
        <v>47305</v>
      </c>
      <c r="P13854">
        <v>0</v>
      </c>
      <c r="Q13854">
        <v>0</v>
      </c>
      <c r="R13854" t="s">
        <v>47321</v>
      </c>
      <c r="S13854" t="s">
        <v>48071</v>
      </c>
      <c r="T13854" t="s">
        <v>49210</v>
      </c>
      <c r="U13854" t="s">
        <v>60999</v>
      </c>
      <c r="W13854" t="s">
        <v>46997</v>
      </c>
      <c r="X13854" t="s">
        <v>47322</v>
      </c>
    </row>
    <row r="13855" spans="1:24">
      <c r="A13855">
        <f>HYPERLINK("https://www.philgeps.gov.ph/GEPSNONPILOT/Tender/SplashBidNoticeAbstractUI.aspx?menuIndex=3&amp;refID=7166908&amp;Result=3","7166908")</f>
        <v>0</v>
      </c>
      <c r="B13855" t="s">
        <v>3284</v>
      </c>
      <c r="C13855" t="s">
        <v>16961</v>
      </c>
      <c r="D13855" t="s">
        <v>18989</v>
      </c>
      <c r="E13855" t="s">
        <v>30800</v>
      </c>
      <c r="F13855" t="s">
        <v>32606</v>
      </c>
      <c r="G13855" t="s">
        <v>32613</v>
      </c>
      <c r="H13855" t="s">
        <v>32623</v>
      </c>
      <c r="I13855" t="s">
        <v>17648</v>
      </c>
      <c r="J13855" t="s">
        <v>32772</v>
      </c>
      <c r="K13855" t="s">
        <v>42673</v>
      </c>
      <c r="M13855" t="s">
        <v>46520</v>
      </c>
      <c r="N13855" t="s">
        <v>47304</v>
      </c>
      <c r="O13855" t="s">
        <v>47305</v>
      </c>
      <c r="P13855">
        <v>0</v>
      </c>
      <c r="Q13855">
        <v>0</v>
      </c>
      <c r="R13855" t="s">
        <v>47321</v>
      </c>
      <c r="S13855" t="s">
        <v>48071</v>
      </c>
      <c r="T13855" t="s">
        <v>49062</v>
      </c>
      <c r="U13855" t="s">
        <v>61000</v>
      </c>
      <c r="W13855" t="s">
        <v>46520</v>
      </c>
      <c r="X13855" t="s">
        <v>47322</v>
      </c>
    </row>
    <row r="13856" spans="1:24">
      <c r="A13856">
        <f>HYPERLINK("https://www.philgeps.gov.ph/GEPSNONPILOT/Tender/SplashBidNoticeAbstractUI.aspx?menuIndex=3&amp;refID=7167083&amp;Result=3","7167083")</f>
        <v>0</v>
      </c>
      <c r="B13856" t="s">
        <v>810</v>
      </c>
      <c r="C13856" t="s">
        <v>16962</v>
      </c>
      <c r="D13856" t="s">
        <v>19013</v>
      </c>
      <c r="E13856" t="s">
        <v>30801</v>
      </c>
      <c r="F13856" t="s">
        <v>32606</v>
      </c>
      <c r="G13856" t="s">
        <v>32613</v>
      </c>
      <c r="H13856" t="s">
        <v>32623</v>
      </c>
      <c r="I13856" t="s">
        <v>17648</v>
      </c>
      <c r="J13856" t="s">
        <v>41329</v>
      </c>
      <c r="K13856" t="s">
        <v>42624</v>
      </c>
      <c r="M13856" t="s">
        <v>44780</v>
      </c>
      <c r="N13856" t="s">
        <v>47304</v>
      </c>
      <c r="O13856" t="s">
        <v>47305</v>
      </c>
      <c r="P13856">
        <v>0</v>
      </c>
      <c r="Q13856">
        <v>0</v>
      </c>
      <c r="R13856" t="s">
        <v>47321</v>
      </c>
      <c r="S13856" t="s">
        <v>48071</v>
      </c>
      <c r="T13856" t="s">
        <v>48987</v>
      </c>
      <c r="U13856" t="s">
        <v>61001</v>
      </c>
      <c r="W13856" t="s">
        <v>44780</v>
      </c>
      <c r="X13856" t="s">
        <v>47322</v>
      </c>
    </row>
    <row r="13857" spans="1:24">
      <c r="A13857">
        <f>HYPERLINK("https://www.philgeps.gov.ph/GEPSNONPILOT/Tender/SplashBidNoticeAbstractUI.aspx?menuIndex=3&amp;refID=7167071&amp;Result=3","7167071")</f>
        <v>0</v>
      </c>
      <c r="B13857" t="s">
        <v>381</v>
      </c>
      <c r="C13857" t="s">
        <v>16963</v>
      </c>
      <c r="E13857" t="s">
        <v>30802</v>
      </c>
      <c r="F13857" t="s">
        <v>32606</v>
      </c>
      <c r="G13857" t="s">
        <v>32613</v>
      </c>
      <c r="H13857" t="s">
        <v>14201</v>
      </c>
      <c r="I13857" t="s">
        <v>7677</v>
      </c>
      <c r="J13857" t="s">
        <v>41330</v>
      </c>
      <c r="K13857" t="s">
        <v>42624</v>
      </c>
      <c r="M13857" t="s">
        <v>46996</v>
      </c>
      <c r="N13857" t="s">
        <v>47304</v>
      </c>
      <c r="O13857" t="s">
        <v>47305</v>
      </c>
      <c r="Q13857">
        <v>19</v>
      </c>
      <c r="R13857" t="s">
        <v>47321</v>
      </c>
      <c r="S13857" t="s">
        <v>48126</v>
      </c>
      <c r="T13857" t="s">
        <v>48986</v>
      </c>
      <c r="U13857" t="s">
        <v>60994</v>
      </c>
      <c r="W13857" t="s">
        <v>46996</v>
      </c>
      <c r="X13857" t="s">
        <v>47322</v>
      </c>
    </row>
    <row r="13858" spans="1:24">
      <c r="A13858">
        <f>HYPERLINK("https://www.philgeps.gov.ph/GEPSNONPILOT/Tender/SplashBidNoticeAbstractUI.aspx?menuIndex=3&amp;refID=7167260&amp;Result=3","7167260")</f>
        <v>0</v>
      </c>
      <c r="B13858" t="s">
        <v>1953</v>
      </c>
      <c r="C13858" t="s">
        <v>16964</v>
      </c>
      <c r="D13858" t="s">
        <v>19002</v>
      </c>
      <c r="E13858" t="s">
        <v>30803</v>
      </c>
      <c r="F13858" t="s">
        <v>32606</v>
      </c>
      <c r="G13858" t="s">
        <v>32613</v>
      </c>
      <c r="H13858" t="s">
        <v>14201</v>
      </c>
      <c r="I13858" t="s">
        <v>4114</v>
      </c>
      <c r="J13858" t="s">
        <v>41331</v>
      </c>
      <c r="K13858" t="s">
        <v>42636</v>
      </c>
      <c r="M13858" t="s">
        <v>45014</v>
      </c>
      <c r="N13858" t="s">
        <v>47304</v>
      </c>
      <c r="O13858" t="s">
        <v>47305</v>
      </c>
      <c r="P13858">
        <v>0</v>
      </c>
      <c r="Q13858">
        <v>4</v>
      </c>
      <c r="R13858" t="s">
        <v>47321</v>
      </c>
      <c r="S13858" t="s">
        <v>48071</v>
      </c>
      <c r="T13858" t="s">
        <v>48986</v>
      </c>
      <c r="U13858" t="s">
        <v>61002</v>
      </c>
      <c r="W13858" t="s">
        <v>45014</v>
      </c>
      <c r="X13858" t="s">
        <v>47322</v>
      </c>
    </row>
    <row r="13859" spans="1:24">
      <c r="A13859">
        <f>HYPERLINK("https://www.philgeps.gov.ph/GEPSNONPILOT/Tender/SplashBidNoticeAbstractUI.aspx?menuIndex=3&amp;refID=7166939&amp;Result=3","7166939")</f>
        <v>0</v>
      </c>
      <c r="B13859" t="s">
        <v>1077</v>
      </c>
      <c r="C13859" t="s">
        <v>16965</v>
      </c>
      <c r="D13859" t="s">
        <v>19069</v>
      </c>
      <c r="E13859" t="s">
        <v>30804</v>
      </c>
      <c r="F13859" t="s">
        <v>32606</v>
      </c>
      <c r="G13859" t="s">
        <v>32613</v>
      </c>
      <c r="H13859" t="s">
        <v>14201</v>
      </c>
      <c r="I13859" t="s">
        <v>32700</v>
      </c>
      <c r="J13859" t="s">
        <v>41332</v>
      </c>
      <c r="K13859" t="s">
        <v>42639</v>
      </c>
      <c r="M13859" t="s">
        <v>46998</v>
      </c>
      <c r="N13859" t="s">
        <v>47304</v>
      </c>
      <c r="O13859" t="s">
        <v>47305</v>
      </c>
      <c r="Q13859">
        <v>32</v>
      </c>
      <c r="R13859" t="s">
        <v>47321</v>
      </c>
      <c r="S13859" t="s">
        <v>47507</v>
      </c>
      <c r="T13859" t="s">
        <v>49158</v>
      </c>
      <c r="U13859" t="s">
        <v>61003</v>
      </c>
      <c r="W13859" t="s">
        <v>46998</v>
      </c>
      <c r="X13859" t="s">
        <v>47322</v>
      </c>
    </row>
    <row r="13860" spans="1:24">
      <c r="A13860">
        <f>HYPERLINK("https://www.philgeps.gov.ph/GEPSNONPILOT/Tender/SplashBidNoticeAbstractUI.aspx?menuIndex=3&amp;refID=7167292&amp;Result=3","7167292")</f>
        <v>0</v>
      </c>
      <c r="B13860" t="s">
        <v>810</v>
      </c>
      <c r="C13860" t="s">
        <v>16966</v>
      </c>
      <c r="D13860" t="s">
        <v>19013</v>
      </c>
      <c r="E13860" t="s">
        <v>30805</v>
      </c>
      <c r="F13860" t="s">
        <v>32606</v>
      </c>
      <c r="G13860" t="s">
        <v>32613</v>
      </c>
      <c r="H13860" t="s">
        <v>14201</v>
      </c>
      <c r="I13860" t="s">
        <v>4678</v>
      </c>
      <c r="J13860" t="s">
        <v>41333</v>
      </c>
      <c r="K13860" t="s">
        <v>42624</v>
      </c>
      <c r="M13860" t="s">
        <v>43741</v>
      </c>
      <c r="N13860" t="s">
        <v>47304</v>
      </c>
      <c r="O13860" t="s">
        <v>47305</v>
      </c>
      <c r="P13860">
        <v>0</v>
      </c>
      <c r="Q13860">
        <v>5</v>
      </c>
      <c r="R13860" t="s">
        <v>47321</v>
      </c>
      <c r="S13860" t="s">
        <v>48071</v>
      </c>
      <c r="T13860" t="s">
        <v>48987</v>
      </c>
      <c r="U13860" t="s">
        <v>51044</v>
      </c>
      <c r="W13860" t="s">
        <v>43741</v>
      </c>
      <c r="X13860" t="s">
        <v>47322</v>
      </c>
    </row>
    <row r="13861" spans="1:24">
      <c r="A13861">
        <f>HYPERLINK("https://www.philgeps.gov.ph/GEPSNONPILOT/Tender/SplashBidNoticeAbstractUI.aspx?menuIndex=3&amp;refID=7167224&amp;Result=3","7167224")</f>
        <v>0</v>
      </c>
      <c r="B13861" t="s">
        <v>696</v>
      </c>
      <c r="C13861" t="s">
        <v>16967</v>
      </c>
      <c r="D13861" t="s">
        <v>19058</v>
      </c>
      <c r="E13861" t="s">
        <v>30806</v>
      </c>
      <c r="F13861" t="s">
        <v>32606</v>
      </c>
      <c r="G13861" t="s">
        <v>32617</v>
      </c>
      <c r="H13861" t="s">
        <v>14201</v>
      </c>
      <c r="I13861" t="s">
        <v>4678</v>
      </c>
      <c r="J13861" t="s">
        <v>34149</v>
      </c>
      <c r="K13861" t="s">
        <v>42627</v>
      </c>
      <c r="M13861" t="s">
        <v>45418</v>
      </c>
      <c r="N13861" t="s">
        <v>47304</v>
      </c>
      <c r="O13861" t="s">
        <v>47305</v>
      </c>
      <c r="Q13861">
        <v>11</v>
      </c>
      <c r="R13861" t="s">
        <v>47321</v>
      </c>
      <c r="S13861" t="s">
        <v>48127</v>
      </c>
      <c r="T13861" t="s">
        <v>49081</v>
      </c>
      <c r="U13861" t="s">
        <v>50770</v>
      </c>
      <c r="V13861" t="s">
        <v>64144</v>
      </c>
      <c r="W13861" t="s">
        <v>45418</v>
      </c>
      <c r="X13861" t="s">
        <v>47322</v>
      </c>
    </row>
    <row r="13862" spans="1:24">
      <c r="A13862">
        <f>HYPERLINK("https://www.philgeps.gov.ph/GEPSNONPILOT/Tender/SplashBidNoticeAbstractUI.aspx?menuIndex=3&amp;refID=7167216&amp;Result=3","7167216")</f>
        <v>0</v>
      </c>
      <c r="B13862" t="s">
        <v>810</v>
      </c>
      <c r="C13862" t="s">
        <v>16968</v>
      </c>
      <c r="D13862" t="s">
        <v>19013</v>
      </c>
      <c r="E13862" t="s">
        <v>30807</v>
      </c>
      <c r="F13862" t="s">
        <v>32606</v>
      </c>
      <c r="G13862" t="s">
        <v>32613</v>
      </c>
      <c r="H13862" t="s">
        <v>14201</v>
      </c>
      <c r="I13862" t="s">
        <v>4120</v>
      </c>
      <c r="J13862" t="s">
        <v>41334</v>
      </c>
      <c r="K13862" t="s">
        <v>42624</v>
      </c>
      <c r="M13862" t="s">
        <v>44780</v>
      </c>
      <c r="N13862" t="s">
        <v>47304</v>
      </c>
      <c r="O13862" t="s">
        <v>47305</v>
      </c>
      <c r="P13862">
        <v>0</v>
      </c>
      <c r="Q13862">
        <v>9</v>
      </c>
      <c r="R13862" t="s">
        <v>47321</v>
      </c>
      <c r="S13862" t="s">
        <v>48071</v>
      </c>
      <c r="T13862" t="s">
        <v>48987</v>
      </c>
      <c r="U13862" t="s">
        <v>61004</v>
      </c>
      <c r="W13862" t="s">
        <v>44780</v>
      </c>
      <c r="X13862" t="s">
        <v>47322</v>
      </c>
    </row>
    <row r="13863" spans="1:24">
      <c r="A13863">
        <f>HYPERLINK("https://www.philgeps.gov.ph/GEPSNONPILOT/Tender/SplashBidNoticeAbstractUI.aspx?menuIndex=3&amp;refID=7167012&amp;Result=3","7167012")</f>
        <v>0</v>
      </c>
      <c r="B13863" t="s">
        <v>1678</v>
      </c>
      <c r="C13863" t="s">
        <v>16969</v>
      </c>
      <c r="D13863" t="s">
        <v>18993</v>
      </c>
      <c r="E13863" t="s">
        <v>30808</v>
      </c>
      <c r="F13863" t="s">
        <v>32606</v>
      </c>
      <c r="G13863" t="s">
        <v>32613</v>
      </c>
      <c r="H13863" t="s">
        <v>14201</v>
      </c>
      <c r="I13863" t="s">
        <v>32656</v>
      </c>
      <c r="J13863" t="s">
        <v>32821</v>
      </c>
      <c r="K13863" t="s">
        <v>42631</v>
      </c>
      <c r="M13863" t="s">
        <v>44706</v>
      </c>
      <c r="N13863" t="s">
        <v>47304</v>
      </c>
      <c r="O13863" t="s">
        <v>47305</v>
      </c>
      <c r="Q13863">
        <v>18</v>
      </c>
      <c r="R13863" t="s">
        <v>47321</v>
      </c>
      <c r="S13863" t="s">
        <v>47837</v>
      </c>
      <c r="T13863" t="s">
        <v>49493</v>
      </c>
      <c r="U13863" t="s">
        <v>61005</v>
      </c>
      <c r="V13863" t="s">
        <v>63076</v>
      </c>
      <c r="W13863" t="s">
        <v>44706</v>
      </c>
      <c r="X13863" t="s">
        <v>47322</v>
      </c>
    </row>
    <row r="13864" spans="1:24">
      <c r="A13864">
        <f>HYPERLINK("https://www.philgeps.gov.ph/GEPSNONPILOT/Tender/SplashBidNoticeAbstractUI.aspx?menuIndex=3&amp;refID=7167199&amp;Result=3","7167199")</f>
        <v>0</v>
      </c>
      <c r="B13864" t="s">
        <v>381</v>
      </c>
      <c r="C13864" t="s">
        <v>16970</v>
      </c>
      <c r="E13864" t="s">
        <v>30809</v>
      </c>
      <c r="F13864" t="s">
        <v>32606</v>
      </c>
      <c r="G13864" t="s">
        <v>32613</v>
      </c>
      <c r="H13864" t="s">
        <v>14201</v>
      </c>
      <c r="I13864" t="s">
        <v>7677</v>
      </c>
      <c r="J13864" t="s">
        <v>41335</v>
      </c>
      <c r="K13864" t="s">
        <v>42624</v>
      </c>
      <c r="M13864" t="s">
        <v>46996</v>
      </c>
      <c r="N13864" t="s">
        <v>47304</v>
      </c>
      <c r="O13864" t="s">
        <v>47305</v>
      </c>
      <c r="Q13864">
        <v>20</v>
      </c>
      <c r="R13864" t="s">
        <v>47321</v>
      </c>
      <c r="S13864" t="s">
        <v>48128</v>
      </c>
      <c r="T13864" t="s">
        <v>48986</v>
      </c>
      <c r="U13864" t="s">
        <v>60994</v>
      </c>
      <c r="W13864" t="s">
        <v>46996</v>
      </c>
      <c r="X13864" t="s">
        <v>47322</v>
      </c>
    </row>
    <row r="13865" spans="1:24">
      <c r="A13865">
        <f>HYPERLINK("https://www.philgeps.gov.ph/GEPSNONPILOT/Tender/SplashBidNoticeAbstractUI.aspx?menuIndex=3&amp;refID=7167263&amp;Result=3","7167263")</f>
        <v>0</v>
      </c>
      <c r="B13865" t="s">
        <v>381</v>
      </c>
      <c r="C13865" t="s">
        <v>16971</v>
      </c>
      <c r="E13865" t="s">
        <v>30810</v>
      </c>
      <c r="F13865" t="s">
        <v>32606</v>
      </c>
      <c r="G13865" t="s">
        <v>32613</v>
      </c>
      <c r="H13865" t="s">
        <v>14201</v>
      </c>
      <c r="I13865" t="s">
        <v>7677</v>
      </c>
      <c r="J13865" t="s">
        <v>41336</v>
      </c>
      <c r="K13865" t="s">
        <v>42624</v>
      </c>
      <c r="M13865" t="s">
        <v>46996</v>
      </c>
      <c r="N13865" t="s">
        <v>47304</v>
      </c>
      <c r="O13865" t="s">
        <v>47305</v>
      </c>
      <c r="Q13865">
        <v>17</v>
      </c>
      <c r="R13865" t="s">
        <v>47321</v>
      </c>
      <c r="S13865" t="s">
        <v>47905</v>
      </c>
      <c r="T13865" t="s">
        <v>48986</v>
      </c>
      <c r="U13865" t="s">
        <v>60994</v>
      </c>
      <c r="W13865" t="s">
        <v>46996</v>
      </c>
      <c r="X13865" t="s">
        <v>47322</v>
      </c>
    </row>
    <row r="13866" spans="1:24">
      <c r="A13866">
        <f>HYPERLINK("https://www.philgeps.gov.ph/GEPSNONPILOT/Tender/SplashBidNoticeAbstractUI.aspx?menuIndex=3&amp;refID=7167194&amp;Result=3","7167194")</f>
        <v>0</v>
      </c>
      <c r="B13866" t="s">
        <v>3691</v>
      </c>
      <c r="C13866" t="s">
        <v>16972</v>
      </c>
      <c r="D13866" t="s">
        <v>18993</v>
      </c>
      <c r="E13866" t="s">
        <v>20168</v>
      </c>
      <c r="F13866" t="s">
        <v>32606</v>
      </c>
      <c r="G13866" t="s">
        <v>32613</v>
      </c>
      <c r="H13866" t="s">
        <v>14201</v>
      </c>
      <c r="I13866" t="s">
        <v>17648</v>
      </c>
      <c r="J13866" t="s">
        <v>33190</v>
      </c>
      <c r="K13866" t="s">
        <v>42767</v>
      </c>
      <c r="M13866" t="s">
        <v>46999</v>
      </c>
      <c r="N13866" t="s">
        <v>47304</v>
      </c>
      <c r="O13866" t="s">
        <v>47305</v>
      </c>
      <c r="P13866">
        <v>0</v>
      </c>
      <c r="Q13866">
        <v>15</v>
      </c>
      <c r="R13866" t="s">
        <v>47321</v>
      </c>
      <c r="S13866" t="s">
        <v>48071</v>
      </c>
      <c r="T13866" t="s">
        <v>48986</v>
      </c>
      <c r="U13866" t="s">
        <v>61006</v>
      </c>
      <c r="W13866" t="s">
        <v>46999</v>
      </c>
      <c r="X13866" t="s">
        <v>47322</v>
      </c>
    </row>
    <row r="13867" spans="1:24">
      <c r="A13867">
        <f>HYPERLINK("https://www.philgeps.gov.ph/GEPSNONPILOT/Tender/SplashBidNoticeAbstractUI.aspx?menuIndex=3&amp;refID=7167175&amp;Result=3","7167175")</f>
        <v>0</v>
      </c>
      <c r="B13867" t="s">
        <v>381</v>
      </c>
      <c r="C13867" t="s">
        <v>16973</v>
      </c>
      <c r="E13867" t="s">
        <v>30811</v>
      </c>
      <c r="F13867" t="s">
        <v>32606</v>
      </c>
      <c r="G13867" t="s">
        <v>32613</v>
      </c>
      <c r="H13867" t="s">
        <v>14201</v>
      </c>
      <c r="I13867" t="s">
        <v>7677</v>
      </c>
      <c r="J13867" t="s">
        <v>41337</v>
      </c>
      <c r="K13867" t="s">
        <v>42624</v>
      </c>
      <c r="M13867" t="s">
        <v>46996</v>
      </c>
      <c r="N13867" t="s">
        <v>47304</v>
      </c>
      <c r="O13867" t="s">
        <v>47305</v>
      </c>
      <c r="Q13867">
        <v>16</v>
      </c>
      <c r="R13867" t="s">
        <v>47321</v>
      </c>
      <c r="S13867" t="s">
        <v>48129</v>
      </c>
      <c r="T13867" t="s">
        <v>48986</v>
      </c>
      <c r="U13867" t="s">
        <v>60994</v>
      </c>
      <c r="W13867" t="s">
        <v>46996</v>
      </c>
      <c r="X13867" t="s">
        <v>47322</v>
      </c>
    </row>
    <row r="13868" spans="1:24">
      <c r="A13868">
        <f>HYPERLINK("https://www.philgeps.gov.ph/GEPSNONPILOT/Tender/SplashBidNoticeAbstractUI.aspx?menuIndex=3&amp;refID=7167167&amp;Result=3","7167167")</f>
        <v>0</v>
      </c>
      <c r="B13868" t="s">
        <v>1073</v>
      </c>
      <c r="C13868" t="s">
        <v>16974</v>
      </c>
      <c r="D13868" t="s">
        <v>19004</v>
      </c>
      <c r="E13868" t="s">
        <v>30812</v>
      </c>
      <c r="F13868" t="s">
        <v>32606</v>
      </c>
      <c r="G13868" t="s">
        <v>32613</v>
      </c>
      <c r="H13868" t="s">
        <v>14201</v>
      </c>
      <c r="I13868" t="s">
        <v>32640</v>
      </c>
      <c r="J13868" t="s">
        <v>41338</v>
      </c>
      <c r="K13868" t="s">
        <v>42648</v>
      </c>
      <c r="M13868" t="s">
        <v>44026</v>
      </c>
      <c r="N13868" t="s">
        <v>47304</v>
      </c>
      <c r="O13868" t="s">
        <v>47305</v>
      </c>
      <c r="Q13868">
        <v>16</v>
      </c>
      <c r="R13868" t="s">
        <v>47321</v>
      </c>
      <c r="S13868" t="s">
        <v>48130</v>
      </c>
      <c r="T13868" t="s">
        <v>48986</v>
      </c>
      <c r="U13868" t="s">
        <v>51715</v>
      </c>
      <c r="V13868" t="s">
        <v>64145</v>
      </c>
      <c r="W13868" t="s">
        <v>44026</v>
      </c>
      <c r="X13868" t="s">
        <v>47322</v>
      </c>
    </row>
    <row r="13869" spans="1:24">
      <c r="A13869">
        <f>HYPERLINK("https://www.philgeps.gov.ph/GEPSNONPILOT/Tender/SplashBidNoticeAbstractUI.aspx?menuIndex=3&amp;refID=7167389&amp;Result=3","7167389")</f>
        <v>0</v>
      </c>
      <c r="B13869" t="s">
        <v>3692</v>
      </c>
      <c r="C13869" t="s">
        <v>16975</v>
      </c>
      <c r="D13869" t="s">
        <v>18995</v>
      </c>
      <c r="E13869" t="s">
        <v>30813</v>
      </c>
      <c r="F13869" t="s">
        <v>32606</v>
      </c>
      <c r="G13869" t="s">
        <v>32614</v>
      </c>
      <c r="H13869" t="s">
        <v>14201</v>
      </c>
      <c r="I13869" t="s">
        <v>13131</v>
      </c>
      <c r="J13869" t="s">
        <v>32885</v>
      </c>
      <c r="K13869" t="s">
        <v>42627</v>
      </c>
      <c r="M13869" t="s">
        <v>47000</v>
      </c>
      <c r="N13869" t="s">
        <v>47304</v>
      </c>
      <c r="O13869" t="s">
        <v>47305</v>
      </c>
      <c r="Q13869">
        <v>7</v>
      </c>
      <c r="R13869" t="s">
        <v>47321</v>
      </c>
      <c r="S13869" t="s">
        <v>48131</v>
      </c>
      <c r="T13869" t="s">
        <v>49373</v>
      </c>
      <c r="U13869" t="s">
        <v>61007</v>
      </c>
      <c r="W13869" t="s">
        <v>47000</v>
      </c>
      <c r="X13869" t="s">
        <v>47322</v>
      </c>
    </row>
    <row r="13870" spans="1:24">
      <c r="A13870">
        <f>HYPERLINK("https://www.philgeps.gov.ph/GEPSNONPILOT/Tender/SplashBidNoticeAbstractUI.aspx?menuIndex=3&amp;refID=7167253&amp;Result=3","7167253")</f>
        <v>0</v>
      </c>
      <c r="B13870" t="s">
        <v>940</v>
      </c>
      <c r="C13870" t="s">
        <v>16976</v>
      </c>
      <c r="D13870" t="s">
        <v>19024</v>
      </c>
      <c r="E13870" t="s">
        <v>30814</v>
      </c>
      <c r="F13870" t="s">
        <v>32606</v>
      </c>
      <c r="G13870" t="s">
        <v>32613</v>
      </c>
      <c r="H13870" t="s">
        <v>14201</v>
      </c>
      <c r="I13870" t="s">
        <v>32633</v>
      </c>
      <c r="J13870" t="s">
        <v>37357</v>
      </c>
      <c r="K13870" t="s">
        <v>42623</v>
      </c>
      <c r="M13870" t="s">
        <v>43881</v>
      </c>
      <c r="N13870" t="s">
        <v>47304</v>
      </c>
      <c r="O13870" t="s">
        <v>47305</v>
      </c>
      <c r="Q13870">
        <v>11</v>
      </c>
      <c r="R13870" t="s">
        <v>47321</v>
      </c>
      <c r="S13870" t="s">
        <v>48132</v>
      </c>
      <c r="T13870" t="s">
        <v>48987</v>
      </c>
      <c r="U13870" t="s">
        <v>61008</v>
      </c>
      <c r="W13870" t="s">
        <v>43881</v>
      </c>
      <c r="X13870" t="s">
        <v>47322</v>
      </c>
    </row>
    <row r="13871" spans="1:24">
      <c r="A13871">
        <f>HYPERLINK("https://www.philgeps.gov.ph/GEPSNONPILOT/Tender/SplashBidNoticeAbstractUI.aspx?menuIndex=3&amp;refID=7167289&amp;Result=3","7167289")</f>
        <v>0</v>
      </c>
      <c r="B13871" t="s">
        <v>381</v>
      </c>
      <c r="C13871" t="s">
        <v>16977</v>
      </c>
      <c r="E13871" t="s">
        <v>30815</v>
      </c>
      <c r="F13871" t="s">
        <v>32606</v>
      </c>
      <c r="G13871" t="s">
        <v>32613</v>
      </c>
      <c r="H13871" t="s">
        <v>14201</v>
      </c>
      <c r="I13871" t="s">
        <v>7677</v>
      </c>
      <c r="J13871" t="s">
        <v>41339</v>
      </c>
      <c r="K13871" t="s">
        <v>42624</v>
      </c>
      <c r="M13871" t="s">
        <v>46996</v>
      </c>
      <c r="N13871" t="s">
        <v>47304</v>
      </c>
      <c r="O13871" t="s">
        <v>47305</v>
      </c>
      <c r="Q13871">
        <v>19</v>
      </c>
      <c r="R13871" t="s">
        <v>47321</v>
      </c>
      <c r="S13871" t="s">
        <v>48133</v>
      </c>
      <c r="T13871" t="s">
        <v>48986</v>
      </c>
      <c r="U13871" t="s">
        <v>60994</v>
      </c>
      <c r="W13871" t="s">
        <v>46996</v>
      </c>
      <c r="X13871" t="s">
        <v>47322</v>
      </c>
    </row>
    <row r="13872" spans="1:24">
      <c r="A13872">
        <f>HYPERLINK("https://www.philgeps.gov.ph/GEPSNONPILOT/Tender/SplashBidNoticeAbstractUI.aspx?menuIndex=3&amp;refID=7167244&amp;Result=3","7167244")</f>
        <v>0</v>
      </c>
      <c r="B13872" t="s">
        <v>381</v>
      </c>
      <c r="C13872" t="s">
        <v>16978</v>
      </c>
      <c r="E13872" t="s">
        <v>30816</v>
      </c>
      <c r="F13872" t="s">
        <v>32606</v>
      </c>
      <c r="G13872" t="s">
        <v>32613</v>
      </c>
      <c r="H13872" t="s">
        <v>14201</v>
      </c>
      <c r="I13872" t="s">
        <v>7677</v>
      </c>
      <c r="J13872" t="s">
        <v>41340</v>
      </c>
      <c r="K13872" t="s">
        <v>42624</v>
      </c>
      <c r="M13872" t="s">
        <v>46996</v>
      </c>
      <c r="N13872" t="s">
        <v>47304</v>
      </c>
      <c r="O13872" t="s">
        <v>47305</v>
      </c>
      <c r="Q13872">
        <v>15</v>
      </c>
      <c r="R13872" t="s">
        <v>47321</v>
      </c>
      <c r="S13872" t="s">
        <v>48134</v>
      </c>
      <c r="T13872" t="s">
        <v>48986</v>
      </c>
      <c r="U13872" t="s">
        <v>60994</v>
      </c>
      <c r="W13872" t="s">
        <v>46996</v>
      </c>
      <c r="X13872" t="s">
        <v>47322</v>
      </c>
    </row>
    <row r="13873" spans="1:24">
      <c r="A13873">
        <f>HYPERLINK("https://www.philgeps.gov.ph/GEPSNONPILOT/Tender/SplashBidNoticeAbstractUI.aspx?menuIndex=3&amp;refID=7167416&amp;Result=3","7167416")</f>
        <v>0</v>
      </c>
      <c r="B13873" t="s">
        <v>1653</v>
      </c>
      <c r="C13873" t="s">
        <v>16979</v>
      </c>
      <c r="D13873" t="s">
        <v>19056</v>
      </c>
      <c r="E13873" t="s">
        <v>20378</v>
      </c>
      <c r="F13873" t="s">
        <v>32606</v>
      </c>
      <c r="G13873" t="s">
        <v>32613</v>
      </c>
      <c r="H13873" t="s">
        <v>32623</v>
      </c>
      <c r="I13873" t="s">
        <v>17648</v>
      </c>
      <c r="J13873" t="s">
        <v>41341</v>
      </c>
      <c r="K13873" t="s">
        <v>42675</v>
      </c>
      <c r="M13873" t="s">
        <v>44677</v>
      </c>
      <c r="N13873" t="s">
        <v>47304</v>
      </c>
      <c r="O13873" t="s">
        <v>47305</v>
      </c>
      <c r="P13873">
        <v>0</v>
      </c>
      <c r="Q13873">
        <v>1</v>
      </c>
      <c r="R13873" t="s">
        <v>47321</v>
      </c>
      <c r="S13873" t="s">
        <v>48071</v>
      </c>
      <c r="T13873" t="s">
        <v>48987</v>
      </c>
      <c r="U13873" t="s">
        <v>61009</v>
      </c>
      <c r="W13873" t="s">
        <v>44677</v>
      </c>
      <c r="X13873" t="s">
        <v>47322</v>
      </c>
    </row>
    <row r="13874" spans="1:24">
      <c r="A13874">
        <f>HYPERLINK("https://www.philgeps.gov.ph/GEPSNONPILOT/Tender/SplashBidNoticeAbstractUI.aspx?menuIndex=3&amp;refID=7167221&amp;Result=3","7167221")</f>
        <v>0</v>
      </c>
      <c r="B13874" t="s">
        <v>381</v>
      </c>
      <c r="C13874" t="s">
        <v>16980</v>
      </c>
      <c r="E13874" t="s">
        <v>30817</v>
      </c>
      <c r="F13874" t="s">
        <v>32606</v>
      </c>
      <c r="G13874" t="s">
        <v>32613</v>
      </c>
      <c r="H13874" t="s">
        <v>14201</v>
      </c>
      <c r="I13874" t="s">
        <v>7677</v>
      </c>
      <c r="J13874" t="s">
        <v>41342</v>
      </c>
      <c r="K13874" t="s">
        <v>42624</v>
      </c>
      <c r="M13874" t="s">
        <v>46996</v>
      </c>
      <c r="N13874" t="s">
        <v>47304</v>
      </c>
      <c r="O13874" t="s">
        <v>47305</v>
      </c>
      <c r="Q13874">
        <v>16</v>
      </c>
      <c r="R13874" t="s">
        <v>47321</v>
      </c>
      <c r="S13874" t="s">
        <v>48135</v>
      </c>
      <c r="T13874" t="s">
        <v>48986</v>
      </c>
      <c r="U13874" t="s">
        <v>60994</v>
      </c>
      <c r="W13874" t="s">
        <v>46996</v>
      </c>
      <c r="X13874" t="s">
        <v>47322</v>
      </c>
    </row>
    <row r="13875" spans="1:24">
      <c r="A13875">
        <f>HYPERLINK("https://www.philgeps.gov.ph/GEPSNONPILOT/Tender/SplashBidNoticeAbstractUI.aspx?menuIndex=3&amp;refID=7167398&amp;Result=3","7167398")</f>
        <v>0</v>
      </c>
      <c r="B13875" t="s">
        <v>696</v>
      </c>
      <c r="C13875" t="s">
        <v>16981</v>
      </c>
      <c r="D13875" t="s">
        <v>19014</v>
      </c>
      <c r="E13875" t="s">
        <v>30818</v>
      </c>
      <c r="F13875" t="s">
        <v>32606</v>
      </c>
      <c r="G13875" t="s">
        <v>32617</v>
      </c>
      <c r="H13875" t="s">
        <v>14201</v>
      </c>
      <c r="I13875" t="s">
        <v>6298</v>
      </c>
      <c r="J13875" t="s">
        <v>34070</v>
      </c>
      <c r="K13875" t="s">
        <v>42627</v>
      </c>
      <c r="M13875" t="s">
        <v>45418</v>
      </c>
      <c r="N13875" t="s">
        <v>47304</v>
      </c>
      <c r="O13875" t="s">
        <v>47305</v>
      </c>
      <c r="Q13875">
        <v>4</v>
      </c>
      <c r="R13875" t="s">
        <v>47321</v>
      </c>
      <c r="S13875" t="s">
        <v>47449</v>
      </c>
      <c r="T13875" t="s">
        <v>49081</v>
      </c>
      <c r="U13875" t="s">
        <v>50770</v>
      </c>
      <c r="V13875" t="s">
        <v>64144</v>
      </c>
      <c r="W13875" t="s">
        <v>45418</v>
      </c>
      <c r="X13875" t="s">
        <v>47322</v>
      </c>
    </row>
    <row r="13876" spans="1:24">
      <c r="A13876">
        <f>HYPERLINK("https://www.philgeps.gov.ph/GEPSNONPILOT/Tender/SplashBidNoticeAbstractUI.aspx?menuIndex=3&amp;refID=7167192&amp;Result=3","7167192")</f>
        <v>0</v>
      </c>
      <c r="B13876" t="s">
        <v>940</v>
      </c>
      <c r="C13876" t="s">
        <v>16982</v>
      </c>
      <c r="D13876" t="s">
        <v>19024</v>
      </c>
      <c r="E13876" t="s">
        <v>30819</v>
      </c>
      <c r="F13876" t="s">
        <v>32606</v>
      </c>
      <c r="G13876" t="s">
        <v>32613</v>
      </c>
      <c r="H13876" t="s">
        <v>14201</v>
      </c>
      <c r="I13876" t="s">
        <v>6931</v>
      </c>
      <c r="J13876" t="s">
        <v>32778</v>
      </c>
      <c r="K13876" t="s">
        <v>42623</v>
      </c>
      <c r="M13876" t="s">
        <v>43881</v>
      </c>
      <c r="N13876" t="s">
        <v>47304</v>
      </c>
      <c r="O13876" t="s">
        <v>47305</v>
      </c>
      <c r="P13876">
        <v>0</v>
      </c>
      <c r="Q13876">
        <v>0</v>
      </c>
      <c r="R13876" t="s">
        <v>47321</v>
      </c>
      <c r="S13876" t="s">
        <v>48071</v>
      </c>
      <c r="T13876" t="s">
        <v>49002</v>
      </c>
      <c r="U13876" t="s">
        <v>61010</v>
      </c>
      <c r="W13876" t="s">
        <v>43881</v>
      </c>
      <c r="X13876" t="s">
        <v>47322</v>
      </c>
    </row>
    <row r="13877" spans="1:24">
      <c r="A13877">
        <f>HYPERLINK("https://www.philgeps.gov.ph/GEPSNONPILOT/Tender/SplashBidNoticeAbstractUI.aspx?menuIndex=3&amp;refID=7167300&amp;Result=3","7167300")</f>
        <v>0</v>
      </c>
      <c r="B13877" t="s">
        <v>1123</v>
      </c>
      <c r="C13877" t="s">
        <v>16983</v>
      </c>
      <c r="E13877" t="s">
        <v>30820</v>
      </c>
      <c r="F13877" t="s">
        <v>32606</v>
      </c>
      <c r="G13877" t="s">
        <v>32613</v>
      </c>
      <c r="H13877" t="s">
        <v>14201</v>
      </c>
      <c r="I13877" t="s">
        <v>32716</v>
      </c>
      <c r="J13877" t="s">
        <v>41343</v>
      </c>
      <c r="K13877" t="s">
        <v>42648</v>
      </c>
      <c r="M13877" t="s">
        <v>44085</v>
      </c>
      <c r="N13877" t="s">
        <v>47304</v>
      </c>
      <c r="O13877" t="s">
        <v>47305</v>
      </c>
      <c r="P13877">
        <v>0</v>
      </c>
      <c r="Q13877">
        <v>21</v>
      </c>
      <c r="R13877" t="s">
        <v>47321</v>
      </c>
      <c r="S13877" t="s">
        <v>48071</v>
      </c>
      <c r="T13877" t="s">
        <v>49018</v>
      </c>
      <c r="U13877" t="s">
        <v>61011</v>
      </c>
      <c r="W13877" t="s">
        <v>44085</v>
      </c>
      <c r="X13877" t="s">
        <v>47322</v>
      </c>
    </row>
    <row r="13878" spans="1:24">
      <c r="A13878">
        <f>HYPERLINK("https://www.philgeps.gov.ph/GEPSNONPILOT/Tender/SplashBidNoticeAbstractUI.aspx?menuIndex=3&amp;refID=7167375&amp;Result=3","7167375")</f>
        <v>0</v>
      </c>
      <c r="B13878" t="s">
        <v>1355</v>
      </c>
      <c r="C13878" t="s">
        <v>16984</v>
      </c>
      <c r="D13878" t="s">
        <v>19003</v>
      </c>
      <c r="E13878" t="s">
        <v>30821</v>
      </c>
      <c r="F13878" t="s">
        <v>32606</v>
      </c>
      <c r="G13878" t="s">
        <v>32613</v>
      </c>
      <c r="H13878" t="s">
        <v>14201</v>
      </c>
      <c r="I13878" t="s">
        <v>4678</v>
      </c>
      <c r="J13878" t="s">
        <v>34667</v>
      </c>
      <c r="K13878" t="s">
        <v>42639</v>
      </c>
      <c r="M13878" t="s">
        <v>47001</v>
      </c>
      <c r="N13878" t="s">
        <v>47304</v>
      </c>
      <c r="O13878" t="s">
        <v>47305</v>
      </c>
      <c r="P13878">
        <v>0</v>
      </c>
      <c r="Q13878">
        <v>13</v>
      </c>
      <c r="R13878" t="s">
        <v>47321</v>
      </c>
      <c r="S13878" t="s">
        <v>48071</v>
      </c>
      <c r="T13878" t="s">
        <v>49017</v>
      </c>
      <c r="U13878" t="s">
        <v>61012</v>
      </c>
      <c r="W13878" t="s">
        <v>47001</v>
      </c>
      <c r="X13878" t="s">
        <v>47322</v>
      </c>
    </row>
    <row r="13879" spans="1:24">
      <c r="A13879">
        <f>HYPERLINK("https://www.philgeps.gov.ph/GEPSNONPILOT/Tender/SplashBidNoticeAbstractUI.aspx?menuIndex=3&amp;refID=7167156&amp;Result=3","7167156")</f>
        <v>0</v>
      </c>
      <c r="B13879" t="s">
        <v>381</v>
      </c>
      <c r="C13879" t="s">
        <v>16985</v>
      </c>
      <c r="E13879" t="s">
        <v>30822</v>
      </c>
      <c r="F13879" t="s">
        <v>32606</v>
      </c>
      <c r="G13879" t="s">
        <v>32613</v>
      </c>
      <c r="H13879" t="s">
        <v>14201</v>
      </c>
      <c r="I13879" t="s">
        <v>7677</v>
      </c>
      <c r="J13879" t="s">
        <v>41344</v>
      </c>
      <c r="K13879" t="s">
        <v>42624</v>
      </c>
      <c r="M13879" t="s">
        <v>46996</v>
      </c>
      <c r="N13879" t="s">
        <v>47304</v>
      </c>
      <c r="O13879" t="s">
        <v>47305</v>
      </c>
      <c r="Q13879">
        <v>15</v>
      </c>
      <c r="R13879" t="s">
        <v>47321</v>
      </c>
      <c r="S13879" t="s">
        <v>48129</v>
      </c>
      <c r="T13879" t="s">
        <v>48986</v>
      </c>
      <c r="U13879" t="s">
        <v>60994</v>
      </c>
      <c r="W13879" t="s">
        <v>46996</v>
      </c>
      <c r="X13879" t="s">
        <v>47322</v>
      </c>
    </row>
    <row r="13880" spans="1:24">
      <c r="A13880">
        <f>HYPERLINK("https://www.philgeps.gov.ph/GEPSNONPILOT/Tender/SplashBidNoticeAbstractUI.aspx?menuIndex=3&amp;refID=7167371&amp;Result=3","7167371")</f>
        <v>0</v>
      </c>
      <c r="B13880" t="s">
        <v>312</v>
      </c>
      <c r="C13880" t="s">
        <v>16986</v>
      </c>
      <c r="D13880" t="s">
        <v>19046</v>
      </c>
      <c r="E13880" t="s">
        <v>30823</v>
      </c>
      <c r="F13880" t="s">
        <v>32606</v>
      </c>
      <c r="G13880" t="s">
        <v>32613</v>
      </c>
      <c r="H13880" t="s">
        <v>32625</v>
      </c>
      <c r="I13880" t="s">
        <v>32625</v>
      </c>
      <c r="J13880" t="s">
        <v>35368</v>
      </c>
      <c r="K13880" t="s">
        <v>42885</v>
      </c>
      <c r="M13880" t="s">
        <v>43214</v>
      </c>
      <c r="N13880" t="s">
        <v>47304</v>
      </c>
      <c r="O13880" t="s">
        <v>47305</v>
      </c>
      <c r="P13880">
        <v>0</v>
      </c>
      <c r="Q13880">
        <v>6</v>
      </c>
      <c r="R13880" t="s">
        <v>47321</v>
      </c>
      <c r="S13880" t="s">
        <v>48071</v>
      </c>
      <c r="T13880" t="s">
        <v>49052</v>
      </c>
      <c r="U13880" t="s">
        <v>61013</v>
      </c>
      <c r="W13880" t="s">
        <v>43214</v>
      </c>
      <c r="X13880" t="s">
        <v>47322</v>
      </c>
    </row>
    <row r="13881" spans="1:24">
      <c r="A13881">
        <f>HYPERLINK("https://www.philgeps.gov.ph/GEPSNONPILOT/Tender/SplashBidNoticeAbstractUI.aspx?menuIndex=3&amp;refID=7167405&amp;Result=3","7167405")</f>
        <v>0</v>
      </c>
      <c r="B13881" t="s">
        <v>3693</v>
      </c>
      <c r="C13881" t="s">
        <v>16987</v>
      </c>
      <c r="D13881" t="s">
        <v>19022</v>
      </c>
      <c r="E13881" t="s">
        <v>30824</v>
      </c>
      <c r="F13881" t="s">
        <v>32606</v>
      </c>
      <c r="G13881" t="s">
        <v>32613</v>
      </c>
      <c r="H13881" t="s">
        <v>32623</v>
      </c>
      <c r="I13881" t="s">
        <v>17648</v>
      </c>
      <c r="J13881" t="s">
        <v>32795</v>
      </c>
      <c r="K13881" t="s">
        <v>42631</v>
      </c>
      <c r="M13881" t="s">
        <v>47002</v>
      </c>
      <c r="N13881" t="s">
        <v>47304</v>
      </c>
      <c r="O13881" t="s">
        <v>47305</v>
      </c>
      <c r="P13881">
        <v>0</v>
      </c>
      <c r="Q13881">
        <v>0</v>
      </c>
      <c r="R13881" t="s">
        <v>47321</v>
      </c>
      <c r="S13881" t="s">
        <v>48071</v>
      </c>
      <c r="T13881" t="s">
        <v>49018</v>
      </c>
      <c r="U13881" t="s">
        <v>61014</v>
      </c>
      <c r="W13881" t="s">
        <v>47002</v>
      </c>
      <c r="X13881" t="s">
        <v>47322</v>
      </c>
    </row>
    <row r="13882" spans="1:24">
      <c r="A13882">
        <f>HYPERLINK("https://www.philgeps.gov.ph/GEPSNONPILOT/Tender/SplashBidNoticeAbstractUI.aspx?menuIndex=3&amp;refID=7167369&amp;Result=3","7167369")</f>
        <v>0</v>
      </c>
      <c r="B13882" t="s">
        <v>3628</v>
      </c>
      <c r="C13882" t="s">
        <v>16988</v>
      </c>
      <c r="D13882" t="s">
        <v>19006</v>
      </c>
      <c r="E13882" t="s">
        <v>30825</v>
      </c>
      <c r="F13882" t="s">
        <v>32606</v>
      </c>
      <c r="G13882" t="s">
        <v>32613</v>
      </c>
      <c r="H13882" t="s">
        <v>14201</v>
      </c>
      <c r="I13882" t="s">
        <v>32661</v>
      </c>
      <c r="J13882" t="s">
        <v>41345</v>
      </c>
      <c r="K13882" t="s">
        <v>42631</v>
      </c>
      <c r="M13882" t="s">
        <v>46925</v>
      </c>
      <c r="N13882" t="s">
        <v>47304</v>
      </c>
      <c r="O13882" t="s">
        <v>47305</v>
      </c>
      <c r="Q13882">
        <v>2</v>
      </c>
      <c r="R13882" t="s">
        <v>47321</v>
      </c>
      <c r="S13882" t="s">
        <v>48136</v>
      </c>
      <c r="T13882" t="s">
        <v>48987</v>
      </c>
      <c r="U13882" t="s">
        <v>61015</v>
      </c>
      <c r="W13882" t="s">
        <v>46925</v>
      </c>
      <c r="X13882" t="s">
        <v>47322</v>
      </c>
    </row>
    <row r="13883" spans="1:24">
      <c r="A13883">
        <f>HYPERLINK("https://www.philgeps.gov.ph/GEPSNONPILOT/Tender/SplashBidNoticeAbstractUI.aspx?menuIndex=3&amp;refID=7167339&amp;Result=3","7167339")</f>
        <v>0</v>
      </c>
      <c r="B13883" t="s">
        <v>3305</v>
      </c>
      <c r="C13883" t="s">
        <v>16989</v>
      </c>
      <c r="D13883" t="s">
        <v>18993</v>
      </c>
      <c r="E13883" t="s">
        <v>30826</v>
      </c>
      <c r="F13883" t="s">
        <v>32606</v>
      </c>
      <c r="G13883" t="s">
        <v>32615</v>
      </c>
      <c r="H13883" t="s">
        <v>14201</v>
      </c>
      <c r="I13883" t="s">
        <v>7064</v>
      </c>
      <c r="J13883" t="s">
        <v>34591</v>
      </c>
      <c r="K13883" t="s">
        <v>42631</v>
      </c>
      <c r="M13883" t="s">
        <v>46547</v>
      </c>
      <c r="N13883" t="s">
        <v>47304</v>
      </c>
      <c r="O13883" t="s">
        <v>47305</v>
      </c>
      <c r="Q13883">
        <v>7</v>
      </c>
      <c r="R13883" t="s">
        <v>47321</v>
      </c>
      <c r="S13883" t="s">
        <v>48137</v>
      </c>
      <c r="T13883" t="s">
        <v>48971</v>
      </c>
      <c r="U13883" t="s">
        <v>61016</v>
      </c>
      <c r="V13883" t="s">
        <v>63885</v>
      </c>
      <c r="W13883" t="s">
        <v>46547</v>
      </c>
      <c r="X13883" t="s">
        <v>47322</v>
      </c>
    </row>
    <row r="13884" spans="1:24">
      <c r="A13884">
        <f>HYPERLINK("https://www.philgeps.gov.ph/GEPSNONPILOT/Tender/SplashBidNoticeAbstractUI.aspx?menuIndex=3&amp;refID=7167354&amp;Result=3","7167354")</f>
        <v>0</v>
      </c>
      <c r="B13884" t="s">
        <v>974</v>
      </c>
      <c r="C13884" t="s">
        <v>16990</v>
      </c>
      <c r="D13884" t="s">
        <v>19037</v>
      </c>
      <c r="E13884" t="s">
        <v>30827</v>
      </c>
      <c r="F13884" t="s">
        <v>32606</v>
      </c>
      <c r="G13884" t="s">
        <v>32613</v>
      </c>
      <c r="H13884" t="s">
        <v>32623</v>
      </c>
      <c r="I13884" t="s">
        <v>17648</v>
      </c>
      <c r="J13884" t="s">
        <v>32772</v>
      </c>
      <c r="K13884" t="s">
        <v>42636</v>
      </c>
      <c r="M13884" t="s">
        <v>43920</v>
      </c>
      <c r="N13884" t="s">
        <v>47304</v>
      </c>
      <c r="O13884" t="s">
        <v>47305</v>
      </c>
      <c r="Q13884">
        <v>0</v>
      </c>
      <c r="R13884" t="s">
        <v>47321</v>
      </c>
      <c r="S13884" t="s">
        <v>48138</v>
      </c>
      <c r="T13884" t="s">
        <v>49081</v>
      </c>
      <c r="U13884" t="s">
        <v>61017</v>
      </c>
      <c r="W13884" t="s">
        <v>43920</v>
      </c>
      <c r="X13884" t="s">
        <v>47322</v>
      </c>
    </row>
    <row r="13885" spans="1:24">
      <c r="A13885">
        <f>HYPERLINK("https://www.philgeps.gov.ph/GEPSNONPILOT/Tender/SplashBidNoticeAbstractUI.aspx?menuIndex=3&amp;refID=7167349&amp;Result=3","7167349")</f>
        <v>0</v>
      </c>
      <c r="B13885" t="s">
        <v>2312</v>
      </c>
      <c r="C13885" t="s">
        <v>16991</v>
      </c>
      <c r="D13885" t="s">
        <v>19039</v>
      </c>
      <c r="E13885" t="s">
        <v>30828</v>
      </c>
      <c r="F13885" t="s">
        <v>32606</v>
      </c>
      <c r="G13885" t="s">
        <v>32613</v>
      </c>
      <c r="H13885" t="s">
        <v>32623</v>
      </c>
      <c r="I13885" t="s">
        <v>32675</v>
      </c>
      <c r="J13885" t="s">
        <v>41346</v>
      </c>
      <c r="K13885" t="s">
        <v>42776</v>
      </c>
      <c r="M13885" t="s">
        <v>45420</v>
      </c>
      <c r="N13885" t="s">
        <v>47304</v>
      </c>
      <c r="O13885" t="s">
        <v>47305</v>
      </c>
      <c r="P13885">
        <v>0</v>
      </c>
      <c r="Q13885">
        <v>3</v>
      </c>
      <c r="R13885" t="s">
        <v>47321</v>
      </c>
      <c r="S13885" t="s">
        <v>48071</v>
      </c>
      <c r="T13885" t="s">
        <v>49087</v>
      </c>
      <c r="U13885" t="s">
        <v>61018</v>
      </c>
      <c r="W13885" t="s">
        <v>64497</v>
      </c>
      <c r="X13885" t="s">
        <v>47322</v>
      </c>
    </row>
    <row r="13886" spans="1:24">
      <c r="A13886">
        <f>HYPERLINK("https://www.philgeps.gov.ph/GEPSNONPILOT/Tender/SplashBidNoticeAbstractUI.aspx?menuIndex=3&amp;refID=7167319&amp;Result=3","7167319")</f>
        <v>0</v>
      </c>
      <c r="B13886" t="s">
        <v>810</v>
      </c>
      <c r="C13886" t="s">
        <v>16992</v>
      </c>
      <c r="D13886" t="s">
        <v>19013</v>
      </c>
      <c r="E13886" t="s">
        <v>30829</v>
      </c>
      <c r="F13886" t="s">
        <v>32606</v>
      </c>
      <c r="G13886" t="s">
        <v>32613</v>
      </c>
      <c r="H13886" t="s">
        <v>14201</v>
      </c>
      <c r="I13886" t="s">
        <v>7577</v>
      </c>
      <c r="J13886" t="s">
        <v>41347</v>
      </c>
      <c r="K13886" t="s">
        <v>42624</v>
      </c>
      <c r="M13886" t="s">
        <v>43741</v>
      </c>
      <c r="N13886" t="s">
        <v>47304</v>
      </c>
      <c r="O13886" t="s">
        <v>47305</v>
      </c>
      <c r="P13886">
        <v>0</v>
      </c>
      <c r="Q13886">
        <v>12</v>
      </c>
      <c r="R13886" t="s">
        <v>47321</v>
      </c>
      <c r="S13886" t="s">
        <v>48071</v>
      </c>
      <c r="T13886" t="s">
        <v>48987</v>
      </c>
      <c r="U13886" t="s">
        <v>51044</v>
      </c>
      <c r="W13886" t="s">
        <v>43741</v>
      </c>
      <c r="X13886" t="s">
        <v>47322</v>
      </c>
    </row>
    <row r="13887" spans="1:24">
      <c r="A13887">
        <f>HYPERLINK("https://www.philgeps.gov.ph/GEPSNONPILOT/Tender/SplashBidNoticeAbstractUI.aspx?menuIndex=3&amp;refID=7167376&amp;Result=3","7167376")</f>
        <v>0</v>
      </c>
      <c r="B13887" t="s">
        <v>974</v>
      </c>
      <c r="C13887" t="s">
        <v>16993</v>
      </c>
      <c r="D13887" t="s">
        <v>19037</v>
      </c>
      <c r="E13887" t="s">
        <v>30830</v>
      </c>
      <c r="F13887" t="s">
        <v>32606</v>
      </c>
      <c r="G13887" t="s">
        <v>32613</v>
      </c>
      <c r="H13887" t="s">
        <v>32625</v>
      </c>
      <c r="I13887" t="s">
        <v>17648</v>
      </c>
      <c r="J13887" t="s">
        <v>32795</v>
      </c>
      <c r="K13887" t="s">
        <v>42636</v>
      </c>
      <c r="M13887" t="s">
        <v>43920</v>
      </c>
      <c r="N13887" t="s">
        <v>47304</v>
      </c>
      <c r="O13887" t="s">
        <v>47305</v>
      </c>
      <c r="Q13887">
        <v>2</v>
      </c>
      <c r="R13887" t="s">
        <v>47321</v>
      </c>
      <c r="S13887" t="s">
        <v>48139</v>
      </c>
      <c r="T13887" t="s">
        <v>49081</v>
      </c>
      <c r="U13887" t="s">
        <v>61019</v>
      </c>
      <c r="W13887" t="s">
        <v>43920</v>
      </c>
      <c r="X13887" t="s">
        <v>47322</v>
      </c>
    </row>
    <row r="13888" spans="1:24">
      <c r="A13888">
        <f>HYPERLINK("https://www.philgeps.gov.ph/GEPSNONPILOT/Tender/SplashBidNoticeAbstractUI.aspx?menuIndex=3&amp;refID=7167308&amp;Result=3","7167308")</f>
        <v>0</v>
      </c>
      <c r="B13888" t="s">
        <v>1567</v>
      </c>
      <c r="C13888" t="s">
        <v>16994</v>
      </c>
      <c r="D13888" t="s">
        <v>18988</v>
      </c>
      <c r="E13888" t="s">
        <v>30831</v>
      </c>
      <c r="F13888" t="s">
        <v>32606</v>
      </c>
      <c r="G13888" t="s">
        <v>32613</v>
      </c>
      <c r="H13888" t="s">
        <v>14201</v>
      </c>
      <c r="I13888" t="s">
        <v>4678</v>
      </c>
      <c r="J13888" t="s">
        <v>41348</v>
      </c>
      <c r="K13888" t="s">
        <v>42623</v>
      </c>
      <c r="M13888" t="s">
        <v>44576</v>
      </c>
      <c r="N13888" t="s">
        <v>47304</v>
      </c>
      <c r="O13888" t="s">
        <v>47305</v>
      </c>
      <c r="P13888">
        <v>0</v>
      </c>
      <c r="Q13888">
        <v>9</v>
      </c>
      <c r="R13888" t="s">
        <v>47321</v>
      </c>
      <c r="S13888" t="s">
        <v>48071</v>
      </c>
      <c r="T13888" t="s">
        <v>49135</v>
      </c>
      <c r="U13888" t="s">
        <v>61020</v>
      </c>
      <c r="W13888" t="s">
        <v>44576</v>
      </c>
      <c r="X13888" t="s">
        <v>47322</v>
      </c>
    </row>
    <row r="13889" spans="1:24">
      <c r="A13889">
        <f>HYPERLINK("https://www.philgeps.gov.ph/GEPSNONPILOT/Tender/SplashBidNoticeAbstractUI.aspx?menuIndex=3&amp;refID=7167330&amp;Result=3","7167330")</f>
        <v>0</v>
      </c>
      <c r="B13889" t="s">
        <v>1032</v>
      </c>
      <c r="C13889" t="s">
        <v>16995</v>
      </c>
      <c r="D13889" t="s">
        <v>18993</v>
      </c>
      <c r="E13889" t="s">
        <v>30832</v>
      </c>
      <c r="F13889" t="s">
        <v>32606</v>
      </c>
      <c r="G13889" t="s">
        <v>32613</v>
      </c>
      <c r="H13889" t="s">
        <v>14201</v>
      </c>
      <c r="I13889" t="s">
        <v>32715</v>
      </c>
      <c r="J13889" t="s">
        <v>32756</v>
      </c>
      <c r="K13889" t="s">
        <v>42645</v>
      </c>
      <c r="M13889" t="s">
        <v>46829</v>
      </c>
      <c r="N13889" t="s">
        <v>47304</v>
      </c>
      <c r="O13889" t="s">
        <v>47305</v>
      </c>
      <c r="Q13889">
        <v>9</v>
      </c>
      <c r="R13889" t="s">
        <v>47321</v>
      </c>
      <c r="S13889" t="s">
        <v>48140</v>
      </c>
      <c r="T13889" t="s">
        <v>48996</v>
      </c>
      <c r="U13889" t="s">
        <v>60091</v>
      </c>
      <c r="W13889" t="s">
        <v>46829</v>
      </c>
      <c r="X13889" t="s">
        <v>47322</v>
      </c>
    </row>
    <row r="13890" spans="1:24">
      <c r="A13890">
        <f>HYPERLINK("https://www.philgeps.gov.ph/GEPSNONPILOT/Tender/SplashBidNoticeAbstractUI.aspx?menuIndex=3&amp;refID=7167154&amp;Result=3","7167154")</f>
        <v>0</v>
      </c>
      <c r="B13890" t="s">
        <v>305</v>
      </c>
      <c r="C13890" t="s">
        <v>16996</v>
      </c>
      <c r="D13890" t="s">
        <v>19006</v>
      </c>
      <c r="E13890" t="s">
        <v>30833</v>
      </c>
      <c r="F13890" t="s">
        <v>32606</v>
      </c>
      <c r="G13890" t="s">
        <v>32613</v>
      </c>
      <c r="H13890" t="s">
        <v>14201</v>
      </c>
      <c r="I13890" t="s">
        <v>32633</v>
      </c>
      <c r="J13890" t="s">
        <v>41349</v>
      </c>
      <c r="K13890" t="s">
        <v>42623</v>
      </c>
      <c r="M13890" t="s">
        <v>43207</v>
      </c>
      <c r="N13890" t="s">
        <v>47304</v>
      </c>
      <c r="O13890" t="s">
        <v>47305</v>
      </c>
      <c r="P13890">
        <v>0</v>
      </c>
      <c r="Q13890">
        <v>44</v>
      </c>
      <c r="R13890" t="s">
        <v>47321</v>
      </c>
      <c r="S13890" t="s">
        <v>48071</v>
      </c>
      <c r="T13890" t="s">
        <v>49103</v>
      </c>
      <c r="U13890" t="s">
        <v>61021</v>
      </c>
      <c r="W13890" t="s">
        <v>43207</v>
      </c>
      <c r="X13890" t="s">
        <v>47322</v>
      </c>
    </row>
    <row r="13891" spans="1:24">
      <c r="A13891">
        <f>HYPERLINK("https://www.philgeps.gov.ph/GEPSNONPILOT/Tender/SplashBidNoticeAbstractUI.aspx?menuIndex=3&amp;refID=7167150&amp;Result=3","7167150")</f>
        <v>0</v>
      </c>
      <c r="B13891" t="s">
        <v>810</v>
      </c>
      <c r="C13891" t="s">
        <v>16997</v>
      </c>
      <c r="D13891" t="s">
        <v>19013</v>
      </c>
      <c r="E13891" t="s">
        <v>30834</v>
      </c>
      <c r="F13891" t="s">
        <v>32606</v>
      </c>
      <c r="G13891" t="s">
        <v>32613</v>
      </c>
      <c r="H13891" t="s">
        <v>14201</v>
      </c>
      <c r="I13891" t="s">
        <v>17648</v>
      </c>
      <c r="J13891" t="s">
        <v>41350</v>
      </c>
      <c r="K13891" t="s">
        <v>42624</v>
      </c>
      <c r="M13891" t="s">
        <v>44780</v>
      </c>
      <c r="N13891" t="s">
        <v>47304</v>
      </c>
      <c r="O13891" t="s">
        <v>47305</v>
      </c>
      <c r="P13891">
        <v>0</v>
      </c>
      <c r="Q13891">
        <v>1</v>
      </c>
      <c r="R13891" t="s">
        <v>47321</v>
      </c>
      <c r="S13891" t="s">
        <v>48071</v>
      </c>
      <c r="T13891" t="s">
        <v>48987</v>
      </c>
      <c r="U13891" t="s">
        <v>61022</v>
      </c>
      <c r="W13891" t="s">
        <v>44780</v>
      </c>
      <c r="X13891" t="s">
        <v>47322</v>
      </c>
    </row>
    <row r="13892" spans="1:24">
      <c r="A13892">
        <f>HYPERLINK("https://www.philgeps.gov.ph/GEPSNONPILOT/Tender/SplashBidNoticeAbstractUI.aspx?menuIndex=3&amp;refID=7167139&amp;Result=3","7167139")</f>
        <v>0</v>
      </c>
      <c r="B13892" t="s">
        <v>1562</v>
      </c>
      <c r="C13892" t="s">
        <v>16998</v>
      </c>
      <c r="D13892" t="s">
        <v>18995</v>
      </c>
      <c r="E13892" t="s">
        <v>30835</v>
      </c>
      <c r="F13892" t="s">
        <v>32606</v>
      </c>
      <c r="G13892" t="s">
        <v>32613</v>
      </c>
      <c r="H13892" t="s">
        <v>32623</v>
      </c>
      <c r="I13892" t="s">
        <v>17648</v>
      </c>
      <c r="J13892" t="s">
        <v>32795</v>
      </c>
      <c r="K13892" t="s">
        <v>42631</v>
      </c>
      <c r="M13892" t="s">
        <v>44569</v>
      </c>
      <c r="N13892" t="s">
        <v>47304</v>
      </c>
      <c r="O13892" t="s">
        <v>47305</v>
      </c>
      <c r="P13892">
        <v>0</v>
      </c>
      <c r="Q13892">
        <v>2</v>
      </c>
      <c r="R13892" t="s">
        <v>47321</v>
      </c>
      <c r="S13892" t="s">
        <v>48071</v>
      </c>
      <c r="T13892" t="s">
        <v>49108</v>
      </c>
      <c r="U13892" t="s">
        <v>60965</v>
      </c>
      <c r="W13892" t="s">
        <v>44569</v>
      </c>
      <c r="X13892" t="s">
        <v>47322</v>
      </c>
    </row>
    <row r="13893" spans="1:24">
      <c r="A13893">
        <f>HYPERLINK("https://www.philgeps.gov.ph/GEPSNONPILOT/Tender/SplashBidNoticeAbstractUI.aspx?menuIndex=3&amp;refID=7167395&amp;Result=3","7167395")</f>
        <v>0</v>
      </c>
      <c r="B13893" t="s">
        <v>1123</v>
      </c>
      <c r="C13893" t="s">
        <v>16999</v>
      </c>
      <c r="E13893" t="s">
        <v>30836</v>
      </c>
      <c r="F13893" t="s">
        <v>32606</v>
      </c>
      <c r="G13893" t="s">
        <v>32613</v>
      </c>
      <c r="H13893" t="s">
        <v>14201</v>
      </c>
      <c r="I13893" t="s">
        <v>32627</v>
      </c>
      <c r="J13893" t="s">
        <v>41351</v>
      </c>
      <c r="K13893" t="s">
        <v>42646</v>
      </c>
      <c r="M13893" t="s">
        <v>44085</v>
      </c>
      <c r="N13893" t="s">
        <v>47304</v>
      </c>
      <c r="O13893" t="s">
        <v>47305</v>
      </c>
      <c r="P13893">
        <v>0</v>
      </c>
      <c r="Q13893">
        <v>9</v>
      </c>
      <c r="R13893" t="s">
        <v>47321</v>
      </c>
      <c r="S13893" t="s">
        <v>48071</v>
      </c>
      <c r="T13893" t="s">
        <v>49011</v>
      </c>
      <c r="U13893" t="s">
        <v>61011</v>
      </c>
      <c r="W13893" t="s">
        <v>44085</v>
      </c>
      <c r="X13893" t="s">
        <v>47322</v>
      </c>
    </row>
    <row r="13894" spans="1:24">
      <c r="A13894">
        <f>HYPERLINK("https://www.philgeps.gov.ph/GEPSNONPILOT/Tender/SplashBidNoticeAbstractUI.aspx?menuIndex=3&amp;refID=7166987&amp;Result=3","7166987")</f>
        <v>0</v>
      </c>
      <c r="B13894" t="s">
        <v>1435</v>
      </c>
      <c r="C13894" t="s">
        <v>17000</v>
      </c>
      <c r="D13894" t="s">
        <v>19025</v>
      </c>
      <c r="E13894" t="s">
        <v>21686</v>
      </c>
      <c r="F13894" t="s">
        <v>32606</v>
      </c>
      <c r="G13894" t="s">
        <v>32613</v>
      </c>
      <c r="H13894" t="s">
        <v>14201</v>
      </c>
      <c r="I13894" t="s">
        <v>32737</v>
      </c>
      <c r="J13894" t="s">
        <v>32795</v>
      </c>
      <c r="K13894" t="s">
        <v>42624</v>
      </c>
      <c r="M13894" t="s">
        <v>44913</v>
      </c>
      <c r="N13894" t="s">
        <v>47304</v>
      </c>
      <c r="O13894" t="s">
        <v>47305</v>
      </c>
      <c r="P13894">
        <v>0</v>
      </c>
      <c r="Q13894">
        <v>8</v>
      </c>
      <c r="R13894" t="s">
        <v>47321</v>
      </c>
      <c r="S13894" t="s">
        <v>48071</v>
      </c>
      <c r="T13894" t="s">
        <v>48987</v>
      </c>
      <c r="U13894" t="s">
        <v>61023</v>
      </c>
      <c r="W13894" t="s">
        <v>44913</v>
      </c>
      <c r="X13894" t="s">
        <v>47322</v>
      </c>
    </row>
    <row r="13895" spans="1:24">
      <c r="A13895">
        <f>HYPERLINK("https://www.philgeps.gov.ph/GEPSNONPILOT/Tender/SplashBidNoticeAbstractUI.aspx?menuIndex=3&amp;refID=7167380&amp;Result=3","7167380")</f>
        <v>0</v>
      </c>
      <c r="B13895" t="s">
        <v>3651</v>
      </c>
      <c r="C13895" t="s">
        <v>17001</v>
      </c>
      <c r="D13895" t="s">
        <v>19068</v>
      </c>
      <c r="E13895" t="s">
        <v>30837</v>
      </c>
      <c r="F13895" t="s">
        <v>32606</v>
      </c>
      <c r="G13895" t="s">
        <v>32613</v>
      </c>
      <c r="H13895" t="s">
        <v>32623</v>
      </c>
      <c r="I13895" t="s">
        <v>17648</v>
      </c>
      <c r="J13895" t="s">
        <v>41352</v>
      </c>
      <c r="K13895" t="s">
        <v>42648</v>
      </c>
      <c r="M13895" t="s">
        <v>46954</v>
      </c>
      <c r="N13895" t="s">
        <v>47304</v>
      </c>
      <c r="O13895" t="s">
        <v>47305</v>
      </c>
      <c r="P13895">
        <v>0</v>
      </c>
      <c r="Q13895">
        <v>1</v>
      </c>
      <c r="R13895" t="s">
        <v>47321</v>
      </c>
      <c r="S13895" t="s">
        <v>48071</v>
      </c>
      <c r="T13895" t="s">
        <v>49490</v>
      </c>
      <c r="U13895" t="s">
        <v>61024</v>
      </c>
      <c r="W13895" t="s">
        <v>46954</v>
      </c>
      <c r="X13895" t="s">
        <v>47322</v>
      </c>
    </row>
    <row r="13896" spans="1:24">
      <c r="A13896">
        <f>HYPERLINK("https://www.philgeps.gov.ph/GEPSNONPILOT/Tender/SplashBidNoticeAbstractUI.aspx?menuIndex=3&amp;refID=7166980&amp;Result=3","7166980")</f>
        <v>0</v>
      </c>
      <c r="B13896" t="s">
        <v>3667</v>
      </c>
      <c r="C13896" t="s">
        <v>17002</v>
      </c>
      <c r="D13896" t="s">
        <v>18992</v>
      </c>
      <c r="E13896" t="s">
        <v>30838</v>
      </c>
      <c r="F13896" t="s">
        <v>32606</v>
      </c>
      <c r="G13896" t="s">
        <v>32613</v>
      </c>
      <c r="H13896" t="s">
        <v>32623</v>
      </c>
      <c r="I13896" t="s">
        <v>17648</v>
      </c>
      <c r="J13896" t="s">
        <v>35427</v>
      </c>
      <c r="K13896" t="s">
        <v>42639</v>
      </c>
      <c r="M13896" t="s">
        <v>46972</v>
      </c>
      <c r="N13896" t="s">
        <v>47304</v>
      </c>
      <c r="O13896" t="s">
        <v>47305</v>
      </c>
      <c r="Q13896">
        <v>0</v>
      </c>
      <c r="R13896" t="s">
        <v>47321</v>
      </c>
      <c r="S13896" t="s">
        <v>48141</v>
      </c>
      <c r="T13896" t="s">
        <v>49002</v>
      </c>
      <c r="U13896" t="s">
        <v>61025</v>
      </c>
      <c r="W13896" t="s">
        <v>46972</v>
      </c>
      <c r="X13896" t="s">
        <v>47322</v>
      </c>
    </row>
    <row r="13897" spans="1:24">
      <c r="A13897">
        <f>HYPERLINK("https://www.philgeps.gov.ph/GEPSNONPILOT/Tender/SplashBidNoticeAbstractUI.aspx?menuIndex=3&amp;refID=7167431&amp;Result=3","7167431")</f>
        <v>0</v>
      </c>
      <c r="B13897" t="s">
        <v>3694</v>
      </c>
      <c r="C13897" t="s">
        <v>17003</v>
      </c>
      <c r="D13897" t="s">
        <v>18990</v>
      </c>
      <c r="E13897" t="s">
        <v>30839</v>
      </c>
      <c r="F13897" t="s">
        <v>32606</v>
      </c>
      <c r="G13897" t="s">
        <v>32613</v>
      </c>
      <c r="H13897" t="s">
        <v>32623</v>
      </c>
      <c r="I13897" t="s">
        <v>17648</v>
      </c>
      <c r="J13897" t="s">
        <v>41353</v>
      </c>
      <c r="K13897" t="s">
        <v>42643</v>
      </c>
      <c r="M13897" t="s">
        <v>47003</v>
      </c>
      <c r="N13897" t="s">
        <v>47304</v>
      </c>
      <c r="O13897" t="s">
        <v>47305</v>
      </c>
      <c r="Q13897">
        <v>0</v>
      </c>
      <c r="R13897" t="s">
        <v>47321</v>
      </c>
      <c r="S13897" t="s">
        <v>48142</v>
      </c>
      <c r="T13897" t="s">
        <v>49018</v>
      </c>
      <c r="U13897" t="s">
        <v>61026</v>
      </c>
      <c r="W13897" t="s">
        <v>47003</v>
      </c>
      <c r="X13897" t="s">
        <v>47322</v>
      </c>
    </row>
    <row r="13898" spans="1:24">
      <c r="A13898">
        <f>HYPERLINK("https://www.philgeps.gov.ph/GEPSNONPILOT/Tender/SplashBidNoticeAbstractUI.aspx?menuIndex=3&amp;refID=7167328&amp;Result=3","7167328")</f>
        <v>0</v>
      </c>
      <c r="B13898" t="s">
        <v>940</v>
      </c>
      <c r="C13898" t="s">
        <v>17004</v>
      </c>
      <c r="D13898" t="s">
        <v>19024</v>
      </c>
      <c r="E13898" t="s">
        <v>30840</v>
      </c>
      <c r="F13898" t="s">
        <v>32606</v>
      </c>
      <c r="G13898" t="s">
        <v>32613</v>
      </c>
      <c r="H13898" t="s">
        <v>14201</v>
      </c>
      <c r="I13898" t="s">
        <v>32633</v>
      </c>
      <c r="J13898" t="s">
        <v>35602</v>
      </c>
      <c r="K13898" t="s">
        <v>42623</v>
      </c>
      <c r="M13898" t="s">
        <v>43881</v>
      </c>
      <c r="N13898" t="s">
        <v>47304</v>
      </c>
      <c r="O13898" t="s">
        <v>47305</v>
      </c>
      <c r="P13898">
        <v>0</v>
      </c>
      <c r="Q13898">
        <v>6</v>
      </c>
      <c r="R13898" t="s">
        <v>47321</v>
      </c>
      <c r="S13898" t="s">
        <v>48071</v>
      </c>
      <c r="T13898" t="s">
        <v>48982</v>
      </c>
      <c r="U13898" t="s">
        <v>61027</v>
      </c>
      <c r="W13898" t="s">
        <v>43881</v>
      </c>
      <c r="X13898" t="s">
        <v>47322</v>
      </c>
    </row>
    <row r="13899" spans="1:24">
      <c r="A13899">
        <f>HYPERLINK("https://www.philgeps.gov.ph/GEPSNONPILOT/Tender/SplashBidNoticeAbstractUI.aspx?menuIndex=3&amp;refID=7167303&amp;Result=3","7167303")</f>
        <v>0</v>
      </c>
      <c r="B13899" t="s">
        <v>3695</v>
      </c>
      <c r="C13899" t="s">
        <v>17005</v>
      </c>
      <c r="D13899" t="s">
        <v>19007</v>
      </c>
      <c r="E13899" t="s">
        <v>29302</v>
      </c>
      <c r="F13899" t="s">
        <v>32606</v>
      </c>
      <c r="G13899" t="s">
        <v>32613</v>
      </c>
      <c r="H13899" t="s">
        <v>32623</v>
      </c>
      <c r="I13899" t="s">
        <v>17648</v>
      </c>
      <c r="J13899" t="s">
        <v>33441</v>
      </c>
      <c r="K13899" t="s">
        <v>42623</v>
      </c>
      <c r="M13899" t="s">
        <v>47004</v>
      </c>
      <c r="N13899" t="s">
        <v>47304</v>
      </c>
      <c r="O13899" t="s">
        <v>47305</v>
      </c>
      <c r="P13899">
        <v>0</v>
      </c>
      <c r="Q13899">
        <v>0</v>
      </c>
      <c r="R13899" t="s">
        <v>47321</v>
      </c>
      <c r="S13899" t="s">
        <v>48071</v>
      </c>
      <c r="T13899" t="s">
        <v>48987</v>
      </c>
      <c r="U13899" t="s">
        <v>61028</v>
      </c>
      <c r="W13899" t="s">
        <v>47004</v>
      </c>
      <c r="X13899" t="s">
        <v>47322</v>
      </c>
    </row>
    <row r="13900" spans="1:24">
      <c r="A13900">
        <f>HYPERLINK("https://www.philgeps.gov.ph/GEPSNONPILOT/Tender/SplashBidNoticeAbstractUI.aspx?menuIndex=3&amp;refID=7167421&amp;Result=3","7167421")</f>
        <v>0</v>
      </c>
      <c r="B13900" t="s">
        <v>3696</v>
      </c>
      <c r="C13900" t="s">
        <v>17006</v>
      </c>
      <c r="D13900" t="s">
        <v>19006</v>
      </c>
      <c r="E13900" t="s">
        <v>30841</v>
      </c>
      <c r="F13900" t="s">
        <v>32606</v>
      </c>
      <c r="G13900" t="s">
        <v>32613</v>
      </c>
      <c r="H13900" t="s">
        <v>14201</v>
      </c>
      <c r="I13900" t="s">
        <v>32640</v>
      </c>
      <c r="J13900" t="s">
        <v>33936</v>
      </c>
      <c r="K13900" t="s">
        <v>42636</v>
      </c>
      <c r="M13900" t="s">
        <v>47005</v>
      </c>
      <c r="N13900" t="s">
        <v>47304</v>
      </c>
      <c r="O13900" t="s">
        <v>47305</v>
      </c>
      <c r="P13900">
        <v>0</v>
      </c>
      <c r="Q13900">
        <v>6</v>
      </c>
      <c r="R13900" t="s">
        <v>47321</v>
      </c>
      <c r="S13900" t="s">
        <v>48071</v>
      </c>
      <c r="T13900" t="s">
        <v>48986</v>
      </c>
      <c r="U13900" t="s">
        <v>50223</v>
      </c>
      <c r="W13900" t="s">
        <v>47005</v>
      </c>
      <c r="X13900" t="s">
        <v>47322</v>
      </c>
    </row>
    <row r="13901" spans="1:24">
      <c r="A13901">
        <f>HYPERLINK("https://www.philgeps.gov.ph/GEPSNONPILOT/Tender/SplashBidNoticeAbstractUI.aspx?menuIndex=3&amp;refID=7167148&amp;Result=3","7167148")</f>
        <v>0</v>
      </c>
      <c r="B13901" t="s">
        <v>3697</v>
      </c>
      <c r="C13901" t="s">
        <v>17007</v>
      </c>
      <c r="D13901" t="s">
        <v>19006</v>
      </c>
      <c r="E13901" t="s">
        <v>30842</v>
      </c>
      <c r="F13901" t="s">
        <v>32606</v>
      </c>
      <c r="G13901" t="s">
        <v>32613</v>
      </c>
      <c r="H13901" t="s">
        <v>32623</v>
      </c>
      <c r="I13901" t="s">
        <v>17648</v>
      </c>
      <c r="J13901" t="s">
        <v>32765</v>
      </c>
      <c r="K13901" t="s">
        <v>42738</v>
      </c>
      <c r="M13901" t="s">
        <v>47006</v>
      </c>
      <c r="N13901" t="s">
        <v>47304</v>
      </c>
      <c r="O13901" t="s">
        <v>47305</v>
      </c>
      <c r="P13901">
        <v>0</v>
      </c>
      <c r="Q13901">
        <v>0</v>
      </c>
      <c r="R13901" t="s">
        <v>47321</v>
      </c>
      <c r="S13901" t="s">
        <v>48071</v>
      </c>
      <c r="T13901" t="s">
        <v>48987</v>
      </c>
      <c r="U13901" t="s">
        <v>61029</v>
      </c>
      <c r="V13901" t="s">
        <v>63773</v>
      </c>
      <c r="W13901" t="s">
        <v>47006</v>
      </c>
      <c r="X13901" t="s">
        <v>47322</v>
      </c>
    </row>
    <row r="13902" spans="1:24">
      <c r="A13902">
        <f>HYPERLINK("https://www.philgeps.gov.ph/GEPSNONPILOT/Tender/SplashBidNoticeAbstractUI.aspx?menuIndex=3&amp;refID=7167513&amp;Result=3","7167513")</f>
        <v>0</v>
      </c>
      <c r="B13902" t="s">
        <v>1684</v>
      </c>
      <c r="C13902" t="s">
        <v>17008</v>
      </c>
      <c r="D13902" t="s">
        <v>19032</v>
      </c>
      <c r="E13902" t="s">
        <v>30843</v>
      </c>
      <c r="F13902" t="s">
        <v>32606</v>
      </c>
      <c r="G13902" t="s">
        <v>32613</v>
      </c>
      <c r="H13902" t="s">
        <v>32623</v>
      </c>
      <c r="I13902" t="s">
        <v>17648</v>
      </c>
      <c r="J13902" t="s">
        <v>41354</v>
      </c>
      <c r="K13902" t="s">
        <v>42641</v>
      </c>
      <c r="M13902" t="s">
        <v>44713</v>
      </c>
      <c r="N13902" t="s">
        <v>47304</v>
      </c>
      <c r="O13902" t="s">
        <v>47305</v>
      </c>
      <c r="P13902">
        <v>0</v>
      </c>
      <c r="Q13902">
        <v>0</v>
      </c>
      <c r="R13902" t="s">
        <v>47321</v>
      </c>
      <c r="S13902" t="s">
        <v>48071</v>
      </c>
      <c r="T13902" t="s">
        <v>49002</v>
      </c>
      <c r="U13902" t="s">
        <v>58657</v>
      </c>
      <c r="W13902" t="s">
        <v>44713</v>
      </c>
      <c r="X13902" t="s">
        <v>47322</v>
      </c>
    </row>
    <row r="13903" spans="1:24">
      <c r="A13903">
        <f>HYPERLINK("https://www.philgeps.gov.ph/GEPSNONPILOT/Tender/SplashBidNoticeAbstractUI.aspx?menuIndex=3&amp;refID=7166992&amp;Result=3","7166992")</f>
        <v>0</v>
      </c>
      <c r="B13903" t="s">
        <v>2308</v>
      </c>
      <c r="C13903" t="s">
        <v>17009</v>
      </c>
      <c r="D13903" t="s">
        <v>19063</v>
      </c>
      <c r="E13903" t="s">
        <v>30844</v>
      </c>
      <c r="F13903" t="s">
        <v>32606</v>
      </c>
      <c r="G13903" t="s">
        <v>32613</v>
      </c>
      <c r="H13903" t="s">
        <v>32623</v>
      </c>
      <c r="I13903" t="s">
        <v>17648</v>
      </c>
      <c r="J13903" t="s">
        <v>32821</v>
      </c>
      <c r="K13903" t="s">
        <v>42639</v>
      </c>
      <c r="M13903" t="s">
        <v>45414</v>
      </c>
      <c r="N13903" t="s">
        <v>47304</v>
      </c>
      <c r="O13903" t="s">
        <v>47305</v>
      </c>
      <c r="P13903">
        <v>0</v>
      </c>
      <c r="Q13903">
        <v>6</v>
      </c>
      <c r="R13903" t="s">
        <v>47321</v>
      </c>
      <c r="S13903" t="s">
        <v>48071</v>
      </c>
      <c r="T13903" t="s">
        <v>48987</v>
      </c>
      <c r="U13903" t="s">
        <v>61030</v>
      </c>
      <c r="V13903" t="s">
        <v>64146</v>
      </c>
      <c r="W13903" t="s">
        <v>45414</v>
      </c>
      <c r="X13903" t="s">
        <v>47322</v>
      </c>
    </row>
    <row r="13904" spans="1:24">
      <c r="A13904">
        <f>HYPERLINK("https://www.philgeps.gov.ph/GEPSNONPILOT/Tender/SplashBidNoticeAbstractUI.aspx?menuIndex=3&amp;refID=7167419&amp;Result=3","7167419")</f>
        <v>0</v>
      </c>
      <c r="B13904" t="s">
        <v>696</v>
      </c>
      <c r="C13904" t="s">
        <v>17010</v>
      </c>
      <c r="D13904" t="s">
        <v>19014</v>
      </c>
      <c r="E13904" t="s">
        <v>30845</v>
      </c>
      <c r="F13904" t="s">
        <v>32606</v>
      </c>
      <c r="G13904" t="s">
        <v>32617</v>
      </c>
      <c r="H13904" t="s">
        <v>14201</v>
      </c>
      <c r="I13904" t="s">
        <v>4114</v>
      </c>
      <c r="J13904" t="s">
        <v>41355</v>
      </c>
      <c r="K13904" t="s">
        <v>42627</v>
      </c>
      <c r="M13904" t="s">
        <v>45418</v>
      </c>
      <c r="N13904" t="s">
        <v>47304</v>
      </c>
      <c r="O13904" t="s">
        <v>47305</v>
      </c>
      <c r="Q13904">
        <v>10</v>
      </c>
      <c r="R13904" t="s">
        <v>47321</v>
      </c>
      <c r="S13904" t="s">
        <v>48143</v>
      </c>
      <c r="T13904" t="s">
        <v>49081</v>
      </c>
      <c r="U13904" t="s">
        <v>50770</v>
      </c>
      <c r="V13904" t="s">
        <v>64144</v>
      </c>
      <c r="W13904" t="s">
        <v>45418</v>
      </c>
      <c r="X13904" t="s">
        <v>47322</v>
      </c>
    </row>
    <row r="13905" spans="1:24">
      <c r="A13905">
        <f>HYPERLINK("https://www.philgeps.gov.ph/GEPSNONPILOT/Tender/SplashBidNoticeAbstractUI.aspx?menuIndex=3&amp;refID=7167500&amp;Result=3","7167500")</f>
        <v>0</v>
      </c>
      <c r="B13905" t="s">
        <v>1027</v>
      </c>
      <c r="C13905" t="s">
        <v>17011</v>
      </c>
      <c r="D13905" t="s">
        <v>19016</v>
      </c>
      <c r="E13905" t="s">
        <v>30846</v>
      </c>
      <c r="F13905" t="s">
        <v>32606</v>
      </c>
      <c r="G13905" t="s">
        <v>32613</v>
      </c>
      <c r="H13905" t="s">
        <v>32623</v>
      </c>
      <c r="I13905" t="s">
        <v>17648</v>
      </c>
      <c r="J13905" t="s">
        <v>32772</v>
      </c>
      <c r="K13905" t="s">
        <v>42639</v>
      </c>
      <c r="L13905" t="s">
        <v>1027</v>
      </c>
      <c r="M13905" t="s">
        <v>43979</v>
      </c>
      <c r="N13905" t="s">
        <v>47304</v>
      </c>
      <c r="O13905" t="s">
        <v>47305</v>
      </c>
      <c r="Q13905">
        <v>75</v>
      </c>
      <c r="R13905" t="s">
        <v>47321</v>
      </c>
      <c r="S13905" t="s">
        <v>48144</v>
      </c>
      <c r="T13905" t="s">
        <v>49023</v>
      </c>
      <c r="U13905" t="s">
        <v>61031</v>
      </c>
      <c r="W13905" t="s">
        <v>43979</v>
      </c>
      <c r="X13905" t="s">
        <v>47322</v>
      </c>
    </row>
    <row r="13906" spans="1:24">
      <c r="A13906">
        <f>HYPERLINK("https://www.philgeps.gov.ph/GEPSNONPILOT/Tender/SplashBidNoticeAbstractUI.aspx?menuIndex=3&amp;refID=7167494&amp;Result=3","7167494")</f>
        <v>0</v>
      </c>
      <c r="B13906" t="s">
        <v>1678</v>
      </c>
      <c r="C13906" t="s">
        <v>17012</v>
      </c>
      <c r="D13906" t="s">
        <v>18993</v>
      </c>
      <c r="E13906" t="s">
        <v>30847</v>
      </c>
      <c r="F13906" t="s">
        <v>32606</v>
      </c>
      <c r="G13906" t="s">
        <v>32613</v>
      </c>
      <c r="H13906" t="s">
        <v>14201</v>
      </c>
      <c r="I13906" t="s">
        <v>7064</v>
      </c>
      <c r="J13906" t="s">
        <v>32830</v>
      </c>
      <c r="K13906" t="s">
        <v>42636</v>
      </c>
      <c r="M13906" t="s">
        <v>44706</v>
      </c>
      <c r="N13906" t="s">
        <v>47304</v>
      </c>
      <c r="O13906" t="s">
        <v>47305</v>
      </c>
      <c r="Q13906">
        <v>11</v>
      </c>
      <c r="R13906" t="s">
        <v>47321</v>
      </c>
      <c r="S13906" t="s">
        <v>47973</v>
      </c>
      <c r="T13906" t="s">
        <v>49493</v>
      </c>
      <c r="U13906" t="s">
        <v>61032</v>
      </c>
      <c r="V13906" t="s">
        <v>63076</v>
      </c>
      <c r="W13906" t="s">
        <v>44706</v>
      </c>
      <c r="X13906" t="s">
        <v>47322</v>
      </c>
    </row>
    <row r="13907" spans="1:24">
      <c r="A13907">
        <f>HYPERLINK("https://www.philgeps.gov.ph/GEPSNONPILOT/Tender/SplashBidNoticeAbstractUI.aspx?menuIndex=3&amp;refID=7167518&amp;Result=3","7167518")</f>
        <v>0</v>
      </c>
      <c r="B13907" t="s">
        <v>1027</v>
      </c>
      <c r="C13907" t="s">
        <v>17013</v>
      </c>
      <c r="D13907" t="s">
        <v>19016</v>
      </c>
      <c r="E13907" t="s">
        <v>30848</v>
      </c>
      <c r="F13907" t="s">
        <v>32606</v>
      </c>
      <c r="G13907" t="s">
        <v>32613</v>
      </c>
      <c r="H13907" t="s">
        <v>32623</v>
      </c>
      <c r="I13907" t="s">
        <v>17648</v>
      </c>
      <c r="J13907" t="s">
        <v>32772</v>
      </c>
      <c r="K13907" t="s">
        <v>42641</v>
      </c>
      <c r="L13907" t="s">
        <v>1027</v>
      </c>
      <c r="M13907" t="s">
        <v>43979</v>
      </c>
      <c r="N13907" t="s">
        <v>47304</v>
      </c>
      <c r="O13907" t="s">
        <v>47305</v>
      </c>
      <c r="Q13907">
        <v>71</v>
      </c>
      <c r="R13907" t="s">
        <v>47321</v>
      </c>
      <c r="S13907" t="s">
        <v>48145</v>
      </c>
      <c r="T13907" t="s">
        <v>48986</v>
      </c>
      <c r="U13907" t="s">
        <v>61033</v>
      </c>
      <c r="W13907" t="s">
        <v>43979</v>
      </c>
      <c r="X13907" t="s">
        <v>47322</v>
      </c>
    </row>
    <row r="13908" spans="1:24">
      <c r="A13908">
        <f>HYPERLINK("https://www.philgeps.gov.ph/GEPSNONPILOT/Tender/SplashBidNoticeAbstractUI.aspx?menuIndex=3&amp;refID=7167547&amp;Result=3","7167547")</f>
        <v>0</v>
      </c>
      <c r="B13908" t="s">
        <v>3030</v>
      </c>
      <c r="C13908" t="s">
        <v>17014</v>
      </c>
      <c r="D13908" t="s">
        <v>19057</v>
      </c>
      <c r="E13908" t="s">
        <v>30849</v>
      </c>
      <c r="F13908" t="s">
        <v>32606</v>
      </c>
      <c r="G13908" t="s">
        <v>32613</v>
      </c>
      <c r="H13908" t="s">
        <v>32623</v>
      </c>
      <c r="I13908" t="s">
        <v>17648</v>
      </c>
      <c r="J13908" t="s">
        <v>32772</v>
      </c>
      <c r="K13908" t="s">
        <v>42646</v>
      </c>
      <c r="M13908" t="s">
        <v>46222</v>
      </c>
      <c r="N13908" t="s">
        <v>47304</v>
      </c>
      <c r="O13908" t="s">
        <v>47305</v>
      </c>
      <c r="P13908">
        <v>0</v>
      </c>
      <c r="Q13908">
        <v>1</v>
      </c>
      <c r="R13908" t="s">
        <v>47321</v>
      </c>
      <c r="S13908" t="s">
        <v>48071</v>
      </c>
      <c r="T13908" t="s">
        <v>48975</v>
      </c>
      <c r="U13908" t="s">
        <v>61034</v>
      </c>
      <c r="W13908" t="s">
        <v>46222</v>
      </c>
      <c r="X13908" t="s">
        <v>47322</v>
      </c>
    </row>
    <row r="13909" spans="1:24">
      <c r="A13909">
        <f>HYPERLINK("https://www.philgeps.gov.ph/GEPSNONPILOT/Tender/SplashBidNoticeAbstractUI.aspx?menuIndex=3&amp;refID=7167467&amp;Result=3","7167467")</f>
        <v>0</v>
      </c>
      <c r="B13909" t="s">
        <v>2372</v>
      </c>
      <c r="C13909" t="s">
        <v>17015</v>
      </c>
      <c r="D13909" t="s">
        <v>18994</v>
      </c>
      <c r="E13909" t="s">
        <v>30850</v>
      </c>
      <c r="F13909" t="s">
        <v>32606</v>
      </c>
      <c r="G13909" t="s">
        <v>32613</v>
      </c>
      <c r="H13909" t="s">
        <v>14201</v>
      </c>
      <c r="I13909" t="s">
        <v>13131</v>
      </c>
      <c r="J13909" t="s">
        <v>34561</v>
      </c>
      <c r="K13909" t="s">
        <v>42636</v>
      </c>
      <c r="M13909" t="s">
        <v>45487</v>
      </c>
      <c r="N13909" t="s">
        <v>47304</v>
      </c>
      <c r="O13909" t="s">
        <v>47305</v>
      </c>
      <c r="P13909">
        <v>0</v>
      </c>
      <c r="Q13909">
        <v>11</v>
      </c>
      <c r="R13909" t="s">
        <v>47321</v>
      </c>
      <c r="S13909" t="s">
        <v>48071</v>
      </c>
      <c r="T13909" t="s">
        <v>48987</v>
      </c>
      <c r="U13909" t="s">
        <v>61035</v>
      </c>
      <c r="W13909" t="s">
        <v>45487</v>
      </c>
      <c r="X13909" t="s">
        <v>47322</v>
      </c>
    </row>
    <row r="13910" spans="1:24">
      <c r="A13910">
        <f>HYPERLINK("https://www.philgeps.gov.ph/GEPSNONPILOT/Tender/SplashBidNoticeAbstractUI.aspx?menuIndex=3&amp;refID=7167464&amp;Result=3","7167464")</f>
        <v>0</v>
      </c>
      <c r="B13910" t="s">
        <v>3628</v>
      </c>
      <c r="C13910" t="s">
        <v>17016</v>
      </c>
      <c r="D13910" t="s">
        <v>19006</v>
      </c>
      <c r="E13910" t="s">
        <v>30851</v>
      </c>
      <c r="F13910" t="s">
        <v>32606</v>
      </c>
      <c r="G13910" t="s">
        <v>32613</v>
      </c>
      <c r="H13910" t="s">
        <v>14201</v>
      </c>
      <c r="I13910" t="s">
        <v>4678</v>
      </c>
      <c r="J13910" t="s">
        <v>41356</v>
      </c>
      <c r="K13910" t="s">
        <v>42631</v>
      </c>
      <c r="M13910" t="s">
        <v>46925</v>
      </c>
      <c r="N13910" t="s">
        <v>47304</v>
      </c>
      <c r="O13910" t="s">
        <v>47305</v>
      </c>
      <c r="Q13910">
        <v>10</v>
      </c>
      <c r="R13910" t="s">
        <v>47321</v>
      </c>
      <c r="S13910" t="s">
        <v>48146</v>
      </c>
      <c r="T13910" t="s">
        <v>48987</v>
      </c>
      <c r="U13910" t="s">
        <v>61036</v>
      </c>
      <c r="W13910" t="s">
        <v>46925</v>
      </c>
      <c r="X13910" t="s">
        <v>47322</v>
      </c>
    </row>
    <row r="13911" spans="1:24">
      <c r="A13911">
        <f>HYPERLINK("https://www.philgeps.gov.ph/GEPSNONPILOT/Tender/SplashBidNoticeAbstractUI.aspx?menuIndex=3&amp;refID=7167488&amp;Result=3","7167488")</f>
        <v>0</v>
      </c>
      <c r="B13911" t="s">
        <v>1684</v>
      </c>
      <c r="C13911" t="s">
        <v>17017</v>
      </c>
      <c r="D13911" t="s">
        <v>19032</v>
      </c>
      <c r="E13911" t="s">
        <v>30852</v>
      </c>
      <c r="F13911" t="s">
        <v>32606</v>
      </c>
      <c r="G13911" t="s">
        <v>32613</v>
      </c>
      <c r="H13911" t="s">
        <v>32623</v>
      </c>
      <c r="I13911" t="s">
        <v>17648</v>
      </c>
      <c r="J13911" t="s">
        <v>41357</v>
      </c>
      <c r="K13911" t="s">
        <v>42859</v>
      </c>
      <c r="M13911" t="s">
        <v>44713</v>
      </c>
      <c r="N13911" t="s">
        <v>47304</v>
      </c>
      <c r="O13911" t="s">
        <v>47305</v>
      </c>
      <c r="P13911">
        <v>0</v>
      </c>
      <c r="Q13911">
        <v>0</v>
      </c>
      <c r="R13911" t="s">
        <v>47321</v>
      </c>
      <c r="S13911" t="s">
        <v>48071</v>
      </c>
      <c r="T13911" t="s">
        <v>49002</v>
      </c>
      <c r="U13911" t="s">
        <v>58782</v>
      </c>
      <c r="W13911" t="s">
        <v>44713</v>
      </c>
      <c r="X13911" t="s">
        <v>47322</v>
      </c>
    </row>
    <row r="13912" spans="1:24">
      <c r="A13912">
        <f>HYPERLINK("https://www.philgeps.gov.ph/GEPSNONPILOT/Tender/SplashBidNoticeAbstractUI.aspx?menuIndex=3&amp;refID=7167445&amp;Result=3","7167445")</f>
        <v>0</v>
      </c>
      <c r="B13912" t="s">
        <v>1653</v>
      </c>
      <c r="C13912" t="s">
        <v>17018</v>
      </c>
      <c r="D13912" t="s">
        <v>19056</v>
      </c>
      <c r="E13912" t="s">
        <v>19663</v>
      </c>
      <c r="F13912" t="s">
        <v>32606</v>
      </c>
      <c r="G13912" t="s">
        <v>32613</v>
      </c>
      <c r="H13912" t="s">
        <v>32623</v>
      </c>
      <c r="I13912" t="s">
        <v>17648</v>
      </c>
      <c r="J13912" t="s">
        <v>41358</v>
      </c>
      <c r="K13912" t="s">
        <v>42695</v>
      </c>
      <c r="M13912" t="s">
        <v>44677</v>
      </c>
      <c r="N13912" t="s">
        <v>47304</v>
      </c>
      <c r="O13912" t="s">
        <v>47305</v>
      </c>
      <c r="P13912">
        <v>0</v>
      </c>
      <c r="Q13912">
        <v>1</v>
      </c>
      <c r="R13912" t="s">
        <v>47321</v>
      </c>
      <c r="S13912" t="s">
        <v>48071</v>
      </c>
      <c r="T13912" t="s">
        <v>48987</v>
      </c>
      <c r="U13912" t="s">
        <v>61037</v>
      </c>
      <c r="W13912" t="s">
        <v>44677</v>
      </c>
      <c r="X13912" t="s">
        <v>47322</v>
      </c>
    </row>
    <row r="13913" spans="1:24">
      <c r="A13913">
        <f>HYPERLINK("https://www.philgeps.gov.ph/GEPSNONPILOT/Tender/SplashBidNoticeAbstractUI.aspx?menuIndex=3&amp;refID=7167502&amp;Result=3","7167502")</f>
        <v>0</v>
      </c>
      <c r="B13913" t="s">
        <v>3698</v>
      </c>
      <c r="C13913" t="s">
        <v>17019</v>
      </c>
      <c r="D13913" t="s">
        <v>19054</v>
      </c>
      <c r="E13913" t="s">
        <v>27177</v>
      </c>
      <c r="F13913" t="s">
        <v>32606</v>
      </c>
      <c r="G13913" t="s">
        <v>32613</v>
      </c>
      <c r="H13913" t="s">
        <v>32623</v>
      </c>
      <c r="I13913" t="s">
        <v>32664</v>
      </c>
      <c r="J13913" t="s">
        <v>34667</v>
      </c>
      <c r="K13913" t="s">
        <v>42636</v>
      </c>
      <c r="M13913" t="s">
        <v>47007</v>
      </c>
      <c r="N13913" t="s">
        <v>47304</v>
      </c>
      <c r="O13913" t="s">
        <v>47305</v>
      </c>
      <c r="Q13913">
        <v>1</v>
      </c>
      <c r="R13913" t="s">
        <v>47321</v>
      </c>
      <c r="S13913" t="s">
        <v>48147</v>
      </c>
      <c r="T13913" t="s">
        <v>49076</v>
      </c>
      <c r="U13913" t="s">
        <v>61038</v>
      </c>
      <c r="V13913" t="s">
        <v>64147</v>
      </c>
      <c r="W13913" t="s">
        <v>47007</v>
      </c>
      <c r="X13913" t="s">
        <v>47322</v>
      </c>
    </row>
    <row r="13914" spans="1:24">
      <c r="A13914">
        <f>HYPERLINK("https://www.philgeps.gov.ph/GEPSNONPILOT/Tender/SplashBidNoticeAbstractUI.aspx?menuIndex=3&amp;refID=7167341&amp;Result=3","7167341")</f>
        <v>0</v>
      </c>
      <c r="B13914" t="s">
        <v>1653</v>
      </c>
      <c r="C13914" t="s">
        <v>17020</v>
      </c>
      <c r="D13914" t="s">
        <v>19056</v>
      </c>
      <c r="E13914" t="s">
        <v>19670</v>
      </c>
      <c r="F13914" t="s">
        <v>32606</v>
      </c>
      <c r="G13914" t="s">
        <v>32613</v>
      </c>
      <c r="H13914" t="s">
        <v>32623</v>
      </c>
      <c r="I13914" t="s">
        <v>17648</v>
      </c>
      <c r="J13914" t="s">
        <v>41359</v>
      </c>
      <c r="K13914" t="s">
        <v>42761</v>
      </c>
      <c r="M13914" t="s">
        <v>44677</v>
      </c>
      <c r="N13914" t="s">
        <v>47304</v>
      </c>
      <c r="O13914" t="s">
        <v>47305</v>
      </c>
      <c r="P13914">
        <v>0</v>
      </c>
      <c r="Q13914">
        <v>1</v>
      </c>
      <c r="R13914" t="s">
        <v>47321</v>
      </c>
      <c r="S13914" t="s">
        <v>48071</v>
      </c>
      <c r="T13914" t="s">
        <v>48987</v>
      </c>
      <c r="U13914" t="s">
        <v>61039</v>
      </c>
      <c r="W13914" t="s">
        <v>44677</v>
      </c>
      <c r="X13914" t="s">
        <v>47322</v>
      </c>
    </row>
    <row r="13915" spans="1:24">
      <c r="A13915">
        <f>HYPERLINK("https://www.philgeps.gov.ph/GEPSNONPILOT/Tender/SplashBidNoticeAbstractUI.aspx?menuIndex=3&amp;refID=7167447&amp;Result=3","7167447")</f>
        <v>0</v>
      </c>
      <c r="B13915" t="s">
        <v>3698</v>
      </c>
      <c r="C13915" t="s">
        <v>17021</v>
      </c>
      <c r="D13915" t="s">
        <v>19054</v>
      </c>
      <c r="E13915" t="s">
        <v>27188</v>
      </c>
      <c r="F13915" t="s">
        <v>32606</v>
      </c>
      <c r="G13915" t="s">
        <v>32613</v>
      </c>
      <c r="H13915" t="s">
        <v>14201</v>
      </c>
      <c r="I13915" t="s">
        <v>32640</v>
      </c>
      <c r="J13915" t="s">
        <v>33079</v>
      </c>
      <c r="K13915" t="s">
        <v>42631</v>
      </c>
      <c r="M13915" t="s">
        <v>47007</v>
      </c>
      <c r="N13915" t="s">
        <v>47304</v>
      </c>
      <c r="O13915" t="s">
        <v>47305</v>
      </c>
      <c r="Q13915">
        <v>0</v>
      </c>
      <c r="R13915" t="s">
        <v>47321</v>
      </c>
      <c r="S13915" t="s">
        <v>47473</v>
      </c>
      <c r="T13915" t="s">
        <v>49076</v>
      </c>
      <c r="U13915" t="s">
        <v>61040</v>
      </c>
      <c r="V13915" t="s">
        <v>64147</v>
      </c>
      <c r="W13915" t="s">
        <v>47007</v>
      </c>
      <c r="X13915" t="s">
        <v>47322</v>
      </c>
    </row>
    <row r="13916" spans="1:24">
      <c r="A13916">
        <f>HYPERLINK("https://www.philgeps.gov.ph/GEPSNONPILOT/Tender/SplashBidNoticeAbstractUI.aspx?menuIndex=3&amp;refID=7167565&amp;Result=3","7167565")</f>
        <v>0</v>
      </c>
      <c r="B13916" t="s">
        <v>455</v>
      </c>
      <c r="C13916" t="s">
        <v>17022</v>
      </c>
      <c r="D13916" t="s">
        <v>18990</v>
      </c>
      <c r="E13916" t="s">
        <v>30853</v>
      </c>
      <c r="F13916" t="s">
        <v>32606</v>
      </c>
      <c r="G13916" t="s">
        <v>32613</v>
      </c>
      <c r="H13916" t="s">
        <v>32623</v>
      </c>
      <c r="I13916" t="s">
        <v>17648</v>
      </c>
      <c r="J13916" t="s">
        <v>41360</v>
      </c>
      <c r="K13916" t="s">
        <v>42667</v>
      </c>
      <c r="M13916" t="s">
        <v>47008</v>
      </c>
      <c r="N13916" t="s">
        <v>47304</v>
      </c>
      <c r="O13916" t="s">
        <v>47305</v>
      </c>
      <c r="Q13916">
        <v>0</v>
      </c>
      <c r="R13916" t="s">
        <v>47321</v>
      </c>
      <c r="S13916" t="s">
        <v>48148</v>
      </c>
      <c r="T13916" t="s">
        <v>48980</v>
      </c>
      <c r="U13916" t="s">
        <v>61041</v>
      </c>
      <c r="W13916" t="s">
        <v>47008</v>
      </c>
      <c r="X13916" t="s">
        <v>47322</v>
      </c>
    </row>
    <row r="13917" spans="1:24">
      <c r="A13917">
        <f>HYPERLINK("https://www.philgeps.gov.ph/GEPSNONPILOT/Tender/SplashBidNoticeAbstractUI.aspx?menuIndex=3&amp;refID=7167554&amp;Result=3","7167554")</f>
        <v>0</v>
      </c>
      <c r="B13917" t="s">
        <v>455</v>
      </c>
      <c r="C13917" t="s">
        <v>17023</v>
      </c>
      <c r="D13917" t="s">
        <v>18990</v>
      </c>
      <c r="E13917" t="s">
        <v>30854</v>
      </c>
      <c r="F13917" t="s">
        <v>32606</v>
      </c>
      <c r="G13917" t="s">
        <v>32613</v>
      </c>
      <c r="H13917" t="s">
        <v>32623</v>
      </c>
      <c r="I13917" t="s">
        <v>17648</v>
      </c>
      <c r="J13917" t="s">
        <v>41361</v>
      </c>
      <c r="K13917" t="s">
        <v>42798</v>
      </c>
      <c r="M13917" t="s">
        <v>47008</v>
      </c>
      <c r="N13917" t="s">
        <v>47304</v>
      </c>
      <c r="O13917" t="s">
        <v>47305</v>
      </c>
      <c r="Q13917">
        <v>1</v>
      </c>
      <c r="R13917" t="s">
        <v>47321</v>
      </c>
      <c r="S13917" t="s">
        <v>48149</v>
      </c>
      <c r="T13917" t="s">
        <v>48980</v>
      </c>
      <c r="U13917" t="s">
        <v>61041</v>
      </c>
      <c r="W13917" t="s">
        <v>47008</v>
      </c>
      <c r="X13917" t="s">
        <v>47322</v>
      </c>
    </row>
    <row r="13918" spans="1:24">
      <c r="A13918">
        <f>HYPERLINK("https://www.philgeps.gov.ph/GEPSNONPILOT/Tender/SplashBidNoticeAbstractUI.aspx?menuIndex=3&amp;refID=7167702&amp;Result=3","7167702")</f>
        <v>0</v>
      </c>
      <c r="B13918" t="s">
        <v>732</v>
      </c>
      <c r="C13918" t="s">
        <v>17024</v>
      </c>
      <c r="D13918" t="s">
        <v>19016</v>
      </c>
      <c r="E13918" t="s">
        <v>30855</v>
      </c>
      <c r="F13918" t="s">
        <v>32606</v>
      </c>
      <c r="G13918" t="s">
        <v>32618</v>
      </c>
      <c r="H13918" t="s">
        <v>14201</v>
      </c>
      <c r="I13918" t="s">
        <v>32629</v>
      </c>
      <c r="J13918" t="s">
        <v>37561</v>
      </c>
      <c r="K13918" t="s">
        <v>42646</v>
      </c>
      <c r="M13918" t="s">
        <v>43654</v>
      </c>
      <c r="N13918" t="s">
        <v>47304</v>
      </c>
      <c r="O13918" t="s">
        <v>47305</v>
      </c>
      <c r="P13918">
        <v>0</v>
      </c>
      <c r="Q13918">
        <v>0</v>
      </c>
      <c r="R13918" t="s">
        <v>47321</v>
      </c>
      <c r="S13918" t="s">
        <v>48071</v>
      </c>
      <c r="T13918" t="s">
        <v>48986</v>
      </c>
      <c r="U13918" t="s">
        <v>61042</v>
      </c>
      <c r="W13918" t="s">
        <v>43654</v>
      </c>
      <c r="X13918" t="s">
        <v>47322</v>
      </c>
    </row>
    <row r="13919" spans="1:24">
      <c r="A13919">
        <f>HYPERLINK("https://www.philgeps.gov.ph/GEPSNONPILOT/Tender/SplashBidNoticeAbstractUI.aspx?menuIndex=3&amp;refID=7167696&amp;Result=3","7167696")</f>
        <v>0</v>
      </c>
      <c r="B13919" t="s">
        <v>445</v>
      </c>
      <c r="C13919" t="s">
        <v>17025</v>
      </c>
      <c r="D13919" t="s">
        <v>19056</v>
      </c>
      <c r="E13919" t="s">
        <v>30856</v>
      </c>
      <c r="F13919" t="s">
        <v>32606</v>
      </c>
      <c r="G13919" t="s">
        <v>32613</v>
      </c>
      <c r="H13919" t="s">
        <v>14201</v>
      </c>
      <c r="I13919" t="s">
        <v>32635</v>
      </c>
      <c r="J13919" t="s">
        <v>41362</v>
      </c>
      <c r="K13919" t="s">
        <v>42631</v>
      </c>
      <c r="M13919" t="s">
        <v>43353</v>
      </c>
      <c r="N13919" t="s">
        <v>47304</v>
      </c>
      <c r="O13919" t="s">
        <v>47305</v>
      </c>
      <c r="P13919">
        <v>0</v>
      </c>
      <c r="Q13919">
        <v>8</v>
      </c>
      <c r="R13919" t="s">
        <v>47321</v>
      </c>
      <c r="S13919" t="s">
        <v>48071</v>
      </c>
      <c r="T13919" t="s">
        <v>48987</v>
      </c>
      <c r="U13919" t="s">
        <v>61043</v>
      </c>
      <c r="W13919" t="s">
        <v>64434</v>
      </c>
      <c r="X13919" t="s">
        <v>47322</v>
      </c>
    </row>
    <row r="13920" spans="1:24">
      <c r="A13920">
        <f>HYPERLINK("https://www.philgeps.gov.ph/GEPSNONPILOT/Tender/SplashBidNoticeAbstractUI.aspx?menuIndex=3&amp;refID=7167463&amp;Result=3","7167463")</f>
        <v>0</v>
      </c>
      <c r="B13920" t="s">
        <v>1123</v>
      </c>
      <c r="C13920" t="s">
        <v>17026</v>
      </c>
      <c r="E13920" t="s">
        <v>30857</v>
      </c>
      <c r="F13920" t="s">
        <v>32606</v>
      </c>
      <c r="G13920" t="s">
        <v>32613</v>
      </c>
      <c r="H13920" t="s">
        <v>14201</v>
      </c>
      <c r="I13920" t="s">
        <v>32627</v>
      </c>
      <c r="J13920" t="s">
        <v>41363</v>
      </c>
      <c r="K13920" t="s">
        <v>42646</v>
      </c>
      <c r="M13920" t="s">
        <v>44085</v>
      </c>
      <c r="N13920" t="s">
        <v>47304</v>
      </c>
      <c r="O13920" t="s">
        <v>47305</v>
      </c>
      <c r="P13920">
        <v>0</v>
      </c>
      <c r="Q13920">
        <v>8</v>
      </c>
      <c r="R13920" t="s">
        <v>47321</v>
      </c>
      <c r="S13920" t="s">
        <v>48071</v>
      </c>
      <c r="T13920" t="s">
        <v>49011</v>
      </c>
      <c r="U13920" t="s">
        <v>61011</v>
      </c>
      <c r="W13920" t="s">
        <v>44085</v>
      </c>
      <c r="X13920" t="s">
        <v>47322</v>
      </c>
    </row>
    <row r="13921" spans="1:24">
      <c r="A13921">
        <f>HYPERLINK("https://www.philgeps.gov.ph/GEPSNONPILOT/Tender/SplashBidNoticeAbstractUI.aspx?menuIndex=3&amp;refID=7167436&amp;Result=3","7167436")</f>
        <v>0</v>
      </c>
      <c r="B13921" t="s">
        <v>1123</v>
      </c>
      <c r="C13921" t="s">
        <v>17027</v>
      </c>
      <c r="E13921" t="s">
        <v>30858</v>
      </c>
      <c r="F13921" t="s">
        <v>32606</v>
      </c>
      <c r="G13921" t="s">
        <v>32613</v>
      </c>
      <c r="H13921" t="s">
        <v>14201</v>
      </c>
      <c r="I13921" t="s">
        <v>32627</v>
      </c>
      <c r="J13921" t="s">
        <v>41364</v>
      </c>
      <c r="K13921" t="s">
        <v>42646</v>
      </c>
      <c r="M13921" t="s">
        <v>44085</v>
      </c>
      <c r="N13921" t="s">
        <v>47304</v>
      </c>
      <c r="O13921" t="s">
        <v>47305</v>
      </c>
      <c r="P13921">
        <v>0</v>
      </c>
      <c r="Q13921">
        <v>11</v>
      </c>
      <c r="R13921" t="s">
        <v>47321</v>
      </c>
      <c r="S13921" t="s">
        <v>48071</v>
      </c>
      <c r="T13921" t="s">
        <v>49011</v>
      </c>
      <c r="U13921" t="s">
        <v>61011</v>
      </c>
      <c r="W13921" t="s">
        <v>44085</v>
      </c>
      <c r="X13921" t="s">
        <v>47322</v>
      </c>
    </row>
    <row r="13922" spans="1:24">
      <c r="A13922">
        <f>HYPERLINK("https://www.philgeps.gov.ph/GEPSNONPILOT/Tender/SplashBidNoticeAbstractUI.aspx?menuIndex=3&amp;refID=7167752&amp;Result=3","7167752")</f>
        <v>0</v>
      </c>
      <c r="B13922" t="s">
        <v>1972</v>
      </c>
      <c r="C13922" t="s">
        <v>17028</v>
      </c>
      <c r="D13922" t="s">
        <v>19056</v>
      </c>
      <c r="E13922" t="s">
        <v>30859</v>
      </c>
      <c r="F13922" t="s">
        <v>32606</v>
      </c>
      <c r="G13922" t="s">
        <v>32613</v>
      </c>
      <c r="H13922" t="s">
        <v>32623</v>
      </c>
      <c r="I13922" t="s">
        <v>17648</v>
      </c>
      <c r="J13922" t="s">
        <v>41365</v>
      </c>
      <c r="K13922" t="s">
        <v>42715</v>
      </c>
      <c r="M13922" t="s">
        <v>45035</v>
      </c>
      <c r="N13922" t="s">
        <v>47304</v>
      </c>
      <c r="O13922" t="s">
        <v>47305</v>
      </c>
      <c r="P13922">
        <v>0</v>
      </c>
      <c r="Q13922">
        <v>2</v>
      </c>
      <c r="R13922" t="s">
        <v>47321</v>
      </c>
      <c r="S13922" t="s">
        <v>48071</v>
      </c>
      <c r="T13922" t="s">
        <v>48987</v>
      </c>
      <c r="U13922" t="s">
        <v>61044</v>
      </c>
      <c r="W13922" t="s">
        <v>45035</v>
      </c>
      <c r="X13922" t="s">
        <v>47322</v>
      </c>
    </row>
    <row r="13923" spans="1:24">
      <c r="A13923">
        <f>HYPERLINK("https://www.philgeps.gov.ph/GEPSNONPILOT/Tender/SplashBidNoticeAbstractUI.aspx?menuIndex=3&amp;refID=7167733&amp;Result=3","7167733")</f>
        <v>0</v>
      </c>
      <c r="B13923" t="s">
        <v>1092</v>
      </c>
      <c r="C13923" t="s">
        <v>17029</v>
      </c>
      <c r="D13923" t="s">
        <v>18993</v>
      </c>
      <c r="E13923" t="s">
        <v>30860</v>
      </c>
      <c r="F13923" t="s">
        <v>32606</v>
      </c>
      <c r="G13923" t="s">
        <v>32613</v>
      </c>
      <c r="H13923" t="s">
        <v>14201</v>
      </c>
      <c r="I13923" t="s">
        <v>32640</v>
      </c>
      <c r="J13923" t="s">
        <v>41366</v>
      </c>
      <c r="K13923" t="s">
        <v>42631</v>
      </c>
      <c r="M13923" t="s">
        <v>46287</v>
      </c>
      <c r="N13923" t="s">
        <v>47304</v>
      </c>
      <c r="O13923" t="s">
        <v>47305</v>
      </c>
      <c r="Q13923">
        <v>11</v>
      </c>
      <c r="R13923" t="s">
        <v>47321</v>
      </c>
      <c r="S13923" t="s">
        <v>48150</v>
      </c>
      <c r="T13923" t="s">
        <v>49011</v>
      </c>
      <c r="U13923" t="s">
        <v>61045</v>
      </c>
      <c r="W13923" t="s">
        <v>46287</v>
      </c>
      <c r="X13923" t="s">
        <v>47322</v>
      </c>
    </row>
    <row r="13924" spans="1:24">
      <c r="A13924">
        <f>HYPERLINK("https://www.philgeps.gov.ph/GEPSNONPILOT/Tender/SplashBidNoticeAbstractUI.aspx?menuIndex=3&amp;refID=7167691&amp;Result=3","7167691")</f>
        <v>0</v>
      </c>
      <c r="B13924" t="s">
        <v>3699</v>
      </c>
      <c r="C13924" t="s">
        <v>17030</v>
      </c>
      <c r="D13924" t="s">
        <v>19006</v>
      </c>
      <c r="E13924" t="s">
        <v>30861</v>
      </c>
      <c r="F13924" t="s">
        <v>32606</v>
      </c>
      <c r="G13924" t="s">
        <v>32613</v>
      </c>
      <c r="H13924" t="s">
        <v>14201</v>
      </c>
      <c r="I13924" t="s">
        <v>32656</v>
      </c>
      <c r="J13924" t="s">
        <v>35853</v>
      </c>
      <c r="K13924" t="s">
        <v>42631</v>
      </c>
      <c r="M13924" t="s">
        <v>47009</v>
      </c>
      <c r="N13924" t="s">
        <v>47304</v>
      </c>
      <c r="O13924" t="s">
        <v>47305</v>
      </c>
      <c r="P13924">
        <v>0</v>
      </c>
      <c r="Q13924">
        <v>6</v>
      </c>
      <c r="R13924" t="s">
        <v>47321</v>
      </c>
      <c r="S13924" t="s">
        <v>48071</v>
      </c>
      <c r="T13924" t="s">
        <v>49081</v>
      </c>
      <c r="U13924" t="s">
        <v>61046</v>
      </c>
      <c r="W13924" t="s">
        <v>47009</v>
      </c>
      <c r="X13924" t="s">
        <v>47322</v>
      </c>
    </row>
    <row r="13925" spans="1:24">
      <c r="A13925">
        <f>HYPERLINK("https://www.philgeps.gov.ph/GEPSNONPILOT/Tender/SplashBidNoticeAbstractUI.aspx?menuIndex=3&amp;refID=7167731&amp;Result=3","7167731")</f>
        <v>0</v>
      </c>
      <c r="B13925" t="s">
        <v>3399</v>
      </c>
      <c r="C13925" t="s">
        <v>17031</v>
      </c>
      <c r="D13925" t="s">
        <v>18993</v>
      </c>
      <c r="E13925" t="s">
        <v>17031</v>
      </c>
      <c r="F13925" t="s">
        <v>32606</v>
      </c>
      <c r="G13925" t="s">
        <v>32613</v>
      </c>
      <c r="H13925" t="s">
        <v>14201</v>
      </c>
      <c r="I13925" t="s">
        <v>13131</v>
      </c>
      <c r="J13925" t="s">
        <v>41367</v>
      </c>
      <c r="K13925" t="s">
        <v>42631</v>
      </c>
      <c r="M13925" t="s">
        <v>46652</v>
      </c>
      <c r="N13925" t="s">
        <v>47304</v>
      </c>
      <c r="O13925" t="s">
        <v>47305</v>
      </c>
      <c r="Q13925">
        <v>27</v>
      </c>
      <c r="R13925" t="s">
        <v>47321</v>
      </c>
      <c r="S13925" t="s">
        <v>48151</v>
      </c>
      <c r="T13925" t="s">
        <v>48996</v>
      </c>
      <c r="U13925" t="s">
        <v>61047</v>
      </c>
      <c r="V13925" t="s">
        <v>63927</v>
      </c>
      <c r="W13925" t="s">
        <v>46652</v>
      </c>
      <c r="X13925" t="s">
        <v>47322</v>
      </c>
    </row>
    <row r="13926" spans="1:24">
      <c r="A13926">
        <f>HYPERLINK("https://www.philgeps.gov.ph/GEPSNONPILOT/Tender/SplashBidNoticeAbstractUI.aspx?menuIndex=3&amp;refID=7167688&amp;Result=3","7167688")</f>
        <v>0</v>
      </c>
      <c r="B13926" t="s">
        <v>3008</v>
      </c>
      <c r="C13926" t="s">
        <v>17032</v>
      </c>
      <c r="D13926" t="s">
        <v>18993</v>
      </c>
      <c r="E13926" t="s">
        <v>19360</v>
      </c>
      <c r="F13926" t="s">
        <v>32606</v>
      </c>
      <c r="G13926" t="s">
        <v>32613</v>
      </c>
      <c r="H13926" t="s">
        <v>14201</v>
      </c>
      <c r="I13926" t="s">
        <v>32714</v>
      </c>
      <c r="J13926" t="s">
        <v>32756</v>
      </c>
      <c r="K13926" t="s">
        <v>42636</v>
      </c>
      <c r="M13926" t="s">
        <v>46197</v>
      </c>
      <c r="N13926" t="s">
        <v>47304</v>
      </c>
      <c r="O13926" t="s">
        <v>47305</v>
      </c>
      <c r="P13926">
        <v>0</v>
      </c>
      <c r="Q13926">
        <v>16</v>
      </c>
      <c r="R13926" t="s">
        <v>47321</v>
      </c>
      <c r="S13926" t="s">
        <v>48071</v>
      </c>
      <c r="T13926" t="s">
        <v>49167</v>
      </c>
      <c r="U13926" t="s">
        <v>61048</v>
      </c>
      <c r="V13926" t="s">
        <v>62763</v>
      </c>
      <c r="W13926" t="s">
        <v>46197</v>
      </c>
      <c r="X13926" t="s">
        <v>47322</v>
      </c>
    </row>
    <row r="13927" spans="1:24">
      <c r="A13927">
        <f>HYPERLINK("https://www.philgeps.gov.ph/GEPSNONPILOT/Tender/SplashBidNoticeAbstractUI.aspx?menuIndex=3&amp;refID=7167683&amp;Result=3","7167683")</f>
        <v>0</v>
      </c>
      <c r="B13927" t="s">
        <v>2627</v>
      </c>
      <c r="C13927" t="s">
        <v>17033</v>
      </c>
      <c r="D13927" t="s">
        <v>19006</v>
      </c>
      <c r="E13927" t="s">
        <v>20998</v>
      </c>
      <c r="F13927" t="s">
        <v>32606</v>
      </c>
      <c r="G13927" t="s">
        <v>32613</v>
      </c>
      <c r="H13927" t="s">
        <v>32623</v>
      </c>
      <c r="I13927" t="s">
        <v>17648</v>
      </c>
      <c r="J13927" t="s">
        <v>35660</v>
      </c>
      <c r="K13927" t="s">
        <v>42712</v>
      </c>
      <c r="M13927" t="s">
        <v>47010</v>
      </c>
      <c r="N13927" t="s">
        <v>47304</v>
      </c>
      <c r="O13927" t="s">
        <v>47305</v>
      </c>
      <c r="P13927">
        <v>0</v>
      </c>
      <c r="Q13927">
        <v>21</v>
      </c>
      <c r="R13927" t="s">
        <v>47321</v>
      </c>
      <c r="S13927" t="s">
        <v>48071</v>
      </c>
      <c r="T13927" t="s">
        <v>48977</v>
      </c>
      <c r="U13927" t="s">
        <v>61049</v>
      </c>
      <c r="W13927" t="s">
        <v>47010</v>
      </c>
      <c r="X13927" t="s">
        <v>47322</v>
      </c>
    </row>
    <row r="13928" spans="1:24">
      <c r="A13928">
        <f>HYPERLINK("https://www.philgeps.gov.ph/GEPSNONPILOT/Tender/SplashBidNoticeAbstractUI.aspx?menuIndex=3&amp;refID=7167657&amp;Result=3","7167657")</f>
        <v>0</v>
      </c>
      <c r="B13928" t="s">
        <v>3700</v>
      </c>
      <c r="C13928" t="s">
        <v>17034</v>
      </c>
      <c r="D13928" t="s">
        <v>18993</v>
      </c>
      <c r="E13928" t="s">
        <v>30862</v>
      </c>
      <c r="F13928" t="s">
        <v>32606</v>
      </c>
      <c r="G13928" t="s">
        <v>32613</v>
      </c>
      <c r="H13928" t="s">
        <v>32623</v>
      </c>
      <c r="I13928" t="s">
        <v>17648</v>
      </c>
      <c r="J13928" t="s">
        <v>32772</v>
      </c>
      <c r="K13928" t="s">
        <v>42636</v>
      </c>
      <c r="M13928" t="s">
        <v>47011</v>
      </c>
      <c r="N13928" t="s">
        <v>47304</v>
      </c>
      <c r="O13928" t="s">
        <v>47305</v>
      </c>
      <c r="P13928">
        <v>0</v>
      </c>
      <c r="Q13928">
        <v>2</v>
      </c>
      <c r="R13928" t="s">
        <v>47321</v>
      </c>
      <c r="S13928" t="s">
        <v>48071</v>
      </c>
      <c r="T13928" t="s">
        <v>49023</v>
      </c>
      <c r="U13928" t="s">
        <v>61050</v>
      </c>
      <c r="W13928" t="s">
        <v>47011</v>
      </c>
      <c r="X13928" t="s">
        <v>47322</v>
      </c>
    </row>
    <row r="13929" spans="1:24">
      <c r="A13929">
        <f>HYPERLINK("https://www.philgeps.gov.ph/GEPSNONPILOT/Tender/SplashBidNoticeAbstractUI.aspx?menuIndex=3&amp;refID=7167511&amp;Result=3","7167511")</f>
        <v>0</v>
      </c>
      <c r="B13929" t="s">
        <v>652</v>
      </c>
      <c r="C13929" t="s">
        <v>17035</v>
      </c>
      <c r="D13929" t="s">
        <v>18993</v>
      </c>
      <c r="E13929" t="s">
        <v>30863</v>
      </c>
      <c r="F13929" t="s">
        <v>32606</v>
      </c>
      <c r="G13929" t="s">
        <v>32613</v>
      </c>
      <c r="H13929" t="s">
        <v>14201</v>
      </c>
      <c r="I13929" t="s">
        <v>4369</v>
      </c>
      <c r="J13929" t="s">
        <v>41368</v>
      </c>
      <c r="K13929" t="s">
        <v>42623</v>
      </c>
      <c r="M13929" t="s">
        <v>47012</v>
      </c>
      <c r="N13929" t="s">
        <v>47304</v>
      </c>
      <c r="O13929" t="s">
        <v>47305</v>
      </c>
      <c r="P13929">
        <v>0</v>
      </c>
      <c r="Q13929">
        <v>15</v>
      </c>
      <c r="R13929" t="s">
        <v>47321</v>
      </c>
      <c r="S13929" t="s">
        <v>48071</v>
      </c>
      <c r="T13929" t="s">
        <v>49016</v>
      </c>
      <c r="U13929" t="s">
        <v>61051</v>
      </c>
      <c r="V13929" t="s">
        <v>64148</v>
      </c>
      <c r="W13929" t="s">
        <v>47012</v>
      </c>
      <c r="X13929" t="s">
        <v>47322</v>
      </c>
    </row>
    <row r="13930" spans="1:24">
      <c r="A13930">
        <f>HYPERLINK("https://www.philgeps.gov.ph/GEPSNONPILOT/Tender/SplashBidNoticeAbstractUI.aspx?menuIndex=3&amp;refID=7167610&amp;Result=3","7167610")</f>
        <v>0</v>
      </c>
      <c r="B13930" t="s">
        <v>2392</v>
      </c>
      <c r="C13930" t="s">
        <v>17036</v>
      </c>
      <c r="E13930" t="s">
        <v>30864</v>
      </c>
      <c r="F13930" t="s">
        <v>32606</v>
      </c>
      <c r="G13930" t="s">
        <v>32615</v>
      </c>
      <c r="H13930" t="s">
        <v>14201</v>
      </c>
      <c r="I13930" t="s">
        <v>7529</v>
      </c>
      <c r="J13930" t="s">
        <v>40784</v>
      </c>
      <c r="K13930" t="s">
        <v>42624</v>
      </c>
      <c r="M13930" t="s">
        <v>45513</v>
      </c>
      <c r="N13930" t="s">
        <v>47304</v>
      </c>
      <c r="O13930" t="s">
        <v>47305</v>
      </c>
      <c r="Q13930">
        <v>19</v>
      </c>
      <c r="R13930" t="s">
        <v>47321</v>
      </c>
      <c r="S13930" t="s">
        <v>48152</v>
      </c>
      <c r="T13930" t="s">
        <v>49061</v>
      </c>
      <c r="U13930" t="s">
        <v>61052</v>
      </c>
      <c r="W13930" t="s">
        <v>45513</v>
      </c>
      <c r="X13930" t="s">
        <v>47322</v>
      </c>
    </row>
    <row r="13931" spans="1:24">
      <c r="A13931">
        <f>HYPERLINK("https://www.philgeps.gov.ph/GEPSNONPILOT/Tender/SplashBidNoticeAbstractUI.aspx?menuIndex=3&amp;refID=7167604&amp;Result=3","7167604")</f>
        <v>0</v>
      </c>
      <c r="B13931" t="s">
        <v>3701</v>
      </c>
      <c r="C13931" t="s">
        <v>17037</v>
      </c>
      <c r="D13931" t="s">
        <v>19042</v>
      </c>
      <c r="E13931" t="s">
        <v>19315</v>
      </c>
      <c r="F13931" t="s">
        <v>32606</v>
      </c>
      <c r="G13931" t="s">
        <v>32613</v>
      </c>
      <c r="H13931" t="s">
        <v>14201</v>
      </c>
      <c r="I13931" t="s">
        <v>6931</v>
      </c>
      <c r="J13931" t="s">
        <v>41369</v>
      </c>
      <c r="K13931" t="s">
        <v>42622</v>
      </c>
      <c r="M13931" t="s">
        <v>47013</v>
      </c>
      <c r="N13931" t="s">
        <v>47304</v>
      </c>
      <c r="O13931" t="s">
        <v>47305</v>
      </c>
      <c r="Q13931">
        <v>0</v>
      </c>
      <c r="R13931" t="s">
        <v>47321</v>
      </c>
      <c r="S13931" t="s">
        <v>48153</v>
      </c>
      <c r="T13931" t="s">
        <v>48980</v>
      </c>
      <c r="U13931" t="s">
        <v>61053</v>
      </c>
      <c r="W13931" t="s">
        <v>47013</v>
      </c>
      <c r="X13931" t="s">
        <v>47322</v>
      </c>
    </row>
    <row r="13932" spans="1:24">
      <c r="A13932">
        <f>HYPERLINK("https://www.philgeps.gov.ph/GEPSNONPILOT/Tender/SplashBidNoticeAbstractUI.aspx?menuIndex=3&amp;refID=7167590&amp;Result=3","7167590")</f>
        <v>0</v>
      </c>
      <c r="B13932" t="s">
        <v>3702</v>
      </c>
      <c r="C13932" t="s">
        <v>5080</v>
      </c>
      <c r="D13932" t="s">
        <v>19003</v>
      </c>
      <c r="E13932" t="s">
        <v>24942</v>
      </c>
      <c r="F13932" t="s">
        <v>32606</v>
      </c>
      <c r="G13932" t="s">
        <v>32613</v>
      </c>
      <c r="H13932" t="s">
        <v>14201</v>
      </c>
      <c r="I13932" t="s">
        <v>6931</v>
      </c>
      <c r="J13932" t="s">
        <v>41370</v>
      </c>
      <c r="K13932" t="s">
        <v>42623</v>
      </c>
      <c r="M13932" t="s">
        <v>47014</v>
      </c>
      <c r="N13932" t="s">
        <v>47304</v>
      </c>
      <c r="O13932" t="s">
        <v>47305</v>
      </c>
      <c r="P13932">
        <v>0</v>
      </c>
      <c r="Q13932">
        <v>0</v>
      </c>
      <c r="R13932" t="s">
        <v>47321</v>
      </c>
      <c r="S13932" t="s">
        <v>48071</v>
      </c>
      <c r="T13932" t="s">
        <v>49494</v>
      </c>
      <c r="U13932" t="s">
        <v>61054</v>
      </c>
      <c r="W13932" t="s">
        <v>47014</v>
      </c>
      <c r="X13932" t="s">
        <v>47322</v>
      </c>
    </row>
    <row r="13933" spans="1:24">
      <c r="A13933">
        <f>HYPERLINK("https://www.philgeps.gov.ph/GEPSNONPILOT/Tender/SplashBidNoticeAbstractUI.aspx?menuIndex=3&amp;refID=7167677&amp;Result=3","7167677")</f>
        <v>0</v>
      </c>
      <c r="B13933" t="s">
        <v>3703</v>
      </c>
      <c r="C13933" t="s">
        <v>17038</v>
      </c>
      <c r="D13933" t="s">
        <v>18993</v>
      </c>
      <c r="E13933" t="s">
        <v>30865</v>
      </c>
      <c r="F13933" t="s">
        <v>32606</v>
      </c>
      <c r="G13933" t="s">
        <v>32613</v>
      </c>
      <c r="H13933" t="s">
        <v>14201</v>
      </c>
      <c r="I13933" t="s">
        <v>32735</v>
      </c>
      <c r="J13933" t="s">
        <v>41371</v>
      </c>
      <c r="K13933" t="s">
        <v>42646</v>
      </c>
      <c r="M13933" t="s">
        <v>47015</v>
      </c>
      <c r="N13933" t="s">
        <v>47304</v>
      </c>
      <c r="O13933" t="s">
        <v>47305</v>
      </c>
      <c r="Q13933">
        <v>4</v>
      </c>
      <c r="R13933" t="s">
        <v>47321</v>
      </c>
      <c r="S13933" t="s">
        <v>48154</v>
      </c>
      <c r="T13933" t="s">
        <v>49023</v>
      </c>
      <c r="U13933" t="s">
        <v>61055</v>
      </c>
      <c r="W13933" t="s">
        <v>47015</v>
      </c>
      <c r="X13933" t="s">
        <v>47322</v>
      </c>
    </row>
    <row r="13934" spans="1:24">
      <c r="A13934">
        <f>HYPERLINK("https://www.philgeps.gov.ph/GEPSNONPILOT/Tender/SplashBidNoticeAbstractUI.aspx?menuIndex=3&amp;refID=7167481&amp;Result=3","7167481")</f>
        <v>0</v>
      </c>
      <c r="B13934" t="s">
        <v>3628</v>
      </c>
      <c r="C13934" t="s">
        <v>17039</v>
      </c>
      <c r="D13934" t="s">
        <v>19006</v>
      </c>
      <c r="E13934" t="s">
        <v>30866</v>
      </c>
      <c r="F13934" t="s">
        <v>32606</v>
      </c>
      <c r="G13934" t="s">
        <v>32613</v>
      </c>
      <c r="H13934" t="s">
        <v>32623</v>
      </c>
      <c r="I13934" t="s">
        <v>32661</v>
      </c>
      <c r="J13934" t="s">
        <v>41372</v>
      </c>
      <c r="K13934" t="s">
        <v>42648</v>
      </c>
      <c r="M13934" t="s">
        <v>46925</v>
      </c>
      <c r="N13934" t="s">
        <v>47304</v>
      </c>
      <c r="O13934" t="s">
        <v>47305</v>
      </c>
      <c r="P13934">
        <v>0</v>
      </c>
      <c r="Q13934">
        <v>1</v>
      </c>
      <c r="R13934" t="s">
        <v>47321</v>
      </c>
      <c r="S13934" t="s">
        <v>48071</v>
      </c>
      <c r="T13934" t="s">
        <v>48987</v>
      </c>
      <c r="U13934" t="s">
        <v>61056</v>
      </c>
      <c r="W13934" t="s">
        <v>46925</v>
      </c>
      <c r="X13934" t="s">
        <v>47322</v>
      </c>
    </row>
    <row r="13935" spans="1:24">
      <c r="A13935">
        <f>HYPERLINK("https://www.philgeps.gov.ph/GEPSNONPILOT/Tender/SplashBidNoticeAbstractUI.aspx?menuIndex=3&amp;refID=7167576&amp;Result=3","7167576")</f>
        <v>0</v>
      </c>
      <c r="B13935" t="s">
        <v>271</v>
      </c>
      <c r="C13935" t="s">
        <v>17040</v>
      </c>
      <c r="D13935" t="s">
        <v>19040</v>
      </c>
      <c r="E13935" t="s">
        <v>30867</v>
      </c>
      <c r="F13935" t="s">
        <v>32606</v>
      </c>
      <c r="G13935" t="s">
        <v>32613</v>
      </c>
      <c r="H13935" t="s">
        <v>14201</v>
      </c>
      <c r="I13935" t="s">
        <v>32638</v>
      </c>
      <c r="J13935" t="s">
        <v>33190</v>
      </c>
      <c r="K13935" t="s">
        <v>42648</v>
      </c>
      <c r="M13935" t="s">
        <v>43172</v>
      </c>
      <c r="N13935" t="s">
        <v>47304</v>
      </c>
      <c r="O13935" t="s">
        <v>47305</v>
      </c>
      <c r="Q13935">
        <v>18</v>
      </c>
      <c r="R13935" t="s">
        <v>47321</v>
      </c>
      <c r="S13935" t="s">
        <v>48155</v>
      </c>
      <c r="T13935" t="s">
        <v>48987</v>
      </c>
      <c r="U13935" t="s">
        <v>61057</v>
      </c>
      <c r="W13935" t="s">
        <v>43172</v>
      </c>
      <c r="X13935" t="s">
        <v>47322</v>
      </c>
    </row>
    <row r="13936" spans="1:24">
      <c r="A13936">
        <f>HYPERLINK("https://www.philgeps.gov.ph/GEPSNONPILOT/Tender/SplashBidNoticeAbstractUI.aspx?menuIndex=3&amp;refID=7167772&amp;Result=3","7167772")</f>
        <v>0</v>
      </c>
      <c r="B13936" t="s">
        <v>1972</v>
      </c>
      <c r="C13936" t="s">
        <v>17041</v>
      </c>
      <c r="D13936" t="s">
        <v>19056</v>
      </c>
      <c r="E13936" t="s">
        <v>30868</v>
      </c>
      <c r="F13936" t="s">
        <v>32606</v>
      </c>
      <c r="G13936" t="s">
        <v>32613</v>
      </c>
      <c r="H13936" t="s">
        <v>32623</v>
      </c>
      <c r="I13936" t="s">
        <v>17648</v>
      </c>
      <c r="J13936" t="s">
        <v>41373</v>
      </c>
      <c r="K13936" t="s">
        <v>42759</v>
      </c>
      <c r="M13936" t="s">
        <v>45035</v>
      </c>
      <c r="N13936" t="s">
        <v>47304</v>
      </c>
      <c r="O13936" t="s">
        <v>47305</v>
      </c>
      <c r="P13936">
        <v>0</v>
      </c>
      <c r="Q13936">
        <v>2</v>
      </c>
      <c r="R13936" t="s">
        <v>47321</v>
      </c>
      <c r="S13936" t="s">
        <v>48071</v>
      </c>
      <c r="T13936" t="s">
        <v>48987</v>
      </c>
      <c r="U13936" t="s">
        <v>61058</v>
      </c>
      <c r="W13936" t="s">
        <v>45035</v>
      </c>
      <c r="X13936" t="s">
        <v>47322</v>
      </c>
    </row>
    <row r="13937" spans="1:24">
      <c r="A13937">
        <f>HYPERLINK("https://www.philgeps.gov.ph/GEPSNONPILOT/Tender/SplashBidNoticeAbstractUI.aspx?menuIndex=3&amp;refID=7157735&amp;Result=3","7157735")</f>
        <v>0</v>
      </c>
      <c r="B13937" t="s">
        <v>2961</v>
      </c>
      <c r="C13937" t="s">
        <v>12905</v>
      </c>
      <c r="D13937" t="s">
        <v>18986</v>
      </c>
      <c r="E13937" t="s">
        <v>30869</v>
      </c>
      <c r="F13937" t="s">
        <v>32606</v>
      </c>
      <c r="G13937" t="s">
        <v>32613</v>
      </c>
      <c r="H13937" t="s">
        <v>32623</v>
      </c>
      <c r="I13937" t="s">
        <v>17648</v>
      </c>
      <c r="J13937" t="s">
        <v>33449</v>
      </c>
      <c r="K13937" t="s">
        <v>42639</v>
      </c>
      <c r="M13937" t="s">
        <v>46145</v>
      </c>
      <c r="N13937" t="s">
        <v>47304</v>
      </c>
      <c r="O13937" t="s">
        <v>47305</v>
      </c>
      <c r="P13937">
        <v>0</v>
      </c>
      <c r="Q13937">
        <v>0</v>
      </c>
      <c r="R13937" t="s">
        <v>47322</v>
      </c>
      <c r="S13937" t="s">
        <v>48156</v>
      </c>
      <c r="T13937" t="s">
        <v>49037</v>
      </c>
      <c r="U13937" t="s">
        <v>61059</v>
      </c>
      <c r="W13937" t="s">
        <v>46145</v>
      </c>
      <c r="X13937" t="s">
        <v>47327</v>
      </c>
    </row>
    <row r="13938" spans="1:24">
      <c r="A13938">
        <f>HYPERLINK("https://www.philgeps.gov.ph/GEPSNONPILOT/Tender/SplashBidNoticeAbstractUI.aspx?menuIndex=3&amp;refID=7167507&amp;Result=3","7167507")</f>
        <v>0</v>
      </c>
      <c r="B13938" t="s">
        <v>3704</v>
      </c>
      <c r="C13938" t="s">
        <v>17042</v>
      </c>
      <c r="E13938" t="s">
        <v>30870</v>
      </c>
      <c r="F13938" t="s">
        <v>32606</v>
      </c>
      <c r="G13938" t="s">
        <v>32613</v>
      </c>
      <c r="H13938" t="s">
        <v>14201</v>
      </c>
      <c r="I13938" t="s">
        <v>7577</v>
      </c>
      <c r="J13938" t="s">
        <v>41374</v>
      </c>
      <c r="K13938" t="s">
        <v>42624</v>
      </c>
      <c r="M13938" t="s">
        <v>47016</v>
      </c>
      <c r="N13938" t="s">
        <v>47304</v>
      </c>
      <c r="O13938" t="s">
        <v>47305</v>
      </c>
      <c r="P13938">
        <v>0</v>
      </c>
      <c r="Q13938">
        <v>19</v>
      </c>
      <c r="R13938" t="s">
        <v>47321</v>
      </c>
      <c r="S13938" t="s">
        <v>48071</v>
      </c>
      <c r="T13938" t="s">
        <v>48986</v>
      </c>
      <c r="U13938" t="s">
        <v>61060</v>
      </c>
      <c r="V13938" t="s">
        <v>64149</v>
      </c>
      <c r="W13938" t="s">
        <v>47016</v>
      </c>
      <c r="X13938" t="s">
        <v>47322</v>
      </c>
    </row>
    <row r="13939" spans="1:24">
      <c r="A13939">
        <f>HYPERLINK("https://www.philgeps.gov.ph/GEPSNONPILOT/Tender/SplashBidNoticeAbstractUI.aspx?menuIndex=3&amp;refID=7167580&amp;Result=3","7167580")</f>
        <v>0</v>
      </c>
      <c r="B13939" t="s">
        <v>455</v>
      </c>
      <c r="C13939" t="s">
        <v>17043</v>
      </c>
      <c r="D13939" t="s">
        <v>18990</v>
      </c>
      <c r="E13939" t="s">
        <v>30871</v>
      </c>
      <c r="F13939" t="s">
        <v>32606</v>
      </c>
      <c r="G13939" t="s">
        <v>32613</v>
      </c>
      <c r="H13939" t="s">
        <v>32623</v>
      </c>
      <c r="I13939" t="s">
        <v>17648</v>
      </c>
      <c r="J13939" t="s">
        <v>41375</v>
      </c>
      <c r="K13939" t="s">
        <v>42636</v>
      </c>
      <c r="M13939" t="s">
        <v>47008</v>
      </c>
      <c r="N13939" t="s">
        <v>47304</v>
      </c>
      <c r="O13939" t="s">
        <v>47305</v>
      </c>
      <c r="P13939">
        <v>0</v>
      </c>
      <c r="Q13939">
        <v>0</v>
      </c>
      <c r="R13939" t="s">
        <v>47321</v>
      </c>
      <c r="S13939" t="s">
        <v>48071</v>
      </c>
      <c r="T13939" t="s">
        <v>48980</v>
      </c>
      <c r="U13939" t="s">
        <v>61041</v>
      </c>
      <c r="W13939" t="s">
        <v>47008</v>
      </c>
      <c r="X13939" t="s">
        <v>47322</v>
      </c>
    </row>
    <row r="13940" spans="1:24">
      <c r="A13940">
        <f>HYPERLINK("https://www.philgeps.gov.ph/GEPSNONPILOT/Tender/SplashBidNoticeAbstractUI.aspx?menuIndex=3&amp;refID=7157339&amp;Result=3","7157339")</f>
        <v>0</v>
      </c>
      <c r="B13940" t="s">
        <v>3705</v>
      </c>
      <c r="C13940" t="s">
        <v>17044</v>
      </c>
      <c r="D13940" t="s">
        <v>18992</v>
      </c>
      <c r="E13940" t="s">
        <v>30872</v>
      </c>
      <c r="F13940" t="s">
        <v>32606</v>
      </c>
      <c r="G13940" t="s">
        <v>32613</v>
      </c>
      <c r="H13940" t="s">
        <v>14201</v>
      </c>
      <c r="I13940" t="s">
        <v>6931</v>
      </c>
      <c r="J13940" t="s">
        <v>41376</v>
      </c>
      <c r="K13940" t="s">
        <v>42627</v>
      </c>
      <c r="M13940" t="s">
        <v>47017</v>
      </c>
      <c r="N13940" t="s">
        <v>47304</v>
      </c>
      <c r="O13940" t="s">
        <v>47305</v>
      </c>
      <c r="P13940">
        <v>0</v>
      </c>
      <c r="Q13940">
        <v>1</v>
      </c>
      <c r="R13940" t="s">
        <v>47322</v>
      </c>
      <c r="S13940" t="s">
        <v>48156</v>
      </c>
      <c r="T13940" t="s">
        <v>49268</v>
      </c>
      <c r="U13940" t="s">
        <v>61061</v>
      </c>
      <c r="W13940" t="s">
        <v>47017</v>
      </c>
      <c r="X13940" t="s">
        <v>47327</v>
      </c>
    </row>
    <row r="13941" spans="1:24">
      <c r="A13941">
        <f>HYPERLINK("https://www.philgeps.gov.ph/GEPSNONPILOT/Tender/SplashBidNoticeAbstractUI.aspx?menuIndex=3&amp;refID=7157112&amp;Result=3","7157112")</f>
        <v>0</v>
      </c>
      <c r="B13941" t="s">
        <v>3705</v>
      </c>
      <c r="C13941" t="s">
        <v>17045</v>
      </c>
      <c r="D13941" t="s">
        <v>18992</v>
      </c>
      <c r="E13941" t="s">
        <v>30872</v>
      </c>
      <c r="F13941" t="s">
        <v>32606</v>
      </c>
      <c r="G13941" t="s">
        <v>32613</v>
      </c>
      <c r="H13941" t="s">
        <v>14201</v>
      </c>
      <c r="I13941" t="s">
        <v>6931</v>
      </c>
      <c r="J13941" t="s">
        <v>32981</v>
      </c>
      <c r="K13941" t="s">
        <v>42627</v>
      </c>
      <c r="M13941" t="s">
        <v>47017</v>
      </c>
      <c r="N13941" t="s">
        <v>47304</v>
      </c>
      <c r="O13941" t="s">
        <v>47305</v>
      </c>
      <c r="P13941">
        <v>0</v>
      </c>
      <c r="Q13941">
        <v>0</v>
      </c>
      <c r="R13941" t="s">
        <v>47322</v>
      </c>
      <c r="S13941" t="s">
        <v>48156</v>
      </c>
      <c r="T13941" t="s">
        <v>49268</v>
      </c>
      <c r="U13941" t="s">
        <v>61062</v>
      </c>
      <c r="W13941" t="s">
        <v>47017</v>
      </c>
      <c r="X13941" t="s">
        <v>47327</v>
      </c>
    </row>
    <row r="13942" spans="1:24">
      <c r="A13942">
        <f>HYPERLINK("https://www.philgeps.gov.ph/GEPSNONPILOT/Tender/SplashBidNoticeAbstractUI.aspx?menuIndex=3&amp;refID=7153745&amp;Result=3","7153745")</f>
        <v>0</v>
      </c>
      <c r="B13942" t="s">
        <v>3706</v>
      </c>
      <c r="C13942" t="s">
        <v>17046</v>
      </c>
      <c r="D13942" t="s">
        <v>18988</v>
      </c>
      <c r="E13942" t="s">
        <v>30873</v>
      </c>
      <c r="F13942" t="s">
        <v>32606</v>
      </c>
      <c r="G13942" t="s">
        <v>32613</v>
      </c>
      <c r="H13942" t="s">
        <v>14201</v>
      </c>
      <c r="I13942" t="s">
        <v>7064</v>
      </c>
      <c r="J13942" t="s">
        <v>33385</v>
      </c>
      <c r="K13942" t="s">
        <v>42631</v>
      </c>
      <c r="M13942" t="s">
        <v>47018</v>
      </c>
      <c r="N13942" t="s">
        <v>47304</v>
      </c>
      <c r="O13942" t="s">
        <v>47305</v>
      </c>
      <c r="P13942">
        <v>0</v>
      </c>
      <c r="Q13942">
        <v>1</v>
      </c>
      <c r="R13942" t="s">
        <v>47322</v>
      </c>
      <c r="S13942" t="s">
        <v>48156</v>
      </c>
      <c r="T13942" t="s">
        <v>48986</v>
      </c>
      <c r="U13942" t="s">
        <v>61063</v>
      </c>
      <c r="W13942" t="s">
        <v>47018</v>
      </c>
      <c r="X13942" t="s">
        <v>47328</v>
      </c>
    </row>
    <row r="13943" spans="1:24">
      <c r="A13943">
        <f>HYPERLINK("https://www.philgeps.gov.ph/GEPSNONPILOT/Tender/SplashBidNoticeAbstractUI.aspx?menuIndex=3&amp;refID=7157599&amp;Result=3","7157599")</f>
        <v>0</v>
      </c>
      <c r="B13943" t="s">
        <v>3707</v>
      </c>
      <c r="C13943" t="s">
        <v>17047</v>
      </c>
      <c r="D13943" t="s">
        <v>19067</v>
      </c>
      <c r="E13943" t="s">
        <v>20378</v>
      </c>
      <c r="F13943" t="s">
        <v>32608</v>
      </c>
      <c r="G13943" t="s">
        <v>32619</v>
      </c>
      <c r="H13943" t="s">
        <v>14201</v>
      </c>
      <c r="I13943" t="s">
        <v>6931</v>
      </c>
      <c r="J13943" t="s">
        <v>41377</v>
      </c>
      <c r="K13943" t="s">
        <v>42631</v>
      </c>
      <c r="M13943" t="s">
        <v>47019</v>
      </c>
      <c r="N13943" t="s">
        <v>47304</v>
      </c>
      <c r="O13943" t="s">
        <v>47305</v>
      </c>
      <c r="P13943">
        <v>0</v>
      </c>
      <c r="Q13943">
        <v>1</v>
      </c>
      <c r="R13943" t="s">
        <v>47322</v>
      </c>
      <c r="S13943" t="s">
        <v>48156</v>
      </c>
      <c r="T13943" t="s">
        <v>49148</v>
      </c>
      <c r="U13943" t="s">
        <v>61064</v>
      </c>
      <c r="W13943" t="s">
        <v>47019</v>
      </c>
      <c r="X13943" t="s">
        <v>47327</v>
      </c>
    </row>
    <row r="13944" spans="1:24">
      <c r="A13944">
        <f>HYPERLINK("https://www.philgeps.gov.ph/GEPSNONPILOT/Tender/SplashBidNoticeAbstractUI.aspx?menuIndex=3&amp;refID=7151986&amp;Result=3","7151986")</f>
        <v>0</v>
      </c>
      <c r="B13944" t="s">
        <v>89</v>
      </c>
      <c r="C13944" t="s">
        <v>17048</v>
      </c>
      <c r="D13944" t="s">
        <v>19018</v>
      </c>
      <c r="E13944" t="s">
        <v>30874</v>
      </c>
      <c r="F13944" t="s">
        <v>32606</v>
      </c>
      <c r="G13944" t="s">
        <v>32613</v>
      </c>
      <c r="H13944" t="s">
        <v>32623</v>
      </c>
      <c r="I13944" t="s">
        <v>17648</v>
      </c>
      <c r="J13944" t="s">
        <v>41378</v>
      </c>
      <c r="K13944" t="s">
        <v>42886</v>
      </c>
      <c r="M13944" t="s">
        <v>42987</v>
      </c>
      <c r="N13944" t="s">
        <v>47304</v>
      </c>
      <c r="O13944" t="s">
        <v>47305</v>
      </c>
      <c r="P13944">
        <v>0</v>
      </c>
      <c r="Q13944">
        <v>0</v>
      </c>
      <c r="R13944" t="s">
        <v>47322</v>
      </c>
      <c r="S13944" t="s">
        <v>48156</v>
      </c>
      <c r="T13944" t="s">
        <v>48986</v>
      </c>
      <c r="U13944" t="s">
        <v>61065</v>
      </c>
      <c r="W13944" t="s">
        <v>42987</v>
      </c>
      <c r="X13944" t="s">
        <v>47329</v>
      </c>
    </row>
    <row r="13945" spans="1:24">
      <c r="A13945">
        <f>HYPERLINK("https://www.philgeps.gov.ph/GEPSNONPILOT/Tender/SplashBidNoticeAbstractUI.aspx?menuIndex=3&amp;refID=7145927&amp;Result=3","7145927")</f>
        <v>0</v>
      </c>
      <c r="B13945" t="s">
        <v>1825</v>
      </c>
      <c r="C13945" t="s">
        <v>17049</v>
      </c>
      <c r="D13945" t="s">
        <v>18999</v>
      </c>
      <c r="E13945" t="s">
        <v>30875</v>
      </c>
      <c r="F13945" t="s">
        <v>32606</v>
      </c>
      <c r="G13945" t="s">
        <v>32613</v>
      </c>
      <c r="H13945" t="s">
        <v>32623</v>
      </c>
      <c r="I13945" t="s">
        <v>17648</v>
      </c>
      <c r="J13945" t="s">
        <v>41379</v>
      </c>
      <c r="K13945" t="s">
        <v>42631</v>
      </c>
      <c r="M13945" t="s">
        <v>44870</v>
      </c>
      <c r="N13945" t="s">
        <v>47304</v>
      </c>
      <c r="O13945" t="s">
        <v>47305</v>
      </c>
      <c r="P13945">
        <v>0</v>
      </c>
      <c r="Q13945">
        <v>13</v>
      </c>
      <c r="R13945" t="s">
        <v>47322</v>
      </c>
      <c r="S13945" t="s">
        <v>48156</v>
      </c>
      <c r="T13945" t="s">
        <v>48982</v>
      </c>
      <c r="U13945" t="s">
        <v>61066</v>
      </c>
      <c r="W13945" t="s">
        <v>44870</v>
      </c>
      <c r="X13945" t="s">
        <v>47332</v>
      </c>
    </row>
    <row r="13946" spans="1:24">
      <c r="A13946">
        <f>HYPERLINK("https://www.philgeps.gov.ph/GEPSNONPILOT/Tender/SplashBidNoticeAbstractUI.aspx?menuIndex=3&amp;refID=7167867&amp;Result=3","7167867")</f>
        <v>0</v>
      </c>
      <c r="B13946" t="s">
        <v>1130</v>
      </c>
      <c r="C13946" t="s">
        <v>17050</v>
      </c>
      <c r="E13946" t="s">
        <v>30876</v>
      </c>
      <c r="F13946" t="s">
        <v>32606</v>
      </c>
      <c r="G13946" t="s">
        <v>32613</v>
      </c>
      <c r="H13946" t="s">
        <v>32624</v>
      </c>
      <c r="I13946" t="s">
        <v>4369</v>
      </c>
      <c r="J13946" t="s">
        <v>33382</v>
      </c>
      <c r="K13946" t="s">
        <v>42751</v>
      </c>
      <c r="M13946" t="s">
        <v>44092</v>
      </c>
      <c r="N13946" t="s">
        <v>47304</v>
      </c>
      <c r="O13946" t="s">
        <v>47305</v>
      </c>
      <c r="P13946">
        <v>0</v>
      </c>
      <c r="Q13946">
        <v>15</v>
      </c>
      <c r="R13946" t="s">
        <v>47321</v>
      </c>
      <c r="S13946" t="s">
        <v>48071</v>
      </c>
      <c r="T13946" t="s">
        <v>49023</v>
      </c>
      <c r="U13946" t="s">
        <v>61067</v>
      </c>
      <c r="W13946" t="s">
        <v>44092</v>
      </c>
      <c r="X13946" t="s">
        <v>47322</v>
      </c>
    </row>
    <row r="13947" spans="1:24">
      <c r="A13947">
        <f>HYPERLINK("https://www.philgeps.gov.ph/GEPSNONPILOT/Tender/SplashBidNoticeAbstractUI.aspx?menuIndex=3&amp;refID=7147616&amp;Result=3","7147616")</f>
        <v>0</v>
      </c>
      <c r="B13947" t="s">
        <v>3708</v>
      </c>
      <c r="C13947" t="s">
        <v>17051</v>
      </c>
      <c r="D13947" t="s">
        <v>19028</v>
      </c>
      <c r="E13947" t="s">
        <v>19372</v>
      </c>
      <c r="F13947" t="s">
        <v>32606</v>
      </c>
      <c r="G13947" t="s">
        <v>32613</v>
      </c>
      <c r="H13947" t="s">
        <v>32623</v>
      </c>
      <c r="I13947" t="s">
        <v>17648</v>
      </c>
      <c r="J13947" t="s">
        <v>41380</v>
      </c>
      <c r="K13947" t="s">
        <v>42682</v>
      </c>
      <c r="M13947" t="s">
        <v>47020</v>
      </c>
      <c r="N13947" t="s">
        <v>47304</v>
      </c>
      <c r="O13947" t="s">
        <v>47305</v>
      </c>
      <c r="P13947">
        <v>0</v>
      </c>
      <c r="Q13947">
        <v>5</v>
      </c>
      <c r="R13947" t="s">
        <v>47322</v>
      </c>
      <c r="S13947" t="s">
        <v>48156</v>
      </c>
      <c r="T13947" t="s">
        <v>48976</v>
      </c>
      <c r="U13947" t="s">
        <v>61068</v>
      </c>
      <c r="W13947" t="s">
        <v>47020</v>
      </c>
      <c r="X13947" t="s">
        <v>47332</v>
      </c>
    </row>
    <row r="13948" spans="1:24">
      <c r="A13948">
        <f>HYPERLINK("https://www.philgeps.gov.ph/GEPSNONPILOT/Tender/SplashBidNoticeAbstractUI.aspx?menuIndex=3&amp;refID=7167842&amp;Result=3","7167842")</f>
        <v>0</v>
      </c>
      <c r="B13948" t="s">
        <v>1130</v>
      </c>
      <c r="C13948" t="s">
        <v>17052</v>
      </c>
      <c r="E13948" t="s">
        <v>30877</v>
      </c>
      <c r="F13948" t="s">
        <v>32606</v>
      </c>
      <c r="G13948" t="s">
        <v>32613</v>
      </c>
      <c r="H13948" t="s">
        <v>14201</v>
      </c>
      <c r="I13948" t="s">
        <v>32644</v>
      </c>
      <c r="J13948" t="s">
        <v>35895</v>
      </c>
      <c r="K13948" t="s">
        <v>42634</v>
      </c>
      <c r="M13948" t="s">
        <v>44092</v>
      </c>
      <c r="N13948" t="s">
        <v>47304</v>
      </c>
      <c r="O13948" t="s">
        <v>47305</v>
      </c>
      <c r="P13948">
        <v>0</v>
      </c>
      <c r="Q13948">
        <v>13</v>
      </c>
      <c r="R13948" t="s">
        <v>47321</v>
      </c>
      <c r="S13948" t="s">
        <v>48071</v>
      </c>
      <c r="T13948" t="s">
        <v>49023</v>
      </c>
      <c r="U13948" t="s">
        <v>61069</v>
      </c>
      <c r="W13948" t="s">
        <v>44092</v>
      </c>
      <c r="X13948" t="s">
        <v>47322</v>
      </c>
    </row>
    <row r="13949" spans="1:24">
      <c r="A13949">
        <f>HYPERLINK("https://www.philgeps.gov.ph/GEPSNONPILOT/Tender/SplashBidNoticeAbstractUI.aspx?menuIndex=3&amp;refID=7167837&amp;Result=3","7167837")</f>
        <v>0</v>
      </c>
      <c r="B13949" t="s">
        <v>132</v>
      </c>
      <c r="C13949" t="s">
        <v>17053</v>
      </c>
      <c r="D13949" t="s">
        <v>18993</v>
      </c>
      <c r="E13949" t="s">
        <v>19325</v>
      </c>
      <c r="F13949" t="s">
        <v>32606</v>
      </c>
      <c r="G13949" t="s">
        <v>32613</v>
      </c>
      <c r="H13949" t="s">
        <v>14201</v>
      </c>
      <c r="I13949" t="s">
        <v>32640</v>
      </c>
      <c r="J13949" t="s">
        <v>41381</v>
      </c>
      <c r="K13949" t="s">
        <v>42624</v>
      </c>
      <c r="M13949" t="s">
        <v>43033</v>
      </c>
      <c r="N13949" t="s">
        <v>47304</v>
      </c>
      <c r="O13949" t="s">
        <v>47305</v>
      </c>
      <c r="Q13949">
        <v>26</v>
      </c>
      <c r="R13949" t="s">
        <v>47321</v>
      </c>
      <c r="S13949" t="s">
        <v>48157</v>
      </c>
      <c r="T13949" t="s">
        <v>48971</v>
      </c>
      <c r="U13949" t="s">
        <v>61070</v>
      </c>
      <c r="V13949" t="s">
        <v>62677</v>
      </c>
      <c r="W13949" t="s">
        <v>43033</v>
      </c>
      <c r="X13949" t="s">
        <v>47322</v>
      </c>
    </row>
    <row r="13950" spans="1:24">
      <c r="A13950">
        <f>HYPERLINK("https://www.philgeps.gov.ph/GEPSNONPILOT/Tender/SplashBidNoticeAbstractUI.aspx?menuIndex=3&amp;refID=7167581&amp;Result=3","7167581")</f>
        <v>0</v>
      </c>
      <c r="B13950" t="s">
        <v>3030</v>
      </c>
      <c r="C13950" t="s">
        <v>17054</v>
      </c>
      <c r="D13950" t="s">
        <v>19057</v>
      </c>
      <c r="E13950" t="s">
        <v>30878</v>
      </c>
      <c r="F13950" t="s">
        <v>32606</v>
      </c>
      <c r="G13950" t="s">
        <v>32613</v>
      </c>
      <c r="H13950" t="s">
        <v>32623</v>
      </c>
      <c r="I13950" t="s">
        <v>17648</v>
      </c>
      <c r="J13950" t="s">
        <v>32772</v>
      </c>
      <c r="K13950" t="s">
        <v>42646</v>
      </c>
      <c r="M13950" t="s">
        <v>46222</v>
      </c>
      <c r="N13950" t="s">
        <v>47304</v>
      </c>
      <c r="O13950" t="s">
        <v>47305</v>
      </c>
      <c r="P13950">
        <v>0</v>
      </c>
      <c r="Q13950">
        <v>0</v>
      </c>
      <c r="R13950" t="s">
        <v>47321</v>
      </c>
      <c r="S13950" t="s">
        <v>48071</v>
      </c>
      <c r="T13950" t="s">
        <v>49278</v>
      </c>
      <c r="U13950" t="s">
        <v>61071</v>
      </c>
      <c r="W13950" t="s">
        <v>46222</v>
      </c>
      <c r="X13950" t="s">
        <v>47322</v>
      </c>
    </row>
    <row r="13951" spans="1:24">
      <c r="A13951">
        <f>HYPERLINK("https://www.philgeps.gov.ph/GEPSNONPILOT/Tender/SplashBidNoticeAbstractUI.aspx?menuIndex=3&amp;refID=7167782&amp;Result=3","7167782")</f>
        <v>0</v>
      </c>
      <c r="B13951" t="s">
        <v>1972</v>
      </c>
      <c r="C13951" t="s">
        <v>17055</v>
      </c>
      <c r="D13951" t="s">
        <v>19056</v>
      </c>
      <c r="E13951" t="s">
        <v>30879</v>
      </c>
      <c r="F13951" t="s">
        <v>32606</v>
      </c>
      <c r="G13951" t="s">
        <v>32613</v>
      </c>
      <c r="H13951" t="s">
        <v>32623</v>
      </c>
      <c r="I13951" t="s">
        <v>17648</v>
      </c>
      <c r="J13951" t="s">
        <v>41382</v>
      </c>
      <c r="K13951" t="s">
        <v>42666</v>
      </c>
      <c r="M13951" t="s">
        <v>45035</v>
      </c>
      <c r="N13951" t="s">
        <v>47304</v>
      </c>
      <c r="O13951" t="s">
        <v>47305</v>
      </c>
      <c r="P13951">
        <v>0</v>
      </c>
      <c r="Q13951">
        <v>2</v>
      </c>
      <c r="R13951" t="s">
        <v>47321</v>
      </c>
      <c r="S13951" t="s">
        <v>48071</v>
      </c>
      <c r="T13951" t="s">
        <v>48987</v>
      </c>
      <c r="U13951" t="s">
        <v>61072</v>
      </c>
      <c r="W13951" t="s">
        <v>45035</v>
      </c>
      <c r="X13951" t="s">
        <v>47322</v>
      </c>
    </row>
    <row r="13952" spans="1:24">
      <c r="A13952">
        <f>HYPERLINK("https://www.philgeps.gov.ph/GEPSNONPILOT/Tender/SplashBidNoticeAbstractUI.aspx?menuIndex=3&amp;refID=7167774&amp;Result=3","7167774")</f>
        <v>0</v>
      </c>
      <c r="B13952" t="s">
        <v>1972</v>
      </c>
      <c r="C13952" t="s">
        <v>17056</v>
      </c>
      <c r="D13952" t="s">
        <v>19056</v>
      </c>
      <c r="E13952" t="s">
        <v>30880</v>
      </c>
      <c r="F13952" t="s">
        <v>32606</v>
      </c>
      <c r="G13952" t="s">
        <v>32613</v>
      </c>
      <c r="H13952" t="s">
        <v>32623</v>
      </c>
      <c r="I13952" t="s">
        <v>17648</v>
      </c>
      <c r="J13952" t="s">
        <v>41383</v>
      </c>
      <c r="K13952" t="s">
        <v>42773</v>
      </c>
      <c r="M13952" t="s">
        <v>45035</v>
      </c>
      <c r="N13952" t="s">
        <v>47304</v>
      </c>
      <c r="O13952" t="s">
        <v>47305</v>
      </c>
      <c r="P13952">
        <v>0</v>
      </c>
      <c r="Q13952">
        <v>1</v>
      </c>
      <c r="R13952" t="s">
        <v>47321</v>
      </c>
      <c r="S13952" t="s">
        <v>48071</v>
      </c>
      <c r="T13952" t="s">
        <v>48987</v>
      </c>
      <c r="U13952" t="s">
        <v>61073</v>
      </c>
      <c r="W13952" t="s">
        <v>45035</v>
      </c>
      <c r="X13952" t="s">
        <v>47322</v>
      </c>
    </row>
    <row r="13953" spans="1:24">
      <c r="A13953">
        <f>HYPERLINK("https://www.philgeps.gov.ph/GEPSNONPILOT/Tender/SplashBidNoticeAbstractUI.aspx?menuIndex=3&amp;refID=7167598&amp;Result=3","7167598")</f>
        <v>0</v>
      </c>
      <c r="B13953" t="s">
        <v>57</v>
      </c>
      <c r="C13953" t="s">
        <v>17057</v>
      </c>
      <c r="D13953" t="s">
        <v>19010</v>
      </c>
      <c r="E13953" t="s">
        <v>30881</v>
      </c>
      <c r="F13953" t="s">
        <v>32606</v>
      </c>
      <c r="G13953" t="s">
        <v>32613</v>
      </c>
      <c r="H13953" t="s">
        <v>14201</v>
      </c>
      <c r="I13953" t="s">
        <v>7064</v>
      </c>
      <c r="J13953" t="s">
        <v>36641</v>
      </c>
      <c r="K13953" t="s">
        <v>42624</v>
      </c>
      <c r="M13953" t="s">
        <v>42954</v>
      </c>
      <c r="N13953" t="s">
        <v>47304</v>
      </c>
      <c r="O13953" t="s">
        <v>47305</v>
      </c>
      <c r="P13953">
        <v>0</v>
      </c>
      <c r="Q13953">
        <v>10</v>
      </c>
      <c r="R13953" t="s">
        <v>47321</v>
      </c>
      <c r="S13953" t="s">
        <v>48071</v>
      </c>
      <c r="T13953" t="s">
        <v>48975</v>
      </c>
      <c r="U13953" t="s">
        <v>49594</v>
      </c>
      <c r="W13953" t="s">
        <v>42954</v>
      </c>
      <c r="X13953" t="s">
        <v>47322</v>
      </c>
    </row>
    <row r="13954" spans="1:24">
      <c r="A13954">
        <f>HYPERLINK("https://www.philgeps.gov.ph/GEPSNONPILOT/Tender/SplashBidNoticeAbstractUI.aspx?menuIndex=3&amp;refID=7167767&amp;Result=3","7167767")</f>
        <v>0</v>
      </c>
      <c r="B13954" t="s">
        <v>1972</v>
      </c>
      <c r="C13954" t="s">
        <v>17058</v>
      </c>
      <c r="D13954" t="s">
        <v>19056</v>
      </c>
      <c r="E13954" t="s">
        <v>30882</v>
      </c>
      <c r="F13954" t="s">
        <v>32606</v>
      </c>
      <c r="G13954" t="s">
        <v>32613</v>
      </c>
      <c r="H13954" t="s">
        <v>32623</v>
      </c>
      <c r="I13954" t="s">
        <v>17648</v>
      </c>
      <c r="J13954" t="s">
        <v>41384</v>
      </c>
      <c r="K13954" t="s">
        <v>42657</v>
      </c>
      <c r="M13954" t="s">
        <v>45035</v>
      </c>
      <c r="N13954" t="s">
        <v>47304</v>
      </c>
      <c r="O13954" t="s">
        <v>47305</v>
      </c>
      <c r="P13954">
        <v>0</v>
      </c>
      <c r="Q13954">
        <v>2</v>
      </c>
      <c r="R13954" t="s">
        <v>47321</v>
      </c>
      <c r="S13954" t="s">
        <v>48071</v>
      </c>
      <c r="T13954" t="s">
        <v>48987</v>
      </c>
      <c r="U13954" t="s">
        <v>61074</v>
      </c>
      <c r="W13954" t="s">
        <v>45035</v>
      </c>
      <c r="X13954" t="s">
        <v>47322</v>
      </c>
    </row>
    <row r="13955" spans="1:24">
      <c r="A13955">
        <f>HYPERLINK("https://www.philgeps.gov.ph/GEPSNONPILOT/Tender/SplashBidNoticeAbstractUI.aspx?menuIndex=3&amp;refID=7167830&amp;Result=3","7167830")</f>
        <v>0</v>
      </c>
      <c r="B13955" t="s">
        <v>2627</v>
      </c>
      <c r="C13955" t="s">
        <v>17059</v>
      </c>
      <c r="D13955" t="s">
        <v>19006</v>
      </c>
      <c r="E13955" t="s">
        <v>19311</v>
      </c>
      <c r="F13955" t="s">
        <v>32606</v>
      </c>
      <c r="G13955" t="s">
        <v>32613</v>
      </c>
      <c r="H13955" t="s">
        <v>32623</v>
      </c>
      <c r="I13955" t="s">
        <v>17648</v>
      </c>
      <c r="J13955" t="s">
        <v>32772</v>
      </c>
      <c r="K13955" t="s">
        <v>42636</v>
      </c>
      <c r="M13955" t="s">
        <v>47010</v>
      </c>
      <c r="N13955" t="s">
        <v>47304</v>
      </c>
      <c r="O13955" t="s">
        <v>47305</v>
      </c>
      <c r="P13955">
        <v>0</v>
      </c>
      <c r="Q13955">
        <v>14</v>
      </c>
      <c r="R13955" t="s">
        <v>47321</v>
      </c>
      <c r="S13955" t="s">
        <v>48071</v>
      </c>
      <c r="T13955" t="s">
        <v>48977</v>
      </c>
      <c r="U13955" t="s">
        <v>61075</v>
      </c>
      <c r="W13955" t="s">
        <v>47010</v>
      </c>
      <c r="X13955" t="s">
        <v>47322</v>
      </c>
    </row>
    <row r="13956" spans="1:24">
      <c r="A13956">
        <f>HYPERLINK("https://www.philgeps.gov.ph/GEPSNONPILOT/Tender/SplashBidNoticeAbstractUI.aspx?menuIndex=3&amp;refID=7154511&amp;Result=3","7154511")</f>
        <v>0</v>
      </c>
      <c r="B13956" t="s">
        <v>3709</v>
      </c>
      <c r="C13956" t="s">
        <v>17060</v>
      </c>
      <c r="D13956" t="s">
        <v>19047</v>
      </c>
      <c r="E13956" t="s">
        <v>30883</v>
      </c>
      <c r="F13956" t="s">
        <v>32606</v>
      </c>
      <c r="G13956" t="s">
        <v>32613</v>
      </c>
      <c r="H13956" t="s">
        <v>14201</v>
      </c>
      <c r="I13956" t="s">
        <v>8606</v>
      </c>
      <c r="J13956" t="s">
        <v>38894</v>
      </c>
      <c r="K13956" t="s">
        <v>42623</v>
      </c>
      <c r="M13956" t="s">
        <v>47021</v>
      </c>
      <c r="N13956" t="s">
        <v>47304</v>
      </c>
      <c r="O13956" t="s">
        <v>47305</v>
      </c>
      <c r="P13956">
        <v>0</v>
      </c>
      <c r="Q13956">
        <v>1</v>
      </c>
      <c r="R13956" t="s">
        <v>47322</v>
      </c>
      <c r="S13956" t="s">
        <v>48156</v>
      </c>
      <c r="T13956" t="s">
        <v>49023</v>
      </c>
      <c r="U13956" t="s">
        <v>61076</v>
      </c>
      <c r="W13956" t="s">
        <v>47021</v>
      </c>
      <c r="X13956" t="s">
        <v>47328</v>
      </c>
    </row>
    <row r="13957" spans="1:24">
      <c r="A13957">
        <f>HYPERLINK("https://www.philgeps.gov.ph/GEPSNONPILOT/Tender/SplashBidNoticeAbstractUI.aspx?menuIndex=3&amp;refID=7161863&amp;Result=3","7161863")</f>
        <v>0</v>
      </c>
      <c r="B13957" t="s">
        <v>340</v>
      </c>
      <c r="C13957" t="s">
        <v>17061</v>
      </c>
      <c r="D13957" t="s">
        <v>19029</v>
      </c>
      <c r="E13957" t="s">
        <v>30884</v>
      </c>
      <c r="F13957" t="s">
        <v>32606</v>
      </c>
      <c r="G13957" t="s">
        <v>32613</v>
      </c>
      <c r="H13957" t="s">
        <v>14201</v>
      </c>
      <c r="I13957" t="s">
        <v>32655</v>
      </c>
      <c r="J13957" t="s">
        <v>41385</v>
      </c>
      <c r="K13957" t="s">
        <v>42631</v>
      </c>
      <c r="M13957" t="s">
        <v>43242</v>
      </c>
      <c r="N13957" t="s">
        <v>47304</v>
      </c>
      <c r="O13957" t="s">
        <v>47305</v>
      </c>
      <c r="P13957">
        <v>0</v>
      </c>
      <c r="Q13957">
        <v>14</v>
      </c>
      <c r="R13957" t="s">
        <v>47322</v>
      </c>
      <c r="S13957" t="s">
        <v>48156</v>
      </c>
      <c r="T13957" t="s">
        <v>48987</v>
      </c>
      <c r="U13957" t="s">
        <v>61077</v>
      </c>
      <c r="V13957" t="s">
        <v>64150</v>
      </c>
      <c r="W13957" t="s">
        <v>43242</v>
      </c>
      <c r="X13957" t="s">
        <v>47325</v>
      </c>
    </row>
    <row r="13958" spans="1:24">
      <c r="A13958">
        <f>HYPERLINK("https://www.philgeps.gov.ph/GEPSNONPILOT/Tender/SplashBidNoticeAbstractUI.aspx?menuIndex=3&amp;refID=7167773&amp;Result=3","7167773")</f>
        <v>0</v>
      </c>
      <c r="B13958" t="s">
        <v>1115</v>
      </c>
      <c r="C13958" t="s">
        <v>17062</v>
      </c>
      <c r="D13958" t="s">
        <v>18993</v>
      </c>
      <c r="E13958" t="s">
        <v>30885</v>
      </c>
      <c r="F13958" t="s">
        <v>32606</v>
      </c>
      <c r="G13958" t="s">
        <v>32613</v>
      </c>
      <c r="H13958" t="s">
        <v>14201</v>
      </c>
      <c r="I13958" t="s">
        <v>32638</v>
      </c>
      <c r="J13958" t="s">
        <v>41386</v>
      </c>
      <c r="K13958" t="s">
        <v>42639</v>
      </c>
      <c r="M13958" t="s">
        <v>47022</v>
      </c>
      <c r="N13958" t="s">
        <v>47304</v>
      </c>
      <c r="O13958" t="s">
        <v>47305</v>
      </c>
      <c r="Q13958">
        <v>41</v>
      </c>
      <c r="R13958" t="s">
        <v>47321</v>
      </c>
      <c r="S13958" t="s">
        <v>48158</v>
      </c>
      <c r="T13958" t="s">
        <v>49015</v>
      </c>
      <c r="U13958" t="s">
        <v>61078</v>
      </c>
      <c r="W13958" t="s">
        <v>47022</v>
      </c>
      <c r="X13958" t="s">
        <v>47322</v>
      </c>
    </row>
    <row r="13959" spans="1:24">
      <c r="A13959">
        <f>HYPERLINK("https://www.philgeps.gov.ph/GEPSNONPILOT/Tender/SplashBidNoticeAbstractUI.aspx?menuIndex=3&amp;refID=7160926&amp;Result=3","7160926")</f>
        <v>0</v>
      </c>
      <c r="B13959" t="s">
        <v>1201</v>
      </c>
      <c r="C13959" t="s">
        <v>17063</v>
      </c>
      <c r="E13959" t="s">
        <v>30886</v>
      </c>
      <c r="F13959" t="s">
        <v>32606</v>
      </c>
      <c r="G13959" t="s">
        <v>32613</v>
      </c>
      <c r="H13959" t="s">
        <v>14201</v>
      </c>
      <c r="I13959" t="s">
        <v>4369</v>
      </c>
      <c r="J13959" t="s">
        <v>32795</v>
      </c>
      <c r="K13959" t="s">
        <v>42636</v>
      </c>
      <c r="M13959" t="s">
        <v>45117</v>
      </c>
      <c r="N13959" t="s">
        <v>47304</v>
      </c>
      <c r="O13959" t="s">
        <v>47305</v>
      </c>
      <c r="Q13959">
        <v>12</v>
      </c>
      <c r="R13959" t="s">
        <v>47322</v>
      </c>
      <c r="S13959" t="s">
        <v>48159</v>
      </c>
      <c r="T13959" t="s">
        <v>49076</v>
      </c>
      <c r="U13959" t="s">
        <v>54633</v>
      </c>
      <c r="W13959" t="s">
        <v>45117</v>
      </c>
      <c r="X13959" t="s">
        <v>47326</v>
      </c>
    </row>
    <row r="13960" spans="1:24">
      <c r="A13960">
        <f>HYPERLINK("https://www.philgeps.gov.ph/GEPSNONPILOT/Tender/SplashBidNoticeAbstractUI.aspx?menuIndex=3&amp;refID=7160709&amp;Result=3","7160709")</f>
        <v>0</v>
      </c>
      <c r="B13960" t="s">
        <v>3710</v>
      </c>
      <c r="C13960" t="s">
        <v>17064</v>
      </c>
      <c r="D13960" t="s">
        <v>18993</v>
      </c>
      <c r="E13960" t="s">
        <v>24984</v>
      </c>
      <c r="F13960" t="s">
        <v>32606</v>
      </c>
      <c r="G13960" t="s">
        <v>32614</v>
      </c>
      <c r="H13960" t="s">
        <v>14201</v>
      </c>
      <c r="I13960" t="s">
        <v>32673</v>
      </c>
      <c r="J13960" t="s">
        <v>41387</v>
      </c>
      <c r="K13960" t="s">
        <v>42630</v>
      </c>
      <c r="M13960" t="s">
        <v>47023</v>
      </c>
      <c r="N13960" t="s">
        <v>47304</v>
      </c>
      <c r="O13960" t="s">
        <v>47305</v>
      </c>
      <c r="Q13960">
        <v>1</v>
      </c>
      <c r="R13960" t="s">
        <v>47322</v>
      </c>
      <c r="S13960" t="s">
        <v>48160</v>
      </c>
      <c r="T13960" t="s">
        <v>49269</v>
      </c>
      <c r="U13960" t="s">
        <v>61079</v>
      </c>
      <c r="V13960" t="s">
        <v>64151</v>
      </c>
      <c r="W13960" t="s">
        <v>47023</v>
      </c>
      <c r="X13960" t="s">
        <v>47326</v>
      </c>
    </row>
    <row r="13961" spans="1:24">
      <c r="A13961">
        <f>HYPERLINK("https://www.philgeps.gov.ph/GEPSNONPILOT/Tender/SplashBidNoticeAbstractUI.aspx?menuIndex=3&amp;refID=7161865&amp;Result=3","7161865")</f>
        <v>0</v>
      </c>
      <c r="B13961" t="s">
        <v>340</v>
      </c>
      <c r="C13961" t="s">
        <v>17065</v>
      </c>
      <c r="D13961" t="s">
        <v>19029</v>
      </c>
      <c r="E13961" t="s">
        <v>30887</v>
      </c>
      <c r="F13961" t="s">
        <v>32606</v>
      </c>
      <c r="G13961" t="s">
        <v>32613</v>
      </c>
      <c r="H13961" t="s">
        <v>14201</v>
      </c>
      <c r="I13961" t="s">
        <v>32633</v>
      </c>
      <c r="J13961" t="s">
        <v>41388</v>
      </c>
      <c r="K13961" t="s">
        <v>42631</v>
      </c>
      <c r="M13961" t="s">
        <v>43242</v>
      </c>
      <c r="N13961" t="s">
        <v>47304</v>
      </c>
      <c r="O13961" t="s">
        <v>47305</v>
      </c>
      <c r="P13961">
        <v>0</v>
      </c>
      <c r="Q13961">
        <v>18</v>
      </c>
      <c r="R13961" t="s">
        <v>47322</v>
      </c>
      <c r="S13961" t="s">
        <v>48156</v>
      </c>
      <c r="T13961" t="s">
        <v>48987</v>
      </c>
      <c r="U13961" t="s">
        <v>61077</v>
      </c>
      <c r="V13961" t="s">
        <v>64152</v>
      </c>
      <c r="W13961" t="s">
        <v>43242</v>
      </c>
      <c r="X13961" t="s">
        <v>47325</v>
      </c>
    </row>
    <row r="13962" spans="1:24">
      <c r="A13962">
        <f>HYPERLINK("https://www.philgeps.gov.ph/GEPSNONPILOT/Tender/SplashBidNoticeAbstractUI.aspx?menuIndex=3&amp;refID=7160358&amp;Result=3","7160358")</f>
        <v>0</v>
      </c>
      <c r="B13962" t="s">
        <v>3711</v>
      </c>
      <c r="C13962" t="s">
        <v>17066</v>
      </c>
      <c r="D13962" t="s">
        <v>19008</v>
      </c>
      <c r="E13962" t="s">
        <v>30888</v>
      </c>
      <c r="F13962" t="s">
        <v>32606</v>
      </c>
      <c r="G13962" t="s">
        <v>32613</v>
      </c>
      <c r="H13962" t="s">
        <v>14201</v>
      </c>
      <c r="I13962" t="s">
        <v>7064</v>
      </c>
      <c r="J13962" t="s">
        <v>34667</v>
      </c>
      <c r="K13962" t="s">
        <v>42631</v>
      </c>
      <c r="M13962" t="s">
        <v>47024</v>
      </c>
      <c r="N13962" t="s">
        <v>47304</v>
      </c>
      <c r="O13962" t="s">
        <v>47305</v>
      </c>
      <c r="P13962">
        <v>0</v>
      </c>
      <c r="Q13962">
        <v>1</v>
      </c>
      <c r="R13962" t="s">
        <v>47322</v>
      </c>
      <c r="S13962" t="s">
        <v>48156</v>
      </c>
      <c r="T13962" t="s">
        <v>49041</v>
      </c>
      <c r="U13962" t="s">
        <v>61080</v>
      </c>
      <c r="W13962" t="s">
        <v>47024</v>
      </c>
      <c r="X13962" t="s">
        <v>47326</v>
      </c>
    </row>
    <row r="13963" spans="1:24">
      <c r="A13963">
        <f>HYPERLINK("https://www.philgeps.gov.ph/GEPSNONPILOT/Tender/SplashBidNoticeAbstractUI.aspx?menuIndex=3&amp;refID=7160621&amp;Result=3","7160621")</f>
        <v>0</v>
      </c>
      <c r="B13963" t="s">
        <v>2890</v>
      </c>
      <c r="C13963" t="s">
        <v>17067</v>
      </c>
      <c r="D13963" t="s">
        <v>19013</v>
      </c>
      <c r="E13963" t="s">
        <v>30889</v>
      </c>
      <c r="F13963" t="s">
        <v>32606</v>
      </c>
      <c r="G13963" t="s">
        <v>32613</v>
      </c>
      <c r="H13963" t="s">
        <v>32623</v>
      </c>
      <c r="I13963" t="s">
        <v>17648</v>
      </c>
      <c r="J13963" t="s">
        <v>33598</v>
      </c>
      <c r="K13963" t="s">
        <v>42645</v>
      </c>
      <c r="M13963" t="s">
        <v>46063</v>
      </c>
      <c r="N13963" t="s">
        <v>47304</v>
      </c>
      <c r="O13963" t="s">
        <v>47305</v>
      </c>
      <c r="P13963">
        <v>0</v>
      </c>
      <c r="Q13963">
        <v>1</v>
      </c>
      <c r="R13963" t="s">
        <v>47322</v>
      </c>
      <c r="S13963" t="s">
        <v>48156</v>
      </c>
      <c r="T13963" t="s">
        <v>49010</v>
      </c>
      <c r="U13963" t="s">
        <v>61081</v>
      </c>
      <c r="W13963" t="s">
        <v>46063</v>
      </c>
      <c r="X13963" t="s">
        <v>47326</v>
      </c>
    </row>
    <row r="13964" spans="1:24">
      <c r="A13964">
        <f>HYPERLINK("https://www.philgeps.gov.ph/GEPSNONPILOT/Tender/SplashBidNoticeAbstractUI.aspx?menuIndex=3&amp;refID=7160437&amp;Result=3","7160437")</f>
        <v>0</v>
      </c>
      <c r="B13964" t="s">
        <v>2890</v>
      </c>
      <c r="C13964" t="s">
        <v>17068</v>
      </c>
      <c r="D13964" t="s">
        <v>19013</v>
      </c>
      <c r="E13964" t="s">
        <v>30890</v>
      </c>
      <c r="F13964" t="s">
        <v>32606</v>
      </c>
      <c r="G13964" t="s">
        <v>32613</v>
      </c>
      <c r="H13964" t="s">
        <v>32623</v>
      </c>
      <c r="I13964" t="s">
        <v>17648</v>
      </c>
      <c r="J13964" t="s">
        <v>35368</v>
      </c>
      <c r="K13964" t="s">
        <v>42645</v>
      </c>
      <c r="M13964" t="s">
        <v>46063</v>
      </c>
      <c r="N13964" t="s">
        <v>47304</v>
      </c>
      <c r="O13964" t="s">
        <v>47305</v>
      </c>
      <c r="P13964">
        <v>0</v>
      </c>
      <c r="Q13964">
        <v>3</v>
      </c>
      <c r="R13964" t="s">
        <v>47322</v>
      </c>
      <c r="S13964" t="s">
        <v>48156</v>
      </c>
      <c r="T13964" t="s">
        <v>48979</v>
      </c>
      <c r="U13964" t="s">
        <v>61082</v>
      </c>
      <c r="W13964" t="s">
        <v>46063</v>
      </c>
      <c r="X13964" t="s">
        <v>47326</v>
      </c>
    </row>
    <row r="13965" spans="1:24">
      <c r="A13965">
        <f>HYPERLINK("https://www.philgeps.gov.ph/GEPSNONPILOT/Tender/SplashBidNoticeAbstractUI.aspx?menuIndex=3&amp;refID=7167741&amp;Result=3","7167741")</f>
        <v>0</v>
      </c>
      <c r="B13965" t="s">
        <v>1972</v>
      </c>
      <c r="C13965" t="s">
        <v>17069</v>
      </c>
      <c r="D13965" t="s">
        <v>19056</v>
      </c>
      <c r="E13965" t="s">
        <v>30891</v>
      </c>
      <c r="F13965" t="s">
        <v>32606</v>
      </c>
      <c r="G13965" t="s">
        <v>32613</v>
      </c>
      <c r="H13965" t="s">
        <v>32623</v>
      </c>
      <c r="I13965" t="s">
        <v>17648</v>
      </c>
      <c r="J13965" t="s">
        <v>41389</v>
      </c>
      <c r="K13965" t="s">
        <v>42717</v>
      </c>
      <c r="M13965" t="s">
        <v>45035</v>
      </c>
      <c r="N13965" t="s">
        <v>47304</v>
      </c>
      <c r="O13965" t="s">
        <v>47305</v>
      </c>
      <c r="P13965">
        <v>0</v>
      </c>
      <c r="Q13965">
        <v>2</v>
      </c>
      <c r="R13965" t="s">
        <v>47321</v>
      </c>
      <c r="S13965" t="s">
        <v>48071</v>
      </c>
      <c r="T13965" t="s">
        <v>48987</v>
      </c>
      <c r="U13965" t="s">
        <v>61083</v>
      </c>
      <c r="W13965" t="s">
        <v>45035</v>
      </c>
      <c r="X13965" t="s">
        <v>47322</v>
      </c>
    </row>
    <row r="13966" spans="1:24">
      <c r="A13966">
        <f>HYPERLINK("https://www.philgeps.gov.ph/GEPSNONPILOT/Tender/SplashBidNoticeAbstractUI.aspx?menuIndex=3&amp;refID=7160388&amp;Result=3","7160388")</f>
        <v>0</v>
      </c>
      <c r="B13966" t="s">
        <v>1508</v>
      </c>
      <c r="C13966" t="s">
        <v>17070</v>
      </c>
      <c r="D13966" t="s">
        <v>19016</v>
      </c>
      <c r="E13966" t="s">
        <v>30892</v>
      </c>
      <c r="F13966" t="s">
        <v>32606</v>
      </c>
      <c r="G13966" t="s">
        <v>32613</v>
      </c>
      <c r="H13966" t="s">
        <v>14201</v>
      </c>
      <c r="I13966" t="s">
        <v>4120</v>
      </c>
      <c r="J13966" t="s">
        <v>41390</v>
      </c>
      <c r="K13966" t="s">
        <v>42631</v>
      </c>
      <c r="L13966" t="s">
        <v>1508</v>
      </c>
      <c r="M13966" t="s">
        <v>44506</v>
      </c>
      <c r="N13966" t="s">
        <v>47304</v>
      </c>
      <c r="O13966" t="s">
        <v>47305</v>
      </c>
      <c r="P13966">
        <v>0</v>
      </c>
      <c r="Q13966">
        <v>3</v>
      </c>
      <c r="R13966" t="s">
        <v>47322</v>
      </c>
      <c r="S13966" t="s">
        <v>48156</v>
      </c>
      <c r="T13966" t="s">
        <v>49023</v>
      </c>
      <c r="U13966" t="s">
        <v>53188</v>
      </c>
      <c r="W13966" t="s">
        <v>44506</v>
      </c>
      <c r="X13966" t="s">
        <v>47326</v>
      </c>
    </row>
    <row r="13967" spans="1:24">
      <c r="A13967">
        <f>HYPERLINK("https://www.philgeps.gov.ph/GEPSNONPILOT/Tender/SplashBidNoticeAbstractUI.aspx?menuIndex=3&amp;refID=7167433&amp;Result=3","7167433")</f>
        <v>0</v>
      </c>
      <c r="B13967" t="s">
        <v>696</v>
      </c>
      <c r="C13967" t="s">
        <v>17071</v>
      </c>
      <c r="D13967" t="s">
        <v>19014</v>
      </c>
      <c r="E13967" t="s">
        <v>30893</v>
      </c>
      <c r="F13967" t="s">
        <v>32606</v>
      </c>
      <c r="G13967" t="s">
        <v>32617</v>
      </c>
      <c r="H13967" t="s">
        <v>14201</v>
      </c>
      <c r="I13967" t="s">
        <v>4114</v>
      </c>
      <c r="J13967" t="s">
        <v>33048</v>
      </c>
      <c r="K13967" t="s">
        <v>42627</v>
      </c>
      <c r="M13967" t="s">
        <v>45418</v>
      </c>
      <c r="N13967" t="s">
        <v>47304</v>
      </c>
      <c r="O13967" t="s">
        <v>47305</v>
      </c>
      <c r="Q13967">
        <v>14</v>
      </c>
      <c r="R13967" t="s">
        <v>47321</v>
      </c>
      <c r="S13967" t="s">
        <v>48161</v>
      </c>
      <c r="T13967" t="s">
        <v>49081</v>
      </c>
      <c r="U13967" t="s">
        <v>50770</v>
      </c>
      <c r="V13967" t="s">
        <v>64144</v>
      </c>
      <c r="W13967" t="s">
        <v>45418</v>
      </c>
      <c r="X13967" t="s">
        <v>47322</v>
      </c>
    </row>
    <row r="13968" spans="1:24">
      <c r="A13968">
        <f>HYPERLINK("https://www.philgeps.gov.ph/GEPSNONPILOT/Tender/SplashBidNoticeAbstractUI.aspx?menuIndex=3&amp;refID=7161280&amp;Result=3","7161280")</f>
        <v>0</v>
      </c>
      <c r="B13968" t="s">
        <v>1815</v>
      </c>
      <c r="C13968" t="s">
        <v>17072</v>
      </c>
      <c r="D13968" t="s">
        <v>19070</v>
      </c>
      <c r="E13968" t="s">
        <v>30894</v>
      </c>
      <c r="F13968" t="s">
        <v>32606</v>
      </c>
      <c r="G13968" t="s">
        <v>32613</v>
      </c>
      <c r="H13968" t="s">
        <v>32623</v>
      </c>
      <c r="I13968" t="s">
        <v>17648</v>
      </c>
      <c r="J13968" t="s">
        <v>41391</v>
      </c>
      <c r="K13968" t="s">
        <v>42778</v>
      </c>
      <c r="M13968" t="s">
        <v>44856</v>
      </c>
      <c r="N13968" t="s">
        <v>47304</v>
      </c>
      <c r="O13968" t="s">
        <v>47305</v>
      </c>
      <c r="P13968">
        <v>0</v>
      </c>
      <c r="Q13968">
        <v>0</v>
      </c>
      <c r="R13968" t="s">
        <v>47322</v>
      </c>
      <c r="S13968" t="s">
        <v>48156</v>
      </c>
      <c r="T13968" t="s">
        <v>49002</v>
      </c>
      <c r="U13968" t="s">
        <v>61084</v>
      </c>
      <c r="V13968" t="s">
        <v>63113</v>
      </c>
      <c r="W13968" t="s">
        <v>44856</v>
      </c>
      <c r="X13968" t="s">
        <v>47326</v>
      </c>
    </row>
    <row r="13969" spans="1:24">
      <c r="A13969">
        <f>HYPERLINK("https://www.philgeps.gov.ph/GEPSNONPILOT/Tender/SplashBidNoticeAbstractUI.aspx?menuIndex=3&amp;refID=7160275&amp;Result=3","7160275")</f>
        <v>0</v>
      </c>
      <c r="B13969" t="s">
        <v>2267</v>
      </c>
      <c r="C13969" t="s">
        <v>17073</v>
      </c>
      <c r="D13969" t="s">
        <v>18995</v>
      </c>
      <c r="E13969" t="s">
        <v>30895</v>
      </c>
      <c r="F13969" t="s">
        <v>32606</v>
      </c>
      <c r="G13969" t="s">
        <v>32613</v>
      </c>
      <c r="H13969" t="s">
        <v>32625</v>
      </c>
      <c r="I13969" t="s">
        <v>32625</v>
      </c>
      <c r="J13969" t="s">
        <v>41392</v>
      </c>
      <c r="K13969" t="s">
        <v>42631</v>
      </c>
      <c r="M13969" t="s">
        <v>45843</v>
      </c>
      <c r="N13969" t="s">
        <v>47304</v>
      </c>
      <c r="O13969" t="s">
        <v>47305</v>
      </c>
      <c r="P13969">
        <v>0</v>
      </c>
      <c r="Q13969">
        <v>5</v>
      </c>
      <c r="R13969" t="s">
        <v>47322</v>
      </c>
      <c r="S13969" t="s">
        <v>48156</v>
      </c>
      <c r="T13969" t="s">
        <v>49291</v>
      </c>
      <c r="U13969" t="s">
        <v>61085</v>
      </c>
      <c r="W13969" t="s">
        <v>45843</v>
      </c>
      <c r="X13969" t="s">
        <v>47326</v>
      </c>
    </row>
    <row r="13970" spans="1:24">
      <c r="A13970">
        <f>HYPERLINK("https://www.philgeps.gov.ph/GEPSNONPILOT/Tender/SplashBidNoticeAbstractUI.aspx?menuIndex=3&amp;refID=7160167&amp;Result=3","7160167")</f>
        <v>0</v>
      </c>
      <c r="B13970" t="s">
        <v>3712</v>
      </c>
      <c r="C13970" t="s">
        <v>17074</v>
      </c>
      <c r="D13970" t="s">
        <v>19031</v>
      </c>
      <c r="E13970" t="s">
        <v>30896</v>
      </c>
      <c r="F13970" t="s">
        <v>32606</v>
      </c>
      <c r="G13970" t="s">
        <v>32613</v>
      </c>
      <c r="H13970" t="s">
        <v>14201</v>
      </c>
      <c r="I13970" t="s">
        <v>6931</v>
      </c>
      <c r="J13970" t="s">
        <v>41393</v>
      </c>
      <c r="K13970" t="s">
        <v>42623</v>
      </c>
      <c r="M13970" t="s">
        <v>47025</v>
      </c>
      <c r="N13970" t="s">
        <v>47304</v>
      </c>
      <c r="O13970" t="s">
        <v>47305</v>
      </c>
      <c r="P13970">
        <v>0</v>
      </c>
      <c r="Q13970">
        <v>0</v>
      </c>
      <c r="R13970" t="s">
        <v>47322</v>
      </c>
      <c r="S13970" t="s">
        <v>48156</v>
      </c>
      <c r="T13970" t="s">
        <v>48988</v>
      </c>
      <c r="U13970" t="s">
        <v>61086</v>
      </c>
      <c r="V13970" t="s">
        <v>62838</v>
      </c>
      <c r="W13970" t="s">
        <v>47025</v>
      </c>
      <c r="X13970" t="s">
        <v>47326</v>
      </c>
    </row>
    <row r="13971" spans="1:24">
      <c r="A13971">
        <f>HYPERLINK("https://www.philgeps.gov.ph/GEPSNONPILOT/Tender/SplashBidNoticeAbstractUI.aspx?menuIndex=3&amp;refID=7159343&amp;Result=3","7159343")</f>
        <v>0</v>
      </c>
      <c r="B13971" t="s">
        <v>2113</v>
      </c>
      <c r="C13971" t="s">
        <v>17075</v>
      </c>
      <c r="D13971" t="s">
        <v>19012</v>
      </c>
      <c r="E13971" t="s">
        <v>30897</v>
      </c>
      <c r="F13971" t="s">
        <v>32606</v>
      </c>
      <c r="G13971" t="s">
        <v>32613</v>
      </c>
      <c r="H13971" t="s">
        <v>32623</v>
      </c>
      <c r="I13971" t="s">
        <v>17648</v>
      </c>
      <c r="J13971" t="s">
        <v>41394</v>
      </c>
      <c r="K13971" t="s">
        <v>42694</v>
      </c>
      <c r="M13971" t="s">
        <v>45199</v>
      </c>
      <c r="N13971" t="s">
        <v>47304</v>
      </c>
      <c r="O13971" t="s">
        <v>47305</v>
      </c>
      <c r="P13971">
        <v>0</v>
      </c>
      <c r="Q13971">
        <v>0</v>
      </c>
      <c r="R13971" t="s">
        <v>47322</v>
      </c>
      <c r="S13971" t="s">
        <v>48156</v>
      </c>
      <c r="T13971" t="s">
        <v>49023</v>
      </c>
      <c r="U13971" t="s">
        <v>61087</v>
      </c>
      <c r="W13971" t="s">
        <v>45199</v>
      </c>
      <c r="X13971" t="s">
        <v>47326</v>
      </c>
    </row>
    <row r="13972" spans="1:24">
      <c r="A13972">
        <f>HYPERLINK("https://www.philgeps.gov.ph/GEPSNONPILOT/Tender/SplashBidNoticeAbstractUI.aspx?menuIndex=3&amp;refID=7160164&amp;Result=3","7160164")</f>
        <v>0</v>
      </c>
      <c r="B13972" t="s">
        <v>1539</v>
      </c>
      <c r="C13972" t="s">
        <v>17076</v>
      </c>
      <c r="D13972" t="s">
        <v>19016</v>
      </c>
      <c r="E13972" t="s">
        <v>30898</v>
      </c>
      <c r="F13972" t="s">
        <v>32606</v>
      </c>
      <c r="G13972" t="s">
        <v>32613</v>
      </c>
      <c r="H13972" t="s">
        <v>14201</v>
      </c>
      <c r="I13972" t="s">
        <v>7064</v>
      </c>
      <c r="J13972" t="s">
        <v>33231</v>
      </c>
      <c r="K13972" t="s">
        <v>42623</v>
      </c>
      <c r="M13972" t="s">
        <v>44543</v>
      </c>
      <c r="N13972" t="s">
        <v>47304</v>
      </c>
      <c r="O13972" t="s">
        <v>47305</v>
      </c>
      <c r="P13972">
        <v>0</v>
      </c>
      <c r="Q13972">
        <v>6</v>
      </c>
      <c r="R13972" t="s">
        <v>47322</v>
      </c>
      <c r="S13972" t="s">
        <v>48156</v>
      </c>
      <c r="T13972" t="s">
        <v>49175</v>
      </c>
      <c r="U13972" t="s">
        <v>61088</v>
      </c>
      <c r="W13972" t="s">
        <v>44543</v>
      </c>
      <c r="X13972" t="s">
        <v>47326</v>
      </c>
    </row>
    <row r="13973" spans="1:24">
      <c r="A13973">
        <f>HYPERLINK("https://www.philgeps.gov.ph/GEPSNONPILOT/Tender/SplashBidNoticeAbstractUI.aspx?menuIndex=3&amp;refID=7159236&amp;Result=3","7159236")</f>
        <v>0</v>
      </c>
      <c r="B13973" t="s">
        <v>742</v>
      </c>
      <c r="C13973" t="s">
        <v>17077</v>
      </c>
      <c r="D13973" t="s">
        <v>19054</v>
      </c>
      <c r="E13973" t="s">
        <v>30899</v>
      </c>
      <c r="F13973" t="s">
        <v>32606</v>
      </c>
      <c r="G13973" t="s">
        <v>32613</v>
      </c>
      <c r="H13973" t="s">
        <v>14201</v>
      </c>
      <c r="I13973" t="s">
        <v>32655</v>
      </c>
      <c r="J13973" t="s">
        <v>41395</v>
      </c>
      <c r="K13973" t="s">
        <v>42631</v>
      </c>
      <c r="M13973" t="s">
        <v>43665</v>
      </c>
      <c r="N13973" t="s">
        <v>47304</v>
      </c>
      <c r="O13973" t="s">
        <v>47305</v>
      </c>
      <c r="P13973">
        <v>0</v>
      </c>
      <c r="Q13973">
        <v>17</v>
      </c>
      <c r="R13973" t="s">
        <v>47322</v>
      </c>
      <c r="S13973" t="s">
        <v>48156</v>
      </c>
      <c r="T13973" t="s">
        <v>48987</v>
      </c>
      <c r="U13973" t="s">
        <v>61089</v>
      </c>
      <c r="W13973" t="s">
        <v>43665</v>
      </c>
      <c r="X13973" t="s">
        <v>47326</v>
      </c>
    </row>
    <row r="13974" spans="1:24">
      <c r="A13974">
        <f>HYPERLINK("https://www.philgeps.gov.ph/GEPSNONPILOT/Tender/SplashBidNoticeAbstractUI.aspx?menuIndex=3&amp;refID=7158672&amp;Result=3","7158672")</f>
        <v>0</v>
      </c>
      <c r="B13974" t="s">
        <v>1932</v>
      </c>
      <c r="C13974" t="s">
        <v>17078</v>
      </c>
      <c r="D13974" t="s">
        <v>19032</v>
      </c>
      <c r="E13974" t="s">
        <v>30900</v>
      </c>
      <c r="F13974" t="s">
        <v>32606</v>
      </c>
      <c r="G13974" t="s">
        <v>32613</v>
      </c>
      <c r="H13974" t="s">
        <v>14201</v>
      </c>
      <c r="I13974" t="s">
        <v>32640</v>
      </c>
      <c r="J13974" t="s">
        <v>34490</v>
      </c>
      <c r="K13974" t="s">
        <v>42632</v>
      </c>
      <c r="M13974" t="s">
        <v>44992</v>
      </c>
      <c r="N13974" t="s">
        <v>47304</v>
      </c>
      <c r="O13974" t="s">
        <v>47305</v>
      </c>
      <c r="P13974">
        <v>0</v>
      </c>
      <c r="Q13974">
        <v>2</v>
      </c>
      <c r="R13974" t="s">
        <v>47322</v>
      </c>
      <c r="S13974" t="s">
        <v>48156</v>
      </c>
      <c r="T13974" t="s">
        <v>48979</v>
      </c>
      <c r="U13974" t="s">
        <v>61090</v>
      </c>
      <c r="W13974" t="s">
        <v>44992</v>
      </c>
      <c r="X13974" t="s">
        <v>47326</v>
      </c>
    </row>
    <row r="13975" spans="1:24">
      <c r="A13975">
        <f>HYPERLINK("https://www.philgeps.gov.ph/GEPSNONPILOT/Tender/SplashBidNoticeAbstractUI.aspx?menuIndex=3&amp;refID=7162290&amp;Result=3","7162290")</f>
        <v>0</v>
      </c>
      <c r="B13975" t="s">
        <v>955</v>
      </c>
      <c r="C13975" t="s">
        <v>17079</v>
      </c>
      <c r="D13975" t="s">
        <v>19068</v>
      </c>
      <c r="E13975" t="s">
        <v>21030</v>
      </c>
      <c r="F13975" t="s">
        <v>32606</v>
      </c>
      <c r="G13975" t="s">
        <v>32613</v>
      </c>
      <c r="H13975" t="s">
        <v>32623</v>
      </c>
      <c r="I13975" t="s">
        <v>17648</v>
      </c>
      <c r="J13975" t="s">
        <v>34667</v>
      </c>
      <c r="K13975" t="s">
        <v>42624</v>
      </c>
      <c r="M13975" t="s">
        <v>43898</v>
      </c>
      <c r="N13975" t="s">
        <v>47304</v>
      </c>
      <c r="O13975" t="s">
        <v>47305</v>
      </c>
      <c r="P13975">
        <v>0</v>
      </c>
      <c r="Q13975">
        <v>0</v>
      </c>
      <c r="R13975" t="s">
        <v>47322</v>
      </c>
      <c r="S13975" t="s">
        <v>48156</v>
      </c>
      <c r="T13975" t="s">
        <v>48986</v>
      </c>
      <c r="U13975" t="s">
        <v>61091</v>
      </c>
      <c r="V13975" t="s">
        <v>64153</v>
      </c>
      <c r="W13975" t="s">
        <v>43898</v>
      </c>
      <c r="X13975" t="s">
        <v>47325</v>
      </c>
    </row>
    <row r="13976" spans="1:24">
      <c r="A13976">
        <f>HYPERLINK("https://www.philgeps.gov.ph/GEPSNONPILOT/Tender/SplashBidNoticeAbstractUI.aspx?menuIndex=3&amp;refID=7162232&amp;Result=3","7162232")</f>
        <v>0</v>
      </c>
      <c r="B13976" t="s">
        <v>3713</v>
      </c>
      <c r="C13976" t="s">
        <v>17080</v>
      </c>
      <c r="E13976" t="s">
        <v>30901</v>
      </c>
      <c r="F13976" t="s">
        <v>32608</v>
      </c>
      <c r="G13976" t="s">
        <v>32613</v>
      </c>
      <c r="H13976" t="s">
        <v>14201</v>
      </c>
      <c r="I13976" t="s">
        <v>6298</v>
      </c>
      <c r="J13976" t="s">
        <v>32949</v>
      </c>
      <c r="K13976" t="s">
        <v>42624</v>
      </c>
      <c r="M13976" t="s">
        <v>47026</v>
      </c>
      <c r="N13976" t="s">
        <v>47304</v>
      </c>
      <c r="O13976" t="s">
        <v>47305</v>
      </c>
      <c r="P13976">
        <v>0</v>
      </c>
      <c r="Q13976">
        <v>1</v>
      </c>
      <c r="R13976" t="s">
        <v>47322</v>
      </c>
      <c r="S13976" t="s">
        <v>48156</v>
      </c>
      <c r="T13976" t="s">
        <v>49165</v>
      </c>
      <c r="U13976" t="s">
        <v>61092</v>
      </c>
      <c r="W13976" t="s">
        <v>47026</v>
      </c>
      <c r="X13976" t="s">
        <v>47325</v>
      </c>
    </row>
    <row r="13977" spans="1:24">
      <c r="A13977">
        <f>HYPERLINK("https://www.philgeps.gov.ph/GEPSNONPILOT/Tender/SplashBidNoticeAbstractUI.aspx?menuIndex=3&amp;refID=7162262&amp;Result=3","7162262")</f>
        <v>0</v>
      </c>
      <c r="B13977" t="s">
        <v>3714</v>
      </c>
      <c r="C13977" t="s">
        <v>17081</v>
      </c>
      <c r="D13977" t="s">
        <v>19024</v>
      </c>
      <c r="E13977" t="s">
        <v>30902</v>
      </c>
      <c r="F13977" t="s">
        <v>32606</v>
      </c>
      <c r="G13977" t="s">
        <v>32613</v>
      </c>
      <c r="H13977" t="s">
        <v>32623</v>
      </c>
      <c r="I13977" t="s">
        <v>32675</v>
      </c>
      <c r="J13977" t="s">
        <v>32765</v>
      </c>
      <c r="K13977" t="s">
        <v>42636</v>
      </c>
      <c r="M13977" t="s">
        <v>47027</v>
      </c>
      <c r="N13977" t="s">
        <v>47304</v>
      </c>
      <c r="O13977" t="s">
        <v>47305</v>
      </c>
      <c r="P13977">
        <v>0</v>
      </c>
      <c r="Q13977">
        <v>0</v>
      </c>
      <c r="R13977" t="s">
        <v>47322</v>
      </c>
      <c r="S13977" t="s">
        <v>48156</v>
      </c>
      <c r="T13977" t="s">
        <v>49015</v>
      </c>
      <c r="U13977" t="s">
        <v>61093</v>
      </c>
      <c r="W13977" t="s">
        <v>47027</v>
      </c>
      <c r="X13977" t="s">
        <v>47325</v>
      </c>
    </row>
    <row r="13978" spans="1:24">
      <c r="A13978">
        <f>HYPERLINK("https://www.philgeps.gov.ph/GEPSNONPILOT/Tender/SplashBidNoticeAbstractUI.aspx?menuIndex=3&amp;refID=7159974&amp;Result=3","7159974")</f>
        <v>0</v>
      </c>
      <c r="B13978" t="s">
        <v>1154</v>
      </c>
      <c r="C13978" t="s">
        <v>17082</v>
      </c>
      <c r="D13978" t="s">
        <v>19005</v>
      </c>
      <c r="E13978" t="s">
        <v>30903</v>
      </c>
      <c r="F13978" t="s">
        <v>32606</v>
      </c>
      <c r="G13978" t="s">
        <v>32613</v>
      </c>
      <c r="H13978" t="s">
        <v>32623</v>
      </c>
      <c r="I13978" t="s">
        <v>17648</v>
      </c>
      <c r="J13978" t="s">
        <v>41396</v>
      </c>
      <c r="K13978" t="s">
        <v>42735</v>
      </c>
      <c r="M13978" t="s">
        <v>44117</v>
      </c>
      <c r="N13978" t="s">
        <v>47304</v>
      </c>
      <c r="O13978" t="s">
        <v>47305</v>
      </c>
      <c r="P13978">
        <v>0</v>
      </c>
      <c r="Q13978">
        <v>0</v>
      </c>
      <c r="R13978" t="s">
        <v>47322</v>
      </c>
      <c r="S13978" t="s">
        <v>48156</v>
      </c>
      <c r="T13978" t="s">
        <v>48986</v>
      </c>
      <c r="U13978" t="s">
        <v>61094</v>
      </c>
      <c r="W13978" t="s">
        <v>44117</v>
      </c>
      <c r="X13978" t="s">
        <v>47326</v>
      </c>
    </row>
    <row r="13979" spans="1:24">
      <c r="A13979">
        <f>HYPERLINK("https://www.philgeps.gov.ph/GEPSNONPILOT/Tender/SplashBidNoticeAbstractUI.aspx?menuIndex=3&amp;refID=7162220&amp;Result=3","7162220")</f>
        <v>0</v>
      </c>
      <c r="B13979" t="s">
        <v>1503</v>
      </c>
      <c r="C13979" t="s">
        <v>17083</v>
      </c>
      <c r="D13979" t="s">
        <v>19049</v>
      </c>
      <c r="E13979" t="s">
        <v>30904</v>
      </c>
      <c r="F13979" t="s">
        <v>32606</v>
      </c>
      <c r="G13979" t="s">
        <v>32613</v>
      </c>
      <c r="H13979" t="s">
        <v>14201</v>
      </c>
      <c r="I13979" t="s">
        <v>32696</v>
      </c>
      <c r="J13979" t="s">
        <v>41397</v>
      </c>
      <c r="K13979" t="s">
        <v>42623</v>
      </c>
      <c r="L13979" t="s">
        <v>1503</v>
      </c>
      <c r="M13979" t="s">
        <v>44500</v>
      </c>
      <c r="N13979" t="s">
        <v>47304</v>
      </c>
      <c r="O13979" t="s">
        <v>47305</v>
      </c>
      <c r="Q13979">
        <v>1</v>
      </c>
      <c r="R13979" t="s">
        <v>47322</v>
      </c>
      <c r="S13979" t="s">
        <v>48162</v>
      </c>
      <c r="T13979" t="s">
        <v>49175</v>
      </c>
      <c r="U13979" t="s">
        <v>61095</v>
      </c>
      <c r="W13979" t="s">
        <v>44500</v>
      </c>
      <c r="X13979" t="s">
        <v>47325</v>
      </c>
    </row>
    <row r="13980" spans="1:24">
      <c r="A13980">
        <f>HYPERLINK("https://www.philgeps.gov.ph/GEPSNONPILOT/Tender/SplashBidNoticeAbstractUI.aspx?menuIndex=3&amp;refID=7162105&amp;Result=3","7162105")</f>
        <v>0</v>
      </c>
      <c r="B13980" t="s">
        <v>193</v>
      </c>
      <c r="C13980" t="s">
        <v>17084</v>
      </c>
      <c r="D13980" t="s">
        <v>19044</v>
      </c>
      <c r="E13980" t="s">
        <v>30905</v>
      </c>
      <c r="F13980" t="s">
        <v>32606</v>
      </c>
      <c r="G13980" t="s">
        <v>32613</v>
      </c>
      <c r="H13980" t="s">
        <v>14201</v>
      </c>
      <c r="I13980" t="s">
        <v>7064</v>
      </c>
      <c r="J13980" t="s">
        <v>32830</v>
      </c>
      <c r="K13980" t="s">
        <v>42634</v>
      </c>
      <c r="M13980" t="s">
        <v>43094</v>
      </c>
      <c r="N13980" t="s">
        <v>47304</v>
      </c>
      <c r="O13980" t="s">
        <v>47305</v>
      </c>
      <c r="P13980">
        <v>0</v>
      </c>
      <c r="Q13980">
        <v>3</v>
      </c>
      <c r="R13980" t="s">
        <v>47322</v>
      </c>
      <c r="S13980" t="s">
        <v>48156</v>
      </c>
      <c r="T13980" t="s">
        <v>49160</v>
      </c>
      <c r="U13980" t="s">
        <v>61096</v>
      </c>
      <c r="W13980" t="s">
        <v>43094</v>
      </c>
      <c r="X13980" t="s">
        <v>47325</v>
      </c>
    </row>
    <row r="13981" spans="1:24">
      <c r="A13981">
        <f>HYPERLINK("https://www.philgeps.gov.ph/GEPSNONPILOT/Tender/SplashBidNoticeAbstractUI.aspx?menuIndex=3&amp;refID=7161870&amp;Result=3","7161870")</f>
        <v>0</v>
      </c>
      <c r="B13981" t="s">
        <v>340</v>
      </c>
      <c r="C13981" t="s">
        <v>17085</v>
      </c>
      <c r="D13981" t="s">
        <v>19029</v>
      </c>
      <c r="E13981" t="s">
        <v>30906</v>
      </c>
      <c r="F13981" t="s">
        <v>32606</v>
      </c>
      <c r="G13981" t="s">
        <v>32613</v>
      </c>
      <c r="H13981" t="s">
        <v>14201</v>
      </c>
      <c r="I13981" t="s">
        <v>32633</v>
      </c>
      <c r="J13981" t="s">
        <v>41398</v>
      </c>
      <c r="K13981" t="s">
        <v>42631</v>
      </c>
      <c r="M13981" t="s">
        <v>43242</v>
      </c>
      <c r="N13981" t="s">
        <v>47304</v>
      </c>
      <c r="O13981" t="s">
        <v>47305</v>
      </c>
      <c r="P13981">
        <v>0</v>
      </c>
      <c r="Q13981">
        <v>9</v>
      </c>
      <c r="R13981" t="s">
        <v>47322</v>
      </c>
      <c r="S13981" t="s">
        <v>48156</v>
      </c>
      <c r="T13981" t="s">
        <v>48987</v>
      </c>
      <c r="U13981" t="s">
        <v>61077</v>
      </c>
      <c r="V13981" t="s">
        <v>64154</v>
      </c>
      <c r="W13981" t="s">
        <v>43242</v>
      </c>
      <c r="X13981" t="s">
        <v>47325</v>
      </c>
    </row>
    <row r="13982" spans="1:24">
      <c r="A13982">
        <f>HYPERLINK("https://www.philgeps.gov.ph/GEPSNONPILOT/Tender/SplashBidNoticeAbstractUI.aspx?menuIndex=3&amp;refID=7162079&amp;Result=3","7162079")</f>
        <v>0</v>
      </c>
      <c r="B13982" t="s">
        <v>1503</v>
      </c>
      <c r="C13982" t="s">
        <v>17086</v>
      </c>
      <c r="D13982" t="s">
        <v>19049</v>
      </c>
      <c r="E13982" t="s">
        <v>30907</v>
      </c>
      <c r="F13982" t="s">
        <v>32606</v>
      </c>
      <c r="G13982" t="s">
        <v>32613</v>
      </c>
      <c r="H13982" t="s">
        <v>14201</v>
      </c>
      <c r="I13982" t="s">
        <v>32629</v>
      </c>
      <c r="J13982" t="s">
        <v>41399</v>
      </c>
      <c r="K13982" t="s">
        <v>42623</v>
      </c>
      <c r="L13982" t="s">
        <v>1503</v>
      </c>
      <c r="M13982" t="s">
        <v>44500</v>
      </c>
      <c r="N13982" t="s">
        <v>47304</v>
      </c>
      <c r="O13982" t="s">
        <v>47305</v>
      </c>
      <c r="P13982">
        <v>0</v>
      </c>
      <c r="Q13982">
        <v>0</v>
      </c>
      <c r="R13982" t="s">
        <v>47322</v>
      </c>
      <c r="S13982" t="s">
        <v>48156</v>
      </c>
      <c r="T13982" t="s">
        <v>49175</v>
      </c>
      <c r="U13982" t="s">
        <v>61097</v>
      </c>
      <c r="W13982" t="s">
        <v>44500</v>
      </c>
      <c r="X13982" t="s">
        <v>47325</v>
      </c>
    </row>
    <row r="13983" spans="1:24">
      <c r="A13983">
        <f>HYPERLINK("https://www.philgeps.gov.ph/GEPSNONPILOT/Tender/SplashBidNoticeAbstractUI.aspx?menuIndex=3&amp;refID=7162075&amp;Result=3","7162075")</f>
        <v>0</v>
      </c>
      <c r="B13983" t="s">
        <v>1014</v>
      </c>
      <c r="C13983" t="s">
        <v>17087</v>
      </c>
      <c r="D13983" t="s">
        <v>18989</v>
      </c>
      <c r="E13983" t="s">
        <v>30908</v>
      </c>
      <c r="F13983" t="s">
        <v>32606</v>
      </c>
      <c r="G13983" t="s">
        <v>32614</v>
      </c>
      <c r="H13983" t="s">
        <v>14201</v>
      </c>
      <c r="I13983" t="s">
        <v>7577</v>
      </c>
      <c r="J13983" t="s">
        <v>41400</v>
      </c>
      <c r="K13983" t="s">
        <v>42677</v>
      </c>
      <c r="L13983" t="s">
        <v>1014</v>
      </c>
      <c r="M13983" t="s">
        <v>43962</v>
      </c>
      <c r="N13983" t="s">
        <v>47304</v>
      </c>
      <c r="O13983" t="s">
        <v>47305</v>
      </c>
      <c r="Q13983">
        <v>9</v>
      </c>
      <c r="R13983" t="s">
        <v>47322</v>
      </c>
      <c r="S13983" t="s">
        <v>48163</v>
      </c>
      <c r="T13983" t="s">
        <v>49311</v>
      </c>
      <c r="U13983" t="s">
        <v>51580</v>
      </c>
      <c r="W13983" t="s">
        <v>43962</v>
      </c>
      <c r="X13983" t="s">
        <v>47325</v>
      </c>
    </row>
    <row r="13984" spans="1:24">
      <c r="A13984">
        <f>HYPERLINK("https://www.philgeps.gov.ph/GEPSNONPILOT/Tender/SplashBidNoticeAbstractUI.aspx?menuIndex=3&amp;refID=7162060&amp;Result=3","7162060")</f>
        <v>0</v>
      </c>
      <c r="B13984" t="s">
        <v>3715</v>
      </c>
      <c r="C13984" t="s">
        <v>17088</v>
      </c>
      <c r="D13984" t="s">
        <v>19012</v>
      </c>
      <c r="E13984" t="s">
        <v>30909</v>
      </c>
      <c r="F13984" t="s">
        <v>32606</v>
      </c>
      <c r="G13984" t="s">
        <v>32613</v>
      </c>
      <c r="H13984" t="s">
        <v>14201</v>
      </c>
      <c r="I13984" t="s">
        <v>4678</v>
      </c>
      <c r="J13984" t="s">
        <v>33598</v>
      </c>
      <c r="K13984" t="s">
        <v>42636</v>
      </c>
      <c r="M13984" t="s">
        <v>47028</v>
      </c>
      <c r="N13984" t="s">
        <v>47304</v>
      </c>
      <c r="O13984" t="s">
        <v>47305</v>
      </c>
      <c r="Q13984">
        <v>12</v>
      </c>
      <c r="R13984" t="s">
        <v>47322</v>
      </c>
      <c r="S13984" t="s">
        <v>48164</v>
      </c>
      <c r="T13984" t="s">
        <v>49002</v>
      </c>
      <c r="U13984" t="s">
        <v>61098</v>
      </c>
      <c r="W13984" t="s">
        <v>47028</v>
      </c>
      <c r="X13984" t="s">
        <v>47325</v>
      </c>
    </row>
    <row r="13985" spans="1:24">
      <c r="A13985">
        <f>HYPERLINK("https://www.philgeps.gov.ph/GEPSNONPILOT/Tender/SplashBidNoticeAbstractUI.aspx?menuIndex=3&amp;refID=7160260&amp;Result=3","7160260")</f>
        <v>0</v>
      </c>
      <c r="B13985" t="s">
        <v>3716</v>
      </c>
      <c r="C13985" t="s">
        <v>17089</v>
      </c>
      <c r="D13985" t="s">
        <v>19031</v>
      </c>
      <c r="E13985" t="s">
        <v>20122</v>
      </c>
      <c r="F13985" t="s">
        <v>32606</v>
      </c>
      <c r="G13985" t="s">
        <v>32613</v>
      </c>
      <c r="H13985" t="s">
        <v>14201</v>
      </c>
      <c r="I13985" t="s">
        <v>6931</v>
      </c>
      <c r="J13985" t="s">
        <v>41401</v>
      </c>
      <c r="K13985" t="s">
        <v>42622</v>
      </c>
      <c r="M13985" t="s">
        <v>47029</v>
      </c>
      <c r="N13985" t="s">
        <v>47304</v>
      </c>
      <c r="O13985" t="s">
        <v>47305</v>
      </c>
      <c r="P13985">
        <v>0</v>
      </c>
      <c r="Q13985">
        <v>0</v>
      </c>
      <c r="R13985" t="s">
        <v>47322</v>
      </c>
      <c r="S13985" t="s">
        <v>48156</v>
      </c>
      <c r="T13985" t="s">
        <v>48988</v>
      </c>
      <c r="U13985" t="s">
        <v>61099</v>
      </c>
      <c r="V13985" t="s">
        <v>62838</v>
      </c>
      <c r="W13985" t="s">
        <v>47029</v>
      </c>
      <c r="X13985" t="s">
        <v>47326</v>
      </c>
    </row>
    <row r="13986" spans="1:24">
      <c r="A13986">
        <f>HYPERLINK("https://www.philgeps.gov.ph/GEPSNONPILOT/Tender/SplashBidNoticeAbstractUI.aspx?menuIndex=3&amp;refID=7162034&amp;Result=3","7162034")</f>
        <v>0</v>
      </c>
      <c r="B13986" t="s">
        <v>955</v>
      </c>
      <c r="C13986" t="s">
        <v>17090</v>
      </c>
      <c r="D13986" t="s">
        <v>19068</v>
      </c>
      <c r="E13986" t="s">
        <v>21030</v>
      </c>
      <c r="F13986" t="s">
        <v>32606</v>
      </c>
      <c r="G13986" t="s">
        <v>32613</v>
      </c>
      <c r="H13986" t="s">
        <v>32623</v>
      </c>
      <c r="I13986" t="s">
        <v>17648</v>
      </c>
      <c r="J13986" t="s">
        <v>32772</v>
      </c>
      <c r="K13986" t="s">
        <v>42624</v>
      </c>
      <c r="M13986" t="s">
        <v>43898</v>
      </c>
      <c r="N13986" t="s">
        <v>47304</v>
      </c>
      <c r="O13986" t="s">
        <v>47305</v>
      </c>
      <c r="P13986">
        <v>0</v>
      </c>
      <c r="Q13986">
        <v>0</v>
      </c>
      <c r="R13986" t="s">
        <v>47322</v>
      </c>
      <c r="S13986" t="s">
        <v>48156</v>
      </c>
      <c r="T13986" t="s">
        <v>48986</v>
      </c>
      <c r="U13986" t="s">
        <v>61100</v>
      </c>
      <c r="V13986" t="s">
        <v>64153</v>
      </c>
      <c r="W13986" t="s">
        <v>43898</v>
      </c>
      <c r="X13986" t="s">
        <v>47325</v>
      </c>
    </row>
    <row r="13987" spans="1:24">
      <c r="A13987">
        <f>HYPERLINK("https://www.philgeps.gov.ph/GEPSNONPILOT/Tender/SplashBidNoticeAbstractUI.aspx?menuIndex=3&amp;refID=7161955&amp;Result=3","7161955")</f>
        <v>0</v>
      </c>
      <c r="B13987" t="s">
        <v>2890</v>
      </c>
      <c r="C13987" t="s">
        <v>17091</v>
      </c>
      <c r="D13987" t="s">
        <v>19013</v>
      </c>
      <c r="E13987" t="s">
        <v>30910</v>
      </c>
      <c r="F13987" t="s">
        <v>32606</v>
      </c>
      <c r="G13987" t="s">
        <v>32613</v>
      </c>
      <c r="H13987" t="s">
        <v>32623</v>
      </c>
      <c r="I13987" t="s">
        <v>17648</v>
      </c>
      <c r="J13987" t="s">
        <v>41402</v>
      </c>
      <c r="K13987" t="s">
        <v>42683</v>
      </c>
      <c r="M13987" t="s">
        <v>46063</v>
      </c>
      <c r="N13987" t="s">
        <v>47304</v>
      </c>
      <c r="O13987" t="s">
        <v>47305</v>
      </c>
      <c r="P13987">
        <v>0</v>
      </c>
      <c r="Q13987">
        <v>3</v>
      </c>
      <c r="R13987" t="s">
        <v>47322</v>
      </c>
      <c r="S13987" t="s">
        <v>48156</v>
      </c>
      <c r="T13987" t="s">
        <v>49010</v>
      </c>
      <c r="U13987" t="s">
        <v>61101</v>
      </c>
      <c r="W13987" t="s">
        <v>46063</v>
      </c>
      <c r="X13987" t="s">
        <v>47325</v>
      </c>
    </row>
    <row r="13988" spans="1:24">
      <c r="A13988">
        <f>HYPERLINK("https://www.philgeps.gov.ph/GEPSNONPILOT/Tender/SplashBidNoticeAbstractUI.aspx?menuIndex=3&amp;refID=7162071&amp;Result=3","7162071")</f>
        <v>0</v>
      </c>
      <c r="B13988" t="s">
        <v>840</v>
      </c>
      <c r="C13988" t="s">
        <v>17092</v>
      </c>
      <c r="D13988" t="s">
        <v>18988</v>
      </c>
      <c r="E13988" t="s">
        <v>30911</v>
      </c>
      <c r="F13988" t="s">
        <v>32606</v>
      </c>
      <c r="G13988" t="s">
        <v>32613</v>
      </c>
      <c r="H13988" t="s">
        <v>14201</v>
      </c>
      <c r="I13988" t="s">
        <v>7064</v>
      </c>
      <c r="J13988" t="s">
        <v>33043</v>
      </c>
      <c r="K13988" t="s">
        <v>42636</v>
      </c>
      <c r="M13988" t="s">
        <v>43772</v>
      </c>
      <c r="N13988" t="s">
        <v>47304</v>
      </c>
      <c r="O13988" t="s">
        <v>47305</v>
      </c>
      <c r="P13988">
        <v>0</v>
      </c>
      <c r="Q13988">
        <v>3</v>
      </c>
      <c r="R13988" t="s">
        <v>47322</v>
      </c>
      <c r="S13988" t="s">
        <v>48156</v>
      </c>
      <c r="T13988" t="s">
        <v>49268</v>
      </c>
      <c r="U13988" t="s">
        <v>61102</v>
      </c>
      <c r="W13988" t="s">
        <v>43772</v>
      </c>
      <c r="X13988" t="s">
        <v>47325</v>
      </c>
    </row>
    <row r="13989" spans="1:24">
      <c r="A13989">
        <f>HYPERLINK("https://www.philgeps.gov.ph/GEPSNONPILOT/Tender/SplashBidNoticeAbstractUI.aspx?menuIndex=3&amp;refID=7161924&amp;Result=3","7161924")</f>
        <v>0</v>
      </c>
      <c r="B13989" t="s">
        <v>955</v>
      </c>
      <c r="C13989" t="s">
        <v>17093</v>
      </c>
      <c r="D13989" t="s">
        <v>19068</v>
      </c>
      <c r="E13989" t="s">
        <v>21030</v>
      </c>
      <c r="F13989" t="s">
        <v>32606</v>
      </c>
      <c r="G13989" t="s">
        <v>32613</v>
      </c>
      <c r="H13989" t="s">
        <v>32623</v>
      </c>
      <c r="I13989" t="s">
        <v>17648</v>
      </c>
      <c r="J13989" t="s">
        <v>32772</v>
      </c>
      <c r="K13989" t="s">
        <v>42624</v>
      </c>
      <c r="M13989" t="s">
        <v>43898</v>
      </c>
      <c r="N13989" t="s">
        <v>47304</v>
      </c>
      <c r="O13989" t="s">
        <v>47305</v>
      </c>
      <c r="P13989">
        <v>0</v>
      </c>
      <c r="Q13989">
        <v>0</v>
      </c>
      <c r="R13989" t="s">
        <v>47322</v>
      </c>
      <c r="S13989" t="s">
        <v>48156</v>
      </c>
      <c r="T13989" t="s">
        <v>48986</v>
      </c>
      <c r="U13989" t="s">
        <v>61103</v>
      </c>
      <c r="V13989" t="s">
        <v>64153</v>
      </c>
      <c r="W13989" t="s">
        <v>43898</v>
      </c>
      <c r="X13989" t="s">
        <v>47325</v>
      </c>
    </row>
    <row r="13990" spans="1:24">
      <c r="A13990">
        <f>HYPERLINK("https://www.philgeps.gov.ph/GEPSNONPILOT/Tender/SplashBidNoticeAbstractUI.aspx?menuIndex=3&amp;refID=7161904&amp;Result=3","7161904")</f>
        <v>0</v>
      </c>
      <c r="B13990" t="s">
        <v>955</v>
      </c>
      <c r="C13990" t="s">
        <v>17094</v>
      </c>
      <c r="D13990" t="s">
        <v>19068</v>
      </c>
      <c r="E13990" t="s">
        <v>21030</v>
      </c>
      <c r="F13990" t="s">
        <v>32606</v>
      </c>
      <c r="G13990" t="s">
        <v>32613</v>
      </c>
      <c r="H13990" t="s">
        <v>32623</v>
      </c>
      <c r="I13990" t="s">
        <v>17648</v>
      </c>
      <c r="J13990" t="s">
        <v>32830</v>
      </c>
      <c r="K13990" t="s">
        <v>42624</v>
      </c>
      <c r="M13990" t="s">
        <v>43898</v>
      </c>
      <c r="N13990" t="s">
        <v>47304</v>
      </c>
      <c r="O13990" t="s">
        <v>47305</v>
      </c>
      <c r="P13990">
        <v>0</v>
      </c>
      <c r="Q13990">
        <v>0</v>
      </c>
      <c r="R13990" t="s">
        <v>47322</v>
      </c>
      <c r="S13990" t="s">
        <v>48156</v>
      </c>
      <c r="T13990" t="s">
        <v>48986</v>
      </c>
      <c r="U13990" t="s">
        <v>61104</v>
      </c>
      <c r="V13990" t="s">
        <v>64153</v>
      </c>
      <c r="W13990" t="s">
        <v>43898</v>
      </c>
      <c r="X13990" t="s">
        <v>47325</v>
      </c>
    </row>
    <row r="13991" spans="1:24">
      <c r="A13991">
        <f>HYPERLINK("https://www.philgeps.gov.ph/GEPSNONPILOT/Tender/SplashBidNoticeAbstractUI.aspx?menuIndex=3&amp;refID=7162949&amp;Result=3","7162949")</f>
        <v>0</v>
      </c>
      <c r="B13991" t="s">
        <v>722</v>
      </c>
      <c r="C13991" t="s">
        <v>17095</v>
      </c>
      <c r="D13991" t="s">
        <v>19056</v>
      </c>
      <c r="E13991" t="s">
        <v>30912</v>
      </c>
      <c r="F13991" t="s">
        <v>32606</v>
      </c>
      <c r="G13991" t="s">
        <v>32613</v>
      </c>
      <c r="H13991" t="s">
        <v>32623</v>
      </c>
      <c r="I13991" t="s">
        <v>17648</v>
      </c>
      <c r="J13991" t="s">
        <v>41403</v>
      </c>
      <c r="K13991" t="s">
        <v>42646</v>
      </c>
      <c r="M13991" t="s">
        <v>43643</v>
      </c>
      <c r="N13991" t="s">
        <v>47304</v>
      </c>
      <c r="O13991" t="s">
        <v>47305</v>
      </c>
      <c r="P13991">
        <v>0</v>
      </c>
      <c r="Q13991">
        <v>6</v>
      </c>
      <c r="R13991" t="s">
        <v>47322</v>
      </c>
      <c r="S13991" t="s">
        <v>48156</v>
      </c>
      <c r="T13991" t="s">
        <v>49023</v>
      </c>
      <c r="U13991" t="s">
        <v>61105</v>
      </c>
      <c r="W13991" t="s">
        <v>43643</v>
      </c>
      <c r="X13991" t="s">
        <v>47325</v>
      </c>
    </row>
    <row r="13992" spans="1:24">
      <c r="A13992">
        <f>HYPERLINK("https://www.philgeps.gov.ph/GEPSNONPILOT/Tender/SplashBidNoticeAbstractUI.aspx?menuIndex=3&amp;refID=7162918&amp;Result=3","7162918")</f>
        <v>0</v>
      </c>
      <c r="B13992" t="s">
        <v>1819</v>
      </c>
      <c r="C13992" t="s">
        <v>17096</v>
      </c>
      <c r="D13992" t="s">
        <v>19019</v>
      </c>
      <c r="E13992" t="s">
        <v>30913</v>
      </c>
      <c r="F13992" t="s">
        <v>32606</v>
      </c>
      <c r="G13992" t="s">
        <v>32620</v>
      </c>
      <c r="H13992" t="s">
        <v>32625</v>
      </c>
      <c r="I13992" t="s">
        <v>32625</v>
      </c>
      <c r="J13992" t="s">
        <v>32770</v>
      </c>
      <c r="K13992" t="s">
        <v>42631</v>
      </c>
      <c r="M13992" t="s">
        <v>44860</v>
      </c>
      <c r="N13992" t="s">
        <v>47304</v>
      </c>
      <c r="O13992" t="s">
        <v>47305</v>
      </c>
      <c r="P13992">
        <v>0</v>
      </c>
      <c r="Q13992">
        <v>2</v>
      </c>
      <c r="R13992" t="s">
        <v>47322</v>
      </c>
      <c r="S13992" t="s">
        <v>48156</v>
      </c>
      <c r="T13992" t="s">
        <v>48989</v>
      </c>
      <c r="U13992" t="s">
        <v>53839</v>
      </c>
      <c r="W13992" t="s">
        <v>44860</v>
      </c>
      <c r="X13992" t="s">
        <v>47325</v>
      </c>
    </row>
    <row r="13993" spans="1:24">
      <c r="A13993">
        <f>HYPERLINK("https://www.philgeps.gov.ph/GEPSNONPILOT/Tender/SplashBidNoticeAbstractUI.aspx?menuIndex=3&amp;refID=7162063&amp;Result=3","7162063")</f>
        <v>0</v>
      </c>
      <c r="B13993" t="s">
        <v>1261</v>
      </c>
      <c r="C13993" t="s">
        <v>17097</v>
      </c>
      <c r="D13993" t="s">
        <v>19038</v>
      </c>
      <c r="E13993" t="s">
        <v>30914</v>
      </c>
      <c r="F13993" t="s">
        <v>32606</v>
      </c>
      <c r="G13993" t="s">
        <v>32613</v>
      </c>
      <c r="H13993" t="s">
        <v>14201</v>
      </c>
      <c r="I13993" t="s">
        <v>7064</v>
      </c>
      <c r="J13993" t="s">
        <v>32821</v>
      </c>
      <c r="K13993" t="s">
        <v>42624</v>
      </c>
      <c r="M13993" t="s">
        <v>44229</v>
      </c>
      <c r="N13993" t="s">
        <v>47304</v>
      </c>
      <c r="O13993" t="s">
        <v>47305</v>
      </c>
      <c r="P13993">
        <v>0</v>
      </c>
      <c r="Q13993">
        <v>8</v>
      </c>
      <c r="R13993" t="s">
        <v>47322</v>
      </c>
      <c r="S13993" t="s">
        <v>48156</v>
      </c>
      <c r="T13993" t="s">
        <v>49129</v>
      </c>
      <c r="U13993" t="s">
        <v>61106</v>
      </c>
      <c r="W13993" t="s">
        <v>44229</v>
      </c>
      <c r="X13993" t="s">
        <v>47325</v>
      </c>
    </row>
    <row r="13994" spans="1:24">
      <c r="A13994">
        <f>HYPERLINK("https://www.philgeps.gov.ph/GEPSNONPILOT/Tender/SplashBidNoticeAbstractUI.aspx?menuIndex=3&amp;refID=7162822&amp;Result=3","7162822")</f>
        <v>0</v>
      </c>
      <c r="B13994" t="s">
        <v>2548</v>
      </c>
      <c r="C13994" t="s">
        <v>17098</v>
      </c>
      <c r="D13994" t="s">
        <v>19004</v>
      </c>
      <c r="E13994" t="s">
        <v>30915</v>
      </c>
      <c r="F13994" t="s">
        <v>32606</v>
      </c>
      <c r="G13994" t="s">
        <v>32613</v>
      </c>
      <c r="H13994" t="s">
        <v>32623</v>
      </c>
      <c r="I13994" t="s">
        <v>17648</v>
      </c>
      <c r="J13994" t="s">
        <v>41404</v>
      </c>
      <c r="K13994" t="s">
        <v>42887</v>
      </c>
      <c r="M13994" t="s">
        <v>47030</v>
      </c>
      <c r="N13994" t="s">
        <v>47304</v>
      </c>
      <c r="O13994" t="s">
        <v>47305</v>
      </c>
      <c r="P13994">
        <v>0</v>
      </c>
      <c r="Q13994">
        <v>5</v>
      </c>
      <c r="R13994" t="s">
        <v>47322</v>
      </c>
      <c r="S13994" t="s">
        <v>48156</v>
      </c>
      <c r="T13994" t="s">
        <v>49263</v>
      </c>
      <c r="U13994" t="s">
        <v>61107</v>
      </c>
      <c r="W13994" t="s">
        <v>47030</v>
      </c>
      <c r="X13994" t="s">
        <v>47325</v>
      </c>
    </row>
    <row r="13995" spans="1:24">
      <c r="A13995">
        <f>HYPERLINK("https://www.philgeps.gov.ph/GEPSNONPILOT/Tender/SplashBidNoticeAbstractUI.aspx?menuIndex=3&amp;refID=7162807&amp;Result=3","7162807")</f>
        <v>0</v>
      </c>
      <c r="B13995" t="s">
        <v>193</v>
      </c>
      <c r="C13995" t="s">
        <v>17099</v>
      </c>
      <c r="D13995" t="s">
        <v>19044</v>
      </c>
      <c r="E13995" t="s">
        <v>19810</v>
      </c>
      <c r="F13995" t="s">
        <v>32606</v>
      </c>
      <c r="G13995" t="s">
        <v>32613</v>
      </c>
      <c r="H13995" t="s">
        <v>14201</v>
      </c>
      <c r="I13995" t="s">
        <v>7064</v>
      </c>
      <c r="J13995" t="s">
        <v>41405</v>
      </c>
      <c r="K13995" t="s">
        <v>42634</v>
      </c>
      <c r="M13995" t="s">
        <v>43094</v>
      </c>
      <c r="N13995" t="s">
        <v>47304</v>
      </c>
      <c r="O13995" t="s">
        <v>47305</v>
      </c>
      <c r="P13995">
        <v>0</v>
      </c>
      <c r="Q13995">
        <v>2</v>
      </c>
      <c r="R13995" t="s">
        <v>47322</v>
      </c>
      <c r="S13995" t="s">
        <v>48156</v>
      </c>
      <c r="T13995" t="s">
        <v>48982</v>
      </c>
      <c r="U13995" t="s">
        <v>61108</v>
      </c>
      <c r="W13995" t="s">
        <v>43094</v>
      </c>
      <c r="X13995" t="s">
        <v>47325</v>
      </c>
    </row>
    <row r="13996" spans="1:24">
      <c r="A13996">
        <f>HYPERLINK("https://www.philgeps.gov.ph/GEPSNONPILOT/Tender/SplashBidNoticeAbstractUI.aspx?menuIndex=3&amp;refID=7162175&amp;Result=3","7162175")</f>
        <v>0</v>
      </c>
      <c r="B13996" t="s">
        <v>1056</v>
      </c>
      <c r="C13996" t="s">
        <v>17100</v>
      </c>
      <c r="D13996" t="s">
        <v>19014</v>
      </c>
      <c r="E13996" t="s">
        <v>30916</v>
      </c>
      <c r="F13996" t="s">
        <v>32606</v>
      </c>
      <c r="G13996" t="s">
        <v>32613</v>
      </c>
      <c r="H13996" t="s">
        <v>32623</v>
      </c>
      <c r="I13996" t="s">
        <v>17648</v>
      </c>
      <c r="J13996" t="s">
        <v>41406</v>
      </c>
      <c r="K13996" t="s">
        <v>42648</v>
      </c>
      <c r="M13996" t="s">
        <v>44009</v>
      </c>
      <c r="N13996" t="s">
        <v>47304</v>
      </c>
      <c r="O13996" t="s">
        <v>47305</v>
      </c>
      <c r="Q13996">
        <v>22</v>
      </c>
      <c r="R13996" t="s">
        <v>47322</v>
      </c>
      <c r="S13996" t="s">
        <v>48165</v>
      </c>
      <c r="T13996" t="s">
        <v>48986</v>
      </c>
      <c r="U13996" t="s">
        <v>61109</v>
      </c>
      <c r="W13996" t="s">
        <v>44009</v>
      </c>
      <c r="X13996" t="s">
        <v>47325</v>
      </c>
    </row>
    <row r="13997" spans="1:24">
      <c r="A13997">
        <f>HYPERLINK("https://www.philgeps.gov.ph/GEPSNONPILOT/Tender/SplashBidNoticeAbstractUI.aspx?menuIndex=3&amp;refID=7162850&amp;Result=3","7162850")</f>
        <v>0</v>
      </c>
      <c r="B13997" t="s">
        <v>535</v>
      </c>
      <c r="C13997" t="s">
        <v>17101</v>
      </c>
      <c r="D13997" t="s">
        <v>19031</v>
      </c>
      <c r="E13997" t="s">
        <v>30917</v>
      </c>
      <c r="F13997" t="s">
        <v>32606</v>
      </c>
      <c r="G13997" t="s">
        <v>32613</v>
      </c>
      <c r="H13997" t="s">
        <v>14201</v>
      </c>
      <c r="I13997" t="s">
        <v>32638</v>
      </c>
      <c r="J13997" t="s">
        <v>41407</v>
      </c>
      <c r="K13997" t="s">
        <v>42639</v>
      </c>
      <c r="M13997" t="s">
        <v>43448</v>
      </c>
      <c r="N13997" t="s">
        <v>47304</v>
      </c>
      <c r="O13997" t="s">
        <v>47305</v>
      </c>
      <c r="P13997">
        <v>0</v>
      </c>
      <c r="Q13997">
        <v>8</v>
      </c>
      <c r="R13997" t="s">
        <v>47322</v>
      </c>
      <c r="S13997" t="s">
        <v>48156</v>
      </c>
      <c r="T13997" t="s">
        <v>48986</v>
      </c>
      <c r="U13997" t="s">
        <v>61110</v>
      </c>
      <c r="W13997" t="s">
        <v>43448</v>
      </c>
      <c r="X13997" t="s">
        <v>47325</v>
      </c>
    </row>
    <row r="13998" spans="1:24">
      <c r="A13998">
        <f>HYPERLINK("https://www.philgeps.gov.ph/GEPSNONPILOT/Tender/SplashBidNoticeAbstractUI.aspx?menuIndex=3&amp;refID=7162020&amp;Result=3","7162020")</f>
        <v>0</v>
      </c>
      <c r="B13998" t="s">
        <v>2890</v>
      </c>
      <c r="C13998" t="s">
        <v>17102</v>
      </c>
      <c r="D13998" t="s">
        <v>19013</v>
      </c>
      <c r="E13998" t="s">
        <v>30918</v>
      </c>
      <c r="F13998" t="s">
        <v>32606</v>
      </c>
      <c r="G13998" t="s">
        <v>32613</v>
      </c>
      <c r="H13998" t="s">
        <v>32623</v>
      </c>
      <c r="I13998" t="s">
        <v>17648</v>
      </c>
      <c r="J13998" t="s">
        <v>34591</v>
      </c>
      <c r="K13998" t="s">
        <v>42645</v>
      </c>
      <c r="M13998" t="s">
        <v>46063</v>
      </c>
      <c r="N13998" t="s">
        <v>47304</v>
      </c>
      <c r="O13998" t="s">
        <v>47305</v>
      </c>
      <c r="P13998">
        <v>0</v>
      </c>
      <c r="Q13998">
        <v>2</v>
      </c>
      <c r="R13998" t="s">
        <v>47322</v>
      </c>
      <c r="S13998" t="s">
        <v>48156</v>
      </c>
      <c r="T13998" t="s">
        <v>49010</v>
      </c>
      <c r="U13998" t="s">
        <v>61111</v>
      </c>
      <c r="W13998" t="s">
        <v>46063</v>
      </c>
      <c r="X13998" t="s">
        <v>47325</v>
      </c>
    </row>
    <row r="13999" spans="1:24">
      <c r="A13999">
        <f>HYPERLINK("https://www.philgeps.gov.ph/GEPSNONPILOT/Tender/SplashBidNoticeAbstractUI.aspx?menuIndex=3&amp;refID=7162626&amp;Result=3","7162626")</f>
        <v>0</v>
      </c>
      <c r="B13999" t="s">
        <v>357</v>
      </c>
      <c r="C13999" t="s">
        <v>17103</v>
      </c>
      <c r="D13999" t="s">
        <v>19010</v>
      </c>
      <c r="E13999" t="s">
        <v>30919</v>
      </c>
      <c r="F13999" t="s">
        <v>32606</v>
      </c>
      <c r="G13999" t="s">
        <v>32613</v>
      </c>
      <c r="H13999" t="s">
        <v>14201</v>
      </c>
      <c r="I13999" t="s">
        <v>7064</v>
      </c>
      <c r="J13999" t="s">
        <v>32767</v>
      </c>
      <c r="K13999" t="s">
        <v>42623</v>
      </c>
      <c r="M13999" t="s">
        <v>43259</v>
      </c>
      <c r="N13999" t="s">
        <v>47304</v>
      </c>
      <c r="O13999" t="s">
        <v>47305</v>
      </c>
      <c r="P13999">
        <v>0</v>
      </c>
      <c r="Q13999">
        <v>3</v>
      </c>
      <c r="R13999" t="s">
        <v>47322</v>
      </c>
      <c r="S13999" t="s">
        <v>48156</v>
      </c>
      <c r="T13999" t="s">
        <v>48986</v>
      </c>
      <c r="U13999" t="s">
        <v>61112</v>
      </c>
      <c r="V13999" t="s">
        <v>62729</v>
      </c>
      <c r="W13999" t="s">
        <v>43259</v>
      </c>
      <c r="X13999" t="s">
        <v>47325</v>
      </c>
    </row>
    <row r="14000" spans="1:24">
      <c r="A14000">
        <f>HYPERLINK("https://www.philgeps.gov.ph/GEPSNONPILOT/Tender/SplashBidNoticeAbstractUI.aspx?menuIndex=3&amp;refID=7162586&amp;Result=3","7162586")</f>
        <v>0</v>
      </c>
      <c r="B14000" t="s">
        <v>2304</v>
      </c>
      <c r="C14000" t="s">
        <v>17104</v>
      </c>
      <c r="D14000" t="s">
        <v>19016</v>
      </c>
      <c r="E14000" t="s">
        <v>30920</v>
      </c>
      <c r="F14000" t="s">
        <v>32606</v>
      </c>
      <c r="G14000" t="s">
        <v>32613</v>
      </c>
      <c r="H14000" t="s">
        <v>14201</v>
      </c>
      <c r="I14000" t="s">
        <v>32652</v>
      </c>
      <c r="J14000" t="s">
        <v>32772</v>
      </c>
      <c r="K14000" t="s">
        <v>42624</v>
      </c>
      <c r="M14000" t="s">
        <v>45410</v>
      </c>
      <c r="N14000" t="s">
        <v>47304</v>
      </c>
      <c r="O14000" t="s">
        <v>47305</v>
      </c>
      <c r="P14000">
        <v>0</v>
      </c>
      <c r="Q14000">
        <v>2</v>
      </c>
      <c r="R14000" t="s">
        <v>47322</v>
      </c>
      <c r="S14000" t="s">
        <v>48156</v>
      </c>
      <c r="T14000" t="s">
        <v>48988</v>
      </c>
      <c r="U14000" t="s">
        <v>61113</v>
      </c>
      <c r="W14000" t="s">
        <v>45410</v>
      </c>
      <c r="X14000" t="s">
        <v>47325</v>
      </c>
    </row>
    <row r="14001" spans="1:24">
      <c r="A14001">
        <f>HYPERLINK("https://www.philgeps.gov.ph/GEPSNONPILOT/Tender/SplashBidNoticeAbstractUI.aspx?menuIndex=3&amp;refID=7162790&amp;Result=3","7162790")</f>
        <v>0</v>
      </c>
      <c r="B14001" t="s">
        <v>2995</v>
      </c>
      <c r="C14001" t="s">
        <v>17105</v>
      </c>
      <c r="D14001" t="s">
        <v>18987</v>
      </c>
      <c r="E14001" t="s">
        <v>30921</v>
      </c>
      <c r="F14001" t="s">
        <v>32606</v>
      </c>
      <c r="G14001" t="s">
        <v>32613</v>
      </c>
      <c r="H14001" t="s">
        <v>14201</v>
      </c>
      <c r="I14001" t="s">
        <v>32664</v>
      </c>
      <c r="J14001" t="s">
        <v>37510</v>
      </c>
      <c r="K14001" t="s">
        <v>42631</v>
      </c>
      <c r="M14001" t="s">
        <v>46183</v>
      </c>
      <c r="N14001" t="s">
        <v>47304</v>
      </c>
      <c r="O14001" t="s">
        <v>47305</v>
      </c>
      <c r="P14001">
        <v>0</v>
      </c>
      <c r="Q14001">
        <v>10</v>
      </c>
      <c r="R14001" t="s">
        <v>47322</v>
      </c>
      <c r="S14001" t="s">
        <v>48156</v>
      </c>
      <c r="T14001" t="s">
        <v>48986</v>
      </c>
      <c r="U14001" t="s">
        <v>61114</v>
      </c>
      <c r="W14001" t="s">
        <v>46183</v>
      </c>
      <c r="X14001" t="s">
        <v>47325</v>
      </c>
    </row>
    <row r="14002" spans="1:24">
      <c r="A14002">
        <f>HYPERLINK("https://www.philgeps.gov.ph/GEPSNONPILOT/Tender/SplashBidNoticeAbstractUI.aspx?menuIndex=3&amp;refID=7162181&amp;Result=3","7162181")</f>
        <v>0</v>
      </c>
      <c r="B14002" t="s">
        <v>840</v>
      </c>
      <c r="C14002" t="s">
        <v>17106</v>
      </c>
      <c r="D14002" t="s">
        <v>18988</v>
      </c>
      <c r="E14002" t="s">
        <v>30922</v>
      </c>
      <c r="F14002" t="s">
        <v>32606</v>
      </c>
      <c r="G14002" t="s">
        <v>32613</v>
      </c>
      <c r="H14002" t="s">
        <v>14201</v>
      </c>
      <c r="I14002" t="s">
        <v>32629</v>
      </c>
      <c r="J14002" t="s">
        <v>41408</v>
      </c>
      <c r="K14002" t="s">
        <v>42627</v>
      </c>
      <c r="M14002" t="s">
        <v>43772</v>
      </c>
      <c r="N14002" t="s">
        <v>47304</v>
      </c>
      <c r="O14002" t="s">
        <v>47305</v>
      </c>
      <c r="P14002">
        <v>0</v>
      </c>
      <c r="Q14002">
        <v>0</v>
      </c>
      <c r="R14002" t="s">
        <v>47322</v>
      </c>
      <c r="S14002" t="s">
        <v>48156</v>
      </c>
      <c r="T14002" t="s">
        <v>49268</v>
      </c>
      <c r="U14002" t="s">
        <v>61115</v>
      </c>
      <c r="W14002" t="s">
        <v>43772</v>
      </c>
      <c r="X14002" t="s">
        <v>47325</v>
      </c>
    </row>
    <row r="14003" spans="1:24">
      <c r="A14003">
        <f>HYPERLINK("https://www.philgeps.gov.ph/GEPSNONPILOT/Tender/SplashBidNoticeAbstractUI.aspx?menuIndex=3&amp;refID=7163943&amp;Result=3","7163943")</f>
        <v>0</v>
      </c>
      <c r="B14003" t="s">
        <v>1895</v>
      </c>
      <c r="C14003" t="s">
        <v>17107</v>
      </c>
      <c r="D14003" t="s">
        <v>19034</v>
      </c>
      <c r="E14003" t="s">
        <v>30923</v>
      </c>
      <c r="F14003" t="s">
        <v>32606</v>
      </c>
      <c r="G14003" t="s">
        <v>32613</v>
      </c>
      <c r="H14003" t="s">
        <v>14201</v>
      </c>
      <c r="I14003" t="s">
        <v>32650</v>
      </c>
      <c r="J14003" t="s">
        <v>33263</v>
      </c>
      <c r="K14003" t="s">
        <v>42648</v>
      </c>
      <c r="M14003" t="s">
        <v>44954</v>
      </c>
      <c r="N14003" t="s">
        <v>47304</v>
      </c>
      <c r="O14003" t="s">
        <v>47305</v>
      </c>
      <c r="P14003">
        <v>0</v>
      </c>
      <c r="Q14003">
        <v>1</v>
      </c>
      <c r="R14003" t="s">
        <v>47322</v>
      </c>
      <c r="S14003" t="s">
        <v>48156</v>
      </c>
      <c r="T14003" t="s">
        <v>48980</v>
      </c>
      <c r="U14003" t="s">
        <v>54140</v>
      </c>
      <c r="W14003" t="s">
        <v>44954</v>
      </c>
      <c r="X14003" t="s">
        <v>47325</v>
      </c>
    </row>
    <row r="14004" spans="1:24">
      <c r="A14004">
        <f>HYPERLINK("https://www.philgeps.gov.ph/GEPSNONPILOT/Tender/SplashBidNoticeAbstractUI.aspx?menuIndex=3&amp;refID=7163940&amp;Result=3","7163940")</f>
        <v>0</v>
      </c>
      <c r="B14004" t="s">
        <v>540</v>
      </c>
      <c r="C14004" t="s">
        <v>17108</v>
      </c>
      <c r="D14004" t="s">
        <v>19001</v>
      </c>
      <c r="E14004" t="s">
        <v>30924</v>
      </c>
      <c r="F14004" t="s">
        <v>32606</v>
      </c>
      <c r="G14004" t="s">
        <v>32613</v>
      </c>
      <c r="H14004" t="s">
        <v>14201</v>
      </c>
      <c r="I14004" t="s">
        <v>6014</v>
      </c>
      <c r="J14004" t="s">
        <v>41409</v>
      </c>
      <c r="K14004" t="s">
        <v>42622</v>
      </c>
      <c r="M14004" t="s">
        <v>43781</v>
      </c>
      <c r="N14004" t="s">
        <v>47304</v>
      </c>
      <c r="O14004" t="s">
        <v>47305</v>
      </c>
      <c r="P14004">
        <v>0</v>
      </c>
      <c r="Q14004">
        <v>2</v>
      </c>
      <c r="R14004" t="s">
        <v>47322</v>
      </c>
      <c r="S14004" t="s">
        <v>48156</v>
      </c>
      <c r="T14004" t="s">
        <v>48986</v>
      </c>
      <c r="U14004" t="s">
        <v>61116</v>
      </c>
      <c r="W14004" t="s">
        <v>43781</v>
      </c>
      <c r="X14004" t="s">
        <v>47325</v>
      </c>
    </row>
    <row r="14005" spans="1:24">
      <c r="A14005">
        <f>HYPERLINK("https://www.philgeps.gov.ph/GEPSNONPILOT/Tender/SplashBidNoticeAbstractUI.aspx?menuIndex=3&amp;refID=7163921&amp;Result=3","7163921")</f>
        <v>0</v>
      </c>
      <c r="B14005" t="s">
        <v>3444</v>
      </c>
      <c r="C14005" t="s">
        <v>17109</v>
      </c>
      <c r="D14005" t="s">
        <v>19001</v>
      </c>
      <c r="E14005" t="s">
        <v>30925</v>
      </c>
      <c r="F14005" t="s">
        <v>32606</v>
      </c>
      <c r="G14005" t="s">
        <v>32613</v>
      </c>
      <c r="H14005" t="s">
        <v>14201</v>
      </c>
      <c r="I14005" t="s">
        <v>32661</v>
      </c>
      <c r="J14005" t="s">
        <v>33561</v>
      </c>
      <c r="K14005" t="s">
        <v>42622</v>
      </c>
      <c r="M14005" t="s">
        <v>46704</v>
      </c>
      <c r="N14005" t="s">
        <v>47304</v>
      </c>
      <c r="O14005" t="s">
        <v>47305</v>
      </c>
      <c r="P14005">
        <v>0</v>
      </c>
      <c r="Q14005">
        <v>4</v>
      </c>
      <c r="R14005" t="s">
        <v>47322</v>
      </c>
      <c r="S14005" t="s">
        <v>48156</v>
      </c>
      <c r="T14005" t="s">
        <v>48987</v>
      </c>
      <c r="U14005" t="s">
        <v>61117</v>
      </c>
      <c r="W14005" t="s">
        <v>64540</v>
      </c>
      <c r="X14005" t="s">
        <v>47325</v>
      </c>
    </row>
    <row r="14006" spans="1:24">
      <c r="A14006">
        <f>HYPERLINK("https://www.philgeps.gov.ph/GEPSNONPILOT/Tender/SplashBidNoticeAbstractUI.aspx?menuIndex=3&amp;refID=7163867&amp;Result=3","7163867")</f>
        <v>0</v>
      </c>
      <c r="B14006" t="s">
        <v>1201</v>
      </c>
      <c r="C14006" t="s">
        <v>17110</v>
      </c>
      <c r="E14006" t="s">
        <v>19327</v>
      </c>
      <c r="F14006" t="s">
        <v>32606</v>
      </c>
      <c r="G14006" t="s">
        <v>32613</v>
      </c>
      <c r="H14006" t="s">
        <v>32623</v>
      </c>
      <c r="I14006" t="s">
        <v>17648</v>
      </c>
      <c r="J14006" t="s">
        <v>41410</v>
      </c>
      <c r="K14006" t="s">
        <v>42634</v>
      </c>
      <c r="M14006" t="s">
        <v>45117</v>
      </c>
      <c r="N14006" t="s">
        <v>47304</v>
      </c>
      <c r="O14006" t="s">
        <v>47305</v>
      </c>
      <c r="Q14006">
        <v>10</v>
      </c>
      <c r="R14006" t="s">
        <v>47322</v>
      </c>
      <c r="S14006" t="s">
        <v>48166</v>
      </c>
      <c r="T14006" t="s">
        <v>49100</v>
      </c>
      <c r="U14006" t="s">
        <v>61118</v>
      </c>
      <c r="W14006" t="s">
        <v>45117</v>
      </c>
      <c r="X14006" t="s">
        <v>47325</v>
      </c>
    </row>
    <row r="14007" spans="1:24">
      <c r="A14007">
        <f>HYPERLINK("https://www.philgeps.gov.ph/GEPSNONPILOT/Tender/SplashBidNoticeAbstractUI.aspx?menuIndex=3&amp;refID=7162650&amp;Result=3","7162650")</f>
        <v>0</v>
      </c>
      <c r="B14007" t="s">
        <v>2304</v>
      </c>
      <c r="C14007" t="s">
        <v>17111</v>
      </c>
      <c r="D14007" t="s">
        <v>19016</v>
      </c>
      <c r="E14007" t="s">
        <v>30926</v>
      </c>
      <c r="F14007" t="s">
        <v>32606</v>
      </c>
      <c r="G14007" t="s">
        <v>32613</v>
      </c>
      <c r="H14007" t="s">
        <v>14201</v>
      </c>
      <c r="I14007" t="s">
        <v>32633</v>
      </c>
      <c r="J14007" t="s">
        <v>41411</v>
      </c>
      <c r="K14007" t="s">
        <v>42624</v>
      </c>
      <c r="M14007" t="s">
        <v>45410</v>
      </c>
      <c r="N14007" t="s">
        <v>47304</v>
      </c>
      <c r="O14007" t="s">
        <v>47305</v>
      </c>
      <c r="P14007">
        <v>0</v>
      </c>
      <c r="Q14007">
        <v>7</v>
      </c>
      <c r="R14007" t="s">
        <v>47322</v>
      </c>
      <c r="S14007" t="s">
        <v>48156</v>
      </c>
      <c r="T14007" t="s">
        <v>48987</v>
      </c>
      <c r="U14007" t="s">
        <v>61113</v>
      </c>
      <c r="W14007" t="s">
        <v>45410</v>
      </c>
      <c r="X14007" t="s">
        <v>47325</v>
      </c>
    </row>
    <row r="14008" spans="1:24">
      <c r="A14008">
        <f>HYPERLINK("https://www.philgeps.gov.ph/GEPSNONPILOT/Tender/SplashBidNoticeAbstractUI.aspx?menuIndex=3&amp;refID=7163856&amp;Result=3","7163856")</f>
        <v>0</v>
      </c>
      <c r="B14008" t="s">
        <v>540</v>
      </c>
      <c r="C14008" t="s">
        <v>17112</v>
      </c>
      <c r="D14008" t="s">
        <v>19001</v>
      </c>
      <c r="E14008" t="s">
        <v>30927</v>
      </c>
      <c r="F14008" t="s">
        <v>32606</v>
      </c>
      <c r="G14008" t="s">
        <v>32613</v>
      </c>
      <c r="H14008" t="s">
        <v>14201</v>
      </c>
      <c r="I14008" t="s">
        <v>4120</v>
      </c>
      <c r="J14008" t="s">
        <v>41412</v>
      </c>
      <c r="K14008" t="s">
        <v>42622</v>
      </c>
      <c r="M14008" t="s">
        <v>43781</v>
      </c>
      <c r="N14008" t="s">
        <v>47304</v>
      </c>
      <c r="O14008" t="s">
        <v>47305</v>
      </c>
      <c r="P14008">
        <v>0</v>
      </c>
      <c r="Q14008">
        <v>3</v>
      </c>
      <c r="R14008" t="s">
        <v>47322</v>
      </c>
      <c r="S14008" t="s">
        <v>48156</v>
      </c>
      <c r="T14008" t="s">
        <v>48986</v>
      </c>
      <c r="U14008" t="s">
        <v>61119</v>
      </c>
      <c r="W14008" t="s">
        <v>43781</v>
      </c>
      <c r="X14008" t="s">
        <v>47325</v>
      </c>
    </row>
    <row r="14009" spans="1:24">
      <c r="A14009">
        <f>HYPERLINK("https://www.philgeps.gov.ph/GEPSNONPILOT/Tender/SplashBidNoticeAbstractUI.aspx?menuIndex=3&amp;refID=7163613&amp;Result=3","7163613")</f>
        <v>0</v>
      </c>
      <c r="B14009" t="s">
        <v>1043</v>
      </c>
      <c r="C14009" t="s">
        <v>17113</v>
      </c>
      <c r="D14009" t="s">
        <v>19012</v>
      </c>
      <c r="E14009" t="s">
        <v>30928</v>
      </c>
      <c r="F14009" t="s">
        <v>32606</v>
      </c>
      <c r="G14009" t="s">
        <v>32613</v>
      </c>
      <c r="H14009" t="s">
        <v>32623</v>
      </c>
      <c r="I14009" t="s">
        <v>17648</v>
      </c>
      <c r="J14009" t="s">
        <v>41413</v>
      </c>
      <c r="K14009" t="s">
        <v>42648</v>
      </c>
      <c r="M14009" t="s">
        <v>45299</v>
      </c>
      <c r="N14009" t="s">
        <v>47304</v>
      </c>
      <c r="O14009" t="s">
        <v>47305</v>
      </c>
      <c r="P14009">
        <v>0</v>
      </c>
      <c r="Q14009">
        <v>3</v>
      </c>
      <c r="R14009" t="s">
        <v>47322</v>
      </c>
      <c r="S14009" t="s">
        <v>48156</v>
      </c>
      <c r="T14009" t="s">
        <v>48986</v>
      </c>
      <c r="U14009" t="s">
        <v>61120</v>
      </c>
      <c r="W14009" t="s">
        <v>45299</v>
      </c>
      <c r="X14009" t="s">
        <v>47325</v>
      </c>
    </row>
    <row r="14010" spans="1:24">
      <c r="A14010">
        <f>HYPERLINK("https://www.philgeps.gov.ph/GEPSNONPILOT/Tender/SplashBidNoticeAbstractUI.aspx?menuIndex=3&amp;refID=7163491&amp;Result=3","7163491")</f>
        <v>0</v>
      </c>
      <c r="B14010" t="s">
        <v>540</v>
      </c>
      <c r="C14010" t="s">
        <v>17114</v>
      </c>
      <c r="D14010" t="s">
        <v>19001</v>
      </c>
      <c r="E14010" t="s">
        <v>30327</v>
      </c>
      <c r="F14010" t="s">
        <v>32606</v>
      </c>
      <c r="G14010" t="s">
        <v>32613</v>
      </c>
      <c r="H14010" t="s">
        <v>14201</v>
      </c>
      <c r="I14010" t="s">
        <v>7677</v>
      </c>
      <c r="J14010" t="s">
        <v>41414</v>
      </c>
      <c r="K14010" t="s">
        <v>42622</v>
      </c>
      <c r="M14010" t="s">
        <v>43781</v>
      </c>
      <c r="N14010" t="s">
        <v>47304</v>
      </c>
      <c r="O14010" t="s">
        <v>47305</v>
      </c>
      <c r="P14010">
        <v>0</v>
      </c>
      <c r="Q14010">
        <v>10</v>
      </c>
      <c r="R14010" t="s">
        <v>47322</v>
      </c>
      <c r="S14010" t="s">
        <v>48156</v>
      </c>
      <c r="T14010" t="s">
        <v>48986</v>
      </c>
      <c r="U14010" t="s">
        <v>61121</v>
      </c>
      <c r="W14010" t="s">
        <v>43781</v>
      </c>
      <c r="X14010" t="s">
        <v>47325</v>
      </c>
    </row>
    <row r="14011" spans="1:24">
      <c r="A14011">
        <f>HYPERLINK("https://www.philgeps.gov.ph/GEPSNONPILOT/Tender/SplashBidNoticeAbstractUI.aspx?menuIndex=3&amp;refID=7163475&amp;Result=3","7163475")</f>
        <v>0</v>
      </c>
      <c r="B14011" t="s">
        <v>3283</v>
      </c>
      <c r="C14011" t="s">
        <v>17115</v>
      </c>
      <c r="D14011" t="s">
        <v>18993</v>
      </c>
      <c r="E14011" t="s">
        <v>26524</v>
      </c>
      <c r="F14011" t="s">
        <v>32606</v>
      </c>
      <c r="G14011" t="s">
        <v>32613</v>
      </c>
      <c r="H14011" t="s">
        <v>14201</v>
      </c>
      <c r="I14011" t="s">
        <v>32652</v>
      </c>
      <c r="J14011" t="s">
        <v>41415</v>
      </c>
      <c r="K14011" t="s">
        <v>42665</v>
      </c>
      <c r="M14011" t="s">
        <v>46519</v>
      </c>
      <c r="N14011" t="s">
        <v>47304</v>
      </c>
      <c r="O14011" t="s">
        <v>47305</v>
      </c>
      <c r="Q14011">
        <v>1</v>
      </c>
      <c r="R14011" t="s">
        <v>47322</v>
      </c>
      <c r="S14011" t="s">
        <v>48167</v>
      </c>
      <c r="T14011" t="s">
        <v>48987</v>
      </c>
      <c r="U14011" t="s">
        <v>61122</v>
      </c>
      <c r="W14011" t="s">
        <v>46519</v>
      </c>
      <c r="X14011" t="s">
        <v>47325</v>
      </c>
    </row>
    <row r="14012" spans="1:24">
      <c r="A14012">
        <f>HYPERLINK("https://www.philgeps.gov.ph/GEPSNONPILOT/Tender/SplashBidNoticeAbstractUI.aspx?menuIndex=3&amp;refID=7163367&amp;Result=3","7163367")</f>
        <v>0</v>
      </c>
      <c r="B14012" t="s">
        <v>1239</v>
      </c>
      <c r="C14012" t="s">
        <v>17116</v>
      </c>
      <c r="D14012" t="s">
        <v>19056</v>
      </c>
      <c r="E14012" t="s">
        <v>30929</v>
      </c>
      <c r="F14012" t="s">
        <v>32606</v>
      </c>
      <c r="G14012" t="s">
        <v>32613</v>
      </c>
      <c r="H14012" t="s">
        <v>32623</v>
      </c>
      <c r="I14012" t="s">
        <v>17648</v>
      </c>
      <c r="J14012" t="s">
        <v>41416</v>
      </c>
      <c r="K14012" t="s">
        <v>42635</v>
      </c>
      <c r="M14012" t="s">
        <v>44204</v>
      </c>
      <c r="N14012" t="s">
        <v>47304</v>
      </c>
      <c r="O14012" t="s">
        <v>47305</v>
      </c>
      <c r="P14012">
        <v>0</v>
      </c>
      <c r="Q14012">
        <v>1</v>
      </c>
      <c r="R14012" t="s">
        <v>47322</v>
      </c>
      <c r="S14012" t="s">
        <v>48156</v>
      </c>
      <c r="T14012" t="s">
        <v>49087</v>
      </c>
      <c r="U14012" t="s">
        <v>61123</v>
      </c>
      <c r="W14012" t="s">
        <v>44204</v>
      </c>
      <c r="X14012" t="s">
        <v>47325</v>
      </c>
    </row>
    <row r="14013" spans="1:24">
      <c r="A14013">
        <f>HYPERLINK("https://www.philgeps.gov.ph/GEPSNONPILOT/Tender/SplashBidNoticeAbstractUI.aspx?menuIndex=3&amp;refID=7163017&amp;Result=3","7163017")</f>
        <v>0</v>
      </c>
      <c r="B14013" t="s">
        <v>3717</v>
      </c>
      <c r="C14013" t="s">
        <v>17117</v>
      </c>
      <c r="D14013" t="s">
        <v>19061</v>
      </c>
      <c r="E14013" t="s">
        <v>30930</v>
      </c>
      <c r="F14013" t="s">
        <v>32606</v>
      </c>
      <c r="G14013" t="s">
        <v>32613</v>
      </c>
      <c r="H14013" t="s">
        <v>32623</v>
      </c>
      <c r="I14013" t="s">
        <v>17648</v>
      </c>
      <c r="J14013" t="s">
        <v>37297</v>
      </c>
      <c r="K14013" t="s">
        <v>42646</v>
      </c>
      <c r="M14013" t="s">
        <v>47031</v>
      </c>
      <c r="N14013" t="s">
        <v>47304</v>
      </c>
      <c r="O14013" t="s">
        <v>47305</v>
      </c>
      <c r="P14013">
        <v>0</v>
      </c>
      <c r="Q14013">
        <v>2</v>
      </c>
      <c r="R14013" t="s">
        <v>47322</v>
      </c>
      <c r="S14013" t="s">
        <v>48156</v>
      </c>
      <c r="T14013" t="s">
        <v>49087</v>
      </c>
      <c r="U14013" t="s">
        <v>61124</v>
      </c>
      <c r="V14013" t="s">
        <v>64155</v>
      </c>
      <c r="W14013" t="s">
        <v>47031</v>
      </c>
      <c r="X14013" t="s">
        <v>47325</v>
      </c>
    </row>
    <row r="14014" spans="1:24">
      <c r="A14014">
        <f>HYPERLINK("https://www.philgeps.gov.ph/GEPSNONPILOT/Tender/SplashBidNoticeAbstractUI.aspx?menuIndex=3&amp;refID=7163448&amp;Result=3","7163448")</f>
        <v>0</v>
      </c>
      <c r="B14014" t="s">
        <v>360</v>
      </c>
      <c r="C14014" t="s">
        <v>17118</v>
      </c>
      <c r="D14014" t="s">
        <v>19040</v>
      </c>
      <c r="E14014" t="s">
        <v>30931</v>
      </c>
      <c r="F14014" t="s">
        <v>32606</v>
      </c>
      <c r="G14014" t="s">
        <v>32613</v>
      </c>
      <c r="H14014" t="s">
        <v>14201</v>
      </c>
      <c r="I14014" t="s">
        <v>32697</v>
      </c>
      <c r="J14014" t="s">
        <v>41417</v>
      </c>
      <c r="K14014" t="s">
        <v>42622</v>
      </c>
      <c r="M14014" t="s">
        <v>43332</v>
      </c>
      <c r="N14014" t="s">
        <v>47304</v>
      </c>
      <c r="O14014" t="s">
        <v>47305</v>
      </c>
      <c r="P14014">
        <v>0</v>
      </c>
      <c r="Q14014">
        <v>3</v>
      </c>
      <c r="R14014" t="s">
        <v>47322</v>
      </c>
      <c r="S14014" t="s">
        <v>48156</v>
      </c>
      <c r="T14014" t="s">
        <v>49004</v>
      </c>
      <c r="U14014" t="s">
        <v>61125</v>
      </c>
      <c r="W14014" t="s">
        <v>43332</v>
      </c>
      <c r="X14014" t="s">
        <v>47325</v>
      </c>
    </row>
    <row r="14015" spans="1:24">
      <c r="A14015">
        <f>HYPERLINK("https://www.philgeps.gov.ph/GEPSNONPILOT/Tender/SplashBidNoticeAbstractUI.aspx?menuIndex=3&amp;refID=7163957&amp;Result=3","7163957")</f>
        <v>0</v>
      </c>
      <c r="B14015" t="s">
        <v>2496</v>
      </c>
      <c r="C14015" t="s">
        <v>17119</v>
      </c>
      <c r="D14015" t="s">
        <v>18995</v>
      </c>
      <c r="E14015" t="s">
        <v>30932</v>
      </c>
      <c r="F14015" t="s">
        <v>32606</v>
      </c>
      <c r="G14015" t="s">
        <v>32613</v>
      </c>
      <c r="H14015" t="s">
        <v>32623</v>
      </c>
      <c r="I14015" t="s">
        <v>17648</v>
      </c>
      <c r="J14015" t="s">
        <v>41418</v>
      </c>
      <c r="K14015" t="s">
        <v>42888</v>
      </c>
      <c r="M14015" t="s">
        <v>45634</v>
      </c>
      <c r="N14015" t="s">
        <v>47304</v>
      </c>
      <c r="O14015" t="s">
        <v>47305</v>
      </c>
      <c r="P14015">
        <v>0</v>
      </c>
      <c r="Q14015">
        <v>6</v>
      </c>
      <c r="R14015" t="s">
        <v>47322</v>
      </c>
      <c r="S14015" t="s">
        <v>48156</v>
      </c>
      <c r="T14015" t="s">
        <v>49052</v>
      </c>
      <c r="U14015" t="s">
        <v>61126</v>
      </c>
      <c r="V14015" t="s">
        <v>64156</v>
      </c>
      <c r="W14015" t="s">
        <v>45634</v>
      </c>
      <c r="X14015" t="s">
        <v>47325</v>
      </c>
    </row>
    <row r="14016" spans="1:24">
      <c r="A14016">
        <f>HYPERLINK("https://www.philgeps.gov.ph/GEPSNONPILOT/Tender/SplashBidNoticeAbstractUI.aspx?menuIndex=3&amp;refID=7164326&amp;Result=3","7164326")</f>
        <v>0</v>
      </c>
      <c r="B14016" t="s">
        <v>2523</v>
      </c>
      <c r="C14016" t="s">
        <v>17120</v>
      </c>
      <c r="D14016" t="s">
        <v>19008</v>
      </c>
      <c r="E14016" t="s">
        <v>19314</v>
      </c>
      <c r="F14016" t="s">
        <v>32606</v>
      </c>
      <c r="G14016" t="s">
        <v>32613</v>
      </c>
      <c r="H14016" t="s">
        <v>14201</v>
      </c>
      <c r="I14016" t="s">
        <v>6931</v>
      </c>
      <c r="J14016" t="s">
        <v>41419</v>
      </c>
      <c r="K14016" t="s">
        <v>42622</v>
      </c>
      <c r="M14016" t="s">
        <v>45664</v>
      </c>
      <c r="N14016" t="s">
        <v>47304</v>
      </c>
      <c r="O14016" t="s">
        <v>47305</v>
      </c>
      <c r="P14016">
        <v>0</v>
      </c>
      <c r="Q14016">
        <v>2</v>
      </c>
      <c r="R14016" t="s">
        <v>47322</v>
      </c>
      <c r="S14016" t="s">
        <v>48156</v>
      </c>
      <c r="T14016" t="s">
        <v>49011</v>
      </c>
      <c r="U14016" t="s">
        <v>53093</v>
      </c>
      <c r="W14016" t="s">
        <v>45664</v>
      </c>
      <c r="X14016" t="s">
        <v>47324</v>
      </c>
    </row>
    <row r="14017" spans="1:24">
      <c r="A14017">
        <f>HYPERLINK("https://www.philgeps.gov.ph/GEPSNONPILOT/Tender/SplashBidNoticeAbstractUI.aspx?menuIndex=3&amp;refID=7162603&amp;Result=3","7162603")</f>
        <v>0</v>
      </c>
      <c r="B14017" t="s">
        <v>955</v>
      </c>
      <c r="C14017" t="s">
        <v>17121</v>
      </c>
      <c r="D14017" t="s">
        <v>19068</v>
      </c>
      <c r="E14017" t="s">
        <v>21030</v>
      </c>
      <c r="F14017" t="s">
        <v>32606</v>
      </c>
      <c r="G14017" t="s">
        <v>32613</v>
      </c>
      <c r="H14017" t="s">
        <v>32623</v>
      </c>
      <c r="I14017" t="s">
        <v>17648</v>
      </c>
      <c r="J14017" t="s">
        <v>37918</v>
      </c>
      <c r="K14017" t="s">
        <v>42624</v>
      </c>
      <c r="M14017" t="s">
        <v>43898</v>
      </c>
      <c r="N14017" t="s">
        <v>47304</v>
      </c>
      <c r="O14017" t="s">
        <v>47305</v>
      </c>
      <c r="P14017">
        <v>0</v>
      </c>
      <c r="Q14017">
        <v>0</v>
      </c>
      <c r="R14017" t="s">
        <v>47322</v>
      </c>
      <c r="S14017" t="s">
        <v>48156</v>
      </c>
      <c r="T14017" t="s">
        <v>48986</v>
      </c>
      <c r="U14017" t="s">
        <v>61127</v>
      </c>
      <c r="V14017" t="s">
        <v>64153</v>
      </c>
      <c r="W14017" t="s">
        <v>43898</v>
      </c>
      <c r="X14017" t="s">
        <v>47325</v>
      </c>
    </row>
    <row r="14018" spans="1:24">
      <c r="A14018">
        <f>HYPERLINK("https://www.philgeps.gov.ph/GEPSNONPILOT/Tender/SplashBidNoticeAbstractUI.aspx?menuIndex=3&amp;refID=7164327&amp;Result=3","7164327")</f>
        <v>0</v>
      </c>
      <c r="B14018" t="s">
        <v>2523</v>
      </c>
      <c r="C14018" t="s">
        <v>17122</v>
      </c>
      <c r="D14018" t="s">
        <v>19008</v>
      </c>
      <c r="E14018" t="s">
        <v>19313</v>
      </c>
      <c r="F14018" t="s">
        <v>32606</v>
      </c>
      <c r="G14018" t="s">
        <v>32613</v>
      </c>
      <c r="H14018" t="s">
        <v>14201</v>
      </c>
      <c r="I14018" t="s">
        <v>6931</v>
      </c>
      <c r="J14018" t="s">
        <v>41420</v>
      </c>
      <c r="K14018" t="s">
        <v>42622</v>
      </c>
      <c r="M14018" t="s">
        <v>45664</v>
      </c>
      <c r="N14018" t="s">
        <v>47304</v>
      </c>
      <c r="O14018" t="s">
        <v>47305</v>
      </c>
      <c r="P14018">
        <v>0</v>
      </c>
      <c r="Q14018">
        <v>2</v>
      </c>
      <c r="R14018" t="s">
        <v>47322</v>
      </c>
      <c r="S14018" t="s">
        <v>48156</v>
      </c>
      <c r="T14018" t="s">
        <v>49011</v>
      </c>
      <c r="U14018" t="s">
        <v>53093</v>
      </c>
      <c r="W14018" t="s">
        <v>45664</v>
      </c>
      <c r="X14018" t="s">
        <v>47324</v>
      </c>
    </row>
    <row r="14019" spans="1:24">
      <c r="A14019">
        <f>HYPERLINK("https://www.philgeps.gov.ph/GEPSNONPILOT/Tender/SplashBidNoticeAbstractUI.aspx?menuIndex=3&amp;refID=7164313&amp;Result=3","7164313")</f>
        <v>0</v>
      </c>
      <c r="B14019" t="s">
        <v>2523</v>
      </c>
      <c r="C14019" t="s">
        <v>17123</v>
      </c>
      <c r="D14019" t="s">
        <v>19008</v>
      </c>
      <c r="E14019" t="s">
        <v>19279</v>
      </c>
      <c r="F14019" t="s">
        <v>32606</v>
      </c>
      <c r="G14019" t="s">
        <v>32613</v>
      </c>
      <c r="H14019" t="s">
        <v>14201</v>
      </c>
      <c r="I14019" t="s">
        <v>6931</v>
      </c>
      <c r="J14019" t="s">
        <v>41421</v>
      </c>
      <c r="K14019" t="s">
        <v>42622</v>
      </c>
      <c r="M14019" t="s">
        <v>45664</v>
      </c>
      <c r="N14019" t="s">
        <v>47304</v>
      </c>
      <c r="O14019" t="s">
        <v>47305</v>
      </c>
      <c r="P14019">
        <v>0</v>
      </c>
      <c r="Q14019">
        <v>4</v>
      </c>
      <c r="R14019" t="s">
        <v>47322</v>
      </c>
      <c r="S14019" t="s">
        <v>48156</v>
      </c>
      <c r="T14019" t="s">
        <v>49011</v>
      </c>
      <c r="U14019" t="s">
        <v>53093</v>
      </c>
      <c r="W14019" t="s">
        <v>45664</v>
      </c>
      <c r="X14019" t="s">
        <v>47324</v>
      </c>
    </row>
    <row r="14020" spans="1:24">
      <c r="A14020">
        <f>HYPERLINK("https://www.philgeps.gov.ph/GEPSNONPILOT/Tender/SplashBidNoticeAbstractUI.aspx?menuIndex=3&amp;refID=7157875&amp;Result=3","7157875")</f>
        <v>0</v>
      </c>
      <c r="B14020" t="s">
        <v>2961</v>
      </c>
      <c r="C14020" t="s">
        <v>12905</v>
      </c>
      <c r="D14020" t="s">
        <v>18986</v>
      </c>
      <c r="E14020" t="s">
        <v>30933</v>
      </c>
      <c r="F14020" t="s">
        <v>32606</v>
      </c>
      <c r="G14020" t="s">
        <v>32613</v>
      </c>
      <c r="H14020" t="s">
        <v>32623</v>
      </c>
      <c r="I14020" t="s">
        <v>17648</v>
      </c>
      <c r="J14020" t="s">
        <v>32990</v>
      </c>
      <c r="K14020" t="s">
        <v>42627</v>
      </c>
      <c r="M14020" t="s">
        <v>46145</v>
      </c>
      <c r="N14020" t="s">
        <v>47304</v>
      </c>
      <c r="O14020" t="s">
        <v>47305</v>
      </c>
      <c r="P14020">
        <v>0</v>
      </c>
      <c r="Q14020">
        <v>0</v>
      </c>
      <c r="R14020" t="s">
        <v>47322</v>
      </c>
      <c r="S14020" t="s">
        <v>48156</v>
      </c>
      <c r="T14020" t="s">
        <v>49495</v>
      </c>
      <c r="U14020" t="s">
        <v>61128</v>
      </c>
      <c r="W14020" t="s">
        <v>46145</v>
      </c>
      <c r="X14020" t="s">
        <v>47327</v>
      </c>
    </row>
    <row r="14021" spans="1:24">
      <c r="A14021">
        <f>HYPERLINK("https://www.philgeps.gov.ph/GEPSNONPILOT/Tender/SplashBidNoticeAbstractUI.aspx?menuIndex=3&amp;refID=7164164&amp;Result=3","7164164")</f>
        <v>0</v>
      </c>
      <c r="B14021" t="s">
        <v>1024</v>
      </c>
      <c r="C14021" t="s">
        <v>17124</v>
      </c>
      <c r="D14021" t="s">
        <v>19049</v>
      </c>
      <c r="E14021" t="s">
        <v>30934</v>
      </c>
      <c r="F14021" t="s">
        <v>32606</v>
      </c>
      <c r="G14021" t="s">
        <v>32613</v>
      </c>
      <c r="H14021" t="s">
        <v>14201</v>
      </c>
      <c r="I14021" t="s">
        <v>4114</v>
      </c>
      <c r="J14021" t="s">
        <v>41422</v>
      </c>
      <c r="K14021" t="s">
        <v>42631</v>
      </c>
      <c r="M14021" t="s">
        <v>43976</v>
      </c>
      <c r="N14021" t="s">
        <v>47304</v>
      </c>
      <c r="O14021" t="s">
        <v>47305</v>
      </c>
      <c r="Q14021">
        <v>8</v>
      </c>
      <c r="R14021" t="s">
        <v>47322</v>
      </c>
      <c r="S14021" t="s">
        <v>48168</v>
      </c>
      <c r="T14021" t="s">
        <v>49014</v>
      </c>
      <c r="U14021" t="s">
        <v>61129</v>
      </c>
      <c r="W14021" t="s">
        <v>64458</v>
      </c>
      <c r="X14021" t="s">
        <v>47325</v>
      </c>
    </row>
    <row r="14022" spans="1:24">
      <c r="A14022">
        <f>HYPERLINK("https://www.philgeps.gov.ph/GEPSNONPILOT/Tender/SplashBidNoticeAbstractUI.aspx?menuIndex=3&amp;refID=7162735&amp;Result=3","7162735")</f>
        <v>0</v>
      </c>
      <c r="B14022" t="s">
        <v>955</v>
      </c>
      <c r="C14022" t="s">
        <v>17125</v>
      </c>
      <c r="D14022" t="s">
        <v>19068</v>
      </c>
      <c r="E14022" t="s">
        <v>21030</v>
      </c>
      <c r="F14022" t="s">
        <v>32606</v>
      </c>
      <c r="G14022" t="s">
        <v>32613</v>
      </c>
      <c r="H14022" t="s">
        <v>32623</v>
      </c>
      <c r="I14022" t="s">
        <v>17648</v>
      </c>
      <c r="J14022" t="s">
        <v>34667</v>
      </c>
      <c r="K14022" t="s">
        <v>42624</v>
      </c>
      <c r="M14022" t="s">
        <v>43898</v>
      </c>
      <c r="N14022" t="s">
        <v>47304</v>
      </c>
      <c r="O14022" t="s">
        <v>47305</v>
      </c>
      <c r="P14022">
        <v>0</v>
      </c>
      <c r="Q14022">
        <v>0</v>
      </c>
      <c r="R14022" t="s">
        <v>47322</v>
      </c>
      <c r="S14022" t="s">
        <v>48156</v>
      </c>
      <c r="T14022" t="s">
        <v>48986</v>
      </c>
      <c r="U14022" t="s">
        <v>61130</v>
      </c>
      <c r="V14022" t="s">
        <v>64153</v>
      </c>
      <c r="W14022" t="s">
        <v>43898</v>
      </c>
      <c r="X14022" t="s">
        <v>47325</v>
      </c>
    </row>
    <row r="14023" spans="1:24">
      <c r="A14023">
        <f>HYPERLINK("https://www.philgeps.gov.ph/GEPSNONPILOT/Tender/SplashBidNoticeAbstractUI.aspx?menuIndex=3&amp;refID=7164074&amp;Result=3","7164074")</f>
        <v>0</v>
      </c>
      <c r="B14023" t="s">
        <v>1008</v>
      </c>
      <c r="C14023" t="s">
        <v>17126</v>
      </c>
      <c r="D14023" t="s">
        <v>19005</v>
      </c>
      <c r="E14023" t="s">
        <v>30935</v>
      </c>
      <c r="F14023" t="s">
        <v>32606</v>
      </c>
      <c r="G14023" t="s">
        <v>32613</v>
      </c>
      <c r="H14023" t="s">
        <v>14201</v>
      </c>
      <c r="I14023" t="s">
        <v>13131</v>
      </c>
      <c r="J14023" t="s">
        <v>33732</v>
      </c>
      <c r="K14023" t="s">
        <v>42624</v>
      </c>
      <c r="M14023" t="s">
        <v>47032</v>
      </c>
      <c r="N14023" t="s">
        <v>47304</v>
      </c>
      <c r="O14023" t="s">
        <v>47305</v>
      </c>
      <c r="Q14023">
        <v>8</v>
      </c>
      <c r="R14023" t="s">
        <v>47322</v>
      </c>
      <c r="S14023" t="s">
        <v>48169</v>
      </c>
      <c r="T14023" t="s">
        <v>49016</v>
      </c>
      <c r="U14023" t="s">
        <v>61131</v>
      </c>
      <c r="W14023" t="s">
        <v>47032</v>
      </c>
      <c r="X14023" t="s">
        <v>47325</v>
      </c>
    </row>
    <row r="14024" spans="1:24">
      <c r="A14024">
        <f>HYPERLINK("https://www.philgeps.gov.ph/GEPSNONPILOT/Tender/SplashBidNoticeAbstractUI.aspx?menuIndex=3&amp;refID=7164072&amp;Result=3","7164072")</f>
        <v>0</v>
      </c>
      <c r="B14024" t="s">
        <v>1008</v>
      </c>
      <c r="C14024" t="s">
        <v>17127</v>
      </c>
      <c r="D14024" t="s">
        <v>19005</v>
      </c>
      <c r="E14024" t="s">
        <v>30936</v>
      </c>
      <c r="F14024" t="s">
        <v>32606</v>
      </c>
      <c r="G14024" t="s">
        <v>32613</v>
      </c>
      <c r="H14024" t="s">
        <v>14201</v>
      </c>
      <c r="I14024" t="s">
        <v>4678</v>
      </c>
      <c r="J14024" t="s">
        <v>34448</v>
      </c>
      <c r="K14024" t="s">
        <v>42624</v>
      </c>
      <c r="M14024" t="s">
        <v>47032</v>
      </c>
      <c r="N14024" t="s">
        <v>47304</v>
      </c>
      <c r="O14024" t="s">
        <v>47305</v>
      </c>
      <c r="Q14024">
        <v>5</v>
      </c>
      <c r="R14024" t="s">
        <v>47322</v>
      </c>
      <c r="S14024" t="s">
        <v>48170</v>
      </c>
      <c r="T14024" t="s">
        <v>49016</v>
      </c>
      <c r="U14024" t="s">
        <v>61132</v>
      </c>
      <c r="W14024" t="s">
        <v>47032</v>
      </c>
      <c r="X14024" t="s">
        <v>47325</v>
      </c>
    </row>
    <row r="14025" spans="1:24">
      <c r="A14025">
        <f>HYPERLINK("https://www.philgeps.gov.ph/GEPSNONPILOT/Tender/SplashBidNoticeAbstractUI.aspx?menuIndex=3&amp;refID=7164053&amp;Result=3","7164053")</f>
        <v>0</v>
      </c>
      <c r="B14025" t="s">
        <v>3718</v>
      </c>
      <c r="C14025" t="s">
        <v>17128</v>
      </c>
      <c r="D14025" t="s">
        <v>19041</v>
      </c>
      <c r="E14025" t="s">
        <v>30937</v>
      </c>
      <c r="F14025" t="s">
        <v>32610</v>
      </c>
      <c r="G14025" t="s">
        <v>32613</v>
      </c>
      <c r="H14025" t="s">
        <v>32623</v>
      </c>
      <c r="I14025" t="s">
        <v>17648</v>
      </c>
      <c r="J14025" t="s">
        <v>41423</v>
      </c>
      <c r="K14025" t="s">
        <v>42631</v>
      </c>
      <c r="M14025" t="s">
        <v>47033</v>
      </c>
      <c r="N14025" t="s">
        <v>47304</v>
      </c>
      <c r="O14025" t="s">
        <v>47305</v>
      </c>
      <c r="P14025">
        <v>0</v>
      </c>
      <c r="Q14025">
        <v>0</v>
      </c>
      <c r="R14025" t="s">
        <v>47322</v>
      </c>
      <c r="S14025" t="s">
        <v>48156</v>
      </c>
      <c r="T14025" t="s">
        <v>48987</v>
      </c>
      <c r="U14025" t="s">
        <v>61133</v>
      </c>
      <c r="W14025" t="s">
        <v>47033</v>
      </c>
      <c r="X14025" t="s">
        <v>47325</v>
      </c>
    </row>
    <row r="14026" spans="1:24">
      <c r="A14026">
        <f>HYPERLINK("https://www.philgeps.gov.ph/GEPSNONPILOT/Tender/SplashBidNoticeAbstractUI.aspx?menuIndex=3&amp;refID=7164348&amp;Result=3","7164348")</f>
        <v>0</v>
      </c>
      <c r="B14026" t="s">
        <v>1500</v>
      </c>
      <c r="C14026" t="s">
        <v>17129</v>
      </c>
      <c r="D14026" t="s">
        <v>19036</v>
      </c>
      <c r="E14026" t="s">
        <v>30938</v>
      </c>
      <c r="F14026" t="s">
        <v>32606</v>
      </c>
      <c r="G14026" t="s">
        <v>32613</v>
      </c>
      <c r="H14026" t="s">
        <v>32623</v>
      </c>
      <c r="I14026" t="s">
        <v>17648</v>
      </c>
      <c r="J14026" t="s">
        <v>41424</v>
      </c>
      <c r="K14026" t="s">
        <v>42636</v>
      </c>
      <c r="M14026" t="s">
        <v>45435</v>
      </c>
      <c r="N14026" t="s">
        <v>47304</v>
      </c>
      <c r="O14026" t="s">
        <v>47305</v>
      </c>
      <c r="Q14026">
        <v>9</v>
      </c>
      <c r="R14026" t="s">
        <v>47322</v>
      </c>
      <c r="S14026" t="s">
        <v>48171</v>
      </c>
      <c r="T14026" t="s">
        <v>49011</v>
      </c>
      <c r="U14026" t="s">
        <v>61134</v>
      </c>
      <c r="W14026" t="s">
        <v>45435</v>
      </c>
      <c r="X14026" t="s">
        <v>47324</v>
      </c>
    </row>
    <row r="14027" spans="1:24">
      <c r="A14027">
        <f>HYPERLINK("https://www.philgeps.gov.ph/GEPSNONPILOT/Tender/SplashBidNoticeAbstractUI.aspx?menuIndex=3&amp;refID=7164508&amp;Result=3","7164508")</f>
        <v>0</v>
      </c>
      <c r="B14027" t="s">
        <v>3282</v>
      </c>
      <c r="C14027" t="s">
        <v>17130</v>
      </c>
      <c r="D14027" t="s">
        <v>19058</v>
      </c>
      <c r="E14027" t="s">
        <v>28746</v>
      </c>
      <c r="F14027" t="s">
        <v>32606</v>
      </c>
      <c r="G14027" t="s">
        <v>32613</v>
      </c>
      <c r="H14027" t="s">
        <v>14201</v>
      </c>
      <c r="I14027" t="s">
        <v>32626</v>
      </c>
      <c r="J14027" t="s">
        <v>34128</v>
      </c>
      <c r="K14027" t="s">
        <v>42631</v>
      </c>
      <c r="M14027" t="s">
        <v>46518</v>
      </c>
      <c r="N14027" t="s">
        <v>47304</v>
      </c>
      <c r="O14027" t="s">
        <v>47305</v>
      </c>
      <c r="P14027">
        <v>0</v>
      </c>
      <c r="Q14027">
        <v>1</v>
      </c>
      <c r="R14027" t="s">
        <v>47322</v>
      </c>
      <c r="S14027" t="s">
        <v>48156</v>
      </c>
      <c r="T14027" t="s">
        <v>48996</v>
      </c>
      <c r="U14027" t="s">
        <v>61135</v>
      </c>
      <c r="W14027" t="s">
        <v>46518</v>
      </c>
      <c r="X14027" t="s">
        <v>47324</v>
      </c>
    </row>
    <row r="14028" spans="1:24">
      <c r="A14028">
        <f>HYPERLINK("https://www.philgeps.gov.ph/GEPSNONPILOT/Tender/SplashBidNoticeAbstractUI.aspx?menuIndex=3&amp;refID=7164494&amp;Result=3","7164494")</f>
        <v>0</v>
      </c>
      <c r="B14028" t="s">
        <v>3282</v>
      </c>
      <c r="C14028" t="s">
        <v>17131</v>
      </c>
      <c r="D14028" t="s">
        <v>19058</v>
      </c>
      <c r="E14028" t="s">
        <v>28738</v>
      </c>
      <c r="F14028" t="s">
        <v>32606</v>
      </c>
      <c r="G14028" t="s">
        <v>32613</v>
      </c>
      <c r="H14028" t="s">
        <v>14201</v>
      </c>
      <c r="I14028" t="s">
        <v>32633</v>
      </c>
      <c r="J14028" t="s">
        <v>32821</v>
      </c>
      <c r="K14028" t="s">
        <v>42631</v>
      </c>
      <c r="M14028" t="s">
        <v>46518</v>
      </c>
      <c r="N14028" t="s">
        <v>47304</v>
      </c>
      <c r="O14028" t="s">
        <v>47305</v>
      </c>
      <c r="P14028">
        <v>0</v>
      </c>
      <c r="Q14028">
        <v>10</v>
      </c>
      <c r="R14028" t="s">
        <v>47322</v>
      </c>
      <c r="S14028" t="s">
        <v>48156</v>
      </c>
      <c r="T14028" t="s">
        <v>48996</v>
      </c>
      <c r="U14028" t="s">
        <v>61136</v>
      </c>
      <c r="W14028" t="s">
        <v>46518</v>
      </c>
      <c r="X14028" t="s">
        <v>47324</v>
      </c>
    </row>
    <row r="14029" spans="1:24">
      <c r="A14029">
        <f>HYPERLINK("https://www.philgeps.gov.ph/GEPSNONPILOT/Tender/SplashBidNoticeAbstractUI.aspx?menuIndex=3&amp;refID=7164562&amp;Result=3","7164562")</f>
        <v>0</v>
      </c>
      <c r="B14029" t="s">
        <v>3282</v>
      </c>
      <c r="C14029" t="s">
        <v>17132</v>
      </c>
      <c r="D14029" t="s">
        <v>19058</v>
      </c>
      <c r="E14029" t="s">
        <v>30939</v>
      </c>
      <c r="F14029" t="s">
        <v>32606</v>
      </c>
      <c r="G14029" t="s">
        <v>32620</v>
      </c>
      <c r="H14029" t="s">
        <v>14201</v>
      </c>
      <c r="I14029" t="s">
        <v>32625</v>
      </c>
      <c r="J14029" t="s">
        <v>34409</v>
      </c>
      <c r="K14029" t="s">
        <v>42679</v>
      </c>
      <c r="M14029" t="s">
        <v>46518</v>
      </c>
      <c r="N14029" t="s">
        <v>47304</v>
      </c>
      <c r="O14029" t="s">
        <v>47305</v>
      </c>
      <c r="P14029">
        <v>0</v>
      </c>
      <c r="Q14029">
        <v>4</v>
      </c>
      <c r="R14029" t="s">
        <v>47322</v>
      </c>
      <c r="S14029" t="s">
        <v>48156</v>
      </c>
      <c r="T14029" t="s">
        <v>48996</v>
      </c>
      <c r="U14029" t="s">
        <v>61137</v>
      </c>
      <c r="W14029" t="s">
        <v>46518</v>
      </c>
      <c r="X14029" t="s">
        <v>47324</v>
      </c>
    </row>
    <row r="14030" spans="1:24">
      <c r="A14030">
        <f>HYPERLINK("https://www.philgeps.gov.ph/GEPSNONPILOT/Tender/SplashBidNoticeAbstractUI.aspx?menuIndex=3&amp;refID=7164078&amp;Result=3","7164078")</f>
        <v>0</v>
      </c>
      <c r="B14030" t="s">
        <v>1844</v>
      </c>
      <c r="C14030" t="s">
        <v>17133</v>
      </c>
      <c r="D14030" t="s">
        <v>19011</v>
      </c>
      <c r="E14030" t="s">
        <v>30940</v>
      </c>
      <c r="F14030" t="s">
        <v>32606</v>
      </c>
      <c r="G14030" t="s">
        <v>32613</v>
      </c>
      <c r="H14030" t="s">
        <v>32623</v>
      </c>
      <c r="I14030" t="s">
        <v>17648</v>
      </c>
      <c r="J14030" t="s">
        <v>32795</v>
      </c>
      <c r="K14030" t="s">
        <v>42631</v>
      </c>
      <c r="M14030" t="s">
        <v>44897</v>
      </c>
      <c r="N14030" t="s">
        <v>47304</v>
      </c>
      <c r="O14030" t="s">
        <v>47305</v>
      </c>
      <c r="Q14030">
        <v>0</v>
      </c>
      <c r="R14030" t="s">
        <v>47322</v>
      </c>
      <c r="S14030" t="s">
        <v>48132</v>
      </c>
      <c r="T14030" t="s">
        <v>49100</v>
      </c>
      <c r="U14030" t="s">
        <v>61138</v>
      </c>
      <c r="W14030" t="s">
        <v>44897</v>
      </c>
      <c r="X14030" t="s">
        <v>47325</v>
      </c>
    </row>
    <row r="14031" spans="1:24">
      <c r="A14031">
        <f>HYPERLINK("https://www.philgeps.gov.ph/GEPSNONPILOT/Tender/SplashBidNoticeAbstractUI.aspx?menuIndex=3&amp;refID=7164550&amp;Result=3","7164550")</f>
        <v>0</v>
      </c>
      <c r="B14031" t="s">
        <v>3282</v>
      </c>
      <c r="C14031" t="s">
        <v>17134</v>
      </c>
      <c r="D14031" t="s">
        <v>19058</v>
      </c>
      <c r="E14031" t="s">
        <v>30941</v>
      </c>
      <c r="F14031" t="s">
        <v>32606</v>
      </c>
      <c r="G14031" t="s">
        <v>32613</v>
      </c>
      <c r="H14031" t="s">
        <v>14201</v>
      </c>
      <c r="I14031" t="s">
        <v>7064</v>
      </c>
      <c r="J14031" t="s">
        <v>32767</v>
      </c>
      <c r="K14031" t="s">
        <v>42631</v>
      </c>
      <c r="M14031" t="s">
        <v>46518</v>
      </c>
      <c r="N14031" t="s">
        <v>47304</v>
      </c>
      <c r="O14031" t="s">
        <v>47305</v>
      </c>
      <c r="P14031">
        <v>0</v>
      </c>
      <c r="Q14031">
        <v>8</v>
      </c>
      <c r="R14031" t="s">
        <v>47322</v>
      </c>
      <c r="S14031" t="s">
        <v>48156</v>
      </c>
      <c r="T14031" t="s">
        <v>48996</v>
      </c>
      <c r="U14031" t="s">
        <v>61139</v>
      </c>
      <c r="W14031" t="s">
        <v>46518</v>
      </c>
      <c r="X14031" t="s">
        <v>47324</v>
      </c>
    </row>
    <row r="14032" spans="1:24">
      <c r="A14032">
        <f>HYPERLINK("https://www.philgeps.gov.ph/GEPSNONPILOT/Tender/SplashBidNoticeAbstractUI.aspx?menuIndex=3&amp;refID=7164561&amp;Result=3","7164561")</f>
        <v>0</v>
      </c>
      <c r="B14032" t="s">
        <v>3282</v>
      </c>
      <c r="C14032" t="s">
        <v>17135</v>
      </c>
      <c r="D14032" t="s">
        <v>19058</v>
      </c>
      <c r="E14032" t="s">
        <v>30942</v>
      </c>
      <c r="F14032" t="s">
        <v>32606</v>
      </c>
      <c r="G14032" t="s">
        <v>32613</v>
      </c>
      <c r="H14032" t="s">
        <v>14201</v>
      </c>
      <c r="I14032" t="s">
        <v>32673</v>
      </c>
      <c r="J14032" t="s">
        <v>33757</v>
      </c>
      <c r="K14032" t="s">
        <v>42697</v>
      </c>
      <c r="M14032" t="s">
        <v>46518</v>
      </c>
      <c r="N14032" t="s">
        <v>47304</v>
      </c>
      <c r="O14032" t="s">
        <v>47305</v>
      </c>
      <c r="P14032">
        <v>0</v>
      </c>
      <c r="Q14032">
        <v>10</v>
      </c>
      <c r="R14032" t="s">
        <v>47322</v>
      </c>
      <c r="S14032" t="s">
        <v>48156</v>
      </c>
      <c r="T14032" t="s">
        <v>48996</v>
      </c>
      <c r="U14032" t="s">
        <v>61140</v>
      </c>
      <c r="W14032" t="s">
        <v>46518</v>
      </c>
      <c r="X14032" t="s">
        <v>47324</v>
      </c>
    </row>
    <row r="14033" spans="1:24">
      <c r="A14033">
        <f>HYPERLINK("https://www.philgeps.gov.ph/GEPSNONPILOT/Tender/SplashBidNoticeAbstractUI.aspx?menuIndex=3&amp;refID=7164560&amp;Result=3","7164560")</f>
        <v>0</v>
      </c>
      <c r="B14033" t="s">
        <v>3719</v>
      </c>
      <c r="C14033" t="s">
        <v>17136</v>
      </c>
      <c r="D14033" t="s">
        <v>18989</v>
      </c>
      <c r="E14033" t="s">
        <v>30943</v>
      </c>
      <c r="F14033" t="s">
        <v>32606</v>
      </c>
      <c r="G14033" t="s">
        <v>32613</v>
      </c>
      <c r="H14033" t="s">
        <v>32623</v>
      </c>
      <c r="I14033" t="s">
        <v>32649</v>
      </c>
      <c r="J14033" t="s">
        <v>41425</v>
      </c>
      <c r="K14033" t="s">
        <v>42646</v>
      </c>
      <c r="M14033" t="s">
        <v>47034</v>
      </c>
      <c r="N14033" t="s">
        <v>47304</v>
      </c>
      <c r="O14033" t="s">
        <v>47305</v>
      </c>
      <c r="P14033">
        <v>0</v>
      </c>
      <c r="Q14033">
        <v>4</v>
      </c>
      <c r="R14033" t="s">
        <v>47322</v>
      </c>
      <c r="S14033" t="s">
        <v>48156</v>
      </c>
      <c r="T14033" t="s">
        <v>49004</v>
      </c>
      <c r="U14033" t="s">
        <v>61141</v>
      </c>
      <c r="V14033" t="s">
        <v>64157</v>
      </c>
      <c r="W14033" t="s">
        <v>47034</v>
      </c>
      <c r="X14033" t="s">
        <v>47324</v>
      </c>
    </row>
    <row r="14034" spans="1:24">
      <c r="A14034">
        <f>HYPERLINK("https://www.philgeps.gov.ph/GEPSNONPILOT/Tender/SplashBidNoticeAbstractUI.aspx?menuIndex=3&amp;refID=7164542&amp;Result=3","7164542")</f>
        <v>0</v>
      </c>
      <c r="B14034" t="s">
        <v>3282</v>
      </c>
      <c r="C14034" t="s">
        <v>17137</v>
      </c>
      <c r="D14034" t="s">
        <v>19058</v>
      </c>
      <c r="E14034" t="s">
        <v>30944</v>
      </c>
      <c r="F14034" t="s">
        <v>32606</v>
      </c>
      <c r="G14034" t="s">
        <v>32613</v>
      </c>
      <c r="H14034" t="s">
        <v>14201</v>
      </c>
      <c r="I14034" t="s">
        <v>6298</v>
      </c>
      <c r="J14034" t="s">
        <v>33449</v>
      </c>
      <c r="K14034" t="s">
        <v>42631</v>
      </c>
      <c r="M14034" t="s">
        <v>46518</v>
      </c>
      <c r="N14034" t="s">
        <v>47304</v>
      </c>
      <c r="O14034" t="s">
        <v>47305</v>
      </c>
      <c r="P14034">
        <v>0</v>
      </c>
      <c r="Q14034">
        <v>8</v>
      </c>
      <c r="R14034" t="s">
        <v>47322</v>
      </c>
      <c r="S14034" t="s">
        <v>48156</v>
      </c>
      <c r="T14034" t="s">
        <v>48996</v>
      </c>
      <c r="U14034" t="s">
        <v>61142</v>
      </c>
      <c r="W14034" t="s">
        <v>46518</v>
      </c>
      <c r="X14034" t="s">
        <v>47324</v>
      </c>
    </row>
    <row r="14035" spans="1:24">
      <c r="A14035">
        <f>HYPERLINK("https://www.philgeps.gov.ph/GEPSNONPILOT/Tender/SplashBidNoticeAbstractUI.aspx?menuIndex=3&amp;refID=7163664&amp;Result=3","7163664")</f>
        <v>0</v>
      </c>
      <c r="B14035" t="s">
        <v>540</v>
      </c>
      <c r="C14035" t="s">
        <v>17138</v>
      </c>
      <c r="D14035" t="s">
        <v>19001</v>
      </c>
      <c r="E14035" t="s">
        <v>30945</v>
      </c>
      <c r="F14035" t="s">
        <v>32606</v>
      </c>
      <c r="G14035" t="s">
        <v>32613</v>
      </c>
      <c r="H14035" t="s">
        <v>14201</v>
      </c>
      <c r="I14035" t="s">
        <v>32638</v>
      </c>
      <c r="J14035" t="s">
        <v>41426</v>
      </c>
      <c r="K14035" t="s">
        <v>42622</v>
      </c>
      <c r="M14035" t="s">
        <v>43781</v>
      </c>
      <c r="N14035" t="s">
        <v>47304</v>
      </c>
      <c r="O14035" t="s">
        <v>47305</v>
      </c>
      <c r="P14035">
        <v>0</v>
      </c>
      <c r="Q14035">
        <v>13</v>
      </c>
      <c r="R14035" t="s">
        <v>47322</v>
      </c>
      <c r="S14035" t="s">
        <v>48156</v>
      </c>
      <c r="T14035" t="s">
        <v>48986</v>
      </c>
      <c r="U14035" t="s">
        <v>61143</v>
      </c>
      <c r="W14035" t="s">
        <v>43781</v>
      </c>
      <c r="X14035" t="s">
        <v>47325</v>
      </c>
    </row>
    <row r="14036" spans="1:24">
      <c r="A14036">
        <f>HYPERLINK("https://www.philgeps.gov.ph/GEPSNONPILOT/Tender/SplashBidNoticeAbstractUI.aspx?menuIndex=3&amp;refID=7164539&amp;Result=3","7164539")</f>
        <v>0</v>
      </c>
      <c r="B14036" t="s">
        <v>3282</v>
      </c>
      <c r="C14036" t="s">
        <v>17139</v>
      </c>
      <c r="D14036" t="s">
        <v>19058</v>
      </c>
      <c r="E14036" t="s">
        <v>28760</v>
      </c>
      <c r="F14036" t="s">
        <v>32606</v>
      </c>
      <c r="G14036" t="s">
        <v>32613</v>
      </c>
      <c r="H14036" t="s">
        <v>14201</v>
      </c>
      <c r="I14036" t="s">
        <v>32633</v>
      </c>
      <c r="J14036" t="s">
        <v>32772</v>
      </c>
      <c r="K14036" t="s">
        <v>42631</v>
      </c>
      <c r="M14036" t="s">
        <v>46518</v>
      </c>
      <c r="N14036" t="s">
        <v>47304</v>
      </c>
      <c r="O14036" t="s">
        <v>47305</v>
      </c>
      <c r="P14036">
        <v>0</v>
      </c>
      <c r="Q14036">
        <v>8</v>
      </c>
      <c r="R14036" t="s">
        <v>47322</v>
      </c>
      <c r="S14036" t="s">
        <v>48156</v>
      </c>
      <c r="T14036" t="s">
        <v>48996</v>
      </c>
      <c r="U14036" t="s">
        <v>61144</v>
      </c>
      <c r="W14036" t="s">
        <v>46518</v>
      </c>
      <c r="X14036" t="s">
        <v>47324</v>
      </c>
    </row>
    <row r="14037" spans="1:24">
      <c r="A14037">
        <f>HYPERLINK("https://www.philgeps.gov.ph/GEPSNONPILOT/Tender/SplashBidNoticeAbstractUI.aspx?menuIndex=3&amp;refID=7164553&amp;Result=3","7164553")</f>
        <v>0</v>
      </c>
      <c r="B14037" t="s">
        <v>3282</v>
      </c>
      <c r="C14037" t="s">
        <v>17140</v>
      </c>
      <c r="D14037" t="s">
        <v>19058</v>
      </c>
      <c r="E14037" t="s">
        <v>30946</v>
      </c>
      <c r="F14037" t="s">
        <v>32606</v>
      </c>
      <c r="G14037" t="s">
        <v>32613</v>
      </c>
      <c r="H14037" t="s">
        <v>14201</v>
      </c>
      <c r="I14037" t="s">
        <v>6298</v>
      </c>
      <c r="J14037" t="s">
        <v>32860</v>
      </c>
      <c r="K14037" t="s">
        <v>42631</v>
      </c>
      <c r="M14037" t="s">
        <v>46518</v>
      </c>
      <c r="N14037" t="s">
        <v>47304</v>
      </c>
      <c r="O14037" t="s">
        <v>47305</v>
      </c>
      <c r="P14037">
        <v>0</v>
      </c>
      <c r="Q14037">
        <v>10</v>
      </c>
      <c r="R14037" t="s">
        <v>47322</v>
      </c>
      <c r="S14037" t="s">
        <v>48156</v>
      </c>
      <c r="T14037" t="s">
        <v>48996</v>
      </c>
      <c r="U14037" t="s">
        <v>61145</v>
      </c>
      <c r="W14037" t="s">
        <v>46518</v>
      </c>
      <c r="X14037" t="s">
        <v>47324</v>
      </c>
    </row>
    <row r="14038" spans="1:24">
      <c r="A14038">
        <f>HYPERLINK("https://www.philgeps.gov.ph/GEPSNONPILOT/Tender/SplashBidNoticeAbstractUI.aspx?menuIndex=3&amp;refID=7164462&amp;Result=3","7164462")</f>
        <v>0</v>
      </c>
      <c r="B14038" t="s">
        <v>1559</v>
      </c>
      <c r="C14038" t="s">
        <v>17141</v>
      </c>
      <c r="D14038" t="s">
        <v>19032</v>
      </c>
      <c r="E14038" t="s">
        <v>30947</v>
      </c>
      <c r="F14038" t="s">
        <v>32606</v>
      </c>
      <c r="G14038" t="s">
        <v>32613</v>
      </c>
      <c r="H14038" t="s">
        <v>32623</v>
      </c>
      <c r="I14038" t="s">
        <v>17648</v>
      </c>
      <c r="J14038" t="s">
        <v>41427</v>
      </c>
      <c r="K14038" t="s">
        <v>42889</v>
      </c>
      <c r="M14038" t="s">
        <v>44565</v>
      </c>
      <c r="N14038" t="s">
        <v>47304</v>
      </c>
      <c r="O14038" t="s">
        <v>47305</v>
      </c>
      <c r="P14038">
        <v>0</v>
      </c>
      <c r="Q14038">
        <v>0</v>
      </c>
      <c r="R14038" t="s">
        <v>47322</v>
      </c>
      <c r="S14038" t="s">
        <v>48156</v>
      </c>
      <c r="T14038" t="s">
        <v>49002</v>
      </c>
      <c r="U14038" t="s">
        <v>61146</v>
      </c>
      <c r="W14038" t="s">
        <v>44565</v>
      </c>
      <c r="X14038" t="s">
        <v>47324</v>
      </c>
    </row>
    <row r="14039" spans="1:24">
      <c r="A14039">
        <f>HYPERLINK("https://www.philgeps.gov.ph/GEPSNONPILOT/Tender/SplashBidNoticeAbstractUI.aspx?menuIndex=3&amp;refID=7164456&amp;Result=3","7164456")</f>
        <v>0</v>
      </c>
      <c r="B14039" t="s">
        <v>1559</v>
      </c>
      <c r="C14039" t="s">
        <v>17142</v>
      </c>
      <c r="D14039" t="s">
        <v>19032</v>
      </c>
      <c r="E14039" t="s">
        <v>17142</v>
      </c>
      <c r="F14039" t="s">
        <v>32606</v>
      </c>
      <c r="G14039" t="s">
        <v>32613</v>
      </c>
      <c r="H14039" t="s">
        <v>32623</v>
      </c>
      <c r="I14039" t="s">
        <v>17648</v>
      </c>
      <c r="J14039" t="s">
        <v>41428</v>
      </c>
      <c r="K14039" t="s">
        <v>42642</v>
      </c>
      <c r="M14039" t="s">
        <v>44565</v>
      </c>
      <c r="N14039" t="s">
        <v>47304</v>
      </c>
      <c r="O14039" t="s">
        <v>47305</v>
      </c>
      <c r="Q14039">
        <v>3</v>
      </c>
      <c r="R14039" t="s">
        <v>47322</v>
      </c>
      <c r="S14039" t="s">
        <v>48172</v>
      </c>
      <c r="T14039" t="s">
        <v>49002</v>
      </c>
      <c r="U14039" t="s">
        <v>61147</v>
      </c>
      <c r="W14039" t="s">
        <v>44565</v>
      </c>
      <c r="X14039" t="s">
        <v>47324</v>
      </c>
    </row>
    <row r="14040" spans="1:24">
      <c r="A14040">
        <f>HYPERLINK("https://www.philgeps.gov.ph/GEPSNONPILOT/Tender/SplashBidNoticeAbstractUI.aspx?menuIndex=3&amp;refID=7164452&amp;Result=3","7164452")</f>
        <v>0</v>
      </c>
      <c r="B14040" t="s">
        <v>2296</v>
      </c>
      <c r="C14040" t="s">
        <v>17143</v>
      </c>
      <c r="D14040" t="s">
        <v>19019</v>
      </c>
      <c r="E14040" t="s">
        <v>21941</v>
      </c>
      <c r="F14040" t="s">
        <v>32606</v>
      </c>
      <c r="G14040" t="s">
        <v>32613</v>
      </c>
      <c r="H14040" t="s">
        <v>32624</v>
      </c>
      <c r="I14040" t="s">
        <v>32655</v>
      </c>
      <c r="J14040" t="s">
        <v>33071</v>
      </c>
      <c r="K14040" t="s">
        <v>42639</v>
      </c>
      <c r="M14040" t="s">
        <v>47035</v>
      </c>
      <c r="N14040" t="s">
        <v>47304</v>
      </c>
      <c r="O14040" t="s">
        <v>47305</v>
      </c>
      <c r="Q14040">
        <v>26</v>
      </c>
      <c r="R14040" t="s">
        <v>47322</v>
      </c>
      <c r="S14040" t="s">
        <v>48173</v>
      </c>
      <c r="T14040" t="s">
        <v>49269</v>
      </c>
      <c r="U14040" t="s">
        <v>61148</v>
      </c>
      <c r="W14040" t="s">
        <v>47035</v>
      </c>
      <c r="X14040" t="s">
        <v>47324</v>
      </c>
    </row>
    <row r="14041" spans="1:24">
      <c r="A14041">
        <f>HYPERLINK("https://www.philgeps.gov.ph/GEPSNONPILOT/Tender/SplashBidNoticeAbstractUI.aspx?menuIndex=3&amp;refID=7164451&amp;Result=3","7164451")</f>
        <v>0</v>
      </c>
      <c r="B14041" t="s">
        <v>1559</v>
      </c>
      <c r="C14041" t="s">
        <v>17144</v>
      </c>
      <c r="E14041" t="s">
        <v>17144</v>
      </c>
      <c r="F14041" t="s">
        <v>32606</v>
      </c>
      <c r="G14041" t="s">
        <v>32613</v>
      </c>
      <c r="H14041" t="s">
        <v>32623</v>
      </c>
      <c r="I14041" t="s">
        <v>17648</v>
      </c>
      <c r="J14041" t="s">
        <v>41429</v>
      </c>
      <c r="K14041" t="s">
        <v>42624</v>
      </c>
      <c r="M14041" t="s">
        <v>44565</v>
      </c>
      <c r="N14041" t="s">
        <v>47304</v>
      </c>
      <c r="O14041" t="s">
        <v>47305</v>
      </c>
      <c r="Q14041">
        <v>2</v>
      </c>
      <c r="R14041" t="s">
        <v>47322</v>
      </c>
      <c r="S14041" t="s">
        <v>48109</v>
      </c>
      <c r="T14041" t="s">
        <v>49496</v>
      </c>
      <c r="U14041" t="s">
        <v>61149</v>
      </c>
      <c r="W14041" t="s">
        <v>44565</v>
      </c>
      <c r="X14041" t="s">
        <v>47324</v>
      </c>
    </row>
    <row r="14042" spans="1:24">
      <c r="A14042">
        <f>HYPERLINK("https://www.philgeps.gov.ph/GEPSNONPILOT/Tender/SplashBidNoticeAbstractUI.aspx?menuIndex=3&amp;refID=7164446&amp;Result=3","7164446")</f>
        <v>0</v>
      </c>
      <c r="B14042" t="s">
        <v>2296</v>
      </c>
      <c r="C14042" t="s">
        <v>17145</v>
      </c>
      <c r="D14042" t="s">
        <v>19019</v>
      </c>
      <c r="E14042" t="s">
        <v>20284</v>
      </c>
      <c r="F14042" t="s">
        <v>32606</v>
      </c>
      <c r="G14042" t="s">
        <v>32613</v>
      </c>
      <c r="H14042" t="s">
        <v>32624</v>
      </c>
      <c r="I14042" t="s">
        <v>32655</v>
      </c>
      <c r="J14042" t="s">
        <v>39834</v>
      </c>
      <c r="K14042" t="s">
        <v>42639</v>
      </c>
      <c r="M14042" t="s">
        <v>47035</v>
      </c>
      <c r="N14042" t="s">
        <v>47304</v>
      </c>
      <c r="O14042" t="s">
        <v>47305</v>
      </c>
      <c r="Q14042">
        <v>27</v>
      </c>
      <c r="R14042" t="s">
        <v>47322</v>
      </c>
      <c r="S14042" t="s">
        <v>48174</v>
      </c>
      <c r="T14042" t="s">
        <v>49269</v>
      </c>
      <c r="U14042" t="s">
        <v>61150</v>
      </c>
      <c r="W14042" t="s">
        <v>47035</v>
      </c>
      <c r="X14042" t="s">
        <v>47324</v>
      </c>
    </row>
    <row r="14043" spans="1:24">
      <c r="A14043">
        <f>HYPERLINK("https://www.philgeps.gov.ph/GEPSNONPILOT/Tender/SplashBidNoticeAbstractUI.aspx?menuIndex=3&amp;refID=7164564&amp;Result=3","7164564")</f>
        <v>0</v>
      </c>
      <c r="B14043" t="s">
        <v>3720</v>
      </c>
      <c r="C14043" t="s">
        <v>17146</v>
      </c>
      <c r="D14043" t="s">
        <v>19006</v>
      </c>
      <c r="E14043" t="s">
        <v>30948</v>
      </c>
      <c r="F14043" t="s">
        <v>32606</v>
      </c>
      <c r="G14043" t="s">
        <v>32613</v>
      </c>
      <c r="H14043" t="s">
        <v>14201</v>
      </c>
      <c r="I14043" t="s">
        <v>6478</v>
      </c>
      <c r="J14043" t="s">
        <v>41430</v>
      </c>
      <c r="K14043" t="s">
        <v>42664</v>
      </c>
      <c r="M14043" t="s">
        <v>47036</v>
      </c>
      <c r="N14043" t="s">
        <v>47304</v>
      </c>
      <c r="O14043" t="s">
        <v>47305</v>
      </c>
      <c r="P14043">
        <v>0</v>
      </c>
      <c r="Q14043">
        <v>5</v>
      </c>
      <c r="R14043" t="s">
        <v>47322</v>
      </c>
      <c r="S14043" t="s">
        <v>48156</v>
      </c>
      <c r="T14043" t="s">
        <v>49497</v>
      </c>
      <c r="U14043" t="s">
        <v>61151</v>
      </c>
      <c r="W14043" t="s">
        <v>47036</v>
      </c>
      <c r="X14043" t="s">
        <v>47324</v>
      </c>
    </row>
    <row r="14044" spans="1:24">
      <c r="A14044">
        <f>HYPERLINK("https://www.philgeps.gov.ph/GEPSNONPILOT/Tender/SplashBidNoticeAbstractUI.aspx?menuIndex=3&amp;refID=7164901&amp;Result=3","7164901")</f>
        <v>0</v>
      </c>
      <c r="B14044" t="s">
        <v>3721</v>
      </c>
      <c r="C14044" t="s">
        <v>17147</v>
      </c>
      <c r="D14044" t="s">
        <v>18986</v>
      </c>
      <c r="E14044" t="s">
        <v>30949</v>
      </c>
      <c r="F14044" t="s">
        <v>32606</v>
      </c>
      <c r="G14044" t="s">
        <v>32613</v>
      </c>
      <c r="H14044" t="s">
        <v>14201</v>
      </c>
      <c r="I14044" t="s">
        <v>32638</v>
      </c>
      <c r="J14044" t="s">
        <v>33529</v>
      </c>
      <c r="K14044" t="s">
        <v>42639</v>
      </c>
      <c r="M14044" t="s">
        <v>47037</v>
      </c>
      <c r="N14044" t="s">
        <v>47304</v>
      </c>
      <c r="O14044" t="s">
        <v>47305</v>
      </c>
      <c r="P14044">
        <v>0</v>
      </c>
      <c r="Q14044">
        <v>4</v>
      </c>
      <c r="R14044" t="s">
        <v>47322</v>
      </c>
      <c r="S14044" t="s">
        <v>48156</v>
      </c>
      <c r="T14044" t="s">
        <v>49011</v>
      </c>
      <c r="U14044" t="s">
        <v>61152</v>
      </c>
      <c r="V14044" t="s">
        <v>64158</v>
      </c>
      <c r="W14044" t="s">
        <v>47037</v>
      </c>
      <c r="X14044" t="s">
        <v>47323</v>
      </c>
    </row>
    <row r="14045" spans="1:24">
      <c r="A14045">
        <f>HYPERLINK("https://www.philgeps.gov.ph/GEPSNONPILOT/Tender/SplashBidNoticeAbstractUI.aspx?menuIndex=3&amp;refID=7164547&amp;Result=3","7164547")</f>
        <v>0</v>
      </c>
      <c r="B14045" t="s">
        <v>3282</v>
      </c>
      <c r="C14045" t="s">
        <v>17148</v>
      </c>
      <c r="D14045" t="s">
        <v>19058</v>
      </c>
      <c r="E14045" t="s">
        <v>30950</v>
      </c>
      <c r="F14045" t="s">
        <v>32606</v>
      </c>
      <c r="G14045" t="s">
        <v>32613</v>
      </c>
      <c r="H14045" t="s">
        <v>14201</v>
      </c>
      <c r="I14045" t="s">
        <v>7064</v>
      </c>
      <c r="J14045" t="s">
        <v>33757</v>
      </c>
      <c r="K14045" t="s">
        <v>42697</v>
      </c>
      <c r="M14045" t="s">
        <v>46518</v>
      </c>
      <c r="N14045" t="s">
        <v>47304</v>
      </c>
      <c r="O14045" t="s">
        <v>47305</v>
      </c>
      <c r="P14045">
        <v>0</v>
      </c>
      <c r="Q14045">
        <v>7</v>
      </c>
      <c r="R14045" t="s">
        <v>47322</v>
      </c>
      <c r="S14045" t="s">
        <v>48156</v>
      </c>
      <c r="T14045" t="s">
        <v>48996</v>
      </c>
      <c r="U14045" t="s">
        <v>61153</v>
      </c>
      <c r="W14045" t="s">
        <v>46518</v>
      </c>
      <c r="X14045" t="s">
        <v>47324</v>
      </c>
    </row>
    <row r="14046" spans="1:24">
      <c r="A14046">
        <f>HYPERLINK("https://www.philgeps.gov.ph/GEPSNONPILOT/Tender/SplashBidNoticeAbstractUI.aspx?menuIndex=3&amp;refID=7164448&amp;Result=3","7164448")</f>
        <v>0</v>
      </c>
      <c r="B14046" t="s">
        <v>1559</v>
      </c>
      <c r="C14046" t="s">
        <v>17149</v>
      </c>
      <c r="E14046" t="s">
        <v>30951</v>
      </c>
      <c r="F14046" t="s">
        <v>32606</v>
      </c>
      <c r="G14046" t="s">
        <v>32613</v>
      </c>
      <c r="H14046" t="s">
        <v>32623</v>
      </c>
      <c r="I14046" t="s">
        <v>17648</v>
      </c>
      <c r="J14046" t="s">
        <v>41431</v>
      </c>
      <c r="K14046" t="s">
        <v>42890</v>
      </c>
      <c r="M14046" t="s">
        <v>44565</v>
      </c>
      <c r="N14046" t="s">
        <v>47304</v>
      </c>
      <c r="O14046" t="s">
        <v>47305</v>
      </c>
      <c r="Q14046">
        <v>3</v>
      </c>
      <c r="R14046" t="s">
        <v>47322</v>
      </c>
      <c r="S14046" t="s">
        <v>48175</v>
      </c>
      <c r="T14046" t="s">
        <v>49496</v>
      </c>
      <c r="U14046" t="s">
        <v>61154</v>
      </c>
      <c r="W14046" t="s">
        <v>44565</v>
      </c>
      <c r="X14046" t="s">
        <v>47324</v>
      </c>
    </row>
    <row r="14047" spans="1:24">
      <c r="A14047">
        <f>HYPERLINK("https://www.philgeps.gov.ph/GEPSNONPILOT/Tender/SplashBidNoticeAbstractUI.aspx?menuIndex=3&amp;refID=7164887&amp;Result=3","7164887")</f>
        <v>0</v>
      </c>
      <c r="B14047" t="s">
        <v>2983</v>
      </c>
      <c r="C14047" t="s">
        <v>17150</v>
      </c>
      <c r="D14047" t="s">
        <v>18995</v>
      </c>
      <c r="E14047" t="s">
        <v>30952</v>
      </c>
      <c r="F14047" t="s">
        <v>32606</v>
      </c>
      <c r="G14047" t="s">
        <v>32613</v>
      </c>
      <c r="H14047" t="s">
        <v>32623</v>
      </c>
      <c r="I14047" t="s">
        <v>17648</v>
      </c>
      <c r="J14047" t="s">
        <v>32772</v>
      </c>
      <c r="K14047" t="s">
        <v>42625</v>
      </c>
      <c r="M14047" t="s">
        <v>46171</v>
      </c>
      <c r="N14047" t="s">
        <v>47304</v>
      </c>
      <c r="O14047" t="s">
        <v>47305</v>
      </c>
      <c r="P14047">
        <v>0</v>
      </c>
      <c r="Q14047">
        <v>0</v>
      </c>
      <c r="R14047" t="s">
        <v>47322</v>
      </c>
      <c r="S14047" t="s">
        <v>48156</v>
      </c>
      <c r="T14047" t="s">
        <v>49257</v>
      </c>
      <c r="U14047" t="s">
        <v>61155</v>
      </c>
      <c r="W14047" t="s">
        <v>46171</v>
      </c>
      <c r="X14047" t="s">
        <v>47323</v>
      </c>
    </row>
    <row r="14048" spans="1:24">
      <c r="A14048">
        <f>HYPERLINK("https://www.philgeps.gov.ph/GEPSNONPILOT/Tender/SplashBidNoticeAbstractUI.aspx?menuIndex=3&amp;refID=7164899&amp;Result=3","7164899")</f>
        <v>0</v>
      </c>
      <c r="B14048" t="s">
        <v>3379</v>
      </c>
      <c r="C14048" t="s">
        <v>17151</v>
      </c>
      <c r="D14048" t="s">
        <v>19019</v>
      </c>
      <c r="E14048" t="s">
        <v>30953</v>
      </c>
      <c r="F14048" t="s">
        <v>32606</v>
      </c>
      <c r="G14048" t="s">
        <v>32613</v>
      </c>
      <c r="H14048" t="s">
        <v>14201</v>
      </c>
      <c r="I14048" t="s">
        <v>32638</v>
      </c>
      <c r="J14048" t="s">
        <v>41432</v>
      </c>
      <c r="K14048" t="s">
        <v>42630</v>
      </c>
      <c r="M14048" t="s">
        <v>46630</v>
      </c>
      <c r="N14048" t="s">
        <v>47304</v>
      </c>
      <c r="O14048" t="s">
        <v>47305</v>
      </c>
      <c r="P14048">
        <v>0</v>
      </c>
      <c r="Q14048">
        <v>4</v>
      </c>
      <c r="R14048" t="s">
        <v>47322</v>
      </c>
      <c r="S14048" t="s">
        <v>48156</v>
      </c>
      <c r="T14048" t="s">
        <v>49072</v>
      </c>
      <c r="U14048" t="s">
        <v>61156</v>
      </c>
      <c r="W14048" t="s">
        <v>64536</v>
      </c>
      <c r="X14048" t="s">
        <v>47323</v>
      </c>
    </row>
    <row r="14049" spans="1:24">
      <c r="A14049">
        <f>HYPERLINK("https://www.philgeps.gov.ph/GEPSNONPILOT/Tender/SplashBidNoticeAbstractUI.aspx?menuIndex=3&amp;refID=7164828&amp;Result=3","7164828")</f>
        <v>0</v>
      </c>
      <c r="B14049" t="s">
        <v>269</v>
      </c>
      <c r="C14049" t="s">
        <v>17152</v>
      </c>
      <c r="D14049" t="s">
        <v>19023</v>
      </c>
      <c r="E14049" t="s">
        <v>30954</v>
      </c>
      <c r="F14049" t="s">
        <v>32606</v>
      </c>
      <c r="G14049" t="s">
        <v>32613</v>
      </c>
      <c r="H14049" t="s">
        <v>14201</v>
      </c>
      <c r="I14049" t="s">
        <v>32629</v>
      </c>
      <c r="J14049" t="s">
        <v>34591</v>
      </c>
      <c r="K14049" t="s">
        <v>42631</v>
      </c>
      <c r="M14049" t="s">
        <v>43170</v>
      </c>
      <c r="N14049" t="s">
        <v>47304</v>
      </c>
      <c r="O14049" t="s">
        <v>47305</v>
      </c>
      <c r="P14049">
        <v>0</v>
      </c>
      <c r="Q14049">
        <v>0</v>
      </c>
      <c r="R14049" t="s">
        <v>47322</v>
      </c>
      <c r="S14049" t="s">
        <v>48156</v>
      </c>
      <c r="T14049" t="s">
        <v>49076</v>
      </c>
      <c r="U14049" t="s">
        <v>61157</v>
      </c>
      <c r="V14049" t="s">
        <v>64159</v>
      </c>
      <c r="W14049" t="s">
        <v>43170</v>
      </c>
      <c r="X14049" t="s">
        <v>47323</v>
      </c>
    </row>
    <row r="14050" spans="1:24">
      <c r="A14050">
        <f>HYPERLINK("https://www.philgeps.gov.ph/GEPSNONPILOT/Tender/SplashBidNoticeAbstractUI.aspx?menuIndex=3&amp;refID=7164894&amp;Result=3","7164894")</f>
        <v>0</v>
      </c>
      <c r="B14050" t="s">
        <v>2983</v>
      </c>
      <c r="C14050" t="s">
        <v>17153</v>
      </c>
      <c r="D14050" t="s">
        <v>18995</v>
      </c>
      <c r="E14050" t="s">
        <v>30955</v>
      </c>
      <c r="F14050" t="s">
        <v>32606</v>
      </c>
      <c r="G14050" t="s">
        <v>32613</v>
      </c>
      <c r="H14050" t="s">
        <v>14201</v>
      </c>
      <c r="I14050" t="s">
        <v>7064</v>
      </c>
      <c r="J14050" t="s">
        <v>41433</v>
      </c>
      <c r="K14050" t="s">
        <v>42623</v>
      </c>
      <c r="M14050" t="s">
        <v>46171</v>
      </c>
      <c r="N14050" t="s">
        <v>47304</v>
      </c>
      <c r="O14050" t="s">
        <v>47305</v>
      </c>
      <c r="Q14050">
        <v>4</v>
      </c>
      <c r="R14050" t="s">
        <v>47322</v>
      </c>
      <c r="S14050" t="s">
        <v>48176</v>
      </c>
      <c r="T14050" t="s">
        <v>49257</v>
      </c>
      <c r="U14050" t="s">
        <v>61155</v>
      </c>
      <c r="W14050" t="s">
        <v>46171</v>
      </c>
      <c r="X14050" t="s">
        <v>47323</v>
      </c>
    </row>
    <row r="14051" spans="1:24">
      <c r="A14051">
        <f>HYPERLINK("https://www.philgeps.gov.ph/GEPSNONPILOT/Tender/SplashBidNoticeAbstractUI.aspx?menuIndex=3&amp;refID=7164826&amp;Result=3","7164826")</f>
        <v>0</v>
      </c>
      <c r="B14051" t="s">
        <v>269</v>
      </c>
      <c r="C14051" t="s">
        <v>17154</v>
      </c>
      <c r="D14051" t="s">
        <v>19023</v>
      </c>
      <c r="E14051" t="s">
        <v>30956</v>
      </c>
      <c r="F14051" t="s">
        <v>32606</v>
      </c>
      <c r="G14051" t="s">
        <v>32613</v>
      </c>
      <c r="H14051" t="s">
        <v>14201</v>
      </c>
      <c r="I14051" t="s">
        <v>32629</v>
      </c>
      <c r="J14051" t="s">
        <v>41434</v>
      </c>
      <c r="K14051" t="s">
        <v>42631</v>
      </c>
      <c r="M14051" t="s">
        <v>43170</v>
      </c>
      <c r="N14051" t="s">
        <v>47304</v>
      </c>
      <c r="O14051" t="s">
        <v>47305</v>
      </c>
      <c r="P14051">
        <v>0</v>
      </c>
      <c r="Q14051">
        <v>1</v>
      </c>
      <c r="R14051" t="s">
        <v>47322</v>
      </c>
      <c r="S14051" t="s">
        <v>48156</v>
      </c>
      <c r="T14051" t="s">
        <v>49076</v>
      </c>
      <c r="U14051" t="s">
        <v>61158</v>
      </c>
      <c r="V14051" t="s">
        <v>64160</v>
      </c>
      <c r="W14051" t="s">
        <v>43170</v>
      </c>
      <c r="X14051" t="s">
        <v>47323</v>
      </c>
    </row>
    <row r="14052" spans="1:24">
      <c r="A14052">
        <f>HYPERLINK("https://www.philgeps.gov.ph/GEPSNONPILOT/Tender/SplashBidNoticeAbstractUI.aspx?menuIndex=3&amp;refID=7164822&amp;Result=3","7164822")</f>
        <v>0</v>
      </c>
      <c r="B14052" t="s">
        <v>1573</v>
      </c>
      <c r="C14052" t="s">
        <v>17155</v>
      </c>
      <c r="D14052" t="s">
        <v>19005</v>
      </c>
      <c r="E14052" t="s">
        <v>30957</v>
      </c>
      <c r="F14052" t="s">
        <v>32606</v>
      </c>
      <c r="G14052" t="s">
        <v>32613</v>
      </c>
      <c r="H14052" t="s">
        <v>14201</v>
      </c>
      <c r="I14052" t="s">
        <v>32655</v>
      </c>
      <c r="J14052" t="s">
        <v>41435</v>
      </c>
      <c r="K14052" t="s">
        <v>42636</v>
      </c>
      <c r="M14052" t="s">
        <v>44584</v>
      </c>
      <c r="N14052" t="s">
        <v>47304</v>
      </c>
      <c r="O14052" t="s">
        <v>47305</v>
      </c>
      <c r="P14052">
        <v>0</v>
      </c>
      <c r="Q14052">
        <v>12</v>
      </c>
      <c r="R14052" t="s">
        <v>47322</v>
      </c>
      <c r="S14052" t="s">
        <v>48156</v>
      </c>
      <c r="T14052" t="s">
        <v>49099</v>
      </c>
      <c r="U14052" t="s">
        <v>61159</v>
      </c>
      <c r="V14052" t="s">
        <v>63054</v>
      </c>
      <c r="W14052" t="s">
        <v>44584</v>
      </c>
      <c r="X14052" t="s">
        <v>47323</v>
      </c>
    </row>
    <row r="14053" spans="1:24">
      <c r="A14053">
        <f>HYPERLINK("https://www.philgeps.gov.ph/GEPSNONPILOT/Tender/SplashBidNoticeAbstractUI.aspx?menuIndex=3&amp;refID=7164776&amp;Result=3","7164776")</f>
        <v>0</v>
      </c>
      <c r="B14053" t="s">
        <v>3722</v>
      </c>
      <c r="C14053" t="s">
        <v>17156</v>
      </c>
      <c r="E14053" t="s">
        <v>30958</v>
      </c>
      <c r="F14053" t="s">
        <v>32606</v>
      </c>
      <c r="G14053" t="s">
        <v>32613</v>
      </c>
      <c r="H14053" t="s">
        <v>14201</v>
      </c>
      <c r="I14053" t="s">
        <v>4120</v>
      </c>
      <c r="J14053" t="s">
        <v>41436</v>
      </c>
      <c r="K14053" t="s">
        <v>42624</v>
      </c>
      <c r="M14053" t="s">
        <v>47038</v>
      </c>
      <c r="N14053" t="s">
        <v>47304</v>
      </c>
      <c r="O14053" t="s">
        <v>47305</v>
      </c>
      <c r="Q14053">
        <v>16</v>
      </c>
      <c r="R14053" t="s">
        <v>47322</v>
      </c>
      <c r="S14053" t="s">
        <v>48177</v>
      </c>
      <c r="T14053" t="s">
        <v>48986</v>
      </c>
      <c r="U14053" t="s">
        <v>61160</v>
      </c>
      <c r="W14053" t="s">
        <v>47038</v>
      </c>
      <c r="X14053" t="s">
        <v>47323</v>
      </c>
    </row>
    <row r="14054" spans="1:24">
      <c r="A14054">
        <f>HYPERLINK("https://www.philgeps.gov.ph/GEPSNONPILOT/Tender/SplashBidNoticeAbstractUI.aspx?menuIndex=3&amp;refID=7164891&amp;Result=3","7164891")</f>
        <v>0</v>
      </c>
      <c r="B14054" t="s">
        <v>2983</v>
      </c>
      <c r="C14054" t="s">
        <v>17157</v>
      </c>
      <c r="D14054" t="s">
        <v>18995</v>
      </c>
      <c r="E14054" t="s">
        <v>30959</v>
      </c>
      <c r="F14054" t="s">
        <v>32606</v>
      </c>
      <c r="G14054" t="s">
        <v>32613</v>
      </c>
      <c r="H14054" t="s">
        <v>32623</v>
      </c>
      <c r="I14054" t="s">
        <v>17648</v>
      </c>
      <c r="J14054" t="s">
        <v>32772</v>
      </c>
      <c r="K14054" t="s">
        <v>42627</v>
      </c>
      <c r="M14054" t="s">
        <v>46171</v>
      </c>
      <c r="N14054" t="s">
        <v>47304</v>
      </c>
      <c r="O14054" t="s">
        <v>47305</v>
      </c>
      <c r="P14054">
        <v>0</v>
      </c>
      <c r="Q14054">
        <v>2</v>
      </c>
      <c r="R14054" t="s">
        <v>47322</v>
      </c>
      <c r="S14054" t="s">
        <v>48156</v>
      </c>
      <c r="T14054" t="s">
        <v>49257</v>
      </c>
      <c r="U14054" t="s">
        <v>61155</v>
      </c>
      <c r="W14054" t="s">
        <v>46171</v>
      </c>
      <c r="X14054" t="s">
        <v>47323</v>
      </c>
    </row>
    <row r="14055" spans="1:24">
      <c r="A14055">
        <f>HYPERLINK("https://www.philgeps.gov.ph/GEPSNONPILOT/Tender/SplashBidNoticeAbstractUI.aspx?menuIndex=3&amp;refID=7164759&amp;Result=3","7164759")</f>
        <v>0</v>
      </c>
      <c r="B14055" t="s">
        <v>790</v>
      </c>
      <c r="C14055" t="s">
        <v>17158</v>
      </c>
      <c r="E14055" t="s">
        <v>30960</v>
      </c>
      <c r="F14055" t="s">
        <v>32606</v>
      </c>
      <c r="G14055" t="s">
        <v>32613</v>
      </c>
      <c r="H14055" t="s">
        <v>14201</v>
      </c>
      <c r="I14055" t="s">
        <v>17648</v>
      </c>
      <c r="J14055" t="s">
        <v>32821</v>
      </c>
      <c r="K14055" t="s">
        <v>42722</v>
      </c>
      <c r="M14055" t="s">
        <v>43721</v>
      </c>
      <c r="N14055" t="s">
        <v>47304</v>
      </c>
      <c r="O14055" t="s">
        <v>47305</v>
      </c>
      <c r="P14055">
        <v>0</v>
      </c>
      <c r="Q14055">
        <v>1</v>
      </c>
      <c r="R14055" t="s">
        <v>47322</v>
      </c>
      <c r="S14055" t="s">
        <v>48156</v>
      </c>
      <c r="T14055" t="s">
        <v>48987</v>
      </c>
      <c r="U14055" t="s">
        <v>61161</v>
      </c>
      <c r="W14055" t="s">
        <v>43721</v>
      </c>
      <c r="X14055" t="s">
        <v>47323</v>
      </c>
    </row>
    <row r="14056" spans="1:24">
      <c r="A14056">
        <f>HYPERLINK("https://www.philgeps.gov.ph/GEPSNONPILOT/Tender/SplashBidNoticeAbstractUI.aspx?menuIndex=3&amp;refID=7164752&amp;Result=3","7164752")</f>
        <v>0</v>
      </c>
      <c r="B14056" t="s">
        <v>1991</v>
      </c>
      <c r="C14056" t="s">
        <v>17159</v>
      </c>
      <c r="D14056" t="s">
        <v>19002</v>
      </c>
      <c r="E14056" t="s">
        <v>30961</v>
      </c>
      <c r="F14056" t="s">
        <v>32606</v>
      </c>
      <c r="G14056" t="s">
        <v>32613</v>
      </c>
      <c r="H14056" t="s">
        <v>32623</v>
      </c>
      <c r="I14056" t="s">
        <v>17648</v>
      </c>
      <c r="J14056" t="s">
        <v>41437</v>
      </c>
      <c r="K14056" t="s">
        <v>42646</v>
      </c>
      <c r="M14056" t="s">
        <v>45059</v>
      </c>
      <c r="N14056" t="s">
        <v>47304</v>
      </c>
      <c r="O14056" t="s">
        <v>47305</v>
      </c>
      <c r="P14056">
        <v>0</v>
      </c>
      <c r="Q14056">
        <v>0</v>
      </c>
      <c r="R14056" t="s">
        <v>47322</v>
      </c>
      <c r="S14056" t="s">
        <v>48156</v>
      </c>
      <c r="T14056" t="s">
        <v>48986</v>
      </c>
      <c r="U14056" t="s">
        <v>61162</v>
      </c>
      <c r="V14056" t="s">
        <v>64161</v>
      </c>
      <c r="W14056" t="s">
        <v>45059</v>
      </c>
      <c r="X14056" t="s">
        <v>47323</v>
      </c>
    </row>
    <row r="14057" spans="1:24">
      <c r="A14057">
        <f>HYPERLINK("https://www.philgeps.gov.ph/GEPSNONPILOT/Tender/SplashBidNoticeAbstractUI.aspx?menuIndex=3&amp;refID=7164709&amp;Result=3","7164709")</f>
        <v>0</v>
      </c>
      <c r="B14057" t="s">
        <v>1028</v>
      </c>
      <c r="C14057" t="s">
        <v>17160</v>
      </c>
      <c r="D14057" t="s">
        <v>19008</v>
      </c>
      <c r="E14057" t="s">
        <v>30962</v>
      </c>
      <c r="F14057" t="s">
        <v>32606</v>
      </c>
      <c r="G14057" t="s">
        <v>32613</v>
      </c>
      <c r="H14057" t="s">
        <v>32623</v>
      </c>
      <c r="I14057" t="s">
        <v>17648</v>
      </c>
      <c r="J14057" t="s">
        <v>41438</v>
      </c>
      <c r="K14057" t="s">
        <v>42631</v>
      </c>
      <c r="M14057" t="s">
        <v>43981</v>
      </c>
      <c r="N14057" t="s">
        <v>47304</v>
      </c>
      <c r="O14057" t="s">
        <v>47305</v>
      </c>
      <c r="P14057">
        <v>0</v>
      </c>
      <c r="Q14057">
        <v>0</v>
      </c>
      <c r="R14057" t="s">
        <v>47322</v>
      </c>
      <c r="S14057" t="s">
        <v>48156</v>
      </c>
      <c r="T14057" t="s">
        <v>49017</v>
      </c>
      <c r="U14057" t="s">
        <v>61163</v>
      </c>
      <c r="W14057" t="s">
        <v>43981</v>
      </c>
      <c r="X14057" t="s">
        <v>47323</v>
      </c>
    </row>
    <row r="14058" spans="1:24">
      <c r="A14058">
        <f>HYPERLINK("https://www.philgeps.gov.ph/GEPSNONPILOT/Tender/SplashBidNoticeAbstractUI.aspx?menuIndex=3&amp;refID=7164886&amp;Result=3","7164886")</f>
        <v>0</v>
      </c>
      <c r="B14058" t="s">
        <v>988</v>
      </c>
      <c r="C14058" t="s">
        <v>17161</v>
      </c>
      <c r="D14058" t="s">
        <v>18995</v>
      </c>
      <c r="E14058" t="s">
        <v>30963</v>
      </c>
      <c r="F14058" t="s">
        <v>32606</v>
      </c>
      <c r="G14058" t="s">
        <v>32613</v>
      </c>
      <c r="H14058" t="s">
        <v>32623</v>
      </c>
      <c r="I14058" t="s">
        <v>17648</v>
      </c>
      <c r="J14058" t="s">
        <v>41439</v>
      </c>
      <c r="K14058" t="s">
        <v>42712</v>
      </c>
      <c r="M14058" t="s">
        <v>43935</v>
      </c>
      <c r="N14058" t="s">
        <v>47304</v>
      </c>
      <c r="O14058" t="s">
        <v>47305</v>
      </c>
      <c r="Q14058">
        <v>1</v>
      </c>
      <c r="R14058" t="s">
        <v>47322</v>
      </c>
      <c r="S14058" t="s">
        <v>48178</v>
      </c>
      <c r="T14058" t="s">
        <v>49076</v>
      </c>
      <c r="U14058" t="s">
        <v>61164</v>
      </c>
      <c r="V14058" t="s">
        <v>64162</v>
      </c>
      <c r="W14058" t="s">
        <v>43935</v>
      </c>
      <c r="X14058" t="s">
        <v>47323</v>
      </c>
    </row>
    <row r="14059" spans="1:24">
      <c r="A14059">
        <f>HYPERLINK("https://www.philgeps.gov.ph/GEPSNONPILOT/Tender/SplashBidNoticeAbstractUI.aspx?menuIndex=3&amp;refID=7164704&amp;Result=3","7164704")</f>
        <v>0</v>
      </c>
      <c r="B14059" t="s">
        <v>1028</v>
      </c>
      <c r="C14059" t="s">
        <v>17162</v>
      </c>
      <c r="D14059" t="s">
        <v>19008</v>
      </c>
      <c r="E14059" t="s">
        <v>30964</v>
      </c>
      <c r="F14059" t="s">
        <v>32606</v>
      </c>
      <c r="G14059" t="s">
        <v>32613</v>
      </c>
      <c r="H14059" t="s">
        <v>14201</v>
      </c>
      <c r="I14059" t="s">
        <v>32661</v>
      </c>
      <c r="J14059" t="s">
        <v>41440</v>
      </c>
      <c r="K14059" t="s">
        <v>42631</v>
      </c>
      <c r="M14059" t="s">
        <v>43981</v>
      </c>
      <c r="N14059" t="s">
        <v>47304</v>
      </c>
      <c r="O14059" t="s">
        <v>47305</v>
      </c>
      <c r="P14059">
        <v>0</v>
      </c>
      <c r="Q14059">
        <v>2</v>
      </c>
      <c r="R14059" t="s">
        <v>47322</v>
      </c>
      <c r="S14059" t="s">
        <v>48156</v>
      </c>
      <c r="T14059" t="s">
        <v>49017</v>
      </c>
      <c r="U14059" t="s">
        <v>61165</v>
      </c>
      <c r="W14059" t="s">
        <v>43981</v>
      </c>
      <c r="X14059" t="s">
        <v>47323</v>
      </c>
    </row>
    <row r="14060" spans="1:24">
      <c r="A14060">
        <f>HYPERLINK("https://www.philgeps.gov.ph/GEPSNONPILOT/Tender/SplashBidNoticeAbstractUI.aspx?menuIndex=3&amp;refID=7164347&amp;Result=3","7164347")</f>
        <v>0</v>
      </c>
      <c r="B14060" t="s">
        <v>2572</v>
      </c>
      <c r="C14060" t="s">
        <v>17163</v>
      </c>
      <c r="D14060" t="s">
        <v>19016</v>
      </c>
      <c r="E14060" t="s">
        <v>30965</v>
      </c>
      <c r="F14060" t="s">
        <v>32606</v>
      </c>
      <c r="G14060" t="s">
        <v>32613</v>
      </c>
      <c r="H14060" t="s">
        <v>32623</v>
      </c>
      <c r="I14060" t="s">
        <v>17648</v>
      </c>
      <c r="J14060" t="s">
        <v>41441</v>
      </c>
      <c r="K14060" t="s">
        <v>42649</v>
      </c>
      <c r="M14060" t="s">
        <v>45712</v>
      </c>
      <c r="N14060" t="s">
        <v>47304</v>
      </c>
      <c r="O14060" t="s">
        <v>47305</v>
      </c>
      <c r="Q14060">
        <v>13</v>
      </c>
      <c r="R14060" t="s">
        <v>47323</v>
      </c>
      <c r="S14060" t="s">
        <v>48179</v>
      </c>
      <c r="T14060" t="s">
        <v>48998</v>
      </c>
      <c r="U14060" t="s">
        <v>61166</v>
      </c>
      <c r="V14060" t="s">
        <v>63447</v>
      </c>
      <c r="W14060" t="s">
        <v>45712</v>
      </c>
      <c r="X14060" t="s">
        <v>47324</v>
      </c>
    </row>
    <row r="14061" spans="1:24">
      <c r="A14061">
        <f>HYPERLINK("https://www.philgeps.gov.ph/GEPSNONPILOT/Tender/SplashBidNoticeAbstractUI.aspx?menuIndex=3&amp;refID=7164310&amp;Result=3","7164310")</f>
        <v>0</v>
      </c>
      <c r="B14061" t="s">
        <v>3723</v>
      </c>
      <c r="C14061" t="s">
        <v>17164</v>
      </c>
      <c r="D14061" t="s">
        <v>19056</v>
      </c>
      <c r="E14061" t="s">
        <v>19315</v>
      </c>
      <c r="F14061" t="s">
        <v>32606</v>
      </c>
      <c r="G14061" t="s">
        <v>32613</v>
      </c>
      <c r="H14061" t="s">
        <v>14201</v>
      </c>
      <c r="I14061" t="s">
        <v>32635</v>
      </c>
      <c r="J14061" t="s">
        <v>32813</v>
      </c>
      <c r="K14061" t="s">
        <v>42630</v>
      </c>
      <c r="M14061" t="s">
        <v>47039</v>
      </c>
      <c r="N14061" t="s">
        <v>47304</v>
      </c>
      <c r="O14061" t="s">
        <v>47305</v>
      </c>
      <c r="P14061">
        <v>0</v>
      </c>
      <c r="Q14061">
        <v>0</v>
      </c>
      <c r="R14061" t="s">
        <v>47323</v>
      </c>
      <c r="S14061" t="s">
        <v>48180</v>
      </c>
      <c r="T14061" t="s">
        <v>49210</v>
      </c>
      <c r="U14061" t="s">
        <v>61167</v>
      </c>
      <c r="W14061" t="s">
        <v>47039</v>
      </c>
      <c r="X14061" t="s">
        <v>47324</v>
      </c>
    </row>
    <row r="14062" spans="1:24">
      <c r="A14062">
        <f>HYPERLINK("https://www.philgeps.gov.ph/GEPSNONPILOT/Tender/SplashBidNoticeAbstractUI.aspx?menuIndex=3&amp;refID=7164305&amp;Result=3","7164305")</f>
        <v>0</v>
      </c>
      <c r="B14062" t="s">
        <v>3723</v>
      </c>
      <c r="C14062" t="s">
        <v>17165</v>
      </c>
      <c r="D14062" t="s">
        <v>19056</v>
      </c>
      <c r="E14062" t="s">
        <v>19315</v>
      </c>
      <c r="F14062" t="s">
        <v>32606</v>
      </c>
      <c r="G14062" t="s">
        <v>32613</v>
      </c>
      <c r="H14062" t="s">
        <v>14201</v>
      </c>
      <c r="I14062" t="s">
        <v>32635</v>
      </c>
      <c r="J14062" t="s">
        <v>33564</v>
      </c>
      <c r="K14062" t="s">
        <v>42630</v>
      </c>
      <c r="M14062" t="s">
        <v>47039</v>
      </c>
      <c r="N14062" t="s">
        <v>47304</v>
      </c>
      <c r="O14062" t="s">
        <v>47305</v>
      </c>
      <c r="P14062">
        <v>0</v>
      </c>
      <c r="Q14062">
        <v>0</v>
      </c>
      <c r="R14062" t="s">
        <v>47323</v>
      </c>
      <c r="S14062" t="s">
        <v>48180</v>
      </c>
      <c r="T14062" t="s">
        <v>48975</v>
      </c>
      <c r="U14062" t="s">
        <v>61168</v>
      </c>
      <c r="W14062" t="s">
        <v>47039</v>
      </c>
      <c r="X14062" t="s">
        <v>47324</v>
      </c>
    </row>
    <row r="14063" spans="1:24">
      <c r="A14063">
        <f>HYPERLINK("https://www.philgeps.gov.ph/GEPSNONPILOT/Tender/SplashBidNoticeAbstractUI.aspx?menuIndex=3&amp;refID=7164304&amp;Result=3","7164304")</f>
        <v>0</v>
      </c>
      <c r="B14063" t="s">
        <v>3723</v>
      </c>
      <c r="C14063" t="s">
        <v>17166</v>
      </c>
      <c r="D14063" t="s">
        <v>19056</v>
      </c>
      <c r="E14063" t="s">
        <v>19315</v>
      </c>
      <c r="F14063" t="s">
        <v>32606</v>
      </c>
      <c r="G14063" t="s">
        <v>32613</v>
      </c>
      <c r="H14063" t="s">
        <v>14201</v>
      </c>
      <c r="I14063" t="s">
        <v>32635</v>
      </c>
      <c r="J14063" t="s">
        <v>32752</v>
      </c>
      <c r="K14063" t="s">
        <v>42630</v>
      </c>
      <c r="M14063" t="s">
        <v>47039</v>
      </c>
      <c r="N14063" t="s">
        <v>47304</v>
      </c>
      <c r="O14063" t="s">
        <v>47305</v>
      </c>
      <c r="P14063">
        <v>0</v>
      </c>
      <c r="Q14063">
        <v>2</v>
      </c>
      <c r="R14063" t="s">
        <v>47323</v>
      </c>
      <c r="S14063" t="s">
        <v>48180</v>
      </c>
      <c r="T14063" t="s">
        <v>49340</v>
      </c>
      <c r="U14063" t="s">
        <v>61169</v>
      </c>
      <c r="W14063" t="s">
        <v>47039</v>
      </c>
      <c r="X14063" t="s">
        <v>47324</v>
      </c>
    </row>
    <row r="14064" spans="1:24">
      <c r="A14064">
        <f>HYPERLINK("https://www.philgeps.gov.ph/GEPSNONPILOT/Tender/SplashBidNoticeAbstractUI.aspx?menuIndex=3&amp;refID=7164293&amp;Result=3","7164293")</f>
        <v>0</v>
      </c>
      <c r="B14064" t="s">
        <v>3724</v>
      </c>
      <c r="C14064" t="s">
        <v>17167</v>
      </c>
      <c r="D14064" t="s">
        <v>19046</v>
      </c>
      <c r="E14064" t="s">
        <v>30966</v>
      </c>
      <c r="F14064" t="s">
        <v>32606</v>
      </c>
      <c r="G14064" t="s">
        <v>32613</v>
      </c>
      <c r="H14064" t="s">
        <v>14201</v>
      </c>
      <c r="I14064" t="s">
        <v>7233</v>
      </c>
      <c r="J14064" t="s">
        <v>33859</v>
      </c>
      <c r="K14064" t="s">
        <v>42622</v>
      </c>
      <c r="M14064" t="s">
        <v>47040</v>
      </c>
      <c r="N14064" t="s">
        <v>47304</v>
      </c>
      <c r="O14064" t="s">
        <v>47305</v>
      </c>
      <c r="P14064">
        <v>0</v>
      </c>
      <c r="Q14064">
        <v>0</v>
      </c>
      <c r="R14064" t="s">
        <v>47323</v>
      </c>
      <c r="S14064" t="s">
        <v>48180</v>
      </c>
      <c r="T14064" t="s">
        <v>48975</v>
      </c>
      <c r="U14064" t="s">
        <v>61170</v>
      </c>
      <c r="W14064" t="s">
        <v>47040</v>
      </c>
      <c r="X14064" t="s">
        <v>47324</v>
      </c>
    </row>
    <row r="14065" spans="1:24">
      <c r="A14065">
        <f>HYPERLINK("https://www.philgeps.gov.ph/GEPSNONPILOT/Tender/SplashBidNoticeAbstractUI.aspx?menuIndex=3&amp;refID=7164288&amp;Result=3","7164288")</f>
        <v>0</v>
      </c>
      <c r="B14065" t="s">
        <v>3725</v>
      </c>
      <c r="C14065" t="s">
        <v>17168</v>
      </c>
      <c r="D14065" t="s">
        <v>19011</v>
      </c>
      <c r="E14065" t="s">
        <v>20519</v>
      </c>
      <c r="F14065" t="s">
        <v>32606</v>
      </c>
      <c r="G14065" t="s">
        <v>32613</v>
      </c>
      <c r="H14065" t="s">
        <v>32623</v>
      </c>
      <c r="I14065" t="s">
        <v>17648</v>
      </c>
      <c r="J14065" t="s">
        <v>32981</v>
      </c>
      <c r="K14065" t="s">
        <v>42636</v>
      </c>
      <c r="M14065" t="s">
        <v>47041</v>
      </c>
      <c r="N14065" t="s">
        <v>47304</v>
      </c>
      <c r="O14065" t="s">
        <v>47305</v>
      </c>
      <c r="P14065">
        <v>0</v>
      </c>
      <c r="Q14065">
        <v>0</v>
      </c>
      <c r="R14065" t="s">
        <v>47323</v>
      </c>
      <c r="S14065" t="s">
        <v>48180</v>
      </c>
      <c r="T14065" t="s">
        <v>49257</v>
      </c>
      <c r="U14065" t="s">
        <v>61171</v>
      </c>
      <c r="V14065" t="s">
        <v>64163</v>
      </c>
      <c r="W14065" t="s">
        <v>47041</v>
      </c>
      <c r="X14065" t="s">
        <v>47324</v>
      </c>
    </row>
    <row r="14066" spans="1:24">
      <c r="A14066">
        <f>HYPERLINK("https://www.philgeps.gov.ph/GEPSNONPILOT/Tender/SplashBidNoticeAbstractUI.aspx?menuIndex=3&amp;refID=7164740&amp;Result=3","7164740")</f>
        <v>0</v>
      </c>
      <c r="B14066" t="s">
        <v>2483</v>
      </c>
      <c r="C14066" t="s">
        <v>17169</v>
      </c>
      <c r="D14066" t="s">
        <v>18993</v>
      </c>
      <c r="E14066" t="s">
        <v>30967</v>
      </c>
      <c r="F14066" t="s">
        <v>32606</v>
      </c>
      <c r="G14066" t="s">
        <v>32613</v>
      </c>
      <c r="H14066" t="s">
        <v>14201</v>
      </c>
      <c r="I14066" t="s">
        <v>32662</v>
      </c>
      <c r="J14066" t="s">
        <v>41442</v>
      </c>
      <c r="K14066" t="s">
        <v>42624</v>
      </c>
      <c r="M14066" t="s">
        <v>47042</v>
      </c>
      <c r="N14066" t="s">
        <v>47304</v>
      </c>
      <c r="O14066" t="s">
        <v>47305</v>
      </c>
      <c r="Q14066">
        <v>54</v>
      </c>
      <c r="R14066" t="s">
        <v>47322</v>
      </c>
      <c r="S14066" t="s">
        <v>48181</v>
      </c>
      <c r="T14066" t="s">
        <v>48986</v>
      </c>
      <c r="U14066" t="s">
        <v>61172</v>
      </c>
      <c r="W14066" t="s">
        <v>47042</v>
      </c>
      <c r="X14066" t="s">
        <v>47323</v>
      </c>
    </row>
    <row r="14067" spans="1:24">
      <c r="A14067">
        <f>HYPERLINK("https://www.philgeps.gov.ph/GEPSNONPILOT/Tender/SplashBidNoticeAbstractUI.aspx?menuIndex=3&amp;refID=7164287&amp;Result=3","7164287")</f>
        <v>0</v>
      </c>
      <c r="B14067" t="s">
        <v>3725</v>
      </c>
      <c r="C14067" t="s">
        <v>17170</v>
      </c>
      <c r="D14067" t="s">
        <v>19011</v>
      </c>
      <c r="E14067" t="s">
        <v>19392</v>
      </c>
      <c r="F14067" t="s">
        <v>32606</v>
      </c>
      <c r="G14067" t="s">
        <v>32613</v>
      </c>
      <c r="H14067" t="s">
        <v>32623</v>
      </c>
      <c r="I14067" t="s">
        <v>17648</v>
      </c>
      <c r="J14067" t="s">
        <v>32778</v>
      </c>
      <c r="K14067" t="s">
        <v>42636</v>
      </c>
      <c r="M14067" t="s">
        <v>47041</v>
      </c>
      <c r="N14067" t="s">
        <v>47304</v>
      </c>
      <c r="O14067" t="s">
        <v>47305</v>
      </c>
      <c r="P14067">
        <v>0</v>
      </c>
      <c r="Q14067">
        <v>0</v>
      </c>
      <c r="R14067" t="s">
        <v>47323</v>
      </c>
      <c r="S14067" t="s">
        <v>48180</v>
      </c>
      <c r="T14067" t="s">
        <v>49257</v>
      </c>
      <c r="U14067" t="s">
        <v>61173</v>
      </c>
      <c r="V14067" t="s">
        <v>64163</v>
      </c>
      <c r="W14067" t="s">
        <v>47041</v>
      </c>
      <c r="X14067" t="s">
        <v>47324</v>
      </c>
    </row>
    <row r="14068" spans="1:24">
      <c r="A14068">
        <f>HYPERLINK("https://www.philgeps.gov.ph/GEPSNONPILOT/Tender/SplashBidNoticeAbstractUI.aspx?menuIndex=3&amp;refID=7164284&amp;Result=3","7164284")</f>
        <v>0</v>
      </c>
      <c r="B14068" t="s">
        <v>570</v>
      </c>
      <c r="C14068" t="s">
        <v>17171</v>
      </c>
      <c r="E14068" t="s">
        <v>30968</v>
      </c>
      <c r="F14068" t="s">
        <v>32606</v>
      </c>
      <c r="G14068" t="s">
        <v>32613</v>
      </c>
      <c r="H14068" t="s">
        <v>32624</v>
      </c>
      <c r="I14068" t="s">
        <v>32628</v>
      </c>
      <c r="J14068" t="s">
        <v>41443</v>
      </c>
      <c r="K14068" t="s">
        <v>42665</v>
      </c>
      <c r="M14068" t="s">
        <v>47043</v>
      </c>
      <c r="N14068" t="s">
        <v>47304</v>
      </c>
      <c r="O14068" t="s">
        <v>47305</v>
      </c>
      <c r="P14068">
        <v>0</v>
      </c>
      <c r="Q14068">
        <v>7</v>
      </c>
      <c r="R14068" t="s">
        <v>47323</v>
      </c>
      <c r="S14068" t="s">
        <v>48180</v>
      </c>
      <c r="T14068" t="s">
        <v>49140</v>
      </c>
      <c r="U14068" t="s">
        <v>61174</v>
      </c>
      <c r="W14068" t="s">
        <v>47043</v>
      </c>
      <c r="X14068" t="s">
        <v>47325</v>
      </c>
    </row>
    <row r="14069" spans="1:24">
      <c r="A14069">
        <f>HYPERLINK("https://www.philgeps.gov.ph/GEPSNONPILOT/Tender/SplashBidNoticeAbstractUI.aspx?menuIndex=3&amp;refID=7162204&amp;Result=3","7162204")</f>
        <v>0</v>
      </c>
      <c r="B14069" t="s">
        <v>1597</v>
      </c>
      <c r="C14069" t="s">
        <v>17172</v>
      </c>
      <c r="D14069" t="s">
        <v>19061</v>
      </c>
      <c r="E14069" t="s">
        <v>30969</v>
      </c>
      <c r="F14069" t="s">
        <v>32606</v>
      </c>
      <c r="G14069" t="s">
        <v>32613</v>
      </c>
      <c r="H14069" t="s">
        <v>14201</v>
      </c>
      <c r="I14069" t="s">
        <v>6478</v>
      </c>
      <c r="J14069" t="s">
        <v>41444</v>
      </c>
      <c r="K14069" t="s">
        <v>42631</v>
      </c>
      <c r="L14069" t="s">
        <v>1597</v>
      </c>
      <c r="M14069" t="s">
        <v>44612</v>
      </c>
      <c r="N14069" t="s">
        <v>47304</v>
      </c>
      <c r="O14069" t="s">
        <v>47305</v>
      </c>
      <c r="P14069">
        <v>0</v>
      </c>
      <c r="Q14069">
        <v>11</v>
      </c>
      <c r="R14069" t="s">
        <v>47323</v>
      </c>
      <c r="S14069" t="s">
        <v>48180</v>
      </c>
      <c r="T14069" t="s">
        <v>48986</v>
      </c>
      <c r="U14069" t="s">
        <v>53124</v>
      </c>
      <c r="V14069" t="s">
        <v>63062</v>
      </c>
      <c r="W14069" t="s">
        <v>44612</v>
      </c>
      <c r="X14069" t="s">
        <v>47325</v>
      </c>
    </row>
    <row r="14070" spans="1:24">
      <c r="A14070">
        <f>HYPERLINK("https://www.philgeps.gov.ph/GEPSNONPILOT/Tender/SplashBidNoticeAbstractUI.aspx?menuIndex=3&amp;refID=7164316&amp;Result=3","7164316")</f>
        <v>0</v>
      </c>
      <c r="B14070" t="s">
        <v>2523</v>
      </c>
      <c r="C14070" t="s">
        <v>17173</v>
      </c>
      <c r="D14070" t="s">
        <v>19008</v>
      </c>
      <c r="E14070" t="s">
        <v>19370</v>
      </c>
      <c r="F14070" t="s">
        <v>32606</v>
      </c>
      <c r="G14070" t="s">
        <v>32613</v>
      </c>
      <c r="H14070" t="s">
        <v>14201</v>
      </c>
      <c r="I14070" t="s">
        <v>6931</v>
      </c>
      <c r="J14070" t="s">
        <v>41445</v>
      </c>
      <c r="K14070" t="s">
        <v>42622</v>
      </c>
      <c r="M14070" t="s">
        <v>45664</v>
      </c>
      <c r="N14070" t="s">
        <v>47304</v>
      </c>
      <c r="O14070" t="s">
        <v>47305</v>
      </c>
      <c r="P14070">
        <v>0</v>
      </c>
      <c r="Q14070">
        <v>3</v>
      </c>
      <c r="R14070" t="s">
        <v>47322</v>
      </c>
      <c r="S14070" t="s">
        <v>48156</v>
      </c>
      <c r="T14070" t="s">
        <v>49011</v>
      </c>
      <c r="U14070" t="s">
        <v>53093</v>
      </c>
      <c r="W14070" t="s">
        <v>45664</v>
      </c>
      <c r="X14070" t="s">
        <v>47324</v>
      </c>
    </row>
    <row r="14071" spans="1:24">
      <c r="A14071">
        <f>HYPERLINK("https://www.philgeps.gov.ph/GEPSNONPILOT/Tender/SplashBidNoticeAbstractUI.aspx?menuIndex=3&amp;refID=7160429&amp;Result=3","7160429")</f>
        <v>0</v>
      </c>
      <c r="B14071" t="s">
        <v>1234</v>
      </c>
      <c r="C14071" t="s">
        <v>17174</v>
      </c>
      <c r="D14071" t="s">
        <v>19047</v>
      </c>
      <c r="E14071" t="s">
        <v>17174</v>
      </c>
      <c r="F14071" t="s">
        <v>32606</v>
      </c>
      <c r="G14071" t="s">
        <v>32613</v>
      </c>
      <c r="H14071" t="s">
        <v>32623</v>
      </c>
      <c r="I14071" t="s">
        <v>17648</v>
      </c>
      <c r="J14071" t="s">
        <v>41446</v>
      </c>
      <c r="K14071" t="s">
        <v>42693</v>
      </c>
      <c r="M14071" t="s">
        <v>44199</v>
      </c>
      <c r="N14071" t="s">
        <v>47304</v>
      </c>
      <c r="O14071" t="s">
        <v>47305</v>
      </c>
      <c r="P14071">
        <v>0</v>
      </c>
      <c r="Q14071">
        <v>0</v>
      </c>
      <c r="R14071" t="s">
        <v>47324</v>
      </c>
      <c r="S14071" t="s">
        <v>48182</v>
      </c>
      <c r="T14071" t="s">
        <v>49081</v>
      </c>
      <c r="U14071" t="s">
        <v>61175</v>
      </c>
      <c r="W14071" t="s">
        <v>44199</v>
      </c>
      <c r="X14071" t="s">
        <v>47326</v>
      </c>
    </row>
    <row r="14072" spans="1:24">
      <c r="A14072">
        <f>HYPERLINK("https://www.philgeps.gov.ph/GEPSNONPILOT/Tender/SplashBidNoticeAbstractUI.aspx?menuIndex=3&amp;refID=7163801&amp;Result=3","7163801")</f>
        <v>0</v>
      </c>
      <c r="B14072" t="s">
        <v>2996</v>
      </c>
      <c r="C14072" t="s">
        <v>17175</v>
      </c>
      <c r="D14072" t="s">
        <v>19005</v>
      </c>
      <c r="E14072" t="s">
        <v>30970</v>
      </c>
      <c r="F14072" t="s">
        <v>32606</v>
      </c>
      <c r="G14072" t="s">
        <v>32613</v>
      </c>
      <c r="H14072" t="s">
        <v>14201</v>
      </c>
      <c r="I14072" t="s">
        <v>4114</v>
      </c>
      <c r="J14072" t="s">
        <v>41447</v>
      </c>
      <c r="K14072" t="s">
        <v>42623</v>
      </c>
      <c r="L14072" t="s">
        <v>2996</v>
      </c>
      <c r="M14072" t="s">
        <v>46184</v>
      </c>
      <c r="N14072" t="s">
        <v>47304</v>
      </c>
      <c r="O14072" t="s">
        <v>47305</v>
      </c>
      <c r="Q14072">
        <v>2</v>
      </c>
      <c r="R14072" t="s">
        <v>47323</v>
      </c>
      <c r="S14072" t="s">
        <v>48183</v>
      </c>
      <c r="T14072" t="s">
        <v>48987</v>
      </c>
      <c r="U14072" t="s">
        <v>61176</v>
      </c>
      <c r="W14072" t="s">
        <v>46184</v>
      </c>
      <c r="X14072" t="s">
        <v>47325</v>
      </c>
    </row>
    <row r="14073" spans="1:24">
      <c r="A14073">
        <f>HYPERLINK("https://www.philgeps.gov.ph/GEPSNONPILOT/Tender/SplashBidNoticeAbstractUI.aspx?menuIndex=3&amp;refID=7164318&amp;Result=3","7164318")</f>
        <v>0</v>
      </c>
      <c r="B14073" t="s">
        <v>2523</v>
      </c>
      <c r="C14073" t="s">
        <v>17176</v>
      </c>
      <c r="D14073" t="s">
        <v>19008</v>
      </c>
      <c r="E14073" t="s">
        <v>20525</v>
      </c>
      <c r="F14073" t="s">
        <v>32606</v>
      </c>
      <c r="G14073" t="s">
        <v>32613</v>
      </c>
      <c r="H14073" t="s">
        <v>14201</v>
      </c>
      <c r="I14073" t="s">
        <v>6931</v>
      </c>
      <c r="J14073" t="s">
        <v>41448</v>
      </c>
      <c r="K14073" t="s">
        <v>42622</v>
      </c>
      <c r="M14073" t="s">
        <v>45664</v>
      </c>
      <c r="N14073" t="s">
        <v>47304</v>
      </c>
      <c r="O14073" t="s">
        <v>47305</v>
      </c>
      <c r="P14073">
        <v>0</v>
      </c>
      <c r="Q14073">
        <v>2</v>
      </c>
      <c r="R14073" t="s">
        <v>47322</v>
      </c>
      <c r="S14073" t="s">
        <v>48156</v>
      </c>
      <c r="T14073" t="s">
        <v>49011</v>
      </c>
      <c r="U14073" t="s">
        <v>53093</v>
      </c>
      <c r="W14073" t="s">
        <v>45664</v>
      </c>
      <c r="X14073" t="s">
        <v>47324</v>
      </c>
    </row>
    <row r="14074" spans="1:24">
      <c r="A14074">
        <f>HYPERLINK("https://www.philgeps.gov.ph/GEPSNONPILOT/Tender/SplashBidNoticeAbstractUI.aspx?menuIndex=3&amp;refID=7159785&amp;Result=3","7159785")</f>
        <v>0</v>
      </c>
      <c r="B14074" t="s">
        <v>305</v>
      </c>
      <c r="C14074" t="s">
        <v>17177</v>
      </c>
      <c r="D14074" t="s">
        <v>19006</v>
      </c>
      <c r="E14074" t="s">
        <v>30971</v>
      </c>
      <c r="F14074" t="s">
        <v>32606</v>
      </c>
      <c r="G14074" t="s">
        <v>32613</v>
      </c>
      <c r="H14074" t="s">
        <v>14201</v>
      </c>
      <c r="I14074" t="s">
        <v>32638</v>
      </c>
      <c r="J14074" t="s">
        <v>41449</v>
      </c>
      <c r="K14074" t="s">
        <v>42623</v>
      </c>
      <c r="M14074" t="s">
        <v>43207</v>
      </c>
      <c r="N14074" t="s">
        <v>47304</v>
      </c>
      <c r="O14074" t="s">
        <v>47305</v>
      </c>
      <c r="P14074">
        <v>0</v>
      </c>
      <c r="Q14074">
        <v>32</v>
      </c>
      <c r="R14074" t="s">
        <v>47324</v>
      </c>
      <c r="S14074" t="s">
        <v>48182</v>
      </c>
      <c r="T14074" t="s">
        <v>48986</v>
      </c>
      <c r="U14074" t="s">
        <v>61177</v>
      </c>
      <c r="W14074" t="s">
        <v>43207</v>
      </c>
      <c r="X14074" t="s">
        <v>47326</v>
      </c>
    </row>
    <row r="14075" spans="1:24">
      <c r="A14075">
        <f>HYPERLINK("https://www.philgeps.gov.ph/GEPSNONPILOT/Tender/SplashBidNoticeAbstractUI.aspx?menuIndex=3&amp;refID=7160406&amp;Result=3","7160406")</f>
        <v>0</v>
      </c>
      <c r="B14075" t="s">
        <v>1234</v>
      </c>
      <c r="C14075" t="s">
        <v>17174</v>
      </c>
      <c r="D14075" t="s">
        <v>19047</v>
      </c>
      <c r="E14075" t="s">
        <v>17174</v>
      </c>
      <c r="F14075" t="s">
        <v>32606</v>
      </c>
      <c r="G14075" t="s">
        <v>32613</v>
      </c>
      <c r="H14075" t="s">
        <v>32623</v>
      </c>
      <c r="I14075" t="s">
        <v>17648</v>
      </c>
      <c r="J14075" t="s">
        <v>41450</v>
      </c>
      <c r="K14075" t="s">
        <v>42693</v>
      </c>
      <c r="M14075" t="s">
        <v>44199</v>
      </c>
      <c r="N14075" t="s">
        <v>47304</v>
      </c>
      <c r="O14075" t="s">
        <v>47305</v>
      </c>
      <c r="P14075">
        <v>0</v>
      </c>
      <c r="Q14075">
        <v>0</v>
      </c>
      <c r="R14075" t="s">
        <v>47324</v>
      </c>
      <c r="S14075" t="s">
        <v>48182</v>
      </c>
      <c r="T14075" t="s">
        <v>49081</v>
      </c>
      <c r="U14075" t="s">
        <v>61178</v>
      </c>
      <c r="W14075" t="s">
        <v>44199</v>
      </c>
      <c r="X14075" t="s">
        <v>47326</v>
      </c>
    </row>
    <row r="14076" spans="1:24">
      <c r="A14076">
        <f>HYPERLINK("https://www.philgeps.gov.ph/GEPSNONPILOT/Tender/SplashBidNoticeAbstractUI.aspx?menuIndex=3&amp;refID=7164554&amp;Result=3","7164554")</f>
        <v>0</v>
      </c>
      <c r="B14076" t="s">
        <v>415</v>
      </c>
      <c r="C14076" t="s">
        <v>17178</v>
      </c>
      <c r="E14076" t="s">
        <v>30972</v>
      </c>
      <c r="F14076" t="s">
        <v>32606</v>
      </c>
      <c r="G14076" t="s">
        <v>32613</v>
      </c>
      <c r="H14076" t="s">
        <v>14201</v>
      </c>
      <c r="I14076" t="s">
        <v>32654</v>
      </c>
      <c r="J14076" t="s">
        <v>41451</v>
      </c>
      <c r="K14076" t="s">
        <v>42631</v>
      </c>
      <c r="M14076" t="s">
        <v>46553</v>
      </c>
      <c r="N14076" t="s">
        <v>47304</v>
      </c>
      <c r="O14076" t="s">
        <v>47305</v>
      </c>
      <c r="Q14076">
        <v>2</v>
      </c>
      <c r="R14076" t="s">
        <v>47323</v>
      </c>
      <c r="S14076" t="s">
        <v>48184</v>
      </c>
      <c r="T14076" t="s">
        <v>49023</v>
      </c>
      <c r="U14076" t="s">
        <v>61179</v>
      </c>
      <c r="V14076" t="s">
        <v>63887</v>
      </c>
      <c r="W14076" t="s">
        <v>46553</v>
      </c>
      <c r="X14076" t="s">
        <v>47324</v>
      </c>
    </row>
    <row r="14077" spans="1:24">
      <c r="A14077">
        <f>HYPERLINK("https://www.philgeps.gov.ph/GEPSNONPILOT/Tender/SplashBidNoticeAbstractUI.aspx?menuIndex=3&amp;refID=7160291&amp;Result=3","7160291")</f>
        <v>0</v>
      </c>
      <c r="B14077" t="s">
        <v>1234</v>
      </c>
      <c r="C14077" t="s">
        <v>17174</v>
      </c>
      <c r="D14077" t="s">
        <v>19047</v>
      </c>
      <c r="E14077" t="s">
        <v>30973</v>
      </c>
      <c r="F14077" t="s">
        <v>32606</v>
      </c>
      <c r="G14077" t="s">
        <v>32613</v>
      </c>
      <c r="H14077" t="s">
        <v>32623</v>
      </c>
      <c r="I14077" t="s">
        <v>17648</v>
      </c>
      <c r="J14077" t="s">
        <v>41450</v>
      </c>
      <c r="K14077" t="s">
        <v>42693</v>
      </c>
      <c r="M14077" t="s">
        <v>44199</v>
      </c>
      <c r="N14077" t="s">
        <v>47304</v>
      </c>
      <c r="O14077" t="s">
        <v>47305</v>
      </c>
      <c r="P14077">
        <v>0</v>
      </c>
      <c r="Q14077">
        <v>0</v>
      </c>
      <c r="R14077" t="s">
        <v>47324</v>
      </c>
      <c r="S14077" t="s">
        <v>48182</v>
      </c>
      <c r="T14077" t="s">
        <v>49081</v>
      </c>
      <c r="U14077" t="s">
        <v>61180</v>
      </c>
      <c r="W14077" t="s">
        <v>44199</v>
      </c>
      <c r="X14077" t="s">
        <v>47326</v>
      </c>
    </row>
    <row r="14078" spans="1:24">
      <c r="A14078">
        <f>HYPERLINK("https://www.philgeps.gov.ph/GEPSNONPILOT/Tender/SplashBidNoticeAbstractUI.aspx?menuIndex=3&amp;refID=7164516&amp;Result=3","7164516")</f>
        <v>0</v>
      </c>
      <c r="B14078" t="s">
        <v>2009</v>
      </c>
      <c r="C14078" t="s">
        <v>17179</v>
      </c>
      <c r="E14078" t="s">
        <v>30974</v>
      </c>
      <c r="F14078" t="s">
        <v>32606</v>
      </c>
      <c r="G14078" t="s">
        <v>32613</v>
      </c>
      <c r="H14078" t="s">
        <v>14201</v>
      </c>
      <c r="I14078" t="s">
        <v>32718</v>
      </c>
      <c r="J14078" t="s">
        <v>41402</v>
      </c>
      <c r="K14078" t="s">
        <v>42631</v>
      </c>
      <c r="M14078" t="s">
        <v>45080</v>
      </c>
      <c r="N14078" t="s">
        <v>47304</v>
      </c>
      <c r="O14078" t="s">
        <v>47305</v>
      </c>
      <c r="P14078">
        <v>0</v>
      </c>
      <c r="Q14078">
        <v>18</v>
      </c>
      <c r="R14078" t="s">
        <v>47323</v>
      </c>
      <c r="S14078" t="s">
        <v>48180</v>
      </c>
      <c r="T14078" t="s">
        <v>48986</v>
      </c>
      <c r="U14078" t="s">
        <v>61181</v>
      </c>
      <c r="W14078" t="s">
        <v>45080</v>
      </c>
      <c r="X14078" t="s">
        <v>47324</v>
      </c>
    </row>
    <row r="14079" spans="1:24">
      <c r="A14079">
        <f>HYPERLINK("https://www.philgeps.gov.ph/GEPSNONPILOT/Tender/SplashBidNoticeAbstractUI.aspx?menuIndex=3&amp;refID=7164514&amp;Result=3","7164514")</f>
        <v>0</v>
      </c>
      <c r="B14079" t="s">
        <v>2291</v>
      </c>
      <c r="C14079" t="s">
        <v>17180</v>
      </c>
      <c r="D14079" t="s">
        <v>19028</v>
      </c>
      <c r="E14079" t="s">
        <v>30975</v>
      </c>
      <c r="F14079" t="s">
        <v>32606</v>
      </c>
      <c r="G14079" t="s">
        <v>32613</v>
      </c>
      <c r="H14079" t="s">
        <v>32623</v>
      </c>
      <c r="I14079" t="s">
        <v>17648</v>
      </c>
      <c r="J14079" t="s">
        <v>41452</v>
      </c>
      <c r="K14079" t="s">
        <v>42624</v>
      </c>
      <c r="M14079" t="s">
        <v>47044</v>
      </c>
      <c r="N14079" t="s">
        <v>47304</v>
      </c>
      <c r="O14079" t="s">
        <v>47305</v>
      </c>
      <c r="Q14079">
        <v>0</v>
      </c>
      <c r="R14079" t="s">
        <v>47323</v>
      </c>
      <c r="S14079" t="s">
        <v>48185</v>
      </c>
      <c r="T14079" t="s">
        <v>48980</v>
      </c>
      <c r="U14079" t="s">
        <v>61182</v>
      </c>
      <c r="W14079" t="s">
        <v>47044</v>
      </c>
      <c r="X14079" t="s">
        <v>47324</v>
      </c>
    </row>
    <row r="14080" spans="1:24">
      <c r="A14080">
        <f>HYPERLINK("https://www.philgeps.gov.ph/GEPSNONPILOT/Tender/SplashBidNoticeAbstractUI.aspx?menuIndex=3&amp;refID=7164513&amp;Result=3","7164513")</f>
        <v>0</v>
      </c>
      <c r="B14080" t="s">
        <v>2291</v>
      </c>
      <c r="C14080" t="s">
        <v>17181</v>
      </c>
      <c r="D14080" t="s">
        <v>19028</v>
      </c>
      <c r="E14080" t="s">
        <v>30976</v>
      </c>
      <c r="F14080" t="s">
        <v>32606</v>
      </c>
      <c r="G14080" t="s">
        <v>32613</v>
      </c>
      <c r="H14080" t="s">
        <v>32623</v>
      </c>
      <c r="I14080" t="s">
        <v>17648</v>
      </c>
      <c r="J14080" t="s">
        <v>41453</v>
      </c>
      <c r="K14080" t="s">
        <v>42624</v>
      </c>
      <c r="M14080" t="s">
        <v>47044</v>
      </c>
      <c r="N14080" t="s">
        <v>47304</v>
      </c>
      <c r="O14080" t="s">
        <v>47305</v>
      </c>
      <c r="Q14080">
        <v>0</v>
      </c>
      <c r="R14080" t="s">
        <v>47323</v>
      </c>
      <c r="S14080" t="s">
        <v>48186</v>
      </c>
      <c r="T14080" t="s">
        <v>48980</v>
      </c>
      <c r="U14080" t="s">
        <v>61183</v>
      </c>
      <c r="W14080" t="s">
        <v>47044</v>
      </c>
      <c r="X14080" t="s">
        <v>47324</v>
      </c>
    </row>
    <row r="14081" spans="1:24">
      <c r="A14081">
        <f>HYPERLINK("https://www.philgeps.gov.ph/GEPSNONPILOT/Tender/SplashBidNoticeAbstractUI.aspx?menuIndex=3&amp;refID=7164512&amp;Result=3","7164512")</f>
        <v>0</v>
      </c>
      <c r="B14081" t="s">
        <v>2009</v>
      </c>
      <c r="C14081" t="s">
        <v>17182</v>
      </c>
      <c r="E14081" t="s">
        <v>30977</v>
      </c>
      <c r="F14081" t="s">
        <v>32606</v>
      </c>
      <c r="G14081" t="s">
        <v>32613</v>
      </c>
      <c r="H14081" t="s">
        <v>14201</v>
      </c>
      <c r="I14081" t="s">
        <v>7577</v>
      </c>
      <c r="J14081" t="s">
        <v>41454</v>
      </c>
      <c r="K14081" t="s">
        <v>42631</v>
      </c>
      <c r="M14081" t="s">
        <v>45080</v>
      </c>
      <c r="N14081" t="s">
        <v>47304</v>
      </c>
      <c r="O14081" t="s">
        <v>47305</v>
      </c>
      <c r="P14081">
        <v>0</v>
      </c>
      <c r="Q14081">
        <v>3</v>
      </c>
      <c r="R14081" t="s">
        <v>47323</v>
      </c>
      <c r="S14081" t="s">
        <v>48180</v>
      </c>
      <c r="T14081" t="s">
        <v>48986</v>
      </c>
      <c r="U14081" t="s">
        <v>61184</v>
      </c>
      <c r="W14081" t="s">
        <v>45080</v>
      </c>
      <c r="X14081" t="s">
        <v>47324</v>
      </c>
    </row>
    <row r="14082" spans="1:24">
      <c r="A14082">
        <f>HYPERLINK("https://www.philgeps.gov.ph/GEPSNONPILOT/Tender/SplashBidNoticeAbstractUI.aspx?menuIndex=3&amp;refID=7164292&amp;Result=3","7164292")</f>
        <v>0</v>
      </c>
      <c r="B14082" t="s">
        <v>3724</v>
      </c>
      <c r="C14082" t="s">
        <v>17183</v>
      </c>
      <c r="D14082" t="s">
        <v>19046</v>
      </c>
      <c r="E14082" t="s">
        <v>30978</v>
      </c>
      <c r="F14082" t="s">
        <v>32606</v>
      </c>
      <c r="G14082" t="s">
        <v>32613</v>
      </c>
      <c r="H14082" t="s">
        <v>32623</v>
      </c>
      <c r="I14082" t="s">
        <v>17648</v>
      </c>
      <c r="J14082" t="s">
        <v>41455</v>
      </c>
      <c r="K14082" t="s">
        <v>42820</v>
      </c>
      <c r="M14082" t="s">
        <v>47040</v>
      </c>
      <c r="N14082" t="s">
        <v>47304</v>
      </c>
      <c r="O14082" t="s">
        <v>47305</v>
      </c>
      <c r="P14082">
        <v>0</v>
      </c>
      <c r="Q14082">
        <v>1</v>
      </c>
      <c r="R14082" t="s">
        <v>47323</v>
      </c>
      <c r="S14082" t="s">
        <v>48180</v>
      </c>
      <c r="T14082" t="s">
        <v>49076</v>
      </c>
      <c r="U14082" t="s">
        <v>61185</v>
      </c>
      <c r="W14082" t="s">
        <v>47040</v>
      </c>
      <c r="X14082" t="s">
        <v>47324</v>
      </c>
    </row>
    <row r="14083" spans="1:24">
      <c r="A14083">
        <f>HYPERLINK("https://www.philgeps.gov.ph/GEPSNONPILOT/Tender/SplashBidNoticeAbstractUI.aspx?menuIndex=3&amp;refID=7164511&amp;Result=3","7164511")</f>
        <v>0</v>
      </c>
      <c r="B14083" t="s">
        <v>2009</v>
      </c>
      <c r="C14083" t="s">
        <v>17184</v>
      </c>
      <c r="E14083" t="s">
        <v>30979</v>
      </c>
      <c r="F14083" t="s">
        <v>32606</v>
      </c>
      <c r="G14083" t="s">
        <v>32613</v>
      </c>
      <c r="H14083" t="s">
        <v>14201</v>
      </c>
      <c r="I14083" t="s">
        <v>4120</v>
      </c>
      <c r="J14083" t="s">
        <v>41456</v>
      </c>
      <c r="K14083" t="s">
        <v>42631</v>
      </c>
      <c r="M14083" t="s">
        <v>45080</v>
      </c>
      <c r="N14083" t="s">
        <v>47304</v>
      </c>
      <c r="O14083" t="s">
        <v>47305</v>
      </c>
      <c r="P14083">
        <v>0</v>
      </c>
      <c r="Q14083">
        <v>6</v>
      </c>
      <c r="R14083" t="s">
        <v>47323</v>
      </c>
      <c r="S14083" t="s">
        <v>48180</v>
      </c>
      <c r="T14083" t="s">
        <v>48986</v>
      </c>
      <c r="U14083" t="s">
        <v>61186</v>
      </c>
      <c r="W14083" t="s">
        <v>45080</v>
      </c>
      <c r="X14083" t="s">
        <v>47324</v>
      </c>
    </row>
    <row r="14084" spans="1:24">
      <c r="A14084">
        <f>HYPERLINK("https://www.philgeps.gov.ph/GEPSNONPILOT/Tender/SplashBidNoticeAbstractUI.aspx?menuIndex=3&amp;refID=7164503&amp;Result=3","7164503")</f>
        <v>0</v>
      </c>
      <c r="B14084" t="s">
        <v>2009</v>
      </c>
      <c r="C14084" t="s">
        <v>17185</v>
      </c>
      <c r="E14084" t="s">
        <v>30980</v>
      </c>
      <c r="F14084" t="s">
        <v>32606</v>
      </c>
      <c r="G14084" t="s">
        <v>32613</v>
      </c>
      <c r="H14084" t="s">
        <v>14201</v>
      </c>
      <c r="I14084" t="s">
        <v>32675</v>
      </c>
      <c r="J14084" t="s">
        <v>41457</v>
      </c>
      <c r="K14084" t="s">
        <v>42646</v>
      </c>
      <c r="M14084" t="s">
        <v>45080</v>
      </c>
      <c r="N14084" t="s">
        <v>47304</v>
      </c>
      <c r="O14084" t="s">
        <v>47305</v>
      </c>
      <c r="P14084">
        <v>0</v>
      </c>
      <c r="Q14084">
        <v>0</v>
      </c>
      <c r="R14084" t="s">
        <v>47323</v>
      </c>
      <c r="S14084" t="s">
        <v>48180</v>
      </c>
      <c r="T14084" t="s">
        <v>48986</v>
      </c>
      <c r="U14084" t="s">
        <v>61187</v>
      </c>
      <c r="W14084" t="s">
        <v>45080</v>
      </c>
      <c r="X14084" t="s">
        <v>47324</v>
      </c>
    </row>
    <row r="14085" spans="1:24">
      <c r="A14085">
        <f>HYPERLINK("https://www.philgeps.gov.ph/GEPSNONPILOT/Tender/SplashBidNoticeAbstractUI.aspx?menuIndex=3&amp;refID=7164489&amp;Result=3","7164489")</f>
        <v>0</v>
      </c>
      <c r="B14085" t="s">
        <v>2291</v>
      </c>
      <c r="C14085" t="s">
        <v>17186</v>
      </c>
      <c r="D14085" t="s">
        <v>19028</v>
      </c>
      <c r="E14085" t="s">
        <v>30981</v>
      </c>
      <c r="F14085" t="s">
        <v>32606</v>
      </c>
      <c r="G14085" t="s">
        <v>32613</v>
      </c>
      <c r="H14085" t="s">
        <v>32623</v>
      </c>
      <c r="I14085" t="s">
        <v>17648</v>
      </c>
      <c r="J14085" t="s">
        <v>41458</v>
      </c>
      <c r="K14085" t="s">
        <v>42624</v>
      </c>
      <c r="M14085" t="s">
        <v>47044</v>
      </c>
      <c r="N14085" t="s">
        <v>47304</v>
      </c>
      <c r="O14085" t="s">
        <v>47305</v>
      </c>
      <c r="Q14085">
        <v>1</v>
      </c>
      <c r="R14085" t="s">
        <v>47323</v>
      </c>
      <c r="S14085" t="s">
        <v>48187</v>
      </c>
      <c r="T14085" t="s">
        <v>48980</v>
      </c>
      <c r="U14085" t="s">
        <v>61188</v>
      </c>
      <c r="W14085" t="s">
        <v>47044</v>
      </c>
      <c r="X14085" t="s">
        <v>47324</v>
      </c>
    </row>
    <row r="14086" spans="1:24">
      <c r="A14086">
        <f>HYPERLINK("https://www.philgeps.gov.ph/GEPSNONPILOT/Tender/SplashBidNoticeAbstractUI.aspx?menuIndex=3&amp;refID=7167851&amp;Result=3","7167851")</f>
        <v>0</v>
      </c>
      <c r="B14086" t="s">
        <v>2778</v>
      </c>
      <c r="C14086" t="s">
        <v>17187</v>
      </c>
      <c r="D14086" t="s">
        <v>19011</v>
      </c>
      <c r="E14086" t="s">
        <v>30982</v>
      </c>
      <c r="F14086" t="s">
        <v>32606</v>
      </c>
      <c r="G14086" t="s">
        <v>32613</v>
      </c>
      <c r="H14086" t="s">
        <v>14201</v>
      </c>
      <c r="I14086" t="s">
        <v>4120</v>
      </c>
      <c r="J14086" t="s">
        <v>41459</v>
      </c>
      <c r="K14086" t="s">
        <v>42631</v>
      </c>
      <c r="M14086" t="s">
        <v>47045</v>
      </c>
      <c r="N14086" t="s">
        <v>47304</v>
      </c>
      <c r="O14086" t="s">
        <v>47305</v>
      </c>
      <c r="P14086">
        <v>0</v>
      </c>
      <c r="Q14086">
        <v>13</v>
      </c>
      <c r="R14086" t="s">
        <v>47321</v>
      </c>
      <c r="S14086" t="s">
        <v>48071</v>
      </c>
      <c r="T14086" t="s">
        <v>49002</v>
      </c>
      <c r="U14086" t="s">
        <v>61189</v>
      </c>
      <c r="W14086" t="s">
        <v>47045</v>
      </c>
      <c r="X14086" t="s">
        <v>47322</v>
      </c>
    </row>
    <row r="14087" spans="1:24">
      <c r="A14087">
        <f>HYPERLINK("https://www.philgeps.gov.ph/GEPSNONPILOT/Tender/SplashBidNoticeAbstractUI.aspx?menuIndex=3&amp;refID=7164484&amp;Result=3","7164484")</f>
        <v>0</v>
      </c>
      <c r="B14087" t="s">
        <v>1003</v>
      </c>
      <c r="C14087" t="s">
        <v>17188</v>
      </c>
      <c r="D14087" t="s">
        <v>18999</v>
      </c>
      <c r="E14087" t="s">
        <v>30983</v>
      </c>
      <c r="F14087" t="s">
        <v>32606</v>
      </c>
      <c r="G14087" t="s">
        <v>32613</v>
      </c>
      <c r="H14087" t="s">
        <v>32623</v>
      </c>
      <c r="I14087" t="s">
        <v>17648</v>
      </c>
      <c r="J14087" t="s">
        <v>41460</v>
      </c>
      <c r="K14087" t="s">
        <v>42648</v>
      </c>
      <c r="M14087" t="s">
        <v>43951</v>
      </c>
      <c r="N14087" t="s">
        <v>47304</v>
      </c>
      <c r="O14087" t="s">
        <v>47305</v>
      </c>
      <c r="P14087">
        <v>0</v>
      </c>
      <c r="Q14087">
        <v>8</v>
      </c>
      <c r="R14087" t="s">
        <v>47323</v>
      </c>
      <c r="S14087" t="s">
        <v>48180</v>
      </c>
      <c r="T14087" t="s">
        <v>48987</v>
      </c>
      <c r="U14087" t="s">
        <v>61190</v>
      </c>
      <c r="V14087" t="s">
        <v>62896</v>
      </c>
      <c r="W14087" t="s">
        <v>43951</v>
      </c>
      <c r="X14087" t="s">
        <v>47324</v>
      </c>
    </row>
    <row r="14088" spans="1:24">
      <c r="A14088">
        <f>HYPERLINK("https://www.philgeps.gov.ph/GEPSNONPILOT/Tender/SplashBidNoticeAbstractUI.aspx?menuIndex=3&amp;refID=7160574&amp;Result=3","7160574")</f>
        <v>0</v>
      </c>
      <c r="B14088" t="s">
        <v>1234</v>
      </c>
      <c r="C14088" t="s">
        <v>17174</v>
      </c>
      <c r="D14088" t="s">
        <v>19047</v>
      </c>
      <c r="E14088" t="s">
        <v>30984</v>
      </c>
      <c r="F14088" t="s">
        <v>32606</v>
      </c>
      <c r="G14088" t="s">
        <v>32613</v>
      </c>
      <c r="H14088" t="s">
        <v>32623</v>
      </c>
      <c r="I14088" t="s">
        <v>17648</v>
      </c>
      <c r="J14088" t="s">
        <v>41446</v>
      </c>
      <c r="K14088" t="s">
        <v>42693</v>
      </c>
      <c r="M14088" t="s">
        <v>44199</v>
      </c>
      <c r="N14088" t="s">
        <v>47304</v>
      </c>
      <c r="O14088" t="s">
        <v>47305</v>
      </c>
      <c r="P14088">
        <v>0</v>
      </c>
      <c r="Q14088">
        <v>0</v>
      </c>
      <c r="R14088" t="s">
        <v>47324</v>
      </c>
      <c r="S14088" t="s">
        <v>48182</v>
      </c>
      <c r="T14088" t="s">
        <v>49081</v>
      </c>
      <c r="U14088" t="s">
        <v>61191</v>
      </c>
      <c r="W14088" t="s">
        <v>44199</v>
      </c>
      <c r="X14088" t="s">
        <v>47326</v>
      </c>
    </row>
    <row r="14089" spans="1:24">
      <c r="A14089">
        <f>HYPERLINK("https://www.philgeps.gov.ph/GEPSNONPILOT/Tender/SplashBidNoticeAbstractUI.aspx?menuIndex=3&amp;refID=7164538&amp;Result=3","7164538")</f>
        <v>0</v>
      </c>
      <c r="B14089" t="s">
        <v>415</v>
      </c>
      <c r="C14089" t="s">
        <v>17189</v>
      </c>
      <c r="E14089" t="s">
        <v>30985</v>
      </c>
      <c r="F14089" t="s">
        <v>32606</v>
      </c>
      <c r="G14089" t="s">
        <v>32613</v>
      </c>
      <c r="H14089" t="s">
        <v>14201</v>
      </c>
      <c r="I14089" t="s">
        <v>32654</v>
      </c>
      <c r="J14089" t="s">
        <v>41461</v>
      </c>
      <c r="K14089" t="s">
        <v>42631</v>
      </c>
      <c r="M14089" t="s">
        <v>46553</v>
      </c>
      <c r="N14089" t="s">
        <v>47304</v>
      </c>
      <c r="O14089" t="s">
        <v>47305</v>
      </c>
      <c r="Q14089">
        <v>2</v>
      </c>
      <c r="R14089" t="s">
        <v>47323</v>
      </c>
      <c r="S14089" t="s">
        <v>48188</v>
      </c>
      <c r="T14089" t="s">
        <v>49023</v>
      </c>
      <c r="U14089" t="s">
        <v>61192</v>
      </c>
      <c r="V14089" t="s">
        <v>63887</v>
      </c>
      <c r="W14089" t="s">
        <v>46553</v>
      </c>
      <c r="X14089" t="s">
        <v>47324</v>
      </c>
    </row>
    <row r="14090" spans="1:24">
      <c r="A14090">
        <f>HYPERLINK("https://www.philgeps.gov.ph/GEPSNONPILOT/Tender/SplashBidNoticeAbstractUI.aspx?menuIndex=3&amp;refID=7162119&amp;Result=3","7162119")</f>
        <v>0</v>
      </c>
      <c r="B14090" t="s">
        <v>398</v>
      </c>
      <c r="C14090" t="s">
        <v>17190</v>
      </c>
      <c r="D14090" t="s">
        <v>19013</v>
      </c>
      <c r="E14090" t="s">
        <v>30986</v>
      </c>
      <c r="F14090" t="s">
        <v>32606</v>
      </c>
      <c r="G14090" t="s">
        <v>32613</v>
      </c>
      <c r="H14090" t="s">
        <v>14201</v>
      </c>
      <c r="I14090" t="s">
        <v>32641</v>
      </c>
      <c r="J14090" t="s">
        <v>34128</v>
      </c>
      <c r="K14090" t="s">
        <v>42751</v>
      </c>
      <c r="M14090" t="s">
        <v>43301</v>
      </c>
      <c r="N14090" t="s">
        <v>47304</v>
      </c>
      <c r="O14090" t="s">
        <v>47305</v>
      </c>
      <c r="P14090">
        <v>0</v>
      </c>
      <c r="Q14090">
        <v>1</v>
      </c>
      <c r="R14090" t="s">
        <v>47324</v>
      </c>
      <c r="S14090" t="s">
        <v>48182</v>
      </c>
      <c r="T14090" t="s">
        <v>49160</v>
      </c>
      <c r="U14090" t="s">
        <v>61193</v>
      </c>
      <c r="W14090" t="s">
        <v>43301</v>
      </c>
      <c r="X14090" t="s">
        <v>47325</v>
      </c>
    </row>
    <row r="14091" spans="1:24">
      <c r="A14091">
        <f>HYPERLINK("https://www.philgeps.gov.ph/GEPSNONPILOT/Tender/SplashBidNoticeAbstractUI.aspx?menuIndex=3&amp;refID=7164342&amp;Result=3","7164342")</f>
        <v>0</v>
      </c>
      <c r="B14091" t="s">
        <v>1028</v>
      </c>
      <c r="C14091" t="s">
        <v>17191</v>
      </c>
      <c r="D14091" t="s">
        <v>19008</v>
      </c>
      <c r="E14091" t="s">
        <v>30987</v>
      </c>
      <c r="F14091" t="s">
        <v>32606</v>
      </c>
      <c r="G14091" t="s">
        <v>32613</v>
      </c>
      <c r="H14091" t="s">
        <v>32623</v>
      </c>
      <c r="I14091" t="s">
        <v>32649</v>
      </c>
      <c r="J14091" t="s">
        <v>33757</v>
      </c>
      <c r="K14091" t="s">
        <v>42631</v>
      </c>
      <c r="M14091" t="s">
        <v>43981</v>
      </c>
      <c r="N14091" t="s">
        <v>47304</v>
      </c>
      <c r="O14091" t="s">
        <v>47305</v>
      </c>
      <c r="P14091">
        <v>0</v>
      </c>
      <c r="Q14091">
        <v>5</v>
      </c>
      <c r="R14091" t="s">
        <v>47323</v>
      </c>
      <c r="S14091" t="s">
        <v>48180</v>
      </c>
      <c r="T14091" t="s">
        <v>49017</v>
      </c>
      <c r="U14091" t="s">
        <v>61194</v>
      </c>
      <c r="W14091" t="s">
        <v>43981</v>
      </c>
      <c r="X14091" t="s">
        <v>47324</v>
      </c>
    </row>
    <row r="14092" spans="1:24">
      <c r="A14092">
        <f>HYPERLINK("https://www.philgeps.gov.ph/GEPSNONPILOT/Tender/SplashBidNoticeAbstractUI.aspx?menuIndex=3&amp;refID=7162091&amp;Result=3","7162091")</f>
        <v>0</v>
      </c>
      <c r="B14092" t="s">
        <v>3726</v>
      </c>
      <c r="C14092" t="s">
        <v>17192</v>
      </c>
      <c r="D14092" t="s">
        <v>19038</v>
      </c>
      <c r="E14092" t="s">
        <v>19125</v>
      </c>
      <c r="F14092" t="s">
        <v>32606</v>
      </c>
      <c r="G14092" t="s">
        <v>32613</v>
      </c>
      <c r="H14092" t="s">
        <v>32624</v>
      </c>
      <c r="I14092" t="s">
        <v>9013</v>
      </c>
      <c r="J14092" t="s">
        <v>34128</v>
      </c>
      <c r="K14092" t="s">
        <v>42631</v>
      </c>
      <c r="M14092" t="s">
        <v>47046</v>
      </c>
      <c r="N14092" t="s">
        <v>47304</v>
      </c>
      <c r="O14092" t="s">
        <v>47305</v>
      </c>
      <c r="P14092">
        <v>0</v>
      </c>
      <c r="Q14092">
        <v>6</v>
      </c>
      <c r="R14092" t="s">
        <v>47324</v>
      </c>
      <c r="S14092" t="s">
        <v>48182</v>
      </c>
      <c r="T14092" t="s">
        <v>48990</v>
      </c>
      <c r="U14092" t="s">
        <v>61195</v>
      </c>
      <c r="W14092" t="s">
        <v>47046</v>
      </c>
      <c r="X14092" t="s">
        <v>47325</v>
      </c>
    </row>
    <row r="14093" spans="1:24">
      <c r="A14093">
        <f>HYPERLINK("https://www.philgeps.gov.ph/GEPSNONPILOT/Tender/SplashBidNoticeAbstractUI.aspx?menuIndex=3&amp;refID=7161948&amp;Result=3","7161948")</f>
        <v>0</v>
      </c>
      <c r="B14093" t="s">
        <v>2873</v>
      </c>
      <c r="C14093" t="s">
        <v>17193</v>
      </c>
      <c r="D14093" t="s">
        <v>19040</v>
      </c>
      <c r="E14093" t="s">
        <v>30988</v>
      </c>
      <c r="F14093" t="s">
        <v>32606</v>
      </c>
      <c r="G14093" t="s">
        <v>32613</v>
      </c>
      <c r="H14093" t="s">
        <v>32623</v>
      </c>
      <c r="I14093" t="s">
        <v>17648</v>
      </c>
      <c r="J14093" t="s">
        <v>41462</v>
      </c>
      <c r="K14093" t="s">
        <v>42728</v>
      </c>
      <c r="M14093" t="s">
        <v>47047</v>
      </c>
      <c r="N14093" t="s">
        <v>47304</v>
      </c>
      <c r="O14093" t="s">
        <v>47305</v>
      </c>
      <c r="P14093">
        <v>0</v>
      </c>
      <c r="Q14093">
        <v>2</v>
      </c>
      <c r="R14093" t="s">
        <v>47324</v>
      </c>
      <c r="S14093" t="s">
        <v>48182</v>
      </c>
      <c r="T14093" t="s">
        <v>48998</v>
      </c>
      <c r="U14093" t="s">
        <v>61196</v>
      </c>
      <c r="V14093" t="s">
        <v>64164</v>
      </c>
      <c r="W14093" t="s">
        <v>47047</v>
      </c>
      <c r="X14093" t="s">
        <v>47325</v>
      </c>
    </row>
    <row r="14094" spans="1:24">
      <c r="A14094">
        <f>HYPERLINK("https://www.philgeps.gov.ph/GEPSNONPILOT/Tender/SplashBidNoticeAbstractUI.aspx?menuIndex=3&amp;refID=7161965&amp;Result=3","7161965")</f>
        <v>0</v>
      </c>
      <c r="B14094" t="s">
        <v>2346</v>
      </c>
      <c r="C14094" t="s">
        <v>17194</v>
      </c>
      <c r="D14094" t="s">
        <v>19001</v>
      </c>
      <c r="E14094" t="s">
        <v>30989</v>
      </c>
      <c r="F14094" t="s">
        <v>32606</v>
      </c>
      <c r="G14094" t="s">
        <v>32613</v>
      </c>
      <c r="H14094" t="s">
        <v>14201</v>
      </c>
      <c r="I14094" t="s">
        <v>4120</v>
      </c>
      <c r="J14094" t="s">
        <v>41463</v>
      </c>
      <c r="K14094" t="s">
        <v>42622</v>
      </c>
      <c r="M14094" t="s">
        <v>45456</v>
      </c>
      <c r="N14094" t="s">
        <v>47304</v>
      </c>
      <c r="O14094" t="s">
        <v>47305</v>
      </c>
      <c r="P14094">
        <v>0</v>
      </c>
      <c r="Q14094">
        <v>0</v>
      </c>
      <c r="R14094" t="s">
        <v>47324</v>
      </c>
      <c r="S14094" t="s">
        <v>48182</v>
      </c>
      <c r="T14094" t="s">
        <v>49269</v>
      </c>
      <c r="U14094" t="s">
        <v>49968</v>
      </c>
      <c r="V14094" t="s">
        <v>63332</v>
      </c>
      <c r="W14094" t="s">
        <v>45456</v>
      </c>
      <c r="X14094" t="s">
        <v>47325</v>
      </c>
    </row>
    <row r="14095" spans="1:24">
      <c r="A14095">
        <f>HYPERLINK("https://www.philgeps.gov.ph/GEPSNONPILOT/Tender/SplashBidNoticeAbstractUI.aspx?menuIndex=3&amp;refID=7162065&amp;Result=3","7162065")</f>
        <v>0</v>
      </c>
      <c r="B14095" t="s">
        <v>3727</v>
      </c>
      <c r="C14095" t="s">
        <v>17195</v>
      </c>
      <c r="D14095" t="s">
        <v>19039</v>
      </c>
      <c r="E14095" t="s">
        <v>30990</v>
      </c>
      <c r="F14095" t="s">
        <v>32606</v>
      </c>
      <c r="G14095" t="s">
        <v>32613</v>
      </c>
      <c r="H14095" t="s">
        <v>32623</v>
      </c>
      <c r="I14095" t="s">
        <v>17648</v>
      </c>
      <c r="J14095" t="s">
        <v>41464</v>
      </c>
      <c r="K14095" t="s">
        <v>42648</v>
      </c>
      <c r="M14095" t="s">
        <v>47048</v>
      </c>
      <c r="N14095" t="s">
        <v>47304</v>
      </c>
      <c r="O14095" t="s">
        <v>47305</v>
      </c>
      <c r="P14095">
        <v>0</v>
      </c>
      <c r="Q14095">
        <v>9</v>
      </c>
      <c r="R14095" t="s">
        <v>47324</v>
      </c>
      <c r="S14095" t="s">
        <v>48182</v>
      </c>
      <c r="T14095" t="s">
        <v>49099</v>
      </c>
      <c r="U14095" t="s">
        <v>61197</v>
      </c>
      <c r="W14095" t="s">
        <v>47048</v>
      </c>
      <c r="X14095" t="s">
        <v>47325</v>
      </c>
    </row>
    <row r="14096" spans="1:24">
      <c r="A14096">
        <f>HYPERLINK("https://www.philgeps.gov.ph/GEPSNONPILOT/Tender/SplashBidNoticeAbstractUI.aspx?menuIndex=3&amp;refID=7161761&amp;Result=3","7161761")</f>
        <v>0</v>
      </c>
      <c r="B14096" t="s">
        <v>3728</v>
      </c>
      <c r="C14096" t="s">
        <v>17196</v>
      </c>
      <c r="D14096" t="s">
        <v>19006</v>
      </c>
      <c r="E14096" t="s">
        <v>30991</v>
      </c>
      <c r="F14096" t="s">
        <v>32606</v>
      </c>
      <c r="G14096" t="s">
        <v>32613</v>
      </c>
      <c r="H14096" t="s">
        <v>14201</v>
      </c>
      <c r="I14096" t="s">
        <v>8606</v>
      </c>
      <c r="J14096" t="s">
        <v>32765</v>
      </c>
      <c r="K14096" t="s">
        <v>42627</v>
      </c>
      <c r="M14096" t="s">
        <v>47049</v>
      </c>
      <c r="N14096" t="s">
        <v>47304</v>
      </c>
      <c r="O14096" t="s">
        <v>47305</v>
      </c>
      <c r="P14096">
        <v>0</v>
      </c>
      <c r="Q14096">
        <v>1</v>
      </c>
      <c r="R14096" t="s">
        <v>47324</v>
      </c>
      <c r="S14096" t="s">
        <v>48182</v>
      </c>
      <c r="T14096" t="s">
        <v>48980</v>
      </c>
      <c r="U14096" t="s">
        <v>61198</v>
      </c>
      <c r="W14096" t="s">
        <v>47049</v>
      </c>
      <c r="X14096" t="s">
        <v>47326</v>
      </c>
    </row>
    <row r="14097" spans="1:24">
      <c r="A14097">
        <f>HYPERLINK("https://www.philgeps.gov.ph/GEPSNONPILOT/Tender/SplashBidNoticeAbstractUI.aspx?menuIndex=3&amp;refID=7161953&amp;Result=3","7161953")</f>
        <v>0</v>
      </c>
      <c r="B14097" t="s">
        <v>2476</v>
      </c>
      <c r="C14097" t="s">
        <v>17197</v>
      </c>
      <c r="D14097" t="s">
        <v>19015</v>
      </c>
      <c r="E14097" t="s">
        <v>30992</v>
      </c>
      <c r="F14097" t="s">
        <v>32606</v>
      </c>
      <c r="G14097" t="s">
        <v>32613</v>
      </c>
      <c r="H14097" t="s">
        <v>14201</v>
      </c>
      <c r="I14097" t="s">
        <v>4120</v>
      </c>
      <c r="J14097" t="s">
        <v>41465</v>
      </c>
      <c r="K14097" t="s">
        <v>42631</v>
      </c>
      <c r="L14097" t="s">
        <v>2476</v>
      </c>
      <c r="M14097" t="s">
        <v>45612</v>
      </c>
      <c r="N14097" t="s">
        <v>47304</v>
      </c>
      <c r="O14097" t="s">
        <v>47305</v>
      </c>
      <c r="P14097">
        <v>0</v>
      </c>
      <c r="Q14097">
        <v>11</v>
      </c>
      <c r="R14097" t="s">
        <v>47324</v>
      </c>
      <c r="S14097" t="s">
        <v>48182</v>
      </c>
      <c r="T14097" t="s">
        <v>48998</v>
      </c>
      <c r="U14097" t="s">
        <v>61199</v>
      </c>
      <c r="W14097" t="s">
        <v>45612</v>
      </c>
      <c r="X14097" t="s">
        <v>47325</v>
      </c>
    </row>
    <row r="14098" spans="1:24">
      <c r="A14098">
        <f>HYPERLINK("https://www.philgeps.gov.ph/GEPSNONPILOT/Tender/SplashBidNoticeAbstractUI.aspx?menuIndex=3&amp;refID=7164613&amp;Result=3","7164613")</f>
        <v>0</v>
      </c>
      <c r="B14098" t="s">
        <v>1995</v>
      </c>
      <c r="C14098" t="s">
        <v>17198</v>
      </c>
      <c r="D14098" t="s">
        <v>18993</v>
      </c>
      <c r="E14098" t="s">
        <v>30993</v>
      </c>
      <c r="F14098" t="s">
        <v>32606</v>
      </c>
      <c r="G14098" t="s">
        <v>32614</v>
      </c>
      <c r="H14098" t="s">
        <v>14201</v>
      </c>
      <c r="I14098" t="s">
        <v>32638</v>
      </c>
      <c r="J14098" t="s">
        <v>41466</v>
      </c>
      <c r="K14098" t="s">
        <v>42631</v>
      </c>
      <c r="M14098" t="s">
        <v>47050</v>
      </c>
      <c r="N14098" t="s">
        <v>47304</v>
      </c>
      <c r="O14098" t="s">
        <v>47305</v>
      </c>
      <c r="Q14098">
        <v>7</v>
      </c>
      <c r="R14098" t="s">
        <v>47323</v>
      </c>
      <c r="S14098" t="s">
        <v>48189</v>
      </c>
      <c r="T14098" t="s">
        <v>49071</v>
      </c>
      <c r="U14098" t="s">
        <v>61200</v>
      </c>
      <c r="W14098" t="s">
        <v>47050</v>
      </c>
      <c r="X14098" t="s">
        <v>47324</v>
      </c>
    </row>
    <row r="14099" spans="1:24">
      <c r="A14099">
        <f>HYPERLINK("https://www.philgeps.gov.ph/GEPSNONPILOT/Tender/SplashBidNoticeAbstractUI.aspx?menuIndex=3&amp;refID=7162074&amp;Result=3","7162074")</f>
        <v>0</v>
      </c>
      <c r="B14099" t="s">
        <v>1106</v>
      </c>
      <c r="C14099" t="s">
        <v>17199</v>
      </c>
      <c r="D14099" t="s">
        <v>19023</v>
      </c>
      <c r="E14099" t="s">
        <v>30994</v>
      </c>
      <c r="F14099" t="s">
        <v>32606</v>
      </c>
      <c r="G14099" t="s">
        <v>32613</v>
      </c>
      <c r="H14099" t="s">
        <v>14201</v>
      </c>
      <c r="I14099" t="s">
        <v>17648</v>
      </c>
      <c r="J14099" t="s">
        <v>41467</v>
      </c>
      <c r="K14099" t="s">
        <v>42697</v>
      </c>
      <c r="M14099" t="s">
        <v>44065</v>
      </c>
      <c r="N14099" t="s">
        <v>47304</v>
      </c>
      <c r="O14099" t="s">
        <v>47305</v>
      </c>
      <c r="P14099">
        <v>0</v>
      </c>
      <c r="Q14099">
        <v>1</v>
      </c>
      <c r="R14099" t="s">
        <v>47324</v>
      </c>
      <c r="S14099" t="s">
        <v>48182</v>
      </c>
      <c r="T14099" t="s">
        <v>49095</v>
      </c>
      <c r="U14099" t="s">
        <v>61201</v>
      </c>
      <c r="W14099" t="s">
        <v>44065</v>
      </c>
      <c r="X14099" t="s">
        <v>47325</v>
      </c>
    </row>
    <row r="14100" spans="1:24">
      <c r="A14100">
        <f>HYPERLINK("https://www.philgeps.gov.ph/GEPSNONPILOT/Tender/SplashBidNoticeAbstractUI.aspx?menuIndex=3&amp;refID=7161162&amp;Result=3","7161162")</f>
        <v>0</v>
      </c>
      <c r="B14100" t="s">
        <v>3729</v>
      </c>
      <c r="C14100" t="s">
        <v>17200</v>
      </c>
      <c r="D14100" t="s">
        <v>18988</v>
      </c>
      <c r="E14100" t="s">
        <v>30995</v>
      </c>
      <c r="F14100" t="s">
        <v>32606</v>
      </c>
      <c r="G14100" t="s">
        <v>32613</v>
      </c>
      <c r="H14100" t="s">
        <v>32623</v>
      </c>
      <c r="I14100" t="s">
        <v>17648</v>
      </c>
      <c r="J14100" t="s">
        <v>41468</v>
      </c>
      <c r="K14100" t="s">
        <v>42624</v>
      </c>
      <c r="M14100" t="s">
        <v>47051</v>
      </c>
      <c r="N14100" t="s">
        <v>47304</v>
      </c>
      <c r="O14100" t="s">
        <v>47305</v>
      </c>
      <c r="P14100">
        <v>0</v>
      </c>
      <c r="Q14100">
        <v>3</v>
      </c>
      <c r="R14100" t="s">
        <v>47324</v>
      </c>
      <c r="S14100" t="s">
        <v>48182</v>
      </c>
      <c r="T14100" t="s">
        <v>49004</v>
      </c>
      <c r="U14100" t="s">
        <v>61202</v>
      </c>
      <c r="V14100" t="s">
        <v>64165</v>
      </c>
      <c r="W14100" t="s">
        <v>47051</v>
      </c>
      <c r="X14100" t="s">
        <v>47326</v>
      </c>
    </row>
    <row r="14101" spans="1:24">
      <c r="A14101">
        <f>HYPERLINK("https://www.philgeps.gov.ph/GEPSNONPILOT/Tender/SplashBidNoticeAbstractUI.aspx?menuIndex=3&amp;refID=7161088&amp;Result=3","7161088")</f>
        <v>0</v>
      </c>
      <c r="B14101" t="s">
        <v>3729</v>
      </c>
      <c r="C14101" t="s">
        <v>17201</v>
      </c>
      <c r="D14101" t="s">
        <v>18988</v>
      </c>
      <c r="E14101" t="s">
        <v>30996</v>
      </c>
      <c r="F14101" t="s">
        <v>32606</v>
      </c>
      <c r="G14101" t="s">
        <v>32613</v>
      </c>
      <c r="H14101" t="s">
        <v>14201</v>
      </c>
      <c r="I14101" t="s">
        <v>6931</v>
      </c>
      <c r="J14101" t="s">
        <v>41469</v>
      </c>
      <c r="K14101" t="s">
        <v>42624</v>
      </c>
      <c r="M14101" t="s">
        <v>47051</v>
      </c>
      <c r="N14101" t="s">
        <v>47304</v>
      </c>
      <c r="O14101" t="s">
        <v>47305</v>
      </c>
      <c r="P14101">
        <v>0</v>
      </c>
      <c r="Q14101">
        <v>1</v>
      </c>
      <c r="R14101" t="s">
        <v>47324</v>
      </c>
      <c r="S14101" t="s">
        <v>48182</v>
      </c>
      <c r="T14101" t="s">
        <v>49004</v>
      </c>
      <c r="U14101" t="s">
        <v>61203</v>
      </c>
      <c r="V14101" t="s">
        <v>64165</v>
      </c>
      <c r="W14101" t="s">
        <v>47051</v>
      </c>
      <c r="X14101" t="s">
        <v>47326</v>
      </c>
    </row>
    <row r="14102" spans="1:24">
      <c r="A14102">
        <f>HYPERLINK("https://www.philgeps.gov.ph/GEPSNONPILOT/Tender/SplashBidNoticeAbstractUI.aspx?menuIndex=3&amp;refID=7161038&amp;Result=3","7161038")</f>
        <v>0</v>
      </c>
      <c r="B14102" t="s">
        <v>3729</v>
      </c>
      <c r="C14102" t="s">
        <v>17202</v>
      </c>
      <c r="D14102" t="s">
        <v>18988</v>
      </c>
      <c r="E14102" t="s">
        <v>30997</v>
      </c>
      <c r="F14102" t="s">
        <v>32606</v>
      </c>
      <c r="G14102" t="s">
        <v>32613</v>
      </c>
      <c r="H14102" t="s">
        <v>14201</v>
      </c>
      <c r="I14102" t="s">
        <v>7064</v>
      </c>
      <c r="J14102" t="s">
        <v>33043</v>
      </c>
      <c r="K14102" t="s">
        <v>42624</v>
      </c>
      <c r="M14102" t="s">
        <v>47051</v>
      </c>
      <c r="N14102" t="s">
        <v>47304</v>
      </c>
      <c r="O14102" t="s">
        <v>47305</v>
      </c>
      <c r="Q14102">
        <v>6</v>
      </c>
      <c r="R14102" t="s">
        <v>47324</v>
      </c>
      <c r="S14102" t="s">
        <v>48190</v>
      </c>
      <c r="T14102" t="s">
        <v>49004</v>
      </c>
      <c r="U14102" t="s">
        <v>61204</v>
      </c>
      <c r="V14102" t="s">
        <v>64165</v>
      </c>
      <c r="W14102" t="s">
        <v>47051</v>
      </c>
      <c r="X14102" t="s">
        <v>47326</v>
      </c>
    </row>
    <row r="14103" spans="1:24">
      <c r="A14103">
        <f>HYPERLINK("https://www.philgeps.gov.ph/GEPSNONPILOT/Tender/SplashBidNoticeAbstractUI.aspx?menuIndex=3&amp;refID=7161115&amp;Result=3","7161115")</f>
        <v>0</v>
      </c>
      <c r="B14103" t="s">
        <v>3729</v>
      </c>
      <c r="C14103" t="s">
        <v>17203</v>
      </c>
      <c r="D14103" t="s">
        <v>18988</v>
      </c>
      <c r="E14103" t="s">
        <v>30998</v>
      </c>
      <c r="F14103" t="s">
        <v>32606</v>
      </c>
      <c r="G14103" t="s">
        <v>32613</v>
      </c>
      <c r="H14103" t="s">
        <v>32623</v>
      </c>
      <c r="I14103" t="s">
        <v>17648</v>
      </c>
      <c r="J14103" t="s">
        <v>41470</v>
      </c>
      <c r="K14103" t="s">
        <v>42624</v>
      </c>
      <c r="M14103" t="s">
        <v>47051</v>
      </c>
      <c r="N14103" t="s">
        <v>47304</v>
      </c>
      <c r="O14103" t="s">
        <v>47305</v>
      </c>
      <c r="P14103">
        <v>0</v>
      </c>
      <c r="Q14103">
        <v>2</v>
      </c>
      <c r="R14103" t="s">
        <v>47324</v>
      </c>
      <c r="S14103" t="s">
        <v>48182</v>
      </c>
      <c r="T14103" t="s">
        <v>48979</v>
      </c>
      <c r="U14103" t="s">
        <v>61205</v>
      </c>
      <c r="V14103" t="s">
        <v>64165</v>
      </c>
      <c r="W14103" t="s">
        <v>47051</v>
      </c>
      <c r="X14103" t="s">
        <v>47326</v>
      </c>
    </row>
    <row r="14104" spans="1:24">
      <c r="A14104">
        <f>HYPERLINK("https://www.philgeps.gov.ph/GEPSNONPILOT/Tender/SplashBidNoticeAbstractUI.aspx?menuIndex=3&amp;refID=7160613&amp;Result=3","7160613")</f>
        <v>0</v>
      </c>
      <c r="B14104" t="s">
        <v>1234</v>
      </c>
      <c r="C14104" t="s">
        <v>17204</v>
      </c>
      <c r="D14104" t="s">
        <v>19047</v>
      </c>
      <c r="E14104" t="s">
        <v>30999</v>
      </c>
      <c r="F14104" t="s">
        <v>32606</v>
      </c>
      <c r="G14104" t="s">
        <v>32613</v>
      </c>
      <c r="H14104" t="s">
        <v>32623</v>
      </c>
      <c r="I14104" t="s">
        <v>17648</v>
      </c>
      <c r="J14104" t="s">
        <v>41471</v>
      </c>
      <c r="K14104" t="s">
        <v>42662</v>
      </c>
      <c r="M14104" t="s">
        <v>44199</v>
      </c>
      <c r="N14104" t="s">
        <v>47304</v>
      </c>
      <c r="O14104" t="s">
        <v>47305</v>
      </c>
      <c r="P14104">
        <v>0</v>
      </c>
      <c r="Q14104">
        <v>0</v>
      </c>
      <c r="R14104" t="s">
        <v>47324</v>
      </c>
      <c r="S14104" t="s">
        <v>48182</v>
      </c>
      <c r="T14104" t="s">
        <v>49498</v>
      </c>
      <c r="U14104" t="s">
        <v>61206</v>
      </c>
      <c r="W14104" t="s">
        <v>44199</v>
      </c>
      <c r="X14104" t="s">
        <v>47326</v>
      </c>
    </row>
    <row r="14105" spans="1:24">
      <c r="A14105">
        <f>HYPERLINK("https://www.philgeps.gov.ph/GEPSNONPILOT/Tender/SplashBidNoticeAbstractUI.aspx?menuIndex=3&amp;refID=7161138&amp;Result=3","7161138")</f>
        <v>0</v>
      </c>
      <c r="B14105" t="s">
        <v>3729</v>
      </c>
      <c r="C14105" t="s">
        <v>17205</v>
      </c>
      <c r="D14105" t="s">
        <v>18988</v>
      </c>
      <c r="E14105" t="s">
        <v>31000</v>
      </c>
      <c r="F14105" t="s">
        <v>32606</v>
      </c>
      <c r="G14105" t="s">
        <v>32613</v>
      </c>
      <c r="H14105" t="s">
        <v>32623</v>
      </c>
      <c r="I14105" t="s">
        <v>17648</v>
      </c>
      <c r="J14105" t="s">
        <v>41472</v>
      </c>
      <c r="K14105" t="s">
        <v>42624</v>
      </c>
      <c r="M14105" t="s">
        <v>47051</v>
      </c>
      <c r="N14105" t="s">
        <v>47304</v>
      </c>
      <c r="O14105" t="s">
        <v>47305</v>
      </c>
      <c r="P14105">
        <v>0</v>
      </c>
      <c r="Q14105">
        <v>2</v>
      </c>
      <c r="R14105" t="s">
        <v>47324</v>
      </c>
      <c r="S14105" t="s">
        <v>48182</v>
      </c>
      <c r="T14105" t="s">
        <v>49004</v>
      </c>
      <c r="U14105" t="s">
        <v>61207</v>
      </c>
      <c r="V14105" t="s">
        <v>64165</v>
      </c>
      <c r="W14105" t="s">
        <v>47051</v>
      </c>
      <c r="X14105" t="s">
        <v>47326</v>
      </c>
    </row>
    <row r="14106" spans="1:24">
      <c r="A14106">
        <f>HYPERLINK("https://www.philgeps.gov.ph/GEPSNONPILOT/Tender/SplashBidNoticeAbstractUI.aspx?menuIndex=3&amp;refID=7161059&amp;Result=3","7161059")</f>
        <v>0</v>
      </c>
      <c r="B14106" t="s">
        <v>3729</v>
      </c>
      <c r="C14106" t="s">
        <v>17206</v>
      </c>
      <c r="D14106" t="s">
        <v>18988</v>
      </c>
      <c r="E14106" t="s">
        <v>31001</v>
      </c>
      <c r="F14106" t="s">
        <v>32606</v>
      </c>
      <c r="G14106" t="s">
        <v>32613</v>
      </c>
      <c r="H14106" t="s">
        <v>14201</v>
      </c>
      <c r="I14106" t="s">
        <v>6931</v>
      </c>
      <c r="J14106" t="s">
        <v>41473</v>
      </c>
      <c r="K14106" t="s">
        <v>42624</v>
      </c>
      <c r="M14106" t="s">
        <v>47051</v>
      </c>
      <c r="N14106" t="s">
        <v>47304</v>
      </c>
      <c r="O14106" t="s">
        <v>47305</v>
      </c>
      <c r="P14106">
        <v>0</v>
      </c>
      <c r="Q14106">
        <v>2</v>
      </c>
      <c r="R14106" t="s">
        <v>47324</v>
      </c>
      <c r="S14106" t="s">
        <v>48182</v>
      </c>
      <c r="T14106" t="s">
        <v>49004</v>
      </c>
      <c r="U14106" t="s">
        <v>61208</v>
      </c>
      <c r="V14106" t="s">
        <v>64165</v>
      </c>
      <c r="W14106" t="s">
        <v>47051</v>
      </c>
      <c r="X14106" t="s">
        <v>47326</v>
      </c>
    </row>
    <row r="14107" spans="1:24">
      <c r="A14107">
        <f>HYPERLINK("https://www.philgeps.gov.ph/GEPSNONPILOT/Tender/SplashBidNoticeAbstractUI.aspx?menuIndex=3&amp;refID=7160477&amp;Result=3","7160477")</f>
        <v>0</v>
      </c>
      <c r="B14107" t="s">
        <v>1234</v>
      </c>
      <c r="C14107" t="s">
        <v>17174</v>
      </c>
      <c r="D14107" t="s">
        <v>19047</v>
      </c>
      <c r="E14107" t="s">
        <v>31002</v>
      </c>
      <c r="F14107" t="s">
        <v>32606</v>
      </c>
      <c r="G14107" t="s">
        <v>32613</v>
      </c>
      <c r="H14107" t="s">
        <v>32623</v>
      </c>
      <c r="I14107" t="s">
        <v>17648</v>
      </c>
      <c r="J14107" t="s">
        <v>41450</v>
      </c>
      <c r="K14107" t="s">
        <v>42693</v>
      </c>
      <c r="M14107" t="s">
        <v>44199</v>
      </c>
      <c r="N14107" t="s">
        <v>47304</v>
      </c>
      <c r="O14107" t="s">
        <v>47305</v>
      </c>
      <c r="P14107">
        <v>0</v>
      </c>
      <c r="Q14107">
        <v>0</v>
      </c>
      <c r="R14107" t="s">
        <v>47324</v>
      </c>
      <c r="S14107" t="s">
        <v>48182</v>
      </c>
      <c r="T14107" t="s">
        <v>49081</v>
      </c>
      <c r="U14107" t="s">
        <v>61209</v>
      </c>
      <c r="W14107" t="s">
        <v>44199</v>
      </c>
      <c r="X14107" t="s">
        <v>47326</v>
      </c>
    </row>
    <row r="14108" spans="1:24">
      <c r="A14108">
        <f>HYPERLINK("https://www.philgeps.gov.ph/GEPSNONPILOT/Tender/SplashBidNoticeAbstractUI.aspx?menuIndex=3&amp;refID=7162458&amp;Result=3","7162458")</f>
        <v>0</v>
      </c>
      <c r="B14108" t="s">
        <v>2013</v>
      </c>
      <c r="C14108" t="s">
        <v>17207</v>
      </c>
      <c r="D14108" t="s">
        <v>18993</v>
      </c>
      <c r="E14108" t="s">
        <v>31003</v>
      </c>
      <c r="F14108" t="s">
        <v>32606</v>
      </c>
      <c r="G14108" t="s">
        <v>32613</v>
      </c>
      <c r="H14108" t="s">
        <v>32623</v>
      </c>
      <c r="I14108" t="s">
        <v>17648</v>
      </c>
      <c r="J14108" t="s">
        <v>41474</v>
      </c>
      <c r="K14108" t="s">
        <v>42648</v>
      </c>
      <c r="M14108" t="s">
        <v>45085</v>
      </c>
      <c r="N14108" t="s">
        <v>47304</v>
      </c>
      <c r="O14108" t="s">
        <v>47305</v>
      </c>
      <c r="P14108">
        <v>0</v>
      </c>
      <c r="Q14108">
        <v>17</v>
      </c>
      <c r="R14108" t="s">
        <v>47324</v>
      </c>
      <c r="S14108" t="s">
        <v>48182</v>
      </c>
      <c r="T14108" t="s">
        <v>49268</v>
      </c>
      <c r="U14108" t="s">
        <v>61210</v>
      </c>
      <c r="W14108" t="s">
        <v>64490</v>
      </c>
      <c r="X14108" t="s">
        <v>47325</v>
      </c>
    </row>
    <row r="14109" spans="1:24">
      <c r="A14109">
        <f>HYPERLINK("https://www.philgeps.gov.ph/GEPSNONPILOT/Tender/SplashBidNoticeAbstractUI.aspx?menuIndex=3&amp;refID=7161700&amp;Result=3","7161700")</f>
        <v>0</v>
      </c>
      <c r="B14109" t="s">
        <v>1289</v>
      </c>
      <c r="C14109" t="s">
        <v>17208</v>
      </c>
      <c r="D14109" t="s">
        <v>18993</v>
      </c>
      <c r="E14109" t="s">
        <v>31004</v>
      </c>
      <c r="F14109" t="s">
        <v>32606</v>
      </c>
      <c r="G14109" t="s">
        <v>32613</v>
      </c>
      <c r="H14109" t="s">
        <v>14201</v>
      </c>
      <c r="I14109" t="s">
        <v>32652</v>
      </c>
      <c r="J14109" t="s">
        <v>33123</v>
      </c>
      <c r="K14109" t="s">
        <v>42623</v>
      </c>
      <c r="M14109" t="s">
        <v>44261</v>
      </c>
      <c r="N14109" t="s">
        <v>47304</v>
      </c>
      <c r="O14109" t="s">
        <v>47305</v>
      </c>
      <c r="Q14109">
        <v>1</v>
      </c>
      <c r="R14109" t="s">
        <v>47324</v>
      </c>
      <c r="S14109" t="s">
        <v>48191</v>
      </c>
      <c r="T14109" t="s">
        <v>49390</v>
      </c>
      <c r="U14109" t="s">
        <v>61211</v>
      </c>
      <c r="W14109" t="s">
        <v>44261</v>
      </c>
      <c r="X14109" t="s">
        <v>47326</v>
      </c>
    </row>
    <row r="14110" spans="1:24">
      <c r="A14110">
        <f>HYPERLINK("https://www.philgeps.gov.ph/GEPSNONPILOT/Tender/SplashBidNoticeAbstractUI.aspx?menuIndex=3&amp;refID=7162393&amp;Result=3","7162393")</f>
        <v>0</v>
      </c>
      <c r="B14110" t="s">
        <v>634</v>
      </c>
      <c r="C14110" t="s">
        <v>17209</v>
      </c>
      <c r="D14110" t="s">
        <v>19056</v>
      </c>
      <c r="E14110" t="s">
        <v>31005</v>
      </c>
      <c r="F14110" t="s">
        <v>32606</v>
      </c>
      <c r="G14110" t="s">
        <v>32613</v>
      </c>
      <c r="H14110" t="s">
        <v>14201</v>
      </c>
      <c r="I14110" t="s">
        <v>7064</v>
      </c>
      <c r="J14110" t="s">
        <v>33273</v>
      </c>
      <c r="K14110" t="s">
        <v>42636</v>
      </c>
      <c r="M14110" t="s">
        <v>43552</v>
      </c>
      <c r="N14110" t="s">
        <v>47304</v>
      </c>
      <c r="O14110" t="s">
        <v>47305</v>
      </c>
      <c r="P14110">
        <v>0</v>
      </c>
      <c r="Q14110">
        <v>3</v>
      </c>
      <c r="R14110" t="s">
        <v>47324</v>
      </c>
      <c r="S14110" t="s">
        <v>48182</v>
      </c>
      <c r="T14110" t="s">
        <v>49016</v>
      </c>
      <c r="U14110" t="s">
        <v>61212</v>
      </c>
      <c r="W14110" t="s">
        <v>43552</v>
      </c>
      <c r="X14110" t="s">
        <v>47325</v>
      </c>
    </row>
    <row r="14111" spans="1:24">
      <c r="A14111">
        <f>HYPERLINK("https://www.philgeps.gov.ph/GEPSNONPILOT/Tender/SplashBidNoticeAbstractUI.aspx?menuIndex=3&amp;refID=7162474&amp;Result=3","7162474")</f>
        <v>0</v>
      </c>
      <c r="B14111" t="s">
        <v>1948</v>
      </c>
      <c r="C14111" t="s">
        <v>17210</v>
      </c>
      <c r="D14111" t="s">
        <v>19058</v>
      </c>
      <c r="E14111" t="s">
        <v>31006</v>
      </c>
      <c r="F14111" t="s">
        <v>32606</v>
      </c>
      <c r="G14111" t="s">
        <v>32613</v>
      </c>
      <c r="H14111" t="s">
        <v>32624</v>
      </c>
      <c r="I14111" t="s">
        <v>32693</v>
      </c>
      <c r="J14111" t="s">
        <v>41475</v>
      </c>
      <c r="K14111" t="s">
        <v>42631</v>
      </c>
      <c r="M14111" t="s">
        <v>47052</v>
      </c>
      <c r="N14111" t="s">
        <v>47304</v>
      </c>
      <c r="O14111" t="s">
        <v>47305</v>
      </c>
      <c r="P14111">
        <v>0</v>
      </c>
      <c r="Q14111">
        <v>7</v>
      </c>
      <c r="R14111" t="s">
        <v>47324</v>
      </c>
      <c r="S14111" t="s">
        <v>48182</v>
      </c>
      <c r="T14111" t="s">
        <v>49023</v>
      </c>
      <c r="U14111" t="s">
        <v>61213</v>
      </c>
      <c r="W14111" t="s">
        <v>45009</v>
      </c>
      <c r="X14111" t="s">
        <v>47325</v>
      </c>
    </row>
    <row r="14112" spans="1:24">
      <c r="A14112">
        <f>HYPERLINK("https://www.philgeps.gov.ph/GEPSNONPILOT/Tender/SplashBidNoticeAbstractUI.aspx?menuIndex=3&amp;refID=7162371&amp;Result=3","7162371")</f>
        <v>0</v>
      </c>
      <c r="B14112" t="s">
        <v>1203</v>
      </c>
      <c r="C14112" t="s">
        <v>17211</v>
      </c>
      <c r="D14112" t="s">
        <v>19027</v>
      </c>
      <c r="E14112" t="s">
        <v>31007</v>
      </c>
      <c r="F14112" t="s">
        <v>32606</v>
      </c>
      <c r="G14112" t="s">
        <v>32613</v>
      </c>
      <c r="H14112" t="s">
        <v>32623</v>
      </c>
      <c r="I14112" t="s">
        <v>17648</v>
      </c>
      <c r="J14112" t="s">
        <v>32770</v>
      </c>
      <c r="K14112" t="s">
        <v>42624</v>
      </c>
      <c r="M14112" t="s">
        <v>44167</v>
      </c>
      <c r="N14112" t="s">
        <v>47304</v>
      </c>
      <c r="O14112" t="s">
        <v>47305</v>
      </c>
      <c r="P14112">
        <v>0</v>
      </c>
      <c r="Q14112">
        <v>0</v>
      </c>
      <c r="R14112" t="s">
        <v>47324</v>
      </c>
      <c r="S14112" t="s">
        <v>48182</v>
      </c>
      <c r="T14112" t="s">
        <v>48987</v>
      </c>
      <c r="U14112" t="s">
        <v>61214</v>
      </c>
      <c r="V14112" t="s">
        <v>64166</v>
      </c>
      <c r="W14112" t="s">
        <v>44167</v>
      </c>
      <c r="X14112" t="s">
        <v>47325</v>
      </c>
    </row>
    <row r="14113" spans="1:24">
      <c r="A14113">
        <f>HYPERLINK("https://www.philgeps.gov.ph/GEPSNONPILOT/Tender/SplashBidNoticeAbstractUI.aspx?menuIndex=3&amp;refID=7164073&amp;Result=3","7164073")</f>
        <v>0</v>
      </c>
      <c r="B14113" t="s">
        <v>1844</v>
      </c>
      <c r="C14113" t="s">
        <v>17212</v>
      </c>
      <c r="D14113" t="s">
        <v>19011</v>
      </c>
      <c r="E14113" t="s">
        <v>31008</v>
      </c>
      <c r="F14113" t="s">
        <v>32606</v>
      </c>
      <c r="G14113" t="s">
        <v>32613</v>
      </c>
      <c r="H14113" t="s">
        <v>32623</v>
      </c>
      <c r="I14113" t="s">
        <v>17648</v>
      </c>
      <c r="J14113" t="s">
        <v>32830</v>
      </c>
      <c r="K14113" t="s">
        <v>42743</v>
      </c>
      <c r="M14113" t="s">
        <v>44897</v>
      </c>
      <c r="N14113" t="s">
        <v>47304</v>
      </c>
      <c r="O14113" t="s">
        <v>47305</v>
      </c>
      <c r="Q14113">
        <v>1</v>
      </c>
      <c r="R14113" t="s">
        <v>47323</v>
      </c>
      <c r="S14113" t="s">
        <v>48192</v>
      </c>
      <c r="T14113" t="s">
        <v>49087</v>
      </c>
      <c r="U14113" t="s">
        <v>61215</v>
      </c>
      <c r="W14113" t="s">
        <v>44897</v>
      </c>
      <c r="X14113" t="s">
        <v>47325</v>
      </c>
    </row>
    <row r="14114" spans="1:24">
      <c r="A14114">
        <f>HYPERLINK("https://www.philgeps.gov.ph/GEPSNONPILOT/Tender/SplashBidNoticeAbstractUI.aspx?menuIndex=3&amp;refID=7162365&amp;Result=3","7162365")</f>
        <v>0</v>
      </c>
      <c r="B14114" t="s">
        <v>3062</v>
      </c>
      <c r="C14114" t="s">
        <v>17213</v>
      </c>
      <c r="D14114" t="s">
        <v>19042</v>
      </c>
      <c r="E14114" t="s">
        <v>31009</v>
      </c>
      <c r="F14114" t="s">
        <v>32606</v>
      </c>
      <c r="G14114" t="s">
        <v>32613</v>
      </c>
      <c r="H14114" t="s">
        <v>32623</v>
      </c>
      <c r="I14114" t="s">
        <v>6931</v>
      </c>
      <c r="J14114" t="s">
        <v>33449</v>
      </c>
      <c r="K14114" t="s">
        <v>42682</v>
      </c>
      <c r="M14114" t="s">
        <v>46260</v>
      </c>
      <c r="N14114" t="s">
        <v>47304</v>
      </c>
      <c r="O14114" t="s">
        <v>47305</v>
      </c>
      <c r="P14114">
        <v>0</v>
      </c>
      <c r="Q14114">
        <v>0</v>
      </c>
      <c r="R14114" t="s">
        <v>47324</v>
      </c>
      <c r="S14114" t="s">
        <v>48182</v>
      </c>
      <c r="T14114" t="s">
        <v>49012</v>
      </c>
      <c r="U14114" t="s">
        <v>61216</v>
      </c>
      <c r="V14114" t="s">
        <v>63707</v>
      </c>
      <c r="W14114" t="s">
        <v>46260</v>
      </c>
      <c r="X14114" t="s">
        <v>47325</v>
      </c>
    </row>
    <row r="14115" spans="1:24">
      <c r="A14115">
        <f>HYPERLINK("https://www.philgeps.gov.ph/GEPSNONPILOT/Tender/SplashBidNoticeAbstractUI.aspx?menuIndex=3&amp;refID=7162253&amp;Result=3","7162253")</f>
        <v>0</v>
      </c>
      <c r="B14115" t="s">
        <v>2013</v>
      </c>
      <c r="C14115" t="s">
        <v>17214</v>
      </c>
      <c r="D14115" t="s">
        <v>18993</v>
      </c>
      <c r="E14115" t="s">
        <v>31010</v>
      </c>
      <c r="F14115" t="s">
        <v>32606</v>
      </c>
      <c r="G14115" t="s">
        <v>32613</v>
      </c>
      <c r="H14115" t="s">
        <v>32623</v>
      </c>
      <c r="I14115" t="s">
        <v>17648</v>
      </c>
      <c r="J14115" t="s">
        <v>38619</v>
      </c>
      <c r="K14115" t="s">
        <v>42683</v>
      </c>
      <c r="M14115" t="s">
        <v>45085</v>
      </c>
      <c r="N14115" t="s">
        <v>47304</v>
      </c>
      <c r="O14115" t="s">
        <v>47305</v>
      </c>
      <c r="P14115">
        <v>0</v>
      </c>
      <c r="Q14115">
        <v>15</v>
      </c>
      <c r="R14115" t="s">
        <v>47324</v>
      </c>
      <c r="S14115" t="s">
        <v>48182</v>
      </c>
      <c r="T14115" t="s">
        <v>49268</v>
      </c>
      <c r="U14115" t="s">
        <v>61217</v>
      </c>
      <c r="W14115" t="s">
        <v>64490</v>
      </c>
      <c r="X14115" t="s">
        <v>47325</v>
      </c>
    </row>
    <row r="14116" spans="1:24">
      <c r="A14116">
        <f>HYPERLINK("https://www.philgeps.gov.ph/GEPSNONPILOT/Tender/SplashBidNoticeAbstractUI.aspx?menuIndex=3&amp;refID=7162357&amp;Result=3","7162357")</f>
        <v>0</v>
      </c>
      <c r="B14116" t="s">
        <v>304</v>
      </c>
      <c r="C14116" t="s">
        <v>17215</v>
      </c>
      <c r="D14116" t="s">
        <v>18994</v>
      </c>
      <c r="E14116" t="s">
        <v>31011</v>
      </c>
      <c r="F14116" t="s">
        <v>32606</v>
      </c>
      <c r="G14116" t="s">
        <v>32613</v>
      </c>
      <c r="H14116" t="s">
        <v>14201</v>
      </c>
      <c r="I14116" t="s">
        <v>6931</v>
      </c>
      <c r="J14116" t="s">
        <v>41476</v>
      </c>
      <c r="K14116" t="s">
        <v>42638</v>
      </c>
      <c r="M14116" t="s">
        <v>43206</v>
      </c>
      <c r="N14116" t="s">
        <v>47304</v>
      </c>
      <c r="O14116" t="s">
        <v>47305</v>
      </c>
      <c r="P14116">
        <v>0</v>
      </c>
      <c r="Q14116">
        <v>1</v>
      </c>
      <c r="R14116" t="s">
        <v>47324</v>
      </c>
      <c r="S14116" t="s">
        <v>48182</v>
      </c>
      <c r="T14116" t="s">
        <v>49053</v>
      </c>
      <c r="U14116" t="s">
        <v>61218</v>
      </c>
      <c r="V14116" t="s">
        <v>62836</v>
      </c>
      <c r="W14116" t="s">
        <v>43206</v>
      </c>
      <c r="X14116" t="s">
        <v>47325</v>
      </c>
    </row>
    <row r="14117" spans="1:24">
      <c r="A14117">
        <f>HYPERLINK("https://www.philgeps.gov.ph/GEPSNONPILOT/Tender/SplashBidNoticeAbstractUI.aspx?menuIndex=3&amp;refID=7162417&amp;Result=3","7162417")</f>
        <v>0</v>
      </c>
      <c r="B14117" t="s">
        <v>2013</v>
      </c>
      <c r="C14117" t="s">
        <v>17216</v>
      </c>
      <c r="D14117" t="s">
        <v>18993</v>
      </c>
      <c r="E14117" t="s">
        <v>31012</v>
      </c>
      <c r="F14117" t="s">
        <v>32606</v>
      </c>
      <c r="G14117" t="s">
        <v>32613</v>
      </c>
      <c r="H14117" t="s">
        <v>32623</v>
      </c>
      <c r="I14117" t="s">
        <v>17648</v>
      </c>
      <c r="J14117" t="s">
        <v>37494</v>
      </c>
      <c r="K14117" t="s">
        <v>42645</v>
      </c>
      <c r="M14117" t="s">
        <v>45085</v>
      </c>
      <c r="N14117" t="s">
        <v>47304</v>
      </c>
      <c r="O14117" t="s">
        <v>47305</v>
      </c>
      <c r="P14117">
        <v>0</v>
      </c>
      <c r="Q14117">
        <v>23</v>
      </c>
      <c r="R14117" t="s">
        <v>47324</v>
      </c>
      <c r="S14117" t="s">
        <v>48182</v>
      </c>
      <c r="T14117" t="s">
        <v>49268</v>
      </c>
      <c r="U14117" t="s">
        <v>61219</v>
      </c>
      <c r="W14117" t="s">
        <v>64490</v>
      </c>
      <c r="X14117" t="s">
        <v>47325</v>
      </c>
    </row>
    <row r="14118" spans="1:24">
      <c r="A14118">
        <f>HYPERLINK("https://www.philgeps.gov.ph/GEPSNONPILOT/Tender/SplashBidNoticeAbstractUI.aspx?menuIndex=3&amp;refID=7162781&amp;Result=3","7162781")</f>
        <v>0</v>
      </c>
      <c r="B14118" t="s">
        <v>1770</v>
      </c>
      <c r="C14118" t="s">
        <v>17217</v>
      </c>
      <c r="D14118" t="s">
        <v>19054</v>
      </c>
      <c r="E14118" t="s">
        <v>31013</v>
      </c>
      <c r="F14118" t="s">
        <v>32606</v>
      </c>
      <c r="G14118" t="s">
        <v>32613</v>
      </c>
      <c r="H14118" t="s">
        <v>14201</v>
      </c>
      <c r="I14118" t="s">
        <v>4120</v>
      </c>
      <c r="J14118" t="s">
        <v>41477</v>
      </c>
      <c r="K14118" t="s">
        <v>42631</v>
      </c>
      <c r="M14118" t="s">
        <v>44808</v>
      </c>
      <c r="N14118" t="s">
        <v>47304</v>
      </c>
      <c r="O14118" t="s">
        <v>47305</v>
      </c>
      <c r="P14118">
        <v>0</v>
      </c>
      <c r="Q14118">
        <v>2</v>
      </c>
      <c r="R14118" t="s">
        <v>47324</v>
      </c>
      <c r="S14118" t="s">
        <v>48182</v>
      </c>
      <c r="T14118" t="s">
        <v>49002</v>
      </c>
      <c r="U14118" t="s">
        <v>61220</v>
      </c>
      <c r="W14118" t="s">
        <v>44808</v>
      </c>
      <c r="X14118" t="s">
        <v>47325</v>
      </c>
    </row>
    <row r="14119" spans="1:24">
      <c r="A14119">
        <f>HYPERLINK("https://www.philgeps.gov.ph/GEPSNONPILOT/Tender/SplashBidNoticeAbstractUI.aspx?menuIndex=3&amp;refID=7161792&amp;Result=3","7161792")</f>
        <v>0</v>
      </c>
      <c r="B14119" t="s">
        <v>3728</v>
      </c>
      <c r="C14119" t="s">
        <v>17218</v>
      </c>
      <c r="D14119" t="s">
        <v>19006</v>
      </c>
      <c r="E14119" t="s">
        <v>31014</v>
      </c>
      <c r="F14119" t="s">
        <v>32606</v>
      </c>
      <c r="G14119" t="s">
        <v>32613</v>
      </c>
      <c r="H14119" t="s">
        <v>32625</v>
      </c>
      <c r="I14119" t="s">
        <v>32705</v>
      </c>
      <c r="J14119" t="s">
        <v>32981</v>
      </c>
      <c r="K14119" t="s">
        <v>42631</v>
      </c>
      <c r="M14119" t="s">
        <v>47049</v>
      </c>
      <c r="N14119" t="s">
        <v>47304</v>
      </c>
      <c r="O14119" t="s">
        <v>47305</v>
      </c>
      <c r="P14119">
        <v>0</v>
      </c>
      <c r="Q14119">
        <v>1</v>
      </c>
      <c r="R14119" t="s">
        <v>47324</v>
      </c>
      <c r="S14119" t="s">
        <v>48182</v>
      </c>
      <c r="T14119" t="s">
        <v>48980</v>
      </c>
      <c r="U14119" t="s">
        <v>61221</v>
      </c>
      <c r="W14119" t="s">
        <v>47049</v>
      </c>
      <c r="X14119" t="s">
        <v>47325</v>
      </c>
    </row>
    <row r="14120" spans="1:24">
      <c r="A14120">
        <f>HYPERLINK("https://www.philgeps.gov.ph/GEPSNONPILOT/Tender/SplashBidNoticeAbstractUI.aspx?menuIndex=3&amp;refID=7162247&amp;Result=3","7162247")</f>
        <v>0</v>
      </c>
      <c r="B14120" t="s">
        <v>3523</v>
      </c>
      <c r="C14120" t="s">
        <v>17219</v>
      </c>
      <c r="D14120" t="s">
        <v>19000</v>
      </c>
      <c r="E14120" t="s">
        <v>31015</v>
      </c>
      <c r="F14120" t="s">
        <v>32606</v>
      </c>
      <c r="G14120" t="s">
        <v>32613</v>
      </c>
      <c r="H14120" t="s">
        <v>32623</v>
      </c>
      <c r="I14120" t="s">
        <v>17648</v>
      </c>
      <c r="J14120" t="s">
        <v>41478</v>
      </c>
      <c r="K14120" t="s">
        <v>42684</v>
      </c>
      <c r="M14120" t="s">
        <v>46793</v>
      </c>
      <c r="N14120" t="s">
        <v>47304</v>
      </c>
      <c r="O14120" t="s">
        <v>47305</v>
      </c>
      <c r="P14120">
        <v>0</v>
      </c>
      <c r="Q14120">
        <v>0</v>
      </c>
      <c r="R14120" t="s">
        <v>47324</v>
      </c>
      <c r="S14120" t="s">
        <v>48182</v>
      </c>
      <c r="T14120" t="s">
        <v>48997</v>
      </c>
      <c r="U14120" t="s">
        <v>61222</v>
      </c>
      <c r="W14120" t="s">
        <v>46793</v>
      </c>
      <c r="X14120" t="s">
        <v>47325</v>
      </c>
    </row>
    <row r="14121" spans="1:24">
      <c r="A14121">
        <f>HYPERLINK("https://www.philgeps.gov.ph/GEPSNONPILOT/Tender/SplashBidNoticeAbstractUI.aspx?menuIndex=3&amp;refID=7162388&amp;Result=3","7162388")</f>
        <v>0</v>
      </c>
      <c r="B14121" t="s">
        <v>2013</v>
      </c>
      <c r="C14121" t="s">
        <v>17220</v>
      </c>
      <c r="D14121" t="s">
        <v>18993</v>
      </c>
      <c r="E14121" t="s">
        <v>31016</v>
      </c>
      <c r="F14121" t="s">
        <v>32606</v>
      </c>
      <c r="G14121" t="s">
        <v>32613</v>
      </c>
      <c r="H14121" t="s">
        <v>32623</v>
      </c>
      <c r="I14121" t="s">
        <v>17648</v>
      </c>
      <c r="J14121" t="s">
        <v>41479</v>
      </c>
      <c r="K14121" t="s">
        <v>42712</v>
      </c>
      <c r="M14121" t="s">
        <v>45085</v>
      </c>
      <c r="N14121" t="s">
        <v>47304</v>
      </c>
      <c r="O14121" t="s">
        <v>47305</v>
      </c>
      <c r="P14121">
        <v>0</v>
      </c>
      <c r="Q14121">
        <v>13</v>
      </c>
      <c r="R14121" t="s">
        <v>47324</v>
      </c>
      <c r="S14121" t="s">
        <v>48182</v>
      </c>
      <c r="T14121" t="s">
        <v>49268</v>
      </c>
      <c r="U14121" t="s">
        <v>50524</v>
      </c>
      <c r="W14121" t="s">
        <v>64490</v>
      </c>
      <c r="X14121" t="s">
        <v>47325</v>
      </c>
    </row>
    <row r="14122" spans="1:24">
      <c r="A14122">
        <f>HYPERLINK("https://www.philgeps.gov.ph/GEPSNONPILOT/Tender/SplashBidNoticeAbstractUI.aspx?menuIndex=3&amp;refID=7162774&amp;Result=3","7162774")</f>
        <v>0</v>
      </c>
      <c r="B14122" t="s">
        <v>1770</v>
      </c>
      <c r="C14122" t="s">
        <v>17221</v>
      </c>
      <c r="D14122" t="s">
        <v>19054</v>
      </c>
      <c r="E14122" t="s">
        <v>31017</v>
      </c>
      <c r="F14122" t="s">
        <v>32606</v>
      </c>
      <c r="G14122" t="s">
        <v>32613</v>
      </c>
      <c r="H14122" t="s">
        <v>14201</v>
      </c>
      <c r="I14122" t="s">
        <v>4120</v>
      </c>
      <c r="J14122" t="s">
        <v>41480</v>
      </c>
      <c r="K14122" t="s">
        <v>42631</v>
      </c>
      <c r="M14122" t="s">
        <v>44808</v>
      </c>
      <c r="N14122" t="s">
        <v>47304</v>
      </c>
      <c r="O14122" t="s">
        <v>47305</v>
      </c>
      <c r="P14122">
        <v>0</v>
      </c>
      <c r="Q14122">
        <v>1</v>
      </c>
      <c r="R14122" t="s">
        <v>47324</v>
      </c>
      <c r="S14122" t="s">
        <v>48182</v>
      </c>
      <c r="T14122" t="s">
        <v>49002</v>
      </c>
      <c r="U14122" t="s">
        <v>61223</v>
      </c>
      <c r="W14122" t="s">
        <v>44808</v>
      </c>
      <c r="X14122" t="s">
        <v>47325</v>
      </c>
    </row>
    <row r="14123" spans="1:24">
      <c r="A14123">
        <f>HYPERLINK("https://www.philgeps.gov.ph/GEPSNONPILOT/Tender/SplashBidNoticeAbstractUI.aspx?menuIndex=3&amp;refID=7162293&amp;Result=3","7162293")</f>
        <v>0</v>
      </c>
      <c r="B14123" t="s">
        <v>2013</v>
      </c>
      <c r="C14123" t="s">
        <v>17222</v>
      </c>
      <c r="D14123" t="s">
        <v>18993</v>
      </c>
      <c r="E14123" t="s">
        <v>31018</v>
      </c>
      <c r="F14123" t="s">
        <v>32606</v>
      </c>
      <c r="G14123" t="s">
        <v>32613</v>
      </c>
      <c r="H14123" t="s">
        <v>32623</v>
      </c>
      <c r="I14123" t="s">
        <v>17648</v>
      </c>
      <c r="J14123" t="s">
        <v>38217</v>
      </c>
      <c r="K14123" t="s">
        <v>42646</v>
      </c>
      <c r="M14123" t="s">
        <v>45085</v>
      </c>
      <c r="N14123" t="s">
        <v>47304</v>
      </c>
      <c r="O14123" t="s">
        <v>47305</v>
      </c>
      <c r="P14123">
        <v>0</v>
      </c>
      <c r="Q14123">
        <v>27</v>
      </c>
      <c r="R14123" t="s">
        <v>47324</v>
      </c>
      <c r="S14123" t="s">
        <v>48182</v>
      </c>
      <c r="T14123" t="s">
        <v>49268</v>
      </c>
      <c r="U14123" t="s">
        <v>61219</v>
      </c>
      <c r="W14123" t="s">
        <v>64490</v>
      </c>
      <c r="X14123" t="s">
        <v>47325</v>
      </c>
    </row>
    <row r="14124" spans="1:24">
      <c r="A14124">
        <f>HYPERLINK("https://www.philgeps.gov.ph/GEPSNONPILOT/Tender/SplashBidNoticeAbstractUI.aspx?menuIndex=3&amp;refID=7162719&amp;Result=3","7162719")</f>
        <v>0</v>
      </c>
      <c r="B14124" t="s">
        <v>3574</v>
      </c>
      <c r="C14124" t="s">
        <v>17223</v>
      </c>
      <c r="D14124" t="s">
        <v>19037</v>
      </c>
      <c r="E14124" t="s">
        <v>31019</v>
      </c>
      <c r="F14124" t="s">
        <v>32606</v>
      </c>
      <c r="G14124" t="s">
        <v>32614</v>
      </c>
      <c r="H14124" t="s">
        <v>32624</v>
      </c>
      <c r="I14124" t="s">
        <v>32652</v>
      </c>
      <c r="J14124" t="s">
        <v>32981</v>
      </c>
      <c r="K14124" t="s">
        <v>42631</v>
      </c>
      <c r="M14124" t="s">
        <v>46863</v>
      </c>
      <c r="N14124" t="s">
        <v>47304</v>
      </c>
      <c r="O14124" t="s">
        <v>47305</v>
      </c>
      <c r="Q14124">
        <v>11</v>
      </c>
      <c r="R14124" t="s">
        <v>47324</v>
      </c>
      <c r="S14124" t="s">
        <v>48193</v>
      </c>
      <c r="T14124" t="s">
        <v>48980</v>
      </c>
      <c r="U14124" t="s">
        <v>61224</v>
      </c>
      <c r="W14124" t="s">
        <v>46863</v>
      </c>
      <c r="X14124" t="s">
        <v>47325</v>
      </c>
    </row>
    <row r="14125" spans="1:24">
      <c r="A14125">
        <f>HYPERLINK("https://www.philgeps.gov.ph/GEPSNONPILOT/Tender/SplashBidNoticeAbstractUI.aspx?menuIndex=3&amp;refID=7162716&amp;Result=3","7162716")</f>
        <v>0</v>
      </c>
      <c r="B14125" t="s">
        <v>2330</v>
      </c>
      <c r="C14125" t="s">
        <v>17224</v>
      </c>
      <c r="D14125" t="s">
        <v>18993</v>
      </c>
      <c r="E14125" t="s">
        <v>31020</v>
      </c>
      <c r="F14125" t="s">
        <v>32606</v>
      </c>
      <c r="G14125" t="s">
        <v>32613</v>
      </c>
      <c r="H14125" t="s">
        <v>14201</v>
      </c>
      <c r="I14125" t="s">
        <v>32652</v>
      </c>
      <c r="J14125" t="s">
        <v>36532</v>
      </c>
      <c r="K14125" t="s">
        <v>42712</v>
      </c>
      <c r="M14125" t="s">
        <v>45440</v>
      </c>
      <c r="N14125" t="s">
        <v>47304</v>
      </c>
      <c r="O14125" t="s">
        <v>47305</v>
      </c>
      <c r="Q14125">
        <v>6</v>
      </c>
      <c r="R14125" t="s">
        <v>47324</v>
      </c>
      <c r="S14125" t="s">
        <v>47519</v>
      </c>
      <c r="T14125" t="s">
        <v>49023</v>
      </c>
      <c r="U14125" t="s">
        <v>55411</v>
      </c>
      <c r="W14125" t="s">
        <v>45440</v>
      </c>
      <c r="X14125" t="s">
        <v>47325</v>
      </c>
    </row>
    <row r="14126" spans="1:24">
      <c r="A14126">
        <f>HYPERLINK("https://www.philgeps.gov.ph/GEPSNONPILOT/Tender/SplashBidNoticeAbstractUI.aspx?menuIndex=3&amp;refID=7162744&amp;Result=3","7162744")</f>
        <v>0</v>
      </c>
      <c r="B14126" t="s">
        <v>758</v>
      </c>
      <c r="C14126" t="s">
        <v>17225</v>
      </c>
      <c r="D14126" t="s">
        <v>19032</v>
      </c>
      <c r="E14126" t="s">
        <v>19382</v>
      </c>
      <c r="F14126" t="s">
        <v>32606</v>
      </c>
      <c r="G14126" t="s">
        <v>32613</v>
      </c>
      <c r="H14126" t="s">
        <v>32623</v>
      </c>
      <c r="I14126" t="s">
        <v>17648</v>
      </c>
      <c r="J14126" t="s">
        <v>33039</v>
      </c>
      <c r="K14126" t="s">
        <v>42646</v>
      </c>
      <c r="M14126" t="s">
        <v>43682</v>
      </c>
      <c r="N14126" t="s">
        <v>47304</v>
      </c>
      <c r="O14126" t="s">
        <v>47305</v>
      </c>
      <c r="P14126">
        <v>0</v>
      </c>
      <c r="Q14126">
        <v>0</v>
      </c>
      <c r="R14126" t="s">
        <v>47324</v>
      </c>
      <c r="S14126" t="s">
        <v>48182</v>
      </c>
      <c r="T14126" t="s">
        <v>49071</v>
      </c>
      <c r="U14126" t="s">
        <v>61225</v>
      </c>
      <c r="V14126" t="s">
        <v>64167</v>
      </c>
      <c r="W14126" t="s">
        <v>43682</v>
      </c>
      <c r="X14126" t="s">
        <v>47325</v>
      </c>
    </row>
    <row r="14127" spans="1:24">
      <c r="A14127">
        <f>HYPERLINK("https://www.philgeps.gov.ph/GEPSNONPILOT/Tender/SplashBidNoticeAbstractUI.aspx?menuIndex=3&amp;refID=7162715&amp;Result=3","7162715")</f>
        <v>0</v>
      </c>
      <c r="B14127" t="s">
        <v>432</v>
      </c>
      <c r="C14127" t="s">
        <v>17226</v>
      </c>
      <c r="D14127" t="s">
        <v>19032</v>
      </c>
      <c r="E14127" t="s">
        <v>31021</v>
      </c>
      <c r="F14127" t="s">
        <v>32606</v>
      </c>
      <c r="G14127" t="s">
        <v>32613</v>
      </c>
      <c r="H14127" t="s">
        <v>14201</v>
      </c>
      <c r="I14127" t="s">
        <v>7577</v>
      </c>
      <c r="J14127" t="s">
        <v>41481</v>
      </c>
      <c r="K14127" t="s">
        <v>42648</v>
      </c>
      <c r="M14127" t="s">
        <v>43338</v>
      </c>
      <c r="N14127" t="s">
        <v>47304</v>
      </c>
      <c r="O14127" t="s">
        <v>47305</v>
      </c>
      <c r="Q14127">
        <v>7</v>
      </c>
      <c r="R14127" t="s">
        <v>47324</v>
      </c>
      <c r="S14127" t="s">
        <v>48194</v>
      </c>
      <c r="T14127" t="s">
        <v>49268</v>
      </c>
      <c r="U14127" t="s">
        <v>61226</v>
      </c>
      <c r="W14127" t="s">
        <v>43338</v>
      </c>
      <c r="X14127" t="s">
        <v>47325</v>
      </c>
    </row>
    <row r="14128" spans="1:24">
      <c r="A14128">
        <f>HYPERLINK("https://www.philgeps.gov.ph/GEPSNONPILOT/Tender/SplashBidNoticeAbstractUI.aspx?menuIndex=3&amp;refID=7162676&amp;Result=3","7162676")</f>
        <v>0</v>
      </c>
      <c r="B14128" t="s">
        <v>3356</v>
      </c>
      <c r="C14128" t="s">
        <v>17227</v>
      </c>
      <c r="D14128" t="s">
        <v>18993</v>
      </c>
      <c r="E14128" t="s">
        <v>31022</v>
      </c>
      <c r="F14128" t="s">
        <v>32606</v>
      </c>
      <c r="G14128" t="s">
        <v>32613</v>
      </c>
      <c r="H14128" t="s">
        <v>32623</v>
      </c>
      <c r="I14128" t="s">
        <v>17648</v>
      </c>
      <c r="J14128" t="s">
        <v>41482</v>
      </c>
      <c r="K14128" t="s">
        <v>42680</v>
      </c>
      <c r="M14128" t="s">
        <v>47053</v>
      </c>
      <c r="N14128" t="s">
        <v>47304</v>
      </c>
      <c r="O14128" t="s">
        <v>47305</v>
      </c>
      <c r="Q14128">
        <v>25</v>
      </c>
      <c r="R14128" t="s">
        <v>47324</v>
      </c>
      <c r="S14128" t="s">
        <v>48188</v>
      </c>
      <c r="T14128" t="s">
        <v>48998</v>
      </c>
      <c r="U14128" t="s">
        <v>61227</v>
      </c>
      <c r="W14128" t="s">
        <v>47053</v>
      </c>
      <c r="X14128" t="s">
        <v>47325</v>
      </c>
    </row>
    <row r="14129" spans="1:24">
      <c r="A14129">
        <f>HYPERLINK("https://www.philgeps.gov.ph/GEPSNONPILOT/Tender/SplashBidNoticeAbstractUI.aspx?menuIndex=3&amp;refID=7162724&amp;Result=3","7162724")</f>
        <v>0</v>
      </c>
      <c r="B14129" t="s">
        <v>3356</v>
      </c>
      <c r="C14129" t="s">
        <v>17228</v>
      </c>
      <c r="D14129" t="s">
        <v>18993</v>
      </c>
      <c r="E14129" t="s">
        <v>31023</v>
      </c>
      <c r="F14129" t="s">
        <v>32606</v>
      </c>
      <c r="G14129" t="s">
        <v>32613</v>
      </c>
      <c r="H14129" t="s">
        <v>32623</v>
      </c>
      <c r="I14129" t="s">
        <v>17648</v>
      </c>
      <c r="J14129" t="s">
        <v>41483</v>
      </c>
      <c r="K14129" t="s">
        <v>42683</v>
      </c>
      <c r="M14129" t="s">
        <v>47053</v>
      </c>
      <c r="N14129" t="s">
        <v>47304</v>
      </c>
      <c r="O14129" t="s">
        <v>47305</v>
      </c>
      <c r="Q14129">
        <v>33</v>
      </c>
      <c r="R14129" t="s">
        <v>47324</v>
      </c>
      <c r="S14129" t="s">
        <v>48195</v>
      </c>
      <c r="T14129" t="s">
        <v>48998</v>
      </c>
      <c r="U14129" t="s">
        <v>61227</v>
      </c>
      <c r="W14129" t="s">
        <v>47053</v>
      </c>
      <c r="X14129" t="s">
        <v>47325</v>
      </c>
    </row>
    <row r="14130" spans="1:24">
      <c r="A14130">
        <f>HYPERLINK("https://www.philgeps.gov.ph/GEPSNONPILOT/Tender/SplashBidNoticeAbstractUI.aspx?menuIndex=3&amp;refID=7162629&amp;Result=3","7162629")</f>
        <v>0</v>
      </c>
      <c r="B14130" t="s">
        <v>998</v>
      </c>
      <c r="C14130" t="s">
        <v>17229</v>
      </c>
      <c r="D14130" t="s">
        <v>19009</v>
      </c>
      <c r="E14130" t="s">
        <v>31024</v>
      </c>
      <c r="F14130" t="s">
        <v>32606</v>
      </c>
      <c r="G14130" t="s">
        <v>32613</v>
      </c>
      <c r="H14130" t="s">
        <v>32623</v>
      </c>
      <c r="I14130" t="s">
        <v>17648</v>
      </c>
      <c r="J14130" t="s">
        <v>41484</v>
      </c>
      <c r="K14130" t="s">
        <v>42669</v>
      </c>
      <c r="M14130" t="s">
        <v>43946</v>
      </c>
      <c r="N14130" t="s">
        <v>47304</v>
      </c>
      <c r="O14130" t="s">
        <v>47305</v>
      </c>
      <c r="P14130">
        <v>0</v>
      </c>
      <c r="Q14130">
        <v>0</v>
      </c>
      <c r="R14130" t="s">
        <v>47324</v>
      </c>
      <c r="S14130" t="s">
        <v>48182</v>
      </c>
      <c r="T14130" t="s">
        <v>49053</v>
      </c>
      <c r="U14130" t="s">
        <v>61228</v>
      </c>
      <c r="W14130" t="s">
        <v>43946</v>
      </c>
      <c r="X14130" t="s">
        <v>47325</v>
      </c>
    </row>
    <row r="14131" spans="1:24">
      <c r="A14131">
        <f>HYPERLINK("https://www.philgeps.gov.ph/GEPSNONPILOT/Tender/SplashBidNoticeAbstractUI.aspx?menuIndex=3&amp;refID=7162787&amp;Result=3","7162787")</f>
        <v>0</v>
      </c>
      <c r="B14131" t="s">
        <v>3730</v>
      </c>
      <c r="C14131" t="s">
        <v>17230</v>
      </c>
      <c r="D14131" t="s">
        <v>19018</v>
      </c>
      <c r="E14131" t="s">
        <v>31025</v>
      </c>
      <c r="F14131" t="s">
        <v>32606</v>
      </c>
      <c r="G14131" t="s">
        <v>32613</v>
      </c>
      <c r="H14131" t="s">
        <v>14201</v>
      </c>
      <c r="I14131" t="s">
        <v>7064</v>
      </c>
      <c r="J14131" t="s">
        <v>33231</v>
      </c>
      <c r="K14131" t="s">
        <v>42630</v>
      </c>
      <c r="M14131" t="s">
        <v>47054</v>
      </c>
      <c r="N14131" t="s">
        <v>47304</v>
      </c>
      <c r="O14131" t="s">
        <v>47305</v>
      </c>
      <c r="P14131">
        <v>0</v>
      </c>
      <c r="Q14131">
        <v>5</v>
      </c>
      <c r="R14131" t="s">
        <v>47324</v>
      </c>
      <c r="S14131" t="s">
        <v>48182</v>
      </c>
      <c r="T14131" t="s">
        <v>48986</v>
      </c>
      <c r="U14131" t="s">
        <v>61229</v>
      </c>
      <c r="W14131" t="s">
        <v>47054</v>
      </c>
      <c r="X14131" t="s">
        <v>47325</v>
      </c>
    </row>
    <row r="14132" spans="1:24">
      <c r="A14132">
        <f>HYPERLINK("https://www.philgeps.gov.ph/GEPSNONPILOT/Tender/SplashBidNoticeAbstractUI.aspx?menuIndex=3&amp;refID=7162756&amp;Result=3","7162756")</f>
        <v>0</v>
      </c>
      <c r="B14132" t="s">
        <v>295</v>
      </c>
      <c r="C14132" t="s">
        <v>17231</v>
      </c>
      <c r="E14132" t="s">
        <v>31026</v>
      </c>
      <c r="F14132" t="s">
        <v>32606</v>
      </c>
      <c r="G14132" t="s">
        <v>32614</v>
      </c>
      <c r="H14132" t="s">
        <v>32624</v>
      </c>
      <c r="I14132" t="s">
        <v>32641</v>
      </c>
      <c r="J14132" t="s">
        <v>33341</v>
      </c>
      <c r="K14132" t="s">
        <v>42631</v>
      </c>
      <c r="M14132" t="s">
        <v>43197</v>
      </c>
      <c r="N14132" t="s">
        <v>47304</v>
      </c>
      <c r="O14132" t="s">
        <v>47305</v>
      </c>
      <c r="P14132">
        <v>0</v>
      </c>
      <c r="Q14132">
        <v>2</v>
      </c>
      <c r="R14132" t="s">
        <v>47324</v>
      </c>
      <c r="S14132" t="s">
        <v>48182</v>
      </c>
      <c r="T14132" t="s">
        <v>49010</v>
      </c>
      <c r="U14132" t="s">
        <v>61230</v>
      </c>
      <c r="W14132" t="s">
        <v>43197</v>
      </c>
      <c r="X14132" t="s">
        <v>47325</v>
      </c>
    </row>
    <row r="14133" spans="1:24">
      <c r="A14133">
        <f>HYPERLINK("https://www.philgeps.gov.ph/GEPSNONPILOT/Tender/SplashBidNoticeAbstractUI.aspx?menuIndex=3&amp;refID=7163179&amp;Result=3","7163179")</f>
        <v>0</v>
      </c>
      <c r="B14133" t="s">
        <v>3731</v>
      </c>
      <c r="C14133" t="s">
        <v>17232</v>
      </c>
      <c r="D14133" t="s">
        <v>19055</v>
      </c>
      <c r="E14133" t="s">
        <v>31027</v>
      </c>
      <c r="F14133" t="s">
        <v>32606</v>
      </c>
      <c r="G14133" t="s">
        <v>32613</v>
      </c>
      <c r="H14133" t="s">
        <v>32623</v>
      </c>
      <c r="I14133" t="s">
        <v>17648</v>
      </c>
      <c r="J14133" t="s">
        <v>41485</v>
      </c>
      <c r="K14133" t="s">
        <v>42760</v>
      </c>
      <c r="M14133" t="s">
        <v>47055</v>
      </c>
      <c r="N14133" t="s">
        <v>47304</v>
      </c>
      <c r="O14133" t="s">
        <v>47305</v>
      </c>
      <c r="P14133">
        <v>0</v>
      </c>
      <c r="Q14133">
        <v>0</v>
      </c>
      <c r="R14133" t="s">
        <v>47324</v>
      </c>
      <c r="S14133" t="s">
        <v>48182</v>
      </c>
      <c r="T14133" t="s">
        <v>49499</v>
      </c>
      <c r="U14133" t="s">
        <v>61231</v>
      </c>
      <c r="W14133" t="s">
        <v>47055</v>
      </c>
      <c r="X14133" t="s">
        <v>47325</v>
      </c>
    </row>
    <row r="14134" spans="1:24">
      <c r="A14134">
        <f>HYPERLINK("https://www.philgeps.gov.ph/GEPSNONPILOT/Tender/SplashBidNoticeAbstractUI.aspx?menuIndex=3&amp;refID=7162707&amp;Result=3","7162707")</f>
        <v>0</v>
      </c>
      <c r="B14134" t="s">
        <v>3569</v>
      </c>
      <c r="C14134" t="s">
        <v>17233</v>
      </c>
      <c r="D14134" t="s">
        <v>18993</v>
      </c>
      <c r="E14134" t="s">
        <v>31028</v>
      </c>
      <c r="F14134" t="s">
        <v>32606</v>
      </c>
      <c r="G14134" t="s">
        <v>32613</v>
      </c>
      <c r="H14134" t="s">
        <v>14201</v>
      </c>
      <c r="I14134" t="s">
        <v>32638</v>
      </c>
      <c r="J14134" t="s">
        <v>41486</v>
      </c>
      <c r="K14134" t="s">
        <v>42624</v>
      </c>
      <c r="M14134" t="s">
        <v>47056</v>
      </c>
      <c r="N14134" t="s">
        <v>47304</v>
      </c>
      <c r="O14134" t="s">
        <v>47305</v>
      </c>
      <c r="Q14134">
        <v>8</v>
      </c>
      <c r="R14134" t="s">
        <v>47324</v>
      </c>
      <c r="S14134" t="s">
        <v>48196</v>
      </c>
      <c r="T14134" t="s">
        <v>49500</v>
      </c>
      <c r="U14134" t="s">
        <v>61232</v>
      </c>
      <c r="W14134" t="s">
        <v>47056</v>
      </c>
      <c r="X14134" t="s">
        <v>47325</v>
      </c>
    </row>
    <row r="14135" spans="1:24">
      <c r="A14135">
        <f>HYPERLINK("https://www.philgeps.gov.ph/GEPSNONPILOT/Tender/SplashBidNoticeAbstractUI.aspx?menuIndex=3&amp;refID=7163122&amp;Result=3","7163122")</f>
        <v>0</v>
      </c>
      <c r="B14135" t="s">
        <v>3732</v>
      </c>
      <c r="C14135" t="s">
        <v>17234</v>
      </c>
      <c r="D14135" t="s">
        <v>19006</v>
      </c>
      <c r="E14135" t="s">
        <v>19404</v>
      </c>
      <c r="F14135" t="s">
        <v>32606</v>
      </c>
      <c r="G14135" t="s">
        <v>32613</v>
      </c>
      <c r="H14135" t="s">
        <v>32623</v>
      </c>
      <c r="I14135" t="s">
        <v>17648</v>
      </c>
      <c r="J14135" t="s">
        <v>41487</v>
      </c>
      <c r="K14135" t="s">
        <v>42828</v>
      </c>
      <c r="M14135" t="s">
        <v>47057</v>
      </c>
      <c r="N14135" t="s">
        <v>47304</v>
      </c>
      <c r="O14135" t="s">
        <v>47305</v>
      </c>
      <c r="P14135">
        <v>0</v>
      </c>
      <c r="Q14135">
        <v>0</v>
      </c>
      <c r="R14135" t="s">
        <v>47324</v>
      </c>
      <c r="S14135" t="s">
        <v>48182</v>
      </c>
      <c r="T14135" t="s">
        <v>49053</v>
      </c>
      <c r="U14135" t="s">
        <v>61233</v>
      </c>
      <c r="W14135" t="s">
        <v>47057</v>
      </c>
      <c r="X14135" t="s">
        <v>47325</v>
      </c>
    </row>
    <row r="14136" spans="1:24">
      <c r="A14136">
        <f>HYPERLINK("https://www.philgeps.gov.ph/GEPSNONPILOT/Tender/SplashBidNoticeAbstractUI.aspx?menuIndex=3&amp;refID=7162705&amp;Result=3","7162705")</f>
        <v>0</v>
      </c>
      <c r="B14136" t="s">
        <v>3356</v>
      </c>
      <c r="C14136" t="s">
        <v>17235</v>
      </c>
      <c r="D14136" t="s">
        <v>18993</v>
      </c>
      <c r="E14136" t="s">
        <v>31029</v>
      </c>
      <c r="F14136" t="s">
        <v>32606</v>
      </c>
      <c r="G14136" t="s">
        <v>32613</v>
      </c>
      <c r="H14136" t="s">
        <v>32623</v>
      </c>
      <c r="I14136" t="s">
        <v>17648</v>
      </c>
      <c r="J14136" t="s">
        <v>41488</v>
      </c>
      <c r="K14136" t="s">
        <v>42648</v>
      </c>
      <c r="M14136" t="s">
        <v>47053</v>
      </c>
      <c r="N14136" t="s">
        <v>47304</v>
      </c>
      <c r="O14136" t="s">
        <v>47305</v>
      </c>
      <c r="Q14136">
        <v>23</v>
      </c>
      <c r="R14136" t="s">
        <v>47324</v>
      </c>
      <c r="S14136" t="s">
        <v>48197</v>
      </c>
      <c r="T14136" t="s">
        <v>48998</v>
      </c>
      <c r="U14136" t="s">
        <v>61227</v>
      </c>
      <c r="W14136" t="s">
        <v>47053</v>
      </c>
      <c r="X14136" t="s">
        <v>47325</v>
      </c>
    </row>
    <row r="14137" spans="1:24">
      <c r="A14137">
        <f>HYPERLINK("https://www.philgeps.gov.ph/GEPSNONPILOT/Tender/SplashBidNoticeAbstractUI.aspx?menuIndex=3&amp;refID=7163120&amp;Result=3","7163120")</f>
        <v>0</v>
      </c>
      <c r="B14137" t="s">
        <v>3184</v>
      </c>
      <c r="C14137" t="s">
        <v>17236</v>
      </c>
      <c r="D14137" t="s">
        <v>19011</v>
      </c>
      <c r="E14137" t="s">
        <v>27221</v>
      </c>
      <c r="F14137" t="s">
        <v>32607</v>
      </c>
      <c r="G14137" t="s">
        <v>32613</v>
      </c>
      <c r="H14137" t="s">
        <v>14201</v>
      </c>
      <c r="I14137" t="s">
        <v>6298</v>
      </c>
      <c r="J14137" t="s">
        <v>40203</v>
      </c>
      <c r="K14137" t="s">
        <v>42624</v>
      </c>
      <c r="M14137" t="s">
        <v>46408</v>
      </c>
      <c r="N14137" t="s">
        <v>47304</v>
      </c>
      <c r="O14137" t="s">
        <v>47305</v>
      </c>
      <c r="P14137">
        <v>0</v>
      </c>
      <c r="Q14137">
        <v>0</v>
      </c>
      <c r="R14137" t="s">
        <v>47324</v>
      </c>
      <c r="S14137" t="s">
        <v>48182</v>
      </c>
      <c r="T14137" t="s">
        <v>49002</v>
      </c>
      <c r="U14137" t="s">
        <v>61234</v>
      </c>
      <c r="W14137" t="s">
        <v>46408</v>
      </c>
      <c r="X14137" t="s">
        <v>47325</v>
      </c>
    </row>
    <row r="14138" spans="1:24">
      <c r="A14138">
        <f>HYPERLINK("https://www.philgeps.gov.ph/GEPSNONPILOT/Tender/SplashBidNoticeAbstractUI.aspx?menuIndex=3&amp;refID=7163105&amp;Result=3","7163105")</f>
        <v>0</v>
      </c>
      <c r="B14138" t="s">
        <v>636</v>
      </c>
      <c r="C14138" t="s">
        <v>17237</v>
      </c>
      <c r="D14138" t="s">
        <v>19019</v>
      </c>
      <c r="E14138" t="s">
        <v>31030</v>
      </c>
      <c r="F14138" t="s">
        <v>32606</v>
      </c>
      <c r="G14138" t="s">
        <v>32613</v>
      </c>
      <c r="H14138" t="s">
        <v>32623</v>
      </c>
      <c r="I14138" t="s">
        <v>17648</v>
      </c>
      <c r="J14138" t="s">
        <v>34128</v>
      </c>
      <c r="K14138" t="s">
        <v>42646</v>
      </c>
      <c r="M14138" t="s">
        <v>43554</v>
      </c>
      <c r="N14138" t="s">
        <v>47304</v>
      </c>
      <c r="O14138" t="s">
        <v>47305</v>
      </c>
      <c r="P14138">
        <v>0</v>
      </c>
      <c r="Q14138">
        <v>0</v>
      </c>
      <c r="R14138" t="s">
        <v>47324</v>
      </c>
      <c r="S14138" t="s">
        <v>48182</v>
      </c>
      <c r="T14138" t="s">
        <v>49501</v>
      </c>
      <c r="U14138" t="s">
        <v>61235</v>
      </c>
      <c r="V14138" t="s">
        <v>64168</v>
      </c>
      <c r="W14138" t="s">
        <v>43554</v>
      </c>
      <c r="X14138" t="s">
        <v>47325</v>
      </c>
    </row>
    <row r="14139" spans="1:24">
      <c r="A14139">
        <f>HYPERLINK("https://www.philgeps.gov.ph/GEPSNONPILOT/Tender/SplashBidNoticeAbstractUI.aspx?menuIndex=3&amp;refID=7163088&amp;Result=3","7163088")</f>
        <v>0</v>
      </c>
      <c r="B14139" t="s">
        <v>3221</v>
      </c>
      <c r="C14139" t="s">
        <v>17238</v>
      </c>
      <c r="D14139" t="s">
        <v>19065</v>
      </c>
      <c r="E14139" t="s">
        <v>31031</v>
      </c>
      <c r="F14139" t="s">
        <v>32606</v>
      </c>
      <c r="G14139" t="s">
        <v>32613</v>
      </c>
      <c r="H14139" t="s">
        <v>32623</v>
      </c>
      <c r="I14139" t="s">
        <v>17648</v>
      </c>
      <c r="J14139" t="s">
        <v>41489</v>
      </c>
      <c r="K14139" t="s">
        <v>42645</v>
      </c>
      <c r="M14139" t="s">
        <v>46447</v>
      </c>
      <c r="N14139" t="s">
        <v>47304</v>
      </c>
      <c r="O14139" t="s">
        <v>47305</v>
      </c>
      <c r="P14139">
        <v>0</v>
      </c>
      <c r="Q14139">
        <v>0</v>
      </c>
      <c r="R14139" t="s">
        <v>47324</v>
      </c>
      <c r="S14139" t="s">
        <v>48182</v>
      </c>
      <c r="T14139" t="s">
        <v>49012</v>
      </c>
      <c r="U14139" t="s">
        <v>61236</v>
      </c>
      <c r="V14139" t="s">
        <v>63807</v>
      </c>
      <c r="W14139" t="s">
        <v>46447</v>
      </c>
      <c r="X14139" t="s">
        <v>47325</v>
      </c>
    </row>
    <row r="14140" spans="1:24">
      <c r="A14140">
        <f>HYPERLINK("https://www.philgeps.gov.ph/GEPSNONPILOT/Tender/SplashBidNoticeAbstractUI.aspx?menuIndex=3&amp;refID=7163043&amp;Result=3","7163043")</f>
        <v>0</v>
      </c>
      <c r="B14140" t="s">
        <v>636</v>
      </c>
      <c r="C14140" t="s">
        <v>17239</v>
      </c>
      <c r="D14140" t="s">
        <v>19019</v>
      </c>
      <c r="E14140" t="s">
        <v>31032</v>
      </c>
      <c r="F14140" t="s">
        <v>32606</v>
      </c>
      <c r="G14140" t="s">
        <v>32613</v>
      </c>
      <c r="H14140" t="s">
        <v>32623</v>
      </c>
      <c r="I14140" t="s">
        <v>17648</v>
      </c>
      <c r="J14140" t="s">
        <v>32830</v>
      </c>
      <c r="K14140" t="s">
        <v>42645</v>
      </c>
      <c r="M14140" t="s">
        <v>43554</v>
      </c>
      <c r="N14140" t="s">
        <v>47304</v>
      </c>
      <c r="O14140" t="s">
        <v>47305</v>
      </c>
      <c r="P14140">
        <v>0</v>
      </c>
      <c r="Q14140">
        <v>0</v>
      </c>
      <c r="R14140" t="s">
        <v>47324</v>
      </c>
      <c r="S14140" t="s">
        <v>48182</v>
      </c>
      <c r="T14140" t="s">
        <v>48998</v>
      </c>
      <c r="U14140" t="s">
        <v>61235</v>
      </c>
      <c r="V14140" t="s">
        <v>64169</v>
      </c>
      <c r="W14140" t="s">
        <v>43554</v>
      </c>
      <c r="X14140" t="s">
        <v>47325</v>
      </c>
    </row>
    <row r="14141" spans="1:24">
      <c r="A14141">
        <f>HYPERLINK("https://www.philgeps.gov.ph/GEPSNONPILOT/Tender/SplashBidNoticeAbstractUI.aspx?menuIndex=3&amp;refID=7162994&amp;Result=3","7162994")</f>
        <v>0</v>
      </c>
      <c r="B14141" t="s">
        <v>3221</v>
      </c>
      <c r="C14141" t="s">
        <v>17240</v>
      </c>
      <c r="D14141" t="s">
        <v>19065</v>
      </c>
      <c r="E14141" t="s">
        <v>31033</v>
      </c>
      <c r="F14141" t="s">
        <v>32606</v>
      </c>
      <c r="G14141" t="s">
        <v>32613</v>
      </c>
      <c r="H14141" t="s">
        <v>14201</v>
      </c>
      <c r="I14141" t="s">
        <v>6931</v>
      </c>
      <c r="J14141" t="s">
        <v>41490</v>
      </c>
      <c r="K14141" t="s">
        <v>42623</v>
      </c>
      <c r="M14141" t="s">
        <v>46447</v>
      </c>
      <c r="N14141" t="s">
        <v>47304</v>
      </c>
      <c r="O14141" t="s">
        <v>47305</v>
      </c>
      <c r="P14141">
        <v>0</v>
      </c>
      <c r="Q14141">
        <v>1</v>
      </c>
      <c r="R14141" t="s">
        <v>47324</v>
      </c>
      <c r="S14141" t="s">
        <v>48182</v>
      </c>
      <c r="T14141" t="s">
        <v>49012</v>
      </c>
      <c r="U14141" t="s">
        <v>61237</v>
      </c>
      <c r="V14141" t="s">
        <v>63807</v>
      </c>
      <c r="W14141" t="s">
        <v>46447</v>
      </c>
      <c r="X14141" t="s">
        <v>47325</v>
      </c>
    </row>
    <row r="14142" spans="1:24">
      <c r="A14142">
        <f>HYPERLINK("https://www.philgeps.gov.ph/GEPSNONPILOT/Tender/SplashBidNoticeAbstractUI.aspx?menuIndex=3&amp;refID=7162982&amp;Result=3","7162982")</f>
        <v>0</v>
      </c>
      <c r="B14142" t="s">
        <v>636</v>
      </c>
      <c r="C14142" t="s">
        <v>17241</v>
      </c>
      <c r="D14142" t="s">
        <v>19019</v>
      </c>
      <c r="E14142" t="s">
        <v>31034</v>
      </c>
      <c r="F14142" t="s">
        <v>32606</v>
      </c>
      <c r="G14142" t="s">
        <v>32613</v>
      </c>
      <c r="H14142" t="s">
        <v>32623</v>
      </c>
      <c r="I14142" t="s">
        <v>17648</v>
      </c>
      <c r="J14142" t="s">
        <v>32767</v>
      </c>
      <c r="K14142" t="s">
        <v>42646</v>
      </c>
      <c r="M14142" t="s">
        <v>43554</v>
      </c>
      <c r="N14142" t="s">
        <v>47304</v>
      </c>
      <c r="O14142" t="s">
        <v>47305</v>
      </c>
      <c r="P14142">
        <v>0</v>
      </c>
      <c r="Q14142">
        <v>0</v>
      </c>
      <c r="R14142" t="s">
        <v>47324</v>
      </c>
      <c r="S14142" t="s">
        <v>48182</v>
      </c>
      <c r="T14142" t="s">
        <v>49256</v>
      </c>
      <c r="U14142" t="s">
        <v>61235</v>
      </c>
      <c r="V14142" t="s">
        <v>64170</v>
      </c>
      <c r="W14142" t="s">
        <v>43554</v>
      </c>
      <c r="X14142" t="s">
        <v>47325</v>
      </c>
    </row>
    <row r="14143" spans="1:24">
      <c r="A14143">
        <f>HYPERLINK("https://www.philgeps.gov.ph/GEPSNONPILOT/Tender/SplashBidNoticeAbstractUI.aspx?menuIndex=3&amp;refID=7163169&amp;Result=3","7163169")</f>
        <v>0</v>
      </c>
      <c r="B14143" t="s">
        <v>816</v>
      </c>
      <c r="C14143" t="s">
        <v>17242</v>
      </c>
      <c r="D14143" t="s">
        <v>19007</v>
      </c>
      <c r="E14143" t="s">
        <v>31035</v>
      </c>
      <c r="F14143" t="s">
        <v>32606</v>
      </c>
      <c r="G14143" t="s">
        <v>32613</v>
      </c>
      <c r="H14143" t="s">
        <v>32623</v>
      </c>
      <c r="I14143" t="s">
        <v>17648</v>
      </c>
      <c r="J14143" t="s">
        <v>41491</v>
      </c>
      <c r="K14143" t="s">
        <v>42646</v>
      </c>
      <c r="M14143" t="s">
        <v>43747</v>
      </c>
      <c r="N14143" t="s">
        <v>47304</v>
      </c>
      <c r="O14143" t="s">
        <v>47305</v>
      </c>
      <c r="P14143">
        <v>0</v>
      </c>
      <c r="Q14143">
        <v>0</v>
      </c>
      <c r="R14143" t="s">
        <v>47324</v>
      </c>
      <c r="S14143" t="s">
        <v>48182</v>
      </c>
      <c r="T14143" t="s">
        <v>49087</v>
      </c>
      <c r="U14143" t="s">
        <v>61238</v>
      </c>
      <c r="W14143" t="s">
        <v>64451</v>
      </c>
      <c r="X14143" t="s">
        <v>47325</v>
      </c>
    </row>
    <row r="14144" spans="1:24">
      <c r="A14144">
        <f>HYPERLINK("https://www.philgeps.gov.ph/GEPSNONPILOT/Tender/SplashBidNoticeAbstractUI.aspx?menuIndex=3&amp;refID=7162915&amp;Result=3","7162915")</f>
        <v>0</v>
      </c>
      <c r="B14144" t="s">
        <v>2873</v>
      </c>
      <c r="C14144" t="s">
        <v>17243</v>
      </c>
      <c r="D14144" t="s">
        <v>19040</v>
      </c>
      <c r="E14144" t="s">
        <v>31036</v>
      </c>
      <c r="F14144" t="s">
        <v>32606</v>
      </c>
      <c r="G14144" t="s">
        <v>32613</v>
      </c>
      <c r="H14144" t="s">
        <v>32623</v>
      </c>
      <c r="I14144" t="s">
        <v>17648</v>
      </c>
      <c r="J14144" t="s">
        <v>41492</v>
      </c>
      <c r="K14144" t="s">
        <v>42680</v>
      </c>
      <c r="M14144" t="s">
        <v>47047</v>
      </c>
      <c r="N14144" t="s">
        <v>47304</v>
      </c>
      <c r="O14144" t="s">
        <v>47305</v>
      </c>
      <c r="Q14144">
        <v>1</v>
      </c>
      <c r="R14144" t="s">
        <v>47324</v>
      </c>
      <c r="S14144" t="s">
        <v>48198</v>
      </c>
      <c r="T14144" t="s">
        <v>48998</v>
      </c>
      <c r="U14144" t="s">
        <v>61196</v>
      </c>
      <c r="V14144" t="s">
        <v>64171</v>
      </c>
      <c r="W14144" t="s">
        <v>47047</v>
      </c>
      <c r="X14144" t="s">
        <v>47325</v>
      </c>
    </row>
    <row r="14145" spans="1:24">
      <c r="A14145">
        <f>HYPERLINK("https://www.philgeps.gov.ph/GEPSNONPILOT/Tender/SplashBidNoticeAbstractUI.aspx?menuIndex=3&amp;refID=7162909&amp;Result=3","7162909")</f>
        <v>0</v>
      </c>
      <c r="B14145" t="s">
        <v>636</v>
      </c>
      <c r="C14145" t="s">
        <v>17244</v>
      </c>
      <c r="D14145" t="s">
        <v>19019</v>
      </c>
      <c r="E14145" t="s">
        <v>31037</v>
      </c>
      <c r="F14145" t="s">
        <v>32606</v>
      </c>
      <c r="G14145" t="s">
        <v>32613</v>
      </c>
      <c r="H14145" t="s">
        <v>32623</v>
      </c>
      <c r="I14145" t="s">
        <v>17648</v>
      </c>
      <c r="J14145" t="s">
        <v>32923</v>
      </c>
      <c r="K14145" t="s">
        <v>42631</v>
      </c>
      <c r="M14145" t="s">
        <v>43554</v>
      </c>
      <c r="N14145" t="s">
        <v>47304</v>
      </c>
      <c r="O14145" t="s">
        <v>47305</v>
      </c>
      <c r="P14145">
        <v>0</v>
      </c>
      <c r="Q14145">
        <v>0</v>
      </c>
      <c r="R14145" t="s">
        <v>47324</v>
      </c>
      <c r="S14145" t="s">
        <v>48182</v>
      </c>
      <c r="T14145" t="s">
        <v>49053</v>
      </c>
      <c r="U14145" t="s">
        <v>61239</v>
      </c>
      <c r="V14145" t="s">
        <v>64172</v>
      </c>
      <c r="W14145" t="s">
        <v>43554</v>
      </c>
      <c r="X14145" t="s">
        <v>47325</v>
      </c>
    </row>
    <row r="14146" spans="1:24">
      <c r="A14146">
        <f>HYPERLINK("https://www.philgeps.gov.ph/GEPSNONPILOT/Tender/SplashBidNoticeAbstractUI.aspx?menuIndex=3&amp;refID=7162937&amp;Result=3","7162937")</f>
        <v>0</v>
      </c>
      <c r="B14146" t="s">
        <v>2072</v>
      </c>
      <c r="C14146" t="s">
        <v>17245</v>
      </c>
      <c r="D14146" t="s">
        <v>18991</v>
      </c>
      <c r="E14146" t="s">
        <v>31038</v>
      </c>
      <c r="F14146" t="s">
        <v>32606</v>
      </c>
      <c r="G14146" t="s">
        <v>32613</v>
      </c>
      <c r="H14146" t="s">
        <v>14201</v>
      </c>
      <c r="I14146" t="s">
        <v>4120</v>
      </c>
      <c r="J14146" t="s">
        <v>41493</v>
      </c>
      <c r="K14146" t="s">
        <v>42623</v>
      </c>
      <c r="M14146" t="s">
        <v>45153</v>
      </c>
      <c r="N14146" t="s">
        <v>47304</v>
      </c>
      <c r="O14146" t="s">
        <v>47305</v>
      </c>
      <c r="P14146">
        <v>0</v>
      </c>
      <c r="Q14146">
        <v>3</v>
      </c>
      <c r="R14146" t="s">
        <v>47324</v>
      </c>
      <c r="S14146" t="s">
        <v>48182</v>
      </c>
      <c r="T14146" t="s">
        <v>48987</v>
      </c>
      <c r="U14146" t="s">
        <v>61240</v>
      </c>
      <c r="W14146" t="s">
        <v>45153</v>
      </c>
      <c r="X14146" t="s">
        <v>47325</v>
      </c>
    </row>
    <row r="14147" spans="1:24">
      <c r="A14147">
        <f>HYPERLINK("https://www.philgeps.gov.ph/GEPSNONPILOT/Tender/SplashBidNoticeAbstractUI.aspx?menuIndex=3&amp;refID=7162868&amp;Result=3","7162868")</f>
        <v>0</v>
      </c>
      <c r="B14147" t="s">
        <v>3498</v>
      </c>
      <c r="C14147" t="s">
        <v>17246</v>
      </c>
      <c r="D14147" t="s">
        <v>19001</v>
      </c>
      <c r="E14147" t="s">
        <v>31039</v>
      </c>
      <c r="F14147" t="s">
        <v>32606</v>
      </c>
      <c r="G14147" t="s">
        <v>32613</v>
      </c>
      <c r="H14147" t="s">
        <v>14201</v>
      </c>
      <c r="I14147" t="s">
        <v>4678</v>
      </c>
      <c r="J14147" t="s">
        <v>32759</v>
      </c>
      <c r="K14147" t="s">
        <v>42638</v>
      </c>
      <c r="M14147" t="s">
        <v>46766</v>
      </c>
      <c r="N14147" t="s">
        <v>47304</v>
      </c>
      <c r="O14147" t="s">
        <v>47305</v>
      </c>
      <c r="P14147">
        <v>0</v>
      </c>
      <c r="Q14147">
        <v>3</v>
      </c>
      <c r="R14147" t="s">
        <v>47324</v>
      </c>
      <c r="S14147" t="s">
        <v>48182</v>
      </c>
      <c r="T14147" t="s">
        <v>48976</v>
      </c>
      <c r="U14147" t="s">
        <v>61241</v>
      </c>
      <c r="W14147" t="s">
        <v>64541</v>
      </c>
      <c r="X14147" t="s">
        <v>47325</v>
      </c>
    </row>
    <row r="14148" spans="1:24">
      <c r="A14148">
        <f>HYPERLINK("https://www.philgeps.gov.ph/GEPSNONPILOT/Tender/SplashBidNoticeAbstractUI.aspx?menuIndex=3&amp;refID=7162851&amp;Result=3","7162851")</f>
        <v>0</v>
      </c>
      <c r="B14148" t="s">
        <v>132</v>
      </c>
      <c r="C14148" t="s">
        <v>17247</v>
      </c>
      <c r="D14148" t="s">
        <v>18993</v>
      </c>
      <c r="E14148" t="s">
        <v>31040</v>
      </c>
      <c r="F14148" t="s">
        <v>32606</v>
      </c>
      <c r="G14148" t="s">
        <v>32613</v>
      </c>
      <c r="H14148" t="s">
        <v>14201</v>
      </c>
      <c r="I14148" t="s">
        <v>32640</v>
      </c>
      <c r="J14148" t="s">
        <v>41494</v>
      </c>
      <c r="K14148" t="s">
        <v>42624</v>
      </c>
      <c r="M14148" t="s">
        <v>47058</v>
      </c>
      <c r="N14148" t="s">
        <v>47304</v>
      </c>
      <c r="O14148" t="s">
        <v>47305</v>
      </c>
      <c r="Q14148">
        <v>7</v>
      </c>
      <c r="R14148" t="s">
        <v>47324</v>
      </c>
      <c r="S14148" t="s">
        <v>48199</v>
      </c>
      <c r="T14148" t="s">
        <v>48971</v>
      </c>
      <c r="U14148" t="s">
        <v>61242</v>
      </c>
      <c r="W14148" t="s">
        <v>47058</v>
      </c>
      <c r="X14148" t="s">
        <v>47325</v>
      </c>
    </row>
    <row r="14149" spans="1:24">
      <c r="A14149">
        <f>HYPERLINK("https://www.philgeps.gov.ph/GEPSNONPILOT/Tender/SplashBidNoticeAbstractUI.aspx?menuIndex=3&amp;refID=7163148&amp;Result=3","7163148")</f>
        <v>0</v>
      </c>
      <c r="B14149" t="s">
        <v>3733</v>
      </c>
      <c r="C14149" t="s">
        <v>17248</v>
      </c>
      <c r="D14149" t="s">
        <v>19015</v>
      </c>
      <c r="E14149" t="s">
        <v>23530</v>
      </c>
      <c r="F14149" t="s">
        <v>32606</v>
      </c>
      <c r="G14149" t="s">
        <v>32613</v>
      </c>
      <c r="H14149" t="s">
        <v>14201</v>
      </c>
      <c r="I14149" t="s">
        <v>13131</v>
      </c>
      <c r="J14149" t="s">
        <v>41495</v>
      </c>
      <c r="K14149" t="s">
        <v>42631</v>
      </c>
      <c r="M14149" t="s">
        <v>47059</v>
      </c>
      <c r="N14149" t="s">
        <v>47304</v>
      </c>
      <c r="O14149" t="s">
        <v>47305</v>
      </c>
      <c r="Q14149">
        <v>16</v>
      </c>
      <c r="R14149" t="s">
        <v>47324</v>
      </c>
      <c r="S14149" t="s">
        <v>48056</v>
      </c>
      <c r="T14149" t="s">
        <v>49107</v>
      </c>
      <c r="U14149" t="s">
        <v>61243</v>
      </c>
      <c r="W14149" t="s">
        <v>47059</v>
      </c>
      <c r="X14149" t="s">
        <v>47325</v>
      </c>
    </row>
    <row r="14150" spans="1:24">
      <c r="A14150">
        <f>HYPERLINK("https://www.philgeps.gov.ph/GEPSNONPILOT/Tender/SplashBidNoticeAbstractUI.aspx?menuIndex=3&amp;refID=7163465&amp;Result=3","7163465")</f>
        <v>0</v>
      </c>
      <c r="B14150" t="s">
        <v>3734</v>
      </c>
      <c r="C14150" t="s">
        <v>17249</v>
      </c>
      <c r="D14150" t="s">
        <v>19051</v>
      </c>
      <c r="E14150" t="s">
        <v>20667</v>
      </c>
      <c r="F14150" t="s">
        <v>32606</v>
      </c>
      <c r="G14150" t="s">
        <v>32613</v>
      </c>
      <c r="H14150" t="s">
        <v>14201</v>
      </c>
      <c r="I14150" t="s">
        <v>6931</v>
      </c>
      <c r="J14150" t="s">
        <v>41496</v>
      </c>
      <c r="K14150" t="s">
        <v>42631</v>
      </c>
      <c r="M14150" t="s">
        <v>47060</v>
      </c>
      <c r="N14150" t="s">
        <v>47304</v>
      </c>
      <c r="O14150" t="s">
        <v>47305</v>
      </c>
      <c r="P14150">
        <v>0</v>
      </c>
      <c r="Q14150">
        <v>1</v>
      </c>
      <c r="R14150" t="s">
        <v>47324</v>
      </c>
      <c r="S14150" t="s">
        <v>48182</v>
      </c>
      <c r="T14150" t="s">
        <v>48980</v>
      </c>
      <c r="U14150" t="s">
        <v>61244</v>
      </c>
      <c r="W14150" t="s">
        <v>47060</v>
      </c>
      <c r="X14150" t="s">
        <v>47325</v>
      </c>
    </row>
    <row r="14151" spans="1:24">
      <c r="A14151">
        <f>HYPERLINK("https://www.philgeps.gov.ph/GEPSNONPILOT/Tender/SplashBidNoticeAbstractUI.aspx?menuIndex=3&amp;refID=7163277&amp;Result=3","7163277")</f>
        <v>0</v>
      </c>
      <c r="B14151" t="s">
        <v>499</v>
      </c>
      <c r="C14151" t="s">
        <v>17250</v>
      </c>
      <c r="D14151" t="s">
        <v>19010</v>
      </c>
      <c r="E14151" t="s">
        <v>31041</v>
      </c>
      <c r="F14151" t="s">
        <v>32606</v>
      </c>
      <c r="G14151" t="s">
        <v>32613</v>
      </c>
      <c r="H14151" t="s">
        <v>14201</v>
      </c>
      <c r="I14151" t="s">
        <v>6298</v>
      </c>
      <c r="J14151" t="s">
        <v>41497</v>
      </c>
      <c r="K14151" t="s">
        <v>42622</v>
      </c>
      <c r="M14151" t="s">
        <v>43412</v>
      </c>
      <c r="N14151" t="s">
        <v>47304</v>
      </c>
      <c r="O14151" t="s">
        <v>47305</v>
      </c>
      <c r="P14151">
        <v>0</v>
      </c>
      <c r="Q14151">
        <v>1</v>
      </c>
      <c r="R14151" t="s">
        <v>47324</v>
      </c>
      <c r="S14151" t="s">
        <v>48182</v>
      </c>
      <c r="T14151" t="s">
        <v>49020</v>
      </c>
      <c r="U14151" t="s">
        <v>61245</v>
      </c>
      <c r="V14151" t="s">
        <v>62766</v>
      </c>
      <c r="W14151" t="s">
        <v>43412</v>
      </c>
      <c r="X14151" t="s">
        <v>47325</v>
      </c>
    </row>
    <row r="14152" spans="1:24">
      <c r="A14152">
        <f>HYPERLINK("https://www.philgeps.gov.ph/GEPSNONPILOT/Tender/SplashBidNoticeAbstractUI.aspx?menuIndex=3&amp;refID=7163009&amp;Result=3","7163009")</f>
        <v>0</v>
      </c>
      <c r="B14152" t="s">
        <v>3735</v>
      </c>
      <c r="C14152" t="s">
        <v>17251</v>
      </c>
      <c r="D14152" t="s">
        <v>19011</v>
      </c>
      <c r="E14152" t="s">
        <v>31042</v>
      </c>
      <c r="F14152" t="s">
        <v>32606</v>
      </c>
      <c r="G14152" t="s">
        <v>32613</v>
      </c>
      <c r="H14152" t="s">
        <v>32623</v>
      </c>
      <c r="I14152" t="s">
        <v>17648</v>
      </c>
      <c r="J14152" t="s">
        <v>41498</v>
      </c>
      <c r="K14152" t="s">
        <v>42799</v>
      </c>
      <c r="L14152" t="s">
        <v>3735</v>
      </c>
      <c r="M14152" t="s">
        <v>47061</v>
      </c>
      <c r="N14152" t="s">
        <v>47304</v>
      </c>
      <c r="O14152" t="s">
        <v>47305</v>
      </c>
      <c r="Q14152">
        <v>4</v>
      </c>
      <c r="R14152" t="s">
        <v>47324</v>
      </c>
      <c r="S14152" t="s">
        <v>48200</v>
      </c>
      <c r="T14152" t="s">
        <v>48986</v>
      </c>
      <c r="U14152" t="s">
        <v>61246</v>
      </c>
      <c r="W14152" t="s">
        <v>47061</v>
      </c>
      <c r="X14152" t="s">
        <v>47325</v>
      </c>
    </row>
    <row r="14153" spans="1:24">
      <c r="A14153">
        <f>HYPERLINK("https://www.philgeps.gov.ph/GEPSNONPILOT/Tender/SplashBidNoticeAbstractUI.aspx?menuIndex=3&amp;refID=7163455&amp;Result=3","7163455")</f>
        <v>0</v>
      </c>
      <c r="B14153" t="s">
        <v>3735</v>
      </c>
      <c r="C14153" t="s">
        <v>17252</v>
      </c>
      <c r="D14153" t="s">
        <v>19011</v>
      </c>
      <c r="E14153" t="s">
        <v>31043</v>
      </c>
      <c r="F14153" t="s">
        <v>32606</v>
      </c>
      <c r="G14153" t="s">
        <v>32613</v>
      </c>
      <c r="H14153" t="s">
        <v>14201</v>
      </c>
      <c r="I14153" t="s">
        <v>32741</v>
      </c>
      <c r="J14153" t="s">
        <v>41499</v>
      </c>
      <c r="K14153" t="s">
        <v>42636</v>
      </c>
      <c r="L14153" t="s">
        <v>3735</v>
      </c>
      <c r="M14153" t="s">
        <v>47061</v>
      </c>
      <c r="N14153" t="s">
        <v>47304</v>
      </c>
      <c r="O14153" t="s">
        <v>47305</v>
      </c>
      <c r="Q14153">
        <v>1</v>
      </c>
      <c r="R14153" t="s">
        <v>47324</v>
      </c>
      <c r="S14153" t="s">
        <v>48201</v>
      </c>
      <c r="T14153" t="s">
        <v>48986</v>
      </c>
      <c r="U14153" t="s">
        <v>61247</v>
      </c>
      <c r="W14153" t="s">
        <v>47061</v>
      </c>
      <c r="X14153" t="s">
        <v>47325</v>
      </c>
    </row>
    <row r="14154" spans="1:24">
      <c r="A14154">
        <f>HYPERLINK("https://www.philgeps.gov.ph/GEPSNONPILOT/Tender/SplashBidNoticeAbstractUI.aspx?menuIndex=3&amp;refID=7163414&amp;Result=3","7163414")</f>
        <v>0</v>
      </c>
      <c r="B14154" t="s">
        <v>3736</v>
      </c>
      <c r="C14154" t="s">
        <v>17253</v>
      </c>
      <c r="D14154" t="s">
        <v>19023</v>
      </c>
      <c r="E14154" t="s">
        <v>31044</v>
      </c>
      <c r="F14154" t="s">
        <v>32606</v>
      </c>
      <c r="G14154" t="s">
        <v>32619</v>
      </c>
      <c r="H14154" t="s">
        <v>14201</v>
      </c>
      <c r="I14154" t="s">
        <v>32631</v>
      </c>
      <c r="J14154" t="s">
        <v>41500</v>
      </c>
      <c r="K14154" t="s">
        <v>42631</v>
      </c>
      <c r="M14154" t="s">
        <v>47062</v>
      </c>
      <c r="N14154" t="s">
        <v>47304</v>
      </c>
      <c r="O14154" t="s">
        <v>47305</v>
      </c>
      <c r="Q14154">
        <v>9</v>
      </c>
      <c r="R14154" t="s">
        <v>47324</v>
      </c>
      <c r="S14154" t="s">
        <v>47460</v>
      </c>
      <c r="T14154" t="s">
        <v>48980</v>
      </c>
      <c r="U14154" t="s">
        <v>61248</v>
      </c>
      <c r="V14154" t="s">
        <v>64173</v>
      </c>
      <c r="W14154" t="s">
        <v>47062</v>
      </c>
      <c r="X14154" t="s">
        <v>47325</v>
      </c>
    </row>
    <row r="14155" spans="1:24">
      <c r="A14155">
        <f>HYPERLINK("https://www.philgeps.gov.ph/GEPSNONPILOT/Tender/SplashBidNoticeAbstractUI.aspx?menuIndex=3&amp;refID=7163394&amp;Result=3","7163394")</f>
        <v>0</v>
      </c>
      <c r="B14155" t="s">
        <v>1306</v>
      </c>
      <c r="C14155" t="s">
        <v>17254</v>
      </c>
      <c r="D14155" t="s">
        <v>19011</v>
      </c>
      <c r="E14155" t="s">
        <v>31045</v>
      </c>
      <c r="F14155" t="s">
        <v>32606</v>
      </c>
      <c r="G14155" t="s">
        <v>32613</v>
      </c>
      <c r="H14155" t="s">
        <v>14201</v>
      </c>
      <c r="I14155" t="s">
        <v>9013</v>
      </c>
      <c r="J14155" t="s">
        <v>41501</v>
      </c>
      <c r="K14155" t="s">
        <v>42648</v>
      </c>
      <c r="M14155" t="s">
        <v>45099</v>
      </c>
      <c r="N14155" t="s">
        <v>47304</v>
      </c>
      <c r="O14155" t="s">
        <v>47305</v>
      </c>
      <c r="P14155">
        <v>0</v>
      </c>
      <c r="Q14155">
        <v>5</v>
      </c>
      <c r="R14155" t="s">
        <v>47324</v>
      </c>
      <c r="S14155" t="s">
        <v>48182</v>
      </c>
      <c r="T14155" t="s">
        <v>49011</v>
      </c>
      <c r="U14155" t="s">
        <v>61249</v>
      </c>
      <c r="W14155" t="s">
        <v>45099</v>
      </c>
      <c r="X14155" t="s">
        <v>47325</v>
      </c>
    </row>
    <row r="14156" spans="1:24">
      <c r="A14156">
        <f>HYPERLINK("https://www.philgeps.gov.ph/GEPSNONPILOT/Tender/SplashBidNoticeAbstractUI.aspx?menuIndex=3&amp;refID=7163375&amp;Result=3","7163375")</f>
        <v>0</v>
      </c>
      <c r="B14156" t="s">
        <v>1500</v>
      </c>
      <c r="C14156" t="s">
        <v>17255</v>
      </c>
      <c r="D14156" t="s">
        <v>19036</v>
      </c>
      <c r="E14156" t="s">
        <v>31046</v>
      </c>
      <c r="F14156" t="s">
        <v>32606</v>
      </c>
      <c r="G14156" t="s">
        <v>32617</v>
      </c>
      <c r="H14156" t="s">
        <v>14201</v>
      </c>
      <c r="I14156" t="s">
        <v>32640</v>
      </c>
      <c r="J14156" t="s">
        <v>32765</v>
      </c>
      <c r="K14156" t="s">
        <v>42631</v>
      </c>
      <c r="M14156" t="s">
        <v>46586</v>
      </c>
      <c r="N14156" t="s">
        <v>47304</v>
      </c>
      <c r="O14156" t="s">
        <v>47305</v>
      </c>
      <c r="Q14156">
        <v>3</v>
      </c>
      <c r="R14156" t="s">
        <v>47324</v>
      </c>
      <c r="S14156" t="s">
        <v>48202</v>
      </c>
      <c r="T14156" t="s">
        <v>49071</v>
      </c>
      <c r="U14156" t="s">
        <v>61250</v>
      </c>
      <c r="W14156" t="s">
        <v>46586</v>
      </c>
      <c r="X14156" t="s">
        <v>47325</v>
      </c>
    </row>
    <row r="14157" spans="1:24">
      <c r="A14157">
        <f>HYPERLINK("https://www.philgeps.gov.ph/GEPSNONPILOT/Tender/SplashBidNoticeAbstractUI.aspx?menuIndex=3&amp;refID=7162881&amp;Result=3","7162881")</f>
        <v>0</v>
      </c>
      <c r="B14157" t="s">
        <v>2572</v>
      </c>
      <c r="C14157" t="s">
        <v>17256</v>
      </c>
      <c r="D14157" t="s">
        <v>19016</v>
      </c>
      <c r="E14157" t="s">
        <v>21383</v>
      </c>
      <c r="F14157" t="s">
        <v>32606</v>
      </c>
      <c r="G14157" t="s">
        <v>32613</v>
      </c>
      <c r="H14157" t="s">
        <v>14201</v>
      </c>
      <c r="I14157" t="s">
        <v>4678</v>
      </c>
      <c r="J14157" t="s">
        <v>32920</v>
      </c>
      <c r="K14157" t="s">
        <v>42629</v>
      </c>
      <c r="M14157" t="s">
        <v>45712</v>
      </c>
      <c r="N14157" t="s">
        <v>47304</v>
      </c>
      <c r="O14157" t="s">
        <v>47305</v>
      </c>
      <c r="P14157">
        <v>0</v>
      </c>
      <c r="Q14157">
        <v>4</v>
      </c>
      <c r="R14157" t="s">
        <v>47324</v>
      </c>
      <c r="S14157" t="s">
        <v>48182</v>
      </c>
      <c r="T14157" t="s">
        <v>49268</v>
      </c>
      <c r="U14157" t="s">
        <v>61251</v>
      </c>
      <c r="V14157" t="s">
        <v>64174</v>
      </c>
      <c r="W14157" t="s">
        <v>45712</v>
      </c>
      <c r="X14157" t="s">
        <v>47325</v>
      </c>
    </row>
    <row r="14158" spans="1:24">
      <c r="A14158">
        <f>HYPERLINK("https://www.philgeps.gov.ph/GEPSNONPILOT/Tender/SplashBidNoticeAbstractUI.aspx?menuIndex=3&amp;refID=7163343&amp;Result=3","7163343")</f>
        <v>0</v>
      </c>
      <c r="B14158" t="s">
        <v>2238</v>
      </c>
      <c r="C14158" t="s">
        <v>17257</v>
      </c>
      <c r="D14158" t="s">
        <v>18992</v>
      </c>
      <c r="E14158" t="s">
        <v>31047</v>
      </c>
      <c r="F14158" t="s">
        <v>32606</v>
      </c>
      <c r="G14158" t="s">
        <v>32613</v>
      </c>
      <c r="H14158" t="s">
        <v>32623</v>
      </c>
      <c r="I14158" t="s">
        <v>17648</v>
      </c>
      <c r="J14158" t="s">
        <v>41502</v>
      </c>
      <c r="K14158" t="s">
        <v>42676</v>
      </c>
      <c r="M14158" t="s">
        <v>45342</v>
      </c>
      <c r="N14158" t="s">
        <v>47304</v>
      </c>
      <c r="O14158" t="s">
        <v>47305</v>
      </c>
      <c r="Q14158">
        <v>2</v>
      </c>
      <c r="R14158" t="s">
        <v>47324</v>
      </c>
      <c r="S14158" t="s">
        <v>48203</v>
      </c>
      <c r="T14158" t="s">
        <v>49020</v>
      </c>
      <c r="U14158" t="s">
        <v>55179</v>
      </c>
      <c r="W14158" t="s">
        <v>45342</v>
      </c>
      <c r="X14158" t="s">
        <v>47325</v>
      </c>
    </row>
    <row r="14159" spans="1:24">
      <c r="A14159">
        <f>HYPERLINK("https://www.philgeps.gov.ph/GEPSNONPILOT/Tender/SplashBidNoticeAbstractUI.aspx?menuIndex=3&amp;refID=7162497&amp;Result=3","7162497")</f>
        <v>0</v>
      </c>
      <c r="B14159" t="s">
        <v>3737</v>
      </c>
      <c r="C14159" t="s">
        <v>17258</v>
      </c>
      <c r="D14159" t="s">
        <v>19058</v>
      </c>
      <c r="E14159" t="s">
        <v>31048</v>
      </c>
      <c r="F14159" t="s">
        <v>32606</v>
      </c>
      <c r="G14159" t="s">
        <v>32618</v>
      </c>
      <c r="H14159" t="s">
        <v>32623</v>
      </c>
      <c r="I14159" t="s">
        <v>17648</v>
      </c>
      <c r="J14159" t="s">
        <v>41503</v>
      </c>
      <c r="K14159" t="s">
        <v>42645</v>
      </c>
      <c r="M14159" t="s">
        <v>47063</v>
      </c>
      <c r="N14159" t="s">
        <v>47304</v>
      </c>
      <c r="O14159" t="s">
        <v>47305</v>
      </c>
      <c r="P14159">
        <v>0</v>
      </c>
      <c r="Q14159">
        <v>28</v>
      </c>
      <c r="R14159" t="s">
        <v>47324</v>
      </c>
      <c r="S14159" t="s">
        <v>48182</v>
      </c>
      <c r="T14159" t="s">
        <v>48980</v>
      </c>
      <c r="U14159" t="s">
        <v>61252</v>
      </c>
      <c r="V14159" t="s">
        <v>64175</v>
      </c>
      <c r="W14159" t="s">
        <v>47063</v>
      </c>
      <c r="X14159" t="s">
        <v>47325</v>
      </c>
    </row>
    <row r="14160" spans="1:24">
      <c r="A14160">
        <f>HYPERLINK("https://www.philgeps.gov.ph/GEPSNONPILOT/Tender/SplashBidNoticeAbstractUI.aspx?menuIndex=3&amp;refID=7163464&amp;Result=3","7163464")</f>
        <v>0</v>
      </c>
      <c r="B14160" t="s">
        <v>1500</v>
      </c>
      <c r="C14160" t="s">
        <v>17259</v>
      </c>
      <c r="D14160" t="s">
        <v>19036</v>
      </c>
      <c r="E14160" t="s">
        <v>31049</v>
      </c>
      <c r="F14160" t="s">
        <v>32606</v>
      </c>
      <c r="G14160" t="s">
        <v>32617</v>
      </c>
      <c r="H14160" t="s">
        <v>14201</v>
      </c>
      <c r="I14160" t="s">
        <v>6298</v>
      </c>
      <c r="J14160" t="s">
        <v>33047</v>
      </c>
      <c r="K14160" t="s">
        <v>42631</v>
      </c>
      <c r="M14160" t="s">
        <v>46586</v>
      </c>
      <c r="N14160" t="s">
        <v>47304</v>
      </c>
      <c r="O14160" t="s">
        <v>47305</v>
      </c>
      <c r="Q14160">
        <v>2</v>
      </c>
      <c r="R14160" t="s">
        <v>47324</v>
      </c>
      <c r="S14160" t="s">
        <v>48204</v>
      </c>
      <c r="T14160" t="s">
        <v>49071</v>
      </c>
      <c r="U14160" t="s">
        <v>61253</v>
      </c>
      <c r="W14160" t="s">
        <v>46586</v>
      </c>
      <c r="X14160" t="s">
        <v>47325</v>
      </c>
    </row>
    <row r="14161" spans="1:24">
      <c r="A14161">
        <f>HYPERLINK("https://www.philgeps.gov.ph/GEPSNONPILOT/Tender/SplashBidNoticeAbstractUI.aspx?menuIndex=3&amp;refID=7163297&amp;Result=3","7163297")</f>
        <v>0</v>
      </c>
      <c r="B14161" t="s">
        <v>3075</v>
      </c>
      <c r="C14161" t="s">
        <v>17260</v>
      </c>
      <c r="D14161" t="s">
        <v>19033</v>
      </c>
      <c r="E14161" t="s">
        <v>31050</v>
      </c>
      <c r="F14161" t="s">
        <v>32606</v>
      </c>
      <c r="G14161" t="s">
        <v>32613</v>
      </c>
      <c r="H14161" t="s">
        <v>14201</v>
      </c>
      <c r="I14161" t="s">
        <v>32658</v>
      </c>
      <c r="J14161" t="s">
        <v>41504</v>
      </c>
      <c r="K14161" t="s">
        <v>42622</v>
      </c>
      <c r="M14161" t="s">
        <v>46274</v>
      </c>
      <c r="N14161" t="s">
        <v>47304</v>
      </c>
      <c r="O14161" t="s">
        <v>47305</v>
      </c>
      <c r="Q14161">
        <v>8</v>
      </c>
      <c r="R14161" t="s">
        <v>47324</v>
      </c>
      <c r="S14161" t="s">
        <v>48205</v>
      </c>
      <c r="T14161" t="s">
        <v>48987</v>
      </c>
      <c r="U14161" t="s">
        <v>61254</v>
      </c>
      <c r="W14161" t="s">
        <v>64526</v>
      </c>
      <c r="X14161" t="s">
        <v>47325</v>
      </c>
    </row>
    <row r="14162" spans="1:24">
      <c r="A14162">
        <f>HYPERLINK("https://www.philgeps.gov.ph/GEPSNONPILOT/Tender/SplashBidNoticeAbstractUI.aspx?menuIndex=3&amp;refID=7163290&amp;Result=3","7163290")</f>
        <v>0</v>
      </c>
      <c r="B14162" t="s">
        <v>1306</v>
      </c>
      <c r="C14162" t="s">
        <v>17261</v>
      </c>
      <c r="D14162" t="s">
        <v>19011</v>
      </c>
      <c r="E14162" t="s">
        <v>31051</v>
      </c>
      <c r="F14162" t="s">
        <v>32606</v>
      </c>
      <c r="G14162" t="s">
        <v>32613</v>
      </c>
      <c r="H14162" t="s">
        <v>14201</v>
      </c>
      <c r="I14162" t="s">
        <v>9013</v>
      </c>
      <c r="J14162" t="s">
        <v>41505</v>
      </c>
      <c r="K14162" t="s">
        <v>42648</v>
      </c>
      <c r="M14162" t="s">
        <v>45099</v>
      </c>
      <c r="N14162" t="s">
        <v>47304</v>
      </c>
      <c r="O14162" t="s">
        <v>47305</v>
      </c>
      <c r="P14162">
        <v>0</v>
      </c>
      <c r="Q14162">
        <v>6</v>
      </c>
      <c r="R14162" t="s">
        <v>47324</v>
      </c>
      <c r="S14162" t="s">
        <v>48182</v>
      </c>
      <c r="T14162" t="s">
        <v>49011</v>
      </c>
      <c r="U14162" t="s">
        <v>61249</v>
      </c>
      <c r="W14162" t="s">
        <v>45099</v>
      </c>
      <c r="X14162" t="s">
        <v>47325</v>
      </c>
    </row>
    <row r="14163" spans="1:24">
      <c r="A14163">
        <f>HYPERLINK("https://www.philgeps.gov.ph/GEPSNONPILOT/Tender/SplashBidNoticeAbstractUI.aspx?menuIndex=3&amp;refID=7163257&amp;Result=3","7163257")</f>
        <v>0</v>
      </c>
      <c r="B14163" t="s">
        <v>3738</v>
      </c>
      <c r="C14163" t="s">
        <v>17262</v>
      </c>
      <c r="D14163" t="s">
        <v>19023</v>
      </c>
      <c r="E14163" t="s">
        <v>31052</v>
      </c>
      <c r="F14163" t="s">
        <v>32606</v>
      </c>
      <c r="G14163" t="s">
        <v>32613</v>
      </c>
      <c r="H14163" t="s">
        <v>14201</v>
      </c>
      <c r="I14163" t="s">
        <v>32633</v>
      </c>
      <c r="J14163" t="s">
        <v>41506</v>
      </c>
      <c r="K14163" t="s">
        <v>42631</v>
      </c>
      <c r="M14163" t="s">
        <v>47064</v>
      </c>
      <c r="N14163" t="s">
        <v>47304</v>
      </c>
      <c r="O14163" t="s">
        <v>47305</v>
      </c>
      <c r="Q14163">
        <v>25</v>
      </c>
      <c r="R14163" t="s">
        <v>47324</v>
      </c>
      <c r="S14163" t="s">
        <v>48206</v>
      </c>
      <c r="T14163" t="s">
        <v>48986</v>
      </c>
      <c r="U14163" t="s">
        <v>61255</v>
      </c>
      <c r="V14163" t="s">
        <v>64176</v>
      </c>
      <c r="W14163" t="s">
        <v>47064</v>
      </c>
      <c r="X14163" t="s">
        <v>47325</v>
      </c>
    </row>
    <row r="14164" spans="1:24">
      <c r="A14164">
        <f>HYPERLINK("https://www.philgeps.gov.ph/GEPSNONPILOT/Tender/SplashBidNoticeAbstractUI.aspx?menuIndex=3&amp;refID=7163684&amp;Result=3","7163684")</f>
        <v>0</v>
      </c>
      <c r="B14164" t="s">
        <v>1306</v>
      </c>
      <c r="C14164" t="s">
        <v>17263</v>
      </c>
      <c r="D14164" t="s">
        <v>19011</v>
      </c>
      <c r="E14164" t="s">
        <v>31053</v>
      </c>
      <c r="F14164" t="s">
        <v>32606</v>
      </c>
      <c r="G14164" t="s">
        <v>32613</v>
      </c>
      <c r="H14164" t="s">
        <v>14201</v>
      </c>
      <c r="I14164" t="s">
        <v>32686</v>
      </c>
      <c r="J14164" t="s">
        <v>41507</v>
      </c>
      <c r="K14164" t="s">
        <v>42648</v>
      </c>
      <c r="M14164" t="s">
        <v>45099</v>
      </c>
      <c r="N14164" t="s">
        <v>47304</v>
      </c>
      <c r="O14164" t="s">
        <v>47305</v>
      </c>
      <c r="P14164">
        <v>0</v>
      </c>
      <c r="Q14164">
        <v>5</v>
      </c>
      <c r="R14164" t="s">
        <v>47324</v>
      </c>
      <c r="S14164" t="s">
        <v>48182</v>
      </c>
      <c r="T14164" t="s">
        <v>49011</v>
      </c>
      <c r="U14164" t="s">
        <v>61249</v>
      </c>
      <c r="W14164" t="s">
        <v>45099</v>
      </c>
      <c r="X14164" t="s">
        <v>47325</v>
      </c>
    </row>
    <row r="14165" spans="1:24">
      <c r="A14165">
        <f>HYPERLINK("https://www.philgeps.gov.ph/GEPSNONPILOT/Tender/SplashBidNoticeAbstractUI.aspx?menuIndex=3&amp;refID=7162739&amp;Result=3","7162739")</f>
        <v>0</v>
      </c>
      <c r="B14165" t="s">
        <v>3560</v>
      </c>
      <c r="C14165" t="s">
        <v>17264</v>
      </c>
      <c r="D14165" t="s">
        <v>18999</v>
      </c>
      <c r="E14165" t="s">
        <v>31054</v>
      </c>
      <c r="F14165" t="s">
        <v>32606</v>
      </c>
      <c r="G14165" t="s">
        <v>32613</v>
      </c>
      <c r="H14165" t="s">
        <v>32623</v>
      </c>
      <c r="I14165" t="s">
        <v>17648</v>
      </c>
      <c r="J14165" t="s">
        <v>32772</v>
      </c>
      <c r="K14165" t="s">
        <v>42646</v>
      </c>
      <c r="M14165" t="s">
        <v>46844</v>
      </c>
      <c r="N14165" t="s">
        <v>47304</v>
      </c>
      <c r="O14165" t="s">
        <v>47305</v>
      </c>
      <c r="Q14165">
        <v>18</v>
      </c>
      <c r="R14165" t="s">
        <v>47324</v>
      </c>
      <c r="S14165" t="s">
        <v>47561</v>
      </c>
      <c r="T14165" t="s">
        <v>48986</v>
      </c>
      <c r="U14165" t="s">
        <v>61256</v>
      </c>
      <c r="V14165" t="s">
        <v>64177</v>
      </c>
      <c r="W14165" t="s">
        <v>46844</v>
      </c>
      <c r="X14165" t="s">
        <v>47325</v>
      </c>
    </row>
    <row r="14166" spans="1:24">
      <c r="A14166">
        <f>HYPERLINK("https://www.philgeps.gov.ph/GEPSNONPILOT/Tender/SplashBidNoticeAbstractUI.aspx?menuIndex=3&amp;refID=7161850&amp;Result=3","7161850")</f>
        <v>0</v>
      </c>
      <c r="B14166" t="s">
        <v>3739</v>
      </c>
      <c r="C14166" t="s">
        <v>17265</v>
      </c>
      <c r="E14166" t="s">
        <v>31055</v>
      </c>
      <c r="F14166" t="s">
        <v>32606</v>
      </c>
      <c r="G14166" t="s">
        <v>32613</v>
      </c>
      <c r="H14166" t="s">
        <v>14201</v>
      </c>
      <c r="I14166" t="s">
        <v>7064</v>
      </c>
      <c r="J14166" t="s">
        <v>32772</v>
      </c>
      <c r="K14166" t="s">
        <v>42623</v>
      </c>
      <c r="M14166" t="s">
        <v>47065</v>
      </c>
      <c r="N14166" t="s">
        <v>47304</v>
      </c>
      <c r="O14166" t="s">
        <v>47305</v>
      </c>
      <c r="P14166">
        <v>0</v>
      </c>
      <c r="Q14166">
        <v>3</v>
      </c>
      <c r="R14166" t="s">
        <v>47324</v>
      </c>
      <c r="S14166" t="s">
        <v>48182</v>
      </c>
      <c r="T14166" t="s">
        <v>49068</v>
      </c>
      <c r="U14166" t="s">
        <v>61257</v>
      </c>
      <c r="W14166" t="s">
        <v>47065</v>
      </c>
      <c r="X14166" t="s">
        <v>47325</v>
      </c>
    </row>
    <row r="14167" spans="1:24">
      <c r="A14167">
        <f>HYPERLINK("https://www.philgeps.gov.ph/GEPSNONPILOT/Tender/SplashBidNoticeAbstractUI.aspx?menuIndex=3&amp;refID=7163643&amp;Result=3","7163643")</f>
        <v>0</v>
      </c>
      <c r="B14167" t="s">
        <v>1214</v>
      </c>
      <c r="C14167" t="s">
        <v>17266</v>
      </c>
      <c r="D14167" t="s">
        <v>18989</v>
      </c>
      <c r="E14167" t="s">
        <v>31056</v>
      </c>
      <c r="F14167" t="s">
        <v>32606</v>
      </c>
      <c r="G14167" t="s">
        <v>32613</v>
      </c>
      <c r="H14167" t="s">
        <v>14201</v>
      </c>
      <c r="I14167" t="s">
        <v>4114</v>
      </c>
      <c r="J14167" t="s">
        <v>41508</v>
      </c>
      <c r="K14167" t="s">
        <v>42638</v>
      </c>
      <c r="M14167" t="s">
        <v>44179</v>
      </c>
      <c r="N14167" t="s">
        <v>47304</v>
      </c>
      <c r="O14167" t="s">
        <v>47305</v>
      </c>
      <c r="P14167">
        <v>0</v>
      </c>
      <c r="Q14167">
        <v>1</v>
      </c>
      <c r="R14167" t="s">
        <v>47324</v>
      </c>
      <c r="S14167" t="s">
        <v>48182</v>
      </c>
      <c r="T14167" t="s">
        <v>49004</v>
      </c>
      <c r="U14167" t="s">
        <v>61258</v>
      </c>
      <c r="W14167" t="s">
        <v>44179</v>
      </c>
      <c r="X14167" t="s">
        <v>47325</v>
      </c>
    </row>
    <row r="14168" spans="1:24">
      <c r="A14168">
        <f>HYPERLINK("https://www.philgeps.gov.ph/GEPSNONPILOT/Tender/SplashBidNoticeAbstractUI.aspx?menuIndex=3&amp;refID=7163490&amp;Result=3","7163490")</f>
        <v>0</v>
      </c>
      <c r="B14168" t="s">
        <v>3736</v>
      </c>
      <c r="C14168" t="s">
        <v>17267</v>
      </c>
      <c r="D14168" t="s">
        <v>19023</v>
      </c>
      <c r="E14168" t="s">
        <v>31057</v>
      </c>
      <c r="F14168" t="s">
        <v>32606</v>
      </c>
      <c r="G14168" t="s">
        <v>32619</v>
      </c>
      <c r="H14168" t="s">
        <v>14201</v>
      </c>
      <c r="I14168" t="s">
        <v>6298</v>
      </c>
      <c r="J14168" t="s">
        <v>41509</v>
      </c>
      <c r="K14168" t="s">
        <v>42631</v>
      </c>
      <c r="M14168" t="s">
        <v>47062</v>
      </c>
      <c r="N14168" t="s">
        <v>47304</v>
      </c>
      <c r="O14168" t="s">
        <v>47305</v>
      </c>
      <c r="Q14168">
        <v>6</v>
      </c>
      <c r="R14168" t="s">
        <v>47324</v>
      </c>
      <c r="S14168" t="s">
        <v>48207</v>
      </c>
      <c r="T14168" t="s">
        <v>48980</v>
      </c>
      <c r="U14168" t="s">
        <v>61259</v>
      </c>
      <c r="V14168" t="s">
        <v>64178</v>
      </c>
      <c r="W14168" t="s">
        <v>47062</v>
      </c>
      <c r="X14168" t="s">
        <v>47325</v>
      </c>
    </row>
    <row r="14169" spans="1:24">
      <c r="A14169">
        <f>HYPERLINK("https://www.philgeps.gov.ph/GEPSNONPILOT/Tender/SplashBidNoticeAbstractUI.aspx?menuIndex=3&amp;refID=7163380&amp;Result=3","7163380")</f>
        <v>0</v>
      </c>
      <c r="B14169" t="s">
        <v>431</v>
      </c>
      <c r="C14169" t="s">
        <v>17268</v>
      </c>
      <c r="D14169" t="s">
        <v>19001</v>
      </c>
      <c r="E14169" t="s">
        <v>30718</v>
      </c>
      <c r="F14169" t="s">
        <v>32606</v>
      </c>
      <c r="G14169" t="s">
        <v>32613</v>
      </c>
      <c r="H14169" t="s">
        <v>32623</v>
      </c>
      <c r="I14169" t="s">
        <v>17648</v>
      </c>
      <c r="J14169" t="s">
        <v>41510</v>
      </c>
      <c r="K14169" t="s">
        <v>42646</v>
      </c>
      <c r="M14169" t="s">
        <v>43337</v>
      </c>
      <c r="N14169" t="s">
        <v>47304</v>
      </c>
      <c r="O14169" t="s">
        <v>47305</v>
      </c>
      <c r="P14169">
        <v>0</v>
      </c>
      <c r="Q14169">
        <v>0</v>
      </c>
      <c r="R14169" t="s">
        <v>47324</v>
      </c>
      <c r="S14169" t="s">
        <v>48182</v>
      </c>
      <c r="T14169" t="s">
        <v>48980</v>
      </c>
      <c r="U14169" t="s">
        <v>61260</v>
      </c>
      <c r="W14169" t="s">
        <v>43337</v>
      </c>
      <c r="X14169" t="s">
        <v>47325</v>
      </c>
    </row>
    <row r="14170" spans="1:24">
      <c r="A14170">
        <f>HYPERLINK("https://www.philgeps.gov.ph/GEPSNONPILOT/Tender/SplashBidNoticeAbstractUI.aspx?menuIndex=3&amp;refID=7163636&amp;Result=3","7163636")</f>
        <v>0</v>
      </c>
      <c r="B14170" t="s">
        <v>1282</v>
      </c>
      <c r="C14170" t="s">
        <v>17269</v>
      </c>
      <c r="D14170" t="s">
        <v>19037</v>
      </c>
      <c r="E14170" t="s">
        <v>31058</v>
      </c>
      <c r="F14170" t="s">
        <v>32606</v>
      </c>
      <c r="G14170" t="s">
        <v>32613</v>
      </c>
      <c r="H14170" t="s">
        <v>32623</v>
      </c>
      <c r="I14170" t="s">
        <v>17648</v>
      </c>
      <c r="J14170" t="s">
        <v>41511</v>
      </c>
      <c r="K14170" t="s">
        <v>42639</v>
      </c>
      <c r="M14170" t="s">
        <v>47066</v>
      </c>
      <c r="N14170" t="s">
        <v>47304</v>
      </c>
      <c r="O14170" t="s">
        <v>47305</v>
      </c>
      <c r="P14170">
        <v>0</v>
      </c>
      <c r="Q14170">
        <v>4</v>
      </c>
      <c r="R14170" t="s">
        <v>47324</v>
      </c>
      <c r="S14170" t="s">
        <v>48182</v>
      </c>
      <c r="T14170" t="s">
        <v>49311</v>
      </c>
      <c r="U14170" t="s">
        <v>61261</v>
      </c>
      <c r="W14170" t="s">
        <v>64470</v>
      </c>
      <c r="X14170" t="s">
        <v>47325</v>
      </c>
    </row>
    <row r="14171" spans="1:24">
      <c r="A14171">
        <f>HYPERLINK("https://www.philgeps.gov.ph/GEPSNONPILOT/Tender/SplashBidNoticeAbstractUI.aspx?menuIndex=3&amp;refID=7163360&amp;Result=3","7163360")</f>
        <v>0</v>
      </c>
      <c r="B14171" t="s">
        <v>1500</v>
      </c>
      <c r="C14171" t="s">
        <v>17270</v>
      </c>
      <c r="D14171" t="s">
        <v>19036</v>
      </c>
      <c r="E14171" t="s">
        <v>31059</v>
      </c>
      <c r="F14171" t="s">
        <v>32606</v>
      </c>
      <c r="G14171" t="s">
        <v>32617</v>
      </c>
      <c r="H14171" t="s">
        <v>14201</v>
      </c>
      <c r="I14171" t="s">
        <v>32691</v>
      </c>
      <c r="J14171" t="s">
        <v>41512</v>
      </c>
      <c r="K14171" t="s">
        <v>42631</v>
      </c>
      <c r="M14171" t="s">
        <v>46586</v>
      </c>
      <c r="N14171" t="s">
        <v>47304</v>
      </c>
      <c r="O14171" t="s">
        <v>47305</v>
      </c>
      <c r="Q14171">
        <v>2</v>
      </c>
      <c r="R14171" t="s">
        <v>47324</v>
      </c>
      <c r="S14171" t="s">
        <v>48202</v>
      </c>
      <c r="T14171" t="s">
        <v>49071</v>
      </c>
      <c r="U14171" t="s">
        <v>61262</v>
      </c>
      <c r="W14171" t="s">
        <v>46586</v>
      </c>
      <c r="X14171" t="s">
        <v>47325</v>
      </c>
    </row>
    <row r="14172" spans="1:24">
      <c r="A14172">
        <f>HYPERLINK("https://www.philgeps.gov.ph/GEPSNONPILOT/Tender/SplashBidNoticeAbstractUI.aspx?menuIndex=3&amp;refID=7163631&amp;Result=3","7163631")</f>
        <v>0</v>
      </c>
      <c r="B14172" t="s">
        <v>1214</v>
      </c>
      <c r="C14172" t="s">
        <v>4718</v>
      </c>
      <c r="D14172" t="s">
        <v>18989</v>
      </c>
      <c r="E14172" t="s">
        <v>31060</v>
      </c>
      <c r="F14172" t="s">
        <v>32606</v>
      </c>
      <c r="G14172" t="s">
        <v>32613</v>
      </c>
      <c r="H14172" t="s">
        <v>14201</v>
      </c>
      <c r="I14172" t="s">
        <v>4120</v>
      </c>
      <c r="J14172" t="s">
        <v>41513</v>
      </c>
      <c r="K14172" t="s">
        <v>42638</v>
      </c>
      <c r="M14172" t="s">
        <v>44179</v>
      </c>
      <c r="N14172" t="s">
        <v>47304</v>
      </c>
      <c r="O14172" t="s">
        <v>47305</v>
      </c>
      <c r="P14172">
        <v>0</v>
      </c>
      <c r="Q14172">
        <v>2</v>
      </c>
      <c r="R14172" t="s">
        <v>47324</v>
      </c>
      <c r="S14172" t="s">
        <v>48182</v>
      </c>
      <c r="T14172" t="s">
        <v>49004</v>
      </c>
      <c r="U14172" t="s">
        <v>61263</v>
      </c>
      <c r="W14172" t="s">
        <v>44179</v>
      </c>
      <c r="X14172" t="s">
        <v>47325</v>
      </c>
    </row>
    <row r="14173" spans="1:24">
      <c r="A14173">
        <f>HYPERLINK("https://www.philgeps.gov.ph/GEPSNONPILOT/Tender/SplashBidNoticeAbstractUI.aspx?menuIndex=3&amp;refID=7163670&amp;Result=3","7163670")</f>
        <v>0</v>
      </c>
      <c r="B14173" t="s">
        <v>3740</v>
      </c>
      <c r="C14173" t="s">
        <v>17271</v>
      </c>
      <c r="D14173" t="s">
        <v>19056</v>
      </c>
      <c r="E14173" t="s">
        <v>31061</v>
      </c>
      <c r="F14173" t="s">
        <v>32606</v>
      </c>
      <c r="G14173" t="s">
        <v>32613</v>
      </c>
      <c r="H14173" t="s">
        <v>14201</v>
      </c>
      <c r="I14173" t="s">
        <v>32664</v>
      </c>
      <c r="J14173" t="s">
        <v>41514</v>
      </c>
      <c r="K14173" t="s">
        <v>42648</v>
      </c>
      <c r="M14173" t="s">
        <v>47067</v>
      </c>
      <c r="N14173" t="s">
        <v>47304</v>
      </c>
      <c r="O14173" t="s">
        <v>47305</v>
      </c>
      <c r="P14173">
        <v>0</v>
      </c>
      <c r="Q14173">
        <v>10</v>
      </c>
      <c r="R14173" t="s">
        <v>47324</v>
      </c>
      <c r="S14173" t="s">
        <v>48182</v>
      </c>
      <c r="T14173" t="s">
        <v>49146</v>
      </c>
      <c r="U14173" t="s">
        <v>61264</v>
      </c>
      <c r="W14173" t="s">
        <v>47067</v>
      </c>
      <c r="X14173" t="s">
        <v>47325</v>
      </c>
    </row>
    <row r="14174" spans="1:24">
      <c r="A14174">
        <f>HYPERLINK("https://www.philgeps.gov.ph/GEPSNONPILOT/Tender/SplashBidNoticeAbstractUI.aspx?menuIndex=3&amp;refID=7163593&amp;Result=3","7163593")</f>
        <v>0</v>
      </c>
      <c r="B14174" t="s">
        <v>2775</v>
      </c>
      <c r="C14174" t="s">
        <v>17272</v>
      </c>
      <c r="D14174" t="s">
        <v>18997</v>
      </c>
      <c r="E14174" t="s">
        <v>29377</v>
      </c>
      <c r="F14174" t="s">
        <v>32606</v>
      </c>
      <c r="G14174" t="s">
        <v>32613</v>
      </c>
      <c r="H14174" t="s">
        <v>14201</v>
      </c>
      <c r="I14174" t="s">
        <v>32629</v>
      </c>
      <c r="J14174" t="s">
        <v>41515</v>
      </c>
      <c r="K14174" t="s">
        <v>42622</v>
      </c>
      <c r="M14174" t="s">
        <v>45937</v>
      </c>
      <c r="N14174" t="s">
        <v>47304</v>
      </c>
      <c r="O14174" t="s">
        <v>47305</v>
      </c>
      <c r="P14174">
        <v>0</v>
      </c>
      <c r="Q14174">
        <v>0</v>
      </c>
      <c r="R14174" t="s">
        <v>47324</v>
      </c>
      <c r="S14174" t="s">
        <v>48182</v>
      </c>
      <c r="T14174" t="s">
        <v>48980</v>
      </c>
      <c r="U14174" t="s">
        <v>56834</v>
      </c>
      <c r="W14174" t="s">
        <v>45937</v>
      </c>
      <c r="X14174" t="s">
        <v>47325</v>
      </c>
    </row>
    <row r="14175" spans="1:24">
      <c r="A14175">
        <f>HYPERLINK("https://www.philgeps.gov.ph/GEPSNONPILOT/Tender/SplashBidNoticeAbstractUI.aspx?menuIndex=3&amp;refID=7163675&amp;Result=3","7163675")</f>
        <v>0</v>
      </c>
      <c r="B14175" t="s">
        <v>3741</v>
      </c>
      <c r="C14175" t="s">
        <v>17273</v>
      </c>
      <c r="D14175" t="s">
        <v>19036</v>
      </c>
      <c r="E14175" t="s">
        <v>31062</v>
      </c>
      <c r="F14175" t="s">
        <v>32606</v>
      </c>
      <c r="G14175" t="s">
        <v>32613</v>
      </c>
      <c r="H14175" t="s">
        <v>14201</v>
      </c>
      <c r="I14175" t="s">
        <v>7677</v>
      </c>
      <c r="J14175" t="s">
        <v>39834</v>
      </c>
      <c r="K14175" t="s">
        <v>42627</v>
      </c>
      <c r="M14175" t="s">
        <v>47068</v>
      </c>
      <c r="N14175" t="s">
        <v>47304</v>
      </c>
      <c r="O14175" t="s">
        <v>47305</v>
      </c>
      <c r="P14175">
        <v>0</v>
      </c>
      <c r="Q14175">
        <v>3</v>
      </c>
      <c r="R14175" t="s">
        <v>47324</v>
      </c>
      <c r="S14175" t="s">
        <v>48182</v>
      </c>
      <c r="T14175" t="s">
        <v>49107</v>
      </c>
      <c r="U14175" t="s">
        <v>61265</v>
      </c>
      <c r="W14175" t="s">
        <v>47068</v>
      </c>
      <c r="X14175" t="s">
        <v>47325</v>
      </c>
    </row>
    <row r="14176" spans="1:24">
      <c r="A14176">
        <f>HYPERLINK("https://www.philgeps.gov.ph/GEPSNONPILOT/Tender/SplashBidNoticeAbstractUI.aspx?menuIndex=3&amp;refID=7163591&amp;Result=3","7163591")</f>
        <v>0</v>
      </c>
      <c r="B14176" t="s">
        <v>1306</v>
      </c>
      <c r="C14176" t="s">
        <v>17274</v>
      </c>
      <c r="D14176" t="s">
        <v>19011</v>
      </c>
      <c r="E14176" t="s">
        <v>31063</v>
      </c>
      <c r="F14176" t="s">
        <v>32606</v>
      </c>
      <c r="G14176" t="s">
        <v>32613</v>
      </c>
      <c r="H14176" t="s">
        <v>14201</v>
      </c>
      <c r="I14176" t="s">
        <v>32686</v>
      </c>
      <c r="J14176" t="s">
        <v>41516</v>
      </c>
      <c r="K14176" t="s">
        <v>42648</v>
      </c>
      <c r="M14176" t="s">
        <v>44278</v>
      </c>
      <c r="N14176" t="s">
        <v>47304</v>
      </c>
      <c r="O14176" t="s">
        <v>47305</v>
      </c>
      <c r="P14176">
        <v>0</v>
      </c>
      <c r="Q14176">
        <v>5</v>
      </c>
      <c r="R14176" t="s">
        <v>47324</v>
      </c>
      <c r="S14176" t="s">
        <v>48182</v>
      </c>
      <c r="T14176" t="s">
        <v>49011</v>
      </c>
      <c r="U14176" t="s">
        <v>60931</v>
      </c>
      <c r="W14176" t="s">
        <v>44278</v>
      </c>
      <c r="X14176" t="s">
        <v>47325</v>
      </c>
    </row>
    <row r="14177" spans="1:24">
      <c r="A14177">
        <f>HYPERLINK("https://www.philgeps.gov.ph/GEPSNONPILOT/Tender/SplashBidNoticeAbstractUI.aspx?menuIndex=3&amp;refID=7163635&amp;Result=3","7163635")</f>
        <v>0</v>
      </c>
      <c r="B14177" t="s">
        <v>1306</v>
      </c>
      <c r="C14177" t="s">
        <v>17275</v>
      </c>
      <c r="D14177" t="s">
        <v>19011</v>
      </c>
      <c r="E14177" t="s">
        <v>31064</v>
      </c>
      <c r="F14177" t="s">
        <v>32606</v>
      </c>
      <c r="G14177" t="s">
        <v>32613</v>
      </c>
      <c r="H14177" t="s">
        <v>14201</v>
      </c>
      <c r="I14177" t="s">
        <v>32686</v>
      </c>
      <c r="J14177" t="s">
        <v>41517</v>
      </c>
      <c r="K14177" t="s">
        <v>42648</v>
      </c>
      <c r="M14177" t="s">
        <v>44278</v>
      </c>
      <c r="N14177" t="s">
        <v>47304</v>
      </c>
      <c r="O14177" t="s">
        <v>47305</v>
      </c>
      <c r="P14177">
        <v>0</v>
      </c>
      <c r="Q14177">
        <v>4</v>
      </c>
      <c r="R14177" t="s">
        <v>47324</v>
      </c>
      <c r="S14177" t="s">
        <v>48182</v>
      </c>
      <c r="T14177" t="s">
        <v>49011</v>
      </c>
      <c r="U14177" t="s">
        <v>60931</v>
      </c>
      <c r="W14177" t="s">
        <v>44278</v>
      </c>
      <c r="X14177" t="s">
        <v>47325</v>
      </c>
    </row>
    <row r="14178" spans="1:24">
      <c r="A14178">
        <f>HYPERLINK("https://www.philgeps.gov.ph/GEPSNONPILOT/Tender/SplashBidNoticeAbstractUI.aspx?menuIndex=3&amp;refID=7163701&amp;Result=3","7163701")</f>
        <v>0</v>
      </c>
      <c r="B14178" t="s">
        <v>3736</v>
      </c>
      <c r="C14178" t="s">
        <v>17276</v>
      </c>
      <c r="D14178" t="s">
        <v>19023</v>
      </c>
      <c r="E14178" t="s">
        <v>31065</v>
      </c>
      <c r="F14178" t="s">
        <v>32606</v>
      </c>
      <c r="G14178" t="s">
        <v>32614</v>
      </c>
      <c r="H14178" t="s">
        <v>14201</v>
      </c>
      <c r="I14178" t="s">
        <v>6298</v>
      </c>
      <c r="J14178" t="s">
        <v>41518</v>
      </c>
      <c r="K14178" t="s">
        <v>42631</v>
      </c>
      <c r="M14178" t="s">
        <v>47062</v>
      </c>
      <c r="N14178" t="s">
        <v>47304</v>
      </c>
      <c r="O14178" t="s">
        <v>47305</v>
      </c>
      <c r="Q14178">
        <v>5</v>
      </c>
      <c r="R14178" t="s">
        <v>47324</v>
      </c>
      <c r="S14178" t="s">
        <v>48208</v>
      </c>
      <c r="T14178" t="s">
        <v>48980</v>
      </c>
      <c r="U14178" t="s">
        <v>61266</v>
      </c>
      <c r="V14178" t="s">
        <v>64173</v>
      </c>
      <c r="W14178" t="s">
        <v>47062</v>
      </c>
      <c r="X14178" t="s">
        <v>47325</v>
      </c>
    </row>
    <row r="14179" spans="1:24">
      <c r="A14179">
        <f>HYPERLINK("https://www.philgeps.gov.ph/GEPSNONPILOT/Tender/SplashBidNoticeAbstractUI.aspx?menuIndex=3&amp;refID=7163598&amp;Result=3","7163598")</f>
        <v>0</v>
      </c>
      <c r="B14179" t="s">
        <v>3736</v>
      </c>
      <c r="C14179" t="s">
        <v>17277</v>
      </c>
      <c r="D14179" t="s">
        <v>19023</v>
      </c>
      <c r="E14179" t="s">
        <v>31066</v>
      </c>
      <c r="F14179" t="s">
        <v>32606</v>
      </c>
      <c r="G14179" t="s">
        <v>32619</v>
      </c>
      <c r="H14179" t="s">
        <v>14201</v>
      </c>
      <c r="I14179" t="s">
        <v>32631</v>
      </c>
      <c r="J14179" t="s">
        <v>41519</v>
      </c>
      <c r="K14179" t="s">
        <v>42631</v>
      </c>
      <c r="M14179" t="s">
        <v>47062</v>
      </c>
      <c r="N14179" t="s">
        <v>47304</v>
      </c>
      <c r="O14179" t="s">
        <v>47305</v>
      </c>
      <c r="Q14179">
        <v>9</v>
      </c>
      <c r="R14179" t="s">
        <v>47324</v>
      </c>
      <c r="S14179" t="s">
        <v>48209</v>
      </c>
      <c r="T14179" t="s">
        <v>48980</v>
      </c>
      <c r="U14179" t="s">
        <v>61267</v>
      </c>
      <c r="V14179" t="s">
        <v>64173</v>
      </c>
      <c r="W14179" t="s">
        <v>47062</v>
      </c>
      <c r="X14179" t="s">
        <v>47325</v>
      </c>
    </row>
    <row r="14180" spans="1:24">
      <c r="A14180">
        <f>HYPERLINK("https://www.philgeps.gov.ph/GEPSNONPILOT/Tender/SplashBidNoticeAbstractUI.aspx?menuIndex=3&amp;refID=7163605&amp;Result=3","7163605")</f>
        <v>0</v>
      </c>
      <c r="B14180" t="s">
        <v>1306</v>
      </c>
      <c r="C14180" t="s">
        <v>17278</v>
      </c>
      <c r="D14180" t="s">
        <v>19011</v>
      </c>
      <c r="E14180" t="s">
        <v>31067</v>
      </c>
      <c r="F14180" t="s">
        <v>32606</v>
      </c>
      <c r="G14180" t="s">
        <v>32613</v>
      </c>
      <c r="H14180" t="s">
        <v>14201</v>
      </c>
      <c r="I14180" t="s">
        <v>32686</v>
      </c>
      <c r="J14180" t="s">
        <v>41520</v>
      </c>
      <c r="K14180" t="s">
        <v>42648</v>
      </c>
      <c r="M14180" t="s">
        <v>45099</v>
      </c>
      <c r="N14180" t="s">
        <v>47304</v>
      </c>
      <c r="O14180" t="s">
        <v>47305</v>
      </c>
      <c r="P14180">
        <v>0</v>
      </c>
      <c r="Q14180">
        <v>5</v>
      </c>
      <c r="R14180" t="s">
        <v>47324</v>
      </c>
      <c r="S14180" t="s">
        <v>48182</v>
      </c>
      <c r="T14180" t="s">
        <v>49011</v>
      </c>
      <c r="U14180" t="s">
        <v>61249</v>
      </c>
      <c r="W14180" t="s">
        <v>45099</v>
      </c>
      <c r="X14180" t="s">
        <v>47325</v>
      </c>
    </row>
    <row r="14181" spans="1:24">
      <c r="A14181">
        <f>HYPERLINK("https://www.philgeps.gov.ph/GEPSNONPILOT/Tender/SplashBidNoticeAbstractUI.aspx?menuIndex=3&amp;refID=7163557&amp;Result=3","7163557")</f>
        <v>0</v>
      </c>
      <c r="B14181" t="s">
        <v>1306</v>
      </c>
      <c r="C14181" t="s">
        <v>17279</v>
      </c>
      <c r="D14181" t="s">
        <v>19011</v>
      </c>
      <c r="E14181" t="s">
        <v>31068</v>
      </c>
      <c r="F14181" t="s">
        <v>32606</v>
      </c>
      <c r="G14181" t="s">
        <v>32613</v>
      </c>
      <c r="H14181" t="s">
        <v>14201</v>
      </c>
      <c r="I14181" t="s">
        <v>32686</v>
      </c>
      <c r="J14181" t="s">
        <v>41521</v>
      </c>
      <c r="K14181" t="s">
        <v>42648</v>
      </c>
      <c r="M14181" t="s">
        <v>44278</v>
      </c>
      <c r="N14181" t="s">
        <v>47304</v>
      </c>
      <c r="O14181" t="s">
        <v>47305</v>
      </c>
      <c r="Q14181">
        <v>5</v>
      </c>
      <c r="R14181" t="s">
        <v>47324</v>
      </c>
      <c r="S14181" t="s">
        <v>47629</v>
      </c>
      <c r="T14181" t="s">
        <v>49011</v>
      </c>
      <c r="U14181" t="s">
        <v>60931</v>
      </c>
      <c r="W14181" t="s">
        <v>44278</v>
      </c>
      <c r="X14181" t="s">
        <v>47325</v>
      </c>
    </row>
    <row r="14182" spans="1:24">
      <c r="A14182">
        <f>HYPERLINK("https://www.philgeps.gov.ph/GEPSNONPILOT/Tender/SplashBidNoticeAbstractUI.aspx?menuIndex=3&amp;refID=7163887&amp;Result=3","7163887")</f>
        <v>0</v>
      </c>
      <c r="B14182" t="s">
        <v>2983</v>
      </c>
      <c r="C14182" t="s">
        <v>17280</v>
      </c>
      <c r="D14182" t="s">
        <v>18995</v>
      </c>
      <c r="E14182" t="s">
        <v>31069</v>
      </c>
      <c r="F14182" t="s">
        <v>32606</v>
      </c>
      <c r="G14182" t="s">
        <v>32613</v>
      </c>
      <c r="H14182" t="s">
        <v>32623</v>
      </c>
      <c r="I14182" t="s">
        <v>17648</v>
      </c>
      <c r="J14182" t="s">
        <v>32821</v>
      </c>
      <c r="K14182" t="s">
        <v>42629</v>
      </c>
      <c r="M14182" t="s">
        <v>46171</v>
      </c>
      <c r="N14182" t="s">
        <v>47304</v>
      </c>
      <c r="O14182" t="s">
        <v>47305</v>
      </c>
      <c r="P14182">
        <v>0</v>
      </c>
      <c r="Q14182">
        <v>0</v>
      </c>
      <c r="R14182" t="s">
        <v>47324</v>
      </c>
      <c r="S14182" t="s">
        <v>48182</v>
      </c>
      <c r="T14182" t="s">
        <v>49257</v>
      </c>
      <c r="U14182" t="s">
        <v>61268</v>
      </c>
      <c r="W14182" t="s">
        <v>46171</v>
      </c>
      <c r="X14182" t="s">
        <v>47325</v>
      </c>
    </row>
    <row r="14183" spans="1:24">
      <c r="A14183">
        <f>HYPERLINK("https://www.philgeps.gov.ph/GEPSNONPILOT/Tender/SplashBidNoticeAbstractUI.aspx?menuIndex=3&amp;refID=7163886&amp;Result=3","7163886")</f>
        <v>0</v>
      </c>
      <c r="B14183" t="s">
        <v>2775</v>
      </c>
      <c r="C14183" t="s">
        <v>17281</v>
      </c>
      <c r="D14183" t="s">
        <v>18997</v>
      </c>
      <c r="E14183" t="s">
        <v>22555</v>
      </c>
      <c r="F14183" t="s">
        <v>32606</v>
      </c>
      <c r="G14183" t="s">
        <v>32613</v>
      </c>
      <c r="H14183" t="s">
        <v>32623</v>
      </c>
      <c r="I14183" t="s">
        <v>17648</v>
      </c>
      <c r="J14183" t="s">
        <v>41522</v>
      </c>
      <c r="K14183" t="s">
        <v>42634</v>
      </c>
      <c r="M14183" t="s">
        <v>45937</v>
      </c>
      <c r="N14183" t="s">
        <v>47304</v>
      </c>
      <c r="O14183" t="s">
        <v>47305</v>
      </c>
      <c r="P14183">
        <v>0</v>
      </c>
      <c r="Q14183">
        <v>0</v>
      </c>
      <c r="R14183" t="s">
        <v>47324</v>
      </c>
      <c r="S14183" t="s">
        <v>48182</v>
      </c>
      <c r="T14183" t="s">
        <v>48980</v>
      </c>
      <c r="U14183" t="s">
        <v>61269</v>
      </c>
      <c r="W14183" t="s">
        <v>45937</v>
      </c>
      <c r="X14183" t="s">
        <v>47325</v>
      </c>
    </row>
    <row r="14184" spans="1:24">
      <c r="A14184">
        <f>HYPERLINK("https://www.philgeps.gov.ph/GEPSNONPILOT/Tender/SplashBidNoticeAbstractUI.aspx?menuIndex=3&amp;refID=7163584&amp;Result=3","7163584")</f>
        <v>0</v>
      </c>
      <c r="B14184" t="s">
        <v>1214</v>
      </c>
      <c r="C14184" t="s">
        <v>17282</v>
      </c>
      <c r="D14184" t="s">
        <v>18989</v>
      </c>
      <c r="E14184" t="s">
        <v>31070</v>
      </c>
      <c r="F14184" t="s">
        <v>32606</v>
      </c>
      <c r="G14184" t="s">
        <v>32613</v>
      </c>
      <c r="H14184" t="s">
        <v>14201</v>
      </c>
      <c r="I14184" t="s">
        <v>32644</v>
      </c>
      <c r="J14184" t="s">
        <v>41523</v>
      </c>
      <c r="K14184" t="s">
        <v>42630</v>
      </c>
      <c r="M14184" t="s">
        <v>44179</v>
      </c>
      <c r="N14184" t="s">
        <v>47304</v>
      </c>
      <c r="O14184" t="s">
        <v>47305</v>
      </c>
      <c r="P14184">
        <v>0</v>
      </c>
      <c r="Q14184">
        <v>3</v>
      </c>
      <c r="R14184" t="s">
        <v>47324</v>
      </c>
      <c r="S14184" t="s">
        <v>48182</v>
      </c>
      <c r="T14184" t="s">
        <v>49004</v>
      </c>
      <c r="U14184" t="s">
        <v>61270</v>
      </c>
      <c r="W14184" t="s">
        <v>44179</v>
      </c>
      <c r="X14184" t="s">
        <v>47325</v>
      </c>
    </row>
    <row r="14185" spans="1:24">
      <c r="A14185">
        <f>HYPERLINK("https://www.philgeps.gov.ph/GEPSNONPILOT/Tender/SplashBidNoticeAbstractUI.aspx?menuIndex=3&amp;refID=7163623&amp;Result=3","7163623")</f>
        <v>0</v>
      </c>
      <c r="B14185" t="s">
        <v>3736</v>
      </c>
      <c r="C14185" t="s">
        <v>17283</v>
      </c>
      <c r="D14185" t="s">
        <v>19023</v>
      </c>
      <c r="E14185" t="s">
        <v>31071</v>
      </c>
      <c r="F14185" t="s">
        <v>32606</v>
      </c>
      <c r="G14185" t="s">
        <v>32619</v>
      </c>
      <c r="H14185" t="s">
        <v>14201</v>
      </c>
      <c r="I14185" t="s">
        <v>32631</v>
      </c>
      <c r="J14185" t="s">
        <v>37193</v>
      </c>
      <c r="K14185" t="s">
        <v>42631</v>
      </c>
      <c r="M14185" t="s">
        <v>47062</v>
      </c>
      <c r="N14185" t="s">
        <v>47304</v>
      </c>
      <c r="O14185" t="s">
        <v>47305</v>
      </c>
      <c r="Q14185">
        <v>6</v>
      </c>
      <c r="R14185" t="s">
        <v>47324</v>
      </c>
      <c r="S14185" t="s">
        <v>47461</v>
      </c>
      <c r="T14185" t="s">
        <v>48980</v>
      </c>
      <c r="U14185" t="s">
        <v>61271</v>
      </c>
      <c r="V14185" t="s">
        <v>64173</v>
      </c>
      <c r="W14185" t="s">
        <v>47062</v>
      </c>
      <c r="X14185" t="s">
        <v>47325</v>
      </c>
    </row>
    <row r="14186" spans="1:24">
      <c r="A14186">
        <f>HYPERLINK("https://www.philgeps.gov.ph/GEPSNONPILOT/Tender/SplashBidNoticeAbstractUI.aspx?menuIndex=3&amp;refID=7163813&amp;Result=3","7163813")</f>
        <v>0</v>
      </c>
      <c r="B14186" t="s">
        <v>1403</v>
      </c>
      <c r="C14186" t="s">
        <v>17284</v>
      </c>
      <c r="D14186" t="s">
        <v>19038</v>
      </c>
      <c r="E14186" t="s">
        <v>31072</v>
      </c>
      <c r="F14186" t="s">
        <v>32606</v>
      </c>
      <c r="G14186" t="s">
        <v>32613</v>
      </c>
      <c r="H14186" t="s">
        <v>32623</v>
      </c>
      <c r="I14186" t="s">
        <v>17648</v>
      </c>
      <c r="J14186" t="s">
        <v>41524</v>
      </c>
      <c r="K14186" t="s">
        <v>42712</v>
      </c>
      <c r="M14186" t="s">
        <v>47069</v>
      </c>
      <c r="N14186" t="s">
        <v>47304</v>
      </c>
      <c r="O14186" t="s">
        <v>47305</v>
      </c>
      <c r="P14186">
        <v>0</v>
      </c>
      <c r="Q14186">
        <v>2</v>
      </c>
      <c r="R14186" t="s">
        <v>47324</v>
      </c>
      <c r="S14186" t="s">
        <v>48182</v>
      </c>
      <c r="T14186" t="s">
        <v>49095</v>
      </c>
      <c r="U14186" t="s">
        <v>61272</v>
      </c>
      <c r="V14186" t="s">
        <v>64179</v>
      </c>
      <c r="W14186" t="s">
        <v>47069</v>
      </c>
      <c r="X14186" t="s">
        <v>47325</v>
      </c>
    </row>
    <row r="14187" spans="1:24">
      <c r="A14187">
        <f>HYPERLINK("https://www.philgeps.gov.ph/GEPSNONPILOT/Tender/SplashBidNoticeAbstractUI.aspx?menuIndex=3&amp;refID=7163570&amp;Result=3","7163570")</f>
        <v>0</v>
      </c>
      <c r="B14187" t="s">
        <v>3741</v>
      </c>
      <c r="C14187" t="s">
        <v>17285</v>
      </c>
      <c r="D14187" t="s">
        <v>19036</v>
      </c>
      <c r="E14187" t="s">
        <v>31073</v>
      </c>
      <c r="F14187" t="s">
        <v>32606</v>
      </c>
      <c r="G14187" t="s">
        <v>32613</v>
      </c>
      <c r="H14187" t="s">
        <v>14201</v>
      </c>
      <c r="I14187" t="s">
        <v>6007</v>
      </c>
      <c r="J14187" t="s">
        <v>32821</v>
      </c>
      <c r="K14187" t="s">
        <v>42701</v>
      </c>
      <c r="M14187" t="s">
        <v>47068</v>
      </c>
      <c r="N14187" t="s">
        <v>47304</v>
      </c>
      <c r="O14187" t="s">
        <v>47305</v>
      </c>
      <c r="P14187">
        <v>0</v>
      </c>
      <c r="Q14187">
        <v>0</v>
      </c>
      <c r="R14187" t="s">
        <v>47324</v>
      </c>
      <c r="S14187" t="s">
        <v>48182</v>
      </c>
      <c r="T14187" t="s">
        <v>49107</v>
      </c>
      <c r="U14187" t="s">
        <v>61265</v>
      </c>
      <c r="W14187" t="s">
        <v>47068</v>
      </c>
      <c r="X14187" t="s">
        <v>47325</v>
      </c>
    </row>
    <row r="14188" spans="1:24">
      <c r="A14188">
        <f>HYPERLINK("https://www.philgeps.gov.ph/GEPSNONPILOT/Tender/SplashBidNoticeAbstractUI.aspx?menuIndex=3&amp;refID=7163881&amp;Result=3","7163881")</f>
        <v>0</v>
      </c>
      <c r="B14188" t="s">
        <v>3742</v>
      </c>
      <c r="C14188" t="s">
        <v>17286</v>
      </c>
      <c r="D14188" t="s">
        <v>19026</v>
      </c>
      <c r="E14188" t="s">
        <v>31074</v>
      </c>
      <c r="F14188" t="s">
        <v>32606</v>
      </c>
      <c r="G14188" t="s">
        <v>32613</v>
      </c>
      <c r="H14188" t="s">
        <v>14201</v>
      </c>
      <c r="I14188" t="s">
        <v>32661</v>
      </c>
      <c r="J14188" t="s">
        <v>41525</v>
      </c>
      <c r="K14188" t="s">
        <v>42624</v>
      </c>
      <c r="M14188" t="s">
        <v>47070</v>
      </c>
      <c r="N14188" t="s">
        <v>47304</v>
      </c>
      <c r="O14188" t="s">
        <v>47305</v>
      </c>
      <c r="P14188">
        <v>0</v>
      </c>
      <c r="Q14188">
        <v>3</v>
      </c>
      <c r="R14188" t="s">
        <v>47324</v>
      </c>
      <c r="S14188" t="s">
        <v>48182</v>
      </c>
      <c r="T14188" t="s">
        <v>49076</v>
      </c>
      <c r="U14188" t="s">
        <v>61273</v>
      </c>
      <c r="W14188" t="s">
        <v>47070</v>
      </c>
      <c r="X14188" t="s">
        <v>47325</v>
      </c>
    </row>
    <row r="14189" spans="1:24">
      <c r="A14189">
        <f>HYPERLINK("https://www.philgeps.gov.ph/GEPSNONPILOT/Tender/SplashBidNoticeAbstractUI.aspx?menuIndex=3&amp;refID=7163787&amp;Result=3","7163787")</f>
        <v>0</v>
      </c>
      <c r="B14189" t="s">
        <v>1306</v>
      </c>
      <c r="C14189" t="s">
        <v>17287</v>
      </c>
      <c r="D14189" t="s">
        <v>19011</v>
      </c>
      <c r="E14189" t="s">
        <v>31075</v>
      </c>
      <c r="F14189" t="s">
        <v>32606</v>
      </c>
      <c r="G14189" t="s">
        <v>32613</v>
      </c>
      <c r="H14189" t="s">
        <v>14201</v>
      </c>
      <c r="I14189" t="s">
        <v>32686</v>
      </c>
      <c r="J14189" t="s">
        <v>41526</v>
      </c>
      <c r="K14189" t="s">
        <v>42648</v>
      </c>
      <c r="M14189" t="s">
        <v>44278</v>
      </c>
      <c r="N14189" t="s">
        <v>47304</v>
      </c>
      <c r="O14189" t="s">
        <v>47305</v>
      </c>
      <c r="P14189">
        <v>0</v>
      </c>
      <c r="Q14189">
        <v>5</v>
      </c>
      <c r="R14189" t="s">
        <v>47324</v>
      </c>
      <c r="S14189" t="s">
        <v>48182</v>
      </c>
      <c r="T14189" t="s">
        <v>49011</v>
      </c>
      <c r="U14189" t="s">
        <v>60931</v>
      </c>
      <c r="W14189" t="s">
        <v>44278</v>
      </c>
      <c r="X14189" t="s">
        <v>47325</v>
      </c>
    </row>
    <row r="14190" spans="1:24">
      <c r="A14190">
        <f>HYPERLINK("https://www.philgeps.gov.ph/GEPSNONPILOT/Tender/SplashBidNoticeAbstractUI.aspx?menuIndex=3&amp;refID=7163821&amp;Result=3","7163821")</f>
        <v>0</v>
      </c>
      <c r="B14190" t="s">
        <v>1306</v>
      </c>
      <c r="C14190" t="s">
        <v>17288</v>
      </c>
      <c r="D14190" t="s">
        <v>19011</v>
      </c>
      <c r="E14190" t="s">
        <v>31076</v>
      </c>
      <c r="F14190" t="s">
        <v>32606</v>
      </c>
      <c r="G14190" t="s">
        <v>32613</v>
      </c>
      <c r="H14190" t="s">
        <v>14201</v>
      </c>
      <c r="I14190" t="s">
        <v>32686</v>
      </c>
      <c r="J14190" t="s">
        <v>41527</v>
      </c>
      <c r="K14190" t="s">
        <v>42648</v>
      </c>
      <c r="M14190" t="s">
        <v>44278</v>
      </c>
      <c r="N14190" t="s">
        <v>47304</v>
      </c>
      <c r="O14190" t="s">
        <v>47305</v>
      </c>
      <c r="P14190">
        <v>0</v>
      </c>
      <c r="Q14190">
        <v>5</v>
      </c>
      <c r="R14190" t="s">
        <v>47324</v>
      </c>
      <c r="S14190" t="s">
        <v>48182</v>
      </c>
      <c r="T14190" t="s">
        <v>49011</v>
      </c>
      <c r="U14190" t="s">
        <v>60931</v>
      </c>
      <c r="W14190" t="s">
        <v>44278</v>
      </c>
      <c r="X14190" t="s">
        <v>47325</v>
      </c>
    </row>
    <row r="14191" spans="1:24">
      <c r="A14191">
        <f>HYPERLINK("https://www.philgeps.gov.ph/GEPSNONPILOT/Tender/SplashBidNoticeAbstractUI.aspx?menuIndex=3&amp;refID=7163311&amp;Result=3","7163311")</f>
        <v>0</v>
      </c>
      <c r="B14191" t="s">
        <v>499</v>
      </c>
      <c r="C14191" t="s">
        <v>17289</v>
      </c>
      <c r="D14191" t="s">
        <v>19010</v>
      </c>
      <c r="E14191" t="s">
        <v>31077</v>
      </c>
      <c r="F14191" t="s">
        <v>32606</v>
      </c>
      <c r="G14191" t="s">
        <v>32613</v>
      </c>
      <c r="H14191" t="s">
        <v>14201</v>
      </c>
      <c r="I14191" t="s">
        <v>6931</v>
      </c>
      <c r="J14191" t="s">
        <v>34545</v>
      </c>
      <c r="K14191" t="s">
        <v>42627</v>
      </c>
      <c r="M14191" t="s">
        <v>43412</v>
      </c>
      <c r="N14191" t="s">
        <v>47304</v>
      </c>
      <c r="O14191" t="s">
        <v>47305</v>
      </c>
      <c r="P14191">
        <v>0</v>
      </c>
      <c r="Q14191">
        <v>0</v>
      </c>
      <c r="R14191" t="s">
        <v>47324</v>
      </c>
      <c r="S14191" t="s">
        <v>48182</v>
      </c>
      <c r="T14191" t="s">
        <v>49346</v>
      </c>
      <c r="U14191" t="s">
        <v>61274</v>
      </c>
      <c r="V14191" t="s">
        <v>62766</v>
      </c>
      <c r="W14191" t="s">
        <v>43412</v>
      </c>
      <c r="X14191" t="s">
        <v>47325</v>
      </c>
    </row>
    <row r="14192" spans="1:24">
      <c r="A14192">
        <f>HYPERLINK("https://www.philgeps.gov.ph/GEPSNONPILOT/Tender/SplashBidNoticeAbstractUI.aspx?menuIndex=3&amp;refID=7163790&amp;Result=3","7163790")</f>
        <v>0</v>
      </c>
      <c r="B14192" t="s">
        <v>2775</v>
      </c>
      <c r="C14192" t="s">
        <v>17290</v>
      </c>
      <c r="D14192" t="s">
        <v>18997</v>
      </c>
      <c r="E14192" t="s">
        <v>26199</v>
      </c>
      <c r="F14192" t="s">
        <v>32606</v>
      </c>
      <c r="G14192" t="s">
        <v>32613</v>
      </c>
      <c r="H14192" t="s">
        <v>14201</v>
      </c>
      <c r="I14192" t="s">
        <v>32652</v>
      </c>
      <c r="J14192" t="s">
        <v>32765</v>
      </c>
      <c r="K14192" t="s">
        <v>42622</v>
      </c>
      <c r="M14192" t="s">
        <v>45937</v>
      </c>
      <c r="N14192" t="s">
        <v>47304</v>
      </c>
      <c r="O14192" t="s">
        <v>47305</v>
      </c>
      <c r="P14192">
        <v>0</v>
      </c>
      <c r="Q14192">
        <v>0</v>
      </c>
      <c r="R14192" t="s">
        <v>47324</v>
      </c>
      <c r="S14192" t="s">
        <v>48182</v>
      </c>
      <c r="T14192" t="s">
        <v>48980</v>
      </c>
      <c r="U14192" t="s">
        <v>56834</v>
      </c>
      <c r="W14192" t="s">
        <v>45937</v>
      </c>
      <c r="X14192" t="s">
        <v>47325</v>
      </c>
    </row>
    <row r="14193" spans="1:24">
      <c r="A14193">
        <f>HYPERLINK("https://www.philgeps.gov.ph/GEPSNONPILOT/Tender/SplashBidNoticeAbstractUI.aspx?menuIndex=3&amp;refID=7163742&amp;Result=3","7163742")</f>
        <v>0</v>
      </c>
      <c r="B14193" t="s">
        <v>2225</v>
      </c>
      <c r="C14193" t="s">
        <v>17291</v>
      </c>
      <c r="D14193" t="s">
        <v>18999</v>
      </c>
      <c r="E14193" t="s">
        <v>31078</v>
      </c>
      <c r="F14193" t="s">
        <v>32606</v>
      </c>
      <c r="G14193" t="s">
        <v>32613</v>
      </c>
      <c r="H14193" t="s">
        <v>14201</v>
      </c>
      <c r="I14193" t="s">
        <v>8682</v>
      </c>
      <c r="J14193" t="s">
        <v>41528</v>
      </c>
      <c r="K14193" t="s">
        <v>42631</v>
      </c>
      <c r="M14193" t="s">
        <v>46654</v>
      </c>
      <c r="N14193" t="s">
        <v>47304</v>
      </c>
      <c r="O14193" t="s">
        <v>47305</v>
      </c>
      <c r="P14193">
        <v>0</v>
      </c>
      <c r="Q14193">
        <v>12</v>
      </c>
      <c r="R14193" t="s">
        <v>47324</v>
      </c>
      <c r="S14193" t="s">
        <v>48182</v>
      </c>
      <c r="T14193" t="s">
        <v>49002</v>
      </c>
      <c r="U14193" t="s">
        <v>55148</v>
      </c>
      <c r="V14193" t="s">
        <v>63928</v>
      </c>
      <c r="W14193" t="s">
        <v>64537</v>
      </c>
      <c r="X14193" t="s">
        <v>47325</v>
      </c>
    </row>
    <row r="14194" spans="1:24">
      <c r="A14194">
        <f>HYPERLINK("https://www.philgeps.gov.ph/GEPSNONPILOT/Tender/SplashBidNoticeAbstractUI.aspx?menuIndex=3&amp;refID=7163758&amp;Result=3","7163758")</f>
        <v>0</v>
      </c>
      <c r="B14194" t="s">
        <v>1306</v>
      </c>
      <c r="C14194" t="s">
        <v>17292</v>
      </c>
      <c r="D14194" t="s">
        <v>19011</v>
      </c>
      <c r="E14194" t="s">
        <v>31079</v>
      </c>
      <c r="F14194" t="s">
        <v>32606</v>
      </c>
      <c r="G14194" t="s">
        <v>32613</v>
      </c>
      <c r="H14194" t="s">
        <v>14201</v>
      </c>
      <c r="I14194" t="s">
        <v>32686</v>
      </c>
      <c r="J14194" t="s">
        <v>41529</v>
      </c>
      <c r="K14194" t="s">
        <v>42648</v>
      </c>
      <c r="M14194" t="s">
        <v>44278</v>
      </c>
      <c r="N14194" t="s">
        <v>47304</v>
      </c>
      <c r="O14194" t="s">
        <v>47305</v>
      </c>
      <c r="P14194">
        <v>0</v>
      </c>
      <c r="Q14194">
        <v>5</v>
      </c>
      <c r="R14194" t="s">
        <v>47324</v>
      </c>
      <c r="S14194" t="s">
        <v>48182</v>
      </c>
      <c r="T14194" t="s">
        <v>49011</v>
      </c>
      <c r="U14194" t="s">
        <v>60931</v>
      </c>
      <c r="W14194" t="s">
        <v>44278</v>
      </c>
      <c r="X14194" t="s">
        <v>47325</v>
      </c>
    </row>
    <row r="14195" spans="1:24">
      <c r="A14195">
        <f>HYPERLINK("https://www.philgeps.gov.ph/GEPSNONPILOT/Tender/SplashBidNoticeAbstractUI.aspx?menuIndex=3&amp;refID=7163769&amp;Result=3","7163769")</f>
        <v>0</v>
      </c>
      <c r="B14195" t="s">
        <v>1560</v>
      </c>
      <c r="C14195" t="s">
        <v>17293</v>
      </c>
      <c r="D14195" t="s">
        <v>18993</v>
      </c>
      <c r="E14195" t="s">
        <v>31080</v>
      </c>
      <c r="F14195" t="s">
        <v>32606</v>
      </c>
      <c r="G14195" t="s">
        <v>32613</v>
      </c>
      <c r="H14195" t="s">
        <v>32623</v>
      </c>
      <c r="I14195" t="s">
        <v>17648</v>
      </c>
      <c r="J14195" t="s">
        <v>41530</v>
      </c>
      <c r="K14195" t="s">
        <v>42712</v>
      </c>
      <c r="M14195" t="s">
        <v>44566</v>
      </c>
      <c r="N14195" t="s">
        <v>47304</v>
      </c>
      <c r="O14195" t="s">
        <v>47305</v>
      </c>
      <c r="P14195">
        <v>0</v>
      </c>
      <c r="Q14195">
        <v>2</v>
      </c>
      <c r="R14195" t="s">
        <v>47324</v>
      </c>
      <c r="S14195" t="s">
        <v>48182</v>
      </c>
      <c r="T14195" t="s">
        <v>48976</v>
      </c>
      <c r="U14195" t="s">
        <v>61275</v>
      </c>
      <c r="W14195" t="s">
        <v>64550</v>
      </c>
      <c r="X14195" t="s">
        <v>47325</v>
      </c>
    </row>
    <row r="14196" spans="1:24">
      <c r="A14196">
        <f>HYPERLINK("https://www.philgeps.gov.ph/GEPSNONPILOT/Tender/SplashBidNoticeAbstractUI.aspx?menuIndex=3&amp;refID=7163740&amp;Result=3","7163740")</f>
        <v>0</v>
      </c>
      <c r="B14196" t="s">
        <v>3741</v>
      </c>
      <c r="C14196" t="s">
        <v>17294</v>
      </c>
      <c r="D14196" t="s">
        <v>19036</v>
      </c>
      <c r="E14196" t="s">
        <v>31081</v>
      </c>
      <c r="F14196" t="s">
        <v>32606</v>
      </c>
      <c r="G14196" t="s">
        <v>32613</v>
      </c>
      <c r="H14196" t="s">
        <v>14201</v>
      </c>
      <c r="I14196" t="s">
        <v>7064</v>
      </c>
      <c r="J14196" t="s">
        <v>32821</v>
      </c>
      <c r="K14196" t="s">
        <v>42631</v>
      </c>
      <c r="M14196" t="s">
        <v>47068</v>
      </c>
      <c r="N14196" t="s">
        <v>47304</v>
      </c>
      <c r="O14196" t="s">
        <v>47305</v>
      </c>
      <c r="P14196">
        <v>0</v>
      </c>
      <c r="Q14196">
        <v>6</v>
      </c>
      <c r="R14196" t="s">
        <v>47324</v>
      </c>
      <c r="S14196" t="s">
        <v>48182</v>
      </c>
      <c r="T14196" t="s">
        <v>49107</v>
      </c>
      <c r="U14196" t="s">
        <v>61265</v>
      </c>
      <c r="W14196" t="s">
        <v>47068</v>
      </c>
      <c r="X14196" t="s">
        <v>47325</v>
      </c>
    </row>
    <row r="14197" spans="1:24">
      <c r="A14197">
        <f>HYPERLINK("https://www.philgeps.gov.ph/GEPSNONPILOT/Tender/SplashBidNoticeAbstractUI.aspx?menuIndex=3&amp;refID=7163810&amp;Result=3","7163810")</f>
        <v>0</v>
      </c>
      <c r="B14197" t="s">
        <v>1749</v>
      </c>
      <c r="C14197" t="s">
        <v>17295</v>
      </c>
      <c r="D14197" t="s">
        <v>18993</v>
      </c>
      <c r="E14197" t="s">
        <v>31082</v>
      </c>
      <c r="F14197" t="s">
        <v>32606</v>
      </c>
      <c r="G14197" t="s">
        <v>32613</v>
      </c>
      <c r="H14197" t="s">
        <v>14201</v>
      </c>
      <c r="I14197" t="s">
        <v>32685</v>
      </c>
      <c r="J14197" t="s">
        <v>41531</v>
      </c>
      <c r="K14197" t="s">
        <v>42636</v>
      </c>
      <c r="M14197" t="s">
        <v>44784</v>
      </c>
      <c r="N14197" t="s">
        <v>47304</v>
      </c>
      <c r="O14197" t="s">
        <v>47305</v>
      </c>
      <c r="P14197">
        <v>0</v>
      </c>
      <c r="Q14197">
        <v>8</v>
      </c>
      <c r="R14197" t="s">
        <v>47324</v>
      </c>
      <c r="S14197" t="s">
        <v>48182</v>
      </c>
      <c r="T14197" t="s">
        <v>49251</v>
      </c>
      <c r="U14197" t="s">
        <v>61276</v>
      </c>
      <c r="W14197" t="s">
        <v>44784</v>
      </c>
      <c r="X14197" t="s">
        <v>47325</v>
      </c>
    </row>
    <row r="14198" spans="1:24">
      <c r="A14198">
        <f>HYPERLINK("https://www.philgeps.gov.ph/GEPSNONPILOT/Tender/SplashBidNoticeAbstractUI.aspx?menuIndex=3&amp;refID=7163561&amp;Result=3","7163561")</f>
        <v>0</v>
      </c>
      <c r="B14198" t="s">
        <v>2072</v>
      </c>
      <c r="C14198" t="s">
        <v>17296</v>
      </c>
      <c r="D14198" t="s">
        <v>18991</v>
      </c>
      <c r="E14198" t="s">
        <v>31083</v>
      </c>
      <c r="F14198" t="s">
        <v>32606</v>
      </c>
      <c r="G14198" t="s">
        <v>32613</v>
      </c>
      <c r="H14198" t="s">
        <v>32623</v>
      </c>
      <c r="I14198" t="s">
        <v>17648</v>
      </c>
      <c r="J14198" t="s">
        <v>41532</v>
      </c>
      <c r="K14198" t="s">
        <v>42871</v>
      </c>
      <c r="M14198" t="s">
        <v>45153</v>
      </c>
      <c r="N14198" t="s">
        <v>47304</v>
      </c>
      <c r="O14198" t="s">
        <v>47305</v>
      </c>
      <c r="P14198">
        <v>0</v>
      </c>
      <c r="Q14198">
        <v>0</v>
      </c>
      <c r="R14198" t="s">
        <v>47324</v>
      </c>
      <c r="S14198" t="s">
        <v>48182</v>
      </c>
      <c r="T14198" t="s">
        <v>48987</v>
      </c>
      <c r="U14198" t="s">
        <v>61277</v>
      </c>
      <c r="W14198" t="s">
        <v>45153</v>
      </c>
      <c r="X14198" t="s">
        <v>47325</v>
      </c>
    </row>
    <row r="14199" spans="1:24">
      <c r="A14199">
        <f>HYPERLINK("https://www.philgeps.gov.ph/GEPSNONPILOT/Tender/SplashBidNoticeAbstractUI.aspx?menuIndex=3&amp;refID=7163878&amp;Result=3","7163878")</f>
        <v>0</v>
      </c>
      <c r="B14199" t="s">
        <v>3743</v>
      </c>
      <c r="C14199" t="s">
        <v>17297</v>
      </c>
      <c r="D14199" t="s">
        <v>19057</v>
      </c>
      <c r="E14199" t="s">
        <v>31084</v>
      </c>
      <c r="F14199" t="s">
        <v>32606</v>
      </c>
      <c r="G14199" t="s">
        <v>32618</v>
      </c>
      <c r="H14199" t="s">
        <v>14201</v>
      </c>
      <c r="I14199" t="s">
        <v>6931</v>
      </c>
      <c r="J14199" t="s">
        <v>41533</v>
      </c>
      <c r="K14199" t="s">
        <v>42631</v>
      </c>
      <c r="M14199" t="s">
        <v>47071</v>
      </c>
      <c r="N14199" t="s">
        <v>47304</v>
      </c>
      <c r="O14199" t="s">
        <v>47305</v>
      </c>
      <c r="P14199">
        <v>0</v>
      </c>
      <c r="Q14199">
        <v>2</v>
      </c>
      <c r="R14199" t="s">
        <v>47324</v>
      </c>
      <c r="S14199" t="s">
        <v>48182</v>
      </c>
      <c r="T14199" t="s">
        <v>49053</v>
      </c>
      <c r="U14199" t="s">
        <v>61278</v>
      </c>
      <c r="W14199" t="s">
        <v>47071</v>
      </c>
      <c r="X14199" t="s">
        <v>47325</v>
      </c>
    </row>
    <row r="14200" spans="1:24">
      <c r="A14200">
        <f>HYPERLINK("https://www.philgeps.gov.ph/GEPSNONPILOT/Tender/SplashBidNoticeAbstractUI.aspx?menuIndex=3&amp;refID=7164063&amp;Result=3","7164063")</f>
        <v>0</v>
      </c>
      <c r="B14200" t="s">
        <v>3744</v>
      </c>
      <c r="C14200" t="s">
        <v>17298</v>
      </c>
      <c r="D14200" t="s">
        <v>19010</v>
      </c>
      <c r="E14200" t="s">
        <v>19315</v>
      </c>
      <c r="F14200" t="s">
        <v>32606</v>
      </c>
      <c r="G14200" t="s">
        <v>32613</v>
      </c>
      <c r="H14200" t="s">
        <v>14201</v>
      </c>
      <c r="I14200" t="s">
        <v>4369</v>
      </c>
      <c r="J14200" t="s">
        <v>41534</v>
      </c>
      <c r="K14200" t="s">
        <v>42622</v>
      </c>
      <c r="M14200" t="s">
        <v>47072</v>
      </c>
      <c r="N14200" t="s">
        <v>47304</v>
      </c>
      <c r="O14200" t="s">
        <v>47305</v>
      </c>
      <c r="P14200">
        <v>0</v>
      </c>
      <c r="Q14200">
        <v>2</v>
      </c>
      <c r="R14200" t="s">
        <v>47324</v>
      </c>
      <c r="S14200" t="s">
        <v>48182</v>
      </c>
      <c r="T14200" t="s">
        <v>48975</v>
      </c>
      <c r="U14200" t="s">
        <v>61279</v>
      </c>
      <c r="W14200" t="s">
        <v>47072</v>
      </c>
      <c r="X14200" t="s">
        <v>47325</v>
      </c>
    </row>
    <row r="14201" spans="1:24">
      <c r="A14201">
        <f>HYPERLINK("https://www.philgeps.gov.ph/GEPSNONPILOT/Tender/SplashBidNoticeAbstractUI.aspx?menuIndex=3&amp;refID=7163726&amp;Result=3","7163726")</f>
        <v>0</v>
      </c>
      <c r="B14201" t="s">
        <v>1403</v>
      </c>
      <c r="C14201" t="s">
        <v>17299</v>
      </c>
      <c r="D14201" t="s">
        <v>19038</v>
      </c>
      <c r="E14201" t="s">
        <v>31085</v>
      </c>
      <c r="F14201" t="s">
        <v>32606</v>
      </c>
      <c r="G14201" t="s">
        <v>32613</v>
      </c>
      <c r="H14201" t="s">
        <v>32623</v>
      </c>
      <c r="I14201" t="s">
        <v>17648</v>
      </c>
      <c r="J14201" t="s">
        <v>41535</v>
      </c>
      <c r="K14201" t="s">
        <v>42645</v>
      </c>
      <c r="M14201" t="s">
        <v>47069</v>
      </c>
      <c r="N14201" t="s">
        <v>47304</v>
      </c>
      <c r="O14201" t="s">
        <v>47305</v>
      </c>
      <c r="P14201">
        <v>0</v>
      </c>
      <c r="Q14201">
        <v>1</v>
      </c>
      <c r="R14201" t="s">
        <v>47324</v>
      </c>
      <c r="S14201" t="s">
        <v>48182</v>
      </c>
      <c r="T14201" t="s">
        <v>49095</v>
      </c>
      <c r="U14201" t="s">
        <v>61280</v>
      </c>
      <c r="V14201" t="s">
        <v>64180</v>
      </c>
      <c r="W14201" t="s">
        <v>47069</v>
      </c>
      <c r="X14201" t="s">
        <v>47325</v>
      </c>
    </row>
    <row r="14202" spans="1:24">
      <c r="A14202">
        <f>HYPERLINK("https://www.philgeps.gov.ph/GEPSNONPILOT/Tender/SplashBidNoticeAbstractUI.aspx?menuIndex=3&amp;refID=7164123&amp;Result=3","7164123")</f>
        <v>0</v>
      </c>
      <c r="B14202" t="s">
        <v>392</v>
      </c>
      <c r="C14202" t="s">
        <v>17300</v>
      </c>
      <c r="D14202" t="s">
        <v>18993</v>
      </c>
      <c r="E14202" t="s">
        <v>31086</v>
      </c>
      <c r="F14202" t="s">
        <v>32606</v>
      </c>
      <c r="G14202" t="s">
        <v>32613</v>
      </c>
      <c r="H14202" t="s">
        <v>14201</v>
      </c>
      <c r="I14202" t="s">
        <v>32638</v>
      </c>
      <c r="J14202" t="s">
        <v>32772</v>
      </c>
      <c r="K14202" t="s">
        <v>42624</v>
      </c>
      <c r="M14202" t="s">
        <v>43295</v>
      </c>
      <c r="N14202" t="s">
        <v>47304</v>
      </c>
      <c r="O14202" t="s">
        <v>47305</v>
      </c>
      <c r="P14202">
        <v>0</v>
      </c>
      <c r="Q14202">
        <v>16</v>
      </c>
      <c r="R14202" t="s">
        <v>47324</v>
      </c>
      <c r="S14202" t="s">
        <v>48182</v>
      </c>
      <c r="T14202" t="s">
        <v>49170</v>
      </c>
      <c r="U14202" t="s">
        <v>61281</v>
      </c>
      <c r="W14202" t="s">
        <v>43295</v>
      </c>
      <c r="X14202" t="s">
        <v>47325</v>
      </c>
    </row>
    <row r="14203" spans="1:24">
      <c r="A14203">
        <f>HYPERLINK("https://www.philgeps.gov.ph/GEPSNONPILOT/Tender/SplashBidNoticeAbstractUI.aspx?menuIndex=3&amp;refID=7164117&amp;Result=3","7164117")</f>
        <v>0</v>
      </c>
      <c r="B14203" t="s">
        <v>1048</v>
      </c>
      <c r="C14203" t="s">
        <v>17301</v>
      </c>
      <c r="D14203" t="s">
        <v>18993</v>
      </c>
      <c r="E14203" t="s">
        <v>31087</v>
      </c>
      <c r="F14203" t="s">
        <v>32606</v>
      </c>
      <c r="G14203" t="s">
        <v>32613</v>
      </c>
      <c r="H14203" t="s">
        <v>14201</v>
      </c>
      <c r="I14203" t="s">
        <v>32728</v>
      </c>
      <c r="J14203" t="s">
        <v>41536</v>
      </c>
      <c r="K14203" t="s">
        <v>42631</v>
      </c>
      <c r="M14203" t="s">
        <v>47073</v>
      </c>
      <c r="N14203" t="s">
        <v>47304</v>
      </c>
      <c r="O14203" t="s">
        <v>47305</v>
      </c>
      <c r="Q14203">
        <v>6</v>
      </c>
      <c r="R14203" t="s">
        <v>47324</v>
      </c>
      <c r="S14203" t="s">
        <v>48210</v>
      </c>
      <c r="T14203" t="s">
        <v>49017</v>
      </c>
      <c r="U14203" t="s">
        <v>61282</v>
      </c>
      <c r="W14203" t="s">
        <v>47073</v>
      </c>
      <c r="X14203" t="s">
        <v>47325</v>
      </c>
    </row>
    <row r="14204" spans="1:24">
      <c r="A14204">
        <f>HYPERLINK("https://www.philgeps.gov.ph/GEPSNONPILOT/Tender/SplashBidNoticeAbstractUI.aspx?menuIndex=3&amp;refID=7164048&amp;Result=3","7164048")</f>
        <v>0</v>
      </c>
      <c r="B14204" t="s">
        <v>3736</v>
      </c>
      <c r="C14204" t="s">
        <v>17302</v>
      </c>
      <c r="D14204" t="s">
        <v>19023</v>
      </c>
      <c r="E14204" t="s">
        <v>31088</v>
      </c>
      <c r="F14204" t="s">
        <v>32606</v>
      </c>
      <c r="G14204" t="s">
        <v>32619</v>
      </c>
      <c r="H14204" t="s">
        <v>14201</v>
      </c>
      <c r="I14204" t="s">
        <v>6298</v>
      </c>
      <c r="J14204" t="s">
        <v>41537</v>
      </c>
      <c r="K14204" t="s">
        <v>42631</v>
      </c>
      <c r="M14204" t="s">
        <v>47062</v>
      </c>
      <c r="N14204" t="s">
        <v>47304</v>
      </c>
      <c r="O14204" t="s">
        <v>47305</v>
      </c>
      <c r="Q14204">
        <v>8</v>
      </c>
      <c r="R14204" t="s">
        <v>47324</v>
      </c>
      <c r="S14204" t="s">
        <v>48143</v>
      </c>
      <c r="T14204" t="s">
        <v>48980</v>
      </c>
      <c r="U14204" t="s">
        <v>61283</v>
      </c>
      <c r="V14204" t="s">
        <v>64173</v>
      </c>
      <c r="W14204" t="s">
        <v>47062</v>
      </c>
      <c r="X14204" t="s">
        <v>47325</v>
      </c>
    </row>
    <row r="14205" spans="1:24">
      <c r="A14205">
        <f>HYPERLINK("https://www.philgeps.gov.ph/GEPSNONPILOT/Tender/SplashBidNoticeAbstractUI.aspx?menuIndex=3&amp;refID=7164045&amp;Result=3","7164045")</f>
        <v>0</v>
      </c>
      <c r="B14205" t="s">
        <v>963</v>
      </c>
      <c r="C14205" t="s">
        <v>17303</v>
      </c>
      <c r="D14205" t="s">
        <v>19024</v>
      </c>
      <c r="E14205" t="s">
        <v>31089</v>
      </c>
      <c r="F14205" t="s">
        <v>32606</v>
      </c>
      <c r="G14205" t="s">
        <v>32613</v>
      </c>
      <c r="H14205" t="s">
        <v>14201</v>
      </c>
      <c r="I14205" t="s">
        <v>32626</v>
      </c>
      <c r="J14205" t="s">
        <v>32767</v>
      </c>
      <c r="K14205" t="s">
        <v>42631</v>
      </c>
      <c r="M14205" t="s">
        <v>45507</v>
      </c>
      <c r="N14205" t="s">
        <v>47304</v>
      </c>
      <c r="O14205" t="s">
        <v>47305</v>
      </c>
      <c r="Q14205">
        <v>10</v>
      </c>
      <c r="R14205" t="s">
        <v>47324</v>
      </c>
      <c r="S14205" t="s">
        <v>48211</v>
      </c>
      <c r="T14205" t="s">
        <v>49175</v>
      </c>
      <c r="U14205" t="s">
        <v>61284</v>
      </c>
      <c r="W14205" t="s">
        <v>45507</v>
      </c>
      <c r="X14205" t="s">
        <v>47325</v>
      </c>
    </row>
    <row r="14206" spans="1:24">
      <c r="A14206">
        <f>HYPERLINK("https://www.philgeps.gov.ph/GEPSNONPILOT/Tender/SplashBidNoticeAbstractUI.aspx?menuIndex=3&amp;refID=7164049&amp;Result=3","7164049")</f>
        <v>0</v>
      </c>
      <c r="B14206" t="s">
        <v>3745</v>
      </c>
      <c r="C14206" t="s">
        <v>17304</v>
      </c>
      <c r="D14206" t="s">
        <v>19011</v>
      </c>
      <c r="E14206" t="s">
        <v>31090</v>
      </c>
      <c r="F14206" t="s">
        <v>32606</v>
      </c>
      <c r="G14206" t="s">
        <v>32613</v>
      </c>
      <c r="H14206" t="s">
        <v>32623</v>
      </c>
      <c r="I14206" t="s">
        <v>17648</v>
      </c>
      <c r="J14206" t="s">
        <v>41538</v>
      </c>
      <c r="K14206" t="s">
        <v>42835</v>
      </c>
      <c r="M14206" t="s">
        <v>47074</v>
      </c>
      <c r="N14206" t="s">
        <v>47304</v>
      </c>
      <c r="O14206" t="s">
        <v>47305</v>
      </c>
      <c r="P14206">
        <v>0</v>
      </c>
      <c r="Q14206">
        <v>4</v>
      </c>
      <c r="R14206" t="s">
        <v>47324</v>
      </c>
      <c r="S14206" t="s">
        <v>48182</v>
      </c>
      <c r="T14206" t="s">
        <v>49269</v>
      </c>
      <c r="U14206" t="s">
        <v>61285</v>
      </c>
      <c r="W14206" t="s">
        <v>47074</v>
      </c>
      <c r="X14206" t="s">
        <v>47325</v>
      </c>
    </row>
    <row r="14207" spans="1:24">
      <c r="A14207">
        <f>HYPERLINK("https://www.philgeps.gov.ph/GEPSNONPILOT/Tender/SplashBidNoticeAbstractUI.aspx?menuIndex=3&amp;refID=7164041&amp;Result=3","7164041")</f>
        <v>0</v>
      </c>
      <c r="B14207" t="s">
        <v>3624</v>
      </c>
      <c r="C14207" t="s">
        <v>17305</v>
      </c>
      <c r="D14207" t="s">
        <v>19058</v>
      </c>
      <c r="E14207" t="s">
        <v>19919</v>
      </c>
      <c r="F14207" t="s">
        <v>32606</v>
      </c>
      <c r="G14207" t="s">
        <v>32613</v>
      </c>
      <c r="H14207" t="s">
        <v>14201</v>
      </c>
      <c r="I14207" t="s">
        <v>32645</v>
      </c>
      <c r="J14207" t="s">
        <v>41539</v>
      </c>
      <c r="K14207" t="s">
        <v>42624</v>
      </c>
      <c r="M14207" t="s">
        <v>46919</v>
      </c>
      <c r="N14207" t="s">
        <v>47304</v>
      </c>
      <c r="O14207" t="s">
        <v>47305</v>
      </c>
      <c r="Q14207">
        <v>11</v>
      </c>
      <c r="R14207" t="s">
        <v>47324</v>
      </c>
      <c r="S14207" t="s">
        <v>48212</v>
      </c>
      <c r="T14207" t="s">
        <v>49175</v>
      </c>
      <c r="U14207" t="s">
        <v>61286</v>
      </c>
      <c r="W14207" t="s">
        <v>46919</v>
      </c>
      <c r="X14207" t="s">
        <v>47325</v>
      </c>
    </row>
    <row r="14208" spans="1:24">
      <c r="A14208">
        <f>HYPERLINK("https://www.philgeps.gov.ph/GEPSNONPILOT/Tender/SplashBidNoticeAbstractUI.aspx?menuIndex=3&amp;refID=7164076&amp;Result=3","7164076")</f>
        <v>0</v>
      </c>
      <c r="B14208" t="s">
        <v>2981</v>
      </c>
      <c r="C14208" t="s">
        <v>17306</v>
      </c>
      <c r="D14208" t="s">
        <v>19038</v>
      </c>
      <c r="E14208" t="s">
        <v>24207</v>
      </c>
      <c r="F14208" t="s">
        <v>32606</v>
      </c>
      <c r="G14208" t="s">
        <v>32613</v>
      </c>
      <c r="H14208" t="s">
        <v>14201</v>
      </c>
      <c r="I14208" t="s">
        <v>32629</v>
      </c>
      <c r="J14208" t="s">
        <v>41540</v>
      </c>
      <c r="K14208" t="s">
        <v>42624</v>
      </c>
      <c r="M14208" t="s">
        <v>46168</v>
      </c>
      <c r="N14208" t="s">
        <v>47304</v>
      </c>
      <c r="O14208" t="s">
        <v>47305</v>
      </c>
      <c r="P14208">
        <v>0</v>
      </c>
      <c r="Q14208">
        <v>1</v>
      </c>
      <c r="R14208" t="s">
        <v>47324</v>
      </c>
      <c r="S14208" t="s">
        <v>48182</v>
      </c>
      <c r="T14208" t="s">
        <v>49268</v>
      </c>
      <c r="U14208" t="s">
        <v>61287</v>
      </c>
      <c r="W14208" t="s">
        <v>46168</v>
      </c>
      <c r="X14208" t="s">
        <v>47325</v>
      </c>
    </row>
    <row r="14209" spans="1:24">
      <c r="A14209">
        <f>HYPERLINK("https://www.philgeps.gov.ph/GEPSNONPILOT/Tender/SplashBidNoticeAbstractUI.aspx?menuIndex=3&amp;refID=7164038&amp;Result=3","7164038")</f>
        <v>0</v>
      </c>
      <c r="B14209" t="s">
        <v>3736</v>
      </c>
      <c r="C14209" t="s">
        <v>17307</v>
      </c>
      <c r="D14209" t="s">
        <v>19023</v>
      </c>
      <c r="E14209" t="s">
        <v>31091</v>
      </c>
      <c r="F14209" t="s">
        <v>32606</v>
      </c>
      <c r="G14209" t="s">
        <v>32619</v>
      </c>
      <c r="H14209" t="s">
        <v>14201</v>
      </c>
      <c r="I14209" t="s">
        <v>6298</v>
      </c>
      <c r="J14209" t="s">
        <v>41541</v>
      </c>
      <c r="K14209" t="s">
        <v>42631</v>
      </c>
      <c r="M14209" t="s">
        <v>47062</v>
      </c>
      <c r="N14209" t="s">
        <v>47304</v>
      </c>
      <c r="O14209" t="s">
        <v>47305</v>
      </c>
      <c r="Q14209">
        <v>7</v>
      </c>
      <c r="R14209" t="s">
        <v>47324</v>
      </c>
      <c r="S14209" t="s">
        <v>48213</v>
      </c>
      <c r="T14209" t="s">
        <v>48980</v>
      </c>
      <c r="U14209" t="s">
        <v>61288</v>
      </c>
      <c r="V14209" t="s">
        <v>64173</v>
      </c>
      <c r="W14209" t="s">
        <v>47062</v>
      </c>
      <c r="X14209" t="s">
        <v>47325</v>
      </c>
    </row>
    <row r="14210" spans="1:24">
      <c r="A14210">
        <f>HYPERLINK("https://www.philgeps.gov.ph/GEPSNONPILOT/Tender/SplashBidNoticeAbstractUI.aspx?menuIndex=3&amp;refID=7164030&amp;Result=3","7164030")</f>
        <v>0</v>
      </c>
      <c r="B14210" t="s">
        <v>3745</v>
      </c>
      <c r="C14210" t="s">
        <v>17308</v>
      </c>
      <c r="D14210" t="s">
        <v>19011</v>
      </c>
      <c r="E14210" t="s">
        <v>31092</v>
      </c>
      <c r="F14210" t="s">
        <v>32606</v>
      </c>
      <c r="G14210" t="s">
        <v>32613</v>
      </c>
      <c r="H14210" t="s">
        <v>32623</v>
      </c>
      <c r="I14210" t="s">
        <v>17648</v>
      </c>
      <c r="J14210" t="s">
        <v>35071</v>
      </c>
      <c r="K14210" t="s">
        <v>42712</v>
      </c>
      <c r="M14210" t="s">
        <v>47074</v>
      </c>
      <c r="N14210" t="s">
        <v>47304</v>
      </c>
      <c r="O14210" t="s">
        <v>47305</v>
      </c>
      <c r="P14210">
        <v>0</v>
      </c>
      <c r="Q14210">
        <v>6</v>
      </c>
      <c r="R14210" t="s">
        <v>47324</v>
      </c>
      <c r="S14210" t="s">
        <v>48182</v>
      </c>
      <c r="T14210" t="s">
        <v>49269</v>
      </c>
      <c r="U14210" t="s">
        <v>61285</v>
      </c>
      <c r="W14210" t="s">
        <v>47074</v>
      </c>
      <c r="X14210" t="s">
        <v>47325</v>
      </c>
    </row>
    <row r="14211" spans="1:24">
      <c r="A14211">
        <f>HYPERLINK("https://www.philgeps.gov.ph/GEPSNONPILOT/Tender/SplashBidNoticeAbstractUI.aspx?menuIndex=3&amp;refID=7164015&amp;Result=3","7164015")</f>
        <v>0</v>
      </c>
      <c r="B14211" t="s">
        <v>349</v>
      </c>
      <c r="C14211" t="s">
        <v>17309</v>
      </c>
      <c r="D14211" t="s">
        <v>19028</v>
      </c>
      <c r="E14211" t="s">
        <v>31093</v>
      </c>
      <c r="F14211" t="s">
        <v>32606</v>
      </c>
      <c r="G14211" t="s">
        <v>32613</v>
      </c>
      <c r="H14211" t="s">
        <v>32623</v>
      </c>
      <c r="I14211" t="s">
        <v>17648</v>
      </c>
      <c r="J14211" t="s">
        <v>41542</v>
      </c>
      <c r="K14211" t="s">
        <v>42646</v>
      </c>
      <c r="M14211" t="s">
        <v>47075</v>
      </c>
      <c r="N14211" t="s">
        <v>47304</v>
      </c>
      <c r="O14211" t="s">
        <v>47305</v>
      </c>
      <c r="P14211">
        <v>0</v>
      </c>
      <c r="Q14211">
        <v>30</v>
      </c>
      <c r="R14211" t="s">
        <v>47324</v>
      </c>
      <c r="S14211" t="s">
        <v>48182</v>
      </c>
      <c r="T14211" t="s">
        <v>48980</v>
      </c>
      <c r="U14211" t="s">
        <v>61289</v>
      </c>
      <c r="V14211" t="s">
        <v>64181</v>
      </c>
      <c r="W14211" t="s">
        <v>47075</v>
      </c>
      <c r="X14211" t="s">
        <v>47325</v>
      </c>
    </row>
    <row r="14212" spans="1:24">
      <c r="A14212">
        <f>HYPERLINK("https://www.philgeps.gov.ph/GEPSNONPILOT/Tender/SplashBidNoticeAbstractUI.aspx?menuIndex=3&amp;refID=7163934&amp;Result=3","7163934")</f>
        <v>0</v>
      </c>
      <c r="B14212" t="s">
        <v>3742</v>
      </c>
      <c r="C14212" t="s">
        <v>17310</v>
      </c>
      <c r="D14212" t="s">
        <v>19026</v>
      </c>
      <c r="E14212" t="s">
        <v>31094</v>
      </c>
      <c r="F14212" t="s">
        <v>32606</v>
      </c>
      <c r="G14212" t="s">
        <v>32613</v>
      </c>
      <c r="H14212" t="s">
        <v>14201</v>
      </c>
      <c r="I14212" t="s">
        <v>4678</v>
      </c>
      <c r="J14212" t="s">
        <v>33533</v>
      </c>
      <c r="K14212" t="s">
        <v>42624</v>
      </c>
      <c r="M14212" t="s">
        <v>47070</v>
      </c>
      <c r="N14212" t="s">
        <v>47304</v>
      </c>
      <c r="O14212" t="s">
        <v>47305</v>
      </c>
      <c r="P14212">
        <v>0</v>
      </c>
      <c r="Q14212">
        <v>6</v>
      </c>
      <c r="R14212" t="s">
        <v>47324</v>
      </c>
      <c r="S14212" t="s">
        <v>48182</v>
      </c>
      <c r="T14212" t="s">
        <v>49076</v>
      </c>
      <c r="U14212" t="s">
        <v>61290</v>
      </c>
      <c r="W14212" t="s">
        <v>47070</v>
      </c>
      <c r="X14212" t="s">
        <v>47325</v>
      </c>
    </row>
    <row r="14213" spans="1:24">
      <c r="A14213">
        <f>HYPERLINK("https://www.philgeps.gov.ph/GEPSNONPILOT/Tender/SplashBidNoticeAbstractUI.aspx?menuIndex=3&amp;refID=7164051&amp;Result=3","7164051")</f>
        <v>0</v>
      </c>
      <c r="B14213" t="s">
        <v>349</v>
      </c>
      <c r="C14213" t="s">
        <v>17311</v>
      </c>
      <c r="D14213" t="s">
        <v>19028</v>
      </c>
      <c r="E14213" t="s">
        <v>31095</v>
      </c>
      <c r="F14213" t="s">
        <v>32606</v>
      </c>
      <c r="G14213" t="s">
        <v>32613</v>
      </c>
      <c r="H14213" t="s">
        <v>32623</v>
      </c>
      <c r="I14213" t="s">
        <v>17648</v>
      </c>
      <c r="J14213" t="s">
        <v>41543</v>
      </c>
      <c r="K14213" t="s">
        <v>42891</v>
      </c>
      <c r="M14213" t="s">
        <v>47075</v>
      </c>
      <c r="N14213" t="s">
        <v>47304</v>
      </c>
      <c r="O14213" t="s">
        <v>47305</v>
      </c>
      <c r="P14213">
        <v>0</v>
      </c>
      <c r="Q14213">
        <v>21</v>
      </c>
      <c r="R14213" t="s">
        <v>47324</v>
      </c>
      <c r="S14213" t="s">
        <v>48182</v>
      </c>
      <c r="T14213" t="s">
        <v>48980</v>
      </c>
      <c r="U14213" t="s">
        <v>61291</v>
      </c>
      <c r="V14213" t="s">
        <v>63748</v>
      </c>
      <c r="W14213" t="s">
        <v>47075</v>
      </c>
      <c r="X14213" t="s">
        <v>47325</v>
      </c>
    </row>
    <row r="14214" spans="1:24">
      <c r="A14214">
        <f>HYPERLINK("https://www.philgeps.gov.ph/GEPSNONPILOT/Tender/SplashBidNoticeAbstractUI.aspx?menuIndex=3&amp;refID=7164127&amp;Result=3","7164127")</f>
        <v>0</v>
      </c>
      <c r="B14214" t="s">
        <v>1749</v>
      </c>
      <c r="C14214" t="s">
        <v>17312</v>
      </c>
      <c r="D14214" t="s">
        <v>18993</v>
      </c>
      <c r="E14214" t="s">
        <v>31096</v>
      </c>
      <c r="F14214" t="s">
        <v>32606</v>
      </c>
      <c r="G14214" t="s">
        <v>32613</v>
      </c>
      <c r="H14214" t="s">
        <v>14201</v>
      </c>
      <c r="I14214" t="s">
        <v>32716</v>
      </c>
      <c r="J14214" t="s">
        <v>41544</v>
      </c>
      <c r="K14214" t="s">
        <v>42645</v>
      </c>
      <c r="M14214" t="s">
        <v>44784</v>
      </c>
      <c r="N14214" t="s">
        <v>47304</v>
      </c>
      <c r="O14214" t="s">
        <v>47305</v>
      </c>
      <c r="Q14214">
        <v>12</v>
      </c>
      <c r="R14214" t="s">
        <v>47324</v>
      </c>
      <c r="S14214" t="s">
        <v>48214</v>
      </c>
      <c r="T14214" t="s">
        <v>49195</v>
      </c>
      <c r="U14214" t="s">
        <v>61292</v>
      </c>
      <c r="W14214" t="s">
        <v>44784</v>
      </c>
      <c r="X14214" t="s">
        <v>47325</v>
      </c>
    </row>
    <row r="14215" spans="1:24">
      <c r="A14215">
        <f>HYPERLINK("https://www.philgeps.gov.ph/GEPSNONPILOT/Tender/SplashBidNoticeAbstractUI.aspx?menuIndex=3&amp;refID=7135488&amp;Result=3","7135488")</f>
        <v>0</v>
      </c>
      <c r="B14215" t="s">
        <v>402</v>
      </c>
      <c r="C14215" t="s">
        <v>17313</v>
      </c>
      <c r="D14215" t="s">
        <v>19017</v>
      </c>
      <c r="E14215" t="s">
        <v>31097</v>
      </c>
      <c r="F14215" t="s">
        <v>32606</v>
      </c>
      <c r="G14215" t="s">
        <v>32613</v>
      </c>
      <c r="H14215" t="s">
        <v>14201</v>
      </c>
      <c r="I14215" t="s">
        <v>32663</v>
      </c>
      <c r="J14215" t="s">
        <v>35853</v>
      </c>
      <c r="K14215" t="s">
        <v>42631</v>
      </c>
      <c r="M14215" t="s">
        <v>43305</v>
      </c>
      <c r="N14215" t="s">
        <v>47304</v>
      </c>
      <c r="O14215" t="s">
        <v>47305</v>
      </c>
      <c r="P14215">
        <v>0</v>
      </c>
      <c r="Q14215">
        <v>5</v>
      </c>
      <c r="R14215" t="s">
        <v>47325</v>
      </c>
      <c r="S14215" t="s">
        <v>48215</v>
      </c>
      <c r="T14215" t="s">
        <v>48971</v>
      </c>
      <c r="U14215" t="s">
        <v>61293</v>
      </c>
      <c r="V14215" t="s">
        <v>64182</v>
      </c>
      <c r="W14215" t="s">
        <v>43305</v>
      </c>
      <c r="X14215" t="s">
        <v>47336</v>
      </c>
    </row>
    <row r="14216" spans="1:24">
      <c r="A14216">
        <f>HYPERLINK("https://www.philgeps.gov.ph/GEPSNONPILOT/Tender/SplashBidNoticeAbstractUI.aspx?menuIndex=3&amp;refID=7135303&amp;Result=3","7135303")</f>
        <v>0</v>
      </c>
      <c r="B14216" t="s">
        <v>402</v>
      </c>
      <c r="C14216" t="s">
        <v>17313</v>
      </c>
      <c r="D14216" t="s">
        <v>19017</v>
      </c>
      <c r="E14216" t="s">
        <v>31098</v>
      </c>
      <c r="F14216" t="s">
        <v>32606</v>
      </c>
      <c r="G14216" t="s">
        <v>32613</v>
      </c>
      <c r="H14216" t="s">
        <v>14201</v>
      </c>
      <c r="I14216" t="s">
        <v>32663</v>
      </c>
      <c r="J14216" t="s">
        <v>41545</v>
      </c>
      <c r="K14216" t="s">
        <v>42631</v>
      </c>
      <c r="M14216" t="s">
        <v>43305</v>
      </c>
      <c r="N14216" t="s">
        <v>47304</v>
      </c>
      <c r="O14216" t="s">
        <v>47305</v>
      </c>
      <c r="P14216">
        <v>0</v>
      </c>
      <c r="Q14216">
        <v>4</v>
      </c>
      <c r="R14216" t="s">
        <v>47325</v>
      </c>
      <c r="S14216" t="s">
        <v>48215</v>
      </c>
      <c r="T14216" t="s">
        <v>48971</v>
      </c>
      <c r="U14216" t="s">
        <v>61294</v>
      </c>
      <c r="V14216" t="s">
        <v>64183</v>
      </c>
      <c r="W14216" t="s">
        <v>43305</v>
      </c>
      <c r="X14216" t="s">
        <v>47337</v>
      </c>
    </row>
    <row r="14217" spans="1:24">
      <c r="A14217">
        <f>HYPERLINK("https://www.philgeps.gov.ph/GEPSNONPILOT/Tender/SplashBidNoticeAbstractUI.aspx?menuIndex=3&amp;refID=7163953&amp;Result=3","7163953")</f>
        <v>0</v>
      </c>
      <c r="B14217" t="s">
        <v>3742</v>
      </c>
      <c r="C14217" t="s">
        <v>17314</v>
      </c>
      <c r="D14217" t="s">
        <v>19026</v>
      </c>
      <c r="E14217" t="s">
        <v>31099</v>
      </c>
      <c r="F14217" t="s">
        <v>32606</v>
      </c>
      <c r="G14217" t="s">
        <v>32613</v>
      </c>
      <c r="H14217" t="s">
        <v>14201</v>
      </c>
      <c r="I14217" t="s">
        <v>4678</v>
      </c>
      <c r="J14217" t="s">
        <v>33843</v>
      </c>
      <c r="K14217" t="s">
        <v>42624</v>
      </c>
      <c r="M14217" t="s">
        <v>47070</v>
      </c>
      <c r="N14217" t="s">
        <v>47304</v>
      </c>
      <c r="O14217" t="s">
        <v>47305</v>
      </c>
      <c r="P14217">
        <v>0</v>
      </c>
      <c r="Q14217">
        <v>11</v>
      </c>
      <c r="R14217" t="s">
        <v>47324</v>
      </c>
      <c r="S14217" t="s">
        <v>48182</v>
      </c>
      <c r="T14217" t="s">
        <v>49076</v>
      </c>
      <c r="U14217" t="s">
        <v>61295</v>
      </c>
      <c r="W14217" t="s">
        <v>47070</v>
      </c>
      <c r="X14217" t="s">
        <v>47325</v>
      </c>
    </row>
    <row r="14218" spans="1:24">
      <c r="A14218">
        <f>HYPERLINK("https://www.philgeps.gov.ph/GEPSNONPILOT/Tender/SplashBidNoticeAbstractUI.aspx?menuIndex=3&amp;refID=7135284&amp;Result=3","7135284")</f>
        <v>0</v>
      </c>
      <c r="B14218" t="s">
        <v>402</v>
      </c>
      <c r="C14218" t="s">
        <v>17315</v>
      </c>
      <c r="D14218" t="s">
        <v>19017</v>
      </c>
      <c r="E14218" t="s">
        <v>31100</v>
      </c>
      <c r="F14218" t="s">
        <v>32606</v>
      </c>
      <c r="G14218" t="s">
        <v>32615</v>
      </c>
      <c r="H14218" t="s">
        <v>14201</v>
      </c>
      <c r="I14218" t="s">
        <v>7577</v>
      </c>
      <c r="J14218" t="s">
        <v>32789</v>
      </c>
      <c r="K14218" t="s">
        <v>42624</v>
      </c>
      <c r="M14218" t="s">
        <v>43305</v>
      </c>
      <c r="N14218" t="s">
        <v>47304</v>
      </c>
      <c r="O14218" t="s">
        <v>47305</v>
      </c>
      <c r="P14218">
        <v>0</v>
      </c>
      <c r="Q14218">
        <v>1</v>
      </c>
      <c r="R14218" t="s">
        <v>47325</v>
      </c>
      <c r="S14218" t="s">
        <v>48215</v>
      </c>
      <c r="T14218" t="s">
        <v>48971</v>
      </c>
      <c r="U14218" t="s">
        <v>61296</v>
      </c>
      <c r="V14218" t="s">
        <v>64182</v>
      </c>
      <c r="W14218" t="s">
        <v>43305</v>
      </c>
      <c r="X14218" t="s">
        <v>47337</v>
      </c>
    </row>
    <row r="14219" spans="1:24">
      <c r="A14219">
        <f>HYPERLINK("https://www.philgeps.gov.ph/GEPSNONPILOT/Tender/SplashBidNoticeAbstractUI.aspx?menuIndex=3&amp;refID=7163760&amp;Result=3","7163760")</f>
        <v>0</v>
      </c>
      <c r="B14219" t="s">
        <v>1282</v>
      </c>
      <c r="C14219" t="s">
        <v>17316</v>
      </c>
      <c r="D14219" t="s">
        <v>19037</v>
      </c>
      <c r="E14219" t="s">
        <v>31101</v>
      </c>
      <c r="F14219" t="s">
        <v>32606</v>
      </c>
      <c r="G14219" t="s">
        <v>32613</v>
      </c>
      <c r="H14219" t="s">
        <v>14201</v>
      </c>
      <c r="I14219" t="s">
        <v>7064</v>
      </c>
      <c r="J14219" t="s">
        <v>41546</v>
      </c>
      <c r="K14219" t="s">
        <v>42636</v>
      </c>
      <c r="M14219" t="s">
        <v>47066</v>
      </c>
      <c r="N14219" t="s">
        <v>47304</v>
      </c>
      <c r="O14219" t="s">
        <v>47305</v>
      </c>
      <c r="P14219">
        <v>0</v>
      </c>
      <c r="Q14219">
        <v>4</v>
      </c>
      <c r="R14219" t="s">
        <v>47324</v>
      </c>
      <c r="S14219" t="s">
        <v>48182</v>
      </c>
      <c r="T14219" t="s">
        <v>49020</v>
      </c>
      <c r="U14219" t="s">
        <v>61297</v>
      </c>
      <c r="W14219" t="s">
        <v>64470</v>
      </c>
      <c r="X14219" t="s">
        <v>47325</v>
      </c>
    </row>
    <row r="14220" spans="1:24">
      <c r="A14220">
        <f>HYPERLINK("https://www.philgeps.gov.ph/GEPSNONPILOT/Tender/SplashBidNoticeAbstractUI.aspx?menuIndex=3&amp;refID=7135218&amp;Result=3","7135218")</f>
        <v>0</v>
      </c>
      <c r="B14220" t="s">
        <v>402</v>
      </c>
      <c r="C14220" t="s">
        <v>17317</v>
      </c>
      <c r="D14220" t="s">
        <v>19017</v>
      </c>
      <c r="E14220" t="s">
        <v>31102</v>
      </c>
      <c r="F14220" t="s">
        <v>32606</v>
      </c>
      <c r="G14220" t="s">
        <v>32613</v>
      </c>
      <c r="H14220" t="s">
        <v>14201</v>
      </c>
      <c r="I14220" t="s">
        <v>7677</v>
      </c>
      <c r="J14220" t="s">
        <v>41547</v>
      </c>
      <c r="K14220" t="s">
        <v>42624</v>
      </c>
      <c r="M14220" t="s">
        <v>43305</v>
      </c>
      <c r="N14220" t="s">
        <v>47304</v>
      </c>
      <c r="O14220" t="s">
        <v>47305</v>
      </c>
      <c r="P14220">
        <v>0</v>
      </c>
      <c r="Q14220">
        <v>4</v>
      </c>
      <c r="R14220" t="s">
        <v>47325</v>
      </c>
      <c r="S14220" t="s">
        <v>48215</v>
      </c>
      <c r="T14220" t="s">
        <v>48971</v>
      </c>
      <c r="U14220" t="s">
        <v>61298</v>
      </c>
      <c r="V14220" t="s">
        <v>64184</v>
      </c>
      <c r="W14220" t="s">
        <v>43305</v>
      </c>
      <c r="X14220" t="s">
        <v>47337</v>
      </c>
    </row>
    <row r="14221" spans="1:24">
      <c r="A14221">
        <f>HYPERLINK("https://www.philgeps.gov.ph/GEPSNONPILOT/Tender/SplashBidNoticeAbstractUI.aspx?menuIndex=3&amp;refID=7114858&amp;Result=3","7114858")</f>
        <v>0</v>
      </c>
      <c r="B14221" t="s">
        <v>402</v>
      </c>
      <c r="C14221" t="s">
        <v>17318</v>
      </c>
      <c r="D14221" t="s">
        <v>19017</v>
      </c>
      <c r="E14221" t="s">
        <v>31103</v>
      </c>
      <c r="F14221" t="s">
        <v>32606</v>
      </c>
      <c r="G14221" t="s">
        <v>32613</v>
      </c>
      <c r="H14221" t="s">
        <v>14201</v>
      </c>
      <c r="I14221" t="s">
        <v>4114</v>
      </c>
      <c r="J14221" t="s">
        <v>41548</v>
      </c>
      <c r="K14221" t="s">
        <v>42631</v>
      </c>
      <c r="M14221" t="s">
        <v>43305</v>
      </c>
      <c r="N14221" t="s">
        <v>47304</v>
      </c>
      <c r="O14221" t="s">
        <v>47305</v>
      </c>
      <c r="P14221">
        <v>0</v>
      </c>
      <c r="Q14221">
        <v>2</v>
      </c>
      <c r="R14221" t="s">
        <v>47325</v>
      </c>
      <c r="S14221" t="s">
        <v>48215</v>
      </c>
      <c r="T14221" t="s">
        <v>48971</v>
      </c>
      <c r="U14221" t="s">
        <v>61299</v>
      </c>
      <c r="V14221" t="s">
        <v>64182</v>
      </c>
      <c r="W14221" t="s">
        <v>43305</v>
      </c>
      <c r="X14221" t="s">
        <v>47345</v>
      </c>
    </row>
    <row r="14222" spans="1:24">
      <c r="A14222">
        <f>HYPERLINK("https://www.philgeps.gov.ph/GEPSNONPILOT/Tender/SplashBidNoticeAbstractUI.aspx?menuIndex=3&amp;refID=7112476&amp;Result=3","7112476")</f>
        <v>0</v>
      </c>
      <c r="B14222" t="s">
        <v>402</v>
      </c>
      <c r="C14222" t="s">
        <v>17319</v>
      </c>
      <c r="D14222" t="s">
        <v>19017</v>
      </c>
      <c r="E14222" t="s">
        <v>31104</v>
      </c>
      <c r="F14222" t="s">
        <v>32606</v>
      </c>
      <c r="G14222" t="s">
        <v>32613</v>
      </c>
      <c r="H14222" t="s">
        <v>32623</v>
      </c>
      <c r="I14222" t="s">
        <v>17648</v>
      </c>
      <c r="J14222" t="s">
        <v>32795</v>
      </c>
      <c r="K14222" t="s">
        <v>42722</v>
      </c>
      <c r="M14222" t="s">
        <v>43305</v>
      </c>
      <c r="N14222" t="s">
        <v>47304</v>
      </c>
      <c r="O14222" t="s">
        <v>47305</v>
      </c>
      <c r="P14222">
        <v>0</v>
      </c>
      <c r="Q14222">
        <v>2</v>
      </c>
      <c r="R14222" t="s">
        <v>47325</v>
      </c>
      <c r="S14222" t="s">
        <v>48215</v>
      </c>
      <c r="T14222" t="s">
        <v>48971</v>
      </c>
      <c r="U14222" t="s">
        <v>61300</v>
      </c>
      <c r="V14222" t="s">
        <v>64185</v>
      </c>
      <c r="W14222" t="s">
        <v>43305</v>
      </c>
      <c r="X14222" t="s">
        <v>47346</v>
      </c>
    </row>
    <row r="14223" spans="1:24">
      <c r="A14223">
        <f>HYPERLINK("https://www.philgeps.gov.ph/GEPSNONPILOT/Tender/SplashBidNoticeAbstractUI.aspx?menuIndex=3&amp;refID=7164018&amp;Result=3","7164018")</f>
        <v>0</v>
      </c>
      <c r="B14223" t="s">
        <v>3746</v>
      </c>
      <c r="C14223" t="s">
        <v>5906</v>
      </c>
      <c r="D14223" t="s">
        <v>19010</v>
      </c>
      <c r="E14223" t="s">
        <v>28300</v>
      </c>
      <c r="F14223" t="s">
        <v>32606</v>
      </c>
      <c r="G14223" t="s">
        <v>32613</v>
      </c>
      <c r="H14223" t="s">
        <v>14201</v>
      </c>
      <c r="I14223" t="s">
        <v>6931</v>
      </c>
      <c r="J14223" t="s">
        <v>41549</v>
      </c>
      <c r="K14223" t="s">
        <v>42622</v>
      </c>
      <c r="M14223" t="s">
        <v>47076</v>
      </c>
      <c r="N14223" t="s">
        <v>47304</v>
      </c>
      <c r="O14223" t="s">
        <v>47305</v>
      </c>
      <c r="P14223">
        <v>0</v>
      </c>
      <c r="Q14223">
        <v>0</v>
      </c>
      <c r="R14223" t="s">
        <v>47324</v>
      </c>
      <c r="S14223" t="s">
        <v>48182</v>
      </c>
      <c r="T14223" t="s">
        <v>48998</v>
      </c>
      <c r="U14223" t="s">
        <v>61301</v>
      </c>
      <c r="W14223" t="s">
        <v>47076</v>
      </c>
      <c r="X14223" t="s">
        <v>47325</v>
      </c>
    </row>
    <row r="14224" spans="1:24">
      <c r="A14224">
        <f>HYPERLINK("https://www.philgeps.gov.ph/GEPSNONPILOT/Tender/SplashBidNoticeAbstractUI.aspx?menuIndex=3&amp;refID=7135241&amp;Result=3","7135241")</f>
        <v>0</v>
      </c>
      <c r="B14224" t="s">
        <v>402</v>
      </c>
      <c r="C14224" t="s">
        <v>17320</v>
      </c>
      <c r="D14224" t="s">
        <v>19017</v>
      </c>
      <c r="E14224" t="s">
        <v>31105</v>
      </c>
      <c r="F14224" t="s">
        <v>32606</v>
      </c>
      <c r="G14224" t="s">
        <v>32613</v>
      </c>
      <c r="H14224" t="s">
        <v>14201</v>
      </c>
      <c r="I14224" t="s">
        <v>7677</v>
      </c>
      <c r="J14224" t="s">
        <v>41550</v>
      </c>
      <c r="K14224" t="s">
        <v>42631</v>
      </c>
      <c r="M14224" t="s">
        <v>43305</v>
      </c>
      <c r="N14224" t="s">
        <v>47304</v>
      </c>
      <c r="O14224" t="s">
        <v>47305</v>
      </c>
      <c r="P14224">
        <v>0</v>
      </c>
      <c r="Q14224">
        <v>4</v>
      </c>
      <c r="R14224" t="s">
        <v>47325</v>
      </c>
      <c r="S14224" t="s">
        <v>48215</v>
      </c>
      <c r="T14224" t="s">
        <v>48971</v>
      </c>
      <c r="U14224" t="s">
        <v>61302</v>
      </c>
      <c r="V14224" t="s">
        <v>64186</v>
      </c>
      <c r="W14224" t="s">
        <v>43305</v>
      </c>
      <c r="X14224" t="s">
        <v>47337</v>
      </c>
    </row>
    <row r="14225" spans="1:24">
      <c r="A14225">
        <f>HYPERLINK("https://www.philgeps.gov.ph/GEPSNONPILOT/Tender/SplashBidNoticeAbstractUI.aspx?menuIndex=3&amp;refID=6985683&amp;Result=3","6985683")</f>
        <v>0</v>
      </c>
      <c r="B14225" t="s">
        <v>1353</v>
      </c>
      <c r="C14225" t="s">
        <v>17321</v>
      </c>
      <c r="D14225" t="s">
        <v>19041</v>
      </c>
      <c r="E14225" t="s">
        <v>31106</v>
      </c>
      <c r="F14225" t="s">
        <v>32606</v>
      </c>
      <c r="G14225" t="s">
        <v>32613</v>
      </c>
      <c r="H14225" t="s">
        <v>14201</v>
      </c>
      <c r="I14225" t="s">
        <v>32633</v>
      </c>
      <c r="J14225" t="s">
        <v>41551</v>
      </c>
      <c r="K14225" t="s">
        <v>42623</v>
      </c>
      <c r="M14225" t="s">
        <v>44327</v>
      </c>
      <c r="N14225" t="s">
        <v>47304</v>
      </c>
      <c r="O14225" t="s">
        <v>47305</v>
      </c>
      <c r="P14225">
        <v>0</v>
      </c>
      <c r="Q14225">
        <v>16</v>
      </c>
      <c r="R14225" t="s">
        <v>47325</v>
      </c>
      <c r="S14225" t="s">
        <v>48215</v>
      </c>
      <c r="T14225" t="s">
        <v>49020</v>
      </c>
      <c r="U14225" t="s">
        <v>61303</v>
      </c>
      <c r="V14225" t="s">
        <v>64141</v>
      </c>
      <c r="W14225" t="s">
        <v>44327</v>
      </c>
      <c r="X14225" t="s">
        <v>64575</v>
      </c>
    </row>
    <row r="14226" spans="1:24">
      <c r="A14226">
        <f>HYPERLINK("https://www.philgeps.gov.ph/GEPSNONPILOT/Tender/SplashBidNoticeAbstractUI.aspx?menuIndex=3&amp;refID=6843481&amp;Result=3","6843481")</f>
        <v>0</v>
      </c>
      <c r="B14226" t="s">
        <v>377</v>
      </c>
      <c r="C14226" t="s">
        <v>4563</v>
      </c>
      <c r="D14226" t="s">
        <v>19028</v>
      </c>
      <c r="E14226" t="s">
        <v>31107</v>
      </c>
      <c r="F14226" t="s">
        <v>32606</v>
      </c>
      <c r="G14226" t="s">
        <v>32613</v>
      </c>
      <c r="H14226" t="s">
        <v>14201</v>
      </c>
      <c r="I14226" t="s">
        <v>7064</v>
      </c>
      <c r="J14226" t="s">
        <v>41552</v>
      </c>
      <c r="K14226" t="s">
        <v>42648</v>
      </c>
      <c r="M14226" t="s">
        <v>43279</v>
      </c>
      <c r="N14226" t="s">
        <v>47304</v>
      </c>
      <c r="O14226" t="s">
        <v>47305</v>
      </c>
      <c r="P14226">
        <v>0</v>
      </c>
      <c r="Q14226">
        <v>10</v>
      </c>
      <c r="R14226" t="s">
        <v>47325</v>
      </c>
      <c r="S14226" t="s">
        <v>48215</v>
      </c>
      <c r="T14226" t="s">
        <v>49268</v>
      </c>
      <c r="U14226" t="s">
        <v>61304</v>
      </c>
      <c r="V14226" t="s">
        <v>64187</v>
      </c>
      <c r="W14226" t="s">
        <v>43279</v>
      </c>
      <c r="X14226" t="s">
        <v>47399</v>
      </c>
    </row>
    <row r="14227" spans="1:24">
      <c r="A14227">
        <f>HYPERLINK("https://www.philgeps.gov.ph/GEPSNONPILOT/Tender/SplashBidNoticeAbstractUI.aspx?menuIndex=3&amp;refID=7111731&amp;Result=3","7111731")</f>
        <v>0</v>
      </c>
      <c r="B14227" t="s">
        <v>402</v>
      </c>
      <c r="C14227" t="s">
        <v>17322</v>
      </c>
      <c r="D14227" t="s">
        <v>19017</v>
      </c>
      <c r="E14227" t="s">
        <v>31108</v>
      </c>
      <c r="F14227" t="s">
        <v>32606</v>
      </c>
      <c r="G14227" t="s">
        <v>32613</v>
      </c>
      <c r="H14227" t="s">
        <v>32623</v>
      </c>
      <c r="I14227" t="s">
        <v>17648</v>
      </c>
      <c r="J14227" t="s">
        <v>32767</v>
      </c>
      <c r="K14227" t="s">
        <v>42631</v>
      </c>
      <c r="M14227" t="s">
        <v>43305</v>
      </c>
      <c r="N14227" t="s">
        <v>47304</v>
      </c>
      <c r="O14227" t="s">
        <v>47305</v>
      </c>
      <c r="P14227">
        <v>0</v>
      </c>
      <c r="Q14227">
        <v>1</v>
      </c>
      <c r="R14227" t="s">
        <v>47325</v>
      </c>
      <c r="S14227" t="s">
        <v>48215</v>
      </c>
      <c r="T14227" t="s">
        <v>48971</v>
      </c>
      <c r="U14227" t="s">
        <v>61305</v>
      </c>
      <c r="V14227" t="s">
        <v>64188</v>
      </c>
      <c r="W14227" t="s">
        <v>43305</v>
      </c>
      <c r="X14227" t="s">
        <v>47346</v>
      </c>
    </row>
    <row r="14228" spans="1:24">
      <c r="A14228">
        <f>HYPERLINK("https://www.philgeps.gov.ph/GEPSNONPILOT/Tender/SplashBidNoticeAbstractUI.aspx?menuIndex=3&amp;refID=7164240&amp;Result=3","7164240")</f>
        <v>0</v>
      </c>
      <c r="B14228" t="s">
        <v>1726</v>
      </c>
      <c r="C14228" t="s">
        <v>17323</v>
      </c>
      <c r="E14228" t="s">
        <v>31109</v>
      </c>
      <c r="F14228" t="s">
        <v>32606</v>
      </c>
      <c r="G14228" t="s">
        <v>32614</v>
      </c>
      <c r="H14228" t="s">
        <v>14201</v>
      </c>
      <c r="I14228" t="s">
        <v>32640</v>
      </c>
      <c r="J14228" t="s">
        <v>41553</v>
      </c>
      <c r="K14228" t="s">
        <v>42624</v>
      </c>
      <c r="M14228" t="s">
        <v>44758</v>
      </c>
      <c r="N14228" t="s">
        <v>47304</v>
      </c>
      <c r="O14228" t="s">
        <v>47305</v>
      </c>
      <c r="Q14228">
        <v>12</v>
      </c>
      <c r="R14228" t="s">
        <v>47324</v>
      </c>
      <c r="S14228" t="s">
        <v>48216</v>
      </c>
      <c r="T14228" t="s">
        <v>48980</v>
      </c>
      <c r="U14228" t="s">
        <v>61306</v>
      </c>
      <c r="W14228" t="s">
        <v>44758</v>
      </c>
      <c r="X14228" t="s">
        <v>47325</v>
      </c>
    </row>
    <row r="14229" spans="1:24">
      <c r="A14229">
        <f>HYPERLINK("https://www.philgeps.gov.ph/GEPSNONPILOT/Tender/SplashBidNoticeAbstractUI.aspx?menuIndex=3&amp;refID=7111188&amp;Result=3","7111188")</f>
        <v>0</v>
      </c>
      <c r="B14229" t="s">
        <v>3747</v>
      </c>
      <c r="C14229" t="s">
        <v>17324</v>
      </c>
      <c r="D14229" t="s">
        <v>18988</v>
      </c>
      <c r="E14229" t="s">
        <v>19360</v>
      </c>
      <c r="F14229" t="s">
        <v>32606</v>
      </c>
      <c r="G14229" t="s">
        <v>32613</v>
      </c>
      <c r="H14229" t="s">
        <v>14201</v>
      </c>
      <c r="I14229" t="s">
        <v>4114</v>
      </c>
      <c r="J14229" t="s">
        <v>41554</v>
      </c>
      <c r="K14229" t="s">
        <v>42624</v>
      </c>
      <c r="M14229" t="s">
        <v>47077</v>
      </c>
      <c r="N14229" t="s">
        <v>47304</v>
      </c>
      <c r="O14229" t="s">
        <v>47305</v>
      </c>
      <c r="P14229">
        <v>0</v>
      </c>
      <c r="Q14229">
        <v>3</v>
      </c>
      <c r="R14229" t="s">
        <v>47325</v>
      </c>
      <c r="S14229" t="s">
        <v>48215</v>
      </c>
      <c r="T14229" t="s">
        <v>49004</v>
      </c>
      <c r="U14229" t="s">
        <v>61307</v>
      </c>
      <c r="W14229" t="s">
        <v>47077</v>
      </c>
      <c r="X14229" t="s">
        <v>47346</v>
      </c>
    </row>
    <row r="14230" spans="1:24">
      <c r="A14230">
        <f>HYPERLINK("https://www.philgeps.gov.ph/GEPSNONPILOT/Tender/SplashBidNoticeAbstractUI.aspx?menuIndex=3&amp;refID=7108814&amp;Result=3","7108814")</f>
        <v>0</v>
      </c>
      <c r="B14230" t="s">
        <v>3748</v>
      </c>
      <c r="C14230" t="s">
        <v>17325</v>
      </c>
      <c r="D14230" t="s">
        <v>19012</v>
      </c>
      <c r="E14230" t="s">
        <v>20468</v>
      </c>
      <c r="F14230" t="s">
        <v>32606</v>
      </c>
      <c r="G14230" t="s">
        <v>32613</v>
      </c>
      <c r="H14230" t="s">
        <v>14201</v>
      </c>
      <c r="I14230" t="s">
        <v>6931</v>
      </c>
      <c r="J14230" t="s">
        <v>41555</v>
      </c>
      <c r="K14230" t="s">
        <v>42631</v>
      </c>
      <c r="M14230" t="s">
        <v>47078</v>
      </c>
      <c r="N14230" t="s">
        <v>47304</v>
      </c>
      <c r="O14230" t="s">
        <v>47305</v>
      </c>
      <c r="P14230">
        <v>0</v>
      </c>
      <c r="Q14230">
        <v>2</v>
      </c>
      <c r="R14230" t="s">
        <v>47325</v>
      </c>
      <c r="S14230" t="s">
        <v>48215</v>
      </c>
      <c r="T14230" t="s">
        <v>48998</v>
      </c>
      <c r="U14230" t="s">
        <v>61308</v>
      </c>
      <c r="W14230" t="s">
        <v>64551</v>
      </c>
      <c r="X14230" t="s">
        <v>47349</v>
      </c>
    </row>
    <row r="14231" spans="1:24">
      <c r="A14231">
        <f>HYPERLINK("https://www.philgeps.gov.ph/GEPSNONPILOT/Tender/SplashBidNoticeAbstractUI.aspx?menuIndex=3&amp;refID=7164226&amp;Result=3","7164226")</f>
        <v>0</v>
      </c>
      <c r="B14231" t="s">
        <v>3749</v>
      </c>
      <c r="C14231" t="s">
        <v>17326</v>
      </c>
      <c r="D14231" t="s">
        <v>19025</v>
      </c>
      <c r="E14231" t="s">
        <v>31110</v>
      </c>
      <c r="F14231" t="s">
        <v>32606</v>
      </c>
      <c r="G14231" t="s">
        <v>32613</v>
      </c>
      <c r="H14231" t="s">
        <v>14201</v>
      </c>
      <c r="I14231" t="s">
        <v>4114</v>
      </c>
      <c r="J14231" t="s">
        <v>41556</v>
      </c>
      <c r="K14231" t="s">
        <v>42623</v>
      </c>
      <c r="M14231" t="s">
        <v>47079</v>
      </c>
      <c r="N14231" t="s">
        <v>47304</v>
      </c>
      <c r="O14231" t="s">
        <v>47305</v>
      </c>
      <c r="P14231">
        <v>0</v>
      </c>
      <c r="Q14231">
        <v>9</v>
      </c>
      <c r="R14231" t="s">
        <v>47324</v>
      </c>
      <c r="S14231" t="s">
        <v>48182</v>
      </c>
      <c r="T14231" t="s">
        <v>49108</v>
      </c>
      <c r="U14231" t="s">
        <v>61309</v>
      </c>
      <c r="V14231" t="s">
        <v>64189</v>
      </c>
      <c r="W14231" t="s">
        <v>47079</v>
      </c>
      <c r="X14231" t="s">
        <v>47325</v>
      </c>
    </row>
    <row r="14232" spans="1:24">
      <c r="A14232">
        <f>HYPERLINK("https://www.philgeps.gov.ph/GEPSNONPILOT/Tender/SplashBidNoticeAbstractUI.aspx?menuIndex=3&amp;refID=7155483&amp;Result=3","7155483")</f>
        <v>0</v>
      </c>
      <c r="B14232" t="s">
        <v>2115</v>
      </c>
      <c r="C14232" t="s">
        <v>17327</v>
      </c>
      <c r="D14232" t="s">
        <v>19008</v>
      </c>
      <c r="E14232" t="s">
        <v>31111</v>
      </c>
      <c r="F14232" t="s">
        <v>32606</v>
      </c>
      <c r="G14232" t="s">
        <v>32613</v>
      </c>
      <c r="H14232" t="s">
        <v>14201</v>
      </c>
      <c r="I14232" t="s">
        <v>32662</v>
      </c>
      <c r="J14232" t="s">
        <v>32767</v>
      </c>
      <c r="K14232" t="s">
        <v>42638</v>
      </c>
      <c r="M14232" t="s">
        <v>45789</v>
      </c>
      <c r="N14232" t="s">
        <v>47304</v>
      </c>
      <c r="O14232" t="s">
        <v>47305</v>
      </c>
      <c r="Q14232">
        <v>6</v>
      </c>
      <c r="R14232" t="s">
        <v>47325</v>
      </c>
      <c r="S14232" t="s">
        <v>48217</v>
      </c>
      <c r="T14232" t="s">
        <v>49004</v>
      </c>
      <c r="U14232" t="s">
        <v>61310</v>
      </c>
      <c r="V14232" t="s">
        <v>63377</v>
      </c>
      <c r="W14232" t="s">
        <v>45789</v>
      </c>
      <c r="X14232" t="s">
        <v>47327</v>
      </c>
    </row>
    <row r="14233" spans="1:24">
      <c r="A14233">
        <f>HYPERLINK("https://www.philgeps.gov.ph/GEPSNONPILOT/Tender/SplashBidNoticeAbstractUI.aspx?menuIndex=3&amp;refID=7155443&amp;Result=3","7155443")</f>
        <v>0</v>
      </c>
      <c r="B14233" t="s">
        <v>2166</v>
      </c>
      <c r="C14233" t="s">
        <v>17328</v>
      </c>
      <c r="D14233" t="s">
        <v>19024</v>
      </c>
      <c r="E14233" t="s">
        <v>31112</v>
      </c>
      <c r="F14233" t="s">
        <v>32606</v>
      </c>
      <c r="G14233" t="s">
        <v>32613</v>
      </c>
      <c r="H14233" t="s">
        <v>32623</v>
      </c>
      <c r="I14233" t="s">
        <v>17648</v>
      </c>
      <c r="J14233" t="s">
        <v>41557</v>
      </c>
      <c r="K14233" t="s">
        <v>42892</v>
      </c>
      <c r="M14233" t="s">
        <v>45260</v>
      </c>
      <c r="N14233" t="s">
        <v>47304</v>
      </c>
      <c r="O14233" t="s">
        <v>47305</v>
      </c>
      <c r="P14233">
        <v>0</v>
      </c>
      <c r="Q14233">
        <v>0</v>
      </c>
      <c r="R14233" t="s">
        <v>47325</v>
      </c>
      <c r="S14233" t="s">
        <v>48215</v>
      </c>
      <c r="T14233" t="s">
        <v>49071</v>
      </c>
      <c r="U14233" t="s">
        <v>61311</v>
      </c>
      <c r="W14233" t="s">
        <v>45260</v>
      </c>
      <c r="X14233" t="s">
        <v>47327</v>
      </c>
    </row>
    <row r="14234" spans="1:24">
      <c r="A14234">
        <f>HYPERLINK("https://www.philgeps.gov.ph/GEPSNONPILOT/Tender/SplashBidNoticeAbstractUI.aspx?menuIndex=3&amp;refID=7155448&amp;Result=3","7155448")</f>
        <v>0</v>
      </c>
      <c r="B14234" t="s">
        <v>2115</v>
      </c>
      <c r="C14234" t="s">
        <v>17329</v>
      </c>
      <c r="D14234" t="s">
        <v>19008</v>
      </c>
      <c r="E14234" t="s">
        <v>31113</v>
      </c>
      <c r="F14234" t="s">
        <v>32606</v>
      </c>
      <c r="G14234" t="s">
        <v>32613</v>
      </c>
      <c r="H14234" t="s">
        <v>14201</v>
      </c>
      <c r="I14234" t="s">
        <v>32662</v>
      </c>
      <c r="J14234" t="s">
        <v>34591</v>
      </c>
      <c r="K14234" t="s">
        <v>42638</v>
      </c>
      <c r="M14234" t="s">
        <v>45789</v>
      </c>
      <c r="N14234" t="s">
        <v>47304</v>
      </c>
      <c r="O14234" t="s">
        <v>47305</v>
      </c>
      <c r="Q14234">
        <v>8</v>
      </c>
      <c r="R14234" t="s">
        <v>47325</v>
      </c>
      <c r="S14234" t="s">
        <v>48218</v>
      </c>
      <c r="T14234" t="s">
        <v>49004</v>
      </c>
      <c r="U14234" t="s">
        <v>61312</v>
      </c>
      <c r="V14234" t="s">
        <v>63377</v>
      </c>
      <c r="W14234" t="s">
        <v>45789</v>
      </c>
      <c r="X14234" t="s">
        <v>47327</v>
      </c>
    </row>
    <row r="14235" spans="1:24">
      <c r="A14235">
        <f>HYPERLINK("https://www.philgeps.gov.ph/GEPSNONPILOT/Tender/SplashBidNoticeAbstractUI.aspx?menuIndex=3&amp;refID=7155409&amp;Result=3","7155409")</f>
        <v>0</v>
      </c>
      <c r="B14235" t="s">
        <v>2166</v>
      </c>
      <c r="C14235" t="s">
        <v>17330</v>
      </c>
      <c r="D14235" t="s">
        <v>19024</v>
      </c>
      <c r="E14235" t="s">
        <v>31114</v>
      </c>
      <c r="F14235" t="s">
        <v>32606</v>
      </c>
      <c r="G14235" t="s">
        <v>32613</v>
      </c>
      <c r="H14235" t="s">
        <v>32623</v>
      </c>
      <c r="I14235" t="s">
        <v>17648</v>
      </c>
      <c r="J14235" t="s">
        <v>41558</v>
      </c>
      <c r="K14235" t="s">
        <v>42893</v>
      </c>
      <c r="M14235" t="s">
        <v>45260</v>
      </c>
      <c r="N14235" t="s">
        <v>47304</v>
      </c>
      <c r="O14235" t="s">
        <v>47305</v>
      </c>
      <c r="P14235">
        <v>0</v>
      </c>
      <c r="Q14235">
        <v>0</v>
      </c>
      <c r="R14235" t="s">
        <v>47325</v>
      </c>
      <c r="S14235" t="s">
        <v>48215</v>
      </c>
      <c r="T14235" t="s">
        <v>49071</v>
      </c>
      <c r="U14235" t="s">
        <v>61313</v>
      </c>
      <c r="W14235" t="s">
        <v>45260</v>
      </c>
      <c r="X14235" t="s">
        <v>47327</v>
      </c>
    </row>
    <row r="14236" spans="1:24">
      <c r="A14236">
        <f>HYPERLINK("https://www.philgeps.gov.ph/GEPSNONPILOT/Tender/SplashBidNoticeAbstractUI.aspx?menuIndex=3&amp;refID=7155379&amp;Result=3","7155379")</f>
        <v>0</v>
      </c>
      <c r="B14236" t="s">
        <v>2221</v>
      </c>
      <c r="C14236" t="s">
        <v>17331</v>
      </c>
      <c r="D14236" t="s">
        <v>19007</v>
      </c>
      <c r="E14236" t="s">
        <v>31115</v>
      </c>
      <c r="F14236" t="s">
        <v>32606</v>
      </c>
      <c r="G14236" t="s">
        <v>32613</v>
      </c>
      <c r="H14236" t="s">
        <v>32623</v>
      </c>
      <c r="I14236" t="s">
        <v>17648</v>
      </c>
      <c r="J14236" t="s">
        <v>35071</v>
      </c>
      <c r="K14236" t="s">
        <v>42645</v>
      </c>
      <c r="L14236" t="s">
        <v>2221</v>
      </c>
      <c r="M14236" t="s">
        <v>45325</v>
      </c>
      <c r="N14236" t="s">
        <v>47304</v>
      </c>
      <c r="O14236" t="s">
        <v>47305</v>
      </c>
      <c r="P14236">
        <v>0</v>
      </c>
      <c r="Q14236">
        <v>4</v>
      </c>
      <c r="R14236" t="s">
        <v>47325</v>
      </c>
      <c r="S14236" t="s">
        <v>48215</v>
      </c>
      <c r="T14236" t="s">
        <v>49268</v>
      </c>
      <c r="U14236" t="s">
        <v>61314</v>
      </c>
      <c r="W14236" t="s">
        <v>45325</v>
      </c>
      <c r="X14236" t="s">
        <v>47327</v>
      </c>
    </row>
    <row r="14237" spans="1:24">
      <c r="A14237">
        <f>HYPERLINK("https://www.philgeps.gov.ph/GEPSNONPILOT/Tender/SplashBidNoticeAbstractUI.aspx?menuIndex=3&amp;refID=7153403&amp;Result=3","7153403")</f>
        <v>0</v>
      </c>
      <c r="B14237" t="s">
        <v>1250</v>
      </c>
      <c r="C14237" t="s">
        <v>17332</v>
      </c>
      <c r="D14237" t="s">
        <v>19044</v>
      </c>
      <c r="E14237" t="s">
        <v>31116</v>
      </c>
      <c r="F14237" t="s">
        <v>32606</v>
      </c>
      <c r="G14237" t="s">
        <v>32613</v>
      </c>
      <c r="H14237" t="s">
        <v>32623</v>
      </c>
      <c r="I14237" t="s">
        <v>17648</v>
      </c>
      <c r="J14237" t="s">
        <v>41559</v>
      </c>
      <c r="K14237" t="s">
        <v>42894</v>
      </c>
      <c r="M14237" t="s">
        <v>47080</v>
      </c>
      <c r="N14237" t="s">
        <v>47304</v>
      </c>
      <c r="O14237" t="s">
        <v>47305</v>
      </c>
      <c r="P14237">
        <v>0</v>
      </c>
      <c r="Q14237">
        <v>0</v>
      </c>
      <c r="R14237" t="s">
        <v>47325</v>
      </c>
      <c r="S14237" t="s">
        <v>48215</v>
      </c>
      <c r="T14237" t="s">
        <v>49339</v>
      </c>
      <c r="U14237" t="s">
        <v>61315</v>
      </c>
      <c r="W14237" t="s">
        <v>47080</v>
      </c>
      <c r="X14237" t="s">
        <v>47328</v>
      </c>
    </row>
    <row r="14238" spans="1:24">
      <c r="A14238">
        <f>HYPERLINK("https://www.philgeps.gov.ph/GEPSNONPILOT/Tender/SplashBidNoticeAbstractUI.aspx?menuIndex=3&amp;refID=7153358&amp;Result=3","7153358")</f>
        <v>0</v>
      </c>
      <c r="B14238" t="s">
        <v>1250</v>
      </c>
      <c r="C14238" t="s">
        <v>17333</v>
      </c>
      <c r="D14238" t="s">
        <v>19044</v>
      </c>
      <c r="E14238" t="s">
        <v>31117</v>
      </c>
      <c r="F14238" t="s">
        <v>32606</v>
      </c>
      <c r="G14238" t="s">
        <v>32613</v>
      </c>
      <c r="H14238" t="s">
        <v>32623</v>
      </c>
      <c r="I14238" t="s">
        <v>17648</v>
      </c>
      <c r="J14238" t="s">
        <v>41560</v>
      </c>
      <c r="K14238" t="s">
        <v>42837</v>
      </c>
      <c r="M14238" t="s">
        <v>47080</v>
      </c>
      <c r="N14238" t="s">
        <v>47304</v>
      </c>
      <c r="O14238" t="s">
        <v>47305</v>
      </c>
      <c r="P14238">
        <v>0</v>
      </c>
      <c r="Q14238">
        <v>0</v>
      </c>
      <c r="R14238" t="s">
        <v>47325</v>
      </c>
      <c r="S14238" t="s">
        <v>48215</v>
      </c>
      <c r="T14238" t="s">
        <v>49339</v>
      </c>
      <c r="U14238" t="s">
        <v>61316</v>
      </c>
      <c r="W14238" t="s">
        <v>47080</v>
      </c>
      <c r="X14238" t="s">
        <v>47328</v>
      </c>
    </row>
    <row r="14239" spans="1:24">
      <c r="A14239">
        <f>HYPERLINK("https://www.philgeps.gov.ph/GEPSNONPILOT/Tender/SplashBidNoticeAbstractUI.aspx?menuIndex=3&amp;refID=7164033&amp;Result=3","7164033")</f>
        <v>0</v>
      </c>
      <c r="B14239" t="s">
        <v>349</v>
      </c>
      <c r="C14239" t="s">
        <v>17334</v>
      </c>
      <c r="D14239" t="s">
        <v>19028</v>
      </c>
      <c r="E14239" t="s">
        <v>31118</v>
      </c>
      <c r="F14239" t="s">
        <v>32606</v>
      </c>
      <c r="G14239" t="s">
        <v>32613</v>
      </c>
      <c r="H14239" t="s">
        <v>32623</v>
      </c>
      <c r="I14239" t="s">
        <v>17648</v>
      </c>
      <c r="J14239" t="s">
        <v>41561</v>
      </c>
      <c r="K14239" t="s">
        <v>42646</v>
      </c>
      <c r="M14239" t="s">
        <v>47075</v>
      </c>
      <c r="N14239" t="s">
        <v>47304</v>
      </c>
      <c r="O14239" t="s">
        <v>47305</v>
      </c>
      <c r="P14239">
        <v>0</v>
      </c>
      <c r="Q14239">
        <v>22</v>
      </c>
      <c r="R14239" t="s">
        <v>47324</v>
      </c>
      <c r="S14239" t="s">
        <v>48182</v>
      </c>
      <c r="T14239" t="s">
        <v>48980</v>
      </c>
      <c r="U14239" t="s">
        <v>61317</v>
      </c>
      <c r="V14239" t="s">
        <v>63748</v>
      </c>
      <c r="W14239" t="s">
        <v>47075</v>
      </c>
      <c r="X14239" t="s">
        <v>47325</v>
      </c>
    </row>
    <row r="14240" spans="1:24">
      <c r="A14240">
        <f>HYPERLINK("https://www.philgeps.gov.ph/GEPSNONPILOT/Tender/SplashBidNoticeAbstractUI.aspx?menuIndex=3&amp;refID=7153340&amp;Result=3","7153340")</f>
        <v>0</v>
      </c>
      <c r="B14240" t="s">
        <v>377</v>
      </c>
      <c r="C14240" t="s">
        <v>17335</v>
      </c>
      <c r="D14240" t="s">
        <v>19028</v>
      </c>
      <c r="E14240" t="s">
        <v>31119</v>
      </c>
      <c r="F14240" t="s">
        <v>32606</v>
      </c>
      <c r="G14240" t="s">
        <v>32613</v>
      </c>
      <c r="H14240" t="s">
        <v>14201</v>
      </c>
      <c r="I14240" t="s">
        <v>7677</v>
      </c>
      <c r="J14240" t="s">
        <v>41562</v>
      </c>
      <c r="K14240" t="s">
        <v>42631</v>
      </c>
      <c r="M14240" t="s">
        <v>43279</v>
      </c>
      <c r="N14240" t="s">
        <v>47304</v>
      </c>
      <c r="O14240" t="s">
        <v>47305</v>
      </c>
      <c r="Q14240">
        <v>9</v>
      </c>
      <c r="R14240" t="s">
        <v>47325</v>
      </c>
      <c r="S14240" t="s">
        <v>48219</v>
      </c>
      <c r="T14240" t="s">
        <v>49268</v>
      </c>
      <c r="U14240" t="s">
        <v>61318</v>
      </c>
      <c r="V14240" t="s">
        <v>64190</v>
      </c>
      <c r="W14240" t="s">
        <v>43279</v>
      </c>
      <c r="X14240" t="s">
        <v>47328</v>
      </c>
    </row>
    <row r="14241" spans="1:24">
      <c r="A14241">
        <f>HYPERLINK("https://www.philgeps.gov.ph/GEPSNONPILOT/Tender/SplashBidNoticeAbstractUI.aspx?menuIndex=3&amp;refID=7153330&amp;Result=3","7153330")</f>
        <v>0</v>
      </c>
      <c r="B14241" t="s">
        <v>1250</v>
      </c>
      <c r="C14241" t="s">
        <v>17336</v>
      </c>
      <c r="D14241" t="s">
        <v>19044</v>
      </c>
      <c r="E14241" t="s">
        <v>31120</v>
      </c>
      <c r="F14241" t="s">
        <v>32606</v>
      </c>
      <c r="G14241" t="s">
        <v>32613</v>
      </c>
      <c r="H14241" t="s">
        <v>32623</v>
      </c>
      <c r="I14241" t="s">
        <v>17648</v>
      </c>
      <c r="J14241" t="s">
        <v>41563</v>
      </c>
      <c r="K14241" t="s">
        <v>42730</v>
      </c>
      <c r="M14241" t="s">
        <v>47080</v>
      </c>
      <c r="N14241" t="s">
        <v>47304</v>
      </c>
      <c r="O14241" t="s">
        <v>47305</v>
      </c>
      <c r="P14241">
        <v>0</v>
      </c>
      <c r="Q14241">
        <v>0</v>
      </c>
      <c r="R14241" t="s">
        <v>47325</v>
      </c>
      <c r="S14241" t="s">
        <v>48215</v>
      </c>
      <c r="T14241" t="s">
        <v>49339</v>
      </c>
      <c r="U14241" t="s">
        <v>61319</v>
      </c>
      <c r="W14241" t="s">
        <v>47080</v>
      </c>
      <c r="X14241" t="s">
        <v>47328</v>
      </c>
    </row>
    <row r="14242" spans="1:24">
      <c r="A14242">
        <f>HYPERLINK("https://www.philgeps.gov.ph/GEPSNONPILOT/Tender/SplashBidNoticeAbstractUI.aspx?menuIndex=3&amp;refID=7144559&amp;Result=3","7144559")</f>
        <v>0</v>
      </c>
      <c r="B14242" t="s">
        <v>77</v>
      </c>
      <c r="C14242" t="s">
        <v>17337</v>
      </c>
      <c r="D14242" t="s">
        <v>19019</v>
      </c>
      <c r="E14242" t="s">
        <v>31121</v>
      </c>
      <c r="F14242" t="s">
        <v>32606</v>
      </c>
      <c r="G14242" t="s">
        <v>32613</v>
      </c>
      <c r="H14242" t="s">
        <v>14201</v>
      </c>
      <c r="I14242" t="s">
        <v>32650</v>
      </c>
      <c r="J14242" t="s">
        <v>41564</v>
      </c>
      <c r="K14242" t="s">
        <v>42631</v>
      </c>
      <c r="M14242" t="s">
        <v>42974</v>
      </c>
      <c r="N14242" t="s">
        <v>47304</v>
      </c>
      <c r="O14242" t="s">
        <v>47305</v>
      </c>
      <c r="P14242">
        <v>0</v>
      </c>
      <c r="Q14242">
        <v>6</v>
      </c>
      <c r="R14242" t="s">
        <v>47325</v>
      </c>
      <c r="S14242" t="s">
        <v>48215</v>
      </c>
      <c r="T14242" t="s">
        <v>49004</v>
      </c>
      <c r="U14242" t="s">
        <v>61320</v>
      </c>
      <c r="V14242" t="s">
        <v>64191</v>
      </c>
      <c r="W14242" t="s">
        <v>42974</v>
      </c>
      <c r="X14242" t="s">
        <v>47333</v>
      </c>
    </row>
    <row r="14243" spans="1:24">
      <c r="A14243">
        <f>HYPERLINK("https://www.philgeps.gov.ph/GEPSNONPILOT/Tender/SplashBidNoticeAbstractUI.aspx?menuIndex=3&amp;refID=7153041&amp;Result=3","7153041")</f>
        <v>0</v>
      </c>
      <c r="B14243" t="s">
        <v>1250</v>
      </c>
      <c r="C14243" t="s">
        <v>17338</v>
      </c>
      <c r="D14243" t="s">
        <v>19044</v>
      </c>
      <c r="E14243" t="s">
        <v>31122</v>
      </c>
      <c r="F14243" t="s">
        <v>32606</v>
      </c>
      <c r="G14243" t="s">
        <v>32613</v>
      </c>
      <c r="H14243" t="s">
        <v>32623</v>
      </c>
      <c r="I14243" t="s">
        <v>17648</v>
      </c>
      <c r="J14243" t="s">
        <v>41565</v>
      </c>
      <c r="K14243" t="s">
        <v>42647</v>
      </c>
      <c r="M14243" t="s">
        <v>47080</v>
      </c>
      <c r="N14243" t="s">
        <v>47304</v>
      </c>
      <c r="O14243" t="s">
        <v>47305</v>
      </c>
      <c r="P14243">
        <v>0</v>
      </c>
      <c r="Q14243">
        <v>0</v>
      </c>
      <c r="R14243" t="s">
        <v>47325</v>
      </c>
      <c r="S14243" t="s">
        <v>48215</v>
      </c>
      <c r="T14243" t="s">
        <v>49339</v>
      </c>
      <c r="U14243" t="s">
        <v>61321</v>
      </c>
      <c r="W14243" t="s">
        <v>47080</v>
      </c>
      <c r="X14243" t="s">
        <v>47328</v>
      </c>
    </row>
    <row r="14244" spans="1:24">
      <c r="A14244">
        <f>HYPERLINK("https://www.philgeps.gov.ph/GEPSNONPILOT/Tender/SplashBidNoticeAbstractUI.aspx?menuIndex=3&amp;refID=7153139&amp;Result=3","7153139")</f>
        <v>0</v>
      </c>
      <c r="B14244" t="s">
        <v>1250</v>
      </c>
      <c r="C14244" t="s">
        <v>17339</v>
      </c>
      <c r="D14244" t="s">
        <v>19044</v>
      </c>
      <c r="E14244" t="s">
        <v>31123</v>
      </c>
      <c r="F14244" t="s">
        <v>32606</v>
      </c>
      <c r="G14244" t="s">
        <v>32613</v>
      </c>
      <c r="H14244" t="s">
        <v>32623</v>
      </c>
      <c r="I14244" t="s">
        <v>17648</v>
      </c>
      <c r="J14244" t="s">
        <v>41566</v>
      </c>
      <c r="K14244" t="s">
        <v>42686</v>
      </c>
      <c r="M14244" t="s">
        <v>47080</v>
      </c>
      <c r="N14244" t="s">
        <v>47304</v>
      </c>
      <c r="O14244" t="s">
        <v>47305</v>
      </c>
      <c r="P14244">
        <v>0</v>
      </c>
      <c r="Q14244">
        <v>0</v>
      </c>
      <c r="R14244" t="s">
        <v>47325</v>
      </c>
      <c r="S14244" t="s">
        <v>48215</v>
      </c>
      <c r="T14244" t="s">
        <v>49339</v>
      </c>
      <c r="U14244" t="s">
        <v>61322</v>
      </c>
      <c r="W14244" t="s">
        <v>47080</v>
      </c>
      <c r="X14244" t="s">
        <v>47328</v>
      </c>
    </row>
    <row r="14245" spans="1:24">
      <c r="A14245">
        <f>HYPERLINK("https://www.philgeps.gov.ph/GEPSNONPILOT/Tender/SplashBidNoticeAbstractUI.aspx?menuIndex=3&amp;refID=7153310&amp;Result=3","7153310")</f>
        <v>0</v>
      </c>
      <c r="B14245" t="s">
        <v>1250</v>
      </c>
      <c r="C14245" t="s">
        <v>17340</v>
      </c>
      <c r="D14245" t="s">
        <v>19044</v>
      </c>
      <c r="E14245" t="s">
        <v>31124</v>
      </c>
      <c r="F14245" t="s">
        <v>32606</v>
      </c>
      <c r="G14245" t="s">
        <v>32613</v>
      </c>
      <c r="H14245" t="s">
        <v>32623</v>
      </c>
      <c r="I14245" t="s">
        <v>17648</v>
      </c>
      <c r="J14245" t="s">
        <v>41567</v>
      </c>
      <c r="K14245" t="s">
        <v>42720</v>
      </c>
      <c r="M14245" t="s">
        <v>47080</v>
      </c>
      <c r="N14245" t="s">
        <v>47304</v>
      </c>
      <c r="O14245" t="s">
        <v>47305</v>
      </c>
      <c r="P14245">
        <v>0</v>
      </c>
      <c r="Q14245">
        <v>0</v>
      </c>
      <c r="R14245" t="s">
        <v>47325</v>
      </c>
      <c r="S14245" t="s">
        <v>48215</v>
      </c>
      <c r="T14245" t="s">
        <v>49339</v>
      </c>
      <c r="U14245" t="s">
        <v>61323</v>
      </c>
      <c r="W14245" t="s">
        <v>47080</v>
      </c>
      <c r="X14245" t="s">
        <v>47328</v>
      </c>
    </row>
    <row r="14246" spans="1:24">
      <c r="A14246">
        <f>HYPERLINK("https://www.philgeps.gov.ph/GEPSNONPILOT/Tender/SplashBidNoticeAbstractUI.aspx?menuIndex=3&amp;refID=7155357&amp;Result=3","7155357")</f>
        <v>0</v>
      </c>
      <c r="B14246" t="s">
        <v>2221</v>
      </c>
      <c r="C14246" t="s">
        <v>17341</v>
      </c>
      <c r="D14246" t="s">
        <v>19007</v>
      </c>
      <c r="E14246" t="s">
        <v>31125</v>
      </c>
      <c r="F14246" t="s">
        <v>32606</v>
      </c>
      <c r="G14246" t="s">
        <v>32613</v>
      </c>
      <c r="H14246" t="s">
        <v>32623</v>
      </c>
      <c r="I14246" t="s">
        <v>17648</v>
      </c>
      <c r="J14246" t="s">
        <v>37633</v>
      </c>
      <c r="K14246" t="s">
        <v>42645</v>
      </c>
      <c r="L14246" t="s">
        <v>2221</v>
      </c>
      <c r="M14246" t="s">
        <v>45325</v>
      </c>
      <c r="N14246" t="s">
        <v>47304</v>
      </c>
      <c r="O14246" t="s">
        <v>47305</v>
      </c>
      <c r="P14246">
        <v>0</v>
      </c>
      <c r="Q14246">
        <v>4</v>
      </c>
      <c r="R14246" t="s">
        <v>47325</v>
      </c>
      <c r="S14246" t="s">
        <v>48215</v>
      </c>
      <c r="T14246" t="s">
        <v>49268</v>
      </c>
      <c r="U14246" t="s">
        <v>61314</v>
      </c>
      <c r="W14246" t="s">
        <v>45325</v>
      </c>
      <c r="X14246" t="s">
        <v>47327</v>
      </c>
    </row>
    <row r="14247" spans="1:24">
      <c r="A14247">
        <f>HYPERLINK("https://www.philgeps.gov.ph/GEPSNONPILOT/Tender/SplashBidNoticeAbstractUI.aspx?menuIndex=3&amp;refID=7151980&amp;Result=3","7151980")</f>
        <v>0</v>
      </c>
      <c r="B14247" t="s">
        <v>89</v>
      </c>
      <c r="C14247" t="s">
        <v>17342</v>
      </c>
      <c r="D14247" t="s">
        <v>19018</v>
      </c>
      <c r="E14247" t="s">
        <v>31126</v>
      </c>
      <c r="F14247" t="s">
        <v>32606</v>
      </c>
      <c r="G14247" t="s">
        <v>32613</v>
      </c>
      <c r="H14247" t="s">
        <v>32623</v>
      </c>
      <c r="I14247" t="s">
        <v>17648</v>
      </c>
      <c r="J14247" t="s">
        <v>41568</v>
      </c>
      <c r="K14247" t="s">
        <v>42636</v>
      </c>
      <c r="M14247" t="s">
        <v>42987</v>
      </c>
      <c r="N14247" t="s">
        <v>47304</v>
      </c>
      <c r="O14247" t="s">
        <v>47305</v>
      </c>
      <c r="P14247">
        <v>0</v>
      </c>
      <c r="Q14247">
        <v>0</v>
      </c>
      <c r="R14247" t="s">
        <v>47325</v>
      </c>
      <c r="S14247" t="s">
        <v>48215</v>
      </c>
      <c r="T14247" t="s">
        <v>48980</v>
      </c>
      <c r="U14247" t="s">
        <v>61324</v>
      </c>
      <c r="W14247" t="s">
        <v>42987</v>
      </c>
      <c r="X14247" t="s">
        <v>47329</v>
      </c>
    </row>
    <row r="14248" spans="1:24">
      <c r="A14248">
        <f>HYPERLINK("https://www.philgeps.gov.ph/GEPSNONPILOT/Tender/SplashBidNoticeAbstractUI.aspx?menuIndex=3&amp;refID=7151962&amp;Result=3","7151962")</f>
        <v>0</v>
      </c>
      <c r="B14248" t="s">
        <v>89</v>
      </c>
      <c r="C14248" t="s">
        <v>17343</v>
      </c>
      <c r="D14248" t="s">
        <v>19018</v>
      </c>
      <c r="E14248" t="s">
        <v>31127</v>
      </c>
      <c r="F14248" t="s">
        <v>32606</v>
      </c>
      <c r="G14248" t="s">
        <v>32613</v>
      </c>
      <c r="H14248" t="s">
        <v>32623</v>
      </c>
      <c r="I14248" t="s">
        <v>17648</v>
      </c>
      <c r="J14248" t="s">
        <v>41569</v>
      </c>
      <c r="K14248" t="s">
        <v>42648</v>
      </c>
      <c r="M14248" t="s">
        <v>42987</v>
      </c>
      <c r="N14248" t="s">
        <v>47304</v>
      </c>
      <c r="O14248" t="s">
        <v>47305</v>
      </c>
      <c r="P14248">
        <v>0</v>
      </c>
      <c r="Q14248">
        <v>0</v>
      </c>
      <c r="R14248" t="s">
        <v>47325</v>
      </c>
      <c r="S14248" t="s">
        <v>48215</v>
      </c>
      <c r="T14248" t="s">
        <v>48980</v>
      </c>
      <c r="U14248" t="s">
        <v>61325</v>
      </c>
      <c r="W14248" t="s">
        <v>42987</v>
      </c>
      <c r="X14248" t="s">
        <v>47329</v>
      </c>
    </row>
    <row r="14249" spans="1:24">
      <c r="A14249">
        <f>HYPERLINK("https://www.philgeps.gov.ph/GEPSNONPILOT/Tender/SplashBidNoticeAbstractUI.aspx?menuIndex=3&amp;refID=7150609&amp;Result=3","7150609")</f>
        <v>0</v>
      </c>
      <c r="B14249" t="s">
        <v>2933</v>
      </c>
      <c r="C14249" t="s">
        <v>17344</v>
      </c>
      <c r="D14249" t="s">
        <v>19039</v>
      </c>
      <c r="E14249" t="s">
        <v>31128</v>
      </c>
      <c r="F14249" t="s">
        <v>32606</v>
      </c>
      <c r="G14249" t="s">
        <v>32613</v>
      </c>
      <c r="H14249" t="s">
        <v>32623</v>
      </c>
      <c r="I14249" t="s">
        <v>17648</v>
      </c>
      <c r="J14249" t="s">
        <v>32923</v>
      </c>
      <c r="K14249" t="s">
        <v>42632</v>
      </c>
      <c r="M14249" t="s">
        <v>46113</v>
      </c>
      <c r="N14249" t="s">
        <v>47304</v>
      </c>
      <c r="O14249" t="s">
        <v>47305</v>
      </c>
      <c r="P14249">
        <v>0</v>
      </c>
      <c r="Q14249">
        <v>0</v>
      </c>
      <c r="R14249" t="s">
        <v>47325</v>
      </c>
      <c r="S14249" t="s">
        <v>48215</v>
      </c>
      <c r="T14249" t="s">
        <v>49020</v>
      </c>
      <c r="U14249" t="s">
        <v>61326</v>
      </c>
      <c r="W14249" t="s">
        <v>46113</v>
      </c>
      <c r="X14249" t="s">
        <v>47329</v>
      </c>
    </row>
    <row r="14250" spans="1:24">
      <c r="A14250">
        <f>HYPERLINK("https://www.philgeps.gov.ph/GEPSNONPILOT/Tender/SplashBidNoticeAbstractUI.aspx?menuIndex=3&amp;refID=7164213&amp;Result=3","7164213")</f>
        <v>0</v>
      </c>
      <c r="B14250" t="s">
        <v>2458</v>
      </c>
      <c r="C14250" t="s">
        <v>17345</v>
      </c>
      <c r="D14250" t="s">
        <v>18993</v>
      </c>
      <c r="E14250" t="s">
        <v>31129</v>
      </c>
      <c r="F14250" t="s">
        <v>32606</v>
      </c>
      <c r="G14250" t="s">
        <v>32613</v>
      </c>
      <c r="H14250" t="s">
        <v>14201</v>
      </c>
      <c r="I14250" t="s">
        <v>32640</v>
      </c>
      <c r="J14250" t="s">
        <v>41570</v>
      </c>
      <c r="K14250" t="s">
        <v>42636</v>
      </c>
      <c r="M14250" t="s">
        <v>45590</v>
      </c>
      <c r="N14250" t="s">
        <v>47304</v>
      </c>
      <c r="O14250" t="s">
        <v>47305</v>
      </c>
      <c r="P14250">
        <v>0</v>
      </c>
      <c r="Q14250">
        <v>13</v>
      </c>
      <c r="R14250" t="s">
        <v>47324</v>
      </c>
      <c r="S14250" t="s">
        <v>48182</v>
      </c>
      <c r="T14250" t="s">
        <v>49031</v>
      </c>
      <c r="U14250" t="s">
        <v>55917</v>
      </c>
      <c r="W14250" t="s">
        <v>45590</v>
      </c>
      <c r="X14250" t="s">
        <v>47325</v>
      </c>
    </row>
    <row r="14251" spans="1:24">
      <c r="A14251">
        <f>HYPERLINK("https://www.philgeps.gov.ph/GEPSNONPILOT/Tender/SplashBidNoticeAbstractUI.aspx?menuIndex=3&amp;refID=7164208&amp;Result=3","7164208")</f>
        <v>0</v>
      </c>
      <c r="B14251" t="s">
        <v>2458</v>
      </c>
      <c r="C14251" t="s">
        <v>17346</v>
      </c>
      <c r="D14251" t="s">
        <v>18993</v>
      </c>
      <c r="E14251" t="s">
        <v>31130</v>
      </c>
      <c r="F14251" t="s">
        <v>32606</v>
      </c>
      <c r="G14251" t="s">
        <v>32613</v>
      </c>
      <c r="H14251" t="s">
        <v>14201</v>
      </c>
      <c r="I14251" t="s">
        <v>32640</v>
      </c>
      <c r="J14251" t="s">
        <v>41571</v>
      </c>
      <c r="K14251" t="s">
        <v>42636</v>
      </c>
      <c r="M14251" t="s">
        <v>45590</v>
      </c>
      <c r="N14251" t="s">
        <v>47304</v>
      </c>
      <c r="O14251" t="s">
        <v>47305</v>
      </c>
      <c r="P14251">
        <v>0</v>
      </c>
      <c r="Q14251">
        <v>18</v>
      </c>
      <c r="R14251" t="s">
        <v>47324</v>
      </c>
      <c r="S14251" t="s">
        <v>48182</v>
      </c>
      <c r="T14251" t="s">
        <v>49008</v>
      </c>
      <c r="U14251" t="s">
        <v>55917</v>
      </c>
      <c r="W14251" t="s">
        <v>45590</v>
      </c>
      <c r="X14251" t="s">
        <v>47325</v>
      </c>
    </row>
    <row r="14252" spans="1:24">
      <c r="A14252">
        <f>HYPERLINK("https://www.philgeps.gov.ph/GEPSNONPILOT/Tender/SplashBidNoticeAbstractUI.aspx?menuIndex=3&amp;refID=7153178&amp;Result=3","7153178")</f>
        <v>0</v>
      </c>
      <c r="B14252" t="s">
        <v>377</v>
      </c>
      <c r="C14252" t="s">
        <v>17347</v>
      </c>
      <c r="D14252" t="s">
        <v>19028</v>
      </c>
      <c r="E14252" t="s">
        <v>31131</v>
      </c>
      <c r="F14252" t="s">
        <v>32606</v>
      </c>
      <c r="G14252" t="s">
        <v>32613</v>
      </c>
      <c r="H14252" t="s">
        <v>14201</v>
      </c>
      <c r="I14252" t="s">
        <v>7064</v>
      </c>
      <c r="J14252" t="s">
        <v>40233</v>
      </c>
      <c r="K14252" t="s">
        <v>42631</v>
      </c>
      <c r="M14252" t="s">
        <v>43279</v>
      </c>
      <c r="N14252" t="s">
        <v>47304</v>
      </c>
      <c r="O14252" t="s">
        <v>47305</v>
      </c>
      <c r="P14252">
        <v>0</v>
      </c>
      <c r="Q14252">
        <v>4</v>
      </c>
      <c r="R14252" t="s">
        <v>47325</v>
      </c>
      <c r="S14252" t="s">
        <v>48215</v>
      </c>
      <c r="T14252" t="s">
        <v>49268</v>
      </c>
      <c r="U14252" t="s">
        <v>61327</v>
      </c>
      <c r="V14252" t="s">
        <v>64192</v>
      </c>
      <c r="W14252" t="s">
        <v>43279</v>
      </c>
      <c r="X14252" t="s">
        <v>47328</v>
      </c>
    </row>
    <row r="14253" spans="1:24">
      <c r="A14253">
        <f>HYPERLINK("https://www.philgeps.gov.ph/GEPSNONPILOT/Tender/SplashBidNoticeAbstractUI.aspx?menuIndex=3&amp;refID=7164159&amp;Result=3","7164159")</f>
        <v>0</v>
      </c>
      <c r="B14253" t="s">
        <v>58</v>
      </c>
      <c r="C14253" t="s">
        <v>17348</v>
      </c>
      <c r="D14253" t="s">
        <v>19011</v>
      </c>
      <c r="E14253" t="s">
        <v>31132</v>
      </c>
      <c r="F14253" t="s">
        <v>32606</v>
      </c>
      <c r="G14253" t="s">
        <v>32613</v>
      </c>
      <c r="H14253" t="s">
        <v>14201</v>
      </c>
      <c r="I14253" t="s">
        <v>32629</v>
      </c>
      <c r="J14253" t="s">
        <v>41572</v>
      </c>
      <c r="K14253" t="s">
        <v>42630</v>
      </c>
      <c r="M14253" t="s">
        <v>44933</v>
      </c>
      <c r="N14253" t="s">
        <v>47304</v>
      </c>
      <c r="O14253" t="s">
        <v>47305</v>
      </c>
      <c r="P14253">
        <v>0</v>
      </c>
      <c r="Q14253">
        <v>0</v>
      </c>
      <c r="R14253" t="s">
        <v>47324</v>
      </c>
      <c r="S14253" t="s">
        <v>48182</v>
      </c>
      <c r="T14253" t="s">
        <v>49002</v>
      </c>
      <c r="U14253" t="s">
        <v>61328</v>
      </c>
      <c r="W14253" t="s">
        <v>44933</v>
      </c>
      <c r="X14253" t="s">
        <v>47325</v>
      </c>
    </row>
    <row r="14254" spans="1:24">
      <c r="A14254">
        <f>HYPERLINK("https://www.philgeps.gov.ph/GEPSNONPILOT/Tender/SplashBidNoticeAbstractUI.aspx?menuIndex=3&amp;refID=7163926&amp;Result=3","7163926")</f>
        <v>0</v>
      </c>
      <c r="B14254" t="s">
        <v>3750</v>
      </c>
      <c r="C14254" t="s">
        <v>17349</v>
      </c>
      <c r="D14254" t="s">
        <v>19011</v>
      </c>
      <c r="E14254" t="s">
        <v>31133</v>
      </c>
      <c r="F14254" t="s">
        <v>32606</v>
      </c>
      <c r="G14254" t="s">
        <v>32613</v>
      </c>
      <c r="H14254" t="s">
        <v>14201</v>
      </c>
      <c r="I14254" t="s">
        <v>4369</v>
      </c>
      <c r="J14254" t="s">
        <v>41573</v>
      </c>
      <c r="K14254" t="s">
        <v>42631</v>
      </c>
      <c r="M14254" t="s">
        <v>47081</v>
      </c>
      <c r="N14254" t="s">
        <v>47304</v>
      </c>
      <c r="O14254" t="s">
        <v>47305</v>
      </c>
      <c r="Q14254">
        <v>14</v>
      </c>
      <c r="R14254" t="s">
        <v>47324</v>
      </c>
      <c r="S14254" t="s">
        <v>48220</v>
      </c>
      <c r="T14254" t="s">
        <v>49023</v>
      </c>
      <c r="U14254" t="s">
        <v>61329</v>
      </c>
      <c r="W14254" t="s">
        <v>64552</v>
      </c>
      <c r="X14254" t="s">
        <v>47325</v>
      </c>
    </row>
    <row r="14255" spans="1:24">
      <c r="A14255">
        <f>HYPERLINK("https://www.philgeps.gov.ph/GEPSNONPILOT/Tender/SplashBidNoticeAbstractUI.aspx?menuIndex=3&amp;refID=7164188&amp;Result=3","7164188")</f>
        <v>0</v>
      </c>
      <c r="B14255" t="s">
        <v>3257</v>
      </c>
      <c r="C14255" t="s">
        <v>17350</v>
      </c>
      <c r="D14255" t="s">
        <v>19051</v>
      </c>
      <c r="E14255" t="s">
        <v>31134</v>
      </c>
      <c r="F14255" t="s">
        <v>32606</v>
      </c>
      <c r="G14255" t="s">
        <v>32613</v>
      </c>
      <c r="H14255" t="s">
        <v>32623</v>
      </c>
      <c r="I14255" t="s">
        <v>17648</v>
      </c>
      <c r="J14255" t="s">
        <v>41574</v>
      </c>
      <c r="K14255" t="s">
        <v>42772</v>
      </c>
      <c r="L14255" t="s">
        <v>3257</v>
      </c>
      <c r="M14255" t="s">
        <v>46491</v>
      </c>
      <c r="N14255" t="s">
        <v>47304</v>
      </c>
      <c r="O14255" t="s">
        <v>47305</v>
      </c>
      <c r="Q14255">
        <v>2</v>
      </c>
      <c r="R14255" t="s">
        <v>47324</v>
      </c>
      <c r="S14255" t="s">
        <v>48221</v>
      </c>
      <c r="T14255" t="s">
        <v>49053</v>
      </c>
      <c r="U14255" t="s">
        <v>61330</v>
      </c>
      <c r="W14255" t="s">
        <v>46491</v>
      </c>
      <c r="X14255" t="s">
        <v>47325</v>
      </c>
    </row>
    <row r="14256" spans="1:24">
      <c r="A14256">
        <f>HYPERLINK("https://www.philgeps.gov.ph/GEPSNONPILOT/Tender/SplashBidNoticeAbstractUI.aspx?menuIndex=3&amp;refID=7152916&amp;Result=3","7152916")</f>
        <v>0</v>
      </c>
      <c r="B14256" t="s">
        <v>1250</v>
      </c>
      <c r="C14256" t="s">
        <v>17351</v>
      </c>
      <c r="D14256" t="s">
        <v>19044</v>
      </c>
      <c r="E14256" t="s">
        <v>31135</v>
      </c>
      <c r="F14256" t="s">
        <v>32606</v>
      </c>
      <c r="G14256" t="s">
        <v>32613</v>
      </c>
      <c r="H14256" t="s">
        <v>32623</v>
      </c>
      <c r="I14256" t="s">
        <v>17648</v>
      </c>
      <c r="J14256" t="s">
        <v>41575</v>
      </c>
      <c r="K14256" t="s">
        <v>42718</v>
      </c>
      <c r="M14256" t="s">
        <v>47080</v>
      </c>
      <c r="N14256" t="s">
        <v>47304</v>
      </c>
      <c r="O14256" t="s">
        <v>47305</v>
      </c>
      <c r="P14256">
        <v>0</v>
      </c>
      <c r="Q14256">
        <v>0</v>
      </c>
      <c r="R14256" t="s">
        <v>47325</v>
      </c>
      <c r="S14256" t="s">
        <v>48215</v>
      </c>
      <c r="T14256" t="s">
        <v>49339</v>
      </c>
      <c r="U14256" t="s">
        <v>61331</v>
      </c>
      <c r="W14256" t="s">
        <v>47080</v>
      </c>
      <c r="X14256" t="s">
        <v>47328</v>
      </c>
    </row>
    <row r="14257" spans="1:24">
      <c r="A14257">
        <f>HYPERLINK("https://www.philgeps.gov.ph/GEPSNONPILOT/Tender/SplashBidNoticeAbstractUI.aspx?menuIndex=3&amp;refID=7163909&amp;Result=3","7163909")</f>
        <v>0</v>
      </c>
      <c r="B14257" t="s">
        <v>1749</v>
      </c>
      <c r="C14257" t="s">
        <v>17352</v>
      </c>
      <c r="D14257" t="s">
        <v>18993</v>
      </c>
      <c r="E14257" t="s">
        <v>31136</v>
      </c>
      <c r="F14257" t="s">
        <v>32606</v>
      </c>
      <c r="G14257" t="s">
        <v>32613</v>
      </c>
      <c r="H14257" t="s">
        <v>14201</v>
      </c>
      <c r="I14257" t="s">
        <v>32716</v>
      </c>
      <c r="J14257" t="s">
        <v>41576</v>
      </c>
      <c r="K14257" t="s">
        <v>42895</v>
      </c>
      <c r="M14257" t="s">
        <v>44784</v>
      </c>
      <c r="N14257" t="s">
        <v>47304</v>
      </c>
      <c r="O14257" t="s">
        <v>47305</v>
      </c>
      <c r="P14257">
        <v>0</v>
      </c>
      <c r="Q14257">
        <v>14</v>
      </c>
      <c r="R14257" t="s">
        <v>47324</v>
      </c>
      <c r="S14257" t="s">
        <v>48182</v>
      </c>
      <c r="T14257" t="s">
        <v>49075</v>
      </c>
      <c r="U14257" t="s">
        <v>61332</v>
      </c>
      <c r="W14257" t="s">
        <v>44784</v>
      </c>
      <c r="X14257" t="s">
        <v>47325</v>
      </c>
    </row>
    <row r="14258" spans="1:24">
      <c r="A14258">
        <f>HYPERLINK("https://www.philgeps.gov.ph/GEPSNONPILOT/Tender/SplashBidNoticeAbstractUI.aspx?menuIndex=3&amp;refID=7151972&amp;Result=3","7151972")</f>
        <v>0</v>
      </c>
      <c r="B14258" t="s">
        <v>89</v>
      </c>
      <c r="C14258" t="s">
        <v>17353</v>
      </c>
      <c r="D14258" t="s">
        <v>19018</v>
      </c>
      <c r="E14258" t="s">
        <v>31137</v>
      </c>
      <c r="F14258" t="s">
        <v>32606</v>
      </c>
      <c r="G14258" t="s">
        <v>32613</v>
      </c>
      <c r="H14258" t="s">
        <v>32623</v>
      </c>
      <c r="I14258" t="s">
        <v>17648</v>
      </c>
      <c r="J14258" t="s">
        <v>41568</v>
      </c>
      <c r="K14258" t="s">
        <v>42636</v>
      </c>
      <c r="M14258" t="s">
        <v>42987</v>
      </c>
      <c r="N14258" t="s">
        <v>47304</v>
      </c>
      <c r="O14258" t="s">
        <v>47305</v>
      </c>
      <c r="P14258">
        <v>0</v>
      </c>
      <c r="Q14258">
        <v>0</v>
      </c>
      <c r="R14258" t="s">
        <v>47325</v>
      </c>
      <c r="S14258" t="s">
        <v>48215</v>
      </c>
      <c r="T14258" t="s">
        <v>48980</v>
      </c>
      <c r="U14258" t="s">
        <v>61333</v>
      </c>
      <c r="W14258" t="s">
        <v>42987</v>
      </c>
      <c r="X14258" t="s">
        <v>47329</v>
      </c>
    </row>
    <row r="14259" spans="1:24">
      <c r="A14259">
        <f>HYPERLINK("https://www.philgeps.gov.ph/GEPSNONPILOT/Tender/SplashBidNoticeAbstractUI.aspx?menuIndex=3&amp;refID=7163711&amp;Result=3","7163711")</f>
        <v>0</v>
      </c>
      <c r="B14259" t="s">
        <v>3741</v>
      </c>
      <c r="C14259" t="s">
        <v>17354</v>
      </c>
      <c r="D14259" t="s">
        <v>19036</v>
      </c>
      <c r="E14259" t="s">
        <v>31138</v>
      </c>
      <c r="F14259" t="s">
        <v>32606</v>
      </c>
      <c r="G14259" t="s">
        <v>32613</v>
      </c>
      <c r="H14259" t="s">
        <v>14201</v>
      </c>
      <c r="I14259" t="s">
        <v>7064</v>
      </c>
      <c r="J14259" t="s">
        <v>32795</v>
      </c>
      <c r="K14259" t="s">
        <v>42631</v>
      </c>
      <c r="M14259" t="s">
        <v>47068</v>
      </c>
      <c r="N14259" t="s">
        <v>47304</v>
      </c>
      <c r="O14259" t="s">
        <v>47305</v>
      </c>
      <c r="P14259">
        <v>0</v>
      </c>
      <c r="Q14259">
        <v>5</v>
      </c>
      <c r="R14259" t="s">
        <v>47324</v>
      </c>
      <c r="S14259" t="s">
        <v>48182</v>
      </c>
      <c r="T14259" t="s">
        <v>49107</v>
      </c>
      <c r="U14259" t="s">
        <v>61265</v>
      </c>
      <c r="W14259" t="s">
        <v>47068</v>
      </c>
      <c r="X14259" t="s">
        <v>47325</v>
      </c>
    </row>
    <row r="14260" spans="1:24">
      <c r="A14260">
        <f>HYPERLINK("https://www.philgeps.gov.ph/GEPSNONPILOT/Tender/SplashBidNoticeAbstractUI.aspx?menuIndex=3&amp;refID=7163709&amp;Result=3","7163709")</f>
        <v>0</v>
      </c>
      <c r="B14260" t="s">
        <v>3537</v>
      </c>
      <c r="C14260" t="s">
        <v>17355</v>
      </c>
      <c r="D14260" t="s">
        <v>19006</v>
      </c>
      <c r="E14260" t="s">
        <v>31139</v>
      </c>
      <c r="F14260" t="s">
        <v>32606</v>
      </c>
      <c r="G14260" t="s">
        <v>32613</v>
      </c>
      <c r="H14260" t="s">
        <v>32623</v>
      </c>
      <c r="I14260" t="s">
        <v>17648</v>
      </c>
      <c r="J14260" t="s">
        <v>41577</v>
      </c>
      <c r="K14260" t="s">
        <v>42675</v>
      </c>
      <c r="M14260" t="s">
        <v>46813</v>
      </c>
      <c r="N14260" t="s">
        <v>47304</v>
      </c>
      <c r="O14260" t="s">
        <v>47305</v>
      </c>
      <c r="P14260">
        <v>0</v>
      </c>
      <c r="Q14260">
        <v>0</v>
      </c>
      <c r="R14260" t="s">
        <v>47324</v>
      </c>
      <c r="S14260" t="s">
        <v>48182</v>
      </c>
      <c r="T14260" t="s">
        <v>48998</v>
      </c>
      <c r="U14260" t="s">
        <v>61334</v>
      </c>
      <c r="V14260" t="s">
        <v>64193</v>
      </c>
      <c r="W14260" t="s">
        <v>64542</v>
      </c>
      <c r="X14260" t="s">
        <v>47325</v>
      </c>
    </row>
    <row r="14261" spans="1:24">
      <c r="A14261">
        <f>HYPERLINK("https://www.philgeps.gov.ph/GEPSNONPILOT/Tender/SplashBidNoticeAbstractUI.aspx?menuIndex=3&amp;refID=7163553&amp;Result=3","7163553")</f>
        <v>0</v>
      </c>
      <c r="B14261" t="s">
        <v>1657</v>
      </c>
      <c r="C14261" t="s">
        <v>17356</v>
      </c>
      <c r="D14261" t="s">
        <v>19019</v>
      </c>
      <c r="E14261" t="s">
        <v>31140</v>
      </c>
      <c r="F14261" t="s">
        <v>32606</v>
      </c>
      <c r="G14261" t="s">
        <v>32613</v>
      </c>
      <c r="H14261" t="s">
        <v>32623</v>
      </c>
      <c r="I14261" t="s">
        <v>32649</v>
      </c>
      <c r="J14261" t="s">
        <v>32821</v>
      </c>
      <c r="K14261" t="s">
        <v>42646</v>
      </c>
      <c r="M14261" t="s">
        <v>44682</v>
      </c>
      <c r="N14261" t="s">
        <v>47304</v>
      </c>
      <c r="O14261" t="s">
        <v>47305</v>
      </c>
      <c r="P14261">
        <v>0</v>
      </c>
      <c r="Q14261">
        <v>2</v>
      </c>
      <c r="R14261" t="s">
        <v>47324</v>
      </c>
      <c r="S14261" t="s">
        <v>48182</v>
      </c>
      <c r="T14261" t="s">
        <v>49004</v>
      </c>
      <c r="U14261" t="s">
        <v>61335</v>
      </c>
      <c r="W14261" t="s">
        <v>44682</v>
      </c>
      <c r="X14261" t="s">
        <v>47325</v>
      </c>
    </row>
    <row r="14262" spans="1:24">
      <c r="A14262">
        <f>HYPERLINK("https://www.philgeps.gov.ph/GEPSNONPILOT/Tender/SplashBidNoticeAbstractUI.aspx?menuIndex=3&amp;refID=7163555&amp;Result=3","7163555")</f>
        <v>0</v>
      </c>
      <c r="B14262" t="s">
        <v>1306</v>
      </c>
      <c r="C14262" t="s">
        <v>17357</v>
      </c>
      <c r="D14262" t="s">
        <v>19011</v>
      </c>
      <c r="E14262" t="s">
        <v>31141</v>
      </c>
      <c r="F14262" t="s">
        <v>32606</v>
      </c>
      <c r="G14262" t="s">
        <v>32613</v>
      </c>
      <c r="H14262" t="s">
        <v>14201</v>
      </c>
      <c r="I14262" t="s">
        <v>9013</v>
      </c>
      <c r="J14262" t="s">
        <v>41578</v>
      </c>
      <c r="K14262" t="s">
        <v>42648</v>
      </c>
      <c r="M14262" t="s">
        <v>45099</v>
      </c>
      <c r="N14262" t="s">
        <v>47304</v>
      </c>
      <c r="O14262" t="s">
        <v>47305</v>
      </c>
      <c r="P14262">
        <v>0</v>
      </c>
      <c r="Q14262">
        <v>5</v>
      </c>
      <c r="R14262" t="s">
        <v>47324</v>
      </c>
      <c r="S14262" t="s">
        <v>48182</v>
      </c>
      <c r="T14262" t="s">
        <v>49011</v>
      </c>
      <c r="U14262" t="s">
        <v>61336</v>
      </c>
      <c r="W14262" t="s">
        <v>45099</v>
      </c>
      <c r="X14262" t="s">
        <v>47325</v>
      </c>
    </row>
    <row r="14263" spans="1:24">
      <c r="A14263">
        <f>HYPERLINK("https://www.philgeps.gov.ph/GEPSNONPILOT/Tender/SplashBidNoticeAbstractUI.aspx?menuIndex=3&amp;refID=7163233&amp;Result=3","7163233")</f>
        <v>0</v>
      </c>
      <c r="B14263" t="s">
        <v>696</v>
      </c>
      <c r="C14263" t="s">
        <v>17358</v>
      </c>
      <c r="D14263" t="s">
        <v>19008</v>
      </c>
      <c r="E14263" t="s">
        <v>31142</v>
      </c>
      <c r="F14263" t="s">
        <v>32606</v>
      </c>
      <c r="G14263" t="s">
        <v>32613</v>
      </c>
      <c r="H14263" t="s">
        <v>14201</v>
      </c>
      <c r="I14263" t="s">
        <v>32686</v>
      </c>
      <c r="J14263" t="s">
        <v>41579</v>
      </c>
      <c r="K14263" t="s">
        <v>42819</v>
      </c>
      <c r="M14263" t="s">
        <v>43969</v>
      </c>
      <c r="N14263" t="s">
        <v>47304</v>
      </c>
      <c r="O14263" t="s">
        <v>47305</v>
      </c>
      <c r="Q14263">
        <v>11</v>
      </c>
      <c r="R14263" t="s">
        <v>47324</v>
      </c>
      <c r="S14263" t="s">
        <v>48222</v>
      </c>
      <c r="T14263" t="s">
        <v>49011</v>
      </c>
      <c r="U14263" t="s">
        <v>61337</v>
      </c>
      <c r="V14263" t="s">
        <v>64194</v>
      </c>
      <c r="W14263" t="s">
        <v>43969</v>
      </c>
      <c r="X14263" t="s">
        <v>47325</v>
      </c>
    </row>
    <row r="14264" spans="1:24">
      <c r="A14264">
        <f>HYPERLINK("https://www.philgeps.gov.ph/GEPSNONPILOT/Tender/SplashBidNoticeAbstractUI.aspx?menuIndex=3&amp;refID=7163724&amp;Result=3","7163724")</f>
        <v>0</v>
      </c>
      <c r="B14264" t="s">
        <v>1306</v>
      </c>
      <c r="C14264" t="s">
        <v>17359</v>
      </c>
      <c r="D14264" t="s">
        <v>19011</v>
      </c>
      <c r="E14264" t="s">
        <v>31143</v>
      </c>
      <c r="F14264" t="s">
        <v>32606</v>
      </c>
      <c r="G14264" t="s">
        <v>32613</v>
      </c>
      <c r="H14264" t="s">
        <v>14201</v>
      </c>
      <c r="I14264" t="s">
        <v>9013</v>
      </c>
      <c r="J14264" t="s">
        <v>41580</v>
      </c>
      <c r="K14264" t="s">
        <v>42648</v>
      </c>
      <c r="M14264" t="s">
        <v>45099</v>
      </c>
      <c r="N14264" t="s">
        <v>47304</v>
      </c>
      <c r="O14264" t="s">
        <v>47305</v>
      </c>
      <c r="P14264">
        <v>0</v>
      </c>
      <c r="Q14264">
        <v>6</v>
      </c>
      <c r="R14264" t="s">
        <v>47324</v>
      </c>
      <c r="S14264" t="s">
        <v>48182</v>
      </c>
      <c r="T14264" t="s">
        <v>49011</v>
      </c>
      <c r="U14264" t="s">
        <v>61249</v>
      </c>
      <c r="W14264" t="s">
        <v>45099</v>
      </c>
      <c r="X14264" t="s">
        <v>47325</v>
      </c>
    </row>
    <row r="14265" spans="1:24">
      <c r="A14265">
        <f>HYPERLINK("https://www.philgeps.gov.ph/GEPSNONPILOT/Tender/SplashBidNoticeAbstractUI.aspx?menuIndex=3&amp;refID=7163194&amp;Result=3","7163194")</f>
        <v>0</v>
      </c>
      <c r="B14265" t="s">
        <v>636</v>
      </c>
      <c r="C14265" t="s">
        <v>17360</v>
      </c>
      <c r="D14265" t="s">
        <v>19019</v>
      </c>
      <c r="E14265" t="s">
        <v>31144</v>
      </c>
      <c r="F14265" t="s">
        <v>32606</v>
      </c>
      <c r="G14265" t="s">
        <v>32613</v>
      </c>
      <c r="H14265" t="s">
        <v>32623</v>
      </c>
      <c r="I14265" t="s">
        <v>17648</v>
      </c>
      <c r="J14265" t="s">
        <v>32920</v>
      </c>
      <c r="K14265" t="s">
        <v>42636</v>
      </c>
      <c r="M14265" t="s">
        <v>43554</v>
      </c>
      <c r="N14265" t="s">
        <v>47304</v>
      </c>
      <c r="O14265" t="s">
        <v>47305</v>
      </c>
      <c r="P14265">
        <v>0</v>
      </c>
      <c r="Q14265">
        <v>0</v>
      </c>
      <c r="R14265" t="s">
        <v>47324</v>
      </c>
      <c r="S14265" t="s">
        <v>48182</v>
      </c>
      <c r="T14265" t="s">
        <v>49263</v>
      </c>
      <c r="U14265" t="s">
        <v>61239</v>
      </c>
      <c r="V14265" t="s">
        <v>64195</v>
      </c>
      <c r="W14265" t="s">
        <v>43554</v>
      </c>
      <c r="X14265" t="s">
        <v>47325</v>
      </c>
    </row>
    <row r="14266" spans="1:24">
      <c r="A14266">
        <f>HYPERLINK("https://www.philgeps.gov.ph/GEPSNONPILOT/Tender/SplashBidNoticeAbstractUI.aspx?menuIndex=3&amp;refID=7163193&amp;Result=3","7163193")</f>
        <v>0</v>
      </c>
      <c r="B14266" t="s">
        <v>816</v>
      </c>
      <c r="C14266" t="s">
        <v>17361</v>
      </c>
      <c r="D14266" t="s">
        <v>19007</v>
      </c>
      <c r="E14266" t="s">
        <v>31145</v>
      </c>
      <c r="F14266" t="s">
        <v>32606</v>
      </c>
      <c r="G14266" t="s">
        <v>32613</v>
      </c>
      <c r="H14266" t="s">
        <v>32623</v>
      </c>
      <c r="I14266" t="s">
        <v>17648</v>
      </c>
      <c r="J14266" t="s">
        <v>32795</v>
      </c>
      <c r="K14266" t="s">
        <v>42648</v>
      </c>
      <c r="M14266" t="s">
        <v>43747</v>
      </c>
      <c r="N14266" t="s">
        <v>47304</v>
      </c>
      <c r="O14266" t="s">
        <v>47305</v>
      </c>
      <c r="P14266">
        <v>0</v>
      </c>
      <c r="Q14266">
        <v>1</v>
      </c>
      <c r="R14266" t="s">
        <v>47324</v>
      </c>
      <c r="S14266" t="s">
        <v>48182</v>
      </c>
      <c r="T14266" t="s">
        <v>49087</v>
      </c>
      <c r="U14266" t="s">
        <v>61338</v>
      </c>
      <c r="W14266" t="s">
        <v>64451</v>
      </c>
      <c r="X14266" t="s">
        <v>47325</v>
      </c>
    </row>
    <row r="14267" spans="1:24">
      <c r="A14267">
        <f>HYPERLINK("https://www.philgeps.gov.ph/GEPSNONPILOT/Tender/SplashBidNoticeAbstractUI.aspx?menuIndex=3&amp;refID=7163190&amp;Result=3","7163190")</f>
        <v>0</v>
      </c>
      <c r="B14267" t="s">
        <v>499</v>
      </c>
      <c r="C14267" t="s">
        <v>17362</v>
      </c>
      <c r="D14267" t="s">
        <v>19010</v>
      </c>
      <c r="E14267" t="s">
        <v>31146</v>
      </c>
      <c r="F14267" t="s">
        <v>32606</v>
      </c>
      <c r="G14267" t="s">
        <v>32613</v>
      </c>
      <c r="H14267" t="s">
        <v>14201</v>
      </c>
      <c r="I14267" t="s">
        <v>6298</v>
      </c>
      <c r="J14267" t="s">
        <v>41581</v>
      </c>
      <c r="K14267" t="s">
        <v>42622</v>
      </c>
      <c r="M14267" t="s">
        <v>43412</v>
      </c>
      <c r="N14267" t="s">
        <v>47304</v>
      </c>
      <c r="O14267" t="s">
        <v>47305</v>
      </c>
      <c r="P14267">
        <v>0</v>
      </c>
      <c r="Q14267">
        <v>4</v>
      </c>
      <c r="R14267" t="s">
        <v>47324</v>
      </c>
      <c r="S14267" t="s">
        <v>48182</v>
      </c>
      <c r="T14267" t="s">
        <v>49267</v>
      </c>
      <c r="U14267" t="s">
        <v>61339</v>
      </c>
      <c r="V14267" t="s">
        <v>62766</v>
      </c>
      <c r="W14267" t="s">
        <v>43412</v>
      </c>
      <c r="X14267" t="s">
        <v>47325</v>
      </c>
    </row>
    <row r="14268" spans="1:24">
      <c r="A14268">
        <f>HYPERLINK("https://www.philgeps.gov.ph/GEPSNONPILOT/Tender/SplashBidNoticeAbstractUI.aspx?menuIndex=3&amp;refID=7163546&amp;Result=3","7163546")</f>
        <v>0</v>
      </c>
      <c r="B14268" t="s">
        <v>528</v>
      </c>
      <c r="C14268" t="s">
        <v>17363</v>
      </c>
      <c r="D14268" t="s">
        <v>19036</v>
      </c>
      <c r="E14268" t="s">
        <v>29756</v>
      </c>
      <c r="F14268" t="s">
        <v>32606</v>
      </c>
      <c r="G14268" t="s">
        <v>32613</v>
      </c>
      <c r="H14268" t="s">
        <v>14201</v>
      </c>
      <c r="I14268" t="s">
        <v>4114</v>
      </c>
      <c r="J14268" t="s">
        <v>41582</v>
      </c>
      <c r="K14268" t="s">
        <v>42630</v>
      </c>
      <c r="L14268" t="s">
        <v>528</v>
      </c>
      <c r="M14268" t="s">
        <v>43441</v>
      </c>
      <c r="N14268" t="s">
        <v>47304</v>
      </c>
      <c r="O14268" t="s">
        <v>47305</v>
      </c>
      <c r="P14268">
        <v>0</v>
      </c>
      <c r="Q14268">
        <v>1</v>
      </c>
      <c r="R14268" t="s">
        <v>47324</v>
      </c>
      <c r="S14268" t="s">
        <v>48182</v>
      </c>
      <c r="T14268" t="s">
        <v>49050</v>
      </c>
      <c r="U14268" t="s">
        <v>61340</v>
      </c>
      <c r="V14268" t="s">
        <v>64196</v>
      </c>
      <c r="W14268" t="s">
        <v>43441</v>
      </c>
      <c r="X14268" t="s">
        <v>47325</v>
      </c>
    </row>
    <row r="14269" spans="1:24">
      <c r="A14269">
        <f>HYPERLINK("https://www.philgeps.gov.ph/GEPSNONPILOT/Tender/SplashBidNoticeAbstractUI.aspx?menuIndex=3&amp;refID=7164183&amp;Result=3","7164183")</f>
        <v>0</v>
      </c>
      <c r="B14269" t="s">
        <v>3257</v>
      </c>
      <c r="C14269" t="s">
        <v>17364</v>
      </c>
      <c r="D14269" t="s">
        <v>19051</v>
      </c>
      <c r="E14269" t="s">
        <v>31147</v>
      </c>
      <c r="F14269" t="s">
        <v>32606</v>
      </c>
      <c r="G14269" t="s">
        <v>32613</v>
      </c>
      <c r="H14269" t="s">
        <v>32623</v>
      </c>
      <c r="I14269" t="s">
        <v>17648</v>
      </c>
      <c r="J14269" t="s">
        <v>41583</v>
      </c>
      <c r="K14269" t="s">
        <v>42772</v>
      </c>
      <c r="L14269" t="s">
        <v>3257</v>
      </c>
      <c r="M14269" t="s">
        <v>46491</v>
      </c>
      <c r="N14269" t="s">
        <v>47304</v>
      </c>
      <c r="O14269" t="s">
        <v>47305</v>
      </c>
      <c r="Q14269">
        <v>2</v>
      </c>
      <c r="R14269" t="s">
        <v>47324</v>
      </c>
      <c r="S14269" t="s">
        <v>48223</v>
      </c>
      <c r="T14269" t="s">
        <v>49053</v>
      </c>
      <c r="U14269" t="s">
        <v>61341</v>
      </c>
      <c r="W14269" t="s">
        <v>46491</v>
      </c>
      <c r="X14269" t="s">
        <v>47325</v>
      </c>
    </row>
    <row r="14270" spans="1:24">
      <c r="A14270">
        <f>HYPERLINK("https://www.philgeps.gov.ph/GEPSNONPILOT/Tender/SplashBidNoticeAbstractUI.aspx?menuIndex=3&amp;refID=7162838&amp;Result=3","7162838")</f>
        <v>0</v>
      </c>
      <c r="B14270" t="s">
        <v>2072</v>
      </c>
      <c r="C14270" t="s">
        <v>17365</v>
      </c>
      <c r="D14270" t="s">
        <v>18991</v>
      </c>
      <c r="E14270" t="s">
        <v>31148</v>
      </c>
      <c r="F14270" t="s">
        <v>32606</v>
      </c>
      <c r="G14270" t="s">
        <v>32613</v>
      </c>
      <c r="H14270" t="s">
        <v>14201</v>
      </c>
      <c r="I14270" t="s">
        <v>32640</v>
      </c>
      <c r="J14270" t="s">
        <v>33259</v>
      </c>
      <c r="K14270" t="s">
        <v>42631</v>
      </c>
      <c r="M14270" t="s">
        <v>45153</v>
      </c>
      <c r="N14270" t="s">
        <v>47304</v>
      </c>
      <c r="O14270" t="s">
        <v>47305</v>
      </c>
      <c r="P14270">
        <v>0</v>
      </c>
      <c r="Q14270">
        <v>3</v>
      </c>
      <c r="R14270" t="s">
        <v>47324</v>
      </c>
      <c r="S14270" t="s">
        <v>48182</v>
      </c>
      <c r="T14270" t="s">
        <v>48987</v>
      </c>
      <c r="U14270" t="s">
        <v>61342</v>
      </c>
      <c r="W14270" t="s">
        <v>45153</v>
      </c>
      <c r="X14270" t="s">
        <v>47325</v>
      </c>
    </row>
    <row r="14271" spans="1:24">
      <c r="A14271">
        <f>HYPERLINK("https://www.philgeps.gov.ph/GEPSNONPILOT/Tender/SplashBidNoticeAbstractUI.aspx?menuIndex=3&amp;refID=7162794&amp;Result=3","7162794")</f>
        <v>0</v>
      </c>
      <c r="B14271" t="s">
        <v>2330</v>
      </c>
      <c r="C14271" t="s">
        <v>17366</v>
      </c>
      <c r="D14271" t="s">
        <v>18993</v>
      </c>
      <c r="E14271" t="s">
        <v>31149</v>
      </c>
      <c r="F14271" t="s">
        <v>32606</v>
      </c>
      <c r="G14271" t="s">
        <v>32613</v>
      </c>
      <c r="H14271" t="s">
        <v>14201</v>
      </c>
      <c r="I14271" t="s">
        <v>32656</v>
      </c>
      <c r="J14271" t="s">
        <v>41584</v>
      </c>
      <c r="K14271" t="s">
        <v>42646</v>
      </c>
      <c r="M14271" t="s">
        <v>45440</v>
      </c>
      <c r="N14271" t="s">
        <v>47304</v>
      </c>
      <c r="O14271" t="s">
        <v>47305</v>
      </c>
      <c r="Q14271">
        <v>19</v>
      </c>
      <c r="R14271" t="s">
        <v>47324</v>
      </c>
      <c r="S14271" t="s">
        <v>48224</v>
      </c>
      <c r="T14271" t="s">
        <v>49002</v>
      </c>
      <c r="U14271" t="s">
        <v>55411</v>
      </c>
      <c r="W14271" t="s">
        <v>45440</v>
      </c>
      <c r="X14271" t="s">
        <v>47325</v>
      </c>
    </row>
    <row r="14272" spans="1:24">
      <c r="A14272">
        <f>HYPERLINK("https://www.philgeps.gov.ph/GEPSNONPILOT/Tender/SplashBidNoticeAbstractUI.aspx?menuIndex=3&amp;refID=7163914&amp;Result=3","7163914")</f>
        <v>0</v>
      </c>
      <c r="B14272" t="s">
        <v>1355</v>
      </c>
      <c r="C14272" t="s">
        <v>17367</v>
      </c>
      <c r="D14272" t="s">
        <v>19003</v>
      </c>
      <c r="E14272" t="s">
        <v>31150</v>
      </c>
      <c r="F14272" t="s">
        <v>32606</v>
      </c>
      <c r="G14272" t="s">
        <v>32613</v>
      </c>
      <c r="H14272" t="s">
        <v>14201</v>
      </c>
      <c r="I14272" t="s">
        <v>32641</v>
      </c>
      <c r="J14272" t="s">
        <v>41585</v>
      </c>
      <c r="K14272" t="s">
        <v>42639</v>
      </c>
      <c r="M14272" t="s">
        <v>47001</v>
      </c>
      <c r="N14272" t="s">
        <v>47304</v>
      </c>
      <c r="O14272" t="s">
        <v>47305</v>
      </c>
      <c r="Q14272">
        <v>4</v>
      </c>
      <c r="R14272" t="s">
        <v>47324</v>
      </c>
      <c r="S14272" t="s">
        <v>48225</v>
      </c>
      <c r="T14272" t="s">
        <v>49017</v>
      </c>
      <c r="U14272" t="s">
        <v>61343</v>
      </c>
      <c r="V14272" t="s">
        <v>64197</v>
      </c>
      <c r="W14272" t="s">
        <v>47001</v>
      </c>
      <c r="X14272" t="s">
        <v>47325</v>
      </c>
    </row>
    <row r="14273" spans="1:24">
      <c r="A14273">
        <f>HYPERLINK("https://www.philgeps.gov.ph/GEPSNONPILOT/Tender/SplashBidNoticeAbstractUI.aspx?menuIndex=3&amp;refID=7162617&amp;Result=3","7162617")</f>
        <v>0</v>
      </c>
      <c r="B14273" t="s">
        <v>3158</v>
      </c>
      <c r="C14273" t="s">
        <v>17368</v>
      </c>
      <c r="D14273" t="s">
        <v>19063</v>
      </c>
      <c r="E14273" t="s">
        <v>20192</v>
      </c>
      <c r="F14273" t="s">
        <v>32606</v>
      </c>
      <c r="G14273" t="s">
        <v>32613</v>
      </c>
      <c r="H14273" t="s">
        <v>32623</v>
      </c>
      <c r="I14273" t="s">
        <v>17648</v>
      </c>
      <c r="J14273" t="s">
        <v>32795</v>
      </c>
      <c r="K14273" t="s">
        <v>42844</v>
      </c>
      <c r="M14273" t="s">
        <v>46376</v>
      </c>
      <c r="N14273" t="s">
        <v>47304</v>
      </c>
      <c r="O14273" t="s">
        <v>47305</v>
      </c>
      <c r="P14273">
        <v>0</v>
      </c>
      <c r="Q14273">
        <v>0</v>
      </c>
      <c r="R14273" t="s">
        <v>47324</v>
      </c>
      <c r="S14273" t="s">
        <v>48182</v>
      </c>
      <c r="T14273" t="s">
        <v>49018</v>
      </c>
      <c r="U14273" t="s">
        <v>61344</v>
      </c>
      <c r="W14273" t="s">
        <v>46376</v>
      </c>
      <c r="X14273" t="s">
        <v>47325</v>
      </c>
    </row>
    <row r="14274" spans="1:24">
      <c r="A14274">
        <f>HYPERLINK("https://www.philgeps.gov.ph/GEPSNONPILOT/Tender/SplashBidNoticeAbstractUI.aspx?menuIndex=3&amp;refID=7163212&amp;Result=3","7163212")</f>
        <v>0</v>
      </c>
      <c r="B14274" t="s">
        <v>816</v>
      </c>
      <c r="C14274" t="s">
        <v>17369</v>
      </c>
      <c r="D14274" t="s">
        <v>19007</v>
      </c>
      <c r="E14274" t="s">
        <v>31151</v>
      </c>
      <c r="F14274" t="s">
        <v>32606</v>
      </c>
      <c r="G14274" t="s">
        <v>32613</v>
      </c>
      <c r="H14274" t="s">
        <v>32623</v>
      </c>
      <c r="I14274" t="s">
        <v>17648</v>
      </c>
      <c r="J14274" t="s">
        <v>41586</v>
      </c>
      <c r="K14274" t="s">
        <v>42631</v>
      </c>
      <c r="M14274" t="s">
        <v>43747</v>
      </c>
      <c r="N14274" t="s">
        <v>47304</v>
      </c>
      <c r="O14274" t="s">
        <v>47305</v>
      </c>
      <c r="P14274">
        <v>0</v>
      </c>
      <c r="Q14274">
        <v>0</v>
      </c>
      <c r="R14274" t="s">
        <v>47324</v>
      </c>
      <c r="S14274" t="s">
        <v>48182</v>
      </c>
      <c r="T14274" t="s">
        <v>49087</v>
      </c>
      <c r="U14274" t="s">
        <v>61345</v>
      </c>
      <c r="W14274" t="s">
        <v>64451</v>
      </c>
      <c r="X14274" t="s">
        <v>47325</v>
      </c>
    </row>
    <row r="14275" spans="1:24">
      <c r="A14275">
        <f>HYPERLINK("https://www.philgeps.gov.ph/GEPSNONPILOT/Tender/SplashBidNoticeAbstractUI.aspx?menuIndex=3&amp;refID=7163209&amp;Result=3","7163209")</f>
        <v>0</v>
      </c>
      <c r="B14275" t="s">
        <v>3751</v>
      </c>
      <c r="C14275" t="s">
        <v>17370</v>
      </c>
      <c r="D14275" t="s">
        <v>19046</v>
      </c>
      <c r="E14275" t="s">
        <v>31152</v>
      </c>
      <c r="F14275" t="s">
        <v>32606</v>
      </c>
      <c r="G14275" t="s">
        <v>32613</v>
      </c>
      <c r="H14275" t="s">
        <v>14201</v>
      </c>
      <c r="I14275" t="s">
        <v>32723</v>
      </c>
      <c r="J14275" t="s">
        <v>32765</v>
      </c>
      <c r="K14275" t="s">
        <v>42631</v>
      </c>
      <c r="M14275" t="s">
        <v>47082</v>
      </c>
      <c r="N14275" t="s">
        <v>47304</v>
      </c>
      <c r="O14275" t="s">
        <v>47305</v>
      </c>
      <c r="P14275">
        <v>0</v>
      </c>
      <c r="Q14275">
        <v>2</v>
      </c>
      <c r="R14275" t="s">
        <v>47324</v>
      </c>
      <c r="S14275" t="s">
        <v>48182</v>
      </c>
      <c r="T14275" t="s">
        <v>49053</v>
      </c>
      <c r="U14275" t="s">
        <v>61346</v>
      </c>
      <c r="V14275" t="s">
        <v>64198</v>
      </c>
      <c r="W14275" t="s">
        <v>47082</v>
      </c>
      <c r="X14275" t="s">
        <v>47325</v>
      </c>
    </row>
    <row r="14276" spans="1:24">
      <c r="A14276">
        <f>HYPERLINK("https://www.philgeps.gov.ph/GEPSNONPILOT/Tender/SplashBidNoticeAbstractUI.aspx?menuIndex=3&amp;refID=7157548&amp;Result=3","7157548")</f>
        <v>0</v>
      </c>
      <c r="B14276" t="s">
        <v>2961</v>
      </c>
      <c r="C14276" t="s">
        <v>12905</v>
      </c>
      <c r="D14276" t="s">
        <v>18986</v>
      </c>
      <c r="E14276" t="s">
        <v>31153</v>
      </c>
      <c r="F14276" t="s">
        <v>32606</v>
      </c>
      <c r="G14276" t="s">
        <v>32613</v>
      </c>
      <c r="H14276" t="s">
        <v>32623</v>
      </c>
      <c r="I14276" t="s">
        <v>17648</v>
      </c>
      <c r="J14276" t="s">
        <v>38894</v>
      </c>
      <c r="K14276" t="s">
        <v>42631</v>
      </c>
      <c r="M14276" t="s">
        <v>46145</v>
      </c>
      <c r="N14276" t="s">
        <v>47304</v>
      </c>
      <c r="O14276" t="s">
        <v>47305</v>
      </c>
      <c r="P14276">
        <v>0</v>
      </c>
      <c r="Q14276">
        <v>0</v>
      </c>
      <c r="R14276" t="s">
        <v>47325</v>
      </c>
      <c r="S14276" t="s">
        <v>48215</v>
      </c>
      <c r="T14276" t="s">
        <v>49075</v>
      </c>
      <c r="U14276" t="s">
        <v>61128</v>
      </c>
      <c r="W14276" t="s">
        <v>46145</v>
      </c>
      <c r="X14276" t="s">
        <v>47327</v>
      </c>
    </row>
    <row r="14277" spans="1:24">
      <c r="A14277">
        <f>HYPERLINK("https://www.philgeps.gov.ph/GEPSNONPILOT/Tender/SplashBidNoticeAbstractUI.aspx?menuIndex=3&amp;refID=7157566&amp;Result=3","7157566")</f>
        <v>0</v>
      </c>
      <c r="B14277" t="s">
        <v>303</v>
      </c>
      <c r="C14277" t="s">
        <v>17371</v>
      </c>
      <c r="D14277" t="s">
        <v>19039</v>
      </c>
      <c r="E14277" t="s">
        <v>31154</v>
      </c>
      <c r="F14277" t="s">
        <v>32606</v>
      </c>
      <c r="G14277" t="s">
        <v>32613</v>
      </c>
      <c r="H14277" t="s">
        <v>14201</v>
      </c>
      <c r="I14277" t="s">
        <v>4114</v>
      </c>
      <c r="J14277" t="s">
        <v>41587</v>
      </c>
      <c r="K14277" t="s">
        <v>42623</v>
      </c>
      <c r="M14277" t="s">
        <v>43205</v>
      </c>
      <c r="N14277" t="s">
        <v>47304</v>
      </c>
      <c r="O14277" t="s">
        <v>47305</v>
      </c>
      <c r="Q14277">
        <v>3</v>
      </c>
      <c r="R14277" t="s">
        <v>47325</v>
      </c>
      <c r="S14277" t="s">
        <v>47488</v>
      </c>
      <c r="T14277" t="s">
        <v>49140</v>
      </c>
      <c r="U14277" t="s">
        <v>61347</v>
      </c>
      <c r="V14277" t="s">
        <v>64199</v>
      </c>
      <c r="W14277" t="s">
        <v>43205</v>
      </c>
      <c r="X14277" t="s">
        <v>47327</v>
      </c>
    </row>
    <row r="14278" spans="1:24">
      <c r="A14278">
        <f>HYPERLINK("https://www.philgeps.gov.ph/GEPSNONPILOT/Tender/SplashBidNoticeAbstractUI.aspx?menuIndex=3&amp;refID=7157484&amp;Result=3","7157484")</f>
        <v>0</v>
      </c>
      <c r="B14278" t="s">
        <v>2441</v>
      </c>
      <c r="C14278" t="s">
        <v>17372</v>
      </c>
      <c r="D14278" t="s">
        <v>19016</v>
      </c>
      <c r="E14278" t="s">
        <v>31155</v>
      </c>
      <c r="F14278" t="s">
        <v>32606</v>
      </c>
      <c r="G14278" t="s">
        <v>32613</v>
      </c>
      <c r="H14278" t="s">
        <v>32623</v>
      </c>
      <c r="I14278" t="s">
        <v>17648</v>
      </c>
      <c r="J14278" t="s">
        <v>41588</v>
      </c>
      <c r="K14278" t="s">
        <v>42646</v>
      </c>
      <c r="M14278" t="s">
        <v>45569</v>
      </c>
      <c r="N14278" t="s">
        <v>47304</v>
      </c>
      <c r="O14278" t="s">
        <v>47305</v>
      </c>
      <c r="Q14278">
        <v>53</v>
      </c>
      <c r="R14278" t="s">
        <v>47325</v>
      </c>
      <c r="S14278" t="s">
        <v>48226</v>
      </c>
      <c r="T14278" t="s">
        <v>49072</v>
      </c>
      <c r="U14278" t="s">
        <v>61348</v>
      </c>
      <c r="W14278" t="s">
        <v>45569</v>
      </c>
      <c r="X14278" t="s">
        <v>47327</v>
      </c>
    </row>
    <row r="14279" spans="1:24">
      <c r="A14279">
        <f>HYPERLINK("https://www.philgeps.gov.ph/GEPSNONPILOT/Tender/SplashBidNoticeAbstractUI.aspx?menuIndex=3&amp;refID=7155577&amp;Result=3","7155577")</f>
        <v>0</v>
      </c>
      <c r="B14279" t="s">
        <v>1403</v>
      </c>
      <c r="C14279" t="s">
        <v>17373</v>
      </c>
      <c r="D14279" t="s">
        <v>19038</v>
      </c>
      <c r="E14279" t="s">
        <v>31156</v>
      </c>
      <c r="F14279" t="s">
        <v>32606</v>
      </c>
      <c r="G14279" t="s">
        <v>32613</v>
      </c>
      <c r="H14279" t="s">
        <v>32623</v>
      </c>
      <c r="I14279" t="s">
        <v>17648</v>
      </c>
      <c r="J14279" t="s">
        <v>36192</v>
      </c>
      <c r="K14279" t="s">
        <v>42633</v>
      </c>
      <c r="M14279" t="s">
        <v>47069</v>
      </c>
      <c r="N14279" t="s">
        <v>47304</v>
      </c>
      <c r="O14279" t="s">
        <v>47305</v>
      </c>
      <c r="P14279">
        <v>0</v>
      </c>
      <c r="Q14279">
        <v>0</v>
      </c>
      <c r="R14279" t="s">
        <v>47325</v>
      </c>
      <c r="S14279" t="s">
        <v>48215</v>
      </c>
      <c r="T14279" t="s">
        <v>49373</v>
      </c>
      <c r="U14279" t="s">
        <v>61349</v>
      </c>
      <c r="V14279" t="s">
        <v>64200</v>
      </c>
      <c r="W14279" t="s">
        <v>47069</v>
      </c>
      <c r="X14279" t="s">
        <v>47327</v>
      </c>
    </row>
    <row r="14280" spans="1:24">
      <c r="A14280">
        <f>HYPERLINK("https://www.philgeps.gov.ph/GEPSNONPILOT/Tender/SplashBidNoticeAbstractUI.aspx?menuIndex=3&amp;refID=7157195&amp;Result=3","7157195")</f>
        <v>0</v>
      </c>
      <c r="B14280" t="s">
        <v>1500</v>
      </c>
      <c r="C14280" t="s">
        <v>17374</v>
      </c>
      <c r="D14280" t="s">
        <v>19064</v>
      </c>
      <c r="E14280" t="s">
        <v>31157</v>
      </c>
      <c r="F14280" t="s">
        <v>32606</v>
      </c>
      <c r="G14280" t="s">
        <v>32613</v>
      </c>
      <c r="H14280" t="s">
        <v>14201</v>
      </c>
      <c r="I14280" t="s">
        <v>4121</v>
      </c>
      <c r="J14280" t="s">
        <v>41589</v>
      </c>
      <c r="K14280" t="s">
        <v>42636</v>
      </c>
      <c r="M14280" t="s">
        <v>44496</v>
      </c>
      <c r="N14280" t="s">
        <v>47304</v>
      </c>
      <c r="O14280" t="s">
        <v>47305</v>
      </c>
      <c r="Q14280">
        <v>6</v>
      </c>
      <c r="R14280" t="s">
        <v>47325</v>
      </c>
      <c r="S14280" t="s">
        <v>48227</v>
      </c>
      <c r="T14280" t="s">
        <v>49256</v>
      </c>
      <c r="U14280" t="s">
        <v>61350</v>
      </c>
      <c r="W14280" t="s">
        <v>44496</v>
      </c>
      <c r="X14280" t="s">
        <v>47327</v>
      </c>
    </row>
    <row r="14281" spans="1:24">
      <c r="A14281">
        <f>HYPERLINK("https://www.philgeps.gov.ph/GEPSNONPILOT/Tender/SplashBidNoticeAbstractUI.aspx?menuIndex=3&amp;refID=7157093&amp;Result=3","7157093")</f>
        <v>0</v>
      </c>
      <c r="B14281" t="s">
        <v>1437</v>
      </c>
      <c r="C14281" t="s">
        <v>17375</v>
      </c>
      <c r="E14281" t="s">
        <v>31158</v>
      </c>
      <c r="F14281" t="s">
        <v>32606</v>
      </c>
      <c r="G14281" t="s">
        <v>32613</v>
      </c>
      <c r="H14281" t="s">
        <v>14201</v>
      </c>
      <c r="I14281" t="s">
        <v>32638</v>
      </c>
      <c r="J14281" t="s">
        <v>41590</v>
      </c>
      <c r="K14281" t="s">
        <v>42624</v>
      </c>
      <c r="M14281" t="s">
        <v>44426</v>
      </c>
      <c r="N14281" t="s">
        <v>47304</v>
      </c>
      <c r="O14281" t="s">
        <v>47305</v>
      </c>
      <c r="P14281">
        <v>0</v>
      </c>
      <c r="Q14281">
        <v>40</v>
      </c>
      <c r="R14281" t="s">
        <v>47325</v>
      </c>
      <c r="S14281" t="s">
        <v>48215</v>
      </c>
      <c r="T14281" t="s">
        <v>49020</v>
      </c>
      <c r="U14281" t="s">
        <v>61351</v>
      </c>
      <c r="W14281" t="s">
        <v>44426</v>
      </c>
      <c r="X14281" t="s">
        <v>47327</v>
      </c>
    </row>
    <row r="14282" spans="1:24">
      <c r="A14282">
        <f>HYPERLINK("https://www.philgeps.gov.ph/GEPSNONPILOT/Tender/SplashBidNoticeAbstractUI.aspx?menuIndex=3&amp;refID=7157424&amp;Result=3","7157424")</f>
        <v>0</v>
      </c>
      <c r="B14282" t="s">
        <v>1500</v>
      </c>
      <c r="C14282" t="s">
        <v>17376</v>
      </c>
      <c r="D14282" t="s">
        <v>19036</v>
      </c>
      <c r="E14282" t="s">
        <v>31159</v>
      </c>
      <c r="F14282" t="s">
        <v>32606</v>
      </c>
      <c r="G14282" t="s">
        <v>32613</v>
      </c>
      <c r="H14282" t="s">
        <v>14201</v>
      </c>
      <c r="I14282" t="s">
        <v>32645</v>
      </c>
      <c r="J14282" t="s">
        <v>34128</v>
      </c>
      <c r="K14282" t="s">
        <v>42636</v>
      </c>
      <c r="M14282" t="s">
        <v>44496</v>
      </c>
      <c r="N14282" t="s">
        <v>47304</v>
      </c>
      <c r="O14282" t="s">
        <v>47305</v>
      </c>
      <c r="Q14282">
        <v>11</v>
      </c>
      <c r="R14282" t="s">
        <v>47325</v>
      </c>
      <c r="S14282" t="s">
        <v>48228</v>
      </c>
      <c r="T14282" t="s">
        <v>49256</v>
      </c>
      <c r="U14282" t="s">
        <v>61352</v>
      </c>
      <c r="W14282" t="s">
        <v>44496</v>
      </c>
      <c r="X14282" t="s">
        <v>47327</v>
      </c>
    </row>
    <row r="14283" spans="1:24">
      <c r="A14283">
        <f>HYPERLINK("https://www.philgeps.gov.ph/GEPSNONPILOT/Tender/SplashBidNoticeAbstractUI.aspx?menuIndex=3&amp;refID=7156935&amp;Result=3","7156935")</f>
        <v>0</v>
      </c>
      <c r="B14283" t="s">
        <v>1500</v>
      </c>
      <c r="C14283" t="s">
        <v>17377</v>
      </c>
      <c r="D14283" t="s">
        <v>19036</v>
      </c>
      <c r="E14283" t="s">
        <v>31160</v>
      </c>
      <c r="F14283" t="s">
        <v>32606</v>
      </c>
      <c r="G14283" t="s">
        <v>32613</v>
      </c>
      <c r="H14283" t="s">
        <v>14201</v>
      </c>
      <c r="I14283" t="s">
        <v>32661</v>
      </c>
      <c r="J14283" t="s">
        <v>32861</v>
      </c>
      <c r="K14283" t="s">
        <v>42636</v>
      </c>
      <c r="M14283" t="s">
        <v>44496</v>
      </c>
      <c r="N14283" t="s">
        <v>47304</v>
      </c>
      <c r="O14283" t="s">
        <v>47305</v>
      </c>
      <c r="Q14283">
        <v>5</v>
      </c>
      <c r="R14283" t="s">
        <v>47325</v>
      </c>
      <c r="S14283" t="s">
        <v>47864</v>
      </c>
      <c r="T14283" t="s">
        <v>49256</v>
      </c>
      <c r="U14283" t="s">
        <v>61353</v>
      </c>
      <c r="W14283" t="s">
        <v>44496</v>
      </c>
      <c r="X14283" t="s">
        <v>47327</v>
      </c>
    </row>
    <row r="14284" spans="1:24">
      <c r="A14284">
        <f>HYPERLINK("https://www.philgeps.gov.ph/GEPSNONPILOT/Tender/SplashBidNoticeAbstractUI.aspx?menuIndex=3&amp;refID=7163977&amp;Result=3","7163977")</f>
        <v>0</v>
      </c>
      <c r="B14284" t="s">
        <v>3752</v>
      </c>
      <c r="C14284" t="s">
        <v>17378</v>
      </c>
      <c r="D14284" t="s">
        <v>19063</v>
      </c>
      <c r="E14284" t="s">
        <v>22731</v>
      </c>
      <c r="F14284" t="s">
        <v>32606</v>
      </c>
      <c r="G14284" t="s">
        <v>32613</v>
      </c>
      <c r="H14284" t="s">
        <v>14201</v>
      </c>
      <c r="I14284" t="s">
        <v>4114</v>
      </c>
      <c r="J14284" t="s">
        <v>41591</v>
      </c>
      <c r="K14284" t="s">
        <v>42623</v>
      </c>
      <c r="M14284" t="s">
        <v>47083</v>
      </c>
      <c r="N14284" t="s">
        <v>47304</v>
      </c>
      <c r="O14284" t="s">
        <v>47305</v>
      </c>
      <c r="P14284">
        <v>0</v>
      </c>
      <c r="Q14284">
        <v>11</v>
      </c>
      <c r="R14284" t="s">
        <v>47324</v>
      </c>
      <c r="S14284" t="s">
        <v>48182</v>
      </c>
      <c r="T14284" t="s">
        <v>48971</v>
      </c>
      <c r="U14284" t="s">
        <v>61354</v>
      </c>
      <c r="V14284" t="s">
        <v>62721</v>
      </c>
      <c r="W14284" t="s">
        <v>47083</v>
      </c>
      <c r="X14284" t="s">
        <v>47325</v>
      </c>
    </row>
    <row r="14285" spans="1:24">
      <c r="A14285">
        <f>HYPERLINK("https://www.philgeps.gov.ph/GEPSNONPILOT/Tender/SplashBidNoticeAbstractUI.aspx?menuIndex=3&amp;refID=7157301&amp;Result=3","7157301")</f>
        <v>0</v>
      </c>
      <c r="B14285" t="s">
        <v>1500</v>
      </c>
      <c r="C14285" t="s">
        <v>17379</v>
      </c>
      <c r="D14285" t="s">
        <v>19036</v>
      </c>
      <c r="E14285" t="s">
        <v>31161</v>
      </c>
      <c r="F14285" t="s">
        <v>32606</v>
      </c>
      <c r="G14285" t="s">
        <v>32613</v>
      </c>
      <c r="H14285" t="s">
        <v>14201</v>
      </c>
      <c r="I14285" t="s">
        <v>4121</v>
      </c>
      <c r="J14285" t="s">
        <v>33846</v>
      </c>
      <c r="K14285" t="s">
        <v>42636</v>
      </c>
      <c r="M14285" t="s">
        <v>44496</v>
      </c>
      <c r="N14285" t="s">
        <v>47304</v>
      </c>
      <c r="O14285" t="s">
        <v>47305</v>
      </c>
      <c r="Q14285">
        <v>7</v>
      </c>
      <c r="R14285" t="s">
        <v>47325</v>
      </c>
      <c r="S14285" t="s">
        <v>48229</v>
      </c>
      <c r="T14285" t="s">
        <v>49256</v>
      </c>
      <c r="U14285" t="s">
        <v>61355</v>
      </c>
      <c r="W14285" t="s">
        <v>44496</v>
      </c>
      <c r="X14285" t="s">
        <v>47327</v>
      </c>
    </row>
    <row r="14286" spans="1:24">
      <c r="A14286">
        <f>HYPERLINK("https://www.philgeps.gov.ph/GEPSNONPILOT/Tender/SplashBidNoticeAbstractUI.aspx?menuIndex=3&amp;refID=7156300&amp;Result=3","7156300")</f>
        <v>0</v>
      </c>
      <c r="B14286" t="s">
        <v>3753</v>
      </c>
      <c r="C14286" t="s">
        <v>17380</v>
      </c>
      <c r="D14286" t="s">
        <v>19006</v>
      </c>
      <c r="E14286" t="s">
        <v>31162</v>
      </c>
      <c r="F14286" t="s">
        <v>32606</v>
      </c>
      <c r="G14286" t="s">
        <v>32613</v>
      </c>
      <c r="H14286" t="s">
        <v>14201</v>
      </c>
      <c r="I14286" t="s">
        <v>32633</v>
      </c>
      <c r="J14286" t="s">
        <v>41592</v>
      </c>
      <c r="K14286" t="s">
        <v>42631</v>
      </c>
      <c r="M14286" t="s">
        <v>47084</v>
      </c>
      <c r="N14286" t="s">
        <v>47304</v>
      </c>
      <c r="O14286" t="s">
        <v>47305</v>
      </c>
      <c r="P14286">
        <v>0</v>
      </c>
      <c r="Q14286">
        <v>6</v>
      </c>
      <c r="R14286" t="s">
        <v>47325</v>
      </c>
      <c r="S14286" t="s">
        <v>48215</v>
      </c>
      <c r="T14286" t="s">
        <v>49268</v>
      </c>
      <c r="U14286" t="s">
        <v>61356</v>
      </c>
      <c r="W14286" t="s">
        <v>47084</v>
      </c>
      <c r="X14286" t="s">
        <v>47327</v>
      </c>
    </row>
    <row r="14287" spans="1:24">
      <c r="A14287">
        <f>HYPERLINK("https://www.philgeps.gov.ph/GEPSNONPILOT/Tender/SplashBidNoticeAbstractUI.aspx?menuIndex=3&amp;refID=7156073&amp;Result=3","7156073")</f>
        <v>0</v>
      </c>
      <c r="B14287" t="s">
        <v>2113</v>
      </c>
      <c r="C14287" t="s">
        <v>17381</v>
      </c>
      <c r="D14287" t="s">
        <v>19012</v>
      </c>
      <c r="E14287" t="s">
        <v>31163</v>
      </c>
      <c r="F14287" t="s">
        <v>32606</v>
      </c>
      <c r="G14287" t="s">
        <v>32613</v>
      </c>
      <c r="H14287" t="s">
        <v>32623</v>
      </c>
      <c r="I14287" t="s">
        <v>17648</v>
      </c>
      <c r="J14287" t="s">
        <v>41593</v>
      </c>
      <c r="K14287" t="s">
        <v>42682</v>
      </c>
      <c r="M14287" t="s">
        <v>45199</v>
      </c>
      <c r="N14287" t="s">
        <v>47304</v>
      </c>
      <c r="O14287" t="s">
        <v>47305</v>
      </c>
      <c r="P14287">
        <v>0</v>
      </c>
      <c r="Q14287">
        <v>0</v>
      </c>
      <c r="R14287" t="s">
        <v>47325</v>
      </c>
      <c r="S14287" t="s">
        <v>48215</v>
      </c>
      <c r="T14287" t="s">
        <v>49053</v>
      </c>
      <c r="U14287" t="s">
        <v>61087</v>
      </c>
      <c r="W14287" t="s">
        <v>45199</v>
      </c>
      <c r="X14287" t="s">
        <v>47327</v>
      </c>
    </row>
    <row r="14288" spans="1:24">
      <c r="A14288">
        <f>HYPERLINK("https://www.philgeps.gov.ph/GEPSNONPILOT/Tender/SplashBidNoticeAbstractUI.aspx?menuIndex=3&amp;refID=7155905&amp;Result=3","7155905")</f>
        <v>0</v>
      </c>
      <c r="B14288" t="s">
        <v>2113</v>
      </c>
      <c r="C14288" t="s">
        <v>17382</v>
      </c>
      <c r="D14288" t="s">
        <v>19012</v>
      </c>
      <c r="E14288" t="s">
        <v>31164</v>
      </c>
      <c r="F14288" t="s">
        <v>32606</v>
      </c>
      <c r="G14288" t="s">
        <v>32613</v>
      </c>
      <c r="H14288" t="s">
        <v>32623</v>
      </c>
      <c r="I14288" t="s">
        <v>17648</v>
      </c>
      <c r="J14288" t="s">
        <v>41594</v>
      </c>
      <c r="K14288" t="s">
        <v>42694</v>
      </c>
      <c r="M14288" t="s">
        <v>45199</v>
      </c>
      <c r="N14288" t="s">
        <v>47304</v>
      </c>
      <c r="O14288" t="s">
        <v>47305</v>
      </c>
      <c r="P14288">
        <v>0</v>
      </c>
      <c r="Q14288">
        <v>0</v>
      </c>
      <c r="R14288" t="s">
        <v>47325</v>
      </c>
      <c r="S14288" t="s">
        <v>48215</v>
      </c>
      <c r="T14288" t="s">
        <v>49053</v>
      </c>
      <c r="U14288" t="s">
        <v>61087</v>
      </c>
      <c r="W14288" t="s">
        <v>45199</v>
      </c>
      <c r="X14288" t="s">
        <v>47327</v>
      </c>
    </row>
    <row r="14289" spans="1:24">
      <c r="A14289">
        <f>HYPERLINK("https://www.philgeps.gov.ph/GEPSNONPILOT/Tender/SplashBidNoticeAbstractUI.aspx?menuIndex=3&amp;refID=7157476&amp;Result=3","7157476")</f>
        <v>0</v>
      </c>
      <c r="B14289" t="s">
        <v>2961</v>
      </c>
      <c r="C14289" t="s">
        <v>17383</v>
      </c>
      <c r="D14289" t="s">
        <v>18986</v>
      </c>
      <c r="E14289" t="s">
        <v>31165</v>
      </c>
      <c r="F14289" t="s">
        <v>32606</v>
      </c>
      <c r="G14289" t="s">
        <v>32613</v>
      </c>
      <c r="H14289" t="s">
        <v>32623</v>
      </c>
      <c r="I14289" t="s">
        <v>17648</v>
      </c>
      <c r="J14289" t="s">
        <v>34667</v>
      </c>
      <c r="K14289" t="s">
        <v>42694</v>
      </c>
      <c r="M14289" t="s">
        <v>46145</v>
      </c>
      <c r="N14289" t="s">
        <v>47304</v>
      </c>
      <c r="O14289" t="s">
        <v>47305</v>
      </c>
      <c r="P14289">
        <v>0</v>
      </c>
      <c r="Q14289">
        <v>0</v>
      </c>
      <c r="R14289" t="s">
        <v>47325</v>
      </c>
      <c r="S14289" t="s">
        <v>48215</v>
      </c>
      <c r="T14289" t="s">
        <v>49502</v>
      </c>
      <c r="U14289" t="s">
        <v>61357</v>
      </c>
      <c r="W14289" t="s">
        <v>46145</v>
      </c>
      <c r="X14289" t="s">
        <v>47327</v>
      </c>
    </row>
    <row r="14290" spans="1:24">
      <c r="A14290">
        <f>HYPERLINK("https://www.philgeps.gov.ph/GEPSNONPILOT/Tender/SplashBidNoticeAbstractUI.aspx?menuIndex=3&amp;refID=7163755&amp;Result=3","7163755")</f>
        <v>0</v>
      </c>
      <c r="B14290" t="s">
        <v>3736</v>
      </c>
      <c r="C14290" t="s">
        <v>17384</v>
      </c>
      <c r="D14290" t="s">
        <v>19023</v>
      </c>
      <c r="E14290" t="s">
        <v>31166</v>
      </c>
      <c r="F14290" t="s">
        <v>32606</v>
      </c>
      <c r="G14290" t="s">
        <v>32619</v>
      </c>
      <c r="H14290" t="s">
        <v>14201</v>
      </c>
      <c r="I14290" t="s">
        <v>32631</v>
      </c>
      <c r="J14290" t="s">
        <v>41595</v>
      </c>
      <c r="K14290" t="s">
        <v>42631</v>
      </c>
      <c r="M14290" t="s">
        <v>47062</v>
      </c>
      <c r="N14290" t="s">
        <v>47304</v>
      </c>
      <c r="O14290" t="s">
        <v>47305</v>
      </c>
      <c r="Q14290">
        <v>6</v>
      </c>
      <c r="R14290" t="s">
        <v>47324</v>
      </c>
      <c r="S14290" t="s">
        <v>47450</v>
      </c>
      <c r="T14290" t="s">
        <v>48980</v>
      </c>
      <c r="U14290" t="s">
        <v>61358</v>
      </c>
      <c r="V14290" t="s">
        <v>64173</v>
      </c>
      <c r="W14290" t="s">
        <v>47062</v>
      </c>
      <c r="X14290" t="s">
        <v>47325</v>
      </c>
    </row>
    <row r="14291" spans="1:24">
      <c r="A14291">
        <f>HYPERLINK("https://www.philgeps.gov.ph/GEPSNONPILOT/Tender/SplashBidNoticeAbstractUI.aspx?menuIndex=3&amp;refID=7155689&amp;Result=3","7155689")</f>
        <v>0</v>
      </c>
      <c r="B14291" t="s">
        <v>1803</v>
      </c>
      <c r="C14291" t="s">
        <v>17385</v>
      </c>
      <c r="D14291" t="s">
        <v>18994</v>
      </c>
      <c r="E14291" t="s">
        <v>31167</v>
      </c>
      <c r="F14291" t="s">
        <v>32606</v>
      </c>
      <c r="G14291" t="s">
        <v>32613</v>
      </c>
      <c r="H14291" t="s">
        <v>32623</v>
      </c>
      <c r="I14291" t="s">
        <v>17648</v>
      </c>
      <c r="J14291" t="s">
        <v>41596</v>
      </c>
      <c r="K14291" t="s">
        <v>42778</v>
      </c>
      <c r="M14291" t="s">
        <v>44844</v>
      </c>
      <c r="N14291" t="s">
        <v>47304</v>
      </c>
      <c r="O14291" t="s">
        <v>47305</v>
      </c>
      <c r="P14291">
        <v>0</v>
      </c>
      <c r="Q14291">
        <v>4</v>
      </c>
      <c r="R14291" t="s">
        <v>47325</v>
      </c>
      <c r="S14291" t="s">
        <v>48215</v>
      </c>
      <c r="T14291" t="s">
        <v>49071</v>
      </c>
      <c r="U14291" t="s">
        <v>61359</v>
      </c>
      <c r="W14291" t="s">
        <v>44844</v>
      </c>
      <c r="X14291" t="s">
        <v>47327</v>
      </c>
    </row>
    <row r="14292" spans="1:24">
      <c r="A14292">
        <f>HYPERLINK("https://www.philgeps.gov.ph/GEPSNONPILOT/Tender/SplashBidNoticeAbstractUI.aspx?menuIndex=3&amp;refID=7157071&amp;Result=3","7157071")</f>
        <v>0</v>
      </c>
      <c r="B14292" t="s">
        <v>1500</v>
      </c>
      <c r="C14292" t="s">
        <v>17386</v>
      </c>
      <c r="D14292" t="s">
        <v>19064</v>
      </c>
      <c r="E14292" t="s">
        <v>31168</v>
      </c>
      <c r="F14292" t="s">
        <v>32606</v>
      </c>
      <c r="G14292" t="s">
        <v>32613</v>
      </c>
      <c r="H14292" t="s">
        <v>14201</v>
      </c>
      <c r="I14292" t="s">
        <v>4121</v>
      </c>
      <c r="J14292" t="s">
        <v>32767</v>
      </c>
      <c r="K14292" t="s">
        <v>42636</v>
      </c>
      <c r="M14292" t="s">
        <v>44496</v>
      </c>
      <c r="N14292" t="s">
        <v>47304</v>
      </c>
      <c r="O14292" t="s">
        <v>47305</v>
      </c>
      <c r="Q14292">
        <v>8</v>
      </c>
      <c r="R14292" t="s">
        <v>47325</v>
      </c>
      <c r="S14292" t="s">
        <v>48230</v>
      </c>
      <c r="T14292" t="s">
        <v>49256</v>
      </c>
      <c r="U14292" t="s">
        <v>61360</v>
      </c>
      <c r="W14292" t="s">
        <v>44496</v>
      </c>
      <c r="X14292" t="s">
        <v>47327</v>
      </c>
    </row>
    <row r="14293" spans="1:24">
      <c r="A14293">
        <f>HYPERLINK("https://www.philgeps.gov.ph/GEPSNONPILOT/Tender/SplashBidNoticeAbstractUI.aspx?menuIndex=3&amp;refID=7157431&amp;Result=3","7157431")</f>
        <v>0</v>
      </c>
      <c r="B14293" t="s">
        <v>2961</v>
      </c>
      <c r="C14293" t="s">
        <v>12905</v>
      </c>
      <c r="D14293" t="s">
        <v>18986</v>
      </c>
      <c r="E14293" t="s">
        <v>31169</v>
      </c>
      <c r="F14293" t="s">
        <v>32606</v>
      </c>
      <c r="G14293" t="s">
        <v>32613</v>
      </c>
      <c r="H14293" t="s">
        <v>32623</v>
      </c>
      <c r="I14293" t="s">
        <v>17648</v>
      </c>
      <c r="J14293" t="s">
        <v>32772</v>
      </c>
      <c r="K14293" t="s">
        <v>42636</v>
      </c>
      <c r="M14293" t="s">
        <v>46145</v>
      </c>
      <c r="N14293" t="s">
        <v>47304</v>
      </c>
      <c r="O14293" t="s">
        <v>47305</v>
      </c>
      <c r="P14293">
        <v>0</v>
      </c>
      <c r="Q14293">
        <v>0</v>
      </c>
      <c r="R14293" t="s">
        <v>47325</v>
      </c>
      <c r="S14293" t="s">
        <v>48215</v>
      </c>
      <c r="T14293" t="s">
        <v>49465</v>
      </c>
      <c r="U14293" t="s">
        <v>61361</v>
      </c>
      <c r="W14293" t="s">
        <v>46145</v>
      </c>
      <c r="X14293" t="s">
        <v>47327</v>
      </c>
    </row>
    <row r="14294" spans="1:24">
      <c r="A14294">
        <f>HYPERLINK("https://www.philgeps.gov.ph/GEPSNONPILOT/Tender/SplashBidNoticeAbstractUI.aspx?menuIndex=3&amp;refID=7157590&amp;Result=3","7157590")</f>
        <v>0</v>
      </c>
      <c r="B14294" t="s">
        <v>1500</v>
      </c>
      <c r="C14294" t="s">
        <v>17387</v>
      </c>
      <c r="D14294" t="s">
        <v>19036</v>
      </c>
      <c r="E14294" t="s">
        <v>31170</v>
      </c>
      <c r="F14294" t="s">
        <v>32606</v>
      </c>
      <c r="G14294" t="s">
        <v>32613</v>
      </c>
      <c r="H14294" t="s">
        <v>14201</v>
      </c>
      <c r="I14294" t="s">
        <v>4121</v>
      </c>
      <c r="J14294" t="s">
        <v>38265</v>
      </c>
      <c r="K14294" t="s">
        <v>42636</v>
      </c>
      <c r="M14294" t="s">
        <v>44496</v>
      </c>
      <c r="N14294" t="s">
        <v>47304</v>
      </c>
      <c r="O14294" t="s">
        <v>47305</v>
      </c>
      <c r="Q14294">
        <v>6</v>
      </c>
      <c r="R14294" t="s">
        <v>47325</v>
      </c>
      <c r="S14294" t="s">
        <v>48231</v>
      </c>
      <c r="T14294" t="s">
        <v>49256</v>
      </c>
      <c r="U14294" t="s">
        <v>61362</v>
      </c>
      <c r="W14294" t="s">
        <v>44496</v>
      </c>
      <c r="X14294" t="s">
        <v>47327</v>
      </c>
    </row>
    <row r="14295" spans="1:24">
      <c r="A14295">
        <f>HYPERLINK("https://www.philgeps.gov.ph/GEPSNONPILOT/Tender/SplashBidNoticeAbstractUI.aspx?menuIndex=3&amp;refID=7158576&amp;Result=3","7158576")</f>
        <v>0</v>
      </c>
      <c r="B14295" t="s">
        <v>3754</v>
      </c>
      <c r="C14295" t="s">
        <v>17388</v>
      </c>
      <c r="D14295" t="s">
        <v>19053</v>
      </c>
      <c r="E14295" t="s">
        <v>31171</v>
      </c>
      <c r="F14295" t="s">
        <v>32606</v>
      </c>
      <c r="G14295" t="s">
        <v>32613</v>
      </c>
      <c r="H14295" t="s">
        <v>14201</v>
      </c>
      <c r="I14295" t="s">
        <v>32629</v>
      </c>
      <c r="J14295" t="s">
        <v>32981</v>
      </c>
      <c r="K14295" t="s">
        <v>42623</v>
      </c>
      <c r="M14295" t="s">
        <v>47085</v>
      </c>
      <c r="N14295" t="s">
        <v>47304</v>
      </c>
      <c r="O14295" t="s">
        <v>47305</v>
      </c>
      <c r="P14295">
        <v>0</v>
      </c>
      <c r="Q14295">
        <v>0</v>
      </c>
      <c r="R14295" t="s">
        <v>47325</v>
      </c>
      <c r="S14295" t="s">
        <v>48215</v>
      </c>
      <c r="T14295" t="s">
        <v>49004</v>
      </c>
      <c r="U14295" t="s">
        <v>61363</v>
      </c>
      <c r="W14295" t="s">
        <v>47085</v>
      </c>
      <c r="X14295" t="s">
        <v>47326</v>
      </c>
    </row>
    <row r="14296" spans="1:24">
      <c r="A14296">
        <f>HYPERLINK("https://www.philgeps.gov.ph/GEPSNONPILOT/Tender/SplashBidNoticeAbstractUI.aspx?menuIndex=3&amp;refID=7155992&amp;Result=3","7155992")</f>
        <v>0</v>
      </c>
      <c r="B14296" t="s">
        <v>2113</v>
      </c>
      <c r="C14296" t="s">
        <v>17389</v>
      </c>
      <c r="D14296" t="s">
        <v>19012</v>
      </c>
      <c r="E14296" t="s">
        <v>31172</v>
      </c>
      <c r="F14296" t="s">
        <v>32606</v>
      </c>
      <c r="G14296" t="s">
        <v>32613</v>
      </c>
      <c r="H14296" t="s">
        <v>32623</v>
      </c>
      <c r="I14296" t="s">
        <v>17648</v>
      </c>
      <c r="J14296" t="s">
        <v>33016</v>
      </c>
      <c r="K14296" t="s">
        <v>42649</v>
      </c>
      <c r="M14296" t="s">
        <v>45199</v>
      </c>
      <c r="N14296" t="s">
        <v>47304</v>
      </c>
      <c r="O14296" t="s">
        <v>47305</v>
      </c>
      <c r="P14296">
        <v>0</v>
      </c>
      <c r="Q14296">
        <v>0</v>
      </c>
      <c r="R14296" t="s">
        <v>47325</v>
      </c>
      <c r="S14296" t="s">
        <v>48215</v>
      </c>
      <c r="T14296" t="s">
        <v>49053</v>
      </c>
      <c r="U14296" t="s">
        <v>61087</v>
      </c>
      <c r="W14296" t="s">
        <v>45199</v>
      </c>
      <c r="X14296" t="s">
        <v>47327</v>
      </c>
    </row>
    <row r="14297" spans="1:24">
      <c r="A14297">
        <f>HYPERLINK("https://www.philgeps.gov.ph/GEPSNONPILOT/Tender/SplashBidNoticeAbstractUI.aspx?menuIndex=3&amp;refID=7155776&amp;Result=3","7155776")</f>
        <v>0</v>
      </c>
      <c r="B14297" t="s">
        <v>1803</v>
      </c>
      <c r="C14297" t="s">
        <v>17390</v>
      </c>
      <c r="D14297" t="s">
        <v>18994</v>
      </c>
      <c r="E14297" t="s">
        <v>31173</v>
      </c>
      <c r="F14297" t="s">
        <v>32606</v>
      </c>
      <c r="G14297" t="s">
        <v>32613</v>
      </c>
      <c r="H14297" t="s">
        <v>32623</v>
      </c>
      <c r="I14297" t="s">
        <v>17648</v>
      </c>
      <c r="J14297" t="s">
        <v>41597</v>
      </c>
      <c r="K14297" t="s">
        <v>42838</v>
      </c>
      <c r="M14297" t="s">
        <v>44844</v>
      </c>
      <c r="N14297" t="s">
        <v>47304</v>
      </c>
      <c r="O14297" t="s">
        <v>47305</v>
      </c>
      <c r="P14297">
        <v>0</v>
      </c>
      <c r="Q14297">
        <v>5</v>
      </c>
      <c r="R14297" t="s">
        <v>47325</v>
      </c>
      <c r="S14297" t="s">
        <v>48215</v>
      </c>
      <c r="T14297" t="s">
        <v>49071</v>
      </c>
      <c r="U14297" t="s">
        <v>61364</v>
      </c>
      <c r="W14297" t="s">
        <v>44844</v>
      </c>
      <c r="X14297" t="s">
        <v>47327</v>
      </c>
    </row>
    <row r="14298" spans="1:24">
      <c r="A14298">
        <f>HYPERLINK("https://www.philgeps.gov.ph/GEPSNONPILOT/Tender/SplashBidNoticeAbstractUI.aspx?menuIndex=3&amp;refID=7158564&amp;Result=3","7158564")</f>
        <v>0</v>
      </c>
      <c r="B14298" t="s">
        <v>3755</v>
      </c>
      <c r="C14298" t="s">
        <v>17391</v>
      </c>
      <c r="D14298" t="s">
        <v>19056</v>
      </c>
      <c r="E14298" t="s">
        <v>19370</v>
      </c>
      <c r="F14298" t="s">
        <v>32606</v>
      </c>
      <c r="G14298" t="s">
        <v>32613</v>
      </c>
      <c r="H14298" t="s">
        <v>32623</v>
      </c>
      <c r="I14298" t="s">
        <v>6931</v>
      </c>
      <c r="J14298" t="s">
        <v>41598</v>
      </c>
      <c r="K14298" t="s">
        <v>42630</v>
      </c>
      <c r="M14298" t="s">
        <v>47086</v>
      </c>
      <c r="N14298" t="s">
        <v>47304</v>
      </c>
      <c r="O14298" t="s">
        <v>47305</v>
      </c>
      <c r="P14298">
        <v>0</v>
      </c>
      <c r="Q14298">
        <v>0</v>
      </c>
      <c r="R14298" t="s">
        <v>47325</v>
      </c>
      <c r="S14298" t="s">
        <v>48215</v>
      </c>
      <c r="T14298" t="s">
        <v>49414</v>
      </c>
      <c r="U14298" t="s">
        <v>61365</v>
      </c>
      <c r="W14298" t="s">
        <v>47086</v>
      </c>
      <c r="X14298" t="s">
        <v>47326</v>
      </c>
    </row>
    <row r="14299" spans="1:24">
      <c r="A14299">
        <f>HYPERLINK("https://www.philgeps.gov.ph/GEPSNONPILOT/Tender/SplashBidNoticeAbstractUI.aspx?menuIndex=3&amp;refID=7158545&amp;Result=3","7158545")</f>
        <v>0</v>
      </c>
      <c r="B14299" t="s">
        <v>212</v>
      </c>
      <c r="C14299" t="s">
        <v>17392</v>
      </c>
      <c r="D14299" t="s">
        <v>19007</v>
      </c>
      <c r="E14299" t="s">
        <v>31174</v>
      </c>
      <c r="F14299" t="s">
        <v>32606</v>
      </c>
      <c r="G14299" t="s">
        <v>32613</v>
      </c>
      <c r="H14299" t="s">
        <v>14201</v>
      </c>
      <c r="I14299" t="s">
        <v>7577</v>
      </c>
      <c r="J14299" t="s">
        <v>41599</v>
      </c>
      <c r="K14299" t="s">
        <v>42639</v>
      </c>
      <c r="M14299" t="s">
        <v>43113</v>
      </c>
      <c r="N14299" t="s">
        <v>47304</v>
      </c>
      <c r="O14299" t="s">
        <v>47305</v>
      </c>
      <c r="Q14299">
        <v>26</v>
      </c>
      <c r="R14299" t="s">
        <v>47325</v>
      </c>
      <c r="S14299" t="s">
        <v>48232</v>
      </c>
      <c r="T14299" t="s">
        <v>49040</v>
      </c>
      <c r="U14299" t="s">
        <v>61366</v>
      </c>
      <c r="W14299" t="s">
        <v>43113</v>
      </c>
      <c r="X14299" t="s">
        <v>47327</v>
      </c>
    </row>
    <row r="14300" spans="1:24">
      <c r="A14300">
        <f>HYPERLINK("https://www.philgeps.gov.ph/GEPSNONPILOT/Tender/SplashBidNoticeAbstractUI.aspx?menuIndex=3&amp;refID=7158385&amp;Result=3","7158385")</f>
        <v>0</v>
      </c>
      <c r="B14300" t="s">
        <v>234</v>
      </c>
      <c r="C14300" t="s">
        <v>17393</v>
      </c>
      <c r="D14300" t="s">
        <v>19052</v>
      </c>
      <c r="E14300" t="s">
        <v>31175</v>
      </c>
      <c r="F14300" t="s">
        <v>32606</v>
      </c>
      <c r="G14300" t="s">
        <v>32613</v>
      </c>
      <c r="H14300" t="s">
        <v>32623</v>
      </c>
      <c r="I14300" t="s">
        <v>17648</v>
      </c>
      <c r="J14300" t="s">
        <v>41600</v>
      </c>
      <c r="K14300" t="s">
        <v>42648</v>
      </c>
      <c r="M14300" t="s">
        <v>43135</v>
      </c>
      <c r="N14300" t="s">
        <v>47304</v>
      </c>
      <c r="O14300" t="s">
        <v>47305</v>
      </c>
      <c r="P14300">
        <v>0</v>
      </c>
      <c r="Q14300">
        <v>1</v>
      </c>
      <c r="R14300" t="s">
        <v>47325</v>
      </c>
      <c r="S14300" t="s">
        <v>48215</v>
      </c>
      <c r="T14300" t="s">
        <v>49020</v>
      </c>
      <c r="U14300" t="s">
        <v>61367</v>
      </c>
      <c r="V14300" t="s">
        <v>62641</v>
      </c>
      <c r="W14300" t="s">
        <v>43135</v>
      </c>
      <c r="X14300" t="s">
        <v>47327</v>
      </c>
    </row>
    <row r="14301" spans="1:24">
      <c r="A14301">
        <f>HYPERLINK("https://www.philgeps.gov.ph/GEPSNONPILOT/Tender/SplashBidNoticeAbstractUI.aspx?menuIndex=3&amp;refID=7158143&amp;Result=3","7158143")</f>
        <v>0</v>
      </c>
      <c r="B14301" t="s">
        <v>288</v>
      </c>
      <c r="C14301" t="s">
        <v>17394</v>
      </c>
      <c r="D14301" t="s">
        <v>19034</v>
      </c>
      <c r="E14301" t="s">
        <v>31176</v>
      </c>
      <c r="F14301" t="s">
        <v>32606</v>
      </c>
      <c r="G14301" t="s">
        <v>32613</v>
      </c>
      <c r="H14301" t="s">
        <v>32623</v>
      </c>
      <c r="I14301" t="s">
        <v>17648</v>
      </c>
      <c r="J14301" t="s">
        <v>41601</v>
      </c>
      <c r="K14301" t="s">
        <v>42631</v>
      </c>
      <c r="M14301" t="s">
        <v>43189</v>
      </c>
      <c r="N14301" t="s">
        <v>47304</v>
      </c>
      <c r="O14301" t="s">
        <v>47305</v>
      </c>
      <c r="P14301">
        <v>0</v>
      </c>
      <c r="Q14301">
        <v>4</v>
      </c>
      <c r="R14301" t="s">
        <v>47325</v>
      </c>
      <c r="S14301" t="s">
        <v>48215</v>
      </c>
      <c r="T14301" t="s">
        <v>49087</v>
      </c>
      <c r="U14301" t="s">
        <v>61368</v>
      </c>
      <c r="W14301" t="s">
        <v>64427</v>
      </c>
      <c r="X14301" t="s">
        <v>47327</v>
      </c>
    </row>
    <row r="14302" spans="1:24">
      <c r="A14302">
        <f>HYPERLINK("https://www.philgeps.gov.ph/GEPSNONPILOT/Tender/SplashBidNoticeAbstractUI.aspx?menuIndex=3&amp;refID=7158130&amp;Result=3","7158130")</f>
        <v>0</v>
      </c>
      <c r="B14302" t="s">
        <v>1864</v>
      </c>
      <c r="C14302" t="s">
        <v>17395</v>
      </c>
      <c r="D14302" t="s">
        <v>19029</v>
      </c>
      <c r="E14302" t="s">
        <v>31177</v>
      </c>
      <c r="F14302" t="s">
        <v>32606</v>
      </c>
      <c r="G14302" t="s">
        <v>32613</v>
      </c>
      <c r="H14302" t="s">
        <v>14201</v>
      </c>
      <c r="I14302" t="s">
        <v>4115</v>
      </c>
      <c r="J14302" t="s">
        <v>33529</v>
      </c>
      <c r="K14302" t="s">
        <v>42623</v>
      </c>
      <c r="M14302" t="s">
        <v>44921</v>
      </c>
      <c r="N14302" t="s">
        <v>47304</v>
      </c>
      <c r="O14302" t="s">
        <v>47305</v>
      </c>
      <c r="Q14302">
        <v>13</v>
      </c>
      <c r="R14302" t="s">
        <v>47325</v>
      </c>
      <c r="S14302" t="s">
        <v>48233</v>
      </c>
      <c r="T14302" t="s">
        <v>49359</v>
      </c>
      <c r="U14302" t="s">
        <v>61369</v>
      </c>
      <c r="W14302" t="s">
        <v>44921</v>
      </c>
      <c r="X14302" t="s">
        <v>47327</v>
      </c>
    </row>
    <row r="14303" spans="1:24">
      <c r="A14303">
        <f>HYPERLINK("https://www.philgeps.gov.ph/GEPSNONPILOT/Tender/SplashBidNoticeAbstractUI.aspx?menuIndex=3&amp;refID=7158361&amp;Result=3","7158361")</f>
        <v>0</v>
      </c>
      <c r="B14303" t="s">
        <v>234</v>
      </c>
      <c r="C14303" t="s">
        <v>17396</v>
      </c>
      <c r="D14303" t="s">
        <v>19052</v>
      </c>
      <c r="E14303" t="s">
        <v>31178</v>
      </c>
      <c r="F14303" t="s">
        <v>32606</v>
      </c>
      <c r="G14303" t="s">
        <v>32613</v>
      </c>
      <c r="H14303" t="s">
        <v>32623</v>
      </c>
      <c r="I14303" t="s">
        <v>17648</v>
      </c>
      <c r="J14303" t="s">
        <v>41602</v>
      </c>
      <c r="K14303" t="s">
        <v>42762</v>
      </c>
      <c r="M14303" t="s">
        <v>43135</v>
      </c>
      <c r="N14303" t="s">
        <v>47304</v>
      </c>
      <c r="O14303" t="s">
        <v>47305</v>
      </c>
      <c r="P14303">
        <v>0</v>
      </c>
      <c r="Q14303">
        <v>1</v>
      </c>
      <c r="R14303" t="s">
        <v>47325</v>
      </c>
      <c r="S14303" t="s">
        <v>48215</v>
      </c>
      <c r="T14303" t="s">
        <v>49020</v>
      </c>
      <c r="U14303" t="s">
        <v>61370</v>
      </c>
      <c r="V14303" t="s">
        <v>62641</v>
      </c>
      <c r="W14303" t="s">
        <v>43135</v>
      </c>
      <c r="X14303" t="s">
        <v>47327</v>
      </c>
    </row>
    <row r="14304" spans="1:24">
      <c r="A14304">
        <f>HYPERLINK("https://www.philgeps.gov.ph/GEPSNONPILOT/Tender/SplashBidNoticeAbstractUI.aspx?menuIndex=3&amp;refID=7157915&amp;Result=3","7157915")</f>
        <v>0</v>
      </c>
      <c r="B14304" t="s">
        <v>77</v>
      </c>
      <c r="C14304" t="s">
        <v>17397</v>
      </c>
      <c r="D14304" t="s">
        <v>19019</v>
      </c>
      <c r="E14304" t="s">
        <v>21785</v>
      </c>
      <c r="F14304" t="s">
        <v>32606</v>
      </c>
      <c r="G14304" t="s">
        <v>32613</v>
      </c>
      <c r="H14304" t="s">
        <v>32623</v>
      </c>
      <c r="I14304" t="s">
        <v>17648</v>
      </c>
      <c r="J14304" t="s">
        <v>34789</v>
      </c>
      <c r="K14304" t="s">
        <v>42648</v>
      </c>
      <c r="M14304" t="s">
        <v>42974</v>
      </c>
      <c r="N14304" t="s">
        <v>47304</v>
      </c>
      <c r="O14304" t="s">
        <v>47305</v>
      </c>
      <c r="P14304">
        <v>0</v>
      </c>
      <c r="Q14304">
        <v>0</v>
      </c>
      <c r="R14304" t="s">
        <v>47325</v>
      </c>
      <c r="S14304" t="s">
        <v>48215</v>
      </c>
      <c r="T14304" t="s">
        <v>49004</v>
      </c>
      <c r="U14304" t="s">
        <v>61371</v>
      </c>
      <c r="V14304" t="s">
        <v>62659</v>
      </c>
      <c r="W14304" t="s">
        <v>42974</v>
      </c>
      <c r="X14304" t="s">
        <v>47327</v>
      </c>
    </row>
    <row r="14305" spans="1:24">
      <c r="A14305">
        <f>HYPERLINK("https://www.philgeps.gov.ph/GEPSNONPILOT/Tender/SplashBidNoticeAbstractUI.aspx?menuIndex=3&amp;refID=7158160&amp;Result=3","7158160")</f>
        <v>0</v>
      </c>
      <c r="B14305" t="s">
        <v>1864</v>
      </c>
      <c r="C14305" t="s">
        <v>17398</v>
      </c>
      <c r="D14305" t="s">
        <v>19029</v>
      </c>
      <c r="E14305" t="s">
        <v>31179</v>
      </c>
      <c r="F14305" t="s">
        <v>32606</v>
      </c>
      <c r="G14305" t="s">
        <v>32613</v>
      </c>
      <c r="H14305" t="s">
        <v>14201</v>
      </c>
      <c r="I14305" t="s">
        <v>32680</v>
      </c>
      <c r="J14305" t="s">
        <v>41603</v>
      </c>
      <c r="K14305" t="s">
        <v>42623</v>
      </c>
      <c r="M14305" t="s">
        <v>44921</v>
      </c>
      <c r="N14305" t="s">
        <v>47304</v>
      </c>
      <c r="O14305" t="s">
        <v>47305</v>
      </c>
      <c r="Q14305">
        <v>6</v>
      </c>
      <c r="R14305" t="s">
        <v>47325</v>
      </c>
      <c r="S14305" t="s">
        <v>48234</v>
      </c>
      <c r="T14305" t="s">
        <v>49359</v>
      </c>
      <c r="U14305" t="s">
        <v>61372</v>
      </c>
      <c r="W14305" t="s">
        <v>44921</v>
      </c>
      <c r="X14305" t="s">
        <v>47327</v>
      </c>
    </row>
    <row r="14306" spans="1:24">
      <c r="A14306">
        <f>HYPERLINK("https://www.philgeps.gov.ph/GEPSNONPILOT/Tender/SplashBidNoticeAbstractUI.aspx?menuIndex=3&amp;refID=7157809&amp;Result=3","7157809")</f>
        <v>0</v>
      </c>
      <c r="B14306" t="s">
        <v>459</v>
      </c>
      <c r="C14306" t="s">
        <v>17399</v>
      </c>
      <c r="D14306" t="s">
        <v>19038</v>
      </c>
      <c r="E14306" t="s">
        <v>31180</v>
      </c>
      <c r="F14306" t="s">
        <v>32606</v>
      </c>
      <c r="G14306" t="s">
        <v>32613</v>
      </c>
      <c r="H14306" t="s">
        <v>32623</v>
      </c>
      <c r="I14306" t="s">
        <v>17648</v>
      </c>
      <c r="J14306" t="s">
        <v>41604</v>
      </c>
      <c r="K14306" t="s">
        <v>42634</v>
      </c>
      <c r="M14306" t="s">
        <v>43369</v>
      </c>
      <c r="N14306" t="s">
        <v>47304</v>
      </c>
      <c r="O14306" t="s">
        <v>47305</v>
      </c>
      <c r="P14306">
        <v>0</v>
      </c>
      <c r="Q14306">
        <v>0</v>
      </c>
      <c r="R14306" t="s">
        <v>47325</v>
      </c>
      <c r="S14306" t="s">
        <v>48215</v>
      </c>
      <c r="T14306" t="s">
        <v>48987</v>
      </c>
      <c r="U14306" t="s">
        <v>61373</v>
      </c>
      <c r="W14306" t="s">
        <v>43369</v>
      </c>
      <c r="X14306" t="s">
        <v>47327</v>
      </c>
    </row>
    <row r="14307" spans="1:24">
      <c r="A14307">
        <f>HYPERLINK("https://www.philgeps.gov.ph/GEPSNONPILOT/Tender/SplashBidNoticeAbstractUI.aspx?menuIndex=3&amp;refID=7157802&amp;Result=3","7157802")</f>
        <v>0</v>
      </c>
      <c r="B14307" t="s">
        <v>396</v>
      </c>
      <c r="C14307" t="s">
        <v>17400</v>
      </c>
      <c r="D14307" t="s">
        <v>19038</v>
      </c>
      <c r="E14307" t="s">
        <v>31181</v>
      </c>
      <c r="F14307" t="s">
        <v>32606</v>
      </c>
      <c r="G14307" t="s">
        <v>32613</v>
      </c>
      <c r="H14307" t="s">
        <v>32623</v>
      </c>
      <c r="I14307" t="s">
        <v>17648</v>
      </c>
      <c r="J14307" t="s">
        <v>41605</v>
      </c>
      <c r="K14307" t="s">
        <v>42646</v>
      </c>
      <c r="M14307" t="s">
        <v>45261</v>
      </c>
      <c r="N14307" t="s">
        <v>47304</v>
      </c>
      <c r="O14307" t="s">
        <v>47305</v>
      </c>
      <c r="P14307">
        <v>0</v>
      </c>
      <c r="Q14307">
        <v>0</v>
      </c>
      <c r="R14307" t="s">
        <v>47325</v>
      </c>
      <c r="S14307" t="s">
        <v>48215</v>
      </c>
      <c r="T14307" t="s">
        <v>49268</v>
      </c>
      <c r="U14307" t="s">
        <v>61374</v>
      </c>
      <c r="V14307" t="s">
        <v>64201</v>
      </c>
      <c r="W14307" t="s">
        <v>45261</v>
      </c>
      <c r="X14307" t="s">
        <v>47327</v>
      </c>
    </row>
    <row r="14308" spans="1:24">
      <c r="A14308">
        <f>HYPERLINK("https://www.philgeps.gov.ph/GEPSNONPILOT/Tender/SplashBidNoticeAbstractUI.aspx?menuIndex=3&amp;refID=7158810&amp;Result=3","7158810")</f>
        <v>0</v>
      </c>
      <c r="B14308" t="s">
        <v>3313</v>
      </c>
      <c r="C14308" t="s">
        <v>17401</v>
      </c>
      <c r="D14308" t="s">
        <v>19009</v>
      </c>
      <c r="E14308" t="s">
        <v>31182</v>
      </c>
      <c r="F14308" t="s">
        <v>32606</v>
      </c>
      <c r="G14308" t="s">
        <v>32613</v>
      </c>
      <c r="H14308" t="s">
        <v>32623</v>
      </c>
      <c r="I14308" t="s">
        <v>17648</v>
      </c>
      <c r="J14308" t="s">
        <v>38852</v>
      </c>
      <c r="K14308" t="s">
        <v>42634</v>
      </c>
      <c r="M14308" t="s">
        <v>46558</v>
      </c>
      <c r="N14308" t="s">
        <v>47304</v>
      </c>
      <c r="O14308" t="s">
        <v>47305</v>
      </c>
      <c r="P14308">
        <v>0</v>
      </c>
      <c r="Q14308">
        <v>0</v>
      </c>
      <c r="R14308" t="s">
        <v>47325</v>
      </c>
      <c r="S14308" t="s">
        <v>48215</v>
      </c>
      <c r="T14308" t="s">
        <v>49268</v>
      </c>
      <c r="U14308" t="s">
        <v>61375</v>
      </c>
      <c r="W14308" t="s">
        <v>46558</v>
      </c>
      <c r="X14308" t="s">
        <v>47326</v>
      </c>
    </row>
    <row r="14309" spans="1:24">
      <c r="A14309">
        <f>HYPERLINK("https://www.philgeps.gov.ph/GEPSNONPILOT/Tender/SplashBidNoticeAbstractUI.aspx?menuIndex=3&amp;refID=7158583&amp;Result=3","7158583")</f>
        <v>0</v>
      </c>
      <c r="B14309" t="s">
        <v>85</v>
      </c>
      <c r="C14309" t="s">
        <v>17402</v>
      </c>
      <c r="D14309" t="s">
        <v>19022</v>
      </c>
      <c r="E14309" t="s">
        <v>31183</v>
      </c>
      <c r="F14309" t="s">
        <v>32606</v>
      </c>
      <c r="G14309" t="s">
        <v>32613</v>
      </c>
      <c r="H14309" t="s">
        <v>32623</v>
      </c>
      <c r="I14309" t="s">
        <v>17648</v>
      </c>
      <c r="J14309" t="s">
        <v>36165</v>
      </c>
      <c r="K14309" t="s">
        <v>42805</v>
      </c>
      <c r="M14309" t="s">
        <v>47087</v>
      </c>
      <c r="N14309" t="s">
        <v>47304</v>
      </c>
      <c r="O14309" t="s">
        <v>47305</v>
      </c>
      <c r="P14309">
        <v>0</v>
      </c>
      <c r="Q14309">
        <v>3</v>
      </c>
      <c r="R14309" t="s">
        <v>47325</v>
      </c>
      <c r="S14309" t="s">
        <v>48215</v>
      </c>
      <c r="T14309" t="s">
        <v>49219</v>
      </c>
      <c r="U14309" t="s">
        <v>61376</v>
      </c>
      <c r="V14309" t="s">
        <v>64202</v>
      </c>
      <c r="W14309" t="s">
        <v>64553</v>
      </c>
      <c r="X14309" t="s">
        <v>47326</v>
      </c>
    </row>
    <row r="14310" spans="1:24">
      <c r="A14310">
        <f>HYPERLINK("https://www.philgeps.gov.ph/GEPSNONPILOT/Tender/SplashBidNoticeAbstractUI.aspx?menuIndex=3&amp;refID=7158803&amp;Result=3","7158803")</f>
        <v>0</v>
      </c>
      <c r="B14310" t="s">
        <v>1420</v>
      </c>
      <c r="C14310" t="s">
        <v>17403</v>
      </c>
      <c r="D14310" t="s">
        <v>19020</v>
      </c>
      <c r="E14310" t="s">
        <v>31184</v>
      </c>
      <c r="F14310" t="s">
        <v>32606</v>
      </c>
      <c r="G14310" t="s">
        <v>32613</v>
      </c>
      <c r="H14310" t="s">
        <v>32623</v>
      </c>
      <c r="I14310" t="s">
        <v>32659</v>
      </c>
      <c r="J14310" t="s">
        <v>32770</v>
      </c>
      <c r="K14310" t="s">
        <v>42643</v>
      </c>
      <c r="M14310" t="s">
        <v>44408</v>
      </c>
      <c r="N14310" t="s">
        <v>47304</v>
      </c>
      <c r="O14310" t="s">
        <v>47305</v>
      </c>
      <c r="P14310">
        <v>0</v>
      </c>
      <c r="Q14310">
        <v>0</v>
      </c>
      <c r="R14310" t="s">
        <v>47325</v>
      </c>
      <c r="S14310" t="s">
        <v>48215</v>
      </c>
      <c r="T14310" t="s">
        <v>49072</v>
      </c>
      <c r="U14310" t="s">
        <v>61377</v>
      </c>
      <c r="W14310" t="s">
        <v>44408</v>
      </c>
      <c r="X14310" t="s">
        <v>47326</v>
      </c>
    </row>
    <row r="14311" spans="1:24">
      <c r="A14311">
        <f>HYPERLINK("https://www.philgeps.gov.ph/GEPSNONPILOT/Tender/SplashBidNoticeAbstractUI.aspx?menuIndex=3&amp;refID=7158800&amp;Result=3","7158800")</f>
        <v>0</v>
      </c>
      <c r="B14311" t="s">
        <v>1745</v>
      </c>
      <c r="C14311" t="s">
        <v>17404</v>
      </c>
      <c r="D14311" t="s">
        <v>18988</v>
      </c>
      <c r="E14311" t="s">
        <v>20349</v>
      </c>
      <c r="F14311" t="s">
        <v>32606</v>
      </c>
      <c r="G14311" t="s">
        <v>32613</v>
      </c>
      <c r="H14311" t="s">
        <v>14201</v>
      </c>
      <c r="I14311" t="s">
        <v>4120</v>
      </c>
      <c r="J14311" t="s">
        <v>41606</v>
      </c>
      <c r="K14311" t="s">
        <v>42622</v>
      </c>
      <c r="M14311" t="s">
        <v>44779</v>
      </c>
      <c r="N14311" t="s">
        <v>47304</v>
      </c>
      <c r="O14311" t="s">
        <v>47305</v>
      </c>
      <c r="P14311">
        <v>0</v>
      </c>
      <c r="Q14311">
        <v>4</v>
      </c>
      <c r="R14311" t="s">
        <v>47325</v>
      </c>
      <c r="S14311" t="s">
        <v>48215</v>
      </c>
      <c r="T14311" t="s">
        <v>49084</v>
      </c>
      <c r="U14311" t="s">
        <v>61378</v>
      </c>
      <c r="W14311" t="s">
        <v>44779</v>
      </c>
      <c r="X14311" t="s">
        <v>47326</v>
      </c>
    </row>
    <row r="14312" spans="1:24">
      <c r="A14312">
        <f>HYPERLINK("https://www.philgeps.gov.ph/GEPSNONPILOT/Tender/SplashBidNoticeAbstractUI.aspx?menuIndex=3&amp;refID=7157850&amp;Result=3","7157850")</f>
        <v>0</v>
      </c>
      <c r="B14312" t="s">
        <v>459</v>
      </c>
      <c r="C14312" t="s">
        <v>17405</v>
      </c>
      <c r="D14312" t="s">
        <v>19038</v>
      </c>
      <c r="E14312" t="s">
        <v>31185</v>
      </c>
      <c r="F14312" t="s">
        <v>32606</v>
      </c>
      <c r="G14312" t="s">
        <v>32613</v>
      </c>
      <c r="H14312" t="s">
        <v>32623</v>
      </c>
      <c r="I14312" t="s">
        <v>32626</v>
      </c>
      <c r="J14312" t="s">
        <v>41607</v>
      </c>
      <c r="K14312" t="s">
        <v>42712</v>
      </c>
      <c r="M14312" t="s">
        <v>43369</v>
      </c>
      <c r="N14312" t="s">
        <v>47304</v>
      </c>
      <c r="O14312" t="s">
        <v>47305</v>
      </c>
      <c r="P14312">
        <v>0</v>
      </c>
      <c r="Q14312">
        <v>3</v>
      </c>
      <c r="R14312" t="s">
        <v>47325</v>
      </c>
      <c r="S14312" t="s">
        <v>48215</v>
      </c>
      <c r="T14312" t="s">
        <v>48987</v>
      </c>
      <c r="U14312" t="s">
        <v>61379</v>
      </c>
      <c r="W14312" t="s">
        <v>43369</v>
      </c>
      <c r="X14312" t="s">
        <v>47327</v>
      </c>
    </row>
    <row r="14313" spans="1:24">
      <c r="A14313">
        <f>HYPERLINK("https://www.philgeps.gov.ph/GEPSNONPILOT/Tender/SplashBidNoticeAbstractUI.aspx?menuIndex=3&amp;refID=7158795&amp;Result=3","7158795")</f>
        <v>0</v>
      </c>
      <c r="B14313" t="s">
        <v>215</v>
      </c>
      <c r="C14313" t="s">
        <v>17406</v>
      </c>
      <c r="D14313" t="s">
        <v>18992</v>
      </c>
      <c r="E14313" t="s">
        <v>31186</v>
      </c>
      <c r="F14313" t="s">
        <v>32606</v>
      </c>
      <c r="G14313" t="s">
        <v>32613</v>
      </c>
      <c r="H14313" t="s">
        <v>32623</v>
      </c>
      <c r="I14313" t="s">
        <v>17648</v>
      </c>
      <c r="J14313" t="s">
        <v>34128</v>
      </c>
      <c r="K14313" t="s">
        <v>42624</v>
      </c>
      <c r="M14313" t="s">
        <v>43116</v>
      </c>
      <c r="N14313" t="s">
        <v>47304</v>
      </c>
      <c r="O14313" t="s">
        <v>47305</v>
      </c>
      <c r="P14313">
        <v>0</v>
      </c>
      <c r="Q14313">
        <v>0</v>
      </c>
      <c r="R14313" t="s">
        <v>47325</v>
      </c>
      <c r="S14313" t="s">
        <v>48215</v>
      </c>
      <c r="T14313" t="s">
        <v>49023</v>
      </c>
      <c r="U14313" t="s">
        <v>54940</v>
      </c>
      <c r="W14313" t="s">
        <v>43116</v>
      </c>
      <c r="X14313" t="s">
        <v>47326</v>
      </c>
    </row>
    <row r="14314" spans="1:24">
      <c r="A14314">
        <f>HYPERLINK("https://www.philgeps.gov.ph/GEPSNONPILOT/Tender/SplashBidNoticeAbstractUI.aspx?menuIndex=3&amp;refID=7158780&amp;Result=3","7158780")</f>
        <v>0</v>
      </c>
      <c r="B14314" t="s">
        <v>3313</v>
      </c>
      <c r="C14314" t="s">
        <v>17407</v>
      </c>
      <c r="D14314" t="s">
        <v>19009</v>
      </c>
      <c r="E14314" t="s">
        <v>31187</v>
      </c>
      <c r="F14314" t="s">
        <v>32606</v>
      </c>
      <c r="G14314" t="s">
        <v>32613</v>
      </c>
      <c r="H14314" t="s">
        <v>32623</v>
      </c>
      <c r="I14314" t="s">
        <v>17648</v>
      </c>
      <c r="J14314" t="s">
        <v>38714</v>
      </c>
      <c r="K14314" t="s">
        <v>42656</v>
      </c>
      <c r="M14314" t="s">
        <v>46558</v>
      </c>
      <c r="N14314" t="s">
        <v>47304</v>
      </c>
      <c r="O14314" t="s">
        <v>47305</v>
      </c>
      <c r="P14314">
        <v>0</v>
      </c>
      <c r="Q14314">
        <v>0</v>
      </c>
      <c r="R14314" t="s">
        <v>47325</v>
      </c>
      <c r="S14314" t="s">
        <v>48215</v>
      </c>
      <c r="T14314" t="s">
        <v>49268</v>
      </c>
      <c r="U14314" t="s">
        <v>61380</v>
      </c>
      <c r="W14314" t="s">
        <v>46558</v>
      </c>
      <c r="X14314" t="s">
        <v>47326</v>
      </c>
    </row>
    <row r="14315" spans="1:24">
      <c r="A14315">
        <f>HYPERLINK("https://www.philgeps.gov.ph/GEPSNONPILOT/Tender/SplashBidNoticeAbstractUI.aspx?menuIndex=3&amp;refID=7158767&amp;Result=3","7158767")</f>
        <v>0</v>
      </c>
      <c r="B14315" t="s">
        <v>1338</v>
      </c>
      <c r="C14315" t="s">
        <v>17408</v>
      </c>
      <c r="D14315" t="s">
        <v>19006</v>
      </c>
      <c r="E14315" t="s">
        <v>31188</v>
      </c>
      <c r="F14315" t="s">
        <v>32606</v>
      </c>
      <c r="G14315" t="s">
        <v>32613</v>
      </c>
      <c r="H14315" t="s">
        <v>14201</v>
      </c>
      <c r="I14315" t="s">
        <v>5233</v>
      </c>
      <c r="J14315" t="s">
        <v>41608</v>
      </c>
      <c r="K14315" t="s">
        <v>42631</v>
      </c>
      <c r="M14315" t="s">
        <v>44312</v>
      </c>
      <c r="N14315" t="s">
        <v>47304</v>
      </c>
      <c r="O14315" t="s">
        <v>47305</v>
      </c>
      <c r="P14315">
        <v>0</v>
      </c>
      <c r="Q14315">
        <v>2</v>
      </c>
      <c r="R14315" t="s">
        <v>47325</v>
      </c>
      <c r="S14315" t="s">
        <v>48215</v>
      </c>
      <c r="T14315" t="s">
        <v>49053</v>
      </c>
      <c r="U14315" t="s">
        <v>61381</v>
      </c>
      <c r="W14315" t="s">
        <v>44312</v>
      </c>
      <c r="X14315" t="s">
        <v>47326</v>
      </c>
    </row>
    <row r="14316" spans="1:24">
      <c r="A14316">
        <f>HYPERLINK("https://www.philgeps.gov.ph/GEPSNONPILOT/Tender/SplashBidNoticeAbstractUI.aspx?menuIndex=3&amp;refID=7158765&amp;Result=3","7158765")</f>
        <v>0</v>
      </c>
      <c r="B14316" t="s">
        <v>234</v>
      </c>
      <c r="C14316" t="s">
        <v>17409</v>
      </c>
      <c r="D14316" t="s">
        <v>19052</v>
      </c>
      <c r="E14316" t="s">
        <v>31189</v>
      </c>
      <c r="F14316" t="s">
        <v>32606</v>
      </c>
      <c r="G14316" t="s">
        <v>32613</v>
      </c>
      <c r="H14316" t="s">
        <v>32623</v>
      </c>
      <c r="I14316" t="s">
        <v>17648</v>
      </c>
      <c r="J14316" t="s">
        <v>41609</v>
      </c>
      <c r="K14316" t="s">
        <v>42648</v>
      </c>
      <c r="M14316" t="s">
        <v>43135</v>
      </c>
      <c r="N14316" t="s">
        <v>47304</v>
      </c>
      <c r="O14316" t="s">
        <v>47305</v>
      </c>
      <c r="P14316">
        <v>0</v>
      </c>
      <c r="Q14316">
        <v>1</v>
      </c>
      <c r="R14316" t="s">
        <v>47325</v>
      </c>
      <c r="S14316" t="s">
        <v>48215</v>
      </c>
      <c r="T14316" t="s">
        <v>49020</v>
      </c>
      <c r="U14316" t="s">
        <v>61382</v>
      </c>
      <c r="V14316" t="s">
        <v>62641</v>
      </c>
      <c r="W14316" t="s">
        <v>43135</v>
      </c>
      <c r="X14316" t="s">
        <v>47326</v>
      </c>
    </row>
    <row r="14317" spans="1:24">
      <c r="A14317">
        <f>HYPERLINK("https://www.philgeps.gov.ph/GEPSNONPILOT/Tender/SplashBidNoticeAbstractUI.aspx?menuIndex=3&amp;refID=7158764&amp;Result=3","7158764")</f>
        <v>0</v>
      </c>
      <c r="B14317" t="s">
        <v>887</v>
      </c>
      <c r="C14317" t="s">
        <v>17410</v>
      </c>
      <c r="D14317" t="s">
        <v>19005</v>
      </c>
      <c r="E14317" t="s">
        <v>27221</v>
      </c>
      <c r="F14317" t="s">
        <v>32606</v>
      </c>
      <c r="G14317" t="s">
        <v>32613</v>
      </c>
      <c r="H14317" t="s">
        <v>14201</v>
      </c>
      <c r="I14317" t="s">
        <v>9008</v>
      </c>
      <c r="J14317" t="s">
        <v>38795</v>
      </c>
      <c r="K14317" t="s">
        <v>42630</v>
      </c>
      <c r="M14317" t="s">
        <v>43823</v>
      </c>
      <c r="N14317" t="s">
        <v>47304</v>
      </c>
      <c r="O14317" t="s">
        <v>47305</v>
      </c>
      <c r="P14317">
        <v>0</v>
      </c>
      <c r="Q14317">
        <v>2</v>
      </c>
      <c r="R14317" t="s">
        <v>47325</v>
      </c>
      <c r="S14317" t="s">
        <v>48215</v>
      </c>
      <c r="T14317" t="s">
        <v>49331</v>
      </c>
      <c r="U14317" t="s">
        <v>61383</v>
      </c>
      <c r="V14317" t="s">
        <v>64203</v>
      </c>
      <c r="W14317" t="s">
        <v>43823</v>
      </c>
      <c r="X14317" t="s">
        <v>47326</v>
      </c>
    </row>
    <row r="14318" spans="1:24">
      <c r="A14318">
        <f>HYPERLINK("https://www.philgeps.gov.ph/GEPSNONPILOT/Tender/SplashBidNoticeAbstractUI.aspx?menuIndex=3&amp;refID=7158754&amp;Result=3","7158754")</f>
        <v>0</v>
      </c>
      <c r="B14318" t="s">
        <v>3313</v>
      </c>
      <c r="C14318" t="s">
        <v>17411</v>
      </c>
      <c r="D14318" t="s">
        <v>19009</v>
      </c>
      <c r="E14318" t="s">
        <v>31190</v>
      </c>
      <c r="F14318" t="s">
        <v>32606</v>
      </c>
      <c r="G14318" t="s">
        <v>32613</v>
      </c>
      <c r="H14318" t="s">
        <v>32623</v>
      </c>
      <c r="I14318" t="s">
        <v>17648</v>
      </c>
      <c r="J14318" t="s">
        <v>38852</v>
      </c>
      <c r="K14318" t="s">
        <v>42634</v>
      </c>
      <c r="M14318" t="s">
        <v>46558</v>
      </c>
      <c r="N14318" t="s">
        <v>47304</v>
      </c>
      <c r="O14318" t="s">
        <v>47305</v>
      </c>
      <c r="P14318">
        <v>0</v>
      </c>
      <c r="Q14318">
        <v>0</v>
      </c>
      <c r="R14318" t="s">
        <v>47325</v>
      </c>
      <c r="S14318" t="s">
        <v>48215</v>
      </c>
      <c r="T14318" t="s">
        <v>49268</v>
      </c>
      <c r="U14318" t="s">
        <v>61384</v>
      </c>
      <c r="W14318" t="s">
        <v>46558</v>
      </c>
      <c r="X14318" t="s">
        <v>47326</v>
      </c>
    </row>
    <row r="14319" spans="1:24">
      <c r="A14319">
        <f>HYPERLINK("https://www.philgeps.gov.ph/GEPSNONPILOT/Tender/SplashBidNoticeAbstractUI.aspx?menuIndex=3&amp;refID=7158709&amp;Result=3","7158709")</f>
        <v>0</v>
      </c>
      <c r="B14319" t="s">
        <v>337</v>
      </c>
      <c r="C14319" t="s">
        <v>12232</v>
      </c>
      <c r="D14319" t="s">
        <v>19039</v>
      </c>
      <c r="E14319" t="s">
        <v>31191</v>
      </c>
      <c r="F14319" t="s">
        <v>32606</v>
      </c>
      <c r="G14319" t="s">
        <v>32613</v>
      </c>
      <c r="H14319" t="s">
        <v>14201</v>
      </c>
      <c r="I14319" t="s">
        <v>7064</v>
      </c>
      <c r="J14319" t="s">
        <v>39706</v>
      </c>
      <c r="K14319" t="s">
        <v>42622</v>
      </c>
      <c r="M14319" t="s">
        <v>43239</v>
      </c>
      <c r="N14319" t="s">
        <v>47304</v>
      </c>
      <c r="O14319" t="s">
        <v>47305</v>
      </c>
      <c r="Q14319">
        <v>2</v>
      </c>
      <c r="R14319" t="s">
        <v>47325</v>
      </c>
      <c r="S14319" t="s">
        <v>48235</v>
      </c>
      <c r="T14319" t="s">
        <v>48980</v>
      </c>
      <c r="U14319" t="s">
        <v>61385</v>
      </c>
      <c r="W14319" t="s">
        <v>43239</v>
      </c>
      <c r="X14319" t="s">
        <v>47326</v>
      </c>
    </row>
    <row r="14320" spans="1:24">
      <c r="A14320">
        <f>HYPERLINK("https://www.philgeps.gov.ph/GEPSNONPILOT/Tender/SplashBidNoticeAbstractUI.aspx?menuIndex=3&amp;refID=7158597&amp;Result=3","7158597")</f>
        <v>0</v>
      </c>
      <c r="B14320" t="s">
        <v>1437</v>
      </c>
      <c r="C14320" t="s">
        <v>17412</v>
      </c>
      <c r="D14320" t="s">
        <v>18993</v>
      </c>
      <c r="E14320" t="s">
        <v>31192</v>
      </c>
      <c r="F14320" t="s">
        <v>32606</v>
      </c>
      <c r="G14320" t="s">
        <v>32613</v>
      </c>
      <c r="H14320" t="s">
        <v>14201</v>
      </c>
      <c r="I14320" t="s">
        <v>32645</v>
      </c>
      <c r="J14320" t="s">
        <v>41610</v>
      </c>
      <c r="K14320" t="s">
        <v>42646</v>
      </c>
      <c r="M14320" t="s">
        <v>44909</v>
      </c>
      <c r="N14320" t="s">
        <v>47304</v>
      </c>
      <c r="O14320" t="s">
        <v>47305</v>
      </c>
      <c r="Q14320">
        <v>7</v>
      </c>
      <c r="R14320" t="s">
        <v>47325</v>
      </c>
      <c r="S14320" t="s">
        <v>48236</v>
      </c>
      <c r="T14320" t="s">
        <v>49004</v>
      </c>
      <c r="U14320" t="s">
        <v>61386</v>
      </c>
      <c r="W14320" t="s">
        <v>44909</v>
      </c>
      <c r="X14320" t="s">
        <v>47326</v>
      </c>
    </row>
    <row r="14321" spans="1:24">
      <c r="A14321">
        <f>HYPERLINK("https://www.philgeps.gov.ph/GEPSNONPILOT/Tender/SplashBidNoticeAbstractUI.aspx?menuIndex=3&amp;refID=7158670&amp;Result=3","7158670")</f>
        <v>0</v>
      </c>
      <c r="B14321" t="s">
        <v>337</v>
      </c>
      <c r="C14321" t="s">
        <v>4678</v>
      </c>
      <c r="D14321" t="s">
        <v>19039</v>
      </c>
      <c r="E14321" t="s">
        <v>31193</v>
      </c>
      <c r="F14321" t="s">
        <v>32606</v>
      </c>
      <c r="G14321" t="s">
        <v>32613</v>
      </c>
      <c r="H14321" t="s">
        <v>14201</v>
      </c>
      <c r="I14321" t="s">
        <v>4678</v>
      </c>
      <c r="J14321" t="s">
        <v>41611</v>
      </c>
      <c r="K14321" t="s">
        <v>42622</v>
      </c>
      <c r="M14321" t="s">
        <v>43239</v>
      </c>
      <c r="N14321" t="s">
        <v>47304</v>
      </c>
      <c r="O14321" t="s">
        <v>47305</v>
      </c>
      <c r="P14321">
        <v>0</v>
      </c>
      <c r="Q14321">
        <v>0</v>
      </c>
      <c r="R14321" t="s">
        <v>47325</v>
      </c>
      <c r="S14321" t="s">
        <v>48215</v>
      </c>
      <c r="T14321" t="s">
        <v>48980</v>
      </c>
      <c r="U14321" t="s">
        <v>61387</v>
      </c>
      <c r="W14321" t="s">
        <v>43239</v>
      </c>
      <c r="X14321" t="s">
        <v>47326</v>
      </c>
    </row>
    <row r="14322" spans="1:24">
      <c r="A14322">
        <f>HYPERLINK("https://www.philgeps.gov.ph/GEPSNONPILOT/Tender/SplashBidNoticeAbstractUI.aspx?menuIndex=3&amp;refID=7157893&amp;Result=3","7157893")</f>
        <v>0</v>
      </c>
      <c r="B14322" t="s">
        <v>3756</v>
      </c>
      <c r="C14322" t="s">
        <v>17413</v>
      </c>
      <c r="D14322" t="s">
        <v>18993</v>
      </c>
      <c r="E14322" t="s">
        <v>31194</v>
      </c>
      <c r="F14322" t="s">
        <v>32606</v>
      </c>
      <c r="G14322" t="s">
        <v>32613</v>
      </c>
      <c r="H14322" t="s">
        <v>14201</v>
      </c>
      <c r="I14322" t="s">
        <v>4112</v>
      </c>
      <c r="J14322" t="s">
        <v>41612</v>
      </c>
      <c r="K14322" t="s">
        <v>42624</v>
      </c>
      <c r="M14322" t="s">
        <v>47088</v>
      </c>
      <c r="N14322" t="s">
        <v>47304</v>
      </c>
      <c r="O14322" t="s">
        <v>47305</v>
      </c>
      <c r="Q14322">
        <v>17</v>
      </c>
      <c r="R14322" t="s">
        <v>47325</v>
      </c>
      <c r="S14322" t="s">
        <v>48237</v>
      </c>
      <c r="T14322" t="s">
        <v>48998</v>
      </c>
      <c r="U14322" t="s">
        <v>61388</v>
      </c>
      <c r="W14322" t="s">
        <v>47088</v>
      </c>
      <c r="X14322" t="s">
        <v>47327</v>
      </c>
    </row>
    <row r="14323" spans="1:24">
      <c r="A14323">
        <f>HYPERLINK("https://www.philgeps.gov.ph/GEPSNONPILOT/Tender/SplashBidNoticeAbstractUI.aspx?menuIndex=3&amp;refID=7158659&amp;Result=3","7158659")</f>
        <v>0</v>
      </c>
      <c r="B14323" t="s">
        <v>3757</v>
      </c>
      <c r="C14323" t="s">
        <v>8441</v>
      </c>
      <c r="D14323" t="s">
        <v>19018</v>
      </c>
      <c r="E14323" t="s">
        <v>20896</v>
      </c>
      <c r="F14323" t="s">
        <v>32606</v>
      </c>
      <c r="G14323" t="s">
        <v>32613</v>
      </c>
      <c r="H14323" t="s">
        <v>32623</v>
      </c>
      <c r="I14323" t="s">
        <v>17648</v>
      </c>
      <c r="J14323" t="s">
        <v>41613</v>
      </c>
      <c r="K14323" t="s">
        <v>42636</v>
      </c>
      <c r="M14323" t="s">
        <v>47089</v>
      </c>
      <c r="N14323" t="s">
        <v>47304</v>
      </c>
      <c r="O14323" t="s">
        <v>47305</v>
      </c>
      <c r="Q14323">
        <v>1</v>
      </c>
      <c r="R14323" t="s">
        <v>47325</v>
      </c>
      <c r="S14323" t="s">
        <v>48238</v>
      </c>
      <c r="T14323" t="s">
        <v>49050</v>
      </c>
      <c r="U14323" t="s">
        <v>61389</v>
      </c>
      <c r="W14323" t="s">
        <v>47089</v>
      </c>
      <c r="X14323" t="s">
        <v>47326</v>
      </c>
    </row>
    <row r="14324" spans="1:24">
      <c r="A14324">
        <f>HYPERLINK("https://www.philgeps.gov.ph/GEPSNONPILOT/Tender/SplashBidNoticeAbstractUI.aspx?menuIndex=3&amp;refID=7158580&amp;Result=3","7158580")</f>
        <v>0</v>
      </c>
      <c r="B14324" t="s">
        <v>3758</v>
      </c>
      <c r="C14324" t="s">
        <v>17414</v>
      </c>
      <c r="D14324" t="s">
        <v>19000</v>
      </c>
      <c r="E14324" t="s">
        <v>31195</v>
      </c>
      <c r="F14324" t="s">
        <v>32606</v>
      </c>
      <c r="G14324" t="s">
        <v>32613</v>
      </c>
      <c r="H14324" t="s">
        <v>32623</v>
      </c>
      <c r="I14324" t="s">
        <v>17648</v>
      </c>
      <c r="J14324" t="s">
        <v>32789</v>
      </c>
      <c r="K14324" t="s">
        <v>42622</v>
      </c>
      <c r="M14324" t="s">
        <v>47090</v>
      </c>
      <c r="N14324" t="s">
        <v>47304</v>
      </c>
      <c r="O14324" t="s">
        <v>47305</v>
      </c>
      <c r="P14324">
        <v>0</v>
      </c>
      <c r="Q14324">
        <v>0</v>
      </c>
      <c r="R14324" t="s">
        <v>47325</v>
      </c>
      <c r="S14324" t="s">
        <v>48215</v>
      </c>
      <c r="T14324" t="s">
        <v>49020</v>
      </c>
      <c r="U14324" t="s">
        <v>61390</v>
      </c>
      <c r="W14324" t="s">
        <v>47090</v>
      </c>
      <c r="X14324" t="s">
        <v>47326</v>
      </c>
    </row>
    <row r="14325" spans="1:24">
      <c r="A14325">
        <f>HYPERLINK("https://www.philgeps.gov.ph/GEPSNONPILOT/Tender/SplashBidNoticeAbstractUI.aspx?menuIndex=3&amp;refID=7158720&amp;Result=3","7158720")</f>
        <v>0</v>
      </c>
      <c r="B14325" t="s">
        <v>887</v>
      </c>
      <c r="C14325" t="s">
        <v>17415</v>
      </c>
      <c r="D14325" t="s">
        <v>19005</v>
      </c>
      <c r="E14325" t="s">
        <v>29347</v>
      </c>
      <c r="F14325" t="s">
        <v>32606</v>
      </c>
      <c r="G14325" t="s">
        <v>32613</v>
      </c>
      <c r="H14325" t="s">
        <v>14201</v>
      </c>
      <c r="I14325" t="s">
        <v>32640</v>
      </c>
      <c r="J14325" t="s">
        <v>41614</v>
      </c>
      <c r="K14325" t="s">
        <v>42630</v>
      </c>
      <c r="M14325" t="s">
        <v>43823</v>
      </c>
      <c r="N14325" t="s">
        <v>47304</v>
      </c>
      <c r="O14325" t="s">
        <v>47305</v>
      </c>
      <c r="P14325">
        <v>0</v>
      </c>
      <c r="Q14325">
        <v>5</v>
      </c>
      <c r="R14325" t="s">
        <v>47325</v>
      </c>
      <c r="S14325" t="s">
        <v>48215</v>
      </c>
      <c r="T14325" t="s">
        <v>49331</v>
      </c>
      <c r="U14325" t="s">
        <v>61391</v>
      </c>
      <c r="V14325" t="s">
        <v>64203</v>
      </c>
      <c r="W14325" t="s">
        <v>43823</v>
      </c>
      <c r="X14325" t="s">
        <v>47326</v>
      </c>
    </row>
    <row r="14326" spans="1:24">
      <c r="A14326">
        <f>HYPERLINK("https://www.philgeps.gov.ph/GEPSNONPILOT/Tender/SplashBidNoticeAbstractUI.aspx?menuIndex=3&amp;refID=7158708&amp;Result=3","7158708")</f>
        <v>0</v>
      </c>
      <c r="B14326" t="s">
        <v>753</v>
      </c>
      <c r="C14326" t="s">
        <v>17416</v>
      </c>
      <c r="D14326" t="s">
        <v>18991</v>
      </c>
      <c r="E14326" t="s">
        <v>31196</v>
      </c>
      <c r="F14326" t="s">
        <v>32606</v>
      </c>
      <c r="G14326" t="s">
        <v>32613</v>
      </c>
      <c r="H14326" t="s">
        <v>14201</v>
      </c>
      <c r="I14326" t="s">
        <v>4678</v>
      </c>
      <c r="J14326" t="s">
        <v>41615</v>
      </c>
      <c r="K14326" t="s">
        <v>42631</v>
      </c>
      <c r="M14326" t="s">
        <v>43676</v>
      </c>
      <c r="N14326" t="s">
        <v>47304</v>
      </c>
      <c r="O14326" t="s">
        <v>47305</v>
      </c>
      <c r="Q14326">
        <v>8</v>
      </c>
      <c r="R14326" t="s">
        <v>47325</v>
      </c>
      <c r="S14326" t="s">
        <v>48239</v>
      </c>
      <c r="T14326" t="s">
        <v>49100</v>
      </c>
      <c r="U14326" t="s">
        <v>61392</v>
      </c>
      <c r="W14326" t="s">
        <v>43676</v>
      </c>
      <c r="X14326" t="s">
        <v>47326</v>
      </c>
    </row>
    <row r="14327" spans="1:24">
      <c r="A14327">
        <f>HYPERLINK("https://www.philgeps.gov.ph/GEPSNONPILOT/Tender/SplashBidNoticeAbstractUI.aspx?menuIndex=3&amp;refID=7158636&amp;Result=3","7158636")</f>
        <v>0</v>
      </c>
      <c r="B14327" t="s">
        <v>3376</v>
      </c>
      <c r="C14327" t="s">
        <v>17417</v>
      </c>
      <c r="D14327" t="s">
        <v>19006</v>
      </c>
      <c r="E14327" t="s">
        <v>31197</v>
      </c>
      <c r="F14327" t="s">
        <v>32606</v>
      </c>
      <c r="G14327" t="s">
        <v>32613</v>
      </c>
      <c r="H14327" t="s">
        <v>32623</v>
      </c>
      <c r="I14327" t="s">
        <v>17648</v>
      </c>
      <c r="J14327" t="s">
        <v>32861</v>
      </c>
      <c r="K14327" t="s">
        <v>42636</v>
      </c>
      <c r="M14327" t="s">
        <v>46626</v>
      </c>
      <c r="N14327" t="s">
        <v>47304</v>
      </c>
      <c r="O14327" t="s">
        <v>47305</v>
      </c>
      <c r="P14327">
        <v>0</v>
      </c>
      <c r="Q14327">
        <v>5</v>
      </c>
      <c r="R14327" t="s">
        <v>47325</v>
      </c>
      <c r="S14327" t="s">
        <v>48215</v>
      </c>
      <c r="T14327" t="s">
        <v>49268</v>
      </c>
      <c r="U14327" t="s">
        <v>61393</v>
      </c>
      <c r="V14327" t="s">
        <v>63913</v>
      </c>
      <c r="W14327" t="s">
        <v>46626</v>
      </c>
      <c r="X14327" t="s">
        <v>47326</v>
      </c>
    </row>
    <row r="14328" spans="1:24">
      <c r="A14328">
        <f>HYPERLINK("https://www.philgeps.gov.ph/GEPSNONPILOT/Tender/SplashBidNoticeAbstractUI.aspx?menuIndex=3&amp;refID=7158633&amp;Result=3","7158633")</f>
        <v>0</v>
      </c>
      <c r="B14328" t="s">
        <v>337</v>
      </c>
      <c r="C14328" t="s">
        <v>4678</v>
      </c>
      <c r="D14328" t="s">
        <v>19039</v>
      </c>
      <c r="E14328" t="s">
        <v>31198</v>
      </c>
      <c r="F14328" t="s">
        <v>32606</v>
      </c>
      <c r="G14328" t="s">
        <v>32613</v>
      </c>
      <c r="H14328" t="s">
        <v>14201</v>
      </c>
      <c r="I14328" t="s">
        <v>4678</v>
      </c>
      <c r="J14328" t="s">
        <v>32789</v>
      </c>
      <c r="K14328" t="s">
        <v>42622</v>
      </c>
      <c r="M14328" t="s">
        <v>43239</v>
      </c>
      <c r="N14328" t="s">
        <v>47304</v>
      </c>
      <c r="O14328" t="s">
        <v>47305</v>
      </c>
      <c r="P14328">
        <v>0</v>
      </c>
      <c r="Q14328">
        <v>0</v>
      </c>
      <c r="R14328" t="s">
        <v>47325</v>
      </c>
      <c r="S14328" t="s">
        <v>48215</v>
      </c>
      <c r="T14328" t="s">
        <v>48980</v>
      </c>
      <c r="U14328" t="s">
        <v>61394</v>
      </c>
      <c r="W14328" t="s">
        <v>43239</v>
      </c>
      <c r="X14328" t="s">
        <v>47326</v>
      </c>
    </row>
    <row r="14329" spans="1:24">
      <c r="A14329">
        <f>HYPERLINK("https://www.philgeps.gov.ph/GEPSNONPILOT/Tender/SplashBidNoticeAbstractUI.aspx?menuIndex=3&amp;refID=7158685&amp;Result=3","7158685")</f>
        <v>0</v>
      </c>
      <c r="B14329" t="s">
        <v>459</v>
      </c>
      <c r="C14329" t="s">
        <v>17418</v>
      </c>
      <c r="D14329" t="s">
        <v>19038</v>
      </c>
      <c r="E14329" t="s">
        <v>31199</v>
      </c>
      <c r="F14329" t="s">
        <v>32606</v>
      </c>
      <c r="G14329" t="s">
        <v>32613</v>
      </c>
      <c r="H14329" t="s">
        <v>14201</v>
      </c>
      <c r="I14329" t="s">
        <v>6931</v>
      </c>
      <c r="J14329" t="s">
        <v>41616</v>
      </c>
      <c r="K14329" t="s">
        <v>42631</v>
      </c>
      <c r="M14329" t="s">
        <v>43369</v>
      </c>
      <c r="N14329" t="s">
        <v>47304</v>
      </c>
      <c r="O14329" t="s">
        <v>47305</v>
      </c>
      <c r="P14329">
        <v>0</v>
      </c>
      <c r="Q14329">
        <v>0</v>
      </c>
      <c r="R14329" t="s">
        <v>47325</v>
      </c>
      <c r="S14329" t="s">
        <v>48215</v>
      </c>
      <c r="T14329" t="s">
        <v>48987</v>
      </c>
      <c r="U14329" t="s">
        <v>61395</v>
      </c>
      <c r="W14329" t="s">
        <v>43369</v>
      </c>
      <c r="X14329" t="s">
        <v>47326</v>
      </c>
    </row>
    <row r="14330" spans="1:24">
      <c r="A14330">
        <f>HYPERLINK("https://www.philgeps.gov.ph/GEPSNONPILOT/Tender/SplashBidNoticeAbstractUI.aspx?menuIndex=3&amp;refID=7158654&amp;Result=3","7158654")</f>
        <v>0</v>
      </c>
      <c r="B14330" t="s">
        <v>337</v>
      </c>
      <c r="C14330" t="s">
        <v>4112</v>
      </c>
      <c r="D14330" t="s">
        <v>19039</v>
      </c>
      <c r="E14330" t="s">
        <v>31200</v>
      </c>
      <c r="F14330" t="s">
        <v>32606</v>
      </c>
      <c r="G14330" t="s">
        <v>32613</v>
      </c>
      <c r="H14330" t="s">
        <v>14201</v>
      </c>
      <c r="I14330" t="s">
        <v>4112</v>
      </c>
      <c r="J14330" t="s">
        <v>33363</v>
      </c>
      <c r="K14330" t="s">
        <v>42622</v>
      </c>
      <c r="M14330" t="s">
        <v>43239</v>
      </c>
      <c r="N14330" t="s">
        <v>47304</v>
      </c>
      <c r="O14330" t="s">
        <v>47305</v>
      </c>
      <c r="P14330">
        <v>0</v>
      </c>
      <c r="Q14330">
        <v>0</v>
      </c>
      <c r="R14330" t="s">
        <v>47325</v>
      </c>
      <c r="S14330" t="s">
        <v>48215</v>
      </c>
      <c r="T14330" t="s">
        <v>48979</v>
      </c>
      <c r="U14330" t="s">
        <v>61396</v>
      </c>
      <c r="W14330" t="s">
        <v>43239</v>
      </c>
      <c r="X14330" t="s">
        <v>47326</v>
      </c>
    </row>
    <row r="14331" spans="1:24">
      <c r="A14331">
        <f>HYPERLINK("https://www.philgeps.gov.ph/GEPSNONPILOT/Tender/SplashBidNoticeAbstractUI.aspx?menuIndex=3&amp;refID=7156249&amp;Result=3","7156249")</f>
        <v>0</v>
      </c>
      <c r="B14331" t="s">
        <v>3676</v>
      </c>
      <c r="C14331" t="s">
        <v>17419</v>
      </c>
      <c r="D14331" t="s">
        <v>19047</v>
      </c>
      <c r="E14331" t="s">
        <v>31201</v>
      </c>
      <c r="F14331" t="s">
        <v>32606</v>
      </c>
      <c r="G14331" t="s">
        <v>32613</v>
      </c>
      <c r="H14331" t="s">
        <v>14201</v>
      </c>
      <c r="I14331" t="s">
        <v>6931</v>
      </c>
      <c r="J14331" t="s">
        <v>41617</v>
      </c>
      <c r="K14331" t="s">
        <v>42623</v>
      </c>
      <c r="M14331" t="s">
        <v>46981</v>
      </c>
      <c r="N14331" t="s">
        <v>47304</v>
      </c>
      <c r="O14331" t="s">
        <v>47305</v>
      </c>
      <c r="P14331">
        <v>0</v>
      </c>
      <c r="Q14331">
        <v>1</v>
      </c>
      <c r="R14331" t="s">
        <v>47325</v>
      </c>
      <c r="S14331" t="s">
        <v>48215</v>
      </c>
      <c r="T14331" t="s">
        <v>48980</v>
      </c>
      <c r="U14331" t="s">
        <v>54806</v>
      </c>
      <c r="W14331" t="s">
        <v>46981</v>
      </c>
      <c r="X14331" t="s">
        <v>47327</v>
      </c>
    </row>
    <row r="14332" spans="1:24">
      <c r="A14332">
        <f>HYPERLINK("https://www.philgeps.gov.ph/GEPSNONPILOT/Tender/SplashBidNoticeAbstractUI.aspx?menuIndex=3&amp;refID=7158650&amp;Result=3","7158650")</f>
        <v>0</v>
      </c>
      <c r="B14332" t="s">
        <v>2724</v>
      </c>
      <c r="C14332" t="s">
        <v>17420</v>
      </c>
      <c r="D14332" t="s">
        <v>18997</v>
      </c>
      <c r="E14332" t="s">
        <v>31202</v>
      </c>
      <c r="F14332" t="s">
        <v>32608</v>
      </c>
      <c r="G14332" t="s">
        <v>32613</v>
      </c>
      <c r="H14332" t="s">
        <v>14201</v>
      </c>
      <c r="I14332" t="s">
        <v>32631</v>
      </c>
      <c r="J14332" t="s">
        <v>41618</v>
      </c>
      <c r="K14332" t="s">
        <v>42623</v>
      </c>
      <c r="M14332" t="s">
        <v>45879</v>
      </c>
      <c r="N14332" t="s">
        <v>47304</v>
      </c>
      <c r="O14332" t="s">
        <v>47305</v>
      </c>
      <c r="P14332">
        <v>0</v>
      </c>
      <c r="Q14332">
        <v>0</v>
      </c>
      <c r="R14332" t="s">
        <v>47325</v>
      </c>
      <c r="S14332" t="s">
        <v>48215</v>
      </c>
      <c r="T14332" t="s">
        <v>49100</v>
      </c>
      <c r="U14332" t="s">
        <v>61397</v>
      </c>
      <c r="W14332" t="s">
        <v>64512</v>
      </c>
      <c r="X14332" t="s">
        <v>47326</v>
      </c>
    </row>
    <row r="14333" spans="1:24">
      <c r="A14333">
        <f>HYPERLINK("https://www.philgeps.gov.ph/GEPSNONPILOT/Tender/SplashBidNoticeAbstractUI.aspx?menuIndex=3&amp;refID=7155629&amp;Result=3","7155629")</f>
        <v>0</v>
      </c>
      <c r="B14333" t="s">
        <v>2115</v>
      </c>
      <c r="C14333" t="s">
        <v>17421</v>
      </c>
      <c r="D14333" t="s">
        <v>19008</v>
      </c>
      <c r="E14333" t="s">
        <v>31203</v>
      </c>
      <c r="F14333" t="s">
        <v>32606</v>
      </c>
      <c r="G14333" t="s">
        <v>32613</v>
      </c>
      <c r="H14333" t="s">
        <v>14201</v>
      </c>
      <c r="I14333" t="s">
        <v>4678</v>
      </c>
      <c r="J14333" t="s">
        <v>32868</v>
      </c>
      <c r="K14333" t="s">
        <v>42638</v>
      </c>
      <c r="M14333" t="s">
        <v>45789</v>
      </c>
      <c r="N14333" t="s">
        <v>47304</v>
      </c>
      <c r="O14333" t="s">
        <v>47305</v>
      </c>
      <c r="Q14333">
        <v>1</v>
      </c>
      <c r="R14333" t="s">
        <v>47325</v>
      </c>
      <c r="S14333" t="s">
        <v>48240</v>
      </c>
      <c r="T14333" t="s">
        <v>49004</v>
      </c>
      <c r="U14333" t="s">
        <v>61398</v>
      </c>
      <c r="V14333" t="s">
        <v>63377</v>
      </c>
      <c r="W14333" t="s">
        <v>45789</v>
      </c>
      <c r="X14333" t="s">
        <v>47327</v>
      </c>
    </row>
    <row r="14334" spans="1:24">
      <c r="A14334">
        <f>HYPERLINK("https://www.philgeps.gov.ph/GEPSNONPILOT/Tender/SplashBidNoticeAbstractUI.aspx?menuIndex=3&amp;refID=7158646&amp;Result=3","7158646")</f>
        <v>0</v>
      </c>
      <c r="B14334" t="s">
        <v>3757</v>
      </c>
      <c r="C14334" t="s">
        <v>17422</v>
      </c>
      <c r="D14334" t="s">
        <v>19018</v>
      </c>
      <c r="E14334" t="s">
        <v>23524</v>
      </c>
      <c r="F14334" t="s">
        <v>32606</v>
      </c>
      <c r="G14334" t="s">
        <v>32613</v>
      </c>
      <c r="H14334" t="s">
        <v>32623</v>
      </c>
      <c r="I14334" t="s">
        <v>17648</v>
      </c>
      <c r="J14334" t="s">
        <v>32789</v>
      </c>
      <c r="K14334" t="s">
        <v>42636</v>
      </c>
      <c r="M14334" t="s">
        <v>47089</v>
      </c>
      <c r="N14334" t="s">
        <v>47304</v>
      </c>
      <c r="O14334" t="s">
        <v>47305</v>
      </c>
      <c r="Q14334">
        <v>1</v>
      </c>
      <c r="R14334" t="s">
        <v>47325</v>
      </c>
      <c r="S14334" t="s">
        <v>48241</v>
      </c>
      <c r="T14334" t="s">
        <v>49050</v>
      </c>
      <c r="U14334" t="s">
        <v>61399</v>
      </c>
      <c r="W14334" t="s">
        <v>47089</v>
      </c>
      <c r="X14334" t="s">
        <v>47326</v>
      </c>
    </row>
    <row r="14335" spans="1:24">
      <c r="A14335">
        <f>HYPERLINK("https://www.philgeps.gov.ph/GEPSNONPILOT/Tender/SplashBidNoticeAbstractUI.aspx?menuIndex=3&amp;refID=7162572&amp;Result=3","7162572")</f>
        <v>0</v>
      </c>
      <c r="B14335" t="s">
        <v>3759</v>
      </c>
      <c r="C14335" t="s">
        <v>17423</v>
      </c>
      <c r="D14335" t="s">
        <v>18988</v>
      </c>
      <c r="E14335" t="s">
        <v>28300</v>
      </c>
      <c r="F14335" t="s">
        <v>32606</v>
      </c>
      <c r="G14335" t="s">
        <v>32613</v>
      </c>
      <c r="H14335" t="s">
        <v>14201</v>
      </c>
      <c r="I14335" t="s">
        <v>4120</v>
      </c>
      <c r="J14335" t="s">
        <v>41619</v>
      </c>
      <c r="K14335" t="s">
        <v>42623</v>
      </c>
      <c r="M14335" t="s">
        <v>47091</v>
      </c>
      <c r="N14335" t="s">
        <v>47304</v>
      </c>
      <c r="O14335" t="s">
        <v>47305</v>
      </c>
      <c r="P14335">
        <v>0</v>
      </c>
      <c r="Q14335">
        <v>7</v>
      </c>
      <c r="R14335" t="s">
        <v>47324</v>
      </c>
      <c r="S14335" t="s">
        <v>48182</v>
      </c>
      <c r="T14335" t="s">
        <v>49330</v>
      </c>
      <c r="U14335" t="s">
        <v>61400</v>
      </c>
      <c r="V14335" t="s">
        <v>64204</v>
      </c>
      <c r="W14335" t="s">
        <v>47091</v>
      </c>
      <c r="X14335" t="s">
        <v>47325</v>
      </c>
    </row>
    <row r="14336" spans="1:24">
      <c r="A14336">
        <f>HYPERLINK("https://www.philgeps.gov.ph/GEPSNONPILOT/Tender/SplashBidNoticeAbstractUI.aspx?menuIndex=3&amp;refID=7162554&amp;Result=3","7162554")</f>
        <v>0</v>
      </c>
      <c r="B14336" t="s">
        <v>1507</v>
      </c>
      <c r="C14336" t="s">
        <v>17424</v>
      </c>
      <c r="D14336" t="s">
        <v>19039</v>
      </c>
      <c r="E14336" t="s">
        <v>31204</v>
      </c>
      <c r="F14336" t="s">
        <v>32607</v>
      </c>
      <c r="G14336" t="s">
        <v>32613</v>
      </c>
      <c r="H14336" t="s">
        <v>32623</v>
      </c>
      <c r="I14336" t="s">
        <v>17648</v>
      </c>
      <c r="J14336" t="s">
        <v>34912</v>
      </c>
      <c r="K14336" t="s">
        <v>42712</v>
      </c>
      <c r="M14336" t="s">
        <v>44505</v>
      </c>
      <c r="N14336" t="s">
        <v>47304</v>
      </c>
      <c r="O14336" t="s">
        <v>47305</v>
      </c>
      <c r="P14336">
        <v>0</v>
      </c>
      <c r="Q14336">
        <v>13</v>
      </c>
      <c r="R14336" t="s">
        <v>47324</v>
      </c>
      <c r="S14336" t="s">
        <v>48182</v>
      </c>
      <c r="T14336" t="s">
        <v>49257</v>
      </c>
      <c r="U14336" t="s">
        <v>61401</v>
      </c>
      <c r="V14336" t="s">
        <v>64205</v>
      </c>
      <c r="W14336" t="s">
        <v>44505</v>
      </c>
      <c r="X14336" t="s">
        <v>47325</v>
      </c>
    </row>
    <row r="14337" spans="1:24">
      <c r="A14337">
        <f>HYPERLINK("https://www.philgeps.gov.ph/GEPSNONPILOT/Tender/SplashBidNoticeAbstractUI.aspx?menuIndex=3&amp;refID=7162545&amp;Result=3","7162545")</f>
        <v>0</v>
      </c>
      <c r="B14337" t="s">
        <v>3760</v>
      </c>
      <c r="C14337" t="s">
        <v>17425</v>
      </c>
      <c r="D14337" t="s">
        <v>19050</v>
      </c>
      <c r="E14337" t="s">
        <v>19327</v>
      </c>
      <c r="F14337" t="s">
        <v>32606</v>
      </c>
      <c r="G14337" t="s">
        <v>32613</v>
      </c>
      <c r="H14337" t="s">
        <v>14201</v>
      </c>
      <c r="I14337" t="s">
        <v>32658</v>
      </c>
      <c r="J14337" t="s">
        <v>32789</v>
      </c>
      <c r="K14337" t="s">
        <v>42631</v>
      </c>
      <c r="M14337" t="s">
        <v>47092</v>
      </c>
      <c r="N14337" t="s">
        <v>47304</v>
      </c>
      <c r="O14337" t="s">
        <v>47305</v>
      </c>
      <c r="P14337">
        <v>0</v>
      </c>
      <c r="Q14337">
        <v>5</v>
      </c>
      <c r="R14337" t="s">
        <v>47324</v>
      </c>
      <c r="S14337" t="s">
        <v>48182</v>
      </c>
      <c r="T14337" t="s">
        <v>49020</v>
      </c>
      <c r="U14337" t="s">
        <v>61402</v>
      </c>
      <c r="W14337" t="s">
        <v>47092</v>
      </c>
      <c r="X14337" t="s">
        <v>47325</v>
      </c>
    </row>
    <row r="14338" spans="1:24">
      <c r="A14338">
        <f>HYPERLINK("https://www.philgeps.gov.ph/GEPSNONPILOT/Tender/SplashBidNoticeAbstractUI.aspx?menuIndex=3&amp;refID=7162507&amp;Result=3","7162507")</f>
        <v>0</v>
      </c>
      <c r="B14338" t="s">
        <v>634</v>
      </c>
      <c r="C14338" t="s">
        <v>17426</v>
      </c>
      <c r="D14338" t="s">
        <v>19056</v>
      </c>
      <c r="E14338" t="s">
        <v>31205</v>
      </c>
      <c r="F14338" t="s">
        <v>32606</v>
      </c>
      <c r="G14338" t="s">
        <v>32613</v>
      </c>
      <c r="H14338" t="s">
        <v>32623</v>
      </c>
      <c r="I14338" t="s">
        <v>17648</v>
      </c>
      <c r="J14338" t="s">
        <v>41620</v>
      </c>
      <c r="K14338" t="s">
        <v>42752</v>
      </c>
      <c r="M14338" t="s">
        <v>43552</v>
      </c>
      <c r="N14338" t="s">
        <v>47304</v>
      </c>
      <c r="O14338" t="s">
        <v>47305</v>
      </c>
      <c r="P14338">
        <v>0</v>
      </c>
      <c r="Q14338">
        <v>2</v>
      </c>
      <c r="R14338" t="s">
        <v>47324</v>
      </c>
      <c r="S14338" t="s">
        <v>48182</v>
      </c>
      <c r="T14338" t="s">
        <v>49016</v>
      </c>
      <c r="U14338" t="s">
        <v>61403</v>
      </c>
      <c r="W14338" t="s">
        <v>43552</v>
      </c>
      <c r="X14338" t="s">
        <v>47325</v>
      </c>
    </row>
    <row r="14339" spans="1:24">
      <c r="A14339">
        <f>HYPERLINK("https://www.philgeps.gov.ph/GEPSNONPILOT/Tender/SplashBidNoticeAbstractUI.aspx?menuIndex=3&amp;refID=7157681&amp;Result=3","7157681")</f>
        <v>0</v>
      </c>
      <c r="B14339" t="s">
        <v>396</v>
      </c>
      <c r="C14339" t="s">
        <v>17427</v>
      </c>
      <c r="D14339" t="s">
        <v>19038</v>
      </c>
      <c r="E14339" t="s">
        <v>31206</v>
      </c>
      <c r="F14339" t="s">
        <v>32606</v>
      </c>
      <c r="G14339" t="s">
        <v>32613</v>
      </c>
      <c r="H14339" t="s">
        <v>32623</v>
      </c>
      <c r="I14339" t="s">
        <v>17648</v>
      </c>
      <c r="J14339" t="s">
        <v>41621</v>
      </c>
      <c r="K14339" t="s">
        <v>42712</v>
      </c>
      <c r="M14339" t="s">
        <v>45261</v>
      </c>
      <c r="N14339" t="s">
        <v>47304</v>
      </c>
      <c r="O14339" t="s">
        <v>47305</v>
      </c>
      <c r="Q14339">
        <v>0</v>
      </c>
      <c r="R14339" t="s">
        <v>47325</v>
      </c>
      <c r="S14339" t="s">
        <v>48242</v>
      </c>
      <c r="T14339" t="s">
        <v>49268</v>
      </c>
      <c r="U14339" t="s">
        <v>61374</v>
      </c>
      <c r="V14339" t="s">
        <v>64206</v>
      </c>
      <c r="W14339" t="s">
        <v>45261</v>
      </c>
      <c r="X14339" t="s">
        <v>47327</v>
      </c>
    </row>
    <row r="14340" spans="1:24">
      <c r="A14340">
        <f>HYPERLINK("https://www.philgeps.gov.ph/GEPSNONPILOT/Tender/SplashBidNoticeAbstractUI.aspx?menuIndex=3&amp;refID=7162222&amp;Result=3","7162222")</f>
        <v>0</v>
      </c>
      <c r="B14340" t="s">
        <v>2013</v>
      </c>
      <c r="C14340" t="s">
        <v>17428</v>
      </c>
      <c r="E14340" t="s">
        <v>31207</v>
      </c>
      <c r="F14340" t="s">
        <v>32606</v>
      </c>
      <c r="G14340" t="s">
        <v>32613</v>
      </c>
      <c r="H14340" t="s">
        <v>14201</v>
      </c>
      <c r="I14340" t="s">
        <v>32702</v>
      </c>
      <c r="J14340" t="s">
        <v>41622</v>
      </c>
      <c r="K14340" t="s">
        <v>42639</v>
      </c>
      <c r="M14340" t="s">
        <v>45085</v>
      </c>
      <c r="N14340" t="s">
        <v>47304</v>
      </c>
      <c r="O14340" t="s">
        <v>47305</v>
      </c>
      <c r="P14340">
        <v>0</v>
      </c>
      <c r="Q14340">
        <v>3</v>
      </c>
      <c r="R14340" t="s">
        <v>47324</v>
      </c>
      <c r="S14340" t="s">
        <v>48182</v>
      </c>
      <c r="T14340" t="s">
        <v>49268</v>
      </c>
      <c r="U14340" t="s">
        <v>61404</v>
      </c>
      <c r="W14340" t="s">
        <v>64490</v>
      </c>
      <c r="X14340" t="s">
        <v>47325</v>
      </c>
    </row>
    <row r="14341" spans="1:24">
      <c r="A14341">
        <f>HYPERLINK("https://www.philgeps.gov.ph/GEPSNONPILOT/Tender/SplashBidNoticeAbstractUI.aspx?menuIndex=3&amp;refID=7157606&amp;Result=3","7157606")</f>
        <v>0</v>
      </c>
      <c r="B14341" t="s">
        <v>2961</v>
      </c>
      <c r="C14341" t="s">
        <v>12905</v>
      </c>
      <c r="D14341" t="s">
        <v>18986</v>
      </c>
      <c r="E14341" t="s">
        <v>31208</v>
      </c>
      <c r="F14341" t="s">
        <v>32606</v>
      </c>
      <c r="G14341" t="s">
        <v>32613</v>
      </c>
      <c r="H14341" t="s">
        <v>32623</v>
      </c>
      <c r="I14341" t="s">
        <v>17648</v>
      </c>
      <c r="J14341" t="s">
        <v>32784</v>
      </c>
      <c r="K14341" t="s">
        <v>42627</v>
      </c>
      <c r="M14341" t="s">
        <v>46145</v>
      </c>
      <c r="N14341" t="s">
        <v>47304</v>
      </c>
      <c r="O14341" t="s">
        <v>47305</v>
      </c>
      <c r="P14341">
        <v>0</v>
      </c>
      <c r="Q14341">
        <v>0</v>
      </c>
      <c r="R14341" t="s">
        <v>47325</v>
      </c>
      <c r="S14341" t="s">
        <v>48215</v>
      </c>
      <c r="T14341" t="s">
        <v>49503</v>
      </c>
      <c r="U14341" t="s">
        <v>61128</v>
      </c>
      <c r="W14341" t="s">
        <v>46145</v>
      </c>
      <c r="X14341" t="s">
        <v>47327</v>
      </c>
    </row>
    <row r="14342" spans="1:24">
      <c r="A14342">
        <f>HYPERLINK("https://www.philgeps.gov.ph/GEPSNONPILOT/Tender/SplashBidNoticeAbstractUI.aspx?menuIndex=3&amp;refID=7162174&amp;Result=3","7162174")</f>
        <v>0</v>
      </c>
      <c r="B14342" t="s">
        <v>828</v>
      </c>
      <c r="C14342" t="s">
        <v>17429</v>
      </c>
      <c r="D14342" t="s">
        <v>19030</v>
      </c>
      <c r="E14342" t="s">
        <v>31209</v>
      </c>
      <c r="F14342" t="s">
        <v>32606</v>
      </c>
      <c r="G14342" t="s">
        <v>32613</v>
      </c>
      <c r="H14342" t="s">
        <v>14201</v>
      </c>
      <c r="I14342" t="s">
        <v>9008</v>
      </c>
      <c r="J14342" t="s">
        <v>41623</v>
      </c>
      <c r="K14342" t="s">
        <v>42630</v>
      </c>
      <c r="M14342" t="s">
        <v>43759</v>
      </c>
      <c r="N14342" t="s">
        <v>47304</v>
      </c>
      <c r="O14342" t="s">
        <v>47305</v>
      </c>
      <c r="Q14342">
        <v>2</v>
      </c>
      <c r="R14342" t="s">
        <v>47324</v>
      </c>
      <c r="S14342" t="s">
        <v>48243</v>
      </c>
      <c r="T14342" t="s">
        <v>49017</v>
      </c>
      <c r="U14342" t="s">
        <v>61405</v>
      </c>
      <c r="V14342" t="s">
        <v>64207</v>
      </c>
      <c r="W14342" t="s">
        <v>43759</v>
      </c>
      <c r="X14342" t="s">
        <v>47325</v>
      </c>
    </row>
    <row r="14343" spans="1:24">
      <c r="A14343">
        <f>HYPERLINK("https://www.philgeps.gov.ph/GEPSNONPILOT/Tender/SplashBidNoticeAbstractUI.aspx?menuIndex=3&amp;refID=7162169&amp;Result=3","7162169")</f>
        <v>0</v>
      </c>
      <c r="B14343" t="s">
        <v>2730</v>
      </c>
      <c r="C14343" t="s">
        <v>17430</v>
      </c>
      <c r="D14343" t="s">
        <v>19040</v>
      </c>
      <c r="E14343" t="s">
        <v>31210</v>
      </c>
      <c r="F14343" t="s">
        <v>32606</v>
      </c>
      <c r="G14343" t="s">
        <v>32613</v>
      </c>
      <c r="H14343" t="s">
        <v>32623</v>
      </c>
      <c r="I14343" t="s">
        <v>17648</v>
      </c>
      <c r="J14343" t="s">
        <v>41624</v>
      </c>
      <c r="K14343" t="s">
        <v>42624</v>
      </c>
      <c r="M14343" t="s">
        <v>45886</v>
      </c>
      <c r="N14343" t="s">
        <v>47304</v>
      </c>
      <c r="O14343" t="s">
        <v>47305</v>
      </c>
      <c r="P14343">
        <v>0</v>
      </c>
      <c r="Q14343">
        <v>0</v>
      </c>
      <c r="R14343" t="s">
        <v>47324</v>
      </c>
      <c r="S14343" t="s">
        <v>48182</v>
      </c>
      <c r="T14343" t="s">
        <v>48971</v>
      </c>
      <c r="U14343" t="s">
        <v>61406</v>
      </c>
      <c r="W14343" t="s">
        <v>45886</v>
      </c>
      <c r="X14343" t="s">
        <v>47325</v>
      </c>
    </row>
    <row r="14344" spans="1:24">
      <c r="A14344">
        <f>HYPERLINK("https://www.philgeps.gov.ph/GEPSNONPILOT/Tender/SplashBidNoticeAbstractUI.aspx?menuIndex=3&amp;refID=7162594&amp;Result=3","7162594")</f>
        <v>0</v>
      </c>
      <c r="B14344" t="s">
        <v>3761</v>
      </c>
      <c r="C14344" t="s">
        <v>17431</v>
      </c>
      <c r="D14344" t="s">
        <v>19031</v>
      </c>
      <c r="E14344" t="s">
        <v>31211</v>
      </c>
      <c r="F14344" t="s">
        <v>32606</v>
      </c>
      <c r="G14344" t="s">
        <v>32613</v>
      </c>
      <c r="H14344" t="s">
        <v>14201</v>
      </c>
      <c r="I14344" t="s">
        <v>6931</v>
      </c>
      <c r="J14344" t="s">
        <v>41625</v>
      </c>
      <c r="K14344" t="s">
        <v>42636</v>
      </c>
      <c r="M14344" t="s">
        <v>47093</v>
      </c>
      <c r="N14344" t="s">
        <v>47304</v>
      </c>
      <c r="O14344" t="s">
        <v>47305</v>
      </c>
      <c r="P14344">
        <v>0</v>
      </c>
      <c r="Q14344">
        <v>0</v>
      </c>
      <c r="R14344" t="s">
        <v>47324</v>
      </c>
      <c r="S14344" t="s">
        <v>48182</v>
      </c>
      <c r="T14344" t="s">
        <v>48992</v>
      </c>
      <c r="U14344" t="s">
        <v>61407</v>
      </c>
      <c r="V14344" t="s">
        <v>64208</v>
      </c>
      <c r="W14344" t="s">
        <v>47093</v>
      </c>
      <c r="X14344" t="s">
        <v>47325</v>
      </c>
    </row>
    <row r="14345" spans="1:24">
      <c r="A14345">
        <f>HYPERLINK("https://www.philgeps.gov.ph/GEPSNONPILOT/Tender/SplashBidNoticeAbstractUI.aspx?menuIndex=3&amp;refID=7162158&amp;Result=3","7162158")</f>
        <v>0</v>
      </c>
      <c r="B14345" t="s">
        <v>398</v>
      </c>
      <c r="C14345" t="s">
        <v>17432</v>
      </c>
      <c r="D14345" t="s">
        <v>19013</v>
      </c>
      <c r="E14345" t="s">
        <v>31212</v>
      </c>
      <c r="F14345" t="s">
        <v>32606</v>
      </c>
      <c r="G14345" t="s">
        <v>32613</v>
      </c>
      <c r="H14345" t="s">
        <v>14201</v>
      </c>
      <c r="I14345" t="s">
        <v>32714</v>
      </c>
      <c r="J14345" t="s">
        <v>33734</v>
      </c>
      <c r="K14345" t="s">
        <v>42645</v>
      </c>
      <c r="M14345" t="s">
        <v>43301</v>
      </c>
      <c r="N14345" t="s">
        <v>47304</v>
      </c>
      <c r="O14345" t="s">
        <v>47305</v>
      </c>
      <c r="P14345">
        <v>0</v>
      </c>
      <c r="Q14345">
        <v>18</v>
      </c>
      <c r="R14345" t="s">
        <v>47324</v>
      </c>
      <c r="S14345" t="s">
        <v>48182</v>
      </c>
      <c r="T14345" t="s">
        <v>49504</v>
      </c>
      <c r="U14345" t="s">
        <v>61408</v>
      </c>
      <c r="W14345" t="s">
        <v>43301</v>
      </c>
      <c r="X14345" t="s">
        <v>47325</v>
      </c>
    </row>
    <row r="14346" spans="1:24">
      <c r="A14346">
        <f>HYPERLINK("https://www.philgeps.gov.ph/GEPSNONPILOT/Tender/SplashBidNoticeAbstractUI.aspx?menuIndex=3&amp;refID=7162510&amp;Result=3","7162510")</f>
        <v>0</v>
      </c>
      <c r="B14346" t="s">
        <v>3678</v>
      </c>
      <c r="C14346" t="s">
        <v>17433</v>
      </c>
      <c r="D14346" t="s">
        <v>19063</v>
      </c>
      <c r="E14346" t="s">
        <v>31213</v>
      </c>
      <c r="F14346" t="s">
        <v>32606</v>
      </c>
      <c r="G14346" t="s">
        <v>32613</v>
      </c>
      <c r="H14346" t="s">
        <v>32623</v>
      </c>
      <c r="I14346" t="s">
        <v>17648</v>
      </c>
      <c r="J14346" t="s">
        <v>32770</v>
      </c>
      <c r="K14346" t="s">
        <v>42639</v>
      </c>
      <c r="M14346" t="s">
        <v>46983</v>
      </c>
      <c r="N14346" t="s">
        <v>47304</v>
      </c>
      <c r="O14346" t="s">
        <v>47305</v>
      </c>
      <c r="P14346">
        <v>0</v>
      </c>
      <c r="Q14346">
        <v>0</v>
      </c>
      <c r="R14346" t="s">
        <v>47324</v>
      </c>
      <c r="S14346" t="s">
        <v>48182</v>
      </c>
      <c r="T14346" t="s">
        <v>49116</v>
      </c>
      <c r="U14346" t="s">
        <v>60900</v>
      </c>
      <c r="W14346" t="s">
        <v>46983</v>
      </c>
      <c r="X14346" t="s">
        <v>47325</v>
      </c>
    </row>
    <row r="14347" spans="1:24">
      <c r="A14347">
        <f>HYPERLINK("https://www.philgeps.gov.ph/GEPSNONPILOT/Tender/SplashBidNoticeAbstractUI.aspx?menuIndex=3&amp;refID=7162138&amp;Result=3","7162138")</f>
        <v>0</v>
      </c>
      <c r="B14347" t="s">
        <v>3762</v>
      </c>
      <c r="C14347" t="s">
        <v>17434</v>
      </c>
      <c r="D14347" t="s">
        <v>18995</v>
      </c>
      <c r="E14347" t="s">
        <v>31214</v>
      </c>
      <c r="F14347" t="s">
        <v>32606</v>
      </c>
      <c r="G14347" t="s">
        <v>32613</v>
      </c>
      <c r="H14347" t="s">
        <v>32623</v>
      </c>
      <c r="I14347" t="s">
        <v>17648</v>
      </c>
      <c r="J14347" t="s">
        <v>41626</v>
      </c>
      <c r="K14347" t="s">
        <v>42645</v>
      </c>
      <c r="M14347" t="s">
        <v>47094</v>
      </c>
      <c r="N14347" t="s">
        <v>47304</v>
      </c>
      <c r="O14347" t="s">
        <v>47305</v>
      </c>
      <c r="Q14347">
        <v>7</v>
      </c>
      <c r="R14347" t="s">
        <v>47324</v>
      </c>
      <c r="S14347" t="s">
        <v>47616</v>
      </c>
      <c r="T14347" t="s">
        <v>49066</v>
      </c>
      <c r="U14347" t="s">
        <v>61409</v>
      </c>
      <c r="W14347" t="s">
        <v>47094</v>
      </c>
      <c r="X14347" t="s">
        <v>47325</v>
      </c>
    </row>
    <row r="14348" spans="1:24">
      <c r="A14348">
        <f>HYPERLINK("https://www.philgeps.gov.ph/GEPSNONPILOT/Tender/SplashBidNoticeAbstractUI.aspx?menuIndex=3&amp;refID=7162230&amp;Result=3","7162230")</f>
        <v>0</v>
      </c>
      <c r="B14348" t="s">
        <v>499</v>
      </c>
      <c r="C14348" t="s">
        <v>17435</v>
      </c>
      <c r="D14348" t="s">
        <v>19010</v>
      </c>
      <c r="E14348" t="s">
        <v>31215</v>
      </c>
      <c r="F14348" t="s">
        <v>32606</v>
      </c>
      <c r="G14348" t="s">
        <v>32613</v>
      </c>
      <c r="H14348" t="s">
        <v>14201</v>
      </c>
      <c r="I14348" t="s">
        <v>32737</v>
      </c>
      <c r="J14348" t="s">
        <v>32795</v>
      </c>
      <c r="K14348" t="s">
        <v>42631</v>
      </c>
      <c r="M14348" t="s">
        <v>43412</v>
      </c>
      <c r="N14348" t="s">
        <v>47304</v>
      </c>
      <c r="O14348" t="s">
        <v>47305</v>
      </c>
      <c r="P14348">
        <v>0</v>
      </c>
      <c r="Q14348">
        <v>3</v>
      </c>
      <c r="R14348" t="s">
        <v>47324</v>
      </c>
      <c r="S14348" t="s">
        <v>48182</v>
      </c>
      <c r="T14348" t="s">
        <v>49071</v>
      </c>
      <c r="U14348" t="s">
        <v>61410</v>
      </c>
      <c r="V14348" t="s">
        <v>62766</v>
      </c>
      <c r="W14348" t="s">
        <v>43412</v>
      </c>
      <c r="X14348" t="s">
        <v>47325</v>
      </c>
    </row>
    <row r="14349" spans="1:24">
      <c r="A14349">
        <f>HYPERLINK("https://www.philgeps.gov.ph/GEPSNONPILOT/Tender/SplashBidNoticeAbstractUI.aspx?menuIndex=3&amp;refID=7164411&amp;Result=3","7164411")</f>
        <v>0</v>
      </c>
      <c r="B14349" t="s">
        <v>1234</v>
      </c>
      <c r="C14349" t="s">
        <v>17436</v>
      </c>
      <c r="D14349" t="s">
        <v>19047</v>
      </c>
      <c r="E14349" t="s">
        <v>31216</v>
      </c>
      <c r="F14349" t="s">
        <v>32606</v>
      </c>
      <c r="G14349" t="s">
        <v>32613</v>
      </c>
      <c r="H14349" t="s">
        <v>14201</v>
      </c>
      <c r="I14349" t="s">
        <v>32662</v>
      </c>
      <c r="J14349" t="s">
        <v>34717</v>
      </c>
      <c r="K14349" t="s">
        <v>42623</v>
      </c>
      <c r="M14349" t="s">
        <v>44199</v>
      </c>
      <c r="N14349" t="s">
        <v>47304</v>
      </c>
      <c r="O14349" t="s">
        <v>47305</v>
      </c>
      <c r="P14349">
        <v>0</v>
      </c>
      <c r="Q14349">
        <v>22</v>
      </c>
      <c r="R14349" t="s">
        <v>47323</v>
      </c>
      <c r="S14349" t="s">
        <v>48180</v>
      </c>
      <c r="T14349" t="s">
        <v>49023</v>
      </c>
      <c r="U14349" t="s">
        <v>61411</v>
      </c>
      <c r="W14349" t="s">
        <v>44199</v>
      </c>
      <c r="X14349" t="s">
        <v>47324</v>
      </c>
    </row>
    <row r="14350" spans="1:24">
      <c r="A14350">
        <f>HYPERLINK("https://www.philgeps.gov.ph/GEPSNONPILOT/Tender/SplashBidNoticeAbstractUI.aspx?menuIndex=3&amp;refID=7164450&amp;Result=3","7164450")</f>
        <v>0</v>
      </c>
      <c r="B14350" t="s">
        <v>1234</v>
      </c>
      <c r="C14350" t="s">
        <v>17437</v>
      </c>
      <c r="D14350" t="s">
        <v>19047</v>
      </c>
      <c r="E14350" t="s">
        <v>31217</v>
      </c>
      <c r="F14350" t="s">
        <v>32606</v>
      </c>
      <c r="G14350" t="s">
        <v>32613</v>
      </c>
      <c r="H14350" t="s">
        <v>14201</v>
      </c>
      <c r="I14350" t="s">
        <v>32638</v>
      </c>
      <c r="J14350" t="s">
        <v>39834</v>
      </c>
      <c r="K14350" t="s">
        <v>42623</v>
      </c>
      <c r="M14350" t="s">
        <v>44199</v>
      </c>
      <c r="N14350" t="s">
        <v>47304</v>
      </c>
      <c r="O14350" t="s">
        <v>47305</v>
      </c>
      <c r="P14350">
        <v>0</v>
      </c>
      <c r="Q14350">
        <v>23</v>
      </c>
      <c r="R14350" t="s">
        <v>47323</v>
      </c>
      <c r="S14350" t="s">
        <v>48180</v>
      </c>
      <c r="T14350" t="s">
        <v>49023</v>
      </c>
      <c r="U14350" t="s">
        <v>61412</v>
      </c>
      <c r="W14350" t="s">
        <v>44199</v>
      </c>
      <c r="X14350" t="s">
        <v>47324</v>
      </c>
    </row>
    <row r="14351" spans="1:24">
      <c r="A14351">
        <f>HYPERLINK("https://www.philgeps.gov.ph/GEPSNONPILOT/Tender/SplashBidNoticeAbstractUI.aspx?menuIndex=3&amp;refID=7164365&amp;Result=3","7164365")</f>
        <v>0</v>
      </c>
      <c r="B14351" t="s">
        <v>3763</v>
      </c>
      <c r="C14351" t="s">
        <v>17438</v>
      </c>
      <c r="D14351" t="s">
        <v>19024</v>
      </c>
      <c r="E14351" t="s">
        <v>31218</v>
      </c>
      <c r="F14351" t="s">
        <v>32606</v>
      </c>
      <c r="G14351" t="s">
        <v>32613</v>
      </c>
      <c r="H14351" t="s">
        <v>32623</v>
      </c>
      <c r="I14351" t="s">
        <v>17648</v>
      </c>
      <c r="J14351" t="s">
        <v>32765</v>
      </c>
      <c r="K14351" t="s">
        <v>42631</v>
      </c>
      <c r="M14351" t="s">
        <v>47095</v>
      </c>
      <c r="N14351" t="s">
        <v>47304</v>
      </c>
      <c r="O14351" t="s">
        <v>47305</v>
      </c>
      <c r="P14351">
        <v>0</v>
      </c>
      <c r="Q14351">
        <v>0</v>
      </c>
      <c r="R14351" t="s">
        <v>47323</v>
      </c>
      <c r="S14351" t="s">
        <v>48180</v>
      </c>
      <c r="T14351" t="s">
        <v>49023</v>
      </c>
      <c r="U14351" t="s">
        <v>61413</v>
      </c>
      <c r="V14351" t="s">
        <v>64209</v>
      </c>
      <c r="W14351" t="s">
        <v>47095</v>
      </c>
      <c r="X14351" t="s">
        <v>47324</v>
      </c>
    </row>
    <row r="14352" spans="1:24">
      <c r="A14352">
        <f>HYPERLINK("https://www.philgeps.gov.ph/GEPSNONPILOT/Tender/SplashBidNoticeAbstractUI.aspx?menuIndex=3&amp;refID=7162191&amp;Result=3","7162191")</f>
        <v>0</v>
      </c>
      <c r="B14352" t="s">
        <v>2730</v>
      </c>
      <c r="C14352" t="s">
        <v>17439</v>
      </c>
      <c r="D14352" t="s">
        <v>19040</v>
      </c>
      <c r="E14352" t="s">
        <v>31219</v>
      </c>
      <c r="F14352" t="s">
        <v>32606</v>
      </c>
      <c r="G14352" t="s">
        <v>32613</v>
      </c>
      <c r="H14352" t="s">
        <v>32623</v>
      </c>
      <c r="I14352" t="s">
        <v>17648</v>
      </c>
      <c r="J14352" t="s">
        <v>41627</v>
      </c>
      <c r="K14352" t="s">
        <v>42624</v>
      </c>
      <c r="M14352" t="s">
        <v>45886</v>
      </c>
      <c r="N14352" t="s">
        <v>47304</v>
      </c>
      <c r="O14352" t="s">
        <v>47305</v>
      </c>
      <c r="Q14352">
        <v>1</v>
      </c>
      <c r="R14352" t="s">
        <v>47324</v>
      </c>
      <c r="S14352" t="s">
        <v>48244</v>
      </c>
      <c r="T14352" t="s">
        <v>48971</v>
      </c>
      <c r="U14352" t="s">
        <v>61414</v>
      </c>
      <c r="W14352" t="s">
        <v>45886</v>
      </c>
      <c r="X14352" t="s">
        <v>47325</v>
      </c>
    </row>
    <row r="14353" spans="1:24">
      <c r="A14353">
        <f>HYPERLINK("https://www.philgeps.gov.ph/GEPSNONPILOT/Tender/SplashBidNoticeAbstractUI.aspx?menuIndex=3&amp;refID=7162128&amp;Result=3","7162128")</f>
        <v>0</v>
      </c>
      <c r="B14353" t="s">
        <v>1597</v>
      </c>
      <c r="C14353" t="s">
        <v>17440</v>
      </c>
      <c r="D14353" t="s">
        <v>19061</v>
      </c>
      <c r="E14353" t="s">
        <v>31220</v>
      </c>
      <c r="F14353" t="s">
        <v>32606</v>
      </c>
      <c r="G14353" t="s">
        <v>32613</v>
      </c>
      <c r="H14353" t="s">
        <v>32623</v>
      </c>
      <c r="I14353" t="s">
        <v>17648</v>
      </c>
      <c r="J14353" t="s">
        <v>32769</v>
      </c>
      <c r="K14353" t="s">
        <v>42646</v>
      </c>
      <c r="L14353" t="s">
        <v>1597</v>
      </c>
      <c r="M14353" t="s">
        <v>44612</v>
      </c>
      <c r="N14353" t="s">
        <v>47304</v>
      </c>
      <c r="O14353" t="s">
        <v>47305</v>
      </c>
      <c r="P14353">
        <v>0</v>
      </c>
      <c r="Q14353">
        <v>1</v>
      </c>
      <c r="R14353" t="s">
        <v>47323</v>
      </c>
      <c r="S14353" t="s">
        <v>48180</v>
      </c>
      <c r="T14353" t="s">
        <v>48986</v>
      </c>
      <c r="U14353" t="s">
        <v>53124</v>
      </c>
      <c r="V14353" t="s">
        <v>63857</v>
      </c>
      <c r="W14353" t="s">
        <v>44612</v>
      </c>
      <c r="X14353" t="s">
        <v>47325</v>
      </c>
    </row>
    <row r="14354" spans="1:24">
      <c r="A14354">
        <f>HYPERLINK("https://www.philgeps.gov.ph/GEPSNONPILOT/Tender/SplashBidNoticeAbstractUI.aspx?menuIndex=3&amp;refID=7164927&amp;Result=3","7164927")</f>
        <v>0</v>
      </c>
      <c r="B14354" t="s">
        <v>3764</v>
      </c>
      <c r="C14354" t="s">
        <v>17441</v>
      </c>
      <c r="D14354" t="s">
        <v>19050</v>
      </c>
      <c r="E14354" t="s">
        <v>30808</v>
      </c>
      <c r="F14354" t="s">
        <v>32606</v>
      </c>
      <c r="G14354" t="s">
        <v>32613</v>
      </c>
      <c r="H14354" t="s">
        <v>14201</v>
      </c>
      <c r="I14354" t="s">
        <v>4678</v>
      </c>
      <c r="J14354" t="s">
        <v>33564</v>
      </c>
      <c r="K14354" t="s">
        <v>42623</v>
      </c>
      <c r="M14354" t="s">
        <v>47096</v>
      </c>
      <c r="N14354" t="s">
        <v>47304</v>
      </c>
      <c r="O14354" t="s">
        <v>47305</v>
      </c>
      <c r="P14354">
        <v>0</v>
      </c>
      <c r="Q14354">
        <v>8</v>
      </c>
      <c r="R14354" t="s">
        <v>47322</v>
      </c>
      <c r="S14354" t="s">
        <v>48156</v>
      </c>
      <c r="T14354" t="s">
        <v>49050</v>
      </c>
      <c r="U14354" t="s">
        <v>61415</v>
      </c>
      <c r="W14354" t="s">
        <v>47096</v>
      </c>
      <c r="X14354" t="s">
        <v>47323</v>
      </c>
    </row>
    <row r="14355" spans="1:24">
      <c r="A14355">
        <f>HYPERLINK("https://www.philgeps.gov.ph/GEPSNONPILOT/Tender/SplashBidNoticeAbstractUI.aspx?menuIndex=3&amp;refID=7162150&amp;Result=3","7162150")</f>
        <v>0</v>
      </c>
      <c r="B14355" t="s">
        <v>1635</v>
      </c>
      <c r="C14355" t="s">
        <v>17442</v>
      </c>
      <c r="D14355" t="s">
        <v>19007</v>
      </c>
      <c r="E14355" t="s">
        <v>31221</v>
      </c>
      <c r="F14355" t="s">
        <v>32606</v>
      </c>
      <c r="G14355" t="s">
        <v>32613</v>
      </c>
      <c r="H14355" t="s">
        <v>14201</v>
      </c>
      <c r="I14355" t="s">
        <v>4678</v>
      </c>
      <c r="J14355" t="s">
        <v>34652</v>
      </c>
      <c r="K14355" t="s">
        <v>42632</v>
      </c>
      <c r="M14355" t="s">
        <v>44655</v>
      </c>
      <c r="N14355" t="s">
        <v>47304</v>
      </c>
      <c r="O14355" t="s">
        <v>47305</v>
      </c>
      <c r="P14355">
        <v>0</v>
      </c>
      <c r="Q14355">
        <v>7</v>
      </c>
      <c r="R14355" t="s">
        <v>47324</v>
      </c>
      <c r="S14355" t="s">
        <v>48182</v>
      </c>
      <c r="T14355" t="s">
        <v>49000</v>
      </c>
      <c r="U14355" t="s">
        <v>61416</v>
      </c>
      <c r="W14355" t="s">
        <v>44655</v>
      </c>
      <c r="X14355" t="s">
        <v>47325</v>
      </c>
    </row>
    <row r="14356" spans="1:24">
      <c r="A14356">
        <f>HYPERLINK("https://www.philgeps.gov.ph/GEPSNONPILOT/Tender/SplashBidNoticeAbstractUI.aspx?menuIndex=3&amp;refID=7164923&amp;Result=3","7164923")</f>
        <v>0</v>
      </c>
      <c r="B14356" t="s">
        <v>3764</v>
      </c>
      <c r="C14356" t="s">
        <v>17443</v>
      </c>
      <c r="D14356" t="s">
        <v>19050</v>
      </c>
      <c r="E14356" t="s">
        <v>31222</v>
      </c>
      <c r="F14356" t="s">
        <v>32606</v>
      </c>
      <c r="G14356" t="s">
        <v>32613</v>
      </c>
      <c r="H14356" t="s">
        <v>14201</v>
      </c>
      <c r="I14356" t="s">
        <v>7064</v>
      </c>
      <c r="J14356" t="s">
        <v>32767</v>
      </c>
      <c r="K14356" t="s">
        <v>42631</v>
      </c>
      <c r="M14356" t="s">
        <v>47096</v>
      </c>
      <c r="N14356" t="s">
        <v>47304</v>
      </c>
      <c r="O14356" t="s">
        <v>47305</v>
      </c>
      <c r="P14356">
        <v>0</v>
      </c>
      <c r="Q14356">
        <v>3</v>
      </c>
      <c r="R14356" t="s">
        <v>47322</v>
      </c>
      <c r="S14356" t="s">
        <v>48156</v>
      </c>
      <c r="T14356" t="s">
        <v>49050</v>
      </c>
      <c r="U14356" t="s">
        <v>61417</v>
      </c>
      <c r="W14356" t="s">
        <v>47096</v>
      </c>
      <c r="X14356" t="s">
        <v>47323</v>
      </c>
    </row>
    <row r="14357" spans="1:24">
      <c r="A14357">
        <f>HYPERLINK("https://www.philgeps.gov.ph/GEPSNONPILOT/Tender/SplashBidNoticeAbstractUI.aspx?menuIndex=3&amp;refID=7157743&amp;Result=3","7157743")</f>
        <v>0</v>
      </c>
      <c r="B14357" t="s">
        <v>396</v>
      </c>
      <c r="C14357" t="s">
        <v>17444</v>
      </c>
      <c r="D14357" t="s">
        <v>19038</v>
      </c>
      <c r="E14357" t="s">
        <v>31223</v>
      </c>
      <c r="F14357" t="s">
        <v>32606</v>
      </c>
      <c r="G14357" t="s">
        <v>32613</v>
      </c>
      <c r="H14357" t="s">
        <v>32623</v>
      </c>
      <c r="I14357" t="s">
        <v>17648</v>
      </c>
      <c r="J14357" t="s">
        <v>41628</v>
      </c>
      <c r="K14357" t="s">
        <v>42645</v>
      </c>
      <c r="M14357" t="s">
        <v>45261</v>
      </c>
      <c r="N14357" t="s">
        <v>47304</v>
      </c>
      <c r="O14357" t="s">
        <v>47305</v>
      </c>
      <c r="P14357">
        <v>0</v>
      </c>
      <c r="Q14357">
        <v>0</v>
      </c>
      <c r="R14357" t="s">
        <v>47325</v>
      </c>
      <c r="S14357" t="s">
        <v>48215</v>
      </c>
      <c r="T14357" t="s">
        <v>49268</v>
      </c>
      <c r="U14357" t="s">
        <v>61374</v>
      </c>
      <c r="V14357" t="s">
        <v>64210</v>
      </c>
      <c r="W14357" t="s">
        <v>45261</v>
      </c>
      <c r="X14357" t="s">
        <v>47327</v>
      </c>
    </row>
    <row r="14358" spans="1:24">
      <c r="A14358">
        <f>HYPERLINK("https://www.philgeps.gov.ph/GEPSNONPILOT/Tender/SplashBidNoticeAbstractUI.aspx?menuIndex=3&amp;refID=7164924&amp;Result=3","7164924")</f>
        <v>0</v>
      </c>
      <c r="B14358" t="s">
        <v>3765</v>
      </c>
      <c r="C14358" t="s">
        <v>17445</v>
      </c>
      <c r="D14358" t="s">
        <v>19000</v>
      </c>
      <c r="E14358" t="s">
        <v>31224</v>
      </c>
      <c r="F14358" t="s">
        <v>32606</v>
      </c>
      <c r="G14358" t="s">
        <v>32613</v>
      </c>
      <c r="H14358" t="s">
        <v>14201</v>
      </c>
      <c r="I14358" t="s">
        <v>4678</v>
      </c>
      <c r="J14358" t="s">
        <v>32860</v>
      </c>
      <c r="K14358" t="s">
        <v>42631</v>
      </c>
      <c r="M14358" t="s">
        <v>47097</v>
      </c>
      <c r="N14358" t="s">
        <v>47304</v>
      </c>
      <c r="O14358" t="s">
        <v>47305</v>
      </c>
      <c r="P14358">
        <v>0</v>
      </c>
      <c r="Q14358">
        <v>10</v>
      </c>
      <c r="R14358" t="s">
        <v>47322</v>
      </c>
      <c r="S14358" t="s">
        <v>48156</v>
      </c>
      <c r="T14358" t="s">
        <v>49018</v>
      </c>
      <c r="U14358" t="s">
        <v>61418</v>
      </c>
      <c r="W14358" t="s">
        <v>47097</v>
      </c>
      <c r="X14358" t="s">
        <v>47323</v>
      </c>
    </row>
    <row r="14359" spans="1:24">
      <c r="A14359">
        <f>HYPERLINK("https://www.philgeps.gov.ph/GEPSNONPILOT/Tender/SplashBidNoticeAbstractUI.aspx?menuIndex=3&amp;refID=7164902&amp;Result=3","7164902")</f>
        <v>0</v>
      </c>
      <c r="B14359" t="s">
        <v>1963</v>
      </c>
      <c r="C14359" t="s">
        <v>17446</v>
      </c>
      <c r="D14359" t="s">
        <v>19003</v>
      </c>
      <c r="E14359" t="s">
        <v>31225</v>
      </c>
      <c r="F14359" t="s">
        <v>32606</v>
      </c>
      <c r="G14359" t="s">
        <v>32613</v>
      </c>
      <c r="H14359" t="s">
        <v>32623</v>
      </c>
      <c r="I14359" t="s">
        <v>17648</v>
      </c>
      <c r="J14359" t="s">
        <v>41629</v>
      </c>
      <c r="K14359" t="s">
        <v>42731</v>
      </c>
      <c r="M14359" t="s">
        <v>45026</v>
      </c>
      <c r="N14359" t="s">
        <v>47304</v>
      </c>
      <c r="O14359" t="s">
        <v>47305</v>
      </c>
      <c r="Q14359">
        <v>2</v>
      </c>
      <c r="R14359" t="s">
        <v>47322</v>
      </c>
      <c r="S14359" t="s">
        <v>48245</v>
      </c>
      <c r="T14359" t="s">
        <v>48975</v>
      </c>
      <c r="U14359" t="s">
        <v>61419</v>
      </c>
      <c r="W14359" t="s">
        <v>45026</v>
      </c>
      <c r="X14359" t="s">
        <v>47323</v>
      </c>
    </row>
    <row r="14360" spans="1:24">
      <c r="A14360">
        <f>HYPERLINK("https://www.philgeps.gov.ph/GEPSNONPILOT/Tender/SplashBidNoticeAbstractUI.aspx?menuIndex=3&amp;refID=7164479&amp;Result=3","7164479")</f>
        <v>0</v>
      </c>
      <c r="B14360" t="s">
        <v>1003</v>
      </c>
      <c r="C14360" t="s">
        <v>17447</v>
      </c>
      <c r="D14360" t="s">
        <v>18999</v>
      </c>
      <c r="E14360" t="s">
        <v>31226</v>
      </c>
      <c r="F14360" t="s">
        <v>32606</v>
      </c>
      <c r="G14360" t="s">
        <v>32613</v>
      </c>
      <c r="H14360" t="s">
        <v>32623</v>
      </c>
      <c r="I14360" t="s">
        <v>17648</v>
      </c>
      <c r="J14360" t="s">
        <v>41630</v>
      </c>
      <c r="K14360" t="s">
        <v>42695</v>
      </c>
      <c r="M14360" t="s">
        <v>43951</v>
      </c>
      <c r="N14360" t="s">
        <v>47304</v>
      </c>
      <c r="O14360" t="s">
        <v>47305</v>
      </c>
      <c r="P14360">
        <v>0</v>
      </c>
      <c r="Q14360">
        <v>4</v>
      </c>
      <c r="R14360" t="s">
        <v>47323</v>
      </c>
      <c r="S14360" t="s">
        <v>48180</v>
      </c>
      <c r="T14360" t="s">
        <v>48986</v>
      </c>
      <c r="U14360" t="s">
        <v>61420</v>
      </c>
      <c r="V14360" t="s">
        <v>62896</v>
      </c>
      <c r="W14360" t="s">
        <v>43951</v>
      </c>
      <c r="X14360" t="s">
        <v>47324</v>
      </c>
    </row>
    <row r="14361" spans="1:24">
      <c r="A14361">
        <f>HYPERLINK("https://www.philgeps.gov.ph/GEPSNONPILOT/Tender/SplashBidNoticeAbstractUI.aspx?menuIndex=3&amp;refID=7164939&amp;Result=3","7164939")</f>
        <v>0</v>
      </c>
      <c r="B14361" t="s">
        <v>3765</v>
      </c>
      <c r="C14361" t="s">
        <v>17448</v>
      </c>
      <c r="D14361" t="s">
        <v>19000</v>
      </c>
      <c r="E14361" t="s">
        <v>31227</v>
      </c>
      <c r="F14361" t="s">
        <v>32606</v>
      </c>
      <c r="G14361" t="s">
        <v>32613</v>
      </c>
      <c r="H14361" t="s">
        <v>14201</v>
      </c>
      <c r="I14361" t="s">
        <v>4678</v>
      </c>
      <c r="J14361" t="s">
        <v>34435</v>
      </c>
      <c r="K14361" t="s">
        <v>42639</v>
      </c>
      <c r="M14361" t="s">
        <v>47097</v>
      </c>
      <c r="N14361" t="s">
        <v>47304</v>
      </c>
      <c r="O14361" t="s">
        <v>47305</v>
      </c>
      <c r="P14361">
        <v>0</v>
      </c>
      <c r="Q14361">
        <v>6</v>
      </c>
      <c r="R14361" t="s">
        <v>47322</v>
      </c>
      <c r="S14361" t="s">
        <v>48156</v>
      </c>
      <c r="T14361" t="s">
        <v>49018</v>
      </c>
      <c r="U14361" t="s">
        <v>61421</v>
      </c>
      <c r="W14361" t="s">
        <v>47097</v>
      </c>
      <c r="X14361" t="s">
        <v>47323</v>
      </c>
    </row>
    <row r="14362" spans="1:24">
      <c r="A14362">
        <f>HYPERLINK("https://www.philgeps.gov.ph/GEPSNONPILOT/Tender/SplashBidNoticeAbstractUI.aspx?menuIndex=3&amp;refID=7164694&amp;Result=3","7164694")</f>
        <v>0</v>
      </c>
      <c r="B14362" t="s">
        <v>1028</v>
      </c>
      <c r="C14362" t="s">
        <v>17449</v>
      </c>
      <c r="D14362" t="s">
        <v>19008</v>
      </c>
      <c r="E14362" t="s">
        <v>31228</v>
      </c>
      <c r="F14362" t="s">
        <v>32606</v>
      </c>
      <c r="G14362" t="s">
        <v>32613</v>
      </c>
      <c r="H14362" t="s">
        <v>32623</v>
      </c>
      <c r="I14362" t="s">
        <v>17648</v>
      </c>
      <c r="J14362" t="s">
        <v>32772</v>
      </c>
      <c r="K14362" t="s">
        <v>42631</v>
      </c>
      <c r="M14362" t="s">
        <v>43981</v>
      </c>
      <c r="N14362" t="s">
        <v>47304</v>
      </c>
      <c r="O14362" t="s">
        <v>47305</v>
      </c>
      <c r="P14362">
        <v>0</v>
      </c>
      <c r="Q14362">
        <v>3</v>
      </c>
      <c r="R14362" t="s">
        <v>47322</v>
      </c>
      <c r="S14362" t="s">
        <v>48156</v>
      </c>
      <c r="T14362" t="s">
        <v>49017</v>
      </c>
      <c r="U14362" t="s">
        <v>61422</v>
      </c>
      <c r="W14362" t="s">
        <v>43981</v>
      </c>
      <c r="X14362" t="s">
        <v>47323</v>
      </c>
    </row>
    <row r="14363" spans="1:24">
      <c r="A14363">
        <f>HYPERLINK("https://www.philgeps.gov.ph/GEPSNONPILOT/Tender/SplashBidNoticeAbstractUI.aspx?menuIndex=3&amp;refID=7164432&amp;Result=3","7164432")</f>
        <v>0</v>
      </c>
      <c r="B14363" t="s">
        <v>3766</v>
      </c>
      <c r="C14363" t="s">
        <v>17450</v>
      </c>
      <c r="D14363" t="s">
        <v>18995</v>
      </c>
      <c r="E14363" t="s">
        <v>31229</v>
      </c>
      <c r="F14363" t="s">
        <v>32606</v>
      </c>
      <c r="G14363" t="s">
        <v>32613</v>
      </c>
      <c r="H14363" t="s">
        <v>32623</v>
      </c>
      <c r="I14363" t="s">
        <v>17648</v>
      </c>
      <c r="J14363" t="s">
        <v>41631</v>
      </c>
      <c r="K14363" t="s">
        <v>42681</v>
      </c>
      <c r="M14363" t="s">
        <v>47098</v>
      </c>
      <c r="N14363" t="s">
        <v>47304</v>
      </c>
      <c r="O14363" t="s">
        <v>47305</v>
      </c>
      <c r="P14363">
        <v>0</v>
      </c>
      <c r="Q14363">
        <v>0</v>
      </c>
      <c r="R14363" t="s">
        <v>47322</v>
      </c>
      <c r="S14363" t="s">
        <v>48156</v>
      </c>
      <c r="T14363" t="s">
        <v>48986</v>
      </c>
      <c r="U14363" t="s">
        <v>61423</v>
      </c>
      <c r="V14363" t="s">
        <v>64211</v>
      </c>
      <c r="W14363" t="s">
        <v>47098</v>
      </c>
      <c r="X14363" t="s">
        <v>47324</v>
      </c>
    </row>
    <row r="14364" spans="1:24">
      <c r="A14364">
        <f>HYPERLINK("https://www.philgeps.gov.ph/GEPSNONPILOT/Tender/SplashBidNoticeAbstractUI.aspx?menuIndex=3&amp;refID=7164439&amp;Result=3","7164439")</f>
        <v>0</v>
      </c>
      <c r="B14364" t="s">
        <v>1559</v>
      </c>
      <c r="C14364" t="s">
        <v>17451</v>
      </c>
      <c r="D14364" t="s">
        <v>19032</v>
      </c>
      <c r="E14364" t="s">
        <v>17451</v>
      </c>
      <c r="F14364" t="s">
        <v>32606</v>
      </c>
      <c r="G14364" t="s">
        <v>32613</v>
      </c>
      <c r="H14364" t="s">
        <v>32623</v>
      </c>
      <c r="I14364" t="s">
        <v>17648</v>
      </c>
      <c r="J14364" t="s">
        <v>41632</v>
      </c>
      <c r="K14364" t="s">
        <v>42650</v>
      </c>
      <c r="M14364" t="s">
        <v>44565</v>
      </c>
      <c r="N14364" t="s">
        <v>47304</v>
      </c>
      <c r="O14364" t="s">
        <v>47305</v>
      </c>
      <c r="Q14364">
        <v>0</v>
      </c>
      <c r="R14364" t="s">
        <v>47322</v>
      </c>
      <c r="S14364" t="s">
        <v>48218</v>
      </c>
      <c r="T14364" t="s">
        <v>49496</v>
      </c>
      <c r="U14364" t="s">
        <v>61424</v>
      </c>
      <c r="W14364" t="s">
        <v>44565</v>
      </c>
      <c r="X14364" t="s">
        <v>47324</v>
      </c>
    </row>
    <row r="14365" spans="1:24">
      <c r="A14365">
        <f>HYPERLINK("https://www.philgeps.gov.ph/GEPSNONPILOT/Tender/SplashBidNoticeAbstractUI.aspx?menuIndex=3&amp;refID=7164444&amp;Result=3","7164444")</f>
        <v>0</v>
      </c>
      <c r="B14365" t="s">
        <v>1559</v>
      </c>
      <c r="C14365" t="s">
        <v>17452</v>
      </c>
      <c r="D14365" t="s">
        <v>19032</v>
      </c>
      <c r="E14365" t="s">
        <v>17452</v>
      </c>
      <c r="F14365" t="s">
        <v>32606</v>
      </c>
      <c r="G14365" t="s">
        <v>32613</v>
      </c>
      <c r="H14365" t="s">
        <v>32623</v>
      </c>
      <c r="I14365" t="s">
        <v>17648</v>
      </c>
      <c r="J14365" t="s">
        <v>41633</v>
      </c>
      <c r="K14365" t="s">
        <v>42896</v>
      </c>
      <c r="M14365" t="s">
        <v>44565</v>
      </c>
      <c r="N14365" t="s">
        <v>47304</v>
      </c>
      <c r="O14365" t="s">
        <v>47305</v>
      </c>
      <c r="Q14365">
        <v>1</v>
      </c>
      <c r="R14365" t="s">
        <v>47322</v>
      </c>
      <c r="S14365" t="s">
        <v>48246</v>
      </c>
      <c r="T14365" t="s">
        <v>49496</v>
      </c>
      <c r="U14365" t="s">
        <v>61425</v>
      </c>
      <c r="W14365" t="s">
        <v>44565</v>
      </c>
      <c r="X14365" t="s">
        <v>47324</v>
      </c>
    </row>
    <row r="14366" spans="1:24">
      <c r="A14366">
        <f>HYPERLINK("https://www.philgeps.gov.ph/GEPSNONPILOT/Tender/SplashBidNoticeAbstractUI.aspx?menuIndex=3&amp;refID=7164426&amp;Result=3","7164426")</f>
        <v>0</v>
      </c>
      <c r="B14366" t="s">
        <v>3766</v>
      </c>
      <c r="C14366" t="s">
        <v>17453</v>
      </c>
      <c r="D14366" t="s">
        <v>18995</v>
      </c>
      <c r="E14366" t="s">
        <v>31230</v>
      </c>
      <c r="F14366" t="s">
        <v>32606</v>
      </c>
      <c r="G14366" t="s">
        <v>32613</v>
      </c>
      <c r="H14366" t="s">
        <v>14201</v>
      </c>
      <c r="I14366" t="s">
        <v>6931</v>
      </c>
      <c r="J14366" t="s">
        <v>41634</v>
      </c>
      <c r="K14366" t="s">
        <v>42623</v>
      </c>
      <c r="M14366" t="s">
        <v>47098</v>
      </c>
      <c r="N14366" t="s">
        <v>47304</v>
      </c>
      <c r="O14366" t="s">
        <v>47305</v>
      </c>
      <c r="P14366">
        <v>0</v>
      </c>
      <c r="Q14366">
        <v>0</v>
      </c>
      <c r="R14366" t="s">
        <v>47322</v>
      </c>
      <c r="S14366" t="s">
        <v>48156</v>
      </c>
      <c r="T14366" t="s">
        <v>48986</v>
      </c>
      <c r="U14366" t="s">
        <v>61426</v>
      </c>
      <c r="V14366" t="s">
        <v>64211</v>
      </c>
      <c r="W14366" t="s">
        <v>47098</v>
      </c>
      <c r="X14366" t="s">
        <v>47324</v>
      </c>
    </row>
    <row r="14367" spans="1:24">
      <c r="A14367">
        <f>HYPERLINK("https://www.philgeps.gov.ph/GEPSNONPILOT/Tender/SplashBidNoticeAbstractUI.aspx?menuIndex=3&amp;refID=7163996&amp;Result=3","7163996")</f>
        <v>0</v>
      </c>
      <c r="B14367" t="s">
        <v>3444</v>
      </c>
      <c r="C14367" t="s">
        <v>17454</v>
      </c>
      <c r="D14367" t="s">
        <v>19001</v>
      </c>
      <c r="E14367" t="s">
        <v>31231</v>
      </c>
      <c r="F14367" t="s">
        <v>32606</v>
      </c>
      <c r="G14367" t="s">
        <v>32613</v>
      </c>
      <c r="H14367" t="s">
        <v>14201</v>
      </c>
      <c r="I14367" t="s">
        <v>6931</v>
      </c>
      <c r="J14367" t="s">
        <v>41635</v>
      </c>
      <c r="K14367" t="s">
        <v>42648</v>
      </c>
      <c r="M14367" t="s">
        <v>46704</v>
      </c>
      <c r="N14367" t="s">
        <v>47304</v>
      </c>
      <c r="O14367" t="s">
        <v>47305</v>
      </c>
      <c r="Q14367">
        <v>2</v>
      </c>
      <c r="R14367" t="s">
        <v>47322</v>
      </c>
      <c r="S14367" t="s">
        <v>48247</v>
      </c>
      <c r="T14367" t="s">
        <v>48987</v>
      </c>
      <c r="U14367" t="s">
        <v>61427</v>
      </c>
      <c r="W14367" t="s">
        <v>64540</v>
      </c>
      <c r="X14367" t="s">
        <v>47325</v>
      </c>
    </row>
    <row r="14368" spans="1:24">
      <c r="A14368">
        <f>HYPERLINK("https://www.philgeps.gov.ph/GEPSNONPILOT/Tender/SplashBidNoticeAbstractUI.aspx?menuIndex=3&amp;refID=7164932&amp;Result=3","7164932")</f>
        <v>0</v>
      </c>
      <c r="B14368" t="s">
        <v>3764</v>
      </c>
      <c r="C14368" t="s">
        <v>17455</v>
      </c>
      <c r="D14368" t="s">
        <v>19050</v>
      </c>
      <c r="E14368" t="s">
        <v>31232</v>
      </c>
      <c r="F14368" t="s">
        <v>32606</v>
      </c>
      <c r="G14368" t="s">
        <v>32613</v>
      </c>
      <c r="H14368" t="s">
        <v>14201</v>
      </c>
      <c r="I14368" t="s">
        <v>32660</v>
      </c>
      <c r="J14368" t="s">
        <v>41636</v>
      </c>
      <c r="K14368" t="s">
        <v>42623</v>
      </c>
      <c r="M14368" t="s">
        <v>47096</v>
      </c>
      <c r="N14368" t="s">
        <v>47304</v>
      </c>
      <c r="O14368" t="s">
        <v>47305</v>
      </c>
      <c r="P14368">
        <v>0</v>
      </c>
      <c r="Q14368">
        <v>3</v>
      </c>
      <c r="R14368" t="s">
        <v>47322</v>
      </c>
      <c r="S14368" t="s">
        <v>48156</v>
      </c>
      <c r="T14368" t="s">
        <v>48979</v>
      </c>
      <c r="U14368" t="s">
        <v>61428</v>
      </c>
      <c r="W14368" t="s">
        <v>47096</v>
      </c>
      <c r="X14368" t="s">
        <v>47323</v>
      </c>
    </row>
    <row r="14369" spans="1:24">
      <c r="A14369">
        <f>HYPERLINK("https://www.philgeps.gov.ph/GEPSNONPILOT/Tender/SplashBidNoticeAbstractUI.aspx?menuIndex=3&amp;refID=7164697&amp;Result=3","7164697")</f>
        <v>0</v>
      </c>
      <c r="B14369" t="s">
        <v>1028</v>
      </c>
      <c r="C14369" t="s">
        <v>17456</v>
      </c>
      <c r="D14369" t="s">
        <v>19008</v>
      </c>
      <c r="E14369" t="s">
        <v>31233</v>
      </c>
      <c r="F14369" t="s">
        <v>32606</v>
      </c>
      <c r="G14369" t="s">
        <v>32613</v>
      </c>
      <c r="H14369" t="s">
        <v>14201</v>
      </c>
      <c r="I14369" t="s">
        <v>32633</v>
      </c>
      <c r="J14369" t="s">
        <v>41637</v>
      </c>
      <c r="K14369" t="s">
        <v>42631</v>
      </c>
      <c r="M14369" t="s">
        <v>43981</v>
      </c>
      <c r="N14369" t="s">
        <v>47304</v>
      </c>
      <c r="O14369" t="s">
        <v>47305</v>
      </c>
      <c r="P14369">
        <v>0</v>
      </c>
      <c r="Q14369">
        <v>12</v>
      </c>
      <c r="R14369" t="s">
        <v>47322</v>
      </c>
      <c r="S14369" t="s">
        <v>48156</v>
      </c>
      <c r="T14369" t="s">
        <v>49017</v>
      </c>
      <c r="U14369" t="s">
        <v>61429</v>
      </c>
      <c r="W14369" t="s">
        <v>43981</v>
      </c>
      <c r="X14369" t="s">
        <v>47323</v>
      </c>
    </row>
    <row r="14370" spans="1:24">
      <c r="A14370">
        <f>HYPERLINK("https://www.philgeps.gov.ph/GEPSNONPILOT/Tender/SplashBidNoticeAbstractUI.aspx?menuIndex=3&amp;refID=7164655&amp;Result=3","7164655")</f>
        <v>0</v>
      </c>
      <c r="B14370" t="s">
        <v>3767</v>
      </c>
      <c r="C14370" t="s">
        <v>17457</v>
      </c>
      <c r="D14370" t="s">
        <v>19000</v>
      </c>
      <c r="E14370" t="s">
        <v>31234</v>
      </c>
      <c r="F14370" t="s">
        <v>32606</v>
      </c>
      <c r="G14370" t="s">
        <v>32613</v>
      </c>
      <c r="H14370" t="s">
        <v>14201</v>
      </c>
      <c r="I14370" t="s">
        <v>7677</v>
      </c>
      <c r="J14370" t="s">
        <v>41638</v>
      </c>
      <c r="K14370" t="s">
        <v>42623</v>
      </c>
      <c r="M14370" t="s">
        <v>47099</v>
      </c>
      <c r="N14370" t="s">
        <v>47304</v>
      </c>
      <c r="O14370" t="s">
        <v>47305</v>
      </c>
      <c r="Q14370">
        <v>3</v>
      </c>
      <c r="R14370" t="s">
        <v>47322</v>
      </c>
      <c r="S14370" t="s">
        <v>48248</v>
      </c>
      <c r="T14370" t="s">
        <v>49268</v>
      </c>
      <c r="U14370" t="s">
        <v>61430</v>
      </c>
      <c r="W14370" t="s">
        <v>47099</v>
      </c>
      <c r="X14370" t="s">
        <v>47323</v>
      </c>
    </row>
    <row r="14371" spans="1:24">
      <c r="A14371">
        <f>HYPERLINK("https://www.philgeps.gov.ph/GEPSNONPILOT/Tender/SplashBidNoticeAbstractUI.aspx?menuIndex=3&amp;refID=7163963&amp;Result=3","7163963")</f>
        <v>0</v>
      </c>
      <c r="B14371" t="s">
        <v>3768</v>
      </c>
      <c r="C14371" t="s">
        <v>17458</v>
      </c>
      <c r="D14371" t="s">
        <v>19040</v>
      </c>
      <c r="E14371" t="s">
        <v>31235</v>
      </c>
      <c r="F14371" t="s">
        <v>32606</v>
      </c>
      <c r="G14371" t="s">
        <v>32613</v>
      </c>
      <c r="H14371" t="s">
        <v>14201</v>
      </c>
      <c r="I14371" t="s">
        <v>17648</v>
      </c>
      <c r="J14371" t="s">
        <v>34667</v>
      </c>
      <c r="K14371" t="s">
        <v>42636</v>
      </c>
      <c r="M14371" t="s">
        <v>47100</v>
      </c>
      <c r="N14371" t="s">
        <v>47304</v>
      </c>
      <c r="O14371" t="s">
        <v>47305</v>
      </c>
      <c r="P14371">
        <v>0</v>
      </c>
      <c r="Q14371">
        <v>0</v>
      </c>
      <c r="R14371" t="s">
        <v>47322</v>
      </c>
      <c r="S14371" t="s">
        <v>48156</v>
      </c>
      <c r="T14371" t="s">
        <v>49108</v>
      </c>
      <c r="U14371" t="s">
        <v>61431</v>
      </c>
      <c r="V14371" t="s">
        <v>64212</v>
      </c>
      <c r="W14371" t="s">
        <v>47100</v>
      </c>
      <c r="X14371" t="s">
        <v>47325</v>
      </c>
    </row>
    <row r="14372" spans="1:24">
      <c r="A14372">
        <f>HYPERLINK("https://www.philgeps.gov.ph/GEPSNONPILOT/Tender/SplashBidNoticeAbstractUI.aspx?menuIndex=3&amp;refID=7164621&amp;Result=3","7164621")</f>
        <v>0</v>
      </c>
      <c r="B14372" t="s">
        <v>268</v>
      </c>
      <c r="C14372" t="s">
        <v>17459</v>
      </c>
      <c r="D14372" t="s">
        <v>18993</v>
      </c>
      <c r="E14372" t="s">
        <v>31236</v>
      </c>
      <c r="F14372" t="s">
        <v>32606</v>
      </c>
      <c r="G14372" t="s">
        <v>32613</v>
      </c>
      <c r="H14372" t="s">
        <v>14201</v>
      </c>
      <c r="I14372" t="s">
        <v>4369</v>
      </c>
      <c r="J14372" t="s">
        <v>41639</v>
      </c>
      <c r="K14372" t="s">
        <v>42631</v>
      </c>
      <c r="M14372" t="s">
        <v>47101</v>
      </c>
      <c r="N14372" t="s">
        <v>47304</v>
      </c>
      <c r="O14372" t="s">
        <v>47305</v>
      </c>
      <c r="Q14372">
        <v>19</v>
      </c>
      <c r="R14372" t="s">
        <v>47322</v>
      </c>
      <c r="S14372" t="s">
        <v>48249</v>
      </c>
      <c r="T14372" t="s">
        <v>49018</v>
      </c>
      <c r="U14372" t="s">
        <v>61432</v>
      </c>
      <c r="W14372" t="s">
        <v>47101</v>
      </c>
      <c r="X14372" t="s">
        <v>47324</v>
      </c>
    </row>
    <row r="14373" spans="1:24">
      <c r="A14373">
        <f>HYPERLINK("https://www.philgeps.gov.ph/GEPSNONPILOT/Tender/SplashBidNoticeAbstractUI.aspx?menuIndex=3&amp;refID=7164027&amp;Result=3","7164027")</f>
        <v>0</v>
      </c>
      <c r="B14373" t="s">
        <v>1008</v>
      </c>
      <c r="C14373" t="s">
        <v>17460</v>
      </c>
      <c r="D14373" t="s">
        <v>19005</v>
      </c>
      <c r="E14373" t="s">
        <v>31237</v>
      </c>
      <c r="F14373" t="s">
        <v>32606</v>
      </c>
      <c r="G14373" t="s">
        <v>32613</v>
      </c>
      <c r="H14373" t="s">
        <v>14201</v>
      </c>
      <c r="I14373" t="s">
        <v>32662</v>
      </c>
      <c r="J14373" t="s">
        <v>41640</v>
      </c>
      <c r="K14373" t="s">
        <v>42624</v>
      </c>
      <c r="M14373" t="s">
        <v>47032</v>
      </c>
      <c r="N14373" t="s">
        <v>47304</v>
      </c>
      <c r="O14373" t="s">
        <v>47305</v>
      </c>
      <c r="Q14373">
        <v>42</v>
      </c>
      <c r="R14373" t="s">
        <v>47322</v>
      </c>
      <c r="S14373" t="s">
        <v>48250</v>
      </c>
      <c r="T14373" t="s">
        <v>49016</v>
      </c>
      <c r="U14373" t="s">
        <v>61433</v>
      </c>
      <c r="W14373" t="s">
        <v>47032</v>
      </c>
      <c r="X14373" t="s">
        <v>47325</v>
      </c>
    </row>
    <row r="14374" spans="1:24">
      <c r="A14374">
        <f>HYPERLINK("https://www.philgeps.gov.ph/GEPSNONPILOT/Tender/SplashBidNoticeAbstractUI.aspx?menuIndex=3&amp;refID=7158943&amp;Result=3","7158943")</f>
        <v>0</v>
      </c>
      <c r="B14374" t="s">
        <v>3769</v>
      </c>
      <c r="C14374" t="s">
        <v>17461</v>
      </c>
      <c r="D14374" t="s">
        <v>19026</v>
      </c>
      <c r="E14374" t="s">
        <v>31238</v>
      </c>
      <c r="F14374" t="s">
        <v>32606</v>
      </c>
      <c r="G14374" t="s">
        <v>32613</v>
      </c>
      <c r="H14374" t="s">
        <v>32623</v>
      </c>
      <c r="I14374" t="s">
        <v>17648</v>
      </c>
      <c r="J14374" t="s">
        <v>38364</v>
      </c>
      <c r="K14374" t="s">
        <v>42897</v>
      </c>
      <c r="M14374" t="s">
        <v>47102</v>
      </c>
      <c r="N14374" t="s">
        <v>47304</v>
      </c>
      <c r="O14374" t="s">
        <v>47305</v>
      </c>
      <c r="P14374">
        <v>0</v>
      </c>
      <c r="Q14374">
        <v>3</v>
      </c>
      <c r="R14374" t="s">
        <v>47325</v>
      </c>
      <c r="S14374" t="s">
        <v>48215</v>
      </c>
      <c r="T14374" t="s">
        <v>49257</v>
      </c>
      <c r="U14374" t="s">
        <v>61434</v>
      </c>
      <c r="W14374" t="s">
        <v>47102</v>
      </c>
      <c r="X14374" t="s">
        <v>47326</v>
      </c>
    </row>
    <row r="14375" spans="1:24">
      <c r="A14375">
        <f>HYPERLINK("https://www.philgeps.gov.ph/GEPSNONPILOT/Tender/SplashBidNoticeAbstractUI.aspx?menuIndex=3&amp;refID=7158927&amp;Result=3","7158927")</f>
        <v>0</v>
      </c>
      <c r="B14375" t="s">
        <v>828</v>
      </c>
      <c r="C14375" t="s">
        <v>17462</v>
      </c>
      <c r="D14375" t="s">
        <v>19030</v>
      </c>
      <c r="E14375" t="s">
        <v>31239</v>
      </c>
      <c r="F14375" t="s">
        <v>32606</v>
      </c>
      <c r="G14375" t="s">
        <v>32618</v>
      </c>
      <c r="H14375" t="s">
        <v>32623</v>
      </c>
      <c r="I14375" t="s">
        <v>17648</v>
      </c>
      <c r="J14375" t="s">
        <v>41641</v>
      </c>
      <c r="K14375" t="s">
        <v>42898</v>
      </c>
      <c r="M14375" t="s">
        <v>43759</v>
      </c>
      <c r="N14375" t="s">
        <v>47304</v>
      </c>
      <c r="O14375" t="s">
        <v>47305</v>
      </c>
      <c r="Q14375">
        <v>1</v>
      </c>
      <c r="R14375" t="s">
        <v>47325</v>
      </c>
      <c r="S14375" t="s">
        <v>48143</v>
      </c>
      <c r="T14375" t="s">
        <v>49017</v>
      </c>
      <c r="U14375" t="s">
        <v>61435</v>
      </c>
      <c r="W14375" t="s">
        <v>43759</v>
      </c>
      <c r="X14375" t="s">
        <v>47326</v>
      </c>
    </row>
    <row r="14376" spans="1:24">
      <c r="A14376">
        <f>HYPERLINK("https://www.philgeps.gov.ph/GEPSNONPILOT/Tender/SplashBidNoticeAbstractUI.aspx?menuIndex=3&amp;refID=7163994&amp;Result=3","7163994")</f>
        <v>0</v>
      </c>
      <c r="B14376" t="s">
        <v>1008</v>
      </c>
      <c r="C14376" t="s">
        <v>17463</v>
      </c>
      <c r="D14376" t="s">
        <v>19005</v>
      </c>
      <c r="E14376" t="s">
        <v>31240</v>
      </c>
      <c r="F14376" t="s">
        <v>32606</v>
      </c>
      <c r="G14376" t="s">
        <v>32613</v>
      </c>
      <c r="H14376" t="s">
        <v>32623</v>
      </c>
      <c r="I14376" t="s">
        <v>17648</v>
      </c>
      <c r="J14376" t="s">
        <v>41642</v>
      </c>
      <c r="K14376" t="s">
        <v>42624</v>
      </c>
      <c r="M14376" t="s">
        <v>47032</v>
      </c>
      <c r="N14376" t="s">
        <v>47304</v>
      </c>
      <c r="O14376" t="s">
        <v>47305</v>
      </c>
      <c r="Q14376">
        <v>3</v>
      </c>
      <c r="R14376" t="s">
        <v>47322</v>
      </c>
      <c r="S14376" t="s">
        <v>48161</v>
      </c>
      <c r="T14376" t="s">
        <v>49016</v>
      </c>
      <c r="U14376" t="s">
        <v>61436</v>
      </c>
      <c r="W14376" t="s">
        <v>47032</v>
      </c>
      <c r="X14376" t="s">
        <v>47325</v>
      </c>
    </row>
    <row r="14377" spans="1:24">
      <c r="A14377">
        <f>HYPERLINK("https://www.philgeps.gov.ph/GEPSNONPILOT/Tender/SplashBidNoticeAbstractUI.aspx?menuIndex=3&amp;refID=7163989&amp;Result=3","7163989")</f>
        <v>0</v>
      </c>
      <c r="B14377" t="s">
        <v>1895</v>
      </c>
      <c r="C14377" t="s">
        <v>17464</v>
      </c>
      <c r="D14377" t="s">
        <v>19034</v>
      </c>
      <c r="E14377" t="s">
        <v>31241</v>
      </c>
      <c r="F14377" t="s">
        <v>32606</v>
      </c>
      <c r="G14377" t="s">
        <v>32613</v>
      </c>
      <c r="H14377" t="s">
        <v>14201</v>
      </c>
      <c r="I14377" t="s">
        <v>32633</v>
      </c>
      <c r="J14377" t="s">
        <v>32781</v>
      </c>
      <c r="K14377" t="s">
        <v>42648</v>
      </c>
      <c r="M14377" t="s">
        <v>44954</v>
      </c>
      <c r="N14377" t="s">
        <v>47304</v>
      </c>
      <c r="O14377" t="s">
        <v>47305</v>
      </c>
      <c r="P14377">
        <v>0</v>
      </c>
      <c r="Q14377">
        <v>3</v>
      </c>
      <c r="R14377" t="s">
        <v>47322</v>
      </c>
      <c r="S14377" t="s">
        <v>48156</v>
      </c>
      <c r="T14377" t="s">
        <v>48998</v>
      </c>
      <c r="U14377" t="s">
        <v>54140</v>
      </c>
      <c r="W14377" t="s">
        <v>44954</v>
      </c>
      <c r="X14377" t="s">
        <v>47325</v>
      </c>
    </row>
    <row r="14378" spans="1:24">
      <c r="A14378">
        <f>HYPERLINK("https://www.philgeps.gov.ph/GEPSNONPILOT/Tender/SplashBidNoticeAbstractUI.aspx?menuIndex=3&amp;refID=7158920&amp;Result=3","7158920")</f>
        <v>0</v>
      </c>
      <c r="B14378" t="s">
        <v>396</v>
      </c>
      <c r="C14378" t="s">
        <v>17465</v>
      </c>
      <c r="D14378" t="s">
        <v>19038</v>
      </c>
      <c r="E14378" t="s">
        <v>31242</v>
      </c>
      <c r="F14378" t="s">
        <v>32606</v>
      </c>
      <c r="G14378" t="s">
        <v>32613</v>
      </c>
      <c r="H14378" t="s">
        <v>32623</v>
      </c>
      <c r="I14378" t="s">
        <v>17648</v>
      </c>
      <c r="J14378" t="s">
        <v>41643</v>
      </c>
      <c r="K14378" t="s">
        <v>42712</v>
      </c>
      <c r="M14378" t="s">
        <v>45261</v>
      </c>
      <c r="N14378" t="s">
        <v>47304</v>
      </c>
      <c r="O14378" t="s">
        <v>47305</v>
      </c>
      <c r="Q14378">
        <v>0</v>
      </c>
      <c r="R14378" t="s">
        <v>47325</v>
      </c>
      <c r="S14378" t="s">
        <v>48251</v>
      </c>
      <c r="T14378" t="s">
        <v>48998</v>
      </c>
      <c r="U14378" t="s">
        <v>61374</v>
      </c>
      <c r="V14378" t="s">
        <v>64213</v>
      </c>
      <c r="W14378" t="s">
        <v>45261</v>
      </c>
      <c r="X14378" t="s">
        <v>47326</v>
      </c>
    </row>
    <row r="14379" spans="1:24">
      <c r="A14379">
        <f>HYPERLINK("https://www.philgeps.gov.ph/GEPSNONPILOT/Tender/SplashBidNoticeAbstractUI.aspx?menuIndex=3&amp;refID=7158889&amp;Result=3","7158889")</f>
        <v>0</v>
      </c>
      <c r="B14379" t="s">
        <v>3770</v>
      </c>
      <c r="C14379" t="s">
        <v>17466</v>
      </c>
      <c r="D14379" t="s">
        <v>19019</v>
      </c>
      <c r="E14379" t="s">
        <v>31243</v>
      </c>
      <c r="F14379" t="s">
        <v>32606</v>
      </c>
      <c r="G14379" t="s">
        <v>32613</v>
      </c>
      <c r="H14379" t="s">
        <v>14201</v>
      </c>
      <c r="I14379" t="s">
        <v>4678</v>
      </c>
      <c r="J14379" t="s">
        <v>33936</v>
      </c>
      <c r="K14379" t="s">
        <v>42627</v>
      </c>
      <c r="M14379" t="s">
        <v>47103</v>
      </c>
      <c r="N14379" t="s">
        <v>47304</v>
      </c>
      <c r="O14379" t="s">
        <v>47305</v>
      </c>
      <c r="P14379">
        <v>0</v>
      </c>
      <c r="Q14379">
        <v>7</v>
      </c>
      <c r="R14379" t="s">
        <v>47325</v>
      </c>
      <c r="S14379" t="s">
        <v>48215</v>
      </c>
      <c r="T14379" t="s">
        <v>49256</v>
      </c>
      <c r="U14379" t="s">
        <v>61437</v>
      </c>
      <c r="W14379" t="s">
        <v>47103</v>
      </c>
      <c r="X14379" t="s">
        <v>47326</v>
      </c>
    </row>
    <row r="14380" spans="1:24">
      <c r="A14380">
        <f>HYPERLINK("https://www.philgeps.gov.ph/GEPSNONPILOT/Tender/SplashBidNoticeAbstractUI.aspx?menuIndex=3&amp;refID=7164044&amp;Result=3","7164044")</f>
        <v>0</v>
      </c>
      <c r="B14380" t="s">
        <v>3718</v>
      </c>
      <c r="C14380" t="s">
        <v>17467</v>
      </c>
      <c r="D14380" t="s">
        <v>19041</v>
      </c>
      <c r="E14380" t="s">
        <v>31244</v>
      </c>
      <c r="F14380" t="s">
        <v>32606</v>
      </c>
      <c r="G14380" t="s">
        <v>32613</v>
      </c>
      <c r="H14380" t="s">
        <v>14201</v>
      </c>
      <c r="I14380" t="s">
        <v>7064</v>
      </c>
      <c r="J14380" t="s">
        <v>32769</v>
      </c>
      <c r="K14380" t="s">
        <v>42627</v>
      </c>
      <c r="M14380" t="s">
        <v>47033</v>
      </c>
      <c r="N14380" t="s">
        <v>47304</v>
      </c>
      <c r="O14380" t="s">
        <v>47305</v>
      </c>
      <c r="P14380">
        <v>0</v>
      </c>
      <c r="Q14380">
        <v>13</v>
      </c>
      <c r="R14380" t="s">
        <v>47322</v>
      </c>
      <c r="S14380" t="s">
        <v>48156</v>
      </c>
      <c r="T14380" t="s">
        <v>49505</v>
      </c>
      <c r="U14380" t="s">
        <v>61438</v>
      </c>
      <c r="W14380" t="s">
        <v>47033</v>
      </c>
      <c r="X14380" t="s">
        <v>47325</v>
      </c>
    </row>
    <row r="14381" spans="1:24">
      <c r="A14381">
        <f>HYPERLINK("https://www.philgeps.gov.ph/GEPSNONPILOT/Tender/SplashBidNoticeAbstractUI.aspx?menuIndex=3&amp;refID=7158885&amp;Result=3","7158885")</f>
        <v>0</v>
      </c>
      <c r="B14381" t="s">
        <v>3771</v>
      </c>
      <c r="C14381" t="s">
        <v>17468</v>
      </c>
      <c r="D14381" t="s">
        <v>19009</v>
      </c>
      <c r="E14381" t="s">
        <v>31245</v>
      </c>
      <c r="F14381" t="s">
        <v>32606</v>
      </c>
      <c r="G14381" t="s">
        <v>32613</v>
      </c>
      <c r="H14381" t="s">
        <v>32623</v>
      </c>
      <c r="I14381" t="s">
        <v>17648</v>
      </c>
      <c r="J14381" t="s">
        <v>38385</v>
      </c>
      <c r="K14381" t="s">
        <v>42631</v>
      </c>
      <c r="M14381" t="s">
        <v>47104</v>
      </c>
      <c r="N14381" t="s">
        <v>47304</v>
      </c>
      <c r="O14381" t="s">
        <v>47305</v>
      </c>
      <c r="P14381">
        <v>0</v>
      </c>
      <c r="Q14381">
        <v>0</v>
      </c>
      <c r="R14381" t="s">
        <v>47325</v>
      </c>
      <c r="S14381" t="s">
        <v>48215</v>
      </c>
      <c r="T14381" t="s">
        <v>49165</v>
      </c>
      <c r="U14381" t="s">
        <v>61439</v>
      </c>
      <c r="V14381" t="s">
        <v>64214</v>
      </c>
      <c r="W14381" t="s">
        <v>47104</v>
      </c>
      <c r="X14381" t="s">
        <v>47326</v>
      </c>
    </row>
    <row r="14382" spans="1:24">
      <c r="A14382">
        <f>HYPERLINK("https://www.philgeps.gov.ph/GEPSNONPILOT/Tender/SplashBidNoticeAbstractUI.aspx?menuIndex=3&amp;refID=7158878&amp;Result=3","7158878")</f>
        <v>0</v>
      </c>
      <c r="B14382" t="s">
        <v>2339</v>
      </c>
      <c r="C14382" t="s">
        <v>17469</v>
      </c>
      <c r="D14382" t="s">
        <v>19018</v>
      </c>
      <c r="E14382" t="s">
        <v>31246</v>
      </c>
      <c r="F14382" t="s">
        <v>32606</v>
      </c>
      <c r="G14382" t="s">
        <v>32613</v>
      </c>
      <c r="H14382" t="s">
        <v>14201</v>
      </c>
      <c r="I14382" t="s">
        <v>32635</v>
      </c>
      <c r="J14382" t="s">
        <v>32821</v>
      </c>
      <c r="K14382" t="s">
        <v>42631</v>
      </c>
      <c r="M14382" t="s">
        <v>45449</v>
      </c>
      <c r="N14382" t="s">
        <v>47304</v>
      </c>
      <c r="O14382" t="s">
        <v>47305</v>
      </c>
      <c r="P14382">
        <v>0</v>
      </c>
      <c r="Q14382">
        <v>4</v>
      </c>
      <c r="R14382" t="s">
        <v>47325</v>
      </c>
      <c r="S14382" t="s">
        <v>48215</v>
      </c>
      <c r="T14382" t="s">
        <v>48987</v>
      </c>
      <c r="U14382" t="s">
        <v>61440</v>
      </c>
      <c r="W14382" t="s">
        <v>45449</v>
      </c>
      <c r="X14382" t="s">
        <v>47326</v>
      </c>
    </row>
    <row r="14383" spans="1:24">
      <c r="A14383">
        <f>HYPERLINK("https://www.philgeps.gov.ph/GEPSNONPILOT/Tender/SplashBidNoticeAbstractUI.aspx?menuIndex=3&amp;refID=7158922&amp;Result=3","7158922")</f>
        <v>0</v>
      </c>
      <c r="B14383" t="s">
        <v>234</v>
      </c>
      <c r="C14383" t="s">
        <v>17470</v>
      </c>
      <c r="D14383" t="s">
        <v>19052</v>
      </c>
      <c r="E14383" t="s">
        <v>31247</v>
      </c>
      <c r="F14383" t="s">
        <v>32606</v>
      </c>
      <c r="G14383" t="s">
        <v>32613</v>
      </c>
      <c r="H14383" t="s">
        <v>32623</v>
      </c>
      <c r="I14383" t="s">
        <v>17648</v>
      </c>
      <c r="J14383" t="s">
        <v>41644</v>
      </c>
      <c r="K14383" t="s">
        <v>42676</v>
      </c>
      <c r="M14383" t="s">
        <v>43135</v>
      </c>
      <c r="N14383" t="s">
        <v>47304</v>
      </c>
      <c r="O14383" t="s">
        <v>47305</v>
      </c>
      <c r="P14383">
        <v>0</v>
      </c>
      <c r="Q14383">
        <v>0</v>
      </c>
      <c r="R14383" t="s">
        <v>47325</v>
      </c>
      <c r="S14383" t="s">
        <v>48215</v>
      </c>
      <c r="T14383" t="s">
        <v>49020</v>
      </c>
      <c r="U14383" t="s">
        <v>61441</v>
      </c>
      <c r="V14383" t="s">
        <v>62641</v>
      </c>
      <c r="W14383" t="s">
        <v>43135</v>
      </c>
      <c r="X14383" t="s">
        <v>47326</v>
      </c>
    </row>
    <row r="14384" spans="1:24">
      <c r="A14384">
        <f>HYPERLINK("https://www.philgeps.gov.ph/GEPSNONPILOT/Tender/SplashBidNoticeAbstractUI.aspx?menuIndex=3&amp;refID=7164371&amp;Result=3","7164371")</f>
        <v>0</v>
      </c>
      <c r="B14384" t="s">
        <v>3772</v>
      </c>
      <c r="C14384" t="s">
        <v>17471</v>
      </c>
      <c r="D14384" t="s">
        <v>19024</v>
      </c>
      <c r="E14384" t="s">
        <v>31248</v>
      </c>
      <c r="F14384" t="s">
        <v>32606</v>
      </c>
      <c r="G14384" t="s">
        <v>32613</v>
      </c>
      <c r="H14384" t="s">
        <v>14201</v>
      </c>
      <c r="I14384" t="s">
        <v>7064</v>
      </c>
      <c r="J14384" t="s">
        <v>33022</v>
      </c>
      <c r="K14384" t="s">
        <v>42631</v>
      </c>
      <c r="M14384" t="s">
        <v>47105</v>
      </c>
      <c r="N14384" t="s">
        <v>47304</v>
      </c>
      <c r="O14384" t="s">
        <v>47305</v>
      </c>
      <c r="P14384">
        <v>0</v>
      </c>
      <c r="Q14384">
        <v>1</v>
      </c>
      <c r="R14384" t="s">
        <v>47323</v>
      </c>
      <c r="S14384" t="s">
        <v>48180</v>
      </c>
      <c r="T14384" t="s">
        <v>49023</v>
      </c>
      <c r="U14384" t="s">
        <v>61442</v>
      </c>
      <c r="V14384" t="s">
        <v>64209</v>
      </c>
      <c r="W14384" t="s">
        <v>47105</v>
      </c>
      <c r="X14384" t="s">
        <v>47324</v>
      </c>
    </row>
    <row r="14385" spans="1:24">
      <c r="A14385">
        <f>HYPERLINK("https://www.philgeps.gov.ph/GEPSNONPILOT/Tender/SplashBidNoticeAbstractUI.aspx?menuIndex=3&amp;refID=7158870&amp;Result=3","7158870")</f>
        <v>0</v>
      </c>
      <c r="B14385" t="s">
        <v>1745</v>
      </c>
      <c r="C14385" t="s">
        <v>17472</v>
      </c>
      <c r="D14385" t="s">
        <v>18988</v>
      </c>
      <c r="E14385" t="s">
        <v>31249</v>
      </c>
      <c r="F14385" t="s">
        <v>32606</v>
      </c>
      <c r="G14385" t="s">
        <v>32613</v>
      </c>
      <c r="H14385" t="s">
        <v>14201</v>
      </c>
      <c r="I14385" t="s">
        <v>32626</v>
      </c>
      <c r="J14385" t="s">
        <v>34069</v>
      </c>
      <c r="K14385" t="s">
        <v>42622</v>
      </c>
      <c r="M14385" t="s">
        <v>44779</v>
      </c>
      <c r="N14385" t="s">
        <v>47304</v>
      </c>
      <c r="O14385" t="s">
        <v>47305</v>
      </c>
      <c r="P14385">
        <v>0</v>
      </c>
      <c r="Q14385">
        <v>0</v>
      </c>
      <c r="R14385" t="s">
        <v>47325</v>
      </c>
      <c r="S14385" t="s">
        <v>48215</v>
      </c>
      <c r="T14385" t="s">
        <v>49084</v>
      </c>
      <c r="U14385" t="s">
        <v>61443</v>
      </c>
      <c r="W14385" t="s">
        <v>44779</v>
      </c>
      <c r="X14385" t="s">
        <v>47326</v>
      </c>
    </row>
    <row r="14386" spans="1:24">
      <c r="A14386">
        <f>HYPERLINK("https://www.philgeps.gov.ph/GEPSNONPILOT/Tender/SplashBidNoticeAbstractUI.aspx?menuIndex=3&amp;refID=7158852&amp;Result=3","7158852")</f>
        <v>0</v>
      </c>
      <c r="B14386" t="s">
        <v>234</v>
      </c>
      <c r="C14386" t="s">
        <v>17473</v>
      </c>
      <c r="D14386" t="s">
        <v>19052</v>
      </c>
      <c r="E14386" t="s">
        <v>31250</v>
      </c>
      <c r="F14386" t="s">
        <v>32606</v>
      </c>
      <c r="G14386" t="s">
        <v>32613</v>
      </c>
      <c r="H14386" t="s">
        <v>32623</v>
      </c>
      <c r="I14386" t="s">
        <v>17648</v>
      </c>
      <c r="J14386" t="s">
        <v>41645</v>
      </c>
      <c r="K14386" t="s">
        <v>42722</v>
      </c>
      <c r="M14386" t="s">
        <v>43135</v>
      </c>
      <c r="N14386" t="s">
        <v>47304</v>
      </c>
      <c r="O14386" t="s">
        <v>47305</v>
      </c>
      <c r="P14386">
        <v>0</v>
      </c>
      <c r="Q14386">
        <v>1</v>
      </c>
      <c r="R14386" t="s">
        <v>47325</v>
      </c>
      <c r="S14386" t="s">
        <v>48215</v>
      </c>
      <c r="T14386" t="s">
        <v>49020</v>
      </c>
      <c r="U14386" t="s">
        <v>61444</v>
      </c>
      <c r="V14386" t="s">
        <v>62641</v>
      </c>
      <c r="W14386" t="s">
        <v>43135</v>
      </c>
      <c r="X14386" t="s">
        <v>47326</v>
      </c>
    </row>
    <row r="14387" spans="1:24">
      <c r="A14387">
        <f>HYPERLINK("https://www.philgeps.gov.ph/GEPSNONPILOT/Tender/SplashBidNoticeAbstractUI.aspx?menuIndex=3&amp;refID=7158918&amp;Result=3","7158918")</f>
        <v>0</v>
      </c>
      <c r="B14387" t="s">
        <v>1262</v>
      </c>
      <c r="C14387" t="s">
        <v>17474</v>
      </c>
      <c r="D14387" t="s">
        <v>19021</v>
      </c>
      <c r="E14387" t="s">
        <v>31251</v>
      </c>
      <c r="F14387" t="s">
        <v>32606</v>
      </c>
      <c r="G14387" t="s">
        <v>32613</v>
      </c>
      <c r="H14387" t="s">
        <v>32623</v>
      </c>
      <c r="I14387" t="s">
        <v>32652</v>
      </c>
      <c r="J14387" t="s">
        <v>32772</v>
      </c>
      <c r="K14387" t="s">
        <v>42666</v>
      </c>
      <c r="M14387" t="s">
        <v>44230</v>
      </c>
      <c r="N14387" t="s">
        <v>47304</v>
      </c>
      <c r="O14387" t="s">
        <v>47305</v>
      </c>
      <c r="P14387">
        <v>0</v>
      </c>
      <c r="Q14387">
        <v>1</v>
      </c>
      <c r="R14387" t="s">
        <v>47325</v>
      </c>
      <c r="S14387" t="s">
        <v>48215</v>
      </c>
      <c r="T14387" t="s">
        <v>49068</v>
      </c>
      <c r="U14387" t="s">
        <v>61445</v>
      </c>
      <c r="V14387" t="s">
        <v>63257</v>
      </c>
      <c r="W14387" t="s">
        <v>44230</v>
      </c>
      <c r="X14387" t="s">
        <v>47326</v>
      </c>
    </row>
    <row r="14388" spans="1:24">
      <c r="A14388">
        <f>HYPERLINK("https://www.philgeps.gov.ph/GEPSNONPILOT/Tender/SplashBidNoticeAbstractUI.aspx?menuIndex=3&amp;refID=7158901&amp;Result=3","7158901")</f>
        <v>0</v>
      </c>
      <c r="B14388" t="s">
        <v>844</v>
      </c>
      <c r="C14388" t="s">
        <v>17475</v>
      </c>
      <c r="D14388" t="s">
        <v>19056</v>
      </c>
      <c r="E14388" t="s">
        <v>31252</v>
      </c>
      <c r="F14388" t="s">
        <v>32606</v>
      </c>
      <c r="G14388" t="s">
        <v>32613</v>
      </c>
      <c r="H14388" t="s">
        <v>32623</v>
      </c>
      <c r="I14388" t="s">
        <v>17648</v>
      </c>
      <c r="J14388" t="s">
        <v>41646</v>
      </c>
      <c r="K14388" t="s">
        <v>42735</v>
      </c>
      <c r="L14388" t="s">
        <v>844</v>
      </c>
      <c r="M14388" t="s">
        <v>43776</v>
      </c>
      <c r="N14388" t="s">
        <v>47304</v>
      </c>
      <c r="O14388" t="s">
        <v>47305</v>
      </c>
      <c r="P14388">
        <v>0</v>
      </c>
      <c r="Q14388">
        <v>1</v>
      </c>
      <c r="R14388" t="s">
        <v>47325</v>
      </c>
      <c r="S14388" t="s">
        <v>48215</v>
      </c>
      <c r="T14388" t="s">
        <v>49071</v>
      </c>
      <c r="U14388" t="s">
        <v>61446</v>
      </c>
      <c r="V14388" t="s">
        <v>63249</v>
      </c>
      <c r="W14388" t="s">
        <v>43776</v>
      </c>
      <c r="X14388" t="s">
        <v>47326</v>
      </c>
    </row>
    <row r="14389" spans="1:24">
      <c r="A14389">
        <f>HYPERLINK("https://www.philgeps.gov.ph/GEPSNONPILOT/Tender/SplashBidNoticeAbstractUI.aspx?menuIndex=3&amp;refID=7158978&amp;Result=3","7158978")</f>
        <v>0</v>
      </c>
      <c r="B14389" t="s">
        <v>844</v>
      </c>
      <c r="C14389" t="s">
        <v>17476</v>
      </c>
      <c r="D14389" t="s">
        <v>19056</v>
      </c>
      <c r="E14389" t="s">
        <v>31253</v>
      </c>
      <c r="F14389" t="s">
        <v>32606</v>
      </c>
      <c r="G14389" t="s">
        <v>32613</v>
      </c>
      <c r="H14389" t="s">
        <v>32623</v>
      </c>
      <c r="I14389" t="s">
        <v>17648</v>
      </c>
      <c r="J14389" t="s">
        <v>41647</v>
      </c>
      <c r="K14389" t="s">
        <v>42808</v>
      </c>
      <c r="L14389" t="s">
        <v>844</v>
      </c>
      <c r="M14389" t="s">
        <v>43776</v>
      </c>
      <c r="N14389" t="s">
        <v>47304</v>
      </c>
      <c r="O14389" t="s">
        <v>47305</v>
      </c>
      <c r="P14389">
        <v>0</v>
      </c>
      <c r="Q14389">
        <v>1</v>
      </c>
      <c r="R14389" t="s">
        <v>47325</v>
      </c>
      <c r="S14389" t="s">
        <v>48215</v>
      </c>
      <c r="T14389" t="s">
        <v>49071</v>
      </c>
      <c r="U14389" t="s">
        <v>61447</v>
      </c>
      <c r="V14389" t="s">
        <v>63249</v>
      </c>
      <c r="W14389" t="s">
        <v>43776</v>
      </c>
      <c r="X14389" t="s">
        <v>47326</v>
      </c>
    </row>
    <row r="14390" spans="1:24">
      <c r="A14390">
        <f>HYPERLINK("https://www.philgeps.gov.ph/GEPSNONPILOT/Tender/SplashBidNoticeAbstractUI.aspx?menuIndex=3&amp;refID=7158875&amp;Result=3","7158875")</f>
        <v>0</v>
      </c>
      <c r="B14390" t="s">
        <v>844</v>
      </c>
      <c r="C14390" t="s">
        <v>17477</v>
      </c>
      <c r="D14390" t="s">
        <v>19056</v>
      </c>
      <c r="E14390" t="s">
        <v>31254</v>
      </c>
      <c r="F14390" t="s">
        <v>32606</v>
      </c>
      <c r="G14390" t="s">
        <v>32613</v>
      </c>
      <c r="H14390" t="s">
        <v>32623</v>
      </c>
      <c r="I14390" t="s">
        <v>17648</v>
      </c>
      <c r="J14390" t="s">
        <v>41648</v>
      </c>
      <c r="K14390" t="s">
        <v>42831</v>
      </c>
      <c r="L14390" t="s">
        <v>844</v>
      </c>
      <c r="M14390" t="s">
        <v>43776</v>
      </c>
      <c r="N14390" t="s">
        <v>47304</v>
      </c>
      <c r="O14390" t="s">
        <v>47305</v>
      </c>
      <c r="P14390">
        <v>0</v>
      </c>
      <c r="Q14390">
        <v>1</v>
      </c>
      <c r="R14390" t="s">
        <v>47325</v>
      </c>
      <c r="S14390" t="s">
        <v>48215</v>
      </c>
      <c r="T14390" t="s">
        <v>49071</v>
      </c>
      <c r="U14390" t="s">
        <v>61448</v>
      </c>
      <c r="V14390" t="s">
        <v>63249</v>
      </c>
      <c r="W14390" t="s">
        <v>43776</v>
      </c>
      <c r="X14390" t="s">
        <v>47326</v>
      </c>
    </row>
    <row r="14391" spans="1:24">
      <c r="A14391">
        <f>HYPERLINK("https://www.philgeps.gov.ph/GEPSNONPILOT/Tender/SplashBidNoticeAbstractUI.aspx?menuIndex=3&amp;refID=7159186&amp;Result=3","7159186")</f>
        <v>0</v>
      </c>
      <c r="B14391" t="s">
        <v>3351</v>
      </c>
      <c r="C14391" t="s">
        <v>17478</v>
      </c>
      <c r="D14391" t="s">
        <v>19038</v>
      </c>
      <c r="E14391" t="s">
        <v>31255</v>
      </c>
      <c r="F14391" t="s">
        <v>32606</v>
      </c>
      <c r="G14391" t="s">
        <v>32613</v>
      </c>
      <c r="H14391" t="s">
        <v>14201</v>
      </c>
      <c r="I14391" t="s">
        <v>6931</v>
      </c>
      <c r="J14391" t="s">
        <v>41649</v>
      </c>
      <c r="K14391" t="s">
        <v>42623</v>
      </c>
      <c r="M14391" t="s">
        <v>46598</v>
      </c>
      <c r="N14391" t="s">
        <v>47304</v>
      </c>
      <c r="O14391" t="s">
        <v>47305</v>
      </c>
      <c r="P14391">
        <v>0</v>
      </c>
      <c r="Q14391">
        <v>1</v>
      </c>
      <c r="R14391" t="s">
        <v>47325</v>
      </c>
      <c r="S14391" t="s">
        <v>48215</v>
      </c>
      <c r="T14391" t="s">
        <v>49020</v>
      </c>
      <c r="U14391" t="s">
        <v>59178</v>
      </c>
      <c r="V14391" t="s">
        <v>64215</v>
      </c>
      <c r="W14391" t="s">
        <v>46598</v>
      </c>
      <c r="X14391" t="s">
        <v>47326</v>
      </c>
    </row>
    <row r="14392" spans="1:24">
      <c r="A14392">
        <f>HYPERLINK("https://www.philgeps.gov.ph/GEPSNONPILOT/Tender/SplashBidNoticeAbstractUI.aspx?menuIndex=3&amp;refID=7159160&amp;Result=3","7159160")</f>
        <v>0</v>
      </c>
      <c r="B14392" t="s">
        <v>61</v>
      </c>
      <c r="C14392" t="s">
        <v>17479</v>
      </c>
      <c r="D14392" t="s">
        <v>19012</v>
      </c>
      <c r="E14392" t="s">
        <v>31256</v>
      </c>
      <c r="F14392" t="s">
        <v>32606</v>
      </c>
      <c r="G14392" t="s">
        <v>32613</v>
      </c>
      <c r="H14392" t="s">
        <v>14201</v>
      </c>
      <c r="I14392" t="s">
        <v>32635</v>
      </c>
      <c r="J14392" t="s">
        <v>32772</v>
      </c>
      <c r="K14392" t="s">
        <v>42677</v>
      </c>
      <c r="M14392" t="s">
        <v>42958</v>
      </c>
      <c r="N14392" t="s">
        <v>47304</v>
      </c>
      <c r="O14392" t="s">
        <v>47305</v>
      </c>
      <c r="Q14392">
        <v>8</v>
      </c>
      <c r="R14392" t="s">
        <v>47325</v>
      </c>
      <c r="S14392" t="s">
        <v>48252</v>
      </c>
      <c r="T14392" t="s">
        <v>49087</v>
      </c>
      <c r="U14392" t="s">
        <v>61449</v>
      </c>
      <c r="V14392" t="s">
        <v>63016</v>
      </c>
      <c r="W14392" t="s">
        <v>42958</v>
      </c>
      <c r="X14392" t="s">
        <v>47326</v>
      </c>
    </row>
    <row r="14393" spans="1:24">
      <c r="A14393">
        <f>HYPERLINK("https://www.philgeps.gov.ph/GEPSNONPILOT/Tender/SplashBidNoticeAbstractUI.aspx?menuIndex=3&amp;refID=7158880&amp;Result=3","7158880")</f>
        <v>0</v>
      </c>
      <c r="B14393" t="s">
        <v>77</v>
      </c>
      <c r="C14393" t="s">
        <v>17480</v>
      </c>
      <c r="D14393" t="s">
        <v>19019</v>
      </c>
      <c r="E14393" t="s">
        <v>21361</v>
      </c>
      <c r="F14393" t="s">
        <v>32606</v>
      </c>
      <c r="G14393" t="s">
        <v>32613</v>
      </c>
      <c r="H14393" t="s">
        <v>14201</v>
      </c>
      <c r="I14393" t="s">
        <v>32658</v>
      </c>
      <c r="J14393" t="s">
        <v>41650</v>
      </c>
      <c r="K14393" t="s">
        <v>42631</v>
      </c>
      <c r="M14393" t="s">
        <v>42974</v>
      </c>
      <c r="N14393" t="s">
        <v>47304</v>
      </c>
      <c r="O14393" t="s">
        <v>47305</v>
      </c>
      <c r="Q14393">
        <v>10</v>
      </c>
      <c r="R14393" t="s">
        <v>47325</v>
      </c>
      <c r="S14393" t="s">
        <v>48253</v>
      </c>
      <c r="T14393" t="s">
        <v>49004</v>
      </c>
      <c r="U14393" t="s">
        <v>61450</v>
      </c>
      <c r="V14393" t="s">
        <v>62659</v>
      </c>
      <c r="W14393" t="s">
        <v>42974</v>
      </c>
      <c r="X14393" t="s">
        <v>47326</v>
      </c>
    </row>
    <row r="14394" spans="1:24">
      <c r="A14394">
        <f>HYPERLINK("https://www.philgeps.gov.ph/GEPSNONPILOT/Tender/SplashBidNoticeAbstractUI.aspx?menuIndex=3&amp;refID=7159183&amp;Result=3","7159183")</f>
        <v>0</v>
      </c>
      <c r="B14394" t="s">
        <v>3563</v>
      </c>
      <c r="C14394" t="s">
        <v>17481</v>
      </c>
      <c r="D14394" t="s">
        <v>19067</v>
      </c>
      <c r="E14394" t="s">
        <v>31257</v>
      </c>
      <c r="F14394" t="s">
        <v>32606</v>
      </c>
      <c r="G14394" t="s">
        <v>32613</v>
      </c>
      <c r="H14394" t="s">
        <v>14201</v>
      </c>
      <c r="I14394" t="s">
        <v>6931</v>
      </c>
      <c r="J14394" t="s">
        <v>41651</v>
      </c>
      <c r="K14394" t="s">
        <v>42631</v>
      </c>
      <c r="M14394" t="s">
        <v>46848</v>
      </c>
      <c r="N14394" t="s">
        <v>47304</v>
      </c>
      <c r="O14394" t="s">
        <v>47305</v>
      </c>
      <c r="P14394">
        <v>0</v>
      </c>
      <c r="Q14394">
        <v>7</v>
      </c>
      <c r="R14394" t="s">
        <v>47325</v>
      </c>
      <c r="S14394" t="s">
        <v>48215</v>
      </c>
      <c r="T14394" t="s">
        <v>48998</v>
      </c>
      <c r="U14394" t="s">
        <v>61451</v>
      </c>
      <c r="W14394" t="s">
        <v>46848</v>
      </c>
      <c r="X14394" t="s">
        <v>47326</v>
      </c>
    </row>
    <row r="14395" spans="1:24">
      <c r="A14395">
        <f>HYPERLINK("https://www.philgeps.gov.ph/GEPSNONPILOT/Tender/SplashBidNoticeAbstractUI.aspx?menuIndex=3&amp;refID=7159155&amp;Result=3","7159155")</f>
        <v>0</v>
      </c>
      <c r="B14395" t="s">
        <v>1622</v>
      </c>
      <c r="C14395" t="s">
        <v>17482</v>
      </c>
      <c r="D14395" t="s">
        <v>19037</v>
      </c>
      <c r="E14395" t="s">
        <v>31258</v>
      </c>
      <c r="F14395" t="s">
        <v>32606</v>
      </c>
      <c r="G14395" t="s">
        <v>32613</v>
      </c>
      <c r="H14395" t="s">
        <v>32623</v>
      </c>
      <c r="I14395" t="s">
        <v>17648</v>
      </c>
      <c r="J14395" t="s">
        <v>41652</v>
      </c>
      <c r="K14395" t="s">
        <v>42636</v>
      </c>
      <c r="M14395" t="s">
        <v>44642</v>
      </c>
      <c r="N14395" t="s">
        <v>47304</v>
      </c>
      <c r="O14395" t="s">
        <v>47305</v>
      </c>
      <c r="P14395">
        <v>0</v>
      </c>
      <c r="Q14395">
        <v>2</v>
      </c>
      <c r="R14395" t="s">
        <v>47325</v>
      </c>
      <c r="S14395" t="s">
        <v>48215</v>
      </c>
      <c r="T14395" t="s">
        <v>49107</v>
      </c>
      <c r="U14395" t="s">
        <v>55176</v>
      </c>
      <c r="W14395" t="s">
        <v>44642</v>
      </c>
      <c r="X14395" t="s">
        <v>47326</v>
      </c>
    </row>
    <row r="14396" spans="1:24">
      <c r="A14396">
        <f>HYPERLINK("https://www.philgeps.gov.ph/GEPSNONPILOT/Tender/SplashBidNoticeAbstractUI.aspx?menuIndex=3&amp;refID=7159143&amp;Result=3","7159143")</f>
        <v>0</v>
      </c>
      <c r="B14396" t="s">
        <v>89</v>
      </c>
      <c r="C14396" t="s">
        <v>17483</v>
      </c>
      <c r="D14396" t="s">
        <v>19018</v>
      </c>
      <c r="E14396" t="s">
        <v>31259</v>
      </c>
      <c r="F14396" t="s">
        <v>32606</v>
      </c>
      <c r="G14396" t="s">
        <v>32613</v>
      </c>
      <c r="H14396" t="s">
        <v>14201</v>
      </c>
      <c r="I14396" t="s">
        <v>5233</v>
      </c>
      <c r="J14396" t="s">
        <v>41653</v>
      </c>
      <c r="K14396" t="s">
        <v>42648</v>
      </c>
      <c r="M14396" t="s">
        <v>42987</v>
      </c>
      <c r="N14396" t="s">
        <v>47304</v>
      </c>
      <c r="O14396" t="s">
        <v>47305</v>
      </c>
      <c r="Q14396">
        <v>3</v>
      </c>
      <c r="R14396" t="s">
        <v>47325</v>
      </c>
      <c r="S14396" t="s">
        <v>48254</v>
      </c>
      <c r="T14396" t="s">
        <v>48980</v>
      </c>
      <c r="U14396" t="s">
        <v>61452</v>
      </c>
      <c r="W14396" t="s">
        <v>42987</v>
      </c>
      <c r="X14396" t="s">
        <v>47326</v>
      </c>
    </row>
    <row r="14397" spans="1:24">
      <c r="A14397">
        <f>HYPERLINK("https://www.philgeps.gov.ph/GEPSNONPILOT/Tender/SplashBidNoticeAbstractUI.aspx?menuIndex=3&amp;refID=7159109&amp;Result=3","7159109")</f>
        <v>0</v>
      </c>
      <c r="B14397" t="s">
        <v>1622</v>
      </c>
      <c r="C14397" t="s">
        <v>17484</v>
      </c>
      <c r="D14397" t="s">
        <v>19037</v>
      </c>
      <c r="E14397" t="s">
        <v>31260</v>
      </c>
      <c r="F14397" t="s">
        <v>32606</v>
      </c>
      <c r="G14397" t="s">
        <v>32613</v>
      </c>
      <c r="H14397" t="s">
        <v>14201</v>
      </c>
      <c r="I14397" t="s">
        <v>9013</v>
      </c>
      <c r="J14397" t="s">
        <v>32770</v>
      </c>
      <c r="K14397" t="s">
        <v>42631</v>
      </c>
      <c r="M14397" t="s">
        <v>44642</v>
      </c>
      <c r="N14397" t="s">
        <v>47304</v>
      </c>
      <c r="O14397" t="s">
        <v>47305</v>
      </c>
      <c r="P14397">
        <v>0</v>
      </c>
      <c r="Q14397">
        <v>3</v>
      </c>
      <c r="R14397" t="s">
        <v>47325</v>
      </c>
      <c r="S14397" t="s">
        <v>48215</v>
      </c>
      <c r="T14397" t="s">
        <v>49107</v>
      </c>
      <c r="U14397" t="s">
        <v>61453</v>
      </c>
      <c r="W14397" t="s">
        <v>44642</v>
      </c>
      <c r="X14397" t="s">
        <v>47326</v>
      </c>
    </row>
    <row r="14398" spans="1:24">
      <c r="A14398">
        <f>HYPERLINK("https://www.philgeps.gov.ph/GEPSNONPILOT/Tender/SplashBidNoticeAbstractUI.aspx?menuIndex=3&amp;refID=7159146&amp;Result=3","7159146")</f>
        <v>0</v>
      </c>
      <c r="B14398" t="s">
        <v>1420</v>
      </c>
      <c r="C14398" t="s">
        <v>17485</v>
      </c>
      <c r="D14398" t="s">
        <v>19020</v>
      </c>
      <c r="E14398" t="s">
        <v>31261</v>
      </c>
      <c r="F14398" t="s">
        <v>32606</v>
      </c>
      <c r="G14398" t="s">
        <v>32613</v>
      </c>
      <c r="H14398" t="s">
        <v>32623</v>
      </c>
      <c r="I14398" t="s">
        <v>32659</v>
      </c>
      <c r="J14398" t="s">
        <v>41654</v>
      </c>
      <c r="K14398" t="s">
        <v>42639</v>
      </c>
      <c r="M14398" t="s">
        <v>44408</v>
      </c>
      <c r="N14398" t="s">
        <v>47304</v>
      </c>
      <c r="O14398" t="s">
        <v>47305</v>
      </c>
      <c r="P14398">
        <v>0</v>
      </c>
      <c r="Q14398">
        <v>0</v>
      </c>
      <c r="R14398" t="s">
        <v>47325</v>
      </c>
      <c r="S14398" t="s">
        <v>48215</v>
      </c>
      <c r="T14398" t="s">
        <v>49072</v>
      </c>
      <c r="U14398" t="s">
        <v>61454</v>
      </c>
      <c r="W14398" t="s">
        <v>44408</v>
      </c>
      <c r="X14398" t="s">
        <v>47326</v>
      </c>
    </row>
    <row r="14399" spans="1:24">
      <c r="A14399">
        <f>HYPERLINK("https://www.philgeps.gov.ph/GEPSNONPILOT/Tender/SplashBidNoticeAbstractUI.aspx?menuIndex=3&amp;refID=7159103&amp;Result=3","7159103")</f>
        <v>0</v>
      </c>
      <c r="B14399" t="s">
        <v>387</v>
      </c>
      <c r="C14399" t="s">
        <v>17486</v>
      </c>
      <c r="D14399" t="s">
        <v>19068</v>
      </c>
      <c r="E14399" t="s">
        <v>31262</v>
      </c>
      <c r="F14399" t="s">
        <v>32606</v>
      </c>
      <c r="G14399" t="s">
        <v>32613</v>
      </c>
      <c r="H14399" t="s">
        <v>32623</v>
      </c>
      <c r="I14399" t="s">
        <v>17648</v>
      </c>
      <c r="J14399" t="s">
        <v>41655</v>
      </c>
      <c r="K14399" t="s">
        <v>42651</v>
      </c>
      <c r="M14399" t="s">
        <v>43290</v>
      </c>
      <c r="N14399" t="s">
        <v>47304</v>
      </c>
      <c r="O14399" t="s">
        <v>47305</v>
      </c>
      <c r="Q14399">
        <v>23</v>
      </c>
      <c r="R14399" t="s">
        <v>47325</v>
      </c>
      <c r="S14399" t="s">
        <v>48255</v>
      </c>
      <c r="T14399" t="s">
        <v>49020</v>
      </c>
      <c r="U14399" t="s">
        <v>61455</v>
      </c>
      <c r="W14399" t="s">
        <v>64554</v>
      </c>
      <c r="X14399" t="s">
        <v>47326</v>
      </c>
    </row>
    <row r="14400" spans="1:24">
      <c r="A14400">
        <f>HYPERLINK("https://www.philgeps.gov.ph/GEPSNONPILOT/Tender/SplashBidNoticeAbstractUI.aspx?menuIndex=3&amp;refID=7159118&amp;Result=3","7159118")</f>
        <v>0</v>
      </c>
      <c r="B14400" t="s">
        <v>234</v>
      </c>
      <c r="C14400" t="s">
        <v>17487</v>
      </c>
      <c r="D14400" t="s">
        <v>19052</v>
      </c>
      <c r="E14400" t="s">
        <v>31263</v>
      </c>
      <c r="F14400" t="s">
        <v>32606</v>
      </c>
      <c r="G14400" t="s">
        <v>32613</v>
      </c>
      <c r="H14400" t="s">
        <v>32623</v>
      </c>
      <c r="I14400" t="s">
        <v>17648</v>
      </c>
      <c r="J14400" t="s">
        <v>41656</v>
      </c>
      <c r="K14400" t="s">
        <v>42645</v>
      </c>
      <c r="M14400" t="s">
        <v>43135</v>
      </c>
      <c r="N14400" t="s">
        <v>47304</v>
      </c>
      <c r="O14400" t="s">
        <v>47305</v>
      </c>
      <c r="P14400">
        <v>0</v>
      </c>
      <c r="Q14400">
        <v>4</v>
      </c>
      <c r="R14400" t="s">
        <v>47325</v>
      </c>
      <c r="S14400" t="s">
        <v>48215</v>
      </c>
      <c r="T14400" t="s">
        <v>49020</v>
      </c>
      <c r="U14400" t="s">
        <v>61456</v>
      </c>
      <c r="V14400" t="s">
        <v>62641</v>
      </c>
      <c r="W14400" t="s">
        <v>43135</v>
      </c>
      <c r="X14400" t="s">
        <v>47326</v>
      </c>
    </row>
    <row r="14401" spans="1:24">
      <c r="A14401">
        <f>HYPERLINK("https://www.philgeps.gov.ph/GEPSNONPILOT/Tender/SplashBidNoticeAbstractUI.aspx?menuIndex=3&amp;refID=7159095&amp;Result=3","7159095")</f>
        <v>0</v>
      </c>
      <c r="B14401" t="s">
        <v>1437</v>
      </c>
      <c r="C14401" t="s">
        <v>17488</v>
      </c>
      <c r="D14401" t="s">
        <v>18993</v>
      </c>
      <c r="E14401" t="s">
        <v>31264</v>
      </c>
      <c r="F14401" t="s">
        <v>32606</v>
      </c>
      <c r="G14401" t="s">
        <v>32613</v>
      </c>
      <c r="H14401" t="s">
        <v>32623</v>
      </c>
      <c r="I14401" t="s">
        <v>32661</v>
      </c>
      <c r="J14401" t="s">
        <v>41657</v>
      </c>
      <c r="K14401" t="s">
        <v>42646</v>
      </c>
      <c r="M14401" t="s">
        <v>44909</v>
      </c>
      <c r="N14401" t="s">
        <v>47304</v>
      </c>
      <c r="O14401" t="s">
        <v>47305</v>
      </c>
      <c r="Q14401">
        <v>7</v>
      </c>
      <c r="R14401" t="s">
        <v>47325</v>
      </c>
      <c r="S14401" t="s">
        <v>48256</v>
      </c>
      <c r="T14401" t="s">
        <v>49004</v>
      </c>
      <c r="U14401" t="s">
        <v>61457</v>
      </c>
      <c r="W14401" t="s">
        <v>44909</v>
      </c>
      <c r="X14401" t="s">
        <v>47326</v>
      </c>
    </row>
    <row r="14402" spans="1:24">
      <c r="A14402">
        <f>HYPERLINK("https://www.philgeps.gov.ph/GEPSNONPILOT/Tender/SplashBidNoticeAbstractUI.aspx?menuIndex=3&amp;refID=7158940&amp;Result=3","7158940")</f>
        <v>0</v>
      </c>
      <c r="B14402" t="s">
        <v>844</v>
      </c>
      <c r="C14402" t="s">
        <v>17489</v>
      </c>
      <c r="D14402" t="s">
        <v>19056</v>
      </c>
      <c r="E14402" t="s">
        <v>31265</v>
      </c>
      <c r="F14402" t="s">
        <v>32606</v>
      </c>
      <c r="G14402" t="s">
        <v>32613</v>
      </c>
      <c r="H14402" t="s">
        <v>32623</v>
      </c>
      <c r="I14402" t="s">
        <v>17648</v>
      </c>
      <c r="J14402" t="s">
        <v>41658</v>
      </c>
      <c r="K14402" t="s">
        <v>42712</v>
      </c>
      <c r="L14402" t="s">
        <v>844</v>
      </c>
      <c r="M14402" t="s">
        <v>43776</v>
      </c>
      <c r="N14402" t="s">
        <v>47304</v>
      </c>
      <c r="O14402" t="s">
        <v>47305</v>
      </c>
      <c r="P14402">
        <v>0</v>
      </c>
      <c r="Q14402">
        <v>1</v>
      </c>
      <c r="R14402" t="s">
        <v>47325</v>
      </c>
      <c r="S14402" t="s">
        <v>48215</v>
      </c>
      <c r="T14402" t="s">
        <v>49071</v>
      </c>
      <c r="U14402" t="s">
        <v>61458</v>
      </c>
      <c r="V14402" t="s">
        <v>63249</v>
      </c>
      <c r="W14402" t="s">
        <v>43776</v>
      </c>
      <c r="X14402" t="s">
        <v>47326</v>
      </c>
    </row>
    <row r="14403" spans="1:24">
      <c r="A14403">
        <f>HYPERLINK("https://www.philgeps.gov.ph/GEPSNONPILOT/Tender/SplashBidNoticeAbstractUI.aspx?menuIndex=3&amp;refID=7159057&amp;Result=3","7159057")</f>
        <v>0</v>
      </c>
      <c r="B14403" t="s">
        <v>844</v>
      </c>
      <c r="C14403" t="s">
        <v>17490</v>
      </c>
      <c r="D14403" t="s">
        <v>19056</v>
      </c>
      <c r="E14403" t="s">
        <v>31266</v>
      </c>
      <c r="F14403" t="s">
        <v>32606</v>
      </c>
      <c r="G14403" t="s">
        <v>32613</v>
      </c>
      <c r="H14403" t="s">
        <v>14201</v>
      </c>
      <c r="I14403" t="s">
        <v>4114</v>
      </c>
      <c r="J14403" t="s">
        <v>41659</v>
      </c>
      <c r="K14403" t="s">
        <v>42631</v>
      </c>
      <c r="L14403" t="s">
        <v>844</v>
      </c>
      <c r="M14403" t="s">
        <v>43776</v>
      </c>
      <c r="N14403" t="s">
        <v>47304</v>
      </c>
      <c r="O14403" t="s">
        <v>47305</v>
      </c>
      <c r="P14403">
        <v>0</v>
      </c>
      <c r="Q14403">
        <v>1</v>
      </c>
      <c r="R14403" t="s">
        <v>47325</v>
      </c>
      <c r="S14403" t="s">
        <v>48215</v>
      </c>
      <c r="T14403" t="s">
        <v>49071</v>
      </c>
      <c r="U14403" t="s">
        <v>61459</v>
      </c>
      <c r="V14403" t="s">
        <v>63021</v>
      </c>
      <c r="W14403" t="s">
        <v>43776</v>
      </c>
      <c r="X14403" t="s">
        <v>47326</v>
      </c>
    </row>
    <row r="14404" spans="1:24">
      <c r="A14404">
        <f>HYPERLINK("https://www.philgeps.gov.ph/GEPSNONPILOT/Tender/SplashBidNoticeAbstractUI.aspx?menuIndex=3&amp;refID=7159087&amp;Result=3","7159087")</f>
        <v>0</v>
      </c>
      <c r="B14404" t="s">
        <v>747</v>
      </c>
      <c r="C14404" t="s">
        <v>17491</v>
      </c>
      <c r="D14404" t="s">
        <v>19014</v>
      </c>
      <c r="E14404" t="s">
        <v>31267</v>
      </c>
      <c r="F14404" t="s">
        <v>32606</v>
      </c>
      <c r="G14404" t="s">
        <v>32613</v>
      </c>
      <c r="H14404" t="s">
        <v>14201</v>
      </c>
      <c r="I14404" t="s">
        <v>6931</v>
      </c>
      <c r="J14404" t="s">
        <v>41660</v>
      </c>
      <c r="K14404" t="s">
        <v>42631</v>
      </c>
      <c r="M14404" t="s">
        <v>43670</v>
      </c>
      <c r="N14404" t="s">
        <v>47304</v>
      </c>
      <c r="O14404" t="s">
        <v>47305</v>
      </c>
      <c r="P14404">
        <v>0</v>
      </c>
      <c r="Q14404">
        <v>27</v>
      </c>
      <c r="R14404" t="s">
        <v>47325</v>
      </c>
      <c r="S14404" t="s">
        <v>48215</v>
      </c>
      <c r="T14404" t="s">
        <v>49268</v>
      </c>
      <c r="U14404" t="s">
        <v>61460</v>
      </c>
      <c r="V14404" t="s">
        <v>62817</v>
      </c>
      <c r="W14404" t="s">
        <v>43670</v>
      </c>
      <c r="X14404" t="s">
        <v>47326</v>
      </c>
    </row>
    <row r="14405" spans="1:24">
      <c r="A14405">
        <f>HYPERLINK("https://www.philgeps.gov.ph/GEPSNONPILOT/Tender/SplashBidNoticeAbstractUI.aspx?menuIndex=3&amp;refID=7159028&amp;Result=3","7159028")</f>
        <v>0</v>
      </c>
      <c r="B14405" t="s">
        <v>234</v>
      </c>
      <c r="C14405" t="s">
        <v>17492</v>
      </c>
      <c r="D14405" t="s">
        <v>19052</v>
      </c>
      <c r="E14405" t="s">
        <v>31268</v>
      </c>
      <c r="F14405" t="s">
        <v>32606</v>
      </c>
      <c r="G14405" t="s">
        <v>32613</v>
      </c>
      <c r="H14405" t="s">
        <v>32623</v>
      </c>
      <c r="I14405" t="s">
        <v>17648</v>
      </c>
      <c r="J14405" t="s">
        <v>41661</v>
      </c>
      <c r="K14405" t="s">
        <v>42899</v>
      </c>
      <c r="M14405" t="s">
        <v>43135</v>
      </c>
      <c r="N14405" t="s">
        <v>47304</v>
      </c>
      <c r="O14405" t="s">
        <v>47305</v>
      </c>
      <c r="P14405">
        <v>0</v>
      </c>
      <c r="Q14405">
        <v>1</v>
      </c>
      <c r="R14405" t="s">
        <v>47325</v>
      </c>
      <c r="S14405" t="s">
        <v>48215</v>
      </c>
      <c r="T14405" t="s">
        <v>49020</v>
      </c>
      <c r="U14405" t="s">
        <v>61461</v>
      </c>
      <c r="V14405" t="s">
        <v>62641</v>
      </c>
      <c r="W14405" t="s">
        <v>43135</v>
      </c>
      <c r="X14405" t="s">
        <v>47326</v>
      </c>
    </row>
    <row r="14406" spans="1:24">
      <c r="A14406">
        <f>HYPERLINK("https://www.philgeps.gov.ph/GEPSNONPILOT/Tender/SplashBidNoticeAbstractUI.aspx?menuIndex=3&amp;refID=7159034&amp;Result=3","7159034")</f>
        <v>0</v>
      </c>
      <c r="B14406" t="s">
        <v>844</v>
      </c>
      <c r="C14406" t="s">
        <v>17493</v>
      </c>
      <c r="D14406" t="s">
        <v>19056</v>
      </c>
      <c r="E14406" t="s">
        <v>31269</v>
      </c>
      <c r="F14406" t="s">
        <v>32606</v>
      </c>
      <c r="G14406" t="s">
        <v>32613</v>
      </c>
      <c r="H14406" t="s">
        <v>32623</v>
      </c>
      <c r="I14406" t="s">
        <v>17648</v>
      </c>
      <c r="J14406" t="s">
        <v>41662</v>
      </c>
      <c r="K14406" t="s">
        <v>42728</v>
      </c>
      <c r="L14406" t="s">
        <v>844</v>
      </c>
      <c r="M14406" t="s">
        <v>43776</v>
      </c>
      <c r="N14406" t="s">
        <v>47304</v>
      </c>
      <c r="O14406" t="s">
        <v>47305</v>
      </c>
      <c r="P14406">
        <v>0</v>
      </c>
      <c r="Q14406">
        <v>1</v>
      </c>
      <c r="R14406" t="s">
        <v>47325</v>
      </c>
      <c r="S14406" t="s">
        <v>48215</v>
      </c>
      <c r="T14406" t="s">
        <v>49071</v>
      </c>
      <c r="U14406" t="s">
        <v>61462</v>
      </c>
      <c r="V14406" t="s">
        <v>63249</v>
      </c>
      <c r="W14406" t="s">
        <v>43776</v>
      </c>
      <c r="X14406" t="s">
        <v>47326</v>
      </c>
    </row>
    <row r="14407" spans="1:24">
      <c r="A14407">
        <f>HYPERLINK("https://www.philgeps.gov.ph/GEPSNONPILOT/Tender/SplashBidNoticeAbstractUI.aspx?menuIndex=3&amp;refID=7159441&amp;Result=3","7159441")</f>
        <v>0</v>
      </c>
      <c r="B14407" t="s">
        <v>89</v>
      </c>
      <c r="C14407" t="s">
        <v>17494</v>
      </c>
      <c r="D14407" t="s">
        <v>19018</v>
      </c>
      <c r="E14407" t="s">
        <v>31270</v>
      </c>
      <c r="F14407" t="s">
        <v>32606</v>
      </c>
      <c r="G14407" t="s">
        <v>32613</v>
      </c>
      <c r="H14407" t="s">
        <v>14201</v>
      </c>
      <c r="I14407" t="s">
        <v>32738</v>
      </c>
      <c r="J14407" t="s">
        <v>41663</v>
      </c>
      <c r="K14407" t="s">
        <v>42648</v>
      </c>
      <c r="M14407" t="s">
        <v>42987</v>
      </c>
      <c r="N14407" t="s">
        <v>47304</v>
      </c>
      <c r="O14407" t="s">
        <v>47305</v>
      </c>
      <c r="Q14407">
        <v>0</v>
      </c>
      <c r="R14407" t="s">
        <v>47325</v>
      </c>
      <c r="S14407" t="s">
        <v>48257</v>
      </c>
      <c r="T14407" t="s">
        <v>48980</v>
      </c>
      <c r="U14407" t="s">
        <v>61463</v>
      </c>
      <c r="W14407" t="s">
        <v>42987</v>
      </c>
      <c r="X14407" t="s">
        <v>47326</v>
      </c>
    </row>
    <row r="14408" spans="1:24">
      <c r="A14408">
        <f>HYPERLINK("https://www.philgeps.gov.ph/GEPSNONPILOT/Tender/SplashBidNoticeAbstractUI.aspx?menuIndex=3&amp;refID=7159165&amp;Result=3","7159165")</f>
        <v>0</v>
      </c>
      <c r="B14408" t="s">
        <v>89</v>
      </c>
      <c r="C14408" t="s">
        <v>17495</v>
      </c>
      <c r="D14408" t="s">
        <v>19018</v>
      </c>
      <c r="E14408" t="s">
        <v>31270</v>
      </c>
      <c r="F14408" t="s">
        <v>32606</v>
      </c>
      <c r="G14408" t="s">
        <v>32613</v>
      </c>
      <c r="H14408" t="s">
        <v>14201</v>
      </c>
      <c r="I14408" t="s">
        <v>32650</v>
      </c>
      <c r="J14408" t="s">
        <v>41664</v>
      </c>
      <c r="K14408" t="s">
        <v>42631</v>
      </c>
      <c r="M14408" t="s">
        <v>42987</v>
      </c>
      <c r="N14408" t="s">
        <v>47304</v>
      </c>
      <c r="O14408" t="s">
        <v>47305</v>
      </c>
      <c r="P14408">
        <v>0</v>
      </c>
      <c r="Q14408">
        <v>8</v>
      </c>
      <c r="R14408" t="s">
        <v>47325</v>
      </c>
      <c r="S14408" t="s">
        <v>48215</v>
      </c>
      <c r="T14408" t="s">
        <v>48980</v>
      </c>
      <c r="U14408" t="s">
        <v>61463</v>
      </c>
      <c r="W14408" t="s">
        <v>42987</v>
      </c>
      <c r="X14408" t="s">
        <v>47326</v>
      </c>
    </row>
    <row r="14409" spans="1:24">
      <c r="A14409">
        <f>HYPERLINK("https://www.philgeps.gov.ph/GEPSNONPILOT/Tender/SplashBidNoticeAbstractUI.aspx?menuIndex=3&amp;refID=7159384&amp;Result=3","7159384")</f>
        <v>0</v>
      </c>
      <c r="B14409" t="s">
        <v>1565</v>
      </c>
      <c r="C14409" t="s">
        <v>17496</v>
      </c>
      <c r="D14409" t="s">
        <v>19029</v>
      </c>
      <c r="E14409" t="s">
        <v>31271</v>
      </c>
      <c r="F14409" t="s">
        <v>32606</v>
      </c>
      <c r="G14409" t="s">
        <v>32613</v>
      </c>
      <c r="H14409" t="s">
        <v>14201</v>
      </c>
      <c r="I14409" t="s">
        <v>32662</v>
      </c>
      <c r="J14409" t="s">
        <v>34128</v>
      </c>
      <c r="K14409" t="s">
        <v>42632</v>
      </c>
      <c r="M14409" t="s">
        <v>46713</v>
      </c>
      <c r="N14409" t="s">
        <v>47304</v>
      </c>
      <c r="O14409" t="s">
        <v>47305</v>
      </c>
      <c r="P14409">
        <v>0</v>
      </c>
      <c r="Q14409">
        <v>16</v>
      </c>
      <c r="R14409" t="s">
        <v>47325</v>
      </c>
      <c r="S14409" t="s">
        <v>48215</v>
      </c>
      <c r="T14409" t="s">
        <v>49035</v>
      </c>
      <c r="U14409" t="s">
        <v>61464</v>
      </c>
      <c r="W14409" t="s">
        <v>46713</v>
      </c>
      <c r="X14409" t="s">
        <v>47326</v>
      </c>
    </row>
    <row r="14410" spans="1:24">
      <c r="A14410">
        <f>HYPERLINK("https://www.philgeps.gov.ph/GEPSNONPILOT/Tender/SplashBidNoticeAbstractUI.aspx?menuIndex=3&amp;refID=7159411&amp;Result=3","7159411")</f>
        <v>0</v>
      </c>
      <c r="B14410" t="s">
        <v>89</v>
      </c>
      <c r="C14410" t="s">
        <v>17497</v>
      </c>
      <c r="D14410" t="s">
        <v>19018</v>
      </c>
      <c r="E14410" t="s">
        <v>31270</v>
      </c>
      <c r="F14410" t="s">
        <v>32606</v>
      </c>
      <c r="G14410" t="s">
        <v>32613</v>
      </c>
      <c r="H14410" t="s">
        <v>14201</v>
      </c>
      <c r="I14410" t="s">
        <v>32654</v>
      </c>
      <c r="J14410" t="s">
        <v>41665</v>
      </c>
      <c r="K14410" t="s">
        <v>42648</v>
      </c>
      <c r="M14410" t="s">
        <v>42987</v>
      </c>
      <c r="N14410" t="s">
        <v>47304</v>
      </c>
      <c r="O14410" t="s">
        <v>47305</v>
      </c>
      <c r="Q14410">
        <v>1</v>
      </c>
      <c r="R14410" t="s">
        <v>47325</v>
      </c>
      <c r="S14410" t="s">
        <v>48258</v>
      </c>
      <c r="T14410" t="s">
        <v>48980</v>
      </c>
      <c r="U14410" t="s">
        <v>61463</v>
      </c>
      <c r="W14410" t="s">
        <v>42987</v>
      </c>
      <c r="X14410" t="s">
        <v>47326</v>
      </c>
    </row>
    <row r="14411" spans="1:24">
      <c r="A14411">
        <f>HYPERLINK("https://www.philgeps.gov.ph/GEPSNONPILOT/Tender/SplashBidNoticeAbstractUI.aspx?menuIndex=3&amp;refID=7158869&amp;Result=3","7158869")</f>
        <v>0</v>
      </c>
      <c r="B14411" t="s">
        <v>510</v>
      </c>
      <c r="C14411" t="s">
        <v>17498</v>
      </c>
      <c r="D14411" t="s">
        <v>19024</v>
      </c>
      <c r="E14411" t="s">
        <v>31272</v>
      </c>
      <c r="F14411" t="s">
        <v>32606</v>
      </c>
      <c r="G14411" t="s">
        <v>32613</v>
      </c>
      <c r="H14411" t="s">
        <v>14201</v>
      </c>
      <c r="I14411" t="s">
        <v>7064</v>
      </c>
      <c r="J14411" t="s">
        <v>37891</v>
      </c>
      <c r="K14411" t="s">
        <v>42623</v>
      </c>
      <c r="M14411" t="s">
        <v>43423</v>
      </c>
      <c r="N14411" t="s">
        <v>47304</v>
      </c>
      <c r="O14411" t="s">
        <v>47305</v>
      </c>
      <c r="P14411">
        <v>0</v>
      </c>
      <c r="Q14411">
        <v>4</v>
      </c>
      <c r="R14411" t="s">
        <v>47325</v>
      </c>
      <c r="S14411" t="s">
        <v>48215</v>
      </c>
      <c r="T14411" t="s">
        <v>49242</v>
      </c>
      <c r="U14411" t="s">
        <v>61465</v>
      </c>
      <c r="W14411" t="s">
        <v>43423</v>
      </c>
      <c r="X14411" t="s">
        <v>47326</v>
      </c>
    </row>
    <row r="14412" spans="1:24">
      <c r="A14412">
        <f>HYPERLINK("https://www.philgeps.gov.ph/GEPSNONPILOT/Tender/SplashBidNoticeAbstractUI.aspx?menuIndex=3&amp;refID=7159351&amp;Result=3","7159351")</f>
        <v>0</v>
      </c>
      <c r="B14412" t="s">
        <v>2782</v>
      </c>
      <c r="C14412" t="s">
        <v>17499</v>
      </c>
      <c r="D14412" t="s">
        <v>18992</v>
      </c>
      <c r="E14412" t="s">
        <v>31273</v>
      </c>
      <c r="F14412" t="s">
        <v>32606</v>
      </c>
      <c r="G14412" t="s">
        <v>32613</v>
      </c>
      <c r="H14412" t="s">
        <v>14201</v>
      </c>
      <c r="I14412" t="s">
        <v>32747</v>
      </c>
      <c r="J14412" t="s">
        <v>41666</v>
      </c>
      <c r="K14412" t="s">
        <v>42622</v>
      </c>
      <c r="M14412" t="s">
        <v>46157</v>
      </c>
      <c r="N14412" t="s">
        <v>47304</v>
      </c>
      <c r="O14412" t="s">
        <v>47305</v>
      </c>
      <c r="P14412">
        <v>0</v>
      </c>
      <c r="Q14412">
        <v>0</v>
      </c>
      <c r="R14412" t="s">
        <v>47325</v>
      </c>
      <c r="S14412" t="s">
        <v>48215</v>
      </c>
      <c r="T14412" t="s">
        <v>49347</v>
      </c>
      <c r="U14412" t="s">
        <v>61466</v>
      </c>
      <c r="W14412" t="s">
        <v>46157</v>
      </c>
      <c r="X14412" t="s">
        <v>47326</v>
      </c>
    </row>
    <row r="14413" spans="1:24">
      <c r="A14413">
        <f>HYPERLINK("https://www.philgeps.gov.ph/GEPSNONPILOT/Tender/SplashBidNoticeAbstractUI.aspx?menuIndex=3&amp;refID=7159397&amp;Result=3","7159397")</f>
        <v>0</v>
      </c>
      <c r="B14413" t="s">
        <v>2782</v>
      </c>
      <c r="C14413" t="s">
        <v>17500</v>
      </c>
      <c r="D14413" t="s">
        <v>18992</v>
      </c>
      <c r="E14413" t="s">
        <v>31274</v>
      </c>
      <c r="F14413" t="s">
        <v>32606</v>
      </c>
      <c r="G14413" t="s">
        <v>32613</v>
      </c>
      <c r="H14413" t="s">
        <v>14201</v>
      </c>
      <c r="I14413" t="s">
        <v>32626</v>
      </c>
      <c r="J14413" t="s">
        <v>41667</v>
      </c>
      <c r="K14413" t="s">
        <v>42622</v>
      </c>
      <c r="M14413" t="s">
        <v>46157</v>
      </c>
      <c r="N14413" t="s">
        <v>47304</v>
      </c>
      <c r="O14413" t="s">
        <v>47305</v>
      </c>
      <c r="P14413">
        <v>0</v>
      </c>
      <c r="Q14413">
        <v>9</v>
      </c>
      <c r="R14413" t="s">
        <v>47325</v>
      </c>
      <c r="S14413" t="s">
        <v>48215</v>
      </c>
      <c r="T14413" t="s">
        <v>49347</v>
      </c>
      <c r="U14413" t="s">
        <v>61467</v>
      </c>
      <c r="W14413" t="s">
        <v>46157</v>
      </c>
      <c r="X14413" t="s">
        <v>47326</v>
      </c>
    </row>
    <row r="14414" spans="1:24">
      <c r="A14414">
        <f>HYPERLINK("https://www.philgeps.gov.ph/GEPSNONPILOT/Tender/SplashBidNoticeAbstractUI.aspx?menuIndex=3&amp;refID=7159363&amp;Result=3","7159363")</f>
        <v>0</v>
      </c>
      <c r="B14414" t="s">
        <v>1617</v>
      </c>
      <c r="C14414" t="s">
        <v>17501</v>
      </c>
      <c r="D14414" t="s">
        <v>19019</v>
      </c>
      <c r="E14414" t="s">
        <v>31275</v>
      </c>
      <c r="F14414" t="s">
        <v>32606</v>
      </c>
      <c r="G14414" t="s">
        <v>32613</v>
      </c>
      <c r="H14414" t="s">
        <v>14201</v>
      </c>
      <c r="I14414" t="s">
        <v>32647</v>
      </c>
      <c r="J14414" t="s">
        <v>32769</v>
      </c>
      <c r="K14414" t="s">
        <v>42631</v>
      </c>
      <c r="M14414" t="s">
        <v>44637</v>
      </c>
      <c r="N14414" t="s">
        <v>47304</v>
      </c>
      <c r="O14414" t="s">
        <v>47305</v>
      </c>
      <c r="P14414">
        <v>0</v>
      </c>
      <c r="Q14414">
        <v>3</v>
      </c>
      <c r="R14414" t="s">
        <v>47325</v>
      </c>
      <c r="S14414" t="s">
        <v>48215</v>
      </c>
      <c r="T14414" t="s">
        <v>49068</v>
      </c>
      <c r="U14414" t="s">
        <v>61468</v>
      </c>
      <c r="W14414" t="s">
        <v>44637</v>
      </c>
      <c r="X14414" t="s">
        <v>47326</v>
      </c>
    </row>
    <row r="14415" spans="1:24">
      <c r="A14415">
        <f>HYPERLINK("https://www.philgeps.gov.ph/GEPSNONPILOT/Tender/SplashBidNoticeAbstractUI.aspx?menuIndex=3&amp;refID=7159108&amp;Result=3","7159108")</f>
        <v>0</v>
      </c>
      <c r="B14415" t="s">
        <v>89</v>
      </c>
      <c r="C14415" t="s">
        <v>17502</v>
      </c>
      <c r="D14415" t="s">
        <v>19018</v>
      </c>
      <c r="E14415" t="s">
        <v>31259</v>
      </c>
      <c r="F14415" t="s">
        <v>32606</v>
      </c>
      <c r="G14415" t="s">
        <v>32613</v>
      </c>
      <c r="H14415" t="s">
        <v>14201</v>
      </c>
      <c r="I14415" t="s">
        <v>32660</v>
      </c>
      <c r="J14415" t="s">
        <v>41668</v>
      </c>
      <c r="K14415" t="s">
        <v>42648</v>
      </c>
      <c r="M14415" t="s">
        <v>42987</v>
      </c>
      <c r="N14415" t="s">
        <v>47304</v>
      </c>
      <c r="O14415" t="s">
        <v>47305</v>
      </c>
      <c r="Q14415">
        <v>1</v>
      </c>
      <c r="R14415" t="s">
        <v>47325</v>
      </c>
      <c r="S14415" t="s">
        <v>48259</v>
      </c>
      <c r="T14415" t="s">
        <v>48980</v>
      </c>
      <c r="U14415" t="s">
        <v>61452</v>
      </c>
      <c r="W14415" t="s">
        <v>42987</v>
      </c>
      <c r="X14415" t="s">
        <v>47326</v>
      </c>
    </row>
    <row r="14416" spans="1:24">
      <c r="A14416">
        <f>HYPERLINK("https://www.philgeps.gov.ph/GEPSNONPILOT/Tender/SplashBidNoticeAbstractUI.aspx?menuIndex=3&amp;refID=7159307&amp;Result=3","7159307")</f>
        <v>0</v>
      </c>
      <c r="B14416" t="s">
        <v>89</v>
      </c>
      <c r="C14416" t="s">
        <v>17503</v>
      </c>
      <c r="D14416" t="s">
        <v>19018</v>
      </c>
      <c r="E14416" t="s">
        <v>31270</v>
      </c>
      <c r="F14416" t="s">
        <v>32606</v>
      </c>
      <c r="G14416" t="s">
        <v>32613</v>
      </c>
      <c r="H14416" t="s">
        <v>14201</v>
      </c>
      <c r="I14416" t="s">
        <v>32650</v>
      </c>
      <c r="J14416" t="s">
        <v>32769</v>
      </c>
      <c r="K14416" t="s">
        <v>42648</v>
      </c>
      <c r="M14416" t="s">
        <v>42987</v>
      </c>
      <c r="N14416" t="s">
        <v>47304</v>
      </c>
      <c r="O14416" t="s">
        <v>47305</v>
      </c>
      <c r="Q14416">
        <v>6</v>
      </c>
      <c r="R14416" t="s">
        <v>47325</v>
      </c>
      <c r="S14416" t="s">
        <v>48260</v>
      </c>
      <c r="T14416" t="s">
        <v>48980</v>
      </c>
      <c r="U14416" t="s">
        <v>61463</v>
      </c>
      <c r="W14416" t="s">
        <v>42987</v>
      </c>
      <c r="X14416" t="s">
        <v>47326</v>
      </c>
    </row>
    <row r="14417" spans="1:24">
      <c r="A14417">
        <f>HYPERLINK("https://www.philgeps.gov.ph/GEPSNONPILOT/Tender/SplashBidNoticeAbstractUI.aspx?menuIndex=3&amp;refID=7159291&amp;Result=3","7159291")</f>
        <v>0</v>
      </c>
      <c r="B14417" t="s">
        <v>1738</v>
      </c>
      <c r="C14417" t="s">
        <v>17504</v>
      </c>
      <c r="E14417" t="s">
        <v>31276</v>
      </c>
      <c r="F14417" t="s">
        <v>32606</v>
      </c>
      <c r="G14417" t="s">
        <v>32614</v>
      </c>
      <c r="H14417" t="s">
        <v>14201</v>
      </c>
      <c r="I14417" t="s">
        <v>4114</v>
      </c>
      <c r="J14417" t="s">
        <v>41669</v>
      </c>
      <c r="K14417" t="s">
        <v>42630</v>
      </c>
      <c r="M14417" t="s">
        <v>44771</v>
      </c>
      <c r="N14417" t="s">
        <v>47304</v>
      </c>
      <c r="O14417" t="s">
        <v>47305</v>
      </c>
      <c r="Q14417">
        <v>11</v>
      </c>
      <c r="R14417" t="s">
        <v>47325</v>
      </c>
      <c r="S14417" t="s">
        <v>48261</v>
      </c>
      <c r="T14417" t="s">
        <v>48998</v>
      </c>
      <c r="U14417" t="s">
        <v>61469</v>
      </c>
      <c r="W14417" t="s">
        <v>44771</v>
      </c>
      <c r="X14417" t="s">
        <v>47326</v>
      </c>
    </row>
    <row r="14418" spans="1:24">
      <c r="A14418">
        <f>HYPERLINK("https://www.philgeps.gov.ph/GEPSNONPILOT/Tender/SplashBidNoticeAbstractUI.aspx?menuIndex=3&amp;refID=7159342&amp;Result=3","7159342")</f>
        <v>0</v>
      </c>
      <c r="B14418" t="s">
        <v>1420</v>
      </c>
      <c r="C14418" t="s">
        <v>11262</v>
      </c>
      <c r="D14418" t="s">
        <v>19020</v>
      </c>
      <c r="E14418" t="s">
        <v>31277</v>
      </c>
      <c r="F14418" t="s">
        <v>32606</v>
      </c>
      <c r="G14418" t="s">
        <v>32613</v>
      </c>
      <c r="H14418" t="s">
        <v>32623</v>
      </c>
      <c r="I14418" t="s">
        <v>32659</v>
      </c>
      <c r="J14418" t="s">
        <v>33102</v>
      </c>
      <c r="K14418" t="s">
        <v>42639</v>
      </c>
      <c r="M14418" t="s">
        <v>44408</v>
      </c>
      <c r="N14418" t="s">
        <v>47304</v>
      </c>
      <c r="O14418" t="s">
        <v>47305</v>
      </c>
      <c r="P14418">
        <v>0</v>
      </c>
      <c r="Q14418">
        <v>0</v>
      </c>
      <c r="R14418" t="s">
        <v>47325</v>
      </c>
      <c r="S14418" t="s">
        <v>48215</v>
      </c>
      <c r="T14418" t="s">
        <v>49072</v>
      </c>
      <c r="U14418" t="s">
        <v>61470</v>
      </c>
      <c r="W14418" t="s">
        <v>44408</v>
      </c>
      <c r="X14418" t="s">
        <v>47326</v>
      </c>
    </row>
    <row r="14419" spans="1:24">
      <c r="A14419">
        <f>HYPERLINK("https://www.philgeps.gov.ph/GEPSNONPILOT/Tender/SplashBidNoticeAbstractUI.aspx?menuIndex=3&amp;refID=7159330&amp;Result=3","7159330")</f>
        <v>0</v>
      </c>
      <c r="B14419" t="s">
        <v>1140</v>
      </c>
      <c r="C14419" t="s">
        <v>17505</v>
      </c>
      <c r="E14419" t="s">
        <v>31278</v>
      </c>
      <c r="F14419" t="s">
        <v>32609</v>
      </c>
      <c r="G14419" t="s">
        <v>32619</v>
      </c>
      <c r="H14419" t="s">
        <v>14201</v>
      </c>
      <c r="I14419" t="s">
        <v>32633</v>
      </c>
      <c r="J14419" t="s">
        <v>35257</v>
      </c>
      <c r="K14419" t="s">
        <v>42624</v>
      </c>
      <c r="M14419" t="s">
        <v>44102</v>
      </c>
      <c r="N14419" t="s">
        <v>47304</v>
      </c>
      <c r="O14419" t="s">
        <v>47305</v>
      </c>
      <c r="Q14419">
        <v>6</v>
      </c>
      <c r="R14419" t="s">
        <v>47325</v>
      </c>
      <c r="S14419" t="s">
        <v>47940</v>
      </c>
      <c r="T14419" t="s">
        <v>49257</v>
      </c>
      <c r="U14419" t="s">
        <v>51975</v>
      </c>
      <c r="W14419" t="s">
        <v>44102</v>
      </c>
      <c r="X14419" t="s">
        <v>47326</v>
      </c>
    </row>
    <row r="14420" spans="1:24">
      <c r="A14420">
        <f>HYPERLINK("https://www.philgeps.gov.ph/GEPSNONPILOT/Tender/SplashBidNoticeAbstractUI.aspx?menuIndex=3&amp;refID=7159586&amp;Result=3","7159586")</f>
        <v>0</v>
      </c>
      <c r="B14420" t="s">
        <v>2326</v>
      </c>
      <c r="C14420" t="s">
        <v>17506</v>
      </c>
      <c r="E14420" t="s">
        <v>31279</v>
      </c>
      <c r="F14420" t="s">
        <v>32606</v>
      </c>
      <c r="G14420" t="s">
        <v>32613</v>
      </c>
      <c r="H14420" t="s">
        <v>14201</v>
      </c>
      <c r="I14420" t="s">
        <v>32680</v>
      </c>
      <c r="J14420" t="s">
        <v>41670</v>
      </c>
      <c r="K14420" t="s">
        <v>42624</v>
      </c>
      <c r="M14420" t="s">
        <v>47106</v>
      </c>
      <c r="N14420" t="s">
        <v>47304</v>
      </c>
      <c r="O14420" t="s">
        <v>47305</v>
      </c>
      <c r="P14420">
        <v>0</v>
      </c>
      <c r="Q14420">
        <v>4</v>
      </c>
      <c r="R14420" t="s">
        <v>47325</v>
      </c>
      <c r="S14420" t="s">
        <v>48215</v>
      </c>
      <c r="T14420" t="s">
        <v>49071</v>
      </c>
      <c r="U14420" t="s">
        <v>61471</v>
      </c>
      <c r="W14420" t="s">
        <v>47106</v>
      </c>
      <c r="X14420" t="s">
        <v>47326</v>
      </c>
    </row>
    <row r="14421" spans="1:24">
      <c r="A14421">
        <f>HYPERLINK("https://www.philgeps.gov.ph/GEPSNONPILOT/Tender/SplashBidNoticeAbstractUI.aspx?menuIndex=3&amp;refID=7159580&amp;Result=3","7159580")</f>
        <v>0</v>
      </c>
      <c r="B14421" t="s">
        <v>89</v>
      </c>
      <c r="C14421" t="s">
        <v>17507</v>
      </c>
      <c r="D14421" t="s">
        <v>19018</v>
      </c>
      <c r="E14421" t="s">
        <v>31280</v>
      </c>
      <c r="F14421" t="s">
        <v>32606</v>
      </c>
      <c r="G14421" t="s">
        <v>32613</v>
      </c>
      <c r="H14421" t="s">
        <v>14201</v>
      </c>
      <c r="I14421" t="s">
        <v>6298</v>
      </c>
      <c r="J14421" t="s">
        <v>41671</v>
      </c>
      <c r="K14421" t="s">
        <v>42631</v>
      </c>
      <c r="M14421" t="s">
        <v>42987</v>
      </c>
      <c r="N14421" t="s">
        <v>47304</v>
      </c>
      <c r="O14421" t="s">
        <v>47305</v>
      </c>
      <c r="P14421">
        <v>0</v>
      </c>
      <c r="Q14421">
        <v>0</v>
      </c>
      <c r="R14421" t="s">
        <v>47325</v>
      </c>
      <c r="S14421" t="s">
        <v>48215</v>
      </c>
      <c r="T14421" t="s">
        <v>48980</v>
      </c>
      <c r="U14421" t="s">
        <v>61472</v>
      </c>
      <c r="W14421" t="s">
        <v>42987</v>
      </c>
      <c r="X14421" t="s">
        <v>47326</v>
      </c>
    </row>
    <row r="14422" spans="1:24">
      <c r="A14422">
        <f>HYPERLINK("https://www.philgeps.gov.ph/GEPSNONPILOT/Tender/SplashBidNoticeAbstractUI.aspx?menuIndex=3&amp;refID=7159593&amp;Result=3","7159593")</f>
        <v>0</v>
      </c>
      <c r="B14422" t="s">
        <v>1565</v>
      </c>
      <c r="C14422" t="s">
        <v>17496</v>
      </c>
      <c r="D14422" t="s">
        <v>19029</v>
      </c>
      <c r="E14422" t="s">
        <v>31281</v>
      </c>
      <c r="F14422" t="s">
        <v>32606</v>
      </c>
      <c r="G14422" t="s">
        <v>32613</v>
      </c>
      <c r="H14422" t="s">
        <v>14201</v>
      </c>
      <c r="I14422" t="s">
        <v>32662</v>
      </c>
      <c r="J14422" t="s">
        <v>41672</v>
      </c>
      <c r="K14422" t="s">
        <v>42631</v>
      </c>
      <c r="M14422" t="s">
        <v>46713</v>
      </c>
      <c r="N14422" t="s">
        <v>47304</v>
      </c>
      <c r="O14422" t="s">
        <v>47305</v>
      </c>
      <c r="P14422">
        <v>0</v>
      </c>
      <c r="Q14422">
        <v>15</v>
      </c>
      <c r="R14422" t="s">
        <v>47325</v>
      </c>
      <c r="S14422" t="s">
        <v>48215</v>
      </c>
      <c r="T14422" t="s">
        <v>49035</v>
      </c>
      <c r="U14422" t="s">
        <v>61464</v>
      </c>
      <c r="W14422" t="s">
        <v>46713</v>
      </c>
      <c r="X14422" t="s">
        <v>47326</v>
      </c>
    </row>
    <row r="14423" spans="1:24">
      <c r="A14423">
        <f>HYPERLINK("https://www.philgeps.gov.ph/GEPSNONPILOT/Tender/SplashBidNoticeAbstractUI.aspx?menuIndex=3&amp;refID=7159554&amp;Result=3","7159554")</f>
        <v>0</v>
      </c>
      <c r="B14423" t="s">
        <v>2326</v>
      </c>
      <c r="C14423" t="s">
        <v>17508</v>
      </c>
      <c r="E14423" t="s">
        <v>31282</v>
      </c>
      <c r="F14423" t="s">
        <v>32606</v>
      </c>
      <c r="G14423" t="s">
        <v>32613</v>
      </c>
      <c r="H14423" t="s">
        <v>14201</v>
      </c>
      <c r="I14423" t="s">
        <v>32638</v>
      </c>
      <c r="J14423" t="s">
        <v>41673</v>
      </c>
      <c r="K14423" t="s">
        <v>42624</v>
      </c>
      <c r="M14423" t="s">
        <v>47106</v>
      </c>
      <c r="N14423" t="s">
        <v>47304</v>
      </c>
      <c r="O14423" t="s">
        <v>47305</v>
      </c>
      <c r="P14423">
        <v>0</v>
      </c>
      <c r="Q14423">
        <v>23</v>
      </c>
      <c r="R14423" t="s">
        <v>47325</v>
      </c>
      <c r="S14423" t="s">
        <v>48215</v>
      </c>
      <c r="T14423" t="s">
        <v>49071</v>
      </c>
      <c r="U14423" t="s">
        <v>61473</v>
      </c>
      <c r="W14423" t="s">
        <v>47106</v>
      </c>
      <c r="X14423" t="s">
        <v>47326</v>
      </c>
    </row>
    <row r="14424" spans="1:24">
      <c r="A14424">
        <f>HYPERLINK("https://www.philgeps.gov.ph/GEPSNONPILOT/Tender/SplashBidNoticeAbstractUI.aspx?menuIndex=3&amp;refID=7159592&amp;Result=3","7159592")</f>
        <v>0</v>
      </c>
      <c r="B14424" t="s">
        <v>3773</v>
      </c>
      <c r="C14424" t="s">
        <v>17509</v>
      </c>
      <c r="D14424" t="s">
        <v>19023</v>
      </c>
      <c r="E14424" t="s">
        <v>22358</v>
      </c>
      <c r="F14424" t="s">
        <v>32606</v>
      </c>
      <c r="G14424" t="s">
        <v>32613</v>
      </c>
      <c r="H14424" t="s">
        <v>14201</v>
      </c>
      <c r="I14424" t="s">
        <v>6931</v>
      </c>
      <c r="J14424" t="s">
        <v>41674</v>
      </c>
      <c r="K14424" t="s">
        <v>42645</v>
      </c>
      <c r="M14424" t="s">
        <v>47107</v>
      </c>
      <c r="N14424" t="s">
        <v>47304</v>
      </c>
      <c r="O14424" t="s">
        <v>47305</v>
      </c>
      <c r="P14424">
        <v>0</v>
      </c>
      <c r="Q14424">
        <v>1</v>
      </c>
      <c r="R14424" t="s">
        <v>47325</v>
      </c>
      <c r="S14424" t="s">
        <v>48215</v>
      </c>
      <c r="T14424" t="s">
        <v>48976</v>
      </c>
      <c r="U14424" t="s">
        <v>61474</v>
      </c>
      <c r="V14424" t="s">
        <v>64216</v>
      </c>
      <c r="W14424" t="s">
        <v>47107</v>
      </c>
      <c r="X14424" t="s">
        <v>47326</v>
      </c>
    </row>
    <row r="14425" spans="1:24">
      <c r="A14425">
        <f>HYPERLINK("https://www.philgeps.gov.ph/GEPSNONPILOT/Tender/SplashBidNoticeAbstractUI.aspx?menuIndex=3&amp;refID=7159548&amp;Result=3","7159548")</f>
        <v>0</v>
      </c>
      <c r="B14425" t="s">
        <v>2326</v>
      </c>
      <c r="C14425" t="s">
        <v>17510</v>
      </c>
      <c r="E14425" t="s">
        <v>31283</v>
      </c>
      <c r="F14425" t="s">
        <v>32606</v>
      </c>
      <c r="G14425" t="s">
        <v>32613</v>
      </c>
      <c r="H14425" t="s">
        <v>14201</v>
      </c>
      <c r="I14425" t="s">
        <v>32662</v>
      </c>
      <c r="J14425" t="s">
        <v>37898</v>
      </c>
      <c r="K14425" t="s">
        <v>42624</v>
      </c>
      <c r="M14425" t="s">
        <v>47106</v>
      </c>
      <c r="N14425" t="s">
        <v>47304</v>
      </c>
      <c r="O14425" t="s">
        <v>47305</v>
      </c>
      <c r="P14425">
        <v>0</v>
      </c>
      <c r="Q14425">
        <v>12</v>
      </c>
      <c r="R14425" t="s">
        <v>47325</v>
      </c>
      <c r="S14425" t="s">
        <v>48215</v>
      </c>
      <c r="T14425" t="s">
        <v>49071</v>
      </c>
      <c r="U14425" t="s">
        <v>61475</v>
      </c>
      <c r="W14425" t="s">
        <v>47106</v>
      </c>
      <c r="X14425" t="s">
        <v>47326</v>
      </c>
    </row>
    <row r="14426" spans="1:24">
      <c r="A14426">
        <f>HYPERLINK("https://www.philgeps.gov.ph/GEPSNONPILOT/Tender/SplashBidNoticeAbstractUI.aspx?menuIndex=3&amp;refID=7159539&amp;Result=3","7159539")</f>
        <v>0</v>
      </c>
      <c r="B14426" t="s">
        <v>787</v>
      </c>
      <c r="C14426" t="s">
        <v>17511</v>
      </c>
      <c r="D14426" t="s">
        <v>18995</v>
      </c>
      <c r="E14426" t="s">
        <v>31284</v>
      </c>
      <c r="F14426" t="s">
        <v>32606</v>
      </c>
      <c r="G14426" t="s">
        <v>32613</v>
      </c>
      <c r="H14426" t="s">
        <v>14201</v>
      </c>
      <c r="I14426" t="s">
        <v>32661</v>
      </c>
      <c r="J14426" t="s">
        <v>32860</v>
      </c>
      <c r="K14426" t="s">
        <v>42631</v>
      </c>
      <c r="M14426" t="s">
        <v>43718</v>
      </c>
      <c r="N14426" t="s">
        <v>47304</v>
      </c>
      <c r="O14426" t="s">
        <v>47305</v>
      </c>
      <c r="P14426">
        <v>0</v>
      </c>
      <c r="Q14426">
        <v>4</v>
      </c>
      <c r="R14426" t="s">
        <v>47325</v>
      </c>
      <c r="S14426" t="s">
        <v>48215</v>
      </c>
      <c r="T14426" t="s">
        <v>49018</v>
      </c>
      <c r="U14426" t="s">
        <v>61476</v>
      </c>
      <c r="W14426" t="s">
        <v>43718</v>
      </c>
      <c r="X14426" t="s">
        <v>47326</v>
      </c>
    </row>
    <row r="14427" spans="1:24">
      <c r="A14427">
        <f>HYPERLINK("https://www.philgeps.gov.ph/GEPSNONPILOT/Tender/SplashBidNoticeAbstractUI.aspx?menuIndex=3&amp;refID=7159575&amp;Result=3","7159575")</f>
        <v>0</v>
      </c>
      <c r="B14427" t="s">
        <v>2275</v>
      </c>
      <c r="C14427" t="s">
        <v>17512</v>
      </c>
      <c r="D14427" t="s">
        <v>19054</v>
      </c>
      <c r="E14427" t="s">
        <v>31285</v>
      </c>
      <c r="F14427" t="s">
        <v>32606</v>
      </c>
      <c r="G14427" t="s">
        <v>32613</v>
      </c>
      <c r="H14427" t="s">
        <v>32623</v>
      </c>
      <c r="I14427" t="s">
        <v>17648</v>
      </c>
      <c r="J14427" t="s">
        <v>41675</v>
      </c>
      <c r="K14427" t="s">
        <v>42668</v>
      </c>
      <c r="M14427" t="s">
        <v>45380</v>
      </c>
      <c r="N14427" t="s">
        <v>47304</v>
      </c>
      <c r="O14427" t="s">
        <v>47305</v>
      </c>
      <c r="Q14427">
        <v>1</v>
      </c>
      <c r="R14427" t="s">
        <v>47325</v>
      </c>
      <c r="S14427" t="s">
        <v>48262</v>
      </c>
      <c r="T14427" t="s">
        <v>49315</v>
      </c>
      <c r="U14427" t="s">
        <v>61477</v>
      </c>
      <c r="W14427" t="s">
        <v>45380</v>
      </c>
      <c r="X14427" t="s">
        <v>47326</v>
      </c>
    </row>
    <row r="14428" spans="1:24">
      <c r="A14428">
        <f>HYPERLINK("https://www.philgeps.gov.ph/GEPSNONPILOT/Tender/SplashBidNoticeAbstractUI.aspx?menuIndex=3&amp;refID=7159526&amp;Result=3","7159526")</f>
        <v>0</v>
      </c>
      <c r="B14428" t="s">
        <v>3773</v>
      </c>
      <c r="C14428" t="s">
        <v>17513</v>
      </c>
      <c r="D14428" t="s">
        <v>19023</v>
      </c>
      <c r="E14428" t="s">
        <v>22641</v>
      </c>
      <c r="F14428" t="s">
        <v>32606</v>
      </c>
      <c r="G14428" t="s">
        <v>32613</v>
      </c>
      <c r="H14428" t="s">
        <v>14201</v>
      </c>
      <c r="I14428" t="s">
        <v>32629</v>
      </c>
      <c r="J14428" t="s">
        <v>41676</v>
      </c>
      <c r="K14428" t="s">
        <v>42645</v>
      </c>
      <c r="M14428" t="s">
        <v>47107</v>
      </c>
      <c r="N14428" t="s">
        <v>47304</v>
      </c>
      <c r="O14428" t="s">
        <v>47305</v>
      </c>
      <c r="P14428">
        <v>0</v>
      </c>
      <c r="Q14428">
        <v>1</v>
      </c>
      <c r="R14428" t="s">
        <v>47325</v>
      </c>
      <c r="S14428" t="s">
        <v>48215</v>
      </c>
      <c r="T14428" t="s">
        <v>48976</v>
      </c>
      <c r="U14428" t="s">
        <v>61478</v>
      </c>
      <c r="V14428" t="s">
        <v>64216</v>
      </c>
      <c r="W14428" t="s">
        <v>47107</v>
      </c>
      <c r="X14428" t="s">
        <v>47326</v>
      </c>
    </row>
    <row r="14429" spans="1:24">
      <c r="A14429">
        <f>HYPERLINK("https://www.philgeps.gov.ph/GEPSNONPILOT/Tender/SplashBidNoticeAbstractUI.aspx?menuIndex=3&amp;refID=7159523&amp;Result=3","7159523")</f>
        <v>0</v>
      </c>
      <c r="B14429" t="s">
        <v>2782</v>
      </c>
      <c r="C14429" t="s">
        <v>17514</v>
      </c>
      <c r="D14429" t="s">
        <v>18992</v>
      </c>
      <c r="E14429" t="s">
        <v>31286</v>
      </c>
      <c r="F14429" t="s">
        <v>32606</v>
      </c>
      <c r="G14429" t="s">
        <v>32613</v>
      </c>
      <c r="H14429" t="s">
        <v>14201</v>
      </c>
      <c r="I14429" t="s">
        <v>7677</v>
      </c>
      <c r="J14429" t="s">
        <v>41677</v>
      </c>
      <c r="K14429" t="s">
        <v>42622</v>
      </c>
      <c r="M14429" t="s">
        <v>46157</v>
      </c>
      <c r="N14429" t="s">
        <v>47304</v>
      </c>
      <c r="O14429" t="s">
        <v>47305</v>
      </c>
      <c r="P14429">
        <v>0</v>
      </c>
      <c r="Q14429">
        <v>1</v>
      </c>
      <c r="R14429" t="s">
        <v>47325</v>
      </c>
      <c r="S14429" t="s">
        <v>48215</v>
      </c>
      <c r="T14429" t="s">
        <v>49347</v>
      </c>
      <c r="U14429" t="s">
        <v>61479</v>
      </c>
      <c r="W14429" t="s">
        <v>46157</v>
      </c>
      <c r="X14429" t="s">
        <v>47326</v>
      </c>
    </row>
    <row r="14430" spans="1:24">
      <c r="A14430">
        <f>HYPERLINK("https://www.philgeps.gov.ph/GEPSNONPILOT/Tender/SplashBidNoticeAbstractUI.aspx?menuIndex=3&amp;refID=7159135&amp;Result=3","7159135")</f>
        <v>0</v>
      </c>
      <c r="B14430" t="s">
        <v>387</v>
      </c>
      <c r="C14430" t="s">
        <v>17515</v>
      </c>
      <c r="D14430" t="s">
        <v>18988</v>
      </c>
      <c r="E14430" t="s">
        <v>31287</v>
      </c>
      <c r="F14430" t="s">
        <v>32606</v>
      </c>
      <c r="G14430" t="s">
        <v>32613</v>
      </c>
      <c r="H14430" t="s">
        <v>32623</v>
      </c>
      <c r="I14430" t="s">
        <v>17648</v>
      </c>
      <c r="J14430" t="s">
        <v>33071</v>
      </c>
      <c r="K14430" t="s">
        <v>42636</v>
      </c>
      <c r="M14430" t="s">
        <v>43290</v>
      </c>
      <c r="N14430" t="s">
        <v>47304</v>
      </c>
      <c r="O14430" t="s">
        <v>47305</v>
      </c>
      <c r="Q14430">
        <v>23</v>
      </c>
      <c r="R14430" t="s">
        <v>47325</v>
      </c>
      <c r="S14430" t="s">
        <v>48263</v>
      </c>
      <c r="T14430" t="s">
        <v>49020</v>
      </c>
      <c r="U14430" t="s">
        <v>61480</v>
      </c>
      <c r="W14430" t="s">
        <v>64554</v>
      </c>
      <c r="X14430" t="s">
        <v>47326</v>
      </c>
    </row>
    <row r="14431" spans="1:24">
      <c r="A14431">
        <f>HYPERLINK("https://www.philgeps.gov.ph/GEPSNONPILOT/Tender/SplashBidNoticeAbstractUI.aspx?menuIndex=3&amp;refID=7159358&amp;Result=3","7159358")</f>
        <v>0</v>
      </c>
      <c r="B14431" t="s">
        <v>652</v>
      </c>
      <c r="C14431" t="s">
        <v>17516</v>
      </c>
      <c r="D14431" t="s">
        <v>18993</v>
      </c>
      <c r="E14431" t="s">
        <v>31288</v>
      </c>
      <c r="F14431" t="s">
        <v>32606</v>
      </c>
      <c r="G14431" t="s">
        <v>32613</v>
      </c>
      <c r="H14431" t="s">
        <v>14201</v>
      </c>
      <c r="I14431" t="s">
        <v>32721</v>
      </c>
      <c r="J14431" t="s">
        <v>41678</v>
      </c>
      <c r="K14431" t="s">
        <v>42674</v>
      </c>
      <c r="M14431" t="s">
        <v>47108</v>
      </c>
      <c r="N14431" t="s">
        <v>47304</v>
      </c>
      <c r="O14431" t="s">
        <v>47305</v>
      </c>
      <c r="Q14431">
        <v>18</v>
      </c>
      <c r="R14431" t="s">
        <v>47325</v>
      </c>
      <c r="S14431" t="s">
        <v>48264</v>
      </c>
      <c r="T14431" t="s">
        <v>49028</v>
      </c>
      <c r="U14431" t="s">
        <v>61481</v>
      </c>
      <c r="W14431" t="s">
        <v>47108</v>
      </c>
      <c r="X14431" t="s">
        <v>47326</v>
      </c>
    </row>
    <row r="14432" spans="1:24">
      <c r="A14432">
        <f>HYPERLINK("https://www.philgeps.gov.ph/GEPSNONPILOT/Tender/SplashBidNoticeAbstractUI.aspx?menuIndex=3&amp;refID=7159521&amp;Result=3","7159521")</f>
        <v>0</v>
      </c>
      <c r="B14432" t="s">
        <v>2326</v>
      </c>
      <c r="C14432" t="s">
        <v>17517</v>
      </c>
      <c r="E14432" t="s">
        <v>31289</v>
      </c>
      <c r="F14432" t="s">
        <v>32606</v>
      </c>
      <c r="G14432" t="s">
        <v>32613</v>
      </c>
      <c r="H14432" t="s">
        <v>14201</v>
      </c>
      <c r="I14432" t="s">
        <v>32640</v>
      </c>
      <c r="J14432" t="s">
        <v>33382</v>
      </c>
      <c r="K14432" t="s">
        <v>42624</v>
      </c>
      <c r="M14432" t="s">
        <v>47106</v>
      </c>
      <c r="N14432" t="s">
        <v>47304</v>
      </c>
      <c r="O14432" t="s">
        <v>47305</v>
      </c>
      <c r="P14432">
        <v>0</v>
      </c>
      <c r="Q14432">
        <v>22</v>
      </c>
      <c r="R14432" t="s">
        <v>47325</v>
      </c>
      <c r="S14432" t="s">
        <v>48215</v>
      </c>
      <c r="T14432" t="s">
        <v>49071</v>
      </c>
      <c r="U14432" t="s">
        <v>61482</v>
      </c>
      <c r="W14432" t="s">
        <v>47106</v>
      </c>
      <c r="X14432" t="s">
        <v>47326</v>
      </c>
    </row>
    <row r="14433" spans="1:24">
      <c r="A14433">
        <f>HYPERLINK("https://www.philgeps.gov.ph/GEPSNONPILOT/Tender/SplashBidNoticeAbstractUI.aspx?menuIndex=3&amp;refID=7159472&amp;Result=3","7159472")</f>
        <v>0</v>
      </c>
      <c r="B14433" t="s">
        <v>3774</v>
      </c>
      <c r="C14433" t="s">
        <v>17518</v>
      </c>
      <c r="D14433" t="s">
        <v>18988</v>
      </c>
      <c r="E14433" t="s">
        <v>19316</v>
      </c>
      <c r="F14433" t="s">
        <v>32606</v>
      </c>
      <c r="G14433" t="s">
        <v>32613</v>
      </c>
      <c r="H14433" t="s">
        <v>14201</v>
      </c>
      <c r="I14433" t="s">
        <v>4120</v>
      </c>
      <c r="J14433" t="s">
        <v>33630</v>
      </c>
      <c r="K14433" t="s">
        <v>42625</v>
      </c>
      <c r="M14433" t="s">
        <v>47109</v>
      </c>
      <c r="N14433" t="s">
        <v>47304</v>
      </c>
      <c r="O14433" t="s">
        <v>47305</v>
      </c>
      <c r="P14433">
        <v>0</v>
      </c>
      <c r="Q14433">
        <v>3</v>
      </c>
      <c r="R14433" t="s">
        <v>47325</v>
      </c>
      <c r="S14433" t="s">
        <v>48215</v>
      </c>
      <c r="T14433" t="s">
        <v>49268</v>
      </c>
      <c r="U14433" t="s">
        <v>61483</v>
      </c>
      <c r="W14433" t="s">
        <v>47109</v>
      </c>
      <c r="X14433" t="s">
        <v>47326</v>
      </c>
    </row>
    <row r="14434" spans="1:24">
      <c r="A14434">
        <f>HYPERLINK("https://www.philgeps.gov.ph/GEPSNONPILOT/Tender/SplashBidNoticeAbstractUI.aspx?menuIndex=3&amp;refID=7159543&amp;Result=3","7159543")</f>
        <v>0</v>
      </c>
      <c r="B14434" t="s">
        <v>2326</v>
      </c>
      <c r="C14434" t="s">
        <v>17519</v>
      </c>
      <c r="E14434" t="s">
        <v>31290</v>
      </c>
      <c r="F14434" t="s">
        <v>32606</v>
      </c>
      <c r="G14434" t="s">
        <v>32613</v>
      </c>
      <c r="H14434" t="s">
        <v>14201</v>
      </c>
      <c r="I14434" t="s">
        <v>32662</v>
      </c>
      <c r="J14434" t="s">
        <v>33039</v>
      </c>
      <c r="K14434" t="s">
        <v>42624</v>
      </c>
      <c r="M14434" t="s">
        <v>47106</v>
      </c>
      <c r="N14434" t="s">
        <v>47304</v>
      </c>
      <c r="O14434" t="s">
        <v>47305</v>
      </c>
      <c r="P14434">
        <v>0</v>
      </c>
      <c r="Q14434">
        <v>19</v>
      </c>
      <c r="R14434" t="s">
        <v>47325</v>
      </c>
      <c r="S14434" t="s">
        <v>48215</v>
      </c>
      <c r="T14434" t="s">
        <v>49071</v>
      </c>
      <c r="U14434" t="s">
        <v>61484</v>
      </c>
      <c r="W14434" t="s">
        <v>47106</v>
      </c>
      <c r="X14434" t="s">
        <v>47326</v>
      </c>
    </row>
    <row r="14435" spans="1:24">
      <c r="A14435">
        <f>HYPERLINK("https://www.philgeps.gov.ph/GEPSNONPILOT/Tender/SplashBidNoticeAbstractUI.aspx?menuIndex=3&amp;refID=7159522&amp;Result=3","7159522")</f>
        <v>0</v>
      </c>
      <c r="B14435" t="s">
        <v>89</v>
      </c>
      <c r="C14435" t="s">
        <v>17520</v>
      </c>
      <c r="D14435" t="s">
        <v>19018</v>
      </c>
      <c r="E14435" t="s">
        <v>31280</v>
      </c>
      <c r="F14435" t="s">
        <v>32606</v>
      </c>
      <c r="G14435" t="s">
        <v>32613</v>
      </c>
      <c r="H14435" t="s">
        <v>14201</v>
      </c>
      <c r="I14435" t="s">
        <v>32654</v>
      </c>
      <c r="J14435" t="s">
        <v>34012</v>
      </c>
      <c r="K14435" t="s">
        <v>42631</v>
      </c>
      <c r="M14435" t="s">
        <v>42987</v>
      </c>
      <c r="N14435" t="s">
        <v>47304</v>
      </c>
      <c r="O14435" t="s">
        <v>47305</v>
      </c>
      <c r="P14435">
        <v>0</v>
      </c>
      <c r="Q14435">
        <v>0</v>
      </c>
      <c r="R14435" t="s">
        <v>47325</v>
      </c>
      <c r="S14435" t="s">
        <v>48215</v>
      </c>
      <c r="T14435" t="s">
        <v>48980</v>
      </c>
      <c r="U14435" t="s">
        <v>61472</v>
      </c>
      <c r="W14435" t="s">
        <v>42987</v>
      </c>
      <c r="X14435" t="s">
        <v>47326</v>
      </c>
    </row>
    <row r="14436" spans="1:24">
      <c r="A14436">
        <f>HYPERLINK("https://www.philgeps.gov.ph/GEPSNONPILOT/Tender/SplashBidNoticeAbstractUI.aspx?menuIndex=3&amp;refID=7159445&amp;Result=3","7159445")</f>
        <v>0</v>
      </c>
      <c r="B14436" t="s">
        <v>1025</v>
      </c>
      <c r="C14436" t="s">
        <v>17521</v>
      </c>
      <c r="D14436" t="s">
        <v>19035</v>
      </c>
      <c r="E14436" t="s">
        <v>31291</v>
      </c>
      <c r="F14436" t="s">
        <v>32606</v>
      </c>
      <c r="G14436" t="s">
        <v>32613</v>
      </c>
      <c r="H14436" t="s">
        <v>32623</v>
      </c>
      <c r="I14436" t="s">
        <v>17648</v>
      </c>
      <c r="J14436" t="s">
        <v>41679</v>
      </c>
      <c r="K14436" t="s">
        <v>42645</v>
      </c>
      <c r="L14436" t="s">
        <v>1025</v>
      </c>
      <c r="M14436" t="s">
        <v>43977</v>
      </c>
      <c r="N14436" t="s">
        <v>47304</v>
      </c>
      <c r="O14436" t="s">
        <v>47305</v>
      </c>
      <c r="P14436">
        <v>0</v>
      </c>
      <c r="Q14436">
        <v>15</v>
      </c>
      <c r="R14436" t="s">
        <v>47325</v>
      </c>
      <c r="S14436" t="s">
        <v>48215</v>
      </c>
      <c r="T14436" t="s">
        <v>48987</v>
      </c>
      <c r="U14436" t="s">
        <v>51609</v>
      </c>
      <c r="V14436" t="s">
        <v>62904</v>
      </c>
      <c r="W14436" t="s">
        <v>43977</v>
      </c>
      <c r="X14436" t="s">
        <v>47326</v>
      </c>
    </row>
    <row r="14437" spans="1:24">
      <c r="A14437">
        <f>HYPERLINK("https://www.philgeps.gov.ph/GEPSNONPILOT/Tender/SplashBidNoticeAbstractUI.aspx?menuIndex=3&amp;refID=7159399&amp;Result=3","7159399")</f>
        <v>0</v>
      </c>
      <c r="B14437" t="s">
        <v>3351</v>
      </c>
      <c r="C14437" t="s">
        <v>17522</v>
      </c>
      <c r="D14437" t="s">
        <v>19038</v>
      </c>
      <c r="E14437" t="s">
        <v>31292</v>
      </c>
      <c r="F14437" t="s">
        <v>32606</v>
      </c>
      <c r="G14437" t="s">
        <v>32613</v>
      </c>
      <c r="H14437" t="s">
        <v>14201</v>
      </c>
      <c r="I14437" t="s">
        <v>6931</v>
      </c>
      <c r="J14437" t="s">
        <v>41680</v>
      </c>
      <c r="K14437" t="s">
        <v>42623</v>
      </c>
      <c r="M14437" t="s">
        <v>46598</v>
      </c>
      <c r="N14437" t="s">
        <v>47304</v>
      </c>
      <c r="O14437" t="s">
        <v>47305</v>
      </c>
      <c r="P14437">
        <v>0</v>
      </c>
      <c r="Q14437">
        <v>1</v>
      </c>
      <c r="R14437" t="s">
        <v>47325</v>
      </c>
      <c r="S14437" t="s">
        <v>48215</v>
      </c>
      <c r="T14437" t="s">
        <v>49020</v>
      </c>
      <c r="U14437" t="s">
        <v>59178</v>
      </c>
      <c r="V14437" t="s">
        <v>64217</v>
      </c>
      <c r="W14437" t="s">
        <v>46598</v>
      </c>
      <c r="X14437" t="s">
        <v>47326</v>
      </c>
    </row>
    <row r="14438" spans="1:24">
      <c r="A14438">
        <f>HYPERLINK("https://www.philgeps.gov.ph/GEPSNONPILOT/Tender/SplashBidNoticeAbstractUI.aspx?menuIndex=3&amp;refID=7158865&amp;Result=3","7158865")</f>
        <v>0</v>
      </c>
      <c r="B14438" t="s">
        <v>635</v>
      </c>
      <c r="C14438" t="s">
        <v>17523</v>
      </c>
      <c r="D14438" t="s">
        <v>18993</v>
      </c>
      <c r="E14438" t="s">
        <v>31293</v>
      </c>
      <c r="F14438" t="s">
        <v>32606</v>
      </c>
      <c r="G14438" t="s">
        <v>32615</v>
      </c>
      <c r="H14438" t="s">
        <v>32623</v>
      </c>
      <c r="I14438" t="s">
        <v>17648</v>
      </c>
      <c r="J14438" t="s">
        <v>36641</v>
      </c>
      <c r="K14438" t="s">
        <v>42645</v>
      </c>
      <c r="M14438" t="s">
        <v>43553</v>
      </c>
      <c r="N14438" t="s">
        <v>47304</v>
      </c>
      <c r="O14438" t="s">
        <v>47305</v>
      </c>
      <c r="P14438">
        <v>0</v>
      </c>
      <c r="Q14438">
        <v>8</v>
      </c>
      <c r="R14438" t="s">
        <v>47325</v>
      </c>
      <c r="S14438" t="s">
        <v>48215</v>
      </c>
      <c r="T14438" t="s">
        <v>49023</v>
      </c>
      <c r="U14438" t="s">
        <v>61485</v>
      </c>
      <c r="W14438" t="s">
        <v>43553</v>
      </c>
      <c r="X14438" t="s">
        <v>47326</v>
      </c>
    </row>
    <row r="14439" spans="1:24">
      <c r="A14439">
        <f>HYPERLINK("https://www.philgeps.gov.ph/GEPSNONPILOT/Tender/SplashBidNoticeAbstractUI.aspx?menuIndex=3&amp;refID=7159260&amp;Result=3","7159260")</f>
        <v>0</v>
      </c>
      <c r="B14439" t="s">
        <v>3775</v>
      </c>
      <c r="C14439" t="s">
        <v>17524</v>
      </c>
      <c r="E14439" t="s">
        <v>31294</v>
      </c>
      <c r="F14439" t="s">
        <v>32606</v>
      </c>
      <c r="G14439" t="s">
        <v>32613</v>
      </c>
      <c r="H14439" t="s">
        <v>14201</v>
      </c>
      <c r="I14439" t="s">
        <v>4114</v>
      </c>
      <c r="J14439" t="s">
        <v>41681</v>
      </c>
      <c r="K14439" t="s">
        <v>42624</v>
      </c>
      <c r="M14439" t="s">
        <v>47110</v>
      </c>
      <c r="N14439" t="s">
        <v>47304</v>
      </c>
      <c r="O14439" t="s">
        <v>47305</v>
      </c>
      <c r="P14439">
        <v>0</v>
      </c>
      <c r="Q14439">
        <v>3</v>
      </c>
      <c r="R14439" t="s">
        <v>47325</v>
      </c>
      <c r="S14439" t="s">
        <v>48215</v>
      </c>
      <c r="T14439" t="s">
        <v>49047</v>
      </c>
      <c r="U14439" t="s">
        <v>61486</v>
      </c>
      <c r="V14439" t="s">
        <v>64218</v>
      </c>
      <c r="W14439" t="s">
        <v>47110</v>
      </c>
      <c r="X14439" t="s">
        <v>47326</v>
      </c>
    </row>
    <row r="14440" spans="1:24">
      <c r="A14440">
        <f>HYPERLINK("https://www.philgeps.gov.ph/GEPSNONPILOT/Tender/SplashBidNoticeAbstractUI.aspx?menuIndex=3&amp;refID=7159250&amp;Result=3","7159250")</f>
        <v>0</v>
      </c>
      <c r="B14440" t="s">
        <v>2498</v>
      </c>
      <c r="C14440" t="s">
        <v>17525</v>
      </c>
      <c r="D14440" t="s">
        <v>19038</v>
      </c>
      <c r="E14440" t="s">
        <v>31295</v>
      </c>
      <c r="F14440" t="s">
        <v>32606</v>
      </c>
      <c r="G14440" t="s">
        <v>32613</v>
      </c>
      <c r="H14440" t="s">
        <v>14201</v>
      </c>
      <c r="I14440" t="s">
        <v>32663</v>
      </c>
      <c r="J14440" t="s">
        <v>32795</v>
      </c>
      <c r="K14440" t="s">
        <v>42631</v>
      </c>
      <c r="M14440" t="s">
        <v>45636</v>
      </c>
      <c r="N14440" t="s">
        <v>47304</v>
      </c>
      <c r="O14440" t="s">
        <v>47305</v>
      </c>
      <c r="P14440">
        <v>0</v>
      </c>
      <c r="Q14440">
        <v>1</v>
      </c>
      <c r="R14440" t="s">
        <v>47325</v>
      </c>
      <c r="S14440" t="s">
        <v>48215</v>
      </c>
      <c r="T14440" t="s">
        <v>49020</v>
      </c>
      <c r="U14440" t="s">
        <v>61487</v>
      </c>
      <c r="V14440" t="s">
        <v>63390</v>
      </c>
      <c r="W14440" t="s">
        <v>45636</v>
      </c>
      <c r="X14440" t="s">
        <v>47326</v>
      </c>
    </row>
    <row r="14441" spans="1:24">
      <c r="A14441">
        <f>HYPERLINK("https://www.philgeps.gov.ph/GEPSNONPILOT/Tender/SplashBidNoticeAbstractUI.aspx?menuIndex=3&amp;refID=7159493&amp;Result=3","7159493")</f>
        <v>0</v>
      </c>
      <c r="B14441" t="s">
        <v>89</v>
      </c>
      <c r="C14441" t="s">
        <v>17526</v>
      </c>
      <c r="D14441" t="s">
        <v>19018</v>
      </c>
      <c r="E14441" t="s">
        <v>31280</v>
      </c>
      <c r="F14441" t="s">
        <v>32606</v>
      </c>
      <c r="G14441" t="s">
        <v>32613</v>
      </c>
      <c r="H14441" t="s">
        <v>14201</v>
      </c>
      <c r="I14441" t="s">
        <v>32650</v>
      </c>
      <c r="J14441" t="s">
        <v>41682</v>
      </c>
      <c r="K14441" t="s">
        <v>42631</v>
      </c>
      <c r="M14441" t="s">
        <v>42987</v>
      </c>
      <c r="N14441" t="s">
        <v>47304</v>
      </c>
      <c r="O14441" t="s">
        <v>47305</v>
      </c>
      <c r="P14441">
        <v>0</v>
      </c>
      <c r="Q14441">
        <v>2</v>
      </c>
      <c r="R14441" t="s">
        <v>47325</v>
      </c>
      <c r="S14441" t="s">
        <v>48215</v>
      </c>
      <c r="T14441" t="s">
        <v>48980</v>
      </c>
      <c r="U14441" t="s">
        <v>61472</v>
      </c>
      <c r="W14441" t="s">
        <v>42987</v>
      </c>
      <c r="X14441" t="s">
        <v>47326</v>
      </c>
    </row>
    <row r="14442" spans="1:24">
      <c r="A14442">
        <f>HYPERLINK("https://www.philgeps.gov.ph/GEPSNONPILOT/Tender/SplashBidNoticeAbstractUI.aspx?menuIndex=3&amp;refID=7159459&amp;Result=3","7159459")</f>
        <v>0</v>
      </c>
      <c r="B14442" t="s">
        <v>89</v>
      </c>
      <c r="C14442" t="s">
        <v>17527</v>
      </c>
      <c r="D14442" t="s">
        <v>19018</v>
      </c>
      <c r="E14442" t="s">
        <v>31270</v>
      </c>
      <c r="F14442" t="s">
        <v>32606</v>
      </c>
      <c r="G14442" t="s">
        <v>32613</v>
      </c>
      <c r="H14442" t="s">
        <v>14201</v>
      </c>
      <c r="I14442" t="s">
        <v>6298</v>
      </c>
      <c r="J14442" t="s">
        <v>41683</v>
      </c>
      <c r="K14442" t="s">
        <v>42648</v>
      </c>
      <c r="M14442" t="s">
        <v>42987</v>
      </c>
      <c r="N14442" t="s">
        <v>47304</v>
      </c>
      <c r="O14442" t="s">
        <v>47305</v>
      </c>
      <c r="Q14442">
        <v>0</v>
      </c>
      <c r="R14442" t="s">
        <v>47325</v>
      </c>
      <c r="S14442" t="s">
        <v>48265</v>
      </c>
      <c r="T14442" t="s">
        <v>48980</v>
      </c>
      <c r="U14442" t="s">
        <v>61463</v>
      </c>
      <c r="W14442" t="s">
        <v>42987</v>
      </c>
      <c r="X14442" t="s">
        <v>47326</v>
      </c>
    </row>
    <row r="14443" spans="1:24">
      <c r="A14443">
        <f>HYPERLINK("https://www.philgeps.gov.ph/GEPSNONPILOT/Tender/SplashBidNoticeAbstractUI.aspx?menuIndex=3&amp;refID=7159237&amp;Result=3","7159237")</f>
        <v>0</v>
      </c>
      <c r="B14443" t="s">
        <v>3770</v>
      </c>
      <c r="C14443" t="s">
        <v>17528</v>
      </c>
      <c r="D14443" t="s">
        <v>19019</v>
      </c>
      <c r="E14443" t="s">
        <v>31296</v>
      </c>
      <c r="F14443" t="s">
        <v>32606</v>
      </c>
      <c r="G14443" t="s">
        <v>32613</v>
      </c>
      <c r="H14443" t="s">
        <v>14201</v>
      </c>
      <c r="I14443" t="s">
        <v>32634</v>
      </c>
      <c r="J14443" t="s">
        <v>32975</v>
      </c>
      <c r="K14443" t="s">
        <v>42627</v>
      </c>
      <c r="M14443" t="s">
        <v>47103</v>
      </c>
      <c r="N14443" t="s">
        <v>47304</v>
      </c>
      <c r="O14443" t="s">
        <v>47305</v>
      </c>
      <c r="P14443">
        <v>0</v>
      </c>
      <c r="Q14443">
        <v>3</v>
      </c>
      <c r="R14443" t="s">
        <v>47325</v>
      </c>
      <c r="S14443" t="s">
        <v>48215</v>
      </c>
      <c r="T14443" t="s">
        <v>49506</v>
      </c>
      <c r="U14443" t="s">
        <v>61488</v>
      </c>
      <c r="W14443" t="s">
        <v>47103</v>
      </c>
      <c r="X14443" t="s">
        <v>47326</v>
      </c>
    </row>
    <row r="14444" spans="1:24">
      <c r="A14444">
        <f>HYPERLINK("https://www.philgeps.gov.ph/GEPSNONPILOT/Tender/SplashBidNoticeAbstractUI.aspx?menuIndex=3&amp;refID=7159444&amp;Result=3","7159444")</f>
        <v>0</v>
      </c>
      <c r="B14444" t="s">
        <v>2981</v>
      </c>
      <c r="C14444" t="s">
        <v>17529</v>
      </c>
      <c r="D14444" t="s">
        <v>19038</v>
      </c>
      <c r="E14444" t="s">
        <v>31297</v>
      </c>
      <c r="F14444" t="s">
        <v>32606</v>
      </c>
      <c r="G14444" t="s">
        <v>32613</v>
      </c>
      <c r="H14444" t="s">
        <v>32625</v>
      </c>
      <c r="I14444" t="s">
        <v>32625</v>
      </c>
      <c r="J14444" t="s">
        <v>41684</v>
      </c>
      <c r="K14444" t="s">
        <v>42639</v>
      </c>
      <c r="M14444" t="s">
        <v>46168</v>
      </c>
      <c r="N14444" t="s">
        <v>47304</v>
      </c>
      <c r="O14444" t="s">
        <v>47305</v>
      </c>
      <c r="P14444">
        <v>0</v>
      </c>
      <c r="Q14444">
        <v>4</v>
      </c>
      <c r="R14444" t="s">
        <v>47325</v>
      </c>
      <c r="S14444" t="s">
        <v>48215</v>
      </c>
      <c r="T14444" t="s">
        <v>49507</v>
      </c>
      <c r="U14444" t="s">
        <v>61489</v>
      </c>
      <c r="W14444" t="s">
        <v>46168</v>
      </c>
      <c r="X14444" t="s">
        <v>47326</v>
      </c>
    </row>
    <row r="14445" spans="1:24">
      <c r="A14445">
        <f>HYPERLINK("https://www.philgeps.gov.ph/GEPSNONPILOT/Tender/SplashBidNoticeAbstractUI.aspx?menuIndex=3&amp;refID=7159460&amp;Result=3","7159460")</f>
        <v>0</v>
      </c>
      <c r="B14445" t="s">
        <v>3776</v>
      </c>
      <c r="C14445" t="s">
        <v>17530</v>
      </c>
      <c r="E14445" t="s">
        <v>31298</v>
      </c>
      <c r="F14445" t="s">
        <v>32606</v>
      </c>
      <c r="G14445" t="s">
        <v>32613</v>
      </c>
      <c r="H14445" t="s">
        <v>32623</v>
      </c>
      <c r="I14445" t="s">
        <v>17648</v>
      </c>
      <c r="J14445" t="s">
        <v>36192</v>
      </c>
      <c r="K14445" t="s">
        <v>42624</v>
      </c>
      <c r="M14445" t="s">
        <v>47111</v>
      </c>
      <c r="N14445" t="s">
        <v>47304</v>
      </c>
      <c r="O14445" t="s">
        <v>47305</v>
      </c>
      <c r="P14445">
        <v>0</v>
      </c>
      <c r="Q14445">
        <v>15</v>
      </c>
      <c r="R14445" t="s">
        <v>47325</v>
      </c>
      <c r="S14445" t="s">
        <v>48215</v>
      </c>
      <c r="T14445" t="s">
        <v>49268</v>
      </c>
      <c r="U14445" t="s">
        <v>61490</v>
      </c>
      <c r="W14445" t="s">
        <v>47111</v>
      </c>
      <c r="X14445" t="s">
        <v>47326</v>
      </c>
    </row>
    <row r="14446" spans="1:24">
      <c r="A14446">
        <f>HYPERLINK("https://www.philgeps.gov.ph/GEPSNONPILOT/Tender/SplashBidNoticeAbstractUI.aspx?menuIndex=3&amp;refID=7159253&amp;Result=3","7159253")</f>
        <v>0</v>
      </c>
      <c r="B14446" t="s">
        <v>3351</v>
      </c>
      <c r="C14446" t="s">
        <v>17531</v>
      </c>
      <c r="D14446" t="s">
        <v>19038</v>
      </c>
      <c r="E14446" t="s">
        <v>31299</v>
      </c>
      <c r="F14446" t="s">
        <v>32606</v>
      </c>
      <c r="G14446" t="s">
        <v>32613</v>
      </c>
      <c r="H14446" t="s">
        <v>14201</v>
      </c>
      <c r="I14446" t="s">
        <v>7677</v>
      </c>
      <c r="J14446" t="s">
        <v>32767</v>
      </c>
      <c r="K14446" t="s">
        <v>42623</v>
      </c>
      <c r="M14446" t="s">
        <v>46598</v>
      </c>
      <c r="N14446" t="s">
        <v>47304</v>
      </c>
      <c r="O14446" t="s">
        <v>47305</v>
      </c>
      <c r="P14446">
        <v>0</v>
      </c>
      <c r="Q14446">
        <v>6</v>
      </c>
      <c r="R14446" t="s">
        <v>47325</v>
      </c>
      <c r="S14446" t="s">
        <v>48215</v>
      </c>
      <c r="T14446" t="s">
        <v>49020</v>
      </c>
      <c r="U14446" t="s">
        <v>59178</v>
      </c>
      <c r="V14446" t="s">
        <v>64217</v>
      </c>
      <c r="W14446" t="s">
        <v>46598</v>
      </c>
      <c r="X14446" t="s">
        <v>47326</v>
      </c>
    </row>
    <row r="14447" spans="1:24">
      <c r="A14447">
        <f>HYPERLINK("https://www.philgeps.gov.ph/GEPSNONPILOT/Tender/SplashBidNoticeAbstractUI.aspx?menuIndex=3&amp;refID=7159194&amp;Result=3","7159194")</f>
        <v>0</v>
      </c>
      <c r="B14447" t="s">
        <v>2782</v>
      </c>
      <c r="C14447" t="s">
        <v>17532</v>
      </c>
      <c r="D14447" t="s">
        <v>18992</v>
      </c>
      <c r="E14447" t="s">
        <v>31300</v>
      </c>
      <c r="F14447" t="s">
        <v>32606</v>
      </c>
      <c r="G14447" t="s">
        <v>32613</v>
      </c>
      <c r="H14447" t="s">
        <v>14201</v>
      </c>
      <c r="I14447" t="s">
        <v>4114</v>
      </c>
      <c r="J14447" t="s">
        <v>41685</v>
      </c>
      <c r="K14447" t="s">
        <v>42622</v>
      </c>
      <c r="M14447" t="s">
        <v>46157</v>
      </c>
      <c r="N14447" t="s">
        <v>47304</v>
      </c>
      <c r="O14447" t="s">
        <v>47305</v>
      </c>
      <c r="P14447">
        <v>0</v>
      </c>
      <c r="Q14447">
        <v>1</v>
      </c>
      <c r="R14447" t="s">
        <v>47325</v>
      </c>
      <c r="S14447" t="s">
        <v>48215</v>
      </c>
      <c r="T14447" t="s">
        <v>49347</v>
      </c>
      <c r="U14447" t="s">
        <v>61491</v>
      </c>
      <c r="W14447" t="s">
        <v>46157</v>
      </c>
      <c r="X14447" t="s">
        <v>47326</v>
      </c>
    </row>
    <row r="14448" spans="1:24">
      <c r="A14448">
        <f>HYPERLINK("https://www.philgeps.gov.ph/GEPSNONPILOT/Tender/SplashBidNoticeAbstractUI.aspx?menuIndex=3&amp;refID=7159235&amp;Result=3","7159235")</f>
        <v>0</v>
      </c>
      <c r="B14448" t="s">
        <v>1622</v>
      </c>
      <c r="C14448" t="s">
        <v>17533</v>
      </c>
      <c r="D14448" t="s">
        <v>19037</v>
      </c>
      <c r="E14448" t="s">
        <v>31301</v>
      </c>
      <c r="F14448" t="s">
        <v>32606</v>
      </c>
      <c r="G14448" t="s">
        <v>32613</v>
      </c>
      <c r="H14448" t="s">
        <v>14201</v>
      </c>
      <c r="I14448" t="s">
        <v>32630</v>
      </c>
      <c r="J14448" t="s">
        <v>32770</v>
      </c>
      <c r="K14448" t="s">
        <v>42631</v>
      </c>
      <c r="M14448" t="s">
        <v>44642</v>
      </c>
      <c r="N14448" t="s">
        <v>47304</v>
      </c>
      <c r="O14448" t="s">
        <v>47305</v>
      </c>
      <c r="Q14448">
        <v>4</v>
      </c>
      <c r="R14448" t="s">
        <v>47325</v>
      </c>
      <c r="S14448" t="s">
        <v>48266</v>
      </c>
      <c r="T14448" t="s">
        <v>49107</v>
      </c>
      <c r="U14448" t="s">
        <v>61492</v>
      </c>
      <c r="W14448" t="s">
        <v>44642</v>
      </c>
      <c r="X14448" t="s">
        <v>47326</v>
      </c>
    </row>
    <row r="14449" spans="1:24">
      <c r="A14449">
        <f>HYPERLINK("https://www.philgeps.gov.ph/GEPSNONPILOT/Tender/SplashBidNoticeAbstractUI.aspx?menuIndex=3&amp;refID=7159231&amp;Result=3","7159231")</f>
        <v>0</v>
      </c>
      <c r="B14449" t="s">
        <v>1420</v>
      </c>
      <c r="C14449" t="s">
        <v>17534</v>
      </c>
      <c r="D14449" t="s">
        <v>19020</v>
      </c>
      <c r="E14449" t="s">
        <v>31302</v>
      </c>
      <c r="F14449" t="s">
        <v>32606</v>
      </c>
      <c r="G14449" t="s">
        <v>32613</v>
      </c>
      <c r="H14449" t="s">
        <v>32623</v>
      </c>
      <c r="I14449" t="s">
        <v>32659</v>
      </c>
      <c r="J14449" t="s">
        <v>32778</v>
      </c>
      <c r="K14449" t="s">
        <v>42694</v>
      </c>
      <c r="M14449" t="s">
        <v>44408</v>
      </c>
      <c r="N14449" t="s">
        <v>47304</v>
      </c>
      <c r="O14449" t="s">
        <v>47305</v>
      </c>
      <c r="P14449">
        <v>0</v>
      </c>
      <c r="Q14449">
        <v>0</v>
      </c>
      <c r="R14449" t="s">
        <v>47325</v>
      </c>
      <c r="S14449" t="s">
        <v>48215</v>
      </c>
      <c r="T14449" t="s">
        <v>49072</v>
      </c>
      <c r="U14449" t="s">
        <v>61493</v>
      </c>
      <c r="W14449" t="s">
        <v>44408</v>
      </c>
      <c r="X14449" t="s">
        <v>47326</v>
      </c>
    </row>
    <row r="14450" spans="1:24">
      <c r="A14450">
        <f>HYPERLINK("https://www.philgeps.gov.ph/GEPSNONPILOT/Tender/SplashBidNoticeAbstractUI.aspx?menuIndex=3&amp;refID=7158830&amp;Result=3","7158830")</f>
        <v>0</v>
      </c>
      <c r="B14450" t="s">
        <v>3313</v>
      </c>
      <c r="C14450" t="s">
        <v>17535</v>
      </c>
      <c r="D14450" t="s">
        <v>19009</v>
      </c>
      <c r="E14450" t="s">
        <v>31303</v>
      </c>
      <c r="F14450" t="s">
        <v>32606</v>
      </c>
      <c r="G14450" t="s">
        <v>32613</v>
      </c>
      <c r="H14450" t="s">
        <v>32623</v>
      </c>
      <c r="I14450" t="s">
        <v>17648</v>
      </c>
      <c r="J14450" t="s">
        <v>40560</v>
      </c>
      <c r="K14450" t="s">
        <v>42634</v>
      </c>
      <c r="M14450" t="s">
        <v>46558</v>
      </c>
      <c r="N14450" t="s">
        <v>47304</v>
      </c>
      <c r="O14450" t="s">
        <v>47305</v>
      </c>
      <c r="P14450">
        <v>0</v>
      </c>
      <c r="Q14450">
        <v>0</v>
      </c>
      <c r="R14450" t="s">
        <v>47325</v>
      </c>
      <c r="S14450" t="s">
        <v>48215</v>
      </c>
      <c r="T14450" t="s">
        <v>49268</v>
      </c>
      <c r="U14450" t="s">
        <v>61494</v>
      </c>
      <c r="W14450" t="s">
        <v>46558</v>
      </c>
      <c r="X14450" t="s">
        <v>47326</v>
      </c>
    </row>
    <row r="14451" spans="1:24">
      <c r="A14451">
        <f>HYPERLINK("https://www.philgeps.gov.ph/GEPSNONPILOT/Tender/SplashBidNoticeAbstractUI.aspx?menuIndex=3&amp;refID=7159006&amp;Result=3","7159006")</f>
        <v>0</v>
      </c>
      <c r="B14451" t="s">
        <v>844</v>
      </c>
      <c r="C14451" t="s">
        <v>17536</v>
      </c>
      <c r="D14451" t="s">
        <v>19056</v>
      </c>
      <c r="E14451" t="s">
        <v>31304</v>
      </c>
      <c r="F14451" t="s">
        <v>32606</v>
      </c>
      <c r="G14451" t="s">
        <v>32613</v>
      </c>
      <c r="H14451" t="s">
        <v>32623</v>
      </c>
      <c r="I14451" t="s">
        <v>17648</v>
      </c>
      <c r="J14451" t="s">
        <v>41686</v>
      </c>
      <c r="K14451" t="s">
        <v>42857</v>
      </c>
      <c r="L14451" t="s">
        <v>844</v>
      </c>
      <c r="M14451" t="s">
        <v>43776</v>
      </c>
      <c r="N14451" t="s">
        <v>47304</v>
      </c>
      <c r="O14451" t="s">
        <v>47305</v>
      </c>
      <c r="P14451">
        <v>0</v>
      </c>
      <c r="Q14451">
        <v>2</v>
      </c>
      <c r="R14451" t="s">
        <v>47325</v>
      </c>
      <c r="S14451" t="s">
        <v>48215</v>
      </c>
      <c r="T14451" t="s">
        <v>49071</v>
      </c>
      <c r="U14451" t="s">
        <v>61495</v>
      </c>
      <c r="V14451" t="s">
        <v>63249</v>
      </c>
      <c r="W14451" t="s">
        <v>43776</v>
      </c>
      <c r="X14451" t="s">
        <v>47326</v>
      </c>
    </row>
    <row r="14452" spans="1:24">
      <c r="A14452">
        <f>HYPERLINK("https://www.philgeps.gov.ph/GEPSNONPILOT/Tender/SplashBidNoticeAbstractUI.aspx?menuIndex=3&amp;refID=7158840&amp;Result=3","7158840")</f>
        <v>0</v>
      </c>
      <c r="B14452" t="s">
        <v>1745</v>
      </c>
      <c r="C14452" t="s">
        <v>17537</v>
      </c>
      <c r="D14452" t="s">
        <v>18988</v>
      </c>
      <c r="E14452" t="s">
        <v>20124</v>
      </c>
      <c r="F14452" t="s">
        <v>32606</v>
      </c>
      <c r="G14452" t="s">
        <v>32613</v>
      </c>
      <c r="H14452" t="s">
        <v>14201</v>
      </c>
      <c r="I14452" t="s">
        <v>32631</v>
      </c>
      <c r="J14452" t="s">
        <v>41687</v>
      </c>
      <c r="K14452" t="s">
        <v>42622</v>
      </c>
      <c r="M14452" t="s">
        <v>44779</v>
      </c>
      <c r="N14452" t="s">
        <v>47304</v>
      </c>
      <c r="O14452" t="s">
        <v>47305</v>
      </c>
      <c r="P14452">
        <v>0</v>
      </c>
      <c r="Q14452">
        <v>0</v>
      </c>
      <c r="R14452" t="s">
        <v>47325</v>
      </c>
      <c r="S14452" t="s">
        <v>48215</v>
      </c>
      <c r="T14452" t="s">
        <v>49084</v>
      </c>
      <c r="U14452" t="s">
        <v>61496</v>
      </c>
      <c r="W14452" t="s">
        <v>44779</v>
      </c>
      <c r="X14452" t="s">
        <v>47326</v>
      </c>
    </row>
    <row r="14453" spans="1:24">
      <c r="A14453">
        <f>HYPERLINK("https://www.philgeps.gov.ph/GEPSNONPILOT/Tender/SplashBidNoticeAbstractUI.aspx?menuIndex=3&amp;refID=7163954&amp;Result=3","7163954")</f>
        <v>0</v>
      </c>
      <c r="B14453" t="s">
        <v>3444</v>
      </c>
      <c r="C14453" t="s">
        <v>17538</v>
      </c>
      <c r="D14453" t="s">
        <v>19001</v>
      </c>
      <c r="E14453" t="s">
        <v>31305</v>
      </c>
      <c r="F14453" t="s">
        <v>32606</v>
      </c>
      <c r="G14453" t="s">
        <v>32613</v>
      </c>
      <c r="H14453" t="s">
        <v>14201</v>
      </c>
      <c r="I14453" t="s">
        <v>6931</v>
      </c>
      <c r="J14453" t="s">
        <v>41688</v>
      </c>
      <c r="K14453" t="s">
        <v>42627</v>
      </c>
      <c r="M14453" t="s">
        <v>46704</v>
      </c>
      <c r="N14453" t="s">
        <v>47304</v>
      </c>
      <c r="O14453" t="s">
        <v>47305</v>
      </c>
      <c r="Q14453">
        <v>0</v>
      </c>
      <c r="R14453" t="s">
        <v>47322</v>
      </c>
      <c r="S14453" t="s">
        <v>48267</v>
      </c>
      <c r="T14453" t="s">
        <v>48987</v>
      </c>
      <c r="U14453" t="s">
        <v>61497</v>
      </c>
      <c r="W14453" t="s">
        <v>64540</v>
      </c>
      <c r="X14453" t="s">
        <v>47325</v>
      </c>
    </row>
    <row r="14454" spans="1:24">
      <c r="A14454">
        <f>HYPERLINK("https://www.philgeps.gov.ph/GEPSNONPILOT/Tender/SplashBidNoticeAbstractUI.aspx?menuIndex=3&amp;refID=7158832&amp;Result=3","7158832")</f>
        <v>0</v>
      </c>
      <c r="B14454" t="s">
        <v>2339</v>
      </c>
      <c r="C14454" t="s">
        <v>17539</v>
      </c>
      <c r="D14454" t="s">
        <v>19018</v>
      </c>
      <c r="E14454" t="s">
        <v>31306</v>
      </c>
      <c r="F14454" t="s">
        <v>32606</v>
      </c>
      <c r="G14454" t="s">
        <v>32613</v>
      </c>
      <c r="H14454" t="s">
        <v>14201</v>
      </c>
      <c r="I14454" t="s">
        <v>32640</v>
      </c>
      <c r="J14454" t="s">
        <v>41689</v>
      </c>
      <c r="K14454" t="s">
        <v>42631</v>
      </c>
      <c r="M14454" t="s">
        <v>45449</v>
      </c>
      <c r="N14454" t="s">
        <v>47304</v>
      </c>
      <c r="O14454" t="s">
        <v>47305</v>
      </c>
      <c r="Q14454">
        <v>2</v>
      </c>
      <c r="R14454" t="s">
        <v>47325</v>
      </c>
      <c r="S14454" t="s">
        <v>47672</v>
      </c>
      <c r="T14454" t="s">
        <v>48987</v>
      </c>
      <c r="U14454" t="s">
        <v>61498</v>
      </c>
      <c r="W14454" t="s">
        <v>45449</v>
      </c>
      <c r="X14454" t="s">
        <v>47326</v>
      </c>
    </row>
    <row r="14455" spans="1:24">
      <c r="A14455">
        <f>HYPERLINK("https://www.philgeps.gov.ph/GEPSNONPILOT/Tender/SplashBidNoticeAbstractUI.aspx?menuIndex=3&amp;refID=7163342&amp;Result=3","7163342")</f>
        <v>0</v>
      </c>
      <c r="B14455" t="s">
        <v>1036</v>
      </c>
      <c r="C14455" t="s">
        <v>17540</v>
      </c>
      <c r="D14455" t="s">
        <v>18997</v>
      </c>
      <c r="E14455" t="s">
        <v>31307</v>
      </c>
      <c r="F14455" t="s">
        <v>32606</v>
      </c>
      <c r="G14455" t="s">
        <v>32613</v>
      </c>
      <c r="H14455" t="s">
        <v>14201</v>
      </c>
      <c r="I14455" t="s">
        <v>32660</v>
      </c>
      <c r="J14455" t="s">
        <v>41259</v>
      </c>
      <c r="K14455" t="s">
        <v>42636</v>
      </c>
      <c r="M14455" t="s">
        <v>43989</v>
      </c>
      <c r="N14455" t="s">
        <v>47304</v>
      </c>
      <c r="O14455" t="s">
        <v>47305</v>
      </c>
      <c r="Q14455">
        <v>1</v>
      </c>
      <c r="R14455" t="s">
        <v>47322</v>
      </c>
      <c r="S14455" t="s">
        <v>48205</v>
      </c>
      <c r="T14455" t="s">
        <v>49011</v>
      </c>
      <c r="U14455" t="s">
        <v>61499</v>
      </c>
      <c r="W14455" t="s">
        <v>43989</v>
      </c>
      <c r="X14455" t="s">
        <v>47325</v>
      </c>
    </row>
    <row r="14456" spans="1:24">
      <c r="A14456">
        <f>HYPERLINK("https://www.philgeps.gov.ph/GEPSNONPILOT/Tender/SplashBidNoticeAbstractUI.aspx?menuIndex=3&amp;refID=7163302&amp;Result=3","7163302")</f>
        <v>0</v>
      </c>
      <c r="B14456" t="s">
        <v>3777</v>
      </c>
      <c r="C14456" t="s">
        <v>8822</v>
      </c>
      <c r="E14456" t="s">
        <v>19690</v>
      </c>
      <c r="F14456" t="s">
        <v>32608</v>
      </c>
      <c r="G14456" t="s">
        <v>32613</v>
      </c>
      <c r="H14456" t="s">
        <v>14201</v>
      </c>
      <c r="I14456" t="s">
        <v>6931</v>
      </c>
      <c r="J14456" t="s">
        <v>41690</v>
      </c>
      <c r="K14456" t="s">
        <v>42624</v>
      </c>
      <c r="M14456" t="s">
        <v>47112</v>
      </c>
      <c r="N14456" t="s">
        <v>47304</v>
      </c>
      <c r="O14456" t="s">
        <v>47305</v>
      </c>
      <c r="P14456">
        <v>0</v>
      </c>
      <c r="Q14456">
        <v>0</v>
      </c>
      <c r="R14456" t="s">
        <v>47322</v>
      </c>
      <c r="S14456" t="s">
        <v>48156</v>
      </c>
      <c r="T14456" t="s">
        <v>49124</v>
      </c>
      <c r="U14456" t="s">
        <v>61500</v>
      </c>
      <c r="W14456" t="s">
        <v>47112</v>
      </c>
      <c r="X14456" t="s">
        <v>47325</v>
      </c>
    </row>
    <row r="14457" spans="1:24">
      <c r="A14457">
        <f>HYPERLINK("https://www.philgeps.gov.ph/GEPSNONPILOT/Tender/SplashBidNoticeAbstractUI.aspx?menuIndex=3&amp;refID=7163260&amp;Result=3","7163260")</f>
        <v>0</v>
      </c>
      <c r="B14457" t="s">
        <v>2505</v>
      </c>
      <c r="C14457" t="s">
        <v>17541</v>
      </c>
      <c r="D14457" t="s">
        <v>19007</v>
      </c>
      <c r="E14457" t="s">
        <v>31308</v>
      </c>
      <c r="F14457" t="s">
        <v>32606</v>
      </c>
      <c r="G14457" t="s">
        <v>32613</v>
      </c>
      <c r="H14457" t="s">
        <v>14201</v>
      </c>
      <c r="I14457" t="s">
        <v>7064</v>
      </c>
      <c r="J14457" t="s">
        <v>41691</v>
      </c>
      <c r="K14457" t="s">
        <v>42712</v>
      </c>
      <c r="M14457" t="s">
        <v>45644</v>
      </c>
      <c r="N14457" t="s">
        <v>47304</v>
      </c>
      <c r="O14457" t="s">
        <v>47305</v>
      </c>
      <c r="Q14457">
        <v>56</v>
      </c>
      <c r="R14457" t="s">
        <v>47322</v>
      </c>
      <c r="S14457" t="s">
        <v>48268</v>
      </c>
      <c r="T14457" t="s">
        <v>49508</v>
      </c>
      <c r="U14457" t="s">
        <v>61501</v>
      </c>
      <c r="V14457" t="s">
        <v>64219</v>
      </c>
      <c r="W14457" t="s">
        <v>45644</v>
      </c>
      <c r="X14457" t="s">
        <v>47325</v>
      </c>
    </row>
    <row r="14458" spans="1:24">
      <c r="A14458">
        <f>HYPERLINK("https://www.philgeps.gov.ph/GEPSNONPILOT/Tender/SplashBidNoticeAbstractUI.aspx?menuIndex=3&amp;refID=7158986&amp;Result=3","7158986")</f>
        <v>0</v>
      </c>
      <c r="B14458" t="s">
        <v>1420</v>
      </c>
      <c r="C14458" t="s">
        <v>17542</v>
      </c>
      <c r="D14458" t="s">
        <v>19020</v>
      </c>
      <c r="E14458" t="s">
        <v>31309</v>
      </c>
      <c r="F14458" t="s">
        <v>32606</v>
      </c>
      <c r="G14458" t="s">
        <v>32613</v>
      </c>
      <c r="H14458" t="s">
        <v>32623</v>
      </c>
      <c r="I14458" t="s">
        <v>32659</v>
      </c>
      <c r="J14458" t="s">
        <v>41692</v>
      </c>
      <c r="K14458" t="s">
        <v>42643</v>
      </c>
      <c r="M14458" t="s">
        <v>44408</v>
      </c>
      <c r="N14458" t="s">
        <v>47304</v>
      </c>
      <c r="O14458" t="s">
        <v>47305</v>
      </c>
      <c r="P14458">
        <v>0</v>
      </c>
      <c r="Q14458">
        <v>0</v>
      </c>
      <c r="R14458" t="s">
        <v>47325</v>
      </c>
      <c r="S14458" t="s">
        <v>48215</v>
      </c>
      <c r="T14458" t="s">
        <v>49072</v>
      </c>
      <c r="U14458" t="s">
        <v>61502</v>
      </c>
      <c r="W14458" t="s">
        <v>44408</v>
      </c>
      <c r="X14458" t="s">
        <v>47326</v>
      </c>
    </row>
    <row r="14459" spans="1:24">
      <c r="A14459">
        <f>HYPERLINK("https://www.philgeps.gov.ph/GEPSNONPILOT/Tender/SplashBidNoticeAbstractUI.aspx?menuIndex=3&amp;refID=7158814&amp;Result=3","7158814")</f>
        <v>0</v>
      </c>
      <c r="B14459" t="s">
        <v>3778</v>
      </c>
      <c r="C14459" t="s">
        <v>17543</v>
      </c>
      <c r="D14459" t="s">
        <v>19029</v>
      </c>
      <c r="E14459" t="s">
        <v>31310</v>
      </c>
      <c r="F14459" t="s">
        <v>32606</v>
      </c>
      <c r="G14459" t="s">
        <v>32613</v>
      </c>
      <c r="H14459" t="s">
        <v>32624</v>
      </c>
      <c r="I14459" t="s">
        <v>32647</v>
      </c>
      <c r="J14459" t="s">
        <v>41693</v>
      </c>
      <c r="K14459" t="s">
        <v>42665</v>
      </c>
      <c r="M14459" t="s">
        <v>47113</v>
      </c>
      <c r="N14459" t="s">
        <v>47304</v>
      </c>
      <c r="O14459" t="s">
        <v>47305</v>
      </c>
      <c r="P14459">
        <v>0</v>
      </c>
      <c r="Q14459">
        <v>1</v>
      </c>
      <c r="R14459" t="s">
        <v>47325</v>
      </c>
      <c r="S14459" t="s">
        <v>48215</v>
      </c>
      <c r="T14459" t="s">
        <v>49020</v>
      </c>
      <c r="U14459" t="s">
        <v>61503</v>
      </c>
      <c r="V14459" t="s">
        <v>64220</v>
      </c>
      <c r="W14459" t="s">
        <v>47113</v>
      </c>
      <c r="X14459" t="s">
        <v>47326</v>
      </c>
    </row>
    <row r="14460" spans="1:24">
      <c r="A14460">
        <f>HYPERLINK("https://www.philgeps.gov.ph/GEPSNONPILOT/Tender/SplashBidNoticeAbstractUI.aspx?menuIndex=3&amp;refID=7159198&amp;Result=3","7159198")</f>
        <v>0</v>
      </c>
      <c r="B14460" t="s">
        <v>1745</v>
      </c>
      <c r="C14460" t="s">
        <v>17544</v>
      </c>
      <c r="D14460" t="s">
        <v>18988</v>
      </c>
      <c r="E14460" t="s">
        <v>31311</v>
      </c>
      <c r="F14460" t="s">
        <v>32606</v>
      </c>
      <c r="G14460" t="s">
        <v>32614</v>
      </c>
      <c r="H14460" t="s">
        <v>14201</v>
      </c>
      <c r="I14460" t="s">
        <v>32675</v>
      </c>
      <c r="J14460" t="s">
        <v>34282</v>
      </c>
      <c r="K14460" t="s">
        <v>42622</v>
      </c>
      <c r="M14460" t="s">
        <v>44779</v>
      </c>
      <c r="N14460" t="s">
        <v>47304</v>
      </c>
      <c r="O14460" t="s">
        <v>47305</v>
      </c>
      <c r="P14460">
        <v>0</v>
      </c>
      <c r="Q14460">
        <v>0</v>
      </c>
      <c r="R14460" t="s">
        <v>47325</v>
      </c>
      <c r="S14460" t="s">
        <v>48215</v>
      </c>
      <c r="T14460" t="s">
        <v>49084</v>
      </c>
      <c r="U14460" t="s">
        <v>61504</v>
      </c>
      <c r="W14460" t="s">
        <v>44779</v>
      </c>
      <c r="X14460" t="s">
        <v>47326</v>
      </c>
    </row>
    <row r="14461" spans="1:24">
      <c r="A14461">
        <f>HYPERLINK("https://www.philgeps.gov.ph/GEPSNONPILOT/Tender/SplashBidNoticeAbstractUI.aspx?menuIndex=3&amp;refID=7163962&amp;Result=3","7163962")</f>
        <v>0</v>
      </c>
      <c r="B14461" t="s">
        <v>540</v>
      </c>
      <c r="C14461" t="s">
        <v>17545</v>
      </c>
      <c r="D14461" t="s">
        <v>19001</v>
      </c>
      <c r="E14461" t="s">
        <v>31312</v>
      </c>
      <c r="F14461" t="s">
        <v>32606</v>
      </c>
      <c r="G14461" t="s">
        <v>32613</v>
      </c>
      <c r="H14461" t="s">
        <v>14201</v>
      </c>
      <c r="I14461" t="s">
        <v>32640</v>
      </c>
      <c r="J14461" t="s">
        <v>41694</v>
      </c>
      <c r="K14461" t="s">
        <v>42631</v>
      </c>
      <c r="M14461" t="s">
        <v>43781</v>
      </c>
      <c r="N14461" t="s">
        <v>47304</v>
      </c>
      <c r="O14461" t="s">
        <v>47305</v>
      </c>
      <c r="P14461">
        <v>0</v>
      </c>
      <c r="Q14461">
        <v>7</v>
      </c>
      <c r="R14461" t="s">
        <v>47322</v>
      </c>
      <c r="S14461" t="s">
        <v>48156</v>
      </c>
      <c r="T14461" t="s">
        <v>48986</v>
      </c>
      <c r="U14461" t="s">
        <v>61505</v>
      </c>
      <c r="W14461" t="s">
        <v>43781</v>
      </c>
      <c r="X14461" t="s">
        <v>47325</v>
      </c>
    </row>
    <row r="14462" spans="1:24">
      <c r="A14462">
        <f>HYPERLINK("https://www.philgeps.gov.ph/GEPSNONPILOT/Tender/SplashBidNoticeAbstractUI.aspx?menuIndex=3&amp;refID=7163145&amp;Result=3","7163145")</f>
        <v>0</v>
      </c>
      <c r="B14462" t="s">
        <v>1325</v>
      </c>
      <c r="C14462" t="s">
        <v>17546</v>
      </c>
      <c r="D14462" t="s">
        <v>19019</v>
      </c>
      <c r="E14462" t="s">
        <v>31313</v>
      </c>
      <c r="F14462" t="s">
        <v>32606</v>
      </c>
      <c r="G14462" t="s">
        <v>32613</v>
      </c>
      <c r="H14462" t="s">
        <v>32623</v>
      </c>
      <c r="I14462" t="s">
        <v>17648</v>
      </c>
      <c r="J14462" t="s">
        <v>41695</v>
      </c>
      <c r="K14462" t="s">
        <v>42709</v>
      </c>
      <c r="M14462" t="s">
        <v>44299</v>
      </c>
      <c r="N14462" t="s">
        <v>47304</v>
      </c>
      <c r="O14462" t="s">
        <v>47305</v>
      </c>
      <c r="P14462">
        <v>0</v>
      </c>
      <c r="Q14462">
        <v>2</v>
      </c>
      <c r="R14462" t="s">
        <v>47322</v>
      </c>
      <c r="S14462" t="s">
        <v>48156</v>
      </c>
      <c r="T14462" t="s">
        <v>48987</v>
      </c>
      <c r="U14462" t="s">
        <v>61506</v>
      </c>
      <c r="W14462" t="s">
        <v>44299</v>
      </c>
      <c r="X14462" t="s">
        <v>47325</v>
      </c>
    </row>
    <row r="14463" spans="1:24">
      <c r="A14463">
        <f>HYPERLINK("https://www.philgeps.gov.ph/GEPSNONPILOT/Tender/SplashBidNoticeAbstractUI.aspx?menuIndex=3&amp;refID=7163101&amp;Result=3","7163101")</f>
        <v>0</v>
      </c>
      <c r="B14463" t="s">
        <v>2933</v>
      </c>
      <c r="C14463" t="s">
        <v>17547</v>
      </c>
      <c r="D14463" t="s">
        <v>19039</v>
      </c>
      <c r="E14463" t="s">
        <v>31314</v>
      </c>
      <c r="F14463" t="s">
        <v>32606</v>
      </c>
      <c r="G14463" t="s">
        <v>32613</v>
      </c>
      <c r="H14463" t="s">
        <v>32623</v>
      </c>
      <c r="I14463" t="s">
        <v>17648</v>
      </c>
      <c r="J14463" t="s">
        <v>32778</v>
      </c>
      <c r="K14463" t="s">
        <v>42681</v>
      </c>
      <c r="M14463" t="s">
        <v>46113</v>
      </c>
      <c r="N14463" t="s">
        <v>47304</v>
      </c>
      <c r="O14463" t="s">
        <v>47305</v>
      </c>
      <c r="P14463">
        <v>0</v>
      </c>
      <c r="Q14463">
        <v>0</v>
      </c>
      <c r="R14463" t="s">
        <v>47322</v>
      </c>
      <c r="S14463" t="s">
        <v>48156</v>
      </c>
      <c r="T14463" t="s">
        <v>49050</v>
      </c>
      <c r="U14463" t="s">
        <v>61507</v>
      </c>
      <c r="W14463" t="s">
        <v>46113</v>
      </c>
      <c r="X14463" t="s">
        <v>47325</v>
      </c>
    </row>
    <row r="14464" spans="1:24">
      <c r="A14464">
        <f>HYPERLINK("https://www.philgeps.gov.ph/GEPSNONPILOT/Tender/SplashBidNoticeAbstractUI.aspx?menuIndex=3&amp;refID=7162524&amp;Result=3","7162524")</f>
        <v>0</v>
      </c>
      <c r="B14464" t="s">
        <v>3779</v>
      </c>
      <c r="C14464" t="s">
        <v>13064</v>
      </c>
      <c r="D14464" t="s">
        <v>19025</v>
      </c>
      <c r="E14464" t="s">
        <v>20242</v>
      </c>
      <c r="F14464" t="s">
        <v>32607</v>
      </c>
      <c r="G14464" t="s">
        <v>32613</v>
      </c>
      <c r="H14464" t="s">
        <v>32623</v>
      </c>
      <c r="I14464" t="s">
        <v>17648</v>
      </c>
      <c r="J14464" t="s">
        <v>41696</v>
      </c>
      <c r="K14464" t="s">
        <v>42623</v>
      </c>
      <c r="M14464" t="s">
        <v>47114</v>
      </c>
      <c r="N14464" t="s">
        <v>47304</v>
      </c>
      <c r="O14464" t="s">
        <v>47305</v>
      </c>
      <c r="P14464">
        <v>0</v>
      </c>
      <c r="Q14464">
        <v>0</v>
      </c>
      <c r="R14464" t="s">
        <v>47322</v>
      </c>
      <c r="S14464" t="s">
        <v>48156</v>
      </c>
      <c r="T14464" t="s">
        <v>49010</v>
      </c>
      <c r="U14464" t="s">
        <v>61508</v>
      </c>
      <c r="V14464" t="s">
        <v>61508</v>
      </c>
      <c r="W14464" t="s">
        <v>47114</v>
      </c>
      <c r="X14464" t="s">
        <v>47325</v>
      </c>
    </row>
    <row r="14465" spans="1:24">
      <c r="A14465">
        <f>HYPERLINK("https://www.philgeps.gov.ph/GEPSNONPILOT/Tender/SplashBidNoticeAbstractUI.aspx?menuIndex=3&amp;refID=7162459&amp;Result=3","7162459")</f>
        <v>0</v>
      </c>
      <c r="B14465" t="s">
        <v>3780</v>
      </c>
      <c r="C14465" t="s">
        <v>17548</v>
      </c>
      <c r="D14465" t="s">
        <v>19006</v>
      </c>
      <c r="E14465" t="s">
        <v>31315</v>
      </c>
      <c r="F14465" t="s">
        <v>32606</v>
      </c>
      <c r="G14465" t="s">
        <v>32613</v>
      </c>
      <c r="H14465" t="s">
        <v>32623</v>
      </c>
      <c r="I14465" t="s">
        <v>17648</v>
      </c>
      <c r="J14465" t="s">
        <v>33449</v>
      </c>
      <c r="K14465" t="s">
        <v>42631</v>
      </c>
      <c r="L14465" t="s">
        <v>3780</v>
      </c>
      <c r="M14465" t="s">
        <v>47115</v>
      </c>
      <c r="N14465" t="s">
        <v>47304</v>
      </c>
      <c r="O14465" t="s">
        <v>47305</v>
      </c>
      <c r="P14465">
        <v>0</v>
      </c>
      <c r="Q14465">
        <v>2</v>
      </c>
      <c r="R14465" t="s">
        <v>47322</v>
      </c>
      <c r="S14465" t="s">
        <v>48156</v>
      </c>
      <c r="T14465" t="s">
        <v>49087</v>
      </c>
      <c r="U14465" t="s">
        <v>61509</v>
      </c>
      <c r="V14465" t="s">
        <v>64221</v>
      </c>
      <c r="W14465" t="s">
        <v>47115</v>
      </c>
      <c r="X14465" t="s">
        <v>47325</v>
      </c>
    </row>
    <row r="14466" spans="1:24">
      <c r="A14466">
        <f>HYPERLINK("https://www.philgeps.gov.ph/GEPSNONPILOT/Tender/SplashBidNoticeAbstractUI.aspx?menuIndex=3&amp;refID=7162454&amp;Result=3","7162454")</f>
        <v>0</v>
      </c>
      <c r="B14466" t="s">
        <v>1018</v>
      </c>
      <c r="C14466" t="s">
        <v>17549</v>
      </c>
      <c r="D14466" t="s">
        <v>19019</v>
      </c>
      <c r="E14466" t="s">
        <v>31316</v>
      </c>
      <c r="F14466" t="s">
        <v>32606</v>
      </c>
      <c r="G14466" t="s">
        <v>32613</v>
      </c>
      <c r="H14466" t="s">
        <v>14201</v>
      </c>
      <c r="I14466" t="s">
        <v>32633</v>
      </c>
      <c r="J14466" t="s">
        <v>36719</v>
      </c>
      <c r="K14466" t="s">
        <v>42631</v>
      </c>
      <c r="M14466" t="s">
        <v>43968</v>
      </c>
      <c r="N14466" t="s">
        <v>47304</v>
      </c>
      <c r="O14466" t="s">
        <v>47305</v>
      </c>
      <c r="P14466">
        <v>0</v>
      </c>
      <c r="Q14466">
        <v>3</v>
      </c>
      <c r="R14466" t="s">
        <v>47322</v>
      </c>
      <c r="S14466" t="s">
        <v>48156</v>
      </c>
      <c r="T14466" t="s">
        <v>49023</v>
      </c>
      <c r="U14466" t="s">
        <v>61510</v>
      </c>
      <c r="W14466" t="s">
        <v>43968</v>
      </c>
      <c r="X14466" t="s">
        <v>47325</v>
      </c>
    </row>
    <row r="14467" spans="1:24">
      <c r="A14467">
        <f>HYPERLINK("https://www.philgeps.gov.ph/GEPSNONPILOT/Tender/SplashBidNoticeAbstractUI.aspx?menuIndex=3&amp;refID=7162442&amp;Result=3","7162442")</f>
        <v>0</v>
      </c>
      <c r="B14467" t="s">
        <v>26</v>
      </c>
      <c r="C14467" t="s">
        <v>17550</v>
      </c>
      <c r="D14467" t="s">
        <v>18988</v>
      </c>
      <c r="E14467" t="s">
        <v>31317</v>
      </c>
      <c r="F14467" t="s">
        <v>32606</v>
      </c>
      <c r="G14467" t="s">
        <v>32613</v>
      </c>
      <c r="H14467" t="s">
        <v>14201</v>
      </c>
      <c r="I14467" t="s">
        <v>32658</v>
      </c>
      <c r="J14467" t="s">
        <v>41697</v>
      </c>
      <c r="K14467" t="s">
        <v>42624</v>
      </c>
      <c r="M14467" t="s">
        <v>42923</v>
      </c>
      <c r="N14467" t="s">
        <v>47304</v>
      </c>
      <c r="O14467" t="s">
        <v>47305</v>
      </c>
      <c r="P14467">
        <v>0</v>
      </c>
      <c r="Q14467">
        <v>1</v>
      </c>
      <c r="R14467" t="s">
        <v>47322</v>
      </c>
      <c r="S14467" t="s">
        <v>48156</v>
      </c>
      <c r="T14467" t="s">
        <v>48979</v>
      </c>
      <c r="U14467" t="s">
        <v>61511</v>
      </c>
      <c r="W14467" t="s">
        <v>42923</v>
      </c>
      <c r="X14467" t="s">
        <v>47325</v>
      </c>
    </row>
    <row r="14468" spans="1:24">
      <c r="A14468">
        <f>HYPERLINK("https://www.philgeps.gov.ph/GEPSNONPILOT/Tender/SplashBidNoticeAbstractUI.aspx?menuIndex=3&amp;refID=7163174&amp;Result=3","7163174")</f>
        <v>0</v>
      </c>
      <c r="B14468" t="s">
        <v>2953</v>
      </c>
      <c r="C14468" t="s">
        <v>17551</v>
      </c>
      <c r="D14468" t="s">
        <v>19020</v>
      </c>
      <c r="E14468" t="s">
        <v>31318</v>
      </c>
      <c r="F14468" t="s">
        <v>32606</v>
      </c>
      <c r="G14468" t="s">
        <v>32619</v>
      </c>
      <c r="H14468" t="s">
        <v>14201</v>
      </c>
      <c r="I14468" t="s">
        <v>32649</v>
      </c>
      <c r="J14468" t="s">
        <v>41698</v>
      </c>
      <c r="K14468" t="s">
        <v>42623</v>
      </c>
      <c r="M14468" t="s">
        <v>46137</v>
      </c>
      <c r="N14468" t="s">
        <v>47304</v>
      </c>
      <c r="O14468" t="s">
        <v>47305</v>
      </c>
      <c r="P14468">
        <v>0</v>
      </c>
      <c r="Q14468">
        <v>1</v>
      </c>
      <c r="R14468" t="s">
        <v>47322</v>
      </c>
      <c r="S14468" t="s">
        <v>48156</v>
      </c>
      <c r="T14468" t="s">
        <v>49076</v>
      </c>
      <c r="U14468" t="s">
        <v>61512</v>
      </c>
      <c r="W14468" t="s">
        <v>46137</v>
      </c>
      <c r="X14468" t="s">
        <v>47325</v>
      </c>
    </row>
    <row r="14469" spans="1:24">
      <c r="A14469">
        <f>HYPERLINK("https://www.philgeps.gov.ph/GEPSNONPILOT/Tender/SplashBidNoticeAbstractUI.aspx?menuIndex=3&amp;refID=7163197&amp;Result=3","7163197")</f>
        <v>0</v>
      </c>
      <c r="B14469" t="s">
        <v>3781</v>
      </c>
      <c r="C14469" t="s">
        <v>17552</v>
      </c>
      <c r="D14469" t="s">
        <v>18995</v>
      </c>
      <c r="E14469" t="s">
        <v>31319</v>
      </c>
      <c r="F14469" t="s">
        <v>32608</v>
      </c>
      <c r="G14469" t="s">
        <v>32613</v>
      </c>
      <c r="H14469" t="s">
        <v>32623</v>
      </c>
      <c r="I14469" t="s">
        <v>17648</v>
      </c>
      <c r="J14469" t="s">
        <v>32923</v>
      </c>
      <c r="K14469" t="s">
        <v>42631</v>
      </c>
      <c r="M14469" t="s">
        <v>47116</v>
      </c>
      <c r="N14469" t="s">
        <v>47304</v>
      </c>
      <c r="O14469" t="s">
        <v>47305</v>
      </c>
      <c r="P14469">
        <v>0</v>
      </c>
      <c r="Q14469">
        <v>1</v>
      </c>
      <c r="R14469" t="s">
        <v>47322</v>
      </c>
      <c r="S14469" t="s">
        <v>48156</v>
      </c>
      <c r="T14469" t="s">
        <v>49015</v>
      </c>
      <c r="U14469" t="s">
        <v>61513</v>
      </c>
      <c r="W14469" t="s">
        <v>47116</v>
      </c>
      <c r="X14469" t="s">
        <v>47325</v>
      </c>
    </row>
    <row r="14470" spans="1:24">
      <c r="A14470">
        <f>HYPERLINK("https://www.philgeps.gov.ph/GEPSNONPILOT/Tender/SplashBidNoticeAbstractUI.aspx?menuIndex=3&amp;refID=7162340&amp;Result=3","7162340")</f>
        <v>0</v>
      </c>
      <c r="B14470" t="s">
        <v>3780</v>
      </c>
      <c r="C14470" t="s">
        <v>17553</v>
      </c>
      <c r="D14470" t="s">
        <v>19006</v>
      </c>
      <c r="E14470" t="s">
        <v>31320</v>
      </c>
      <c r="F14470" t="s">
        <v>32606</v>
      </c>
      <c r="G14470" t="s">
        <v>32613</v>
      </c>
      <c r="H14470" t="s">
        <v>32623</v>
      </c>
      <c r="I14470" t="s">
        <v>17648</v>
      </c>
      <c r="J14470" t="s">
        <v>41699</v>
      </c>
      <c r="K14470" t="s">
        <v>42677</v>
      </c>
      <c r="L14470" t="s">
        <v>3780</v>
      </c>
      <c r="M14470" t="s">
        <v>47115</v>
      </c>
      <c r="N14470" t="s">
        <v>47304</v>
      </c>
      <c r="O14470" t="s">
        <v>47305</v>
      </c>
      <c r="P14470">
        <v>0</v>
      </c>
      <c r="Q14470">
        <v>4</v>
      </c>
      <c r="R14470" t="s">
        <v>47322</v>
      </c>
      <c r="S14470" t="s">
        <v>48156</v>
      </c>
      <c r="T14470" t="s">
        <v>49087</v>
      </c>
      <c r="U14470" t="s">
        <v>61514</v>
      </c>
      <c r="V14470" t="s">
        <v>64222</v>
      </c>
      <c r="W14470" t="s">
        <v>47115</v>
      </c>
      <c r="X14470" t="s">
        <v>47325</v>
      </c>
    </row>
    <row r="14471" spans="1:24">
      <c r="A14471">
        <f>HYPERLINK("https://www.philgeps.gov.ph/GEPSNONPILOT/Tender/SplashBidNoticeAbstractUI.aspx?menuIndex=3&amp;refID=7159479&amp;Result=3","7159479")</f>
        <v>0</v>
      </c>
      <c r="B14471" t="s">
        <v>3188</v>
      </c>
      <c r="C14471" t="s">
        <v>7106</v>
      </c>
      <c r="D14471" t="s">
        <v>18999</v>
      </c>
      <c r="E14471" t="s">
        <v>31321</v>
      </c>
      <c r="F14471" t="s">
        <v>32606</v>
      </c>
      <c r="G14471" t="s">
        <v>32619</v>
      </c>
      <c r="H14471" t="s">
        <v>14201</v>
      </c>
      <c r="I14471" t="s">
        <v>32640</v>
      </c>
      <c r="J14471" t="s">
        <v>41700</v>
      </c>
      <c r="K14471" t="s">
        <v>42664</v>
      </c>
      <c r="M14471" t="s">
        <v>46412</v>
      </c>
      <c r="N14471" t="s">
        <v>47304</v>
      </c>
      <c r="O14471" t="s">
        <v>47305</v>
      </c>
      <c r="Q14471">
        <v>13</v>
      </c>
      <c r="R14471" t="s">
        <v>47325</v>
      </c>
      <c r="S14471" t="s">
        <v>48236</v>
      </c>
      <c r="T14471" t="s">
        <v>48998</v>
      </c>
      <c r="U14471" t="s">
        <v>61515</v>
      </c>
      <c r="W14471" t="s">
        <v>46412</v>
      </c>
      <c r="X14471" t="s">
        <v>47326</v>
      </c>
    </row>
    <row r="14472" spans="1:24">
      <c r="A14472">
        <f>HYPERLINK("https://www.philgeps.gov.ph/GEPSNONPILOT/Tender/SplashBidNoticeAbstractUI.aspx?menuIndex=3&amp;refID=7161874&amp;Result=3","7161874")</f>
        <v>0</v>
      </c>
      <c r="B14472" t="s">
        <v>340</v>
      </c>
      <c r="C14472" t="s">
        <v>17554</v>
      </c>
      <c r="D14472" t="s">
        <v>19029</v>
      </c>
      <c r="E14472" t="s">
        <v>31322</v>
      </c>
      <c r="F14472" t="s">
        <v>32606</v>
      </c>
      <c r="G14472" t="s">
        <v>32613</v>
      </c>
      <c r="H14472" t="s">
        <v>14201</v>
      </c>
      <c r="I14472" t="s">
        <v>32655</v>
      </c>
      <c r="J14472" t="s">
        <v>41701</v>
      </c>
      <c r="K14472" t="s">
        <v>42631</v>
      </c>
      <c r="M14472" t="s">
        <v>43242</v>
      </c>
      <c r="N14472" t="s">
        <v>47304</v>
      </c>
      <c r="O14472" t="s">
        <v>47305</v>
      </c>
      <c r="P14472">
        <v>0</v>
      </c>
      <c r="Q14472">
        <v>11</v>
      </c>
      <c r="R14472" t="s">
        <v>47322</v>
      </c>
      <c r="S14472" t="s">
        <v>48156</v>
      </c>
      <c r="T14472" t="s">
        <v>48987</v>
      </c>
      <c r="U14472" t="s">
        <v>61077</v>
      </c>
      <c r="V14472" t="s">
        <v>64223</v>
      </c>
      <c r="W14472" t="s">
        <v>43242</v>
      </c>
      <c r="X14472" t="s">
        <v>47325</v>
      </c>
    </row>
    <row r="14473" spans="1:24">
      <c r="A14473">
        <f>HYPERLINK("https://www.philgeps.gov.ph/GEPSNONPILOT/Tender/SplashBidNoticeAbstractUI.aspx?menuIndex=3&amp;refID=7157834&amp;Result=3","7157834")</f>
        <v>0</v>
      </c>
      <c r="B14473" t="s">
        <v>2961</v>
      </c>
      <c r="C14473" t="s">
        <v>17555</v>
      </c>
      <c r="D14473" t="s">
        <v>18986</v>
      </c>
      <c r="E14473" t="s">
        <v>31323</v>
      </c>
      <c r="F14473" t="s">
        <v>32606</v>
      </c>
      <c r="G14473" t="s">
        <v>32613</v>
      </c>
      <c r="H14473" t="s">
        <v>32623</v>
      </c>
      <c r="I14473" t="s">
        <v>17648</v>
      </c>
      <c r="J14473" t="s">
        <v>34128</v>
      </c>
      <c r="K14473" t="s">
        <v>42694</v>
      </c>
      <c r="M14473" t="s">
        <v>46145</v>
      </c>
      <c r="N14473" t="s">
        <v>47304</v>
      </c>
      <c r="O14473" t="s">
        <v>47305</v>
      </c>
      <c r="P14473">
        <v>0</v>
      </c>
      <c r="Q14473">
        <v>0</v>
      </c>
      <c r="R14473" t="s">
        <v>47322</v>
      </c>
      <c r="S14473" t="s">
        <v>48156</v>
      </c>
      <c r="T14473" t="s">
        <v>49111</v>
      </c>
      <c r="U14473" t="s">
        <v>61516</v>
      </c>
      <c r="W14473" t="s">
        <v>46145</v>
      </c>
      <c r="X14473" t="s">
        <v>47327</v>
      </c>
    </row>
    <row r="14474" spans="1:24">
      <c r="A14474">
        <f>HYPERLINK("https://www.philgeps.gov.ph/GEPSNONPILOT/Tender/SplashBidNoticeAbstractUI.aspx?menuIndex=3&amp;refID=7162402&amp;Result=3","7162402")</f>
        <v>0</v>
      </c>
      <c r="B14474" t="s">
        <v>3446</v>
      </c>
      <c r="C14474" t="s">
        <v>17556</v>
      </c>
      <c r="D14474" t="s">
        <v>19021</v>
      </c>
      <c r="E14474" t="s">
        <v>31324</v>
      </c>
      <c r="F14474" t="s">
        <v>32606</v>
      </c>
      <c r="G14474" t="s">
        <v>32613</v>
      </c>
      <c r="H14474" t="s">
        <v>32623</v>
      </c>
      <c r="I14474" t="s">
        <v>17648</v>
      </c>
      <c r="J14474" t="s">
        <v>41702</v>
      </c>
      <c r="K14474" t="s">
        <v>42682</v>
      </c>
      <c r="M14474" t="s">
        <v>46706</v>
      </c>
      <c r="N14474" t="s">
        <v>47304</v>
      </c>
      <c r="O14474" t="s">
        <v>47305</v>
      </c>
      <c r="P14474">
        <v>0</v>
      </c>
      <c r="Q14474">
        <v>32</v>
      </c>
      <c r="R14474" t="s">
        <v>47322</v>
      </c>
      <c r="S14474" t="s">
        <v>48156</v>
      </c>
      <c r="T14474" t="s">
        <v>49023</v>
      </c>
      <c r="U14474" t="s">
        <v>61517</v>
      </c>
      <c r="W14474" t="s">
        <v>46706</v>
      </c>
      <c r="X14474" t="s">
        <v>47325</v>
      </c>
    </row>
    <row r="14475" spans="1:24">
      <c r="A14475">
        <f>HYPERLINK("https://www.philgeps.gov.ph/GEPSNONPILOT/Tender/SplashBidNoticeAbstractUI.aspx?menuIndex=3&amp;refID=7163203&amp;Result=3","7163203")</f>
        <v>0</v>
      </c>
      <c r="B14475" t="s">
        <v>535</v>
      </c>
      <c r="C14475" t="s">
        <v>17557</v>
      </c>
      <c r="D14475" t="s">
        <v>19031</v>
      </c>
      <c r="E14475" t="s">
        <v>31325</v>
      </c>
      <c r="F14475" t="s">
        <v>32606</v>
      </c>
      <c r="G14475" t="s">
        <v>32613</v>
      </c>
      <c r="H14475" t="s">
        <v>14201</v>
      </c>
      <c r="I14475" t="s">
        <v>4121</v>
      </c>
      <c r="J14475" t="s">
        <v>32772</v>
      </c>
      <c r="K14475" t="s">
        <v>42636</v>
      </c>
      <c r="M14475" t="s">
        <v>43448</v>
      </c>
      <c r="N14475" t="s">
        <v>47304</v>
      </c>
      <c r="O14475" t="s">
        <v>47305</v>
      </c>
      <c r="P14475">
        <v>0</v>
      </c>
      <c r="Q14475">
        <v>3</v>
      </c>
      <c r="R14475" t="s">
        <v>47322</v>
      </c>
      <c r="S14475" t="s">
        <v>48156</v>
      </c>
      <c r="T14475" t="s">
        <v>48986</v>
      </c>
      <c r="U14475" t="s">
        <v>61518</v>
      </c>
      <c r="W14475" t="s">
        <v>43448</v>
      </c>
      <c r="X14475" t="s">
        <v>47325</v>
      </c>
    </row>
    <row r="14476" spans="1:24">
      <c r="A14476">
        <f>HYPERLINK("https://www.philgeps.gov.ph/GEPSNONPILOT/Tender/SplashBidNoticeAbstractUI.aspx?menuIndex=3&amp;refID=7162348&amp;Result=3","7162348")</f>
        <v>0</v>
      </c>
      <c r="B14476" t="s">
        <v>1503</v>
      </c>
      <c r="C14476" t="s">
        <v>17558</v>
      </c>
      <c r="D14476" t="s">
        <v>19049</v>
      </c>
      <c r="E14476" t="s">
        <v>31326</v>
      </c>
      <c r="F14476" t="s">
        <v>32606</v>
      </c>
      <c r="G14476" t="s">
        <v>32613</v>
      </c>
      <c r="H14476" t="s">
        <v>14201</v>
      </c>
      <c r="I14476" t="s">
        <v>7064</v>
      </c>
      <c r="J14476" t="s">
        <v>41703</v>
      </c>
      <c r="K14476" t="s">
        <v>42630</v>
      </c>
      <c r="L14476" t="s">
        <v>1503</v>
      </c>
      <c r="M14476" t="s">
        <v>44500</v>
      </c>
      <c r="N14476" t="s">
        <v>47304</v>
      </c>
      <c r="O14476" t="s">
        <v>47305</v>
      </c>
      <c r="Q14476">
        <v>11</v>
      </c>
      <c r="R14476" t="s">
        <v>47322</v>
      </c>
      <c r="S14476" t="s">
        <v>48269</v>
      </c>
      <c r="T14476" t="s">
        <v>49175</v>
      </c>
      <c r="U14476" t="s">
        <v>61519</v>
      </c>
      <c r="W14476" t="s">
        <v>44500</v>
      </c>
      <c r="X14476" t="s">
        <v>47325</v>
      </c>
    </row>
    <row r="14477" spans="1:24">
      <c r="A14477">
        <f>HYPERLINK("https://www.philgeps.gov.ph/GEPSNONPILOT/Tender/SplashBidNoticeAbstractUI.aspx?menuIndex=3&amp;refID=7161881&amp;Result=3","7161881")</f>
        <v>0</v>
      </c>
      <c r="B14477" t="s">
        <v>955</v>
      </c>
      <c r="C14477" t="s">
        <v>17559</v>
      </c>
      <c r="D14477" t="s">
        <v>19068</v>
      </c>
      <c r="E14477" t="s">
        <v>21030</v>
      </c>
      <c r="F14477" t="s">
        <v>32606</v>
      </c>
      <c r="G14477" t="s">
        <v>32613</v>
      </c>
      <c r="H14477" t="s">
        <v>32623</v>
      </c>
      <c r="I14477" t="s">
        <v>17648</v>
      </c>
      <c r="J14477" t="s">
        <v>32795</v>
      </c>
      <c r="K14477" t="s">
        <v>42624</v>
      </c>
      <c r="M14477" t="s">
        <v>43898</v>
      </c>
      <c r="N14477" t="s">
        <v>47304</v>
      </c>
      <c r="O14477" t="s">
        <v>47305</v>
      </c>
      <c r="P14477">
        <v>0</v>
      </c>
      <c r="Q14477">
        <v>0</v>
      </c>
      <c r="R14477" t="s">
        <v>47322</v>
      </c>
      <c r="S14477" t="s">
        <v>48156</v>
      </c>
      <c r="T14477" t="s">
        <v>48986</v>
      </c>
      <c r="U14477" t="s">
        <v>61520</v>
      </c>
      <c r="V14477" t="s">
        <v>64153</v>
      </c>
      <c r="W14477" t="s">
        <v>43898</v>
      </c>
      <c r="X14477" t="s">
        <v>47325</v>
      </c>
    </row>
    <row r="14478" spans="1:24">
      <c r="A14478">
        <f>HYPERLINK("https://www.philgeps.gov.ph/GEPSNONPILOT/Tender/SplashBidNoticeAbstractUI.aspx?menuIndex=3&amp;refID=7159743&amp;Result=3","7159743")</f>
        <v>0</v>
      </c>
      <c r="B14478" t="s">
        <v>2987</v>
      </c>
      <c r="C14478" t="s">
        <v>12979</v>
      </c>
      <c r="D14478" t="s">
        <v>18993</v>
      </c>
      <c r="E14478" t="s">
        <v>31327</v>
      </c>
      <c r="F14478" t="s">
        <v>32606</v>
      </c>
      <c r="G14478" t="s">
        <v>32613</v>
      </c>
      <c r="H14478" t="s">
        <v>14201</v>
      </c>
      <c r="I14478" t="s">
        <v>32633</v>
      </c>
      <c r="J14478" t="s">
        <v>32759</v>
      </c>
      <c r="K14478" t="s">
        <v>42623</v>
      </c>
      <c r="M14478" t="s">
        <v>46175</v>
      </c>
      <c r="N14478" t="s">
        <v>47304</v>
      </c>
      <c r="O14478" t="s">
        <v>47305</v>
      </c>
      <c r="P14478">
        <v>0</v>
      </c>
      <c r="Q14478">
        <v>1</v>
      </c>
      <c r="R14478" t="s">
        <v>47325</v>
      </c>
      <c r="S14478" t="s">
        <v>48215</v>
      </c>
      <c r="T14478" t="s">
        <v>49020</v>
      </c>
      <c r="U14478" t="s">
        <v>57550</v>
      </c>
      <c r="W14478" t="s">
        <v>46175</v>
      </c>
      <c r="X14478" t="s">
        <v>47326</v>
      </c>
    </row>
    <row r="14479" spans="1:24">
      <c r="A14479">
        <f>HYPERLINK("https://www.philgeps.gov.ph/GEPSNONPILOT/Tender/SplashBidNoticeAbstractUI.aspx?menuIndex=3&amp;refID=7167759&amp;Result=3","7167759")</f>
        <v>0</v>
      </c>
      <c r="B14479" t="s">
        <v>3248</v>
      </c>
      <c r="C14479" t="s">
        <v>17560</v>
      </c>
      <c r="D14479" t="s">
        <v>18999</v>
      </c>
      <c r="E14479" t="s">
        <v>31328</v>
      </c>
      <c r="F14479" t="s">
        <v>32606</v>
      </c>
      <c r="G14479" t="s">
        <v>32613</v>
      </c>
      <c r="H14479" t="s">
        <v>32623</v>
      </c>
      <c r="I14479" t="s">
        <v>17648</v>
      </c>
      <c r="J14479" t="s">
        <v>32795</v>
      </c>
      <c r="K14479" t="s">
        <v>42636</v>
      </c>
      <c r="M14479" t="s">
        <v>46481</v>
      </c>
      <c r="N14479" t="s">
        <v>47304</v>
      </c>
      <c r="O14479" t="s">
        <v>47305</v>
      </c>
      <c r="P14479">
        <v>0</v>
      </c>
      <c r="Q14479">
        <v>2</v>
      </c>
      <c r="R14479" t="s">
        <v>47321</v>
      </c>
      <c r="S14479" t="s">
        <v>48071</v>
      </c>
      <c r="T14479" t="s">
        <v>49268</v>
      </c>
      <c r="U14479" t="s">
        <v>61521</v>
      </c>
      <c r="W14479" t="s">
        <v>46481</v>
      </c>
      <c r="X14479" t="s">
        <v>47322</v>
      </c>
    </row>
    <row r="14480" spans="1:24">
      <c r="A14480">
        <f>HYPERLINK("https://www.philgeps.gov.ph/GEPSNONPILOT/Tender/SplashBidNoticeAbstractUI.aspx?menuIndex=3&amp;refID=7162460&amp;Result=3","7162460")</f>
        <v>0</v>
      </c>
      <c r="B14480" t="s">
        <v>3446</v>
      </c>
      <c r="C14480" t="s">
        <v>17561</v>
      </c>
      <c r="D14480" t="s">
        <v>19021</v>
      </c>
      <c r="E14480" t="s">
        <v>31329</v>
      </c>
      <c r="F14480" t="s">
        <v>32606</v>
      </c>
      <c r="G14480" t="s">
        <v>32613</v>
      </c>
      <c r="H14480" t="s">
        <v>32623</v>
      </c>
      <c r="I14480" t="s">
        <v>32661</v>
      </c>
      <c r="J14480" t="s">
        <v>41704</v>
      </c>
      <c r="K14480" t="s">
        <v>42648</v>
      </c>
      <c r="M14480" t="s">
        <v>46706</v>
      </c>
      <c r="N14480" t="s">
        <v>47304</v>
      </c>
      <c r="O14480" t="s">
        <v>47305</v>
      </c>
      <c r="P14480">
        <v>0</v>
      </c>
      <c r="Q14480">
        <v>22</v>
      </c>
      <c r="R14480" t="s">
        <v>47322</v>
      </c>
      <c r="S14480" t="s">
        <v>48156</v>
      </c>
      <c r="T14480" t="s">
        <v>48986</v>
      </c>
      <c r="U14480" t="s">
        <v>61522</v>
      </c>
      <c r="W14480" t="s">
        <v>46706</v>
      </c>
      <c r="X14480" t="s">
        <v>47325</v>
      </c>
    </row>
    <row r="14481" spans="1:24">
      <c r="A14481">
        <f>HYPERLINK("https://www.philgeps.gov.ph/GEPSNONPILOT/Tender/SplashBidNoticeAbstractUI.aspx?menuIndex=3&amp;refID=7159725&amp;Result=3","7159725")</f>
        <v>0</v>
      </c>
      <c r="B14481" t="s">
        <v>3782</v>
      </c>
      <c r="C14481" t="s">
        <v>9347</v>
      </c>
      <c r="D14481" t="s">
        <v>18988</v>
      </c>
      <c r="E14481" t="s">
        <v>31330</v>
      </c>
      <c r="F14481" t="s">
        <v>32608</v>
      </c>
      <c r="G14481" t="s">
        <v>32613</v>
      </c>
      <c r="H14481" t="s">
        <v>14201</v>
      </c>
      <c r="I14481" t="s">
        <v>6478</v>
      </c>
      <c r="J14481" t="s">
        <v>41705</v>
      </c>
      <c r="K14481" t="s">
        <v>42624</v>
      </c>
      <c r="M14481" t="s">
        <v>47117</v>
      </c>
      <c r="N14481" t="s">
        <v>47304</v>
      </c>
      <c r="O14481" t="s">
        <v>47305</v>
      </c>
      <c r="P14481">
        <v>0</v>
      </c>
      <c r="Q14481">
        <v>3</v>
      </c>
      <c r="R14481" t="s">
        <v>47325</v>
      </c>
      <c r="S14481" t="s">
        <v>48215</v>
      </c>
      <c r="T14481" t="s">
        <v>49331</v>
      </c>
      <c r="U14481" t="s">
        <v>55109</v>
      </c>
      <c r="W14481" t="s">
        <v>47117</v>
      </c>
      <c r="X14481" t="s">
        <v>47326</v>
      </c>
    </row>
    <row r="14482" spans="1:24">
      <c r="A14482">
        <f>HYPERLINK("https://www.philgeps.gov.ph/GEPSNONPILOT/Tender/SplashBidNoticeAbstractUI.aspx?menuIndex=3&amp;refID=7159717&amp;Result=3","7159717")</f>
        <v>0</v>
      </c>
      <c r="B14482" t="s">
        <v>2987</v>
      </c>
      <c r="C14482" t="s">
        <v>12979</v>
      </c>
      <c r="D14482" t="s">
        <v>18993</v>
      </c>
      <c r="E14482" t="s">
        <v>31331</v>
      </c>
      <c r="F14482" t="s">
        <v>32606</v>
      </c>
      <c r="G14482" t="s">
        <v>32613</v>
      </c>
      <c r="H14482" t="s">
        <v>14201</v>
      </c>
      <c r="I14482" t="s">
        <v>32633</v>
      </c>
      <c r="J14482" t="s">
        <v>41706</v>
      </c>
      <c r="K14482" t="s">
        <v>42623</v>
      </c>
      <c r="M14482" t="s">
        <v>46175</v>
      </c>
      <c r="N14482" t="s">
        <v>47304</v>
      </c>
      <c r="O14482" t="s">
        <v>47305</v>
      </c>
      <c r="P14482">
        <v>0</v>
      </c>
      <c r="Q14482">
        <v>2</v>
      </c>
      <c r="R14482" t="s">
        <v>47325</v>
      </c>
      <c r="S14482" t="s">
        <v>48215</v>
      </c>
      <c r="T14482" t="s">
        <v>49020</v>
      </c>
      <c r="U14482" t="s">
        <v>61523</v>
      </c>
      <c r="W14482" t="s">
        <v>46175</v>
      </c>
      <c r="X14482" t="s">
        <v>47326</v>
      </c>
    </row>
    <row r="14483" spans="1:24">
      <c r="A14483">
        <f>HYPERLINK("https://www.philgeps.gov.ph/GEPSNONPILOT/Tender/SplashBidNoticeAbstractUI.aspx?menuIndex=3&amp;refID=7159760&amp;Result=3","7159760")</f>
        <v>0</v>
      </c>
      <c r="B14483" t="s">
        <v>2987</v>
      </c>
      <c r="C14483" t="s">
        <v>12979</v>
      </c>
      <c r="D14483" t="s">
        <v>18993</v>
      </c>
      <c r="E14483" t="s">
        <v>31332</v>
      </c>
      <c r="F14483" t="s">
        <v>32606</v>
      </c>
      <c r="G14483" t="s">
        <v>32613</v>
      </c>
      <c r="H14483" t="s">
        <v>14201</v>
      </c>
      <c r="I14483" t="s">
        <v>32633</v>
      </c>
      <c r="J14483" t="s">
        <v>41707</v>
      </c>
      <c r="K14483" t="s">
        <v>42623</v>
      </c>
      <c r="M14483" t="s">
        <v>46175</v>
      </c>
      <c r="N14483" t="s">
        <v>47304</v>
      </c>
      <c r="O14483" t="s">
        <v>47305</v>
      </c>
      <c r="P14483">
        <v>0</v>
      </c>
      <c r="Q14483">
        <v>7</v>
      </c>
      <c r="R14483" t="s">
        <v>47325</v>
      </c>
      <c r="S14483" t="s">
        <v>48215</v>
      </c>
      <c r="T14483" t="s">
        <v>49020</v>
      </c>
      <c r="U14483" t="s">
        <v>61524</v>
      </c>
      <c r="W14483" t="s">
        <v>46175</v>
      </c>
      <c r="X14483" t="s">
        <v>47326</v>
      </c>
    </row>
    <row r="14484" spans="1:24">
      <c r="A14484">
        <f>HYPERLINK("https://www.philgeps.gov.ph/GEPSNONPILOT/Tender/SplashBidNoticeAbstractUI.aspx?menuIndex=3&amp;refID=7159695&amp;Result=3","7159695")</f>
        <v>0</v>
      </c>
      <c r="B14484" t="s">
        <v>3741</v>
      </c>
      <c r="C14484" t="s">
        <v>17562</v>
      </c>
      <c r="D14484" t="s">
        <v>19036</v>
      </c>
      <c r="E14484" t="s">
        <v>31333</v>
      </c>
      <c r="F14484" t="s">
        <v>32606</v>
      </c>
      <c r="G14484" t="s">
        <v>32613</v>
      </c>
      <c r="H14484" t="s">
        <v>32623</v>
      </c>
      <c r="I14484" t="s">
        <v>17648</v>
      </c>
      <c r="J14484" t="s">
        <v>41708</v>
      </c>
      <c r="K14484" t="s">
        <v>42872</v>
      </c>
      <c r="M14484" t="s">
        <v>47068</v>
      </c>
      <c r="N14484" t="s">
        <v>47304</v>
      </c>
      <c r="O14484" t="s">
        <v>47305</v>
      </c>
      <c r="P14484">
        <v>0</v>
      </c>
      <c r="Q14484">
        <v>1</v>
      </c>
      <c r="R14484" t="s">
        <v>47325</v>
      </c>
      <c r="S14484" t="s">
        <v>48215</v>
      </c>
      <c r="T14484" t="s">
        <v>49107</v>
      </c>
      <c r="U14484" t="s">
        <v>61525</v>
      </c>
      <c r="W14484" t="s">
        <v>47068</v>
      </c>
      <c r="X14484" t="s">
        <v>47326</v>
      </c>
    </row>
    <row r="14485" spans="1:24">
      <c r="A14485">
        <f>HYPERLINK("https://www.philgeps.gov.ph/GEPSNONPILOT/Tender/SplashBidNoticeAbstractUI.aspx?menuIndex=3&amp;refID=7159687&amp;Result=3","7159687")</f>
        <v>0</v>
      </c>
      <c r="B14485" t="s">
        <v>1720</v>
      </c>
      <c r="C14485" t="s">
        <v>17563</v>
      </c>
      <c r="D14485" t="s">
        <v>19024</v>
      </c>
      <c r="E14485" t="s">
        <v>31334</v>
      </c>
      <c r="F14485" t="s">
        <v>32606</v>
      </c>
      <c r="G14485" t="s">
        <v>32613</v>
      </c>
      <c r="H14485" t="s">
        <v>32623</v>
      </c>
      <c r="I14485" t="s">
        <v>17648</v>
      </c>
      <c r="J14485" t="s">
        <v>41709</v>
      </c>
      <c r="K14485" t="s">
        <v>42656</v>
      </c>
      <c r="M14485" t="s">
        <v>44752</v>
      </c>
      <c r="N14485" t="s">
        <v>47304</v>
      </c>
      <c r="O14485" t="s">
        <v>47305</v>
      </c>
      <c r="P14485">
        <v>0</v>
      </c>
      <c r="Q14485">
        <v>1</v>
      </c>
      <c r="R14485" t="s">
        <v>47325</v>
      </c>
      <c r="S14485" t="s">
        <v>48215</v>
      </c>
      <c r="T14485" t="s">
        <v>49053</v>
      </c>
      <c r="U14485" t="s">
        <v>61526</v>
      </c>
      <c r="W14485" t="s">
        <v>44752</v>
      </c>
      <c r="X14485" t="s">
        <v>47326</v>
      </c>
    </row>
    <row r="14486" spans="1:24">
      <c r="A14486">
        <f>HYPERLINK("https://www.philgeps.gov.ph/GEPSNONPILOT/Tender/SplashBidNoticeAbstractUI.aspx?menuIndex=3&amp;refID=7159670&amp;Result=3","7159670")</f>
        <v>0</v>
      </c>
      <c r="B14486" t="s">
        <v>3741</v>
      </c>
      <c r="C14486" t="s">
        <v>17564</v>
      </c>
      <c r="D14486" t="s">
        <v>19036</v>
      </c>
      <c r="E14486" t="s">
        <v>31335</v>
      </c>
      <c r="F14486" t="s">
        <v>32606</v>
      </c>
      <c r="G14486" t="s">
        <v>32613</v>
      </c>
      <c r="H14486" t="s">
        <v>32623</v>
      </c>
      <c r="I14486" t="s">
        <v>17648</v>
      </c>
      <c r="J14486" t="s">
        <v>34246</v>
      </c>
      <c r="K14486" t="s">
        <v>42656</v>
      </c>
      <c r="M14486" t="s">
        <v>47068</v>
      </c>
      <c r="N14486" t="s">
        <v>47304</v>
      </c>
      <c r="O14486" t="s">
        <v>47305</v>
      </c>
      <c r="P14486">
        <v>0</v>
      </c>
      <c r="Q14486">
        <v>3</v>
      </c>
      <c r="R14486" t="s">
        <v>47325</v>
      </c>
      <c r="S14486" t="s">
        <v>48215</v>
      </c>
      <c r="T14486" t="s">
        <v>49107</v>
      </c>
      <c r="U14486" t="s">
        <v>61527</v>
      </c>
      <c r="W14486" t="s">
        <v>47068</v>
      </c>
      <c r="X14486" t="s">
        <v>47326</v>
      </c>
    </row>
    <row r="14487" spans="1:24">
      <c r="A14487">
        <f>HYPERLINK("https://www.philgeps.gov.ph/GEPSNONPILOT/Tender/SplashBidNoticeAbstractUI.aspx?menuIndex=3&amp;refID=7157787&amp;Result=3","7157787")</f>
        <v>0</v>
      </c>
      <c r="B14487" t="s">
        <v>2961</v>
      </c>
      <c r="C14487" t="s">
        <v>9549</v>
      </c>
      <c r="D14487" t="s">
        <v>18986</v>
      </c>
      <c r="E14487" t="s">
        <v>31336</v>
      </c>
      <c r="F14487" t="s">
        <v>32606</v>
      </c>
      <c r="G14487" t="s">
        <v>32613</v>
      </c>
      <c r="H14487" t="s">
        <v>32623</v>
      </c>
      <c r="I14487" t="s">
        <v>17648</v>
      </c>
      <c r="J14487" t="s">
        <v>32830</v>
      </c>
      <c r="K14487" t="s">
        <v>42719</v>
      </c>
      <c r="M14487" t="s">
        <v>46145</v>
      </c>
      <c r="N14487" t="s">
        <v>47304</v>
      </c>
      <c r="O14487" t="s">
        <v>47305</v>
      </c>
      <c r="P14487">
        <v>0</v>
      </c>
      <c r="Q14487">
        <v>0</v>
      </c>
      <c r="R14487" t="s">
        <v>47322</v>
      </c>
      <c r="S14487" t="s">
        <v>48156</v>
      </c>
      <c r="T14487" t="s">
        <v>49436</v>
      </c>
      <c r="U14487" t="s">
        <v>61528</v>
      </c>
      <c r="W14487" t="s">
        <v>46145</v>
      </c>
      <c r="X14487" t="s">
        <v>47327</v>
      </c>
    </row>
    <row r="14488" spans="1:24">
      <c r="A14488">
        <f>HYPERLINK("https://www.philgeps.gov.ph/GEPSNONPILOT/Tender/SplashBidNoticeAbstractUI.aspx?menuIndex=3&amp;refID=7159646&amp;Result=3","7159646")</f>
        <v>0</v>
      </c>
      <c r="B14488" t="s">
        <v>537</v>
      </c>
      <c r="C14488" t="s">
        <v>17565</v>
      </c>
      <c r="D14488" t="s">
        <v>19049</v>
      </c>
      <c r="E14488" t="s">
        <v>31337</v>
      </c>
      <c r="F14488" t="s">
        <v>32606</v>
      </c>
      <c r="G14488" t="s">
        <v>32613</v>
      </c>
      <c r="H14488" t="s">
        <v>14201</v>
      </c>
      <c r="I14488" t="s">
        <v>9008</v>
      </c>
      <c r="J14488" t="s">
        <v>41710</v>
      </c>
      <c r="K14488" t="s">
        <v>42627</v>
      </c>
      <c r="M14488" t="s">
        <v>43450</v>
      </c>
      <c r="N14488" t="s">
        <v>47304</v>
      </c>
      <c r="O14488" t="s">
        <v>47305</v>
      </c>
      <c r="P14488">
        <v>0</v>
      </c>
      <c r="Q14488">
        <v>4</v>
      </c>
      <c r="R14488" t="s">
        <v>47325</v>
      </c>
      <c r="S14488" t="s">
        <v>48215</v>
      </c>
      <c r="T14488" t="s">
        <v>48998</v>
      </c>
      <c r="U14488" t="s">
        <v>61529</v>
      </c>
      <c r="W14488" t="s">
        <v>43450</v>
      </c>
      <c r="X14488" t="s">
        <v>47326</v>
      </c>
    </row>
    <row r="14489" spans="1:24">
      <c r="A14489">
        <f>HYPERLINK("https://www.philgeps.gov.ph/GEPSNONPILOT/Tender/SplashBidNoticeAbstractUI.aspx?menuIndex=3&amp;refID=7159629&amp;Result=3","7159629")</f>
        <v>0</v>
      </c>
      <c r="B14489" t="s">
        <v>1565</v>
      </c>
      <c r="C14489" t="s">
        <v>17496</v>
      </c>
      <c r="D14489" t="s">
        <v>19029</v>
      </c>
      <c r="E14489" t="s">
        <v>31338</v>
      </c>
      <c r="F14489" t="s">
        <v>32606</v>
      </c>
      <c r="G14489" t="s">
        <v>32613</v>
      </c>
      <c r="H14489" t="s">
        <v>14201</v>
      </c>
      <c r="I14489" t="s">
        <v>32662</v>
      </c>
      <c r="J14489" t="s">
        <v>35853</v>
      </c>
      <c r="K14489" t="s">
        <v>42623</v>
      </c>
      <c r="M14489" t="s">
        <v>46713</v>
      </c>
      <c r="N14489" t="s">
        <v>47304</v>
      </c>
      <c r="O14489" t="s">
        <v>47305</v>
      </c>
      <c r="P14489">
        <v>0</v>
      </c>
      <c r="Q14489">
        <v>10</v>
      </c>
      <c r="R14489" t="s">
        <v>47325</v>
      </c>
      <c r="S14489" t="s">
        <v>48215</v>
      </c>
      <c r="T14489" t="s">
        <v>49035</v>
      </c>
      <c r="U14489" t="s">
        <v>61464</v>
      </c>
      <c r="W14489" t="s">
        <v>46713</v>
      </c>
      <c r="X14489" t="s">
        <v>47326</v>
      </c>
    </row>
    <row r="14490" spans="1:24">
      <c r="A14490">
        <f>HYPERLINK("https://www.philgeps.gov.ph/GEPSNONPILOT/Tender/SplashBidNoticeAbstractUI.aspx?menuIndex=3&amp;refID=7162396&amp;Result=3","7162396")</f>
        <v>0</v>
      </c>
      <c r="B14490" t="s">
        <v>1524</v>
      </c>
      <c r="C14490" t="s">
        <v>17566</v>
      </c>
      <c r="D14490" t="s">
        <v>19002</v>
      </c>
      <c r="E14490" t="s">
        <v>31339</v>
      </c>
      <c r="F14490" t="s">
        <v>32606</v>
      </c>
      <c r="G14490" t="s">
        <v>32613</v>
      </c>
      <c r="H14490" t="s">
        <v>14201</v>
      </c>
      <c r="I14490" t="s">
        <v>6931</v>
      </c>
      <c r="J14490" t="s">
        <v>32821</v>
      </c>
      <c r="K14490" t="s">
        <v>42656</v>
      </c>
      <c r="M14490" t="s">
        <v>44525</v>
      </c>
      <c r="N14490" t="s">
        <v>47304</v>
      </c>
      <c r="O14490" t="s">
        <v>47305</v>
      </c>
      <c r="Q14490">
        <v>4</v>
      </c>
      <c r="R14490" t="s">
        <v>47322</v>
      </c>
      <c r="S14490" t="s">
        <v>48270</v>
      </c>
      <c r="T14490" t="s">
        <v>49100</v>
      </c>
      <c r="U14490" t="s">
        <v>61530</v>
      </c>
      <c r="W14490" t="s">
        <v>44525</v>
      </c>
      <c r="X14490" t="s">
        <v>47325</v>
      </c>
    </row>
    <row r="14491" spans="1:24">
      <c r="A14491">
        <f>HYPERLINK("https://www.philgeps.gov.ph/GEPSNONPILOT/Tender/SplashBidNoticeAbstractUI.aspx?menuIndex=3&amp;refID=7159623&amp;Result=3","7159623")</f>
        <v>0</v>
      </c>
      <c r="B14491" t="s">
        <v>2326</v>
      </c>
      <c r="C14491" t="s">
        <v>17567</v>
      </c>
      <c r="E14491" t="s">
        <v>31340</v>
      </c>
      <c r="F14491" t="s">
        <v>32606</v>
      </c>
      <c r="G14491" t="s">
        <v>32613</v>
      </c>
      <c r="H14491" t="s">
        <v>14201</v>
      </c>
      <c r="I14491" t="s">
        <v>32714</v>
      </c>
      <c r="J14491" t="s">
        <v>41711</v>
      </c>
      <c r="K14491" t="s">
        <v>42624</v>
      </c>
      <c r="M14491" t="s">
        <v>47106</v>
      </c>
      <c r="N14491" t="s">
        <v>47304</v>
      </c>
      <c r="O14491" t="s">
        <v>47305</v>
      </c>
      <c r="P14491">
        <v>0</v>
      </c>
      <c r="Q14491">
        <v>11</v>
      </c>
      <c r="R14491" t="s">
        <v>47325</v>
      </c>
      <c r="S14491" t="s">
        <v>48215</v>
      </c>
      <c r="T14491" t="s">
        <v>49071</v>
      </c>
      <c r="U14491" t="s">
        <v>61531</v>
      </c>
      <c r="W14491" t="s">
        <v>47106</v>
      </c>
      <c r="X14491" t="s">
        <v>47326</v>
      </c>
    </row>
    <row r="14492" spans="1:24">
      <c r="A14492">
        <f>HYPERLINK("https://www.philgeps.gov.ph/GEPSNONPILOT/Tender/SplashBidNoticeAbstractUI.aspx?menuIndex=3&amp;refID=7159672&amp;Result=3","7159672")</f>
        <v>0</v>
      </c>
      <c r="B14492" t="s">
        <v>3783</v>
      </c>
      <c r="C14492" t="s">
        <v>17568</v>
      </c>
      <c r="D14492" t="s">
        <v>19024</v>
      </c>
      <c r="E14492" t="s">
        <v>19372</v>
      </c>
      <c r="F14492" t="s">
        <v>32606</v>
      </c>
      <c r="G14492" t="s">
        <v>32613</v>
      </c>
      <c r="H14492" t="s">
        <v>32623</v>
      </c>
      <c r="I14492" t="s">
        <v>9013</v>
      </c>
      <c r="J14492" t="s">
        <v>32778</v>
      </c>
      <c r="K14492" t="s">
        <v>42631</v>
      </c>
      <c r="M14492" t="s">
        <v>47118</v>
      </c>
      <c r="N14492" t="s">
        <v>47304</v>
      </c>
      <c r="O14492" t="s">
        <v>47305</v>
      </c>
      <c r="P14492">
        <v>0</v>
      </c>
      <c r="Q14492">
        <v>1</v>
      </c>
      <c r="R14492" t="s">
        <v>47325</v>
      </c>
      <c r="S14492" t="s">
        <v>48215</v>
      </c>
      <c r="T14492" t="s">
        <v>49008</v>
      </c>
      <c r="U14492" t="s">
        <v>61532</v>
      </c>
      <c r="W14492" t="s">
        <v>47118</v>
      </c>
      <c r="X14492" t="s">
        <v>47326</v>
      </c>
    </row>
    <row r="14493" spans="1:24">
      <c r="A14493">
        <f>HYPERLINK("https://www.philgeps.gov.ph/GEPSNONPILOT/Tender/SplashBidNoticeAbstractUI.aspx?menuIndex=3&amp;refID=7159614&amp;Result=3","7159614")</f>
        <v>0</v>
      </c>
      <c r="B14493" t="s">
        <v>3054</v>
      </c>
      <c r="C14493" t="s">
        <v>17569</v>
      </c>
      <c r="D14493" t="s">
        <v>19032</v>
      </c>
      <c r="E14493" t="s">
        <v>31341</v>
      </c>
      <c r="F14493" t="s">
        <v>32606</v>
      </c>
      <c r="G14493" t="s">
        <v>32613</v>
      </c>
      <c r="H14493" t="s">
        <v>14201</v>
      </c>
      <c r="I14493" t="s">
        <v>7064</v>
      </c>
      <c r="J14493" t="s">
        <v>37453</v>
      </c>
      <c r="K14493" t="s">
        <v>42627</v>
      </c>
      <c r="M14493" t="s">
        <v>46250</v>
      </c>
      <c r="N14493" t="s">
        <v>47304</v>
      </c>
      <c r="O14493" t="s">
        <v>47305</v>
      </c>
      <c r="P14493">
        <v>0</v>
      </c>
      <c r="Q14493">
        <v>3</v>
      </c>
      <c r="R14493" t="s">
        <v>47325</v>
      </c>
      <c r="S14493" t="s">
        <v>48215</v>
      </c>
      <c r="T14493" t="s">
        <v>49509</v>
      </c>
      <c r="U14493" t="s">
        <v>61533</v>
      </c>
      <c r="V14493" t="s">
        <v>64224</v>
      </c>
      <c r="W14493" t="s">
        <v>46250</v>
      </c>
      <c r="X14493" t="s">
        <v>47326</v>
      </c>
    </row>
    <row r="14494" spans="1:24">
      <c r="A14494">
        <f>HYPERLINK("https://www.philgeps.gov.ph/GEPSNONPILOT/Tender/SplashBidNoticeAbstractUI.aspx?menuIndex=3&amp;refID=7159649&amp;Result=3","7159649")</f>
        <v>0</v>
      </c>
      <c r="B14494" t="s">
        <v>1565</v>
      </c>
      <c r="C14494" t="s">
        <v>17496</v>
      </c>
      <c r="D14494" t="s">
        <v>19029</v>
      </c>
      <c r="E14494" t="s">
        <v>31342</v>
      </c>
      <c r="F14494" t="s">
        <v>32606</v>
      </c>
      <c r="G14494" t="s">
        <v>32613</v>
      </c>
      <c r="H14494" t="s">
        <v>14201</v>
      </c>
      <c r="I14494" t="s">
        <v>32662</v>
      </c>
      <c r="J14494" t="s">
        <v>41712</v>
      </c>
      <c r="K14494" t="s">
        <v>42622</v>
      </c>
      <c r="M14494" t="s">
        <v>46713</v>
      </c>
      <c r="N14494" t="s">
        <v>47304</v>
      </c>
      <c r="O14494" t="s">
        <v>47305</v>
      </c>
      <c r="P14494">
        <v>0</v>
      </c>
      <c r="Q14494">
        <v>12</v>
      </c>
      <c r="R14494" t="s">
        <v>47325</v>
      </c>
      <c r="S14494" t="s">
        <v>48215</v>
      </c>
      <c r="T14494" t="s">
        <v>49035</v>
      </c>
      <c r="U14494" t="s">
        <v>61464</v>
      </c>
      <c r="W14494" t="s">
        <v>46713</v>
      </c>
      <c r="X14494" t="s">
        <v>47326</v>
      </c>
    </row>
    <row r="14495" spans="1:24">
      <c r="A14495">
        <f>HYPERLINK("https://www.philgeps.gov.ph/GEPSNONPILOT/Tender/SplashBidNoticeAbstractUI.aspx?menuIndex=3&amp;refID=7159625&amp;Result=3","7159625")</f>
        <v>0</v>
      </c>
      <c r="B14495" t="s">
        <v>2604</v>
      </c>
      <c r="C14495" t="s">
        <v>17570</v>
      </c>
      <c r="D14495" t="s">
        <v>19056</v>
      </c>
      <c r="E14495" t="s">
        <v>31343</v>
      </c>
      <c r="F14495" t="s">
        <v>32606</v>
      </c>
      <c r="G14495" t="s">
        <v>32613</v>
      </c>
      <c r="H14495" t="s">
        <v>14201</v>
      </c>
      <c r="I14495" t="s">
        <v>5233</v>
      </c>
      <c r="J14495" t="s">
        <v>41713</v>
      </c>
      <c r="K14495" t="s">
        <v>42631</v>
      </c>
      <c r="M14495" t="s">
        <v>45748</v>
      </c>
      <c r="N14495" t="s">
        <v>47304</v>
      </c>
      <c r="O14495" t="s">
        <v>47305</v>
      </c>
      <c r="P14495">
        <v>0</v>
      </c>
      <c r="Q14495">
        <v>0</v>
      </c>
      <c r="R14495" t="s">
        <v>47325</v>
      </c>
      <c r="S14495" t="s">
        <v>48215</v>
      </c>
      <c r="T14495" t="s">
        <v>49221</v>
      </c>
      <c r="U14495" t="s">
        <v>61534</v>
      </c>
      <c r="V14495" t="s">
        <v>64225</v>
      </c>
      <c r="W14495" t="s">
        <v>45748</v>
      </c>
      <c r="X14495" t="s">
        <v>47326</v>
      </c>
    </row>
    <row r="14496" spans="1:24">
      <c r="A14496">
        <f>HYPERLINK("https://www.philgeps.gov.ph/GEPSNONPILOT/Tender/SplashBidNoticeAbstractUI.aspx?menuIndex=3&amp;refID=7159889&amp;Result=3","7159889")</f>
        <v>0</v>
      </c>
      <c r="B14496" t="s">
        <v>340</v>
      </c>
      <c r="C14496" t="s">
        <v>17571</v>
      </c>
      <c r="D14496" t="s">
        <v>19029</v>
      </c>
      <c r="E14496" t="s">
        <v>31344</v>
      </c>
      <c r="F14496" t="s">
        <v>32610</v>
      </c>
      <c r="G14496" t="s">
        <v>32613</v>
      </c>
      <c r="H14496" t="s">
        <v>14201</v>
      </c>
      <c r="I14496" t="s">
        <v>7677</v>
      </c>
      <c r="J14496" t="s">
        <v>41714</v>
      </c>
      <c r="K14496" t="s">
        <v>42631</v>
      </c>
      <c r="M14496" t="s">
        <v>43242</v>
      </c>
      <c r="N14496" t="s">
        <v>47304</v>
      </c>
      <c r="O14496" t="s">
        <v>47305</v>
      </c>
      <c r="P14496">
        <v>0</v>
      </c>
      <c r="Q14496">
        <v>7</v>
      </c>
      <c r="R14496" t="s">
        <v>47325</v>
      </c>
      <c r="S14496" t="s">
        <v>48215</v>
      </c>
      <c r="T14496" t="s">
        <v>49068</v>
      </c>
      <c r="U14496" t="s">
        <v>61535</v>
      </c>
      <c r="V14496" t="s">
        <v>64226</v>
      </c>
      <c r="W14496" t="s">
        <v>43242</v>
      </c>
      <c r="X14496" t="s">
        <v>47326</v>
      </c>
    </row>
    <row r="14497" spans="1:24">
      <c r="A14497">
        <f>HYPERLINK("https://www.philgeps.gov.ph/GEPSNONPILOT/Tender/SplashBidNoticeAbstractUI.aspx?menuIndex=3&amp;refID=7159891&amp;Result=3","7159891")</f>
        <v>0</v>
      </c>
      <c r="B14497" t="s">
        <v>1234</v>
      </c>
      <c r="C14497" t="s">
        <v>17572</v>
      </c>
      <c r="D14497" t="s">
        <v>19047</v>
      </c>
      <c r="E14497" t="s">
        <v>31345</v>
      </c>
      <c r="F14497" t="s">
        <v>32606</v>
      </c>
      <c r="G14497" t="s">
        <v>32613</v>
      </c>
      <c r="H14497" t="s">
        <v>32623</v>
      </c>
      <c r="I14497" t="s">
        <v>17648</v>
      </c>
      <c r="J14497" t="s">
        <v>41715</v>
      </c>
      <c r="K14497" t="s">
        <v>42636</v>
      </c>
      <c r="M14497" t="s">
        <v>44199</v>
      </c>
      <c r="N14497" t="s">
        <v>47304</v>
      </c>
      <c r="O14497" t="s">
        <v>47305</v>
      </c>
      <c r="P14497">
        <v>0</v>
      </c>
      <c r="Q14497">
        <v>1</v>
      </c>
      <c r="R14497" t="s">
        <v>47325</v>
      </c>
      <c r="S14497" t="s">
        <v>48215</v>
      </c>
      <c r="T14497" t="s">
        <v>48987</v>
      </c>
      <c r="U14497" t="s">
        <v>61536</v>
      </c>
      <c r="W14497" t="s">
        <v>44199</v>
      </c>
      <c r="X14497" t="s">
        <v>47326</v>
      </c>
    </row>
    <row r="14498" spans="1:24">
      <c r="A14498">
        <f>HYPERLINK("https://www.philgeps.gov.ph/GEPSNONPILOT/Tender/SplashBidNoticeAbstractUI.aspx?menuIndex=3&amp;refID=7159879&amp;Result=3","7159879")</f>
        <v>0</v>
      </c>
      <c r="B14498" t="s">
        <v>1406</v>
      </c>
      <c r="C14498" t="s">
        <v>17573</v>
      </c>
      <c r="D14498" t="s">
        <v>19019</v>
      </c>
      <c r="E14498" t="s">
        <v>31346</v>
      </c>
      <c r="F14498" t="s">
        <v>32606</v>
      </c>
      <c r="G14498" t="s">
        <v>32613</v>
      </c>
      <c r="H14498" t="s">
        <v>14201</v>
      </c>
      <c r="I14498" t="s">
        <v>6931</v>
      </c>
      <c r="J14498" t="s">
        <v>41716</v>
      </c>
      <c r="K14498" t="s">
        <v>42639</v>
      </c>
      <c r="M14498" t="s">
        <v>44392</v>
      </c>
      <c r="N14498" t="s">
        <v>47304</v>
      </c>
      <c r="O14498" t="s">
        <v>47305</v>
      </c>
      <c r="P14498">
        <v>0</v>
      </c>
      <c r="Q14498">
        <v>2</v>
      </c>
      <c r="R14498" t="s">
        <v>47325</v>
      </c>
      <c r="S14498" t="s">
        <v>48215</v>
      </c>
      <c r="T14498" t="s">
        <v>49237</v>
      </c>
      <c r="U14498" t="s">
        <v>61537</v>
      </c>
      <c r="W14498" t="s">
        <v>44392</v>
      </c>
      <c r="X14498" t="s">
        <v>47326</v>
      </c>
    </row>
    <row r="14499" spans="1:24">
      <c r="A14499">
        <f>HYPERLINK("https://www.philgeps.gov.ph/GEPSNONPILOT/Tender/SplashBidNoticeAbstractUI.aspx?menuIndex=3&amp;refID=7159693&amp;Result=3","7159693")</f>
        <v>0</v>
      </c>
      <c r="B14499" t="s">
        <v>1586</v>
      </c>
      <c r="C14499" t="s">
        <v>17574</v>
      </c>
      <c r="D14499" t="s">
        <v>19038</v>
      </c>
      <c r="E14499" t="s">
        <v>31347</v>
      </c>
      <c r="F14499" t="s">
        <v>32606</v>
      </c>
      <c r="G14499" t="s">
        <v>32613</v>
      </c>
      <c r="H14499" t="s">
        <v>14201</v>
      </c>
      <c r="I14499" t="s">
        <v>7064</v>
      </c>
      <c r="J14499" t="s">
        <v>33263</v>
      </c>
      <c r="K14499" t="s">
        <v>42630</v>
      </c>
      <c r="M14499" t="s">
        <v>44599</v>
      </c>
      <c r="N14499" t="s">
        <v>47304</v>
      </c>
      <c r="O14499" t="s">
        <v>47305</v>
      </c>
      <c r="P14499">
        <v>0</v>
      </c>
      <c r="Q14499">
        <v>2</v>
      </c>
      <c r="R14499" t="s">
        <v>47325</v>
      </c>
      <c r="S14499" t="s">
        <v>48215</v>
      </c>
      <c r="T14499" t="s">
        <v>49018</v>
      </c>
      <c r="U14499" t="s">
        <v>61538</v>
      </c>
      <c r="W14499" t="s">
        <v>44599</v>
      </c>
      <c r="X14499" t="s">
        <v>47326</v>
      </c>
    </row>
    <row r="14500" spans="1:24">
      <c r="A14500">
        <f>HYPERLINK("https://www.philgeps.gov.ph/GEPSNONPILOT/Tender/SplashBidNoticeAbstractUI.aspx?menuIndex=3&amp;refID=7159853&amp;Result=3","7159853")</f>
        <v>0</v>
      </c>
      <c r="B14500" t="s">
        <v>218</v>
      </c>
      <c r="C14500" t="s">
        <v>17575</v>
      </c>
      <c r="D14500" t="s">
        <v>19029</v>
      </c>
      <c r="E14500" t="s">
        <v>31348</v>
      </c>
      <c r="F14500" t="s">
        <v>32606</v>
      </c>
      <c r="G14500" t="s">
        <v>32613</v>
      </c>
      <c r="H14500" t="s">
        <v>14201</v>
      </c>
      <c r="I14500" t="s">
        <v>7064</v>
      </c>
      <c r="J14500" t="s">
        <v>37453</v>
      </c>
      <c r="K14500" t="s">
        <v>42631</v>
      </c>
      <c r="M14500" t="s">
        <v>43119</v>
      </c>
      <c r="N14500" t="s">
        <v>47304</v>
      </c>
      <c r="O14500" t="s">
        <v>47305</v>
      </c>
      <c r="Q14500">
        <v>4</v>
      </c>
      <c r="R14500" t="s">
        <v>47325</v>
      </c>
      <c r="S14500" t="s">
        <v>48271</v>
      </c>
      <c r="T14500" t="s">
        <v>49076</v>
      </c>
      <c r="U14500" t="s">
        <v>61539</v>
      </c>
      <c r="W14500" t="s">
        <v>64423</v>
      </c>
      <c r="X14500" t="s">
        <v>47326</v>
      </c>
    </row>
    <row r="14501" spans="1:24">
      <c r="A14501">
        <f>HYPERLINK("https://www.philgeps.gov.ph/GEPSNONPILOT/Tender/SplashBidNoticeAbstractUI.aspx?menuIndex=3&amp;refID=7159888&amp;Result=3","7159888")</f>
        <v>0</v>
      </c>
      <c r="B14501" t="s">
        <v>1904</v>
      </c>
      <c r="C14501" t="s">
        <v>17576</v>
      </c>
      <c r="D14501" t="s">
        <v>19008</v>
      </c>
      <c r="E14501" t="s">
        <v>31349</v>
      </c>
      <c r="F14501" t="s">
        <v>32606</v>
      </c>
      <c r="G14501" t="s">
        <v>32613</v>
      </c>
      <c r="H14501" t="s">
        <v>14201</v>
      </c>
      <c r="I14501" t="s">
        <v>32638</v>
      </c>
      <c r="J14501" t="s">
        <v>32832</v>
      </c>
      <c r="K14501" t="s">
        <v>42627</v>
      </c>
      <c r="M14501" t="s">
        <v>47119</v>
      </c>
      <c r="N14501" t="s">
        <v>47304</v>
      </c>
      <c r="O14501" t="s">
        <v>47305</v>
      </c>
      <c r="P14501">
        <v>0</v>
      </c>
      <c r="Q14501">
        <v>5</v>
      </c>
      <c r="R14501" t="s">
        <v>47325</v>
      </c>
      <c r="S14501" t="s">
        <v>48215</v>
      </c>
      <c r="T14501" t="s">
        <v>49053</v>
      </c>
      <c r="U14501" t="s">
        <v>61540</v>
      </c>
      <c r="V14501" t="s">
        <v>64227</v>
      </c>
      <c r="W14501" t="s">
        <v>47119</v>
      </c>
      <c r="X14501" t="s">
        <v>47326</v>
      </c>
    </row>
    <row r="14502" spans="1:24">
      <c r="A14502">
        <f>HYPERLINK("https://www.philgeps.gov.ph/GEPSNONPILOT/Tender/SplashBidNoticeAbstractUI.aspx?menuIndex=3&amp;refID=7159677&amp;Result=3","7159677")</f>
        <v>0</v>
      </c>
      <c r="B14502" t="s">
        <v>1720</v>
      </c>
      <c r="C14502" t="s">
        <v>17577</v>
      </c>
      <c r="D14502" t="s">
        <v>19024</v>
      </c>
      <c r="E14502" t="s">
        <v>31350</v>
      </c>
      <c r="F14502" t="s">
        <v>32606</v>
      </c>
      <c r="G14502" t="s">
        <v>32613</v>
      </c>
      <c r="H14502" t="s">
        <v>32623</v>
      </c>
      <c r="I14502" t="s">
        <v>17648</v>
      </c>
      <c r="J14502" t="s">
        <v>41717</v>
      </c>
      <c r="K14502" t="s">
        <v>42645</v>
      </c>
      <c r="M14502" t="s">
        <v>44752</v>
      </c>
      <c r="N14502" t="s">
        <v>47304</v>
      </c>
      <c r="O14502" t="s">
        <v>47305</v>
      </c>
      <c r="Q14502">
        <v>2</v>
      </c>
      <c r="R14502" t="s">
        <v>47325</v>
      </c>
      <c r="S14502" t="s">
        <v>47819</v>
      </c>
      <c r="T14502" t="s">
        <v>49053</v>
      </c>
      <c r="U14502" t="s">
        <v>61541</v>
      </c>
      <c r="W14502" t="s">
        <v>44752</v>
      </c>
      <c r="X14502" t="s">
        <v>47326</v>
      </c>
    </row>
    <row r="14503" spans="1:24">
      <c r="A14503">
        <f>HYPERLINK("https://www.philgeps.gov.ph/GEPSNONPILOT/Tender/SplashBidNoticeAbstractUI.aspx?menuIndex=3&amp;refID=7159880&amp;Result=3","7159880")</f>
        <v>0</v>
      </c>
      <c r="B14503" t="s">
        <v>901</v>
      </c>
      <c r="C14503" t="s">
        <v>17578</v>
      </c>
      <c r="D14503" t="s">
        <v>19027</v>
      </c>
      <c r="E14503" t="s">
        <v>31351</v>
      </c>
      <c r="F14503" t="s">
        <v>32606</v>
      </c>
      <c r="G14503" t="s">
        <v>32613</v>
      </c>
      <c r="H14503" t="s">
        <v>32623</v>
      </c>
      <c r="I14503" t="s">
        <v>17648</v>
      </c>
      <c r="J14503" t="s">
        <v>35071</v>
      </c>
      <c r="K14503" t="s">
        <v>42685</v>
      </c>
      <c r="M14503" t="s">
        <v>47120</v>
      </c>
      <c r="N14503" t="s">
        <v>47304</v>
      </c>
      <c r="O14503" t="s">
        <v>47305</v>
      </c>
      <c r="Q14503">
        <v>0</v>
      </c>
      <c r="R14503" t="s">
        <v>47325</v>
      </c>
      <c r="S14503" t="s">
        <v>48272</v>
      </c>
      <c r="T14503" t="s">
        <v>49020</v>
      </c>
      <c r="U14503" t="s">
        <v>61542</v>
      </c>
      <c r="V14503" t="s">
        <v>50184</v>
      </c>
      <c r="W14503" t="s">
        <v>47120</v>
      </c>
      <c r="X14503" t="s">
        <v>47326</v>
      </c>
    </row>
    <row r="14504" spans="1:24">
      <c r="A14504">
        <f>HYPERLINK("https://www.philgeps.gov.ph/GEPSNONPILOT/Tender/SplashBidNoticeAbstractUI.aspx?menuIndex=3&amp;refID=7159864&amp;Result=3","7159864")</f>
        <v>0</v>
      </c>
      <c r="B14504" t="s">
        <v>3160</v>
      </c>
      <c r="C14504" t="s">
        <v>17579</v>
      </c>
      <c r="D14504" t="s">
        <v>19056</v>
      </c>
      <c r="E14504" t="s">
        <v>17579</v>
      </c>
      <c r="F14504" t="s">
        <v>32606</v>
      </c>
      <c r="G14504" t="s">
        <v>32613</v>
      </c>
      <c r="H14504" t="s">
        <v>32623</v>
      </c>
      <c r="I14504" t="s">
        <v>17648</v>
      </c>
      <c r="J14504" t="s">
        <v>41718</v>
      </c>
      <c r="K14504" t="s">
        <v>42650</v>
      </c>
      <c r="M14504" t="s">
        <v>46379</v>
      </c>
      <c r="N14504" t="s">
        <v>47304</v>
      </c>
      <c r="O14504" t="s">
        <v>47305</v>
      </c>
      <c r="Q14504">
        <v>2</v>
      </c>
      <c r="R14504" t="s">
        <v>47325</v>
      </c>
      <c r="S14504" t="s">
        <v>48273</v>
      </c>
      <c r="T14504" t="s">
        <v>48986</v>
      </c>
      <c r="U14504" t="s">
        <v>61543</v>
      </c>
      <c r="W14504" t="s">
        <v>46379</v>
      </c>
      <c r="X14504" t="s">
        <v>47326</v>
      </c>
    </row>
    <row r="14505" spans="1:24">
      <c r="A14505">
        <f>HYPERLINK("https://www.philgeps.gov.ph/GEPSNONPILOT/Tender/SplashBidNoticeAbstractUI.aspx?menuIndex=3&amp;refID=7159875&amp;Result=3","7159875")</f>
        <v>0</v>
      </c>
      <c r="B14505" t="s">
        <v>3770</v>
      </c>
      <c r="C14505" t="s">
        <v>17580</v>
      </c>
      <c r="D14505" t="s">
        <v>19019</v>
      </c>
      <c r="E14505" t="s">
        <v>31352</v>
      </c>
      <c r="F14505" t="s">
        <v>32606</v>
      </c>
      <c r="G14505" t="s">
        <v>32613</v>
      </c>
      <c r="H14505" t="s">
        <v>32623</v>
      </c>
      <c r="I14505" t="s">
        <v>17648</v>
      </c>
      <c r="J14505" t="s">
        <v>41719</v>
      </c>
      <c r="K14505" t="s">
        <v>42645</v>
      </c>
      <c r="M14505" t="s">
        <v>47103</v>
      </c>
      <c r="N14505" t="s">
        <v>47304</v>
      </c>
      <c r="O14505" t="s">
        <v>47305</v>
      </c>
      <c r="P14505">
        <v>0</v>
      </c>
      <c r="Q14505">
        <v>2</v>
      </c>
      <c r="R14505" t="s">
        <v>47325</v>
      </c>
      <c r="S14505" t="s">
        <v>48215</v>
      </c>
      <c r="T14505" t="s">
        <v>49263</v>
      </c>
      <c r="U14505" t="s">
        <v>61544</v>
      </c>
      <c r="W14505" t="s">
        <v>47103</v>
      </c>
      <c r="X14505" t="s">
        <v>47326</v>
      </c>
    </row>
    <row r="14506" spans="1:24">
      <c r="A14506">
        <f>HYPERLINK("https://www.philgeps.gov.ph/GEPSNONPILOT/Tender/SplashBidNoticeAbstractUI.aspx?menuIndex=3&amp;refID=7159877&amp;Result=3","7159877")</f>
        <v>0</v>
      </c>
      <c r="B14506" t="s">
        <v>3775</v>
      </c>
      <c r="C14506" t="s">
        <v>17581</v>
      </c>
      <c r="E14506" t="s">
        <v>31353</v>
      </c>
      <c r="F14506" t="s">
        <v>32606</v>
      </c>
      <c r="G14506" t="s">
        <v>32613</v>
      </c>
      <c r="H14506" t="s">
        <v>32623</v>
      </c>
      <c r="I14506" t="s">
        <v>17648</v>
      </c>
      <c r="J14506" t="s">
        <v>41720</v>
      </c>
      <c r="K14506" t="s">
        <v>42624</v>
      </c>
      <c r="M14506" t="s">
        <v>47110</v>
      </c>
      <c r="N14506" t="s">
        <v>47304</v>
      </c>
      <c r="O14506" t="s">
        <v>47305</v>
      </c>
      <c r="P14506">
        <v>0</v>
      </c>
      <c r="Q14506">
        <v>31</v>
      </c>
      <c r="R14506" t="s">
        <v>47325</v>
      </c>
      <c r="S14506" t="s">
        <v>48215</v>
      </c>
      <c r="T14506" t="s">
        <v>49047</v>
      </c>
      <c r="U14506" t="s">
        <v>61545</v>
      </c>
      <c r="V14506" t="s">
        <v>64218</v>
      </c>
      <c r="W14506" t="s">
        <v>47110</v>
      </c>
      <c r="X14506" t="s">
        <v>47326</v>
      </c>
    </row>
    <row r="14507" spans="1:24">
      <c r="A14507">
        <f>HYPERLINK("https://www.philgeps.gov.ph/GEPSNONPILOT/Tender/SplashBidNoticeAbstractUI.aspx?menuIndex=3&amp;refID=7159987&amp;Result=3","7159987")</f>
        <v>0</v>
      </c>
      <c r="B14507" t="s">
        <v>2226</v>
      </c>
      <c r="C14507" t="s">
        <v>17582</v>
      </c>
      <c r="D14507" t="s">
        <v>19058</v>
      </c>
      <c r="E14507" t="s">
        <v>31354</v>
      </c>
      <c r="F14507" t="s">
        <v>32606</v>
      </c>
      <c r="G14507" t="s">
        <v>32613</v>
      </c>
      <c r="H14507" t="s">
        <v>14201</v>
      </c>
      <c r="I14507" t="s">
        <v>32633</v>
      </c>
      <c r="J14507" t="s">
        <v>41721</v>
      </c>
      <c r="K14507" t="s">
        <v>42630</v>
      </c>
      <c r="M14507" t="s">
        <v>45330</v>
      </c>
      <c r="N14507" t="s">
        <v>47304</v>
      </c>
      <c r="O14507" t="s">
        <v>47305</v>
      </c>
      <c r="P14507">
        <v>0</v>
      </c>
      <c r="Q14507">
        <v>20</v>
      </c>
      <c r="R14507" t="s">
        <v>47325</v>
      </c>
      <c r="S14507" t="s">
        <v>48215</v>
      </c>
      <c r="T14507" t="s">
        <v>49268</v>
      </c>
      <c r="U14507" t="s">
        <v>51703</v>
      </c>
      <c r="W14507" t="s">
        <v>45330</v>
      </c>
      <c r="X14507" t="s">
        <v>47326</v>
      </c>
    </row>
    <row r="14508" spans="1:24">
      <c r="A14508">
        <f>HYPERLINK("https://www.philgeps.gov.ph/GEPSNONPILOT/Tender/SplashBidNoticeAbstractUI.aspx?menuIndex=3&amp;refID=7159860&amp;Result=3","7159860")</f>
        <v>0</v>
      </c>
      <c r="B14508" t="s">
        <v>2326</v>
      </c>
      <c r="C14508" t="s">
        <v>17583</v>
      </c>
      <c r="E14508" t="s">
        <v>31355</v>
      </c>
      <c r="F14508" t="s">
        <v>32606</v>
      </c>
      <c r="G14508" t="s">
        <v>32613</v>
      </c>
      <c r="H14508" t="s">
        <v>14201</v>
      </c>
      <c r="I14508" t="s">
        <v>32633</v>
      </c>
      <c r="J14508" t="s">
        <v>41722</v>
      </c>
      <c r="K14508" t="s">
        <v>42624</v>
      </c>
      <c r="M14508" t="s">
        <v>47106</v>
      </c>
      <c r="N14508" t="s">
        <v>47304</v>
      </c>
      <c r="O14508" t="s">
        <v>47305</v>
      </c>
      <c r="P14508">
        <v>0</v>
      </c>
      <c r="Q14508">
        <v>3</v>
      </c>
      <c r="R14508" t="s">
        <v>47325</v>
      </c>
      <c r="S14508" t="s">
        <v>48215</v>
      </c>
      <c r="T14508" t="s">
        <v>49071</v>
      </c>
      <c r="U14508" t="s">
        <v>61546</v>
      </c>
      <c r="W14508" t="s">
        <v>47106</v>
      </c>
      <c r="X14508" t="s">
        <v>47326</v>
      </c>
    </row>
    <row r="14509" spans="1:24">
      <c r="A14509">
        <f>HYPERLINK("https://www.philgeps.gov.ph/GEPSNONPILOT/Tender/SplashBidNoticeAbstractUI.aspx?menuIndex=3&amp;refID=7159983&amp;Result=3","7159983")</f>
        <v>0</v>
      </c>
      <c r="B14509" t="s">
        <v>1234</v>
      </c>
      <c r="C14509" t="s">
        <v>17584</v>
      </c>
      <c r="D14509" t="s">
        <v>19047</v>
      </c>
      <c r="E14509" t="s">
        <v>17584</v>
      </c>
      <c r="F14509" t="s">
        <v>32606</v>
      </c>
      <c r="G14509" t="s">
        <v>32613</v>
      </c>
      <c r="H14509" t="s">
        <v>32623</v>
      </c>
      <c r="I14509" t="s">
        <v>17648</v>
      </c>
      <c r="J14509" t="s">
        <v>41723</v>
      </c>
      <c r="K14509" t="s">
        <v>42712</v>
      </c>
      <c r="M14509" t="s">
        <v>44199</v>
      </c>
      <c r="N14509" t="s">
        <v>47304</v>
      </c>
      <c r="O14509" t="s">
        <v>47305</v>
      </c>
      <c r="P14509">
        <v>0</v>
      </c>
      <c r="Q14509">
        <v>0</v>
      </c>
      <c r="R14509" t="s">
        <v>47325</v>
      </c>
      <c r="S14509" t="s">
        <v>48215</v>
      </c>
      <c r="T14509" t="s">
        <v>48987</v>
      </c>
      <c r="U14509" t="s">
        <v>61547</v>
      </c>
      <c r="W14509" t="s">
        <v>44199</v>
      </c>
      <c r="X14509" t="s">
        <v>47326</v>
      </c>
    </row>
    <row r="14510" spans="1:24">
      <c r="A14510">
        <f>HYPERLINK("https://www.philgeps.gov.ph/GEPSNONPILOT/Tender/SplashBidNoticeAbstractUI.aspx?menuIndex=3&amp;refID=7159871&amp;Result=3","7159871")</f>
        <v>0</v>
      </c>
      <c r="B14510" t="s">
        <v>2326</v>
      </c>
      <c r="C14510" t="s">
        <v>17585</v>
      </c>
      <c r="E14510" t="s">
        <v>31356</v>
      </c>
      <c r="F14510" t="s">
        <v>32606</v>
      </c>
      <c r="G14510" t="s">
        <v>32613</v>
      </c>
      <c r="H14510" t="s">
        <v>14201</v>
      </c>
      <c r="I14510" t="s">
        <v>32633</v>
      </c>
      <c r="J14510" t="s">
        <v>41724</v>
      </c>
      <c r="K14510" t="s">
        <v>42624</v>
      </c>
      <c r="M14510" t="s">
        <v>47106</v>
      </c>
      <c r="N14510" t="s">
        <v>47304</v>
      </c>
      <c r="O14510" t="s">
        <v>47305</v>
      </c>
      <c r="P14510">
        <v>0</v>
      </c>
      <c r="Q14510">
        <v>3</v>
      </c>
      <c r="R14510" t="s">
        <v>47325</v>
      </c>
      <c r="S14510" t="s">
        <v>48215</v>
      </c>
      <c r="T14510" t="s">
        <v>49071</v>
      </c>
      <c r="U14510" t="s">
        <v>61548</v>
      </c>
      <c r="W14510" t="s">
        <v>47106</v>
      </c>
      <c r="X14510" t="s">
        <v>47326</v>
      </c>
    </row>
    <row r="14511" spans="1:24">
      <c r="A14511">
        <f>HYPERLINK("https://www.philgeps.gov.ph/GEPSNONPILOT/Tender/SplashBidNoticeAbstractUI.aspx?menuIndex=3&amp;refID=7159870&amp;Result=3","7159870")</f>
        <v>0</v>
      </c>
      <c r="B14511" t="s">
        <v>2213</v>
      </c>
      <c r="C14511" t="s">
        <v>17586</v>
      </c>
      <c r="D14511" t="s">
        <v>19065</v>
      </c>
      <c r="E14511" t="s">
        <v>31357</v>
      </c>
      <c r="F14511" t="s">
        <v>32606</v>
      </c>
      <c r="G14511" t="s">
        <v>32613</v>
      </c>
      <c r="H14511" t="s">
        <v>32623</v>
      </c>
      <c r="I14511" t="s">
        <v>17648</v>
      </c>
      <c r="J14511" t="s">
        <v>41725</v>
      </c>
      <c r="K14511" t="s">
        <v>42676</v>
      </c>
      <c r="M14511" t="s">
        <v>45317</v>
      </c>
      <c r="N14511" t="s">
        <v>47304</v>
      </c>
      <c r="O14511" t="s">
        <v>47305</v>
      </c>
      <c r="P14511">
        <v>0</v>
      </c>
      <c r="Q14511">
        <v>0</v>
      </c>
      <c r="R14511" t="s">
        <v>47325</v>
      </c>
      <c r="S14511" t="s">
        <v>48215</v>
      </c>
      <c r="T14511" t="s">
        <v>48998</v>
      </c>
      <c r="U14511" t="s">
        <v>61549</v>
      </c>
      <c r="V14511" t="s">
        <v>64228</v>
      </c>
      <c r="W14511" t="s">
        <v>45317</v>
      </c>
      <c r="X14511" t="s">
        <v>47326</v>
      </c>
    </row>
    <row r="14512" spans="1:24">
      <c r="A14512">
        <f>HYPERLINK("https://www.philgeps.gov.ph/GEPSNONPILOT/Tender/SplashBidNoticeAbstractUI.aspx?menuIndex=3&amp;refID=7159970&amp;Result=3","7159970")</f>
        <v>0</v>
      </c>
      <c r="B14512" t="s">
        <v>3784</v>
      </c>
      <c r="C14512" t="s">
        <v>17587</v>
      </c>
      <c r="D14512" t="s">
        <v>19008</v>
      </c>
      <c r="E14512" t="s">
        <v>23679</v>
      </c>
      <c r="F14512" t="s">
        <v>32606</v>
      </c>
      <c r="G14512" t="s">
        <v>32613</v>
      </c>
      <c r="H14512" t="s">
        <v>32623</v>
      </c>
      <c r="I14512" t="s">
        <v>17648</v>
      </c>
      <c r="J14512" t="s">
        <v>41726</v>
      </c>
      <c r="K14512" t="s">
        <v>42651</v>
      </c>
      <c r="M14512" t="s">
        <v>47121</v>
      </c>
      <c r="N14512" t="s">
        <v>47304</v>
      </c>
      <c r="O14512" t="s">
        <v>47305</v>
      </c>
      <c r="P14512">
        <v>0</v>
      </c>
      <c r="Q14512">
        <v>9</v>
      </c>
      <c r="R14512" t="s">
        <v>47325</v>
      </c>
      <c r="S14512" t="s">
        <v>48215</v>
      </c>
      <c r="T14512" t="s">
        <v>49165</v>
      </c>
      <c r="U14512" t="s">
        <v>61550</v>
      </c>
      <c r="V14512" t="s">
        <v>64229</v>
      </c>
      <c r="W14512" t="s">
        <v>47121</v>
      </c>
      <c r="X14512" t="s">
        <v>47326</v>
      </c>
    </row>
    <row r="14513" spans="1:24">
      <c r="A14513">
        <f>HYPERLINK("https://www.philgeps.gov.ph/GEPSNONPILOT/Tender/SplashBidNoticeAbstractUI.aspx?menuIndex=3&amp;refID=7159637&amp;Result=3","7159637")</f>
        <v>0</v>
      </c>
      <c r="B14513" t="s">
        <v>2275</v>
      </c>
      <c r="C14513" t="s">
        <v>17588</v>
      </c>
      <c r="D14513" t="s">
        <v>19044</v>
      </c>
      <c r="E14513" t="s">
        <v>31358</v>
      </c>
      <c r="F14513" t="s">
        <v>32606</v>
      </c>
      <c r="G14513" t="s">
        <v>32613</v>
      </c>
      <c r="H14513" t="s">
        <v>32623</v>
      </c>
      <c r="I14513" t="s">
        <v>17648</v>
      </c>
      <c r="J14513" t="s">
        <v>41727</v>
      </c>
      <c r="K14513" t="s">
        <v>42716</v>
      </c>
      <c r="M14513" t="s">
        <v>45380</v>
      </c>
      <c r="N14513" t="s">
        <v>47304</v>
      </c>
      <c r="O14513" t="s">
        <v>47305</v>
      </c>
      <c r="Q14513">
        <v>2</v>
      </c>
      <c r="R14513" t="s">
        <v>47325</v>
      </c>
      <c r="S14513" t="s">
        <v>48274</v>
      </c>
      <c r="T14513" t="s">
        <v>49315</v>
      </c>
      <c r="U14513" t="s">
        <v>61551</v>
      </c>
      <c r="W14513" t="s">
        <v>45380</v>
      </c>
      <c r="X14513" t="s">
        <v>47326</v>
      </c>
    </row>
    <row r="14514" spans="1:24">
      <c r="A14514">
        <f>HYPERLINK("https://www.philgeps.gov.ph/GEPSNONPILOT/Tender/SplashBidNoticeAbstractUI.aspx?menuIndex=3&amp;refID=7159981&amp;Result=3","7159981")</f>
        <v>0</v>
      </c>
      <c r="B14514" t="s">
        <v>529</v>
      </c>
      <c r="C14514" t="s">
        <v>17589</v>
      </c>
      <c r="E14514" t="s">
        <v>31359</v>
      </c>
      <c r="F14514" t="s">
        <v>32606</v>
      </c>
      <c r="G14514" t="s">
        <v>32613</v>
      </c>
      <c r="H14514" t="s">
        <v>32623</v>
      </c>
      <c r="I14514" t="s">
        <v>17648</v>
      </c>
      <c r="J14514" t="s">
        <v>32767</v>
      </c>
      <c r="K14514" t="s">
        <v>42636</v>
      </c>
      <c r="M14514" t="s">
        <v>43442</v>
      </c>
      <c r="N14514" t="s">
        <v>47304</v>
      </c>
      <c r="O14514" t="s">
        <v>47305</v>
      </c>
      <c r="P14514">
        <v>0</v>
      </c>
      <c r="Q14514">
        <v>0</v>
      </c>
      <c r="R14514" t="s">
        <v>47325</v>
      </c>
      <c r="S14514" t="s">
        <v>48215</v>
      </c>
      <c r="T14514" t="s">
        <v>48998</v>
      </c>
      <c r="U14514" t="s">
        <v>61552</v>
      </c>
      <c r="W14514" t="s">
        <v>43442</v>
      </c>
      <c r="X14514" t="s">
        <v>47326</v>
      </c>
    </row>
    <row r="14515" spans="1:24">
      <c r="A14515">
        <f>HYPERLINK("https://www.philgeps.gov.ph/GEPSNONPILOT/Tender/SplashBidNoticeAbstractUI.aspx?menuIndex=3&amp;refID=7159998&amp;Result=3","7159998")</f>
        <v>0</v>
      </c>
      <c r="B14515" t="s">
        <v>2339</v>
      </c>
      <c r="C14515" t="s">
        <v>17590</v>
      </c>
      <c r="D14515" t="s">
        <v>19018</v>
      </c>
      <c r="E14515" t="s">
        <v>31360</v>
      </c>
      <c r="F14515" t="s">
        <v>32606</v>
      </c>
      <c r="G14515" t="s">
        <v>32613</v>
      </c>
      <c r="H14515" t="s">
        <v>14201</v>
      </c>
      <c r="I14515" t="s">
        <v>6007</v>
      </c>
      <c r="J14515" t="s">
        <v>32914</v>
      </c>
      <c r="K14515" t="s">
        <v>42631</v>
      </c>
      <c r="M14515" t="s">
        <v>45449</v>
      </c>
      <c r="N14515" t="s">
        <v>47304</v>
      </c>
      <c r="O14515" t="s">
        <v>47305</v>
      </c>
      <c r="Q14515">
        <v>0</v>
      </c>
      <c r="R14515" t="s">
        <v>47325</v>
      </c>
      <c r="S14515" t="s">
        <v>48275</v>
      </c>
      <c r="T14515" t="s">
        <v>48987</v>
      </c>
      <c r="U14515" t="s">
        <v>61553</v>
      </c>
      <c r="W14515" t="s">
        <v>45449</v>
      </c>
      <c r="X14515" t="s">
        <v>47326</v>
      </c>
    </row>
    <row r="14516" spans="1:24">
      <c r="A14516">
        <f>HYPERLINK("https://www.philgeps.gov.ph/GEPSNONPILOT/Tender/SplashBidNoticeAbstractUI.aspx?menuIndex=3&amp;refID=7159978&amp;Result=3","7159978")</f>
        <v>0</v>
      </c>
      <c r="B14516" t="s">
        <v>2804</v>
      </c>
      <c r="C14516" t="s">
        <v>17591</v>
      </c>
      <c r="D14516" t="s">
        <v>19023</v>
      </c>
      <c r="E14516" t="s">
        <v>31361</v>
      </c>
      <c r="F14516" t="s">
        <v>32606</v>
      </c>
      <c r="G14516" t="s">
        <v>32613</v>
      </c>
      <c r="H14516" t="s">
        <v>32623</v>
      </c>
      <c r="I14516" t="s">
        <v>17648</v>
      </c>
      <c r="J14516" t="s">
        <v>32830</v>
      </c>
      <c r="K14516" t="s">
        <v>42712</v>
      </c>
      <c r="M14516" t="s">
        <v>45966</v>
      </c>
      <c r="N14516" t="s">
        <v>47304</v>
      </c>
      <c r="O14516" t="s">
        <v>47305</v>
      </c>
      <c r="P14516">
        <v>0</v>
      </c>
      <c r="Q14516">
        <v>1</v>
      </c>
      <c r="R14516" t="s">
        <v>47325</v>
      </c>
      <c r="S14516" t="s">
        <v>48215</v>
      </c>
      <c r="T14516" t="s">
        <v>49257</v>
      </c>
      <c r="U14516" t="s">
        <v>61554</v>
      </c>
      <c r="W14516" t="s">
        <v>45966</v>
      </c>
      <c r="X14516" t="s">
        <v>47326</v>
      </c>
    </row>
    <row r="14517" spans="1:24">
      <c r="A14517">
        <f>HYPERLINK("https://www.philgeps.gov.ph/GEPSNONPILOT/Tender/SplashBidNoticeAbstractUI.aspx?menuIndex=3&amp;refID=7159954&amp;Result=3","7159954")</f>
        <v>0</v>
      </c>
      <c r="B14517" t="s">
        <v>2538</v>
      </c>
      <c r="C14517" t="s">
        <v>17592</v>
      </c>
      <c r="D14517" t="s">
        <v>18986</v>
      </c>
      <c r="E14517" t="s">
        <v>21264</v>
      </c>
      <c r="F14517" t="s">
        <v>32606</v>
      </c>
      <c r="G14517" t="s">
        <v>32613</v>
      </c>
      <c r="H14517" t="s">
        <v>14201</v>
      </c>
      <c r="I14517" t="s">
        <v>4120</v>
      </c>
      <c r="J14517" t="s">
        <v>41728</v>
      </c>
      <c r="K14517" t="s">
        <v>42757</v>
      </c>
      <c r="M14517" t="s">
        <v>45678</v>
      </c>
      <c r="N14517" t="s">
        <v>47304</v>
      </c>
      <c r="O14517" t="s">
        <v>47305</v>
      </c>
      <c r="P14517">
        <v>0</v>
      </c>
      <c r="Q14517">
        <v>0</v>
      </c>
      <c r="R14517" t="s">
        <v>47325</v>
      </c>
      <c r="S14517" t="s">
        <v>48215</v>
      </c>
      <c r="T14517" t="s">
        <v>49510</v>
      </c>
      <c r="U14517" t="s">
        <v>52341</v>
      </c>
      <c r="V14517" t="s">
        <v>64230</v>
      </c>
      <c r="W14517" t="s">
        <v>45678</v>
      </c>
      <c r="X14517" t="s">
        <v>47326</v>
      </c>
    </row>
    <row r="14518" spans="1:24">
      <c r="A14518">
        <f>HYPERLINK("https://www.philgeps.gov.ph/GEPSNONPILOT/Tender/SplashBidNoticeAbstractUI.aspx?menuIndex=3&amp;refID=7159971&amp;Result=3","7159971")</f>
        <v>0</v>
      </c>
      <c r="B14518" t="s">
        <v>952</v>
      </c>
      <c r="C14518" t="s">
        <v>17593</v>
      </c>
      <c r="D14518" t="s">
        <v>19040</v>
      </c>
      <c r="E14518" t="s">
        <v>31362</v>
      </c>
      <c r="F14518" t="s">
        <v>32606</v>
      </c>
      <c r="G14518" t="s">
        <v>32613</v>
      </c>
      <c r="H14518" t="s">
        <v>14201</v>
      </c>
      <c r="I14518" t="s">
        <v>32647</v>
      </c>
      <c r="J14518" t="s">
        <v>32767</v>
      </c>
      <c r="K14518" t="s">
        <v>42630</v>
      </c>
      <c r="M14518" t="s">
        <v>43894</v>
      </c>
      <c r="N14518" t="s">
        <v>47304</v>
      </c>
      <c r="O14518" t="s">
        <v>47305</v>
      </c>
      <c r="P14518">
        <v>0</v>
      </c>
      <c r="Q14518">
        <v>0</v>
      </c>
      <c r="R14518" t="s">
        <v>47325</v>
      </c>
      <c r="S14518" t="s">
        <v>48215</v>
      </c>
      <c r="T14518" t="s">
        <v>48971</v>
      </c>
      <c r="U14518" t="s">
        <v>61555</v>
      </c>
      <c r="W14518" t="s">
        <v>43894</v>
      </c>
      <c r="X14518" t="s">
        <v>47326</v>
      </c>
    </row>
    <row r="14519" spans="1:24">
      <c r="A14519">
        <f>HYPERLINK("https://www.philgeps.gov.ph/GEPSNONPILOT/Tender/SplashBidNoticeAbstractUI.aspx?menuIndex=3&amp;refID=7159932&amp;Result=3","7159932")</f>
        <v>0</v>
      </c>
      <c r="B14519" t="s">
        <v>340</v>
      </c>
      <c r="C14519" t="s">
        <v>17594</v>
      </c>
      <c r="D14519" t="s">
        <v>19029</v>
      </c>
      <c r="E14519" t="s">
        <v>31363</v>
      </c>
      <c r="F14519" t="s">
        <v>32606</v>
      </c>
      <c r="G14519" t="s">
        <v>32613</v>
      </c>
      <c r="H14519" t="s">
        <v>14201</v>
      </c>
      <c r="I14519" t="s">
        <v>7677</v>
      </c>
      <c r="J14519" t="s">
        <v>41729</v>
      </c>
      <c r="K14519" t="s">
        <v>42631</v>
      </c>
      <c r="M14519" t="s">
        <v>43242</v>
      </c>
      <c r="N14519" t="s">
        <v>47304</v>
      </c>
      <c r="O14519" t="s">
        <v>47305</v>
      </c>
      <c r="P14519">
        <v>0</v>
      </c>
      <c r="Q14519">
        <v>8</v>
      </c>
      <c r="R14519" t="s">
        <v>47325</v>
      </c>
      <c r="S14519" t="s">
        <v>48215</v>
      </c>
      <c r="T14519" t="s">
        <v>49068</v>
      </c>
      <c r="U14519" t="s">
        <v>61535</v>
      </c>
      <c r="V14519" t="s">
        <v>64231</v>
      </c>
      <c r="W14519" t="s">
        <v>43242</v>
      </c>
      <c r="X14519" t="s">
        <v>47326</v>
      </c>
    </row>
    <row r="14520" spans="1:24">
      <c r="A14520">
        <f>HYPERLINK("https://www.philgeps.gov.ph/GEPSNONPILOT/Tender/SplashBidNoticeAbstractUI.aspx?menuIndex=3&amp;refID=7159910&amp;Result=3","7159910")</f>
        <v>0</v>
      </c>
      <c r="B14520" t="s">
        <v>340</v>
      </c>
      <c r="C14520" t="s">
        <v>17595</v>
      </c>
      <c r="D14520" t="s">
        <v>19029</v>
      </c>
      <c r="E14520" t="s">
        <v>31364</v>
      </c>
      <c r="F14520" t="s">
        <v>32606</v>
      </c>
      <c r="G14520" t="s">
        <v>32613</v>
      </c>
      <c r="H14520" t="s">
        <v>14201</v>
      </c>
      <c r="I14520" t="s">
        <v>7677</v>
      </c>
      <c r="J14520" t="s">
        <v>41730</v>
      </c>
      <c r="K14520" t="s">
        <v>42631</v>
      </c>
      <c r="M14520" t="s">
        <v>43242</v>
      </c>
      <c r="N14520" t="s">
        <v>47304</v>
      </c>
      <c r="O14520" t="s">
        <v>47305</v>
      </c>
      <c r="P14520">
        <v>0</v>
      </c>
      <c r="Q14520">
        <v>7</v>
      </c>
      <c r="R14520" t="s">
        <v>47325</v>
      </c>
      <c r="S14520" t="s">
        <v>48215</v>
      </c>
      <c r="T14520" t="s">
        <v>49068</v>
      </c>
      <c r="U14520" t="s">
        <v>61535</v>
      </c>
      <c r="V14520" t="s">
        <v>64232</v>
      </c>
      <c r="W14520" t="s">
        <v>43242</v>
      </c>
      <c r="X14520" t="s">
        <v>47326</v>
      </c>
    </row>
    <row r="14521" spans="1:24">
      <c r="A14521">
        <f>HYPERLINK("https://www.philgeps.gov.ph/GEPSNONPILOT/Tender/SplashBidNoticeAbstractUI.aspx?menuIndex=3&amp;refID=7159909&amp;Result=3","7159909")</f>
        <v>0</v>
      </c>
      <c r="B14521" t="s">
        <v>2699</v>
      </c>
      <c r="C14521" t="s">
        <v>17596</v>
      </c>
      <c r="E14521" t="s">
        <v>31365</v>
      </c>
      <c r="F14521" t="s">
        <v>32606</v>
      </c>
      <c r="G14521" t="s">
        <v>32613</v>
      </c>
      <c r="H14521" t="s">
        <v>14201</v>
      </c>
      <c r="I14521" t="s">
        <v>4678</v>
      </c>
      <c r="J14521" t="s">
        <v>32795</v>
      </c>
      <c r="K14521" t="s">
        <v>42639</v>
      </c>
      <c r="M14521" t="s">
        <v>45852</v>
      </c>
      <c r="N14521" t="s">
        <v>47304</v>
      </c>
      <c r="O14521" t="s">
        <v>47305</v>
      </c>
      <c r="Q14521">
        <v>4</v>
      </c>
      <c r="R14521" t="s">
        <v>47325</v>
      </c>
      <c r="S14521" t="s">
        <v>48276</v>
      </c>
      <c r="T14521" t="s">
        <v>48986</v>
      </c>
      <c r="U14521" t="s">
        <v>61556</v>
      </c>
      <c r="W14521" t="s">
        <v>45852</v>
      </c>
      <c r="X14521" t="s">
        <v>47326</v>
      </c>
    </row>
    <row r="14522" spans="1:24">
      <c r="A14522">
        <f>HYPERLINK("https://www.philgeps.gov.ph/GEPSNONPILOT/Tender/SplashBidNoticeAbstractUI.aspx?menuIndex=3&amp;refID=7159921&amp;Result=3","7159921")</f>
        <v>0</v>
      </c>
      <c r="B14522" t="s">
        <v>340</v>
      </c>
      <c r="C14522" t="s">
        <v>17597</v>
      </c>
      <c r="D14522" t="s">
        <v>19029</v>
      </c>
      <c r="E14522" t="s">
        <v>31366</v>
      </c>
      <c r="F14522" t="s">
        <v>32606</v>
      </c>
      <c r="G14522" t="s">
        <v>32613</v>
      </c>
      <c r="H14522" t="s">
        <v>14201</v>
      </c>
      <c r="I14522" t="s">
        <v>7677</v>
      </c>
      <c r="J14522" t="s">
        <v>41731</v>
      </c>
      <c r="K14522" t="s">
        <v>42631</v>
      </c>
      <c r="M14522" t="s">
        <v>43242</v>
      </c>
      <c r="N14522" t="s">
        <v>47304</v>
      </c>
      <c r="O14522" t="s">
        <v>47305</v>
      </c>
      <c r="Q14522">
        <v>9</v>
      </c>
      <c r="R14522" t="s">
        <v>47325</v>
      </c>
      <c r="S14522" t="s">
        <v>48277</v>
      </c>
      <c r="T14522" t="s">
        <v>49068</v>
      </c>
      <c r="U14522" t="s">
        <v>61535</v>
      </c>
      <c r="V14522" t="s">
        <v>64233</v>
      </c>
      <c r="W14522" t="s">
        <v>43242</v>
      </c>
      <c r="X14522" t="s">
        <v>47326</v>
      </c>
    </row>
    <row r="14523" spans="1:24">
      <c r="A14523">
        <f>HYPERLINK("https://www.philgeps.gov.ph/GEPSNONPILOT/Tender/SplashBidNoticeAbstractUI.aspx?menuIndex=3&amp;refID=7159896&amp;Result=3","7159896")</f>
        <v>0</v>
      </c>
      <c r="B14523" t="s">
        <v>3785</v>
      </c>
      <c r="C14523" t="s">
        <v>17598</v>
      </c>
      <c r="D14523" t="s">
        <v>19008</v>
      </c>
      <c r="E14523" t="s">
        <v>20544</v>
      </c>
      <c r="F14523" t="s">
        <v>32606</v>
      </c>
      <c r="G14523" t="s">
        <v>32613</v>
      </c>
      <c r="H14523" t="s">
        <v>14201</v>
      </c>
      <c r="I14523" t="s">
        <v>32660</v>
      </c>
      <c r="J14523" t="s">
        <v>41732</v>
      </c>
      <c r="K14523" t="s">
        <v>42623</v>
      </c>
      <c r="M14523" t="s">
        <v>47122</v>
      </c>
      <c r="N14523" t="s">
        <v>47304</v>
      </c>
      <c r="O14523" t="s">
        <v>47305</v>
      </c>
      <c r="P14523">
        <v>0</v>
      </c>
      <c r="Q14523">
        <v>0</v>
      </c>
      <c r="R14523" t="s">
        <v>47325</v>
      </c>
      <c r="S14523" t="s">
        <v>48215</v>
      </c>
      <c r="T14523" t="s">
        <v>48998</v>
      </c>
      <c r="U14523" t="s">
        <v>61557</v>
      </c>
      <c r="V14523" t="s">
        <v>64234</v>
      </c>
      <c r="W14523" t="s">
        <v>47122</v>
      </c>
      <c r="X14523" t="s">
        <v>47326</v>
      </c>
    </row>
    <row r="14524" spans="1:24">
      <c r="A14524">
        <f>HYPERLINK("https://www.philgeps.gov.ph/GEPSNONPILOT/Tender/SplashBidNoticeAbstractUI.aspx?menuIndex=3&amp;refID=7159895&amp;Result=3","7159895")</f>
        <v>0</v>
      </c>
      <c r="B14524" t="s">
        <v>575</v>
      </c>
      <c r="C14524" t="s">
        <v>17599</v>
      </c>
      <c r="E14524" t="s">
        <v>31367</v>
      </c>
      <c r="F14524" t="s">
        <v>32606</v>
      </c>
      <c r="G14524" t="s">
        <v>32613</v>
      </c>
      <c r="H14524" t="s">
        <v>32623</v>
      </c>
      <c r="I14524" t="s">
        <v>17648</v>
      </c>
      <c r="J14524" t="s">
        <v>32756</v>
      </c>
      <c r="K14524" t="s">
        <v>42676</v>
      </c>
      <c r="M14524" t="s">
        <v>47123</v>
      </c>
      <c r="N14524" t="s">
        <v>47304</v>
      </c>
      <c r="O14524" t="s">
        <v>47305</v>
      </c>
      <c r="P14524">
        <v>0</v>
      </c>
      <c r="Q14524">
        <v>1</v>
      </c>
      <c r="R14524" t="s">
        <v>47325</v>
      </c>
      <c r="S14524" t="s">
        <v>48215</v>
      </c>
      <c r="T14524" t="s">
        <v>49339</v>
      </c>
      <c r="U14524" t="s">
        <v>61558</v>
      </c>
      <c r="V14524" t="s">
        <v>64235</v>
      </c>
      <c r="W14524" t="s">
        <v>47123</v>
      </c>
      <c r="X14524" t="s">
        <v>47326</v>
      </c>
    </row>
    <row r="14525" spans="1:24">
      <c r="A14525">
        <f>HYPERLINK("https://www.philgeps.gov.ph/GEPSNONPILOT/Tender/SplashBidNoticeAbstractUI.aspx?menuIndex=3&amp;refID=7159918&amp;Result=3","7159918")</f>
        <v>0</v>
      </c>
      <c r="B14525" t="s">
        <v>2339</v>
      </c>
      <c r="C14525" t="s">
        <v>17600</v>
      </c>
      <c r="D14525" t="s">
        <v>19018</v>
      </c>
      <c r="E14525" t="s">
        <v>31368</v>
      </c>
      <c r="F14525" t="s">
        <v>32606</v>
      </c>
      <c r="G14525" t="s">
        <v>32613</v>
      </c>
      <c r="H14525" t="s">
        <v>14201</v>
      </c>
      <c r="I14525" t="s">
        <v>6478</v>
      </c>
      <c r="J14525" t="s">
        <v>41733</v>
      </c>
      <c r="K14525" t="s">
        <v>42631</v>
      </c>
      <c r="M14525" t="s">
        <v>45449</v>
      </c>
      <c r="N14525" t="s">
        <v>47304</v>
      </c>
      <c r="O14525" t="s">
        <v>47305</v>
      </c>
      <c r="Q14525">
        <v>0</v>
      </c>
      <c r="R14525" t="s">
        <v>47325</v>
      </c>
      <c r="S14525" t="s">
        <v>48278</v>
      </c>
      <c r="T14525" t="s">
        <v>48987</v>
      </c>
      <c r="U14525" t="s">
        <v>61559</v>
      </c>
      <c r="W14525" t="s">
        <v>45449</v>
      </c>
      <c r="X14525" t="s">
        <v>47326</v>
      </c>
    </row>
    <row r="14526" spans="1:24">
      <c r="A14526">
        <f>HYPERLINK("https://www.philgeps.gov.ph/GEPSNONPILOT/Tender/SplashBidNoticeAbstractUI.aspx?menuIndex=3&amp;refID=7159818&amp;Result=3","7159818")</f>
        <v>0</v>
      </c>
      <c r="B14526" t="s">
        <v>2326</v>
      </c>
      <c r="C14526" t="s">
        <v>17601</v>
      </c>
      <c r="E14526" t="s">
        <v>31369</v>
      </c>
      <c r="F14526" t="s">
        <v>32606</v>
      </c>
      <c r="G14526" t="s">
        <v>32613</v>
      </c>
      <c r="H14526" t="s">
        <v>14201</v>
      </c>
      <c r="I14526" t="s">
        <v>4678</v>
      </c>
      <c r="J14526" t="s">
        <v>41734</v>
      </c>
      <c r="K14526" t="s">
        <v>42624</v>
      </c>
      <c r="M14526" t="s">
        <v>47106</v>
      </c>
      <c r="N14526" t="s">
        <v>47304</v>
      </c>
      <c r="O14526" t="s">
        <v>47305</v>
      </c>
      <c r="P14526">
        <v>0</v>
      </c>
      <c r="Q14526">
        <v>6</v>
      </c>
      <c r="R14526" t="s">
        <v>47325</v>
      </c>
      <c r="S14526" t="s">
        <v>48215</v>
      </c>
      <c r="T14526" t="s">
        <v>49071</v>
      </c>
      <c r="U14526" t="s">
        <v>61560</v>
      </c>
      <c r="W14526" t="s">
        <v>47106</v>
      </c>
      <c r="X14526" t="s">
        <v>47326</v>
      </c>
    </row>
    <row r="14527" spans="1:24">
      <c r="A14527">
        <f>HYPERLINK("https://www.philgeps.gov.ph/GEPSNONPILOT/Tender/SplashBidNoticeAbstractUI.aspx?menuIndex=3&amp;refID=7159961&amp;Result=3","7159961")</f>
        <v>0</v>
      </c>
      <c r="B14527" t="s">
        <v>1904</v>
      </c>
      <c r="C14527" t="s">
        <v>17602</v>
      </c>
      <c r="D14527" t="s">
        <v>19008</v>
      </c>
      <c r="E14527" t="s">
        <v>31370</v>
      </c>
      <c r="F14527" t="s">
        <v>32606</v>
      </c>
      <c r="G14527" t="s">
        <v>32613</v>
      </c>
      <c r="H14527" t="s">
        <v>14201</v>
      </c>
      <c r="I14527" t="s">
        <v>32633</v>
      </c>
      <c r="J14527" t="s">
        <v>36169</v>
      </c>
      <c r="K14527" t="s">
        <v>42636</v>
      </c>
      <c r="M14527" t="s">
        <v>47119</v>
      </c>
      <c r="N14527" t="s">
        <v>47304</v>
      </c>
      <c r="O14527" t="s">
        <v>47305</v>
      </c>
      <c r="Q14527">
        <v>9</v>
      </c>
      <c r="R14527" t="s">
        <v>47325</v>
      </c>
      <c r="S14527" t="s">
        <v>47743</v>
      </c>
      <c r="T14527" t="s">
        <v>49053</v>
      </c>
      <c r="U14527" t="s">
        <v>61561</v>
      </c>
      <c r="V14527" t="s">
        <v>64236</v>
      </c>
      <c r="W14527" t="s">
        <v>47119</v>
      </c>
      <c r="X14527" t="s">
        <v>47326</v>
      </c>
    </row>
    <row r="14528" spans="1:24">
      <c r="A14528">
        <f>HYPERLINK("https://www.philgeps.gov.ph/GEPSNONPILOT/Tender/SplashBidNoticeAbstractUI.aspx?menuIndex=3&amp;refID=7159950&amp;Result=3","7159950")</f>
        <v>0</v>
      </c>
      <c r="B14528" t="s">
        <v>529</v>
      </c>
      <c r="C14528" t="s">
        <v>17603</v>
      </c>
      <c r="E14528" t="s">
        <v>31371</v>
      </c>
      <c r="F14528" t="s">
        <v>32606</v>
      </c>
      <c r="G14528" t="s">
        <v>32613</v>
      </c>
      <c r="H14528" t="s">
        <v>32623</v>
      </c>
      <c r="I14528" t="s">
        <v>17648</v>
      </c>
      <c r="J14528" t="s">
        <v>32795</v>
      </c>
      <c r="K14528" t="s">
        <v>42649</v>
      </c>
      <c r="M14528" t="s">
        <v>43442</v>
      </c>
      <c r="N14528" t="s">
        <v>47304</v>
      </c>
      <c r="O14528" t="s">
        <v>47305</v>
      </c>
      <c r="P14528">
        <v>0</v>
      </c>
      <c r="Q14528">
        <v>0</v>
      </c>
      <c r="R14528" t="s">
        <v>47325</v>
      </c>
      <c r="S14528" t="s">
        <v>48215</v>
      </c>
      <c r="T14528" t="s">
        <v>48998</v>
      </c>
      <c r="U14528" t="s">
        <v>61562</v>
      </c>
      <c r="W14528" t="s">
        <v>43442</v>
      </c>
      <c r="X14528" t="s">
        <v>47326</v>
      </c>
    </row>
    <row r="14529" spans="1:24">
      <c r="A14529">
        <f>HYPERLINK("https://www.philgeps.gov.ph/GEPSNONPILOT/Tender/SplashBidNoticeAbstractUI.aspx?menuIndex=3&amp;refID=7159848&amp;Result=3","7159848")</f>
        <v>0</v>
      </c>
      <c r="B14529" t="s">
        <v>3775</v>
      </c>
      <c r="C14529" t="s">
        <v>17604</v>
      </c>
      <c r="E14529" t="s">
        <v>31372</v>
      </c>
      <c r="F14529" t="s">
        <v>32606</v>
      </c>
      <c r="G14529" t="s">
        <v>32613</v>
      </c>
      <c r="H14529" t="s">
        <v>32623</v>
      </c>
      <c r="I14529" t="s">
        <v>17648</v>
      </c>
      <c r="J14529" t="s">
        <v>41735</v>
      </c>
      <c r="K14529" t="s">
        <v>42624</v>
      </c>
      <c r="M14529" t="s">
        <v>47110</v>
      </c>
      <c r="N14529" t="s">
        <v>47304</v>
      </c>
      <c r="O14529" t="s">
        <v>47305</v>
      </c>
      <c r="P14529">
        <v>0</v>
      </c>
      <c r="Q14529">
        <v>30</v>
      </c>
      <c r="R14529" t="s">
        <v>47325</v>
      </c>
      <c r="S14529" t="s">
        <v>48215</v>
      </c>
      <c r="T14529" t="s">
        <v>49047</v>
      </c>
      <c r="U14529" t="s">
        <v>53794</v>
      </c>
      <c r="V14529" t="s">
        <v>64218</v>
      </c>
      <c r="W14529" t="s">
        <v>47110</v>
      </c>
      <c r="X14529" t="s">
        <v>47326</v>
      </c>
    </row>
    <row r="14530" spans="1:24">
      <c r="A14530">
        <f>HYPERLINK("https://www.philgeps.gov.ph/GEPSNONPILOT/Tender/SplashBidNoticeAbstractUI.aspx?menuIndex=3&amp;refID=7159966&amp;Result=3","7159966")</f>
        <v>0</v>
      </c>
      <c r="B14530" t="s">
        <v>1500</v>
      </c>
      <c r="C14530" t="s">
        <v>17605</v>
      </c>
      <c r="D14530" t="s">
        <v>19036</v>
      </c>
      <c r="E14530" t="s">
        <v>17605</v>
      </c>
      <c r="F14530" t="s">
        <v>32606</v>
      </c>
      <c r="G14530" t="s">
        <v>32619</v>
      </c>
      <c r="H14530" t="s">
        <v>14201</v>
      </c>
      <c r="I14530" t="s">
        <v>4114</v>
      </c>
      <c r="J14530" t="s">
        <v>32949</v>
      </c>
      <c r="K14530" t="s">
        <v>42631</v>
      </c>
      <c r="M14530" t="s">
        <v>45561</v>
      </c>
      <c r="N14530" t="s">
        <v>47304</v>
      </c>
      <c r="O14530" t="s">
        <v>47305</v>
      </c>
      <c r="Q14530">
        <v>2</v>
      </c>
      <c r="R14530" t="s">
        <v>47325</v>
      </c>
      <c r="S14530" t="s">
        <v>48279</v>
      </c>
      <c r="T14530" t="s">
        <v>49256</v>
      </c>
      <c r="U14530" t="s">
        <v>61563</v>
      </c>
      <c r="W14530" t="s">
        <v>45561</v>
      </c>
      <c r="X14530" t="s">
        <v>47326</v>
      </c>
    </row>
    <row r="14531" spans="1:24">
      <c r="A14531">
        <f>HYPERLINK("https://www.philgeps.gov.ph/GEPSNONPILOT/Tender/SplashBidNoticeAbstractUI.aspx?menuIndex=3&amp;refID=7159811&amp;Result=3","7159811")</f>
        <v>0</v>
      </c>
      <c r="B14531" t="s">
        <v>89</v>
      </c>
      <c r="C14531" t="s">
        <v>17606</v>
      </c>
      <c r="D14531" t="s">
        <v>19018</v>
      </c>
      <c r="E14531" t="s">
        <v>31373</v>
      </c>
      <c r="F14531" t="s">
        <v>32606</v>
      </c>
      <c r="G14531" t="s">
        <v>32613</v>
      </c>
      <c r="H14531" t="s">
        <v>14201</v>
      </c>
      <c r="I14531" t="s">
        <v>6931</v>
      </c>
      <c r="J14531" t="s">
        <v>41736</v>
      </c>
      <c r="K14531" t="s">
        <v>42631</v>
      </c>
      <c r="M14531" t="s">
        <v>42987</v>
      </c>
      <c r="N14531" t="s">
        <v>47304</v>
      </c>
      <c r="O14531" t="s">
        <v>47305</v>
      </c>
      <c r="P14531">
        <v>0</v>
      </c>
      <c r="Q14531">
        <v>1</v>
      </c>
      <c r="R14531" t="s">
        <v>47325</v>
      </c>
      <c r="S14531" t="s">
        <v>48215</v>
      </c>
      <c r="T14531" t="s">
        <v>48980</v>
      </c>
      <c r="U14531" t="s">
        <v>61564</v>
      </c>
      <c r="W14531" t="s">
        <v>42987</v>
      </c>
      <c r="X14531" t="s">
        <v>47326</v>
      </c>
    </row>
    <row r="14532" spans="1:24">
      <c r="A14532">
        <f>HYPERLINK("https://www.philgeps.gov.ph/GEPSNONPILOT/Tender/SplashBidNoticeAbstractUI.aspx?menuIndex=3&amp;refID=7159940&amp;Result=3","7159940")</f>
        <v>0</v>
      </c>
      <c r="B14532" t="s">
        <v>1234</v>
      </c>
      <c r="C14532" t="s">
        <v>17607</v>
      </c>
      <c r="D14532" t="s">
        <v>19047</v>
      </c>
      <c r="E14532" t="s">
        <v>31374</v>
      </c>
      <c r="F14532" t="s">
        <v>32606</v>
      </c>
      <c r="G14532" t="s">
        <v>32613</v>
      </c>
      <c r="H14532" t="s">
        <v>32623</v>
      </c>
      <c r="I14532" t="s">
        <v>17648</v>
      </c>
      <c r="J14532" t="s">
        <v>41737</v>
      </c>
      <c r="K14532" t="s">
        <v>42634</v>
      </c>
      <c r="M14532" t="s">
        <v>44199</v>
      </c>
      <c r="N14532" t="s">
        <v>47304</v>
      </c>
      <c r="O14532" t="s">
        <v>47305</v>
      </c>
      <c r="P14532">
        <v>0</v>
      </c>
      <c r="Q14532">
        <v>0</v>
      </c>
      <c r="R14532" t="s">
        <v>47325</v>
      </c>
      <c r="S14532" t="s">
        <v>48215</v>
      </c>
      <c r="T14532" t="s">
        <v>48987</v>
      </c>
      <c r="U14532" t="s">
        <v>61565</v>
      </c>
      <c r="W14532" t="s">
        <v>44199</v>
      </c>
      <c r="X14532" t="s">
        <v>47326</v>
      </c>
    </row>
    <row r="14533" spans="1:24">
      <c r="A14533">
        <f>HYPERLINK("https://www.philgeps.gov.ph/GEPSNONPILOT/Tender/SplashBidNoticeAbstractUI.aspx?menuIndex=3&amp;refID=7160102&amp;Result=3","7160102")</f>
        <v>0</v>
      </c>
      <c r="B14533" t="s">
        <v>575</v>
      </c>
      <c r="C14533" t="s">
        <v>17608</v>
      </c>
      <c r="D14533" t="s">
        <v>19036</v>
      </c>
      <c r="E14533" t="s">
        <v>31375</v>
      </c>
      <c r="F14533" t="s">
        <v>32606</v>
      </c>
      <c r="G14533" t="s">
        <v>32613</v>
      </c>
      <c r="H14533" t="s">
        <v>32623</v>
      </c>
      <c r="I14533" t="s">
        <v>17648</v>
      </c>
      <c r="J14533" t="s">
        <v>41738</v>
      </c>
      <c r="K14533" t="s">
        <v>42646</v>
      </c>
      <c r="M14533" t="s">
        <v>47123</v>
      </c>
      <c r="N14533" t="s">
        <v>47304</v>
      </c>
      <c r="O14533" t="s">
        <v>47305</v>
      </c>
      <c r="P14533">
        <v>0</v>
      </c>
      <c r="Q14533">
        <v>5</v>
      </c>
      <c r="R14533" t="s">
        <v>47325</v>
      </c>
      <c r="S14533" t="s">
        <v>48215</v>
      </c>
      <c r="T14533" t="s">
        <v>49339</v>
      </c>
      <c r="U14533" t="s">
        <v>61566</v>
      </c>
      <c r="V14533" t="s">
        <v>64235</v>
      </c>
      <c r="W14533" t="s">
        <v>47123</v>
      </c>
      <c r="X14533" t="s">
        <v>47326</v>
      </c>
    </row>
    <row r="14534" spans="1:24">
      <c r="A14534">
        <f>HYPERLINK("https://www.philgeps.gov.ph/GEPSNONPILOT/Tender/SplashBidNoticeAbstractUI.aspx?menuIndex=3&amp;refID=7160075&amp;Result=3","7160075")</f>
        <v>0</v>
      </c>
      <c r="B14534" t="s">
        <v>3722</v>
      </c>
      <c r="C14534" t="s">
        <v>17609</v>
      </c>
      <c r="E14534" t="s">
        <v>31376</v>
      </c>
      <c r="F14534" t="s">
        <v>32606</v>
      </c>
      <c r="G14534" t="s">
        <v>32613</v>
      </c>
      <c r="H14534" t="s">
        <v>32623</v>
      </c>
      <c r="I14534" t="s">
        <v>17648</v>
      </c>
      <c r="J14534" t="s">
        <v>41739</v>
      </c>
      <c r="K14534" t="s">
        <v>42624</v>
      </c>
      <c r="M14534" t="s">
        <v>47124</v>
      </c>
      <c r="N14534" t="s">
        <v>47304</v>
      </c>
      <c r="O14534" t="s">
        <v>47305</v>
      </c>
      <c r="Q14534">
        <v>41</v>
      </c>
      <c r="R14534" t="s">
        <v>47325</v>
      </c>
      <c r="S14534" t="s">
        <v>47428</v>
      </c>
      <c r="T14534" t="s">
        <v>48973</v>
      </c>
      <c r="U14534" t="s">
        <v>61567</v>
      </c>
      <c r="V14534" t="s">
        <v>64237</v>
      </c>
      <c r="W14534" t="s">
        <v>47124</v>
      </c>
      <c r="X14534" t="s">
        <v>47326</v>
      </c>
    </row>
    <row r="14535" spans="1:24">
      <c r="A14535">
        <f>HYPERLINK("https://www.philgeps.gov.ph/GEPSNONPILOT/Tender/SplashBidNoticeAbstractUI.aspx?menuIndex=3&amp;refID=7160063&amp;Result=3","7160063")</f>
        <v>0</v>
      </c>
      <c r="B14535" t="s">
        <v>1234</v>
      </c>
      <c r="C14535" t="s">
        <v>17610</v>
      </c>
      <c r="D14535" t="s">
        <v>19047</v>
      </c>
      <c r="E14535" t="s">
        <v>31377</v>
      </c>
      <c r="F14535" t="s">
        <v>32606</v>
      </c>
      <c r="G14535" t="s">
        <v>32613</v>
      </c>
      <c r="H14535" t="s">
        <v>32623</v>
      </c>
      <c r="I14535" t="s">
        <v>17648</v>
      </c>
      <c r="J14535" t="s">
        <v>41740</v>
      </c>
      <c r="K14535" t="s">
        <v>42800</v>
      </c>
      <c r="M14535" t="s">
        <v>44199</v>
      </c>
      <c r="N14535" t="s">
        <v>47304</v>
      </c>
      <c r="O14535" t="s">
        <v>47305</v>
      </c>
      <c r="P14535">
        <v>0</v>
      </c>
      <c r="Q14535">
        <v>2</v>
      </c>
      <c r="R14535" t="s">
        <v>47325</v>
      </c>
      <c r="S14535" t="s">
        <v>48215</v>
      </c>
      <c r="T14535" t="s">
        <v>48987</v>
      </c>
      <c r="U14535" t="s">
        <v>61568</v>
      </c>
      <c r="W14535" t="s">
        <v>44199</v>
      </c>
      <c r="X14535" t="s">
        <v>47326</v>
      </c>
    </row>
    <row r="14536" spans="1:24">
      <c r="A14536">
        <f>HYPERLINK("https://www.philgeps.gov.ph/GEPSNONPILOT/Tender/SplashBidNoticeAbstractUI.aspx?menuIndex=3&amp;refID=7160097&amp;Result=3","7160097")</f>
        <v>0</v>
      </c>
      <c r="B14536" t="s">
        <v>1394</v>
      </c>
      <c r="C14536" t="s">
        <v>17611</v>
      </c>
      <c r="D14536" t="s">
        <v>19016</v>
      </c>
      <c r="E14536" t="s">
        <v>31378</v>
      </c>
      <c r="F14536" t="s">
        <v>32606</v>
      </c>
      <c r="G14536" t="s">
        <v>32613</v>
      </c>
      <c r="H14536" t="s">
        <v>32623</v>
      </c>
      <c r="I14536" t="s">
        <v>17648</v>
      </c>
      <c r="J14536" t="s">
        <v>41741</v>
      </c>
      <c r="K14536" t="s">
        <v>42636</v>
      </c>
      <c r="L14536" t="s">
        <v>1394</v>
      </c>
      <c r="M14536" t="s">
        <v>44377</v>
      </c>
      <c r="N14536" t="s">
        <v>47304</v>
      </c>
      <c r="O14536" t="s">
        <v>47305</v>
      </c>
      <c r="Q14536">
        <v>39</v>
      </c>
      <c r="R14536" t="s">
        <v>47325</v>
      </c>
      <c r="S14536" t="s">
        <v>48280</v>
      </c>
      <c r="T14536" t="s">
        <v>49384</v>
      </c>
      <c r="U14536" t="s">
        <v>52484</v>
      </c>
      <c r="W14536" t="s">
        <v>44377</v>
      </c>
      <c r="X14536" t="s">
        <v>47326</v>
      </c>
    </row>
    <row r="14537" spans="1:24">
      <c r="A14537">
        <f>HYPERLINK("https://www.philgeps.gov.ph/GEPSNONPILOT/Tender/SplashBidNoticeAbstractUI.aspx?menuIndex=3&amp;refID=7160062&amp;Result=3","7160062")</f>
        <v>0</v>
      </c>
      <c r="B14537" t="s">
        <v>2275</v>
      </c>
      <c r="C14537" t="s">
        <v>17612</v>
      </c>
      <c r="D14537" t="s">
        <v>19044</v>
      </c>
      <c r="E14537" t="s">
        <v>31379</v>
      </c>
      <c r="F14537" t="s">
        <v>32606</v>
      </c>
      <c r="G14537" t="s">
        <v>32613</v>
      </c>
      <c r="H14537" t="s">
        <v>14201</v>
      </c>
      <c r="I14537" t="s">
        <v>17648</v>
      </c>
      <c r="J14537" t="s">
        <v>41742</v>
      </c>
      <c r="K14537" t="s">
        <v>42631</v>
      </c>
      <c r="M14537" t="s">
        <v>45380</v>
      </c>
      <c r="N14537" t="s">
        <v>47304</v>
      </c>
      <c r="O14537" t="s">
        <v>47305</v>
      </c>
      <c r="Q14537">
        <v>1</v>
      </c>
      <c r="R14537" t="s">
        <v>47325</v>
      </c>
      <c r="S14537" t="s">
        <v>48281</v>
      </c>
      <c r="T14537" t="s">
        <v>49315</v>
      </c>
      <c r="U14537" t="s">
        <v>61569</v>
      </c>
      <c r="W14537" t="s">
        <v>45380</v>
      </c>
      <c r="X14537" t="s">
        <v>47326</v>
      </c>
    </row>
    <row r="14538" spans="1:24">
      <c r="A14538">
        <f>HYPERLINK("https://www.philgeps.gov.ph/GEPSNONPILOT/Tender/SplashBidNoticeAbstractUI.aspx?menuIndex=3&amp;refID=7160052&amp;Result=3","7160052")</f>
        <v>0</v>
      </c>
      <c r="B14538" t="s">
        <v>534</v>
      </c>
      <c r="C14538" t="s">
        <v>17613</v>
      </c>
      <c r="D14538" t="s">
        <v>19006</v>
      </c>
      <c r="E14538" t="s">
        <v>31380</v>
      </c>
      <c r="F14538" t="s">
        <v>32606</v>
      </c>
      <c r="G14538" t="s">
        <v>32613</v>
      </c>
      <c r="H14538" t="s">
        <v>14201</v>
      </c>
      <c r="I14538" t="s">
        <v>32644</v>
      </c>
      <c r="J14538" t="s">
        <v>41743</v>
      </c>
      <c r="K14538" t="s">
        <v>42631</v>
      </c>
      <c r="M14538" t="s">
        <v>43447</v>
      </c>
      <c r="N14538" t="s">
        <v>47304</v>
      </c>
      <c r="O14538" t="s">
        <v>47305</v>
      </c>
      <c r="P14538">
        <v>0</v>
      </c>
      <c r="Q14538">
        <v>4</v>
      </c>
      <c r="R14538" t="s">
        <v>47325</v>
      </c>
      <c r="S14538" t="s">
        <v>48215</v>
      </c>
      <c r="T14538" t="s">
        <v>48987</v>
      </c>
      <c r="U14538" t="s">
        <v>61570</v>
      </c>
      <c r="W14538" t="s">
        <v>43447</v>
      </c>
      <c r="X14538" t="s">
        <v>47326</v>
      </c>
    </row>
    <row r="14539" spans="1:24">
      <c r="A14539">
        <f>HYPERLINK("https://www.philgeps.gov.ph/GEPSNONPILOT/Tender/SplashBidNoticeAbstractUI.aspx?menuIndex=3&amp;refID=7160051&amp;Result=3","7160051")</f>
        <v>0</v>
      </c>
      <c r="B14539" t="s">
        <v>2210</v>
      </c>
      <c r="C14539" t="s">
        <v>17614</v>
      </c>
      <c r="D14539" t="s">
        <v>19014</v>
      </c>
      <c r="E14539" t="s">
        <v>22775</v>
      </c>
      <c r="F14539" t="s">
        <v>32606</v>
      </c>
      <c r="G14539" t="s">
        <v>32614</v>
      </c>
      <c r="H14539" t="s">
        <v>14201</v>
      </c>
      <c r="I14539" t="s">
        <v>32640</v>
      </c>
      <c r="J14539" t="s">
        <v>41744</v>
      </c>
      <c r="K14539" t="s">
        <v>42631</v>
      </c>
      <c r="M14539" t="s">
        <v>45314</v>
      </c>
      <c r="N14539" t="s">
        <v>47304</v>
      </c>
      <c r="O14539" t="s">
        <v>47305</v>
      </c>
      <c r="Q14539">
        <v>3</v>
      </c>
      <c r="R14539" t="s">
        <v>47325</v>
      </c>
      <c r="S14539" t="s">
        <v>48282</v>
      </c>
      <c r="T14539" t="s">
        <v>49165</v>
      </c>
      <c r="U14539" t="s">
        <v>55870</v>
      </c>
      <c r="W14539" t="s">
        <v>45314</v>
      </c>
      <c r="X14539" t="s">
        <v>47326</v>
      </c>
    </row>
    <row r="14540" spans="1:24">
      <c r="A14540">
        <f>HYPERLINK("https://www.philgeps.gov.ph/GEPSNONPILOT/Tender/SplashBidNoticeAbstractUI.aspx?menuIndex=3&amp;refID=7160033&amp;Result=3","7160033")</f>
        <v>0</v>
      </c>
      <c r="B14540" t="s">
        <v>3137</v>
      </c>
      <c r="C14540" t="s">
        <v>17615</v>
      </c>
      <c r="D14540" t="s">
        <v>19019</v>
      </c>
      <c r="E14540" t="s">
        <v>31381</v>
      </c>
      <c r="F14540" t="s">
        <v>32606</v>
      </c>
      <c r="G14540" t="s">
        <v>32613</v>
      </c>
      <c r="H14540" t="s">
        <v>32623</v>
      </c>
      <c r="I14540" t="s">
        <v>17648</v>
      </c>
      <c r="J14540" t="s">
        <v>41745</v>
      </c>
      <c r="K14540" t="s">
        <v>42822</v>
      </c>
      <c r="M14540" t="s">
        <v>46350</v>
      </c>
      <c r="N14540" t="s">
        <v>47304</v>
      </c>
      <c r="O14540" t="s">
        <v>47305</v>
      </c>
      <c r="Q14540">
        <v>2</v>
      </c>
      <c r="R14540" t="s">
        <v>47325</v>
      </c>
      <c r="S14540" t="s">
        <v>48283</v>
      </c>
      <c r="T14540" t="s">
        <v>48986</v>
      </c>
      <c r="U14540" t="s">
        <v>58189</v>
      </c>
      <c r="V14540" t="s">
        <v>63759</v>
      </c>
      <c r="W14540" t="s">
        <v>46350</v>
      </c>
      <c r="X14540" t="s">
        <v>47326</v>
      </c>
    </row>
    <row r="14541" spans="1:24">
      <c r="A14541">
        <f>HYPERLINK("https://www.philgeps.gov.ph/GEPSNONPILOT/Tender/SplashBidNoticeAbstractUI.aspx?menuIndex=3&amp;refID=7160080&amp;Result=3","7160080")</f>
        <v>0</v>
      </c>
      <c r="B14541" t="s">
        <v>3156</v>
      </c>
      <c r="C14541" t="s">
        <v>17616</v>
      </c>
      <c r="D14541" t="s">
        <v>19021</v>
      </c>
      <c r="E14541" t="s">
        <v>31382</v>
      </c>
      <c r="F14541" t="s">
        <v>32606</v>
      </c>
      <c r="G14541" t="s">
        <v>32613</v>
      </c>
      <c r="H14541" t="s">
        <v>14201</v>
      </c>
      <c r="I14541" t="s">
        <v>4112</v>
      </c>
      <c r="J14541" t="s">
        <v>41746</v>
      </c>
      <c r="K14541" t="s">
        <v>42631</v>
      </c>
      <c r="M14541" t="s">
        <v>46374</v>
      </c>
      <c r="N14541" t="s">
        <v>47304</v>
      </c>
      <c r="O14541" t="s">
        <v>47305</v>
      </c>
      <c r="Q14541">
        <v>2</v>
      </c>
      <c r="R14541" t="s">
        <v>47325</v>
      </c>
      <c r="S14541" t="s">
        <v>48284</v>
      </c>
      <c r="T14541" t="s">
        <v>48996</v>
      </c>
      <c r="U14541" t="s">
        <v>61571</v>
      </c>
      <c r="W14541" t="s">
        <v>46374</v>
      </c>
      <c r="X14541" t="s">
        <v>47326</v>
      </c>
    </row>
    <row r="14542" spans="1:24">
      <c r="A14542">
        <f>HYPERLINK("https://www.philgeps.gov.ph/GEPSNONPILOT/Tender/SplashBidNoticeAbstractUI.aspx?menuIndex=3&amp;refID=7160018&amp;Result=3","7160018")</f>
        <v>0</v>
      </c>
      <c r="B14542" t="s">
        <v>1234</v>
      </c>
      <c r="C14542" t="s">
        <v>17617</v>
      </c>
      <c r="D14542" t="s">
        <v>19047</v>
      </c>
      <c r="E14542" t="s">
        <v>31383</v>
      </c>
      <c r="F14542" t="s">
        <v>32606</v>
      </c>
      <c r="G14542" t="s">
        <v>32613</v>
      </c>
      <c r="H14542" t="s">
        <v>32623</v>
      </c>
      <c r="I14542" t="s">
        <v>17648</v>
      </c>
      <c r="J14542" t="s">
        <v>41747</v>
      </c>
      <c r="K14542" t="s">
        <v>42697</v>
      </c>
      <c r="M14542" t="s">
        <v>44199</v>
      </c>
      <c r="N14542" t="s">
        <v>47304</v>
      </c>
      <c r="O14542" t="s">
        <v>47305</v>
      </c>
      <c r="P14542">
        <v>0</v>
      </c>
      <c r="Q14542">
        <v>1</v>
      </c>
      <c r="R14542" t="s">
        <v>47325</v>
      </c>
      <c r="S14542" t="s">
        <v>48215</v>
      </c>
      <c r="T14542" t="s">
        <v>48987</v>
      </c>
      <c r="U14542" t="s">
        <v>61572</v>
      </c>
      <c r="W14542" t="s">
        <v>44199</v>
      </c>
      <c r="X14542" t="s">
        <v>47326</v>
      </c>
    </row>
    <row r="14543" spans="1:24">
      <c r="A14543">
        <f>HYPERLINK("https://www.philgeps.gov.ph/GEPSNONPILOT/Tender/SplashBidNoticeAbstractUI.aspx?menuIndex=3&amp;refID=7160056&amp;Result=3","7160056")</f>
        <v>0</v>
      </c>
      <c r="B14543" t="s">
        <v>1420</v>
      </c>
      <c r="C14543" t="s">
        <v>17618</v>
      </c>
      <c r="D14543" t="s">
        <v>19020</v>
      </c>
      <c r="E14543" t="s">
        <v>31384</v>
      </c>
      <c r="F14543" t="s">
        <v>32606</v>
      </c>
      <c r="G14543" t="s">
        <v>32613</v>
      </c>
      <c r="H14543" t="s">
        <v>14201</v>
      </c>
      <c r="I14543" t="s">
        <v>32659</v>
      </c>
      <c r="J14543" t="s">
        <v>41748</v>
      </c>
      <c r="K14543" t="s">
        <v>42631</v>
      </c>
      <c r="M14543" t="s">
        <v>44408</v>
      </c>
      <c r="N14543" t="s">
        <v>47304</v>
      </c>
      <c r="O14543" t="s">
        <v>47305</v>
      </c>
      <c r="P14543">
        <v>0</v>
      </c>
      <c r="Q14543">
        <v>0</v>
      </c>
      <c r="R14543" t="s">
        <v>47325</v>
      </c>
      <c r="S14543" t="s">
        <v>48215</v>
      </c>
      <c r="T14543" t="s">
        <v>49072</v>
      </c>
      <c r="U14543" t="s">
        <v>61573</v>
      </c>
      <c r="W14543" t="s">
        <v>44408</v>
      </c>
      <c r="X14543" t="s">
        <v>47326</v>
      </c>
    </row>
    <row r="14544" spans="1:24">
      <c r="A14544">
        <f>HYPERLINK("https://www.philgeps.gov.ph/GEPSNONPILOT/Tender/SplashBidNoticeAbstractUI.aspx?menuIndex=3&amp;refID=7160012&amp;Result=3","7160012")</f>
        <v>0</v>
      </c>
      <c r="B14544" t="s">
        <v>590</v>
      </c>
      <c r="C14544" t="s">
        <v>17619</v>
      </c>
      <c r="D14544" t="s">
        <v>19007</v>
      </c>
      <c r="E14544" t="s">
        <v>31385</v>
      </c>
      <c r="F14544" t="s">
        <v>32606</v>
      </c>
      <c r="G14544" t="s">
        <v>32613</v>
      </c>
      <c r="H14544" t="s">
        <v>14201</v>
      </c>
      <c r="I14544" t="s">
        <v>32686</v>
      </c>
      <c r="J14544" t="s">
        <v>38697</v>
      </c>
      <c r="K14544" t="s">
        <v>42631</v>
      </c>
      <c r="M14544" t="s">
        <v>44385</v>
      </c>
      <c r="N14544" t="s">
        <v>47304</v>
      </c>
      <c r="O14544" t="s">
        <v>47305</v>
      </c>
      <c r="P14544">
        <v>0</v>
      </c>
      <c r="Q14544">
        <v>12</v>
      </c>
      <c r="R14544" t="s">
        <v>47325</v>
      </c>
      <c r="S14544" t="s">
        <v>48215</v>
      </c>
      <c r="T14544" t="s">
        <v>49263</v>
      </c>
      <c r="U14544" t="s">
        <v>61574</v>
      </c>
      <c r="W14544" t="s">
        <v>44385</v>
      </c>
      <c r="X14544" t="s">
        <v>47326</v>
      </c>
    </row>
    <row r="14545" spans="1:24">
      <c r="A14545">
        <f>HYPERLINK("https://www.philgeps.gov.ph/GEPSNONPILOT/Tender/SplashBidNoticeAbstractUI.aspx?menuIndex=3&amp;refID=7160010&amp;Result=3","7160010")</f>
        <v>0</v>
      </c>
      <c r="B14545" t="s">
        <v>161</v>
      </c>
      <c r="C14545" t="s">
        <v>17620</v>
      </c>
      <c r="E14545" t="s">
        <v>31386</v>
      </c>
      <c r="F14545" t="s">
        <v>32606</v>
      </c>
      <c r="G14545" t="s">
        <v>32615</v>
      </c>
      <c r="H14545" t="s">
        <v>32625</v>
      </c>
      <c r="I14545" t="s">
        <v>32625</v>
      </c>
      <c r="J14545" t="s">
        <v>41749</v>
      </c>
      <c r="K14545" t="s">
        <v>42624</v>
      </c>
      <c r="M14545" t="s">
        <v>47125</v>
      </c>
      <c r="N14545" t="s">
        <v>47304</v>
      </c>
      <c r="O14545" t="s">
        <v>47305</v>
      </c>
      <c r="Q14545">
        <v>7</v>
      </c>
      <c r="R14545" t="s">
        <v>47325</v>
      </c>
      <c r="S14545" t="s">
        <v>48285</v>
      </c>
      <c r="T14545" t="s">
        <v>49061</v>
      </c>
      <c r="U14545" t="s">
        <v>61575</v>
      </c>
      <c r="W14545" t="s">
        <v>47125</v>
      </c>
      <c r="X14545" t="s">
        <v>47326</v>
      </c>
    </row>
    <row r="14546" spans="1:24">
      <c r="A14546">
        <f>HYPERLINK("https://www.philgeps.gov.ph/GEPSNONPILOT/Tender/SplashBidNoticeAbstractUI.aspx?menuIndex=3&amp;refID=7160043&amp;Result=3","7160043")</f>
        <v>0</v>
      </c>
      <c r="B14546" t="s">
        <v>529</v>
      </c>
      <c r="C14546" t="s">
        <v>17621</v>
      </c>
      <c r="E14546" t="s">
        <v>31387</v>
      </c>
      <c r="F14546" t="s">
        <v>32606</v>
      </c>
      <c r="G14546" t="s">
        <v>32613</v>
      </c>
      <c r="H14546" t="s">
        <v>14201</v>
      </c>
      <c r="I14546" t="s">
        <v>32633</v>
      </c>
      <c r="J14546" t="s">
        <v>41750</v>
      </c>
      <c r="K14546" t="s">
        <v>42636</v>
      </c>
      <c r="M14546" t="s">
        <v>43442</v>
      </c>
      <c r="N14546" t="s">
        <v>47304</v>
      </c>
      <c r="O14546" t="s">
        <v>47305</v>
      </c>
      <c r="P14546">
        <v>0</v>
      </c>
      <c r="Q14546">
        <v>10</v>
      </c>
      <c r="R14546" t="s">
        <v>47325</v>
      </c>
      <c r="S14546" t="s">
        <v>48215</v>
      </c>
      <c r="T14546" t="s">
        <v>48998</v>
      </c>
      <c r="U14546" t="s">
        <v>61576</v>
      </c>
      <c r="W14546" t="s">
        <v>43442</v>
      </c>
      <c r="X14546" t="s">
        <v>47326</v>
      </c>
    </row>
    <row r="14547" spans="1:24">
      <c r="A14547">
        <f>HYPERLINK("https://www.philgeps.gov.ph/GEPSNONPILOT/Tender/SplashBidNoticeAbstractUI.aspx?menuIndex=3&amp;refID=7160067&amp;Result=3","7160067")</f>
        <v>0</v>
      </c>
      <c r="B14547" t="s">
        <v>1904</v>
      </c>
      <c r="C14547" t="s">
        <v>17622</v>
      </c>
      <c r="D14547" t="s">
        <v>19008</v>
      </c>
      <c r="E14547" t="s">
        <v>31388</v>
      </c>
      <c r="F14547" t="s">
        <v>32606</v>
      </c>
      <c r="G14547" t="s">
        <v>32613</v>
      </c>
      <c r="H14547" t="s">
        <v>14201</v>
      </c>
      <c r="I14547" t="s">
        <v>7677</v>
      </c>
      <c r="J14547" t="s">
        <v>41751</v>
      </c>
      <c r="K14547" t="s">
        <v>42631</v>
      </c>
      <c r="M14547" t="s">
        <v>47119</v>
      </c>
      <c r="N14547" t="s">
        <v>47304</v>
      </c>
      <c r="O14547" t="s">
        <v>47305</v>
      </c>
      <c r="Q14547">
        <v>9</v>
      </c>
      <c r="R14547" t="s">
        <v>47325</v>
      </c>
      <c r="S14547" t="s">
        <v>47758</v>
      </c>
      <c r="T14547" t="s">
        <v>49053</v>
      </c>
      <c r="U14547" t="s">
        <v>61577</v>
      </c>
      <c r="V14547" t="s">
        <v>64238</v>
      </c>
      <c r="W14547" t="s">
        <v>47119</v>
      </c>
      <c r="X14547" t="s">
        <v>47326</v>
      </c>
    </row>
    <row r="14548" spans="1:24">
      <c r="A14548">
        <f>HYPERLINK("https://www.philgeps.gov.ph/GEPSNONPILOT/Tender/SplashBidNoticeAbstractUI.aspx?menuIndex=3&amp;refID=7160245&amp;Result=3","7160245")</f>
        <v>0</v>
      </c>
      <c r="B14548" t="s">
        <v>2226</v>
      </c>
      <c r="C14548" t="s">
        <v>17623</v>
      </c>
      <c r="D14548" t="s">
        <v>19058</v>
      </c>
      <c r="E14548" t="s">
        <v>31389</v>
      </c>
      <c r="F14548" t="s">
        <v>32606</v>
      </c>
      <c r="G14548" t="s">
        <v>32613</v>
      </c>
      <c r="H14548" t="s">
        <v>14201</v>
      </c>
      <c r="I14548" t="s">
        <v>32635</v>
      </c>
      <c r="J14548" t="s">
        <v>41752</v>
      </c>
      <c r="K14548" t="s">
        <v>42630</v>
      </c>
      <c r="M14548" t="s">
        <v>45330</v>
      </c>
      <c r="N14548" t="s">
        <v>47304</v>
      </c>
      <c r="O14548" t="s">
        <v>47305</v>
      </c>
      <c r="P14548">
        <v>0</v>
      </c>
      <c r="Q14548">
        <v>5</v>
      </c>
      <c r="R14548" t="s">
        <v>47325</v>
      </c>
      <c r="S14548" t="s">
        <v>48215</v>
      </c>
      <c r="T14548" t="s">
        <v>49268</v>
      </c>
      <c r="U14548" t="s">
        <v>61578</v>
      </c>
      <c r="W14548" t="s">
        <v>45330</v>
      </c>
      <c r="X14548" t="s">
        <v>47326</v>
      </c>
    </row>
    <row r="14549" spans="1:24">
      <c r="A14549">
        <f>HYPERLINK("https://www.philgeps.gov.ph/GEPSNONPILOT/Tender/SplashBidNoticeAbstractUI.aspx?menuIndex=3&amp;refID=7160238&amp;Result=3","7160238")</f>
        <v>0</v>
      </c>
      <c r="B14549" t="s">
        <v>581</v>
      </c>
      <c r="C14549" t="s">
        <v>17624</v>
      </c>
      <c r="D14549" t="s">
        <v>19036</v>
      </c>
      <c r="E14549" t="s">
        <v>19392</v>
      </c>
      <c r="F14549" t="s">
        <v>32606</v>
      </c>
      <c r="G14549" t="s">
        <v>32613</v>
      </c>
      <c r="H14549" t="s">
        <v>32623</v>
      </c>
      <c r="I14549" t="s">
        <v>17648</v>
      </c>
      <c r="J14549" t="s">
        <v>32795</v>
      </c>
      <c r="K14549" t="s">
        <v>42634</v>
      </c>
      <c r="M14549" t="s">
        <v>43496</v>
      </c>
      <c r="N14549" t="s">
        <v>47304</v>
      </c>
      <c r="O14549" t="s">
        <v>47305</v>
      </c>
      <c r="P14549">
        <v>0</v>
      </c>
      <c r="Q14549">
        <v>1</v>
      </c>
      <c r="R14549" t="s">
        <v>47325</v>
      </c>
      <c r="S14549" t="s">
        <v>48215</v>
      </c>
      <c r="T14549" t="s">
        <v>49511</v>
      </c>
      <c r="U14549" t="s">
        <v>61579</v>
      </c>
      <c r="W14549" t="s">
        <v>43496</v>
      </c>
      <c r="X14549" t="s">
        <v>47326</v>
      </c>
    </row>
    <row r="14550" spans="1:24">
      <c r="A14550">
        <f>HYPERLINK("https://www.philgeps.gov.ph/GEPSNONPILOT/Tender/SplashBidNoticeAbstractUI.aspx?menuIndex=3&amp;refID=7160235&amp;Result=3","7160235")</f>
        <v>0</v>
      </c>
      <c r="B14550" t="s">
        <v>534</v>
      </c>
      <c r="C14550" t="s">
        <v>17625</v>
      </c>
      <c r="D14550" t="s">
        <v>19006</v>
      </c>
      <c r="E14550" t="s">
        <v>31390</v>
      </c>
      <c r="F14550" t="s">
        <v>32606</v>
      </c>
      <c r="G14550" t="s">
        <v>32613</v>
      </c>
      <c r="H14550" t="s">
        <v>14201</v>
      </c>
      <c r="I14550" t="s">
        <v>4678</v>
      </c>
      <c r="J14550" t="s">
        <v>33526</v>
      </c>
      <c r="K14550" t="s">
        <v>42631</v>
      </c>
      <c r="M14550" t="s">
        <v>43447</v>
      </c>
      <c r="N14550" t="s">
        <v>47304</v>
      </c>
      <c r="O14550" t="s">
        <v>47305</v>
      </c>
      <c r="P14550">
        <v>0</v>
      </c>
      <c r="Q14550">
        <v>1</v>
      </c>
      <c r="R14550" t="s">
        <v>47325</v>
      </c>
      <c r="S14550" t="s">
        <v>48215</v>
      </c>
      <c r="T14550" t="s">
        <v>48987</v>
      </c>
      <c r="U14550" t="s">
        <v>61580</v>
      </c>
      <c r="W14550" t="s">
        <v>43447</v>
      </c>
      <c r="X14550" t="s">
        <v>47326</v>
      </c>
    </row>
    <row r="14551" spans="1:24">
      <c r="A14551">
        <f>HYPERLINK("https://www.philgeps.gov.ph/GEPSNONPILOT/Tender/SplashBidNoticeAbstractUI.aspx?menuIndex=3&amp;refID=7160232&amp;Result=3","7160232")</f>
        <v>0</v>
      </c>
      <c r="B14551" t="s">
        <v>1234</v>
      </c>
      <c r="C14551" t="s">
        <v>17626</v>
      </c>
      <c r="D14551" t="s">
        <v>19047</v>
      </c>
      <c r="E14551" t="s">
        <v>31391</v>
      </c>
      <c r="F14551" t="s">
        <v>32606</v>
      </c>
      <c r="G14551" t="s">
        <v>32613</v>
      </c>
      <c r="H14551" t="s">
        <v>32623</v>
      </c>
      <c r="I14551" t="s">
        <v>17648</v>
      </c>
      <c r="J14551" t="s">
        <v>41753</v>
      </c>
      <c r="K14551" t="s">
        <v>42745</v>
      </c>
      <c r="M14551" t="s">
        <v>44199</v>
      </c>
      <c r="N14551" t="s">
        <v>47304</v>
      </c>
      <c r="O14551" t="s">
        <v>47305</v>
      </c>
      <c r="P14551">
        <v>0</v>
      </c>
      <c r="Q14551">
        <v>0</v>
      </c>
      <c r="R14551" t="s">
        <v>47325</v>
      </c>
      <c r="S14551" t="s">
        <v>48215</v>
      </c>
      <c r="T14551" t="s">
        <v>48987</v>
      </c>
      <c r="U14551" t="s">
        <v>61581</v>
      </c>
      <c r="W14551" t="s">
        <v>44199</v>
      </c>
      <c r="X14551" t="s">
        <v>47326</v>
      </c>
    </row>
    <row r="14552" spans="1:24">
      <c r="A14552">
        <f>HYPERLINK("https://www.philgeps.gov.ph/GEPSNONPILOT/Tender/SplashBidNoticeAbstractUI.aspx?menuIndex=3&amp;refID=7160215&amp;Result=3","7160215")</f>
        <v>0</v>
      </c>
      <c r="B14552" t="s">
        <v>3523</v>
      </c>
      <c r="C14552" t="s">
        <v>17627</v>
      </c>
      <c r="D14552" t="s">
        <v>19000</v>
      </c>
      <c r="E14552" t="s">
        <v>31392</v>
      </c>
      <c r="F14552" t="s">
        <v>32606</v>
      </c>
      <c r="G14552" t="s">
        <v>32613</v>
      </c>
      <c r="H14552" t="s">
        <v>32623</v>
      </c>
      <c r="I14552" t="s">
        <v>17648</v>
      </c>
      <c r="J14552" t="s">
        <v>41754</v>
      </c>
      <c r="K14552" t="s">
        <v>42678</v>
      </c>
      <c r="M14552" t="s">
        <v>46793</v>
      </c>
      <c r="N14552" t="s">
        <v>47304</v>
      </c>
      <c r="O14552" t="s">
        <v>47305</v>
      </c>
      <c r="P14552">
        <v>0</v>
      </c>
      <c r="Q14552">
        <v>0</v>
      </c>
      <c r="R14552" t="s">
        <v>47325</v>
      </c>
      <c r="S14552" t="s">
        <v>48215</v>
      </c>
      <c r="T14552" t="s">
        <v>49047</v>
      </c>
      <c r="U14552" t="s">
        <v>61582</v>
      </c>
      <c r="W14552" t="s">
        <v>46793</v>
      </c>
      <c r="X14552" t="s">
        <v>47326</v>
      </c>
    </row>
    <row r="14553" spans="1:24">
      <c r="A14553">
        <f>HYPERLINK("https://www.philgeps.gov.ph/GEPSNONPILOT/Tender/SplashBidNoticeAbstractUI.aspx?menuIndex=3&amp;refID=7160213&amp;Result=3","7160213")</f>
        <v>0</v>
      </c>
      <c r="B14553" t="s">
        <v>1904</v>
      </c>
      <c r="C14553" t="s">
        <v>17628</v>
      </c>
      <c r="D14553" t="s">
        <v>19008</v>
      </c>
      <c r="E14553" t="s">
        <v>31393</v>
      </c>
      <c r="F14553" t="s">
        <v>32606</v>
      </c>
      <c r="G14553" t="s">
        <v>32613</v>
      </c>
      <c r="H14553" t="s">
        <v>14201</v>
      </c>
      <c r="I14553" t="s">
        <v>32662</v>
      </c>
      <c r="J14553" t="s">
        <v>41755</v>
      </c>
      <c r="K14553" t="s">
        <v>42631</v>
      </c>
      <c r="M14553" t="s">
        <v>47119</v>
      </c>
      <c r="N14553" t="s">
        <v>47304</v>
      </c>
      <c r="O14553" t="s">
        <v>47305</v>
      </c>
      <c r="Q14553">
        <v>39</v>
      </c>
      <c r="R14553" t="s">
        <v>47325</v>
      </c>
      <c r="S14553" t="s">
        <v>48286</v>
      </c>
      <c r="T14553" t="s">
        <v>49053</v>
      </c>
      <c r="U14553" t="s">
        <v>61583</v>
      </c>
      <c r="V14553" t="s">
        <v>64239</v>
      </c>
      <c r="W14553" t="s">
        <v>47119</v>
      </c>
      <c r="X14553" t="s">
        <v>47326</v>
      </c>
    </row>
    <row r="14554" spans="1:24">
      <c r="A14554">
        <f>HYPERLINK("https://www.philgeps.gov.ph/GEPSNONPILOT/Tender/SplashBidNoticeAbstractUI.aspx?menuIndex=3&amp;refID=7160211&amp;Result=3","7160211")</f>
        <v>0</v>
      </c>
      <c r="B14554" t="s">
        <v>2275</v>
      </c>
      <c r="C14554" t="s">
        <v>17629</v>
      </c>
      <c r="D14554" t="s">
        <v>19044</v>
      </c>
      <c r="E14554" t="s">
        <v>31394</v>
      </c>
      <c r="F14554" t="s">
        <v>32606</v>
      </c>
      <c r="G14554" t="s">
        <v>32613</v>
      </c>
      <c r="H14554" t="s">
        <v>14201</v>
      </c>
      <c r="I14554" t="s">
        <v>4120</v>
      </c>
      <c r="J14554" t="s">
        <v>41756</v>
      </c>
      <c r="K14554" t="s">
        <v>42631</v>
      </c>
      <c r="M14554" t="s">
        <v>45380</v>
      </c>
      <c r="N14554" t="s">
        <v>47304</v>
      </c>
      <c r="O14554" t="s">
        <v>47305</v>
      </c>
      <c r="Q14554">
        <v>5</v>
      </c>
      <c r="R14554" t="s">
        <v>47325</v>
      </c>
      <c r="S14554" t="s">
        <v>48287</v>
      </c>
      <c r="T14554" t="s">
        <v>49315</v>
      </c>
      <c r="U14554" t="s">
        <v>61584</v>
      </c>
      <c r="W14554" t="s">
        <v>45380</v>
      </c>
      <c r="X14554" t="s">
        <v>47326</v>
      </c>
    </row>
    <row r="14555" spans="1:24">
      <c r="A14555">
        <f>HYPERLINK("https://www.philgeps.gov.ph/GEPSNONPILOT/Tender/SplashBidNoticeAbstractUI.aspx?menuIndex=3&amp;refID=7160201&amp;Result=3","7160201")</f>
        <v>0</v>
      </c>
      <c r="B14555" t="s">
        <v>215</v>
      </c>
      <c r="C14555" t="s">
        <v>17630</v>
      </c>
      <c r="D14555" t="s">
        <v>18992</v>
      </c>
      <c r="E14555" t="s">
        <v>31395</v>
      </c>
      <c r="F14555" t="s">
        <v>32606</v>
      </c>
      <c r="G14555" t="s">
        <v>32613</v>
      </c>
      <c r="H14555" t="s">
        <v>32623</v>
      </c>
      <c r="I14555" t="s">
        <v>17648</v>
      </c>
      <c r="J14555" t="s">
        <v>32861</v>
      </c>
      <c r="K14555" t="s">
        <v>42624</v>
      </c>
      <c r="M14555" t="s">
        <v>43116</v>
      </c>
      <c r="N14555" t="s">
        <v>47304</v>
      </c>
      <c r="O14555" t="s">
        <v>47305</v>
      </c>
      <c r="P14555">
        <v>0</v>
      </c>
      <c r="Q14555">
        <v>0</v>
      </c>
      <c r="R14555" t="s">
        <v>47325</v>
      </c>
      <c r="S14555" t="s">
        <v>48215</v>
      </c>
      <c r="T14555" t="s">
        <v>49023</v>
      </c>
      <c r="U14555" t="s">
        <v>54940</v>
      </c>
      <c r="W14555" t="s">
        <v>43116</v>
      </c>
      <c r="X14555" t="s">
        <v>47326</v>
      </c>
    </row>
    <row r="14556" spans="1:24">
      <c r="A14556">
        <f>HYPERLINK("https://www.philgeps.gov.ph/GEPSNONPILOT/Tender/SplashBidNoticeAbstractUI.aspx?menuIndex=3&amp;refID=7160233&amp;Result=3","7160233")</f>
        <v>0</v>
      </c>
      <c r="B14556" t="s">
        <v>3191</v>
      </c>
      <c r="C14556" t="s">
        <v>17631</v>
      </c>
      <c r="D14556" t="s">
        <v>19010</v>
      </c>
      <c r="E14556" t="s">
        <v>19382</v>
      </c>
      <c r="F14556" t="s">
        <v>32606</v>
      </c>
      <c r="G14556" t="s">
        <v>32613</v>
      </c>
      <c r="H14556" t="s">
        <v>32623</v>
      </c>
      <c r="I14556" t="s">
        <v>17648</v>
      </c>
      <c r="J14556" t="s">
        <v>32795</v>
      </c>
      <c r="K14556" t="s">
        <v>42636</v>
      </c>
      <c r="M14556" t="s">
        <v>46416</v>
      </c>
      <c r="N14556" t="s">
        <v>47304</v>
      </c>
      <c r="O14556" t="s">
        <v>47305</v>
      </c>
      <c r="P14556">
        <v>0</v>
      </c>
      <c r="Q14556">
        <v>2</v>
      </c>
      <c r="R14556" t="s">
        <v>47325</v>
      </c>
      <c r="S14556" t="s">
        <v>48215</v>
      </c>
      <c r="T14556" t="s">
        <v>49081</v>
      </c>
      <c r="U14556" t="s">
        <v>61585</v>
      </c>
      <c r="W14556" t="s">
        <v>46416</v>
      </c>
      <c r="X14556" t="s">
        <v>47326</v>
      </c>
    </row>
    <row r="14557" spans="1:24">
      <c r="A14557">
        <f>HYPERLINK("https://www.philgeps.gov.ph/GEPSNONPILOT/Tender/SplashBidNoticeAbstractUI.aspx?menuIndex=3&amp;refID=7160174&amp;Result=3","7160174")</f>
        <v>0</v>
      </c>
      <c r="B14557" t="s">
        <v>3411</v>
      </c>
      <c r="C14557" t="s">
        <v>17632</v>
      </c>
      <c r="E14557" t="s">
        <v>31396</v>
      </c>
      <c r="F14557" t="s">
        <v>32606</v>
      </c>
      <c r="G14557" t="s">
        <v>32613</v>
      </c>
      <c r="H14557" t="s">
        <v>32623</v>
      </c>
      <c r="I14557" t="s">
        <v>17648</v>
      </c>
      <c r="J14557" t="s">
        <v>41757</v>
      </c>
      <c r="K14557" t="s">
        <v>42646</v>
      </c>
      <c r="M14557" t="s">
        <v>46667</v>
      </c>
      <c r="N14557" t="s">
        <v>47304</v>
      </c>
      <c r="O14557" t="s">
        <v>47305</v>
      </c>
      <c r="P14557">
        <v>0</v>
      </c>
      <c r="Q14557">
        <v>0</v>
      </c>
      <c r="R14557" t="s">
        <v>47325</v>
      </c>
      <c r="S14557" t="s">
        <v>48215</v>
      </c>
      <c r="T14557" t="s">
        <v>49268</v>
      </c>
      <c r="U14557" t="s">
        <v>53319</v>
      </c>
      <c r="W14557" t="s">
        <v>46667</v>
      </c>
      <c r="X14557" t="s">
        <v>47326</v>
      </c>
    </row>
    <row r="14558" spans="1:24">
      <c r="A14558">
        <f>HYPERLINK("https://www.philgeps.gov.ph/GEPSNONPILOT/Tender/SplashBidNoticeAbstractUI.aspx?menuIndex=3&amp;refID=7160162&amp;Result=3","7160162")</f>
        <v>0</v>
      </c>
      <c r="B14558" t="s">
        <v>2115</v>
      </c>
      <c r="C14558" t="s">
        <v>17633</v>
      </c>
      <c r="D14558" t="s">
        <v>19008</v>
      </c>
      <c r="E14558" t="s">
        <v>17633</v>
      </c>
      <c r="F14558" t="s">
        <v>32606</v>
      </c>
      <c r="G14558" t="s">
        <v>32613</v>
      </c>
      <c r="H14558" t="s">
        <v>14201</v>
      </c>
      <c r="I14558" t="s">
        <v>8606</v>
      </c>
      <c r="J14558" t="s">
        <v>33302</v>
      </c>
      <c r="K14558" t="s">
        <v>42638</v>
      </c>
      <c r="M14558" t="s">
        <v>45202</v>
      </c>
      <c r="N14558" t="s">
        <v>47304</v>
      </c>
      <c r="O14558" t="s">
        <v>47305</v>
      </c>
      <c r="Q14558">
        <v>0</v>
      </c>
      <c r="R14558" t="s">
        <v>47325</v>
      </c>
      <c r="S14558" t="s">
        <v>48288</v>
      </c>
      <c r="T14558" t="s">
        <v>49004</v>
      </c>
      <c r="U14558" t="s">
        <v>61586</v>
      </c>
      <c r="W14558" t="s">
        <v>45202</v>
      </c>
      <c r="X14558" t="s">
        <v>47326</v>
      </c>
    </row>
    <row r="14559" spans="1:24">
      <c r="A14559">
        <f>HYPERLINK("https://www.philgeps.gov.ph/GEPSNONPILOT/Tender/SplashBidNoticeAbstractUI.aspx?menuIndex=3&amp;refID=7160115&amp;Result=3","7160115")</f>
        <v>0</v>
      </c>
      <c r="B14559" t="s">
        <v>534</v>
      </c>
      <c r="C14559" t="s">
        <v>17634</v>
      </c>
      <c r="D14559" t="s">
        <v>19006</v>
      </c>
      <c r="E14559" t="s">
        <v>31397</v>
      </c>
      <c r="F14559" t="s">
        <v>32606</v>
      </c>
      <c r="G14559" t="s">
        <v>32613</v>
      </c>
      <c r="H14559" t="s">
        <v>14201</v>
      </c>
      <c r="I14559" t="s">
        <v>4678</v>
      </c>
      <c r="J14559" t="s">
        <v>32868</v>
      </c>
      <c r="K14559" t="s">
        <v>42631</v>
      </c>
      <c r="M14559" t="s">
        <v>43447</v>
      </c>
      <c r="N14559" t="s">
        <v>47304</v>
      </c>
      <c r="O14559" t="s">
        <v>47305</v>
      </c>
      <c r="P14559">
        <v>0</v>
      </c>
      <c r="Q14559">
        <v>9</v>
      </c>
      <c r="R14559" t="s">
        <v>47325</v>
      </c>
      <c r="S14559" t="s">
        <v>48215</v>
      </c>
      <c r="T14559" t="s">
        <v>48987</v>
      </c>
      <c r="U14559" t="s">
        <v>61587</v>
      </c>
      <c r="W14559" t="s">
        <v>43447</v>
      </c>
      <c r="X14559" t="s">
        <v>47326</v>
      </c>
    </row>
    <row r="14560" spans="1:24">
      <c r="A14560">
        <f>HYPERLINK("https://www.philgeps.gov.ph/GEPSNONPILOT/Tender/SplashBidNoticeAbstractUI.aspx?menuIndex=3&amp;refID=7160179&amp;Result=3","7160179")</f>
        <v>0</v>
      </c>
      <c r="B14560" t="s">
        <v>3523</v>
      </c>
      <c r="C14560" t="s">
        <v>17635</v>
      </c>
      <c r="D14560" t="s">
        <v>19000</v>
      </c>
      <c r="E14560" t="s">
        <v>31398</v>
      </c>
      <c r="F14560" t="s">
        <v>32606</v>
      </c>
      <c r="G14560" t="s">
        <v>32613</v>
      </c>
      <c r="H14560" t="s">
        <v>32623</v>
      </c>
      <c r="I14560" t="s">
        <v>17648</v>
      </c>
      <c r="J14560" t="s">
        <v>32778</v>
      </c>
      <c r="K14560" t="s">
        <v>42668</v>
      </c>
      <c r="M14560" t="s">
        <v>46793</v>
      </c>
      <c r="N14560" t="s">
        <v>47304</v>
      </c>
      <c r="O14560" t="s">
        <v>47305</v>
      </c>
      <c r="P14560">
        <v>0</v>
      </c>
      <c r="Q14560">
        <v>0</v>
      </c>
      <c r="R14560" t="s">
        <v>47325</v>
      </c>
      <c r="S14560" t="s">
        <v>48215</v>
      </c>
      <c r="T14560" t="s">
        <v>49047</v>
      </c>
      <c r="U14560" t="s">
        <v>61588</v>
      </c>
      <c r="W14560" t="s">
        <v>46793</v>
      </c>
      <c r="X14560" t="s">
        <v>47326</v>
      </c>
    </row>
    <row r="14561" spans="1:24">
      <c r="A14561">
        <f>HYPERLINK("https://www.philgeps.gov.ph/GEPSNONPILOT/Tender/SplashBidNoticeAbstractUI.aspx?menuIndex=3&amp;refID=7160152&amp;Result=3","7160152")</f>
        <v>0</v>
      </c>
      <c r="B14561" t="s">
        <v>1435</v>
      </c>
      <c r="C14561" t="s">
        <v>17636</v>
      </c>
      <c r="D14561" t="s">
        <v>19025</v>
      </c>
      <c r="E14561" t="s">
        <v>31399</v>
      </c>
      <c r="F14561" t="s">
        <v>32606</v>
      </c>
      <c r="G14561" t="s">
        <v>32613</v>
      </c>
      <c r="H14561" t="s">
        <v>32623</v>
      </c>
      <c r="I14561" t="s">
        <v>17648</v>
      </c>
      <c r="J14561" t="s">
        <v>41758</v>
      </c>
      <c r="K14561" t="s">
        <v>42624</v>
      </c>
      <c r="M14561" t="s">
        <v>44913</v>
      </c>
      <c r="N14561" t="s">
        <v>47304</v>
      </c>
      <c r="O14561" t="s">
        <v>47305</v>
      </c>
      <c r="P14561">
        <v>0</v>
      </c>
      <c r="Q14561">
        <v>0</v>
      </c>
      <c r="R14561" t="s">
        <v>47325</v>
      </c>
      <c r="S14561" t="s">
        <v>48215</v>
      </c>
      <c r="T14561" t="s">
        <v>49068</v>
      </c>
      <c r="U14561" t="s">
        <v>61589</v>
      </c>
      <c r="W14561" t="s">
        <v>44913</v>
      </c>
      <c r="X14561" t="s">
        <v>47326</v>
      </c>
    </row>
    <row r="14562" spans="1:24">
      <c r="A14562">
        <f>HYPERLINK("https://www.philgeps.gov.ph/GEPSNONPILOT/Tender/SplashBidNoticeAbstractUI.aspx?menuIndex=3&amp;refID=7160084&amp;Result=3","7160084")</f>
        <v>0</v>
      </c>
      <c r="B14562" t="s">
        <v>1500</v>
      </c>
      <c r="C14562" t="s">
        <v>17637</v>
      </c>
      <c r="D14562" t="s">
        <v>19036</v>
      </c>
      <c r="E14562" t="s">
        <v>17637</v>
      </c>
      <c r="F14562" t="s">
        <v>32606</v>
      </c>
      <c r="G14562" t="s">
        <v>32619</v>
      </c>
      <c r="H14562" t="s">
        <v>14201</v>
      </c>
      <c r="I14562" t="s">
        <v>4114</v>
      </c>
      <c r="J14562" t="s">
        <v>41759</v>
      </c>
      <c r="K14562" t="s">
        <v>42631</v>
      </c>
      <c r="M14562" t="s">
        <v>45561</v>
      </c>
      <c r="N14562" t="s">
        <v>47304</v>
      </c>
      <c r="O14562" t="s">
        <v>47305</v>
      </c>
      <c r="Q14562">
        <v>4</v>
      </c>
      <c r="R14562" t="s">
        <v>47325</v>
      </c>
      <c r="S14562" t="s">
        <v>48289</v>
      </c>
      <c r="T14562" t="s">
        <v>49256</v>
      </c>
      <c r="U14562" t="s">
        <v>61590</v>
      </c>
      <c r="W14562" t="s">
        <v>45561</v>
      </c>
      <c r="X14562" t="s">
        <v>47326</v>
      </c>
    </row>
    <row r="14563" spans="1:24">
      <c r="A14563">
        <f>HYPERLINK("https://www.philgeps.gov.ph/GEPSNONPILOT/Tender/SplashBidNoticeAbstractUI.aspx?menuIndex=3&amp;refID=7160147&amp;Result=3","7160147")</f>
        <v>0</v>
      </c>
      <c r="B14563" t="s">
        <v>3736</v>
      </c>
      <c r="C14563" t="s">
        <v>17638</v>
      </c>
      <c r="D14563" t="s">
        <v>19023</v>
      </c>
      <c r="E14563" t="s">
        <v>31400</v>
      </c>
      <c r="F14563" t="s">
        <v>32606</v>
      </c>
      <c r="G14563" t="s">
        <v>32619</v>
      </c>
      <c r="H14563" t="s">
        <v>14201</v>
      </c>
      <c r="I14563" t="s">
        <v>7529</v>
      </c>
      <c r="J14563" t="s">
        <v>41760</v>
      </c>
      <c r="K14563" t="s">
        <v>42631</v>
      </c>
      <c r="M14563" t="s">
        <v>47062</v>
      </c>
      <c r="N14563" t="s">
        <v>47304</v>
      </c>
      <c r="O14563" t="s">
        <v>47305</v>
      </c>
      <c r="Q14563">
        <v>6</v>
      </c>
      <c r="R14563" t="s">
        <v>47325</v>
      </c>
      <c r="S14563" t="s">
        <v>48290</v>
      </c>
      <c r="T14563" t="s">
        <v>48980</v>
      </c>
      <c r="U14563" t="s">
        <v>61591</v>
      </c>
      <c r="V14563" t="s">
        <v>64173</v>
      </c>
      <c r="W14563" t="s">
        <v>47062</v>
      </c>
      <c r="X14563" t="s">
        <v>47326</v>
      </c>
    </row>
    <row r="14564" spans="1:24">
      <c r="A14564">
        <f>HYPERLINK("https://www.philgeps.gov.ph/GEPSNONPILOT/Tender/SplashBidNoticeAbstractUI.aspx?menuIndex=3&amp;refID=7160176&amp;Result=3","7160176")</f>
        <v>0</v>
      </c>
      <c r="B14564" t="s">
        <v>396</v>
      </c>
      <c r="C14564" t="s">
        <v>17639</v>
      </c>
      <c r="D14564" t="s">
        <v>19038</v>
      </c>
      <c r="E14564" t="s">
        <v>31401</v>
      </c>
      <c r="F14564" t="s">
        <v>32606</v>
      </c>
      <c r="G14564" t="s">
        <v>32613</v>
      </c>
      <c r="H14564" t="s">
        <v>32623</v>
      </c>
      <c r="I14564" t="s">
        <v>17648</v>
      </c>
      <c r="J14564" t="s">
        <v>41761</v>
      </c>
      <c r="K14564" t="s">
        <v>42712</v>
      </c>
      <c r="M14564" t="s">
        <v>45261</v>
      </c>
      <c r="N14564" t="s">
        <v>47304</v>
      </c>
      <c r="O14564" t="s">
        <v>47305</v>
      </c>
      <c r="Q14564">
        <v>0</v>
      </c>
      <c r="R14564" t="s">
        <v>47325</v>
      </c>
      <c r="S14564" t="s">
        <v>48291</v>
      </c>
      <c r="T14564" t="s">
        <v>49268</v>
      </c>
      <c r="U14564" t="s">
        <v>61374</v>
      </c>
      <c r="V14564" t="s">
        <v>64240</v>
      </c>
      <c r="W14564" t="s">
        <v>45261</v>
      </c>
      <c r="X14564" t="s">
        <v>47326</v>
      </c>
    </row>
    <row r="14565" spans="1:24">
      <c r="A14565">
        <f>HYPERLINK("https://www.philgeps.gov.ph/GEPSNONPILOT/Tender/SplashBidNoticeAbstractUI.aspx?menuIndex=3&amp;refID=7160104&amp;Result=3","7160104")</f>
        <v>0</v>
      </c>
      <c r="B14565" t="s">
        <v>3411</v>
      </c>
      <c r="C14565" t="s">
        <v>17640</v>
      </c>
      <c r="D14565" t="s">
        <v>18992</v>
      </c>
      <c r="E14565" t="s">
        <v>31402</v>
      </c>
      <c r="F14565" t="s">
        <v>32606</v>
      </c>
      <c r="G14565" t="s">
        <v>32613</v>
      </c>
      <c r="H14565" t="s">
        <v>32623</v>
      </c>
      <c r="I14565" t="s">
        <v>17648</v>
      </c>
      <c r="J14565" t="s">
        <v>32767</v>
      </c>
      <c r="K14565" t="s">
        <v>42636</v>
      </c>
      <c r="M14565" t="s">
        <v>46667</v>
      </c>
      <c r="N14565" t="s">
        <v>47304</v>
      </c>
      <c r="O14565" t="s">
        <v>47305</v>
      </c>
      <c r="P14565">
        <v>0</v>
      </c>
      <c r="Q14565">
        <v>0</v>
      </c>
      <c r="R14565" t="s">
        <v>47325</v>
      </c>
      <c r="S14565" t="s">
        <v>48215</v>
      </c>
      <c r="T14565" t="s">
        <v>49268</v>
      </c>
      <c r="U14565" t="s">
        <v>61592</v>
      </c>
      <c r="W14565" t="s">
        <v>46667</v>
      </c>
      <c r="X14565" t="s">
        <v>47326</v>
      </c>
    </row>
    <row r="14566" spans="1:24">
      <c r="A14566">
        <f>HYPERLINK("https://www.philgeps.gov.ph/GEPSNONPILOT/Tender/SplashBidNoticeAbstractUI.aspx?menuIndex=3&amp;refID=7160124&amp;Result=3","7160124")</f>
        <v>0</v>
      </c>
      <c r="B14566" t="s">
        <v>1904</v>
      </c>
      <c r="C14566" t="s">
        <v>17641</v>
      </c>
      <c r="D14566" t="s">
        <v>19008</v>
      </c>
      <c r="E14566" t="s">
        <v>31403</v>
      </c>
      <c r="F14566" t="s">
        <v>32606</v>
      </c>
      <c r="G14566" t="s">
        <v>32613</v>
      </c>
      <c r="H14566" t="s">
        <v>14201</v>
      </c>
      <c r="I14566" t="s">
        <v>7677</v>
      </c>
      <c r="J14566" t="s">
        <v>41762</v>
      </c>
      <c r="K14566" t="s">
        <v>42631</v>
      </c>
      <c r="M14566" t="s">
        <v>47119</v>
      </c>
      <c r="N14566" t="s">
        <v>47304</v>
      </c>
      <c r="O14566" t="s">
        <v>47305</v>
      </c>
      <c r="P14566">
        <v>0</v>
      </c>
      <c r="Q14566">
        <v>5</v>
      </c>
      <c r="R14566" t="s">
        <v>47325</v>
      </c>
      <c r="S14566" t="s">
        <v>48215</v>
      </c>
      <c r="T14566" t="s">
        <v>49053</v>
      </c>
      <c r="U14566" t="s">
        <v>61593</v>
      </c>
      <c r="V14566" t="s">
        <v>64241</v>
      </c>
      <c r="W14566" t="s">
        <v>47119</v>
      </c>
      <c r="X14566" t="s">
        <v>47326</v>
      </c>
    </row>
    <row r="14567" spans="1:24">
      <c r="A14567">
        <f>HYPERLINK("https://www.philgeps.gov.ph/GEPSNONPILOT/Tender/SplashBidNoticeAbstractUI.aspx?menuIndex=3&amp;refID=7160009&amp;Result=3","7160009")</f>
        <v>0</v>
      </c>
      <c r="B14567" t="s">
        <v>1500</v>
      </c>
      <c r="C14567" t="s">
        <v>17642</v>
      </c>
      <c r="D14567" t="s">
        <v>19036</v>
      </c>
      <c r="E14567" t="s">
        <v>17642</v>
      </c>
      <c r="F14567" t="s">
        <v>32606</v>
      </c>
      <c r="G14567" t="s">
        <v>32619</v>
      </c>
      <c r="H14567" t="s">
        <v>14201</v>
      </c>
      <c r="I14567" t="s">
        <v>4114</v>
      </c>
      <c r="J14567" t="s">
        <v>34451</v>
      </c>
      <c r="K14567" t="s">
        <v>42631</v>
      </c>
      <c r="M14567" t="s">
        <v>45561</v>
      </c>
      <c r="N14567" t="s">
        <v>47304</v>
      </c>
      <c r="O14567" t="s">
        <v>47305</v>
      </c>
      <c r="Q14567">
        <v>0</v>
      </c>
      <c r="R14567" t="s">
        <v>47325</v>
      </c>
      <c r="S14567" t="s">
        <v>48289</v>
      </c>
      <c r="T14567" t="s">
        <v>49256</v>
      </c>
      <c r="U14567" t="s">
        <v>61594</v>
      </c>
      <c r="W14567" t="s">
        <v>45561</v>
      </c>
      <c r="X14567" t="s">
        <v>47326</v>
      </c>
    </row>
    <row r="14568" spans="1:24">
      <c r="A14568">
        <f>HYPERLINK("https://www.philgeps.gov.ph/GEPSNONPILOT/Tender/SplashBidNoticeAbstractUI.aspx?menuIndex=3&amp;refID=7160007&amp;Result=3","7160007")</f>
        <v>0</v>
      </c>
      <c r="B14568" t="s">
        <v>1904</v>
      </c>
      <c r="C14568" t="s">
        <v>17643</v>
      </c>
      <c r="D14568" t="s">
        <v>19008</v>
      </c>
      <c r="E14568" t="s">
        <v>31404</v>
      </c>
      <c r="F14568" t="s">
        <v>32606</v>
      </c>
      <c r="G14568" t="s">
        <v>32613</v>
      </c>
      <c r="H14568" t="s">
        <v>14201</v>
      </c>
      <c r="I14568" t="s">
        <v>32633</v>
      </c>
      <c r="J14568" t="s">
        <v>41763</v>
      </c>
      <c r="K14568" t="s">
        <v>42631</v>
      </c>
      <c r="M14568" t="s">
        <v>47119</v>
      </c>
      <c r="N14568" t="s">
        <v>47304</v>
      </c>
      <c r="O14568" t="s">
        <v>47305</v>
      </c>
      <c r="Q14568">
        <v>9</v>
      </c>
      <c r="R14568" t="s">
        <v>47325</v>
      </c>
      <c r="S14568" t="s">
        <v>48292</v>
      </c>
      <c r="T14568" t="s">
        <v>49053</v>
      </c>
      <c r="U14568" t="s">
        <v>61595</v>
      </c>
      <c r="V14568" t="s">
        <v>64242</v>
      </c>
      <c r="W14568" t="s">
        <v>47119</v>
      </c>
      <c r="X14568" t="s">
        <v>47326</v>
      </c>
    </row>
    <row r="14569" spans="1:24">
      <c r="A14569">
        <f>HYPERLINK("https://www.philgeps.gov.ph/GEPSNONPILOT/Tender/SplashBidNoticeAbstractUI.aspx?menuIndex=3&amp;refID=7160092&amp;Result=3","7160092")</f>
        <v>0</v>
      </c>
      <c r="B14569" t="s">
        <v>1500</v>
      </c>
      <c r="C14569" t="s">
        <v>17644</v>
      </c>
      <c r="D14569" t="s">
        <v>19036</v>
      </c>
      <c r="E14569" t="s">
        <v>17644</v>
      </c>
      <c r="F14569" t="s">
        <v>32606</v>
      </c>
      <c r="G14569" t="s">
        <v>32619</v>
      </c>
      <c r="H14569" t="s">
        <v>14201</v>
      </c>
      <c r="I14569" t="s">
        <v>4114</v>
      </c>
      <c r="J14569" t="s">
        <v>34321</v>
      </c>
      <c r="K14569" t="s">
        <v>42631</v>
      </c>
      <c r="M14569" t="s">
        <v>45561</v>
      </c>
      <c r="N14569" t="s">
        <v>47304</v>
      </c>
      <c r="O14569" t="s">
        <v>47305</v>
      </c>
      <c r="Q14569">
        <v>3</v>
      </c>
      <c r="R14569" t="s">
        <v>47325</v>
      </c>
      <c r="S14569" t="s">
        <v>47944</v>
      </c>
      <c r="T14569" t="s">
        <v>49256</v>
      </c>
      <c r="U14569" t="s">
        <v>61596</v>
      </c>
      <c r="W14569" t="s">
        <v>45561</v>
      </c>
      <c r="X14569" t="s">
        <v>47326</v>
      </c>
    </row>
    <row r="14570" spans="1:24">
      <c r="A14570">
        <f>HYPERLINK("https://www.philgeps.gov.ph/GEPSNONPILOT/Tender/SplashBidNoticeAbstractUI.aspx?menuIndex=3&amp;refID=7159769&amp;Result=3","7159769")</f>
        <v>0</v>
      </c>
      <c r="B14570" t="s">
        <v>3741</v>
      </c>
      <c r="C14570" t="s">
        <v>17645</v>
      </c>
      <c r="D14570" t="s">
        <v>19036</v>
      </c>
      <c r="E14570" t="s">
        <v>31405</v>
      </c>
      <c r="F14570" t="s">
        <v>32606</v>
      </c>
      <c r="G14570" t="s">
        <v>32613</v>
      </c>
      <c r="H14570" t="s">
        <v>32623</v>
      </c>
      <c r="I14570" t="s">
        <v>17648</v>
      </c>
      <c r="J14570" t="s">
        <v>41764</v>
      </c>
      <c r="K14570" t="s">
        <v>42794</v>
      </c>
      <c r="M14570" t="s">
        <v>47068</v>
      </c>
      <c r="N14570" t="s">
        <v>47304</v>
      </c>
      <c r="O14570" t="s">
        <v>47305</v>
      </c>
      <c r="P14570">
        <v>0</v>
      </c>
      <c r="Q14570">
        <v>1</v>
      </c>
      <c r="R14570" t="s">
        <v>47325</v>
      </c>
      <c r="S14570" t="s">
        <v>48215</v>
      </c>
      <c r="T14570" t="s">
        <v>49107</v>
      </c>
      <c r="U14570" t="s">
        <v>61597</v>
      </c>
      <c r="W14570" t="s">
        <v>47068</v>
      </c>
      <c r="X14570" t="s">
        <v>47326</v>
      </c>
    </row>
    <row r="14571" spans="1:24">
      <c r="A14571">
        <f>HYPERLINK("https://www.philgeps.gov.ph/GEPSNONPILOT/Tender/SplashBidNoticeAbstractUI.aspx?menuIndex=3&amp;refID=7160000&amp;Result=3","7160000")</f>
        <v>0</v>
      </c>
      <c r="B14571" t="s">
        <v>1500</v>
      </c>
      <c r="C14571" t="s">
        <v>17646</v>
      </c>
      <c r="D14571" t="s">
        <v>19036</v>
      </c>
      <c r="E14571" t="s">
        <v>31406</v>
      </c>
      <c r="F14571" t="s">
        <v>32606</v>
      </c>
      <c r="G14571" t="s">
        <v>32619</v>
      </c>
      <c r="H14571" t="s">
        <v>14201</v>
      </c>
      <c r="I14571" t="s">
        <v>4114</v>
      </c>
      <c r="J14571" t="s">
        <v>35208</v>
      </c>
      <c r="K14571" t="s">
        <v>42631</v>
      </c>
      <c r="M14571" t="s">
        <v>45561</v>
      </c>
      <c r="N14571" t="s">
        <v>47304</v>
      </c>
      <c r="O14571" t="s">
        <v>47305</v>
      </c>
      <c r="Q14571">
        <v>4</v>
      </c>
      <c r="R14571" t="s">
        <v>47325</v>
      </c>
      <c r="S14571" t="s">
        <v>48293</v>
      </c>
      <c r="T14571" t="s">
        <v>49256</v>
      </c>
      <c r="U14571" t="s">
        <v>61598</v>
      </c>
      <c r="W14571" t="s">
        <v>45561</v>
      </c>
      <c r="X14571" t="s">
        <v>47326</v>
      </c>
    </row>
    <row r="14572" spans="1:24">
      <c r="A14572">
        <f>HYPERLINK("https://www.philgeps.gov.ph/GEPSNONPILOT/Tender/SplashBidNoticeAbstractUI.aspx?menuIndex=3&amp;refID=7159980&amp;Result=3","7159980")</f>
        <v>0</v>
      </c>
      <c r="B14572" t="s">
        <v>2275</v>
      </c>
      <c r="C14572" t="s">
        <v>17647</v>
      </c>
      <c r="D14572" t="s">
        <v>19044</v>
      </c>
      <c r="E14572" t="s">
        <v>31407</v>
      </c>
      <c r="F14572" t="s">
        <v>32606</v>
      </c>
      <c r="G14572" t="s">
        <v>32613</v>
      </c>
      <c r="H14572" t="s">
        <v>32623</v>
      </c>
      <c r="I14572" t="s">
        <v>17648</v>
      </c>
      <c r="J14572" t="s">
        <v>41765</v>
      </c>
      <c r="K14572" t="s">
        <v>42826</v>
      </c>
      <c r="M14572" t="s">
        <v>45380</v>
      </c>
      <c r="N14572" t="s">
        <v>47304</v>
      </c>
      <c r="O14572" t="s">
        <v>47305</v>
      </c>
      <c r="Q14572">
        <v>1</v>
      </c>
      <c r="R14572" t="s">
        <v>47325</v>
      </c>
      <c r="S14572" t="s">
        <v>48294</v>
      </c>
      <c r="T14572" t="s">
        <v>49315</v>
      </c>
      <c r="U14572" t="s">
        <v>61599</v>
      </c>
      <c r="W14572" t="s">
        <v>45380</v>
      </c>
      <c r="X14572" t="s">
        <v>47326</v>
      </c>
    </row>
    <row r="14573" spans="1:24">
      <c r="A14573">
        <f>HYPERLINK("https://www.philgeps.gov.ph/GEPSNONPILOT/Tender/SplashBidNoticeAbstractUI.aspx?menuIndex=3&amp;refID=7159766&amp;Result=3","7159766")</f>
        <v>0</v>
      </c>
      <c r="B14573" t="s">
        <v>1208</v>
      </c>
      <c r="C14573" t="s">
        <v>17648</v>
      </c>
      <c r="D14573" t="s">
        <v>19026</v>
      </c>
      <c r="E14573" t="s">
        <v>31408</v>
      </c>
      <c r="F14573" t="s">
        <v>32606</v>
      </c>
      <c r="G14573" t="s">
        <v>32613</v>
      </c>
      <c r="H14573" t="s">
        <v>32623</v>
      </c>
      <c r="I14573" t="s">
        <v>17648</v>
      </c>
      <c r="J14573" t="s">
        <v>41766</v>
      </c>
      <c r="K14573" t="s">
        <v>42624</v>
      </c>
      <c r="M14573" t="s">
        <v>44173</v>
      </c>
      <c r="N14573" t="s">
        <v>47304</v>
      </c>
      <c r="O14573" t="s">
        <v>47305</v>
      </c>
      <c r="P14573">
        <v>0</v>
      </c>
      <c r="Q14573">
        <v>1</v>
      </c>
      <c r="R14573" t="s">
        <v>47325</v>
      </c>
      <c r="S14573" t="s">
        <v>48215</v>
      </c>
      <c r="T14573" t="s">
        <v>49014</v>
      </c>
      <c r="U14573" t="s">
        <v>61600</v>
      </c>
      <c r="W14573" t="s">
        <v>44173</v>
      </c>
      <c r="X14573" t="s">
        <v>47326</v>
      </c>
    </row>
    <row r="14574" spans="1:24">
      <c r="A14574">
        <f>HYPERLINK("https://www.philgeps.gov.ph/GEPSNONPILOT/Tender/SplashBidNoticeAbstractUI.aspx?menuIndex=3&amp;refID=7159792&amp;Result=3","7159792")</f>
        <v>0</v>
      </c>
      <c r="B14574" t="s">
        <v>2275</v>
      </c>
      <c r="C14574" t="s">
        <v>17649</v>
      </c>
      <c r="D14574" t="s">
        <v>19044</v>
      </c>
      <c r="E14574" t="s">
        <v>31409</v>
      </c>
      <c r="F14574" t="s">
        <v>32606</v>
      </c>
      <c r="G14574" t="s">
        <v>32613</v>
      </c>
      <c r="H14574" t="s">
        <v>32623</v>
      </c>
      <c r="I14574" t="s">
        <v>17648</v>
      </c>
      <c r="J14574" t="s">
        <v>41767</v>
      </c>
      <c r="K14574" t="s">
        <v>42671</v>
      </c>
      <c r="M14574" t="s">
        <v>45380</v>
      </c>
      <c r="N14574" t="s">
        <v>47304</v>
      </c>
      <c r="O14574" t="s">
        <v>47305</v>
      </c>
      <c r="Q14574">
        <v>2</v>
      </c>
      <c r="R14574" t="s">
        <v>47325</v>
      </c>
      <c r="S14574" t="s">
        <v>48295</v>
      </c>
      <c r="T14574" t="s">
        <v>49315</v>
      </c>
      <c r="U14574" t="s">
        <v>61601</v>
      </c>
      <c r="W14574" t="s">
        <v>45380</v>
      </c>
      <c r="X14574" t="s">
        <v>47326</v>
      </c>
    </row>
    <row r="14575" spans="1:24">
      <c r="A14575">
        <f>HYPERLINK("https://www.philgeps.gov.ph/GEPSNONPILOT/Tender/SplashBidNoticeAbstractUI.aspx?menuIndex=3&amp;refID=7159791&amp;Result=3","7159791")</f>
        <v>0</v>
      </c>
      <c r="B14575" t="s">
        <v>1272</v>
      </c>
      <c r="C14575" t="s">
        <v>17650</v>
      </c>
      <c r="D14575" t="s">
        <v>19006</v>
      </c>
      <c r="E14575" t="s">
        <v>25331</v>
      </c>
      <c r="F14575" t="s">
        <v>32606</v>
      </c>
      <c r="G14575" t="s">
        <v>32613</v>
      </c>
      <c r="H14575" t="s">
        <v>14201</v>
      </c>
      <c r="I14575" t="s">
        <v>4112</v>
      </c>
      <c r="J14575" t="s">
        <v>41768</v>
      </c>
      <c r="K14575" t="s">
        <v>42688</v>
      </c>
      <c r="M14575" t="s">
        <v>47126</v>
      </c>
      <c r="N14575" t="s">
        <v>47304</v>
      </c>
      <c r="O14575" t="s">
        <v>47305</v>
      </c>
      <c r="P14575">
        <v>0</v>
      </c>
      <c r="Q14575">
        <v>12</v>
      </c>
      <c r="R14575" t="s">
        <v>47325</v>
      </c>
      <c r="S14575" t="s">
        <v>48215</v>
      </c>
      <c r="T14575" t="s">
        <v>49350</v>
      </c>
      <c r="U14575" t="s">
        <v>61602</v>
      </c>
      <c r="W14575" t="s">
        <v>47126</v>
      </c>
      <c r="X14575" t="s">
        <v>47326</v>
      </c>
    </row>
    <row r="14576" spans="1:24">
      <c r="A14576">
        <f>HYPERLINK("https://www.philgeps.gov.ph/GEPSNONPILOT/Tender/SplashBidNoticeAbstractUI.aspx?menuIndex=3&amp;refID=7160143&amp;Result=3","7160143")</f>
        <v>0</v>
      </c>
      <c r="B14576" t="s">
        <v>1617</v>
      </c>
      <c r="C14576" t="s">
        <v>17651</v>
      </c>
      <c r="D14576" t="s">
        <v>19019</v>
      </c>
      <c r="E14576" t="s">
        <v>31410</v>
      </c>
      <c r="F14576" t="s">
        <v>32606</v>
      </c>
      <c r="G14576" t="s">
        <v>32613</v>
      </c>
      <c r="H14576" t="s">
        <v>32623</v>
      </c>
      <c r="I14576" t="s">
        <v>17648</v>
      </c>
      <c r="J14576" t="s">
        <v>40012</v>
      </c>
      <c r="K14576" t="s">
        <v>42722</v>
      </c>
      <c r="M14576" t="s">
        <v>44637</v>
      </c>
      <c r="N14576" t="s">
        <v>47304</v>
      </c>
      <c r="O14576" t="s">
        <v>47305</v>
      </c>
      <c r="P14576">
        <v>0</v>
      </c>
      <c r="Q14576">
        <v>0</v>
      </c>
      <c r="R14576" t="s">
        <v>47325</v>
      </c>
      <c r="S14576" t="s">
        <v>48215</v>
      </c>
      <c r="T14576" t="s">
        <v>49441</v>
      </c>
      <c r="U14576" t="s">
        <v>61603</v>
      </c>
      <c r="W14576" t="s">
        <v>44637</v>
      </c>
      <c r="X14576" t="s">
        <v>47326</v>
      </c>
    </row>
    <row r="14577" spans="1:24">
      <c r="A14577">
        <f>HYPERLINK("https://www.philgeps.gov.ph/GEPSNONPILOT/Tender/SplashBidNoticeAbstractUI.aspx?menuIndex=3&amp;refID=7159762&amp;Result=3","7159762")</f>
        <v>0</v>
      </c>
      <c r="B14577" t="s">
        <v>89</v>
      </c>
      <c r="C14577" t="s">
        <v>17652</v>
      </c>
      <c r="D14577" t="s">
        <v>19018</v>
      </c>
      <c r="E14577" t="s">
        <v>31373</v>
      </c>
      <c r="F14577" t="s">
        <v>32606</v>
      </c>
      <c r="G14577" t="s">
        <v>32613</v>
      </c>
      <c r="H14577" t="s">
        <v>14201</v>
      </c>
      <c r="I14577" t="s">
        <v>32640</v>
      </c>
      <c r="J14577" t="s">
        <v>41769</v>
      </c>
      <c r="K14577" t="s">
        <v>42631</v>
      </c>
      <c r="M14577" t="s">
        <v>42987</v>
      </c>
      <c r="N14577" t="s">
        <v>47304</v>
      </c>
      <c r="O14577" t="s">
        <v>47305</v>
      </c>
      <c r="Q14577">
        <v>8</v>
      </c>
      <c r="R14577" t="s">
        <v>47325</v>
      </c>
      <c r="S14577" t="s">
        <v>48296</v>
      </c>
      <c r="T14577" t="s">
        <v>48980</v>
      </c>
      <c r="U14577" t="s">
        <v>61564</v>
      </c>
      <c r="W14577" t="s">
        <v>42987</v>
      </c>
      <c r="X14577" t="s">
        <v>47326</v>
      </c>
    </row>
    <row r="14578" spans="1:24">
      <c r="A14578">
        <f>HYPERLINK("https://www.philgeps.gov.ph/GEPSNONPILOT/Tender/SplashBidNoticeAbstractUI.aspx?menuIndex=3&amp;refID=7159598&amp;Result=3","7159598")</f>
        <v>0</v>
      </c>
      <c r="B14578" t="s">
        <v>2326</v>
      </c>
      <c r="C14578" t="s">
        <v>17653</v>
      </c>
      <c r="E14578" t="s">
        <v>31411</v>
      </c>
      <c r="F14578" t="s">
        <v>32606</v>
      </c>
      <c r="G14578" t="s">
        <v>32613</v>
      </c>
      <c r="H14578" t="s">
        <v>14201</v>
      </c>
      <c r="I14578" t="s">
        <v>13131</v>
      </c>
      <c r="J14578" t="s">
        <v>41770</v>
      </c>
      <c r="K14578" t="s">
        <v>42624</v>
      </c>
      <c r="M14578" t="s">
        <v>47106</v>
      </c>
      <c r="N14578" t="s">
        <v>47304</v>
      </c>
      <c r="O14578" t="s">
        <v>47305</v>
      </c>
      <c r="P14578">
        <v>0</v>
      </c>
      <c r="Q14578">
        <v>8</v>
      </c>
      <c r="R14578" t="s">
        <v>47325</v>
      </c>
      <c r="S14578" t="s">
        <v>48215</v>
      </c>
      <c r="T14578" t="s">
        <v>49071</v>
      </c>
      <c r="U14578" t="s">
        <v>61604</v>
      </c>
      <c r="W14578" t="s">
        <v>47106</v>
      </c>
      <c r="X14578" t="s">
        <v>47326</v>
      </c>
    </row>
    <row r="14579" spans="1:24">
      <c r="A14579">
        <f>HYPERLINK("https://www.philgeps.gov.ph/GEPSNONPILOT/Tender/SplashBidNoticeAbstractUI.aspx?menuIndex=3&amp;refID=7159599&amp;Result=3","7159599")</f>
        <v>0</v>
      </c>
      <c r="B14579" t="s">
        <v>89</v>
      </c>
      <c r="C14579" t="s">
        <v>17654</v>
      </c>
      <c r="D14579" t="s">
        <v>19018</v>
      </c>
      <c r="E14579" t="s">
        <v>31412</v>
      </c>
      <c r="F14579" t="s">
        <v>32606</v>
      </c>
      <c r="G14579" t="s">
        <v>32613</v>
      </c>
      <c r="H14579" t="s">
        <v>14201</v>
      </c>
      <c r="I14579" t="s">
        <v>32654</v>
      </c>
      <c r="J14579" t="s">
        <v>41771</v>
      </c>
      <c r="K14579" t="s">
        <v>42631</v>
      </c>
      <c r="M14579" t="s">
        <v>42987</v>
      </c>
      <c r="N14579" t="s">
        <v>47304</v>
      </c>
      <c r="O14579" t="s">
        <v>47305</v>
      </c>
      <c r="Q14579">
        <v>1</v>
      </c>
      <c r="R14579" t="s">
        <v>47325</v>
      </c>
      <c r="S14579" t="s">
        <v>48297</v>
      </c>
      <c r="T14579" t="s">
        <v>48980</v>
      </c>
      <c r="U14579" t="s">
        <v>61605</v>
      </c>
      <c r="W14579" t="s">
        <v>42987</v>
      </c>
      <c r="X14579" t="s">
        <v>47326</v>
      </c>
    </row>
    <row r="14580" spans="1:24">
      <c r="A14580">
        <f>HYPERLINK("https://www.philgeps.gov.ph/GEPSNONPILOT/Tender/SplashBidNoticeAbstractUI.aspx?menuIndex=3&amp;refID=7159604&amp;Result=3","7159604")</f>
        <v>0</v>
      </c>
      <c r="B14580" t="s">
        <v>2326</v>
      </c>
      <c r="C14580" t="s">
        <v>17655</v>
      </c>
      <c r="E14580" t="s">
        <v>31413</v>
      </c>
      <c r="F14580" t="s">
        <v>32606</v>
      </c>
      <c r="G14580" t="s">
        <v>32613</v>
      </c>
      <c r="H14580" t="s">
        <v>14201</v>
      </c>
      <c r="I14580" t="s">
        <v>32634</v>
      </c>
      <c r="J14580" t="s">
        <v>41772</v>
      </c>
      <c r="K14580" t="s">
        <v>42624</v>
      </c>
      <c r="M14580" t="s">
        <v>47106</v>
      </c>
      <c r="N14580" t="s">
        <v>47304</v>
      </c>
      <c r="O14580" t="s">
        <v>47305</v>
      </c>
      <c r="P14580">
        <v>0</v>
      </c>
      <c r="Q14580">
        <v>2</v>
      </c>
      <c r="R14580" t="s">
        <v>47325</v>
      </c>
      <c r="S14580" t="s">
        <v>48215</v>
      </c>
      <c r="T14580" t="s">
        <v>49071</v>
      </c>
      <c r="U14580" t="s">
        <v>61606</v>
      </c>
      <c r="W14580" t="s">
        <v>47106</v>
      </c>
      <c r="X14580" t="s">
        <v>47326</v>
      </c>
    </row>
    <row r="14581" spans="1:24">
      <c r="A14581">
        <f>HYPERLINK("https://www.philgeps.gov.ph/GEPSNONPILOT/Tender/SplashBidNoticeAbstractUI.aspx?menuIndex=3&amp;refID=7160149&amp;Result=3","7160149")</f>
        <v>0</v>
      </c>
      <c r="B14581" t="s">
        <v>581</v>
      </c>
      <c r="C14581" t="s">
        <v>17656</v>
      </c>
      <c r="D14581" t="s">
        <v>19036</v>
      </c>
      <c r="E14581" t="s">
        <v>19233</v>
      </c>
      <c r="F14581" t="s">
        <v>32606</v>
      </c>
      <c r="G14581" t="s">
        <v>32613</v>
      </c>
      <c r="H14581" t="s">
        <v>14201</v>
      </c>
      <c r="I14581" t="s">
        <v>32633</v>
      </c>
      <c r="J14581" t="s">
        <v>41773</v>
      </c>
      <c r="K14581" t="s">
        <v>42631</v>
      </c>
      <c r="M14581" t="s">
        <v>43496</v>
      </c>
      <c r="N14581" t="s">
        <v>47304</v>
      </c>
      <c r="O14581" t="s">
        <v>47305</v>
      </c>
      <c r="P14581">
        <v>0</v>
      </c>
      <c r="Q14581">
        <v>3</v>
      </c>
      <c r="R14581" t="s">
        <v>47325</v>
      </c>
      <c r="S14581" t="s">
        <v>48215</v>
      </c>
      <c r="T14581" t="s">
        <v>49004</v>
      </c>
      <c r="U14581" t="s">
        <v>61607</v>
      </c>
      <c r="W14581" t="s">
        <v>43496</v>
      </c>
      <c r="X14581" t="s">
        <v>47326</v>
      </c>
    </row>
    <row r="14582" spans="1:24">
      <c r="A14582">
        <f>HYPERLINK("https://www.philgeps.gov.ph/GEPSNONPILOT/Tender/SplashBidNoticeAbstractUI.aspx?menuIndex=3&amp;refID=7160246&amp;Result=3","7160246")</f>
        <v>0</v>
      </c>
      <c r="B14582" t="s">
        <v>3523</v>
      </c>
      <c r="C14582" t="s">
        <v>17657</v>
      </c>
      <c r="D14582" t="s">
        <v>19000</v>
      </c>
      <c r="E14582" t="s">
        <v>31414</v>
      </c>
      <c r="F14582" t="s">
        <v>32606</v>
      </c>
      <c r="G14582" t="s">
        <v>32613</v>
      </c>
      <c r="H14582" t="s">
        <v>32623</v>
      </c>
      <c r="I14582" t="s">
        <v>17648</v>
      </c>
      <c r="J14582" t="s">
        <v>32765</v>
      </c>
      <c r="K14582" t="s">
        <v>42623</v>
      </c>
      <c r="M14582" t="s">
        <v>46793</v>
      </c>
      <c r="N14582" t="s">
        <v>47304</v>
      </c>
      <c r="O14582" t="s">
        <v>47305</v>
      </c>
      <c r="P14582">
        <v>0</v>
      </c>
      <c r="Q14582">
        <v>0</v>
      </c>
      <c r="R14582" t="s">
        <v>47325</v>
      </c>
      <c r="S14582" t="s">
        <v>48215</v>
      </c>
      <c r="T14582" t="s">
        <v>49047</v>
      </c>
      <c r="U14582" t="s">
        <v>61608</v>
      </c>
      <c r="W14582" t="s">
        <v>46793</v>
      </c>
      <c r="X14582" t="s">
        <v>47326</v>
      </c>
    </row>
    <row r="14583" spans="1:24">
      <c r="A14583">
        <f>HYPERLINK("https://www.philgeps.gov.ph/GEPSNONPILOT/Tender/SplashBidNoticeAbstractUI.aspx?menuIndex=3&amp;refID=7160281&amp;Result=3","7160281")</f>
        <v>0</v>
      </c>
      <c r="B14583" t="s">
        <v>3411</v>
      </c>
      <c r="C14583" t="s">
        <v>17658</v>
      </c>
      <c r="D14583" t="s">
        <v>18992</v>
      </c>
      <c r="E14583" t="s">
        <v>31415</v>
      </c>
      <c r="F14583" t="s">
        <v>32606</v>
      </c>
      <c r="G14583" t="s">
        <v>32613</v>
      </c>
      <c r="H14583" t="s">
        <v>32623</v>
      </c>
      <c r="I14583" t="s">
        <v>17648</v>
      </c>
      <c r="J14583" t="s">
        <v>32926</v>
      </c>
      <c r="K14583" t="s">
        <v>42639</v>
      </c>
      <c r="M14583" t="s">
        <v>46667</v>
      </c>
      <c r="N14583" t="s">
        <v>47304</v>
      </c>
      <c r="O14583" t="s">
        <v>47305</v>
      </c>
      <c r="P14583">
        <v>0</v>
      </c>
      <c r="Q14583">
        <v>0</v>
      </c>
      <c r="R14583" t="s">
        <v>47325</v>
      </c>
      <c r="S14583" t="s">
        <v>48215</v>
      </c>
      <c r="T14583" t="s">
        <v>49268</v>
      </c>
      <c r="U14583" t="s">
        <v>59476</v>
      </c>
      <c r="W14583" t="s">
        <v>46667</v>
      </c>
      <c r="X14583" t="s">
        <v>47326</v>
      </c>
    </row>
    <row r="14584" spans="1:24">
      <c r="A14584">
        <f>HYPERLINK("https://www.philgeps.gov.ph/GEPSNONPILOT/Tender/SplashBidNoticeAbstractUI.aspx?menuIndex=3&amp;refID=7160273&amp;Result=3","7160273")</f>
        <v>0</v>
      </c>
      <c r="B14584" t="s">
        <v>1077</v>
      </c>
      <c r="C14584" t="s">
        <v>17659</v>
      </c>
      <c r="D14584" t="s">
        <v>18993</v>
      </c>
      <c r="E14584" t="s">
        <v>31416</v>
      </c>
      <c r="F14584" t="s">
        <v>32606</v>
      </c>
      <c r="G14584" t="s">
        <v>32613</v>
      </c>
      <c r="H14584" t="s">
        <v>32624</v>
      </c>
      <c r="I14584" t="s">
        <v>32639</v>
      </c>
      <c r="J14584" t="s">
        <v>32756</v>
      </c>
      <c r="K14584" t="s">
        <v>42626</v>
      </c>
      <c r="M14584" t="s">
        <v>46998</v>
      </c>
      <c r="N14584" t="s">
        <v>47304</v>
      </c>
      <c r="O14584" t="s">
        <v>47305</v>
      </c>
      <c r="Q14584">
        <v>11</v>
      </c>
      <c r="R14584" t="s">
        <v>47325</v>
      </c>
      <c r="S14584" t="s">
        <v>48190</v>
      </c>
      <c r="T14584" t="s">
        <v>48982</v>
      </c>
      <c r="U14584" t="s">
        <v>61609</v>
      </c>
      <c r="W14584" t="s">
        <v>46998</v>
      </c>
      <c r="X14584" t="s">
        <v>47326</v>
      </c>
    </row>
    <row r="14585" spans="1:24">
      <c r="A14585">
        <f>HYPERLINK("https://www.philgeps.gov.ph/GEPSNONPILOT/Tender/SplashBidNoticeAbstractUI.aspx?menuIndex=3&amp;refID=7160300&amp;Result=3","7160300")</f>
        <v>0</v>
      </c>
      <c r="B14585" t="s">
        <v>1250</v>
      </c>
      <c r="C14585" t="s">
        <v>17660</v>
      </c>
      <c r="D14585" t="s">
        <v>19044</v>
      </c>
      <c r="E14585" t="s">
        <v>31417</v>
      </c>
      <c r="F14585" t="s">
        <v>32606</v>
      </c>
      <c r="G14585" t="s">
        <v>32613</v>
      </c>
      <c r="H14585" t="s">
        <v>14201</v>
      </c>
      <c r="I14585" t="s">
        <v>32662</v>
      </c>
      <c r="J14585" t="s">
        <v>41774</v>
      </c>
      <c r="K14585" t="s">
        <v>42630</v>
      </c>
      <c r="M14585" t="s">
        <v>46851</v>
      </c>
      <c r="N14585" t="s">
        <v>47304</v>
      </c>
      <c r="O14585" t="s">
        <v>47305</v>
      </c>
      <c r="P14585">
        <v>0</v>
      </c>
      <c r="Q14585">
        <v>10</v>
      </c>
      <c r="R14585" t="s">
        <v>47325</v>
      </c>
      <c r="S14585" t="s">
        <v>48215</v>
      </c>
      <c r="T14585" t="s">
        <v>49256</v>
      </c>
      <c r="U14585" t="s">
        <v>61610</v>
      </c>
      <c r="W14585" t="s">
        <v>46851</v>
      </c>
      <c r="X14585" t="s">
        <v>47326</v>
      </c>
    </row>
    <row r="14586" spans="1:24">
      <c r="A14586">
        <f>HYPERLINK("https://www.philgeps.gov.ph/GEPSNONPILOT/Tender/SplashBidNoticeAbstractUI.aspx?menuIndex=3&amp;refID=7160279&amp;Result=3","7160279")</f>
        <v>0</v>
      </c>
      <c r="B14586" t="s">
        <v>3786</v>
      </c>
      <c r="C14586" t="s">
        <v>17661</v>
      </c>
      <c r="E14586" t="s">
        <v>31418</v>
      </c>
      <c r="F14586" t="s">
        <v>32606</v>
      </c>
      <c r="G14586" t="s">
        <v>32613</v>
      </c>
      <c r="H14586" t="s">
        <v>32623</v>
      </c>
      <c r="I14586" t="s">
        <v>17648</v>
      </c>
      <c r="J14586" t="s">
        <v>41775</v>
      </c>
      <c r="K14586" t="s">
        <v>42624</v>
      </c>
      <c r="M14586" t="s">
        <v>47127</v>
      </c>
      <c r="N14586" t="s">
        <v>47304</v>
      </c>
      <c r="O14586" t="s">
        <v>47305</v>
      </c>
      <c r="P14586">
        <v>0</v>
      </c>
      <c r="Q14586">
        <v>8</v>
      </c>
      <c r="R14586" t="s">
        <v>47325</v>
      </c>
      <c r="S14586" t="s">
        <v>48215</v>
      </c>
      <c r="T14586" t="s">
        <v>48994</v>
      </c>
      <c r="U14586" t="s">
        <v>61611</v>
      </c>
      <c r="V14586" t="s">
        <v>64243</v>
      </c>
      <c r="W14586" t="s">
        <v>47127</v>
      </c>
      <c r="X14586" t="s">
        <v>47326</v>
      </c>
    </row>
    <row r="14587" spans="1:24">
      <c r="A14587">
        <f>HYPERLINK("https://www.philgeps.gov.ph/GEPSNONPILOT/Tender/SplashBidNoticeAbstractUI.aspx?menuIndex=3&amp;refID=7160370&amp;Result=3","7160370")</f>
        <v>0</v>
      </c>
      <c r="B14587" t="s">
        <v>3411</v>
      </c>
      <c r="C14587" t="s">
        <v>17662</v>
      </c>
      <c r="D14587" t="s">
        <v>18992</v>
      </c>
      <c r="E14587" t="s">
        <v>31419</v>
      </c>
      <c r="F14587" t="s">
        <v>32606</v>
      </c>
      <c r="G14587" t="s">
        <v>32613</v>
      </c>
      <c r="H14587" t="s">
        <v>32623</v>
      </c>
      <c r="I14587" t="s">
        <v>17648</v>
      </c>
      <c r="J14587" t="s">
        <v>32971</v>
      </c>
      <c r="K14587" t="s">
        <v>42639</v>
      </c>
      <c r="M14587" t="s">
        <v>46667</v>
      </c>
      <c r="N14587" t="s">
        <v>47304</v>
      </c>
      <c r="O14587" t="s">
        <v>47305</v>
      </c>
      <c r="P14587">
        <v>0</v>
      </c>
      <c r="Q14587">
        <v>0</v>
      </c>
      <c r="R14587" t="s">
        <v>47325</v>
      </c>
      <c r="S14587" t="s">
        <v>48215</v>
      </c>
      <c r="T14587" t="s">
        <v>49268</v>
      </c>
      <c r="U14587" t="s">
        <v>59476</v>
      </c>
      <c r="W14587" t="s">
        <v>46667</v>
      </c>
      <c r="X14587" t="s">
        <v>47326</v>
      </c>
    </row>
    <row r="14588" spans="1:24">
      <c r="A14588">
        <f>HYPERLINK("https://www.philgeps.gov.ph/GEPSNONPILOT/Tender/SplashBidNoticeAbstractUI.aspx?menuIndex=3&amp;refID=7160306&amp;Result=3","7160306")</f>
        <v>0</v>
      </c>
      <c r="B14588" t="s">
        <v>3787</v>
      </c>
      <c r="C14588" t="s">
        <v>17663</v>
      </c>
      <c r="D14588" t="s">
        <v>19058</v>
      </c>
      <c r="E14588" t="s">
        <v>31420</v>
      </c>
      <c r="F14588" t="s">
        <v>32606</v>
      </c>
      <c r="G14588" t="s">
        <v>32613</v>
      </c>
      <c r="H14588" t="s">
        <v>14201</v>
      </c>
      <c r="I14588" t="s">
        <v>6931</v>
      </c>
      <c r="J14588" t="s">
        <v>41776</v>
      </c>
      <c r="K14588" t="s">
        <v>42665</v>
      </c>
      <c r="M14588" t="s">
        <v>47128</v>
      </c>
      <c r="N14588" t="s">
        <v>47304</v>
      </c>
      <c r="O14588" t="s">
        <v>47305</v>
      </c>
      <c r="P14588">
        <v>0</v>
      </c>
      <c r="Q14588">
        <v>0</v>
      </c>
      <c r="R14588" t="s">
        <v>47325</v>
      </c>
      <c r="S14588" t="s">
        <v>48215</v>
      </c>
      <c r="T14588" t="s">
        <v>49071</v>
      </c>
      <c r="U14588" t="s">
        <v>61612</v>
      </c>
      <c r="W14588" t="s">
        <v>47128</v>
      </c>
      <c r="X14588" t="s">
        <v>47326</v>
      </c>
    </row>
    <row r="14589" spans="1:24">
      <c r="A14589">
        <f>HYPERLINK("https://www.philgeps.gov.ph/GEPSNONPILOT/Tender/SplashBidNoticeAbstractUI.aspx?menuIndex=3&amp;refID=7160285&amp;Result=3","7160285")</f>
        <v>0</v>
      </c>
      <c r="B14589" t="s">
        <v>581</v>
      </c>
      <c r="C14589" t="s">
        <v>17664</v>
      </c>
      <c r="D14589" t="s">
        <v>19036</v>
      </c>
      <c r="E14589" t="s">
        <v>19415</v>
      </c>
      <c r="F14589" t="s">
        <v>32606</v>
      </c>
      <c r="G14589" t="s">
        <v>32613</v>
      </c>
      <c r="H14589" t="s">
        <v>14201</v>
      </c>
      <c r="I14589" t="s">
        <v>4120</v>
      </c>
      <c r="J14589" t="s">
        <v>41777</v>
      </c>
      <c r="K14589" t="s">
        <v>42631</v>
      </c>
      <c r="M14589" t="s">
        <v>43496</v>
      </c>
      <c r="N14589" t="s">
        <v>47304</v>
      </c>
      <c r="O14589" t="s">
        <v>47305</v>
      </c>
      <c r="Q14589">
        <v>2</v>
      </c>
      <c r="R14589" t="s">
        <v>47325</v>
      </c>
      <c r="S14589" t="s">
        <v>48298</v>
      </c>
      <c r="T14589" t="s">
        <v>49004</v>
      </c>
      <c r="U14589" t="s">
        <v>61613</v>
      </c>
      <c r="W14589" t="s">
        <v>43496</v>
      </c>
      <c r="X14589" t="s">
        <v>47326</v>
      </c>
    </row>
    <row r="14590" spans="1:24">
      <c r="A14590">
        <f>HYPERLINK("https://www.philgeps.gov.ph/GEPSNONPILOT/Tender/SplashBidNoticeAbstractUI.aspx?menuIndex=3&amp;refID=7160348&amp;Result=3","7160348")</f>
        <v>0</v>
      </c>
      <c r="B14590" t="s">
        <v>3523</v>
      </c>
      <c r="C14590" t="s">
        <v>17665</v>
      </c>
      <c r="D14590" t="s">
        <v>19000</v>
      </c>
      <c r="E14590" t="s">
        <v>31421</v>
      </c>
      <c r="F14590" t="s">
        <v>32606</v>
      </c>
      <c r="G14590" t="s">
        <v>32613</v>
      </c>
      <c r="H14590" t="s">
        <v>32623</v>
      </c>
      <c r="I14590" t="s">
        <v>17648</v>
      </c>
      <c r="J14590" t="s">
        <v>36386</v>
      </c>
      <c r="K14590" t="s">
        <v>42623</v>
      </c>
      <c r="M14590" t="s">
        <v>46793</v>
      </c>
      <c r="N14590" t="s">
        <v>47304</v>
      </c>
      <c r="O14590" t="s">
        <v>47305</v>
      </c>
      <c r="P14590">
        <v>0</v>
      </c>
      <c r="Q14590">
        <v>0</v>
      </c>
      <c r="R14590" t="s">
        <v>47325</v>
      </c>
      <c r="S14590" t="s">
        <v>48215</v>
      </c>
      <c r="T14590" t="s">
        <v>49047</v>
      </c>
      <c r="U14590" t="s">
        <v>61222</v>
      </c>
      <c r="W14590" t="s">
        <v>46793</v>
      </c>
      <c r="X14590" t="s">
        <v>47326</v>
      </c>
    </row>
    <row r="14591" spans="1:24">
      <c r="A14591">
        <f>HYPERLINK("https://www.philgeps.gov.ph/GEPSNONPILOT/Tender/SplashBidNoticeAbstractUI.aspx?menuIndex=3&amp;refID=7160353&amp;Result=3","7160353")</f>
        <v>0</v>
      </c>
      <c r="B14591" t="s">
        <v>1250</v>
      </c>
      <c r="C14591" t="s">
        <v>17666</v>
      </c>
      <c r="D14591" t="s">
        <v>19044</v>
      </c>
      <c r="E14591" t="s">
        <v>31422</v>
      </c>
      <c r="F14591" t="s">
        <v>32606</v>
      </c>
      <c r="G14591" t="s">
        <v>32613</v>
      </c>
      <c r="H14591" t="s">
        <v>14201</v>
      </c>
      <c r="I14591" t="s">
        <v>32691</v>
      </c>
      <c r="J14591" t="s">
        <v>41778</v>
      </c>
      <c r="K14591" t="s">
        <v>42630</v>
      </c>
      <c r="M14591" t="s">
        <v>46851</v>
      </c>
      <c r="N14591" t="s">
        <v>47304</v>
      </c>
      <c r="O14591" t="s">
        <v>47305</v>
      </c>
      <c r="P14591">
        <v>0</v>
      </c>
      <c r="Q14591">
        <v>1</v>
      </c>
      <c r="R14591" t="s">
        <v>47325</v>
      </c>
      <c r="S14591" t="s">
        <v>48215</v>
      </c>
      <c r="T14591" t="s">
        <v>49256</v>
      </c>
      <c r="U14591" t="s">
        <v>61614</v>
      </c>
      <c r="W14591" t="s">
        <v>46851</v>
      </c>
      <c r="X14591" t="s">
        <v>47326</v>
      </c>
    </row>
    <row r="14592" spans="1:24">
      <c r="A14592">
        <f>HYPERLINK("https://www.philgeps.gov.ph/GEPSNONPILOT/Tender/SplashBidNoticeAbstractUI.aspx?menuIndex=3&amp;refID=7160347&amp;Result=3","7160347")</f>
        <v>0</v>
      </c>
      <c r="B14592" t="s">
        <v>2933</v>
      </c>
      <c r="C14592" t="s">
        <v>17667</v>
      </c>
      <c r="D14592" t="s">
        <v>19039</v>
      </c>
      <c r="E14592" t="s">
        <v>31423</v>
      </c>
      <c r="F14592" t="s">
        <v>32606</v>
      </c>
      <c r="G14592" t="s">
        <v>32613</v>
      </c>
      <c r="H14592" t="s">
        <v>32623</v>
      </c>
      <c r="I14592" t="s">
        <v>17648</v>
      </c>
      <c r="J14592" t="s">
        <v>33102</v>
      </c>
      <c r="K14592" t="s">
        <v>42689</v>
      </c>
      <c r="M14592" t="s">
        <v>46113</v>
      </c>
      <c r="N14592" t="s">
        <v>47304</v>
      </c>
      <c r="O14592" t="s">
        <v>47305</v>
      </c>
      <c r="P14592">
        <v>0</v>
      </c>
      <c r="Q14592">
        <v>0</v>
      </c>
      <c r="R14592" t="s">
        <v>47325</v>
      </c>
      <c r="S14592" t="s">
        <v>48215</v>
      </c>
      <c r="T14592" t="s">
        <v>49020</v>
      </c>
      <c r="U14592" t="s">
        <v>61615</v>
      </c>
      <c r="W14592" t="s">
        <v>46113</v>
      </c>
      <c r="X14592" t="s">
        <v>47326</v>
      </c>
    </row>
    <row r="14593" spans="1:24">
      <c r="A14593">
        <f>HYPERLINK("https://www.philgeps.gov.ph/GEPSNONPILOT/Tender/SplashBidNoticeAbstractUI.aspx?menuIndex=3&amp;refID=7160296&amp;Result=3","7160296")</f>
        <v>0</v>
      </c>
      <c r="B14593" t="s">
        <v>3788</v>
      </c>
      <c r="C14593" t="s">
        <v>17668</v>
      </c>
      <c r="E14593" t="s">
        <v>31424</v>
      </c>
      <c r="F14593" t="s">
        <v>32606</v>
      </c>
      <c r="G14593" t="s">
        <v>32613</v>
      </c>
      <c r="H14593" t="s">
        <v>14201</v>
      </c>
      <c r="I14593" t="s">
        <v>8682</v>
      </c>
      <c r="J14593" t="s">
        <v>41746</v>
      </c>
      <c r="K14593" t="s">
        <v>42627</v>
      </c>
      <c r="M14593" t="s">
        <v>47129</v>
      </c>
      <c r="N14593" t="s">
        <v>47304</v>
      </c>
      <c r="O14593" t="s">
        <v>47305</v>
      </c>
      <c r="P14593">
        <v>0</v>
      </c>
      <c r="Q14593">
        <v>9</v>
      </c>
      <c r="R14593" t="s">
        <v>47325</v>
      </c>
      <c r="S14593" t="s">
        <v>48215</v>
      </c>
      <c r="T14593" t="s">
        <v>49268</v>
      </c>
      <c r="U14593" t="s">
        <v>61616</v>
      </c>
      <c r="W14593" t="s">
        <v>47129</v>
      </c>
      <c r="X14593" t="s">
        <v>47326</v>
      </c>
    </row>
    <row r="14594" spans="1:24">
      <c r="A14594">
        <f>HYPERLINK("https://www.philgeps.gov.ph/GEPSNONPILOT/Tender/SplashBidNoticeAbstractUI.aspx?menuIndex=3&amp;refID=7160266&amp;Result=3","7160266")</f>
        <v>0</v>
      </c>
      <c r="B14594" t="s">
        <v>3784</v>
      </c>
      <c r="C14594" t="s">
        <v>17669</v>
      </c>
      <c r="D14594" t="s">
        <v>19008</v>
      </c>
      <c r="E14594" t="s">
        <v>23679</v>
      </c>
      <c r="F14594" t="s">
        <v>32606</v>
      </c>
      <c r="G14594" t="s">
        <v>32613</v>
      </c>
      <c r="H14594" t="s">
        <v>32623</v>
      </c>
      <c r="I14594" t="s">
        <v>17648</v>
      </c>
      <c r="J14594" t="s">
        <v>41779</v>
      </c>
      <c r="K14594" t="s">
        <v>42646</v>
      </c>
      <c r="M14594" t="s">
        <v>47121</v>
      </c>
      <c r="N14594" t="s">
        <v>47304</v>
      </c>
      <c r="O14594" t="s">
        <v>47305</v>
      </c>
      <c r="P14594">
        <v>0</v>
      </c>
      <c r="Q14594">
        <v>10</v>
      </c>
      <c r="R14594" t="s">
        <v>47325</v>
      </c>
      <c r="S14594" t="s">
        <v>48215</v>
      </c>
      <c r="T14594" t="s">
        <v>49165</v>
      </c>
      <c r="U14594" t="s">
        <v>61617</v>
      </c>
      <c r="V14594" t="s">
        <v>64244</v>
      </c>
      <c r="W14594" t="s">
        <v>47121</v>
      </c>
      <c r="X14594" t="s">
        <v>47326</v>
      </c>
    </row>
    <row r="14595" spans="1:24">
      <c r="A14595">
        <f>HYPERLINK("https://www.philgeps.gov.ph/GEPSNONPILOT/Tender/SplashBidNoticeAbstractUI.aspx?menuIndex=3&amp;refID=7160317&amp;Result=3","7160317")</f>
        <v>0</v>
      </c>
      <c r="B14595" t="s">
        <v>3523</v>
      </c>
      <c r="C14595" t="s">
        <v>17670</v>
      </c>
      <c r="E14595" t="s">
        <v>31425</v>
      </c>
      <c r="F14595" t="s">
        <v>32606</v>
      </c>
      <c r="G14595" t="s">
        <v>32613</v>
      </c>
      <c r="H14595" t="s">
        <v>32623</v>
      </c>
      <c r="I14595" t="s">
        <v>17648</v>
      </c>
      <c r="J14595" t="s">
        <v>41780</v>
      </c>
      <c r="K14595" t="s">
        <v>42635</v>
      </c>
      <c r="M14595" t="s">
        <v>46793</v>
      </c>
      <c r="N14595" t="s">
        <v>47304</v>
      </c>
      <c r="O14595" t="s">
        <v>47305</v>
      </c>
      <c r="P14595">
        <v>0</v>
      </c>
      <c r="Q14595">
        <v>0</v>
      </c>
      <c r="R14595" t="s">
        <v>47325</v>
      </c>
      <c r="S14595" t="s">
        <v>48215</v>
      </c>
      <c r="T14595" t="s">
        <v>49072</v>
      </c>
      <c r="U14595" t="s">
        <v>61222</v>
      </c>
      <c r="W14595" t="s">
        <v>46793</v>
      </c>
      <c r="X14595" t="s">
        <v>47326</v>
      </c>
    </row>
    <row r="14596" spans="1:24">
      <c r="A14596">
        <f>HYPERLINK("https://www.philgeps.gov.ph/GEPSNONPILOT/Tender/SplashBidNoticeAbstractUI.aspx?menuIndex=3&amp;refID=7160344&amp;Result=3","7160344")</f>
        <v>0</v>
      </c>
      <c r="B14596" t="s">
        <v>952</v>
      </c>
      <c r="C14596" t="s">
        <v>17671</v>
      </c>
      <c r="D14596" t="s">
        <v>19040</v>
      </c>
      <c r="E14596" t="s">
        <v>31426</v>
      </c>
      <c r="F14596" t="s">
        <v>32606</v>
      </c>
      <c r="G14596" t="s">
        <v>32613</v>
      </c>
      <c r="H14596" t="s">
        <v>14201</v>
      </c>
      <c r="I14596" t="s">
        <v>4115</v>
      </c>
      <c r="J14596" t="s">
        <v>41781</v>
      </c>
      <c r="K14596" t="s">
        <v>42630</v>
      </c>
      <c r="M14596" t="s">
        <v>43894</v>
      </c>
      <c r="N14596" t="s">
        <v>47304</v>
      </c>
      <c r="O14596" t="s">
        <v>47305</v>
      </c>
      <c r="P14596">
        <v>0</v>
      </c>
      <c r="Q14596">
        <v>12</v>
      </c>
      <c r="R14596" t="s">
        <v>47325</v>
      </c>
      <c r="S14596" t="s">
        <v>48215</v>
      </c>
      <c r="T14596" t="s">
        <v>48971</v>
      </c>
      <c r="U14596" t="s">
        <v>61618</v>
      </c>
      <c r="W14596" t="s">
        <v>43894</v>
      </c>
      <c r="X14596" t="s">
        <v>47326</v>
      </c>
    </row>
    <row r="14597" spans="1:24">
      <c r="A14597">
        <f>HYPERLINK("https://www.philgeps.gov.ph/GEPSNONPILOT/Tender/SplashBidNoticeAbstractUI.aspx?menuIndex=3&amp;refID=7160371&amp;Result=3","7160371")</f>
        <v>0</v>
      </c>
      <c r="B14597" t="s">
        <v>1250</v>
      </c>
      <c r="C14597" t="s">
        <v>16030</v>
      </c>
      <c r="D14597" t="s">
        <v>19044</v>
      </c>
      <c r="E14597" t="s">
        <v>31427</v>
      </c>
      <c r="F14597" t="s">
        <v>32606</v>
      </c>
      <c r="G14597" t="s">
        <v>32613</v>
      </c>
      <c r="H14597" t="s">
        <v>14201</v>
      </c>
      <c r="I14597" t="s">
        <v>32691</v>
      </c>
      <c r="J14597" t="s">
        <v>41782</v>
      </c>
      <c r="K14597" t="s">
        <v>42630</v>
      </c>
      <c r="M14597" t="s">
        <v>46851</v>
      </c>
      <c r="N14597" t="s">
        <v>47304</v>
      </c>
      <c r="O14597" t="s">
        <v>47305</v>
      </c>
      <c r="P14597">
        <v>0</v>
      </c>
      <c r="Q14597">
        <v>1</v>
      </c>
      <c r="R14597" t="s">
        <v>47325</v>
      </c>
      <c r="S14597" t="s">
        <v>48215</v>
      </c>
      <c r="T14597" t="s">
        <v>49256</v>
      </c>
      <c r="U14597" t="s">
        <v>61619</v>
      </c>
      <c r="W14597" t="s">
        <v>46851</v>
      </c>
      <c r="X14597" t="s">
        <v>47326</v>
      </c>
    </row>
    <row r="14598" spans="1:24">
      <c r="A14598">
        <f>HYPERLINK("https://www.philgeps.gov.ph/GEPSNONPILOT/Tender/SplashBidNoticeAbstractUI.aspx?menuIndex=3&amp;refID=7160338&amp;Result=3","7160338")</f>
        <v>0</v>
      </c>
      <c r="B14598" t="s">
        <v>3787</v>
      </c>
      <c r="C14598" t="s">
        <v>17672</v>
      </c>
      <c r="D14598" t="s">
        <v>19058</v>
      </c>
      <c r="E14598" t="s">
        <v>31428</v>
      </c>
      <c r="F14598" t="s">
        <v>32606</v>
      </c>
      <c r="G14598" t="s">
        <v>32613</v>
      </c>
      <c r="H14598" t="s">
        <v>14201</v>
      </c>
      <c r="I14598" t="s">
        <v>4114</v>
      </c>
      <c r="J14598" t="s">
        <v>41783</v>
      </c>
      <c r="K14598" t="s">
        <v>42665</v>
      </c>
      <c r="M14598" t="s">
        <v>47128</v>
      </c>
      <c r="N14598" t="s">
        <v>47304</v>
      </c>
      <c r="O14598" t="s">
        <v>47305</v>
      </c>
      <c r="P14598">
        <v>0</v>
      </c>
      <c r="Q14598">
        <v>3</v>
      </c>
      <c r="R14598" t="s">
        <v>47325</v>
      </c>
      <c r="S14598" t="s">
        <v>48215</v>
      </c>
      <c r="T14598" t="s">
        <v>49071</v>
      </c>
      <c r="U14598" t="s">
        <v>61612</v>
      </c>
      <c r="W14598" t="s">
        <v>47128</v>
      </c>
      <c r="X14598" t="s">
        <v>47326</v>
      </c>
    </row>
    <row r="14599" spans="1:24">
      <c r="A14599">
        <f>HYPERLINK("https://www.philgeps.gov.ph/GEPSNONPILOT/Tender/SplashBidNoticeAbstractUI.aspx?menuIndex=3&amp;refID=7160288&amp;Result=3","7160288")</f>
        <v>0</v>
      </c>
      <c r="B14599" t="s">
        <v>3523</v>
      </c>
      <c r="C14599" t="s">
        <v>17673</v>
      </c>
      <c r="D14599" t="s">
        <v>19000</v>
      </c>
      <c r="E14599" t="s">
        <v>31429</v>
      </c>
      <c r="F14599" t="s">
        <v>32606</v>
      </c>
      <c r="G14599" t="s">
        <v>32613</v>
      </c>
      <c r="H14599" t="s">
        <v>32623</v>
      </c>
      <c r="I14599" t="s">
        <v>17648</v>
      </c>
      <c r="J14599" t="s">
        <v>32789</v>
      </c>
      <c r="K14599" t="s">
        <v>42745</v>
      </c>
      <c r="M14599" t="s">
        <v>46793</v>
      </c>
      <c r="N14599" t="s">
        <v>47304</v>
      </c>
      <c r="O14599" t="s">
        <v>47305</v>
      </c>
      <c r="P14599">
        <v>0</v>
      </c>
      <c r="Q14599">
        <v>0</v>
      </c>
      <c r="R14599" t="s">
        <v>47325</v>
      </c>
      <c r="S14599" t="s">
        <v>48215</v>
      </c>
      <c r="T14599" t="s">
        <v>49047</v>
      </c>
      <c r="U14599" t="s">
        <v>61222</v>
      </c>
      <c r="W14599" t="s">
        <v>46793</v>
      </c>
      <c r="X14599" t="s">
        <v>47326</v>
      </c>
    </row>
    <row r="14600" spans="1:24">
      <c r="A14600">
        <f>HYPERLINK("https://www.philgeps.gov.ph/GEPSNONPILOT/Tender/SplashBidNoticeAbstractUI.aspx?menuIndex=3&amp;refID=7160480&amp;Result=3","7160480")</f>
        <v>0</v>
      </c>
      <c r="B14600" t="s">
        <v>3789</v>
      </c>
      <c r="C14600" t="s">
        <v>17674</v>
      </c>
      <c r="D14600" t="s">
        <v>19037</v>
      </c>
      <c r="E14600" t="s">
        <v>31430</v>
      </c>
      <c r="F14600" t="s">
        <v>32606</v>
      </c>
      <c r="G14600" t="s">
        <v>32613</v>
      </c>
      <c r="H14600" t="s">
        <v>14201</v>
      </c>
      <c r="I14600" t="s">
        <v>32673</v>
      </c>
      <c r="J14600" t="s">
        <v>32772</v>
      </c>
      <c r="K14600" t="s">
        <v>42631</v>
      </c>
      <c r="M14600" t="s">
        <v>47130</v>
      </c>
      <c r="N14600" t="s">
        <v>47304</v>
      </c>
      <c r="O14600" t="s">
        <v>47305</v>
      </c>
      <c r="P14600">
        <v>0</v>
      </c>
      <c r="Q14600">
        <v>2</v>
      </c>
      <c r="R14600" t="s">
        <v>47325</v>
      </c>
      <c r="S14600" t="s">
        <v>48215</v>
      </c>
      <c r="T14600" t="s">
        <v>49330</v>
      </c>
      <c r="U14600" t="s">
        <v>61620</v>
      </c>
      <c r="W14600" t="s">
        <v>47130</v>
      </c>
      <c r="X14600" t="s">
        <v>47326</v>
      </c>
    </row>
    <row r="14601" spans="1:24">
      <c r="A14601">
        <f>HYPERLINK("https://www.philgeps.gov.ph/GEPSNONPILOT/Tender/SplashBidNoticeAbstractUI.aspx?menuIndex=3&amp;refID=7160319&amp;Result=3","7160319")</f>
        <v>0</v>
      </c>
      <c r="B14601" t="s">
        <v>1250</v>
      </c>
      <c r="C14601" t="s">
        <v>17666</v>
      </c>
      <c r="D14601" t="s">
        <v>19044</v>
      </c>
      <c r="E14601" t="s">
        <v>31431</v>
      </c>
      <c r="F14601" t="s">
        <v>32606</v>
      </c>
      <c r="G14601" t="s">
        <v>32613</v>
      </c>
      <c r="H14601" t="s">
        <v>14201</v>
      </c>
      <c r="I14601" t="s">
        <v>32691</v>
      </c>
      <c r="J14601" t="s">
        <v>41784</v>
      </c>
      <c r="K14601" t="s">
        <v>42630</v>
      </c>
      <c r="M14601" t="s">
        <v>46851</v>
      </c>
      <c r="N14601" t="s">
        <v>47304</v>
      </c>
      <c r="O14601" t="s">
        <v>47305</v>
      </c>
      <c r="P14601">
        <v>0</v>
      </c>
      <c r="Q14601">
        <v>2</v>
      </c>
      <c r="R14601" t="s">
        <v>47325</v>
      </c>
      <c r="S14601" t="s">
        <v>48215</v>
      </c>
      <c r="T14601" t="s">
        <v>49256</v>
      </c>
      <c r="U14601" t="s">
        <v>61621</v>
      </c>
      <c r="W14601" t="s">
        <v>46851</v>
      </c>
      <c r="X14601" t="s">
        <v>47326</v>
      </c>
    </row>
    <row r="14602" spans="1:24">
      <c r="A14602">
        <f>HYPERLINK("https://www.philgeps.gov.ph/GEPSNONPILOT/Tender/SplashBidNoticeAbstractUI.aspx?menuIndex=3&amp;refID=7160470&amp;Result=3","7160470")</f>
        <v>0</v>
      </c>
      <c r="B14602" t="s">
        <v>2783</v>
      </c>
      <c r="C14602" t="s">
        <v>17675</v>
      </c>
      <c r="D14602" t="s">
        <v>19050</v>
      </c>
      <c r="E14602" t="s">
        <v>31432</v>
      </c>
      <c r="F14602" t="s">
        <v>32606</v>
      </c>
      <c r="G14602" t="s">
        <v>32613</v>
      </c>
      <c r="H14602" t="s">
        <v>32623</v>
      </c>
      <c r="I14602" t="s">
        <v>17648</v>
      </c>
      <c r="J14602" t="s">
        <v>41785</v>
      </c>
      <c r="K14602" t="s">
        <v>42631</v>
      </c>
      <c r="M14602" t="s">
        <v>45945</v>
      </c>
      <c r="N14602" t="s">
        <v>47304</v>
      </c>
      <c r="O14602" t="s">
        <v>47305</v>
      </c>
      <c r="P14602">
        <v>0</v>
      </c>
      <c r="Q14602">
        <v>0</v>
      </c>
      <c r="R14602" t="s">
        <v>47325</v>
      </c>
      <c r="S14602" t="s">
        <v>48215</v>
      </c>
      <c r="T14602" t="s">
        <v>49071</v>
      </c>
      <c r="U14602" t="s">
        <v>56853</v>
      </c>
      <c r="V14602" t="s">
        <v>64245</v>
      </c>
      <c r="W14602" t="s">
        <v>45945</v>
      </c>
      <c r="X14602" t="s">
        <v>47326</v>
      </c>
    </row>
    <row r="14603" spans="1:24">
      <c r="A14603">
        <f>HYPERLINK("https://www.philgeps.gov.ph/GEPSNONPILOT/Tender/SplashBidNoticeAbstractUI.aspx?menuIndex=3&amp;refID=7160263&amp;Result=3","7160263")</f>
        <v>0</v>
      </c>
      <c r="B14603" t="s">
        <v>269</v>
      </c>
      <c r="C14603" t="s">
        <v>17676</v>
      </c>
      <c r="D14603" t="s">
        <v>19023</v>
      </c>
      <c r="E14603" t="s">
        <v>31433</v>
      </c>
      <c r="F14603" t="s">
        <v>32606</v>
      </c>
      <c r="G14603" t="s">
        <v>32613</v>
      </c>
      <c r="H14603" t="s">
        <v>14201</v>
      </c>
      <c r="I14603" t="s">
        <v>7064</v>
      </c>
      <c r="J14603" t="s">
        <v>34435</v>
      </c>
      <c r="K14603" t="s">
        <v>42636</v>
      </c>
      <c r="M14603" t="s">
        <v>43170</v>
      </c>
      <c r="N14603" t="s">
        <v>47304</v>
      </c>
      <c r="O14603" t="s">
        <v>47305</v>
      </c>
      <c r="Q14603">
        <v>4</v>
      </c>
      <c r="R14603" t="s">
        <v>47325</v>
      </c>
      <c r="S14603" t="s">
        <v>48299</v>
      </c>
      <c r="T14603" t="s">
        <v>49512</v>
      </c>
      <c r="U14603" t="s">
        <v>61622</v>
      </c>
      <c r="V14603" t="s">
        <v>64246</v>
      </c>
      <c r="W14603" t="s">
        <v>43170</v>
      </c>
      <c r="X14603" t="s">
        <v>47326</v>
      </c>
    </row>
    <row r="14604" spans="1:24">
      <c r="A14604">
        <f>HYPERLINK("https://www.philgeps.gov.ph/GEPSNONPILOT/Tender/SplashBidNoticeAbstractUI.aspx?menuIndex=3&amp;refID=7160564&amp;Result=3","7160564")</f>
        <v>0</v>
      </c>
      <c r="B14604" t="s">
        <v>396</v>
      </c>
      <c r="C14604" t="s">
        <v>17677</v>
      </c>
      <c r="D14604" t="s">
        <v>19038</v>
      </c>
      <c r="E14604" t="s">
        <v>31434</v>
      </c>
      <c r="F14604" t="s">
        <v>32606</v>
      </c>
      <c r="G14604" t="s">
        <v>32613</v>
      </c>
      <c r="H14604" t="s">
        <v>32623</v>
      </c>
      <c r="I14604" t="s">
        <v>17648</v>
      </c>
      <c r="J14604" t="s">
        <v>41786</v>
      </c>
      <c r="K14604" t="s">
        <v>42768</v>
      </c>
      <c r="M14604" t="s">
        <v>45261</v>
      </c>
      <c r="N14604" t="s">
        <v>47304</v>
      </c>
      <c r="O14604" t="s">
        <v>47305</v>
      </c>
      <c r="Q14604">
        <v>0</v>
      </c>
      <c r="R14604" t="s">
        <v>47325</v>
      </c>
      <c r="S14604" t="s">
        <v>48300</v>
      </c>
      <c r="T14604" t="s">
        <v>49268</v>
      </c>
      <c r="U14604" t="s">
        <v>61374</v>
      </c>
      <c r="V14604" t="s">
        <v>64247</v>
      </c>
      <c r="W14604" t="s">
        <v>45261</v>
      </c>
      <c r="X14604" t="s">
        <v>47326</v>
      </c>
    </row>
    <row r="14605" spans="1:24">
      <c r="A14605">
        <f>HYPERLINK("https://www.philgeps.gov.ph/GEPSNONPILOT/Tender/SplashBidNoticeAbstractUI.aspx?menuIndex=3&amp;refID=7160508&amp;Result=3","7160508")</f>
        <v>0</v>
      </c>
      <c r="B14605" t="s">
        <v>2783</v>
      </c>
      <c r="C14605" t="s">
        <v>17678</v>
      </c>
      <c r="D14605" t="s">
        <v>19050</v>
      </c>
      <c r="E14605" t="s">
        <v>31435</v>
      </c>
      <c r="F14605" t="s">
        <v>32606</v>
      </c>
      <c r="G14605" t="s">
        <v>32613</v>
      </c>
      <c r="H14605" t="s">
        <v>32623</v>
      </c>
      <c r="I14605" t="s">
        <v>17648</v>
      </c>
      <c r="J14605" t="s">
        <v>41787</v>
      </c>
      <c r="K14605" t="s">
        <v>42683</v>
      </c>
      <c r="M14605" t="s">
        <v>45945</v>
      </c>
      <c r="N14605" t="s">
        <v>47304</v>
      </c>
      <c r="O14605" t="s">
        <v>47305</v>
      </c>
      <c r="P14605">
        <v>0</v>
      </c>
      <c r="Q14605">
        <v>1</v>
      </c>
      <c r="R14605" t="s">
        <v>47325</v>
      </c>
      <c r="S14605" t="s">
        <v>48215</v>
      </c>
      <c r="T14605" t="s">
        <v>49071</v>
      </c>
      <c r="U14605" t="s">
        <v>56853</v>
      </c>
      <c r="V14605" t="s">
        <v>64248</v>
      </c>
      <c r="W14605" t="s">
        <v>45945</v>
      </c>
      <c r="X14605" t="s">
        <v>47326</v>
      </c>
    </row>
    <row r="14606" spans="1:24">
      <c r="A14606">
        <f>HYPERLINK("https://www.philgeps.gov.ph/GEPSNONPILOT/Tender/SplashBidNoticeAbstractUI.aspx?menuIndex=3&amp;refID=7160482&amp;Result=3","7160482")</f>
        <v>0</v>
      </c>
      <c r="B14606" t="s">
        <v>185</v>
      </c>
      <c r="C14606" t="s">
        <v>17679</v>
      </c>
      <c r="D14606" t="s">
        <v>19025</v>
      </c>
      <c r="E14606" t="s">
        <v>31436</v>
      </c>
      <c r="F14606" t="s">
        <v>32606</v>
      </c>
      <c r="G14606" t="s">
        <v>32613</v>
      </c>
      <c r="H14606" t="s">
        <v>14201</v>
      </c>
      <c r="I14606" t="s">
        <v>32633</v>
      </c>
      <c r="J14606" t="s">
        <v>41788</v>
      </c>
      <c r="K14606" t="s">
        <v>42622</v>
      </c>
      <c r="M14606" t="s">
        <v>43350</v>
      </c>
      <c r="N14606" t="s">
        <v>47304</v>
      </c>
      <c r="O14606" t="s">
        <v>47305</v>
      </c>
      <c r="P14606">
        <v>0</v>
      </c>
      <c r="Q14606">
        <v>9</v>
      </c>
      <c r="R14606" t="s">
        <v>47325</v>
      </c>
      <c r="S14606" t="s">
        <v>48215</v>
      </c>
      <c r="T14606" t="s">
        <v>48996</v>
      </c>
      <c r="U14606" t="s">
        <v>61623</v>
      </c>
      <c r="V14606" t="s">
        <v>62747</v>
      </c>
      <c r="W14606" t="s">
        <v>64433</v>
      </c>
      <c r="X14606" t="s">
        <v>47326</v>
      </c>
    </row>
    <row r="14607" spans="1:24">
      <c r="A14607">
        <f>HYPERLINK("https://www.philgeps.gov.ph/GEPSNONPILOT/Tender/SplashBidNoticeAbstractUI.aspx?menuIndex=3&amp;refID=7160497&amp;Result=3","7160497")</f>
        <v>0</v>
      </c>
      <c r="B14607" t="s">
        <v>3790</v>
      </c>
      <c r="C14607" t="s">
        <v>17680</v>
      </c>
      <c r="D14607" t="s">
        <v>19042</v>
      </c>
      <c r="E14607" t="s">
        <v>31437</v>
      </c>
      <c r="F14607" t="s">
        <v>32606</v>
      </c>
      <c r="G14607" t="s">
        <v>32613</v>
      </c>
      <c r="H14607" t="s">
        <v>14201</v>
      </c>
      <c r="I14607" t="s">
        <v>4114</v>
      </c>
      <c r="J14607" t="s">
        <v>41789</v>
      </c>
      <c r="K14607" t="s">
        <v>42631</v>
      </c>
      <c r="M14607" t="s">
        <v>47131</v>
      </c>
      <c r="N14607" t="s">
        <v>47304</v>
      </c>
      <c r="O14607" t="s">
        <v>47305</v>
      </c>
      <c r="P14607">
        <v>0</v>
      </c>
      <c r="Q14607">
        <v>7</v>
      </c>
      <c r="R14607" t="s">
        <v>47325</v>
      </c>
      <c r="S14607" t="s">
        <v>48215</v>
      </c>
      <c r="T14607" t="s">
        <v>49071</v>
      </c>
      <c r="U14607" t="s">
        <v>61624</v>
      </c>
      <c r="W14607" t="s">
        <v>47131</v>
      </c>
      <c r="X14607" t="s">
        <v>47326</v>
      </c>
    </row>
    <row r="14608" spans="1:24">
      <c r="A14608">
        <f>HYPERLINK("https://www.philgeps.gov.ph/GEPSNONPILOT/Tender/SplashBidNoticeAbstractUI.aspx?menuIndex=3&amp;refID=7160444&amp;Result=3","7160444")</f>
        <v>0</v>
      </c>
      <c r="B14608" t="s">
        <v>1250</v>
      </c>
      <c r="C14608" t="s">
        <v>17681</v>
      </c>
      <c r="D14608" t="s">
        <v>19044</v>
      </c>
      <c r="E14608" t="s">
        <v>31438</v>
      </c>
      <c r="F14608" t="s">
        <v>32606</v>
      </c>
      <c r="G14608" t="s">
        <v>32613</v>
      </c>
      <c r="H14608" t="s">
        <v>14201</v>
      </c>
      <c r="I14608" t="s">
        <v>7577</v>
      </c>
      <c r="J14608" t="s">
        <v>41191</v>
      </c>
      <c r="K14608" t="s">
        <v>42630</v>
      </c>
      <c r="M14608" t="s">
        <v>46851</v>
      </c>
      <c r="N14608" t="s">
        <v>47304</v>
      </c>
      <c r="O14608" t="s">
        <v>47305</v>
      </c>
      <c r="P14608">
        <v>0</v>
      </c>
      <c r="Q14608">
        <v>6</v>
      </c>
      <c r="R14608" t="s">
        <v>47325</v>
      </c>
      <c r="S14608" t="s">
        <v>48215</v>
      </c>
      <c r="T14608" t="s">
        <v>49256</v>
      </c>
      <c r="U14608" t="s">
        <v>61625</v>
      </c>
      <c r="W14608" t="s">
        <v>46851</v>
      </c>
      <c r="X14608" t="s">
        <v>47326</v>
      </c>
    </row>
    <row r="14609" spans="1:24">
      <c r="A14609">
        <f>HYPERLINK("https://www.philgeps.gov.ph/GEPSNONPILOT/Tender/SplashBidNoticeAbstractUI.aspx?menuIndex=3&amp;refID=7160425&amp;Result=3","7160425")</f>
        <v>0</v>
      </c>
      <c r="B14609" t="s">
        <v>1250</v>
      </c>
      <c r="C14609" t="s">
        <v>17682</v>
      </c>
      <c r="D14609" t="s">
        <v>19044</v>
      </c>
      <c r="E14609" t="s">
        <v>31439</v>
      </c>
      <c r="F14609" t="s">
        <v>32606</v>
      </c>
      <c r="G14609" t="s">
        <v>32613</v>
      </c>
      <c r="H14609" t="s">
        <v>14201</v>
      </c>
      <c r="I14609" t="s">
        <v>6931</v>
      </c>
      <c r="J14609" t="s">
        <v>41790</v>
      </c>
      <c r="K14609" t="s">
        <v>42630</v>
      </c>
      <c r="M14609" t="s">
        <v>46851</v>
      </c>
      <c r="N14609" t="s">
        <v>47304</v>
      </c>
      <c r="O14609" t="s">
        <v>47305</v>
      </c>
      <c r="P14609">
        <v>0</v>
      </c>
      <c r="Q14609">
        <v>1</v>
      </c>
      <c r="R14609" t="s">
        <v>47325</v>
      </c>
      <c r="S14609" t="s">
        <v>48215</v>
      </c>
      <c r="T14609" t="s">
        <v>49256</v>
      </c>
      <c r="U14609" t="s">
        <v>61626</v>
      </c>
      <c r="W14609" t="s">
        <v>46851</v>
      </c>
      <c r="X14609" t="s">
        <v>47326</v>
      </c>
    </row>
    <row r="14610" spans="1:24">
      <c r="A14610">
        <f>HYPERLINK("https://www.philgeps.gov.ph/GEPSNONPILOT/Tender/SplashBidNoticeAbstractUI.aspx?menuIndex=3&amp;refID=7160419&amp;Result=3","7160419")</f>
        <v>0</v>
      </c>
      <c r="B14610" t="s">
        <v>2783</v>
      </c>
      <c r="C14610" t="s">
        <v>17683</v>
      </c>
      <c r="D14610" t="s">
        <v>19050</v>
      </c>
      <c r="E14610" t="s">
        <v>31440</v>
      </c>
      <c r="F14610" t="s">
        <v>32606</v>
      </c>
      <c r="G14610" t="s">
        <v>32613</v>
      </c>
      <c r="H14610" t="s">
        <v>32623</v>
      </c>
      <c r="I14610" t="s">
        <v>17648</v>
      </c>
      <c r="J14610" t="s">
        <v>41791</v>
      </c>
      <c r="K14610" t="s">
        <v>42631</v>
      </c>
      <c r="M14610" t="s">
        <v>45945</v>
      </c>
      <c r="N14610" t="s">
        <v>47304</v>
      </c>
      <c r="O14610" t="s">
        <v>47305</v>
      </c>
      <c r="P14610">
        <v>0</v>
      </c>
      <c r="Q14610">
        <v>0</v>
      </c>
      <c r="R14610" t="s">
        <v>47325</v>
      </c>
      <c r="S14610" t="s">
        <v>48215</v>
      </c>
      <c r="T14610" t="s">
        <v>49071</v>
      </c>
      <c r="U14610" t="s">
        <v>56853</v>
      </c>
      <c r="V14610" t="s">
        <v>64249</v>
      </c>
      <c r="W14610" t="s">
        <v>45945</v>
      </c>
      <c r="X14610" t="s">
        <v>47326</v>
      </c>
    </row>
    <row r="14611" spans="1:24">
      <c r="A14611">
        <f>HYPERLINK("https://www.philgeps.gov.ph/GEPSNONPILOT/Tender/SplashBidNoticeAbstractUI.aspx?menuIndex=3&amp;refID=7160582&amp;Result=3","7160582")</f>
        <v>0</v>
      </c>
      <c r="B14611" t="s">
        <v>955</v>
      </c>
      <c r="C14611" t="s">
        <v>17684</v>
      </c>
      <c r="D14611" t="s">
        <v>19068</v>
      </c>
      <c r="E14611" t="s">
        <v>21030</v>
      </c>
      <c r="F14611" t="s">
        <v>32606</v>
      </c>
      <c r="G14611" t="s">
        <v>32613</v>
      </c>
      <c r="H14611" t="s">
        <v>32623</v>
      </c>
      <c r="I14611" t="s">
        <v>17648</v>
      </c>
      <c r="J14611" t="s">
        <v>33529</v>
      </c>
      <c r="K14611" t="s">
        <v>42624</v>
      </c>
      <c r="M14611" t="s">
        <v>43898</v>
      </c>
      <c r="N14611" t="s">
        <v>47304</v>
      </c>
      <c r="O14611" t="s">
        <v>47305</v>
      </c>
      <c r="P14611">
        <v>0</v>
      </c>
      <c r="Q14611">
        <v>0</v>
      </c>
      <c r="R14611" t="s">
        <v>47325</v>
      </c>
      <c r="S14611" t="s">
        <v>48215</v>
      </c>
      <c r="T14611" t="s">
        <v>48998</v>
      </c>
      <c r="U14611" t="s">
        <v>61627</v>
      </c>
      <c r="V14611" t="s">
        <v>64250</v>
      </c>
      <c r="W14611" t="s">
        <v>43898</v>
      </c>
      <c r="X14611" t="s">
        <v>47326</v>
      </c>
    </row>
    <row r="14612" spans="1:24">
      <c r="A14612">
        <f>HYPERLINK("https://www.philgeps.gov.ph/GEPSNONPILOT/Tender/SplashBidNoticeAbstractUI.aspx?menuIndex=3&amp;refID=7160394&amp;Result=3","7160394")</f>
        <v>0</v>
      </c>
      <c r="B14612" t="s">
        <v>1250</v>
      </c>
      <c r="C14612" t="s">
        <v>17685</v>
      </c>
      <c r="D14612" t="s">
        <v>19044</v>
      </c>
      <c r="E14612" t="s">
        <v>31441</v>
      </c>
      <c r="F14612" t="s">
        <v>32606</v>
      </c>
      <c r="G14612" t="s">
        <v>32613</v>
      </c>
      <c r="H14612" t="s">
        <v>14201</v>
      </c>
      <c r="I14612" t="s">
        <v>6931</v>
      </c>
      <c r="J14612" t="s">
        <v>41792</v>
      </c>
      <c r="K14612" t="s">
        <v>42630</v>
      </c>
      <c r="M14612" t="s">
        <v>46851</v>
      </c>
      <c r="N14612" t="s">
        <v>47304</v>
      </c>
      <c r="O14612" t="s">
        <v>47305</v>
      </c>
      <c r="P14612">
        <v>0</v>
      </c>
      <c r="Q14612">
        <v>0</v>
      </c>
      <c r="R14612" t="s">
        <v>47325</v>
      </c>
      <c r="S14612" t="s">
        <v>48215</v>
      </c>
      <c r="T14612" t="s">
        <v>49256</v>
      </c>
      <c r="U14612" t="s">
        <v>61628</v>
      </c>
      <c r="W14612" t="s">
        <v>46851</v>
      </c>
      <c r="X14612" t="s">
        <v>47326</v>
      </c>
    </row>
    <row r="14613" spans="1:24">
      <c r="A14613">
        <f>HYPERLINK("https://www.philgeps.gov.ph/GEPSNONPILOT/Tender/SplashBidNoticeAbstractUI.aspx?menuIndex=3&amp;refID=7160438&amp;Result=3","7160438")</f>
        <v>0</v>
      </c>
      <c r="B14613" t="s">
        <v>3791</v>
      </c>
      <c r="C14613" t="s">
        <v>17686</v>
      </c>
      <c r="D14613" t="s">
        <v>18988</v>
      </c>
      <c r="E14613" t="s">
        <v>19327</v>
      </c>
      <c r="F14613" t="s">
        <v>32606</v>
      </c>
      <c r="G14613" t="s">
        <v>32613</v>
      </c>
      <c r="H14613" t="s">
        <v>32623</v>
      </c>
      <c r="I14613" t="s">
        <v>17648</v>
      </c>
      <c r="J14613" t="s">
        <v>41793</v>
      </c>
      <c r="K14613" t="s">
        <v>42648</v>
      </c>
      <c r="M14613" t="s">
        <v>47132</v>
      </c>
      <c r="N14613" t="s">
        <v>47304</v>
      </c>
      <c r="O14613" t="s">
        <v>47305</v>
      </c>
      <c r="P14613">
        <v>0</v>
      </c>
      <c r="Q14613">
        <v>5</v>
      </c>
      <c r="R14613" t="s">
        <v>47325</v>
      </c>
      <c r="S14613" t="s">
        <v>48215</v>
      </c>
      <c r="T14613" t="s">
        <v>49023</v>
      </c>
      <c r="U14613" t="s">
        <v>61629</v>
      </c>
      <c r="W14613" t="s">
        <v>47132</v>
      </c>
      <c r="X14613" t="s">
        <v>47326</v>
      </c>
    </row>
    <row r="14614" spans="1:24">
      <c r="A14614">
        <f>HYPERLINK("https://www.philgeps.gov.ph/GEPSNONPILOT/Tender/SplashBidNoticeAbstractUI.aspx?menuIndex=3&amp;refID=7160379&amp;Result=3","7160379")</f>
        <v>0</v>
      </c>
      <c r="B14614" t="s">
        <v>2226</v>
      </c>
      <c r="C14614" t="s">
        <v>17687</v>
      </c>
      <c r="D14614" t="s">
        <v>19058</v>
      </c>
      <c r="E14614" t="s">
        <v>31442</v>
      </c>
      <c r="F14614" t="s">
        <v>32606</v>
      </c>
      <c r="G14614" t="s">
        <v>32613</v>
      </c>
      <c r="H14614" t="s">
        <v>14201</v>
      </c>
      <c r="I14614" t="s">
        <v>32654</v>
      </c>
      <c r="J14614" t="s">
        <v>41794</v>
      </c>
      <c r="K14614" t="s">
        <v>42630</v>
      </c>
      <c r="M14614" t="s">
        <v>45330</v>
      </c>
      <c r="N14614" t="s">
        <v>47304</v>
      </c>
      <c r="O14614" t="s">
        <v>47305</v>
      </c>
      <c r="P14614">
        <v>0</v>
      </c>
      <c r="Q14614">
        <v>3</v>
      </c>
      <c r="R14614" t="s">
        <v>47325</v>
      </c>
      <c r="S14614" t="s">
        <v>48215</v>
      </c>
      <c r="T14614" t="s">
        <v>49268</v>
      </c>
      <c r="U14614" t="s">
        <v>51703</v>
      </c>
      <c r="W14614" t="s">
        <v>45330</v>
      </c>
      <c r="X14614" t="s">
        <v>47326</v>
      </c>
    </row>
    <row r="14615" spans="1:24">
      <c r="A14615">
        <f>HYPERLINK("https://www.philgeps.gov.ph/GEPSNONPILOT/Tender/SplashBidNoticeAbstractUI.aspx?menuIndex=3&amp;refID=7160448&amp;Result=3","7160448")</f>
        <v>0</v>
      </c>
      <c r="B14615" t="s">
        <v>2928</v>
      </c>
      <c r="C14615" t="s">
        <v>17688</v>
      </c>
      <c r="D14615" t="s">
        <v>19037</v>
      </c>
      <c r="E14615" t="s">
        <v>31443</v>
      </c>
      <c r="F14615" t="s">
        <v>32606</v>
      </c>
      <c r="G14615" t="s">
        <v>32613</v>
      </c>
      <c r="H14615" t="s">
        <v>14201</v>
      </c>
      <c r="I14615" t="s">
        <v>32673</v>
      </c>
      <c r="J14615" t="s">
        <v>41795</v>
      </c>
      <c r="K14615" t="s">
        <v>42622</v>
      </c>
      <c r="M14615" t="s">
        <v>46107</v>
      </c>
      <c r="N14615" t="s">
        <v>47304</v>
      </c>
      <c r="O14615" t="s">
        <v>47305</v>
      </c>
      <c r="P14615">
        <v>0</v>
      </c>
      <c r="Q14615">
        <v>5</v>
      </c>
      <c r="R14615" t="s">
        <v>47325</v>
      </c>
      <c r="S14615" t="s">
        <v>48215</v>
      </c>
      <c r="T14615" t="s">
        <v>48998</v>
      </c>
      <c r="U14615" t="s">
        <v>61630</v>
      </c>
      <c r="V14615" t="s">
        <v>64251</v>
      </c>
      <c r="W14615" t="s">
        <v>46107</v>
      </c>
      <c r="X14615" t="s">
        <v>47326</v>
      </c>
    </row>
    <row r="14616" spans="1:24">
      <c r="A14616">
        <f>HYPERLINK("https://www.philgeps.gov.ph/GEPSNONPILOT/Tender/SplashBidNoticeAbstractUI.aspx?menuIndex=3&amp;refID=7160376&amp;Result=3","7160376")</f>
        <v>0</v>
      </c>
      <c r="B14616" t="s">
        <v>795</v>
      </c>
      <c r="C14616" t="s">
        <v>17689</v>
      </c>
      <c r="D14616" t="s">
        <v>19039</v>
      </c>
      <c r="E14616" t="s">
        <v>31444</v>
      </c>
      <c r="F14616" t="s">
        <v>32606</v>
      </c>
      <c r="G14616" t="s">
        <v>32613</v>
      </c>
      <c r="H14616" t="s">
        <v>32623</v>
      </c>
      <c r="I14616" t="s">
        <v>17648</v>
      </c>
      <c r="J14616" t="s">
        <v>41796</v>
      </c>
      <c r="K14616" t="s">
        <v>42805</v>
      </c>
      <c r="M14616" t="s">
        <v>47133</v>
      </c>
      <c r="N14616" t="s">
        <v>47304</v>
      </c>
      <c r="O14616" t="s">
        <v>47305</v>
      </c>
      <c r="P14616">
        <v>0</v>
      </c>
      <c r="Q14616">
        <v>5</v>
      </c>
      <c r="R14616" t="s">
        <v>47325</v>
      </c>
      <c r="S14616" t="s">
        <v>48215</v>
      </c>
      <c r="T14616" t="s">
        <v>49268</v>
      </c>
      <c r="U14616" t="s">
        <v>61631</v>
      </c>
      <c r="W14616" t="s">
        <v>47133</v>
      </c>
      <c r="X14616" t="s">
        <v>47326</v>
      </c>
    </row>
    <row r="14617" spans="1:24">
      <c r="A14617">
        <f>HYPERLINK("https://www.philgeps.gov.ph/GEPSNONPILOT/Tender/SplashBidNoticeAbstractUI.aspx?menuIndex=3&amp;refID=7160516&amp;Result=3","7160516")</f>
        <v>0</v>
      </c>
      <c r="B14617" t="s">
        <v>955</v>
      </c>
      <c r="C14617" t="s">
        <v>17690</v>
      </c>
      <c r="D14617" t="s">
        <v>19068</v>
      </c>
      <c r="E14617" t="s">
        <v>21030</v>
      </c>
      <c r="F14617" t="s">
        <v>32606</v>
      </c>
      <c r="G14617" t="s">
        <v>32613</v>
      </c>
      <c r="H14617" t="s">
        <v>32623</v>
      </c>
      <c r="I14617" t="s">
        <v>17648</v>
      </c>
      <c r="J14617" t="s">
        <v>36728</v>
      </c>
      <c r="K14617" t="s">
        <v>42624</v>
      </c>
      <c r="M14617" t="s">
        <v>43898</v>
      </c>
      <c r="N14617" t="s">
        <v>47304</v>
      </c>
      <c r="O14617" t="s">
        <v>47305</v>
      </c>
      <c r="P14617">
        <v>0</v>
      </c>
      <c r="Q14617">
        <v>0</v>
      </c>
      <c r="R14617" t="s">
        <v>47325</v>
      </c>
      <c r="S14617" t="s">
        <v>48215</v>
      </c>
      <c r="T14617" t="s">
        <v>48998</v>
      </c>
      <c r="U14617" t="s">
        <v>61632</v>
      </c>
      <c r="V14617" t="s">
        <v>64250</v>
      </c>
      <c r="W14617" t="s">
        <v>43898</v>
      </c>
      <c r="X14617" t="s">
        <v>47326</v>
      </c>
    </row>
    <row r="14618" spans="1:24">
      <c r="A14618">
        <f>HYPERLINK("https://www.philgeps.gov.ph/GEPSNONPILOT/Tender/SplashBidNoticeAbstractUI.aspx?menuIndex=3&amp;refID=7160385&amp;Result=3","7160385")</f>
        <v>0</v>
      </c>
      <c r="B14618" t="s">
        <v>575</v>
      </c>
      <c r="C14618" t="s">
        <v>17691</v>
      </c>
      <c r="D14618" t="s">
        <v>19036</v>
      </c>
      <c r="E14618" t="s">
        <v>31445</v>
      </c>
      <c r="F14618" t="s">
        <v>32606</v>
      </c>
      <c r="G14618" t="s">
        <v>32613</v>
      </c>
      <c r="H14618" t="s">
        <v>32623</v>
      </c>
      <c r="I14618" t="s">
        <v>17648</v>
      </c>
      <c r="J14618" t="s">
        <v>41797</v>
      </c>
      <c r="K14618" t="s">
        <v>42655</v>
      </c>
      <c r="M14618" t="s">
        <v>47123</v>
      </c>
      <c r="N14618" t="s">
        <v>47304</v>
      </c>
      <c r="O14618" t="s">
        <v>47305</v>
      </c>
      <c r="P14618">
        <v>0</v>
      </c>
      <c r="Q14618">
        <v>1</v>
      </c>
      <c r="R14618" t="s">
        <v>47325</v>
      </c>
      <c r="S14618" t="s">
        <v>48215</v>
      </c>
      <c r="T14618" t="s">
        <v>49339</v>
      </c>
      <c r="U14618" t="s">
        <v>61633</v>
      </c>
      <c r="V14618" t="s">
        <v>64235</v>
      </c>
      <c r="W14618" t="s">
        <v>47123</v>
      </c>
      <c r="X14618" t="s">
        <v>47326</v>
      </c>
    </row>
    <row r="14619" spans="1:24">
      <c r="A14619">
        <f>HYPERLINK("https://www.philgeps.gov.ph/GEPSNONPILOT/Tender/SplashBidNoticeAbstractUI.aspx?menuIndex=3&amp;refID=7160395&amp;Result=3","7160395")</f>
        <v>0</v>
      </c>
      <c r="B14619" t="s">
        <v>1331</v>
      </c>
      <c r="C14619" t="s">
        <v>17692</v>
      </c>
      <c r="D14619" t="s">
        <v>18999</v>
      </c>
      <c r="E14619" t="s">
        <v>31446</v>
      </c>
      <c r="F14619" t="s">
        <v>32606</v>
      </c>
      <c r="G14619" t="s">
        <v>32613</v>
      </c>
      <c r="H14619" t="s">
        <v>32623</v>
      </c>
      <c r="I14619" t="s">
        <v>17648</v>
      </c>
      <c r="J14619" t="s">
        <v>41798</v>
      </c>
      <c r="K14619" t="s">
        <v>42742</v>
      </c>
      <c r="M14619" t="s">
        <v>44399</v>
      </c>
      <c r="N14619" t="s">
        <v>47304</v>
      </c>
      <c r="O14619" t="s">
        <v>47305</v>
      </c>
      <c r="Q14619">
        <v>15</v>
      </c>
      <c r="R14619" t="s">
        <v>47325</v>
      </c>
      <c r="S14619" t="s">
        <v>48212</v>
      </c>
      <c r="T14619" t="s">
        <v>48998</v>
      </c>
      <c r="U14619" t="s">
        <v>61634</v>
      </c>
      <c r="W14619" t="s">
        <v>64472</v>
      </c>
      <c r="X14619" t="s">
        <v>47326</v>
      </c>
    </row>
    <row r="14620" spans="1:24">
      <c r="A14620">
        <f>HYPERLINK("https://www.philgeps.gov.ph/GEPSNONPILOT/Tender/SplashBidNoticeAbstractUI.aspx?menuIndex=3&amp;refID=7160584&amp;Result=3","7160584")</f>
        <v>0</v>
      </c>
      <c r="B14620" t="s">
        <v>3787</v>
      </c>
      <c r="C14620" t="s">
        <v>17693</v>
      </c>
      <c r="D14620" t="s">
        <v>19058</v>
      </c>
      <c r="E14620" t="s">
        <v>31447</v>
      </c>
      <c r="F14620" t="s">
        <v>32606</v>
      </c>
      <c r="G14620" t="s">
        <v>32613</v>
      </c>
      <c r="H14620" t="s">
        <v>14201</v>
      </c>
      <c r="I14620" t="s">
        <v>32634</v>
      </c>
      <c r="J14620" t="s">
        <v>41799</v>
      </c>
      <c r="K14620" t="s">
        <v>42622</v>
      </c>
      <c r="M14620" t="s">
        <v>47128</v>
      </c>
      <c r="N14620" t="s">
        <v>47304</v>
      </c>
      <c r="O14620" t="s">
        <v>47305</v>
      </c>
      <c r="P14620">
        <v>0</v>
      </c>
      <c r="Q14620">
        <v>6</v>
      </c>
      <c r="R14620" t="s">
        <v>47325</v>
      </c>
      <c r="S14620" t="s">
        <v>48215</v>
      </c>
      <c r="T14620" t="s">
        <v>49071</v>
      </c>
      <c r="U14620" t="s">
        <v>61612</v>
      </c>
      <c r="W14620" t="s">
        <v>47128</v>
      </c>
      <c r="X14620" t="s">
        <v>47326</v>
      </c>
    </row>
    <row r="14621" spans="1:24">
      <c r="A14621">
        <f>HYPERLINK("https://www.philgeps.gov.ph/GEPSNONPILOT/Tender/SplashBidNoticeAbstractUI.aspx?menuIndex=3&amp;refID=7160373&amp;Result=3","7160373")</f>
        <v>0</v>
      </c>
      <c r="B14621" t="s">
        <v>3401</v>
      </c>
      <c r="C14621" t="s">
        <v>17694</v>
      </c>
      <c r="D14621" t="s">
        <v>19058</v>
      </c>
      <c r="E14621" t="s">
        <v>31448</v>
      </c>
      <c r="F14621" t="s">
        <v>32606</v>
      </c>
      <c r="G14621" t="s">
        <v>32613</v>
      </c>
      <c r="H14621" t="s">
        <v>14201</v>
      </c>
      <c r="I14621" t="s">
        <v>32640</v>
      </c>
      <c r="J14621" t="s">
        <v>41800</v>
      </c>
      <c r="K14621" t="s">
        <v>42631</v>
      </c>
      <c r="M14621" t="s">
        <v>46655</v>
      </c>
      <c r="N14621" t="s">
        <v>47304</v>
      </c>
      <c r="O14621" t="s">
        <v>47305</v>
      </c>
      <c r="P14621">
        <v>0</v>
      </c>
      <c r="Q14621">
        <v>11</v>
      </c>
      <c r="R14621" t="s">
        <v>47325</v>
      </c>
      <c r="S14621" t="s">
        <v>48215</v>
      </c>
      <c r="T14621" t="s">
        <v>49068</v>
      </c>
      <c r="U14621" t="s">
        <v>61635</v>
      </c>
      <c r="V14621" t="s">
        <v>63929</v>
      </c>
      <c r="W14621" t="s">
        <v>46655</v>
      </c>
      <c r="X14621" t="s">
        <v>47326</v>
      </c>
    </row>
    <row r="14622" spans="1:24">
      <c r="A14622">
        <f>HYPERLINK("https://www.philgeps.gov.ph/GEPSNONPILOT/Tender/SplashBidNoticeAbstractUI.aspx?menuIndex=3&amp;refID=7160342&amp;Result=3","7160342")</f>
        <v>0</v>
      </c>
      <c r="B14622" t="s">
        <v>2115</v>
      </c>
      <c r="C14622" t="s">
        <v>17695</v>
      </c>
      <c r="D14622" t="s">
        <v>19008</v>
      </c>
      <c r="E14622" t="s">
        <v>17695</v>
      </c>
      <c r="F14622" t="s">
        <v>32606</v>
      </c>
      <c r="G14622" t="s">
        <v>32613</v>
      </c>
      <c r="H14622" t="s">
        <v>14201</v>
      </c>
      <c r="I14622" t="s">
        <v>4678</v>
      </c>
      <c r="J14622" t="s">
        <v>41801</v>
      </c>
      <c r="K14622" t="s">
        <v>42638</v>
      </c>
      <c r="M14622" t="s">
        <v>45202</v>
      </c>
      <c r="N14622" t="s">
        <v>47304</v>
      </c>
      <c r="O14622" t="s">
        <v>47305</v>
      </c>
      <c r="Q14622">
        <v>0</v>
      </c>
      <c r="R14622" t="s">
        <v>47325</v>
      </c>
      <c r="S14622" t="s">
        <v>48301</v>
      </c>
      <c r="T14622" t="s">
        <v>49004</v>
      </c>
      <c r="U14622" t="s">
        <v>61636</v>
      </c>
      <c r="W14622" t="s">
        <v>45202</v>
      </c>
      <c r="X14622" t="s">
        <v>47326</v>
      </c>
    </row>
    <row r="14623" spans="1:24">
      <c r="A14623">
        <f>HYPERLINK("https://www.philgeps.gov.ph/GEPSNONPILOT/Tender/SplashBidNoticeAbstractUI.aspx?menuIndex=3&amp;refID=7160639&amp;Result=3","7160639")</f>
        <v>0</v>
      </c>
      <c r="B14623" t="s">
        <v>3787</v>
      </c>
      <c r="C14623" t="s">
        <v>17696</v>
      </c>
      <c r="D14623" t="s">
        <v>19058</v>
      </c>
      <c r="E14623" t="s">
        <v>31449</v>
      </c>
      <c r="F14623" t="s">
        <v>32606</v>
      </c>
      <c r="G14623" t="s">
        <v>32613</v>
      </c>
      <c r="H14623" t="s">
        <v>14201</v>
      </c>
      <c r="I14623" t="s">
        <v>32656</v>
      </c>
      <c r="J14623" t="s">
        <v>41802</v>
      </c>
      <c r="K14623" t="s">
        <v>42622</v>
      </c>
      <c r="M14623" t="s">
        <v>47128</v>
      </c>
      <c r="N14623" t="s">
        <v>47304</v>
      </c>
      <c r="O14623" t="s">
        <v>47305</v>
      </c>
      <c r="P14623">
        <v>0</v>
      </c>
      <c r="Q14623">
        <v>15</v>
      </c>
      <c r="R14623" t="s">
        <v>47325</v>
      </c>
      <c r="S14623" t="s">
        <v>48215</v>
      </c>
      <c r="T14623" t="s">
        <v>49071</v>
      </c>
      <c r="U14623" t="s">
        <v>61612</v>
      </c>
      <c r="W14623" t="s">
        <v>47128</v>
      </c>
      <c r="X14623" t="s">
        <v>47326</v>
      </c>
    </row>
    <row r="14624" spans="1:24">
      <c r="A14624">
        <f>HYPERLINK("https://www.philgeps.gov.ph/GEPSNONPILOT/Tender/SplashBidNoticeAbstractUI.aspx?menuIndex=3&amp;refID=7160663&amp;Result=3","7160663")</f>
        <v>0</v>
      </c>
      <c r="B14624" t="s">
        <v>1353</v>
      </c>
      <c r="C14624" t="s">
        <v>17697</v>
      </c>
      <c r="D14624" t="s">
        <v>19041</v>
      </c>
      <c r="E14624" t="s">
        <v>31450</v>
      </c>
      <c r="F14624" t="s">
        <v>32606</v>
      </c>
      <c r="G14624" t="s">
        <v>32613</v>
      </c>
      <c r="H14624" t="s">
        <v>32623</v>
      </c>
      <c r="I14624" t="s">
        <v>17648</v>
      </c>
      <c r="J14624" t="s">
        <v>41803</v>
      </c>
      <c r="K14624" t="s">
        <v>42645</v>
      </c>
      <c r="M14624" t="s">
        <v>46926</v>
      </c>
      <c r="N14624" t="s">
        <v>47304</v>
      </c>
      <c r="O14624" t="s">
        <v>47305</v>
      </c>
      <c r="P14624">
        <v>0</v>
      </c>
      <c r="Q14624">
        <v>1</v>
      </c>
      <c r="R14624" t="s">
        <v>47325</v>
      </c>
      <c r="S14624" t="s">
        <v>48215</v>
      </c>
      <c r="T14624" t="s">
        <v>49263</v>
      </c>
      <c r="U14624" t="s">
        <v>61637</v>
      </c>
      <c r="W14624" t="s">
        <v>46926</v>
      </c>
      <c r="X14624" t="s">
        <v>47326</v>
      </c>
    </row>
    <row r="14625" spans="1:24">
      <c r="A14625">
        <f>HYPERLINK("https://www.philgeps.gov.ph/GEPSNONPILOT/Tender/SplashBidNoticeAbstractUI.aspx?menuIndex=3&amp;refID=7160633&amp;Result=3","7160633")</f>
        <v>0</v>
      </c>
      <c r="B14625" t="s">
        <v>3751</v>
      </c>
      <c r="C14625" t="s">
        <v>17698</v>
      </c>
      <c r="D14625" t="s">
        <v>19046</v>
      </c>
      <c r="E14625" t="s">
        <v>31451</v>
      </c>
      <c r="F14625" t="s">
        <v>32606</v>
      </c>
      <c r="G14625" t="s">
        <v>32615</v>
      </c>
      <c r="H14625" t="s">
        <v>14201</v>
      </c>
      <c r="I14625" t="s">
        <v>13131</v>
      </c>
      <c r="J14625" t="s">
        <v>32957</v>
      </c>
      <c r="K14625" t="s">
        <v>42631</v>
      </c>
      <c r="M14625" t="s">
        <v>47082</v>
      </c>
      <c r="N14625" t="s">
        <v>47304</v>
      </c>
      <c r="O14625" t="s">
        <v>47305</v>
      </c>
      <c r="P14625">
        <v>0</v>
      </c>
      <c r="Q14625">
        <v>2</v>
      </c>
      <c r="R14625" t="s">
        <v>47325</v>
      </c>
      <c r="S14625" t="s">
        <v>48215</v>
      </c>
      <c r="T14625" t="s">
        <v>49053</v>
      </c>
      <c r="U14625" t="s">
        <v>61638</v>
      </c>
      <c r="V14625" t="s">
        <v>64252</v>
      </c>
      <c r="W14625" t="s">
        <v>47082</v>
      </c>
      <c r="X14625" t="s">
        <v>47326</v>
      </c>
    </row>
    <row r="14626" spans="1:24">
      <c r="A14626">
        <f>HYPERLINK("https://www.philgeps.gov.ph/GEPSNONPILOT/Tender/SplashBidNoticeAbstractUI.aspx?menuIndex=3&amp;refID=7160627&amp;Result=3","7160627")</f>
        <v>0</v>
      </c>
      <c r="B14626" t="s">
        <v>185</v>
      </c>
      <c r="C14626" t="s">
        <v>17699</v>
      </c>
      <c r="D14626" t="s">
        <v>19025</v>
      </c>
      <c r="E14626" t="s">
        <v>31452</v>
      </c>
      <c r="F14626" t="s">
        <v>32606</v>
      </c>
      <c r="G14626" t="s">
        <v>32613</v>
      </c>
      <c r="H14626" t="s">
        <v>14201</v>
      </c>
      <c r="I14626" t="s">
        <v>7677</v>
      </c>
      <c r="J14626" t="s">
        <v>41804</v>
      </c>
      <c r="K14626" t="s">
        <v>42622</v>
      </c>
      <c r="M14626" t="s">
        <v>43350</v>
      </c>
      <c r="N14626" t="s">
        <v>47304</v>
      </c>
      <c r="O14626" t="s">
        <v>47305</v>
      </c>
      <c r="P14626">
        <v>0</v>
      </c>
      <c r="Q14626">
        <v>4</v>
      </c>
      <c r="R14626" t="s">
        <v>47325</v>
      </c>
      <c r="S14626" t="s">
        <v>48215</v>
      </c>
      <c r="T14626" t="s">
        <v>48996</v>
      </c>
      <c r="U14626" t="s">
        <v>61623</v>
      </c>
      <c r="V14626" t="s">
        <v>62747</v>
      </c>
      <c r="W14626" t="s">
        <v>64433</v>
      </c>
      <c r="X14626" t="s">
        <v>47326</v>
      </c>
    </row>
    <row r="14627" spans="1:24">
      <c r="A14627">
        <f>HYPERLINK("https://www.philgeps.gov.ph/GEPSNONPILOT/Tender/SplashBidNoticeAbstractUI.aspx?menuIndex=3&amp;refID=7160618&amp;Result=3","7160618")</f>
        <v>0</v>
      </c>
      <c r="B14627" t="s">
        <v>3787</v>
      </c>
      <c r="C14627" t="s">
        <v>17700</v>
      </c>
      <c r="D14627" t="s">
        <v>19058</v>
      </c>
      <c r="E14627" t="s">
        <v>31453</v>
      </c>
      <c r="F14627" t="s">
        <v>32606</v>
      </c>
      <c r="G14627" t="s">
        <v>32613</v>
      </c>
      <c r="H14627" t="s">
        <v>14201</v>
      </c>
      <c r="I14627" t="s">
        <v>32652</v>
      </c>
      <c r="J14627" t="s">
        <v>41805</v>
      </c>
      <c r="K14627" t="s">
        <v>42714</v>
      </c>
      <c r="M14627" t="s">
        <v>47128</v>
      </c>
      <c r="N14627" t="s">
        <v>47304</v>
      </c>
      <c r="O14627" t="s">
        <v>47305</v>
      </c>
      <c r="P14627">
        <v>0</v>
      </c>
      <c r="Q14627">
        <v>0</v>
      </c>
      <c r="R14627" t="s">
        <v>47325</v>
      </c>
      <c r="S14627" t="s">
        <v>48215</v>
      </c>
      <c r="T14627" t="s">
        <v>49071</v>
      </c>
      <c r="U14627" t="s">
        <v>61612</v>
      </c>
      <c r="W14627" t="s">
        <v>47128</v>
      </c>
      <c r="X14627" t="s">
        <v>47326</v>
      </c>
    </row>
    <row r="14628" spans="1:24">
      <c r="A14628">
        <f>HYPERLINK("https://www.philgeps.gov.ph/GEPSNONPILOT/Tender/SplashBidNoticeAbstractUI.aspx?menuIndex=3&amp;refID=7160681&amp;Result=3","7160681")</f>
        <v>0</v>
      </c>
      <c r="B14628" t="s">
        <v>1435</v>
      </c>
      <c r="C14628" t="s">
        <v>17701</v>
      </c>
      <c r="D14628" t="s">
        <v>19025</v>
      </c>
      <c r="E14628" t="s">
        <v>29365</v>
      </c>
      <c r="F14628" t="s">
        <v>32606</v>
      </c>
      <c r="G14628" t="s">
        <v>32613</v>
      </c>
      <c r="H14628" t="s">
        <v>14201</v>
      </c>
      <c r="I14628" t="s">
        <v>7577</v>
      </c>
      <c r="J14628" t="s">
        <v>32861</v>
      </c>
      <c r="K14628" t="s">
        <v>42624</v>
      </c>
      <c r="M14628" t="s">
        <v>44913</v>
      </c>
      <c r="N14628" t="s">
        <v>47304</v>
      </c>
      <c r="O14628" t="s">
        <v>47305</v>
      </c>
      <c r="P14628">
        <v>0</v>
      </c>
      <c r="Q14628">
        <v>16</v>
      </c>
      <c r="R14628" t="s">
        <v>47325</v>
      </c>
      <c r="S14628" t="s">
        <v>48215</v>
      </c>
      <c r="T14628" t="s">
        <v>49068</v>
      </c>
      <c r="U14628" t="s">
        <v>61639</v>
      </c>
      <c r="W14628" t="s">
        <v>44913</v>
      </c>
      <c r="X14628" t="s">
        <v>47326</v>
      </c>
    </row>
    <row r="14629" spans="1:24">
      <c r="A14629">
        <f>HYPERLINK("https://www.philgeps.gov.ph/GEPSNONPILOT/Tender/SplashBidNoticeAbstractUI.aspx?menuIndex=3&amp;refID=7160642&amp;Result=3","7160642")</f>
        <v>0</v>
      </c>
      <c r="B14629" t="s">
        <v>3784</v>
      </c>
      <c r="C14629" t="s">
        <v>17702</v>
      </c>
      <c r="D14629" t="s">
        <v>19008</v>
      </c>
      <c r="E14629" t="s">
        <v>31454</v>
      </c>
      <c r="F14629" t="s">
        <v>32606</v>
      </c>
      <c r="G14629" t="s">
        <v>32613</v>
      </c>
      <c r="H14629" t="s">
        <v>14201</v>
      </c>
      <c r="I14629" t="s">
        <v>7677</v>
      </c>
      <c r="J14629" t="s">
        <v>41806</v>
      </c>
      <c r="K14629" t="s">
        <v>42622</v>
      </c>
      <c r="M14629" t="s">
        <v>47121</v>
      </c>
      <c r="N14629" t="s">
        <v>47304</v>
      </c>
      <c r="O14629" t="s">
        <v>47305</v>
      </c>
      <c r="P14629">
        <v>0</v>
      </c>
      <c r="Q14629">
        <v>8</v>
      </c>
      <c r="R14629" t="s">
        <v>47325</v>
      </c>
      <c r="S14629" t="s">
        <v>48215</v>
      </c>
      <c r="T14629" t="s">
        <v>49165</v>
      </c>
      <c r="U14629" t="s">
        <v>61640</v>
      </c>
      <c r="V14629" t="s">
        <v>64253</v>
      </c>
      <c r="W14629" t="s">
        <v>47121</v>
      </c>
      <c r="X14629" t="s">
        <v>47326</v>
      </c>
    </row>
    <row r="14630" spans="1:24">
      <c r="A14630">
        <f>HYPERLINK("https://www.philgeps.gov.ph/GEPSNONPILOT/Tender/SplashBidNoticeAbstractUI.aspx?menuIndex=3&amp;refID=7160599&amp;Result=3","7160599")</f>
        <v>0</v>
      </c>
      <c r="B14630" t="s">
        <v>185</v>
      </c>
      <c r="C14630" t="s">
        <v>17703</v>
      </c>
      <c r="D14630" t="s">
        <v>19025</v>
      </c>
      <c r="E14630" t="s">
        <v>31455</v>
      </c>
      <c r="F14630" t="s">
        <v>32606</v>
      </c>
      <c r="G14630" t="s">
        <v>32613</v>
      </c>
      <c r="H14630" t="s">
        <v>14201</v>
      </c>
      <c r="I14630" t="s">
        <v>7064</v>
      </c>
      <c r="J14630" t="s">
        <v>41807</v>
      </c>
      <c r="K14630" t="s">
        <v>42622</v>
      </c>
      <c r="M14630" t="s">
        <v>43350</v>
      </c>
      <c r="N14630" t="s">
        <v>47304</v>
      </c>
      <c r="O14630" t="s">
        <v>47305</v>
      </c>
      <c r="P14630">
        <v>0</v>
      </c>
      <c r="Q14630">
        <v>1</v>
      </c>
      <c r="R14630" t="s">
        <v>47325</v>
      </c>
      <c r="S14630" t="s">
        <v>48215</v>
      </c>
      <c r="T14630" t="s">
        <v>48996</v>
      </c>
      <c r="U14630" t="s">
        <v>61623</v>
      </c>
      <c r="V14630" t="s">
        <v>62747</v>
      </c>
      <c r="W14630" t="s">
        <v>64433</v>
      </c>
      <c r="X14630" t="s">
        <v>47326</v>
      </c>
    </row>
    <row r="14631" spans="1:24">
      <c r="A14631">
        <f>HYPERLINK("https://www.philgeps.gov.ph/GEPSNONPILOT/Tender/SplashBidNoticeAbstractUI.aspx?menuIndex=3&amp;refID=7160611&amp;Result=3","7160611")</f>
        <v>0</v>
      </c>
      <c r="B14631" t="s">
        <v>737</v>
      </c>
      <c r="C14631" t="s">
        <v>17704</v>
      </c>
      <c r="D14631" t="s">
        <v>18993</v>
      </c>
      <c r="E14631" t="s">
        <v>31456</v>
      </c>
      <c r="F14631" t="s">
        <v>32606</v>
      </c>
      <c r="G14631" t="s">
        <v>32613</v>
      </c>
      <c r="H14631" t="s">
        <v>14201</v>
      </c>
      <c r="I14631" t="s">
        <v>4678</v>
      </c>
      <c r="J14631" t="s">
        <v>41808</v>
      </c>
      <c r="K14631" t="s">
        <v>42639</v>
      </c>
      <c r="M14631" t="s">
        <v>43659</v>
      </c>
      <c r="N14631" t="s">
        <v>47304</v>
      </c>
      <c r="O14631" t="s">
        <v>47305</v>
      </c>
      <c r="P14631">
        <v>0</v>
      </c>
      <c r="Q14631">
        <v>10</v>
      </c>
      <c r="R14631" t="s">
        <v>47325</v>
      </c>
      <c r="S14631" t="s">
        <v>48215</v>
      </c>
      <c r="T14631" t="s">
        <v>49311</v>
      </c>
      <c r="U14631" t="s">
        <v>61641</v>
      </c>
      <c r="W14631" t="s">
        <v>43659</v>
      </c>
      <c r="X14631" t="s">
        <v>47326</v>
      </c>
    </row>
    <row r="14632" spans="1:24">
      <c r="A14632">
        <f>HYPERLINK("https://www.philgeps.gov.ph/GEPSNONPILOT/Tender/SplashBidNoticeAbstractUI.aspx?menuIndex=3&amp;refID=7160617&amp;Result=3","7160617")</f>
        <v>0</v>
      </c>
      <c r="B14632" t="s">
        <v>793</v>
      </c>
      <c r="C14632" t="s">
        <v>17705</v>
      </c>
      <c r="D14632" t="s">
        <v>19014</v>
      </c>
      <c r="E14632" t="s">
        <v>19933</v>
      </c>
      <c r="F14632" t="s">
        <v>32606</v>
      </c>
      <c r="G14632" t="s">
        <v>32613</v>
      </c>
      <c r="H14632" t="s">
        <v>14201</v>
      </c>
      <c r="I14632" t="s">
        <v>32640</v>
      </c>
      <c r="J14632" t="s">
        <v>32769</v>
      </c>
      <c r="K14632" t="s">
        <v>42791</v>
      </c>
      <c r="M14632" t="s">
        <v>43724</v>
      </c>
      <c r="N14632" t="s">
        <v>47304</v>
      </c>
      <c r="O14632" t="s">
        <v>47305</v>
      </c>
      <c r="Q14632">
        <v>10</v>
      </c>
      <c r="R14632" t="s">
        <v>47325</v>
      </c>
      <c r="S14632" t="s">
        <v>48302</v>
      </c>
      <c r="T14632" t="s">
        <v>49053</v>
      </c>
      <c r="U14632" t="s">
        <v>61642</v>
      </c>
      <c r="W14632" t="s">
        <v>43724</v>
      </c>
      <c r="X14632" t="s">
        <v>47326</v>
      </c>
    </row>
    <row r="14633" spans="1:24">
      <c r="A14633">
        <f>HYPERLINK("https://www.philgeps.gov.ph/GEPSNONPILOT/Tender/SplashBidNoticeAbstractUI.aspx?menuIndex=3&amp;refID=7160698&amp;Result=3","7160698")</f>
        <v>0</v>
      </c>
      <c r="B14633" t="s">
        <v>1353</v>
      </c>
      <c r="C14633" t="s">
        <v>17706</v>
      </c>
      <c r="D14633" t="s">
        <v>19041</v>
      </c>
      <c r="E14633" t="s">
        <v>31457</v>
      </c>
      <c r="F14633" t="s">
        <v>32606</v>
      </c>
      <c r="G14633" t="s">
        <v>32613</v>
      </c>
      <c r="H14633" t="s">
        <v>32623</v>
      </c>
      <c r="I14633" t="s">
        <v>17648</v>
      </c>
      <c r="J14633" t="s">
        <v>35904</v>
      </c>
      <c r="K14633" t="s">
        <v>42645</v>
      </c>
      <c r="M14633" t="s">
        <v>46926</v>
      </c>
      <c r="N14633" t="s">
        <v>47304</v>
      </c>
      <c r="O14633" t="s">
        <v>47305</v>
      </c>
      <c r="P14633">
        <v>0</v>
      </c>
      <c r="Q14633">
        <v>0</v>
      </c>
      <c r="R14633" t="s">
        <v>47325</v>
      </c>
      <c r="S14633" t="s">
        <v>48215</v>
      </c>
      <c r="T14633" t="s">
        <v>49263</v>
      </c>
      <c r="U14633" t="s">
        <v>61643</v>
      </c>
      <c r="W14633" t="s">
        <v>46926</v>
      </c>
      <c r="X14633" t="s">
        <v>47326</v>
      </c>
    </row>
    <row r="14634" spans="1:24">
      <c r="A14634">
        <f>HYPERLINK("https://www.philgeps.gov.ph/GEPSNONPILOT/Tender/SplashBidNoticeAbstractUI.aspx?menuIndex=3&amp;refID=7160708&amp;Result=3","7160708")</f>
        <v>0</v>
      </c>
      <c r="B14634" t="s">
        <v>3792</v>
      </c>
      <c r="C14634" t="s">
        <v>17707</v>
      </c>
      <c r="D14634" t="s">
        <v>18987</v>
      </c>
      <c r="E14634" t="s">
        <v>31458</v>
      </c>
      <c r="F14634" t="s">
        <v>32606</v>
      </c>
      <c r="G14634" t="s">
        <v>32613</v>
      </c>
      <c r="H14634" t="s">
        <v>14201</v>
      </c>
      <c r="I14634" t="s">
        <v>4114</v>
      </c>
      <c r="J14634" t="s">
        <v>41809</v>
      </c>
      <c r="K14634" t="s">
        <v>42622</v>
      </c>
      <c r="M14634" t="s">
        <v>47134</v>
      </c>
      <c r="N14634" t="s">
        <v>47304</v>
      </c>
      <c r="O14634" t="s">
        <v>47305</v>
      </c>
      <c r="P14634">
        <v>0</v>
      </c>
      <c r="Q14634">
        <v>7</v>
      </c>
      <c r="R14634" t="s">
        <v>47325</v>
      </c>
      <c r="S14634" t="s">
        <v>48215</v>
      </c>
      <c r="T14634" t="s">
        <v>49072</v>
      </c>
      <c r="U14634" t="s">
        <v>61644</v>
      </c>
      <c r="W14634" t="s">
        <v>47134</v>
      </c>
      <c r="X14634" t="s">
        <v>47326</v>
      </c>
    </row>
    <row r="14635" spans="1:24">
      <c r="A14635">
        <f>HYPERLINK("https://www.philgeps.gov.ph/GEPSNONPILOT/Tender/SplashBidNoticeAbstractUI.aspx?menuIndex=3&amp;refID=7160696&amp;Result=3","7160696")</f>
        <v>0</v>
      </c>
      <c r="B14635" t="s">
        <v>185</v>
      </c>
      <c r="C14635" t="s">
        <v>17708</v>
      </c>
      <c r="D14635" t="s">
        <v>19025</v>
      </c>
      <c r="E14635" t="s">
        <v>31459</v>
      </c>
      <c r="F14635" t="s">
        <v>32606</v>
      </c>
      <c r="G14635" t="s">
        <v>32613</v>
      </c>
      <c r="H14635" t="s">
        <v>14201</v>
      </c>
      <c r="I14635" t="s">
        <v>32678</v>
      </c>
      <c r="J14635" t="s">
        <v>41810</v>
      </c>
      <c r="K14635" t="s">
        <v>42622</v>
      </c>
      <c r="M14635" t="s">
        <v>43350</v>
      </c>
      <c r="N14635" t="s">
        <v>47304</v>
      </c>
      <c r="O14635" t="s">
        <v>47305</v>
      </c>
      <c r="P14635">
        <v>0</v>
      </c>
      <c r="Q14635">
        <v>3</v>
      </c>
      <c r="R14635" t="s">
        <v>47325</v>
      </c>
      <c r="S14635" t="s">
        <v>48215</v>
      </c>
      <c r="T14635" t="s">
        <v>48996</v>
      </c>
      <c r="U14635" t="s">
        <v>61623</v>
      </c>
      <c r="V14635" t="s">
        <v>62747</v>
      </c>
      <c r="W14635" t="s">
        <v>64433</v>
      </c>
      <c r="X14635" t="s">
        <v>47326</v>
      </c>
    </row>
    <row r="14636" spans="1:24">
      <c r="A14636">
        <f>HYPERLINK("https://www.philgeps.gov.ph/GEPSNONPILOT/Tender/SplashBidNoticeAbstractUI.aspx?menuIndex=3&amp;refID=7160595&amp;Result=3","7160595")</f>
        <v>0</v>
      </c>
      <c r="B14636" t="s">
        <v>3793</v>
      </c>
      <c r="C14636" t="s">
        <v>17709</v>
      </c>
      <c r="D14636" t="s">
        <v>19001</v>
      </c>
      <c r="E14636" t="s">
        <v>20240</v>
      </c>
      <c r="F14636" t="s">
        <v>32606</v>
      </c>
      <c r="G14636" t="s">
        <v>32613</v>
      </c>
      <c r="H14636" t="s">
        <v>14201</v>
      </c>
      <c r="I14636" t="s">
        <v>32631</v>
      </c>
      <c r="J14636" t="s">
        <v>41811</v>
      </c>
      <c r="K14636" t="s">
        <v>42624</v>
      </c>
      <c r="M14636" t="s">
        <v>47135</v>
      </c>
      <c r="N14636" t="s">
        <v>47304</v>
      </c>
      <c r="O14636" t="s">
        <v>47305</v>
      </c>
      <c r="P14636">
        <v>0</v>
      </c>
      <c r="Q14636">
        <v>2</v>
      </c>
      <c r="R14636" t="s">
        <v>47325</v>
      </c>
      <c r="S14636" t="s">
        <v>48215</v>
      </c>
      <c r="T14636" t="s">
        <v>48998</v>
      </c>
      <c r="U14636" t="s">
        <v>61645</v>
      </c>
      <c r="W14636" t="s">
        <v>47135</v>
      </c>
      <c r="X14636" t="s">
        <v>47326</v>
      </c>
    </row>
    <row r="14637" spans="1:24">
      <c r="A14637">
        <f>HYPERLINK("https://www.philgeps.gov.ph/GEPSNONPILOT/Tender/SplashBidNoticeAbstractUI.aspx?menuIndex=3&amp;refID=7160651&amp;Result=3","7160651")</f>
        <v>0</v>
      </c>
      <c r="B14637" t="s">
        <v>185</v>
      </c>
      <c r="C14637" t="s">
        <v>17710</v>
      </c>
      <c r="D14637" t="s">
        <v>19025</v>
      </c>
      <c r="E14637" t="s">
        <v>31460</v>
      </c>
      <c r="F14637" t="s">
        <v>32606</v>
      </c>
      <c r="G14637" t="s">
        <v>32613</v>
      </c>
      <c r="H14637" t="s">
        <v>14201</v>
      </c>
      <c r="I14637" t="s">
        <v>32640</v>
      </c>
      <c r="J14637" t="s">
        <v>34545</v>
      </c>
      <c r="K14637" t="s">
        <v>42622</v>
      </c>
      <c r="M14637" t="s">
        <v>43350</v>
      </c>
      <c r="N14637" t="s">
        <v>47304</v>
      </c>
      <c r="O14637" t="s">
        <v>47305</v>
      </c>
      <c r="P14637">
        <v>0</v>
      </c>
      <c r="Q14637">
        <v>6</v>
      </c>
      <c r="R14637" t="s">
        <v>47325</v>
      </c>
      <c r="S14637" t="s">
        <v>48215</v>
      </c>
      <c r="T14637" t="s">
        <v>48996</v>
      </c>
      <c r="U14637" t="s">
        <v>61623</v>
      </c>
      <c r="V14637" t="s">
        <v>62747</v>
      </c>
      <c r="W14637" t="s">
        <v>64433</v>
      </c>
      <c r="X14637" t="s">
        <v>47326</v>
      </c>
    </row>
    <row r="14638" spans="1:24">
      <c r="A14638">
        <f>HYPERLINK("https://www.philgeps.gov.ph/GEPSNONPILOT/Tender/SplashBidNoticeAbstractUI.aspx?menuIndex=3&amp;refID=7160790&amp;Result=3","7160790")</f>
        <v>0</v>
      </c>
      <c r="B14638" t="s">
        <v>2441</v>
      </c>
      <c r="C14638" t="s">
        <v>17711</v>
      </c>
      <c r="D14638" t="s">
        <v>19016</v>
      </c>
      <c r="E14638" t="s">
        <v>31461</v>
      </c>
      <c r="F14638" t="s">
        <v>32606</v>
      </c>
      <c r="G14638" t="s">
        <v>32613</v>
      </c>
      <c r="H14638" t="s">
        <v>32623</v>
      </c>
      <c r="I14638" t="s">
        <v>17648</v>
      </c>
      <c r="J14638" t="s">
        <v>39538</v>
      </c>
      <c r="K14638" t="s">
        <v>42834</v>
      </c>
      <c r="M14638" t="s">
        <v>45569</v>
      </c>
      <c r="N14638" t="s">
        <v>47304</v>
      </c>
      <c r="O14638" t="s">
        <v>47305</v>
      </c>
      <c r="Q14638">
        <v>53</v>
      </c>
      <c r="R14638" t="s">
        <v>47325</v>
      </c>
      <c r="S14638" t="s">
        <v>48303</v>
      </c>
      <c r="T14638" t="s">
        <v>49072</v>
      </c>
      <c r="U14638" t="s">
        <v>55836</v>
      </c>
      <c r="W14638" t="s">
        <v>45569</v>
      </c>
      <c r="X14638" t="s">
        <v>47326</v>
      </c>
    </row>
    <row r="14639" spans="1:24">
      <c r="A14639">
        <f>HYPERLINK("https://www.philgeps.gov.ph/GEPSNONPILOT/Tender/SplashBidNoticeAbstractUI.aspx?menuIndex=3&amp;refID=7160782&amp;Result=3","7160782")</f>
        <v>0</v>
      </c>
      <c r="B14639" t="s">
        <v>887</v>
      </c>
      <c r="C14639" t="s">
        <v>17712</v>
      </c>
      <c r="D14639" t="s">
        <v>19005</v>
      </c>
      <c r="E14639" t="s">
        <v>29348</v>
      </c>
      <c r="F14639" t="s">
        <v>32606</v>
      </c>
      <c r="G14639" t="s">
        <v>32613</v>
      </c>
      <c r="H14639" t="s">
        <v>14201</v>
      </c>
      <c r="I14639" t="s">
        <v>32640</v>
      </c>
      <c r="J14639" t="s">
        <v>34490</v>
      </c>
      <c r="K14639" t="s">
        <v>42630</v>
      </c>
      <c r="M14639" t="s">
        <v>43823</v>
      </c>
      <c r="N14639" t="s">
        <v>47304</v>
      </c>
      <c r="O14639" t="s">
        <v>47305</v>
      </c>
      <c r="P14639">
        <v>0</v>
      </c>
      <c r="Q14639">
        <v>4</v>
      </c>
      <c r="R14639" t="s">
        <v>47325</v>
      </c>
      <c r="S14639" t="s">
        <v>48215</v>
      </c>
      <c r="T14639" t="s">
        <v>49331</v>
      </c>
      <c r="U14639" t="s">
        <v>61646</v>
      </c>
      <c r="V14639" t="s">
        <v>64203</v>
      </c>
      <c r="W14639" t="s">
        <v>43823</v>
      </c>
      <c r="X14639" t="s">
        <v>47326</v>
      </c>
    </row>
    <row r="14640" spans="1:24">
      <c r="A14640">
        <f>HYPERLINK("https://www.philgeps.gov.ph/GEPSNONPILOT/Tender/SplashBidNoticeAbstractUI.aspx?menuIndex=3&amp;refID=7160719&amp;Result=3","7160719")</f>
        <v>0</v>
      </c>
      <c r="B14640" t="s">
        <v>1353</v>
      </c>
      <c r="C14640" t="s">
        <v>17713</v>
      </c>
      <c r="D14640" t="s">
        <v>19041</v>
      </c>
      <c r="E14640" t="s">
        <v>31462</v>
      </c>
      <c r="F14640" t="s">
        <v>32606</v>
      </c>
      <c r="G14640" t="s">
        <v>32613</v>
      </c>
      <c r="H14640" t="s">
        <v>32623</v>
      </c>
      <c r="I14640" t="s">
        <v>17648</v>
      </c>
      <c r="J14640" t="s">
        <v>33382</v>
      </c>
      <c r="K14640" t="s">
        <v>42645</v>
      </c>
      <c r="M14640" t="s">
        <v>46926</v>
      </c>
      <c r="N14640" t="s">
        <v>47304</v>
      </c>
      <c r="O14640" t="s">
        <v>47305</v>
      </c>
      <c r="P14640">
        <v>0</v>
      </c>
      <c r="Q14640">
        <v>2</v>
      </c>
      <c r="R14640" t="s">
        <v>47325</v>
      </c>
      <c r="S14640" t="s">
        <v>48215</v>
      </c>
      <c r="T14640" t="s">
        <v>49263</v>
      </c>
      <c r="U14640" t="s">
        <v>61647</v>
      </c>
      <c r="W14640" t="s">
        <v>46926</v>
      </c>
      <c r="X14640" t="s">
        <v>47326</v>
      </c>
    </row>
    <row r="14641" spans="1:24">
      <c r="A14641">
        <f>HYPERLINK("https://www.philgeps.gov.ph/GEPSNONPILOT/Tender/SplashBidNoticeAbstractUI.aspx?menuIndex=3&amp;refID=7160771&amp;Result=3","7160771")</f>
        <v>0</v>
      </c>
      <c r="B14641" t="s">
        <v>2533</v>
      </c>
      <c r="C14641" t="s">
        <v>17714</v>
      </c>
      <c r="D14641" t="s">
        <v>18988</v>
      </c>
      <c r="E14641" t="s">
        <v>31463</v>
      </c>
      <c r="F14641" t="s">
        <v>32606</v>
      </c>
      <c r="G14641" t="s">
        <v>32613</v>
      </c>
      <c r="H14641" t="s">
        <v>32623</v>
      </c>
      <c r="I14641" t="s">
        <v>17648</v>
      </c>
      <c r="J14641" t="s">
        <v>38769</v>
      </c>
      <c r="K14641" t="s">
        <v>42694</v>
      </c>
      <c r="M14641" t="s">
        <v>45673</v>
      </c>
      <c r="N14641" t="s">
        <v>47304</v>
      </c>
      <c r="O14641" t="s">
        <v>47305</v>
      </c>
      <c r="P14641">
        <v>0</v>
      </c>
      <c r="Q14641">
        <v>12</v>
      </c>
      <c r="R14641" t="s">
        <v>47325</v>
      </c>
      <c r="S14641" t="s">
        <v>48215</v>
      </c>
      <c r="T14641" t="s">
        <v>49256</v>
      </c>
      <c r="U14641" t="s">
        <v>61648</v>
      </c>
      <c r="W14641" t="s">
        <v>45673</v>
      </c>
      <c r="X14641" t="s">
        <v>47326</v>
      </c>
    </row>
    <row r="14642" spans="1:24">
      <c r="A14642">
        <f>HYPERLINK("https://www.philgeps.gov.ph/GEPSNONPILOT/Tender/SplashBidNoticeAbstractUI.aspx?menuIndex=3&amp;refID=7160764&amp;Result=3","7160764")</f>
        <v>0</v>
      </c>
      <c r="B14642" t="s">
        <v>2740</v>
      </c>
      <c r="C14642" t="s">
        <v>17715</v>
      </c>
      <c r="D14642" t="s">
        <v>18992</v>
      </c>
      <c r="E14642" t="s">
        <v>31464</v>
      </c>
      <c r="F14642" t="s">
        <v>32606</v>
      </c>
      <c r="G14642" t="s">
        <v>32613</v>
      </c>
      <c r="H14642" t="s">
        <v>32623</v>
      </c>
      <c r="I14642" t="s">
        <v>17648</v>
      </c>
      <c r="J14642" t="s">
        <v>41812</v>
      </c>
      <c r="K14642" t="s">
        <v>42900</v>
      </c>
      <c r="M14642" t="s">
        <v>45896</v>
      </c>
      <c r="N14642" t="s">
        <v>47304</v>
      </c>
      <c r="O14642" t="s">
        <v>47305</v>
      </c>
      <c r="Q14642">
        <v>5</v>
      </c>
      <c r="R14642" t="s">
        <v>47325</v>
      </c>
      <c r="S14642" t="s">
        <v>48304</v>
      </c>
      <c r="T14642" t="s">
        <v>49315</v>
      </c>
      <c r="U14642" t="s">
        <v>61649</v>
      </c>
      <c r="W14642" t="s">
        <v>45896</v>
      </c>
      <c r="X14642" t="s">
        <v>47326</v>
      </c>
    </row>
    <row r="14643" spans="1:24">
      <c r="A14643">
        <f>HYPERLINK("https://www.philgeps.gov.ph/GEPSNONPILOT/Tender/SplashBidNoticeAbstractUI.aspx?menuIndex=3&amp;refID=7160747&amp;Result=3","7160747")</f>
        <v>0</v>
      </c>
      <c r="B14643" t="s">
        <v>1353</v>
      </c>
      <c r="C14643" t="s">
        <v>17716</v>
      </c>
      <c r="D14643" t="s">
        <v>19041</v>
      </c>
      <c r="E14643" t="s">
        <v>31465</v>
      </c>
      <c r="F14643" t="s">
        <v>32606</v>
      </c>
      <c r="G14643" t="s">
        <v>32613</v>
      </c>
      <c r="H14643" t="s">
        <v>32623</v>
      </c>
      <c r="I14643" t="s">
        <v>17648</v>
      </c>
      <c r="J14643" t="s">
        <v>32756</v>
      </c>
      <c r="K14643" t="s">
        <v>42645</v>
      </c>
      <c r="M14643" t="s">
        <v>46926</v>
      </c>
      <c r="N14643" t="s">
        <v>47304</v>
      </c>
      <c r="O14643" t="s">
        <v>47305</v>
      </c>
      <c r="P14643">
        <v>0</v>
      </c>
      <c r="Q14643">
        <v>1</v>
      </c>
      <c r="R14643" t="s">
        <v>47325</v>
      </c>
      <c r="S14643" t="s">
        <v>48215</v>
      </c>
      <c r="T14643" t="s">
        <v>49263</v>
      </c>
      <c r="U14643" t="s">
        <v>61650</v>
      </c>
      <c r="W14643" t="s">
        <v>46926</v>
      </c>
      <c r="X14643" t="s">
        <v>47326</v>
      </c>
    </row>
    <row r="14644" spans="1:24">
      <c r="A14644">
        <f>HYPERLINK("https://www.philgeps.gov.ph/GEPSNONPILOT/Tender/SplashBidNoticeAbstractUI.aspx?menuIndex=3&amp;refID=7160739&amp;Result=3","7160739")</f>
        <v>0</v>
      </c>
      <c r="B14644" t="s">
        <v>3794</v>
      </c>
      <c r="C14644" t="s">
        <v>17717</v>
      </c>
      <c r="D14644" t="s">
        <v>19004</v>
      </c>
      <c r="E14644" t="s">
        <v>31466</v>
      </c>
      <c r="F14644" t="s">
        <v>32606</v>
      </c>
      <c r="G14644" t="s">
        <v>32613</v>
      </c>
      <c r="H14644" t="s">
        <v>32623</v>
      </c>
      <c r="I14644" t="s">
        <v>17648</v>
      </c>
      <c r="J14644" t="s">
        <v>34255</v>
      </c>
      <c r="K14644" t="s">
        <v>42694</v>
      </c>
      <c r="M14644" t="s">
        <v>47136</v>
      </c>
      <c r="N14644" t="s">
        <v>47304</v>
      </c>
      <c r="O14644" t="s">
        <v>47305</v>
      </c>
      <c r="P14644">
        <v>0</v>
      </c>
      <c r="Q14644">
        <v>1</v>
      </c>
      <c r="R14644" t="s">
        <v>47325</v>
      </c>
      <c r="S14644" t="s">
        <v>48215</v>
      </c>
      <c r="T14644" t="s">
        <v>49068</v>
      </c>
      <c r="U14644" t="s">
        <v>56192</v>
      </c>
      <c r="W14644" t="s">
        <v>47136</v>
      </c>
      <c r="X14644" t="s">
        <v>47326</v>
      </c>
    </row>
    <row r="14645" spans="1:24">
      <c r="A14645">
        <f>HYPERLINK("https://www.philgeps.gov.ph/GEPSNONPILOT/Tender/SplashBidNoticeAbstractUI.aspx?menuIndex=3&amp;refID=7160683&amp;Result=3","7160683")</f>
        <v>0</v>
      </c>
      <c r="B14645" t="s">
        <v>1353</v>
      </c>
      <c r="C14645" t="s">
        <v>17718</v>
      </c>
      <c r="D14645" t="s">
        <v>19041</v>
      </c>
      <c r="E14645" t="s">
        <v>31467</v>
      </c>
      <c r="F14645" t="s">
        <v>32606</v>
      </c>
      <c r="G14645" t="s">
        <v>32613</v>
      </c>
      <c r="H14645" t="s">
        <v>32623</v>
      </c>
      <c r="I14645" t="s">
        <v>17648</v>
      </c>
      <c r="J14645" t="s">
        <v>35904</v>
      </c>
      <c r="K14645" t="s">
        <v>42645</v>
      </c>
      <c r="M14645" t="s">
        <v>46926</v>
      </c>
      <c r="N14645" t="s">
        <v>47304</v>
      </c>
      <c r="O14645" t="s">
        <v>47305</v>
      </c>
      <c r="P14645">
        <v>0</v>
      </c>
      <c r="Q14645">
        <v>1</v>
      </c>
      <c r="R14645" t="s">
        <v>47325</v>
      </c>
      <c r="S14645" t="s">
        <v>48215</v>
      </c>
      <c r="T14645" t="s">
        <v>49263</v>
      </c>
      <c r="U14645" t="s">
        <v>61651</v>
      </c>
      <c r="W14645" t="s">
        <v>46926</v>
      </c>
      <c r="X14645" t="s">
        <v>47326</v>
      </c>
    </row>
    <row r="14646" spans="1:24">
      <c r="A14646">
        <f>HYPERLINK("https://www.philgeps.gov.ph/GEPSNONPILOT/Tender/SplashBidNoticeAbstractUI.aspx?menuIndex=3&amp;refID=7160845&amp;Result=3","7160845")</f>
        <v>0</v>
      </c>
      <c r="B14646" t="s">
        <v>955</v>
      </c>
      <c r="C14646" t="s">
        <v>17719</v>
      </c>
      <c r="D14646" t="s">
        <v>19068</v>
      </c>
      <c r="E14646" t="s">
        <v>21030</v>
      </c>
      <c r="F14646" t="s">
        <v>32606</v>
      </c>
      <c r="G14646" t="s">
        <v>32613</v>
      </c>
      <c r="H14646" t="s">
        <v>32623</v>
      </c>
      <c r="I14646" t="s">
        <v>17648</v>
      </c>
      <c r="J14646" t="s">
        <v>32923</v>
      </c>
      <c r="K14646" t="s">
        <v>42624</v>
      </c>
      <c r="M14646" t="s">
        <v>43898</v>
      </c>
      <c r="N14646" t="s">
        <v>47304</v>
      </c>
      <c r="O14646" t="s">
        <v>47305</v>
      </c>
      <c r="P14646">
        <v>0</v>
      </c>
      <c r="Q14646">
        <v>0</v>
      </c>
      <c r="R14646" t="s">
        <v>47325</v>
      </c>
      <c r="S14646" t="s">
        <v>48215</v>
      </c>
      <c r="T14646" t="s">
        <v>48998</v>
      </c>
      <c r="U14646" t="s">
        <v>61652</v>
      </c>
      <c r="V14646" t="s">
        <v>64254</v>
      </c>
      <c r="W14646" t="s">
        <v>43898</v>
      </c>
      <c r="X14646" t="s">
        <v>47326</v>
      </c>
    </row>
    <row r="14647" spans="1:24">
      <c r="A14647">
        <f>HYPERLINK("https://www.philgeps.gov.ph/GEPSNONPILOT/Tender/SplashBidNoticeAbstractUI.aspx?menuIndex=3&amp;refID=7160837&amp;Result=3","7160837")</f>
        <v>0</v>
      </c>
      <c r="B14647" t="s">
        <v>2783</v>
      </c>
      <c r="C14647" t="s">
        <v>17720</v>
      </c>
      <c r="D14647" t="s">
        <v>19050</v>
      </c>
      <c r="E14647" t="s">
        <v>31468</v>
      </c>
      <c r="F14647" t="s">
        <v>32606</v>
      </c>
      <c r="G14647" t="s">
        <v>32613</v>
      </c>
      <c r="H14647" t="s">
        <v>32623</v>
      </c>
      <c r="I14647" t="s">
        <v>17648</v>
      </c>
      <c r="J14647" t="s">
        <v>41813</v>
      </c>
      <c r="K14647" t="s">
        <v>42646</v>
      </c>
      <c r="M14647" t="s">
        <v>45945</v>
      </c>
      <c r="N14647" t="s">
        <v>47304</v>
      </c>
      <c r="O14647" t="s">
        <v>47305</v>
      </c>
      <c r="P14647">
        <v>0</v>
      </c>
      <c r="Q14647">
        <v>1</v>
      </c>
      <c r="R14647" t="s">
        <v>47325</v>
      </c>
      <c r="S14647" t="s">
        <v>48215</v>
      </c>
      <c r="T14647" t="s">
        <v>49071</v>
      </c>
      <c r="U14647" t="s">
        <v>56853</v>
      </c>
      <c r="V14647" t="s">
        <v>64255</v>
      </c>
      <c r="W14647" t="s">
        <v>45945</v>
      </c>
      <c r="X14647" t="s">
        <v>47326</v>
      </c>
    </row>
    <row r="14648" spans="1:24">
      <c r="A14648">
        <f>HYPERLINK("https://www.philgeps.gov.ph/GEPSNONPILOT/Tender/SplashBidNoticeAbstractUI.aspx?menuIndex=3&amp;refID=7160641&amp;Result=3","7160641")</f>
        <v>0</v>
      </c>
      <c r="B14648" t="s">
        <v>1353</v>
      </c>
      <c r="C14648" t="s">
        <v>17721</v>
      </c>
      <c r="D14648" t="s">
        <v>19041</v>
      </c>
      <c r="E14648" t="s">
        <v>31469</v>
      </c>
      <c r="F14648" t="s">
        <v>32606</v>
      </c>
      <c r="G14648" t="s">
        <v>32613</v>
      </c>
      <c r="H14648" t="s">
        <v>32623</v>
      </c>
      <c r="I14648" t="s">
        <v>17648</v>
      </c>
      <c r="J14648" t="s">
        <v>41814</v>
      </c>
      <c r="K14648" t="s">
        <v>42645</v>
      </c>
      <c r="M14648" t="s">
        <v>46926</v>
      </c>
      <c r="N14648" t="s">
        <v>47304</v>
      </c>
      <c r="O14648" t="s">
        <v>47305</v>
      </c>
      <c r="P14648">
        <v>0</v>
      </c>
      <c r="Q14648">
        <v>1</v>
      </c>
      <c r="R14648" t="s">
        <v>47325</v>
      </c>
      <c r="S14648" t="s">
        <v>48215</v>
      </c>
      <c r="T14648" t="s">
        <v>49263</v>
      </c>
      <c r="U14648" t="s">
        <v>61653</v>
      </c>
      <c r="W14648" t="s">
        <v>46926</v>
      </c>
      <c r="X14648" t="s">
        <v>47326</v>
      </c>
    </row>
    <row r="14649" spans="1:24">
      <c r="A14649">
        <f>HYPERLINK("https://www.philgeps.gov.ph/GEPSNONPILOT/Tender/SplashBidNoticeAbstractUI.aspx?menuIndex=3&amp;refID=7160791&amp;Result=3","7160791")</f>
        <v>0</v>
      </c>
      <c r="B14649" t="s">
        <v>2740</v>
      </c>
      <c r="C14649" t="s">
        <v>17722</v>
      </c>
      <c r="D14649" t="s">
        <v>18992</v>
      </c>
      <c r="E14649" t="s">
        <v>31470</v>
      </c>
      <c r="F14649" t="s">
        <v>32606</v>
      </c>
      <c r="G14649" t="s">
        <v>32613</v>
      </c>
      <c r="H14649" t="s">
        <v>32623</v>
      </c>
      <c r="I14649" t="s">
        <v>17648</v>
      </c>
      <c r="J14649" t="s">
        <v>35071</v>
      </c>
      <c r="K14649" t="s">
        <v>42692</v>
      </c>
      <c r="M14649" t="s">
        <v>45896</v>
      </c>
      <c r="N14649" t="s">
        <v>47304</v>
      </c>
      <c r="O14649" t="s">
        <v>47305</v>
      </c>
      <c r="Q14649">
        <v>2</v>
      </c>
      <c r="R14649" t="s">
        <v>47325</v>
      </c>
      <c r="S14649" t="s">
        <v>48305</v>
      </c>
      <c r="T14649" t="s">
        <v>49315</v>
      </c>
      <c r="U14649" t="s">
        <v>61654</v>
      </c>
      <c r="W14649" t="s">
        <v>45896</v>
      </c>
      <c r="X14649" t="s">
        <v>47326</v>
      </c>
    </row>
    <row r="14650" spans="1:24">
      <c r="A14650">
        <f>HYPERLINK("https://www.philgeps.gov.ph/GEPSNONPILOT/Tender/SplashBidNoticeAbstractUI.aspx?menuIndex=3&amp;refID=7160822&amp;Result=3","7160822")</f>
        <v>0</v>
      </c>
      <c r="B14650" t="s">
        <v>1278</v>
      </c>
      <c r="C14650" t="s">
        <v>17723</v>
      </c>
      <c r="E14650" t="s">
        <v>31471</v>
      </c>
      <c r="F14650" t="s">
        <v>32606</v>
      </c>
      <c r="G14650" t="s">
        <v>32613</v>
      </c>
      <c r="H14650" t="s">
        <v>14201</v>
      </c>
      <c r="I14650" t="s">
        <v>4369</v>
      </c>
      <c r="J14650" t="s">
        <v>41815</v>
      </c>
      <c r="K14650" t="s">
        <v>42624</v>
      </c>
      <c r="M14650" t="s">
        <v>44248</v>
      </c>
      <c r="N14650" t="s">
        <v>47304</v>
      </c>
      <c r="O14650" t="s">
        <v>47305</v>
      </c>
      <c r="Q14650">
        <v>20</v>
      </c>
      <c r="R14650" t="s">
        <v>47325</v>
      </c>
      <c r="S14650" t="s">
        <v>48306</v>
      </c>
      <c r="T14650" t="s">
        <v>48980</v>
      </c>
      <c r="U14650" t="s">
        <v>61655</v>
      </c>
      <c r="W14650" t="s">
        <v>44248</v>
      </c>
      <c r="X14650" t="s">
        <v>47326</v>
      </c>
    </row>
    <row r="14651" spans="1:24">
      <c r="A14651">
        <f>HYPERLINK("https://www.philgeps.gov.ph/GEPSNONPILOT/Tender/SplashBidNoticeAbstractUI.aspx?menuIndex=3&amp;refID=7160821&amp;Result=3","7160821")</f>
        <v>0</v>
      </c>
      <c r="B14651" t="s">
        <v>3795</v>
      </c>
      <c r="C14651" t="s">
        <v>3971</v>
      </c>
      <c r="D14651" t="s">
        <v>19007</v>
      </c>
      <c r="E14651" t="s">
        <v>31472</v>
      </c>
      <c r="F14651" t="s">
        <v>32606</v>
      </c>
      <c r="G14651" t="s">
        <v>32613</v>
      </c>
      <c r="H14651" t="s">
        <v>14201</v>
      </c>
      <c r="I14651" t="s">
        <v>4120</v>
      </c>
      <c r="J14651" t="s">
        <v>41816</v>
      </c>
      <c r="K14651" t="s">
        <v>42624</v>
      </c>
      <c r="M14651" t="s">
        <v>47137</v>
      </c>
      <c r="N14651" t="s">
        <v>47304</v>
      </c>
      <c r="O14651" t="s">
        <v>47305</v>
      </c>
      <c r="P14651">
        <v>0</v>
      </c>
      <c r="Q14651">
        <v>5</v>
      </c>
      <c r="R14651" t="s">
        <v>47325</v>
      </c>
      <c r="S14651" t="s">
        <v>48215</v>
      </c>
      <c r="T14651" t="s">
        <v>49263</v>
      </c>
      <c r="U14651" t="s">
        <v>61656</v>
      </c>
      <c r="V14651" t="s">
        <v>64256</v>
      </c>
      <c r="W14651" t="s">
        <v>47137</v>
      </c>
      <c r="X14651" t="s">
        <v>47326</v>
      </c>
    </row>
    <row r="14652" spans="1:24">
      <c r="A14652">
        <f>HYPERLINK("https://www.philgeps.gov.ph/GEPSNONPILOT/Tender/SplashBidNoticeAbstractUI.aspx?menuIndex=3&amp;refID=7160814&amp;Result=3","7160814")</f>
        <v>0</v>
      </c>
      <c r="B14652" t="s">
        <v>1895</v>
      </c>
      <c r="C14652" t="s">
        <v>17724</v>
      </c>
      <c r="D14652" t="s">
        <v>19012</v>
      </c>
      <c r="E14652" t="s">
        <v>31473</v>
      </c>
      <c r="F14652" t="s">
        <v>32606</v>
      </c>
      <c r="G14652" t="s">
        <v>32614</v>
      </c>
      <c r="H14652" t="s">
        <v>14201</v>
      </c>
      <c r="I14652" t="s">
        <v>32655</v>
      </c>
      <c r="J14652" t="s">
        <v>41817</v>
      </c>
      <c r="K14652" t="s">
        <v>42648</v>
      </c>
      <c r="M14652" t="s">
        <v>44954</v>
      </c>
      <c r="N14652" t="s">
        <v>47304</v>
      </c>
      <c r="O14652" t="s">
        <v>47305</v>
      </c>
      <c r="P14652">
        <v>0</v>
      </c>
      <c r="Q14652">
        <v>2</v>
      </c>
      <c r="R14652" t="s">
        <v>47325</v>
      </c>
      <c r="S14652" t="s">
        <v>48215</v>
      </c>
      <c r="T14652" t="s">
        <v>49268</v>
      </c>
      <c r="U14652" t="s">
        <v>56056</v>
      </c>
      <c r="W14652" t="s">
        <v>44954</v>
      </c>
      <c r="X14652" t="s">
        <v>47326</v>
      </c>
    </row>
    <row r="14653" spans="1:24">
      <c r="A14653">
        <f>HYPERLINK("https://www.philgeps.gov.ph/GEPSNONPILOT/Tender/SplashBidNoticeAbstractUI.aspx?menuIndex=3&amp;refID=7160758&amp;Result=3","7160758")</f>
        <v>0</v>
      </c>
      <c r="B14653" t="s">
        <v>3790</v>
      </c>
      <c r="C14653" t="s">
        <v>17725</v>
      </c>
      <c r="D14653" t="s">
        <v>19042</v>
      </c>
      <c r="E14653" t="s">
        <v>31474</v>
      </c>
      <c r="F14653" t="s">
        <v>32606</v>
      </c>
      <c r="G14653" t="s">
        <v>32613</v>
      </c>
      <c r="H14653" t="s">
        <v>14201</v>
      </c>
      <c r="I14653" t="s">
        <v>4120</v>
      </c>
      <c r="J14653" t="s">
        <v>41818</v>
      </c>
      <c r="K14653" t="s">
        <v>42623</v>
      </c>
      <c r="M14653" t="s">
        <v>47131</v>
      </c>
      <c r="N14653" t="s">
        <v>47304</v>
      </c>
      <c r="O14653" t="s">
        <v>47305</v>
      </c>
      <c r="P14653">
        <v>0</v>
      </c>
      <c r="Q14653">
        <v>3</v>
      </c>
      <c r="R14653" t="s">
        <v>47325</v>
      </c>
      <c r="S14653" t="s">
        <v>48215</v>
      </c>
      <c r="T14653" t="s">
        <v>49071</v>
      </c>
      <c r="U14653" t="s">
        <v>61657</v>
      </c>
      <c r="W14653" t="s">
        <v>47131</v>
      </c>
      <c r="X14653" t="s">
        <v>47326</v>
      </c>
    </row>
    <row r="14654" spans="1:24">
      <c r="A14654">
        <f>HYPERLINK("https://www.philgeps.gov.ph/GEPSNONPILOT/Tender/SplashBidNoticeAbstractUI.aspx?menuIndex=3&amp;refID=7160732&amp;Result=3","7160732")</f>
        <v>0</v>
      </c>
      <c r="B14654" t="s">
        <v>1353</v>
      </c>
      <c r="C14654" t="s">
        <v>17726</v>
      </c>
      <c r="D14654" t="s">
        <v>19041</v>
      </c>
      <c r="E14654" t="s">
        <v>31475</v>
      </c>
      <c r="F14654" t="s">
        <v>32606</v>
      </c>
      <c r="G14654" t="s">
        <v>32613</v>
      </c>
      <c r="H14654" t="s">
        <v>32623</v>
      </c>
      <c r="I14654" t="s">
        <v>17648</v>
      </c>
      <c r="J14654" t="s">
        <v>41771</v>
      </c>
      <c r="K14654" t="s">
        <v>42645</v>
      </c>
      <c r="M14654" t="s">
        <v>46926</v>
      </c>
      <c r="N14654" t="s">
        <v>47304</v>
      </c>
      <c r="O14654" t="s">
        <v>47305</v>
      </c>
      <c r="P14654">
        <v>0</v>
      </c>
      <c r="Q14654">
        <v>0</v>
      </c>
      <c r="R14654" t="s">
        <v>47325</v>
      </c>
      <c r="S14654" t="s">
        <v>48215</v>
      </c>
      <c r="T14654" t="s">
        <v>49263</v>
      </c>
      <c r="U14654" t="s">
        <v>61658</v>
      </c>
      <c r="W14654" t="s">
        <v>46926</v>
      </c>
      <c r="X14654" t="s">
        <v>47326</v>
      </c>
    </row>
    <row r="14655" spans="1:24">
      <c r="A14655">
        <f>HYPERLINK("https://www.philgeps.gov.ph/GEPSNONPILOT/Tender/SplashBidNoticeAbstractUI.aspx?menuIndex=3&amp;refID=7160665&amp;Result=3","7160665")</f>
        <v>0</v>
      </c>
      <c r="B14655" t="s">
        <v>3787</v>
      </c>
      <c r="C14655" t="s">
        <v>17727</v>
      </c>
      <c r="D14655" t="s">
        <v>19058</v>
      </c>
      <c r="E14655" t="s">
        <v>31476</v>
      </c>
      <c r="F14655" t="s">
        <v>32606</v>
      </c>
      <c r="G14655" t="s">
        <v>32613</v>
      </c>
      <c r="H14655" t="s">
        <v>14201</v>
      </c>
      <c r="I14655" t="s">
        <v>32662</v>
      </c>
      <c r="J14655" t="s">
        <v>41819</v>
      </c>
      <c r="K14655" t="s">
        <v>42627</v>
      </c>
      <c r="M14655" t="s">
        <v>47128</v>
      </c>
      <c r="N14655" t="s">
        <v>47304</v>
      </c>
      <c r="O14655" t="s">
        <v>47305</v>
      </c>
      <c r="P14655">
        <v>0</v>
      </c>
      <c r="Q14655">
        <v>27</v>
      </c>
      <c r="R14655" t="s">
        <v>47325</v>
      </c>
      <c r="S14655" t="s">
        <v>48215</v>
      </c>
      <c r="T14655" t="s">
        <v>49071</v>
      </c>
      <c r="U14655" t="s">
        <v>61612</v>
      </c>
      <c r="W14655" t="s">
        <v>47128</v>
      </c>
      <c r="X14655" t="s">
        <v>47326</v>
      </c>
    </row>
    <row r="14656" spans="1:24">
      <c r="A14656">
        <f>HYPERLINK("https://www.philgeps.gov.ph/GEPSNONPILOT/Tender/SplashBidNoticeAbstractUI.aspx?menuIndex=3&amp;refID=7160722&amp;Result=3","7160722")</f>
        <v>0</v>
      </c>
      <c r="B14656" t="s">
        <v>2740</v>
      </c>
      <c r="C14656" t="s">
        <v>17728</v>
      </c>
      <c r="D14656" t="s">
        <v>18992</v>
      </c>
      <c r="E14656" t="s">
        <v>31477</v>
      </c>
      <c r="F14656" t="s">
        <v>32606</v>
      </c>
      <c r="G14656" t="s">
        <v>32613</v>
      </c>
      <c r="H14656" t="s">
        <v>32623</v>
      </c>
      <c r="I14656" t="s">
        <v>17648</v>
      </c>
      <c r="J14656" t="s">
        <v>41820</v>
      </c>
      <c r="K14656" t="s">
        <v>42680</v>
      </c>
      <c r="M14656" t="s">
        <v>45896</v>
      </c>
      <c r="N14656" t="s">
        <v>47304</v>
      </c>
      <c r="O14656" t="s">
        <v>47305</v>
      </c>
      <c r="Q14656">
        <v>7</v>
      </c>
      <c r="R14656" t="s">
        <v>47325</v>
      </c>
      <c r="S14656" t="s">
        <v>48307</v>
      </c>
      <c r="T14656" t="s">
        <v>49315</v>
      </c>
      <c r="U14656" t="s">
        <v>61659</v>
      </c>
      <c r="W14656" t="s">
        <v>45896</v>
      </c>
      <c r="X14656" t="s">
        <v>47326</v>
      </c>
    </row>
    <row r="14657" spans="1:24">
      <c r="A14657">
        <f>HYPERLINK("https://www.philgeps.gov.ph/GEPSNONPILOT/Tender/SplashBidNoticeAbstractUI.aspx?menuIndex=3&amp;refID=7160819&amp;Result=3","7160819")</f>
        <v>0</v>
      </c>
      <c r="B14657" t="s">
        <v>2533</v>
      </c>
      <c r="C14657" t="s">
        <v>17729</v>
      </c>
      <c r="D14657" t="s">
        <v>18988</v>
      </c>
      <c r="E14657" t="s">
        <v>31478</v>
      </c>
      <c r="F14657" t="s">
        <v>32606</v>
      </c>
      <c r="G14657" t="s">
        <v>32613</v>
      </c>
      <c r="H14657" t="s">
        <v>32623</v>
      </c>
      <c r="I14657" t="s">
        <v>17648</v>
      </c>
      <c r="J14657" t="s">
        <v>38769</v>
      </c>
      <c r="K14657" t="s">
        <v>42694</v>
      </c>
      <c r="M14657" t="s">
        <v>45673</v>
      </c>
      <c r="N14657" t="s">
        <v>47304</v>
      </c>
      <c r="O14657" t="s">
        <v>47305</v>
      </c>
      <c r="P14657">
        <v>0</v>
      </c>
      <c r="Q14657">
        <v>13</v>
      </c>
      <c r="R14657" t="s">
        <v>47325</v>
      </c>
      <c r="S14657" t="s">
        <v>48215</v>
      </c>
      <c r="T14657" t="s">
        <v>49256</v>
      </c>
      <c r="U14657" t="s">
        <v>61660</v>
      </c>
      <c r="W14657" t="s">
        <v>45673</v>
      </c>
      <c r="X14657" t="s">
        <v>47326</v>
      </c>
    </row>
    <row r="14658" spans="1:24">
      <c r="A14658">
        <f>HYPERLINK("https://www.philgeps.gov.ph/GEPSNONPILOT/Tender/SplashBidNoticeAbstractUI.aspx?menuIndex=3&amp;refID=7160809&amp;Result=3","7160809")</f>
        <v>0</v>
      </c>
      <c r="B14658" t="s">
        <v>1962</v>
      </c>
      <c r="C14658" t="s">
        <v>17730</v>
      </c>
      <c r="D14658" t="s">
        <v>19060</v>
      </c>
      <c r="E14658" t="s">
        <v>31479</v>
      </c>
      <c r="F14658" t="s">
        <v>32606</v>
      </c>
      <c r="G14658" t="s">
        <v>32613</v>
      </c>
      <c r="H14658" t="s">
        <v>14201</v>
      </c>
      <c r="I14658" t="s">
        <v>4112</v>
      </c>
      <c r="J14658" t="s">
        <v>41821</v>
      </c>
      <c r="K14658" t="s">
        <v>42832</v>
      </c>
      <c r="L14658" t="s">
        <v>1962</v>
      </c>
      <c r="M14658" t="s">
        <v>45025</v>
      </c>
      <c r="N14658" t="s">
        <v>47304</v>
      </c>
      <c r="O14658" t="s">
        <v>47305</v>
      </c>
      <c r="Q14658">
        <v>1</v>
      </c>
      <c r="R14658" t="s">
        <v>47325</v>
      </c>
      <c r="S14658" t="s">
        <v>48308</v>
      </c>
      <c r="T14658" t="s">
        <v>49064</v>
      </c>
      <c r="U14658" t="s">
        <v>61661</v>
      </c>
      <c r="W14658" t="s">
        <v>45025</v>
      </c>
      <c r="X14658" t="s">
        <v>47326</v>
      </c>
    </row>
    <row r="14659" spans="1:24">
      <c r="A14659">
        <f>HYPERLINK("https://www.philgeps.gov.ph/GEPSNONPILOT/Tender/SplashBidNoticeAbstractUI.aspx?menuIndex=3&amp;refID=7160730&amp;Result=3","7160730")</f>
        <v>0</v>
      </c>
      <c r="B14659" t="s">
        <v>185</v>
      </c>
      <c r="C14659" t="s">
        <v>17731</v>
      </c>
      <c r="D14659" t="s">
        <v>19025</v>
      </c>
      <c r="E14659" t="s">
        <v>31480</v>
      </c>
      <c r="F14659" t="s">
        <v>32606</v>
      </c>
      <c r="G14659" t="s">
        <v>32613</v>
      </c>
      <c r="H14659" t="s">
        <v>14201</v>
      </c>
      <c r="I14659" t="s">
        <v>32631</v>
      </c>
      <c r="J14659" t="s">
        <v>41822</v>
      </c>
      <c r="K14659" t="s">
        <v>42622</v>
      </c>
      <c r="M14659" t="s">
        <v>43350</v>
      </c>
      <c r="N14659" t="s">
        <v>47304</v>
      </c>
      <c r="O14659" t="s">
        <v>47305</v>
      </c>
      <c r="P14659">
        <v>0</v>
      </c>
      <c r="Q14659">
        <v>1</v>
      </c>
      <c r="R14659" t="s">
        <v>47325</v>
      </c>
      <c r="S14659" t="s">
        <v>48215</v>
      </c>
      <c r="T14659" t="s">
        <v>48996</v>
      </c>
      <c r="U14659" t="s">
        <v>61623</v>
      </c>
      <c r="V14659" t="s">
        <v>62747</v>
      </c>
      <c r="W14659" t="s">
        <v>64433</v>
      </c>
      <c r="X14659" t="s">
        <v>47326</v>
      </c>
    </row>
    <row r="14660" spans="1:24">
      <c r="A14660">
        <f>HYPERLINK("https://www.philgeps.gov.ph/GEPSNONPILOT/Tender/SplashBidNoticeAbstractUI.aspx?menuIndex=3&amp;refID=7160949&amp;Result=3","7160949")</f>
        <v>0</v>
      </c>
      <c r="B14660" t="s">
        <v>877</v>
      </c>
      <c r="C14660" t="s">
        <v>17732</v>
      </c>
      <c r="D14660" t="s">
        <v>19044</v>
      </c>
      <c r="E14660" t="s">
        <v>28266</v>
      </c>
      <c r="F14660" t="s">
        <v>32606</v>
      </c>
      <c r="G14660" t="s">
        <v>32613</v>
      </c>
      <c r="H14660" t="s">
        <v>32623</v>
      </c>
      <c r="I14660" t="s">
        <v>17648</v>
      </c>
      <c r="J14660" t="s">
        <v>32770</v>
      </c>
      <c r="K14660" t="s">
        <v>42717</v>
      </c>
      <c r="M14660" t="s">
        <v>43813</v>
      </c>
      <c r="N14660" t="s">
        <v>47304</v>
      </c>
      <c r="O14660" t="s">
        <v>47305</v>
      </c>
      <c r="P14660">
        <v>0</v>
      </c>
      <c r="Q14660">
        <v>0</v>
      </c>
      <c r="R14660" t="s">
        <v>47325</v>
      </c>
      <c r="S14660" t="s">
        <v>48215</v>
      </c>
      <c r="T14660" t="s">
        <v>49050</v>
      </c>
      <c r="U14660" t="s">
        <v>61662</v>
      </c>
      <c r="V14660" t="s">
        <v>64257</v>
      </c>
      <c r="W14660" t="s">
        <v>43813</v>
      </c>
      <c r="X14660" t="s">
        <v>47326</v>
      </c>
    </row>
    <row r="14661" spans="1:24">
      <c r="A14661">
        <f>HYPERLINK("https://www.philgeps.gov.ph/GEPSNONPILOT/Tender/SplashBidNoticeAbstractUI.aspx?menuIndex=3&amp;refID=7160729&amp;Result=3","7160729")</f>
        <v>0</v>
      </c>
      <c r="B14661" t="s">
        <v>1435</v>
      </c>
      <c r="C14661" t="s">
        <v>17733</v>
      </c>
      <c r="D14661" t="s">
        <v>19025</v>
      </c>
      <c r="E14661" t="s">
        <v>29359</v>
      </c>
      <c r="F14661" t="s">
        <v>32606</v>
      </c>
      <c r="G14661" t="s">
        <v>32613</v>
      </c>
      <c r="H14661" t="s">
        <v>14201</v>
      </c>
      <c r="I14661" t="s">
        <v>32711</v>
      </c>
      <c r="J14661" t="s">
        <v>34667</v>
      </c>
      <c r="K14661" t="s">
        <v>42624</v>
      </c>
      <c r="M14661" t="s">
        <v>44913</v>
      </c>
      <c r="N14661" t="s">
        <v>47304</v>
      </c>
      <c r="O14661" t="s">
        <v>47305</v>
      </c>
      <c r="P14661">
        <v>0</v>
      </c>
      <c r="Q14661">
        <v>11</v>
      </c>
      <c r="R14661" t="s">
        <v>47325</v>
      </c>
      <c r="S14661" t="s">
        <v>48215</v>
      </c>
      <c r="T14661" t="s">
        <v>49068</v>
      </c>
      <c r="U14661" t="s">
        <v>61663</v>
      </c>
      <c r="W14661" t="s">
        <v>44913</v>
      </c>
      <c r="X14661" t="s">
        <v>47326</v>
      </c>
    </row>
    <row r="14662" spans="1:24">
      <c r="A14662">
        <f>HYPERLINK("https://www.philgeps.gov.ph/GEPSNONPILOT/Tender/SplashBidNoticeAbstractUI.aspx?menuIndex=3&amp;refID=7160954&amp;Result=3","7160954")</f>
        <v>0</v>
      </c>
      <c r="B14662" t="s">
        <v>3385</v>
      </c>
      <c r="C14662" t="s">
        <v>17734</v>
      </c>
      <c r="D14662" t="s">
        <v>19011</v>
      </c>
      <c r="E14662" t="s">
        <v>31481</v>
      </c>
      <c r="F14662" t="s">
        <v>32606</v>
      </c>
      <c r="G14662" t="s">
        <v>32613</v>
      </c>
      <c r="H14662" t="s">
        <v>14201</v>
      </c>
      <c r="I14662" t="s">
        <v>32734</v>
      </c>
      <c r="J14662" t="s">
        <v>41823</v>
      </c>
      <c r="K14662" t="s">
        <v>42646</v>
      </c>
      <c r="M14662" t="s">
        <v>46637</v>
      </c>
      <c r="N14662" t="s">
        <v>47304</v>
      </c>
      <c r="O14662" t="s">
        <v>47305</v>
      </c>
      <c r="P14662">
        <v>0</v>
      </c>
      <c r="Q14662">
        <v>1</v>
      </c>
      <c r="R14662" t="s">
        <v>47325</v>
      </c>
      <c r="S14662" t="s">
        <v>48215</v>
      </c>
      <c r="T14662" t="s">
        <v>49100</v>
      </c>
      <c r="U14662" t="s">
        <v>61664</v>
      </c>
      <c r="W14662" t="s">
        <v>46637</v>
      </c>
      <c r="X14662" t="s">
        <v>47326</v>
      </c>
    </row>
    <row r="14663" spans="1:24">
      <c r="A14663">
        <f>HYPERLINK("https://www.philgeps.gov.ph/GEPSNONPILOT/Tender/SplashBidNoticeAbstractUI.aspx?menuIndex=3&amp;refID=7160906&amp;Result=3","7160906")</f>
        <v>0</v>
      </c>
      <c r="B14663" t="s">
        <v>3796</v>
      </c>
      <c r="C14663" t="s">
        <v>17735</v>
      </c>
      <c r="D14663" t="s">
        <v>19024</v>
      </c>
      <c r="E14663" t="s">
        <v>31482</v>
      </c>
      <c r="F14663" t="s">
        <v>32606</v>
      </c>
      <c r="G14663" t="s">
        <v>32613</v>
      </c>
      <c r="H14663" t="s">
        <v>14201</v>
      </c>
      <c r="I14663" t="s">
        <v>32709</v>
      </c>
      <c r="J14663" t="s">
        <v>41824</v>
      </c>
      <c r="K14663" t="s">
        <v>42630</v>
      </c>
      <c r="M14663" t="s">
        <v>47138</v>
      </c>
      <c r="N14663" t="s">
        <v>47304</v>
      </c>
      <c r="O14663" t="s">
        <v>47305</v>
      </c>
      <c r="P14663">
        <v>0</v>
      </c>
      <c r="Q14663">
        <v>0</v>
      </c>
      <c r="R14663" t="s">
        <v>47325</v>
      </c>
      <c r="S14663" t="s">
        <v>48215</v>
      </c>
      <c r="T14663" t="s">
        <v>49053</v>
      </c>
      <c r="U14663" t="s">
        <v>61665</v>
      </c>
      <c r="W14663" t="s">
        <v>47138</v>
      </c>
      <c r="X14663" t="s">
        <v>47326</v>
      </c>
    </row>
    <row r="14664" spans="1:24">
      <c r="A14664">
        <f>HYPERLINK("https://www.philgeps.gov.ph/GEPSNONPILOT/Tender/SplashBidNoticeAbstractUI.aspx?menuIndex=3&amp;refID=7160882&amp;Result=3","7160882")</f>
        <v>0</v>
      </c>
      <c r="B14664" t="s">
        <v>3797</v>
      </c>
      <c r="C14664" t="s">
        <v>17736</v>
      </c>
      <c r="E14664" t="s">
        <v>30901</v>
      </c>
      <c r="F14664" t="s">
        <v>32608</v>
      </c>
      <c r="G14664" t="s">
        <v>32613</v>
      </c>
      <c r="H14664" t="s">
        <v>14201</v>
      </c>
      <c r="I14664" t="s">
        <v>6931</v>
      </c>
      <c r="J14664" t="s">
        <v>41825</v>
      </c>
      <c r="K14664" t="s">
        <v>42624</v>
      </c>
      <c r="M14664" t="s">
        <v>47139</v>
      </c>
      <c r="N14664" t="s">
        <v>47304</v>
      </c>
      <c r="O14664" t="s">
        <v>47305</v>
      </c>
      <c r="P14664">
        <v>0</v>
      </c>
      <c r="Q14664">
        <v>1</v>
      </c>
      <c r="R14664" t="s">
        <v>47325</v>
      </c>
      <c r="S14664" t="s">
        <v>48215</v>
      </c>
      <c r="T14664" t="s">
        <v>49269</v>
      </c>
      <c r="U14664" t="s">
        <v>61092</v>
      </c>
      <c r="W14664" t="s">
        <v>47139</v>
      </c>
      <c r="X14664" t="s">
        <v>47326</v>
      </c>
    </row>
    <row r="14665" spans="1:24">
      <c r="A14665">
        <f>HYPERLINK("https://www.philgeps.gov.ph/GEPSNONPILOT/Tender/SplashBidNoticeAbstractUI.aspx?menuIndex=3&amp;refID=7160851&amp;Result=3","7160851")</f>
        <v>0</v>
      </c>
      <c r="B14665" t="s">
        <v>3789</v>
      </c>
      <c r="C14665" t="s">
        <v>17737</v>
      </c>
      <c r="D14665" t="s">
        <v>19037</v>
      </c>
      <c r="E14665" t="s">
        <v>31483</v>
      </c>
      <c r="F14665" t="s">
        <v>32606</v>
      </c>
      <c r="G14665" t="s">
        <v>32613</v>
      </c>
      <c r="H14665" t="s">
        <v>14201</v>
      </c>
      <c r="I14665" t="s">
        <v>32673</v>
      </c>
      <c r="J14665" t="s">
        <v>32772</v>
      </c>
      <c r="K14665" t="s">
        <v>42631</v>
      </c>
      <c r="M14665" t="s">
        <v>47130</v>
      </c>
      <c r="N14665" t="s">
        <v>47304</v>
      </c>
      <c r="O14665" t="s">
        <v>47305</v>
      </c>
      <c r="P14665">
        <v>0</v>
      </c>
      <c r="Q14665">
        <v>3</v>
      </c>
      <c r="R14665" t="s">
        <v>47325</v>
      </c>
      <c r="S14665" t="s">
        <v>48215</v>
      </c>
      <c r="T14665" t="s">
        <v>49071</v>
      </c>
      <c r="U14665" t="s">
        <v>61620</v>
      </c>
      <c r="W14665" t="s">
        <v>47130</v>
      </c>
      <c r="X14665" t="s">
        <v>47326</v>
      </c>
    </row>
    <row r="14666" spans="1:24">
      <c r="A14666">
        <f>HYPERLINK("https://www.philgeps.gov.ph/GEPSNONPILOT/Tender/SplashBidNoticeAbstractUI.aspx?menuIndex=3&amp;refID=7160957&amp;Result=3","7160957")</f>
        <v>0</v>
      </c>
      <c r="B14666" t="s">
        <v>3790</v>
      </c>
      <c r="C14666" t="s">
        <v>17738</v>
      </c>
      <c r="D14666" t="s">
        <v>19042</v>
      </c>
      <c r="E14666" t="s">
        <v>31484</v>
      </c>
      <c r="F14666" t="s">
        <v>32606</v>
      </c>
      <c r="G14666" t="s">
        <v>32613</v>
      </c>
      <c r="H14666" t="s">
        <v>14201</v>
      </c>
      <c r="I14666" t="s">
        <v>4114</v>
      </c>
      <c r="J14666" t="s">
        <v>41826</v>
      </c>
      <c r="K14666" t="s">
        <v>42623</v>
      </c>
      <c r="M14666" t="s">
        <v>47131</v>
      </c>
      <c r="N14666" t="s">
        <v>47304</v>
      </c>
      <c r="O14666" t="s">
        <v>47305</v>
      </c>
      <c r="P14666">
        <v>0</v>
      </c>
      <c r="Q14666">
        <v>3</v>
      </c>
      <c r="R14666" t="s">
        <v>47325</v>
      </c>
      <c r="S14666" t="s">
        <v>48215</v>
      </c>
      <c r="T14666" t="s">
        <v>49071</v>
      </c>
      <c r="U14666" t="s">
        <v>61666</v>
      </c>
      <c r="W14666" t="s">
        <v>47131</v>
      </c>
      <c r="X14666" t="s">
        <v>47326</v>
      </c>
    </row>
    <row r="14667" spans="1:24">
      <c r="A14667">
        <f>HYPERLINK("https://www.philgeps.gov.ph/GEPSNONPILOT/Tender/SplashBidNoticeAbstractUI.aspx?menuIndex=3&amp;refID=7160874&amp;Result=3","7160874")</f>
        <v>0</v>
      </c>
      <c r="B14667" t="s">
        <v>1895</v>
      </c>
      <c r="C14667" t="s">
        <v>17739</v>
      </c>
      <c r="D14667" t="s">
        <v>19034</v>
      </c>
      <c r="E14667" t="s">
        <v>31485</v>
      </c>
      <c r="F14667" t="s">
        <v>32606</v>
      </c>
      <c r="G14667" t="s">
        <v>32614</v>
      </c>
      <c r="H14667" t="s">
        <v>14201</v>
      </c>
      <c r="I14667" t="s">
        <v>7677</v>
      </c>
      <c r="J14667" t="s">
        <v>41827</v>
      </c>
      <c r="K14667" t="s">
        <v>42648</v>
      </c>
      <c r="M14667" t="s">
        <v>44954</v>
      </c>
      <c r="N14667" t="s">
        <v>47304</v>
      </c>
      <c r="O14667" t="s">
        <v>47305</v>
      </c>
      <c r="P14667">
        <v>0</v>
      </c>
      <c r="Q14667">
        <v>2</v>
      </c>
      <c r="R14667" t="s">
        <v>47325</v>
      </c>
      <c r="S14667" t="s">
        <v>48215</v>
      </c>
      <c r="T14667" t="s">
        <v>49268</v>
      </c>
      <c r="U14667" t="s">
        <v>56056</v>
      </c>
      <c r="W14667" t="s">
        <v>44954</v>
      </c>
      <c r="X14667" t="s">
        <v>47326</v>
      </c>
    </row>
    <row r="14668" spans="1:24">
      <c r="A14668">
        <f>HYPERLINK("https://www.philgeps.gov.ph/GEPSNONPILOT/Tender/SplashBidNoticeAbstractUI.aspx?menuIndex=3&amp;refID=7160868&amp;Result=3","7160868")</f>
        <v>0</v>
      </c>
      <c r="B14668" t="s">
        <v>2783</v>
      </c>
      <c r="C14668" t="s">
        <v>17740</v>
      </c>
      <c r="D14668" t="s">
        <v>19050</v>
      </c>
      <c r="E14668" t="s">
        <v>31486</v>
      </c>
      <c r="F14668" t="s">
        <v>32606</v>
      </c>
      <c r="G14668" t="s">
        <v>32613</v>
      </c>
      <c r="H14668" t="s">
        <v>32623</v>
      </c>
      <c r="I14668" t="s">
        <v>17648</v>
      </c>
      <c r="J14668" t="s">
        <v>41828</v>
      </c>
      <c r="K14668" t="s">
        <v>42656</v>
      </c>
      <c r="M14668" t="s">
        <v>45945</v>
      </c>
      <c r="N14668" t="s">
        <v>47304</v>
      </c>
      <c r="O14668" t="s">
        <v>47305</v>
      </c>
      <c r="P14668">
        <v>0</v>
      </c>
      <c r="Q14668">
        <v>0</v>
      </c>
      <c r="R14668" t="s">
        <v>47325</v>
      </c>
      <c r="S14668" t="s">
        <v>48215</v>
      </c>
      <c r="T14668" t="s">
        <v>49071</v>
      </c>
      <c r="U14668" t="s">
        <v>56853</v>
      </c>
      <c r="V14668" t="s">
        <v>64258</v>
      </c>
      <c r="W14668" t="s">
        <v>45945</v>
      </c>
      <c r="X14668" t="s">
        <v>47326</v>
      </c>
    </row>
    <row r="14669" spans="1:24">
      <c r="A14669">
        <f>HYPERLINK("https://www.philgeps.gov.ph/GEPSNONPILOT/Tender/SplashBidNoticeAbstractUI.aspx?menuIndex=3&amp;refID=7160990&amp;Result=3","7160990")</f>
        <v>0</v>
      </c>
      <c r="B14669" t="s">
        <v>3784</v>
      </c>
      <c r="C14669" t="s">
        <v>17741</v>
      </c>
      <c r="D14669" t="s">
        <v>19008</v>
      </c>
      <c r="E14669" t="s">
        <v>21376</v>
      </c>
      <c r="F14669" t="s">
        <v>32606</v>
      </c>
      <c r="G14669" t="s">
        <v>32613</v>
      </c>
      <c r="H14669" t="s">
        <v>14201</v>
      </c>
      <c r="I14669" t="s">
        <v>4120</v>
      </c>
      <c r="J14669" t="s">
        <v>41829</v>
      </c>
      <c r="K14669" t="s">
        <v>42622</v>
      </c>
      <c r="M14669" t="s">
        <v>47121</v>
      </c>
      <c r="N14669" t="s">
        <v>47304</v>
      </c>
      <c r="O14669" t="s">
        <v>47305</v>
      </c>
      <c r="P14669">
        <v>0</v>
      </c>
      <c r="Q14669">
        <v>3</v>
      </c>
      <c r="R14669" t="s">
        <v>47325</v>
      </c>
      <c r="S14669" t="s">
        <v>48215</v>
      </c>
      <c r="T14669" t="s">
        <v>49165</v>
      </c>
      <c r="U14669" t="s">
        <v>61667</v>
      </c>
      <c r="V14669" t="s">
        <v>64259</v>
      </c>
      <c r="W14669" t="s">
        <v>47121</v>
      </c>
      <c r="X14669" t="s">
        <v>47326</v>
      </c>
    </row>
    <row r="14670" spans="1:24">
      <c r="A14670">
        <f>HYPERLINK("https://www.philgeps.gov.ph/GEPSNONPILOT/Tender/SplashBidNoticeAbstractUI.aspx?menuIndex=3&amp;refID=7160983&amp;Result=3","7160983")</f>
        <v>0</v>
      </c>
      <c r="B14670" t="s">
        <v>3798</v>
      </c>
      <c r="C14670" t="s">
        <v>17742</v>
      </c>
      <c r="D14670" t="s">
        <v>18988</v>
      </c>
      <c r="E14670" t="s">
        <v>26077</v>
      </c>
      <c r="F14670" t="s">
        <v>32606</v>
      </c>
      <c r="G14670" t="s">
        <v>32613</v>
      </c>
      <c r="H14670" t="s">
        <v>14201</v>
      </c>
      <c r="I14670" t="s">
        <v>4369</v>
      </c>
      <c r="J14670" t="s">
        <v>41830</v>
      </c>
      <c r="K14670" t="s">
        <v>42622</v>
      </c>
      <c r="M14670" t="s">
        <v>47140</v>
      </c>
      <c r="N14670" t="s">
        <v>47304</v>
      </c>
      <c r="O14670" t="s">
        <v>47305</v>
      </c>
      <c r="P14670">
        <v>0</v>
      </c>
      <c r="Q14670">
        <v>1</v>
      </c>
      <c r="R14670" t="s">
        <v>47325</v>
      </c>
      <c r="S14670" t="s">
        <v>48215</v>
      </c>
      <c r="T14670" t="s">
        <v>49047</v>
      </c>
      <c r="U14670" t="s">
        <v>61668</v>
      </c>
      <c r="W14670" t="s">
        <v>47140</v>
      </c>
      <c r="X14670" t="s">
        <v>47326</v>
      </c>
    </row>
    <row r="14671" spans="1:24">
      <c r="A14671">
        <f>HYPERLINK("https://www.philgeps.gov.ph/GEPSNONPILOT/Tender/SplashBidNoticeAbstractUI.aspx?menuIndex=3&amp;refID=7160960&amp;Result=3","7160960")</f>
        <v>0</v>
      </c>
      <c r="B14671" t="s">
        <v>2117</v>
      </c>
      <c r="C14671" t="s">
        <v>17743</v>
      </c>
      <c r="D14671" t="s">
        <v>19063</v>
      </c>
      <c r="E14671" t="s">
        <v>31487</v>
      </c>
      <c r="F14671" t="s">
        <v>32606</v>
      </c>
      <c r="G14671" t="s">
        <v>32613</v>
      </c>
      <c r="H14671" t="s">
        <v>14201</v>
      </c>
      <c r="I14671" t="s">
        <v>4678</v>
      </c>
      <c r="J14671" t="s">
        <v>36024</v>
      </c>
      <c r="K14671" t="s">
        <v>42648</v>
      </c>
      <c r="M14671" t="s">
        <v>45204</v>
      </c>
      <c r="N14671" t="s">
        <v>47304</v>
      </c>
      <c r="O14671" t="s">
        <v>47305</v>
      </c>
      <c r="Q14671">
        <v>6</v>
      </c>
      <c r="R14671" t="s">
        <v>47325</v>
      </c>
      <c r="S14671" t="s">
        <v>48309</v>
      </c>
      <c r="T14671" t="s">
        <v>49053</v>
      </c>
      <c r="U14671" t="s">
        <v>54829</v>
      </c>
      <c r="W14671" t="s">
        <v>45204</v>
      </c>
      <c r="X14671" t="s">
        <v>47326</v>
      </c>
    </row>
    <row r="14672" spans="1:24">
      <c r="A14672">
        <f>HYPERLINK("https://www.philgeps.gov.ph/GEPSNONPILOT/Tender/SplashBidNoticeAbstractUI.aspx?menuIndex=3&amp;refID=7160951&amp;Result=3","7160951")</f>
        <v>0</v>
      </c>
      <c r="B14672" t="s">
        <v>2547</v>
      </c>
      <c r="C14672" t="s">
        <v>17744</v>
      </c>
      <c r="E14672" t="s">
        <v>31488</v>
      </c>
      <c r="F14672" t="s">
        <v>32606</v>
      </c>
      <c r="G14672" t="s">
        <v>32613</v>
      </c>
      <c r="H14672" t="s">
        <v>14201</v>
      </c>
      <c r="I14672" t="s">
        <v>7064</v>
      </c>
      <c r="J14672" t="s">
        <v>33071</v>
      </c>
      <c r="K14672" t="s">
        <v>42636</v>
      </c>
      <c r="M14672" t="s">
        <v>47141</v>
      </c>
      <c r="N14672" t="s">
        <v>47304</v>
      </c>
      <c r="O14672" t="s">
        <v>47305</v>
      </c>
      <c r="Q14672">
        <v>9</v>
      </c>
      <c r="R14672" t="s">
        <v>47325</v>
      </c>
      <c r="S14672" t="s">
        <v>48310</v>
      </c>
      <c r="T14672" t="s">
        <v>49381</v>
      </c>
      <c r="U14672" t="s">
        <v>61669</v>
      </c>
      <c r="W14672" t="s">
        <v>47141</v>
      </c>
      <c r="X14672" t="s">
        <v>47326</v>
      </c>
    </row>
    <row r="14673" spans="1:24">
      <c r="A14673">
        <f>HYPERLINK("https://www.philgeps.gov.ph/GEPSNONPILOT/Tender/SplashBidNoticeAbstractUI.aspx?menuIndex=3&amp;refID=7160973&amp;Result=3","7160973")</f>
        <v>0</v>
      </c>
      <c r="B14673" t="s">
        <v>3789</v>
      </c>
      <c r="C14673" t="s">
        <v>17745</v>
      </c>
      <c r="D14673" t="s">
        <v>19037</v>
      </c>
      <c r="E14673" t="s">
        <v>31489</v>
      </c>
      <c r="F14673" t="s">
        <v>32606</v>
      </c>
      <c r="G14673" t="s">
        <v>32613</v>
      </c>
      <c r="H14673" t="s">
        <v>14201</v>
      </c>
      <c r="I14673" t="s">
        <v>32673</v>
      </c>
      <c r="J14673" t="s">
        <v>32778</v>
      </c>
      <c r="K14673" t="s">
        <v>42631</v>
      </c>
      <c r="M14673" t="s">
        <v>47130</v>
      </c>
      <c r="N14673" t="s">
        <v>47304</v>
      </c>
      <c r="O14673" t="s">
        <v>47305</v>
      </c>
      <c r="P14673">
        <v>0</v>
      </c>
      <c r="Q14673">
        <v>4</v>
      </c>
      <c r="R14673" t="s">
        <v>47325</v>
      </c>
      <c r="S14673" t="s">
        <v>48215</v>
      </c>
      <c r="T14673" t="s">
        <v>49071</v>
      </c>
      <c r="U14673" t="s">
        <v>61620</v>
      </c>
      <c r="W14673" t="s">
        <v>47130</v>
      </c>
      <c r="X14673" t="s">
        <v>47326</v>
      </c>
    </row>
    <row r="14674" spans="1:24">
      <c r="A14674">
        <f>HYPERLINK("https://www.philgeps.gov.ph/GEPSNONPILOT/Tender/SplashBidNoticeAbstractUI.aspx?menuIndex=3&amp;refID=7160820&amp;Result=3","7160820")</f>
        <v>0</v>
      </c>
      <c r="B14674" t="s">
        <v>2740</v>
      </c>
      <c r="C14674" t="s">
        <v>17746</v>
      </c>
      <c r="D14674" t="s">
        <v>18992</v>
      </c>
      <c r="E14674" t="s">
        <v>31490</v>
      </c>
      <c r="F14674" t="s">
        <v>32606</v>
      </c>
      <c r="G14674" t="s">
        <v>32613</v>
      </c>
      <c r="H14674" t="s">
        <v>32623</v>
      </c>
      <c r="I14674" t="s">
        <v>17648</v>
      </c>
      <c r="J14674" t="s">
        <v>33871</v>
      </c>
      <c r="K14674" t="s">
        <v>42657</v>
      </c>
      <c r="M14674" t="s">
        <v>45896</v>
      </c>
      <c r="N14674" t="s">
        <v>47304</v>
      </c>
      <c r="O14674" t="s">
        <v>47305</v>
      </c>
      <c r="Q14674">
        <v>3</v>
      </c>
      <c r="R14674" t="s">
        <v>47325</v>
      </c>
      <c r="S14674" t="s">
        <v>48311</v>
      </c>
      <c r="T14674" t="s">
        <v>49268</v>
      </c>
      <c r="U14674" t="s">
        <v>61670</v>
      </c>
      <c r="W14674" t="s">
        <v>45896</v>
      </c>
      <c r="X14674" t="s">
        <v>47326</v>
      </c>
    </row>
    <row r="14675" spans="1:24">
      <c r="A14675">
        <f>HYPERLINK("https://www.philgeps.gov.ph/GEPSNONPILOT/Tender/SplashBidNoticeAbstractUI.aspx?menuIndex=3&amp;refID=7160860&amp;Result=3","7160860")</f>
        <v>0</v>
      </c>
      <c r="B14675" t="s">
        <v>2441</v>
      </c>
      <c r="C14675" t="s">
        <v>17747</v>
      </c>
      <c r="D14675" t="s">
        <v>19016</v>
      </c>
      <c r="E14675" t="s">
        <v>31491</v>
      </c>
      <c r="F14675" t="s">
        <v>32606</v>
      </c>
      <c r="G14675" t="s">
        <v>32613</v>
      </c>
      <c r="H14675" t="s">
        <v>14201</v>
      </c>
      <c r="I14675" t="s">
        <v>6931</v>
      </c>
      <c r="J14675" t="s">
        <v>41831</v>
      </c>
      <c r="K14675" t="s">
        <v>42631</v>
      </c>
      <c r="M14675" t="s">
        <v>45569</v>
      </c>
      <c r="N14675" t="s">
        <v>47304</v>
      </c>
      <c r="O14675" t="s">
        <v>47305</v>
      </c>
      <c r="Q14675">
        <v>8</v>
      </c>
      <c r="R14675" t="s">
        <v>47325</v>
      </c>
      <c r="S14675" t="s">
        <v>48312</v>
      </c>
      <c r="T14675" t="s">
        <v>49072</v>
      </c>
      <c r="U14675" t="s">
        <v>61671</v>
      </c>
      <c r="W14675" t="s">
        <v>45569</v>
      </c>
      <c r="X14675" t="s">
        <v>47326</v>
      </c>
    </row>
    <row r="14676" spans="1:24">
      <c r="A14676">
        <f>HYPERLINK("https://www.philgeps.gov.ph/GEPSNONPILOT/Tender/SplashBidNoticeAbstractUI.aspx?menuIndex=3&amp;refID=7161017&amp;Result=3","7161017")</f>
        <v>0</v>
      </c>
      <c r="B14676" t="s">
        <v>2742</v>
      </c>
      <c r="C14676" t="s">
        <v>17748</v>
      </c>
      <c r="D14676" t="s">
        <v>19019</v>
      </c>
      <c r="E14676" t="s">
        <v>31492</v>
      </c>
      <c r="F14676" t="s">
        <v>32606</v>
      </c>
      <c r="G14676" t="s">
        <v>32613</v>
      </c>
      <c r="H14676" t="s">
        <v>14201</v>
      </c>
      <c r="I14676" t="s">
        <v>32655</v>
      </c>
      <c r="J14676" t="s">
        <v>32789</v>
      </c>
      <c r="K14676" t="s">
        <v>42623</v>
      </c>
      <c r="M14676" t="s">
        <v>45898</v>
      </c>
      <c r="N14676" t="s">
        <v>47304</v>
      </c>
      <c r="O14676" t="s">
        <v>47305</v>
      </c>
      <c r="P14676">
        <v>0</v>
      </c>
      <c r="Q14676">
        <v>5</v>
      </c>
      <c r="R14676" t="s">
        <v>47325</v>
      </c>
      <c r="S14676" t="s">
        <v>48215</v>
      </c>
      <c r="T14676" t="s">
        <v>49373</v>
      </c>
      <c r="U14676" t="s">
        <v>61672</v>
      </c>
      <c r="W14676" t="s">
        <v>45898</v>
      </c>
      <c r="X14676" t="s">
        <v>47326</v>
      </c>
    </row>
    <row r="14677" spans="1:24">
      <c r="A14677">
        <f>HYPERLINK("https://www.philgeps.gov.ph/GEPSNONPILOT/Tender/SplashBidNoticeAbstractUI.aspx?menuIndex=3&amp;refID=7160979&amp;Result=3","7160979")</f>
        <v>0</v>
      </c>
      <c r="B14677" t="s">
        <v>1014</v>
      </c>
      <c r="C14677" t="s">
        <v>17749</v>
      </c>
      <c r="D14677" t="s">
        <v>18989</v>
      </c>
      <c r="E14677" t="s">
        <v>31493</v>
      </c>
      <c r="F14677" t="s">
        <v>32606</v>
      </c>
      <c r="G14677" t="s">
        <v>32617</v>
      </c>
      <c r="H14677" t="s">
        <v>14201</v>
      </c>
      <c r="I14677" t="s">
        <v>7577</v>
      </c>
      <c r="J14677" t="s">
        <v>37583</v>
      </c>
      <c r="K14677" t="s">
        <v>42677</v>
      </c>
      <c r="L14677" t="s">
        <v>1014</v>
      </c>
      <c r="M14677" t="s">
        <v>43962</v>
      </c>
      <c r="N14677" t="s">
        <v>47304</v>
      </c>
      <c r="O14677" t="s">
        <v>47305</v>
      </c>
      <c r="Q14677">
        <v>3</v>
      </c>
      <c r="R14677" t="s">
        <v>47325</v>
      </c>
      <c r="S14677" t="s">
        <v>47496</v>
      </c>
      <c r="T14677" t="s">
        <v>49158</v>
      </c>
      <c r="U14677" t="s">
        <v>51580</v>
      </c>
      <c r="W14677" t="s">
        <v>43962</v>
      </c>
      <c r="X14677" t="s">
        <v>47326</v>
      </c>
    </row>
    <row r="14678" spans="1:24">
      <c r="A14678">
        <f>HYPERLINK("https://www.philgeps.gov.ph/GEPSNONPILOT/Tender/SplashBidNoticeAbstractUI.aspx?menuIndex=3&amp;refID=7161142&amp;Result=3","7161142")</f>
        <v>0</v>
      </c>
      <c r="B14678" t="s">
        <v>3799</v>
      </c>
      <c r="C14678" t="s">
        <v>17750</v>
      </c>
      <c r="D14678" t="s">
        <v>19027</v>
      </c>
      <c r="E14678" t="s">
        <v>31494</v>
      </c>
      <c r="F14678" t="s">
        <v>32606</v>
      </c>
      <c r="G14678" t="s">
        <v>32613</v>
      </c>
      <c r="H14678" t="s">
        <v>14201</v>
      </c>
      <c r="I14678" t="s">
        <v>6931</v>
      </c>
      <c r="J14678" t="s">
        <v>41832</v>
      </c>
      <c r="K14678" t="s">
        <v>42623</v>
      </c>
      <c r="M14678" t="s">
        <v>47142</v>
      </c>
      <c r="N14678" t="s">
        <v>47304</v>
      </c>
      <c r="O14678" t="s">
        <v>47305</v>
      </c>
      <c r="P14678">
        <v>0</v>
      </c>
      <c r="Q14678">
        <v>0</v>
      </c>
      <c r="R14678" t="s">
        <v>47325</v>
      </c>
      <c r="S14678" t="s">
        <v>48215</v>
      </c>
      <c r="T14678" t="s">
        <v>49315</v>
      </c>
      <c r="U14678" t="s">
        <v>61673</v>
      </c>
      <c r="W14678" t="s">
        <v>47142</v>
      </c>
      <c r="X14678" t="s">
        <v>47326</v>
      </c>
    </row>
    <row r="14679" spans="1:24">
      <c r="A14679">
        <f>HYPERLINK("https://www.philgeps.gov.ph/GEPSNONPILOT/Tender/SplashBidNoticeAbstractUI.aspx?menuIndex=3&amp;refID=7160875&amp;Result=3","7160875")</f>
        <v>0</v>
      </c>
      <c r="B14679" t="s">
        <v>2533</v>
      </c>
      <c r="C14679" t="s">
        <v>17751</v>
      </c>
      <c r="D14679" t="s">
        <v>18988</v>
      </c>
      <c r="E14679" t="s">
        <v>31495</v>
      </c>
      <c r="F14679" t="s">
        <v>32606</v>
      </c>
      <c r="G14679" t="s">
        <v>32613</v>
      </c>
      <c r="H14679" t="s">
        <v>32623</v>
      </c>
      <c r="I14679" t="s">
        <v>17648</v>
      </c>
      <c r="J14679" t="s">
        <v>38769</v>
      </c>
      <c r="K14679" t="s">
        <v>42694</v>
      </c>
      <c r="M14679" t="s">
        <v>45673</v>
      </c>
      <c r="N14679" t="s">
        <v>47304</v>
      </c>
      <c r="O14679" t="s">
        <v>47305</v>
      </c>
      <c r="P14679">
        <v>0</v>
      </c>
      <c r="Q14679">
        <v>12</v>
      </c>
      <c r="R14679" t="s">
        <v>47325</v>
      </c>
      <c r="S14679" t="s">
        <v>48215</v>
      </c>
      <c r="T14679" t="s">
        <v>49256</v>
      </c>
      <c r="U14679" t="s">
        <v>61674</v>
      </c>
      <c r="W14679" t="s">
        <v>45673</v>
      </c>
      <c r="X14679" t="s">
        <v>47326</v>
      </c>
    </row>
    <row r="14680" spans="1:24">
      <c r="A14680">
        <f>HYPERLINK("https://www.philgeps.gov.ph/GEPSNONPILOT/Tender/SplashBidNoticeAbstractUI.aspx?menuIndex=3&amp;refID=7161123&amp;Result=3","7161123")</f>
        <v>0</v>
      </c>
      <c r="B14680" t="s">
        <v>3751</v>
      </c>
      <c r="C14680" t="s">
        <v>17752</v>
      </c>
      <c r="D14680" t="s">
        <v>19046</v>
      </c>
      <c r="E14680" t="s">
        <v>31496</v>
      </c>
      <c r="F14680" t="s">
        <v>32606</v>
      </c>
      <c r="G14680" t="s">
        <v>32613</v>
      </c>
      <c r="H14680" t="s">
        <v>14201</v>
      </c>
      <c r="I14680" t="s">
        <v>4120</v>
      </c>
      <c r="J14680" t="s">
        <v>41833</v>
      </c>
      <c r="K14680" t="s">
        <v>42631</v>
      </c>
      <c r="M14680" t="s">
        <v>47082</v>
      </c>
      <c r="N14680" t="s">
        <v>47304</v>
      </c>
      <c r="O14680" t="s">
        <v>47305</v>
      </c>
      <c r="P14680">
        <v>0</v>
      </c>
      <c r="Q14680">
        <v>2</v>
      </c>
      <c r="R14680" t="s">
        <v>47325</v>
      </c>
      <c r="S14680" t="s">
        <v>48215</v>
      </c>
      <c r="T14680" t="s">
        <v>49053</v>
      </c>
      <c r="U14680" t="s">
        <v>61675</v>
      </c>
      <c r="V14680" t="s">
        <v>64198</v>
      </c>
      <c r="W14680" t="s">
        <v>47082</v>
      </c>
      <c r="X14680" t="s">
        <v>47326</v>
      </c>
    </row>
    <row r="14681" spans="1:24">
      <c r="A14681">
        <f>HYPERLINK("https://www.philgeps.gov.ph/GEPSNONPILOT/Tender/SplashBidNoticeAbstractUI.aspx?menuIndex=3&amp;refID=7161119&amp;Result=3","7161119")</f>
        <v>0</v>
      </c>
      <c r="B14681" t="s">
        <v>1278</v>
      </c>
      <c r="C14681" t="s">
        <v>17753</v>
      </c>
      <c r="E14681" t="s">
        <v>31497</v>
      </c>
      <c r="F14681" t="s">
        <v>32606</v>
      </c>
      <c r="G14681" t="s">
        <v>32613</v>
      </c>
      <c r="H14681" t="s">
        <v>14201</v>
      </c>
      <c r="I14681" t="s">
        <v>32640</v>
      </c>
      <c r="J14681" t="s">
        <v>41834</v>
      </c>
      <c r="K14681" t="s">
        <v>42624</v>
      </c>
      <c r="M14681" t="s">
        <v>44248</v>
      </c>
      <c r="N14681" t="s">
        <v>47304</v>
      </c>
      <c r="O14681" t="s">
        <v>47305</v>
      </c>
      <c r="Q14681">
        <v>18</v>
      </c>
      <c r="R14681" t="s">
        <v>47325</v>
      </c>
      <c r="S14681" t="s">
        <v>48313</v>
      </c>
      <c r="T14681" t="s">
        <v>48980</v>
      </c>
      <c r="U14681" t="s">
        <v>61676</v>
      </c>
      <c r="W14681" t="s">
        <v>44248</v>
      </c>
      <c r="X14681" t="s">
        <v>47326</v>
      </c>
    </row>
    <row r="14682" spans="1:24">
      <c r="A14682">
        <f>HYPERLINK("https://www.philgeps.gov.ph/GEPSNONPILOT/Tender/SplashBidNoticeAbstractUI.aspx?menuIndex=3&amp;refID=7161099&amp;Result=3","7161099")</f>
        <v>0</v>
      </c>
      <c r="B14682" t="s">
        <v>288</v>
      </c>
      <c r="C14682" t="s">
        <v>17754</v>
      </c>
      <c r="D14682" t="s">
        <v>19034</v>
      </c>
      <c r="E14682" t="s">
        <v>31498</v>
      </c>
      <c r="F14682" t="s">
        <v>32606</v>
      </c>
      <c r="G14682" t="s">
        <v>32613</v>
      </c>
      <c r="H14682" t="s">
        <v>32623</v>
      </c>
      <c r="I14682" t="s">
        <v>17648</v>
      </c>
      <c r="J14682" t="s">
        <v>41835</v>
      </c>
      <c r="K14682" t="s">
        <v>42666</v>
      </c>
      <c r="M14682" t="s">
        <v>43189</v>
      </c>
      <c r="N14682" t="s">
        <v>47304</v>
      </c>
      <c r="O14682" t="s">
        <v>47305</v>
      </c>
      <c r="P14682">
        <v>0</v>
      </c>
      <c r="Q14682">
        <v>4</v>
      </c>
      <c r="R14682" t="s">
        <v>47325</v>
      </c>
      <c r="S14682" t="s">
        <v>48215</v>
      </c>
      <c r="T14682" t="s">
        <v>49087</v>
      </c>
      <c r="U14682" t="s">
        <v>61677</v>
      </c>
      <c r="W14682" t="s">
        <v>64427</v>
      </c>
      <c r="X14682" t="s">
        <v>47326</v>
      </c>
    </row>
    <row r="14683" spans="1:24">
      <c r="A14683">
        <f>HYPERLINK("https://www.philgeps.gov.ph/GEPSNONPILOT/Tender/SplashBidNoticeAbstractUI.aspx?menuIndex=3&amp;refID=7161003&amp;Result=3","7161003")</f>
        <v>0</v>
      </c>
      <c r="B14683" t="s">
        <v>891</v>
      </c>
      <c r="C14683" t="s">
        <v>17755</v>
      </c>
      <c r="D14683" t="s">
        <v>19016</v>
      </c>
      <c r="E14683" t="s">
        <v>20282</v>
      </c>
      <c r="F14683" t="s">
        <v>32606</v>
      </c>
      <c r="G14683" t="s">
        <v>32613</v>
      </c>
      <c r="H14683" t="s">
        <v>14201</v>
      </c>
      <c r="I14683" t="s">
        <v>9013</v>
      </c>
      <c r="J14683" t="s">
        <v>41836</v>
      </c>
      <c r="K14683" t="s">
        <v>42631</v>
      </c>
      <c r="M14683" t="s">
        <v>43827</v>
      </c>
      <c r="N14683" t="s">
        <v>47304</v>
      </c>
      <c r="O14683" t="s">
        <v>47305</v>
      </c>
      <c r="P14683">
        <v>0</v>
      </c>
      <c r="Q14683">
        <v>11</v>
      </c>
      <c r="R14683" t="s">
        <v>47325</v>
      </c>
      <c r="S14683" t="s">
        <v>48215</v>
      </c>
      <c r="T14683" t="s">
        <v>48982</v>
      </c>
      <c r="U14683" t="s">
        <v>61678</v>
      </c>
      <c r="W14683" t="s">
        <v>43827</v>
      </c>
      <c r="X14683" t="s">
        <v>47326</v>
      </c>
    </row>
    <row r="14684" spans="1:24">
      <c r="A14684">
        <f>HYPERLINK("https://www.philgeps.gov.ph/GEPSNONPILOT/Tender/SplashBidNoticeAbstractUI.aspx?menuIndex=3&amp;refID=7161152&amp;Result=3","7161152")</f>
        <v>0</v>
      </c>
      <c r="B14684" t="s">
        <v>1278</v>
      </c>
      <c r="C14684" t="s">
        <v>17756</v>
      </c>
      <c r="E14684" t="s">
        <v>31499</v>
      </c>
      <c r="F14684" t="s">
        <v>32606</v>
      </c>
      <c r="G14684" t="s">
        <v>32613</v>
      </c>
      <c r="H14684" t="s">
        <v>14201</v>
      </c>
      <c r="I14684" t="s">
        <v>32640</v>
      </c>
      <c r="J14684" t="s">
        <v>41837</v>
      </c>
      <c r="K14684" t="s">
        <v>42624</v>
      </c>
      <c r="M14684" t="s">
        <v>44248</v>
      </c>
      <c r="N14684" t="s">
        <v>47304</v>
      </c>
      <c r="O14684" t="s">
        <v>47305</v>
      </c>
      <c r="Q14684">
        <v>18</v>
      </c>
      <c r="R14684" t="s">
        <v>47325</v>
      </c>
      <c r="S14684" t="s">
        <v>48314</v>
      </c>
      <c r="T14684" t="s">
        <v>48980</v>
      </c>
      <c r="U14684" t="s">
        <v>61679</v>
      </c>
      <c r="W14684" t="s">
        <v>44248</v>
      </c>
      <c r="X14684" t="s">
        <v>47326</v>
      </c>
    </row>
    <row r="14685" spans="1:24">
      <c r="A14685">
        <f>HYPERLINK("https://www.philgeps.gov.ph/GEPSNONPILOT/Tender/SplashBidNoticeAbstractUI.aspx?menuIndex=3&amp;refID=7161205&amp;Result=3","7161205")</f>
        <v>0</v>
      </c>
      <c r="B14685" t="s">
        <v>288</v>
      </c>
      <c r="C14685" t="s">
        <v>17757</v>
      </c>
      <c r="D14685" t="s">
        <v>19034</v>
      </c>
      <c r="E14685" t="s">
        <v>31500</v>
      </c>
      <c r="F14685" t="s">
        <v>32606</v>
      </c>
      <c r="G14685" t="s">
        <v>32613</v>
      </c>
      <c r="H14685" t="s">
        <v>14201</v>
      </c>
      <c r="I14685" t="s">
        <v>6931</v>
      </c>
      <c r="J14685" t="s">
        <v>41838</v>
      </c>
      <c r="K14685" t="s">
        <v>42623</v>
      </c>
      <c r="M14685" t="s">
        <v>43189</v>
      </c>
      <c r="N14685" t="s">
        <v>47304</v>
      </c>
      <c r="O14685" t="s">
        <v>47305</v>
      </c>
      <c r="P14685">
        <v>0</v>
      </c>
      <c r="Q14685">
        <v>1</v>
      </c>
      <c r="R14685" t="s">
        <v>47325</v>
      </c>
      <c r="S14685" t="s">
        <v>48215</v>
      </c>
      <c r="T14685" t="s">
        <v>49087</v>
      </c>
      <c r="U14685" t="s">
        <v>61680</v>
      </c>
      <c r="W14685" t="s">
        <v>64427</v>
      </c>
      <c r="X14685" t="s">
        <v>47326</v>
      </c>
    </row>
    <row r="14686" spans="1:24">
      <c r="A14686">
        <f>HYPERLINK("https://www.philgeps.gov.ph/GEPSNONPILOT/Tender/SplashBidNoticeAbstractUI.aspx?menuIndex=3&amp;refID=7161197&amp;Result=3","7161197")</f>
        <v>0</v>
      </c>
      <c r="B14686" t="s">
        <v>1895</v>
      </c>
      <c r="C14686" t="s">
        <v>17758</v>
      </c>
      <c r="D14686" t="s">
        <v>19034</v>
      </c>
      <c r="E14686" t="s">
        <v>31501</v>
      </c>
      <c r="F14686" t="s">
        <v>32606</v>
      </c>
      <c r="G14686" t="s">
        <v>32614</v>
      </c>
      <c r="H14686" t="s">
        <v>14201</v>
      </c>
      <c r="I14686" t="s">
        <v>9008</v>
      </c>
      <c r="J14686" t="s">
        <v>32973</v>
      </c>
      <c r="K14686" t="s">
        <v>42648</v>
      </c>
      <c r="M14686" t="s">
        <v>44954</v>
      </c>
      <c r="N14686" t="s">
        <v>47304</v>
      </c>
      <c r="O14686" t="s">
        <v>47305</v>
      </c>
      <c r="P14686">
        <v>0</v>
      </c>
      <c r="Q14686">
        <v>0</v>
      </c>
      <c r="R14686" t="s">
        <v>47325</v>
      </c>
      <c r="S14686" t="s">
        <v>48215</v>
      </c>
      <c r="T14686" t="s">
        <v>49268</v>
      </c>
      <c r="U14686" t="s">
        <v>56056</v>
      </c>
      <c r="W14686" t="s">
        <v>44954</v>
      </c>
      <c r="X14686" t="s">
        <v>47326</v>
      </c>
    </row>
    <row r="14687" spans="1:24">
      <c r="A14687">
        <f>HYPERLINK("https://www.philgeps.gov.ph/GEPSNONPILOT/Tender/SplashBidNoticeAbstractUI.aspx?menuIndex=3&amp;refID=7161167&amp;Result=3","7161167")</f>
        <v>0</v>
      </c>
      <c r="B14687" t="s">
        <v>1036</v>
      </c>
      <c r="C14687" t="s">
        <v>17759</v>
      </c>
      <c r="D14687" t="s">
        <v>19039</v>
      </c>
      <c r="E14687" t="s">
        <v>31502</v>
      </c>
      <c r="F14687" t="s">
        <v>32606</v>
      </c>
      <c r="G14687" t="s">
        <v>32613</v>
      </c>
      <c r="H14687" t="s">
        <v>14201</v>
      </c>
      <c r="I14687" t="s">
        <v>32654</v>
      </c>
      <c r="J14687" t="s">
        <v>41839</v>
      </c>
      <c r="K14687" t="s">
        <v>42639</v>
      </c>
      <c r="M14687" t="s">
        <v>43989</v>
      </c>
      <c r="N14687" t="s">
        <v>47304</v>
      </c>
      <c r="O14687" t="s">
        <v>47305</v>
      </c>
      <c r="P14687">
        <v>0</v>
      </c>
      <c r="Q14687">
        <v>4</v>
      </c>
      <c r="R14687" t="s">
        <v>47325</v>
      </c>
      <c r="S14687" t="s">
        <v>48215</v>
      </c>
      <c r="T14687" t="s">
        <v>49256</v>
      </c>
      <c r="U14687" t="s">
        <v>61681</v>
      </c>
      <c r="W14687" t="s">
        <v>43989</v>
      </c>
      <c r="X14687" t="s">
        <v>47326</v>
      </c>
    </row>
    <row r="14688" spans="1:24">
      <c r="A14688">
        <f>HYPERLINK("https://www.philgeps.gov.ph/GEPSNONPILOT/Tender/SplashBidNoticeAbstractUI.aspx?menuIndex=3&amp;refID=7160862&amp;Result=3","7160862")</f>
        <v>0</v>
      </c>
      <c r="B14688" t="s">
        <v>3794</v>
      </c>
      <c r="C14688" t="s">
        <v>17760</v>
      </c>
      <c r="D14688" t="s">
        <v>19004</v>
      </c>
      <c r="E14688" t="s">
        <v>31503</v>
      </c>
      <c r="F14688" t="s">
        <v>32606</v>
      </c>
      <c r="G14688" t="s">
        <v>32618</v>
      </c>
      <c r="H14688" t="s">
        <v>32623</v>
      </c>
      <c r="I14688" t="s">
        <v>17648</v>
      </c>
      <c r="J14688" t="s">
        <v>38894</v>
      </c>
      <c r="K14688" t="s">
        <v>42694</v>
      </c>
      <c r="M14688" t="s">
        <v>47136</v>
      </c>
      <c r="N14688" t="s">
        <v>47304</v>
      </c>
      <c r="O14688" t="s">
        <v>47305</v>
      </c>
      <c r="P14688">
        <v>0</v>
      </c>
      <c r="Q14688">
        <v>1</v>
      </c>
      <c r="R14688" t="s">
        <v>47325</v>
      </c>
      <c r="S14688" t="s">
        <v>48215</v>
      </c>
      <c r="T14688" t="s">
        <v>49068</v>
      </c>
      <c r="U14688" t="s">
        <v>56192</v>
      </c>
      <c r="W14688" t="s">
        <v>47136</v>
      </c>
      <c r="X14688" t="s">
        <v>47326</v>
      </c>
    </row>
    <row r="14689" spans="1:24">
      <c r="A14689">
        <f>HYPERLINK("https://www.philgeps.gov.ph/GEPSNONPILOT/Tender/SplashBidNoticeAbstractUI.aspx?menuIndex=3&amp;refID=7160981&amp;Result=3","7160981")</f>
        <v>0</v>
      </c>
      <c r="B14689" t="s">
        <v>3800</v>
      </c>
      <c r="C14689" t="s">
        <v>17761</v>
      </c>
      <c r="D14689" t="s">
        <v>19039</v>
      </c>
      <c r="E14689" t="s">
        <v>19318</v>
      </c>
      <c r="F14689" t="s">
        <v>32606</v>
      </c>
      <c r="G14689" t="s">
        <v>32613</v>
      </c>
      <c r="H14689" t="s">
        <v>32623</v>
      </c>
      <c r="I14689" t="s">
        <v>17648</v>
      </c>
      <c r="J14689" t="s">
        <v>41840</v>
      </c>
      <c r="K14689" t="s">
        <v>42636</v>
      </c>
      <c r="M14689" t="s">
        <v>47143</v>
      </c>
      <c r="N14689" t="s">
        <v>47304</v>
      </c>
      <c r="O14689" t="s">
        <v>47305</v>
      </c>
      <c r="P14689">
        <v>0</v>
      </c>
      <c r="Q14689">
        <v>39</v>
      </c>
      <c r="R14689" t="s">
        <v>47325</v>
      </c>
      <c r="S14689" t="s">
        <v>48215</v>
      </c>
      <c r="T14689" t="s">
        <v>48986</v>
      </c>
      <c r="U14689" t="s">
        <v>61682</v>
      </c>
      <c r="W14689" t="s">
        <v>47143</v>
      </c>
      <c r="X14689" t="s">
        <v>47326</v>
      </c>
    </row>
    <row r="14690" spans="1:24">
      <c r="A14690">
        <f>HYPERLINK("https://www.philgeps.gov.ph/GEPSNONPILOT/Tender/SplashBidNoticeAbstractUI.aspx?menuIndex=3&amp;refID=7161166&amp;Result=3","7161166")</f>
        <v>0</v>
      </c>
      <c r="B14690" t="s">
        <v>3801</v>
      </c>
      <c r="C14690" t="s">
        <v>17762</v>
      </c>
      <c r="D14690" t="s">
        <v>19058</v>
      </c>
      <c r="E14690" t="s">
        <v>31504</v>
      </c>
      <c r="F14690" t="s">
        <v>32606</v>
      </c>
      <c r="G14690" t="s">
        <v>32613</v>
      </c>
      <c r="H14690" t="s">
        <v>32624</v>
      </c>
      <c r="I14690" t="s">
        <v>32628</v>
      </c>
      <c r="J14690" t="s">
        <v>34128</v>
      </c>
      <c r="K14690" t="s">
        <v>42631</v>
      </c>
      <c r="M14690" t="s">
        <v>47144</v>
      </c>
      <c r="N14690" t="s">
        <v>47304</v>
      </c>
      <c r="O14690" t="s">
        <v>47305</v>
      </c>
      <c r="P14690">
        <v>0</v>
      </c>
      <c r="Q14690">
        <v>4</v>
      </c>
      <c r="R14690" t="s">
        <v>47325</v>
      </c>
      <c r="S14690" t="s">
        <v>48215</v>
      </c>
      <c r="T14690" t="s">
        <v>48989</v>
      </c>
      <c r="U14690" t="s">
        <v>61683</v>
      </c>
      <c r="W14690" t="s">
        <v>47144</v>
      </c>
      <c r="X14690" t="s">
        <v>47326</v>
      </c>
    </row>
    <row r="14691" spans="1:24">
      <c r="A14691">
        <f>HYPERLINK("https://www.philgeps.gov.ph/GEPSNONPILOT/Tender/SplashBidNoticeAbstractUI.aspx?menuIndex=3&amp;refID=7161076&amp;Result=3","7161076")</f>
        <v>0</v>
      </c>
      <c r="B14691" t="s">
        <v>1014</v>
      </c>
      <c r="C14691" t="s">
        <v>17763</v>
      </c>
      <c r="D14691" t="s">
        <v>18989</v>
      </c>
      <c r="E14691" t="s">
        <v>31505</v>
      </c>
      <c r="F14691" t="s">
        <v>32606</v>
      </c>
      <c r="G14691" t="s">
        <v>32614</v>
      </c>
      <c r="H14691" t="s">
        <v>14201</v>
      </c>
      <c r="I14691" t="s">
        <v>7577</v>
      </c>
      <c r="J14691" t="s">
        <v>41841</v>
      </c>
      <c r="K14691" t="s">
        <v>42677</v>
      </c>
      <c r="L14691" t="s">
        <v>1014</v>
      </c>
      <c r="M14691" t="s">
        <v>43962</v>
      </c>
      <c r="N14691" t="s">
        <v>47304</v>
      </c>
      <c r="O14691" t="s">
        <v>47305</v>
      </c>
      <c r="Q14691">
        <v>3</v>
      </c>
      <c r="R14691" t="s">
        <v>47325</v>
      </c>
      <c r="S14691" t="s">
        <v>48315</v>
      </c>
      <c r="T14691" t="s">
        <v>49158</v>
      </c>
      <c r="U14691" t="s">
        <v>51580</v>
      </c>
      <c r="W14691" t="s">
        <v>43962</v>
      </c>
      <c r="X14691" t="s">
        <v>47326</v>
      </c>
    </row>
    <row r="14692" spans="1:24">
      <c r="A14692">
        <f>HYPERLINK("https://www.philgeps.gov.ph/GEPSNONPILOT/Tender/SplashBidNoticeAbstractUI.aspx?menuIndex=3&amp;refID=7160917&amp;Result=3","7160917")</f>
        <v>0</v>
      </c>
      <c r="B14692" t="s">
        <v>1014</v>
      </c>
      <c r="C14692" t="s">
        <v>17764</v>
      </c>
      <c r="D14692" t="s">
        <v>18989</v>
      </c>
      <c r="E14692" t="s">
        <v>31506</v>
      </c>
      <c r="F14692" t="s">
        <v>32606</v>
      </c>
      <c r="G14692" t="s">
        <v>32619</v>
      </c>
      <c r="H14692" t="s">
        <v>14201</v>
      </c>
      <c r="I14692" t="s">
        <v>7577</v>
      </c>
      <c r="J14692" t="s">
        <v>33103</v>
      </c>
      <c r="K14692" t="s">
        <v>42677</v>
      </c>
      <c r="L14692" t="s">
        <v>1014</v>
      </c>
      <c r="M14692" t="s">
        <v>43962</v>
      </c>
      <c r="N14692" t="s">
        <v>47304</v>
      </c>
      <c r="O14692" t="s">
        <v>47305</v>
      </c>
      <c r="Q14692">
        <v>8</v>
      </c>
      <c r="R14692" t="s">
        <v>47325</v>
      </c>
      <c r="S14692" t="s">
        <v>47752</v>
      </c>
      <c r="T14692" t="s">
        <v>49158</v>
      </c>
      <c r="U14692" t="s">
        <v>51580</v>
      </c>
      <c r="W14692" t="s">
        <v>43962</v>
      </c>
      <c r="X14692" t="s">
        <v>47326</v>
      </c>
    </row>
    <row r="14693" spans="1:24">
      <c r="A14693">
        <f>HYPERLINK("https://www.philgeps.gov.ph/GEPSNONPILOT/Tender/SplashBidNoticeAbstractUI.aspx?menuIndex=3&amp;refID=7161055&amp;Result=3","7161055")</f>
        <v>0</v>
      </c>
      <c r="B14693" t="s">
        <v>1014</v>
      </c>
      <c r="C14693" t="s">
        <v>17765</v>
      </c>
      <c r="D14693" t="s">
        <v>18989</v>
      </c>
      <c r="E14693" t="s">
        <v>31507</v>
      </c>
      <c r="F14693" t="s">
        <v>32606</v>
      </c>
      <c r="G14693" t="s">
        <v>32614</v>
      </c>
      <c r="H14693" t="s">
        <v>14201</v>
      </c>
      <c r="I14693" t="s">
        <v>7577</v>
      </c>
      <c r="J14693" t="s">
        <v>41842</v>
      </c>
      <c r="K14693" t="s">
        <v>42677</v>
      </c>
      <c r="L14693" t="s">
        <v>1014</v>
      </c>
      <c r="M14693" t="s">
        <v>43962</v>
      </c>
      <c r="N14693" t="s">
        <v>47304</v>
      </c>
      <c r="O14693" t="s">
        <v>47305</v>
      </c>
      <c r="Q14693">
        <v>3</v>
      </c>
      <c r="R14693" t="s">
        <v>47325</v>
      </c>
      <c r="S14693" t="s">
        <v>47444</v>
      </c>
      <c r="T14693" t="s">
        <v>49158</v>
      </c>
      <c r="U14693" t="s">
        <v>51580</v>
      </c>
      <c r="W14693" t="s">
        <v>43962</v>
      </c>
      <c r="X14693" t="s">
        <v>47326</v>
      </c>
    </row>
    <row r="14694" spans="1:24">
      <c r="A14694">
        <f>HYPERLINK("https://www.philgeps.gov.ph/GEPSNONPILOT/Tender/SplashBidNoticeAbstractUI.aspx?menuIndex=3&amp;refID=7161032&amp;Result=3","7161032")</f>
        <v>0</v>
      </c>
      <c r="B14694" t="s">
        <v>1014</v>
      </c>
      <c r="C14694" t="s">
        <v>17766</v>
      </c>
      <c r="D14694" t="s">
        <v>18989</v>
      </c>
      <c r="E14694" t="s">
        <v>31508</v>
      </c>
      <c r="F14694" t="s">
        <v>32606</v>
      </c>
      <c r="G14694" t="s">
        <v>32614</v>
      </c>
      <c r="H14694" t="s">
        <v>14201</v>
      </c>
      <c r="I14694" t="s">
        <v>7577</v>
      </c>
      <c r="J14694" t="s">
        <v>41843</v>
      </c>
      <c r="K14694" t="s">
        <v>42677</v>
      </c>
      <c r="L14694" t="s">
        <v>1014</v>
      </c>
      <c r="M14694" t="s">
        <v>43962</v>
      </c>
      <c r="N14694" t="s">
        <v>47304</v>
      </c>
      <c r="O14694" t="s">
        <v>47305</v>
      </c>
      <c r="Q14694">
        <v>3</v>
      </c>
      <c r="R14694" t="s">
        <v>47325</v>
      </c>
      <c r="S14694" t="s">
        <v>47503</v>
      </c>
      <c r="T14694" t="s">
        <v>49158</v>
      </c>
      <c r="U14694" t="s">
        <v>51580</v>
      </c>
      <c r="W14694" t="s">
        <v>43962</v>
      </c>
      <c r="X14694" t="s">
        <v>47326</v>
      </c>
    </row>
    <row r="14695" spans="1:24">
      <c r="A14695">
        <f>HYPERLINK("https://www.philgeps.gov.ph/GEPSNONPILOT/Tender/SplashBidNoticeAbstractUI.aspx?menuIndex=3&amp;refID=7161094&amp;Result=3","7161094")</f>
        <v>0</v>
      </c>
      <c r="B14695" t="s">
        <v>3789</v>
      </c>
      <c r="C14695" t="s">
        <v>17767</v>
      </c>
      <c r="D14695" t="s">
        <v>19037</v>
      </c>
      <c r="E14695" t="s">
        <v>31509</v>
      </c>
      <c r="F14695" t="s">
        <v>32606</v>
      </c>
      <c r="G14695" t="s">
        <v>32613</v>
      </c>
      <c r="H14695" t="s">
        <v>14201</v>
      </c>
      <c r="I14695" t="s">
        <v>4121</v>
      </c>
      <c r="J14695" t="s">
        <v>33016</v>
      </c>
      <c r="K14695" t="s">
        <v>42798</v>
      </c>
      <c r="M14695" t="s">
        <v>47130</v>
      </c>
      <c r="N14695" t="s">
        <v>47304</v>
      </c>
      <c r="O14695" t="s">
        <v>47305</v>
      </c>
      <c r="P14695">
        <v>0</v>
      </c>
      <c r="Q14695">
        <v>4</v>
      </c>
      <c r="R14695" t="s">
        <v>47325</v>
      </c>
      <c r="S14695" t="s">
        <v>48215</v>
      </c>
      <c r="T14695" t="s">
        <v>49071</v>
      </c>
      <c r="U14695" t="s">
        <v>61620</v>
      </c>
      <c r="W14695" t="s">
        <v>47130</v>
      </c>
      <c r="X14695" t="s">
        <v>47326</v>
      </c>
    </row>
    <row r="14696" spans="1:24">
      <c r="A14696">
        <f>HYPERLINK("https://www.philgeps.gov.ph/GEPSNONPILOT/Tender/SplashBidNoticeAbstractUI.aspx?menuIndex=3&amp;refID=7161222&amp;Result=3","7161222")</f>
        <v>0</v>
      </c>
      <c r="B14696" t="s">
        <v>696</v>
      </c>
      <c r="C14696" t="s">
        <v>17768</v>
      </c>
      <c r="D14696" t="s">
        <v>19069</v>
      </c>
      <c r="E14696" t="s">
        <v>31510</v>
      </c>
      <c r="F14696" t="s">
        <v>32606</v>
      </c>
      <c r="G14696" t="s">
        <v>32613</v>
      </c>
      <c r="H14696" t="s">
        <v>14201</v>
      </c>
      <c r="I14696" t="s">
        <v>32686</v>
      </c>
      <c r="J14696" t="s">
        <v>41844</v>
      </c>
      <c r="K14696" t="s">
        <v>42636</v>
      </c>
      <c r="M14696" t="s">
        <v>43969</v>
      </c>
      <c r="N14696" t="s">
        <v>47304</v>
      </c>
      <c r="O14696" t="s">
        <v>47305</v>
      </c>
      <c r="Q14696">
        <v>10</v>
      </c>
      <c r="R14696" t="s">
        <v>47325</v>
      </c>
      <c r="S14696" t="s">
        <v>48316</v>
      </c>
      <c r="T14696" t="s">
        <v>49347</v>
      </c>
      <c r="U14696" t="s">
        <v>61684</v>
      </c>
      <c r="V14696" t="s">
        <v>64260</v>
      </c>
      <c r="W14696" t="s">
        <v>43969</v>
      </c>
      <c r="X14696" t="s">
        <v>47326</v>
      </c>
    </row>
    <row r="14697" spans="1:24">
      <c r="A14697">
        <f>HYPERLINK("https://www.philgeps.gov.ph/GEPSNONPILOT/Tender/SplashBidNoticeAbstractUI.aspx?menuIndex=3&amp;refID=7161208&amp;Result=3","7161208")</f>
        <v>0</v>
      </c>
      <c r="B14697" t="s">
        <v>696</v>
      </c>
      <c r="C14697" t="s">
        <v>17769</v>
      </c>
      <c r="D14697" t="s">
        <v>19069</v>
      </c>
      <c r="E14697" t="s">
        <v>31511</v>
      </c>
      <c r="F14697" t="s">
        <v>32606</v>
      </c>
      <c r="G14697" t="s">
        <v>32613</v>
      </c>
      <c r="H14697" t="s">
        <v>14201</v>
      </c>
      <c r="I14697" t="s">
        <v>32686</v>
      </c>
      <c r="J14697" t="s">
        <v>33481</v>
      </c>
      <c r="K14697" t="s">
        <v>42636</v>
      </c>
      <c r="M14697" t="s">
        <v>43969</v>
      </c>
      <c r="N14697" t="s">
        <v>47304</v>
      </c>
      <c r="O14697" t="s">
        <v>47305</v>
      </c>
      <c r="Q14697">
        <v>9</v>
      </c>
      <c r="R14697" t="s">
        <v>47325</v>
      </c>
      <c r="S14697" t="s">
        <v>48317</v>
      </c>
      <c r="T14697" t="s">
        <v>49347</v>
      </c>
      <c r="U14697" t="s">
        <v>61684</v>
      </c>
      <c r="V14697" t="s">
        <v>62902</v>
      </c>
      <c r="W14697" t="s">
        <v>43969</v>
      </c>
      <c r="X14697" t="s">
        <v>47326</v>
      </c>
    </row>
    <row r="14698" spans="1:24">
      <c r="A14698">
        <f>HYPERLINK("https://www.philgeps.gov.ph/GEPSNONPILOT/Tender/SplashBidNoticeAbstractUI.aspx?menuIndex=3&amp;refID=7161066&amp;Result=3","7161066")</f>
        <v>0</v>
      </c>
      <c r="B14698" t="s">
        <v>1675</v>
      </c>
      <c r="C14698" t="s">
        <v>17770</v>
      </c>
      <c r="D14698" t="s">
        <v>19006</v>
      </c>
      <c r="E14698" t="s">
        <v>31512</v>
      </c>
      <c r="F14698" t="s">
        <v>32606</v>
      </c>
      <c r="G14698" t="s">
        <v>32613</v>
      </c>
      <c r="H14698" t="s">
        <v>14201</v>
      </c>
      <c r="I14698" t="s">
        <v>32638</v>
      </c>
      <c r="J14698" t="s">
        <v>41845</v>
      </c>
      <c r="K14698" t="s">
        <v>42648</v>
      </c>
      <c r="M14698" t="s">
        <v>45930</v>
      </c>
      <c r="N14698" t="s">
        <v>47304</v>
      </c>
      <c r="O14698" t="s">
        <v>47305</v>
      </c>
      <c r="Q14698">
        <v>45</v>
      </c>
      <c r="R14698" t="s">
        <v>47325</v>
      </c>
      <c r="S14698" t="s">
        <v>48318</v>
      </c>
      <c r="T14698" t="s">
        <v>49053</v>
      </c>
      <c r="U14698" t="s">
        <v>56807</v>
      </c>
      <c r="W14698" t="s">
        <v>45930</v>
      </c>
      <c r="X14698" t="s">
        <v>47326</v>
      </c>
    </row>
    <row r="14699" spans="1:24">
      <c r="A14699">
        <f>HYPERLINK("https://www.philgeps.gov.ph/GEPSNONPILOT/Tender/SplashBidNoticeAbstractUI.aspx?menuIndex=3&amp;refID=7160903&amp;Result=3","7160903")</f>
        <v>0</v>
      </c>
      <c r="B14699" t="s">
        <v>1353</v>
      </c>
      <c r="C14699" t="s">
        <v>17771</v>
      </c>
      <c r="D14699" t="s">
        <v>19041</v>
      </c>
      <c r="E14699" t="s">
        <v>31513</v>
      </c>
      <c r="F14699" t="s">
        <v>32606</v>
      </c>
      <c r="G14699" t="s">
        <v>32613</v>
      </c>
      <c r="H14699" t="s">
        <v>14201</v>
      </c>
      <c r="I14699" t="s">
        <v>32638</v>
      </c>
      <c r="J14699" t="s">
        <v>41846</v>
      </c>
      <c r="K14699" t="s">
        <v>42624</v>
      </c>
      <c r="M14699" t="s">
        <v>44327</v>
      </c>
      <c r="N14699" t="s">
        <v>47304</v>
      </c>
      <c r="O14699" t="s">
        <v>47305</v>
      </c>
      <c r="P14699">
        <v>0</v>
      </c>
      <c r="Q14699">
        <v>11</v>
      </c>
      <c r="R14699" t="s">
        <v>47325</v>
      </c>
      <c r="S14699" t="s">
        <v>48215</v>
      </c>
      <c r="T14699" t="s">
        <v>49020</v>
      </c>
      <c r="U14699" t="s">
        <v>61685</v>
      </c>
      <c r="V14699" t="s">
        <v>64261</v>
      </c>
      <c r="W14699" t="s">
        <v>44327</v>
      </c>
      <c r="X14699" t="s">
        <v>47326</v>
      </c>
    </row>
    <row r="14700" spans="1:24">
      <c r="A14700">
        <f>HYPERLINK("https://www.philgeps.gov.ph/GEPSNONPILOT/Tender/SplashBidNoticeAbstractUI.aspx?menuIndex=3&amp;refID=7161073&amp;Result=3","7161073")</f>
        <v>0</v>
      </c>
      <c r="B14700" t="s">
        <v>3751</v>
      </c>
      <c r="C14700" t="s">
        <v>17772</v>
      </c>
      <c r="D14700" t="s">
        <v>19046</v>
      </c>
      <c r="E14700" t="s">
        <v>31514</v>
      </c>
      <c r="F14700" t="s">
        <v>32606</v>
      </c>
      <c r="G14700" t="s">
        <v>32615</v>
      </c>
      <c r="H14700" t="s">
        <v>14201</v>
      </c>
      <c r="I14700" t="s">
        <v>32680</v>
      </c>
      <c r="J14700" t="s">
        <v>32765</v>
      </c>
      <c r="K14700" t="s">
        <v>42631</v>
      </c>
      <c r="M14700" t="s">
        <v>47082</v>
      </c>
      <c r="N14700" t="s">
        <v>47304</v>
      </c>
      <c r="O14700" t="s">
        <v>47305</v>
      </c>
      <c r="P14700">
        <v>0</v>
      </c>
      <c r="Q14700">
        <v>2</v>
      </c>
      <c r="R14700" t="s">
        <v>47325</v>
      </c>
      <c r="S14700" t="s">
        <v>48215</v>
      </c>
      <c r="T14700" t="s">
        <v>49053</v>
      </c>
      <c r="U14700" t="s">
        <v>61686</v>
      </c>
      <c r="V14700" t="s">
        <v>64262</v>
      </c>
      <c r="W14700" t="s">
        <v>47082</v>
      </c>
      <c r="X14700" t="s">
        <v>47326</v>
      </c>
    </row>
    <row r="14701" spans="1:24">
      <c r="A14701">
        <f>HYPERLINK("https://www.philgeps.gov.ph/GEPSNONPILOT/Tender/SplashBidNoticeAbstractUI.aspx?menuIndex=3&amp;refID=7161329&amp;Result=3","7161329")</f>
        <v>0</v>
      </c>
      <c r="B14701" t="s">
        <v>2783</v>
      </c>
      <c r="C14701" t="s">
        <v>17773</v>
      </c>
      <c r="D14701" t="s">
        <v>19050</v>
      </c>
      <c r="E14701" t="s">
        <v>31515</v>
      </c>
      <c r="F14701" t="s">
        <v>32606</v>
      </c>
      <c r="G14701" t="s">
        <v>32613</v>
      </c>
      <c r="H14701" t="s">
        <v>14201</v>
      </c>
      <c r="I14701" t="s">
        <v>4678</v>
      </c>
      <c r="J14701" t="s">
        <v>41847</v>
      </c>
      <c r="K14701" t="s">
        <v>42623</v>
      </c>
      <c r="M14701" t="s">
        <v>45945</v>
      </c>
      <c r="N14701" t="s">
        <v>47304</v>
      </c>
      <c r="O14701" t="s">
        <v>47305</v>
      </c>
      <c r="Q14701">
        <v>11</v>
      </c>
      <c r="R14701" t="s">
        <v>47325</v>
      </c>
      <c r="S14701" t="s">
        <v>48319</v>
      </c>
      <c r="T14701" t="s">
        <v>49071</v>
      </c>
      <c r="U14701" t="s">
        <v>61687</v>
      </c>
      <c r="W14701" t="s">
        <v>45945</v>
      </c>
      <c r="X14701" t="s">
        <v>47326</v>
      </c>
    </row>
    <row r="14702" spans="1:24">
      <c r="A14702">
        <f>HYPERLINK("https://www.philgeps.gov.ph/GEPSNONPILOT/Tender/SplashBidNoticeAbstractUI.aspx?menuIndex=3&amp;refID=7161317&amp;Result=3","7161317")</f>
        <v>0</v>
      </c>
      <c r="B14702" t="s">
        <v>2392</v>
      </c>
      <c r="C14702" t="s">
        <v>17774</v>
      </c>
      <c r="E14702" t="s">
        <v>31516</v>
      </c>
      <c r="F14702" t="s">
        <v>32606</v>
      </c>
      <c r="G14702" t="s">
        <v>32614</v>
      </c>
      <c r="H14702" t="s">
        <v>14201</v>
      </c>
      <c r="I14702" t="s">
        <v>32678</v>
      </c>
      <c r="J14702" t="s">
        <v>34048</v>
      </c>
      <c r="K14702" t="s">
        <v>42624</v>
      </c>
      <c r="M14702" t="s">
        <v>45513</v>
      </c>
      <c r="N14702" t="s">
        <v>47304</v>
      </c>
      <c r="O14702" t="s">
        <v>47305</v>
      </c>
      <c r="Q14702">
        <v>14</v>
      </c>
      <c r="R14702" t="s">
        <v>47325</v>
      </c>
      <c r="S14702" t="s">
        <v>48320</v>
      </c>
      <c r="T14702" t="s">
        <v>49020</v>
      </c>
      <c r="U14702" t="s">
        <v>61052</v>
      </c>
      <c r="W14702" t="s">
        <v>45513</v>
      </c>
      <c r="X14702" t="s">
        <v>47326</v>
      </c>
    </row>
    <row r="14703" spans="1:24">
      <c r="A14703">
        <f>HYPERLINK("https://www.philgeps.gov.ph/GEPSNONPILOT/Tender/SplashBidNoticeAbstractUI.aspx?menuIndex=3&amp;refID=7161373&amp;Result=3","7161373")</f>
        <v>0</v>
      </c>
      <c r="B14703" t="s">
        <v>737</v>
      </c>
      <c r="C14703" t="s">
        <v>17775</v>
      </c>
      <c r="D14703" t="s">
        <v>18993</v>
      </c>
      <c r="E14703" t="s">
        <v>31517</v>
      </c>
      <c r="F14703" t="s">
        <v>32606</v>
      </c>
      <c r="G14703" t="s">
        <v>32613</v>
      </c>
      <c r="H14703" t="s">
        <v>14201</v>
      </c>
      <c r="I14703" t="s">
        <v>32640</v>
      </c>
      <c r="J14703" t="s">
        <v>41848</v>
      </c>
      <c r="K14703" t="s">
        <v>42639</v>
      </c>
      <c r="M14703" t="s">
        <v>43659</v>
      </c>
      <c r="N14703" t="s">
        <v>47304</v>
      </c>
      <c r="O14703" t="s">
        <v>47305</v>
      </c>
      <c r="Q14703">
        <v>26</v>
      </c>
      <c r="R14703" t="s">
        <v>47325</v>
      </c>
      <c r="S14703" t="s">
        <v>48321</v>
      </c>
      <c r="T14703" t="s">
        <v>49020</v>
      </c>
      <c r="U14703" t="s">
        <v>61688</v>
      </c>
      <c r="W14703" t="s">
        <v>43659</v>
      </c>
      <c r="X14703" t="s">
        <v>47326</v>
      </c>
    </row>
    <row r="14704" spans="1:24">
      <c r="A14704">
        <f>HYPERLINK("https://www.philgeps.gov.ph/GEPSNONPILOT/Tender/SplashBidNoticeAbstractUI.aspx?menuIndex=3&amp;refID=7161372&amp;Result=3","7161372")</f>
        <v>0</v>
      </c>
      <c r="B14704" t="s">
        <v>1895</v>
      </c>
      <c r="C14704" t="s">
        <v>17776</v>
      </c>
      <c r="D14704" t="s">
        <v>19034</v>
      </c>
      <c r="E14704" t="s">
        <v>31518</v>
      </c>
      <c r="F14704" t="s">
        <v>32606</v>
      </c>
      <c r="G14704" t="s">
        <v>32614</v>
      </c>
      <c r="H14704" t="s">
        <v>14201</v>
      </c>
      <c r="I14704" t="s">
        <v>32655</v>
      </c>
      <c r="J14704" t="s">
        <v>41849</v>
      </c>
      <c r="K14704" t="s">
        <v>42648</v>
      </c>
      <c r="M14704" t="s">
        <v>44954</v>
      </c>
      <c r="N14704" t="s">
        <v>47304</v>
      </c>
      <c r="O14704" t="s">
        <v>47305</v>
      </c>
      <c r="P14704">
        <v>0</v>
      </c>
      <c r="Q14704">
        <v>0</v>
      </c>
      <c r="R14704" t="s">
        <v>47325</v>
      </c>
      <c r="S14704" t="s">
        <v>48215</v>
      </c>
      <c r="T14704" t="s">
        <v>49268</v>
      </c>
      <c r="U14704" t="s">
        <v>56056</v>
      </c>
      <c r="W14704" t="s">
        <v>44954</v>
      </c>
      <c r="X14704" t="s">
        <v>47326</v>
      </c>
    </row>
    <row r="14705" spans="1:24">
      <c r="A14705">
        <f>HYPERLINK("https://www.philgeps.gov.ph/GEPSNONPILOT/Tender/SplashBidNoticeAbstractUI.aspx?menuIndex=3&amp;refID=7161334&amp;Result=3","7161334")</f>
        <v>0</v>
      </c>
      <c r="B14705" t="s">
        <v>921</v>
      </c>
      <c r="C14705" t="s">
        <v>17777</v>
      </c>
      <c r="D14705" t="s">
        <v>19008</v>
      </c>
      <c r="E14705" t="s">
        <v>31519</v>
      </c>
      <c r="F14705" t="s">
        <v>32606</v>
      </c>
      <c r="G14705" t="s">
        <v>32613</v>
      </c>
      <c r="H14705" t="s">
        <v>32623</v>
      </c>
      <c r="I14705" t="s">
        <v>17648</v>
      </c>
      <c r="J14705" t="s">
        <v>39661</v>
      </c>
      <c r="K14705" t="s">
        <v>42878</v>
      </c>
      <c r="M14705" t="s">
        <v>43861</v>
      </c>
      <c r="N14705" t="s">
        <v>47304</v>
      </c>
      <c r="O14705" t="s">
        <v>47305</v>
      </c>
      <c r="Q14705">
        <v>0</v>
      </c>
      <c r="R14705" t="s">
        <v>47325</v>
      </c>
      <c r="S14705" t="s">
        <v>48322</v>
      </c>
      <c r="T14705" t="s">
        <v>49071</v>
      </c>
      <c r="U14705" t="s">
        <v>61689</v>
      </c>
      <c r="W14705" t="s">
        <v>43861</v>
      </c>
      <c r="X14705" t="s">
        <v>47326</v>
      </c>
    </row>
    <row r="14706" spans="1:24">
      <c r="A14706">
        <f>HYPERLINK("https://www.philgeps.gov.ph/GEPSNONPILOT/Tender/SplashBidNoticeAbstractUI.aspx?menuIndex=3&amp;refID=7161047&amp;Result=3","7161047")</f>
        <v>0</v>
      </c>
      <c r="B14706" t="s">
        <v>891</v>
      </c>
      <c r="C14706" t="s">
        <v>17778</v>
      </c>
      <c r="D14706" t="s">
        <v>19016</v>
      </c>
      <c r="E14706" t="s">
        <v>20397</v>
      </c>
      <c r="F14706" t="s">
        <v>32606</v>
      </c>
      <c r="G14706" t="s">
        <v>32613</v>
      </c>
      <c r="H14706" t="s">
        <v>14201</v>
      </c>
      <c r="I14706" t="s">
        <v>7677</v>
      </c>
      <c r="J14706" t="s">
        <v>41850</v>
      </c>
      <c r="K14706" t="s">
        <v>42631</v>
      </c>
      <c r="M14706" t="s">
        <v>43827</v>
      </c>
      <c r="N14706" t="s">
        <v>47304</v>
      </c>
      <c r="O14706" t="s">
        <v>47305</v>
      </c>
      <c r="P14706">
        <v>0</v>
      </c>
      <c r="Q14706">
        <v>12</v>
      </c>
      <c r="R14706" t="s">
        <v>47325</v>
      </c>
      <c r="S14706" t="s">
        <v>48215</v>
      </c>
      <c r="T14706" t="s">
        <v>48982</v>
      </c>
      <c r="U14706" t="s">
        <v>61690</v>
      </c>
      <c r="W14706" t="s">
        <v>43827</v>
      </c>
      <c r="X14706" t="s">
        <v>47326</v>
      </c>
    </row>
    <row r="14707" spans="1:24">
      <c r="A14707">
        <f>HYPERLINK("https://www.philgeps.gov.ph/GEPSNONPILOT/Tender/SplashBidNoticeAbstractUI.aspx?menuIndex=3&amp;refID=7161403&amp;Result=3","7161403")</f>
        <v>0</v>
      </c>
      <c r="B14707" t="s">
        <v>503</v>
      </c>
      <c r="C14707" t="s">
        <v>17779</v>
      </c>
      <c r="D14707" t="s">
        <v>19033</v>
      </c>
      <c r="E14707" t="s">
        <v>31520</v>
      </c>
      <c r="F14707" t="s">
        <v>32606</v>
      </c>
      <c r="G14707" t="s">
        <v>32613</v>
      </c>
      <c r="H14707" t="s">
        <v>14201</v>
      </c>
      <c r="I14707" t="s">
        <v>6931</v>
      </c>
      <c r="J14707" t="s">
        <v>41851</v>
      </c>
      <c r="K14707" t="s">
        <v>42631</v>
      </c>
      <c r="M14707" t="s">
        <v>43416</v>
      </c>
      <c r="N14707" t="s">
        <v>47304</v>
      </c>
      <c r="O14707" t="s">
        <v>47305</v>
      </c>
      <c r="P14707">
        <v>0</v>
      </c>
      <c r="Q14707">
        <v>1</v>
      </c>
      <c r="R14707" t="s">
        <v>47325</v>
      </c>
      <c r="S14707" t="s">
        <v>48215</v>
      </c>
      <c r="T14707" t="s">
        <v>48986</v>
      </c>
      <c r="U14707" t="s">
        <v>61691</v>
      </c>
      <c r="W14707" t="s">
        <v>43416</v>
      </c>
      <c r="X14707" t="s">
        <v>47326</v>
      </c>
    </row>
    <row r="14708" spans="1:24">
      <c r="A14708">
        <f>HYPERLINK("https://www.philgeps.gov.ph/GEPSNONPILOT/Tender/SplashBidNoticeAbstractUI.aspx?menuIndex=3&amp;refID=7161393&amp;Result=3","7161393")</f>
        <v>0</v>
      </c>
      <c r="B14708" t="s">
        <v>737</v>
      </c>
      <c r="C14708" t="s">
        <v>17780</v>
      </c>
      <c r="D14708" t="s">
        <v>18993</v>
      </c>
      <c r="E14708" t="s">
        <v>31521</v>
      </c>
      <c r="F14708" t="s">
        <v>32606</v>
      </c>
      <c r="G14708" t="s">
        <v>32613</v>
      </c>
      <c r="H14708" t="s">
        <v>14201</v>
      </c>
      <c r="I14708" t="s">
        <v>32640</v>
      </c>
      <c r="J14708" t="s">
        <v>41852</v>
      </c>
      <c r="K14708" t="s">
        <v>42639</v>
      </c>
      <c r="M14708" t="s">
        <v>43659</v>
      </c>
      <c r="N14708" t="s">
        <v>47304</v>
      </c>
      <c r="O14708" t="s">
        <v>47305</v>
      </c>
      <c r="Q14708">
        <v>14</v>
      </c>
      <c r="R14708" t="s">
        <v>47325</v>
      </c>
      <c r="S14708" t="s">
        <v>47921</v>
      </c>
      <c r="T14708" t="s">
        <v>49087</v>
      </c>
      <c r="U14708" t="s">
        <v>61692</v>
      </c>
      <c r="W14708" t="s">
        <v>43659</v>
      </c>
      <c r="X14708" t="s">
        <v>47326</v>
      </c>
    </row>
    <row r="14709" spans="1:24">
      <c r="A14709">
        <f>HYPERLINK("https://www.philgeps.gov.ph/GEPSNONPILOT/Tender/SplashBidNoticeAbstractUI.aspx?menuIndex=3&amp;refID=7161401&amp;Result=3","7161401")</f>
        <v>0</v>
      </c>
      <c r="B14709" t="s">
        <v>1819</v>
      </c>
      <c r="C14709" t="s">
        <v>17781</v>
      </c>
      <c r="D14709" t="s">
        <v>19019</v>
      </c>
      <c r="E14709" t="s">
        <v>31522</v>
      </c>
      <c r="F14709" t="s">
        <v>32606</v>
      </c>
      <c r="G14709" t="s">
        <v>32613</v>
      </c>
      <c r="H14709" t="s">
        <v>14201</v>
      </c>
      <c r="I14709" t="s">
        <v>6931</v>
      </c>
      <c r="J14709" t="s">
        <v>33910</v>
      </c>
      <c r="K14709" t="s">
        <v>42648</v>
      </c>
      <c r="M14709" t="s">
        <v>44860</v>
      </c>
      <c r="N14709" t="s">
        <v>47304</v>
      </c>
      <c r="O14709" t="s">
        <v>47305</v>
      </c>
      <c r="P14709">
        <v>0</v>
      </c>
      <c r="Q14709">
        <v>2</v>
      </c>
      <c r="R14709" t="s">
        <v>47325</v>
      </c>
      <c r="S14709" t="s">
        <v>48215</v>
      </c>
      <c r="T14709" t="s">
        <v>49384</v>
      </c>
      <c r="U14709" t="s">
        <v>53839</v>
      </c>
      <c r="W14709" t="s">
        <v>44860</v>
      </c>
      <c r="X14709" t="s">
        <v>47326</v>
      </c>
    </row>
    <row r="14710" spans="1:24">
      <c r="A14710">
        <f>HYPERLINK("https://www.philgeps.gov.ph/GEPSNONPILOT/Tender/SplashBidNoticeAbstractUI.aspx?menuIndex=3&amp;refID=7161390&amp;Result=3","7161390")</f>
        <v>0</v>
      </c>
      <c r="B14710" t="s">
        <v>1895</v>
      </c>
      <c r="C14710" t="s">
        <v>17782</v>
      </c>
      <c r="D14710" t="s">
        <v>19034</v>
      </c>
      <c r="E14710" t="s">
        <v>31523</v>
      </c>
      <c r="F14710" t="s">
        <v>32606</v>
      </c>
      <c r="G14710" t="s">
        <v>32614</v>
      </c>
      <c r="H14710" t="s">
        <v>14201</v>
      </c>
      <c r="I14710" t="s">
        <v>4112</v>
      </c>
      <c r="J14710" t="s">
        <v>41853</v>
      </c>
      <c r="K14710" t="s">
        <v>42648</v>
      </c>
      <c r="M14710" t="s">
        <v>44954</v>
      </c>
      <c r="N14710" t="s">
        <v>47304</v>
      </c>
      <c r="O14710" t="s">
        <v>47305</v>
      </c>
      <c r="P14710">
        <v>0</v>
      </c>
      <c r="Q14710">
        <v>0</v>
      </c>
      <c r="R14710" t="s">
        <v>47325</v>
      </c>
      <c r="S14710" t="s">
        <v>48215</v>
      </c>
      <c r="T14710" t="s">
        <v>49268</v>
      </c>
      <c r="U14710" t="s">
        <v>56056</v>
      </c>
      <c r="W14710" t="s">
        <v>44954</v>
      </c>
      <c r="X14710" t="s">
        <v>47326</v>
      </c>
    </row>
    <row r="14711" spans="1:24">
      <c r="A14711">
        <f>HYPERLINK("https://www.philgeps.gov.ph/GEPSNONPILOT/Tender/SplashBidNoticeAbstractUI.aspx?menuIndex=3&amp;refID=7161314&amp;Result=3","7161314")</f>
        <v>0</v>
      </c>
      <c r="B14711" t="s">
        <v>1749</v>
      </c>
      <c r="C14711" t="s">
        <v>17783</v>
      </c>
      <c r="D14711" t="s">
        <v>19001</v>
      </c>
      <c r="E14711" t="s">
        <v>31524</v>
      </c>
      <c r="F14711" t="s">
        <v>32606</v>
      </c>
      <c r="G14711" t="s">
        <v>32613</v>
      </c>
      <c r="H14711" t="s">
        <v>14201</v>
      </c>
      <c r="I14711" t="s">
        <v>32697</v>
      </c>
      <c r="J14711" t="s">
        <v>41854</v>
      </c>
      <c r="K14711" t="s">
        <v>42712</v>
      </c>
      <c r="M14711" t="s">
        <v>44784</v>
      </c>
      <c r="N14711" t="s">
        <v>47304</v>
      </c>
      <c r="O14711" t="s">
        <v>47305</v>
      </c>
      <c r="P14711">
        <v>0</v>
      </c>
      <c r="Q14711">
        <v>12</v>
      </c>
      <c r="R14711" t="s">
        <v>47325</v>
      </c>
      <c r="S14711" t="s">
        <v>48215</v>
      </c>
      <c r="T14711" t="s">
        <v>49140</v>
      </c>
      <c r="U14711" t="s">
        <v>61693</v>
      </c>
      <c r="W14711" t="s">
        <v>44784</v>
      </c>
      <c r="X14711" t="s">
        <v>47326</v>
      </c>
    </row>
    <row r="14712" spans="1:24">
      <c r="A14712">
        <f>HYPERLINK("https://www.philgeps.gov.ph/GEPSNONPILOT/Tender/SplashBidNoticeAbstractUI.aspx?menuIndex=3&amp;refID=7161405&amp;Result=3","7161405")</f>
        <v>0</v>
      </c>
      <c r="B14712" t="s">
        <v>503</v>
      </c>
      <c r="C14712" t="s">
        <v>17784</v>
      </c>
      <c r="D14712" t="s">
        <v>19033</v>
      </c>
      <c r="E14712" t="s">
        <v>31525</v>
      </c>
      <c r="F14712" t="s">
        <v>32606</v>
      </c>
      <c r="G14712" t="s">
        <v>32613</v>
      </c>
      <c r="H14712" t="s">
        <v>14201</v>
      </c>
      <c r="I14712" t="s">
        <v>6931</v>
      </c>
      <c r="J14712" t="s">
        <v>41855</v>
      </c>
      <c r="K14712" t="s">
        <v>42631</v>
      </c>
      <c r="M14712" t="s">
        <v>43416</v>
      </c>
      <c r="N14712" t="s">
        <v>47304</v>
      </c>
      <c r="O14712" t="s">
        <v>47305</v>
      </c>
      <c r="P14712">
        <v>0</v>
      </c>
      <c r="Q14712">
        <v>2</v>
      </c>
      <c r="R14712" t="s">
        <v>47325</v>
      </c>
      <c r="S14712" t="s">
        <v>48215</v>
      </c>
      <c r="T14712" t="s">
        <v>48986</v>
      </c>
      <c r="U14712" t="s">
        <v>61691</v>
      </c>
      <c r="W14712" t="s">
        <v>43416</v>
      </c>
      <c r="X14712" t="s">
        <v>47326</v>
      </c>
    </row>
    <row r="14713" spans="1:24">
      <c r="A14713">
        <f>HYPERLINK("https://www.philgeps.gov.ph/GEPSNONPILOT/Tender/SplashBidNoticeAbstractUI.aspx?menuIndex=3&amp;refID=7161198&amp;Result=3","7161198")</f>
        <v>0</v>
      </c>
      <c r="B14713" t="s">
        <v>696</v>
      </c>
      <c r="C14713" t="s">
        <v>17785</v>
      </c>
      <c r="D14713" t="s">
        <v>19069</v>
      </c>
      <c r="E14713" t="s">
        <v>31526</v>
      </c>
      <c r="F14713" t="s">
        <v>32606</v>
      </c>
      <c r="G14713" t="s">
        <v>32613</v>
      </c>
      <c r="H14713" t="s">
        <v>14201</v>
      </c>
      <c r="I14713" t="s">
        <v>32686</v>
      </c>
      <c r="J14713" t="s">
        <v>35816</v>
      </c>
      <c r="K14713" t="s">
        <v>42636</v>
      </c>
      <c r="M14713" t="s">
        <v>43969</v>
      </c>
      <c r="N14713" t="s">
        <v>47304</v>
      </c>
      <c r="O14713" t="s">
        <v>47305</v>
      </c>
      <c r="Q14713">
        <v>8</v>
      </c>
      <c r="R14713" t="s">
        <v>47325</v>
      </c>
      <c r="S14713" t="s">
        <v>48323</v>
      </c>
      <c r="T14713" t="s">
        <v>49347</v>
      </c>
      <c r="U14713" t="s">
        <v>61684</v>
      </c>
      <c r="V14713" t="s">
        <v>62902</v>
      </c>
      <c r="W14713" t="s">
        <v>43969</v>
      </c>
      <c r="X14713" t="s">
        <v>47326</v>
      </c>
    </row>
    <row r="14714" spans="1:24">
      <c r="A14714">
        <f>HYPERLINK("https://www.philgeps.gov.ph/GEPSNONPILOT/Tender/SplashBidNoticeAbstractUI.aspx?menuIndex=3&amp;refID=7161311&amp;Result=3","7161311")</f>
        <v>0</v>
      </c>
      <c r="B14714" t="s">
        <v>1895</v>
      </c>
      <c r="C14714" t="s">
        <v>17786</v>
      </c>
      <c r="D14714" t="s">
        <v>19034</v>
      </c>
      <c r="E14714" t="s">
        <v>31527</v>
      </c>
      <c r="F14714" t="s">
        <v>32606</v>
      </c>
      <c r="G14714" t="s">
        <v>32614</v>
      </c>
      <c r="H14714" t="s">
        <v>14201</v>
      </c>
      <c r="I14714" t="s">
        <v>4120</v>
      </c>
      <c r="J14714" t="s">
        <v>41856</v>
      </c>
      <c r="K14714" t="s">
        <v>42648</v>
      </c>
      <c r="M14714" t="s">
        <v>44954</v>
      </c>
      <c r="N14714" t="s">
        <v>47304</v>
      </c>
      <c r="O14714" t="s">
        <v>47305</v>
      </c>
      <c r="P14714">
        <v>0</v>
      </c>
      <c r="Q14714">
        <v>0</v>
      </c>
      <c r="R14714" t="s">
        <v>47325</v>
      </c>
      <c r="S14714" t="s">
        <v>48215</v>
      </c>
      <c r="T14714" t="s">
        <v>49268</v>
      </c>
      <c r="U14714" t="s">
        <v>56056</v>
      </c>
      <c r="W14714" t="s">
        <v>44954</v>
      </c>
      <c r="X14714" t="s">
        <v>47326</v>
      </c>
    </row>
    <row r="14715" spans="1:24">
      <c r="A14715">
        <f>HYPERLINK("https://www.philgeps.gov.ph/GEPSNONPILOT/Tender/SplashBidNoticeAbstractUI.aspx?menuIndex=3&amp;refID=7161283&amp;Result=3","7161283")</f>
        <v>0</v>
      </c>
      <c r="B14715" t="s">
        <v>102</v>
      </c>
      <c r="C14715" t="s">
        <v>17787</v>
      </c>
      <c r="D14715" t="s">
        <v>19006</v>
      </c>
      <c r="E14715" t="s">
        <v>31528</v>
      </c>
      <c r="F14715" t="s">
        <v>32606</v>
      </c>
      <c r="G14715" t="s">
        <v>32613</v>
      </c>
      <c r="H14715" t="s">
        <v>32623</v>
      </c>
      <c r="I14715" t="s">
        <v>17648</v>
      </c>
      <c r="J14715" t="s">
        <v>34246</v>
      </c>
      <c r="K14715" t="s">
        <v>42712</v>
      </c>
      <c r="M14715" t="s">
        <v>43344</v>
      </c>
      <c r="N14715" t="s">
        <v>47304</v>
      </c>
      <c r="O14715" t="s">
        <v>47305</v>
      </c>
      <c r="P14715">
        <v>0</v>
      </c>
      <c r="Q14715">
        <v>2</v>
      </c>
      <c r="R14715" t="s">
        <v>47325</v>
      </c>
      <c r="S14715" t="s">
        <v>48215</v>
      </c>
      <c r="T14715" t="s">
        <v>49309</v>
      </c>
      <c r="U14715" t="s">
        <v>54785</v>
      </c>
      <c r="V14715" t="s">
        <v>64263</v>
      </c>
      <c r="W14715" t="s">
        <v>43344</v>
      </c>
      <c r="X14715" t="s">
        <v>47326</v>
      </c>
    </row>
    <row r="14716" spans="1:24">
      <c r="A14716">
        <f>HYPERLINK("https://www.philgeps.gov.ph/GEPSNONPILOT/Tender/SplashBidNoticeAbstractUI.aspx?menuIndex=3&amp;refID=7161182&amp;Result=3","7161182")</f>
        <v>0</v>
      </c>
      <c r="B14716" t="s">
        <v>3802</v>
      </c>
      <c r="C14716" t="s">
        <v>17788</v>
      </c>
      <c r="D14716" t="s">
        <v>19024</v>
      </c>
      <c r="E14716" t="s">
        <v>19382</v>
      </c>
      <c r="F14716" t="s">
        <v>32606</v>
      </c>
      <c r="G14716" t="s">
        <v>32613</v>
      </c>
      <c r="H14716" t="s">
        <v>14201</v>
      </c>
      <c r="I14716" t="s">
        <v>7064</v>
      </c>
      <c r="J14716" t="s">
        <v>41857</v>
      </c>
      <c r="K14716" t="s">
        <v>42636</v>
      </c>
      <c r="M14716" t="s">
        <v>47145</v>
      </c>
      <c r="N14716" t="s">
        <v>47304</v>
      </c>
      <c r="O14716" t="s">
        <v>47305</v>
      </c>
      <c r="P14716">
        <v>0</v>
      </c>
      <c r="Q14716">
        <v>3</v>
      </c>
      <c r="R14716" t="s">
        <v>47325</v>
      </c>
      <c r="S14716" t="s">
        <v>48215</v>
      </c>
      <c r="T14716" t="s">
        <v>48998</v>
      </c>
      <c r="U14716" t="s">
        <v>61694</v>
      </c>
      <c r="V14716" t="s">
        <v>64264</v>
      </c>
      <c r="W14716" t="s">
        <v>47145</v>
      </c>
      <c r="X14716" t="s">
        <v>47326</v>
      </c>
    </row>
    <row r="14717" spans="1:24">
      <c r="A14717">
        <f>HYPERLINK("https://www.philgeps.gov.ph/GEPSNONPILOT/Tender/SplashBidNoticeAbstractUI.aspx?menuIndex=3&amp;refID=7161240&amp;Result=3","7161240")</f>
        <v>0</v>
      </c>
      <c r="B14717" t="s">
        <v>3803</v>
      </c>
      <c r="C14717" t="s">
        <v>17789</v>
      </c>
      <c r="D14717" t="s">
        <v>19053</v>
      </c>
      <c r="E14717" t="s">
        <v>19703</v>
      </c>
      <c r="F14717" t="s">
        <v>32606</v>
      </c>
      <c r="G14717" t="s">
        <v>32613</v>
      </c>
      <c r="H14717" t="s">
        <v>14201</v>
      </c>
      <c r="I14717" t="s">
        <v>13131</v>
      </c>
      <c r="J14717" t="s">
        <v>41858</v>
      </c>
      <c r="K14717" t="s">
        <v>42677</v>
      </c>
      <c r="M14717" t="s">
        <v>47146</v>
      </c>
      <c r="N14717" t="s">
        <v>47304</v>
      </c>
      <c r="O14717" t="s">
        <v>47305</v>
      </c>
      <c r="Q14717">
        <v>16</v>
      </c>
      <c r="R14717" t="s">
        <v>47325</v>
      </c>
      <c r="S14717" t="s">
        <v>48324</v>
      </c>
      <c r="T14717" t="s">
        <v>49011</v>
      </c>
      <c r="U14717" t="s">
        <v>61695</v>
      </c>
      <c r="W14717" t="s">
        <v>64555</v>
      </c>
      <c r="X14717" t="s">
        <v>47326</v>
      </c>
    </row>
    <row r="14718" spans="1:24">
      <c r="A14718">
        <f>HYPERLINK("https://www.philgeps.gov.ph/GEPSNONPILOT/Tender/SplashBidNoticeAbstractUI.aspx?menuIndex=3&amp;refID=7161397&amp;Result=3","7161397")</f>
        <v>0</v>
      </c>
      <c r="B14718" t="s">
        <v>3804</v>
      </c>
      <c r="C14718" t="s">
        <v>17790</v>
      </c>
      <c r="D14718" t="s">
        <v>19061</v>
      </c>
      <c r="E14718" t="s">
        <v>24073</v>
      </c>
      <c r="F14718" t="s">
        <v>32606</v>
      </c>
      <c r="G14718" t="s">
        <v>32613</v>
      </c>
      <c r="H14718" t="s">
        <v>32623</v>
      </c>
      <c r="I14718" t="s">
        <v>17648</v>
      </c>
      <c r="J14718" t="s">
        <v>32821</v>
      </c>
      <c r="K14718" t="s">
        <v>42646</v>
      </c>
      <c r="M14718" t="s">
        <v>47147</v>
      </c>
      <c r="N14718" t="s">
        <v>47304</v>
      </c>
      <c r="O14718" t="s">
        <v>47305</v>
      </c>
      <c r="P14718">
        <v>0</v>
      </c>
      <c r="Q14718">
        <v>3</v>
      </c>
      <c r="R14718" t="s">
        <v>47325</v>
      </c>
      <c r="S14718" t="s">
        <v>48215</v>
      </c>
      <c r="T14718" t="s">
        <v>49053</v>
      </c>
      <c r="U14718" t="s">
        <v>61696</v>
      </c>
      <c r="W14718" t="s">
        <v>64556</v>
      </c>
      <c r="X14718" t="s">
        <v>47326</v>
      </c>
    </row>
    <row r="14719" spans="1:24">
      <c r="A14719">
        <f>HYPERLINK("https://www.philgeps.gov.ph/GEPSNONPILOT/Tender/SplashBidNoticeAbstractUI.aspx?menuIndex=3&amp;refID=7161278&amp;Result=3","7161278")</f>
        <v>0</v>
      </c>
      <c r="B14719" t="s">
        <v>1895</v>
      </c>
      <c r="C14719" t="s">
        <v>17791</v>
      </c>
      <c r="D14719" t="s">
        <v>19034</v>
      </c>
      <c r="E14719" t="s">
        <v>31529</v>
      </c>
      <c r="F14719" t="s">
        <v>32606</v>
      </c>
      <c r="G14719" t="s">
        <v>32614</v>
      </c>
      <c r="H14719" t="s">
        <v>14201</v>
      </c>
      <c r="I14719" t="s">
        <v>6007</v>
      </c>
      <c r="J14719" t="s">
        <v>41859</v>
      </c>
      <c r="K14719" t="s">
        <v>42648</v>
      </c>
      <c r="M14719" t="s">
        <v>44954</v>
      </c>
      <c r="N14719" t="s">
        <v>47304</v>
      </c>
      <c r="O14719" t="s">
        <v>47305</v>
      </c>
      <c r="P14719">
        <v>0</v>
      </c>
      <c r="Q14719">
        <v>0</v>
      </c>
      <c r="R14719" t="s">
        <v>47325</v>
      </c>
      <c r="S14719" t="s">
        <v>48215</v>
      </c>
      <c r="T14719" t="s">
        <v>49268</v>
      </c>
      <c r="U14719" t="s">
        <v>56056</v>
      </c>
      <c r="W14719" t="s">
        <v>44954</v>
      </c>
      <c r="X14719" t="s">
        <v>47326</v>
      </c>
    </row>
    <row r="14720" spans="1:24">
      <c r="A14720">
        <f>HYPERLINK("https://www.philgeps.gov.ph/GEPSNONPILOT/Tender/SplashBidNoticeAbstractUI.aspx?menuIndex=3&amp;refID=7161233&amp;Result=3","7161233")</f>
        <v>0</v>
      </c>
      <c r="B14720" t="s">
        <v>696</v>
      </c>
      <c r="C14720" t="s">
        <v>17792</v>
      </c>
      <c r="D14720" t="s">
        <v>19058</v>
      </c>
      <c r="E14720" t="s">
        <v>31530</v>
      </c>
      <c r="F14720" t="s">
        <v>32606</v>
      </c>
      <c r="G14720" t="s">
        <v>32613</v>
      </c>
      <c r="H14720" t="s">
        <v>32623</v>
      </c>
      <c r="I14720" t="s">
        <v>17648</v>
      </c>
      <c r="J14720" t="s">
        <v>41860</v>
      </c>
      <c r="K14720" t="s">
        <v>42712</v>
      </c>
      <c r="M14720" t="s">
        <v>43969</v>
      </c>
      <c r="N14720" t="s">
        <v>47304</v>
      </c>
      <c r="O14720" t="s">
        <v>47305</v>
      </c>
      <c r="Q14720">
        <v>6</v>
      </c>
      <c r="R14720" t="s">
        <v>47325</v>
      </c>
      <c r="S14720" t="s">
        <v>48325</v>
      </c>
      <c r="T14720" t="s">
        <v>49347</v>
      </c>
      <c r="U14720" t="s">
        <v>61684</v>
      </c>
      <c r="V14720" t="s">
        <v>64265</v>
      </c>
      <c r="W14720" t="s">
        <v>43969</v>
      </c>
      <c r="X14720" t="s">
        <v>47326</v>
      </c>
    </row>
    <row r="14721" spans="1:24">
      <c r="A14721">
        <f>HYPERLINK("https://www.philgeps.gov.ph/GEPSNONPILOT/Tender/SplashBidNoticeAbstractUI.aspx?menuIndex=3&amp;refID=7161257&amp;Result=3","7161257")</f>
        <v>0</v>
      </c>
      <c r="B14721" t="s">
        <v>1278</v>
      </c>
      <c r="C14721" t="s">
        <v>17793</v>
      </c>
      <c r="E14721" t="s">
        <v>31531</v>
      </c>
      <c r="F14721" t="s">
        <v>32606</v>
      </c>
      <c r="G14721" t="s">
        <v>32613</v>
      </c>
      <c r="H14721" t="s">
        <v>14201</v>
      </c>
      <c r="I14721" t="s">
        <v>32640</v>
      </c>
      <c r="J14721" t="s">
        <v>41861</v>
      </c>
      <c r="K14721" t="s">
        <v>42624</v>
      </c>
      <c r="M14721" t="s">
        <v>44248</v>
      </c>
      <c r="N14721" t="s">
        <v>47304</v>
      </c>
      <c r="O14721" t="s">
        <v>47305</v>
      </c>
      <c r="Q14721">
        <v>4</v>
      </c>
      <c r="R14721" t="s">
        <v>47325</v>
      </c>
      <c r="S14721" t="s">
        <v>48326</v>
      </c>
      <c r="T14721" t="s">
        <v>48980</v>
      </c>
      <c r="U14721" t="s">
        <v>61697</v>
      </c>
      <c r="W14721" t="s">
        <v>44248</v>
      </c>
      <c r="X14721" t="s">
        <v>47326</v>
      </c>
    </row>
    <row r="14722" spans="1:24">
      <c r="A14722">
        <f>HYPERLINK("https://www.philgeps.gov.ph/GEPSNONPILOT/Tender/SplashBidNoticeAbstractUI.aspx?menuIndex=3&amp;refID=7161406&amp;Result=3","7161406")</f>
        <v>0</v>
      </c>
      <c r="B14722" t="s">
        <v>3384</v>
      </c>
      <c r="C14722" t="s">
        <v>17794</v>
      </c>
      <c r="D14722" t="s">
        <v>18994</v>
      </c>
      <c r="E14722" t="s">
        <v>31532</v>
      </c>
      <c r="F14722" t="s">
        <v>32606</v>
      </c>
      <c r="G14722" t="s">
        <v>32613</v>
      </c>
      <c r="H14722" t="s">
        <v>14201</v>
      </c>
      <c r="I14722" t="s">
        <v>4120</v>
      </c>
      <c r="J14722" t="s">
        <v>41862</v>
      </c>
      <c r="K14722" t="s">
        <v>42622</v>
      </c>
      <c r="M14722" t="s">
        <v>46636</v>
      </c>
      <c r="N14722" t="s">
        <v>47304</v>
      </c>
      <c r="O14722" t="s">
        <v>47305</v>
      </c>
      <c r="Q14722">
        <v>4</v>
      </c>
      <c r="R14722" t="s">
        <v>47325</v>
      </c>
      <c r="S14722" t="s">
        <v>48327</v>
      </c>
      <c r="T14722" t="s">
        <v>49023</v>
      </c>
      <c r="U14722" t="s">
        <v>61698</v>
      </c>
      <c r="V14722" t="s">
        <v>64266</v>
      </c>
      <c r="W14722" t="s">
        <v>46636</v>
      </c>
      <c r="X14722" t="s">
        <v>47326</v>
      </c>
    </row>
    <row r="14723" spans="1:24">
      <c r="A14723">
        <f>HYPERLINK("https://www.philgeps.gov.ph/GEPSNONPILOT/Tender/SplashBidNoticeAbstractUI.aspx?menuIndex=3&amp;refID=7161421&amp;Result=3","7161421")</f>
        <v>0</v>
      </c>
      <c r="B14723" t="s">
        <v>1895</v>
      </c>
      <c r="C14723" t="s">
        <v>17795</v>
      </c>
      <c r="D14723" t="s">
        <v>19034</v>
      </c>
      <c r="E14723" t="s">
        <v>31533</v>
      </c>
      <c r="F14723" t="s">
        <v>32606</v>
      </c>
      <c r="G14723" t="s">
        <v>32614</v>
      </c>
      <c r="H14723" t="s">
        <v>14201</v>
      </c>
      <c r="I14723" t="s">
        <v>32629</v>
      </c>
      <c r="J14723" t="s">
        <v>35357</v>
      </c>
      <c r="K14723" t="s">
        <v>42648</v>
      </c>
      <c r="M14723" t="s">
        <v>44954</v>
      </c>
      <c r="N14723" t="s">
        <v>47304</v>
      </c>
      <c r="O14723" t="s">
        <v>47305</v>
      </c>
      <c r="P14723">
        <v>0</v>
      </c>
      <c r="Q14723">
        <v>0</v>
      </c>
      <c r="R14723" t="s">
        <v>47325</v>
      </c>
      <c r="S14723" t="s">
        <v>48215</v>
      </c>
      <c r="T14723" t="s">
        <v>49268</v>
      </c>
      <c r="U14723" t="s">
        <v>56056</v>
      </c>
      <c r="W14723" t="s">
        <v>44954</v>
      </c>
      <c r="X14723" t="s">
        <v>47326</v>
      </c>
    </row>
    <row r="14724" spans="1:24">
      <c r="A14724">
        <f>HYPERLINK("https://www.philgeps.gov.ph/GEPSNONPILOT/Tender/SplashBidNoticeAbstractUI.aspx?menuIndex=3&amp;refID=7161445&amp;Result=3","7161445")</f>
        <v>0</v>
      </c>
      <c r="B14724" t="s">
        <v>3805</v>
      </c>
      <c r="C14724" t="s">
        <v>17796</v>
      </c>
      <c r="D14724" t="s">
        <v>19024</v>
      </c>
      <c r="E14724" t="s">
        <v>20240</v>
      </c>
      <c r="F14724" t="s">
        <v>32606</v>
      </c>
      <c r="G14724" t="s">
        <v>32613</v>
      </c>
      <c r="H14724" t="s">
        <v>32623</v>
      </c>
      <c r="I14724" t="s">
        <v>17648</v>
      </c>
      <c r="J14724" t="s">
        <v>41863</v>
      </c>
      <c r="K14724" t="s">
        <v>42639</v>
      </c>
      <c r="M14724" t="s">
        <v>47148</v>
      </c>
      <c r="N14724" t="s">
        <v>47304</v>
      </c>
      <c r="O14724" t="s">
        <v>47305</v>
      </c>
      <c r="Q14724">
        <v>0</v>
      </c>
      <c r="R14724" t="s">
        <v>47325</v>
      </c>
      <c r="S14724" t="s">
        <v>47900</v>
      </c>
      <c r="T14724" t="s">
        <v>49071</v>
      </c>
      <c r="U14724" t="s">
        <v>61699</v>
      </c>
      <c r="W14724" t="s">
        <v>47148</v>
      </c>
      <c r="X14724" t="s">
        <v>47326</v>
      </c>
    </row>
    <row r="14725" spans="1:24">
      <c r="A14725">
        <f>HYPERLINK("https://www.philgeps.gov.ph/GEPSNONPILOT/Tender/SplashBidNoticeAbstractUI.aspx?menuIndex=3&amp;refID=7161419&amp;Result=3","7161419")</f>
        <v>0</v>
      </c>
      <c r="B14725" t="s">
        <v>3804</v>
      </c>
      <c r="C14725" t="s">
        <v>17797</v>
      </c>
      <c r="D14725" t="s">
        <v>19061</v>
      </c>
      <c r="E14725" t="s">
        <v>22274</v>
      </c>
      <c r="F14725" t="s">
        <v>32606</v>
      </c>
      <c r="G14725" t="s">
        <v>32613</v>
      </c>
      <c r="H14725" t="s">
        <v>32623</v>
      </c>
      <c r="I14725" t="s">
        <v>17648</v>
      </c>
      <c r="J14725" t="s">
        <v>34912</v>
      </c>
      <c r="K14725" t="s">
        <v>42712</v>
      </c>
      <c r="M14725" t="s">
        <v>47147</v>
      </c>
      <c r="N14725" t="s">
        <v>47304</v>
      </c>
      <c r="O14725" t="s">
        <v>47305</v>
      </c>
      <c r="Q14725">
        <v>3</v>
      </c>
      <c r="R14725" t="s">
        <v>47325</v>
      </c>
      <c r="S14725" t="s">
        <v>47585</v>
      </c>
      <c r="T14725" t="s">
        <v>49053</v>
      </c>
      <c r="U14725" t="s">
        <v>61700</v>
      </c>
      <c r="W14725" t="s">
        <v>64556</v>
      </c>
      <c r="X14725" t="s">
        <v>47326</v>
      </c>
    </row>
    <row r="14726" spans="1:24">
      <c r="A14726">
        <f>HYPERLINK("https://www.philgeps.gov.ph/GEPSNONPILOT/Tender/SplashBidNoticeAbstractUI.aspx?menuIndex=3&amp;refID=7161413&amp;Result=3","7161413")</f>
        <v>0</v>
      </c>
      <c r="B14726" t="s">
        <v>3804</v>
      </c>
      <c r="C14726" t="s">
        <v>17798</v>
      </c>
      <c r="D14726" t="s">
        <v>19061</v>
      </c>
      <c r="E14726" t="s">
        <v>24072</v>
      </c>
      <c r="F14726" t="s">
        <v>32606</v>
      </c>
      <c r="G14726" t="s">
        <v>32613</v>
      </c>
      <c r="H14726" t="s">
        <v>32623</v>
      </c>
      <c r="I14726" t="s">
        <v>17648</v>
      </c>
      <c r="J14726" t="s">
        <v>35368</v>
      </c>
      <c r="K14726" t="s">
        <v>42646</v>
      </c>
      <c r="M14726" t="s">
        <v>47147</v>
      </c>
      <c r="N14726" t="s">
        <v>47304</v>
      </c>
      <c r="O14726" t="s">
        <v>47305</v>
      </c>
      <c r="P14726">
        <v>0</v>
      </c>
      <c r="Q14726">
        <v>1</v>
      </c>
      <c r="R14726" t="s">
        <v>47325</v>
      </c>
      <c r="S14726" t="s">
        <v>48215</v>
      </c>
      <c r="T14726" t="s">
        <v>49053</v>
      </c>
      <c r="U14726" t="s">
        <v>61701</v>
      </c>
      <c r="W14726" t="s">
        <v>64556</v>
      </c>
      <c r="X14726" t="s">
        <v>47326</v>
      </c>
    </row>
    <row r="14727" spans="1:24">
      <c r="A14727">
        <f>HYPERLINK("https://www.philgeps.gov.ph/GEPSNONPILOT/Tender/SplashBidNoticeAbstractUI.aspx?menuIndex=3&amp;refID=7161452&amp;Result=3","7161452")</f>
        <v>0</v>
      </c>
      <c r="B14727" t="s">
        <v>503</v>
      </c>
      <c r="C14727" t="s">
        <v>17799</v>
      </c>
      <c r="D14727" t="s">
        <v>19033</v>
      </c>
      <c r="E14727" t="s">
        <v>31534</v>
      </c>
      <c r="F14727" t="s">
        <v>32606</v>
      </c>
      <c r="G14727" t="s">
        <v>32613</v>
      </c>
      <c r="H14727" t="s">
        <v>14201</v>
      </c>
      <c r="I14727" t="s">
        <v>6931</v>
      </c>
      <c r="J14727" t="s">
        <v>33694</v>
      </c>
      <c r="K14727" t="s">
        <v>42631</v>
      </c>
      <c r="M14727" t="s">
        <v>43416</v>
      </c>
      <c r="N14727" t="s">
        <v>47304</v>
      </c>
      <c r="O14727" t="s">
        <v>47305</v>
      </c>
      <c r="P14727">
        <v>0</v>
      </c>
      <c r="Q14727">
        <v>8</v>
      </c>
      <c r="R14727" t="s">
        <v>47325</v>
      </c>
      <c r="S14727" t="s">
        <v>48215</v>
      </c>
      <c r="T14727" t="s">
        <v>48986</v>
      </c>
      <c r="U14727" t="s">
        <v>61691</v>
      </c>
      <c r="W14727" t="s">
        <v>43416</v>
      </c>
      <c r="X14727" t="s">
        <v>47326</v>
      </c>
    </row>
    <row r="14728" spans="1:24">
      <c r="A14728">
        <f>HYPERLINK("https://www.philgeps.gov.ph/GEPSNONPILOT/Tender/SplashBidNoticeAbstractUI.aspx?menuIndex=3&amp;refID=7161415&amp;Result=3","7161415")</f>
        <v>0</v>
      </c>
      <c r="B14728" t="s">
        <v>1057</v>
      </c>
      <c r="C14728" t="s">
        <v>17800</v>
      </c>
      <c r="D14728" t="s">
        <v>19036</v>
      </c>
      <c r="E14728" t="s">
        <v>22592</v>
      </c>
      <c r="F14728" t="s">
        <v>32606</v>
      </c>
      <c r="G14728" t="s">
        <v>32613</v>
      </c>
      <c r="H14728" t="s">
        <v>32623</v>
      </c>
      <c r="I14728" t="s">
        <v>17648</v>
      </c>
      <c r="J14728" t="s">
        <v>41864</v>
      </c>
      <c r="K14728" t="s">
        <v>42639</v>
      </c>
      <c r="M14728" t="s">
        <v>44010</v>
      </c>
      <c r="N14728" t="s">
        <v>47304</v>
      </c>
      <c r="O14728" t="s">
        <v>47305</v>
      </c>
      <c r="P14728">
        <v>0</v>
      </c>
      <c r="Q14728">
        <v>4</v>
      </c>
      <c r="R14728" t="s">
        <v>47325</v>
      </c>
      <c r="S14728" t="s">
        <v>48215</v>
      </c>
      <c r="T14728" t="s">
        <v>49268</v>
      </c>
      <c r="U14728" t="s">
        <v>61702</v>
      </c>
      <c r="V14728" t="s">
        <v>64267</v>
      </c>
      <c r="W14728" t="s">
        <v>44010</v>
      </c>
      <c r="X14728" t="s">
        <v>47326</v>
      </c>
    </row>
    <row r="14729" spans="1:24">
      <c r="A14729">
        <f>HYPERLINK("https://www.philgeps.gov.ph/GEPSNONPILOT/Tender/SplashBidNoticeAbstractUI.aspx?menuIndex=3&amp;refID=7161466&amp;Result=3","7161466")</f>
        <v>0</v>
      </c>
      <c r="B14729" t="s">
        <v>1895</v>
      </c>
      <c r="C14729" t="s">
        <v>17801</v>
      </c>
      <c r="D14729" t="s">
        <v>19034</v>
      </c>
      <c r="E14729" t="s">
        <v>31535</v>
      </c>
      <c r="F14729" t="s">
        <v>32606</v>
      </c>
      <c r="G14729" t="s">
        <v>32614</v>
      </c>
      <c r="H14729" t="s">
        <v>14201</v>
      </c>
      <c r="I14729" t="s">
        <v>9008</v>
      </c>
      <c r="J14729" t="s">
        <v>41865</v>
      </c>
      <c r="K14729" t="s">
        <v>42648</v>
      </c>
      <c r="M14729" t="s">
        <v>44954</v>
      </c>
      <c r="N14729" t="s">
        <v>47304</v>
      </c>
      <c r="O14729" t="s">
        <v>47305</v>
      </c>
      <c r="P14729">
        <v>0</v>
      </c>
      <c r="Q14729">
        <v>0</v>
      </c>
      <c r="R14729" t="s">
        <v>47325</v>
      </c>
      <c r="S14729" t="s">
        <v>48215</v>
      </c>
      <c r="T14729" t="s">
        <v>49268</v>
      </c>
      <c r="U14729" t="s">
        <v>56056</v>
      </c>
      <c r="W14729" t="s">
        <v>44954</v>
      </c>
      <c r="X14729" t="s">
        <v>47326</v>
      </c>
    </row>
    <row r="14730" spans="1:24">
      <c r="A14730">
        <f>HYPERLINK("https://www.philgeps.gov.ph/GEPSNONPILOT/Tender/SplashBidNoticeAbstractUI.aspx?menuIndex=3&amp;refID=7161464&amp;Result=3","7161464")</f>
        <v>0</v>
      </c>
      <c r="B14730" t="s">
        <v>3805</v>
      </c>
      <c r="C14730" t="s">
        <v>17802</v>
      </c>
      <c r="D14730" t="s">
        <v>19024</v>
      </c>
      <c r="E14730" t="s">
        <v>19786</v>
      </c>
      <c r="F14730" t="s">
        <v>32606</v>
      </c>
      <c r="G14730" t="s">
        <v>32613</v>
      </c>
      <c r="H14730" t="s">
        <v>32623</v>
      </c>
      <c r="I14730" t="s">
        <v>17648</v>
      </c>
      <c r="J14730" t="s">
        <v>35947</v>
      </c>
      <c r="K14730" t="s">
        <v>42646</v>
      </c>
      <c r="M14730" t="s">
        <v>47148</v>
      </c>
      <c r="N14730" t="s">
        <v>47304</v>
      </c>
      <c r="O14730" t="s">
        <v>47305</v>
      </c>
      <c r="Q14730">
        <v>0</v>
      </c>
      <c r="R14730" t="s">
        <v>47325</v>
      </c>
      <c r="S14730" t="s">
        <v>48328</v>
      </c>
      <c r="T14730" t="s">
        <v>49071</v>
      </c>
      <c r="U14730" t="s">
        <v>61703</v>
      </c>
      <c r="W14730" t="s">
        <v>47148</v>
      </c>
      <c r="X14730" t="s">
        <v>47326</v>
      </c>
    </row>
    <row r="14731" spans="1:24">
      <c r="A14731">
        <f>HYPERLINK("https://www.philgeps.gov.ph/GEPSNONPILOT/Tender/SplashBidNoticeAbstractUI.aspx?menuIndex=3&amp;refID=7161462&amp;Result=3","7161462")</f>
        <v>0</v>
      </c>
      <c r="B14731" t="s">
        <v>3804</v>
      </c>
      <c r="C14731" t="s">
        <v>17803</v>
      </c>
      <c r="D14731" t="s">
        <v>19061</v>
      </c>
      <c r="E14731" t="s">
        <v>20580</v>
      </c>
      <c r="F14731" t="s">
        <v>32606</v>
      </c>
      <c r="G14731" t="s">
        <v>32613</v>
      </c>
      <c r="H14731" t="s">
        <v>32623</v>
      </c>
      <c r="I14731" t="s">
        <v>17648</v>
      </c>
      <c r="J14731" t="s">
        <v>41866</v>
      </c>
      <c r="K14731" t="s">
        <v>42648</v>
      </c>
      <c r="M14731" t="s">
        <v>47147</v>
      </c>
      <c r="N14731" t="s">
        <v>47304</v>
      </c>
      <c r="O14731" t="s">
        <v>47305</v>
      </c>
      <c r="P14731">
        <v>0</v>
      </c>
      <c r="Q14731">
        <v>2</v>
      </c>
      <c r="R14731" t="s">
        <v>47325</v>
      </c>
      <c r="S14731" t="s">
        <v>48215</v>
      </c>
      <c r="T14731" t="s">
        <v>49053</v>
      </c>
      <c r="U14731" t="s">
        <v>61704</v>
      </c>
      <c r="W14731" t="s">
        <v>64556</v>
      </c>
      <c r="X14731" t="s">
        <v>47326</v>
      </c>
    </row>
    <row r="14732" spans="1:24">
      <c r="A14732">
        <f>HYPERLINK("https://www.philgeps.gov.ph/GEPSNONPILOT/Tender/SplashBidNoticeAbstractUI.aspx?menuIndex=3&amp;refID=7161461&amp;Result=3","7161461")</f>
        <v>0</v>
      </c>
      <c r="B14732" t="s">
        <v>1895</v>
      </c>
      <c r="C14732" t="s">
        <v>17804</v>
      </c>
      <c r="D14732" t="s">
        <v>19034</v>
      </c>
      <c r="E14732" t="s">
        <v>31536</v>
      </c>
      <c r="F14732" t="s">
        <v>32606</v>
      </c>
      <c r="G14732" t="s">
        <v>32614</v>
      </c>
      <c r="H14732" t="s">
        <v>14201</v>
      </c>
      <c r="I14732" t="s">
        <v>6007</v>
      </c>
      <c r="J14732" t="s">
        <v>41867</v>
      </c>
      <c r="K14732" t="s">
        <v>42648</v>
      </c>
      <c r="M14732" t="s">
        <v>44954</v>
      </c>
      <c r="N14732" t="s">
        <v>47304</v>
      </c>
      <c r="O14732" t="s">
        <v>47305</v>
      </c>
      <c r="P14732">
        <v>0</v>
      </c>
      <c r="Q14732">
        <v>0</v>
      </c>
      <c r="R14732" t="s">
        <v>47325</v>
      </c>
      <c r="S14732" t="s">
        <v>48215</v>
      </c>
      <c r="T14732" t="s">
        <v>49268</v>
      </c>
      <c r="U14732" t="s">
        <v>56056</v>
      </c>
      <c r="W14732" t="s">
        <v>44954</v>
      </c>
      <c r="X14732" t="s">
        <v>47326</v>
      </c>
    </row>
    <row r="14733" spans="1:24">
      <c r="A14733">
        <f>HYPERLINK("https://www.philgeps.gov.ph/GEPSNONPILOT/Tender/SplashBidNoticeAbstractUI.aspx?menuIndex=3&amp;refID=7161456&amp;Result=3","7161456")</f>
        <v>0</v>
      </c>
      <c r="B14733" t="s">
        <v>503</v>
      </c>
      <c r="C14733" t="s">
        <v>17805</v>
      </c>
      <c r="D14733" t="s">
        <v>19033</v>
      </c>
      <c r="E14733" t="s">
        <v>31537</v>
      </c>
      <c r="F14733" t="s">
        <v>32606</v>
      </c>
      <c r="G14733" t="s">
        <v>32613</v>
      </c>
      <c r="H14733" t="s">
        <v>14201</v>
      </c>
      <c r="I14733" t="s">
        <v>4678</v>
      </c>
      <c r="J14733" t="s">
        <v>41868</v>
      </c>
      <c r="K14733" t="s">
        <v>42631</v>
      </c>
      <c r="M14733" t="s">
        <v>43416</v>
      </c>
      <c r="N14733" t="s">
        <v>47304</v>
      </c>
      <c r="O14733" t="s">
        <v>47305</v>
      </c>
      <c r="P14733">
        <v>0</v>
      </c>
      <c r="Q14733">
        <v>5</v>
      </c>
      <c r="R14733" t="s">
        <v>47325</v>
      </c>
      <c r="S14733" t="s">
        <v>48215</v>
      </c>
      <c r="T14733" t="s">
        <v>48986</v>
      </c>
      <c r="U14733" t="s">
        <v>61691</v>
      </c>
      <c r="W14733" t="s">
        <v>43416</v>
      </c>
      <c r="X14733" t="s">
        <v>47326</v>
      </c>
    </row>
    <row r="14734" spans="1:24">
      <c r="A14734">
        <f>HYPERLINK("https://www.philgeps.gov.ph/GEPSNONPILOT/Tender/SplashBidNoticeAbstractUI.aspx?menuIndex=3&amp;refID=7161455&amp;Result=3","7161455")</f>
        <v>0</v>
      </c>
      <c r="B14734" t="s">
        <v>3591</v>
      </c>
      <c r="C14734" t="s">
        <v>17806</v>
      </c>
      <c r="D14734" t="s">
        <v>18993</v>
      </c>
      <c r="E14734" t="s">
        <v>31538</v>
      </c>
      <c r="F14734" t="s">
        <v>32606</v>
      </c>
      <c r="G14734" t="s">
        <v>32613</v>
      </c>
      <c r="H14734" t="s">
        <v>32623</v>
      </c>
      <c r="I14734" t="s">
        <v>17648</v>
      </c>
      <c r="J14734" t="s">
        <v>41869</v>
      </c>
      <c r="K14734" t="s">
        <v>42636</v>
      </c>
      <c r="M14734" t="s">
        <v>46880</v>
      </c>
      <c r="N14734" t="s">
        <v>47304</v>
      </c>
      <c r="O14734" t="s">
        <v>47305</v>
      </c>
      <c r="P14734">
        <v>0</v>
      </c>
      <c r="Q14734">
        <v>5</v>
      </c>
      <c r="R14734" t="s">
        <v>47325</v>
      </c>
      <c r="S14734" t="s">
        <v>48215</v>
      </c>
      <c r="T14734" t="s">
        <v>49007</v>
      </c>
      <c r="U14734" t="s">
        <v>61705</v>
      </c>
      <c r="W14734" t="s">
        <v>46880</v>
      </c>
      <c r="X14734" t="s">
        <v>47326</v>
      </c>
    </row>
    <row r="14735" spans="1:24">
      <c r="A14735">
        <f>HYPERLINK("https://www.philgeps.gov.ph/GEPSNONPILOT/Tender/SplashBidNoticeAbstractUI.aspx?menuIndex=3&amp;refID=7161454&amp;Result=3","7161454")</f>
        <v>0</v>
      </c>
      <c r="B14735" t="s">
        <v>3804</v>
      </c>
      <c r="C14735" t="s">
        <v>17807</v>
      </c>
      <c r="D14735" t="s">
        <v>19061</v>
      </c>
      <c r="E14735" t="s">
        <v>20596</v>
      </c>
      <c r="F14735" t="s">
        <v>32606</v>
      </c>
      <c r="G14735" t="s">
        <v>32613</v>
      </c>
      <c r="H14735" t="s">
        <v>32623</v>
      </c>
      <c r="I14735" t="s">
        <v>17648</v>
      </c>
      <c r="J14735" t="s">
        <v>37542</v>
      </c>
      <c r="K14735" t="s">
        <v>42682</v>
      </c>
      <c r="M14735" t="s">
        <v>47147</v>
      </c>
      <c r="N14735" t="s">
        <v>47304</v>
      </c>
      <c r="O14735" t="s">
        <v>47305</v>
      </c>
      <c r="P14735">
        <v>0</v>
      </c>
      <c r="Q14735">
        <v>1</v>
      </c>
      <c r="R14735" t="s">
        <v>47325</v>
      </c>
      <c r="S14735" t="s">
        <v>48215</v>
      </c>
      <c r="T14735" t="s">
        <v>49053</v>
      </c>
      <c r="U14735" t="s">
        <v>61706</v>
      </c>
      <c r="W14735" t="s">
        <v>64556</v>
      </c>
      <c r="X14735" t="s">
        <v>47326</v>
      </c>
    </row>
    <row r="14736" spans="1:24">
      <c r="A14736">
        <f>HYPERLINK("https://www.philgeps.gov.ph/GEPSNONPILOT/Tender/SplashBidNoticeAbstractUI.aspx?menuIndex=3&amp;refID=7161471&amp;Result=3","7161471")</f>
        <v>0</v>
      </c>
      <c r="B14736" t="s">
        <v>3804</v>
      </c>
      <c r="C14736" t="s">
        <v>17808</v>
      </c>
      <c r="D14736" t="s">
        <v>19061</v>
      </c>
      <c r="E14736" t="s">
        <v>24078</v>
      </c>
      <c r="F14736" t="s">
        <v>32606</v>
      </c>
      <c r="G14736" t="s">
        <v>32613</v>
      </c>
      <c r="H14736" t="s">
        <v>14201</v>
      </c>
      <c r="I14736" t="s">
        <v>32635</v>
      </c>
      <c r="J14736" t="s">
        <v>33529</v>
      </c>
      <c r="K14736" t="s">
        <v>42639</v>
      </c>
      <c r="M14736" t="s">
        <v>47147</v>
      </c>
      <c r="N14736" t="s">
        <v>47304</v>
      </c>
      <c r="O14736" t="s">
        <v>47305</v>
      </c>
      <c r="P14736">
        <v>0</v>
      </c>
      <c r="Q14736">
        <v>5</v>
      </c>
      <c r="R14736" t="s">
        <v>47325</v>
      </c>
      <c r="S14736" t="s">
        <v>48215</v>
      </c>
      <c r="T14736" t="s">
        <v>49053</v>
      </c>
      <c r="U14736" t="s">
        <v>61707</v>
      </c>
      <c r="W14736" t="s">
        <v>64556</v>
      </c>
      <c r="X14736" t="s">
        <v>47326</v>
      </c>
    </row>
    <row r="14737" spans="1:24">
      <c r="A14737">
        <f>HYPERLINK("https://www.philgeps.gov.ph/GEPSNONPILOT/Tender/SplashBidNoticeAbstractUI.aspx?menuIndex=3&amp;refID=7161503&amp;Result=3","7161503")</f>
        <v>0</v>
      </c>
      <c r="B14737" t="s">
        <v>3804</v>
      </c>
      <c r="C14737" t="s">
        <v>17809</v>
      </c>
      <c r="D14737" t="s">
        <v>19061</v>
      </c>
      <c r="E14737" t="s">
        <v>24100</v>
      </c>
      <c r="F14737" t="s">
        <v>32606</v>
      </c>
      <c r="G14737" t="s">
        <v>32613</v>
      </c>
      <c r="H14737" t="s">
        <v>14201</v>
      </c>
      <c r="I14737" t="s">
        <v>7677</v>
      </c>
      <c r="J14737" t="s">
        <v>36546</v>
      </c>
      <c r="K14737" t="s">
        <v>42639</v>
      </c>
      <c r="M14737" t="s">
        <v>47147</v>
      </c>
      <c r="N14737" t="s">
        <v>47304</v>
      </c>
      <c r="O14737" t="s">
        <v>47305</v>
      </c>
      <c r="P14737">
        <v>0</v>
      </c>
      <c r="Q14737">
        <v>10</v>
      </c>
      <c r="R14737" t="s">
        <v>47325</v>
      </c>
      <c r="S14737" t="s">
        <v>48215</v>
      </c>
      <c r="T14737" t="s">
        <v>49053</v>
      </c>
      <c r="U14737" t="s">
        <v>61708</v>
      </c>
      <c r="W14737" t="s">
        <v>64556</v>
      </c>
      <c r="X14737" t="s">
        <v>47326</v>
      </c>
    </row>
    <row r="14738" spans="1:24">
      <c r="A14738">
        <f>HYPERLINK("https://www.philgeps.gov.ph/GEPSNONPILOT/Tender/SplashBidNoticeAbstractUI.aspx?menuIndex=3&amp;refID=7161501&amp;Result=3","7161501")</f>
        <v>0</v>
      </c>
      <c r="B14738" t="s">
        <v>1995</v>
      </c>
      <c r="C14738" t="s">
        <v>17810</v>
      </c>
      <c r="D14738" t="s">
        <v>19069</v>
      </c>
      <c r="E14738" t="s">
        <v>31539</v>
      </c>
      <c r="F14738" t="s">
        <v>32606</v>
      </c>
      <c r="G14738" t="s">
        <v>32613</v>
      </c>
      <c r="H14738" t="s">
        <v>32624</v>
      </c>
      <c r="I14738" t="s">
        <v>32627</v>
      </c>
      <c r="J14738" t="s">
        <v>38405</v>
      </c>
      <c r="K14738" t="s">
        <v>42688</v>
      </c>
      <c r="M14738" t="s">
        <v>47149</v>
      </c>
      <c r="N14738" t="s">
        <v>47304</v>
      </c>
      <c r="O14738" t="s">
        <v>47305</v>
      </c>
      <c r="Q14738">
        <v>10</v>
      </c>
      <c r="R14738" t="s">
        <v>47325</v>
      </c>
      <c r="S14738" t="s">
        <v>48329</v>
      </c>
      <c r="T14738" t="s">
        <v>49071</v>
      </c>
      <c r="U14738" t="s">
        <v>61709</v>
      </c>
      <c r="W14738" t="s">
        <v>47149</v>
      </c>
      <c r="X14738" t="s">
        <v>47326</v>
      </c>
    </row>
    <row r="14739" spans="1:24">
      <c r="A14739">
        <f>HYPERLINK("https://www.philgeps.gov.ph/GEPSNONPILOT/Tender/SplashBidNoticeAbstractUI.aspx?menuIndex=3&amp;refID=7161494&amp;Result=3","7161494")</f>
        <v>0</v>
      </c>
      <c r="B14739" t="s">
        <v>3804</v>
      </c>
      <c r="C14739" t="s">
        <v>17811</v>
      </c>
      <c r="D14739" t="s">
        <v>19061</v>
      </c>
      <c r="E14739" t="s">
        <v>24075</v>
      </c>
      <c r="F14739" t="s">
        <v>32606</v>
      </c>
      <c r="G14739" t="s">
        <v>32613</v>
      </c>
      <c r="H14739" t="s">
        <v>14201</v>
      </c>
      <c r="I14739" t="s">
        <v>32661</v>
      </c>
      <c r="J14739" t="s">
        <v>33263</v>
      </c>
      <c r="K14739" t="s">
        <v>42639</v>
      </c>
      <c r="M14739" t="s">
        <v>47147</v>
      </c>
      <c r="N14739" t="s">
        <v>47304</v>
      </c>
      <c r="O14739" t="s">
        <v>47305</v>
      </c>
      <c r="P14739">
        <v>0</v>
      </c>
      <c r="Q14739">
        <v>7</v>
      </c>
      <c r="R14739" t="s">
        <v>47325</v>
      </c>
      <c r="S14739" t="s">
        <v>48215</v>
      </c>
      <c r="T14739" t="s">
        <v>49053</v>
      </c>
      <c r="U14739" t="s">
        <v>61710</v>
      </c>
      <c r="W14739" t="s">
        <v>64556</v>
      </c>
      <c r="X14739" t="s">
        <v>47326</v>
      </c>
    </row>
    <row r="14740" spans="1:24">
      <c r="A14740">
        <f>HYPERLINK("https://www.philgeps.gov.ph/GEPSNONPILOT/Tender/SplashBidNoticeAbstractUI.aspx?menuIndex=3&amp;refID=7161411&amp;Result=3","7161411")</f>
        <v>0</v>
      </c>
      <c r="B14740" t="s">
        <v>503</v>
      </c>
      <c r="C14740" t="s">
        <v>17812</v>
      </c>
      <c r="D14740" t="s">
        <v>19033</v>
      </c>
      <c r="E14740" t="s">
        <v>31540</v>
      </c>
      <c r="F14740" t="s">
        <v>32606</v>
      </c>
      <c r="G14740" t="s">
        <v>32613</v>
      </c>
      <c r="H14740" t="s">
        <v>14201</v>
      </c>
      <c r="I14740" t="s">
        <v>6931</v>
      </c>
      <c r="J14740" t="s">
        <v>41870</v>
      </c>
      <c r="K14740" t="s">
        <v>42631</v>
      </c>
      <c r="M14740" t="s">
        <v>43416</v>
      </c>
      <c r="N14740" t="s">
        <v>47304</v>
      </c>
      <c r="O14740" t="s">
        <v>47305</v>
      </c>
      <c r="P14740">
        <v>0</v>
      </c>
      <c r="Q14740">
        <v>5</v>
      </c>
      <c r="R14740" t="s">
        <v>47325</v>
      </c>
      <c r="S14740" t="s">
        <v>48215</v>
      </c>
      <c r="T14740" t="s">
        <v>48986</v>
      </c>
      <c r="U14740" t="s">
        <v>61691</v>
      </c>
      <c r="W14740" t="s">
        <v>43416</v>
      </c>
      <c r="X14740" t="s">
        <v>47326</v>
      </c>
    </row>
    <row r="14741" spans="1:24">
      <c r="A14741">
        <f>HYPERLINK("https://www.philgeps.gov.ph/GEPSNONPILOT/Tender/SplashBidNoticeAbstractUI.aspx?menuIndex=3&amp;refID=7161563&amp;Result=3","7161563")</f>
        <v>0</v>
      </c>
      <c r="B14741" t="s">
        <v>519</v>
      </c>
      <c r="C14741" t="s">
        <v>17813</v>
      </c>
      <c r="E14741" t="s">
        <v>31541</v>
      </c>
      <c r="F14741" t="s">
        <v>32606</v>
      </c>
      <c r="G14741" t="s">
        <v>32613</v>
      </c>
      <c r="H14741" t="s">
        <v>32624</v>
      </c>
      <c r="I14741" t="s">
        <v>32674</v>
      </c>
      <c r="J14741" t="s">
        <v>41871</v>
      </c>
      <c r="K14741" t="s">
        <v>42707</v>
      </c>
      <c r="M14741" t="s">
        <v>43432</v>
      </c>
      <c r="N14741" t="s">
        <v>47304</v>
      </c>
      <c r="O14741" t="s">
        <v>47305</v>
      </c>
      <c r="Q14741">
        <v>5</v>
      </c>
      <c r="R14741" t="s">
        <v>47325</v>
      </c>
      <c r="S14741" t="s">
        <v>48330</v>
      </c>
      <c r="T14741" t="s">
        <v>48998</v>
      </c>
      <c r="U14741" t="s">
        <v>61711</v>
      </c>
      <c r="V14741" t="s">
        <v>64268</v>
      </c>
      <c r="W14741" t="s">
        <v>43432</v>
      </c>
      <c r="X14741" t="s">
        <v>47326</v>
      </c>
    </row>
    <row r="14742" spans="1:24">
      <c r="A14742">
        <f>HYPERLINK("https://www.philgeps.gov.ph/GEPSNONPILOT/Tender/SplashBidNoticeAbstractUI.aspx?menuIndex=3&amp;refID=7161491&amp;Result=3","7161491")</f>
        <v>0</v>
      </c>
      <c r="B14742" t="s">
        <v>1995</v>
      </c>
      <c r="C14742" t="s">
        <v>17814</v>
      </c>
      <c r="D14742" t="s">
        <v>19069</v>
      </c>
      <c r="E14742" t="s">
        <v>31542</v>
      </c>
      <c r="F14742" t="s">
        <v>32606</v>
      </c>
      <c r="G14742" t="s">
        <v>32613</v>
      </c>
      <c r="H14742" t="s">
        <v>32624</v>
      </c>
      <c r="I14742" t="s">
        <v>32652</v>
      </c>
      <c r="J14742" t="s">
        <v>32796</v>
      </c>
      <c r="K14742" t="s">
        <v>42688</v>
      </c>
      <c r="M14742" t="s">
        <v>47149</v>
      </c>
      <c r="N14742" t="s">
        <v>47304</v>
      </c>
      <c r="O14742" t="s">
        <v>47305</v>
      </c>
      <c r="Q14742">
        <v>4</v>
      </c>
      <c r="R14742" t="s">
        <v>47325</v>
      </c>
      <c r="S14742" t="s">
        <v>48331</v>
      </c>
      <c r="T14742" t="s">
        <v>49071</v>
      </c>
      <c r="U14742" t="s">
        <v>61712</v>
      </c>
      <c r="W14742" t="s">
        <v>47149</v>
      </c>
      <c r="X14742" t="s">
        <v>47326</v>
      </c>
    </row>
    <row r="14743" spans="1:24">
      <c r="A14743">
        <f>HYPERLINK("https://www.philgeps.gov.ph/GEPSNONPILOT/Tender/SplashBidNoticeAbstractUI.aspx?menuIndex=3&amp;refID=7161448&amp;Result=3","7161448")</f>
        <v>0</v>
      </c>
      <c r="B14743" t="s">
        <v>732</v>
      </c>
      <c r="C14743" t="s">
        <v>17815</v>
      </c>
      <c r="D14743" t="s">
        <v>19016</v>
      </c>
      <c r="E14743" t="s">
        <v>31543</v>
      </c>
      <c r="F14743" t="s">
        <v>32606</v>
      </c>
      <c r="G14743" t="s">
        <v>32618</v>
      </c>
      <c r="H14743" t="s">
        <v>14201</v>
      </c>
      <c r="I14743" t="s">
        <v>6931</v>
      </c>
      <c r="J14743" t="s">
        <v>41872</v>
      </c>
      <c r="K14743" t="s">
        <v>42623</v>
      </c>
      <c r="M14743" t="s">
        <v>46738</v>
      </c>
      <c r="N14743" t="s">
        <v>47304</v>
      </c>
      <c r="O14743" t="s">
        <v>47305</v>
      </c>
      <c r="P14743">
        <v>0</v>
      </c>
      <c r="Q14743">
        <v>6</v>
      </c>
      <c r="R14743" t="s">
        <v>47325</v>
      </c>
      <c r="S14743" t="s">
        <v>48215</v>
      </c>
      <c r="T14743" t="s">
        <v>49384</v>
      </c>
      <c r="U14743" t="s">
        <v>61713</v>
      </c>
      <c r="V14743" t="s">
        <v>63976</v>
      </c>
      <c r="W14743" t="s">
        <v>46738</v>
      </c>
      <c r="X14743" t="s">
        <v>47326</v>
      </c>
    </row>
    <row r="14744" spans="1:24">
      <c r="A14744">
        <f>HYPERLINK("https://www.philgeps.gov.ph/GEPSNONPILOT/Tender/SplashBidNoticeAbstractUI.aspx?menuIndex=3&amp;refID=7161548&amp;Result=3","7161548")</f>
        <v>0</v>
      </c>
      <c r="B14744" t="s">
        <v>1074</v>
      </c>
      <c r="C14744" t="s">
        <v>17816</v>
      </c>
      <c r="D14744" t="s">
        <v>19007</v>
      </c>
      <c r="E14744" t="s">
        <v>31544</v>
      </c>
      <c r="F14744" t="s">
        <v>32606</v>
      </c>
      <c r="G14744" t="s">
        <v>32613</v>
      </c>
      <c r="H14744" t="s">
        <v>32623</v>
      </c>
      <c r="I14744" t="s">
        <v>17648</v>
      </c>
      <c r="J14744" t="s">
        <v>32772</v>
      </c>
      <c r="K14744" t="s">
        <v>42636</v>
      </c>
      <c r="M14744" t="s">
        <v>44027</v>
      </c>
      <c r="N14744" t="s">
        <v>47304</v>
      </c>
      <c r="O14744" t="s">
        <v>47305</v>
      </c>
      <c r="P14744">
        <v>0</v>
      </c>
      <c r="Q14744">
        <v>1</v>
      </c>
      <c r="R14744" t="s">
        <v>47325</v>
      </c>
      <c r="S14744" t="s">
        <v>48215</v>
      </c>
      <c r="T14744" t="s">
        <v>49331</v>
      </c>
      <c r="U14744" t="s">
        <v>61714</v>
      </c>
      <c r="W14744" t="s">
        <v>44027</v>
      </c>
      <c r="X14744" t="s">
        <v>47326</v>
      </c>
    </row>
    <row r="14745" spans="1:24">
      <c r="A14745">
        <f>HYPERLINK("https://www.philgeps.gov.ph/GEPSNONPILOT/Tender/SplashBidNoticeAbstractUI.aspx?menuIndex=3&amp;refID=7161547&amp;Result=3","7161547")</f>
        <v>0</v>
      </c>
      <c r="B14745" t="s">
        <v>3147</v>
      </c>
      <c r="C14745" t="s">
        <v>17817</v>
      </c>
      <c r="D14745" t="s">
        <v>18989</v>
      </c>
      <c r="E14745" t="s">
        <v>31545</v>
      </c>
      <c r="F14745" t="s">
        <v>32606</v>
      </c>
      <c r="G14745" t="s">
        <v>32613</v>
      </c>
      <c r="H14745" t="s">
        <v>32624</v>
      </c>
      <c r="I14745" t="s">
        <v>6007</v>
      </c>
      <c r="J14745" t="s">
        <v>41873</v>
      </c>
      <c r="K14745" t="s">
        <v>42630</v>
      </c>
      <c r="M14745" t="s">
        <v>46363</v>
      </c>
      <c r="N14745" t="s">
        <v>47304</v>
      </c>
      <c r="O14745" t="s">
        <v>47305</v>
      </c>
      <c r="P14745">
        <v>0</v>
      </c>
      <c r="Q14745">
        <v>1</v>
      </c>
      <c r="R14745" t="s">
        <v>47325</v>
      </c>
      <c r="S14745" t="s">
        <v>48215</v>
      </c>
      <c r="T14745" t="s">
        <v>48998</v>
      </c>
      <c r="U14745" t="s">
        <v>61715</v>
      </c>
      <c r="W14745" t="s">
        <v>46363</v>
      </c>
      <c r="X14745" t="s">
        <v>47326</v>
      </c>
    </row>
    <row r="14746" spans="1:24">
      <c r="A14746">
        <f>HYPERLINK("https://www.philgeps.gov.ph/GEPSNONPILOT/Tender/SplashBidNoticeAbstractUI.aspx?menuIndex=3&amp;refID=7161523&amp;Result=3","7161523")</f>
        <v>0</v>
      </c>
      <c r="B14746" t="s">
        <v>3804</v>
      </c>
      <c r="C14746" t="s">
        <v>17818</v>
      </c>
      <c r="D14746" t="s">
        <v>19061</v>
      </c>
      <c r="E14746" t="s">
        <v>24085</v>
      </c>
      <c r="F14746" t="s">
        <v>32606</v>
      </c>
      <c r="G14746" t="s">
        <v>32613</v>
      </c>
      <c r="H14746" t="s">
        <v>14201</v>
      </c>
      <c r="I14746" t="s">
        <v>32633</v>
      </c>
      <c r="J14746" t="s">
        <v>35547</v>
      </c>
      <c r="K14746" t="s">
        <v>42639</v>
      </c>
      <c r="M14746" t="s">
        <v>47147</v>
      </c>
      <c r="N14746" t="s">
        <v>47304</v>
      </c>
      <c r="O14746" t="s">
        <v>47305</v>
      </c>
      <c r="P14746">
        <v>0</v>
      </c>
      <c r="Q14746">
        <v>8</v>
      </c>
      <c r="R14746" t="s">
        <v>47325</v>
      </c>
      <c r="S14746" t="s">
        <v>48215</v>
      </c>
      <c r="T14746" t="s">
        <v>49053</v>
      </c>
      <c r="U14746" t="s">
        <v>61716</v>
      </c>
      <c r="W14746" t="s">
        <v>64556</v>
      </c>
      <c r="X14746" t="s">
        <v>47326</v>
      </c>
    </row>
    <row r="14747" spans="1:24">
      <c r="A14747">
        <f>HYPERLINK("https://www.philgeps.gov.ph/GEPSNONPILOT/Tender/SplashBidNoticeAbstractUI.aspx?menuIndex=3&amp;refID=7161543&amp;Result=3","7161543")</f>
        <v>0</v>
      </c>
      <c r="B14747" t="s">
        <v>3147</v>
      </c>
      <c r="C14747" t="s">
        <v>3971</v>
      </c>
      <c r="D14747" t="s">
        <v>18989</v>
      </c>
      <c r="E14747" t="s">
        <v>31546</v>
      </c>
      <c r="F14747" t="s">
        <v>32606</v>
      </c>
      <c r="G14747" t="s">
        <v>32613</v>
      </c>
      <c r="H14747" t="s">
        <v>14201</v>
      </c>
      <c r="I14747" t="s">
        <v>4120</v>
      </c>
      <c r="J14747" t="s">
        <v>41874</v>
      </c>
      <c r="K14747" t="s">
        <v>42624</v>
      </c>
      <c r="M14747" t="s">
        <v>46363</v>
      </c>
      <c r="N14747" t="s">
        <v>47304</v>
      </c>
      <c r="O14747" t="s">
        <v>47305</v>
      </c>
      <c r="P14747">
        <v>0</v>
      </c>
      <c r="Q14747">
        <v>3</v>
      </c>
      <c r="R14747" t="s">
        <v>47325</v>
      </c>
      <c r="S14747" t="s">
        <v>48215</v>
      </c>
      <c r="T14747" t="s">
        <v>48998</v>
      </c>
      <c r="U14747" t="s">
        <v>61717</v>
      </c>
      <c r="W14747" t="s">
        <v>46363</v>
      </c>
      <c r="X14747" t="s">
        <v>47326</v>
      </c>
    </row>
    <row r="14748" spans="1:24">
      <c r="A14748">
        <f>HYPERLINK("https://www.philgeps.gov.ph/GEPSNONPILOT/Tender/SplashBidNoticeAbstractUI.aspx?menuIndex=3&amp;refID=7161516&amp;Result=3","7161516")</f>
        <v>0</v>
      </c>
      <c r="B14748" t="s">
        <v>3804</v>
      </c>
      <c r="C14748" t="s">
        <v>17819</v>
      </c>
      <c r="D14748" t="s">
        <v>19061</v>
      </c>
      <c r="E14748" t="s">
        <v>24144</v>
      </c>
      <c r="F14748" t="s">
        <v>32606</v>
      </c>
      <c r="G14748" t="s">
        <v>32613</v>
      </c>
      <c r="H14748" t="s">
        <v>14201</v>
      </c>
      <c r="I14748" t="s">
        <v>7677</v>
      </c>
      <c r="J14748" t="s">
        <v>32770</v>
      </c>
      <c r="K14748" t="s">
        <v>42639</v>
      </c>
      <c r="M14748" t="s">
        <v>47147</v>
      </c>
      <c r="N14748" t="s">
        <v>47304</v>
      </c>
      <c r="O14748" t="s">
        <v>47305</v>
      </c>
      <c r="P14748">
        <v>0</v>
      </c>
      <c r="Q14748">
        <v>8</v>
      </c>
      <c r="R14748" t="s">
        <v>47325</v>
      </c>
      <c r="S14748" t="s">
        <v>48215</v>
      </c>
      <c r="T14748" t="s">
        <v>49053</v>
      </c>
      <c r="U14748" t="s">
        <v>61718</v>
      </c>
      <c r="W14748" t="s">
        <v>64556</v>
      </c>
      <c r="X14748" t="s">
        <v>47326</v>
      </c>
    </row>
    <row r="14749" spans="1:24">
      <c r="A14749">
        <f>HYPERLINK("https://www.philgeps.gov.ph/GEPSNONPILOT/Tender/SplashBidNoticeAbstractUI.aspx?menuIndex=3&amp;refID=7161558&amp;Result=3","7161558")</f>
        <v>0</v>
      </c>
      <c r="B14749" t="s">
        <v>3806</v>
      </c>
      <c r="C14749" t="s">
        <v>17820</v>
      </c>
      <c r="D14749" t="s">
        <v>19016</v>
      </c>
      <c r="E14749" t="s">
        <v>31547</v>
      </c>
      <c r="F14749" t="s">
        <v>32606</v>
      </c>
      <c r="G14749" t="s">
        <v>32613</v>
      </c>
      <c r="H14749" t="s">
        <v>32623</v>
      </c>
      <c r="I14749" t="s">
        <v>32661</v>
      </c>
      <c r="J14749" t="s">
        <v>41875</v>
      </c>
      <c r="K14749" t="s">
        <v>42646</v>
      </c>
      <c r="M14749" t="s">
        <v>47150</v>
      </c>
      <c r="N14749" t="s">
        <v>47304</v>
      </c>
      <c r="O14749" t="s">
        <v>47305</v>
      </c>
      <c r="P14749">
        <v>0</v>
      </c>
      <c r="Q14749">
        <v>6</v>
      </c>
      <c r="R14749" t="s">
        <v>47325</v>
      </c>
      <c r="S14749" t="s">
        <v>48215</v>
      </c>
      <c r="T14749" t="s">
        <v>49065</v>
      </c>
      <c r="U14749" t="s">
        <v>61719</v>
      </c>
      <c r="W14749" t="s">
        <v>47150</v>
      </c>
      <c r="X14749" t="s">
        <v>47326</v>
      </c>
    </row>
    <row r="14750" spans="1:24">
      <c r="A14750">
        <f>HYPERLINK("https://www.philgeps.gov.ph/GEPSNONPILOT/Tender/SplashBidNoticeAbstractUI.aspx?menuIndex=3&amp;refID=7161426&amp;Result=3","7161426")</f>
        <v>0</v>
      </c>
      <c r="B14750" t="s">
        <v>3807</v>
      </c>
      <c r="C14750" t="s">
        <v>17821</v>
      </c>
      <c r="D14750" t="s">
        <v>19001</v>
      </c>
      <c r="E14750" t="s">
        <v>31548</v>
      </c>
      <c r="F14750" t="s">
        <v>32606</v>
      </c>
      <c r="G14750" t="s">
        <v>32613</v>
      </c>
      <c r="H14750" t="s">
        <v>14201</v>
      </c>
      <c r="I14750" t="s">
        <v>6993</v>
      </c>
      <c r="J14750" t="s">
        <v>41876</v>
      </c>
      <c r="K14750" t="s">
        <v>42646</v>
      </c>
      <c r="M14750" t="s">
        <v>47151</v>
      </c>
      <c r="N14750" t="s">
        <v>47304</v>
      </c>
      <c r="O14750" t="s">
        <v>47305</v>
      </c>
      <c r="P14750">
        <v>0</v>
      </c>
      <c r="Q14750">
        <v>6</v>
      </c>
      <c r="R14750" t="s">
        <v>47325</v>
      </c>
      <c r="S14750" t="s">
        <v>48215</v>
      </c>
      <c r="T14750" t="s">
        <v>49004</v>
      </c>
      <c r="U14750" t="s">
        <v>61720</v>
      </c>
      <c r="V14750" t="s">
        <v>64269</v>
      </c>
      <c r="W14750" t="s">
        <v>47151</v>
      </c>
      <c r="X14750" t="s">
        <v>47326</v>
      </c>
    </row>
    <row r="14751" spans="1:24">
      <c r="A14751">
        <f>HYPERLINK("https://www.philgeps.gov.ph/GEPSNONPILOT/Tender/SplashBidNoticeAbstractUI.aspx?menuIndex=3&amp;refID=7161483&amp;Result=3","7161483")</f>
        <v>0</v>
      </c>
      <c r="B14751" t="s">
        <v>3804</v>
      </c>
      <c r="C14751" t="s">
        <v>17822</v>
      </c>
      <c r="D14751" t="s">
        <v>19061</v>
      </c>
      <c r="E14751" t="s">
        <v>24081</v>
      </c>
      <c r="F14751" t="s">
        <v>32606</v>
      </c>
      <c r="G14751" t="s">
        <v>32613</v>
      </c>
      <c r="H14751" t="s">
        <v>14201</v>
      </c>
      <c r="I14751" t="s">
        <v>7064</v>
      </c>
      <c r="J14751" t="s">
        <v>34591</v>
      </c>
      <c r="K14751" t="s">
        <v>42639</v>
      </c>
      <c r="M14751" t="s">
        <v>47147</v>
      </c>
      <c r="N14751" t="s">
        <v>47304</v>
      </c>
      <c r="O14751" t="s">
        <v>47305</v>
      </c>
      <c r="Q14751">
        <v>4</v>
      </c>
      <c r="R14751" t="s">
        <v>47325</v>
      </c>
      <c r="S14751" t="s">
        <v>48332</v>
      </c>
      <c r="T14751" t="s">
        <v>49053</v>
      </c>
      <c r="U14751" t="s">
        <v>61721</v>
      </c>
      <c r="W14751" t="s">
        <v>64556</v>
      </c>
      <c r="X14751" t="s">
        <v>47326</v>
      </c>
    </row>
    <row r="14752" spans="1:24">
      <c r="A14752">
        <f>HYPERLINK("https://www.philgeps.gov.ph/GEPSNONPILOT/Tender/SplashBidNoticeAbstractUI.aspx?menuIndex=3&amp;refID=7161505&amp;Result=3","7161505")</f>
        <v>0</v>
      </c>
      <c r="B14752" t="s">
        <v>3803</v>
      </c>
      <c r="C14752" t="s">
        <v>17823</v>
      </c>
      <c r="D14752" t="s">
        <v>19053</v>
      </c>
      <c r="E14752" t="s">
        <v>19766</v>
      </c>
      <c r="F14752" t="s">
        <v>32606</v>
      </c>
      <c r="G14752" t="s">
        <v>32613</v>
      </c>
      <c r="H14752" t="s">
        <v>14201</v>
      </c>
      <c r="I14752" t="s">
        <v>32640</v>
      </c>
      <c r="J14752" t="s">
        <v>41877</v>
      </c>
      <c r="K14752" t="s">
        <v>42677</v>
      </c>
      <c r="M14752" t="s">
        <v>47146</v>
      </c>
      <c r="N14752" t="s">
        <v>47304</v>
      </c>
      <c r="O14752" t="s">
        <v>47305</v>
      </c>
      <c r="Q14752">
        <v>4</v>
      </c>
      <c r="R14752" t="s">
        <v>47325</v>
      </c>
      <c r="S14752" t="s">
        <v>48333</v>
      </c>
      <c r="T14752" t="s">
        <v>49003</v>
      </c>
      <c r="U14752" t="s">
        <v>61722</v>
      </c>
      <c r="W14752" t="s">
        <v>64555</v>
      </c>
      <c r="X14752" t="s">
        <v>47326</v>
      </c>
    </row>
    <row r="14753" spans="1:24">
      <c r="A14753">
        <f>HYPERLINK("https://www.philgeps.gov.ph/GEPSNONPILOT/Tender/SplashBidNoticeAbstractUI.aspx?menuIndex=3&amp;refID=7161480&amp;Result=3","7161480")</f>
        <v>0</v>
      </c>
      <c r="B14753" t="s">
        <v>3805</v>
      </c>
      <c r="C14753" t="s">
        <v>17824</v>
      </c>
      <c r="D14753" t="s">
        <v>19024</v>
      </c>
      <c r="E14753" t="s">
        <v>20667</v>
      </c>
      <c r="F14753" t="s">
        <v>32606</v>
      </c>
      <c r="G14753" t="s">
        <v>32613</v>
      </c>
      <c r="H14753" t="s">
        <v>14201</v>
      </c>
      <c r="I14753" t="s">
        <v>32686</v>
      </c>
      <c r="J14753" t="s">
        <v>35368</v>
      </c>
      <c r="K14753" t="s">
        <v>42639</v>
      </c>
      <c r="M14753" t="s">
        <v>47148</v>
      </c>
      <c r="N14753" t="s">
        <v>47304</v>
      </c>
      <c r="O14753" t="s">
        <v>47305</v>
      </c>
      <c r="Q14753">
        <v>13</v>
      </c>
      <c r="R14753" t="s">
        <v>47325</v>
      </c>
      <c r="S14753" t="s">
        <v>48050</v>
      </c>
      <c r="T14753" t="s">
        <v>49071</v>
      </c>
      <c r="U14753" t="s">
        <v>61723</v>
      </c>
      <c r="W14753" t="s">
        <v>47148</v>
      </c>
      <c r="X14753" t="s">
        <v>47326</v>
      </c>
    </row>
    <row r="14754" spans="1:24">
      <c r="A14754">
        <f>HYPERLINK("https://www.philgeps.gov.ph/GEPSNONPILOT/Tender/SplashBidNoticeAbstractUI.aspx?menuIndex=3&amp;refID=7161478&amp;Result=3","7161478")</f>
        <v>0</v>
      </c>
      <c r="B14754" t="s">
        <v>3807</v>
      </c>
      <c r="C14754" t="s">
        <v>17825</v>
      </c>
      <c r="D14754" t="s">
        <v>19001</v>
      </c>
      <c r="E14754" t="s">
        <v>31549</v>
      </c>
      <c r="F14754" t="s">
        <v>32606</v>
      </c>
      <c r="G14754" t="s">
        <v>32613</v>
      </c>
      <c r="H14754" t="s">
        <v>14201</v>
      </c>
      <c r="I14754" t="s">
        <v>6993</v>
      </c>
      <c r="J14754" t="s">
        <v>34912</v>
      </c>
      <c r="K14754" t="s">
        <v>42646</v>
      </c>
      <c r="M14754" t="s">
        <v>47151</v>
      </c>
      <c r="N14754" t="s">
        <v>47304</v>
      </c>
      <c r="O14754" t="s">
        <v>47305</v>
      </c>
      <c r="P14754">
        <v>0</v>
      </c>
      <c r="Q14754">
        <v>7</v>
      </c>
      <c r="R14754" t="s">
        <v>47325</v>
      </c>
      <c r="S14754" t="s">
        <v>48215</v>
      </c>
      <c r="T14754" t="s">
        <v>49004</v>
      </c>
      <c r="U14754" t="s">
        <v>61724</v>
      </c>
      <c r="V14754" t="s">
        <v>64270</v>
      </c>
      <c r="W14754" t="s">
        <v>47151</v>
      </c>
      <c r="X14754" t="s">
        <v>47326</v>
      </c>
    </row>
    <row r="14755" spans="1:24">
      <c r="A14755">
        <f>HYPERLINK("https://www.philgeps.gov.ph/GEPSNONPILOT/Tender/SplashBidNoticeAbstractUI.aspx?menuIndex=3&amp;refID=7161475&amp;Result=3","7161475")</f>
        <v>0</v>
      </c>
      <c r="B14755" t="s">
        <v>3804</v>
      </c>
      <c r="C14755" t="s">
        <v>17826</v>
      </c>
      <c r="D14755" t="s">
        <v>19061</v>
      </c>
      <c r="E14755" t="s">
        <v>21300</v>
      </c>
      <c r="F14755" t="s">
        <v>32606</v>
      </c>
      <c r="G14755" t="s">
        <v>32613</v>
      </c>
      <c r="H14755" t="s">
        <v>14201</v>
      </c>
      <c r="I14755" t="s">
        <v>7064</v>
      </c>
      <c r="J14755" t="s">
        <v>32830</v>
      </c>
      <c r="K14755" t="s">
        <v>42639</v>
      </c>
      <c r="M14755" t="s">
        <v>47147</v>
      </c>
      <c r="N14755" t="s">
        <v>47304</v>
      </c>
      <c r="O14755" t="s">
        <v>47305</v>
      </c>
      <c r="P14755">
        <v>0</v>
      </c>
      <c r="Q14755">
        <v>6</v>
      </c>
      <c r="R14755" t="s">
        <v>47325</v>
      </c>
      <c r="S14755" t="s">
        <v>48215</v>
      </c>
      <c r="T14755" t="s">
        <v>49053</v>
      </c>
      <c r="U14755" t="s">
        <v>61725</v>
      </c>
      <c r="W14755" t="s">
        <v>64556</v>
      </c>
      <c r="X14755" t="s">
        <v>47326</v>
      </c>
    </row>
    <row r="14756" spans="1:24">
      <c r="A14756">
        <f>HYPERLINK("https://www.philgeps.gov.ph/GEPSNONPILOT/Tender/SplashBidNoticeAbstractUI.aspx?menuIndex=3&amp;refID=7161485&amp;Result=3","7161485")</f>
        <v>0</v>
      </c>
      <c r="B14756" t="s">
        <v>3805</v>
      </c>
      <c r="C14756" t="s">
        <v>17827</v>
      </c>
      <c r="D14756" t="s">
        <v>19024</v>
      </c>
      <c r="E14756" t="s">
        <v>20898</v>
      </c>
      <c r="F14756" t="s">
        <v>32606</v>
      </c>
      <c r="G14756" t="s">
        <v>32613</v>
      </c>
      <c r="H14756" t="s">
        <v>14201</v>
      </c>
      <c r="I14756" t="s">
        <v>32686</v>
      </c>
      <c r="J14756" t="s">
        <v>32920</v>
      </c>
      <c r="K14756" t="s">
        <v>42639</v>
      </c>
      <c r="M14756" t="s">
        <v>47148</v>
      </c>
      <c r="N14756" t="s">
        <v>47304</v>
      </c>
      <c r="O14756" t="s">
        <v>47305</v>
      </c>
      <c r="Q14756">
        <v>8</v>
      </c>
      <c r="R14756" t="s">
        <v>47325</v>
      </c>
      <c r="S14756" t="s">
        <v>48334</v>
      </c>
      <c r="T14756" t="s">
        <v>49071</v>
      </c>
      <c r="U14756" t="s">
        <v>61726</v>
      </c>
      <c r="W14756" t="s">
        <v>47148</v>
      </c>
      <c r="X14756" t="s">
        <v>47326</v>
      </c>
    </row>
    <row r="14757" spans="1:24">
      <c r="A14757">
        <f>HYPERLINK("https://www.philgeps.gov.ph/GEPSNONPILOT/Tender/SplashBidNoticeAbstractUI.aspx?menuIndex=3&amp;refID=7161474&amp;Result=3","7161474")</f>
        <v>0</v>
      </c>
      <c r="B14757" t="s">
        <v>3805</v>
      </c>
      <c r="C14757" t="s">
        <v>17828</v>
      </c>
      <c r="D14757" t="s">
        <v>19024</v>
      </c>
      <c r="E14757" t="s">
        <v>20544</v>
      </c>
      <c r="F14757" t="s">
        <v>32606</v>
      </c>
      <c r="G14757" t="s">
        <v>32613</v>
      </c>
      <c r="H14757" t="s">
        <v>32623</v>
      </c>
      <c r="I14757" t="s">
        <v>17648</v>
      </c>
      <c r="J14757" t="s">
        <v>33123</v>
      </c>
      <c r="K14757" t="s">
        <v>42646</v>
      </c>
      <c r="M14757" t="s">
        <v>47148</v>
      </c>
      <c r="N14757" t="s">
        <v>47304</v>
      </c>
      <c r="O14757" t="s">
        <v>47305</v>
      </c>
      <c r="Q14757">
        <v>0</v>
      </c>
      <c r="R14757" t="s">
        <v>47325</v>
      </c>
      <c r="S14757" t="s">
        <v>48335</v>
      </c>
      <c r="T14757" t="s">
        <v>49071</v>
      </c>
      <c r="U14757" t="s">
        <v>61727</v>
      </c>
      <c r="W14757" t="s">
        <v>47148</v>
      </c>
      <c r="X14757" t="s">
        <v>47326</v>
      </c>
    </row>
    <row r="14758" spans="1:24">
      <c r="A14758">
        <f>HYPERLINK("https://www.philgeps.gov.ph/GEPSNONPILOT/Tender/SplashBidNoticeAbstractUI.aspx?menuIndex=3&amp;refID=7161662&amp;Result=3","7161662")</f>
        <v>0</v>
      </c>
      <c r="B14758" t="s">
        <v>3257</v>
      </c>
      <c r="C14758" t="s">
        <v>17829</v>
      </c>
      <c r="D14758" t="s">
        <v>19051</v>
      </c>
      <c r="E14758" t="s">
        <v>31550</v>
      </c>
      <c r="F14758" t="s">
        <v>32606</v>
      </c>
      <c r="G14758" t="s">
        <v>32613</v>
      </c>
      <c r="H14758" t="s">
        <v>32623</v>
      </c>
      <c r="I14758" t="s">
        <v>17648</v>
      </c>
      <c r="J14758" t="s">
        <v>32821</v>
      </c>
      <c r="K14758" t="s">
        <v>42653</v>
      </c>
      <c r="L14758" t="s">
        <v>3257</v>
      </c>
      <c r="M14758" t="s">
        <v>46491</v>
      </c>
      <c r="N14758" t="s">
        <v>47304</v>
      </c>
      <c r="O14758" t="s">
        <v>47305</v>
      </c>
      <c r="Q14758">
        <v>3</v>
      </c>
      <c r="R14758" t="s">
        <v>47325</v>
      </c>
      <c r="S14758" t="s">
        <v>48336</v>
      </c>
      <c r="T14758" t="s">
        <v>49053</v>
      </c>
      <c r="U14758" t="s">
        <v>61728</v>
      </c>
      <c r="W14758" t="s">
        <v>46491</v>
      </c>
      <c r="X14758" t="s">
        <v>47326</v>
      </c>
    </row>
    <row r="14759" spans="1:24">
      <c r="A14759">
        <f>HYPERLINK("https://www.philgeps.gov.ph/GEPSNONPILOT/Tender/SplashBidNoticeAbstractUI.aspx?menuIndex=3&amp;refID=7161637&amp;Result=3","7161637")</f>
        <v>0</v>
      </c>
      <c r="B14759" t="s">
        <v>2083</v>
      </c>
      <c r="C14759" t="s">
        <v>17830</v>
      </c>
      <c r="D14759" t="s">
        <v>18993</v>
      </c>
      <c r="E14759" t="s">
        <v>31551</v>
      </c>
      <c r="F14759" t="s">
        <v>32606</v>
      </c>
      <c r="G14759" t="s">
        <v>32613</v>
      </c>
      <c r="H14759" t="s">
        <v>32623</v>
      </c>
      <c r="I14759" t="s">
        <v>17648</v>
      </c>
      <c r="J14759" t="s">
        <v>41878</v>
      </c>
      <c r="K14759" t="s">
        <v>42651</v>
      </c>
      <c r="M14759" t="s">
        <v>45166</v>
      </c>
      <c r="N14759" t="s">
        <v>47304</v>
      </c>
      <c r="O14759" t="s">
        <v>47305</v>
      </c>
      <c r="Q14759">
        <v>27</v>
      </c>
      <c r="R14759" t="s">
        <v>47325</v>
      </c>
      <c r="S14759" t="s">
        <v>48337</v>
      </c>
      <c r="T14759" t="s">
        <v>49073</v>
      </c>
      <c r="U14759" t="s">
        <v>61729</v>
      </c>
      <c r="W14759" t="s">
        <v>45166</v>
      </c>
      <c r="X14759" t="s">
        <v>47326</v>
      </c>
    </row>
    <row r="14760" spans="1:24">
      <c r="A14760">
        <f>HYPERLINK("https://www.philgeps.gov.ph/GEPSNONPILOT/Tender/SplashBidNoticeAbstractUI.aspx?menuIndex=3&amp;refID=7161632&amp;Result=3","7161632")</f>
        <v>0</v>
      </c>
      <c r="B14760" t="s">
        <v>2083</v>
      </c>
      <c r="C14760" t="s">
        <v>17831</v>
      </c>
      <c r="D14760" t="s">
        <v>18993</v>
      </c>
      <c r="E14760" t="s">
        <v>31552</v>
      </c>
      <c r="F14760" t="s">
        <v>32606</v>
      </c>
      <c r="G14760" t="s">
        <v>32613</v>
      </c>
      <c r="H14760" t="s">
        <v>32623</v>
      </c>
      <c r="I14760" t="s">
        <v>17648</v>
      </c>
      <c r="J14760" t="s">
        <v>41879</v>
      </c>
      <c r="K14760" t="s">
        <v>42646</v>
      </c>
      <c r="M14760" t="s">
        <v>45166</v>
      </c>
      <c r="N14760" t="s">
        <v>47304</v>
      </c>
      <c r="O14760" t="s">
        <v>47305</v>
      </c>
      <c r="Q14760">
        <v>31</v>
      </c>
      <c r="R14760" t="s">
        <v>47325</v>
      </c>
      <c r="S14760" t="s">
        <v>48338</v>
      </c>
      <c r="T14760" t="s">
        <v>49073</v>
      </c>
      <c r="U14760" t="s">
        <v>61730</v>
      </c>
      <c r="W14760" t="s">
        <v>45166</v>
      </c>
      <c r="X14760" t="s">
        <v>47326</v>
      </c>
    </row>
    <row r="14761" spans="1:24">
      <c r="A14761">
        <f>HYPERLINK("https://www.philgeps.gov.ph/GEPSNONPILOT/Tender/SplashBidNoticeAbstractUI.aspx?menuIndex=3&amp;refID=7161441&amp;Result=3","7161441")</f>
        <v>0</v>
      </c>
      <c r="B14761" t="s">
        <v>503</v>
      </c>
      <c r="C14761" t="s">
        <v>17832</v>
      </c>
      <c r="D14761" t="s">
        <v>19033</v>
      </c>
      <c r="E14761" t="s">
        <v>31553</v>
      </c>
      <c r="F14761" t="s">
        <v>32606</v>
      </c>
      <c r="G14761" t="s">
        <v>32613</v>
      </c>
      <c r="H14761" t="s">
        <v>14201</v>
      </c>
      <c r="I14761" t="s">
        <v>6931</v>
      </c>
      <c r="J14761" t="s">
        <v>41880</v>
      </c>
      <c r="K14761" t="s">
        <v>42631</v>
      </c>
      <c r="M14761" t="s">
        <v>43416</v>
      </c>
      <c r="N14761" t="s">
        <v>47304</v>
      </c>
      <c r="O14761" t="s">
        <v>47305</v>
      </c>
      <c r="P14761">
        <v>0</v>
      </c>
      <c r="Q14761">
        <v>8</v>
      </c>
      <c r="R14761" t="s">
        <v>47325</v>
      </c>
      <c r="S14761" t="s">
        <v>48215</v>
      </c>
      <c r="T14761" t="s">
        <v>48986</v>
      </c>
      <c r="U14761" t="s">
        <v>61691</v>
      </c>
      <c r="W14761" t="s">
        <v>43416</v>
      </c>
      <c r="X14761" t="s">
        <v>47326</v>
      </c>
    </row>
    <row r="14762" spans="1:24">
      <c r="A14762">
        <f>HYPERLINK("https://www.philgeps.gov.ph/GEPSNONPILOT/Tender/SplashBidNoticeAbstractUI.aspx?menuIndex=3&amp;refID=7161694&amp;Result=3","7161694")</f>
        <v>0</v>
      </c>
      <c r="B14762" t="s">
        <v>387</v>
      </c>
      <c r="C14762" t="s">
        <v>17833</v>
      </c>
      <c r="D14762" t="s">
        <v>18988</v>
      </c>
      <c r="E14762" t="s">
        <v>31554</v>
      </c>
      <c r="F14762" t="s">
        <v>32606</v>
      </c>
      <c r="G14762" t="s">
        <v>32613</v>
      </c>
      <c r="H14762" t="s">
        <v>32623</v>
      </c>
      <c r="I14762" t="s">
        <v>17648</v>
      </c>
      <c r="J14762" t="s">
        <v>41881</v>
      </c>
      <c r="K14762" t="s">
        <v>42645</v>
      </c>
      <c r="M14762" t="s">
        <v>43290</v>
      </c>
      <c r="N14762" t="s">
        <v>47304</v>
      </c>
      <c r="O14762" t="s">
        <v>47305</v>
      </c>
      <c r="Q14762">
        <v>19</v>
      </c>
      <c r="R14762" t="s">
        <v>47325</v>
      </c>
      <c r="S14762" t="s">
        <v>48339</v>
      </c>
      <c r="T14762" t="s">
        <v>49017</v>
      </c>
      <c r="U14762" t="s">
        <v>61731</v>
      </c>
      <c r="W14762" t="s">
        <v>64554</v>
      </c>
      <c r="X14762" t="s">
        <v>47326</v>
      </c>
    </row>
    <row r="14763" spans="1:24">
      <c r="A14763">
        <f>HYPERLINK("https://www.philgeps.gov.ph/GEPSNONPILOT/Tender/SplashBidNoticeAbstractUI.aspx?menuIndex=3&amp;refID=7161490&amp;Result=3","7161490")</f>
        <v>0</v>
      </c>
      <c r="B14763" t="s">
        <v>3805</v>
      </c>
      <c r="C14763" t="s">
        <v>17834</v>
      </c>
      <c r="D14763" t="s">
        <v>19024</v>
      </c>
      <c r="E14763" t="s">
        <v>21514</v>
      </c>
      <c r="F14763" t="s">
        <v>32606</v>
      </c>
      <c r="G14763" t="s">
        <v>32613</v>
      </c>
      <c r="H14763" t="s">
        <v>14201</v>
      </c>
      <c r="I14763" t="s">
        <v>7064</v>
      </c>
      <c r="J14763" t="s">
        <v>34128</v>
      </c>
      <c r="K14763" t="s">
        <v>42639</v>
      </c>
      <c r="M14763" t="s">
        <v>47148</v>
      </c>
      <c r="N14763" t="s">
        <v>47304</v>
      </c>
      <c r="O14763" t="s">
        <v>47305</v>
      </c>
      <c r="Q14763">
        <v>3</v>
      </c>
      <c r="R14763" t="s">
        <v>47325</v>
      </c>
      <c r="S14763" t="s">
        <v>48340</v>
      </c>
      <c r="T14763" t="s">
        <v>49071</v>
      </c>
      <c r="U14763" t="s">
        <v>61732</v>
      </c>
      <c r="W14763" t="s">
        <v>47148</v>
      </c>
      <c r="X14763" t="s">
        <v>47326</v>
      </c>
    </row>
    <row r="14764" spans="1:24">
      <c r="A14764">
        <f>HYPERLINK("https://www.philgeps.gov.ph/GEPSNONPILOT/Tender/SplashBidNoticeAbstractUI.aspx?menuIndex=3&amp;refID=7161683&amp;Result=3","7161683")</f>
        <v>0</v>
      </c>
      <c r="B14764" t="s">
        <v>696</v>
      </c>
      <c r="C14764" t="s">
        <v>17835</v>
      </c>
      <c r="D14764" t="s">
        <v>19069</v>
      </c>
      <c r="E14764" t="s">
        <v>31555</v>
      </c>
      <c r="F14764" t="s">
        <v>32606</v>
      </c>
      <c r="G14764" t="s">
        <v>32613</v>
      </c>
      <c r="H14764" t="s">
        <v>14201</v>
      </c>
      <c r="I14764" t="s">
        <v>32686</v>
      </c>
      <c r="J14764" t="s">
        <v>34667</v>
      </c>
      <c r="K14764" t="s">
        <v>42648</v>
      </c>
      <c r="M14764" t="s">
        <v>43969</v>
      </c>
      <c r="N14764" t="s">
        <v>47304</v>
      </c>
      <c r="O14764" t="s">
        <v>47305</v>
      </c>
      <c r="P14764">
        <v>0</v>
      </c>
      <c r="Q14764">
        <v>12</v>
      </c>
      <c r="R14764" t="s">
        <v>47325</v>
      </c>
      <c r="S14764" t="s">
        <v>48215</v>
      </c>
      <c r="T14764" t="s">
        <v>49256</v>
      </c>
      <c r="U14764" t="s">
        <v>61733</v>
      </c>
      <c r="V14764" t="s">
        <v>64271</v>
      </c>
      <c r="W14764" t="s">
        <v>43969</v>
      </c>
      <c r="X14764" t="s">
        <v>47326</v>
      </c>
    </row>
    <row r="14765" spans="1:24">
      <c r="A14765">
        <f>HYPERLINK("https://www.philgeps.gov.ph/GEPSNONPILOT/Tender/SplashBidNoticeAbstractUI.aspx?menuIndex=3&amp;refID=7161434&amp;Result=3","7161434")</f>
        <v>0</v>
      </c>
      <c r="B14765" t="s">
        <v>3804</v>
      </c>
      <c r="C14765" t="s">
        <v>17836</v>
      </c>
      <c r="D14765" t="s">
        <v>19061</v>
      </c>
      <c r="E14765" t="s">
        <v>24070</v>
      </c>
      <c r="F14765" t="s">
        <v>32606</v>
      </c>
      <c r="G14765" t="s">
        <v>32613</v>
      </c>
      <c r="H14765" t="s">
        <v>32623</v>
      </c>
      <c r="I14765" t="s">
        <v>17648</v>
      </c>
      <c r="J14765" t="s">
        <v>32821</v>
      </c>
      <c r="K14765" t="s">
        <v>42646</v>
      </c>
      <c r="M14765" t="s">
        <v>47147</v>
      </c>
      <c r="N14765" t="s">
        <v>47304</v>
      </c>
      <c r="O14765" t="s">
        <v>47305</v>
      </c>
      <c r="P14765">
        <v>0</v>
      </c>
      <c r="Q14765">
        <v>1</v>
      </c>
      <c r="R14765" t="s">
        <v>47325</v>
      </c>
      <c r="S14765" t="s">
        <v>48215</v>
      </c>
      <c r="T14765" t="s">
        <v>49053</v>
      </c>
      <c r="U14765" t="s">
        <v>61734</v>
      </c>
      <c r="W14765" t="s">
        <v>64556</v>
      </c>
      <c r="X14765" t="s">
        <v>47326</v>
      </c>
    </row>
    <row r="14766" spans="1:24">
      <c r="A14766">
        <f>HYPERLINK("https://www.philgeps.gov.ph/GEPSNONPILOT/Tender/SplashBidNoticeAbstractUI.aspx?menuIndex=3&amp;refID=7161640&amp;Result=3","7161640")</f>
        <v>0</v>
      </c>
      <c r="B14766" t="s">
        <v>2083</v>
      </c>
      <c r="C14766" t="s">
        <v>17837</v>
      </c>
      <c r="D14766" t="s">
        <v>18993</v>
      </c>
      <c r="E14766" t="s">
        <v>31556</v>
      </c>
      <c r="F14766" t="s">
        <v>32606</v>
      </c>
      <c r="G14766" t="s">
        <v>32613</v>
      </c>
      <c r="H14766" t="s">
        <v>32623</v>
      </c>
      <c r="I14766" t="s">
        <v>17648</v>
      </c>
      <c r="J14766" t="s">
        <v>41882</v>
      </c>
      <c r="K14766" t="s">
        <v>42712</v>
      </c>
      <c r="M14766" t="s">
        <v>45166</v>
      </c>
      <c r="N14766" t="s">
        <v>47304</v>
      </c>
      <c r="O14766" t="s">
        <v>47305</v>
      </c>
      <c r="Q14766">
        <v>23</v>
      </c>
      <c r="R14766" t="s">
        <v>47325</v>
      </c>
      <c r="S14766" t="s">
        <v>48341</v>
      </c>
      <c r="T14766" t="s">
        <v>49073</v>
      </c>
      <c r="U14766" t="s">
        <v>61735</v>
      </c>
      <c r="W14766" t="s">
        <v>45166</v>
      </c>
      <c r="X14766" t="s">
        <v>47326</v>
      </c>
    </row>
    <row r="14767" spans="1:24">
      <c r="A14767">
        <f>HYPERLINK("https://www.philgeps.gov.ph/GEPSNONPILOT/Tender/SplashBidNoticeAbstractUI.aspx?menuIndex=3&amp;refID=7161677&amp;Result=3","7161677")</f>
        <v>0</v>
      </c>
      <c r="B14767" t="s">
        <v>387</v>
      </c>
      <c r="C14767" t="s">
        <v>17838</v>
      </c>
      <c r="D14767" t="s">
        <v>18988</v>
      </c>
      <c r="E14767" t="s">
        <v>31557</v>
      </c>
      <c r="F14767" t="s">
        <v>32606</v>
      </c>
      <c r="G14767" t="s">
        <v>32613</v>
      </c>
      <c r="H14767" t="s">
        <v>32623</v>
      </c>
      <c r="I14767" t="s">
        <v>17648</v>
      </c>
      <c r="J14767" t="s">
        <v>41883</v>
      </c>
      <c r="K14767" t="s">
        <v>42646</v>
      </c>
      <c r="M14767" t="s">
        <v>43290</v>
      </c>
      <c r="N14767" t="s">
        <v>47304</v>
      </c>
      <c r="O14767" t="s">
        <v>47305</v>
      </c>
      <c r="Q14767">
        <v>19</v>
      </c>
      <c r="R14767" t="s">
        <v>47325</v>
      </c>
      <c r="S14767" t="s">
        <v>48342</v>
      </c>
      <c r="T14767" t="s">
        <v>49017</v>
      </c>
      <c r="U14767" t="s">
        <v>61736</v>
      </c>
      <c r="W14767" t="s">
        <v>64554</v>
      </c>
      <c r="X14767" t="s">
        <v>47326</v>
      </c>
    </row>
    <row r="14768" spans="1:24">
      <c r="A14768">
        <f>HYPERLINK("https://www.philgeps.gov.ph/GEPSNONPILOT/Tender/SplashBidNoticeAbstractUI.aspx?menuIndex=3&amp;refID=7161664&amp;Result=3","7161664")</f>
        <v>0</v>
      </c>
      <c r="B14768" t="s">
        <v>3099</v>
      </c>
      <c r="C14768" t="s">
        <v>17839</v>
      </c>
      <c r="D14768" t="s">
        <v>18988</v>
      </c>
      <c r="E14768" t="s">
        <v>20131</v>
      </c>
      <c r="F14768" t="s">
        <v>32606</v>
      </c>
      <c r="G14768" t="s">
        <v>32614</v>
      </c>
      <c r="H14768" t="s">
        <v>14201</v>
      </c>
      <c r="I14768" t="s">
        <v>32664</v>
      </c>
      <c r="J14768" t="s">
        <v>33025</v>
      </c>
      <c r="K14768" t="s">
        <v>42625</v>
      </c>
      <c r="M14768" t="s">
        <v>46306</v>
      </c>
      <c r="N14768" t="s">
        <v>47304</v>
      </c>
      <c r="O14768" t="s">
        <v>47305</v>
      </c>
      <c r="P14768">
        <v>0</v>
      </c>
      <c r="Q14768">
        <v>1</v>
      </c>
      <c r="R14768" t="s">
        <v>47325</v>
      </c>
      <c r="S14768" t="s">
        <v>48215</v>
      </c>
      <c r="T14768" t="s">
        <v>49334</v>
      </c>
      <c r="U14768" t="s">
        <v>61737</v>
      </c>
      <c r="W14768" t="s">
        <v>46306</v>
      </c>
      <c r="X14768" t="s">
        <v>47326</v>
      </c>
    </row>
    <row r="14769" spans="1:24">
      <c r="A14769">
        <f>HYPERLINK("https://www.philgeps.gov.ph/GEPSNONPILOT/Tender/SplashBidNoticeAbstractUI.aspx?menuIndex=3&amp;refID=7161622&amp;Result=3","7161622")</f>
        <v>0</v>
      </c>
      <c r="B14769" t="s">
        <v>3727</v>
      </c>
      <c r="C14769" t="s">
        <v>17840</v>
      </c>
      <c r="D14769" t="s">
        <v>19039</v>
      </c>
      <c r="E14769" t="s">
        <v>31558</v>
      </c>
      <c r="F14769" t="s">
        <v>32606</v>
      </c>
      <c r="G14769" t="s">
        <v>32613</v>
      </c>
      <c r="H14769" t="s">
        <v>32623</v>
      </c>
      <c r="I14769" t="s">
        <v>17648</v>
      </c>
      <c r="J14769" t="s">
        <v>41884</v>
      </c>
      <c r="K14769" t="s">
        <v>42682</v>
      </c>
      <c r="M14769" t="s">
        <v>47048</v>
      </c>
      <c r="N14769" t="s">
        <v>47304</v>
      </c>
      <c r="O14769" t="s">
        <v>47305</v>
      </c>
      <c r="P14769">
        <v>0</v>
      </c>
      <c r="Q14769">
        <v>8</v>
      </c>
      <c r="R14769" t="s">
        <v>47325</v>
      </c>
      <c r="S14769" t="s">
        <v>48215</v>
      </c>
      <c r="T14769" t="s">
        <v>49104</v>
      </c>
      <c r="U14769" t="s">
        <v>61738</v>
      </c>
      <c r="V14769" t="s">
        <v>64272</v>
      </c>
      <c r="W14769" t="s">
        <v>47048</v>
      </c>
      <c r="X14769" t="s">
        <v>47326</v>
      </c>
    </row>
    <row r="14770" spans="1:24">
      <c r="A14770">
        <f>HYPERLINK("https://www.philgeps.gov.ph/GEPSNONPILOT/Tender/SplashBidNoticeAbstractUI.aspx?menuIndex=3&amp;refID=7161582&amp;Result=3","7161582")</f>
        <v>0</v>
      </c>
      <c r="B14770" t="s">
        <v>1632</v>
      </c>
      <c r="C14770" t="s">
        <v>17841</v>
      </c>
      <c r="D14770" t="s">
        <v>18999</v>
      </c>
      <c r="E14770" t="s">
        <v>31559</v>
      </c>
      <c r="F14770" t="s">
        <v>32606</v>
      </c>
      <c r="G14770" t="s">
        <v>32613</v>
      </c>
      <c r="H14770" t="s">
        <v>14201</v>
      </c>
      <c r="I14770" t="s">
        <v>32640</v>
      </c>
      <c r="J14770" t="s">
        <v>41885</v>
      </c>
      <c r="K14770" t="s">
        <v>42636</v>
      </c>
      <c r="M14770" t="s">
        <v>44652</v>
      </c>
      <c r="N14770" t="s">
        <v>47304</v>
      </c>
      <c r="O14770" t="s">
        <v>47305</v>
      </c>
      <c r="Q14770">
        <v>11</v>
      </c>
      <c r="R14770" t="s">
        <v>47325</v>
      </c>
      <c r="S14770" t="s">
        <v>48343</v>
      </c>
      <c r="T14770" t="s">
        <v>49071</v>
      </c>
      <c r="U14770" t="s">
        <v>61739</v>
      </c>
      <c r="V14770" t="s">
        <v>64273</v>
      </c>
      <c r="W14770" t="s">
        <v>44652</v>
      </c>
      <c r="X14770" t="s">
        <v>47326</v>
      </c>
    </row>
    <row r="14771" spans="1:24">
      <c r="A14771">
        <f>HYPERLINK("https://www.philgeps.gov.ph/GEPSNONPILOT/Tender/SplashBidNoticeAbstractUI.aspx?menuIndex=3&amp;refID=7161621&amp;Result=3","7161621")</f>
        <v>0</v>
      </c>
      <c r="B14771" t="s">
        <v>2083</v>
      </c>
      <c r="C14771" t="s">
        <v>17842</v>
      </c>
      <c r="D14771" t="s">
        <v>18993</v>
      </c>
      <c r="E14771" t="s">
        <v>31560</v>
      </c>
      <c r="F14771" t="s">
        <v>32606</v>
      </c>
      <c r="G14771" t="s">
        <v>32613</v>
      </c>
      <c r="H14771" t="s">
        <v>32623</v>
      </c>
      <c r="I14771" t="s">
        <v>17648</v>
      </c>
      <c r="J14771" t="s">
        <v>41886</v>
      </c>
      <c r="K14771" t="s">
        <v>42622</v>
      </c>
      <c r="M14771" t="s">
        <v>45166</v>
      </c>
      <c r="N14771" t="s">
        <v>47304</v>
      </c>
      <c r="O14771" t="s">
        <v>47305</v>
      </c>
      <c r="Q14771">
        <v>13</v>
      </c>
      <c r="R14771" t="s">
        <v>47325</v>
      </c>
      <c r="S14771" t="s">
        <v>48344</v>
      </c>
      <c r="T14771" t="s">
        <v>49053</v>
      </c>
      <c r="U14771" t="s">
        <v>61740</v>
      </c>
      <c r="W14771" t="s">
        <v>45166</v>
      </c>
      <c r="X14771" t="s">
        <v>47326</v>
      </c>
    </row>
    <row r="14772" spans="1:24">
      <c r="A14772">
        <f>HYPERLINK("https://www.philgeps.gov.ph/GEPSNONPILOT/Tender/SplashBidNoticeAbstractUI.aspx?menuIndex=3&amp;refID=7161599&amp;Result=3","7161599")</f>
        <v>0</v>
      </c>
      <c r="B14772" t="s">
        <v>970</v>
      </c>
      <c r="C14772" t="s">
        <v>17843</v>
      </c>
      <c r="D14772" t="s">
        <v>18990</v>
      </c>
      <c r="E14772" t="s">
        <v>31561</v>
      </c>
      <c r="F14772" t="s">
        <v>32606</v>
      </c>
      <c r="G14772" t="s">
        <v>32613</v>
      </c>
      <c r="H14772" t="s">
        <v>14201</v>
      </c>
      <c r="I14772" t="s">
        <v>7233</v>
      </c>
      <c r="J14772" t="s">
        <v>41887</v>
      </c>
      <c r="K14772" t="s">
        <v>42623</v>
      </c>
      <c r="M14772" t="s">
        <v>43916</v>
      </c>
      <c r="N14772" t="s">
        <v>47304</v>
      </c>
      <c r="O14772" t="s">
        <v>47305</v>
      </c>
      <c r="P14772">
        <v>0</v>
      </c>
      <c r="Q14772">
        <v>0</v>
      </c>
      <c r="R14772" t="s">
        <v>47325</v>
      </c>
      <c r="S14772" t="s">
        <v>48215</v>
      </c>
      <c r="T14772" t="s">
        <v>48980</v>
      </c>
      <c r="U14772" t="s">
        <v>51468</v>
      </c>
      <c r="W14772" t="s">
        <v>43916</v>
      </c>
      <c r="X14772" t="s">
        <v>47326</v>
      </c>
    </row>
    <row r="14773" spans="1:24">
      <c r="A14773">
        <f>HYPERLINK("https://www.philgeps.gov.ph/GEPSNONPILOT/Tender/SplashBidNoticeAbstractUI.aspx?menuIndex=3&amp;refID=7161594&amp;Result=3","7161594")</f>
        <v>0</v>
      </c>
      <c r="B14773" t="s">
        <v>970</v>
      </c>
      <c r="C14773" t="s">
        <v>17844</v>
      </c>
      <c r="D14773" t="s">
        <v>18990</v>
      </c>
      <c r="E14773" t="s">
        <v>31562</v>
      </c>
      <c r="F14773" t="s">
        <v>32606</v>
      </c>
      <c r="G14773" t="s">
        <v>32613</v>
      </c>
      <c r="H14773" t="s">
        <v>14201</v>
      </c>
      <c r="I14773" t="s">
        <v>4114</v>
      </c>
      <c r="J14773" t="s">
        <v>41888</v>
      </c>
      <c r="K14773" t="s">
        <v>42623</v>
      </c>
      <c r="M14773" t="s">
        <v>43916</v>
      </c>
      <c r="N14773" t="s">
        <v>47304</v>
      </c>
      <c r="O14773" t="s">
        <v>47305</v>
      </c>
      <c r="P14773">
        <v>0</v>
      </c>
      <c r="Q14773">
        <v>0</v>
      </c>
      <c r="R14773" t="s">
        <v>47325</v>
      </c>
      <c r="S14773" t="s">
        <v>48215</v>
      </c>
      <c r="T14773" t="s">
        <v>48980</v>
      </c>
      <c r="U14773" t="s">
        <v>51468</v>
      </c>
      <c r="W14773" t="s">
        <v>43916</v>
      </c>
      <c r="X14773" t="s">
        <v>47326</v>
      </c>
    </row>
    <row r="14774" spans="1:24">
      <c r="A14774">
        <f>HYPERLINK("https://www.philgeps.gov.ph/GEPSNONPILOT/Tender/SplashBidNoticeAbstractUI.aspx?menuIndex=3&amp;refID=7161672&amp;Result=3","7161672")</f>
        <v>0</v>
      </c>
      <c r="B14774" t="s">
        <v>696</v>
      </c>
      <c r="C14774" t="s">
        <v>17845</v>
      </c>
      <c r="D14774" t="s">
        <v>19069</v>
      </c>
      <c r="E14774" t="s">
        <v>31563</v>
      </c>
      <c r="F14774" t="s">
        <v>32606</v>
      </c>
      <c r="G14774" t="s">
        <v>32613</v>
      </c>
      <c r="H14774" t="s">
        <v>14201</v>
      </c>
      <c r="I14774" t="s">
        <v>32686</v>
      </c>
      <c r="J14774" t="s">
        <v>41889</v>
      </c>
      <c r="K14774" t="s">
        <v>42646</v>
      </c>
      <c r="M14774" t="s">
        <v>43969</v>
      </c>
      <c r="N14774" t="s">
        <v>47304</v>
      </c>
      <c r="O14774" t="s">
        <v>47305</v>
      </c>
      <c r="Q14774">
        <v>7</v>
      </c>
      <c r="R14774" t="s">
        <v>47325</v>
      </c>
      <c r="S14774" t="s">
        <v>48345</v>
      </c>
      <c r="T14774" t="s">
        <v>49349</v>
      </c>
      <c r="U14774" t="s">
        <v>61733</v>
      </c>
      <c r="V14774" t="s">
        <v>62902</v>
      </c>
      <c r="W14774" t="s">
        <v>43969</v>
      </c>
      <c r="X14774" t="s">
        <v>47326</v>
      </c>
    </row>
    <row r="14775" spans="1:24">
      <c r="A14775">
        <f>HYPERLINK("https://www.philgeps.gov.ph/GEPSNONPILOT/Tender/SplashBidNoticeAbstractUI.aspx?menuIndex=3&amp;refID=7149445&amp;Result=3","7149445")</f>
        <v>0</v>
      </c>
      <c r="B14775" t="s">
        <v>3573</v>
      </c>
      <c r="C14775" t="s">
        <v>17846</v>
      </c>
      <c r="D14775" t="s">
        <v>18994</v>
      </c>
      <c r="E14775" t="s">
        <v>31564</v>
      </c>
      <c r="F14775" t="s">
        <v>32606</v>
      </c>
      <c r="G14775" t="s">
        <v>32613</v>
      </c>
      <c r="H14775" t="s">
        <v>14201</v>
      </c>
      <c r="I14775" t="s">
        <v>6478</v>
      </c>
      <c r="J14775" t="s">
        <v>33060</v>
      </c>
      <c r="K14775" t="s">
        <v>42631</v>
      </c>
      <c r="M14775" t="s">
        <v>46862</v>
      </c>
      <c r="N14775" t="s">
        <v>47304</v>
      </c>
      <c r="O14775" t="s">
        <v>47305</v>
      </c>
      <c r="P14775">
        <v>0</v>
      </c>
      <c r="Q14775">
        <v>7</v>
      </c>
      <c r="R14775" t="s">
        <v>47326</v>
      </c>
      <c r="S14775" t="s">
        <v>48346</v>
      </c>
      <c r="T14775" t="s">
        <v>49196</v>
      </c>
      <c r="U14775" t="s">
        <v>61741</v>
      </c>
      <c r="W14775" t="s">
        <v>46862</v>
      </c>
      <c r="X14775" t="s">
        <v>47329</v>
      </c>
    </row>
    <row r="14776" spans="1:24">
      <c r="A14776">
        <f>HYPERLINK("https://www.philgeps.gov.ph/GEPSNONPILOT/Tender/SplashBidNoticeAbstractUI.aspx?menuIndex=3&amp;refID=7149395&amp;Result=3","7149395")</f>
        <v>0</v>
      </c>
      <c r="B14776" t="s">
        <v>3573</v>
      </c>
      <c r="C14776" t="s">
        <v>17847</v>
      </c>
      <c r="D14776" t="s">
        <v>18994</v>
      </c>
      <c r="E14776" t="s">
        <v>31565</v>
      </c>
      <c r="F14776" t="s">
        <v>32606</v>
      </c>
      <c r="G14776" t="s">
        <v>32613</v>
      </c>
      <c r="H14776" t="s">
        <v>32623</v>
      </c>
      <c r="I14776" t="s">
        <v>17648</v>
      </c>
      <c r="J14776" t="s">
        <v>33039</v>
      </c>
      <c r="K14776" t="s">
        <v>42834</v>
      </c>
      <c r="M14776" t="s">
        <v>46862</v>
      </c>
      <c r="N14776" t="s">
        <v>47304</v>
      </c>
      <c r="O14776" t="s">
        <v>47305</v>
      </c>
      <c r="P14776">
        <v>0</v>
      </c>
      <c r="Q14776">
        <v>3</v>
      </c>
      <c r="R14776" t="s">
        <v>47326</v>
      </c>
      <c r="S14776" t="s">
        <v>48346</v>
      </c>
      <c r="T14776" t="s">
        <v>49004</v>
      </c>
      <c r="U14776" t="s">
        <v>61742</v>
      </c>
      <c r="W14776" t="s">
        <v>46862</v>
      </c>
      <c r="X14776" t="s">
        <v>47329</v>
      </c>
    </row>
    <row r="14777" spans="1:24">
      <c r="A14777">
        <f>HYPERLINK("https://www.philgeps.gov.ph/GEPSNONPILOT/Tender/SplashBidNoticeAbstractUI.aspx?menuIndex=3&amp;refID=7161688&amp;Result=3","7161688")</f>
        <v>0</v>
      </c>
      <c r="B14777" t="s">
        <v>402</v>
      </c>
      <c r="C14777" t="s">
        <v>17848</v>
      </c>
      <c r="D14777" t="s">
        <v>19017</v>
      </c>
      <c r="E14777" t="s">
        <v>31566</v>
      </c>
      <c r="F14777" t="s">
        <v>32606</v>
      </c>
      <c r="G14777" t="s">
        <v>32613</v>
      </c>
      <c r="H14777" t="s">
        <v>32623</v>
      </c>
      <c r="I14777" t="s">
        <v>17648</v>
      </c>
      <c r="J14777" t="s">
        <v>32789</v>
      </c>
      <c r="K14777" t="s">
        <v>42623</v>
      </c>
      <c r="M14777" t="s">
        <v>43305</v>
      </c>
      <c r="N14777" t="s">
        <v>47304</v>
      </c>
      <c r="O14777" t="s">
        <v>47305</v>
      </c>
      <c r="Q14777">
        <v>1</v>
      </c>
      <c r="R14777" t="s">
        <v>47325</v>
      </c>
      <c r="S14777" t="s">
        <v>48347</v>
      </c>
      <c r="T14777" t="s">
        <v>48971</v>
      </c>
      <c r="U14777" t="s">
        <v>61743</v>
      </c>
      <c r="V14777" t="s">
        <v>64274</v>
      </c>
      <c r="W14777" t="s">
        <v>43305</v>
      </c>
      <c r="X14777" t="s">
        <v>47326</v>
      </c>
    </row>
    <row r="14778" spans="1:24">
      <c r="A14778">
        <f>HYPERLINK("https://www.philgeps.gov.ph/GEPSNONPILOT/Tender/SplashBidNoticeAbstractUI.aspx?menuIndex=3&amp;refID=7161681&amp;Result=3","7161681")</f>
        <v>0</v>
      </c>
      <c r="B14778" t="s">
        <v>3099</v>
      </c>
      <c r="C14778" t="s">
        <v>17849</v>
      </c>
      <c r="D14778" t="s">
        <v>18988</v>
      </c>
      <c r="E14778" t="s">
        <v>21411</v>
      </c>
      <c r="F14778" t="s">
        <v>32606</v>
      </c>
      <c r="G14778" t="s">
        <v>32614</v>
      </c>
      <c r="H14778" t="s">
        <v>32623</v>
      </c>
      <c r="I14778" t="s">
        <v>6931</v>
      </c>
      <c r="J14778" t="s">
        <v>32913</v>
      </c>
      <c r="K14778" t="s">
        <v>42625</v>
      </c>
      <c r="M14778" t="s">
        <v>46306</v>
      </c>
      <c r="N14778" t="s">
        <v>47304</v>
      </c>
      <c r="O14778" t="s">
        <v>47305</v>
      </c>
      <c r="P14778">
        <v>0</v>
      </c>
      <c r="Q14778">
        <v>0</v>
      </c>
      <c r="R14778" t="s">
        <v>47325</v>
      </c>
      <c r="S14778" t="s">
        <v>48215</v>
      </c>
      <c r="T14778" t="s">
        <v>49169</v>
      </c>
      <c r="U14778" t="s">
        <v>61744</v>
      </c>
      <c r="W14778" t="s">
        <v>46306</v>
      </c>
      <c r="X14778" t="s">
        <v>47326</v>
      </c>
    </row>
    <row r="14779" spans="1:24">
      <c r="A14779">
        <f>HYPERLINK("https://www.philgeps.gov.ph/GEPSNONPILOT/Tender/SplashBidNoticeAbstractUI.aspx?menuIndex=3&amp;refID=7148717&amp;Result=3","7148717")</f>
        <v>0</v>
      </c>
      <c r="B14779" t="s">
        <v>3808</v>
      </c>
      <c r="C14779" t="s">
        <v>17850</v>
      </c>
      <c r="D14779" t="s">
        <v>19024</v>
      </c>
      <c r="E14779" t="s">
        <v>31567</v>
      </c>
      <c r="F14779" t="s">
        <v>32606</v>
      </c>
      <c r="G14779" t="s">
        <v>32613</v>
      </c>
      <c r="H14779" t="s">
        <v>14201</v>
      </c>
      <c r="I14779" t="s">
        <v>7064</v>
      </c>
      <c r="J14779" t="s">
        <v>32770</v>
      </c>
      <c r="K14779" t="s">
        <v>42623</v>
      </c>
      <c r="M14779" t="s">
        <v>47152</v>
      </c>
      <c r="N14779" t="s">
        <v>47304</v>
      </c>
      <c r="O14779" t="s">
        <v>47305</v>
      </c>
      <c r="P14779">
        <v>0</v>
      </c>
      <c r="Q14779">
        <v>4</v>
      </c>
      <c r="R14779" t="s">
        <v>47326</v>
      </c>
      <c r="S14779" t="s">
        <v>48346</v>
      </c>
      <c r="T14779" t="s">
        <v>49071</v>
      </c>
      <c r="U14779" t="s">
        <v>61745</v>
      </c>
      <c r="W14779" t="s">
        <v>47152</v>
      </c>
      <c r="X14779" t="s">
        <v>47331</v>
      </c>
    </row>
    <row r="14780" spans="1:24">
      <c r="A14780">
        <f>HYPERLINK("https://www.philgeps.gov.ph/GEPSNONPILOT/Tender/SplashBidNoticeAbstractUI.aspx?menuIndex=3&amp;refID=7149232&amp;Result=3","7149232")</f>
        <v>0</v>
      </c>
      <c r="B14780" t="s">
        <v>1245</v>
      </c>
      <c r="C14780" t="s">
        <v>11776</v>
      </c>
      <c r="D14780" t="s">
        <v>19039</v>
      </c>
      <c r="E14780" t="s">
        <v>31568</v>
      </c>
      <c r="F14780" t="s">
        <v>32606</v>
      </c>
      <c r="G14780" t="s">
        <v>32613</v>
      </c>
      <c r="H14780" t="s">
        <v>14201</v>
      </c>
      <c r="I14780" t="s">
        <v>7677</v>
      </c>
      <c r="J14780" t="s">
        <v>41890</v>
      </c>
      <c r="K14780" t="s">
        <v>42631</v>
      </c>
      <c r="M14780" t="s">
        <v>46280</v>
      </c>
      <c r="N14780" t="s">
        <v>47304</v>
      </c>
      <c r="O14780" t="s">
        <v>47305</v>
      </c>
      <c r="P14780">
        <v>0</v>
      </c>
      <c r="Q14780">
        <v>20</v>
      </c>
      <c r="R14780" t="s">
        <v>47326</v>
      </c>
      <c r="S14780" t="s">
        <v>48346</v>
      </c>
      <c r="T14780" t="s">
        <v>49268</v>
      </c>
      <c r="U14780" t="s">
        <v>61746</v>
      </c>
      <c r="W14780" t="s">
        <v>46280</v>
      </c>
      <c r="X14780" t="s">
        <v>47329</v>
      </c>
    </row>
    <row r="14781" spans="1:24">
      <c r="A14781">
        <f>HYPERLINK("https://www.philgeps.gov.ph/GEPSNONPILOT/Tender/SplashBidNoticeAbstractUI.aspx?menuIndex=3&amp;refID=7161674&amp;Result=3","7161674")</f>
        <v>0</v>
      </c>
      <c r="B14781" t="s">
        <v>2672</v>
      </c>
      <c r="C14781" t="s">
        <v>17851</v>
      </c>
      <c r="D14781" t="s">
        <v>19011</v>
      </c>
      <c r="E14781" t="s">
        <v>31569</v>
      </c>
      <c r="F14781" t="s">
        <v>32606</v>
      </c>
      <c r="G14781" t="s">
        <v>32613</v>
      </c>
      <c r="H14781" t="s">
        <v>14201</v>
      </c>
      <c r="I14781" t="s">
        <v>7064</v>
      </c>
      <c r="J14781" t="s">
        <v>34128</v>
      </c>
      <c r="K14781" t="s">
        <v>42631</v>
      </c>
      <c r="M14781" t="s">
        <v>45821</v>
      </c>
      <c r="N14781" t="s">
        <v>47304</v>
      </c>
      <c r="O14781" t="s">
        <v>47305</v>
      </c>
      <c r="P14781">
        <v>0</v>
      </c>
      <c r="Q14781">
        <v>1</v>
      </c>
      <c r="R14781" t="s">
        <v>47325</v>
      </c>
      <c r="S14781" t="s">
        <v>48215</v>
      </c>
      <c r="T14781" t="s">
        <v>49175</v>
      </c>
      <c r="U14781" t="s">
        <v>61747</v>
      </c>
      <c r="W14781" t="s">
        <v>45821</v>
      </c>
      <c r="X14781" t="s">
        <v>47326</v>
      </c>
    </row>
    <row r="14782" spans="1:24">
      <c r="A14782">
        <f>HYPERLINK("https://www.philgeps.gov.ph/GEPSNONPILOT/Tender/SplashBidNoticeAbstractUI.aspx?menuIndex=3&amp;refID=7148726&amp;Result=3","7148726")</f>
        <v>0</v>
      </c>
      <c r="B14782" t="s">
        <v>3809</v>
      </c>
      <c r="C14782" t="s">
        <v>17852</v>
      </c>
      <c r="D14782" t="s">
        <v>19024</v>
      </c>
      <c r="E14782" t="s">
        <v>31570</v>
      </c>
      <c r="F14782" t="s">
        <v>32606</v>
      </c>
      <c r="G14782" t="s">
        <v>32613</v>
      </c>
      <c r="H14782" t="s">
        <v>14201</v>
      </c>
      <c r="I14782" t="s">
        <v>7064</v>
      </c>
      <c r="J14782" t="s">
        <v>33263</v>
      </c>
      <c r="K14782" t="s">
        <v>42623</v>
      </c>
      <c r="M14782" t="s">
        <v>47153</v>
      </c>
      <c r="N14782" t="s">
        <v>47304</v>
      </c>
      <c r="O14782" t="s">
        <v>47305</v>
      </c>
      <c r="P14782">
        <v>0</v>
      </c>
      <c r="Q14782">
        <v>3</v>
      </c>
      <c r="R14782" t="s">
        <v>47326</v>
      </c>
      <c r="S14782" t="s">
        <v>48346</v>
      </c>
      <c r="T14782" t="s">
        <v>49071</v>
      </c>
      <c r="U14782" t="s">
        <v>61748</v>
      </c>
      <c r="W14782" t="s">
        <v>47153</v>
      </c>
      <c r="X14782" t="s">
        <v>47331</v>
      </c>
    </row>
    <row r="14783" spans="1:24">
      <c r="A14783">
        <f>HYPERLINK("https://www.philgeps.gov.ph/GEPSNONPILOT/Tender/SplashBidNoticeAbstractUI.aspx?menuIndex=3&amp;refID=7146489&amp;Result=3","7146489")</f>
        <v>0</v>
      </c>
      <c r="B14783" t="s">
        <v>3278</v>
      </c>
      <c r="C14783" t="s">
        <v>17853</v>
      </c>
      <c r="D14783" t="s">
        <v>19020</v>
      </c>
      <c r="E14783" t="s">
        <v>31571</v>
      </c>
      <c r="F14783" t="s">
        <v>32606</v>
      </c>
      <c r="G14783" t="s">
        <v>32613</v>
      </c>
      <c r="H14783" t="s">
        <v>14201</v>
      </c>
      <c r="I14783" t="s">
        <v>4678</v>
      </c>
      <c r="J14783" t="s">
        <v>32778</v>
      </c>
      <c r="K14783" t="s">
        <v>42631</v>
      </c>
      <c r="M14783" t="s">
        <v>46513</v>
      </c>
      <c r="N14783" t="s">
        <v>47304</v>
      </c>
      <c r="O14783" t="s">
        <v>47305</v>
      </c>
      <c r="P14783">
        <v>0</v>
      </c>
      <c r="Q14783">
        <v>3</v>
      </c>
      <c r="R14783" t="s">
        <v>47326</v>
      </c>
      <c r="S14783" t="s">
        <v>48346</v>
      </c>
      <c r="T14783" t="s">
        <v>49269</v>
      </c>
      <c r="U14783" t="s">
        <v>61749</v>
      </c>
      <c r="W14783" t="s">
        <v>46513</v>
      </c>
      <c r="X14783" t="s">
        <v>47332</v>
      </c>
    </row>
    <row r="14784" spans="1:24">
      <c r="A14784">
        <f>HYPERLINK("https://www.philgeps.gov.ph/GEPSNONPILOT/Tender/SplashBidNoticeAbstractUI.aspx?menuIndex=3&amp;refID=7140997&amp;Result=3","7140997")</f>
        <v>0</v>
      </c>
      <c r="B14784" t="s">
        <v>1363</v>
      </c>
      <c r="C14784" t="s">
        <v>17854</v>
      </c>
      <c r="D14784" t="s">
        <v>18992</v>
      </c>
      <c r="E14784" t="s">
        <v>31572</v>
      </c>
      <c r="F14784" t="s">
        <v>32606</v>
      </c>
      <c r="G14784" t="s">
        <v>32613</v>
      </c>
      <c r="H14784" t="s">
        <v>32623</v>
      </c>
      <c r="I14784" t="s">
        <v>17648</v>
      </c>
      <c r="J14784" t="s">
        <v>33039</v>
      </c>
      <c r="K14784" t="s">
        <v>42645</v>
      </c>
      <c r="M14784" t="s">
        <v>44339</v>
      </c>
      <c r="N14784" t="s">
        <v>47304</v>
      </c>
      <c r="O14784" t="s">
        <v>47305</v>
      </c>
      <c r="P14784">
        <v>0</v>
      </c>
      <c r="Q14784">
        <v>1</v>
      </c>
      <c r="R14784" t="s">
        <v>47326</v>
      </c>
      <c r="S14784" t="s">
        <v>48346</v>
      </c>
      <c r="T14784" t="s">
        <v>49339</v>
      </c>
      <c r="U14784" t="s">
        <v>61750</v>
      </c>
      <c r="W14784" t="s">
        <v>44339</v>
      </c>
      <c r="X14784" t="s">
        <v>47334</v>
      </c>
    </row>
    <row r="14785" spans="1:24">
      <c r="A14785">
        <f>HYPERLINK("https://www.philgeps.gov.ph/GEPSNONPILOT/Tender/SplashBidNoticeAbstractUI.aspx?menuIndex=3&amp;refID=7161436&amp;Result=3","7161436")</f>
        <v>0</v>
      </c>
      <c r="B14785" t="s">
        <v>89</v>
      </c>
      <c r="C14785" t="s">
        <v>17855</v>
      </c>
      <c r="D14785" t="s">
        <v>19018</v>
      </c>
      <c r="E14785" t="s">
        <v>31573</v>
      </c>
      <c r="F14785" t="s">
        <v>32606</v>
      </c>
      <c r="G14785" t="s">
        <v>32613</v>
      </c>
      <c r="H14785" t="s">
        <v>14201</v>
      </c>
      <c r="I14785" t="s">
        <v>32634</v>
      </c>
      <c r="J14785" t="s">
        <v>34652</v>
      </c>
      <c r="K14785" t="s">
        <v>42631</v>
      </c>
      <c r="M14785" t="s">
        <v>42987</v>
      </c>
      <c r="N14785" t="s">
        <v>47304</v>
      </c>
      <c r="O14785" t="s">
        <v>47305</v>
      </c>
      <c r="P14785">
        <v>0</v>
      </c>
      <c r="Q14785">
        <v>4</v>
      </c>
      <c r="R14785" t="s">
        <v>47325</v>
      </c>
      <c r="S14785" t="s">
        <v>48215</v>
      </c>
      <c r="T14785" t="s">
        <v>48980</v>
      </c>
      <c r="U14785" t="s">
        <v>61751</v>
      </c>
      <c r="W14785" t="s">
        <v>42987</v>
      </c>
      <c r="X14785" t="s">
        <v>47326</v>
      </c>
    </row>
    <row r="14786" spans="1:24">
      <c r="A14786">
        <f>HYPERLINK("https://www.philgeps.gov.ph/GEPSNONPILOT/Tender/SplashBidNoticeAbstractUI.aspx?menuIndex=3&amp;refID=7148727&amp;Result=3","7148727")</f>
        <v>0</v>
      </c>
      <c r="B14786" t="s">
        <v>3810</v>
      </c>
      <c r="C14786" t="s">
        <v>17856</v>
      </c>
      <c r="D14786" t="s">
        <v>19024</v>
      </c>
      <c r="E14786" t="s">
        <v>31574</v>
      </c>
      <c r="F14786" t="s">
        <v>32606</v>
      </c>
      <c r="G14786" t="s">
        <v>32613</v>
      </c>
      <c r="H14786" t="s">
        <v>14201</v>
      </c>
      <c r="I14786" t="s">
        <v>32631</v>
      </c>
      <c r="J14786" t="s">
        <v>41891</v>
      </c>
      <c r="K14786" t="s">
        <v>42623</v>
      </c>
      <c r="M14786" t="s">
        <v>47154</v>
      </c>
      <c r="N14786" t="s">
        <v>47304</v>
      </c>
      <c r="O14786" t="s">
        <v>47305</v>
      </c>
      <c r="P14786">
        <v>0</v>
      </c>
      <c r="Q14786">
        <v>1</v>
      </c>
      <c r="R14786" t="s">
        <v>47326</v>
      </c>
      <c r="S14786" t="s">
        <v>48346</v>
      </c>
      <c r="T14786" t="s">
        <v>49071</v>
      </c>
      <c r="U14786" t="s">
        <v>61752</v>
      </c>
      <c r="W14786" t="s">
        <v>47154</v>
      </c>
      <c r="X14786" t="s">
        <v>47331</v>
      </c>
    </row>
    <row r="14787" spans="1:24">
      <c r="A14787">
        <f>HYPERLINK("https://www.philgeps.gov.ph/GEPSNONPILOT/Tender/SplashBidNoticeAbstractUI.aspx?menuIndex=3&amp;refID=7110874&amp;Result=3","7110874")</f>
        <v>0</v>
      </c>
      <c r="B14787" t="s">
        <v>3747</v>
      </c>
      <c r="C14787" t="s">
        <v>17857</v>
      </c>
      <c r="D14787" t="s">
        <v>18988</v>
      </c>
      <c r="E14787" t="s">
        <v>19310</v>
      </c>
      <c r="F14787" t="s">
        <v>32606</v>
      </c>
      <c r="G14787" t="s">
        <v>32613</v>
      </c>
      <c r="H14787" t="s">
        <v>14201</v>
      </c>
      <c r="I14787" t="s">
        <v>6931</v>
      </c>
      <c r="J14787" t="s">
        <v>41892</v>
      </c>
      <c r="K14787" t="s">
        <v>42624</v>
      </c>
      <c r="M14787" t="s">
        <v>47077</v>
      </c>
      <c r="N14787" t="s">
        <v>47304</v>
      </c>
      <c r="O14787" t="s">
        <v>47305</v>
      </c>
      <c r="P14787">
        <v>0</v>
      </c>
      <c r="Q14787">
        <v>1</v>
      </c>
      <c r="R14787" t="s">
        <v>47326</v>
      </c>
      <c r="S14787" t="s">
        <v>48346</v>
      </c>
      <c r="T14787" t="s">
        <v>49053</v>
      </c>
      <c r="U14787" t="s">
        <v>61753</v>
      </c>
      <c r="W14787" t="s">
        <v>47077</v>
      </c>
      <c r="X14787" t="s">
        <v>47346</v>
      </c>
    </row>
    <row r="14788" spans="1:24">
      <c r="A14788">
        <f>HYPERLINK("https://www.philgeps.gov.ph/GEPSNONPILOT/Tender/SplashBidNoticeAbstractUI.aspx?menuIndex=3&amp;refID=7161626&amp;Result=3","7161626")</f>
        <v>0</v>
      </c>
      <c r="B14788" t="s">
        <v>2083</v>
      </c>
      <c r="C14788" t="s">
        <v>17858</v>
      </c>
      <c r="D14788" t="s">
        <v>18993</v>
      </c>
      <c r="E14788" t="s">
        <v>31575</v>
      </c>
      <c r="F14788" t="s">
        <v>32606</v>
      </c>
      <c r="G14788" t="s">
        <v>32613</v>
      </c>
      <c r="H14788" t="s">
        <v>32623</v>
      </c>
      <c r="I14788" t="s">
        <v>17648</v>
      </c>
      <c r="J14788" t="s">
        <v>41893</v>
      </c>
      <c r="K14788" t="s">
        <v>42636</v>
      </c>
      <c r="M14788" t="s">
        <v>45166</v>
      </c>
      <c r="N14788" t="s">
        <v>47304</v>
      </c>
      <c r="O14788" t="s">
        <v>47305</v>
      </c>
      <c r="Q14788">
        <v>35</v>
      </c>
      <c r="R14788" t="s">
        <v>47325</v>
      </c>
      <c r="S14788" t="s">
        <v>48348</v>
      </c>
      <c r="T14788" t="s">
        <v>49053</v>
      </c>
      <c r="U14788" t="s">
        <v>61754</v>
      </c>
      <c r="W14788" t="s">
        <v>45166</v>
      </c>
      <c r="X14788" t="s">
        <v>47326</v>
      </c>
    </row>
    <row r="14789" spans="1:24">
      <c r="A14789">
        <f>HYPERLINK("https://www.philgeps.gov.ph/GEPSNONPILOT/Tender/SplashBidNoticeAbstractUI.aspx?menuIndex=3&amp;refID=7161743&amp;Result=3","7161743")</f>
        <v>0</v>
      </c>
      <c r="B14789" t="s">
        <v>1135</v>
      </c>
      <c r="C14789" t="s">
        <v>17859</v>
      </c>
      <c r="D14789" t="s">
        <v>18993</v>
      </c>
      <c r="E14789" t="s">
        <v>20107</v>
      </c>
      <c r="F14789" t="s">
        <v>32606</v>
      </c>
      <c r="G14789" t="s">
        <v>32613</v>
      </c>
      <c r="H14789" t="s">
        <v>32624</v>
      </c>
      <c r="I14789" t="s">
        <v>32648</v>
      </c>
      <c r="J14789" t="s">
        <v>32861</v>
      </c>
      <c r="K14789" t="s">
        <v>42631</v>
      </c>
      <c r="M14789" t="s">
        <v>44097</v>
      </c>
      <c r="N14789" t="s">
        <v>47304</v>
      </c>
      <c r="O14789" t="s">
        <v>47305</v>
      </c>
      <c r="Q14789">
        <v>10</v>
      </c>
      <c r="R14789" t="s">
        <v>47325</v>
      </c>
      <c r="S14789" t="s">
        <v>48349</v>
      </c>
      <c r="T14789" t="s">
        <v>49053</v>
      </c>
      <c r="U14789" t="s">
        <v>61755</v>
      </c>
      <c r="W14789" t="s">
        <v>44097</v>
      </c>
      <c r="X14789" t="s">
        <v>47326</v>
      </c>
    </row>
    <row r="14790" spans="1:24">
      <c r="A14790">
        <f>HYPERLINK("https://www.philgeps.gov.ph/GEPSNONPILOT/Tender/SplashBidNoticeAbstractUI.aspx?menuIndex=3&amp;refID=7149527&amp;Result=3","7149527")</f>
        <v>0</v>
      </c>
      <c r="B14790" t="s">
        <v>3573</v>
      </c>
      <c r="C14790" t="s">
        <v>17860</v>
      </c>
      <c r="D14790" t="s">
        <v>18994</v>
      </c>
      <c r="E14790" t="s">
        <v>31576</v>
      </c>
      <c r="F14790" t="s">
        <v>32606</v>
      </c>
      <c r="G14790" t="s">
        <v>32621</v>
      </c>
      <c r="H14790" t="s">
        <v>14201</v>
      </c>
      <c r="I14790" t="s">
        <v>6931</v>
      </c>
      <c r="J14790" t="s">
        <v>41894</v>
      </c>
      <c r="K14790" t="s">
        <v>42631</v>
      </c>
      <c r="M14790" t="s">
        <v>46862</v>
      </c>
      <c r="N14790" t="s">
        <v>47304</v>
      </c>
      <c r="O14790" t="s">
        <v>47305</v>
      </c>
      <c r="P14790">
        <v>0</v>
      </c>
      <c r="Q14790">
        <v>1</v>
      </c>
      <c r="R14790" t="s">
        <v>47326</v>
      </c>
      <c r="S14790" t="s">
        <v>48346</v>
      </c>
      <c r="T14790" t="s">
        <v>48997</v>
      </c>
      <c r="U14790" t="s">
        <v>61756</v>
      </c>
      <c r="W14790" t="s">
        <v>46862</v>
      </c>
      <c r="X14790" t="s">
        <v>47329</v>
      </c>
    </row>
    <row r="14791" spans="1:24">
      <c r="A14791">
        <f>HYPERLINK("https://www.philgeps.gov.ph/GEPSNONPILOT/Tender/SplashBidNoticeAbstractUI.aspx?menuIndex=3&amp;refID=7153086&amp;Result=3","7153086")</f>
        <v>0</v>
      </c>
      <c r="B14791" t="s">
        <v>2473</v>
      </c>
      <c r="C14791" t="s">
        <v>17861</v>
      </c>
      <c r="D14791" t="s">
        <v>19008</v>
      </c>
      <c r="E14791" t="s">
        <v>31577</v>
      </c>
      <c r="F14791" t="s">
        <v>32606</v>
      </c>
      <c r="G14791" t="s">
        <v>32613</v>
      </c>
      <c r="H14791" t="s">
        <v>14201</v>
      </c>
      <c r="I14791" t="s">
        <v>32655</v>
      </c>
      <c r="J14791" t="s">
        <v>41895</v>
      </c>
      <c r="K14791" t="s">
        <v>42622</v>
      </c>
      <c r="M14791" t="s">
        <v>45608</v>
      </c>
      <c r="N14791" t="s">
        <v>47304</v>
      </c>
      <c r="O14791" t="s">
        <v>47305</v>
      </c>
      <c r="P14791">
        <v>0</v>
      </c>
      <c r="Q14791">
        <v>12</v>
      </c>
      <c r="R14791" t="s">
        <v>47326</v>
      </c>
      <c r="S14791" t="s">
        <v>48346</v>
      </c>
      <c r="T14791" t="s">
        <v>49053</v>
      </c>
      <c r="U14791" t="s">
        <v>61757</v>
      </c>
      <c r="W14791" t="s">
        <v>45608</v>
      </c>
      <c r="X14791" t="s">
        <v>47328</v>
      </c>
    </row>
    <row r="14792" spans="1:24">
      <c r="A14792">
        <f>HYPERLINK("https://www.philgeps.gov.ph/GEPSNONPILOT/Tender/SplashBidNoticeAbstractUI.aspx?menuIndex=3&amp;refID=7137525&amp;Result=3","7137525")</f>
        <v>0</v>
      </c>
      <c r="B14792" t="s">
        <v>37</v>
      </c>
      <c r="C14792" t="s">
        <v>17862</v>
      </c>
      <c r="D14792" t="s">
        <v>18997</v>
      </c>
      <c r="E14792" t="s">
        <v>31578</v>
      </c>
      <c r="F14792" t="s">
        <v>32606</v>
      </c>
      <c r="G14792" t="s">
        <v>32613</v>
      </c>
      <c r="H14792" t="s">
        <v>14201</v>
      </c>
      <c r="I14792" t="s">
        <v>4678</v>
      </c>
      <c r="J14792" t="s">
        <v>41896</v>
      </c>
      <c r="K14792" t="s">
        <v>42648</v>
      </c>
      <c r="M14792" t="s">
        <v>42934</v>
      </c>
      <c r="N14792" t="s">
        <v>47304</v>
      </c>
      <c r="O14792" t="s">
        <v>47305</v>
      </c>
      <c r="Q14792">
        <v>3</v>
      </c>
      <c r="R14792" t="s">
        <v>47326</v>
      </c>
      <c r="S14792" t="s">
        <v>48350</v>
      </c>
      <c r="T14792" t="s">
        <v>49068</v>
      </c>
      <c r="U14792" t="s">
        <v>61758</v>
      </c>
      <c r="W14792" t="s">
        <v>42934</v>
      </c>
      <c r="X14792" t="s">
        <v>47335</v>
      </c>
    </row>
    <row r="14793" spans="1:24">
      <c r="A14793">
        <f>HYPERLINK("https://www.philgeps.gov.ph/GEPSNONPILOT/Tender/SplashBidNoticeAbstractUI.aspx?menuIndex=3&amp;refID=7148647&amp;Result=3","7148647")</f>
        <v>0</v>
      </c>
      <c r="B14793" t="s">
        <v>3811</v>
      </c>
      <c r="C14793" t="s">
        <v>17863</v>
      </c>
      <c r="D14793" t="s">
        <v>19024</v>
      </c>
      <c r="E14793" t="s">
        <v>31579</v>
      </c>
      <c r="F14793" t="s">
        <v>32606</v>
      </c>
      <c r="G14793" t="s">
        <v>32613</v>
      </c>
      <c r="H14793" t="s">
        <v>14201</v>
      </c>
      <c r="I14793" t="s">
        <v>32631</v>
      </c>
      <c r="J14793" t="s">
        <v>41897</v>
      </c>
      <c r="K14793" t="s">
        <v>42623</v>
      </c>
      <c r="M14793" t="s">
        <v>47155</v>
      </c>
      <c r="N14793" t="s">
        <v>47304</v>
      </c>
      <c r="O14793" t="s">
        <v>47305</v>
      </c>
      <c r="P14793">
        <v>0</v>
      </c>
      <c r="Q14793">
        <v>1</v>
      </c>
      <c r="R14793" t="s">
        <v>47326</v>
      </c>
      <c r="S14793" t="s">
        <v>48346</v>
      </c>
      <c r="T14793" t="s">
        <v>49071</v>
      </c>
      <c r="U14793" t="s">
        <v>61759</v>
      </c>
      <c r="W14793" t="s">
        <v>47155</v>
      </c>
      <c r="X14793" t="s">
        <v>47331</v>
      </c>
    </row>
    <row r="14794" spans="1:24">
      <c r="A14794">
        <f>HYPERLINK("https://www.philgeps.gov.ph/GEPSNONPILOT/Tender/SplashBidNoticeAbstractUI.aspx?menuIndex=3&amp;refID=7153440&amp;Result=3","7153440")</f>
        <v>0</v>
      </c>
      <c r="B14794" t="s">
        <v>42</v>
      </c>
      <c r="C14794" t="s">
        <v>17864</v>
      </c>
      <c r="E14794" t="s">
        <v>31580</v>
      </c>
      <c r="F14794" t="s">
        <v>32606</v>
      </c>
      <c r="G14794" t="s">
        <v>32613</v>
      </c>
      <c r="H14794" t="s">
        <v>32623</v>
      </c>
      <c r="I14794" t="s">
        <v>17648</v>
      </c>
      <c r="J14794" t="s">
        <v>41898</v>
      </c>
      <c r="K14794" t="s">
        <v>42649</v>
      </c>
      <c r="M14794" t="s">
        <v>42939</v>
      </c>
      <c r="N14794" t="s">
        <v>47304</v>
      </c>
      <c r="O14794" t="s">
        <v>47305</v>
      </c>
      <c r="P14794">
        <v>0</v>
      </c>
      <c r="Q14794">
        <v>1</v>
      </c>
      <c r="R14794" t="s">
        <v>47326</v>
      </c>
      <c r="S14794" t="s">
        <v>48346</v>
      </c>
      <c r="T14794" t="s">
        <v>49020</v>
      </c>
      <c r="U14794" t="s">
        <v>61760</v>
      </c>
      <c r="W14794" t="s">
        <v>42939</v>
      </c>
      <c r="X14794" t="s">
        <v>47328</v>
      </c>
    </row>
    <row r="14795" spans="1:24">
      <c r="A14795">
        <f>HYPERLINK("https://www.philgeps.gov.ph/GEPSNONPILOT/Tender/SplashBidNoticeAbstractUI.aspx?menuIndex=3&amp;refID=7153452&amp;Result=3","7153452")</f>
        <v>0</v>
      </c>
      <c r="B14795" t="s">
        <v>3812</v>
      </c>
      <c r="C14795" t="s">
        <v>17865</v>
      </c>
      <c r="D14795" t="s">
        <v>19047</v>
      </c>
      <c r="E14795" t="s">
        <v>31581</v>
      </c>
      <c r="F14795" t="s">
        <v>32606</v>
      </c>
      <c r="G14795" t="s">
        <v>32613</v>
      </c>
      <c r="H14795" t="s">
        <v>32623</v>
      </c>
      <c r="I14795" t="s">
        <v>17648</v>
      </c>
      <c r="J14795" t="s">
        <v>41899</v>
      </c>
      <c r="K14795" t="s">
        <v>42639</v>
      </c>
      <c r="M14795" t="s">
        <v>47156</v>
      </c>
      <c r="N14795" t="s">
        <v>47304</v>
      </c>
      <c r="O14795" t="s">
        <v>47305</v>
      </c>
      <c r="P14795">
        <v>0</v>
      </c>
      <c r="Q14795">
        <v>0</v>
      </c>
      <c r="R14795" t="s">
        <v>47326</v>
      </c>
      <c r="S14795" t="s">
        <v>48346</v>
      </c>
      <c r="T14795" t="s">
        <v>48998</v>
      </c>
      <c r="U14795" t="s">
        <v>54788</v>
      </c>
      <c r="W14795" t="s">
        <v>47156</v>
      </c>
      <c r="X14795" t="s">
        <v>47328</v>
      </c>
    </row>
    <row r="14796" spans="1:24">
      <c r="A14796">
        <f>HYPERLINK("https://www.philgeps.gov.ph/GEPSNONPILOT/Tender/SplashBidNoticeAbstractUI.aspx?menuIndex=3&amp;refID=7153410&amp;Result=3","7153410")</f>
        <v>0</v>
      </c>
      <c r="B14796" t="s">
        <v>3813</v>
      </c>
      <c r="C14796" t="s">
        <v>17866</v>
      </c>
      <c r="D14796" t="s">
        <v>19006</v>
      </c>
      <c r="E14796" t="s">
        <v>31582</v>
      </c>
      <c r="F14796" t="s">
        <v>32606</v>
      </c>
      <c r="G14796" t="s">
        <v>32613</v>
      </c>
      <c r="H14796" t="s">
        <v>32623</v>
      </c>
      <c r="I14796" t="s">
        <v>17648</v>
      </c>
      <c r="J14796" t="s">
        <v>32950</v>
      </c>
      <c r="K14796" t="s">
        <v>42646</v>
      </c>
      <c r="M14796" t="s">
        <v>47157</v>
      </c>
      <c r="N14796" t="s">
        <v>47304</v>
      </c>
      <c r="O14796" t="s">
        <v>47305</v>
      </c>
      <c r="P14796">
        <v>0</v>
      </c>
      <c r="Q14796">
        <v>1</v>
      </c>
      <c r="R14796" t="s">
        <v>47326</v>
      </c>
      <c r="S14796" t="s">
        <v>48346</v>
      </c>
      <c r="T14796" t="s">
        <v>49268</v>
      </c>
      <c r="U14796" t="s">
        <v>61761</v>
      </c>
      <c r="W14796" t="s">
        <v>47157</v>
      </c>
      <c r="X14796" t="s">
        <v>47328</v>
      </c>
    </row>
    <row r="14797" spans="1:24">
      <c r="A14797">
        <f>HYPERLINK("https://www.philgeps.gov.ph/GEPSNONPILOT/Tender/SplashBidNoticeAbstractUI.aspx?menuIndex=3&amp;refID=7153150&amp;Result=3","7153150")</f>
        <v>0</v>
      </c>
      <c r="B14797" t="s">
        <v>2473</v>
      </c>
      <c r="C14797" t="s">
        <v>17867</v>
      </c>
      <c r="D14797" t="s">
        <v>19008</v>
      </c>
      <c r="E14797" t="s">
        <v>31583</v>
      </c>
      <c r="F14797" t="s">
        <v>32606</v>
      </c>
      <c r="G14797" t="s">
        <v>32613</v>
      </c>
      <c r="H14797" t="s">
        <v>14201</v>
      </c>
      <c r="I14797" t="s">
        <v>4678</v>
      </c>
      <c r="J14797" t="s">
        <v>41900</v>
      </c>
      <c r="K14797" t="s">
        <v>42622</v>
      </c>
      <c r="M14797" t="s">
        <v>45608</v>
      </c>
      <c r="N14797" t="s">
        <v>47304</v>
      </c>
      <c r="O14797" t="s">
        <v>47305</v>
      </c>
      <c r="P14797">
        <v>0</v>
      </c>
      <c r="Q14797">
        <v>4</v>
      </c>
      <c r="R14797" t="s">
        <v>47326</v>
      </c>
      <c r="S14797" t="s">
        <v>48346</v>
      </c>
      <c r="T14797" t="s">
        <v>49053</v>
      </c>
      <c r="U14797" t="s">
        <v>61762</v>
      </c>
      <c r="W14797" t="s">
        <v>45608</v>
      </c>
      <c r="X14797" t="s">
        <v>47328</v>
      </c>
    </row>
    <row r="14798" spans="1:24">
      <c r="A14798">
        <f>HYPERLINK("https://www.philgeps.gov.ph/GEPSNONPILOT/Tender/SplashBidNoticeAbstractUI.aspx?menuIndex=3&amp;refID=7153408&amp;Result=3","7153408")</f>
        <v>0</v>
      </c>
      <c r="B14798" t="s">
        <v>3812</v>
      </c>
      <c r="C14798" t="s">
        <v>17868</v>
      </c>
      <c r="D14798" t="s">
        <v>19047</v>
      </c>
      <c r="E14798" t="s">
        <v>31584</v>
      </c>
      <c r="F14798" t="s">
        <v>32606</v>
      </c>
      <c r="G14798" t="s">
        <v>32613</v>
      </c>
      <c r="H14798" t="s">
        <v>32623</v>
      </c>
      <c r="I14798" t="s">
        <v>17648</v>
      </c>
      <c r="J14798" t="s">
        <v>41901</v>
      </c>
      <c r="K14798" t="s">
        <v>42675</v>
      </c>
      <c r="M14798" t="s">
        <v>47156</v>
      </c>
      <c r="N14798" t="s">
        <v>47304</v>
      </c>
      <c r="O14798" t="s">
        <v>47305</v>
      </c>
      <c r="P14798">
        <v>0</v>
      </c>
      <c r="Q14798">
        <v>0</v>
      </c>
      <c r="R14798" t="s">
        <v>47326</v>
      </c>
      <c r="S14798" t="s">
        <v>48346</v>
      </c>
      <c r="T14798" t="s">
        <v>48998</v>
      </c>
      <c r="U14798" t="s">
        <v>54788</v>
      </c>
      <c r="W14798" t="s">
        <v>47156</v>
      </c>
      <c r="X14798" t="s">
        <v>47328</v>
      </c>
    </row>
    <row r="14799" spans="1:24">
      <c r="A14799">
        <f>HYPERLINK("https://www.philgeps.gov.ph/GEPSNONPILOT/Tender/SplashBidNoticeAbstractUI.aspx?menuIndex=3&amp;refID=7153394&amp;Result=3","7153394")</f>
        <v>0</v>
      </c>
      <c r="B14799" t="s">
        <v>42</v>
      </c>
      <c r="C14799" t="s">
        <v>17869</v>
      </c>
      <c r="E14799" t="s">
        <v>31585</v>
      </c>
      <c r="F14799" t="s">
        <v>32606</v>
      </c>
      <c r="G14799" t="s">
        <v>32613</v>
      </c>
      <c r="H14799" t="s">
        <v>32623</v>
      </c>
      <c r="I14799" t="s">
        <v>17648</v>
      </c>
      <c r="J14799" t="s">
        <v>41902</v>
      </c>
      <c r="K14799" t="s">
        <v>42793</v>
      </c>
      <c r="M14799" t="s">
        <v>42939</v>
      </c>
      <c r="N14799" t="s">
        <v>47304</v>
      </c>
      <c r="O14799" t="s">
        <v>47305</v>
      </c>
      <c r="P14799">
        <v>0</v>
      </c>
      <c r="Q14799">
        <v>2</v>
      </c>
      <c r="R14799" t="s">
        <v>47326</v>
      </c>
      <c r="S14799" t="s">
        <v>48346</v>
      </c>
      <c r="T14799" t="s">
        <v>49020</v>
      </c>
      <c r="U14799" t="s">
        <v>61763</v>
      </c>
      <c r="W14799" t="s">
        <v>42939</v>
      </c>
      <c r="X14799" t="s">
        <v>47328</v>
      </c>
    </row>
    <row r="14800" spans="1:24">
      <c r="A14800">
        <f>HYPERLINK("https://www.philgeps.gov.ph/GEPSNONPILOT/Tender/SplashBidNoticeAbstractUI.aspx?menuIndex=3&amp;refID=7153379&amp;Result=3","7153379")</f>
        <v>0</v>
      </c>
      <c r="B14800" t="s">
        <v>42</v>
      </c>
      <c r="C14800" t="s">
        <v>17870</v>
      </c>
      <c r="E14800" t="s">
        <v>31586</v>
      </c>
      <c r="F14800" t="s">
        <v>32606</v>
      </c>
      <c r="G14800" t="s">
        <v>32613</v>
      </c>
      <c r="H14800" t="s">
        <v>32623</v>
      </c>
      <c r="I14800" t="s">
        <v>17648</v>
      </c>
      <c r="J14800" t="s">
        <v>41903</v>
      </c>
      <c r="K14800" t="s">
        <v>42643</v>
      </c>
      <c r="M14800" t="s">
        <v>42939</v>
      </c>
      <c r="N14800" t="s">
        <v>47304</v>
      </c>
      <c r="O14800" t="s">
        <v>47305</v>
      </c>
      <c r="P14800">
        <v>0</v>
      </c>
      <c r="Q14800">
        <v>2</v>
      </c>
      <c r="R14800" t="s">
        <v>47326</v>
      </c>
      <c r="S14800" t="s">
        <v>48346</v>
      </c>
      <c r="T14800" t="s">
        <v>49020</v>
      </c>
      <c r="U14800" t="s">
        <v>61764</v>
      </c>
      <c r="W14800" t="s">
        <v>42939</v>
      </c>
      <c r="X14800" t="s">
        <v>47328</v>
      </c>
    </row>
    <row r="14801" spans="1:24">
      <c r="A14801">
        <f>HYPERLINK("https://www.philgeps.gov.ph/GEPSNONPILOT/Tender/SplashBidNoticeAbstractUI.aspx?menuIndex=3&amp;refID=7153043&amp;Result=3","7153043")</f>
        <v>0</v>
      </c>
      <c r="B14801" t="s">
        <v>1738</v>
      </c>
      <c r="C14801" t="s">
        <v>17871</v>
      </c>
      <c r="E14801" t="s">
        <v>31587</v>
      </c>
      <c r="F14801" t="s">
        <v>32606</v>
      </c>
      <c r="G14801" t="s">
        <v>32613</v>
      </c>
      <c r="H14801" t="s">
        <v>14201</v>
      </c>
      <c r="I14801" t="s">
        <v>32640</v>
      </c>
      <c r="J14801" t="s">
        <v>41904</v>
      </c>
      <c r="K14801" t="s">
        <v>42624</v>
      </c>
      <c r="M14801" t="s">
        <v>45596</v>
      </c>
      <c r="N14801" t="s">
        <v>47304</v>
      </c>
      <c r="O14801" t="s">
        <v>47305</v>
      </c>
      <c r="Q14801">
        <v>30</v>
      </c>
      <c r="R14801" t="s">
        <v>47326</v>
      </c>
      <c r="S14801" t="s">
        <v>48351</v>
      </c>
      <c r="T14801" t="s">
        <v>49221</v>
      </c>
      <c r="U14801" t="s">
        <v>54315</v>
      </c>
      <c r="W14801" t="s">
        <v>45596</v>
      </c>
      <c r="X14801" t="s">
        <v>47328</v>
      </c>
    </row>
    <row r="14802" spans="1:24">
      <c r="A14802">
        <f>HYPERLINK("https://www.philgeps.gov.ph/GEPSNONPILOT/Tender/SplashBidNoticeAbstractUI.aspx?menuIndex=3&amp;refID=7152777&amp;Result=3","7152777")</f>
        <v>0</v>
      </c>
      <c r="B14802" t="s">
        <v>3217</v>
      </c>
      <c r="C14802" t="s">
        <v>17872</v>
      </c>
      <c r="E14802" t="s">
        <v>31588</v>
      </c>
      <c r="F14802" t="s">
        <v>32606</v>
      </c>
      <c r="G14802" t="s">
        <v>32613</v>
      </c>
      <c r="H14802" t="s">
        <v>32623</v>
      </c>
      <c r="I14802" t="s">
        <v>17648</v>
      </c>
      <c r="J14802" t="s">
        <v>41905</v>
      </c>
      <c r="K14802" t="s">
        <v>42624</v>
      </c>
      <c r="M14802" t="s">
        <v>46443</v>
      </c>
      <c r="N14802" t="s">
        <v>47304</v>
      </c>
      <c r="O14802" t="s">
        <v>47305</v>
      </c>
      <c r="P14802">
        <v>0</v>
      </c>
      <c r="Q14802">
        <v>9</v>
      </c>
      <c r="R14802" t="s">
        <v>47326</v>
      </c>
      <c r="S14802" t="s">
        <v>48346</v>
      </c>
      <c r="T14802" t="s">
        <v>49347</v>
      </c>
      <c r="U14802" t="s">
        <v>61765</v>
      </c>
      <c r="V14802" t="s">
        <v>64275</v>
      </c>
      <c r="W14802" t="s">
        <v>46443</v>
      </c>
      <c r="X14802" t="s">
        <v>47328</v>
      </c>
    </row>
    <row r="14803" spans="1:24">
      <c r="A14803">
        <f>HYPERLINK("https://www.philgeps.gov.ph/GEPSNONPILOT/Tender/SplashBidNoticeAbstractUI.aspx?menuIndex=3&amp;refID=7152750&amp;Result=3","7152750")</f>
        <v>0</v>
      </c>
      <c r="B14803" t="s">
        <v>3217</v>
      </c>
      <c r="C14803" t="s">
        <v>17873</v>
      </c>
      <c r="E14803" t="s">
        <v>31589</v>
      </c>
      <c r="F14803" t="s">
        <v>32606</v>
      </c>
      <c r="G14803" t="s">
        <v>32613</v>
      </c>
      <c r="H14803" t="s">
        <v>32623</v>
      </c>
      <c r="I14803" t="s">
        <v>17648</v>
      </c>
      <c r="J14803" t="s">
        <v>41906</v>
      </c>
      <c r="K14803" t="s">
        <v>42624</v>
      </c>
      <c r="M14803" t="s">
        <v>46443</v>
      </c>
      <c r="N14803" t="s">
        <v>47304</v>
      </c>
      <c r="O14803" t="s">
        <v>47305</v>
      </c>
      <c r="P14803">
        <v>0</v>
      </c>
      <c r="Q14803">
        <v>9</v>
      </c>
      <c r="R14803" t="s">
        <v>47326</v>
      </c>
      <c r="S14803" t="s">
        <v>48346</v>
      </c>
      <c r="T14803" t="s">
        <v>49347</v>
      </c>
      <c r="U14803" t="s">
        <v>61766</v>
      </c>
      <c r="V14803" t="s">
        <v>64275</v>
      </c>
      <c r="W14803" t="s">
        <v>46443</v>
      </c>
      <c r="X14803" t="s">
        <v>47328</v>
      </c>
    </row>
    <row r="14804" spans="1:24">
      <c r="A14804">
        <f>HYPERLINK("https://www.philgeps.gov.ph/GEPSNONPILOT/Tender/SplashBidNoticeAbstractUI.aspx?menuIndex=3&amp;refID=7152731&amp;Result=3","7152731")</f>
        <v>0</v>
      </c>
      <c r="B14804" t="s">
        <v>3217</v>
      </c>
      <c r="C14804" t="s">
        <v>17874</v>
      </c>
      <c r="E14804" t="s">
        <v>31590</v>
      </c>
      <c r="F14804" t="s">
        <v>32606</v>
      </c>
      <c r="G14804" t="s">
        <v>32613</v>
      </c>
      <c r="H14804" t="s">
        <v>32623</v>
      </c>
      <c r="I14804" t="s">
        <v>17648</v>
      </c>
      <c r="J14804" t="s">
        <v>41907</v>
      </c>
      <c r="K14804" t="s">
        <v>42624</v>
      </c>
      <c r="M14804" t="s">
        <v>46443</v>
      </c>
      <c r="N14804" t="s">
        <v>47304</v>
      </c>
      <c r="O14804" t="s">
        <v>47305</v>
      </c>
      <c r="P14804">
        <v>0</v>
      </c>
      <c r="Q14804">
        <v>10</v>
      </c>
      <c r="R14804" t="s">
        <v>47326</v>
      </c>
      <c r="S14804" t="s">
        <v>48346</v>
      </c>
      <c r="T14804" t="s">
        <v>49347</v>
      </c>
      <c r="U14804" t="s">
        <v>61766</v>
      </c>
      <c r="V14804" t="s">
        <v>64275</v>
      </c>
      <c r="W14804" t="s">
        <v>46443</v>
      </c>
      <c r="X14804" t="s">
        <v>47328</v>
      </c>
    </row>
    <row r="14805" spans="1:24">
      <c r="A14805">
        <f>HYPERLINK("https://www.philgeps.gov.ph/GEPSNONPILOT/Tender/SplashBidNoticeAbstractUI.aspx?menuIndex=3&amp;refID=7153421&amp;Result=3","7153421")</f>
        <v>0</v>
      </c>
      <c r="B14805" t="s">
        <v>42</v>
      </c>
      <c r="C14805" t="s">
        <v>17875</v>
      </c>
      <c r="E14805" t="s">
        <v>31591</v>
      </c>
      <c r="F14805" t="s">
        <v>32606</v>
      </c>
      <c r="G14805" t="s">
        <v>32613</v>
      </c>
      <c r="H14805" t="s">
        <v>32623</v>
      </c>
      <c r="I14805" t="s">
        <v>17648</v>
      </c>
      <c r="J14805" t="s">
        <v>41908</v>
      </c>
      <c r="K14805" t="s">
        <v>42648</v>
      </c>
      <c r="M14805" t="s">
        <v>42939</v>
      </c>
      <c r="N14805" t="s">
        <v>47304</v>
      </c>
      <c r="O14805" t="s">
        <v>47305</v>
      </c>
      <c r="P14805">
        <v>0</v>
      </c>
      <c r="Q14805">
        <v>1</v>
      </c>
      <c r="R14805" t="s">
        <v>47326</v>
      </c>
      <c r="S14805" t="s">
        <v>48346</v>
      </c>
      <c r="T14805" t="s">
        <v>49020</v>
      </c>
      <c r="U14805" t="s">
        <v>61767</v>
      </c>
      <c r="W14805" t="s">
        <v>42939</v>
      </c>
      <c r="X14805" t="s">
        <v>47328</v>
      </c>
    </row>
    <row r="14806" spans="1:24">
      <c r="A14806">
        <f>HYPERLINK("https://www.philgeps.gov.ph/GEPSNONPILOT/Tender/SplashBidNoticeAbstractUI.aspx?menuIndex=3&amp;refID=7151624&amp;Result=3","7151624")</f>
        <v>0</v>
      </c>
      <c r="B14806" t="s">
        <v>900</v>
      </c>
      <c r="C14806" t="s">
        <v>17876</v>
      </c>
      <c r="D14806" t="s">
        <v>19005</v>
      </c>
      <c r="E14806" t="s">
        <v>23210</v>
      </c>
      <c r="F14806" t="s">
        <v>32606</v>
      </c>
      <c r="G14806" t="s">
        <v>32613</v>
      </c>
      <c r="H14806" t="s">
        <v>14201</v>
      </c>
      <c r="I14806" t="s">
        <v>6298</v>
      </c>
      <c r="J14806" t="s">
        <v>41909</v>
      </c>
      <c r="K14806" t="s">
        <v>42631</v>
      </c>
      <c r="M14806" t="s">
        <v>43837</v>
      </c>
      <c r="N14806" t="s">
        <v>47304</v>
      </c>
      <c r="O14806" t="s">
        <v>47305</v>
      </c>
      <c r="P14806">
        <v>0</v>
      </c>
      <c r="Q14806">
        <v>2</v>
      </c>
      <c r="R14806" t="s">
        <v>47326</v>
      </c>
      <c r="S14806" t="s">
        <v>48346</v>
      </c>
      <c r="T14806" t="s">
        <v>49072</v>
      </c>
      <c r="U14806" t="s">
        <v>61768</v>
      </c>
      <c r="W14806" t="s">
        <v>43837</v>
      </c>
      <c r="X14806" t="s">
        <v>47329</v>
      </c>
    </row>
    <row r="14807" spans="1:24">
      <c r="A14807">
        <f>HYPERLINK("https://www.philgeps.gov.ph/GEPSNONPILOT/Tender/SplashBidNoticeAbstractUI.aspx?menuIndex=3&amp;refID=7150916&amp;Result=3","7150916")</f>
        <v>0</v>
      </c>
      <c r="B14807" t="s">
        <v>3814</v>
      </c>
      <c r="C14807" t="s">
        <v>17877</v>
      </c>
      <c r="D14807" t="s">
        <v>19047</v>
      </c>
      <c r="E14807" t="s">
        <v>31592</v>
      </c>
      <c r="F14807" t="s">
        <v>32606</v>
      </c>
      <c r="G14807" t="s">
        <v>32613</v>
      </c>
      <c r="H14807" t="s">
        <v>32623</v>
      </c>
      <c r="I14807" t="s">
        <v>17648</v>
      </c>
      <c r="J14807" t="s">
        <v>41910</v>
      </c>
      <c r="K14807" t="s">
        <v>42627</v>
      </c>
      <c r="M14807" t="s">
        <v>47158</v>
      </c>
      <c r="N14807" t="s">
        <v>47304</v>
      </c>
      <c r="O14807" t="s">
        <v>47305</v>
      </c>
      <c r="P14807">
        <v>0</v>
      </c>
      <c r="Q14807">
        <v>0</v>
      </c>
      <c r="R14807" t="s">
        <v>47326</v>
      </c>
      <c r="S14807" t="s">
        <v>48346</v>
      </c>
      <c r="T14807" t="s">
        <v>48998</v>
      </c>
      <c r="U14807" t="s">
        <v>54788</v>
      </c>
      <c r="W14807" t="s">
        <v>47158</v>
      </c>
      <c r="X14807" t="s">
        <v>47329</v>
      </c>
    </row>
    <row r="14808" spans="1:24">
      <c r="A14808">
        <f>HYPERLINK("https://www.philgeps.gov.ph/GEPSNONPILOT/Tender/SplashBidNoticeAbstractUI.aspx?menuIndex=3&amp;refID=7150850&amp;Result=3","7150850")</f>
        <v>0</v>
      </c>
      <c r="B14808" t="s">
        <v>3814</v>
      </c>
      <c r="C14808" t="s">
        <v>17878</v>
      </c>
      <c r="D14808" t="s">
        <v>19047</v>
      </c>
      <c r="E14808" t="s">
        <v>31593</v>
      </c>
      <c r="F14808" t="s">
        <v>32606</v>
      </c>
      <c r="G14808" t="s">
        <v>32613</v>
      </c>
      <c r="H14808" t="s">
        <v>32623</v>
      </c>
      <c r="I14808" t="s">
        <v>17648</v>
      </c>
      <c r="J14808" t="s">
        <v>41911</v>
      </c>
      <c r="K14808" t="s">
        <v>42622</v>
      </c>
      <c r="M14808" t="s">
        <v>47158</v>
      </c>
      <c r="N14808" t="s">
        <v>47304</v>
      </c>
      <c r="O14808" t="s">
        <v>47305</v>
      </c>
      <c r="P14808">
        <v>0</v>
      </c>
      <c r="Q14808">
        <v>0</v>
      </c>
      <c r="R14808" t="s">
        <v>47326</v>
      </c>
      <c r="S14808" t="s">
        <v>48346</v>
      </c>
      <c r="T14808" t="s">
        <v>48998</v>
      </c>
      <c r="U14808" t="s">
        <v>54788</v>
      </c>
      <c r="W14808" t="s">
        <v>47158</v>
      </c>
      <c r="X14808" t="s">
        <v>47329</v>
      </c>
    </row>
    <row r="14809" spans="1:24">
      <c r="A14809">
        <f>HYPERLINK("https://www.philgeps.gov.ph/GEPSNONPILOT/Tender/SplashBidNoticeAbstractUI.aspx?menuIndex=3&amp;refID=7150493&amp;Result=3","7150493")</f>
        <v>0</v>
      </c>
      <c r="B14809" t="s">
        <v>3815</v>
      </c>
      <c r="C14809" t="s">
        <v>17879</v>
      </c>
      <c r="D14809" t="s">
        <v>19047</v>
      </c>
      <c r="E14809" t="s">
        <v>31594</v>
      </c>
      <c r="F14809" t="s">
        <v>32606</v>
      </c>
      <c r="G14809" t="s">
        <v>32613</v>
      </c>
      <c r="H14809" t="s">
        <v>32623</v>
      </c>
      <c r="I14809" t="s">
        <v>17648</v>
      </c>
      <c r="J14809" t="s">
        <v>41912</v>
      </c>
      <c r="K14809" t="s">
        <v>42622</v>
      </c>
      <c r="M14809" t="s">
        <v>47159</v>
      </c>
      <c r="N14809" t="s">
        <v>47304</v>
      </c>
      <c r="O14809" t="s">
        <v>47305</v>
      </c>
      <c r="P14809">
        <v>0</v>
      </c>
      <c r="Q14809">
        <v>0</v>
      </c>
      <c r="R14809" t="s">
        <v>47326</v>
      </c>
      <c r="S14809" t="s">
        <v>48346</v>
      </c>
      <c r="T14809" t="s">
        <v>48998</v>
      </c>
      <c r="U14809" t="s">
        <v>54788</v>
      </c>
      <c r="W14809" t="s">
        <v>47159</v>
      </c>
      <c r="X14809" t="s">
        <v>47329</v>
      </c>
    </row>
    <row r="14810" spans="1:24">
      <c r="A14810">
        <f>HYPERLINK("https://www.philgeps.gov.ph/GEPSNONPILOT/Tender/SplashBidNoticeAbstractUI.aspx?menuIndex=3&amp;refID=7161738&amp;Result=3","7161738")</f>
        <v>0</v>
      </c>
      <c r="B14810" t="s">
        <v>3816</v>
      </c>
      <c r="C14810" t="s">
        <v>17880</v>
      </c>
      <c r="D14810" t="s">
        <v>19014</v>
      </c>
      <c r="E14810" t="s">
        <v>29907</v>
      </c>
      <c r="F14810" t="s">
        <v>32606</v>
      </c>
      <c r="G14810" t="s">
        <v>32613</v>
      </c>
      <c r="H14810" t="s">
        <v>32624</v>
      </c>
      <c r="I14810" t="s">
        <v>32652</v>
      </c>
      <c r="J14810" t="s">
        <v>34117</v>
      </c>
      <c r="K14810" t="s">
        <v>42783</v>
      </c>
      <c r="M14810" t="s">
        <v>47160</v>
      </c>
      <c r="N14810" t="s">
        <v>47304</v>
      </c>
      <c r="O14810" t="s">
        <v>47305</v>
      </c>
      <c r="Q14810">
        <v>5</v>
      </c>
      <c r="R14810" t="s">
        <v>47325</v>
      </c>
      <c r="S14810" t="s">
        <v>48352</v>
      </c>
      <c r="T14810" t="s">
        <v>49139</v>
      </c>
      <c r="U14810" t="s">
        <v>61769</v>
      </c>
      <c r="W14810" t="s">
        <v>47160</v>
      </c>
      <c r="X14810" t="s">
        <v>47326</v>
      </c>
    </row>
    <row r="14811" spans="1:24">
      <c r="A14811">
        <f>HYPERLINK("https://www.philgeps.gov.ph/GEPSNONPILOT/Tender/SplashBidNoticeAbstractUI.aspx?menuIndex=3&amp;refID=7161723&amp;Result=3","7161723")</f>
        <v>0</v>
      </c>
      <c r="B14811" t="s">
        <v>387</v>
      </c>
      <c r="C14811" t="s">
        <v>17881</v>
      </c>
      <c r="D14811" t="s">
        <v>18988</v>
      </c>
      <c r="E14811" t="s">
        <v>31595</v>
      </c>
      <c r="F14811" t="s">
        <v>32606</v>
      </c>
      <c r="G14811" t="s">
        <v>32613</v>
      </c>
      <c r="H14811" t="s">
        <v>32623</v>
      </c>
      <c r="I14811" t="s">
        <v>17648</v>
      </c>
      <c r="J14811" t="s">
        <v>34912</v>
      </c>
      <c r="K14811" t="s">
        <v>42645</v>
      </c>
      <c r="M14811" t="s">
        <v>43290</v>
      </c>
      <c r="N14811" t="s">
        <v>47304</v>
      </c>
      <c r="O14811" t="s">
        <v>47305</v>
      </c>
      <c r="Q14811">
        <v>21</v>
      </c>
      <c r="R14811" t="s">
        <v>47325</v>
      </c>
      <c r="S14811" t="s">
        <v>48353</v>
      </c>
      <c r="T14811" t="s">
        <v>49017</v>
      </c>
      <c r="U14811" t="s">
        <v>61770</v>
      </c>
      <c r="W14811" t="s">
        <v>64554</v>
      </c>
      <c r="X14811" t="s">
        <v>47326</v>
      </c>
    </row>
    <row r="14812" spans="1:24">
      <c r="A14812">
        <f>HYPERLINK("https://www.philgeps.gov.ph/GEPSNONPILOT/Tender/SplashBidNoticeAbstractUI.aspx?menuIndex=3&amp;refID=7161718&amp;Result=3","7161718")</f>
        <v>0</v>
      </c>
      <c r="B14812" t="s">
        <v>1995</v>
      </c>
      <c r="C14812" t="s">
        <v>17882</v>
      </c>
      <c r="E14812" t="s">
        <v>31596</v>
      </c>
      <c r="F14812" t="s">
        <v>32606</v>
      </c>
      <c r="G14812" t="s">
        <v>32613</v>
      </c>
      <c r="H14812" t="s">
        <v>14201</v>
      </c>
      <c r="I14812" t="s">
        <v>32640</v>
      </c>
      <c r="J14812" t="s">
        <v>32756</v>
      </c>
      <c r="K14812" t="s">
        <v>42789</v>
      </c>
      <c r="M14812" t="s">
        <v>47161</v>
      </c>
      <c r="N14812" t="s">
        <v>47304</v>
      </c>
      <c r="O14812" t="s">
        <v>47305</v>
      </c>
      <c r="Q14812">
        <v>17</v>
      </c>
      <c r="R14812" t="s">
        <v>47325</v>
      </c>
      <c r="S14812" t="s">
        <v>48354</v>
      </c>
      <c r="T14812" t="s">
        <v>49071</v>
      </c>
      <c r="U14812" t="s">
        <v>61771</v>
      </c>
      <c r="W14812" t="s">
        <v>47161</v>
      </c>
      <c r="X14812" t="s">
        <v>47326</v>
      </c>
    </row>
    <row r="14813" spans="1:24">
      <c r="A14813">
        <f>HYPERLINK("https://www.philgeps.gov.ph/GEPSNONPILOT/Tender/SplashBidNoticeAbstractUI.aspx?menuIndex=3&amp;refID=7153462&amp;Result=3","7153462")</f>
        <v>0</v>
      </c>
      <c r="B14813" t="s">
        <v>2473</v>
      </c>
      <c r="C14813" t="s">
        <v>17883</v>
      </c>
      <c r="D14813" t="s">
        <v>19008</v>
      </c>
      <c r="E14813" t="s">
        <v>31597</v>
      </c>
      <c r="F14813" t="s">
        <v>32606</v>
      </c>
      <c r="G14813" t="s">
        <v>32613</v>
      </c>
      <c r="H14813" t="s">
        <v>32623</v>
      </c>
      <c r="I14813" t="s">
        <v>17648</v>
      </c>
      <c r="J14813" t="s">
        <v>40814</v>
      </c>
      <c r="K14813" t="s">
        <v>42683</v>
      </c>
      <c r="M14813" t="s">
        <v>45608</v>
      </c>
      <c r="N14813" t="s">
        <v>47304</v>
      </c>
      <c r="O14813" t="s">
        <v>47305</v>
      </c>
      <c r="P14813">
        <v>0</v>
      </c>
      <c r="Q14813">
        <v>2</v>
      </c>
      <c r="R14813" t="s">
        <v>47326</v>
      </c>
      <c r="S14813" t="s">
        <v>48346</v>
      </c>
      <c r="T14813" t="s">
        <v>49053</v>
      </c>
      <c r="U14813" t="s">
        <v>61772</v>
      </c>
      <c r="W14813" t="s">
        <v>45608</v>
      </c>
      <c r="X14813" t="s">
        <v>47328</v>
      </c>
    </row>
    <row r="14814" spans="1:24">
      <c r="A14814">
        <f>HYPERLINK("https://www.philgeps.gov.ph/GEPSNONPILOT/Tender/SplashBidNoticeAbstractUI.aspx?menuIndex=3&amp;refID=7153172&amp;Result=3","7153172")</f>
        <v>0</v>
      </c>
      <c r="B14814" t="s">
        <v>3812</v>
      </c>
      <c r="C14814" t="s">
        <v>17884</v>
      </c>
      <c r="E14814" t="s">
        <v>31598</v>
      </c>
      <c r="F14814" t="s">
        <v>32606</v>
      </c>
      <c r="G14814" t="s">
        <v>32613</v>
      </c>
      <c r="H14814" t="s">
        <v>32623</v>
      </c>
      <c r="I14814" t="s">
        <v>32661</v>
      </c>
      <c r="J14814" t="s">
        <v>41913</v>
      </c>
      <c r="K14814" t="s">
        <v>42675</v>
      </c>
      <c r="M14814" t="s">
        <v>47156</v>
      </c>
      <c r="N14814" t="s">
        <v>47304</v>
      </c>
      <c r="O14814" t="s">
        <v>47305</v>
      </c>
      <c r="P14814">
        <v>0</v>
      </c>
      <c r="Q14814">
        <v>0</v>
      </c>
      <c r="R14814" t="s">
        <v>47326</v>
      </c>
      <c r="S14814" t="s">
        <v>48346</v>
      </c>
      <c r="T14814" t="s">
        <v>49072</v>
      </c>
      <c r="U14814" t="s">
        <v>54788</v>
      </c>
      <c r="W14814" t="s">
        <v>47156</v>
      </c>
      <c r="X14814" t="s">
        <v>47328</v>
      </c>
    </row>
    <row r="14815" spans="1:24">
      <c r="A14815">
        <f>HYPERLINK("https://www.philgeps.gov.ph/GEPSNONPILOT/Tender/SplashBidNoticeAbstractUI.aspx?menuIndex=3&amp;refID=7154687&amp;Result=3","7154687")</f>
        <v>0</v>
      </c>
      <c r="B14815" t="s">
        <v>1551</v>
      </c>
      <c r="C14815" t="s">
        <v>17885</v>
      </c>
      <c r="D14815" t="s">
        <v>19046</v>
      </c>
      <c r="E14815" t="s">
        <v>31599</v>
      </c>
      <c r="F14815" t="s">
        <v>32606</v>
      </c>
      <c r="G14815" t="s">
        <v>32613</v>
      </c>
      <c r="H14815" t="s">
        <v>14201</v>
      </c>
      <c r="I14815" t="s">
        <v>32633</v>
      </c>
      <c r="J14815" t="s">
        <v>41914</v>
      </c>
      <c r="K14815" t="s">
        <v>42631</v>
      </c>
      <c r="M14815" t="s">
        <v>44555</v>
      </c>
      <c r="N14815" t="s">
        <v>47304</v>
      </c>
      <c r="O14815" t="s">
        <v>47305</v>
      </c>
      <c r="Q14815">
        <v>9</v>
      </c>
      <c r="R14815" t="s">
        <v>47326</v>
      </c>
      <c r="S14815" t="s">
        <v>48355</v>
      </c>
      <c r="T14815" t="s">
        <v>48996</v>
      </c>
      <c r="U14815" t="s">
        <v>61773</v>
      </c>
      <c r="W14815" t="s">
        <v>44555</v>
      </c>
      <c r="X14815" t="s">
        <v>47328</v>
      </c>
    </row>
    <row r="14816" spans="1:24">
      <c r="A14816">
        <f>HYPERLINK("https://www.philgeps.gov.ph/GEPSNONPILOT/Tender/SplashBidNoticeAbstractUI.aspx?menuIndex=3&amp;refID=7154636&amp;Result=3","7154636")</f>
        <v>0</v>
      </c>
      <c r="B14816" t="s">
        <v>2829</v>
      </c>
      <c r="C14816" t="s">
        <v>17886</v>
      </c>
      <c r="D14816" t="s">
        <v>18993</v>
      </c>
      <c r="E14816" t="s">
        <v>31600</v>
      </c>
      <c r="F14816" t="s">
        <v>32606</v>
      </c>
      <c r="G14816" t="s">
        <v>32613</v>
      </c>
      <c r="H14816" t="s">
        <v>14201</v>
      </c>
      <c r="I14816" t="s">
        <v>7577</v>
      </c>
      <c r="J14816" t="s">
        <v>41915</v>
      </c>
      <c r="K14816" t="s">
        <v>42631</v>
      </c>
      <c r="M14816" t="s">
        <v>45994</v>
      </c>
      <c r="N14816" t="s">
        <v>47304</v>
      </c>
      <c r="O14816" t="s">
        <v>47305</v>
      </c>
      <c r="Q14816">
        <v>15</v>
      </c>
      <c r="R14816" t="s">
        <v>47326</v>
      </c>
      <c r="S14816" t="s">
        <v>48356</v>
      </c>
      <c r="T14816" t="s">
        <v>49053</v>
      </c>
      <c r="U14816" t="s">
        <v>56996</v>
      </c>
      <c r="V14816" t="s">
        <v>64276</v>
      </c>
      <c r="W14816" t="s">
        <v>45994</v>
      </c>
      <c r="X14816" t="s">
        <v>47328</v>
      </c>
    </row>
    <row r="14817" spans="1:24">
      <c r="A14817">
        <f>HYPERLINK("https://www.philgeps.gov.ph/GEPSNONPILOT/Tender/SplashBidNoticeAbstractUI.aspx?menuIndex=3&amp;refID=7154375&amp;Result=3","7154375")</f>
        <v>0</v>
      </c>
      <c r="B14817" t="s">
        <v>1738</v>
      </c>
      <c r="C14817" t="s">
        <v>17887</v>
      </c>
      <c r="E14817" t="s">
        <v>31601</v>
      </c>
      <c r="F14817" t="s">
        <v>32606</v>
      </c>
      <c r="G14817" t="s">
        <v>32613</v>
      </c>
      <c r="H14817" t="s">
        <v>14201</v>
      </c>
      <c r="I14817" t="s">
        <v>32640</v>
      </c>
      <c r="J14817" t="s">
        <v>32772</v>
      </c>
      <c r="K14817" t="s">
        <v>42624</v>
      </c>
      <c r="M14817" t="s">
        <v>45596</v>
      </c>
      <c r="N14817" t="s">
        <v>47304</v>
      </c>
      <c r="O14817" t="s">
        <v>47305</v>
      </c>
      <c r="Q14817">
        <v>13</v>
      </c>
      <c r="R14817" t="s">
        <v>47326</v>
      </c>
      <c r="S14817" t="s">
        <v>48357</v>
      </c>
      <c r="T14817" t="s">
        <v>49221</v>
      </c>
      <c r="U14817" t="s">
        <v>54315</v>
      </c>
      <c r="W14817" t="s">
        <v>45596</v>
      </c>
      <c r="X14817" t="s">
        <v>47328</v>
      </c>
    </row>
    <row r="14818" spans="1:24">
      <c r="A14818">
        <f>HYPERLINK("https://www.philgeps.gov.ph/GEPSNONPILOT/Tender/SplashBidNoticeAbstractUI.aspx?menuIndex=3&amp;refID=7154201&amp;Result=3","7154201")</f>
        <v>0</v>
      </c>
      <c r="B14818" t="s">
        <v>1738</v>
      </c>
      <c r="C14818" t="s">
        <v>17888</v>
      </c>
      <c r="E14818" t="s">
        <v>31602</v>
      </c>
      <c r="F14818" t="s">
        <v>32606</v>
      </c>
      <c r="G14818" t="s">
        <v>32613</v>
      </c>
      <c r="H14818" t="s">
        <v>14201</v>
      </c>
      <c r="I14818" t="s">
        <v>32640</v>
      </c>
      <c r="J14818" t="s">
        <v>34591</v>
      </c>
      <c r="K14818" t="s">
        <v>42624</v>
      </c>
      <c r="M14818" t="s">
        <v>45596</v>
      </c>
      <c r="N14818" t="s">
        <v>47304</v>
      </c>
      <c r="O14818" t="s">
        <v>47305</v>
      </c>
      <c r="Q14818">
        <v>31</v>
      </c>
      <c r="R14818" t="s">
        <v>47326</v>
      </c>
      <c r="S14818" t="s">
        <v>48358</v>
      </c>
      <c r="T14818" t="s">
        <v>49221</v>
      </c>
      <c r="U14818" t="s">
        <v>54315</v>
      </c>
      <c r="W14818" t="s">
        <v>45596</v>
      </c>
      <c r="X14818" t="s">
        <v>47328</v>
      </c>
    </row>
    <row r="14819" spans="1:24">
      <c r="A14819">
        <f>HYPERLINK("https://www.philgeps.gov.ph/GEPSNONPILOT/Tender/SplashBidNoticeAbstractUI.aspx?menuIndex=3&amp;refID=7154097&amp;Result=3","7154097")</f>
        <v>0</v>
      </c>
      <c r="B14819" t="s">
        <v>3062</v>
      </c>
      <c r="C14819" t="s">
        <v>17889</v>
      </c>
      <c r="D14819" t="s">
        <v>19042</v>
      </c>
      <c r="E14819" t="s">
        <v>31603</v>
      </c>
      <c r="F14819" t="s">
        <v>32606</v>
      </c>
      <c r="G14819" t="s">
        <v>32613</v>
      </c>
      <c r="H14819" t="s">
        <v>32623</v>
      </c>
      <c r="I14819" t="s">
        <v>6931</v>
      </c>
      <c r="J14819" t="s">
        <v>32920</v>
      </c>
      <c r="K14819" t="s">
        <v>42636</v>
      </c>
      <c r="M14819" t="s">
        <v>46260</v>
      </c>
      <c r="N14819" t="s">
        <v>47304</v>
      </c>
      <c r="O14819" t="s">
        <v>47305</v>
      </c>
      <c r="P14819">
        <v>0</v>
      </c>
      <c r="Q14819">
        <v>0</v>
      </c>
      <c r="R14819" t="s">
        <v>47326</v>
      </c>
      <c r="S14819" t="s">
        <v>48346</v>
      </c>
      <c r="T14819" t="s">
        <v>48979</v>
      </c>
      <c r="U14819" t="s">
        <v>61774</v>
      </c>
      <c r="V14819" t="s">
        <v>63707</v>
      </c>
      <c r="W14819" t="s">
        <v>46260</v>
      </c>
      <c r="X14819" t="s">
        <v>47328</v>
      </c>
    </row>
    <row r="14820" spans="1:24">
      <c r="A14820">
        <f>HYPERLINK("https://www.philgeps.gov.ph/GEPSNONPILOT/Tender/SplashBidNoticeAbstractUI.aspx?menuIndex=3&amp;refID=7153855&amp;Result=3","7153855")</f>
        <v>0</v>
      </c>
      <c r="B14820" t="s">
        <v>2473</v>
      </c>
      <c r="C14820" t="s">
        <v>17890</v>
      </c>
      <c r="D14820" t="s">
        <v>19008</v>
      </c>
      <c r="E14820" t="s">
        <v>31604</v>
      </c>
      <c r="F14820" t="s">
        <v>32606</v>
      </c>
      <c r="G14820" t="s">
        <v>32613</v>
      </c>
      <c r="H14820" t="s">
        <v>32623</v>
      </c>
      <c r="I14820" t="s">
        <v>17648</v>
      </c>
      <c r="J14820" t="s">
        <v>41916</v>
      </c>
      <c r="K14820" t="s">
        <v>42766</v>
      </c>
      <c r="M14820" t="s">
        <v>45608</v>
      </c>
      <c r="N14820" t="s">
        <v>47304</v>
      </c>
      <c r="O14820" t="s">
        <v>47305</v>
      </c>
      <c r="P14820">
        <v>0</v>
      </c>
      <c r="Q14820">
        <v>0</v>
      </c>
      <c r="R14820" t="s">
        <v>47326</v>
      </c>
      <c r="S14820" t="s">
        <v>48346</v>
      </c>
      <c r="T14820" t="s">
        <v>49053</v>
      </c>
      <c r="U14820" t="s">
        <v>61775</v>
      </c>
      <c r="W14820" t="s">
        <v>45608</v>
      </c>
      <c r="X14820" t="s">
        <v>47328</v>
      </c>
    </row>
    <row r="14821" spans="1:24">
      <c r="A14821">
        <f>HYPERLINK("https://www.philgeps.gov.ph/GEPSNONPILOT/Tender/SplashBidNoticeAbstractUI.aspx?menuIndex=3&amp;refID=7153848&amp;Result=3","7153848")</f>
        <v>0</v>
      </c>
      <c r="B14821" t="s">
        <v>3817</v>
      </c>
      <c r="C14821" t="s">
        <v>17891</v>
      </c>
      <c r="D14821" t="s">
        <v>19006</v>
      </c>
      <c r="E14821" t="s">
        <v>31605</v>
      </c>
      <c r="F14821" t="s">
        <v>32606</v>
      </c>
      <c r="G14821" t="s">
        <v>32613</v>
      </c>
      <c r="H14821" t="s">
        <v>32623</v>
      </c>
      <c r="I14821" t="s">
        <v>17648</v>
      </c>
      <c r="J14821" t="s">
        <v>32789</v>
      </c>
      <c r="K14821" t="s">
        <v>42631</v>
      </c>
      <c r="M14821" t="s">
        <v>47162</v>
      </c>
      <c r="N14821" t="s">
        <v>47304</v>
      </c>
      <c r="O14821" t="s">
        <v>47305</v>
      </c>
      <c r="P14821">
        <v>0</v>
      </c>
      <c r="Q14821">
        <v>1</v>
      </c>
      <c r="R14821" t="s">
        <v>47326</v>
      </c>
      <c r="S14821" t="s">
        <v>48346</v>
      </c>
      <c r="T14821" t="s">
        <v>49513</v>
      </c>
      <c r="U14821" t="s">
        <v>61776</v>
      </c>
      <c r="W14821" t="s">
        <v>47162</v>
      </c>
      <c r="X14821" t="s">
        <v>47328</v>
      </c>
    </row>
    <row r="14822" spans="1:24">
      <c r="A14822">
        <f>HYPERLINK("https://www.philgeps.gov.ph/GEPSNONPILOT/Tender/SplashBidNoticeAbstractUI.aspx?menuIndex=3&amp;refID=7153711&amp;Result=3","7153711")</f>
        <v>0</v>
      </c>
      <c r="B14822" t="s">
        <v>2473</v>
      </c>
      <c r="C14822" t="s">
        <v>17892</v>
      </c>
      <c r="D14822" t="s">
        <v>19008</v>
      </c>
      <c r="E14822" t="s">
        <v>31606</v>
      </c>
      <c r="F14822" t="s">
        <v>32606</v>
      </c>
      <c r="G14822" t="s">
        <v>32613</v>
      </c>
      <c r="H14822" t="s">
        <v>32623</v>
      </c>
      <c r="I14822" t="s">
        <v>17648</v>
      </c>
      <c r="J14822" t="s">
        <v>34465</v>
      </c>
      <c r="K14822" t="s">
        <v>42719</v>
      </c>
      <c r="M14822" t="s">
        <v>45608</v>
      </c>
      <c r="N14822" t="s">
        <v>47304</v>
      </c>
      <c r="O14822" t="s">
        <v>47305</v>
      </c>
      <c r="P14822">
        <v>0</v>
      </c>
      <c r="Q14822">
        <v>0</v>
      </c>
      <c r="R14822" t="s">
        <v>47326</v>
      </c>
      <c r="S14822" t="s">
        <v>48346</v>
      </c>
      <c r="T14822" t="s">
        <v>49053</v>
      </c>
      <c r="U14822" t="s">
        <v>61777</v>
      </c>
      <c r="W14822" t="s">
        <v>45608</v>
      </c>
      <c r="X14822" t="s">
        <v>47328</v>
      </c>
    </row>
    <row r="14823" spans="1:24">
      <c r="A14823">
        <f>HYPERLINK("https://www.philgeps.gov.ph/GEPSNONPILOT/Tender/SplashBidNoticeAbstractUI.aspx?menuIndex=3&amp;refID=7154214&amp;Result=3","7154214")</f>
        <v>0</v>
      </c>
      <c r="B14823" t="s">
        <v>3818</v>
      </c>
      <c r="C14823" t="s">
        <v>17893</v>
      </c>
      <c r="E14823" t="s">
        <v>25831</v>
      </c>
      <c r="F14823" t="s">
        <v>32606</v>
      </c>
      <c r="G14823" t="s">
        <v>32613</v>
      </c>
      <c r="H14823" t="s">
        <v>14201</v>
      </c>
      <c r="I14823" t="s">
        <v>32702</v>
      </c>
      <c r="J14823" t="s">
        <v>41917</v>
      </c>
      <c r="K14823" t="s">
        <v>42624</v>
      </c>
      <c r="M14823" t="s">
        <v>47163</v>
      </c>
      <c r="N14823" t="s">
        <v>47304</v>
      </c>
      <c r="O14823" t="s">
        <v>47305</v>
      </c>
      <c r="Q14823">
        <v>9</v>
      </c>
      <c r="R14823" t="s">
        <v>47326</v>
      </c>
      <c r="S14823" t="s">
        <v>48359</v>
      </c>
      <c r="T14823" t="s">
        <v>49071</v>
      </c>
      <c r="U14823" t="s">
        <v>61778</v>
      </c>
      <c r="W14823" t="s">
        <v>64557</v>
      </c>
      <c r="X14823" t="s">
        <v>47328</v>
      </c>
    </row>
    <row r="14824" spans="1:24">
      <c r="A14824">
        <f>HYPERLINK("https://www.philgeps.gov.ph/GEPSNONPILOT/Tender/SplashBidNoticeAbstractUI.aspx?menuIndex=3&amp;refID=7153632&amp;Result=3","7153632")</f>
        <v>0</v>
      </c>
      <c r="B14824" t="s">
        <v>3813</v>
      </c>
      <c r="C14824" t="s">
        <v>17894</v>
      </c>
      <c r="D14824" t="s">
        <v>19006</v>
      </c>
      <c r="E14824" t="s">
        <v>31607</v>
      </c>
      <c r="F14824" t="s">
        <v>32606</v>
      </c>
      <c r="G14824" t="s">
        <v>32613</v>
      </c>
      <c r="H14824" t="s">
        <v>32623</v>
      </c>
      <c r="I14824" t="s">
        <v>17648</v>
      </c>
      <c r="J14824" t="s">
        <v>32770</v>
      </c>
      <c r="K14824" t="s">
        <v>42636</v>
      </c>
      <c r="M14824" t="s">
        <v>47157</v>
      </c>
      <c r="N14824" t="s">
        <v>47304</v>
      </c>
      <c r="O14824" t="s">
        <v>47305</v>
      </c>
      <c r="P14824">
        <v>0</v>
      </c>
      <c r="Q14824">
        <v>0</v>
      </c>
      <c r="R14824" t="s">
        <v>47326</v>
      </c>
      <c r="S14824" t="s">
        <v>48346</v>
      </c>
      <c r="T14824" t="s">
        <v>49267</v>
      </c>
      <c r="U14824" t="s">
        <v>61779</v>
      </c>
      <c r="W14824" t="s">
        <v>47157</v>
      </c>
      <c r="X14824" t="s">
        <v>47328</v>
      </c>
    </row>
    <row r="14825" spans="1:24">
      <c r="A14825">
        <f>HYPERLINK("https://www.philgeps.gov.ph/GEPSNONPILOT/Tender/SplashBidNoticeAbstractUI.aspx?menuIndex=3&amp;refID=7153915&amp;Result=3","7153915")</f>
        <v>0</v>
      </c>
      <c r="B14825" t="s">
        <v>2473</v>
      </c>
      <c r="C14825" t="s">
        <v>17895</v>
      </c>
      <c r="D14825" t="s">
        <v>19008</v>
      </c>
      <c r="E14825" t="s">
        <v>31608</v>
      </c>
      <c r="F14825" t="s">
        <v>32606</v>
      </c>
      <c r="G14825" t="s">
        <v>32613</v>
      </c>
      <c r="H14825" t="s">
        <v>32623</v>
      </c>
      <c r="I14825" t="s">
        <v>17648</v>
      </c>
      <c r="J14825" t="s">
        <v>36312</v>
      </c>
      <c r="K14825" t="s">
        <v>42646</v>
      </c>
      <c r="M14825" t="s">
        <v>45608</v>
      </c>
      <c r="N14825" t="s">
        <v>47304</v>
      </c>
      <c r="O14825" t="s">
        <v>47305</v>
      </c>
      <c r="P14825">
        <v>0</v>
      </c>
      <c r="Q14825">
        <v>0</v>
      </c>
      <c r="R14825" t="s">
        <v>47326</v>
      </c>
      <c r="S14825" t="s">
        <v>48346</v>
      </c>
      <c r="T14825" t="s">
        <v>49053</v>
      </c>
      <c r="U14825" t="s">
        <v>61780</v>
      </c>
      <c r="W14825" t="s">
        <v>45608</v>
      </c>
      <c r="X14825" t="s">
        <v>47328</v>
      </c>
    </row>
    <row r="14826" spans="1:24">
      <c r="A14826">
        <f>HYPERLINK("https://www.philgeps.gov.ph/GEPSNONPILOT/Tender/SplashBidNoticeAbstractUI.aspx?menuIndex=3&amp;refID=7153586&amp;Result=3","7153586")</f>
        <v>0</v>
      </c>
      <c r="B14826" t="s">
        <v>42</v>
      </c>
      <c r="C14826" t="s">
        <v>17896</v>
      </c>
      <c r="E14826" t="s">
        <v>31609</v>
      </c>
      <c r="F14826" t="s">
        <v>32606</v>
      </c>
      <c r="G14826" t="s">
        <v>32613</v>
      </c>
      <c r="H14826" t="s">
        <v>32623</v>
      </c>
      <c r="I14826" t="s">
        <v>17648</v>
      </c>
      <c r="J14826" t="s">
        <v>41918</v>
      </c>
      <c r="K14826" t="s">
        <v>42701</v>
      </c>
      <c r="M14826" t="s">
        <v>42939</v>
      </c>
      <c r="N14826" t="s">
        <v>47304</v>
      </c>
      <c r="O14826" t="s">
        <v>47305</v>
      </c>
      <c r="P14826">
        <v>0</v>
      </c>
      <c r="Q14826">
        <v>0</v>
      </c>
      <c r="R14826" t="s">
        <v>47326</v>
      </c>
      <c r="S14826" t="s">
        <v>48346</v>
      </c>
      <c r="T14826" t="s">
        <v>49020</v>
      </c>
      <c r="U14826" t="s">
        <v>61781</v>
      </c>
      <c r="W14826" t="s">
        <v>42939</v>
      </c>
      <c r="X14826" t="s">
        <v>47328</v>
      </c>
    </row>
    <row r="14827" spans="1:24">
      <c r="A14827">
        <f>HYPERLINK("https://www.philgeps.gov.ph/GEPSNONPILOT/Tender/SplashBidNoticeAbstractUI.aspx?menuIndex=3&amp;refID=7153557&amp;Result=3","7153557")</f>
        <v>0</v>
      </c>
      <c r="B14827" t="s">
        <v>42</v>
      </c>
      <c r="C14827" t="s">
        <v>17897</v>
      </c>
      <c r="E14827" t="s">
        <v>31610</v>
      </c>
      <c r="F14827" t="s">
        <v>32606</v>
      </c>
      <c r="G14827" t="s">
        <v>32613</v>
      </c>
      <c r="H14827" t="s">
        <v>32623</v>
      </c>
      <c r="I14827" t="s">
        <v>17648</v>
      </c>
      <c r="J14827" t="s">
        <v>41919</v>
      </c>
      <c r="K14827" t="s">
        <v>42706</v>
      </c>
      <c r="M14827" t="s">
        <v>42939</v>
      </c>
      <c r="N14827" t="s">
        <v>47304</v>
      </c>
      <c r="O14827" t="s">
        <v>47305</v>
      </c>
      <c r="P14827">
        <v>0</v>
      </c>
      <c r="Q14827">
        <v>0</v>
      </c>
      <c r="R14827" t="s">
        <v>47326</v>
      </c>
      <c r="S14827" t="s">
        <v>48346</v>
      </c>
      <c r="T14827" t="s">
        <v>49020</v>
      </c>
      <c r="U14827" t="s">
        <v>61782</v>
      </c>
      <c r="W14827" t="s">
        <v>42939</v>
      </c>
      <c r="X14827" t="s">
        <v>47328</v>
      </c>
    </row>
    <row r="14828" spans="1:24">
      <c r="A14828">
        <f>HYPERLINK("https://www.philgeps.gov.ph/GEPSNONPILOT/Tender/SplashBidNoticeAbstractUI.aspx?menuIndex=3&amp;refID=7153520&amp;Result=3","7153520")</f>
        <v>0</v>
      </c>
      <c r="B14828" t="s">
        <v>42</v>
      </c>
      <c r="C14828" t="s">
        <v>17898</v>
      </c>
      <c r="E14828" t="s">
        <v>31611</v>
      </c>
      <c r="F14828" t="s">
        <v>32606</v>
      </c>
      <c r="G14828" t="s">
        <v>32613</v>
      </c>
      <c r="H14828" t="s">
        <v>32623</v>
      </c>
      <c r="I14828" t="s">
        <v>17648</v>
      </c>
      <c r="J14828" t="s">
        <v>41920</v>
      </c>
      <c r="K14828" t="s">
        <v>42722</v>
      </c>
      <c r="M14828" t="s">
        <v>42939</v>
      </c>
      <c r="N14828" t="s">
        <v>47304</v>
      </c>
      <c r="O14828" t="s">
        <v>47305</v>
      </c>
      <c r="P14828">
        <v>0</v>
      </c>
      <c r="Q14828">
        <v>0</v>
      </c>
      <c r="R14828" t="s">
        <v>47326</v>
      </c>
      <c r="S14828" t="s">
        <v>48346</v>
      </c>
      <c r="T14828" t="s">
        <v>49020</v>
      </c>
      <c r="U14828" t="s">
        <v>61783</v>
      </c>
      <c r="W14828" t="s">
        <v>42939</v>
      </c>
      <c r="X14828" t="s">
        <v>47328</v>
      </c>
    </row>
    <row r="14829" spans="1:24">
      <c r="A14829">
        <f>HYPERLINK("https://www.philgeps.gov.ph/GEPSNONPILOT/Tender/SplashBidNoticeAbstractUI.aspx?menuIndex=3&amp;refID=7153739&amp;Result=3","7153739")</f>
        <v>0</v>
      </c>
      <c r="B14829" t="s">
        <v>42</v>
      </c>
      <c r="C14829" t="s">
        <v>17899</v>
      </c>
      <c r="E14829" t="s">
        <v>31612</v>
      </c>
      <c r="F14829" t="s">
        <v>32606</v>
      </c>
      <c r="G14829" t="s">
        <v>32613</v>
      </c>
      <c r="H14829" t="s">
        <v>32623</v>
      </c>
      <c r="I14829" t="s">
        <v>17648</v>
      </c>
      <c r="J14829" t="s">
        <v>41921</v>
      </c>
      <c r="K14829" t="s">
        <v>42867</v>
      </c>
      <c r="M14829" t="s">
        <v>42939</v>
      </c>
      <c r="N14829" t="s">
        <v>47304</v>
      </c>
      <c r="O14829" t="s">
        <v>47305</v>
      </c>
      <c r="P14829">
        <v>0</v>
      </c>
      <c r="Q14829">
        <v>0</v>
      </c>
      <c r="R14829" t="s">
        <v>47326</v>
      </c>
      <c r="S14829" t="s">
        <v>48346</v>
      </c>
      <c r="T14829" t="s">
        <v>49020</v>
      </c>
      <c r="U14829" t="s">
        <v>61784</v>
      </c>
      <c r="W14829" t="s">
        <v>42939</v>
      </c>
      <c r="X14829" t="s">
        <v>47328</v>
      </c>
    </row>
    <row r="14830" spans="1:24">
      <c r="A14830">
        <f>HYPERLINK("https://www.philgeps.gov.ph/GEPSNONPILOT/Tender/SplashBidNoticeAbstractUI.aspx?menuIndex=3&amp;refID=7153493&amp;Result=3","7153493")</f>
        <v>0</v>
      </c>
      <c r="B14830" t="s">
        <v>42</v>
      </c>
      <c r="C14830" t="s">
        <v>17900</v>
      </c>
      <c r="E14830" t="s">
        <v>31613</v>
      </c>
      <c r="F14830" t="s">
        <v>32606</v>
      </c>
      <c r="G14830" t="s">
        <v>32613</v>
      </c>
      <c r="H14830" t="s">
        <v>32623</v>
      </c>
      <c r="I14830" t="s">
        <v>17648</v>
      </c>
      <c r="J14830" t="s">
        <v>41922</v>
      </c>
      <c r="K14830" t="s">
        <v>42634</v>
      </c>
      <c r="M14830" t="s">
        <v>42939</v>
      </c>
      <c r="N14830" t="s">
        <v>47304</v>
      </c>
      <c r="O14830" t="s">
        <v>47305</v>
      </c>
      <c r="P14830">
        <v>0</v>
      </c>
      <c r="Q14830">
        <v>1</v>
      </c>
      <c r="R14830" t="s">
        <v>47326</v>
      </c>
      <c r="S14830" t="s">
        <v>48346</v>
      </c>
      <c r="T14830" t="s">
        <v>49020</v>
      </c>
      <c r="U14830" t="s">
        <v>61785</v>
      </c>
      <c r="W14830" t="s">
        <v>42939</v>
      </c>
      <c r="X14830" t="s">
        <v>47328</v>
      </c>
    </row>
    <row r="14831" spans="1:24">
      <c r="A14831">
        <f>HYPERLINK("https://www.philgeps.gov.ph/GEPSNONPILOT/Tender/SplashBidNoticeAbstractUI.aspx?menuIndex=3&amp;refID=7153528&amp;Result=3","7153528")</f>
        <v>0</v>
      </c>
      <c r="B14831" t="s">
        <v>2473</v>
      </c>
      <c r="C14831" t="s">
        <v>17901</v>
      </c>
      <c r="D14831" t="s">
        <v>19008</v>
      </c>
      <c r="E14831" t="s">
        <v>31614</v>
      </c>
      <c r="F14831" t="s">
        <v>32606</v>
      </c>
      <c r="G14831" t="s">
        <v>32613</v>
      </c>
      <c r="H14831" t="s">
        <v>32623</v>
      </c>
      <c r="I14831" t="s">
        <v>17648</v>
      </c>
      <c r="J14831" t="s">
        <v>37297</v>
      </c>
      <c r="K14831" t="s">
        <v>42683</v>
      </c>
      <c r="M14831" t="s">
        <v>45608</v>
      </c>
      <c r="N14831" t="s">
        <v>47304</v>
      </c>
      <c r="O14831" t="s">
        <v>47305</v>
      </c>
      <c r="P14831">
        <v>0</v>
      </c>
      <c r="Q14831">
        <v>0</v>
      </c>
      <c r="R14831" t="s">
        <v>47326</v>
      </c>
      <c r="S14831" t="s">
        <v>48346</v>
      </c>
      <c r="T14831" t="s">
        <v>49053</v>
      </c>
      <c r="U14831" t="s">
        <v>61786</v>
      </c>
      <c r="W14831" t="s">
        <v>45608</v>
      </c>
      <c r="X14831" t="s">
        <v>47328</v>
      </c>
    </row>
    <row r="14832" spans="1:24">
      <c r="A14832">
        <f>HYPERLINK("https://www.philgeps.gov.ph/GEPSNONPILOT/Tender/SplashBidNoticeAbstractUI.aspx?menuIndex=3&amp;refID=7155329&amp;Result=3","7155329")</f>
        <v>0</v>
      </c>
      <c r="B14832" t="s">
        <v>2339</v>
      </c>
      <c r="C14832" t="s">
        <v>17902</v>
      </c>
      <c r="D14832" t="s">
        <v>19018</v>
      </c>
      <c r="E14832" t="s">
        <v>31615</v>
      </c>
      <c r="F14832" t="s">
        <v>32606</v>
      </c>
      <c r="G14832" t="s">
        <v>32613</v>
      </c>
      <c r="H14832" t="s">
        <v>32623</v>
      </c>
      <c r="I14832" t="s">
        <v>17648</v>
      </c>
      <c r="J14832" t="s">
        <v>41923</v>
      </c>
      <c r="K14832" t="s">
        <v>42646</v>
      </c>
      <c r="M14832" t="s">
        <v>45449</v>
      </c>
      <c r="N14832" t="s">
        <v>47304</v>
      </c>
      <c r="O14832" t="s">
        <v>47305</v>
      </c>
      <c r="P14832">
        <v>0</v>
      </c>
      <c r="Q14832">
        <v>4</v>
      </c>
      <c r="R14832" t="s">
        <v>47326</v>
      </c>
      <c r="S14832" t="s">
        <v>48346</v>
      </c>
      <c r="T14832" t="s">
        <v>49020</v>
      </c>
      <c r="U14832" t="s">
        <v>61787</v>
      </c>
      <c r="V14832" t="s">
        <v>64277</v>
      </c>
      <c r="W14832" t="s">
        <v>45449</v>
      </c>
      <c r="X14832" t="s">
        <v>47327</v>
      </c>
    </row>
    <row r="14833" spans="1:24">
      <c r="A14833">
        <f>HYPERLINK("https://www.philgeps.gov.ph/GEPSNONPILOT/Tender/SplashBidNoticeAbstractUI.aspx?menuIndex=3&amp;refID=7153460&amp;Result=3","7153460")</f>
        <v>0</v>
      </c>
      <c r="B14833" t="s">
        <v>42</v>
      </c>
      <c r="C14833" t="s">
        <v>17903</v>
      </c>
      <c r="E14833" t="s">
        <v>31616</v>
      </c>
      <c r="F14833" t="s">
        <v>32606</v>
      </c>
      <c r="G14833" t="s">
        <v>32613</v>
      </c>
      <c r="H14833" t="s">
        <v>32623</v>
      </c>
      <c r="I14833" t="s">
        <v>17648</v>
      </c>
      <c r="J14833" t="s">
        <v>41924</v>
      </c>
      <c r="K14833" t="s">
        <v>42871</v>
      </c>
      <c r="M14833" t="s">
        <v>42939</v>
      </c>
      <c r="N14833" t="s">
        <v>47304</v>
      </c>
      <c r="O14833" t="s">
        <v>47305</v>
      </c>
      <c r="P14833">
        <v>0</v>
      </c>
      <c r="Q14833">
        <v>1</v>
      </c>
      <c r="R14833" t="s">
        <v>47326</v>
      </c>
      <c r="S14833" t="s">
        <v>48346</v>
      </c>
      <c r="T14833" t="s">
        <v>49020</v>
      </c>
      <c r="U14833" t="s">
        <v>61788</v>
      </c>
      <c r="W14833" t="s">
        <v>42939</v>
      </c>
      <c r="X14833" t="s">
        <v>47328</v>
      </c>
    </row>
    <row r="14834" spans="1:24">
      <c r="A14834">
        <f>HYPERLINK("https://www.philgeps.gov.ph/GEPSNONPILOT/Tender/SplashBidNoticeAbstractUI.aspx?menuIndex=3&amp;refID=7152796&amp;Result=3","7152796")</f>
        <v>0</v>
      </c>
      <c r="B14834" t="s">
        <v>3217</v>
      </c>
      <c r="C14834" t="s">
        <v>17904</v>
      </c>
      <c r="E14834" t="s">
        <v>31617</v>
      </c>
      <c r="F14834" t="s">
        <v>32606</v>
      </c>
      <c r="G14834" t="s">
        <v>32613</v>
      </c>
      <c r="H14834" t="s">
        <v>32623</v>
      </c>
      <c r="I14834" t="s">
        <v>17648</v>
      </c>
      <c r="J14834" t="s">
        <v>41925</v>
      </c>
      <c r="K14834" t="s">
        <v>42624</v>
      </c>
      <c r="M14834" t="s">
        <v>46443</v>
      </c>
      <c r="N14834" t="s">
        <v>47304</v>
      </c>
      <c r="O14834" t="s">
        <v>47305</v>
      </c>
      <c r="P14834">
        <v>0</v>
      </c>
      <c r="Q14834">
        <v>6</v>
      </c>
      <c r="R14834" t="s">
        <v>47326</v>
      </c>
      <c r="S14834" t="s">
        <v>48346</v>
      </c>
      <c r="T14834" t="s">
        <v>49347</v>
      </c>
      <c r="U14834" t="s">
        <v>61765</v>
      </c>
      <c r="V14834" t="s">
        <v>64275</v>
      </c>
      <c r="W14834" t="s">
        <v>46443</v>
      </c>
      <c r="X14834" t="s">
        <v>47328</v>
      </c>
    </row>
    <row r="14835" spans="1:24">
      <c r="A14835">
        <f>HYPERLINK("https://www.philgeps.gov.ph/GEPSNONPILOT/Tender/SplashBidNoticeAbstractUI.aspx?menuIndex=3&amp;refID=7155396&amp;Result=3","7155396")</f>
        <v>0</v>
      </c>
      <c r="B14835" t="s">
        <v>3819</v>
      </c>
      <c r="C14835" t="s">
        <v>17905</v>
      </c>
      <c r="D14835" t="s">
        <v>19057</v>
      </c>
      <c r="E14835" t="s">
        <v>25150</v>
      </c>
      <c r="F14835" t="s">
        <v>32606</v>
      </c>
      <c r="G14835" t="s">
        <v>32613</v>
      </c>
      <c r="H14835" t="s">
        <v>32623</v>
      </c>
      <c r="I14835" t="s">
        <v>17648</v>
      </c>
      <c r="J14835" t="s">
        <v>33071</v>
      </c>
      <c r="K14835" t="s">
        <v>42712</v>
      </c>
      <c r="M14835" t="s">
        <v>47164</v>
      </c>
      <c r="N14835" t="s">
        <v>47304</v>
      </c>
      <c r="O14835" t="s">
        <v>47305</v>
      </c>
      <c r="P14835">
        <v>0</v>
      </c>
      <c r="Q14835">
        <v>0</v>
      </c>
      <c r="R14835" t="s">
        <v>47326</v>
      </c>
      <c r="S14835" t="s">
        <v>48346</v>
      </c>
      <c r="T14835" t="s">
        <v>49268</v>
      </c>
      <c r="U14835" t="s">
        <v>61789</v>
      </c>
      <c r="W14835" t="s">
        <v>47164</v>
      </c>
      <c r="X14835" t="s">
        <v>47327</v>
      </c>
    </row>
    <row r="14836" spans="1:24">
      <c r="A14836">
        <f>HYPERLINK("https://www.philgeps.gov.ph/GEPSNONPILOT/Tender/SplashBidNoticeAbstractUI.aspx?menuIndex=3&amp;refID=7154725&amp;Result=3","7154725")</f>
        <v>0</v>
      </c>
      <c r="B14836" t="s">
        <v>1551</v>
      </c>
      <c r="C14836" t="s">
        <v>17906</v>
      </c>
      <c r="D14836" t="s">
        <v>19046</v>
      </c>
      <c r="E14836" t="s">
        <v>31618</v>
      </c>
      <c r="F14836" t="s">
        <v>32606</v>
      </c>
      <c r="G14836" t="s">
        <v>32613</v>
      </c>
      <c r="H14836" t="s">
        <v>14201</v>
      </c>
      <c r="I14836" t="s">
        <v>7677</v>
      </c>
      <c r="J14836" t="s">
        <v>41926</v>
      </c>
      <c r="K14836" t="s">
        <v>42631</v>
      </c>
      <c r="M14836" t="s">
        <v>44555</v>
      </c>
      <c r="N14836" t="s">
        <v>47304</v>
      </c>
      <c r="O14836" t="s">
        <v>47305</v>
      </c>
      <c r="Q14836">
        <v>4</v>
      </c>
      <c r="R14836" t="s">
        <v>47326</v>
      </c>
      <c r="S14836" t="s">
        <v>48360</v>
      </c>
      <c r="T14836" t="s">
        <v>48996</v>
      </c>
      <c r="U14836" t="s">
        <v>61790</v>
      </c>
      <c r="W14836" t="s">
        <v>44555</v>
      </c>
      <c r="X14836" t="s">
        <v>47328</v>
      </c>
    </row>
    <row r="14837" spans="1:24">
      <c r="A14837">
        <f>HYPERLINK("https://www.philgeps.gov.ph/GEPSNONPILOT/Tender/SplashBidNoticeAbstractUI.aspx?menuIndex=3&amp;refID=7155391&amp;Result=3","7155391")</f>
        <v>0</v>
      </c>
      <c r="B14837" t="s">
        <v>2339</v>
      </c>
      <c r="C14837" t="s">
        <v>17902</v>
      </c>
      <c r="D14837" t="s">
        <v>19018</v>
      </c>
      <c r="E14837" t="s">
        <v>31619</v>
      </c>
      <c r="F14837" t="s">
        <v>32606</v>
      </c>
      <c r="G14837" t="s">
        <v>32613</v>
      </c>
      <c r="H14837" t="s">
        <v>32623</v>
      </c>
      <c r="I14837" t="s">
        <v>17648</v>
      </c>
      <c r="J14837" t="s">
        <v>41927</v>
      </c>
      <c r="K14837" t="s">
        <v>42648</v>
      </c>
      <c r="M14837" t="s">
        <v>45449</v>
      </c>
      <c r="N14837" t="s">
        <v>47304</v>
      </c>
      <c r="O14837" t="s">
        <v>47305</v>
      </c>
      <c r="P14837">
        <v>0</v>
      </c>
      <c r="Q14837">
        <v>4</v>
      </c>
      <c r="R14837" t="s">
        <v>47326</v>
      </c>
      <c r="S14837" t="s">
        <v>48346</v>
      </c>
      <c r="T14837" t="s">
        <v>49020</v>
      </c>
      <c r="U14837" t="s">
        <v>61791</v>
      </c>
      <c r="V14837" t="s">
        <v>64278</v>
      </c>
      <c r="W14837" t="s">
        <v>45449</v>
      </c>
      <c r="X14837" t="s">
        <v>47327</v>
      </c>
    </row>
    <row r="14838" spans="1:24">
      <c r="A14838">
        <f>HYPERLINK("https://www.philgeps.gov.ph/GEPSNONPILOT/Tender/SplashBidNoticeAbstractUI.aspx?menuIndex=3&amp;refID=7155378&amp;Result=3","7155378")</f>
        <v>0</v>
      </c>
      <c r="B14838" t="s">
        <v>534</v>
      </c>
      <c r="C14838" t="s">
        <v>17907</v>
      </c>
      <c r="D14838" t="s">
        <v>19006</v>
      </c>
      <c r="E14838" t="s">
        <v>31620</v>
      </c>
      <c r="F14838" t="s">
        <v>32606</v>
      </c>
      <c r="G14838" t="s">
        <v>32613</v>
      </c>
      <c r="H14838" t="s">
        <v>14201</v>
      </c>
      <c r="I14838" t="s">
        <v>13131</v>
      </c>
      <c r="J14838" t="s">
        <v>32977</v>
      </c>
      <c r="K14838" t="s">
        <v>42623</v>
      </c>
      <c r="M14838" t="s">
        <v>43447</v>
      </c>
      <c r="N14838" t="s">
        <v>47304</v>
      </c>
      <c r="O14838" t="s">
        <v>47305</v>
      </c>
      <c r="P14838">
        <v>0</v>
      </c>
      <c r="Q14838">
        <v>2</v>
      </c>
      <c r="R14838" t="s">
        <v>47326</v>
      </c>
      <c r="S14838" t="s">
        <v>48346</v>
      </c>
      <c r="T14838" t="s">
        <v>49020</v>
      </c>
      <c r="U14838" t="s">
        <v>61792</v>
      </c>
      <c r="W14838" t="s">
        <v>43447</v>
      </c>
      <c r="X14838" t="s">
        <v>47327</v>
      </c>
    </row>
    <row r="14839" spans="1:24">
      <c r="A14839">
        <f>HYPERLINK("https://www.philgeps.gov.ph/GEPSNONPILOT/Tender/SplashBidNoticeAbstractUI.aspx?menuIndex=3&amp;refID=7155356&amp;Result=3","7155356")</f>
        <v>0</v>
      </c>
      <c r="B14839" t="s">
        <v>534</v>
      </c>
      <c r="C14839" t="s">
        <v>17908</v>
      </c>
      <c r="D14839" t="s">
        <v>19006</v>
      </c>
      <c r="E14839" t="s">
        <v>31621</v>
      </c>
      <c r="F14839" t="s">
        <v>32606</v>
      </c>
      <c r="G14839" t="s">
        <v>32613</v>
      </c>
      <c r="H14839" t="s">
        <v>14201</v>
      </c>
      <c r="I14839" t="s">
        <v>4678</v>
      </c>
      <c r="J14839" t="s">
        <v>32868</v>
      </c>
      <c r="K14839" t="s">
        <v>42627</v>
      </c>
      <c r="M14839" t="s">
        <v>43447</v>
      </c>
      <c r="N14839" t="s">
        <v>47304</v>
      </c>
      <c r="O14839" t="s">
        <v>47305</v>
      </c>
      <c r="P14839">
        <v>0</v>
      </c>
      <c r="Q14839">
        <v>2</v>
      </c>
      <c r="R14839" t="s">
        <v>47326</v>
      </c>
      <c r="S14839" t="s">
        <v>48346</v>
      </c>
      <c r="T14839" t="s">
        <v>49020</v>
      </c>
      <c r="U14839" t="s">
        <v>61793</v>
      </c>
      <c r="W14839" t="s">
        <v>43447</v>
      </c>
      <c r="X14839" t="s">
        <v>47327</v>
      </c>
    </row>
    <row r="14840" spans="1:24">
      <c r="A14840">
        <f>HYPERLINK("https://www.philgeps.gov.ph/GEPSNONPILOT/Tender/SplashBidNoticeAbstractUI.aspx?menuIndex=3&amp;refID=7155366&amp;Result=3","7155366")</f>
        <v>0</v>
      </c>
      <c r="B14840" t="s">
        <v>2339</v>
      </c>
      <c r="C14840" t="s">
        <v>17902</v>
      </c>
      <c r="D14840" t="s">
        <v>19018</v>
      </c>
      <c r="E14840" t="s">
        <v>31622</v>
      </c>
      <c r="F14840" t="s">
        <v>32606</v>
      </c>
      <c r="G14840" t="s">
        <v>32613</v>
      </c>
      <c r="H14840" t="s">
        <v>32623</v>
      </c>
      <c r="I14840" t="s">
        <v>17648</v>
      </c>
      <c r="J14840" t="s">
        <v>41928</v>
      </c>
      <c r="K14840" t="s">
        <v>42646</v>
      </c>
      <c r="M14840" t="s">
        <v>45449</v>
      </c>
      <c r="N14840" t="s">
        <v>47304</v>
      </c>
      <c r="O14840" t="s">
        <v>47305</v>
      </c>
      <c r="P14840">
        <v>0</v>
      </c>
      <c r="Q14840">
        <v>4</v>
      </c>
      <c r="R14840" t="s">
        <v>47326</v>
      </c>
      <c r="S14840" t="s">
        <v>48346</v>
      </c>
      <c r="T14840" t="s">
        <v>49020</v>
      </c>
      <c r="U14840" t="s">
        <v>61794</v>
      </c>
      <c r="V14840" t="s">
        <v>64279</v>
      </c>
      <c r="W14840" t="s">
        <v>45449</v>
      </c>
      <c r="X14840" t="s">
        <v>47327</v>
      </c>
    </row>
    <row r="14841" spans="1:24">
      <c r="A14841">
        <f>HYPERLINK("https://www.philgeps.gov.ph/GEPSNONPILOT/Tender/SplashBidNoticeAbstractUI.aspx?menuIndex=3&amp;refID=7155355&amp;Result=3","7155355")</f>
        <v>0</v>
      </c>
      <c r="B14841" t="s">
        <v>2339</v>
      </c>
      <c r="C14841" t="s">
        <v>17902</v>
      </c>
      <c r="D14841" t="s">
        <v>19018</v>
      </c>
      <c r="E14841" t="s">
        <v>31623</v>
      </c>
      <c r="F14841" t="s">
        <v>32606</v>
      </c>
      <c r="G14841" t="s">
        <v>32613</v>
      </c>
      <c r="H14841" t="s">
        <v>32623</v>
      </c>
      <c r="I14841" t="s">
        <v>17648</v>
      </c>
      <c r="J14841" t="s">
        <v>41929</v>
      </c>
      <c r="K14841" t="s">
        <v>42646</v>
      </c>
      <c r="M14841" t="s">
        <v>45449</v>
      </c>
      <c r="N14841" t="s">
        <v>47304</v>
      </c>
      <c r="O14841" t="s">
        <v>47305</v>
      </c>
      <c r="P14841">
        <v>0</v>
      </c>
      <c r="Q14841">
        <v>4</v>
      </c>
      <c r="R14841" t="s">
        <v>47326</v>
      </c>
      <c r="S14841" t="s">
        <v>48346</v>
      </c>
      <c r="T14841" t="s">
        <v>49020</v>
      </c>
      <c r="U14841" t="s">
        <v>61795</v>
      </c>
      <c r="V14841" t="s">
        <v>64280</v>
      </c>
      <c r="W14841" t="s">
        <v>45449</v>
      </c>
      <c r="X14841" t="s">
        <v>47327</v>
      </c>
    </row>
    <row r="14842" spans="1:24">
      <c r="A14842">
        <f>HYPERLINK("https://www.philgeps.gov.ph/GEPSNONPILOT/Tender/SplashBidNoticeAbstractUI.aspx?menuIndex=3&amp;refID=7141075&amp;Result=3","7141075")</f>
        <v>0</v>
      </c>
      <c r="B14842" t="s">
        <v>1363</v>
      </c>
      <c r="C14842" t="s">
        <v>17909</v>
      </c>
      <c r="D14842" t="s">
        <v>18992</v>
      </c>
      <c r="E14842" t="s">
        <v>31624</v>
      </c>
      <c r="F14842" t="s">
        <v>32606</v>
      </c>
      <c r="G14842" t="s">
        <v>32613</v>
      </c>
      <c r="H14842" t="s">
        <v>32623</v>
      </c>
      <c r="I14842" t="s">
        <v>17648</v>
      </c>
      <c r="J14842" t="s">
        <v>41930</v>
      </c>
      <c r="K14842" t="s">
        <v>42636</v>
      </c>
      <c r="M14842" t="s">
        <v>44339</v>
      </c>
      <c r="N14842" t="s">
        <v>47304</v>
      </c>
      <c r="O14842" t="s">
        <v>47305</v>
      </c>
      <c r="P14842">
        <v>0</v>
      </c>
      <c r="Q14842">
        <v>0</v>
      </c>
      <c r="R14842" t="s">
        <v>47326</v>
      </c>
      <c r="S14842" t="s">
        <v>48346</v>
      </c>
      <c r="T14842" t="s">
        <v>49339</v>
      </c>
      <c r="U14842" t="s">
        <v>61796</v>
      </c>
      <c r="W14842" t="s">
        <v>44339</v>
      </c>
      <c r="X14842" t="s">
        <v>47334</v>
      </c>
    </row>
    <row r="14843" spans="1:24">
      <c r="A14843">
        <f>HYPERLINK("https://www.philgeps.gov.ph/GEPSNONPILOT/Tender/SplashBidNoticeAbstractUI.aspx?menuIndex=3&amp;refID=7153571&amp;Result=3","7153571")</f>
        <v>0</v>
      </c>
      <c r="B14843" t="s">
        <v>2473</v>
      </c>
      <c r="C14843" t="s">
        <v>17910</v>
      </c>
      <c r="D14843" t="s">
        <v>19008</v>
      </c>
      <c r="E14843" t="s">
        <v>31625</v>
      </c>
      <c r="F14843" t="s">
        <v>32606</v>
      </c>
      <c r="G14843" t="s">
        <v>32613</v>
      </c>
      <c r="H14843" t="s">
        <v>32623</v>
      </c>
      <c r="I14843" t="s">
        <v>17648</v>
      </c>
      <c r="J14843" t="s">
        <v>33039</v>
      </c>
      <c r="K14843" t="s">
        <v>42768</v>
      </c>
      <c r="M14843" t="s">
        <v>45608</v>
      </c>
      <c r="N14843" t="s">
        <v>47304</v>
      </c>
      <c r="O14843" t="s">
        <v>47305</v>
      </c>
      <c r="P14843">
        <v>0</v>
      </c>
      <c r="Q14843">
        <v>0</v>
      </c>
      <c r="R14843" t="s">
        <v>47326</v>
      </c>
      <c r="S14843" t="s">
        <v>48346</v>
      </c>
      <c r="T14843" t="s">
        <v>49053</v>
      </c>
      <c r="U14843" t="s">
        <v>61797</v>
      </c>
      <c r="W14843" t="s">
        <v>45608</v>
      </c>
      <c r="X14843" t="s">
        <v>47328</v>
      </c>
    </row>
    <row r="14844" spans="1:24">
      <c r="A14844">
        <f>HYPERLINK("https://www.philgeps.gov.ph/GEPSNONPILOT/Tender/SplashBidNoticeAbstractUI.aspx?menuIndex=3&amp;refID=7155411&amp;Result=3","7155411")</f>
        <v>0</v>
      </c>
      <c r="B14844" t="s">
        <v>534</v>
      </c>
      <c r="C14844" t="s">
        <v>4862</v>
      </c>
      <c r="D14844" t="s">
        <v>19006</v>
      </c>
      <c r="E14844" t="s">
        <v>31626</v>
      </c>
      <c r="F14844" t="s">
        <v>32606</v>
      </c>
      <c r="G14844" t="s">
        <v>32613</v>
      </c>
      <c r="H14844" t="s">
        <v>14201</v>
      </c>
      <c r="I14844" t="s">
        <v>4120</v>
      </c>
      <c r="J14844" t="s">
        <v>32973</v>
      </c>
      <c r="K14844" t="s">
        <v>42622</v>
      </c>
      <c r="M14844" t="s">
        <v>43447</v>
      </c>
      <c r="N14844" t="s">
        <v>47304</v>
      </c>
      <c r="O14844" t="s">
        <v>47305</v>
      </c>
      <c r="P14844">
        <v>0</v>
      </c>
      <c r="Q14844">
        <v>1</v>
      </c>
      <c r="R14844" t="s">
        <v>47326</v>
      </c>
      <c r="S14844" t="s">
        <v>48346</v>
      </c>
      <c r="T14844" t="s">
        <v>49020</v>
      </c>
      <c r="U14844" t="s">
        <v>61798</v>
      </c>
      <c r="W14844" t="s">
        <v>43447</v>
      </c>
      <c r="X14844" t="s">
        <v>47327</v>
      </c>
    </row>
    <row r="14845" spans="1:24">
      <c r="A14845">
        <f>HYPERLINK("https://www.philgeps.gov.ph/GEPSNONPILOT/Tender/SplashBidNoticeAbstractUI.aspx?menuIndex=3&amp;refID=7155299&amp;Result=3","7155299")</f>
        <v>0</v>
      </c>
      <c r="B14845" t="s">
        <v>2339</v>
      </c>
      <c r="C14845" t="s">
        <v>17911</v>
      </c>
      <c r="D14845" t="s">
        <v>19018</v>
      </c>
      <c r="E14845" t="s">
        <v>31627</v>
      </c>
      <c r="F14845" t="s">
        <v>32606</v>
      </c>
      <c r="G14845" t="s">
        <v>32613</v>
      </c>
      <c r="H14845" t="s">
        <v>32623</v>
      </c>
      <c r="I14845" t="s">
        <v>17648</v>
      </c>
      <c r="J14845" t="s">
        <v>41931</v>
      </c>
      <c r="K14845" t="s">
        <v>42648</v>
      </c>
      <c r="M14845" t="s">
        <v>45449</v>
      </c>
      <c r="N14845" t="s">
        <v>47304</v>
      </c>
      <c r="O14845" t="s">
        <v>47305</v>
      </c>
      <c r="P14845">
        <v>0</v>
      </c>
      <c r="Q14845">
        <v>4</v>
      </c>
      <c r="R14845" t="s">
        <v>47326</v>
      </c>
      <c r="S14845" t="s">
        <v>48346</v>
      </c>
      <c r="T14845" t="s">
        <v>49020</v>
      </c>
      <c r="U14845" t="s">
        <v>61799</v>
      </c>
      <c r="V14845" t="s">
        <v>64281</v>
      </c>
      <c r="W14845" t="s">
        <v>45449</v>
      </c>
      <c r="X14845" t="s">
        <v>47327</v>
      </c>
    </row>
    <row r="14846" spans="1:24">
      <c r="A14846">
        <f>HYPERLINK("https://www.philgeps.gov.ph/GEPSNONPILOT/Tender/SplashBidNoticeAbstractUI.aspx?menuIndex=3&amp;refID=7155432&amp;Result=3","7155432")</f>
        <v>0</v>
      </c>
      <c r="B14846" t="s">
        <v>3156</v>
      </c>
      <c r="C14846" t="s">
        <v>17912</v>
      </c>
      <c r="D14846" t="s">
        <v>19021</v>
      </c>
      <c r="E14846" t="s">
        <v>31628</v>
      </c>
      <c r="F14846" t="s">
        <v>32606</v>
      </c>
      <c r="G14846" t="s">
        <v>32613</v>
      </c>
      <c r="H14846" t="s">
        <v>14201</v>
      </c>
      <c r="I14846" t="s">
        <v>7529</v>
      </c>
      <c r="J14846" t="s">
        <v>41932</v>
      </c>
      <c r="K14846" t="s">
        <v>42631</v>
      </c>
      <c r="M14846" t="s">
        <v>46374</v>
      </c>
      <c r="N14846" t="s">
        <v>47304</v>
      </c>
      <c r="O14846" t="s">
        <v>47305</v>
      </c>
      <c r="Q14846">
        <v>6</v>
      </c>
      <c r="R14846" t="s">
        <v>47326</v>
      </c>
      <c r="S14846" t="s">
        <v>48361</v>
      </c>
      <c r="T14846" t="s">
        <v>49167</v>
      </c>
      <c r="U14846" t="s">
        <v>61800</v>
      </c>
      <c r="W14846" t="s">
        <v>46374</v>
      </c>
      <c r="X14846" t="s">
        <v>47327</v>
      </c>
    </row>
    <row r="14847" spans="1:24">
      <c r="A14847">
        <f>HYPERLINK("https://www.philgeps.gov.ph/GEPSNONPILOT/Tender/SplashBidNoticeAbstractUI.aspx?menuIndex=3&amp;refID=7155312&amp;Result=3","7155312")</f>
        <v>0</v>
      </c>
      <c r="B14847" t="s">
        <v>2339</v>
      </c>
      <c r="C14847" t="s">
        <v>17913</v>
      </c>
      <c r="D14847" t="s">
        <v>19018</v>
      </c>
      <c r="E14847" t="s">
        <v>31629</v>
      </c>
      <c r="F14847" t="s">
        <v>32606</v>
      </c>
      <c r="G14847" t="s">
        <v>32613</v>
      </c>
      <c r="H14847" t="s">
        <v>32623</v>
      </c>
      <c r="I14847" t="s">
        <v>17648</v>
      </c>
      <c r="J14847" t="s">
        <v>41931</v>
      </c>
      <c r="K14847" t="s">
        <v>42648</v>
      </c>
      <c r="M14847" t="s">
        <v>45449</v>
      </c>
      <c r="N14847" t="s">
        <v>47304</v>
      </c>
      <c r="O14847" t="s">
        <v>47305</v>
      </c>
      <c r="P14847">
        <v>0</v>
      </c>
      <c r="Q14847">
        <v>4</v>
      </c>
      <c r="R14847" t="s">
        <v>47326</v>
      </c>
      <c r="S14847" t="s">
        <v>48346</v>
      </c>
      <c r="T14847" t="s">
        <v>49020</v>
      </c>
      <c r="U14847" t="s">
        <v>61799</v>
      </c>
      <c r="V14847" t="s">
        <v>64281</v>
      </c>
      <c r="W14847" t="s">
        <v>45449</v>
      </c>
      <c r="X14847" t="s">
        <v>47327</v>
      </c>
    </row>
    <row r="14848" spans="1:24">
      <c r="A14848">
        <f>HYPERLINK("https://www.philgeps.gov.ph/GEPSNONPILOT/Tender/SplashBidNoticeAbstractUI.aspx?menuIndex=3&amp;refID=7155663&amp;Result=3","7155663")</f>
        <v>0</v>
      </c>
      <c r="B14848" t="s">
        <v>3818</v>
      </c>
      <c r="C14848" t="s">
        <v>17914</v>
      </c>
      <c r="E14848" t="s">
        <v>25027</v>
      </c>
      <c r="F14848" t="s">
        <v>32606</v>
      </c>
      <c r="G14848" t="s">
        <v>32613</v>
      </c>
      <c r="H14848" t="s">
        <v>14201</v>
      </c>
      <c r="I14848" t="s">
        <v>4112</v>
      </c>
      <c r="J14848" t="s">
        <v>41933</v>
      </c>
      <c r="K14848" t="s">
        <v>42624</v>
      </c>
      <c r="M14848" t="s">
        <v>47163</v>
      </c>
      <c r="N14848" t="s">
        <v>47304</v>
      </c>
      <c r="O14848" t="s">
        <v>47305</v>
      </c>
      <c r="P14848">
        <v>0</v>
      </c>
      <c r="Q14848">
        <v>15</v>
      </c>
      <c r="R14848" t="s">
        <v>47326</v>
      </c>
      <c r="S14848" t="s">
        <v>48346</v>
      </c>
      <c r="T14848" t="s">
        <v>49071</v>
      </c>
      <c r="U14848" t="s">
        <v>61801</v>
      </c>
      <c r="W14848" t="s">
        <v>64557</v>
      </c>
      <c r="X14848" t="s">
        <v>47327</v>
      </c>
    </row>
    <row r="14849" spans="1:24">
      <c r="A14849">
        <f>HYPERLINK("https://www.philgeps.gov.ph/GEPSNONPILOT/Tender/SplashBidNoticeAbstractUI.aspx?menuIndex=3&amp;refID=7155661&amp;Result=3","7155661")</f>
        <v>0</v>
      </c>
      <c r="B14849" t="s">
        <v>3820</v>
      </c>
      <c r="C14849" t="s">
        <v>17915</v>
      </c>
      <c r="D14849" t="s">
        <v>19024</v>
      </c>
      <c r="E14849" t="s">
        <v>19233</v>
      </c>
      <c r="F14849" t="s">
        <v>32606</v>
      </c>
      <c r="G14849" t="s">
        <v>32613</v>
      </c>
      <c r="H14849" t="s">
        <v>14201</v>
      </c>
      <c r="I14849" t="s">
        <v>6931</v>
      </c>
      <c r="J14849" t="s">
        <v>33195</v>
      </c>
      <c r="K14849" t="s">
        <v>42631</v>
      </c>
      <c r="M14849" t="s">
        <v>47165</v>
      </c>
      <c r="N14849" t="s">
        <v>47304</v>
      </c>
      <c r="O14849" t="s">
        <v>47305</v>
      </c>
      <c r="P14849">
        <v>0</v>
      </c>
      <c r="Q14849">
        <v>0</v>
      </c>
      <c r="R14849" t="s">
        <v>47326</v>
      </c>
      <c r="S14849" t="s">
        <v>48346</v>
      </c>
      <c r="T14849" t="s">
        <v>49111</v>
      </c>
      <c r="U14849" t="s">
        <v>56932</v>
      </c>
      <c r="W14849" t="s">
        <v>47165</v>
      </c>
      <c r="X14849" t="s">
        <v>47327</v>
      </c>
    </row>
    <row r="14850" spans="1:24">
      <c r="A14850">
        <f>HYPERLINK("https://www.philgeps.gov.ph/GEPSNONPILOT/Tender/SplashBidNoticeAbstractUI.aspx?menuIndex=3&amp;refID=7155624&amp;Result=3","7155624")</f>
        <v>0</v>
      </c>
      <c r="B14850" t="s">
        <v>1529</v>
      </c>
      <c r="C14850" t="s">
        <v>17916</v>
      </c>
      <c r="D14850" t="s">
        <v>18993</v>
      </c>
      <c r="E14850" t="s">
        <v>31630</v>
      </c>
      <c r="F14850" t="s">
        <v>32606</v>
      </c>
      <c r="G14850" t="s">
        <v>32618</v>
      </c>
      <c r="H14850" t="s">
        <v>14201</v>
      </c>
      <c r="I14850" t="s">
        <v>32640</v>
      </c>
      <c r="J14850" t="s">
        <v>41934</v>
      </c>
      <c r="K14850" t="s">
        <v>42636</v>
      </c>
      <c r="M14850" t="s">
        <v>47166</v>
      </c>
      <c r="N14850" t="s">
        <v>47304</v>
      </c>
      <c r="O14850" t="s">
        <v>47305</v>
      </c>
      <c r="P14850">
        <v>0</v>
      </c>
      <c r="Q14850">
        <v>32</v>
      </c>
      <c r="R14850" t="s">
        <v>47326</v>
      </c>
      <c r="S14850" t="s">
        <v>48346</v>
      </c>
      <c r="T14850" t="s">
        <v>48986</v>
      </c>
      <c r="U14850" t="s">
        <v>61802</v>
      </c>
      <c r="W14850" t="s">
        <v>47166</v>
      </c>
      <c r="X14850" t="s">
        <v>47327</v>
      </c>
    </row>
    <row r="14851" spans="1:24">
      <c r="A14851">
        <f>HYPERLINK("https://www.philgeps.gov.ph/GEPSNONPILOT/Tender/SplashBidNoticeAbstractUI.aspx?menuIndex=3&amp;refID=7155603&amp;Result=3","7155603")</f>
        <v>0</v>
      </c>
      <c r="B14851" t="s">
        <v>1043</v>
      </c>
      <c r="C14851" t="s">
        <v>17917</v>
      </c>
      <c r="D14851" t="s">
        <v>18991</v>
      </c>
      <c r="E14851" t="s">
        <v>31631</v>
      </c>
      <c r="F14851" t="s">
        <v>32606</v>
      </c>
      <c r="G14851" t="s">
        <v>32613</v>
      </c>
      <c r="H14851" t="s">
        <v>32625</v>
      </c>
      <c r="I14851" t="s">
        <v>32625</v>
      </c>
      <c r="J14851" t="s">
        <v>41935</v>
      </c>
      <c r="K14851" t="s">
        <v>42707</v>
      </c>
      <c r="M14851" t="s">
        <v>45299</v>
      </c>
      <c r="N14851" t="s">
        <v>47304</v>
      </c>
      <c r="O14851" t="s">
        <v>47305</v>
      </c>
      <c r="P14851">
        <v>0</v>
      </c>
      <c r="Q14851">
        <v>8</v>
      </c>
      <c r="R14851" t="s">
        <v>47326</v>
      </c>
      <c r="S14851" t="s">
        <v>48346</v>
      </c>
      <c r="T14851" t="s">
        <v>48986</v>
      </c>
      <c r="U14851" t="s">
        <v>61803</v>
      </c>
      <c r="W14851" t="s">
        <v>45299</v>
      </c>
      <c r="X14851" t="s">
        <v>47327</v>
      </c>
    </row>
    <row r="14852" spans="1:24">
      <c r="A14852">
        <f>HYPERLINK("https://www.philgeps.gov.ph/GEPSNONPILOT/Tender/SplashBidNoticeAbstractUI.aspx?menuIndex=3&amp;refID=7155599&amp;Result=3","7155599")</f>
        <v>0</v>
      </c>
      <c r="B14852" t="s">
        <v>3821</v>
      </c>
      <c r="C14852" t="s">
        <v>17918</v>
      </c>
      <c r="D14852" t="s">
        <v>19037</v>
      </c>
      <c r="E14852" t="s">
        <v>25204</v>
      </c>
      <c r="F14852" t="s">
        <v>32606</v>
      </c>
      <c r="G14852" t="s">
        <v>32613</v>
      </c>
      <c r="H14852" t="s">
        <v>14201</v>
      </c>
      <c r="I14852" t="s">
        <v>32629</v>
      </c>
      <c r="J14852" t="s">
        <v>32795</v>
      </c>
      <c r="K14852" t="s">
        <v>42639</v>
      </c>
      <c r="M14852" t="s">
        <v>47167</v>
      </c>
      <c r="N14852" t="s">
        <v>47304</v>
      </c>
      <c r="O14852" t="s">
        <v>47305</v>
      </c>
      <c r="P14852">
        <v>0</v>
      </c>
      <c r="Q14852">
        <v>0</v>
      </c>
      <c r="R14852" t="s">
        <v>47326</v>
      </c>
      <c r="S14852" t="s">
        <v>48346</v>
      </c>
      <c r="T14852" t="s">
        <v>49099</v>
      </c>
      <c r="U14852" t="s">
        <v>61804</v>
      </c>
      <c r="V14852" t="s">
        <v>64282</v>
      </c>
      <c r="W14852" t="s">
        <v>47167</v>
      </c>
      <c r="X14852" t="s">
        <v>47327</v>
      </c>
    </row>
    <row r="14853" spans="1:24">
      <c r="A14853">
        <f>HYPERLINK("https://www.philgeps.gov.ph/GEPSNONPILOT/Tender/SplashBidNoticeAbstractUI.aspx?menuIndex=3&amp;refID=7155684&amp;Result=3","7155684")</f>
        <v>0</v>
      </c>
      <c r="B14853" t="s">
        <v>42</v>
      </c>
      <c r="C14853" t="s">
        <v>17919</v>
      </c>
      <c r="E14853" t="s">
        <v>31632</v>
      </c>
      <c r="F14853" t="s">
        <v>32606</v>
      </c>
      <c r="G14853" t="s">
        <v>32613</v>
      </c>
      <c r="H14853" t="s">
        <v>14201</v>
      </c>
      <c r="I14853" t="s">
        <v>7064</v>
      </c>
      <c r="J14853" t="s">
        <v>32796</v>
      </c>
      <c r="K14853" t="s">
        <v>42648</v>
      </c>
      <c r="M14853" t="s">
        <v>42939</v>
      </c>
      <c r="N14853" t="s">
        <v>47304</v>
      </c>
      <c r="O14853" t="s">
        <v>47305</v>
      </c>
      <c r="P14853">
        <v>0</v>
      </c>
      <c r="Q14853">
        <v>18</v>
      </c>
      <c r="R14853" t="s">
        <v>47326</v>
      </c>
      <c r="S14853" t="s">
        <v>48346</v>
      </c>
      <c r="T14853" t="s">
        <v>49020</v>
      </c>
      <c r="U14853" t="s">
        <v>61805</v>
      </c>
      <c r="W14853" t="s">
        <v>42939</v>
      </c>
      <c r="X14853" t="s">
        <v>47327</v>
      </c>
    </row>
    <row r="14854" spans="1:24">
      <c r="A14854">
        <f>HYPERLINK("https://www.philgeps.gov.ph/GEPSNONPILOT/Tender/SplashBidNoticeAbstractUI.aspx?menuIndex=3&amp;refID=7155572&amp;Result=3","7155572")</f>
        <v>0</v>
      </c>
      <c r="B14854" t="s">
        <v>3119</v>
      </c>
      <c r="C14854" t="s">
        <v>17920</v>
      </c>
      <c r="D14854" t="s">
        <v>19006</v>
      </c>
      <c r="E14854" t="s">
        <v>31633</v>
      </c>
      <c r="F14854" t="s">
        <v>32606</v>
      </c>
      <c r="G14854" t="s">
        <v>32613</v>
      </c>
      <c r="H14854" t="s">
        <v>32623</v>
      </c>
      <c r="I14854" t="s">
        <v>17648</v>
      </c>
      <c r="J14854" t="s">
        <v>32795</v>
      </c>
      <c r="K14854" t="s">
        <v>42636</v>
      </c>
      <c r="M14854" t="s">
        <v>46329</v>
      </c>
      <c r="N14854" t="s">
        <v>47304</v>
      </c>
      <c r="O14854" t="s">
        <v>47305</v>
      </c>
      <c r="P14854">
        <v>0</v>
      </c>
      <c r="Q14854">
        <v>2</v>
      </c>
      <c r="R14854" t="s">
        <v>47326</v>
      </c>
      <c r="S14854" t="s">
        <v>48346</v>
      </c>
      <c r="T14854" t="s">
        <v>48998</v>
      </c>
      <c r="U14854" t="s">
        <v>61806</v>
      </c>
      <c r="V14854" t="s">
        <v>63747</v>
      </c>
      <c r="W14854" t="s">
        <v>46329</v>
      </c>
      <c r="X14854" t="s">
        <v>47327</v>
      </c>
    </row>
    <row r="14855" spans="1:24">
      <c r="A14855">
        <f>HYPERLINK("https://www.philgeps.gov.ph/GEPSNONPILOT/Tender/SplashBidNoticeAbstractUI.aspx?menuIndex=3&amp;refID=7155562&amp;Result=3","7155562")</f>
        <v>0</v>
      </c>
      <c r="B14855" t="s">
        <v>1043</v>
      </c>
      <c r="C14855" t="s">
        <v>17921</v>
      </c>
      <c r="D14855" t="s">
        <v>18991</v>
      </c>
      <c r="E14855" t="s">
        <v>31634</v>
      </c>
      <c r="F14855" t="s">
        <v>32606</v>
      </c>
      <c r="G14855" t="s">
        <v>32613</v>
      </c>
      <c r="H14855" t="s">
        <v>32625</v>
      </c>
      <c r="I14855" t="s">
        <v>32625</v>
      </c>
      <c r="J14855" t="s">
        <v>40942</v>
      </c>
      <c r="K14855" t="s">
        <v>42707</v>
      </c>
      <c r="M14855" t="s">
        <v>45299</v>
      </c>
      <c r="N14855" t="s">
        <v>47304</v>
      </c>
      <c r="O14855" t="s">
        <v>47305</v>
      </c>
      <c r="P14855">
        <v>0</v>
      </c>
      <c r="Q14855">
        <v>11</v>
      </c>
      <c r="R14855" t="s">
        <v>47326</v>
      </c>
      <c r="S14855" t="s">
        <v>48346</v>
      </c>
      <c r="T14855" t="s">
        <v>48986</v>
      </c>
      <c r="U14855" t="s">
        <v>61803</v>
      </c>
      <c r="W14855" t="s">
        <v>45299</v>
      </c>
      <c r="X14855" t="s">
        <v>47327</v>
      </c>
    </row>
    <row r="14856" spans="1:24">
      <c r="A14856">
        <f>HYPERLINK("https://www.philgeps.gov.ph/GEPSNONPILOT/Tender/SplashBidNoticeAbstractUI.aspx?menuIndex=3&amp;refID=7145603&amp;Result=3","7145603")</f>
        <v>0</v>
      </c>
      <c r="B14856" t="s">
        <v>3822</v>
      </c>
      <c r="C14856" t="s">
        <v>17922</v>
      </c>
      <c r="D14856" t="s">
        <v>19038</v>
      </c>
      <c r="E14856" t="s">
        <v>20399</v>
      </c>
      <c r="F14856" t="s">
        <v>32608</v>
      </c>
      <c r="G14856" t="s">
        <v>32613</v>
      </c>
      <c r="H14856" t="s">
        <v>14201</v>
      </c>
      <c r="I14856" t="s">
        <v>7064</v>
      </c>
      <c r="J14856" t="s">
        <v>41936</v>
      </c>
      <c r="K14856" t="s">
        <v>42622</v>
      </c>
      <c r="M14856" t="s">
        <v>47168</v>
      </c>
      <c r="N14856" t="s">
        <v>47304</v>
      </c>
      <c r="O14856" t="s">
        <v>47305</v>
      </c>
      <c r="P14856">
        <v>0</v>
      </c>
      <c r="Q14856">
        <v>2</v>
      </c>
      <c r="R14856" t="s">
        <v>47326</v>
      </c>
      <c r="S14856" t="s">
        <v>48346</v>
      </c>
      <c r="T14856" t="s">
        <v>49014</v>
      </c>
      <c r="U14856" t="s">
        <v>61807</v>
      </c>
      <c r="V14856" t="s">
        <v>64283</v>
      </c>
      <c r="W14856" t="s">
        <v>47168</v>
      </c>
      <c r="X14856" t="s">
        <v>47332</v>
      </c>
    </row>
    <row r="14857" spans="1:24">
      <c r="A14857">
        <f>HYPERLINK("https://www.philgeps.gov.ph/GEPSNONPILOT/Tender/SplashBidNoticeAbstractUI.aspx?menuIndex=3&amp;refID=7155523&amp;Result=3","7155523")</f>
        <v>0</v>
      </c>
      <c r="B14857" t="s">
        <v>2604</v>
      </c>
      <c r="C14857" t="s">
        <v>17923</v>
      </c>
      <c r="D14857" t="s">
        <v>19056</v>
      </c>
      <c r="E14857" t="s">
        <v>31635</v>
      </c>
      <c r="F14857" t="s">
        <v>32606</v>
      </c>
      <c r="G14857" t="s">
        <v>32613</v>
      </c>
      <c r="H14857" t="s">
        <v>32623</v>
      </c>
      <c r="I14857" t="s">
        <v>17648</v>
      </c>
      <c r="J14857" t="s">
        <v>41937</v>
      </c>
      <c r="K14857" t="s">
        <v>42646</v>
      </c>
      <c r="M14857" t="s">
        <v>45748</v>
      </c>
      <c r="N14857" t="s">
        <v>47304</v>
      </c>
      <c r="O14857" t="s">
        <v>47305</v>
      </c>
      <c r="P14857">
        <v>0</v>
      </c>
      <c r="Q14857">
        <v>0</v>
      </c>
      <c r="R14857" t="s">
        <v>47326</v>
      </c>
      <c r="S14857" t="s">
        <v>48346</v>
      </c>
      <c r="T14857" t="s">
        <v>49068</v>
      </c>
      <c r="U14857" t="s">
        <v>61808</v>
      </c>
      <c r="V14857" t="s">
        <v>64284</v>
      </c>
      <c r="W14857" t="s">
        <v>45748</v>
      </c>
      <c r="X14857" t="s">
        <v>47327</v>
      </c>
    </row>
    <row r="14858" spans="1:24">
      <c r="A14858">
        <f>HYPERLINK("https://www.philgeps.gov.ph/GEPSNONPILOT/Tender/SplashBidNoticeAbstractUI.aspx?menuIndex=3&amp;refID=7155691&amp;Result=3","7155691")</f>
        <v>0</v>
      </c>
      <c r="B14858" t="s">
        <v>3444</v>
      </c>
      <c r="C14858" t="s">
        <v>4706</v>
      </c>
      <c r="D14858" t="s">
        <v>19001</v>
      </c>
      <c r="E14858" t="s">
        <v>31636</v>
      </c>
      <c r="F14858" t="s">
        <v>32606</v>
      </c>
      <c r="G14858" t="s">
        <v>32613</v>
      </c>
      <c r="H14858" t="s">
        <v>14201</v>
      </c>
      <c r="I14858" t="s">
        <v>7677</v>
      </c>
      <c r="J14858" t="s">
        <v>41938</v>
      </c>
      <c r="K14858" t="s">
        <v>42630</v>
      </c>
      <c r="M14858" t="s">
        <v>46704</v>
      </c>
      <c r="N14858" t="s">
        <v>47304</v>
      </c>
      <c r="O14858" t="s">
        <v>47305</v>
      </c>
      <c r="P14858">
        <v>0</v>
      </c>
      <c r="Q14858">
        <v>11</v>
      </c>
      <c r="R14858" t="s">
        <v>47326</v>
      </c>
      <c r="S14858" t="s">
        <v>48346</v>
      </c>
      <c r="T14858" t="s">
        <v>49020</v>
      </c>
      <c r="U14858" t="s">
        <v>61809</v>
      </c>
      <c r="W14858" t="s">
        <v>64540</v>
      </c>
      <c r="X14858" t="s">
        <v>47327</v>
      </c>
    </row>
    <row r="14859" spans="1:24">
      <c r="A14859">
        <f>HYPERLINK("https://www.philgeps.gov.ph/GEPSNONPILOT/Tender/SplashBidNoticeAbstractUI.aspx?menuIndex=3&amp;refID=7155426&amp;Result=3","7155426")</f>
        <v>0</v>
      </c>
      <c r="B14859" t="s">
        <v>2339</v>
      </c>
      <c r="C14859" t="s">
        <v>5080</v>
      </c>
      <c r="D14859" t="s">
        <v>19018</v>
      </c>
      <c r="E14859" t="s">
        <v>31637</v>
      </c>
      <c r="F14859" t="s">
        <v>32606</v>
      </c>
      <c r="G14859" t="s">
        <v>32613</v>
      </c>
      <c r="H14859" t="s">
        <v>32623</v>
      </c>
      <c r="I14859" t="s">
        <v>17648</v>
      </c>
      <c r="J14859" t="s">
        <v>41939</v>
      </c>
      <c r="K14859" t="s">
        <v>42636</v>
      </c>
      <c r="M14859" t="s">
        <v>45449</v>
      </c>
      <c r="N14859" t="s">
        <v>47304</v>
      </c>
      <c r="O14859" t="s">
        <v>47305</v>
      </c>
      <c r="P14859">
        <v>0</v>
      </c>
      <c r="Q14859">
        <v>4</v>
      </c>
      <c r="R14859" t="s">
        <v>47326</v>
      </c>
      <c r="S14859" t="s">
        <v>48346</v>
      </c>
      <c r="T14859" t="s">
        <v>49020</v>
      </c>
      <c r="U14859" t="s">
        <v>61810</v>
      </c>
      <c r="V14859" t="s">
        <v>64285</v>
      </c>
      <c r="W14859" t="s">
        <v>45449</v>
      </c>
      <c r="X14859" t="s">
        <v>47327</v>
      </c>
    </row>
    <row r="14860" spans="1:24">
      <c r="A14860">
        <f>HYPERLINK("https://www.philgeps.gov.ph/GEPSNONPILOT/Tender/SplashBidNoticeAbstractUI.aspx?menuIndex=3&amp;refID=7155333&amp;Result=3","7155333")</f>
        <v>0</v>
      </c>
      <c r="B14860" t="s">
        <v>534</v>
      </c>
      <c r="C14860" t="s">
        <v>17924</v>
      </c>
      <c r="D14860" t="s">
        <v>19006</v>
      </c>
      <c r="E14860" t="s">
        <v>31638</v>
      </c>
      <c r="F14860" t="s">
        <v>32606</v>
      </c>
      <c r="G14860" t="s">
        <v>32613</v>
      </c>
      <c r="H14860" t="s">
        <v>14201</v>
      </c>
      <c r="I14860" t="s">
        <v>32660</v>
      </c>
      <c r="J14860" t="s">
        <v>32772</v>
      </c>
      <c r="K14860" t="s">
        <v>42631</v>
      </c>
      <c r="M14860" t="s">
        <v>43447</v>
      </c>
      <c r="N14860" t="s">
        <v>47304</v>
      </c>
      <c r="O14860" t="s">
        <v>47305</v>
      </c>
      <c r="P14860">
        <v>0</v>
      </c>
      <c r="Q14860">
        <v>1</v>
      </c>
      <c r="R14860" t="s">
        <v>47326</v>
      </c>
      <c r="S14860" t="s">
        <v>48346</v>
      </c>
      <c r="T14860" t="s">
        <v>49020</v>
      </c>
      <c r="U14860" t="s">
        <v>61811</v>
      </c>
      <c r="W14860" t="s">
        <v>43447</v>
      </c>
      <c r="X14860" t="s">
        <v>47327</v>
      </c>
    </row>
    <row r="14861" spans="1:24">
      <c r="A14861">
        <f>HYPERLINK("https://www.philgeps.gov.ph/GEPSNONPILOT/Tender/SplashBidNoticeAbstractUI.aspx?menuIndex=3&amp;refID=7155957&amp;Result=3","7155957")</f>
        <v>0</v>
      </c>
      <c r="B14861" t="s">
        <v>1210</v>
      </c>
      <c r="C14861" t="s">
        <v>17925</v>
      </c>
      <c r="D14861" t="s">
        <v>18988</v>
      </c>
      <c r="E14861" t="s">
        <v>22673</v>
      </c>
      <c r="F14861" t="s">
        <v>32606</v>
      </c>
      <c r="G14861" t="s">
        <v>32613</v>
      </c>
      <c r="H14861" t="s">
        <v>14201</v>
      </c>
      <c r="I14861" t="s">
        <v>4678</v>
      </c>
      <c r="J14861" t="s">
        <v>34409</v>
      </c>
      <c r="K14861" t="s">
        <v>42624</v>
      </c>
      <c r="M14861" t="s">
        <v>44175</v>
      </c>
      <c r="N14861" t="s">
        <v>47304</v>
      </c>
      <c r="O14861" t="s">
        <v>47305</v>
      </c>
      <c r="P14861">
        <v>0</v>
      </c>
      <c r="Q14861">
        <v>3</v>
      </c>
      <c r="R14861" t="s">
        <v>47326</v>
      </c>
      <c r="S14861" t="s">
        <v>48346</v>
      </c>
      <c r="T14861" t="s">
        <v>49315</v>
      </c>
      <c r="U14861" t="s">
        <v>61812</v>
      </c>
      <c r="W14861" t="s">
        <v>44175</v>
      </c>
      <c r="X14861" t="s">
        <v>47327</v>
      </c>
    </row>
    <row r="14862" spans="1:24">
      <c r="A14862">
        <f>HYPERLINK("https://www.philgeps.gov.ph/GEPSNONPILOT/Tender/SplashBidNoticeAbstractUI.aspx?menuIndex=3&amp;refID=7155931&amp;Result=3","7155931")</f>
        <v>0</v>
      </c>
      <c r="B14862" t="s">
        <v>3740</v>
      </c>
      <c r="C14862" t="s">
        <v>17926</v>
      </c>
      <c r="D14862" t="s">
        <v>19056</v>
      </c>
      <c r="E14862" t="s">
        <v>31639</v>
      </c>
      <c r="F14862" t="s">
        <v>32606</v>
      </c>
      <c r="G14862" t="s">
        <v>32613</v>
      </c>
      <c r="H14862" t="s">
        <v>14201</v>
      </c>
      <c r="I14862" t="s">
        <v>6931</v>
      </c>
      <c r="J14862" t="s">
        <v>41940</v>
      </c>
      <c r="K14862" t="s">
        <v>42627</v>
      </c>
      <c r="M14862" t="s">
        <v>47067</v>
      </c>
      <c r="N14862" t="s">
        <v>47304</v>
      </c>
      <c r="O14862" t="s">
        <v>47305</v>
      </c>
      <c r="P14862">
        <v>0</v>
      </c>
      <c r="Q14862">
        <v>1</v>
      </c>
      <c r="R14862" t="s">
        <v>47326</v>
      </c>
      <c r="S14862" t="s">
        <v>48346</v>
      </c>
      <c r="T14862" t="s">
        <v>49146</v>
      </c>
      <c r="U14862" t="s">
        <v>61813</v>
      </c>
      <c r="W14862" t="s">
        <v>47067</v>
      </c>
      <c r="X14862" t="s">
        <v>47327</v>
      </c>
    </row>
    <row r="14863" spans="1:24">
      <c r="A14863">
        <f>HYPERLINK("https://www.philgeps.gov.ph/GEPSNONPILOT/Tender/SplashBidNoticeAbstractUI.aspx?menuIndex=3&amp;refID=7155949&amp;Result=3","7155949")</f>
        <v>0</v>
      </c>
      <c r="B14863" t="s">
        <v>2042</v>
      </c>
      <c r="C14863" t="s">
        <v>17927</v>
      </c>
      <c r="D14863" t="s">
        <v>19070</v>
      </c>
      <c r="E14863" t="s">
        <v>31640</v>
      </c>
      <c r="F14863" t="s">
        <v>32606</v>
      </c>
      <c r="G14863" t="s">
        <v>32613</v>
      </c>
      <c r="H14863" t="s">
        <v>32623</v>
      </c>
      <c r="I14863" t="s">
        <v>17648</v>
      </c>
      <c r="J14863" t="s">
        <v>32772</v>
      </c>
      <c r="K14863" t="s">
        <v>42676</v>
      </c>
      <c r="M14863" t="s">
        <v>45120</v>
      </c>
      <c r="N14863" t="s">
        <v>47304</v>
      </c>
      <c r="O14863" t="s">
        <v>47305</v>
      </c>
      <c r="P14863">
        <v>0</v>
      </c>
      <c r="Q14863">
        <v>0</v>
      </c>
      <c r="R14863" t="s">
        <v>47326</v>
      </c>
      <c r="S14863" t="s">
        <v>48346</v>
      </c>
      <c r="T14863" t="s">
        <v>49071</v>
      </c>
      <c r="U14863" t="s">
        <v>60446</v>
      </c>
      <c r="V14863" t="s">
        <v>64286</v>
      </c>
      <c r="W14863" t="s">
        <v>45120</v>
      </c>
      <c r="X14863" t="s">
        <v>47327</v>
      </c>
    </row>
    <row r="14864" spans="1:24">
      <c r="A14864">
        <f>HYPERLINK("https://www.philgeps.gov.ph/GEPSNONPILOT/Tender/SplashBidNoticeAbstractUI.aspx?menuIndex=3&amp;refID=7155530&amp;Result=3","7155530")</f>
        <v>0</v>
      </c>
      <c r="B14864" t="s">
        <v>3119</v>
      </c>
      <c r="C14864" t="s">
        <v>17928</v>
      </c>
      <c r="D14864" t="s">
        <v>19006</v>
      </c>
      <c r="E14864" t="s">
        <v>31641</v>
      </c>
      <c r="F14864" t="s">
        <v>32606</v>
      </c>
      <c r="G14864" t="s">
        <v>32613</v>
      </c>
      <c r="H14864" t="s">
        <v>32623</v>
      </c>
      <c r="I14864" t="s">
        <v>17648</v>
      </c>
      <c r="J14864" t="s">
        <v>41941</v>
      </c>
      <c r="K14864" t="s">
        <v>42636</v>
      </c>
      <c r="M14864" t="s">
        <v>46329</v>
      </c>
      <c r="N14864" t="s">
        <v>47304</v>
      </c>
      <c r="O14864" t="s">
        <v>47305</v>
      </c>
      <c r="P14864">
        <v>0</v>
      </c>
      <c r="Q14864">
        <v>0</v>
      </c>
      <c r="R14864" t="s">
        <v>47326</v>
      </c>
      <c r="S14864" t="s">
        <v>48346</v>
      </c>
      <c r="T14864" t="s">
        <v>48998</v>
      </c>
      <c r="U14864" t="s">
        <v>61806</v>
      </c>
      <c r="V14864" t="s">
        <v>63747</v>
      </c>
      <c r="W14864" t="s">
        <v>46329</v>
      </c>
      <c r="X14864" t="s">
        <v>47327</v>
      </c>
    </row>
    <row r="14865" spans="1:24">
      <c r="A14865">
        <f>HYPERLINK("https://www.philgeps.gov.ph/GEPSNONPILOT/Tender/SplashBidNoticeAbstractUI.aspx?menuIndex=3&amp;refID=7155929&amp;Result=3","7155929")</f>
        <v>0</v>
      </c>
      <c r="B14865" t="s">
        <v>2042</v>
      </c>
      <c r="C14865" t="s">
        <v>17929</v>
      </c>
      <c r="D14865" t="s">
        <v>19070</v>
      </c>
      <c r="E14865" t="s">
        <v>31642</v>
      </c>
      <c r="F14865" t="s">
        <v>32606</v>
      </c>
      <c r="G14865" t="s">
        <v>32613</v>
      </c>
      <c r="H14865" t="s">
        <v>32623</v>
      </c>
      <c r="I14865" t="s">
        <v>17648</v>
      </c>
      <c r="J14865" t="s">
        <v>32772</v>
      </c>
      <c r="K14865" t="s">
        <v>42648</v>
      </c>
      <c r="M14865" t="s">
        <v>45120</v>
      </c>
      <c r="N14865" t="s">
        <v>47304</v>
      </c>
      <c r="O14865" t="s">
        <v>47305</v>
      </c>
      <c r="P14865">
        <v>0</v>
      </c>
      <c r="Q14865">
        <v>0</v>
      </c>
      <c r="R14865" t="s">
        <v>47326</v>
      </c>
      <c r="S14865" t="s">
        <v>48346</v>
      </c>
      <c r="T14865" t="s">
        <v>49071</v>
      </c>
      <c r="U14865" t="s">
        <v>60446</v>
      </c>
      <c r="V14865" t="s">
        <v>64286</v>
      </c>
      <c r="W14865" t="s">
        <v>45120</v>
      </c>
      <c r="X14865" t="s">
        <v>47327</v>
      </c>
    </row>
    <row r="14866" spans="1:24">
      <c r="A14866">
        <f>HYPERLINK("https://www.philgeps.gov.ph/GEPSNONPILOT/Tender/SplashBidNoticeAbstractUI.aspx?menuIndex=3&amp;refID=7155935&amp;Result=3","7155935")</f>
        <v>0</v>
      </c>
      <c r="B14866" t="s">
        <v>3119</v>
      </c>
      <c r="C14866" t="s">
        <v>17930</v>
      </c>
      <c r="D14866" t="s">
        <v>19006</v>
      </c>
      <c r="E14866" t="s">
        <v>31643</v>
      </c>
      <c r="F14866" t="s">
        <v>32606</v>
      </c>
      <c r="G14866" t="s">
        <v>32613</v>
      </c>
      <c r="H14866" t="s">
        <v>32623</v>
      </c>
      <c r="I14866" t="s">
        <v>17648</v>
      </c>
      <c r="J14866" t="s">
        <v>41942</v>
      </c>
      <c r="K14866" t="s">
        <v>42636</v>
      </c>
      <c r="M14866" t="s">
        <v>46329</v>
      </c>
      <c r="N14866" t="s">
        <v>47304</v>
      </c>
      <c r="O14866" t="s">
        <v>47305</v>
      </c>
      <c r="P14866">
        <v>0</v>
      </c>
      <c r="Q14866">
        <v>1</v>
      </c>
      <c r="R14866" t="s">
        <v>47326</v>
      </c>
      <c r="S14866" t="s">
        <v>48346</v>
      </c>
      <c r="T14866" t="s">
        <v>48980</v>
      </c>
      <c r="U14866" t="s">
        <v>61814</v>
      </c>
      <c r="V14866" t="s">
        <v>63747</v>
      </c>
      <c r="W14866" t="s">
        <v>46329</v>
      </c>
      <c r="X14866" t="s">
        <v>47327</v>
      </c>
    </row>
    <row r="14867" spans="1:24">
      <c r="A14867">
        <f>HYPERLINK("https://www.philgeps.gov.ph/GEPSNONPILOT/Tender/SplashBidNoticeAbstractUI.aspx?menuIndex=3&amp;refID=7155913&amp;Result=3","7155913")</f>
        <v>0</v>
      </c>
      <c r="B14867" t="s">
        <v>3119</v>
      </c>
      <c r="C14867" t="s">
        <v>17931</v>
      </c>
      <c r="D14867" t="s">
        <v>19006</v>
      </c>
      <c r="E14867" t="s">
        <v>31644</v>
      </c>
      <c r="F14867" t="s">
        <v>32606</v>
      </c>
      <c r="G14867" t="s">
        <v>32613</v>
      </c>
      <c r="H14867" t="s">
        <v>32623</v>
      </c>
      <c r="I14867" t="s">
        <v>17648</v>
      </c>
      <c r="J14867" t="s">
        <v>41943</v>
      </c>
      <c r="K14867" t="s">
        <v>42636</v>
      </c>
      <c r="M14867" t="s">
        <v>46329</v>
      </c>
      <c r="N14867" t="s">
        <v>47304</v>
      </c>
      <c r="O14867" t="s">
        <v>47305</v>
      </c>
      <c r="P14867">
        <v>0</v>
      </c>
      <c r="Q14867">
        <v>0</v>
      </c>
      <c r="R14867" t="s">
        <v>47326</v>
      </c>
      <c r="S14867" t="s">
        <v>48346</v>
      </c>
      <c r="T14867" t="s">
        <v>48980</v>
      </c>
      <c r="U14867" t="s">
        <v>61814</v>
      </c>
      <c r="V14867" t="s">
        <v>63747</v>
      </c>
      <c r="W14867" t="s">
        <v>46329</v>
      </c>
      <c r="X14867" t="s">
        <v>47327</v>
      </c>
    </row>
    <row r="14868" spans="1:24">
      <c r="A14868">
        <f>HYPERLINK("https://www.philgeps.gov.ph/GEPSNONPILOT/Tender/SplashBidNoticeAbstractUI.aspx?menuIndex=3&amp;refID=7155917&amp;Result=3","7155917")</f>
        <v>0</v>
      </c>
      <c r="B14868" t="s">
        <v>3823</v>
      </c>
      <c r="C14868" t="s">
        <v>17932</v>
      </c>
      <c r="D14868" t="s">
        <v>19024</v>
      </c>
      <c r="E14868" t="s">
        <v>19372</v>
      </c>
      <c r="F14868" t="s">
        <v>32606</v>
      </c>
      <c r="G14868" t="s">
        <v>32613</v>
      </c>
      <c r="H14868" t="s">
        <v>14201</v>
      </c>
      <c r="I14868" t="s">
        <v>6931</v>
      </c>
      <c r="J14868" t="s">
        <v>33385</v>
      </c>
      <c r="K14868" t="s">
        <v>42631</v>
      </c>
      <c r="M14868" t="s">
        <v>47169</v>
      </c>
      <c r="N14868" t="s">
        <v>47304</v>
      </c>
      <c r="O14868" t="s">
        <v>47305</v>
      </c>
      <c r="P14868">
        <v>0</v>
      </c>
      <c r="Q14868">
        <v>0</v>
      </c>
      <c r="R14868" t="s">
        <v>47326</v>
      </c>
      <c r="S14868" t="s">
        <v>48346</v>
      </c>
      <c r="T14868" t="s">
        <v>49111</v>
      </c>
      <c r="U14868" t="s">
        <v>56932</v>
      </c>
      <c r="W14868" t="s">
        <v>47169</v>
      </c>
      <c r="X14868" t="s">
        <v>47327</v>
      </c>
    </row>
    <row r="14869" spans="1:24">
      <c r="A14869">
        <f>HYPERLINK("https://www.philgeps.gov.ph/GEPSNONPILOT/Tender/SplashBidNoticeAbstractUI.aspx?menuIndex=3&amp;refID=7155901&amp;Result=3","7155901")</f>
        <v>0</v>
      </c>
      <c r="B14869" t="s">
        <v>3824</v>
      </c>
      <c r="C14869" t="s">
        <v>17933</v>
      </c>
      <c r="D14869" t="s">
        <v>18991</v>
      </c>
      <c r="E14869" t="s">
        <v>31645</v>
      </c>
      <c r="F14869" t="s">
        <v>32606</v>
      </c>
      <c r="G14869" t="s">
        <v>32613</v>
      </c>
      <c r="H14869" t="s">
        <v>32623</v>
      </c>
      <c r="I14869" t="s">
        <v>17648</v>
      </c>
      <c r="J14869" t="s">
        <v>32799</v>
      </c>
      <c r="K14869" t="s">
        <v>42738</v>
      </c>
      <c r="M14869" t="s">
        <v>47170</v>
      </c>
      <c r="N14869" t="s">
        <v>47304</v>
      </c>
      <c r="O14869" t="s">
        <v>47305</v>
      </c>
      <c r="P14869">
        <v>0</v>
      </c>
      <c r="Q14869">
        <v>0</v>
      </c>
      <c r="R14869" t="s">
        <v>47326</v>
      </c>
      <c r="S14869" t="s">
        <v>48346</v>
      </c>
      <c r="T14869" t="s">
        <v>48998</v>
      </c>
      <c r="U14869" t="s">
        <v>61815</v>
      </c>
      <c r="W14869" t="s">
        <v>47170</v>
      </c>
      <c r="X14869" t="s">
        <v>47327</v>
      </c>
    </row>
    <row r="14870" spans="1:24">
      <c r="A14870">
        <f>HYPERLINK("https://www.philgeps.gov.ph/GEPSNONPILOT/Tender/SplashBidNoticeAbstractUI.aspx?menuIndex=3&amp;refID=7155883&amp;Result=3","7155883")</f>
        <v>0</v>
      </c>
      <c r="B14870" t="s">
        <v>3119</v>
      </c>
      <c r="C14870" t="s">
        <v>17934</v>
      </c>
      <c r="D14870" t="s">
        <v>19006</v>
      </c>
      <c r="E14870" t="s">
        <v>31646</v>
      </c>
      <c r="F14870" t="s">
        <v>32606</v>
      </c>
      <c r="G14870" t="s">
        <v>32613</v>
      </c>
      <c r="H14870" t="s">
        <v>32623</v>
      </c>
      <c r="I14870" t="s">
        <v>17648</v>
      </c>
      <c r="J14870" t="s">
        <v>41944</v>
      </c>
      <c r="K14870" t="s">
        <v>42636</v>
      </c>
      <c r="M14870" t="s">
        <v>46329</v>
      </c>
      <c r="N14870" t="s">
        <v>47304</v>
      </c>
      <c r="O14870" t="s">
        <v>47305</v>
      </c>
      <c r="P14870">
        <v>0</v>
      </c>
      <c r="Q14870">
        <v>0</v>
      </c>
      <c r="R14870" t="s">
        <v>47326</v>
      </c>
      <c r="S14870" t="s">
        <v>48346</v>
      </c>
      <c r="T14870" t="s">
        <v>48998</v>
      </c>
      <c r="U14870" t="s">
        <v>61814</v>
      </c>
      <c r="V14870" t="s">
        <v>63747</v>
      </c>
      <c r="W14870" t="s">
        <v>46329</v>
      </c>
      <c r="X14870" t="s">
        <v>47327</v>
      </c>
    </row>
    <row r="14871" spans="1:24">
      <c r="A14871">
        <f>HYPERLINK("https://www.philgeps.gov.ph/GEPSNONPILOT/Tender/SplashBidNoticeAbstractUI.aspx?menuIndex=3&amp;refID=7155861&amp;Result=3","7155861")</f>
        <v>0</v>
      </c>
      <c r="B14871" t="s">
        <v>2042</v>
      </c>
      <c r="C14871" t="s">
        <v>17935</v>
      </c>
      <c r="D14871" t="s">
        <v>19070</v>
      </c>
      <c r="E14871" t="s">
        <v>31647</v>
      </c>
      <c r="F14871" t="s">
        <v>32606</v>
      </c>
      <c r="G14871" t="s">
        <v>32613</v>
      </c>
      <c r="H14871" t="s">
        <v>32623</v>
      </c>
      <c r="I14871" t="s">
        <v>17648</v>
      </c>
      <c r="J14871" t="s">
        <v>33039</v>
      </c>
      <c r="K14871" t="s">
        <v>42646</v>
      </c>
      <c r="M14871" t="s">
        <v>45120</v>
      </c>
      <c r="N14871" t="s">
        <v>47304</v>
      </c>
      <c r="O14871" t="s">
        <v>47305</v>
      </c>
      <c r="P14871">
        <v>0</v>
      </c>
      <c r="Q14871">
        <v>0</v>
      </c>
      <c r="R14871" t="s">
        <v>47326</v>
      </c>
      <c r="S14871" t="s">
        <v>48346</v>
      </c>
      <c r="T14871" t="s">
        <v>49071</v>
      </c>
      <c r="U14871" t="s">
        <v>60446</v>
      </c>
      <c r="V14871" t="s">
        <v>64287</v>
      </c>
      <c r="W14871" t="s">
        <v>45120</v>
      </c>
      <c r="X14871" t="s">
        <v>47327</v>
      </c>
    </row>
    <row r="14872" spans="1:24">
      <c r="A14872">
        <f>HYPERLINK("https://www.philgeps.gov.ph/GEPSNONPILOT/Tender/SplashBidNoticeAbstractUI.aspx?menuIndex=3&amp;refID=7155953&amp;Result=3","7155953")</f>
        <v>0</v>
      </c>
      <c r="B14872" t="s">
        <v>3825</v>
      </c>
      <c r="C14872" t="s">
        <v>17936</v>
      </c>
      <c r="D14872" t="s">
        <v>19037</v>
      </c>
      <c r="E14872" t="s">
        <v>31648</v>
      </c>
      <c r="F14872" t="s">
        <v>32606</v>
      </c>
      <c r="G14872" t="s">
        <v>32613</v>
      </c>
      <c r="H14872" t="s">
        <v>32623</v>
      </c>
      <c r="I14872" t="s">
        <v>17648</v>
      </c>
      <c r="J14872" t="s">
        <v>41945</v>
      </c>
      <c r="K14872" t="s">
        <v>42622</v>
      </c>
      <c r="M14872" t="s">
        <v>47171</v>
      </c>
      <c r="N14872" t="s">
        <v>47304</v>
      </c>
      <c r="O14872" t="s">
        <v>47305</v>
      </c>
      <c r="Q14872">
        <v>2</v>
      </c>
      <c r="R14872" t="s">
        <v>47326</v>
      </c>
      <c r="S14872" t="s">
        <v>48362</v>
      </c>
      <c r="T14872" t="s">
        <v>49268</v>
      </c>
      <c r="U14872" t="s">
        <v>61816</v>
      </c>
      <c r="W14872" t="s">
        <v>47171</v>
      </c>
      <c r="X14872" t="s">
        <v>47327</v>
      </c>
    </row>
    <row r="14873" spans="1:24">
      <c r="A14873">
        <f>HYPERLINK("https://www.philgeps.gov.ph/GEPSNONPILOT/Tender/SplashBidNoticeAbstractUI.aspx?menuIndex=3&amp;refID=7155545&amp;Result=3","7155545")</f>
        <v>0</v>
      </c>
      <c r="B14873" t="s">
        <v>3119</v>
      </c>
      <c r="C14873" t="s">
        <v>17937</v>
      </c>
      <c r="D14873" t="s">
        <v>19006</v>
      </c>
      <c r="E14873" t="s">
        <v>31649</v>
      </c>
      <c r="F14873" t="s">
        <v>32606</v>
      </c>
      <c r="G14873" t="s">
        <v>32613</v>
      </c>
      <c r="H14873" t="s">
        <v>32623</v>
      </c>
      <c r="I14873" t="s">
        <v>32661</v>
      </c>
      <c r="J14873" t="s">
        <v>41946</v>
      </c>
      <c r="K14873" t="s">
        <v>42643</v>
      </c>
      <c r="M14873" t="s">
        <v>46329</v>
      </c>
      <c r="N14873" t="s">
        <v>47304</v>
      </c>
      <c r="O14873" t="s">
        <v>47305</v>
      </c>
      <c r="P14873">
        <v>0</v>
      </c>
      <c r="Q14873">
        <v>3</v>
      </c>
      <c r="R14873" t="s">
        <v>47326</v>
      </c>
      <c r="S14873" t="s">
        <v>48346</v>
      </c>
      <c r="T14873" t="s">
        <v>48998</v>
      </c>
      <c r="U14873" t="s">
        <v>61806</v>
      </c>
      <c r="V14873" t="s">
        <v>63747</v>
      </c>
      <c r="W14873" t="s">
        <v>46329</v>
      </c>
      <c r="X14873" t="s">
        <v>47327</v>
      </c>
    </row>
    <row r="14874" spans="1:24">
      <c r="A14874">
        <f>HYPERLINK("https://www.philgeps.gov.ph/GEPSNONPILOT/Tender/SplashBidNoticeAbstractUI.aspx?menuIndex=3&amp;refID=7155823&amp;Result=3","7155823")</f>
        <v>0</v>
      </c>
      <c r="B14874" t="s">
        <v>3137</v>
      </c>
      <c r="C14874" t="s">
        <v>17938</v>
      </c>
      <c r="D14874" t="s">
        <v>19024</v>
      </c>
      <c r="E14874" t="s">
        <v>31650</v>
      </c>
      <c r="F14874" t="s">
        <v>32606</v>
      </c>
      <c r="G14874" t="s">
        <v>32613</v>
      </c>
      <c r="H14874" t="s">
        <v>14201</v>
      </c>
      <c r="I14874" t="s">
        <v>32640</v>
      </c>
      <c r="J14874" t="s">
        <v>41947</v>
      </c>
      <c r="K14874" t="s">
        <v>42631</v>
      </c>
      <c r="M14874" t="s">
        <v>46350</v>
      </c>
      <c r="N14874" t="s">
        <v>47304</v>
      </c>
      <c r="O14874" t="s">
        <v>47305</v>
      </c>
      <c r="P14874">
        <v>0</v>
      </c>
      <c r="Q14874">
        <v>12</v>
      </c>
      <c r="R14874" t="s">
        <v>47326</v>
      </c>
      <c r="S14874" t="s">
        <v>48346</v>
      </c>
      <c r="T14874" t="s">
        <v>49268</v>
      </c>
      <c r="U14874" t="s">
        <v>60503</v>
      </c>
      <c r="W14874" t="s">
        <v>46350</v>
      </c>
      <c r="X14874" t="s">
        <v>47327</v>
      </c>
    </row>
    <row r="14875" spans="1:24">
      <c r="A14875">
        <f>HYPERLINK("https://www.philgeps.gov.ph/GEPSNONPILOT/Tender/SplashBidNoticeAbstractUI.aspx?menuIndex=3&amp;refID=7156030&amp;Result=3","7156030")</f>
        <v>0</v>
      </c>
      <c r="B14875" t="s">
        <v>3362</v>
      </c>
      <c r="C14875" t="s">
        <v>17939</v>
      </c>
      <c r="D14875" t="s">
        <v>19019</v>
      </c>
      <c r="E14875" t="s">
        <v>24008</v>
      </c>
      <c r="F14875" t="s">
        <v>32606</v>
      </c>
      <c r="G14875" t="s">
        <v>32613</v>
      </c>
      <c r="H14875" t="s">
        <v>14201</v>
      </c>
      <c r="I14875" t="s">
        <v>6931</v>
      </c>
      <c r="J14875" t="s">
        <v>41948</v>
      </c>
      <c r="K14875" t="s">
        <v>42631</v>
      </c>
      <c r="M14875" t="s">
        <v>46611</v>
      </c>
      <c r="N14875" t="s">
        <v>47304</v>
      </c>
      <c r="O14875" t="s">
        <v>47305</v>
      </c>
      <c r="P14875">
        <v>0</v>
      </c>
      <c r="Q14875">
        <v>0</v>
      </c>
      <c r="R14875" t="s">
        <v>47326</v>
      </c>
      <c r="S14875" t="s">
        <v>48346</v>
      </c>
      <c r="T14875" t="s">
        <v>49330</v>
      </c>
      <c r="U14875" t="s">
        <v>61817</v>
      </c>
      <c r="W14875" t="s">
        <v>46611</v>
      </c>
      <c r="X14875" t="s">
        <v>47327</v>
      </c>
    </row>
    <row r="14876" spans="1:24">
      <c r="A14876">
        <f>HYPERLINK("https://www.philgeps.gov.ph/GEPSNONPILOT/Tender/SplashBidNoticeAbstractUI.aspx?menuIndex=3&amp;refID=7156047&amp;Result=3","7156047")</f>
        <v>0</v>
      </c>
      <c r="B14876" t="s">
        <v>3826</v>
      </c>
      <c r="C14876" t="s">
        <v>17940</v>
      </c>
      <c r="D14876" t="s">
        <v>19024</v>
      </c>
      <c r="E14876" t="s">
        <v>19358</v>
      </c>
      <c r="F14876" t="s">
        <v>32606</v>
      </c>
      <c r="G14876" t="s">
        <v>32613</v>
      </c>
      <c r="H14876" t="s">
        <v>14201</v>
      </c>
      <c r="I14876" t="s">
        <v>6931</v>
      </c>
      <c r="J14876" t="s">
        <v>33569</v>
      </c>
      <c r="K14876" t="s">
        <v>42631</v>
      </c>
      <c r="M14876" t="s">
        <v>47172</v>
      </c>
      <c r="N14876" t="s">
        <v>47304</v>
      </c>
      <c r="O14876" t="s">
        <v>47305</v>
      </c>
      <c r="P14876">
        <v>0</v>
      </c>
      <c r="Q14876">
        <v>0</v>
      </c>
      <c r="R14876" t="s">
        <v>47326</v>
      </c>
      <c r="S14876" t="s">
        <v>48346</v>
      </c>
      <c r="T14876" t="s">
        <v>49111</v>
      </c>
      <c r="U14876" t="s">
        <v>56932</v>
      </c>
      <c r="W14876" t="s">
        <v>47172</v>
      </c>
      <c r="X14876" t="s">
        <v>47327</v>
      </c>
    </row>
    <row r="14877" spans="1:24">
      <c r="A14877">
        <f>HYPERLINK("https://www.philgeps.gov.ph/GEPSNONPILOT/Tender/SplashBidNoticeAbstractUI.aspx?menuIndex=3&amp;refID=7156043&amp;Result=3","7156043")</f>
        <v>0</v>
      </c>
      <c r="B14877" t="s">
        <v>3119</v>
      </c>
      <c r="C14877" t="s">
        <v>17941</v>
      </c>
      <c r="D14877" t="s">
        <v>19006</v>
      </c>
      <c r="E14877" t="s">
        <v>31651</v>
      </c>
      <c r="F14877" t="s">
        <v>32606</v>
      </c>
      <c r="G14877" t="s">
        <v>32613</v>
      </c>
      <c r="H14877" t="s">
        <v>32623</v>
      </c>
      <c r="I14877" t="s">
        <v>17648</v>
      </c>
      <c r="J14877" t="s">
        <v>41949</v>
      </c>
      <c r="K14877" t="s">
        <v>42636</v>
      </c>
      <c r="M14877" t="s">
        <v>46329</v>
      </c>
      <c r="N14877" t="s">
        <v>47304</v>
      </c>
      <c r="O14877" t="s">
        <v>47305</v>
      </c>
      <c r="P14877">
        <v>0</v>
      </c>
      <c r="Q14877">
        <v>0</v>
      </c>
      <c r="R14877" t="s">
        <v>47326</v>
      </c>
      <c r="S14877" t="s">
        <v>48346</v>
      </c>
      <c r="T14877" t="s">
        <v>48980</v>
      </c>
      <c r="U14877" t="s">
        <v>61814</v>
      </c>
      <c r="V14877" t="s">
        <v>63747</v>
      </c>
      <c r="W14877" t="s">
        <v>46329</v>
      </c>
      <c r="X14877" t="s">
        <v>47327</v>
      </c>
    </row>
    <row r="14878" spans="1:24">
      <c r="A14878">
        <f>HYPERLINK("https://www.philgeps.gov.ph/GEPSNONPILOT/Tender/SplashBidNoticeAbstractUI.aspx?menuIndex=3&amp;refID=7156025&amp;Result=3","7156025")</f>
        <v>0</v>
      </c>
      <c r="B14878" t="s">
        <v>2042</v>
      </c>
      <c r="C14878" t="s">
        <v>17942</v>
      </c>
      <c r="D14878" t="s">
        <v>19070</v>
      </c>
      <c r="E14878" t="s">
        <v>31652</v>
      </c>
      <c r="F14878" t="s">
        <v>32606</v>
      </c>
      <c r="G14878" t="s">
        <v>32613</v>
      </c>
      <c r="H14878" t="s">
        <v>32623</v>
      </c>
      <c r="I14878" t="s">
        <v>17648</v>
      </c>
      <c r="J14878" t="s">
        <v>32772</v>
      </c>
      <c r="K14878" t="s">
        <v>42648</v>
      </c>
      <c r="M14878" t="s">
        <v>45120</v>
      </c>
      <c r="N14878" t="s">
        <v>47304</v>
      </c>
      <c r="O14878" t="s">
        <v>47305</v>
      </c>
      <c r="P14878">
        <v>0</v>
      </c>
      <c r="Q14878">
        <v>0</v>
      </c>
      <c r="R14878" t="s">
        <v>47326</v>
      </c>
      <c r="S14878" t="s">
        <v>48346</v>
      </c>
      <c r="T14878" t="s">
        <v>49071</v>
      </c>
      <c r="U14878" t="s">
        <v>60446</v>
      </c>
      <c r="V14878" t="s">
        <v>64286</v>
      </c>
      <c r="W14878" t="s">
        <v>45120</v>
      </c>
      <c r="X14878" t="s">
        <v>47327</v>
      </c>
    </row>
    <row r="14879" spans="1:24">
      <c r="A14879">
        <f>HYPERLINK("https://www.philgeps.gov.ph/GEPSNONPILOT/Tender/SplashBidNoticeAbstractUI.aspx?menuIndex=3&amp;refID=7155865&amp;Result=3","7155865")</f>
        <v>0</v>
      </c>
      <c r="B14879" t="s">
        <v>3823</v>
      </c>
      <c r="C14879" t="s">
        <v>17943</v>
      </c>
      <c r="E14879" t="s">
        <v>19690</v>
      </c>
      <c r="F14879" t="s">
        <v>32606</v>
      </c>
      <c r="G14879" t="s">
        <v>32613</v>
      </c>
      <c r="H14879" t="s">
        <v>14201</v>
      </c>
      <c r="I14879" t="s">
        <v>6931</v>
      </c>
      <c r="J14879" t="s">
        <v>32778</v>
      </c>
      <c r="K14879" t="s">
        <v>42631</v>
      </c>
      <c r="M14879" t="s">
        <v>47169</v>
      </c>
      <c r="N14879" t="s">
        <v>47304</v>
      </c>
      <c r="O14879" t="s">
        <v>47305</v>
      </c>
      <c r="P14879">
        <v>0</v>
      </c>
      <c r="Q14879">
        <v>0</v>
      </c>
      <c r="R14879" t="s">
        <v>47326</v>
      </c>
      <c r="S14879" t="s">
        <v>48346</v>
      </c>
      <c r="T14879" t="s">
        <v>49351</v>
      </c>
      <c r="U14879" t="s">
        <v>56932</v>
      </c>
      <c r="W14879" t="s">
        <v>47169</v>
      </c>
      <c r="X14879" t="s">
        <v>47327</v>
      </c>
    </row>
    <row r="14880" spans="1:24">
      <c r="A14880">
        <f>HYPERLINK("https://www.philgeps.gov.ph/GEPSNONPILOT/Tender/SplashBidNoticeAbstractUI.aspx?menuIndex=3&amp;refID=7141032&amp;Result=3","7141032")</f>
        <v>0</v>
      </c>
      <c r="B14880" t="s">
        <v>1363</v>
      </c>
      <c r="C14880" t="s">
        <v>17944</v>
      </c>
      <c r="D14880" t="s">
        <v>18992</v>
      </c>
      <c r="E14880" t="s">
        <v>31653</v>
      </c>
      <c r="F14880" t="s">
        <v>32606</v>
      </c>
      <c r="G14880" t="s">
        <v>32613</v>
      </c>
      <c r="H14880" t="s">
        <v>32623</v>
      </c>
      <c r="I14880" t="s">
        <v>17648</v>
      </c>
      <c r="J14880" t="s">
        <v>41950</v>
      </c>
      <c r="K14880" t="s">
        <v>42682</v>
      </c>
      <c r="M14880" t="s">
        <v>44339</v>
      </c>
      <c r="N14880" t="s">
        <v>47304</v>
      </c>
      <c r="O14880" t="s">
        <v>47305</v>
      </c>
      <c r="P14880">
        <v>0</v>
      </c>
      <c r="Q14880">
        <v>0</v>
      </c>
      <c r="R14880" t="s">
        <v>47326</v>
      </c>
      <c r="S14880" t="s">
        <v>48346</v>
      </c>
      <c r="T14880" t="s">
        <v>49339</v>
      </c>
      <c r="U14880" t="s">
        <v>61818</v>
      </c>
      <c r="W14880" t="s">
        <v>44339</v>
      </c>
      <c r="X14880" t="s">
        <v>47334</v>
      </c>
    </row>
    <row r="14881" spans="1:24">
      <c r="A14881">
        <f>HYPERLINK("https://www.philgeps.gov.ph/GEPSNONPILOT/Tender/SplashBidNoticeAbstractUI.aspx?menuIndex=3&amp;refID=7155619&amp;Result=3","7155619")</f>
        <v>0</v>
      </c>
      <c r="B14881" t="s">
        <v>42</v>
      </c>
      <c r="C14881" t="s">
        <v>17945</v>
      </c>
      <c r="E14881" t="s">
        <v>31654</v>
      </c>
      <c r="F14881" t="s">
        <v>32606</v>
      </c>
      <c r="G14881" t="s">
        <v>32613</v>
      </c>
      <c r="H14881" t="s">
        <v>14201</v>
      </c>
      <c r="I14881" t="s">
        <v>32655</v>
      </c>
      <c r="J14881" t="s">
        <v>41951</v>
      </c>
      <c r="K14881" t="s">
        <v>42631</v>
      </c>
      <c r="M14881" t="s">
        <v>42939</v>
      </c>
      <c r="N14881" t="s">
        <v>47304</v>
      </c>
      <c r="O14881" t="s">
        <v>47305</v>
      </c>
      <c r="P14881">
        <v>0</v>
      </c>
      <c r="Q14881">
        <v>14</v>
      </c>
      <c r="R14881" t="s">
        <v>47326</v>
      </c>
      <c r="S14881" t="s">
        <v>48346</v>
      </c>
      <c r="T14881" t="s">
        <v>49020</v>
      </c>
      <c r="U14881" t="s">
        <v>61819</v>
      </c>
      <c r="W14881" t="s">
        <v>42939</v>
      </c>
      <c r="X14881" t="s">
        <v>47327</v>
      </c>
    </row>
    <row r="14882" spans="1:24">
      <c r="A14882">
        <f>HYPERLINK("https://www.philgeps.gov.ph/GEPSNONPILOT/Tender/SplashBidNoticeAbstractUI.aspx?menuIndex=3&amp;refID=7156011&amp;Result=3","7156011")</f>
        <v>0</v>
      </c>
      <c r="B14882" t="s">
        <v>1955</v>
      </c>
      <c r="C14882" t="s">
        <v>17946</v>
      </c>
      <c r="D14882" t="s">
        <v>19039</v>
      </c>
      <c r="E14882" t="s">
        <v>31655</v>
      </c>
      <c r="F14882" t="s">
        <v>32606</v>
      </c>
      <c r="G14882" t="s">
        <v>32613</v>
      </c>
      <c r="H14882" t="s">
        <v>32623</v>
      </c>
      <c r="I14882" t="s">
        <v>17648</v>
      </c>
      <c r="J14882" t="s">
        <v>32789</v>
      </c>
      <c r="K14882" t="s">
        <v>42648</v>
      </c>
      <c r="M14882" t="s">
        <v>45016</v>
      </c>
      <c r="N14882" t="s">
        <v>47304</v>
      </c>
      <c r="O14882" t="s">
        <v>47305</v>
      </c>
      <c r="P14882">
        <v>0</v>
      </c>
      <c r="Q14882">
        <v>0</v>
      </c>
      <c r="R14882" t="s">
        <v>47326</v>
      </c>
      <c r="S14882" t="s">
        <v>48346</v>
      </c>
      <c r="T14882" t="s">
        <v>49330</v>
      </c>
      <c r="U14882" t="s">
        <v>54346</v>
      </c>
      <c r="V14882" t="s">
        <v>64288</v>
      </c>
      <c r="W14882" t="s">
        <v>45016</v>
      </c>
      <c r="X14882" t="s">
        <v>47327</v>
      </c>
    </row>
    <row r="14883" spans="1:24">
      <c r="A14883">
        <f>HYPERLINK("https://www.philgeps.gov.ph/GEPSNONPILOT/Tender/SplashBidNoticeAbstractUI.aspx?menuIndex=3&amp;refID=7156003&amp;Result=3","7156003")</f>
        <v>0</v>
      </c>
      <c r="B14883" t="s">
        <v>3119</v>
      </c>
      <c r="C14883" t="s">
        <v>17947</v>
      </c>
      <c r="D14883" t="s">
        <v>19006</v>
      </c>
      <c r="E14883" t="s">
        <v>31656</v>
      </c>
      <c r="F14883" t="s">
        <v>32606</v>
      </c>
      <c r="G14883" t="s">
        <v>32613</v>
      </c>
      <c r="H14883" t="s">
        <v>32623</v>
      </c>
      <c r="I14883" t="s">
        <v>17648</v>
      </c>
      <c r="J14883" t="s">
        <v>41952</v>
      </c>
      <c r="K14883" t="s">
        <v>42636</v>
      </c>
      <c r="M14883" t="s">
        <v>46329</v>
      </c>
      <c r="N14883" t="s">
        <v>47304</v>
      </c>
      <c r="O14883" t="s">
        <v>47305</v>
      </c>
      <c r="P14883">
        <v>0</v>
      </c>
      <c r="Q14883">
        <v>1</v>
      </c>
      <c r="R14883" t="s">
        <v>47326</v>
      </c>
      <c r="S14883" t="s">
        <v>48346</v>
      </c>
      <c r="T14883" t="s">
        <v>48980</v>
      </c>
      <c r="U14883" t="s">
        <v>61814</v>
      </c>
      <c r="V14883" t="s">
        <v>63747</v>
      </c>
      <c r="W14883" t="s">
        <v>46329</v>
      </c>
      <c r="X14883" t="s">
        <v>47327</v>
      </c>
    </row>
    <row r="14884" spans="1:24">
      <c r="A14884">
        <f>HYPERLINK("https://www.philgeps.gov.ph/GEPSNONPILOT/Tender/SplashBidNoticeAbstractUI.aspx?menuIndex=3&amp;refID=7156010&amp;Result=3","7156010")</f>
        <v>0</v>
      </c>
      <c r="B14884" t="s">
        <v>3827</v>
      </c>
      <c r="C14884" t="s">
        <v>17948</v>
      </c>
      <c r="D14884" t="s">
        <v>18997</v>
      </c>
      <c r="E14884" t="s">
        <v>31657</v>
      </c>
      <c r="F14884" t="s">
        <v>32607</v>
      </c>
      <c r="G14884" t="s">
        <v>32619</v>
      </c>
      <c r="H14884" t="s">
        <v>14201</v>
      </c>
      <c r="I14884" t="s">
        <v>32640</v>
      </c>
      <c r="J14884" t="s">
        <v>32920</v>
      </c>
      <c r="K14884" t="s">
        <v>42631</v>
      </c>
      <c r="M14884" t="s">
        <v>47173</v>
      </c>
      <c r="N14884" t="s">
        <v>47304</v>
      </c>
      <c r="O14884" t="s">
        <v>47305</v>
      </c>
      <c r="P14884">
        <v>0</v>
      </c>
      <c r="Q14884">
        <v>4</v>
      </c>
      <c r="R14884" t="s">
        <v>47326</v>
      </c>
      <c r="S14884" t="s">
        <v>48346</v>
      </c>
      <c r="T14884" t="s">
        <v>48980</v>
      </c>
      <c r="U14884" t="s">
        <v>61820</v>
      </c>
      <c r="W14884" t="s">
        <v>47173</v>
      </c>
      <c r="X14884" t="s">
        <v>47327</v>
      </c>
    </row>
    <row r="14885" spans="1:24">
      <c r="A14885">
        <f>HYPERLINK("https://www.philgeps.gov.ph/GEPSNONPILOT/Tender/SplashBidNoticeAbstractUI.aspx?menuIndex=3&amp;refID=7155999&amp;Result=3","7155999")</f>
        <v>0</v>
      </c>
      <c r="B14885" t="s">
        <v>2775</v>
      </c>
      <c r="C14885" t="s">
        <v>17949</v>
      </c>
      <c r="D14885" t="s">
        <v>18997</v>
      </c>
      <c r="E14885" t="s">
        <v>21738</v>
      </c>
      <c r="F14885" t="s">
        <v>32606</v>
      </c>
      <c r="G14885" t="s">
        <v>32613</v>
      </c>
      <c r="H14885" t="s">
        <v>32623</v>
      </c>
      <c r="I14885" t="s">
        <v>17648</v>
      </c>
      <c r="J14885" t="s">
        <v>41953</v>
      </c>
      <c r="K14885" t="s">
        <v>42768</v>
      </c>
      <c r="M14885" t="s">
        <v>45937</v>
      </c>
      <c r="N14885" t="s">
        <v>47304</v>
      </c>
      <c r="O14885" t="s">
        <v>47305</v>
      </c>
      <c r="P14885">
        <v>0</v>
      </c>
      <c r="Q14885">
        <v>4</v>
      </c>
      <c r="R14885" t="s">
        <v>47326</v>
      </c>
      <c r="S14885" t="s">
        <v>48346</v>
      </c>
      <c r="T14885" t="s">
        <v>49268</v>
      </c>
      <c r="U14885" t="s">
        <v>61269</v>
      </c>
      <c r="W14885" t="s">
        <v>45937</v>
      </c>
      <c r="X14885" t="s">
        <v>47327</v>
      </c>
    </row>
    <row r="14886" spans="1:24">
      <c r="A14886">
        <f>HYPERLINK("https://www.philgeps.gov.ph/GEPSNONPILOT/Tender/SplashBidNoticeAbstractUI.aspx?menuIndex=3&amp;refID=7156041&amp;Result=3","7156041")</f>
        <v>0</v>
      </c>
      <c r="B14886" t="s">
        <v>2042</v>
      </c>
      <c r="C14886" t="s">
        <v>17950</v>
      </c>
      <c r="D14886" t="s">
        <v>19070</v>
      </c>
      <c r="E14886" t="s">
        <v>31658</v>
      </c>
      <c r="F14886" t="s">
        <v>32606</v>
      </c>
      <c r="G14886" t="s">
        <v>32613</v>
      </c>
      <c r="H14886" t="s">
        <v>32623</v>
      </c>
      <c r="I14886" t="s">
        <v>17648</v>
      </c>
      <c r="J14886" t="s">
        <v>32772</v>
      </c>
      <c r="K14886" t="s">
        <v>42636</v>
      </c>
      <c r="M14886" t="s">
        <v>45120</v>
      </c>
      <c r="N14886" t="s">
        <v>47304</v>
      </c>
      <c r="O14886" t="s">
        <v>47305</v>
      </c>
      <c r="P14886">
        <v>0</v>
      </c>
      <c r="Q14886">
        <v>0</v>
      </c>
      <c r="R14886" t="s">
        <v>47326</v>
      </c>
      <c r="S14886" t="s">
        <v>48346</v>
      </c>
      <c r="T14886" t="s">
        <v>49071</v>
      </c>
      <c r="U14886" t="s">
        <v>60446</v>
      </c>
      <c r="V14886" t="s">
        <v>64286</v>
      </c>
      <c r="W14886" t="s">
        <v>45120</v>
      </c>
      <c r="X14886" t="s">
        <v>47327</v>
      </c>
    </row>
    <row r="14887" spans="1:24">
      <c r="A14887">
        <f>HYPERLINK("https://www.philgeps.gov.ph/GEPSNONPILOT/Tender/SplashBidNoticeAbstractUI.aspx?menuIndex=3&amp;refID=7156022&amp;Result=3","7156022")</f>
        <v>0</v>
      </c>
      <c r="B14887" t="s">
        <v>3119</v>
      </c>
      <c r="C14887" t="s">
        <v>17951</v>
      </c>
      <c r="D14887" t="s">
        <v>19006</v>
      </c>
      <c r="E14887" t="s">
        <v>31659</v>
      </c>
      <c r="F14887" t="s">
        <v>32606</v>
      </c>
      <c r="G14887" t="s">
        <v>32613</v>
      </c>
      <c r="H14887" t="s">
        <v>32623</v>
      </c>
      <c r="I14887" t="s">
        <v>17648</v>
      </c>
      <c r="J14887" t="s">
        <v>39348</v>
      </c>
      <c r="K14887" t="s">
        <v>42643</v>
      </c>
      <c r="M14887" t="s">
        <v>46329</v>
      </c>
      <c r="N14887" t="s">
        <v>47304</v>
      </c>
      <c r="O14887" t="s">
        <v>47305</v>
      </c>
      <c r="P14887">
        <v>0</v>
      </c>
      <c r="Q14887">
        <v>1</v>
      </c>
      <c r="R14887" t="s">
        <v>47326</v>
      </c>
      <c r="S14887" t="s">
        <v>48346</v>
      </c>
      <c r="T14887" t="s">
        <v>48980</v>
      </c>
      <c r="U14887" t="s">
        <v>61814</v>
      </c>
      <c r="V14887" t="s">
        <v>63747</v>
      </c>
      <c r="W14887" t="s">
        <v>46329</v>
      </c>
      <c r="X14887" t="s">
        <v>47327</v>
      </c>
    </row>
    <row r="14888" spans="1:24">
      <c r="A14888">
        <f>HYPERLINK("https://www.philgeps.gov.ph/GEPSNONPILOT/Tender/SplashBidNoticeAbstractUI.aspx?menuIndex=3&amp;refID=7155979&amp;Result=3","7155979")</f>
        <v>0</v>
      </c>
      <c r="B14888" t="s">
        <v>2042</v>
      </c>
      <c r="C14888" t="s">
        <v>17952</v>
      </c>
      <c r="D14888" t="s">
        <v>19070</v>
      </c>
      <c r="E14888" t="s">
        <v>31660</v>
      </c>
      <c r="F14888" t="s">
        <v>32606</v>
      </c>
      <c r="G14888" t="s">
        <v>32613</v>
      </c>
      <c r="H14888" t="s">
        <v>32623</v>
      </c>
      <c r="I14888" t="s">
        <v>17648</v>
      </c>
      <c r="J14888" t="s">
        <v>32769</v>
      </c>
      <c r="K14888" t="s">
        <v>42648</v>
      </c>
      <c r="M14888" t="s">
        <v>45120</v>
      </c>
      <c r="N14888" t="s">
        <v>47304</v>
      </c>
      <c r="O14888" t="s">
        <v>47305</v>
      </c>
      <c r="P14888">
        <v>0</v>
      </c>
      <c r="Q14888">
        <v>0</v>
      </c>
      <c r="R14888" t="s">
        <v>47326</v>
      </c>
      <c r="S14888" t="s">
        <v>48346</v>
      </c>
      <c r="T14888" t="s">
        <v>49071</v>
      </c>
      <c r="U14888" t="s">
        <v>60446</v>
      </c>
      <c r="V14888" t="s">
        <v>64289</v>
      </c>
      <c r="W14888" t="s">
        <v>45120</v>
      </c>
      <c r="X14888" t="s">
        <v>47327</v>
      </c>
    </row>
    <row r="14889" spans="1:24">
      <c r="A14889">
        <f>HYPERLINK("https://www.philgeps.gov.ph/GEPSNONPILOT/Tender/SplashBidNoticeAbstractUI.aspx?menuIndex=3&amp;refID=7155970&amp;Result=3","7155970")</f>
        <v>0</v>
      </c>
      <c r="B14889" t="s">
        <v>1453</v>
      </c>
      <c r="C14889" t="s">
        <v>17953</v>
      </c>
      <c r="D14889" t="s">
        <v>19011</v>
      </c>
      <c r="E14889" t="s">
        <v>25204</v>
      </c>
      <c r="F14889" t="s">
        <v>32606</v>
      </c>
      <c r="G14889" t="s">
        <v>32613</v>
      </c>
      <c r="H14889" t="s">
        <v>14201</v>
      </c>
      <c r="I14889" t="s">
        <v>7064</v>
      </c>
      <c r="J14889" t="s">
        <v>32861</v>
      </c>
      <c r="K14889" t="s">
        <v>42631</v>
      </c>
      <c r="M14889" t="s">
        <v>44444</v>
      </c>
      <c r="N14889" t="s">
        <v>47304</v>
      </c>
      <c r="O14889" t="s">
        <v>47305</v>
      </c>
      <c r="Q14889">
        <v>3</v>
      </c>
      <c r="R14889" t="s">
        <v>47326</v>
      </c>
      <c r="S14889" t="s">
        <v>47781</v>
      </c>
      <c r="T14889" t="s">
        <v>49146</v>
      </c>
      <c r="U14889" t="s">
        <v>61821</v>
      </c>
      <c r="W14889" t="s">
        <v>44444</v>
      </c>
      <c r="X14889" t="s">
        <v>47327</v>
      </c>
    </row>
    <row r="14890" spans="1:24">
      <c r="A14890">
        <f>HYPERLINK("https://www.philgeps.gov.ph/GEPSNONPILOT/Tender/SplashBidNoticeAbstractUI.aspx?menuIndex=3&amp;refID=7155985&amp;Result=3","7155985")</f>
        <v>0</v>
      </c>
      <c r="B14890" t="s">
        <v>3828</v>
      </c>
      <c r="C14890" t="s">
        <v>17954</v>
      </c>
      <c r="D14890" t="s">
        <v>19006</v>
      </c>
      <c r="E14890" t="s">
        <v>20122</v>
      </c>
      <c r="F14890" t="s">
        <v>32606</v>
      </c>
      <c r="G14890" t="s">
        <v>32613</v>
      </c>
      <c r="H14890" t="s">
        <v>32623</v>
      </c>
      <c r="I14890" t="s">
        <v>17648</v>
      </c>
      <c r="J14890" t="s">
        <v>33822</v>
      </c>
      <c r="K14890" t="s">
        <v>42632</v>
      </c>
      <c r="M14890" t="s">
        <v>47174</v>
      </c>
      <c r="N14890" t="s">
        <v>47304</v>
      </c>
      <c r="O14890" t="s">
        <v>47305</v>
      </c>
      <c r="P14890">
        <v>0</v>
      </c>
      <c r="Q14890">
        <v>1</v>
      </c>
      <c r="R14890" t="s">
        <v>47326</v>
      </c>
      <c r="S14890" t="s">
        <v>48346</v>
      </c>
      <c r="T14890" t="s">
        <v>49100</v>
      </c>
      <c r="U14890" t="s">
        <v>61822</v>
      </c>
      <c r="W14890" t="s">
        <v>47174</v>
      </c>
      <c r="X14890" t="s">
        <v>47327</v>
      </c>
    </row>
    <row r="14891" spans="1:24">
      <c r="A14891">
        <f>HYPERLINK("https://www.philgeps.gov.ph/GEPSNONPILOT/Tender/SplashBidNoticeAbstractUI.aspx?menuIndex=3&amp;refID=7155989&amp;Result=3","7155989")</f>
        <v>0</v>
      </c>
      <c r="B14891" t="s">
        <v>2042</v>
      </c>
      <c r="C14891" t="s">
        <v>17955</v>
      </c>
      <c r="D14891" t="s">
        <v>19070</v>
      </c>
      <c r="E14891" t="s">
        <v>31661</v>
      </c>
      <c r="F14891" t="s">
        <v>32606</v>
      </c>
      <c r="G14891" t="s">
        <v>32613</v>
      </c>
      <c r="H14891" t="s">
        <v>32623</v>
      </c>
      <c r="I14891" t="s">
        <v>17648</v>
      </c>
      <c r="J14891" t="s">
        <v>32772</v>
      </c>
      <c r="K14891" t="s">
        <v>42648</v>
      </c>
      <c r="M14891" t="s">
        <v>45120</v>
      </c>
      <c r="N14891" t="s">
        <v>47304</v>
      </c>
      <c r="O14891" t="s">
        <v>47305</v>
      </c>
      <c r="P14891">
        <v>0</v>
      </c>
      <c r="Q14891">
        <v>0</v>
      </c>
      <c r="R14891" t="s">
        <v>47326</v>
      </c>
      <c r="S14891" t="s">
        <v>48346</v>
      </c>
      <c r="T14891" t="s">
        <v>49071</v>
      </c>
      <c r="U14891" t="s">
        <v>60446</v>
      </c>
      <c r="V14891" t="s">
        <v>64286</v>
      </c>
      <c r="W14891" t="s">
        <v>45120</v>
      </c>
      <c r="X14891" t="s">
        <v>47327</v>
      </c>
    </row>
    <row r="14892" spans="1:24">
      <c r="A14892">
        <f>HYPERLINK("https://www.philgeps.gov.ph/GEPSNONPILOT/Tender/SplashBidNoticeAbstractUI.aspx?menuIndex=3&amp;refID=7155984&amp;Result=3","7155984")</f>
        <v>0</v>
      </c>
      <c r="B14892" t="s">
        <v>2969</v>
      </c>
      <c r="C14892" t="s">
        <v>17956</v>
      </c>
      <c r="D14892" t="s">
        <v>19055</v>
      </c>
      <c r="E14892" t="s">
        <v>31662</v>
      </c>
      <c r="F14892" t="s">
        <v>32606</v>
      </c>
      <c r="G14892" t="s">
        <v>32613</v>
      </c>
      <c r="H14892" t="s">
        <v>14201</v>
      </c>
      <c r="I14892" t="s">
        <v>7064</v>
      </c>
      <c r="J14892" t="s">
        <v>33598</v>
      </c>
      <c r="K14892" t="s">
        <v>42624</v>
      </c>
      <c r="M14892" t="s">
        <v>46154</v>
      </c>
      <c r="N14892" t="s">
        <v>47304</v>
      </c>
      <c r="O14892" t="s">
        <v>47305</v>
      </c>
      <c r="P14892">
        <v>0</v>
      </c>
      <c r="Q14892">
        <v>3</v>
      </c>
      <c r="R14892" t="s">
        <v>47326</v>
      </c>
      <c r="S14892" t="s">
        <v>48346</v>
      </c>
      <c r="T14892" t="s">
        <v>49053</v>
      </c>
      <c r="U14892" t="s">
        <v>61823</v>
      </c>
      <c r="W14892" t="s">
        <v>46154</v>
      </c>
      <c r="X14892" t="s">
        <v>47327</v>
      </c>
    </row>
    <row r="14893" spans="1:24">
      <c r="A14893">
        <f>HYPERLINK("https://www.philgeps.gov.ph/GEPSNONPILOT/Tender/SplashBidNoticeAbstractUI.aspx?menuIndex=3&amp;refID=7156238&amp;Result=3","7156238")</f>
        <v>0</v>
      </c>
      <c r="B14893" t="s">
        <v>3271</v>
      </c>
      <c r="C14893" t="s">
        <v>17957</v>
      </c>
      <c r="D14893" t="s">
        <v>19031</v>
      </c>
      <c r="E14893" t="s">
        <v>31663</v>
      </c>
      <c r="F14893" t="s">
        <v>32606</v>
      </c>
      <c r="G14893" t="s">
        <v>32613</v>
      </c>
      <c r="H14893" t="s">
        <v>14201</v>
      </c>
      <c r="I14893" t="s">
        <v>6993</v>
      </c>
      <c r="J14893" t="s">
        <v>41954</v>
      </c>
      <c r="K14893" t="s">
        <v>42639</v>
      </c>
      <c r="M14893" t="s">
        <v>46505</v>
      </c>
      <c r="N14893" t="s">
        <v>47304</v>
      </c>
      <c r="O14893" t="s">
        <v>47305</v>
      </c>
      <c r="P14893">
        <v>0</v>
      </c>
      <c r="Q14893">
        <v>0</v>
      </c>
      <c r="R14893" t="s">
        <v>47326</v>
      </c>
      <c r="S14893" t="s">
        <v>48346</v>
      </c>
      <c r="T14893" t="s">
        <v>48996</v>
      </c>
      <c r="U14893" t="s">
        <v>61824</v>
      </c>
      <c r="V14893" t="s">
        <v>64290</v>
      </c>
      <c r="W14893" t="s">
        <v>46505</v>
      </c>
      <c r="X14893" t="s">
        <v>47327</v>
      </c>
    </row>
    <row r="14894" spans="1:24">
      <c r="A14894">
        <f>HYPERLINK("https://www.philgeps.gov.ph/GEPSNONPILOT/Tender/SplashBidNoticeAbstractUI.aspx?menuIndex=3&amp;refID=7156262&amp;Result=3","7156262")</f>
        <v>0</v>
      </c>
      <c r="B14894" t="s">
        <v>1664</v>
      </c>
      <c r="C14894" t="s">
        <v>17958</v>
      </c>
      <c r="D14894" t="s">
        <v>19067</v>
      </c>
      <c r="E14894" t="s">
        <v>31664</v>
      </c>
      <c r="F14894" t="s">
        <v>32606</v>
      </c>
      <c r="G14894" t="s">
        <v>32613</v>
      </c>
      <c r="H14894" t="s">
        <v>14201</v>
      </c>
      <c r="I14894" t="s">
        <v>4120</v>
      </c>
      <c r="J14894" t="s">
        <v>41955</v>
      </c>
      <c r="K14894" t="s">
        <v>42631</v>
      </c>
      <c r="M14894" t="s">
        <v>47175</v>
      </c>
      <c r="N14894" t="s">
        <v>47304</v>
      </c>
      <c r="O14894" t="s">
        <v>47305</v>
      </c>
      <c r="Q14894">
        <v>4</v>
      </c>
      <c r="R14894" t="s">
        <v>47326</v>
      </c>
      <c r="S14894" t="s">
        <v>48363</v>
      </c>
      <c r="T14894" t="s">
        <v>49071</v>
      </c>
      <c r="U14894" t="s">
        <v>61825</v>
      </c>
      <c r="W14894" t="s">
        <v>47175</v>
      </c>
      <c r="X14894" t="s">
        <v>47327</v>
      </c>
    </row>
    <row r="14895" spans="1:24">
      <c r="A14895">
        <f>HYPERLINK("https://www.philgeps.gov.ph/GEPSNONPILOT/Tender/SplashBidNoticeAbstractUI.aspx?menuIndex=3&amp;refID=7156222&amp;Result=3","7156222")</f>
        <v>0</v>
      </c>
      <c r="B14895" t="s">
        <v>1061</v>
      </c>
      <c r="C14895" t="s">
        <v>17959</v>
      </c>
      <c r="D14895" t="s">
        <v>19000</v>
      </c>
      <c r="E14895" t="s">
        <v>31665</v>
      </c>
      <c r="F14895" t="s">
        <v>32606</v>
      </c>
      <c r="G14895" t="s">
        <v>32613</v>
      </c>
      <c r="H14895" t="s">
        <v>32623</v>
      </c>
      <c r="I14895" t="s">
        <v>32661</v>
      </c>
      <c r="J14895" t="s">
        <v>41956</v>
      </c>
      <c r="K14895" t="s">
        <v>42636</v>
      </c>
      <c r="M14895" t="s">
        <v>44014</v>
      </c>
      <c r="N14895" t="s">
        <v>47304</v>
      </c>
      <c r="O14895" t="s">
        <v>47305</v>
      </c>
      <c r="Q14895">
        <v>18</v>
      </c>
      <c r="R14895" t="s">
        <v>47326</v>
      </c>
      <c r="S14895" t="s">
        <v>48364</v>
      </c>
      <c r="T14895" t="s">
        <v>49268</v>
      </c>
      <c r="U14895" t="s">
        <v>61826</v>
      </c>
      <c r="W14895" t="s">
        <v>44014</v>
      </c>
      <c r="X14895" t="s">
        <v>47327</v>
      </c>
    </row>
    <row r="14896" spans="1:24">
      <c r="A14896">
        <f>HYPERLINK("https://www.philgeps.gov.ph/GEPSNONPILOT/Tender/SplashBidNoticeAbstractUI.aspx?menuIndex=3&amp;refID=7156172&amp;Result=3","7156172")</f>
        <v>0</v>
      </c>
      <c r="B14896" t="s">
        <v>2204</v>
      </c>
      <c r="C14896" t="s">
        <v>17960</v>
      </c>
      <c r="E14896" t="s">
        <v>31666</v>
      </c>
      <c r="F14896" t="s">
        <v>32606</v>
      </c>
      <c r="G14896" t="s">
        <v>32613</v>
      </c>
      <c r="H14896" t="s">
        <v>14201</v>
      </c>
      <c r="I14896" t="s">
        <v>32676</v>
      </c>
      <c r="J14896" t="s">
        <v>41957</v>
      </c>
      <c r="K14896" t="s">
        <v>42624</v>
      </c>
      <c r="M14896" t="s">
        <v>45308</v>
      </c>
      <c r="N14896" t="s">
        <v>47304</v>
      </c>
      <c r="O14896" t="s">
        <v>47305</v>
      </c>
      <c r="Q14896">
        <v>2</v>
      </c>
      <c r="R14896" t="s">
        <v>47326</v>
      </c>
      <c r="S14896" t="s">
        <v>48365</v>
      </c>
      <c r="T14896" t="s">
        <v>49081</v>
      </c>
      <c r="U14896" t="s">
        <v>61827</v>
      </c>
      <c r="W14896" t="s">
        <v>45308</v>
      </c>
      <c r="X14896" t="s">
        <v>47327</v>
      </c>
    </row>
    <row r="14897" spans="1:24">
      <c r="A14897">
        <f>HYPERLINK("https://www.philgeps.gov.ph/GEPSNONPILOT/Tender/SplashBidNoticeAbstractUI.aspx?menuIndex=3&amp;refID=7156031&amp;Result=3","7156031")</f>
        <v>0</v>
      </c>
      <c r="B14897" t="s">
        <v>3829</v>
      </c>
      <c r="C14897" t="s">
        <v>17961</v>
      </c>
      <c r="D14897" t="s">
        <v>19006</v>
      </c>
      <c r="E14897" t="s">
        <v>31667</v>
      </c>
      <c r="F14897" t="s">
        <v>32606</v>
      </c>
      <c r="G14897" t="s">
        <v>32613</v>
      </c>
      <c r="H14897" t="s">
        <v>32623</v>
      </c>
      <c r="I14897" t="s">
        <v>17648</v>
      </c>
      <c r="J14897" t="s">
        <v>41958</v>
      </c>
      <c r="K14897" t="s">
        <v>42768</v>
      </c>
      <c r="M14897" t="s">
        <v>47176</v>
      </c>
      <c r="N14897" t="s">
        <v>47304</v>
      </c>
      <c r="O14897" t="s">
        <v>47305</v>
      </c>
      <c r="P14897">
        <v>0</v>
      </c>
      <c r="Q14897">
        <v>3</v>
      </c>
      <c r="R14897" t="s">
        <v>47326</v>
      </c>
      <c r="S14897" t="s">
        <v>48346</v>
      </c>
      <c r="T14897" t="s">
        <v>49268</v>
      </c>
      <c r="U14897" t="s">
        <v>61828</v>
      </c>
      <c r="W14897" t="s">
        <v>47176</v>
      </c>
      <c r="X14897" t="s">
        <v>47327</v>
      </c>
    </row>
    <row r="14898" spans="1:24">
      <c r="A14898">
        <f>HYPERLINK("https://www.philgeps.gov.ph/GEPSNONPILOT/Tender/SplashBidNoticeAbstractUI.aspx?menuIndex=3&amp;refID=7156168&amp;Result=3","7156168")</f>
        <v>0</v>
      </c>
      <c r="B14898" t="s">
        <v>1955</v>
      </c>
      <c r="C14898" t="s">
        <v>17962</v>
      </c>
      <c r="D14898" t="s">
        <v>19039</v>
      </c>
      <c r="E14898" t="s">
        <v>31668</v>
      </c>
      <c r="F14898" t="s">
        <v>32606</v>
      </c>
      <c r="G14898" t="s">
        <v>32613</v>
      </c>
      <c r="H14898" t="s">
        <v>32623</v>
      </c>
      <c r="I14898" t="s">
        <v>17648</v>
      </c>
      <c r="J14898" t="s">
        <v>32770</v>
      </c>
      <c r="K14898" t="s">
        <v>42634</v>
      </c>
      <c r="M14898" t="s">
        <v>45016</v>
      </c>
      <c r="N14898" t="s">
        <v>47304</v>
      </c>
      <c r="O14898" t="s">
        <v>47305</v>
      </c>
      <c r="P14898">
        <v>0</v>
      </c>
      <c r="Q14898">
        <v>1</v>
      </c>
      <c r="R14898" t="s">
        <v>47326</v>
      </c>
      <c r="S14898" t="s">
        <v>48346</v>
      </c>
      <c r="T14898" t="s">
        <v>49330</v>
      </c>
      <c r="U14898" t="s">
        <v>54346</v>
      </c>
      <c r="V14898" t="s">
        <v>64288</v>
      </c>
      <c r="W14898" t="s">
        <v>45016</v>
      </c>
      <c r="X14898" t="s">
        <v>47327</v>
      </c>
    </row>
    <row r="14899" spans="1:24">
      <c r="A14899">
        <f>HYPERLINK("https://www.philgeps.gov.ph/GEPSNONPILOT/Tender/SplashBidNoticeAbstractUI.aspx?menuIndex=3&amp;refID=7156290&amp;Result=3","7156290")</f>
        <v>0</v>
      </c>
      <c r="B14899" t="s">
        <v>1061</v>
      </c>
      <c r="C14899" t="s">
        <v>17963</v>
      </c>
      <c r="D14899" t="s">
        <v>19000</v>
      </c>
      <c r="E14899" t="s">
        <v>31669</v>
      </c>
      <c r="F14899" t="s">
        <v>32606</v>
      </c>
      <c r="G14899" t="s">
        <v>32613</v>
      </c>
      <c r="H14899" t="s">
        <v>14201</v>
      </c>
      <c r="I14899" t="s">
        <v>32661</v>
      </c>
      <c r="J14899" t="s">
        <v>41959</v>
      </c>
      <c r="K14899" t="s">
        <v>42636</v>
      </c>
      <c r="M14899" t="s">
        <v>44014</v>
      </c>
      <c r="N14899" t="s">
        <v>47304</v>
      </c>
      <c r="O14899" t="s">
        <v>47305</v>
      </c>
      <c r="Q14899">
        <v>17</v>
      </c>
      <c r="R14899" t="s">
        <v>47326</v>
      </c>
      <c r="S14899" t="s">
        <v>48366</v>
      </c>
      <c r="T14899" t="s">
        <v>49268</v>
      </c>
      <c r="U14899" t="s">
        <v>61829</v>
      </c>
      <c r="W14899" t="s">
        <v>44014</v>
      </c>
      <c r="X14899" t="s">
        <v>47327</v>
      </c>
    </row>
    <row r="14900" spans="1:24">
      <c r="A14900">
        <f>HYPERLINK("https://www.philgeps.gov.ph/GEPSNONPILOT/Tender/SplashBidNoticeAbstractUI.aspx?menuIndex=3&amp;refID=7156240&amp;Result=3","7156240")</f>
        <v>0</v>
      </c>
      <c r="B14900" t="s">
        <v>1061</v>
      </c>
      <c r="C14900" t="s">
        <v>17964</v>
      </c>
      <c r="D14900" t="s">
        <v>19000</v>
      </c>
      <c r="E14900" t="s">
        <v>31670</v>
      </c>
      <c r="F14900" t="s">
        <v>32606</v>
      </c>
      <c r="G14900" t="s">
        <v>32613</v>
      </c>
      <c r="H14900" t="s">
        <v>32623</v>
      </c>
      <c r="I14900" t="s">
        <v>32661</v>
      </c>
      <c r="J14900" t="s">
        <v>41960</v>
      </c>
      <c r="K14900" t="s">
        <v>42636</v>
      </c>
      <c r="M14900" t="s">
        <v>44014</v>
      </c>
      <c r="N14900" t="s">
        <v>47304</v>
      </c>
      <c r="O14900" t="s">
        <v>47305</v>
      </c>
      <c r="Q14900">
        <v>17</v>
      </c>
      <c r="R14900" t="s">
        <v>47326</v>
      </c>
      <c r="S14900" t="s">
        <v>48367</v>
      </c>
      <c r="T14900" t="s">
        <v>49268</v>
      </c>
      <c r="U14900" t="s">
        <v>61830</v>
      </c>
      <c r="W14900" t="s">
        <v>44014</v>
      </c>
      <c r="X14900" t="s">
        <v>47327</v>
      </c>
    </row>
    <row r="14901" spans="1:24">
      <c r="A14901">
        <f>HYPERLINK("https://www.philgeps.gov.ph/GEPSNONPILOT/Tender/SplashBidNoticeAbstractUI.aspx?menuIndex=3&amp;refID=7156209&amp;Result=3","7156209")</f>
        <v>0</v>
      </c>
      <c r="B14901" t="s">
        <v>3119</v>
      </c>
      <c r="C14901" t="s">
        <v>17965</v>
      </c>
      <c r="D14901" t="s">
        <v>19006</v>
      </c>
      <c r="E14901" t="s">
        <v>31671</v>
      </c>
      <c r="F14901" t="s">
        <v>32606</v>
      </c>
      <c r="G14901" t="s">
        <v>32613</v>
      </c>
      <c r="H14901" t="s">
        <v>32623</v>
      </c>
      <c r="I14901" t="s">
        <v>17648</v>
      </c>
      <c r="J14901" t="s">
        <v>41961</v>
      </c>
      <c r="K14901" t="s">
        <v>42636</v>
      </c>
      <c r="M14901" t="s">
        <v>46329</v>
      </c>
      <c r="N14901" t="s">
        <v>47304</v>
      </c>
      <c r="O14901" t="s">
        <v>47305</v>
      </c>
      <c r="P14901">
        <v>0</v>
      </c>
      <c r="Q14901">
        <v>0</v>
      </c>
      <c r="R14901" t="s">
        <v>47326</v>
      </c>
      <c r="S14901" t="s">
        <v>48346</v>
      </c>
      <c r="T14901" t="s">
        <v>48980</v>
      </c>
      <c r="U14901" t="s">
        <v>61831</v>
      </c>
      <c r="V14901" t="s">
        <v>63747</v>
      </c>
      <c r="W14901" t="s">
        <v>46329</v>
      </c>
      <c r="X14901" t="s">
        <v>47327</v>
      </c>
    </row>
    <row r="14902" spans="1:24">
      <c r="A14902">
        <f>HYPERLINK("https://www.philgeps.gov.ph/GEPSNONPILOT/Tender/SplashBidNoticeAbstractUI.aspx?menuIndex=3&amp;refID=7156131&amp;Result=3","7156131")</f>
        <v>0</v>
      </c>
      <c r="B14902" t="s">
        <v>3119</v>
      </c>
      <c r="C14902" t="s">
        <v>17966</v>
      </c>
      <c r="D14902" t="s">
        <v>19006</v>
      </c>
      <c r="E14902" t="s">
        <v>31672</v>
      </c>
      <c r="F14902" t="s">
        <v>32606</v>
      </c>
      <c r="G14902" t="s">
        <v>32613</v>
      </c>
      <c r="H14902" t="s">
        <v>32623</v>
      </c>
      <c r="I14902" t="s">
        <v>17648</v>
      </c>
      <c r="J14902" t="s">
        <v>41962</v>
      </c>
      <c r="K14902" t="s">
        <v>42631</v>
      </c>
      <c r="M14902" t="s">
        <v>46329</v>
      </c>
      <c r="N14902" t="s">
        <v>47304</v>
      </c>
      <c r="O14902" t="s">
        <v>47305</v>
      </c>
      <c r="P14902">
        <v>0</v>
      </c>
      <c r="Q14902">
        <v>1</v>
      </c>
      <c r="R14902" t="s">
        <v>47326</v>
      </c>
      <c r="S14902" t="s">
        <v>48346</v>
      </c>
      <c r="T14902" t="s">
        <v>48980</v>
      </c>
      <c r="U14902" t="s">
        <v>61831</v>
      </c>
      <c r="V14902" t="s">
        <v>63747</v>
      </c>
      <c r="W14902" t="s">
        <v>46329</v>
      </c>
      <c r="X14902" t="s">
        <v>47327</v>
      </c>
    </row>
    <row r="14903" spans="1:24">
      <c r="A14903">
        <f>HYPERLINK("https://www.philgeps.gov.ph/GEPSNONPILOT/Tender/SplashBidNoticeAbstractUI.aspx?menuIndex=3&amp;refID=7156153&amp;Result=3","7156153")</f>
        <v>0</v>
      </c>
      <c r="B14903" t="s">
        <v>3119</v>
      </c>
      <c r="C14903" t="s">
        <v>17967</v>
      </c>
      <c r="D14903" t="s">
        <v>19006</v>
      </c>
      <c r="E14903" t="s">
        <v>31673</v>
      </c>
      <c r="F14903" t="s">
        <v>32606</v>
      </c>
      <c r="G14903" t="s">
        <v>32613</v>
      </c>
      <c r="H14903" t="s">
        <v>32623</v>
      </c>
      <c r="I14903" t="s">
        <v>17648</v>
      </c>
      <c r="J14903" t="s">
        <v>41963</v>
      </c>
      <c r="K14903" t="s">
        <v>42636</v>
      </c>
      <c r="M14903" t="s">
        <v>46329</v>
      </c>
      <c r="N14903" t="s">
        <v>47304</v>
      </c>
      <c r="O14903" t="s">
        <v>47305</v>
      </c>
      <c r="P14903">
        <v>0</v>
      </c>
      <c r="Q14903">
        <v>0</v>
      </c>
      <c r="R14903" t="s">
        <v>47326</v>
      </c>
      <c r="S14903" t="s">
        <v>48346</v>
      </c>
      <c r="T14903" t="s">
        <v>48980</v>
      </c>
      <c r="U14903" t="s">
        <v>61831</v>
      </c>
      <c r="V14903" t="s">
        <v>63747</v>
      </c>
      <c r="W14903" t="s">
        <v>46329</v>
      </c>
      <c r="X14903" t="s">
        <v>47327</v>
      </c>
    </row>
    <row r="14904" spans="1:24">
      <c r="A14904">
        <f>HYPERLINK("https://www.philgeps.gov.ph/GEPSNONPILOT/Tender/SplashBidNoticeAbstractUI.aspx?menuIndex=3&amp;refID=7156631&amp;Result=3","7156631")</f>
        <v>0</v>
      </c>
      <c r="B14904" t="s">
        <v>3197</v>
      </c>
      <c r="C14904" t="s">
        <v>17968</v>
      </c>
      <c r="D14904" t="s">
        <v>19016</v>
      </c>
      <c r="E14904" t="s">
        <v>31674</v>
      </c>
      <c r="F14904" t="s">
        <v>32606</v>
      </c>
      <c r="G14904" t="s">
        <v>32613</v>
      </c>
      <c r="H14904" t="s">
        <v>14201</v>
      </c>
      <c r="I14904" t="s">
        <v>32634</v>
      </c>
      <c r="J14904" t="s">
        <v>41964</v>
      </c>
      <c r="K14904" t="s">
        <v>42623</v>
      </c>
      <c r="M14904" t="s">
        <v>46422</v>
      </c>
      <c r="N14904" t="s">
        <v>47304</v>
      </c>
      <c r="O14904" t="s">
        <v>47305</v>
      </c>
      <c r="P14904">
        <v>0</v>
      </c>
      <c r="Q14904">
        <v>8</v>
      </c>
      <c r="R14904" t="s">
        <v>47326</v>
      </c>
      <c r="S14904" t="s">
        <v>48346</v>
      </c>
      <c r="T14904" t="s">
        <v>49071</v>
      </c>
      <c r="U14904" t="s">
        <v>61832</v>
      </c>
      <c r="V14904" t="s">
        <v>64291</v>
      </c>
      <c r="W14904" t="s">
        <v>46422</v>
      </c>
      <c r="X14904" t="s">
        <v>47327</v>
      </c>
    </row>
    <row r="14905" spans="1:24">
      <c r="A14905">
        <f>HYPERLINK("https://www.philgeps.gov.ph/GEPSNONPILOT/Tender/SplashBidNoticeAbstractUI.aspx?menuIndex=3&amp;refID=7156369&amp;Result=3","7156369")</f>
        <v>0</v>
      </c>
      <c r="B14905" t="s">
        <v>192</v>
      </c>
      <c r="C14905" t="s">
        <v>17969</v>
      </c>
      <c r="D14905" t="s">
        <v>19016</v>
      </c>
      <c r="E14905" t="s">
        <v>31675</v>
      </c>
      <c r="F14905" t="s">
        <v>32606</v>
      </c>
      <c r="G14905" t="s">
        <v>32613</v>
      </c>
      <c r="H14905" t="s">
        <v>14201</v>
      </c>
      <c r="I14905" t="s">
        <v>32662</v>
      </c>
      <c r="J14905" t="s">
        <v>41965</v>
      </c>
      <c r="K14905" t="s">
        <v>42624</v>
      </c>
      <c r="M14905" t="s">
        <v>43093</v>
      </c>
      <c r="N14905" t="s">
        <v>47304</v>
      </c>
      <c r="O14905" t="s">
        <v>47305</v>
      </c>
      <c r="Q14905">
        <v>24</v>
      </c>
      <c r="R14905" t="s">
        <v>47326</v>
      </c>
      <c r="S14905" t="s">
        <v>48368</v>
      </c>
      <c r="T14905" t="s">
        <v>49268</v>
      </c>
      <c r="U14905" t="s">
        <v>61833</v>
      </c>
      <c r="V14905" t="s">
        <v>63612</v>
      </c>
      <c r="W14905" t="s">
        <v>43093</v>
      </c>
      <c r="X14905" t="s">
        <v>47327</v>
      </c>
    </row>
    <row r="14906" spans="1:24">
      <c r="A14906">
        <f>HYPERLINK("https://www.philgeps.gov.ph/GEPSNONPILOT/Tender/SplashBidNoticeAbstractUI.aspx?menuIndex=3&amp;refID=7156624&amp;Result=3","7156624")</f>
        <v>0</v>
      </c>
      <c r="B14906" t="s">
        <v>190</v>
      </c>
      <c r="C14906" t="s">
        <v>17970</v>
      </c>
      <c r="D14906" t="s">
        <v>19022</v>
      </c>
      <c r="E14906" t="s">
        <v>26148</v>
      </c>
      <c r="F14906" t="s">
        <v>32606</v>
      </c>
      <c r="G14906" t="s">
        <v>32613</v>
      </c>
      <c r="H14906" t="s">
        <v>14201</v>
      </c>
      <c r="I14906" t="s">
        <v>7064</v>
      </c>
      <c r="J14906" t="s">
        <v>34117</v>
      </c>
      <c r="K14906" t="s">
        <v>42624</v>
      </c>
      <c r="M14906" t="s">
        <v>43091</v>
      </c>
      <c r="N14906" t="s">
        <v>47304</v>
      </c>
      <c r="O14906" t="s">
        <v>47305</v>
      </c>
      <c r="P14906">
        <v>0</v>
      </c>
      <c r="Q14906">
        <v>8</v>
      </c>
      <c r="R14906" t="s">
        <v>47326</v>
      </c>
      <c r="S14906" t="s">
        <v>48346</v>
      </c>
      <c r="T14906" t="s">
        <v>49256</v>
      </c>
      <c r="U14906" t="s">
        <v>61834</v>
      </c>
      <c r="W14906" t="s">
        <v>43091</v>
      </c>
      <c r="X14906" t="s">
        <v>47327</v>
      </c>
    </row>
    <row r="14907" spans="1:24">
      <c r="A14907">
        <f>HYPERLINK("https://www.philgeps.gov.ph/GEPSNONPILOT/Tender/SplashBidNoticeAbstractUI.aspx?menuIndex=3&amp;refID=7156163&amp;Result=3","7156163")</f>
        <v>0</v>
      </c>
      <c r="B14907" t="s">
        <v>467</v>
      </c>
      <c r="C14907" t="s">
        <v>17971</v>
      </c>
      <c r="D14907" t="s">
        <v>19004</v>
      </c>
      <c r="E14907" t="s">
        <v>31676</v>
      </c>
      <c r="F14907" t="s">
        <v>32606</v>
      </c>
      <c r="G14907" t="s">
        <v>32613</v>
      </c>
      <c r="H14907" t="s">
        <v>14201</v>
      </c>
      <c r="I14907" t="s">
        <v>32638</v>
      </c>
      <c r="J14907" t="s">
        <v>32821</v>
      </c>
      <c r="K14907" t="s">
        <v>42624</v>
      </c>
      <c r="M14907" t="s">
        <v>45925</v>
      </c>
      <c r="N14907" t="s">
        <v>47304</v>
      </c>
      <c r="O14907" t="s">
        <v>47305</v>
      </c>
      <c r="Q14907">
        <v>35</v>
      </c>
      <c r="R14907" t="s">
        <v>47326</v>
      </c>
      <c r="S14907" t="s">
        <v>48369</v>
      </c>
      <c r="T14907" t="s">
        <v>49514</v>
      </c>
      <c r="U14907" t="s">
        <v>61835</v>
      </c>
      <c r="V14907" t="s">
        <v>64292</v>
      </c>
      <c r="W14907" t="s">
        <v>45925</v>
      </c>
      <c r="X14907" t="s">
        <v>47327</v>
      </c>
    </row>
    <row r="14908" spans="1:24">
      <c r="A14908">
        <f>HYPERLINK("https://www.philgeps.gov.ph/GEPSNONPILOT/Tender/SplashBidNoticeAbstractUI.aspx?menuIndex=3&amp;refID=7156615&amp;Result=3","7156615")</f>
        <v>0</v>
      </c>
      <c r="B14908" t="s">
        <v>360</v>
      </c>
      <c r="C14908" t="s">
        <v>17972</v>
      </c>
      <c r="D14908" t="s">
        <v>19040</v>
      </c>
      <c r="E14908" t="s">
        <v>31677</v>
      </c>
      <c r="F14908" t="s">
        <v>32606</v>
      </c>
      <c r="G14908" t="s">
        <v>32613</v>
      </c>
      <c r="H14908" t="s">
        <v>14201</v>
      </c>
      <c r="I14908" t="s">
        <v>32631</v>
      </c>
      <c r="J14908" t="s">
        <v>40978</v>
      </c>
      <c r="K14908" t="s">
        <v>42622</v>
      </c>
      <c r="M14908" t="s">
        <v>43332</v>
      </c>
      <c r="N14908" t="s">
        <v>47304</v>
      </c>
      <c r="O14908" t="s">
        <v>47305</v>
      </c>
      <c r="P14908">
        <v>0</v>
      </c>
      <c r="Q14908">
        <v>7</v>
      </c>
      <c r="R14908" t="s">
        <v>47326</v>
      </c>
      <c r="S14908" t="s">
        <v>48346</v>
      </c>
      <c r="T14908" t="s">
        <v>49004</v>
      </c>
      <c r="U14908" t="s">
        <v>61836</v>
      </c>
      <c r="W14908" t="s">
        <v>43332</v>
      </c>
      <c r="X14908" t="s">
        <v>47327</v>
      </c>
    </row>
    <row r="14909" spans="1:24">
      <c r="A14909">
        <f>HYPERLINK("https://www.philgeps.gov.ph/GEPSNONPILOT/Tender/SplashBidNoticeAbstractUI.aspx?menuIndex=3&amp;refID=7156586&amp;Result=3","7156586")</f>
        <v>0</v>
      </c>
      <c r="B14909" t="s">
        <v>3830</v>
      </c>
      <c r="C14909" t="s">
        <v>17973</v>
      </c>
      <c r="D14909" t="s">
        <v>19021</v>
      </c>
      <c r="E14909" t="s">
        <v>31678</v>
      </c>
      <c r="F14909" t="s">
        <v>32606</v>
      </c>
      <c r="G14909" t="s">
        <v>32613</v>
      </c>
      <c r="H14909" t="s">
        <v>32623</v>
      </c>
      <c r="I14909" t="s">
        <v>17648</v>
      </c>
      <c r="J14909" t="s">
        <v>41966</v>
      </c>
      <c r="K14909" t="s">
        <v>42669</v>
      </c>
      <c r="M14909" t="s">
        <v>47177</v>
      </c>
      <c r="N14909" t="s">
        <v>47304</v>
      </c>
      <c r="O14909" t="s">
        <v>47305</v>
      </c>
      <c r="P14909">
        <v>0</v>
      </c>
      <c r="Q14909">
        <v>15</v>
      </c>
      <c r="R14909" t="s">
        <v>47326</v>
      </c>
      <c r="S14909" t="s">
        <v>48346</v>
      </c>
      <c r="T14909" t="s">
        <v>49020</v>
      </c>
      <c r="U14909" t="s">
        <v>61837</v>
      </c>
      <c r="W14909" t="s">
        <v>47177</v>
      </c>
      <c r="X14909" t="s">
        <v>47327</v>
      </c>
    </row>
    <row r="14910" spans="1:24">
      <c r="A14910">
        <f>HYPERLINK("https://www.philgeps.gov.ph/GEPSNONPILOT/Tender/SplashBidNoticeAbstractUI.aspx?menuIndex=3&amp;refID=7156007&amp;Result=3","7156007")</f>
        <v>0</v>
      </c>
      <c r="B14910" t="s">
        <v>2042</v>
      </c>
      <c r="C14910" t="s">
        <v>17974</v>
      </c>
      <c r="D14910" t="s">
        <v>19070</v>
      </c>
      <c r="E14910" t="s">
        <v>31679</v>
      </c>
      <c r="F14910" t="s">
        <v>32606</v>
      </c>
      <c r="G14910" t="s">
        <v>32613</v>
      </c>
      <c r="H14910" t="s">
        <v>32623</v>
      </c>
      <c r="I14910" t="s">
        <v>17648</v>
      </c>
      <c r="J14910" t="s">
        <v>32772</v>
      </c>
      <c r="K14910" t="s">
        <v>42631</v>
      </c>
      <c r="M14910" t="s">
        <v>45120</v>
      </c>
      <c r="N14910" t="s">
        <v>47304</v>
      </c>
      <c r="O14910" t="s">
        <v>47305</v>
      </c>
      <c r="P14910">
        <v>0</v>
      </c>
      <c r="Q14910">
        <v>1</v>
      </c>
      <c r="R14910" t="s">
        <v>47326</v>
      </c>
      <c r="S14910" t="s">
        <v>48346</v>
      </c>
      <c r="T14910" t="s">
        <v>49071</v>
      </c>
      <c r="U14910" t="s">
        <v>60446</v>
      </c>
      <c r="V14910" t="s">
        <v>64286</v>
      </c>
      <c r="W14910" t="s">
        <v>45120</v>
      </c>
      <c r="X14910" t="s">
        <v>47327</v>
      </c>
    </row>
    <row r="14911" spans="1:24">
      <c r="A14911">
        <f>HYPERLINK("https://www.philgeps.gov.ph/GEPSNONPILOT/Tender/SplashBidNoticeAbstractUI.aspx?menuIndex=3&amp;refID=7156560&amp;Result=3","7156560")</f>
        <v>0</v>
      </c>
      <c r="B14911" t="s">
        <v>360</v>
      </c>
      <c r="C14911" t="s">
        <v>17975</v>
      </c>
      <c r="D14911" t="s">
        <v>19040</v>
      </c>
      <c r="E14911" t="s">
        <v>31680</v>
      </c>
      <c r="F14911" t="s">
        <v>32606</v>
      </c>
      <c r="G14911" t="s">
        <v>32613</v>
      </c>
      <c r="H14911" t="s">
        <v>14201</v>
      </c>
      <c r="I14911" t="s">
        <v>32640</v>
      </c>
      <c r="J14911" t="s">
        <v>33598</v>
      </c>
      <c r="K14911" t="s">
        <v>42631</v>
      </c>
      <c r="M14911" t="s">
        <v>43332</v>
      </c>
      <c r="N14911" t="s">
        <v>47304</v>
      </c>
      <c r="O14911" t="s">
        <v>47305</v>
      </c>
      <c r="P14911">
        <v>0</v>
      </c>
      <c r="Q14911">
        <v>11</v>
      </c>
      <c r="R14911" t="s">
        <v>47326</v>
      </c>
      <c r="S14911" t="s">
        <v>48346</v>
      </c>
      <c r="T14911" t="s">
        <v>49004</v>
      </c>
      <c r="U14911" t="s">
        <v>61838</v>
      </c>
      <c r="W14911" t="s">
        <v>43332</v>
      </c>
      <c r="X14911" t="s">
        <v>47327</v>
      </c>
    </row>
    <row r="14912" spans="1:24">
      <c r="A14912">
        <f>HYPERLINK("https://www.philgeps.gov.ph/GEPSNONPILOT/Tender/SplashBidNoticeAbstractUI.aspx?menuIndex=3&amp;refID=7156167&amp;Result=3","7156167")</f>
        <v>0</v>
      </c>
      <c r="B14912" t="s">
        <v>3119</v>
      </c>
      <c r="C14912" t="s">
        <v>17976</v>
      </c>
      <c r="D14912" t="s">
        <v>19006</v>
      </c>
      <c r="E14912" t="s">
        <v>31681</v>
      </c>
      <c r="F14912" t="s">
        <v>32606</v>
      </c>
      <c r="G14912" t="s">
        <v>32613</v>
      </c>
      <c r="H14912" t="s">
        <v>32623</v>
      </c>
      <c r="I14912" t="s">
        <v>17648</v>
      </c>
      <c r="J14912" t="s">
        <v>41967</v>
      </c>
      <c r="K14912" t="s">
        <v>42718</v>
      </c>
      <c r="M14912" t="s">
        <v>46329</v>
      </c>
      <c r="N14912" t="s">
        <v>47304</v>
      </c>
      <c r="O14912" t="s">
        <v>47305</v>
      </c>
      <c r="P14912">
        <v>0</v>
      </c>
      <c r="Q14912">
        <v>1</v>
      </c>
      <c r="R14912" t="s">
        <v>47326</v>
      </c>
      <c r="S14912" t="s">
        <v>48346</v>
      </c>
      <c r="T14912" t="s">
        <v>48980</v>
      </c>
      <c r="U14912" t="s">
        <v>61831</v>
      </c>
      <c r="V14912" t="s">
        <v>63747</v>
      </c>
      <c r="W14912" t="s">
        <v>46329</v>
      </c>
      <c r="X14912" t="s">
        <v>47327</v>
      </c>
    </row>
    <row r="14913" spans="1:24">
      <c r="A14913">
        <f>HYPERLINK("https://www.philgeps.gov.ph/GEPSNONPILOT/Tender/SplashBidNoticeAbstractUI.aspx?menuIndex=3&amp;refID=7156507&amp;Result=3","7156507")</f>
        <v>0</v>
      </c>
      <c r="B14913" t="s">
        <v>1664</v>
      </c>
      <c r="C14913" t="s">
        <v>17977</v>
      </c>
      <c r="D14913" t="s">
        <v>19067</v>
      </c>
      <c r="E14913" t="s">
        <v>31682</v>
      </c>
      <c r="F14913" t="s">
        <v>32606</v>
      </c>
      <c r="G14913" t="s">
        <v>32613</v>
      </c>
      <c r="H14913" t="s">
        <v>14201</v>
      </c>
      <c r="I14913" t="s">
        <v>4120</v>
      </c>
      <c r="J14913" t="s">
        <v>41968</v>
      </c>
      <c r="K14913" t="s">
        <v>42631</v>
      </c>
      <c r="M14913" t="s">
        <v>47175</v>
      </c>
      <c r="N14913" t="s">
        <v>47304</v>
      </c>
      <c r="O14913" t="s">
        <v>47305</v>
      </c>
      <c r="Q14913">
        <v>4</v>
      </c>
      <c r="R14913" t="s">
        <v>47326</v>
      </c>
      <c r="S14913" t="s">
        <v>48370</v>
      </c>
      <c r="T14913" t="s">
        <v>49071</v>
      </c>
      <c r="U14913" t="s">
        <v>61825</v>
      </c>
      <c r="W14913" t="s">
        <v>47175</v>
      </c>
      <c r="X14913" t="s">
        <v>47327</v>
      </c>
    </row>
    <row r="14914" spans="1:24">
      <c r="A14914">
        <f>HYPERLINK("https://www.philgeps.gov.ph/GEPSNONPILOT/Tender/SplashBidNoticeAbstractUI.aspx?menuIndex=3&amp;refID=7156518&amp;Result=3","7156518")</f>
        <v>0</v>
      </c>
      <c r="B14914" t="s">
        <v>3831</v>
      </c>
      <c r="C14914" t="s">
        <v>17978</v>
      </c>
      <c r="E14914" t="s">
        <v>31683</v>
      </c>
      <c r="F14914" t="s">
        <v>32606</v>
      </c>
      <c r="G14914" t="s">
        <v>32613</v>
      </c>
      <c r="H14914" t="s">
        <v>14201</v>
      </c>
      <c r="I14914" t="s">
        <v>6298</v>
      </c>
      <c r="J14914" t="s">
        <v>41969</v>
      </c>
      <c r="K14914" t="s">
        <v>42648</v>
      </c>
      <c r="M14914" t="s">
        <v>47178</v>
      </c>
      <c r="N14914" t="s">
        <v>47304</v>
      </c>
      <c r="O14914" t="s">
        <v>47305</v>
      </c>
      <c r="Q14914">
        <v>6</v>
      </c>
      <c r="R14914" t="s">
        <v>47326</v>
      </c>
      <c r="S14914" t="s">
        <v>48371</v>
      </c>
      <c r="T14914" t="s">
        <v>48973</v>
      </c>
      <c r="U14914" t="s">
        <v>61839</v>
      </c>
      <c r="W14914" t="s">
        <v>47178</v>
      </c>
      <c r="X14914" t="s">
        <v>47327</v>
      </c>
    </row>
    <row r="14915" spans="1:24">
      <c r="A14915">
        <f>HYPERLINK("https://www.philgeps.gov.ph/GEPSNONPILOT/Tender/SplashBidNoticeAbstractUI.aspx?menuIndex=3&amp;refID=7156483&amp;Result=3","7156483")</f>
        <v>0</v>
      </c>
      <c r="B14915" t="s">
        <v>535</v>
      </c>
      <c r="C14915" t="s">
        <v>17979</v>
      </c>
      <c r="D14915" t="s">
        <v>19031</v>
      </c>
      <c r="E14915" t="s">
        <v>31684</v>
      </c>
      <c r="F14915" t="s">
        <v>32606</v>
      </c>
      <c r="G14915" t="s">
        <v>32613</v>
      </c>
      <c r="H14915" t="s">
        <v>14201</v>
      </c>
      <c r="I14915" t="s">
        <v>6931</v>
      </c>
      <c r="J14915" t="s">
        <v>41970</v>
      </c>
      <c r="K14915" t="s">
        <v>42639</v>
      </c>
      <c r="M14915" t="s">
        <v>43448</v>
      </c>
      <c r="N14915" t="s">
        <v>47304</v>
      </c>
      <c r="O14915" t="s">
        <v>47305</v>
      </c>
      <c r="P14915">
        <v>0</v>
      </c>
      <c r="Q14915">
        <v>1</v>
      </c>
      <c r="R14915" t="s">
        <v>47326</v>
      </c>
      <c r="S14915" t="s">
        <v>48346</v>
      </c>
      <c r="T14915" t="s">
        <v>49268</v>
      </c>
      <c r="U14915" t="s">
        <v>61840</v>
      </c>
      <c r="W14915" t="s">
        <v>43448</v>
      </c>
      <c r="X14915" t="s">
        <v>47327</v>
      </c>
    </row>
    <row r="14916" spans="1:24">
      <c r="A14916">
        <f>HYPERLINK("https://www.philgeps.gov.ph/GEPSNONPILOT/Tender/SplashBidNoticeAbstractUI.aspx?menuIndex=3&amp;refID=7156038&amp;Result=3","7156038")</f>
        <v>0</v>
      </c>
      <c r="B14916" t="s">
        <v>3740</v>
      </c>
      <c r="C14916" t="s">
        <v>17980</v>
      </c>
      <c r="D14916" t="s">
        <v>19056</v>
      </c>
      <c r="E14916" t="s">
        <v>31685</v>
      </c>
      <c r="F14916" t="s">
        <v>32606</v>
      </c>
      <c r="G14916" t="s">
        <v>32613</v>
      </c>
      <c r="H14916" t="s">
        <v>14201</v>
      </c>
      <c r="I14916" t="s">
        <v>7064</v>
      </c>
      <c r="J14916" t="s">
        <v>32767</v>
      </c>
      <c r="K14916" t="s">
        <v>42648</v>
      </c>
      <c r="M14916" t="s">
        <v>47067</v>
      </c>
      <c r="N14916" t="s">
        <v>47304</v>
      </c>
      <c r="O14916" t="s">
        <v>47305</v>
      </c>
      <c r="P14916">
        <v>0</v>
      </c>
      <c r="Q14916">
        <v>10</v>
      </c>
      <c r="R14916" t="s">
        <v>47326</v>
      </c>
      <c r="S14916" t="s">
        <v>48346</v>
      </c>
      <c r="T14916" t="s">
        <v>49146</v>
      </c>
      <c r="U14916" t="s">
        <v>61813</v>
      </c>
      <c r="W14916" t="s">
        <v>47067</v>
      </c>
      <c r="X14916" t="s">
        <v>47327</v>
      </c>
    </row>
    <row r="14917" spans="1:24">
      <c r="A14917">
        <f>HYPERLINK("https://www.philgeps.gov.ph/GEPSNONPILOT/Tender/SplashBidNoticeAbstractUI.aspx?menuIndex=3&amp;refID=7156920&amp;Result=3","7156920")</f>
        <v>0</v>
      </c>
      <c r="B14917" t="s">
        <v>2274</v>
      </c>
      <c r="C14917" t="s">
        <v>17981</v>
      </c>
      <c r="D14917" t="s">
        <v>19028</v>
      </c>
      <c r="E14917" t="s">
        <v>31686</v>
      </c>
      <c r="F14917" t="s">
        <v>32606</v>
      </c>
      <c r="G14917" t="s">
        <v>32613</v>
      </c>
      <c r="H14917" t="s">
        <v>32623</v>
      </c>
      <c r="I14917" t="s">
        <v>17648</v>
      </c>
      <c r="J14917" t="s">
        <v>33617</v>
      </c>
      <c r="K14917" t="s">
        <v>42636</v>
      </c>
      <c r="M14917" t="s">
        <v>46794</v>
      </c>
      <c r="N14917" t="s">
        <v>47304</v>
      </c>
      <c r="O14917" t="s">
        <v>47305</v>
      </c>
      <c r="P14917">
        <v>0</v>
      </c>
      <c r="Q14917">
        <v>8</v>
      </c>
      <c r="R14917" t="s">
        <v>47326</v>
      </c>
      <c r="S14917" t="s">
        <v>48346</v>
      </c>
      <c r="T14917" t="s">
        <v>49221</v>
      </c>
      <c r="U14917" t="s">
        <v>61841</v>
      </c>
      <c r="W14917" t="s">
        <v>46794</v>
      </c>
      <c r="X14917" t="s">
        <v>47327</v>
      </c>
    </row>
    <row r="14918" spans="1:24">
      <c r="A14918">
        <f>HYPERLINK("https://www.philgeps.gov.ph/GEPSNONPILOT/Tender/SplashBidNoticeAbstractUI.aspx?menuIndex=3&amp;refID=7156905&amp;Result=3","7156905")</f>
        <v>0</v>
      </c>
      <c r="B14918" t="s">
        <v>3340</v>
      </c>
      <c r="C14918" t="s">
        <v>17982</v>
      </c>
      <c r="D14918" t="s">
        <v>19063</v>
      </c>
      <c r="E14918" t="s">
        <v>29657</v>
      </c>
      <c r="F14918" t="s">
        <v>32606</v>
      </c>
      <c r="G14918" t="s">
        <v>32613</v>
      </c>
      <c r="H14918" t="s">
        <v>32623</v>
      </c>
      <c r="I14918" t="s">
        <v>17648</v>
      </c>
      <c r="J14918" t="s">
        <v>41971</v>
      </c>
      <c r="K14918" t="s">
        <v>42864</v>
      </c>
      <c r="M14918" t="s">
        <v>46587</v>
      </c>
      <c r="N14918" t="s">
        <v>47304</v>
      </c>
      <c r="O14918" t="s">
        <v>47305</v>
      </c>
      <c r="P14918">
        <v>0</v>
      </c>
      <c r="Q14918">
        <v>8</v>
      </c>
      <c r="R14918" t="s">
        <v>47326</v>
      </c>
      <c r="S14918" t="s">
        <v>48346</v>
      </c>
      <c r="T14918" t="s">
        <v>49268</v>
      </c>
      <c r="U14918" t="s">
        <v>61842</v>
      </c>
      <c r="W14918" t="s">
        <v>46587</v>
      </c>
      <c r="X14918" t="s">
        <v>47327</v>
      </c>
    </row>
    <row r="14919" spans="1:24">
      <c r="A14919">
        <f>HYPERLINK("https://www.philgeps.gov.ph/GEPSNONPILOT/Tender/SplashBidNoticeAbstractUI.aspx?menuIndex=3&amp;refID=7156907&amp;Result=3","7156907")</f>
        <v>0</v>
      </c>
      <c r="B14919" t="s">
        <v>3789</v>
      </c>
      <c r="C14919" t="s">
        <v>17983</v>
      </c>
      <c r="D14919" t="s">
        <v>19037</v>
      </c>
      <c r="E14919" t="s">
        <v>31687</v>
      </c>
      <c r="F14919" t="s">
        <v>32606</v>
      </c>
      <c r="G14919" t="s">
        <v>32613</v>
      </c>
      <c r="H14919" t="s">
        <v>32623</v>
      </c>
      <c r="I14919" t="s">
        <v>17648</v>
      </c>
      <c r="J14919" t="s">
        <v>41972</v>
      </c>
      <c r="K14919" t="s">
        <v>42636</v>
      </c>
      <c r="M14919" t="s">
        <v>47179</v>
      </c>
      <c r="N14919" t="s">
        <v>47304</v>
      </c>
      <c r="O14919" t="s">
        <v>47305</v>
      </c>
      <c r="P14919">
        <v>0</v>
      </c>
      <c r="Q14919">
        <v>8</v>
      </c>
      <c r="R14919" t="s">
        <v>47326</v>
      </c>
      <c r="S14919" t="s">
        <v>48346</v>
      </c>
      <c r="T14919" t="s">
        <v>49331</v>
      </c>
      <c r="U14919" t="s">
        <v>61843</v>
      </c>
      <c r="V14919" t="s">
        <v>64293</v>
      </c>
      <c r="W14919" t="s">
        <v>47179</v>
      </c>
      <c r="X14919" t="s">
        <v>47327</v>
      </c>
    </row>
    <row r="14920" spans="1:24">
      <c r="A14920">
        <f>HYPERLINK("https://www.philgeps.gov.ph/GEPSNONPILOT/Tender/SplashBidNoticeAbstractUI.aspx?menuIndex=3&amp;refID=7156538&amp;Result=3","7156538")</f>
        <v>0</v>
      </c>
      <c r="B14920" t="s">
        <v>3832</v>
      </c>
      <c r="C14920" t="s">
        <v>17984</v>
      </c>
      <c r="D14920" t="s">
        <v>19028</v>
      </c>
      <c r="E14920" t="s">
        <v>31688</v>
      </c>
      <c r="F14920" t="s">
        <v>32606</v>
      </c>
      <c r="G14920" t="s">
        <v>32613</v>
      </c>
      <c r="H14920" t="s">
        <v>32624</v>
      </c>
      <c r="I14920" t="s">
        <v>32673</v>
      </c>
      <c r="J14920" t="s">
        <v>41973</v>
      </c>
      <c r="K14920" t="s">
        <v>42646</v>
      </c>
      <c r="M14920" t="s">
        <v>47180</v>
      </c>
      <c r="N14920" t="s">
        <v>47304</v>
      </c>
      <c r="O14920" t="s">
        <v>47305</v>
      </c>
      <c r="Q14920">
        <v>5</v>
      </c>
      <c r="R14920" t="s">
        <v>47326</v>
      </c>
      <c r="S14920" t="s">
        <v>47691</v>
      </c>
      <c r="T14920" t="s">
        <v>49110</v>
      </c>
      <c r="U14920" t="s">
        <v>61844</v>
      </c>
      <c r="V14920" t="s">
        <v>64294</v>
      </c>
      <c r="W14920" t="s">
        <v>47180</v>
      </c>
      <c r="X14920" t="s">
        <v>47327</v>
      </c>
    </row>
    <row r="14921" spans="1:24">
      <c r="A14921">
        <f>HYPERLINK("https://www.philgeps.gov.ph/GEPSNONPILOT/Tender/SplashBidNoticeAbstractUI.aspx?menuIndex=3&amp;refID=7156878&amp;Result=3","7156878")</f>
        <v>0</v>
      </c>
      <c r="B14921" t="s">
        <v>3664</v>
      </c>
      <c r="C14921" t="s">
        <v>17985</v>
      </c>
      <c r="D14921" t="s">
        <v>19031</v>
      </c>
      <c r="E14921" t="s">
        <v>31689</v>
      </c>
      <c r="F14921" t="s">
        <v>32606</v>
      </c>
      <c r="G14921" t="s">
        <v>32613</v>
      </c>
      <c r="H14921" t="s">
        <v>32623</v>
      </c>
      <c r="I14921" t="s">
        <v>17648</v>
      </c>
      <c r="J14921" t="s">
        <v>41974</v>
      </c>
      <c r="K14921" t="s">
        <v>42636</v>
      </c>
      <c r="M14921" t="s">
        <v>46969</v>
      </c>
      <c r="N14921" t="s">
        <v>47304</v>
      </c>
      <c r="O14921" t="s">
        <v>47305</v>
      </c>
      <c r="P14921">
        <v>0</v>
      </c>
      <c r="Q14921">
        <v>0</v>
      </c>
      <c r="R14921" t="s">
        <v>47326</v>
      </c>
      <c r="S14921" t="s">
        <v>48346</v>
      </c>
      <c r="T14921" t="s">
        <v>49018</v>
      </c>
      <c r="U14921" t="s">
        <v>61845</v>
      </c>
      <c r="V14921" t="s">
        <v>64117</v>
      </c>
      <c r="W14921" t="s">
        <v>46969</v>
      </c>
      <c r="X14921" t="s">
        <v>47327</v>
      </c>
    </row>
    <row r="14922" spans="1:24">
      <c r="A14922">
        <f>HYPERLINK("https://www.philgeps.gov.ph/GEPSNONPILOT/Tender/SplashBidNoticeAbstractUI.aspx?menuIndex=3&amp;refID=7156628&amp;Result=3","7156628")</f>
        <v>0</v>
      </c>
      <c r="B14922" t="s">
        <v>3830</v>
      </c>
      <c r="C14922" t="s">
        <v>17986</v>
      </c>
      <c r="D14922" t="s">
        <v>19021</v>
      </c>
      <c r="E14922" t="s">
        <v>31690</v>
      </c>
      <c r="F14922" t="s">
        <v>32606</v>
      </c>
      <c r="G14922" t="s">
        <v>32613</v>
      </c>
      <c r="H14922" t="s">
        <v>32623</v>
      </c>
      <c r="I14922" t="s">
        <v>17648</v>
      </c>
      <c r="J14922" t="s">
        <v>32756</v>
      </c>
      <c r="K14922" t="s">
        <v>42727</v>
      </c>
      <c r="M14922" t="s">
        <v>47177</v>
      </c>
      <c r="N14922" t="s">
        <v>47304</v>
      </c>
      <c r="O14922" t="s">
        <v>47305</v>
      </c>
      <c r="P14922">
        <v>0</v>
      </c>
      <c r="Q14922">
        <v>15</v>
      </c>
      <c r="R14922" t="s">
        <v>47326</v>
      </c>
      <c r="S14922" t="s">
        <v>48346</v>
      </c>
      <c r="T14922" t="s">
        <v>49020</v>
      </c>
      <c r="U14922" t="s">
        <v>61846</v>
      </c>
      <c r="W14922" t="s">
        <v>47177</v>
      </c>
      <c r="X14922" t="s">
        <v>47327</v>
      </c>
    </row>
    <row r="14923" spans="1:24">
      <c r="A14923">
        <f>HYPERLINK("https://www.philgeps.gov.ph/GEPSNONPILOT/Tender/SplashBidNoticeAbstractUI.aspx?menuIndex=3&amp;refID=7156875&amp;Result=3","7156875")</f>
        <v>0</v>
      </c>
      <c r="B14923" t="s">
        <v>2707</v>
      </c>
      <c r="C14923" t="s">
        <v>17987</v>
      </c>
      <c r="D14923" t="s">
        <v>19016</v>
      </c>
      <c r="E14923" t="s">
        <v>31691</v>
      </c>
      <c r="F14923" t="s">
        <v>32606</v>
      </c>
      <c r="G14923" t="s">
        <v>32613</v>
      </c>
      <c r="H14923" t="s">
        <v>32623</v>
      </c>
      <c r="I14923" t="s">
        <v>17648</v>
      </c>
      <c r="J14923" t="s">
        <v>41975</v>
      </c>
      <c r="K14923" t="s">
        <v>42682</v>
      </c>
      <c r="M14923" t="s">
        <v>45860</v>
      </c>
      <c r="N14923" t="s">
        <v>47304</v>
      </c>
      <c r="O14923" t="s">
        <v>47305</v>
      </c>
      <c r="P14923">
        <v>0</v>
      </c>
      <c r="Q14923">
        <v>69</v>
      </c>
      <c r="R14923" t="s">
        <v>47326</v>
      </c>
      <c r="S14923" t="s">
        <v>48346</v>
      </c>
      <c r="T14923" t="s">
        <v>48976</v>
      </c>
      <c r="U14923" t="s">
        <v>61847</v>
      </c>
      <c r="V14923" t="s">
        <v>64295</v>
      </c>
      <c r="W14923" t="s">
        <v>45860</v>
      </c>
      <c r="X14923" t="s">
        <v>47327</v>
      </c>
    </row>
    <row r="14924" spans="1:24">
      <c r="A14924">
        <f>HYPERLINK("https://www.philgeps.gov.ph/GEPSNONPILOT/Tender/SplashBidNoticeAbstractUI.aspx?menuIndex=3&amp;refID=7156868&amp;Result=3","7156868")</f>
        <v>0</v>
      </c>
      <c r="B14924" t="s">
        <v>3833</v>
      </c>
      <c r="C14924" t="s">
        <v>17988</v>
      </c>
      <c r="D14924" t="s">
        <v>19002</v>
      </c>
      <c r="E14924" t="s">
        <v>31692</v>
      </c>
      <c r="F14924" t="s">
        <v>32606</v>
      </c>
      <c r="G14924" t="s">
        <v>32613</v>
      </c>
      <c r="H14924" t="s">
        <v>32623</v>
      </c>
      <c r="I14924" t="s">
        <v>17648</v>
      </c>
      <c r="J14924" t="s">
        <v>32821</v>
      </c>
      <c r="K14924" t="s">
        <v>42712</v>
      </c>
      <c r="M14924" t="s">
        <v>47181</v>
      </c>
      <c r="N14924" t="s">
        <v>47304</v>
      </c>
      <c r="O14924" t="s">
        <v>47305</v>
      </c>
      <c r="P14924">
        <v>0</v>
      </c>
      <c r="Q14924">
        <v>0</v>
      </c>
      <c r="R14924" t="s">
        <v>47326</v>
      </c>
      <c r="S14924" t="s">
        <v>48346</v>
      </c>
      <c r="T14924" t="s">
        <v>49268</v>
      </c>
      <c r="U14924" t="s">
        <v>61848</v>
      </c>
      <c r="W14924" t="s">
        <v>64558</v>
      </c>
      <c r="X14924" t="s">
        <v>47327</v>
      </c>
    </row>
    <row r="14925" spans="1:24">
      <c r="A14925">
        <f>HYPERLINK("https://www.philgeps.gov.ph/GEPSNONPILOT/Tender/SplashBidNoticeAbstractUI.aspx?menuIndex=3&amp;refID=7156620&amp;Result=3","7156620")</f>
        <v>0</v>
      </c>
      <c r="B14925" t="s">
        <v>3834</v>
      </c>
      <c r="C14925" t="s">
        <v>17989</v>
      </c>
      <c r="D14925" t="s">
        <v>19037</v>
      </c>
      <c r="E14925" t="s">
        <v>31693</v>
      </c>
      <c r="F14925" t="s">
        <v>32606</v>
      </c>
      <c r="G14925" t="s">
        <v>32613</v>
      </c>
      <c r="H14925" t="s">
        <v>14201</v>
      </c>
      <c r="I14925" t="s">
        <v>4121</v>
      </c>
      <c r="J14925" t="s">
        <v>41976</v>
      </c>
      <c r="K14925" t="s">
        <v>42631</v>
      </c>
      <c r="M14925" t="s">
        <v>47182</v>
      </c>
      <c r="N14925" t="s">
        <v>47304</v>
      </c>
      <c r="O14925" t="s">
        <v>47305</v>
      </c>
      <c r="Q14925">
        <v>8</v>
      </c>
      <c r="R14925" t="s">
        <v>47326</v>
      </c>
      <c r="S14925" t="s">
        <v>48372</v>
      </c>
      <c r="T14925" t="s">
        <v>49331</v>
      </c>
      <c r="U14925" t="s">
        <v>61849</v>
      </c>
      <c r="W14925" t="s">
        <v>47182</v>
      </c>
      <c r="X14925" t="s">
        <v>47327</v>
      </c>
    </row>
    <row r="14926" spans="1:24">
      <c r="A14926">
        <f>HYPERLINK("https://www.philgeps.gov.ph/GEPSNONPILOT/Tender/SplashBidNoticeAbstractUI.aspx?menuIndex=3&amp;refID=7156855&amp;Result=3","7156855")</f>
        <v>0</v>
      </c>
      <c r="B14926" t="s">
        <v>1414</v>
      </c>
      <c r="C14926" t="s">
        <v>17990</v>
      </c>
      <c r="D14926" t="s">
        <v>18994</v>
      </c>
      <c r="E14926" t="s">
        <v>31694</v>
      </c>
      <c r="F14926" t="s">
        <v>32606</v>
      </c>
      <c r="G14926" t="s">
        <v>32613</v>
      </c>
      <c r="H14926" t="s">
        <v>14201</v>
      </c>
      <c r="I14926" t="s">
        <v>7064</v>
      </c>
      <c r="J14926" t="s">
        <v>32861</v>
      </c>
      <c r="K14926" t="s">
        <v>42639</v>
      </c>
      <c r="M14926" t="s">
        <v>44402</v>
      </c>
      <c r="N14926" t="s">
        <v>47304</v>
      </c>
      <c r="O14926" t="s">
        <v>47305</v>
      </c>
      <c r="Q14926">
        <v>2</v>
      </c>
      <c r="R14926" t="s">
        <v>47326</v>
      </c>
      <c r="S14926" t="s">
        <v>48155</v>
      </c>
      <c r="T14926" t="s">
        <v>49053</v>
      </c>
      <c r="U14926" t="s">
        <v>61850</v>
      </c>
      <c r="W14926" t="s">
        <v>44402</v>
      </c>
      <c r="X14926" t="s">
        <v>47327</v>
      </c>
    </row>
    <row r="14927" spans="1:24">
      <c r="A14927">
        <f>HYPERLINK("https://www.philgeps.gov.ph/GEPSNONPILOT/Tender/SplashBidNoticeAbstractUI.aspx?menuIndex=3&amp;refID=7156830&amp;Result=3","7156830")</f>
        <v>0</v>
      </c>
      <c r="B14927" t="s">
        <v>3832</v>
      </c>
      <c r="C14927" t="s">
        <v>17991</v>
      </c>
      <c r="D14927" t="s">
        <v>19028</v>
      </c>
      <c r="E14927" t="s">
        <v>31695</v>
      </c>
      <c r="F14927" t="s">
        <v>32606</v>
      </c>
      <c r="G14927" t="s">
        <v>32613</v>
      </c>
      <c r="H14927" t="s">
        <v>32624</v>
      </c>
      <c r="I14927" t="s">
        <v>32673</v>
      </c>
      <c r="J14927" t="s">
        <v>39251</v>
      </c>
      <c r="K14927" t="s">
        <v>42646</v>
      </c>
      <c r="M14927" t="s">
        <v>47180</v>
      </c>
      <c r="N14927" t="s">
        <v>47304</v>
      </c>
      <c r="O14927" t="s">
        <v>47305</v>
      </c>
      <c r="Q14927">
        <v>3</v>
      </c>
      <c r="R14927" t="s">
        <v>47326</v>
      </c>
      <c r="S14927" t="s">
        <v>48373</v>
      </c>
      <c r="T14927" t="s">
        <v>49110</v>
      </c>
      <c r="U14927" t="s">
        <v>61844</v>
      </c>
      <c r="V14927" t="s">
        <v>64296</v>
      </c>
      <c r="W14927" t="s">
        <v>47180</v>
      </c>
      <c r="X14927" t="s">
        <v>47327</v>
      </c>
    </row>
    <row r="14928" spans="1:24">
      <c r="A14928">
        <f>HYPERLINK("https://www.philgeps.gov.ph/GEPSNONPILOT/Tender/SplashBidNoticeAbstractUI.aspx?menuIndex=3&amp;refID=7156839&amp;Result=3","7156839")</f>
        <v>0</v>
      </c>
      <c r="B14928" t="s">
        <v>962</v>
      </c>
      <c r="C14928" t="s">
        <v>17992</v>
      </c>
      <c r="D14928" t="s">
        <v>18991</v>
      </c>
      <c r="E14928" t="s">
        <v>31696</v>
      </c>
      <c r="F14928" t="s">
        <v>32606</v>
      </c>
      <c r="G14928" t="s">
        <v>32613</v>
      </c>
      <c r="H14928" t="s">
        <v>32623</v>
      </c>
      <c r="I14928" t="s">
        <v>17648</v>
      </c>
      <c r="J14928" t="s">
        <v>41977</v>
      </c>
      <c r="K14928" t="s">
        <v>42901</v>
      </c>
      <c r="M14928" t="s">
        <v>43907</v>
      </c>
      <c r="N14928" t="s">
        <v>47304</v>
      </c>
      <c r="O14928" t="s">
        <v>47305</v>
      </c>
      <c r="Q14928">
        <v>0</v>
      </c>
      <c r="R14928" t="s">
        <v>47326</v>
      </c>
      <c r="S14928" t="s">
        <v>48374</v>
      </c>
      <c r="T14928" t="s">
        <v>49072</v>
      </c>
      <c r="U14928" t="s">
        <v>61851</v>
      </c>
      <c r="V14928" t="s">
        <v>64297</v>
      </c>
      <c r="W14928" t="s">
        <v>43907</v>
      </c>
      <c r="X14928" t="s">
        <v>47327</v>
      </c>
    </row>
    <row r="14929" spans="1:24">
      <c r="A14929">
        <f>HYPERLINK("https://www.philgeps.gov.ph/GEPSNONPILOT/Tender/SplashBidNoticeAbstractUI.aspx?menuIndex=3&amp;refID=7155840&amp;Result=3","7155840")</f>
        <v>0</v>
      </c>
      <c r="B14929" t="s">
        <v>1402</v>
      </c>
      <c r="C14929" t="s">
        <v>17993</v>
      </c>
      <c r="D14929" t="s">
        <v>18992</v>
      </c>
      <c r="E14929" t="s">
        <v>31697</v>
      </c>
      <c r="F14929" t="s">
        <v>32606</v>
      </c>
      <c r="G14929" t="s">
        <v>32613</v>
      </c>
      <c r="H14929" t="s">
        <v>32623</v>
      </c>
      <c r="I14929" t="s">
        <v>17648</v>
      </c>
      <c r="J14929" t="s">
        <v>41978</v>
      </c>
      <c r="K14929" t="s">
        <v>42646</v>
      </c>
      <c r="M14929" t="s">
        <v>44387</v>
      </c>
      <c r="N14929" t="s">
        <v>47304</v>
      </c>
      <c r="O14929" t="s">
        <v>47305</v>
      </c>
      <c r="P14929">
        <v>0</v>
      </c>
      <c r="Q14929">
        <v>0</v>
      </c>
      <c r="R14929" t="s">
        <v>47326</v>
      </c>
      <c r="S14929" t="s">
        <v>48346</v>
      </c>
      <c r="T14929" t="s">
        <v>49347</v>
      </c>
      <c r="U14929" t="s">
        <v>61852</v>
      </c>
      <c r="W14929" t="s">
        <v>44387</v>
      </c>
      <c r="X14929" t="s">
        <v>47327</v>
      </c>
    </row>
    <row r="14930" spans="1:24">
      <c r="A14930">
        <f>HYPERLINK("https://www.philgeps.gov.ph/GEPSNONPILOT/Tender/SplashBidNoticeAbstractUI.aspx?menuIndex=3&amp;refID=7156740&amp;Result=3","7156740")</f>
        <v>0</v>
      </c>
      <c r="B14930" t="s">
        <v>3832</v>
      </c>
      <c r="C14930" t="s">
        <v>17994</v>
      </c>
      <c r="D14930" t="s">
        <v>19028</v>
      </c>
      <c r="E14930" t="s">
        <v>31695</v>
      </c>
      <c r="F14930" t="s">
        <v>32606</v>
      </c>
      <c r="G14930" t="s">
        <v>32613</v>
      </c>
      <c r="H14930" t="s">
        <v>32624</v>
      </c>
      <c r="I14930" t="s">
        <v>32673</v>
      </c>
      <c r="J14930" t="s">
        <v>41979</v>
      </c>
      <c r="K14930" t="s">
        <v>42646</v>
      </c>
      <c r="M14930" t="s">
        <v>47180</v>
      </c>
      <c r="N14930" t="s">
        <v>47304</v>
      </c>
      <c r="O14930" t="s">
        <v>47305</v>
      </c>
      <c r="Q14930">
        <v>5</v>
      </c>
      <c r="R14930" t="s">
        <v>47326</v>
      </c>
      <c r="S14930" t="s">
        <v>48375</v>
      </c>
      <c r="T14930" t="s">
        <v>49110</v>
      </c>
      <c r="U14930" t="s">
        <v>61844</v>
      </c>
      <c r="V14930" t="s">
        <v>64298</v>
      </c>
      <c r="W14930" t="s">
        <v>47180</v>
      </c>
      <c r="X14930" t="s">
        <v>47327</v>
      </c>
    </row>
    <row r="14931" spans="1:24">
      <c r="A14931">
        <f>HYPERLINK("https://www.philgeps.gov.ph/GEPSNONPILOT/Tender/SplashBidNoticeAbstractUI.aspx?menuIndex=3&amp;refID=7156662&amp;Result=3","7156662")</f>
        <v>0</v>
      </c>
      <c r="B14931" t="s">
        <v>360</v>
      </c>
      <c r="C14931" t="s">
        <v>17995</v>
      </c>
      <c r="D14931" t="s">
        <v>19040</v>
      </c>
      <c r="E14931" t="s">
        <v>31698</v>
      </c>
      <c r="F14931" t="s">
        <v>32606</v>
      </c>
      <c r="G14931" t="s">
        <v>32613</v>
      </c>
      <c r="H14931" t="s">
        <v>14201</v>
      </c>
      <c r="I14931" t="s">
        <v>32632</v>
      </c>
      <c r="J14931" t="s">
        <v>41980</v>
      </c>
      <c r="K14931" t="s">
        <v>42631</v>
      </c>
      <c r="M14931" t="s">
        <v>43332</v>
      </c>
      <c r="N14931" t="s">
        <v>47304</v>
      </c>
      <c r="O14931" t="s">
        <v>47305</v>
      </c>
      <c r="P14931">
        <v>0</v>
      </c>
      <c r="Q14931">
        <v>7</v>
      </c>
      <c r="R14931" t="s">
        <v>47326</v>
      </c>
      <c r="S14931" t="s">
        <v>48346</v>
      </c>
      <c r="T14931" t="s">
        <v>49004</v>
      </c>
      <c r="U14931" t="s">
        <v>61853</v>
      </c>
      <c r="W14931" t="s">
        <v>43332</v>
      </c>
      <c r="X14931" t="s">
        <v>47327</v>
      </c>
    </row>
    <row r="14932" spans="1:24">
      <c r="A14932">
        <f>HYPERLINK("https://www.philgeps.gov.ph/GEPSNONPILOT/Tender/SplashBidNoticeAbstractUI.aspx?menuIndex=3&amp;refID=7156810&amp;Result=3","7156810")</f>
        <v>0</v>
      </c>
      <c r="B14932" t="s">
        <v>3700</v>
      </c>
      <c r="C14932" t="s">
        <v>17996</v>
      </c>
      <c r="D14932" t="s">
        <v>18993</v>
      </c>
      <c r="E14932" t="s">
        <v>31699</v>
      </c>
      <c r="F14932" t="s">
        <v>32606</v>
      </c>
      <c r="G14932" t="s">
        <v>32613</v>
      </c>
      <c r="H14932" t="s">
        <v>14201</v>
      </c>
      <c r="I14932" t="s">
        <v>7064</v>
      </c>
      <c r="J14932" t="s">
        <v>41981</v>
      </c>
      <c r="K14932" t="s">
        <v>42712</v>
      </c>
      <c r="M14932" t="s">
        <v>47011</v>
      </c>
      <c r="N14932" t="s">
        <v>47304</v>
      </c>
      <c r="O14932" t="s">
        <v>47305</v>
      </c>
      <c r="Q14932">
        <v>15</v>
      </c>
      <c r="R14932" t="s">
        <v>47326</v>
      </c>
      <c r="S14932" t="s">
        <v>48376</v>
      </c>
      <c r="T14932" t="s">
        <v>48986</v>
      </c>
      <c r="U14932" t="s">
        <v>61854</v>
      </c>
      <c r="W14932" t="s">
        <v>47011</v>
      </c>
      <c r="X14932" t="s">
        <v>47327</v>
      </c>
    </row>
    <row r="14933" spans="1:24">
      <c r="A14933">
        <f>HYPERLINK("https://www.philgeps.gov.ph/GEPSNONPILOT/Tender/SplashBidNoticeAbstractUI.aspx?menuIndex=3&amp;refID=7156640&amp;Result=3","7156640")</f>
        <v>0</v>
      </c>
      <c r="B14933" t="s">
        <v>1503</v>
      </c>
      <c r="C14933" t="s">
        <v>17997</v>
      </c>
      <c r="D14933" t="s">
        <v>19049</v>
      </c>
      <c r="E14933" t="s">
        <v>31700</v>
      </c>
      <c r="F14933" t="s">
        <v>32606</v>
      </c>
      <c r="G14933" t="s">
        <v>32613</v>
      </c>
      <c r="H14933" t="s">
        <v>32623</v>
      </c>
      <c r="I14933" t="s">
        <v>17648</v>
      </c>
      <c r="J14933" t="s">
        <v>41982</v>
      </c>
      <c r="K14933" t="s">
        <v>42646</v>
      </c>
      <c r="M14933" t="s">
        <v>46814</v>
      </c>
      <c r="N14933" t="s">
        <v>47304</v>
      </c>
      <c r="O14933" t="s">
        <v>47305</v>
      </c>
      <c r="P14933">
        <v>0</v>
      </c>
      <c r="Q14933">
        <v>3</v>
      </c>
      <c r="R14933" t="s">
        <v>47326</v>
      </c>
      <c r="S14933" t="s">
        <v>48346</v>
      </c>
      <c r="T14933" t="s">
        <v>49221</v>
      </c>
      <c r="U14933" t="s">
        <v>61855</v>
      </c>
      <c r="W14933" t="s">
        <v>46814</v>
      </c>
      <c r="X14933" t="s">
        <v>47327</v>
      </c>
    </row>
    <row r="14934" spans="1:24">
      <c r="A14934">
        <f>HYPERLINK("https://www.philgeps.gov.ph/GEPSNONPILOT/Tender/SplashBidNoticeAbstractUI.aspx?menuIndex=3&amp;refID=7156803&amp;Result=3","7156803")</f>
        <v>0</v>
      </c>
      <c r="B14934" t="s">
        <v>3835</v>
      </c>
      <c r="C14934" t="s">
        <v>17998</v>
      </c>
      <c r="D14934" t="s">
        <v>18988</v>
      </c>
      <c r="E14934" t="s">
        <v>31701</v>
      </c>
      <c r="F14934" t="s">
        <v>32606</v>
      </c>
      <c r="G14934" t="s">
        <v>32613</v>
      </c>
      <c r="H14934" t="s">
        <v>32623</v>
      </c>
      <c r="I14934" t="s">
        <v>17648</v>
      </c>
      <c r="J14934" t="s">
        <v>41983</v>
      </c>
      <c r="K14934" t="s">
        <v>42624</v>
      </c>
      <c r="M14934" t="s">
        <v>47183</v>
      </c>
      <c r="N14934" t="s">
        <v>47304</v>
      </c>
      <c r="O14934" t="s">
        <v>47305</v>
      </c>
      <c r="P14934">
        <v>0</v>
      </c>
      <c r="Q14934">
        <v>3</v>
      </c>
      <c r="R14934" t="s">
        <v>47326</v>
      </c>
      <c r="S14934" t="s">
        <v>48346</v>
      </c>
      <c r="T14934" t="s">
        <v>49268</v>
      </c>
      <c r="U14934" t="s">
        <v>61856</v>
      </c>
      <c r="W14934" t="s">
        <v>47183</v>
      </c>
      <c r="X14934" t="s">
        <v>47327</v>
      </c>
    </row>
    <row r="14935" spans="1:24">
      <c r="A14935">
        <f>HYPERLINK("https://www.philgeps.gov.ph/GEPSNONPILOT/Tender/SplashBidNoticeAbstractUI.aspx?menuIndex=3&amp;refID=7156636&amp;Result=3","7156636")</f>
        <v>0</v>
      </c>
      <c r="B14935" t="s">
        <v>3832</v>
      </c>
      <c r="C14935" t="s">
        <v>17999</v>
      </c>
      <c r="D14935" t="s">
        <v>19028</v>
      </c>
      <c r="E14935" t="s">
        <v>31695</v>
      </c>
      <c r="F14935" t="s">
        <v>32606</v>
      </c>
      <c r="G14935" t="s">
        <v>32613</v>
      </c>
      <c r="H14935" t="s">
        <v>32624</v>
      </c>
      <c r="I14935" t="s">
        <v>32673</v>
      </c>
      <c r="J14935" t="s">
        <v>41984</v>
      </c>
      <c r="K14935" t="s">
        <v>42646</v>
      </c>
      <c r="M14935" t="s">
        <v>47180</v>
      </c>
      <c r="N14935" t="s">
        <v>47304</v>
      </c>
      <c r="O14935" t="s">
        <v>47305</v>
      </c>
      <c r="Q14935">
        <v>5</v>
      </c>
      <c r="R14935" t="s">
        <v>47326</v>
      </c>
      <c r="S14935" t="s">
        <v>48377</v>
      </c>
      <c r="T14935" t="s">
        <v>49110</v>
      </c>
      <c r="U14935" t="s">
        <v>61844</v>
      </c>
      <c r="V14935" t="s">
        <v>64299</v>
      </c>
      <c r="W14935" t="s">
        <v>47180</v>
      </c>
      <c r="X14935" t="s">
        <v>47327</v>
      </c>
    </row>
    <row r="14936" spans="1:24">
      <c r="A14936">
        <f>HYPERLINK("https://www.philgeps.gov.ph/GEPSNONPILOT/Tender/SplashBidNoticeAbstractUI.aspx?menuIndex=3&amp;refID=7156432&amp;Result=3","7156432")</f>
        <v>0</v>
      </c>
      <c r="B14936" t="s">
        <v>2291</v>
      </c>
      <c r="C14936" t="s">
        <v>18000</v>
      </c>
      <c r="D14936" t="s">
        <v>19028</v>
      </c>
      <c r="E14936" t="s">
        <v>31702</v>
      </c>
      <c r="F14936" t="s">
        <v>32606</v>
      </c>
      <c r="G14936" t="s">
        <v>32613</v>
      </c>
      <c r="H14936" t="s">
        <v>14201</v>
      </c>
      <c r="I14936" t="s">
        <v>32680</v>
      </c>
      <c r="J14936" t="s">
        <v>41985</v>
      </c>
      <c r="K14936" t="s">
        <v>42624</v>
      </c>
      <c r="M14936" t="s">
        <v>47184</v>
      </c>
      <c r="N14936" t="s">
        <v>47304</v>
      </c>
      <c r="O14936" t="s">
        <v>47305</v>
      </c>
      <c r="Q14936">
        <v>5</v>
      </c>
      <c r="R14936" t="s">
        <v>47326</v>
      </c>
      <c r="S14936" t="s">
        <v>48378</v>
      </c>
      <c r="T14936" t="s">
        <v>49018</v>
      </c>
      <c r="U14936" t="s">
        <v>61857</v>
      </c>
      <c r="V14936" t="s">
        <v>63727</v>
      </c>
      <c r="W14936" t="s">
        <v>47184</v>
      </c>
      <c r="X14936" t="s">
        <v>47327</v>
      </c>
    </row>
    <row r="14937" spans="1:24">
      <c r="A14937">
        <f>HYPERLINK("https://www.philgeps.gov.ph/GEPSNONPILOT/Tender/SplashBidNoticeAbstractUI.aspx?menuIndex=3&amp;refID=7156754&amp;Result=3","7156754")</f>
        <v>0</v>
      </c>
      <c r="B14937" t="s">
        <v>2559</v>
      </c>
      <c r="C14937" t="s">
        <v>18001</v>
      </c>
      <c r="D14937" t="s">
        <v>19039</v>
      </c>
      <c r="E14937" t="s">
        <v>31703</v>
      </c>
      <c r="F14937" t="s">
        <v>32606</v>
      </c>
      <c r="G14937" t="s">
        <v>32613</v>
      </c>
      <c r="H14937" t="s">
        <v>14201</v>
      </c>
      <c r="I14937" t="s">
        <v>6931</v>
      </c>
      <c r="J14937" t="s">
        <v>41986</v>
      </c>
      <c r="K14937" t="s">
        <v>42631</v>
      </c>
      <c r="M14937" t="s">
        <v>45699</v>
      </c>
      <c r="N14937" t="s">
        <v>47304</v>
      </c>
      <c r="O14937" t="s">
        <v>47305</v>
      </c>
      <c r="P14937">
        <v>0</v>
      </c>
      <c r="Q14937">
        <v>0</v>
      </c>
      <c r="R14937" t="s">
        <v>47326</v>
      </c>
      <c r="S14937" t="s">
        <v>48346</v>
      </c>
      <c r="T14937" t="s">
        <v>49267</v>
      </c>
      <c r="U14937" t="s">
        <v>56210</v>
      </c>
      <c r="V14937" t="s">
        <v>64300</v>
      </c>
      <c r="W14937" t="s">
        <v>45699</v>
      </c>
      <c r="X14937" t="s">
        <v>47327</v>
      </c>
    </row>
    <row r="14938" spans="1:24">
      <c r="A14938">
        <f>HYPERLINK("https://www.philgeps.gov.ph/GEPSNONPILOT/Tender/SplashBidNoticeAbstractUI.aspx?menuIndex=3&amp;refID=7156873&amp;Result=3","7156873")</f>
        <v>0</v>
      </c>
      <c r="B14938" t="s">
        <v>2709</v>
      </c>
      <c r="C14938" t="s">
        <v>18002</v>
      </c>
      <c r="D14938" t="s">
        <v>19043</v>
      </c>
      <c r="E14938" t="s">
        <v>31704</v>
      </c>
      <c r="F14938" t="s">
        <v>32606</v>
      </c>
      <c r="G14938" t="s">
        <v>32613</v>
      </c>
      <c r="H14938" t="s">
        <v>14201</v>
      </c>
      <c r="I14938" t="s">
        <v>32631</v>
      </c>
      <c r="J14938" t="s">
        <v>41987</v>
      </c>
      <c r="K14938" t="s">
        <v>42627</v>
      </c>
      <c r="M14938" t="s">
        <v>45862</v>
      </c>
      <c r="N14938" t="s">
        <v>47304</v>
      </c>
      <c r="O14938" t="s">
        <v>47305</v>
      </c>
      <c r="P14938">
        <v>0</v>
      </c>
      <c r="Q14938">
        <v>1</v>
      </c>
      <c r="R14938" t="s">
        <v>47326</v>
      </c>
      <c r="S14938" t="s">
        <v>48346</v>
      </c>
      <c r="T14938" t="s">
        <v>49071</v>
      </c>
      <c r="U14938" t="s">
        <v>61858</v>
      </c>
      <c r="V14938" t="s">
        <v>63545</v>
      </c>
      <c r="W14938" t="s">
        <v>45862</v>
      </c>
      <c r="X14938" t="s">
        <v>47327</v>
      </c>
    </row>
    <row r="14939" spans="1:24">
      <c r="A14939">
        <f>HYPERLINK("https://www.philgeps.gov.ph/GEPSNONPILOT/Tender/SplashBidNoticeAbstractUI.aspx?menuIndex=3&amp;refID=7156851&amp;Result=3","7156851")</f>
        <v>0</v>
      </c>
      <c r="B14939" t="s">
        <v>535</v>
      </c>
      <c r="C14939" t="s">
        <v>18003</v>
      </c>
      <c r="D14939" t="s">
        <v>19031</v>
      </c>
      <c r="E14939" t="s">
        <v>31705</v>
      </c>
      <c r="F14939" t="s">
        <v>32606</v>
      </c>
      <c r="G14939" t="s">
        <v>32613</v>
      </c>
      <c r="H14939" t="s">
        <v>14201</v>
      </c>
      <c r="I14939" t="s">
        <v>7064</v>
      </c>
      <c r="J14939" t="s">
        <v>41988</v>
      </c>
      <c r="K14939" t="s">
        <v>42648</v>
      </c>
      <c r="M14939" t="s">
        <v>43448</v>
      </c>
      <c r="N14939" t="s">
        <v>47304</v>
      </c>
      <c r="O14939" t="s">
        <v>47305</v>
      </c>
      <c r="P14939">
        <v>0</v>
      </c>
      <c r="Q14939">
        <v>9</v>
      </c>
      <c r="R14939" t="s">
        <v>47326</v>
      </c>
      <c r="S14939" t="s">
        <v>48346</v>
      </c>
      <c r="T14939" t="s">
        <v>49268</v>
      </c>
      <c r="U14939" t="s">
        <v>61859</v>
      </c>
      <c r="W14939" t="s">
        <v>43448</v>
      </c>
      <c r="X14939" t="s">
        <v>47327</v>
      </c>
    </row>
    <row r="14940" spans="1:24">
      <c r="A14940">
        <f>HYPERLINK("https://www.philgeps.gov.ph/GEPSNONPILOT/Tender/SplashBidNoticeAbstractUI.aspx?menuIndex=3&amp;refID=7156467&amp;Result=3","7156467")</f>
        <v>0</v>
      </c>
      <c r="B14940" t="s">
        <v>1664</v>
      </c>
      <c r="C14940" t="s">
        <v>18004</v>
      </c>
      <c r="D14940" t="s">
        <v>19067</v>
      </c>
      <c r="E14940" t="s">
        <v>31706</v>
      </c>
      <c r="F14940" t="s">
        <v>32606</v>
      </c>
      <c r="G14940" t="s">
        <v>32613</v>
      </c>
      <c r="H14940" t="s">
        <v>14201</v>
      </c>
      <c r="I14940" t="s">
        <v>4120</v>
      </c>
      <c r="J14940" t="s">
        <v>41989</v>
      </c>
      <c r="K14940" t="s">
        <v>42631</v>
      </c>
      <c r="M14940" t="s">
        <v>47175</v>
      </c>
      <c r="N14940" t="s">
        <v>47304</v>
      </c>
      <c r="O14940" t="s">
        <v>47305</v>
      </c>
      <c r="Q14940">
        <v>4</v>
      </c>
      <c r="R14940" t="s">
        <v>47326</v>
      </c>
      <c r="S14940" t="s">
        <v>48379</v>
      </c>
      <c r="T14940" t="s">
        <v>49071</v>
      </c>
      <c r="U14940" t="s">
        <v>61825</v>
      </c>
      <c r="W14940" t="s">
        <v>47175</v>
      </c>
      <c r="X14940" t="s">
        <v>47327</v>
      </c>
    </row>
    <row r="14941" spans="1:24">
      <c r="A14941">
        <f>HYPERLINK("https://www.philgeps.gov.ph/GEPSNONPILOT/Tender/SplashBidNoticeAbstractUI.aspx?menuIndex=3&amp;refID=7157111&amp;Result=3","7157111")</f>
        <v>0</v>
      </c>
      <c r="B14941" t="s">
        <v>696</v>
      </c>
      <c r="C14941" t="s">
        <v>18005</v>
      </c>
      <c r="D14941" t="s">
        <v>19069</v>
      </c>
      <c r="E14941" t="s">
        <v>31707</v>
      </c>
      <c r="F14941" t="s">
        <v>32606</v>
      </c>
      <c r="G14941" t="s">
        <v>32613</v>
      </c>
      <c r="H14941" t="s">
        <v>14201</v>
      </c>
      <c r="I14941" t="s">
        <v>32686</v>
      </c>
      <c r="J14941" t="s">
        <v>41990</v>
      </c>
      <c r="K14941" t="s">
        <v>42624</v>
      </c>
      <c r="M14941" t="s">
        <v>43969</v>
      </c>
      <c r="N14941" t="s">
        <v>47304</v>
      </c>
      <c r="O14941" t="s">
        <v>47305</v>
      </c>
      <c r="Q14941">
        <v>4</v>
      </c>
      <c r="R14941" t="s">
        <v>47326</v>
      </c>
      <c r="S14941" t="s">
        <v>48380</v>
      </c>
      <c r="T14941" t="s">
        <v>49347</v>
      </c>
      <c r="U14941" t="s">
        <v>61860</v>
      </c>
      <c r="V14941" t="s">
        <v>63883</v>
      </c>
      <c r="W14941" t="s">
        <v>43969</v>
      </c>
      <c r="X14941" t="s">
        <v>47327</v>
      </c>
    </row>
    <row r="14942" spans="1:24">
      <c r="A14942">
        <f>HYPERLINK("https://www.philgeps.gov.ph/GEPSNONPILOT/Tender/SplashBidNoticeAbstractUI.aspx?menuIndex=3&amp;refID=7157121&amp;Result=3","7157121")</f>
        <v>0</v>
      </c>
      <c r="B14942" t="s">
        <v>2961</v>
      </c>
      <c r="C14942" t="s">
        <v>18006</v>
      </c>
      <c r="D14942" t="s">
        <v>18986</v>
      </c>
      <c r="E14942" t="s">
        <v>31708</v>
      </c>
      <c r="F14942" t="s">
        <v>32606</v>
      </c>
      <c r="G14942" t="s">
        <v>32613</v>
      </c>
      <c r="H14942" t="s">
        <v>32623</v>
      </c>
      <c r="I14942" t="s">
        <v>17648</v>
      </c>
      <c r="J14942" t="s">
        <v>33529</v>
      </c>
      <c r="K14942" t="s">
        <v>42631</v>
      </c>
      <c r="M14942" t="s">
        <v>46145</v>
      </c>
      <c r="N14942" t="s">
        <v>47304</v>
      </c>
      <c r="O14942" t="s">
        <v>47305</v>
      </c>
      <c r="P14942">
        <v>0</v>
      </c>
      <c r="Q14942">
        <v>0</v>
      </c>
      <c r="R14942" t="s">
        <v>47326</v>
      </c>
      <c r="S14942" t="s">
        <v>48346</v>
      </c>
      <c r="T14942" t="s">
        <v>49515</v>
      </c>
      <c r="U14942" t="s">
        <v>61861</v>
      </c>
      <c r="W14942" t="s">
        <v>46145</v>
      </c>
      <c r="X14942" t="s">
        <v>47327</v>
      </c>
    </row>
    <row r="14943" spans="1:24">
      <c r="A14943">
        <f>HYPERLINK("https://www.philgeps.gov.ph/GEPSNONPILOT/Tender/SplashBidNoticeAbstractUI.aspx?menuIndex=3&amp;refID=7157072&amp;Result=3","7157072")</f>
        <v>0</v>
      </c>
      <c r="B14943" t="s">
        <v>192</v>
      </c>
      <c r="C14943" t="s">
        <v>18007</v>
      </c>
      <c r="D14943" t="s">
        <v>19016</v>
      </c>
      <c r="E14943" t="s">
        <v>31709</v>
      </c>
      <c r="F14943" t="s">
        <v>32606</v>
      </c>
      <c r="G14943" t="s">
        <v>32614</v>
      </c>
      <c r="H14943" t="s">
        <v>14201</v>
      </c>
      <c r="I14943" t="s">
        <v>7677</v>
      </c>
      <c r="J14943" t="s">
        <v>41991</v>
      </c>
      <c r="K14943" t="s">
        <v>42624</v>
      </c>
      <c r="M14943" t="s">
        <v>43093</v>
      </c>
      <c r="N14943" t="s">
        <v>47304</v>
      </c>
      <c r="O14943" t="s">
        <v>47305</v>
      </c>
      <c r="Q14943">
        <v>0</v>
      </c>
      <c r="R14943" t="s">
        <v>47326</v>
      </c>
      <c r="S14943" t="s">
        <v>48381</v>
      </c>
      <c r="T14943" t="s">
        <v>49269</v>
      </c>
      <c r="U14943" t="s">
        <v>55231</v>
      </c>
      <c r="V14943" t="s">
        <v>62691</v>
      </c>
      <c r="W14943" t="s">
        <v>43093</v>
      </c>
      <c r="X14943" t="s">
        <v>47327</v>
      </c>
    </row>
    <row r="14944" spans="1:24">
      <c r="A14944">
        <f>HYPERLINK("https://www.philgeps.gov.ph/GEPSNONPILOT/Tender/SplashBidNoticeAbstractUI.aspx?menuIndex=3&amp;refID=7156861&amp;Result=3","7156861")</f>
        <v>0</v>
      </c>
      <c r="B14944" t="s">
        <v>3836</v>
      </c>
      <c r="C14944" t="s">
        <v>18008</v>
      </c>
      <c r="D14944" t="s">
        <v>19006</v>
      </c>
      <c r="E14944" t="s">
        <v>31710</v>
      </c>
      <c r="F14944" t="s">
        <v>32606</v>
      </c>
      <c r="G14944" t="s">
        <v>32613</v>
      </c>
      <c r="H14944" t="s">
        <v>14201</v>
      </c>
      <c r="I14944" t="s">
        <v>4678</v>
      </c>
      <c r="J14944" t="s">
        <v>33034</v>
      </c>
      <c r="K14944" t="s">
        <v>42622</v>
      </c>
      <c r="M14944" t="s">
        <v>47185</v>
      </c>
      <c r="N14944" t="s">
        <v>47304</v>
      </c>
      <c r="O14944" t="s">
        <v>47305</v>
      </c>
      <c r="P14944">
        <v>0</v>
      </c>
      <c r="Q14944">
        <v>0</v>
      </c>
      <c r="R14944" t="s">
        <v>47326</v>
      </c>
      <c r="S14944" t="s">
        <v>48346</v>
      </c>
      <c r="T14944" t="s">
        <v>49098</v>
      </c>
      <c r="U14944" t="s">
        <v>61862</v>
      </c>
      <c r="W14944" t="s">
        <v>47185</v>
      </c>
      <c r="X14944" t="s">
        <v>47327</v>
      </c>
    </row>
    <row r="14945" spans="1:24">
      <c r="A14945">
        <f>HYPERLINK("https://www.philgeps.gov.ph/GEPSNONPILOT/Tender/SplashBidNoticeAbstractUI.aspx?menuIndex=3&amp;refID=7157067&amp;Result=3","7157067")</f>
        <v>0</v>
      </c>
      <c r="B14945" t="s">
        <v>467</v>
      </c>
      <c r="C14945" t="s">
        <v>18009</v>
      </c>
      <c r="D14945" t="s">
        <v>19004</v>
      </c>
      <c r="E14945" t="s">
        <v>31711</v>
      </c>
      <c r="F14945" t="s">
        <v>32606</v>
      </c>
      <c r="G14945" t="s">
        <v>32613</v>
      </c>
      <c r="H14945" t="s">
        <v>14201</v>
      </c>
      <c r="I14945" t="s">
        <v>32638</v>
      </c>
      <c r="J14945" t="s">
        <v>41992</v>
      </c>
      <c r="K14945" t="s">
        <v>42624</v>
      </c>
      <c r="M14945" t="s">
        <v>45925</v>
      </c>
      <c r="N14945" t="s">
        <v>47304</v>
      </c>
      <c r="O14945" t="s">
        <v>47305</v>
      </c>
      <c r="Q14945">
        <v>39</v>
      </c>
      <c r="R14945" t="s">
        <v>47326</v>
      </c>
      <c r="S14945" t="s">
        <v>48382</v>
      </c>
      <c r="T14945" t="s">
        <v>49516</v>
      </c>
      <c r="U14945" t="s">
        <v>61863</v>
      </c>
      <c r="V14945" t="s">
        <v>64301</v>
      </c>
      <c r="W14945" t="s">
        <v>45925</v>
      </c>
      <c r="X14945" t="s">
        <v>47327</v>
      </c>
    </row>
    <row r="14946" spans="1:24">
      <c r="A14946">
        <f>HYPERLINK("https://www.philgeps.gov.ph/GEPSNONPILOT/Tender/SplashBidNoticeAbstractUI.aspx?menuIndex=3&amp;refID=7157017&amp;Result=3","7157017")</f>
        <v>0</v>
      </c>
      <c r="B14946" t="s">
        <v>684</v>
      </c>
      <c r="C14946" t="s">
        <v>18010</v>
      </c>
      <c r="D14946" t="s">
        <v>19012</v>
      </c>
      <c r="E14946" t="s">
        <v>31712</v>
      </c>
      <c r="F14946" t="s">
        <v>32606</v>
      </c>
      <c r="G14946" t="s">
        <v>32613</v>
      </c>
      <c r="H14946" t="s">
        <v>32623</v>
      </c>
      <c r="I14946" t="s">
        <v>17648</v>
      </c>
      <c r="J14946" t="s">
        <v>41993</v>
      </c>
      <c r="K14946" t="s">
        <v>42902</v>
      </c>
      <c r="L14946" t="s">
        <v>684</v>
      </c>
      <c r="M14946" t="s">
        <v>43605</v>
      </c>
      <c r="N14946" t="s">
        <v>47304</v>
      </c>
      <c r="O14946" t="s">
        <v>47305</v>
      </c>
      <c r="P14946">
        <v>0</v>
      </c>
      <c r="Q14946">
        <v>1</v>
      </c>
      <c r="R14946" t="s">
        <v>47326</v>
      </c>
      <c r="S14946" t="s">
        <v>48346</v>
      </c>
      <c r="T14946" t="s">
        <v>49053</v>
      </c>
      <c r="U14946" t="s">
        <v>61864</v>
      </c>
      <c r="V14946" t="s">
        <v>63129</v>
      </c>
      <c r="W14946" t="s">
        <v>43605</v>
      </c>
      <c r="X14946" t="s">
        <v>47327</v>
      </c>
    </row>
    <row r="14947" spans="1:24">
      <c r="A14947">
        <f>HYPERLINK("https://www.philgeps.gov.ph/GEPSNONPILOT/Tender/SplashBidNoticeAbstractUI.aspx?menuIndex=3&amp;refID=7157084&amp;Result=3","7157084")</f>
        <v>0</v>
      </c>
      <c r="B14947" t="s">
        <v>3620</v>
      </c>
      <c r="C14947" t="s">
        <v>18011</v>
      </c>
      <c r="D14947" t="s">
        <v>19012</v>
      </c>
      <c r="E14947" t="s">
        <v>31713</v>
      </c>
      <c r="F14947" t="s">
        <v>32607</v>
      </c>
      <c r="G14947" t="s">
        <v>32613</v>
      </c>
      <c r="H14947" t="s">
        <v>32623</v>
      </c>
      <c r="I14947" t="s">
        <v>17648</v>
      </c>
      <c r="J14947" t="s">
        <v>41994</v>
      </c>
      <c r="K14947" t="s">
        <v>42697</v>
      </c>
      <c r="M14947" t="s">
        <v>46915</v>
      </c>
      <c r="N14947" t="s">
        <v>47304</v>
      </c>
      <c r="O14947" t="s">
        <v>47305</v>
      </c>
      <c r="P14947">
        <v>0</v>
      </c>
      <c r="Q14947">
        <v>0</v>
      </c>
      <c r="R14947" t="s">
        <v>47326</v>
      </c>
      <c r="S14947" t="s">
        <v>48346</v>
      </c>
      <c r="T14947" t="s">
        <v>49268</v>
      </c>
      <c r="U14947" t="s">
        <v>61865</v>
      </c>
      <c r="W14947" t="s">
        <v>46915</v>
      </c>
      <c r="X14947" t="s">
        <v>47327</v>
      </c>
    </row>
    <row r="14948" spans="1:24">
      <c r="A14948">
        <f>HYPERLINK("https://www.philgeps.gov.ph/GEPSNONPILOT/Tender/SplashBidNoticeAbstractUI.aspx?menuIndex=3&amp;refID=7157015&amp;Result=3","7157015")</f>
        <v>0</v>
      </c>
      <c r="B14948" t="s">
        <v>3832</v>
      </c>
      <c r="C14948" t="s">
        <v>18012</v>
      </c>
      <c r="D14948" t="s">
        <v>19028</v>
      </c>
      <c r="E14948" t="s">
        <v>31714</v>
      </c>
      <c r="F14948" t="s">
        <v>32606</v>
      </c>
      <c r="G14948" t="s">
        <v>32613</v>
      </c>
      <c r="H14948" t="s">
        <v>32624</v>
      </c>
      <c r="I14948" t="s">
        <v>32743</v>
      </c>
      <c r="J14948" t="s">
        <v>41995</v>
      </c>
      <c r="K14948" t="s">
        <v>42712</v>
      </c>
      <c r="M14948" t="s">
        <v>47180</v>
      </c>
      <c r="N14948" t="s">
        <v>47304</v>
      </c>
      <c r="O14948" t="s">
        <v>47305</v>
      </c>
      <c r="Q14948">
        <v>6</v>
      </c>
      <c r="R14948" t="s">
        <v>47326</v>
      </c>
      <c r="S14948" t="s">
        <v>48383</v>
      </c>
      <c r="T14948" t="s">
        <v>49110</v>
      </c>
      <c r="U14948" t="s">
        <v>61844</v>
      </c>
      <c r="V14948" t="s">
        <v>64298</v>
      </c>
      <c r="W14948" t="s">
        <v>47180</v>
      </c>
      <c r="X14948" t="s">
        <v>47327</v>
      </c>
    </row>
    <row r="14949" spans="1:24">
      <c r="A14949">
        <f>HYPERLINK("https://www.philgeps.gov.ph/GEPSNONPILOT/Tender/SplashBidNoticeAbstractUI.aspx?menuIndex=3&amp;refID=7156998&amp;Result=3","7156998")</f>
        <v>0</v>
      </c>
      <c r="B14949" t="s">
        <v>696</v>
      </c>
      <c r="C14949" t="s">
        <v>18013</v>
      </c>
      <c r="D14949" t="s">
        <v>19069</v>
      </c>
      <c r="E14949" t="s">
        <v>31715</v>
      </c>
      <c r="F14949" t="s">
        <v>32606</v>
      </c>
      <c r="G14949" t="s">
        <v>32613</v>
      </c>
      <c r="H14949" t="s">
        <v>14201</v>
      </c>
      <c r="I14949" t="s">
        <v>32686</v>
      </c>
      <c r="J14949" t="s">
        <v>41996</v>
      </c>
      <c r="K14949" t="s">
        <v>42636</v>
      </c>
      <c r="M14949" t="s">
        <v>43969</v>
      </c>
      <c r="N14949" t="s">
        <v>47304</v>
      </c>
      <c r="O14949" t="s">
        <v>47305</v>
      </c>
      <c r="Q14949">
        <v>5</v>
      </c>
      <c r="R14949" t="s">
        <v>47326</v>
      </c>
      <c r="S14949" t="s">
        <v>48384</v>
      </c>
      <c r="T14949" t="s">
        <v>49347</v>
      </c>
      <c r="U14949" t="s">
        <v>61860</v>
      </c>
      <c r="V14949" t="s">
        <v>62902</v>
      </c>
      <c r="W14949" t="s">
        <v>43969</v>
      </c>
      <c r="X14949" t="s">
        <v>47327</v>
      </c>
    </row>
    <row r="14950" spans="1:24">
      <c r="A14950">
        <f>HYPERLINK("https://www.philgeps.gov.ph/GEPSNONPILOT/Tender/SplashBidNoticeAbstractUI.aspx?menuIndex=3&amp;refID=7156975&amp;Result=3","7156975")</f>
        <v>0</v>
      </c>
      <c r="B14950" t="s">
        <v>684</v>
      </c>
      <c r="C14950" t="s">
        <v>18014</v>
      </c>
      <c r="D14950" t="s">
        <v>19012</v>
      </c>
      <c r="E14950" t="s">
        <v>31716</v>
      </c>
      <c r="F14950" t="s">
        <v>32606</v>
      </c>
      <c r="G14950" t="s">
        <v>32613</v>
      </c>
      <c r="H14950" t="s">
        <v>32623</v>
      </c>
      <c r="I14950" t="s">
        <v>17648</v>
      </c>
      <c r="J14950" t="s">
        <v>34443</v>
      </c>
      <c r="K14950" t="s">
        <v>42838</v>
      </c>
      <c r="L14950" t="s">
        <v>684</v>
      </c>
      <c r="M14950" t="s">
        <v>43605</v>
      </c>
      <c r="N14950" t="s">
        <v>47304</v>
      </c>
      <c r="O14950" t="s">
        <v>47305</v>
      </c>
      <c r="P14950">
        <v>0</v>
      </c>
      <c r="Q14950">
        <v>0</v>
      </c>
      <c r="R14950" t="s">
        <v>47326</v>
      </c>
      <c r="S14950" t="s">
        <v>48346</v>
      </c>
      <c r="T14950" t="s">
        <v>49053</v>
      </c>
      <c r="U14950" t="s">
        <v>61866</v>
      </c>
      <c r="V14950" t="s">
        <v>63129</v>
      </c>
      <c r="W14950" t="s">
        <v>43605</v>
      </c>
      <c r="X14950" t="s">
        <v>47327</v>
      </c>
    </row>
    <row r="14951" spans="1:24">
      <c r="A14951">
        <f>HYPERLINK("https://www.philgeps.gov.ph/GEPSNONPILOT/Tender/SplashBidNoticeAbstractUI.aspx?menuIndex=3&amp;refID=7156966&amp;Result=3","7156966")</f>
        <v>0</v>
      </c>
      <c r="B14951" t="s">
        <v>2291</v>
      </c>
      <c r="C14951" t="s">
        <v>18015</v>
      </c>
      <c r="D14951" t="s">
        <v>19028</v>
      </c>
      <c r="E14951" t="s">
        <v>31717</v>
      </c>
      <c r="F14951" t="s">
        <v>32606</v>
      </c>
      <c r="G14951" t="s">
        <v>32613</v>
      </c>
      <c r="H14951" t="s">
        <v>14201</v>
      </c>
      <c r="I14951" t="s">
        <v>32640</v>
      </c>
      <c r="J14951" t="s">
        <v>41997</v>
      </c>
      <c r="K14951" t="s">
        <v>42624</v>
      </c>
      <c r="M14951" t="s">
        <v>47184</v>
      </c>
      <c r="N14951" t="s">
        <v>47304</v>
      </c>
      <c r="O14951" t="s">
        <v>47305</v>
      </c>
      <c r="Q14951">
        <v>8</v>
      </c>
      <c r="R14951" t="s">
        <v>47326</v>
      </c>
      <c r="S14951" t="s">
        <v>48385</v>
      </c>
      <c r="T14951" t="s">
        <v>49018</v>
      </c>
      <c r="U14951" t="s">
        <v>61867</v>
      </c>
      <c r="V14951" t="s">
        <v>63727</v>
      </c>
      <c r="W14951" t="s">
        <v>47184</v>
      </c>
      <c r="X14951" t="s">
        <v>47327</v>
      </c>
    </row>
    <row r="14952" spans="1:24">
      <c r="A14952">
        <f>HYPERLINK("https://www.philgeps.gov.ph/GEPSNONPILOT/Tender/SplashBidNoticeAbstractUI.aspx?menuIndex=3&amp;refID=7156954&amp;Result=3","7156954")</f>
        <v>0</v>
      </c>
      <c r="B14952" t="s">
        <v>684</v>
      </c>
      <c r="C14952" t="s">
        <v>18016</v>
      </c>
      <c r="D14952" t="s">
        <v>19012</v>
      </c>
      <c r="E14952" t="s">
        <v>31718</v>
      </c>
      <c r="F14952" t="s">
        <v>32606</v>
      </c>
      <c r="G14952" t="s">
        <v>32613</v>
      </c>
      <c r="H14952" t="s">
        <v>32623</v>
      </c>
      <c r="I14952" t="s">
        <v>17648</v>
      </c>
      <c r="J14952" t="s">
        <v>32767</v>
      </c>
      <c r="K14952" t="s">
        <v>42636</v>
      </c>
      <c r="L14952" t="s">
        <v>684</v>
      </c>
      <c r="M14952" t="s">
        <v>43605</v>
      </c>
      <c r="N14952" t="s">
        <v>47304</v>
      </c>
      <c r="O14952" t="s">
        <v>47305</v>
      </c>
      <c r="P14952">
        <v>0</v>
      </c>
      <c r="Q14952">
        <v>1</v>
      </c>
      <c r="R14952" t="s">
        <v>47326</v>
      </c>
      <c r="S14952" t="s">
        <v>48346</v>
      </c>
      <c r="T14952" t="s">
        <v>49053</v>
      </c>
      <c r="U14952" t="s">
        <v>61868</v>
      </c>
      <c r="V14952" t="s">
        <v>63129</v>
      </c>
      <c r="W14952" t="s">
        <v>43605</v>
      </c>
      <c r="X14952" t="s">
        <v>47327</v>
      </c>
    </row>
    <row r="14953" spans="1:24">
      <c r="A14953">
        <f>HYPERLINK("https://www.philgeps.gov.ph/GEPSNONPILOT/Tender/SplashBidNoticeAbstractUI.aspx?menuIndex=3&amp;refID=7156930&amp;Result=3","7156930")</f>
        <v>0</v>
      </c>
      <c r="B14953" t="s">
        <v>411</v>
      </c>
      <c r="C14953" t="s">
        <v>18017</v>
      </c>
      <c r="D14953" t="s">
        <v>19047</v>
      </c>
      <c r="E14953" t="s">
        <v>31719</v>
      </c>
      <c r="F14953" t="s">
        <v>32606</v>
      </c>
      <c r="G14953" t="s">
        <v>32613</v>
      </c>
      <c r="H14953" t="s">
        <v>32623</v>
      </c>
      <c r="I14953" t="s">
        <v>17648</v>
      </c>
      <c r="J14953" t="s">
        <v>41998</v>
      </c>
      <c r="K14953" t="s">
        <v>42631</v>
      </c>
      <c r="M14953" t="s">
        <v>43315</v>
      </c>
      <c r="N14953" t="s">
        <v>47304</v>
      </c>
      <c r="O14953" t="s">
        <v>47305</v>
      </c>
      <c r="P14953">
        <v>0</v>
      </c>
      <c r="Q14953">
        <v>1</v>
      </c>
      <c r="R14953" t="s">
        <v>47326</v>
      </c>
      <c r="S14953" t="s">
        <v>48346</v>
      </c>
      <c r="T14953" t="s">
        <v>49315</v>
      </c>
      <c r="U14953" t="s">
        <v>61869</v>
      </c>
      <c r="W14953" t="s">
        <v>43315</v>
      </c>
      <c r="X14953" t="s">
        <v>47327</v>
      </c>
    </row>
    <row r="14954" spans="1:24">
      <c r="A14954">
        <f>HYPERLINK("https://www.philgeps.gov.ph/GEPSNONPILOT/Tender/SplashBidNoticeAbstractUI.aspx?menuIndex=3&amp;refID=7157119&amp;Result=3","7157119")</f>
        <v>0</v>
      </c>
      <c r="B14954" t="s">
        <v>3664</v>
      </c>
      <c r="C14954" t="s">
        <v>18018</v>
      </c>
      <c r="D14954" t="s">
        <v>19031</v>
      </c>
      <c r="E14954" t="s">
        <v>31720</v>
      </c>
      <c r="F14954" t="s">
        <v>32606</v>
      </c>
      <c r="G14954" t="s">
        <v>32613</v>
      </c>
      <c r="H14954" t="s">
        <v>32623</v>
      </c>
      <c r="I14954" t="s">
        <v>17648</v>
      </c>
      <c r="J14954" t="s">
        <v>41999</v>
      </c>
      <c r="K14954" t="s">
        <v>42648</v>
      </c>
      <c r="M14954" t="s">
        <v>46969</v>
      </c>
      <c r="N14954" t="s">
        <v>47304</v>
      </c>
      <c r="O14954" t="s">
        <v>47305</v>
      </c>
      <c r="P14954">
        <v>0</v>
      </c>
      <c r="Q14954">
        <v>1</v>
      </c>
      <c r="R14954" t="s">
        <v>47326</v>
      </c>
      <c r="S14954" t="s">
        <v>48346</v>
      </c>
      <c r="T14954" t="s">
        <v>49018</v>
      </c>
      <c r="U14954" t="s">
        <v>61870</v>
      </c>
      <c r="V14954" t="s">
        <v>64117</v>
      </c>
      <c r="W14954" t="s">
        <v>46969</v>
      </c>
      <c r="X14954" t="s">
        <v>47327</v>
      </c>
    </row>
    <row r="14955" spans="1:24">
      <c r="A14955">
        <f>HYPERLINK("https://www.philgeps.gov.ph/GEPSNONPILOT/Tender/SplashBidNoticeAbstractUI.aspx?menuIndex=3&amp;refID=7157302&amp;Result=3","7157302")</f>
        <v>0</v>
      </c>
      <c r="B14955" t="s">
        <v>2961</v>
      </c>
      <c r="C14955" t="s">
        <v>16669</v>
      </c>
      <c r="D14955" t="s">
        <v>18986</v>
      </c>
      <c r="E14955" t="s">
        <v>31721</v>
      </c>
      <c r="F14955" t="s">
        <v>32606</v>
      </c>
      <c r="G14955" t="s">
        <v>32613</v>
      </c>
      <c r="H14955" t="s">
        <v>32623</v>
      </c>
      <c r="I14955" t="s">
        <v>17648</v>
      </c>
      <c r="J14955" t="s">
        <v>38266</v>
      </c>
      <c r="K14955" t="s">
        <v>42636</v>
      </c>
      <c r="M14955" t="s">
        <v>46145</v>
      </c>
      <c r="N14955" t="s">
        <v>47304</v>
      </c>
      <c r="O14955" t="s">
        <v>47305</v>
      </c>
      <c r="P14955">
        <v>0</v>
      </c>
      <c r="Q14955">
        <v>1</v>
      </c>
      <c r="R14955" t="s">
        <v>47326</v>
      </c>
      <c r="S14955" t="s">
        <v>48346</v>
      </c>
      <c r="T14955" t="s">
        <v>49517</v>
      </c>
      <c r="U14955" t="s">
        <v>61871</v>
      </c>
      <c r="W14955" t="s">
        <v>46145</v>
      </c>
      <c r="X14955" t="s">
        <v>47327</v>
      </c>
    </row>
    <row r="14956" spans="1:24">
      <c r="A14956">
        <f>HYPERLINK("https://www.philgeps.gov.ph/GEPSNONPILOT/Tender/SplashBidNoticeAbstractUI.aspx?menuIndex=3&amp;refID=7156957&amp;Result=3","7156957")</f>
        <v>0</v>
      </c>
      <c r="B14956" t="s">
        <v>3620</v>
      </c>
      <c r="C14956" t="s">
        <v>18019</v>
      </c>
      <c r="D14956" t="s">
        <v>19012</v>
      </c>
      <c r="E14956" t="s">
        <v>31722</v>
      </c>
      <c r="F14956" t="s">
        <v>32607</v>
      </c>
      <c r="G14956" t="s">
        <v>32613</v>
      </c>
      <c r="H14956" t="s">
        <v>32623</v>
      </c>
      <c r="I14956" t="s">
        <v>17648</v>
      </c>
      <c r="J14956" t="s">
        <v>42000</v>
      </c>
      <c r="K14956" t="s">
        <v>42742</v>
      </c>
      <c r="M14956" t="s">
        <v>46915</v>
      </c>
      <c r="N14956" t="s">
        <v>47304</v>
      </c>
      <c r="O14956" t="s">
        <v>47305</v>
      </c>
      <c r="P14956">
        <v>0</v>
      </c>
      <c r="Q14956">
        <v>2</v>
      </c>
      <c r="R14956" t="s">
        <v>47326</v>
      </c>
      <c r="S14956" t="s">
        <v>48346</v>
      </c>
      <c r="T14956" t="s">
        <v>49268</v>
      </c>
      <c r="U14956" t="s">
        <v>61872</v>
      </c>
      <c r="W14956" t="s">
        <v>46915</v>
      </c>
      <c r="X14956" t="s">
        <v>47327</v>
      </c>
    </row>
    <row r="14957" spans="1:24">
      <c r="A14957">
        <f>HYPERLINK("https://www.philgeps.gov.ph/GEPSNONPILOT/Tender/SplashBidNoticeAbstractUI.aspx?menuIndex=3&amp;refID=7157027&amp;Result=3","7157027")</f>
        <v>0</v>
      </c>
      <c r="B14957" t="s">
        <v>696</v>
      </c>
      <c r="C14957" t="s">
        <v>18020</v>
      </c>
      <c r="D14957" t="s">
        <v>19069</v>
      </c>
      <c r="E14957" t="s">
        <v>31723</v>
      </c>
      <c r="F14957" t="s">
        <v>32606</v>
      </c>
      <c r="G14957" t="s">
        <v>32613</v>
      </c>
      <c r="H14957" t="s">
        <v>14201</v>
      </c>
      <c r="I14957" t="s">
        <v>32686</v>
      </c>
      <c r="J14957" t="s">
        <v>42001</v>
      </c>
      <c r="K14957" t="s">
        <v>42624</v>
      </c>
      <c r="M14957" t="s">
        <v>43969</v>
      </c>
      <c r="N14957" t="s">
        <v>47304</v>
      </c>
      <c r="O14957" t="s">
        <v>47305</v>
      </c>
      <c r="Q14957">
        <v>4</v>
      </c>
      <c r="R14957" t="s">
        <v>47326</v>
      </c>
      <c r="S14957" t="s">
        <v>48386</v>
      </c>
      <c r="T14957" t="s">
        <v>49347</v>
      </c>
      <c r="U14957" t="s">
        <v>61860</v>
      </c>
      <c r="V14957" t="s">
        <v>63883</v>
      </c>
      <c r="W14957" t="s">
        <v>43969</v>
      </c>
      <c r="X14957" t="s">
        <v>47327</v>
      </c>
    </row>
    <row r="14958" spans="1:24">
      <c r="A14958">
        <f>HYPERLINK("https://www.philgeps.gov.ph/GEPSNONPILOT/Tender/SplashBidNoticeAbstractUI.aspx?menuIndex=3&amp;refID=7157029&amp;Result=3","7157029")</f>
        <v>0</v>
      </c>
      <c r="B14958" t="s">
        <v>2126</v>
      </c>
      <c r="C14958" t="s">
        <v>18021</v>
      </c>
      <c r="D14958" t="s">
        <v>19016</v>
      </c>
      <c r="E14958" t="s">
        <v>31724</v>
      </c>
      <c r="F14958" t="s">
        <v>32606</v>
      </c>
      <c r="G14958" t="s">
        <v>32613</v>
      </c>
      <c r="H14958" t="s">
        <v>14201</v>
      </c>
      <c r="I14958" t="s">
        <v>32635</v>
      </c>
      <c r="J14958" t="s">
        <v>42002</v>
      </c>
      <c r="K14958" t="s">
        <v>42631</v>
      </c>
      <c r="M14958" t="s">
        <v>46827</v>
      </c>
      <c r="N14958" t="s">
        <v>47304</v>
      </c>
      <c r="O14958" t="s">
        <v>47305</v>
      </c>
      <c r="Q14958">
        <v>4</v>
      </c>
      <c r="R14958" t="s">
        <v>47326</v>
      </c>
      <c r="S14958" t="s">
        <v>48387</v>
      </c>
      <c r="T14958" t="s">
        <v>49023</v>
      </c>
      <c r="U14958" t="s">
        <v>61873</v>
      </c>
      <c r="W14958" t="s">
        <v>46827</v>
      </c>
      <c r="X14958" t="s">
        <v>47327</v>
      </c>
    </row>
    <row r="14959" spans="1:24">
      <c r="A14959">
        <f>HYPERLINK("https://www.philgeps.gov.ph/GEPSNONPILOT/Tender/SplashBidNoticeAbstractUI.aspx?menuIndex=3&amp;refID=7156889&amp;Result=3","7156889")</f>
        <v>0</v>
      </c>
      <c r="B14959" t="s">
        <v>265</v>
      </c>
      <c r="C14959" t="s">
        <v>18022</v>
      </c>
      <c r="D14959" t="s">
        <v>19035</v>
      </c>
      <c r="E14959" t="s">
        <v>31725</v>
      </c>
      <c r="F14959" t="s">
        <v>32606</v>
      </c>
      <c r="G14959" t="s">
        <v>32613</v>
      </c>
      <c r="H14959" t="s">
        <v>32623</v>
      </c>
      <c r="I14959" t="s">
        <v>17648</v>
      </c>
      <c r="J14959" t="s">
        <v>42003</v>
      </c>
      <c r="K14959" t="s">
        <v>42683</v>
      </c>
      <c r="M14959" t="s">
        <v>43166</v>
      </c>
      <c r="N14959" t="s">
        <v>47304</v>
      </c>
      <c r="O14959" t="s">
        <v>47305</v>
      </c>
      <c r="Q14959">
        <v>8</v>
      </c>
      <c r="R14959" t="s">
        <v>47326</v>
      </c>
      <c r="S14959" t="s">
        <v>48388</v>
      </c>
      <c r="T14959" t="s">
        <v>49068</v>
      </c>
      <c r="U14959" t="s">
        <v>61874</v>
      </c>
      <c r="V14959" t="s">
        <v>64302</v>
      </c>
      <c r="W14959" t="s">
        <v>43166</v>
      </c>
      <c r="X14959" t="s">
        <v>47327</v>
      </c>
    </row>
    <row r="14960" spans="1:24">
      <c r="A14960">
        <f>HYPERLINK("https://www.philgeps.gov.ph/GEPSNONPILOT/Tender/SplashBidNoticeAbstractUI.aspx?menuIndex=3&amp;refID=7157350&amp;Result=3","7157350")</f>
        <v>0</v>
      </c>
      <c r="B14960" t="s">
        <v>3013</v>
      </c>
      <c r="C14960" t="s">
        <v>18023</v>
      </c>
      <c r="E14960" t="s">
        <v>31726</v>
      </c>
      <c r="F14960" t="s">
        <v>32606</v>
      </c>
      <c r="G14960" t="s">
        <v>32613</v>
      </c>
      <c r="H14960" t="s">
        <v>32623</v>
      </c>
      <c r="I14960" t="s">
        <v>17648</v>
      </c>
      <c r="J14960" t="s">
        <v>42004</v>
      </c>
      <c r="K14960" t="s">
        <v>42624</v>
      </c>
      <c r="M14960" t="s">
        <v>46204</v>
      </c>
      <c r="N14960" t="s">
        <v>47304</v>
      </c>
      <c r="O14960" t="s">
        <v>47305</v>
      </c>
      <c r="P14960">
        <v>0</v>
      </c>
      <c r="Q14960">
        <v>3</v>
      </c>
      <c r="R14960" t="s">
        <v>47326</v>
      </c>
      <c r="S14960" t="s">
        <v>48346</v>
      </c>
      <c r="T14960" t="s">
        <v>48998</v>
      </c>
      <c r="U14960" t="s">
        <v>61875</v>
      </c>
      <c r="V14960" t="s">
        <v>64303</v>
      </c>
      <c r="W14960" t="s">
        <v>46204</v>
      </c>
      <c r="X14960" t="s">
        <v>47327</v>
      </c>
    </row>
    <row r="14961" spans="1:24">
      <c r="A14961">
        <f>HYPERLINK("https://www.philgeps.gov.ph/GEPSNONPILOT/Tender/SplashBidNoticeAbstractUI.aspx?menuIndex=3&amp;refID=7157347&amp;Result=3","7157347")</f>
        <v>0</v>
      </c>
      <c r="B14961" t="s">
        <v>2220</v>
      </c>
      <c r="C14961" t="s">
        <v>18024</v>
      </c>
      <c r="D14961" t="s">
        <v>19016</v>
      </c>
      <c r="E14961" t="s">
        <v>19404</v>
      </c>
      <c r="F14961" t="s">
        <v>32606</v>
      </c>
      <c r="G14961" t="s">
        <v>32613</v>
      </c>
      <c r="H14961" t="s">
        <v>14201</v>
      </c>
      <c r="I14961" t="s">
        <v>32631</v>
      </c>
      <c r="J14961" t="s">
        <v>42005</v>
      </c>
      <c r="K14961" t="s">
        <v>42631</v>
      </c>
      <c r="M14961" t="s">
        <v>45324</v>
      </c>
      <c r="N14961" t="s">
        <v>47304</v>
      </c>
      <c r="O14961" t="s">
        <v>47305</v>
      </c>
      <c r="P14961">
        <v>0</v>
      </c>
      <c r="Q14961">
        <v>4</v>
      </c>
      <c r="R14961" t="s">
        <v>47326</v>
      </c>
      <c r="S14961" t="s">
        <v>48346</v>
      </c>
      <c r="T14961" t="s">
        <v>49269</v>
      </c>
      <c r="U14961" t="s">
        <v>61876</v>
      </c>
      <c r="V14961" t="s">
        <v>64304</v>
      </c>
      <c r="W14961" t="s">
        <v>45324</v>
      </c>
      <c r="X14961" t="s">
        <v>47327</v>
      </c>
    </row>
    <row r="14962" spans="1:24">
      <c r="A14962">
        <f>HYPERLINK("https://www.philgeps.gov.ph/GEPSNONPILOT/Tender/SplashBidNoticeAbstractUI.aspx?menuIndex=3&amp;refID=7157345&amp;Result=3","7157345")</f>
        <v>0</v>
      </c>
      <c r="B14962" t="s">
        <v>2308</v>
      </c>
      <c r="C14962" t="s">
        <v>18025</v>
      </c>
      <c r="D14962" t="s">
        <v>19063</v>
      </c>
      <c r="E14962" t="s">
        <v>31727</v>
      </c>
      <c r="F14962" t="s">
        <v>32606</v>
      </c>
      <c r="G14962" t="s">
        <v>32613</v>
      </c>
      <c r="H14962" t="s">
        <v>32623</v>
      </c>
      <c r="I14962" t="s">
        <v>17648</v>
      </c>
      <c r="J14962" t="s">
        <v>35368</v>
      </c>
      <c r="K14962" t="s">
        <v>42636</v>
      </c>
      <c r="M14962" t="s">
        <v>45414</v>
      </c>
      <c r="N14962" t="s">
        <v>47304</v>
      </c>
      <c r="O14962" t="s">
        <v>47305</v>
      </c>
      <c r="P14962">
        <v>0</v>
      </c>
      <c r="Q14962">
        <v>7</v>
      </c>
      <c r="R14962" t="s">
        <v>47326</v>
      </c>
      <c r="S14962" t="s">
        <v>48346</v>
      </c>
      <c r="T14962" t="s">
        <v>49020</v>
      </c>
      <c r="U14962" t="s">
        <v>61877</v>
      </c>
      <c r="V14962" t="s">
        <v>64305</v>
      </c>
      <c r="W14962" t="s">
        <v>45414</v>
      </c>
      <c r="X14962" t="s">
        <v>47327</v>
      </c>
    </row>
    <row r="14963" spans="1:24">
      <c r="A14963">
        <f>HYPERLINK("https://www.philgeps.gov.ph/GEPSNONPILOT/Tender/SplashBidNoticeAbstractUI.aspx?menuIndex=3&amp;refID=7157343&amp;Result=3","7157343")</f>
        <v>0</v>
      </c>
      <c r="B14963" t="s">
        <v>3837</v>
      </c>
      <c r="C14963" t="s">
        <v>18026</v>
      </c>
      <c r="D14963" t="s">
        <v>19036</v>
      </c>
      <c r="E14963" t="s">
        <v>22878</v>
      </c>
      <c r="F14963" t="s">
        <v>32606</v>
      </c>
      <c r="G14963" t="s">
        <v>32613</v>
      </c>
      <c r="H14963" t="s">
        <v>14201</v>
      </c>
      <c r="I14963" t="s">
        <v>4678</v>
      </c>
      <c r="J14963" t="s">
        <v>32778</v>
      </c>
      <c r="K14963" t="s">
        <v>42631</v>
      </c>
      <c r="M14963" t="s">
        <v>47186</v>
      </c>
      <c r="N14963" t="s">
        <v>47304</v>
      </c>
      <c r="O14963" t="s">
        <v>47305</v>
      </c>
      <c r="P14963">
        <v>0</v>
      </c>
      <c r="Q14963">
        <v>5</v>
      </c>
      <c r="R14963" t="s">
        <v>47326</v>
      </c>
      <c r="S14963" t="s">
        <v>48346</v>
      </c>
      <c r="T14963" t="s">
        <v>49071</v>
      </c>
      <c r="U14963" t="s">
        <v>61878</v>
      </c>
      <c r="W14963" t="s">
        <v>47186</v>
      </c>
      <c r="X14963" t="s">
        <v>47327</v>
      </c>
    </row>
    <row r="14964" spans="1:24">
      <c r="A14964">
        <f>HYPERLINK("https://www.philgeps.gov.ph/GEPSNONPILOT/Tender/SplashBidNoticeAbstractUI.aspx?menuIndex=3&amp;refID=7157332&amp;Result=3","7157332")</f>
        <v>0</v>
      </c>
      <c r="B14964" t="s">
        <v>3013</v>
      </c>
      <c r="C14964" t="s">
        <v>18027</v>
      </c>
      <c r="E14964" t="s">
        <v>31728</v>
      </c>
      <c r="F14964" t="s">
        <v>32606</v>
      </c>
      <c r="G14964" t="s">
        <v>32613</v>
      </c>
      <c r="H14964" t="s">
        <v>32623</v>
      </c>
      <c r="I14964" t="s">
        <v>17648</v>
      </c>
      <c r="J14964" t="s">
        <v>42006</v>
      </c>
      <c r="K14964" t="s">
        <v>42624</v>
      </c>
      <c r="M14964" t="s">
        <v>46204</v>
      </c>
      <c r="N14964" t="s">
        <v>47304</v>
      </c>
      <c r="O14964" t="s">
        <v>47305</v>
      </c>
      <c r="P14964">
        <v>0</v>
      </c>
      <c r="Q14964">
        <v>3</v>
      </c>
      <c r="R14964" t="s">
        <v>47326</v>
      </c>
      <c r="S14964" t="s">
        <v>48346</v>
      </c>
      <c r="T14964" t="s">
        <v>49268</v>
      </c>
      <c r="U14964" t="s">
        <v>61879</v>
      </c>
      <c r="V14964" t="s">
        <v>64306</v>
      </c>
      <c r="W14964" t="s">
        <v>46204</v>
      </c>
      <c r="X14964" t="s">
        <v>47327</v>
      </c>
    </row>
    <row r="14965" spans="1:24">
      <c r="A14965">
        <f>HYPERLINK("https://www.philgeps.gov.ph/GEPSNONPILOT/Tender/SplashBidNoticeAbstractUI.aspx?menuIndex=3&amp;refID=7157334&amp;Result=3","7157334")</f>
        <v>0</v>
      </c>
      <c r="B14965" t="s">
        <v>3832</v>
      </c>
      <c r="C14965" t="s">
        <v>18028</v>
      </c>
      <c r="D14965" t="s">
        <v>19028</v>
      </c>
      <c r="E14965" t="s">
        <v>31729</v>
      </c>
      <c r="F14965" t="s">
        <v>32606</v>
      </c>
      <c r="G14965" t="s">
        <v>32613</v>
      </c>
      <c r="H14965" t="s">
        <v>32624</v>
      </c>
      <c r="I14965" t="s">
        <v>32685</v>
      </c>
      <c r="J14965" t="s">
        <v>42007</v>
      </c>
      <c r="K14965" t="s">
        <v>42648</v>
      </c>
      <c r="M14965" t="s">
        <v>47180</v>
      </c>
      <c r="N14965" t="s">
        <v>47304</v>
      </c>
      <c r="O14965" t="s">
        <v>47305</v>
      </c>
      <c r="Q14965">
        <v>5</v>
      </c>
      <c r="R14965" t="s">
        <v>47326</v>
      </c>
      <c r="S14965" t="s">
        <v>48389</v>
      </c>
      <c r="T14965" t="s">
        <v>49033</v>
      </c>
      <c r="U14965" t="s">
        <v>61844</v>
      </c>
      <c r="V14965" t="s">
        <v>64307</v>
      </c>
      <c r="W14965" t="s">
        <v>47180</v>
      </c>
      <c r="X14965" t="s">
        <v>47327</v>
      </c>
    </row>
    <row r="14966" spans="1:24">
      <c r="A14966">
        <f>HYPERLINK("https://www.philgeps.gov.ph/GEPSNONPILOT/Tender/SplashBidNoticeAbstractUI.aspx?menuIndex=3&amp;refID=7157313&amp;Result=3","7157313")</f>
        <v>0</v>
      </c>
      <c r="B14966" t="s">
        <v>3013</v>
      </c>
      <c r="C14966" t="s">
        <v>18029</v>
      </c>
      <c r="E14966" t="s">
        <v>31730</v>
      </c>
      <c r="F14966" t="s">
        <v>32606</v>
      </c>
      <c r="G14966" t="s">
        <v>32613</v>
      </c>
      <c r="H14966" t="s">
        <v>32623</v>
      </c>
      <c r="I14966" t="s">
        <v>17648</v>
      </c>
      <c r="J14966" t="s">
        <v>42008</v>
      </c>
      <c r="K14966" t="s">
        <v>42624</v>
      </c>
      <c r="M14966" t="s">
        <v>46204</v>
      </c>
      <c r="N14966" t="s">
        <v>47304</v>
      </c>
      <c r="O14966" t="s">
        <v>47305</v>
      </c>
      <c r="Q14966">
        <v>2</v>
      </c>
      <c r="R14966" t="s">
        <v>47326</v>
      </c>
      <c r="S14966" t="s">
        <v>48390</v>
      </c>
      <c r="T14966" t="s">
        <v>49268</v>
      </c>
      <c r="U14966" t="s">
        <v>61880</v>
      </c>
      <c r="V14966" t="s">
        <v>64308</v>
      </c>
      <c r="W14966" t="s">
        <v>46204</v>
      </c>
      <c r="X14966" t="s">
        <v>47327</v>
      </c>
    </row>
    <row r="14967" spans="1:24">
      <c r="A14967">
        <f>HYPERLINK("https://www.philgeps.gov.ph/GEPSNONPILOT/Tender/SplashBidNoticeAbstractUI.aspx?menuIndex=3&amp;refID=7157250&amp;Result=3","7157250")</f>
        <v>0</v>
      </c>
      <c r="B14967" t="s">
        <v>2117</v>
      </c>
      <c r="C14967" t="s">
        <v>18030</v>
      </c>
      <c r="D14967" t="s">
        <v>19063</v>
      </c>
      <c r="E14967" t="s">
        <v>31731</v>
      </c>
      <c r="F14967" t="s">
        <v>32606</v>
      </c>
      <c r="G14967" t="s">
        <v>32613</v>
      </c>
      <c r="H14967" t="s">
        <v>14201</v>
      </c>
      <c r="I14967" t="s">
        <v>32629</v>
      </c>
      <c r="J14967" t="s">
        <v>42009</v>
      </c>
      <c r="K14967" t="s">
        <v>42623</v>
      </c>
      <c r="M14967" t="s">
        <v>45204</v>
      </c>
      <c r="N14967" t="s">
        <v>47304</v>
      </c>
      <c r="O14967" t="s">
        <v>47305</v>
      </c>
      <c r="P14967">
        <v>0</v>
      </c>
      <c r="Q14967">
        <v>1</v>
      </c>
      <c r="R14967" t="s">
        <v>47326</v>
      </c>
      <c r="S14967" t="s">
        <v>48346</v>
      </c>
      <c r="T14967" t="s">
        <v>49053</v>
      </c>
      <c r="U14967" t="s">
        <v>54829</v>
      </c>
      <c r="W14967" t="s">
        <v>45204</v>
      </c>
      <c r="X14967" t="s">
        <v>47327</v>
      </c>
    </row>
    <row r="14968" spans="1:24">
      <c r="A14968">
        <f>HYPERLINK("https://www.philgeps.gov.ph/GEPSNONPILOT/Tender/SplashBidNoticeAbstractUI.aspx?menuIndex=3&amp;refID=7157289&amp;Result=3","7157289")</f>
        <v>0</v>
      </c>
      <c r="B14968" t="s">
        <v>3013</v>
      </c>
      <c r="C14968" t="s">
        <v>18031</v>
      </c>
      <c r="E14968" t="s">
        <v>31732</v>
      </c>
      <c r="F14968" t="s">
        <v>32606</v>
      </c>
      <c r="G14968" t="s">
        <v>32613</v>
      </c>
      <c r="H14968" t="s">
        <v>32623</v>
      </c>
      <c r="I14968" t="s">
        <v>17648</v>
      </c>
      <c r="J14968" t="s">
        <v>42006</v>
      </c>
      <c r="K14968" t="s">
        <v>42624</v>
      </c>
      <c r="M14968" t="s">
        <v>46204</v>
      </c>
      <c r="N14968" t="s">
        <v>47304</v>
      </c>
      <c r="O14968" t="s">
        <v>47305</v>
      </c>
      <c r="P14968">
        <v>0</v>
      </c>
      <c r="Q14968">
        <v>3</v>
      </c>
      <c r="R14968" t="s">
        <v>47326</v>
      </c>
      <c r="S14968" t="s">
        <v>48346</v>
      </c>
      <c r="T14968" t="s">
        <v>49268</v>
      </c>
      <c r="U14968" t="s">
        <v>61881</v>
      </c>
      <c r="V14968" t="s">
        <v>64309</v>
      </c>
      <c r="W14968" t="s">
        <v>46204</v>
      </c>
      <c r="X14968" t="s">
        <v>47327</v>
      </c>
    </row>
    <row r="14969" spans="1:24">
      <c r="A14969">
        <f>HYPERLINK("https://www.philgeps.gov.ph/GEPSNONPILOT/Tender/SplashBidNoticeAbstractUI.aspx?menuIndex=3&amp;refID=7157247&amp;Result=3","7157247")</f>
        <v>0</v>
      </c>
      <c r="B14969" t="s">
        <v>3837</v>
      </c>
      <c r="C14969" t="s">
        <v>18032</v>
      </c>
      <c r="D14969" t="s">
        <v>19036</v>
      </c>
      <c r="E14969" t="s">
        <v>31733</v>
      </c>
      <c r="F14969" t="s">
        <v>32606</v>
      </c>
      <c r="G14969" t="s">
        <v>32613</v>
      </c>
      <c r="H14969" t="s">
        <v>14201</v>
      </c>
      <c r="I14969" t="s">
        <v>4120</v>
      </c>
      <c r="J14969" t="s">
        <v>36248</v>
      </c>
      <c r="K14969" t="s">
        <v>42631</v>
      </c>
      <c r="M14969" t="s">
        <v>47186</v>
      </c>
      <c r="N14969" t="s">
        <v>47304</v>
      </c>
      <c r="O14969" t="s">
        <v>47305</v>
      </c>
      <c r="P14969">
        <v>0</v>
      </c>
      <c r="Q14969">
        <v>4</v>
      </c>
      <c r="R14969" t="s">
        <v>47326</v>
      </c>
      <c r="S14969" t="s">
        <v>48346</v>
      </c>
      <c r="T14969" t="s">
        <v>49071</v>
      </c>
      <c r="U14969" t="s">
        <v>61878</v>
      </c>
      <c r="W14969" t="s">
        <v>47186</v>
      </c>
      <c r="X14969" t="s">
        <v>47327</v>
      </c>
    </row>
    <row r="14970" spans="1:24">
      <c r="A14970">
        <f>HYPERLINK("https://www.philgeps.gov.ph/GEPSNONPILOT/Tender/SplashBidNoticeAbstractUI.aspx?menuIndex=3&amp;refID=7157322&amp;Result=3","7157322")</f>
        <v>0</v>
      </c>
      <c r="B14970" t="s">
        <v>3838</v>
      </c>
      <c r="C14970" t="s">
        <v>18033</v>
      </c>
      <c r="E14970" t="s">
        <v>31734</v>
      </c>
      <c r="F14970" t="s">
        <v>32606</v>
      </c>
      <c r="G14970" t="s">
        <v>32618</v>
      </c>
      <c r="H14970" t="s">
        <v>14201</v>
      </c>
      <c r="I14970" t="s">
        <v>32635</v>
      </c>
      <c r="J14970" t="s">
        <v>33940</v>
      </c>
      <c r="K14970" t="s">
        <v>42631</v>
      </c>
      <c r="M14970" t="s">
        <v>47187</v>
      </c>
      <c r="N14970" t="s">
        <v>47304</v>
      </c>
      <c r="O14970" t="s">
        <v>47305</v>
      </c>
      <c r="P14970">
        <v>0</v>
      </c>
      <c r="Q14970">
        <v>5</v>
      </c>
      <c r="R14970" t="s">
        <v>47326</v>
      </c>
      <c r="S14970" t="s">
        <v>48346</v>
      </c>
      <c r="T14970" t="s">
        <v>49268</v>
      </c>
      <c r="U14970" t="s">
        <v>61882</v>
      </c>
      <c r="V14970" t="s">
        <v>64310</v>
      </c>
      <c r="W14970" t="s">
        <v>47187</v>
      </c>
      <c r="X14970" t="s">
        <v>47327</v>
      </c>
    </row>
    <row r="14971" spans="1:24">
      <c r="A14971">
        <f>HYPERLINK("https://www.philgeps.gov.ph/GEPSNONPILOT/Tender/SplashBidNoticeAbstractUI.aspx?menuIndex=3&amp;refID=7157371&amp;Result=3","7157371")</f>
        <v>0</v>
      </c>
      <c r="B14971" t="s">
        <v>718</v>
      </c>
      <c r="C14971" t="s">
        <v>18034</v>
      </c>
      <c r="D14971" t="s">
        <v>19037</v>
      </c>
      <c r="E14971" t="s">
        <v>31735</v>
      </c>
      <c r="F14971" t="s">
        <v>32606</v>
      </c>
      <c r="G14971" t="s">
        <v>32613</v>
      </c>
      <c r="H14971" t="s">
        <v>14201</v>
      </c>
      <c r="I14971" t="s">
        <v>32638</v>
      </c>
      <c r="J14971" t="s">
        <v>34128</v>
      </c>
      <c r="K14971" t="s">
        <v>42636</v>
      </c>
      <c r="M14971" t="s">
        <v>44439</v>
      </c>
      <c r="N14971" t="s">
        <v>47304</v>
      </c>
      <c r="O14971" t="s">
        <v>47305</v>
      </c>
      <c r="Q14971">
        <v>12</v>
      </c>
      <c r="R14971" t="s">
        <v>47326</v>
      </c>
      <c r="S14971" t="s">
        <v>48391</v>
      </c>
      <c r="T14971" t="s">
        <v>49330</v>
      </c>
      <c r="U14971" t="s">
        <v>61883</v>
      </c>
      <c r="V14971" t="s">
        <v>64311</v>
      </c>
      <c r="W14971" t="s">
        <v>44439</v>
      </c>
      <c r="X14971" t="s">
        <v>47327</v>
      </c>
    </row>
    <row r="14972" spans="1:24">
      <c r="A14972">
        <f>HYPERLINK("https://www.philgeps.gov.ph/GEPSNONPILOT/Tender/SplashBidNoticeAbstractUI.aspx?menuIndex=3&amp;refID=7157520&amp;Result=3","7157520")</f>
        <v>0</v>
      </c>
      <c r="B14972" t="s">
        <v>392</v>
      </c>
      <c r="C14972" t="s">
        <v>18035</v>
      </c>
      <c r="D14972" t="s">
        <v>19006</v>
      </c>
      <c r="E14972" t="s">
        <v>31736</v>
      </c>
      <c r="F14972" t="s">
        <v>32606</v>
      </c>
      <c r="G14972" t="s">
        <v>32613</v>
      </c>
      <c r="H14972" t="s">
        <v>32624</v>
      </c>
      <c r="I14972" t="s">
        <v>32652</v>
      </c>
      <c r="J14972" t="s">
        <v>42010</v>
      </c>
      <c r="K14972" t="s">
        <v>42665</v>
      </c>
      <c r="M14972" t="s">
        <v>43295</v>
      </c>
      <c r="N14972" t="s">
        <v>47304</v>
      </c>
      <c r="O14972" t="s">
        <v>47305</v>
      </c>
      <c r="P14972">
        <v>0</v>
      </c>
      <c r="Q14972">
        <v>1</v>
      </c>
      <c r="R14972" t="s">
        <v>47326</v>
      </c>
      <c r="S14972" t="s">
        <v>48346</v>
      </c>
      <c r="T14972" t="s">
        <v>48998</v>
      </c>
      <c r="U14972" t="s">
        <v>61884</v>
      </c>
      <c r="V14972" t="s">
        <v>64312</v>
      </c>
      <c r="W14972" t="s">
        <v>43295</v>
      </c>
      <c r="X14972" t="s">
        <v>47327</v>
      </c>
    </row>
    <row r="14973" spans="1:24">
      <c r="A14973">
        <f>HYPERLINK("https://www.philgeps.gov.ph/GEPSNONPILOT/Tender/SplashBidNoticeAbstractUI.aspx?menuIndex=3&amp;refID=7157515&amp;Result=3","7157515")</f>
        <v>0</v>
      </c>
      <c r="B14973" t="s">
        <v>3249</v>
      </c>
      <c r="C14973" t="s">
        <v>18036</v>
      </c>
      <c r="D14973" t="s">
        <v>18993</v>
      </c>
      <c r="E14973" t="s">
        <v>31737</v>
      </c>
      <c r="F14973" t="s">
        <v>32606</v>
      </c>
      <c r="G14973" t="s">
        <v>32613</v>
      </c>
      <c r="H14973" t="s">
        <v>32623</v>
      </c>
      <c r="I14973" t="s">
        <v>32664</v>
      </c>
      <c r="J14973" t="s">
        <v>38364</v>
      </c>
      <c r="K14973" t="s">
        <v>42645</v>
      </c>
      <c r="M14973" t="s">
        <v>46482</v>
      </c>
      <c r="N14973" t="s">
        <v>47304</v>
      </c>
      <c r="O14973" t="s">
        <v>47305</v>
      </c>
      <c r="Q14973">
        <v>10</v>
      </c>
      <c r="R14973" t="s">
        <v>47326</v>
      </c>
      <c r="S14973" t="s">
        <v>48392</v>
      </c>
      <c r="T14973" t="s">
        <v>49234</v>
      </c>
      <c r="U14973" t="s">
        <v>58723</v>
      </c>
      <c r="W14973" t="s">
        <v>46482</v>
      </c>
      <c r="X14973" t="s">
        <v>47327</v>
      </c>
    </row>
    <row r="14974" spans="1:24">
      <c r="A14974">
        <f>HYPERLINK("https://www.philgeps.gov.ph/GEPSNONPILOT/Tender/SplashBidNoticeAbstractUI.aspx?menuIndex=3&amp;refID=7157357&amp;Result=3","7157357")</f>
        <v>0</v>
      </c>
      <c r="B14974" t="s">
        <v>3839</v>
      </c>
      <c r="C14974" t="s">
        <v>3971</v>
      </c>
      <c r="D14974" t="s">
        <v>18992</v>
      </c>
      <c r="E14974" t="s">
        <v>31738</v>
      </c>
      <c r="F14974" t="s">
        <v>32606</v>
      </c>
      <c r="G14974" t="s">
        <v>32613</v>
      </c>
      <c r="H14974" t="s">
        <v>14201</v>
      </c>
      <c r="I14974" t="s">
        <v>4120</v>
      </c>
      <c r="J14974" t="s">
        <v>42011</v>
      </c>
      <c r="K14974" t="s">
        <v>42623</v>
      </c>
      <c r="M14974" t="s">
        <v>47188</v>
      </c>
      <c r="N14974" t="s">
        <v>47304</v>
      </c>
      <c r="O14974" t="s">
        <v>47305</v>
      </c>
      <c r="P14974">
        <v>0</v>
      </c>
      <c r="Q14974">
        <v>0</v>
      </c>
      <c r="R14974" t="s">
        <v>47326</v>
      </c>
      <c r="S14974" t="s">
        <v>48346</v>
      </c>
      <c r="T14974" t="s">
        <v>49268</v>
      </c>
      <c r="U14974" t="s">
        <v>61885</v>
      </c>
      <c r="V14974" t="s">
        <v>64313</v>
      </c>
      <c r="W14974" t="s">
        <v>64559</v>
      </c>
      <c r="X14974" t="s">
        <v>47327</v>
      </c>
    </row>
    <row r="14975" spans="1:24">
      <c r="A14975">
        <f>HYPERLINK("https://www.philgeps.gov.ph/GEPSNONPILOT/Tender/SplashBidNoticeAbstractUI.aspx?menuIndex=3&amp;refID=7157524&amp;Result=3","7157524")</f>
        <v>0</v>
      </c>
      <c r="B14975" t="s">
        <v>998</v>
      </c>
      <c r="C14975" t="s">
        <v>18037</v>
      </c>
      <c r="D14975" t="s">
        <v>19009</v>
      </c>
      <c r="E14975" t="s">
        <v>31739</v>
      </c>
      <c r="F14975" t="s">
        <v>32606</v>
      </c>
      <c r="G14975" t="s">
        <v>32613</v>
      </c>
      <c r="H14975" t="s">
        <v>32623</v>
      </c>
      <c r="I14975" t="s">
        <v>17648</v>
      </c>
      <c r="J14975" t="s">
        <v>42012</v>
      </c>
      <c r="K14975" t="s">
        <v>42694</v>
      </c>
      <c r="M14975" t="s">
        <v>43946</v>
      </c>
      <c r="N14975" t="s">
        <v>47304</v>
      </c>
      <c r="O14975" t="s">
        <v>47305</v>
      </c>
      <c r="P14975">
        <v>0</v>
      </c>
      <c r="Q14975">
        <v>0</v>
      </c>
      <c r="R14975" t="s">
        <v>47326</v>
      </c>
      <c r="S14975" t="s">
        <v>48346</v>
      </c>
      <c r="T14975" t="s">
        <v>49053</v>
      </c>
      <c r="U14975" t="s">
        <v>61886</v>
      </c>
      <c r="W14975" t="s">
        <v>43946</v>
      </c>
      <c r="X14975" t="s">
        <v>47327</v>
      </c>
    </row>
    <row r="14976" spans="1:24">
      <c r="A14976">
        <f>HYPERLINK("https://www.philgeps.gov.ph/GEPSNONPILOT/Tender/SplashBidNoticeAbstractUI.aspx?menuIndex=3&amp;refID=7157487&amp;Result=3","7157487")</f>
        <v>0</v>
      </c>
      <c r="B14976" t="s">
        <v>3839</v>
      </c>
      <c r="C14976" t="s">
        <v>18038</v>
      </c>
      <c r="D14976" t="s">
        <v>18992</v>
      </c>
      <c r="E14976" t="s">
        <v>31740</v>
      </c>
      <c r="F14976" t="s">
        <v>32606</v>
      </c>
      <c r="G14976" t="s">
        <v>32613</v>
      </c>
      <c r="H14976" t="s">
        <v>14201</v>
      </c>
      <c r="I14976" t="s">
        <v>32638</v>
      </c>
      <c r="J14976" t="s">
        <v>32995</v>
      </c>
      <c r="K14976" t="s">
        <v>42623</v>
      </c>
      <c r="M14976" t="s">
        <v>47188</v>
      </c>
      <c r="N14976" t="s">
        <v>47304</v>
      </c>
      <c r="O14976" t="s">
        <v>47305</v>
      </c>
      <c r="P14976">
        <v>0</v>
      </c>
      <c r="Q14976">
        <v>9</v>
      </c>
      <c r="R14976" t="s">
        <v>47326</v>
      </c>
      <c r="S14976" t="s">
        <v>48346</v>
      </c>
      <c r="T14976" t="s">
        <v>49268</v>
      </c>
      <c r="U14976" t="s">
        <v>61887</v>
      </c>
      <c r="V14976" t="s">
        <v>64313</v>
      </c>
      <c r="W14976" t="s">
        <v>64559</v>
      </c>
      <c r="X14976" t="s">
        <v>47327</v>
      </c>
    </row>
    <row r="14977" spans="1:24">
      <c r="A14977">
        <f>HYPERLINK("https://www.philgeps.gov.ph/GEPSNONPILOT/Tender/SplashBidNoticeAbstractUI.aspx?menuIndex=3&amp;refID=7157189&amp;Result=3","7157189")</f>
        <v>0</v>
      </c>
      <c r="B14977" t="s">
        <v>3664</v>
      </c>
      <c r="C14977" t="s">
        <v>8822</v>
      </c>
      <c r="D14977" t="s">
        <v>19031</v>
      </c>
      <c r="E14977" t="s">
        <v>24941</v>
      </c>
      <c r="F14977" t="s">
        <v>32606</v>
      </c>
      <c r="G14977" t="s">
        <v>32613</v>
      </c>
      <c r="H14977" t="s">
        <v>32623</v>
      </c>
      <c r="I14977" t="s">
        <v>17648</v>
      </c>
      <c r="J14977" t="s">
        <v>32981</v>
      </c>
      <c r="K14977" t="s">
        <v>42627</v>
      </c>
      <c r="M14977" t="s">
        <v>46969</v>
      </c>
      <c r="N14977" t="s">
        <v>47304</v>
      </c>
      <c r="O14977" t="s">
        <v>47305</v>
      </c>
      <c r="P14977">
        <v>0</v>
      </c>
      <c r="Q14977">
        <v>0</v>
      </c>
      <c r="R14977" t="s">
        <v>47326</v>
      </c>
      <c r="S14977" t="s">
        <v>48346</v>
      </c>
      <c r="T14977" t="s">
        <v>49018</v>
      </c>
      <c r="U14977" t="s">
        <v>61888</v>
      </c>
      <c r="V14977" t="s">
        <v>64117</v>
      </c>
      <c r="W14977" t="s">
        <v>46969</v>
      </c>
      <c r="X14977" t="s">
        <v>47327</v>
      </c>
    </row>
    <row r="14978" spans="1:24">
      <c r="A14978">
        <f>HYPERLINK("https://www.philgeps.gov.ph/GEPSNONPILOT/Tender/SplashBidNoticeAbstractUI.aspx?menuIndex=3&amp;refID=7157527&amp;Result=3","7157527")</f>
        <v>0</v>
      </c>
      <c r="B14978" t="s">
        <v>3838</v>
      </c>
      <c r="C14978" t="s">
        <v>18039</v>
      </c>
      <c r="E14978" t="s">
        <v>31741</v>
      </c>
      <c r="F14978" t="s">
        <v>32606</v>
      </c>
      <c r="G14978" t="s">
        <v>32618</v>
      </c>
      <c r="H14978" t="s">
        <v>14201</v>
      </c>
      <c r="I14978" t="s">
        <v>32660</v>
      </c>
      <c r="J14978" t="s">
        <v>42013</v>
      </c>
      <c r="K14978" t="s">
        <v>42631</v>
      </c>
      <c r="M14978" t="s">
        <v>47187</v>
      </c>
      <c r="N14978" t="s">
        <v>47304</v>
      </c>
      <c r="O14978" t="s">
        <v>47305</v>
      </c>
      <c r="P14978">
        <v>0</v>
      </c>
      <c r="Q14978">
        <v>0</v>
      </c>
      <c r="R14978" t="s">
        <v>47326</v>
      </c>
      <c r="S14978" t="s">
        <v>48346</v>
      </c>
      <c r="T14978" t="s">
        <v>49268</v>
      </c>
      <c r="U14978" t="s">
        <v>61889</v>
      </c>
      <c r="V14978" t="s">
        <v>63616</v>
      </c>
      <c r="W14978" t="s">
        <v>47187</v>
      </c>
      <c r="X14978" t="s">
        <v>47327</v>
      </c>
    </row>
    <row r="14979" spans="1:24">
      <c r="A14979">
        <f>HYPERLINK("https://www.philgeps.gov.ph/GEPSNONPILOT/Tender/SplashBidNoticeAbstractUI.aspx?menuIndex=3&amp;refID=7156949&amp;Result=3","7156949")</f>
        <v>0</v>
      </c>
      <c r="B14979" t="s">
        <v>3769</v>
      </c>
      <c r="C14979" t="s">
        <v>18040</v>
      </c>
      <c r="D14979" t="s">
        <v>19026</v>
      </c>
      <c r="E14979" t="s">
        <v>31742</v>
      </c>
      <c r="F14979" t="s">
        <v>32606</v>
      </c>
      <c r="G14979" t="s">
        <v>32613</v>
      </c>
      <c r="H14979" t="s">
        <v>14201</v>
      </c>
      <c r="I14979" t="s">
        <v>4120</v>
      </c>
      <c r="J14979" t="s">
        <v>42014</v>
      </c>
      <c r="K14979" t="s">
        <v>42624</v>
      </c>
      <c r="M14979" t="s">
        <v>47102</v>
      </c>
      <c r="N14979" t="s">
        <v>47304</v>
      </c>
      <c r="O14979" t="s">
        <v>47305</v>
      </c>
      <c r="P14979">
        <v>0</v>
      </c>
      <c r="Q14979">
        <v>2</v>
      </c>
      <c r="R14979" t="s">
        <v>47326</v>
      </c>
      <c r="S14979" t="s">
        <v>48346</v>
      </c>
      <c r="T14979" t="s">
        <v>49315</v>
      </c>
      <c r="U14979" t="s">
        <v>61890</v>
      </c>
      <c r="W14979" t="s">
        <v>47102</v>
      </c>
      <c r="X14979" t="s">
        <v>47327</v>
      </c>
    </row>
    <row r="14980" spans="1:24">
      <c r="A14980">
        <f>HYPERLINK("https://www.philgeps.gov.ph/GEPSNONPILOT/Tender/SplashBidNoticeAbstractUI.aspx?menuIndex=3&amp;refID=7157471&amp;Result=3","7157471")</f>
        <v>0</v>
      </c>
      <c r="B14980" t="s">
        <v>3202</v>
      </c>
      <c r="C14980" t="s">
        <v>18041</v>
      </c>
      <c r="D14980" t="s">
        <v>19008</v>
      </c>
      <c r="E14980" t="s">
        <v>31743</v>
      </c>
      <c r="F14980" t="s">
        <v>32606</v>
      </c>
      <c r="G14980" t="s">
        <v>32613</v>
      </c>
      <c r="H14980" t="s">
        <v>14201</v>
      </c>
      <c r="I14980" t="s">
        <v>4120</v>
      </c>
      <c r="J14980" t="s">
        <v>42015</v>
      </c>
      <c r="K14980" t="s">
        <v>42631</v>
      </c>
      <c r="M14980" t="s">
        <v>46428</v>
      </c>
      <c r="N14980" t="s">
        <v>47304</v>
      </c>
      <c r="O14980" t="s">
        <v>47305</v>
      </c>
      <c r="P14980">
        <v>0</v>
      </c>
      <c r="Q14980">
        <v>6</v>
      </c>
      <c r="R14980" t="s">
        <v>47326</v>
      </c>
      <c r="S14980" t="s">
        <v>48346</v>
      </c>
      <c r="T14980" t="s">
        <v>49268</v>
      </c>
      <c r="U14980" t="s">
        <v>61891</v>
      </c>
      <c r="W14980" t="s">
        <v>46428</v>
      </c>
      <c r="X14980" t="s">
        <v>47327</v>
      </c>
    </row>
    <row r="14981" spans="1:24">
      <c r="A14981">
        <f>HYPERLINK("https://www.philgeps.gov.ph/GEPSNONPILOT/Tender/SplashBidNoticeAbstractUI.aspx?menuIndex=3&amp;refID=7157480&amp;Result=3","7157480")</f>
        <v>0</v>
      </c>
      <c r="B14981" t="s">
        <v>1510</v>
      </c>
      <c r="C14981" t="s">
        <v>18042</v>
      </c>
      <c r="D14981" t="s">
        <v>18992</v>
      </c>
      <c r="E14981" t="s">
        <v>20658</v>
      </c>
      <c r="F14981" t="s">
        <v>32606</v>
      </c>
      <c r="G14981" t="s">
        <v>32613</v>
      </c>
      <c r="H14981" t="s">
        <v>14201</v>
      </c>
      <c r="I14981" t="s">
        <v>6298</v>
      </c>
      <c r="J14981" t="s">
        <v>42016</v>
      </c>
      <c r="K14981" t="s">
        <v>42631</v>
      </c>
      <c r="M14981" t="s">
        <v>44509</v>
      </c>
      <c r="N14981" t="s">
        <v>47304</v>
      </c>
      <c r="O14981" t="s">
        <v>47305</v>
      </c>
      <c r="P14981">
        <v>0</v>
      </c>
      <c r="Q14981">
        <v>0</v>
      </c>
      <c r="R14981" t="s">
        <v>47326</v>
      </c>
      <c r="S14981" t="s">
        <v>48346</v>
      </c>
      <c r="T14981" t="s">
        <v>49050</v>
      </c>
      <c r="U14981" t="s">
        <v>61892</v>
      </c>
      <c r="W14981" t="s">
        <v>44509</v>
      </c>
      <c r="X14981" t="s">
        <v>47327</v>
      </c>
    </row>
    <row r="14982" spans="1:24">
      <c r="A14982">
        <f>HYPERLINK("https://www.philgeps.gov.ph/GEPSNONPILOT/Tender/SplashBidNoticeAbstractUI.aspx?menuIndex=3&amp;refID=7157795&amp;Result=3","7157795")</f>
        <v>0</v>
      </c>
      <c r="B14982" t="s">
        <v>3832</v>
      </c>
      <c r="C14982" t="s">
        <v>18043</v>
      </c>
      <c r="D14982" t="s">
        <v>19028</v>
      </c>
      <c r="E14982" t="s">
        <v>31744</v>
      </c>
      <c r="F14982" t="s">
        <v>32606</v>
      </c>
      <c r="G14982" t="s">
        <v>32613</v>
      </c>
      <c r="H14982" t="s">
        <v>32624</v>
      </c>
      <c r="I14982" t="s">
        <v>32685</v>
      </c>
      <c r="J14982" t="s">
        <v>42017</v>
      </c>
      <c r="K14982" t="s">
        <v>42683</v>
      </c>
      <c r="M14982" t="s">
        <v>47180</v>
      </c>
      <c r="N14982" t="s">
        <v>47304</v>
      </c>
      <c r="O14982" t="s">
        <v>47305</v>
      </c>
      <c r="Q14982">
        <v>4</v>
      </c>
      <c r="R14982" t="s">
        <v>47326</v>
      </c>
      <c r="S14982" t="s">
        <v>48393</v>
      </c>
      <c r="T14982" t="s">
        <v>49033</v>
      </c>
      <c r="U14982" t="s">
        <v>61844</v>
      </c>
      <c r="V14982" t="s">
        <v>64299</v>
      </c>
      <c r="W14982" t="s">
        <v>47180</v>
      </c>
      <c r="X14982" t="s">
        <v>47327</v>
      </c>
    </row>
    <row r="14983" spans="1:24">
      <c r="A14983">
        <f>HYPERLINK("https://www.philgeps.gov.ph/GEPSNONPILOT/Tender/SplashBidNoticeAbstractUI.aspx?menuIndex=3&amp;refID=7157504&amp;Result=3","7157504")</f>
        <v>0</v>
      </c>
      <c r="B14983" t="s">
        <v>1088</v>
      </c>
      <c r="C14983" t="s">
        <v>18044</v>
      </c>
      <c r="D14983" t="s">
        <v>19006</v>
      </c>
      <c r="E14983" t="s">
        <v>31745</v>
      </c>
      <c r="F14983" t="s">
        <v>32606</v>
      </c>
      <c r="G14983" t="s">
        <v>32613</v>
      </c>
      <c r="H14983" t="s">
        <v>14201</v>
      </c>
      <c r="I14983" t="s">
        <v>4120</v>
      </c>
      <c r="J14983" t="s">
        <v>42018</v>
      </c>
      <c r="K14983" t="s">
        <v>42682</v>
      </c>
      <c r="M14983" t="s">
        <v>44043</v>
      </c>
      <c r="N14983" t="s">
        <v>47304</v>
      </c>
      <c r="O14983" t="s">
        <v>47305</v>
      </c>
      <c r="Q14983">
        <v>8</v>
      </c>
      <c r="R14983" t="s">
        <v>47326</v>
      </c>
      <c r="S14983" t="s">
        <v>48394</v>
      </c>
      <c r="T14983" t="s">
        <v>49268</v>
      </c>
      <c r="U14983" t="s">
        <v>61893</v>
      </c>
      <c r="W14983" t="s">
        <v>44043</v>
      </c>
      <c r="X14983" t="s">
        <v>47327</v>
      </c>
    </row>
    <row r="14984" spans="1:24">
      <c r="A14984">
        <f>HYPERLINK("https://www.philgeps.gov.ph/GEPSNONPILOT/Tender/SplashBidNoticeAbstractUI.aspx?menuIndex=3&amp;refID=7157774&amp;Result=3","7157774")</f>
        <v>0</v>
      </c>
      <c r="B14984" t="s">
        <v>2117</v>
      </c>
      <c r="C14984" t="s">
        <v>18045</v>
      </c>
      <c r="D14984" t="s">
        <v>19063</v>
      </c>
      <c r="E14984" t="s">
        <v>31746</v>
      </c>
      <c r="F14984" t="s">
        <v>32606</v>
      </c>
      <c r="G14984" t="s">
        <v>32613</v>
      </c>
      <c r="H14984" t="s">
        <v>14201</v>
      </c>
      <c r="I14984" t="s">
        <v>6931</v>
      </c>
      <c r="J14984" t="s">
        <v>40138</v>
      </c>
      <c r="K14984" t="s">
        <v>42623</v>
      </c>
      <c r="M14984" t="s">
        <v>45204</v>
      </c>
      <c r="N14984" t="s">
        <v>47304</v>
      </c>
      <c r="O14984" t="s">
        <v>47305</v>
      </c>
      <c r="P14984">
        <v>0</v>
      </c>
      <c r="Q14984">
        <v>2</v>
      </c>
      <c r="R14984" t="s">
        <v>47326</v>
      </c>
      <c r="S14984" t="s">
        <v>48346</v>
      </c>
      <c r="T14984" t="s">
        <v>49053</v>
      </c>
      <c r="U14984" t="s">
        <v>54829</v>
      </c>
      <c r="W14984" t="s">
        <v>45204</v>
      </c>
      <c r="X14984" t="s">
        <v>47327</v>
      </c>
    </row>
    <row r="14985" spans="1:24">
      <c r="A14985">
        <f>HYPERLINK("https://www.philgeps.gov.ph/GEPSNONPILOT/Tender/SplashBidNoticeAbstractUI.aspx?menuIndex=3&amp;refID=7157773&amp;Result=3","7157773")</f>
        <v>0</v>
      </c>
      <c r="B14985" t="s">
        <v>696</v>
      </c>
      <c r="C14985" t="s">
        <v>18046</v>
      </c>
      <c r="D14985" t="s">
        <v>19069</v>
      </c>
      <c r="E14985" t="s">
        <v>31747</v>
      </c>
      <c r="F14985" t="s">
        <v>32606</v>
      </c>
      <c r="G14985" t="s">
        <v>32613</v>
      </c>
      <c r="H14985" t="s">
        <v>14201</v>
      </c>
      <c r="I14985" t="s">
        <v>32686</v>
      </c>
      <c r="J14985" t="s">
        <v>42019</v>
      </c>
      <c r="K14985" t="s">
        <v>42648</v>
      </c>
      <c r="M14985" t="s">
        <v>43969</v>
      </c>
      <c r="N14985" t="s">
        <v>47304</v>
      </c>
      <c r="O14985" t="s">
        <v>47305</v>
      </c>
      <c r="Q14985">
        <v>6</v>
      </c>
      <c r="R14985" t="s">
        <v>47326</v>
      </c>
      <c r="S14985" t="s">
        <v>48395</v>
      </c>
      <c r="T14985" t="s">
        <v>49347</v>
      </c>
      <c r="U14985" t="s">
        <v>61860</v>
      </c>
      <c r="V14985" t="s">
        <v>62902</v>
      </c>
      <c r="W14985" t="s">
        <v>43969</v>
      </c>
      <c r="X14985" t="s">
        <v>47327</v>
      </c>
    </row>
    <row r="14986" spans="1:24">
      <c r="A14986">
        <f>HYPERLINK("https://www.philgeps.gov.ph/GEPSNONPILOT/Tender/SplashBidNoticeAbstractUI.aspx?menuIndex=3&amp;refID=7157492&amp;Result=3","7157492")</f>
        <v>0</v>
      </c>
      <c r="B14986" t="s">
        <v>415</v>
      </c>
      <c r="C14986" t="s">
        <v>18047</v>
      </c>
      <c r="E14986" t="s">
        <v>31748</v>
      </c>
      <c r="F14986" t="s">
        <v>32606</v>
      </c>
      <c r="G14986" t="s">
        <v>32613</v>
      </c>
      <c r="H14986" t="s">
        <v>14201</v>
      </c>
      <c r="I14986" t="s">
        <v>32738</v>
      </c>
      <c r="J14986" t="s">
        <v>33735</v>
      </c>
      <c r="K14986" t="s">
        <v>42624</v>
      </c>
      <c r="M14986" t="s">
        <v>46553</v>
      </c>
      <c r="N14986" t="s">
        <v>47304</v>
      </c>
      <c r="O14986" t="s">
        <v>47305</v>
      </c>
      <c r="Q14986">
        <v>1</v>
      </c>
      <c r="R14986" t="s">
        <v>47326</v>
      </c>
      <c r="S14986" t="s">
        <v>48396</v>
      </c>
      <c r="T14986" t="s">
        <v>49023</v>
      </c>
      <c r="U14986" t="s">
        <v>61894</v>
      </c>
      <c r="V14986" t="s">
        <v>63887</v>
      </c>
      <c r="W14986" t="s">
        <v>46553</v>
      </c>
      <c r="X14986" t="s">
        <v>47327</v>
      </c>
    </row>
    <row r="14987" spans="1:24">
      <c r="A14987">
        <f>HYPERLINK("https://www.philgeps.gov.ph/GEPSNONPILOT/Tender/SplashBidNoticeAbstractUI.aspx?menuIndex=3&amp;refID=7157745&amp;Result=3","7157745")</f>
        <v>0</v>
      </c>
      <c r="B14987" t="s">
        <v>554</v>
      </c>
      <c r="C14987" t="s">
        <v>18048</v>
      </c>
      <c r="D14987" t="s">
        <v>19032</v>
      </c>
      <c r="E14987" t="s">
        <v>22499</v>
      </c>
      <c r="F14987" t="s">
        <v>32606</v>
      </c>
      <c r="G14987" t="s">
        <v>32613</v>
      </c>
      <c r="H14987" t="s">
        <v>32623</v>
      </c>
      <c r="I14987" t="s">
        <v>17648</v>
      </c>
      <c r="J14987" t="s">
        <v>32767</v>
      </c>
      <c r="K14987" t="s">
        <v>42712</v>
      </c>
      <c r="M14987" t="s">
        <v>43469</v>
      </c>
      <c r="N14987" t="s">
        <v>47304</v>
      </c>
      <c r="O14987" t="s">
        <v>47305</v>
      </c>
      <c r="Q14987">
        <v>0</v>
      </c>
      <c r="R14987" t="s">
        <v>47326</v>
      </c>
      <c r="S14987" t="s">
        <v>48397</v>
      </c>
      <c r="T14987" t="s">
        <v>49020</v>
      </c>
      <c r="U14987" t="s">
        <v>61895</v>
      </c>
      <c r="W14987" t="s">
        <v>43469</v>
      </c>
      <c r="X14987" t="s">
        <v>47327</v>
      </c>
    </row>
    <row r="14988" spans="1:24">
      <c r="A14988">
        <f>HYPERLINK("https://www.philgeps.gov.ph/GEPSNONPILOT/Tender/SplashBidNoticeAbstractUI.aspx?menuIndex=3&amp;refID=7157721&amp;Result=3","7157721")</f>
        <v>0</v>
      </c>
      <c r="B14988" t="s">
        <v>3832</v>
      </c>
      <c r="C14988" t="s">
        <v>18049</v>
      </c>
      <c r="D14988" t="s">
        <v>19028</v>
      </c>
      <c r="E14988" t="s">
        <v>31749</v>
      </c>
      <c r="F14988" t="s">
        <v>32606</v>
      </c>
      <c r="G14988" t="s">
        <v>32613</v>
      </c>
      <c r="H14988" t="s">
        <v>32624</v>
      </c>
      <c r="I14988" t="s">
        <v>32685</v>
      </c>
      <c r="J14988" t="s">
        <v>42020</v>
      </c>
      <c r="K14988" t="s">
        <v>42639</v>
      </c>
      <c r="M14988" t="s">
        <v>47180</v>
      </c>
      <c r="N14988" t="s">
        <v>47304</v>
      </c>
      <c r="O14988" t="s">
        <v>47305</v>
      </c>
      <c r="Q14988">
        <v>4</v>
      </c>
      <c r="R14988" t="s">
        <v>47326</v>
      </c>
      <c r="S14988" t="s">
        <v>48398</v>
      </c>
      <c r="T14988" t="s">
        <v>49033</v>
      </c>
      <c r="U14988" t="s">
        <v>61844</v>
      </c>
      <c r="V14988" t="s">
        <v>64307</v>
      </c>
      <c r="W14988" t="s">
        <v>47180</v>
      </c>
      <c r="X14988" t="s">
        <v>47327</v>
      </c>
    </row>
    <row r="14989" spans="1:24">
      <c r="A14989">
        <f>HYPERLINK("https://www.philgeps.gov.ph/GEPSNONPILOT/Tender/SplashBidNoticeAbstractUI.aspx?menuIndex=3&amp;refID=7157707&amp;Result=3","7157707")</f>
        <v>0</v>
      </c>
      <c r="B14989" t="s">
        <v>1890</v>
      </c>
      <c r="C14989" t="s">
        <v>18050</v>
      </c>
      <c r="D14989" t="s">
        <v>19042</v>
      </c>
      <c r="E14989" t="s">
        <v>31750</v>
      </c>
      <c r="F14989" t="s">
        <v>32606</v>
      </c>
      <c r="G14989" t="s">
        <v>32613</v>
      </c>
      <c r="H14989" t="s">
        <v>14201</v>
      </c>
      <c r="I14989" t="s">
        <v>32714</v>
      </c>
      <c r="J14989" t="s">
        <v>36641</v>
      </c>
      <c r="K14989" t="s">
        <v>42636</v>
      </c>
      <c r="M14989" t="s">
        <v>44948</v>
      </c>
      <c r="N14989" t="s">
        <v>47304</v>
      </c>
      <c r="O14989" t="s">
        <v>47305</v>
      </c>
      <c r="P14989">
        <v>0</v>
      </c>
      <c r="Q14989">
        <v>19</v>
      </c>
      <c r="R14989" t="s">
        <v>47326</v>
      </c>
      <c r="S14989" t="s">
        <v>48346</v>
      </c>
      <c r="T14989" t="s">
        <v>49267</v>
      </c>
      <c r="U14989" t="s">
        <v>61896</v>
      </c>
      <c r="V14989" t="s">
        <v>63881</v>
      </c>
      <c r="W14989" t="s">
        <v>44948</v>
      </c>
      <c r="X14989" t="s">
        <v>47327</v>
      </c>
    </row>
    <row r="14990" spans="1:24">
      <c r="A14990">
        <f>HYPERLINK("https://www.philgeps.gov.ph/GEPSNONPILOT/Tender/SplashBidNoticeAbstractUI.aspx?menuIndex=3&amp;refID=7157684&amp;Result=3","7157684")</f>
        <v>0</v>
      </c>
      <c r="B14990" t="s">
        <v>1088</v>
      </c>
      <c r="C14990" t="s">
        <v>18051</v>
      </c>
      <c r="D14990" t="s">
        <v>19006</v>
      </c>
      <c r="E14990" t="s">
        <v>31751</v>
      </c>
      <c r="F14990" t="s">
        <v>32606</v>
      </c>
      <c r="G14990" t="s">
        <v>32613</v>
      </c>
      <c r="H14990" t="s">
        <v>14201</v>
      </c>
      <c r="I14990" t="s">
        <v>32735</v>
      </c>
      <c r="J14990" t="s">
        <v>42021</v>
      </c>
      <c r="K14990" t="s">
        <v>42683</v>
      </c>
      <c r="M14990" t="s">
        <v>44043</v>
      </c>
      <c r="N14990" t="s">
        <v>47304</v>
      </c>
      <c r="O14990" t="s">
        <v>47305</v>
      </c>
      <c r="Q14990">
        <v>2</v>
      </c>
      <c r="R14990" t="s">
        <v>47326</v>
      </c>
      <c r="S14990" t="s">
        <v>48399</v>
      </c>
      <c r="T14990" t="s">
        <v>49268</v>
      </c>
      <c r="U14990" t="s">
        <v>61897</v>
      </c>
      <c r="W14990" t="s">
        <v>44043</v>
      </c>
      <c r="X14990" t="s">
        <v>47327</v>
      </c>
    </row>
    <row r="14991" spans="1:24">
      <c r="A14991">
        <f>HYPERLINK("https://www.philgeps.gov.ph/GEPSNONPILOT/Tender/SplashBidNoticeAbstractUI.aspx?menuIndex=3&amp;refID=7157655&amp;Result=3","7157655")</f>
        <v>0</v>
      </c>
      <c r="B14991" t="s">
        <v>3832</v>
      </c>
      <c r="C14991" t="s">
        <v>18052</v>
      </c>
      <c r="D14991" t="s">
        <v>19028</v>
      </c>
      <c r="E14991" t="s">
        <v>31752</v>
      </c>
      <c r="F14991" t="s">
        <v>32606</v>
      </c>
      <c r="G14991" t="s">
        <v>32613</v>
      </c>
      <c r="H14991" t="s">
        <v>32624</v>
      </c>
      <c r="I14991" t="s">
        <v>32685</v>
      </c>
      <c r="J14991" t="s">
        <v>42022</v>
      </c>
      <c r="K14991" t="s">
        <v>42631</v>
      </c>
      <c r="M14991" t="s">
        <v>47180</v>
      </c>
      <c r="N14991" t="s">
        <v>47304</v>
      </c>
      <c r="O14991" t="s">
        <v>47305</v>
      </c>
      <c r="Q14991">
        <v>4</v>
      </c>
      <c r="R14991" t="s">
        <v>47326</v>
      </c>
      <c r="S14991" t="s">
        <v>48400</v>
      </c>
      <c r="T14991" t="s">
        <v>49033</v>
      </c>
      <c r="U14991" t="s">
        <v>61844</v>
      </c>
      <c r="V14991" t="s">
        <v>64296</v>
      </c>
      <c r="W14991" t="s">
        <v>47180</v>
      </c>
      <c r="X14991" t="s">
        <v>47327</v>
      </c>
    </row>
    <row r="14992" spans="1:24">
      <c r="A14992">
        <f>HYPERLINK("https://www.philgeps.gov.ph/GEPSNONPILOT/Tender/SplashBidNoticeAbstractUI.aspx?menuIndex=3&amp;refID=7157649&amp;Result=3","7157649")</f>
        <v>0</v>
      </c>
      <c r="B14992" t="s">
        <v>3840</v>
      </c>
      <c r="C14992" t="s">
        <v>18053</v>
      </c>
      <c r="D14992" t="s">
        <v>19040</v>
      </c>
      <c r="E14992" t="s">
        <v>31753</v>
      </c>
      <c r="F14992" t="s">
        <v>32606</v>
      </c>
      <c r="G14992" t="s">
        <v>32613</v>
      </c>
      <c r="H14992" t="s">
        <v>14201</v>
      </c>
      <c r="I14992" t="s">
        <v>32716</v>
      </c>
      <c r="J14992" t="s">
        <v>35368</v>
      </c>
      <c r="K14992" t="s">
        <v>42639</v>
      </c>
      <c r="M14992" t="s">
        <v>47189</v>
      </c>
      <c r="N14992" t="s">
        <v>47304</v>
      </c>
      <c r="O14992" t="s">
        <v>47305</v>
      </c>
      <c r="Q14992">
        <v>5</v>
      </c>
      <c r="R14992" t="s">
        <v>47326</v>
      </c>
      <c r="S14992" t="s">
        <v>48401</v>
      </c>
      <c r="T14992" t="s">
        <v>49347</v>
      </c>
      <c r="U14992" t="s">
        <v>61898</v>
      </c>
      <c r="V14992" t="s">
        <v>64314</v>
      </c>
      <c r="W14992" t="s">
        <v>47189</v>
      </c>
      <c r="X14992" t="s">
        <v>47327</v>
      </c>
    </row>
    <row r="14993" spans="1:24">
      <c r="A14993">
        <f>HYPERLINK("https://www.philgeps.gov.ph/GEPSNONPILOT/Tender/SplashBidNoticeAbstractUI.aspx?menuIndex=3&amp;refID=7157638&amp;Result=3","7157638")</f>
        <v>0</v>
      </c>
      <c r="B14993" t="s">
        <v>998</v>
      </c>
      <c r="C14993" t="s">
        <v>18054</v>
      </c>
      <c r="D14993" t="s">
        <v>19009</v>
      </c>
      <c r="E14993" t="s">
        <v>31754</v>
      </c>
      <c r="F14993" t="s">
        <v>32606</v>
      </c>
      <c r="G14993" t="s">
        <v>32613</v>
      </c>
      <c r="H14993" t="s">
        <v>14201</v>
      </c>
      <c r="I14993" t="s">
        <v>6931</v>
      </c>
      <c r="J14993" t="s">
        <v>42023</v>
      </c>
      <c r="K14993" t="s">
        <v>42668</v>
      </c>
      <c r="M14993" t="s">
        <v>43946</v>
      </c>
      <c r="N14993" t="s">
        <v>47304</v>
      </c>
      <c r="O14993" t="s">
        <v>47305</v>
      </c>
      <c r="P14993">
        <v>0</v>
      </c>
      <c r="Q14993">
        <v>0</v>
      </c>
      <c r="R14993" t="s">
        <v>47326</v>
      </c>
      <c r="S14993" t="s">
        <v>48346</v>
      </c>
      <c r="T14993" t="s">
        <v>49053</v>
      </c>
      <c r="U14993" t="s">
        <v>61899</v>
      </c>
      <c r="W14993" t="s">
        <v>43946</v>
      </c>
      <c r="X14993" t="s">
        <v>47327</v>
      </c>
    </row>
    <row r="14994" spans="1:24">
      <c r="A14994">
        <f>HYPERLINK("https://www.philgeps.gov.ph/GEPSNONPILOT/Tender/SplashBidNoticeAbstractUI.aspx?menuIndex=3&amp;refID=7157727&amp;Result=3","7157727")</f>
        <v>0</v>
      </c>
      <c r="B14994" t="s">
        <v>998</v>
      </c>
      <c r="C14994" t="s">
        <v>18055</v>
      </c>
      <c r="D14994" t="s">
        <v>19009</v>
      </c>
      <c r="E14994" t="s">
        <v>31755</v>
      </c>
      <c r="F14994" t="s">
        <v>32606</v>
      </c>
      <c r="G14994" t="s">
        <v>32613</v>
      </c>
      <c r="H14994" t="s">
        <v>14201</v>
      </c>
      <c r="I14994" t="s">
        <v>32712</v>
      </c>
      <c r="J14994" t="s">
        <v>33363</v>
      </c>
      <c r="K14994" t="s">
        <v>42668</v>
      </c>
      <c r="M14994" t="s">
        <v>43946</v>
      </c>
      <c r="N14994" t="s">
        <v>47304</v>
      </c>
      <c r="O14994" t="s">
        <v>47305</v>
      </c>
      <c r="P14994">
        <v>0</v>
      </c>
      <c r="Q14994">
        <v>3</v>
      </c>
      <c r="R14994" t="s">
        <v>47326</v>
      </c>
      <c r="S14994" t="s">
        <v>48346</v>
      </c>
      <c r="T14994" t="s">
        <v>49053</v>
      </c>
      <c r="U14994" t="s">
        <v>61900</v>
      </c>
      <c r="W14994" t="s">
        <v>43946</v>
      </c>
      <c r="X14994" t="s">
        <v>47327</v>
      </c>
    </row>
    <row r="14995" spans="1:24">
      <c r="A14995">
        <f>HYPERLINK("https://www.philgeps.gov.ph/GEPSNONPILOT/Tender/SplashBidNoticeAbstractUI.aspx?menuIndex=3&amp;refID=7157000&amp;Result=3","7157000")</f>
        <v>0</v>
      </c>
      <c r="B14995" t="s">
        <v>684</v>
      </c>
      <c r="C14995" t="s">
        <v>18056</v>
      </c>
      <c r="D14995" t="s">
        <v>19012</v>
      </c>
      <c r="E14995" t="s">
        <v>31756</v>
      </c>
      <c r="F14995" t="s">
        <v>32606</v>
      </c>
      <c r="G14995" t="s">
        <v>32613</v>
      </c>
      <c r="H14995" t="s">
        <v>32623</v>
      </c>
      <c r="I14995" t="s">
        <v>17648</v>
      </c>
      <c r="J14995" t="s">
        <v>42024</v>
      </c>
      <c r="K14995" t="s">
        <v>42903</v>
      </c>
      <c r="L14995" t="s">
        <v>684</v>
      </c>
      <c r="M14995" t="s">
        <v>43605</v>
      </c>
      <c r="N14995" t="s">
        <v>47304</v>
      </c>
      <c r="O14995" t="s">
        <v>47305</v>
      </c>
      <c r="P14995">
        <v>0</v>
      </c>
      <c r="Q14995">
        <v>1</v>
      </c>
      <c r="R14995" t="s">
        <v>47326</v>
      </c>
      <c r="S14995" t="s">
        <v>48346</v>
      </c>
      <c r="T14995" t="s">
        <v>49053</v>
      </c>
      <c r="U14995" t="s">
        <v>61901</v>
      </c>
      <c r="V14995" t="s">
        <v>63129</v>
      </c>
      <c r="W14995" t="s">
        <v>43605</v>
      </c>
      <c r="X14995" t="s">
        <v>47327</v>
      </c>
    </row>
    <row r="14996" spans="1:24">
      <c r="A14996">
        <f>HYPERLINK("https://www.philgeps.gov.ph/GEPSNONPILOT/Tender/SplashBidNoticeAbstractUI.aspx?menuIndex=3&amp;refID=7157650&amp;Result=3","7157650")</f>
        <v>0</v>
      </c>
      <c r="B14996" t="s">
        <v>3838</v>
      </c>
      <c r="C14996" t="s">
        <v>18057</v>
      </c>
      <c r="E14996" t="s">
        <v>31757</v>
      </c>
      <c r="F14996" t="s">
        <v>32606</v>
      </c>
      <c r="G14996" t="s">
        <v>32618</v>
      </c>
      <c r="H14996" t="s">
        <v>14201</v>
      </c>
      <c r="I14996" t="s">
        <v>32710</v>
      </c>
      <c r="J14996" t="s">
        <v>42025</v>
      </c>
      <c r="K14996" t="s">
        <v>42631</v>
      </c>
      <c r="M14996" t="s">
        <v>47187</v>
      </c>
      <c r="N14996" t="s">
        <v>47304</v>
      </c>
      <c r="O14996" t="s">
        <v>47305</v>
      </c>
      <c r="Q14996">
        <v>10</v>
      </c>
      <c r="R14996" t="s">
        <v>47326</v>
      </c>
      <c r="S14996" t="s">
        <v>48402</v>
      </c>
      <c r="T14996" t="s">
        <v>49268</v>
      </c>
      <c r="U14996" t="s">
        <v>61902</v>
      </c>
      <c r="V14996" t="s">
        <v>50411</v>
      </c>
      <c r="W14996" t="s">
        <v>47187</v>
      </c>
      <c r="X14996" t="s">
        <v>47327</v>
      </c>
    </row>
    <row r="14997" spans="1:24">
      <c r="A14997">
        <f>HYPERLINK("https://www.philgeps.gov.ph/GEPSNONPILOT/Tender/SplashBidNoticeAbstractUI.aspx?menuIndex=3&amp;refID=7157615&amp;Result=3","7157615")</f>
        <v>0</v>
      </c>
      <c r="B14997" t="s">
        <v>3839</v>
      </c>
      <c r="C14997" t="s">
        <v>18058</v>
      </c>
      <c r="D14997" t="s">
        <v>18992</v>
      </c>
      <c r="E14997" t="s">
        <v>31758</v>
      </c>
      <c r="F14997" t="s">
        <v>32606</v>
      </c>
      <c r="G14997" t="s">
        <v>32613</v>
      </c>
      <c r="H14997" t="s">
        <v>14201</v>
      </c>
      <c r="I14997" t="s">
        <v>32665</v>
      </c>
      <c r="J14997" t="s">
        <v>42026</v>
      </c>
      <c r="K14997" t="s">
        <v>42623</v>
      </c>
      <c r="M14997" t="s">
        <v>47188</v>
      </c>
      <c r="N14997" t="s">
        <v>47304</v>
      </c>
      <c r="O14997" t="s">
        <v>47305</v>
      </c>
      <c r="P14997">
        <v>0</v>
      </c>
      <c r="Q14997">
        <v>0</v>
      </c>
      <c r="R14997" t="s">
        <v>47326</v>
      </c>
      <c r="S14997" t="s">
        <v>48346</v>
      </c>
      <c r="T14997" t="s">
        <v>49268</v>
      </c>
      <c r="U14997" t="s">
        <v>61903</v>
      </c>
      <c r="V14997" t="s">
        <v>64313</v>
      </c>
      <c r="W14997" t="s">
        <v>64559</v>
      </c>
      <c r="X14997" t="s">
        <v>47327</v>
      </c>
    </row>
    <row r="14998" spans="1:24">
      <c r="A14998">
        <f>HYPERLINK("https://www.philgeps.gov.ph/GEPSNONPILOT/Tender/SplashBidNoticeAbstractUI.aspx?menuIndex=3&amp;refID=7157605&amp;Result=3","7157605")</f>
        <v>0</v>
      </c>
      <c r="B14998" t="s">
        <v>255</v>
      </c>
      <c r="C14998" t="s">
        <v>18059</v>
      </c>
      <c r="E14998" t="s">
        <v>31759</v>
      </c>
      <c r="F14998" t="s">
        <v>32606</v>
      </c>
      <c r="G14998" t="s">
        <v>32613</v>
      </c>
      <c r="H14998" t="s">
        <v>14201</v>
      </c>
      <c r="I14998" t="s">
        <v>7233</v>
      </c>
      <c r="J14998" t="s">
        <v>42027</v>
      </c>
      <c r="K14998" t="s">
        <v>42624</v>
      </c>
      <c r="M14998" t="s">
        <v>43156</v>
      </c>
      <c r="N14998" t="s">
        <v>47304</v>
      </c>
      <c r="O14998" t="s">
        <v>47305</v>
      </c>
      <c r="P14998">
        <v>0</v>
      </c>
      <c r="Q14998">
        <v>0</v>
      </c>
      <c r="R14998" t="s">
        <v>47326</v>
      </c>
      <c r="S14998" t="s">
        <v>48346</v>
      </c>
      <c r="T14998" t="s">
        <v>49068</v>
      </c>
      <c r="U14998" t="s">
        <v>61904</v>
      </c>
      <c r="W14998" t="s">
        <v>43156</v>
      </c>
      <c r="X14998" t="s">
        <v>47327</v>
      </c>
    </row>
    <row r="14999" spans="1:24">
      <c r="A14999">
        <f>HYPERLINK("https://www.philgeps.gov.ph/GEPSNONPILOT/Tender/SplashBidNoticeAbstractUI.aspx?menuIndex=3&amp;refID=7157245&amp;Result=3","7157245")</f>
        <v>0</v>
      </c>
      <c r="B14999" t="s">
        <v>3839</v>
      </c>
      <c r="C14999" t="s">
        <v>18060</v>
      </c>
      <c r="D14999" t="s">
        <v>18992</v>
      </c>
      <c r="E14999" t="s">
        <v>31760</v>
      </c>
      <c r="F14999" t="s">
        <v>32606</v>
      </c>
      <c r="G14999" t="s">
        <v>32613</v>
      </c>
      <c r="H14999" t="s">
        <v>14201</v>
      </c>
      <c r="I14999" t="s">
        <v>9013</v>
      </c>
      <c r="J14999" t="s">
        <v>42028</v>
      </c>
      <c r="K14999" t="s">
        <v>42622</v>
      </c>
      <c r="M14999" t="s">
        <v>47188</v>
      </c>
      <c r="N14999" t="s">
        <v>47304</v>
      </c>
      <c r="O14999" t="s">
        <v>47305</v>
      </c>
      <c r="P14999">
        <v>0</v>
      </c>
      <c r="Q14999">
        <v>4</v>
      </c>
      <c r="R14999" t="s">
        <v>47326</v>
      </c>
      <c r="S14999" t="s">
        <v>48346</v>
      </c>
      <c r="T14999" t="s">
        <v>49268</v>
      </c>
      <c r="U14999" t="s">
        <v>61905</v>
      </c>
      <c r="V14999" t="s">
        <v>64315</v>
      </c>
      <c r="W14999" t="s">
        <v>64559</v>
      </c>
      <c r="X14999" t="s">
        <v>47327</v>
      </c>
    </row>
    <row r="15000" spans="1:24">
      <c r="A15000">
        <f>HYPERLINK("https://www.philgeps.gov.ph/GEPSNONPILOT/Tender/SplashBidNoticeAbstractUI.aspx?menuIndex=3&amp;refID=7157574&amp;Result=3","7157574")</f>
        <v>0</v>
      </c>
      <c r="B15000" t="s">
        <v>998</v>
      </c>
      <c r="C15000" t="s">
        <v>18061</v>
      </c>
      <c r="D15000" t="s">
        <v>19009</v>
      </c>
      <c r="E15000" t="s">
        <v>31761</v>
      </c>
      <c r="F15000" t="s">
        <v>32606</v>
      </c>
      <c r="G15000" t="s">
        <v>32613</v>
      </c>
      <c r="H15000" t="s">
        <v>32623</v>
      </c>
      <c r="I15000" t="s">
        <v>17648</v>
      </c>
      <c r="J15000" t="s">
        <v>42029</v>
      </c>
      <c r="K15000" t="s">
        <v>42715</v>
      </c>
      <c r="M15000" t="s">
        <v>43946</v>
      </c>
      <c r="N15000" t="s">
        <v>47304</v>
      </c>
      <c r="O15000" t="s">
        <v>47305</v>
      </c>
      <c r="P15000">
        <v>0</v>
      </c>
      <c r="Q15000">
        <v>0</v>
      </c>
      <c r="R15000" t="s">
        <v>47326</v>
      </c>
      <c r="S15000" t="s">
        <v>48346</v>
      </c>
      <c r="T15000" t="s">
        <v>49053</v>
      </c>
      <c r="U15000" t="s">
        <v>61906</v>
      </c>
      <c r="W15000" t="s">
        <v>43946</v>
      </c>
      <c r="X15000" t="s">
        <v>47327</v>
      </c>
    </row>
    <row r="15001" spans="1:24">
      <c r="A15001">
        <f>HYPERLINK("https://www.philgeps.gov.ph/GEPSNONPILOT/Tender/SplashBidNoticeAbstractUI.aspx?menuIndex=3&amp;refID=7157619&amp;Result=3","7157619")</f>
        <v>0</v>
      </c>
      <c r="B15001" t="s">
        <v>3838</v>
      </c>
      <c r="C15001" t="s">
        <v>18062</v>
      </c>
      <c r="E15001" t="s">
        <v>31762</v>
      </c>
      <c r="F15001" t="s">
        <v>32606</v>
      </c>
      <c r="G15001" t="s">
        <v>32618</v>
      </c>
      <c r="H15001" t="s">
        <v>14201</v>
      </c>
      <c r="I15001" t="s">
        <v>5233</v>
      </c>
      <c r="J15001" t="s">
        <v>42030</v>
      </c>
      <c r="K15001" t="s">
        <v>42631</v>
      </c>
      <c r="M15001" t="s">
        <v>47187</v>
      </c>
      <c r="N15001" t="s">
        <v>47304</v>
      </c>
      <c r="O15001" t="s">
        <v>47305</v>
      </c>
      <c r="P15001">
        <v>0</v>
      </c>
      <c r="Q15001">
        <v>0</v>
      </c>
      <c r="R15001" t="s">
        <v>47326</v>
      </c>
      <c r="S15001" t="s">
        <v>48346</v>
      </c>
      <c r="T15001" t="s">
        <v>49268</v>
      </c>
      <c r="U15001" t="s">
        <v>61907</v>
      </c>
      <c r="V15001" t="s">
        <v>50411</v>
      </c>
      <c r="W15001" t="s">
        <v>47187</v>
      </c>
      <c r="X15001" t="s">
        <v>47327</v>
      </c>
    </row>
    <row r="15002" spans="1:24">
      <c r="A15002">
        <f>HYPERLINK("https://www.philgeps.gov.ph/GEPSNONPILOT/Tender/SplashBidNoticeAbstractUI.aspx?menuIndex=3&amp;refID=7157565&amp;Result=3","7157565")</f>
        <v>0</v>
      </c>
      <c r="B15002" t="s">
        <v>3832</v>
      </c>
      <c r="C15002" t="s">
        <v>18063</v>
      </c>
      <c r="D15002" t="s">
        <v>19028</v>
      </c>
      <c r="E15002" t="s">
        <v>31763</v>
      </c>
      <c r="F15002" t="s">
        <v>32606</v>
      </c>
      <c r="G15002" t="s">
        <v>32613</v>
      </c>
      <c r="H15002" t="s">
        <v>32624</v>
      </c>
      <c r="I15002" t="s">
        <v>32685</v>
      </c>
      <c r="J15002" t="s">
        <v>42031</v>
      </c>
      <c r="K15002" t="s">
        <v>42636</v>
      </c>
      <c r="M15002" t="s">
        <v>47180</v>
      </c>
      <c r="N15002" t="s">
        <v>47304</v>
      </c>
      <c r="O15002" t="s">
        <v>47305</v>
      </c>
      <c r="Q15002">
        <v>4</v>
      </c>
      <c r="R15002" t="s">
        <v>47326</v>
      </c>
      <c r="S15002" t="s">
        <v>48403</v>
      </c>
      <c r="T15002" t="s">
        <v>49033</v>
      </c>
      <c r="U15002" t="s">
        <v>61844</v>
      </c>
      <c r="V15002" t="s">
        <v>64298</v>
      </c>
      <c r="W15002" t="s">
        <v>47180</v>
      </c>
      <c r="X15002" t="s">
        <v>47327</v>
      </c>
    </row>
    <row r="15003" spans="1:24">
      <c r="A15003">
        <f>HYPERLINK("https://www.philgeps.gov.ph/GEPSNONPILOT/Tender/SplashBidNoticeAbstractUI.aspx?menuIndex=3&amp;refID=7157438&amp;Result=3","7157438")</f>
        <v>0</v>
      </c>
      <c r="B15003" t="s">
        <v>3832</v>
      </c>
      <c r="C15003" t="s">
        <v>18064</v>
      </c>
      <c r="D15003" t="s">
        <v>19028</v>
      </c>
      <c r="E15003" t="s">
        <v>31764</v>
      </c>
      <c r="F15003" t="s">
        <v>32606</v>
      </c>
      <c r="G15003" t="s">
        <v>32613</v>
      </c>
      <c r="H15003" t="s">
        <v>32624</v>
      </c>
      <c r="I15003" t="s">
        <v>32685</v>
      </c>
      <c r="J15003" t="s">
        <v>42032</v>
      </c>
      <c r="K15003" t="s">
        <v>42646</v>
      </c>
      <c r="M15003" t="s">
        <v>47180</v>
      </c>
      <c r="N15003" t="s">
        <v>47304</v>
      </c>
      <c r="O15003" t="s">
        <v>47305</v>
      </c>
      <c r="Q15003">
        <v>4</v>
      </c>
      <c r="R15003" t="s">
        <v>47326</v>
      </c>
      <c r="S15003" t="s">
        <v>48404</v>
      </c>
      <c r="T15003" t="s">
        <v>49033</v>
      </c>
      <c r="U15003" t="s">
        <v>61844</v>
      </c>
      <c r="V15003" t="s">
        <v>64296</v>
      </c>
      <c r="W15003" t="s">
        <v>47180</v>
      </c>
      <c r="X15003" t="s">
        <v>47327</v>
      </c>
    </row>
    <row r="15004" spans="1:24">
      <c r="A15004">
        <f>HYPERLINK("https://www.philgeps.gov.ph/GEPSNONPILOT/Tender/SplashBidNoticeAbstractUI.aspx?menuIndex=3&amp;refID=7157428&amp;Result=3","7157428")</f>
        <v>0</v>
      </c>
      <c r="B15004" t="s">
        <v>3839</v>
      </c>
      <c r="C15004" t="s">
        <v>12388</v>
      </c>
      <c r="D15004" t="s">
        <v>18992</v>
      </c>
      <c r="E15004" t="s">
        <v>31765</v>
      </c>
      <c r="F15004" t="s">
        <v>32606</v>
      </c>
      <c r="G15004" t="s">
        <v>32613</v>
      </c>
      <c r="H15004" t="s">
        <v>14201</v>
      </c>
      <c r="I15004" t="s">
        <v>32640</v>
      </c>
      <c r="J15004" t="s">
        <v>36261</v>
      </c>
      <c r="K15004" t="s">
        <v>42623</v>
      </c>
      <c r="M15004" t="s">
        <v>47188</v>
      </c>
      <c r="N15004" t="s">
        <v>47304</v>
      </c>
      <c r="O15004" t="s">
        <v>47305</v>
      </c>
      <c r="Q15004">
        <v>5</v>
      </c>
      <c r="R15004" t="s">
        <v>47326</v>
      </c>
      <c r="S15004" t="s">
        <v>48405</v>
      </c>
      <c r="T15004" t="s">
        <v>49268</v>
      </c>
      <c r="U15004" t="s">
        <v>61908</v>
      </c>
      <c r="V15004" t="s">
        <v>64313</v>
      </c>
      <c r="W15004" t="s">
        <v>64559</v>
      </c>
      <c r="X15004" t="s">
        <v>47327</v>
      </c>
    </row>
    <row r="15005" spans="1:24">
      <c r="A15005">
        <f>HYPERLINK("https://www.philgeps.gov.ph/GEPSNONPILOT/Tender/SplashBidNoticeAbstractUI.aspx?menuIndex=3&amp;refID=7157410&amp;Result=3","7157410")</f>
        <v>0</v>
      </c>
      <c r="B15005" t="s">
        <v>3837</v>
      </c>
      <c r="C15005" t="s">
        <v>18065</v>
      </c>
      <c r="D15005" t="s">
        <v>19036</v>
      </c>
      <c r="E15005" t="s">
        <v>22286</v>
      </c>
      <c r="F15005" t="s">
        <v>32606</v>
      </c>
      <c r="G15005" t="s">
        <v>32613</v>
      </c>
      <c r="H15005" t="s">
        <v>14201</v>
      </c>
      <c r="I15005" t="s">
        <v>32681</v>
      </c>
      <c r="J15005" t="s">
        <v>42033</v>
      </c>
      <c r="K15005" t="s">
        <v>42631</v>
      </c>
      <c r="M15005" t="s">
        <v>47186</v>
      </c>
      <c r="N15005" t="s">
        <v>47304</v>
      </c>
      <c r="O15005" t="s">
        <v>47305</v>
      </c>
      <c r="P15005">
        <v>0</v>
      </c>
      <c r="Q15005">
        <v>5</v>
      </c>
      <c r="R15005" t="s">
        <v>47326</v>
      </c>
      <c r="S15005" t="s">
        <v>48346</v>
      </c>
      <c r="T15005" t="s">
        <v>49071</v>
      </c>
      <c r="U15005" t="s">
        <v>61878</v>
      </c>
      <c r="W15005" t="s">
        <v>47186</v>
      </c>
      <c r="X15005" t="s">
        <v>47327</v>
      </c>
    </row>
    <row r="15006" spans="1:24">
      <c r="A15006">
        <f>HYPERLINK("https://www.philgeps.gov.ph/GEPSNONPILOT/Tender/SplashBidNoticeAbstractUI.aspx?menuIndex=3&amp;refID=7157604&amp;Result=3","7157604")</f>
        <v>0</v>
      </c>
      <c r="B15006" t="s">
        <v>696</v>
      </c>
      <c r="C15006" t="s">
        <v>18066</v>
      </c>
      <c r="D15006" t="s">
        <v>19069</v>
      </c>
      <c r="E15006" t="s">
        <v>31766</v>
      </c>
      <c r="F15006" t="s">
        <v>32606</v>
      </c>
      <c r="G15006" t="s">
        <v>32613</v>
      </c>
      <c r="H15006" t="s">
        <v>14201</v>
      </c>
      <c r="I15006" t="s">
        <v>32686</v>
      </c>
      <c r="J15006" t="s">
        <v>42034</v>
      </c>
      <c r="K15006" t="s">
        <v>42636</v>
      </c>
      <c r="M15006" t="s">
        <v>43969</v>
      </c>
      <c r="N15006" t="s">
        <v>47304</v>
      </c>
      <c r="O15006" t="s">
        <v>47305</v>
      </c>
      <c r="Q15006">
        <v>2</v>
      </c>
      <c r="R15006" t="s">
        <v>47326</v>
      </c>
      <c r="S15006" t="s">
        <v>48406</v>
      </c>
      <c r="T15006" t="s">
        <v>49347</v>
      </c>
      <c r="U15006" t="s">
        <v>61860</v>
      </c>
      <c r="V15006" t="s">
        <v>64316</v>
      </c>
      <c r="W15006" t="s">
        <v>43969</v>
      </c>
      <c r="X15006" t="s">
        <v>47327</v>
      </c>
    </row>
    <row r="15007" spans="1:24">
      <c r="A15007">
        <f>HYPERLINK("https://www.philgeps.gov.ph/GEPSNONPILOT/Tender/SplashBidNoticeAbstractUI.aspx?menuIndex=3&amp;refID=7157445&amp;Result=3","7157445")</f>
        <v>0</v>
      </c>
      <c r="B15007" t="s">
        <v>2220</v>
      </c>
      <c r="C15007" t="s">
        <v>18067</v>
      </c>
      <c r="D15007" t="s">
        <v>19016</v>
      </c>
      <c r="E15007" t="s">
        <v>19378</v>
      </c>
      <c r="F15007" t="s">
        <v>32606</v>
      </c>
      <c r="G15007" t="s">
        <v>32613</v>
      </c>
      <c r="H15007" t="s">
        <v>14201</v>
      </c>
      <c r="I15007" t="s">
        <v>4112</v>
      </c>
      <c r="J15007" t="s">
        <v>42035</v>
      </c>
      <c r="K15007" t="s">
        <v>42631</v>
      </c>
      <c r="M15007" t="s">
        <v>45324</v>
      </c>
      <c r="N15007" t="s">
        <v>47304</v>
      </c>
      <c r="O15007" t="s">
        <v>47305</v>
      </c>
      <c r="P15007">
        <v>0</v>
      </c>
      <c r="Q15007">
        <v>2</v>
      </c>
      <c r="R15007" t="s">
        <v>47326</v>
      </c>
      <c r="S15007" t="s">
        <v>48346</v>
      </c>
      <c r="T15007" t="s">
        <v>49269</v>
      </c>
      <c r="U15007" t="s">
        <v>61909</v>
      </c>
      <c r="V15007" t="s">
        <v>64317</v>
      </c>
      <c r="W15007" t="s">
        <v>45324</v>
      </c>
      <c r="X15007" t="s">
        <v>47327</v>
      </c>
    </row>
    <row r="15008" spans="1:24">
      <c r="A15008">
        <f>HYPERLINK("https://www.philgeps.gov.ph/GEPSNONPILOT/Tender/SplashBidNoticeAbstractUI.aspx?menuIndex=3&amp;refID=7157572&amp;Result=3","7157572")</f>
        <v>0</v>
      </c>
      <c r="B15008" t="s">
        <v>1995</v>
      </c>
      <c r="C15008" t="s">
        <v>18068</v>
      </c>
      <c r="E15008" t="s">
        <v>31767</v>
      </c>
      <c r="F15008" t="s">
        <v>32606</v>
      </c>
      <c r="G15008" t="s">
        <v>32614</v>
      </c>
      <c r="H15008" t="s">
        <v>14201</v>
      </c>
      <c r="I15008" t="s">
        <v>7577</v>
      </c>
      <c r="J15008" t="s">
        <v>42036</v>
      </c>
      <c r="K15008" t="s">
        <v>42627</v>
      </c>
      <c r="M15008" t="s">
        <v>45064</v>
      </c>
      <c r="N15008" t="s">
        <v>47304</v>
      </c>
      <c r="O15008" t="s">
        <v>47305</v>
      </c>
      <c r="Q15008">
        <v>10</v>
      </c>
      <c r="R15008" t="s">
        <v>47326</v>
      </c>
      <c r="S15008" t="s">
        <v>48407</v>
      </c>
      <c r="T15008" t="s">
        <v>49071</v>
      </c>
      <c r="U15008" t="s">
        <v>61910</v>
      </c>
      <c r="W15008" t="s">
        <v>45064</v>
      </c>
      <c r="X15008" t="s">
        <v>47327</v>
      </c>
    </row>
    <row r="15009" spans="1:24">
      <c r="A15009">
        <f>HYPERLINK("https://www.philgeps.gov.ph/GEPSNONPILOT/Tender/SplashBidNoticeAbstractUI.aspx?menuIndex=3&amp;refID=7157376&amp;Result=3","7157376")</f>
        <v>0</v>
      </c>
      <c r="B15009" t="s">
        <v>2961</v>
      </c>
      <c r="C15009" t="s">
        <v>17383</v>
      </c>
      <c r="D15009" t="s">
        <v>18986</v>
      </c>
      <c r="E15009" t="s">
        <v>31768</v>
      </c>
      <c r="F15009" t="s">
        <v>32606</v>
      </c>
      <c r="G15009" t="s">
        <v>32613</v>
      </c>
      <c r="H15009" t="s">
        <v>32623</v>
      </c>
      <c r="I15009" t="s">
        <v>17648</v>
      </c>
      <c r="J15009" t="s">
        <v>32772</v>
      </c>
      <c r="K15009" t="s">
        <v>42631</v>
      </c>
      <c r="M15009" t="s">
        <v>46145</v>
      </c>
      <c r="N15009" t="s">
        <v>47304</v>
      </c>
      <c r="O15009" t="s">
        <v>47305</v>
      </c>
      <c r="P15009">
        <v>0</v>
      </c>
      <c r="Q15009">
        <v>0</v>
      </c>
      <c r="R15009" t="s">
        <v>47326</v>
      </c>
      <c r="S15009" t="s">
        <v>48346</v>
      </c>
      <c r="T15009" t="s">
        <v>49518</v>
      </c>
      <c r="U15009" t="s">
        <v>61911</v>
      </c>
      <c r="W15009" t="s">
        <v>46145</v>
      </c>
      <c r="X15009" t="s">
        <v>47327</v>
      </c>
    </row>
    <row r="15010" spans="1:24">
      <c r="A15010">
        <f>HYPERLINK("https://www.philgeps.gov.ph/GEPSNONPILOT/Tender/SplashBidNoticeAbstractUI.aspx?menuIndex=3&amp;refID=7157576&amp;Result=3","7157576")</f>
        <v>0</v>
      </c>
      <c r="B15010" t="s">
        <v>684</v>
      </c>
      <c r="C15010" t="s">
        <v>18069</v>
      </c>
      <c r="D15010" t="s">
        <v>19012</v>
      </c>
      <c r="E15010" t="s">
        <v>31769</v>
      </c>
      <c r="F15010" t="s">
        <v>32606</v>
      </c>
      <c r="G15010" t="s">
        <v>32613</v>
      </c>
      <c r="H15010" t="s">
        <v>14201</v>
      </c>
      <c r="I15010" t="s">
        <v>32662</v>
      </c>
      <c r="J15010" t="s">
        <v>32860</v>
      </c>
      <c r="K15010" t="s">
        <v>42627</v>
      </c>
      <c r="L15010" t="s">
        <v>684</v>
      </c>
      <c r="M15010" t="s">
        <v>43605</v>
      </c>
      <c r="N15010" t="s">
        <v>47304</v>
      </c>
      <c r="O15010" t="s">
        <v>47305</v>
      </c>
      <c r="Q15010">
        <v>19</v>
      </c>
      <c r="R15010" t="s">
        <v>47326</v>
      </c>
      <c r="S15010" t="s">
        <v>48408</v>
      </c>
      <c r="T15010" t="s">
        <v>49053</v>
      </c>
      <c r="U15010" t="s">
        <v>52303</v>
      </c>
      <c r="V15010" t="s">
        <v>63129</v>
      </c>
      <c r="W15010" t="s">
        <v>43605</v>
      </c>
      <c r="X15010" t="s">
        <v>47327</v>
      </c>
    </row>
    <row r="15011" spans="1:24">
      <c r="A15011">
        <f>HYPERLINK("https://www.philgeps.gov.ph/GEPSNONPILOT/Tender/SplashBidNoticeAbstractUI.aspx?menuIndex=3&amp;refID=7157384&amp;Result=3","7157384")</f>
        <v>0</v>
      </c>
      <c r="B15011" t="s">
        <v>3841</v>
      </c>
      <c r="C15011" t="s">
        <v>18070</v>
      </c>
      <c r="D15011" t="s">
        <v>18988</v>
      </c>
      <c r="E15011" t="s">
        <v>31770</v>
      </c>
      <c r="F15011" t="s">
        <v>32606</v>
      </c>
      <c r="G15011" t="s">
        <v>32613</v>
      </c>
      <c r="H15011" t="s">
        <v>32623</v>
      </c>
      <c r="I15011" t="s">
        <v>17648</v>
      </c>
      <c r="J15011" t="s">
        <v>42037</v>
      </c>
      <c r="K15011" t="s">
        <v>42636</v>
      </c>
      <c r="M15011" t="s">
        <v>47190</v>
      </c>
      <c r="N15011" t="s">
        <v>47304</v>
      </c>
      <c r="O15011" t="s">
        <v>47305</v>
      </c>
      <c r="P15011">
        <v>0</v>
      </c>
      <c r="Q15011">
        <v>4</v>
      </c>
      <c r="R15011" t="s">
        <v>47326</v>
      </c>
      <c r="S15011" t="s">
        <v>48346</v>
      </c>
      <c r="T15011" t="s">
        <v>49053</v>
      </c>
      <c r="U15011" t="s">
        <v>61912</v>
      </c>
      <c r="W15011" t="s">
        <v>64560</v>
      </c>
      <c r="X15011" t="s">
        <v>47327</v>
      </c>
    </row>
    <row r="15012" spans="1:24">
      <c r="A15012">
        <f>HYPERLINK("https://www.philgeps.gov.ph/GEPSNONPILOT/Tender/SplashBidNoticeAbstractUI.aspx?menuIndex=3&amp;refID=7157224&amp;Result=3","7157224")</f>
        <v>0</v>
      </c>
      <c r="B15012" t="s">
        <v>2961</v>
      </c>
      <c r="C15012" t="s">
        <v>12905</v>
      </c>
      <c r="D15012" t="s">
        <v>18986</v>
      </c>
      <c r="E15012" t="s">
        <v>31771</v>
      </c>
      <c r="F15012" t="s">
        <v>32606</v>
      </c>
      <c r="G15012" t="s">
        <v>32613</v>
      </c>
      <c r="H15012" t="s">
        <v>32623</v>
      </c>
      <c r="I15012" t="s">
        <v>17648</v>
      </c>
      <c r="J15012" t="s">
        <v>34545</v>
      </c>
      <c r="K15012" t="s">
        <v>42631</v>
      </c>
      <c r="M15012" t="s">
        <v>46145</v>
      </c>
      <c r="N15012" t="s">
        <v>47304</v>
      </c>
      <c r="O15012" t="s">
        <v>47305</v>
      </c>
      <c r="P15012">
        <v>0</v>
      </c>
      <c r="Q15012">
        <v>0</v>
      </c>
      <c r="R15012" t="s">
        <v>47326</v>
      </c>
      <c r="S15012" t="s">
        <v>48346</v>
      </c>
      <c r="T15012" t="s">
        <v>49519</v>
      </c>
      <c r="U15012" t="s">
        <v>61913</v>
      </c>
      <c r="W15012" t="s">
        <v>46145</v>
      </c>
      <c r="X15012" t="s">
        <v>47327</v>
      </c>
    </row>
    <row r="15013" spans="1:24">
      <c r="A15013">
        <f>HYPERLINK("https://www.philgeps.gov.ph/GEPSNONPILOT/Tender/SplashBidNoticeAbstractUI.aspx?menuIndex=3&amp;refID=7157372&amp;Result=3","7157372")</f>
        <v>0</v>
      </c>
      <c r="B15013" t="s">
        <v>3838</v>
      </c>
      <c r="C15013" t="s">
        <v>18071</v>
      </c>
      <c r="D15013" t="s">
        <v>19054</v>
      </c>
      <c r="E15013" t="s">
        <v>31772</v>
      </c>
      <c r="F15013" t="s">
        <v>32606</v>
      </c>
      <c r="G15013" t="s">
        <v>32618</v>
      </c>
      <c r="H15013" t="s">
        <v>14201</v>
      </c>
      <c r="I15013" t="s">
        <v>32660</v>
      </c>
      <c r="J15013" t="s">
        <v>42038</v>
      </c>
      <c r="K15013" t="s">
        <v>42631</v>
      </c>
      <c r="M15013" t="s">
        <v>47187</v>
      </c>
      <c r="N15013" t="s">
        <v>47304</v>
      </c>
      <c r="O15013" t="s">
        <v>47305</v>
      </c>
      <c r="P15013">
        <v>0</v>
      </c>
      <c r="Q15013">
        <v>2</v>
      </c>
      <c r="R15013" t="s">
        <v>47326</v>
      </c>
      <c r="S15013" t="s">
        <v>48346</v>
      </c>
      <c r="T15013" t="s">
        <v>49268</v>
      </c>
      <c r="U15013" t="s">
        <v>61914</v>
      </c>
      <c r="V15013" t="s">
        <v>63616</v>
      </c>
      <c r="W15013" t="s">
        <v>47187</v>
      </c>
      <c r="X15013" t="s">
        <v>47327</v>
      </c>
    </row>
    <row r="15014" spans="1:24">
      <c r="A15014">
        <f>HYPERLINK("https://www.philgeps.gov.ph/GEPSNONPILOT/Tender/SplashBidNoticeAbstractUI.aspx?menuIndex=3&amp;refID=7157381&amp;Result=3","7157381")</f>
        <v>0</v>
      </c>
      <c r="B15014" t="s">
        <v>3013</v>
      </c>
      <c r="C15014" t="s">
        <v>18072</v>
      </c>
      <c r="E15014" t="s">
        <v>31773</v>
      </c>
      <c r="F15014" t="s">
        <v>32606</v>
      </c>
      <c r="G15014" t="s">
        <v>32613</v>
      </c>
      <c r="H15014" t="s">
        <v>32623</v>
      </c>
      <c r="I15014" t="s">
        <v>17648</v>
      </c>
      <c r="J15014" t="s">
        <v>42039</v>
      </c>
      <c r="K15014" t="s">
        <v>42624</v>
      </c>
      <c r="M15014" t="s">
        <v>46204</v>
      </c>
      <c r="N15014" t="s">
        <v>47304</v>
      </c>
      <c r="O15014" t="s">
        <v>47305</v>
      </c>
      <c r="P15014">
        <v>0</v>
      </c>
      <c r="Q15014">
        <v>3</v>
      </c>
      <c r="R15014" t="s">
        <v>47326</v>
      </c>
      <c r="S15014" t="s">
        <v>48346</v>
      </c>
      <c r="T15014" t="s">
        <v>48998</v>
      </c>
      <c r="U15014" t="s">
        <v>61915</v>
      </c>
      <c r="V15014" t="s">
        <v>64318</v>
      </c>
      <c r="W15014" t="s">
        <v>46204</v>
      </c>
      <c r="X15014" t="s">
        <v>47327</v>
      </c>
    </row>
    <row r="15015" spans="1:24">
      <c r="A15015">
        <f>HYPERLINK("https://www.philgeps.gov.ph/GEPSNONPILOT/Tender/SplashBidNoticeAbstractUI.aspx?menuIndex=3&amp;refID=7157232&amp;Result=3","7157232")</f>
        <v>0</v>
      </c>
      <c r="B15015" t="s">
        <v>3842</v>
      </c>
      <c r="C15015" t="s">
        <v>18073</v>
      </c>
      <c r="D15015" t="s">
        <v>18995</v>
      </c>
      <c r="E15015" t="s">
        <v>19317</v>
      </c>
      <c r="F15015" t="s">
        <v>32606</v>
      </c>
      <c r="G15015" t="s">
        <v>32613</v>
      </c>
      <c r="H15015" t="s">
        <v>14201</v>
      </c>
      <c r="I15015" t="s">
        <v>4678</v>
      </c>
      <c r="J15015" t="s">
        <v>42040</v>
      </c>
      <c r="K15015" t="s">
        <v>42624</v>
      </c>
      <c r="M15015" t="s">
        <v>47191</v>
      </c>
      <c r="N15015" t="s">
        <v>47304</v>
      </c>
      <c r="O15015" t="s">
        <v>47305</v>
      </c>
      <c r="P15015">
        <v>0</v>
      </c>
      <c r="Q15015">
        <v>0</v>
      </c>
      <c r="R15015" t="s">
        <v>47326</v>
      </c>
      <c r="S15015" t="s">
        <v>48346</v>
      </c>
      <c r="T15015" t="s">
        <v>48998</v>
      </c>
      <c r="U15015" t="s">
        <v>61916</v>
      </c>
      <c r="W15015" t="s">
        <v>47191</v>
      </c>
      <c r="X15015" t="s">
        <v>47327</v>
      </c>
    </row>
    <row r="15016" spans="1:24">
      <c r="A15016">
        <f>HYPERLINK("https://www.philgeps.gov.ph/GEPSNONPILOT/Tender/SplashBidNoticeAbstractUI.aspx?menuIndex=3&amp;refID=7156947&amp;Result=3","7156947")</f>
        <v>0</v>
      </c>
      <c r="B15016" t="s">
        <v>2274</v>
      </c>
      <c r="C15016" t="s">
        <v>18074</v>
      </c>
      <c r="D15016" t="s">
        <v>19028</v>
      </c>
      <c r="E15016" t="s">
        <v>31774</v>
      </c>
      <c r="F15016" t="s">
        <v>32606</v>
      </c>
      <c r="G15016" t="s">
        <v>32613</v>
      </c>
      <c r="H15016" t="s">
        <v>14201</v>
      </c>
      <c r="I15016" t="s">
        <v>32652</v>
      </c>
      <c r="J15016" t="s">
        <v>42041</v>
      </c>
      <c r="K15016" t="s">
        <v>42685</v>
      </c>
      <c r="M15016" t="s">
        <v>45873</v>
      </c>
      <c r="N15016" t="s">
        <v>47304</v>
      </c>
      <c r="O15016" t="s">
        <v>47305</v>
      </c>
      <c r="P15016">
        <v>0</v>
      </c>
      <c r="Q15016">
        <v>3</v>
      </c>
      <c r="R15016" t="s">
        <v>47326</v>
      </c>
      <c r="S15016" t="s">
        <v>48346</v>
      </c>
      <c r="T15016" t="s">
        <v>49221</v>
      </c>
      <c r="U15016" t="s">
        <v>61917</v>
      </c>
      <c r="W15016" t="s">
        <v>45873</v>
      </c>
      <c r="X15016" t="s">
        <v>47327</v>
      </c>
    </row>
    <row r="15017" spans="1:24">
      <c r="A15017">
        <f>HYPERLINK("https://www.philgeps.gov.ph/GEPSNONPILOT/Tender/SplashBidNoticeAbstractUI.aspx?menuIndex=3&amp;refID=7157407&amp;Result=3","7157407")</f>
        <v>0</v>
      </c>
      <c r="B15017" t="s">
        <v>3265</v>
      </c>
      <c r="C15017" t="s">
        <v>18075</v>
      </c>
      <c r="D15017" t="s">
        <v>19056</v>
      </c>
      <c r="E15017" t="s">
        <v>31775</v>
      </c>
      <c r="F15017" t="s">
        <v>32606</v>
      </c>
      <c r="G15017" t="s">
        <v>32613</v>
      </c>
      <c r="H15017" t="s">
        <v>14201</v>
      </c>
      <c r="I15017" t="s">
        <v>4121</v>
      </c>
      <c r="J15017" t="s">
        <v>32795</v>
      </c>
      <c r="K15017" t="s">
        <v>42631</v>
      </c>
      <c r="M15017" t="s">
        <v>46499</v>
      </c>
      <c r="N15017" t="s">
        <v>47304</v>
      </c>
      <c r="O15017" t="s">
        <v>47305</v>
      </c>
      <c r="P15017">
        <v>0</v>
      </c>
      <c r="Q15017">
        <v>2</v>
      </c>
      <c r="R15017" t="s">
        <v>47326</v>
      </c>
      <c r="S15017" t="s">
        <v>48346</v>
      </c>
      <c r="T15017" t="s">
        <v>49068</v>
      </c>
      <c r="U15017" t="s">
        <v>61918</v>
      </c>
      <c r="W15017" t="s">
        <v>46499</v>
      </c>
      <c r="X15017" t="s">
        <v>47327</v>
      </c>
    </row>
    <row r="15018" spans="1:24">
      <c r="A15018">
        <f>HYPERLINK("https://www.philgeps.gov.ph/GEPSNONPILOT/Tender/SplashBidNoticeAbstractUI.aspx?menuIndex=3&amp;refID=7157227&amp;Result=3","7157227")</f>
        <v>0</v>
      </c>
      <c r="B15018" t="s">
        <v>1210</v>
      </c>
      <c r="C15018" t="s">
        <v>18076</v>
      </c>
      <c r="D15018" t="s">
        <v>18988</v>
      </c>
      <c r="E15018" t="s">
        <v>31776</v>
      </c>
      <c r="F15018" t="s">
        <v>32606</v>
      </c>
      <c r="G15018" t="s">
        <v>32613</v>
      </c>
      <c r="H15018" t="s">
        <v>14201</v>
      </c>
      <c r="I15018" t="s">
        <v>7064</v>
      </c>
      <c r="J15018" t="s">
        <v>33846</v>
      </c>
      <c r="K15018" t="s">
        <v>42624</v>
      </c>
      <c r="M15018" t="s">
        <v>44175</v>
      </c>
      <c r="N15018" t="s">
        <v>47304</v>
      </c>
      <c r="O15018" t="s">
        <v>47305</v>
      </c>
      <c r="P15018">
        <v>0</v>
      </c>
      <c r="Q15018">
        <v>6</v>
      </c>
      <c r="R15018" t="s">
        <v>47326</v>
      </c>
      <c r="S15018" t="s">
        <v>48346</v>
      </c>
      <c r="T15018" t="s">
        <v>48998</v>
      </c>
      <c r="U15018" t="s">
        <v>61812</v>
      </c>
      <c r="W15018" t="s">
        <v>44175</v>
      </c>
      <c r="X15018" t="s">
        <v>47327</v>
      </c>
    </row>
    <row r="15019" spans="1:24">
      <c r="A15019">
        <f>HYPERLINK("https://www.philgeps.gov.ph/GEPSNONPILOT/Tender/SplashBidNoticeAbstractUI.aspx?menuIndex=3&amp;refID=7157442&amp;Result=3","7157442")</f>
        <v>0</v>
      </c>
      <c r="B15019" t="s">
        <v>3841</v>
      </c>
      <c r="C15019" t="s">
        <v>18077</v>
      </c>
      <c r="D15019" t="s">
        <v>18988</v>
      </c>
      <c r="E15019" t="s">
        <v>31777</v>
      </c>
      <c r="F15019" t="s">
        <v>32606</v>
      </c>
      <c r="G15019" t="s">
        <v>32613</v>
      </c>
      <c r="H15019" t="s">
        <v>32623</v>
      </c>
      <c r="I15019" t="s">
        <v>17648</v>
      </c>
      <c r="J15019" t="s">
        <v>35368</v>
      </c>
      <c r="K15019" t="s">
        <v>42651</v>
      </c>
      <c r="M15019" t="s">
        <v>47190</v>
      </c>
      <c r="N15019" t="s">
        <v>47304</v>
      </c>
      <c r="O15019" t="s">
        <v>47305</v>
      </c>
      <c r="P15019">
        <v>0</v>
      </c>
      <c r="Q15019">
        <v>4</v>
      </c>
      <c r="R15019" t="s">
        <v>47326</v>
      </c>
      <c r="S15019" t="s">
        <v>48346</v>
      </c>
      <c r="T15019" t="s">
        <v>48998</v>
      </c>
      <c r="U15019" t="s">
        <v>61919</v>
      </c>
      <c r="W15019" t="s">
        <v>64560</v>
      </c>
      <c r="X15019" t="s">
        <v>47327</v>
      </c>
    </row>
    <row r="15020" spans="1:24">
      <c r="A15020">
        <f>HYPERLINK("https://www.philgeps.gov.ph/GEPSNONPILOT/Tender/SplashBidNoticeAbstractUI.aspx?menuIndex=3&amp;refID=7157143&amp;Result=3","7157143")</f>
        <v>0</v>
      </c>
      <c r="B15020" t="s">
        <v>3832</v>
      </c>
      <c r="C15020" t="s">
        <v>18078</v>
      </c>
      <c r="D15020" t="s">
        <v>19028</v>
      </c>
      <c r="E15020" t="s">
        <v>31778</v>
      </c>
      <c r="F15020" t="s">
        <v>32606</v>
      </c>
      <c r="G15020" t="s">
        <v>32613</v>
      </c>
      <c r="H15020" t="s">
        <v>32624</v>
      </c>
      <c r="I15020" t="s">
        <v>32743</v>
      </c>
      <c r="J15020" t="s">
        <v>42042</v>
      </c>
      <c r="K15020" t="s">
        <v>42645</v>
      </c>
      <c r="M15020" t="s">
        <v>47180</v>
      </c>
      <c r="N15020" t="s">
        <v>47304</v>
      </c>
      <c r="O15020" t="s">
        <v>47305</v>
      </c>
      <c r="Q15020">
        <v>3</v>
      </c>
      <c r="R15020" t="s">
        <v>47326</v>
      </c>
      <c r="S15020" t="s">
        <v>48409</v>
      </c>
      <c r="T15020" t="s">
        <v>49110</v>
      </c>
      <c r="U15020" t="s">
        <v>61844</v>
      </c>
      <c r="V15020" t="s">
        <v>64298</v>
      </c>
      <c r="W15020" t="s">
        <v>47180</v>
      </c>
      <c r="X15020" t="s">
        <v>47327</v>
      </c>
    </row>
    <row r="15021" spans="1:24">
      <c r="A15021">
        <f>HYPERLINK("https://www.philgeps.gov.ph/GEPSNONPILOT/Tender/SplashBidNoticeAbstractUI.aspx?menuIndex=3&amp;refID=7158006&amp;Result=3","7158006")</f>
        <v>0</v>
      </c>
      <c r="B15021" t="s">
        <v>2367</v>
      </c>
      <c r="C15021" t="s">
        <v>18079</v>
      </c>
      <c r="D15021" t="s">
        <v>19025</v>
      </c>
      <c r="E15021" t="s">
        <v>31779</v>
      </c>
      <c r="F15021" t="s">
        <v>32606</v>
      </c>
      <c r="G15021" t="s">
        <v>32613</v>
      </c>
      <c r="H15021" t="s">
        <v>32623</v>
      </c>
      <c r="I15021" t="s">
        <v>17648</v>
      </c>
      <c r="J15021" t="s">
        <v>42043</v>
      </c>
      <c r="K15021" t="s">
        <v>42648</v>
      </c>
      <c r="M15021" t="s">
        <v>45481</v>
      </c>
      <c r="N15021" t="s">
        <v>47304</v>
      </c>
      <c r="O15021" t="s">
        <v>47305</v>
      </c>
      <c r="P15021">
        <v>0</v>
      </c>
      <c r="Q15021">
        <v>1</v>
      </c>
      <c r="R15021" t="s">
        <v>47326</v>
      </c>
      <c r="S15021" t="s">
        <v>48346</v>
      </c>
      <c r="T15021" t="s">
        <v>49071</v>
      </c>
      <c r="U15021" t="s">
        <v>61920</v>
      </c>
      <c r="W15021" t="s">
        <v>45481</v>
      </c>
      <c r="X15021" t="s">
        <v>47327</v>
      </c>
    </row>
    <row r="15022" spans="1:24">
      <c r="A15022">
        <f>HYPERLINK("https://www.philgeps.gov.ph/GEPSNONPILOT/Tender/SplashBidNoticeAbstractUI.aspx?menuIndex=3&amp;refID=7158085&amp;Result=3","7158085")</f>
        <v>0</v>
      </c>
      <c r="B15022" t="s">
        <v>742</v>
      </c>
      <c r="C15022" t="s">
        <v>18080</v>
      </c>
      <c r="D15022" t="s">
        <v>19054</v>
      </c>
      <c r="E15022" t="s">
        <v>31780</v>
      </c>
      <c r="F15022" t="s">
        <v>32606</v>
      </c>
      <c r="G15022" t="s">
        <v>32613</v>
      </c>
      <c r="H15022" t="s">
        <v>32623</v>
      </c>
      <c r="I15022" t="s">
        <v>17648</v>
      </c>
      <c r="J15022" t="s">
        <v>33071</v>
      </c>
      <c r="K15022" t="s">
        <v>42712</v>
      </c>
      <c r="M15022" t="s">
        <v>43665</v>
      </c>
      <c r="N15022" t="s">
        <v>47304</v>
      </c>
      <c r="O15022" t="s">
        <v>47305</v>
      </c>
      <c r="P15022">
        <v>0</v>
      </c>
      <c r="Q15022">
        <v>4</v>
      </c>
      <c r="R15022" t="s">
        <v>47326</v>
      </c>
      <c r="S15022" t="s">
        <v>48346</v>
      </c>
      <c r="T15022" t="s">
        <v>49422</v>
      </c>
      <c r="U15022" t="s">
        <v>61921</v>
      </c>
      <c r="W15022" t="s">
        <v>43665</v>
      </c>
      <c r="X15022" t="s">
        <v>47327</v>
      </c>
    </row>
    <row r="15023" spans="1:24">
      <c r="A15023">
        <f>HYPERLINK("https://www.philgeps.gov.ph/GEPSNONPILOT/Tender/SplashBidNoticeAbstractUI.aspx?menuIndex=3&amp;refID=7157995&amp;Result=3","7157995")</f>
        <v>0</v>
      </c>
      <c r="B15023" t="s">
        <v>3532</v>
      </c>
      <c r="C15023" t="s">
        <v>18081</v>
      </c>
      <c r="D15023" t="s">
        <v>19006</v>
      </c>
      <c r="E15023" t="s">
        <v>31781</v>
      </c>
      <c r="F15023" t="s">
        <v>32606</v>
      </c>
      <c r="G15023" t="s">
        <v>32613</v>
      </c>
      <c r="H15023" t="s">
        <v>32623</v>
      </c>
      <c r="I15023" t="s">
        <v>17648</v>
      </c>
      <c r="J15023" t="s">
        <v>32923</v>
      </c>
      <c r="K15023" t="s">
        <v>42631</v>
      </c>
      <c r="M15023" t="s">
        <v>46805</v>
      </c>
      <c r="N15023" t="s">
        <v>47304</v>
      </c>
      <c r="O15023" t="s">
        <v>47305</v>
      </c>
      <c r="P15023">
        <v>0</v>
      </c>
      <c r="Q15023">
        <v>0</v>
      </c>
      <c r="R15023" t="s">
        <v>47326</v>
      </c>
      <c r="S15023" t="s">
        <v>48346</v>
      </c>
      <c r="T15023" t="s">
        <v>49315</v>
      </c>
      <c r="U15023" t="s">
        <v>61922</v>
      </c>
      <c r="W15023" t="s">
        <v>46805</v>
      </c>
      <c r="X15023" t="s">
        <v>47327</v>
      </c>
    </row>
    <row r="15024" spans="1:24">
      <c r="A15024">
        <f>HYPERLINK("https://www.philgeps.gov.ph/GEPSNONPILOT/Tender/SplashBidNoticeAbstractUI.aspx?menuIndex=3&amp;refID=7157991&amp;Result=3","7157991")</f>
        <v>0</v>
      </c>
      <c r="B15024" t="s">
        <v>3843</v>
      </c>
      <c r="C15024" t="s">
        <v>18082</v>
      </c>
      <c r="D15024" t="s">
        <v>19019</v>
      </c>
      <c r="E15024" t="s">
        <v>31782</v>
      </c>
      <c r="F15024" t="s">
        <v>32606</v>
      </c>
      <c r="G15024" t="s">
        <v>32613</v>
      </c>
      <c r="H15024" t="s">
        <v>14201</v>
      </c>
      <c r="I15024" t="s">
        <v>6007</v>
      </c>
      <c r="J15024" t="s">
        <v>42044</v>
      </c>
      <c r="K15024" t="s">
        <v>42632</v>
      </c>
      <c r="M15024" t="s">
        <v>47192</v>
      </c>
      <c r="N15024" t="s">
        <v>47304</v>
      </c>
      <c r="O15024" t="s">
        <v>47305</v>
      </c>
      <c r="P15024">
        <v>0</v>
      </c>
      <c r="Q15024">
        <v>2</v>
      </c>
      <c r="R15024" t="s">
        <v>47326</v>
      </c>
      <c r="S15024" t="s">
        <v>48346</v>
      </c>
      <c r="T15024" t="s">
        <v>49384</v>
      </c>
      <c r="U15024" t="s">
        <v>61923</v>
      </c>
      <c r="W15024" t="s">
        <v>47192</v>
      </c>
      <c r="X15024" t="s">
        <v>47327</v>
      </c>
    </row>
    <row r="15025" spans="1:24">
      <c r="A15025">
        <f>HYPERLINK("https://www.philgeps.gov.ph/GEPSNONPILOT/Tender/SplashBidNoticeAbstractUI.aspx?menuIndex=3&amp;refID=7157964&amp;Result=3","7157964")</f>
        <v>0</v>
      </c>
      <c r="B15025" t="s">
        <v>2379</v>
      </c>
      <c r="C15025" t="s">
        <v>18083</v>
      </c>
      <c r="D15025" t="s">
        <v>18989</v>
      </c>
      <c r="E15025" t="s">
        <v>31783</v>
      </c>
      <c r="F15025" t="s">
        <v>32606</v>
      </c>
      <c r="G15025" t="s">
        <v>32613</v>
      </c>
      <c r="H15025" t="s">
        <v>32623</v>
      </c>
      <c r="I15025" t="s">
        <v>17648</v>
      </c>
      <c r="J15025" t="s">
        <v>42045</v>
      </c>
      <c r="K15025" t="s">
        <v>42645</v>
      </c>
      <c r="M15025" t="s">
        <v>45494</v>
      </c>
      <c r="N15025" t="s">
        <v>47304</v>
      </c>
      <c r="O15025" t="s">
        <v>47305</v>
      </c>
      <c r="P15025">
        <v>0</v>
      </c>
      <c r="Q15025">
        <v>2</v>
      </c>
      <c r="R15025" t="s">
        <v>47326</v>
      </c>
      <c r="S15025" t="s">
        <v>48346</v>
      </c>
      <c r="T15025" t="s">
        <v>49268</v>
      </c>
      <c r="U15025" t="s">
        <v>61924</v>
      </c>
      <c r="V15025" t="s">
        <v>64319</v>
      </c>
      <c r="W15025" t="s">
        <v>45494</v>
      </c>
      <c r="X15025" t="s">
        <v>47327</v>
      </c>
    </row>
    <row r="15026" spans="1:24">
      <c r="A15026">
        <f>HYPERLINK("https://www.philgeps.gov.ph/GEPSNONPILOT/Tender/SplashBidNoticeAbstractUI.aspx?menuIndex=3&amp;refID=7158031&amp;Result=3","7158031")</f>
        <v>0</v>
      </c>
      <c r="B15026" t="s">
        <v>1392</v>
      </c>
      <c r="C15026" t="s">
        <v>18084</v>
      </c>
      <c r="D15026" t="s">
        <v>19011</v>
      </c>
      <c r="E15026" t="s">
        <v>31784</v>
      </c>
      <c r="F15026" t="s">
        <v>32606</v>
      </c>
      <c r="G15026" t="s">
        <v>32613</v>
      </c>
      <c r="H15026" t="s">
        <v>32623</v>
      </c>
      <c r="I15026" t="s">
        <v>17648</v>
      </c>
      <c r="J15026" t="s">
        <v>32981</v>
      </c>
      <c r="K15026" t="s">
        <v>42627</v>
      </c>
      <c r="M15026" t="s">
        <v>44375</v>
      </c>
      <c r="N15026" t="s">
        <v>47304</v>
      </c>
      <c r="O15026" t="s">
        <v>47305</v>
      </c>
      <c r="P15026">
        <v>0</v>
      </c>
      <c r="Q15026">
        <v>0</v>
      </c>
      <c r="R15026" t="s">
        <v>47326</v>
      </c>
      <c r="S15026" t="s">
        <v>48346</v>
      </c>
      <c r="T15026" t="s">
        <v>49234</v>
      </c>
      <c r="U15026" t="s">
        <v>61925</v>
      </c>
      <c r="W15026" t="s">
        <v>44375</v>
      </c>
      <c r="X15026" t="s">
        <v>47327</v>
      </c>
    </row>
    <row r="15027" spans="1:24">
      <c r="A15027">
        <f>HYPERLINK("https://www.philgeps.gov.ph/GEPSNONPILOT/Tender/SplashBidNoticeAbstractUI.aspx?menuIndex=3&amp;refID=7157959&amp;Result=3","7157959")</f>
        <v>0</v>
      </c>
      <c r="B15027" t="s">
        <v>3532</v>
      </c>
      <c r="C15027" t="s">
        <v>18085</v>
      </c>
      <c r="D15027" t="s">
        <v>19006</v>
      </c>
      <c r="E15027" t="s">
        <v>31785</v>
      </c>
      <c r="F15027" t="s">
        <v>32606</v>
      </c>
      <c r="G15027" t="s">
        <v>32613</v>
      </c>
      <c r="H15027" t="s">
        <v>32623</v>
      </c>
      <c r="I15027" t="s">
        <v>17648</v>
      </c>
      <c r="J15027" t="s">
        <v>32765</v>
      </c>
      <c r="K15027" t="s">
        <v>42631</v>
      </c>
      <c r="M15027" t="s">
        <v>46805</v>
      </c>
      <c r="N15027" t="s">
        <v>47304</v>
      </c>
      <c r="O15027" t="s">
        <v>47305</v>
      </c>
      <c r="P15027">
        <v>0</v>
      </c>
      <c r="Q15027">
        <v>0</v>
      </c>
      <c r="R15027" t="s">
        <v>47326</v>
      </c>
      <c r="S15027" t="s">
        <v>48346</v>
      </c>
      <c r="T15027" t="s">
        <v>49315</v>
      </c>
      <c r="U15027" t="s">
        <v>61926</v>
      </c>
      <c r="W15027" t="s">
        <v>46805</v>
      </c>
      <c r="X15027" t="s">
        <v>47327</v>
      </c>
    </row>
    <row r="15028" spans="1:24">
      <c r="A15028">
        <f>HYPERLINK("https://www.philgeps.gov.ph/GEPSNONPILOT/Tender/SplashBidNoticeAbstractUI.aspx?menuIndex=3&amp;refID=7156934&amp;Result=3","7156934")</f>
        <v>0</v>
      </c>
      <c r="B15028" t="s">
        <v>3832</v>
      </c>
      <c r="C15028" t="s">
        <v>18086</v>
      </c>
      <c r="D15028" t="s">
        <v>19028</v>
      </c>
      <c r="E15028" t="s">
        <v>31786</v>
      </c>
      <c r="F15028" t="s">
        <v>32606</v>
      </c>
      <c r="G15028" t="s">
        <v>32613</v>
      </c>
      <c r="H15028" t="s">
        <v>32624</v>
      </c>
      <c r="I15028" t="s">
        <v>32673</v>
      </c>
      <c r="J15028" t="s">
        <v>42046</v>
      </c>
      <c r="K15028" t="s">
        <v>42683</v>
      </c>
      <c r="M15028" t="s">
        <v>47180</v>
      </c>
      <c r="N15028" t="s">
        <v>47304</v>
      </c>
      <c r="O15028" t="s">
        <v>47305</v>
      </c>
      <c r="Q15028">
        <v>2</v>
      </c>
      <c r="R15028" t="s">
        <v>47326</v>
      </c>
      <c r="S15028" t="s">
        <v>48410</v>
      </c>
      <c r="T15028" t="s">
        <v>49110</v>
      </c>
      <c r="U15028" t="s">
        <v>61844</v>
      </c>
      <c r="V15028" t="s">
        <v>64298</v>
      </c>
      <c r="W15028" t="s">
        <v>47180</v>
      </c>
      <c r="X15028" t="s">
        <v>47327</v>
      </c>
    </row>
    <row r="15029" spans="1:24">
      <c r="A15029">
        <f>HYPERLINK("https://www.philgeps.gov.ph/GEPSNONPILOT/Tender/SplashBidNoticeAbstractUI.aspx?menuIndex=3&amp;refID=7158194&amp;Result=3","7158194")</f>
        <v>0</v>
      </c>
      <c r="B15029" t="s">
        <v>652</v>
      </c>
      <c r="C15029" t="s">
        <v>18087</v>
      </c>
      <c r="D15029" t="s">
        <v>18993</v>
      </c>
      <c r="E15029" t="s">
        <v>31787</v>
      </c>
      <c r="F15029" t="s">
        <v>32606</v>
      </c>
      <c r="G15029" t="s">
        <v>32613</v>
      </c>
      <c r="H15029" t="s">
        <v>14201</v>
      </c>
      <c r="I15029" t="s">
        <v>32640</v>
      </c>
      <c r="J15029" t="s">
        <v>42047</v>
      </c>
      <c r="K15029" t="s">
        <v>42665</v>
      </c>
      <c r="M15029" t="s">
        <v>46071</v>
      </c>
      <c r="N15029" t="s">
        <v>47304</v>
      </c>
      <c r="O15029" t="s">
        <v>47305</v>
      </c>
      <c r="Q15029">
        <v>13</v>
      </c>
      <c r="R15029" t="s">
        <v>47326</v>
      </c>
      <c r="S15029" t="s">
        <v>48411</v>
      </c>
      <c r="T15029" t="s">
        <v>49116</v>
      </c>
      <c r="U15029" t="s">
        <v>57232</v>
      </c>
      <c r="V15029" t="s">
        <v>63628</v>
      </c>
      <c r="W15029" t="s">
        <v>46071</v>
      </c>
      <c r="X15029" t="s">
        <v>47327</v>
      </c>
    </row>
    <row r="15030" spans="1:24">
      <c r="A15030">
        <f>HYPERLINK("https://www.philgeps.gov.ph/GEPSNONPILOT/Tender/SplashBidNoticeAbstractUI.aspx?menuIndex=3&amp;refID=7158192&amp;Result=3","7158192")</f>
        <v>0</v>
      </c>
      <c r="B15030" t="s">
        <v>3844</v>
      </c>
      <c r="C15030" t="s">
        <v>18088</v>
      </c>
      <c r="D15030" t="s">
        <v>19046</v>
      </c>
      <c r="E15030" t="s">
        <v>31788</v>
      </c>
      <c r="F15030" t="s">
        <v>32606</v>
      </c>
      <c r="G15030" t="s">
        <v>32613</v>
      </c>
      <c r="H15030" t="s">
        <v>32624</v>
      </c>
      <c r="I15030" t="s">
        <v>6007</v>
      </c>
      <c r="J15030" t="s">
        <v>42048</v>
      </c>
      <c r="K15030" t="s">
        <v>42751</v>
      </c>
      <c r="M15030" t="s">
        <v>47193</v>
      </c>
      <c r="N15030" t="s">
        <v>47304</v>
      </c>
      <c r="O15030" t="s">
        <v>47305</v>
      </c>
      <c r="P15030">
        <v>0</v>
      </c>
      <c r="Q15030">
        <v>1</v>
      </c>
      <c r="R15030" t="s">
        <v>47326</v>
      </c>
      <c r="S15030" t="s">
        <v>48346</v>
      </c>
      <c r="T15030" t="s">
        <v>49269</v>
      </c>
      <c r="U15030" t="s">
        <v>61927</v>
      </c>
      <c r="W15030" t="s">
        <v>47193</v>
      </c>
      <c r="X15030" t="s">
        <v>47327</v>
      </c>
    </row>
    <row r="15031" spans="1:24">
      <c r="A15031">
        <f>HYPERLINK("https://www.philgeps.gov.ph/GEPSNONPILOT/Tender/SplashBidNoticeAbstractUI.aspx?menuIndex=3&amp;refID=7157941&amp;Result=3","7157941")</f>
        <v>0</v>
      </c>
      <c r="B15031" t="s">
        <v>3845</v>
      </c>
      <c r="C15031" t="s">
        <v>18089</v>
      </c>
      <c r="D15031" t="s">
        <v>19067</v>
      </c>
      <c r="E15031" t="s">
        <v>31789</v>
      </c>
      <c r="F15031" t="s">
        <v>32606</v>
      </c>
      <c r="G15031" t="s">
        <v>32613</v>
      </c>
      <c r="H15031" t="s">
        <v>32623</v>
      </c>
      <c r="I15031" t="s">
        <v>17648</v>
      </c>
      <c r="J15031" t="s">
        <v>42049</v>
      </c>
      <c r="K15031" t="s">
        <v>42624</v>
      </c>
      <c r="M15031" t="s">
        <v>47194</v>
      </c>
      <c r="N15031" t="s">
        <v>47304</v>
      </c>
      <c r="O15031" t="s">
        <v>47305</v>
      </c>
      <c r="P15031">
        <v>0</v>
      </c>
      <c r="Q15031">
        <v>0</v>
      </c>
      <c r="R15031" t="s">
        <v>47326</v>
      </c>
      <c r="S15031" t="s">
        <v>48346</v>
      </c>
      <c r="T15031" t="s">
        <v>49071</v>
      </c>
      <c r="U15031" t="s">
        <v>61928</v>
      </c>
      <c r="W15031" t="s">
        <v>47194</v>
      </c>
      <c r="X15031" t="s">
        <v>47327</v>
      </c>
    </row>
    <row r="15032" spans="1:24">
      <c r="A15032">
        <f>HYPERLINK("https://www.philgeps.gov.ph/GEPSNONPILOT/Tender/SplashBidNoticeAbstractUI.aspx?menuIndex=3&amp;refID=7158177&amp;Result=3","7158177")</f>
        <v>0</v>
      </c>
      <c r="B15032" t="s">
        <v>3244</v>
      </c>
      <c r="C15032" t="s">
        <v>18090</v>
      </c>
      <c r="E15032" t="s">
        <v>31790</v>
      </c>
      <c r="F15032" t="s">
        <v>32606</v>
      </c>
      <c r="G15032" t="s">
        <v>32613</v>
      </c>
      <c r="H15032" t="s">
        <v>14201</v>
      </c>
      <c r="I15032" t="s">
        <v>32716</v>
      </c>
      <c r="J15032" t="s">
        <v>33071</v>
      </c>
      <c r="K15032" t="s">
        <v>42624</v>
      </c>
      <c r="M15032" t="s">
        <v>46477</v>
      </c>
      <c r="N15032" t="s">
        <v>47304</v>
      </c>
      <c r="O15032" t="s">
        <v>47305</v>
      </c>
      <c r="Q15032">
        <v>6</v>
      </c>
      <c r="R15032" t="s">
        <v>47326</v>
      </c>
      <c r="S15032" t="s">
        <v>48412</v>
      </c>
      <c r="T15032" t="s">
        <v>49335</v>
      </c>
      <c r="U15032" t="s">
        <v>58699</v>
      </c>
      <c r="W15032" t="s">
        <v>46477</v>
      </c>
      <c r="X15032" t="s">
        <v>47327</v>
      </c>
    </row>
    <row r="15033" spans="1:24">
      <c r="A15033">
        <f>HYPERLINK("https://www.philgeps.gov.ph/GEPSNONPILOT/Tender/SplashBidNoticeAbstractUI.aspx?menuIndex=3&amp;refID=7158073&amp;Result=3","7158073")</f>
        <v>0</v>
      </c>
      <c r="B15033" t="s">
        <v>288</v>
      </c>
      <c r="C15033" t="s">
        <v>18091</v>
      </c>
      <c r="D15033" t="s">
        <v>19034</v>
      </c>
      <c r="E15033" t="s">
        <v>27506</v>
      </c>
      <c r="F15033" t="s">
        <v>32606</v>
      </c>
      <c r="G15033" t="s">
        <v>32613</v>
      </c>
      <c r="H15033" t="s">
        <v>14201</v>
      </c>
      <c r="I15033" t="s">
        <v>32698</v>
      </c>
      <c r="J15033" t="s">
        <v>32789</v>
      </c>
      <c r="K15033" t="s">
        <v>42623</v>
      </c>
      <c r="M15033" t="s">
        <v>43285</v>
      </c>
      <c r="N15033" t="s">
        <v>47304</v>
      </c>
      <c r="O15033" t="s">
        <v>47305</v>
      </c>
      <c r="Q15033">
        <v>1</v>
      </c>
      <c r="R15033" t="s">
        <v>47326</v>
      </c>
      <c r="S15033" t="s">
        <v>48413</v>
      </c>
      <c r="T15033" t="s">
        <v>48986</v>
      </c>
      <c r="U15033" t="s">
        <v>61929</v>
      </c>
      <c r="W15033" t="s">
        <v>64427</v>
      </c>
      <c r="X15033" t="s">
        <v>47327</v>
      </c>
    </row>
    <row r="15034" spans="1:24">
      <c r="A15034">
        <f>HYPERLINK("https://www.philgeps.gov.ph/GEPSNONPILOT/Tender/SplashBidNoticeAbstractUI.aspx?menuIndex=3&amp;refID=7158174&amp;Result=3","7158174")</f>
        <v>0</v>
      </c>
      <c r="B15034" t="s">
        <v>1738</v>
      </c>
      <c r="C15034" t="s">
        <v>18092</v>
      </c>
      <c r="E15034" t="s">
        <v>31791</v>
      </c>
      <c r="F15034" t="s">
        <v>32606</v>
      </c>
      <c r="G15034" t="s">
        <v>32614</v>
      </c>
      <c r="H15034" t="s">
        <v>14201</v>
      </c>
      <c r="I15034" t="s">
        <v>32638</v>
      </c>
      <c r="J15034" t="s">
        <v>42050</v>
      </c>
      <c r="K15034" t="s">
        <v>42631</v>
      </c>
      <c r="M15034" t="s">
        <v>44771</v>
      </c>
      <c r="N15034" t="s">
        <v>47304</v>
      </c>
      <c r="O15034" t="s">
        <v>47305</v>
      </c>
      <c r="Q15034">
        <v>30</v>
      </c>
      <c r="R15034" t="s">
        <v>47326</v>
      </c>
      <c r="S15034" t="s">
        <v>48414</v>
      </c>
      <c r="T15034" t="s">
        <v>49383</v>
      </c>
      <c r="U15034" t="s">
        <v>61930</v>
      </c>
      <c r="W15034" t="s">
        <v>44771</v>
      </c>
      <c r="X15034" t="s">
        <v>47327</v>
      </c>
    </row>
    <row r="15035" spans="1:24">
      <c r="A15035">
        <f>HYPERLINK("https://www.philgeps.gov.ph/GEPSNONPILOT/Tender/SplashBidNoticeAbstractUI.aspx?menuIndex=3&amp;refID=7158191&amp;Result=3","7158191")</f>
        <v>0</v>
      </c>
      <c r="B15035" t="s">
        <v>3244</v>
      </c>
      <c r="C15035" t="s">
        <v>18093</v>
      </c>
      <c r="E15035" t="s">
        <v>31792</v>
      </c>
      <c r="F15035" t="s">
        <v>32606</v>
      </c>
      <c r="G15035" t="s">
        <v>32613</v>
      </c>
      <c r="H15035" t="s">
        <v>14201</v>
      </c>
      <c r="I15035" t="s">
        <v>7064</v>
      </c>
      <c r="J15035" t="s">
        <v>33039</v>
      </c>
      <c r="K15035" t="s">
        <v>42624</v>
      </c>
      <c r="M15035" t="s">
        <v>46477</v>
      </c>
      <c r="N15035" t="s">
        <v>47304</v>
      </c>
      <c r="O15035" t="s">
        <v>47305</v>
      </c>
      <c r="Q15035">
        <v>14</v>
      </c>
      <c r="R15035" t="s">
        <v>47326</v>
      </c>
      <c r="S15035" t="s">
        <v>48415</v>
      </c>
      <c r="T15035" t="s">
        <v>49335</v>
      </c>
      <c r="U15035" t="s">
        <v>58699</v>
      </c>
      <c r="W15035" t="s">
        <v>46477</v>
      </c>
      <c r="X15035" t="s">
        <v>47327</v>
      </c>
    </row>
    <row r="15036" spans="1:24">
      <c r="A15036">
        <f>HYPERLINK("https://www.philgeps.gov.ph/GEPSNONPILOT/Tender/SplashBidNoticeAbstractUI.aspx?menuIndex=3&amp;refID=7158013&amp;Result=3","7158013")</f>
        <v>0</v>
      </c>
      <c r="B15036" t="s">
        <v>3532</v>
      </c>
      <c r="C15036" t="s">
        <v>18094</v>
      </c>
      <c r="D15036" t="s">
        <v>19006</v>
      </c>
      <c r="E15036" t="s">
        <v>31793</v>
      </c>
      <c r="F15036" t="s">
        <v>32606</v>
      </c>
      <c r="G15036" t="s">
        <v>32613</v>
      </c>
      <c r="H15036" t="s">
        <v>32623</v>
      </c>
      <c r="I15036" t="s">
        <v>17648</v>
      </c>
      <c r="J15036" t="s">
        <v>32923</v>
      </c>
      <c r="K15036" t="s">
        <v>42631</v>
      </c>
      <c r="M15036" t="s">
        <v>46805</v>
      </c>
      <c r="N15036" t="s">
        <v>47304</v>
      </c>
      <c r="O15036" t="s">
        <v>47305</v>
      </c>
      <c r="P15036">
        <v>0</v>
      </c>
      <c r="Q15036">
        <v>2</v>
      </c>
      <c r="R15036" t="s">
        <v>47326</v>
      </c>
      <c r="S15036" t="s">
        <v>48346</v>
      </c>
      <c r="T15036" t="s">
        <v>49315</v>
      </c>
      <c r="U15036" t="s">
        <v>61931</v>
      </c>
      <c r="W15036" t="s">
        <v>46805</v>
      </c>
      <c r="X15036" t="s">
        <v>47327</v>
      </c>
    </row>
    <row r="15037" spans="1:24">
      <c r="A15037">
        <f>HYPERLINK("https://www.philgeps.gov.ph/GEPSNONPILOT/Tender/SplashBidNoticeAbstractUI.aspx?menuIndex=3&amp;refID=7158182&amp;Result=3","7158182")</f>
        <v>0</v>
      </c>
      <c r="B15037" t="s">
        <v>3532</v>
      </c>
      <c r="C15037" t="s">
        <v>18095</v>
      </c>
      <c r="D15037" t="s">
        <v>19006</v>
      </c>
      <c r="E15037" t="s">
        <v>31794</v>
      </c>
      <c r="F15037" t="s">
        <v>32606</v>
      </c>
      <c r="G15037" t="s">
        <v>32613</v>
      </c>
      <c r="H15037" t="s">
        <v>32623</v>
      </c>
      <c r="I15037" t="s">
        <v>17648</v>
      </c>
      <c r="J15037" t="s">
        <v>32767</v>
      </c>
      <c r="K15037" t="s">
        <v>42648</v>
      </c>
      <c r="M15037" t="s">
        <v>46805</v>
      </c>
      <c r="N15037" t="s">
        <v>47304</v>
      </c>
      <c r="O15037" t="s">
        <v>47305</v>
      </c>
      <c r="P15037">
        <v>0</v>
      </c>
      <c r="Q15037">
        <v>3</v>
      </c>
      <c r="R15037" t="s">
        <v>47326</v>
      </c>
      <c r="S15037" t="s">
        <v>48346</v>
      </c>
      <c r="T15037" t="s">
        <v>49315</v>
      </c>
      <c r="U15037" t="s">
        <v>61932</v>
      </c>
      <c r="W15037" t="s">
        <v>46805</v>
      </c>
      <c r="X15037" t="s">
        <v>47327</v>
      </c>
    </row>
    <row r="15038" spans="1:24">
      <c r="A15038">
        <f>HYPERLINK("https://www.philgeps.gov.ph/GEPSNONPILOT/Tender/SplashBidNoticeAbstractUI.aspx?menuIndex=3&amp;refID=7158176&amp;Result=3","7158176")</f>
        <v>0</v>
      </c>
      <c r="B15038" t="s">
        <v>3532</v>
      </c>
      <c r="C15038" t="s">
        <v>15887</v>
      </c>
      <c r="D15038" t="s">
        <v>19006</v>
      </c>
      <c r="E15038" t="s">
        <v>31795</v>
      </c>
      <c r="F15038" t="s">
        <v>32606</v>
      </c>
      <c r="G15038" t="s">
        <v>32613</v>
      </c>
      <c r="H15038" t="s">
        <v>32623</v>
      </c>
      <c r="I15038" t="s">
        <v>32661</v>
      </c>
      <c r="J15038" t="s">
        <v>42051</v>
      </c>
      <c r="K15038" t="s">
        <v>42697</v>
      </c>
      <c r="M15038" t="s">
        <v>46805</v>
      </c>
      <c r="N15038" t="s">
        <v>47304</v>
      </c>
      <c r="O15038" t="s">
        <v>47305</v>
      </c>
      <c r="P15038">
        <v>0</v>
      </c>
      <c r="Q15038">
        <v>4</v>
      </c>
      <c r="R15038" t="s">
        <v>47326</v>
      </c>
      <c r="S15038" t="s">
        <v>48346</v>
      </c>
      <c r="T15038" t="s">
        <v>49315</v>
      </c>
      <c r="U15038" t="s">
        <v>61933</v>
      </c>
      <c r="W15038" t="s">
        <v>46805</v>
      </c>
      <c r="X15038" t="s">
        <v>47327</v>
      </c>
    </row>
    <row r="15039" spans="1:24">
      <c r="A15039">
        <f>HYPERLINK("https://www.philgeps.gov.ph/GEPSNONPILOT/Tender/SplashBidNoticeAbstractUI.aspx?menuIndex=3&amp;refID=7158146&amp;Result=3","7158146")</f>
        <v>0</v>
      </c>
      <c r="B15039" t="s">
        <v>3532</v>
      </c>
      <c r="C15039" t="s">
        <v>18096</v>
      </c>
      <c r="D15039" t="s">
        <v>19006</v>
      </c>
      <c r="E15039" t="s">
        <v>31796</v>
      </c>
      <c r="F15039" t="s">
        <v>32606</v>
      </c>
      <c r="G15039" t="s">
        <v>32613</v>
      </c>
      <c r="H15039" t="s">
        <v>32623</v>
      </c>
      <c r="I15039" t="s">
        <v>17648</v>
      </c>
      <c r="J15039" t="s">
        <v>42052</v>
      </c>
      <c r="K15039" t="s">
        <v>42639</v>
      </c>
      <c r="M15039" t="s">
        <v>46805</v>
      </c>
      <c r="N15039" t="s">
        <v>47304</v>
      </c>
      <c r="O15039" t="s">
        <v>47305</v>
      </c>
      <c r="P15039">
        <v>0</v>
      </c>
      <c r="Q15039">
        <v>0</v>
      </c>
      <c r="R15039" t="s">
        <v>47326</v>
      </c>
      <c r="S15039" t="s">
        <v>48346</v>
      </c>
      <c r="T15039" t="s">
        <v>49315</v>
      </c>
      <c r="U15039" t="s">
        <v>61934</v>
      </c>
      <c r="W15039" t="s">
        <v>46805</v>
      </c>
      <c r="X15039" t="s">
        <v>47327</v>
      </c>
    </row>
    <row r="15040" spans="1:24">
      <c r="A15040">
        <f>HYPERLINK("https://www.philgeps.gov.ph/GEPSNONPILOT/Tender/SplashBidNoticeAbstractUI.aspx?menuIndex=3&amp;refID=7158148&amp;Result=3","7158148")</f>
        <v>0</v>
      </c>
      <c r="B15040" t="s">
        <v>3244</v>
      </c>
      <c r="C15040" t="s">
        <v>18097</v>
      </c>
      <c r="E15040" t="s">
        <v>31797</v>
      </c>
      <c r="F15040" t="s">
        <v>32606</v>
      </c>
      <c r="G15040" t="s">
        <v>32613</v>
      </c>
      <c r="H15040" t="s">
        <v>14201</v>
      </c>
      <c r="I15040" t="s">
        <v>17648</v>
      </c>
      <c r="J15040" t="s">
        <v>42053</v>
      </c>
      <c r="K15040" t="s">
        <v>42624</v>
      </c>
      <c r="M15040" t="s">
        <v>46477</v>
      </c>
      <c r="N15040" t="s">
        <v>47304</v>
      </c>
      <c r="O15040" t="s">
        <v>47305</v>
      </c>
      <c r="Q15040">
        <v>5</v>
      </c>
      <c r="R15040" t="s">
        <v>47326</v>
      </c>
      <c r="S15040" t="s">
        <v>48416</v>
      </c>
      <c r="T15040" t="s">
        <v>49335</v>
      </c>
      <c r="U15040" t="s">
        <v>58699</v>
      </c>
      <c r="W15040" t="s">
        <v>46477</v>
      </c>
      <c r="X15040" t="s">
        <v>47327</v>
      </c>
    </row>
    <row r="15041" spans="1:24">
      <c r="A15041">
        <f>HYPERLINK("https://www.philgeps.gov.ph/GEPSNONPILOT/Tender/SplashBidNoticeAbstractUI.aspx?menuIndex=3&amp;refID=7158125&amp;Result=3","7158125")</f>
        <v>0</v>
      </c>
      <c r="B15041" t="s">
        <v>3838</v>
      </c>
      <c r="C15041" t="s">
        <v>18098</v>
      </c>
      <c r="D15041" t="s">
        <v>19044</v>
      </c>
      <c r="E15041" t="s">
        <v>31798</v>
      </c>
      <c r="F15041" t="s">
        <v>32606</v>
      </c>
      <c r="G15041" t="s">
        <v>32618</v>
      </c>
      <c r="H15041" t="s">
        <v>32623</v>
      </c>
      <c r="I15041" t="s">
        <v>17648</v>
      </c>
      <c r="J15041" t="s">
        <v>33071</v>
      </c>
      <c r="K15041" t="s">
        <v>42646</v>
      </c>
      <c r="M15041" t="s">
        <v>47187</v>
      </c>
      <c r="N15041" t="s">
        <v>47304</v>
      </c>
      <c r="O15041" t="s">
        <v>47305</v>
      </c>
      <c r="P15041">
        <v>0</v>
      </c>
      <c r="Q15041">
        <v>7</v>
      </c>
      <c r="R15041" t="s">
        <v>47326</v>
      </c>
      <c r="S15041" t="s">
        <v>48346</v>
      </c>
      <c r="T15041" t="s">
        <v>49268</v>
      </c>
      <c r="U15041" t="s">
        <v>61935</v>
      </c>
      <c r="V15041" t="s">
        <v>63616</v>
      </c>
      <c r="W15041" t="s">
        <v>47187</v>
      </c>
      <c r="X15041" t="s">
        <v>47327</v>
      </c>
    </row>
    <row r="15042" spans="1:24">
      <c r="A15042">
        <f>HYPERLINK("https://www.philgeps.gov.ph/GEPSNONPILOT/Tender/SplashBidNoticeAbstractUI.aspx?menuIndex=3&amp;refID=7158124&amp;Result=3","7158124")</f>
        <v>0</v>
      </c>
      <c r="B15042" t="s">
        <v>3532</v>
      </c>
      <c r="C15042" t="s">
        <v>18099</v>
      </c>
      <c r="D15042" t="s">
        <v>19006</v>
      </c>
      <c r="E15042" t="s">
        <v>31799</v>
      </c>
      <c r="F15042" t="s">
        <v>32606</v>
      </c>
      <c r="G15042" t="s">
        <v>32613</v>
      </c>
      <c r="H15042" t="s">
        <v>32623</v>
      </c>
      <c r="I15042" t="s">
        <v>17648</v>
      </c>
      <c r="J15042" t="s">
        <v>32772</v>
      </c>
      <c r="K15042" t="s">
        <v>42631</v>
      </c>
      <c r="M15042" t="s">
        <v>46805</v>
      </c>
      <c r="N15042" t="s">
        <v>47304</v>
      </c>
      <c r="O15042" t="s">
        <v>47305</v>
      </c>
      <c r="P15042">
        <v>0</v>
      </c>
      <c r="Q15042">
        <v>2</v>
      </c>
      <c r="R15042" t="s">
        <v>47326</v>
      </c>
      <c r="S15042" t="s">
        <v>48346</v>
      </c>
      <c r="T15042" t="s">
        <v>49315</v>
      </c>
      <c r="U15042" t="s">
        <v>61936</v>
      </c>
      <c r="W15042" t="s">
        <v>46805</v>
      </c>
      <c r="X15042" t="s">
        <v>47327</v>
      </c>
    </row>
    <row r="15043" spans="1:24">
      <c r="A15043">
        <f>HYPERLINK("https://www.philgeps.gov.ph/GEPSNONPILOT/Tender/SplashBidNoticeAbstractUI.aspx?menuIndex=3&amp;refID=7158033&amp;Result=3","7158033")</f>
        <v>0</v>
      </c>
      <c r="B15043" t="s">
        <v>3249</v>
      </c>
      <c r="C15043" t="s">
        <v>18100</v>
      </c>
      <c r="D15043" t="s">
        <v>18993</v>
      </c>
      <c r="E15043" t="s">
        <v>31800</v>
      </c>
      <c r="F15043" t="s">
        <v>32606</v>
      </c>
      <c r="G15043" t="s">
        <v>32613</v>
      </c>
      <c r="H15043" t="s">
        <v>32623</v>
      </c>
      <c r="I15043" t="s">
        <v>32664</v>
      </c>
      <c r="J15043" t="s">
        <v>32796</v>
      </c>
      <c r="K15043" t="s">
        <v>42645</v>
      </c>
      <c r="M15043" t="s">
        <v>46482</v>
      </c>
      <c r="N15043" t="s">
        <v>47304</v>
      </c>
      <c r="O15043" t="s">
        <v>47305</v>
      </c>
      <c r="Q15043">
        <v>10</v>
      </c>
      <c r="R15043" t="s">
        <v>47326</v>
      </c>
      <c r="S15043" t="s">
        <v>48417</v>
      </c>
      <c r="T15043" t="s">
        <v>49234</v>
      </c>
      <c r="U15043" t="s">
        <v>58723</v>
      </c>
      <c r="W15043" t="s">
        <v>46482</v>
      </c>
      <c r="X15043" t="s">
        <v>47327</v>
      </c>
    </row>
    <row r="15044" spans="1:24">
      <c r="A15044">
        <f>HYPERLINK("https://www.philgeps.gov.ph/GEPSNONPILOT/Tender/SplashBidNoticeAbstractUI.aspx?menuIndex=3&amp;refID=7158111&amp;Result=3","7158111")</f>
        <v>0</v>
      </c>
      <c r="B15044" t="s">
        <v>3532</v>
      </c>
      <c r="C15044" t="s">
        <v>18101</v>
      </c>
      <c r="D15044" t="s">
        <v>19006</v>
      </c>
      <c r="E15044" t="s">
        <v>31426</v>
      </c>
      <c r="F15044" t="s">
        <v>32606</v>
      </c>
      <c r="G15044" t="s">
        <v>32613</v>
      </c>
      <c r="H15044" t="s">
        <v>14201</v>
      </c>
      <c r="I15044" t="s">
        <v>32704</v>
      </c>
      <c r="J15044" t="s">
        <v>42054</v>
      </c>
      <c r="K15044" t="s">
        <v>42631</v>
      </c>
      <c r="M15044" t="s">
        <v>46805</v>
      </c>
      <c r="N15044" t="s">
        <v>47304</v>
      </c>
      <c r="O15044" t="s">
        <v>47305</v>
      </c>
      <c r="P15044">
        <v>0</v>
      </c>
      <c r="Q15044">
        <v>0</v>
      </c>
      <c r="R15044" t="s">
        <v>47326</v>
      </c>
      <c r="S15044" t="s">
        <v>48346</v>
      </c>
      <c r="T15044" t="s">
        <v>49315</v>
      </c>
      <c r="U15044" t="s">
        <v>61937</v>
      </c>
      <c r="W15044" t="s">
        <v>46805</v>
      </c>
      <c r="X15044" t="s">
        <v>47327</v>
      </c>
    </row>
    <row r="15045" spans="1:24">
      <c r="A15045">
        <f>HYPERLINK("https://www.philgeps.gov.ph/GEPSNONPILOT/Tender/SplashBidNoticeAbstractUI.aspx?menuIndex=3&amp;refID=7158108&amp;Result=3","7158108")</f>
        <v>0</v>
      </c>
      <c r="B15045" t="s">
        <v>3249</v>
      </c>
      <c r="C15045" t="s">
        <v>18102</v>
      </c>
      <c r="E15045" t="s">
        <v>31801</v>
      </c>
      <c r="F15045" t="s">
        <v>32606</v>
      </c>
      <c r="G15045" t="s">
        <v>32613</v>
      </c>
      <c r="H15045" t="s">
        <v>32623</v>
      </c>
      <c r="I15045" t="s">
        <v>6931</v>
      </c>
      <c r="J15045" t="s">
        <v>42055</v>
      </c>
      <c r="K15045" t="s">
        <v>42648</v>
      </c>
      <c r="M15045" t="s">
        <v>46482</v>
      </c>
      <c r="N15045" t="s">
        <v>47304</v>
      </c>
      <c r="O15045" t="s">
        <v>47305</v>
      </c>
      <c r="Q15045">
        <v>2</v>
      </c>
      <c r="R15045" t="s">
        <v>47326</v>
      </c>
      <c r="S15045" t="s">
        <v>48418</v>
      </c>
      <c r="T15045" t="s">
        <v>49234</v>
      </c>
      <c r="U15045" t="s">
        <v>58723</v>
      </c>
      <c r="W15045" t="s">
        <v>46482</v>
      </c>
      <c r="X15045" t="s">
        <v>47327</v>
      </c>
    </row>
    <row r="15046" spans="1:24">
      <c r="A15046">
        <f>HYPERLINK("https://www.philgeps.gov.ph/GEPSNONPILOT/Tender/SplashBidNoticeAbstractUI.aspx?menuIndex=3&amp;refID=7158162&amp;Result=3","7158162")</f>
        <v>0</v>
      </c>
      <c r="B15046" t="s">
        <v>3244</v>
      </c>
      <c r="C15046" t="s">
        <v>18103</v>
      </c>
      <c r="E15046" t="s">
        <v>31802</v>
      </c>
      <c r="F15046" t="s">
        <v>32606</v>
      </c>
      <c r="G15046" t="s">
        <v>32613</v>
      </c>
      <c r="H15046" t="s">
        <v>14201</v>
      </c>
      <c r="I15046" t="s">
        <v>4121</v>
      </c>
      <c r="J15046" t="s">
        <v>42056</v>
      </c>
      <c r="K15046" t="s">
        <v>42624</v>
      </c>
      <c r="M15046" t="s">
        <v>46477</v>
      </c>
      <c r="N15046" t="s">
        <v>47304</v>
      </c>
      <c r="O15046" t="s">
        <v>47305</v>
      </c>
      <c r="Q15046">
        <v>4</v>
      </c>
      <c r="R15046" t="s">
        <v>47326</v>
      </c>
      <c r="S15046" t="s">
        <v>48419</v>
      </c>
      <c r="T15046" t="s">
        <v>49335</v>
      </c>
      <c r="U15046" t="s">
        <v>58699</v>
      </c>
      <c r="W15046" t="s">
        <v>46477</v>
      </c>
      <c r="X15046" t="s">
        <v>47327</v>
      </c>
    </row>
    <row r="15047" spans="1:24">
      <c r="A15047">
        <f>HYPERLINK("https://www.philgeps.gov.ph/GEPSNONPILOT/Tender/SplashBidNoticeAbstractUI.aspx?menuIndex=3&amp;refID=7158103&amp;Result=3","7158103")</f>
        <v>0</v>
      </c>
      <c r="B15047" t="s">
        <v>2379</v>
      </c>
      <c r="C15047" t="s">
        <v>18104</v>
      </c>
      <c r="D15047" t="s">
        <v>18989</v>
      </c>
      <c r="E15047" t="s">
        <v>31803</v>
      </c>
      <c r="F15047" t="s">
        <v>32606</v>
      </c>
      <c r="G15047" t="s">
        <v>32613</v>
      </c>
      <c r="H15047" t="s">
        <v>14201</v>
      </c>
      <c r="I15047" t="s">
        <v>32714</v>
      </c>
      <c r="J15047" t="s">
        <v>42057</v>
      </c>
      <c r="K15047" t="s">
        <v>42631</v>
      </c>
      <c r="M15047" t="s">
        <v>45494</v>
      </c>
      <c r="N15047" t="s">
        <v>47304</v>
      </c>
      <c r="O15047" t="s">
        <v>47305</v>
      </c>
      <c r="Q15047">
        <v>8</v>
      </c>
      <c r="R15047" t="s">
        <v>47326</v>
      </c>
      <c r="S15047" t="s">
        <v>48420</v>
      </c>
      <c r="T15047" t="s">
        <v>49520</v>
      </c>
      <c r="U15047" t="s">
        <v>61924</v>
      </c>
      <c r="W15047" t="s">
        <v>45494</v>
      </c>
      <c r="X15047" t="s">
        <v>47327</v>
      </c>
    </row>
    <row r="15048" spans="1:24">
      <c r="A15048">
        <f>HYPERLINK("https://www.philgeps.gov.ph/GEPSNONPILOT/Tender/SplashBidNoticeAbstractUI.aspx?menuIndex=3&amp;refID=7157885&amp;Result=3","7157885")</f>
        <v>0</v>
      </c>
      <c r="B15048" t="s">
        <v>3832</v>
      </c>
      <c r="C15048" t="s">
        <v>18105</v>
      </c>
      <c r="D15048" t="s">
        <v>19028</v>
      </c>
      <c r="E15048" t="s">
        <v>31804</v>
      </c>
      <c r="F15048" t="s">
        <v>32606</v>
      </c>
      <c r="G15048" t="s">
        <v>32613</v>
      </c>
      <c r="H15048" t="s">
        <v>32624</v>
      </c>
      <c r="I15048" t="s">
        <v>32685</v>
      </c>
      <c r="J15048" t="s">
        <v>42058</v>
      </c>
      <c r="K15048" t="s">
        <v>42636</v>
      </c>
      <c r="M15048" t="s">
        <v>47180</v>
      </c>
      <c r="N15048" t="s">
        <v>47304</v>
      </c>
      <c r="O15048" t="s">
        <v>47305</v>
      </c>
      <c r="Q15048">
        <v>6</v>
      </c>
      <c r="R15048" t="s">
        <v>47326</v>
      </c>
      <c r="S15048" t="s">
        <v>48421</v>
      </c>
      <c r="T15048" t="s">
        <v>49033</v>
      </c>
      <c r="U15048" t="s">
        <v>61844</v>
      </c>
      <c r="V15048" t="s">
        <v>64298</v>
      </c>
      <c r="W15048" t="s">
        <v>47180</v>
      </c>
      <c r="X15048" t="s">
        <v>47327</v>
      </c>
    </row>
    <row r="15049" spans="1:24">
      <c r="A15049">
        <f>HYPERLINK("https://www.philgeps.gov.ph/GEPSNONPILOT/Tender/SplashBidNoticeAbstractUI.aspx?menuIndex=3&amp;refID=7157434&amp;Result=3","7157434")</f>
        <v>0</v>
      </c>
      <c r="B15049" t="s">
        <v>265</v>
      </c>
      <c r="C15049" t="s">
        <v>18106</v>
      </c>
      <c r="D15049" t="s">
        <v>19035</v>
      </c>
      <c r="E15049" t="s">
        <v>31805</v>
      </c>
      <c r="F15049" t="s">
        <v>32606</v>
      </c>
      <c r="G15049" t="s">
        <v>32613</v>
      </c>
      <c r="H15049" t="s">
        <v>14201</v>
      </c>
      <c r="I15049" t="s">
        <v>6931</v>
      </c>
      <c r="J15049" t="s">
        <v>42059</v>
      </c>
      <c r="K15049" t="s">
        <v>42624</v>
      </c>
      <c r="M15049" t="s">
        <v>43166</v>
      </c>
      <c r="N15049" t="s">
        <v>47304</v>
      </c>
      <c r="O15049" t="s">
        <v>47305</v>
      </c>
      <c r="P15049">
        <v>0</v>
      </c>
      <c r="Q15049">
        <v>8</v>
      </c>
      <c r="R15049" t="s">
        <v>47326</v>
      </c>
      <c r="S15049" t="s">
        <v>48346</v>
      </c>
      <c r="T15049" t="s">
        <v>49020</v>
      </c>
      <c r="U15049" t="s">
        <v>51703</v>
      </c>
      <c r="W15049" t="s">
        <v>43166</v>
      </c>
      <c r="X15049" t="s">
        <v>47327</v>
      </c>
    </row>
    <row r="15050" spans="1:24">
      <c r="A15050">
        <f>HYPERLINK("https://www.philgeps.gov.ph/GEPSNONPILOT/Tender/SplashBidNoticeAbstractUI.aspx?menuIndex=3&amp;refID=7157884&amp;Result=3","7157884")</f>
        <v>0</v>
      </c>
      <c r="B15050" t="s">
        <v>1487</v>
      </c>
      <c r="C15050" t="s">
        <v>18107</v>
      </c>
      <c r="D15050" t="s">
        <v>19008</v>
      </c>
      <c r="E15050" t="s">
        <v>31806</v>
      </c>
      <c r="F15050" t="s">
        <v>32606</v>
      </c>
      <c r="G15050" t="s">
        <v>32613</v>
      </c>
      <c r="H15050" t="s">
        <v>14201</v>
      </c>
      <c r="I15050" t="s">
        <v>7064</v>
      </c>
      <c r="J15050" t="s">
        <v>33016</v>
      </c>
      <c r="K15050" t="s">
        <v>42631</v>
      </c>
      <c r="M15050" t="s">
        <v>44482</v>
      </c>
      <c r="N15050" t="s">
        <v>47304</v>
      </c>
      <c r="O15050" t="s">
        <v>47305</v>
      </c>
      <c r="P15050">
        <v>0</v>
      </c>
      <c r="Q15050">
        <v>2</v>
      </c>
      <c r="R15050" t="s">
        <v>47326</v>
      </c>
      <c r="S15050" t="s">
        <v>48346</v>
      </c>
      <c r="T15050" t="s">
        <v>49311</v>
      </c>
      <c r="U15050" t="s">
        <v>61938</v>
      </c>
      <c r="W15050" t="s">
        <v>44482</v>
      </c>
      <c r="X15050" t="s">
        <v>47327</v>
      </c>
    </row>
    <row r="15051" spans="1:24">
      <c r="A15051">
        <f>HYPERLINK("https://www.philgeps.gov.ph/GEPSNONPILOT/Tender/SplashBidNoticeAbstractUI.aspx?menuIndex=3&amp;refID=7157883&amp;Result=3","7157883")</f>
        <v>0</v>
      </c>
      <c r="B15051" t="s">
        <v>679</v>
      </c>
      <c r="C15051" t="s">
        <v>18108</v>
      </c>
      <c r="D15051" t="s">
        <v>19054</v>
      </c>
      <c r="E15051" t="s">
        <v>31807</v>
      </c>
      <c r="F15051" t="s">
        <v>32606</v>
      </c>
      <c r="G15051" t="s">
        <v>32613</v>
      </c>
      <c r="H15051" t="s">
        <v>14201</v>
      </c>
      <c r="I15051" t="s">
        <v>32647</v>
      </c>
      <c r="J15051" t="s">
        <v>32769</v>
      </c>
      <c r="K15051" t="s">
        <v>42623</v>
      </c>
      <c r="M15051" t="s">
        <v>43599</v>
      </c>
      <c r="N15051" t="s">
        <v>47304</v>
      </c>
      <c r="O15051" t="s">
        <v>47305</v>
      </c>
      <c r="P15051">
        <v>0</v>
      </c>
      <c r="Q15051">
        <v>5</v>
      </c>
      <c r="R15051" t="s">
        <v>47326</v>
      </c>
      <c r="S15051" t="s">
        <v>48346</v>
      </c>
      <c r="T15051" t="s">
        <v>49071</v>
      </c>
      <c r="U15051" t="s">
        <v>61939</v>
      </c>
      <c r="W15051" t="s">
        <v>43599</v>
      </c>
      <c r="X15051" t="s">
        <v>47327</v>
      </c>
    </row>
    <row r="15052" spans="1:24">
      <c r="A15052">
        <f>HYPERLINK("https://www.philgeps.gov.ph/GEPSNONPILOT/Tender/SplashBidNoticeAbstractUI.aspx?menuIndex=3&amp;refID=7157892&amp;Result=3","7157892")</f>
        <v>0</v>
      </c>
      <c r="B15052" t="s">
        <v>1770</v>
      </c>
      <c r="C15052" t="s">
        <v>18109</v>
      </c>
      <c r="D15052" t="s">
        <v>19054</v>
      </c>
      <c r="E15052" t="s">
        <v>31808</v>
      </c>
      <c r="F15052" t="s">
        <v>32606</v>
      </c>
      <c r="G15052" t="s">
        <v>32613</v>
      </c>
      <c r="H15052" t="s">
        <v>14201</v>
      </c>
      <c r="I15052" t="s">
        <v>7064</v>
      </c>
      <c r="J15052" t="s">
        <v>33598</v>
      </c>
      <c r="K15052" t="s">
        <v>42631</v>
      </c>
      <c r="M15052" t="s">
        <v>44808</v>
      </c>
      <c r="N15052" t="s">
        <v>47304</v>
      </c>
      <c r="O15052" t="s">
        <v>47305</v>
      </c>
      <c r="P15052">
        <v>0</v>
      </c>
      <c r="Q15052">
        <v>6</v>
      </c>
      <c r="R15052" t="s">
        <v>47326</v>
      </c>
      <c r="S15052" t="s">
        <v>48346</v>
      </c>
      <c r="T15052" t="s">
        <v>49315</v>
      </c>
      <c r="U15052" t="s">
        <v>61940</v>
      </c>
      <c r="W15052" t="s">
        <v>44808</v>
      </c>
      <c r="X15052" t="s">
        <v>47327</v>
      </c>
    </row>
    <row r="15053" spans="1:24">
      <c r="A15053">
        <f>HYPERLINK("https://www.philgeps.gov.ph/GEPSNONPILOT/Tender/SplashBidNoticeAbstractUI.aspx?menuIndex=3&amp;refID=7158200&amp;Result=3","7158200")</f>
        <v>0</v>
      </c>
      <c r="B15053" t="s">
        <v>3244</v>
      </c>
      <c r="C15053" t="s">
        <v>18110</v>
      </c>
      <c r="E15053" t="s">
        <v>31809</v>
      </c>
      <c r="F15053" t="s">
        <v>32606</v>
      </c>
      <c r="G15053" t="s">
        <v>32613</v>
      </c>
      <c r="H15053" t="s">
        <v>14201</v>
      </c>
      <c r="I15053" t="s">
        <v>32743</v>
      </c>
      <c r="J15053" t="s">
        <v>39249</v>
      </c>
      <c r="K15053" t="s">
        <v>42624</v>
      </c>
      <c r="M15053" t="s">
        <v>46477</v>
      </c>
      <c r="N15053" t="s">
        <v>47304</v>
      </c>
      <c r="O15053" t="s">
        <v>47305</v>
      </c>
      <c r="Q15053">
        <v>13</v>
      </c>
      <c r="R15053" t="s">
        <v>47326</v>
      </c>
      <c r="S15053" t="s">
        <v>48422</v>
      </c>
      <c r="T15053" t="s">
        <v>49335</v>
      </c>
      <c r="U15053" t="s">
        <v>58699</v>
      </c>
      <c r="W15053" t="s">
        <v>46477</v>
      </c>
      <c r="X15053" t="s">
        <v>47327</v>
      </c>
    </row>
    <row r="15054" spans="1:24">
      <c r="A15054">
        <f>HYPERLINK("https://www.philgeps.gov.ph/GEPSNONPILOT/Tender/SplashBidNoticeAbstractUI.aspx?menuIndex=3&amp;refID=7158137&amp;Result=3","7158137")</f>
        <v>0</v>
      </c>
      <c r="B15054" t="s">
        <v>3249</v>
      </c>
      <c r="C15054" t="s">
        <v>18111</v>
      </c>
      <c r="E15054" t="s">
        <v>31810</v>
      </c>
      <c r="F15054" t="s">
        <v>32606</v>
      </c>
      <c r="G15054" t="s">
        <v>32613</v>
      </c>
      <c r="H15054" t="s">
        <v>32623</v>
      </c>
      <c r="I15054" t="s">
        <v>6931</v>
      </c>
      <c r="J15054" t="s">
        <v>42060</v>
      </c>
      <c r="K15054" t="s">
        <v>42636</v>
      </c>
      <c r="M15054" t="s">
        <v>46482</v>
      </c>
      <c r="N15054" t="s">
        <v>47304</v>
      </c>
      <c r="O15054" t="s">
        <v>47305</v>
      </c>
      <c r="Q15054">
        <v>1</v>
      </c>
      <c r="R15054" t="s">
        <v>47326</v>
      </c>
      <c r="S15054" t="s">
        <v>48423</v>
      </c>
      <c r="T15054" t="s">
        <v>49234</v>
      </c>
      <c r="U15054" t="s">
        <v>58723</v>
      </c>
      <c r="W15054" t="s">
        <v>46482</v>
      </c>
      <c r="X15054" t="s">
        <v>47327</v>
      </c>
    </row>
    <row r="15055" spans="1:24">
      <c r="A15055">
        <f>HYPERLINK("https://www.philgeps.gov.ph/GEPSNONPILOT/Tender/SplashBidNoticeAbstractUI.aspx?menuIndex=3&amp;refID=7158417&amp;Result=3","7158417")</f>
        <v>0</v>
      </c>
      <c r="B15055" t="s">
        <v>3244</v>
      </c>
      <c r="C15055" t="s">
        <v>18112</v>
      </c>
      <c r="E15055" t="s">
        <v>31811</v>
      </c>
      <c r="F15055" t="s">
        <v>32606</v>
      </c>
      <c r="G15055" t="s">
        <v>32613</v>
      </c>
      <c r="H15055" t="s">
        <v>14201</v>
      </c>
      <c r="I15055" t="s">
        <v>32748</v>
      </c>
      <c r="J15055" t="s">
        <v>42061</v>
      </c>
      <c r="K15055" t="s">
        <v>42624</v>
      </c>
      <c r="M15055" t="s">
        <v>46477</v>
      </c>
      <c r="N15055" t="s">
        <v>47304</v>
      </c>
      <c r="O15055" t="s">
        <v>47305</v>
      </c>
      <c r="Q15055">
        <v>6</v>
      </c>
      <c r="R15055" t="s">
        <v>47326</v>
      </c>
      <c r="S15055" t="s">
        <v>48424</v>
      </c>
      <c r="T15055" t="s">
        <v>49335</v>
      </c>
      <c r="U15055" t="s">
        <v>58699</v>
      </c>
      <c r="W15055" t="s">
        <v>46477</v>
      </c>
      <c r="X15055" t="s">
        <v>47327</v>
      </c>
    </row>
    <row r="15056" spans="1:24">
      <c r="A15056">
        <f>HYPERLINK("https://www.philgeps.gov.ph/GEPSNONPILOT/Tender/SplashBidNoticeAbstractUI.aspx?menuIndex=3&amp;refID=7158161&amp;Result=3","7158161")</f>
        <v>0</v>
      </c>
      <c r="B15056" t="s">
        <v>3532</v>
      </c>
      <c r="C15056" t="s">
        <v>18113</v>
      </c>
      <c r="D15056" t="s">
        <v>19006</v>
      </c>
      <c r="E15056" t="s">
        <v>31812</v>
      </c>
      <c r="F15056" t="s">
        <v>32606</v>
      </c>
      <c r="G15056" t="s">
        <v>32613</v>
      </c>
      <c r="H15056" t="s">
        <v>32623</v>
      </c>
      <c r="I15056" t="s">
        <v>17648</v>
      </c>
      <c r="J15056" t="s">
        <v>32860</v>
      </c>
      <c r="K15056" t="s">
        <v>42636</v>
      </c>
      <c r="M15056" t="s">
        <v>46805</v>
      </c>
      <c r="N15056" t="s">
        <v>47304</v>
      </c>
      <c r="O15056" t="s">
        <v>47305</v>
      </c>
      <c r="P15056">
        <v>0</v>
      </c>
      <c r="Q15056">
        <v>2</v>
      </c>
      <c r="R15056" t="s">
        <v>47326</v>
      </c>
      <c r="S15056" t="s">
        <v>48346</v>
      </c>
      <c r="T15056" t="s">
        <v>49315</v>
      </c>
      <c r="U15056" t="s">
        <v>61941</v>
      </c>
      <c r="W15056" t="s">
        <v>46805</v>
      </c>
      <c r="X15056" t="s">
        <v>47327</v>
      </c>
    </row>
    <row r="15057" spans="1:24">
      <c r="A15057">
        <f>HYPERLINK("https://www.philgeps.gov.ph/GEPSNONPILOT/Tender/SplashBidNoticeAbstractUI.aspx?menuIndex=3&amp;refID=7158113&amp;Result=3","7158113")</f>
        <v>0</v>
      </c>
      <c r="B15057" t="s">
        <v>318</v>
      </c>
      <c r="C15057" t="s">
        <v>18114</v>
      </c>
      <c r="D15057" t="s">
        <v>19025</v>
      </c>
      <c r="E15057" t="s">
        <v>28696</v>
      </c>
      <c r="F15057" t="s">
        <v>32606</v>
      </c>
      <c r="G15057" t="s">
        <v>32613</v>
      </c>
      <c r="H15057" t="s">
        <v>14201</v>
      </c>
      <c r="I15057" t="s">
        <v>32706</v>
      </c>
      <c r="J15057" t="s">
        <v>32861</v>
      </c>
      <c r="K15057" t="s">
        <v>42648</v>
      </c>
      <c r="M15057" t="s">
        <v>43220</v>
      </c>
      <c r="N15057" t="s">
        <v>47304</v>
      </c>
      <c r="O15057" t="s">
        <v>47305</v>
      </c>
      <c r="P15057">
        <v>0</v>
      </c>
      <c r="Q15057">
        <v>15</v>
      </c>
      <c r="R15057" t="s">
        <v>47326</v>
      </c>
      <c r="S15057" t="s">
        <v>48346</v>
      </c>
      <c r="T15057" t="s">
        <v>49268</v>
      </c>
      <c r="U15057" t="s">
        <v>61942</v>
      </c>
      <c r="W15057" t="s">
        <v>43220</v>
      </c>
      <c r="X15057" t="s">
        <v>47327</v>
      </c>
    </row>
    <row r="15058" spans="1:24">
      <c r="A15058">
        <f>HYPERLINK("https://www.philgeps.gov.ph/GEPSNONPILOT/Tender/SplashBidNoticeAbstractUI.aspx?menuIndex=3&amp;refID=7158410&amp;Result=3","7158410")</f>
        <v>0</v>
      </c>
      <c r="B15058" t="s">
        <v>3846</v>
      </c>
      <c r="C15058" t="s">
        <v>18115</v>
      </c>
      <c r="D15058" t="s">
        <v>19024</v>
      </c>
      <c r="E15058" t="s">
        <v>28681</v>
      </c>
      <c r="F15058" t="s">
        <v>32606</v>
      </c>
      <c r="G15058" t="s">
        <v>32613</v>
      </c>
      <c r="H15058" t="s">
        <v>14201</v>
      </c>
      <c r="I15058" t="s">
        <v>6298</v>
      </c>
      <c r="J15058" t="s">
        <v>33043</v>
      </c>
      <c r="K15058" t="s">
        <v>42636</v>
      </c>
      <c r="M15058" t="s">
        <v>47195</v>
      </c>
      <c r="N15058" t="s">
        <v>47304</v>
      </c>
      <c r="O15058" t="s">
        <v>47305</v>
      </c>
      <c r="P15058">
        <v>0</v>
      </c>
      <c r="Q15058">
        <v>7</v>
      </c>
      <c r="R15058" t="s">
        <v>47326</v>
      </c>
      <c r="S15058" t="s">
        <v>48346</v>
      </c>
      <c r="T15058" t="s">
        <v>49267</v>
      </c>
      <c r="U15058" t="s">
        <v>61943</v>
      </c>
      <c r="W15058" t="s">
        <v>47195</v>
      </c>
      <c r="X15058" t="s">
        <v>47327</v>
      </c>
    </row>
    <row r="15059" spans="1:24">
      <c r="A15059">
        <f>HYPERLINK("https://www.philgeps.gov.ph/GEPSNONPILOT/Tender/SplashBidNoticeAbstractUI.aspx?menuIndex=3&amp;refID=7158408&amp;Result=3","7158408")</f>
        <v>0</v>
      </c>
      <c r="B15059" t="s">
        <v>3244</v>
      </c>
      <c r="C15059" t="s">
        <v>18116</v>
      </c>
      <c r="E15059" t="s">
        <v>31813</v>
      </c>
      <c r="F15059" t="s">
        <v>32606</v>
      </c>
      <c r="G15059" t="s">
        <v>32613</v>
      </c>
      <c r="H15059" t="s">
        <v>14201</v>
      </c>
      <c r="I15059" t="s">
        <v>32748</v>
      </c>
      <c r="J15059" t="s">
        <v>42062</v>
      </c>
      <c r="K15059" t="s">
        <v>42624</v>
      </c>
      <c r="M15059" t="s">
        <v>46477</v>
      </c>
      <c r="N15059" t="s">
        <v>47304</v>
      </c>
      <c r="O15059" t="s">
        <v>47305</v>
      </c>
      <c r="Q15059">
        <v>9</v>
      </c>
      <c r="R15059" t="s">
        <v>47326</v>
      </c>
      <c r="S15059" t="s">
        <v>48425</v>
      </c>
      <c r="T15059" t="s">
        <v>49335</v>
      </c>
      <c r="U15059" t="s">
        <v>58699</v>
      </c>
      <c r="W15059" t="s">
        <v>46477</v>
      </c>
      <c r="X15059" t="s">
        <v>47327</v>
      </c>
    </row>
    <row r="15060" spans="1:24">
      <c r="A15060">
        <f>HYPERLINK("https://www.philgeps.gov.ph/GEPSNONPILOT/Tender/SplashBidNoticeAbstractUI.aspx?menuIndex=3&amp;refID=7158367&amp;Result=3","7158367")</f>
        <v>0</v>
      </c>
      <c r="B15060" t="s">
        <v>457</v>
      </c>
      <c r="C15060" t="s">
        <v>18117</v>
      </c>
      <c r="E15060" t="s">
        <v>31814</v>
      </c>
      <c r="F15060" t="s">
        <v>32606</v>
      </c>
      <c r="G15060" t="s">
        <v>32613</v>
      </c>
      <c r="H15060" t="s">
        <v>14201</v>
      </c>
      <c r="I15060" t="s">
        <v>4120</v>
      </c>
      <c r="J15060" t="s">
        <v>42063</v>
      </c>
      <c r="K15060" t="s">
        <v>42624</v>
      </c>
      <c r="M15060" t="s">
        <v>43367</v>
      </c>
      <c r="N15060" t="s">
        <v>47304</v>
      </c>
      <c r="O15060" t="s">
        <v>47305</v>
      </c>
      <c r="Q15060">
        <v>8</v>
      </c>
      <c r="R15060" t="s">
        <v>47326</v>
      </c>
      <c r="S15060" t="s">
        <v>48426</v>
      </c>
      <c r="T15060" t="s">
        <v>49071</v>
      </c>
      <c r="U15060" t="s">
        <v>61944</v>
      </c>
      <c r="W15060" t="s">
        <v>43367</v>
      </c>
      <c r="X15060" t="s">
        <v>47327</v>
      </c>
    </row>
    <row r="15061" spans="1:24">
      <c r="A15061">
        <f>HYPERLINK("https://www.philgeps.gov.ph/GEPSNONPILOT/Tender/SplashBidNoticeAbstractUI.aspx?menuIndex=3&amp;refID=7158362&amp;Result=3","7158362")</f>
        <v>0</v>
      </c>
      <c r="B15061" t="s">
        <v>457</v>
      </c>
      <c r="C15061" t="s">
        <v>18118</v>
      </c>
      <c r="E15061" t="s">
        <v>31815</v>
      </c>
      <c r="F15061" t="s">
        <v>32606</v>
      </c>
      <c r="G15061" t="s">
        <v>32613</v>
      </c>
      <c r="H15061" t="s">
        <v>14201</v>
      </c>
      <c r="I15061" t="s">
        <v>4120</v>
      </c>
      <c r="J15061" t="s">
        <v>42064</v>
      </c>
      <c r="K15061" t="s">
        <v>42624</v>
      </c>
      <c r="M15061" t="s">
        <v>43367</v>
      </c>
      <c r="N15061" t="s">
        <v>47304</v>
      </c>
      <c r="O15061" t="s">
        <v>47305</v>
      </c>
      <c r="Q15061">
        <v>6</v>
      </c>
      <c r="R15061" t="s">
        <v>47326</v>
      </c>
      <c r="S15061" t="s">
        <v>48427</v>
      </c>
      <c r="T15061" t="s">
        <v>49071</v>
      </c>
      <c r="U15061" t="s">
        <v>61945</v>
      </c>
      <c r="W15061" t="s">
        <v>43367</v>
      </c>
      <c r="X15061" t="s">
        <v>47327</v>
      </c>
    </row>
    <row r="15062" spans="1:24">
      <c r="A15062">
        <f>HYPERLINK("https://www.philgeps.gov.ph/GEPSNONPILOT/Tender/SplashBidNoticeAbstractUI.aspx?menuIndex=3&amp;refID=7158340&amp;Result=3","7158340")</f>
        <v>0</v>
      </c>
      <c r="B15062" t="s">
        <v>2446</v>
      </c>
      <c r="C15062" t="s">
        <v>18119</v>
      </c>
      <c r="D15062" t="s">
        <v>19005</v>
      </c>
      <c r="E15062" t="s">
        <v>31816</v>
      </c>
      <c r="F15062" t="s">
        <v>32606</v>
      </c>
      <c r="G15062" t="s">
        <v>32613</v>
      </c>
      <c r="H15062" t="s">
        <v>14201</v>
      </c>
      <c r="I15062" t="s">
        <v>4369</v>
      </c>
      <c r="J15062" t="s">
        <v>42065</v>
      </c>
      <c r="K15062" t="s">
        <v>42623</v>
      </c>
      <c r="M15062" t="s">
        <v>45574</v>
      </c>
      <c r="N15062" t="s">
        <v>47304</v>
      </c>
      <c r="O15062" t="s">
        <v>47305</v>
      </c>
      <c r="Q15062">
        <v>13</v>
      </c>
      <c r="R15062" t="s">
        <v>47326</v>
      </c>
      <c r="S15062" t="s">
        <v>48428</v>
      </c>
      <c r="T15062" t="s">
        <v>49268</v>
      </c>
      <c r="U15062" t="s">
        <v>61946</v>
      </c>
      <c r="W15062" t="s">
        <v>45574</v>
      </c>
      <c r="X15062" t="s">
        <v>47327</v>
      </c>
    </row>
    <row r="15063" spans="1:24">
      <c r="A15063">
        <f>HYPERLINK("https://www.philgeps.gov.ph/GEPSNONPILOT/Tender/SplashBidNoticeAbstractUI.aspx?menuIndex=3&amp;refID=7158326&amp;Result=3","7158326")</f>
        <v>0</v>
      </c>
      <c r="B15063" t="s">
        <v>1785</v>
      </c>
      <c r="C15063" t="s">
        <v>18120</v>
      </c>
      <c r="D15063" t="s">
        <v>19003</v>
      </c>
      <c r="E15063" t="s">
        <v>31817</v>
      </c>
      <c r="F15063" t="s">
        <v>32606</v>
      </c>
      <c r="G15063" t="s">
        <v>32613</v>
      </c>
      <c r="H15063" t="s">
        <v>32625</v>
      </c>
      <c r="I15063" t="s">
        <v>32625</v>
      </c>
      <c r="J15063" t="s">
        <v>42066</v>
      </c>
      <c r="K15063" t="s">
        <v>42623</v>
      </c>
      <c r="M15063" t="s">
        <v>46546</v>
      </c>
      <c r="N15063" t="s">
        <v>47304</v>
      </c>
      <c r="O15063" t="s">
        <v>47305</v>
      </c>
      <c r="P15063">
        <v>0</v>
      </c>
      <c r="Q15063">
        <v>6</v>
      </c>
      <c r="R15063" t="s">
        <v>47326</v>
      </c>
      <c r="S15063" t="s">
        <v>48346</v>
      </c>
      <c r="T15063" t="s">
        <v>49087</v>
      </c>
      <c r="U15063" t="s">
        <v>61947</v>
      </c>
      <c r="W15063" t="s">
        <v>46546</v>
      </c>
      <c r="X15063" t="s">
        <v>47327</v>
      </c>
    </row>
    <row r="15064" spans="1:24">
      <c r="A15064">
        <f>HYPERLINK("https://www.philgeps.gov.ph/GEPSNONPILOT/Tender/SplashBidNoticeAbstractUI.aspx?menuIndex=3&amp;refID=7158325&amp;Result=3","7158325")</f>
        <v>0</v>
      </c>
      <c r="B15064" t="s">
        <v>1695</v>
      </c>
      <c r="C15064" t="s">
        <v>18121</v>
      </c>
      <c r="D15064" t="s">
        <v>19050</v>
      </c>
      <c r="E15064" t="s">
        <v>31818</v>
      </c>
      <c r="F15064" t="s">
        <v>32606</v>
      </c>
      <c r="G15064" t="s">
        <v>32613</v>
      </c>
      <c r="H15064" t="s">
        <v>14201</v>
      </c>
      <c r="I15064" t="s">
        <v>6298</v>
      </c>
      <c r="J15064" t="s">
        <v>34487</v>
      </c>
      <c r="K15064" t="s">
        <v>42623</v>
      </c>
      <c r="M15064" t="s">
        <v>44724</v>
      </c>
      <c r="N15064" t="s">
        <v>47304</v>
      </c>
      <c r="O15064" t="s">
        <v>47305</v>
      </c>
      <c r="P15064">
        <v>0</v>
      </c>
      <c r="Q15064">
        <v>1</v>
      </c>
      <c r="R15064" t="s">
        <v>47326</v>
      </c>
      <c r="S15064" t="s">
        <v>48346</v>
      </c>
      <c r="T15064" t="s">
        <v>49071</v>
      </c>
      <c r="U15064" t="s">
        <v>61948</v>
      </c>
      <c r="W15064" t="s">
        <v>44724</v>
      </c>
      <c r="X15064" t="s">
        <v>47327</v>
      </c>
    </row>
    <row r="15065" spans="1:24">
      <c r="A15065">
        <f>HYPERLINK("https://www.philgeps.gov.ph/GEPSNONPILOT/Tender/SplashBidNoticeAbstractUI.aspx?menuIndex=3&amp;refID=7158288&amp;Result=3","7158288")</f>
        <v>0</v>
      </c>
      <c r="B15065" t="s">
        <v>732</v>
      </c>
      <c r="C15065" t="s">
        <v>18122</v>
      </c>
      <c r="D15065" t="s">
        <v>19016</v>
      </c>
      <c r="E15065" t="s">
        <v>31819</v>
      </c>
      <c r="F15065" t="s">
        <v>32606</v>
      </c>
      <c r="G15065" t="s">
        <v>32618</v>
      </c>
      <c r="H15065" t="s">
        <v>14201</v>
      </c>
      <c r="I15065" t="s">
        <v>4114</v>
      </c>
      <c r="J15065" t="s">
        <v>42067</v>
      </c>
      <c r="K15065" t="s">
        <v>42631</v>
      </c>
      <c r="M15065" t="s">
        <v>43654</v>
      </c>
      <c r="N15065" t="s">
        <v>47304</v>
      </c>
      <c r="O15065" t="s">
        <v>47305</v>
      </c>
      <c r="P15065">
        <v>0</v>
      </c>
      <c r="Q15065">
        <v>8</v>
      </c>
      <c r="R15065" t="s">
        <v>47326</v>
      </c>
      <c r="S15065" t="s">
        <v>48346</v>
      </c>
      <c r="T15065" t="s">
        <v>49268</v>
      </c>
      <c r="U15065" t="s">
        <v>61949</v>
      </c>
      <c r="W15065" t="s">
        <v>43654</v>
      </c>
      <c r="X15065" t="s">
        <v>47327</v>
      </c>
    </row>
    <row r="15066" spans="1:24">
      <c r="A15066">
        <f>HYPERLINK("https://www.philgeps.gov.ph/GEPSNONPILOT/Tender/SplashBidNoticeAbstractUI.aspx?menuIndex=3&amp;refID=7158258&amp;Result=3","7158258")</f>
        <v>0</v>
      </c>
      <c r="B15066" t="s">
        <v>3724</v>
      </c>
      <c r="C15066" t="s">
        <v>18123</v>
      </c>
      <c r="D15066" t="s">
        <v>19046</v>
      </c>
      <c r="E15066" t="s">
        <v>31820</v>
      </c>
      <c r="F15066" t="s">
        <v>32606</v>
      </c>
      <c r="G15066" t="s">
        <v>32613</v>
      </c>
      <c r="H15066" t="s">
        <v>14201</v>
      </c>
      <c r="I15066" t="s">
        <v>7064</v>
      </c>
      <c r="J15066" t="s">
        <v>35553</v>
      </c>
      <c r="K15066" t="s">
        <v>42622</v>
      </c>
      <c r="M15066" t="s">
        <v>47040</v>
      </c>
      <c r="N15066" t="s">
        <v>47304</v>
      </c>
      <c r="O15066" t="s">
        <v>47305</v>
      </c>
      <c r="P15066">
        <v>0</v>
      </c>
      <c r="Q15066">
        <v>0</v>
      </c>
      <c r="R15066" t="s">
        <v>47326</v>
      </c>
      <c r="S15066" t="s">
        <v>48346</v>
      </c>
      <c r="T15066" t="s">
        <v>49068</v>
      </c>
      <c r="U15066" t="s">
        <v>61950</v>
      </c>
      <c r="W15066" t="s">
        <v>47040</v>
      </c>
      <c r="X15066" t="s">
        <v>47327</v>
      </c>
    </row>
    <row r="15067" spans="1:24">
      <c r="A15067">
        <f>HYPERLINK("https://www.philgeps.gov.ph/GEPSNONPILOT/Tender/SplashBidNoticeAbstractUI.aspx?menuIndex=3&amp;refID=7158087&amp;Result=3","7158087")</f>
        <v>0</v>
      </c>
      <c r="B15067" t="s">
        <v>3532</v>
      </c>
      <c r="C15067" t="s">
        <v>18124</v>
      </c>
      <c r="D15067" t="s">
        <v>19006</v>
      </c>
      <c r="E15067" t="s">
        <v>31821</v>
      </c>
      <c r="F15067" t="s">
        <v>32606</v>
      </c>
      <c r="G15067" t="s">
        <v>32613</v>
      </c>
      <c r="H15067" t="s">
        <v>32623</v>
      </c>
      <c r="I15067" t="s">
        <v>17648</v>
      </c>
      <c r="J15067" t="s">
        <v>32923</v>
      </c>
      <c r="K15067" t="s">
        <v>42631</v>
      </c>
      <c r="M15067" t="s">
        <v>46805</v>
      </c>
      <c r="N15067" t="s">
        <v>47304</v>
      </c>
      <c r="O15067" t="s">
        <v>47305</v>
      </c>
      <c r="P15067">
        <v>0</v>
      </c>
      <c r="Q15067">
        <v>2</v>
      </c>
      <c r="R15067" t="s">
        <v>47326</v>
      </c>
      <c r="S15067" t="s">
        <v>48346</v>
      </c>
      <c r="T15067" t="s">
        <v>49315</v>
      </c>
      <c r="U15067" t="s">
        <v>61951</v>
      </c>
      <c r="W15067" t="s">
        <v>46805</v>
      </c>
      <c r="X15067" t="s">
        <v>47327</v>
      </c>
    </row>
    <row r="15068" spans="1:24">
      <c r="A15068">
        <f>HYPERLINK("https://www.philgeps.gov.ph/GEPSNONPILOT/Tender/SplashBidNoticeAbstractUI.aspx?menuIndex=3&amp;refID=7158253&amp;Result=3","7158253")</f>
        <v>0</v>
      </c>
      <c r="B15068" t="s">
        <v>1695</v>
      </c>
      <c r="C15068" t="s">
        <v>18125</v>
      </c>
      <c r="D15068" t="s">
        <v>19050</v>
      </c>
      <c r="E15068" t="s">
        <v>31822</v>
      </c>
      <c r="F15068" t="s">
        <v>32606</v>
      </c>
      <c r="G15068" t="s">
        <v>32615</v>
      </c>
      <c r="H15068" t="s">
        <v>32623</v>
      </c>
      <c r="I15068" t="s">
        <v>32749</v>
      </c>
      <c r="J15068" t="s">
        <v>42068</v>
      </c>
      <c r="K15068" t="s">
        <v>42698</v>
      </c>
      <c r="M15068" t="s">
        <v>44724</v>
      </c>
      <c r="N15068" t="s">
        <v>47304</v>
      </c>
      <c r="O15068" t="s">
        <v>47305</v>
      </c>
      <c r="P15068">
        <v>0</v>
      </c>
      <c r="Q15068">
        <v>0</v>
      </c>
      <c r="R15068" t="s">
        <v>47326</v>
      </c>
      <c r="S15068" t="s">
        <v>48346</v>
      </c>
      <c r="T15068" t="s">
        <v>49071</v>
      </c>
      <c r="U15068" t="s">
        <v>61952</v>
      </c>
      <c r="W15068" t="s">
        <v>44724</v>
      </c>
      <c r="X15068" t="s">
        <v>47327</v>
      </c>
    </row>
    <row r="15069" spans="1:24">
      <c r="A15069">
        <f>HYPERLINK("https://www.philgeps.gov.ph/GEPSNONPILOT/Tender/SplashBidNoticeAbstractUI.aspx?menuIndex=3&amp;refID=7158201&amp;Result=3","7158201")</f>
        <v>0</v>
      </c>
      <c r="B15069" t="s">
        <v>1487</v>
      </c>
      <c r="C15069" t="s">
        <v>18126</v>
      </c>
      <c r="D15069" t="s">
        <v>19008</v>
      </c>
      <c r="E15069" t="s">
        <v>31823</v>
      </c>
      <c r="F15069" t="s">
        <v>32606</v>
      </c>
      <c r="G15069" t="s">
        <v>32613</v>
      </c>
      <c r="H15069" t="s">
        <v>14201</v>
      </c>
      <c r="I15069" t="s">
        <v>4114</v>
      </c>
      <c r="J15069" t="s">
        <v>42069</v>
      </c>
      <c r="K15069" t="s">
        <v>42631</v>
      </c>
      <c r="M15069" t="s">
        <v>44482</v>
      </c>
      <c r="N15069" t="s">
        <v>47304</v>
      </c>
      <c r="O15069" t="s">
        <v>47305</v>
      </c>
      <c r="P15069">
        <v>0</v>
      </c>
      <c r="Q15069">
        <v>7</v>
      </c>
      <c r="R15069" t="s">
        <v>47326</v>
      </c>
      <c r="S15069" t="s">
        <v>48346</v>
      </c>
      <c r="T15069" t="s">
        <v>49071</v>
      </c>
      <c r="U15069" t="s">
        <v>61953</v>
      </c>
      <c r="W15069" t="s">
        <v>44482</v>
      </c>
      <c r="X15069" t="s">
        <v>47327</v>
      </c>
    </row>
    <row r="15070" spans="1:24">
      <c r="A15070">
        <f>HYPERLINK("https://www.philgeps.gov.ph/GEPSNONPILOT/Tender/SplashBidNoticeAbstractUI.aspx?menuIndex=3&amp;refID=7158427&amp;Result=3","7158427")</f>
        <v>0</v>
      </c>
      <c r="B15070" t="s">
        <v>3244</v>
      </c>
      <c r="C15070" t="s">
        <v>18127</v>
      </c>
      <c r="E15070" t="s">
        <v>31824</v>
      </c>
      <c r="F15070" t="s">
        <v>32606</v>
      </c>
      <c r="G15070" t="s">
        <v>32613</v>
      </c>
      <c r="H15070" t="s">
        <v>14201</v>
      </c>
      <c r="I15070" t="s">
        <v>32748</v>
      </c>
      <c r="J15070" t="s">
        <v>42070</v>
      </c>
      <c r="K15070" t="s">
        <v>42624</v>
      </c>
      <c r="M15070" t="s">
        <v>46477</v>
      </c>
      <c r="N15070" t="s">
        <v>47304</v>
      </c>
      <c r="O15070" t="s">
        <v>47305</v>
      </c>
      <c r="Q15070">
        <v>9</v>
      </c>
      <c r="R15070" t="s">
        <v>47326</v>
      </c>
      <c r="S15070" t="s">
        <v>48429</v>
      </c>
      <c r="T15070" t="s">
        <v>49335</v>
      </c>
      <c r="U15070" t="s">
        <v>58699</v>
      </c>
      <c r="W15070" t="s">
        <v>46477</v>
      </c>
      <c r="X15070" t="s">
        <v>47327</v>
      </c>
    </row>
    <row r="15071" spans="1:24">
      <c r="A15071">
        <f>HYPERLINK("https://www.philgeps.gov.ph/GEPSNONPILOT/Tender/SplashBidNoticeAbstractUI.aspx?menuIndex=3&amp;refID=7158198&amp;Result=3","7158198")</f>
        <v>0</v>
      </c>
      <c r="B15071" t="s">
        <v>1695</v>
      </c>
      <c r="C15071" t="s">
        <v>18128</v>
      </c>
      <c r="D15071" t="s">
        <v>19050</v>
      </c>
      <c r="E15071" t="s">
        <v>31825</v>
      </c>
      <c r="F15071" t="s">
        <v>32606</v>
      </c>
      <c r="G15071" t="s">
        <v>32613</v>
      </c>
      <c r="H15071" t="s">
        <v>32623</v>
      </c>
      <c r="I15071" t="s">
        <v>17648</v>
      </c>
      <c r="J15071" t="s">
        <v>42071</v>
      </c>
      <c r="K15071" t="s">
        <v>42643</v>
      </c>
      <c r="M15071" t="s">
        <v>44724</v>
      </c>
      <c r="N15071" t="s">
        <v>47304</v>
      </c>
      <c r="O15071" t="s">
        <v>47305</v>
      </c>
      <c r="P15071">
        <v>0</v>
      </c>
      <c r="Q15071">
        <v>1</v>
      </c>
      <c r="R15071" t="s">
        <v>47326</v>
      </c>
      <c r="S15071" t="s">
        <v>48346</v>
      </c>
      <c r="T15071" t="s">
        <v>49071</v>
      </c>
      <c r="U15071" t="s">
        <v>61954</v>
      </c>
      <c r="W15071" t="s">
        <v>44724</v>
      </c>
      <c r="X15071" t="s">
        <v>47327</v>
      </c>
    </row>
    <row r="15072" spans="1:24">
      <c r="A15072">
        <f>HYPERLINK("https://www.philgeps.gov.ph/GEPSNONPILOT/Tender/SplashBidNoticeAbstractUI.aspx?menuIndex=3&amp;refID=7157847&amp;Result=3","7157847")</f>
        <v>0</v>
      </c>
      <c r="B15072" t="s">
        <v>3840</v>
      </c>
      <c r="C15072" t="s">
        <v>18129</v>
      </c>
      <c r="D15072" t="s">
        <v>19040</v>
      </c>
      <c r="E15072" t="s">
        <v>31826</v>
      </c>
      <c r="F15072" t="s">
        <v>32606</v>
      </c>
      <c r="G15072" t="s">
        <v>32613</v>
      </c>
      <c r="H15072" t="s">
        <v>14201</v>
      </c>
      <c r="I15072" t="s">
        <v>32716</v>
      </c>
      <c r="J15072" t="s">
        <v>42072</v>
      </c>
      <c r="K15072" t="s">
        <v>42639</v>
      </c>
      <c r="M15072" t="s">
        <v>47189</v>
      </c>
      <c r="N15072" t="s">
        <v>47304</v>
      </c>
      <c r="O15072" t="s">
        <v>47305</v>
      </c>
      <c r="Q15072">
        <v>2</v>
      </c>
      <c r="R15072" t="s">
        <v>47326</v>
      </c>
      <c r="S15072" t="s">
        <v>48430</v>
      </c>
      <c r="T15072" t="s">
        <v>49384</v>
      </c>
      <c r="U15072" t="s">
        <v>61955</v>
      </c>
      <c r="V15072" t="s">
        <v>64314</v>
      </c>
      <c r="W15072" t="s">
        <v>47189</v>
      </c>
      <c r="X15072" t="s">
        <v>47327</v>
      </c>
    </row>
    <row r="15073" spans="1:24">
      <c r="A15073">
        <f>HYPERLINK("https://www.philgeps.gov.ph/GEPSNONPILOT/Tender/SplashBidNoticeAbstractUI.aspx?menuIndex=3&amp;refID=7158225&amp;Result=3","7158225")</f>
        <v>0</v>
      </c>
      <c r="B15073" t="s">
        <v>3244</v>
      </c>
      <c r="C15073" t="s">
        <v>18130</v>
      </c>
      <c r="E15073" t="s">
        <v>31827</v>
      </c>
      <c r="F15073" t="s">
        <v>32606</v>
      </c>
      <c r="G15073" t="s">
        <v>32613</v>
      </c>
      <c r="H15073" t="s">
        <v>14201</v>
      </c>
      <c r="I15073" t="s">
        <v>32743</v>
      </c>
      <c r="J15073" t="s">
        <v>42073</v>
      </c>
      <c r="K15073" t="s">
        <v>42624</v>
      </c>
      <c r="M15073" t="s">
        <v>46477</v>
      </c>
      <c r="N15073" t="s">
        <v>47304</v>
      </c>
      <c r="O15073" t="s">
        <v>47305</v>
      </c>
      <c r="Q15073">
        <v>16</v>
      </c>
      <c r="R15073" t="s">
        <v>47326</v>
      </c>
      <c r="S15073" t="s">
        <v>48431</v>
      </c>
      <c r="T15073" t="s">
        <v>49335</v>
      </c>
      <c r="U15073" t="s">
        <v>58699</v>
      </c>
      <c r="W15073" t="s">
        <v>46477</v>
      </c>
      <c r="X15073" t="s">
        <v>47327</v>
      </c>
    </row>
    <row r="15074" spans="1:24">
      <c r="A15074">
        <f>HYPERLINK("https://www.philgeps.gov.ph/GEPSNONPILOT/Tender/SplashBidNoticeAbstractUI.aspx?menuIndex=3&amp;refID=7158206&amp;Result=3","7158206")</f>
        <v>0</v>
      </c>
      <c r="B15074" t="s">
        <v>1573</v>
      </c>
      <c r="C15074" t="s">
        <v>18131</v>
      </c>
      <c r="D15074" t="s">
        <v>19005</v>
      </c>
      <c r="E15074" t="s">
        <v>31828</v>
      </c>
      <c r="F15074" t="s">
        <v>32606</v>
      </c>
      <c r="G15074" t="s">
        <v>32613</v>
      </c>
      <c r="H15074" t="s">
        <v>14201</v>
      </c>
      <c r="I15074" t="s">
        <v>32646</v>
      </c>
      <c r="J15074" t="s">
        <v>42074</v>
      </c>
      <c r="K15074" t="s">
        <v>42636</v>
      </c>
      <c r="M15074" t="s">
        <v>44584</v>
      </c>
      <c r="N15074" t="s">
        <v>47304</v>
      </c>
      <c r="O15074" t="s">
        <v>47305</v>
      </c>
      <c r="P15074">
        <v>0</v>
      </c>
      <c r="Q15074">
        <v>5</v>
      </c>
      <c r="R15074" t="s">
        <v>47326</v>
      </c>
      <c r="S15074" t="s">
        <v>48346</v>
      </c>
      <c r="T15074" t="s">
        <v>49315</v>
      </c>
      <c r="U15074" t="s">
        <v>61956</v>
      </c>
      <c r="V15074" t="s">
        <v>63054</v>
      </c>
      <c r="W15074" t="s">
        <v>44584</v>
      </c>
      <c r="X15074" t="s">
        <v>47327</v>
      </c>
    </row>
    <row r="15075" spans="1:24">
      <c r="A15075">
        <f>HYPERLINK("https://www.philgeps.gov.ph/GEPSNONPILOT/Tender/SplashBidNoticeAbstractUI.aspx?menuIndex=3&amp;refID=7157810&amp;Result=3","7157810")</f>
        <v>0</v>
      </c>
      <c r="B15075" t="s">
        <v>3197</v>
      </c>
      <c r="C15075" t="s">
        <v>18132</v>
      </c>
      <c r="D15075" t="s">
        <v>19016</v>
      </c>
      <c r="E15075" t="s">
        <v>31829</v>
      </c>
      <c r="F15075" t="s">
        <v>32606</v>
      </c>
      <c r="G15075" t="s">
        <v>32613</v>
      </c>
      <c r="H15075" t="s">
        <v>14201</v>
      </c>
      <c r="I15075" t="s">
        <v>4369</v>
      </c>
      <c r="J15075" t="s">
        <v>42075</v>
      </c>
      <c r="K15075" t="s">
        <v>42630</v>
      </c>
      <c r="M15075" t="s">
        <v>46422</v>
      </c>
      <c r="N15075" t="s">
        <v>47304</v>
      </c>
      <c r="O15075" t="s">
        <v>47305</v>
      </c>
      <c r="Q15075">
        <v>12</v>
      </c>
      <c r="R15075" t="s">
        <v>47326</v>
      </c>
      <c r="S15075" t="s">
        <v>48432</v>
      </c>
      <c r="T15075" t="s">
        <v>49268</v>
      </c>
      <c r="U15075" t="s">
        <v>61957</v>
      </c>
      <c r="V15075" t="s">
        <v>64320</v>
      </c>
      <c r="W15075" t="s">
        <v>46422</v>
      </c>
      <c r="X15075" t="s">
        <v>47327</v>
      </c>
    </row>
    <row r="15076" spans="1:24">
      <c r="A15076">
        <f>HYPERLINK("https://www.philgeps.gov.ph/GEPSNONPILOT/Tender/SplashBidNoticeAbstractUI.aspx?menuIndex=3&amp;refID=7157808&amp;Result=3","7157808")</f>
        <v>0</v>
      </c>
      <c r="B15076" t="s">
        <v>2117</v>
      </c>
      <c r="C15076" t="s">
        <v>18133</v>
      </c>
      <c r="D15076" t="s">
        <v>19063</v>
      </c>
      <c r="E15076" t="s">
        <v>31830</v>
      </c>
      <c r="F15076" t="s">
        <v>32606</v>
      </c>
      <c r="G15076" t="s">
        <v>32613</v>
      </c>
      <c r="H15076" t="s">
        <v>14201</v>
      </c>
      <c r="I15076" t="s">
        <v>6931</v>
      </c>
      <c r="J15076" t="s">
        <v>32772</v>
      </c>
      <c r="K15076" t="s">
        <v>42623</v>
      </c>
      <c r="M15076" t="s">
        <v>45204</v>
      </c>
      <c r="N15076" t="s">
        <v>47304</v>
      </c>
      <c r="O15076" t="s">
        <v>47305</v>
      </c>
      <c r="Q15076">
        <v>3</v>
      </c>
      <c r="R15076" t="s">
        <v>47326</v>
      </c>
      <c r="S15076" t="s">
        <v>48433</v>
      </c>
      <c r="T15076" t="s">
        <v>49053</v>
      </c>
      <c r="U15076" t="s">
        <v>54829</v>
      </c>
      <c r="W15076" t="s">
        <v>45204</v>
      </c>
      <c r="X15076" t="s">
        <v>47327</v>
      </c>
    </row>
    <row r="15077" spans="1:24">
      <c r="A15077">
        <f>HYPERLINK("https://www.philgeps.gov.ph/GEPSNONPILOT/Tender/SplashBidNoticeAbstractUI.aspx?menuIndex=3&amp;refID=7157798&amp;Result=3","7157798")</f>
        <v>0</v>
      </c>
      <c r="B15077" t="s">
        <v>1487</v>
      </c>
      <c r="C15077" t="s">
        <v>18134</v>
      </c>
      <c r="D15077" t="s">
        <v>19008</v>
      </c>
      <c r="E15077" t="s">
        <v>31831</v>
      </c>
      <c r="F15077" t="s">
        <v>32606</v>
      </c>
      <c r="G15077" t="s">
        <v>32613</v>
      </c>
      <c r="H15077" t="s">
        <v>14201</v>
      </c>
      <c r="I15077" t="s">
        <v>32737</v>
      </c>
      <c r="J15077" t="s">
        <v>33071</v>
      </c>
      <c r="K15077" t="s">
        <v>42679</v>
      </c>
      <c r="M15077" t="s">
        <v>44482</v>
      </c>
      <c r="N15077" t="s">
        <v>47304</v>
      </c>
      <c r="O15077" t="s">
        <v>47305</v>
      </c>
      <c r="P15077">
        <v>0</v>
      </c>
      <c r="Q15077">
        <v>2</v>
      </c>
      <c r="R15077" t="s">
        <v>47326</v>
      </c>
      <c r="S15077" t="s">
        <v>48346</v>
      </c>
      <c r="T15077" t="s">
        <v>49373</v>
      </c>
      <c r="U15077" t="s">
        <v>61958</v>
      </c>
      <c r="W15077" t="s">
        <v>44482</v>
      </c>
      <c r="X15077" t="s">
        <v>47327</v>
      </c>
    </row>
    <row r="15078" spans="1:24">
      <c r="A15078">
        <f>HYPERLINK("https://www.philgeps.gov.ph/GEPSNONPILOT/Tender/SplashBidNoticeAbstractUI.aspx?menuIndex=3&amp;refID=7148734&amp;Result=3","7148734")</f>
        <v>0</v>
      </c>
      <c r="B15078" t="s">
        <v>2115</v>
      </c>
      <c r="C15078" t="s">
        <v>18135</v>
      </c>
      <c r="D15078" t="s">
        <v>19008</v>
      </c>
      <c r="E15078" t="s">
        <v>31832</v>
      </c>
      <c r="F15078" t="s">
        <v>32606</v>
      </c>
      <c r="G15078" t="s">
        <v>32613</v>
      </c>
      <c r="H15078" t="s">
        <v>14201</v>
      </c>
      <c r="I15078" t="s">
        <v>4678</v>
      </c>
      <c r="J15078" t="s">
        <v>32781</v>
      </c>
      <c r="K15078" t="s">
        <v>42638</v>
      </c>
      <c r="M15078" t="s">
        <v>45789</v>
      </c>
      <c r="N15078" t="s">
        <v>47304</v>
      </c>
      <c r="O15078" t="s">
        <v>47305</v>
      </c>
      <c r="Q15078">
        <v>2</v>
      </c>
      <c r="R15078" t="s">
        <v>47327</v>
      </c>
      <c r="S15078" t="s">
        <v>47891</v>
      </c>
      <c r="T15078" t="s">
        <v>49071</v>
      </c>
      <c r="U15078" t="s">
        <v>61959</v>
      </c>
      <c r="V15078" t="s">
        <v>63615</v>
      </c>
      <c r="W15078" t="s">
        <v>45789</v>
      </c>
      <c r="X15078" t="s">
        <v>47331</v>
      </c>
    </row>
    <row r="15079" spans="1:24">
      <c r="A15079">
        <f>HYPERLINK("https://www.philgeps.gov.ph/GEPSNONPILOT/Tender/SplashBidNoticeAbstractUI.aspx?menuIndex=3&amp;refID=7158407&amp;Result=3","7158407")</f>
        <v>0</v>
      </c>
      <c r="B15079" t="s">
        <v>3008</v>
      </c>
      <c r="C15079" t="s">
        <v>18136</v>
      </c>
      <c r="D15079" t="s">
        <v>18993</v>
      </c>
      <c r="E15079" t="s">
        <v>19462</v>
      </c>
      <c r="F15079" t="s">
        <v>32606</v>
      </c>
      <c r="G15079" t="s">
        <v>32613</v>
      </c>
      <c r="H15079" t="s">
        <v>32625</v>
      </c>
      <c r="I15079" t="s">
        <v>32625</v>
      </c>
      <c r="J15079" t="s">
        <v>32821</v>
      </c>
      <c r="K15079" t="s">
        <v>42648</v>
      </c>
      <c r="M15079" t="s">
        <v>46197</v>
      </c>
      <c r="N15079" t="s">
        <v>47304</v>
      </c>
      <c r="O15079" t="s">
        <v>47305</v>
      </c>
      <c r="Q15079">
        <v>3</v>
      </c>
      <c r="R15079" t="s">
        <v>47326</v>
      </c>
      <c r="S15079" t="s">
        <v>48434</v>
      </c>
      <c r="T15079" t="s">
        <v>49521</v>
      </c>
      <c r="U15079" t="s">
        <v>61960</v>
      </c>
      <c r="V15079" t="s">
        <v>63669</v>
      </c>
      <c r="W15079" t="s">
        <v>46197</v>
      </c>
      <c r="X15079" t="s">
        <v>47327</v>
      </c>
    </row>
    <row r="15080" spans="1:24">
      <c r="A15080">
        <f>HYPERLINK("https://www.philgeps.gov.ph/GEPSNONPILOT/Tender/SplashBidNoticeAbstractUI.aspx?menuIndex=3&amp;refID=7157824&amp;Result=3","7157824")</f>
        <v>0</v>
      </c>
      <c r="B15080" t="s">
        <v>696</v>
      </c>
      <c r="C15080" t="s">
        <v>18137</v>
      </c>
      <c r="D15080" t="s">
        <v>19069</v>
      </c>
      <c r="E15080" t="s">
        <v>31833</v>
      </c>
      <c r="F15080" t="s">
        <v>32606</v>
      </c>
      <c r="G15080" t="s">
        <v>32613</v>
      </c>
      <c r="H15080" t="s">
        <v>14201</v>
      </c>
      <c r="I15080" t="s">
        <v>32686</v>
      </c>
      <c r="J15080" t="s">
        <v>42076</v>
      </c>
      <c r="K15080" t="s">
        <v>42636</v>
      </c>
      <c r="M15080" t="s">
        <v>43969</v>
      </c>
      <c r="N15080" t="s">
        <v>47304</v>
      </c>
      <c r="O15080" t="s">
        <v>47305</v>
      </c>
      <c r="Q15080">
        <v>6</v>
      </c>
      <c r="R15080" t="s">
        <v>47326</v>
      </c>
      <c r="S15080" t="s">
        <v>48435</v>
      </c>
      <c r="T15080" t="s">
        <v>49347</v>
      </c>
      <c r="U15080" t="s">
        <v>61860</v>
      </c>
      <c r="V15080" t="s">
        <v>64321</v>
      </c>
      <c r="W15080" t="s">
        <v>43969</v>
      </c>
      <c r="X15080" t="s">
        <v>47327</v>
      </c>
    </row>
    <row r="15081" spans="1:24">
      <c r="A15081">
        <f>HYPERLINK("https://www.philgeps.gov.ph/GEPSNONPILOT/Tender/SplashBidNoticeAbstractUI.aspx?menuIndex=3&amp;refID=7158208&amp;Result=3","7158208")</f>
        <v>0</v>
      </c>
      <c r="B15081" t="s">
        <v>3244</v>
      </c>
      <c r="C15081" t="s">
        <v>18138</v>
      </c>
      <c r="E15081" t="s">
        <v>31834</v>
      </c>
      <c r="F15081" t="s">
        <v>32606</v>
      </c>
      <c r="G15081" t="s">
        <v>32613</v>
      </c>
      <c r="H15081" t="s">
        <v>14201</v>
      </c>
      <c r="I15081" t="s">
        <v>32743</v>
      </c>
      <c r="J15081" t="s">
        <v>42077</v>
      </c>
      <c r="K15081" t="s">
        <v>42624</v>
      </c>
      <c r="M15081" t="s">
        <v>46477</v>
      </c>
      <c r="N15081" t="s">
        <v>47304</v>
      </c>
      <c r="O15081" t="s">
        <v>47305</v>
      </c>
      <c r="Q15081">
        <v>15</v>
      </c>
      <c r="R15081" t="s">
        <v>47326</v>
      </c>
      <c r="S15081" t="s">
        <v>48436</v>
      </c>
      <c r="T15081" t="s">
        <v>49335</v>
      </c>
      <c r="U15081" t="s">
        <v>61961</v>
      </c>
      <c r="W15081" t="s">
        <v>46477</v>
      </c>
      <c r="X15081" t="s">
        <v>47327</v>
      </c>
    </row>
    <row r="15082" spans="1:24">
      <c r="A15082">
        <f>HYPERLINK("https://www.philgeps.gov.ph/GEPSNONPILOT/Tender/SplashBidNoticeAbstractUI.aspx?menuIndex=3&amp;refID=7148725&amp;Result=3","7148725")</f>
        <v>0</v>
      </c>
      <c r="B15082" t="s">
        <v>2115</v>
      </c>
      <c r="C15082" t="s">
        <v>18139</v>
      </c>
      <c r="D15082" t="s">
        <v>19008</v>
      </c>
      <c r="E15082" t="s">
        <v>31835</v>
      </c>
      <c r="F15082" t="s">
        <v>32606</v>
      </c>
      <c r="G15082" t="s">
        <v>32613</v>
      </c>
      <c r="H15082" t="s">
        <v>14201</v>
      </c>
      <c r="I15082" t="s">
        <v>32655</v>
      </c>
      <c r="J15082" t="s">
        <v>32789</v>
      </c>
      <c r="K15082" t="s">
        <v>42638</v>
      </c>
      <c r="M15082" t="s">
        <v>45789</v>
      </c>
      <c r="N15082" t="s">
        <v>47304</v>
      </c>
      <c r="O15082" t="s">
        <v>47305</v>
      </c>
      <c r="P15082">
        <v>0</v>
      </c>
      <c r="Q15082">
        <v>6</v>
      </c>
      <c r="R15082" t="s">
        <v>47327</v>
      </c>
      <c r="S15082" t="s">
        <v>48437</v>
      </c>
      <c r="T15082" t="s">
        <v>49071</v>
      </c>
      <c r="U15082" t="s">
        <v>61962</v>
      </c>
      <c r="V15082" t="s">
        <v>63377</v>
      </c>
      <c r="W15082" t="s">
        <v>45789</v>
      </c>
      <c r="X15082" t="s">
        <v>47331</v>
      </c>
    </row>
    <row r="15083" spans="1:24">
      <c r="A15083">
        <f>HYPERLINK("https://www.philgeps.gov.ph/GEPSNONPILOT/Tender/SplashBidNoticeAbstractUI.aspx?menuIndex=3&amp;refID=7156419&amp;Result=3","7156419")</f>
        <v>0</v>
      </c>
      <c r="B15083" t="s">
        <v>3847</v>
      </c>
      <c r="C15083" t="s">
        <v>18140</v>
      </c>
      <c r="D15083" t="s">
        <v>19024</v>
      </c>
      <c r="E15083" t="s">
        <v>19690</v>
      </c>
      <c r="F15083" t="s">
        <v>32606</v>
      </c>
      <c r="G15083" t="s">
        <v>32613</v>
      </c>
      <c r="H15083" t="s">
        <v>14201</v>
      </c>
      <c r="I15083" t="s">
        <v>6931</v>
      </c>
      <c r="J15083" t="s">
        <v>35961</v>
      </c>
      <c r="K15083" t="s">
        <v>42631</v>
      </c>
      <c r="M15083" t="s">
        <v>47196</v>
      </c>
      <c r="N15083" t="s">
        <v>47304</v>
      </c>
      <c r="O15083" t="s">
        <v>47305</v>
      </c>
      <c r="P15083">
        <v>0</v>
      </c>
      <c r="Q15083">
        <v>0</v>
      </c>
      <c r="R15083" t="s">
        <v>47326</v>
      </c>
      <c r="S15083" t="s">
        <v>48346</v>
      </c>
      <c r="T15083" t="s">
        <v>48986</v>
      </c>
      <c r="U15083" t="s">
        <v>54796</v>
      </c>
      <c r="W15083" t="s">
        <v>47196</v>
      </c>
      <c r="X15083" t="s">
        <v>47327</v>
      </c>
    </row>
    <row r="15084" spans="1:24">
      <c r="A15084">
        <f>HYPERLINK("https://www.philgeps.gov.ph/GEPSNONPILOT/Tender/SplashBidNoticeAbstractUI.aspx?menuIndex=3&amp;refID=7148722&amp;Result=3","7148722")</f>
        <v>0</v>
      </c>
      <c r="B15084" t="s">
        <v>2115</v>
      </c>
      <c r="C15084" t="s">
        <v>18141</v>
      </c>
      <c r="D15084" t="s">
        <v>19008</v>
      </c>
      <c r="E15084" t="s">
        <v>31836</v>
      </c>
      <c r="F15084" t="s">
        <v>32606</v>
      </c>
      <c r="G15084" t="s">
        <v>32613</v>
      </c>
      <c r="H15084" t="s">
        <v>14201</v>
      </c>
      <c r="I15084" t="s">
        <v>32655</v>
      </c>
      <c r="J15084" t="s">
        <v>35140</v>
      </c>
      <c r="K15084" t="s">
        <v>42638</v>
      </c>
      <c r="M15084" t="s">
        <v>45789</v>
      </c>
      <c r="N15084" t="s">
        <v>47304</v>
      </c>
      <c r="O15084" t="s">
        <v>47305</v>
      </c>
      <c r="Q15084">
        <v>1</v>
      </c>
      <c r="R15084" t="s">
        <v>47327</v>
      </c>
      <c r="S15084" t="s">
        <v>48438</v>
      </c>
      <c r="T15084" t="s">
        <v>49071</v>
      </c>
      <c r="U15084" t="s">
        <v>61963</v>
      </c>
      <c r="V15084" t="s">
        <v>63377</v>
      </c>
      <c r="W15084" t="s">
        <v>45789</v>
      </c>
      <c r="X15084" t="s">
        <v>47331</v>
      </c>
    </row>
    <row r="15085" spans="1:24">
      <c r="A15085">
        <f>HYPERLINK("https://www.philgeps.gov.ph/GEPSNONPILOT/Tender/SplashBidNoticeAbstractUI.aspx?menuIndex=3&amp;refID=7148707&amp;Result=3","7148707")</f>
        <v>0</v>
      </c>
      <c r="B15085" t="s">
        <v>2115</v>
      </c>
      <c r="C15085" t="s">
        <v>18142</v>
      </c>
      <c r="D15085" t="s">
        <v>19008</v>
      </c>
      <c r="E15085" t="s">
        <v>31837</v>
      </c>
      <c r="F15085" t="s">
        <v>32606</v>
      </c>
      <c r="G15085" t="s">
        <v>32613</v>
      </c>
      <c r="H15085" t="s">
        <v>14201</v>
      </c>
      <c r="I15085" t="s">
        <v>32655</v>
      </c>
      <c r="J15085" t="s">
        <v>32913</v>
      </c>
      <c r="K15085" t="s">
        <v>42638</v>
      </c>
      <c r="M15085" t="s">
        <v>45789</v>
      </c>
      <c r="N15085" t="s">
        <v>47304</v>
      </c>
      <c r="O15085" t="s">
        <v>47305</v>
      </c>
      <c r="Q15085">
        <v>1</v>
      </c>
      <c r="R15085" t="s">
        <v>47327</v>
      </c>
      <c r="S15085" t="s">
        <v>48439</v>
      </c>
      <c r="T15085" t="s">
        <v>49071</v>
      </c>
      <c r="U15085" t="s">
        <v>61964</v>
      </c>
      <c r="V15085" t="s">
        <v>63377</v>
      </c>
      <c r="W15085" t="s">
        <v>45789</v>
      </c>
      <c r="X15085" t="s">
        <v>47331</v>
      </c>
    </row>
    <row r="15086" spans="1:24">
      <c r="A15086">
        <f>HYPERLINK("https://www.philgeps.gov.ph/GEPSNONPILOT/Tender/SplashBidNoticeAbstractUI.aspx?menuIndex=3&amp;refID=7146655&amp;Result=3","7146655")</f>
        <v>0</v>
      </c>
      <c r="B15086" t="s">
        <v>2968</v>
      </c>
      <c r="C15086" t="s">
        <v>18143</v>
      </c>
      <c r="D15086" t="s">
        <v>19002</v>
      </c>
      <c r="E15086" t="s">
        <v>31838</v>
      </c>
      <c r="F15086" t="s">
        <v>32606</v>
      </c>
      <c r="G15086" t="s">
        <v>32613</v>
      </c>
      <c r="H15086" t="s">
        <v>32623</v>
      </c>
      <c r="I15086" t="s">
        <v>17648</v>
      </c>
      <c r="J15086" t="s">
        <v>42078</v>
      </c>
      <c r="K15086" t="s">
        <v>42650</v>
      </c>
      <c r="M15086" t="s">
        <v>46203</v>
      </c>
      <c r="N15086" t="s">
        <v>47304</v>
      </c>
      <c r="O15086" t="s">
        <v>47305</v>
      </c>
      <c r="P15086">
        <v>0</v>
      </c>
      <c r="Q15086">
        <v>2</v>
      </c>
      <c r="R15086" t="s">
        <v>47327</v>
      </c>
      <c r="S15086" t="s">
        <v>48437</v>
      </c>
      <c r="T15086" t="s">
        <v>49053</v>
      </c>
      <c r="U15086" t="s">
        <v>61965</v>
      </c>
      <c r="V15086" t="s">
        <v>63654</v>
      </c>
      <c r="W15086" t="s">
        <v>46203</v>
      </c>
      <c r="X15086" t="s">
        <v>47332</v>
      </c>
    </row>
    <row r="15087" spans="1:24">
      <c r="A15087">
        <f>HYPERLINK("https://www.philgeps.gov.ph/GEPSNONPILOT/Tender/SplashBidNoticeAbstractUI.aspx?menuIndex=3&amp;refID=7148710&amp;Result=3","7148710")</f>
        <v>0</v>
      </c>
      <c r="B15087" t="s">
        <v>2115</v>
      </c>
      <c r="C15087" t="s">
        <v>18144</v>
      </c>
      <c r="D15087" t="s">
        <v>19008</v>
      </c>
      <c r="E15087" t="s">
        <v>31839</v>
      </c>
      <c r="F15087" t="s">
        <v>32606</v>
      </c>
      <c r="G15087" t="s">
        <v>32613</v>
      </c>
      <c r="H15087" t="s">
        <v>14201</v>
      </c>
      <c r="I15087" t="s">
        <v>32655</v>
      </c>
      <c r="J15087" t="s">
        <v>33025</v>
      </c>
      <c r="K15087" t="s">
        <v>42638</v>
      </c>
      <c r="M15087" t="s">
        <v>45789</v>
      </c>
      <c r="N15087" t="s">
        <v>47304</v>
      </c>
      <c r="O15087" t="s">
        <v>47305</v>
      </c>
      <c r="Q15087">
        <v>2</v>
      </c>
      <c r="R15087" t="s">
        <v>47327</v>
      </c>
      <c r="S15087" t="s">
        <v>47892</v>
      </c>
      <c r="T15087" t="s">
        <v>49071</v>
      </c>
      <c r="U15087" t="s">
        <v>61966</v>
      </c>
      <c r="V15087" t="s">
        <v>63377</v>
      </c>
      <c r="W15087" t="s">
        <v>45789</v>
      </c>
      <c r="X15087" t="s">
        <v>47331</v>
      </c>
    </row>
    <row r="15088" spans="1:24">
      <c r="A15088">
        <f>HYPERLINK("https://www.philgeps.gov.ph/GEPSNONPILOT/Tender/SplashBidNoticeAbstractUI.aspx?menuIndex=3&amp;refID=7148702&amp;Result=3","7148702")</f>
        <v>0</v>
      </c>
      <c r="B15088" t="s">
        <v>2115</v>
      </c>
      <c r="C15088" t="s">
        <v>18145</v>
      </c>
      <c r="D15088" t="s">
        <v>19008</v>
      </c>
      <c r="E15088" t="s">
        <v>31840</v>
      </c>
      <c r="F15088" t="s">
        <v>32606</v>
      </c>
      <c r="G15088" t="s">
        <v>32613</v>
      </c>
      <c r="H15088" t="s">
        <v>14201</v>
      </c>
      <c r="I15088" t="s">
        <v>4678</v>
      </c>
      <c r="J15088" t="s">
        <v>32967</v>
      </c>
      <c r="K15088" t="s">
        <v>42638</v>
      </c>
      <c r="M15088" t="s">
        <v>45789</v>
      </c>
      <c r="N15088" t="s">
        <v>47304</v>
      </c>
      <c r="O15088" t="s">
        <v>47305</v>
      </c>
      <c r="Q15088">
        <v>6</v>
      </c>
      <c r="R15088" t="s">
        <v>47327</v>
      </c>
      <c r="S15088" t="s">
        <v>48440</v>
      </c>
      <c r="T15088" t="s">
        <v>49071</v>
      </c>
      <c r="U15088" t="s">
        <v>61967</v>
      </c>
      <c r="V15088" t="s">
        <v>63377</v>
      </c>
      <c r="W15088" t="s">
        <v>45789</v>
      </c>
      <c r="X15088" t="s">
        <v>47331</v>
      </c>
    </row>
    <row r="15089" spans="1:24">
      <c r="A15089">
        <f>HYPERLINK("https://www.philgeps.gov.ph/GEPSNONPILOT/Tender/SplashBidNoticeAbstractUI.aspx?menuIndex=3&amp;refID=7148729&amp;Result=3","7148729")</f>
        <v>0</v>
      </c>
      <c r="B15089" t="s">
        <v>2115</v>
      </c>
      <c r="C15089" t="s">
        <v>18146</v>
      </c>
      <c r="D15089" t="s">
        <v>19008</v>
      </c>
      <c r="E15089" t="s">
        <v>31841</v>
      </c>
      <c r="F15089" t="s">
        <v>32606</v>
      </c>
      <c r="G15089" t="s">
        <v>32613</v>
      </c>
      <c r="H15089" t="s">
        <v>14201</v>
      </c>
      <c r="I15089" t="s">
        <v>32655</v>
      </c>
      <c r="J15089" t="s">
        <v>33274</v>
      </c>
      <c r="K15089" t="s">
        <v>42638</v>
      </c>
      <c r="M15089" t="s">
        <v>45789</v>
      </c>
      <c r="N15089" t="s">
        <v>47304</v>
      </c>
      <c r="O15089" t="s">
        <v>47305</v>
      </c>
      <c r="Q15089">
        <v>3</v>
      </c>
      <c r="R15089" t="s">
        <v>47327</v>
      </c>
      <c r="S15089" t="s">
        <v>48441</v>
      </c>
      <c r="T15089" t="s">
        <v>49071</v>
      </c>
      <c r="U15089" t="s">
        <v>61968</v>
      </c>
      <c r="V15089" t="s">
        <v>63377</v>
      </c>
      <c r="W15089" t="s">
        <v>45789</v>
      </c>
      <c r="X15089" t="s">
        <v>47331</v>
      </c>
    </row>
    <row r="15090" spans="1:24">
      <c r="A15090">
        <f>HYPERLINK("https://www.philgeps.gov.ph/GEPSNONPILOT/Tender/SplashBidNoticeAbstractUI.aspx?menuIndex=3&amp;refID=7158508&amp;Result=3","7158508")</f>
        <v>0</v>
      </c>
      <c r="B15090" t="s">
        <v>3848</v>
      </c>
      <c r="C15090" t="s">
        <v>18147</v>
      </c>
      <c r="D15090" t="s">
        <v>19021</v>
      </c>
      <c r="E15090" t="s">
        <v>31842</v>
      </c>
      <c r="F15090" t="s">
        <v>32606</v>
      </c>
      <c r="G15090" t="s">
        <v>32613</v>
      </c>
      <c r="H15090" t="s">
        <v>32623</v>
      </c>
      <c r="I15090" t="s">
        <v>17648</v>
      </c>
      <c r="J15090" t="s">
        <v>42079</v>
      </c>
      <c r="K15090" t="s">
        <v>42772</v>
      </c>
      <c r="M15090" t="s">
        <v>47197</v>
      </c>
      <c r="N15090" t="s">
        <v>47304</v>
      </c>
      <c r="O15090" t="s">
        <v>47305</v>
      </c>
      <c r="Q15090">
        <v>11</v>
      </c>
      <c r="R15090" t="s">
        <v>47326</v>
      </c>
      <c r="S15090" t="s">
        <v>48442</v>
      </c>
      <c r="T15090" t="s">
        <v>49268</v>
      </c>
      <c r="U15090" t="s">
        <v>61969</v>
      </c>
      <c r="W15090" t="s">
        <v>47197</v>
      </c>
      <c r="X15090" t="s">
        <v>47327</v>
      </c>
    </row>
    <row r="15091" spans="1:24">
      <c r="A15091">
        <f>HYPERLINK("https://www.philgeps.gov.ph/GEPSNONPILOT/Tender/SplashBidNoticeAbstractUI.aspx?menuIndex=3&amp;refID=7145286&amp;Result=3","7145286")</f>
        <v>0</v>
      </c>
      <c r="B15091" t="s">
        <v>3849</v>
      </c>
      <c r="C15091" t="s">
        <v>18148</v>
      </c>
      <c r="D15091" t="s">
        <v>19044</v>
      </c>
      <c r="E15091" t="s">
        <v>31843</v>
      </c>
      <c r="F15091" t="s">
        <v>32606</v>
      </c>
      <c r="G15091" t="s">
        <v>32613</v>
      </c>
      <c r="H15091" t="s">
        <v>32623</v>
      </c>
      <c r="I15091" t="s">
        <v>17648</v>
      </c>
      <c r="J15091" t="s">
        <v>42080</v>
      </c>
      <c r="K15091" t="s">
        <v>42648</v>
      </c>
      <c r="M15091" t="s">
        <v>47198</v>
      </c>
      <c r="N15091" t="s">
        <v>47304</v>
      </c>
      <c r="O15091" t="s">
        <v>47305</v>
      </c>
      <c r="Q15091">
        <v>1</v>
      </c>
      <c r="R15091" t="s">
        <v>47327</v>
      </c>
      <c r="S15091" t="s">
        <v>48443</v>
      </c>
      <c r="T15091" t="s">
        <v>49175</v>
      </c>
      <c r="U15091" t="s">
        <v>61970</v>
      </c>
      <c r="V15091" t="s">
        <v>64322</v>
      </c>
      <c r="W15091" t="s">
        <v>47198</v>
      </c>
      <c r="X15091" t="s">
        <v>47332</v>
      </c>
    </row>
    <row r="15092" spans="1:24">
      <c r="A15092">
        <f>HYPERLINK("https://www.philgeps.gov.ph/GEPSNONPILOT/Tender/SplashBidNoticeAbstractUI.aspx?menuIndex=3&amp;refID=7148714&amp;Result=3","7148714")</f>
        <v>0</v>
      </c>
      <c r="B15092" t="s">
        <v>2115</v>
      </c>
      <c r="C15092" t="s">
        <v>18149</v>
      </c>
      <c r="D15092" t="s">
        <v>19008</v>
      </c>
      <c r="E15092" t="s">
        <v>31844</v>
      </c>
      <c r="F15092" t="s">
        <v>32606</v>
      </c>
      <c r="G15092" t="s">
        <v>32613</v>
      </c>
      <c r="H15092" t="s">
        <v>14201</v>
      </c>
      <c r="I15092" t="s">
        <v>32655</v>
      </c>
      <c r="J15092" t="s">
        <v>34190</v>
      </c>
      <c r="K15092" t="s">
        <v>42638</v>
      </c>
      <c r="M15092" t="s">
        <v>45789</v>
      </c>
      <c r="N15092" t="s">
        <v>47304</v>
      </c>
      <c r="O15092" t="s">
        <v>47305</v>
      </c>
      <c r="P15092">
        <v>0</v>
      </c>
      <c r="Q15092">
        <v>3</v>
      </c>
      <c r="R15092" t="s">
        <v>47327</v>
      </c>
      <c r="S15092" t="s">
        <v>48437</v>
      </c>
      <c r="T15092" t="s">
        <v>49071</v>
      </c>
      <c r="U15092" t="s">
        <v>61971</v>
      </c>
      <c r="V15092" t="s">
        <v>63377</v>
      </c>
      <c r="W15092" t="s">
        <v>45789</v>
      </c>
      <c r="X15092" t="s">
        <v>47331</v>
      </c>
    </row>
    <row r="15093" spans="1:24">
      <c r="A15093">
        <f>HYPERLINK("https://www.philgeps.gov.ph/GEPSNONPILOT/Tender/SplashBidNoticeAbstractUI.aspx?menuIndex=3&amp;refID=7158505&amp;Result=3","7158505")</f>
        <v>0</v>
      </c>
      <c r="B15093" t="s">
        <v>742</v>
      </c>
      <c r="C15093" t="s">
        <v>18150</v>
      </c>
      <c r="D15093" t="s">
        <v>19054</v>
      </c>
      <c r="E15093" t="s">
        <v>31845</v>
      </c>
      <c r="F15093" t="s">
        <v>32606</v>
      </c>
      <c r="G15093" t="s">
        <v>32613</v>
      </c>
      <c r="H15093" t="s">
        <v>32623</v>
      </c>
      <c r="I15093" t="s">
        <v>17648</v>
      </c>
      <c r="J15093" t="s">
        <v>33578</v>
      </c>
      <c r="K15093" t="s">
        <v>42634</v>
      </c>
      <c r="M15093" t="s">
        <v>43665</v>
      </c>
      <c r="N15093" t="s">
        <v>47304</v>
      </c>
      <c r="O15093" t="s">
        <v>47305</v>
      </c>
      <c r="Q15093">
        <v>3</v>
      </c>
      <c r="R15093" t="s">
        <v>47326</v>
      </c>
      <c r="S15093" t="s">
        <v>48444</v>
      </c>
      <c r="T15093" t="s">
        <v>49422</v>
      </c>
      <c r="U15093" t="s">
        <v>61972</v>
      </c>
      <c r="W15093" t="s">
        <v>43665</v>
      </c>
      <c r="X15093" t="s">
        <v>47327</v>
      </c>
    </row>
    <row r="15094" spans="1:24">
      <c r="A15094">
        <f>HYPERLINK("https://www.philgeps.gov.ph/GEPSNONPILOT/Tender/SplashBidNoticeAbstractUI.aspx?menuIndex=3&amp;refID=7158447&amp;Result=3","7158447")</f>
        <v>0</v>
      </c>
      <c r="B15094" t="s">
        <v>3244</v>
      </c>
      <c r="C15094" t="s">
        <v>18151</v>
      </c>
      <c r="E15094" t="s">
        <v>31846</v>
      </c>
      <c r="F15094" t="s">
        <v>32606</v>
      </c>
      <c r="G15094" t="s">
        <v>32613</v>
      </c>
      <c r="H15094" t="s">
        <v>14201</v>
      </c>
      <c r="I15094" t="s">
        <v>32748</v>
      </c>
      <c r="J15094" t="s">
        <v>42081</v>
      </c>
      <c r="K15094" t="s">
        <v>42624</v>
      </c>
      <c r="M15094" t="s">
        <v>46477</v>
      </c>
      <c r="N15094" t="s">
        <v>47304</v>
      </c>
      <c r="O15094" t="s">
        <v>47305</v>
      </c>
      <c r="Q15094">
        <v>7</v>
      </c>
      <c r="R15094" t="s">
        <v>47326</v>
      </c>
      <c r="S15094" t="s">
        <v>48445</v>
      </c>
      <c r="T15094" t="s">
        <v>49335</v>
      </c>
      <c r="U15094" t="s">
        <v>58699</v>
      </c>
      <c r="W15094" t="s">
        <v>46477</v>
      </c>
      <c r="X15094" t="s">
        <v>47327</v>
      </c>
    </row>
    <row r="15095" spans="1:24">
      <c r="A15095">
        <f>HYPERLINK("https://www.philgeps.gov.ph/GEPSNONPILOT/Tender/SplashBidNoticeAbstractUI.aspx?menuIndex=3&amp;refID=7152561&amp;Result=3","7152561")</f>
        <v>0</v>
      </c>
      <c r="B15095" t="s">
        <v>1917</v>
      </c>
      <c r="C15095" t="s">
        <v>18152</v>
      </c>
      <c r="D15095" t="s">
        <v>19070</v>
      </c>
      <c r="E15095" t="s">
        <v>31847</v>
      </c>
      <c r="F15095" t="s">
        <v>32606</v>
      </c>
      <c r="G15095" t="s">
        <v>32613</v>
      </c>
      <c r="H15095" t="s">
        <v>32623</v>
      </c>
      <c r="I15095" t="s">
        <v>17648</v>
      </c>
      <c r="J15095" t="s">
        <v>42082</v>
      </c>
      <c r="K15095" t="s">
        <v>42636</v>
      </c>
      <c r="M15095" t="s">
        <v>46064</v>
      </c>
      <c r="N15095" t="s">
        <v>47304</v>
      </c>
      <c r="O15095" t="s">
        <v>47305</v>
      </c>
      <c r="P15095">
        <v>0</v>
      </c>
      <c r="Q15095">
        <v>0</v>
      </c>
      <c r="R15095" t="s">
        <v>47327</v>
      </c>
      <c r="S15095" t="s">
        <v>48437</v>
      </c>
      <c r="T15095" t="s">
        <v>49071</v>
      </c>
      <c r="U15095" t="s">
        <v>57216</v>
      </c>
      <c r="W15095" t="s">
        <v>46064</v>
      </c>
      <c r="X15095" t="s">
        <v>47328</v>
      </c>
    </row>
    <row r="15096" spans="1:24">
      <c r="A15096">
        <f>HYPERLINK("https://www.philgeps.gov.ph/GEPSNONPILOT/Tender/SplashBidNoticeAbstractUI.aspx?menuIndex=3&amp;refID=7158517&amp;Result=3","7158517")</f>
        <v>0</v>
      </c>
      <c r="B15096" t="s">
        <v>2841</v>
      </c>
      <c r="C15096" t="s">
        <v>18153</v>
      </c>
      <c r="D15096" t="s">
        <v>19054</v>
      </c>
      <c r="E15096" t="s">
        <v>31848</v>
      </c>
      <c r="F15096" t="s">
        <v>32606</v>
      </c>
      <c r="G15096" t="s">
        <v>32613</v>
      </c>
      <c r="H15096" t="s">
        <v>14201</v>
      </c>
      <c r="I15096" t="s">
        <v>7064</v>
      </c>
      <c r="J15096" t="s">
        <v>32830</v>
      </c>
      <c r="K15096" t="s">
        <v>42631</v>
      </c>
      <c r="M15096" t="s">
        <v>46008</v>
      </c>
      <c r="N15096" t="s">
        <v>47304</v>
      </c>
      <c r="O15096" t="s">
        <v>47305</v>
      </c>
      <c r="Q15096">
        <v>7</v>
      </c>
      <c r="R15096" t="s">
        <v>47326</v>
      </c>
      <c r="S15096" t="s">
        <v>47887</v>
      </c>
      <c r="T15096" t="s">
        <v>49061</v>
      </c>
      <c r="U15096" t="s">
        <v>61973</v>
      </c>
      <c r="W15096" t="s">
        <v>46008</v>
      </c>
      <c r="X15096" t="s">
        <v>47327</v>
      </c>
    </row>
    <row r="15097" spans="1:24">
      <c r="A15097">
        <f>HYPERLINK("https://www.philgeps.gov.ph/GEPSNONPILOT/Tender/SplashBidNoticeAbstractUI.aspx?menuIndex=3&amp;refID=7140874&amp;Result=3","7140874")</f>
        <v>0</v>
      </c>
      <c r="B15097" t="s">
        <v>3850</v>
      </c>
      <c r="C15097" t="s">
        <v>18154</v>
      </c>
      <c r="D15097" t="s">
        <v>19051</v>
      </c>
      <c r="E15097" t="s">
        <v>31849</v>
      </c>
      <c r="F15097" t="s">
        <v>32606</v>
      </c>
      <c r="G15097" t="s">
        <v>32613</v>
      </c>
      <c r="H15097" t="s">
        <v>14201</v>
      </c>
      <c r="I15097" t="s">
        <v>32626</v>
      </c>
      <c r="J15097" t="s">
        <v>42083</v>
      </c>
      <c r="K15097" t="s">
        <v>42631</v>
      </c>
      <c r="M15097" t="s">
        <v>47199</v>
      </c>
      <c r="N15097" t="s">
        <v>47304</v>
      </c>
      <c r="O15097" t="s">
        <v>47305</v>
      </c>
      <c r="Q15097">
        <v>16</v>
      </c>
      <c r="R15097" t="s">
        <v>47327</v>
      </c>
      <c r="S15097" t="s">
        <v>48446</v>
      </c>
      <c r="T15097" t="s">
        <v>49065</v>
      </c>
      <c r="U15097" t="s">
        <v>61974</v>
      </c>
      <c r="W15097" t="s">
        <v>47199</v>
      </c>
      <c r="X15097" t="s">
        <v>47334</v>
      </c>
    </row>
    <row r="15098" spans="1:24">
      <c r="A15098">
        <f>HYPERLINK("https://www.philgeps.gov.ph/GEPSNONPILOT/Tender/SplashBidNoticeAbstractUI.aspx?menuIndex=3&amp;refID=7152471&amp;Result=3","7152471")</f>
        <v>0</v>
      </c>
      <c r="B15098" t="s">
        <v>3664</v>
      </c>
      <c r="C15098" t="s">
        <v>18155</v>
      </c>
      <c r="D15098" t="s">
        <v>19031</v>
      </c>
      <c r="E15098" t="s">
        <v>31850</v>
      </c>
      <c r="F15098" t="s">
        <v>32606</v>
      </c>
      <c r="G15098" t="s">
        <v>32613</v>
      </c>
      <c r="H15098" t="s">
        <v>32623</v>
      </c>
      <c r="I15098" t="s">
        <v>17648</v>
      </c>
      <c r="J15098" t="s">
        <v>32920</v>
      </c>
      <c r="K15098" t="s">
        <v>42694</v>
      </c>
      <c r="M15098" t="s">
        <v>46969</v>
      </c>
      <c r="N15098" t="s">
        <v>47304</v>
      </c>
      <c r="O15098" t="s">
        <v>47305</v>
      </c>
      <c r="P15098">
        <v>0</v>
      </c>
      <c r="Q15098">
        <v>0</v>
      </c>
      <c r="R15098" t="s">
        <v>47327</v>
      </c>
      <c r="S15098" t="s">
        <v>48437</v>
      </c>
      <c r="T15098" t="s">
        <v>49018</v>
      </c>
      <c r="U15098" t="s">
        <v>61975</v>
      </c>
      <c r="V15098" t="s">
        <v>64323</v>
      </c>
      <c r="W15098" t="s">
        <v>46969</v>
      </c>
      <c r="X15098" t="s">
        <v>47328</v>
      </c>
    </row>
    <row r="15099" spans="1:24">
      <c r="A15099">
        <f>HYPERLINK("https://www.philgeps.gov.ph/GEPSNONPILOT/Tender/SplashBidNoticeAbstractUI.aspx?menuIndex=3&amp;refID=7152506&amp;Result=3","7152506")</f>
        <v>0</v>
      </c>
      <c r="B15099" t="s">
        <v>2968</v>
      </c>
      <c r="C15099" t="s">
        <v>18156</v>
      </c>
      <c r="D15099" t="s">
        <v>19002</v>
      </c>
      <c r="E15099" t="s">
        <v>31851</v>
      </c>
      <c r="F15099" t="s">
        <v>32606</v>
      </c>
      <c r="G15099" t="s">
        <v>32613</v>
      </c>
      <c r="H15099" t="s">
        <v>14201</v>
      </c>
      <c r="I15099" t="s">
        <v>4678</v>
      </c>
      <c r="J15099" t="s">
        <v>32795</v>
      </c>
      <c r="K15099" t="s">
        <v>42627</v>
      </c>
      <c r="M15099" t="s">
        <v>46153</v>
      </c>
      <c r="N15099" t="s">
        <v>47304</v>
      </c>
      <c r="O15099" t="s">
        <v>47305</v>
      </c>
      <c r="Q15099">
        <v>7</v>
      </c>
      <c r="R15099" t="s">
        <v>47327</v>
      </c>
      <c r="S15099" t="s">
        <v>48447</v>
      </c>
      <c r="T15099" t="s">
        <v>49053</v>
      </c>
      <c r="U15099" t="s">
        <v>61976</v>
      </c>
      <c r="V15099" t="s">
        <v>63654</v>
      </c>
      <c r="W15099" t="s">
        <v>46153</v>
      </c>
      <c r="X15099" t="s">
        <v>47328</v>
      </c>
    </row>
    <row r="15100" spans="1:24">
      <c r="A15100">
        <f>HYPERLINK("https://www.philgeps.gov.ph/GEPSNONPILOT/Tender/SplashBidNoticeAbstractUI.aspx?menuIndex=3&amp;refID=7158156&amp;Result=3","7158156")</f>
        <v>0</v>
      </c>
      <c r="B15100" t="s">
        <v>3532</v>
      </c>
      <c r="C15100" t="s">
        <v>18157</v>
      </c>
      <c r="D15100" t="s">
        <v>19006</v>
      </c>
      <c r="E15100" t="s">
        <v>31852</v>
      </c>
      <c r="F15100" t="s">
        <v>32606</v>
      </c>
      <c r="G15100" t="s">
        <v>32613</v>
      </c>
      <c r="H15100" t="s">
        <v>32623</v>
      </c>
      <c r="I15100" t="s">
        <v>32626</v>
      </c>
      <c r="J15100" t="s">
        <v>42084</v>
      </c>
      <c r="K15100" t="s">
        <v>42636</v>
      </c>
      <c r="M15100" t="s">
        <v>46805</v>
      </c>
      <c r="N15100" t="s">
        <v>47304</v>
      </c>
      <c r="O15100" t="s">
        <v>47305</v>
      </c>
      <c r="P15100">
        <v>0</v>
      </c>
      <c r="Q15100">
        <v>3</v>
      </c>
      <c r="R15100" t="s">
        <v>47326</v>
      </c>
      <c r="S15100" t="s">
        <v>48346</v>
      </c>
      <c r="T15100" t="s">
        <v>49315</v>
      </c>
      <c r="U15100" t="s">
        <v>61977</v>
      </c>
      <c r="W15100" t="s">
        <v>46805</v>
      </c>
      <c r="X15100" t="s">
        <v>47327</v>
      </c>
    </row>
    <row r="15101" spans="1:24">
      <c r="A15101">
        <f>HYPERLINK("https://www.philgeps.gov.ph/GEPSNONPILOT/Tender/SplashBidNoticeAbstractUI.aspx?menuIndex=3&amp;refID=7152525&amp;Result=3","7152525")</f>
        <v>0</v>
      </c>
      <c r="B15101" t="s">
        <v>3851</v>
      </c>
      <c r="C15101" t="s">
        <v>18158</v>
      </c>
      <c r="D15101" t="s">
        <v>18994</v>
      </c>
      <c r="E15101" t="s">
        <v>31853</v>
      </c>
      <c r="F15101" t="s">
        <v>32606</v>
      </c>
      <c r="G15101" t="s">
        <v>32613</v>
      </c>
      <c r="H15101" t="s">
        <v>14201</v>
      </c>
      <c r="I15101" t="s">
        <v>7064</v>
      </c>
      <c r="J15101" t="s">
        <v>33748</v>
      </c>
      <c r="K15101" t="s">
        <v>42631</v>
      </c>
      <c r="M15101" t="s">
        <v>47200</v>
      </c>
      <c r="N15101" t="s">
        <v>47304</v>
      </c>
      <c r="O15101" t="s">
        <v>47305</v>
      </c>
      <c r="P15101">
        <v>0</v>
      </c>
      <c r="Q15101">
        <v>0</v>
      </c>
      <c r="R15101" t="s">
        <v>47327</v>
      </c>
      <c r="S15101" t="s">
        <v>48437</v>
      </c>
      <c r="T15101" t="s">
        <v>49106</v>
      </c>
      <c r="U15101" t="s">
        <v>61978</v>
      </c>
      <c r="V15101" t="s">
        <v>64324</v>
      </c>
      <c r="W15101" t="s">
        <v>47200</v>
      </c>
      <c r="X15101" t="s">
        <v>47328</v>
      </c>
    </row>
    <row r="15102" spans="1:24">
      <c r="A15102">
        <f>HYPERLINK("https://www.philgeps.gov.ph/GEPSNONPILOT/Tender/SplashBidNoticeAbstractUI.aspx?menuIndex=3&amp;refID=7152395&amp;Result=3","7152395")</f>
        <v>0</v>
      </c>
      <c r="B15102" t="s">
        <v>1360</v>
      </c>
      <c r="C15102" t="s">
        <v>18159</v>
      </c>
      <c r="D15102" t="s">
        <v>19042</v>
      </c>
      <c r="E15102" t="s">
        <v>31854</v>
      </c>
      <c r="F15102" t="s">
        <v>32606</v>
      </c>
      <c r="G15102" t="s">
        <v>32613</v>
      </c>
      <c r="H15102" t="s">
        <v>32623</v>
      </c>
      <c r="I15102" t="s">
        <v>17648</v>
      </c>
      <c r="J15102" t="s">
        <v>42085</v>
      </c>
      <c r="K15102" t="s">
        <v>42646</v>
      </c>
      <c r="M15102" t="s">
        <v>44336</v>
      </c>
      <c r="N15102" t="s">
        <v>47304</v>
      </c>
      <c r="O15102" t="s">
        <v>47305</v>
      </c>
      <c r="Q15102">
        <v>0</v>
      </c>
      <c r="R15102" t="s">
        <v>47327</v>
      </c>
      <c r="S15102" t="s">
        <v>48448</v>
      </c>
      <c r="T15102" t="s">
        <v>48998</v>
      </c>
      <c r="U15102" t="s">
        <v>61979</v>
      </c>
      <c r="W15102" t="s">
        <v>44336</v>
      </c>
      <c r="X15102" t="s">
        <v>47328</v>
      </c>
    </row>
    <row r="15103" spans="1:24">
      <c r="A15103">
        <f>HYPERLINK("https://www.philgeps.gov.ph/GEPSNONPILOT/Tender/SplashBidNoticeAbstractUI.aspx?menuIndex=3&amp;refID=7152464&amp;Result=3","7152464")</f>
        <v>0</v>
      </c>
      <c r="B15103" t="s">
        <v>1360</v>
      </c>
      <c r="C15103" t="s">
        <v>18160</v>
      </c>
      <c r="D15103" t="s">
        <v>19042</v>
      </c>
      <c r="E15103" t="s">
        <v>31855</v>
      </c>
      <c r="F15103" t="s">
        <v>32606</v>
      </c>
      <c r="G15103" t="s">
        <v>32613</v>
      </c>
      <c r="H15103" t="s">
        <v>32623</v>
      </c>
      <c r="I15103" t="s">
        <v>17648</v>
      </c>
      <c r="J15103" t="s">
        <v>42086</v>
      </c>
      <c r="K15103" t="s">
        <v>42809</v>
      </c>
      <c r="M15103" t="s">
        <v>44336</v>
      </c>
      <c r="N15103" t="s">
        <v>47304</v>
      </c>
      <c r="O15103" t="s">
        <v>47305</v>
      </c>
      <c r="Q15103">
        <v>0</v>
      </c>
      <c r="R15103" t="s">
        <v>47327</v>
      </c>
      <c r="S15103" t="s">
        <v>47518</v>
      </c>
      <c r="T15103" t="s">
        <v>48998</v>
      </c>
      <c r="U15103" t="s">
        <v>61980</v>
      </c>
      <c r="W15103" t="s">
        <v>44336</v>
      </c>
      <c r="X15103" t="s">
        <v>47328</v>
      </c>
    </row>
    <row r="15104" spans="1:24">
      <c r="A15104">
        <f>HYPERLINK("https://www.philgeps.gov.ph/GEPSNONPILOT/Tender/SplashBidNoticeAbstractUI.aspx?menuIndex=3&amp;refID=7152341&amp;Result=3","7152341")</f>
        <v>0</v>
      </c>
      <c r="B15104" t="s">
        <v>1349</v>
      </c>
      <c r="C15104" t="s">
        <v>18161</v>
      </c>
      <c r="E15104" t="s">
        <v>31856</v>
      </c>
      <c r="F15104" t="s">
        <v>32606</v>
      </c>
      <c r="G15104" t="s">
        <v>32613</v>
      </c>
      <c r="H15104" t="s">
        <v>14201</v>
      </c>
      <c r="I15104" t="s">
        <v>5233</v>
      </c>
      <c r="J15104" t="s">
        <v>42087</v>
      </c>
      <c r="K15104" t="s">
        <v>42636</v>
      </c>
      <c r="M15104" t="s">
        <v>44323</v>
      </c>
      <c r="N15104" t="s">
        <v>47304</v>
      </c>
      <c r="O15104" t="s">
        <v>47305</v>
      </c>
      <c r="Q15104">
        <v>1</v>
      </c>
      <c r="R15104" t="s">
        <v>47327</v>
      </c>
      <c r="S15104" t="s">
        <v>48449</v>
      </c>
      <c r="T15104" t="s">
        <v>49140</v>
      </c>
      <c r="U15104" t="s">
        <v>61981</v>
      </c>
      <c r="W15104" t="s">
        <v>44323</v>
      </c>
      <c r="X15104" t="s">
        <v>47328</v>
      </c>
    </row>
    <row r="15105" spans="1:24">
      <c r="A15105">
        <f>HYPERLINK("https://www.philgeps.gov.ph/GEPSNONPILOT/Tender/SplashBidNoticeAbstractUI.aspx?menuIndex=3&amp;refID=7126224&amp;Result=3","7126224")</f>
        <v>0</v>
      </c>
      <c r="B15105" t="s">
        <v>44</v>
      </c>
      <c r="C15105" t="s">
        <v>18162</v>
      </c>
      <c r="D15105" t="s">
        <v>19001</v>
      </c>
      <c r="E15105" t="s">
        <v>31857</v>
      </c>
      <c r="F15105" t="s">
        <v>32606</v>
      </c>
      <c r="G15105" t="s">
        <v>32613</v>
      </c>
      <c r="H15105" t="s">
        <v>14201</v>
      </c>
      <c r="I15105" t="s">
        <v>32640</v>
      </c>
      <c r="J15105" t="s">
        <v>33871</v>
      </c>
      <c r="K15105" t="s">
        <v>42636</v>
      </c>
      <c r="M15105" t="s">
        <v>42941</v>
      </c>
      <c r="N15105" t="s">
        <v>47304</v>
      </c>
      <c r="O15105" t="s">
        <v>47305</v>
      </c>
      <c r="Q15105">
        <v>12</v>
      </c>
      <c r="R15105" t="s">
        <v>47327</v>
      </c>
      <c r="S15105" t="s">
        <v>48450</v>
      </c>
      <c r="T15105" t="s">
        <v>49020</v>
      </c>
      <c r="U15105" t="s">
        <v>61982</v>
      </c>
      <c r="V15105" t="s">
        <v>64325</v>
      </c>
      <c r="W15105" t="s">
        <v>42941</v>
      </c>
      <c r="X15105" t="s">
        <v>47340</v>
      </c>
    </row>
    <row r="15106" spans="1:24">
      <c r="A15106">
        <f>HYPERLINK("https://www.philgeps.gov.ph/GEPSNONPILOT/Tender/SplashBidNoticeAbstractUI.aspx?menuIndex=3&amp;refID=7150388&amp;Result=3","7150388")</f>
        <v>0</v>
      </c>
      <c r="B15106" t="s">
        <v>2481</v>
      </c>
      <c r="C15106" t="s">
        <v>18163</v>
      </c>
      <c r="D15106" t="s">
        <v>19007</v>
      </c>
      <c r="E15106" t="s">
        <v>31858</v>
      </c>
      <c r="F15106" t="s">
        <v>32606</v>
      </c>
      <c r="G15106" t="s">
        <v>32613</v>
      </c>
      <c r="H15106" t="s">
        <v>32623</v>
      </c>
      <c r="I15106" t="s">
        <v>17648</v>
      </c>
      <c r="J15106" t="s">
        <v>42088</v>
      </c>
      <c r="K15106" t="s">
        <v>42636</v>
      </c>
      <c r="M15106" t="s">
        <v>45618</v>
      </c>
      <c r="N15106" t="s">
        <v>47304</v>
      </c>
      <c r="O15106" t="s">
        <v>47305</v>
      </c>
      <c r="P15106">
        <v>0</v>
      </c>
      <c r="Q15106">
        <v>0</v>
      </c>
      <c r="R15106" t="s">
        <v>47327</v>
      </c>
      <c r="S15106" t="s">
        <v>48437</v>
      </c>
      <c r="T15106" t="s">
        <v>49315</v>
      </c>
      <c r="U15106" t="s">
        <v>61983</v>
      </c>
      <c r="W15106" t="s">
        <v>45618</v>
      </c>
      <c r="X15106" t="s">
        <v>47329</v>
      </c>
    </row>
    <row r="15107" spans="1:24">
      <c r="A15107">
        <f>HYPERLINK("https://www.philgeps.gov.ph/GEPSNONPILOT/Tender/SplashBidNoticeAbstractUI.aspx?menuIndex=3&amp;refID=7150360&amp;Result=3","7150360")</f>
        <v>0</v>
      </c>
      <c r="B15107" t="s">
        <v>2481</v>
      </c>
      <c r="C15107" t="s">
        <v>18164</v>
      </c>
      <c r="D15107" t="s">
        <v>19007</v>
      </c>
      <c r="E15107" t="s">
        <v>31859</v>
      </c>
      <c r="F15107" t="s">
        <v>32606</v>
      </c>
      <c r="G15107" t="s">
        <v>32613</v>
      </c>
      <c r="H15107" t="s">
        <v>32623</v>
      </c>
      <c r="I15107" t="s">
        <v>17648</v>
      </c>
      <c r="J15107" t="s">
        <v>42089</v>
      </c>
      <c r="K15107" t="s">
        <v>42636</v>
      </c>
      <c r="M15107" t="s">
        <v>45618</v>
      </c>
      <c r="N15107" t="s">
        <v>47304</v>
      </c>
      <c r="O15107" t="s">
        <v>47305</v>
      </c>
      <c r="P15107">
        <v>0</v>
      </c>
      <c r="Q15107">
        <v>0</v>
      </c>
      <c r="R15107" t="s">
        <v>47327</v>
      </c>
      <c r="S15107" t="s">
        <v>48437</v>
      </c>
      <c r="T15107" t="s">
        <v>49315</v>
      </c>
      <c r="U15107" t="s">
        <v>61984</v>
      </c>
      <c r="W15107" t="s">
        <v>45618</v>
      </c>
      <c r="X15107" t="s">
        <v>47329</v>
      </c>
    </row>
    <row r="15108" spans="1:24">
      <c r="A15108">
        <f>HYPERLINK("https://www.philgeps.gov.ph/GEPSNONPILOT/Tender/SplashBidNoticeAbstractUI.aspx?menuIndex=3&amp;refID=7152599&amp;Result=3","7152599")</f>
        <v>0</v>
      </c>
      <c r="B15108" t="s">
        <v>1360</v>
      </c>
      <c r="C15108" t="s">
        <v>18165</v>
      </c>
      <c r="D15108" t="s">
        <v>19042</v>
      </c>
      <c r="E15108" t="s">
        <v>31860</v>
      </c>
      <c r="F15108" t="s">
        <v>32606</v>
      </c>
      <c r="G15108" t="s">
        <v>32613</v>
      </c>
      <c r="H15108" t="s">
        <v>14201</v>
      </c>
      <c r="I15108" t="s">
        <v>6931</v>
      </c>
      <c r="J15108" t="s">
        <v>42090</v>
      </c>
      <c r="K15108" t="s">
        <v>42623</v>
      </c>
      <c r="M15108" t="s">
        <v>44336</v>
      </c>
      <c r="N15108" t="s">
        <v>47304</v>
      </c>
      <c r="O15108" t="s">
        <v>47305</v>
      </c>
      <c r="Q15108">
        <v>0</v>
      </c>
      <c r="R15108" t="s">
        <v>47327</v>
      </c>
      <c r="S15108" t="s">
        <v>47973</v>
      </c>
      <c r="T15108" t="s">
        <v>48998</v>
      </c>
      <c r="U15108" t="s">
        <v>61985</v>
      </c>
      <c r="W15108" t="s">
        <v>44336</v>
      </c>
      <c r="X15108" t="s">
        <v>47328</v>
      </c>
    </row>
    <row r="15109" spans="1:24">
      <c r="A15109">
        <f>HYPERLINK("https://www.philgeps.gov.ph/GEPSNONPILOT/Tender/SplashBidNoticeAbstractUI.aspx?menuIndex=3&amp;refID=7151634&amp;Result=3","7151634")</f>
        <v>0</v>
      </c>
      <c r="B15109" t="s">
        <v>1360</v>
      </c>
      <c r="C15109" t="s">
        <v>18166</v>
      </c>
      <c r="D15109" t="s">
        <v>19042</v>
      </c>
      <c r="E15109" t="s">
        <v>31861</v>
      </c>
      <c r="F15109" t="s">
        <v>32606</v>
      </c>
      <c r="G15109" t="s">
        <v>32613</v>
      </c>
      <c r="H15109" t="s">
        <v>14201</v>
      </c>
      <c r="I15109" t="s">
        <v>7064</v>
      </c>
      <c r="J15109" t="s">
        <v>35368</v>
      </c>
      <c r="K15109" t="s">
        <v>42623</v>
      </c>
      <c r="M15109" t="s">
        <v>44336</v>
      </c>
      <c r="N15109" t="s">
        <v>47304</v>
      </c>
      <c r="O15109" t="s">
        <v>47305</v>
      </c>
      <c r="Q15109">
        <v>6</v>
      </c>
      <c r="R15109" t="s">
        <v>47327</v>
      </c>
      <c r="S15109" t="s">
        <v>48451</v>
      </c>
      <c r="T15109" t="s">
        <v>48998</v>
      </c>
      <c r="U15109" t="s">
        <v>61986</v>
      </c>
      <c r="W15109" t="s">
        <v>44336</v>
      </c>
      <c r="X15109" t="s">
        <v>47329</v>
      </c>
    </row>
    <row r="15110" spans="1:24">
      <c r="A15110">
        <f>HYPERLINK("https://www.philgeps.gov.ph/GEPSNONPILOT/Tender/SplashBidNoticeAbstractUI.aspx?menuIndex=3&amp;refID=7150418&amp;Result=3","7150418")</f>
        <v>0</v>
      </c>
      <c r="B15110" t="s">
        <v>2481</v>
      </c>
      <c r="C15110" t="s">
        <v>18167</v>
      </c>
      <c r="D15110" t="s">
        <v>19007</v>
      </c>
      <c r="E15110" t="s">
        <v>31862</v>
      </c>
      <c r="F15110" t="s">
        <v>32606</v>
      </c>
      <c r="G15110" t="s">
        <v>32613</v>
      </c>
      <c r="H15110" t="s">
        <v>32623</v>
      </c>
      <c r="I15110" t="s">
        <v>17648</v>
      </c>
      <c r="J15110" t="s">
        <v>42091</v>
      </c>
      <c r="K15110" t="s">
        <v>42636</v>
      </c>
      <c r="M15110" t="s">
        <v>45618</v>
      </c>
      <c r="N15110" t="s">
        <v>47304</v>
      </c>
      <c r="O15110" t="s">
        <v>47305</v>
      </c>
      <c r="P15110">
        <v>0</v>
      </c>
      <c r="Q15110">
        <v>0</v>
      </c>
      <c r="R15110" t="s">
        <v>47327</v>
      </c>
      <c r="S15110" t="s">
        <v>48437</v>
      </c>
      <c r="T15110" t="s">
        <v>49315</v>
      </c>
      <c r="U15110" t="s">
        <v>61987</v>
      </c>
      <c r="W15110" t="s">
        <v>45618</v>
      </c>
      <c r="X15110" t="s">
        <v>47329</v>
      </c>
    </row>
    <row r="15111" spans="1:24">
      <c r="A15111">
        <f>HYPERLINK("https://www.philgeps.gov.ph/GEPSNONPILOT/Tender/SplashBidNoticeAbstractUI.aspx?menuIndex=3&amp;refID=7152335&amp;Result=3","7152335")</f>
        <v>0</v>
      </c>
      <c r="B15111" t="s">
        <v>3664</v>
      </c>
      <c r="C15111" t="s">
        <v>18168</v>
      </c>
      <c r="D15111" t="s">
        <v>19031</v>
      </c>
      <c r="E15111" t="s">
        <v>31863</v>
      </c>
      <c r="F15111" t="s">
        <v>32606</v>
      </c>
      <c r="G15111" t="s">
        <v>32613</v>
      </c>
      <c r="H15111" t="s">
        <v>32623</v>
      </c>
      <c r="I15111" t="s">
        <v>17648</v>
      </c>
      <c r="J15111" t="s">
        <v>32981</v>
      </c>
      <c r="K15111" t="s">
        <v>42627</v>
      </c>
      <c r="M15111" t="s">
        <v>46969</v>
      </c>
      <c r="N15111" t="s">
        <v>47304</v>
      </c>
      <c r="O15111" t="s">
        <v>47305</v>
      </c>
      <c r="P15111">
        <v>0</v>
      </c>
      <c r="Q15111">
        <v>1</v>
      </c>
      <c r="R15111" t="s">
        <v>47327</v>
      </c>
      <c r="S15111" t="s">
        <v>48437</v>
      </c>
      <c r="T15111" t="s">
        <v>49018</v>
      </c>
      <c r="U15111" t="s">
        <v>61988</v>
      </c>
      <c r="V15111" t="s">
        <v>64326</v>
      </c>
      <c r="W15111" t="s">
        <v>46969</v>
      </c>
      <c r="X15111" t="s">
        <v>47328</v>
      </c>
    </row>
    <row r="15112" spans="1:24">
      <c r="A15112">
        <f>HYPERLINK("https://www.philgeps.gov.ph/GEPSNONPILOT/Tender/SplashBidNoticeAbstractUI.aspx?menuIndex=3&amp;refID=7153101&amp;Result=3","7153101")</f>
        <v>0</v>
      </c>
      <c r="B15112" t="s">
        <v>1496</v>
      </c>
      <c r="C15112" t="s">
        <v>18169</v>
      </c>
      <c r="D15112" t="s">
        <v>19044</v>
      </c>
      <c r="E15112" t="s">
        <v>31864</v>
      </c>
      <c r="F15112" t="s">
        <v>32606</v>
      </c>
      <c r="G15112" t="s">
        <v>32613</v>
      </c>
      <c r="H15112" t="s">
        <v>32623</v>
      </c>
      <c r="I15112" t="s">
        <v>17648</v>
      </c>
      <c r="J15112" t="s">
        <v>42092</v>
      </c>
      <c r="K15112" t="s">
        <v>42680</v>
      </c>
      <c r="M15112" t="s">
        <v>44492</v>
      </c>
      <c r="N15112" t="s">
        <v>47304</v>
      </c>
      <c r="O15112" t="s">
        <v>47305</v>
      </c>
      <c r="P15112">
        <v>0</v>
      </c>
      <c r="Q15112">
        <v>1</v>
      </c>
      <c r="R15112" t="s">
        <v>47327</v>
      </c>
      <c r="S15112" t="s">
        <v>48437</v>
      </c>
      <c r="T15112" t="s">
        <v>49315</v>
      </c>
      <c r="U15112" t="s">
        <v>61989</v>
      </c>
      <c r="W15112" t="s">
        <v>44492</v>
      </c>
      <c r="X15112" t="s">
        <v>47328</v>
      </c>
    </row>
    <row r="15113" spans="1:24">
      <c r="A15113">
        <f>HYPERLINK("https://www.philgeps.gov.ph/GEPSNONPILOT/Tender/SplashBidNoticeAbstractUI.aspx?menuIndex=3&amp;refID=7153076&amp;Result=3","7153076")</f>
        <v>0</v>
      </c>
      <c r="B15113" t="s">
        <v>2283</v>
      </c>
      <c r="C15113" t="s">
        <v>18170</v>
      </c>
      <c r="D15113" t="s">
        <v>19022</v>
      </c>
      <c r="E15113" t="s">
        <v>31865</v>
      </c>
      <c r="F15113" t="s">
        <v>32606</v>
      </c>
      <c r="G15113" t="s">
        <v>32613</v>
      </c>
      <c r="H15113" t="s">
        <v>14201</v>
      </c>
      <c r="I15113" t="s">
        <v>6931</v>
      </c>
      <c r="J15113" t="s">
        <v>42093</v>
      </c>
      <c r="K15113" t="s">
        <v>42629</v>
      </c>
      <c r="M15113" t="s">
        <v>47201</v>
      </c>
      <c r="N15113" t="s">
        <v>47304</v>
      </c>
      <c r="O15113" t="s">
        <v>47305</v>
      </c>
      <c r="P15113">
        <v>0</v>
      </c>
      <c r="Q15113">
        <v>0</v>
      </c>
      <c r="R15113" t="s">
        <v>47327</v>
      </c>
      <c r="S15113" t="s">
        <v>48437</v>
      </c>
      <c r="T15113" t="s">
        <v>49257</v>
      </c>
      <c r="U15113" t="s">
        <v>61990</v>
      </c>
      <c r="W15113" t="s">
        <v>47201</v>
      </c>
      <c r="X15113" t="s">
        <v>47328</v>
      </c>
    </row>
    <row r="15114" spans="1:24">
      <c r="A15114">
        <f>HYPERLINK("https://www.philgeps.gov.ph/GEPSNONPILOT/Tender/SplashBidNoticeAbstractUI.aspx?menuIndex=3&amp;refID=7153042&amp;Result=3","7153042")</f>
        <v>0</v>
      </c>
      <c r="B15114" t="s">
        <v>2728</v>
      </c>
      <c r="C15114" t="s">
        <v>18171</v>
      </c>
      <c r="D15114" t="s">
        <v>19003</v>
      </c>
      <c r="E15114" t="s">
        <v>19462</v>
      </c>
      <c r="F15114" t="s">
        <v>32606</v>
      </c>
      <c r="G15114" t="s">
        <v>32613</v>
      </c>
      <c r="H15114" t="s">
        <v>32623</v>
      </c>
      <c r="I15114" t="s">
        <v>17648</v>
      </c>
      <c r="J15114" t="s">
        <v>42094</v>
      </c>
      <c r="K15114" t="s">
        <v>42648</v>
      </c>
      <c r="M15114" t="s">
        <v>45883</v>
      </c>
      <c r="N15114" t="s">
        <v>47304</v>
      </c>
      <c r="O15114" t="s">
        <v>47305</v>
      </c>
      <c r="Q15114">
        <v>2</v>
      </c>
      <c r="R15114" t="s">
        <v>47327</v>
      </c>
      <c r="S15114" t="s">
        <v>48051</v>
      </c>
      <c r="T15114" t="s">
        <v>49256</v>
      </c>
      <c r="U15114" t="s">
        <v>61991</v>
      </c>
      <c r="W15114" t="s">
        <v>45883</v>
      </c>
      <c r="X15114" t="s">
        <v>47328</v>
      </c>
    </row>
    <row r="15115" spans="1:24">
      <c r="A15115">
        <f>HYPERLINK("https://www.philgeps.gov.ph/GEPSNONPILOT/Tender/SplashBidNoticeAbstractUI.aspx?menuIndex=3&amp;refID=7153025&amp;Result=3","7153025")</f>
        <v>0</v>
      </c>
      <c r="B15115" t="s">
        <v>1152</v>
      </c>
      <c r="C15115" t="s">
        <v>18172</v>
      </c>
      <c r="D15115" t="s">
        <v>19010</v>
      </c>
      <c r="E15115" t="s">
        <v>31866</v>
      </c>
      <c r="F15115" t="s">
        <v>32607</v>
      </c>
      <c r="G15115" t="s">
        <v>32613</v>
      </c>
      <c r="H15115" t="s">
        <v>32623</v>
      </c>
      <c r="I15115" t="s">
        <v>17648</v>
      </c>
      <c r="J15115" t="s">
        <v>42095</v>
      </c>
      <c r="K15115" t="s">
        <v>42689</v>
      </c>
      <c r="L15115" t="s">
        <v>1152</v>
      </c>
      <c r="M15115" t="s">
        <v>44115</v>
      </c>
      <c r="N15115" t="s">
        <v>47304</v>
      </c>
      <c r="O15115" t="s">
        <v>47305</v>
      </c>
      <c r="P15115">
        <v>0</v>
      </c>
      <c r="Q15115">
        <v>0</v>
      </c>
      <c r="R15115" t="s">
        <v>47327</v>
      </c>
      <c r="S15115" t="s">
        <v>48437</v>
      </c>
      <c r="T15115" t="s">
        <v>49315</v>
      </c>
      <c r="U15115" t="s">
        <v>61992</v>
      </c>
      <c r="V15115" t="s">
        <v>64327</v>
      </c>
      <c r="W15115" t="s">
        <v>44115</v>
      </c>
      <c r="X15115" t="s">
        <v>47328</v>
      </c>
    </row>
    <row r="15116" spans="1:24">
      <c r="A15116">
        <f>HYPERLINK("https://www.philgeps.gov.ph/GEPSNONPILOT/Tender/SplashBidNoticeAbstractUI.aspx?menuIndex=3&amp;refID=7153014&amp;Result=3","7153014")</f>
        <v>0</v>
      </c>
      <c r="B15116" t="s">
        <v>2283</v>
      </c>
      <c r="C15116" t="s">
        <v>18173</v>
      </c>
      <c r="D15116" t="s">
        <v>19022</v>
      </c>
      <c r="E15116" t="s">
        <v>31867</v>
      </c>
      <c r="F15116" t="s">
        <v>32606</v>
      </c>
      <c r="G15116" t="s">
        <v>32613</v>
      </c>
      <c r="H15116" t="s">
        <v>14201</v>
      </c>
      <c r="I15116" t="s">
        <v>6931</v>
      </c>
      <c r="J15116" t="s">
        <v>42096</v>
      </c>
      <c r="K15116" t="s">
        <v>42629</v>
      </c>
      <c r="M15116" t="s">
        <v>47202</v>
      </c>
      <c r="N15116" t="s">
        <v>47304</v>
      </c>
      <c r="O15116" t="s">
        <v>47305</v>
      </c>
      <c r="P15116">
        <v>0</v>
      </c>
      <c r="Q15116">
        <v>0</v>
      </c>
      <c r="R15116" t="s">
        <v>47327</v>
      </c>
      <c r="S15116" t="s">
        <v>48437</v>
      </c>
      <c r="T15116" t="s">
        <v>49257</v>
      </c>
      <c r="U15116" t="s">
        <v>61990</v>
      </c>
      <c r="W15116" t="s">
        <v>47202</v>
      </c>
      <c r="X15116" t="s">
        <v>47328</v>
      </c>
    </row>
    <row r="15117" spans="1:24">
      <c r="A15117">
        <f>HYPERLINK("https://www.philgeps.gov.ph/GEPSNONPILOT/Tender/SplashBidNoticeAbstractUI.aspx?menuIndex=3&amp;refID=7152961&amp;Result=3","7152961")</f>
        <v>0</v>
      </c>
      <c r="B15117" t="s">
        <v>1274</v>
      </c>
      <c r="C15117" t="s">
        <v>18174</v>
      </c>
      <c r="D15117" t="s">
        <v>19005</v>
      </c>
      <c r="E15117" t="s">
        <v>31868</v>
      </c>
      <c r="F15117" t="s">
        <v>32606</v>
      </c>
      <c r="G15117" t="s">
        <v>32613</v>
      </c>
      <c r="H15117" t="s">
        <v>14201</v>
      </c>
      <c r="I15117" t="s">
        <v>7233</v>
      </c>
      <c r="J15117" t="s">
        <v>42097</v>
      </c>
      <c r="K15117" t="s">
        <v>42627</v>
      </c>
      <c r="M15117" t="s">
        <v>44245</v>
      </c>
      <c r="N15117" t="s">
        <v>47304</v>
      </c>
      <c r="O15117" t="s">
        <v>47305</v>
      </c>
      <c r="P15117">
        <v>0</v>
      </c>
      <c r="Q15117">
        <v>0</v>
      </c>
      <c r="R15117" t="s">
        <v>47327</v>
      </c>
      <c r="S15117" t="s">
        <v>48437</v>
      </c>
      <c r="T15117" t="s">
        <v>49072</v>
      </c>
      <c r="U15117" t="s">
        <v>61993</v>
      </c>
      <c r="W15117" t="s">
        <v>44245</v>
      </c>
      <c r="X15117" t="s">
        <v>47328</v>
      </c>
    </row>
    <row r="15118" spans="1:24">
      <c r="A15118">
        <f>HYPERLINK("https://www.philgeps.gov.ph/GEPSNONPILOT/Tender/SplashBidNoticeAbstractUI.aspx?menuIndex=3&amp;refID=7152831&amp;Result=3","7152831")</f>
        <v>0</v>
      </c>
      <c r="B15118" t="s">
        <v>95</v>
      </c>
      <c r="C15118" t="s">
        <v>18175</v>
      </c>
      <c r="D15118" t="s">
        <v>19006</v>
      </c>
      <c r="E15118" t="s">
        <v>21066</v>
      </c>
      <c r="F15118" t="s">
        <v>32606</v>
      </c>
      <c r="G15118" t="s">
        <v>32613</v>
      </c>
      <c r="H15118" t="s">
        <v>32623</v>
      </c>
      <c r="I15118" t="s">
        <v>17648</v>
      </c>
      <c r="J15118" t="s">
        <v>32772</v>
      </c>
      <c r="K15118" t="s">
        <v>42636</v>
      </c>
      <c r="M15118" t="s">
        <v>42993</v>
      </c>
      <c r="N15118" t="s">
        <v>47304</v>
      </c>
      <c r="O15118" t="s">
        <v>47305</v>
      </c>
      <c r="P15118">
        <v>0</v>
      </c>
      <c r="Q15118">
        <v>5</v>
      </c>
      <c r="R15118" t="s">
        <v>47327</v>
      </c>
      <c r="S15118" t="s">
        <v>48437</v>
      </c>
      <c r="T15118" t="s">
        <v>49269</v>
      </c>
      <c r="U15118" t="s">
        <v>61994</v>
      </c>
      <c r="W15118" t="s">
        <v>42993</v>
      </c>
      <c r="X15118" t="s">
        <v>47328</v>
      </c>
    </row>
    <row r="15119" spans="1:24">
      <c r="A15119">
        <f>HYPERLINK("https://www.philgeps.gov.ph/GEPSNONPILOT/Tender/SplashBidNoticeAbstractUI.aspx?menuIndex=3&amp;refID=7152752&amp;Result=3","7152752")</f>
        <v>0</v>
      </c>
      <c r="B15119" t="s">
        <v>1917</v>
      </c>
      <c r="C15119" t="s">
        <v>18176</v>
      </c>
      <c r="D15119" t="s">
        <v>19070</v>
      </c>
      <c r="E15119" t="s">
        <v>31869</v>
      </c>
      <c r="F15119" t="s">
        <v>32606</v>
      </c>
      <c r="G15119" t="s">
        <v>32613</v>
      </c>
      <c r="H15119" t="s">
        <v>32623</v>
      </c>
      <c r="I15119" t="s">
        <v>17648</v>
      </c>
      <c r="J15119" t="s">
        <v>42098</v>
      </c>
      <c r="K15119" t="s">
        <v>42677</v>
      </c>
      <c r="M15119" t="s">
        <v>46064</v>
      </c>
      <c r="N15119" t="s">
        <v>47304</v>
      </c>
      <c r="O15119" t="s">
        <v>47305</v>
      </c>
      <c r="P15119">
        <v>0</v>
      </c>
      <c r="Q15119">
        <v>2</v>
      </c>
      <c r="R15119" t="s">
        <v>47327</v>
      </c>
      <c r="S15119" t="s">
        <v>48437</v>
      </c>
      <c r="T15119" t="s">
        <v>49071</v>
      </c>
      <c r="U15119" t="s">
        <v>57216</v>
      </c>
      <c r="W15119" t="s">
        <v>46064</v>
      </c>
      <c r="X15119" t="s">
        <v>47328</v>
      </c>
    </row>
    <row r="15120" spans="1:24">
      <c r="A15120">
        <f>HYPERLINK("https://www.philgeps.gov.ph/GEPSNONPILOT/Tender/SplashBidNoticeAbstractUI.aspx?menuIndex=3&amp;refID=7152494&amp;Result=3","7152494")</f>
        <v>0</v>
      </c>
      <c r="B15120" t="s">
        <v>2924</v>
      </c>
      <c r="C15120" t="s">
        <v>18177</v>
      </c>
      <c r="D15120" t="s">
        <v>19008</v>
      </c>
      <c r="E15120" t="s">
        <v>20606</v>
      </c>
      <c r="F15120" t="s">
        <v>32606</v>
      </c>
      <c r="G15120" t="s">
        <v>32613</v>
      </c>
      <c r="H15120" t="s">
        <v>14201</v>
      </c>
      <c r="I15120" t="s">
        <v>4678</v>
      </c>
      <c r="J15120" t="s">
        <v>42099</v>
      </c>
      <c r="K15120" t="s">
        <v>42639</v>
      </c>
      <c r="M15120" t="s">
        <v>46103</v>
      </c>
      <c r="N15120" t="s">
        <v>47304</v>
      </c>
      <c r="O15120" t="s">
        <v>47305</v>
      </c>
      <c r="P15120">
        <v>0</v>
      </c>
      <c r="Q15120">
        <v>9</v>
      </c>
      <c r="R15120" t="s">
        <v>47327</v>
      </c>
      <c r="S15120" t="s">
        <v>48437</v>
      </c>
      <c r="T15120" t="s">
        <v>49268</v>
      </c>
      <c r="U15120" t="s">
        <v>61995</v>
      </c>
      <c r="V15120" t="s">
        <v>64328</v>
      </c>
      <c r="W15120" t="s">
        <v>46103</v>
      </c>
      <c r="X15120" t="s">
        <v>47328</v>
      </c>
    </row>
    <row r="15121" spans="1:24">
      <c r="A15121">
        <f>HYPERLINK("https://www.philgeps.gov.ph/GEPSNONPILOT/Tender/SplashBidNoticeAbstractUI.aspx?menuIndex=3&amp;refID=7152741&amp;Result=3","7152741")</f>
        <v>0</v>
      </c>
      <c r="B15121" t="s">
        <v>913</v>
      </c>
      <c r="C15121" t="s">
        <v>18178</v>
      </c>
      <c r="D15121" t="s">
        <v>19046</v>
      </c>
      <c r="E15121" t="s">
        <v>31870</v>
      </c>
      <c r="F15121" t="s">
        <v>32606</v>
      </c>
      <c r="G15121" t="s">
        <v>32613</v>
      </c>
      <c r="H15121" t="s">
        <v>14201</v>
      </c>
      <c r="I15121" t="s">
        <v>4678</v>
      </c>
      <c r="J15121" t="s">
        <v>34543</v>
      </c>
      <c r="K15121" t="s">
        <v>42623</v>
      </c>
      <c r="M15121" t="s">
        <v>43852</v>
      </c>
      <c r="N15121" t="s">
        <v>47304</v>
      </c>
      <c r="O15121" t="s">
        <v>47305</v>
      </c>
      <c r="P15121">
        <v>0</v>
      </c>
      <c r="Q15121">
        <v>0</v>
      </c>
      <c r="R15121" t="s">
        <v>47327</v>
      </c>
      <c r="S15121" t="s">
        <v>48437</v>
      </c>
      <c r="T15121" t="s">
        <v>49020</v>
      </c>
      <c r="U15121" t="s">
        <v>61996</v>
      </c>
      <c r="W15121" t="s">
        <v>43852</v>
      </c>
      <c r="X15121" t="s">
        <v>47328</v>
      </c>
    </row>
    <row r="15122" spans="1:24">
      <c r="A15122">
        <f>HYPERLINK("https://www.philgeps.gov.ph/GEPSNONPILOT/Tender/SplashBidNoticeAbstractUI.aspx?menuIndex=3&amp;refID=7152734&amp;Result=3","7152734")</f>
        <v>0</v>
      </c>
      <c r="B15122" t="s">
        <v>3851</v>
      </c>
      <c r="C15122" t="s">
        <v>18179</v>
      </c>
      <c r="D15122" t="s">
        <v>18994</v>
      </c>
      <c r="E15122" t="s">
        <v>31871</v>
      </c>
      <c r="F15122" t="s">
        <v>32606</v>
      </c>
      <c r="G15122" t="s">
        <v>32613</v>
      </c>
      <c r="H15122" t="s">
        <v>32623</v>
      </c>
      <c r="I15122" t="s">
        <v>32649</v>
      </c>
      <c r="J15122" t="s">
        <v>32770</v>
      </c>
      <c r="K15122" t="s">
        <v>42646</v>
      </c>
      <c r="M15122" t="s">
        <v>47200</v>
      </c>
      <c r="N15122" t="s">
        <v>47304</v>
      </c>
      <c r="O15122" t="s">
        <v>47305</v>
      </c>
      <c r="P15122">
        <v>0</v>
      </c>
      <c r="Q15122">
        <v>2</v>
      </c>
      <c r="R15122" t="s">
        <v>47327</v>
      </c>
      <c r="S15122" t="s">
        <v>48437</v>
      </c>
      <c r="T15122" t="s">
        <v>49112</v>
      </c>
      <c r="U15122" t="s">
        <v>61978</v>
      </c>
      <c r="V15122" t="s">
        <v>64329</v>
      </c>
      <c r="W15122" t="s">
        <v>47200</v>
      </c>
      <c r="X15122" t="s">
        <v>47328</v>
      </c>
    </row>
    <row r="15123" spans="1:24">
      <c r="A15123">
        <f>HYPERLINK("https://www.philgeps.gov.ph/GEPSNONPILOT/Tender/SplashBidNoticeAbstractUI.aspx?menuIndex=3&amp;refID=7153028&amp;Result=3","7153028")</f>
        <v>0</v>
      </c>
      <c r="B15123" t="s">
        <v>2948</v>
      </c>
      <c r="C15123" t="s">
        <v>18180</v>
      </c>
      <c r="D15123" t="s">
        <v>19011</v>
      </c>
      <c r="E15123" t="s">
        <v>31872</v>
      </c>
      <c r="F15123" t="s">
        <v>32606</v>
      </c>
      <c r="G15123" t="s">
        <v>32613</v>
      </c>
      <c r="H15123" t="s">
        <v>14201</v>
      </c>
      <c r="I15123" t="s">
        <v>4678</v>
      </c>
      <c r="J15123" t="s">
        <v>37252</v>
      </c>
      <c r="K15123" t="s">
        <v>42631</v>
      </c>
      <c r="M15123" t="s">
        <v>46131</v>
      </c>
      <c r="N15123" t="s">
        <v>47304</v>
      </c>
      <c r="O15123" t="s">
        <v>47305</v>
      </c>
      <c r="P15123">
        <v>0</v>
      </c>
      <c r="Q15123">
        <v>10</v>
      </c>
      <c r="R15123" t="s">
        <v>47327</v>
      </c>
      <c r="S15123" t="s">
        <v>48437</v>
      </c>
      <c r="T15123" t="s">
        <v>49315</v>
      </c>
      <c r="U15123" t="s">
        <v>61997</v>
      </c>
      <c r="W15123" t="s">
        <v>46131</v>
      </c>
      <c r="X15123" t="s">
        <v>47328</v>
      </c>
    </row>
    <row r="15124" spans="1:24">
      <c r="A15124">
        <f>HYPERLINK("https://www.philgeps.gov.ph/GEPSNONPILOT/Tender/SplashBidNoticeAbstractUI.aspx?menuIndex=3&amp;refID=7158450&amp;Result=3","7158450")</f>
        <v>0</v>
      </c>
      <c r="B15124" t="s">
        <v>3852</v>
      </c>
      <c r="C15124" t="s">
        <v>5906</v>
      </c>
      <c r="D15124" t="s">
        <v>19044</v>
      </c>
      <c r="E15124" t="s">
        <v>19145</v>
      </c>
      <c r="F15124" t="s">
        <v>32606</v>
      </c>
      <c r="G15124" t="s">
        <v>32613</v>
      </c>
      <c r="H15124" t="s">
        <v>14201</v>
      </c>
      <c r="I15124" t="s">
        <v>6931</v>
      </c>
      <c r="J15124" t="s">
        <v>42100</v>
      </c>
      <c r="K15124" t="s">
        <v>42631</v>
      </c>
      <c r="M15124" t="s">
        <v>47203</v>
      </c>
      <c r="N15124" t="s">
        <v>47304</v>
      </c>
      <c r="O15124" t="s">
        <v>47305</v>
      </c>
      <c r="P15124">
        <v>0</v>
      </c>
      <c r="Q15124">
        <v>2</v>
      </c>
      <c r="R15124" t="s">
        <v>47326</v>
      </c>
      <c r="S15124" t="s">
        <v>48346</v>
      </c>
      <c r="T15124" t="s">
        <v>49071</v>
      </c>
      <c r="U15124" t="s">
        <v>51960</v>
      </c>
      <c r="W15124" t="s">
        <v>47203</v>
      </c>
      <c r="X15124" t="s">
        <v>47327</v>
      </c>
    </row>
    <row r="15125" spans="1:24">
      <c r="A15125">
        <f>HYPERLINK("https://www.philgeps.gov.ph/GEPSNONPILOT/Tender/SplashBidNoticeAbstractUI.aspx?menuIndex=3&amp;refID=7153145&amp;Result=3","7153145")</f>
        <v>0</v>
      </c>
      <c r="B15125" t="s">
        <v>913</v>
      </c>
      <c r="C15125" t="s">
        <v>18181</v>
      </c>
      <c r="D15125" t="s">
        <v>19046</v>
      </c>
      <c r="E15125" t="s">
        <v>31873</v>
      </c>
      <c r="F15125" t="s">
        <v>32606</v>
      </c>
      <c r="G15125" t="s">
        <v>32613</v>
      </c>
      <c r="H15125" t="s">
        <v>14201</v>
      </c>
      <c r="I15125" t="s">
        <v>4678</v>
      </c>
      <c r="J15125" t="s">
        <v>32981</v>
      </c>
      <c r="K15125" t="s">
        <v>42623</v>
      </c>
      <c r="M15125" t="s">
        <v>43852</v>
      </c>
      <c r="N15125" t="s">
        <v>47304</v>
      </c>
      <c r="O15125" t="s">
        <v>47305</v>
      </c>
      <c r="P15125">
        <v>0</v>
      </c>
      <c r="Q15125">
        <v>0</v>
      </c>
      <c r="R15125" t="s">
        <v>47327</v>
      </c>
      <c r="S15125" t="s">
        <v>48437</v>
      </c>
      <c r="T15125" t="s">
        <v>49020</v>
      </c>
      <c r="U15125" t="s">
        <v>61998</v>
      </c>
      <c r="W15125" t="s">
        <v>43852</v>
      </c>
      <c r="X15125" t="s">
        <v>47328</v>
      </c>
    </row>
    <row r="15126" spans="1:24">
      <c r="A15126">
        <f>HYPERLINK("https://www.philgeps.gov.ph/GEPSNONPILOT/Tender/SplashBidNoticeAbstractUI.aspx?menuIndex=3&amp;refID=7153725&amp;Result=3","7153725")</f>
        <v>0</v>
      </c>
      <c r="B15126" t="s">
        <v>243</v>
      </c>
      <c r="C15126" t="s">
        <v>18182</v>
      </c>
      <c r="D15126" t="s">
        <v>19027</v>
      </c>
      <c r="E15126" t="s">
        <v>31874</v>
      </c>
      <c r="F15126" t="s">
        <v>32606</v>
      </c>
      <c r="G15126" t="s">
        <v>32613</v>
      </c>
      <c r="H15126" t="s">
        <v>14201</v>
      </c>
      <c r="I15126" t="s">
        <v>32640</v>
      </c>
      <c r="J15126" t="s">
        <v>33043</v>
      </c>
      <c r="K15126" t="s">
        <v>42624</v>
      </c>
      <c r="M15126" t="s">
        <v>44391</v>
      </c>
      <c r="N15126" t="s">
        <v>47304</v>
      </c>
      <c r="O15126" t="s">
        <v>47305</v>
      </c>
      <c r="P15126">
        <v>0</v>
      </c>
      <c r="Q15126">
        <v>7</v>
      </c>
      <c r="R15126" t="s">
        <v>47327</v>
      </c>
      <c r="S15126" t="s">
        <v>48437</v>
      </c>
      <c r="T15126" t="s">
        <v>49268</v>
      </c>
      <c r="U15126" t="s">
        <v>61999</v>
      </c>
      <c r="W15126" t="s">
        <v>64471</v>
      </c>
      <c r="X15126" t="s">
        <v>47328</v>
      </c>
    </row>
    <row r="15127" spans="1:24">
      <c r="A15127">
        <f>HYPERLINK("https://www.philgeps.gov.ph/GEPSNONPILOT/Tender/SplashBidNoticeAbstractUI.aspx?menuIndex=3&amp;refID=7152737&amp;Result=3","7152737")</f>
        <v>0</v>
      </c>
      <c r="B15127" t="s">
        <v>3853</v>
      </c>
      <c r="C15127" t="s">
        <v>18183</v>
      </c>
      <c r="D15127" t="s">
        <v>19006</v>
      </c>
      <c r="E15127" t="s">
        <v>21477</v>
      </c>
      <c r="F15127" t="s">
        <v>32606</v>
      </c>
      <c r="G15127" t="s">
        <v>32613</v>
      </c>
      <c r="H15127" t="s">
        <v>32624</v>
      </c>
      <c r="I15127" t="s">
        <v>7577</v>
      </c>
      <c r="J15127" t="s">
        <v>34652</v>
      </c>
      <c r="K15127" t="s">
        <v>42623</v>
      </c>
      <c r="M15127" t="s">
        <v>47204</v>
      </c>
      <c r="N15127" t="s">
        <v>47304</v>
      </c>
      <c r="O15127" t="s">
        <v>47305</v>
      </c>
      <c r="P15127">
        <v>0</v>
      </c>
      <c r="Q15127">
        <v>6</v>
      </c>
      <c r="R15127" t="s">
        <v>47327</v>
      </c>
      <c r="S15127" t="s">
        <v>48437</v>
      </c>
      <c r="T15127" t="s">
        <v>49256</v>
      </c>
      <c r="U15127" t="s">
        <v>62000</v>
      </c>
      <c r="V15127" t="s">
        <v>64330</v>
      </c>
      <c r="W15127" t="s">
        <v>47204</v>
      </c>
      <c r="X15127" t="s">
        <v>47328</v>
      </c>
    </row>
    <row r="15128" spans="1:24">
      <c r="A15128">
        <f>HYPERLINK("https://www.philgeps.gov.ph/GEPSNONPILOT/Tender/SplashBidNoticeAbstractUI.aspx?menuIndex=3&amp;refID=7153685&amp;Result=3","7153685")</f>
        <v>0</v>
      </c>
      <c r="B15128" t="s">
        <v>467</v>
      </c>
      <c r="C15128" t="s">
        <v>18184</v>
      </c>
      <c r="E15128" t="s">
        <v>31875</v>
      </c>
      <c r="F15128" t="s">
        <v>32606</v>
      </c>
      <c r="G15128" t="s">
        <v>32613</v>
      </c>
      <c r="H15128" t="s">
        <v>14201</v>
      </c>
      <c r="I15128" t="s">
        <v>32652</v>
      </c>
      <c r="J15128" t="s">
        <v>34546</v>
      </c>
      <c r="K15128" t="s">
        <v>42624</v>
      </c>
      <c r="M15128" t="s">
        <v>44145</v>
      </c>
      <c r="N15128" t="s">
        <v>47304</v>
      </c>
      <c r="O15128" t="s">
        <v>47305</v>
      </c>
      <c r="Q15128">
        <v>2</v>
      </c>
      <c r="R15128" t="s">
        <v>47327</v>
      </c>
      <c r="S15128" t="s">
        <v>48452</v>
      </c>
      <c r="T15128" t="s">
        <v>49184</v>
      </c>
      <c r="U15128" t="s">
        <v>62001</v>
      </c>
      <c r="W15128" t="s">
        <v>44145</v>
      </c>
      <c r="X15128" t="s">
        <v>47328</v>
      </c>
    </row>
    <row r="15129" spans="1:24">
      <c r="A15129">
        <f>HYPERLINK("https://www.philgeps.gov.ph/GEPSNONPILOT/Tender/SplashBidNoticeAbstractUI.aspx?menuIndex=3&amp;refID=7153625&amp;Result=3","7153625")</f>
        <v>0</v>
      </c>
      <c r="B15129" t="s">
        <v>3854</v>
      </c>
      <c r="C15129" t="s">
        <v>18185</v>
      </c>
      <c r="D15129" t="s">
        <v>18988</v>
      </c>
      <c r="E15129" t="s">
        <v>30873</v>
      </c>
      <c r="F15129" t="s">
        <v>32606</v>
      </c>
      <c r="G15129" t="s">
        <v>32613</v>
      </c>
      <c r="H15129" t="s">
        <v>14201</v>
      </c>
      <c r="I15129" t="s">
        <v>7064</v>
      </c>
      <c r="J15129" t="s">
        <v>33449</v>
      </c>
      <c r="K15129" t="s">
        <v>42631</v>
      </c>
      <c r="M15129" t="s">
        <v>47205</v>
      </c>
      <c r="N15129" t="s">
        <v>47304</v>
      </c>
      <c r="O15129" t="s">
        <v>47305</v>
      </c>
      <c r="P15129">
        <v>0</v>
      </c>
      <c r="Q15129">
        <v>2</v>
      </c>
      <c r="R15129" t="s">
        <v>47327</v>
      </c>
      <c r="S15129" t="s">
        <v>48437</v>
      </c>
      <c r="T15129" t="s">
        <v>49050</v>
      </c>
      <c r="U15129" t="s">
        <v>62002</v>
      </c>
      <c r="W15129" t="s">
        <v>47205</v>
      </c>
      <c r="X15129" t="s">
        <v>47328</v>
      </c>
    </row>
    <row r="15130" spans="1:24">
      <c r="A15130">
        <f>HYPERLINK("https://www.philgeps.gov.ph/GEPSNONPILOT/Tender/SplashBidNoticeAbstractUI.aspx?menuIndex=3&amp;refID=7153594&amp;Result=3","7153594")</f>
        <v>0</v>
      </c>
      <c r="B15130" t="s">
        <v>3855</v>
      </c>
      <c r="C15130" t="s">
        <v>18186</v>
      </c>
      <c r="D15130" t="s">
        <v>18988</v>
      </c>
      <c r="E15130" t="s">
        <v>30873</v>
      </c>
      <c r="F15130" t="s">
        <v>32606</v>
      </c>
      <c r="G15130" t="s">
        <v>32613</v>
      </c>
      <c r="H15130" t="s">
        <v>14201</v>
      </c>
      <c r="I15130" t="s">
        <v>7064</v>
      </c>
      <c r="J15130" t="s">
        <v>33529</v>
      </c>
      <c r="K15130" t="s">
        <v>42631</v>
      </c>
      <c r="M15130" t="s">
        <v>47206</v>
      </c>
      <c r="N15130" t="s">
        <v>47304</v>
      </c>
      <c r="O15130" t="s">
        <v>47305</v>
      </c>
      <c r="P15130">
        <v>0</v>
      </c>
      <c r="Q15130">
        <v>2</v>
      </c>
      <c r="R15130" t="s">
        <v>47327</v>
      </c>
      <c r="S15130" t="s">
        <v>48437</v>
      </c>
      <c r="T15130" t="s">
        <v>48980</v>
      </c>
      <c r="U15130" t="s">
        <v>62003</v>
      </c>
      <c r="W15130" t="s">
        <v>47206</v>
      </c>
      <c r="X15130" t="s">
        <v>47328</v>
      </c>
    </row>
    <row r="15131" spans="1:24">
      <c r="A15131">
        <f>HYPERLINK("https://www.philgeps.gov.ph/GEPSNONPILOT/Tender/SplashBidNoticeAbstractUI.aspx?menuIndex=3&amp;refID=7153575&amp;Result=3","7153575")</f>
        <v>0</v>
      </c>
      <c r="B15131" t="s">
        <v>913</v>
      </c>
      <c r="C15131" t="s">
        <v>18187</v>
      </c>
      <c r="D15131" t="s">
        <v>19046</v>
      </c>
      <c r="E15131" t="s">
        <v>31876</v>
      </c>
      <c r="F15131" t="s">
        <v>32606</v>
      </c>
      <c r="G15131" t="s">
        <v>32613</v>
      </c>
      <c r="H15131" t="s">
        <v>14201</v>
      </c>
      <c r="I15131" t="s">
        <v>4678</v>
      </c>
      <c r="J15131" t="s">
        <v>32813</v>
      </c>
      <c r="K15131" t="s">
        <v>42623</v>
      </c>
      <c r="M15131" t="s">
        <v>43852</v>
      </c>
      <c r="N15131" t="s">
        <v>47304</v>
      </c>
      <c r="O15131" t="s">
        <v>47305</v>
      </c>
      <c r="P15131">
        <v>0</v>
      </c>
      <c r="Q15131">
        <v>0</v>
      </c>
      <c r="R15131" t="s">
        <v>47327</v>
      </c>
      <c r="S15131" t="s">
        <v>48437</v>
      </c>
      <c r="T15131" t="s">
        <v>49020</v>
      </c>
      <c r="U15131" t="s">
        <v>62004</v>
      </c>
      <c r="W15131" t="s">
        <v>43852</v>
      </c>
      <c r="X15131" t="s">
        <v>47328</v>
      </c>
    </row>
    <row r="15132" spans="1:24">
      <c r="A15132">
        <f>HYPERLINK("https://www.philgeps.gov.ph/GEPSNONPILOT/Tender/SplashBidNoticeAbstractUI.aspx?menuIndex=3&amp;refID=7153539&amp;Result=3","7153539")</f>
        <v>0</v>
      </c>
      <c r="B15132" t="s">
        <v>3856</v>
      </c>
      <c r="C15132" t="s">
        <v>18188</v>
      </c>
      <c r="D15132" t="s">
        <v>19042</v>
      </c>
      <c r="E15132" t="s">
        <v>31877</v>
      </c>
      <c r="F15132" t="s">
        <v>32606</v>
      </c>
      <c r="G15132" t="s">
        <v>32613</v>
      </c>
      <c r="H15132" t="s">
        <v>32623</v>
      </c>
      <c r="I15132" t="s">
        <v>32659</v>
      </c>
      <c r="J15132" t="s">
        <v>42101</v>
      </c>
      <c r="K15132" t="s">
        <v>42645</v>
      </c>
      <c r="M15132" t="s">
        <v>47207</v>
      </c>
      <c r="N15132" t="s">
        <v>47304</v>
      </c>
      <c r="O15132" t="s">
        <v>47305</v>
      </c>
      <c r="P15132">
        <v>0</v>
      </c>
      <c r="Q15132">
        <v>0</v>
      </c>
      <c r="R15132" t="s">
        <v>47327</v>
      </c>
      <c r="S15132" t="s">
        <v>48437</v>
      </c>
      <c r="T15132" t="s">
        <v>49020</v>
      </c>
      <c r="U15132" t="s">
        <v>62005</v>
      </c>
      <c r="W15132" t="s">
        <v>47207</v>
      </c>
      <c r="X15132" t="s">
        <v>47328</v>
      </c>
    </row>
    <row r="15133" spans="1:24">
      <c r="A15133">
        <f>HYPERLINK("https://www.philgeps.gov.ph/GEPSNONPILOT/Tender/SplashBidNoticeAbstractUI.aspx?menuIndex=3&amp;refID=7152921&amp;Result=3","7152921")</f>
        <v>0</v>
      </c>
      <c r="B15133" t="s">
        <v>1274</v>
      </c>
      <c r="C15133" t="s">
        <v>4718</v>
      </c>
      <c r="D15133" t="s">
        <v>19005</v>
      </c>
      <c r="E15133" t="s">
        <v>31878</v>
      </c>
      <c r="F15133" t="s">
        <v>32606</v>
      </c>
      <c r="G15133" t="s">
        <v>32613</v>
      </c>
      <c r="H15133" t="s">
        <v>14201</v>
      </c>
      <c r="I15133" t="s">
        <v>4114</v>
      </c>
      <c r="J15133" t="s">
        <v>42102</v>
      </c>
      <c r="K15133" t="s">
        <v>42627</v>
      </c>
      <c r="M15133" t="s">
        <v>44245</v>
      </c>
      <c r="N15133" t="s">
        <v>47304</v>
      </c>
      <c r="O15133" t="s">
        <v>47305</v>
      </c>
      <c r="P15133">
        <v>0</v>
      </c>
      <c r="Q15133">
        <v>5</v>
      </c>
      <c r="R15133" t="s">
        <v>47327</v>
      </c>
      <c r="S15133" t="s">
        <v>48437</v>
      </c>
      <c r="T15133" t="s">
        <v>49072</v>
      </c>
      <c r="U15133" t="s">
        <v>61993</v>
      </c>
      <c r="W15133" t="s">
        <v>44245</v>
      </c>
      <c r="X15133" t="s">
        <v>47328</v>
      </c>
    </row>
    <row r="15134" spans="1:24">
      <c r="A15134">
        <f>HYPERLINK("https://www.philgeps.gov.ph/GEPSNONPILOT/Tender/SplashBidNoticeAbstractUI.aspx?menuIndex=3&amp;refID=7153359&amp;Result=3","7153359")</f>
        <v>0</v>
      </c>
      <c r="B15134" t="s">
        <v>219</v>
      </c>
      <c r="C15134" t="s">
        <v>18189</v>
      </c>
      <c r="D15134" t="s">
        <v>19050</v>
      </c>
      <c r="E15134" t="s">
        <v>31879</v>
      </c>
      <c r="F15134" t="s">
        <v>32606</v>
      </c>
      <c r="G15134" t="s">
        <v>32613</v>
      </c>
      <c r="H15134" t="s">
        <v>14201</v>
      </c>
      <c r="I15134" t="s">
        <v>32633</v>
      </c>
      <c r="J15134" t="s">
        <v>42103</v>
      </c>
      <c r="K15134" t="s">
        <v>42636</v>
      </c>
      <c r="M15134" t="s">
        <v>43120</v>
      </c>
      <c r="N15134" t="s">
        <v>47304</v>
      </c>
      <c r="O15134" t="s">
        <v>47305</v>
      </c>
      <c r="P15134">
        <v>0</v>
      </c>
      <c r="Q15134">
        <v>13</v>
      </c>
      <c r="R15134" t="s">
        <v>47327</v>
      </c>
      <c r="S15134" t="s">
        <v>48437</v>
      </c>
      <c r="T15134" t="s">
        <v>48987</v>
      </c>
      <c r="U15134" t="s">
        <v>62006</v>
      </c>
      <c r="W15134" t="s">
        <v>43120</v>
      </c>
      <c r="X15134" t="s">
        <v>47328</v>
      </c>
    </row>
    <row r="15135" spans="1:24">
      <c r="A15135">
        <f>HYPERLINK("https://www.philgeps.gov.ph/GEPSNONPILOT/Tender/SplashBidNoticeAbstractUI.aspx?menuIndex=3&amp;refID=7153601&amp;Result=3","7153601")</f>
        <v>0</v>
      </c>
      <c r="B15135" t="s">
        <v>1360</v>
      </c>
      <c r="C15135" t="s">
        <v>18190</v>
      </c>
      <c r="D15135" t="s">
        <v>19042</v>
      </c>
      <c r="E15135" t="s">
        <v>31880</v>
      </c>
      <c r="F15135" t="s">
        <v>32606</v>
      </c>
      <c r="G15135" t="s">
        <v>32613</v>
      </c>
      <c r="H15135" t="s">
        <v>14201</v>
      </c>
      <c r="I15135" t="s">
        <v>6931</v>
      </c>
      <c r="J15135" t="s">
        <v>42104</v>
      </c>
      <c r="K15135" t="s">
        <v>42623</v>
      </c>
      <c r="M15135" t="s">
        <v>44336</v>
      </c>
      <c r="N15135" t="s">
        <v>47304</v>
      </c>
      <c r="O15135" t="s">
        <v>47305</v>
      </c>
      <c r="Q15135">
        <v>9</v>
      </c>
      <c r="R15135" t="s">
        <v>47327</v>
      </c>
      <c r="S15135" t="s">
        <v>48032</v>
      </c>
      <c r="T15135" t="s">
        <v>48998</v>
      </c>
      <c r="U15135" t="s">
        <v>62007</v>
      </c>
      <c r="W15135" t="s">
        <v>44336</v>
      </c>
      <c r="X15135" t="s">
        <v>47328</v>
      </c>
    </row>
    <row r="15136" spans="1:24">
      <c r="A15136">
        <f>HYPERLINK("https://www.philgeps.gov.ph/GEPSNONPILOT/Tender/SplashBidNoticeAbstractUI.aspx?menuIndex=3&amp;refID=7153661&amp;Result=3","7153661")</f>
        <v>0</v>
      </c>
      <c r="B15136" t="s">
        <v>1069</v>
      </c>
      <c r="C15136" t="s">
        <v>18191</v>
      </c>
      <c r="D15136" t="s">
        <v>18993</v>
      </c>
      <c r="E15136" t="s">
        <v>29973</v>
      </c>
      <c r="F15136" t="s">
        <v>32607</v>
      </c>
      <c r="G15136" t="s">
        <v>32613</v>
      </c>
      <c r="H15136" t="s">
        <v>32623</v>
      </c>
      <c r="I15136" t="s">
        <v>6931</v>
      </c>
      <c r="J15136" t="s">
        <v>34489</v>
      </c>
      <c r="K15136" t="s">
        <v>42624</v>
      </c>
      <c r="M15136" t="s">
        <v>44022</v>
      </c>
      <c r="N15136" t="s">
        <v>47304</v>
      </c>
      <c r="O15136" t="s">
        <v>47305</v>
      </c>
      <c r="P15136">
        <v>0</v>
      </c>
      <c r="Q15136">
        <v>2</v>
      </c>
      <c r="R15136" t="s">
        <v>47327</v>
      </c>
      <c r="S15136" t="s">
        <v>48437</v>
      </c>
      <c r="T15136" t="s">
        <v>49096</v>
      </c>
      <c r="U15136" t="s">
        <v>62008</v>
      </c>
      <c r="W15136" t="s">
        <v>44022</v>
      </c>
      <c r="X15136" t="s">
        <v>47328</v>
      </c>
    </row>
    <row r="15137" spans="1:24">
      <c r="A15137">
        <f>HYPERLINK("https://www.philgeps.gov.ph/GEPSNONPILOT/Tender/SplashBidNoticeAbstractUI.aspx?menuIndex=3&amp;refID=7153237&amp;Result=3","7153237")</f>
        <v>0</v>
      </c>
      <c r="B15137" t="s">
        <v>3119</v>
      </c>
      <c r="C15137" t="s">
        <v>18192</v>
      </c>
      <c r="D15137" t="s">
        <v>19006</v>
      </c>
      <c r="E15137" t="s">
        <v>31881</v>
      </c>
      <c r="F15137" t="s">
        <v>32606</v>
      </c>
      <c r="G15137" t="s">
        <v>32613</v>
      </c>
      <c r="H15137" t="s">
        <v>32623</v>
      </c>
      <c r="I15137" t="s">
        <v>17648</v>
      </c>
      <c r="J15137" t="s">
        <v>42105</v>
      </c>
      <c r="K15137" t="s">
        <v>42648</v>
      </c>
      <c r="M15137" t="s">
        <v>46329</v>
      </c>
      <c r="N15137" t="s">
        <v>47304</v>
      </c>
      <c r="O15137" t="s">
        <v>47305</v>
      </c>
      <c r="P15137">
        <v>0</v>
      </c>
      <c r="Q15137">
        <v>1</v>
      </c>
      <c r="R15137" t="s">
        <v>47327</v>
      </c>
      <c r="S15137" t="s">
        <v>48437</v>
      </c>
      <c r="T15137" t="s">
        <v>49268</v>
      </c>
      <c r="U15137" t="s">
        <v>62009</v>
      </c>
      <c r="V15137" t="s">
        <v>63747</v>
      </c>
      <c r="W15137" t="s">
        <v>46329</v>
      </c>
      <c r="X15137" t="s">
        <v>47328</v>
      </c>
    </row>
    <row r="15138" spans="1:24">
      <c r="A15138">
        <f>HYPERLINK("https://www.philgeps.gov.ph/GEPSNONPILOT/Tender/SplashBidNoticeAbstractUI.aspx?menuIndex=3&amp;refID=7153228&amp;Result=3","7153228")</f>
        <v>0</v>
      </c>
      <c r="B15138" t="s">
        <v>3119</v>
      </c>
      <c r="C15138" t="s">
        <v>18193</v>
      </c>
      <c r="D15138" t="s">
        <v>19006</v>
      </c>
      <c r="E15138" t="s">
        <v>31882</v>
      </c>
      <c r="F15138" t="s">
        <v>32606</v>
      </c>
      <c r="G15138" t="s">
        <v>32613</v>
      </c>
      <c r="H15138" t="s">
        <v>32623</v>
      </c>
      <c r="I15138" t="s">
        <v>17648</v>
      </c>
      <c r="J15138" t="s">
        <v>42106</v>
      </c>
      <c r="K15138" t="s">
        <v>42636</v>
      </c>
      <c r="M15138" t="s">
        <v>46329</v>
      </c>
      <c r="N15138" t="s">
        <v>47304</v>
      </c>
      <c r="O15138" t="s">
        <v>47305</v>
      </c>
      <c r="P15138">
        <v>0</v>
      </c>
      <c r="Q15138">
        <v>1</v>
      </c>
      <c r="R15138" t="s">
        <v>47327</v>
      </c>
      <c r="S15138" t="s">
        <v>48437</v>
      </c>
      <c r="T15138" t="s">
        <v>49268</v>
      </c>
      <c r="U15138" t="s">
        <v>62009</v>
      </c>
      <c r="V15138" t="s">
        <v>63747</v>
      </c>
      <c r="W15138" t="s">
        <v>46329</v>
      </c>
      <c r="X15138" t="s">
        <v>47328</v>
      </c>
    </row>
    <row r="15139" spans="1:24">
      <c r="A15139">
        <f>HYPERLINK("https://www.philgeps.gov.ph/GEPSNONPILOT/Tender/SplashBidNoticeAbstractUI.aspx?menuIndex=3&amp;refID=7153291&amp;Result=3","7153291")</f>
        <v>0</v>
      </c>
      <c r="B15139" t="s">
        <v>438</v>
      </c>
      <c r="C15139" t="s">
        <v>18194</v>
      </c>
      <c r="D15139" t="s">
        <v>19003</v>
      </c>
      <c r="E15139" t="s">
        <v>23320</v>
      </c>
      <c r="F15139" t="s">
        <v>32606</v>
      </c>
      <c r="G15139" t="s">
        <v>32613</v>
      </c>
      <c r="H15139" t="s">
        <v>14201</v>
      </c>
      <c r="I15139" t="s">
        <v>4114</v>
      </c>
      <c r="J15139" t="s">
        <v>42107</v>
      </c>
      <c r="K15139" t="s">
        <v>42638</v>
      </c>
      <c r="M15139" t="s">
        <v>43345</v>
      </c>
      <c r="N15139" t="s">
        <v>47304</v>
      </c>
      <c r="O15139" t="s">
        <v>47305</v>
      </c>
      <c r="Q15139">
        <v>5</v>
      </c>
      <c r="R15139" t="s">
        <v>47327</v>
      </c>
      <c r="S15139" t="s">
        <v>48453</v>
      </c>
      <c r="T15139" t="s">
        <v>49020</v>
      </c>
      <c r="U15139" t="s">
        <v>62010</v>
      </c>
      <c r="W15139" t="s">
        <v>43345</v>
      </c>
      <c r="X15139" t="s">
        <v>47328</v>
      </c>
    </row>
    <row r="15140" spans="1:24">
      <c r="A15140">
        <f>HYPERLINK("https://www.philgeps.gov.ph/GEPSNONPILOT/Tender/SplashBidNoticeAbstractUI.aspx?menuIndex=3&amp;refID=7153189&amp;Result=3","7153189")</f>
        <v>0</v>
      </c>
      <c r="B15140" t="s">
        <v>3119</v>
      </c>
      <c r="C15140" t="s">
        <v>18195</v>
      </c>
      <c r="D15140" t="s">
        <v>19006</v>
      </c>
      <c r="E15140" t="s">
        <v>31883</v>
      </c>
      <c r="F15140" t="s">
        <v>32606</v>
      </c>
      <c r="G15140" t="s">
        <v>32613</v>
      </c>
      <c r="H15140" t="s">
        <v>32623</v>
      </c>
      <c r="I15140" t="s">
        <v>32626</v>
      </c>
      <c r="J15140" t="s">
        <v>42108</v>
      </c>
      <c r="K15140" t="s">
        <v>42648</v>
      </c>
      <c r="M15140" t="s">
        <v>46329</v>
      </c>
      <c r="N15140" t="s">
        <v>47304</v>
      </c>
      <c r="O15140" t="s">
        <v>47305</v>
      </c>
      <c r="P15140">
        <v>0</v>
      </c>
      <c r="Q15140">
        <v>0</v>
      </c>
      <c r="R15140" t="s">
        <v>47327</v>
      </c>
      <c r="S15140" t="s">
        <v>48437</v>
      </c>
      <c r="T15140" t="s">
        <v>49268</v>
      </c>
      <c r="U15140" t="s">
        <v>62011</v>
      </c>
      <c r="V15140" t="s">
        <v>63747</v>
      </c>
      <c r="W15140" t="s">
        <v>46329</v>
      </c>
      <c r="X15140" t="s">
        <v>47328</v>
      </c>
    </row>
    <row r="15141" spans="1:24">
      <c r="A15141">
        <f>HYPERLINK("https://www.philgeps.gov.ph/GEPSNONPILOT/Tender/SplashBidNoticeAbstractUI.aspx?menuIndex=3&amp;refID=7153444&amp;Result=3","7153444")</f>
        <v>0</v>
      </c>
      <c r="B15141" t="s">
        <v>3664</v>
      </c>
      <c r="C15141" t="s">
        <v>18196</v>
      </c>
      <c r="D15141" t="s">
        <v>19031</v>
      </c>
      <c r="E15141" t="s">
        <v>31884</v>
      </c>
      <c r="F15141" t="s">
        <v>32606</v>
      </c>
      <c r="G15141" t="s">
        <v>32613</v>
      </c>
      <c r="H15141" t="s">
        <v>32623</v>
      </c>
      <c r="I15141" t="s">
        <v>17648</v>
      </c>
      <c r="J15141" t="s">
        <v>32778</v>
      </c>
      <c r="K15141" t="s">
        <v>42639</v>
      </c>
      <c r="M15141" t="s">
        <v>46969</v>
      </c>
      <c r="N15141" t="s">
        <v>47304</v>
      </c>
      <c r="O15141" t="s">
        <v>47305</v>
      </c>
      <c r="P15141">
        <v>0</v>
      </c>
      <c r="Q15141">
        <v>0</v>
      </c>
      <c r="R15141" t="s">
        <v>47327</v>
      </c>
      <c r="S15141" t="s">
        <v>48437</v>
      </c>
      <c r="T15141" t="s">
        <v>49018</v>
      </c>
      <c r="U15141" t="s">
        <v>62012</v>
      </c>
      <c r="V15141" t="s">
        <v>64117</v>
      </c>
      <c r="W15141" t="s">
        <v>46969</v>
      </c>
      <c r="X15141" t="s">
        <v>47328</v>
      </c>
    </row>
    <row r="15142" spans="1:24">
      <c r="A15142">
        <f>HYPERLINK("https://www.philgeps.gov.ph/GEPSNONPILOT/Tender/SplashBidNoticeAbstractUI.aspx?menuIndex=3&amp;refID=7153186&amp;Result=3","7153186")</f>
        <v>0</v>
      </c>
      <c r="B15142" t="s">
        <v>2483</v>
      </c>
      <c r="C15142" t="s">
        <v>18197</v>
      </c>
      <c r="D15142" t="s">
        <v>18993</v>
      </c>
      <c r="E15142" t="s">
        <v>31885</v>
      </c>
      <c r="F15142" t="s">
        <v>32606</v>
      </c>
      <c r="G15142" t="s">
        <v>32613</v>
      </c>
      <c r="H15142" t="s">
        <v>14201</v>
      </c>
      <c r="I15142" t="s">
        <v>32633</v>
      </c>
      <c r="J15142" t="s">
        <v>42109</v>
      </c>
      <c r="K15142" t="s">
        <v>42624</v>
      </c>
      <c r="M15142" t="s">
        <v>47042</v>
      </c>
      <c r="N15142" t="s">
        <v>47304</v>
      </c>
      <c r="O15142" t="s">
        <v>47305</v>
      </c>
      <c r="Q15142">
        <v>11</v>
      </c>
      <c r="R15142" t="s">
        <v>47327</v>
      </c>
      <c r="S15142" t="s">
        <v>48454</v>
      </c>
      <c r="T15142" t="s">
        <v>49268</v>
      </c>
      <c r="U15142" t="s">
        <v>62013</v>
      </c>
      <c r="W15142" t="s">
        <v>47042</v>
      </c>
      <c r="X15142" t="s">
        <v>47328</v>
      </c>
    </row>
    <row r="15143" spans="1:24">
      <c r="A15143">
        <f>HYPERLINK("https://www.philgeps.gov.ph/GEPSNONPILOT/Tender/SplashBidNoticeAbstractUI.aspx?menuIndex=3&amp;refID=7153216&amp;Result=3","7153216")</f>
        <v>0</v>
      </c>
      <c r="B15143" t="s">
        <v>3119</v>
      </c>
      <c r="C15143" t="s">
        <v>18198</v>
      </c>
      <c r="D15143" t="s">
        <v>19006</v>
      </c>
      <c r="E15143" t="s">
        <v>31886</v>
      </c>
      <c r="F15143" t="s">
        <v>32606</v>
      </c>
      <c r="G15143" t="s">
        <v>32613</v>
      </c>
      <c r="H15143" t="s">
        <v>32623</v>
      </c>
      <c r="I15143" t="s">
        <v>17648</v>
      </c>
      <c r="J15143" t="s">
        <v>42110</v>
      </c>
      <c r="K15143" t="s">
        <v>42636</v>
      </c>
      <c r="M15143" t="s">
        <v>46329</v>
      </c>
      <c r="N15143" t="s">
        <v>47304</v>
      </c>
      <c r="O15143" t="s">
        <v>47305</v>
      </c>
      <c r="P15143">
        <v>0</v>
      </c>
      <c r="Q15143">
        <v>0</v>
      </c>
      <c r="R15143" t="s">
        <v>47327</v>
      </c>
      <c r="S15143" t="s">
        <v>48437</v>
      </c>
      <c r="T15143" t="s">
        <v>49268</v>
      </c>
      <c r="U15143" t="s">
        <v>62014</v>
      </c>
      <c r="V15143" t="s">
        <v>63747</v>
      </c>
      <c r="W15143" t="s">
        <v>46329</v>
      </c>
      <c r="X15143" t="s">
        <v>47328</v>
      </c>
    </row>
    <row r="15144" spans="1:24">
      <c r="A15144">
        <f>HYPERLINK("https://www.philgeps.gov.ph/GEPSNONPILOT/Tender/SplashBidNoticeAbstractUI.aspx?menuIndex=3&amp;refID=7153329&amp;Result=3","7153329")</f>
        <v>0</v>
      </c>
      <c r="B15144" t="s">
        <v>3664</v>
      </c>
      <c r="C15144" t="s">
        <v>11679</v>
      </c>
      <c r="D15144" t="s">
        <v>19031</v>
      </c>
      <c r="E15144" t="s">
        <v>31887</v>
      </c>
      <c r="F15144" t="s">
        <v>32606</v>
      </c>
      <c r="G15144" t="s">
        <v>32613</v>
      </c>
      <c r="H15144" t="s">
        <v>32623</v>
      </c>
      <c r="I15144" t="s">
        <v>17648</v>
      </c>
      <c r="J15144" t="s">
        <v>32981</v>
      </c>
      <c r="K15144" t="s">
        <v>42627</v>
      </c>
      <c r="M15144" t="s">
        <v>46969</v>
      </c>
      <c r="N15144" t="s">
        <v>47304</v>
      </c>
      <c r="O15144" t="s">
        <v>47305</v>
      </c>
      <c r="P15144">
        <v>0</v>
      </c>
      <c r="Q15144">
        <v>0</v>
      </c>
      <c r="R15144" t="s">
        <v>47327</v>
      </c>
      <c r="S15144" t="s">
        <v>48437</v>
      </c>
      <c r="T15144" t="s">
        <v>49018</v>
      </c>
      <c r="U15144" t="s">
        <v>62015</v>
      </c>
      <c r="V15144" t="s">
        <v>64117</v>
      </c>
      <c r="W15144" t="s">
        <v>46969</v>
      </c>
      <c r="X15144" t="s">
        <v>47328</v>
      </c>
    </row>
    <row r="15145" spans="1:24">
      <c r="A15145">
        <f>HYPERLINK("https://www.philgeps.gov.ph/GEPSNONPILOT/Tender/SplashBidNoticeAbstractUI.aspx?menuIndex=3&amp;refID=7153098&amp;Result=3","7153098")</f>
        <v>0</v>
      </c>
      <c r="B15145" t="s">
        <v>2283</v>
      </c>
      <c r="C15145" t="s">
        <v>18199</v>
      </c>
      <c r="D15145" t="s">
        <v>19022</v>
      </c>
      <c r="E15145" t="s">
        <v>31888</v>
      </c>
      <c r="F15145" t="s">
        <v>32606</v>
      </c>
      <c r="G15145" t="s">
        <v>32613</v>
      </c>
      <c r="H15145" t="s">
        <v>14201</v>
      </c>
      <c r="I15145" t="s">
        <v>32698</v>
      </c>
      <c r="J15145" t="s">
        <v>32813</v>
      </c>
      <c r="K15145" t="s">
        <v>42629</v>
      </c>
      <c r="M15145" t="s">
        <v>47201</v>
      </c>
      <c r="N15145" t="s">
        <v>47304</v>
      </c>
      <c r="O15145" t="s">
        <v>47305</v>
      </c>
      <c r="P15145">
        <v>0</v>
      </c>
      <c r="Q15145">
        <v>0</v>
      </c>
      <c r="R15145" t="s">
        <v>47327</v>
      </c>
      <c r="S15145" t="s">
        <v>48437</v>
      </c>
      <c r="T15145" t="s">
        <v>49257</v>
      </c>
      <c r="U15145" t="s">
        <v>62016</v>
      </c>
      <c r="W15145" t="s">
        <v>47201</v>
      </c>
      <c r="X15145" t="s">
        <v>47328</v>
      </c>
    </row>
    <row r="15146" spans="1:24">
      <c r="A15146">
        <f>HYPERLINK("https://www.philgeps.gov.ph/GEPSNONPILOT/Tender/SplashBidNoticeAbstractUI.aspx?menuIndex=3&amp;refID=7153180&amp;Result=3","7153180")</f>
        <v>0</v>
      </c>
      <c r="B15146" t="s">
        <v>1274</v>
      </c>
      <c r="C15146" t="s">
        <v>18200</v>
      </c>
      <c r="D15146" t="s">
        <v>19005</v>
      </c>
      <c r="E15146" t="s">
        <v>31889</v>
      </c>
      <c r="F15146" t="s">
        <v>32606</v>
      </c>
      <c r="G15146" t="s">
        <v>32613</v>
      </c>
      <c r="H15146" t="s">
        <v>14201</v>
      </c>
      <c r="I15146" t="s">
        <v>6931</v>
      </c>
      <c r="J15146" t="s">
        <v>42111</v>
      </c>
      <c r="K15146" t="s">
        <v>42627</v>
      </c>
      <c r="M15146" t="s">
        <v>44245</v>
      </c>
      <c r="N15146" t="s">
        <v>47304</v>
      </c>
      <c r="O15146" t="s">
        <v>47305</v>
      </c>
      <c r="P15146">
        <v>0</v>
      </c>
      <c r="Q15146">
        <v>1</v>
      </c>
      <c r="R15146" t="s">
        <v>47327</v>
      </c>
      <c r="S15146" t="s">
        <v>48437</v>
      </c>
      <c r="T15146" t="s">
        <v>49072</v>
      </c>
      <c r="U15146" t="s">
        <v>62017</v>
      </c>
      <c r="W15146" t="s">
        <v>44245</v>
      </c>
      <c r="X15146" t="s">
        <v>47328</v>
      </c>
    </row>
    <row r="15147" spans="1:24">
      <c r="A15147">
        <f>HYPERLINK("https://www.philgeps.gov.ph/GEPSNONPILOT/Tender/SplashBidNoticeAbstractUI.aspx?menuIndex=3&amp;refID=7154035&amp;Result=3","7154035")</f>
        <v>0</v>
      </c>
      <c r="B15147" t="s">
        <v>1672</v>
      </c>
      <c r="C15147" t="s">
        <v>18201</v>
      </c>
      <c r="D15147" t="s">
        <v>19019</v>
      </c>
      <c r="E15147" t="s">
        <v>31890</v>
      </c>
      <c r="F15147" t="s">
        <v>32606</v>
      </c>
      <c r="G15147" t="s">
        <v>32613</v>
      </c>
      <c r="H15147" t="s">
        <v>32625</v>
      </c>
      <c r="I15147" t="s">
        <v>32625</v>
      </c>
      <c r="J15147" t="s">
        <v>34207</v>
      </c>
      <c r="K15147" t="s">
        <v>42631</v>
      </c>
      <c r="M15147" t="s">
        <v>44699</v>
      </c>
      <c r="N15147" t="s">
        <v>47304</v>
      </c>
      <c r="O15147" t="s">
        <v>47305</v>
      </c>
      <c r="P15147">
        <v>0</v>
      </c>
      <c r="Q15147">
        <v>3</v>
      </c>
      <c r="R15147" t="s">
        <v>47327</v>
      </c>
      <c r="S15147" t="s">
        <v>48437</v>
      </c>
      <c r="T15147" t="s">
        <v>49023</v>
      </c>
      <c r="U15147" t="s">
        <v>62018</v>
      </c>
      <c r="W15147" t="s">
        <v>44699</v>
      </c>
      <c r="X15147" t="s">
        <v>47328</v>
      </c>
    </row>
    <row r="15148" spans="1:24">
      <c r="A15148">
        <f>HYPERLINK("https://www.philgeps.gov.ph/GEPSNONPILOT/Tender/SplashBidNoticeAbstractUI.aspx?menuIndex=3&amp;refID=7153136&amp;Result=3","7153136")</f>
        <v>0</v>
      </c>
      <c r="B15148" t="s">
        <v>467</v>
      </c>
      <c r="C15148" t="s">
        <v>18202</v>
      </c>
      <c r="E15148" t="s">
        <v>31891</v>
      </c>
      <c r="F15148" t="s">
        <v>32606</v>
      </c>
      <c r="G15148" t="s">
        <v>32613</v>
      </c>
      <c r="H15148" t="s">
        <v>14201</v>
      </c>
      <c r="I15148" t="s">
        <v>32681</v>
      </c>
      <c r="J15148" t="s">
        <v>42112</v>
      </c>
      <c r="K15148" t="s">
        <v>42624</v>
      </c>
      <c r="M15148" t="s">
        <v>44145</v>
      </c>
      <c r="N15148" t="s">
        <v>47304</v>
      </c>
      <c r="O15148" t="s">
        <v>47305</v>
      </c>
      <c r="Q15148">
        <v>7</v>
      </c>
      <c r="R15148" t="s">
        <v>47327</v>
      </c>
      <c r="S15148" t="s">
        <v>47530</v>
      </c>
      <c r="T15148" t="s">
        <v>49522</v>
      </c>
      <c r="U15148" t="s">
        <v>62019</v>
      </c>
      <c r="W15148" t="s">
        <v>44145</v>
      </c>
      <c r="X15148" t="s">
        <v>47328</v>
      </c>
    </row>
    <row r="15149" spans="1:24">
      <c r="A15149">
        <f>HYPERLINK("https://www.philgeps.gov.ph/GEPSNONPILOT/Tender/SplashBidNoticeAbstractUI.aspx?menuIndex=3&amp;refID=7154081&amp;Result=3","7154081")</f>
        <v>0</v>
      </c>
      <c r="B15149" t="s">
        <v>2586</v>
      </c>
      <c r="C15149" t="s">
        <v>18203</v>
      </c>
      <c r="E15149" t="s">
        <v>31892</v>
      </c>
      <c r="F15149" t="s">
        <v>32606</v>
      </c>
      <c r="G15149" t="s">
        <v>32620</v>
      </c>
      <c r="H15149" t="s">
        <v>32625</v>
      </c>
      <c r="I15149" t="s">
        <v>32625</v>
      </c>
      <c r="J15149" t="s">
        <v>42113</v>
      </c>
      <c r="K15149" t="s">
        <v>42624</v>
      </c>
      <c r="M15149" t="s">
        <v>45727</v>
      </c>
      <c r="N15149" t="s">
        <v>47304</v>
      </c>
      <c r="O15149" t="s">
        <v>47305</v>
      </c>
      <c r="P15149">
        <v>0</v>
      </c>
      <c r="Q15149">
        <v>7</v>
      </c>
      <c r="R15149" t="s">
        <v>47327</v>
      </c>
      <c r="S15149" t="s">
        <v>48437</v>
      </c>
      <c r="T15149" t="s">
        <v>49523</v>
      </c>
      <c r="U15149" t="s">
        <v>62020</v>
      </c>
      <c r="W15149" t="s">
        <v>45727</v>
      </c>
      <c r="X15149" t="s">
        <v>47328</v>
      </c>
    </row>
    <row r="15150" spans="1:24">
      <c r="A15150">
        <f>HYPERLINK("https://www.philgeps.gov.ph/GEPSNONPILOT/Tender/SplashBidNoticeAbstractUI.aspx?menuIndex=3&amp;refID=7154016&amp;Result=3","7154016")</f>
        <v>0</v>
      </c>
      <c r="B15150" t="s">
        <v>277</v>
      </c>
      <c r="C15150" t="s">
        <v>18204</v>
      </c>
      <c r="D15150" t="s">
        <v>19092</v>
      </c>
      <c r="E15150" t="s">
        <v>31893</v>
      </c>
      <c r="F15150" t="s">
        <v>32606</v>
      </c>
      <c r="G15150" t="s">
        <v>32613</v>
      </c>
      <c r="H15150" t="s">
        <v>32624</v>
      </c>
      <c r="I15150" t="s">
        <v>32652</v>
      </c>
      <c r="J15150" t="s">
        <v>42114</v>
      </c>
      <c r="K15150" t="s">
        <v>42665</v>
      </c>
      <c r="M15150" t="s">
        <v>43178</v>
      </c>
      <c r="N15150" t="s">
        <v>47304</v>
      </c>
      <c r="O15150" t="s">
        <v>47305</v>
      </c>
      <c r="Q15150">
        <v>1</v>
      </c>
      <c r="R15150" t="s">
        <v>47327</v>
      </c>
      <c r="S15150" t="s">
        <v>48455</v>
      </c>
      <c r="T15150" t="s">
        <v>49023</v>
      </c>
      <c r="U15150" t="s">
        <v>62021</v>
      </c>
      <c r="V15150" t="s">
        <v>64331</v>
      </c>
      <c r="W15150" t="s">
        <v>64468</v>
      </c>
      <c r="X15150" t="s">
        <v>47328</v>
      </c>
    </row>
    <row r="15151" spans="1:24">
      <c r="A15151">
        <f>HYPERLINK("https://www.philgeps.gov.ph/GEPSNONPILOT/Tender/SplashBidNoticeAbstractUI.aspx?menuIndex=3&amp;refID=7153994&amp;Result=3","7153994")</f>
        <v>0</v>
      </c>
      <c r="B15151" t="s">
        <v>616</v>
      </c>
      <c r="C15151" t="s">
        <v>18205</v>
      </c>
      <c r="D15151" t="s">
        <v>18989</v>
      </c>
      <c r="E15151" t="s">
        <v>31894</v>
      </c>
      <c r="F15151" t="s">
        <v>32606</v>
      </c>
      <c r="G15151" t="s">
        <v>32613</v>
      </c>
      <c r="H15151" t="s">
        <v>14201</v>
      </c>
      <c r="I15151" t="s">
        <v>32655</v>
      </c>
      <c r="J15151" t="s">
        <v>33829</v>
      </c>
      <c r="K15151" t="s">
        <v>42624</v>
      </c>
      <c r="M15151" t="s">
        <v>43604</v>
      </c>
      <c r="N15151" t="s">
        <v>47304</v>
      </c>
      <c r="O15151" t="s">
        <v>47305</v>
      </c>
      <c r="P15151">
        <v>0</v>
      </c>
      <c r="Q15151">
        <v>14</v>
      </c>
      <c r="R15151" t="s">
        <v>47327</v>
      </c>
      <c r="S15151" t="s">
        <v>48437</v>
      </c>
      <c r="T15151" t="s">
        <v>49335</v>
      </c>
      <c r="U15151" t="s">
        <v>62022</v>
      </c>
      <c r="W15151" t="s">
        <v>43604</v>
      </c>
      <c r="X15151" t="s">
        <v>47328</v>
      </c>
    </row>
    <row r="15152" spans="1:24">
      <c r="A15152">
        <f>HYPERLINK("https://www.philgeps.gov.ph/GEPSNONPILOT/Tender/SplashBidNoticeAbstractUI.aspx?menuIndex=3&amp;refID=7153961&amp;Result=3","7153961")</f>
        <v>0</v>
      </c>
      <c r="B15152" t="s">
        <v>3119</v>
      </c>
      <c r="C15152" t="s">
        <v>18206</v>
      </c>
      <c r="D15152" t="s">
        <v>19006</v>
      </c>
      <c r="E15152" t="s">
        <v>31895</v>
      </c>
      <c r="F15152" t="s">
        <v>32606</v>
      </c>
      <c r="G15152" t="s">
        <v>32613</v>
      </c>
      <c r="H15152" t="s">
        <v>32623</v>
      </c>
      <c r="I15152" t="s">
        <v>32661</v>
      </c>
      <c r="J15152" t="s">
        <v>42115</v>
      </c>
      <c r="K15152" t="s">
        <v>42719</v>
      </c>
      <c r="M15152" t="s">
        <v>46329</v>
      </c>
      <c r="N15152" t="s">
        <v>47304</v>
      </c>
      <c r="O15152" t="s">
        <v>47305</v>
      </c>
      <c r="P15152">
        <v>0</v>
      </c>
      <c r="Q15152">
        <v>3</v>
      </c>
      <c r="R15152" t="s">
        <v>47327</v>
      </c>
      <c r="S15152" t="s">
        <v>48437</v>
      </c>
      <c r="T15152" t="s">
        <v>49268</v>
      </c>
      <c r="U15152" t="s">
        <v>62023</v>
      </c>
      <c r="V15152" t="s">
        <v>63747</v>
      </c>
      <c r="W15152" t="s">
        <v>46329</v>
      </c>
      <c r="X15152" t="s">
        <v>47328</v>
      </c>
    </row>
    <row r="15153" spans="1:24">
      <c r="A15153">
        <f>HYPERLINK("https://www.philgeps.gov.ph/GEPSNONPILOT/Tender/SplashBidNoticeAbstractUI.aspx?menuIndex=3&amp;refID=7158355&amp;Result=3","7158355")</f>
        <v>0</v>
      </c>
      <c r="B15153" t="s">
        <v>1785</v>
      </c>
      <c r="C15153" t="s">
        <v>18207</v>
      </c>
      <c r="D15153" t="s">
        <v>19003</v>
      </c>
      <c r="E15153" t="s">
        <v>31896</v>
      </c>
      <c r="F15153" t="s">
        <v>32606</v>
      </c>
      <c r="G15153" t="s">
        <v>32613</v>
      </c>
      <c r="H15153" t="s">
        <v>32625</v>
      </c>
      <c r="I15153" t="s">
        <v>32625</v>
      </c>
      <c r="J15153" t="s">
        <v>42116</v>
      </c>
      <c r="K15153" t="s">
        <v>42622</v>
      </c>
      <c r="M15153" t="s">
        <v>46546</v>
      </c>
      <c r="N15153" t="s">
        <v>47304</v>
      </c>
      <c r="O15153" t="s">
        <v>47305</v>
      </c>
      <c r="P15153">
        <v>0</v>
      </c>
      <c r="Q15153">
        <v>6</v>
      </c>
      <c r="R15153" t="s">
        <v>47326</v>
      </c>
      <c r="S15153" t="s">
        <v>48346</v>
      </c>
      <c r="T15153" t="s">
        <v>49087</v>
      </c>
      <c r="U15153" t="s">
        <v>62024</v>
      </c>
      <c r="W15153" t="s">
        <v>46546</v>
      </c>
      <c r="X15153" t="s">
        <v>47327</v>
      </c>
    </row>
    <row r="15154" spans="1:24">
      <c r="A15154">
        <f>HYPERLINK("https://www.philgeps.gov.ph/GEPSNONPILOT/Tender/SplashBidNoticeAbstractUI.aspx?menuIndex=3&amp;refID=7153935&amp;Result=3","7153935")</f>
        <v>0</v>
      </c>
      <c r="B15154" t="s">
        <v>3062</v>
      </c>
      <c r="C15154" t="s">
        <v>18208</v>
      </c>
      <c r="D15154" t="s">
        <v>19042</v>
      </c>
      <c r="E15154" t="s">
        <v>31897</v>
      </c>
      <c r="F15154" t="s">
        <v>32606</v>
      </c>
      <c r="G15154" t="s">
        <v>32613</v>
      </c>
      <c r="H15154" t="s">
        <v>14201</v>
      </c>
      <c r="I15154" t="s">
        <v>7064</v>
      </c>
      <c r="J15154" t="s">
        <v>41191</v>
      </c>
      <c r="K15154" t="s">
        <v>42630</v>
      </c>
      <c r="M15154" t="s">
        <v>46260</v>
      </c>
      <c r="N15154" t="s">
        <v>47304</v>
      </c>
      <c r="O15154" t="s">
        <v>47305</v>
      </c>
      <c r="P15154">
        <v>0</v>
      </c>
      <c r="Q15154">
        <v>1</v>
      </c>
      <c r="R15154" t="s">
        <v>47327</v>
      </c>
      <c r="S15154" t="s">
        <v>48437</v>
      </c>
      <c r="T15154" t="s">
        <v>49012</v>
      </c>
      <c r="U15154" t="s">
        <v>62025</v>
      </c>
      <c r="V15154" t="s">
        <v>64332</v>
      </c>
      <c r="W15154" t="s">
        <v>46260</v>
      </c>
      <c r="X15154" t="s">
        <v>47328</v>
      </c>
    </row>
    <row r="15155" spans="1:24">
      <c r="A15155">
        <f>HYPERLINK("https://www.philgeps.gov.ph/GEPSNONPILOT/Tender/SplashBidNoticeAbstractUI.aspx?menuIndex=3&amp;refID=7152720&amp;Result=3","7152720")</f>
        <v>0</v>
      </c>
      <c r="B15155" t="s">
        <v>1360</v>
      </c>
      <c r="C15155" t="s">
        <v>18209</v>
      </c>
      <c r="D15155" t="s">
        <v>19042</v>
      </c>
      <c r="E15155" t="s">
        <v>31898</v>
      </c>
      <c r="F15155" t="s">
        <v>32606</v>
      </c>
      <c r="G15155" t="s">
        <v>32613</v>
      </c>
      <c r="H15155" t="s">
        <v>32623</v>
      </c>
      <c r="I15155" t="s">
        <v>17648</v>
      </c>
      <c r="J15155" t="s">
        <v>42117</v>
      </c>
      <c r="K15155" t="s">
        <v>42648</v>
      </c>
      <c r="M15155" t="s">
        <v>44336</v>
      </c>
      <c r="N15155" t="s">
        <v>47304</v>
      </c>
      <c r="O15155" t="s">
        <v>47305</v>
      </c>
      <c r="Q15155">
        <v>0</v>
      </c>
      <c r="R15155" t="s">
        <v>47327</v>
      </c>
      <c r="S15155" t="s">
        <v>48042</v>
      </c>
      <c r="T15155" t="s">
        <v>48998</v>
      </c>
      <c r="U15155" t="s">
        <v>62026</v>
      </c>
      <c r="W15155" t="s">
        <v>44336</v>
      </c>
      <c r="X15155" t="s">
        <v>47328</v>
      </c>
    </row>
    <row r="15156" spans="1:24">
      <c r="A15156">
        <f>HYPERLINK("https://www.philgeps.gov.ph/GEPSNONPILOT/Tender/SplashBidNoticeAbstractUI.aspx?menuIndex=3&amp;refID=7153928&amp;Result=3","7153928")</f>
        <v>0</v>
      </c>
      <c r="B15156" t="s">
        <v>3119</v>
      </c>
      <c r="C15156" t="s">
        <v>18210</v>
      </c>
      <c r="D15156" t="s">
        <v>19006</v>
      </c>
      <c r="E15156" t="s">
        <v>31899</v>
      </c>
      <c r="F15156" t="s">
        <v>32606</v>
      </c>
      <c r="G15156" t="s">
        <v>32613</v>
      </c>
      <c r="H15156" t="s">
        <v>32623</v>
      </c>
      <c r="I15156" t="s">
        <v>17648</v>
      </c>
      <c r="J15156" t="s">
        <v>42118</v>
      </c>
      <c r="K15156" t="s">
        <v>42636</v>
      </c>
      <c r="M15156" t="s">
        <v>46329</v>
      </c>
      <c r="N15156" t="s">
        <v>47304</v>
      </c>
      <c r="O15156" t="s">
        <v>47305</v>
      </c>
      <c r="P15156">
        <v>0</v>
      </c>
      <c r="Q15156">
        <v>0</v>
      </c>
      <c r="R15156" t="s">
        <v>47327</v>
      </c>
      <c r="S15156" t="s">
        <v>48437</v>
      </c>
      <c r="T15156" t="s">
        <v>49268</v>
      </c>
      <c r="U15156" t="s">
        <v>62023</v>
      </c>
      <c r="V15156" t="s">
        <v>63747</v>
      </c>
      <c r="W15156" t="s">
        <v>46329</v>
      </c>
      <c r="X15156" t="s">
        <v>47328</v>
      </c>
    </row>
    <row r="15157" spans="1:24">
      <c r="A15157">
        <f>HYPERLINK("https://www.philgeps.gov.ph/GEPSNONPILOT/Tender/SplashBidNoticeAbstractUI.aspx?menuIndex=3&amp;refID=7153920&amp;Result=3","7153920")</f>
        <v>0</v>
      </c>
      <c r="B15157" t="s">
        <v>1687</v>
      </c>
      <c r="C15157" t="s">
        <v>18211</v>
      </c>
      <c r="D15157" t="s">
        <v>19008</v>
      </c>
      <c r="E15157" t="s">
        <v>31900</v>
      </c>
      <c r="F15157" t="s">
        <v>32606</v>
      </c>
      <c r="G15157" t="s">
        <v>32613</v>
      </c>
      <c r="H15157" t="s">
        <v>32623</v>
      </c>
      <c r="I15157" t="s">
        <v>17648</v>
      </c>
      <c r="J15157" t="s">
        <v>33940</v>
      </c>
      <c r="K15157" t="s">
        <v>42809</v>
      </c>
      <c r="M15157" t="s">
        <v>44716</v>
      </c>
      <c r="N15157" t="s">
        <v>47304</v>
      </c>
      <c r="O15157" t="s">
        <v>47305</v>
      </c>
      <c r="Q15157">
        <v>2</v>
      </c>
      <c r="R15157" t="s">
        <v>47327</v>
      </c>
      <c r="S15157" t="s">
        <v>48456</v>
      </c>
      <c r="T15157" t="s">
        <v>49002</v>
      </c>
      <c r="U15157" t="s">
        <v>62027</v>
      </c>
      <c r="W15157" t="s">
        <v>44716</v>
      </c>
      <c r="X15157" t="s">
        <v>47328</v>
      </c>
    </row>
    <row r="15158" spans="1:24">
      <c r="A15158">
        <f>HYPERLINK("https://www.philgeps.gov.ph/GEPSNONPILOT/Tender/SplashBidNoticeAbstractUI.aspx?menuIndex=3&amp;refID=7153863&amp;Result=3","7153863")</f>
        <v>0</v>
      </c>
      <c r="B15158" t="s">
        <v>3119</v>
      </c>
      <c r="C15158" t="s">
        <v>18212</v>
      </c>
      <c r="D15158" t="s">
        <v>19006</v>
      </c>
      <c r="E15158" t="s">
        <v>31901</v>
      </c>
      <c r="F15158" t="s">
        <v>32606</v>
      </c>
      <c r="G15158" t="s">
        <v>32613</v>
      </c>
      <c r="H15158" t="s">
        <v>32623</v>
      </c>
      <c r="I15158" t="s">
        <v>17648</v>
      </c>
      <c r="J15158" t="s">
        <v>42119</v>
      </c>
      <c r="K15158" t="s">
        <v>42636</v>
      </c>
      <c r="M15158" t="s">
        <v>46329</v>
      </c>
      <c r="N15158" t="s">
        <v>47304</v>
      </c>
      <c r="O15158" t="s">
        <v>47305</v>
      </c>
      <c r="P15158">
        <v>0</v>
      </c>
      <c r="Q15158">
        <v>0</v>
      </c>
      <c r="R15158" t="s">
        <v>47327</v>
      </c>
      <c r="S15158" t="s">
        <v>48437</v>
      </c>
      <c r="T15158" t="s">
        <v>49268</v>
      </c>
      <c r="U15158" t="s">
        <v>62009</v>
      </c>
      <c r="V15158" t="s">
        <v>63747</v>
      </c>
      <c r="W15158" t="s">
        <v>46329</v>
      </c>
      <c r="X15158" t="s">
        <v>47328</v>
      </c>
    </row>
    <row r="15159" spans="1:24">
      <c r="A15159">
        <f>HYPERLINK("https://www.philgeps.gov.ph/GEPSNONPILOT/Tender/SplashBidNoticeAbstractUI.aspx?menuIndex=3&amp;refID=7154000&amp;Result=3","7154000")</f>
        <v>0</v>
      </c>
      <c r="B15159" t="s">
        <v>1500</v>
      </c>
      <c r="C15159" t="s">
        <v>18213</v>
      </c>
      <c r="D15159" t="s">
        <v>19036</v>
      </c>
      <c r="E15159" t="s">
        <v>31902</v>
      </c>
      <c r="F15159" t="s">
        <v>32606</v>
      </c>
      <c r="G15159" t="s">
        <v>32613</v>
      </c>
      <c r="H15159" t="s">
        <v>14201</v>
      </c>
      <c r="I15159" t="s">
        <v>4121</v>
      </c>
      <c r="J15159" t="s">
        <v>33039</v>
      </c>
      <c r="K15159" t="s">
        <v>42636</v>
      </c>
      <c r="M15159" t="s">
        <v>44496</v>
      </c>
      <c r="N15159" t="s">
        <v>47304</v>
      </c>
      <c r="O15159" t="s">
        <v>47305</v>
      </c>
      <c r="Q15159">
        <v>5</v>
      </c>
      <c r="R15159" t="s">
        <v>47327</v>
      </c>
      <c r="S15159" t="s">
        <v>48051</v>
      </c>
      <c r="T15159" t="s">
        <v>49347</v>
      </c>
      <c r="U15159" t="s">
        <v>62028</v>
      </c>
      <c r="W15159" t="s">
        <v>44496</v>
      </c>
      <c r="X15159" t="s">
        <v>47328</v>
      </c>
    </row>
    <row r="15160" spans="1:24">
      <c r="A15160">
        <f>HYPERLINK("https://www.philgeps.gov.ph/GEPSNONPILOT/Tender/SplashBidNoticeAbstractUI.aspx?menuIndex=3&amp;refID=7153889&amp;Result=3","7153889")</f>
        <v>0</v>
      </c>
      <c r="B15160" t="s">
        <v>3119</v>
      </c>
      <c r="C15160" t="s">
        <v>18214</v>
      </c>
      <c r="D15160" t="s">
        <v>19006</v>
      </c>
      <c r="E15160" t="s">
        <v>31903</v>
      </c>
      <c r="F15160" t="s">
        <v>32606</v>
      </c>
      <c r="G15160" t="s">
        <v>32613</v>
      </c>
      <c r="H15160" t="s">
        <v>32623</v>
      </c>
      <c r="I15160" t="s">
        <v>32661</v>
      </c>
      <c r="J15160" t="s">
        <v>42120</v>
      </c>
      <c r="K15160" t="s">
        <v>42719</v>
      </c>
      <c r="M15160" t="s">
        <v>46329</v>
      </c>
      <c r="N15160" t="s">
        <v>47304</v>
      </c>
      <c r="O15160" t="s">
        <v>47305</v>
      </c>
      <c r="P15160">
        <v>0</v>
      </c>
      <c r="Q15160">
        <v>4</v>
      </c>
      <c r="R15160" t="s">
        <v>47327</v>
      </c>
      <c r="S15160" t="s">
        <v>48437</v>
      </c>
      <c r="T15160" t="s">
        <v>49268</v>
      </c>
      <c r="U15160" t="s">
        <v>62023</v>
      </c>
      <c r="V15160" t="s">
        <v>63747</v>
      </c>
      <c r="W15160" t="s">
        <v>46329</v>
      </c>
      <c r="X15160" t="s">
        <v>47328</v>
      </c>
    </row>
    <row r="15161" spans="1:24">
      <c r="A15161">
        <f>HYPERLINK("https://www.philgeps.gov.ph/GEPSNONPILOT/Tender/SplashBidNoticeAbstractUI.aspx?menuIndex=3&amp;refID=7153815&amp;Result=3","7153815")</f>
        <v>0</v>
      </c>
      <c r="B15161" t="s">
        <v>3202</v>
      </c>
      <c r="C15161" t="s">
        <v>18215</v>
      </c>
      <c r="D15161" t="s">
        <v>19008</v>
      </c>
      <c r="E15161" t="s">
        <v>31904</v>
      </c>
      <c r="F15161" t="s">
        <v>32606</v>
      </c>
      <c r="G15161" t="s">
        <v>32613</v>
      </c>
      <c r="H15161" t="s">
        <v>14201</v>
      </c>
      <c r="I15161" t="s">
        <v>4120</v>
      </c>
      <c r="J15161" t="s">
        <v>42121</v>
      </c>
      <c r="K15161" t="s">
        <v>42631</v>
      </c>
      <c r="M15161" t="s">
        <v>46428</v>
      </c>
      <c r="N15161" t="s">
        <v>47304</v>
      </c>
      <c r="O15161" t="s">
        <v>47305</v>
      </c>
      <c r="P15161">
        <v>0</v>
      </c>
      <c r="Q15161">
        <v>2</v>
      </c>
      <c r="R15161" t="s">
        <v>47327</v>
      </c>
      <c r="S15161" t="s">
        <v>48437</v>
      </c>
      <c r="T15161" t="s">
        <v>49268</v>
      </c>
      <c r="U15161" t="s">
        <v>62029</v>
      </c>
      <c r="W15161" t="s">
        <v>46428</v>
      </c>
      <c r="X15161" t="s">
        <v>47328</v>
      </c>
    </row>
    <row r="15162" spans="1:24">
      <c r="A15162">
        <f>HYPERLINK("https://www.philgeps.gov.ph/GEPSNONPILOT/Tender/SplashBidNoticeAbstractUI.aspx?menuIndex=3&amp;refID=7153837&amp;Result=3","7153837")</f>
        <v>0</v>
      </c>
      <c r="B15162" t="s">
        <v>3202</v>
      </c>
      <c r="C15162" t="s">
        <v>18216</v>
      </c>
      <c r="D15162" t="s">
        <v>19008</v>
      </c>
      <c r="E15162" t="s">
        <v>31905</v>
      </c>
      <c r="F15162" t="s">
        <v>32606</v>
      </c>
      <c r="G15162" t="s">
        <v>32613</v>
      </c>
      <c r="H15162" t="s">
        <v>14201</v>
      </c>
      <c r="I15162" t="s">
        <v>4120</v>
      </c>
      <c r="J15162" t="s">
        <v>36119</v>
      </c>
      <c r="K15162" t="s">
        <v>42631</v>
      </c>
      <c r="M15162" t="s">
        <v>46428</v>
      </c>
      <c r="N15162" t="s">
        <v>47304</v>
      </c>
      <c r="O15162" t="s">
        <v>47305</v>
      </c>
      <c r="P15162">
        <v>0</v>
      </c>
      <c r="Q15162">
        <v>4</v>
      </c>
      <c r="R15162" t="s">
        <v>47327</v>
      </c>
      <c r="S15162" t="s">
        <v>48437</v>
      </c>
      <c r="T15162" t="s">
        <v>49268</v>
      </c>
      <c r="U15162" t="s">
        <v>62030</v>
      </c>
      <c r="W15162" t="s">
        <v>46428</v>
      </c>
      <c r="X15162" t="s">
        <v>47328</v>
      </c>
    </row>
    <row r="15163" spans="1:24">
      <c r="A15163">
        <f>HYPERLINK("https://www.philgeps.gov.ph/GEPSNONPILOT/Tender/SplashBidNoticeAbstractUI.aspx?menuIndex=3&amp;refID=7153796&amp;Result=3","7153796")</f>
        <v>0</v>
      </c>
      <c r="B15163" t="s">
        <v>3119</v>
      </c>
      <c r="C15163" t="s">
        <v>18217</v>
      </c>
      <c r="D15163" t="s">
        <v>19006</v>
      </c>
      <c r="E15163" t="s">
        <v>31906</v>
      </c>
      <c r="F15163" t="s">
        <v>32606</v>
      </c>
      <c r="G15163" t="s">
        <v>32613</v>
      </c>
      <c r="H15163" t="s">
        <v>32623</v>
      </c>
      <c r="I15163" t="s">
        <v>17648</v>
      </c>
      <c r="J15163" t="s">
        <v>42122</v>
      </c>
      <c r="K15163" t="s">
        <v>42636</v>
      </c>
      <c r="M15163" t="s">
        <v>46329</v>
      </c>
      <c r="N15163" t="s">
        <v>47304</v>
      </c>
      <c r="O15163" t="s">
        <v>47305</v>
      </c>
      <c r="P15163">
        <v>0</v>
      </c>
      <c r="Q15163">
        <v>0</v>
      </c>
      <c r="R15163" t="s">
        <v>47327</v>
      </c>
      <c r="S15163" t="s">
        <v>48437</v>
      </c>
      <c r="T15163" t="s">
        <v>49268</v>
      </c>
      <c r="U15163" t="s">
        <v>62009</v>
      </c>
      <c r="V15163" t="s">
        <v>63747</v>
      </c>
      <c r="W15163" t="s">
        <v>46329</v>
      </c>
      <c r="X15163" t="s">
        <v>47328</v>
      </c>
    </row>
    <row r="15164" spans="1:24">
      <c r="A15164">
        <f>HYPERLINK("https://www.philgeps.gov.ph/GEPSNONPILOT/Tender/SplashBidNoticeAbstractUI.aspx?menuIndex=3&amp;refID=7153761&amp;Result=3","7153761")</f>
        <v>0</v>
      </c>
      <c r="B15164" t="s">
        <v>2126</v>
      </c>
      <c r="C15164" t="s">
        <v>18218</v>
      </c>
      <c r="D15164" t="s">
        <v>19016</v>
      </c>
      <c r="E15164" t="s">
        <v>31907</v>
      </c>
      <c r="F15164" t="s">
        <v>32606</v>
      </c>
      <c r="G15164" t="s">
        <v>32613</v>
      </c>
      <c r="H15164" t="s">
        <v>14201</v>
      </c>
      <c r="I15164" t="s">
        <v>32650</v>
      </c>
      <c r="J15164" t="s">
        <v>42123</v>
      </c>
      <c r="K15164" t="s">
        <v>42631</v>
      </c>
      <c r="M15164" t="s">
        <v>47208</v>
      </c>
      <c r="N15164" t="s">
        <v>47304</v>
      </c>
      <c r="O15164" t="s">
        <v>47305</v>
      </c>
      <c r="Q15164">
        <v>3</v>
      </c>
      <c r="R15164" t="s">
        <v>47327</v>
      </c>
      <c r="S15164" t="s">
        <v>48457</v>
      </c>
      <c r="T15164" t="s">
        <v>49071</v>
      </c>
      <c r="U15164" t="s">
        <v>62031</v>
      </c>
      <c r="W15164" t="s">
        <v>47208</v>
      </c>
      <c r="X15164" t="s">
        <v>47328</v>
      </c>
    </row>
    <row r="15165" spans="1:24">
      <c r="A15165">
        <f>HYPERLINK("https://www.philgeps.gov.ph/GEPSNONPILOT/Tender/SplashBidNoticeAbstractUI.aspx?menuIndex=3&amp;refID=7153811&amp;Result=3","7153811")</f>
        <v>0</v>
      </c>
      <c r="B15165" t="s">
        <v>243</v>
      </c>
      <c r="C15165" t="s">
        <v>18219</v>
      </c>
      <c r="D15165" t="s">
        <v>19027</v>
      </c>
      <c r="E15165" t="s">
        <v>31908</v>
      </c>
      <c r="F15165" t="s">
        <v>32606</v>
      </c>
      <c r="G15165" t="s">
        <v>32613</v>
      </c>
      <c r="H15165" t="s">
        <v>14201</v>
      </c>
      <c r="I15165" t="s">
        <v>7064</v>
      </c>
      <c r="J15165" t="s">
        <v>42124</v>
      </c>
      <c r="K15165" t="s">
        <v>42624</v>
      </c>
      <c r="M15165" t="s">
        <v>44391</v>
      </c>
      <c r="N15165" t="s">
        <v>47304</v>
      </c>
      <c r="O15165" t="s">
        <v>47305</v>
      </c>
      <c r="P15165">
        <v>0</v>
      </c>
      <c r="Q15165">
        <v>0</v>
      </c>
      <c r="R15165" t="s">
        <v>47327</v>
      </c>
      <c r="S15165" t="s">
        <v>48437</v>
      </c>
      <c r="T15165" t="s">
        <v>49268</v>
      </c>
      <c r="U15165" t="s">
        <v>62032</v>
      </c>
      <c r="W15165" t="s">
        <v>64471</v>
      </c>
      <c r="X15165" t="s">
        <v>47328</v>
      </c>
    </row>
    <row r="15166" spans="1:24">
      <c r="A15166">
        <f>HYPERLINK("https://www.philgeps.gov.ph/GEPSNONPILOT/Tender/SplashBidNoticeAbstractUI.aspx?menuIndex=3&amp;refID=7152645&amp;Result=3","7152645")</f>
        <v>0</v>
      </c>
      <c r="B15166" t="s">
        <v>243</v>
      </c>
      <c r="C15166" t="s">
        <v>18220</v>
      </c>
      <c r="D15166" t="s">
        <v>19027</v>
      </c>
      <c r="E15166" t="s">
        <v>31909</v>
      </c>
      <c r="F15166" t="s">
        <v>32606</v>
      </c>
      <c r="G15166" t="s">
        <v>32613</v>
      </c>
      <c r="H15166" t="s">
        <v>32623</v>
      </c>
      <c r="I15166" t="s">
        <v>17648</v>
      </c>
      <c r="J15166" t="s">
        <v>35368</v>
      </c>
      <c r="K15166" t="s">
        <v>42648</v>
      </c>
      <c r="M15166" t="s">
        <v>44391</v>
      </c>
      <c r="N15166" t="s">
        <v>47304</v>
      </c>
      <c r="O15166" t="s">
        <v>47305</v>
      </c>
      <c r="P15166">
        <v>0</v>
      </c>
      <c r="Q15166">
        <v>0</v>
      </c>
      <c r="R15166" t="s">
        <v>47327</v>
      </c>
      <c r="S15166" t="s">
        <v>48437</v>
      </c>
      <c r="T15166" t="s">
        <v>49268</v>
      </c>
      <c r="U15166" t="s">
        <v>62033</v>
      </c>
      <c r="W15166" t="s">
        <v>64471</v>
      </c>
      <c r="X15166" t="s">
        <v>47328</v>
      </c>
    </row>
    <row r="15167" spans="1:24">
      <c r="A15167">
        <f>HYPERLINK("https://www.philgeps.gov.ph/GEPSNONPILOT/Tender/SplashBidNoticeAbstractUI.aspx?menuIndex=3&amp;refID=7153769&amp;Result=3","7153769")</f>
        <v>0</v>
      </c>
      <c r="B15167" t="s">
        <v>3062</v>
      </c>
      <c r="C15167" t="s">
        <v>18221</v>
      </c>
      <c r="D15167" t="s">
        <v>19042</v>
      </c>
      <c r="E15167" t="s">
        <v>31910</v>
      </c>
      <c r="F15167" t="s">
        <v>32606</v>
      </c>
      <c r="G15167" t="s">
        <v>32613</v>
      </c>
      <c r="H15167" t="s">
        <v>14201</v>
      </c>
      <c r="I15167" t="s">
        <v>7064</v>
      </c>
      <c r="J15167" t="s">
        <v>42125</v>
      </c>
      <c r="K15167" t="s">
        <v>42630</v>
      </c>
      <c r="M15167" t="s">
        <v>46260</v>
      </c>
      <c r="N15167" t="s">
        <v>47304</v>
      </c>
      <c r="O15167" t="s">
        <v>47305</v>
      </c>
      <c r="P15167">
        <v>0</v>
      </c>
      <c r="Q15167">
        <v>1</v>
      </c>
      <c r="R15167" t="s">
        <v>47327</v>
      </c>
      <c r="S15167" t="s">
        <v>48437</v>
      </c>
      <c r="T15167" t="s">
        <v>49012</v>
      </c>
      <c r="U15167" t="s">
        <v>62034</v>
      </c>
      <c r="V15167" t="s">
        <v>63707</v>
      </c>
      <c r="W15167" t="s">
        <v>46260</v>
      </c>
      <c r="X15167" t="s">
        <v>47328</v>
      </c>
    </row>
    <row r="15168" spans="1:24">
      <c r="A15168">
        <f>HYPERLINK("https://www.philgeps.gov.ph/GEPSNONPILOT/Tender/SplashBidNoticeAbstractUI.aspx?menuIndex=3&amp;refID=7154068&amp;Result=3","7154068")</f>
        <v>0</v>
      </c>
      <c r="B15168" t="s">
        <v>3119</v>
      </c>
      <c r="C15168" t="s">
        <v>18222</v>
      </c>
      <c r="D15168" t="s">
        <v>19006</v>
      </c>
      <c r="E15168" t="s">
        <v>31911</v>
      </c>
      <c r="F15168" t="s">
        <v>32606</v>
      </c>
      <c r="G15168" t="s">
        <v>32613</v>
      </c>
      <c r="H15168" t="s">
        <v>32623</v>
      </c>
      <c r="I15168" t="s">
        <v>17648</v>
      </c>
      <c r="J15168" t="s">
        <v>42126</v>
      </c>
      <c r="K15168" t="s">
        <v>42636</v>
      </c>
      <c r="M15168" t="s">
        <v>46329</v>
      </c>
      <c r="N15168" t="s">
        <v>47304</v>
      </c>
      <c r="O15168" t="s">
        <v>47305</v>
      </c>
      <c r="P15168">
        <v>0</v>
      </c>
      <c r="Q15168">
        <v>1</v>
      </c>
      <c r="R15168" t="s">
        <v>47327</v>
      </c>
      <c r="S15168" t="s">
        <v>48437</v>
      </c>
      <c r="T15168" t="s">
        <v>48998</v>
      </c>
      <c r="U15168" t="s">
        <v>62023</v>
      </c>
      <c r="V15168" t="s">
        <v>63747</v>
      </c>
      <c r="W15168" t="s">
        <v>46329</v>
      </c>
      <c r="X15168" t="s">
        <v>47328</v>
      </c>
    </row>
    <row r="15169" spans="1:24">
      <c r="A15169">
        <f>HYPERLINK("https://www.philgeps.gov.ph/GEPSNONPILOT/Tender/SplashBidNoticeAbstractUI.aspx?menuIndex=3&amp;refID=7152695&amp;Result=3","7152695")</f>
        <v>0</v>
      </c>
      <c r="B15169" t="s">
        <v>1014</v>
      </c>
      <c r="C15169" t="s">
        <v>18223</v>
      </c>
      <c r="D15169" t="s">
        <v>18989</v>
      </c>
      <c r="E15169" t="s">
        <v>31912</v>
      </c>
      <c r="F15169" t="s">
        <v>32606</v>
      </c>
      <c r="G15169" t="s">
        <v>32614</v>
      </c>
      <c r="H15169" t="s">
        <v>14201</v>
      </c>
      <c r="I15169" t="s">
        <v>4114</v>
      </c>
      <c r="J15169" t="s">
        <v>42127</v>
      </c>
      <c r="K15169" t="s">
        <v>42677</v>
      </c>
      <c r="L15169" t="s">
        <v>1014</v>
      </c>
      <c r="M15169" t="s">
        <v>43962</v>
      </c>
      <c r="N15169" t="s">
        <v>47304</v>
      </c>
      <c r="O15169" t="s">
        <v>47305</v>
      </c>
      <c r="Q15169">
        <v>8</v>
      </c>
      <c r="R15169" t="s">
        <v>47327</v>
      </c>
      <c r="S15169" t="s">
        <v>48458</v>
      </c>
      <c r="T15169" t="s">
        <v>49158</v>
      </c>
      <c r="U15169" t="s">
        <v>51580</v>
      </c>
      <c r="W15169" t="s">
        <v>43962</v>
      </c>
      <c r="X15169" t="s">
        <v>47328</v>
      </c>
    </row>
    <row r="15170" spans="1:24">
      <c r="A15170">
        <f>HYPERLINK("https://www.philgeps.gov.ph/GEPSNONPILOT/Tender/SplashBidNoticeAbstractUI.aspx?menuIndex=3&amp;refID=7150243&amp;Result=3","7150243")</f>
        <v>0</v>
      </c>
      <c r="B15170" t="s">
        <v>2481</v>
      </c>
      <c r="C15170" t="s">
        <v>18224</v>
      </c>
      <c r="D15170" t="s">
        <v>19007</v>
      </c>
      <c r="E15170" t="s">
        <v>31913</v>
      </c>
      <c r="F15170" t="s">
        <v>32606</v>
      </c>
      <c r="G15170" t="s">
        <v>32613</v>
      </c>
      <c r="H15170" t="s">
        <v>32623</v>
      </c>
      <c r="I15170" t="s">
        <v>17648</v>
      </c>
      <c r="J15170" t="s">
        <v>42128</v>
      </c>
      <c r="K15170" t="s">
        <v>42636</v>
      </c>
      <c r="M15170" t="s">
        <v>45618</v>
      </c>
      <c r="N15170" t="s">
        <v>47304</v>
      </c>
      <c r="O15170" t="s">
        <v>47305</v>
      </c>
      <c r="P15170">
        <v>0</v>
      </c>
      <c r="Q15170">
        <v>1</v>
      </c>
      <c r="R15170" t="s">
        <v>47327</v>
      </c>
      <c r="S15170" t="s">
        <v>48437</v>
      </c>
      <c r="T15170" t="s">
        <v>49315</v>
      </c>
      <c r="U15170" t="s">
        <v>62035</v>
      </c>
      <c r="W15170" t="s">
        <v>45618</v>
      </c>
      <c r="X15170" t="s">
        <v>47329</v>
      </c>
    </row>
    <row r="15171" spans="1:24">
      <c r="A15171">
        <f>HYPERLINK("https://www.philgeps.gov.ph/GEPSNONPILOT/Tender/SplashBidNoticeAbstractUI.aspx?menuIndex=3&amp;refID=7150344&amp;Result=3","7150344")</f>
        <v>0</v>
      </c>
      <c r="B15171" t="s">
        <v>2481</v>
      </c>
      <c r="C15171" t="s">
        <v>18225</v>
      </c>
      <c r="D15171" t="s">
        <v>19007</v>
      </c>
      <c r="E15171" t="s">
        <v>31914</v>
      </c>
      <c r="F15171" t="s">
        <v>32606</v>
      </c>
      <c r="G15171" t="s">
        <v>32613</v>
      </c>
      <c r="H15171" t="s">
        <v>32623</v>
      </c>
      <c r="I15171" t="s">
        <v>17648</v>
      </c>
      <c r="J15171" t="s">
        <v>42129</v>
      </c>
      <c r="K15171" t="s">
        <v>42636</v>
      </c>
      <c r="M15171" t="s">
        <v>45618</v>
      </c>
      <c r="N15171" t="s">
        <v>47304</v>
      </c>
      <c r="O15171" t="s">
        <v>47305</v>
      </c>
      <c r="P15171">
        <v>0</v>
      </c>
      <c r="Q15171">
        <v>0</v>
      </c>
      <c r="R15171" t="s">
        <v>47327</v>
      </c>
      <c r="S15171" t="s">
        <v>48437</v>
      </c>
      <c r="T15171" t="s">
        <v>49315</v>
      </c>
      <c r="U15171" t="s">
        <v>62036</v>
      </c>
      <c r="W15171" t="s">
        <v>45618</v>
      </c>
      <c r="X15171" t="s">
        <v>47329</v>
      </c>
    </row>
    <row r="15172" spans="1:24">
      <c r="A15172">
        <f>HYPERLINK("https://www.philgeps.gov.ph/GEPSNONPILOT/Tender/SplashBidNoticeAbstractUI.aspx?menuIndex=3&amp;refID=7150215&amp;Result=3","7150215")</f>
        <v>0</v>
      </c>
      <c r="B15172" t="s">
        <v>2481</v>
      </c>
      <c r="C15172" t="s">
        <v>18226</v>
      </c>
      <c r="D15172" t="s">
        <v>19007</v>
      </c>
      <c r="E15172" t="s">
        <v>31915</v>
      </c>
      <c r="F15172" t="s">
        <v>32606</v>
      </c>
      <c r="G15172" t="s">
        <v>32613</v>
      </c>
      <c r="H15172" t="s">
        <v>14201</v>
      </c>
      <c r="I15172" t="s">
        <v>7064</v>
      </c>
      <c r="J15172" t="s">
        <v>38304</v>
      </c>
      <c r="K15172" t="s">
        <v>42636</v>
      </c>
      <c r="M15172" t="s">
        <v>45618</v>
      </c>
      <c r="N15172" t="s">
        <v>47304</v>
      </c>
      <c r="O15172" t="s">
        <v>47305</v>
      </c>
      <c r="P15172">
        <v>0</v>
      </c>
      <c r="Q15172">
        <v>4</v>
      </c>
      <c r="R15172" t="s">
        <v>47327</v>
      </c>
      <c r="S15172" t="s">
        <v>48437</v>
      </c>
      <c r="T15172" t="s">
        <v>49315</v>
      </c>
      <c r="U15172" t="s">
        <v>62037</v>
      </c>
      <c r="W15172" t="s">
        <v>45618</v>
      </c>
      <c r="X15172" t="s">
        <v>47329</v>
      </c>
    </row>
    <row r="15173" spans="1:24">
      <c r="A15173">
        <f>HYPERLINK("https://www.philgeps.gov.ph/GEPSNONPILOT/Tender/SplashBidNoticeAbstractUI.aspx?menuIndex=3&amp;refID=7149101&amp;Result=3","7149101")</f>
        <v>0</v>
      </c>
      <c r="B15173" t="s">
        <v>3857</v>
      </c>
      <c r="C15173" t="s">
        <v>18227</v>
      </c>
      <c r="D15173" t="s">
        <v>19039</v>
      </c>
      <c r="E15173" t="s">
        <v>31916</v>
      </c>
      <c r="F15173" t="s">
        <v>32606</v>
      </c>
      <c r="G15173" t="s">
        <v>32620</v>
      </c>
      <c r="H15173" t="s">
        <v>32625</v>
      </c>
      <c r="I15173" t="s">
        <v>32625</v>
      </c>
      <c r="J15173" t="s">
        <v>34118</v>
      </c>
      <c r="K15173" t="s">
        <v>42719</v>
      </c>
      <c r="M15173" t="s">
        <v>47209</v>
      </c>
      <c r="N15173" t="s">
        <v>47304</v>
      </c>
      <c r="O15173" t="s">
        <v>47305</v>
      </c>
      <c r="P15173">
        <v>0</v>
      </c>
      <c r="Q15173">
        <v>3</v>
      </c>
      <c r="R15173" t="s">
        <v>47327</v>
      </c>
      <c r="S15173" t="s">
        <v>48437</v>
      </c>
      <c r="T15173" t="s">
        <v>49015</v>
      </c>
      <c r="U15173" t="s">
        <v>62038</v>
      </c>
      <c r="W15173" t="s">
        <v>47209</v>
      </c>
      <c r="X15173" t="s">
        <v>64576</v>
      </c>
    </row>
    <row r="15174" spans="1:24">
      <c r="A15174">
        <f>HYPERLINK("https://www.philgeps.gov.ph/GEPSNONPILOT/Tender/SplashBidNoticeAbstractUI.aspx?menuIndex=3&amp;refID=7153168&amp;Result=3","7153168")</f>
        <v>0</v>
      </c>
      <c r="B15174" t="s">
        <v>3119</v>
      </c>
      <c r="C15174" t="s">
        <v>18228</v>
      </c>
      <c r="D15174" t="s">
        <v>19006</v>
      </c>
      <c r="E15174" t="s">
        <v>31917</v>
      </c>
      <c r="F15174" t="s">
        <v>32606</v>
      </c>
      <c r="G15174" t="s">
        <v>32613</v>
      </c>
      <c r="H15174" t="s">
        <v>32623</v>
      </c>
      <c r="I15174" t="s">
        <v>17648</v>
      </c>
      <c r="J15174" t="s">
        <v>42130</v>
      </c>
      <c r="K15174" t="s">
        <v>42648</v>
      </c>
      <c r="M15174" t="s">
        <v>46329</v>
      </c>
      <c r="N15174" t="s">
        <v>47304</v>
      </c>
      <c r="O15174" t="s">
        <v>47305</v>
      </c>
      <c r="P15174">
        <v>0</v>
      </c>
      <c r="Q15174">
        <v>0</v>
      </c>
      <c r="R15174" t="s">
        <v>47327</v>
      </c>
      <c r="S15174" t="s">
        <v>48437</v>
      </c>
      <c r="T15174" t="s">
        <v>49268</v>
      </c>
      <c r="U15174" t="s">
        <v>62039</v>
      </c>
      <c r="V15174" t="s">
        <v>63747</v>
      </c>
      <c r="W15174" t="s">
        <v>46329</v>
      </c>
      <c r="X15174" t="s">
        <v>47328</v>
      </c>
    </row>
    <row r="15175" spans="1:24">
      <c r="A15175">
        <f>HYPERLINK("https://www.philgeps.gov.ph/GEPSNONPILOT/Tender/SplashBidNoticeAbstractUI.aspx?menuIndex=3&amp;refID=7150323&amp;Result=3","7150323")</f>
        <v>0</v>
      </c>
      <c r="B15175" t="s">
        <v>2481</v>
      </c>
      <c r="C15175" t="s">
        <v>18229</v>
      </c>
      <c r="D15175" t="s">
        <v>19007</v>
      </c>
      <c r="E15175" t="s">
        <v>31918</v>
      </c>
      <c r="F15175" t="s">
        <v>32606</v>
      </c>
      <c r="G15175" t="s">
        <v>32613</v>
      </c>
      <c r="H15175" t="s">
        <v>32623</v>
      </c>
      <c r="I15175" t="s">
        <v>17648</v>
      </c>
      <c r="J15175" t="s">
        <v>42131</v>
      </c>
      <c r="K15175" t="s">
        <v>42636</v>
      </c>
      <c r="M15175" t="s">
        <v>45618</v>
      </c>
      <c r="N15175" t="s">
        <v>47304</v>
      </c>
      <c r="O15175" t="s">
        <v>47305</v>
      </c>
      <c r="P15175">
        <v>0</v>
      </c>
      <c r="Q15175">
        <v>0</v>
      </c>
      <c r="R15175" t="s">
        <v>47327</v>
      </c>
      <c r="S15175" t="s">
        <v>48437</v>
      </c>
      <c r="T15175" t="s">
        <v>49315</v>
      </c>
      <c r="U15175" t="s">
        <v>62040</v>
      </c>
      <c r="W15175" t="s">
        <v>45618</v>
      </c>
      <c r="X15175" t="s">
        <v>47329</v>
      </c>
    </row>
    <row r="15176" spans="1:24">
      <c r="A15176">
        <f>HYPERLINK("https://www.philgeps.gov.ph/GEPSNONPILOT/Tender/SplashBidNoticeAbstractUI.aspx?menuIndex=3&amp;refID=7158440&amp;Result=3","7158440")</f>
        <v>0</v>
      </c>
      <c r="B15176" t="s">
        <v>3244</v>
      </c>
      <c r="C15176" t="s">
        <v>18230</v>
      </c>
      <c r="E15176" t="s">
        <v>31919</v>
      </c>
      <c r="F15176" t="s">
        <v>32606</v>
      </c>
      <c r="G15176" t="s">
        <v>32613</v>
      </c>
      <c r="H15176" t="s">
        <v>14201</v>
      </c>
      <c r="I15176" t="s">
        <v>32748</v>
      </c>
      <c r="J15176" t="s">
        <v>42132</v>
      </c>
      <c r="K15176" t="s">
        <v>42624</v>
      </c>
      <c r="M15176" t="s">
        <v>46477</v>
      </c>
      <c r="N15176" t="s">
        <v>47304</v>
      </c>
      <c r="O15176" t="s">
        <v>47305</v>
      </c>
      <c r="Q15176">
        <v>7</v>
      </c>
      <c r="R15176" t="s">
        <v>47326</v>
      </c>
      <c r="S15176" t="s">
        <v>48459</v>
      </c>
      <c r="T15176" t="s">
        <v>49335</v>
      </c>
      <c r="U15176" t="s">
        <v>58699</v>
      </c>
      <c r="W15176" t="s">
        <v>46477</v>
      </c>
      <c r="X15176" t="s">
        <v>47327</v>
      </c>
    </row>
    <row r="15177" spans="1:24">
      <c r="A15177">
        <f>HYPERLINK("https://www.philgeps.gov.ph/GEPSNONPILOT/Tender/SplashBidNoticeAbstractUI.aspx?menuIndex=3&amp;refID=7152620&amp;Result=3","7152620")</f>
        <v>0</v>
      </c>
      <c r="B15177" t="s">
        <v>3851</v>
      </c>
      <c r="C15177" t="s">
        <v>18231</v>
      </c>
      <c r="D15177" t="s">
        <v>18994</v>
      </c>
      <c r="E15177" t="s">
        <v>31920</v>
      </c>
      <c r="F15177" t="s">
        <v>32606</v>
      </c>
      <c r="G15177" t="s">
        <v>32613</v>
      </c>
      <c r="H15177" t="s">
        <v>14201</v>
      </c>
      <c r="I15177" t="s">
        <v>32626</v>
      </c>
      <c r="J15177" t="s">
        <v>42133</v>
      </c>
      <c r="K15177" t="s">
        <v>42631</v>
      </c>
      <c r="M15177" t="s">
        <v>47200</v>
      </c>
      <c r="N15177" t="s">
        <v>47304</v>
      </c>
      <c r="O15177" t="s">
        <v>47305</v>
      </c>
      <c r="P15177">
        <v>0</v>
      </c>
      <c r="Q15177">
        <v>5</v>
      </c>
      <c r="R15177" t="s">
        <v>47327</v>
      </c>
      <c r="S15177" t="s">
        <v>48437</v>
      </c>
      <c r="T15177" t="s">
        <v>49084</v>
      </c>
      <c r="U15177" t="s">
        <v>61978</v>
      </c>
      <c r="V15177" t="s">
        <v>64329</v>
      </c>
      <c r="W15177" t="s">
        <v>47200</v>
      </c>
      <c r="X15177" t="s">
        <v>47328</v>
      </c>
    </row>
    <row r="15178" spans="1:24">
      <c r="A15178">
        <f>HYPERLINK("https://www.philgeps.gov.ph/GEPSNONPILOT/Tender/SplashBidNoticeAbstractUI.aspx?menuIndex=3&amp;refID=7149849&amp;Result=3","7149849")</f>
        <v>0</v>
      </c>
      <c r="B15178" t="s">
        <v>55</v>
      </c>
      <c r="C15178" t="s">
        <v>18232</v>
      </c>
      <c r="E15178" t="s">
        <v>31921</v>
      </c>
      <c r="F15178" t="s">
        <v>32606</v>
      </c>
      <c r="G15178" t="s">
        <v>32613</v>
      </c>
      <c r="H15178" t="s">
        <v>14201</v>
      </c>
      <c r="I15178" t="s">
        <v>7064</v>
      </c>
      <c r="J15178" t="s">
        <v>32767</v>
      </c>
      <c r="K15178" t="s">
        <v>42624</v>
      </c>
      <c r="M15178" t="s">
        <v>42952</v>
      </c>
      <c r="N15178" t="s">
        <v>47304</v>
      </c>
      <c r="O15178" t="s">
        <v>47305</v>
      </c>
      <c r="P15178">
        <v>0</v>
      </c>
      <c r="Q15178">
        <v>4</v>
      </c>
      <c r="R15178" t="s">
        <v>47327</v>
      </c>
      <c r="S15178" t="s">
        <v>48437</v>
      </c>
      <c r="T15178" t="s">
        <v>49268</v>
      </c>
      <c r="U15178" t="s">
        <v>62041</v>
      </c>
      <c r="W15178" t="s">
        <v>42952</v>
      </c>
      <c r="X15178" t="s">
        <v>47329</v>
      </c>
    </row>
    <row r="15179" spans="1:24">
      <c r="A15179">
        <f>HYPERLINK("https://www.philgeps.gov.ph/GEPSNONPILOT/Tender/SplashBidNoticeAbstractUI.aspx?menuIndex=3&amp;refID=7154703&amp;Result=3","7154703")</f>
        <v>0</v>
      </c>
      <c r="B15179" t="s">
        <v>616</v>
      </c>
      <c r="C15179" t="s">
        <v>18233</v>
      </c>
      <c r="D15179" t="s">
        <v>18989</v>
      </c>
      <c r="E15179" t="s">
        <v>31922</v>
      </c>
      <c r="F15179" t="s">
        <v>32606</v>
      </c>
      <c r="G15179" t="s">
        <v>32613</v>
      </c>
      <c r="H15179" t="s">
        <v>14201</v>
      </c>
      <c r="I15179" t="s">
        <v>32655</v>
      </c>
      <c r="J15179" t="s">
        <v>38431</v>
      </c>
      <c r="K15179" t="s">
        <v>42624</v>
      </c>
      <c r="M15179" t="s">
        <v>43604</v>
      </c>
      <c r="N15179" t="s">
        <v>47304</v>
      </c>
      <c r="O15179" t="s">
        <v>47305</v>
      </c>
      <c r="Q15179">
        <v>28</v>
      </c>
      <c r="R15179" t="s">
        <v>47327</v>
      </c>
      <c r="S15179" t="s">
        <v>48460</v>
      </c>
      <c r="T15179" t="s">
        <v>49071</v>
      </c>
      <c r="U15179" t="s">
        <v>62042</v>
      </c>
      <c r="W15179" t="s">
        <v>43604</v>
      </c>
      <c r="X15179" t="s">
        <v>47328</v>
      </c>
    </row>
    <row r="15180" spans="1:24">
      <c r="A15180">
        <f>HYPERLINK("https://www.philgeps.gov.ph/GEPSNONPILOT/Tender/SplashBidNoticeAbstractUI.aspx?menuIndex=3&amp;refID=7150291&amp;Result=3","7150291")</f>
        <v>0</v>
      </c>
      <c r="B15180" t="s">
        <v>2481</v>
      </c>
      <c r="C15180" t="s">
        <v>18234</v>
      </c>
      <c r="D15180" t="s">
        <v>19007</v>
      </c>
      <c r="E15180" t="s">
        <v>31923</v>
      </c>
      <c r="F15180" t="s">
        <v>32606</v>
      </c>
      <c r="G15180" t="s">
        <v>32613</v>
      </c>
      <c r="H15180" t="s">
        <v>32623</v>
      </c>
      <c r="I15180" t="s">
        <v>17648</v>
      </c>
      <c r="J15180" t="s">
        <v>42134</v>
      </c>
      <c r="K15180" t="s">
        <v>42636</v>
      </c>
      <c r="M15180" t="s">
        <v>45618</v>
      </c>
      <c r="N15180" t="s">
        <v>47304</v>
      </c>
      <c r="O15180" t="s">
        <v>47305</v>
      </c>
      <c r="P15180">
        <v>0</v>
      </c>
      <c r="Q15180">
        <v>0</v>
      </c>
      <c r="R15180" t="s">
        <v>47327</v>
      </c>
      <c r="S15180" t="s">
        <v>48437</v>
      </c>
      <c r="T15180" t="s">
        <v>49315</v>
      </c>
      <c r="U15180" t="s">
        <v>62043</v>
      </c>
      <c r="W15180" t="s">
        <v>45618</v>
      </c>
      <c r="X15180" t="s">
        <v>47329</v>
      </c>
    </row>
    <row r="15181" spans="1:24">
      <c r="A15181">
        <f>HYPERLINK("https://www.philgeps.gov.ph/GEPSNONPILOT/Tender/SplashBidNoticeAbstractUI.aspx?menuIndex=3&amp;refID=7154489&amp;Result=3","7154489")</f>
        <v>0</v>
      </c>
      <c r="B15181" t="s">
        <v>560</v>
      </c>
      <c r="C15181" t="s">
        <v>18235</v>
      </c>
      <c r="D15181" t="s">
        <v>19000</v>
      </c>
      <c r="E15181" t="s">
        <v>31924</v>
      </c>
      <c r="F15181" t="s">
        <v>32606</v>
      </c>
      <c r="G15181" t="s">
        <v>32613</v>
      </c>
      <c r="H15181" t="s">
        <v>14201</v>
      </c>
      <c r="I15181" t="s">
        <v>6298</v>
      </c>
      <c r="J15181" t="s">
        <v>32772</v>
      </c>
      <c r="K15181" t="s">
        <v>42631</v>
      </c>
      <c r="M15181" t="s">
        <v>43475</v>
      </c>
      <c r="N15181" t="s">
        <v>47304</v>
      </c>
      <c r="O15181" t="s">
        <v>47305</v>
      </c>
      <c r="P15181">
        <v>0</v>
      </c>
      <c r="Q15181">
        <v>2</v>
      </c>
      <c r="R15181" t="s">
        <v>47327</v>
      </c>
      <c r="S15181" t="s">
        <v>48437</v>
      </c>
      <c r="T15181" t="s">
        <v>49020</v>
      </c>
      <c r="U15181" t="s">
        <v>62044</v>
      </c>
      <c r="W15181" t="s">
        <v>43475</v>
      </c>
      <c r="X15181" t="s">
        <v>47328</v>
      </c>
    </row>
    <row r="15182" spans="1:24">
      <c r="A15182">
        <f>HYPERLINK("https://www.philgeps.gov.ph/GEPSNONPILOT/Tender/SplashBidNoticeAbstractUI.aspx?menuIndex=3&amp;refID=7154474&amp;Result=3","7154474")</f>
        <v>0</v>
      </c>
      <c r="B15182" t="s">
        <v>522</v>
      </c>
      <c r="C15182" t="s">
        <v>18236</v>
      </c>
      <c r="D15182" t="s">
        <v>19040</v>
      </c>
      <c r="E15182" t="s">
        <v>31925</v>
      </c>
      <c r="F15182" t="s">
        <v>32606</v>
      </c>
      <c r="G15182" t="s">
        <v>32613</v>
      </c>
      <c r="H15182" t="s">
        <v>14201</v>
      </c>
      <c r="I15182" t="s">
        <v>32640</v>
      </c>
      <c r="J15182" t="s">
        <v>42135</v>
      </c>
      <c r="K15182" t="s">
        <v>42623</v>
      </c>
      <c r="M15182" t="s">
        <v>43435</v>
      </c>
      <c r="N15182" t="s">
        <v>47304</v>
      </c>
      <c r="O15182" t="s">
        <v>47305</v>
      </c>
      <c r="Q15182">
        <v>9</v>
      </c>
      <c r="R15182" t="s">
        <v>47327</v>
      </c>
      <c r="S15182" t="s">
        <v>48461</v>
      </c>
      <c r="T15182" t="s">
        <v>49359</v>
      </c>
      <c r="U15182" t="s">
        <v>62045</v>
      </c>
      <c r="W15182" t="s">
        <v>43435</v>
      </c>
      <c r="X15182" t="s">
        <v>47328</v>
      </c>
    </row>
    <row r="15183" spans="1:24">
      <c r="A15183">
        <f>HYPERLINK("https://www.philgeps.gov.ph/GEPSNONPILOT/Tender/SplashBidNoticeAbstractUI.aspx?menuIndex=3&amp;refID=7154473&amp;Result=3","7154473")</f>
        <v>0</v>
      </c>
      <c r="B15183" t="s">
        <v>3858</v>
      </c>
      <c r="C15183" t="s">
        <v>18237</v>
      </c>
      <c r="D15183" t="s">
        <v>19006</v>
      </c>
      <c r="E15183" t="s">
        <v>31926</v>
      </c>
      <c r="F15183" t="s">
        <v>32606</v>
      </c>
      <c r="G15183" t="s">
        <v>32613</v>
      </c>
      <c r="H15183" t="s">
        <v>32623</v>
      </c>
      <c r="I15183" t="s">
        <v>17648</v>
      </c>
      <c r="J15183" t="s">
        <v>32981</v>
      </c>
      <c r="K15183" t="s">
        <v>42698</v>
      </c>
      <c r="M15183" t="s">
        <v>47210</v>
      </c>
      <c r="N15183" t="s">
        <v>47304</v>
      </c>
      <c r="O15183" t="s">
        <v>47305</v>
      </c>
      <c r="P15183">
        <v>0</v>
      </c>
      <c r="Q15183">
        <v>0</v>
      </c>
      <c r="R15183" t="s">
        <v>47327</v>
      </c>
      <c r="S15183" t="s">
        <v>48437</v>
      </c>
      <c r="T15183" t="s">
        <v>49315</v>
      </c>
      <c r="U15183" t="s">
        <v>62046</v>
      </c>
      <c r="V15183" t="s">
        <v>64333</v>
      </c>
      <c r="W15183" t="s">
        <v>47210</v>
      </c>
      <c r="X15183" t="s">
        <v>47328</v>
      </c>
    </row>
    <row r="15184" spans="1:24">
      <c r="A15184">
        <f>HYPERLINK("https://www.philgeps.gov.ph/GEPSNONPILOT/Tender/SplashBidNoticeAbstractUI.aspx?menuIndex=3&amp;refID=7154347&amp;Result=3","7154347")</f>
        <v>0</v>
      </c>
      <c r="B15184" t="s">
        <v>2968</v>
      </c>
      <c r="C15184" t="s">
        <v>18238</v>
      </c>
      <c r="D15184" t="s">
        <v>19002</v>
      </c>
      <c r="E15184" t="s">
        <v>31927</v>
      </c>
      <c r="F15184" t="s">
        <v>32606</v>
      </c>
      <c r="G15184" t="s">
        <v>32613</v>
      </c>
      <c r="H15184" t="s">
        <v>14201</v>
      </c>
      <c r="I15184" t="s">
        <v>32632</v>
      </c>
      <c r="J15184" t="s">
        <v>42136</v>
      </c>
      <c r="K15184" t="s">
        <v>42636</v>
      </c>
      <c r="M15184" t="s">
        <v>46153</v>
      </c>
      <c r="N15184" t="s">
        <v>47304</v>
      </c>
      <c r="O15184" t="s">
        <v>47305</v>
      </c>
      <c r="P15184">
        <v>0</v>
      </c>
      <c r="Q15184">
        <v>14</v>
      </c>
      <c r="R15184" t="s">
        <v>47327</v>
      </c>
      <c r="S15184" t="s">
        <v>48437</v>
      </c>
      <c r="T15184" t="s">
        <v>49053</v>
      </c>
      <c r="U15184" t="s">
        <v>62047</v>
      </c>
      <c r="V15184" t="s">
        <v>63654</v>
      </c>
      <c r="W15184" t="s">
        <v>46153</v>
      </c>
      <c r="X15184" t="s">
        <v>47328</v>
      </c>
    </row>
    <row r="15185" spans="1:24">
      <c r="A15185">
        <f>HYPERLINK("https://www.philgeps.gov.ph/GEPSNONPILOT/Tender/SplashBidNoticeAbstractUI.aspx?menuIndex=3&amp;refID=7154407&amp;Result=3","7154407")</f>
        <v>0</v>
      </c>
      <c r="B15185" t="s">
        <v>3859</v>
      </c>
      <c r="C15185" t="s">
        <v>18239</v>
      </c>
      <c r="D15185" t="s">
        <v>19016</v>
      </c>
      <c r="E15185" t="s">
        <v>31928</v>
      </c>
      <c r="F15185" t="s">
        <v>32606</v>
      </c>
      <c r="G15185" t="s">
        <v>32613</v>
      </c>
      <c r="H15185" t="s">
        <v>14201</v>
      </c>
      <c r="I15185" t="s">
        <v>9297</v>
      </c>
      <c r="J15185" t="s">
        <v>42137</v>
      </c>
      <c r="K15185" t="s">
        <v>42631</v>
      </c>
      <c r="M15185" t="s">
        <v>47211</v>
      </c>
      <c r="N15185" t="s">
        <v>47304</v>
      </c>
      <c r="O15185" t="s">
        <v>47305</v>
      </c>
      <c r="Q15185">
        <v>4</v>
      </c>
      <c r="R15185" t="s">
        <v>47327</v>
      </c>
      <c r="S15185" t="s">
        <v>48462</v>
      </c>
      <c r="T15185" t="s">
        <v>49165</v>
      </c>
      <c r="U15185" t="s">
        <v>62048</v>
      </c>
      <c r="W15185" t="s">
        <v>47211</v>
      </c>
      <c r="X15185" t="s">
        <v>47328</v>
      </c>
    </row>
    <row r="15186" spans="1:24">
      <c r="A15186">
        <f>HYPERLINK("https://www.philgeps.gov.ph/GEPSNONPILOT/Tender/SplashBidNoticeAbstractUI.aspx?menuIndex=3&amp;refID=7154316&amp;Result=3","7154316")</f>
        <v>0</v>
      </c>
      <c r="B15186" t="s">
        <v>3119</v>
      </c>
      <c r="C15186" t="s">
        <v>18240</v>
      </c>
      <c r="D15186" t="s">
        <v>19006</v>
      </c>
      <c r="E15186" t="s">
        <v>31929</v>
      </c>
      <c r="F15186" t="s">
        <v>32606</v>
      </c>
      <c r="G15186" t="s">
        <v>32613</v>
      </c>
      <c r="H15186" t="s">
        <v>32623</v>
      </c>
      <c r="I15186" t="s">
        <v>17648</v>
      </c>
      <c r="J15186" t="s">
        <v>42138</v>
      </c>
      <c r="K15186" t="s">
        <v>42636</v>
      </c>
      <c r="M15186" t="s">
        <v>46329</v>
      </c>
      <c r="N15186" t="s">
        <v>47304</v>
      </c>
      <c r="O15186" t="s">
        <v>47305</v>
      </c>
      <c r="P15186">
        <v>0</v>
      </c>
      <c r="Q15186">
        <v>0</v>
      </c>
      <c r="R15186" t="s">
        <v>47327</v>
      </c>
      <c r="S15186" t="s">
        <v>48437</v>
      </c>
      <c r="T15186" t="s">
        <v>48998</v>
      </c>
      <c r="U15186" t="s">
        <v>61806</v>
      </c>
      <c r="V15186" t="s">
        <v>63747</v>
      </c>
      <c r="W15186" t="s">
        <v>46329</v>
      </c>
      <c r="X15186" t="s">
        <v>47328</v>
      </c>
    </row>
    <row r="15187" spans="1:24">
      <c r="A15187">
        <f>HYPERLINK("https://www.philgeps.gov.ph/GEPSNONPILOT/Tender/SplashBidNoticeAbstractUI.aspx?menuIndex=3&amp;refID=7154530&amp;Result=3","7154530")</f>
        <v>0</v>
      </c>
      <c r="B15187" t="s">
        <v>522</v>
      </c>
      <c r="C15187" t="s">
        <v>18241</v>
      </c>
      <c r="D15187" t="s">
        <v>19040</v>
      </c>
      <c r="E15187" t="s">
        <v>31930</v>
      </c>
      <c r="F15187" t="s">
        <v>32606</v>
      </c>
      <c r="G15187" t="s">
        <v>32613</v>
      </c>
      <c r="H15187" t="s">
        <v>14201</v>
      </c>
      <c r="I15187" t="s">
        <v>32640</v>
      </c>
      <c r="J15187" t="s">
        <v>37655</v>
      </c>
      <c r="K15187" t="s">
        <v>42623</v>
      </c>
      <c r="M15187" t="s">
        <v>43435</v>
      </c>
      <c r="N15187" t="s">
        <v>47304</v>
      </c>
      <c r="O15187" t="s">
        <v>47305</v>
      </c>
      <c r="P15187">
        <v>0</v>
      </c>
      <c r="Q15187">
        <v>8</v>
      </c>
      <c r="R15187" t="s">
        <v>47327</v>
      </c>
      <c r="S15187" t="s">
        <v>48437</v>
      </c>
      <c r="T15187" t="s">
        <v>49359</v>
      </c>
      <c r="U15187" t="s">
        <v>62049</v>
      </c>
      <c r="W15187" t="s">
        <v>43435</v>
      </c>
      <c r="X15187" t="s">
        <v>47328</v>
      </c>
    </row>
    <row r="15188" spans="1:24">
      <c r="A15188">
        <f>HYPERLINK("https://www.philgeps.gov.ph/GEPSNONPILOT/Tender/SplashBidNoticeAbstractUI.aspx?menuIndex=3&amp;refID=7154232&amp;Result=3","7154232")</f>
        <v>0</v>
      </c>
      <c r="B15188" t="s">
        <v>3119</v>
      </c>
      <c r="C15188" t="s">
        <v>18242</v>
      </c>
      <c r="D15188" t="s">
        <v>19006</v>
      </c>
      <c r="E15188" t="s">
        <v>31931</v>
      </c>
      <c r="F15188" t="s">
        <v>32606</v>
      </c>
      <c r="G15188" t="s">
        <v>32613</v>
      </c>
      <c r="H15188" t="s">
        <v>32623</v>
      </c>
      <c r="I15188" t="s">
        <v>17648</v>
      </c>
      <c r="J15188" t="s">
        <v>42139</v>
      </c>
      <c r="K15188" t="s">
        <v>42636</v>
      </c>
      <c r="M15188" t="s">
        <v>46329</v>
      </c>
      <c r="N15188" t="s">
        <v>47304</v>
      </c>
      <c r="O15188" t="s">
        <v>47305</v>
      </c>
      <c r="P15188">
        <v>0</v>
      </c>
      <c r="Q15188">
        <v>0</v>
      </c>
      <c r="R15188" t="s">
        <v>47327</v>
      </c>
      <c r="S15188" t="s">
        <v>48437</v>
      </c>
      <c r="T15188" t="s">
        <v>48998</v>
      </c>
      <c r="U15188" t="s">
        <v>62023</v>
      </c>
      <c r="V15188" t="s">
        <v>63747</v>
      </c>
      <c r="W15188" t="s">
        <v>46329</v>
      </c>
      <c r="X15188" t="s">
        <v>47328</v>
      </c>
    </row>
    <row r="15189" spans="1:24">
      <c r="A15189">
        <f>HYPERLINK("https://www.philgeps.gov.ph/GEPSNONPILOT/Tender/SplashBidNoticeAbstractUI.aspx?menuIndex=3&amp;refID=7154225&amp;Result=3","7154225")</f>
        <v>0</v>
      </c>
      <c r="B15189" t="s">
        <v>1500</v>
      </c>
      <c r="C15189" t="s">
        <v>18243</v>
      </c>
      <c r="D15189" t="s">
        <v>19036</v>
      </c>
      <c r="E15189" t="s">
        <v>31932</v>
      </c>
      <c r="F15189" t="s">
        <v>32606</v>
      </c>
      <c r="G15189" t="s">
        <v>32613</v>
      </c>
      <c r="H15189" t="s">
        <v>14201</v>
      </c>
      <c r="I15189" t="s">
        <v>4121</v>
      </c>
      <c r="J15189" t="s">
        <v>32769</v>
      </c>
      <c r="K15189" t="s">
        <v>42636</v>
      </c>
      <c r="M15189" t="s">
        <v>44496</v>
      </c>
      <c r="N15189" t="s">
        <v>47304</v>
      </c>
      <c r="O15189" t="s">
        <v>47305</v>
      </c>
      <c r="Q15189">
        <v>17</v>
      </c>
      <c r="R15189" t="s">
        <v>47327</v>
      </c>
      <c r="S15189" t="s">
        <v>48463</v>
      </c>
      <c r="T15189" t="s">
        <v>49347</v>
      </c>
      <c r="U15189" t="s">
        <v>62050</v>
      </c>
      <c r="W15189" t="s">
        <v>44496</v>
      </c>
      <c r="X15189" t="s">
        <v>47328</v>
      </c>
    </row>
    <row r="15190" spans="1:24">
      <c r="A15190">
        <f>HYPERLINK("https://www.philgeps.gov.ph/GEPSNONPILOT/Tender/SplashBidNoticeAbstractUI.aspx?menuIndex=3&amp;refID=7154187&amp;Result=3","7154187")</f>
        <v>0</v>
      </c>
      <c r="B15190" t="s">
        <v>3119</v>
      </c>
      <c r="C15190" t="s">
        <v>18244</v>
      </c>
      <c r="D15190" t="s">
        <v>19006</v>
      </c>
      <c r="E15190" t="s">
        <v>31933</v>
      </c>
      <c r="F15190" t="s">
        <v>32606</v>
      </c>
      <c r="G15190" t="s">
        <v>32613</v>
      </c>
      <c r="H15190" t="s">
        <v>32623</v>
      </c>
      <c r="I15190" t="s">
        <v>17648</v>
      </c>
      <c r="J15190" t="s">
        <v>42140</v>
      </c>
      <c r="K15190" t="s">
        <v>42682</v>
      </c>
      <c r="M15190" t="s">
        <v>46329</v>
      </c>
      <c r="N15190" t="s">
        <v>47304</v>
      </c>
      <c r="O15190" t="s">
        <v>47305</v>
      </c>
      <c r="P15190">
        <v>0</v>
      </c>
      <c r="Q15190">
        <v>0</v>
      </c>
      <c r="R15190" t="s">
        <v>47327</v>
      </c>
      <c r="S15190" t="s">
        <v>48437</v>
      </c>
      <c r="T15190" t="s">
        <v>48998</v>
      </c>
      <c r="U15190" t="s">
        <v>62023</v>
      </c>
      <c r="V15190" t="s">
        <v>63747</v>
      </c>
      <c r="W15190" t="s">
        <v>46329</v>
      </c>
      <c r="X15190" t="s">
        <v>47328</v>
      </c>
    </row>
    <row r="15191" spans="1:24">
      <c r="A15191">
        <f>HYPERLINK("https://www.philgeps.gov.ph/GEPSNONPILOT/Tender/SplashBidNoticeAbstractUI.aspx?menuIndex=3&amp;refID=7154159&amp;Result=3","7154159")</f>
        <v>0</v>
      </c>
      <c r="B15191" t="s">
        <v>2386</v>
      </c>
      <c r="C15191" t="s">
        <v>18245</v>
      </c>
      <c r="E15191" t="s">
        <v>31934</v>
      </c>
      <c r="F15191" t="s">
        <v>32606</v>
      </c>
      <c r="G15191" t="s">
        <v>32613</v>
      </c>
      <c r="H15191" t="s">
        <v>14201</v>
      </c>
      <c r="I15191" t="s">
        <v>6298</v>
      </c>
      <c r="J15191" t="s">
        <v>33994</v>
      </c>
      <c r="K15191" t="s">
        <v>42624</v>
      </c>
      <c r="M15191" t="s">
        <v>45504</v>
      </c>
      <c r="N15191" t="s">
        <v>47304</v>
      </c>
      <c r="O15191" t="s">
        <v>47305</v>
      </c>
      <c r="P15191">
        <v>0</v>
      </c>
      <c r="Q15191">
        <v>4</v>
      </c>
      <c r="R15191" t="s">
        <v>47327</v>
      </c>
      <c r="S15191" t="s">
        <v>48437</v>
      </c>
      <c r="T15191" t="s">
        <v>49373</v>
      </c>
      <c r="U15191" t="s">
        <v>62051</v>
      </c>
      <c r="W15191" t="s">
        <v>45504</v>
      </c>
      <c r="X15191" t="s">
        <v>47328</v>
      </c>
    </row>
    <row r="15192" spans="1:24">
      <c r="A15192">
        <f>HYPERLINK("https://www.philgeps.gov.ph/GEPSNONPILOT/Tender/SplashBidNoticeAbstractUI.aspx?menuIndex=3&amp;refID=7154158&amp;Result=3","7154158")</f>
        <v>0</v>
      </c>
      <c r="B15192" t="s">
        <v>3064</v>
      </c>
      <c r="C15192" t="s">
        <v>18246</v>
      </c>
      <c r="D15192" t="s">
        <v>19093</v>
      </c>
      <c r="E15192" t="s">
        <v>31935</v>
      </c>
      <c r="F15192" t="s">
        <v>32606</v>
      </c>
      <c r="G15192" t="s">
        <v>32613</v>
      </c>
      <c r="H15192" t="s">
        <v>14201</v>
      </c>
      <c r="I15192" t="s">
        <v>32635</v>
      </c>
      <c r="J15192" t="s">
        <v>33598</v>
      </c>
      <c r="K15192" t="s">
        <v>42636</v>
      </c>
      <c r="M15192" t="s">
        <v>46526</v>
      </c>
      <c r="N15192" t="s">
        <v>47304</v>
      </c>
      <c r="O15192" t="s">
        <v>47305</v>
      </c>
      <c r="P15192">
        <v>0</v>
      </c>
      <c r="Q15192">
        <v>0</v>
      </c>
      <c r="R15192" t="s">
        <v>47327</v>
      </c>
      <c r="S15192" t="s">
        <v>48437</v>
      </c>
      <c r="T15192" t="s">
        <v>49315</v>
      </c>
      <c r="U15192" t="s">
        <v>62052</v>
      </c>
      <c r="W15192" t="s">
        <v>46526</v>
      </c>
      <c r="X15192" t="s">
        <v>47328</v>
      </c>
    </row>
    <row r="15193" spans="1:24">
      <c r="A15193">
        <f>HYPERLINK("https://www.philgeps.gov.ph/GEPSNONPILOT/Tender/SplashBidNoticeAbstractUI.aspx?menuIndex=3&amp;refID=7154147&amp;Result=3","7154147")</f>
        <v>0</v>
      </c>
      <c r="B15193" t="s">
        <v>1500</v>
      </c>
      <c r="C15193" t="s">
        <v>18247</v>
      </c>
      <c r="D15193" t="s">
        <v>19036</v>
      </c>
      <c r="E15193" t="s">
        <v>31936</v>
      </c>
      <c r="F15193" t="s">
        <v>32606</v>
      </c>
      <c r="G15193" t="s">
        <v>32613</v>
      </c>
      <c r="H15193" t="s">
        <v>14201</v>
      </c>
      <c r="I15193" t="s">
        <v>4121</v>
      </c>
      <c r="J15193" t="s">
        <v>33039</v>
      </c>
      <c r="K15193" t="s">
        <v>42636</v>
      </c>
      <c r="M15193" t="s">
        <v>44496</v>
      </c>
      <c r="N15193" t="s">
        <v>47304</v>
      </c>
      <c r="O15193" t="s">
        <v>47305</v>
      </c>
      <c r="Q15193">
        <v>10</v>
      </c>
      <c r="R15193" t="s">
        <v>47327</v>
      </c>
      <c r="S15193" t="s">
        <v>48464</v>
      </c>
      <c r="T15193" t="s">
        <v>49347</v>
      </c>
      <c r="U15193" t="s">
        <v>62053</v>
      </c>
      <c r="W15193" t="s">
        <v>44496</v>
      </c>
      <c r="X15193" t="s">
        <v>47328</v>
      </c>
    </row>
    <row r="15194" spans="1:24">
      <c r="A15194">
        <f>HYPERLINK("https://www.philgeps.gov.ph/GEPSNONPILOT/Tender/SplashBidNoticeAbstractUI.aspx?menuIndex=3&amp;refID=7154246&amp;Result=3","7154246")</f>
        <v>0</v>
      </c>
      <c r="B15194" t="s">
        <v>522</v>
      </c>
      <c r="C15194" t="s">
        <v>18248</v>
      </c>
      <c r="D15194" t="s">
        <v>19040</v>
      </c>
      <c r="E15194" t="s">
        <v>31937</v>
      </c>
      <c r="F15194" t="s">
        <v>32606</v>
      </c>
      <c r="G15194" t="s">
        <v>32613</v>
      </c>
      <c r="H15194" t="s">
        <v>14201</v>
      </c>
      <c r="I15194" t="s">
        <v>7064</v>
      </c>
      <c r="J15194" t="s">
        <v>33231</v>
      </c>
      <c r="K15194" t="s">
        <v>42623</v>
      </c>
      <c r="M15194" t="s">
        <v>43435</v>
      </c>
      <c r="N15194" t="s">
        <v>47304</v>
      </c>
      <c r="O15194" t="s">
        <v>47305</v>
      </c>
      <c r="Q15194">
        <v>2</v>
      </c>
      <c r="R15194" t="s">
        <v>47327</v>
      </c>
      <c r="S15194" t="s">
        <v>48465</v>
      </c>
      <c r="T15194" t="s">
        <v>49359</v>
      </c>
      <c r="U15194" t="s">
        <v>62054</v>
      </c>
      <c r="W15194" t="s">
        <v>43435</v>
      </c>
      <c r="X15194" t="s">
        <v>47328</v>
      </c>
    </row>
    <row r="15195" spans="1:24">
      <c r="A15195">
        <f>HYPERLINK("https://www.philgeps.gov.ph/GEPSNONPILOT/Tender/SplashBidNoticeAbstractUI.aspx?menuIndex=3&amp;refID=7154141&amp;Result=3","7154141")</f>
        <v>0</v>
      </c>
      <c r="B15195" t="s">
        <v>3119</v>
      </c>
      <c r="C15195" t="s">
        <v>18249</v>
      </c>
      <c r="D15195" t="s">
        <v>19006</v>
      </c>
      <c r="E15195" t="s">
        <v>31938</v>
      </c>
      <c r="F15195" t="s">
        <v>32606</v>
      </c>
      <c r="G15195" t="s">
        <v>32613</v>
      </c>
      <c r="H15195" t="s">
        <v>32623</v>
      </c>
      <c r="I15195" t="s">
        <v>17648</v>
      </c>
      <c r="J15195" t="s">
        <v>42141</v>
      </c>
      <c r="K15195" t="s">
        <v>42636</v>
      </c>
      <c r="M15195" t="s">
        <v>46329</v>
      </c>
      <c r="N15195" t="s">
        <v>47304</v>
      </c>
      <c r="O15195" t="s">
        <v>47305</v>
      </c>
      <c r="P15195">
        <v>0</v>
      </c>
      <c r="Q15195">
        <v>1</v>
      </c>
      <c r="R15195" t="s">
        <v>47327</v>
      </c>
      <c r="S15195" t="s">
        <v>48437</v>
      </c>
      <c r="T15195" t="s">
        <v>48998</v>
      </c>
      <c r="U15195" t="s">
        <v>62023</v>
      </c>
      <c r="V15195" t="s">
        <v>63747</v>
      </c>
      <c r="W15195" t="s">
        <v>46329</v>
      </c>
      <c r="X15195" t="s">
        <v>47328</v>
      </c>
    </row>
    <row r="15196" spans="1:24">
      <c r="A15196">
        <f>HYPERLINK("https://www.philgeps.gov.ph/GEPSNONPILOT/Tender/SplashBidNoticeAbstractUI.aspx?menuIndex=3&amp;refID=7154529&amp;Result=3","7154529")</f>
        <v>0</v>
      </c>
      <c r="B15196" t="s">
        <v>276</v>
      </c>
      <c r="C15196" t="s">
        <v>18250</v>
      </c>
      <c r="D15196" t="s">
        <v>19001</v>
      </c>
      <c r="E15196" t="s">
        <v>31939</v>
      </c>
      <c r="F15196" t="s">
        <v>32606</v>
      </c>
      <c r="G15196" t="s">
        <v>32613</v>
      </c>
      <c r="H15196" t="s">
        <v>14201</v>
      </c>
      <c r="I15196" t="s">
        <v>6298</v>
      </c>
      <c r="J15196" t="s">
        <v>38946</v>
      </c>
      <c r="K15196" t="s">
        <v>42623</v>
      </c>
      <c r="M15196" t="s">
        <v>43964</v>
      </c>
      <c r="N15196" t="s">
        <v>47304</v>
      </c>
      <c r="O15196" t="s">
        <v>47305</v>
      </c>
      <c r="P15196">
        <v>0</v>
      </c>
      <c r="Q15196">
        <v>7</v>
      </c>
      <c r="R15196" t="s">
        <v>47327</v>
      </c>
      <c r="S15196" t="s">
        <v>48437</v>
      </c>
      <c r="T15196" t="s">
        <v>49020</v>
      </c>
      <c r="U15196" t="s">
        <v>62055</v>
      </c>
      <c r="W15196" t="s">
        <v>43964</v>
      </c>
      <c r="X15196" t="s">
        <v>47328</v>
      </c>
    </row>
    <row r="15197" spans="1:24">
      <c r="A15197">
        <f>HYPERLINK("https://www.philgeps.gov.ph/GEPSNONPILOT/Tender/SplashBidNoticeAbstractUI.aspx?menuIndex=3&amp;refID=7154096&amp;Result=3","7154096")</f>
        <v>0</v>
      </c>
      <c r="B15197" t="s">
        <v>3064</v>
      </c>
      <c r="C15197" t="s">
        <v>18251</v>
      </c>
      <c r="D15197" t="s">
        <v>19086</v>
      </c>
      <c r="E15197" t="s">
        <v>31940</v>
      </c>
      <c r="F15197" t="s">
        <v>32606</v>
      </c>
      <c r="G15197" t="s">
        <v>32613</v>
      </c>
      <c r="H15197" t="s">
        <v>14201</v>
      </c>
      <c r="I15197" t="s">
        <v>32654</v>
      </c>
      <c r="J15197" t="s">
        <v>42142</v>
      </c>
      <c r="K15197" t="s">
        <v>42631</v>
      </c>
      <c r="M15197" t="s">
        <v>46526</v>
      </c>
      <c r="N15197" t="s">
        <v>47304</v>
      </c>
      <c r="O15197" t="s">
        <v>47305</v>
      </c>
      <c r="P15197">
        <v>0</v>
      </c>
      <c r="Q15197">
        <v>2</v>
      </c>
      <c r="R15197" t="s">
        <v>47327</v>
      </c>
      <c r="S15197" t="s">
        <v>48437</v>
      </c>
      <c r="T15197" t="s">
        <v>49315</v>
      </c>
      <c r="U15197" t="s">
        <v>62056</v>
      </c>
      <c r="W15197" t="s">
        <v>46526</v>
      </c>
      <c r="X15197" t="s">
        <v>47328</v>
      </c>
    </row>
    <row r="15198" spans="1:24">
      <c r="A15198">
        <f>HYPERLINK("https://www.philgeps.gov.ph/GEPSNONPILOT/Tender/SplashBidNoticeAbstractUI.aspx?menuIndex=3&amp;refID=7154972&amp;Result=3","7154972")</f>
        <v>0</v>
      </c>
      <c r="B15198" t="s">
        <v>3860</v>
      </c>
      <c r="C15198" t="s">
        <v>18252</v>
      </c>
      <c r="D15198" t="s">
        <v>18993</v>
      </c>
      <c r="E15198" t="s">
        <v>24098</v>
      </c>
      <c r="F15198" t="s">
        <v>32606</v>
      </c>
      <c r="G15198" t="s">
        <v>32613</v>
      </c>
      <c r="H15198" t="s">
        <v>32625</v>
      </c>
      <c r="I15198" t="s">
        <v>32625</v>
      </c>
      <c r="J15198" t="s">
        <v>35368</v>
      </c>
      <c r="K15198" t="s">
        <v>42648</v>
      </c>
      <c r="M15198" t="s">
        <v>47212</v>
      </c>
      <c r="N15198" t="s">
        <v>47304</v>
      </c>
      <c r="O15198" t="s">
        <v>47305</v>
      </c>
      <c r="P15198">
        <v>0</v>
      </c>
      <c r="Q15198">
        <v>8</v>
      </c>
      <c r="R15198" t="s">
        <v>47327</v>
      </c>
      <c r="S15198" t="s">
        <v>48437</v>
      </c>
      <c r="T15198" t="s">
        <v>49023</v>
      </c>
      <c r="U15198" t="s">
        <v>62057</v>
      </c>
      <c r="W15198" t="s">
        <v>47212</v>
      </c>
      <c r="X15198" t="s">
        <v>47328</v>
      </c>
    </row>
    <row r="15199" spans="1:24">
      <c r="A15199">
        <f>HYPERLINK("https://www.philgeps.gov.ph/GEPSNONPILOT/Tender/SplashBidNoticeAbstractUI.aspx?menuIndex=3&amp;refID=7154980&amp;Result=3","7154980")</f>
        <v>0</v>
      </c>
      <c r="B15199" t="s">
        <v>1331</v>
      </c>
      <c r="C15199" t="s">
        <v>18253</v>
      </c>
      <c r="D15199" t="s">
        <v>18999</v>
      </c>
      <c r="E15199" t="s">
        <v>31941</v>
      </c>
      <c r="F15199" t="s">
        <v>32606</v>
      </c>
      <c r="G15199" t="s">
        <v>32613</v>
      </c>
      <c r="H15199" t="s">
        <v>32623</v>
      </c>
      <c r="I15199" t="s">
        <v>17648</v>
      </c>
      <c r="J15199" t="s">
        <v>39538</v>
      </c>
      <c r="K15199" t="s">
        <v>42645</v>
      </c>
      <c r="M15199" t="s">
        <v>44399</v>
      </c>
      <c r="N15199" t="s">
        <v>47304</v>
      </c>
      <c r="O15199" t="s">
        <v>47305</v>
      </c>
      <c r="Q15199">
        <v>28</v>
      </c>
      <c r="R15199" t="s">
        <v>47327</v>
      </c>
      <c r="S15199" t="s">
        <v>47563</v>
      </c>
      <c r="T15199" t="s">
        <v>48986</v>
      </c>
      <c r="U15199" t="s">
        <v>62058</v>
      </c>
      <c r="W15199" t="s">
        <v>64472</v>
      </c>
      <c r="X15199" t="s">
        <v>47328</v>
      </c>
    </row>
    <row r="15200" spans="1:24">
      <c r="A15200">
        <f>HYPERLINK("https://www.philgeps.gov.ph/GEPSNONPILOT/Tender/SplashBidNoticeAbstractUI.aspx?menuIndex=3&amp;refID=7154961&amp;Result=3","7154961")</f>
        <v>0</v>
      </c>
      <c r="B15200" t="s">
        <v>1402</v>
      </c>
      <c r="C15200" t="s">
        <v>18254</v>
      </c>
      <c r="D15200" t="s">
        <v>18992</v>
      </c>
      <c r="E15200" t="s">
        <v>31942</v>
      </c>
      <c r="F15200" t="s">
        <v>32606</v>
      </c>
      <c r="G15200" t="s">
        <v>32613</v>
      </c>
      <c r="H15200" t="s">
        <v>14201</v>
      </c>
      <c r="I15200" t="s">
        <v>13131</v>
      </c>
      <c r="J15200" t="s">
        <v>38852</v>
      </c>
      <c r="K15200" t="s">
        <v>42631</v>
      </c>
      <c r="M15200" t="s">
        <v>45733</v>
      </c>
      <c r="N15200" t="s">
        <v>47304</v>
      </c>
      <c r="O15200" t="s">
        <v>47305</v>
      </c>
      <c r="P15200">
        <v>0</v>
      </c>
      <c r="Q15200">
        <v>2</v>
      </c>
      <c r="R15200" t="s">
        <v>47327</v>
      </c>
      <c r="S15200" t="s">
        <v>48437</v>
      </c>
      <c r="T15200" t="s">
        <v>49347</v>
      </c>
      <c r="U15200" t="s">
        <v>62059</v>
      </c>
      <c r="W15200" t="s">
        <v>45733</v>
      </c>
      <c r="X15200" t="s">
        <v>47328</v>
      </c>
    </row>
    <row r="15201" spans="1:24">
      <c r="A15201">
        <f>HYPERLINK("https://www.philgeps.gov.ph/GEPSNONPILOT/Tender/SplashBidNoticeAbstractUI.aspx?menuIndex=3&amp;refID=7154916&amp;Result=3","7154916")</f>
        <v>0</v>
      </c>
      <c r="B15201" t="s">
        <v>540</v>
      </c>
      <c r="C15201" t="s">
        <v>18255</v>
      </c>
      <c r="D15201" t="s">
        <v>19001</v>
      </c>
      <c r="E15201" t="s">
        <v>31943</v>
      </c>
      <c r="F15201" t="s">
        <v>32606</v>
      </c>
      <c r="G15201" t="s">
        <v>32613</v>
      </c>
      <c r="H15201" t="s">
        <v>32623</v>
      </c>
      <c r="I15201" t="s">
        <v>17648</v>
      </c>
      <c r="J15201" t="s">
        <v>42143</v>
      </c>
      <c r="K15201" t="s">
        <v>42646</v>
      </c>
      <c r="M15201" t="s">
        <v>43781</v>
      </c>
      <c r="N15201" t="s">
        <v>47304</v>
      </c>
      <c r="O15201" t="s">
        <v>47305</v>
      </c>
      <c r="P15201">
        <v>0</v>
      </c>
      <c r="Q15201">
        <v>0</v>
      </c>
      <c r="R15201" t="s">
        <v>47327</v>
      </c>
      <c r="S15201" t="s">
        <v>48437</v>
      </c>
      <c r="T15201" t="s">
        <v>48998</v>
      </c>
      <c r="U15201" t="s">
        <v>62060</v>
      </c>
      <c r="W15201" t="s">
        <v>43781</v>
      </c>
      <c r="X15201" t="s">
        <v>47328</v>
      </c>
    </row>
    <row r="15202" spans="1:24">
      <c r="A15202">
        <f>HYPERLINK("https://www.philgeps.gov.ph/GEPSNONPILOT/Tender/SplashBidNoticeAbstractUI.aspx?menuIndex=3&amp;refID=7154906&amp;Result=3","7154906")</f>
        <v>0</v>
      </c>
      <c r="B15202" t="s">
        <v>540</v>
      </c>
      <c r="C15202" t="s">
        <v>18256</v>
      </c>
      <c r="D15202" t="s">
        <v>19001</v>
      </c>
      <c r="E15202" t="s">
        <v>31944</v>
      </c>
      <c r="F15202" t="s">
        <v>32606</v>
      </c>
      <c r="G15202" t="s">
        <v>32613</v>
      </c>
      <c r="H15202" t="s">
        <v>32623</v>
      </c>
      <c r="I15202" t="s">
        <v>17648</v>
      </c>
      <c r="J15202" t="s">
        <v>42144</v>
      </c>
      <c r="K15202" t="s">
        <v>42838</v>
      </c>
      <c r="M15202" t="s">
        <v>43781</v>
      </c>
      <c r="N15202" t="s">
        <v>47304</v>
      </c>
      <c r="O15202" t="s">
        <v>47305</v>
      </c>
      <c r="P15202">
        <v>0</v>
      </c>
      <c r="Q15202">
        <v>0</v>
      </c>
      <c r="R15202" t="s">
        <v>47327</v>
      </c>
      <c r="S15202" t="s">
        <v>48437</v>
      </c>
      <c r="T15202" t="s">
        <v>48998</v>
      </c>
      <c r="U15202" t="s">
        <v>62061</v>
      </c>
      <c r="W15202" t="s">
        <v>43781</v>
      </c>
      <c r="X15202" t="s">
        <v>47328</v>
      </c>
    </row>
    <row r="15203" spans="1:24">
      <c r="A15203">
        <f>HYPERLINK("https://www.philgeps.gov.ph/GEPSNONPILOT/Tender/SplashBidNoticeAbstractUI.aspx?menuIndex=3&amp;refID=7154901&amp;Result=3","7154901")</f>
        <v>0</v>
      </c>
      <c r="B15203" t="s">
        <v>3861</v>
      </c>
      <c r="C15203" t="s">
        <v>18257</v>
      </c>
      <c r="D15203" t="s">
        <v>19018</v>
      </c>
      <c r="E15203" t="s">
        <v>31945</v>
      </c>
      <c r="F15203" t="s">
        <v>32606</v>
      </c>
      <c r="G15203" t="s">
        <v>32613</v>
      </c>
      <c r="H15203" t="s">
        <v>32623</v>
      </c>
      <c r="I15203" t="s">
        <v>17648</v>
      </c>
      <c r="J15203" t="s">
        <v>42145</v>
      </c>
      <c r="K15203" t="s">
        <v>42677</v>
      </c>
      <c r="M15203" t="s">
        <v>47213</v>
      </c>
      <c r="N15203" t="s">
        <v>47304</v>
      </c>
      <c r="O15203" t="s">
        <v>47305</v>
      </c>
      <c r="P15203">
        <v>0</v>
      </c>
      <c r="Q15203">
        <v>0</v>
      </c>
      <c r="R15203" t="s">
        <v>47327</v>
      </c>
      <c r="S15203" t="s">
        <v>48437</v>
      </c>
      <c r="T15203" t="s">
        <v>49071</v>
      </c>
      <c r="U15203" t="s">
        <v>62062</v>
      </c>
      <c r="W15203" t="s">
        <v>47213</v>
      </c>
      <c r="X15203" t="s">
        <v>47328</v>
      </c>
    </row>
    <row r="15204" spans="1:24">
      <c r="A15204">
        <f>HYPERLINK("https://www.philgeps.gov.ph/GEPSNONPILOT/Tender/SplashBidNoticeAbstractUI.aspx?menuIndex=3&amp;refID=7154956&amp;Result=3","7154956")</f>
        <v>0</v>
      </c>
      <c r="B15204" t="s">
        <v>1402</v>
      </c>
      <c r="C15204" t="s">
        <v>18258</v>
      </c>
      <c r="D15204" t="s">
        <v>18992</v>
      </c>
      <c r="E15204" t="s">
        <v>31946</v>
      </c>
      <c r="F15204" t="s">
        <v>32606</v>
      </c>
      <c r="G15204" t="s">
        <v>32613</v>
      </c>
      <c r="H15204" t="s">
        <v>14201</v>
      </c>
      <c r="I15204" t="s">
        <v>6931</v>
      </c>
      <c r="J15204" t="s">
        <v>42146</v>
      </c>
      <c r="K15204" t="s">
        <v>42668</v>
      </c>
      <c r="M15204" t="s">
        <v>45733</v>
      </c>
      <c r="N15204" t="s">
        <v>47304</v>
      </c>
      <c r="O15204" t="s">
        <v>47305</v>
      </c>
      <c r="P15204">
        <v>0</v>
      </c>
      <c r="Q15204">
        <v>0</v>
      </c>
      <c r="R15204" t="s">
        <v>47327</v>
      </c>
      <c r="S15204" t="s">
        <v>48437</v>
      </c>
      <c r="T15204" t="s">
        <v>49347</v>
      </c>
      <c r="U15204" t="s">
        <v>62063</v>
      </c>
      <c r="W15204" t="s">
        <v>45733</v>
      </c>
      <c r="X15204" t="s">
        <v>47328</v>
      </c>
    </row>
    <row r="15205" spans="1:24">
      <c r="A15205">
        <f>HYPERLINK("https://www.philgeps.gov.ph/GEPSNONPILOT/Tender/SplashBidNoticeAbstractUI.aspx?menuIndex=3&amp;refID=7154884&amp;Result=3","7154884")</f>
        <v>0</v>
      </c>
      <c r="B15205" t="s">
        <v>540</v>
      </c>
      <c r="C15205" t="s">
        <v>18259</v>
      </c>
      <c r="D15205" t="s">
        <v>19001</v>
      </c>
      <c r="E15205" t="s">
        <v>31947</v>
      </c>
      <c r="F15205" t="s">
        <v>32606</v>
      </c>
      <c r="G15205" t="s">
        <v>32613</v>
      </c>
      <c r="H15205" t="s">
        <v>32623</v>
      </c>
      <c r="I15205" t="s">
        <v>17648</v>
      </c>
      <c r="J15205" t="s">
        <v>42147</v>
      </c>
      <c r="K15205" t="s">
        <v>42756</v>
      </c>
      <c r="M15205" t="s">
        <v>43781</v>
      </c>
      <c r="N15205" t="s">
        <v>47304</v>
      </c>
      <c r="O15205" t="s">
        <v>47305</v>
      </c>
      <c r="P15205">
        <v>0</v>
      </c>
      <c r="Q15205">
        <v>2</v>
      </c>
      <c r="R15205" t="s">
        <v>47327</v>
      </c>
      <c r="S15205" t="s">
        <v>48437</v>
      </c>
      <c r="T15205" t="s">
        <v>48998</v>
      </c>
      <c r="U15205" t="s">
        <v>62064</v>
      </c>
      <c r="W15205" t="s">
        <v>43781</v>
      </c>
      <c r="X15205" t="s">
        <v>47328</v>
      </c>
    </row>
    <row r="15206" spans="1:24">
      <c r="A15206">
        <f>HYPERLINK("https://www.philgeps.gov.ph/GEPSNONPILOT/Tender/SplashBidNoticeAbstractUI.aspx?menuIndex=3&amp;refID=7154877&amp;Result=3","7154877")</f>
        <v>0</v>
      </c>
      <c r="B15206" t="s">
        <v>3861</v>
      </c>
      <c r="C15206" t="s">
        <v>18260</v>
      </c>
      <c r="D15206" t="s">
        <v>19018</v>
      </c>
      <c r="E15206" t="s">
        <v>31948</v>
      </c>
      <c r="F15206" t="s">
        <v>32606</v>
      </c>
      <c r="G15206" t="s">
        <v>32613</v>
      </c>
      <c r="H15206" t="s">
        <v>32623</v>
      </c>
      <c r="I15206" t="s">
        <v>17648</v>
      </c>
      <c r="J15206" t="s">
        <v>34942</v>
      </c>
      <c r="K15206" t="s">
        <v>42695</v>
      </c>
      <c r="M15206" t="s">
        <v>47213</v>
      </c>
      <c r="N15206" t="s">
        <v>47304</v>
      </c>
      <c r="O15206" t="s">
        <v>47305</v>
      </c>
      <c r="P15206">
        <v>0</v>
      </c>
      <c r="Q15206">
        <v>0</v>
      </c>
      <c r="R15206" t="s">
        <v>47327</v>
      </c>
      <c r="S15206" t="s">
        <v>48437</v>
      </c>
      <c r="T15206" t="s">
        <v>49071</v>
      </c>
      <c r="U15206" t="s">
        <v>62065</v>
      </c>
      <c r="W15206" t="s">
        <v>47213</v>
      </c>
      <c r="X15206" t="s">
        <v>47328</v>
      </c>
    </row>
    <row r="15207" spans="1:24">
      <c r="A15207">
        <f>HYPERLINK("https://www.philgeps.gov.ph/GEPSNONPILOT/Tender/SplashBidNoticeAbstractUI.aspx?menuIndex=3&amp;refID=7154872&amp;Result=3","7154872")</f>
        <v>0</v>
      </c>
      <c r="B15207" t="s">
        <v>540</v>
      </c>
      <c r="C15207" t="s">
        <v>18261</v>
      </c>
      <c r="D15207" t="s">
        <v>19001</v>
      </c>
      <c r="E15207" t="s">
        <v>31949</v>
      </c>
      <c r="F15207" t="s">
        <v>32606</v>
      </c>
      <c r="G15207" t="s">
        <v>32613</v>
      </c>
      <c r="H15207" t="s">
        <v>32623</v>
      </c>
      <c r="I15207" t="s">
        <v>17648</v>
      </c>
      <c r="J15207" t="s">
        <v>42148</v>
      </c>
      <c r="K15207" t="s">
        <v>42852</v>
      </c>
      <c r="M15207" t="s">
        <v>43781</v>
      </c>
      <c r="N15207" t="s">
        <v>47304</v>
      </c>
      <c r="O15207" t="s">
        <v>47305</v>
      </c>
      <c r="P15207">
        <v>0</v>
      </c>
      <c r="Q15207">
        <v>2</v>
      </c>
      <c r="R15207" t="s">
        <v>47327</v>
      </c>
      <c r="S15207" t="s">
        <v>48437</v>
      </c>
      <c r="T15207" t="s">
        <v>48998</v>
      </c>
      <c r="U15207" t="s">
        <v>62066</v>
      </c>
      <c r="W15207" t="s">
        <v>43781</v>
      </c>
      <c r="X15207" t="s">
        <v>47328</v>
      </c>
    </row>
    <row r="15208" spans="1:24">
      <c r="A15208">
        <f>HYPERLINK("https://www.philgeps.gov.ph/GEPSNONPILOT/Tender/SplashBidNoticeAbstractUI.aspx?menuIndex=3&amp;refID=7154856&amp;Result=3","7154856")</f>
        <v>0</v>
      </c>
      <c r="B15208" t="s">
        <v>3633</v>
      </c>
      <c r="C15208" t="s">
        <v>18262</v>
      </c>
      <c r="D15208" t="s">
        <v>18992</v>
      </c>
      <c r="E15208" t="s">
        <v>31950</v>
      </c>
      <c r="F15208" t="s">
        <v>32606</v>
      </c>
      <c r="G15208" t="s">
        <v>32613</v>
      </c>
      <c r="H15208" t="s">
        <v>14201</v>
      </c>
      <c r="I15208" t="s">
        <v>32681</v>
      </c>
      <c r="J15208" t="s">
        <v>42149</v>
      </c>
      <c r="K15208" t="s">
        <v>42631</v>
      </c>
      <c r="M15208" t="s">
        <v>46931</v>
      </c>
      <c r="N15208" t="s">
        <v>47304</v>
      </c>
      <c r="O15208" t="s">
        <v>47305</v>
      </c>
      <c r="P15208">
        <v>0</v>
      </c>
      <c r="Q15208">
        <v>3</v>
      </c>
      <c r="R15208" t="s">
        <v>47327</v>
      </c>
      <c r="S15208" t="s">
        <v>48437</v>
      </c>
      <c r="T15208" t="s">
        <v>48987</v>
      </c>
      <c r="U15208" t="s">
        <v>62067</v>
      </c>
      <c r="W15208" t="s">
        <v>46931</v>
      </c>
      <c r="X15208" t="s">
        <v>47328</v>
      </c>
    </row>
    <row r="15209" spans="1:24">
      <c r="A15209">
        <f>HYPERLINK("https://www.philgeps.gov.ph/GEPSNONPILOT/Tender/SplashBidNoticeAbstractUI.aspx?menuIndex=3&amp;refID=7154848&amp;Result=3","7154848")</f>
        <v>0</v>
      </c>
      <c r="B15209" t="s">
        <v>1360</v>
      </c>
      <c r="C15209" t="s">
        <v>18263</v>
      </c>
      <c r="D15209" t="s">
        <v>19042</v>
      </c>
      <c r="E15209" t="s">
        <v>31951</v>
      </c>
      <c r="F15209" t="s">
        <v>32606</v>
      </c>
      <c r="G15209" t="s">
        <v>32613</v>
      </c>
      <c r="H15209" t="s">
        <v>14201</v>
      </c>
      <c r="I15209" t="s">
        <v>32632</v>
      </c>
      <c r="J15209" t="s">
        <v>42150</v>
      </c>
      <c r="K15209" t="s">
        <v>42623</v>
      </c>
      <c r="M15209" t="s">
        <v>44336</v>
      </c>
      <c r="N15209" t="s">
        <v>47304</v>
      </c>
      <c r="O15209" t="s">
        <v>47305</v>
      </c>
      <c r="Q15209">
        <v>9</v>
      </c>
      <c r="R15209" t="s">
        <v>47327</v>
      </c>
      <c r="S15209" t="s">
        <v>48371</v>
      </c>
      <c r="T15209" t="s">
        <v>48998</v>
      </c>
      <c r="U15209" t="s">
        <v>62068</v>
      </c>
      <c r="W15209" t="s">
        <v>44336</v>
      </c>
      <c r="X15209" t="s">
        <v>47328</v>
      </c>
    </row>
    <row r="15210" spans="1:24">
      <c r="A15210">
        <f>HYPERLINK("https://www.philgeps.gov.ph/GEPSNONPILOT/Tender/SplashBidNoticeAbstractUI.aspx?menuIndex=3&amp;refID=7154099&amp;Result=3","7154099")</f>
        <v>0</v>
      </c>
      <c r="B15210" t="s">
        <v>1672</v>
      </c>
      <c r="C15210" t="s">
        <v>18264</v>
      </c>
      <c r="D15210" t="s">
        <v>19019</v>
      </c>
      <c r="E15210" t="s">
        <v>31952</v>
      </c>
      <c r="F15210" t="s">
        <v>32606</v>
      </c>
      <c r="G15210" t="s">
        <v>32613</v>
      </c>
      <c r="H15210" t="s">
        <v>32625</v>
      </c>
      <c r="I15210" t="s">
        <v>32625</v>
      </c>
      <c r="J15210" t="s">
        <v>37619</v>
      </c>
      <c r="K15210" t="s">
        <v>42623</v>
      </c>
      <c r="M15210" t="s">
        <v>44699</v>
      </c>
      <c r="N15210" t="s">
        <v>47304</v>
      </c>
      <c r="O15210" t="s">
        <v>47305</v>
      </c>
      <c r="P15210">
        <v>0</v>
      </c>
      <c r="Q15210">
        <v>1</v>
      </c>
      <c r="R15210" t="s">
        <v>47327</v>
      </c>
      <c r="S15210" t="s">
        <v>48437</v>
      </c>
      <c r="T15210" t="s">
        <v>48986</v>
      </c>
      <c r="U15210" t="s">
        <v>62069</v>
      </c>
      <c r="W15210" t="s">
        <v>44699</v>
      </c>
      <c r="X15210" t="s">
        <v>47328</v>
      </c>
    </row>
    <row r="15211" spans="1:24">
      <c r="A15211">
        <f>HYPERLINK("https://www.philgeps.gov.ph/GEPSNONPILOT/Tender/SplashBidNoticeAbstractUI.aspx?menuIndex=3&amp;refID=7149534&amp;Result=3","7149534")</f>
        <v>0</v>
      </c>
      <c r="B15211" t="s">
        <v>696</v>
      </c>
      <c r="C15211" t="s">
        <v>18265</v>
      </c>
      <c r="D15211" t="s">
        <v>18993</v>
      </c>
      <c r="E15211" t="s">
        <v>31953</v>
      </c>
      <c r="F15211" t="s">
        <v>32606</v>
      </c>
      <c r="G15211" t="s">
        <v>32617</v>
      </c>
      <c r="H15211" t="s">
        <v>14201</v>
      </c>
      <c r="I15211" t="s">
        <v>4120</v>
      </c>
      <c r="J15211" t="s">
        <v>32963</v>
      </c>
      <c r="K15211" t="s">
        <v>42627</v>
      </c>
      <c r="M15211" t="s">
        <v>45418</v>
      </c>
      <c r="N15211" t="s">
        <v>47304</v>
      </c>
      <c r="O15211" t="s">
        <v>47305</v>
      </c>
      <c r="Q15211">
        <v>4</v>
      </c>
      <c r="R15211" t="s">
        <v>47328</v>
      </c>
      <c r="S15211" t="s">
        <v>48466</v>
      </c>
      <c r="T15211" t="s">
        <v>49017</v>
      </c>
      <c r="U15211" t="s">
        <v>50770</v>
      </c>
      <c r="V15211" t="s">
        <v>63666</v>
      </c>
      <c r="W15211" t="s">
        <v>45418</v>
      </c>
      <c r="X15211" t="s">
        <v>47329</v>
      </c>
    </row>
    <row r="15212" spans="1:24">
      <c r="A15212">
        <f>HYPERLINK("https://www.philgeps.gov.ph/GEPSNONPILOT/Tender/SplashBidNoticeAbstractUI.aspx?menuIndex=3&amp;refID=7154951&amp;Result=3","7154951")</f>
        <v>0</v>
      </c>
      <c r="B15212" t="s">
        <v>1402</v>
      </c>
      <c r="C15212" t="s">
        <v>18266</v>
      </c>
      <c r="D15212" t="s">
        <v>18992</v>
      </c>
      <c r="E15212" t="s">
        <v>31954</v>
      </c>
      <c r="F15212" t="s">
        <v>32606</v>
      </c>
      <c r="G15212" t="s">
        <v>32613</v>
      </c>
      <c r="H15212" t="s">
        <v>32623</v>
      </c>
      <c r="I15212" t="s">
        <v>17648</v>
      </c>
      <c r="J15212" t="s">
        <v>42151</v>
      </c>
      <c r="K15212" t="s">
        <v>42646</v>
      </c>
      <c r="M15212" t="s">
        <v>45733</v>
      </c>
      <c r="N15212" t="s">
        <v>47304</v>
      </c>
      <c r="O15212" t="s">
        <v>47305</v>
      </c>
      <c r="P15212">
        <v>0</v>
      </c>
      <c r="Q15212">
        <v>0</v>
      </c>
      <c r="R15212" t="s">
        <v>47327</v>
      </c>
      <c r="S15212" t="s">
        <v>48437</v>
      </c>
      <c r="T15212" t="s">
        <v>49347</v>
      </c>
      <c r="U15212" t="s">
        <v>62070</v>
      </c>
      <c r="W15212" t="s">
        <v>45733</v>
      </c>
      <c r="X15212" t="s">
        <v>47328</v>
      </c>
    </row>
    <row r="15213" spans="1:24">
      <c r="A15213">
        <f>HYPERLINK("https://www.philgeps.gov.ph/GEPSNONPILOT/Tender/SplashBidNoticeAbstractUI.aspx?menuIndex=3&amp;refID=7149517&amp;Result=3","7149517")</f>
        <v>0</v>
      </c>
      <c r="B15213" t="s">
        <v>1893</v>
      </c>
      <c r="C15213" t="s">
        <v>18267</v>
      </c>
      <c r="D15213" t="s">
        <v>19066</v>
      </c>
      <c r="E15213" t="s">
        <v>31955</v>
      </c>
      <c r="F15213" t="s">
        <v>32606</v>
      </c>
      <c r="G15213" t="s">
        <v>32613</v>
      </c>
      <c r="H15213" t="s">
        <v>14201</v>
      </c>
      <c r="I15213" t="s">
        <v>4112</v>
      </c>
      <c r="J15213" t="s">
        <v>42152</v>
      </c>
      <c r="K15213" t="s">
        <v>42624</v>
      </c>
      <c r="M15213" t="s">
        <v>47214</v>
      </c>
      <c r="N15213" t="s">
        <v>47304</v>
      </c>
      <c r="O15213" t="s">
        <v>47305</v>
      </c>
      <c r="Q15213">
        <v>3</v>
      </c>
      <c r="R15213" t="s">
        <v>47328</v>
      </c>
      <c r="S15213" t="s">
        <v>47532</v>
      </c>
      <c r="T15213" t="s">
        <v>49101</v>
      </c>
      <c r="U15213" t="s">
        <v>62071</v>
      </c>
      <c r="W15213" t="s">
        <v>47214</v>
      </c>
      <c r="X15213" t="s">
        <v>47329</v>
      </c>
    </row>
    <row r="15214" spans="1:24">
      <c r="A15214">
        <f>HYPERLINK("https://www.philgeps.gov.ph/GEPSNONPILOT/Tender/SplashBidNoticeAbstractUI.aspx?menuIndex=3&amp;refID=7149270&amp;Result=3","7149270")</f>
        <v>0</v>
      </c>
      <c r="B15214" t="s">
        <v>1929</v>
      </c>
      <c r="C15214" t="s">
        <v>18268</v>
      </c>
      <c r="D15214" t="s">
        <v>19032</v>
      </c>
      <c r="E15214" t="s">
        <v>31956</v>
      </c>
      <c r="F15214" t="s">
        <v>32606</v>
      </c>
      <c r="G15214" t="s">
        <v>32613</v>
      </c>
      <c r="H15214" t="s">
        <v>14201</v>
      </c>
      <c r="I15214" t="s">
        <v>6931</v>
      </c>
      <c r="J15214" t="s">
        <v>42153</v>
      </c>
      <c r="K15214" t="s">
        <v>42623</v>
      </c>
      <c r="M15214" t="s">
        <v>44989</v>
      </c>
      <c r="N15214" t="s">
        <v>47304</v>
      </c>
      <c r="O15214" t="s">
        <v>47305</v>
      </c>
      <c r="P15214">
        <v>0</v>
      </c>
      <c r="Q15214">
        <v>0</v>
      </c>
      <c r="R15214" t="s">
        <v>47328</v>
      </c>
      <c r="S15214" t="s">
        <v>48467</v>
      </c>
      <c r="T15214" t="s">
        <v>49165</v>
      </c>
      <c r="U15214" t="s">
        <v>62072</v>
      </c>
      <c r="W15214" t="s">
        <v>44989</v>
      </c>
      <c r="X15214" t="s">
        <v>47329</v>
      </c>
    </row>
    <row r="15215" spans="1:24">
      <c r="A15215">
        <f>HYPERLINK("https://www.philgeps.gov.ph/GEPSNONPILOT/Tender/SplashBidNoticeAbstractUI.aspx?menuIndex=3&amp;refID=7149255&amp;Result=3","7149255")</f>
        <v>0</v>
      </c>
      <c r="B15215" t="s">
        <v>1500</v>
      </c>
      <c r="C15215" t="s">
        <v>18269</v>
      </c>
      <c r="D15215" t="s">
        <v>19036</v>
      </c>
      <c r="E15215" t="s">
        <v>31957</v>
      </c>
      <c r="F15215" t="s">
        <v>32606</v>
      </c>
      <c r="G15215" t="s">
        <v>32617</v>
      </c>
      <c r="H15215" t="s">
        <v>14201</v>
      </c>
      <c r="I15215" t="s">
        <v>32631</v>
      </c>
      <c r="J15215" t="s">
        <v>35966</v>
      </c>
      <c r="K15215" t="s">
        <v>42631</v>
      </c>
      <c r="M15215" t="s">
        <v>46586</v>
      </c>
      <c r="N15215" t="s">
        <v>47304</v>
      </c>
      <c r="O15215" t="s">
        <v>47305</v>
      </c>
      <c r="Q15215">
        <v>0</v>
      </c>
      <c r="R15215" t="s">
        <v>47328</v>
      </c>
      <c r="S15215" t="s">
        <v>48468</v>
      </c>
      <c r="T15215" t="s">
        <v>49071</v>
      </c>
      <c r="U15215" t="s">
        <v>62073</v>
      </c>
      <c r="W15215" t="s">
        <v>46586</v>
      </c>
      <c r="X15215" t="s">
        <v>47329</v>
      </c>
    </row>
    <row r="15216" spans="1:24">
      <c r="A15216">
        <f>HYPERLINK("https://www.philgeps.gov.ph/GEPSNONPILOT/Tender/SplashBidNoticeAbstractUI.aspx?menuIndex=3&amp;refID=7154999&amp;Result=3","7154999")</f>
        <v>0</v>
      </c>
      <c r="B15216" t="s">
        <v>575</v>
      </c>
      <c r="C15216" t="s">
        <v>18270</v>
      </c>
      <c r="D15216" t="s">
        <v>19036</v>
      </c>
      <c r="E15216" t="s">
        <v>31958</v>
      </c>
      <c r="F15216" t="s">
        <v>32606</v>
      </c>
      <c r="G15216" t="s">
        <v>32613</v>
      </c>
      <c r="H15216" t="s">
        <v>14201</v>
      </c>
      <c r="I15216" t="s">
        <v>32689</v>
      </c>
      <c r="J15216" t="s">
        <v>42154</v>
      </c>
      <c r="K15216" t="s">
        <v>42622</v>
      </c>
      <c r="M15216" t="s">
        <v>44035</v>
      </c>
      <c r="N15216" t="s">
        <v>47304</v>
      </c>
      <c r="O15216" t="s">
        <v>47305</v>
      </c>
      <c r="P15216">
        <v>0</v>
      </c>
      <c r="Q15216">
        <v>0</v>
      </c>
      <c r="R15216" t="s">
        <v>47327</v>
      </c>
      <c r="S15216" t="s">
        <v>48437</v>
      </c>
      <c r="T15216" t="s">
        <v>49071</v>
      </c>
      <c r="U15216" t="s">
        <v>62074</v>
      </c>
      <c r="W15216" t="s">
        <v>44035</v>
      </c>
      <c r="X15216" t="s">
        <v>47328</v>
      </c>
    </row>
    <row r="15217" spans="1:24">
      <c r="A15217">
        <f>HYPERLINK("https://www.philgeps.gov.ph/GEPSNONPILOT/Tender/SplashBidNoticeAbstractUI.aspx?menuIndex=3&amp;refID=7149511&amp;Result=3","7149511")</f>
        <v>0</v>
      </c>
      <c r="B15217" t="s">
        <v>3862</v>
      </c>
      <c r="C15217" t="s">
        <v>18271</v>
      </c>
      <c r="D15217" t="s">
        <v>19042</v>
      </c>
      <c r="E15217" t="s">
        <v>31959</v>
      </c>
      <c r="F15217" t="s">
        <v>32606</v>
      </c>
      <c r="G15217" t="s">
        <v>32613</v>
      </c>
      <c r="H15217" t="s">
        <v>14201</v>
      </c>
      <c r="I15217" t="s">
        <v>4678</v>
      </c>
      <c r="J15217" t="s">
        <v>42155</v>
      </c>
      <c r="K15217" t="s">
        <v>42631</v>
      </c>
      <c r="M15217" t="s">
        <v>47215</v>
      </c>
      <c r="N15217" t="s">
        <v>47304</v>
      </c>
      <c r="O15217" t="s">
        <v>47305</v>
      </c>
      <c r="P15217">
        <v>0</v>
      </c>
      <c r="Q15217">
        <v>5</v>
      </c>
      <c r="R15217" t="s">
        <v>47328</v>
      </c>
      <c r="S15217" t="s">
        <v>48467</v>
      </c>
      <c r="T15217" t="s">
        <v>49017</v>
      </c>
      <c r="U15217" t="s">
        <v>62075</v>
      </c>
      <c r="W15217" t="s">
        <v>47215</v>
      </c>
      <c r="X15217" t="s">
        <v>47329</v>
      </c>
    </row>
    <row r="15218" spans="1:24">
      <c r="A15218">
        <f>HYPERLINK("https://www.philgeps.gov.ph/GEPSNONPILOT/Tender/SplashBidNoticeAbstractUI.aspx?menuIndex=3&amp;refID=7154294&amp;Result=3","7154294")</f>
        <v>0</v>
      </c>
      <c r="B15218" t="s">
        <v>1500</v>
      </c>
      <c r="C15218" t="s">
        <v>18272</v>
      </c>
      <c r="D15218" t="s">
        <v>19036</v>
      </c>
      <c r="E15218" t="s">
        <v>31960</v>
      </c>
      <c r="F15218" t="s">
        <v>32606</v>
      </c>
      <c r="G15218" t="s">
        <v>32613</v>
      </c>
      <c r="H15218" t="s">
        <v>14201</v>
      </c>
      <c r="I15218" t="s">
        <v>4121</v>
      </c>
      <c r="J15218" t="s">
        <v>32795</v>
      </c>
      <c r="K15218" t="s">
        <v>42636</v>
      </c>
      <c r="M15218" t="s">
        <v>44496</v>
      </c>
      <c r="N15218" t="s">
        <v>47304</v>
      </c>
      <c r="O15218" t="s">
        <v>47305</v>
      </c>
      <c r="Q15218">
        <v>8</v>
      </c>
      <c r="R15218" t="s">
        <v>47327</v>
      </c>
      <c r="S15218" t="s">
        <v>48469</v>
      </c>
      <c r="T15218" t="s">
        <v>49347</v>
      </c>
      <c r="U15218" t="s">
        <v>62076</v>
      </c>
      <c r="W15218" t="s">
        <v>44496</v>
      </c>
      <c r="X15218" t="s">
        <v>47328</v>
      </c>
    </row>
    <row r="15219" spans="1:24">
      <c r="A15219">
        <f>HYPERLINK("https://www.philgeps.gov.ph/GEPSNONPILOT/Tender/SplashBidNoticeAbstractUI.aspx?menuIndex=3&amp;refID=7149214&amp;Result=3","7149214")</f>
        <v>0</v>
      </c>
      <c r="B15219" t="s">
        <v>1808</v>
      </c>
      <c r="C15219" t="s">
        <v>18273</v>
      </c>
      <c r="D15219" t="s">
        <v>19023</v>
      </c>
      <c r="E15219" t="s">
        <v>31961</v>
      </c>
      <c r="F15219" t="s">
        <v>32606</v>
      </c>
      <c r="G15219" t="s">
        <v>32613</v>
      </c>
      <c r="H15219" t="s">
        <v>14201</v>
      </c>
      <c r="I15219" t="s">
        <v>32650</v>
      </c>
      <c r="J15219" t="s">
        <v>42156</v>
      </c>
      <c r="K15219" t="s">
        <v>42636</v>
      </c>
      <c r="M15219" t="s">
        <v>44849</v>
      </c>
      <c r="N15219" t="s">
        <v>47304</v>
      </c>
      <c r="O15219" t="s">
        <v>47305</v>
      </c>
      <c r="P15219">
        <v>0</v>
      </c>
      <c r="Q15219">
        <v>1</v>
      </c>
      <c r="R15219" t="s">
        <v>47328</v>
      </c>
      <c r="S15219" t="s">
        <v>48467</v>
      </c>
      <c r="T15219" t="s">
        <v>49256</v>
      </c>
      <c r="U15219" t="s">
        <v>62077</v>
      </c>
      <c r="V15219" t="s">
        <v>63110</v>
      </c>
      <c r="W15219" t="s">
        <v>44849</v>
      </c>
      <c r="X15219" t="s">
        <v>47329</v>
      </c>
    </row>
    <row r="15220" spans="1:24">
      <c r="A15220">
        <f>HYPERLINK("https://www.philgeps.gov.ph/GEPSNONPILOT/Tender/SplashBidNoticeAbstractUI.aspx?menuIndex=3&amp;refID=7145622&amp;Result=3","7145622")</f>
        <v>0</v>
      </c>
      <c r="B15220" t="s">
        <v>1500</v>
      </c>
      <c r="C15220" t="s">
        <v>18274</v>
      </c>
      <c r="D15220" t="s">
        <v>19036</v>
      </c>
      <c r="E15220" t="s">
        <v>31962</v>
      </c>
      <c r="F15220" t="s">
        <v>32606</v>
      </c>
      <c r="G15220" t="s">
        <v>32617</v>
      </c>
      <c r="H15220" t="s">
        <v>14201</v>
      </c>
      <c r="I15220" t="s">
        <v>6298</v>
      </c>
      <c r="J15220" t="s">
        <v>42157</v>
      </c>
      <c r="K15220" t="s">
        <v>42631</v>
      </c>
      <c r="M15220" t="s">
        <v>46586</v>
      </c>
      <c r="N15220" t="s">
        <v>47304</v>
      </c>
      <c r="O15220" t="s">
        <v>47305</v>
      </c>
      <c r="Q15220">
        <v>3</v>
      </c>
      <c r="R15220" t="s">
        <v>47328</v>
      </c>
      <c r="S15220" t="s">
        <v>48470</v>
      </c>
      <c r="T15220" t="s">
        <v>49071</v>
      </c>
      <c r="U15220" t="s">
        <v>62078</v>
      </c>
      <c r="W15220" t="s">
        <v>46586</v>
      </c>
      <c r="X15220" t="s">
        <v>47332</v>
      </c>
    </row>
    <row r="15221" spans="1:24">
      <c r="A15221">
        <f>HYPERLINK("https://www.philgeps.gov.ph/GEPSNONPILOT/Tender/SplashBidNoticeAbstractUI.aspx?menuIndex=3&amp;refID=7149258&amp;Result=3","7149258")</f>
        <v>0</v>
      </c>
      <c r="B15221" t="s">
        <v>1500</v>
      </c>
      <c r="C15221" t="s">
        <v>16721</v>
      </c>
      <c r="D15221" t="s">
        <v>19036</v>
      </c>
      <c r="E15221" t="s">
        <v>31963</v>
      </c>
      <c r="F15221" t="s">
        <v>32606</v>
      </c>
      <c r="G15221" t="s">
        <v>32617</v>
      </c>
      <c r="H15221" t="s">
        <v>14201</v>
      </c>
      <c r="I15221" t="s">
        <v>9013</v>
      </c>
      <c r="J15221" t="s">
        <v>33561</v>
      </c>
      <c r="K15221" t="s">
        <v>42631</v>
      </c>
      <c r="M15221" t="s">
        <v>46586</v>
      </c>
      <c r="N15221" t="s">
        <v>47304</v>
      </c>
      <c r="O15221" t="s">
        <v>47305</v>
      </c>
      <c r="Q15221">
        <v>10</v>
      </c>
      <c r="R15221" t="s">
        <v>47328</v>
      </c>
      <c r="S15221" t="s">
        <v>48468</v>
      </c>
      <c r="T15221" t="s">
        <v>49071</v>
      </c>
      <c r="U15221" t="s">
        <v>62079</v>
      </c>
      <c r="W15221" t="s">
        <v>46586</v>
      </c>
      <c r="X15221" t="s">
        <v>47329</v>
      </c>
    </row>
    <row r="15222" spans="1:24">
      <c r="A15222">
        <f>HYPERLINK("https://www.philgeps.gov.ph/GEPSNONPILOT/Tender/SplashBidNoticeAbstractUI.aspx?menuIndex=3&amp;refID=7155196&amp;Result=3","7155196")</f>
        <v>0</v>
      </c>
      <c r="B15222" t="s">
        <v>3008</v>
      </c>
      <c r="C15222" t="s">
        <v>18275</v>
      </c>
      <c r="D15222" t="s">
        <v>18993</v>
      </c>
      <c r="E15222" t="s">
        <v>19311</v>
      </c>
      <c r="F15222" t="s">
        <v>32606</v>
      </c>
      <c r="G15222" t="s">
        <v>32613</v>
      </c>
      <c r="H15222" t="s">
        <v>14201</v>
      </c>
      <c r="I15222" t="s">
        <v>6298</v>
      </c>
      <c r="J15222" t="s">
        <v>42158</v>
      </c>
      <c r="K15222" t="s">
        <v>42714</v>
      </c>
      <c r="M15222" t="s">
        <v>46197</v>
      </c>
      <c r="N15222" t="s">
        <v>47304</v>
      </c>
      <c r="O15222" t="s">
        <v>47305</v>
      </c>
      <c r="P15222">
        <v>0</v>
      </c>
      <c r="Q15222">
        <v>3</v>
      </c>
      <c r="R15222" t="s">
        <v>47327</v>
      </c>
      <c r="S15222" t="s">
        <v>48437</v>
      </c>
      <c r="T15222" t="s">
        <v>49178</v>
      </c>
      <c r="U15222" t="s">
        <v>62080</v>
      </c>
      <c r="V15222" t="s">
        <v>62763</v>
      </c>
      <c r="W15222" t="s">
        <v>46197</v>
      </c>
      <c r="X15222" t="s">
        <v>47328</v>
      </c>
    </row>
    <row r="15223" spans="1:24">
      <c r="A15223">
        <f>HYPERLINK("https://www.philgeps.gov.ph/GEPSNONPILOT/Tender/SplashBidNoticeAbstractUI.aspx?menuIndex=3&amp;refID=7155146&amp;Result=3","7155146")</f>
        <v>0</v>
      </c>
      <c r="B15223" t="s">
        <v>282</v>
      </c>
      <c r="C15223" t="s">
        <v>18276</v>
      </c>
      <c r="D15223" t="s">
        <v>19051</v>
      </c>
      <c r="E15223" t="s">
        <v>31964</v>
      </c>
      <c r="F15223" t="s">
        <v>32606</v>
      </c>
      <c r="G15223" t="s">
        <v>32613</v>
      </c>
      <c r="H15223" t="s">
        <v>14201</v>
      </c>
      <c r="I15223" t="s">
        <v>32640</v>
      </c>
      <c r="J15223" t="s">
        <v>32765</v>
      </c>
      <c r="K15223" t="s">
        <v>42631</v>
      </c>
      <c r="M15223" t="s">
        <v>43183</v>
      </c>
      <c r="N15223" t="s">
        <v>47304</v>
      </c>
      <c r="O15223" t="s">
        <v>47305</v>
      </c>
      <c r="Q15223">
        <v>1</v>
      </c>
      <c r="R15223" t="s">
        <v>47327</v>
      </c>
      <c r="S15223" t="s">
        <v>48471</v>
      </c>
      <c r="T15223" t="s">
        <v>48986</v>
      </c>
      <c r="U15223" t="s">
        <v>62081</v>
      </c>
      <c r="W15223" t="s">
        <v>43183</v>
      </c>
      <c r="X15223" t="s">
        <v>47328</v>
      </c>
    </row>
    <row r="15224" spans="1:24">
      <c r="A15224">
        <f>HYPERLINK("https://www.philgeps.gov.ph/GEPSNONPILOT/Tender/SplashBidNoticeAbstractUI.aspx?menuIndex=3&amp;refID=7150310&amp;Result=3","7150310")</f>
        <v>0</v>
      </c>
      <c r="B15224" t="s">
        <v>2476</v>
      </c>
      <c r="C15224" t="s">
        <v>18277</v>
      </c>
      <c r="D15224" t="s">
        <v>19015</v>
      </c>
      <c r="E15224" t="s">
        <v>31965</v>
      </c>
      <c r="F15224" t="s">
        <v>32606</v>
      </c>
      <c r="G15224" t="s">
        <v>32613</v>
      </c>
      <c r="H15224" t="s">
        <v>14201</v>
      </c>
      <c r="I15224" t="s">
        <v>6993</v>
      </c>
      <c r="J15224" t="s">
        <v>42159</v>
      </c>
      <c r="K15224" t="s">
        <v>42631</v>
      </c>
      <c r="L15224" t="s">
        <v>2476</v>
      </c>
      <c r="M15224" t="s">
        <v>45612</v>
      </c>
      <c r="N15224" t="s">
        <v>47304</v>
      </c>
      <c r="O15224" t="s">
        <v>47305</v>
      </c>
      <c r="P15224">
        <v>0</v>
      </c>
      <c r="Q15224">
        <v>7</v>
      </c>
      <c r="R15224" t="s">
        <v>47328</v>
      </c>
      <c r="S15224" t="s">
        <v>48467</v>
      </c>
      <c r="T15224" t="s">
        <v>49268</v>
      </c>
      <c r="U15224" t="s">
        <v>62082</v>
      </c>
      <c r="W15224" t="s">
        <v>45612</v>
      </c>
      <c r="X15224" t="s">
        <v>47329</v>
      </c>
    </row>
    <row r="15225" spans="1:24">
      <c r="A15225">
        <f>HYPERLINK("https://www.philgeps.gov.ph/GEPSNONPILOT/Tender/SplashBidNoticeAbstractUI.aspx?menuIndex=3&amp;refID=7155198&amp;Result=3","7155198")</f>
        <v>0</v>
      </c>
      <c r="B15225" t="s">
        <v>212</v>
      </c>
      <c r="C15225" t="s">
        <v>18278</v>
      </c>
      <c r="D15225" t="s">
        <v>19007</v>
      </c>
      <c r="E15225" t="s">
        <v>31966</v>
      </c>
      <c r="F15225" t="s">
        <v>32606</v>
      </c>
      <c r="G15225" t="s">
        <v>32613</v>
      </c>
      <c r="H15225" t="s">
        <v>14201</v>
      </c>
      <c r="I15225" t="s">
        <v>4121</v>
      </c>
      <c r="J15225" t="s">
        <v>33039</v>
      </c>
      <c r="K15225" t="s">
        <v>42639</v>
      </c>
      <c r="M15225" t="s">
        <v>43113</v>
      </c>
      <c r="N15225" t="s">
        <v>47304</v>
      </c>
      <c r="O15225" t="s">
        <v>47305</v>
      </c>
      <c r="Q15225">
        <v>15</v>
      </c>
      <c r="R15225" t="s">
        <v>47327</v>
      </c>
      <c r="S15225" t="s">
        <v>48472</v>
      </c>
      <c r="T15225" t="s">
        <v>49040</v>
      </c>
      <c r="U15225" t="s">
        <v>62083</v>
      </c>
      <c r="W15225" t="s">
        <v>43113</v>
      </c>
      <c r="X15225" t="s">
        <v>47328</v>
      </c>
    </row>
    <row r="15226" spans="1:24">
      <c r="A15226">
        <f>HYPERLINK("https://www.philgeps.gov.ph/GEPSNONPILOT/Tender/SplashBidNoticeAbstractUI.aspx?menuIndex=3&amp;refID=7149251&amp;Result=3","7149251")</f>
        <v>0</v>
      </c>
      <c r="B15226" t="s">
        <v>1500</v>
      </c>
      <c r="C15226" t="s">
        <v>18279</v>
      </c>
      <c r="D15226" t="s">
        <v>19036</v>
      </c>
      <c r="E15226" t="s">
        <v>31967</v>
      </c>
      <c r="F15226" t="s">
        <v>32606</v>
      </c>
      <c r="G15226" t="s">
        <v>32617</v>
      </c>
      <c r="H15226" t="s">
        <v>14201</v>
      </c>
      <c r="I15226" t="s">
        <v>4678</v>
      </c>
      <c r="J15226" t="s">
        <v>33102</v>
      </c>
      <c r="K15226" t="s">
        <v>42631</v>
      </c>
      <c r="M15226" t="s">
        <v>46586</v>
      </c>
      <c r="N15226" t="s">
        <v>47304</v>
      </c>
      <c r="O15226" t="s">
        <v>47305</v>
      </c>
      <c r="Q15226">
        <v>1</v>
      </c>
      <c r="R15226" t="s">
        <v>47328</v>
      </c>
      <c r="S15226" t="s">
        <v>48473</v>
      </c>
      <c r="T15226" t="s">
        <v>49071</v>
      </c>
      <c r="U15226" t="s">
        <v>62084</v>
      </c>
      <c r="W15226" t="s">
        <v>46586</v>
      </c>
      <c r="X15226" t="s">
        <v>47329</v>
      </c>
    </row>
    <row r="15227" spans="1:24">
      <c r="A15227">
        <f>HYPERLINK("https://www.philgeps.gov.ph/GEPSNONPILOT/Tender/SplashBidNoticeAbstractUI.aspx?menuIndex=3&amp;refID=7149252&amp;Result=3","7149252")</f>
        <v>0</v>
      </c>
      <c r="B15227" t="s">
        <v>1500</v>
      </c>
      <c r="C15227" t="s">
        <v>18280</v>
      </c>
      <c r="D15227" t="s">
        <v>19036</v>
      </c>
      <c r="E15227" t="s">
        <v>31968</v>
      </c>
      <c r="F15227" t="s">
        <v>32606</v>
      </c>
      <c r="G15227" t="s">
        <v>32617</v>
      </c>
      <c r="H15227" t="s">
        <v>14201</v>
      </c>
      <c r="I15227" t="s">
        <v>9013</v>
      </c>
      <c r="J15227" t="s">
        <v>32799</v>
      </c>
      <c r="K15227" t="s">
        <v>42631</v>
      </c>
      <c r="M15227" t="s">
        <v>46586</v>
      </c>
      <c r="N15227" t="s">
        <v>47304</v>
      </c>
      <c r="O15227" t="s">
        <v>47305</v>
      </c>
      <c r="Q15227">
        <v>3</v>
      </c>
      <c r="R15227" t="s">
        <v>47328</v>
      </c>
      <c r="S15227" t="s">
        <v>48473</v>
      </c>
      <c r="T15227" t="s">
        <v>49071</v>
      </c>
      <c r="U15227" t="s">
        <v>62085</v>
      </c>
      <c r="W15227" t="s">
        <v>46586</v>
      </c>
      <c r="X15227" t="s">
        <v>47329</v>
      </c>
    </row>
    <row r="15228" spans="1:24">
      <c r="A15228">
        <f>HYPERLINK("https://www.philgeps.gov.ph/GEPSNONPILOT/Tender/SplashBidNoticeAbstractUI.aspx?menuIndex=3&amp;refID=7150285&amp;Result=3","7150285")</f>
        <v>0</v>
      </c>
      <c r="B15228" t="s">
        <v>703</v>
      </c>
      <c r="C15228" t="s">
        <v>18281</v>
      </c>
      <c r="D15228" t="s">
        <v>18992</v>
      </c>
      <c r="E15228" t="s">
        <v>31969</v>
      </c>
      <c r="F15228" t="s">
        <v>32606</v>
      </c>
      <c r="G15228" t="s">
        <v>32613</v>
      </c>
      <c r="H15228" t="s">
        <v>14201</v>
      </c>
      <c r="I15228" t="s">
        <v>13131</v>
      </c>
      <c r="J15228" t="s">
        <v>34709</v>
      </c>
      <c r="K15228" t="s">
        <v>42694</v>
      </c>
      <c r="M15228" t="s">
        <v>43624</v>
      </c>
      <c r="N15228" t="s">
        <v>47304</v>
      </c>
      <c r="O15228" t="s">
        <v>47305</v>
      </c>
      <c r="Q15228">
        <v>3</v>
      </c>
      <c r="R15228" t="s">
        <v>47328</v>
      </c>
      <c r="S15228" t="s">
        <v>48474</v>
      </c>
      <c r="T15228" t="s">
        <v>49347</v>
      </c>
      <c r="U15228" t="s">
        <v>62086</v>
      </c>
      <c r="V15228" t="s">
        <v>64334</v>
      </c>
      <c r="W15228" t="s">
        <v>43624</v>
      </c>
      <c r="X15228" t="s">
        <v>47329</v>
      </c>
    </row>
    <row r="15229" spans="1:24">
      <c r="A15229">
        <f>HYPERLINK("https://www.philgeps.gov.ph/GEPSNONPILOT/Tender/SplashBidNoticeAbstractUI.aspx?menuIndex=3&amp;refID=7150185&amp;Result=3","7150185")</f>
        <v>0</v>
      </c>
      <c r="B15229" t="s">
        <v>3863</v>
      </c>
      <c r="C15229" t="s">
        <v>18282</v>
      </c>
      <c r="D15229" t="s">
        <v>19024</v>
      </c>
      <c r="E15229" t="s">
        <v>23831</v>
      </c>
      <c r="F15229" t="s">
        <v>32606</v>
      </c>
      <c r="G15229" t="s">
        <v>32613</v>
      </c>
      <c r="H15229" t="s">
        <v>14201</v>
      </c>
      <c r="I15229" t="s">
        <v>6931</v>
      </c>
      <c r="J15229" t="s">
        <v>32981</v>
      </c>
      <c r="K15229" t="s">
        <v>42631</v>
      </c>
      <c r="M15229" t="s">
        <v>47216</v>
      </c>
      <c r="N15229" t="s">
        <v>47304</v>
      </c>
      <c r="O15229" t="s">
        <v>47305</v>
      </c>
      <c r="P15229">
        <v>0</v>
      </c>
      <c r="Q15229">
        <v>0</v>
      </c>
      <c r="R15229" t="s">
        <v>47328</v>
      </c>
      <c r="S15229" t="s">
        <v>48467</v>
      </c>
      <c r="T15229" t="s">
        <v>48986</v>
      </c>
      <c r="U15229" t="s">
        <v>54796</v>
      </c>
      <c r="W15229" t="s">
        <v>47216</v>
      </c>
      <c r="X15229" t="s">
        <v>47329</v>
      </c>
    </row>
    <row r="15230" spans="1:24">
      <c r="A15230">
        <f>HYPERLINK("https://www.philgeps.gov.ph/GEPSNONPILOT/Tender/SplashBidNoticeAbstractUI.aspx?menuIndex=3&amp;refID=7150174&amp;Result=3","7150174")</f>
        <v>0</v>
      </c>
      <c r="B15230" t="s">
        <v>3863</v>
      </c>
      <c r="C15230" t="s">
        <v>18283</v>
      </c>
      <c r="D15230" t="s">
        <v>19024</v>
      </c>
      <c r="E15230" t="s">
        <v>19096</v>
      </c>
      <c r="F15230" t="s">
        <v>32606</v>
      </c>
      <c r="G15230" t="s">
        <v>32613</v>
      </c>
      <c r="H15230" t="s">
        <v>14201</v>
      </c>
      <c r="I15230" t="s">
        <v>32655</v>
      </c>
      <c r="J15230" t="s">
        <v>34321</v>
      </c>
      <c r="K15230" t="s">
        <v>42631</v>
      </c>
      <c r="M15230" t="s">
        <v>47216</v>
      </c>
      <c r="N15230" t="s">
        <v>47304</v>
      </c>
      <c r="O15230" t="s">
        <v>47305</v>
      </c>
      <c r="P15230">
        <v>0</v>
      </c>
      <c r="Q15230">
        <v>3</v>
      </c>
      <c r="R15230" t="s">
        <v>47328</v>
      </c>
      <c r="S15230" t="s">
        <v>48467</v>
      </c>
      <c r="T15230" t="s">
        <v>48986</v>
      </c>
      <c r="U15230" t="s">
        <v>62087</v>
      </c>
      <c r="W15230" t="s">
        <v>47216</v>
      </c>
      <c r="X15230" t="s">
        <v>47329</v>
      </c>
    </row>
    <row r="15231" spans="1:24">
      <c r="A15231">
        <f>HYPERLINK("https://www.philgeps.gov.ph/GEPSNONPILOT/Tender/SplashBidNoticeAbstractUI.aspx?menuIndex=3&amp;refID=7150163&amp;Result=3","7150163")</f>
        <v>0</v>
      </c>
      <c r="B15231" t="s">
        <v>3863</v>
      </c>
      <c r="C15231" t="s">
        <v>18284</v>
      </c>
      <c r="D15231" t="s">
        <v>19024</v>
      </c>
      <c r="E15231" t="s">
        <v>20038</v>
      </c>
      <c r="F15231" t="s">
        <v>32606</v>
      </c>
      <c r="G15231" t="s">
        <v>32613</v>
      </c>
      <c r="H15231" t="s">
        <v>14201</v>
      </c>
      <c r="I15231" t="s">
        <v>8606</v>
      </c>
      <c r="J15231" t="s">
        <v>42160</v>
      </c>
      <c r="K15231" t="s">
        <v>42631</v>
      </c>
      <c r="M15231" t="s">
        <v>47216</v>
      </c>
      <c r="N15231" t="s">
        <v>47304</v>
      </c>
      <c r="O15231" t="s">
        <v>47305</v>
      </c>
      <c r="P15231">
        <v>0</v>
      </c>
      <c r="Q15231">
        <v>2</v>
      </c>
      <c r="R15231" t="s">
        <v>47328</v>
      </c>
      <c r="S15231" t="s">
        <v>48467</v>
      </c>
      <c r="T15231" t="s">
        <v>48986</v>
      </c>
      <c r="U15231" t="s">
        <v>52332</v>
      </c>
      <c r="W15231" t="s">
        <v>47216</v>
      </c>
      <c r="X15231" t="s">
        <v>47329</v>
      </c>
    </row>
    <row r="15232" spans="1:24">
      <c r="A15232">
        <f>HYPERLINK("https://www.philgeps.gov.ph/GEPSNONPILOT/Tender/SplashBidNoticeAbstractUI.aspx?menuIndex=3&amp;refID=7150037&amp;Result=3","7150037")</f>
        <v>0</v>
      </c>
      <c r="B15232" t="s">
        <v>696</v>
      </c>
      <c r="C15232" t="s">
        <v>18285</v>
      </c>
      <c r="D15232" t="s">
        <v>18993</v>
      </c>
      <c r="E15232" t="s">
        <v>31970</v>
      </c>
      <c r="F15232" t="s">
        <v>32606</v>
      </c>
      <c r="G15232" t="s">
        <v>32617</v>
      </c>
      <c r="H15232" t="s">
        <v>14201</v>
      </c>
      <c r="I15232" t="s">
        <v>4114</v>
      </c>
      <c r="J15232" t="s">
        <v>42161</v>
      </c>
      <c r="K15232" t="s">
        <v>42623</v>
      </c>
      <c r="M15232" t="s">
        <v>45418</v>
      </c>
      <c r="N15232" t="s">
        <v>47304</v>
      </c>
      <c r="O15232" t="s">
        <v>47305</v>
      </c>
      <c r="Q15232">
        <v>15</v>
      </c>
      <c r="R15232" t="s">
        <v>47328</v>
      </c>
      <c r="S15232" t="s">
        <v>48475</v>
      </c>
      <c r="T15232" t="s">
        <v>49081</v>
      </c>
      <c r="U15232" t="s">
        <v>50770</v>
      </c>
      <c r="V15232" t="s">
        <v>64144</v>
      </c>
      <c r="W15232" t="s">
        <v>45418</v>
      </c>
      <c r="X15232" t="s">
        <v>47329</v>
      </c>
    </row>
    <row r="15233" spans="1:24">
      <c r="A15233">
        <f>HYPERLINK("https://www.philgeps.gov.ph/GEPSNONPILOT/Tender/SplashBidNoticeAbstractUI.aspx?menuIndex=3&amp;refID=7150226&amp;Result=3","7150226")</f>
        <v>0</v>
      </c>
      <c r="B15233" t="s">
        <v>1343</v>
      </c>
      <c r="C15233" t="s">
        <v>18286</v>
      </c>
      <c r="D15233" t="s">
        <v>19016</v>
      </c>
      <c r="E15233" t="s">
        <v>31971</v>
      </c>
      <c r="F15233" t="s">
        <v>32606</v>
      </c>
      <c r="G15233" t="s">
        <v>32613</v>
      </c>
      <c r="H15233" t="s">
        <v>14201</v>
      </c>
      <c r="I15233" t="s">
        <v>7577</v>
      </c>
      <c r="J15233" t="s">
        <v>42162</v>
      </c>
      <c r="K15233" t="s">
        <v>42631</v>
      </c>
      <c r="M15233" t="s">
        <v>44317</v>
      </c>
      <c r="N15233" t="s">
        <v>47304</v>
      </c>
      <c r="O15233" t="s">
        <v>47305</v>
      </c>
      <c r="Q15233">
        <v>16</v>
      </c>
      <c r="R15233" t="s">
        <v>47328</v>
      </c>
      <c r="S15233" t="s">
        <v>48476</v>
      </c>
      <c r="T15233" t="s">
        <v>49234</v>
      </c>
      <c r="U15233" t="s">
        <v>62088</v>
      </c>
      <c r="W15233" t="s">
        <v>44317</v>
      </c>
      <c r="X15233" t="s">
        <v>47329</v>
      </c>
    </row>
    <row r="15234" spans="1:24">
      <c r="A15234">
        <f>HYPERLINK("https://www.philgeps.gov.ph/GEPSNONPILOT/Tender/SplashBidNoticeAbstractUI.aspx?menuIndex=3&amp;refID=7155223&amp;Result=3","7155223")</f>
        <v>0</v>
      </c>
      <c r="B15234" t="s">
        <v>212</v>
      </c>
      <c r="C15234" t="s">
        <v>18287</v>
      </c>
      <c r="D15234" t="s">
        <v>19007</v>
      </c>
      <c r="E15234" t="s">
        <v>31972</v>
      </c>
      <c r="F15234" t="s">
        <v>32606</v>
      </c>
      <c r="G15234" t="s">
        <v>32613</v>
      </c>
      <c r="H15234" t="s">
        <v>14201</v>
      </c>
      <c r="I15234" t="s">
        <v>7064</v>
      </c>
      <c r="J15234" t="s">
        <v>42163</v>
      </c>
      <c r="K15234" t="s">
        <v>42631</v>
      </c>
      <c r="M15234" t="s">
        <v>43113</v>
      </c>
      <c r="N15234" t="s">
        <v>47304</v>
      </c>
      <c r="O15234" t="s">
        <v>47305</v>
      </c>
      <c r="Q15234">
        <v>5</v>
      </c>
      <c r="R15234" t="s">
        <v>47327</v>
      </c>
      <c r="S15234" t="s">
        <v>48477</v>
      </c>
      <c r="T15234" t="s">
        <v>49040</v>
      </c>
      <c r="U15234" t="s">
        <v>62089</v>
      </c>
      <c r="W15234" t="s">
        <v>43113</v>
      </c>
      <c r="X15234" t="s">
        <v>47328</v>
      </c>
    </row>
    <row r="15235" spans="1:24">
      <c r="A15235">
        <f>HYPERLINK("https://www.philgeps.gov.ph/GEPSNONPILOT/Tender/SplashBidNoticeAbstractUI.aspx?menuIndex=3&amp;refID=7150312&amp;Result=3","7150312")</f>
        <v>0</v>
      </c>
      <c r="B15235" t="s">
        <v>703</v>
      </c>
      <c r="C15235" t="s">
        <v>18288</v>
      </c>
      <c r="D15235" t="s">
        <v>18992</v>
      </c>
      <c r="E15235" t="s">
        <v>31973</v>
      </c>
      <c r="F15235" t="s">
        <v>32606</v>
      </c>
      <c r="G15235" t="s">
        <v>32613</v>
      </c>
      <c r="H15235" t="s">
        <v>14201</v>
      </c>
      <c r="I15235" t="s">
        <v>32678</v>
      </c>
      <c r="J15235" t="s">
        <v>32981</v>
      </c>
      <c r="K15235" t="s">
        <v>42694</v>
      </c>
      <c r="M15235" t="s">
        <v>43624</v>
      </c>
      <c r="N15235" t="s">
        <v>47304</v>
      </c>
      <c r="O15235" t="s">
        <v>47305</v>
      </c>
      <c r="P15235">
        <v>0</v>
      </c>
      <c r="Q15235">
        <v>0</v>
      </c>
      <c r="R15235" t="s">
        <v>47328</v>
      </c>
      <c r="S15235" t="s">
        <v>48467</v>
      </c>
      <c r="T15235" t="s">
        <v>49347</v>
      </c>
      <c r="U15235" t="s">
        <v>62090</v>
      </c>
      <c r="V15235" t="s">
        <v>64335</v>
      </c>
      <c r="W15235" t="s">
        <v>43624</v>
      </c>
      <c r="X15235" t="s">
        <v>47329</v>
      </c>
    </row>
    <row r="15236" spans="1:24">
      <c r="A15236">
        <f>HYPERLINK("https://www.philgeps.gov.ph/GEPSNONPILOT/Tender/SplashBidNoticeAbstractUI.aspx?menuIndex=3&amp;refID=7150607&amp;Result=3","7150607")</f>
        <v>0</v>
      </c>
      <c r="B15236" t="s">
        <v>703</v>
      </c>
      <c r="C15236" t="s">
        <v>18289</v>
      </c>
      <c r="D15236" t="s">
        <v>18992</v>
      </c>
      <c r="E15236" t="s">
        <v>31974</v>
      </c>
      <c r="F15236" t="s">
        <v>32606</v>
      </c>
      <c r="G15236" t="s">
        <v>32615</v>
      </c>
      <c r="H15236" t="s">
        <v>14201</v>
      </c>
      <c r="I15236" t="s">
        <v>32638</v>
      </c>
      <c r="J15236" t="s">
        <v>42164</v>
      </c>
      <c r="K15236" t="s">
        <v>42694</v>
      </c>
      <c r="M15236" t="s">
        <v>43624</v>
      </c>
      <c r="N15236" t="s">
        <v>47304</v>
      </c>
      <c r="O15236" t="s">
        <v>47305</v>
      </c>
      <c r="P15236">
        <v>0</v>
      </c>
      <c r="Q15236">
        <v>4</v>
      </c>
      <c r="R15236" t="s">
        <v>47328</v>
      </c>
      <c r="S15236" t="s">
        <v>48467</v>
      </c>
      <c r="T15236" t="s">
        <v>49347</v>
      </c>
      <c r="U15236" t="s">
        <v>62091</v>
      </c>
      <c r="W15236" t="s">
        <v>43624</v>
      </c>
      <c r="X15236" t="s">
        <v>47329</v>
      </c>
    </row>
    <row r="15237" spans="1:24">
      <c r="A15237">
        <f>HYPERLINK("https://www.philgeps.gov.ph/GEPSNONPILOT/Tender/SplashBidNoticeAbstractUI.aspx?menuIndex=3&amp;refID=7150200&amp;Result=3","7150200")</f>
        <v>0</v>
      </c>
      <c r="B15237" t="s">
        <v>3863</v>
      </c>
      <c r="C15237" t="s">
        <v>18290</v>
      </c>
      <c r="D15237" t="s">
        <v>19024</v>
      </c>
      <c r="E15237" t="s">
        <v>27845</v>
      </c>
      <c r="F15237" t="s">
        <v>32606</v>
      </c>
      <c r="G15237" t="s">
        <v>32613</v>
      </c>
      <c r="H15237" t="s">
        <v>14201</v>
      </c>
      <c r="I15237" t="s">
        <v>6931</v>
      </c>
      <c r="J15237" t="s">
        <v>32778</v>
      </c>
      <c r="K15237" t="s">
        <v>42631</v>
      </c>
      <c r="M15237" t="s">
        <v>47216</v>
      </c>
      <c r="N15237" t="s">
        <v>47304</v>
      </c>
      <c r="O15237" t="s">
        <v>47305</v>
      </c>
      <c r="P15237">
        <v>0</v>
      </c>
      <c r="Q15237">
        <v>0</v>
      </c>
      <c r="R15237" t="s">
        <v>47328</v>
      </c>
      <c r="S15237" t="s">
        <v>48467</v>
      </c>
      <c r="T15237" t="s">
        <v>48986</v>
      </c>
      <c r="U15237" t="s">
        <v>54796</v>
      </c>
      <c r="W15237" t="s">
        <v>47216</v>
      </c>
      <c r="X15237" t="s">
        <v>47329</v>
      </c>
    </row>
    <row r="15238" spans="1:24">
      <c r="A15238">
        <f>HYPERLINK("https://www.philgeps.gov.ph/GEPSNONPILOT/Tender/SplashBidNoticeAbstractUI.aspx?menuIndex=3&amp;refID=7150236&amp;Result=3","7150236")</f>
        <v>0</v>
      </c>
      <c r="B15238" t="s">
        <v>1414</v>
      </c>
      <c r="C15238" t="s">
        <v>18291</v>
      </c>
      <c r="D15238" t="s">
        <v>18994</v>
      </c>
      <c r="E15238" t="s">
        <v>31975</v>
      </c>
      <c r="F15238" t="s">
        <v>32606</v>
      </c>
      <c r="G15238" t="s">
        <v>32613</v>
      </c>
      <c r="H15238" t="s">
        <v>14201</v>
      </c>
      <c r="I15238" t="s">
        <v>32627</v>
      </c>
      <c r="J15238" t="s">
        <v>35872</v>
      </c>
      <c r="K15238" t="s">
        <v>42623</v>
      </c>
      <c r="M15238" t="s">
        <v>44402</v>
      </c>
      <c r="N15238" t="s">
        <v>47304</v>
      </c>
      <c r="O15238" t="s">
        <v>47305</v>
      </c>
      <c r="P15238">
        <v>0</v>
      </c>
      <c r="Q15238">
        <v>1</v>
      </c>
      <c r="R15238" t="s">
        <v>47328</v>
      </c>
      <c r="S15238" t="s">
        <v>48467</v>
      </c>
      <c r="T15238" t="s">
        <v>49053</v>
      </c>
      <c r="U15238" t="s">
        <v>62092</v>
      </c>
      <c r="W15238" t="s">
        <v>44402</v>
      </c>
      <c r="X15238" t="s">
        <v>47329</v>
      </c>
    </row>
    <row r="15239" spans="1:24">
      <c r="A15239">
        <f>HYPERLINK("https://www.philgeps.gov.ph/GEPSNONPILOT/Tender/SplashBidNoticeAbstractUI.aspx?menuIndex=3&amp;refID=7150702&amp;Result=3","7150702")</f>
        <v>0</v>
      </c>
      <c r="B15239" t="s">
        <v>2326</v>
      </c>
      <c r="C15239" t="s">
        <v>18292</v>
      </c>
      <c r="E15239" t="s">
        <v>31976</v>
      </c>
      <c r="F15239" t="s">
        <v>32606</v>
      </c>
      <c r="G15239" t="s">
        <v>32613</v>
      </c>
      <c r="H15239" t="s">
        <v>32623</v>
      </c>
      <c r="I15239" t="s">
        <v>17648</v>
      </c>
      <c r="J15239" t="s">
        <v>38547</v>
      </c>
      <c r="K15239" t="s">
        <v>42624</v>
      </c>
      <c r="M15239" t="s">
        <v>47217</v>
      </c>
      <c r="N15239" t="s">
        <v>47304</v>
      </c>
      <c r="O15239" t="s">
        <v>47305</v>
      </c>
      <c r="P15239">
        <v>0</v>
      </c>
      <c r="Q15239">
        <v>3</v>
      </c>
      <c r="R15239" t="s">
        <v>47328</v>
      </c>
      <c r="S15239" t="s">
        <v>48467</v>
      </c>
      <c r="T15239" t="s">
        <v>49012</v>
      </c>
      <c r="U15239" t="s">
        <v>62093</v>
      </c>
      <c r="W15239" t="s">
        <v>47217</v>
      </c>
      <c r="X15239" t="s">
        <v>47329</v>
      </c>
    </row>
    <row r="15240" spans="1:24">
      <c r="A15240">
        <f>HYPERLINK("https://www.philgeps.gov.ph/GEPSNONPILOT/Tender/SplashBidNoticeAbstractUI.aspx?menuIndex=3&amp;refID=7150679&amp;Result=3","7150679")</f>
        <v>0</v>
      </c>
      <c r="B15240" t="s">
        <v>703</v>
      </c>
      <c r="C15240" t="s">
        <v>18293</v>
      </c>
      <c r="D15240" t="s">
        <v>18992</v>
      </c>
      <c r="E15240" t="s">
        <v>31977</v>
      </c>
      <c r="F15240" t="s">
        <v>32606</v>
      </c>
      <c r="G15240" t="s">
        <v>32615</v>
      </c>
      <c r="H15240" t="s">
        <v>14201</v>
      </c>
      <c r="I15240" t="s">
        <v>4678</v>
      </c>
      <c r="J15240" t="s">
        <v>42165</v>
      </c>
      <c r="K15240" t="s">
        <v>42694</v>
      </c>
      <c r="M15240" t="s">
        <v>43624</v>
      </c>
      <c r="N15240" t="s">
        <v>47304</v>
      </c>
      <c r="O15240" t="s">
        <v>47305</v>
      </c>
      <c r="P15240">
        <v>0</v>
      </c>
      <c r="Q15240">
        <v>0</v>
      </c>
      <c r="R15240" t="s">
        <v>47328</v>
      </c>
      <c r="S15240" t="s">
        <v>48467</v>
      </c>
      <c r="T15240" t="s">
        <v>49347</v>
      </c>
      <c r="U15240" t="s">
        <v>62091</v>
      </c>
      <c r="W15240" t="s">
        <v>43624</v>
      </c>
      <c r="X15240" t="s">
        <v>47329</v>
      </c>
    </row>
    <row r="15241" spans="1:24">
      <c r="A15241">
        <f>HYPERLINK("https://www.philgeps.gov.ph/GEPSNONPILOT/Tender/SplashBidNoticeAbstractUI.aspx?menuIndex=3&amp;refID=7150674&amp;Result=3","7150674")</f>
        <v>0</v>
      </c>
      <c r="B15241" t="s">
        <v>2326</v>
      </c>
      <c r="C15241" t="s">
        <v>18294</v>
      </c>
      <c r="E15241" t="s">
        <v>31978</v>
      </c>
      <c r="F15241" t="s">
        <v>32606</v>
      </c>
      <c r="G15241" t="s">
        <v>32613</v>
      </c>
      <c r="H15241" t="s">
        <v>32623</v>
      </c>
      <c r="I15241" t="s">
        <v>17648</v>
      </c>
      <c r="J15241" t="s">
        <v>38364</v>
      </c>
      <c r="K15241" t="s">
        <v>42624</v>
      </c>
      <c r="M15241" t="s">
        <v>47217</v>
      </c>
      <c r="N15241" t="s">
        <v>47304</v>
      </c>
      <c r="O15241" t="s">
        <v>47305</v>
      </c>
      <c r="P15241">
        <v>0</v>
      </c>
      <c r="Q15241">
        <v>5</v>
      </c>
      <c r="R15241" t="s">
        <v>47328</v>
      </c>
      <c r="S15241" t="s">
        <v>48467</v>
      </c>
      <c r="T15241" t="s">
        <v>49012</v>
      </c>
      <c r="U15241" t="s">
        <v>62094</v>
      </c>
      <c r="W15241" t="s">
        <v>47217</v>
      </c>
      <c r="X15241" t="s">
        <v>47329</v>
      </c>
    </row>
    <row r="15242" spans="1:24">
      <c r="A15242">
        <f>HYPERLINK("https://www.philgeps.gov.ph/GEPSNONPILOT/Tender/SplashBidNoticeAbstractUI.aspx?menuIndex=3&amp;refID=7150671&amp;Result=3","7150671")</f>
        <v>0</v>
      </c>
      <c r="B15242" t="s">
        <v>374</v>
      </c>
      <c r="C15242" t="s">
        <v>18295</v>
      </c>
      <c r="D15242" t="s">
        <v>18999</v>
      </c>
      <c r="E15242" t="s">
        <v>31979</v>
      </c>
      <c r="F15242" t="s">
        <v>32606</v>
      </c>
      <c r="G15242" t="s">
        <v>32613</v>
      </c>
      <c r="H15242" t="s">
        <v>14201</v>
      </c>
      <c r="I15242" t="s">
        <v>32644</v>
      </c>
      <c r="J15242" t="s">
        <v>32767</v>
      </c>
      <c r="K15242" t="s">
        <v>42639</v>
      </c>
      <c r="M15242" t="s">
        <v>46821</v>
      </c>
      <c r="N15242" t="s">
        <v>47304</v>
      </c>
      <c r="O15242" t="s">
        <v>47305</v>
      </c>
      <c r="Q15242">
        <v>19</v>
      </c>
      <c r="R15242" t="s">
        <v>47328</v>
      </c>
      <c r="S15242" t="s">
        <v>48478</v>
      </c>
      <c r="T15242" t="s">
        <v>49000</v>
      </c>
      <c r="U15242" t="s">
        <v>62095</v>
      </c>
      <c r="W15242" t="s">
        <v>46821</v>
      </c>
      <c r="X15242" t="s">
        <v>47329</v>
      </c>
    </row>
    <row r="15243" spans="1:24">
      <c r="A15243">
        <f>HYPERLINK("https://www.philgeps.gov.ph/GEPSNONPILOT/Tender/SplashBidNoticeAbstractUI.aspx?menuIndex=3&amp;refID=7150695&amp;Result=3","7150695")</f>
        <v>0</v>
      </c>
      <c r="B15243" t="s">
        <v>2326</v>
      </c>
      <c r="C15243" t="s">
        <v>18296</v>
      </c>
      <c r="E15243" t="s">
        <v>31980</v>
      </c>
      <c r="F15243" t="s">
        <v>32606</v>
      </c>
      <c r="G15243" t="s">
        <v>32613</v>
      </c>
      <c r="H15243" t="s">
        <v>32623</v>
      </c>
      <c r="I15243" t="s">
        <v>17648</v>
      </c>
      <c r="J15243" t="s">
        <v>42166</v>
      </c>
      <c r="K15243" t="s">
        <v>42624</v>
      </c>
      <c r="M15243" t="s">
        <v>47217</v>
      </c>
      <c r="N15243" t="s">
        <v>47304</v>
      </c>
      <c r="O15243" t="s">
        <v>47305</v>
      </c>
      <c r="P15243">
        <v>0</v>
      </c>
      <c r="Q15243">
        <v>1</v>
      </c>
      <c r="R15243" t="s">
        <v>47328</v>
      </c>
      <c r="S15243" t="s">
        <v>48467</v>
      </c>
      <c r="T15243" t="s">
        <v>49012</v>
      </c>
      <c r="U15243" t="s">
        <v>62096</v>
      </c>
      <c r="W15243" t="s">
        <v>47217</v>
      </c>
      <c r="X15243" t="s">
        <v>47329</v>
      </c>
    </row>
    <row r="15244" spans="1:24">
      <c r="A15244">
        <f>HYPERLINK("https://www.philgeps.gov.ph/GEPSNONPILOT/Tender/SplashBidNoticeAbstractUI.aspx?menuIndex=3&amp;refID=7150665&amp;Result=3","7150665")</f>
        <v>0</v>
      </c>
      <c r="B15244" t="s">
        <v>2576</v>
      </c>
      <c r="C15244" t="s">
        <v>18297</v>
      </c>
      <c r="D15244" t="s">
        <v>19005</v>
      </c>
      <c r="E15244" t="s">
        <v>31981</v>
      </c>
      <c r="F15244" t="s">
        <v>32606</v>
      </c>
      <c r="G15244" t="s">
        <v>32613</v>
      </c>
      <c r="H15244" t="s">
        <v>32623</v>
      </c>
      <c r="I15244" t="s">
        <v>17648</v>
      </c>
      <c r="J15244" t="s">
        <v>42167</v>
      </c>
      <c r="K15244" t="s">
        <v>42676</v>
      </c>
      <c r="M15244" t="s">
        <v>45717</v>
      </c>
      <c r="N15244" t="s">
        <v>47304</v>
      </c>
      <c r="O15244" t="s">
        <v>47305</v>
      </c>
      <c r="P15244">
        <v>0</v>
      </c>
      <c r="Q15244">
        <v>1</v>
      </c>
      <c r="R15244" t="s">
        <v>47328</v>
      </c>
      <c r="S15244" t="s">
        <v>48467</v>
      </c>
      <c r="T15244" t="s">
        <v>49268</v>
      </c>
      <c r="U15244" t="s">
        <v>62097</v>
      </c>
      <c r="V15244" t="s">
        <v>64336</v>
      </c>
      <c r="W15244" t="s">
        <v>45717</v>
      </c>
      <c r="X15244" t="s">
        <v>47329</v>
      </c>
    </row>
    <row r="15245" spans="1:24">
      <c r="A15245">
        <f>HYPERLINK("https://www.philgeps.gov.ph/GEPSNONPILOT/Tender/SplashBidNoticeAbstractUI.aspx?menuIndex=3&amp;refID=7150625&amp;Result=3","7150625")</f>
        <v>0</v>
      </c>
      <c r="B15245" t="s">
        <v>2699</v>
      </c>
      <c r="C15245" t="s">
        <v>18298</v>
      </c>
      <c r="E15245" t="s">
        <v>31982</v>
      </c>
      <c r="F15245" t="s">
        <v>32606</v>
      </c>
      <c r="G15245" t="s">
        <v>32613</v>
      </c>
      <c r="H15245" t="s">
        <v>32623</v>
      </c>
      <c r="I15245" t="s">
        <v>17648</v>
      </c>
      <c r="J15245" t="s">
        <v>42039</v>
      </c>
      <c r="K15245" t="s">
        <v>42904</v>
      </c>
      <c r="M15245" t="s">
        <v>47218</v>
      </c>
      <c r="N15245" t="s">
        <v>47304</v>
      </c>
      <c r="O15245" t="s">
        <v>47305</v>
      </c>
      <c r="Q15245">
        <v>12</v>
      </c>
      <c r="R15245" t="s">
        <v>47328</v>
      </c>
      <c r="S15245" t="s">
        <v>48479</v>
      </c>
      <c r="T15245" t="s">
        <v>48980</v>
      </c>
      <c r="U15245" t="s">
        <v>62098</v>
      </c>
      <c r="W15245" t="s">
        <v>47218</v>
      </c>
      <c r="X15245" t="s">
        <v>47329</v>
      </c>
    </row>
    <row r="15246" spans="1:24">
      <c r="A15246">
        <f>HYPERLINK("https://www.philgeps.gov.ph/GEPSNONPILOT/Tender/SplashBidNoticeAbstractUI.aspx?menuIndex=3&amp;refID=7150639&amp;Result=3","7150639")</f>
        <v>0</v>
      </c>
      <c r="B15246" t="s">
        <v>2699</v>
      </c>
      <c r="C15246" t="s">
        <v>18299</v>
      </c>
      <c r="E15246" t="s">
        <v>31983</v>
      </c>
      <c r="F15246" t="s">
        <v>32606</v>
      </c>
      <c r="G15246" t="s">
        <v>32613</v>
      </c>
      <c r="H15246" t="s">
        <v>32623</v>
      </c>
      <c r="I15246" t="s">
        <v>17648</v>
      </c>
      <c r="J15246" t="s">
        <v>42039</v>
      </c>
      <c r="K15246" t="s">
        <v>42904</v>
      </c>
      <c r="M15246" t="s">
        <v>47218</v>
      </c>
      <c r="N15246" t="s">
        <v>47304</v>
      </c>
      <c r="O15246" t="s">
        <v>47305</v>
      </c>
      <c r="Q15246">
        <v>13</v>
      </c>
      <c r="R15246" t="s">
        <v>47328</v>
      </c>
      <c r="S15246" t="s">
        <v>48480</v>
      </c>
      <c r="T15246" t="s">
        <v>48986</v>
      </c>
      <c r="U15246" t="s">
        <v>62099</v>
      </c>
      <c r="W15246" t="s">
        <v>47218</v>
      </c>
      <c r="X15246" t="s">
        <v>47329</v>
      </c>
    </row>
    <row r="15247" spans="1:24">
      <c r="A15247">
        <f>HYPERLINK("https://www.philgeps.gov.ph/GEPSNONPILOT/Tender/SplashBidNoticeAbstractUI.aspx?menuIndex=3&amp;refID=7150630&amp;Result=3","7150630")</f>
        <v>0</v>
      </c>
      <c r="B15247" t="s">
        <v>2326</v>
      </c>
      <c r="C15247" t="s">
        <v>18300</v>
      </c>
      <c r="E15247" t="s">
        <v>31984</v>
      </c>
      <c r="F15247" t="s">
        <v>32606</v>
      </c>
      <c r="G15247" t="s">
        <v>32613</v>
      </c>
      <c r="H15247" t="s">
        <v>32623</v>
      </c>
      <c r="I15247" t="s">
        <v>17648</v>
      </c>
      <c r="J15247" t="s">
        <v>42168</v>
      </c>
      <c r="K15247" t="s">
        <v>42624</v>
      </c>
      <c r="M15247" t="s">
        <v>47217</v>
      </c>
      <c r="N15247" t="s">
        <v>47304</v>
      </c>
      <c r="O15247" t="s">
        <v>47305</v>
      </c>
      <c r="P15247">
        <v>0</v>
      </c>
      <c r="Q15247">
        <v>10</v>
      </c>
      <c r="R15247" t="s">
        <v>47328</v>
      </c>
      <c r="S15247" t="s">
        <v>48467</v>
      </c>
      <c r="T15247" t="s">
        <v>49012</v>
      </c>
      <c r="U15247" t="s">
        <v>62100</v>
      </c>
      <c r="W15247" t="s">
        <v>47217</v>
      </c>
      <c r="X15247" t="s">
        <v>47329</v>
      </c>
    </row>
    <row r="15248" spans="1:24">
      <c r="A15248">
        <f>HYPERLINK("https://www.philgeps.gov.ph/GEPSNONPILOT/Tender/SplashBidNoticeAbstractUI.aspx?menuIndex=3&amp;refID=7150527&amp;Result=3","7150527")</f>
        <v>0</v>
      </c>
      <c r="B15248" t="s">
        <v>703</v>
      </c>
      <c r="C15248" t="s">
        <v>18301</v>
      </c>
      <c r="D15248" t="s">
        <v>18992</v>
      </c>
      <c r="E15248" t="s">
        <v>31985</v>
      </c>
      <c r="F15248" t="s">
        <v>32606</v>
      </c>
      <c r="G15248" t="s">
        <v>32615</v>
      </c>
      <c r="H15248" t="s">
        <v>14201</v>
      </c>
      <c r="I15248" t="s">
        <v>32638</v>
      </c>
      <c r="J15248" t="s">
        <v>42169</v>
      </c>
      <c r="K15248" t="s">
        <v>42694</v>
      </c>
      <c r="M15248" t="s">
        <v>43624</v>
      </c>
      <c r="N15248" t="s">
        <v>47304</v>
      </c>
      <c r="O15248" t="s">
        <v>47305</v>
      </c>
      <c r="P15248">
        <v>0</v>
      </c>
      <c r="Q15248">
        <v>3</v>
      </c>
      <c r="R15248" t="s">
        <v>47328</v>
      </c>
      <c r="S15248" t="s">
        <v>48467</v>
      </c>
      <c r="T15248" t="s">
        <v>49347</v>
      </c>
      <c r="U15248" t="s">
        <v>62101</v>
      </c>
      <c r="W15248" t="s">
        <v>43624</v>
      </c>
      <c r="X15248" t="s">
        <v>47329</v>
      </c>
    </row>
    <row r="15249" spans="1:24">
      <c r="A15249">
        <f>HYPERLINK("https://www.philgeps.gov.ph/GEPSNONPILOT/Tender/SplashBidNoticeAbstractUI.aspx?menuIndex=3&amp;refID=7150682&amp;Result=3","7150682")</f>
        <v>0</v>
      </c>
      <c r="B15249" t="s">
        <v>1022</v>
      </c>
      <c r="C15249" t="s">
        <v>18302</v>
      </c>
      <c r="D15249" t="s">
        <v>19033</v>
      </c>
      <c r="E15249" t="s">
        <v>18302</v>
      </c>
      <c r="F15249" t="s">
        <v>32606</v>
      </c>
      <c r="G15249" t="s">
        <v>32613</v>
      </c>
      <c r="H15249" t="s">
        <v>32623</v>
      </c>
      <c r="I15249" t="s">
        <v>17648</v>
      </c>
      <c r="J15249" t="s">
        <v>32795</v>
      </c>
      <c r="K15249" t="s">
        <v>42727</v>
      </c>
      <c r="M15249" t="s">
        <v>43974</v>
      </c>
      <c r="N15249" t="s">
        <v>47304</v>
      </c>
      <c r="O15249" t="s">
        <v>47305</v>
      </c>
      <c r="Q15249">
        <v>1</v>
      </c>
      <c r="R15249" t="s">
        <v>47328</v>
      </c>
      <c r="S15249" t="s">
        <v>48481</v>
      </c>
      <c r="T15249" t="s">
        <v>48998</v>
      </c>
      <c r="U15249" t="s">
        <v>62102</v>
      </c>
      <c r="W15249" t="s">
        <v>43974</v>
      </c>
      <c r="X15249" t="s">
        <v>47329</v>
      </c>
    </row>
    <row r="15250" spans="1:24">
      <c r="A15250">
        <f>HYPERLINK("https://www.philgeps.gov.ph/GEPSNONPILOT/Tender/SplashBidNoticeAbstractUI.aspx?menuIndex=3&amp;refID=7150713&amp;Result=3","7150713")</f>
        <v>0</v>
      </c>
      <c r="B15250" t="s">
        <v>3864</v>
      </c>
      <c r="C15250" t="s">
        <v>18303</v>
      </c>
      <c r="D15250" t="s">
        <v>18993</v>
      </c>
      <c r="E15250" t="s">
        <v>31986</v>
      </c>
      <c r="F15250" t="s">
        <v>32606</v>
      </c>
      <c r="G15250" t="s">
        <v>32614</v>
      </c>
      <c r="H15250" t="s">
        <v>14201</v>
      </c>
      <c r="I15250" t="s">
        <v>6298</v>
      </c>
      <c r="J15250" t="s">
        <v>34416</v>
      </c>
      <c r="K15250" t="s">
        <v>42623</v>
      </c>
      <c r="M15250" t="s">
        <v>47219</v>
      </c>
      <c r="N15250" t="s">
        <v>47304</v>
      </c>
      <c r="O15250" t="s">
        <v>47305</v>
      </c>
      <c r="Q15250">
        <v>0</v>
      </c>
      <c r="R15250" t="s">
        <v>47328</v>
      </c>
      <c r="S15250" t="s">
        <v>47545</v>
      </c>
      <c r="T15250" t="s">
        <v>49359</v>
      </c>
      <c r="U15250" t="s">
        <v>62103</v>
      </c>
      <c r="W15250" t="s">
        <v>47219</v>
      </c>
      <c r="X15250" t="s">
        <v>47329</v>
      </c>
    </row>
    <row r="15251" spans="1:24">
      <c r="A15251">
        <f>HYPERLINK("https://www.philgeps.gov.ph/GEPSNONPILOT/Tender/SplashBidNoticeAbstractUI.aspx?menuIndex=3&amp;refID=7150568&amp;Result=3","7150568")</f>
        <v>0</v>
      </c>
      <c r="B15251" t="s">
        <v>703</v>
      </c>
      <c r="C15251" t="s">
        <v>18304</v>
      </c>
      <c r="D15251" t="s">
        <v>18992</v>
      </c>
      <c r="E15251" t="s">
        <v>31987</v>
      </c>
      <c r="F15251" t="s">
        <v>32606</v>
      </c>
      <c r="G15251" t="s">
        <v>32615</v>
      </c>
      <c r="H15251" t="s">
        <v>14201</v>
      </c>
      <c r="I15251" t="s">
        <v>7577</v>
      </c>
      <c r="J15251" t="s">
        <v>42170</v>
      </c>
      <c r="K15251" t="s">
        <v>42694</v>
      </c>
      <c r="M15251" t="s">
        <v>43624</v>
      </c>
      <c r="N15251" t="s">
        <v>47304</v>
      </c>
      <c r="O15251" t="s">
        <v>47305</v>
      </c>
      <c r="P15251">
        <v>0</v>
      </c>
      <c r="Q15251">
        <v>0</v>
      </c>
      <c r="R15251" t="s">
        <v>47328</v>
      </c>
      <c r="S15251" t="s">
        <v>48467</v>
      </c>
      <c r="T15251" t="s">
        <v>49347</v>
      </c>
      <c r="U15251" t="s">
        <v>62091</v>
      </c>
      <c r="W15251" t="s">
        <v>43624</v>
      </c>
      <c r="X15251" t="s">
        <v>47329</v>
      </c>
    </row>
    <row r="15252" spans="1:24">
      <c r="A15252">
        <f>HYPERLINK("https://www.philgeps.gov.ph/GEPSNONPILOT/Tender/SplashBidNoticeAbstractUI.aspx?menuIndex=3&amp;refID=7151385&amp;Result=3","7151385")</f>
        <v>0</v>
      </c>
      <c r="B15252" t="s">
        <v>3865</v>
      </c>
      <c r="C15252" t="s">
        <v>18305</v>
      </c>
      <c r="D15252" t="s">
        <v>19003</v>
      </c>
      <c r="E15252" t="s">
        <v>31988</v>
      </c>
      <c r="F15252" t="s">
        <v>32606</v>
      </c>
      <c r="G15252" t="s">
        <v>32620</v>
      </c>
      <c r="H15252" t="s">
        <v>32623</v>
      </c>
      <c r="I15252" t="s">
        <v>32705</v>
      </c>
      <c r="J15252" t="s">
        <v>42171</v>
      </c>
      <c r="K15252" t="s">
        <v>42631</v>
      </c>
      <c r="M15252" t="s">
        <v>47220</v>
      </c>
      <c r="N15252" t="s">
        <v>47304</v>
      </c>
      <c r="O15252" t="s">
        <v>47305</v>
      </c>
      <c r="Q15252">
        <v>6</v>
      </c>
      <c r="R15252" t="s">
        <v>47328</v>
      </c>
      <c r="S15252" t="s">
        <v>48161</v>
      </c>
      <c r="T15252" t="s">
        <v>49008</v>
      </c>
      <c r="U15252" t="s">
        <v>62104</v>
      </c>
      <c r="W15252" t="s">
        <v>47220</v>
      </c>
      <c r="X15252" t="s">
        <v>47329</v>
      </c>
    </row>
    <row r="15253" spans="1:24">
      <c r="A15253">
        <f>HYPERLINK("https://www.philgeps.gov.ph/GEPSNONPILOT/Tender/SplashBidNoticeAbstractUI.aspx?menuIndex=3&amp;refID=7151379&amp;Result=3","7151379")</f>
        <v>0</v>
      </c>
      <c r="B15253" t="s">
        <v>381</v>
      </c>
      <c r="C15253" t="s">
        <v>18306</v>
      </c>
      <c r="E15253" t="s">
        <v>31989</v>
      </c>
      <c r="F15253" t="s">
        <v>32606</v>
      </c>
      <c r="G15253" t="s">
        <v>32613</v>
      </c>
      <c r="H15253" t="s">
        <v>14201</v>
      </c>
      <c r="I15253" t="s">
        <v>32655</v>
      </c>
      <c r="J15253" t="s">
        <v>42172</v>
      </c>
      <c r="K15253" t="s">
        <v>42624</v>
      </c>
      <c r="M15253" t="s">
        <v>46996</v>
      </c>
      <c r="N15253" t="s">
        <v>47304</v>
      </c>
      <c r="O15253" t="s">
        <v>47305</v>
      </c>
      <c r="Q15253">
        <v>39</v>
      </c>
      <c r="R15253" t="s">
        <v>47328</v>
      </c>
      <c r="S15253" t="s">
        <v>48482</v>
      </c>
      <c r="T15253" t="s">
        <v>49268</v>
      </c>
      <c r="U15253" t="s">
        <v>62105</v>
      </c>
      <c r="W15253" t="s">
        <v>46996</v>
      </c>
      <c r="X15253" t="s">
        <v>47329</v>
      </c>
    </row>
    <row r="15254" spans="1:24">
      <c r="A15254">
        <f>HYPERLINK("https://www.philgeps.gov.ph/GEPSNONPILOT/Tender/SplashBidNoticeAbstractUI.aspx?menuIndex=3&amp;refID=7151342&amp;Result=3","7151342")</f>
        <v>0</v>
      </c>
      <c r="B15254" t="s">
        <v>381</v>
      </c>
      <c r="C15254" t="s">
        <v>18307</v>
      </c>
      <c r="E15254" t="s">
        <v>31990</v>
      </c>
      <c r="F15254" t="s">
        <v>32606</v>
      </c>
      <c r="G15254" t="s">
        <v>32613</v>
      </c>
      <c r="H15254" t="s">
        <v>14201</v>
      </c>
      <c r="I15254" t="s">
        <v>32655</v>
      </c>
      <c r="J15254" t="s">
        <v>37951</v>
      </c>
      <c r="K15254" t="s">
        <v>42624</v>
      </c>
      <c r="M15254" t="s">
        <v>46996</v>
      </c>
      <c r="N15254" t="s">
        <v>47304</v>
      </c>
      <c r="O15254" t="s">
        <v>47305</v>
      </c>
      <c r="Q15254">
        <v>37</v>
      </c>
      <c r="R15254" t="s">
        <v>47328</v>
      </c>
      <c r="S15254" t="s">
        <v>48483</v>
      </c>
      <c r="T15254" t="s">
        <v>49268</v>
      </c>
      <c r="U15254" t="s">
        <v>62105</v>
      </c>
      <c r="W15254" t="s">
        <v>46996</v>
      </c>
      <c r="X15254" t="s">
        <v>47329</v>
      </c>
    </row>
    <row r="15255" spans="1:24">
      <c r="A15255">
        <f>HYPERLINK("https://www.philgeps.gov.ph/GEPSNONPILOT/Tender/SplashBidNoticeAbstractUI.aspx?menuIndex=3&amp;refID=7151334&amp;Result=3","7151334")</f>
        <v>0</v>
      </c>
      <c r="B15255" t="s">
        <v>3037</v>
      </c>
      <c r="C15255" t="s">
        <v>18308</v>
      </c>
      <c r="D15255" t="s">
        <v>19005</v>
      </c>
      <c r="E15255" t="s">
        <v>28781</v>
      </c>
      <c r="F15255" t="s">
        <v>32606</v>
      </c>
      <c r="G15255" t="s">
        <v>32613</v>
      </c>
      <c r="H15255" t="s">
        <v>14201</v>
      </c>
      <c r="I15255" t="s">
        <v>32654</v>
      </c>
      <c r="J15255" t="s">
        <v>32767</v>
      </c>
      <c r="K15255" t="s">
        <v>42623</v>
      </c>
      <c r="M15255" t="s">
        <v>46230</v>
      </c>
      <c r="N15255" t="s">
        <v>47304</v>
      </c>
      <c r="O15255" t="s">
        <v>47305</v>
      </c>
      <c r="P15255">
        <v>0</v>
      </c>
      <c r="Q15255">
        <v>2</v>
      </c>
      <c r="R15255" t="s">
        <v>47328</v>
      </c>
      <c r="S15255" t="s">
        <v>48467</v>
      </c>
      <c r="T15255" t="s">
        <v>49347</v>
      </c>
      <c r="U15255" t="s">
        <v>62106</v>
      </c>
      <c r="V15255" t="s">
        <v>63692</v>
      </c>
      <c r="W15255" t="s">
        <v>46230</v>
      </c>
      <c r="X15255" t="s">
        <v>47329</v>
      </c>
    </row>
    <row r="15256" spans="1:24">
      <c r="A15256">
        <f>HYPERLINK("https://www.philgeps.gov.ph/GEPSNONPILOT/Tender/SplashBidNoticeAbstractUI.aspx?menuIndex=3&amp;refID=7151327&amp;Result=3","7151327")</f>
        <v>0</v>
      </c>
      <c r="B15256" t="s">
        <v>381</v>
      </c>
      <c r="C15256" t="s">
        <v>18309</v>
      </c>
      <c r="E15256" t="s">
        <v>31991</v>
      </c>
      <c r="F15256" t="s">
        <v>32606</v>
      </c>
      <c r="G15256" t="s">
        <v>32613</v>
      </c>
      <c r="H15256" t="s">
        <v>14201</v>
      </c>
      <c r="I15256" t="s">
        <v>32655</v>
      </c>
      <c r="J15256" t="s">
        <v>42173</v>
      </c>
      <c r="K15256" t="s">
        <v>42624</v>
      </c>
      <c r="M15256" t="s">
        <v>46996</v>
      </c>
      <c r="N15256" t="s">
        <v>47304</v>
      </c>
      <c r="O15256" t="s">
        <v>47305</v>
      </c>
      <c r="Q15256">
        <v>34</v>
      </c>
      <c r="R15256" t="s">
        <v>47328</v>
      </c>
      <c r="S15256" t="s">
        <v>48484</v>
      </c>
      <c r="T15256" t="s">
        <v>49268</v>
      </c>
      <c r="U15256" t="s">
        <v>62105</v>
      </c>
      <c r="W15256" t="s">
        <v>46996</v>
      </c>
      <c r="X15256" t="s">
        <v>47329</v>
      </c>
    </row>
    <row r="15257" spans="1:24">
      <c r="A15257">
        <f>HYPERLINK("https://www.philgeps.gov.ph/GEPSNONPILOT/Tender/SplashBidNoticeAbstractUI.aspx?menuIndex=3&amp;refID=7151303&amp;Result=3","7151303")</f>
        <v>0</v>
      </c>
      <c r="B15257" t="s">
        <v>381</v>
      </c>
      <c r="C15257" t="s">
        <v>18310</v>
      </c>
      <c r="E15257" t="s">
        <v>31992</v>
      </c>
      <c r="F15257" t="s">
        <v>32606</v>
      </c>
      <c r="G15257" t="s">
        <v>32613</v>
      </c>
      <c r="H15257" t="s">
        <v>14201</v>
      </c>
      <c r="I15257" t="s">
        <v>32655</v>
      </c>
      <c r="J15257" t="s">
        <v>42174</v>
      </c>
      <c r="K15257" t="s">
        <v>42624</v>
      </c>
      <c r="M15257" t="s">
        <v>46996</v>
      </c>
      <c r="N15257" t="s">
        <v>47304</v>
      </c>
      <c r="O15257" t="s">
        <v>47305</v>
      </c>
      <c r="Q15257">
        <v>31</v>
      </c>
      <c r="R15257" t="s">
        <v>47328</v>
      </c>
      <c r="S15257" t="s">
        <v>48485</v>
      </c>
      <c r="T15257" t="s">
        <v>49268</v>
      </c>
      <c r="U15257" t="s">
        <v>62105</v>
      </c>
      <c r="W15257" t="s">
        <v>46996</v>
      </c>
      <c r="X15257" t="s">
        <v>47329</v>
      </c>
    </row>
    <row r="15258" spans="1:24">
      <c r="A15258">
        <f>HYPERLINK("https://www.philgeps.gov.ph/GEPSNONPILOT/Tender/SplashBidNoticeAbstractUI.aspx?menuIndex=3&amp;refID=7151369&amp;Result=3","7151369")</f>
        <v>0</v>
      </c>
      <c r="B15258" t="s">
        <v>381</v>
      </c>
      <c r="C15258" t="s">
        <v>18311</v>
      </c>
      <c r="E15258" t="s">
        <v>31993</v>
      </c>
      <c r="F15258" t="s">
        <v>32606</v>
      </c>
      <c r="G15258" t="s">
        <v>32613</v>
      </c>
      <c r="H15258" t="s">
        <v>14201</v>
      </c>
      <c r="I15258" t="s">
        <v>32655</v>
      </c>
      <c r="J15258" t="s">
        <v>42175</v>
      </c>
      <c r="K15258" t="s">
        <v>42624</v>
      </c>
      <c r="M15258" t="s">
        <v>46996</v>
      </c>
      <c r="N15258" t="s">
        <v>47304</v>
      </c>
      <c r="O15258" t="s">
        <v>47305</v>
      </c>
      <c r="Q15258">
        <v>53</v>
      </c>
      <c r="R15258" t="s">
        <v>47328</v>
      </c>
      <c r="S15258" t="s">
        <v>48486</v>
      </c>
      <c r="T15258" t="s">
        <v>49268</v>
      </c>
      <c r="U15258" t="s">
        <v>62105</v>
      </c>
      <c r="W15258" t="s">
        <v>46996</v>
      </c>
      <c r="X15258" t="s">
        <v>47329</v>
      </c>
    </row>
    <row r="15259" spans="1:24">
      <c r="A15259">
        <f>HYPERLINK("https://www.philgeps.gov.ph/GEPSNONPILOT/Tender/SplashBidNoticeAbstractUI.aspx?menuIndex=3&amp;refID=7151263&amp;Result=3","7151263")</f>
        <v>0</v>
      </c>
      <c r="B15259" t="s">
        <v>132</v>
      </c>
      <c r="C15259" t="s">
        <v>18312</v>
      </c>
      <c r="D15259" t="s">
        <v>18993</v>
      </c>
      <c r="E15259" t="s">
        <v>31994</v>
      </c>
      <c r="F15259" t="s">
        <v>32606</v>
      </c>
      <c r="G15259" t="s">
        <v>32613</v>
      </c>
      <c r="H15259" t="s">
        <v>14201</v>
      </c>
      <c r="I15259" t="s">
        <v>32710</v>
      </c>
      <c r="J15259" t="s">
        <v>42176</v>
      </c>
      <c r="K15259" t="s">
        <v>42624</v>
      </c>
      <c r="M15259" t="s">
        <v>47221</v>
      </c>
      <c r="N15259" t="s">
        <v>47304</v>
      </c>
      <c r="O15259" t="s">
        <v>47305</v>
      </c>
      <c r="Q15259">
        <v>11</v>
      </c>
      <c r="R15259" t="s">
        <v>47328</v>
      </c>
      <c r="S15259" t="s">
        <v>48487</v>
      </c>
      <c r="T15259" t="s">
        <v>48971</v>
      </c>
      <c r="U15259" t="s">
        <v>62107</v>
      </c>
      <c r="V15259" t="s">
        <v>64337</v>
      </c>
      <c r="W15259" t="s">
        <v>47221</v>
      </c>
      <c r="X15259" t="s">
        <v>47329</v>
      </c>
    </row>
    <row r="15260" spans="1:24">
      <c r="A15260">
        <f>HYPERLINK("https://www.philgeps.gov.ph/GEPSNONPILOT/Tender/SplashBidNoticeAbstractUI.aspx?menuIndex=3&amp;refID=7151352&amp;Result=3","7151352")</f>
        <v>0</v>
      </c>
      <c r="B15260" t="s">
        <v>381</v>
      </c>
      <c r="C15260" t="s">
        <v>18313</v>
      </c>
      <c r="E15260" t="s">
        <v>31995</v>
      </c>
      <c r="F15260" t="s">
        <v>32606</v>
      </c>
      <c r="G15260" t="s">
        <v>32613</v>
      </c>
      <c r="H15260" t="s">
        <v>14201</v>
      </c>
      <c r="I15260" t="s">
        <v>32655</v>
      </c>
      <c r="J15260" t="s">
        <v>42177</v>
      </c>
      <c r="K15260" t="s">
        <v>42624</v>
      </c>
      <c r="M15260" t="s">
        <v>46996</v>
      </c>
      <c r="N15260" t="s">
        <v>47304</v>
      </c>
      <c r="O15260" t="s">
        <v>47305</v>
      </c>
      <c r="Q15260">
        <v>38</v>
      </c>
      <c r="R15260" t="s">
        <v>47328</v>
      </c>
      <c r="S15260" t="s">
        <v>47783</v>
      </c>
      <c r="T15260" t="s">
        <v>49268</v>
      </c>
      <c r="U15260" t="s">
        <v>62105</v>
      </c>
      <c r="W15260" t="s">
        <v>46996</v>
      </c>
      <c r="X15260" t="s">
        <v>47329</v>
      </c>
    </row>
    <row r="15261" spans="1:24">
      <c r="A15261">
        <f>HYPERLINK("https://www.philgeps.gov.ph/GEPSNONPILOT/Tender/SplashBidNoticeAbstractUI.aspx?menuIndex=3&amp;refID=7153835&amp;Result=3","7153835")</f>
        <v>0</v>
      </c>
      <c r="B15261" t="s">
        <v>3119</v>
      </c>
      <c r="C15261" t="s">
        <v>18314</v>
      </c>
      <c r="D15261" t="s">
        <v>19006</v>
      </c>
      <c r="E15261" t="s">
        <v>31996</v>
      </c>
      <c r="F15261" t="s">
        <v>32606</v>
      </c>
      <c r="G15261" t="s">
        <v>32613</v>
      </c>
      <c r="H15261" t="s">
        <v>32623</v>
      </c>
      <c r="I15261" t="s">
        <v>17648</v>
      </c>
      <c r="J15261" t="s">
        <v>42178</v>
      </c>
      <c r="K15261" t="s">
        <v>42636</v>
      </c>
      <c r="M15261" t="s">
        <v>46329</v>
      </c>
      <c r="N15261" t="s">
        <v>47304</v>
      </c>
      <c r="O15261" t="s">
        <v>47305</v>
      </c>
      <c r="P15261">
        <v>0</v>
      </c>
      <c r="Q15261">
        <v>0</v>
      </c>
      <c r="R15261" t="s">
        <v>47327</v>
      </c>
      <c r="S15261" t="s">
        <v>48437</v>
      </c>
      <c r="T15261" t="s">
        <v>49268</v>
      </c>
      <c r="U15261" t="s">
        <v>62009</v>
      </c>
      <c r="V15261" t="s">
        <v>63747</v>
      </c>
      <c r="W15261" t="s">
        <v>46329</v>
      </c>
      <c r="X15261" t="s">
        <v>47328</v>
      </c>
    </row>
    <row r="15262" spans="1:24">
      <c r="A15262">
        <f>HYPERLINK("https://www.philgeps.gov.ph/GEPSNONPILOT/Tender/SplashBidNoticeAbstractUI.aspx?menuIndex=3&amp;refID=7151223&amp;Result=3","7151223")</f>
        <v>0</v>
      </c>
      <c r="B15262" t="s">
        <v>703</v>
      </c>
      <c r="C15262" t="s">
        <v>18315</v>
      </c>
      <c r="D15262" t="s">
        <v>18992</v>
      </c>
      <c r="E15262" t="s">
        <v>31997</v>
      </c>
      <c r="F15262" t="s">
        <v>32606</v>
      </c>
      <c r="G15262" t="s">
        <v>32615</v>
      </c>
      <c r="H15262" t="s">
        <v>14201</v>
      </c>
      <c r="I15262" t="s">
        <v>32644</v>
      </c>
      <c r="J15262" t="s">
        <v>42179</v>
      </c>
      <c r="K15262" t="s">
        <v>42694</v>
      </c>
      <c r="M15262" t="s">
        <v>43624</v>
      </c>
      <c r="N15262" t="s">
        <v>47304</v>
      </c>
      <c r="O15262" t="s">
        <v>47305</v>
      </c>
      <c r="P15262">
        <v>0</v>
      </c>
      <c r="Q15262">
        <v>7</v>
      </c>
      <c r="R15262" t="s">
        <v>47328</v>
      </c>
      <c r="S15262" t="s">
        <v>48467</v>
      </c>
      <c r="T15262" t="s">
        <v>49347</v>
      </c>
      <c r="U15262" t="s">
        <v>62091</v>
      </c>
      <c r="W15262" t="s">
        <v>43624</v>
      </c>
      <c r="X15262" t="s">
        <v>47329</v>
      </c>
    </row>
    <row r="15263" spans="1:24">
      <c r="A15263">
        <f>HYPERLINK("https://www.philgeps.gov.ph/GEPSNONPILOT/Tender/SplashBidNoticeAbstractUI.aspx?menuIndex=3&amp;refID=7151010&amp;Result=3","7151010")</f>
        <v>0</v>
      </c>
      <c r="B15263" t="s">
        <v>438</v>
      </c>
      <c r="C15263" t="s">
        <v>18316</v>
      </c>
      <c r="D15263" t="s">
        <v>19003</v>
      </c>
      <c r="E15263" t="s">
        <v>19451</v>
      </c>
      <c r="F15263" t="s">
        <v>32606</v>
      </c>
      <c r="G15263" t="s">
        <v>32613</v>
      </c>
      <c r="H15263" t="s">
        <v>14201</v>
      </c>
      <c r="I15263" t="s">
        <v>7064</v>
      </c>
      <c r="J15263" t="s">
        <v>42180</v>
      </c>
      <c r="K15263" t="s">
        <v>42631</v>
      </c>
      <c r="M15263" t="s">
        <v>43345</v>
      </c>
      <c r="N15263" t="s">
        <v>47304</v>
      </c>
      <c r="O15263" t="s">
        <v>47305</v>
      </c>
      <c r="P15263">
        <v>0</v>
      </c>
      <c r="Q15263">
        <v>3</v>
      </c>
      <c r="R15263" t="s">
        <v>47328</v>
      </c>
      <c r="S15263" t="s">
        <v>48467</v>
      </c>
      <c r="T15263" t="s">
        <v>49020</v>
      </c>
      <c r="U15263" t="s">
        <v>62108</v>
      </c>
      <c r="W15263" t="s">
        <v>43345</v>
      </c>
      <c r="X15263" t="s">
        <v>47329</v>
      </c>
    </row>
    <row r="15264" spans="1:24">
      <c r="A15264">
        <f>HYPERLINK("https://www.philgeps.gov.ph/GEPSNONPILOT/Tender/SplashBidNoticeAbstractUI.aspx?menuIndex=3&amp;refID=7150788&amp;Result=3","7150788")</f>
        <v>0</v>
      </c>
      <c r="B15264" t="s">
        <v>2326</v>
      </c>
      <c r="C15264" t="s">
        <v>18317</v>
      </c>
      <c r="E15264" t="s">
        <v>31998</v>
      </c>
      <c r="F15264" t="s">
        <v>32606</v>
      </c>
      <c r="G15264" t="s">
        <v>32613</v>
      </c>
      <c r="H15264" t="s">
        <v>32623</v>
      </c>
      <c r="I15264" t="s">
        <v>17648</v>
      </c>
      <c r="J15264" t="s">
        <v>42181</v>
      </c>
      <c r="K15264" t="s">
        <v>42624</v>
      </c>
      <c r="M15264" t="s">
        <v>47217</v>
      </c>
      <c r="N15264" t="s">
        <v>47304</v>
      </c>
      <c r="O15264" t="s">
        <v>47305</v>
      </c>
      <c r="P15264">
        <v>0</v>
      </c>
      <c r="Q15264">
        <v>4</v>
      </c>
      <c r="R15264" t="s">
        <v>47328</v>
      </c>
      <c r="S15264" t="s">
        <v>48467</v>
      </c>
      <c r="T15264" t="s">
        <v>49012</v>
      </c>
      <c r="U15264" t="s">
        <v>62109</v>
      </c>
      <c r="W15264" t="s">
        <v>47217</v>
      </c>
      <c r="X15264" t="s">
        <v>47329</v>
      </c>
    </row>
    <row r="15265" spans="1:24">
      <c r="A15265">
        <f>HYPERLINK("https://www.philgeps.gov.ph/GEPSNONPILOT/Tender/SplashBidNoticeAbstractUI.aspx?menuIndex=3&amp;refID=7151405&amp;Result=3","7151405")</f>
        <v>0</v>
      </c>
      <c r="B15265" t="s">
        <v>381</v>
      </c>
      <c r="C15265" t="s">
        <v>18318</v>
      </c>
      <c r="E15265" t="s">
        <v>31999</v>
      </c>
      <c r="F15265" t="s">
        <v>32606</v>
      </c>
      <c r="G15265" t="s">
        <v>32613</v>
      </c>
      <c r="H15265" t="s">
        <v>14201</v>
      </c>
      <c r="I15265" t="s">
        <v>32655</v>
      </c>
      <c r="J15265" t="s">
        <v>42182</v>
      </c>
      <c r="K15265" t="s">
        <v>42624</v>
      </c>
      <c r="M15265" t="s">
        <v>46996</v>
      </c>
      <c r="N15265" t="s">
        <v>47304</v>
      </c>
      <c r="O15265" t="s">
        <v>47305</v>
      </c>
      <c r="Q15265">
        <v>45</v>
      </c>
      <c r="R15265" t="s">
        <v>47328</v>
      </c>
      <c r="S15265" t="s">
        <v>48488</v>
      </c>
      <c r="T15265" t="s">
        <v>49268</v>
      </c>
      <c r="U15265" t="s">
        <v>62105</v>
      </c>
      <c r="W15265" t="s">
        <v>46996</v>
      </c>
      <c r="X15265" t="s">
        <v>47329</v>
      </c>
    </row>
    <row r="15266" spans="1:24">
      <c r="A15266">
        <f>HYPERLINK("https://www.philgeps.gov.ph/GEPSNONPILOT/Tender/SplashBidNoticeAbstractUI.aspx?menuIndex=3&amp;refID=7150998&amp;Result=3","7150998")</f>
        <v>0</v>
      </c>
      <c r="B15266" t="s">
        <v>902</v>
      </c>
      <c r="C15266" t="s">
        <v>18319</v>
      </c>
      <c r="D15266" t="s">
        <v>19011</v>
      </c>
      <c r="E15266" t="s">
        <v>20556</v>
      </c>
      <c r="F15266" t="s">
        <v>32606</v>
      </c>
      <c r="G15266" t="s">
        <v>32613</v>
      </c>
      <c r="H15266" t="s">
        <v>32623</v>
      </c>
      <c r="I15266" t="s">
        <v>17648</v>
      </c>
      <c r="J15266" t="s">
        <v>42183</v>
      </c>
      <c r="K15266" t="s">
        <v>42712</v>
      </c>
      <c r="M15266" t="s">
        <v>43839</v>
      </c>
      <c r="N15266" t="s">
        <v>47304</v>
      </c>
      <c r="O15266" t="s">
        <v>47305</v>
      </c>
      <c r="P15266">
        <v>0</v>
      </c>
      <c r="Q15266">
        <v>3</v>
      </c>
      <c r="R15266" t="s">
        <v>47328</v>
      </c>
      <c r="S15266" t="s">
        <v>48467</v>
      </c>
      <c r="T15266" t="s">
        <v>49268</v>
      </c>
      <c r="U15266" t="s">
        <v>62110</v>
      </c>
      <c r="W15266" t="s">
        <v>43839</v>
      </c>
      <c r="X15266" t="s">
        <v>47329</v>
      </c>
    </row>
    <row r="15267" spans="1:24">
      <c r="A15267">
        <f>HYPERLINK("https://www.philgeps.gov.ph/GEPSNONPILOT/Tender/SplashBidNoticeAbstractUI.aspx?menuIndex=3&amp;refID=7150821&amp;Result=3","7150821")</f>
        <v>0</v>
      </c>
      <c r="B15267" t="s">
        <v>2326</v>
      </c>
      <c r="C15267" t="s">
        <v>18320</v>
      </c>
      <c r="E15267" t="s">
        <v>32000</v>
      </c>
      <c r="F15267" t="s">
        <v>32606</v>
      </c>
      <c r="G15267" t="s">
        <v>32613</v>
      </c>
      <c r="H15267" t="s">
        <v>32623</v>
      </c>
      <c r="I15267" t="s">
        <v>17648</v>
      </c>
      <c r="J15267" t="s">
        <v>32772</v>
      </c>
      <c r="K15267" t="s">
        <v>42624</v>
      </c>
      <c r="M15267" t="s">
        <v>47217</v>
      </c>
      <c r="N15267" t="s">
        <v>47304</v>
      </c>
      <c r="O15267" t="s">
        <v>47305</v>
      </c>
      <c r="P15267">
        <v>0</v>
      </c>
      <c r="Q15267">
        <v>3</v>
      </c>
      <c r="R15267" t="s">
        <v>47328</v>
      </c>
      <c r="S15267" t="s">
        <v>48467</v>
      </c>
      <c r="T15267" t="s">
        <v>49012</v>
      </c>
      <c r="U15267" t="s">
        <v>62111</v>
      </c>
      <c r="W15267" t="s">
        <v>47217</v>
      </c>
      <c r="X15267" t="s">
        <v>47329</v>
      </c>
    </row>
    <row r="15268" spans="1:24">
      <c r="A15268">
        <f>HYPERLINK("https://www.philgeps.gov.ph/GEPSNONPILOT/Tender/SplashBidNoticeAbstractUI.aspx?menuIndex=3&amp;refID=7151124&amp;Result=3","7151124")</f>
        <v>0</v>
      </c>
      <c r="B15268" t="s">
        <v>558</v>
      </c>
      <c r="C15268" t="s">
        <v>4910</v>
      </c>
      <c r="D15268" t="s">
        <v>18997</v>
      </c>
      <c r="E15268" t="s">
        <v>32001</v>
      </c>
      <c r="F15268" t="s">
        <v>32606</v>
      </c>
      <c r="G15268" t="s">
        <v>32614</v>
      </c>
      <c r="H15268" t="s">
        <v>14201</v>
      </c>
      <c r="I15268" t="s">
        <v>6309</v>
      </c>
      <c r="J15268" t="s">
        <v>32765</v>
      </c>
      <c r="K15268" t="s">
        <v>42623</v>
      </c>
      <c r="M15268" t="s">
        <v>43473</v>
      </c>
      <c r="N15268" t="s">
        <v>47304</v>
      </c>
      <c r="O15268" t="s">
        <v>47305</v>
      </c>
      <c r="P15268">
        <v>0</v>
      </c>
      <c r="Q15268">
        <v>2</v>
      </c>
      <c r="R15268" t="s">
        <v>47328</v>
      </c>
      <c r="S15268" t="s">
        <v>48467</v>
      </c>
      <c r="T15268" t="s">
        <v>48998</v>
      </c>
      <c r="U15268" t="s">
        <v>62112</v>
      </c>
      <c r="W15268" t="s">
        <v>43473</v>
      </c>
      <c r="X15268" t="s">
        <v>47329</v>
      </c>
    </row>
    <row r="15269" spans="1:24">
      <c r="A15269">
        <f>HYPERLINK("https://www.philgeps.gov.ph/GEPSNONPILOT/Tender/SplashBidNoticeAbstractUI.aspx?menuIndex=3&amp;refID=7150805&amp;Result=3","7150805")</f>
        <v>0</v>
      </c>
      <c r="B15269" t="s">
        <v>2326</v>
      </c>
      <c r="C15269" t="s">
        <v>18321</v>
      </c>
      <c r="E15269" t="s">
        <v>32002</v>
      </c>
      <c r="F15269" t="s">
        <v>32606</v>
      </c>
      <c r="G15269" t="s">
        <v>32613</v>
      </c>
      <c r="H15269" t="s">
        <v>32623</v>
      </c>
      <c r="I15269" t="s">
        <v>17648</v>
      </c>
      <c r="J15269" t="s">
        <v>42184</v>
      </c>
      <c r="K15269" t="s">
        <v>42624</v>
      </c>
      <c r="M15269" t="s">
        <v>47217</v>
      </c>
      <c r="N15269" t="s">
        <v>47304</v>
      </c>
      <c r="O15269" t="s">
        <v>47305</v>
      </c>
      <c r="P15269">
        <v>0</v>
      </c>
      <c r="Q15269">
        <v>5</v>
      </c>
      <c r="R15269" t="s">
        <v>47328</v>
      </c>
      <c r="S15269" t="s">
        <v>48467</v>
      </c>
      <c r="T15269" t="s">
        <v>49012</v>
      </c>
      <c r="U15269" t="s">
        <v>62113</v>
      </c>
      <c r="W15269" t="s">
        <v>47217</v>
      </c>
      <c r="X15269" t="s">
        <v>47329</v>
      </c>
    </row>
    <row r="15270" spans="1:24">
      <c r="A15270">
        <f>HYPERLINK("https://www.philgeps.gov.ph/GEPSNONPILOT/Tender/SplashBidNoticeAbstractUI.aspx?menuIndex=3&amp;refID=7151937&amp;Result=3","7151937")</f>
        <v>0</v>
      </c>
      <c r="B15270" t="s">
        <v>1995</v>
      </c>
      <c r="C15270" t="s">
        <v>18322</v>
      </c>
      <c r="D15270" t="s">
        <v>18993</v>
      </c>
      <c r="E15270" t="s">
        <v>32003</v>
      </c>
      <c r="F15270" t="s">
        <v>32606</v>
      </c>
      <c r="G15270" t="s">
        <v>32613</v>
      </c>
      <c r="H15270" t="s">
        <v>14201</v>
      </c>
      <c r="I15270" t="s">
        <v>6298</v>
      </c>
      <c r="J15270" t="s">
        <v>32830</v>
      </c>
      <c r="K15270" t="s">
        <v>42639</v>
      </c>
      <c r="M15270" t="s">
        <v>46556</v>
      </c>
      <c r="N15270" t="s">
        <v>47304</v>
      </c>
      <c r="O15270" t="s">
        <v>47305</v>
      </c>
      <c r="Q15270">
        <v>17</v>
      </c>
      <c r="R15270" t="s">
        <v>47328</v>
      </c>
      <c r="S15270" t="s">
        <v>48489</v>
      </c>
      <c r="T15270" t="s">
        <v>49071</v>
      </c>
      <c r="U15270" t="s">
        <v>62114</v>
      </c>
      <c r="W15270" t="s">
        <v>46556</v>
      </c>
      <c r="X15270" t="s">
        <v>47329</v>
      </c>
    </row>
    <row r="15271" spans="1:24">
      <c r="A15271">
        <f>HYPERLINK("https://www.philgeps.gov.ph/GEPSNONPILOT/Tender/SplashBidNoticeAbstractUI.aspx?menuIndex=3&amp;refID=7152017&amp;Result=3","7152017")</f>
        <v>0</v>
      </c>
      <c r="B15271" t="s">
        <v>3008</v>
      </c>
      <c r="C15271" t="s">
        <v>18323</v>
      </c>
      <c r="D15271" t="s">
        <v>18993</v>
      </c>
      <c r="E15271" t="s">
        <v>19327</v>
      </c>
      <c r="F15271" t="s">
        <v>32606</v>
      </c>
      <c r="G15271" t="s">
        <v>32613</v>
      </c>
      <c r="H15271" t="s">
        <v>32624</v>
      </c>
      <c r="I15271" t="s">
        <v>32641</v>
      </c>
      <c r="J15271" t="s">
        <v>42185</v>
      </c>
      <c r="K15271" t="s">
        <v>42714</v>
      </c>
      <c r="M15271" t="s">
        <v>46197</v>
      </c>
      <c r="N15271" t="s">
        <v>47304</v>
      </c>
      <c r="O15271" t="s">
        <v>47305</v>
      </c>
      <c r="Q15271">
        <v>3</v>
      </c>
      <c r="R15271" t="s">
        <v>47328</v>
      </c>
      <c r="S15271" t="s">
        <v>48490</v>
      </c>
      <c r="T15271" t="s">
        <v>49350</v>
      </c>
      <c r="U15271" t="s">
        <v>62115</v>
      </c>
      <c r="V15271" t="s">
        <v>62763</v>
      </c>
      <c r="W15271" t="s">
        <v>46197</v>
      </c>
      <c r="X15271" t="s">
        <v>47329</v>
      </c>
    </row>
    <row r="15272" spans="1:24">
      <c r="A15272">
        <f>HYPERLINK("https://www.philgeps.gov.ph/GEPSNONPILOT/Tender/SplashBidNoticeAbstractUI.aspx?menuIndex=3&amp;refID=7151314&amp;Result=3","7151314")</f>
        <v>0</v>
      </c>
      <c r="B15272" t="s">
        <v>3156</v>
      </c>
      <c r="C15272" t="s">
        <v>18324</v>
      </c>
      <c r="D15272" t="s">
        <v>19021</v>
      </c>
      <c r="E15272" t="s">
        <v>32004</v>
      </c>
      <c r="F15272" t="s">
        <v>32606</v>
      </c>
      <c r="G15272" t="s">
        <v>32613</v>
      </c>
      <c r="H15272" t="s">
        <v>32624</v>
      </c>
      <c r="I15272" t="s">
        <v>32652</v>
      </c>
      <c r="J15272" t="s">
        <v>42186</v>
      </c>
      <c r="K15272" t="s">
        <v>42623</v>
      </c>
      <c r="M15272" t="s">
        <v>46374</v>
      </c>
      <c r="N15272" t="s">
        <v>47304</v>
      </c>
      <c r="O15272" t="s">
        <v>47305</v>
      </c>
      <c r="Q15272">
        <v>1</v>
      </c>
      <c r="R15272" t="s">
        <v>47328</v>
      </c>
      <c r="S15272" t="s">
        <v>48491</v>
      </c>
      <c r="T15272" t="s">
        <v>49524</v>
      </c>
      <c r="U15272" t="s">
        <v>62116</v>
      </c>
      <c r="W15272" t="s">
        <v>46374</v>
      </c>
      <c r="X15272" t="s">
        <v>47329</v>
      </c>
    </row>
    <row r="15273" spans="1:24">
      <c r="A15273">
        <f>HYPERLINK("https://www.philgeps.gov.ph/GEPSNONPILOT/Tender/SplashBidNoticeAbstractUI.aspx?menuIndex=3&amp;refID=7153998&amp;Result=3","7153998")</f>
        <v>0</v>
      </c>
      <c r="B15273" t="s">
        <v>3119</v>
      </c>
      <c r="C15273" t="s">
        <v>18325</v>
      </c>
      <c r="D15273" t="s">
        <v>19006</v>
      </c>
      <c r="E15273" t="s">
        <v>32005</v>
      </c>
      <c r="F15273" t="s">
        <v>32606</v>
      </c>
      <c r="G15273" t="s">
        <v>32613</v>
      </c>
      <c r="H15273" t="s">
        <v>32623</v>
      </c>
      <c r="I15273" t="s">
        <v>17648</v>
      </c>
      <c r="J15273" t="s">
        <v>42187</v>
      </c>
      <c r="K15273" t="s">
        <v>42636</v>
      </c>
      <c r="M15273" t="s">
        <v>46329</v>
      </c>
      <c r="N15273" t="s">
        <v>47304</v>
      </c>
      <c r="O15273" t="s">
        <v>47305</v>
      </c>
      <c r="P15273">
        <v>0</v>
      </c>
      <c r="Q15273">
        <v>0</v>
      </c>
      <c r="R15273" t="s">
        <v>47327</v>
      </c>
      <c r="S15273" t="s">
        <v>48437</v>
      </c>
      <c r="T15273" t="s">
        <v>49268</v>
      </c>
      <c r="U15273" t="s">
        <v>62023</v>
      </c>
      <c r="V15273" t="s">
        <v>63747</v>
      </c>
      <c r="W15273" t="s">
        <v>46329</v>
      </c>
      <c r="X15273" t="s">
        <v>47328</v>
      </c>
    </row>
    <row r="15274" spans="1:24">
      <c r="A15274">
        <f>HYPERLINK("https://www.philgeps.gov.ph/GEPSNONPILOT/Tender/SplashBidNoticeAbstractUI.aspx?menuIndex=3&amp;refID=7151824&amp;Result=3","7151824")</f>
        <v>0</v>
      </c>
      <c r="B15274" t="s">
        <v>1414</v>
      </c>
      <c r="C15274" t="s">
        <v>18326</v>
      </c>
      <c r="D15274" t="s">
        <v>18994</v>
      </c>
      <c r="E15274" t="s">
        <v>32006</v>
      </c>
      <c r="F15274" t="s">
        <v>32606</v>
      </c>
      <c r="G15274" t="s">
        <v>32613</v>
      </c>
      <c r="H15274" t="s">
        <v>32623</v>
      </c>
      <c r="I15274" t="s">
        <v>17648</v>
      </c>
      <c r="J15274" t="s">
        <v>42188</v>
      </c>
      <c r="K15274" t="s">
        <v>42648</v>
      </c>
      <c r="M15274" t="s">
        <v>44402</v>
      </c>
      <c r="N15274" t="s">
        <v>47304</v>
      </c>
      <c r="O15274" t="s">
        <v>47305</v>
      </c>
      <c r="P15274">
        <v>0</v>
      </c>
      <c r="Q15274">
        <v>2</v>
      </c>
      <c r="R15274" t="s">
        <v>47328</v>
      </c>
      <c r="S15274" t="s">
        <v>48467</v>
      </c>
      <c r="T15274" t="s">
        <v>49053</v>
      </c>
      <c r="U15274" t="s">
        <v>62117</v>
      </c>
      <c r="W15274" t="s">
        <v>44402</v>
      </c>
      <c r="X15274" t="s">
        <v>47329</v>
      </c>
    </row>
    <row r="15275" spans="1:24">
      <c r="A15275">
        <f>HYPERLINK("https://www.philgeps.gov.ph/GEPSNONPILOT/Tender/SplashBidNoticeAbstractUI.aspx?menuIndex=3&amp;refID=7151800&amp;Result=3","7151800")</f>
        <v>0</v>
      </c>
      <c r="B15275" t="s">
        <v>667</v>
      </c>
      <c r="C15275" t="s">
        <v>18327</v>
      </c>
      <c r="D15275" t="s">
        <v>18993</v>
      </c>
      <c r="E15275" t="s">
        <v>32007</v>
      </c>
      <c r="F15275" t="s">
        <v>32606</v>
      </c>
      <c r="G15275" t="s">
        <v>32613</v>
      </c>
      <c r="H15275" t="s">
        <v>14201</v>
      </c>
      <c r="I15275" t="s">
        <v>7577</v>
      </c>
      <c r="J15275" t="s">
        <v>42189</v>
      </c>
      <c r="K15275" t="s">
        <v>42639</v>
      </c>
      <c r="M15275" t="s">
        <v>43587</v>
      </c>
      <c r="N15275" t="s">
        <v>47304</v>
      </c>
      <c r="O15275" t="s">
        <v>47305</v>
      </c>
      <c r="Q15275">
        <v>23</v>
      </c>
      <c r="R15275" t="s">
        <v>47328</v>
      </c>
      <c r="S15275" t="s">
        <v>48492</v>
      </c>
      <c r="T15275" t="s">
        <v>49315</v>
      </c>
      <c r="U15275" t="s">
        <v>62118</v>
      </c>
      <c r="W15275" t="s">
        <v>43587</v>
      </c>
      <c r="X15275" t="s">
        <v>47329</v>
      </c>
    </row>
    <row r="15276" spans="1:24">
      <c r="A15276">
        <f>HYPERLINK("https://www.philgeps.gov.ph/GEPSNONPILOT/Tender/SplashBidNoticeAbstractUI.aspx?menuIndex=3&amp;refID=7152011&amp;Result=3","7152011")</f>
        <v>0</v>
      </c>
      <c r="B15276" t="s">
        <v>3008</v>
      </c>
      <c r="C15276" t="s">
        <v>18328</v>
      </c>
      <c r="D15276" t="s">
        <v>18993</v>
      </c>
      <c r="E15276" t="s">
        <v>19310</v>
      </c>
      <c r="F15276" t="s">
        <v>32606</v>
      </c>
      <c r="G15276" t="s">
        <v>32613</v>
      </c>
      <c r="H15276" t="s">
        <v>32624</v>
      </c>
      <c r="I15276" t="s">
        <v>32628</v>
      </c>
      <c r="J15276" t="s">
        <v>42190</v>
      </c>
      <c r="K15276" t="s">
        <v>42714</v>
      </c>
      <c r="M15276" t="s">
        <v>46197</v>
      </c>
      <c r="N15276" t="s">
        <v>47304</v>
      </c>
      <c r="O15276" t="s">
        <v>47305</v>
      </c>
      <c r="P15276">
        <v>0</v>
      </c>
      <c r="Q15276">
        <v>4</v>
      </c>
      <c r="R15276" t="s">
        <v>47328</v>
      </c>
      <c r="S15276" t="s">
        <v>48467</v>
      </c>
      <c r="T15276" t="s">
        <v>49221</v>
      </c>
      <c r="U15276" t="s">
        <v>62119</v>
      </c>
      <c r="V15276" t="s">
        <v>62763</v>
      </c>
      <c r="W15276" t="s">
        <v>46197</v>
      </c>
      <c r="X15276" t="s">
        <v>47329</v>
      </c>
    </row>
    <row r="15277" spans="1:24">
      <c r="A15277">
        <f>HYPERLINK("https://www.philgeps.gov.ph/GEPSNONPILOT/Tender/SplashBidNoticeAbstractUI.aspx?menuIndex=3&amp;refID=7150027&amp;Result=3","7150027")</f>
        <v>0</v>
      </c>
      <c r="B15277" t="s">
        <v>696</v>
      </c>
      <c r="C15277" t="s">
        <v>18329</v>
      </c>
      <c r="D15277" t="s">
        <v>19040</v>
      </c>
      <c r="E15277" t="s">
        <v>32008</v>
      </c>
      <c r="F15277" t="s">
        <v>32606</v>
      </c>
      <c r="G15277" t="s">
        <v>32617</v>
      </c>
      <c r="H15277" t="s">
        <v>14201</v>
      </c>
      <c r="I15277" t="s">
        <v>6931</v>
      </c>
      <c r="J15277" t="s">
        <v>42191</v>
      </c>
      <c r="K15277" t="s">
        <v>42623</v>
      </c>
      <c r="M15277" t="s">
        <v>45418</v>
      </c>
      <c r="N15277" t="s">
        <v>47304</v>
      </c>
      <c r="O15277" t="s">
        <v>47305</v>
      </c>
      <c r="Q15277">
        <v>0</v>
      </c>
      <c r="R15277" t="s">
        <v>47328</v>
      </c>
      <c r="S15277" t="s">
        <v>48493</v>
      </c>
      <c r="T15277" t="s">
        <v>49081</v>
      </c>
      <c r="U15277" t="s">
        <v>50770</v>
      </c>
      <c r="V15277" t="s">
        <v>64144</v>
      </c>
      <c r="W15277" t="s">
        <v>45418</v>
      </c>
      <c r="X15277" t="s">
        <v>47329</v>
      </c>
    </row>
    <row r="15278" spans="1:24">
      <c r="A15278">
        <f>HYPERLINK("https://www.philgeps.gov.ph/GEPSNONPILOT/Tender/SplashBidNoticeAbstractUI.aspx?menuIndex=3&amp;refID=7152004&amp;Result=3","7152004")</f>
        <v>0</v>
      </c>
      <c r="B15278" t="s">
        <v>1893</v>
      </c>
      <c r="C15278" t="s">
        <v>18330</v>
      </c>
      <c r="D15278" t="s">
        <v>19066</v>
      </c>
      <c r="E15278" t="s">
        <v>32009</v>
      </c>
      <c r="F15278" t="s">
        <v>32606</v>
      </c>
      <c r="G15278" t="s">
        <v>32613</v>
      </c>
      <c r="H15278" t="s">
        <v>14201</v>
      </c>
      <c r="I15278" t="s">
        <v>4112</v>
      </c>
      <c r="J15278" t="s">
        <v>42192</v>
      </c>
      <c r="K15278" t="s">
        <v>42624</v>
      </c>
      <c r="M15278" t="s">
        <v>47214</v>
      </c>
      <c r="N15278" t="s">
        <v>47304</v>
      </c>
      <c r="O15278" t="s">
        <v>47305</v>
      </c>
      <c r="Q15278">
        <v>5</v>
      </c>
      <c r="R15278" t="s">
        <v>47328</v>
      </c>
      <c r="S15278" t="s">
        <v>47440</v>
      </c>
      <c r="T15278" t="s">
        <v>49101</v>
      </c>
      <c r="U15278" t="s">
        <v>62120</v>
      </c>
      <c r="W15278" t="s">
        <v>47214</v>
      </c>
      <c r="X15278" t="s">
        <v>47329</v>
      </c>
    </row>
    <row r="15279" spans="1:24">
      <c r="A15279">
        <f>HYPERLINK("https://www.philgeps.gov.ph/GEPSNONPILOT/Tender/SplashBidNoticeAbstractUI.aspx?menuIndex=3&amp;refID=7152000&amp;Result=3","7152000")</f>
        <v>0</v>
      </c>
      <c r="B15279" t="s">
        <v>1893</v>
      </c>
      <c r="C15279" t="s">
        <v>18331</v>
      </c>
      <c r="D15279" t="s">
        <v>19072</v>
      </c>
      <c r="E15279" t="s">
        <v>32010</v>
      </c>
      <c r="F15279" t="s">
        <v>32606</v>
      </c>
      <c r="G15279" t="s">
        <v>32613</v>
      </c>
      <c r="H15279" t="s">
        <v>14201</v>
      </c>
      <c r="I15279" t="s">
        <v>4112</v>
      </c>
      <c r="J15279" t="s">
        <v>42193</v>
      </c>
      <c r="K15279" t="s">
        <v>42624</v>
      </c>
      <c r="M15279" t="s">
        <v>47214</v>
      </c>
      <c r="N15279" t="s">
        <v>47304</v>
      </c>
      <c r="O15279" t="s">
        <v>47305</v>
      </c>
      <c r="Q15279">
        <v>3</v>
      </c>
      <c r="R15279" t="s">
        <v>47328</v>
      </c>
      <c r="S15279" t="s">
        <v>48494</v>
      </c>
      <c r="T15279" t="s">
        <v>49101</v>
      </c>
      <c r="U15279" t="s">
        <v>62121</v>
      </c>
      <c r="W15279" t="s">
        <v>47214</v>
      </c>
      <c r="X15279" t="s">
        <v>47329</v>
      </c>
    </row>
    <row r="15280" spans="1:24">
      <c r="A15280">
        <f>HYPERLINK("https://www.philgeps.gov.ph/GEPSNONPILOT/Tender/SplashBidNoticeAbstractUI.aspx?menuIndex=3&amp;refID=7151700&amp;Result=3","7151700")</f>
        <v>0</v>
      </c>
      <c r="B15280" t="s">
        <v>3866</v>
      </c>
      <c r="C15280" t="s">
        <v>18332</v>
      </c>
      <c r="E15280" t="s">
        <v>32011</v>
      </c>
      <c r="F15280" t="s">
        <v>32606</v>
      </c>
      <c r="G15280" t="s">
        <v>32613</v>
      </c>
      <c r="H15280" t="s">
        <v>14201</v>
      </c>
      <c r="I15280" t="s">
        <v>32660</v>
      </c>
      <c r="J15280" t="s">
        <v>40563</v>
      </c>
      <c r="K15280" t="s">
        <v>42648</v>
      </c>
      <c r="M15280" t="s">
        <v>47222</v>
      </c>
      <c r="N15280" t="s">
        <v>47304</v>
      </c>
      <c r="O15280" t="s">
        <v>47305</v>
      </c>
      <c r="Q15280">
        <v>3</v>
      </c>
      <c r="R15280" t="s">
        <v>47328</v>
      </c>
      <c r="S15280" t="s">
        <v>48495</v>
      </c>
      <c r="T15280" t="s">
        <v>49525</v>
      </c>
      <c r="U15280" t="s">
        <v>62122</v>
      </c>
      <c r="V15280" t="s">
        <v>64338</v>
      </c>
      <c r="W15280" t="s">
        <v>47222</v>
      </c>
      <c r="X15280" t="s">
        <v>47329</v>
      </c>
    </row>
    <row r="15281" spans="1:24">
      <c r="A15281">
        <f>HYPERLINK("https://www.philgeps.gov.ph/GEPSNONPILOT/Tender/SplashBidNoticeAbstractUI.aspx?menuIndex=3&amp;refID=7151883&amp;Result=3","7151883")</f>
        <v>0</v>
      </c>
      <c r="B15281" t="s">
        <v>2017</v>
      </c>
      <c r="C15281" t="s">
        <v>18333</v>
      </c>
      <c r="D15281" t="s">
        <v>19023</v>
      </c>
      <c r="E15281" t="s">
        <v>32012</v>
      </c>
      <c r="F15281" t="s">
        <v>32606</v>
      </c>
      <c r="G15281" t="s">
        <v>32613</v>
      </c>
      <c r="H15281" t="s">
        <v>14201</v>
      </c>
      <c r="I15281" t="s">
        <v>6298</v>
      </c>
      <c r="J15281" t="s">
        <v>42194</v>
      </c>
      <c r="K15281" t="s">
        <v>42638</v>
      </c>
      <c r="M15281" t="s">
        <v>45090</v>
      </c>
      <c r="N15281" t="s">
        <v>47304</v>
      </c>
      <c r="O15281" t="s">
        <v>47305</v>
      </c>
      <c r="Q15281">
        <v>13</v>
      </c>
      <c r="R15281" t="s">
        <v>47328</v>
      </c>
      <c r="S15281" t="s">
        <v>48234</v>
      </c>
      <c r="T15281" t="s">
        <v>49268</v>
      </c>
      <c r="U15281" t="s">
        <v>62123</v>
      </c>
      <c r="V15281" t="s">
        <v>64339</v>
      </c>
      <c r="W15281" t="s">
        <v>45090</v>
      </c>
      <c r="X15281" t="s">
        <v>47329</v>
      </c>
    </row>
    <row r="15282" spans="1:24">
      <c r="A15282">
        <f>HYPERLINK("https://www.philgeps.gov.ph/GEPSNONPILOT/Tender/SplashBidNoticeAbstractUI.aspx?menuIndex=3&amp;refID=7139519&amp;Result=3","7139519")</f>
        <v>0</v>
      </c>
      <c r="B15282" t="s">
        <v>2291</v>
      </c>
      <c r="C15282" t="s">
        <v>18334</v>
      </c>
      <c r="D15282" t="s">
        <v>19028</v>
      </c>
      <c r="E15282" t="s">
        <v>32013</v>
      </c>
      <c r="F15282" t="s">
        <v>32606</v>
      </c>
      <c r="G15282" t="s">
        <v>32613</v>
      </c>
      <c r="H15282" t="s">
        <v>14201</v>
      </c>
      <c r="I15282" t="s">
        <v>7677</v>
      </c>
      <c r="J15282" t="s">
        <v>42195</v>
      </c>
      <c r="K15282" t="s">
        <v>42624</v>
      </c>
      <c r="M15282" t="s">
        <v>47184</v>
      </c>
      <c r="N15282" t="s">
        <v>47304</v>
      </c>
      <c r="O15282" t="s">
        <v>47305</v>
      </c>
      <c r="Q15282">
        <v>11</v>
      </c>
      <c r="R15282" t="s">
        <v>47329</v>
      </c>
      <c r="S15282" t="s">
        <v>48496</v>
      </c>
      <c r="T15282" t="s">
        <v>49018</v>
      </c>
      <c r="U15282" t="s">
        <v>62124</v>
      </c>
      <c r="V15282" t="s">
        <v>63727</v>
      </c>
      <c r="W15282" t="s">
        <v>47184</v>
      </c>
      <c r="X15282" t="s">
        <v>47334</v>
      </c>
    </row>
    <row r="15283" spans="1:24">
      <c r="A15283">
        <f>HYPERLINK("https://www.philgeps.gov.ph/GEPSNONPILOT/Tender/SplashBidNoticeAbstractUI.aspx?menuIndex=3&amp;refID=7139414&amp;Result=3","7139414")</f>
        <v>0</v>
      </c>
      <c r="B15283" t="s">
        <v>2291</v>
      </c>
      <c r="C15283" t="s">
        <v>18335</v>
      </c>
      <c r="D15283" t="s">
        <v>19028</v>
      </c>
      <c r="E15283" t="s">
        <v>32014</v>
      </c>
      <c r="F15283" t="s">
        <v>32606</v>
      </c>
      <c r="G15283" t="s">
        <v>32613</v>
      </c>
      <c r="H15283" t="s">
        <v>14201</v>
      </c>
      <c r="I15283" t="s">
        <v>7677</v>
      </c>
      <c r="J15283" t="s">
        <v>42196</v>
      </c>
      <c r="K15283" t="s">
        <v>42624</v>
      </c>
      <c r="M15283" t="s">
        <v>47184</v>
      </c>
      <c r="N15283" t="s">
        <v>47304</v>
      </c>
      <c r="O15283" t="s">
        <v>47305</v>
      </c>
      <c r="Q15283">
        <v>17</v>
      </c>
      <c r="R15283" t="s">
        <v>47329</v>
      </c>
      <c r="S15283" t="s">
        <v>48497</v>
      </c>
      <c r="T15283" t="s">
        <v>49018</v>
      </c>
      <c r="U15283" t="s">
        <v>62125</v>
      </c>
      <c r="V15283" t="s">
        <v>63727</v>
      </c>
      <c r="W15283" t="s">
        <v>47184</v>
      </c>
      <c r="X15283" t="s">
        <v>47334</v>
      </c>
    </row>
    <row r="15284" spans="1:24">
      <c r="A15284">
        <f>HYPERLINK("https://www.philgeps.gov.ph/GEPSNONPILOT/Tender/SplashBidNoticeAbstractUI.aspx?menuIndex=3&amp;refID=7151762&amp;Result=3","7151762")</f>
        <v>0</v>
      </c>
      <c r="B15284" t="s">
        <v>834</v>
      </c>
      <c r="C15284" t="s">
        <v>18336</v>
      </c>
      <c r="E15284" t="s">
        <v>32015</v>
      </c>
      <c r="F15284" t="s">
        <v>32606</v>
      </c>
      <c r="G15284" t="s">
        <v>32613</v>
      </c>
      <c r="H15284" t="s">
        <v>14201</v>
      </c>
      <c r="I15284" t="s">
        <v>4369</v>
      </c>
      <c r="J15284" t="s">
        <v>42197</v>
      </c>
      <c r="K15284" t="s">
        <v>42631</v>
      </c>
      <c r="M15284" t="s">
        <v>43765</v>
      </c>
      <c r="N15284" t="s">
        <v>47304</v>
      </c>
      <c r="O15284" t="s">
        <v>47305</v>
      </c>
      <c r="Q15284">
        <v>18</v>
      </c>
      <c r="R15284" t="s">
        <v>47328</v>
      </c>
      <c r="S15284" t="s">
        <v>48498</v>
      </c>
      <c r="T15284" t="s">
        <v>49050</v>
      </c>
      <c r="U15284" t="s">
        <v>62126</v>
      </c>
      <c r="W15284" t="s">
        <v>64452</v>
      </c>
      <c r="X15284" t="s">
        <v>47329</v>
      </c>
    </row>
    <row r="15285" spans="1:24">
      <c r="A15285">
        <f>HYPERLINK("https://www.philgeps.gov.ph/GEPSNONPILOT/Tender/SplashBidNoticeAbstractUI.aspx?menuIndex=3&amp;refID=7137836&amp;Result=3","7137836")</f>
        <v>0</v>
      </c>
      <c r="B15285" t="s">
        <v>52</v>
      </c>
      <c r="C15285" t="s">
        <v>18337</v>
      </c>
      <c r="D15285" t="s">
        <v>19007</v>
      </c>
      <c r="E15285" t="s">
        <v>32016</v>
      </c>
      <c r="F15285" t="s">
        <v>32606</v>
      </c>
      <c r="G15285" t="s">
        <v>32613</v>
      </c>
      <c r="H15285" t="s">
        <v>14201</v>
      </c>
      <c r="I15285" t="s">
        <v>32649</v>
      </c>
      <c r="J15285" t="s">
        <v>42198</v>
      </c>
      <c r="K15285" t="s">
        <v>42639</v>
      </c>
      <c r="M15285" t="s">
        <v>42949</v>
      </c>
      <c r="N15285" t="s">
        <v>47304</v>
      </c>
      <c r="O15285" t="s">
        <v>47305</v>
      </c>
      <c r="P15285">
        <v>0</v>
      </c>
      <c r="Q15285">
        <v>3</v>
      </c>
      <c r="R15285" t="s">
        <v>47329</v>
      </c>
      <c r="S15285" t="s">
        <v>48499</v>
      </c>
      <c r="T15285" t="s">
        <v>49072</v>
      </c>
      <c r="U15285" t="s">
        <v>49586</v>
      </c>
      <c r="W15285" t="s">
        <v>42949</v>
      </c>
      <c r="X15285" t="s">
        <v>47335</v>
      </c>
    </row>
    <row r="15286" spans="1:24">
      <c r="A15286">
        <f>HYPERLINK("https://www.philgeps.gov.ph/GEPSNONPILOT/Tender/SplashBidNoticeAbstractUI.aspx?menuIndex=3&amp;refID=7139779&amp;Result=3","7139779")</f>
        <v>0</v>
      </c>
      <c r="B15286" t="s">
        <v>462</v>
      </c>
      <c r="C15286" t="s">
        <v>18338</v>
      </c>
      <c r="E15286" t="s">
        <v>32017</v>
      </c>
      <c r="F15286" t="s">
        <v>32606</v>
      </c>
      <c r="G15286" t="s">
        <v>32613</v>
      </c>
      <c r="H15286" t="s">
        <v>14201</v>
      </c>
      <c r="I15286" t="s">
        <v>32664</v>
      </c>
      <c r="J15286" t="s">
        <v>32769</v>
      </c>
      <c r="K15286" t="s">
        <v>42639</v>
      </c>
      <c r="M15286" t="s">
        <v>43372</v>
      </c>
      <c r="N15286" t="s">
        <v>47304</v>
      </c>
      <c r="O15286" t="s">
        <v>47305</v>
      </c>
      <c r="P15286">
        <v>0</v>
      </c>
      <c r="Q15286">
        <v>3</v>
      </c>
      <c r="R15286" t="s">
        <v>47329</v>
      </c>
      <c r="S15286" t="s">
        <v>48499</v>
      </c>
      <c r="T15286" t="s">
        <v>49156</v>
      </c>
      <c r="U15286" t="s">
        <v>62127</v>
      </c>
      <c r="W15286" t="s">
        <v>64436</v>
      </c>
      <c r="X15286" t="s">
        <v>47334</v>
      </c>
    </row>
    <row r="15287" spans="1:24">
      <c r="A15287">
        <f>HYPERLINK("https://www.philgeps.gov.ph/GEPSNONPILOT/Tender/SplashBidNoticeAbstractUI.aspx?menuIndex=3&amp;refID=7137885&amp;Result=3","7137885")</f>
        <v>0</v>
      </c>
      <c r="B15287" t="s">
        <v>52</v>
      </c>
      <c r="C15287" t="s">
        <v>18339</v>
      </c>
      <c r="D15287" t="s">
        <v>19007</v>
      </c>
      <c r="E15287" t="s">
        <v>32018</v>
      </c>
      <c r="F15287" t="s">
        <v>32606</v>
      </c>
      <c r="G15287" t="s">
        <v>32613</v>
      </c>
      <c r="H15287" t="s">
        <v>14201</v>
      </c>
      <c r="I15287" t="s">
        <v>32649</v>
      </c>
      <c r="J15287" t="s">
        <v>42199</v>
      </c>
      <c r="K15287" t="s">
        <v>42639</v>
      </c>
      <c r="M15287" t="s">
        <v>42949</v>
      </c>
      <c r="N15287" t="s">
        <v>47304</v>
      </c>
      <c r="O15287" t="s">
        <v>47305</v>
      </c>
      <c r="P15287">
        <v>0</v>
      </c>
      <c r="Q15287">
        <v>1</v>
      </c>
      <c r="R15287" t="s">
        <v>47329</v>
      </c>
      <c r="S15287" t="s">
        <v>48499</v>
      </c>
      <c r="T15287" t="s">
        <v>49072</v>
      </c>
      <c r="U15287" t="s">
        <v>49586</v>
      </c>
      <c r="W15287" t="s">
        <v>42949</v>
      </c>
      <c r="X15287" t="s">
        <v>47335</v>
      </c>
    </row>
    <row r="15288" spans="1:24">
      <c r="A15288">
        <f>HYPERLINK("https://www.philgeps.gov.ph/GEPSNONPILOT/Tender/SplashBidNoticeAbstractUI.aspx?menuIndex=3&amp;refID=7136882&amp;Result=3","7136882")</f>
        <v>0</v>
      </c>
      <c r="B15288" t="s">
        <v>52</v>
      </c>
      <c r="C15288" t="s">
        <v>18340</v>
      </c>
      <c r="D15288" t="s">
        <v>19007</v>
      </c>
      <c r="E15288" t="s">
        <v>32019</v>
      </c>
      <c r="F15288" t="s">
        <v>32606</v>
      </c>
      <c r="G15288" t="s">
        <v>32613</v>
      </c>
      <c r="H15288" t="s">
        <v>14201</v>
      </c>
      <c r="I15288" t="s">
        <v>32649</v>
      </c>
      <c r="J15288" t="s">
        <v>42200</v>
      </c>
      <c r="K15288" t="s">
        <v>42631</v>
      </c>
      <c r="M15288" t="s">
        <v>42949</v>
      </c>
      <c r="N15288" t="s">
        <v>47304</v>
      </c>
      <c r="O15288" t="s">
        <v>47305</v>
      </c>
      <c r="P15288">
        <v>0</v>
      </c>
      <c r="Q15288">
        <v>1</v>
      </c>
      <c r="R15288" t="s">
        <v>47329</v>
      </c>
      <c r="S15288" t="s">
        <v>48499</v>
      </c>
      <c r="T15288" t="s">
        <v>49072</v>
      </c>
      <c r="U15288" t="s">
        <v>49586</v>
      </c>
      <c r="W15288" t="s">
        <v>42949</v>
      </c>
      <c r="X15288" t="s">
        <v>47335</v>
      </c>
    </row>
    <row r="15289" spans="1:24">
      <c r="A15289">
        <f>HYPERLINK("https://www.philgeps.gov.ph/GEPSNONPILOT/Tender/SplashBidNoticeAbstractUI.aspx?menuIndex=3&amp;refID=7151851&amp;Result=3","7151851")</f>
        <v>0</v>
      </c>
      <c r="B15289" t="s">
        <v>1414</v>
      </c>
      <c r="C15289" t="s">
        <v>18341</v>
      </c>
      <c r="D15289" t="s">
        <v>18994</v>
      </c>
      <c r="E15289" t="s">
        <v>32020</v>
      </c>
      <c r="F15289" t="s">
        <v>32606</v>
      </c>
      <c r="G15289" t="s">
        <v>32613</v>
      </c>
      <c r="H15289" t="s">
        <v>32623</v>
      </c>
      <c r="I15289" t="s">
        <v>32649</v>
      </c>
      <c r="J15289" t="s">
        <v>42201</v>
      </c>
      <c r="K15289" t="s">
        <v>42636</v>
      </c>
      <c r="M15289" t="s">
        <v>44402</v>
      </c>
      <c r="N15289" t="s">
        <v>47304</v>
      </c>
      <c r="O15289" t="s">
        <v>47305</v>
      </c>
      <c r="P15289">
        <v>0</v>
      </c>
      <c r="Q15289">
        <v>3</v>
      </c>
      <c r="R15289" t="s">
        <v>47328</v>
      </c>
      <c r="S15289" t="s">
        <v>48467</v>
      </c>
      <c r="T15289" t="s">
        <v>49053</v>
      </c>
      <c r="U15289" t="s">
        <v>62128</v>
      </c>
      <c r="W15289" t="s">
        <v>44402</v>
      </c>
      <c r="X15289" t="s">
        <v>47329</v>
      </c>
    </row>
    <row r="15290" spans="1:24">
      <c r="A15290">
        <f>HYPERLINK("https://www.philgeps.gov.ph/GEPSNONPILOT/Tender/SplashBidNoticeAbstractUI.aspx?menuIndex=3&amp;refID=7151783&amp;Result=3","7151783")</f>
        <v>0</v>
      </c>
      <c r="B15290" t="s">
        <v>667</v>
      </c>
      <c r="C15290" t="s">
        <v>18342</v>
      </c>
      <c r="D15290" t="s">
        <v>18993</v>
      </c>
      <c r="E15290" t="s">
        <v>32021</v>
      </c>
      <c r="F15290" t="s">
        <v>32606</v>
      </c>
      <c r="G15290" t="s">
        <v>32613</v>
      </c>
      <c r="H15290" t="s">
        <v>14201</v>
      </c>
      <c r="I15290" t="s">
        <v>7577</v>
      </c>
      <c r="J15290" t="s">
        <v>42202</v>
      </c>
      <c r="K15290" t="s">
        <v>42636</v>
      </c>
      <c r="M15290" t="s">
        <v>43587</v>
      </c>
      <c r="N15290" t="s">
        <v>47304</v>
      </c>
      <c r="O15290" t="s">
        <v>47305</v>
      </c>
      <c r="Q15290">
        <v>23</v>
      </c>
      <c r="R15290" t="s">
        <v>47328</v>
      </c>
      <c r="S15290" t="s">
        <v>48500</v>
      </c>
      <c r="T15290" t="s">
        <v>49315</v>
      </c>
      <c r="U15290" t="s">
        <v>62129</v>
      </c>
      <c r="W15290" t="s">
        <v>43587</v>
      </c>
      <c r="X15290" t="s">
        <v>47329</v>
      </c>
    </row>
    <row r="15291" spans="1:24">
      <c r="A15291">
        <f>HYPERLINK("https://www.philgeps.gov.ph/GEPSNONPILOT/Tender/SplashBidNoticeAbstractUI.aspx?menuIndex=3&amp;refID=7151792&amp;Result=3","7151792")</f>
        <v>0</v>
      </c>
      <c r="B15291" t="s">
        <v>667</v>
      </c>
      <c r="C15291" t="s">
        <v>18343</v>
      </c>
      <c r="D15291" t="s">
        <v>18993</v>
      </c>
      <c r="E15291" t="s">
        <v>32022</v>
      </c>
      <c r="F15291" t="s">
        <v>32606</v>
      </c>
      <c r="G15291" t="s">
        <v>32613</v>
      </c>
      <c r="H15291" t="s">
        <v>14201</v>
      </c>
      <c r="I15291" t="s">
        <v>7577</v>
      </c>
      <c r="J15291" t="s">
        <v>42203</v>
      </c>
      <c r="K15291" t="s">
        <v>42636</v>
      </c>
      <c r="M15291" t="s">
        <v>43587</v>
      </c>
      <c r="N15291" t="s">
        <v>47304</v>
      </c>
      <c r="O15291" t="s">
        <v>47305</v>
      </c>
      <c r="Q15291">
        <v>26</v>
      </c>
      <c r="R15291" t="s">
        <v>47328</v>
      </c>
      <c r="S15291" t="s">
        <v>48501</v>
      </c>
      <c r="T15291" t="s">
        <v>49315</v>
      </c>
      <c r="U15291" t="s">
        <v>62118</v>
      </c>
      <c r="W15291" t="s">
        <v>43587</v>
      </c>
      <c r="X15291" t="s">
        <v>47329</v>
      </c>
    </row>
    <row r="15292" spans="1:24">
      <c r="A15292">
        <f>HYPERLINK("https://www.philgeps.gov.ph/GEPSNONPILOT/Tender/SplashBidNoticeAbstractUI.aspx?menuIndex=3&amp;refID=7152172&amp;Result=3","7152172")</f>
        <v>0</v>
      </c>
      <c r="B15292" t="s">
        <v>3659</v>
      </c>
      <c r="C15292" t="s">
        <v>18344</v>
      </c>
      <c r="D15292" t="s">
        <v>18999</v>
      </c>
      <c r="E15292" t="s">
        <v>32023</v>
      </c>
      <c r="F15292" t="s">
        <v>32606</v>
      </c>
      <c r="G15292" t="s">
        <v>32613</v>
      </c>
      <c r="H15292" t="s">
        <v>14201</v>
      </c>
      <c r="I15292" t="s">
        <v>32634</v>
      </c>
      <c r="J15292" t="s">
        <v>42204</v>
      </c>
      <c r="K15292" t="s">
        <v>42636</v>
      </c>
      <c r="M15292" t="s">
        <v>47223</v>
      </c>
      <c r="N15292" t="s">
        <v>47304</v>
      </c>
      <c r="O15292" t="s">
        <v>47305</v>
      </c>
      <c r="Q15292">
        <v>11</v>
      </c>
      <c r="R15292" t="s">
        <v>47328</v>
      </c>
      <c r="S15292" t="s">
        <v>48502</v>
      </c>
      <c r="T15292" t="s">
        <v>49023</v>
      </c>
      <c r="U15292" t="s">
        <v>62130</v>
      </c>
      <c r="V15292" t="s">
        <v>64340</v>
      </c>
      <c r="W15292" t="s">
        <v>64548</v>
      </c>
      <c r="X15292" t="s">
        <v>47329</v>
      </c>
    </row>
    <row r="15293" spans="1:24">
      <c r="A15293">
        <f>HYPERLINK("https://www.philgeps.gov.ph/GEPSNONPILOT/Tender/SplashBidNoticeAbstractUI.aspx?menuIndex=3&amp;refID=7137864&amp;Result=3","7137864")</f>
        <v>0</v>
      </c>
      <c r="B15293" t="s">
        <v>52</v>
      </c>
      <c r="C15293" t="s">
        <v>18345</v>
      </c>
      <c r="D15293" t="s">
        <v>19007</v>
      </c>
      <c r="E15293" t="s">
        <v>32024</v>
      </c>
      <c r="F15293" t="s">
        <v>32606</v>
      </c>
      <c r="G15293" t="s">
        <v>32613</v>
      </c>
      <c r="H15293" t="s">
        <v>14201</v>
      </c>
      <c r="I15293" t="s">
        <v>32649</v>
      </c>
      <c r="J15293" t="s">
        <v>42205</v>
      </c>
      <c r="K15293" t="s">
        <v>42639</v>
      </c>
      <c r="M15293" t="s">
        <v>42949</v>
      </c>
      <c r="N15293" t="s">
        <v>47304</v>
      </c>
      <c r="O15293" t="s">
        <v>47305</v>
      </c>
      <c r="P15293">
        <v>0</v>
      </c>
      <c r="Q15293">
        <v>2</v>
      </c>
      <c r="R15293" t="s">
        <v>47329</v>
      </c>
      <c r="S15293" t="s">
        <v>48499</v>
      </c>
      <c r="T15293" t="s">
        <v>49072</v>
      </c>
      <c r="U15293" t="s">
        <v>49586</v>
      </c>
      <c r="W15293" t="s">
        <v>42949</v>
      </c>
      <c r="X15293" t="s">
        <v>47335</v>
      </c>
    </row>
    <row r="15294" spans="1:24">
      <c r="A15294">
        <f>HYPERLINK("https://www.philgeps.gov.ph/GEPSNONPILOT/Tender/SplashBidNoticeAbstractUI.aspx?menuIndex=3&amp;refID=7152116&amp;Result=3","7152116")</f>
        <v>0</v>
      </c>
      <c r="B15294" t="s">
        <v>3867</v>
      </c>
      <c r="C15294" t="s">
        <v>18346</v>
      </c>
      <c r="D15294" t="s">
        <v>18993</v>
      </c>
      <c r="E15294" t="s">
        <v>32025</v>
      </c>
      <c r="F15294" t="s">
        <v>32606</v>
      </c>
      <c r="G15294" t="s">
        <v>32613</v>
      </c>
      <c r="H15294" t="s">
        <v>14201</v>
      </c>
      <c r="I15294" t="s">
        <v>4114</v>
      </c>
      <c r="J15294" t="s">
        <v>35274</v>
      </c>
      <c r="K15294" t="s">
        <v>42624</v>
      </c>
      <c r="M15294" t="s">
        <v>47224</v>
      </c>
      <c r="N15294" t="s">
        <v>47304</v>
      </c>
      <c r="O15294" t="s">
        <v>47305</v>
      </c>
      <c r="Q15294">
        <v>14</v>
      </c>
      <c r="R15294" t="s">
        <v>47328</v>
      </c>
      <c r="S15294" t="s">
        <v>48503</v>
      </c>
      <c r="T15294" t="s">
        <v>48986</v>
      </c>
      <c r="U15294" t="s">
        <v>62131</v>
      </c>
      <c r="W15294" t="s">
        <v>47224</v>
      </c>
      <c r="X15294" t="s">
        <v>47329</v>
      </c>
    </row>
    <row r="15295" spans="1:24">
      <c r="A15295">
        <f>HYPERLINK("https://www.philgeps.gov.ph/GEPSNONPILOT/Tender/SplashBidNoticeAbstractUI.aspx?menuIndex=3&amp;refID=7136829&amp;Result=3","7136829")</f>
        <v>0</v>
      </c>
      <c r="B15295" t="s">
        <v>52</v>
      </c>
      <c r="C15295" t="s">
        <v>18347</v>
      </c>
      <c r="D15295" t="s">
        <v>19007</v>
      </c>
      <c r="E15295" t="s">
        <v>32026</v>
      </c>
      <c r="F15295" t="s">
        <v>32606</v>
      </c>
      <c r="G15295" t="s">
        <v>32613</v>
      </c>
      <c r="H15295" t="s">
        <v>14201</v>
      </c>
      <c r="I15295" t="s">
        <v>32649</v>
      </c>
      <c r="J15295" t="s">
        <v>42206</v>
      </c>
      <c r="K15295" t="s">
        <v>42631</v>
      </c>
      <c r="M15295" t="s">
        <v>42949</v>
      </c>
      <c r="N15295" t="s">
        <v>47304</v>
      </c>
      <c r="O15295" t="s">
        <v>47305</v>
      </c>
      <c r="P15295">
        <v>0</v>
      </c>
      <c r="Q15295">
        <v>1</v>
      </c>
      <c r="R15295" t="s">
        <v>47329</v>
      </c>
      <c r="S15295" t="s">
        <v>48499</v>
      </c>
      <c r="T15295" t="s">
        <v>49072</v>
      </c>
      <c r="U15295" t="s">
        <v>49586</v>
      </c>
      <c r="W15295" t="s">
        <v>42949</v>
      </c>
      <c r="X15295" t="s">
        <v>47335</v>
      </c>
    </row>
    <row r="15296" spans="1:24">
      <c r="A15296">
        <f>HYPERLINK("https://www.philgeps.gov.ph/GEPSNONPILOT/Tender/SplashBidNoticeAbstractUI.aspx?menuIndex=3&amp;refID=7152094&amp;Result=3","7152094")</f>
        <v>0</v>
      </c>
      <c r="B15296" t="s">
        <v>1893</v>
      </c>
      <c r="C15296" t="s">
        <v>18348</v>
      </c>
      <c r="D15296" t="s">
        <v>18998</v>
      </c>
      <c r="E15296" t="s">
        <v>32027</v>
      </c>
      <c r="F15296" t="s">
        <v>32606</v>
      </c>
      <c r="G15296" t="s">
        <v>32613</v>
      </c>
      <c r="H15296" t="s">
        <v>14201</v>
      </c>
      <c r="I15296" t="s">
        <v>4112</v>
      </c>
      <c r="J15296" t="s">
        <v>42207</v>
      </c>
      <c r="K15296" t="s">
        <v>42624</v>
      </c>
      <c r="M15296" t="s">
        <v>47214</v>
      </c>
      <c r="N15296" t="s">
        <v>47304</v>
      </c>
      <c r="O15296" t="s">
        <v>47305</v>
      </c>
      <c r="Q15296">
        <v>3</v>
      </c>
      <c r="R15296" t="s">
        <v>47328</v>
      </c>
      <c r="S15296" t="s">
        <v>48504</v>
      </c>
      <c r="T15296" t="s">
        <v>49101</v>
      </c>
      <c r="U15296" t="s">
        <v>62132</v>
      </c>
      <c r="W15296" t="s">
        <v>47214</v>
      </c>
      <c r="X15296" t="s">
        <v>47329</v>
      </c>
    </row>
    <row r="15297" spans="1:24">
      <c r="A15297">
        <f>HYPERLINK("https://www.philgeps.gov.ph/GEPSNONPILOT/Tender/SplashBidNoticeAbstractUI.aspx?menuIndex=3&amp;refID=7152074&amp;Result=3","7152074")</f>
        <v>0</v>
      </c>
      <c r="B15297" t="s">
        <v>1893</v>
      </c>
      <c r="C15297" t="s">
        <v>18349</v>
      </c>
      <c r="D15297" t="s">
        <v>19072</v>
      </c>
      <c r="E15297" t="s">
        <v>32028</v>
      </c>
      <c r="F15297" t="s">
        <v>32606</v>
      </c>
      <c r="G15297" t="s">
        <v>32613</v>
      </c>
      <c r="H15297" t="s">
        <v>14201</v>
      </c>
      <c r="I15297" t="s">
        <v>4112</v>
      </c>
      <c r="J15297" t="s">
        <v>42208</v>
      </c>
      <c r="K15297" t="s">
        <v>42624</v>
      </c>
      <c r="M15297" t="s">
        <v>47214</v>
      </c>
      <c r="N15297" t="s">
        <v>47304</v>
      </c>
      <c r="O15297" t="s">
        <v>47305</v>
      </c>
      <c r="Q15297">
        <v>3</v>
      </c>
      <c r="R15297" t="s">
        <v>47328</v>
      </c>
      <c r="S15297" t="s">
        <v>48505</v>
      </c>
      <c r="T15297" t="s">
        <v>49101</v>
      </c>
      <c r="U15297" t="s">
        <v>62133</v>
      </c>
      <c r="W15297" t="s">
        <v>47214</v>
      </c>
      <c r="X15297" t="s">
        <v>47329</v>
      </c>
    </row>
    <row r="15298" spans="1:24">
      <c r="A15298">
        <f>HYPERLINK("https://www.philgeps.gov.ph/GEPSNONPILOT/Tender/SplashBidNoticeAbstractUI.aspx?menuIndex=3&amp;refID=7152023&amp;Result=3","7152023")</f>
        <v>0</v>
      </c>
      <c r="B15298" t="s">
        <v>1884</v>
      </c>
      <c r="C15298" t="s">
        <v>18350</v>
      </c>
      <c r="E15298" t="s">
        <v>32029</v>
      </c>
      <c r="F15298" t="s">
        <v>32606</v>
      </c>
      <c r="G15298" t="s">
        <v>32613</v>
      </c>
      <c r="H15298" t="s">
        <v>14201</v>
      </c>
      <c r="I15298" t="s">
        <v>32652</v>
      </c>
      <c r="J15298" t="s">
        <v>42209</v>
      </c>
      <c r="K15298" t="s">
        <v>42624</v>
      </c>
      <c r="M15298" t="s">
        <v>47225</v>
      </c>
      <c r="N15298" t="s">
        <v>47304</v>
      </c>
      <c r="O15298" t="s">
        <v>47305</v>
      </c>
      <c r="Q15298">
        <v>1</v>
      </c>
      <c r="R15298" t="s">
        <v>47328</v>
      </c>
      <c r="S15298" t="s">
        <v>48506</v>
      </c>
      <c r="T15298" t="s">
        <v>49269</v>
      </c>
      <c r="U15298" t="s">
        <v>62134</v>
      </c>
      <c r="W15298" t="s">
        <v>47225</v>
      </c>
      <c r="X15298" t="s">
        <v>47329</v>
      </c>
    </row>
    <row r="15299" spans="1:24">
      <c r="A15299">
        <f>HYPERLINK("https://www.philgeps.gov.ph/GEPSNONPILOT/Tender/SplashBidNoticeAbstractUI.aspx?menuIndex=3&amp;refID=7152110&amp;Result=3","7152110")</f>
        <v>0</v>
      </c>
      <c r="B15299" t="s">
        <v>1893</v>
      </c>
      <c r="C15299" t="s">
        <v>18351</v>
      </c>
      <c r="D15299" t="s">
        <v>19066</v>
      </c>
      <c r="E15299" t="s">
        <v>32030</v>
      </c>
      <c r="F15299" t="s">
        <v>32606</v>
      </c>
      <c r="G15299" t="s">
        <v>32613</v>
      </c>
      <c r="H15299" t="s">
        <v>14201</v>
      </c>
      <c r="I15299" t="s">
        <v>4112</v>
      </c>
      <c r="J15299" t="s">
        <v>42210</v>
      </c>
      <c r="K15299" t="s">
        <v>42624</v>
      </c>
      <c r="M15299" t="s">
        <v>47214</v>
      </c>
      <c r="N15299" t="s">
        <v>47304</v>
      </c>
      <c r="O15299" t="s">
        <v>47305</v>
      </c>
      <c r="Q15299">
        <v>3</v>
      </c>
      <c r="R15299" t="s">
        <v>47328</v>
      </c>
      <c r="S15299" t="s">
        <v>48507</v>
      </c>
      <c r="T15299" t="s">
        <v>49101</v>
      </c>
      <c r="U15299" t="s">
        <v>62135</v>
      </c>
      <c r="W15299" t="s">
        <v>47214</v>
      </c>
      <c r="X15299" t="s">
        <v>47329</v>
      </c>
    </row>
    <row r="15300" spans="1:24">
      <c r="A15300">
        <f>HYPERLINK("https://www.philgeps.gov.ph/GEPSNONPILOT/Tender/SplashBidNoticeAbstractUI.aspx?menuIndex=3&amp;refID=7152045&amp;Result=3","7152045")</f>
        <v>0</v>
      </c>
      <c r="B15300" t="s">
        <v>1893</v>
      </c>
      <c r="C15300" t="s">
        <v>18352</v>
      </c>
      <c r="D15300" t="s">
        <v>19072</v>
      </c>
      <c r="E15300" t="s">
        <v>32031</v>
      </c>
      <c r="F15300" t="s">
        <v>32606</v>
      </c>
      <c r="G15300" t="s">
        <v>32613</v>
      </c>
      <c r="H15300" t="s">
        <v>14201</v>
      </c>
      <c r="I15300" t="s">
        <v>4112</v>
      </c>
      <c r="J15300" t="s">
        <v>42211</v>
      </c>
      <c r="K15300" t="s">
        <v>42624</v>
      </c>
      <c r="M15300" t="s">
        <v>47214</v>
      </c>
      <c r="N15300" t="s">
        <v>47304</v>
      </c>
      <c r="O15300" t="s">
        <v>47305</v>
      </c>
      <c r="Q15300">
        <v>4</v>
      </c>
      <c r="R15300" t="s">
        <v>47328</v>
      </c>
      <c r="S15300" t="s">
        <v>47568</v>
      </c>
      <c r="T15300" t="s">
        <v>49101</v>
      </c>
      <c r="U15300" t="s">
        <v>62136</v>
      </c>
      <c r="W15300" t="s">
        <v>47214</v>
      </c>
      <c r="X15300" t="s">
        <v>47329</v>
      </c>
    </row>
    <row r="15301" spans="1:24">
      <c r="A15301">
        <f>HYPERLINK("https://www.philgeps.gov.ph/GEPSNONPILOT/Tender/SplashBidNoticeAbstractUI.aspx?menuIndex=3&amp;refID=7152157&amp;Result=3","7152157")</f>
        <v>0</v>
      </c>
      <c r="B15301" t="s">
        <v>1808</v>
      </c>
      <c r="C15301" t="s">
        <v>18353</v>
      </c>
      <c r="D15301" t="s">
        <v>19023</v>
      </c>
      <c r="E15301" t="s">
        <v>32032</v>
      </c>
      <c r="F15301" t="s">
        <v>32606</v>
      </c>
      <c r="G15301" t="s">
        <v>32613</v>
      </c>
      <c r="H15301" t="s">
        <v>14201</v>
      </c>
      <c r="I15301" t="s">
        <v>32660</v>
      </c>
      <c r="J15301" t="s">
        <v>42212</v>
      </c>
      <c r="K15301" t="s">
        <v>42636</v>
      </c>
      <c r="M15301" t="s">
        <v>44849</v>
      </c>
      <c r="N15301" t="s">
        <v>47304</v>
      </c>
      <c r="O15301" t="s">
        <v>47305</v>
      </c>
      <c r="Q15301">
        <v>0</v>
      </c>
      <c r="R15301" t="s">
        <v>47328</v>
      </c>
      <c r="S15301" t="s">
        <v>48508</v>
      </c>
      <c r="T15301" t="s">
        <v>49256</v>
      </c>
      <c r="U15301" t="s">
        <v>62137</v>
      </c>
      <c r="V15301" t="s">
        <v>63262</v>
      </c>
      <c r="W15301" t="s">
        <v>44849</v>
      </c>
      <c r="X15301" t="s">
        <v>47329</v>
      </c>
    </row>
    <row r="15302" spans="1:24">
      <c r="A15302">
        <f>HYPERLINK("https://www.philgeps.gov.ph/GEPSNONPILOT/Tender/SplashBidNoticeAbstractUI.aspx?menuIndex=3&amp;refID=7152021&amp;Result=3","7152021")</f>
        <v>0</v>
      </c>
      <c r="B15302" t="s">
        <v>1893</v>
      </c>
      <c r="C15302" t="s">
        <v>18354</v>
      </c>
      <c r="D15302" t="s">
        <v>18998</v>
      </c>
      <c r="E15302" t="s">
        <v>32033</v>
      </c>
      <c r="F15302" t="s">
        <v>32606</v>
      </c>
      <c r="G15302" t="s">
        <v>32613</v>
      </c>
      <c r="H15302" t="s">
        <v>14201</v>
      </c>
      <c r="I15302" t="s">
        <v>4112</v>
      </c>
      <c r="J15302" t="s">
        <v>42213</v>
      </c>
      <c r="K15302" t="s">
        <v>42624</v>
      </c>
      <c r="M15302" t="s">
        <v>47214</v>
      </c>
      <c r="N15302" t="s">
        <v>47304</v>
      </c>
      <c r="O15302" t="s">
        <v>47305</v>
      </c>
      <c r="Q15302">
        <v>4</v>
      </c>
      <c r="R15302" t="s">
        <v>47328</v>
      </c>
      <c r="S15302" t="s">
        <v>48509</v>
      </c>
      <c r="T15302" t="s">
        <v>49101</v>
      </c>
      <c r="U15302" t="s">
        <v>62138</v>
      </c>
      <c r="W15302" t="s">
        <v>47214</v>
      </c>
      <c r="X15302" t="s">
        <v>47329</v>
      </c>
    </row>
    <row r="15303" spans="1:24">
      <c r="A15303">
        <f>HYPERLINK("https://www.philgeps.gov.ph/GEPSNONPILOT/Tender/SplashBidNoticeAbstractUI.aspx?menuIndex=3&amp;refID=7137742&amp;Result=3","7137742")</f>
        <v>0</v>
      </c>
      <c r="B15303" t="s">
        <v>52</v>
      </c>
      <c r="C15303" t="s">
        <v>18355</v>
      </c>
      <c r="D15303" t="s">
        <v>19007</v>
      </c>
      <c r="E15303" t="s">
        <v>32034</v>
      </c>
      <c r="F15303" t="s">
        <v>32606</v>
      </c>
      <c r="G15303" t="s">
        <v>32613</v>
      </c>
      <c r="H15303" t="s">
        <v>14201</v>
      </c>
      <c r="I15303" t="s">
        <v>32649</v>
      </c>
      <c r="J15303" t="s">
        <v>42214</v>
      </c>
      <c r="K15303" t="s">
        <v>42639</v>
      </c>
      <c r="M15303" t="s">
        <v>42949</v>
      </c>
      <c r="N15303" t="s">
        <v>47304</v>
      </c>
      <c r="O15303" t="s">
        <v>47305</v>
      </c>
      <c r="P15303">
        <v>0</v>
      </c>
      <c r="Q15303">
        <v>1</v>
      </c>
      <c r="R15303" t="s">
        <v>47329</v>
      </c>
      <c r="S15303" t="s">
        <v>48499</v>
      </c>
      <c r="T15303" t="s">
        <v>49072</v>
      </c>
      <c r="U15303" t="s">
        <v>49586</v>
      </c>
      <c r="W15303" t="s">
        <v>42949</v>
      </c>
      <c r="X15303" t="s">
        <v>47335</v>
      </c>
    </row>
    <row r="15304" spans="1:24">
      <c r="A15304">
        <f>HYPERLINK("https://www.philgeps.gov.ph/GEPSNONPILOT/Tender/SplashBidNoticeAbstractUI.aspx?menuIndex=3&amp;refID=7149050&amp;Result=3","7149050")</f>
        <v>0</v>
      </c>
      <c r="B15304" t="s">
        <v>1778</v>
      </c>
      <c r="C15304" t="s">
        <v>18356</v>
      </c>
      <c r="D15304" t="s">
        <v>18993</v>
      </c>
      <c r="E15304" t="s">
        <v>23293</v>
      </c>
      <c r="F15304" t="s">
        <v>32606</v>
      </c>
      <c r="G15304" t="s">
        <v>32613</v>
      </c>
      <c r="H15304" t="s">
        <v>14201</v>
      </c>
      <c r="I15304" t="s">
        <v>6298</v>
      </c>
      <c r="J15304" t="s">
        <v>32981</v>
      </c>
      <c r="K15304" t="s">
        <v>42631</v>
      </c>
      <c r="M15304" t="s">
        <v>44817</v>
      </c>
      <c r="N15304" t="s">
        <v>47304</v>
      </c>
      <c r="O15304" t="s">
        <v>47305</v>
      </c>
      <c r="Q15304">
        <v>2</v>
      </c>
      <c r="R15304" t="s">
        <v>47329</v>
      </c>
      <c r="S15304" t="s">
        <v>48510</v>
      </c>
      <c r="T15304" t="s">
        <v>49053</v>
      </c>
      <c r="U15304" t="s">
        <v>62139</v>
      </c>
      <c r="W15304" t="s">
        <v>44817</v>
      </c>
      <c r="X15304" t="s">
        <v>64576</v>
      </c>
    </row>
    <row r="15305" spans="1:24">
      <c r="A15305">
        <f>HYPERLINK("https://www.philgeps.gov.ph/GEPSNONPILOT/Tender/SplashBidNoticeAbstractUI.aspx?menuIndex=3&amp;refID=7149166&amp;Result=3","7149166")</f>
        <v>0</v>
      </c>
      <c r="B15305" t="s">
        <v>1119</v>
      </c>
      <c r="C15305" t="s">
        <v>18357</v>
      </c>
      <c r="D15305" t="s">
        <v>19002</v>
      </c>
      <c r="E15305" t="s">
        <v>32035</v>
      </c>
      <c r="F15305" t="s">
        <v>32606</v>
      </c>
      <c r="G15305" t="s">
        <v>32613</v>
      </c>
      <c r="H15305" t="s">
        <v>32623</v>
      </c>
      <c r="I15305" t="s">
        <v>17648</v>
      </c>
      <c r="J15305" t="s">
        <v>42215</v>
      </c>
      <c r="K15305" t="s">
        <v>42651</v>
      </c>
      <c r="M15305" t="s">
        <v>44081</v>
      </c>
      <c r="N15305" t="s">
        <v>47304</v>
      </c>
      <c r="O15305" t="s">
        <v>47305</v>
      </c>
      <c r="P15305">
        <v>0</v>
      </c>
      <c r="Q15305">
        <v>1</v>
      </c>
      <c r="R15305" t="s">
        <v>47329</v>
      </c>
      <c r="S15305" t="s">
        <v>48499</v>
      </c>
      <c r="T15305" t="s">
        <v>48975</v>
      </c>
      <c r="U15305" t="s">
        <v>62140</v>
      </c>
      <c r="W15305" t="s">
        <v>64534</v>
      </c>
      <c r="X15305" t="s">
        <v>64576</v>
      </c>
    </row>
    <row r="15306" spans="1:24">
      <c r="A15306">
        <f>HYPERLINK("https://www.philgeps.gov.ph/GEPSNONPILOT/Tender/SplashBidNoticeAbstractUI.aspx?menuIndex=3&amp;refID=7149044&amp;Result=3","7149044")</f>
        <v>0</v>
      </c>
      <c r="B15306" t="s">
        <v>1778</v>
      </c>
      <c r="C15306" t="s">
        <v>18358</v>
      </c>
      <c r="D15306" t="s">
        <v>18993</v>
      </c>
      <c r="E15306" t="s">
        <v>26077</v>
      </c>
      <c r="F15306" t="s">
        <v>32606</v>
      </c>
      <c r="G15306" t="s">
        <v>32613</v>
      </c>
      <c r="H15306" t="s">
        <v>14201</v>
      </c>
      <c r="I15306" t="s">
        <v>6298</v>
      </c>
      <c r="J15306" t="s">
        <v>33102</v>
      </c>
      <c r="K15306" t="s">
        <v>42631</v>
      </c>
      <c r="M15306" t="s">
        <v>44817</v>
      </c>
      <c r="N15306" t="s">
        <v>47304</v>
      </c>
      <c r="O15306" t="s">
        <v>47305</v>
      </c>
      <c r="Q15306">
        <v>3</v>
      </c>
      <c r="R15306" t="s">
        <v>47329</v>
      </c>
      <c r="S15306" t="s">
        <v>48511</v>
      </c>
      <c r="T15306" t="s">
        <v>49053</v>
      </c>
      <c r="U15306" t="s">
        <v>62141</v>
      </c>
      <c r="W15306" t="s">
        <v>44817</v>
      </c>
      <c r="X15306" t="s">
        <v>64576</v>
      </c>
    </row>
    <row r="15307" spans="1:24">
      <c r="A15307">
        <f>HYPERLINK("https://www.philgeps.gov.ph/GEPSNONPILOT/Tender/SplashBidNoticeAbstractUI.aspx?menuIndex=3&amp;refID=7149035&amp;Result=3","7149035")</f>
        <v>0</v>
      </c>
      <c r="B15307" t="s">
        <v>1778</v>
      </c>
      <c r="C15307" t="s">
        <v>18359</v>
      </c>
      <c r="D15307" t="s">
        <v>18993</v>
      </c>
      <c r="E15307" t="s">
        <v>22775</v>
      </c>
      <c r="F15307" t="s">
        <v>32606</v>
      </c>
      <c r="G15307" t="s">
        <v>32613</v>
      </c>
      <c r="H15307" t="s">
        <v>14201</v>
      </c>
      <c r="I15307" t="s">
        <v>6298</v>
      </c>
      <c r="J15307" t="s">
        <v>33441</v>
      </c>
      <c r="K15307" t="s">
        <v>42636</v>
      </c>
      <c r="M15307" t="s">
        <v>44817</v>
      </c>
      <c r="N15307" t="s">
        <v>47304</v>
      </c>
      <c r="O15307" t="s">
        <v>47305</v>
      </c>
      <c r="Q15307">
        <v>3</v>
      </c>
      <c r="R15307" t="s">
        <v>47329</v>
      </c>
      <c r="S15307" t="s">
        <v>48512</v>
      </c>
      <c r="T15307" t="s">
        <v>49053</v>
      </c>
      <c r="U15307" t="s">
        <v>62142</v>
      </c>
      <c r="W15307" t="s">
        <v>44817</v>
      </c>
      <c r="X15307" t="s">
        <v>64576</v>
      </c>
    </row>
    <row r="15308" spans="1:24">
      <c r="A15308">
        <f>HYPERLINK("https://www.philgeps.gov.ph/GEPSNONPILOT/Tender/SplashBidNoticeAbstractUI.aspx?menuIndex=3&amp;refID=7148948&amp;Result=3","7148948")</f>
        <v>0</v>
      </c>
      <c r="B15308" t="s">
        <v>2425</v>
      </c>
      <c r="C15308" t="s">
        <v>18360</v>
      </c>
      <c r="E15308" t="s">
        <v>32036</v>
      </c>
      <c r="F15308" t="s">
        <v>32606</v>
      </c>
      <c r="G15308" t="s">
        <v>32613</v>
      </c>
      <c r="H15308" t="s">
        <v>14201</v>
      </c>
      <c r="I15308" t="s">
        <v>32650</v>
      </c>
      <c r="J15308" t="s">
        <v>42216</v>
      </c>
      <c r="K15308" t="s">
        <v>42624</v>
      </c>
      <c r="M15308" t="s">
        <v>45551</v>
      </c>
      <c r="N15308" t="s">
        <v>47304</v>
      </c>
      <c r="O15308" t="s">
        <v>47305</v>
      </c>
      <c r="Q15308">
        <v>8</v>
      </c>
      <c r="R15308" t="s">
        <v>47329</v>
      </c>
      <c r="S15308" t="s">
        <v>48513</v>
      </c>
      <c r="T15308" t="s">
        <v>49347</v>
      </c>
      <c r="U15308" t="s">
        <v>62143</v>
      </c>
      <c r="W15308" t="s">
        <v>45551</v>
      </c>
      <c r="X15308" t="s">
        <v>64576</v>
      </c>
    </row>
    <row r="15309" spans="1:24">
      <c r="A15309">
        <f>HYPERLINK("https://www.philgeps.gov.ph/GEPSNONPILOT/Tender/SplashBidNoticeAbstractUI.aspx?menuIndex=3&amp;refID=7148165&amp;Result=3","7148165")</f>
        <v>0</v>
      </c>
      <c r="B15309" t="s">
        <v>3868</v>
      </c>
      <c r="C15309" t="s">
        <v>18361</v>
      </c>
      <c r="D15309" t="s">
        <v>19012</v>
      </c>
      <c r="E15309" t="s">
        <v>32037</v>
      </c>
      <c r="F15309" t="s">
        <v>32606</v>
      </c>
      <c r="G15309" t="s">
        <v>32613</v>
      </c>
      <c r="H15309" t="s">
        <v>32623</v>
      </c>
      <c r="I15309" t="s">
        <v>17648</v>
      </c>
      <c r="J15309" t="s">
        <v>42217</v>
      </c>
      <c r="K15309" t="s">
        <v>42646</v>
      </c>
      <c r="M15309" t="s">
        <v>47226</v>
      </c>
      <c r="N15309" t="s">
        <v>47304</v>
      </c>
      <c r="O15309" t="s">
        <v>47305</v>
      </c>
      <c r="Q15309">
        <v>0</v>
      </c>
      <c r="R15309" t="s">
        <v>47329</v>
      </c>
      <c r="S15309" t="s">
        <v>48514</v>
      </c>
      <c r="T15309" t="s">
        <v>49086</v>
      </c>
      <c r="U15309" t="s">
        <v>62144</v>
      </c>
      <c r="W15309" t="s">
        <v>47226</v>
      </c>
      <c r="X15309" t="s">
        <v>47330</v>
      </c>
    </row>
    <row r="15310" spans="1:24">
      <c r="A15310">
        <f>HYPERLINK("https://www.philgeps.gov.ph/GEPSNONPILOT/Tender/SplashBidNoticeAbstractUI.aspx?menuIndex=3&amp;refID=7148138&amp;Result=3","7148138")</f>
        <v>0</v>
      </c>
      <c r="B15310" t="s">
        <v>2115</v>
      </c>
      <c r="C15310" t="s">
        <v>18362</v>
      </c>
      <c r="D15310" t="s">
        <v>19008</v>
      </c>
      <c r="E15310" t="s">
        <v>32038</v>
      </c>
      <c r="F15310" t="s">
        <v>32606</v>
      </c>
      <c r="G15310" t="s">
        <v>32613</v>
      </c>
      <c r="H15310" t="s">
        <v>14201</v>
      </c>
      <c r="I15310" t="s">
        <v>32629</v>
      </c>
      <c r="J15310" t="s">
        <v>42218</v>
      </c>
      <c r="K15310" t="s">
        <v>42638</v>
      </c>
      <c r="M15310" t="s">
        <v>45474</v>
      </c>
      <c r="N15310" t="s">
        <v>47304</v>
      </c>
      <c r="O15310" t="s">
        <v>47305</v>
      </c>
      <c r="P15310">
        <v>0</v>
      </c>
      <c r="Q15310">
        <v>0</v>
      </c>
      <c r="R15310" t="s">
        <v>47329</v>
      </c>
      <c r="S15310" t="s">
        <v>48499</v>
      </c>
      <c r="T15310" t="s">
        <v>49071</v>
      </c>
      <c r="U15310" t="s">
        <v>62145</v>
      </c>
      <c r="V15310" t="s">
        <v>63377</v>
      </c>
      <c r="W15310" t="s">
        <v>45474</v>
      </c>
      <c r="X15310" t="s">
        <v>47330</v>
      </c>
    </row>
    <row r="15311" spans="1:24">
      <c r="A15311">
        <f>HYPERLINK("https://www.philgeps.gov.ph/GEPSNONPILOT/Tender/SplashBidNoticeAbstractUI.aspx?menuIndex=3&amp;refID=7149003&amp;Result=3","7149003")</f>
        <v>0</v>
      </c>
      <c r="B15311" t="s">
        <v>212</v>
      </c>
      <c r="C15311" t="s">
        <v>18363</v>
      </c>
      <c r="D15311" t="s">
        <v>19007</v>
      </c>
      <c r="E15311" t="s">
        <v>32039</v>
      </c>
      <c r="F15311" t="s">
        <v>32606</v>
      </c>
      <c r="G15311" t="s">
        <v>32613</v>
      </c>
      <c r="H15311" t="s">
        <v>14201</v>
      </c>
      <c r="I15311" t="s">
        <v>32640</v>
      </c>
      <c r="J15311" t="s">
        <v>42219</v>
      </c>
      <c r="K15311" t="s">
        <v>42639</v>
      </c>
      <c r="M15311" t="s">
        <v>43113</v>
      </c>
      <c r="N15311" t="s">
        <v>47304</v>
      </c>
      <c r="O15311" t="s">
        <v>47305</v>
      </c>
      <c r="Q15311">
        <v>21</v>
      </c>
      <c r="R15311" t="s">
        <v>47329</v>
      </c>
      <c r="S15311" t="s">
        <v>48515</v>
      </c>
      <c r="T15311" t="s">
        <v>49081</v>
      </c>
      <c r="U15311" t="s">
        <v>62146</v>
      </c>
      <c r="W15311" t="s">
        <v>43113</v>
      </c>
      <c r="X15311" t="s">
        <v>64576</v>
      </c>
    </row>
    <row r="15312" spans="1:24">
      <c r="A15312">
        <f>HYPERLINK("https://www.philgeps.gov.ph/GEPSNONPILOT/Tender/SplashBidNoticeAbstractUI.aspx?menuIndex=3&amp;refID=7145809&amp;Result=3","7145809")</f>
        <v>0</v>
      </c>
      <c r="B15312" t="s">
        <v>3869</v>
      </c>
      <c r="C15312" t="s">
        <v>18364</v>
      </c>
      <c r="D15312" t="s">
        <v>19008</v>
      </c>
      <c r="E15312" t="s">
        <v>32040</v>
      </c>
      <c r="F15312" t="s">
        <v>32606</v>
      </c>
      <c r="G15312" t="s">
        <v>32613</v>
      </c>
      <c r="H15312" t="s">
        <v>32623</v>
      </c>
      <c r="I15312" t="s">
        <v>17648</v>
      </c>
      <c r="J15312" t="s">
        <v>42220</v>
      </c>
      <c r="K15312" t="s">
        <v>42749</v>
      </c>
      <c r="M15312" t="s">
        <v>47227</v>
      </c>
      <c r="N15312" t="s">
        <v>47304</v>
      </c>
      <c r="O15312" t="s">
        <v>47305</v>
      </c>
      <c r="P15312">
        <v>0</v>
      </c>
      <c r="Q15312">
        <v>0</v>
      </c>
      <c r="R15312" t="s">
        <v>47329</v>
      </c>
      <c r="S15312" t="s">
        <v>48499</v>
      </c>
      <c r="T15312" t="s">
        <v>49269</v>
      </c>
      <c r="U15312" t="s">
        <v>62147</v>
      </c>
      <c r="W15312" t="s">
        <v>64561</v>
      </c>
      <c r="X15312" t="s">
        <v>47332</v>
      </c>
    </row>
    <row r="15313" spans="1:24">
      <c r="A15313">
        <f>HYPERLINK("https://www.philgeps.gov.ph/GEPSNONPILOT/Tender/SplashBidNoticeAbstractUI.aspx?menuIndex=3&amp;refID=7145837&amp;Result=3","7145837")</f>
        <v>0</v>
      </c>
      <c r="B15313" t="s">
        <v>3869</v>
      </c>
      <c r="C15313" t="s">
        <v>18365</v>
      </c>
      <c r="D15313" t="s">
        <v>19008</v>
      </c>
      <c r="E15313" t="s">
        <v>32041</v>
      </c>
      <c r="F15313" t="s">
        <v>32606</v>
      </c>
      <c r="G15313" t="s">
        <v>32613</v>
      </c>
      <c r="H15313" t="s">
        <v>14201</v>
      </c>
      <c r="I15313" t="s">
        <v>4678</v>
      </c>
      <c r="J15313" t="s">
        <v>33113</v>
      </c>
      <c r="K15313" t="s">
        <v>42622</v>
      </c>
      <c r="M15313" t="s">
        <v>47227</v>
      </c>
      <c r="N15313" t="s">
        <v>47304</v>
      </c>
      <c r="O15313" t="s">
        <v>47305</v>
      </c>
      <c r="P15313">
        <v>0</v>
      </c>
      <c r="Q15313">
        <v>5</v>
      </c>
      <c r="R15313" t="s">
        <v>47329</v>
      </c>
      <c r="S15313" t="s">
        <v>48499</v>
      </c>
      <c r="T15313" t="s">
        <v>49526</v>
      </c>
      <c r="U15313" t="s">
        <v>62148</v>
      </c>
      <c r="W15313" t="s">
        <v>64561</v>
      </c>
      <c r="X15313" t="s">
        <v>47332</v>
      </c>
    </row>
    <row r="15314" spans="1:24">
      <c r="A15314">
        <f>HYPERLINK("https://www.philgeps.gov.ph/GEPSNONPILOT/Tender/SplashBidNoticeAbstractUI.aspx?menuIndex=3&amp;refID=7143325&amp;Result=3","7143325")</f>
        <v>0</v>
      </c>
      <c r="B15314" t="s">
        <v>2291</v>
      </c>
      <c r="C15314" t="s">
        <v>18366</v>
      </c>
      <c r="D15314" t="s">
        <v>19028</v>
      </c>
      <c r="E15314" t="s">
        <v>32042</v>
      </c>
      <c r="F15314" t="s">
        <v>32606</v>
      </c>
      <c r="G15314" t="s">
        <v>32613</v>
      </c>
      <c r="H15314" t="s">
        <v>14201</v>
      </c>
      <c r="I15314" t="s">
        <v>7064</v>
      </c>
      <c r="J15314" t="s">
        <v>42221</v>
      </c>
      <c r="K15314" t="s">
        <v>42624</v>
      </c>
      <c r="M15314" t="s">
        <v>47184</v>
      </c>
      <c r="N15314" t="s">
        <v>47304</v>
      </c>
      <c r="O15314" t="s">
        <v>47305</v>
      </c>
      <c r="Q15314">
        <v>9</v>
      </c>
      <c r="R15314" t="s">
        <v>47329</v>
      </c>
      <c r="S15314" t="s">
        <v>48516</v>
      </c>
      <c r="T15314" t="s">
        <v>49018</v>
      </c>
      <c r="U15314" t="s">
        <v>62149</v>
      </c>
      <c r="V15314" t="s">
        <v>63727</v>
      </c>
      <c r="W15314" t="s">
        <v>47184</v>
      </c>
      <c r="X15314" t="s">
        <v>47333</v>
      </c>
    </row>
    <row r="15315" spans="1:24">
      <c r="A15315">
        <f>HYPERLINK("https://www.philgeps.gov.ph/GEPSNONPILOT/Tender/SplashBidNoticeAbstractUI.aspx?menuIndex=3&amp;refID=7141883&amp;Result=3","7141883")</f>
        <v>0</v>
      </c>
      <c r="B15315" t="s">
        <v>2291</v>
      </c>
      <c r="C15315" t="s">
        <v>18367</v>
      </c>
      <c r="D15315" t="s">
        <v>19028</v>
      </c>
      <c r="E15315" t="s">
        <v>32043</v>
      </c>
      <c r="F15315" t="s">
        <v>32606</v>
      </c>
      <c r="G15315" t="s">
        <v>32613</v>
      </c>
      <c r="H15315" t="s">
        <v>14201</v>
      </c>
      <c r="I15315" t="s">
        <v>4120</v>
      </c>
      <c r="J15315" t="s">
        <v>42222</v>
      </c>
      <c r="K15315" t="s">
        <v>42624</v>
      </c>
      <c r="M15315" t="s">
        <v>47184</v>
      </c>
      <c r="N15315" t="s">
        <v>47304</v>
      </c>
      <c r="O15315" t="s">
        <v>47305</v>
      </c>
      <c r="Q15315">
        <v>2</v>
      </c>
      <c r="R15315" t="s">
        <v>47329</v>
      </c>
      <c r="S15315" t="s">
        <v>48517</v>
      </c>
      <c r="T15315" t="s">
        <v>49018</v>
      </c>
      <c r="U15315" t="s">
        <v>62150</v>
      </c>
      <c r="V15315" t="s">
        <v>63727</v>
      </c>
      <c r="W15315" t="s">
        <v>47184</v>
      </c>
      <c r="X15315" t="s">
        <v>47334</v>
      </c>
    </row>
    <row r="15316" spans="1:24">
      <c r="A15316">
        <f>HYPERLINK("https://www.philgeps.gov.ph/GEPSNONPILOT/Tender/SplashBidNoticeAbstractUI.aspx?menuIndex=3&amp;refID=7141855&amp;Result=3","7141855")</f>
        <v>0</v>
      </c>
      <c r="B15316" t="s">
        <v>2291</v>
      </c>
      <c r="C15316" t="s">
        <v>18368</v>
      </c>
      <c r="D15316" t="s">
        <v>19028</v>
      </c>
      <c r="E15316" t="s">
        <v>32044</v>
      </c>
      <c r="F15316" t="s">
        <v>32606</v>
      </c>
      <c r="G15316" t="s">
        <v>32613</v>
      </c>
      <c r="H15316" t="s">
        <v>14201</v>
      </c>
      <c r="I15316" t="s">
        <v>7064</v>
      </c>
      <c r="J15316" t="s">
        <v>42223</v>
      </c>
      <c r="K15316" t="s">
        <v>42624</v>
      </c>
      <c r="M15316" t="s">
        <v>47184</v>
      </c>
      <c r="N15316" t="s">
        <v>47304</v>
      </c>
      <c r="O15316" t="s">
        <v>47305</v>
      </c>
      <c r="Q15316">
        <v>2</v>
      </c>
      <c r="R15316" t="s">
        <v>47329</v>
      </c>
      <c r="S15316" t="s">
        <v>48518</v>
      </c>
      <c r="T15316" t="s">
        <v>49018</v>
      </c>
      <c r="U15316" t="s">
        <v>62151</v>
      </c>
      <c r="V15316" t="s">
        <v>63727</v>
      </c>
      <c r="W15316" t="s">
        <v>47184</v>
      </c>
      <c r="X15316" t="s">
        <v>47334</v>
      </c>
    </row>
    <row r="15317" spans="1:24">
      <c r="A15317">
        <f>HYPERLINK("https://www.philgeps.gov.ph/GEPSNONPILOT/Tender/SplashBidNoticeAbstractUI.aspx?menuIndex=3&amp;refID=7141846&amp;Result=3","7141846")</f>
        <v>0</v>
      </c>
      <c r="B15317" t="s">
        <v>2291</v>
      </c>
      <c r="C15317" t="s">
        <v>18369</v>
      </c>
      <c r="D15317" t="s">
        <v>19028</v>
      </c>
      <c r="E15317" t="s">
        <v>32045</v>
      </c>
      <c r="F15317" t="s">
        <v>32606</v>
      </c>
      <c r="G15317" t="s">
        <v>32613</v>
      </c>
      <c r="H15317" t="s">
        <v>14201</v>
      </c>
      <c r="I15317" t="s">
        <v>4115</v>
      </c>
      <c r="J15317" t="s">
        <v>33757</v>
      </c>
      <c r="K15317" t="s">
        <v>42624</v>
      </c>
      <c r="M15317" t="s">
        <v>47184</v>
      </c>
      <c r="N15317" t="s">
        <v>47304</v>
      </c>
      <c r="O15317" t="s">
        <v>47305</v>
      </c>
      <c r="Q15317">
        <v>12</v>
      </c>
      <c r="R15317" t="s">
        <v>47329</v>
      </c>
      <c r="S15317" t="s">
        <v>48519</v>
      </c>
      <c r="T15317" t="s">
        <v>49018</v>
      </c>
      <c r="U15317" t="s">
        <v>62152</v>
      </c>
      <c r="V15317" t="s">
        <v>63727</v>
      </c>
      <c r="W15317" t="s">
        <v>47184</v>
      </c>
      <c r="X15317" t="s">
        <v>47334</v>
      </c>
    </row>
    <row r="15318" spans="1:24">
      <c r="A15318">
        <f>HYPERLINK("https://www.philgeps.gov.ph/GEPSNONPILOT/Tender/SplashBidNoticeAbstractUI.aspx?menuIndex=3&amp;refID=7141865&amp;Result=3","7141865")</f>
        <v>0</v>
      </c>
      <c r="B15318" t="s">
        <v>2291</v>
      </c>
      <c r="C15318" t="s">
        <v>18370</v>
      </c>
      <c r="D15318" t="s">
        <v>19028</v>
      </c>
      <c r="E15318" t="s">
        <v>32046</v>
      </c>
      <c r="F15318" t="s">
        <v>32606</v>
      </c>
      <c r="G15318" t="s">
        <v>32613</v>
      </c>
      <c r="H15318" t="s">
        <v>14201</v>
      </c>
      <c r="I15318" t="s">
        <v>6014</v>
      </c>
      <c r="J15318" t="s">
        <v>42224</v>
      </c>
      <c r="K15318" t="s">
        <v>42624</v>
      </c>
      <c r="M15318" t="s">
        <v>47184</v>
      </c>
      <c r="N15318" t="s">
        <v>47304</v>
      </c>
      <c r="O15318" t="s">
        <v>47305</v>
      </c>
      <c r="Q15318">
        <v>2</v>
      </c>
      <c r="R15318" t="s">
        <v>47329</v>
      </c>
      <c r="S15318" t="s">
        <v>48520</v>
      </c>
      <c r="T15318" t="s">
        <v>49018</v>
      </c>
      <c r="U15318" t="s">
        <v>62153</v>
      </c>
      <c r="V15318" t="s">
        <v>63727</v>
      </c>
      <c r="W15318" t="s">
        <v>47184</v>
      </c>
      <c r="X15318" t="s">
        <v>47334</v>
      </c>
    </row>
    <row r="15319" spans="1:24">
      <c r="A15319">
        <f>HYPERLINK("https://www.philgeps.gov.ph/GEPSNONPILOT/Tender/SplashBidNoticeAbstractUI.aspx?menuIndex=3&amp;refID=7145207&amp;Result=3","7145207")</f>
        <v>0</v>
      </c>
      <c r="B15319" t="s">
        <v>3870</v>
      </c>
      <c r="C15319" t="s">
        <v>18371</v>
      </c>
      <c r="D15319" t="s">
        <v>19042</v>
      </c>
      <c r="E15319" t="s">
        <v>19372</v>
      </c>
      <c r="F15319" t="s">
        <v>32606</v>
      </c>
      <c r="G15319" t="s">
        <v>32613</v>
      </c>
      <c r="H15319" t="s">
        <v>14201</v>
      </c>
      <c r="I15319" t="s">
        <v>6931</v>
      </c>
      <c r="J15319" t="s">
        <v>42225</v>
      </c>
      <c r="K15319" t="s">
        <v>42630</v>
      </c>
      <c r="M15319" t="s">
        <v>47228</v>
      </c>
      <c r="N15319" t="s">
        <v>47304</v>
      </c>
      <c r="O15319" t="s">
        <v>47305</v>
      </c>
      <c r="P15319">
        <v>0</v>
      </c>
      <c r="Q15319">
        <v>0</v>
      </c>
      <c r="R15319" t="s">
        <v>47329</v>
      </c>
      <c r="S15319" t="s">
        <v>48499</v>
      </c>
      <c r="T15319" t="s">
        <v>49050</v>
      </c>
      <c r="U15319" t="s">
        <v>62154</v>
      </c>
      <c r="W15319" t="s">
        <v>47228</v>
      </c>
      <c r="X15319" t="s">
        <v>47332</v>
      </c>
    </row>
    <row r="15320" spans="1:24">
      <c r="A15320">
        <f>HYPERLINK("https://www.philgeps.gov.ph/GEPSNONPILOT/Tender/SplashBidNoticeAbstractUI.aspx?menuIndex=3&amp;refID=7151687&amp;Result=3","7151687")</f>
        <v>0</v>
      </c>
      <c r="B15320" t="s">
        <v>3691</v>
      </c>
      <c r="C15320" t="s">
        <v>18372</v>
      </c>
      <c r="D15320" t="s">
        <v>18993</v>
      </c>
      <c r="E15320" t="s">
        <v>20033</v>
      </c>
      <c r="F15320" t="s">
        <v>32606</v>
      </c>
      <c r="G15320" t="s">
        <v>32613</v>
      </c>
      <c r="H15320" t="s">
        <v>14201</v>
      </c>
      <c r="I15320" t="s">
        <v>32640</v>
      </c>
      <c r="J15320" t="s">
        <v>42226</v>
      </c>
      <c r="K15320" t="s">
        <v>42688</v>
      </c>
      <c r="M15320" t="s">
        <v>46999</v>
      </c>
      <c r="N15320" t="s">
        <v>47304</v>
      </c>
      <c r="O15320" t="s">
        <v>47305</v>
      </c>
      <c r="Q15320">
        <v>23</v>
      </c>
      <c r="R15320" t="s">
        <v>47328</v>
      </c>
      <c r="S15320" t="s">
        <v>48521</v>
      </c>
      <c r="T15320" t="s">
        <v>49135</v>
      </c>
      <c r="U15320" t="s">
        <v>62155</v>
      </c>
      <c r="W15320" t="s">
        <v>46999</v>
      </c>
      <c r="X15320" t="s">
        <v>47329</v>
      </c>
    </row>
    <row r="15321" spans="1:24">
      <c r="A15321">
        <f>HYPERLINK("https://www.philgeps.gov.ph/GEPSNONPILOT/Tender/SplashBidNoticeAbstractUI.aspx?menuIndex=3&amp;refID=7141811&amp;Result=3","7141811")</f>
        <v>0</v>
      </c>
      <c r="B15321" t="s">
        <v>2291</v>
      </c>
      <c r="C15321" t="s">
        <v>18373</v>
      </c>
      <c r="D15321" t="s">
        <v>19028</v>
      </c>
      <c r="E15321" t="s">
        <v>32047</v>
      </c>
      <c r="F15321" t="s">
        <v>32606</v>
      </c>
      <c r="G15321" t="s">
        <v>32613</v>
      </c>
      <c r="H15321" t="s">
        <v>14201</v>
      </c>
      <c r="I15321" t="s">
        <v>7577</v>
      </c>
      <c r="J15321" t="s">
        <v>42227</v>
      </c>
      <c r="K15321" t="s">
        <v>42624</v>
      </c>
      <c r="M15321" t="s">
        <v>47184</v>
      </c>
      <c r="N15321" t="s">
        <v>47304</v>
      </c>
      <c r="O15321" t="s">
        <v>47305</v>
      </c>
      <c r="Q15321">
        <v>4</v>
      </c>
      <c r="R15321" t="s">
        <v>47329</v>
      </c>
      <c r="S15321" t="s">
        <v>48522</v>
      </c>
      <c r="T15321" t="s">
        <v>49018</v>
      </c>
      <c r="U15321" t="s">
        <v>62156</v>
      </c>
      <c r="V15321" t="s">
        <v>63727</v>
      </c>
      <c r="W15321" t="s">
        <v>47184</v>
      </c>
      <c r="X15321" t="s">
        <v>47334</v>
      </c>
    </row>
    <row r="15322" spans="1:24">
      <c r="A15322">
        <f>HYPERLINK("https://www.philgeps.gov.ph/GEPSNONPILOT/Tender/SplashBidNoticeAbstractUI.aspx?menuIndex=3&amp;refID=7151558&amp;Result=3","7151558")</f>
        <v>0</v>
      </c>
      <c r="B15322" t="s">
        <v>3866</v>
      </c>
      <c r="C15322" t="s">
        <v>18374</v>
      </c>
      <c r="E15322" t="s">
        <v>32048</v>
      </c>
      <c r="F15322" t="s">
        <v>32606</v>
      </c>
      <c r="G15322" t="s">
        <v>32613</v>
      </c>
      <c r="H15322" t="s">
        <v>14201</v>
      </c>
      <c r="I15322" t="s">
        <v>32654</v>
      </c>
      <c r="J15322" t="s">
        <v>42228</v>
      </c>
      <c r="K15322" t="s">
        <v>42631</v>
      </c>
      <c r="M15322" t="s">
        <v>47222</v>
      </c>
      <c r="N15322" t="s">
        <v>47304</v>
      </c>
      <c r="O15322" t="s">
        <v>47305</v>
      </c>
      <c r="Q15322">
        <v>5</v>
      </c>
      <c r="R15322" t="s">
        <v>47328</v>
      </c>
      <c r="S15322" t="s">
        <v>48523</v>
      </c>
      <c r="T15322" t="s">
        <v>49399</v>
      </c>
      <c r="U15322" t="s">
        <v>62157</v>
      </c>
      <c r="V15322" t="s">
        <v>64338</v>
      </c>
      <c r="W15322" t="s">
        <v>47222</v>
      </c>
      <c r="X15322" t="s">
        <v>47329</v>
      </c>
    </row>
    <row r="15323" spans="1:24">
      <c r="A15323">
        <f>HYPERLINK("https://www.philgeps.gov.ph/GEPSNONPILOT/Tender/SplashBidNoticeAbstractUI.aspx?menuIndex=3&amp;refID=7151428&amp;Result=3","7151428")</f>
        <v>0</v>
      </c>
      <c r="B15323" t="s">
        <v>381</v>
      </c>
      <c r="C15323" t="s">
        <v>18375</v>
      </c>
      <c r="E15323" t="s">
        <v>32049</v>
      </c>
      <c r="F15323" t="s">
        <v>32606</v>
      </c>
      <c r="G15323" t="s">
        <v>32613</v>
      </c>
      <c r="H15323" t="s">
        <v>14201</v>
      </c>
      <c r="I15323" t="s">
        <v>32655</v>
      </c>
      <c r="J15323" t="s">
        <v>35816</v>
      </c>
      <c r="K15323" t="s">
        <v>42624</v>
      </c>
      <c r="M15323" t="s">
        <v>46996</v>
      </c>
      <c r="N15323" t="s">
        <v>47304</v>
      </c>
      <c r="O15323" t="s">
        <v>47305</v>
      </c>
      <c r="Q15323">
        <v>44</v>
      </c>
      <c r="R15323" t="s">
        <v>47328</v>
      </c>
      <c r="S15323" t="s">
        <v>47797</v>
      </c>
      <c r="T15323" t="s">
        <v>49268</v>
      </c>
      <c r="U15323" t="s">
        <v>62105</v>
      </c>
      <c r="W15323" t="s">
        <v>46996</v>
      </c>
      <c r="X15323" t="s">
        <v>47329</v>
      </c>
    </row>
    <row r="15324" spans="1:24">
      <c r="A15324">
        <f>HYPERLINK("https://www.philgeps.gov.ph/GEPSNONPILOT/Tender/SplashBidNoticeAbstractUI.aspx?menuIndex=3&amp;refID=7151480&amp;Result=3","7151480")</f>
        <v>0</v>
      </c>
      <c r="B15324" t="s">
        <v>3866</v>
      </c>
      <c r="C15324" t="s">
        <v>18376</v>
      </c>
      <c r="E15324" t="s">
        <v>32050</v>
      </c>
      <c r="F15324" t="s">
        <v>32606</v>
      </c>
      <c r="G15324" t="s">
        <v>32613</v>
      </c>
      <c r="H15324" t="s">
        <v>14201</v>
      </c>
      <c r="I15324" t="s">
        <v>32654</v>
      </c>
      <c r="J15324" t="s">
        <v>42229</v>
      </c>
      <c r="K15324" t="s">
        <v>42631</v>
      </c>
      <c r="M15324" t="s">
        <v>47222</v>
      </c>
      <c r="N15324" t="s">
        <v>47304</v>
      </c>
      <c r="O15324" t="s">
        <v>47305</v>
      </c>
      <c r="Q15324">
        <v>4</v>
      </c>
      <c r="R15324" t="s">
        <v>47328</v>
      </c>
      <c r="S15324" t="s">
        <v>48524</v>
      </c>
      <c r="T15324" t="s">
        <v>49527</v>
      </c>
      <c r="U15324" t="s">
        <v>62158</v>
      </c>
      <c r="V15324" t="s">
        <v>64338</v>
      </c>
      <c r="W15324" t="s">
        <v>47222</v>
      </c>
      <c r="X15324" t="s">
        <v>47329</v>
      </c>
    </row>
    <row r="15325" spans="1:24">
      <c r="A15325">
        <f>HYPERLINK("https://www.philgeps.gov.ph/GEPSNONPILOT/Tender/SplashBidNoticeAbstractUI.aspx?menuIndex=3&amp;refID=7149040&amp;Result=3","7149040")</f>
        <v>0</v>
      </c>
      <c r="B15325" t="s">
        <v>1778</v>
      </c>
      <c r="C15325" t="s">
        <v>18377</v>
      </c>
      <c r="D15325" t="s">
        <v>18993</v>
      </c>
      <c r="E15325" t="s">
        <v>30202</v>
      </c>
      <c r="F15325" t="s">
        <v>32606</v>
      </c>
      <c r="G15325" t="s">
        <v>32613</v>
      </c>
      <c r="H15325" t="s">
        <v>14201</v>
      </c>
      <c r="I15325" t="s">
        <v>6298</v>
      </c>
      <c r="J15325" t="s">
        <v>32795</v>
      </c>
      <c r="K15325" t="s">
        <v>42648</v>
      </c>
      <c r="M15325" t="s">
        <v>44817</v>
      </c>
      <c r="N15325" t="s">
        <v>47304</v>
      </c>
      <c r="O15325" t="s">
        <v>47305</v>
      </c>
      <c r="Q15325">
        <v>2</v>
      </c>
      <c r="R15325" t="s">
        <v>47329</v>
      </c>
      <c r="S15325" t="s">
        <v>48525</v>
      </c>
      <c r="T15325" t="s">
        <v>49053</v>
      </c>
      <c r="U15325" t="s">
        <v>62159</v>
      </c>
      <c r="W15325" t="s">
        <v>44817</v>
      </c>
      <c r="X15325" t="s">
        <v>64576</v>
      </c>
    </row>
    <row r="15326" spans="1:24">
      <c r="A15326">
        <f>HYPERLINK("https://www.philgeps.gov.ph/GEPSNONPILOT/Tender/SplashBidNoticeAbstractUI.aspx?menuIndex=3&amp;refID=7151611&amp;Result=3","7151611")</f>
        <v>0</v>
      </c>
      <c r="B15326" t="s">
        <v>1032</v>
      </c>
      <c r="C15326" t="s">
        <v>18378</v>
      </c>
      <c r="D15326" t="s">
        <v>18993</v>
      </c>
      <c r="E15326" t="s">
        <v>32051</v>
      </c>
      <c r="F15326" t="s">
        <v>32606</v>
      </c>
      <c r="G15326" t="s">
        <v>32613</v>
      </c>
      <c r="H15326" t="s">
        <v>32623</v>
      </c>
      <c r="I15326" t="s">
        <v>17648</v>
      </c>
      <c r="J15326" t="s">
        <v>33269</v>
      </c>
      <c r="K15326" t="s">
        <v>42646</v>
      </c>
      <c r="M15326" t="s">
        <v>46829</v>
      </c>
      <c r="N15326" t="s">
        <v>47304</v>
      </c>
      <c r="O15326" t="s">
        <v>47305</v>
      </c>
      <c r="Q15326">
        <v>4</v>
      </c>
      <c r="R15326" t="s">
        <v>47328</v>
      </c>
      <c r="S15326" t="s">
        <v>48526</v>
      </c>
      <c r="T15326" t="s">
        <v>49215</v>
      </c>
      <c r="U15326" t="s">
        <v>62160</v>
      </c>
      <c r="W15326" t="s">
        <v>46829</v>
      </c>
      <c r="X15326" t="s">
        <v>47329</v>
      </c>
    </row>
    <row r="15327" spans="1:24">
      <c r="A15327">
        <f>HYPERLINK("https://www.philgeps.gov.ph/GEPSNONPILOT/Tender/SplashBidNoticeAbstractUI.aspx?menuIndex=3&amp;refID=7145208&amp;Result=3","7145208")</f>
        <v>0</v>
      </c>
      <c r="B15327" t="s">
        <v>3870</v>
      </c>
      <c r="C15327" t="s">
        <v>18379</v>
      </c>
      <c r="D15327" t="s">
        <v>18994</v>
      </c>
      <c r="E15327" t="s">
        <v>19358</v>
      </c>
      <c r="F15327" t="s">
        <v>32606</v>
      </c>
      <c r="G15327" t="s">
        <v>32613</v>
      </c>
      <c r="H15327" t="s">
        <v>14201</v>
      </c>
      <c r="I15327" t="s">
        <v>6931</v>
      </c>
      <c r="J15327" t="s">
        <v>42230</v>
      </c>
      <c r="K15327" t="s">
        <v>42630</v>
      </c>
      <c r="M15327" t="s">
        <v>47228</v>
      </c>
      <c r="N15327" t="s">
        <v>47304</v>
      </c>
      <c r="O15327" t="s">
        <v>47305</v>
      </c>
      <c r="P15327">
        <v>0</v>
      </c>
      <c r="Q15327">
        <v>0</v>
      </c>
      <c r="R15327" t="s">
        <v>47329</v>
      </c>
      <c r="S15327" t="s">
        <v>48499</v>
      </c>
      <c r="T15327" t="s">
        <v>49253</v>
      </c>
      <c r="U15327" t="s">
        <v>62161</v>
      </c>
      <c r="W15327" t="s">
        <v>47228</v>
      </c>
      <c r="X15327" t="s">
        <v>47332</v>
      </c>
    </row>
    <row r="15328" spans="1:24">
      <c r="A15328">
        <f>HYPERLINK("https://www.philgeps.gov.ph/GEPSNONPILOT/Tender/SplashBidNoticeAbstractUI.aspx?menuIndex=3&amp;refID=7145816&amp;Result=3","7145816")</f>
        <v>0</v>
      </c>
      <c r="B15328" t="s">
        <v>360</v>
      </c>
      <c r="C15328" t="s">
        <v>18380</v>
      </c>
      <c r="D15328" t="s">
        <v>19040</v>
      </c>
      <c r="E15328" t="s">
        <v>32052</v>
      </c>
      <c r="F15328" t="s">
        <v>32606</v>
      </c>
      <c r="G15328" t="s">
        <v>32613</v>
      </c>
      <c r="H15328" t="s">
        <v>14201</v>
      </c>
      <c r="I15328" t="s">
        <v>6993</v>
      </c>
      <c r="J15328" t="s">
        <v>42231</v>
      </c>
      <c r="K15328" t="s">
        <v>42623</v>
      </c>
      <c r="M15328" t="s">
        <v>43332</v>
      </c>
      <c r="N15328" t="s">
        <v>47304</v>
      </c>
      <c r="O15328" t="s">
        <v>47305</v>
      </c>
      <c r="Q15328">
        <v>7</v>
      </c>
      <c r="R15328" t="s">
        <v>47330</v>
      </c>
      <c r="S15328" t="s">
        <v>48527</v>
      </c>
      <c r="T15328" t="s">
        <v>49004</v>
      </c>
      <c r="U15328" t="s">
        <v>62162</v>
      </c>
      <c r="W15328" t="s">
        <v>43332</v>
      </c>
      <c r="X15328" t="s">
        <v>47332</v>
      </c>
    </row>
    <row r="15329" spans="1:24">
      <c r="A15329">
        <f>HYPERLINK("https://www.philgeps.gov.ph/GEPSNONPILOT/Tender/SplashBidNoticeAbstractUI.aspx?menuIndex=3&amp;refID=7145769&amp;Result=3","7145769")</f>
        <v>0</v>
      </c>
      <c r="B15329" t="s">
        <v>360</v>
      </c>
      <c r="C15329" t="s">
        <v>18381</v>
      </c>
      <c r="D15329" t="s">
        <v>19040</v>
      </c>
      <c r="E15329" t="s">
        <v>32053</v>
      </c>
      <c r="F15329" t="s">
        <v>32606</v>
      </c>
      <c r="G15329" t="s">
        <v>32613</v>
      </c>
      <c r="H15329" t="s">
        <v>14201</v>
      </c>
      <c r="I15329" t="s">
        <v>4678</v>
      </c>
      <c r="J15329" t="s">
        <v>34117</v>
      </c>
      <c r="K15329" t="s">
        <v>42648</v>
      </c>
      <c r="M15329" t="s">
        <v>43332</v>
      </c>
      <c r="N15329" t="s">
        <v>47304</v>
      </c>
      <c r="O15329" t="s">
        <v>47305</v>
      </c>
      <c r="Q15329">
        <v>6</v>
      </c>
      <c r="R15329" t="s">
        <v>47330</v>
      </c>
      <c r="S15329" t="s">
        <v>48528</v>
      </c>
      <c r="T15329" t="s">
        <v>49004</v>
      </c>
      <c r="U15329" t="s">
        <v>62163</v>
      </c>
      <c r="W15329" t="s">
        <v>43332</v>
      </c>
      <c r="X15329" t="s">
        <v>47332</v>
      </c>
    </row>
    <row r="15330" spans="1:24">
      <c r="A15330">
        <f>HYPERLINK("https://www.philgeps.gov.ph/GEPSNONPILOT/Tender/SplashBidNoticeAbstractUI.aspx?menuIndex=3&amp;refID=7149087&amp;Result=3","7149087")</f>
        <v>0</v>
      </c>
      <c r="B15330" t="s">
        <v>1069</v>
      </c>
      <c r="C15330" t="s">
        <v>18191</v>
      </c>
      <c r="D15330" t="s">
        <v>18993</v>
      </c>
      <c r="E15330" t="s">
        <v>20036</v>
      </c>
      <c r="F15330" t="s">
        <v>32607</v>
      </c>
      <c r="G15330" t="s">
        <v>32613</v>
      </c>
      <c r="H15330" t="s">
        <v>32623</v>
      </c>
      <c r="I15330" t="s">
        <v>6931</v>
      </c>
      <c r="J15330" t="s">
        <v>34489</v>
      </c>
      <c r="K15330" t="s">
        <v>42664</v>
      </c>
      <c r="M15330" t="s">
        <v>44022</v>
      </c>
      <c r="N15330" t="s">
        <v>47304</v>
      </c>
      <c r="O15330" t="s">
        <v>47305</v>
      </c>
      <c r="P15330">
        <v>0</v>
      </c>
      <c r="Q15330">
        <v>3</v>
      </c>
      <c r="R15330" t="s">
        <v>47329</v>
      </c>
      <c r="S15330" t="s">
        <v>48499</v>
      </c>
      <c r="T15330" t="s">
        <v>49528</v>
      </c>
      <c r="U15330" t="s">
        <v>62164</v>
      </c>
      <c r="W15330" t="s">
        <v>44022</v>
      </c>
      <c r="X15330" t="s">
        <v>64576</v>
      </c>
    </row>
    <row r="15331" spans="1:24">
      <c r="A15331">
        <f>HYPERLINK("https://www.philgeps.gov.ph/GEPSNONPILOT/Tender/SplashBidNoticeAbstractUI.aspx?menuIndex=3&amp;refID=7145724&amp;Result=3","7145724")</f>
        <v>0</v>
      </c>
      <c r="B15331" t="s">
        <v>360</v>
      </c>
      <c r="C15331" t="s">
        <v>18382</v>
      </c>
      <c r="D15331" t="s">
        <v>19040</v>
      </c>
      <c r="E15331" t="s">
        <v>32054</v>
      </c>
      <c r="F15331" t="s">
        <v>32606</v>
      </c>
      <c r="G15331" t="s">
        <v>32613</v>
      </c>
      <c r="H15331" t="s">
        <v>14201</v>
      </c>
      <c r="I15331" t="s">
        <v>9297</v>
      </c>
      <c r="J15331" t="s">
        <v>42232</v>
      </c>
      <c r="K15331" t="s">
        <v>42644</v>
      </c>
      <c r="M15331" t="s">
        <v>43332</v>
      </c>
      <c r="N15331" t="s">
        <v>47304</v>
      </c>
      <c r="O15331" t="s">
        <v>47305</v>
      </c>
      <c r="Q15331">
        <v>4</v>
      </c>
      <c r="R15331" t="s">
        <v>47330</v>
      </c>
      <c r="S15331" t="s">
        <v>48529</v>
      </c>
      <c r="T15331" t="s">
        <v>49004</v>
      </c>
      <c r="U15331" t="s">
        <v>62165</v>
      </c>
      <c r="W15331" t="s">
        <v>43332</v>
      </c>
      <c r="X15331" t="s">
        <v>47332</v>
      </c>
    </row>
    <row r="15332" spans="1:24">
      <c r="A15332">
        <f>HYPERLINK("https://www.philgeps.gov.ph/GEPSNONPILOT/Tender/SplashBidNoticeAbstractUI.aspx?menuIndex=3&amp;refID=7145321&amp;Result=3","7145321")</f>
        <v>0</v>
      </c>
      <c r="B15332" t="s">
        <v>2411</v>
      </c>
      <c r="C15332" t="s">
        <v>18383</v>
      </c>
      <c r="D15332" t="s">
        <v>19056</v>
      </c>
      <c r="E15332" t="s">
        <v>32055</v>
      </c>
      <c r="F15332" t="s">
        <v>32606</v>
      </c>
      <c r="G15332" t="s">
        <v>32613</v>
      </c>
      <c r="H15332" t="s">
        <v>32623</v>
      </c>
      <c r="I15332" t="s">
        <v>17648</v>
      </c>
      <c r="J15332" t="s">
        <v>38619</v>
      </c>
      <c r="K15332" t="s">
        <v>42645</v>
      </c>
      <c r="M15332" t="s">
        <v>45535</v>
      </c>
      <c r="N15332" t="s">
        <v>47304</v>
      </c>
      <c r="O15332" t="s">
        <v>47305</v>
      </c>
      <c r="P15332">
        <v>0</v>
      </c>
      <c r="Q15332">
        <v>3</v>
      </c>
      <c r="R15332" t="s">
        <v>47330</v>
      </c>
      <c r="S15332" t="s">
        <v>48530</v>
      </c>
      <c r="T15332" t="s">
        <v>49298</v>
      </c>
      <c r="U15332" t="s">
        <v>62166</v>
      </c>
      <c r="W15332" t="s">
        <v>45535</v>
      </c>
      <c r="X15332" t="s">
        <v>47332</v>
      </c>
    </row>
    <row r="15333" spans="1:24">
      <c r="A15333">
        <f>HYPERLINK("https://www.philgeps.gov.ph/GEPSNONPILOT/Tender/SplashBidNoticeAbstractUI.aspx?menuIndex=3&amp;refID=7145279&amp;Result=3","7145279")</f>
        <v>0</v>
      </c>
      <c r="B15333" t="s">
        <v>2411</v>
      </c>
      <c r="C15333" t="s">
        <v>18384</v>
      </c>
      <c r="D15333" t="s">
        <v>19056</v>
      </c>
      <c r="E15333" t="s">
        <v>32056</v>
      </c>
      <c r="F15333" t="s">
        <v>32606</v>
      </c>
      <c r="G15333" t="s">
        <v>32613</v>
      </c>
      <c r="H15333" t="s">
        <v>32623</v>
      </c>
      <c r="I15333" t="s">
        <v>17648</v>
      </c>
      <c r="J15333" t="s">
        <v>42233</v>
      </c>
      <c r="K15333" t="s">
        <v>42893</v>
      </c>
      <c r="M15333" t="s">
        <v>45535</v>
      </c>
      <c r="N15333" t="s">
        <v>47304</v>
      </c>
      <c r="O15333" t="s">
        <v>47305</v>
      </c>
      <c r="P15333">
        <v>0</v>
      </c>
      <c r="Q15333">
        <v>3</v>
      </c>
      <c r="R15333" t="s">
        <v>47330</v>
      </c>
      <c r="S15333" t="s">
        <v>48530</v>
      </c>
      <c r="T15333" t="s">
        <v>49298</v>
      </c>
      <c r="U15333" t="s">
        <v>62167</v>
      </c>
      <c r="W15333" t="s">
        <v>45535</v>
      </c>
      <c r="X15333" t="s">
        <v>47332</v>
      </c>
    </row>
    <row r="15334" spans="1:24">
      <c r="A15334">
        <f>HYPERLINK("https://www.philgeps.gov.ph/GEPSNONPILOT/Tender/SplashBidNoticeAbstractUI.aspx?menuIndex=3&amp;refID=7145858&amp;Result=3","7145858")</f>
        <v>0</v>
      </c>
      <c r="B15334" t="s">
        <v>360</v>
      </c>
      <c r="C15334" t="s">
        <v>18385</v>
      </c>
      <c r="D15334" t="s">
        <v>19040</v>
      </c>
      <c r="E15334" t="s">
        <v>32057</v>
      </c>
      <c r="F15334" t="s">
        <v>32606</v>
      </c>
      <c r="G15334" t="s">
        <v>32613</v>
      </c>
      <c r="H15334" t="s">
        <v>14201</v>
      </c>
      <c r="I15334" t="s">
        <v>7064</v>
      </c>
      <c r="J15334" t="s">
        <v>42234</v>
      </c>
      <c r="K15334" t="s">
        <v>42651</v>
      </c>
      <c r="M15334" t="s">
        <v>43332</v>
      </c>
      <c r="N15334" t="s">
        <v>47304</v>
      </c>
      <c r="O15334" t="s">
        <v>47305</v>
      </c>
      <c r="Q15334">
        <v>17</v>
      </c>
      <c r="R15334" t="s">
        <v>47330</v>
      </c>
      <c r="S15334" t="s">
        <v>48531</v>
      </c>
      <c r="T15334" t="s">
        <v>49004</v>
      </c>
      <c r="U15334" t="s">
        <v>62168</v>
      </c>
      <c r="W15334" t="s">
        <v>43332</v>
      </c>
      <c r="X15334" t="s">
        <v>47332</v>
      </c>
    </row>
    <row r="15335" spans="1:24">
      <c r="A15335">
        <f>HYPERLINK("https://www.philgeps.gov.ph/GEPSNONPILOT/Tender/SplashBidNoticeAbstractUI.aspx?menuIndex=3&amp;refID=7145026&amp;Result=3","7145026")</f>
        <v>0</v>
      </c>
      <c r="B15335" t="s">
        <v>3871</v>
      </c>
      <c r="C15335" t="s">
        <v>18386</v>
      </c>
      <c r="D15335" t="s">
        <v>19004</v>
      </c>
      <c r="E15335" t="s">
        <v>32058</v>
      </c>
      <c r="F15335" t="s">
        <v>32606</v>
      </c>
      <c r="G15335" t="s">
        <v>32618</v>
      </c>
      <c r="H15335" t="s">
        <v>14201</v>
      </c>
      <c r="I15335" t="s">
        <v>32635</v>
      </c>
      <c r="J15335" t="s">
        <v>34198</v>
      </c>
      <c r="K15335" t="s">
        <v>42639</v>
      </c>
      <c r="M15335" t="s">
        <v>47229</v>
      </c>
      <c r="N15335" t="s">
        <v>47304</v>
      </c>
      <c r="O15335" t="s">
        <v>47305</v>
      </c>
      <c r="Q15335">
        <v>5</v>
      </c>
      <c r="R15335" t="s">
        <v>47330</v>
      </c>
      <c r="S15335" t="s">
        <v>48532</v>
      </c>
      <c r="T15335" t="s">
        <v>49268</v>
      </c>
      <c r="U15335" t="s">
        <v>62169</v>
      </c>
      <c r="W15335" t="s">
        <v>47229</v>
      </c>
      <c r="X15335" t="s">
        <v>47333</v>
      </c>
    </row>
    <row r="15336" spans="1:24">
      <c r="A15336">
        <f>HYPERLINK("https://www.philgeps.gov.ph/GEPSNONPILOT/Tender/SplashBidNoticeAbstractUI.aspx?menuIndex=3&amp;refID=7140181&amp;Result=3","7140181")</f>
        <v>0</v>
      </c>
      <c r="B15336" t="s">
        <v>929</v>
      </c>
      <c r="C15336" t="s">
        <v>18387</v>
      </c>
      <c r="D15336" t="s">
        <v>19004</v>
      </c>
      <c r="E15336" t="s">
        <v>32059</v>
      </c>
      <c r="F15336" t="s">
        <v>32606</v>
      </c>
      <c r="G15336" t="s">
        <v>32613</v>
      </c>
      <c r="H15336" t="s">
        <v>32623</v>
      </c>
      <c r="I15336" t="s">
        <v>32649</v>
      </c>
      <c r="J15336" t="s">
        <v>42235</v>
      </c>
      <c r="K15336" t="s">
        <v>42783</v>
      </c>
      <c r="M15336" t="s">
        <v>43869</v>
      </c>
      <c r="N15336" t="s">
        <v>47304</v>
      </c>
      <c r="O15336" t="s">
        <v>47305</v>
      </c>
      <c r="Q15336">
        <v>7</v>
      </c>
      <c r="R15336" t="s">
        <v>47330</v>
      </c>
      <c r="S15336" t="s">
        <v>48533</v>
      </c>
      <c r="T15336" t="s">
        <v>49002</v>
      </c>
      <c r="U15336" t="s">
        <v>62170</v>
      </c>
      <c r="V15336" t="s">
        <v>64341</v>
      </c>
      <c r="W15336" t="s">
        <v>43869</v>
      </c>
      <c r="X15336" t="s">
        <v>47334</v>
      </c>
    </row>
    <row r="15337" spans="1:24">
      <c r="A15337">
        <f>HYPERLINK("https://www.philgeps.gov.ph/GEPSNONPILOT/Tender/SplashBidNoticeAbstractUI.aspx?menuIndex=3&amp;refID=7148539&amp;Result=3","7148539")</f>
        <v>0</v>
      </c>
      <c r="B15337" t="s">
        <v>2084</v>
      </c>
      <c r="C15337" t="s">
        <v>18388</v>
      </c>
      <c r="D15337" t="s">
        <v>19053</v>
      </c>
      <c r="E15337" t="s">
        <v>32060</v>
      </c>
      <c r="F15337" t="s">
        <v>32606</v>
      </c>
      <c r="G15337" t="s">
        <v>32613</v>
      </c>
      <c r="H15337" t="s">
        <v>32623</v>
      </c>
      <c r="I15337" t="s">
        <v>17648</v>
      </c>
      <c r="J15337" t="s">
        <v>32830</v>
      </c>
      <c r="K15337" t="s">
        <v>42682</v>
      </c>
      <c r="M15337" t="s">
        <v>45167</v>
      </c>
      <c r="N15337" t="s">
        <v>47304</v>
      </c>
      <c r="O15337" t="s">
        <v>47305</v>
      </c>
      <c r="Q15337">
        <v>1</v>
      </c>
      <c r="R15337" t="s">
        <v>47331</v>
      </c>
      <c r="S15337" t="s">
        <v>48534</v>
      </c>
      <c r="T15337" t="s">
        <v>48998</v>
      </c>
      <c r="U15337" t="s">
        <v>62171</v>
      </c>
      <c r="W15337" t="s">
        <v>45167</v>
      </c>
      <c r="X15337" t="s">
        <v>47330</v>
      </c>
    </row>
    <row r="15338" spans="1:24">
      <c r="A15338">
        <f>HYPERLINK("https://www.philgeps.gov.ph/GEPSNONPILOT/Tender/SplashBidNoticeAbstractUI.aspx?menuIndex=3&amp;refID=7148412&amp;Result=3","7148412")</f>
        <v>0</v>
      </c>
      <c r="B15338" t="s">
        <v>696</v>
      </c>
      <c r="C15338" t="s">
        <v>18389</v>
      </c>
      <c r="D15338" t="s">
        <v>18993</v>
      </c>
      <c r="E15338" t="s">
        <v>32061</v>
      </c>
      <c r="F15338" t="s">
        <v>32606</v>
      </c>
      <c r="G15338" t="s">
        <v>32617</v>
      </c>
      <c r="H15338" t="s">
        <v>14201</v>
      </c>
      <c r="I15338" t="s">
        <v>6298</v>
      </c>
      <c r="J15338" t="s">
        <v>42236</v>
      </c>
      <c r="K15338" t="s">
        <v>42627</v>
      </c>
      <c r="M15338" t="s">
        <v>45418</v>
      </c>
      <c r="N15338" t="s">
        <v>47304</v>
      </c>
      <c r="O15338" t="s">
        <v>47305</v>
      </c>
      <c r="Q15338">
        <v>6</v>
      </c>
      <c r="R15338" t="s">
        <v>47331</v>
      </c>
      <c r="S15338" t="s">
        <v>48383</v>
      </c>
      <c r="T15338" t="s">
        <v>49017</v>
      </c>
      <c r="U15338" t="s">
        <v>62172</v>
      </c>
      <c r="V15338" t="s">
        <v>63666</v>
      </c>
      <c r="W15338" t="s">
        <v>45418</v>
      </c>
      <c r="X15338" t="s">
        <v>47330</v>
      </c>
    </row>
    <row r="15339" spans="1:24">
      <c r="A15339">
        <f>HYPERLINK("https://www.philgeps.gov.ph/GEPSNONPILOT/Tender/SplashBidNoticeAbstractUI.aspx?menuIndex=3&amp;refID=7145640&amp;Result=3","7145640")</f>
        <v>0</v>
      </c>
      <c r="B15339" t="s">
        <v>360</v>
      </c>
      <c r="C15339" t="s">
        <v>18390</v>
      </c>
      <c r="D15339" t="s">
        <v>19040</v>
      </c>
      <c r="E15339" t="s">
        <v>32062</v>
      </c>
      <c r="F15339" t="s">
        <v>32606</v>
      </c>
      <c r="G15339" t="s">
        <v>32613</v>
      </c>
      <c r="H15339" t="s">
        <v>14201</v>
      </c>
      <c r="I15339" t="s">
        <v>32650</v>
      </c>
      <c r="J15339" t="s">
        <v>34128</v>
      </c>
      <c r="K15339" t="s">
        <v>42703</v>
      </c>
      <c r="M15339" t="s">
        <v>43332</v>
      </c>
      <c r="N15339" t="s">
        <v>47304</v>
      </c>
      <c r="O15339" t="s">
        <v>47305</v>
      </c>
      <c r="Q15339">
        <v>4</v>
      </c>
      <c r="R15339" t="s">
        <v>47330</v>
      </c>
      <c r="S15339" t="s">
        <v>48535</v>
      </c>
      <c r="T15339" t="s">
        <v>49004</v>
      </c>
      <c r="U15339" t="s">
        <v>62173</v>
      </c>
      <c r="W15339" t="s">
        <v>43332</v>
      </c>
      <c r="X15339" t="s">
        <v>47332</v>
      </c>
    </row>
    <row r="15340" spans="1:24">
      <c r="A15340">
        <f>HYPERLINK("https://www.philgeps.gov.ph/GEPSNONPILOT/Tender/SplashBidNoticeAbstractUI.aspx?menuIndex=3&amp;refID=7145596&amp;Result=3","7145596")</f>
        <v>0</v>
      </c>
      <c r="B15340" t="s">
        <v>3678</v>
      </c>
      <c r="C15340" t="s">
        <v>18391</v>
      </c>
      <c r="D15340" t="s">
        <v>19063</v>
      </c>
      <c r="E15340" t="s">
        <v>32063</v>
      </c>
      <c r="F15340" t="s">
        <v>32610</v>
      </c>
      <c r="G15340" t="s">
        <v>32613</v>
      </c>
      <c r="H15340" t="s">
        <v>14201</v>
      </c>
      <c r="I15340" t="s">
        <v>6931</v>
      </c>
      <c r="J15340" t="s">
        <v>42237</v>
      </c>
      <c r="K15340" t="s">
        <v>42677</v>
      </c>
      <c r="M15340" t="s">
        <v>46983</v>
      </c>
      <c r="N15340" t="s">
        <v>47304</v>
      </c>
      <c r="O15340" t="s">
        <v>47305</v>
      </c>
      <c r="P15340">
        <v>0</v>
      </c>
      <c r="Q15340">
        <v>0</v>
      </c>
      <c r="R15340" t="s">
        <v>47330</v>
      </c>
      <c r="S15340" t="s">
        <v>48530</v>
      </c>
      <c r="T15340" t="s">
        <v>49010</v>
      </c>
      <c r="U15340" t="s">
        <v>62174</v>
      </c>
      <c r="W15340" t="s">
        <v>46983</v>
      </c>
      <c r="X15340" t="s">
        <v>47332</v>
      </c>
    </row>
    <row r="15341" spans="1:24">
      <c r="A15341">
        <f>HYPERLINK("https://www.philgeps.gov.ph/GEPSNONPILOT/Tender/SplashBidNoticeAbstractUI.aspx?menuIndex=3&amp;refID=7144399&amp;Result=3","7144399")</f>
        <v>0</v>
      </c>
      <c r="B15341" t="s">
        <v>710</v>
      </c>
      <c r="C15341" t="s">
        <v>18392</v>
      </c>
      <c r="D15341" t="s">
        <v>18993</v>
      </c>
      <c r="E15341" t="s">
        <v>32064</v>
      </c>
      <c r="F15341" t="s">
        <v>32606</v>
      </c>
      <c r="G15341" t="s">
        <v>32613</v>
      </c>
      <c r="H15341" t="s">
        <v>14201</v>
      </c>
      <c r="I15341" t="s">
        <v>6309</v>
      </c>
      <c r="J15341" t="s">
        <v>42238</v>
      </c>
      <c r="K15341" t="s">
        <v>42679</v>
      </c>
      <c r="M15341" t="s">
        <v>47230</v>
      </c>
      <c r="N15341" t="s">
        <v>47304</v>
      </c>
      <c r="O15341" t="s">
        <v>47305</v>
      </c>
      <c r="Q15341">
        <v>6</v>
      </c>
      <c r="R15341" t="s">
        <v>47330</v>
      </c>
      <c r="S15341" t="s">
        <v>48536</v>
      </c>
      <c r="T15341" t="s">
        <v>49305</v>
      </c>
      <c r="U15341" t="s">
        <v>62175</v>
      </c>
      <c r="W15341" t="s">
        <v>47230</v>
      </c>
      <c r="X15341" t="s">
        <v>47333</v>
      </c>
    </row>
    <row r="15342" spans="1:24">
      <c r="A15342">
        <f>HYPERLINK("https://www.philgeps.gov.ph/GEPSNONPILOT/Tender/SplashBidNoticeAbstractUI.aspx?menuIndex=3&amp;refID=7147196&amp;Result=3","7147196")</f>
        <v>0</v>
      </c>
      <c r="B15342" t="s">
        <v>1358</v>
      </c>
      <c r="C15342" t="s">
        <v>18393</v>
      </c>
      <c r="D15342" t="s">
        <v>19023</v>
      </c>
      <c r="E15342" t="s">
        <v>20131</v>
      </c>
      <c r="F15342" t="s">
        <v>32606</v>
      </c>
      <c r="G15342" t="s">
        <v>32613</v>
      </c>
      <c r="H15342" t="s">
        <v>32623</v>
      </c>
      <c r="I15342" t="s">
        <v>17648</v>
      </c>
      <c r="J15342" t="s">
        <v>42239</v>
      </c>
      <c r="K15342" t="s">
        <v>42905</v>
      </c>
      <c r="M15342" t="s">
        <v>47231</v>
      </c>
      <c r="N15342" t="s">
        <v>47304</v>
      </c>
      <c r="O15342" t="s">
        <v>47305</v>
      </c>
      <c r="P15342">
        <v>0</v>
      </c>
      <c r="Q15342">
        <v>8</v>
      </c>
      <c r="R15342" t="s">
        <v>47330</v>
      </c>
      <c r="S15342" t="s">
        <v>48530</v>
      </c>
      <c r="T15342" t="s">
        <v>48980</v>
      </c>
      <c r="U15342" t="s">
        <v>62176</v>
      </c>
      <c r="W15342" t="s">
        <v>47231</v>
      </c>
      <c r="X15342" t="s">
        <v>47332</v>
      </c>
    </row>
    <row r="15343" spans="1:24">
      <c r="A15343">
        <f>HYPERLINK("https://www.philgeps.gov.ph/GEPSNONPILOT/Tender/SplashBidNoticeAbstractUI.aspx?menuIndex=3&amp;refID=7152142&amp;Result=3","7152142")</f>
        <v>0</v>
      </c>
      <c r="B15343" t="s">
        <v>3008</v>
      </c>
      <c r="C15343" t="s">
        <v>18394</v>
      </c>
      <c r="D15343" t="s">
        <v>18993</v>
      </c>
      <c r="E15343" t="s">
        <v>20959</v>
      </c>
      <c r="F15343" t="s">
        <v>32606</v>
      </c>
      <c r="G15343" t="s">
        <v>32613</v>
      </c>
      <c r="H15343" t="s">
        <v>32625</v>
      </c>
      <c r="I15343" t="s">
        <v>32625</v>
      </c>
      <c r="J15343" t="s">
        <v>34431</v>
      </c>
      <c r="K15343" t="s">
        <v>42751</v>
      </c>
      <c r="M15343" t="s">
        <v>46197</v>
      </c>
      <c r="N15343" t="s">
        <v>47304</v>
      </c>
      <c r="O15343" t="s">
        <v>47305</v>
      </c>
      <c r="Q15343">
        <v>4</v>
      </c>
      <c r="R15343" t="s">
        <v>47328</v>
      </c>
      <c r="S15343" t="s">
        <v>48537</v>
      </c>
      <c r="T15343" t="s">
        <v>49529</v>
      </c>
      <c r="U15343" t="s">
        <v>62177</v>
      </c>
      <c r="V15343" t="s">
        <v>63669</v>
      </c>
      <c r="W15343" t="s">
        <v>46197</v>
      </c>
      <c r="X15343" t="s">
        <v>47329</v>
      </c>
    </row>
    <row r="15344" spans="1:24">
      <c r="A15344">
        <f>HYPERLINK("https://www.philgeps.gov.ph/GEPSNONPILOT/Tender/SplashBidNoticeAbstractUI.aspx?menuIndex=3&amp;refID=7145888&amp;Result=3","7145888")</f>
        <v>0</v>
      </c>
      <c r="B15344" t="s">
        <v>1813</v>
      </c>
      <c r="C15344" t="s">
        <v>18395</v>
      </c>
      <c r="D15344" t="s">
        <v>19039</v>
      </c>
      <c r="E15344" t="s">
        <v>32065</v>
      </c>
      <c r="F15344" t="s">
        <v>32606</v>
      </c>
      <c r="G15344" t="s">
        <v>32613</v>
      </c>
      <c r="H15344" t="s">
        <v>14201</v>
      </c>
      <c r="I15344" t="s">
        <v>32629</v>
      </c>
      <c r="J15344" t="s">
        <v>42240</v>
      </c>
      <c r="K15344" t="s">
        <v>42688</v>
      </c>
      <c r="M15344" t="s">
        <v>44854</v>
      </c>
      <c r="N15344" t="s">
        <v>47304</v>
      </c>
      <c r="O15344" t="s">
        <v>47305</v>
      </c>
      <c r="P15344">
        <v>0</v>
      </c>
      <c r="Q15344">
        <v>3</v>
      </c>
      <c r="R15344" t="s">
        <v>47330</v>
      </c>
      <c r="S15344" t="s">
        <v>48530</v>
      </c>
      <c r="T15344" t="s">
        <v>49004</v>
      </c>
      <c r="U15344" t="s">
        <v>62178</v>
      </c>
      <c r="V15344" t="s">
        <v>64342</v>
      </c>
      <c r="W15344" t="s">
        <v>44854</v>
      </c>
      <c r="X15344" t="s">
        <v>47332</v>
      </c>
    </row>
    <row r="15345" spans="1:24">
      <c r="A15345">
        <f>HYPERLINK("https://www.philgeps.gov.ph/GEPSNONPILOT/Tender/SplashBidNoticeAbstractUI.aspx?menuIndex=3&amp;refID=7152152&amp;Result=3","7152152")</f>
        <v>0</v>
      </c>
      <c r="B15345" t="s">
        <v>3008</v>
      </c>
      <c r="C15345" t="s">
        <v>18396</v>
      </c>
      <c r="D15345" t="s">
        <v>18993</v>
      </c>
      <c r="E15345" t="s">
        <v>20998</v>
      </c>
      <c r="F15345" t="s">
        <v>32606</v>
      </c>
      <c r="G15345" t="s">
        <v>32613</v>
      </c>
      <c r="H15345" t="s">
        <v>32625</v>
      </c>
      <c r="I15345" t="s">
        <v>32625</v>
      </c>
      <c r="J15345" t="s">
        <v>32821</v>
      </c>
      <c r="K15345" t="s">
        <v>42679</v>
      </c>
      <c r="M15345" t="s">
        <v>46197</v>
      </c>
      <c r="N15345" t="s">
        <v>47304</v>
      </c>
      <c r="O15345" t="s">
        <v>47305</v>
      </c>
      <c r="Q15345">
        <v>5</v>
      </c>
      <c r="R15345" t="s">
        <v>47328</v>
      </c>
      <c r="S15345" t="s">
        <v>48538</v>
      </c>
      <c r="T15345" t="s">
        <v>49521</v>
      </c>
      <c r="U15345" t="s">
        <v>61960</v>
      </c>
      <c r="V15345" t="s">
        <v>63669</v>
      </c>
      <c r="W15345" t="s">
        <v>46197</v>
      </c>
      <c r="X15345" t="s">
        <v>47329</v>
      </c>
    </row>
    <row r="15346" spans="1:24">
      <c r="A15346">
        <f>HYPERLINK("https://www.philgeps.gov.ph/GEPSNONPILOT/Tender/SplashBidNoticeAbstractUI.aspx?menuIndex=3&amp;refID=7147221&amp;Result=3","7147221")</f>
        <v>0</v>
      </c>
      <c r="B15346" t="s">
        <v>456</v>
      </c>
      <c r="C15346" t="s">
        <v>18397</v>
      </c>
      <c r="D15346" t="s">
        <v>19024</v>
      </c>
      <c r="E15346" t="s">
        <v>26649</v>
      </c>
      <c r="F15346" t="s">
        <v>32606</v>
      </c>
      <c r="G15346" t="s">
        <v>32613</v>
      </c>
      <c r="H15346" t="s">
        <v>14201</v>
      </c>
      <c r="I15346" t="s">
        <v>4112</v>
      </c>
      <c r="J15346" t="s">
        <v>42241</v>
      </c>
      <c r="K15346" t="s">
        <v>42695</v>
      </c>
      <c r="M15346" t="s">
        <v>43366</v>
      </c>
      <c r="N15346" t="s">
        <v>47304</v>
      </c>
      <c r="O15346" t="s">
        <v>47305</v>
      </c>
      <c r="Q15346">
        <v>9</v>
      </c>
      <c r="R15346" t="s">
        <v>47330</v>
      </c>
      <c r="S15346" t="s">
        <v>48539</v>
      </c>
      <c r="T15346" t="s">
        <v>49066</v>
      </c>
      <c r="U15346" t="s">
        <v>62179</v>
      </c>
      <c r="W15346" t="s">
        <v>43366</v>
      </c>
      <c r="X15346" t="s">
        <v>47332</v>
      </c>
    </row>
    <row r="15347" spans="1:24">
      <c r="A15347">
        <f>HYPERLINK("https://www.philgeps.gov.ph/GEPSNONPILOT/Tender/SplashBidNoticeAbstractUI.aspx?menuIndex=3&amp;refID=7145847&amp;Result=3","7145847")</f>
        <v>0</v>
      </c>
      <c r="B15347" t="s">
        <v>2509</v>
      </c>
      <c r="C15347" t="s">
        <v>18398</v>
      </c>
      <c r="D15347" t="s">
        <v>19023</v>
      </c>
      <c r="E15347" t="s">
        <v>32066</v>
      </c>
      <c r="F15347" t="s">
        <v>32606</v>
      </c>
      <c r="G15347" t="s">
        <v>32613</v>
      </c>
      <c r="H15347" t="s">
        <v>14201</v>
      </c>
      <c r="I15347" t="s">
        <v>4114</v>
      </c>
      <c r="J15347" t="s">
        <v>42242</v>
      </c>
      <c r="K15347" t="s">
        <v>42631</v>
      </c>
      <c r="M15347" t="s">
        <v>45649</v>
      </c>
      <c r="N15347" t="s">
        <v>47304</v>
      </c>
      <c r="O15347" t="s">
        <v>47305</v>
      </c>
      <c r="Q15347">
        <v>5</v>
      </c>
      <c r="R15347" t="s">
        <v>47330</v>
      </c>
      <c r="S15347" t="s">
        <v>48540</v>
      </c>
      <c r="T15347" t="s">
        <v>48980</v>
      </c>
      <c r="U15347" t="s">
        <v>62180</v>
      </c>
      <c r="V15347" t="s">
        <v>64343</v>
      </c>
      <c r="W15347" t="s">
        <v>45649</v>
      </c>
      <c r="X15347" t="s">
        <v>47332</v>
      </c>
    </row>
    <row r="15348" spans="1:24">
      <c r="A15348">
        <f>HYPERLINK("https://www.philgeps.gov.ph/GEPSNONPILOT/Tender/SplashBidNoticeAbstractUI.aspx?menuIndex=3&amp;refID=7146914&amp;Result=3","7146914")</f>
        <v>0</v>
      </c>
      <c r="B15348" t="s">
        <v>3872</v>
      </c>
      <c r="C15348" t="s">
        <v>18399</v>
      </c>
      <c r="D15348" t="s">
        <v>19003</v>
      </c>
      <c r="E15348" t="s">
        <v>32067</v>
      </c>
      <c r="F15348" t="s">
        <v>32606</v>
      </c>
      <c r="G15348" t="s">
        <v>32613</v>
      </c>
      <c r="H15348" t="s">
        <v>32625</v>
      </c>
      <c r="I15348" t="s">
        <v>32625</v>
      </c>
      <c r="J15348" t="s">
        <v>34246</v>
      </c>
      <c r="K15348" t="s">
        <v>42712</v>
      </c>
      <c r="M15348" t="s">
        <v>47232</v>
      </c>
      <c r="N15348" t="s">
        <v>47304</v>
      </c>
      <c r="O15348" t="s">
        <v>47305</v>
      </c>
      <c r="P15348">
        <v>0</v>
      </c>
      <c r="Q15348">
        <v>5</v>
      </c>
      <c r="R15348" t="s">
        <v>47330</v>
      </c>
      <c r="S15348" t="s">
        <v>48530</v>
      </c>
      <c r="T15348" t="s">
        <v>49040</v>
      </c>
      <c r="U15348" t="s">
        <v>62181</v>
      </c>
      <c r="W15348" t="s">
        <v>47232</v>
      </c>
      <c r="X15348" t="s">
        <v>47332</v>
      </c>
    </row>
    <row r="15349" spans="1:24">
      <c r="A15349">
        <f>HYPERLINK("https://www.philgeps.gov.ph/GEPSNONPILOT/Tender/SplashBidNoticeAbstractUI.aspx?menuIndex=3&amp;refID=7147114&amp;Result=3","7147114")</f>
        <v>0</v>
      </c>
      <c r="B15349" t="s">
        <v>2925</v>
      </c>
      <c r="C15349" t="s">
        <v>18400</v>
      </c>
      <c r="D15349" t="s">
        <v>19048</v>
      </c>
      <c r="E15349" t="s">
        <v>32068</v>
      </c>
      <c r="F15349" t="s">
        <v>32606</v>
      </c>
      <c r="G15349" t="s">
        <v>32613</v>
      </c>
      <c r="H15349" t="s">
        <v>32625</v>
      </c>
      <c r="I15349" t="s">
        <v>32625</v>
      </c>
      <c r="J15349" t="s">
        <v>42243</v>
      </c>
      <c r="K15349" t="s">
        <v>42676</v>
      </c>
      <c r="M15349" t="s">
        <v>46104</v>
      </c>
      <c r="N15349" t="s">
        <v>47304</v>
      </c>
      <c r="O15349" t="s">
        <v>47305</v>
      </c>
      <c r="P15349">
        <v>0</v>
      </c>
      <c r="Q15349">
        <v>6</v>
      </c>
      <c r="R15349" t="s">
        <v>47330</v>
      </c>
      <c r="S15349" t="s">
        <v>48530</v>
      </c>
      <c r="T15349" t="s">
        <v>49268</v>
      </c>
      <c r="U15349" t="s">
        <v>62182</v>
      </c>
      <c r="W15349" t="s">
        <v>46104</v>
      </c>
      <c r="X15349" t="s">
        <v>47332</v>
      </c>
    </row>
    <row r="15350" spans="1:24">
      <c r="A15350">
        <f>HYPERLINK("https://www.philgeps.gov.ph/GEPSNONPILOT/Tender/SplashBidNoticeAbstractUI.aspx?menuIndex=3&amp;refID=7146741&amp;Result=3","7146741")</f>
        <v>0</v>
      </c>
      <c r="B15350" t="s">
        <v>401</v>
      </c>
      <c r="C15350" t="s">
        <v>18401</v>
      </c>
      <c r="D15350" t="s">
        <v>19033</v>
      </c>
      <c r="E15350" t="s">
        <v>32069</v>
      </c>
      <c r="F15350" t="s">
        <v>32606</v>
      </c>
      <c r="G15350" t="s">
        <v>32613</v>
      </c>
      <c r="H15350" t="s">
        <v>32623</v>
      </c>
      <c r="I15350" t="s">
        <v>17648</v>
      </c>
      <c r="J15350" t="s">
        <v>32772</v>
      </c>
      <c r="K15350" t="s">
        <v>42646</v>
      </c>
      <c r="M15350" t="s">
        <v>43304</v>
      </c>
      <c r="N15350" t="s">
        <v>47304</v>
      </c>
      <c r="O15350" t="s">
        <v>47305</v>
      </c>
      <c r="P15350">
        <v>0</v>
      </c>
      <c r="Q15350">
        <v>0</v>
      </c>
      <c r="R15350" t="s">
        <v>47330</v>
      </c>
      <c r="S15350" t="s">
        <v>48530</v>
      </c>
      <c r="T15350" t="s">
        <v>49010</v>
      </c>
      <c r="U15350" t="s">
        <v>62183</v>
      </c>
      <c r="W15350" t="s">
        <v>43304</v>
      </c>
      <c r="X15350" t="s">
        <v>47332</v>
      </c>
    </row>
    <row r="15351" spans="1:24">
      <c r="A15351">
        <f>HYPERLINK("https://www.philgeps.gov.ph/GEPSNONPILOT/Tender/SplashBidNoticeAbstractUI.aspx?menuIndex=3&amp;refID=7146855&amp;Result=3","7146855")</f>
        <v>0</v>
      </c>
      <c r="B15351" t="s">
        <v>401</v>
      </c>
      <c r="C15351" t="s">
        <v>18402</v>
      </c>
      <c r="D15351" t="s">
        <v>19033</v>
      </c>
      <c r="E15351" t="s">
        <v>32070</v>
      </c>
      <c r="F15351" t="s">
        <v>32606</v>
      </c>
      <c r="G15351" t="s">
        <v>32613</v>
      </c>
      <c r="H15351" t="s">
        <v>32623</v>
      </c>
      <c r="I15351" t="s">
        <v>17648</v>
      </c>
      <c r="J15351" t="s">
        <v>32789</v>
      </c>
      <c r="K15351" t="s">
        <v>42636</v>
      </c>
      <c r="M15351" t="s">
        <v>43304</v>
      </c>
      <c r="N15351" t="s">
        <v>47304</v>
      </c>
      <c r="O15351" t="s">
        <v>47305</v>
      </c>
      <c r="P15351">
        <v>0</v>
      </c>
      <c r="Q15351">
        <v>0</v>
      </c>
      <c r="R15351" t="s">
        <v>47330</v>
      </c>
      <c r="S15351" t="s">
        <v>48530</v>
      </c>
      <c r="T15351" t="s">
        <v>49010</v>
      </c>
      <c r="U15351" t="s">
        <v>62183</v>
      </c>
      <c r="W15351" t="s">
        <v>43304</v>
      </c>
      <c r="X15351" t="s">
        <v>47332</v>
      </c>
    </row>
    <row r="15352" spans="1:24">
      <c r="A15352">
        <f>HYPERLINK("https://www.philgeps.gov.ph/GEPSNONPILOT/Tender/SplashBidNoticeAbstractUI.aspx?menuIndex=3&amp;refID=7146488&amp;Result=3","7146488")</f>
        <v>0</v>
      </c>
      <c r="B15352" t="s">
        <v>2414</v>
      </c>
      <c r="C15352" t="s">
        <v>18403</v>
      </c>
      <c r="D15352" t="s">
        <v>19024</v>
      </c>
      <c r="E15352" t="s">
        <v>32071</v>
      </c>
      <c r="F15352" t="s">
        <v>32606</v>
      </c>
      <c r="G15352" t="s">
        <v>32614</v>
      </c>
      <c r="H15352" t="s">
        <v>14201</v>
      </c>
      <c r="I15352" t="s">
        <v>32663</v>
      </c>
      <c r="J15352" t="s">
        <v>33919</v>
      </c>
      <c r="K15352" t="s">
        <v>42636</v>
      </c>
      <c r="M15352" t="s">
        <v>47233</v>
      </c>
      <c r="N15352" t="s">
        <v>47304</v>
      </c>
      <c r="O15352" t="s">
        <v>47305</v>
      </c>
      <c r="Q15352">
        <v>3</v>
      </c>
      <c r="R15352" t="s">
        <v>47330</v>
      </c>
      <c r="S15352" t="s">
        <v>48297</v>
      </c>
      <c r="T15352" t="s">
        <v>49311</v>
      </c>
      <c r="U15352" t="s">
        <v>56913</v>
      </c>
      <c r="W15352" t="s">
        <v>47233</v>
      </c>
      <c r="X15352" t="s">
        <v>47332</v>
      </c>
    </row>
    <row r="15353" spans="1:24">
      <c r="A15353">
        <f>HYPERLINK("https://www.philgeps.gov.ph/GEPSNONPILOT/Tender/SplashBidNoticeAbstractUI.aspx?menuIndex=3&amp;refID=7146321&amp;Result=3","7146321")</f>
        <v>0</v>
      </c>
      <c r="B15353" t="s">
        <v>3873</v>
      </c>
      <c r="C15353" t="s">
        <v>18404</v>
      </c>
      <c r="D15353" t="s">
        <v>19034</v>
      </c>
      <c r="E15353" t="s">
        <v>20079</v>
      </c>
      <c r="F15353" t="s">
        <v>32606</v>
      </c>
      <c r="G15353" t="s">
        <v>32613</v>
      </c>
      <c r="H15353" t="s">
        <v>32623</v>
      </c>
      <c r="I15353" t="s">
        <v>6931</v>
      </c>
      <c r="J15353" t="s">
        <v>42244</v>
      </c>
      <c r="K15353" t="s">
        <v>42631</v>
      </c>
      <c r="M15353" t="s">
        <v>47234</v>
      </c>
      <c r="N15353" t="s">
        <v>47304</v>
      </c>
      <c r="O15353" t="s">
        <v>47305</v>
      </c>
      <c r="P15353">
        <v>0</v>
      </c>
      <c r="Q15353">
        <v>4</v>
      </c>
      <c r="R15353" t="s">
        <v>47330</v>
      </c>
      <c r="S15353" t="s">
        <v>48530</v>
      </c>
      <c r="T15353" t="s">
        <v>49100</v>
      </c>
      <c r="U15353" t="s">
        <v>62184</v>
      </c>
      <c r="W15353" t="s">
        <v>47234</v>
      </c>
      <c r="X15353" t="s">
        <v>47332</v>
      </c>
    </row>
    <row r="15354" spans="1:24">
      <c r="A15354">
        <f>HYPERLINK("https://www.philgeps.gov.ph/GEPSNONPILOT/Tender/SplashBidNoticeAbstractUI.aspx?menuIndex=3&amp;refID=7146777&amp;Result=3","7146777")</f>
        <v>0</v>
      </c>
      <c r="B15354" t="s">
        <v>3501</v>
      </c>
      <c r="C15354" t="s">
        <v>18405</v>
      </c>
      <c r="D15354" t="s">
        <v>19029</v>
      </c>
      <c r="E15354" t="s">
        <v>32072</v>
      </c>
      <c r="F15354" t="s">
        <v>32606</v>
      </c>
      <c r="G15354" t="s">
        <v>32613</v>
      </c>
      <c r="H15354" t="s">
        <v>14201</v>
      </c>
      <c r="I15354" t="s">
        <v>32640</v>
      </c>
      <c r="J15354" t="s">
        <v>42245</v>
      </c>
      <c r="K15354" t="s">
        <v>42631</v>
      </c>
      <c r="M15354" t="s">
        <v>46769</v>
      </c>
      <c r="N15354" t="s">
        <v>47304</v>
      </c>
      <c r="O15354" t="s">
        <v>47305</v>
      </c>
      <c r="Q15354">
        <v>11</v>
      </c>
      <c r="R15354" t="s">
        <v>47330</v>
      </c>
      <c r="S15354" t="s">
        <v>48541</v>
      </c>
      <c r="T15354" t="s">
        <v>49384</v>
      </c>
      <c r="U15354" t="s">
        <v>62185</v>
      </c>
      <c r="V15354" t="s">
        <v>64344</v>
      </c>
      <c r="W15354" t="s">
        <v>46769</v>
      </c>
      <c r="X15354" t="s">
        <v>47332</v>
      </c>
    </row>
    <row r="15355" spans="1:24">
      <c r="A15355">
        <f>HYPERLINK("https://www.philgeps.gov.ph/GEPSNONPILOT/Tender/SplashBidNoticeAbstractUI.aspx?menuIndex=3&amp;refID=7147149&amp;Result=3","7147149")</f>
        <v>0</v>
      </c>
      <c r="B15355" t="s">
        <v>1358</v>
      </c>
      <c r="C15355" t="s">
        <v>18406</v>
      </c>
      <c r="D15355" t="s">
        <v>19023</v>
      </c>
      <c r="E15355" t="s">
        <v>20397</v>
      </c>
      <c r="F15355" t="s">
        <v>32606</v>
      </c>
      <c r="G15355" t="s">
        <v>32613</v>
      </c>
      <c r="H15355" t="s">
        <v>32623</v>
      </c>
      <c r="I15355" t="s">
        <v>17648</v>
      </c>
      <c r="J15355" t="s">
        <v>42246</v>
      </c>
      <c r="K15355" t="s">
        <v>42906</v>
      </c>
      <c r="M15355" t="s">
        <v>47231</v>
      </c>
      <c r="N15355" t="s">
        <v>47304</v>
      </c>
      <c r="O15355" t="s">
        <v>47305</v>
      </c>
      <c r="P15355">
        <v>0</v>
      </c>
      <c r="Q15355">
        <v>9</v>
      </c>
      <c r="R15355" t="s">
        <v>47330</v>
      </c>
      <c r="S15355" t="s">
        <v>48530</v>
      </c>
      <c r="T15355" t="s">
        <v>48980</v>
      </c>
      <c r="U15355" t="s">
        <v>62176</v>
      </c>
      <c r="W15355" t="s">
        <v>47231</v>
      </c>
      <c r="X15355" t="s">
        <v>47332</v>
      </c>
    </row>
    <row r="15356" spans="1:24">
      <c r="A15356">
        <f>HYPERLINK("https://www.philgeps.gov.ph/GEPSNONPILOT/Tender/SplashBidNoticeAbstractUI.aspx?menuIndex=3&amp;refID=7146255&amp;Result=3","7146255")</f>
        <v>0</v>
      </c>
      <c r="B15356" t="s">
        <v>2586</v>
      </c>
      <c r="C15356" t="s">
        <v>18407</v>
      </c>
      <c r="D15356" t="s">
        <v>19036</v>
      </c>
      <c r="E15356" t="s">
        <v>32073</v>
      </c>
      <c r="F15356" t="s">
        <v>32606</v>
      </c>
      <c r="G15356" t="s">
        <v>32613</v>
      </c>
      <c r="H15356" t="s">
        <v>32625</v>
      </c>
      <c r="I15356" t="s">
        <v>17648</v>
      </c>
      <c r="J15356" t="s">
        <v>35368</v>
      </c>
      <c r="K15356" t="s">
        <v>42624</v>
      </c>
      <c r="M15356" t="s">
        <v>45727</v>
      </c>
      <c r="N15356" t="s">
        <v>47304</v>
      </c>
      <c r="O15356" t="s">
        <v>47305</v>
      </c>
      <c r="P15356">
        <v>0</v>
      </c>
      <c r="Q15356">
        <v>2</v>
      </c>
      <c r="R15356" t="s">
        <v>47330</v>
      </c>
      <c r="S15356" t="s">
        <v>48530</v>
      </c>
      <c r="T15356" t="s">
        <v>49530</v>
      </c>
      <c r="U15356" t="s">
        <v>62020</v>
      </c>
      <c r="V15356" t="s">
        <v>64345</v>
      </c>
      <c r="W15356" t="s">
        <v>45727</v>
      </c>
      <c r="X15356" t="s">
        <v>47332</v>
      </c>
    </row>
    <row r="15357" spans="1:24">
      <c r="A15357">
        <f>HYPERLINK("https://www.philgeps.gov.ph/GEPSNONPILOT/Tender/SplashBidNoticeAbstractUI.aspx?menuIndex=3&amp;refID=7147272&amp;Result=3","7147272")</f>
        <v>0</v>
      </c>
      <c r="B15357" t="s">
        <v>1358</v>
      </c>
      <c r="C15357" t="s">
        <v>18408</v>
      </c>
      <c r="D15357" t="s">
        <v>19006</v>
      </c>
      <c r="E15357" t="s">
        <v>21411</v>
      </c>
      <c r="F15357" t="s">
        <v>32606</v>
      </c>
      <c r="G15357" t="s">
        <v>32613</v>
      </c>
      <c r="H15357" t="s">
        <v>32623</v>
      </c>
      <c r="I15357" t="s">
        <v>17648</v>
      </c>
      <c r="J15357" t="s">
        <v>42247</v>
      </c>
      <c r="K15357" t="s">
        <v>42907</v>
      </c>
      <c r="M15357" t="s">
        <v>47231</v>
      </c>
      <c r="N15357" t="s">
        <v>47304</v>
      </c>
      <c r="O15357" t="s">
        <v>47305</v>
      </c>
      <c r="P15357">
        <v>0</v>
      </c>
      <c r="Q15357">
        <v>6</v>
      </c>
      <c r="R15357" t="s">
        <v>47330</v>
      </c>
      <c r="S15357" t="s">
        <v>48530</v>
      </c>
      <c r="T15357" t="s">
        <v>48980</v>
      </c>
      <c r="U15357" t="s">
        <v>62176</v>
      </c>
      <c r="W15357" t="s">
        <v>47231</v>
      </c>
      <c r="X15357" t="s">
        <v>47332</v>
      </c>
    </row>
    <row r="15358" spans="1:24">
      <c r="A15358">
        <f>HYPERLINK("https://www.philgeps.gov.ph/GEPSNONPILOT/Tender/SplashBidNoticeAbstractUI.aspx?menuIndex=3&amp;refID=7141179&amp;Result=3","7141179")</f>
        <v>0</v>
      </c>
      <c r="B15358" t="s">
        <v>2968</v>
      </c>
      <c r="C15358" t="s">
        <v>18409</v>
      </c>
      <c r="D15358" t="s">
        <v>19002</v>
      </c>
      <c r="E15358" t="s">
        <v>32074</v>
      </c>
      <c r="F15358" t="s">
        <v>32606</v>
      </c>
      <c r="G15358" t="s">
        <v>32613</v>
      </c>
      <c r="H15358" t="s">
        <v>14201</v>
      </c>
      <c r="I15358" t="s">
        <v>32629</v>
      </c>
      <c r="J15358" t="s">
        <v>42248</v>
      </c>
      <c r="K15358" t="s">
        <v>42697</v>
      </c>
      <c r="M15358" t="s">
        <v>46153</v>
      </c>
      <c r="N15358" t="s">
        <v>47304</v>
      </c>
      <c r="O15358" t="s">
        <v>47305</v>
      </c>
      <c r="P15358">
        <v>0</v>
      </c>
      <c r="Q15358">
        <v>0</v>
      </c>
      <c r="R15358" t="s">
        <v>47332</v>
      </c>
      <c r="S15358" t="s">
        <v>48542</v>
      </c>
      <c r="T15358" t="s">
        <v>49053</v>
      </c>
      <c r="U15358" t="s">
        <v>62186</v>
      </c>
      <c r="V15358" t="s">
        <v>63654</v>
      </c>
      <c r="W15358" t="s">
        <v>46153</v>
      </c>
      <c r="X15358" t="s">
        <v>47334</v>
      </c>
    </row>
    <row r="15359" spans="1:24">
      <c r="A15359">
        <f>HYPERLINK("https://www.philgeps.gov.ph/GEPSNONPILOT/Tender/SplashBidNoticeAbstractUI.aspx?menuIndex=3&amp;refID=7139373&amp;Result=3","7139373")</f>
        <v>0</v>
      </c>
      <c r="B15359" t="s">
        <v>2968</v>
      </c>
      <c r="C15359" t="s">
        <v>18410</v>
      </c>
      <c r="D15359" t="s">
        <v>19002</v>
      </c>
      <c r="E15359" t="s">
        <v>32075</v>
      </c>
      <c r="F15359" t="s">
        <v>32606</v>
      </c>
      <c r="G15359" t="s">
        <v>32613</v>
      </c>
      <c r="H15359" t="s">
        <v>32623</v>
      </c>
      <c r="I15359" t="s">
        <v>17648</v>
      </c>
      <c r="J15359" t="s">
        <v>42249</v>
      </c>
      <c r="K15359" t="s">
        <v>42719</v>
      </c>
      <c r="M15359" t="s">
        <v>46203</v>
      </c>
      <c r="N15359" t="s">
        <v>47304</v>
      </c>
      <c r="O15359" t="s">
        <v>47305</v>
      </c>
      <c r="P15359">
        <v>0</v>
      </c>
      <c r="Q15359">
        <v>2</v>
      </c>
      <c r="R15359" t="s">
        <v>47332</v>
      </c>
      <c r="S15359" t="s">
        <v>48542</v>
      </c>
      <c r="T15359" t="s">
        <v>49053</v>
      </c>
      <c r="U15359" t="s">
        <v>62187</v>
      </c>
      <c r="V15359" t="s">
        <v>63654</v>
      </c>
      <c r="W15359" t="s">
        <v>46203</v>
      </c>
      <c r="X15359" t="s">
        <v>47334</v>
      </c>
    </row>
    <row r="15360" spans="1:24">
      <c r="A15360">
        <f>HYPERLINK("https://www.philgeps.gov.ph/GEPSNONPILOT/Tender/SplashBidNoticeAbstractUI.aspx?menuIndex=3&amp;refID=7146439&amp;Result=3","7146439")</f>
        <v>0</v>
      </c>
      <c r="B15360" t="s">
        <v>3874</v>
      </c>
      <c r="C15360" t="s">
        <v>18411</v>
      </c>
      <c r="D15360" t="s">
        <v>19017</v>
      </c>
      <c r="E15360" t="s">
        <v>32076</v>
      </c>
      <c r="F15360" t="s">
        <v>32606</v>
      </c>
      <c r="G15360" t="s">
        <v>32613</v>
      </c>
      <c r="H15360" t="s">
        <v>14201</v>
      </c>
      <c r="I15360" t="s">
        <v>17648</v>
      </c>
      <c r="J15360" t="s">
        <v>33382</v>
      </c>
      <c r="K15360" t="s">
        <v>42908</v>
      </c>
      <c r="M15360" t="s">
        <v>47235</v>
      </c>
      <c r="N15360" t="s">
        <v>47304</v>
      </c>
      <c r="O15360" t="s">
        <v>47305</v>
      </c>
      <c r="Q15360">
        <v>0</v>
      </c>
      <c r="R15360" t="s">
        <v>47330</v>
      </c>
      <c r="S15360" t="s">
        <v>48543</v>
      </c>
      <c r="T15360" t="s">
        <v>49023</v>
      </c>
      <c r="U15360" t="s">
        <v>62188</v>
      </c>
      <c r="W15360" t="s">
        <v>47235</v>
      </c>
      <c r="X15360" t="s">
        <v>47332</v>
      </c>
    </row>
    <row r="15361" spans="1:24">
      <c r="A15361">
        <f>HYPERLINK("https://www.philgeps.gov.ph/GEPSNONPILOT/Tender/SplashBidNoticeAbstractUI.aspx?menuIndex=3&amp;refID=7141167&amp;Result=3","7141167")</f>
        <v>0</v>
      </c>
      <c r="B15361" t="s">
        <v>2968</v>
      </c>
      <c r="C15361" t="s">
        <v>18412</v>
      </c>
      <c r="D15361" t="s">
        <v>19002</v>
      </c>
      <c r="E15361" t="s">
        <v>32077</v>
      </c>
      <c r="F15361" t="s">
        <v>32606</v>
      </c>
      <c r="G15361" t="s">
        <v>32613</v>
      </c>
      <c r="H15361" t="s">
        <v>14201</v>
      </c>
      <c r="I15361" t="s">
        <v>32629</v>
      </c>
      <c r="J15361" t="s">
        <v>42250</v>
      </c>
      <c r="K15361" t="s">
        <v>42636</v>
      </c>
      <c r="M15361" t="s">
        <v>46153</v>
      </c>
      <c r="N15361" t="s">
        <v>47304</v>
      </c>
      <c r="O15361" t="s">
        <v>47305</v>
      </c>
      <c r="P15361">
        <v>0</v>
      </c>
      <c r="Q15361">
        <v>0</v>
      </c>
      <c r="R15361" t="s">
        <v>47332</v>
      </c>
      <c r="S15361" t="s">
        <v>48542</v>
      </c>
      <c r="T15361" t="s">
        <v>49053</v>
      </c>
      <c r="U15361" t="s">
        <v>62186</v>
      </c>
      <c r="V15361" t="s">
        <v>63654</v>
      </c>
      <c r="W15361" t="s">
        <v>46153</v>
      </c>
      <c r="X15361" t="s">
        <v>47334</v>
      </c>
    </row>
    <row r="15362" spans="1:24">
      <c r="A15362">
        <f>HYPERLINK("https://www.philgeps.gov.ph/GEPSNONPILOT/Tender/SplashBidNoticeAbstractUI.aspx?menuIndex=3&amp;refID=7146970&amp;Result=3","7146970")</f>
        <v>0</v>
      </c>
      <c r="B15362" t="s">
        <v>401</v>
      </c>
      <c r="C15362" t="s">
        <v>18413</v>
      </c>
      <c r="D15362" t="s">
        <v>19033</v>
      </c>
      <c r="E15362" t="s">
        <v>32078</v>
      </c>
      <c r="F15362" t="s">
        <v>32606</v>
      </c>
      <c r="G15362" t="s">
        <v>32613</v>
      </c>
      <c r="H15362" t="s">
        <v>14201</v>
      </c>
      <c r="I15362" t="s">
        <v>32629</v>
      </c>
      <c r="J15362" t="s">
        <v>42251</v>
      </c>
      <c r="K15362" t="s">
        <v>42631</v>
      </c>
      <c r="M15362" t="s">
        <v>43304</v>
      </c>
      <c r="N15362" t="s">
        <v>47304</v>
      </c>
      <c r="O15362" t="s">
        <v>47305</v>
      </c>
      <c r="P15362">
        <v>0</v>
      </c>
      <c r="Q15362">
        <v>0</v>
      </c>
      <c r="R15362" t="s">
        <v>47330</v>
      </c>
      <c r="S15362" t="s">
        <v>48530</v>
      </c>
      <c r="T15362" t="s">
        <v>49010</v>
      </c>
      <c r="U15362" t="s">
        <v>62183</v>
      </c>
      <c r="W15362" t="s">
        <v>43304</v>
      </c>
      <c r="X15362" t="s">
        <v>47332</v>
      </c>
    </row>
    <row r="15363" spans="1:24">
      <c r="A15363">
        <f>HYPERLINK("https://www.philgeps.gov.ph/GEPSNONPILOT/Tender/SplashBidNoticeAbstractUI.aspx?menuIndex=3&amp;refID=7147913&amp;Result=3","7147913")</f>
        <v>0</v>
      </c>
      <c r="B15363" t="s">
        <v>1210</v>
      </c>
      <c r="C15363" t="s">
        <v>18414</v>
      </c>
      <c r="D15363" t="s">
        <v>18988</v>
      </c>
      <c r="E15363" t="s">
        <v>32079</v>
      </c>
      <c r="F15363" t="s">
        <v>32606</v>
      </c>
      <c r="G15363" t="s">
        <v>32613</v>
      </c>
      <c r="H15363" t="s">
        <v>14201</v>
      </c>
      <c r="I15363" t="s">
        <v>6931</v>
      </c>
      <c r="J15363" t="s">
        <v>42252</v>
      </c>
      <c r="K15363" t="s">
        <v>42624</v>
      </c>
      <c r="M15363" t="s">
        <v>44175</v>
      </c>
      <c r="N15363" t="s">
        <v>47304</v>
      </c>
      <c r="O15363" t="s">
        <v>47305</v>
      </c>
      <c r="P15363">
        <v>0</v>
      </c>
      <c r="Q15363">
        <v>0</v>
      </c>
      <c r="R15363" t="s">
        <v>47330</v>
      </c>
      <c r="S15363" t="s">
        <v>48530</v>
      </c>
      <c r="T15363" t="s">
        <v>49268</v>
      </c>
      <c r="U15363" t="s">
        <v>61812</v>
      </c>
      <c r="W15363" t="s">
        <v>44175</v>
      </c>
      <c r="X15363" t="s">
        <v>47332</v>
      </c>
    </row>
    <row r="15364" spans="1:24">
      <c r="A15364">
        <f>HYPERLINK("https://www.philgeps.gov.ph/GEPSNONPILOT/Tender/SplashBidNoticeAbstractUI.aspx?menuIndex=3&amp;refID=7147871&amp;Result=3","7147871")</f>
        <v>0</v>
      </c>
      <c r="B15364" t="s">
        <v>3832</v>
      </c>
      <c r="C15364" t="s">
        <v>18415</v>
      </c>
      <c r="E15364" t="s">
        <v>32080</v>
      </c>
      <c r="F15364" t="s">
        <v>32606</v>
      </c>
      <c r="G15364" t="s">
        <v>32613</v>
      </c>
      <c r="H15364" t="s">
        <v>32624</v>
      </c>
      <c r="I15364" t="s">
        <v>32716</v>
      </c>
      <c r="J15364" t="s">
        <v>42253</v>
      </c>
      <c r="K15364" t="s">
        <v>42631</v>
      </c>
      <c r="M15364" t="s">
        <v>47180</v>
      </c>
      <c r="N15364" t="s">
        <v>47304</v>
      </c>
      <c r="O15364" t="s">
        <v>47305</v>
      </c>
      <c r="Q15364">
        <v>5</v>
      </c>
      <c r="R15364" t="s">
        <v>47330</v>
      </c>
      <c r="S15364" t="s">
        <v>48544</v>
      </c>
      <c r="T15364" t="s">
        <v>48995</v>
      </c>
      <c r="U15364" t="s">
        <v>61844</v>
      </c>
      <c r="V15364" t="s">
        <v>64296</v>
      </c>
      <c r="W15364" t="s">
        <v>47180</v>
      </c>
      <c r="X15364" t="s">
        <v>47332</v>
      </c>
    </row>
    <row r="15365" spans="1:24">
      <c r="A15365">
        <f>HYPERLINK("https://www.philgeps.gov.ph/GEPSNONPILOT/Tender/SplashBidNoticeAbstractUI.aspx?menuIndex=3&amp;refID=7147975&amp;Result=3","7147975")</f>
        <v>0</v>
      </c>
      <c r="B15365" t="s">
        <v>3569</v>
      </c>
      <c r="C15365" t="s">
        <v>18416</v>
      </c>
      <c r="D15365" t="s">
        <v>18993</v>
      </c>
      <c r="E15365" t="s">
        <v>32081</v>
      </c>
      <c r="F15365" t="s">
        <v>32606</v>
      </c>
      <c r="G15365" t="s">
        <v>32613</v>
      </c>
      <c r="H15365" t="s">
        <v>14201</v>
      </c>
      <c r="I15365" t="s">
        <v>4120</v>
      </c>
      <c r="J15365" t="s">
        <v>42254</v>
      </c>
      <c r="K15365" t="s">
        <v>42631</v>
      </c>
      <c r="M15365" t="s">
        <v>46857</v>
      </c>
      <c r="N15365" t="s">
        <v>47304</v>
      </c>
      <c r="O15365" t="s">
        <v>47305</v>
      </c>
      <c r="Q15365">
        <v>5</v>
      </c>
      <c r="R15365" t="s">
        <v>47330</v>
      </c>
      <c r="S15365" t="s">
        <v>48545</v>
      </c>
      <c r="T15365" t="s">
        <v>49269</v>
      </c>
      <c r="U15365" t="s">
        <v>62189</v>
      </c>
      <c r="W15365" t="s">
        <v>46857</v>
      </c>
      <c r="X15365" t="s">
        <v>47332</v>
      </c>
    </row>
    <row r="15366" spans="1:24">
      <c r="A15366">
        <f>HYPERLINK("https://www.philgeps.gov.ph/GEPSNONPILOT/Tender/SplashBidNoticeAbstractUI.aspx?menuIndex=3&amp;refID=7147849&amp;Result=3","7147849")</f>
        <v>0</v>
      </c>
      <c r="B15366" t="s">
        <v>3832</v>
      </c>
      <c r="C15366" t="s">
        <v>18417</v>
      </c>
      <c r="D15366" t="s">
        <v>19028</v>
      </c>
      <c r="E15366" t="s">
        <v>32082</v>
      </c>
      <c r="F15366" t="s">
        <v>32606</v>
      </c>
      <c r="G15366" t="s">
        <v>32613</v>
      </c>
      <c r="H15366" t="s">
        <v>32624</v>
      </c>
      <c r="I15366" t="s">
        <v>32716</v>
      </c>
      <c r="J15366" t="s">
        <v>40728</v>
      </c>
      <c r="K15366" t="s">
        <v>42648</v>
      </c>
      <c r="M15366" t="s">
        <v>47180</v>
      </c>
      <c r="N15366" t="s">
        <v>47304</v>
      </c>
      <c r="O15366" t="s">
        <v>47305</v>
      </c>
      <c r="Q15366">
        <v>7</v>
      </c>
      <c r="R15366" t="s">
        <v>47330</v>
      </c>
      <c r="S15366" t="s">
        <v>48546</v>
      </c>
      <c r="T15366" t="s">
        <v>48995</v>
      </c>
      <c r="U15366" t="s">
        <v>61844</v>
      </c>
      <c r="V15366" t="s">
        <v>64296</v>
      </c>
      <c r="W15366" t="s">
        <v>47180</v>
      </c>
      <c r="X15366" t="s">
        <v>47332</v>
      </c>
    </row>
    <row r="15367" spans="1:24">
      <c r="A15367">
        <f>HYPERLINK("https://www.philgeps.gov.ph/GEPSNONPILOT/Tender/SplashBidNoticeAbstractUI.aspx?menuIndex=3&amp;refID=7147826&amp;Result=3","7147826")</f>
        <v>0</v>
      </c>
      <c r="B15367" t="s">
        <v>3832</v>
      </c>
      <c r="C15367" t="s">
        <v>18418</v>
      </c>
      <c r="D15367" t="s">
        <v>19028</v>
      </c>
      <c r="E15367" t="s">
        <v>32083</v>
      </c>
      <c r="F15367" t="s">
        <v>32606</v>
      </c>
      <c r="G15367" t="s">
        <v>32613</v>
      </c>
      <c r="H15367" t="s">
        <v>32624</v>
      </c>
      <c r="I15367" t="s">
        <v>8682</v>
      </c>
      <c r="J15367" t="s">
        <v>42255</v>
      </c>
      <c r="K15367" t="s">
        <v>42631</v>
      </c>
      <c r="M15367" t="s">
        <v>47180</v>
      </c>
      <c r="N15367" t="s">
        <v>47304</v>
      </c>
      <c r="O15367" t="s">
        <v>47305</v>
      </c>
      <c r="Q15367">
        <v>11</v>
      </c>
      <c r="R15367" t="s">
        <v>47330</v>
      </c>
      <c r="S15367" t="s">
        <v>48547</v>
      </c>
      <c r="T15367" t="s">
        <v>48995</v>
      </c>
      <c r="U15367" t="s">
        <v>61844</v>
      </c>
      <c r="V15367" t="s">
        <v>64299</v>
      </c>
      <c r="W15367" t="s">
        <v>47180</v>
      </c>
      <c r="X15367" t="s">
        <v>47332</v>
      </c>
    </row>
    <row r="15368" spans="1:24">
      <c r="A15368">
        <f>HYPERLINK("https://www.philgeps.gov.ph/GEPSNONPILOT/Tender/SplashBidNoticeAbstractUI.aspx?menuIndex=3&amp;refID=7147781&amp;Result=3","7147781")</f>
        <v>0</v>
      </c>
      <c r="B15368" t="s">
        <v>273</v>
      </c>
      <c r="C15368" t="s">
        <v>18419</v>
      </c>
      <c r="D15368" t="s">
        <v>19037</v>
      </c>
      <c r="E15368" t="s">
        <v>32084</v>
      </c>
      <c r="F15368" t="s">
        <v>32606</v>
      </c>
      <c r="G15368" t="s">
        <v>32613</v>
      </c>
      <c r="H15368" t="s">
        <v>14201</v>
      </c>
      <c r="I15368" t="s">
        <v>32750</v>
      </c>
      <c r="J15368" t="s">
        <v>42256</v>
      </c>
      <c r="K15368" t="s">
        <v>42651</v>
      </c>
      <c r="M15368" t="s">
        <v>43174</v>
      </c>
      <c r="N15368" t="s">
        <v>47304</v>
      </c>
      <c r="O15368" t="s">
        <v>47305</v>
      </c>
      <c r="Q15368">
        <v>21</v>
      </c>
      <c r="R15368" t="s">
        <v>47330</v>
      </c>
      <c r="S15368" t="s">
        <v>48548</v>
      </c>
      <c r="T15368" t="s">
        <v>49107</v>
      </c>
      <c r="U15368" t="s">
        <v>62190</v>
      </c>
      <c r="W15368" t="s">
        <v>43174</v>
      </c>
      <c r="X15368" t="s">
        <v>47332</v>
      </c>
    </row>
    <row r="15369" spans="1:24">
      <c r="A15369">
        <f>HYPERLINK("https://www.philgeps.gov.ph/GEPSNONPILOT/Tender/SplashBidNoticeAbstractUI.aspx?menuIndex=3&amp;refID=7147727&amp;Result=3","7147727")</f>
        <v>0</v>
      </c>
      <c r="B15369" t="s">
        <v>3382</v>
      </c>
      <c r="C15369" t="s">
        <v>18420</v>
      </c>
      <c r="D15369" t="s">
        <v>18991</v>
      </c>
      <c r="E15369" t="s">
        <v>32085</v>
      </c>
      <c r="F15369" t="s">
        <v>32606</v>
      </c>
      <c r="G15369" t="s">
        <v>32618</v>
      </c>
      <c r="H15369" t="s">
        <v>32625</v>
      </c>
      <c r="I15369" t="s">
        <v>32652</v>
      </c>
      <c r="J15369" t="s">
        <v>33263</v>
      </c>
      <c r="K15369" t="s">
        <v>42751</v>
      </c>
      <c r="M15369" t="s">
        <v>46633</v>
      </c>
      <c r="N15369" t="s">
        <v>47304</v>
      </c>
      <c r="O15369" t="s">
        <v>47305</v>
      </c>
      <c r="P15369">
        <v>0</v>
      </c>
      <c r="Q15369">
        <v>1</v>
      </c>
      <c r="R15369" t="s">
        <v>47330</v>
      </c>
      <c r="S15369" t="s">
        <v>48530</v>
      </c>
      <c r="T15369" t="s">
        <v>49071</v>
      </c>
      <c r="U15369" t="s">
        <v>62191</v>
      </c>
      <c r="W15369" t="s">
        <v>46633</v>
      </c>
      <c r="X15369" t="s">
        <v>47332</v>
      </c>
    </row>
    <row r="15370" spans="1:24">
      <c r="A15370">
        <f>HYPERLINK("https://www.philgeps.gov.ph/GEPSNONPILOT/Tender/SplashBidNoticeAbstractUI.aspx?menuIndex=3&amp;refID=7147393&amp;Result=3","7147393")</f>
        <v>0</v>
      </c>
      <c r="B15370" t="s">
        <v>1358</v>
      </c>
      <c r="C15370" t="s">
        <v>18421</v>
      </c>
      <c r="D15370" t="s">
        <v>19013</v>
      </c>
      <c r="E15370" t="s">
        <v>24855</v>
      </c>
      <c r="F15370" t="s">
        <v>32606</v>
      </c>
      <c r="G15370" t="s">
        <v>32613</v>
      </c>
      <c r="H15370" t="s">
        <v>32623</v>
      </c>
      <c r="I15370" t="s">
        <v>17648</v>
      </c>
      <c r="J15370" t="s">
        <v>42257</v>
      </c>
      <c r="K15370" t="s">
        <v>42909</v>
      </c>
      <c r="M15370" t="s">
        <v>47231</v>
      </c>
      <c r="N15370" t="s">
        <v>47304</v>
      </c>
      <c r="O15370" t="s">
        <v>47305</v>
      </c>
      <c r="P15370">
        <v>0</v>
      </c>
      <c r="Q15370">
        <v>6</v>
      </c>
      <c r="R15370" t="s">
        <v>47330</v>
      </c>
      <c r="S15370" t="s">
        <v>48530</v>
      </c>
      <c r="T15370" t="s">
        <v>48980</v>
      </c>
      <c r="U15370" t="s">
        <v>62176</v>
      </c>
      <c r="W15370" t="s">
        <v>47231</v>
      </c>
      <c r="X15370" t="s">
        <v>47332</v>
      </c>
    </row>
    <row r="15371" spans="1:24">
      <c r="A15371">
        <f>HYPERLINK("https://www.philgeps.gov.ph/GEPSNONPILOT/Tender/SplashBidNoticeAbstractUI.aspx?menuIndex=3&amp;refID=7147918&amp;Result=3","7147918")</f>
        <v>0</v>
      </c>
      <c r="B15371" t="s">
        <v>1210</v>
      </c>
      <c r="C15371" t="s">
        <v>18422</v>
      </c>
      <c r="D15371" t="s">
        <v>18988</v>
      </c>
      <c r="E15371" t="s">
        <v>32086</v>
      </c>
      <c r="F15371" t="s">
        <v>32606</v>
      </c>
      <c r="G15371" t="s">
        <v>32613</v>
      </c>
      <c r="H15371" t="s">
        <v>14201</v>
      </c>
      <c r="I15371" t="s">
        <v>6931</v>
      </c>
      <c r="J15371" t="s">
        <v>42258</v>
      </c>
      <c r="K15371" t="s">
        <v>42624</v>
      </c>
      <c r="M15371" t="s">
        <v>44175</v>
      </c>
      <c r="N15371" t="s">
        <v>47304</v>
      </c>
      <c r="O15371" t="s">
        <v>47305</v>
      </c>
      <c r="P15371">
        <v>0</v>
      </c>
      <c r="Q15371">
        <v>1</v>
      </c>
      <c r="R15371" t="s">
        <v>47330</v>
      </c>
      <c r="S15371" t="s">
        <v>48530</v>
      </c>
      <c r="T15371" t="s">
        <v>48980</v>
      </c>
      <c r="U15371" t="s">
        <v>61812</v>
      </c>
      <c r="W15371" t="s">
        <v>44175</v>
      </c>
      <c r="X15371" t="s">
        <v>47332</v>
      </c>
    </row>
    <row r="15372" spans="1:24">
      <c r="A15372">
        <f>HYPERLINK("https://www.philgeps.gov.ph/GEPSNONPILOT/Tender/SplashBidNoticeAbstractUI.aspx?menuIndex=3&amp;refID=7147767&amp;Result=3","7147767")</f>
        <v>0</v>
      </c>
      <c r="B15372" t="s">
        <v>273</v>
      </c>
      <c r="C15372" t="s">
        <v>18423</v>
      </c>
      <c r="D15372" t="s">
        <v>19037</v>
      </c>
      <c r="E15372" t="s">
        <v>32087</v>
      </c>
      <c r="F15372" t="s">
        <v>32606</v>
      </c>
      <c r="G15372" t="s">
        <v>32613</v>
      </c>
      <c r="H15372" t="s">
        <v>32623</v>
      </c>
      <c r="I15372" t="s">
        <v>17648</v>
      </c>
      <c r="J15372" t="s">
        <v>38102</v>
      </c>
      <c r="K15372" t="s">
        <v>42651</v>
      </c>
      <c r="M15372" t="s">
        <v>43174</v>
      </c>
      <c r="N15372" t="s">
        <v>47304</v>
      </c>
      <c r="O15372" t="s">
        <v>47305</v>
      </c>
      <c r="Q15372">
        <v>3</v>
      </c>
      <c r="R15372" t="s">
        <v>47330</v>
      </c>
      <c r="S15372" t="s">
        <v>47850</v>
      </c>
      <c r="T15372" t="s">
        <v>49107</v>
      </c>
      <c r="U15372" t="s">
        <v>62192</v>
      </c>
      <c r="W15372" t="s">
        <v>43174</v>
      </c>
      <c r="X15372" t="s">
        <v>47332</v>
      </c>
    </row>
    <row r="15373" spans="1:24">
      <c r="A15373">
        <f>HYPERLINK("https://www.philgeps.gov.ph/GEPSNONPILOT/Tender/SplashBidNoticeAbstractUI.aspx?menuIndex=3&amp;refID=7147367&amp;Result=3","7147367")</f>
        <v>0</v>
      </c>
      <c r="B15373" t="s">
        <v>2469</v>
      </c>
      <c r="C15373" t="s">
        <v>18424</v>
      </c>
      <c r="D15373" t="s">
        <v>18993</v>
      </c>
      <c r="E15373" t="s">
        <v>32088</v>
      </c>
      <c r="F15373" t="s">
        <v>32606</v>
      </c>
      <c r="G15373" t="s">
        <v>32615</v>
      </c>
      <c r="H15373" t="s">
        <v>14201</v>
      </c>
      <c r="I15373" t="s">
        <v>4120</v>
      </c>
      <c r="J15373" t="s">
        <v>42259</v>
      </c>
      <c r="K15373" t="s">
        <v>42630</v>
      </c>
      <c r="M15373" t="s">
        <v>47236</v>
      </c>
      <c r="N15373" t="s">
        <v>47304</v>
      </c>
      <c r="O15373" t="s">
        <v>47305</v>
      </c>
      <c r="Q15373">
        <v>12</v>
      </c>
      <c r="R15373" t="s">
        <v>47330</v>
      </c>
      <c r="S15373" t="s">
        <v>48549</v>
      </c>
      <c r="T15373" t="s">
        <v>48995</v>
      </c>
      <c r="U15373" t="s">
        <v>62193</v>
      </c>
      <c r="V15373" t="s">
        <v>64346</v>
      </c>
      <c r="W15373" t="s">
        <v>47236</v>
      </c>
      <c r="X15373" t="s">
        <v>47332</v>
      </c>
    </row>
    <row r="15374" spans="1:24">
      <c r="A15374">
        <f>HYPERLINK("https://www.philgeps.gov.ph/GEPSNONPILOT/Tender/SplashBidNoticeAbstractUI.aspx?menuIndex=3&amp;refID=7147358&amp;Result=3","7147358")</f>
        <v>0</v>
      </c>
      <c r="B15374" t="s">
        <v>3425</v>
      </c>
      <c r="C15374" t="s">
        <v>18425</v>
      </c>
      <c r="D15374" t="s">
        <v>19034</v>
      </c>
      <c r="E15374" t="s">
        <v>32089</v>
      </c>
      <c r="F15374" t="s">
        <v>32606</v>
      </c>
      <c r="G15374" t="s">
        <v>32613</v>
      </c>
      <c r="H15374" t="s">
        <v>14201</v>
      </c>
      <c r="I15374" t="s">
        <v>7064</v>
      </c>
      <c r="J15374" t="s">
        <v>32772</v>
      </c>
      <c r="K15374" t="s">
        <v>42630</v>
      </c>
      <c r="M15374" t="s">
        <v>46682</v>
      </c>
      <c r="N15374" t="s">
        <v>47304</v>
      </c>
      <c r="O15374" t="s">
        <v>47305</v>
      </c>
      <c r="P15374">
        <v>0</v>
      </c>
      <c r="Q15374">
        <v>3</v>
      </c>
      <c r="R15374" t="s">
        <v>47330</v>
      </c>
      <c r="S15374" t="s">
        <v>48530</v>
      </c>
      <c r="T15374" t="s">
        <v>49531</v>
      </c>
      <c r="U15374" t="s">
        <v>62194</v>
      </c>
      <c r="W15374" t="s">
        <v>46682</v>
      </c>
      <c r="X15374" t="s">
        <v>47332</v>
      </c>
    </row>
    <row r="15375" spans="1:24">
      <c r="A15375">
        <f>HYPERLINK("https://www.philgeps.gov.ph/GEPSNONPILOT/Tender/SplashBidNoticeAbstractUI.aspx?menuIndex=3&amp;refID=7147325&amp;Result=3","7147325")</f>
        <v>0</v>
      </c>
      <c r="B15375" t="s">
        <v>1358</v>
      </c>
      <c r="C15375" t="s">
        <v>18426</v>
      </c>
      <c r="D15375" t="s">
        <v>19006</v>
      </c>
      <c r="E15375" t="s">
        <v>21451</v>
      </c>
      <c r="F15375" t="s">
        <v>32606</v>
      </c>
      <c r="G15375" t="s">
        <v>32613</v>
      </c>
      <c r="H15375" t="s">
        <v>32623</v>
      </c>
      <c r="I15375" t="s">
        <v>17648</v>
      </c>
      <c r="J15375" t="s">
        <v>42260</v>
      </c>
      <c r="K15375" t="s">
        <v>42823</v>
      </c>
      <c r="M15375" t="s">
        <v>47231</v>
      </c>
      <c r="N15375" t="s">
        <v>47304</v>
      </c>
      <c r="O15375" t="s">
        <v>47305</v>
      </c>
      <c r="Q15375">
        <v>4</v>
      </c>
      <c r="R15375" t="s">
        <v>47330</v>
      </c>
      <c r="S15375" t="s">
        <v>48550</v>
      </c>
      <c r="T15375" t="s">
        <v>48980</v>
      </c>
      <c r="U15375" t="s">
        <v>62176</v>
      </c>
      <c r="W15375" t="s">
        <v>47231</v>
      </c>
      <c r="X15375" t="s">
        <v>47332</v>
      </c>
    </row>
    <row r="15376" spans="1:24">
      <c r="A15376">
        <f>HYPERLINK("https://www.philgeps.gov.ph/GEPSNONPILOT/Tender/SplashBidNoticeAbstractUI.aspx?menuIndex=3&amp;refID=7147296&amp;Result=3","7147296")</f>
        <v>0</v>
      </c>
      <c r="B15376" t="s">
        <v>1358</v>
      </c>
      <c r="C15376" t="s">
        <v>18427</v>
      </c>
      <c r="D15376" t="s">
        <v>19006</v>
      </c>
      <c r="E15376" t="s">
        <v>21423</v>
      </c>
      <c r="F15376" t="s">
        <v>32606</v>
      </c>
      <c r="G15376" t="s">
        <v>32613</v>
      </c>
      <c r="H15376" t="s">
        <v>32623</v>
      </c>
      <c r="I15376" t="s">
        <v>17648</v>
      </c>
      <c r="J15376" t="s">
        <v>42261</v>
      </c>
      <c r="K15376" t="s">
        <v>42823</v>
      </c>
      <c r="M15376" t="s">
        <v>47231</v>
      </c>
      <c r="N15376" t="s">
        <v>47304</v>
      </c>
      <c r="O15376" t="s">
        <v>47305</v>
      </c>
      <c r="P15376">
        <v>0</v>
      </c>
      <c r="Q15376">
        <v>6</v>
      </c>
      <c r="R15376" t="s">
        <v>47330</v>
      </c>
      <c r="S15376" t="s">
        <v>48530</v>
      </c>
      <c r="T15376" t="s">
        <v>48980</v>
      </c>
      <c r="U15376" t="s">
        <v>62176</v>
      </c>
      <c r="W15376" t="s">
        <v>47231</v>
      </c>
      <c r="X15376" t="s">
        <v>47332</v>
      </c>
    </row>
    <row r="15377" spans="1:24">
      <c r="A15377">
        <f>HYPERLINK("https://www.philgeps.gov.ph/GEPSNONPILOT/Tender/SplashBidNoticeAbstractUI.aspx?menuIndex=3&amp;refID=7146054&amp;Result=3","7146054")</f>
        <v>0</v>
      </c>
      <c r="B15377" t="s">
        <v>635</v>
      </c>
      <c r="C15377" t="s">
        <v>18428</v>
      </c>
      <c r="E15377" t="s">
        <v>32090</v>
      </c>
      <c r="F15377" t="s">
        <v>32606</v>
      </c>
      <c r="G15377" t="s">
        <v>32613</v>
      </c>
      <c r="H15377" t="s">
        <v>32623</v>
      </c>
      <c r="I15377" t="s">
        <v>32675</v>
      </c>
      <c r="J15377" t="s">
        <v>42262</v>
      </c>
      <c r="K15377" t="s">
        <v>42624</v>
      </c>
      <c r="M15377" t="s">
        <v>43553</v>
      </c>
      <c r="N15377" t="s">
        <v>47304</v>
      </c>
      <c r="O15377" t="s">
        <v>47305</v>
      </c>
      <c r="Q15377">
        <v>14</v>
      </c>
      <c r="R15377" t="s">
        <v>47330</v>
      </c>
      <c r="S15377" t="s">
        <v>48551</v>
      </c>
      <c r="T15377" t="s">
        <v>49023</v>
      </c>
      <c r="U15377" t="s">
        <v>62195</v>
      </c>
      <c r="W15377" t="s">
        <v>64444</v>
      </c>
      <c r="X15377" t="s">
        <v>47332</v>
      </c>
    </row>
    <row r="15378" spans="1:24">
      <c r="A15378">
        <f>HYPERLINK("https://www.philgeps.gov.ph/GEPSNONPILOT/Tender/SplashBidNoticeAbstractUI.aspx?menuIndex=3&amp;refID=7145921&amp;Result=3","7145921")</f>
        <v>0</v>
      </c>
      <c r="B15378" t="s">
        <v>3678</v>
      </c>
      <c r="C15378" t="s">
        <v>18429</v>
      </c>
      <c r="D15378" t="s">
        <v>19063</v>
      </c>
      <c r="E15378" t="s">
        <v>32091</v>
      </c>
      <c r="F15378" t="s">
        <v>32606</v>
      </c>
      <c r="G15378" t="s">
        <v>32613</v>
      </c>
      <c r="H15378" t="s">
        <v>14201</v>
      </c>
      <c r="I15378" t="s">
        <v>4678</v>
      </c>
      <c r="J15378" t="s">
        <v>42263</v>
      </c>
      <c r="K15378" t="s">
        <v>42622</v>
      </c>
      <c r="M15378" t="s">
        <v>46983</v>
      </c>
      <c r="N15378" t="s">
        <v>47304</v>
      </c>
      <c r="O15378" t="s">
        <v>47305</v>
      </c>
      <c r="P15378">
        <v>0</v>
      </c>
      <c r="Q15378">
        <v>7</v>
      </c>
      <c r="R15378" t="s">
        <v>47330</v>
      </c>
      <c r="S15378" t="s">
        <v>48530</v>
      </c>
      <c r="T15378" t="s">
        <v>49002</v>
      </c>
      <c r="U15378" t="s">
        <v>62196</v>
      </c>
      <c r="W15378" t="s">
        <v>46983</v>
      </c>
      <c r="X15378" t="s">
        <v>47332</v>
      </c>
    </row>
    <row r="15379" spans="1:24">
      <c r="A15379">
        <f>HYPERLINK("https://www.philgeps.gov.ph/GEPSNONPILOT/Tender/SplashBidNoticeAbstractUI.aspx?menuIndex=3&amp;refID=7148411&amp;Result=3","7148411")</f>
        <v>0</v>
      </c>
      <c r="B15379" t="s">
        <v>696</v>
      </c>
      <c r="C15379" t="s">
        <v>18430</v>
      </c>
      <c r="D15379" t="s">
        <v>18993</v>
      </c>
      <c r="E15379" t="s">
        <v>32092</v>
      </c>
      <c r="F15379" t="s">
        <v>32606</v>
      </c>
      <c r="G15379" t="s">
        <v>32617</v>
      </c>
      <c r="H15379" t="s">
        <v>14201</v>
      </c>
      <c r="I15379" t="s">
        <v>4114</v>
      </c>
      <c r="J15379" t="s">
        <v>42264</v>
      </c>
      <c r="K15379" t="s">
        <v>42627</v>
      </c>
      <c r="M15379" t="s">
        <v>45418</v>
      </c>
      <c r="N15379" t="s">
        <v>47304</v>
      </c>
      <c r="O15379" t="s">
        <v>47305</v>
      </c>
      <c r="Q15379">
        <v>6</v>
      </c>
      <c r="R15379" t="s">
        <v>47331</v>
      </c>
      <c r="S15379" t="s">
        <v>47479</v>
      </c>
      <c r="T15379" t="s">
        <v>49017</v>
      </c>
      <c r="U15379" t="s">
        <v>50770</v>
      </c>
      <c r="V15379" t="s">
        <v>63666</v>
      </c>
      <c r="W15379" t="s">
        <v>45418</v>
      </c>
      <c r="X15379" t="s">
        <v>47330</v>
      </c>
    </row>
    <row r="15380" spans="1:24">
      <c r="A15380">
        <f>HYPERLINK("https://www.philgeps.gov.ph/GEPSNONPILOT/Tender/SplashBidNoticeAbstractUI.aspx?menuIndex=3&amp;refID=7148346&amp;Result=3","7148346")</f>
        <v>0</v>
      </c>
      <c r="B15380" t="s">
        <v>3832</v>
      </c>
      <c r="C15380" t="s">
        <v>18431</v>
      </c>
      <c r="D15380" t="s">
        <v>18993</v>
      </c>
      <c r="E15380" t="s">
        <v>32093</v>
      </c>
      <c r="F15380" t="s">
        <v>32606</v>
      </c>
      <c r="G15380" t="s">
        <v>32613</v>
      </c>
      <c r="H15380" t="s">
        <v>32624</v>
      </c>
      <c r="I15380" t="s">
        <v>6993</v>
      </c>
      <c r="J15380" t="s">
        <v>42265</v>
      </c>
      <c r="K15380" t="s">
        <v>42712</v>
      </c>
      <c r="M15380" t="s">
        <v>47180</v>
      </c>
      <c r="N15380" t="s">
        <v>47304</v>
      </c>
      <c r="O15380" t="s">
        <v>47305</v>
      </c>
      <c r="Q15380">
        <v>4</v>
      </c>
      <c r="R15380" t="s">
        <v>47331</v>
      </c>
      <c r="S15380" t="s">
        <v>48552</v>
      </c>
      <c r="T15380" t="s">
        <v>48995</v>
      </c>
      <c r="U15380" t="s">
        <v>61844</v>
      </c>
      <c r="V15380" t="s">
        <v>64298</v>
      </c>
      <c r="W15380" t="s">
        <v>47180</v>
      </c>
      <c r="X15380" t="s">
        <v>47330</v>
      </c>
    </row>
    <row r="15381" spans="1:24">
      <c r="A15381">
        <f>HYPERLINK("https://www.philgeps.gov.ph/GEPSNONPILOT/Tender/SplashBidNoticeAbstractUI.aspx?menuIndex=3&amp;refID=7149183&amp;Result=3","7149183")</f>
        <v>0</v>
      </c>
      <c r="B15381" t="s">
        <v>1119</v>
      </c>
      <c r="C15381" t="s">
        <v>18432</v>
      </c>
      <c r="D15381" t="s">
        <v>19002</v>
      </c>
      <c r="E15381" t="s">
        <v>32094</v>
      </c>
      <c r="F15381" t="s">
        <v>32606</v>
      </c>
      <c r="G15381" t="s">
        <v>32613</v>
      </c>
      <c r="H15381" t="s">
        <v>32623</v>
      </c>
      <c r="I15381" t="s">
        <v>17648</v>
      </c>
      <c r="J15381" t="s">
        <v>33039</v>
      </c>
      <c r="K15381" t="s">
        <v>42712</v>
      </c>
      <c r="M15381" t="s">
        <v>44081</v>
      </c>
      <c r="N15381" t="s">
        <v>47304</v>
      </c>
      <c r="O15381" t="s">
        <v>47305</v>
      </c>
      <c r="P15381">
        <v>0</v>
      </c>
      <c r="Q15381">
        <v>1</v>
      </c>
      <c r="R15381" t="s">
        <v>47329</v>
      </c>
      <c r="S15381" t="s">
        <v>48499</v>
      </c>
      <c r="T15381" t="s">
        <v>49100</v>
      </c>
      <c r="U15381" t="s">
        <v>62197</v>
      </c>
      <c r="W15381" t="s">
        <v>64534</v>
      </c>
      <c r="X15381" t="s">
        <v>64576</v>
      </c>
    </row>
    <row r="15382" spans="1:24">
      <c r="A15382">
        <f>HYPERLINK("https://www.philgeps.gov.ph/GEPSNONPILOT/Tender/SplashBidNoticeAbstractUI.aspx?menuIndex=3&amp;refID=7149179&amp;Result=3","7149179")</f>
        <v>0</v>
      </c>
      <c r="B15382" t="s">
        <v>1119</v>
      </c>
      <c r="C15382" t="s">
        <v>18433</v>
      </c>
      <c r="D15382" t="s">
        <v>19002</v>
      </c>
      <c r="E15382" t="s">
        <v>32095</v>
      </c>
      <c r="F15382" t="s">
        <v>32606</v>
      </c>
      <c r="G15382" t="s">
        <v>32613</v>
      </c>
      <c r="H15382" t="s">
        <v>32623</v>
      </c>
      <c r="I15382" t="s">
        <v>17648</v>
      </c>
      <c r="J15382" t="s">
        <v>34912</v>
      </c>
      <c r="K15382" t="s">
        <v>42712</v>
      </c>
      <c r="M15382" t="s">
        <v>44081</v>
      </c>
      <c r="N15382" t="s">
        <v>47304</v>
      </c>
      <c r="O15382" t="s">
        <v>47305</v>
      </c>
      <c r="P15382">
        <v>0</v>
      </c>
      <c r="Q15382">
        <v>1</v>
      </c>
      <c r="R15382" t="s">
        <v>47329</v>
      </c>
      <c r="S15382" t="s">
        <v>48499</v>
      </c>
      <c r="T15382" t="s">
        <v>49100</v>
      </c>
      <c r="U15382" t="s">
        <v>62198</v>
      </c>
      <c r="W15382" t="s">
        <v>64534</v>
      </c>
      <c r="X15382" t="s">
        <v>64576</v>
      </c>
    </row>
    <row r="15383" spans="1:24">
      <c r="A15383">
        <f>HYPERLINK("https://www.philgeps.gov.ph/GEPSNONPILOT/Tender/SplashBidNoticeAbstractUI.aspx?menuIndex=3&amp;refID=7149172&amp;Result=3","7149172")</f>
        <v>0</v>
      </c>
      <c r="B15383" t="s">
        <v>1119</v>
      </c>
      <c r="C15383" t="s">
        <v>18434</v>
      </c>
      <c r="D15383" t="s">
        <v>19002</v>
      </c>
      <c r="E15383" t="s">
        <v>32096</v>
      </c>
      <c r="F15383" t="s">
        <v>32606</v>
      </c>
      <c r="G15383" t="s">
        <v>32613</v>
      </c>
      <c r="H15383" t="s">
        <v>32623</v>
      </c>
      <c r="I15383" t="s">
        <v>17648</v>
      </c>
      <c r="J15383" t="s">
        <v>33071</v>
      </c>
      <c r="K15383" t="s">
        <v>42634</v>
      </c>
      <c r="M15383" t="s">
        <v>44081</v>
      </c>
      <c r="N15383" t="s">
        <v>47304</v>
      </c>
      <c r="O15383" t="s">
        <v>47305</v>
      </c>
      <c r="P15383">
        <v>0</v>
      </c>
      <c r="Q15383">
        <v>0</v>
      </c>
      <c r="R15383" t="s">
        <v>47329</v>
      </c>
      <c r="S15383" t="s">
        <v>48499</v>
      </c>
      <c r="T15383" t="s">
        <v>49100</v>
      </c>
      <c r="U15383" t="s">
        <v>62199</v>
      </c>
      <c r="W15383" t="s">
        <v>64534</v>
      </c>
      <c r="X15383" t="s">
        <v>64576</v>
      </c>
    </row>
    <row r="15384" spans="1:24">
      <c r="A15384">
        <f>HYPERLINK("https://www.philgeps.gov.ph/GEPSNONPILOT/Tender/SplashBidNoticeAbstractUI.aspx?menuIndex=3&amp;refID=7149169&amp;Result=3","7149169")</f>
        <v>0</v>
      </c>
      <c r="B15384" t="s">
        <v>1119</v>
      </c>
      <c r="C15384" t="s">
        <v>18435</v>
      </c>
      <c r="D15384" t="s">
        <v>19002</v>
      </c>
      <c r="E15384" t="s">
        <v>32097</v>
      </c>
      <c r="F15384" t="s">
        <v>32606</v>
      </c>
      <c r="G15384" t="s">
        <v>32613</v>
      </c>
      <c r="H15384" t="s">
        <v>32623</v>
      </c>
      <c r="I15384" t="s">
        <v>17648</v>
      </c>
      <c r="J15384" t="s">
        <v>42266</v>
      </c>
      <c r="K15384" t="s">
        <v>42744</v>
      </c>
      <c r="M15384" t="s">
        <v>44081</v>
      </c>
      <c r="N15384" t="s">
        <v>47304</v>
      </c>
      <c r="O15384" t="s">
        <v>47305</v>
      </c>
      <c r="P15384">
        <v>0</v>
      </c>
      <c r="Q15384">
        <v>1</v>
      </c>
      <c r="R15384" t="s">
        <v>47329</v>
      </c>
      <c r="S15384" t="s">
        <v>48499</v>
      </c>
      <c r="T15384" t="s">
        <v>49100</v>
      </c>
      <c r="U15384" t="s">
        <v>62200</v>
      </c>
      <c r="W15384" t="s">
        <v>64534</v>
      </c>
      <c r="X15384" t="s">
        <v>64576</v>
      </c>
    </row>
    <row r="15385" spans="1:24">
      <c r="A15385">
        <f>HYPERLINK("https://www.philgeps.gov.ph/GEPSNONPILOT/Tender/SplashBidNoticeAbstractUI.aspx?menuIndex=3&amp;refID=7141575&amp;Result=3","7141575")</f>
        <v>0</v>
      </c>
      <c r="B15385" t="s">
        <v>2893</v>
      </c>
      <c r="C15385" t="s">
        <v>18436</v>
      </c>
      <c r="D15385" t="s">
        <v>18992</v>
      </c>
      <c r="E15385" t="s">
        <v>32098</v>
      </c>
      <c r="F15385" t="s">
        <v>32606</v>
      </c>
      <c r="G15385" t="s">
        <v>32613</v>
      </c>
      <c r="H15385" t="s">
        <v>32623</v>
      </c>
      <c r="I15385" t="s">
        <v>17648</v>
      </c>
      <c r="J15385" t="s">
        <v>32770</v>
      </c>
      <c r="K15385" t="s">
        <v>42631</v>
      </c>
      <c r="M15385" t="s">
        <v>46067</v>
      </c>
      <c r="N15385" t="s">
        <v>47304</v>
      </c>
      <c r="O15385" t="s">
        <v>47305</v>
      </c>
      <c r="P15385">
        <v>0</v>
      </c>
      <c r="Q15385">
        <v>1</v>
      </c>
      <c r="R15385" t="s">
        <v>47332</v>
      </c>
      <c r="S15385" t="s">
        <v>48542</v>
      </c>
      <c r="T15385" t="s">
        <v>49023</v>
      </c>
      <c r="U15385" t="s">
        <v>62201</v>
      </c>
      <c r="W15385" t="s">
        <v>46067</v>
      </c>
      <c r="X15385" t="s">
        <v>47334</v>
      </c>
    </row>
    <row r="15386" spans="1:24">
      <c r="A15386">
        <f>HYPERLINK("https://www.philgeps.gov.ph/GEPSNONPILOT/Tender/SplashBidNoticeAbstractUI.aspx?menuIndex=3&amp;refID=7145908&amp;Result=3","7145908")</f>
        <v>0</v>
      </c>
      <c r="B15386" t="s">
        <v>2509</v>
      </c>
      <c r="C15386" t="s">
        <v>18437</v>
      </c>
      <c r="D15386" t="s">
        <v>19023</v>
      </c>
      <c r="E15386" t="s">
        <v>32099</v>
      </c>
      <c r="F15386" t="s">
        <v>32606</v>
      </c>
      <c r="G15386" t="s">
        <v>32613</v>
      </c>
      <c r="H15386" t="s">
        <v>14201</v>
      </c>
      <c r="I15386" t="s">
        <v>32640</v>
      </c>
      <c r="J15386" t="s">
        <v>42267</v>
      </c>
      <c r="K15386" t="s">
        <v>42631</v>
      </c>
      <c r="M15386" t="s">
        <v>45649</v>
      </c>
      <c r="N15386" t="s">
        <v>47304</v>
      </c>
      <c r="O15386" t="s">
        <v>47305</v>
      </c>
      <c r="Q15386">
        <v>8</v>
      </c>
      <c r="R15386" t="s">
        <v>47330</v>
      </c>
      <c r="S15386" t="s">
        <v>48553</v>
      </c>
      <c r="T15386" t="s">
        <v>48980</v>
      </c>
      <c r="U15386" t="s">
        <v>62202</v>
      </c>
      <c r="V15386" t="s">
        <v>64343</v>
      </c>
      <c r="W15386" t="s">
        <v>45649</v>
      </c>
      <c r="X15386" t="s">
        <v>47332</v>
      </c>
    </row>
    <row r="15387" spans="1:24">
      <c r="A15387">
        <f>HYPERLINK("https://www.philgeps.gov.ph/GEPSNONPILOT/Tender/SplashBidNoticeAbstractUI.aspx?menuIndex=3&amp;refID=7144874&amp;Result=3","7144874")</f>
        <v>0</v>
      </c>
      <c r="B15387" t="s">
        <v>3875</v>
      </c>
      <c r="C15387" t="s">
        <v>18438</v>
      </c>
      <c r="D15387" t="s">
        <v>19000</v>
      </c>
      <c r="E15387" t="s">
        <v>32100</v>
      </c>
      <c r="F15387" t="s">
        <v>32606</v>
      </c>
      <c r="G15387" t="s">
        <v>32613</v>
      </c>
      <c r="H15387" t="s">
        <v>14201</v>
      </c>
      <c r="I15387" t="s">
        <v>32630</v>
      </c>
      <c r="J15387" t="s">
        <v>42268</v>
      </c>
      <c r="K15387" t="s">
        <v>42631</v>
      </c>
      <c r="M15387" t="s">
        <v>47237</v>
      </c>
      <c r="N15387" t="s">
        <v>47304</v>
      </c>
      <c r="O15387" t="s">
        <v>47305</v>
      </c>
      <c r="Q15387">
        <v>6</v>
      </c>
      <c r="R15387" t="s">
        <v>47332</v>
      </c>
      <c r="S15387" t="s">
        <v>48554</v>
      </c>
      <c r="T15387" t="s">
        <v>49020</v>
      </c>
      <c r="U15387" t="s">
        <v>62203</v>
      </c>
      <c r="W15387" t="s">
        <v>64562</v>
      </c>
      <c r="X15387" t="s">
        <v>47333</v>
      </c>
    </row>
    <row r="15388" spans="1:24">
      <c r="A15388">
        <f>HYPERLINK("https://www.philgeps.gov.ph/GEPSNONPILOT/Tender/SplashBidNoticeAbstractUI.aspx?menuIndex=3&amp;refID=7144707&amp;Result=3","7144707")</f>
        <v>0</v>
      </c>
      <c r="B15388" t="s">
        <v>575</v>
      </c>
      <c r="C15388" t="s">
        <v>18439</v>
      </c>
      <c r="D15388" t="s">
        <v>19036</v>
      </c>
      <c r="E15388" t="s">
        <v>32101</v>
      </c>
      <c r="F15388" t="s">
        <v>32606</v>
      </c>
      <c r="G15388" t="s">
        <v>32613</v>
      </c>
      <c r="H15388" t="s">
        <v>14201</v>
      </c>
      <c r="I15388" t="s">
        <v>7064</v>
      </c>
      <c r="J15388" t="s">
        <v>32893</v>
      </c>
      <c r="K15388" t="s">
        <v>42622</v>
      </c>
      <c r="M15388" t="s">
        <v>44035</v>
      </c>
      <c r="N15388" t="s">
        <v>47304</v>
      </c>
      <c r="O15388" t="s">
        <v>47305</v>
      </c>
      <c r="P15388">
        <v>0</v>
      </c>
      <c r="Q15388">
        <v>2</v>
      </c>
      <c r="R15388" t="s">
        <v>47332</v>
      </c>
      <c r="S15388" t="s">
        <v>48542</v>
      </c>
      <c r="T15388" t="s">
        <v>49071</v>
      </c>
      <c r="U15388" t="s">
        <v>62204</v>
      </c>
      <c r="W15388" t="s">
        <v>44035</v>
      </c>
      <c r="X15388" t="s">
        <v>47333</v>
      </c>
    </row>
    <row r="15389" spans="1:24">
      <c r="A15389">
        <f>HYPERLINK("https://www.philgeps.gov.ph/GEPSNONPILOT/Tender/SplashBidNoticeAbstractUI.aspx?menuIndex=3&amp;refID=7144586&amp;Result=3","7144586")</f>
        <v>0</v>
      </c>
      <c r="B15389" t="s">
        <v>467</v>
      </c>
      <c r="C15389" t="s">
        <v>18440</v>
      </c>
      <c r="D15389" t="s">
        <v>19004</v>
      </c>
      <c r="E15389" t="s">
        <v>18440</v>
      </c>
      <c r="F15389" t="s">
        <v>32606</v>
      </c>
      <c r="G15389" t="s">
        <v>32614</v>
      </c>
      <c r="H15389" t="s">
        <v>14201</v>
      </c>
      <c r="I15389" t="s">
        <v>7677</v>
      </c>
      <c r="J15389" t="s">
        <v>33274</v>
      </c>
      <c r="K15389" t="s">
        <v>42624</v>
      </c>
      <c r="M15389" t="s">
        <v>46241</v>
      </c>
      <c r="N15389" t="s">
        <v>47304</v>
      </c>
      <c r="O15389" t="s">
        <v>47305</v>
      </c>
      <c r="Q15389">
        <v>6</v>
      </c>
      <c r="R15389" t="s">
        <v>47332</v>
      </c>
      <c r="S15389" t="s">
        <v>48555</v>
      </c>
      <c r="T15389" t="s">
        <v>49023</v>
      </c>
      <c r="U15389" t="s">
        <v>57745</v>
      </c>
      <c r="W15389" t="s">
        <v>46241</v>
      </c>
      <c r="X15389" t="s">
        <v>47333</v>
      </c>
    </row>
    <row r="15390" spans="1:24">
      <c r="A15390">
        <f>HYPERLINK("https://www.philgeps.gov.ph/GEPSNONPILOT/Tender/SplashBidNoticeAbstractUI.aspx?menuIndex=3&amp;refID=7147370&amp;Result=3","7147370")</f>
        <v>0</v>
      </c>
      <c r="B15390" t="s">
        <v>1358</v>
      </c>
      <c r="C15390" t="s">
        <v>18441</v>
      </c>
      <c r="D15390" t="s">
        <v>19021</v>
      </c>
      <c r="E15390" t="s">
        <v>22775</v>
      </c>
      <c r="F15390" t="s">
        <v>32606</v>
      </c>
      <c r="G15390" t="s">
        <v>32613</v>
      </c>
      <c r="H15390" t="s">
        <v>32623</v>
      </c>
      <c r="I15390" t="s">
        <v>17648</v>
      </c>
      <c r="J15390" t="s">
        <v>42269</v>
      </c>
      <c r="K15390" t="s">
        <v>42907</v>
      </c>
      <c r="M15390" t="s">
        <v>47231</v>
      </c>
      <c r="N15390" t="s">
        <v>47304</v>
      </c>
      <c r="O15390" t="s">
        <v>47305</v>
      </c>
      <c r="P15390">
        <v>0</v>
      </c>
      <c r="Q15390">
        <v>6</v>
      </c>
      <c r="R15390" t="s">
        <v>47330</v>
      </c>
      <c r="S15390" t="s">
        <v>48530</v>
      </c>
      <c r="T15390" t="s">
        <v>48980</v>
      </c>
      <c r="U15390" t="s">
        <v>62176</v>
      </c>
      <c r="W15390" t="s">
        <v>47231</v>
      </c>
      <c r="X15390" t="s">
        <v>47332</v>
      </c>
    </row>
    <row r="15391" spans="1:24">
      <c r="A15391">
        <f>HYPERLINK("https://www.philgeps.gov.ph/GEPSNONPILOT/Tender/SplashBidNoticeAbstractUI.aspx?menuIndex=3&amp;refID=7144422&amp;Result=3","7144422")</f>
        <v>0</v>
      </c>
      <c r="B15391" t="s">
        <v>1346</v>
      </c>
      <c r="C15391" t="s">
        <v>18442</v>
      </c>
      <c r="E15391" t="s">
        <v>32102</v>
      </c>
      <c r="F15391" t="s">
        <v>32606</v>
      </c>
      <c r="G15391" t="s">
        <v>32619</v>
      </c>
      <c r="H15391" t="s">
        <v>14201</v>
      </c>
      <c r="I15391" t="s">
        <v>6007</v>
      </c>
      <c r="J15391" t="s">
        <v>42270</v>
      </c>
      <c r="K15391" t="s">
        <v>42624</v>
      </c>
      <c r="M15391" t="s">
        <v>44320</v>
      </c>
      <c r="N15391" t="s">
        <v>47304</v>
      </c>
      <c r="O15391" t="s">
        <v>47305</v>
      </c>
      <c r="P15391">
        <v>0</v>
      </c>
      <c r="Q15391">
        <v>3</v>
      </c>
      <c r="R15391" t="s">
        <v>47332</v>
      </c>
      <c r="S15391" t="s">
        <v>48542</v>
      </c>
      <c r="T15391" t="s">
        <v>49087</v>
      </c>
      <c r="U15391" t="s">
        <v>62205</v>
      </c>
      <c r="W15391" t="s">
        <v>44320</v>
      </c>
      <c r="X15391" t="s">
        <v>47333</v>
      </c>
    </row>
    <row r="15392" spans="1:24">
      <c r="A15392">
        <f>HYPERLINK("https://www.philgeps.gov.ph/GEPSNONPILOT/Tender/SplashBidNoticeAbstractUI.aspx?menuIndex=3&amp;refID=7144380&amp;Result=3","7144380")</f>
        <v>0</v>
      </c>
      <c r="B15392" t="s">
        <v>2776</v>
      </c>
      <c r="C15392" t="s">
        <v>18443</v>
      </c>
      <c r="D15392" t="s">
        <v>18993</v>
      </c>
      <c r="E15392" t="s">
        <v>32103</v>
      </c>
      <c r="F15392" t="s">
        <v>32606</v>
      </c>
      <c r="G15392" t="s">
        <v>32613</v>
      </c>
      <c r="H15392" t="s">
        <v>14201</v>
      </c>
      <c r="I15392" t="s">
        <v>7064</v>
      </c>
      <c r="J15392" t="s">
        <v>42271</v>
      </c>
      <c r="K15392" t="s">
        <v>42624</v>
      </c>
      <c r="M15392" t="s">
        <v>45938</v>
      </c>
      <c r="N15392" t="s">
        <v>47304</v>
      </c>
      <c r="O15392" t="s">
        <v>47305</v>
      </c>
      <c r="Q15392">
        <v>6</v>
      </c>
      <c r="R15392" t="s">
        <v>47332</v>
      </c>
      <c r="S15392" t="s">
        <v>48556</v>
      </c>
      <c r="T15392" t="s">
        <v>49107</v>
      </c>
      <c r="U15392" t="s">
        <v>62206</v>
      </c>
      <c r="V15392" t="s">
        <v>63572</v>
      </c>
      <c r="W15392" t="s">
        <v>45938</v>
      </c>
      <c r="X15392" t="s">
        <v>47333</v>
      </c>
    </row>
    <row r="15393" spans="1:24">
      <c r="A15393">
        <f>HYPERLINK("https://www.philgeps.gov.ph/GEPSNONPILOT/Tender/SplashBidNoticeAbstractUI.aspx?menuIndex=3&amp;refID=7144195&amp;Result=3","7144195")</f>
        <v>0</v>
      </c>
      <c r="B15393" t="s">
        <v>2776</v>
      </c>
      <c r="C15393" t="s">
        <v>18444</v>
      </c>
      <c r="D15393" t="s">
        <v>18993</v>
      </c>
      <c r="E15393" t="s">
        <v>32104</v>
      </c>
      <c r="F15393" t="s">
        <v>32606</v>
      </c>
      <c r="G15393" t="s">
        <v>32613</v>
      </c>
      <c r="H15393" t="s">
        <v>14201</v>
      </c>
      <c r="I15393" t="s">
        <v>32640</v>
      </c>
      <c r="J15393" t="s">
        <v>42272</v>
      </c>
      <c r="K15393" t="s">
        <v>42624</v>
      </c>
      <c r="M15393" t="s">
        <v>45938</v>
      </c>
      <c r="N15393" t="s">
        <v>47304</v>
      </c>
      <c r="O15393" t="s">
        <v>47305</v>
      </c>
      <c r="Q15393">
        <v>13</v>
      </c>
      <c r="R15393" t="s">
        <v>47332</v>
      </c>
      <c r="S15393" t="s">
        <v>48557</v>
      </c>
      <c r="T15393" t="s">
        <v>49107</v>
      </c>
      <c r="U15393" t="s">
        <v>62207</v>
      </c>
      <c r="V15393" t="s">
        <v>63572</v>
      </c>
      <c r="W15393" t="s">
        <v>45938</v>
      </c>
      <c r="X15393" t="s">
        <v>47333</v>
      </c>
    </row>
    <row r="15394" spans="1:24">
      <c r="A15394">
        <f>HYPERLINK("https://www.philgeps.gov.ph/GEPSNONPILOT/Tender/SplashBidNoticeAbstractUI.aspx?menuIndex=3&amp;refID=7143715&amp;Result=3","7143715")</f>
        <v>0</v>
      </c>
      <c r="B15394" t="s">
        <v>3876</v>
      </c>
      <c r="C15394" t="s">
        <v>18445</v>
      </c>
      <c r="D15394" t="s">
        <v>18993</v>
      </c>
      <c r="E15394" t="s">
        <v>32105</v>
      </c>
      <c r="F15394" t="s">
        <v>32606</v>
      </c>
      <c r="G15394" t="s">
        <v>32613</v>
      </c>
      <c r="H15394" t="s">
        <v>32624</v>
      </c>
      <c r="I15394" t="s">
        <v>32647</v>
      </c>
      <c r="J15394" t="s">
        <v>41316</v>
      </c>
      <c r="K15394" t="s">
        <v>42665</v>
      </c>
      <c r="M15394" t="s">
        <v>47238</v>
      </c>
      <c r="N15394" t="s">
        <v>47304</v>
      </c>
      <c r="O15394" t="s">
        <v>47305</v>
      </c>
      <c r="Q15394">
        <v>1</v>
      </c>
      <c r="R15394" t="s">
        <v>47332</v>
      </c>
      <c r="S15394" t="s">
        <v>48558</v>
      </c>
      <c r="T15394" t="s">
        <v>49053</v>
      </c>
      <c r="U15394" t="s">
        <v>62208</v>
      </c>
      <c r="W15394" t="s">
        <v>47238</v>
      </c>
      <c r="X15394" t="s">
        <v>47333</v>
      </c>
    </row>
    <row r="15395" spans="1:24">
      <c r="A15395">
        <f>HYPERLINK("https://www.philgeps.gov.ph/GEPSNONPILOT/Tender/SplashBidNoticeAbstractUI.aspx?menuIndex=3&amp;refID=7144574&amp;Result=3","7144574")</f>
        <v>0</v>
      </c>
      <c r="B15395" t="s">
        <v>467</v>
      </c>
      <c r="C15395" t="s">
        <v>18446</v>
      </c>
      <c r="D15395" t="s">
        <v>19004</v>
      </c>
      <c r="E15395" t="s">
        <v>18446</v>
      </c>
      <c r="F15395" t="s">
        <v>32606</v>
      </c>
      <c r="G15395" t="s">
        <v>32614</v>
      </c>
      <c r="H15395" t="s">
        <v>14201</v>
      </c>
      <c r="I15395" t="s">
        <v>13131</v>
      </c>
      <c r="J15395" t="s">
        <v>33363</v>
      </c>
      <c r="K15395" t="s">
        <v>42624</v>
      </c>
      <c r="M15395" t="s">
        <v>46241</v>
      </c>
      <c r="N15395" t="s">
        <v>47304</v>
      </c>
      <c r="O15395" t="s">
        <v>47305</v>
      </c>
      <c r="Q15395">
        <v>10</v>
      </c>
      <c r="R15395" t="s">
        <v>47332</v>
      </c>
      <c r="S15395" t="s">
        <v>48559</v>
      </c>
      <c r="T15395" t="s">
        <v>49023</v>
      </c>
      <c r="U15395" t="s">
        <v>57745</v>
      </c>
      <c r="W15395" t="s">
        <v>46241</v>
      </c>
      <c r="X15395" t="s">
        <v>47333</v>
      </c>
    </row>
    <row r="15396" spans="1:24">
      <c r="A15396">
        <f>HYPERLINK("https://www.philgeps.gov.ph/GEPSNONPILOT/Tender/SplashBidNoticeAbstractUI.aspx?menuIndex=3&amp;refID=7143088&amp;Result=3","7143088")</f>
        <v>0</v>
      </c>
      <c r="B15396" t="s">
        <v>3191</v>
      </c>
      <c r="C15396" t="s">
        <v>18447</v>
      </c>
      <c r="D15396" t="s">
        <v>19010</v>
      </c>
      <c r="E15396" t="s">
        <v>20124</v>
      </c>
      <c r="F15396" t="s">
        <v>32606</v>
      </c>
      <c r="G15396" t="s">
        <v>32613</v>
      </c>
      <c r="H15396" t="s">
        <v>32623</v>
      </c>
      <c r="I15396" t="s">
        <v>17648</v>
      </c>
      <c r="J15396" t="s">
        <v>32772</v>
      </c>
      <c r="K15396" t="s">
        <v>42636</v>
      </c>
      <c r="M15396" t="s">
        <v>46416</v>
      </c>
      <c r="N15396" t="s">
        <v>47304</v>
      </c>
      <c r="O15396" t="s">
        <v>47305</v>
      </c>
      <c r="P15396">
        <v>0</v>
      </c>
      <c r="Q15396">
        <v>1</v>
      </c>
      <c r="R15396" t="s">
        <v>47332</v>
      </c>
      <c r="S15396" t="s">
        <v>48542</v>
      </c>
      <c r="T15396" t="s">
        <v>49068</v>
      </c>
      <c r="U15396" t="s">
        <v>62209</v>
      </c>
      <c r="W15396" t="s">
        <v>46416</v>
      </c>
      <c r="X15396" t="s">
        <v>47333</v>
      </c>
    </row>
    <row r="15397" spans="1:24">
      <c r="A15397">
        <f>HYPERLINK("https://www.philgeps.gov.ph/GEPSNONPILOT/Tender/SplashBidNoticeAbstractUI.aspx?menuIndex=3&amp;refID=7148082&amp;Result=3","7148082")</f>
        <v>0</v>
      </c>
      <c r="B15397" t="s">
        <v>212</v>
      </c>
      <c r="C15397" t="s">
        <v>18448</v>
      </c>
      <c r="D15397" t="s">
        <v>19007</v>
      </c>
      <c r="E15397" t="s">
        <v>32106</v>
      </c>
      <c r="F15397" t="s">
        <v>32606</v>
      </c>
      <c r="G15397" t="s">
        <v>32613</v>
      </c>
      <c r="H15397" t="s">
        <v>14201</v>
      </c>
      <c r="I15397" t="s">
        <v>32628</v>
      </c>
      <c r="J15397" t="s">
        <v>42273</v>
      </c>
      <c r="K15397" t="s">
        <v>42626</v>
      </c>
      <c r="M15397" t="s">
        <v>43113</v>
      </c>
      <c r="N15397" t="s">
        <v>47304</v>
      </c>
      <c r="O15397" t="s">
        <v>47305</v>
      </c>
      <c r="Q15397">
        <v>11</v>
      </c>
      <c r="R15397" t="s">
        <v>47330</v>
      </c>
      <c r="S15397" t="s">
        <v>48560</v>
      </c>
      <c r="T15397" t="s">
        <v>49081</v>
      </c>
      <c r="U15397" t="s">
        <v>62210</v>
      </c>
      <c r="W15397" t="s">
        <v>43113</v>
      </c>
      <c r="X15397" t="s">
        <v>47332</v>
      </c>
    </row>
    <row r="15398" spans="1:24">
      <c r="A15398">
        <f>HYPERLINK("https://www.philgeps.gov.ph/GEPSNONPILOT/Tender/SplashBidNoticeAbstractUI.aspx?menuIndex=3&amp;refID=7143034&amp;Result=3","7143034")</f>
        <v>0</v>
      </c>
      <c r="B15398" t="s">
        <v>3191</v>
      </c>
      <c r="C15398" t="s">
        <v>18449</v>
      </c>
      <c r="D15398" t="s">
        <v>19010</v>
      </c>
      <c r="E15398" t="s">
        <v>20349</v>
      </c>
      <c r="F15398" t="s">
        <v>32606</v>
      </c>
      <c r="G15398" t="s">
        <v>32613</v>
      </c>
      <c r="H15398" t="s">
        <v>32623</v>
      </c>
      <c r="I15398" t="s">
        <v>17648</v>
      </c>
      <c r="J15398" t="s">
        <v>32795</v>
      </c>
      <c r="K15398" t="s">
        <v>42636</v>
      </c>
      <c r="M15398" t="s">
        <v>46416</v>
      </c>
      <c r="N15398" t="s">
        <v>47304</v>
      </c>
      <c r="O15398" t="s">
        <v>47305</v>
      </c>
      <c r="P15398">
        <v>0</v>
      </c>
      <c r="Q15398">
        <v>0</v>
      </c>
      <c r="R15398" t="s">
        <v>47332</v>
      </c>
      <c r="S15398" t="s">
        <v>48542</v>
      </c>
      <c r="T15398" t="s">
        <v>49068</v>
      </c>
      <c r="U15398" t="s">
        <v>62211</v>
      </c>
      <c r="W15398" t="s">
        <v>46416</v>
      </c>
      <c r="X15398" t="s">
        <v>47333</v>
      </c>
    </row>
    <row r="15399" spans="1:24">
      <c r="A15399">
        <f>HYPERLINK("https://www.philgeps.gov.ph/GEPSNONPILOT/Tender/SplashBidNoticeAbstractUI.aspx?menuIndex=3&amp;refID=7142785&amp;Result=3","7142785")</f>
        <v>0</v>
      </c>
      <c r="B15399" t="s">
        <v>3821</v>
      </c>
      <c r="C15399" t="s">
        <v>18450</v>
      </c>
      <c r="D15399" t="s">
        <v>19037</v>
      </c>
      <c r="E15399" t="s">
        <v>23191</v>
      </c>
      <c r="F15399" t="s">
        <v>32606</v>
      </c>
      <c r="G15399" t="s">
        <v>32613</v>
      </c>
      <c r="H15399" t="s">
        <v>32623</v>
      </c>
      <c r="I15399" t="s">
        <v>17648</v>
      </c>
      <c r="J15399" t="s">
        <v>33039</v>
      </c>
      <c r="K15399" t="s">
        <v>42712</v>
      </c>
      <c r="M15399" t="s">
        <v>47167</v>
      </c>
      <c r="N15399" t="s">
        <v>47304</v>
      </c>
      <c r="O15399" t="s">
        <v>47305</v>
      </c>
      <c r="Q15399">
        <v>5</v>
      </c>
      <c r="R15399" t="s">
        <v>47332</v>
      </c>
      <c r="S15399" t="s">
        <v>48561</v>
      </c>
      <c r="T15399" t="s">
        <v>49116</v>
      </c>
      <c r="U15399" t="s">
        <v>62212</v>
      </c>
      <c r="V15399" t="s">
        <v>64282</v>
      </c>
      <c r="W15399" t="s">
        <v>47167</v>
      </c>
      <c r="X15399" t="s">
        <v>47333</v>
      </c>
    </row>
    <row r="15400" spans="1:24">
      <c r="A15400">
        <f>HYPERLINK("https://www.philgeps.gov.ph/GEPSNONPILOT/Tender/SplashBidNoticeAbstractUI.aspx?menuIndex=3&amp;refID=7142760&amp;Result=3","7142760")</f>
        <v>0</v>
      </c>
      <c r="B15400" t="s">
        <v>3821</v>
      </c>
      <c r="C15400" t="s">
        <v>18451</v>
      </c>
      <c r="D15400" t="s">
        <v>19037</v>
      </c>
      <c r="E15400" t="s">
        <v>23535</v>
      </c>
      <c r="F15400" t="s">
        <v>32606</v>
      </c>
      <c r="G15400" t="s">
        <v>32613</v>
      </c>
      <c r="H15400" t="s">
        <v>32623</v>
      </c>
      <c r="I15400" t="s">
        <v>17648</v>
      </c>
      <c r="J15400" t="s">
        <v>32796</v>
      </c>
      <c r="K15400" t="s">
        <v>42712</v>
      </c>
      <c r="M15400" t="s">
        <v>47167</v>
      </c>
      <c r="N15400" t="s">
        <v>47304</v>
      </c>
      <c r="O15400" t="s">
        <v>47305</v>
      </c>
      <c r="Q15400">
        <v>5</v>
      </c>
      <c r="R15400" t="s">
        <v>47332</v>
      </c>
      <c r="S15400" t="s">
        <v>48242</v>
      </c>
      <c r="T15400" t="s">
        <v>49116</v>
      </c>
      <c r="U15400" t="s">
        <v>62213</v>
      </c>
      <c r="V15400" t="s">
        <v>64282</v>
      </c>
      <c r="W15400" t="s">
        <v>47167</v>
      </c>
      <c r="X15400" t="s">
        <v>47333</v>
      </c>
    </row>
    <row r="15401" spans="1:24">
      <c r="A15401">
        <f>HYPERLINK("https://www.philgeps.gov.ph/GEPSNONPILOT/Tender/SplashBidNoticeAbstractUI.aspx?menuIndex=3&amp;refID=7144601&amp;Result=3","7144601")</f>
        <v>0</v>
      </c>
      <c r="B15401" t="s">
        <v>467</v>
      </c>
      <c r="C15401" t="s">
        <v>18452</v>
      </c>
      <c r="D15401" t="s">
        <v>19004</v>
      </c>
      <c r="E15401" t="s">
        <v>32107</v>
      </c>
      <c r="F15401" t="s">
        <v>32606</v>
      </c>
      <c r="G15401" t="s">
        <v>32614</v>
      </c>
      <c r="H15401" t="s">
        <v>14201</v>
      </c>
      <c r="I15401" t="s">
        <v>32638</v>
      </c>
      <c r="J15401" t="s">
        <v>42274</v>
      </c>
      <c r="K15401" t="s">
        <v>42624</v>
      </c>
      <c r="M15401" t="s">
        <v>46241</v>
      </c>
      <c r="N15401" t="s">
        <v>47304</v>
      </c>
      <c r="O15401" t="s">
        <v>47305</v>
      </c>
      <c r="Q15401">
        <v>19</v>
      </c>
      <c r="R15401" t="s">
        <v>47332</v>
      </c>
      <c r="S15401" t="s">
        <v>48562</v>
      </c>
      <c r="T15401" t="s">
        <v>49023</v>
      </c>
      <c r="U15401" t="s">
        <v>57745</v>
      </c>
      <c r="W15401" t="s">
        <v>46241</v>
      </c>
      <c r="X15401" t="s">
        <v>47333</v>
      </c>
    </row>
    <row r="15402" spans="1:24">
      <c r="A15402">
        <f>HYPERLINK("https://www.philgeps.gov.ph/GEPSNONPILOT/Tender/SplashBidNoticeAbstractUI.aspx?menuIndex=3&amp;refID=7144970&amp;Result=3","7144970")</f>
        <v>0</v>
      </c>
      <c r="B15402" t="s">
        <v>3877</v>
      </c>
      <c r="C15402" t="s">
        <v>18453</v>
      </c>
      <c r="D15402" t="s">
        <v>19049</v>
      </c>
      <c r="E15402" t="s">
        <v>32108</v>
      </c>
      <c r="F15402" t="s">
        <v>32606</v>
      </c>
      <c r="G15402" t="s">
        <v>32613</v>
      </c>
      <c r="H15402" t="s">
        <v>14201</v>
      </c>
      <c r="I15402" t="s">
        <v>4121</v>
      </c>
      <c r="J15402" t="s">
        <v>42275</v>
      </c>
      <c r="K15402" t="s">
        <v>42636</v>
      </c>
      <c r="M15402" t="s">
        <v>47239</v>
      </c>
      <c r="N15402" t="s">
        <v>47304</v>
      </c>
      <c r="O15402" t="s">
        <v>47305</v>
      </c>
      <c r="Q15402">
        <v>15</v>
      </c>
      <c r="R15402" t="s">
        <v>47332</v>
      </c>
      <c r="S15402" t="s">
        <v>48563</v>
      </c>
      <c r="T15402" t="s">
        <v>49517</v>
      </c>
      <c r="U15402" t="s">
        <v>62214</v>
      </c>
      <c r="W15402" t="s">
        <v>47239</v>
      </c>
      <c r="X15402" t="s">
        <v>47333</v>
      </c>
    </row>
    <row r="15403" spans="1:24">
      <c r="A15403">
        <f>HYPERLINK("https://www.philgeps.gov.ph/GEPSNONPILOT/Tender/SplashBidNoticeAbstractUI.aspx?menuIndex=3&amp;refID=7142729&amp;Result=3","7142729")</f>
        <v>0</v>
      </c>
      <c r="B15403" t="s">
        <v>3821</v>
      </c>
      <c r="C15403" t="s">
        <v>18454</v>
      </c>
      <c r="D15403" t="s">
        <v>19037</v>
      </c>
      <c r="E15403" t="s">
        <v>28370</v>
      </c>
      <c r="F15403" t="s">
        <v>32606</v>
      </c>
      <c r="G15403" t="s">
        <v>32613</v>
      </c>
      <c r="H15403" t="s">
        <v>32623</v>
      </c>
      <c r="I15403" t="s">
        <v>17648</v>
      </c>
      <c r="J15403" t="s">
        <v>34246</v>
      </c>
      <c r="K15403" t="s">
        <v>42712</v>
      </c>
      <c r="M15403" t="s">
        <v>47167</v>
      </c>
      <c r="N15403" t="s">
        <v>47304</v>
      </c>
      <c r="O15403" t="s">
        <v>47305</v>
      </c>
      <c r="Q15403">
        <v>5</v>
      </c>
      <c r="R15403" t="s">
        <v>47332</v>
      </c>
      <c r="S15403" t="s">
        <v>48564</v>
      </c>
      <c r="T15403" t="s">
        <v>49116</v>
      </c>
      <c r="U15403" t="s">
        <v>62215</v>
      </c>
      <c r="V15403" t="s">
        <v>64282</v>
      </c>
      <c r="W15403" t="s">
        <v>47167</v>
      </c>
      <c r="X15403" t="s">
        <v>47333</v>
      </c>
    </row>
    <row r="15404" spans="1:24">
      <c r="A15404">
        <f>HYPERLINK("https://www.philgeps.gov.ph/GEPSNONPILOT/Tender/SplashBidNoticeAbstractUI.aspx?menuIndex=3&amp;refID=7143988&amp;Result=3","7143988")</f>
        <v>0</v>
      </c>
      <c r="B15404" t="s">
        <v>2242</v>
      </c>
      <c r="C15404" t="s">
        <v>18455</v>
      </c>
      <c r="D15404" t="s">
        <v>19008</v>
      </c>
      <c r="E15404" t="s">
        <v>32109</v>
      </c>
      <c r="F15404" t="s">
        <v>32606</v>
      </c>
      <c r="G15404" t="s">
        <v>32614</v>
      </c>
      <c r="H15404" t="s">
        <v>32623</v>
      </c>
      <c r="I15404" t="s">
        <v>17648</v>
      </c>
      <c r="J15404" t="s">
        <v>42276</v>
      </c>
      <c r="K15404" t="s">
        <v>42675</v>
      </c>
      <c r="M15404" t="s">
        <v>47240</v>
      </c>
      <c r="N15404" t="s">
        <v>47304</v>
      </c>
      <c r="O15404" t="s">
        <v>47305</v>
      </c>
      <c r="P15404">
        <v>0</v>
      </c>
      <c r="Q15404">
        <v>3</v>
      </c>
      <c r="R15404" t="s">
        <v>47332</v>
      </c>
      <c r="S15404" t="s">
        <v>48542</v>
      </c>
      <c r="T15404" t="s">
        <v>48988</v>
      </c>
      <c r="U15404" t="s">
        <v>62216</v>
      </c>
      <c r="W15404" t="s">
        <v>47240</v>
      </c>
      <c r="X15404" t="s">
        <v>47333</v>
      </c>
    </row>
    <row r="15405" spans="1:24">
      <c r="A15405">
        <f>HYPERLINK("https://www.philgeps.gov.ph/GEPSNONPILOT/Tender/SplashBidNoticeAbstractUI.aspx?menuIndex=3&amp;refID=7143699&amp;Result=3","7143699")</f>
        <v>0</v>
      </c>
      <c r="B15405" t="s">
        <v>1377</v>
      </c>
      <c r="C15405" t="s">
        <v>18456</v>
      </c>
      <c r="D15405" t="s">
        <v>19061</v>
      </c>
      <c r="E15405" t="s">
        <v>32110</v>
      </c>
      <c r="F15405" t="s">
        <v>32606</v>
      </c>
      <c r="G15405" t="s">
        <v>32613</v>
      </c>
      <c r="H15405" t="s">
        <v>32625</v>
      </c>
      <c r="I15405" t="s">
        <v>32625</v>
      </c>
      <c r="J15405" t="s">
        <v>42277</v>
      </c>
      <c r="K15405" t="s">
        <v>42679</v>
      </c>
      <c r="M15405" t="s">
        <v>47241</v>
      </c>
      <c r="N15405" t="s">
        <v>47304</v>
      </c>
      <c r="O15405" t="s">
        <v>47305</v>
      </c>
      <c r="Q15405">
        <v>12</v>
      </c>
      <c r="R15405" t="s">
        <v>47332</v>
      </c>
      <c r="S15405" t="s">
        <v>48565</v>
      </c>
      <c r="T15405" t="s">
        <v>49134</v>
      </c>
      <c r="U15405" t="s">
        <v>62217</v>
      </c>
      <c r="W15405" t="s">
        <v>47241</v>
      </c>
      <c r="X15405" t="s">
        <v>47333</v>
      </c>
    </row>
    <row r="15406" spans="1:24">
      <c r="A15406">
        <f>HYPERLINK("https://www.philgeps.gov.ph/GEPSNONPILOT/Tender/SplashBidNoticeAbstractUI.aspx?menuIndex=3&amp;refID=7139889&amp;Result=3","7139889")</f>
        <v>0</v>
      </c>
      <c r="B15406" t="s">
        <v>3338</v>
      </c>
      <c r="C15406" t="s">
        <v>18457</v>
      </c>
      <c r="D15406" t="s">
        <v>19010</v>
      </c>
      <c r="E15406" t="s">
        <v>25258</v>
      </c>
      <c r="F15406" t="s">
        <v>32606</v>
      </c>
      <c r="G15406" t="s">
        <v>32614</v>
      </c>
      <c r="H15406" t="s">
        <v>14201</v>
      </c>
      <c r="I15406" t="s">
        <v>6931</v>
      </c>
      <c r="J15406" t="s">
        <v>42278</v>
      </c>
      <c r="K15406" t="s">
        <v>42630</v>
      </c>
      <c r="M15406" t="s">
        <v>46584</v>
      </c>
      <c r="N15406" t="s">
        <v>47304</v>
      </c>
      <c r="O15406" t="s">
        <v>47305</v>
      </c>
      <c r="P15406">
        <v>0</v>
      </c>
      <c r="Q15406">
        <v>2</v>
      </c>
      <c r="R15406" t="s">
        <v>47333</v>
      </c>
      <c r="S15406" t="s">
        <v>48566</v>
      </c>
      <c r="T15406" t="s">
        <v>49015</v>
      </c>
      <c r="U15406" t="s">
        <v>62218</v>
      </c>
      <c r="W15406" t="s">
        <v>46584</v>
      </c>
      <c r="X15406" t="s">
        <v>47334</v>
      </c>
    </row>
    <row r="15407" spans="1:24">
      <c r="A15407">
        <f>HYPERLINK("https://www.philgeps.gov.ph/GEPSNONPILOT/Tender/SplashBidNoticeAbstractUI.aspx?menuIndex=3&amp;refID=7146656&amp;Result=3","7146656")</f>
        <v>0</v>
      </c>
      <c r="B15407" t="s">
        <v>929</v>
      </c>
      <c r="C15407" t="s">
        <v>18458</v>
      </c>
      <c r="D15407" t="s">
        <v>19004</v>
      </c>
      <c r="E15407" t="s">
        <v>32111</v>
      </c>
      <c r="F15407" t="s">
        <v>32606</v>
      </c>
      <c r="G15407" t="s">
        <v>32613</v>
      </c>
      <c r="H15407" t="s">
        <v>14201</v>
      </c>
      <c r="I15407" t="s">
        <v>4678</v>
      </c>
      <c r="J15407" t="s">
        <v>42279</v>
      </c>
      <c r="K15407" t="s">
        <v>42664</v>
      </c>
      <c r="M15407" t="s">
        <v>43869</v>
      </c>
      <c r="N15407" t="s">
        <v>47304</v>
      </c>
      <c r="O15407" t="s">
        <v>47305</v>
      </c>
      <c r="Q15407">
        <v>10</v>
      </c>
      <c r="R15407" t="s">
        <v>47330</v>
      </c>
      <c r="S15407" t="s">
        <v>48567</v>
      </c>
      <c r="T15407" t="s">
        <v>48987</v>
      </c>
      <c r="U15407" t="s">
        <v>62219</v>
      </c>
      <c r="V15407" t="s">
        <v>64347</v>
      </c>
      <c r="W15407" t="s">
        <v>43869</v>
      </c>
      <c r="X15407" t="s">
        <v>47332</v>
      </c>
    </row>
    <row r="15408" spans="1:24">
      <c r="A15408">
        <f>HYPERLINK("https://www.philgeps.gov.ph/GEPSNONPILOT/Tender/SplashBidNoticeAbstractUI.aspx?menuIndex=3&amp;refID=7138504&amp;Result=3","7138504")</f>
        <v>0</v>
      </c>
      <c r="B15408" t="s">
        <v>3878</v>
      </c>
      <c r="C15408" t="s">
        <v>18459</v>
      </c>
      <c r="D15408" t="s">
        <v>19011</v>
      </c>
      <c r="E15408" t="s">
        <v>32112</v>
      </c>
      <c r="F15408" t="s">
        <v>32606</v>
      </c>
      <c r="G15408" t="s">
        <v>32613</v>
      </c>
      <c r="H15408" t="s">
        <v>14201</v>
      </c>
      <c r="I15408" t="s">
        <v>7677</v>
      </c>
      <c r="J15408" t="s">
        <v>42280</v>
      </c>
      <c r="K15408" t="s">
        <v>42622</v>
      </c>
      <c r="M15408" t="s">
        <v>47242</v>
      </c>
      <c r="N15408" t="s">
        <v>47304</v>
      </c>
      <c r="O15408" t="s">
        <v>47305</v>
      </c>
      <c r="Q15408">
        <v>9</v>
      </c>
      <c r="R15408" t="s">
        <v>47333</v>
      </c>
      <c r="S15408" t="s">
        <v>48568</v>
      </c>
      <c r="T15408" t="s">
        <v>49256</v>
      </c>
      <c r="U15408" t="s">
        <v>62220</v>
      </c>
      <c r="W15408" t="s">
        <v>47242</v>
      </c>
      <c r="X15408" t="s">
        <v>47335</v>
      </c>
    </row>
    <row r="15409" spans="1:24">
      <c r="A15409">
        <f>HYPERLINK("https://www.philgeps.gov.ph/GEPSNONPILOT/Tender/SplashBidNoticeAbstractUI.aspx?menuIndex=3&amp;refID=7139737&amp;Result=3","7139737")</f>
        <v>0</v>
      </c>
      <c r="B15409" t="s">
        <v>710</v>
      </c>
      <c r="C15409" t="s">
        <v>18460</v>
      </c>
      <c r="D15409" t="s">
        <v>18993</v>
      </c>
      <c r="E15409" t="s">
        <v>32113</v>
      </c>
      <c r="F15409" t="s">
        <v>32606</v>
      </c>
      <c r="G15409" t="s">
        <v>32613</v>
      </c>
      <c r="H15409" t="s">
        <v>32624</v>
      </c>
      <c r="I15409" t="s">
        <v>7577</v>
      </c>
      <c r="J15409" t="s">
        <v>42281</v>
      </c>
      <c r="K15409" t="s">
        <v>42638</v>
      </c>
      <c r="M15409" t="s">
        <v>47230</v>
      </c>
      <c r="N15409" t="s">
        <v>47304</v>
      </c>
      <c r="O15409" t="s">
        <v>47305</v>
      </c>
      <c r="Q15409">
        <v>14</v>
      </c>
      <c r="R15409" t="s">
        <v>47333</v>
      </c>
      <c r="S15409" t="s">
        <v>48569</v>
      </c>
      <c r="T15409" t="s">
        <v>49305</v>
      </c>
      <c r="U15409" t="s">
        <v>62221</v>
      </c>
      <c r="W15409" t="s">
        <v>47230</v>
      </c>
      <c r="X15409" t="s">
        <v>47334</v>
      </c>
    </row>
    <row r="15410" spans="1:24">
      <c r="A15410">
        <f>HYPERLINK("https://www.philgeps.gov.ph/GEPSNONPILOT/Tender/SplashBidNoticeAbstractUI.aspx?menuIndex=3&amp;refID=7138403&amp;Result=3","7138403")</f>
        <v>0</v>
      </c>
      <c r="B15410" t="s">
        <v>3878</v>
      </c>
      <c r="C15410" t="s">
        <v>18461</v>
      </c>
      <c r="D15410" t="s">
        <v>19011</v>
      </c>
      <c r="E15410" t="s">
        <v>32114</v>
      </c>
      <c r="F15410" t="s">
        <v>32606</v>
      </c>
      <c r="G15410" t="s">
        <v>32613</v>
      </c>
      <c r="H15410" t="s">
        <v>14201</v>
      </c>
      <c r="I15410" t="s">
        <v>7677</v>
      </c>
      <c r="J15410" t="s">
        <v>42282</v>
      </c>
      <c r="K15410" t="s">
        <v>42622</v>
      </c>
      <c r="M15410" t="s">
        <v>47242</v>
      </c>
      <c r="N15410" t="s">
        <v>47304</v>
      </c>
      <c r="O15410" t="s">
        <v>47305</v>
      </c>
      <c r="Q15410">
        <v>12</v>
      </c>
      <c r="R15410" t="s">
        <v>47333</v>
      </c>
      <c r="S15410" t="s">
        <v>48570</v>
      </c>
      <c r="T15410" t="s">
        <v>49256</v>
      </c>
      <c r="U15410" t="s">
        <v>62222</v>
      </c>
      <c r="W15410" t="s">
        <v>47242</v>
      </c>
      <c r="X15410" t="s">
        <v>47335</v>
      </c>
    </row>
    <row r="15411" spans="1:24">
      <c r="A15411">
        <f>HYPERLINK("https://www.philgeps.gov.ph/GEPSNONPILOT/Tender/SplashBidNoticeAbstractUI.aspx?menuIndex=3&amp;refID=7138076&amp;Result=3","7138076")</f>
        <v>0</v>
      </c>
      <c r="B15411" t="s">
        <v>3878</v>
      </c>
      <c r="C15411" t="s">
        <v>18462</v>
      </c>
      <c r="D15411" t="s">
        <v>19011</v>
      </c>
      <c r="E15411" t="s">
        <v>32115</v>
      </c>
      <c r="F15411" t="s">
        <v>32606</v>
      </c>
      <c r="G15411" t="s">
        <v>32613</v>
      </c>
      <c r="H15411" t="s">
        <v>32623</v>
      </c>
      <c r="I15411" t="s">
        <v>17648</v>
      </c>
      <c r="J15411" t="s">
        <v>42283</v>
      </c>
      <c r="K15411" t="s">
        <v>42646</v>
      </c>
      <c r="M15411" t="s">
        <v>47242</v>
      </c>
      <c r="N15411" t="s">
        <v>47304</v>
      </c>
      <c r="O15411" t="s">
        <v>47305</v>
      </c>
      <c r="Q15411">
        <v>0</v>
      </c>
      <c r="R15411" t="s">
        <v>47333</v>
      </c>
      <c r="S15411" t="s">
        <v>48571</v>
      </c>
      <c r="T15411" t="s">
        <v>49256</v>
      </c>
      <c r="U15411" t="s">
        <v>62223</v>
      </c>
      <c r="W15411" t="s">
        <v>47242</v>
      </c>
      <c r="X15411" t="s">
        <v>47335</v>
      </c>
    </row>
    <row r="15412" spans="1:24">
      <c r="A15412">
        <f>HYPERLINK("https://www.philgeps.gov.ph/GEPSNONPILOT/Tender/SplashBidNoticeAbstractUI.aspx?menuIndex=3&amp;refID=7137692&amp;Result=3","7137692")</f>
        <v>0</v>
      </c>
      <c r="B15412" t="s">
        <v>48</v>
      </c>
      <c r="C15412" t="s">
        <v>18463</v>
      </c>
      <c r="D15412" t="s">
        <v>18994</v>
      </c>
      <c r="E15412" t="s">
        <v>32116</v>
      </c>
      <c r="F15412" t="s">
        <v>32606</v>
      </c>
      <c r="G15412" t="s">
        <v>32618</v>
      </c>
      <c r="H15412" t="s">
        <v>32625</v>
      </c>
      <c r="I15412" t="s">
        <v>32625</v>
      </c>
      <c r="J15412" t="s">
        <v>42284</v>
      </c>
      <c r="K15412" t="s">
        <v>42624</v>
      </c>
      <c r="L15412" t="s">
        <v>48</v>
      </c>
      <c r="M15412" t="s">
        <v>42945</v>
      </c>
      <c r="N15412" t="s">
        <v>47304</v>
      </c>
      <c r="O15412" t="s">
        <v>47305</v>
      </c>
      <c r="Q15412">
        <v>4</v>
      </c>
      <c r="R15412" t="s">
        <v>47333</v>
      </c>
      <c r="S15412" t="s">
        <v>48572</v>
      </c>
      <c r="T15412" t="s">
        <v>48987</v>
      </c>
      <c r="U15412" t="s">
        <v>62224</v>
      </c>
      <c r="W15412" t="s">
        <v>42945</v>
      </c>
      <c r="X15412" t="s">
        <v>47335</v>
      </c>
    </row>
    <row r="15413" spans="1:24">
      <c r="A15413">
        <f>HYPERLINK("https://www.philgeps.gov.ph/GEPSNONPILOT/Tender/SplashBidNoticeAbstractUI.aspx?menuIndex=3&amp;refID=7147117&amp;Result=3","7147117")</f>
        <v>0</v>
      </c>
      <c r="B15413" t="s">
        <v>401</v>
      </c>
      <c r="C15413" t="s">
        <v>18464</v>
      </c>
      <c r="D15413" t="s">
        <v>19033</v>
      </c>
      <c r="E15413" t="s">
        <v>32117</v>
      </c>
      <c r="F15413" t="s">
        <v>32606</v>
      </c>
      <c r="G15413" t="s">
        <v>32613</v>
      </c>
      <c r="H15413" t="s">
        <v>14201</v>
      </c>
      <c r="I15413" t="s">
        <v>7677</v>
      </c>
      <c r="J15413" t="s">
        <v>42285</v>
      </c>
      <c r="K15413" t="s">
        <v>42638</v>
      </c>
      <c r="M15413" t="s">
        <v>43304</v>
      </c>
      <c r="N15413" t="s">
        <v>47304</v>
      </c>
      <c r="O15413" t="s">
        <v>47305</v>
      </c>
      <c r="P15413">
        <v>0</v>
      </c>
      <c r="Q15413">
        <v>11</v>
      </c>
      <c r="R15413" t="s">
        <v>47330</v>
      </c>
      <c r="S15413" t="s">
        <v>48530</v>
      </c>
      <c r="T15413" t="s">
        <v>49010</v>
      </c>
      <c r="U15413" t="s">
        <v>62183</v>
      </c>
      <c r="W15413" t="s">
        <v>43304</v>
      </c>
      <c r="X15413" t="s">
        <v>47332</v>
      </c>
    </row>
    <row r="15414" spans="1:24">
      <c r="A15414">
        <f>HYPERLINK("https://www.philgeps.gov.ph/GEPSNONPILOT/Tender/SplashBidNoticeAbstractUI.aspx?menuIndex=3&amp;refID=7137528&amp;Result=3","7137528")</f>
        <v>0</v>
      </c>
      <c r="B15414" t="s">
        <v>48</v>
      </c>
      <c r="C15414" t="s">
        <v>18465</v>
      </c>
      <c r="D15414" t="s">
        <v>19036</v>
      </c>
      <c r="E15414" t="s">
        <v>32118</v>
      </c>
      <c r="F15414" t="s">
        <v>32606</v>
      </c>
      <c r="G15414" t="s">
        <v>32618</v>
      </c>
      <c r="H15414" t="s">
        <v>32625</v>
      </c>
      <c r="I15414" t="s">
        <v>32625</v>
      </c>
      <c r="J15414" t="s">
        <v>42286</v>
      </c>
      <c r="K15414" t="s">
        <v>42624</v>
      </c>
      <c r="L15414" t="s">
        <v>48</v>
      </c>
      <c r="M15414" t="s">
        <v>42945</v>
      </c>
      <c r="N15414" t="s">
        <v>47304</v>
      </c>
      <c r="O15414" t="s">
        <v>47305</v>
      </c>
      <c r="Q15414">
        <v>5</v>
      </c>
      <c r="R15414" t="s">
        <v>47333</v>
      </c>
      <c r="S15414" t="s">
        <v>48238</v>
      </c>
      <c r="T15414" t="s">
        <v>48987</v>
      </c>
      <c r="U15414" t="s">
        <v>62225</v>
      </c>
      <c r="W15414" t="s">
        <v>42945</v>
      </c>
      <c r="X15414" t="s">
        <v>47335</v>
      </c>
    </row>
    <row r="15415" spans="1:24">
      <c r="A15415">
        <f>HYPERLINK("https://www.philgeps.gov.ph/GEPSNONPILOT/Tender/SplashBidNoticeAbstractUI.aspx?menuIndex=3&amp;refID=7137021&amp;Result=3","7137021")</f>
        <v>0</v>
      </c>
      <c r="B15415" t="s">
        <v>3267</v>
      </c>
      <c r="C15415" t="s">
        <v>18466</v>
      </c>
      <c r="D15415" t="s">
        <v>19026</v>
      </c>
      <c r="E15415" t="s">
        <v>32119</v>
      </c>
      <c r="F15415" t="s">
        <v>32606</v>
      </c>
      <c r="G15415" t="s">
        <v>32613</v>
      </c>
      <c r="H15415" t="s">
        <v>32623</v>
      </c>
      <c r="I15415" t="s">
        <v>17648</v>
      </c>
      <c r="J15415" t="s">
        <v>34128</v>
      </c>
      <c r="K15415" t="s">
        <v>42676</v>
      </c>
      <c r="M15415" t="s">
        <v>46501</v>
      </c>
      <c r="N15415" t="s">
        <v>47304</v>
      </c>
      <c r="O15415" t="s">
        <v>47305</v>
      </c>
      <c r="P15415">
        <v>0</v>
      </c>
      <c r="Q15415">
        <v>0</v>
      </c>
      <c r="R15415" t="s">
        <v>47333</v>
      </c>
      <c r="S15415" t="s">
        <v>48566</v>
      </c>
      <c r="T15415" t="s">
        <v>49020</v>
      </c>
      <c r="U15415" t="s">
        <v>62226</v>
      </c>
      <c r="V15415" t="s">
        <v>63055</v>
      </c>
      <c r="W15415" t="s">
        <v>46501</v>
      </c>
      <c r="X15415" t="s">
        <v>47335</v>
      </c>
    </row>
    <row r="15416" spans="1:24">
      <c r="A15416">
        <f>HYPERLINK("https://www.philgeps.gov.ph/GEPSNONPILOT/Tender/SplashBidNoticeAbstractUI.aspx?menuIndex=3&amp;refID=7145006&amp;Result=3","7145006")</f>
        <v>0</v>
      </c>
      <c r="B15416" t="s">
        <v>2788</v>
      </c>
      <c r="C15416" t="s">
        <v>18467</v>
      </c>
      <c r="D15416" t="s">
        <v>18997</v>
      </c>
      <c r="E15416" t="s">
        <v>32120</v>
      </c>
      <c r="F15416" t="s">
        <v>32606</v>
      </c>
      <c r="G15416" t="s">
        <v>32613</v>
      </c>
      <c r="H15416" t="s">
        <v>14201</v>
      </c>
      <c r="I15416" t="s">
        <v>32681</v>
      </c>
      <c r="J15416" t="s">
        <v>33113</v>
      </c>
      <c r="K15416" t="s">
        <v>42624</v>
      </c>
      <c r="M15416" t="s">
        <v>45950</v>
      </c>
      <c r="N15416" t="s">
        <v>47304</v>
      </c>
      <c r="O15416" t="s">
        <v>47305</v>
      </c>
      <c r="Q15416">
        <v>3</v>
      </c>
      <c r="R15416" t="s">
        <v>47332</v>
      </c>
      <c r="S15416" t="s">
        <v>48573</v>
      </c>
      <c r="T15416" t="s">
        <v>49018</v>
      </c>
      <c r="U15416" t="s">
        <v>62227</v>
      </c>
      <c r="W15416" t="s">
        <v>45950</v>
      </c>
      <c r="X15416" t="s">
        <v>47333</v>
      </c>
    </row>
    <row r="15417" spans="1:24">
      <c r="A15417">
        <f>HYPERLINK("https://www.philgeps.gov.ph/GEPSNONPILOT/Tender/SplashBidNoticeAbstractUI.aspx?menuIndex=3&amp;refID=7144989&amp;Result=3","7144989")</f>
        <v>0</v>
      </c>
      <c r="B15417" t="s">
        <v>3877</v>
      </c>
      <c r="C15417" t="s">
        <v>18468</v>
      </c>
      <c r="D15417" t="s">
        <v>19049</v>
      </c>
      <c r="E15417" t="s">
        <v>32121</v>
      </c>
      <c r="F15417" t="s">
        <v>32606</v>
      </c>
      <c r="G15417" t="s">
        <v>32613</v>
      </c>
      <c r="H15417" t="s">
        <v>14201</v>
      </c>
      <c r="I15417" t="s">
        <v>32626</v>
      </c>
      <c r="J15417" t="s">
        <v>34892</v>
      </c>
      <c r="K15417" t="s">
        <v>42639</v>
      </c>
      <c r="M15417" t="s">
        <v>47239</v>
      </c>
      <c r="N15417" t="s">
        <v>47304</v>
      </c>
      <c r="O15417" t="s">
        <v>47305</v>
      </c>
      <c r="Q15417">
        <v>7</v>
      </c>
      <c r="R15417" t="s">
        <v>47332</v>
      </c>
      <c r="S15417" t="s">
        <v>48574</v>
      </c>
      <c r="T15417" t="s">
        <v>49112</v>
      </c>
      <c r="U15417" t="s">
        <v>62228</v>
      </c>
      <c r="W15417" t="s">
        <v>47239</v>
      </c>
      <c r="X15417" t="s">
        <v>47333</v>
      </c>
    </row>
    <row r="15418" spans="1:24">
      <c r="A15418">
        <f>HYPERLINK("https://www.philgeps.gov.ph/GEPSNONPILOT/Tender/SplashBidNoticeAbstractUI.aspx?menuIndex=3&amp;refID=7144988&amp;Result=3","7144988")</f>
        <v>0</v>
      </c>
      <c r="B15418" t="s">
        <v>2788</v>
      </c>
      <c r="C15418" t="s">
        <v>18469</v>
      </c>
      <c r="D15418" t="s">
        <v>18997</v>
      </c>
      <c r="E15418" t="s">
        <v>32122</v>
      </c>
      <c r="F15418" t="s">
        <v>32606</v>
      </c>
      <c r="G15418" t="s">
        <v>32613</v>
      </c>
      <c r="H15418" t="s">
        <v>14201</v>
      </c>
      <c r="I15418" t="s">
        <v>32631</v>
      </c>
      <c r="J15418" t="s">
        <v>42287</v>
      </c>
      <c r="K15418" t="s">
        <v>42624</v>
      </c>
      <c r="M15418" t="s">
        <v>45950</v>
      </c>
      <c r="N15418" t="s">
        <v>47304</v>
      </c>
      <c r="O15418" t="s">
        <v>47305</v>
      </c>
      <c r="Q15418">
        <v>1</v>
      </c>
      <c r="R15418" t="s">
        <v>47332</v>
      </c>
      <c r="S15418" t="s">
        <v>48575</v>
      </c>
      <c r="T15418" t="s">
        <v>49018</v>
      </c>
      <c r="U15418" t="s">
        <v>62227</v>
      </c>
      <c r="W15418" t="s">
        <v>45950</v>
      </c>
      <c r="X15418" t="s">
        <v>47333</v>
      </c>
    </row>
    <row r="15419" spans="1:24">
      <c r="A15419">
        <f>HYPERLINK("https://www.philgeps.gov.ph/GEPSNONPILOT/Tender/SplashBidNoticeAbstractUI.aspx?menuIndex=3&amp;refID=7137971&amp;Result=3","7137971")</f>
        <v>0</v>
      </c>
      <c r="B15419" t="s">
        <v>3878</v>
      </c>
      <c r="C15419" t="s">
        <v>18470</v>
      </c>
      <c r="D15419" t="s">
        <v>19011</v>
      </c>
      <c r="E15419" t="s">
        <v>32123</v>
      </c>
      <c r="F15419" t="s">
        <v>32606</v>
      </c>
      <c r="G15419" t="s">
        <v>32613</v>
      </c>
      <c r="H15419" t="s">
        <v>32623</v>
      </c>
      <c r="I15419" t="s">
        <v>17648</v>
      </c>
      <c r="J15419" t="s">
        <v>42288</v>
      </c>
      <c r="K15419" t="s">
        <v>42676</v>
      </c>
      <c r="M15419" t="s">
        <v>47242</v>
      </c>
      <c r="N15419" t="s">
        <v>47304</v>
      </c>
      <c r="O15419" t="s">
        <v>47305</v>
      </c>
      <c r="Q15419">
        <v>0</v>
      </c>
      <c r="R15419" t="s">
        <v>47333</v>
      </c>
      <c r="S15419" t="s">
        <v>48576</v>
      </c>
      <c r="T15419" t="s">
        <v>49256</v>
      </c>
      <c r="U15419" t="s">
        <v>62229</v>
      </c>
      <c r="W15419" t="s">
        <v>47242</v>
      </c>
      <c r="X15419" t="s">
        <v>47335</v>
      </c>
    </row>
    <row r="15420" spans="1:24">
      <c r="A15420">
        <f>HYPERLINK("https://www.philgeps.gov.ph/GEPSNONPILOT/Tender/SplashBidNoticeAbstractUI.aspx?menuIndex=3&amp;refID=7147245&amp;Result=3","7147245")</f>
        <v>0</v>
      </c>
      <c r="B15420" t="s">
        <v>1358</v>
      </c>
      <c r="C15420" t="s">
        <v>18471</v>
      </c>
      <c r="D15420" t="s">
        <v>19006</v>
      </c>
      <c r="E15420" t="s">
        <v>24603</v>
      </c>
      <c r="F15420" t="s">
        <v>32606</v>
      </c>
      <c r="G15420" t="s">
        <v>32613</v>
      </c>
      <c r="H15420" t="s">
        <v>32623</v>
      </c>
      <c r="I15420" t="s">
        <v>17648</v>
      </c>
      <c r="J15420" t="s">
        <v>42289</v>
      </c>
      <c r="K15420" t="s">
        <v>42910</v>
      </c>
      <c r="M15420" t="s">
        <v>47231</v>
      </c>
      <c r="N15420" t="s">
        <v>47304</v>
      </c>
      <c r="O15420" t="s">
        <v>47305</v>
      </c>
      <c r="P15420">
        <v>0</v>
      </c>
      <c r="Q15420">
        <v>6</v>
      </c>
      <c r="R15420" t="s">
        <v>47330</v>
      </c>
      <c r="S15420" t="s">
        <v>48530</v>
      </c>
      <c r="T15420" t="s">
        <v>48980</v>
      </c>
      <c r="U15420" t="s">
        <v>62176</v>
      </c>
      <c r="W15420" t="s">
        <v>47231</v>
      </c>
      <c r="X15420" t="s">
        <v>47332</v>
      </c>
    </row>
    <row r="15421" spans="1:24">
      <c r="A15421">
        <f>HYPERLINK("https://www.philgeps.gov.ph/GEPSNONPILOT/Tender/SplashBidNoticeAbstractUI.aspx?menuIndex=3&amp;refID=7140323&amp;Result=3","7140323")</f>
        <v>0</v>
      </c>
      <c r="B15421" t="s">
        <v>1421</v>
      </c>
      <c r="C15421" t="s">
        <v>18472</v>
      </c>
      <c r="D15421" t="s">
        <v>18995</v>
      </c>
      <c r="E15421" t="s">
        <v>32124</v>
      </c>
      <c r="F15421" t="s">
        <v>32606</v>
      </c>
      <c r="G15421" t="s">
        <v>32614</v>
      </c>
      <c r="H15421" t="s">
        <v>14201</v>
      </c>
      <c r="I15421" t="s">
        <v>6931</v>
      </c>
      <c r="J15421" t="s">
        <v>42290</v>
      </c>
      <c r="K15421" t="s">
        <v>42624</v>
      </c>
      <c r="M15421" t="s">
        <v>44409</v>
      </c>
      <c r="N15421" t="s">
        <v>47304</v>
      </c>
      <c r="O15421" t="s">
        <v>47305</v>
      </c>
      <c r="P15421">
        <v>0</v>
      </c>
      <c r="Q15421">
        <v>2</v>
      </c>
      <c r="R15421" t="s">
        <v>47333</v>
      </c>
      <c r="S15421" t="s">
        <v>48566</v>
      </c>
      <c r="T15421" t="s">
        <v>48975</v>
      </c>
      <c r="U15421" t="s">
        <v>62230</v>
      </c>
      <c r="W15421" t="s">
        <v>44409</v>
      </c>
      <c r="X15421" t="s">
        <v>47334</v>
      </c>
    </row>
    <row r="15422" spans="1:24">
      <c r="A15422">
        <f>HYPERLINK("https://www.philgeps.gov.ph/GEPSNONPILOT/Tender/SplashBidNoticeAbstractUI.aspx?menuIndex=3&amp;refID=7135844&amp;Result=3","7135844")</f>
        <v>0</v>
      </c>
      <c r="B15422" t="s">
        <v>303</v>
      </c>
      <c r="C15422" t="s">
        <v>18473</v>
      </c>
      <c r="D15422" t="s">
        <v>19039</v>
      </c>
      <c r="E15422" t="s">
        <v>32125</v>
      </c>
      <c r="F15422" t="s">
        <v>32606</v>
      </c>
      <c r="G15422" t="s">
        <v>32613</v>
      </c>
      <c r="H15422" t="s">
        <v>14201</v>
      </c>
      <c r="I15422" t="s">
        <v>6298</v>
      </c>
      <c r="J15422" t="s">
        <v>32923</v>
      </c>
      <c r="K15422" t="s">
        <v>42623</v>
      </c>
      <c r="M15422" t="s">
        <v>43205</v>
      </c>
      <c r="N15422" t="s">
        <v>47304</v>
      </c>
      <c r="O15422" t="s">
        <v>47305</v>
      </c>
      <c r="Q15422">
        <v>5</v>
      </c>
      <c r="R15422" t="s">
        <v>47334</v>
      </c>
      <c r="S15422" t="s">
        <v>48577</v>
      </c>
      <c r="T15422" t="s">
        <v>49268</v>
      </c>
      <c r="U15422" t="s">
        <v>62231</v>
      </c>
      <c r="V15422" t="s">
        <v>64348</v>
      </c>
      <c r="W15422" t="s">
        <v>43205</v>
      </c>
      <c r="X15422" t="s">
        <v>64577</v>
      </c>
    </row>
    <row r="15423" spans="1:24">
      <c r="A15423">
        <f>HYPERLINK("https://www.philgeps.gov.ph/GEPSNONPILOT/Tender/SplashBidNoticeAbstractUI.aspx?menuIndex=3&amp;refID=7142042&amp;Result=3","7142042")</f>
        <v>0</v>
      </c>
      <c r="B15423" t="s">
        <v>2820</v>
      </c>
      <c r="C15423" t="s">
        <v>18474</v>
      </c>
      <c r="D15423" t="s">
        <v>18993</v>
      </c>
      <c r="E15423" t="s">
        <v>32126</v>
      </c>
      <c r="F15423" t="s">
        <v>32606</v>
      </c>
      <c r="G15423" t="s">
        <v>32615</v>
      </c>
      <c r="H15423" t="s">
        <v>14201</v>
      </c>
      <c r="I15423" t="s">
        <v>7677</v>
      </c>
      <c r="J15423" t="s">
        <v>42291</v>
      </c>
      <c r="K15423" t="s">
        <v>42624</v>
      </c>
      <c r="M15423" t="s">
        <v>47243</v>
      </c>
      <c r="N15423" t="s">
        <v>47304</v>
      </c>
      <c r="O15423" t="s">
        <v>47305</v>
      </c>
      <c r="Q15423">
        <v>40</v>
      </c>
      <c r="R15423" t="s">
        <v>47333</v>
      </c>
      <c r="S15423" t="s">
        <v>48578</v>
      </c>
      <c r="T15423" t="s">
        <v>48987</v>
      </c>
      <c r="U15423" t="s">
        <v>62232</v>
      </c>
      <c r="W15423" t="s">
        <v>47243</v>
      </c>
      <c r="X15423" t="s">
        <v>47334</v>
      </c>
    </row>
    <row r="15424" spans="1:24">
      <c r="A15424">
        <f>HYPERLINK("https://www.philgeps.gov.ph/GEPSNONPILOT/Tender/SplashBidNoticeAbstractUI.aspx?menuIndex=3&amp;refID=7135841&amp;Result=3","7135841")</f>
        <v>0</v>
      </c>
      <c r="B15424" t="s">
        <v>303</v>
      </c>
      <c r="C15424" t="s">
        <v>18475</v>
      </c>
      <c r="D15424" t="s">
        <v>19039</v>
      </c>
      <c r="E15424" t="s">
        <v>32127</v>
      </c>
      <c r="F15424" t="s">
        <v>32606</v>
      </c>
      <c r="G15424" t="s">
        <v>32613</v>
      </c>
      <c r="H15424" t="s">
        <v>14201</v>
      </c>
      <c r="I15424" t="s">
        <v>32633</v>
      </c>
      <c r="J15424" t="s">
        <v>42292</v>
      </c>
      <c r="K15424" t="s">
        <v>42623</v>
      </c>
      <c r="M15424" t="s">
        <v>43205</v>
      </c>
      <c r="N15424" t="s">
        <v>47304</v>
      </c>
      <c r="O15424" t="s">
        <v>47305</v>
      </c>
      <c r="Q15424">
        <v>1</v>
      </c>
      <c r="R15424" t="s">
        <v>47334</v>
      </c>
      <c r="S15424" t="s">
        <v>48579</v>
      </c>
      <c r="T15424" t="s">
        <v>49268</v>
      </c>
      <c r="U15424" t="s">
        <v>62233</v>
      </c>
      <c r="V15424" t="s">
        <v>64349</v>
      </c>
      <c r="W15424" t="s">
        <v>43205</v>
      </c>
      <c r="X15424" t="s">
        <v>64577</v>
      </c>
    </row>
    <row r="15425" spans="1:24">
      <c r="A15425">
        <f>HYPERLINK("https://www.philgeps.gov.ph/GEPSNONPILOT/Tender/SplashBidNoticeAbstractUI.aspx?menuIndex=3&amp;refID=7136097&amp;Result=3","7136097")</f>
        <v>0</v>
      </c>
      <c r="B15425" t="s">
        <v>3298</v>
      </c>
      <c r="C15425" t="s">
        <v>18476</v>
      </c>
      <c r="D15425" t="s">
        <v>18993</v>
      </c>
      <c r="E15425" t="s">
        <v>32128</v>
      </c>
      <c r="F15425" t="s">
        <v>32606</v>
      </c>
      <c r="G15425" t="s">
        <v>32613</v>
      </c>
      <c r="H15425" t="s">
        <v>14201</v>
      </c>
      <c r="I15425" t="s">
        <v>7577</v>
      </c>
      <c r="J15425" t="s">
        <v>34198</v>
      </c>
      <c r="K15425" t="s">
        <v>42631</v>
      </c>
      <c r="M15425" t="s">
        <v>46538</v>
      </c>
      <c r="N15425" t="s">
        <v>47304</v>
      </c>
      <c r="O15425" t="s">
        <v>47305</v>
      </c>
      <c r="Q15425">
        <v>9</v>
      </c>
      <c r="R15425" t="s">
        <v>47334</v>
      </c>
      <c r="S15425" t="s">
        <v>47964</v>
      </c>
      <c r="T15425" t="s">
        <v>49065</v>
      </c>
      <c r="U15425" t="s">
        <v>62234</v>
      </c>
      <c r="W15425" t="s">
        <v>46538</v>
      </c>
      <c r="X15425" t="s">
        <v>47335</v>
      </c>
    </row>
    <row r="15426" spans="1:24">
      <c r="A15426">
        <f>HYPERLINK("https://www.philgeps.gov.ph/GEPSNONPILOT/Tender/SplashBidNoticeAbstractUI.aspx?menuIndex=3&amp;refID=7138112&amp;Result=3","7138112")</f>
        <v>0</v>
      </c>
      <c r="B15426" t="s">
        <v>3878</v>
      </c>
      <c r="C15426" t="s">
        <v>18477</v>
      </c>
      <c r="D15426" t="s">
        <v>19011</v>
      </c>
      <c r="E15426" t="s">
        <v>32129</v>
      </c>
      <c r="F15426" t="s">
        <v>32606</v>
      </c>
      <c r="G15426" t="s">
        <v>32613</v>
      </c>
      <c r="H15426" t="s">
        <v>32623</v>
      </c>
      <c r="I15426" t="s">
        <v>17648</v>
      </c>
      <c r="J15426" t="s">
        <v>42293</v>
      </c>
      <c r="K15426" t="s">
        <v>42645</v>
      </c>
      <c r="M15426" t="s">
        <v>47242</v>
      </c>
      <c r="N15426" t="s">
        <v>47304</v>
      </c>
      <c r="O15426" t="s">
        <v>47305</v>
      </c>
      <c r="Q15426">
        <v>0</v>
      </c>
      <c r="R15426" t="s">
        <v>47333</v>
      </c>
      <c r="S15426" t="s">
        <v>48580</v>
      </c>
      <c r="T15426" t="s">
        <v>49256</v>
      </c>
      <c r="U15426" t="s">
        <v>62235</v>
      </c>
      <c r="W15426" t="s">
        <v>47242</v>
      </c>
      <c r="X15426" t="s">
        <v>47335</v>
      </c>
    </row>
    <row r="15427" spans="1:24">
      <c r="A15427">
        <f>HYPERLINK("https://www.philgeps.gov.ph/GEPSNONPILOT/Tender/SplashBidNoticeAbstractUI.aspx?menuIndex=3&amp;refID=7141758&amp;Result=3","7141758")</f>
        <v>0</v>
      </c>
      <c r="B15427" t="s">
        <v>1377</v>
      </c>
      <c r="C15427" t="s">
        <v>18478</v>
      </c>
      <c r="D15427" t="s">
        <v>19061</v>
      </c>
      <c r="E15427" t="s">
        <v>32130</v>
      </c>
      <c r="F15427" t="s">
        <v>32606</v>
      </c>
      <c r="G15427" t="s">
        <v>32613</v>
      </c>
      <c r="H15427" t="s">
        <v>32623</v>
      </c>
      <c r="I15427" t="s">
        <v>17648</v>
      </c>
      <c r="J15427" t="s">
        <v>33337</v>
      </c>
      <c r="K15427" t="s">
        <v>42636</v>
      </c>
      <c r="M15427" t="s">
        <v>46369</v>
      </c>
      <c r="N15427" t="s">
        <v>47304</v>
      </c>
      <c r="O15427" t="s">
        <v>47305</v>
      </c>
      <c r="Q15427">
        <v>7</v>
      </c>
      <c r="R15427" t="s">
        <v>47333</v>
      </c>
      <c r="S15427" t="s">
        <v>47488</v>
      </c>
      <c r="T15427" t="s">
        <v>49081</v>
      </c>
      <c r="U15427" t="s">
        <v>62236</v>
      </c>
      <c r="W15427" t="s">
        <v>64517</v>
      </c>
      <c r="X15427" t="s">
        <v>47334</v>
      </c>
    </row>
    <row r="15428" spans="1:24">
      <c r="A15428">
        <f>HYPERLINK("https://www.philgeps.gov.ph/GEPSNONPILOT/Tender/SplashBidNoticeAbstractUI.aspx?menuIndex=3&amp;refID=7135823&amp;Result=3","7135823")</f>
        <v>0</v>
      </c>
      <c r="B15428" t="s">
        <v>303</v>
      </c>
      <c r="C15428" t="s">
        <v>18479</v>
      </c>
      <c r="D15428" t="s">
        <v>19039</v>
      </c>
      <c r="E15428" t="s">
        <v>32131</v>
      </c>
      <c r="F15428" t="s">
        <v>32606</v>
      </c>
      <c r="G15428" t="s">
        <v>32613</v>
      </c>
      <c r="H15428" t="s">
        <v>14201</v>
      </c>
      <c r="I15428" t="s">
        <v>32681</v>
      </c>
      <c r="J15428" t="s">
        <v>32767</v>
      </c>
      <c r="K15428" t="s">
        <v>42623</v>
      </c>
      <c r="M15428" t="s">
        <v>43205</v>
      </c>
      <c r="N15428" t="s">
        <v>47304</v>
      </c>
      <c r="O15428" t="s">
        <v>47305</v>
      </c>
      <c r="Q15428">
        <v>6</v>
      </c>
      <c r="R15428" t="s">
        <v>47334</v>
      </c>
      <c r="S15428" t="s">
        <v>48581</v>
      </c>
      <c r="T15428" t="s">
        <v>49268</v>
      </c>
      <c r="U15428" t="s">
        <v>62237</v>
      </c>
      <c r="V15428" t="s">
        <v>64350</v>
      </c>
      <c r="W15428" t="s">
        <v>43205</v>
      </c>
      <c r="X15428" t="s">
        <v>64577</v>
      </c>
    </row>
    <row r="15429" spans="1:24">
      <c r="A15429">
        <f>HYPERLINK("https://www.philgeps.gov.ph/GEPSNONPILOT/Tender/SplashBidNoticeAbstractUI.aspx?menuIndex=3&amp;refID=7141734&amp;Result=3","7141734")</f>
        <v>0</v>
      </c>
      <c r="B15429" t="s">
        <v>1278</v>
      </c>
      <c r="C15429" t="s">
        <v>18480</v>
      </c>
      <c r="E15429" t="s">
        <v>32132</v>
      </c>
      <c r="F15429" t="s">
        <v>32606</v>
      </c>
      <c r="G15429" t="s">
        <v>32613</v>
      </c>
      <c r="H15429" t="s">
        <v>14201</v>
      </c>
      <c r="I15429" t="s">
        <v>32640</v>
      </c>
      <c r="J15429" t="s">
        <v>42294</v>
      </c>
      <c r="K15429" t="s">
        <v>42624</v>
      </c>
      <c r="M15429" t="s">
        <v>44248</v>
      </c>
      <c r="N15429" t="s">
        <v>47304</v>
      </c>
      <c r="O15429" t="s">
        <v>47305</v>
      </c>
      <c r="Q15429">
        <v>13</v>
      </c>
      <c r="R15429" t="s">
        <v>47333</v>
      </c>
      <c r="S15429" t="s">
        <v>48582</v>
      </c>
      <c r="T15429" t="s">
        <v>49268</v>
      </c>
      <c r="U15429" t="s">
        <v>62238</v>
      </c>
      <c r="V15429" t="s">
        <v>64351</v>
      </c>
      <c r="W15429" t="s">
        <v>44248</v>
      </c>
      <c r="X15429" t="s">
        <v>47334</v>
      </c>
    </row>
    <row r="15430" spans="1:24">
      <c r="A15430">
        <f>HYPERLINK("https://www.philgeps.gov.ph/GEPSNONPILOT/Tender/SplashBidNoticeAbstractUI.aspx?menuIndex=3&amp;refID=7142007&amp;Result=3","7142007")</f>
        <v>0</v>
      </c>
      <c r="B15430" t="s">
        <v>2820</v>
      </c>
      <c r="C15430" t="s">
        <v>18481</v>
      </c>
      <c r="D15430" t="s">
        <v>18993</v>
      </c>
      <c r="E15430" t="s">
        <v>32133</v>
      </c>
      <c r="F15430" t="s">
        <v>32606</v>
      </c>
      <c r="G15430" t="s">
        <v>32613</v>
      </c>
      <c r="H15430" t="s">
        <v>14201</v>
      </c>
      <c r="I15430" t="s">
        <v>32633</v>
      </c>
      <c r="J15430" t="s">
        <v>42295</v>
      </c>
      <c r="K15430" t="s">
        <v>42624</v>
      </c>
      <c r="M15430" t="s">
        <v>47243</v>
      </c>
      <c r="N15430" t="s">
        <v>47304</v>
      </c>
      <c r="O15430" t="s">
        <v>47305</v>
      </c>
      <c r="Q15430">
        <v>68</v>
      </c>
      <c r="R15430" t="s">
        <v>47333</v>
      </c>
      <c r="S15430" t="s">
        <v>48583</v>
      </c>
      <c r="T15430" t="s">
        <v>48987</v>
      </c>
      <c r="U15430" t="s">
        <v>62232</v>
      </c>
      <c r="W15430" t="s">
        <v>47243</v>
      </c>
      <c r="X15430" t="s">
        <v>47334</v>
      </c>
    </row>
    <row r="15431" spans="1:24">
      <c r="A15431">
        <f>HYPERLINK("https://www.philgeps.gov.ph/GEPSNONPILOT/Tender/SplashBidNoticeAbstractUI.aspx?menuIndex=3&amp;refID=7141430&amp;Result=3","7141430")</f>
        <v>0</v>
      </c>
      <c r="B15431" t="s">
        <v>467</v>
      </c>
      <c r="C15431" t="s">
        <v>18482</v>
      </c>
      <c r="E15431" t="s">
        <v>32134</v>
      </c>
      <c r="F15431" t="s">
        <v>32606</v>
      </c>
      <c r="G15431" t="s">
        <v>32613</v>
      </c>
      <c r="H15431" t="s">
        <v>14201</v>
      </c>
      <c r="I15431" t="s">
        <v>32691</v>
      </c>
      <c r="J15431" t="s">
        <v>42296</v>
      </c>
      <c r="K15431" t="s">
        <v>42624</v>
      </c>
      <c r="M15431" t="s">
        <v>44145</v>
      </c>
      <c r="N15431" t="s">
        <v>47304</v>
      </c>
      <c r="O15431" t="s">
        <v>47305</v>
      </c>
      <c r="Q15431">
        <v>14</v>
      </c>
      <c r="R15431" t="s">
        <v>47333</v>
      </c>
      <c r="S15431" t="s">
        <v>48584</v>
      </c>
      <c r="T15431" t="s">
        <v>49373</v>
      </c>
      <c r="U15431" t="s">
        <v>62239</v>
      </c>
      <c r="W15431" t="s">
        <v>44145</v>
      </c>
      <c r="X15431" t="s">
        <v>47334</v>
      </c>
    </row>
    <row r="15432" spans="1:24">
      <c r="A15432">
        <f>HYPERLINK("https://www.philgeps.gov.ph/GEPSNONPILOT/Tender/SplashBidNoticeAbstractUI.aspx?menuIndex=3&amp;refID=7139406&amp;Result=3","7139406")</f>
        <v>0</v>
      </c>
      <c r="B15432" t="s">
        <v>710</v>
      </c>
      <c r="C15432" t="s">
        <v>18483</v>
      </c>
      <c r="D15432" t="s">
        <v>18993</v>
      </c>
      <c r="E15432" t="s">
        <v>32135</v>
      </c>
      <c r="F15432" t="s">
        <v>32606</v>
      </c>
      <c r="G15432" t="s">
        <v>32613</v>
      </c>
      <c r="H15432" t="s">
        <v>14201</v>
      </c>
      <c r="I15432" t="s">
        <v>6309</v>
      </c>
      <c r="J15432" t="s">
        <v>42297</v>
      </c>
      <c r="K15432" t="s">
        <v>42911</v>
      </c>
      <c r="M15432" t="s">
        <v>47230</v>
      </c>
      <c r="N15432" t="s">
        <v>47304</v>
      </c>
      <c r="O15432" t="s">
        <v>47305</v>
      </c>
      <c r="Q15432">
        <v>7</v>
      </c>
      <c r="R15432" t="s">
        <v>47333</v>
      </c>
      <c r="S15432" t="s">
        <v>48585</v>
      </c>
      <c r="T15432" t="s">
        <v>49305</v>
      </c>
      <c r="U15432" t="s">
        <v>62240</v>
      </c>
      <c r="W15432" t="s">
        <v>47230</v>
      </c>
      <c r="X15432" t="s">
        <v>47334</v>
      </c>
    </row>
    <row r="15433" spans="1:24">
      <c r="A15433">
        <f>HYPERLINK("https://www.philgeps.gov.ph/GEPSNONPILOT/Tender/SplashBidNoticeAbstractUI.aspx?menuIndex=3&amp;refID=7141799&amp;Result=3","7141799")</f>
        <v>0</v>
      </c>
      <c r="B15433" t="s">
        <v>1377</v>
      </c>
      <c r="C15433" t="s">
        <v>18484</v>
      </c>
      <c r="D15433" t="s">
        <v>19061</v>
      </c>
      <c r="E15433" t="s">
        <v>32136</v>
      </c>
      <c r="F15433" t="s">
        <v>32606</v>
      </c>
      <c r="G15433" t="s">
        <v>32613</v>
      </c>
      <c r="H15433" t="s">
        <v>32623</v>
      </c>
      <c r="I15433" t="s">
        <v>17648</v>
      </c>
      <c r="J15433" t="s">
        <v>42298</v>
      </c>
      <c r="K15433" t="s">
        <v>42645</v>
      </c>
      <c r="M15433" t="s">
        <v>46369</v>
      </c>
      <c r="N15433" t="s">
        <v>47304</v>
      </c>
      <c r="O15433" t="s">
        <v>47305</v>
      </c>
      <c r="Q15433">
        <v>8</v>
      </c>
      <c r="R15433" t="s">
        <v>47333</v>
      </c>
      <c r="S15433" t="s">
        <v>48586</v>
      </c>
      <c r="T15433" t="s">
        <v>49081</v>
      </c>
      <c r="U15433" t="s">
        <v>62241</v>
      </c>
      <c r="W15433" t="s">
        <v>64517</v>
      </c>
      <c r="X15433" t="s">
        <v>47334</v>
      </c>
    </row>
    <row r="15434" spans="1:24">
      <c r="A15434">
        <f>HYPERLINK("https://www.philgeps.gov.ph/GEPSNONPILOT/Tender/SplashBidNoticeAbstractUI.aspx?menuIndex=3&amp;refID=7141742&amp;Result=3","7141742")</f>
        <v>0</v>
      </c>
      <c r="B15434" t="s">
        <v>3879</v>
      </c>
      <c r="C15434" t="s">
        <v>18485</v>
      </c>
      <c r="D15434" t="s">
        <v>18993</v>
      </c>
      <c r="E15434" t="s">
        <v>32137</v>
      </c>
      <c r="F15434" t="s">
        <v>32606</v>
      </c>
      <c r="G15434" t="s">
        <v>32613</v>
      </c>
      <c r="H15434" t="s">
        <v>32625</v>
      </c>
      <c r="I15434" t="s">
        <v>32625</v>
      </c>
      <c r="J15434" t="s">
        <v>32830</v>
      </c>
      <c r="K15434" t="s">
        <v>42751</v>
      </c>
      <c r="M15434" t="s">
        <v>47244</v>
      </c>
      <c r="N15434" t="s">
        <v>47304</v>
      </c>
      <c r="O15434" t="s">
        <v>47305</v>
      </c>
      <c r="Q15434">
        <v>5</v>
      </c>
      <c r="R15434" t="s">
        <v>47333</v>
      </c>
      <c r="S15434" t="s">
        <v>48587</v>
      </c>
      <c r="T15434" t="s">
        <v>49067</v>
      </c>
      <c r="U15434" t="s">
        <v>62242</v>
      </c>
      <c r="W15434" t="s">
        <v>47244</v>
      </c>
      <c r="X15434" t="s">
        <v>47334</v>
      </c>
    </row>
    <row r="15435" spans="1:24">
      <c r="A15435">
        <f>HYPERLINK("https://www.philgeps.gov.ph/GEPSNONPILOT/Tender/SplashBidNoticeAbstractUI.aspx?menuIndex=3&amp;refID=7138607&amp;Result=3","7138607")</f>
        <v>0</v>
      </c>
      <c r="B15435" t="s">
        <v>496</v>
      </c>
      <c r="C15435" t="s">
        <v>18486</v>
      </c>
      <c r="D15435" t="s">
        <v>19011</v>
      </c>
      <c r="E15435" t="s">
        <v>32138</v>
      </c>
      <c r="F15435" t="s">
        <v>32606</v>
      </c>
      <c r="G15435" t="s">
        <v>32614</v>
      </c>
      <c r="H15435" t="s">
        <v>14201</v>
      </c>
      <c r="I15435" t="s">
        <v>32654</v>
      </c>
      <c r="J15435" t="s">
        <v>42299</v>
      </c>
      <c r="K15435" t="s">
        <v>42631</v>
      </c>
      <c r="M15435" t="s">
        <v>43409</v>
      </c>
      <c r="N15435" t="s">
        <v>47304</v>
      </c>
      <c r="O15435" t="s">
        <v>47305</v>
      </c>
      <c r="Q15435">
        <v>0</v>
      </c>
      <c r="R15435" t="s">
        <v>47334</v>
      </c>
      <c r="S15435" t="s">
        <v>48588</v>
      </c>
      <c r="T15435" t="s">
        <v>49047</v>
      </c>
      <c r="U15435" t="s">
        <v>62243</v>
      </c>
      <c r="W15435" t="s">
        <v>64438</v>
      </c>
      <c r="X15435" t="s">
        <v>47335</v>
      </c>
    </row>
    <row r="15436" spans="1:24">
      <c r="A15436">
        <f>HYPERLINK("https://www.philgeps.gov.ph/GEPSNONPILOT/Tender/SplashBidNoticeAbstractUI.aspx?menuIndex=3&amp;refID=7138402&amp;Result=3","7138402")</f>
        <v>0</v>
      </c>
      <c r="B15436" t="s">
        <v>56</v>
      </c>
      <c r="C15436" t="s">
        <v>18487</v>
      </c>
      <c r="D15436" t="s">
        <v>19009</v>
      </c>
      <c r="E15436" t="s">
        <v>32139</v>
      </c>
      <c r="F15436" t="s">
        <v>32606</v>
      </c>
      <c r="G15436" t="s">
        <v>32613</v>
      </c>
      <c r="H15436" t="s">
        <v>32623</v>
      </c>
      <c r="I15436" t="s">
        <v>17648</v>
      </c>
      <c r="J15436" t="s">
        <v>42300</v>
      </c>
      <c r="K15436" t="s">
        <v>42646</v>
      </c>
      <c r="M15436" t="s">
        <v>42953</v>
      </c>
      <c r="N15436" t="s">
        <v>47304</v>
      </c>
      <c r="O15436" t="s">
        <v>47305</v>
      </c>
      <c r="Q15436">
        <v>0</v>
      </c>
      <c r="R15436" t="s">
        <v>47334</v>
      </c>
      <c r="S15436" t="s">
        <v>47731</v>
      </c>
      <c r="T15436" t="s">
        <v>48996</v>
      </c>
      <c r="U15436" t="s">
        <v>62244</v>
      </c>
      <c r="W15436" t="s">
        <v>42953</v>
      </c>
      <c r="X15436" t="s">
        <v>47335</v>
      </c>
    </row>
    <row r="15437" spans="1:24">
      <c r="A15437">
        <f>HYPERLINK("https://www.philgeps.gov.ph/GEPSNONPILOT/Tender/SplashBidNoticeAbstractUI.aspx?menuIndex=3&amp;refID=7141447&amp;Result=3","7141447")</f>
        <v>0</v>
      </c>
      <c r="B15437" t="s">
        <v>467</v>
      </c>
      <c r="C15437" t="s">
        <v>18488</v>
      </c>
      <c r="E15437" t="s">
        <v>32140</v>
      </c>
      <c r="F15437" t="s">
        <v>32606</v>
      </c>
      <c r="G15437" t="s">
        <v>32613</v>
      </c>
      <c r="H15437" t="s">
        <v>14201</v>
      </c>
      <c r="I15437" t="s">
        <v>32641</v>
      </c>
      <c r="J15437" t="s">
        <v>42301</v>
      </c>
      <c r="K15437" t="s">
        <v>42624</v>
      </c>
      <c r="M15437" t="s">
        <v>44145</v>
      </c>
      <c r="N15437" t="s">
        <v>47304</v>
      </c>
      <c r="O15437" t="s">
        <v>47305</v>
      </c>
      <c r="Q15437">
        <v>4</v>
      </c>
      <c r="R15437" t="s">
        <v>47333</v>
      </c>
      <c r="S15437" t="s">
        <v>48589</v>
      </c>
      <c r="T15437" t="s">
        <v>49499</v>
      </c>
      <c r="U15437" t="s">
        <v>62245</v>
      </c>
      <c r="W15437" t="s">
        <v>44145</v>
      </c>
      <c r="X15437" t="s">
        <v>47334</v>
      </c>
    </row>
    <row r="15438" spans="1:24">
      <c r="A15438">
        <f>HYPERLINK("https://www.philgeps.gov.ph/GEPSNONPILOT/Tender/SplashBidNoticeAbstractUI.aspx?menuIndex=3&amp;refID=7138171&amp;Result=3","7138171")</f>
        <v>0</v>
      </c>
      <c r="B15438" t="s">
        <v>2539</v>
      </c>
      <c r="C15438" t="s">
        <v>18489</v>
      </c>
      <c r="D15438" t="s">
        <v>18990</v>
      </c>
      <c r="E15438" t="s">
        <v>32141</v>
      </c>
      <c r="F15438" t="s">
        <v>32606</v>
      </c>
      <c r="G15438" t="s">
        <v>32613</v>
      </c>
      <c r="H15438" t="s">
        <v>14201</v>
      </c>
      <c r="I15438" t="s">
        <v>7064</v>
      </c>
      <c r="J15438" t="s">
        <v>36034</v>
      </c>
      <c r="K15438" t="s">
        <v>42631</v>
      </c>
      <c r="M15438" t="s">
        <v>45679</v>
      </c>
      <c r="N15438" t="s">
        <v>47304</v>
      </c>
      <c r="O15438" t="s">
        <v>47305</v>
      </c>
      <c r="Q15438">
        <v>6</v>
      </c>
      <c r="R15438" t="s">
        <v>47334</v>
      </c>
      <c r="S15438" t="s">
        <v>48590</v>
      </c>
      <c r="T15438" t="s">
        <v>49081</v>
      </c>
      <c r="U15438" t="s">
        <v>62246</v>
      </c>
      <c r="W15438" t="s">
        <v>45679</v>
      </c>
      <c r="X15438" t="s">
        <v>47335</v>
      </c>
    </row>
    <row r="15439" spans="1:24">
      <c r="A15439">
        <f>HYPERLINK("https://www.philgeps.gov.ph/GEPSNONPILOT/Tender/SplashBidNoticeAbstractUI.aspx?menuIndex=3&amp;refID=7138465&amp;Result=3","7138465")</f>
        <v>0</v>
      </c>
      <c r="B15439" t="s">
        <v>2893</v>
      </c>
      <c r="C15439" t="s">
        <v>18490</v>
      </c>
      <c r="D15439" t="s">
        <v>18992</v>
      </c>
      <c r="E15439" t="s">
        <v>32142</v>
      </c>
      <c r="F15439" t="s">
        <v>32606</v>
      </c>
      <c r="G15439" t="s">
        <v>32613</v>
      </c>
      <c r="H15439" t="s">
        <v>14201</v>
      </c>
      <c r="I15439" t="s">
        <v>32681</v>
      </c>
      <c r="J15439" t="s">
        <v>42302</v>
      </c>
      <c r="K15439" t="s">
        <v>42631</v>
      </c>
      <c r="M15439" t="s">
        <v>46067</v>
      </c>
      <c r="N15439" t="s">
        <v>47304</v>
      </c>
      <c r="O15439" t="s">
        <v>47305</v>
      </c>
      <c r="P15439">
        <v>0</v>
      </c>
      <c r="Q15439">
        <v>3</v>
      </c>
      <c r="R15439" t="s">
        <v>47334</v>
      </c>
      <c r="S15439" t="s">
        <v>48591</v>
      </c>
      <c r="T15439" t="s">
        <v>49223</v>
      </c>
      <c r="U15439" t="s">
        <v>62247</v>
      </c>
      <c r="W15439" t="s">
        <v>46067</v>
      </c>
      <c r="X15439" t="s">
        <v>47335</v>
      </c>
    </row>
    <row r="15440" spans="1:24">
      <c r="A15440">
        <f>HYPERLINK("https://www.philgeps.gov.ph/GEPSNONPILOT/Tender/SplashBidNoticeAbstractUI.aspx?menuIndex=3&amp;refID=7138012&amp;Result=3","7138012")</f>
        <v>0</v>
      </c>
      <c r="B15440" t="s">
        <v>1032</v>
      </c>
      <c r="C15440" t="s">
        <v>18491</v>
      </c>
      <c r="D15440" t="s">
        <v>18993</v>
      </c>
      <c r="E15440" t="s">
        <v>32143</v>
      </c>
      <c r="F15440" t="s">
        <v>32606</v>
      </c>
      <c r="G15440" t="s">
        <v>32613</v>
      </c>
      <c r="H15440" t="s">
        <v>14201</v>
      </c>
      <c r="I15440" t="s">
        <v>32652</v>
      </c>
      <c r="J15440" t="s">
        <v>42303</v>
      </c>
      <c r="K15440" t="s">
        <v>42648</v>
      </c>
      <c r="M15440" t="s">
        <v>46829</v>
      </c>
      <c r="N15440" t="s">
        <v>47304</v>
      </c>
      <c r="O15440" t="s">
        <v>47305</v>
      </c>
      <c r="Q15440">
        <v>3</v>
      </c>
      <c r="R15440" t="s">
        <v>47334</v>
      </c>
      <c r="S15440" t="s">
        <v>48592</v>
      </c>
      <c r="T15440" t="s">
        <v>48973</v>
      </c>
      <c r="U15440" t="s">
        <v>60091</v>
      </c>
      <c r="W15440" t="s">
        <v>46829</v>
      </c>
      <c r="X15440" t="s">
        <v>47335</v>
      </c>
    </row>
    <row r="15441" spans="1:24">
      <c r="A15441">
        <f>HYPERLINK("https://www.philgeps.gov.ph/GEPSNONPILOT/Tender/SplashBidNoticeAbstractUI.aspx?menuIndex=3&amp;refID=7137935&amp;Result=3","7137935")</f>
        <v>0</v>
      </c>
      <c r="B15441" t="s">
        <v>362</v>
      </c>
      <c r="C15441" t="s">
        <v>7741</v>
      </c>
      <c r="D15441" t="s">
        <v>19023</v>
      </c>
      <c r="E15441" t="s">
        <v>32144</v>
      </c>
      <c r="F15441" t="s">
        <v>32606</v>
      </c>
      <c r="G15441" t="s">
        <v>32613</v>
      </c>
      <c r="H15441" t="s">
        <v>14201</v>
      </c>
      <c r="I15441" t="s">
        <v>7064</v>
      </c>
      <c r="J15441" t="s">
        <v>36711</v>
      </c>
      <c r="K15441" t="s">
        <v>42631</v>
      </c>
      <c r="M15441" t="s">
        <v>43264</v>
      </c>
      <c r="N15441" t="s">
        <v>47304</v>
      </c>
      <c r="O15441" t="s">
        <v>47305</v>
      </c>
      <c r="Q15441">
        <v>2</v>
      </c>
      <c r="R15441" t="s">
        <v>47334</v>
      </c>
      <c r="S15441" t="s">
        <v>48593</v>
      </c>
      <c r="T15441" t="s">
        <v>49347</v>
      </c>
      <c r="U15441" t="s">
        <v>58248</v>
      </c>
      <c r="V15441" t="s">
        <v>64352</v>
      </c>
      <c r="W15441" t="s">
        <v>43264</v>
      </c>
      <c r="X15441" t="s">
        <v>47335</v>
      </c>
    </row>
    <row r="15442" spans="1:24">
      <c r="A15442">
        <f>HYPERLINK("https://www.philgeps.gov.ph/GEPSNONPILOT/Tender/SplashBidNoticeAbstractUI.aspx?menuIndex=3&amp;refID=7137612&amp;Result=3","7137612")</f>
        <v>0</v>
      </c>
      <c r="B15442" t="s">
        <v>48</v>
      </c>
      <c r="C15442" t="s">
        <v>18492</v>
      </c>
      <c r="D15442" t="s">
        <v>19003</v>
      </c>
      <c r="E15442" t="s">
        <v>32145</v>
      </c>
      <c r="F15442" t="s">
        <v>32606</v>
      </c>
      <c r="G15442" t="s">
        <v>32618</v>
      </c>
      <c r="H15442" t="s">
        <v>32625</v>
      </c>
      <c r="I15442" t="s">
        <v>32625</v>
      </c>
      <c r="J15442" t="s">
        <v>42304</v>
      </c>
      <c r="K15442" t="s">
        <v>42624</v>
      </c>
      <c r="L15442" t="s">
        <v>48</v>
      </c>
      <c r="M15442" t="s">
        <v>42945</v>
      </c>
      <c r="N15442" t="s">
        <v>47304</v>
      </c>
      <c r="O15442" t="s">
        <v>47305</v>
      </c>
      <c r="Q15442">
        <v>5</v>
      </c>
      <c r="R15442" t="s">
        <v>47334</v>
      </c>
      <c r="S15442" t="s">
        <v>48594</v>
      </c>
      <c r="T15442" t="s">
        <v>48987</v>
      </c>
      <c r="U15442" t="s">
        <v>62248</v>
      </c>
      <c r="W15442" t="s">
        <v>42945</v>
      </c>
      <c r="X15442" t="s">
        <v>47335</v>
      </c>
    </row>
    <row r="15443" spans="1:24">
      <c r="A15443">
        <f>HYPERLINK("https://www.philgeps.gov.ph/GEPSNONPILOT/Tender/SplashBidNoticeAbstractUI.aspx?menuIndex=3&amp;refID=7137573&amp;Result=3","7137573")</f>
        <v>0</v>
      </c>
      <c r="B15443" t="s">
        <v>48</v>
      </c>
      <c r="C15443" t="s">
        <v>18493</v>
      </c>
      <c r="D15443" t="s">
        <v>18994</v>
      </c>
      <c r="E15443" t="s">
        <v>32146</v>
      </c>
      <c r="F15443" t="s">
        <v>32606</v>
      </c>
      <c r="G15443" t="s">
        <v>32618</v>
      </c>
      <c r="H15443" t="s">
        <v>32625</v>
      </c>
      <c r="I15443" t="s">
        <v>32625</v>
      </c>
      <c r="J15443" t="s">
        <v>42305</v>
      </c>
      <c r="K15443" t="s">
        <v>42624</v>
      </c>
      <c r="L15443" t="s">
        <v>48</v>
      </c>
      <c r="M15443" t="s">
        <v>42945</v>
      </c>
      <c r="N15443" t="s">
        <v>47304</v>
      </c>
      <c r="O15443" t="s">
        <v>47305</v>
      </c>
      <c r="Q15443">
        <v>6</v>
      </c>
      <c r="R15443" t="s">
        <v>47334</v>
      </c>
      <c r="S15443" t="s">
        <v>48595</v>
      </c>
      <c r="T15443" t="s">
        <v>48987</v>
      </c>
      <c r="U15443" t="s">
        <v>62249</v>
      </c>
      <c r="W15443" t="s">
        <v>42945</v>
      </c>
      <c r="X15443" t="s">
        <v>47335</v>
      </c>
    </row>
    <row r="15444" spans="1:24">
      <c r="A15444">
        <f>HYPERLINK("https://www.philgeps.gov.ph/GEPSNONPILOT/Tender/SplashBidNoticeAbstractUI.aspx?menuIndex=3&amp;refID=7137533&amp;Result=3","7137533")</f>
        <v>0</v>
      </c>
      <c r="B15444" t="s">
        <v>362</v>
      </c>
      <c r="C15444" t="s">
        <v>18494</v>
      </c>
      <c r="D15444" t="s">
        <v>19023</v>
      </c>
      <c r="E15444" t="s">
        <v>32147</v>
      </c>
      <c r="F15444" t="s">
        <v>32606</v>
      </c>
      <c r="G15444" t="s">
        <v>32613</v>
      </c>
      <c r="H15444" t="s">
        <v>14201</v>
      </c>
      <c r="I15444" t="s">
        <v>6298</v>
      </c>
      <c r="J15444" t="s">
        <v>42306</v>
      </c>
      <c r="K15444" t="s">
        <v>42630</v>
      </c>
      <c r="M15444" t="s">
        <v>43264</v>
      </c>
      <c r="N15444" t="s">
        <v>47304</v>
      </c>
      <c r="O15444" t="s">
        <v>47305</v>
      </c>
      <c r="Q15444">
        <v>3</v>
      </c>
      <c r="R15444" t="s">
        <v>47334</v>
      </c>
      <c r="S15444" t="s">
        <v>48596</v>
      </c>
      <c r="T15444" t="s">
        <v>49347</v>
      </c>
      <c r="U15444" t="s">
        <v>53681</v>
      </c>
      <c r="V15444" t="s">
        <v>64353</v>
      </c>
      <c r="W15444" t="s">
        <v>43264</v>
      </c>
      <c r="X15444" t="s">
        <v>47335</v>
      </c>
    </row>
    <row r="15445" spans="1:24">
      <c r="A15445">
        <f>HYPERLINK("https://www.philgeps.gov.ph/GEPSNONPILOT/Tender/SplashBidNoticeAbstractUI.aspx?menuIndex=3&amp;refID=7138394&amp;Result=3","7138394")</f>
        <v>0</v>
      </c>
      <c r="B15445" t="s">
        <v>2893</v>
      </c>
      <c r="C15445" t="s">
        <v>18495</v>
      </c>
      <c r="D15445" t="s">
        <v>18992</v>
      </c>
      <c r="E15445" t="s">
        <v>32148</v>
      </c>
      <c r="F15445" t="s">
        <v>32606</v>
      </c>
      <c r="G15445" t="s">
        <v>32613</v>
      </c>
      <c r="H15445" t="s">
        <v>32623</v>
      </c>
      <c r="I15445" t="s">
        <v>32641</v>
      </c>
      <c r="J15445" t="s">
        <v>42307</v>
      </c>
      <c r="K15445" t="s">
        <v>42636</v>
      </c>
      <c r="M15445" t="s">
        <v>46067</v>
      </c>
      <c r="N15445" t="s">
        <v>47304</v>
      </c>
      <c r="O15445" t="s">
        <v>47305</v>
      </c>
      <c r="P15445">
        <v>0</v>
      </c>
      <c r="Q15445">
        <v>4</v>
      </c>
      <c r="R15445" t="s">
        <v>47334</v>
      </c>
      <c r="S15445" t="s">
        <v>48591</v>
      </c>
      <c r="T15445" t="s">
        <v>49103</v>
      </c>
      <c r="U15445" t="s">
        <v>62250</v>
      </c>
      <c r="W15445" t="s">
        <v>46067</v>
      </c>
      <c r="X15445" t="s">
        <v>47335</v>
      </c>
    </row>
    <row r="15446" spans="1:24">
      <c r="A15446">
        <f>HYPERLINK("https://www.philgeps.gov.ph/GEPSNONPILOT/Tender/SplashBidNoticeAbstractUI.aspx?menuIndex=3&amp;refID=7136931&amp;Result=3","7136931")</f>
        <v>0</v>
      </c>
      <c r="B15446" t="s">
        <v>1699</v>
      </c>
      <c r="C15446" t="s">
        <v>18496</v>
      </c>
      <c r="D15446" t="s">
        <v>19017</v>
      </c>
      <c r="E15446" t="s">
        <v>32149</v>
      </c>
      <c r="F15446" t="s">
        <v>32606</v>
      </c>
      <c r="G15446" t="s">
        <v>32613</v>
      </c>
      <c r="H15446" t="s">
        <v>14201</v>
      </c>
      <c r="I15446" t="s">
        <v>6298</v>
      </c>
      <c r="J15446" t="s">
        <v>32767</v>
      </c>
      <c r="K15446" t="s">
        <v>42631</v>
      </c>
      <c r="M15446" t="s">
        <v>44728</v>
      </c>
      <c r="N15446" t="s">
        <v>47304</v>
      </c>
      <c r="O15446" t="s">
        <v>47305</v>
      </c>
      <c r="P15446">
        <v>0</v>
      </c>
      <c r="Q15446">
        <v>4</v>
      </c>
      <c r="R15446" t="s">
        <v>47334</v>
      </c>
      <c r="S15446" t="s">
        <v>48591</v>
      </c>
      <c r="T15446" t="s">
        <v>49347</v>
      </c>
      <c r="U15446" t="s">
        <v>62251</v>
      </c>
      <c r="W15446" t="s">
        <v>44728</v>
      </c>
      <c r="X15446" t="s">
        <v>47335</v>
      </c>
    </row>
    <row r="15447" spans="1:24">
      <c r="A15447">
        <f>HYPERLINK("https://www.philgeps.gov.ph/GEPSNONPILOT/Tender/SplashBidNoticeAbstractUI.aspx?menuIndex=3&amp;refID=7024682&amp;Result=3","7024682")</f>
        <v>0</v>
      </c>
      <c r="B15447" t="s">
        <v>3880</v>
      </c>
      <c r="C15447" t="s">
        <v>9657</v>
      </c>
      <c r="D15447" t="s">
        <v>19063</v>
      </c>
      <c r="E15447" t="s">
        <v>25726</v>
      </c>
      <c r="F15447" t="s">
        <v>32606</v>
      </c>
      <c r="G15447" t="s">
        <v>32618</v>
      </c>
      <c r="H15447" t="s">
        <v>32623</v>
      </c>
      <c r="I15447" t="s">
        <v>17648</v>
      </c>
      <c r="J15447" t="s">
        <v>42308</v>
      </c>
      <c r="K15447" t="s">
        <v>42736</v>
      </c>
      <c r="L15447" t="s">
        <v>3880</v>
      </c>
      <c r="M15447" t="s">
        <v>47245</v>
      </c>
      <c r="N15447" t="s">
        <v>47304</v>
      </c>
      <c r="O15447" t="s">
        <v>47305</v>
      </c>
      <c r="P15447">
        <v>0</v>
      </c>
      <c r="Q15447">
        <v>4</v>
      </c>
      <c r="R15447" t="s">
        <v>47335</v>
      </c>
      <c r="S15447" t="s">
        <v>48597</v>
      </c>
      <c r="T15447" t="s">
        <v>49010</v>
      </c>
      <c r="U15447" t="s">
        <v>62252</v>
      </c>
      <c r="V15447" t="s">
        <v>62644</v>
      </c>
      <c r="W15447" t="s">
        <v>47245</v>
      </c>
      <c r="X15447" t="s">
        <v>47375</v>
      </c>
    </row>
    <row r="15448" spans="1:24">
      <c r="A15448">
        <f>HYPERLINK("https://www.philgeps.gov.ph/GEPSNONPILOT/Tender/SplashBidNoticeAbstractUI.aspx?menuIndex=3&amp;refID=7134745&amp;Result=3","7134745")</f>
        <v>0</v>
      </c>
      <c r="B15448" t="s">
        <v>3881</v>
      </c>
      <c r="C15448" t="s">
        <v>18497</v>
      </c>
      <c r="D15448" t="s">
        <v>19064</v>
      </c>
      <c r="E15448" t="s">
        <v>32150</v>
      </c>
      <c r="F15448" t="s">
        <v>32606</v>
      </c>
      <c r="G15448" t="s">
        <v>32613</v>
      </c>
      <c r="H15448" t="s">
        <v>14201</v>
      </c>
      <c r="I15448" t="s">
        <v>32640</v>
      </c>
      <c r="J15448" t="s">
        <v>42309</v>
      </c>
      <c r="K15448" t="s">
        <v>42636</v>
      </c>
      <c r="M15448" t="s">
        <v>47246</v>
      </c>
      <c r="N15448" t="s">
        <v>47304</v>
      </c>
      <c r="O15448" t="s">
        <v>47305</v>
      </c>
      <c r="Q15448">
        <v>15</v>
      </c>
      <c r="R15448" t="s">
        <v>47336</v>
      </c>
      <c r="S15448" t="s">
        <v>48598</v>
      </c>
      <c r="T15448" t="s">
        <v>49532</v>
      </c>
      <c r="U15448" t="s">
        <v>53117</v>
      </c>
      <c r="W15448" t="s">
        <v>47246</v>
      </c>
      <c r="X15448" t="s">
        <v>47337</v>
      </c>
    </row>
    <row r="15449" spans="1:24">
      <c r="A15449">
        <f>HYPERLINK("https://www.philgeps.gov.ph/GEPSNONPILOT/Tender/SplashBidNoticeAbstractUI.aspx?menuIndex=3&amp;refID=7138783&amp;Result=3","7138783")</f>
        <v>0</v>
      </c>
      <c r="B15449" t="s">
        <v>3298</v>
      </c>
      <c r="C15449" t="s">
        <v>18498</v>
      </c>
      <c r="D15449" t="s">
        <v>18993</v>
      </c>
      <c r="E15449" t="s">
        <v>32151</v>
      </c>
      <c r="F15449" t="s">
        <v>32606</v>
      </c>
      <c r="G15449" t="s">
        <v>32613</v>
      </c>
      <c r="H15449" t="s">
        <v>14201</v>
      </c>
      <c r="I15449" t="s">
        <v>32650</v>
      </c>
      <c r="J15449" t="s">
        <v>42310</v>
      </c>
      <c r="K15449" t="s">
        <v>42623</v>
      </c>
      <c r="M15449" t="s">
        <v>46538</v>
      </c>
      <c r="N15449" t="s">
        <v>47304</v>
      </c>
      <c r="O15449" t="s">
        <v>47305</v>
      </c>
      <c r="Q15449">
        <v>10</v>
      </c>
      <c r="R15449" t="s">
        <v>47334</v>
      </c>
      <c r="S15449" t="s">
        <v>47447</v>
      </c>
      <c r="T15449" t="s">
        <v>49065</v>
      </c>
      <c r="U15449" t="s">
        <v>62253</v>
      </c>
      <c r="W15449" t="s">
        <v>46538</v>
      </c>
      <c r="X15449" t="s">
        <v>47335</v>
      </c>
    </row>
    <row r="15450" spans="1:24">
      <c r="A15450">
        <f>HYPERLINK("https://www.philgeps.gov.ph/GEPSNONPILOT/Tender/SplashBidNoticeAbstractUI.aspx?menuIndex=3&amp;refID=7134654&amp;Result=3","7134654")</f>
        <v>0</v>
      </c>
      <c r="B15450" t="s">
        <v>3881</v>
      </c>
      <c r="C15450" t="s">
        <v>18499</v>
      </c>
      <c r="D15450" t="s">
        <v>19064</v>
      </c>
      <c r="E15450" t="s">
        <v>32152</v>
      </c>
      <c r="F15450" t="s">
        <v>32606</v>
      </c>
      <c r="G15450" t="s">
        <v>32613</v>
      </c>
      <c r="H15450" t="s">
        <v>14201</v>
      </c>
      <c r="I15450" t="s">
        <v>32638</v>
      </c>
      <c r="J15450" t="s">
        <v>42311</v>
      </c>
      <c r="K15450" t="s">
        <v>42636</v>
      </c>
      <c r="M15450" t="s">
        <v>47246</v>
      </c>
      <c r="N15450" t="s">
        <v>47304</v>
      </c>
      <c r="O15450" t="s">
        <v>47305</v>
      </c>
      <c r="Q15450">
        <v>50</v>
      </c>
      <c r="R15450" t="s">
        <v>47336</v>
      </c>
      <c r="S15450" t="s">
        <v>48599</v>
      </c>
      <c r="T15450" t="s">
        <v>49532</v>
      </c>
      <c r="U15450" t="s">
        <v>53117</v>
      </c>
      <c r="W15450" t="s">
        <v>47246</v>
      </c>
      <c r="X15450" t="s">
        <v>47337</v>
      </c>
    </row>
    <row r="15451" spans="1:24">
      <c r="A15451">
        <f>HYPERLINK("https://www.philgeps.gov.ph/GEPSNONPILOT/Tender/SplashBidNoticeAbstractUI.aspx?menuIndex=3&amp;refID=7134599&amp;Result=3","7134599")</f>
        <v>0</v>
      </c>
      <c r="B15451" t="s">
        <v>3881</v>
      </c>
      <c r="C15451" t="s">
        <v>18500</v>
      </c>
      <c r="D15451" t="s">
        <v>19064</v>
      </c>
      <c r="E15451" t="s">
        <v>32153</v>
      </c>
      <c r="F15451" t="s">
        <v>32606</v>
      </c>
      <c r="G15451" t="s">
        <v>32613</v>
      </c>
      <c r="H15451" t="s">
        <v>14201</v>
      </c>
      <c r="I15451" t="s">
        <v>32644</v>
      </c>
      <c r="J15451" t="s">
        <v>42312</v>
      </c>
      <c r="K15451" t="s">
        <v>42636</v>
      </c>
      <c r="M15451" t="s">
        <v>47246</v>
      </c>
      <c r="N15451" t="s">
        <v>47304</v>
      </c>
      <c r="O15451" t="s">
        <v>47305</v>
      </c>
      <c r="Q15451">
        <v>10</v>
      </c>
      <c r="R15451" t="s">
        <v>47336</v>
      </c>
      <c r="S15451" t="s">
        <v>48600</v>
      </c>
      <c r="T15451" t="s">
        <v>49532</v>
      </c>
      <c r="U15451" t="s">
        <v>50072</v>
      </c>
      <c r="W15451" t="s">
        <v>47246</v>
      </c>
      <c r="X15451" t="s">
        <v>47337</v>
      </c>
    </row>
    <row r="15452" spans="1:24">
      <c r="A15452">
        <f>HYPERLINK("https://www.philgeps.gov.ph/GEPSNONPILOT/Tender/SplashBidNoticeAbstractUI.aspx?menuIndex=3&amp;refID=7137339&amp;Result=3","7137339")</f>
        <v>0</v>
      </c>
      <c r="B15452" t="s">
        <v>3226</v>
      </c>
      <c r="C15452" t="s">
        <v>18501</v>
      </c>
      <c r="D15452" t="s">
        <v>19010</v>
      </c>
      <c r="E15452" t="s">
        <v>28414</v>
      </c>
      <c r="F15452" t="s">
        <v>32607</v>
      </c>
      <c r="G15452" t="s">
        <v>32613</v>
      </c>
      <c r="H15452" t="s">
        <v>32623</v>
      </c>
      <c r="I15452" t="s">
        <v>17648</v>
      </c>
      <c r="J15452" t="s">
        <v>37118</v>
      </c>
      <c r="K15452" t="s">
        <v>42654</v>
      </c>
      <c r="L15452" t="s">
        <v>3226</v>
      </c>
      <c r="M15452" t="s">
        <v>46453</v>
      </c>
      <c r="N15452" t="s">
        <v>47304</v>
      </c>
      <c r="O15452" t="s">
        <v>47305</v>
      </c>
      <c r="Q15452">
        <v>0</v>
      </c>
      <c r="R15452" t="s">
        <v>47334</v>
      </c>
      <c r="S15452" t="s">
        <v>48601</v>
      </c>
      <c r="T15452" t="s">
        <v>48973</v>
      </c>
      <c r="U15452" t="s">
        <v>62254</v>
      </c>
      <c r="W15452" t="s">
        <v>46453</v>
      </c>
      <c r="X15452" t="s">
        <v>47335</v>
      </c>
    </row>
    <row r="15453" spans="1:24">
      <c r="A15453">
        <f>HYPERLINK("https://www.philgeps.gov.ph/GEPSNONPILOT/Tender/SplashBidNoticeAbstractUI.aspx?menuIndex=3&amp;refID=7132716&amp;Result=3","7132716")</f>
        <v>0</v>
      </c>
      <c r="B15453" t="s">
        <v>3882</v>
      </c>
      <c r="C15453" t="s">
        <v>18502</v>
      </c>
      <c r="D15453" t="s">
        <v>18993</v>
      </c>
      <c r="E15453" t="s">
        <v>32154</v>
      </c>
      <c r="F15453" t="s">
        <v>32606</v>
      </c>
      <c r="G15453" t="s">
        <v>32613</v>
      </c>
      <c r="H15453" t="s">
        <v>14201</v>
      </c>
      <c r="I15453" t="s">
        <v>32661</v>
      </c>
      <c r="J15453" t="s">
        <v>42313</v>
      </c>
      <c r="K15453" t="s">
        <v>42636</v>
      </c>
      <c r="M15453" t="s">
        <v>47247</v>
      </c>
      <c r="N15453" t="s">
        <v>47304</v>
      </c>
      <c r="O15453" t="s">
        <v>47305</v>
      </c>
      <c r="Q15453">
        <v>33</v>
      </c>
      <c r="R15453" t="s">
        <v>47336</v>
      </c>
      <c r="S15453" t="s">
        <v>48602</v>
      </c>
      <c r="T15453" t="s">
        <v>49153</v>
      </c>
      <c r="U15453" t="s">
        <v>62255</v>
      </c>
      <c r="W15453" t="s">
        <v>47247</v>
      </c>
      <c r="X15453" t="s">
        <v>47337</v>
      </c>
    </row>
    <row r="15454" spans="1:24">
      <c r="A15454">
        <f>HYPERLINK("https://www.philgeps.gov.ph/GEPSNONPILOT/Tender/SplashBidNoticeAbstractUI.aspx?menuIndex=3&amp;refID=7137791&amp;Result=3","7137791")</f>
        <v>0</v>
      </c>
      <c r="B15454" t="s">
        <v>362</v>
      </c>
      <c r="C15454" t="s">
        <v>18503</v>
      </c>
      <c r="D15454" t="s">
        <v>19023</v>
      </c>
      <c r="E15454" t="s">
        <v>32155</v>
      </c>
      <c r="F15454" t="s">
        <v>32606</v>
      </c>
      <c r="G15454" t="s">
        <v>32613</v>
      </c>
      <c r="H15454" t="s">
        <v>14201</v>
      </c>
      <c r="I15454" t="s">
        <v>7064</v>
      </c>
      <c r="J15454" t="s">
        <v>42314</v>
      </c>
      <c r="K15454" t="s">
        <v>42631</v>
      </c>
      <c r="M15454" t="s">
        <v>43264</v>
      </c>
      <c r="N15454" t="s">
        <v>47304</v>
      </c>
      <c r="O15454" t="s">
        <v>47305</v>
      </c>
      <c r="Q15454">
        <v>2</v>
      </c>
      <c r="R15454" t="s">
        <v>47334</v>
      </c>
      <c r="S15454" t="s">
        <v>48603</v>
      </c>
      <c r="T15454" t="s">
        <v>49347</v>
      </c>
      <c r="U15454" t="s">
        <v>58248</v>
      </c>
      <c r="V15454" t="s">
        <v>64354</v>
      </c>
      <c r="W15454" t="s">
        <v>43264</v>
      </c>
      <c r="X15454" t="s">
        <v>47335</v>
      </c>
    </row>
    <row r="15455" spans="1:24">
      <c r="A15455">
        <f>HYPERLINK("https://www.philgeps.gov.ph/GEPSNONPILOT/Tender/SplashBidNoticeAbstractUI.aspx?menuIndex=3&amp;refID=7136030&amp;Result=3","7136030")</f>
        <v>0</v>
      </c>
      <c r="B15455" t="s">
        <v>3305</v>
      </c>
      <c r="C15455" t="s">
        <v>18504</v>
      </c>
      <c r="D15455" t="s">
        <v>18993</v>
      </c>
      <c r="E15455" t="s">
        <v>32156</v>
      </c>
      <c r="F15455" t="s">
        <v>32606</v>
      </c>
      <c r="G15455" t="s">
        <v>32613</v>
      </c>
      <c r="H15455" t="s">
        <v>32625</v>
      </c>
      <c r="I15455" t="s">
        <v>32640</v>
      </c>
      <c r="J15455" t="s">
        <v>34912</v>
      </c>
      <c r="K15455" t="s">
        <v>42665</v>
      </c>
      <c r="M15455" t="s">
        <v>47248</v>
      </c>
      <c r="N15455" t="s">
        <v>47304</v>
      </c>
      <c r="O15455" t="s">
        <v>47305</v>
      </c>
      <c r="Q15455">
        <v>5</v>
      </c>
      <c r="R15455" t="s">
        <v>47335</v>
      </c>
      <c r="S15455" t="s">
        <v>48604</v>
      </c>
      <c r="T15455" t="s">
        <v>49154</v>
      </c>
      <c r="U15455" t="s">
        <v>62256</v>
      </c>
      <c r="W15455" t="s">
        <v>47248</v>
      </c>
      <c r="X15455" t="s">
        <v>64577</v>
      </c>
    </row>
    <row r="15456" spans="1:24">
      <c r="A15456">
        <f>HYPERLINK("https://www.philgeps.gov.ph/GEPSNONPILOT/Tender/SplashBidNoticeAbstractUI.aspx?menuIndex=3&amp;refID=7141541&amp;Result=3","7141541")</f>
        <v>0</v>
      </c>
      <c r="B15456" t="s">
        <v>2115</v>
      </c>
      <c r="C15456" t="s">
        <v>18505</v>
      </c>
      <c r="D15456" t="s">
        <v>19008</v>
      </c>
      <c r="E15456" t="s">
        <v>32157</v>
      </c>
      <c r="F15456" t="s">
        <v>32606</v>
      </c>
      <c r="G15456" t="s">
        <v>32613</v>
      </c>
      <c r="H15456" t="s">
        <v>14201</v>
      </c>
      <c r="I15456" t="s">
        <v>32633</v>
      </c>
      <c r="J15456" t="s">
        <v>42315</v>
      </c>
      <c r="K15456" t="s">
        <v>42638</v>
      </c>
      <c r="M15456" t="s">
        <v>45202</v>
      </c>
      <c r="N15456" t="s">
        <v>47304</v>
      </c>
      <c r="O15456" t="s">
        <v>47305</v>
      </c>
      <c r="Q15456">
        <v>6</v>
      </c>
      <c r="R15456" t="s">
        <v>47333</v>
      </c>
      <c r="S15456" t="s">
        <v>48605</v>
      </c>
      <c r="T15456" t="s">
        <v>48971</v>
      </c>
      <c r="U15456" t="s">
        <v>62257</v>
      </c>
      <c r="V15456" t="s">
        <v>63615</v>
      </c>
      <c r="W15456" t="s">
        <v>45202</v>
      </c>
      <c r="X15456" t="s">
        <v>47334</v>
      </c>
    </row>
    <row r="15457" spans="1:24">
      <c r="A15457">
        <f>HYPERLINK("https://www.philgeps.gov.ph/GEPSNONPILOT/Tender/SplashBidNoticeAbstractUI.aspx?menuIndex=3&amp;refID=7136004&amp;Result=3","7136004")</f>
        <v>0</v>
      </c>
      <c r="B15457" t="s">
        <v>3883</v>
      </c>
      <c r="C15457" t="s">
        <v>18506</v>
      </c>
      <c r="D15457" t="s">
        <v>19039</v>
      </c>
      <c r="E15457" t="s">
        <v>32158</v>
      </c>
      <c r="F15457" t="s">
        <v>32606</v>
      </c>
      <c r="G15457" t="s">
        <v>32613</v>
      </c>
      <c r="H15457" t="s">
        <v>14201</v>
      </c>
      <c r="I15457" t="s">
        <v>32628</v>
      </c>
      <c r="J15457" t="s">
        <v>42316</v>
      </c>
      <c r="K15457" t="s">
        <v>42665</v>
      </c>
      <c r="M15457" t="s">
        <v>47249</v>
      </c>
      <c r="N15457" t="s">
        <v>47304</v>
      </c>
      <c r="O15457" t="s">
        <v>47305</v>
      </c>
      <c r="Q15457">
        <v>4</v>
      </c>
      <c r="R15457" t="s">
        <v>47335</v>
      </c>
      <c r="S15457" t="s">
        <v>48606</v>
      </c>
      <c r="T15457" t="s">
        <v>49533</v>
      </c>
      <c r="U15457" t="s">
        <v>62258</v>
      </c>
      <c r="W15457" t="s">
        <v>47249</v>
      </c>
      <c r="X15457" t="s">
        <v>64577</v>
      </c>
    </row>
    <row r="15458" spans="1:24">
      <c r="A15458">
        <f>HYPERLINK("https://www.philgeps.gov.ph/GEPSNONPILOT/Tender/SplashBidNoticeAbstractUI.aspx?menuIndex=3&amp;refID=7135580&amp;Result=3","7135580")</f>
        <v>0</v>
      </c>
      <c r="B15458" t="s">
        <v>467</v>
      </c>
      <c r="C15458" t="s">
        <v>18507</v>
      </c>
      <c r="E15458" t="s">
        <v>32159</v>
      </c>
      <c r="F15458" t="s">
        <v>32606</v>
      </c>
      <c r="G15458" t="s">
        <v>32613</v>
      </c>
      <c r="H15458" t="s">
        <v>32623</v>
      </c>
      <c r="I15458" t="s">
        <v>17648</v>
      </c>
      <c r="J15458" t="s">
        <v>42317</v>
      </c>
      <c r="K15458" t="s">
        <v>42624</v>
      </c>
      <c r="M15458" t="s">
        <v>46532</v>
      </c>
      <c r="N15458" t="s">
        <v>47304</v>
      </c>
      <c r="O15458" t="s">
        <v>47305</v>
      </c>
      <c r="Q15458">
        <v>7</v>
      </c>
      <c r="R15458" t="s">
        <v>47335</v>
      </c>
      <c r="S15458" t="s">
        <v>48607</v>
      </c>
      <c r="T15458" t="s">
        <v>49474</v>
      </c>
      <c r="U15458" t="s">
        <v>62259</v>
      </c>
      <c r="W15458" t="s">
        <v>46532</v>
      </c>
      <c r="X15458" t="s">
        <v>47336</v>
      </c>
    </row>
    <row r="15459" spans="1:24">
      <c r="A15459">
        <f>HYPERLINK("https://www.philgeps.gov.ph/GEPSNONPILOT/Tender/SplashBidNoticeAbstractUI.aspx?menuIndex=3&amp;refID=7132712&amp;Result=3","7132712")</f>
        <v>0</v>
      </c>
      <c r="B15459" t="s">
        <v>3882</v>
      </c>
      <c r="C15459" t="s">
        <v>18508</v>
      </c>
      <c r="D15459" t="s">
        <v>18993</v>
      </c>
      <c r="E15459" t="s">
        <v>32160</v>
      </c>
      <c r="F15459" t="s">
        <v>32606</v>
      </c>
      <c r="G15459" t="s">
        <v>32613</v>
      </c>
      <c r="H15459" t="s">
        <v>14201</v>
      </c>
      <c r="I15459" t="s">
        <v>32632</v>
      </c>
      <c r="J15459" t="s">
        <v>42318</v>
      </c>
      <c r="K15459" t="s">
        <v>42648</v>
      </c>
      <c r="M15459" t="s">
        <v>47247</v>
      </c>
      <c r="N15459" t="s">
        <v>47304</v>
      </c>
      <c r="O15459" t="s">
        <v>47305</v>
      </c>
      <c r="Q15459">
        <v>18</v>
      </c>
      <c r="R15459" t="s">
        <v>47336</v>
      </c>
      <c r="S15459" t="s">
        <v>48608</v>
      </c>
      <c r="T15459" t="s">
        <v>49153</v>
      </c>
      <c r="U15459" t="s">
        <v>62255</v>
      </c>
      <c r="W15459" t="s">
        <v>47247</v>
      </c>
      <c r="X15459" t="s">
        <v>47337</v>
      </c>
    </row>
    <row r="15460" spans="1:24">
      <c r="A15460">
        <f>HYPERLINK("https://www.philgeps.gov.ph/GEPSNONPILOT/Tender/SplashBidNoticeAbstractUI.aspx?menuIndex=3&amp;refID=7132606&amp;Result=3","7132606")</f>
        <v>0</v>
      </c>
      <c r="B15460" t="s">
        <v>3881</v>
      </c>
      <c r="C15460" t="s">
        <v>18509</v>
      </c>
      <c r="D15460" t="s">
        <v>19064</v>
      </c>
      <c r="E15460" t="s">
        <v>32161</v>
      </c>
      <c r="F15460" t="s">
        <v>32606</v>
      </c>
      <c r="G15460" t="s">
        <v>32613</v>
      </c>
      <c r="H15460" t="s">
        <v>14201</v>
      </c>
      <c r="I15460" t="s">
        <v>32646</v>
      </c>
      <c r="J15460" t="s">
        <v>42319</v>
      </c>
      <c r="K15460" t="s">
        <v>42636</v>
      </c>
      <c r="M15460" t="s">
        <v>47246</v>
      </c>
      <c r="N15460" t="s">
        <v>47304</v>
      </c>
      <c r="O15460" t="s">
        <v>47305</v>
      </c>
      <c r="Q15460">
        <v>8</v>
      </c>
      <c r="R15460" t="s">
        <v>47336</v>
      </c>
      <c r="S15460" t="s">
        <v>48609</v>
      </c>
      <c r="T15460" t="s">
        <v>49532</v>
      </c>
      <c r="U15460" t="s">
        <v>50072</v>
      </c>
      <c r="W15460" t="s">
        <v>47246</v>
      </c>
      <c r="X15460" t="s">
        <v>47339</v>
      </c>
    </row>
    <row r="15461" spans="1:24">
      <c r="A15461">
        <f>HYPERLINK("https://www.philgeps.gov.ph/GEPSNONPILOT/Tender/SplashBidNoticeAbstractUI.aspx?menuIndex=3&amp;refID=7135503&amp;Result=3","7135503")</f>
        <v>0</v>
      </c>
      <c r="B15461" t="s">
        <v>130</v>
      </c>
      <c r="C15461" t="s">
        <v>18510</v>
      </c>
      <c r="D15461" t="s">
        <v>19015</v>
      </c>
      <c r="E15461" t="s">
        <v>32162</v>
      </c>
      <c r="F15461" t="s">
        <v>32606</v>
      </c>
      <c r="G15461" t="s">
        <v>32613</v>
      </c>
      <c r="H15461" t="s">
        <v>14201</v>
      </c>
      <c r="I15461" t="s">
        <v>7064</v>
      </c>
      <c r="J15461" t="s">
        <v>42320</v>
      </c>
      <c r="K15461" t="s">
        <v>42631</v>
      </c>
      <c r="M15461" t="s">
        <v>43031</v>
      </c>
      <c r="N15461" t="s">
        <v>47304</v>
      </c>
      <c r="O15461" t="s">
        <v>47305</v>
      </c>
      <c r="Q15461">
        <v>12</v>
      </c>
      <c r="R15461" t="s">
        <v>47335</v>
      </c>
      <c r="S15461" t="s">
        <v>48610</v>
      </c>
      <c r="T15461" t="s">
        <v>49053</v>
      </c>
      <c r="U15461" t="s">
        <v>62260</v>
      </c>
      <c r="V15461" t="s">
        <v>64355</v>
      </c>
      <c r="W15461" t="s">
        <v>43031</v>
      </c>
      <c r="X15461" t="s">
        <v>47336</v>
      </c>
    </row>
    <row r="15462" spans="1:24">
      <c r="A15462">
        <f>HYPERLINK("https://www.philgeps.gov.ph/GEPSNONPILOT/Tender/SplashBidNoticeAbstractUI.aspx?menuIndex=3&amp;refID=7132559&amp;Result=3","7132559")</f>
        <v>0</v>
      </c>
      <c r="B15462" t="s">
        <v>2339</v>
      </c>
      <c r="C15462" t="s">
        <v>18511</v>
      </c>
      <c r="D15462" t="s">
        <v>19018</v>
      </c>
      <c r="E15462" t="s">
        <v>32163</v>
      </c>
      <c r="F15462" t="s">
        <v>32606</v>
      </c>
      <c r="G15462" t="s">
        <v>32613</v>
      </c>
      <c r="H15462" t="s">
        <v>14201</v>
      </c>
      <c r="I15462" t="s">
        <v>32650</v>
      </c>
      <c r="J15462" t="s">
        <v>42321</v>
      </c>
      <c r="K15462" t="s">
        <v>42631</v>
      </c>
      <c r="M15462" t="s">
        <v>45449</v>
      </c>
      <c r="N15462" t="s">
        <v>47304</v>
      </c>
      <c r="O15462" t="s">
        <v>47305</v>
      </c>
      <c r="Q15462">
        <v>1</v>
      </c>
      <c r="R15462" t="s">
        <v>47337</v>
      </c>
      <c r="S15462" t="s">
        <v>47625</v>
      </c>
      <c r="T15462" t="s">
        <v>48987</v>
      </c>
      <c r="U15462" t="s">
        <v>62261</v>
      </c>
      <c r="W15462" t="s">
        <v>45449</v>
      </c>
      <c r="X15462" t="s">
        <v>47339</v>
      </c>
    </row>
    <row r="15463" spans="1:24">
      <c r="A15463">
        <f>HYPERLINK("https://www.philgeps.gov.ph/GEPSNONPILOT/Tender/SplashBidNoticeAbstractUI.aspx?menuIndex=3&amp;refID=7136038&amp;Result=3","7136038")</f>
        <v>0</v>
      </c>
      <c r="B15463" t="s">
        <v>3305</v>
      </c>
      <c r="C15463" t="s">
        <v>18512</v>
      </c>
      <c r="D15463" t="s">
        <v>18993</v>
      </c>
      <c r="E15463" t="s">
        <v>32164</v>
      </c>
      <c r="F15463" t="s">
        <v>32606</v>
      </c>
      <c r="G15463" t="s">
        <v>32613</v>
      </c>
      <c r="H15463" t="s">
        <v>14201</v>
      </c>
      <c r="I15463" t="s">
        <v>32640</v>
      </c>
      <c r="J15463" t="s">
        <v>42322</v>
      </c>
      <c r="K15463" t="s">
        <v>42631</v>
      </c>
      <c r="M15463" t="s">
        <v>47248</v>
      </c>
      <c r="N15463" t="s">
        <v>47304</v>
      </c>
      <c r="O15463" t="s">
        <v>47305</v>
      </c>
      <c r="Q15463">
        <v>30</v>
      </c>
      <c r="R15463" t="s">
        <v>47335</v>
      </c>
      <c r="S15463" t="s">
        <v>48611</v>
      </c>
      <c r="T15463" t="s">
        <v>49023</v>
      </c>
      <c r="U15463" t="s">
        <v>62262</v>
      </c>
      <c r="W15463" t="s">
        <v>47248</v>
      </c>
      <c r="X15463" t="s">
        <v>64577</v>
      </c>
    </row>
    <row r="15464" spans="1:24">
      <c r="A15464">
        <f>HYPERLINK("https://www.philgeps.gov.ph/GEPSNONPILOT/Tender/SplashBidNoticeAbstractUI.aspx?menuIndex=3&amp;refID=7135295&amp;Result=3","7135295")</f>
        <v>0</v>
      </c>
      <c r="B15464" t="s">
        <v>3883</v>
      </c>
      <c r="C15464" t="s">
        <v>18513</v>
      </c>
      <c r="D15464" t="s">
        <v>19039</v>
      </c>
      <c r="E15464" t="s">
        <v>32165</v>
      </c>
      <c r="F15464" t="s">
        <v>32606</v>
      </c>
      <c r="G15464" t="s">
        <v>32613</v>
      </c>
      <c r="H15464" t="s">
        <v>14201</v>
      </c>
      <c r="I15464" t="s">
        <v>32633</v>
      </c>
      <c r="J15464" t="s">
        <v>42323</v>
      </c>
      <c r="K15464" t="s">
        <v>42623</v>
      </c>
      <c r="M15464" t="s">
        <v>47249</v>
      </c>
      <c r="N15464" t="s">
        <v>47304</v>
      </c>
      <c r="O15464" t="s">
        <v>47305</v>
      </c>
      <c r="Q15464">
        <v>18</v>
      </c>
      <c r="R15464" t="s">
        <v>47335</v>
      </c>
      <c r="S15464" t="s">
        <v>48612</v>
      </c>
      <c r="T15464" t="s">
        <v>49534</v>
      </c>
      <c r="U15464" t="s">
        <v>62263</v>
      </c>
      <c r="W15464" t="s">
        <v>47249</v>
      </c>
      <c r="X15464" t="s">
        <v>47337</v>
      </c>
    </row>
    <row r="15465" spans="1:24">
      <c r="A15465">
        <f>HYPERLINK("https://www.philgeps.gov.ph/GEPSNONPILOT/Tender/SplashBidNoticeAbstractUI.aspx?menuIndex=3&amp;refID=7134744&amp;Result=3","7134744")</f>
        <v>0</v>
      </c>
      <c r="B15465" t="s">
        <v>3741</v>
      </c>
      <c r="C15465" t="s">
        <v>18514</v>
      </c>
      <c r="D15465" t="s">
        <v>19036</v>
      </c>
      <c r="E15465" t="s">
        <v>32166</v>
      </c>
      <c r="F15465" t="s">
        <v>32606</v>
      </c>
      <c r="G15465" t="s">
        <v>32613</v>
      </c>
      <c r="H15465" t="s">
        <v>32623</v>
      </c>
      <c r="I15465" t="s">
        <v>17648</v>
      </c>
      <c r="J15465" t="s">
        <v>42324</v>
      </c>
      <c r="K15465" t="s">
        <v>42651</v>
      </c>
      <c r="M15465" t="s">
        <v>47068</v>
      </c>
      <c r="N15465" t="s">
        <v>47304</v>
      </c>
      <c r="O15465" t="s">
        <v>47305</v>
      </c>
      <c r="Q15465">
        <v>0</v>
      </c>
      <c r="R15465" t="s">
        <v>47335</v>
      </c>
      <c r="S15465" t="s">
        <v>48613</v>
      </c>
      <c r="T15465" t="s">
        <v>48998</v>
      </c>
      <c r="U15465" t="s">
        <v>62264</v>
      </c>
      <c r="W15465" t="s">
        <v>47068</v>
      </c>
      <c r="X15465" t="s">
        <v>47337</v>
      </c>
    </row>
    <row r="15466" spans="1:24">
      <c r="A15466">
        <f>HYPERLINK("https://www.philgeps.gov.ph/GEPSNONPILOT/Tender/SplashBidNoticeAbstractUI.aspx?menuIndex=3&amp;refID=7132331&amp;Result=3","7132331")</f>
        <v>0</v>
      </c>
      <c r="B15466" t="s">
        <v>3884</v>
      </c>
      <c r="C15466" t="s">
        <v>18515</v>
      </c>
      <c r="D15466" t="s">
        <v>19024</v>
      </c>
      <c r="E15466" t="s">
        <v>20242</v>
      </c>
      <c r="F15466" t="s">
        <v>32606</v>
      </c>
      <c r="G15466" t="s">
        <v>32618</v>
      </c>
      <c r="H15466" t="s">
        <v>32623</v>
      </c>
      <c r="I15466" t="s">
        <v>32659</v>
      </c>
      <c r="J15466" t="s">
        <v>42325</v>
      </c>
      <c r="K15466" t="s">
        <v>42639</v>
      </c>
      <c r="M15466" t="s">
        <v>47250</v>
      </c>
      <c r="N15466" t="s">
        <v>47304</v>
      </c>
      <c r="O15466" t="s">
        <v>47305</v>
      </c>
      <c r="P15466">
        <v>0</v>
      </c>
      <c r="Q15466">
        <v>1</v>
      </c>
      <c r="R15466" t="s">
        <v>47337</v>
      </c>
      <c r="S15466" t="s">
        <v>48614</v>
      </c>
      <c r="T15466" t="s">
        <v>49456</v>
      </c>
      <c r="U15466" t="s">
        <v>62265</v>
      </c>
      <c r="V15466" t="s">
        <v>62265</v>
      </c>
      <c r="W15466" t="s">
        <v>47250</v>
      </c>
      <c r="X15466" t="s">
        <v>47339</v>
      </c>
    </row>
    <row r="15467" spans="1:24">
      <c r="A15467">
        <f>HYPERLINK("https://www.philgeps.gov.ph/GEPSNONPILOT/Tender/SplashBidNoticeAbstractUI.aspx?menuIndex=3&amp;refID=7144984&amp;Result=3","7144984")</f>
        <v>0</v>
      </c>
      <c r="B15467" t="s">
        <v>3877</v>
      </c>
      <c r="C15467" t="s">
        <v>18516</v>
      </c>
      <c r="D15467" t="s">
        <v>19049</v>
      </c>
      <c r="E15467" t="s">
        <v>32167</v>
      </c>
      <c r="F15467" t="s">
        <v>32606</v>
      </c>
      <c r="G15467" t="s">
        <v>32613</v>
      </c>
      <c r="H15467" t="s">
        <v>14201</v>
      </c>
      <c r="I15467" t="s">
        <v>32626</v>
      </c>
      <c r="J15467" t="s">
        <v>42326</v>
      </c>
      <c r="K15467" t="s">
        <v>42639</v>
      </c>
      <c r="M15467" t="s">
        <v>47239</v>
      </c>
      <c r="N15467" t="s">
        <v>47304</v>
      </c>
      <c r="O15467" t="s">
        <v>47305</v>
      </c>
      <c r="Q15467">
        <v>8</v>
      </c>
      <c r="R15467" t="s">
        <v>47332</v>
      </c>
      <c r="S15467" t="s">
        <v>48615</v>
      </c>
      <c r="T15467" t="s">
        <v>49106</v>
      </c>
      <c r="U15467" t="s">
        <v>62266</v>
      </c>
      <c r="W15467" t="s">
        <v>47239</v>
      </c>
      <c r="X15467" t="s">
        <v>47333</v>
      </c>
    </row>
    <row r="15468" spans="1:24">
      <c r="A15468">
        <f>HYPERLINK("https://www.philgeps.gov.ph/GEPSNONPILOT/Tender/SplashBidNoticeAbstractUI.aspx?menuIndex=3&amp;refID=7131759&amp;Result=3","7131759")</f>
        <v>0</v>
      </c>
      <c r="B15468" t="s">
        <v>3775</v>
      </c>
      <c r="C15468" t="s">
        <v>18517</v>
      </c>
      <c r="E15468" t="s">
        <v>32168</v>
      </c>
      <c r="F15468" t="s">
        <v>32606</v>
      </c>
      <c r="G15468" t="s">
        <v>32620</v>
      </c>
      <c r="H15468" t="s">
        <v>32625</v>
      </c>
      <c r="I15468" t="s">
        <v>32625</v>
      </c>
      <c r="J15468" t="s">
        <v>42327</v>
      </c>
      <c r="K15468" t="s">
        <v>42624</v>
      </c>
      <c r="M15468" t="s">
        <v>47110</v>
      </c>
      <c r="N15468" t="s">
        <v>47304</v>
      </c>
      <c r="O15468" t="s">
        <v>47305</v>
      </c>
      <c r="Q15468">
        <v>4</v>
      </c>
      <c r="R15468" t="s">
        <v>47337</v>
      </c>
      <c r="S15468" t="s">
        <v>48616</v>
      </c>
      <c r="T15468" t="s">
        <v>49330</v>
      </c>
      <c r="U15468" t="s">
        <v>62267</v>
      </c>
      <c r="V15468" t="s">
        <v>64356</v>
      </c>
      <c r="W15468" t="s">
        <v>47110</v>
      </c>
      <c r="X15468" t="s">
        <v>47339</v>
      </c>
    </row>
    <row r="15469" spans="1:24">
      <c r="A15469">
        <f>HYPERLINK("https://www.philgeps.gov.ph/GEPSNONPILOT/Tender/SplashBidNoticeAbstractUI.aspx?menuIndex=3&amp;refID=7132020&amp;Result=3","7132020")</f>
        <v>0</v>
      </c>
      <c r="B15469" t="s">
        <v>1077</v>
      </c>
      <c r="C15469" t="s">
        <v>18518</v>
      </c>
      <c r="D15469" t="s">
        <v>19069</v>
      </c>
      <c r="E15469" t="s">
        <v>32169</v>
      </c>
      <c r="F15469" t="s">
        <v>32606</v>
      </c>
      <c r="G15469" t="s">
        <v>32613</v>
      </c>
      <c r="H15469" t="s">
        <v>14201</v>
      </c>
      <c r="I15469" t="s">
        <v>32640</v>
      </c>
      <c r="J15469" t="s">
        <v>42328</v>
      </c>
      <c r="K15469" t="s">
        <v>42646</v>
      </c>
      <c r="M15469" t="s">
        <v>46998</v>
      </c>
      <c r="N15469" t="s">
        <v>47304</v>
      </c>
      <c r="O15469" t="s">
        <v>47305</v>
      </c>
      <c r="Q15469">
        <v>18</v>
      </c>
      <c r="R15469" t="s">
        <v>47337</v>
      </c>
      <c r="S15469" t="s">
        <v>48617</v>
      </c>
      <c r="T15469" t="s">
        <v>49364</v>
      </c>
      <c r="U15469" t="s">
        <v>62268</v>
      </c>
      <c r="W15469" t="s">
        <v>46998</v>
      </c>
      <c r="X15469" t="s">
        <v>47339</v>
      </c>
    </row>
    <row r="15470" spans="1:24">
      <c r="A15470">
        <f>HYPERLINK("https://www.philgeps.gov.ph/GEPSNONPILOT/Tender/SplashBidNoticeAbstractUI.aspx?menuIndex=3&amp;refID=7131784&amp;Result=3","7131784")</f>
        <v>0</v>
      </c>
      <c r="B15470" t="s">
        <v>3775</v>
      </c>
      <c r="C15470" t="s">
        <v>18519</v>
      </c>
      <c r="E15470" t="s">
        <v>32170</v>
      </c>
      <c r="F15470" t="s">
        <v>32606</v>
      </c>
      <c r="G15470" t="s">
        <v>32620</v>
      </c>
      <c r="H15470" t="s">
        <v>32625</v>
      </c>
      <c r="I15470" t="s">
        <v>32625</v>
      </c>
      <c r="J15470" t="s">
        <v>42329</v>
      </c>
      <c r="K15470" t="s">
        <v>42624</v>
      </c>
      <c r="M15470" t="s">
        <v>47110</v>
      </c>
      <c r="N15470" t="s">
        <v>47304</v>
      </c>
      <c r="O15470" t="s">
        <v>47305</v>
      </c>
      <c r="Q15470">
        <v>4</v>
      </c>
      <c r="R15470" t="s">
        <v>47337</v>
      </c>
      <c r="S15470" t="s">
        <v>48618</v>
      </c>
      <c r="T15470" t="s">
        <v>49330</v>
      </c>
      <c r="U15470" t="s">
        <v>62267</v>
      </c>
      <c r="V15470" t="s">
        <v>64356</v>
      </c>
      <c r="W15470" t="s">
        <v>47110</v>
      </c>
      <c r="X15470" t="s">
        <v>47339</v>
      </c>
    </row>
    <row r="15471" spans="1:24">
      <c r="A15471">
        <f>HYPERLINK("https://www.philgeps.gov.ph/GEPSNONPILOT/Tender/SplashBidNoticeAbstractUI.aspx?menuIndex=3&amp;refID=7130230&amp;Result=3","7130230")</f>
        <v>0</v>
      </c>
      <c r="B15471" t="s">
        <v>2194</v>
      </c>
      <c r="C15471" t="s">
        <v>18520</v>
      </c>
      <c r="D15471" t="s">
        <v>18993</v>
      </c>
      <c r="E15471" t="s">
        <v>32171</v>
      </c>
      <c r="F15471" t="s">
        <v>32606</v>
      </c>
      <c r="G15471" t="s">
        <v>32619</v>
      </c>
      <c r="H15471" t="s">
        <v>14201</v>
      </c>
      <c r="I15471" t="s">
        <v>32638</v>
      </c>
      <c r="J15471" t="s">
        <v>42330</v>
      </c>
      <c r="K15471" t="s">
        <v>42624</v>
      </c>
      <c r="M15471" t="s">
        <v>45294</v>
      </c>
      <c r="N15471" t="s">
        <v>47304</v>
      </c>
      <c r="O15471" t="s">
        <v>47305</v>
      </c>
      <c r="Q15471">
        <v>11</v>
      </c>
      <c r="R15471" t="s">
        <v>47337</v>
      </c>
      <c r="S15471" t="s">
        <v>48619</v>
      </c>
      <c r="T15471" t="s">
        <v>49269</v>
      </c>
      <c r="U15471" t="s">
        <v>62269</v>
      </c>
      <c r="V15471" t="s">
        <v>64357</v>
      </c>
      <c r="W15471" t="s">
        <v>45294</v>
      </c>
      <c r="X15471" t="s">
        <v>47339</v>
      </c>
    </row>
    <row r="15472" spans="1:24">
      <c r="A15472">
        <f>HYPERLINK("https://www.philgeps.gov.ph/GEPSNONPILOT/Tender/SplashBidNoticeAbstractUI.aspx?menuIndex=3&amp;refID=7130180&amp;Result=3","7130180")</f>
        <v>0</v>
      </c>
      <c r="B15472" t="s">
        <v>3885</v>
      </c>
      <c r="C15472" t="s">
        <v>18521</v>
      </c>
      <c r="D15472" t="s">
        <v>18988</v>
      </c>
      <c r="E15472" t="s">
        <v>32172</v>
      </c>
      <c r="F15472" t="s">
        <v>32606</v>
      </c>
      <c r="G15472" t="s">
        <v>32613</v>
      </c>
      <c r="H15472" t="s">
        <v>32623</v>
      </c>
      <c r="I15472" t="s">
        <v>17648</v>
      </c>
      <c r="J15472" t="s">
        <v>42331</v>
      </c>
      <c r="K15472" t="s">
        <v>42645</v>
      </c>
      <c r="M15472" t="s">
        <v>47251</v>
      </c>
      <c r="N15472" t="s">
        <v>47304</v>
      </c>
      <c r="O15472" t="s">
        <v>47305</v>
      </c>
      <c r="Q15472">
        <v>12</v>
      </c>
      <c r="R15472" t="s">
        <v>47337</v>
      </c>
      <c r="S15472" t="s">
        <v>48620</v>
      </c>
      <c r="T15472" t="s">
        <v>48994</v>
      </c>
      <c r="U15472" t="s">
        <v>62270</v>
      </c>
      <c r="W15472" t="s">
        <v>47251</v>
      </c>
      <c r="X15472" t="s">
        <v>47339</v>
      </c>
    </row>
    <row r="15473" spans="1:24">
      <c r="A15473">
        <f>HYPERLINK("https://www.philgeps.gov.ph/GEPSNONPILOT/Tender/SplashBidNoticeAbstractUI.aspx?menuIndex=3&amp;refID=7134647&amp;Result=3","7134647")</f>
        <v>0</v>
      </c>
      <c r="B15473" t="s">
        <v>3741</v>
      </c>
      <c r="C15473" t="s">
        <v>18522</v>
      </c>
      <c r="D15473" t="s">
        <v>19036</v>
      </c>
      <c r="E15473" t="s">
        <v>32173</v>
      </c>
      <c r="F15473" t="s">
        <v>32606</v>
      </c>
      <c r="G15473" t="s">
        <v>32613</v>
      </c>
      <c r="H15473" t="s">
        <v>32623</v>
      </c>
      <c r="I15473" t="s">
        <v>17648</v>
      </c>
      <c r="J15473" t="s">
        <v>42332</v>
      </c>
      <c r="K15473" t="s">
        <v>42651</v>
      </c>
      <c r="M15473" t="s">
        <v>47068</v>
      </c>
      <c r="N15473" t="s">
        <v>47304</v>
      </c>
      <c r="O15473" t="s">
        <v>47305</v>
      </c>
      <c r="Q15473">
        <v>2</v>
      </c>
      <c r="R15473" t="s">
        <v>47335</v>
      </c>
      <c r="S15473" t="s">
        <v>48613</v>
      </c>
      <c r="T15473" t="s">
        <v>48998</v>
      </c>
      <c r="U15473" t="s">
        <v>62264</v>
      </c>
      <c r="W15473" t="s">
        <v>47068</v>
      </c>
      <c r="X15473" t="s">
        <v>47337</v>
      </c>
    </row>
    <row r="15474" spans="1:24">
      <c r="A15474">
        <f>HYPERLINK("https://www.philgeps.gov.ph/GEPSNONPILOT/Tender/SplashBidNoticeAbstractUI.aspx?menuIndex=3&amp;refID=7130149&amp;Result=3","7130149")</f>
        <v>0</v>
      </c>
      <c r="B15474" t="s">
        <v>3885</v>
      </c>
      <c r="C15474" t="s">
        <v>18523</v>
      </c>
      <c r="D15474" t="s">
        <v>18988</v>
      </c>
      <c r="E15474" t="s">
        <v>32174</v>
      </c>
      <c r="F15474" t="s">
        <v>32606</v>
      </c>
      <c r="G15474" t="s">
        <v>32613</v>
      </c>
      <c r="H15474" t="s">
        <v>32623</v>
      </c>
      <c r="I15474" t="s">
        <v>17648</v>
      </c>
      <c r="J15474" t="s">
        <v>42333</v>
      </c>
      <c r="K15474" t="s">
        <v>42650</v>
      </c>
      <c r="M15474" t="s">
        <v>47251</v>
      </c>
      <c r="N15474" t="s">
        <v>47304</v>
      </c>
      <c r="O15474" t="s">
        <v>47305</v>
      </c>
      <c r="Q15474">
        <v>14</v>
      </c>
      <c r="R15474" t="s">
        <v>47337</v>
      </c>
      <c r="S15474" t="s">
        <v>48621</v>
      </c>
      <c r="T15474" t="s">
        <v>48994</v>
      </c>
      <c r="U15474" t="s">
        <v>62271</v>
      </c>
      <c r="W15474" t="s">
        <v>47251</v>
      </c>
      <c r="X15474" t="s">
        <v>47339</v>
      </c>
    </row>
    <row r="15475" spans="1:24">
      <c r="A15475">
        <f>HYPERLINK("https://www.philgeps.gov.ph/GEPSNONPILOT/Tender/SplashBidNoticeAbstractUI.aspx?menuIndex=3&amp;refID=7129961&amp;Result=3","7129961")</f>
        <v>0</v>
      </c>
      <c r="B15475" t="s">
        <v>3885</v>
      </c>
      <c r="C15475" t="s">
        <v>18524</v>
      </c>
      <c r="D15475" t="s">
        <v>18988</v>
      </c>
      <c r="E15475" t="s">
        <v>32175</v>
      </c>
      <c r="F15475" t="s">
        <v>32606</v>
      </c>
      <c r="G15475" t="s">
        <v>32613</v>
      </c>
      <c r="H15475" t="s">
        <v>32623</v>
      </c>
      <c r="I15475" t="s">
        <v>17648</v>
      </c>
      <c r="J15475" t="s">
        <v>42334</v>
      </c>
      <c r="K15475" t="s">
        <v>42651</v>
      </c>
      <c r="M15475" t="s">
        <v>47251</v>
      </c>
      <c r="N15475" t="s">
        <v>47304</v>
      </c>
      <c r="O15475" t="s">
        <v>47305</v>
      </c>
      <c r="Q15475">
        <v>8</v>
      </c>
      <c r="R15475" t="s">
        <v>47337</v>
      </c>
      <c r="S15475" t="s">
        <v>48622</v>
      </c>
      <c r="T15475" t="s">
        <v>48994</v>
      </c>
      <c r="U15475" t="s">
        <v>62272</v>
      </c>
      <c r="W15475" t="s">
        <v>47251</v>
      </c>
      <c r="X15475" t="s">
        <v>47339</v>
      </c>
    </row>
    <row r="15476" spans="1:24">
      <c r="A15476">
        <f>HYPERLINK("https://www.philgeps.gov.ph/GEPSNONPILOT/Tender/SplashBidNoticeAbstractUI.aspx?menuIndex=3&amp;refID=7132581&amp;Result=3","7132581")</f>
        <v>0</v>
      </c>
      <c r="B15476" t="s">
        <v>1032</v>
      </c>
      <c r="C15476" t="s">
        <v>18525</v>
      </c>
      <c r="D15476" t="s">
        <v>18993</v>
      </c>
      <c r="E15476" t="s">
        <v>32176</v>
      </c>
      <c r="F15476" t="s">
        <v>32606</v>
      </c>
      <c r="G15476" t="s">
        <v>32613</v>
      </c>
      <c r="H15476" t="s">
        <v>14201</v>
      </c>
      <c r="I15476" t="s">
        <v>32634</v>
      </c>
      <c r="J15476" t="s">
        <v>42335</v>
      </c>
      <c r="K15476" t="s">
        <v>42646</v>
      </c>
      <c r="M15476" t="s">
        <v>43985</v>
      </c>
      <c r="N15476" t="s">
        <v>47304</v>
      </c>
      <c r="O15476" t="s">
        <v>47305</v>
      </c>
      <c r="Q15476">
        <v>17</v>
      </c>
      <c r="R15476" t="s">
        <v>47337</v>
      </c>
      <c r="S15476" t="s">
        <v>48623</v>
      </c>
      <c r="T15476" t="s">
        <v>49017</v>
      </c>
      <c r="U15476" t="s">
        <v>62273</v>
      </c>
      <c r="W15476" t="s">
        <v>43985</v>
      </c>
      <c r="X15476" t="s">
        <v>47339</v>
      </c>
    </row>
    <row r="15477" spans="1:24">
      <c r="A15477">
        <f>HYPERLINK("https://www.philgeps.gov.ph/GEPSNONPILOT/Tender/SplashBidNoticeAbstractUI.aspx?menuIndex=3&amp;refID=7130956&amp;Result=3","7130956")</f>
        <v>0</v>
      </c>
      <c r="B15477" t="s">
        <v>3775</v>
      </c>
      <c r="C15477" t="s">
        <v>18526</v>
      </c>
      <c r="E15477" t="s">
        <v>32177</v>
      </c>
      <c r="F15477" t="s">
        <v>32606</v>
      </c>
      <c r="G15477" t="s">
        <v>32620</v>
      </c>
      <c r="H15477" t="s">
        <v>32625</v>
      </c>
      <c r="I15477" t="s">
        <v>32625</v>
      </c>
      <c r="J15477" t="s">
        <v>42336</v>
      </c>
      <c r="K15477" t="s">
        <v>42624</v>
      </c>
      <c r="M15477" t="s">
        <v>47110</v>
      </c>
      <c r="N15477" t="s">
        <v>47304</v>
      </c>
      <c r="O15477" t="s">
        <v>47305</v>
      </c>
      <c r="Q15477">
        <v>6</v>
      </c>
      <c r="R15477" t="s">
        <v>47337</v>
      </c>
      <c r="S15477" t="s">
        <v>48624</v>
      </c>
      <c r="T15477" t="s">
        <v>49330</v>
      </c>
      <c r="U15477" t="s">
        <v>62274</v>
      </c>
      <c r="V15477" t="s">
        <v>64358</v>
      </c>
      <c r="W15477" t="s">
        <v>47110</v>
      </c>
      <c r="X15477" t="s">
        <v>47339</v>
      </c>
    </row>
    <row r="15478" spans="1:24">
      <c r="A15478">
        <f>HYPERLINK("https://www.philgeps.gov.ph/GEPSNONPILOT/Tender/SplashBidNoticeAbstractUI.aspx?menuIndex=3&amp;refID=7131027&amp;Result=3","7131027")</f>
        <v>0</v>
      </c>
      <c r="B15478" t="s">
        <v>3886</v>
      </c>
      <c r="C15478" t="s">
        <v>18527</v>
      </c>
      <c r="D15478" t="s">
        <v>19007</v>
      </c>
      <c r="E15478" t="s">
        <v>32178</v>
      </c>
      <c r="F15478" t="s">
        <v>32606</v>
      </c>
      <c r="G15478" t="s">
        <v>32613</v>
      </c>
      <c r="H15478" t="s">
        <v>14201</v>
      </c>
      <c r="I15478" t="s">
        <v>32631</v>
      </c>
      <c r="J15478" t="s">
        <v>32789</v>
      </c>
      <c r="K15478" t="s">
        <v>42624</v>
      </c>
      <c r="M15478" t="s">
        <v>47252</v>
      </c>
      <c r="N15478" t="s">
        <v>47304</v>
      </c>
      <c r="O15478" t="s">
        <v>47305</v>
      </c>
      <c r="P15478">
        <v>0</v>
      </c>
      <c r="Q15478">
        <v>0</v>
      </c>
      <c r="R15478" t="s">
        <v>47337</v>
      </c>
      <c r="S15478" t="s">
        <v>48614</v>
      </c>
      <c r="T15478" t="s">
        <v>48975</v>
      </c>
      <c r="U15478" t="s">
        <v>62275</v>
      </c>
      <c r="W15478" t="s">
        <v>47252</v>
      </c>
      <c r="X15478" t="s">
        <v>47339</v>
      </c>
    </row>
    <row r="15479" spans="1:24">
      <c r="A15479">
        <f>HYPERLINK("https://www.philgeps.gov.ph/GEPSNONPILOT/Tender/SplashBidNoticeAbstractUI.aspx?menuIndex=3&amp;refID=7134688&amp;Result=3","7134688")</f>
        <v>0</v>
      </c>
      <c r="B15479" t="s">
        <v>3881</v>
      </c>
      <c r="C15479" t="s">
        <v>18528</v>
      </c>
      <c r="D15479" t="s">
        <v>19064</v>
      </c>
      <c r="E15479" t="s">
        <v>32179</v>
      </c>
      <c r="F15479" t="s">
        <v>32606</v>
      </c>
      <c r="G15479" t="s">
        <v>32613</v>
      </c>
      <c r="H15479" t="s">
        <v>14201</v>
      </c>
      <c r="I15479" t="s">
        <v>13131</v>
      </c>
      <c r="J15479" t="s">
        <v>42337</v>
      </c>
      <c r="K15479" t="s">
        <v>42636</v>
      </c>
      <c r="M15479" t="s">
        <v>47246</v>
      </c>
      <c r="N15479" t="s">
        <v>47304</v>
      </c>
      <c r="O15479" t="s">
        <v>47305</v>
      </c>
      <c r="Q15479">
        <v>19</v>
      </c>
      <c r="R15479" t="s">
        <v>47336</v>
      </c>
      <c r="S15479" t="s">
        <v>48625</v>
      </c>
      <c r="T15479" t="s">
        <v>49532</v>
      </c>
      <c r="U15479" t="s">
        <v>53117</v>
      </c>
      <c r="W15479" t="s">
        <v>47246</v>
      </c>
      <c r="X15479" t="s">
        <v>47337</v>
      </c>
    </row>
    <row r="15480" spans="1:24">
      <c r="A15480">
        <f>HYPERLINK("https://www.philgeps.gov.ph/GEPSNONPILOT/Tender/SplashBidNoticeAbstractUI.aspx?menuIndex=3&amp;refID=7135859&amp;Result=3","7135859")</f>
        <v>0</v>
      </c>
      <c r="B15480" t="s">
        <v>303</v>
      </c>
      <c r="C15480" t="s">
        <v>18529</v>
      </c>
      <c r="D15480" t="s">
        <v>19039</v>
      </c>
      <c r="E15480" t="s">
        <v>32180</v>
      </c>
      <c r="F15480" t="s">
        <v>32606</v>
      </c>
      <c r="G15480" t="s">
        <v>32613</v>
      </c>
      <c r="H15480" t="s">
        <v>14201</v>
      </c>
      <c r="I15480" t="s">
        <v>32672</v>
      </c>
      <c r="J15480" t="s">
        <v>33039</v>
      </c>
      <c r="K15480" t="s">
        <v>42646</v>
      </c>
      <c r="M15480" t="s">
        <v>43205</v>
      </c>
      <c r="N15480" t="s">
        <v>47304</v>
      </c>
      <c r="O15480" t="s">
        <v>47305</v>
      </c>
      <c r="Q15480">
        <v>12</v>
      </c>
      <c r="R15480" t="s">
        <v>47333</v>
      </c>
      <c r="S15480" t="s">
        <v>48626</v>
      </c>
      <c r="T15480" t="s">
        <v>48998</v>
      </c>
      <c r="U15480" t="s">
        <v>62276</v>
      </c>
      <c r="V15480" t="s">
        <v>64359</v>
      </c>
      <c r="W15480" t="s">
        <v>43205</v>
      </c>
      <c r="X15480" t="s">
        <v>64577</v>
      </c>
    </row>
    <row r="15481" spans="1:24">
      <c r="A15481">
        <f>HYPERLINK("https://www.philgeps.gov.ph/GEPSNONPILOT/Tender/SplashBidNoticeAbstractUI.aspx?menuIndex=3&amp;refID=7123980&amp;Result=3","7123980")</f>
        <v>0</v>
      </c>
      <c r="B15481" t="s">
        <v>3409</v>
      </c>
      <c r="C15481" t="s">
        <v>18530</v>
      </c>
      <c r="D15481" t="s">
        <v>18993</v>
      </c>
      <c r="E15481" t="s">
        <v>32181</v>
      </c>
      <c r="F15481" t="s">
        <v>32607</v>
      </c>
      <c r="G15481" t="s">
        <v>32613</v>
      </c>
      <c r="H15481" t="s">
        <v>14201</v>
      </c>
      <c r="I15481" t="s">
        <v>7677</v>
      </c>
      <c r="J15481" t="s">
        <v>42338</v>
      </c>
      <c r="K15481" t="s">
        <v>42623</v>
      </c>
      <c r="M15481" t="s">
        <v>46664</v>
      </c>
      <c r="N15481" t="s">
        <v>47304</v>
      </c>
      <c r="O15481" t="s">
        <v>47305</v>
      </c>
      <c r="Q15481">
        <v>5</v>
      </c>
      <c r="R15481" t="s">
        <v>47338</v>
      </c>
      <c r="S15481" t="s">
        <v>48627</v>
      </c>
      <c r="T15481" t="s">
        <v>49515</v>
      </c>
      <c r="U15481" t="s">
        <v>62277</v>
      </c>
      <c r="W15481" t="s">
        <v>46664</v>
      </c>
      <c r="X15481" t="s">
        <v>47340</v>
      </c>
    </row>
    <row r="15482" spans="1:24">
      <c r="A15482">
        <f>HYPERLINK("https://www.philgeps.gov.ph/GEPSNONPILOT/Tender/SplashBidNoticeAbstractUI.aspx?menuIndex=3&amp;refID=7129844&amp;Result=3","7129844")</f>
        <v>0</v>
      </c>
      <c r="B15482" t="s">
        <v>3885</v>
      </c>
      <c r="C15482" t="s">
        <v>18531</v>
      </c>
      <c r="D15482" t="s">
        <v>18988</v>
      </c>
      <c r="E15482" t="s">
        <v>32182</v>
      </c>
      <c r="F15482" t="s">
        <v>32606</v>
      </c>
      <c r="G15482" t="s">
        <v>32613</v>
      </c>
      <c r="H15482" t="s">
        <v>14201</v>
      </c>
      <c r="I15482" t="s">
        <v>6931</v>
      </c>
      <c r="J15482" t="s">
        <v>42339</v>
      </c>
      <c r="K15482" t="s">
        <v>42631</v>
      </c>
      <c r="M15482" t="s">
        <v>47251</v>
      </c>
      <c r="N15482" t="s">
        <v>47304</v>
      </c>
      <c r="O15482" t="s">
        <v>47305</v>
      </c>
      <c r="Q15482">
        <v>1</v>
      </c>
      <c r="R15482" t="s">
        <v>47337</v>
      </c>
      <c r="S15482" t="s">
        <v>48628</v>
      </c>
      <c r="T15482" t="s">
        <v>48994</v>
      </c>
      <c r="U15482" t="s">
        <v>62278</v>
      </c>
      <c r="W15482" t="s">
        <v>47251</v>
      </c>
      <c r="X15482" t="s">
        <v>47339</v>
      </c>
    </row>
    <row r="15483" spans="1:24">
      <c r="A15483">
        <f>HYPERLINK("https://www.philgeps.gov.ph/GEPSNONPILOT/Tender/SplashBidNoticeAbstractUI.aspx?menuIndex=3&amp;refID=7129521&amp;Result=3","7129521")</f>
        <v>0</v>
      </c>
      <c r="B15483" t="s">
        <v>954</v>
      </c>
      <c r="C15483" t="s">
        <v>18532</v>
      </c>
      <c r="E15483" t="s">
        <v>32183</v>
      </c>
      <c r="F15483" t="s">
        <v>32606</v>
      </c>
      <c r="G15483" t="s">
        <v>32620</v>
      </c>
      <c r="H15483" t="s">
        <v>32625</v>
      </c>
      <c r="I15483" t="s">
        <v>32625</v>
      </c>
      <c r="J15483" t="s">
        <v>32861</v>
      </c>
      <c r="K15483" t="s">
        <v>42636</v>
      </c>
      <c r="M15483" t="s">
        <v>46340</v>
      </c>
      <c r="N15483" t="s">
        <v>47304</v>
      </c>
      <c r="O15483" t="s">
        <v>47305</v>
      </c>
      <c r="Q15483">
        <v>6</v>
      </c>
      <c r="R15483" t="s">
        <v>47339</v>
      </c>
      <c r="S15483" t="s">
        <v>48629</v>
      </c>
      <c r="T15483" t="s">
        <v>49071</v>
      </c>
      <c r="U15483" t="s">
        <v>62279</v>
      </c>
      <c r="V15483" t="s">
        <v>63758</v>
      </c>
      <c r="W15483" t="s">
        <v>46340</v>
      </c>
      <c r="X15483" t="s">
        <v>47338</v>
      </c>
    </row>
    <row r="15484" spans="1:24">
      <c r="A15484">
        <f>HYPERLINK("https://www.philgeps.gov.ph/GEPSNONPILOT/Tender/SplashBidNoticeAbstractUI.aspx?menuIndex=3&amp;refID=7123977&amp;Result=3","7123977")</f>
        <v>0</v>
      </c>
      <c r="B15484" t="s">
        <v>703</v>
      </c>
      <c r="C15484" t="s">
        <v>18533</v>
      </c>
      <c r="D15484" t="s">
        <v>18992</v>
      </c>
      <c r="E15484" t="s">
        <v>32184</v>
      </c>
      <c r="F15484" t="s">
        <v>32606</v>
      </c>
      <c r="G15484" t="s">
        <v>32613</v>
      </c>
      <c r="H15484" t="s">
        <v>14201</v>
      </c>
      <c r="I15484" t="s">
        <v>32638</v>
      </c>
      <c r="J15484" t="s">
        <v>42340</v>
      </c>
      <c r="K15484" t="s">
        <v>42636</v>
      </c>
      <c r="M15484" t="s">
        <v>43624</v>
      </c>
      <c r="N15484" t="s">
        <v>47304</v>
      </c>
      <c r="O15484" t="s">
        <v>47305</v>
      </c>
      <c r="Q15484">
        <v>13</v>
      </c>
      <c r="R15484" t="s">
        <v>47338</v>
      </c>
      <c r="S15484" t="s">
        <v>48630</v>
      </c>
      <c r="T15484" t="s">
        <v>49223</v>
      </c>
      <c r="U15484" t="s">
        <v>62280</v>
      </c>
      <c r="V15484" t="s">
        <v>64360</v>
      </c>
      <c r="W15484" t="s">
        <v>43624</v>
      </c>
      <c r="X15484" t="s">
        <v>47340</v>
      </c>
    </row>
    <row r="15485" spans="1:24">
      <c r="A15485">
        <f>HYPERLINK("https://www.philgeps.gov.ph/GEPSNONPILOT/Tender/SplashBidNoticeAbstractUI.aspx?menuIndex=3&amp;refID=7129514&amp;Result=3","7129514")</f>
        <v>0</v>
      </c>
      <c r="B15485" t="s">
        <v>954</v>
      </c>
      <c r="C15485" t="s">
        <v>18534</v>
      </c>
      <c r="E15485" t="s">
        <v>32185</v>
      </c>
      <c r="F15485" t="s">
        <v>32606</v>
      </c>
      <c r="G15485" t="s">
        <v>32620</v>
      </c>
      <c r="H15485" t="s">
        <v>32625</v>
      </c>
      <c r="I15485" t="s">
        <v>32625</v>
      </c>
      <c r="J15485" t="s">
        <v>42341</v>
      </c>
      <c r="K15485" t="s">
        <v>42646</v>
      </c>
      <c r="M15485" t="s">
        <v>46340</v>
      </c>
      <c r="N15485" t="s">
        <v>47304</v>
      </c>
      <c r="O15485" t="s">
        <v>47305</v>
      </c>
      <c r="Q15485">
        <v>2</v>
      </c>
      <c r="R15485" t="s">
        <v>47339</v>
      </c>
      <c r="S15485" t="s">
        <v>48631</v>
      </c>
      <c r="T15485" t="s">
        <v>49071</v>
      </c>
      <c r="U15485" t="s">
        <v>62281</v>
      </c>
      <c r="V15485" t="s">
        <v>63758</v>
      </c>
      <c r="W15485" t="s">
        <v>46340</v>
      </c>
      <c r="X15485" t="s">
        <v>47338</v>
      </c>
    </row>
    <row r="15486" spans="1:24">
      <c r="A15486">
        <f>HYPERLINK("https://www.philgeps.gov.ph/GEPSNONPILOT/Tender/SplashBidNoticeAbstractUI.aspx?menuIndex=3&amp;refID=7123888&amp;Result=3","7123888")</f>
        <v>0</v>
      </c>
      <c r="B15486" t="s">
        <v>703</v>
      </c>
      <c r="C15486" t="s">
        <v>18535</v>
      </c>
      <c r="D15486" t="s">
        <v>18992</v>
      </c>
      <c r="E15486" t="s">
        <v>32186</v>
      </c>
      <c r="F15486" t="s">
        <v>32606</v>
      </c>
      <c r="G15486" t="s">
        <v>32613</v>
      </c>
      <c r="H15486" t="s">
        <v>14201</v>
      </c>
      <c r="I15486" t="s">
        <v>4678</v>
      </c>
      <c r="J15486" t="s">
        <v>39863</v>
      </c>
      <c r="K15486" t="s">
        <v>42648</v>
      </c>
      <c r="M15486" t="s">
        <v>43624</v>
      </c>
      <c r="N15486" t="s">
        <v>47304</v>
      </c>
      <c r="O15486" t="s">
        <v>47305</v>
      </c>
      <c r="Q15486">
        <v>13</v>
      </c>
      <c r="R15486" t="s">
        <v>47338</v>
      </c>
      <c r="S15486" t="s">
        <v>48632</v>
      </c>
      <c r="T15486" t="s">
        <v>49103</v>
      </c>
      <c r="U15486" t="s">
        <v>62282</v>
      </c>
      <c r="V15486" t="s">
        <v>64361</v>
      </c>
      <c r="W15486" t="s">
        <v>43624</v>
      </c>
      <c r="X15486" t="s">
        <v>47340</v>
      </c>
    </row>
    <row r="15487" spans="1:24">
      <c r="A15487">
        <f>HYPERLINK("https://www.philgeps.gov.ph/GEPSNONPILOT/Tender/SplashBidNoticeAbstractUI.aspx?menuIndex=3&amp;refID=7123835&amp;Result=3","7123835")</f>
        <v>0</v>
      </c>
      <c r="B15487" t="s">
        <v>3887</v>
      </c>
      <c r="C15487" t="s">
        <v>18536</v>
      </c>
      <c r="D15487" t="s">
        <v>19022</v>
      </c>
      <c r="E15487" t="s">
        <v>32187</v>
      </c>
      <c r="F15487" t="s">
        <v>32606</v>
      </c>
      <c r="G15487" t="s">
        <v>32613</v>
      </c>
      <c r="H15487" t="s">
        <v>32624</v>
      </c>
      <c r="I15487" t="s">
        <v>9297</v>
      </c>
      <c r="J15487" t="s">
        <v>42342</v>
      </c>
      <c r="K15487" t="s">
        <v>42665</v>
      </c>
      <c r="M15487" t="s">
        <v>47253</v>
      </c>
      <c r="N15487" t="s">
        <v>47304</v>
      </c>
      <c r="O15487" t="s">
        <v>47305</v>
      </c>
      <c r="Q15487">
        <v>9</v>
      </c>
      <c r="R15487" t="s">
        <v>47338</v>
      </c>
      <c r="S15487" t="s">
        <v>48504</v>
      </c>
      <c r="T15487" t="s">
        <v>49535</v>
      </c>
      <c r="U15487" t="s">
        <v>62283</v>
      </c>
      <c r="W15487" t="s">
        <v>47253</v>
      </c>
      <c r="X15487" t="s">
        <v>47340</v>
      </c>
    </row>
    <row r="15488" spans="1:24">
      <c r="A15488">
        <f>HYPERLINK("https://www.philgeps.gov.ph/GEPSNONPILOT/Tender/SplashBidNoticeAbstractUI.aspx?menuIndex=3&amp;refID=7128563&amp;Result=3","7128563")</f>
        <v>0</v>
      </c>
      <c r="B15488" t="s">
        <v>1073</v>
      </c>
      <c r="C15488" t="s">
        <v>18537</v>
      </c>
      <c r="D15488" t="s">
        <v>19004</v>
      </c>
      <c r="E15488" t="s">
        <v>32188</v>
      </c>
      <c r="F15488" t="s">
        <v>32606</v>
      </c>
      <c r="G15488" t="s">
        <v>32613</v>
      </c>
      <c r="H15488" t="s">
        <v>32623</v>
      </c>
      <c r="I15488" t="s">
        <v>17648</v>
      </c>
      <c r="J15488" t="s">
        <v>42343</v>
      </c>
      <c r="K15488" t="s">
        <v>42781</v>
      </c>
      <c r="M15488" t="s">
        <v>44026</v>
      </c>
      <c r="N15488" t="s">
        <v>47304</v>
      </c>
      <c r="O15488" t="s">
        <v>47305</v>
      </c>
      <c r="Q15488">
        <v>5</v>
      </c>
      <c r="R15488" t="s">
        <v>47339</v>
      </c>
      <c r="S15488" t="s">
        <v>47527</v>
      </c>
      <c r="T15488" t="s">
        <v>48998</v>
      </c>
      <c r="U15488" t="s">
        <v>51715</v>
      </c>
      <c r="V15488" t="s">
        <v>64362</v>
      </c>
      <c r="W15488" t="s">
        <v>44026</v>
      </c>
      <c r="X15488" t="s">
        <v>47338</v>
      </c>
    </row>
    <row r="15489" spans="1:24">
      <c r="A15489">
        <f>HYPERLINK("https://www.philgeps.gov.ph/GEPSNONPILOT/Tender/SplashBidNoticeAbstractUI.aspx?menuIndex=3&amp;refID=7128455&amp;Result=3","7128455")</f>
        <v>0</v>
      </c>
      <c r="B15489" t="s">
        <v>1073</v>
      </c>
      <c r="C15489" t="s">
        <v>18538</v>
      </c>
      <c r="D15489" t="s">
        <v>19004</v>
      </c>
      <c r="E15489" t="s">
        <v>32189</v>
      </c>
      <c r="F15489" t="s">
        <v>32606</v>
      </c>
      <c r="G15489" t="s">
        <v>32613</v>
      </c>
      <c r="H15489" t="s">
        <v>32623</v>
      </c>
      <c r="I15489" t="s">
        <v>17648</v>
      </c>
      <c r="J15489" t="s">
        <v>42344</v>
      </c>
      <c r="K15489" t="s">
        <v>42760</v>
      </c>
      <c r="M15489" t="s">
        <v>44026</v>
      </c>
      <c r="N15489" t="s">
        <v>47304</v>
      </c>
      <c r="O15489" t="s">
        <v>47305</v>
      </c>
      <c r="Q15489">
        <v>5</v>
      </c>
      <c r="R15489" t="s">
        <v>47339</v>
      </c>
      <c r="S15489" t="s">
        <v>48206</v>
      </c>
      <c r="T15489" t="s">
        <v>48998</v>
      </c>
      <c r="U15489" t="s">
        <v>51715</v>
      </c>
      <c r="V15489" t="s">
        <v>64363</v>
      </c>
      <c r="W15489" t="s">
        <v>44026</v>
      </c>
      <c r="X15489" t="s">
        <v>47338</v>
      </c>
    </row>
    <row r="15490" spans="1:24">
      <c r="A15490">
        <f>HYPERLINK("https://www.philgeps.gov.ph/GEPSNONPILOT/Tender/SplashBidNoticeAbstractUI.aspx?menuIndex=3&amp;refID=7124047&amp;Result=3","7124047")</f>
        <v>0</v>
      </c>
      <c r="B15490" t="s">
        <v>703</v>
      </c>
      <c r="C15490" t="s">
        <v>18539</v>
      </c>
      <c r="D15490" t="s">
        <v>18992</v>
      </c>
      <c r="E15490" t="s">
        <v>32190</v>
      </c>
      <c r="F15490" t="s">
        <v>32606</v>
      </c>
      <c r="G15490" t="s">
        <v>32613</v>
      </c>
      <c r="H15490" t="s">
        <v>14201</v>
      </c>
      <c r="I15490" t="s">
        <v>32638</v>
      </c>
      <c r="J15490" t="s">
        <v>42345</v>
      </c>
      <c r="K15490" t="s">
        <v>42648</v>
      </c>
      <c r="M15490" t="s">
        <v>43624</v>
      </c>
      <c r="N15490" t="s">
        <v>47304</v>
      </c>
      <c r="O15490" t="s">
        <v>47305</v>
      </c>
      <c r="Q15490">
        <v>29</v>
      </c>
      <c r="R15490" t="s">
        <v>47338</v>
      </c>
      <c r="S15490" t="s">
        <v>48633</v>
      </c>
      <c r="T15490" t="s">
        <v>49536</v>
      </c>
      <c r="U15490" t="s">
        <v>62284</v>
      </c>
      <c r="V15490" t="s">
        <v>64364</v>
      </c>
      <c r="W15490" t="s">
        <v>43624</v>
      </c>
      <c r="X15490" t="s">
        <v>47340</v>
      </c>
    </row>
    <row r="15491" spans="1:24">
      <c r="A15491">
        <f>HYPERLINK("https://www.philgeps.gov.ph/GEPSNONPILOT/Tender/SplashBidNoticeAbstractUI.aspx?menuIndex=3&amp;refID=7128435&amp;Result=3","7128435")</f>
        <v>0</v>
      </c>
      <c r="B15491" t="s">
        <v>1073</v>
      </c>
      <c r="C15491" t="s">
        <v>18540</v>
      </c>
      <c r="D15491" t="s">
        <v>19004</v>
      </c>
      <c r="E15491" t="s">
        <v>32191</v>
      </c>
      <c r="F15491" t="s">
        <v>32606</v>
      </c>
      <c r="G15491" t="s">
        <v>32613</v>
      </c>
      <c r="H15491" t="s">
        <v>32623</v>
      </c>
      <c r="I15491" t="s">
        <v>17648</v>
      </c>
      <c r="J15491" t="s">
        <v>42346</v>
      </c>
      <c r="K15491" t="s">
        <v>42649</v>
      </c>
      <c r="M15491" t="s">
        <v>44026</v>
      </c>
      <c r="N15491" t="s">
        <v>47304</v>
      </c>
      <c r="O15491" t="s">
        <v>47305</v>
      </c>
      <c r="Q15491">
        <v>4</v>
      </c>
      <c r="R15491" t="s">
        <v>47339</v>
      </c>
      <c r="S15491" t="s">
        <v>48634</v>
      </c>
      <c r="T15491" t="s">
        <v>48998</v>
      </c>
      <c r="U15491" t="s">
        <v>51715</v>
      </c>
      <c r="V15491" t="s">
        <v>64365</v>
      </c>
      <c r="W15491" t="s">
        <v>44026</v>
      </c>
      <c r="X15491" t="s">
        <v>47338</v>
      </c>
    </row>
    <row r="15492" spans="1:24">
      <c r="A15492">
        <f>HYPERLINK("https://www.philgeps.gov.ph/GEPSNONPILOT/Tender/SplashBidNoticeAbstractUI.aspx?menuIndex=3&amp;refID=7128404&amp;Result=3","7128404")</f>
        <v>0</v>
      </c>
      <c r="B15492" t="s">
        <v>1073</v>
      </c>
      <c r="C15492" t="s">
        <v>18541</v>
      </c>
      <c r="D15492" t="s">
        <v>19004</v>
      </c>
      <c r="E15492" t="s">
        <v>32192</v>
      </c>
      <c r="F15492" t="s">
        <v>32606</v>
      </c>
      <c r="G15492" t="s">
        <v>32613</v>
      </c>
      <c r="H15492" t="s">
        <v>32623</v>
      </c>
      <c r="I15492" t="s">
        <v>17648</v>
      </c>
      <c r="J15492" t="s">
        <v>42347</v>
      </c>
      <c r="K15492" t="s">
        <v>42912</v>
      </c>
      <c r="M15492" t="s">
        <v>44026</v>
      </c>
      <c r="N15492" t="s">
        <v>47304</v>
      </c>
      <c r="O15492" t="s">
        <v>47305</v>
      </c>
      <c r="Q15492">
        <v>5</v>
      </c>
      <c r="R15492" t="s">
        <v>47339</v>
      </c>
      <c r="S15492" t="s">
        <v>48635</v>
      </c>
      <c r="T15492" t="s">
        <v>48998</v>
      </c>
      <c r="U15492" t="s">
        <v>51715</v>
      </c>
      <c r="V15492" t="s">
        <v>64366</v>
      </c>
      <c r="W15492" t="s">
        <v>44026</v>
      </c>
      <c r="X15492" t="s">
        <v>47338</v>
      </c>
    </row>
    <row r="15493" spans="1:24">
      <c r="A15493">
        <f>HYPERLINK("https://www.philgeps.gov.ph/GEPSNONPILOT/Tender/SplashBidNoticeAbstractUI.aspx?menuIndex=3&amp;refID=7129867&amp;Result=3","7129867")</f>
        <v>0</v>
      </c>
      <c r="B15493" t="s">
        <v>3885</v>
      </c>
      <c r="C15493" t="s">
        <v>18542</v>
      </c>
      <c r="D15493" t="s">
        <v>18988</v>
      </c>
      <c r="E15493" t="s">
        <v>32193</v>
      </c>
      <c r="F15493" t="s">
        <v>32606</v>
      </c>
      <c r="G15493" t="s">
        <v>32613</v>
      </c>
      <c r="H15493" t="s">
        <v>14201</v>
      </c>
      <c r="I15493" t="s">
        <v>6931</v>
      </c>
      <c r="J15493" t="s">
        <v>42348</v>
      </c>
      <c r="K15493" t="s">
        <v>42631</v>
      </c>
      <c r="M15493" t="s">
        <v>47251</v>
      </c>
      <c r="N15493" t="s">
        <v>47304</v>
      </c>
      <c r="O15493" t="s">
        <v>47305</v>
      </c>
      <c r="Q15493">
        <v>2</v>
      </c>
      <c r="R15493" t="s">
        <v>47337</v>
      </c>
      <c r="S15493" t="s">
        <v>48636</v>
      </c>
      <c r="T15493" t="s">
        <v>48994</v>
      </c>
      <c r="U15493" t="s">
        <v>62285</v>
      </c>
      <c r="W15493" t="s">
        <v>47251</v>
      </c>
      <c r="X15493" t="s">
        <v>47339</v>
      </c>
    </row>
    <row r="15494" spans="1:24">
      <c r="A15494">
        <f>HYPERLINK("https://www.philgeps.gov.ph/GEPSNONPILOT/Tender/SplashBidNoticeAbstractUI.aspx?menuIndex=3&amp;refID=7128367&amp;Result=3","7128367")</f>
        <v>0</v>
      </c>
      <c r="B15494" t="s">
        <v>1073</v>
      </c>
      <c r="C15494" t="s">
        <v>18543</v>
      </c>
      <c r="D15494" t="s">
        <v>19004</v>
      </c>
      <c r="E15494" t="s">
        <v>32194</v>
      </c>
      <c r="F15494" t="s">
        <v>32606</v>
      </c>
      <c r="G15494" t="s">
        <v>32613</v>
      </c>
      <c r="H15494" t="s">
        <v>32623</v>
      </c>
      <c r="I15494" t="s">
        <v>17648</v>
      </c>
      <c r="J15494" t="s">
        <v>42349</v>
      </c>
      <c r="K15494" t="s">
        <v>42730</v>
      </c>
      <c r="M15494" t="s">
        <v>44026</v>
      </c>
      <c r="N15494" t="s">
        <v>47304</v>
      </c>
      <c r="O15494" t="s">
        <v>47305</v>
      </c>
      <c r="Q15494">
        <v>5</v>
      </c>
      <c r="R15494" t="s">
        <v>47339</v>
      </c>
      <c r="S15494" t="s">
        <v>48637</v>
      </c>
      <c r="T15494" t="s">
        <v>48998</v>
      </c>
      <c r="U15494" t="s">
        <v>51715</v>
      </c>
      <c r="V15494" t="s">
        <v>64367</v>
      </c>
      <c r="W15494" t="s">
        <v>44026</v>
      </c>
      <c r="X15494" t="s">
        <v>47338</v>
      </c>
    </row>
    <row r="15495" spans="1:24">
      <c r="A15495">
        <f>HYPERLINK("https://www.philgeps.gov.ph/GEPSNONPILOT/Tender/SplashBidNoticeAbstractUI.aspx?menuIndex=3&amp;refID=7127254&amp;Result=3","7127254")</f>
        <v>0</v>
      </c>
      <c r="B15495" t="s">
        <v>652</v>
      </c>
      <c r="C15495" t="s">
        <v>18544</v>
      </c>
      <c r="D15495" t="s">
        <v>18993</v>
      </c>
      <c r="E15495" t="s">
        <v>32195</v>
      </c>
      <c r="F15495" t="s">
        <v>32606</v>
      </c>
      <c r="G15495" t="s">
        <v>32613</v>
      </c>
      <c r="H15495" t="s">
        <v>14201</v>
      </c>
      <c r="I15495" t="s">
        <v>4369</v>
      </c>
      <c r="J15495" t="s">
        <v>42350</v>
      </c>
      <c r="K15495" t="s">
        <v>42677</v>
      </c>
      <c r="M15495" t="s">
        <v>47254</v>
      </c>
      <c r="N15495" t="s">
        <v>47304</v>
      </c>
      <c r="O15495" t="s">
        <v>47305</v>
      </c>
      <c r="Q15495">
        <v>22</v>
      </c>
      <c r="R15495" t="s">
        <v>47339</v>
      </c>
      <c r="S15495" t="s">
        <v>48638</v>
      </c>
      <c r="T15495" t="s">
        <v>49315</v>
      </c>
      <c r="U15495" t="s">
        <v>62286</v>
      </c>
      <c r="W15495" t="s">
        <v>47254</v>
      </c>
      <c r="X15495" t="s">
        <v>47338</v>
      </c>
    </row>
    <row r="15496" spans="1:24">
      <c r="A15496">
        <f>HYPERLINK("https://www.philgeps.gov.ph/GEPSNONPILOT/Tender/SplashBidNoticeAbstractUI.aspx?menuIndex=3&amp;refID=7128474&amp;Result=3","7128474")</f>
        <v>0</v>
      </c>
      <c r="B15496" t="s">
        <v>1073</v>
      </c>
      <c r="C15496" t="s">
        <v>18545</v>
      </c>
      <c r="D15496" t="s">
        <v>19004</v>
      </c>
      <c r="E15496" t="s">
        <v>32196</v>
      </c>
      <c r="F15496" t="s">
        <v>32606</v>
      </c>
      <c r="G15496" t="s">
        <v>32613</v>
      </c>
      <c r="H15496" t="s">
        <v>32623</v>
      </c>
      <c r="I15496" t="s">
        <v>17648</v>
      </c>
      <c r="J15496" t="s">
        <v>42351</v>
      </c>
      <c r="K15496" t="s">
        <v>42778</v>
      </c>
      <c r="M15496" t="s">
        <v>44026</v>
      </c>
      <c r="N15496" t="s">
        <v>47304</v>
      </c>
      <c r="O15496" t="s">
        <v>47305</v>
      </c>
      <c r="Q15496">
        <v>5</v>
      </c>
      <c r="R15496" t="s">
        <v>47339</v>
      </c>
      <c r="S15496" t="s">
        <v>48639</v>
      </c>
      <c r="T15496" t="s">
        <v>48998</v>
      </c>
      <c r="U15496" t="s">
        <v>51715</v>
      </c>
      <c r="V15496" t="s">
        <v>64368</v>
      </c>
      <c r="W15496" t="s">
        <v>44026</v>
      </c>
      <c r="X15496" t="s">
        <v>47338</v>
      </c>
    </row>
    <row r="15497" spans="1:24">
      <c r="A15497">
        <f>HYPERLINK("https://www.philgeps.gov.ph/GEPSNONPILOT/Tender/SplashBidNoticeAbstractUI.aspx?menuIndex=3&amp;refID=7128338&amp;Result=3","7128338")</f>
        <v>0</v>
      </c>
      <c r="B15497" t="s">
        <v>1073</v>
      </c>
      <c r="C15497" t="s">
        <v>18546</v>
      </c>
      <c r="D15497" t="s">
        <v>19004</v>
      </c>
      <c r="E15497" t="s">
        <v>32197</v>
      </c>
      <c r="F15497" t="s">
        <v>32606</v>
      </c>
      <c r="G15497" t="s">
        <v>32613</v>
      </c>
      <c r="H15497" t="s">
        <v>32623</v>
      </c>
      <c r="I15497" t="s">
        <v>17648</v>
      </c>
      <c r="J15497" t="s">
        <v>42352</v>
      </c>
      <c r="K15497" t="s">
        <v>42804</v>
      </c>
      <c r="M15497" t="s">
        <v>44026</v>
      </c>
      <c r="N15497" t="s">
        <v>47304</v>
      </c>
      <c r="O15497" t="s">
        <v>47305</v>
      </c>
      <c r="Q15497">
        <v>5</v>
      </c>
      <c r="R15497" t="s">
        <v>47339</v>
      </c>
      <c r="S15497" t="s">
        <v>48640</v>
      </c>
      <c r="T15497" t="s">
        <v>48998</v>
      </c>
      <c r="U15497" t="s">
        <v>51715</v>
      </c>
      <c r="V15497" t="s">
        <v>64369</v>
      </c>
      <c r="W15497" t="s">
        <v>44026</v>
      </c>
      <c r="X15497" t="s">
        <v>47338</v>
      </c>
    </row>
    <row r="15498" spans="1:24">
      <c r="A15498">
        <f>HYPERLINK("https://www.philgeps.gov.ph/GEPSNONPILOT/Tender/SplashBidNoticeAbstractUI.aspx?menuIndex=3&amp;refID=7129910&amp;Result=3","7129910")</f>
        <v>0</v>
      </c>
      <c r="B15498" t="s">
        <v>3885</v>
      </c>
      <c r="C15498" t="s">
        <v>18547</v>
      </c>
      <c r="D15498" t="s">
        <v>18988</v>
      </c>
      <c r="E15498" t="s">
        <v>32198</v>
      </c>
      <c r="F15498" t="s">
        <v>32606</v>
      </c>
      <c r="G15498" t="s">
        <v>32613</v>
      </c>
      <c r="H15498" t="s">
        <v>14201</v>
      </c>
      <c r="I15498" t="s">
        <v>6931</v>
      </c>
      <c r="J15498" t="s">
        <v>42353</v>
      </c>
      <c r="K15498" t="s">
        <v>42631</v>
      </c>
      <c r="M15498" t="s">
        <v>47251</v>
      </c>
      <c r="N15498" t="s">
        <v>47304</v>
      </c>
      <c r="O15498" t="s">
        <v>47305</v>
      </c>
      <c r="Q15498">
        <v>0</v>
      </c>
      <c r="R15498" t="s">
        <v>47337</v>
      </c>
      <c r="S15498" t="s">
        <v>48641</v>
      </c>
      <c r="T15498" t="s">
        <v>48994</v>
      </c>
      <c r="U15498" t="s">
        <v>62287</v>
      </c>
      <c r="W15498" t="s">
        <v>47251</v>
      </c>
      <c r="X15498" t="s">
        <v>47339</v>
      </c>
    </row>
    <row r="15499" spans="1:24">
      <c r="A15499">
        <f>HYPERLINK("https://www.philgeps.gov.ph/GEPSNONPILOT/Tender/SplashBidNoticeAbstractUI.aspx?menuIndex=3&amp;refID=7129268&amp;Result=3","7129268")</f>
        <v>0</v>
      </c>
      <c r="B15499" t="s">
        <v>1077</v>
      </c>
      <c r="C15499" t="s">
        <v>18548</v>
      </c>
      <c r="D15499" t="s">
        <v>19069</v>
      </c>
      <c r="E15499" t="s">
        <v>32199</v>
      </c>
      <c r="F15499" t="s">
        <v>32606</v>
      </c>
      <c r="G15499" t="s">
        <v>32613</v>
      </c>
      <c r="H15499" t="s">
        <v>32624</v>
      </c>
      <c r="I15499" t="s">
        <v>32700</v>
      </c>
      <c r="J15499" t="s">
        <v>42354</v>
      </c>
      <c r="K15499" t="s">
        <v>42639</v>
      </c>
      <c r="M15499" t="s">
        <v>46998</v>
      </c>
      <c r="N15499" t="s">
        <v>47304</v>
      </c>
      <c r="O15499" t="s">
        <v>47305</v>
      </c>
      <c r="Q15499">
        <v>48</v>
      </c>
      <c r="R15499" t="s">
        <v>47339</v>
      </c>
      <c r="S15499" t="s">
        <v>48642</v>
      </c>
      <c r="T15499" t="s">
        <v>48988</v>
      </c>
      <c r="U15499" t="s">
        <v>62288</v>
      </c>
      <c r="W15499" t="s">
        <v>46998</v>
      </c>
      <c r="X15499" t="s">
        <v>47338</v>
      </c>
    </row>
    <row r="15500" spans="1:24">
      <c r="A15500">
        <f>HYPERLINK("https://www.philgeps.gov.ph/GEPSNONPILOT/Tender/SplashBidNoticeAbstractUI.aspx?menuIndex=3&amp;refID=7127922&amp;Result=3","7127922")</f>
        <v>0</v>
      </c>
      <c r="B15500" t="s">
        <v>3888</v>
      </c>
      <c r="C15500" t="s">
        <v>18549</v>
      </c>
      <c r="D15500" t="s">
        <v>19022</v>
      </c>
      <c r="E15500" t="s">
        <v>32200</v>
      </c>
      <c r="F15500" t="s">
        <v>32606</v>
      </c>
      <c r="G15500" t="s">
        <v>32613</v>
      </c>
      <c r="H15500" t="s">
        <v>32623</v>
      </c>
      <c r="I15500" t="s">
        <v>17648</v>
      </c>
      <c r="J15500" t="s">
        <v>42355</v>
      </c>
      <c r="K15500" t="s">
        <v>42624</v>
      </c>
      <c r="L15500" t="s">
        <v>3888</v>
      </c>
      <c r="M15500" t="s">
        <v>47255</v>
      </c>
      <c r="N15500" t="s">
        <v>47304</v>
      </c>
      <c r="O15500" t="s">
        <v>47305</v>
      </c>
      <c r="Q15500">
        <v>2</v>
      </c>
      <c r="R15500" t="s">
        <v>47339</v>
      </c>
      <c r="S15500" t="s">
        <v>47542</v>
      </c>
      <c r="T15500" t="s">
        <v>49121</v>
      </c>
      <c r="U15500" t="s">
        <v>62289</v>
      </c>
      <c r="V15500" t="s">
        <v>64370</v>
      </c>
      <c r="W15500" t="s">
        <v>47255</v>
      </c>
      <c r="X15500" t="s">
        <v>47338</v>
      </c>
    </row>
    <row r="15501" spans="1:24">
      <c r="A15501">
        <f>HYPERLINK("https://www.philgeps.gov.ph/GEPSNONPILOT/Tender/SplashBidNoticeAbstractUI.aspx?menuIndex=3&amp;refID=7134787&amp;Result=3","7134787")</f>
        <v>0</v>
      </c>
      <c r="B15501" t="s">
        <v>223</v>
      </c>
      <c r="C15501" t="s">
        <v>18550</v>
      </c>
      <c r="D15501" t="s">
        <v>19008</v>
      </c>
      <c r="E15501" t="s">
        <v>32201</v>
      </c>
      <c r="F15501" t="s">
        <v>32606</v>
      </c>
      <c r="G15501" t="s">
        <v>32613</v>
      </c>
      <c r="H15501" t="s">
        <v>32623</v>
      </c>
      <c r="I15501" t="s">
        <v>17648</v>
      </c>
      <c r="J15501" t="s">
        <v>32920</v>
      </c>
      <c r="K15501" t="s">
        <v>42712</v>
      </c>
      <c r="M15501" t="s">
        <v>43124</v>
      </c>
      <c r="N15501" t="s">
        <v>47304</v>
      </c>
      <c r="O15501" t="s">
        <v>47305</v>
      </c>
      <c r="P15501">
        <v>0</v>
      </c>
      <c r="Q15501">
        <v>3</v>
      </c>
      <c r="R15501" t="s">
        <v>47336</v>
      </c>
      <c r="S15501" t="s">
        <v>48643</v>
      </c>
      <c r="T15501" t="s">
        <v>49267</v>
      </c>
      <c r="U15501" t="s">
        <v>62290</v>
      </c>
      <c r="V15501" t="s">
        <v>62960</v>
      </c>
      <c r="W15501" t="s">
        <v>43124</v>
      </c>
      <c r="X15501" t="s">
        <v>47337</v>
      </c>
    </row>
    <row r="15502" spans="1:24">
      <c r="A15502">
        <f>HYPERLINK("https://www.philgeps.gov.ph/GEPSNONPILOT/Tender/SplashBidNoticeAbstractUI.aspx?menuIndex=3&amp;refID=7128495&amp;Result=3","7128495")</f>
        <v>0</v>
      </c>
      <c r="B15502" t="s">
        <v>1073</v>
      </c>
      <c r="C15502" t="s">
        <v>18551</v>
      </c>
      <c r="D15502" t="s">
        <v>19004</v>
      </c>
      <c r="E15502" t="s">
        <v>26961</v>
      </c>
      <c r="F15502" t="s">
        <v>32606</v>
      </c>
      <c r="G15502" t="s">
        <v>32613</v>
      </c>
      <c r="H15502" t="s">
        <v>32623</v>
      </c>
      <c r="I15502" t="s">
        <v>17648</v>
      </c>
      <c r="J15502" t="s">
        <v>42356</v>
      </c>
      <c r="K15502" t="s">
        <v>42761</v>
      </c>
      <c r="M15502" t="s">
        <v>44026</v>
      </c>
      <c r="N15502" t="s">
        <v>47304</v>
      </c>
      <c r="O15502" t="s">
        <v>47305</v>
      </c>
      <c r="Q15502">
        <v>6</v>
      </c>
      <c r="R15502" t="s">
        <v>47339</v>
      </c>
      <c r="S15502" t="s">
        <v>48644</v>
      </c>
      <c r="T15502" t="s">
        <v>48998</v>
      </c>
      <c r="U15502" t="s">
        <v>51715</v>
      </c>
      <c r="V15502" t="s">
        <v>64371</v>
      </c>
      <c r="W15502" t="s">
        <v>44026</v>
      </c>
      <c r="X15502" t="s">
        <v>47338</v>
      </c>
    </row>
    <row r="15503" spans="1:24">
      <c r="A15503">
        <f>HYPERLINK("https://www.philgeps.gov.ph/GEPSNONPILOT/Tender/SplashBidNoticeAbstractUI.aspx?menuIndex=3&amp;refID=7129337&amp;Result=3","7129337")</f>
        <v>0</v>
      </c>
      <c r="B15503" t="s">
        <v>1077</v>
      </c>
      <c r="C15503" t="s">
        <v>18552</v>
      </c>
      <c r="D15503" t="s">
        <v>19069</v>
      </c>
      <c r="E15503" t="s">
        <v>32202</v>
      </c>
      <c r="F15503" t="s">
        <v>32606</v>
      </c>
      <c r="G15503" t="s">
        <v>32613</v>
      </c>
      <c r="H15503" t="s">
        <v>32624</v>
      </c>
      <c r="I15503" t="s">
        <v>32652</v>
      </c>
      <c r="J15503" t="s">
        <v>32767</v>
      </c>
      <c r="K15503" t="s">
        <v>42670</v>
      </c>
      <c r="M15503" t="s">
        <v>46998</v>
      </c>
      <c r="N15503" t="s">
        <v>47304</v>
      </c>
      <c r="O15503" t="s">
        <v>47305</v>
      </c>
      <c r="Q15503">
        <v>3</v>
      </c>
      <c r="R15503" t="s">
        <v>47337</v>
      </c>
      <c r="S15503" t="s">
        <v>48645</v>
      </c>
      <c r="T15503" t="s">
        <v>48988</v>
      </c>
      <c r="U15503" t="s">
        <v>62291</v>
      </c>
      <c r="W15503" t="s">
        <v>46998</v>
      </c>
      <c r="X15503" t="s">
        <v>47338</v>
      </c>
    </row>
    <row r="15504" spans="1:24">
      <c r="A15504">
        <f>HYPERLINK("https://www.philgeps.gov.ph/GEPSNONPILOT/Tender/SplashBidNoticeAbstractUI.aspx?menuIndex=3&amp;refID=7134482&amp;Result=3","7134482")</f>
        <v>0</v>
      </c>
      <c r="B15504" t="s">
        <v>3741</v>
      </c>
      <c r="C15504" t="s">
        <v>18553</v>
      </c>
      <c r="D15504" t="s">
        <v>19036</v>
      </c>
      <c r="E15504" t="s">
        <v>32203</v>
      </c>
      <c r="F15504" t="s">
        <v>32606</v>
      </c>
      <c r="G15504" t="s">
        <v>32613</v>
      </c>
      <c r="H15504" t="s">
        <v>14201</v>
      </c>
      <c r="I15504" t="s">
        <v>7064</v>
      </c>
      <c r="J15504" t="s">
        <v>33071</v>
      </c>
      <c r="K15504" t="s">
        <v>42627</v>
      </c>
      <c r="M15504" t="s">
        <v>47068</v>
      </c>
      <c r="N15504" t="s">
        <v>47304</v>
      </c>
      <c r="O15504" t="s">
        <v>47305</v>
      </c>
      <c r="Q15504">
        <v>11</v>
      </c>
      <c r="R15504" t="s">
        <v>47335</v>
      </c>
      <c r="S15504" t="s">
        <v>48646</v>
      </c>
      <c r="T15504" t="s">
        <v>48998</v>
      </c>
      <c r="U15504" t="s">
        <v>62292</v>
      </c>
      <c r="W15504" t="s">
        <v>47068</v>
      </c>
      <c r="X15504" t="s">
        <v>47337</v>
      </c>
    </row>
    <row r="15505" spans="1:24">
      <c r="A15505">
        <f>HYPERLINK("https://www.philgeps.gov.ph/GEPSNONPILOT/Tender/SplashBidNoticeAbstractUI.aspx?menuIndex=3&amp;refID=7119822&amp;Result=3","7119822")</f>
        <v>0</v>
      </c>
      <c r="B15505" t="s">
        <v>2517</v>
      </c>
      <c r="C15505" t="s">
        <v>18554</v>
      </c>
      <c r="D15505" t="s">
        <v>19054</v>
      </c>
      <c r="E15505" t="s">
        <v>32204</v>
      </c>
      <c r="F15505" t="s">
        <v>32606</v>
      </c>
      <c r="G15505" t="s">
        <v>32613</v>
      </c>
      <c r="H15505" t="s">
        <v>32623</v>
      </c>
      <c r="I15505" t="s">
        <v>17648</v>
      </c>
      <c r="J15505" t="s">
        <v>37499</v>
      </c>
      <c r="K15505" t="s">
        <v>42913</v>
      </c>
      <c r="M15505" t="s">
        <v>45658</v>
      </c>
      <c r="N15505" t="s">
        <v>47304</v>
      </c>
      <c r="O15505" t="s">
        <v>47305</v>
      </c>
      <c r="Q15505">
        <v>0</v>
      </c>
      <c r="R15505" t="s">
        <v>47339</v>
      </c>
      <c r="S15505" t="s">
        <v>48647</v>
      </c>
      <c r="T15505" t="s">
        <v>49004</v>
      </c>
      <c r="U15505" t="s">
        <v>62293</v>
      </c>
      <c r="V15505" t="s">
        <v>64372</v>
      </c>
      <c r="W15505" t="s">
        <v>45658</v>
      </c>
      <c r="X15505" t="s">
        <v>47344</v>
      </c>
    </row>
    <row r="15506" spans="1:24">
      <c r="A15506">
        <f>HYPERLINK("https://www.philgeps.gov.ph/GEPSNONPILOT/Tender/SplashBidNoticeAbstractUI.aspx?menuIndex=3&amp;refID=7130932&amp;Result=3","7130932")</f>
        <v>0</v>
      </c>
      <c r="B15506" t="s">
        <v>3850</v>
      </c>
      <c r="C15506" t="s">
        <v>18555</v>
      </c>
      <c r="D15506" t="s">
        <v>19051</v>
      </c>
      <c r="E15506" t="s">
        <v>32205</v>
      </c>
      <c r="F15506" t="s">
        <v>32606</v>
      </c>
      <c r="G15506" t="s">
        <v>32613</v>
      </c>
      <c r="H15506" t="s">
        <v>14201</v>
      </c>
      <c r="I15506" t="s">
        <v>9013</v>
      </c>
      <c r="J15506" t="s">
        <v>32860</v>
      </c>
      <c r="K15506" t="s">
        <v>42719</v>
      </c>
      <c r="M15506" t="s">
        <v>47199</v>
      </c>
      <c r="N15506" t="s">
        <v>47304</v>
      </c>
      <c r="O15506" t="s">
        <v>47305</v>
      </c>
      <c r="Q15506">
        <v>5</v>
      </c>
      <c r="R15506" t="s">
        <v>47335</v>
      </c>
      <c r="S15506" t="s">
        <v>48648</v>
      </c>
      <c r="T15506" t="s">
        <v>49071</v>
      </c>
      <c r="U15506" t="s">
        <v>62294</v>
      </c>
      <c r="V15506" t="s">
        <v>64373</v>
      </c>
      <c r="W15506" t="s">
        <v>47199</v>
      </c>
      <c r="X15506" t="s">
        <v>47339</v>
      </c>
    </row>
    <row r="15507" spans="1:24">
      <c r="A15507">
        <f>HYPERLINK("https://www.philgeps.gov.ph/GEPSNONPILOT/Tender/SplashBidNoticeAbstractUI.aspx?menuIndex=3&amp;refID=7136869&amp;Result=3","7136869")</f>
        <v>0</v>
      </c>
      <c r="B15507" t="s">
        <v>652</v>
      </c>
      <c r="C15507" t="s">
        <v>18556</v>
      </c>
      <c r="D15507" t="s">
        <v>18993</v>
      </c>
      <c r="E15507" t="s">
        <v>32206</v>
      </c>
      <c r="F15507" t="s">
        <v>32606</v>
      </c>
      <c r="G15507" t="s">
        <v>32613</v>
      </c>
      <c r="H15507" t="s">
        <v>32625</v>
      </c>
      <c r="I15507" t="s">
        <v>32625</v>
      </c>
      <c r="J15507" t="s">
        <v>42357</v>
      </c>
      <c r="K15507" t="s">
        <v>42707</v>
      </c>
      <c r="M15507" t="s">
        <v>47108</v>
      </c>
      <c r="N15507" t="s">
        <v>47304</v>
      </c>
      <c r="O15507" t="s">
        <v>47305</v>
      </c>
      <c r="Q15507">
        <v>10</v>
      </c>
      <c r="R15507" t="s">
        <v>47334</v>
      </c>
      <c r="S15507" t="s">
        <v>48649</v>
      </c>
      <c r="T15507" t="s">
        <v>49315</v>
      </c>
      <c r="U15507" t="s">
        <v>62295</v>
      </c>
      <c r="W15507" t="s">
        <v>47108</v>
      </c>
      <c r="X15507" t="s">
        <v>47335</v>
      </c>
    </row>
    <row r="15508" spans="1:24">
      <c r="A15508">
        <f>HYPERLINK("https://www.philgeps.gov.ph/GEPSNONPILOT/Tender/SplashBidNoticeAbstractUI.aspx?menuIndex=3&amp;refID=7136879&amp;Result=3","7136879")</f>
        <v>0</v>
      </c>
      <c r="B15508" t="s">
        <v>3881</v>
      </c>
      <c r="C15508" t="s">
        <v>18557</v>
      </c>
      <c r="D15508" t="s">
        <v>19064</v>
      </c>
      <c r="E15508" t="s">
        <v>32207</v>
      </c>
      <c r="F15508" t="s">
        <v>32606</v>
      </c>
      <c r="G15508" t="s">
        <v>32613</v>
      </c>
      <c r="H15508" t="s">
        <v>14201</v>
      </c>
      <c r="I15508" t="s">
        <v>32635</v>
      </c>
      <c r="J15508" t="s">
        <v>42358</v>
      </c>
      <c r="K15508" t="s">
        <v>42636</v>
      </c>
      <c r="M15508" t="s">
        <v>47246</v>
      </c>
      <c r="N15508" t="s">
        <v>47304</v>
      </c>
      <c r="O15508" t="s">
        <v>47305</v>
      </c>
      <c r="Q15508">
        <v>4</v>
      </c>
      <c r="R15508" t="s">
        <v>47334</v>
      </c>
      <c r="S15508" t="s">
        <v>48650</v>
      </c>
      <c r="T15508" t="s">
        <v>49532</v>
      </c>
      <c r="U15508" t="s">
        <v>50072</v>
      </c>
      <c r="W15508" t="s">
        <v>47246</v>
      </c>
      <c r="X15508" t="s">
        <v>47335</v>
      </c>
    </row>
    <row r="15509" spans="1:24">
      <c r="A15509">
        <f>HYPERLINK("https://www.philgeps.gov.ph/GEPSNONPILOT/Tender/SplashBidNoticeAbstractUI.aspx?menuIndex=3&amp;refID=7134587&amp;Result=3","7134587")</f>
        <v>0</v>
      </c>
      <c r="B15509" t="s">
        <v>3741</v>
      </c>
      <c r="C15509" t="s">
        <v>18558</v>
      </c>
      <c r="D15509" t="s">
        <v>19036</v>
      </c>
      <c r="E15509" t="s">
        <v>32208</v>
      </c>
      <c r="F15509" t="s">
        <v>32606</v>
      </c>
      <c r="G15509" t="s">
        <v>32613</v>
      </c>
      <c r="H15509" t="s">
        <v>14201</v>
      </c>
      <c r="I15509" t="s">
        <v>7064</v>
      </c>
      <c r="J15509" t="s">
        <v>37542</v>
      </c>
      <c r="K15509" t="s">
        <v>42631</v>
      </c>
      <c r="M15509" t="s">
        <v>47068</v>
      </c>
      <c r="N15509" t="s">
        <v>47304</v>
      </c>
      <c r="O15509" t="s">
        <v>47305</v>
      </c>
      <c r="Q15509">
        <v>5</v>
      </c>
      <c r="R15509" t="s">
        <v>47335</v>
      </c>
      <c r="S15509" t="s">
        <v>48651</v>
      </c>
      <c r="T15509" t="s">
        <v>48998</v>
      </c>
      <c r="U15509" t="s">
        <v>62296</v>
      </c>
      <c r="W15509" t="s">
        <v>47068</v>
      </c>
      <c r="X15509" t="s">
        <v>47337</v>
      </c>
    </row>
    <row r="15510" spans="1:24">
      <c r="A15510">
        <f>HYPERLINK("https://www.philgeps.gov.ph/GEPSNONPILOT/Tender/SplashBidNoticeAbstractUI.aspx?menuIndex=3&amp;refID=7134516&amp;Result=3","7134516")</f>
        <v>0</v>
      </c>
      <c r="B15510" t="s">
        <v>3741</v>
      </c>
      <c r="C15510" t="s">
        <v>18559</v>
      </c>
      <c r="D15510" t="s">
        <v>19036</v>
      </c>
      <c r="E15510" t="s">
        <v>32209</v>
      </c>
      <c r="F15510" t="s">
        <v>32606</v>
      </c>
      <c r="G15510" t="s">
        <v>32613</v>
      </c>
      <c r="H15510" t="s">
        <v>14201</v>
      </c>
      <c r="I15510" t="s">
        <v>7677</v>
      </c>
      <c r="J15510" t="s">
        <v>42359</v>
      </c>
      <c r="K15510" t="s">
        <v>42627</v>
      </c>
      <c r="M15510" t="s">
        <v>47068</v>
      </c>
      <c r="N15510" t="s">
        <v>47304</v>
      </c>
      <c r="O15510" t="s">
        <v>47305</v>
      </c>
      <c r="Q15510">
        <v>7</v>
      </c>
      <c r="R15510" t="s">
        <v>47335</v>
      </c>
      <c r="S15510" t="s">
        <v>48652</v>
      </c>
      <c r="T15510" t="s">
        <v>48998</v>
      </c>
      <c r="U15510" t="s">
        <v>62296</v>
      </c>
      <c r="W15510" t="s">
        <v>47068</v>
      </c>
      <c r="X15510" t="s">
        <v>47337</v>
      </c>
    </row>
    <row r="15511" spans="1:24">
      <c r="A15511">
        <f>HYPERLINK("https://www.philgeps.gov.ph/GEPSNONPILOT/Tender/SplashBidNoticeAbstractUI.aspx?menuIndex=3&amp;refID=7126341&amp;Result=3","7126341")</f>
        <v>0</v>
      </c>
      <c r="B15511" t="s">
        <v>1241</v>
      </c>
      <c r="C15511" t="s">
        <v>18560</v>
      </c>
      <c r="D15511" t="s">
        <v>19037</v>
      </c>
      <c r="E15511" t="s">
        <v>32210</v>
      </c>
      <c r="F15511" t="s">
        <v>32606</v>
      </c>
      <c r="G15511" t="s">
        <v>32613</v>
      </c>
      <c r="H15511" t="s">
        <v>32623</v>
      </c>
      <c r="I15511" t="s">
        <v>17648</v>
      </c>
      <c r="J15511" t="s">
        <v>32795</v>
      </c>
      <c r="K15511" t="s">
        <v>42712</v>
      </c>
      <c r="M15511" t="s">
        <v>47256</v>
      </c>
      <c r="N15511" t="s">
        <v>47304</v>
      </c>
      <c r="O15511" t="s">
        <v>47305</v>
      </c>
      <c r="Q15511">
        <v>12</v>
      </c>
      <c r="R15511" t="s">
        <v>47338</v>
      </c>
      <c r="S15511" t="s">
        <v>48342</v>
      </c>
      <c r="T15511" t="s">
        <v>49071</v>
      </c>
      <c r="U15511" t="s">
        <v>62297</v>
      </c>
      <c r="W15511" t="s">
        <v>47256</v>
      </c>
      <c r="X15511" t="s">
        <v>47340</v>
      </c>
    </row>
    <row r="15512" spans="1:24">
      <c r="A15512">
        <f>HYPERLINK("https://www.philgeps.gov.ph/GEPSNONPILOT/Tender/SplashBidNoticeAbstractUI.aspx?menuIndex=3&amp;refID=7120060&amp;Result=3","7120060")</f>
        <v>0</v>
      </c>
      <c r="B15512" t="s">
        <v>212</v>
      </c>
      <c r="C15512" t="s">
        <v>18561</v>
      </c>
      <c r="D15512" t="s">
        <v>19007</v>
      </c>
      <c r="E15512" t="s">
        <v>32211</v>
      </c>
      <c r="F15512" t="s">
        <v>32606</v>
      </c>
      <c r="G15512" t="s">
        <v>32613</v>
      </c>
      <c r="H15512" t="s">
        <v>32623</v>
      </c>
      <c r="I15512" t="s">
        <v>17648</v>
      </c>
      <c r="J15512" t="s">
        <v>42360</v>
      </c>
      <c r="K15512" t="s">
        <v>42636</v>
      </c>
      <c r="M15512" t="s">
        <v>43113</v>
      </c>
      <c r="N15512" t="s">
        <v>47304</v>
      </c>
      <c r="O15512" t="s">
        <v>47305</v>
      </c>
      <c r="Q15512">
        <v>6</v>
      </c>
      <c r="R15512" t="s">
        <v>47340</v>
      </c>
      <c r="S15512" t="s">
        <v>47944</v>
      </c>
      <c r="T15512" t="s">
        <v>49068</v>
      </c>
      <c r="U15512" t="s">
        <v>62298</v>
      </c>
      <c r="W15512" t="s">
        <v>43113</v>
      </c>
      <c r="X15512" t="s">
        <v>47341</v>
      </c>
    </row>
    <row r="15513" spans="1:24">
      <c r="A15513">
        <f>HYPERLINK("https://www.philgeps.gov.ph/GEPSNONPILOT/Tender/SplashBidNoticeAbstractUI.aspx?menuIndex=3&amp;refID=7126067&amp;Result=3","7126067")</f>
        <v>0</v>
      </c>
      <c r="B15513" t="s">
        <v>3889</v>
      </c>
      <c r="C15513" t="s">
        <v>18562</v>
      </c>
      <c r="D15513" t="s">
        <v>18993</v>
      </c>
      <c r="E15513" t="s">
        <v>32212</v>
      </c>
      <c r="F15513" t="s">
        <v>32606</v>
      </c>
      <c r="G15513" t="s">
        <v>32613</v>
      </c>
      <c r="H15513" t="s">
        <v>14201</v>
      </c>
      <c r="I15513" t="s">
        <v>8606</v>
      </c>
      <c r="J15513" t="s">
        <v>42361</v>
      </c>
      <c r="K15513" t="s">
        <v>42630</v>
      </c>
      <c r="M15513" t="s">
        <v>47257</v>
      </c>
      <c r="N15513" t="s">
        <v>47304</v>
      </c>
      <c r="O15513" t="s">
        <v>47305</v>
      </c>
      <c r="Q15513">
        <v>10</v>
      </c>
      <c r="R15513" t="s">
        <v>47338</v>
      </c>
      <c r="S15513" t="s">
        <v>48653</v>
      </c>
      <c r="T15513" t="s">
        <v>49240</v>
      </c>
      <c r="U15513" t="s">
        <v>62299</v>
      </c>
      <c r="W15513" t="s">
        <v>47257</v>
      </c>
      <c r="X15513" t="s">
        <v>47340</v>
      </c>
    </row>
    <row r="15514" spans="1:24">
      <c r="A15514">
        <f>HYPERLINK("https://www.philgeps.gov.ph/GEPSNONPILOT/Tender/SplashBidNoticeAbstractUI.aspx?menuIndex=3&amp;refID=7125840&amp;Result=3","7125840")</f>
        <v>0</v>
      </c>
      <c r="B15514" t="s">
        <v>869</v>
      </c>
      <c r="C15514" t="s">
        <v>18563</v>
      </c>
      <c r="E15514" t="s">
        <v>32213</v>
      </c>
      <c r="F15514" t="s">
        <v>32606</v>
      </c>
      <c r="G15514" t="s">
        <v>32613</v>
      </c>
      <c r="H15514" t="s">
        <v>14201</v>
      </c>
      <c r="I15514" t="s">
        <v>32655</v>
      </c>
      <c r="J15514" t="s">
        <v>33103</v>
      </c>
      <c r="K15514" t="s">
        <v>42624</v>
      </c>
      <c r="M15514" t="s">
        <v>45197</v>
      </c>
      <c r="N15514" t="s">
        <v>47304</v>
      </c>
      <c r="O15514" t="s">
        <v>47305</v>
      </c>
      <c r="Q15514">
        <v>20</v>
      </c>
      <c r="R15514" t="s">
        <v>47338</v>
      </c>
      <c r="S15514" t="s">
        <v>48654</v>
      </c>
      <c r="T15514" t="s">
        <v>49256</v>
      </c>
      <c r="U15514" t="s">
        <v>62300</v>
      </c>
      <c r="W15514" t="s">
        <v>45197</v>
      </c>
      <c r="X15514" t="s">
        <v>47340</v>
      </c>
    </row>
    <row r="15515" spans="1:24">
      <c r="A15515">
        <f>HYPERLINK("https://www.philgeps.gov.ph/GEPSNONPILOT/Tender/SplashBidNoticeAbstractUI.aspx?menuIndex=3&amp;refID=7126351&amp;Result=3","7126351")</f>
        <v>0</v>
      </c>
      <c r="B15515" t="s">
        <v>1241</v>
      </c>
      <c r="C15515" t="s">
        <v>18564</v>
      </c>
      <c r="D15515" t="s">
        <v>19022</v>
      </c>
      <c r="E15515" t="s">
        <v>32214</v>
      </c>
      <c r="F15515" t="s">
        <v>32606</v>
      </c>
      <c r="G15515" t="s">
        <v>32613</v>
      </c>
      <c r="H15515" t="s">
        <v>32623</v>
      </c>
      <c r="I15515" t="s">
        <v>17648</v>
      </c>
      <c r="J15515" t="s">
        <v>34128</v>
      </c>
      <c r="K15515" t="s">
        <v>42648</v>
      </c>
      <c r="M15515" t="s">
        <v>47256</v>
      </c>
      <c r="N15515" t="s">
        <v>47304</v>
      </c>
      <c r="O15515" t="s">
        <v>47305</v>
      </c>
      <c r="Q15515">
        <v>7</v>
      </c>
      <c r="R15515" t="s">
        <v>47338</v>
      </c>
      <c r="S15515" t="s">
        <v>48655</v>
      </c>
      <c r="T15515" t="s">
        <v>49315</v>
      </c>
      <c r="U15515" t="s">
        <v>62301</v>
      </c>
      <c r="W15515" t="s">
        <v>47256</v>
      </c>
      <c r="X15515" t="s">
        <v>47340</v>
      </c>
    </row>
    <row r="15516" spans="1:24">
      <c r="A15516">
        <f>HYPERLINK("https://www.philgeps.gov.ph/GEPSNONPILOT/Tender/SplashBidNoticeAbstractUI.aspx?menuIndex=3&amp;refID=7125710&amp;Result=3","7125710")</f>
        <v>0</v>
      </c>
      <c r="B15516" t="s">
        <v>2242</v>
      </c>
      <c r="C15516" t="s">
        <v>18565</v>
      </c>
      <c r="D15516" t="s">
        <v>19008</v>
      </c>
      <c r="E15516" t="s">
        <v>32215</v>
      </c>
      <c r="F15516" t="s">
        <v>32606</v>
      </c>
      <c r="G15516" t="s">
        <v>32613</v>
      </c>
      <c r="H15516" t="s">
        <v>32623</v>
      </c>
      <c r="I15516" t="s">
        <v>17648</v>
      </c>
      <c r="J15516" t="s">
        <v>42362</v>
      </c>
      <c r="K15516" t="s">
        <v>42876</v>
      </c>
      <c r="M15516" t="s">
        <v>47240</v>
      </c>
      <c r="N15516" t="s">
        <v>47304</v>
      </c>
      <c r="O15516" t="s">
        <v>47305</v>
      </c>
      <c r="Q15516">
        <v>11</v>
      </c>
      <c r="R15516" t="s">
        <v>47338</v>
      </c>
      <c r="S15516" t="s">
        <v>48656</v>
      </c>
      <c r="T15516" t="s">
        <v>49149</v>
      </c>
      <c r="U15516" t="s">
        <v>62302</v>
      </c>
      <c r="W15516" t="s">
        <v>47240</v>
      </c>
      <c r="X15516" t="s">
        <v>47340</v>
      </c>
    </row>
    <row r="15517" spans="1:24">
      <c r="A15517">
        <f>HYPERLINK("https://www.philgeps.gov.ph/GEPSNONPILOT/Tender/SplashBidNoticeAbstractUI.aspx?menuIndex=3&amp;refID=7125650&amp;Result=3","7125650")</f>
        <v>0</v>
      </c>
      <c r="B15517" t="s">
        <v>2242</v>
      </c>
      <c r="C15517" t="s">
        <v>18566</v>
      </c>
      <c r="D15517" t="s">
        <v>19008</v>
      </c>
      <c r="E15517" t="s">
        <v>30216</v>
      </c>
      <c r="F15517" t="s">
        <v>32606</v>
      </c>
      <c r="G15517" t="s">
        <v>32613</v>
      </c>
      <c r="H15517" t="s">
        <v>14201</v>
      </c>
      <c r="I15517" t="s">
        <v>13131</v>
      </c>
      <c r="J15517" t="s">
        <v>42363</v>
      </c>
      <c r="K15517" t="s">
        <v>42631</v>
      </c>
      <c r="M15517" t="s">
        <v>47240</v>
      </c>
      <c r="N15517" t="s">
        <v>47304</v>
      </c>
      <c r="O15517" t="s">
        <v>47305</v>
      </c>
      <c r="Q15517">
        <v>25</v>
      </c>
      <c r="R15517" t="s">
        <v>47338</v>
      </c>
      <c r="S15517" t="s">
        <v>48657</v>
      </c>
      <c r="T15517" t="s">
        <v>49081</v>
      </c>
      <c r="U15517" t="s">
        <v>62303</v>
      </c>
      <c r="W15517" t="s">
        <v>47240</v>
      </c>
      <c r="X15517" t="s">
        <v>47340</v>
      </c>
    </row>
    <row r="15518" spans="1:24">
      <c r="A15518">
        <f>HYPERLINK("https://www.philgeps.gov.ph/GEPSNONPILOT/Tender/SplashBidNoticeAbstractUI.aspx?menuIndex=3&amp;refID=7125588&amp;Result=3","7125588")</f>
        <v>0</v>
      </c>
      <c r="B15518" t="s">
        <v>652</v>
      </c>
      <c r="C15518" t="s">
        <v>18567</v>
      </c>
      <c r="E15518" t="s">
        <v>32216</v>
      </c>
      <c r="F15518" t="s">
        <v>32606</v>
      </c>
      <c r="G15518" t="s">
        <v>32613</v>
      </c>
      <c r="H15518" t="s">
        <v>32623</v>
      </c>
      <c r="I15518" t="s">
        <v>17648</v>
      </c>
      <c r="J15518" t="s">
        <v>35778</v>
      </c>
      <c r="K15518" t="s">
        <v>42624</v>
      </c>
      <c r="M15518" t="s">
        <v>47258</v>
      </c>
      <c r="N15518" t="s">
        <v>47304</v>
      </c>
      <c r="O15518" t="s">
        <v>47305</v>
      </c>
      <c r="Q15518">
        <v>6</v>
      </c>
      <c r="R15518" t="s">
        <v>47338</v>
      </c>
      <c r="S15518" t="s">
        <v>48658</v>
      </c>
      <c r="T15518" t="s">
        <v>49116</v>
      </c>
      <c r="U15518" t="s">
        <v>62304</v>
      </c>
      <c r="W15518" t="s">
        <v>47258</v>
      </c>
      <c r="X15518" t="s">
        <v>47340</v>
      </c>
    </row>
    <row r="15519" spans="1:24">
      <c r="A15519">
        <f>HYPERLINK("https://www.philgeps.gov.ph/GEPSNONPILOT/Tender/SplashBidNoticeAbstractUI.aspx?menuIndex=3&amp;refID=7125776&amp;Result=3","7125776")</f>
        <v>0</v>
      </c>
      <c r="B15519" t="s">
        <v>3890</v>
      </c>
      <c r="C15519" t="s">
        <v>18568</v>
      </c>
      <c r="E15519" t="s">
        <v>32217</v>
      </c>
      <c r="F15519" t="s">
        <v>32606</v>
      </c>
      <c r="G15519" t="s">
        <v>32613</v>
      </c>
      <c r="H15519" t="s">
        <v>14201</v>
      </c>
      <c r="I15519" t="s">
        <v>32635</v>
      </c>
      <c r="J15519" t="s">
        <v>42364</v>
      </c>
      <c r="K15519" t="s">
        <v>42712</v>
      </c>
      <c r="M15519" t="s">
        <v>47259</v>
      </c>
      <c r="N15519" t="s">
        <v>47304</v>
      </c>
      <c r="O15519" t="s">
        <v>47305</v>
      </c>
      <c r="Q15519">
        <v>27</v>
      </c>
      <c r="R15519" t="s">
        <v>47339</v>
      </c>
      <c r="S15519" t="s">
        <v>48659</v>
      </c>
      <c r="T15519" t="s">
        <v>48987</v>
      </c>
      <c r="U15519" t="s">
        <v>62305</v>
      </c>
      <c r="W15519" t="s">
        <v>47259</v>
      </c>
      <c r="X15519" t="s">
        <v>47340</v>
      </c>
    </row>
    <row r="15520" spans="1:24">
      <c r="A15520">
        <f>HYPERLINK("https://www.philgeps.gov.ph/GEPSNONPILOT/Tender/SplashBidNoticeAbstractUI.aspx?menuIndex=3&amp;refID=7125614&amp;Result=3","7125614")</f>
        <v>0</v>
      </c>
      <c r="B15520" t="s">
        <v>869</v>
      </c>
      <c r="C15520" t="s">
        <v>18569</v>
      </c>
      <c r="E15520" t="s">
        <v>32218</v>
      </c>
      <c r="F15520" t="s">
        <v>32606</v>
      </c>
      <c r="G15520" t="s">
        <v>32613</v>
      </c>
      <c r="H15520" t="s">
        <v>14201</v>
      </c>
      <c r="I15520" t="s">
        <v>32655</v>
      </c>
      <c r="J15520" t="s">
        <v>33043</v>
      </c>
      <c r="K15520" t="s">
        <v>42624</v>
      </c>
      <c r="M15520" t="s">
        <v>45197</v>
      </c>
      <c r="N15520" t="s">
        <v>47304</v>
      </c>
      <c r="O15520" t="s">
        <v>47305</v>
      </c>
      <c r="Q15520">
        <v>18</v>
      </c>
      <c r="R15520" t="s">
        <v>47338</v>
      </c>
      <c r="S15520" t="s">
        <v>48660</v>
      </c>
      <c r="T15520" t="s">
        <v>49256</v>
      </c>
      <c r="U15520" t="s">
        <v>62300</v>
      </c>
      <c r="W15520" t="s">
        <v>45197</v>
      </c>
      <c r="X15520" t="s">
        <v>47340</v>
      </c>
    </row>
    <row r="15521" spans="1:24">
      <c r="A15521">
        <f>HYPERLINK("https://www.philgeps.gov.ph/GEPSNONPILOT/Tender/SplashBidNoticeAbstractUI.aspx?menuIndex=3&amp;refID=7125574&amp;Result=3","7125574")</f>
        <v>0</v>
      </c>
      <c r="B15521" t="s">
        <v>2242</v>
      </c>
      <c r="C15521" t="s">
        <v>18570</v>
      </c>
      <c r="D15521" t="s">
        <v>19008</v>
      </c>
      <c r="E15521" t="s">
        <v>31386</v>
      </c>
      <c r="F15521" t="s">
        <v>32606</v>
      </c>
      <c r="G15521" t="s">
        <v>32613</v>
      </c>
      <c r="H15521" t="s">
        <v>32623</v>
      </c>
      <c r="I15521" t="s">
        <v>17648</v>
      </c>
      <c r="J15521" t="s">
        <v>37297</v>
      </c>
      <c r="K15521" t="s">
        <v>42742</v>
      </c>
      <c r="M15521" t="s">
        <v>47240</v>
      </c>
      <c r="N15521" t="s">
        <v>47304</v>
      </c>
      <c r="O15521" t="s">
        <v>47305</v>
      </c>
      <c r="Q15521">
        <v>21</v>
      </c>
      <c r="R15521" t="s">
        <v>47338</v>
      </c>
      <c r="S15521" t="s">
        <v>48661</v>
      </c>
      <c r="T15521" t="s">
        <v>49223</v>
      </c>
      <c r="U15521" t="s">
        <v>62306</v>
      </c>
      <c r="W15521" t="s">
        <v>47240</v>
      </c>
      <c r="X15521" t="s">
        <v>47340</v>
      </c>
    </row>
    <row r="15522" spans="1:24">
      <c r="A15522">
        <f>HYPERLINK("https://www.philgeps.gov.ph/GEPSNONPILOT/Tender/SplashBidNoticeAbstractUI.aspx?menuIndex=3&amp;refID=7125510&amp;Result=3","7125510")</f>
        <v>0</v>
      </c>
      <c r="B15522" t="s">
        <v>2242</v>
      </c>
      <c r="C15522" t="s">
        <v>18571</v>
      </c>
      <c r="D15522" t="s">
        <v>19008</v>
      </c>
      <c r="E15522" t="s">
        <v>32219</v>
      </c>
      <c r="F15522" t="s">
        <v>32606</v>
      </c>
      <c r="G15522" t="s">
        <v>32613</v>
      </c>
      <c r="H15522" t="s">
        <v>32624</v>
      </c>
      <c r="I15522" t="s">
        <v>32628</v>
      </c>
      <c r="J15522" t="s">
        <v>42365</v>
      </c>
      <c r="K15522" t="s">
        <v>42665</v>
      </c>
      <c r="M15522" t="s">
        <v>47240</v>
      </c>
      <c r="N15522" t="s">
        <v>47304</v>
      </c>
      <c r="O15522" t="s">
        <v>47305</v>
      </c>
      <c r="Q15522">
        <v>8</v>
      </c>
      <c r="R15522" t="s">
        <v>47338</v>
      </c>
      <c r="S15522" t="s">
        <v>48662</v>
      </c>
      <c r="T15522" t="s">
        <v>49103</v>
      </c>
      <c r="U15522" t="s">
        <v>62306</v>
      </c>
      <c r="W15522" t="s">
        <v>47240</v>
      </c>
      <c r="X15522" t="s">
        <v>47340</v>
      </c>
    </row>
    <row r="15523" spans="1:24">
      <c r="A15523">
        <f>HYPERLINK("https://www.philgeps.gov.ph/GEPSNONPILOT/Tender/SplashBidNoticeAbstractUI.aspx?menuIndex=3&amp;refID=7125865&amp;Result=3","7125865")</f>
        <v>0</v>
      </c>
      <c r="B15523" t="s">
        <v>869</v>
      </c>
      <c r="C15523" t="s">
        <v>18572</v>
      </c>
      <c r="E15523" t="s">
        <v>32220</v>
      </c>
      <c r="F15523" t="s">
        <v>32606</v>
      </c>
      <c r="G15523" t="s">
        <v>32613</v>
      </c>
      <c r="H15523" t="s">
        <v>14201</v>
      </c>
      <c r="I15523" t="s">
        <v>32655</v>
      </c>
      <c r="J15523" t="s">
        <v>42366</v>
      </c>
      <c r="K15523" t="s">
        <v>42624</v>
      </c>
      <c r="M15523" t="s">
        <v>45197</v>
      </c>
      <c r="N15523" t="s">
        <v>47304</v>
      </c>
      <c r="O15523" t="s">
        <v>47305</v>
      </c>
      <c r="Q15523">
        <v>19</v>
      </c>
      <c r="R15523" t="s">
        <v>47338</v>
      </c>
      <c r="S15523" t="s">
        <v>48663</v>
      </c>
      <c r="T15523" t="s">
        <v>49256</v>
      </c>
      <c r="U15523" t="s">
        <v>62300</v>
      </c>
      <c r="W15523" t="s">
        <v>45197</v>
      </c>
      <c r="X15523" t="s">
        <v>47340</v>
      </c>
    </row>
    <row r="15524" spans="1:24">
      <c r="A15524">
        <f>HYPERLINK("https://www.philgeps.gov.ph/GEPSNONPILOT/Tender/SplashBidNoticeAbstractUI.aspx?menuIndex=3&amp;refID=7125383&amp;Result=3","7125383")</f>
        <v>0</v>
      </c>
      <c r="B15524" t="s">
        <v>869</v>
      </c>
      <c r="C15524" t="s">
        <v>18573</v>
      </c>
      <c r="E15524" t="s">
        <v>32221</v>
      </c>
      <c r="F15524" t="s">
        <v>32606</v>
      </c>
      <c r="G15524" t="s">
        <v>32613</v>
      </c>
      <c r="H15524" t="s">
        <v>14201</v>
      </c>
      <c r="I15524" t="s">
        <v>32655</v>
      </c>
      <c r="J15524" t="s">
        <v>32830</v>
      </c>
      <c r="K15524" t="s">
        <v>42624</v>
      </c>
      <c r="M15524" t="s">
        <v>47260</v>
      </c>
      <c r="N15524" t="s">
        <v>47304</v>
      </c>
      <c r="O15524" t="s">
        <v>47305</v>
      </c>
      <c r="Q15524">
        <v>27</v>
      </c>
      <c r="R15524" t="s">
        <v>47338</v>
      </c>
      <c r="S15524" t="s">
        <v>48664</v>
      </c>
      <c r="T15524" t="s">
        <v>49256</v>
      </c>
      <c r="U15524" t="s">
        <v>62300</v>
      </c>
      <c r="W15524" t="s">
        <v>47260</v>
      </c>
      <c r="X15524" t="s">
        <v>47340</v>
      </c>
    </row>
    <row r="15525" spans="1:24">
      <c r="A15525">
        <f>HYPERLINK("https://www.philgeps.gov.ph/GEPSNONPILOT/Tender/SplashBidNoticeAbstractUI.aspx?menuIndex=3&amp;refID=7125112&amp;Result=3","7125112")</f>
        <v>0</v>
      </c>
      <c r="B15525" t="s">
        <v>3891</v>
      </c>
      <c r="C15525" t="s">
        <v>18574</v>
      </c>
      <c r="D15525" t="s">
        <v>18993</v>
      </c>
      <c r="E15525" t="s">
        <v>32222</v>
      </c>
      <c r="F15525" t="s">
        <v>32606</v>
      </c>
      <c r="G15525" t="s">
        <v>32613</v>
      </c>
      <c r="H15525" t="s">
        <v>32625</v>
      </c>
      <c r="I15525" t="s">
        <v>32625</v>
      </c>
      <c r="J15525" t="s">
        <v>42367</v>
      </c>
      <c r="K15525" t="s">
        <v>42646</v>
      </c>
      <c r="M15525" t="s">
        <v>47261</v>
      </c>
      <c r="N15525" t="s">
        <v>47304</v>
      </c>
      <c r="O15525" t="s">
        <v>47305</v>
      </c>
      <c r="Q15525">
        <v>13</v>
      </c>
      <c r="R15525" t="s">
        <v>47338</v>
      </c>
      <c r="S15525" t="s">
        <v>48665</v>
      </c>
      <c r="T15525" t="s">
        <v>49032</v>
      </c>
      <c r="U15525" t="s">
        <v>62307</v>
      </c>
      <c r="W15525" t="s">
        <v>47261</v>
      </c>
      <c r="X15525" t="s">
        <v>47340</v>
      </c>
    </row>
    <row r="15526" spans="1:24">
      <c r="A15526">
        <f>HYPERLINK("https://www.philgeps.gov.ph/GEPSNONPILOT/Tender/SplashBidNoticeAbstractUI.aspx?menuIndex=3&amp;refID=7124792&amp;Result=3","7124792")</f>
        <v>0</v>
      </c>
      <c r="B15526" t="s">
        <v>3409</v>
      </c>
      <c r="C15526" t="s">
        <v>18575</v>
      </c>
      <c r="D15526" t="s">
        <v>18993</v>
      </c>
      <c r="E15526" t="s">
        <v>32223</v>
      </c>
      <c r="F15526" t="s">
        <v>32607</v>
      </c>
      <c r="G15526" t="s">
        <v>32613</v>
      </c>
      <c r="H15526" t="s">
        <v>14201</v>
      </c>
      <c r="I15526" t="s">
        <v>8606</v>
      </c>
      <c r="J15526" t="s">
        <v>33246</v>
      </c>
      <c r="K15526" t="s">
        <v>42623</v>
      </c>
      <c r="M15526" t="s">
        <v>46664</v>
      </c>
      <c r="N15526" t="s">
        <v>47304</v>
      </c>
      <c r="O15526" t="s">
        <v>47305</v>
      </c>
      <c r="Q15526">
        <v>5</v>
      </c>
      <c r="R15526" t="s">
        <v>47338</v>
      </c>
      <c r="S15526" t="s">
        <v>48666</v>
      </c>
      <c r="T15526" t="s">
        <v>49107</v>
      </c>
      <c r="U15526" t="s">
        <v>62308</v>
      </c>
      <c r="W15526" t="s">
        <v>46664</v>
      </c>
      <c r="X15526" t="s">
        <v>47340</v>
      </c>
    </row>
    <row r="15527" spans="1:24">
      <c r="A15527">
        <f>HYPERLINK("https://www.philgeps.gov.ph/GEPSNONPILOT/Tender/SplashBidNoticeAbstractUI.aspx?menuIndex=3&amp;refID=7124568&amp;Result=3","7124568")</f>
        <v>0</v>
      </c>
      <c r="B15527" t="s">
        <v>962</v>
      </c>
      <c r="C15527" t="s">
        <v>18576</v>
      </c>
      <c r="D15527" t="s">
        <v>18991</v>
      </c>
      <c r="E15527" t="s">
        <v>32224</v>
      </c>
      <c r="F15527" t="s">
        <v>32606</v>
      </c>
      <c r="G15527" t="s">
        <v>32613</v>
      </c>
      <c r="H15527" t="s">
        <v>32623</v>
      </c>
      <c r="I15527" t="s">
        <v>17648</v>
      </c>
      <c r="J15527" t="s">
        <v>42368</v>
      </c>
      <c r="K15527" t="s">
        <v>42820</v>
      </c>
      <c r="M15527" t="s">
        <v>43907</v>
      </c>
      <c r="N15527" t="s">
        <v>47304</v>
      </c>
      <c r="O15527" t="s">
        <v>47305</v>
      </c>
      <c r="Q15527">
        <v>0</v>
      </c>
      <c r="R15527" t="s">
        <v>47338</v>
      </c>
      <c r="S15527" t="s">
        <v>48667</v>
      </c>
      <c r="T15527" t="s">
        <v>49031</v>
      </c>
      <c r="U15527" t="s">
        <v>62309</v>
      </c>
      <c r="W15527" t="s">
        <v>43907</v>
      </c>
      <c r="X15527" t="s">
        <v>47340</v>
      </c>
    </row>
    <row r="15528" spans="1:24">
      <c r="A15528">
        <f>HYPERLINK("https://www.philgeps.gov.ph/GEPSNONPILOT/Tender/SplashBidNoticeAbstractUI.aspx?menuIndex=3&amp;refID=7136838&amp;Result=3","7136838")</f>
        <v>0</v>
      </c>
      <c r="B15528" t="s">
        <v>746</v>
      </c>
      <c r="C15528" t="s">
        <v>18577</v>
      </c>
      <c r="D15528" t="s">
        <v>19008</v>
      </c>
      <c r="E15528" t="s">
        <v>20463</v>
      </c>
      <c r="F15528" t="s">
        <v>32606</v>
      </c>
      <c r="G15528" t="s">
        <v>32613</v>
      </c>
      <c r="H15528" t="s">
        <v>14201</v>
      </c>
      <c r="I15528" t="s">
        <v>6931</v>
      </c>
      <c r="J15528" t="s">
        <v>33877</v>
      </c>
      <c r="K15528" t="s">
        <v>42631</v>
      </c>
      <c r="M15528" t="s">
        <v>43669</v>
      </c>
      <c r="N15528" t="s">
        <v>47304</v>
      </c>
      <c r="O15528" t="s">
        <v>47305</v>
      </c>
      <c r="P15528">
        <v>0</v>
      </c>
      <c r="Q15528">
        <v>2</v>
      </c>
      <c r="R15528" t="s">
        <v>47334</v>
      </c>
      <c r="S15528" t="s">
        <v>48591</v>
      </c>
      <c r="T15528" t="s">
        <v>49269</v>
      </c>
      <c r="U15528" t="s">
        <v>50895</v>
      </c>
      <c r="V15528" t="s">
        <v>62816</v>
      </c>
      <c r="W15528" t="s">
        <v>43669</v>
      </c>
      <c r="X15528" t="s">
        <v>47335</v>
      </c>
    </row>
    <row r="15529" spans="1:24">
      <c r="A15529">
        <f>HYPERLINK("https://www.philgeps.gov.ph/GEPSNONPILOT/Tender/SplashBidNoticeAbstractUI.aspx?menuIndex=3&amp;refID=7125417&amp;Result=3","7125417")</f>
        <v>0</v>
      </c>
      <c r="B15529" t="s">
        <v>869</v>
      </c>
      <c r="C15529" t="s">
        <v>18578</v>
      </c>
      <c r="E15529" t="s">
        <v>32225</v>
      </c>
      <c r="F15529" t="s">
        <v>32606</v>
      </c>
      <c r="G15529" t="s">
        <v>32613</v>
      </c>
      <c r="H15529" t="s">
        <v>14201</v>
      </c>
      <c r="I15529" t="s">
        <v>32655</v>
      </c>
      <c r="J15529" t="s">
        <v>42369</v>
      </c>
      <c r="K15529" t="s">
        <v>42624</v>
      </c>
      <c r="M15529" t="s">
        <v>47260</v>
      </c>
      <c r="N15529" t="s">
        <v>47304</v>
      </c>
      <c r="O15529" t="s">
        <v>47305</v>
      </c>
      <c r="Q15529">
        <v>28</v>
      </c>
      <c r="R15529" t="s">
        <v>47338</v>
      </c>
      <c r="S15529" t="s">
        <v>48668</v>
      </c>
      <c r="T15529" t="s">
        <v>49537</v>
      </c>
      <c r="U15529" t="s">
        <v>62300</v>
      </c>
      <c r="W15529" t="s">
        <v>47260</v>
      </c>
      <c r="X15529" t="s">
        <v>47340</v>
      </c>
    </row>
    <row r="15530" spans="1:24">
      <c r="A15530">
        <f>HYPERLINK("https://www.philgeps.gov.ph/GEPSNONPILOT/Tender/SplashBidNoticeAbstractUI.aspx?menuIndex=3&amp;refID=7136837&amp;Result=3","7136837")</f>
        <v>0</v>
      </c>
      <c r="B15530" t="s">
        <v>3881</v>
      </c>
      <c r="C15530" t="s">
        <v>18579</v>
      </c>
      <c r="D15530" t="s">
        <v>19064</v>
      </c>
      <c r="E15530" t="s">
        <v>32226</v>
      </c>
      <c r="F15530" t="s">
        <v>32606</v>
      </c>
      <c r="G15530" t="s">
        <v>32613</v>
      </c>
      <c r="H15530" t="s">
        <v>14201</v>
      </c>
      <c r="I15530" t="s">
        <v>4120</v>
      </c>
      <c r="J15530" t="s">
        <v>42370</v>
      </c>
      <c r="K15530" t="s">
        <v>42636</v>
      </c>
      <c r="M15530" t="s">
        <v>47246</v>
      </c>
      <c r="N15530" t="s">
        <v>47304</v>
      </c>
      <c r="O15530" t="s">
        <v>47305</v>
      </c>
      <c r="Q15530">
        <v>8</v>
      </c>
      <c r="R15530" t="s">
        <v>47334</v>
      </c>
      <c r="S15530" t="s">
        <v>48650</v>
      </c>
      <c r="T15530" t="s">
        <v>49532</v>
      </c>
      <c r="U15530" t="s">
        <v>53117</v>
      </c>
      <c r="W15530" t="s">
        <v>47246</v>
      </c>
      <c r="X15530" t="s">
        <v>47335</v>
      </c>
    </row>
    <row r="15531" spans="1:24">
      <c r="A15531">
        <f>HYPERLINK("https://www.philgeps.gov.ph/GEPSNONPILOT/Tender/SplashBidNoticeAbstractUI.aspx?menuIndex=3&amp;refID=7125378&amp;Result=3","7125378")</f>
        <v>0</v>
      </c>
      <c r="B15531" t="s">
        <v>2539</v>
      </c>
      <c r="C15531" t="s">
        <v>18580</v>
      </c>
      <c r="D15531" t="s">
        <v>18990</v>
      </c>
      <c r="E15531" t="s">
        <v>32227</v>
      </c>
      <c r="F15531" t="s">
        <v>32606</v>
      </c>
      <c r="G15531" t="s">
        <v>32613</v>
      </c>
      <c r="H15531" t="s">
        <v>14201</v>
      </c>
      <c r="I15531" t="s">
        <v>32686</v>
      </c>
      <c r="J15531" t="s">
        <v>39698</v>
      </c>
      <c r="K15531" t="s">
        <v>42631</v>
      </c>
      <c r="M15531" t="s">
        <v>45679</v>
      </c>
      <c r="N15531" t="s">
        <v>47304</v>
      </c>
      <c r="O15531" t="s">
        <v>47305</v>
      </c>
      <c r="Q15531">
        <v>14</v>
      </c>
      <c r="R15531" t="s">
        <v>47338</v>
      </c>
      <c r="S15531" t="s">
        <v>48669</v>
      </c>
      <c r="T15531" t="s">
        <v>48987</v>
      </c>
      <c r="U15531" t="s">
        <v>62310</v>
      </c>
      <c r="W15531" t="s">
        <v>45679</v>
      </c>
      <c r="X15531" t="s">
        <v>47340</v>
      </c>
    </row>
    <row r="15532" spans="1:24">
      <c r="A15532">
        <f>HYPERLINK("https://www.philgeps.gov.ph/GEPSNONPILOT/Tender/SplashBidNoticeAbstractUI.aspx?menuIndex=3&amp;refID=7117617&amp;Result=3","7117617")</f>
        <v>0</v>
      </c>
      <c r="B15532" t="s">
        <v>421</v>
      </c>
      <c r="C15532" t="s">
        <v>18581</v>
      </c>
      <c r="D15532" t="s">
        <v>18988</v>
      </c>
      <c r="E15532" t="s">
        <v>32228</v>
      </c>
      <c r="F15532" t="s">
        <v>32606</v>
      </c>
      <c r="G15532" t="s">
        <v>32613</v>
      </c>
      <c r="H15532" t="s">
        <v>32624</v>
      </c>
      <c r="I15532" t="s">
        <v>32662</v>
      </c>
      <c r="J15532" t="s">
        <v>34912</v>
      </c>
      <c r="K15532" t="s">
        <v>42648</v>
      </c>
      <c r="M15532" t="s">
        <v>47262</v>
      </c>
      <c r="N15532" t="s">
        <v>47304</v>
      </c>
      <c r="O15532" t="s">
        <v>47305</v>
      </c>
      <c r="Q15532">
        <v>21</v>
      </c>
      <c r="R15532" t="s">
        <v>47341</v>
      </c>
      <c r="S15532" t="s">
        <v>48670</v>
      </c>
      <c r="T15532" t="s">
        <v>49154</v>
      </c>
      <c r="U15532" t="s">
        <v>62311</v>
      </c>
      <c r="V15532" t="s">
        <v>64374</v>
      </c>
      <c r="W15532" t="s">
        <v>47262</v>
      </c>
      <c r="X15532" t="s">
        <v>47342</v>
      </c>
    </row>
    <row r="15533" spans="1:24">
      <c r="A15533">
        <f>HYPERLINK("https://www.philgeps.gov.ph/GEPSNONPILOT/Tender/SplashBidNoticeAbstractUI.aspx?menuIndex=3&amp;refID=7117263&amp;Result=3","7117263")</f>
        <v>0</v>
      </c>
      <c r="B15533" t="s">
        <v>421</v>
      </c>
      <c r="C15533" t="s">
        <v>18582</v>
      </c>
      <c r="D15533" t="s">
        <v>18988</v>
      </c>
      <c r="E15533" t="s">
        <v>32229</v>
      </c>
      <c r="F15533" t="s">
        <v>32606</v>
      </c>
      <c r="G15533" t="s">
        <v>32613</v>
      </c>
      <c r="H15533" t="s">
        <v>32624</v>
      </c>
      <c r="I15533" t="s">
        <v>32652</v>
      </c>
      <c r="J15533" t="s">
        <v>33337</v>
      </c>
      <c r="K15533" t="s">
        <v>42665</v>
      </c>
      <c r="M15533" t="s">
        <v>47262</v>
      </c>
      <c r="N15533" t="s">
        <v>47304</v>
      </c>
      <c r="O15533" t="s">
        <v>47305</v>
      </c>
      <c r="Q15533">
        <v>0</v>
      </c>
      <c r="R15533" t="s">
        <v>47341</v>
      </c>
      <c r="S15533" t="s">
        <v>48671</v>
      </c>
      <c r="T15533" t="s">
        <v>49154</v>
      </c>
      <c r="U15533" t="s">
        <v>62312</v>
      </c>
      <c r="V15533" t="s">
        <v>64374</v>
      </c>
      <c r="W15533" t="s">
        <v>47262</v>
      </c>
      <c r="X15533" t="s">
        <v>47342</v>
      </c>
    </row>
    <row r="15534" spans="1:24">
      <c r="A15534">
        <f>HYPERLINK("https://www.philgeps.gov.ph/GEPSNONPILOT/Tender/SplashBidNoticeAbstractUI.aspx?menuIndex=3&amp;refID=7120529&amp;Result=3","7120529")</f>
        <v>0</v>
      </c>
      <c r="B15534" t="s">
        <v>525</v>
      </c>
      <c r="C15534" t="s">
        <v>18583</v>
      </c>
      <c r="D15534" t="s">
        <v>19024</v>
      </c>
      <c r="E15534" t="s">
        <v>32230</v>
      </c>
      <c r="F15534" t="s">
        <v>32606</v>
      </c>
      <c r="G15534" t="s">
        <v>32613</v>
      </c>
      <c r="H15534" t="s">
        <v>14201</v>
      </c>
      <c r="I15534" t="s">
        <v>32665</v>
      </c>
      <c r="J15534" t="s">
        <v>42371</v>
      </c>
      <c r="K15534" t="s">
        <v>42636</v>
      </c>
      <c r="M15534" t="s">
        <v>47263</v>
      </c>
      <c r="N15534" t="s">
        <v>47304</v>
      </c>
      <c r="O15534" t="s">
        <v>47305</v>
      </c>
      <c r="Q15534">
        <v>14</v>
      </c>
      <c r="R15534" t="s">
        <v>47340</v>
      </c>
      <c r="S15534" t="s">
        <v>48672</v>
      </c>
      <c r="T15534" t="s">
        <v>49052</v>
      </c>
      <c r="U15534" t="s">
        <v>62313</v>
      </c>
      <c r="W15534" t="s">
        <v>47263</v>
      </c>
      <c r="X15534" t="s">
        <v>47341</v>
      </c>
    </row>
    <row r="15535" spans="1:24">
      <c r="A15535">
        <f>HYPERLINK("https://www.philgeps.gov.ph/GEPSNONPILOT/Tender/SplashBidNoticeAbstractUI.aspx?menuIndex=3&amp;refID=7125500&amp;Result=3","7125500")</f>
        <v>0</v>
      </c>
      <c r="B15535" t="s">
        <v>962</v>
      </c>
      <c r="C15535" t="s">
        <v>18584</v>
      </c>
      <c r="D15535" t="s">
        <v>18991</v>
      </c>
      <c r="E15535" t="s">
        <v>32231</v>
      </c>
      <c r="F15535" t="s">
        <v>32606</v>
      </c>
      <c r="G15535" t="s">
        <v>32613</v>
      </c>
      <c r="H15535" t="s">
        <v>32623</v>
      </c>
      <c r="I15535" t="s">
        <v>17648</v>
      </c>
      <c r="J15535" t="s">
        <v>39538</v>
      </c>
      <c r="K15535" t="s">
        <v>42775</v>
      </c>
      <c r="M15535" t="s">
        <v>43907</v>
      </c>
      <c r="N15535" t="s">
        <v>47304</v>
      </c>
      <c r="O15535" t="s">
        <v>47305</v>
      </c>
      <c r="Q15535">
        <v>0</v>
      </c>
      <c r="R15535" t="s">
        <v>47338</v>
      </c>
      <c r="S15535" t="s">
        <v>47848</v>
      </c>
      <c r="T15535" t="s">
        <v>49031</v>
      </c>
      <c r="U15535" t="s">
        <v>62309</v>
      </c>
      <c r="V15535" t="s">
        <v>64375</v>
      </c>
      <c r="W15535" t="s">
        <v>43907</v>
      </c>
      <c r="X15535" t="s">
        <v>47340</v>
      </c>
    </row>
    <row r="15536" spans="1:24">
      <c r="A15536">
        <f>HYPERLINK("https://www.philgeps.gov.ph/GEPSNONPILOT/Tender/SplashBidNoticeAbstractUI.aspx?menuIndex=3&amp;refID=7116795&amp;Result=3","7116795")</f>
        <v>0</v>
      </c>
      <c r="B15536" t="s">
        <v>421</v>
      </c>
      <c r="C15536" t="s">
        <v>18585</v>
      </c>
      <c r="D15536" t="s">
        <v>18988</v>
      </c>
      <c r="E15536" t="s">
        <v>32232</v>
      </c>
      <c r="F15536" t="s">
        <v>32606</v>
      </c>
      <c r="G15536" t="s">
        <v>32613</v>
      </c>
      <c r="H15536" t="s">
        <v>14201</v>
      </c>
      <c r="I15536" t="s">
        <v>32638</v>
      </c>
      <c r="J15536" t="s">
        <v>42372</v>
      </c>
      <c r="K15536" t="s">
        <v>42622</v>
      </c>
      <c r="M15536" t="s">
        <v>47262</v>
      </c>
      <c r="N15536" t="s">
        <v>47304</v>
      </c>
      <c r="O15536" t="s">
        <v>47305</v>
      </c>
      <c r="Q15536">
        <v>10</v>
      </c>
      <c r="R15536" t="s">
        <v>47341</v>
      </c>
      <c r="S15536" t="s">
        <v>48673</v>
      </c>
      <c r="T15536" t="s">
        <v>49154</v>
      </c>
      <c r="U15536" t="s">
        <v>62314</v>
      </c>
      <c r="V15536" t="s">
        <v>64374</v>
      </c>
      <c r="W15536" t="s">
        <v>47262</v>
      </c>
      <c r="X15536" t="s">
        <v>47342</v>
      </c>
    </row>
    <row r="15537" spans="1:24">
      <c r="A15537">
        <f>HYPERLINK("https://www.philgeps.gov.ph/GEPSNONPILOT/Tender/SplashBidNoticeAbstractUI.aspx?menuIndex=3&amp;refID=7129809&amp;Result=3","7129809")</f>
        <v>0</v>
      </c>
      <c r="B15537" t="s">
        <v>3885</v>
      </c>
      <c r="C15537" t="s">
        <v>18586</v>
      </c>
      <c r="D15537" t="s">
        <v>18988</v>
      </c>
      <c r="E15537" t="s">
        <v>32233</v>
      </c>
      <c r="F15537" t="s">
        <v>32606</v>
      </c>
      <c r="G15537" t="s">
        <v>32613</v>
      </c>
      <c r="H15537" t="s">
        <v>14201</v>
      </c>
      <c r="I15537" t="s">
        <v>6931</v>
      </c>
      <c r="J15537" t="s">
        <v>42373</v>
      </c>
      <c r="K15537" t="s">
        <v>42631</v>
      </c>
      <c r="M15537" t="s">
        <v>47251</v>
      </c>
      <c r="N15537" t="s">
        <v>47304</v>
      </c>
      <c r="O15537" t="s">
        <v>47305</v>
      </c>
      <c r="Q15537">
        <v>2</v>
      </c>
      <c r="R15537" t="s">
        <v>47337</v>
      </c>
      <c r="S15537" t="s">
        <v>48674</v>
      </c>
      <c r="T15537" t="s">
        <v>48994</v>
      </c>
      <c r="U15537" t="s">
        <v>62315</v>
      </c>
      <c r="W15537" t="s">
        <v>47251</v>
      </c>
      <c r="X15537" t="s">
        <v>47339</v>
      </c>
    </row>
    <row r="15538" spans="1:24">
      <c r="A15538">
        <f>HYPERLINK("https://www.philgeps.gov.ph/GEPSNONPILOT/Tender/SplashBidNoticeAbstractUI.aspx?menuIndex=3&amp;refID=7125234&amp;Result=3","7125234")</f>
        <v>0</v>
      </c>
      <c r="B15538" t="s">
        <v>3892</v>
      </c>
      <c r="C15538" t="s">
        <v>18587</v>
      </c>
      <c r="D15538" t="s">
        <v>19008</v>
      </c>
      <c r="E15538" t="s">
        <v>32234</v>
      </c>
      <c r="F15538" t="s">
        <v>32606</v>
      </c>
      <c r="G15538" t="s">
        <v>32613</v>
      </c>
      <c r="H15538" t="s">
        <v>14201</v>
      </c>
      <c r="I15538" t="s">
        <v>6931</v>
      </c>
      <c r="J15538" t="s">
        <v>42374</v>
      </c>
      <c r="K15538" t="s">
        <v>42712</v>
      </c>
      <c r="M15538" t="s">
        <v>47264</v>
      </c>
      <c r="N15538" t="s">
        <v>47304</v>
      </c>
      <c r="O15538" t="s">
        <v>47305</v>
      </c>
      <c r="Q15538">
        <v>5</v>
      </c>
      <c r="R15538" t="s">
        <v>47338</v>
      </c>
      <c r="S15538" t="s">
        <v>48675</v>
      </c>
      <c r="T15538" t="s">
        <v>48996</v>
      </c>
      <c r="U15538" t="s">
        <v>62316</v>
      </c>
      <c r="W15538" t="s">
        <v>47264</v>
      </c>
      <c r="X15538" t="s">
        <v>47340</v>
      </c>
    </row>
    <row r="15539" spans="1:24">
      <c r="A15539">
        <f>HYPERLINK("https://www.philgeps.gov.ph/GEPSNONPILOT/Tender/SplashBidNoticeAbstractUI.aspx?menuIndex=3&amp;refID=7115998&amp;Result=3","7115998")</f>
        <v>0</v>
      </c>
      <c r="B15539" t="s">
        <v>3283</v>
      </c>
      <c r="C15539" t="s">
        <v>18588</v>
      </c>
      <c r="D15539" t="s">
        <v>18993</v>
      </c>
      <c r="E15539" t="s">
        <v>19311</v>
      </c>
      <c r="F15539" t="s">
        <v>32606</v>
      </c>
      <c r="G15539" t="s">
        <v>32613</v>
      </c>
      <c r="H15539" t="s">
        <v>32625</v>
      </c>
      <c r="I15539" t="s">
        <v>32625</v>
      </c>
      <c r="J15539" t="s">
        <v>34264</v>
      </c>
      <c r="K15539" t="s">
        <v>42624</v>
      </c>
      <c r="M15539" t="s">
        <v>46519</v>
      </c>
      <c r="N15539" t="s">
        <v>47304</v>
      </c>
      <c r="O15539" t="s">
        <v>47305</v>
      </c>
      <c r="Q15539">
        <v>17</v>
      </c>
      <c r="R15539" t="s">
        <v>47341</v>
      </c>
      <c r="S15539" t="s">
        <v>48676</v>
      </c>
      <c r="T15539" t="s">
        <v>49538</v>
      </c>
      <c r="U15539" t="s">
        <v>62317</v>
      </c>
      <c r="W15539" t="s">
        <v>46519</v>
      </c>
      <c r="X15539" t="s">
        <v>47345</v>
      </c>
    </row>
    <row r="15540" spans="1:24">
      <c r="A15540">
        <f>HYPERLINK("https://www.philgeps.gov.ph/GEPSNONPILOT/Tender/SplashBidNoticeAbstractUI.aspx?menuIndex=3&amp;refID=7129823&amp;Result=3","7129823")</f>
        <v>0</v>
      </c>
      <c r="B15540" t="s">
        <v>3885</v>
      </c>
      <c r="C15540" t="s">
        <v>18589</v>
      </c>
      <c r="D15540" t="s">
        <v>18988</v>
      </c>
      <c r="E15540" t="s">
        <v>32235</v>
      </c>
      <c r="F15540" t="s">
        <v>32606</v>
      </c>
      <c r="G15540" t="s">
        <v>32613</v>
      </c>
      <c r="H15540" t="s">
        <v>14201</v>
      </c>
      <c r="I15540" t="s">
        <v>6931</v>
      </c>
      <c r="J15540" t="s">
        <v>42375</v>
      </c>
      <c r="K15540" t="s">
        <v>42631</v>
      </c>
      <c r="M15540" t="s">
        <v>47251</v>
      </c>
      <c r="N15540" t="s">
        <v>47304</v>
      </c>
      <c r="O15540" t="s">
        <v>47305</v>
      </c>
      <c r="Q15540">
        <v>2</v>
      </c>
      <c r="R15540" t="s">
        <v>47337</v>
      </c>
      <c r="S15540" t="s">
        <v>48677</v>
      </c>
      <c r="T15540" t="s">
        <v>48994</v>
      </c>
      <c r="U15540" t="s">
        <v>62318</v>
      </c>
      <c r="W15540" t="s">
        <v>47251</v>
      </c>
      <c r="X15540" t="s">
        <v>47339</v>
      </c>
    </row>
    <row r="15541" spans="1:24">
      <c r="A15541">
        <f>HYPERLINK("https://www.philgeps.gov.ph/GEPSNONPILOT/Tender/SplashBidNoticeAbstractUI.aspx?menuIndex=3&amp;refID=7117042&amp;Result=3","7117042")</f>
        <v>0</v>
      </c>
      <c r="B15541" t="s">
        <v>3064</v>
      </c>
      <c r="C15541" t="s">
        <v>18590</v>
      </c>
      <c r="D15541" t="s">
        <v>19008</v>
      </c>
      <c r="E15541" t="s">
        <v>32236</v>
      </c>
      <c r="F15541" t="s">
        <v>32606</v>
      </c>
      <c r="G15541" t="s">
        <v>32614</v>
      </c>
      <c r="H15541" t="s">
        <v>14201</v>
      </c>
      <c r="I15541" t="s">
        <v>32635</v>
      </c>
      <c r="J15541" t="s">
        <v>42376</v>
      </c>
      <c r="K15541" t="s">
        <v>42623</v>
      </c>
      <c r="M15541" t="s">
        <v>46263</v>
      </c>
      <c r="N15541" t="s">
        <v>47304</v>
      </c>
      <c r="O15541" t="s">
        <v>47305</v>
      </c>
      <c r="Q15541">
        <v>3</v>
      </c>
      <c r="R15541" t="s">
        <v>47341</v>
      </c>
      <c r="S15541" t="s">
        <v>48678</v>
      </c>
      <c r="T15541" t="s">
        <v>49175</v>
      </c>
      <c r="U15541" t="s">
        <v>62319</v>
      </c>
      <c r="W15541" t="s">
        <v>46263</v>
      </c>
      <c r="X15541" t="s">
        <v>47342</v>
      </c>
    </row>
    <row r="15542" spans="1:24">
      <c r="A15542">
        <f>HYPERLINK("https://www.philgeps.gov.ph/GEPSNONPILOT/Tender/SplashBidNoticeAbstractUI.aspx?menuIndex=3&amp;refID=7122736&amp;Result=3","7122736")</f>
        <v>0</v>
      </c>
      <c r="B15542" t="s">
        <v>1514</v>
      </c>
      <c r="C15542" t="s">
        <v>18591</v>
      </c>
      <c r="D15542" t="s">
        <v>18993</v>
      </c>
      <c r="E15542" t="s">
        <v>32237</v>
      </c>
      <c r="F15542" t="s">
        <v>32606</v>
      </c>
      <c r="G15542" t="s">
        <v>32613</v>
      </c>
      <c r="H15542" t="s">
        <v>14201</v>
      </c>
      <c r="I15542" t="s">
        <v>4114</v>
      </c>
      <c r="J15542" t="s">
        <v>42377</v>
      </c>
      <c r="K15542" t="s">
        <v>42624</v>
      </c>
      <c r="M15542" t="s">
        <v>47265</v>
      </c>
      <c r="N15542" t="s">
        <v>47304</v>
      </c>
      <c r="O15542" t="s">
        <v>47305</v>
      </c>
      <c r="Q15542">
        <v>8</v>
      </c>
      <c r="R15542" t="s">
        <v>47340</v>
      </c>
      <c r="S15542" t="s">
        <v>48679</v>
      </c>
      <c r="T15542" t="s">
        <v>49237</v>
      </c>
      <c r="U15542" t="s">
        <v>62320</v>
      </c>
      <c r="V15542" t="s">
        <v>64376</v>
      </c>
      <c r="W15542" t="s">
        <v>47265</v>
      </c>
      <c r="X15542" t="s">
        <v>47341</v>
      </c>
    </row>
    <row r="15543" spans="1:24">
      <c r="A15543">
        <f>HYPERLINK("https://www.philgeps.gov.ph/GEPSNONPILOT/Tender/SplashBidNoticeAbstractUI.aspx?menuIndex=3&amp;refID=7122668&amp;Result=3","7122668")</f>
        <v>0</v>
      </c>
      <c r="B15543" t="s">
        <v>1514</v>
      </c>
      <c r="C15543" t="s">
        <v>18592</v>
      </c>
      <c r="D15543" t="s">
        <v>18993</v>
      </c>
      <c r="E15543" t="s">
        <v>32238</v>
      </c>
      <c r="F15543" t="s">
        <v>32606</v>
      </c>
      <c r="G15543" t="s">
        <v>32613</v>
      </c>
      <c r="H15543" t="s">
        <v>14201</v>
      </c>
      <c r="I15543" t="s">
        <v>32640</v>
      </c>
      <c r="J15543" t="s">
        <v>42378</v>
      </c>
      <c r="K15543" t="s">
        <v>42631</v>
      </c>
      <c r="M15543" t="s">
        <v>47265</v>
      </c>
      <c r="N15543" t="s">
        <v>47304</v>
      </c>
      <c r="O15543" t="s">
        <v>47305</v>
      </c>
      <c r="Q15543">
        <v>18</v>
      </c>
      <c r="R15543" t="s">
        <v>47340</v>
      </c>
      <c r="S15543" t="s">
        <v>47447</v>
      </c>
      <c r="T15543" t="s">
        <v>49237</v>
      </c>
      <c r="U15543" t="s">
        <v>62321</v>
      </c>
      <c r="V15543" t="s">
        <v>64377</v>
      </c>
      <c r="W15543" t="s">
        <v>47265</v>
      </c>
      <c r="X15543" t="s">
        <v>47341</v>
      </c>
    </row>
    <row r="15544" spans="1:24">
      <c r="A15544">
        <f>HYPERLINK("https://www.philgeps.gov.ph/GEPSNONPILOT/Tender/SplashBidNoticeAbstractUI.aspx?menuIndex=3&amp;refID=7122821&amp;Result=3","7122821")</f>
        <v>0</v>
      </c>
      <c r="B15544" t="s">
        <v>3722</v>
      </c>
      <c r="C15544" t="s">
        <v>18593</v>
      </c>
      <c r="E15544" t="s">
        <v>32239</v>
      </c>
      <c r="F15544" t="s">
        <v>32606</v>
      </c>
      <c r="G15544" t="s">
        <v>32613</v>
      </c>
      <c r="H15544" t="s">
        <v>32623</v>
      </c>
      <c r="I15544" t="s">
        <v>17648</v>
      </c>
      <c r="J15544" t="s">
        <v>42379</v>
      </c>
      <c r="K15544" t="s">
        <v>42624</v>
      </c>
      <c r="M15544" t="s">
        <v>47266</v>
      </c>
      <c r="N15544" t="s">
        <v>47304</v>
      </c>
      <c r="O15544" t="s">
        <v>47305</v>
      </c>
      <c r="Q15544">
        <v>61</v>
      </c>
      <c r="R15544" t="s">
        <v>47340</v>
      </c>
      <c r="S15544" t="s">
        <v>48680</v>
      </c>
      <c r="T15544" t="s">
        <v>49008</v>
      </c>
      <c r="U15544" t="s">
        <v>62322</v>
      </c>
      <c r="W15544" t="s">
        <v>47266</v>
      </c>
      <c r="X15544" t="s">
        <v>47341</v>
      </c>
    </row>
    <row r="15545" spans="1:24">
      <c r="A15545">
        <f>HYPERLINK("https://www.philgeps.gov.ph/GEPSNONPILOT/Tender/SplashBidNoticeAbstractUI.aspx?menuIndex=3&amp;refID=7122358&amp;Result=3","7122358")</f>
        <v>0</v>
      </c>
      <c r="B15545" t="s">
        <v>2788</v>
      </c>
      <c r="C15545" t="s">
        <v>18594</v>
      </c>
      <c r="D15545" t="s">
        <v>18997</v>
      </c>
      <c r="E15545" t="s">
        <v>32240</v>
      </c>
      <c r="F15545" t="s">
        <v>32606</v>
      </c>
      <c r="G15545" t="s">
        <v>32613</v>
      </c>
      <c r="H15545" t="s">
        <v>14201</v>
      </c>
      <c r="I15545" t="s">
        <v>32631</v>
      </c>
      <c r="J15545" t="s">
        <v>32981</v>
      </c>
      <c r="K15545" t="s">
        <v>42624</v>
      </c>
      <c r="M15545" t="s">
        <v>45950</v>
      </c>
      <c r="N15545" t="s">
        <v>47304</v>
      </c>
      <c r="O15545" t="s">
        <v>47305</v>
      </c>
      <c r="Q15545">
        <v>1</v>
      </c>
      <c r="R15545" t="s">
        <v>47340</v>
      </c>
      <c r="S15545" t="s">
        <v>48681</v>
      </c>
      <c r="T15545" t="s">
        <v>49018</v>
      </c>
      <c r="U15545" t="s">
        <v>62323</v>
      </c>
      <c r="W15545" t="s">
        <v>45950</v>
      </c>
      <c r="X15545" t="s">
        <v>47341</v>
      </c>
    </row>
    <row r="15546" spans="1:24">
      <c r="A15546">
        <f>HYPERLINK("https://www.philgeps.gov.ph/GEPSNONPILOT/Tender/SplashBidNoticeAbstractUI.aspx?menuIndex=3&amp;refID=7122300&amp;Result=3","7122300")</f>
        <v>0</v>
      </c>
      <c r="B15546" t="s">
        <v>3865</v>
      </c>
      <c r="C15546" t="s">
        <v>18595</v>
      </c>
      <c r="D15546" t="s">
        <v>19003</v>
      </c>
      <c r="E15546" t="s">
        <v>32241</v>
      </c>
      <c r="F15546" t="s">
        <v>32606</v>
      </c>
      <c r="G15546" t="s">
        <v>32613</v>
      </c>
      <c r="H15546" t="s">
        <v>32623</v>
      </c>
      <c r="I15546" t="s">
        <v>17648</v>
      </c>
      <c r="J15546" t="s">
        <v>42380</v>
      </c>
      <c r="K15546" t="s">
        <v>42731</v>
      </c>
      <c r="M15546" t="s">
        <v>47220</v>
      </c>
      <c r="N15546" t="s">
        <v>47304</v>
      </c>
      <c r="O15546" t="s">
        <v>47305</v>
      </c>
      <c r="Q15546">
        <v>4</v>
      </c>
      <c r="R15546" t="s">
        <v>47340</v>
      </c>
      <c r="S15546" t="s">
        <v>48682</v>
      </c>
      <c r="T15546" t="s">
        <v>48989</v>
      </c>
      <c r="U15546" t="s">
        <v>62324</v>
      </c>
      <c r="W15546" t="s">
        <v>47220</v>
      </c>
      <c r="X15546" t="s">
        <v>47341</v>
      </c>
    </row>
    <row r="15547" spans="1:24">
      <c r="A15547">
        <f>HYPERLINK("https://www.philgeps.gov.ph/GEPSNONPILOT/Tender/SplashBidNoticeAbstractUI.aspx?menuIndex=3&amp;refID=7122283&amp;Result=3","7122283")</f>
        <v>0</v>
      </c>
      <c r="B15547" t="s">
        <v>2362</v>
      </c>
      <c r="C15547" t="s">
        <v>18596</v>
      </c>
      <c r="D15547" t="s">
        <v>18993</v>
      </c>
      <c r="E15547" t="s">
        <v>32242</v>
      </c>
      <c r="F15547" t="s">
        <v>32606</v>
      </c>
      <c r="G15547" t="s">
        <v>32613</v>
      </c>
      <c r="H15547" t="s">
        <v>14201</v>
      </c>
      <c r="I15547" t="s">
        <v>4678</v>
      </c>
      <c r="J15547" t="s">
        <v>42381</v>
      </c>
      <c r="K15547" t="s">
        <v>42636</v>
      </c>
      <c r="M15547" t="s">
        <v>45476</v>
      </c>
      <c r="N15547" t="s">
        <v>47304</v>
      </c>
      <c r="O15547" t="s">
        <v>47305</v>
      </c>
      <c r="Q15547">
        <v>14</v>
      </c>
      <c r="R15547" t="s">
        <v>47340</v>
      </c>
      <c r="S15547" t="s">
        <v>48683</v>
      </c>
      <c r="T15547" t="s">
        <v>48994</v>
      </c>
      <c r="U15547" t="s">
        <v>62325</v>
      </c>
      <c r="W15547" t="s">
        <v>45476</v>
      </c>
      <c r="X15547" t="s">
        <v>47341</v>
      </c>
    </row>
    <row r="15548" spans="1:24">
      <c r="A15548">
        <f>HYPERLINK("https://www.philgeps.gov.ph/GEPSNONPILOT/Tender/SplashBidNoticeAbstractUI.aspx?menuIndex=3&amp;refID=7121570&amp;Result=3","7121570")</f>
        <v>0</v>
      </c>
      <c r="B15548" t="s">
        <v>3226</v>
      </c>
      <c r="C15548" t="s">
        <v>18597</v>
      </c>
      <c r="D15548" t="s">
        <v>19010</v>
      </c>
      <c r="E15548" t="s">
        <v>28414</v>
      </c>
      <c r="F15548" t="s">
        <v>32607</v>
      </c>
      <c r="G15548" t="s">
        <v>32613</v>
      </c>
      <c r="H15548" t="s">
        <v>32623</v>
      </c>
      <c r="I15548" t="s">
        <v>17648</v>
      </c>
      <c r="J15548" t="s">
        <v>42382</v>
      </c>
      <c r="K15548" t="s">
        <v>42745</v>
      </c>
      <c r="L15548" t="s">
        <v>3226</v>
      </c>
      <c r="M15548" t="s">
        <v>46453</v>
      </c>
      <c r="N15548" t="s">
        <v>47304</v>
      </c>
      <c r="O15548" t="s">
        <v>47305</v>
      </c>
      <c r="Q15548">
        <v>0</v>
      </c>
      <c r="R15548" t="s">
        <v>47340</v>
      </c>
      <c r="S15548" t="s">
        <v>48684</v>
      </c>
      <c r="T15548" t="s">
        <v>49140</v>
      </c>
      <c r="U15548" t="s">
        <v>62326</v>
      </c>
      <c r="W15548" t="s">
        <v>46453</v>
      </c>
      <c r="X15548" t="s">
        <v>47341</v>
      </c>
    </row>
    <row r="15549" spans="1:24">
      <c r="A15549">
        <f>HYPERLINK("https://www.philgeps.gov.ph/GEPSNONPILOT/Tender/SplashBidNoticeAbstractUI.aspx?menuIndex=3&amp;refID=7121152&amp;Result=3","7121152")</f>
        <v>0</v>
      </c>
      <c r="B15549" t="s">
        <v>2194</v>
      </c>
      <c r="C15549" t="s">
        <v>18598</v>
      </c>
      <c r="D15549" t="s">
        <v>18993</v>
      </c>
      <c r="E15549" t="s">
        <v>32243</v>
      </c>
      <c r="F15549" t="s">
        <v>32606</v>
      </c>
      <c r="G15549" t="s">
        <v>32619</v>
      </c>
      <c r="H15549" t="s">
        <v>14201</v>
      </c>
      <c r="I15549" t="s">
        <v>32638</v>
      </c>
      <c r="J15549" t="s">
        <v>42383</v>
      </c>
      <c r="K15549" t="s">
        <v>42624</v>
      </c>
      <c r="M15549" t="s">
        <v>45294</v>
      </c>
      <c r="N15549" t="s">
        <v>47304</v>
      </c>
      <c r="O15549" t="s">
        <v>47305</v>
      </c>
      <c r="Q15549">
        <v>12</v>
      </c>
      <c r="R15549" t="s">
        <v>47340</v>
      </c>
      <c r="S15549" t="s">
        <v>48619</v>
      </c>
      <c r="T15549" t="s">
        <v>49269</v>
      </c>
      <c r="U15549" t="s">
        <v>62327</v>
      </c>
      <c r="V15549" t="s">
        <v>63279</v>
      </c>
      <c r="W15549" t="s">
        <v>45294</v>
      </c>
      <c r="X15549" t="s">
        <v>47341</v>
      </c>
    </row>
    <row r="15550" spans="1:24">
      <c r="A15550">
        <f>HYPERLINK("https://www.philgeps.gov.ph/GEPSNONPILOT/Tender/SplashBidNoticeAbstractUI.aspx?menuIndex=3&amp;refID=7122685&amp;Result=3","7122685")</f>
        <v>0</v>
      </c>
      <c r="B15550" t="s">
        <v>1514</v>
      </c>
      <c r="C15550" t="s">
        <v>18599</v>
      </c>
      <c r="D15550" t="s">
        <v>18993</v>
      </c>
      <c r="E15550" t="s">
        <v>32244</v>
      </c>
      <c r="F15550" t="s">
        <v>32606</v>
      </c>
      <c r="G15550" t="s">
        <v>32613</v>
      </c>
      <c r="H15550" t="s">
        <v>14201</v>
      </c>
      <c r="I15550" t="s">
        <v>32640</v>
      </c>
      <c r="J15550" t="s">
        <v>42384</v>
      </c>
      <c r="K15550" t="s">
        <v>42631</v>
      </c>
      <c r="M15550" t="s">
        <v>47265</v>
      </c>
      <c r="N15550" t="s">
        <v>47304</v>
      </c>
      <c r="O15550" t="s">
        <v>47305</v>
      </c>
      <c r="Q15550">
        <v>24</v>
      </c>
      <c r="R15550" t="s">
        <v>47340</v>
      </c>
      <c r="S15550" t="s">
        <v>47961</v>
      </c>
      <c r="T15550" t="s">
        <v>49237</v>
      </c>
      <c r="U15550" t="s">
        <v>62328</v>
      </c>
      <c r="V15550" t="s">
        <v>64376</v>
      </c>
      <c r="W15550" t="s">
        <v>47265</v>
      </c>
      <c r="X15550" t="s">
        <v>47341</v>
      </c>
    </row>
    <row r="15551" spans="1:24">
      <c r="A15551">
        <f>HYPERLINK("https://www.philgeps.gov.ph/GEPSNONPILOT/Tender/SplashBidNoticeAbstractUI.aspx?menuIndex=3&amp;refID=7120660&amp;Result=3","7120660")</f>
        <v>0</v>
      </c>
      <c r="B15551" t="s">
        <v>525</v>
      </c>
      <c r="C15551" t="s">
        <v>18600</v>
      </c>
      <c r="D15551" t="s">
        <v>19024</v>
      </c>
      <c r="E15551" t="s">
        <v>32245</v>
      </c>
      <c r="F15551" t="s">
        <v>32606</v>
      </c>
      <c r="G15551" t="s">
        <v>32613</v>
      </c>
      <c r="H15551" t="s">
        <v>14201</v>
      </c>
      <c r="I15551" t="s">
        <v>32665</v>
      </c>
      <c r="J15551" t="s">
        <v>42385</v>
      </c>
      <c r="K15551" t="s">
        <v>42639</v>
      </c>
      <c r="M15551" t="s">
        <v>47263</v>
      </c>
      <c r="N15551" t="s">
        <v>47304</v>
      </c>
      <c r="O15551" t="s">
        <v>47305</v>
      </c>
      <c r="Q15551">
        <v>16</v>
      </c>
      <c r="R15551" t="s">
        <v>47340</v>
      </c>
      <c r="S15551" t="s">
        <v>48685</v>
      </c>
      <c r="T15551" t="s">
        <v>49052</v>
      </c>
      <c r="U15551" t="s">
        <v>62329</v>
      </c>
      <c r="W15551" t="s">
        <v>47263</v>
      </c>
      <c r="X15551" t="s">
        <v>47341</v>
      </c>
    </row>
    <row r="15552" spans="1:24">
      <c r="A15552">
        <f>HYPERLINK("https://www.philgeps.gov.ph/GEPSNONPILOT/Tender/SplashBidNoticeAbstractUI.aspx?menuIndex=3&amp;refID=7122937&amp;Result=3","7122937")</f>
        <v>0</v>
      </c>
      <c r="B15552" t="s">
        <v>1464</v>
      </c>
      <c r="C15552" t="s">
        <v>18601</v>
      </c>
      <c r="D15552" t="s">
        <v>19012</v>
      </c>
      <c r="E15552" t="s">
        <v>32246</v>
      </c>
      <c r="F15552" t="s">
        <v>32606</v>
      </c>
      <c r="G15552" t="s">
        <v>32613</v>
      </c>
      <c r="H15552" t="s">
        <v>32623</v>
      </c>
      <c r="I15552" t="s">
        <v>17648</v>
      </c>
      <c r="J15552" t="s">
        <v>42386</v>
      </c>
      <c r="K15552" t="s">
        <v>42683</v>
      </c>
      <c r="M15552" t="s">
        <v>44458</v>
      </c>
      <c r="N15552" t="s">
        <v>47304</v>
      </c>
      <c r="O15552" t="s">
        <v>47305</v>
      </c>
      <c r="Q15552">
        <v>8</v>
      </c>
      <c r="R15552" t="s">
        <v>47340</v>
      </c>
      <c r="S15552" t="s">
        <v>48686</v>
      </c>
      <c r="T15552" t="s">
        <v>49076</v>
      </c>
      <c r="U15552" t="s">
        <v>62330</v>
      </c>
      <c r="W15552" t="s">
        <v>44458</v>
      </c>
      <c r="X15552" t="s">
        <v>47341</v>
      </c>
    </row>
    <row r="15553" spans="1:24">
      <c r="A15553">
        <f>HYPERLINK("https://www.philgeps.gov.ph/GEPSNONPILOT/Tender/SplashBidNoticeAbstractUI.aspx?menuIndex=3&amp;refID=7136642&amp;Result=3","7136642")</f>
        <v>0</v>
      </c>
      <c r="B15553" t="s">
        <v>3893</v>
      </c>
      <c r="C15553" t="s">
        <v>18602</v>
      </c>
      <c r="D15553" t="s">
        <v>18999</v>
      </c>
      <c r="E15553" t="s">
        <v>21154</v>
      </c>
      <c r="F15553" t="s">
        <v>32607</v>
      </c>
      <c r="G15553" t="s">
        <v>32619</v>
      </c>
      <c r="H15553" t="s">
        <v>14201</v>
      </c>
      <c r="I15553" t="s">
        <v>7064</v>
      </c>
      <c r="J15553" t="s">
        <v>34591</v>
      </c>
      <c r="K15553" t="s">
        <v>42624</v>
      </c>
      <c r="M15553" t="s">
        <v>47267</v>
      </c>
      <c r="N15553" t="s">
        <v>47304</v>
      </c>
      <c r="O15553" t="s">
        <v>47305</v>
      </c>
      <c r="P15553">
        <v>0</v>
      </c>
      <c r="Q15553">
        <v>4</v>
      </c>
      <c r="R15553" t="s">
        <v>47334</v>
      </c>
      <c r="S15553" t="s">
        <v>48591</v>
      </c>
      <c r="T15553" t="s">
        <v>49072</v>
      </c>
      <c r="U15553" t="s">
        <v>62331</v>
      </c>
      <c r="W15553" t="s">
        <v>47267</v>
      </c>
      <c r="X15553" t="s">
        <v>47335</v>
      </c>
    </row>
    <row r="15554" spans="1:24">
      <c r="A15554">
        <f>HYPERLINK("https://www.philgeps.gov.ph/GEPSNONPILOT/Tender/SplashBidNoticeAbstractUI.aspx?menuIndex=3&amp;refID=7122700&amp;Result=3","7122700")</f>
        <v>0</v>
      </c>
      <c r="B15554" t="s">
        <v>1514</v>
      </c>
      <c r="C15554" t="s">
        <v>18603</v>
      </c>
      <c r="D15554" t="s">
        <v>18993</v>
      </c>
      <c r="E15554" t="s">
        <v>32247</v>
      </c>
      <c r="F15554" t="s">
        <v>32606</v>
      </c>
      <c r="G15554" t="s">
        <v>32613</v>
      </c>
      <c r="H15554" t="s">
        <v>14201</v>
      </c>
      <c r="I15554" t="s">
        <v>4114</v>
      </c>
      <c r="J15554" t="s">
        <v>42387</v>
      </c>
      <c r="K15554" t="s">
        <v>42631</v>
      </c>
      <c r="M15554" t="s">
        <v>47265</v>
      </c>
      <c r="N15554" t="s">
        <v>47304</v>
      </c>
      <c r="O15554" t="s">
        <v>47305</v>
      </c>
      <c r="Q15554">
        <v>12</v>
      </c>
      <c r="R15554" t="s">
        <v>47340</v>
      </c>
      <c r="S15554" t="s">
        <v>48687</v>
      </c>
      <c r="T15554" t="s">
        <v>49237</v>
      </c>
      <c r="U15554" t="s">
        <v>62332</v>
      </c>
      <c r="V15554" t="s">
        <v>64376</v>
      </c>
      <c r="W15554" t="s">
        <v>47265</v>
      </c>
      <c r="X15554" t="s">
        <v>47341</v>
      </c>
    </row>
    <row r="15555" spans="1:24">
      <c r="A15555">
        <f>HYPERLINK("https://www.philgeps.gov.ph/GEPSNONPILOT/Tender/SplashBidNoticeAbstractUI.aspx?menuIndex=3&amp;refID=7118741&amp;Result=3","7118741")</f>
        <v>0</v>
      </c>
      <c r="B15555" t="s">
        <v>421</v>
      </c>
      <c r="C15555" t="s">
        <v>18604</v>
      </c>
      <c r="D15555" t="s">
        <v>18988</v>
      </c>
      <c r="E15555" t="s">
        <v>32248</v>
      </c>
      <c r="F15555" t="s">
        <v>32606</v>
      </c>
      <c r="G15555" t="s">
        <v>32613</v>
      </c>
      <c r="H15555" t="s">
        <v>14201</v>
      </c>
      <c r="I15555" t="s">
        <v>32633</v>
      </c>
      <c r="J15555" t="s">
        <v>42388</v>
      </c>
      <c r="K15555" t="s">
        <v>42622</v>
      </c>
      <c r="M15555" t="s">
        <v>47262</v>
      </c>
      <c r="N15555" t="s">
        <v>47304</v>
      </c>
      <c r="O15555" t="s">
        <v>47305</v>
      </c>
      <c r="Q15555">
        <v>7</v>
      </c>
      <c r="R15555" t="s">
        <v>47341</v>
      </c>
      <c r="S15555" t="s">
        <v>48688</v>
      </c>
      <c r="T15555" t="s">
        <v>49154</v>
      </c>
      <c r="U15555" t="s">
        <v>62333</v>
      </c>
      <c r="V15555" t="s">
        <v>64374</v>
      </c>
      <c r="W15555" t="s">
        <v>47262</v>
      </c>
      <c r="X15555" t="s">
        <v>47342</v>
      </c>
    </row>
    <row r="15556" spans="1:24">
      <c r="A15556">
        <f>HYPERLINK("https://www.philgeps.gov.ph/GEPSNONPILOT/Tender/SplashBidNoticeAbstractUI.aspx?menuIndex=3&amp;refID=7118704&amp;Result=3","7118704")</f>
        <v>0</v>
      </c>
      <c r="B15556" t="s">
        <v>421</v>
      </c>
      <c r="C15556" t="s">
        <v>18605</v>
      </c>
      <c r="D15556" t="s">
        <v>18988</v>
      </c>
      <c r="E15556" t="s">
        <v>32249</v>
      </c>
      <c r="F15556" t="s">
        <v>32606</v>
      </c>
      <c r="G15556" t="s">
        <v>32613</v>
      </c>
      <c r="H15556" t="s">
        <v>14201</v>
      </c>
      <c r="I15556" t="s">
        <v>32633</v>
      </c>
      <c r="J15556" t="s">
        <v>42389</v>
      </c>
      <c r="K15556" t="s">
        <v>42622</v>
      </c>
      <c r="M15556" t="s">
        <v>47262</v>
      </c>
      <c r="N15556" t="s">
        <v>47304</v>
      </c>
      <c r="O15556" t="s">
        <v>47305</v>
      </c>
      <c r="Q15556">
        <v>7</v>
      </c>
      <c r="R15556" t="s">
        <v>47341</v>
      </c>
      <c r="S15556" t="s">
        <v>48689</v>
      </c>
      <c r="T15556" t="s">
        <v>49154</v>
      </c>
      <c r="U15556" t="s">
        <v>62334</v>
      </c>
      <c r="V15556" t="s">
        <v>64374</v>
      </c>
      <c r="W15556" t="s">
        <v>47262</v>
      </c>
      <c r="X15556" t="s">
        <v>47342</v>
      </c>
    </row>
    <row r="15557" spans="1:24">
      <c r="A15557">
        <f>HYPERLINK("https://www.philgeps.gov.ph/GEPSNONPILOT/Tender/SplashBidNoticeAbstractUI.aspx?menuIndex=3&amp;refID=7118670&amp;Result=3","7118670")</f>
        <v>0</v>
      </c>
      <c r="B15557" t="s">
        <v>421</v>
      </c>
      <c r="C15557" t="s">
        <v>18606</v>
      </c>
      <c r="D15557" t="s">
        <v>18988</v>
      </c>
      <c r="E15557" t="s">
        <v>32250</v>
      </c>
      <c r="F15557" t="s">
        <v>32606</v>
      </c>
      <c r="G15557" t="s">
        <v>32613</v>
      </c>
      <c r="H15557" t="s">
        <v>14201</v>
      </c>
      <c r="I15557" t="s">
        <v>32633</v>
      </c>
      <c r="J15557" t="s">
        <v>38491</v>
      </c>
      <c r="K15557" t="s">
        <v>42622</v>
      </c>
      <c r="M15557" t="s">
        <v>47262</v>
      </c>
      <c r="N15557" t="s">
        <v>47304</v>
      </c>
      <c r="O15557" t="s">
        <v>47305</v>
      </c>
      <c r="Q15557">
        <v>7</v>
      </c>
      <c r="R15557" t="s">
        <v>47341</v>
      </c>
      <c r="S15557" t="s">
        <v>48690</v>
      </c>
      <c r="T15557" t="s">
        <v>49154</v>
      </c>
      <c r="U15557" t="s">
        <v>62335</v>
      </c>
      <c r="V15557" t="s">
        <v>64374</v>
      </c>
      <c r="W15557" t="s">
        <v>47262</v>
      </c>
      <c r="X15557" t="s">
        <v>47342</v>
      </c>
    </row>
    <row r="15558" spans="1:24">
      <c r="A15558">
        <f>HYPERLINK("https://www.philgeps.gov.ph/GEPSNONPILOT/Tender/SplashBidNoticeAbstractUI.aspx?menuIndex=3&amp;refID=7118643&amp;Result=3","7118643")</f>
        <v>0</v>
      </c>
      <c r="B15558" t="s">
        <v>421</v>
      </c>
      <c r="C15558" t="s">
        <v>18607</v>
      </c>
      <c r="D15558" t="s">
        <v>18988</v>
      </c>
      <c r="E15558" t="s">
        <v>32251</v>
      </c>
      <c r="F15558" t="s">
        <v>32606</v>
      </c>
      <c r="G15558" t="s">
        <v>32613</v>
      </c>
      <c r="H15558" t="s">
        <v>14201</v>
      </c>
      <c r="I15558" t="s">
        <v>32633</v>
      </c>
      <c r="J15558" t="s">
        <v>42390</v>
      </c>
      <c r="K15558" t="s">
        <v>42622</v>
      </c>
      <c r="M15558" t="s">
        <v>47262</v>
      </c>
      <c r="N15558" t="s">
        <v>47304</v>
      </c>
      <c r="O15558" t="s">
        <v>47305</v>
      </c>
      <c r="Q15558">
        <v>8</v>
      </c>
      <c r="R15558" t="s">
        <v>47341</v>
      </c>
      <c r="S15558" t="s">
        <v>48691</v>
      </c>
      <c r="T15558" t="s">
        <v>49154</v>
      </c>
      <c r="U15558" t="s">
        <v>62336</v>
      </c>
      <c r="V15558" t="s">
        <v>64374</v>
      </c>
      <c r="W15558" t="s">
        <v>47262</v>
      </c>
      <c r="X15558" t="s">
        <v>47342</v>
      </c>
    </row>
    <row r="15559" spans="1:24">
      <c r="A15559">
        <f>HYPERLINK("https://www.philgeps.gov.ph/GEPSNONPILOT/Tender/SplashBidNoticeAbstractUI.aspx?menuIndex=3&amp;refID=7118609&amp;Result=3","7118609")</f>
        <v>0</v>
      </c>
      <c r="B15559" t="s">
        <v>421</v>
      </c>
      <c r="C15559" t="s">
        <v>18608</v>
      </c>
      <c r="D15559" t="s">
        <v>18988</v>
      </c>
      <c r="E15559" t="s">
        <v>32252</v>
      </c>
      <c r="F15559" t="s">
        <v>32606</v>
      </c>
      <c r="G15559" t="s">
        <v>32613</v>
      </c>
      <c r="H15559" t="s">
        <v>14201</v>
      </c>
      <c r="I15559" t="s">
        <v>32633</v>
      </c>
      <c r="J15559" t="s">
        <v>42391</v>
      </c>
      <c r="K15559" t="s">
        <v>42622</v>
      </c>
      <c r="M15559" t="s">
        <v>47262</v>
      </c>
      <c r="N15559" t="s">
        <v>47304</v>
      </c>
      <c r="O15559" t="s">
        <v>47305</v>
      </c>
      <c r="Q15559">
        <v>7</v>
      </c>
      <c r="R15559" t="s">
        <v>47341</v>
      </c>
      <c r="S15559" t="s">
        <v>48692</v>
      </c>
      <c r="T15559" t="s">
        <v>49154</v>
      </c>
      <c r="U15559" t="s">
        <v>62337</v>
      </c>
      <c r="V15559" t="s">
        <v>64374</v>
      </c>
      <c r="W15559" t="s">
        <v>47262</v>
      </c>
      <c r="X15559" t="s">
        <v>47342</v>
      </c>
    </row>
    <row r="15560" spans="1:24">
      <c r="A15560">
        <f>HYPERLINK("https://www.philgeps.gov.ph/GEPSNONPILOT/Tender/SplashBidNoticeAbstractUI.aspx?menuIndex=3&amp;refID=7116742&amp;Result=3","7116742")</f>
        <v>0</v>
      </c>
      <c r="B15560" t="s">
        <v>421</v>
      </c>
      <c r="C15560" t="s">
        <v>18609</v>
      </c>
      <c r="D15560" t="s">
        <v>18988</v>
      </c>
      <c r="E15560" t="s">
        <v>32253</v>
      </c>
      <c r="F15560" t="s">
        <v>32606</v>
      </c>
      <c r="G15560" t="s">
        <v>32613</v>
      </c>
      <c r="H15560" t="s">
        <v>14201</v>
      </c>
      <c r="I15560" t="s">
        <v>4112</v>
      </c>
      <c r="J15560" t="s">
        <v>42392</v>
      </c>
      <c r="K15560" t="s">
        <v>42679</v>
      </c>
      <c r="M15560" t="s">
        <v>47262</v>
      </c>
      <c r="N15560" t="s">
        <v>47304</v>
      </c>
      <c r="O15560" t="s">
        <v>47305</v>
      </c>
      <c r="Q15560">
        <v>3</v>
      </c>
      <c r="R15560" t="s">
        <v>47341</v>
      </c>
      <c r="S15560" t="s">
        <v>48693</v>
      </c>
      <c r="T15560" t="s">
        <v>49154</v>
      </c>
      <c r="U15560" t="s">
        <v>62338</v>
      </c>
      <c r="V15560" t="s">
        <v>64374</v>
      </c>
      <c r="W15560" t="s">
        <v>47262</v>
      </c>
      <c r="X15560" t="s">
        <v>47342</v>
      </c>
    </row>
    <row r="15561" spans="1:24">
      <c r="A15561">
        <f>HYPERLINK("https://www.philgeps.gov.ph/GEPSNONPILOT/Tender/SplashBidNoticeAbstractUI.aspx?menuIndex=3&amp;refID=7118381&amp;Result=3","7118381")</f>
        <v>0</v>
      </c>
      <c r="B15561" t="s">
        <v>421</v>
      </c>
      <c r="C15561" t="s">
        <v>18610</v>
      </c>
      <c r="D15561" t="s">
        <v>18988</v>
      </c>
      <c r="E15561" t="s">
        <v>32254</v>
      </c>
      <c r="F15561" t="s">
        <v>32606</v>
      </c>
      <c r="G15561" t="s">
        <v>32613</v>
      </c>
      <c r="H15561" t="s">
        <v>14201</v>
      </c>
      <c r="I15561" t="s">
        <v>32633</v>
      </c>
      <c r="J15561" t="s">
        <v>42393</v>
      </c>
      <c r="K15561" t="s">
        <v>42622</v>
      </c>
      <c r="M15561" t="s">
        <v>47262</v>
      </c>
      <c r="N15561" t="s">
        <v>47304</v>
      </c>
      <c r="O15561" t="s">
        <v>47305</v>
      </c>
      <c r="Q15561">
        <v>7</v>
      </c>
      <c r="R15561" t="s">
        <v>47341</v>
      </c>
      <c r="S15561" t="s">
        <v>48694</v>
      </c>
      <c r="T15561" t="s">
        <v>49154</v>
      </c>
      <c r="U15561" t="s">
        <v>62339</v>
      </c>
      <c r="V15561" t="s">
        <v>64374</v>
      </c>
      <c r="W15561" t="s">
        <v>47262</v>
      </c>
      <c r="X15561" t="s">
        <v>47342</v>
      </c>
    </row>
    <row r="15562" spans="1:24">
      <c r="A15562">
        <f>HYPERLINK("https://www.philgeps.gov.ph/GEPSNONPILOT/Tender/SplashBidNoticeAbstractUI.aspx?menuIndex=3&amp;refID=7134907&amp;Result=3","7134907")</f>
        <v>0</v>
      </c>
      <c r="B15562" t="s">
        <v>223</v>
      </c>
      <c r="C15562" t="s">
        <v>18611</v>
      </c>
      <c r="D15562" t="s">
        <v>19008</v>
      </c>
      <c r="E15562" t="s">
        <v>32255</v>
      </c>
      <c r="F15562" t="s">
        <v>32606</v>
      </c>
      <c r="G15562" t="s">
        <v>32613</v>
      </c>
      <c r="H15562" t="s">
        <v>14201</v>
      </c>
      <c r="I15562" t="s">
        <v>32650</v>
      </c>
      <c r="J15562" t="s">
        <v>33936</v>
      </c>
      <c r="K15562" t="s">
        <v>42648</v>
      </c>
      <c r="M15562" t="s">
        <v>43124</v>
      </c>
      <c r="N15562" t="s">
        <v>47304</v>
      </c>
      <c r="O15562" t="s">
        <v>47305</v>
      </c>
      <c r="P15562">
        <v>0</v>
      </c>
      <c r="Q15562">
        <v>5</v>
      </c>
      <c r="R15562" t="s">
        <v>47336</v>
      </c>
      <c r="S15562" t="s">
        <v>48643</v>
      </c>
      <c r="T15562" t="s">
        <v>49263</v>
      </c>
      <c r="U15562" t="s">
        <v>62340</v>
      </c>
      <c r="V15562" t="s">
        <v>62960</v>
      </c>
      <c r="W15562" t="s">
        <v>43124</v>
      </c>
      <c r="X15562" t="s">
        <v>47337</v>
      </c>
    </row>
    <row r="15563" spans="1:24">
      <c r="A15563">
        <f>HYPERLINK("https://www.philgeps.gov.ph/GEPSNONPILOT/Tender/SplashBidNoticeAbstractUI.aspx?menuIndex=3&amp;refID=7118500&amp;Result=3","7118500")</f>
        <v>0</v>
      </c>
      <c r="B15563" t="s">
        <v>421</v>
      </c>
      <c r="C15563" t="s">
        <v>18612</v>
      </c>
      <c r="D15563" t="s">
        <v>18988</v>
      </c>
      <c r="E15563" t="s">
        <v>32256</v>
      </c>
      <c r="F15563" t="s">
        <v>32606</v>
      </c>
      <c r="G15563" t="s">
        <v>32613</v>
      </c>
      <c r="H15563" t="s">
        <v>14201</v>
      </c>
      <c r="I15563" t="s">
        <v>32633</v>
      </c>
      <c r="J15563" t="s">
        <v>42394</v>
      </c>
      <c r="K15563" t="s">
        <v>42622</v>
      </c>
      <c r="M15563" t="s">
        <v>47262</v>
      </c>
      <c r="N15563" t="s">
        <v>47304</v>
      </c>
      <c r="O15563" t="s">
        <v>47305</v>
      </c>
      <c r="Q15563">
        <v>4</v>
      </c>
      <c r="R15563" t="s">
        <v>47341</v>
      </c>
      <c r="S15563" t="s">
        <v>48695</v>
      </c>
      <c r="T15563" t="s">
        <v>49154</v>
      </c>
      <c r="U15563" t="s">
        <v>62341</v>
      </c>
      <c r="V15563" t="s">
        <v>64374</v>
      </c>
      <c r="W15563" t="s">
        <v>47262</v>
      </c>
      <c r="X15563" t="s">
        <v>47342</v>
      </c>
    </row>
    <row r="15564" spans="1:24">
      <c r="A15564">
        <f>HYPERLINK("https://www.philgeps.gov.ph/GEPSNONPILOT/Tender/SplashBidNoticeAbstractUI.aspx?menuIndex=3&amp;refID=7118465&amp;Result=3","7118465")</f>
        <v>0</v>
      </c>
      <c r="B15564" t="s">
        <v>421</v>
      </c>
      <c r="C15564" t="s">
        <v>18613</v>
      </c>
      <c r="D15564" t="s">
        <v>18988</v>
      </c>
      <c r="E15564" t="s">
        <v>32257</v>
      </c>
      <c r="F15564" t="s">
        <v>32606</v>
      </c>
      <c r="G15564" t="s">
        <v>32613</v>
      </c>
      <c r="H15564" t="s">
        <v>14201</v>
      </c>
      <c r="I15564" t="s">
        <v>32633</v>
      </c>
      <c r="J15564" t="s">
        <v>42395</v>
      </c>
      <c r="K15564" t="s">
        <v>42622</v>
      </c>
      <c r="M15564" t="s">
        <v>47262</v>
      </c>
      <c r="N15564" t="s">
        <v>47304</v>
      </c>
      <c r="O15564" t="s">
        <v>47305</v>
      </c>
      <c r="Q15564">
        <v>4</v>
      </c>
      <c r="R15564" t="s">
        <v>47341</v>
      </c>
      <c r="S15564" t="s">
        <v>48696</v>
      </c>
      <c r="T15564" t="s">
        <v>49154</v>
      </c>
      <c r="U15564" t="s">
        <v>62342</v>
      </c>
      <c r="V15564" t="s">
        <v>64374</v>
      </c>
      <c r="W15564" t="s">
        <v>47262</v>
      </c>
      <c r="X15564" t="s">
        <v>47342</v>
      </c>
    </row>
    <row r="15565" spans="1:24">
      <c r="A15565">
        <f>HYPERLINK("https://www.philgeps.gov.ph/GEPSNONPILOT/Tender/SplashBidNoticeAbstractUI.aspx?menuIndex=3&amp;refID=7118290&amp;Result=3","7118290")</f>
        <v>0</v>
      </c>
      <c r="B15565" t="s">
        <v>421</v>
      </c>
      <c r="C15565" t="s">
        <v>18614</v>
      </c>
      <c r="D15565" t="s">
        <v>18988</v>
      </c>
      <c r="E15565" t="s">
        <v>32258</v>
      </c>
      <c r="F15565" t="s">
        <v>32606</v>
      </c>
      <c r="G15565" t="s">
        <v>32613</v>
      </c>
      <c r="H15565" t="s">
        <v>14201</v>
      </c>
      <c r="I15565" t="s">
        <v>32633</v>
      </c>
      <c r="J15565" t="s">
        <v>42396</v>
      </c>
      <c r="K15565" t="s">
        <v>42622</v>
      </c>
      <c r="M15565" t="s">
        <v>47262</v>
      </c>
      <c r="N15565" t="s">
        <v>47304</v>
      </c>
      <c r="O15565" t="s">
        <v>47305</v>
      </c>
      <c r="Q15565">
        <v>9</v>
      </c>
      <c r="R15565" t="s">
        <v>47341</v>
      </c>
      <c r="S15565" t="s">
        <v>48697</v>
      </c>
      <c r="T15565" t="s">
        <v>49154</v>
      </c>
      <c r="U15565" t="s">
        <v>62343</v>
      </c>
      <c r="V15565" t="s">
        <v>64374</v>
      </c>
      <c r="W15565" t="s">
        <v>47262</v>
      </c>
      <c r="X15565" t="s">
        <v>47342</v>
      </c>
    </row>
    <row r="15566" spans="1:24">
      <c r="A15566">
        <f>HYPERLINK("https://www.philgeps.gov.ph/GEPSNONPILOT/Tender/SplashBidNoticeAbstractUI.aspx?menuIndex=3&amp;refID=7118088&amp;Result=3","7118088")</f>
        <v>0</v>
      </c>
      <c r="B15566" t="s">
        <v>421</v>
      </c>
      <c r="C15566" t="s">
        <v>18615</v>
      </c>
      <c r="D15566" t="s">
        <v>18988</v>
      </c>
      <c r="E15566" t="s">
        <v>32259</v>
      </c>
      <c r="F15566" t="s">
        <v>32606</v>
      </c>
      <c r="G15566" t="s">
        <v>32613</v>
      </c>
      <c r="H15566" t="s">
        <v>14201</v>
      </c>
      <c r="I15566" t="s">
        <v>32633</v>
      </c>
      <c r="J15566" t="s">
        <v>42397</v>
      </c>
      <c r="K15566" t="s">
        <v>42622</v>
      </c>
      <c r="M15566" t="s">
        <v>47262</v>
      </c>
      <c r="N15566" t="s">
        <v>47304</v>
      </c>
      <c r="O15566" t="s">
        <v>47305</v>
      </c>
      <c r="Q15566">
        <v>8</v>
      </c>
      <c r="R15566" t="s">
        <v>47341</v>
      </c>
      <c r="S15566" t="s">
        <v>48698</v>
      </c>
      <c r="T15566" t="s">
        <v>49154</v>
      </c>
      <c r="U15566" t="s">
        <v>62344</v>
      </c>
      <c r="V15566" t="s">
        <v>64374</v>
      </c>
      <c r="W15566" t="s">
        <v>47262</v>
      </c>
      <c r="X15566" t="s">
        <v>47342</v>
      </c>
    </row>
    <row r="15567" spans="1:24">
      <c r="A15567">
        <f>HYPERLINK("https://www.philgeps.gov.ph/GEPSNONPILOT/Tender/SplashBidNoticeAbstractUI.aspx?menuIndex=3&amp;refID=7118112&amp;Result=3","7118112")</f>
        <v>0</v>
      </c>
      <c r="B15567" t="s">
        <v>421</v>
      </c>
      <c r="C15567" t="s">
        <v>18616</v>
      </c>
      <c r="D15567" t="s">
        <v>18988</v>
      </c>
      <c r="E15567" t="s">
        <v>32260</v>
      </c>
      <c r="F15567" t="s">
        <v>32606</v>
      </c>
      <c r="G15567" t="s">
        <v>32613</v>
      </c>
      <c r="H15567" t="s">
        <v>14201</v>
      </c>
      <c r="I15567" t="s">
        <v>32633</v>
      </c>
      <c r="J15567" t="s">
        <v>42398</v>
      </c>
      <c r="K15567" t="s">
        <v>42622</v>
      </c>
      <c r="M15567" t="s">
        <v>47262</v>
      </c>
      <c r="N15567" t="s">
        <v>47304</v>
      </c>
      <c r="O15567" t="s">
        <v>47305</v>
      </c>
      <c r="Q15567">
        <v>10</v>
      </c>
      <c r="R15567" t="s">
        <v>47341</v>
      </c>
      <c r="S15567" t="s">
        <v>48699</v>
      </c>
      <c r="T15567" t="s">
        <v>49154</v>
      </c>
      <c r="U15567" t="s">
        <v>62345</v>
      </c>
      <c r="V15567" t="s">
        <v>64374</v>
      </c>
      <c r="W15567" t="s">
        <v>47262</v>
      </c>
      <c r="X15567" t="s">
        <v>47342</v>
      </c>
    </row>
    <row r="15568" spans="1:24">
      <c r="A15568">
        <f>HYPERLINK("https://www.philgeps.gov.ph/GEPSNONPILOT/Tender/SplashBidNoticeAbstractUI.aspx?menuIndex=3&amp;refID=7118416&amp;Result=3","7118416")</f>
        <v>0</v>
      </c>
      <c r="B15568" t="s">
        <v>421</v>
      </c>
      <c r="C15568" t="s">
        <v>18617</v>
      </c>
      <c r="D15568" t="s">
        <v>18988</v>
      </c>
      <c r="E15568" t="s">
        <v>32261</v>
      </c>
      <c r="F15568" t="s">
        <v>32606</v>
      </c>
      <c r="G15568" t="s">
        <v>32613</v>
      </c>
      <c r="H15568" t="s">
        <v>14201</v>
      </c>
      <c r="I15568" t="s">
        <v>32633</v>
      </c>
      <c r="J15568" t="s">
        <v>42399</v>
      </c>
      <c r="K15568" t="s">
        <v>42622</v>
      </c>
      <c r="M15568" t="s">
        <v>47262</v>
      </c>
      <c r="N15568" t="s">
        <v>47304</v>
      </c>
      <c r="O15568" t="s">
        <v>47305</v>
      </c>
      <c r="Q15568">
        <v>14</v>
      </c>
      <c r="R15568" t="s">
        <v>47341</v>
      </c>
      <c r="S15568" t="s">
        <v>48700</v>
      </c>
      <c r="T15568" t="s">
        <v>49154</v>
      </c>
      <c r="U15568" t="s">
        <v>62346</v>
      </c>
      <c r="V15568" t="s">
        <v>64374</v>
      </c>
      <c r="W15568" t="s">
        <v>47262</v>
      </c>
      <c r="X15568" t="s">
        <v>47342</v>
      </c>
    </row>
    <row r="15569" spans="1:24">
      <c r="A15569">
        <f>HYPERLINK("https://www.philgeps.gov.ph/GEPSNONPILOT/Tender/SplashBidNoticeAbstractUI.aspx?menuIndex=3&amp;refID=7118025&amp;Result=3","7118025")</f>
        <v>0</v>
      </c>
      <c r="B15569" t="s">
        <v>421</v>
      </c>
      <c r="C15569" t="s">
        <v>18618</v>
      </c>
      <c r="D15569" t="s">
        <v>18988</v>
      </c>
      <c r="E15569" t="s">
        <v>32262</v>
      </c>
      <c r="F15569" t="s">
        <v>32606</v>
      </c>
      <c r="G15569" t="s">
        <v>32613</v>
      </c>
      <c r="H15569" t="s">
        <v>14201</v>
      </c>
      <c r="I15569" t="s">
        <v>6014</v>
      </c>
      <c r="J15569" t="s">
        <v>42400</v>
      </c>
      <c r="K15569" t="s">
        <v>42622</v>
      </c>
      <c r="M15569" t="s">
        <v>47262</v>
      </c>
      <c r="N15569" t="s">
        <v>47304</v>
      </c>
      <c r="O15569" t="s">
        <v>47305</v>
      </c>
      <c r="Q15569">
        <v>1</v>
      </c>
      <c r="R15569" t="s">
        <v>47341</v>
      </c>
      <c r="S15569" t="s">
        <v>48701</v>
      </c>
      <c r="T15569" t="s">
        <v>49154</v>
      </c>
      <c r="U15569" t="s">
        <v>62347</v>
      </c>
      <c r="V15569" t="s">
        <v>64374</v>
      </c>
      <c r="W15569" t="s">
        <v>47262</v>
      </c>
      <c r="X15569" t="s">
        <v>47342</v>
      </c>
    </row>
    <row r="15570" spans="1:24">
      <c r="A15570">
        <f>HYPERLINK("https://www.philgeps.gov.ph/GEPSNONPILOT/Tender/SplashBidNoticeAbstractUI.aspx?menuIndex=3&amp;refID=7118757&amp;Result=3","7118757")</f>
        <v>0</v>
      </c>
      <c r="B15570" t="s">
        <v>421</v>
      </c>
      <c r="C15570" t="s">
        <v>18619</v>
      </c>
      <c r="D15570" t="s">
        <v>18988</v>
      </c>
      <c r="E15570" t="s">
        <v>32263</v>
      </c>
      <c r="F15570" t="s">
        <v>32606</v>
      </c>
      <c r="G15570" t="s">
        <v>32613</v>
      </c>
      <c r="H15570" t="s">
        <v>14201</v>
      </c>
      <c r="I15570" t="s">
        <v>32633</v>
      </c>
      <c r="J15570" t="s">
        <v>41191</v>
      </c>
      <c r="K15570" t="s">
        <v>42622</v>
      </c>
      <c r="M15570" t="s">
        <v>47262</v>
      </c>
      <c r="N15570" t="s">
        <v>47304</v>
      </c>
      <c r="O15570" t="s">
        <v>47305</v>
      </c>
      <c r="Q15570">
        <v>5</v>
      </c>
      <c r="R15570" t="s">
        <v>47341</v>
      </c>
      <c r="S15570" t="s">
        <v>48702</v>
      </c>
      <c r="T15570" t="s">
        <v>49154</v>
      </c>
      <c r="U15570" t="s">
        <v>62348</v>
      </c>
      <c r="V15570" t="s">
        <v>64374</v>
      </c>
      <c r="W15570" t="s">
        <v>47262</v>
      </c>
      <c r="X15570" t="s">
        <v>47342</v>
      </c>
    </row>
    <row r="15571" spans="1:24">
      <c r="A15571">
        <f>HYPERLINK("https://www.philgeps.gov.ph/GEPSNONPILOT/Tender/SplashBidNoticeAbstractUI.aspx?menuIndex=3&amp;refID=7117897&amp;Result=3","7117897")</f>
        <v>0</v>
      </c>
      <c r="B15571" t="s">
        <v>421</v>
      </c>
      <c r="C15571" t="s">
        <v>18620</v>
      </c>
      <c r="D15571" t="s">
        <v>18988</v>
      </c>
      <c r="E15571" t="s">
        <v>32264</v>
      </c>
      <c r="F15571" t="s">
        <v>32606</v>
      </c>
      <c r="G15571" t="s">
        <v>32613</v>
      </c>
      <c r="H15571" t="s">
        <v>14201</v>
      </c>
      <c r="I15571" t="s">
        <v>32662</v>
      </c>
      <c r="J15571" t="s">
        <v>32783</v>
      </c>
      <c r="K15571" t="s">
        <v>42646</v>
      </c>
      <c r="M15571" t="s">
        <v>47262</v>
      </c>
      <c r="N15571" t="s">
        <v>47304</v>
      </c>
      <c r="O15571" t="s">
        <v>47305</v>
      </c>
      <c r="Q15571">
        <v>30</v>
      </c>
      <c r="R15571" t="s">
        <v>47341</v>
      </c>
      <c r="S15571" t="s">
        <v>48703</v>
      </c>
      <c r="T15571" t="s">
        <v>49154</v>
      </c>
      <c r="U15571" t="s">
        <v>62349</v>
      </c>
      <c r="V15571" t="s">
        <v>64374</v>
      </c>
      <c r="W15571" t="s">
        <v>47262</v>
      </c>
      <c r="X15571" t="s">
        <v>47342</v>
      </c>
    </row>
    <row r="15572" spans="1:24">
      <c r="A15572">
        <f>HYPERLINK("https://www.philgeps.gov.ph/GEPSNONPILOT/Tender/SplashBidNoticeAbstractUI.aspx?menuIndex=3&amp;refID=7136322&amp;Result=3","7136322")</f>
        <v>0</v>
      </c>
      <c r="B15572" t="s">
        <v>696</v>
      </c>
      <c r="C15572" t="s">
        <v>18621</v>
      </c>
      <c r="D15572" t="s">
        <v>18993</v>
      </c>
      <c r="E15572" t="s">
        <v>32265</v>
      </c>
      <c r="F15572" t="s">
        <v>32606</v>
      </c>
      <c r="G15572" t="s">
        <v>32617</v>
      </c>
      <c r="H15572" t="s">
        <v>14201</v>
      </c>
      <c r="I15572" t="s">
        <v>4678</v>
      </c>
      <c r="J15572" t="s">
        <v>32885</v>
      </c>
      <c r="K15572" t="s">
        <v>42627</v>
      </c>
      <c r="M15572" t="s">
        <v>45418</v>
      </c>
      <c r="N15572" t="s">
        <v>47304</v>
      </c>
      <c r="O15572" t="s">
        <v>47305</v>
      </c>
      <c r="Q15572">
        <v>18</v>
      </c>
      <c r="R15572" t="s">
        <v>47334</v>
      </c>
      <c r="S15572" t="s">
        <v>48704</v>
      </c>
      <c r="T15572" t="s">
        <v>49020</v>
      </c>
      <c r="U15572" t="s">
        <v>50770</v>
      </c>
      <c r="V15572" t="s">
        <v>64144</v>
      </c>
      <c r="W15572" t="s">
        <v>45418</v>
      </c>
      <c r="X15572" t="s">
        <v>47335</v>
      </c>
    </row>
    <row r="15573" spans="1:24">
      <c r="A15573">
        <f>HYPERLINK("https://www.philgeps.gov.ph/GEPSNONPILOT/Tender/SplashBidNoticeAbstractUI.aspx?menuIndex=3&amp;refID=7118155&amp;Result=3","7118155")</f>
        <v>0</v>
      </c>
      <c r="B15573" t="s">
        <v>421</v>
      </c>
      <c r="C15573" t="s">
        <v>18622</v>
      </c>
      <c r="D15573" t="s">
        <v>18988</v>
      </c>
      <c r="E15573" t="s">
        <v>32266</v>
      </c>
      <c r="F15573" t="s">
        <v>32606</v>
      </c>
      <c r="G15573" t="s">
        <v>32613</v>
      </c>
      <c r="H15573" t="s">
        <v>14201</v>
      </c>
      <c r="I15573" t="s">
        <v>32633</v>
      </c>
      <c r="J15573" t="s">
        <v>42401</v>
      </c>
      <c r="K15573" t="s">
        <v>42622</v>
      </c>
      <c r="M15573" t="s">
        <v>47262</v>
      </c>
      <c r="N15573" t="s">
        <v>47304</v>
      </c>
      <c r="O15573" t="s">
        <v>47305</v>
      </c>
      <c r="Q15573">
        <v>9</v>
      </c>
      <c r="R15573" t="s">
        <v>47341</v>
      </c>
      <c r="S15573" t="s">
        <v>48699</v>
      </c>
      <c r="T15573" t="s">
        <v>49154</v>
      </c>
      <c r="U15573" t="s">
        <v>62350</v>
      </c>
      <c r="V15573" t="s">
        <v>64374</v>
      </c>
      <c r="W15573" t="s">
        <v>47262</v>
      </c>
      <c r="X15573" t="s">
        <v>47342</v>
      </c>
    </row>
    <row r="15574" spans="1:24">
      <c r="A15574">
        <f>HYPERLINK("https://www.philgeps.gov.ph/GEPSNONPILOT/Tender/SplashBidNoticeAbstractUI.aspx?menuIndex=3&amp;refID=7141389&amp;Result=3","7141389")</f>
        <v>0</v>
      </c>
      <c r="B15574" t="s">
        <v>467</v>
      </c>
      <c r="C15574" t="s">
        <v>18623</v>
      </c>
      <c r="E15574" t="s">
        <v>32267</v>
      </c>
      <c r="F15574" t="s">
        <v>32606</v>
      </c>
      <c r="G15574" t="s">
        <v>32613</v>
      </c>
      <c r="H15574" t="s">
        <v>14201</v>
      </c>
      <c r="I15574" t="s">
        <v>7577</v>
      </c>
      <c r="J15574" t="s">
        <v>42402</v>
      </c>
      <c r="K15574" t="s">
        <v>42624</v>
      </c>
      <c r="M15574" t="s">
        <v>44145</v>
      </c>
      <c r="N15574" t="s">
        <v>47304</v>
      </c>
      <c r="O15574" t="s">
        <v>47305</v>
      </c>
      <c r="Q15574">
        <v>12</v>
      </c>
      <c r="R15574" t="s">
        <v>47333</v>
      </c>
      <c r="S15574" t="s">
        <v>48705</v>
      </c>
      <c r="T15574" t="s">
        <v>49394</v>
      </c>
      <c r="U15574" t="s">
        <v>62351</v>
      </c>
      <c r="W15574" t="s">
        <v>44145</v>
      </c>
      <c r="X15574" t="s">
        <v>47334</v>
      </c>
    </row>
    <row r="15575" spans="1:24">
      <c r="A15575">
        <f>HYPERLINK("https://www.philgeps.gov.ph/GEPSNONPILOT/Tender/SplashBidNoticeAbstractUI.aspx?menuIndex=3&amp;refID=7118009&amp;Result=3","7118009")</f>
        <v>0</v>
      </c>
      <c r="B15575" t="s">
        <v>421</v>
      </c>
      <c r="C15575" t="s">
        <v>18624</v>
      </c>
      <c r="D15575" t="s">
        <v>18988</v>
      </c>
      <c r="E15575" t="s">
        <v>32268</v>
      </c>
      <c r="F15575" t="s">
        <v>32606</v>
      </c>
      <c r="G15575" t="s">
        <v>32613</v>
      </c>
      <c r="H15575" t="s">
        <v>14201</v>
      </c>
      <c r="I15575" t="s">
        <v>6014</v>
      </c>
      <c r="J15575" t="s">
        <v>42403</v>
      </c>
      <c r="K15575" t="s">
        <v>42622</v>
      </c>
      <c r="M15575" t="s">
        <v>47262</v>
      </c>
      <c r="N15575" t="s">
        <v>47304</v>
      </c>
      <c r="O15575" t="s">
        <v>47305</v>
      </c>
      <c r="Q15575">
        <v>3</v>
      </c>
      <c r="R15575" t="s">
        <v>47341</v>
      </c>
      <c r="S15575" t="s">
        <v>48701</v>
      </c>
      <c r="T15575" t="s">
        <v>49154</v>
      </c>
      <c r="U15575" t="s">
        <v>62352</v>
      </c>
      <c r="V15575" t="s">
        <v>64374</v>
      </c>
      <c r="W15575" t="s">
        <v>47262</v>
      </c>
      <c r="X15575" t="s">
        <v>47342</v>
      </c>
    </row>
    <row r="15576" spans="1:24">
      <c r="A15576">
        <f>HYPERLINK("https://www.philgeps.gov.ph/GEPSNONPILOT/Tender/SplashBidNoticeAbstractUI.aspx?menuIndex=3&amp;refID=7141157&amp;Result=3","7141157")</f>
        <v>0</v>
      </c>
      <c r="B15576" t="s">
        <v>1529</v>
      </c>
      <c r="C15576" t="s">
        <v>18625</v>
      </c>
      <c r="D15576" t="s">
        <v>18993</v>
      </c>
      <c r="E15576" t="s">
        <v>32269</v>
      </c>
      <c r="F15576" t="s">
        <v>32606</v>
      </c>
      <c r="G15576" t="s">
        <v>32618</v>
      </c>
      <c r="H15576" t="s">
        <v>14201</v>
      </c>
      <c r="I15576" t="s">
        <v>4678</v>
      </c>
      <c r="J15576" t="s">
        <v>34431</v>
      </c>
      <c r="K15576" t="s">
        <v>42639</v>
      </c>
      <c r="M15576" t="s">
        <v>47166</v>
      </c>
      <c r="N15576" t="s">
        <v>47304</v>
      </c>
      <c r="O15576" t="s">
        <v>47305</v>
      </c>
      <c r="P15576">
        <v>0</v>
      </c>
      <c r="Q15576">
        <v>5</v>
      </c>
      <c r="R15576" t="s">
        <v>47333</v>
      </c>
      <c r="S15576" t="s">
        <v>48566</v>
      </c>
      <c r="T15576" t="s">
        <v>48998</v>
      </c>
      <c r="U15576" t="s">
        <v>62353</v>
      </c>
      <c r="W15576" t="s">
        <v>47166</v>
      </c>
      <c r="X15576" t="s">
        <v>47334</v>
      </c>
    </row>
    <row r="15577" spans="1:24">
      <c r="A15577">
        <f>HYPERLINK("https://www.philgeps.gov.ph/GEPSNONPILOT/Tender/SplashBidNoticeAbstractUI.aspx?menuIndex=3&amp;refID=7140904&amp;Result=3","7140904")</f>
        <v>0</v>
      </c>
      <c r="B15577" t="s">
        <v>1500</v>
      </c>
      <c r="C15577" t="s">
        <v>18626</v>
      </c>
      <c r="D15577" t="s">
        <v>19036</v>
      </c>
      <c r="E15577" t="s">
        <v>32270</v>
      </c>
      <c r="F15577" t="s">
        <v>32606</v>
      </c>
      <c r="G15577" t="s">
        <v>32614</v>
      </c>
      <c r="H15577" t="s">
        <v>14201</v>
      </c>
      <c r="I15577" t="s">
        <v>32652</v>
      </c>
      <c r="J15577" t="s">
        <v>33051</v>
      </c>
      <c r="K15577" t="s">
        <v>42623</v>
      </c>
      <c r="M15577" t="s">
        <v>46586</v>
      </c>
      <c r="N15577" t="s">
        <v>47304</v>
      </c>
      <c r="O15577" t="s">
        <v>47305</v>
      </c>
      <c r="Q15577">
        <v>0</v>
      </c>
      <c r="R15577" t="s">
        <v>47333</v>
      </c>
      <c r="S15577" t="s">
        <v>48706</v>
      </c>
      <c r="T15577" t="s">
        <v>49071</v>
      </c>
      <c r="U15577" t="s">
        <v>60193</v>
      </c>
      <c r="W15577" t="s">
        <v>46586</v>
      </c>
      <c r="X15577" t="s">
        <v>47334</v>
      </c>
    </row>
    <row r="15578" spans="1:24">
      <c r="A15578">
        <f>HYPERLINK("https://www.philgeps.gov.ph/GEPSNONPILOT/Tender/SplashBidNoticeAbstractUI.aspx?menuIndex=3&amp;refID=7117843&amp;Result=3","7117843")</f>
        <v>0</v>
      </c>
      <c r="B15578" t="s">
        <v>421</v>
      </c>
      <c r="C15578" t="s">
        <v>18627</v>
      </c>
      <c r="D15578" t="s">
        <v>18988</v>
      </c>
      <c r="E15578" t="s">
        <v>32271</v>
      </c>
      <c r="F15578" t="s">
        <v>32606</v>
      </c>
      <c r="G15578" t="s">
        <v>32613</v>
      </c>
      <c r="H15578" t="s">
        <v>32624</v>
      </c>
      <c r="I15578" t="s">
        <v>32640</v>
      </c>
      <c r="J15578" t="s">
        <v>40040</v>
      </c>
      <c r="K15578" t="s">
        <v>42648</v>
      </c>
      <c r="M15578" t="s">
        <v>47262</v>
      </c>
      <c r="N15578" t="s">
        <v>47304</v>
      </c>
      <c r="O15578" t="s">
        <v>47305</v>
      </c>
      <c r="Q15578">
        <v>24</v>
      </c>
      <c r="R15578" t="s">
        <v>47341</v>
      </c>
      <c r="S15578" t="s">
        <v>48707</v>
      </c>
      <c r="T15578" t="s">
        <v>49154</v>
      </c>
      <c r="U15578" t="s">
        <v>62354</v>
      </c>
      <c r="V15578" t="s">
        <v>64374</v>
      </c>
      <c r="W15578" t="s">
        <v>47262</v>
      </c>
      <c r="X15578" t="s">
        <v>47342</v>
      </c>
    </row>
    <row r="15579" spans="1:24">
      <c r="A15579">
        <f>HYPERLINK("https://www.philgeps.gov.ph/GEPSNONPILOT/Tender/SplashBidNoticeAbstractUI.aspx?menuIndex=3&amp;refID=7118059&amp;Result=3","7118059")</f>
        <v>0</v>
      </c>
      <c r="B15579" t="s">
        <v>421</v>
      </c>
      <c r="C15579" t="s">
        <v>18628</v>
      </c>
      <c r="D15579" t="s">
        <v>18988</v>
      </c>
      <c r="E15579" t="s">
        <v>32272</v>
      </c>
      <c r="F15579" t="s">
        <v>32606</v>
      </c>
      <c r="G15579" t="s">
        <v>32613</v>
      </c>
      <c r="H15579" t="s">
        <v>14201</v>
      </c>
      <c r="I15579" t="s">
        <v>4120</v>
      </c>
      <c r="J15579" t="s">
        <v>42404</v>
      </c>
      <c r="K15579" t="s">
        <v>42622</v>
      </c>
      <c r="M15579" t="s">
        <v>47262</v>
      </c>
      <c r="N15579" t="s">
        <v>47304</v>
      </c>
      <c r="O15579" t="s">
        <v>47305</v>
      </c>
      <c r="Q15579">
        <v>4</v>
      </c>
      <c r="R15579" t="s">
        <v>47341</v>
      </c>
      <c r="S15579" t="s">
        <v>48708</v>
      </c>
      <c r="T15579" t="s">
        <v>49154</v>
      </c>
      <c r="U15579" t="s">
        <v>62355</v>
      </c>
      <c r="V15579" t="s">
        <v>64374</v>
      </c>
      <c r="W15579" t="s">
        <v>47262</v>
      </c>
      <c r="X15579" t="s">
        <v>47342</v>
      </c>
    </row>
    <row r="15580" spans="1:24">
      <c r="A15580">
        <f>HYPERLINK("https://www.philgeps.gov.ph/GEPSNONPILOT/Tender/SplashBidNoticeAbstractUI.aspx?menuIndex=3&amp;refID=7141310&amp;Result=3","7141310")</f>
        <v>0</v>
      </c>
      <c r="B15580" t="s">
        <v>1500</v>
      </c>
      <c r="C15580" t="s">
        <v>18629</v>
      </c>
      <c r="D15580" t="s">
        <v>19036</v>
      </c>
      <c r="E15580" t="s">
        <v>32273</v>
      </c>
      <c r="F15580" t="s">
        <v>32606</v>
      </c>
      <c r="G15580" t="s">
        <v>32617</v>
      </c>
      <c r="H15580" t="s">
        <v>14201</v>
      </c>
      <c r="I15580" t="s">
        <v>6298</v>
      </c>
      <c r="J15580" t="s">
        <v>42405</v>
      </c>
      <c r="K15580" t="s">
        <v>42631</v>
      </c>
      <c r="M15580" t="s">
        <v>46586</v>
      </c>
      <c r="N15580" t="s">
        <v>47304</v>
      </c>
      <c r="O15580" t="s">
        <v>47305</v>
      </c>
      <c r="Q15580">
        <v>4</v>
      </c>
      <c r="R15580" t="s">
        <v>47333</v>
      </c>
      <c r="S15580" t="s">
        <v>48706</v>
      </c>
      <c r="T15580" t="s">
        <v>49071</v>
      </c>
      <c r="U15580" t="s">
        <v>62356</v>
      </c>
      <c r="W15580" t="s">
        <v>46586</v>
      </c>
      <c r="X15580" t="s">
        <v>47334</v>
      </c>
    </row>
    <row r="15581" spans="1:24">
      <c r="A15581">
        <f>HYPERLINK("https://www.philgeps.gov.ph/GEPSNONPILOT/Tender/SplashBidNoticeAbstractUI.aspx?menuIndex=3&amp;refID=7117985&amp;Result=3","7117985")</f>
        <v>0</v>
      </c>
      <c r="B15581" t="s">
        <v>421</v>
      </c>
      <c r="C15581" t="s">
        <v>18630</v>
      </c>
      <c r="D15581" t="s">
        <v>18988</v>
      </c>
      <c r="E15581" t="s">
        <v>32274</v>
      </c>
      <c r="F15581" t="s">
        <v>32606</v>
      </c>
      <c r="G15581" t="s">
        <v>32613</v>
      </c>
      <c r="H15581" t="s">
        <v>14201</v>
      </c>
      <c r="I15581" t="s">
        <v>32633</v>
      </c>
      <c r="J15581" t="s">
        <v>42406</v>
      </c>
      <c r="K15581" t="s">
        <v>42679</v>
      </c>
      <c r="M15581" t="s">
        <v>47262</v>
      </c>
      <c r="N15581" t="s">
        <v>47304</v>
      </c>
      <c r="O15581" t="s">
        <v>47305</v>
      </c>
      <c r="Q15581">
        <v>2</v>
      </c>
      <c r="R15581" t="s">
        <v>47341</v>
      </c>
      <c r="S15581" t="s">
        <v>48709</v>
      </c>
      <c r="T15581" t="s">
        <v>49154</v>
      </c>
      <c r="U15581" t="s">
        <v>62357</v>
      </c>
      <c r="V15581" t="s">
        <v>64374</v>
      </c>
      <c r="W15581" t="s">
        <v>47262</v>
      </c>
      <c r="X15581" t="s">
        <v>47342</v>
      </c>
    </row>
    <row r="15582" spans="1:24">
      <c r="A15582">
        <f>HYPERLINK("https://www.philgeps.gov.ph/GEPSNONPILOT/Tender/SplashBidNoticeAbstractUI.aspx?menuIndex=3&amp;refID=7119024&amp;Result=3","7119024")</f>
        <v>0</v>
      </c>
      <c r="B15582" t="s">
        <v>421</v>
      </c>
      <c r="C15582" t="s">
        <v>18631</v>
      </c>
      <c r="D15582" t="s">
        <v>18988</v>
      </c>
      <c r="E15582" t="s">
        <v>32275</v>
      </c>
      <c r="F15582" t="s">
        <v>32606</v>
      </c>
      <c r="G15582" t="s">
        <v>32613</v>
      </c>
      <c r="H15582" t="s">
        <v>14201</v>
      </c>
      <c r="I15582" t="s">
        <v>32638</v>
      </c>
      <c r="J15582" t="s">
        <v>32860</v>
      </c>
      <c r="K15582" t="s">
        <v>42622</v>
      </c>
      <c r="M15582" t="s">
        <v>47262</v>
      </c>
      <c r="N15582" t="s">
        <v>47304</v>
      </c>
      <c r="O15582" t="s">
        <v>47305</v>
      </c>
      <c r="Q15582">
        <v>7</v>
      </c>
      <c r="R15582" t="s">
        <v>47341</v>
      </c>
      <c r="S15582" t="s">
        <v>47854</v>
      </c>
      <c r="T15582" t="s">
        <v>49122</v>
      </c>
      <c r="U15582" t="s">
        <v>62358</v>
      </c>
      <c r="V15582" t="s">
        <v>64374</v>
      </c>
      <c r="W15582" t="s">
        <v>47262</v>
      </c>
      <c r="X15582" t="s">
        <v>47342</v>
      </c>
    </row>
    <row r="15583" spans="1:24">
      <c r="A15583">
        <f>HYPERLINK("https://www.philgeps.gov.ph/GEPSNONPILOT/Tender/SplashBidNoticeAbstractUI.aspx?menuIndex=3&amp;refID=7119010&amp;Result=3","7119010")</f>
        <v>0</v>
      </c>
      <c r="B15583" t="s">
        <v>421</v>
      </c>
      <c r="C15583" t="s">
        <v>18632</v>
      </c>
      <c r="D15583" t="s">
        <v>18988</v>
      </c>
      <c r="E15583" t="s">
        <v>32276</v>
      </c>
      <c r="F15583" t="s">
        <v>32606</v>
      </c>
      <c r="G15583" t="s">
        <v>32613</v>
      </c>
      <c r="H15583" t="s">
        <v>14201</v>
      </c>
      <c r="I15583" t="s">
        <v>32638</v>
      </c>
      <c r="J15583" t="s">
        <v>42407</v>
      </c>
      <c r="K15583" t="s">
        <v>42622</v>
      </c>
      <c r="M15583" t="s">
        <v>47262</v>
      </c>
      <c r="N15583" t="s">
        <v>47304</v>
      </c>
      <c r="O15583" t="s">
        <v>47305</v>
      </c>
      <c r="Q15583">
        <v>4</v>
      </c>
      <c r="R15583" t="s">
        <v>47341</v>
      </c>
      <c r="S15583" t="s">
        <v>48710</v>
      </c>
      <c r="T15583" t="s">
        <v>49122</v>
      </c>
      <c r="U15583" t="s">
        <v>62359</v>
      </c>
      <c r="V15583" t="s">
        <v>64374</v>
      </c>
      <c r="W15583" t="s">
        <v>47262</v>
      </c>
      <c r="X15583" t="s">
        <v>47342</v>
      </c>
    </row>
    <row r="15584" spans="1:24">
      <c r="A15584">
        <f>HYPERLINK("https://www.philgeps.gov.ph/GEPSNONPILOT/Tender/SplashBidNoticeAbstractUI.aspx?menuIndex=3&amp;refID=7119008&amp;Result=3","7119008")</f>
        <v>0</v>
      </c>
      <c r="B15584" t="s">
        <v>421</v>
      </c>
      <c r="C15584" t="s">
        <v>18633</v>
      </c>
      <c r="D15584" t="s">
        <v>18988</v>
      </c>
      <c r="E15584" t="s">
        <v>32277</v>
      </c>
      <c r="F15584" t="s">
        <v>32606</v>
      </c>
      <c r="G15584" t="s">
        <v>32613</v>
      </c>
      <c r="H15584" t="s">
        <v>14201</v>
      </c>
      <c r="I15584" t="s">
        <v>7677</v>
      </c>
      <c r="J15584" t="s">
        <v>42408</v>
      </c>
      <c r="K15584" t="s">
        <v>42622</v>
      </c>
      <c r="M15584" t="s">
        <v>47268</v>
      </c>
      <c r="N15584" t="s">
        <v>47304</v>
      </c>
      <c r="O15584" t="s">
        <v>47305</v>
      </c>
      <c r="Q15584">
        <v>13</v>
      </c>
      <c r="R15584" t="s">
        <v>47341</v>
      </c>
      <c r="S15584" t="s">
        <v>48711</v>
      </c>
      <c r="T15584" t="s">
        <v>49539</v>
      </c>
      <c r="U15584" t="s">
        <v>62360</v>
      </c>
      <c r="V15584" t="s">
        <v>64374</v>
      </c>
      <c r="W15584" t="s">
        <v>47268</v>
      </c>
      <c r="X15584" t="s">
        <v>47342</v>
      </c>
    </row>
    <row r="15585" spans="1:24">
      <c r="A15585">
        <f>HYPERLINK("https://www.philgeps.gov.ph/GEPSNONPILOT/Tender/SplashBidNoticeAbstractUI.aspx?menuIndex=3&amp;refID=7141311&amp;Result=3","7141311")</f>
        <v>0</v>
      </c>
      <c r="B15585" t="s">
        <v>82</v>
      </c>
      <c r="C15585" t="s">
        <v>18634</v>
      </c>
      <c r="D15585" t="s">
        <v>19011</v>
      </c>
      <c r="E15585" t="s">
        <v>32278</v>
      </c>
      <c r="F15585" t="s">
        <v>32606</v>
      </c>
      <c r="G15585" t="s">
        <v>32613</v>
      </c>
      <c r="H15585" t="s">
        <v>14201</v>
      </c>
      <c r="I15585" t="s">
        <v>4114</v>
      </c>
      <c r="J15585" t="s">
        <v>42409</v>
      </c>
      <c r="K15585" t="s">
        <v>42624</v>
      </c>
      <c r="M15585" t="s">
        <v>43766</v>
      </c>
      <c r="N15585" t="s">
        <v>47304</v>
      </c>
      <c r="O15585" t="s">
        <v>47305</v>
      </c>
      <c r="Q15585">
        <v>15</v>
      </c>
      <c r="R15585" t="s">
        <v>47333</v>
      </c>
      <c r="S15585" t="s">
        <v>48712</v>
      </c>
      <c r="T15585" t="s">
        <v>49023</v>
      </c>
      <c r="U15585" t="s">
        <v>62361</v>
      </c>
      <c r="V15585" t="s">
        <v>62841</v>
      </c>
      <c r="W15585" t="s">
        <v>43766</v>
      </c>
      <c r="X15585" t="s">
        <v>47334</v>
      </c>
    </row>
    <row r="15586" spans="1:24">
      <c r="A15586">
        <f>HYPERLINK("https://www.philgeps.gov.ph/GEPSNONPILOT/Tender/SplashBidNoticeAbstractUI.aspx?menuIndex=3&amp;refID=7119004&amp;Result=3","7119004")</f>
        <v>0</v>
      </c>
      <c r="B15586" t="s">
        <v>421</v>
      </c>
      <c r="C15586" t="s">
        <v>18635</v>
      </c>
      <c r="D15586" t="s">
        <v>18988</v>
      </c>
      <c r="E15586" t="s">
        <v>32279</v>
      </c>
      <c r="F15586" t="s">
        <v>32606</v>
      </c>
      <c r="G15586" t="s">
        <v>32613</v>
      </c>
      <c r="H15586" t="s">
        <v>14201</v>
      </c>
      <c r="I15586" t="s">
        <v>32638</v>
      </c>
      <c r="J15586" t="s">
        <v>42410</v>
      </c>
      <c r="K15586" t="s">
        <v>42622</v>
      </c>
      <c r="M15586" t="s">
        <v>47262</v>
      </c>
      <c r="N15586" t="s">
        <v>47304</v>
      </c>
      <c r="O15586" t="s">
        <v>47305</v>
      </c>
      <c r="Q15586">
        <v>3</v>
      </c>
      <c r="R15586" t="s">
        <v>47341</v>
      </c>
      <c r="S15586" t="s">
        <v>48713</v>
      </c>
      <c r="T15586" t="s">
        <v>49122</v>
      </c>
      <c r="U15586" t="s">
        <v>62362</v>
      </c>
      <c r="V15586" t="s">
        <v>64374</v>
      </c>
      <c r="W15586" t="s">
        <v>47262</v>
      </c>
      <c r="X15586" t="s">
        <v>47342</v>
      </c>
    </row>
    <row r="15587" spans="1:24">
      <c r="A15587">
        <f>HYPERLINK("https://www.philgeps.gov.ph/GEPSNONPILOT/Tender/SplashBidNoticeAbstractUI.aspx?menuIndex=3&amp;refID=7119020&amp;Result=3","7119020")</f>
        <v>0</v>
      </c>
      <c r="B15587" t="s">
        <v>421</v>
      </c>
      <c r="C15587" t="s">
        <v>18636</v>
      </c>
      <c r="D15587" t="s">
        <v>18988</v>
      </c>
      <c r="E15587" t="s">
        <v>32280</v>
      </c>
      <c r="F15587" t="s">
        <v>32606</v>
      </c>
      <c r="G15587" t="s">
        <v>32613</v>
      </c>
      <c r="H15587" t="s">
        <v>14201</v>
      </c>
      <c r="I15587" t="s">
        <v>7677</v>
      </c>
      <c r="J15587" t="s">
        <v>42411</v>
      </c>
      <c r="K15587" t="s">
        <v>42622</v>
      </c>
      <c r="M15587" t="s">
        <v>47268</v>
      </c>
      <c r="N15587" t="s">
        <v>47304</v>
      </c>
      <c r="O15587" t="s">
        <v>47305</v>
      </c>
      <c r="Q15587">
        <v>7</v>
      </c>
      <c r="R15587" t="s">
        <v>47341</v>
      </c>
      <c r="S15587" t="s">
        <v>48714</v>
      </c>
      <c r="T15587" t="s">
        <v>49136</v>
      </c>
      <c r="U15587" t="s">
        <v>62363</v>
      </c>
      <c r="V15587" t="s">
        <v>64374</v>
      </c>
      <c r="W15587" t="s">
        <v>47268</v>
      </c>
      <c r="X15587" t="s">
        <v>47342</v>
      </c>
    </row>
    <row r="15588" spans="1:24">
      <c r="A15588">
        <f>HYPERLINK("https://www.philgeps.gov.ph/GEPSNONPILOT/Tender/SplashBidNoticeAbstractUI.aspx?menuIndex=3&amp;refID=7119018&amp;Result=3","7119018")</f>
        <v>0</v>
      </c>
      <c r="B15588" t="s">
        <v>421</v>
      </c>
      <c r="C15588" t="s">
        <v>18637</v>
      </c>
      <c r="D15588" t="s">
        <v>18988</v>
      </c>
      <c r="E15588" t="s">
        <v>32281</v>
      </c>
      <c r="F15588" t="s">
        <v>32606</v>
      </c>
      <c r="G15588" t="s">
        <v>32613</v>
      </c>
      <c r="H15588" t="s">
        <v>14201</v>
      </c>
      <c r="I15588" t="s">
        <v>32638</v>
      </c>
      <c r="J15588" t="s">
        <v>42412</v>
      </c>
      <c r="K15588" t="s">
        <v>42622</v>
      </c>
      <c r="M15588" t="s">
        <v>47262</v>
      </c>
      <c r="N15588" t="s">
        <v>47304</v>
      </c>
      <c r="O15588" t="s">
        <v>47305</v>
      </c>
      <c r="Q15588">
        <v>5</v>
      </c>
      <c r="R15588" t="s">
        <v>47341</v>
      </c>
      <c r="S15588" t="s">
        <v>48715</v>
      </c>
      <c r="T15588" t="s">
        <v>49122</v>
      </c>
      <c r="U15588" t="s">
        <v>62364</v>
      </c>
      <c r="V15588" t="s">
        <v>64374</v>
      </c>
      <c r="W15588" t="s">
        <v>47262</v>
      </c>
      <c r="X15588" t="s">
        <v>47342</v>
      </c>
    </row>
    <row r="15589" spans="1:24">
      <c r="A15589">
        <f>HYPERLINK("https://www.philgeps.gov.ph/GEPSNONPILOT/Tender/SplashBidNoticeAbstractUI.aspx?menuIndex=3&amp;refID=7119013&amp;Result=3","7119013")</f>
        <v>0</v>
      </c>
      <c r="B15589" t="s">
        <v>421</v>
      </c>
      <c r="C15589" t="s">
        <v>18638</v>
      </c>
      <c r="D15589" t="s">
        <v>18988</v>
      </c>
      <c r="E15589" t="s">
        <v>32282</v>
      </c>
      <c r="F15589" t="s">
        <v>32606</v>
      </c>
      <c r="G15589" t="s">
        <v>32613</v>
      </c>
      <c r="H15589" t="s">
        <v>14201</v>
      </c>
      <c r="I15589" t="s">
        <v>32638</v>
      </c>
      <c r="J15589" t="s">
        <v>42413</v>
      </c>
      <c r="K15589" t="s">
        <v>42622</v>
      </c>
      <c r="M15589" t="s">
        <v>47262</v>
      </c>
      <c r="N15589" t="s">
        <v>47304</v>
      </c>
      <c r="O15589" t="s">
        <v>47305</v>
      </c>
      <c r="Q15589">
        <v>10</v>
      </c>
      <c r="R15589" t="s">
        <v>47341</v>
      </c>
      <c r="S15589" t="s">
        <v>48716</v>
      </c>
      <c r="T15589" t="s">
        <v>49122</v>
      </c>
      <c r="U15589" t="s">
        <v>62365</v>
      </c>
      <c r="V15589" t="s">
        <v>64374</v>
      </c>
      <c r="W15589" t="s">
        <v>47262</v>
      </c>
      <c r="X15589" t="s">
        <v>47342</v>
      </c>
    </row>
    <row r="15590" spans="1:24">
      <c r="A15590">
        <f>HYPERLINK("https://www.philgeps.gov.ph/GEPSNONPILOT/Tender/SplashBidNoticeAbstractUI.aspx?menuIndex=3&amp;refID=7118972&amp;Result=3","7118972")</f>
        <v>0</v>
      </c>
      <c r="B15590" t="s">
        <v>421</v>
      </c>
      <c r="C15590" t="s">
        <v>18639</v>
      </c>
      <c r="D15590" t="s">
        <v>18988</v>
      </c>
      <c r="E15590" t="s">
        <v>32283</v>
      </c>
      <c r="F15590" t="s">
        <v>32606</v>
      </c>
      <c r="G15590" t="s">
        <v>32613</v>
      </c>
      <c r="H15590" t="s">
        <v>14201</v>
      </c>
      <c r="I15590" t="s">
        <v>32638</v>
      </c>
      <c r="J15590" t="s">
        <v>42414</v>
      </c>
      <c r="K15590" t="s">
        <v>42622</v>
      </c>
      <c r="M15590" t="s">
        <v>47262</v>
      </c>
      <c r="N15590" t="s">
        <v>47304</v>
      </c>
      <c r="O15590" t="s">
        <v>47305</v>
      </c>
      <c r="Q15590">
        <v>10</v>
      </c>
      <c r="R15590" t="s">
        <v>47341</v>
      </c>
      <c r="S15590" t="s">
        <v>48717</v>
      </c>
      <c r="T15590" t="s">
        <v>49122</v>
      </c>
      <c r="U15590" t="s">
        <v>62366</v>
      </c>
      <c r="V15590" t="s">
        <v>64374</v>
      </c>
      <c r="W15590" t="s">
        <v>47262</v>
      </c>
      <c r="X15590" t="s">
        <v>47342</v>
      </c>
    </row>
    <row r="15591" spans="1:24">
      <c r="A15591">
        <f>HYPERLINK("https://www.philgeps.gov.ph/GEPSNONPILOT/Tender/SplashBidNoticeAbstractUI.aspx?menuIndex=3&amp;refID=7118985&amp;Result=3","7118985")</f>
        <v>0</v>
      </c>
      <c r="B15591" t="s">
        <v>421</v>
      </c>
      <c r="C15591" t="s">
        <v>18640</v>
      </c>
      <c r="D15591" t="s">
        <v>18988</v>
      </c>
      <c r="E15591" t="s">
        <v>32284</v>
      </c>
      <c r="F15591" t="s">
        <v>32606</v>
      </c>
      <c r="G15591" t="s">
        <v>32613</v>
      </c>
      <c r="H15591" t="s">
        <v>14201</v>
      </c>
      <c r="I15591" t="s">
        <v>32638</v>
      </c>
      <c r="J15591" t="s">
        <v>42415</v>
      </c>
      <c r="K15591" t="s">
        <v>42622</v>
      </c>
      <c r="M15591" t="s">
        <v>47262</v>
      </c>
      <c r="N15591" t="s">
        <v>47304</v>
      </c>
      <c r="O15591" t="s">
        <v>47305</v>
      </c>
      <c r="Q15591">
        <v>3</v>
      </c>
      <c r="R15591" t="s">
        <v>47341</v>
      </c>
      <c r="S15591" t="s">
        <v>48718</v>
      </c>
      <c r="T15591" t="s">
        <v>49122</v>
      </c>
      <c r="U15591" t="s">
        <v>62367</v>
      </c>
      <c r="V15591" t="s">
        <v>64374</v>
      </c>
      <c r="W15591" t="s">
        <v>47262</v>
      </c>
      <c r="X15591" t="s">
        <v>47342</v>
      </c>
    </row>
    <row r="15592" spans="1:24">
      <c r="A15592">
        <f>HYPERLINK("https://www.philgeps.gov.ph/GEPSNONPILOT/Tender/SplashBidNoticeAbstractUI.aspx?menuIndex=3&amp;refID=7119026&amp;Result=3","7119026")</f>
        <v>0</v>
      </c>
      <c r="B15592" t="s">
        <v>421</v>
      </c>
      <c r="C15592" t="s">
        <v>18641</v>
      </c>
      <c r="D15592" t="s">
        <v>18988</v>
      </c>
      <c r="E15592" t="s">
        <v>32285</v>
      </c>
      <c r="F15592" t="s">
        <v>32606</v>
      </c>
      <c r="G15592" t="s">
        <v>32613</v>
      </c>
      <c r="H15592" t="s">
        <v>14201</v>
      </c>
      <c r="I15592" t="s">
        <v>32638</v>
      </c>
      <c r="J15592" t="s">
        <v>32772</v>
      </c>
      <c r="K15592" t="s">
        <v>42622</v>
      </c>
      <c r="M15592" t="s">
        <v>47262</v>
      </c>
      <c r="N15592" t="s">
        <v>47304</v>
      </c>
      <c r="O15592" t="s">
        <v>47305</v>
      </c>
      <c r="Q15592">
        <v>6</v>
      </c>
      <c r="R15592" t="s">
        <v>47341</v>
      </c>
      <c r="S15592" t="s">
        <v>48719</v>
      </c>
      <c r="T15592" t="s">
        <v>49122</v>
      </c>
      <c r="U15592" t="s">
        <v>62368</v>
      </c>
      <c r="V15592" t="s">
        <v>64374</v>
      </c>
      <c r="W15592" t="s">
        <v>47262</v>
      </c>
      <c r="X15592" t="s">
        <v>47342</v>
      </c>
    </row>
    <row r="15593" spans="1:24">
      <c r="A15593">
        <f>HYPERLINK("https://www.philgeps.gov.ph/GEPSNONPILOT/Tender/SplashBidNoticeAbstractUI.aspx?menuIndex=3&amp;refID=7118980&amp;Result=3","7118980")</f>
        <v>0</v>
      </c>
      <c r="B15593" t="s">
        <v>421</v>
      </c>
      <c r="C15593" t="s">
        <v>18642</v>
      </c>
      <c r="D15593" t="s">
        <v>18988</v>
      </c>
      <c r="E15593" t="s">
        <v>32286</v>
      </c>
      <c r="F15593" t="s">
        <v>32606</v>
      </c>
      <c r="G15593" t="s">
        <v>32613</v>
      </c>
      <c r="H15593" t="s">
        <v>14201</v>
      </c>
      <c r="I15593" t="s">
        <v>32638</v>
      </c>
      <c r="J15593" t="s">
        <v>42416</v>
      </c>
      <c r="K15593" t="s">
        <v>42622</v>
      </c>
      <c r="M15593" t="s">
        <v>47262</v>
      </c>
      <c r="N15593" t="s">
        <v>47304</v>
      </c>
      <c r="O15593" t="s">
        <v>47305</v>
      </c>
      <c r="Q15593">
        <v>6</v>
      </c>
      <c r="R15593" t="s">
        <v>47341</v>
      </c>
      <c r="S15593" t="s">
        <v>48720</v>
      </c>
      <c r="T15593" t="s">
        <v>49122</v>
      </c>
      <c r="U15593" t="s">
        <v>62369</v>
      </c>
      <c r="V15593" t="s">
        <v>64374</v>
      </c>
      <c r="W15593" t="s">
        <v>47262</v>
      </c>
      <c r="X15593" t="s">
        <v>47342</v>
      </c>
    </row>
    <row r="15594" spans="1:24">
      <c r="A15594">
        <f>HYPERLINK("https://www.philgeps.gov.ph/GEPSNONPILOT/Tender/SplashBidNoticeAbstractUI.aspx?menuIndex=3&amp;refID=7118872&amp;Result=3","7118872")</f>
        <v>0</v>
      </c>
      <c r="B15594" t="s">
        <v>421</v>
      </c>
      <c r="C15594" t="s">
        <v>18643</v>
      </c>
      <c r="D15594" t="s">
        <v>18988</v>
      </c>
      <c r="E15594" t="s">
        <v>32287</v>
      </c>
      <c r="F15594" t="s">
        <v>32606</v>
      </c>
      <c r="G15594" t="s">
        <v>32613</v>
      </c>
      <c r="H15594" t="s">
        <v>14201</v>
      </c>
      <c r="I15594" t="s">
        <v>32633</v>
      </c>
      <c r="J15594" t="s">
        <v>42417</v>
      </c>
      <c r="K15594" t="s">
        <v>42648</v>
      </c>
      <c r="M15594" t="s">
        <v>47262</v>
      </c>
      <c r="N15594" t="s">
        <v>47304</v>
      </c>
      <c r="O15594" t="s">
        <v>47305</v>
      </c>
      <c r="Q15594">
        <v>13</v>
      </c>
      <c r="R15594" t="s">
        <v>47341</v>
      </c>
      <c r="S15594" t="s">
        <v>47697</v>
      </c>
      <c r="T15594" t="s">
        <v>49122</v>
      </c>
      <c r="U15594" t="s">
        <v>62370</v>
      </c>
      <c r="V15594" t="s">
        <v>64374</v>
      </c>
      <c r="W15594" t="s">
        <v>47262</v>
      </c>
      <c r="X15594" t="s">
        <v>47342</v>
      </c>
    </row>
    <row r="15595" spans="1:24">
      <c r="A15595">
        <f>HYPERLINK("https://www.philgeps.gov.ph/GEPSNONPILOT/Tender/SplashBidNoticeAbstractUI.aspx?menuIndex=3&amp;refID=7116919&amp;Result=3","7116919")</f>
        <v>0</v>
      </c>
      <c r="B15595" t="s">
        <v>421</v>
      </c>
      <c r="C15595" t="s">
        <v>18644</v>
      </c>
      <c r="D15595" t="s">
        <v>18988</v>
      </c>
      <c r="E15595" t="s">
        <v>32288</v>
      </c>
      <c r="F15595" t="s">
        <v>32606</v>
      </c>
      <c r="G15595" t="s">
        <v>32613</v>
      </c>
      <c r="H15595" t="s">
        <v>32624</v>
      </c>
      <c r="I15595" t="s">
        <v>32652</v>
      </c>
      <c r="J15595" t="s">
        <v>42418</v>
      </c>
      <c r="K15595" t="s">
        <v>42679</v>
      </c>
      <c r="M15595" t="s">
        <v>47262</v>
      </c>
      <c r="N15595" t="s">
        <v>47304</v>
      </c>
      <c r="O15595" t="s">
        <v>47305</v>
      </c>
      <c r="Q15595">
        <v>8</v>
      </c>
      <c r="R15595" t="s">
        <v>47341</v>
      </c>
      <c r="S15595" t="s">
        <v>48349</v>
      </c>
      <c r="T15595" t="s">
        <v>49154</v>
      </c>
      <c r="U15595" t="s">
        <v>62371</v>
      </c>
      <c r="V15595" t="s">
        <v>64374</v>
      </c>
      <c r="W15595" t="s">
        <v>47262</v>
      </c>
      <c r="X15595" t="s">
        <v>47342</v>
      </c>
    </row>
    <row r="15596" spans="1:24">
      <c r="A15596">
        <f>HYPERLINK("https://www.philgeps.gov.ph/GEPSNONPILOT/Tender/SplashBidNoticeAbstractUI.aspx?menuIndex=3&amp;refID=7118860&amp;Result=3","7118860")</f>
        <v>0</v>
      </c>
      <c r="B15596" t="s">
        <v>421</v>
      </c>
      <c r="C15596" t="s">
        <v>18645</v>
      </c>
      <c r="D15596" t="s">
        <v>18988</v>
      </c>
      <c r="E15596" t="s">
        <v>32289</v>
      </c>
      <c r="F15596" t="s">
        <v>32606</v>
      </c>
      <c r="G15596" t="s">
        <v>32613</v>
      </c>
      <c r="H15596" t="s">
        <v>14201</v>
      </c>
      <c r="I15596" t="s">
        <v>32662</v>
      </c>
      <c r="J15596" t="s">
        <v>38946</v>
      </c>
      <c r="K15596" t="s">
        <v>42631</v>
      </c>
      <c r="M15596" t="s">
        <v>47262</v>
      </c>
      <c r="N15596" t="s">
        <v>47304</v>
      </c>
      <c r="O15596" t="s">
        <v>47305</v>
      </c>
      <c r="Q15596">
        <v>22</v>
      </c>
      <c r="R15596" t="s">
        <v>47341</v>
      </c>
      <c r="S15596" t="s">
        <v>48075</v>
      </c>
      <c r="T15596" t="s">
        <v>49122</v>
      </c>
      <c r="U15596" t="s">
        <v>62372</v>
      </c>
      <c r="V15596" t="s">
        <v>64374</v>
      </c>
      <c r="W15596" t="s">
        <v>47262</v>
      </c>
      <c r="X15596" t="s">
        <v>47342</v>
      </c>
    </row>
    <row r="15597" spans="1:24">
      <c r="A15597">
        <f>HYPERLINK("https://www.philgeps.gov.ph/GEPSNONPILOT/Tender/SplashBidNoticeAbstractUI.aspx?menuIndex=3&amp;refID=7118778&amp;Result=3","7118778")</f>
        <v>0</v>
      </c>
      <c r="B15597" t="s">
        <v>421</v>
      </c>
      <c r="C15597" t="s">
        <v>18646</v>
      </c>
      <c r="D15597" t="s">
        <v>18988</v>
      </c>
      <c r="E15597" t="s">
        <v>32290</v>
      </c>
      <c r="F15597" t="s">
        <v>32606</v>
      </c>
      <c r="G15597" t="s">
        <v>32613</v>
      </c>
      <c r="H15597" t="s">
        <v>14201</v>
      </c>
      <c r="I15597" t="s">
        <v>32633</v>
      </c>
      <c r="J15597" t="s">
        <v>42419</v>
      </c>
      <c r="K15597" t="s">
        <v>42622</v>
      </c>
      <c r="M15597" t="s">
        <v>47262</v>
      </c>
      <c r="N15597" t="s">
        <v>47304</v>
      </c>
      <c r="O15597" t="s">
        <v>47305</v>
      </c>
      <c r="Q15597">
        <v>6</v>
      </c>
      <c r="R15597" t="s">
        <v>47341</v>
      </c>
      <c r="S15597" t="s">
        <v>48721</v>
      </c>
      <c r="T15597" t="s">
        <v>49154</v>
      </c>
      <c r="U15597" t="s">
        <v>62373</v>
      </c>
      <c r="V15597" t="s">
        <v>64374</v>
      </c>
      <c r="W15597" t="s">
        <v>47262</v>
      </c>
      <c r="X15597" t="s">
        <v>47342</v>
      </c>
    </row>
    <row r="15598" spans="1:24">
      <c r="A15598">
        <f>HYPERLINK("https://www.philgeps.gov.ph/GEPSNONPILOT/Tender/SplashBidNoticeAbstractUI.aspx?menuIndex=3&amp;refID=7118989&amp;Result=3","7118989")</f>
        <v>0</v>
      </c>
      <c r="B15598" t="s">
        <v>421</v>
      </c>
      <c r="C15598" t="s">
        <v>18647</v>
      </c>
      <c r="D15598" t="s">
        <v>18988</v>
      </c>
      <c r="E15598" t="s">
        <v>32291</v>
      </c>
      <c r="F15598" t="s">
        <v>32606</v>
      </c>
      <c r="G15598" t="s">
        <v>32613</v>
      </c>
      <c r="H15598" t="s">
        <v>14201</v>
      </c>
      <c r="I15598" t="s">
        <v>32638</v>
      </c>
      <c r="J15598" t="s">
        <v>42420</v>
      </c>
      <c r="K15598" t="s">
        <v>42622</v>
      </c>
      <c r="M15598" t="s">
        <v>47262</v>
      </c>
      <c r="N15598" t="s">
        <v>47304</v>
      </c>
      <c r="O15598" t="s">
        <v>47305</v>
      </c>
      <c r="Q15598">
        <v>4</v>
      </c>
      <c r="R15598" t="s">
        <v>47341</v>
      </c>
      <c r="S15598" t="s">
        <v>47581</v>
      </c>
      <c r="T15598" t="s">
        <v>49122</v>
      </c>
      <c r="U15598" t="s">
        <v>62374</v>
      </c>
      <c r="V15598" t="s">
        <v>64374</v>
      </c>
      <c r="W15598" t="s">
        <v>47262</v>
      </c>
      <c r="X15598" t="s">
        <v>47342</v>
      </c>
    </row>
    <row r="15599" spans="1:24">
      <c r="A15599">
        <f>HYPERLINK("https://www.philgeps.gov.ph/GEPSNONPILOT/Tender/SplashBidNoticeAbstractUI.aspx?menuIndex=3&amp;refID=7140853&amp;Result=3","7140853")</f>
        <v>0</v>
      </c>
      <c r="B15599" t="s">
        <v>1500</v>
      </c>
      <c r="C15599" t="s">
        <v>18648</v>
      </c>
      <c r="D15599" t="s">
        <v>19036</v>
      </c>
      <c r="E15599" t="s">
        <v>32292</v>
      </c>
      <c r="F15599" t="s">
        <v>32606</v>
      </c>
      <c r="G15599" t="s">
        <v>32614</v>
      </c>
      <c r="H15599" t="s">
        <v>14201</v>
      </c>
      <c r="I15599" t="s">
        <v>32652</v>
      </c>
      <c r="J15599" t="s">
        <v>32778</v>
      </c>
      <c r="K15599" t="s">
        <v>42677</v>
      </c>
      <c r="M15599" t="s">
        <v>46586</v>
      </c>
      <c r="N15599" t="s">
        <v>47304</v>
      </c>
      <c r="O15599" t="s">
        <v>47305</v>
      </c>
      <c r="Q15599">
        <v>1</v>
      </c>
      <c r="R15599" t="s">
        <v>47333</v>
      </c>
      <c r="S15599" t="s">
        <v>48722</v>
      </c>
      <c r="T15599" t="s">
        <v>49071</v>
      </c>
      <c r="U15599" t="s">
        <v>62375</v>
      </c>
      <c r="W15599" t="s">
        <v>46586</v>
      </c>
      <c r="X15599" t="s">
        <v>47334</v>
      </c>
    </row>
    <row r="15600" spans="1:24">
      <c r="A15600">
        <f>HYPERLINK("https://www.philgeps.gov.ph/GEPSNONPILOT/Tender/SplashBidNoticeAbstractUI.aspx?menuIndex=3&amp;refID=7140706&amp;Result=3","7140706")</f>
        <v>0</v>
      </c>
      <c r="B15600" t="s">
        <v>3894</v>
      </c>
      <c r="C15600" t="s">
        <v>18649</v>
      </c>
      <c r="D15600" t="s">
        <v>19058</v>
      </c>
      <c r="E15600" t="s">
        <v>28802</v>
      </c>
      <c r="F15600" t="s">
        <v>32606</v>
      </c>
      <c r="G15600" t="s">
        <v>32613</v>
      </c>
      <c r="H15600" t="s">
        <v>32623</v>
      </c>
      <c r="I15600" t="s">
        <v>17648</v>
      </c>
      <c r="J15600" t="s">
        <v>42421</v>
      </c>
      <c r="K15600" t="s">
        <v>42636</v>
      </c>
      <c r="M15600" t="s">
        <v>47269</v>
      </c>
      <c r="N15600" t="s">
        <v>47304</v>
      </c>
      <c r="O15600" t="s">
        <v>47305</v>
      </c>
      <c r="Q15600">
        <v>8</v>
      </c>
      <c r="R15600" t="s">
        <v>47333</v>
      </c>
      <c r="S15600" t="s">
        <v>48723</v>
      </c>
      <c r="T15600" t="s">
        <v>49050</v>
      </c>
      <c r="U15600" t="s">
        <v>62376</v>
      </c>
      <c r="W15600" t="s">
        <v>47269</v>
      </c>
      <c r="X15600" t="s">
        <v>47334</v>
      </c>
    </row>
    <row r="15601" spans="1:24">
      <c r="A15601">
        <f>HYPERLINK("https://www.philgeps.gov.ph/GEPSNONPILOT/Tender/SplashBidNoticeAbstractUI.aspx?menuIndex=3&amp;refID=7118949&amp;Result=3","7118949")</f>
        <v>0</v>
      </c>
      <c r="B15601" t="s">
        <v>421</v>
      </c>
      <c r="C15601" t="s">
        <v>18650</v>
      </c>
      <c r="D15601" t="s">
        <v>18988</v>
      </c>
      <c r="E15601" t="s">
        <v>32293</v>
      </c>
      <c r="F15601" t="s">
        <v>32606</v>
      </c>
      <c r="G15601" t="s">
        <v>32613</v>
      </c>
      <c r="H15601" t="s">
        <v>14201</v>
      </c>
      <c r="I15601" t="s">
        <v>32638</v>
      </c>
      <c r="J15601" t="s">
        <v>38357</v>
      </c>
      <c r="K15601" t="s">
        <v>42622</v>
      </c>
      <c r="M15601" t="s">
        <v>47262</v>
      </c>
      <c r="N15601" t="s">
        <v>47304</v>
      </c>
      <c r="O15601" t="s">
        <v>47305</v>
      </c>
      <c r="Q15601">
        <v>5</v>
      </c>
      <c r="R15601" t="s">
        <v>47341</v>
      </c>
      <c r="S15601" t="s">
        <v>48724</v>
      </c>
      <c r="T15601" t="s">
        <v>49122</v>
      </c>
      <c r="U15601" t="s">
        <v>62377</v>
      </c>
      <c r="V15601" t="s">
        <v>64374</v>
      </c>
      <c r="W15601" t="s">
        <v>47262</v>
      </c>
      <c r="X15601" t="s">
        <v>47342</v>
      </c>
    </row>
    <row r="15602" spans="1:24">
      <c r="A15602">
        <f>HYPERLINK("https://www.philgeps.gov.ph/GEPSNONPILOT/Tender/SplashBidNoticeAbstractUI.aspx?menuIndex=3&amp;refID=7144978&amp;Result=3","7144978")</f>
        <v>0</v>
      </c>
      <c r="B15602" t="s">
        <v>3877</v>
      </c>
      <c r="C15602" t="s">
        <v>18651</v>
      </c>
      <c r="D15602" t="s">
        <v>19049</v>
      </c>
      <c r="E15602" t="s">
        <v>32294</v>
      </c>
      <c r="F15602" t="s">
        <v>32606</v>
      </c>
      <c r="G15602" t="s">
        <v>32613</v>
      </c>
      <c r="H15602" t="s">
        <v>14201</v>
      </c>
      <c r="I15602" t="s">
        <v>4121</v>
      </c>
      <c r="J15602" t="s">
        <v>42422</v>
      </c>
      <c r="K15602" t="s">
        <v>42636</v>
      </c>
      <c r="M15602" t="s">
        <v>47239</v>
      </c>
      <c r="N15602" t="s">
        <v>47304</v>
      </c>
      <c r="O15602" t="s">
        <v>47305</v>
      </c>
      <c r="Q15602">
        <v>16</v>
      </c>
      <c r="R15602" t="s">
        <v>47332</v>
      </c>
      <c r="S15602" t="s">
        <v>48725</v>
      </c>
      <c r="T15602" t="s">
        <v>49540</v>
      </c>
      <c r="U15602" t="s">
        <v>62378</v>
      </c>
      <c r="W15602" t="s">
        <v>47239</v>
      </c>
      <c r="X15602" t="s">
        <v>47333</v>
      </c>
    </row>
    <row r="15603" spans="1:24">
      <c r="A15603">
        <f>HYPERLINK("https://www.philgeps.gov.ph/GEPSNONPILOT/Tender/SplashBidNoticeAbstractUI.aspx?menuIndex=3&amp;refID=7119914&amp;Result=3","7119914")</f>
        <v>0</v>
      </c>
      <c r="B15603" t="s">
        <v>3895</v>
      </c>
      <c r="C15603" t="s">
        <v>18652</v>
      </c>
      <c r="E15603" t="s">
        <v>32295</v>
      </c>
      <c r="F15603" t="s">
        <v>32606</v>
      </c>
      <c r="G15603" t="s">
        <v>32613</v>
      </c>
      <c r="H15603" t="s">
        <v>14201</v>
      </c>
      <c r="I15603" t="s">
        <v>7577</v>
      </c>
      <c r="J15603" t="s">
        <v>42423</v>
      </c>
      <c r="K15603" t="s">
        <v>42631</v>
      </c>
      <c r="M15603" t="s">
        <v>47270</v>
      </c>
      <c r="N15603" t="s">
        <v>47304</v>
      </c>
      <c r="O15603" t="s">
        <v>47305</v>
      </c>
      <c r="Q15603">
        <v>23</v>
      </c>
      <c r="R15603" t="s">
        <v>47341</v>
      </c>
      <c r="S15603" t="s">
        <v>48726</v>
      </c>
      <c r="T15603" t="s">
        <v>49155</v>
      </c>
      <c r="U15603" t="s">
        <v>62379</v>
      </c>
      <c r="V15603" t="s">
        <v>64378</v>
      </c>
      <c r="W15603" t="s">
        <v>47270</v>
      </c>
      <c r="X15603" t="s">
        <v>47344</v>
      </c>
    </row>
    <row r="15604" spans="1:24">
      <c r="A15604">
        <f>HYPERLINK("https://www.philgeps.gov.ph/GEPSNONPILOT/Tender/SplashBidNoticeAbstractUI.aspx?menuIndex=3&amp;refID=7118932&amp;Result=3","7118932")</f>
        <v>0</v>
      </c>
      <c r="B15604" t="s">
        <v>421</v>
      </c>
      <c r="C15604" t="s">
        <v>18653</v>
      </c>
      <c r="D15604" t="s">
        <v>18988</v>
      </c>
      <c r="E15604" t="s">
        <v>32296</v>
      </c>
      <c r="F15604" t="s">
        <v>32606</v>
      </c>
      <c r="G15604" t="s">
        <v>32613</v>
      </c>
      <c r="H15604" t="s">
        <v>14201</v>
      </c>
      <c r="I15604" t="s">
        <v>32662</v>
      </c>
      <c r="J15604" t="s">
        <v>33382</v>
      </c>
      <c r="K15604" t="s">
        <v>42631</v>
      </c>
      <c r="M15604" t="s">
        <v>47262</v>
      </c>
      <c r="N15604" t="s">
        <v>47304</v>
      </c>
      <c r="O15604" t="s">
        <v>47305</v>
      </c>
      <c r="Q15604">
        <v>18</v>
      </c>
      <c r="R15604" t="s">
        <v>47341</v>
      </c>
      <c r="S15604" t="s">
        <v>47699</v>
      </c>
      <c r="T15604" t="s">
        <v>49122</v>
      </c>
      <c r="U15604" t="s">
        <v>62380</v>
      </c>
      <c r="V15604" t="s">
        <v>64374</v>
      </c>
      <c r="W15604" t="s">
        <v>47262</v>
      </c>
      <c r="X15604" t="s">
        <v>47342</v>
      </c>
    </row>
    <row r="15605" spans="1:24">
      <c r="A15605">
        <f>HYPERLINK("https://www.philgeps.gov.ph/GEPSNONPILOT/Tender/SplashBidNoticeAbstractUI.aspx?menuIndex=3&amp;refID=7118997&amp;Result=3","7118997")</f>
        <v>0</v>
      </c>
      <c r="B15605" t="s">
        <v>421</v>
      </c>
      <c r="C15605" t="s">
        <v>18654</v>
      </c>
      <c r="D15605" t="s">
        <v>18988</v>
      </c>
      <c r="E15605" t="s">
        <v>32297</v>
      </c>
      <c r="F15605" t="s">
        <v>32606</v>
      </c>
      <c r="G15605" t="s">
        <v>32613</v>
      </c>
      <c r="H15605" t="s">
        <v>14201</v>
      </c>
      <c r="I15605" t="s">
        <v>32638</v>
      </c>
      <c r="J15605" t="s">
        <v>32963</v>
      </c>
      <c r="K15605" t="s">
        <v>42622</v>
      </c>
      <c r="M15605" t="s">
        <v>47262</v>
      </c>
      <c r="N15605" t="s">
        <v>47304</v>
      </c>
      <c r="O15605" t="s">
        <v>47305</v>
      </c>
      <c r="Q15605">
        <v>3</v>
      </c>
      <c r="R15605" t="s">
        <v>47341</v>
      </c>
      <c r="S15605" t="s">
        <v>48727</v>
      </c>
      <c r="T15605" t="s">
        <v>49122</v>
      </c>
      <c r="U15605" t="s">
        <v>62381</v>
      </c>
      <c r="V15605" t="s">
        <v>64374</v>
      </c>
      <c r="W15605" t="s">
        <v>47262</v>
      </c>
      <c r="X15605" t="s">
        <v>47342</v>
      </c>
    </row>
    <row r="15606" spans="1:24">
      <c r="A15606">
        <f>HYPERLINK("https://www.philgeps.gov.ph/GEPSNONPILOT/Tender/SplashBidNoticeAbstractUI.aspx?menuIndex=3&amp;refID=7108915&amp;Result=3","7108915")</f>
        <v>0</v>
      </c>
      <c r="B15606" t="s">
        <v>1241</v>
      </c>
      <c r="C15606" t="s">
        <v>18655</v>
      </c>
      <c r="D15606" t="s">
        <v>19040</v>
      </c>
      <c r="E15606" t="s">
        <v>32298</v>
      </c>
      <c r="F15606" t="s">
        <v>32606</v>
      </c>
      <c r="G15606" t="s">
        <v>32613</v>
      </c>
      <c r="H15606" t="s">
        <v>32623</v>
      </c>
      <c r="I15606" t="s">
        <v>17648</v>
      </c>
      <c r="J15606" t="s">
        <v>34435</v>
      </c>
      <c r="K15606" t="s">
        <v>42820</v>
      </c>
      <c r="M15606" t="s">
        <v>47256</v>
      </c>
      <c r="N15606" t="s">
        <v>47304</v>
      </c>
      <c r="O15606" t="s">
        <v>47305</v>
      </c>
      <c r="Q15606">
        <v>18</v>
      </c>
      <c r="R15606" t="s">
        <v>47342</v>
      </c>
      <c r="S15606" t="s">
        <v>48728</v>
      </c>
      <c r="T15606" t="s">
        <v>49268</v>
      </c>
      <c r="U15606" t="s">
        <v>62382</v>
      </c>
      <c r="W15606" t="s">
        <v>47256</v>
      </c>
      <c r="X15606" t="s">
        <v>47349</v>
      </c>
    </row>
    <row r="15607" spans="1:24">
      <c r="A15607">
        <f>HYPERLINK("https://www.philgeps.gov.ph/GEPSNONPILOT/Tender/SplashBidNoticeAbstractUI.aspx?menuIndex=3&amp;refID=7118809&amp;Result=3","7118809")</f>
        <v>0</v>
      </c>
      <c r="B15607" t="s">
        <v>421</v>
      </c>
      <c r="C15607" t="s">
        <v>18656</v>
      </c>
      <c r="D15607" t="s">
        <v>18988</v>
      </c>
      <c r="E15607" t="s">
        <v>32299</v>
      </c>
      <c r="F15607" t="s">
        <v>32606</v>
      </c>
      <c r="G15607" t="s">
        <v>32613</v>
      </c>
      <c r="H15607" t="s">
        <v>14201</v>
      </c>
      <c r="I15607" t="s">
        <v>32633</v>
      </c>
      <c r="J15607" t="s">
        <v>42424</v>
      </c>
      <c r="K15607" t="s">
        <v>42622</v>
      </c>
      <c r="M15607" t="s">
        <v>47262</v>
      </c>
      <c r="N15607" t="s">
        <v>47304</v>
      </c>
      <c r="O15607" t="s">
        <v>47305</v>
      </c>
      <c r="Q15607">
        <v>3</v>
      </c>
      <c r="R15607" t="s">
        <v>47341</v>
      </c>
      <c r="S15607" t="s">
        <v>48729</v>
      </c>
      <c r="T15607" t="s">
        <v>49154</v>
      </c>
      <c r="U15607" t="s">
        <v>62383</v>
      </c>
      <c r="V15607" t="s">
        <v>64374</v>
      </c>
      <c r="W15607" t="s">
        <v>47262</v>
      </c>
      <c r="X15607" t="s">
        <v>47342</v>
      </c>
    </row>
    <row r="15608" spans="1:24">
      <c r="A15608">
        <f>HYPERLINK("https://www.philgeps.gov.ph/GEPSNONPILOT/Tender/SplashBidNoticeAbstractUI.aspx?menuIndex=3&amp;refID=7117479&amp;Result=3","7117479")</f>
        <v>0</v>
      </c>
      <c r="B15608" t="s">
        <v>1048</v>
      </c>
      <c r="C15608" t="s">
        <v>18657</v>
      </c>
      <c r="D15608" t="s">
        <v>18993</v>
      </c>
      <c r="E15608" t="s">
        <v>32300</v>
      </c>
      <c r="F15608" t="s">
        <v>32606</v>
      </c>
      <c r="G15608" t="s">
        <v>32613</v>
      </c>
      <c r="H15608" t="s">
        <v>14201</v>
      </c>
      <c r="I15608" t="s">
        <v>32661</v>
      </c>
      <c r="J15608" t="s">
        <v>32767</v>
      </c>
      <c r="K15608" t="s">
        <v>42639</v>
      </c>
      <c r="M15608" t="s">
        <v>47073</v>
      </c>
      <c r="N15608" t="s">
        <v>47304</v>
      </c>
      <c r="O15608" t="s">
        <v>47305</v>
      </c>
      <c r="Q15608">
        <v>13</v>
      </c>
      <c r="R15608" t="s">
        <v>47343</v>
      </c>
      <c r="S15608" t="s">
        <v>48730</v>
      </c>
      <c r="T15608" t="s">
        <v>49020</v>
      </c>
      <c r="U15608" t="s">
        <v>62384</v>
      </c>
      <c r="W15608" t="s">
        <v>47073</v>
      </c>
      <c r="X15608" t="s">
        <v>47342</v>
      </c>
    </row>
    <row r="15609" spans="1:24">
      <c r="A15609">
        <f>HYPERLINK("https://www.philgeps.gov.ph/GEPSNONPILOT/Tender/SplashBidNoticeAbstractUI.aspx?menuIndex=3&amp;refID=7120057&amp;Result=3","7120057")</f>
        <v>0</v>
      </c>
      <c r="B15609" t="s">
        <v>212</v>
      </c>
      <c r="C15609" t="s">
        <v>18658</v>
      </c>
      <c r="D15609" t="s">
        <v>19007</v>
      </c>
      <c r="E15609" t="s">
        <v>32301</v>
      </c>
      <c r="F15609" t="s">
        <v>32606</v>
      </c>
      <c r="G15609" t="s">
        <v>32613</v>
      </c>
      <c r="H15609" t="s">
        <v>32623</v>
      </c>
      <c r="I15609" t="s">
        <v>17648</v>
      </c>
      <c r="J15609" t="s">
        <v>42425</v>
      </c>
      <c r="K15609" t="s">
        <v>42788</v>
      </c>
      <c r="M15609" t="s">
        <v>43113</v>
      </c>
      <c r="N15609" t="s">
        <v>47304</v>
      </c>
      <c r="O15609" t="s">
        <v>47305</v>
      </c>
      <c r="Q15609">
        <v>26</v>
      </c>
      <c r="R15609" t="s">
        <v>47341</v>
      </c>
      <c r="S15609" t="s">
        <v>48731</v>
      </c>
      <c r="T15609" t="s">
        <v>48987</v>
      </c>
      <c r="U15609" t="s">
        <v>62385</v>
      </c>
      <c r="W15609" t="s">
        <v>43113</v>
      </c>
      <c r="X15609" t="s">
        <v>47344</v>
      </c>
    </row>
    <row r="15610" spans="1:24">
      <c r="A15610">
        <f>HYPERLINK("https://www.philgeps.gov.ph/GEPSNONPILOT/Tender/SplashBidNoticeAbstractUI.aspx?menuIndex=3&amp;refID=7116946&amp;Result=3","7116946")</f>
        <v>0</v>
      </c>
      <c r="B15610" t="s">
        <v>185</v>
      </c>
      <c r="C15610" t="s">
        <v>18659</v>
      </c>
      <c r="D15610" t="s">
        <v>19025</v>
      </c>
      <c r="E15610" t="s">
        <v>32302</v>
      </c>
      <c r="F15610" t="s">
        <v>32606</v>
      </c>
      <c r="G15610" t="s">
        <v>32613</v>
      </c>
      <c r="H15610" t="s">
        <v>14201</v>
      </c>
      <c r="I15610" t="s">
        <v>32629</v>
      </c>
      <c r="J15610" t="s">
        <v>42426</v>
      </c>
      <c r="K15610" t="s">
        <v>42622</v>
      </c>
      <c r="M15610" t="s">
        <v>43350</v>
      </c>
      <c r="N15610" t="s">
        <v>47304</v>
      </c>
      <c r="O15610" t="s">
        <v>47305</v>
      </c>
      <c r="P15610">
        <v>0</v>
      </c>
      <c r="Q15610">
        <v>0</v>
      </c>
      <c r="R15610" t="s">
        <v>47343</v>
      </c>
      <c r="S15610" t="s">
        <v>48732</v>
      </c>
      <c r="T15610" t="s">
        <v>48998</v>
      </c>
      <c r="U15610" t="s">
        <v>61623</v>
      </c>
      <c r="V15610" t="s">
        <v>62747</v>
      </c>
      <c r="W15610" t="s">
        <v>64433</v>
      </c>
      <c r="X15610" t="s">
        <v>47342</v>
      </c>
    </row>
    <row r="15611" spans="1:24">
      <c r="A15611">
        <f>HYPERLINK("https://www.philgeps.gov.ph/GEPSNONPILOT/Tender/SplashBidNoticeAbstractUI.aspx?menuIndex=3&amp;refID=7108765&amp;Result=3","7108765")</f>
        <v>0</v>
      </c>
      <c r="B15611" t="s">
        <v>3864</v>
      </c>
      <c r="C15611" t="s">
        <v>18660</v>
      </c>
      <c r="D15611" t="s">
        <v>18993</v>
      </c>
      <c r="E15611" t="s">
        <v>32303</v>
      </c>
      <c r="F15611" t="s">
        <v>32606</v>
      </c>
      <c r="G15611" t="s">
        <v>32614</v>
      </c>
      <c r="H15611" t="s">
        <v>14201</v>
      </c>
      <c r="I15611" t="s">
        <v>6298</v>
      </c>
      <c r="J15611" t="s">
        <v>35226</v>
      </c>
      <c r="K15611" t="s">
        <v>42630</v>
      </c>
      <c r="M15611" t="s">
        <v>47219</v>
      </c>
      <c r="N15611" t="s">
        <v>47304</v>
      </c>
      <c r="O15611" t="s">
        <v>47305</v>
      </c>
      <c r="Q15611">
        <v>8</v>
      </c>
      <c r="R15611" t="s">
        <v>47342</v>
      </c>
      <c r="S15611" t="s">
        <v>48733</v>
      </c>
      <c r="T15611" t="s">
        <v>49359</v>
      </c>
      <c r="U15611" t="s">
        <v>62386</v>
      </c>
      <c r="W15611" t="s">
        <v>47219</v>
      </c>
      <c r="X15611" t="s">
        <v>47349</v>
      </c>
    </row>
    <row r="15612" spans="1:24">
      <c r="A15612">
        <f>HYPERLINK("https://www.philgeps.gov.ph/GEPSNONPILOT/Tender/SplashBidNoticeAbstractUI.aspx?menuIndex=3&amp;refID=7119055&amp;Result=3","7119055")</f>
        <v>0</v>
      </c>
      <c r="B15612" t="s">
        <v>421</v>
      </c>
      <c r="C15612" t="s">
        <v>18661</v>
      </c>
      <c r="D15612" t="s">
        <v>18988</v>
      </c>
      <c r="E15612" t="s">
        <v>32304</v>
      </c>
      <c r="F15612" t="s">
        <v>32606</v>
      </c>
      <c r="G15612" t="s">
        <v>32613</v>
      </c>
      <c r="H15612" t="s">
        <v>14201</v>
      </c>
      <c r="I15612" t="s">
        <v>7677</v>
      </c>
      <c r="J15612" t="s">
        <v>42427</v>
      </c>
      <c r="K15612" t="s">
        <v>42622</v>
      </c>
      <c r="M15612" t="s">
        <v>47268</v>
      </c>
      <c r="N15612" t="s">
        <v>47304</v>
      </c>
      <c r="O15612" t="s">
        <v>47305</v>
      </c>
      <c r="Q15612">
        <v>7</v>
      </c>
      <c r="R15612" t="s">
        <v>47341</v>
      </c>
      <c r="S15612" t="s">
        <v>48734</v>
      </c>
      <c r="T15612" t="s">
        <v>49136</v>
      </c>
      <c r="U15612" t="s">
        <v>62387</v>
      </c>
      <c r="V15612" t="s">
        <v>64374</v>
      </c>
      <c r="W15612" t="s">
        <v>47268</v>
      </c>
      <c r="X15612" t="s">
        <v>47342</v>
      </c>
    </row>
    <row r="15613" spans="1:24">
      <c r="A15613">
        <f>HYPERLINK("https://www.philgeps.gov.ph/GEPSNONPILOT/Tender/SplashBidNoticeAbstractUI.aspx?menuIndex=3&amp;refID=7116782&amp;Result=3","7116782")</f>
        <v>0</v>
      </c>
      <c r="B15613" t="s">
        <v>3217</v>
      </c>
      <c r="C15613" t="s">
        <v>18662</v>
      </c>
      <c r="E15613" t="s">
        <v>32305</v>
      </c>
      <c r="F15613" t="s">
        <v>32606</v>
      </c>
      <c r="G15613" t="s">
        <v>32613</v>
      </c>
      <c r="H15613" t="s">
        <v>14201</v>
      </c>
      <c r="I15613" t="s">
        <v>6298</v>
      </c>
      <c r="J15613" t="s">
        <v>32981</v>
      </c>
      <c r="K15613" t="s">
        <v>42624</v>
      </c>
      <c r="M15613" t="s">
        <v>46443</v>
      </c>
      <c r="N15613" t="s">
        <v>47304</v>
      </c>
      <c r="O15613" t="s">
        <v>47305</v>
      </c>
      <c r="Q15613">
        <v>2</v>
      </c>
      <c r="R15613" t="s">
        <v>47344</v>
      </c>
      <c r="S15613" t="s">
        <v>48735</v>
      </c>
      <c r="T15613" t="s">
        <v>49347</v>
      </c>
      <c r="U15613" t="s">
        <v>62388</v>
      </c>
      <c r="V15613" t="s">
        <v>64379</v>
      </c>
      <c r="W15613" t="s">
        <v>46443</v>
      </c>
      <c r="X15613" t="s">
        <v>47342</v>
      </c>
    </row>
    <row r="15614" spans="1:24">
      <c r="A15614">
        <f>HYPERLINK("https://www.philgeps.gov.ph/GEPSNONPILOT/Tender/SplashBidNoticeAbstractUI.aspx?menuIndex=3&amp;refID=7119052&amp;Result=3","7119052")</f>
        <v>0</v>
      </c>
      <c r="B15614" t="s">
        <v>421</v>
      </c>
      <c r="C15614" t="s">
        <v>18663</v>
      </c>
      <c r="D15614" t="s">
        <v>18988</v>
      </c>
      <c r="E15614" t="s">
        <v>32306</v>
      </c>
      <c r="F15614" t="s">
        <v>32606</v>
      </c>
      <c r="G15614" t="s">
        <v>32613</v>
      </c>
      <c r="H15614" t="s">
        <v>14201</v>
      </c>
      <c r="I15614" t="s">
        <v>7677</v>
      </c>
      <c r="J15614" t="s">
        <v>42428</v>
      </c>
      <c r="K15614" t="s">
        <v>42622</v>
      </c>
      <c r="M15614" t="s">
        <v>47268</v>
      </c>
      <c r="N15614" t="s">
        <v>47304</v>
      </c>
      <c r="O15614" t="s">
        <v>47305</v>
      </c>
      <c r="Q15614">
        <v>9</v>
      </c>
      <c r="R15614" t="s">
        <v>47341</v>
      </c>
      <c r="S15614" t="s">
        <v>48736</v>
      </c>
      <c r="T15614" t="s">
        <v>49136</v>
      </c>
      <c r="U15614" t="s">
        <v>62389</v>
      </c>
      <c r="V15614" t="s">
        <v>64374</v>
      </c>
      <c r="W15614" t="s">
        <v>47268</v>
      </c>
      <c r="X15614" t="s">
        <v>47342</v>
      </c>
    </row>
    <row r="15615" spans="1:24">
      <c r="A15615">
        <f>HYPERLINK("https://www.philgeps.gov.ph/GEPSNONPILOT/Tender/SplashBidNoticeAbstractUI.aspx?menuIndex=3&amp;refID=7118893&amp;Result=3","7118893")</f>
        <v>0</v>
      </c>
      <c r="B15615" t="s">
        <v>421</v>
      </c>
      <c r="C15615" t="s">
        <v>18664</v>
      </c>
      <c r="D15615" t="s">
        <v>18988</v>
      </c>
      <c r="E15615" t="s">
        <v>32307</v>
      </c>
      <c r="F15615" t="s">
        <v>32606</v>
      </c>
      <c r="G15615" t="s">
        <v>32613</v>
      </c>
      <c r="H15615" t="s">
        <v>14201</v>
      </c>
      <c r="I15615" t="s">
        <v>32633</v>
      </c>
      <c r="J15615" t="s">
        <v>42429</v>
      </c>
      <c r="K15615" t="s">
        <v>42648</v>
      </c>
      <c r="M15615" t="s">
        <v>47262</v>
      </c>
      <c r="N15615" t="s">
        <v>47304</v>
      </c>
      <c r="O15615" t="s">
        <v>47305</v>
      </c>
      <c r="Q15615">
        <v>8</v>
      </c>
      <c r="R15615" t="s">
        <v>47341</v>
      </c>
      <c r="S15615" t="s">
        <v>47705</v>
      </c>
      <c r="T15615" t="s">
        <v>49122</v>
      </c>
      <c r="U15615" t="s">
        <v>62390</v>
      </c>
      <c r="V15615" t="s">
        <v>64374</v>
      </c>
      <c r="W15615" t="s">
        <v>47262</v>
      </c>
      <c r="X15615" t="s">
        <v>47342</v>
      </c>
    </row>
    <row r="15616" spans="1:24">
      <c r="A15616">
        <f>HYPERLINK("https://www.philgeps.gov.ph/GEPSNONPILOT/Tender/SplashBidNoticeAbstractUI.aspx?menuIndex=3&amp;refID=7119048&amp;Result=3","7119048")</f>
        <v>0</v>
      </c>
      <c r="B15616" t="s">
        <v>421</v>
      </c>
      <c r="C15616" t="s">
        <v>18665</v>
      </c>
      <c r="D15616" t="s">
        <v>18988</v>
      </c>
      <c r="E15616" t="s">
        <v>32308</v>
      </c>
      <c r="F15616" t="s">
        <v>32606</v>
      </c>
      <c r="G15616" t="s">
        <v>32613</v>
      </c>
      <c r="H15616" t="s">
        <v>14201</v>
      </c>
      <c r="I15616" t="s">
        <v>7677</v>
      </c>
      <c r="J15616" t="s">
        <v>42430</v>
      </c>
      <c r="K15616" t="s">
        <v>42622</v>
      </c>
      <c r="M15616" t="s">
        <v>47268</v>
      </c>
      <c r="N15616" t="s">
        <v>47304</v>
      </c>
      <c r="O15616" t="s">
        <v>47305</v>
      </c>
      <c r="Q15616">
        <v>7</v>
      </c>
      <c r="R15616" t="s">
        <v>47341</v>
      </c>
      <c r="S15616" t="s">
        <v>47674</v>
      </c>
      <c r="T15616" t="s">
        <v>49136</v>
      </c>
      <c r="U15616" t="s">
        <v>62391</v>
      </c>
      <c r="V15616" t="s">
        <v>64374</v>
      </c>
      <c r="W15616" t="s">
        <v>47268</v>
      </c>
      <c r="X15616" t="s">
        <v>47342</v>
      </c>
    </row>
    <row r="15617" spans="1:24">
      <c r="A15617">
        <f>HYPERLINK("https://www.philgeps.gov.ph/GEPSNONPILOT/Tender/SplashBidNoticeAbstractUI.aspx?menuIndex=3&amp;refID=7119046&amp;Result=3","7119046")</f>
        <v>0</v>
      </c>
      <c r="B15617" t="s">
        <v>421</v>
      </c>
      <c r="C15617" t="s">
        <v>18666</v>
      </c>
      <c r="D15617" t="s">
        <v>18988</v>
      </c>
      <c r="E15617" t="s">
        <v>32309</v>
      </c>
      <c r="F15617" t="s">
        <v>32606</v>
      </c>
      <c r="G15617" t="s">
        <v>32613</v>
      </c>
      <c r="H15617" t="s">
        <v>14201</v>
      </c>
      <c r="I15617" t="s">
        <v>32638</v>
      </c>
      <c r="J15617" t="s">
        <v>42431</v>
      </c>
      <c r="K15617" t="s">
        <v>42622</v>
      </c>
      <c r="M15617" t="s">
        <v>47262</v>
      </c>
      <c r="N15617" t="s">
        <v>47304</v>
      </c>
      <c r="O15617" t="s">
        <v>47305</v>
      </c>
      <c r="Q15617">
        <v>9</v>
      </c>
      <c r="R15617" t="s">
        <v>47341</v>
      </c>
      <c r="S15617" t="s">
        <v>48737</v>
      </c>
      <c r="T15617" t="s">
        <v>49122</v>
      </c>
      <c r="U15617" t="s">
        <v>62392</v>
      </c>
      <c r="V15617" t="s">
        <v>64374</v>
      </c>
      <c r="W15617" t="s">
        <v>47262</v>
      </c>
      <c r="X15617" t="s">
        <v>47342</v>
      </c>
    </row>
    <row r="15618" spans="1:24">
      <c r="A15618">
        <f>HYPERLINK("https://www.philgeps.gov.ph/GEPSNONPILOT/Tender/SplashBidNoticeAbstractUI.aspx?menuIndex=3&amp;refID=7119041&amp;Result=3","7119041")</f>
        <v>0</v>
      </c>
      <c r="B15618" t="s">
        <v>421</v>
      </c>
      <c r="C15618" t="s">
        <v>18667</v>
      </c>
      <c r="D15618" t="s">
        <v>18988</v>
      </c>
      <c r="E15618" t="s">
        <v>32310</v>
      </c>
      <c r="F15618" t="s">
        <v>32606</v>
      </c>
      <c r="G15618" t="s">
        <v>32613</v>
      </c>
      <c r="H15618" t="s">
        <v>14201</v>
      </c>
      <c r="I15618" t="s">
        <v>7677</v>
      </c>
      <c r="J15618" t="s">
        <v>42432</v>
      </c>
      <c r="K15618" t="s">
        <v>42622</v>
      </c>
      <c r="M15618" t="s">
        <v>47268</v>
      </c>
      <c r="N15618" t="s">
        <v>47304</v>
      </c>
      <c r="O15618" t="s">
        <v>47305</v>
      </c>
      <c r="Q15618">
        <v>11</v>
      </c>
      <c r="R15618" t="s">
        <v>47341</v>
      </c>
      <c r="S15618" t="s">
        <v>48738</v>
      </c>
      <c r="T15618" t="s">
        <v>49136</v>
      </c>
      <c r="U15618" t="s">
        <v>62393</v>
      </c>
      <c r="V15618" t="s">
        <v>64374</v>
      </c>
      <c r="W15618" t="s">
        <v>47268</v>
      </c>
      <c r="X15618" t="s">
        <v>47342</v>
      </c>
    </row>
    <row r="15619" spans="1:24">
      <c r="A15619">
        <f>HYPERLINK("https://www.philgeps.gov.ph/GEPSNONPILOT/Tender/SplashBidNoticeAbstractUI.aspx?menuIndex=3&amp;refID=7119038&amp;Result=3","7119038")</f>
        <v>0</v>
      </c>
      <c r="B15619" t="s">
        <v>421</v>
      </c>
      <c r="C15619" t="s">
        <v>18668</v>
      </c>
      <c r="D15619" t="s">
        <v>18988</v>
      </c>
      <c r="E15619" t="s">
        <v>32311</v>
      </c>
      <c r="F15619" t="s">
        <v>32606</v>
      </c>
      <c r="G15619" t="s">
        <v>32613</v>
      </c>
      <c r="H15619" t="s">
        <v>14201</v>
      </c>
      <c r="I15619" t="s">
        <v>32638</v>
      </c>
      <c r="J15619" t="s">
        <v>42433</v>
      </c>
      <c r="K15619" t="s">
        <v>42622</v>
      </c>
      <c r="M15619" t="s">
        <v>47262</v>
      </c>
      <c r="N15619" t="s">
        <v>47304</v>
      </c>
      <c r="O15619" t="s">
        <v>47305</v>
      </c>
      <c r="Q15619">
        <v>4</v>
      </c>
      <c r="R15619" t="s">
        <v>47341</v>
      </c>
      <c r="S15619" t="s">
        <v>48368</v>
      </c>
      <c r="T15619" t="s">
        <v>49122</v>
      </c>
      <c r="U15619" t="s">
        <v>62394</v>
      </c>
      <c r="V15619" t="s">
        <v>64374</v>
      </c>
      <c r="W15619" t="s">
        <v>47262</v>
      </c>
      <c r="X15619" t="s">
        <v>47342</v>
      </c>
    </row>
    <row r="15620" spans="1:24">
      <c r="A15620">
        <f>HYPERLINK("https://www.philgeps.gov.ph/GEPSNONPILOT/Tender/SplashBidNoticeAbstractUI.aspx?menuIndex=3&amp;refID=7119034&amp;Result=3","7119034")</f>
        <v>0</v>
      </c>
      <c r="B15620" t="s">
        <v>421</v>
      </c>
      <c r="C15620" t="s">
        <v>18669</v>
      </c>
      <c r="D15620" t="s">
        <v>18988</v>
      </c>
      <c r="E15620" t="s">
        <v>32312</v>
      </c>
      <c r="F15620" t="s">
        <v>32606</v>
      </c>
      <c r="G15620" t="s">
        <v>32613</v>
      </c>
      <c r="H15620" t="s">
        <v>14201</v>
      </c>
      <c r="I15620" t="s">
        <v>32638</v>
      </c>
      <c r="J15620" t="s">
        <v>42434</v>
      </c>
      <c r="K15620" t="s">
        <v>42622</v>
      </c>
      <c r="M15620" t="s">
        <v>47262</v>
      </c>
      <c r="N15620" t="s">
        <v>47304</v>
      </c>
      <c r="O15620" t="s">
        <v>47305</v>
      </c>
      <c r="Q15620">
        <v>8</v>
      </c>
      <c r="R15620" t="s">
        <v>47341</v>
      </c>
      <c r="S15620" t="s">
        <v>48368</v>
      </c>
      <c r="T15620" t="s">
        <v>49122</v>
      </c>
      <c r="U15620" t="s">
        <v>62395</v>
      </c>
      <c r="V15620" t="s">
        <v>64374</v>
      </c>
      <c r="W15620" t="s">
        <v>47262</v>
      </c>
      <c r="X15620" t="s">
        <v>47342</v>
      </c>
    </row>
    <row r="15621" spans="1:24">
      <c r="A15621">
        <f>HYPERLINK("https://www.philgeps.gov.ph/GEPSNONPILOT/Tender/SplashBidNoticeAbstractUI.aspx?menuIndex=3&amp;refID=7144963&amp;Result=3","7144963")</f>
        <v>0</v>
      </c>
      <c r="B15621" t="s">
        <v>3877</v>
      </c>
      <c r="C15621" t="s">
        <v>18670</v>
      </c>
      <c r="D15621" t="s">
        <v>19049</v>
      </c>
      <c r="E15621" t="s">
        <v>32313</v>
      </c>
      <c r="F15621" t="s">
        <v>32606</v>
      </c>
      <c r="G15621" t="s">
        <v>32613</v>
      </c>
      <c r="H15621" t="s">
        <v>14201</v>
      </c>
      <c r="I15621" t="s">
        <v>4121</v>
      </c>
      <c r="J15621" t="s">
        <v>42435</v>
      </c>
      <c r="K15621" t="s">
        <v>42636</v>
      </c>
      <c r="M15621" t="s">
        <v>47239</v>
      </c>
      <c r="N15621" t="s">
        <v>47304</v>
      </c>
      <c r="O15621" t="s">
        <v>47305</v>
      </c>
      <c r="Q15621">
        <v>13</v>
      </c>
      <c r="R15621" t="s">
        <v>47332</v>
      </c>
      <c r="S15621" t="s">
        <v>48739</v>
      </c>
      <c r="T15621" t="s">
        <v>49541</v>
      </c>
      <c r="U15621" t="s">
        <v>62396</v>
      </c>
      <c r="W15621" t="s">
        <v>47239</v>
      </c>
      <c r="X15621" t="s">
        <v>47333</v>
      </c>
    </row>
    <row r="15622" spans="1:24">
      <c r="A15622">
        <f>HYPERLINK("https://www.philgeps.gov.ph/GEPSNONPILOT/Tender/SplashBidNoticeAbstractUI.aspx?menuIndex=3&amp;refID=7119670&amp;Result=3","7119670")</f>
        <v>0</v>
      </c>
      <c r="B15622" t="s">
        <v>570</v>
      </c>
      <c r="C15622" t="s">
        <v>18671</v>
      </c>
      <c r="E15622" t="s">
        <v>32314</v>
      </c>
      <c r="F15622" t="s">
        <v>32606</v>
      </c>
      <c r="G15622" t="s">
        <v>32613</v>
      </c>
      <c r="H15622" t="s">
        <v>32623</v>
      </c>
      <c r="I15622" t="s">
        <v>17648</v>
      </c>
      <c r="J15622" t="s">
        <v>42436</v>
      </c>
      <c r="K15622" t="s">
        <v>42645</v>
      </c>
      <c r="M15622" t="s">
        <v>47043</v>
      </c>
      <c r="N15622" t="s">
        <v>47304</v>
      </c>
      <c r="O15622" t="s">
        <v>47305</v>
      </c>
      <c r="Q15622">
        <v>8</v>
      </c>
      <c r="R15622" t="s">
        <v>47344</v>
      </c>
      <c r="S15622" t="s">
        <v>48740</v>
      </c>
      <c r="T15622" t="s">
        <v>49068</v>
      </c>
      <c r="U15622" t="s">
        <v>62397</v>
      </c>
      <c r="W15622" t="s">
        <v>47043</v>
      </c>
      <c r="X15622" t="s">
        <v>47343</v>
      </c>
    </row>
    <row r="15623" spans="1:24">
      <c r="A15623">
        <f>HYPERLINK("https://www.philgeps.gov.ph/GEPSNONPILOT/Tender/SplashBidNoticeAbstractUI.aspx?menuIndex=3&amp;refID=7119042&amp;Result=3","7119042")</f>
        <v>0</v>
      </c>
      <c r="B15623" t="s">
        <v>421</v>
      </c>
      <c r="C15623" t="s">
        <v>18672</v>
      </c>
      <c r="D15623" t="s">
        <v>18988</v>
      </c>
      <c r="E15623" t="s">
        <v>32315</v>
      </c>
      <c r="F15623" t="s">
        <v>32606</v>
      </c>
      <c r="G15623" t="s">
        <v>32613</v>
      </c>
      <c r="H15623" t="s">
        <v>14201</v>
      </c>
      <c r="I15623" t="s">
        <v>32638</v>
      </c>
      <c r="J15623" t="s">
        <v>34118</v>
      </c>
      <c r="K15623" t="s">
        <v>42622</v>
      </c>
      <c r="M15623" t="s">
        <v>47262</v>
      </c>
      <c r="N15623" t="s">
        <v>47304</v>
      </c>
      <c r="O15623" t="s">
        <v>47305</v>
      </c>
      <c r="Q15623">
        <v>5</v>
      </c>
      <c r="R15623" t="s">
        <v>47341</v>
      </c>
      <c r="S15623" t="s">
        <v>48741</v>
      </c>
      <c r="T15623" t="s">
        <v>49122</v>
      </c>
      <c r="U15623" t="s">
        <v>62398</v>
      </c>
      <c r="V15623" t="s">
        <v>64374</v>
      </c>
      <c r="W15623" t="s">
        <v>47262</v>
      </c>
      <c r="X15623" t="s">
        <v>47342</v>
      </c>
    </row>
    <row r="15624" spans="1:24">
      <c r="A15624">
        <f>HYPERLINK("https://www.philgeps.gov.ph/GEPSNONPILOT/Tender/SplashBidNoticeAbstractUI.aspx?menuIndex=3&amp;refID=7120050&amp;Result=3","7120050")</f>
        <v>0</v>
      </c>
      <c r="B15624" t="s">
        <v>212</v>
      </c>
      <c r="C15624" t="s">
        <v>18673</v>
      </c>
      <c r="D15624" t="s">
        <v>19007</v>
      </c>
      <c r="E15624" t="s">
        <v>32316</v>
      </c>
      <c r="F15624" t="s">
        <v>32606</v>
      </c>
      <c r="G15624" t="s">
        <v>32613</v>
      </c>
      <c r="H15624" t="s">
        <v>32623</v>
      </c>
      <c r="I15624" t="s">
        <v>17648</v>
      </c>
      <c r="J15624" t="s">
        <v>42437</v>
      </c>
      <c r="K15624" t="s">
        <v>42907</v>
      </c>
      <c r="M15624" t="s">
        <v>43113</v>
      </c>
      <c r="N15624" t="s">
        <v>47304</v>
      </c>
      <c r="O15624" t="s">
        <v>47305</v>
      </c>
      <c r="Q15624">
        <v>28</v>
      </c>
      <c r="R15624" t="s">
        <v>47341</v>
      </c>
      <c r="S15624" t="s">
        <v>48742</v>
      </c>
      <c r="T15624" t="s">
        <v>48987</v>
      </c>
      <c r="U15624" t="s">
        <v>62399</v>
      </c>
      <c r="W15624" t="s">
        <v>43113</v>
      </c>
      <c r="X15624" t="s">
        <v>47344</v>
      </c>
    </row>
    <row r="15625" spans="1:24">
      <c r="A15625">
        <f>HYPERLINK("https://www.philgeps.gov.ph/GEPSNONPILOT/Tender/SplashBidNoticeAbstractUI.aspx?menuIndex=3&amp;refID=7119036&amp;Result=3","7119036")</f>
        <v>0</v>
      </c>
      <c r="B15625" t="s">
        <v>421</v>
      </c>
      <c r="C15625" t="s">
        <v>18674</v>
      </c>
      <c r="D15625" t="s">
        <v>18988</v>
      </c>
      <c r="E15625" t="s">
        <v>32317</v>
      </c>
      <c r="F15625" t="s">
        <v>32606</v>
      </c>
      <c r="G15625" t="s">
        <v>32613</v>
      </c>
      <c r="H15625" t="s">
        <v>14201</v>
      </c>
      <c r="I15625" t="s">
        <v>7677</v>
      </c>
      <c r="J15625" t="s">
        <v>42438</v>
      </c>
      <c r="K15625" t="s">
        <v>42622</v>
      </c>
      <c r="M15625" t="s">
        <v>47268</v>
      </c>
      <c r="N15625" t="s">
        <v>47304</v>
      </c>
      <c r="O15625" t="s">
        <v>47305</v>
      </c>
      <c r="Q15625">
        <v>11</v>
      </c>
      <c r="R15625" t="s">
        <v>47341</v>
      </c>
      <c r="S15625" t="s">
        <v>48743</v>
      </c>
      <c r="T15625" t="s">
        <v>49136</v>
      </c>
      <c r="U15625" t="s">
        <v>62400</v>
      </c>
      <c r="V15625" t="s">
        <v>64374</v>
      </c>
      <c r="W15625" t="s">
        <v>47268</v>
      </c>
      <c r="X15625" t="s">
        <v>47342</v>
      </c>
    </row>
    <row r="15626" spans="1:24">
      <c r="A15626">
        <f>HYPERLINK("https://www.philgeps.gov.ph/GEPSNONPILOT/Tender/SplashBidNoticeAbstractUI.aspx?menuIndex=3&amp;refID=7142624&amp;Result=3","7142624")</f>
        <v>0</v>
      </c>
      <c r="B15626" t="s">
        <v>3821</v>
      </c>
      <c r="C15626" t="s">
        <v>18675</v>
      </c>
      <c r="D15626" t="s">
        <v>19037</v>
      </c>
      <c r="E15626" t="s">
        <v>28354</v>
      </c>
      <c r="F15626" t="s">
        <v>32606</v>
      </c>
      <c r="G15626" t="s">
        <v>32613</v>
      </c>
      <c r="H15626" t="s">
        <v>32623</v>
      </c>
      <c r="I15626" t="s">
        <v>17648</v>
      </c>
      <c r="J15626" t="s">
        <v>32796</v>
      </c>
      <c r="K15626" t="s">
        <v>42712</v>
      </c>
      <c r="M15626" t="s">
        <v>47167</v>
      </c>
      <c r="N15626" t="s">
        <v>47304</v>
      </c>
      <c r="O15626" t="s">
        <v>47305</v>
      </c>
      <c r="Q15626">
        <v>6</v>
      </c>
      <c r="R15626" t="s">
        <v>47332</v>
      </c>
      <c r="S15626" t="s">
        <v>48744</v>
      </c>
      <c r="T15626" t="s">
        <v>49116</v>
      </c>
      <c r="U15626" t="s">
        <v>62401</v>
      </c>
      <c r="V15626" t="s">
        <v>64282</v>
      </c>
      <c r="W15626" t="s">
        <v>47167</v>
      </c>
      <c r="X15626" t="s">
        <v>47333</v>
      </c>
    </row>
    <row r="15627" spans="1:24">
      <c r="A15627">
        <f>HYPERLINK("https://www.philgeps.gov.ph/GEPSNONPILOT/Tender/SplashBidNoticeAbstractUI.aspx?menuIndex=3&amp;refID=7119028&amp;Result=3","7119028")</f>
        <v>0</v>
      </c>
      <c r="B15627" t="s">
        <v>421</v>
      </c>
      <c r="C15627" t="s">
        <v>18676</v>
      </c>
      <c r="D15627" t="s">
        <v>18988</v>
      </c>
      <c r="E15627" t="s">
        <v>32318</v>
      </c>
      <c r="F15627" t="s">
        <v>32606</v>
      </c>
      <c r="G15627" t="s">
        <v>32613</v>
      </c>
      <c r="H15627" t="s">
        <v>14201</v>
      </c>
      <c r="I15627" t="s">
        <v>7677</v>
      </c>
      <c r="J15627" t="s">
        <v>42439</v>
      </c>
      <c r="K15627" t="s">
        <v>42622</v>
      </c>
      <c r="M15627" t="s">
        <v>47268</v>
      </c>
      <c r="N15627" t="s">
        <v>47304</v>
      </c>
      <c r="O15627" t="s">
        <v>47305</v>
      </c>
      <c r="Q15627">
        <v>7</v>
      </c>
      <c r="R15627" t="s">
        <v>47341</v>
      </c>
      <c r="S15627" t="s">
        <v>48745</v>
      </c>
      <c r="T15627" t="s">
        <v>49136</v>
      </c>
      <c r="U15627" t="s">
        <v>62402</v>
      </c>
      <c r="V15627" t="s">
        <v>64374</v>
      </c>
      <c r="W15627" t="s">
        <v>47268</v>
      </c>
      <c r="X15627" t="s">
        <v>47342</v>
      </c>
    </row>
    <row r="15628" spans="1:24">
      <c r="A15628">
        <f>HYPERLINK("https://www.philgeps.gov.ph/GEPSNONPILOT/Tender/SplashBidNoticeAbstractUI.aspx?menuIndex=3&amp;refID=7142341&amp;Result=3","7142341")</f>
        <v>0</v>
      </c>
      <c r="B15628" t="s">
        <v>2115</v>
      </c>
      <c r="C15628" t="s">
        <v>18677</v>
      </c>
      <c r="D15628" t="s">
        <v>19008</v>
      </c>
      <c r="E15628" t="s">
        <v>32319</v>
      </c>
      <c r="F15628" t="s">
        <v>32606</v>
      </c>
      <c r="G15628" t="s">
        <v>32613</v>
      </c>
      <c r="H15628" t="s">
        <v>14201</v>
      </c>
      <c r="I15628" t="s">
        <v>7577</v>
      </c>
      <c r="J15628" t="s">
        <v>42440</v>
      </c>
      <c r="K15628" t="s">
        <v>42638</v>
      </c>
      <c r="M15628" t="s">
        <v>45202</v>
      </c>
      <c r="N15628" t="s">
        <v>47304</v>
      </c>
      <c r="O15628" t="s">
        <v>47305</v>
      </c>
      <c r="Q15628">
        <v>3</v>
      </c>
      <c r="R15628" t="s">
        <v>47332</v>
      </c>
      <c r="S15628" t="s">
        <v>48746</v>
      </c>
      <c r="T15628" t="s">
        <v>49071</v>
      </c>
      <c r="U15628" t="s">
        <v>62403</v>
      </c>
      <c r="V15628" t="s">
        <v>63377</v>
      </c>
      <c r="W15628" t="s">
        <v>45202</v>
      </c>
      <c r="X15628" t="s">
        <v>47333</v>
      </c>
    </row>
    <row r="15629" spans="1:24">
      <c r="A15629">
        <f>HYPERLINK("https://www.philgeps.gov.ph/GEPSNONPILOT/Tender/SplashBidNoticeAbstractUI.aspx?menuIndex=3&amp;refID=7119051&amp;Result=3","7119051")</f>
        <v>0</v>
      </c>
      <c r="B15629" t="s">
        <v>421</v>
      </c>
      <c r="C15629" t="s">
        <v>18678</v>
      </c>
      <c r="D15629" t="s">
        <v>18988</v>
      </c>
      <c r="E15629" t="s">
        <v>32320</v>
      </c>
      <c r="F15629" t="s">
        <v>32606</v>
      </c>
      <c r="G15629" t="s">
        <v>32613</v>
      </c>
      <c r="H15629" t="s">
        <v>14201</v>
      </c>
      <c r="I15629" t="s">
        <v>32638</v>
      </c>
      <c r="J15629" t="s">
        <v>42441</v>
      </c>
      <c r="K15629" t="s">
        <v>42622</v>
      </c>
      <c r="M15629" t="s">
        <v>47262</v>
      </c>
      <c r="N15629" t="s">
        <v>47304</v>
      </c>
      <c r="O15629" t="s">
        <v>47305</v>
      </c>
      <c r="Q15629">
        <v>4</v>
      </c>
      <c r="R15629" t="s">
        <v>47341</v>
      </c>
      <c r="S15629" t="s">
        <v>47998</v>
      </c>
      <c r="T15629" t="s">
        <v>49122</v>
      </c>
      <c r="U15629" t="s">
        <v>62404</v>
      </c>
      <c r="V15629" t="s">
        <v>64374</v>
      </c>
      <c r="W15629" t="s">
        <v>47262</v>
      </c>
      <c r="X15629" t="s">
        <v>47342</v>
      </c>
    </row>
    <row r="15630" spans="1:24">
      <c r="A15630">
        <f>HYPERLINK("https://www.philgeps.gov.ph/GEPSNONPILOT/Tender/SplashBidNoticeAbstractUI.aspx?menuIndex=3&amp;refID=7142686&amp;Result=3","7142686")</f>
        <v>0</v>
      </c>
      <c r="B15630" t="s">
        <v>3821</v>
      </c>
      <c r="C15630" t="s">
        <v>18679</v>
      </c>
      <c r="D15630" t="s">
        <v>19037</v>
      </c>
      <c r="E15630" t="s">
        <v>28681</v>
      </c>
      <c r="F15630" t="s">
        <v>32606</v>
      </c>
      <c r="G15630" t="s">
        <v>32613</v>
      </c>
      <c r="H15630" t="s">
        <v>32623</v>
      </c>
      <c r="I15630" t="s">
        <v>17648</v>
      </c>
      <c r="J15630" t="s">
        <v>33039</v>
      </c>
      <c r="K15630" t="s">
        <v>42712</v>
      </c>
      <c r="M15630" t="s">
        <v>47167</v>
      </c>
      <c r="N15630" t="s">
        <v>47304</v>
      </c>
      <c r="O15630" t="s">
        <v>47305</v>
      </c>
      <c r="Q15630">
        <v>5</v>
      </c>
      <c r="R15630" t="s">
        <v>47332</v>
      </c>
      <c r="S15630" t="s">
        <v>48747</v>
      </c>
      <c r="T15630" t="s">
        <v>49116</v>
      </c>
      <c r="U15630" t="s">
        <v>62405</v>
      </c>
      <c r="V15630" t="s">
        <v>64282</v>
      </c>
      <c r="W15630" t="s">
        <v>47167</v>
      </c>
      <c r="X15630" t="s">
        <v>47333</v>
      </c>
    </row>
    <row r="15631" spans="1:24">
      <c r="A15631">
        <f>HYPERLINK("https://www.philgeps.gov.ph/GEPSNONPILOT/Tender/SplashBidNoticeAbstractUI.aspx?menuIndex=3&amp;refID=7150446&amp;Result=3","7150446")</f>
        <v>0</v>
      </c>
      <c r="B15631" t="s">
        <v>462</v>
      </c>
      <c r="C15631" t="s">
        <v>18680</v>
      </c>
      <c r="E15631" t="s">
        <v>32321</v>
      </c>
      <c r="F15631" t="s">
        <v>32606</v>
      </c>
      <c r="G15631" t="s">
        <v>32613</v>
      </c>
      <c r="H15631" t="s">
        <v>14201</v>
      </c>
      <c r="I15631" t="s">
        <v>32661</v>
      </c>
      <c r="J15631" t="s">
        <v>32821</v>
      </c>
      <c r="K15631" t="s">
        <v>42631</v>
      </c>
      <c r="M15631" t="s">
        <v>43372</v>
      </c>
      <c r="N15631" t="s">
        <v>47304</v>
      </c>
      <c r="O15631" t="s">
        <v>47305</v>
      </c>
      <c r="Q15631">
        <v>7</v>
      </c>
      <c r="R15631" t="s">
        <v>47328</v>
      </c>
      <c r="S15631" t="s">
        <v>48748</v>
      </c>
      <c r="T15631" t="s">
        <v>49156</v>
      </c>
      <c r="U15631" t="s">
        <v>62406</v>
      </c>
      <c r="W15631" t="s">
        <v>64436</v>
      </c>
      <c r="X15631" t="s">
        <v>47329</v>
      </c>
    </row>
    <row r="15632" spans="1:24">
      <c r="A15632">
        <f>HYPERLINK("https://www.philgeps.gov.ph/GEPSNONPILOT/Tender/SplashBidNoticeAbstractUI.aspx?menuIndex=3&amp;refID=7150732&amp;Result=3","7150732")</f>
        <v>0</v>
      </c>
      <c r="B15632" t="s">
        <v>3037</v>
      </c>
      <c r="C15632" t="s">
        <v>18681</v>
      </c>
      <c r="D15632" t="s">
        <v>19005</v>
      </c>
      <c r="E15632" t="s">
        <v>28782</v>
      </c>
      <c r="F15632" t="s">
        <v>32606</v>
      </c>
      <c r="G15632" t="s">
        <v>32613</v>
      </c>
      <c r="H15632" t="s">
        <v>14201</v>
      </c>
      <c r="I15632" t="s">
        <v>32654</v>
      </c>
      <c r="J15632" t="s">
        <v>42442</v>
      </c>
      <c r="K15632" t="s">
        <v>42623</v>
      </c>
      <c r="M15632" t="s">
        <v>46230</v>
      </c>
      <c r="N15632" t="s">
        <v>47304</v>
      </c>
      <c r="O15632" t="s">
        <v>47305</v>
      </c>
      <c r="P15632">
        <v>0</v>
      </c>
      <c r="Q15632">
        <v>3</v>
      </c>
      <c r="R15632" t="s">
        <v>47328</v>
      </c>
      <c r="S15632" t="s">
        <v>48467</v>
      </c>
      <c r="T15632" t="s">
        <v>49347</v>
      </c>
      <c r="U15632" t="s">
        <v>62407</v>
      </c>
      <c r="V15632" t="s">
        <v>63692</v>
      </c>
      <c r="W15632" t="s">
        <v>46230</v>
      </c>
      <c r="X15632" t="s">
        <v>47329</v>
      </c>
    </row>
    <row r="15633" spans="1:24">
      <c r="A15633">
        <f>HYPERLINK("https://www.philgeps.gov.ph/GEPSNONPILOT/Tender/SplashBidNoticeAbstractUI.aspx?menuIndex=3&amp;refID=7150413&amp;Result=3","7150413")</f>
        <v>0</v>
      </c>
      <c r="B15633" t="s">
        <v>703</v>
      </c>
      <c r="C15633" t="s">
        <v>18682</v>
      </c>
      <c r="D15633" t="s">
        <v>18992</v>
      </c>
      <c r="E15633" t="s">
        <v>32322</v>
      </c>
      <c r="F15633" t="s">
        <v>32606</v>
      </c>
      <c r="G15633" t="s">
        <v>32613</v>
      </c>
      <c r="H15633" t="s">
        <v>14201</v>
      </c>
      <c r="I15633" t="s">
        <v>32640</v>
      </c>
      <c r="J15633" t="s">
        <v>42443</v>
      </c>
      <c r="K15633" t="s">
        <v>42694</v>
      </c>
      <c r="M15633" t="s">
        <v>43624</v>
      </c>
      <c r="N15633" t="s">
        <v>47304</v>
      </c>
      <c r="O15633" t="s">
        <v>47305</v>
      </c>
      <c r="P15633">
        <v>0</v>
      </c>
      <c r="Q15633">
        <v>2</v>
      </c>
      <c r="R15633" t="s">
        <v>47328</v>
      </c>
      <c r="S15633" t="s">
        <v>48467</v>
      </c>
      <c r="T15633" t="s">
        <v>49347</v>
      </c>
      <c r="U15633" t="s">
        <v>62408</v>
      </c>
      <c r="V15633" t="s">
        <v>64380</v>
      </c>
      <c r="W15633" t="s">
        <v>43624</v>
      </c>
      <c r="X15633" t="s">
        <v>47329</v>
      </c>
    </row>
    <row r="15634" spans="1:24">
      <c r="A15634">
        <f>HYPERLINK("https://www.philgeps.gov.ph/GEPSNONPILOT/Tender/SplashBidNoticeAbstractUI.aspx?menuIndex=3&amp;refID=7151388&amp;Result=3","7151388")</f>
        <v>0</v>
      </c>
      <c r="B15634" t="s">
        <v>381</v>
      </c>
      <c r="C15634" t="s">
        <v>18683</v>
      </c>
      <c r="E15634" t="s">
        <v>32323</v>
      </c>
      <c r="F15634" t="s">
        <v>32606</v>
      </c>
      <c r="G15634" t="s">
        <v>32613</v>
      </c>
      <c r="H15634" t="s">
        <v>14201</v>
      </c>
      <c r="I15634" t="s">
        <v>32655</v>
      </c>
      <c r="J15634" t="s">
        <v>42444</v>
      </c>
      <c r="K15634" t="s">
        <v>42624</v>
      </c>
      <c r="M15634" t="s">
        <v>46996</v>
      </c>
      <c r="N15634" t="s">
        <v>47304</v>
      </c>
      <c r="O15634" t="s">
        <v>47305</v>
      </c>
      <c r="Q15634">
        <v>39</v>
      </c>
      <c r="R15634" t="s">
        <v>47328</v>
      </c>
      <c r="S15634" t="s">
        <v>48488</v>
      </c>
      <c r="T15634" t="s">
        <v>49268</v>
      </c>
      <c r="U15634" t="s">
        <v>62105</v>
      </c>
      <c r="W15634" t="s">
        <v>46996</v>
      </c>
      <c r="X15634" t="s">
        <v>47329</v>
      </c>
    </row>
    <row r="15635" spans="1:24">
      <c r="A15635">
        <f>HYPERLINK("https://www.philgeps.gov.ph/GEPSNONPILOT/Tender/SplashBidNoticeAbstractUI.aspx?menuIndex=3&amp;refID=7149966&amp;Result=3","7149966")</f>
        <v>0</v>
      </c>
      <c r="B15635" t="s">
        <v>3862</v>
      </c>
      <c r="C15635" t="s">
        <v>18684</v>
      </c>
      <c r="D15635" t="s">
        <v>19042</v>
      </c>
      <c r="E15635" t="s">
        <v>32324</v>
      </c>
      <c r="F15635" t="s">
        <v>32606</v>
      </c>
      <c r="G15635" t="s">
        <v>32613</v>
      </c>
      <c r="H15635" t="s">
        <v>14201</v>
      </c>
      <c r="I15635" t="s">
        <v>32640</v>
      </c>
      <c r="J15635" t="s">
        <v>42445</v>
      </c>
      <c r="K15635" t="s">
        <v>42631</v>
      </c>
      <c r="M15635" t="s">
        <v>47215</v>
      </c>
      <c r="N15635" t="s">
        <v>47304</v>
      </c>
      <c r="O15635" t="s">
        <v>47305</v>
      </c>
      <c r="P15635">
        <v>0</v>
      </c>
      <c r="Q15635">
        <v>2</v>
      </c>
      <c r="R15635" t="s">
        <v>47328</v>
      </c>
      <c r="S15635" t="s">
        <v>48467</v>
      </c>
      <c r="T15635" t="s">
        <v>49017</v>
      </c>
      <c r="U15635" t="s">
        <v>62409</v>
      </c>
      <c r="W15635" t="s">
        <v>47215</v>
      </c>
      <c r="X15635" t="s">
        <v>47329</v>
      </c>
    </row>
    <row r="15636" spans="1:24">
      <c r="A15636">
        <f>HYPERLINK("https://www.philgeps.gov.ph/GEPSNONPILOT/Tender/SplashBidNoticeAbstractUI.aspx?menuIndex=3&amp;refID=7149959&amp;Result=3","7149959")</f>
        <v>0</v>
      </c>
      <c r="B15636" t="s">
        <v>1443</v>
      </c>
      <c r="C15636" t="s">
        <v>18685</v>
      </c>
      <c r="D15636" t="s">
        <v>19007</v>
      </c>
      <c r="E15636" t="s">
        <v>32325</v>
      </c>
      <c r="F15636" t="s">
        <v>32606</v>
      </c>
      <c r="G15636" t="s">
        <v>32613</v>
      </c>
      <c r="H15636" t="s">
        <v>32623</v>
      </c>
      <c r="I15636" t="s">
        <v>17648</v>
      </c>
      <c r="J15636" t="s">
        <v>42446</v>
      </c>
      <c r="K15636" t="s">
        <v>42646</v>
      </c>
      <c r="M15636" t="s">
        <v>44432</v>
      </c>
      <c r="N15636" t="s">
        <v>47304</v>
      </c>
      <c r="O15636" t="s">
        <v>47305</v>
      </c>
      <c r="P15636">
        <v>0</v>
      </c>
      <c r="Q15636">
        <v>0</v>
      </c>
      <c r="R15636" t="s">
        <v>47328</v>
      </c>
      <c r="S15636" t="s">
        <v>48467</v>
      </c>
      <c r="T15636" t="s">
        <v>48998</v>
      </c>
      <c r="U15636" t="s">
        <v>62410</v>
      </c>
      <c r="W15636" t="s">
        <v>44432</v>
      </c>
      <c r="X15636" t="s">
        <v>47329</v>
      </c>
    </row>
    <row r="15637" spans="1:24">
      <c r="A15637">
        <f>HYPERLINK("https://www.philgeps.gov.ph/GEPSNONPILOT/Tender/SplashBidNoticeAbstractUI.aspx?menuIndex=3&amp;refID=7150374&amp;Result=3","7150374")</f>
        <v>0</v>
      </c>
      <c r="B15637" t="s">
        <v>703</v>
      </c>
      <c r="C15637" t="s">
        <v>18686</v>
      </c>
      <c r="D15637" t="s">
        <v>18992</v>
      </c>
      <c r="E15637" t="s">
        <v>32326</v>
      </c>
      <c r="F15637" t="s">
        <v>32606</v>
      </c>
      <c r="G15637" t="s">
        <v>32613</v>
      </c>
      <c r="H15637" t="s">
        <v>14201</v>
      </c>
      <c r="I15637" t="s">
        <v>32640</v>
      </c>
      <c r="J15637" t="s">
        <v>32770</v>
      </c>
      <c r="K15637" t="s">
        <v>42694</v>
      </c>
      <c r="M15637" t="s">
        <v>43624</v>
      </c>
      <c r="N15637" t="s">
        <v>47304</v>
      </c>
      <c r="O15637" t="s">
        <v>47305</v>
      </c>
      <c r="P15637">
        <v>0</v>
      </c>
      <c r="Q15637">
        <v>9</v>
      </c>
      <c r="R15637" t="s">
        <v>47328</v>
      </c>
      <c r="S15637" t="s">
        <v>48467</v>
      </c>
      <c r="T15637" t="s">
        <v>49347</v>
      </c>
      <c r="U15637" t="s">
        <v>62411</v>
      </c>
      <c r="V15637" t="s">
        <v>64381</v>
      </c>
      <c r="W15637" t="s">
        <v>43624</v>
      </c>
      <c r="X15637" t="s">
        <v>47329</v>
      </c>
    </row>
    <row r="15638" spans="1:24">
      <c r="A15638">
        <f>HYPERLINK("https://www.philgeps.gov.ph/GEPSNONPILOT/Tender/SplashBidNoticeAbstractUI.aspx?menuIndex=3&amp;refID=7149882&amp;Result=3","7149882")</f>
        <v>0</v>
      </c>
      <c r="B15638" t="s">
        <v>2398</v>
      </c>
      <c r="C15638" t="s">
        <v>18687</v>
      </c>
      <c r="D15638" t="s">
        <v>19027</v>
      </c>
      <c r="E15638" t="s">
        <v>32327</v>
      </c>
      <c r="F15638" t="s">
        <v>32606</v>
      </c>
      <c r="G15638" t="s">
        <v>32613</v>
      </c>
      <c r="H15638" t="s">
        <v>32623</v>
      </c>
      <c r="I15638" t="s">
        <v>17648</v>
      </c>
      <c r="J15638" t="s">
        <v>42447</v>
      </c>
      <c r="K15638" t="s">
        <v>42648</v>
      </c>
      <c r="M15638" t="s">
        <v>45520</v>
      </c>
      <c r="N15638" t="s">
        <v>47304</v>
      </c>
      <c r="O15638" t="s">
        <v>47305</v>
      </c>
      <c r="P15638">
        <v>0</v>
      </c>
      <c r="Q15638">
        <v>2</v>
      </c>
      <c r="R15638" t="s">
        <v>47328</v>
      </c>
      <c r="S15638" t="s">
        <v>48467</v>
      </c>
      <c r="T15638" t="s">
        <v>49068</v>
      </c>
      <c r="U15638" t="s">
        <v>62412</v>
      </c>
      <c r="W15638" t="s">
        <v>45520</v>
      </c>
      <c r="X15638" t="s">
        <v>47329</v>
      </c>
    </row>
    <row r="15639" spans="1:24">
      <c r="A15639">
        <f>HYPERLINK("https://www.philgeps.gov.ph/GEPSNONPILOT/Tender/SplashBidNoticeAbstractUI.aspx?menuIndex=3&amp;refID=7150458&amp;Result=3","7150458")</f>
        <v>0</v>
      </c>
      <c r="B15639" t="s">
        <v>703</v>
      </c>
      <c r="C15639" t="s">
        <v>18688</v>
      </c>
      <c r="D15639" t="s">
        <v>18992</v>
      </c>
      <c r="E15639" t="s">
        <v>32328</v>
      </c>
      <c r="F15639" t="s">
        <v>32606</v>
      </c>
      <c r="G15639" t="s">
        <v>32613</v>
      </c>
      <c r="H15639" t="s">
        <v>14201</v>
      </c>
      <c r="I15639" t="s">
        <v>32640</v>
      </c>
      <c r="J15639" t="s">
        <v>42448</v>
      </c>
      <c r="K15639" t="s">
        <v>42694</v>
      </c>
      <c r="M15639" t="s">
        <v>43624</v>
      </c>
      <c r="N15639" t="s">
        <v>47304</v>
      </c>
      <c r="O15639" t="s">
        <v>47305</v>
      </c>
      <c r="Q15639">
        <v>2</v>
      </c>
      <c r="R15639" t="s">
        <v>47328</v>
      </c>
      <c r="S15639" t="s">
        <v>48749</v>
      </c>
      <c r="T15639" t="s">
        <v>49347</v>
      </c>
      <c r="U15639" t="s">
        <v>62413</v>
      </c>
      <c r="V15639" t="s">
        <v>64382</v>
      </c>
      <c r="W15639" t="s">
        <v>43624</v>
      </c>
      <c r="X15639" t="s">
        <v>47329</v>
      </c>
    </row>
    <row r="15640" spans="1:24">
      <c r="A15640">
        <f>HYPERLINK("https://www.philgeps.gov.ph/GEPSNONPILOT/Tender/SplashBidNoticeAbstractUI.aspx?menuIndex=3&amp;refID=7149833&amp;Result=3","7149833")</f>
        <v>0</v>
      </c>
      <c r="B15640" t="s">
        <v>362</v>
      </c>
      <c r="C15640" t="s">
        <v>13203</v>
      </c>
      <c r="D15640" t="s">
        <v>19023</v>
      </c>
      <c r="E15640" t="s">
        <v>32329</v>
      </c>
      <c r="F15640" t="s">
        <v>32606</v>
      </c>
      <c r="G15640" t="s">
        <v>32613</v>
      </c>
      <c r="H15640" t="s">
        <v>14201</v>
      </c>
      <c r="I15640" t="s">
        <v>13131</v>
      </c>
      <c r="J15640" t="s">
        <v>42449</v>
      </c>
      <c r="K15640" t="s">
        <v>42630</v>
      </c>
      <c r="M15640" t="s">
        <v>43264</v>
      </c>
      <c r="N15640" t="s">
        <v>47304</v>
      </c>
      <c r="O15640" t="s">
        <v>47305</v>
      </c>
      <c r="P15640">
        <v>0</v>
      </c>
      <c r="Q15640">
        <v>7</v>
      </c>
      <c r="R15640" t="s">
        <v>47328</v>
      </c>
      <c r="S15640" t="s">
        <v>48467</v>
      </c>
      <c r="T15640" t="s">
        <v>49347</v>
      </c>
      <c r="U15640" t="s">
        <v>58248</v>
      </c>
      <c r="V15640" t="s">
        <v>64383</v>
      </c>
      <c r="W15640" t="s">
        <v>43264</v>
      </c>
      <c r="X15640" t="s">
        <v>47329</v>
      </c>
    </row>
    <row r="15641" spans="1:24">
      <c r="A15641">
        <f>HYPERLINK("https://www.philgeps.gov.ph/GEPSNONPILOT/Tender/SplashBidNoticeAbstractUI.aspx?menuIndex=3&amp;refID=7149599&amp;Result=3","7149599")</f>
        <v>0</v>
      </c>
      <c r="B15641" t="s">
        <v>3896</v>
      </c>
      <c r="C15641" t="s">
        <v>18689</v>
      </c>
      <c r="D15641" t="s">
        <v>18989</v>
      </c>
      <c r="E15641" t="s">
        <v>32330</v>
      </c>
      <c r="F15641" t="s">
        <v>32606</v>
      </c>
      <c r="G15641" t="s">
        <v>32613</v>
      </c>
      <c r="H15641" t="s">
        <v>14201</v>
      </c>
      <c r="I15641" t="s">
        <v>7064</v>
      </c>
      <c r="J15641" t="s">
        <v>33231</v>
      </c>
      <c r="K15641" t="s">
        <v>42624</v>
      </c>
      <c r="M15641" t="s">
        <v>47271</v>
      </c>
      <c r="N15641" t="s">
        <v>47304</v>
      </c>
      <c r="O15641" t="s">
        <v>47305</v>
      </c>
      <c r="P15641">
        <v>0</v>
      </c>
      <c r="Q15641">
        <v>4</v>
      </c>
      <c r="R15641" t="s">
        <v>47328</v>
      </c>
      <c r="S15641" t="s">
        <v>48467</v>
      </c>
      <c r="T15641" t="s">
        <v>48998</v>
      </c>
      <c r="U15641" t="s">
        <v>62414</v>
      </c>
      <c r="W15641" t="s">
        <v>47271</v>
      </c>
      <c r="X15641" t="s">
        <v>47329</v>
      </c>
    </row>
    <row r="15642" spans="1:24">
      <c r="A15642">
        <f>HYPERLINK("https://www.philgeps.gov.ph/GEPSNONPILOT/Tender/SplashBidNoticeAbstractUI.aspx?menuIndex=3&amp;refID=7149588&amp;Result=3","7149588")</f>
        <v>0</v>
      </c>
      <c r="B15642" t="s">
        <v>1893</v>
      </c>
      <c r="C15642" t="s">
        <v>18690</v>
      </c>
      <c r="D15642" t="s">
        <v>18998</v>
      </c>
      <c r="E15642" t="s">
        <v>32331</v>
      </c>
      <c r="F15642" t="s">
        <v>32606</v>
      </c>
      <c r="G15642" t="s">
        <v>32613</v>
      </c>
      <c r="H15642" t="s">
        <v>14201</v>
      </c>
      <c r="I15642" t="s">
        <v>4112</v>
      </c>
      <c r="J15642" t="s">
        <v>42450</v>
      </c>
      <c r="K15642" t="s">
        <v>42624</v>
      </c>
      <c r="M15642" t="s">
        <v>47214</v>
      </c>
      <c r="N15642" t="s">
        <v>47304</v>
      </c>
      <c r="O15642" t="s">
        <v>47305</v>
      </c>
      <c r="Q15642">
        <v>3</v>
      </c>
      <c r="R15642" t="s">
        <v>47328</v>
      </c>
      <c r="S15642" t="s">
        <v>48750</v>
      </c>
      <c r="T15642" t="s">
        <v>49101</v>
      </c>
      <c r="U15642" t="s">
        <v>62415</v>
      </c>
      <c r="W15642" t="s">
        <v>47214</v>
      </c>
      <c r="X15642" t="s">
        <v>47329</v>
      </c>
    </row>
    <row r="15643" spans="1:24">
      <c r="A15643">
        <f>HYPERLINK("https://www.philgeps.gov.ph/GEPSNONPILOT/Tender/SplashBidNoticeAbstractUI.aspx?menuIndex=3&amp;refID=7149552&amp;Result=3","7149552")</f>
        <v>0</v>
      </c>
      <c r="B15643" t="s">
        <v>696</v>
      </c>
      <c r="C15643" t="s">
        <v>18691</v>
      </c>
      <c r="D15643" t="s">
        <v>18993</v>
      </c>
      <c r="E15643" t="s">
        <v>32332</v>
      </c>
      <c r="F15643" t="s">
        <v>32606</v>
      </c>
      <c r="G15643" t="s">
        <v>32617</v>
      </c>
      <c r="H15643" t="s">
        <v>14201</v>
      </c>
      <c r="I15643" t="s">
        <v>4120</v>
      </c>
      <c r="J15643" t="s">
        <v>33526</v>
      </c>
      <c r="K15643" t="s">
        <v>42627</v>
      </c>
      <c r="M15643" t="s">
        <v>45418</v>
      </c>
      <c r="N15643" t="s">
        <v>47304</v>
      </c>
      <c r="O15643" t="s">
        <v>47305</v>
      </c>
      <c r="Q15643">
        <v>4</v>
      </c>
      <c r="R15643" t="s">
        <v>47328</v>
      </c>
      <c r="S15643" t="s">
        <v>48409</v>
      </c>
      <c r="T15643" t="s">
        <v>49017</v>
      </c>
      <c r="U15643" t="s">
        <v>50770</v>
      </c>
      <c r="V15643" t="s">
        <v>63666</v>
      </c>
      <c r="W15643" t="s">
        <v>45418</v>
      </c>
      <c r="X15643" t="s">
        <v>47329</v>
      </c>
    </row>
    <row r="15644" spans="1:24">
      <c r="A15644">
        <f>HYPERLINK("https://www.philgeps.gov.ph/GEPSNONPILOT/Tender/SplashBidNoticeAbstractUI.aspx?menuIndex=3&amp;refID=7155124&amp;Result=3","7155124")</f>
        <v>0</v>
      </c>
      <c r="B15644" t="s">
        <v>3897</v>
      </c>
      <c r="C15644" t="s">
        <v>18692</v>
      </c>
      <c r="D15644" t="s">
        <v>19007</v>
      </c>
      <c r="E15644" t="s">
        <v>21521</v>
      </c>
      <c r="F15644" t="s">
        <v>32606</v>
      </c>
      <c r="G15644" t="s">
        <v>32613</v>
      </c>
      <c r="H15644" t="s">
        <v>32623</v>
      </c>
      <c r="I15644" t="s">
        <v>17648</v>
      </c>
      <c r="J15644" t="s">
        <v>32781</v>
      </c>
      <c r="K15644" t="s">
        <v>42623</v>
      </c>
      <c r="M15644" t="s">
        <v>47272</v>
      </c>
      <c r="N15644" t="s">
        <v>47304</v>
      </c>
      <c r="O15644" t="s">
        <v>47305</v>
      </c>
      <c r="P15644">
        <v>0</v>
      </c>
      <c r="Q15644">
        <v>0</v>
      </c>
      <c r="R15644" t="s">
        <v>47327</v>
      </c>
      <c r="S15644" t="s">
        <v>48437</v>
      </c>
      <c r="T15644" t="s">
        <v>49068</v>
      </c>
      <c r="U15644" t="s">
        <v>62416</v>
      </c>
      <c r="W15644" t="s">
        <v>47272</v>
      </c>
      <c r="X15644" t="s">
        <v>47328</v>
      </c>
    </row>
    <row r="15645" spans="1:24">
      <c r="A15645">
        <f>HYPERLINK("https://www.philgeps.gov.ph/GEPSNONPILOT/Tender/SplashBidNoticeAbstractUI.aspx?menuIndex=3&amp;refID=7149567&amp;Result=3","7149567")</f>
        <v>0</v>
      </c>
      <c r="B15645" t="s">
        <v>696</v>
      </c>
      <c r="C15645" t="s">
        <v>18693</v>
      </c>
      <c r="D15645" t="s">
        <v>18993</v>
      </c>
      <c r="E15645" t="s">
        <v>32333</v>
      </c>
      <c r="F15645" t="s">
        <v>32606</v>
      </c>
      <c r="G15645" t="s">
        <v>32617</v>
      </c>
      <c r="H15645" t="s">
        <v>14201</v>
      </c>
      <c r="I15645" t="s">
        <v>4120</v>
      </c>
      <c r="J15645" t="s">
        <v>32963</v>
      </c>
      <c r="K15645" t="s">
        <v>42627</v>
      </c>
      <c r="M15645" t="s">
        <v>45418</v>
      </c>
      <c r="N15645" t="s">
        <v>47304</v>
      </c>
      <c r="O15645" t="s">
        <v>47305</v>
      </c>
      <c r="Q15645">
        <v>9</v>
      </c>
      <c r="R15645" t="s">
        <v>47328</v>
      </c>
      <c r="S15645" t="s">
        <v>48751</v>
      </c>
      <c r="T15645" t="s">
        <v>49017</v>
      </c>
      <c r="U15645" t="s">
        <v>50770</v>
      </c>
      <c r="V15645" t="s">
        <v>63666</v>
      </c>
      <c r="W15645" t="s">
        <v>45418</v>
      </c>
      <c r="X15645" t="s">
        <v>47329</v>
      </c>
    </row>
    <row r="15646" spans="1:24">
      <c r="A15646">
        <f>HYPERLINK("https://www.philgeps.gov.ph/GEPSNONPILOT/Tender/SplashBidNoticeAbstractUI.aspx?menuIndex=3&amp;refID=7150720&amp;Result=3","7150720")</f>
        <v>0</v>
      </c>
      <c r="B15646" t="s">
        <v>2326</v>
      </c>
      <c r="C15646" t="s">
        <v>18694</v>
      </c>
      <c r="E15646" t="s">
        <v>32334</v>
      </c>
      <c r="F15646" t="s">
        <v>32606</v>
      </c>
      <c r="G15646" t="s">
        <v>32613</v>
      </c>
      <c r="H15646" t="s">
        <v>32623</v>
      </c>
      <c r="I15646" t="s">
        <v>17648</v>
      </c>
      <c r="J15646" t="s">
        <v>42451</v>
      </c>
      <c r="K15646" t="s">
        <v>42624</v>
      </c>
      <c r="M15646" t="s">
        <v>47217</v>
      </c>
      <c r="N15646" t="s">
        <v>47304</v>
      </c>
      <c r="O15646" t="s">
        <v>47305</v>
      </c>
      <c r="P15646">
        <v>0</v>
      </c>
      <c r="Q15646">
        <v>3</v>
      </c>
      <c r="R15646" t="s">
        <v>47328</v>
      </c>
      <c r="S15646" t="s">
        <v>48467</v>
      </c>
      <c r="T15646" t="s">
        <v>49012</v>
      </c>
      <c r="U15646" t="s">
        <v>62417</v>
      </c>
      <c r="W15646" t="s">
        <v>47217</v>
      </c>
      <c r="X15646" t="s">
        <v>47329</v>
      </c>
    </row>
    <row r="15647" spans="1:24">
      <c r="A15647">
        <f>HYPERLINK("https://www.philgeps.gov.ph/GEPSNONPILOT/Tender/SplashBidNoticeAbstractUI.aspx?menuIndex=3&amp;refID=7155117&amp;Result=3","7155117")</f>
        <v>0</v>
      </c>
      <c r="B15647" t="s">
        <v>3898</v>
      </c>
      <c r="C15647" t="s">
        <v>18695</v>
      </c>
      <c r="D15647" t="s">
        <v>19007</v>
      </c>
      <c r="E15647" t="s">
        <v>21521</v>
      </c>
      <c r="F15647" t="s">
        <v>32606</v>
      </c>
      <c r="G15647" t="s">
        <v>32613</v>
      </c>
      <c r="H15647" t="s">
        <v>32623</v>
      </c>
      <c r="I15647" t="s">
        <v>6309</v>
      </c>
      <c r="J15647" t="s">
        <v>32999</v>
      </c>
      <c r="K15647" t="s">
        <v>42622</v>
      </c>
      <c r="M15647" t="s">
        <v>47273</v>
      </c>
      <c r="N15647" t="s">
        <v>47304</v>
      </c>
      <c r="O15647" t="s">
        <v>47305</v>
      </c>
      <c r="P15647">
        <v>0</v>
      </c>
      <c r="Q15647">
        <v>0</v>
      </c>
      <c r="R15647" t="s">
        <v>47327</v>
      </c>
      <c r="S15647" t="s">
        <v>48437</v>
      </c>
      <c r="T15647" t="s">
        <v>49068</v>
      </c>
      <c r="U15647" t="s">
        <v>62418</v>
      </c>
      <c r="W15647" t="s">
        <v>47273</v>
      </c>
      <c r="X15647" t="s">
        <v>47328</v>
      </c>
    </row>
    <row r="15648" spans="1:24">
      <c r="A15648">
        <f>HYPERLINK("https://www.philgeps.gov.ph/GEPSNONPILOT/Tender/SplashBidNoticeAbstractUI.aspx?menuIndex=3&amp;refID=7155102&amp;Result=3","7155102")</f>
        <v>0</v>
      </c>
      <c r="B15648" t="s">
        <v>3558</v>
      </c>
      <c r="C15648" t="s">
        <v>18696</v>
      </c>
      <c r="D15648" t="s">
        <v>19007</v>
      </c>
      <c r="E15648" t="s">
        <v>21521</v>
      </c>
      <c r="F15648" t="s">
        <v>32606</v>
      </c>
      <c r="G15648" t="s">
        <v>32613</v>
      </c>
      <c r="H15648" t="s">
        <v>32623</v>
      </c>
      <c r="I15648" t="s">
        <v>17648</v>
      </c>
      <c r="J15648" t="s">
        <v>42452</v>
      </c>
      <c r="K15648" t="s">
        <v>42631</v>
      </c>
      <c r="M15648" t="s">
        <v>46842</v>
      </c>
      <c r="N15648" t="s">
        <v>47304</v>
      </c>
      <c r="O15648" t="s">
        <v>47305</v>
      </c>
      <c r="P15648">
        <v>0</v>
      </c>
      <c r="Q15648">
        <v>0</v>
      </c>
      <c r="R15648" t="s">
        <v>47327</v>
      </c>
      <c r="S15648" t="s">
        <v>48437</v>
      </c>
      <c r="T15648" t="s">
        <v>49392</v>
      </c>
      <c r="U15648" t="s">
        <v>60149</v>
      </c>
      <c r="W15648" t="s">
        <v>46842</v>
      </c>
      <c r="X15648" t="s">
        <v>47328</v>
      </c>
    </row>
    <row r="15649" spans="1:24">
      <c r="A15649">
        <f>HYPERLINK("https://www.philgeps.gov.ph/GEPSNONPILOT/Tender/SplashBidNoticeAbstractUI.aspx?menuIndex=3&amp;refID=7155097&amp;Result=3","7155097")</f>
        <v>0</v>
      </c>
      <c r="B15649" t="s">
        <v>1119</v>
      </c>
      <c r="C15649" t="s">
        <v>18697</v>
      </c>
      <c r="D15649" t="s">
        <v>19002</v>
      </c>
      <c r="E15649" t="s">
        <v>32335</v>
      </c>
      <c r="F15649" t="s">
        <v>32606</v>
      </c>
      <c r="G15649" t="s">
        <v>32613</v>
      </c>
      <c r="H15649" t="s">
        <v>32623</v>
      </c>
      <c r="I15649" t="s">
        <v>17648</v>
      </c>
      <c r="J15649" t="s">
        <v>42453</v>
      </c>
      <c r="K15649" t="s">
        <v>42824</v>
      </c>
      <c r="M15649" t="s">
        <v>44081</v>
      </c>
      <c r="N15649" t="s">
        <v>47304</v>
      </c>
      <c r="O15649" t="s">
        <v>47305</v>
      </c>
      <c r="P15649">
        <v>0</v>
      </c>
      <c r="Q15649">
        <v>1</v>
      </c>
      <c r="R15649" t="s">
        <v>47327</v>
      </c>
      <c r="S15649" t="s">
        <v>48437</v>
      </c>
      <c r="T15649" t="s">
        <v>49315</v>
      </c>
      <c r="U15649" t="s">
        <v>62419</v>
      </c>
      <c r="W15649" t="s">
        <v>64534</v>
      </c>
      <c r="X15649" t="s">
        <v>47328</v>
      </c>
    </row>
    <row r="15650" spans="1:24">
      <c r="A15650">
        <f>HYPERLINK("https://www.philgeps.gov.ph/GEPSNONPILOT/Tender/SplashBidNoticeAbstractUI.aspx?menuIndex=3&amp;refID=7155035&amp;Result=3","7155035")</f>
        <v>0</v>
      </c>
      <c r="B15650" t="s">
        <v>1278</v>
      </c>
      <c r="C15650" t="s">
        <v>18698</v>
      </c>
      <c r="E15650" t="s">
        <v>32336</v>
      </c>
      <c r="F15650" t="s">
        <v>32606</v>
      </c>
      <c r="G15650" t="s">
        <v>32613</v>
      </c>
      <c r="H15650" t="s">
        <v>14201</v>
      </c>
      <c r="I15650" t="s">
        <v>32652</v>
      </c>
      <c r="J15650" t="s">
        <v>32861</v>
      </c>
      <c r="K15650" t="s">
        <v>42624</v>
      </c>
      <c r="M15650" t="s">
        <v>44248</v>
      </c>
      <c r="N15650" t="s">
        <v>47304</v>
      </c>
      <c r="O15650" t="s">
        <v>47305</v>
      </c>
      <c r="Q15650">
        <v>9</v>
      </c>
      <c r="R15650" t="s">
        <v>47327</v>
      </c>
      <c r="S15650" t="s">
        <v>48752</v>
      </c>
      <c r="T15650" t="s">
        <v>49268</v>
      </c>
      <c r="U15650" t="s">
        <v>62420</v>
      </c>
      <c r="W15650" t="s">
        <v>44248</v>
      </c>
      <c r="X15650" t="s">
        <v>47328</v>
      </c>
    </row>
    <row r="15651" spans="1:24">
      <c r="A15651">
        <f>HYPERLINK("https://www.philgeps.gov.ph/GEPSNONPILOT/Tender/SplashBidNoticeAbstractUI.aspx?menuIndex=3&amp;refID=7154845&amp;Result=3","7154845")</f>
        <v>0</v>
      </c>
      <c r="B15651" t="s">
        <v>3633</v>
      </c>
      <c r="C15651" t="s">
        <v>18699</v>
      </c>
      <c r="D15651" t="s">
        <v>18992</v>
      </c>
      <c r="E15651" t="s">
        <v>32337</v>
      </c>
      <c r="F15651" t="s">
        <v>32606</v>
      </c>
      <c r="G15651" t="s">
        <v>32613</v>
      </c>
      <c r="H15651" t="s">
        <v>14201</v>
      </c>
      <c r="I15651" t="s">
        <v>32646</v>
      </c>
      <c r="J15651" t="s">
        <v>32799</v>
      </c>
      <c r="K15651" t="s">
        <v>42631</v>
      </c>
      <c r="M15651" t="s">
        <v>46931</v>
      </c>
      <c r="N15651" t="s">
        <v>47304</v>
      </c>
      <c r="O15651" t="s">
        <v>47305</v>
      </c>
      <c r="P15651">
        <v>0</v>
      </c>
      <c r="Q15651">
        <v>2</v>
      </c>
      <c r="R15651" t="s">
        <v>47327</v>
      </c>
      <c r="S15651" t="s">
        <v>48437</v>
      </c>
      <c r="T15651" t="s">
        <v>49018</v>
      </c>
      <c r="U15651" t="s">
        <v>62421</v>
      </c>
      <c r="W15651" t="s">
        <v>46931</v>
      </c>
      <c r="X15651" t="s">
        <v>47328</v>
      </c>
    </row>
    <row r="15652" spans="1:24">
      <c r="A15652">
        <f>HYPERLINK("https://www.philgeps.gov.ph/GEPSNONPILOT/Tender/SplashBidNoticeAbstractUI.aspx?menuIndex=3&amp;refID=7150338&amp;Result=3","7150338")</f>
        <v>0</v>
      </c>
      <c r="B15652" t="s">
        <v>703</v>
      </c>
      <c r="C15652" t="s">
        <v>18700</v>
      </c>
      <c r="D15652" t="s">
        <v>18992</v>
      </c>
      <c r="E15652" t="s">
        <v>32338</v>
      </c>
      <c r="F15652" t="s">
        <v>32606</v>
      </c>
      <c r="G15652" t="s">
        <v>32613</v>
      </c>
      <c r="H15652" t="s">
        <v>14201</v>
      </c>
      <c r="I15652" t="s">
        <v>32640</v>
      </c>
      <c r="J15652" t="s">
        <v>42454</v>
      </c>
      <c r="K15652" t="s">
        <v>42694</v>
      </c>
      <c r="M15652" t="s">
        <v>43624</v>
      </c>
      <c r="N15652" t="s">
        <v>47304</v>
      </c>
      <c r="O15652" t="s">
        <v>47305</v>
      </c>
      <c r="P15652">
        <v>0</v>
      </c>
      <c r="Q15652">
        <v>1</v>
      </c>
      <c r="R15652" t="s">
        <v>47328</v>
      </c>
      <c r="S15652" t="s">
        <v>48467</v>
      </c>
      <c r="T15652" t="s">
        <v>49347</v>
      </c>
      <c r="U15652" t="s">
        <v>62422</v>
      </c>
      <c r="V15652" t="s">
        <v>64384</v>
      </c>
      <c r="W15652" t="s">
        <v>43624</v>
      </c>
      <c r="X15652" t="s">
        <v>47329</v>
      </c>
    </row>
    <row r="15653" spans="1:24">
      <c r="A15653">
        <f>HYPERLINK("https://www.philgeps.gov.ph/GEPSNONPILOT/Tender/SplashBidNoticeAbstractUI.aspx?menuIndex=3&amp;refID=7154824&amp;Result=3","7154824")</f>
        <v>0</v>
      </c>
      <c r="B15653" t="s">
        <v>2126</v>
      </c>
      <c r="C15653" t="s">
        <v>18701</v>
      </c>
      <c r="D15653" t="s">
        <v>19094</v>
      </c>
      <c r="E15653" t="s">
        <v>32339</v>
      </c>
      <c r="F15653" t="s">
        <v>32606</v>
      </c>
      <c r="G15653" t="s">
        <v>32613</v>
      </c>
      <c r="H15653" t="s">
        <v>14201</v>
      </c>
      <c r="I15653" t="s">
        <v>32654</v>
      </c>
      <c r="J15653" t="s">
        <v>42455</v>
      </c>
      <c r="K15653" t="s">
        <v>42639</v>
      </c>
      <c r="M15653" t="s">
        <v>47208</v>
      </c>
      <c r="N15653" t="s">
        <v>47304</v>
      </c>
      <c r="O15653" t="s">
        <v>47305</v>
      </c>
      <c r="Q15653">
        <v>6</v>
      </c>
      <c r="R15653" t="s">
        <v>47327</v>
      </c>
      <c r="S15653" t="s">
        <v>48753</v>
      </c>
      <c r="T15653" t="s">
        <v>49071</v>
      </c>
      <c r="U15653" t="s">
        <v>62423</v>
      </c>
      <c r="W15653" t="s">
        <v>47208</v>
      </c>
      <c r="X15653" t="s">
        <v>47328</v>
      </c>
    </row>
    <row r="15654" spans="1:24">
      <c r="A15654">
        <f>HYPERLINK("https://www.philgeps.gov.ph/GEPSNONPILOT/Tender/SplashBidNoticeAbstractUI.aspx?menuIndex=3&amp;refID=7154828&amp;Result=3","7154828")</f>
        <v>0</v>
      </c>
      <c r="B15654" t="s">
        <v>3633</v>
      </c>
      <c r="C15654" t="s">
        <v>18702</v>
      </c>
      <c r="D15654" t="s">
        <v>18992</v>
      </c>
      <c r="E15654" t="s">
        <v>32340</v>
      </c>
      <c r="F15654" t="s">
        <v>32606</v>
      </c>
      <c r="G15654" t="s">
        <v>32613</v>
      </c>
      <c r="H15654" t="s">
        <v>14201</v>
      </c>
      <c r="I15654" t="s">
        <v>32640</v>
      </c>
      <c r="J15654" t="s">
        <v>35579</v>
      </c>
      <c r="K15654" t="s">
        <v>42631</v>
      </c>
      <c r="M15654" t="s">
        <v>46931</v>
      </c>
      <c r="N15654" t="s">
        <v>47304</v>
      </c>
      <c r="O15654" t="s">
        <v>47305</v>
      </c>
      <c r="Q15654">
        <v>4</v>
      </c>
      <c r="R15654" t="s">
        <v>47327</v>
      </c>
      <c r="S15654" t="s">
        <v>48754</v>
      </c>
      <c r="T15654" t="s">
        <v>49002</v>
      </c>
      <c r="U15654" t="s">
        <v>62424</v>
      </c>
      <c r="W15654" t="s">
        <v>46931</v>
      </c>
      <c r="X15654" t="s">
        <v>47328</v>
      </c>
    </row>
    <row r="15655" spans="1:24">
      <c r="A15655">
        <f>HYPERLINK("https://www.philgeps.gov.ph/GEPSNONPILOT/Tender/SplashBidNoticeAbstractUI.aspx?menuIndex=3&amp;refID=7154792&amp;Result=3","7154792")</f>
        <v>0</v>
      </c>
      <c r="B15655" t="s">
        <v>132</v>
      </c>
      <c r="C15655" t="s">
        <v>18703</v>
      </c>
      <c r="D15655" t="s">
        <v>18993</v>
      </c>
      <c r="E15655" t="s">
        <v>32341</v>
      </c>
      <c r="F15655" t="s">
        <v>32606</v>
      </c>
      <c r="G15655" t="s">
        <v>32613</v>
      </c>
      <c r="H15655" t="s">
        <v>14201</v>
      </c>
      <c r="I15655" t="s">
        <v>13131</v>
      </c>
      <c r="J15655" t="s">
        <v>42456</v>
      </c>
      <c r="K15655" t="s">
        <v>42624</v>
      </c>
      <c r="M15655" t="s">
        <v>47221</v>
      </c>
      <c r="N15655" t="s">
        <v>47304</v>
      </c>
      <c r="O15655" t="s">
        <v>47305</v>
      </c>
      <c r="Q15655">
        <v>30</v>
      </c>
      <c r="R15655" t="s">
        <v>47327</v>
      </c>
      <c r="S15655" t="s">
        <v>48755</v>
      </c>
      <c r="T15655" t="s">
        <v>49071</v>
      </c>
      <c r="U15655" t="s">
        <v>62425</v>
      </c>
      <c r="V15655" t="s">
        <v>62677</v>
      </c>
      <c r="W15655" t="s">
        <v>47221</v>
      </c>
      <c r="X15655" t="s">
        <v>47328</v>
      </c>
    </row>
    <row r="15656" spans="1:24">
      <c r="A15656">
        <f>HYPERLINK("https://www.philgeps.gov.ph/GEPSNONPILOT/Tender/SplashBidNoticeAbstractUI.aspx?menuIndex=3&amp;refID=7149971&amp;Result=3","7149971")</f>
        <v>0</v>
      </c>
      <c r="B15656" t="s">
        <v>696</v>
      </c>
      <c r="C15656" t="s">
        <v>18704</v>
      </c>
      <c r="D15656" t="s">
        <v>18993</v>
      </c>
      <c r="E15656" t="s">
        <v>32342</v>
      </c>
      <c r="F15656" t="s">
        <v>32606</v>
      </c>
      <c r="G15656" t="s">
        <v>32617</v>
      </c>
      <c r="H15656" t="s">
        <v>14201</v>
      </c>
      <c r="I15656" t="s">
        <v>6993</v>
      </c>
      <c r="J15656" t="s">
        <v>35570</v>
      </c>
      <c r="K15656" t="s">
        <v>42623</v>
      </c>
      <c r="M15656" t="s">
        <v>45418</v>
      </c>
      <c r="N15656" t="s">
        <v>47304</v>
      </c>
      <c r="O15656" t="s">
        <v>47305</v>
      </c>
      <c r="Q15656">
        <v>6</v>
      </c>
      <c r="R15656" t="s">
        <v>47328</v>
      </c>
      <c r="S15656" t="s">
        <v>48756</v>
      </c>
      <c r="T15656" t="s">
        <v>49081</v>
      </c>
      <c r="U15656" t="s">
        <v>50770</v>
      </c>
      <c r="V15656" t="s">
        <v>64144</v>
      </c>
      <c r="W15656" t="s">
        <v>45418</v>
      </c>
      <c r="X15656" t="s">
        <v>47329</v>
      </c>
    </row>
    <row r="15657" spans="1:24">
      <c r="A15657">
        <f>HYPERLINK("https://www.philgeps.gov.ph/GEPSNONPILOT/Tender/SplashBidNoticeAbstractUI.aspx?menuIndex=3&amp;refID=7158436&amp;Result=3","7158436")</f>
        <v>0</v>
      </c>
      <c r="B15657" t="s">
        <v>3244</v>
      </c>
      <c r="C15657" t="s">
        <v>18705</v>
      </c>
      <c r="E15657" t="s">
        <v>32343</v>
      </c>
      <c r="F15657" t="s">
        <v>32606</v>
      </c>
      <c r="G15657" t="s">
        <v>32613</v>
      </c>
      <c r="H15657" t="s">
        <v>14201</v>
      </c>
      <c r="I15657" t="s">
        <v>32748</v>
      </c>
      <c r="J15657" t="s">
        <v>42457</v>
      </c>
      <c r="K15657" t="s">
        <v>42624</v>
      </c>
      <c r="M15657" t="s">
        <v>46477</v>
      </c>
      <c r="N15657" t="s">
        <v>47304</v>
      </c>
      <c r="O15657" t="s">
        <v>47305</v>
      </c>
      <c r="Q15657">
        <v>11</v>
      </c>
      <c r="R15657" t="s">
        <v>47326</v>
      </c>
      <c r="S15657" t="s">
        <v>48757</v>
      </c>
      <c r="T15657" t="s">
        <v>49335</v>
      </c>
      <c r="U15657" t="s">
        <v>58699</v>
      </c>
      <c r="W15657" t="s">
        <v>46477</v>
      </c>
      <c r="X15657" t="s">
        <v>47327</v>
      </c>
    </row>
    <row r="15658" spans="1:24">
      <c r="A15658">
        <f>HYPERLINK("https://www.philgeps.gov.ph/GEPSNONPILOT/Tender/SplashBidNoticeAbstractUI.aspx?menuIndex=3&amp;refID=7149933&amp;Result=3","7149933")</f>
        <v>0</v>
      </c>
      <c r="B15658" t="s">
        <v>3899</v>
      </c>
      <c r="C15658" t="s">
        <v>18706</v>
      </c>
      <c r="D15658" t="s">
        <v>19012</v>
      </c>
      <c r="E15658" t="s">
        <v>32344</v>
      </c>
      <c r="F15658" t="s">
        <v>32606</v>
      </c>
      <c r="G15658" t="s">
        <v>32613</v>
      </c>
      <c r="H15658" t="s">
        <v>14201</v>
      </c>
      <c r="I15658" t="s">
        <v>32693</v>
      </c>
      <c r="J15658" t="s">
        <v>32799</v>
      </c>
      <c r="K15658" t="s">
        <v>42749</v>
      </c>
      <c r="M15658" t="s">
        <v>47274</v>
      </c>
      <c r="N15658" t="s">
        <v>47304</v>
      </c>
      <c r="O15658" t="s">
        <v>47305</v>
      </c>
      <c r="P15658">
        <v>0</v>
      </c>
      <c r="Q15658">
        <v>4</v>
      </c>
      <c r="R15658" t="s">
        <v>47328</v>
      </c>
      <c r="S15658" t="s">
        <v>48467</v>
      </c>
      <c r="T15658" t="s">
        <v>48996</v>
      </c>
      <c r="U15658" t="s">
        <v>62426</v>
      </c>
      <c r="W15658" t="s">
        <v>47274</v>
      </c>
      <c r="X15658" t="s">
        <v>47329</v>
      </c>
    </row>
    <row r="15659" spans="1:24">
      <c r="A15659">
        <f>HYPERLINK("https://www.philgeps.gov.ph/GEPSNONPILOT/Tender/SplashBidNoticeAbstractUI.aspx?menuIndex=3&amp;refID=7156416&amp;Result=3","7156416")</f>
        <v>0</v>
      </c>
      <c r="B15659" t="s">
        <v>2291</v>
      </c>
      <c r="C15659" t="s">
        <v>18707</v>
      </c>
      <c r="D15659" t="s">
        <v>19028</v>
      </c>
      <c r="E15659" t="s">
        <v>32345</v>
      </c>
      <c r="F15659" t="s">
        <v>32606</v>
      </c>
      <c r="G15659" t="s">
        <v>32613</v>
      </c>
      <c r="H15659" t="s">
        <v>14201</v>
      </c>
      <c r="I15659" t="s">
        <v>32650</v>
      </c>
      <c r="J15659" t="s">
        <v>42458</v>
      </c>
      <c r="K15659" t="s">
        <v>42624</v>
      </c>
      <c r="M15659" t="s">
        <v>47184</v>
      </c>
      <c r="N15659" t="s">
        <v>47304</v>
      </c>
      <c r="O15659" t="s">
        <v>47305</v>
      </c>
      <c r="Q15659">
        <v>5</v>
      </c>
      <c r="R15659" t="s">
        <v>47326</v>
      </c>
      <c r="S15659" t="s">
        <v>48758</v>
      </c>
      <c r="T15659" t="s">
        <v>49018</v>
      </c>
      <c r="U15659" t="s">
        <v>62427</v>
      </c>
      <c r="V15659" t="s">
        <v>63727</v>
      </c>
      <c r="W15659" t="s">
        <v>47184</v>
      </c>
      <c r="X15659" t="s">
        <v>47327</v>
      </c>
    </row>
    <row r="15660" spans="1:24">
      <c r="A15660">
        <f>HYPERLINK("https://www.philgeps.gov.ph/GEPSNONPILOT/Tender/SplashBidNoticeAbstractUI.aspx?menuIndex=3&amp;refID=7154814&amp;Result=3","7154814")</f>
        <v>0</v>
      </c>
      <c r="B15660" t="s">
        <v>1072</v>
      </c>
      <c r="C15660" t="s">
        <v>18708</v>
      </c>
      <c r="D15660" t="s">
        <v>19027</v>
      </c>
      <c r="E15660" t="s">
        <v>32346</v>
      </c>
      <c r="F15660" t="s">
        <v>32607</v>
      </c>
      <c r="G15660" t="s">
        <v>32614</v>
      </c>
      <c r="H15660" t="s">
        <v>14201</v>
      </c>
      <c r="I15660" t="s">
        <v>32671</v>
      </c>
      <c r="J15660" t="s">
        <v>42459</v>
      </c>
      <c r="K15660" t="s">
        <v>42623</v>
      </c>
      <c r="M15660" t="s">
        <v>44025</v>
      </c>
      <c r="N15660" t="s">
        <v>47304</v>
      </c>
      <c r="O15660" t="s">
        <v>47305</v>
      </c>
      <c r="Q15660">
        <v>2</v>
      </c>
      <c r="R15660" t="s">
        <v>47327</v>
      </c>
      <c r="S15660" t="s">
        <v>48759</v>
      </c>
      <c r="T15660" t="s">
        <v>49108</v>
      </c>
      <c r="U15660" t="s">
        <v>53490</v>
      </c>
      <c r="W15660" t="s">
        <v>44025</v>
      </c>
      <c r="X15660" t="s">
        <v>47328</v>
      </c>
    </row>
    <row r="15661" spans="1:24">
      <c r="A15661">
        <f>HYPERLINK("https://www.philgeps.gov.ph/GEPSNONPILOT/Tender/SplashBidNoticeAbstractUI.aspx?menuIndex=3&amp;refID=7150738&amp;Result=3","7150738")</f>
        <v>0</v>
      </c>
      <c r="B15661" t="s">
        <v>2326</v>
      </c>
      <c r="C15661" t="s">
        <v>18709</v>
      </c>
      <c r="E15661" t="s">
        <v>32347</v>
      </c>
      <c r="F15661" t="s">
        <v>32606</v>
      </c>
      <c r="G15661" t="s">
        <v>32613</v>
      </c>
      <c r="H15661" t="s">
        <v>32623</v>
      </c>
      <c r="I15661" t="s">
        <v>17648</v>
      </c>
      <c r="J15661" t="s">
        <v>42460</v>
      </c>
      <c r="K15661" t="s">
        <v>42624</v>
      </c>
      <c r="M15661" t="s">
        <v>47217</v>
      </c>
      <c r="N15661" t="s">
        <v>47304</v>
      </c>
      <c r="O15661" t="s">
        <v>47305</v>
      </c>
      <c r="P15661">
        <v>0</v>
      </c>
      <c r="Q15661">
        <v>2</v>
      </c>
      <c r="R15661" t="s">
        <v>47328</v>
      </c>
      <c r="S15661" t="s">
        <v>48467</v>
      </c>
      <c r="T15661" t="s">
        <v>49012</v>
      </c>
      <c r="U15661" t="s">
        <v>62428</v>
      </c>
      <c r="W15661" t="s">
        <v>47217</v>
      </c>
      <c r="X15661" t="s">
        <v>47329</v>
      </c>
    </row>
    <row r="15662" spans="1:24">
      <c r="A15662">
        <f>HYPERLINK("https://www.philgeps.gov.ph/GEPSNONPILOT/Tender/SplashBidNoticeAbstractUI.aspx?menuIndex=3&amp;refID=7158430&amp;Result=3","7158430")</f>
        <v>0</v>
      </c>
      <c r="B15662" t="s">
        <v>3244</v>
      </c>
      <c r="C15662" t="s">
        <v>18710</v>
      </c>
      <c r="E15662" t="s">
        <v>32348</v>
      </c>
      <c r="F15662" t="s">
        <v>32606</v>
      </c>
      <c r="G15662" t="s">
        <v>32613</v>
      </c>
      <c r="H15662" t="s">
        <v>14201</v>
      </c>
      <c r="I15662" t="s">
        <v>32748</v>
      </c>
      <c r="J15662" t="s">
        <v>42461</v>
      </c>
      <c r="K15662" t="s">
        <v>42624</v>
      </c>
      <c r="M15662" t="s">
        <v>46477</v>
      </c>
      <c r="N15662" t="s">
        <v>47304</v>
      </c>
      <c r="O15662" t="s">
        <v>47305</v>
      </c>
      <c r="Q15662">
        <v>11</v>
      </c>
      <c r="R15662" t="s">
        <v>47326</v>
      </c>
      <c r="S15662" t="s">
        <v>48760</v>
      </c>
      <c r="T15662" t="s">
        <v>49335</v>
      </c>
      <c r="U15662" t="s">
        <v>58699</v>
      </c>
      <c r="W15662" t="s">
        <v>46477</v>
      </c>
      <c r="X15662" t="s">
        <v>47327</v>
      </c>
    </row>
    <row r="15663" spans="1:24">
      <c r="A15663">
        <f>HYPERLINK("https://www.philgeps.gov.ph/GEPSNONPILOT/Tender/SplashBidNoticeAbstractUI.aspx?menuIndex=3&amp;refID=7155108&amp;Result=3","7155108")</f>
        <v>0</v>
      </c>
      <c r="B15663" t="s">
        <v>1119</v>
      </c>
      <c r="C15663" t="s">
        <v>18711</v>
      </c>
      <c r="D15663" t="s">
        <v>19002</v>
      </c>
      <c r="E15663" t="s">
        <v>32349</v>
      </c>
      <c r="F15663" t="s">
        <v>32606</v>
      </c>
      <c r="G15663" t="s">
        <v>32613</v>
      </c>
      <c r="H15663" t="s">
        <v>32623</v>
      </c>
      <c r="I15663" t="s">
        <v>17648</v>
      </c>
      <c r="J15663" t="s">
        <v>42462</v>
      </c>
      <c r="K15663" t="s">
        <v>42835</v>
      </c>
      <c r="M15663" t="s">
        <v>44081</v>
      </c>
      <c r="N15663" t="s">
        <v>47304</v>
      </c>
      <c r="O15663" t="s">
        <v>47305</v>
      </c>
      <c r="P15663">
        <v>0</v>
      </c>
      <c r="Q15663">
        <v>1</v>
      </c>
      <c r="R15663" t="s">
        <v>47327</v>
      </c>
      <c r="S15663" t="s">
        <v>48437</v>
      </c>
      <c r="T15663" t="s">
        <v>49315</v>
      </c>
      <c r="U15663" t="s">
        <v>62429</v>
      </c>
      <c r="W15663" t="s">
        <v>64534</v>
      </c>
      <c r="X15663" t="s">
        <v>47328</v>
      </c>
    </row>
    <row r="15664" spans="1:24">
      <c r="A15664">
        <f>HYPERLINK("https://www.philgeps.gov.ph/GEPSNONPILOT/Tender/SplashBidNoticeAbstractUI.aspx?menuIndex=3&amp;refID=7156325&amp;Result=3","7156325")</f>
        <v>0</v>
      </c>
      <c r="B15664" t="s">
        <v>1664</v>
      </c>
      <c r="C15664" t="s">
        <v>18712</v>
      </c>
      <c r="D15664" t="s">
        <v>19067</v>
      </c>
      <c r="E15664" t="s">
        <v>32350</v>
      </c>
      <c r="F15664" t="s">
        <v>32606</v>
      </c>
      <c r="G15664" t="s">
        <v>32613</v>
      </c>
      <c r="H15664" t="s">
        <v>14201</v>
      </c>
      <c r="I15664" t="s">
        <v>4120</v>
      </c>
      <c r="J15664" t="s">
        <v>42463</v>
      </c>
      <c r="K15664" t="s">
        <v>42631</v>
      </c>
      <c r="M15664" t="s">
        <v>47175</v>
      </c>
      <c r="N15664" t="s">
        <v>47304</v>
      </c>
      <c r="O15664" t="s">
        <v>47305</v>
      </c>
      <c r="Q15664">
        <v>3</v>
      </c>
      <c r="R15664" t="s">
        <v>47326</v>
      </c>
      <c r="S15664" t="s">
        <v>48761</v>
      </c>
      <c r="T15664" t="s">
        <v>49071</v>
      </c>
      <c r="U15664" t="s">
        <v>61825</v>
      </c>
      <c r="W15664" t="s">
        <v>47175</v>
      </c>
      <c r="X15664" t="s">
        <v>47327</v>
      </c>
    </row>
    <row r="15665" spans="1:24">
      <c r="A15665">
        <f>HYPERLINK("https://www.philgeps.gov.ph/GEPSNONPILOT/Tender/SplashBidNoticeAbstractUI.aspx?menuIndex=3&amp;refID=7156408&amp;Result=3","7156408")</f>
        <v>0</v>
      </c>
      <c r="B15665" t="s">
        <v>3900</v>
      </c>
      <c r="C15665" t="s">
        <v>9112</v>
      </c>
      <c r="D15665" t="s">
        <v>19004</v>
      </c>
      <c r="E15665" t="s">
        <v>20959</v>
      </c>
      <c r="F15665" t="s">
        <v>32606</v>
      </c>
      <c r="G15665" t="s">
        <v>32613</v>
      </c>
      <c r="H15665" t="s">
        <v>32623</v>
      </c>
      <c r="I15665" t="s">
        <v>32661</v>
      </c>
      <c r="J15665" t="s">
        <v>42464</v>
      </c>
      <c r="K15665" t="s">
        <v>42631</v>
      </c>
      <c r="M15665" t="s">
        <v>47275</v>
      </c>
      <c r="N15665" t="s">
        <v>47304</v>
      </c>
      <c r="O15665" t="s">
        <v>47305</v>
      </c>
      <c r="P15665">
        <v>0</v>
      </c>
      <c r="Q15665">
        <v>2</v>
      </c>
      <c r="R15665" t="s">
        <v>47326</v>
      </c>
      <c r="S15665" t="s">
        <v>48346</v>
      </c>
      <c r="T15665" t="s">
        <v>49311</v>
      </c>
      <c r="U15665" t="s">
        <v>62430</v>
      </c>
      <c r="W15665" t="s">
        <v>47275</v>
      </c>
      <c r="X15665" t="s">
        <v>47327</v>
      </c>
    </row>
    <row r="15666" spans="1:24">
      <c r="A15666">
        <f>HYPERLINK("https://www.philgeps.gov.ph/GEPSNONPILOT/Tender/SplashBidNoticeAbstractUI.aspx?menuIndex=3&amp;refID=7156121&amp;Result=3","7156121")</f>
        <v>0</v>
      </c>
      <c r="B15666" t="s">
        <v>2204</v>
      </c>
      <c r="C15666" t="s">
        <v>18713</v>
      </c>
      <c r="E15666" t="s">
        <v>32351</v>
      </c>
      <c r="F15666" t="s">
        <v>32606</v>
      </c>
      <c r="G15666" t="s">
        <v>32613</v>
      </c>
      <c r="H15666" t="s">
        <v>32623</v>
      </c>
      <c r="I15666" t="s">
        <v>17648</v>
      </c>
      <c r="J15666" t="s">
        <v>42465</v>
      </c>
      <c r="K15666" t="s">
        <v>42624</v>
      </c>
      <c r="M15666" t="s">
        <v>45308</v>
      </c>
      <c r="N15666" t="s">
        <v>47304</v>
      </c>
      <c r="O15666" t="s">
        <v>47305</v>
      </c>
      <c r="Q15666">
        <v>7</v>
      </c>
      <c r="R15666" t="s">
        <v>47326</v>
      </c>
      <c r="S15666" t="s">
        <v>48762</v>
      </c>
      <c r="T15666" t="s">
        <v>49081</v>
      </c>
      <c r="U15666" t="s">
        <v>62431</v>
      </c>
      <c r="W15666" t="s">
        <v>45308</v>
      </c>
      <c r="X15666" t="s">
        <v>47327</v>
      </c>
    </row>
    <row r="15667" spans="1:24">
      <c r="A15667">
        <f>HYPERLINK("https://www.philgeps.gov.ph/GEPSNONPILOT/Tender/SplashBidNoticeAbstractUI.aspx?menuIndex=3&amp;refID=7156107&amp;Result=3","7156107")</f>
        <v>0</v>
      </c>
      <c r="B15667" t="s">
        <v>3119</v>
      </c>
      <c r="C15667" t="s">
        <v>18714</v>
      </c>
      <c r="D15667" t="s">
        <v>19006</v>
      </c>
      <c r="E15667" t="s">
        <v>32352</v>
      </c>
      <c r="F15667" t="s">
        <v>32606</v>
      </c>
      <c r="G15667" t="s">
        <v>32613</v>
      </c>
      <c r="H15667" t="s">
        <v>32623</v>
      </c>
      <c r="I15667" t="s">
        <v>17648</v>
      </c>
      <c r="J15667" t="s">
        <v>42466</v>
      </c>
      <c r="K15667" t="s">
        <v>42639</v>
      </c>
      <c r="M15667" t="s">
        <v>46329</v>
      </c>
      <c r="N15667" t="s">
        <v>47304</v>
      </c>
      <c r="O15667" t="s">
        <v>47305</v>
      </c>
      <c r="P15667">
        <v>0</v>
      </c>
      <c r="Q15667">
        <v>0</v>
      </c>
      <c r="R15667" t="s">
        <v>47326</v>
      </c>
      <c r="S15667" t="s">
        <v>48346</v>
      </c>
      <c r="T15667" t="s">
        <v>48980</v>
      </c>
      <c r="U15667" t="s">
        <v>61831</v>
      </c>
      <c r="V15667" t="s">
        <v>63747</v>
      </c>
      <c r="W15667" t="s">
        <v>46329</v>
      </c>
      <c r="X15667" t="s">
        <v>47327</v>
      </c>
    </row>
    <row r="15668" spans="1:24">
      <c r="A15668">
        <f>HYPERLINK("https://www.philgeps.gov.ph/GEPSNONPILOT/Tender/SplashBidNoticeAbstractUI.aspx?menuIndex=3&amp;refID=7154781&amp;Result=3","7154781")</f>
        <v>0</v>
      </c>
      <c r="B15668" t="s">
        <v>3633</v>
      </c>
      <c r="C15668" t="s">
        <v>18715</v>
      </c>
      <c r="D15668" t="s">
        <v>18992</v>
      </c>
      <c r="E15668" t="s">
        <v>32353</v>
      </c>
      <c r="F15668" t="s">
        <v>32606</v>
      </c>
      <c r="G15668" t="s">
        <v>32613</v>
      </c>
      <c r="H15668" t="s">
        <v>14201</v>
      </c>
      <c r="I15668" t="s">
        <v>32640</v>
      </c>
      <c r="J15668" t="s">
        <v>34155</v>
      </c>
      <c r="K15668" t="s">
        <v>42631</v>
      </c>
      <c r="M15668" t="s">
        <v>46931</v>
      </c>
      <c r="N15668" t="s">
        <v>47304</v>
      </c>
      <c r="O15668" t="s">
        <v>47305</v>
      </c>
      <c r="Q15668">
        <v>1</v>
      </c>
      <c r="R15668" t="s">
        <v>47327</v>
      </c>
      <c r="S15668" t="s">
        <v>48763</v>
      </c>
      <c r="T15668" t="s">
        <v>49542</v>
      </c>
      <c r="U15668" t="s">
        <v>62432</v>
      </c>
      <c r="W15668" t="s">
        <v>46931</v>
      </c>
      <c r="X15668" t="s">
        <v>47328</v>
      </c>
    </row>
    <row r="15669" spans="1:24">
      <c r="A15669">
        <f>HYPERLINK("https://www.philgeps.gov.ph/GEPSNONPILOT/Tender/SplashBidNoticeAbstractUI.aspx?menuIndex=3&amp;refID=7156060&amp;Result=3","7156060")</f>
        <v>0</v>
      </c>
      <c r="B15669" t="s">
        <v>2042</v>
      </c>
      <c r="C15669" t="s">
        <v>18716</v>
      </c>
      <c r="D15669" t="s">
        <v>19070</v>
      </c>
      <c r="E15669" t="s">
        <v>32354</v>
      </c>
      <c r="F15669" t="s">
        <v>32606</v>
      </c>
      <c r="G15669" t="s">
        <v>32613</v>
      </c>
      <c r="H15669" t="s">
        <v>32623</v>
      </c>
      <c r="I15669" t="s">
        <v>17648</v>
      </c>
      <c r="J15669" t="s">
        <v>32772</v>
      </c>
      <c r="K15669" t="s">
        <v>42639</v>
      </c>
      <c r="M15669" t="s">
        <v>45120</v>
      </c>
      <c r="N15669" t="s">
        <v>47304</v>
      </c>
      <c r="O15669" t="s">
        <v>47305</v>
      </c>
      <c r="P15669">
        <v>0</v>
      </c>
      <c r="Q15669">
        <v>0</v>
      </c>
      <c r="R15669" t="s">
        <v>47326</v>
      </c>
      <c r="S15669" t="s">
        <v>48346</v>
      </c>
      <c r="T15669" t="s">
        <v>49071</v>
      </c>
      <c r="U15669" t="s">
        <v>60446</v>
      </c>
      <c r="V15669" t="s">
        <v>64286</v>
      </c>
      <c r="W15669" t="s">
        <v>45120</v>
      </c>
      <c r="X15669" t="s">
        <v>47327</v>
      </c>
    </row>
    <row r="15670" spans="1:24">
      <c r="A15670">
        <f>HYPERLINK("https://www.philgeps.gov.ph/GEPSNONPILOT/Tender/SplashBidNoticeAbstractUI.aspx?menuIndex=3&amp;refID=7156086&amp;Result=3","7156086")</f>
        <v>0</v>
      </c>
      <c r="B15670" t="s">
        <v>3119</v>
      </c>
      <c r="C15670" t="s">
        <v>18717</v>
      </c>
      <c r="D15670" t="s">
        <v>19006</v>
      </c>
      <c r="E15670" t="s">
        <v>32355</v>
      </c>
      <c r="F15670" t="s">
        <v>32606</v>
      </c>
      <c r="G15670" t="s">
        <v>32613</v>
      </c>
      <c r="H15670" t="s">
        <v>32623</v>
      </c>
      <c r="I15670" t="s">
        <v>17648</v>
      </c>
      <c r="J15670" t="s">
        <v>42467</v>
      </c>
      <c r="K15670" t="s">
        <v>42697</v>
      </c>
      <c r="M15670" t="s">
        <v>46329</v>
      </c>
      <c r="N15670" t="s">
        <v>47304</v>
      </c>
      <c r="O15670" t="s">
        <v>47305</v>
      </c>
      <c r="P15670">
        <v>0</v>
      </c>
      <c r="Q15670">
        <v>0</v>
      </c>
      <c r="R15670" t="s">
        <v>47326</v>
      </c>
      <c r="S15670" t="s">
        <v>48346</v>
      </c>
      <c r="T15670" t="s">
        <v>48980</v>
      </c>
      <c r="U15670" t="s">
        <v>61814</v>
      </c>
      <c r="V15670" t="s">
        <v>63747</v>
      </c>
      <c r="W15670" t="s">
        <v>46329</v>
      </c>
      <c r="X15670" t="s">
        <v>47327</v>
      </c>
    </row>
    <row r="15671" spans="1:24">
      <c r="A15671">
        <f>HYPERLINK("https://www.philgeps.gov.ph/GEPSNONPILOT/Tender/SplashBidNoticeAbstractUI.aspx?menuIndex=3&amp;refID=7156052&amp;Result=3","7156052")</f>
        <v>0</v>
      </c>
      <c r="B15671" t="s">
        <v>2042</v>
      </c>
      <c r="C15671" t="s">
        <v>18718</v>
      </c>
      <c r="D15671" t="s">
        <v>19070</v>
      </c>
      <c r="E15671" t="s">
        <v>32356</v>
      </c>
      <c r="F15671" t="s">
        <v>32606</v>
      </c>
      <c r="G15671" t="s">
        <v>32613</v>
      </c>
      <c r="H15671" t="s">
        <v>32623</v>
      </c>
      <c r="I15671" t="s">
        <v>17648</v>
      </c>
      <c r="J15671" t="s">
        <v>32795</v>
      </c>
      <c r="K15671" t="s">
        <v>42682</v>
      </c>
      <c r="M15671" t="s">
        <v>45120</v>
      </c>
      <c r="N15671" t="s">
        <v>47304</v>
      </c>
      <c r="O15671" t="s">
        <v>47305</v>
      </c>
      <c r="P15671">
        <v>0</v>
      </c>
      <c r="Q15671">
        <v>0</v>
      </c>
      <c r="R15671" t="s">
        <v>47326</v>
      </c>
      <c r="S15671" t="s">
        <v>48346</v>
      </c>
      <c r="T15671" t="s">
        <v>49071</v>
      </c>
      <c r="U15671" t="s">
        <v>60446</v>
      </c>
      <c r="V15671" t="s">
        <v>64289</v>
      </c>
      <c r="W15671" t="s">
        <v>45120</v>
      </c>
      <c r="X15671" t="s">
        <v>47327</v>
      </c>
    </row>
    <row r="15672" spans="1:24">
      <c r="A15672">
        <f>HYPERLINK("https://www.philgeps.gov.ph/GEPSNONPILOT/Tender/SplashBidNoticeAbstractUI.aspx?menuIndex=3&amp;refID=7155963&amp;Result=3","7155963")</f>
        <v>0</v>
      </c>
      <c r="B15672" t="s">
        <v>2042</v>
      </c>
      <c r="C15672" t="s">
        <v>18719</v>
      </c>
      <c r="D15672" t="s">
        <v>19070</v>
      </c>
      <c r="E15672" t="s">
        <v>32357</v>
      </c>
      <c r="F15672" t="s">
        <v>32606</v>
      </c>
      <c r="G15672" t="s">
        <v>32613</v>
      </c>
      <c r="H15672" t="s">
        <v>32623</v>
      </c>
      <c r="I15672" t="s">
        <v>17648</v>
      </c>
      <c r="J15672" t="s">
        <v>32772</v>
      </c>
      <c r="K15672" t="s">
        <v>42639</v>
      </c>
      <c r="M15672" t="s">
        <v>45120</v>
      </c>
      <c r="N15672" t="s">
        <v>47304</v>
      </c>
      <c r="O15672" t="s">
        <v>47305</v>
      </c>
      <c r="P15672">
        <v>0</v>
      </c>
      <c r="Q15672">
        <v>0</v>
      </c>
      <c r="R15672" t="s">
        <v>47326</v>
      </c>
      <c r="S15672" t="s">
        <v>48346</v>
      </c>
      <c r="T15672" t="s">
        <v>49071</v>
      </c>
      <c r="U15672" t="s">
        <v>60446</v>
      </c>
      <c r="V15672" t="s">
        <v>64286</v>
      </c>
      <c r="W15672" t="s">
        <v>45120</v>
      </c>
      <c r="X15672" t="s">
        <v>47327</v>
      </c>
    </row>
    <row r="15673" spans="1:24">
      <c r="A15673">
        <f>HYPERLINK("https://www.philgeps.gov.ph/GEPSNONPILOT/Tender/SplashBidNoticeAbstractUI.aspx?menuIndex=3&amp;refID=7156061&amp;Result=3","7156061")</f>
        <v>0</v>
      </c>
      <c r="B15673" t="s">
        <v>3119</v>
      </c>
      <c r="C15673" t="s">
        <v>18720</v>
      </c>
      <c r="D15673" t="s">
        <v>19006</v>
      </c>
      <c r="E15673" t="s">
        <v>32358</v>
      </c>
      <c r="F15673" t="s">
        <v>32606</v>
      </c>
      <c r="G15673" t="s">
        <v>32613</v>
      </c>
      <c r="H15673" t="s">
        <v>32623</v>
      </c>
      <c r="I15673" t="s">
        <v>32661</v>
      </c>
      <c r="J15673" t="s">
        <v>42468</v>
      </c>
      <c r="K15673" t="s">
        <v>42636</v>
      </c>
      <c r="M15673" t="s">
        <v>46329</v>
      </c>
      <c r="N15673" t="s">
        <v>47304</v>
      </c>
      <c r="O15673" t="s">
        <v>47305</v>
      </c>
      <c r="P15673">
        <v>0</v>
      </c>
      <c r="Q15673">
        <v>4</v>
      </c>
      <c r="R15673" t="s">
        <v>47326</v>
      </c>
      <c r="S15673" t="s">
        <v>48346</v>
      </c>
      <c r="T15673" t="s">
        <v>48980</v>
      </c>
      <c r="U15673" t="s">
        <v>61814</v>
      </c>
      <c r="V15673" t="s">
        <v>63747</v>
      </c>
      <c r="W15673" t="s">
        <v>46329</v>
      </c>
      <c r="X15673" t="s">
        <v>47327</v>
      </c>
    </row>
    <row r="15674" spans="1:24">
      <c r="A15674">
        <f>HYPERLINK("https://www.philgeps.gov.ph/GEPSNONPILOT/Tender/SplashBidNoticeAbstractUI.aspx?menuIndex=3&amp;refID=7155783&amp;Result=3","7155783")</f>
        <v>0</v>
      </c>
      <c r="B15674" t="s">
        <v>3823</v>
      </c>
      <c r="C15674" t="s">
        <v>18721</v>
      </c>
      <c r="D15674" t="s">
        <v>19024</v>
      </c>
      <c r="E15674" t="s">
        <v>19145</v>
      </c>
      <c r="F15674" t="s">
        <v>32606</v>
      </c>
      <c r="G15674" t="s">
        <v>32613</v>
      </c>
      <c r="H15674" t="s">
        <v>14201</v>
      </c>
      <c r="I15674" t="s">
        <v>6931</v>
      </c>
      <c r="J15674" t="s">
        <v>32770</v>
      </c>
      <c r="K15674" t="s">
        <v>42631</v>
      </c>
      <c r="M15674" t="s">
        <v>47169</v>
      </c>
      <c r="N15674" t="s">
        <v>47304</v>
      </c>
      <c r="O15674" t="s">
        <v>47305</v>
      </c>
      <c r="P15674">
        <v>0</v>
      </c>
      <c r="Q15674">
        <v>0</v>
      </c>
      <c r="R15674" t="s">
        <v>47326</v>
      </c>
      <c r="S15674" t="s">
        <v>48346</v>
      </c>
      <c r="T15674" t="s">
        <v>49111</v>
      </c>
      <c r="U15674" t="s">
        <v>56932</v>
      </c>
      <c r="W15674" t="s">
        <v>47169</v>
      </c>
      <c r="X15674" t="s">
        <v>47327</v>
      </c>
    </row>
    <row r="15675" spans="1:24">
      <c r="A15675">
        <f>HYPERLINK("https://www.philgeps.gov.ph/GEPSNONPILOT/Tender/SplashBidNoticeAbstractUI.aspx?menuIndex=3&amp;refID=7155763&amp;Result=3","7155763")</f>
        <v>0</v>
      </c>
      <c r="B15675" t="s">
        <v>65</v>
      </c>
      <c r="C15675" t="s">
        <v>18722</v>
      </c>
      <c r="D15675" t="s">
        <v>19015</v>
      </c>
      <c r="E15675" t="s">
        <v>32359</v>
      </c>
      <c r="F15675" t="s">
        <v>32606</v>
      </c>
      <c r="G15675" t="s">
        <v>32613</v>
      </c>
      <c r="H15675" t="s">
        <v>32623</v>
      </c>
      <c r="I15675" t="s">
        <v>17648</v>
      </c>
      <c r="J15675" t="s">
        <v>33382</v>
      </c>
      <c r="K15675" t="s">
        <v>42712</v>
      </c>
      <c r="M15675" t="s">
        <v>42962</v>
      </c>
      <c r="N15675" t="s">
        <v>47304</v>
      </c>
      <c r="O15675" t="s">
        <v>47305</v>
      </c>
      <c r="P15675">
        <v>0</v>
      </c>
      <c r="Q15675">
        <v>97</v>
      </c>
      <c r="R15675" t="s">
        <v>47326</v>
      </c>
      <c r="S15675" t="s">
        <v>48346</v>
      </c>
      <c r="T15675" t="s">
        <v>49010</v>
      </c>
      <c r="U15675" t="s">
        <v>62433</v>
      </c>
      <c r="W15675" t="s">
        <v>42962</v>
      </c>
      <c r="X15675" t="s">
        <v>47327</v>
      </c>
    </row>
    <row r="15676" spans="1:24">
      <c r="A15676">
        <f>HYPERLINK("https://www.philgeps.gov.ph/GEPSNONPILOT/Tender/SplashBidNoticeAbstractUI.aspx?menuIndex=3&amp;refID=7156097&amp;Result=3","7156097")</f>
        <v>0</v>
      </c>
      <c r="B15676" t="s">
        <v>1415</v>
      </c>
      <c r="C15676" t="s">
        <v>12973</v>
      </c>
      <c r="D15676" t="s">
        <v>19056</v>
      </c>
      <c r="E15676" t="s">
        <v>19576</v>
      </c>
      <c r="F15676" t="s">
        <v>32606</v>
      </c>
      <c r="G15676" t="s">
        <v>32613</v>
      </c>
      <c r="H15676" t="s">
        <v>14201</v>
      </c>
      <c r="I15676" t="s">
        <v>7677</v>
      </c>
      <c r="J15676" t="s">
        <v>42469</v>
      </c>
      <c r="K15676" t="s">
        <v>42630</v>
      </c>
      <c r="M15676" t="s">
        <v>44403</v>
      </c>
      <c r="N15676" t="s">
        <v>47304</v>
      </c>
      <c r="O15676" t="s">
        <v>47305</v>
      </c>
      <c r="Q15676">
        <v>9</v>
      </c>
      <c r="R15676" t="s">
        <v>47326</v>
      </c>
      <c r="S15676" t="s">
        <v>48764</v>
      </c>
      <c r="T15676" t="s">
        <v>49072</v>
      </c>
      <c r="U15676" t="s">
        <v>62434</v>
      </c>
      <c r="W15676" t="s">
        <v>44403</v>
      </c>
      <c r="X15676" t="s">
        <v>47327</v>
      </c>
    </row>
    <row r="15677" spans="1:24">
      <c r="A15677">
        <f>HYPERLINK("https://www.philgeps.gov.ph/GEPSNONPILOT/Tender/SplashBidNoticeAbstractUI.aspx?menuIndex=3&amp;refID=7155728&amp;Result=3","7155728")</f>
        <v>0</v>
      </c>
      <c r="B15677" t="s">
        <v>65</v>
      </c>
      <c r="C15677" t="s">
        <v>18723</v>
      </c>
      <c r="D15677" t="s">
        <v>19015</v>
      </c>
      <c r="E15677" t="s">
        <v>19188</v>
      </c>
      <c r="F15677" t="s">
        <v>32606</v>
      </c>
      <c r="G15677" t="s">
        <v>32613</v>
      </c>
      <c r="H15677" t="s">
        <v>32623</v>
      </c>
      <c r="I15677" t="s">
        <v>17648</v>
      </c>
      <c r="J15677" t="s">
        <v>42470</v>
      </c>
      <c r="K15677" t="s">
        <v>42648</v>
      </c>
      <c r="M15677" t="s">
        <v>42962</v>
      </c>
      <c r="N15677" t="s">
        <v>47304</v>
      </c>
      <c r="O15677" t="s">
        <v>47305</v>
      </c>
      <c r="P15677">
        <v>0</v>
      </c>
      <c r="Q15677">
        <v>90</v>
      </c>
      <c r="R15677" t="s">
        <v>47326</v>
      </c>
      <c r="S15677" t="s">
        <v>48346</v>
      </c>
      <c r="T15677" t="s">
        <v>49010</v>
      </c>
      <c r="U15677" t="s">
        <v>62435</v>
      </c>
      <c r="W15677" t="s">
        <v>42962</v>
      </c>
      <c r="X15677" t="s">
        <v>47327</v>
      </c>
    </row>
    <row r="15678" spans="1:24">
      <c r="A15678">
        <f>HYPERLINK("https://www.philgeps.gov.ph/GEPSNONPILOT/Tender/SplashBidNoticeAbstractUI.aspx?menuIndex=3&amp;refID=7155821&amp;Result=3","7155821")</f>
        <v>0</v>
      </c>
      <c r="B15678" t="s">
        <v>1524</v>
      </c>
      <c r="C15678" t="s">
        <v>18724</v>
      </c>
      <c r="D15678" t="s">
        <v>19002</v>
      </c>
      <c r="E15678" t="s">
        <v>32360</v>
      </c>
      <c r="F15678" t="s">
        <v>32606</v>
      </c>
      <c r="G15678" t="s">
        <v>32613</v>
      </c>
      <c r="H15678" t="s">
        <v>14201</v>
      </c>
      <c r="I15678" t="s">
        <v>6478</v>
      </c>
      <c r="J15678" t="s">
        <v>32767</v>
      </c>
      <c r="K15678" t="s">
        <v>42631</v>
      </c>
      <c r="M15678" t="s">
        <v>44525</v>
      </c>
      <c r="N15678" t="s">
        <v>47304</v>
      </c>
      <c r="O15678" t="s">
        <v>47305</v>
      </c>
      <c r="P15678">
        <v>0</v>
      </c>
      <c r="Q15678">
        <v>4</v>
      </c>
      <c r="R15678" t="s">
        <v>47326</v>
      </c>
      <c r="S15678" t="s">
        <v>48346</v>
      </c>
      <c r="T15678" t="s">
        <v>49267</v>
      </c>
      <c r="U15678" t="s">
        <v>62436</v>
      </c>
      <c r="W15678" t="s">
        <v>44525</v>
      </c>
      <c r="X15678" t="s">
        <v>47327</v>
      </c>
    </row>
    <row r="15679" spans="1:24">
      <c r="A15679">
        <f>HYPERLINK("https://www.philgeps.gov.ph/GEPSNONPILOT/Tender/SplashBidNoticeAbstractUI.aspx?menuIndex=3&amp;refID=7155500&amp;Result=3","7155500")</f>
        <v>0</v>
      </c>
      <c r="B15679" t="s">
        <v>3119</v>
      </c>
      <c r="C15679" t="s">
        <v>18725</v>
      </c>
      <c r="D15679" t="s">
        <v>19006</v>
      </c>
      <c r="E15679" t="s">
        <v>32361</v>
      </c>
      <c r="F15679" t="s">
        <v>32606</v>
      </c>
      <c r="G15679" t="s">
        <v>32613</v>
      </c>
      <c r="H15679" t="s">
        <v>32623</v>
      </c>
      <c r="I15679" t="s">
        <v>17648</v>
      </c>
      <c r="J15679" t="s">
        <v>42471</v>
      </c>
      <c r="K15679" t="s">
        <v>42636</v>
      </c>
      <c r="M15679" t="s">
        <v>46329</v>
      </c>
      <c r="N15679" t="s">
        <v>47304</v>
      </c>
      <c r="O15679" t="s">
        <v>47305</v>
      </c>
      <c r="P15679">
        <v>0</v>
      </c>
      <c r="Q15679">
        <v>0</v>
      </c>
      <c r="R15679" t="s">
        <v>47326</v>
      </c>
      <c r="S15679" t="s">
        <v>48346</v>
      </c>
      <c r="T15679" t="s">
        <v>48998</v>
      </c>
      <c r="U15679" t="s">
        <v>61806</v>
      </c>
      <c r="V15679" t="s">
        <v>63747</v>
      </c>
      <c r="W15679" t="s">
        <v>46329</v>
      </c>
      <c r="X15679" t="s">
        <v>47327</v>
      </c>
    </row>
    <row r="15680" spans="1:24">
      <c r="A15680">
        <f>HYPERLINK("https://www.philgeps.gov.ph/GEPSNONPILOT/Tender/SplashBidNoticeAbstractUI.aspx?menuIndex=3&amp;refID=7155495&amp;Result=3","7155495")</f>
        <v>0</v>
      </c>
      <c r="B15680" t="s">
        <v>3901</v>
      </c>
      <c r="C15680" t="s">
        <v>18726</v>
      </c>
      <c r="D15680" t="s">
        <v>19006</v>
      </c>
      <c r="E15680" t="s">
        <v>26230</v>
      </c>
      <c r="F15680" t="s">
        <v>32606</v>
      </c>
      <c r="G15680" t="s">
        <v>32613</v>
      </c>
      <c r="H15680" t="s">
        <v>32623</v>
      </c>
      <c r="I15680" t="s">
        <v>17648</v>
      </c>
      <c r="J15680" t="s">
        <v>35766</v>
      </c>
      <c r="K15680" t="s">
        <v>42622</v>
      </c>
      <c r="M15680" t="s">
        <v>47276</v>
      </c>
      <c r="N15680" t="s">
        <v>47304</v>
      </c>
      <c r="O15680" t="s">
        <v>47305</v>
      </c>
      <c r="P15680">
        <v>0</v>
      </c>
      <c r="Q15680">
        <v>0</v>
      </c>
      <c r="R15680" t="s">
        <v>47326</v>
      </c>
      <c r="S15680" t="s">
        <v>48346</v>
      </c>
      <c r="T15680" t="s">
        <v>49068</v>
      </c>
      <c r="U15680" t="s">
        <v>62437</v>
      </c>
      <c r="V15680" t="s">
        <v>64385</v>
      </c>
      <c r="W15680" t="s">
        <v>47276</v>
      </c>
      <c r="X15680" t="s">
        <v>47327</v>
      </c>
    </row>
    <row r="15681" spans="1:24">
      <c r="A15681">
        <f>HYPERLINK("https://www.philgeps.gov.ph/GEPSNONPILOT/Tender/SplashBidNoticeAbstractUI.aspx?menuIndex=3&amp;refID=7156101&amp;Result=3","7156101")</f>
        <v>0</v>
      </c>
      <c r="B15681" t="s">
        <v>1955</v>
      </c>
      <c r="C15681" t="s">
        <v>18727</v>
      </c>
      <c r="D15681" t="s">
        <v>19039</v>
      </c>
      <c r="E15681" t="s">
        <v>32362</v>
      </c>
      <c r="F15681" t="s">
        <v>32606</v>
      </c>
      <c r="G15681" t="s">
        <v>32613</v>
      </c>
      <c r="H15681" t="s">
        <v>32623</v>
      </c>
      <c r="I15681" t="s">
        <v>17648</v>
      </c>
      <c r="J15681" t="s">
        <v>32765</v>
      </c>
      <c r="K15681" t="s">
        <v>42648</v>
      </c>
      <c r="M15681" t="s">
        <v>45016</v>
      </c>
      <c r="N15681" t="s">
        <v>47304</v>
      </c>
      <c r="O15681" t="s">
        <v>47305</v>
      </c>
      <c r="P15681">
        <v>0</v>
      </c>
      <c r="Q15681">
        <v>0</v>
      </c>
      <c r="R15681" t="s">
        <v>47326</v>
      </c>
      <c r="S15681" t="s">
        <v>48346</v>
      </c>
      <c r="T15681" t="s">
        <v>49330</v>
      </c>
      <c r="U15681" t="s">
        <v>54346</v>
      </c>
      <c r="V15681" t="s">
        <v>64288</v>
      </c>
      <c r="W15681" t="s">
        <v>45016</v>
      </c>
      <c r="X15681" t="s">
        <v>47327</v>
      </c>
    </row>
    <row r="15682" spans="1:24">
      <c r="A15682">
        <f>HYPERLINK("https://www.philgeps.gov.ph/GEPSNONPILOT/Tender/SplashBidNoticeAbstractUI.aspx?menuIndex=3&amp;refID=7155479&amp;Result=3","7155479")</f>
        <v>0</v>
      </c>
      <c r="B15682" t="s">
        <v>3119</v>
      </c>
      <c r="C15682" t="s">
        <v>18728</v>
      </c>
      <c r="D15682" t="s">
        <v>19006</v>
      </c>
      <c r="E15682" t="s">
        <v>32363</v>
      </c>
      <c r="F15682" t="s">
        <v>32606</v>
      </c>
      <c r="G15682" t="s">
        <v>32613</v>
      </c>
      <c r="H15682" t="s">
        <v>32623</v>
      </c>
      <c r="I15682" t="s">
        <v>32626</v>
      </c>
      <c r="J15682" t="s">
        <v>42472</v>
      </c>
      <c r="K15682" t="s">
        <v>42636</v>
      </c>
      <c r="M15682" t="s">
        <v>46329</v>
      </c>
      <c r="N15682" t="s">
        <v>47304</v>
      </c>
      <c r="O15682" t="s">
        <v>47305</v>
      </c>
      <c r="P15682">
        <v>0</v>
      </c>
      <c r="Q15682">
        <v>2</v>
      </c>
      <c r="R15682" t="s">
        <v>47326</v>
      </c>
      <c r="S15682" t="s">
        <v>48346</v>
      </c>
      <c r="T15682" t="s">
        <v>48998</v>
      </c>
      <c r="U15682" t="s">
        <v>61806</v>
      </c>
      <c r="V15682" t="s">
        <v>63747</v>
      </c>
      <c r="W15682" t="s">
        <v>46329</v>
      </c>
      <c r="X15682" t="s">
        <v>47327</v>
      </c>
    </row>
    <row r="15683" spans="1:24">
      <c r="A15683">
        <f>HYPERLINK("https://www.philgeps.gov.ph/GEPSNONPILOT/Tender/SplashBidNoticeAbstractUI.aspx?menuIndex=3&amp;refID=7155478&amp;Result=3","7155478")</f>
        <v>0</v>
      </c>
      <c r="B15683" t="s">
        <v>3819</v>
      </c>
      <c r="C15683" t="s">
        <v>18729</v>
      </c>
      <c r="D15683" t="s">
        <v>19057</v>
      </c>
      <c r="E15683" t="s">
        <v>19400</v>
      </c>
      <c r="F15683" t="s">
        <v>32606</v>
      </c>
      <c r="G15683" t="s">
        <v>32613</v>
      </c>
      <c r="H15683" t="s">
        <v>32623</v>
      </c>
      <c r="I15683" t="s">
        <v>17648</v>
      </c>
      <c r="J15683" t="s">
        <v>33757</v>
      </c>
      <c r="K15683" t="s">
        <v>42646</v>
      </c>
      <c r="M15683" t="s">
        <v>47164</v>
      </c>
      <c r="N15683" t="s">
        <v>47304</v>
      </c>
      <c r="O15683" t="s">
        <v>47305</v>
      </c>
      <c r="P15683">
        <v>0</v>
      </c>
      <c r="Q15683">
        <v>0</v>
      </c>
      <c r="R15683" t="s">
        <v>47326</v>
      </c>
      <c r="S15683" t="s">
        <v>48346</v>
      </c>
      <c r="T15683" t="s">
        <v>49268</v>
      </c>
      <c r="U15683" t="s">
        <v>62438</v>
      </c>
      <c r="W15683" t="s">
        <v>47164</v>
      </c>
      <c r="X15683" t="s">
        <v>47327</v>
      </c>
    </row>
    <row r="15684" spans="1:24">
      <c r="A15684">
        <f>HYPERLINK("https://www.philgeps.gov.ph/GEPSNONPILOT/Tender/SplashBidNoticeAbstractUI.aspx?menuIndex=3&amp;refID=7155446&amp;Result=3","7155446")</f>
        <v>0</v>
      </c>
      <c r="B15684" t="s">
        <v>3819</v>
      </c>
      <c r="C15684" t="s">
        <v>18730</v>
      </c>
      <c r="D15684" t="s">
        <v>19057</v>
      </c>
      <c r="E15684" t="s">
        <v>25157</v>
      </c>
      <c r="F15684" t="s">
        <v>32606</v>
      </c>
      <c r="G15684" t="s">
        <v>32613</v>
      </c>
      <c r="H15684" t="s">
        <v>32623</v>
      </c>
      <c r="I15684" t="s">
        <v>17648</v>
      </c>
      <c r="J15684" t="s">
        <v>32795</v>
      </c>
      <c r="K15684" t="s">
        <v>42648</v>
      </c>
      <c r="M15684" t="s">
        <v>47164</v>
      </c>
      <c r="N15684" t="s">
        <v>47304</v>
      </c>
      <c r="O15684" t="s">
        <v>47305</v>
      </c>
      <c r="P15684">
        <v>0</v>
      </c>
      <c r="Q15684">
        <v>0</v>
      </c>
      <c r="R15684" t="s">
        <v>47326</v>
      </c>
      <c r="S15684" t="s">
        <v>48346</v>
      </c>
      <c r="T15684" t="s">
        <v>49268</v>
      </c>
      <c r="U15684" t="s">
        <v>62439</v>
      </c>
      <c r="W15684" t="s">
        <v>47164</v>
      </c>
      <c r="X15684" t="s">
        <v>47327</v>
      </c>
    </row>
    <row r="15685" spans="1:24">
      <c r="A15685">
        <f>HYPERLINK("https://www.philgeps.gov.ph/GEPSNONPILOT/Tender/SplashBidNoticeAbstractUI.aspx?menuIndex=3&amp;refID=7155719&amp;Result=3","7155719")</f>
        <v>0</v>
      </c>
      <c r="B15685" t="s">
        <v>3444</v>
      </c>
      <c r="C15685" t="s">
        <v>18731</v>
      </c>
      <c r="D15685" t="s">
        <v>19001</v>
      </c>
      <c r="E15685" t="s">
        <v>32364</v>
      </c>
      <c r="F15685" t="s">
        <v>32606</v>
      </c>
      <c r="G15685" t="s">
        <v>32613</v>
      </c>
      <c r="H15685" t="s">
        <v>32623</v>
      </c>
      <c r="I15685" t="s">
        <v>17648</v>
      </c>
      <c r="J15685" t="s">
        <v>34207</v>
      </c>
      <c r="K15685" t="s">
        <v>42636</v>
      </c>
      <c r="M15685" t="s">
        <v>46704</v>
      </c>
      <c r="N15685" t="s">
        <v>47304</v>
      </c>
      <c r="O15685" t="s">
        <v>47305</v>
      </c>
      <c r="P15685">
        <v>0</v>
      </c>
      <c r="Q15685">
        <v>0</v>
      </c>
      <c r="R15685" t="s">
        <v>47326</v>
      </c>
      <c r="S15685" t="s">
        <v>48346</v>
      </c>
      <c r="T15685" t="s">
        <v>49020</v>
      </c>
      <c r="U15685" t="s">
        <v>62440</v>
      </c>
      <c r="W15685" t="s">
        <v>64540</v>
      </c>
      <c r="X15685" t="s">
        <v>47327</v>
      </c>
    </row>
    <row r="15686" spans="1:24">
      <c r="A15686">
        <f>HYPERLINK("https://www.philgeps.gov.ph/GEPSNONPILOT/Tender/SplashBidNoticeAbstractUI.aspx?menuIndex=3&amp;refID=7155288&amp;Result=3","7155288")</f>
        <v>0</v>
      </c>
      <c r="B15686" t="s">
        <v>3902</v>
      </c>
      <c r="C15686" t="s">
        <v>18732</v>
      </c>
      <c r="D15686" t="s">
        <v>19019</v>
      </c>
      <c r="E15686" t="s">
        <v>32365</v>
      </c>
      <c r="F15686" t="s">
        <v>32606</v>
      </c>
      <c r="G15686" t="s">
        <v>32613</v>
      </c>
      <c r="H15686" t="s">
        <v>32623</v>
      </c>
      <c r="I15686" t="s">
        <v>32671</v>
      </c>
      <c r="J15686" t="s">
        <v>42473</v>
      </c>
      <c r="K15686" t="s">
        <v>42641</v>
      </c>
      <c r="M15686" t="s">
        <v>47277</v>
      </c>
      <c r="N15686" t="s">
        <v>47304</v>
      </c>
      <c r="O15686" t="s">
        <v>47305</v>
      </c>
      <c r="P15686">
        <v>0</v>
      </c>
      <c r="Q15686">
        <v>3</v>
      </c>
      <c r="R15686" t="s">
        <v>47326</v>
      </c>
      <c r="S15686" t="s">
        <v>48346</v>
      </c>
      <c r="T15686" t="s">
        <v>49268</v>
      </c>
      <c r="U15686" t="s">
        <v>62441</v>
      </c>
      <c r="W15686" t="s">
        <v>47277</v>
      </c>
      <c r="X15686" t="s">
        <v>47327</v>
      </c>
    </row>
    <row r="15687" spans="1:24">
      <c r="A15687">
        <f>HYPERLINK("https://www.philgeps.gov.ph/GEPSNONPILOT/Tender/SplashBidNoticeAbstractUI.aspx?menuIndex=3&amp;refID=7155294&amp;Result=3","7155294")</f>
        <v>0</v>
      </c>
      <c r="B15687" t="s">
        <v>2339</v>
      </c>
      <c r="C15687" t="s">
        <v>18733</v>
      </c>
      <c r="D15687" t="s">
        <v>19018</v>
      </c>
      <c r="E15687" t="s">
        <v>32366</v>
      </c>
      <c r="F15687" t="s">
        <v>32606</v>
      </c>
      <c r="G15687" t="s">
        <v>32613</v>
      </c>
      <c r="H15687" t="s">
        <v>32623</v>
      </c>
      <c r="I15687" t="s">
        <v>17648</v>
      </c>
      <c r="J15687" t="s">
        <v>42474</v>
      </c>
      <c r="K15687" t="s">
        <v>42809</v>
      </c>
      <c r="M15687" t="s">
        <v>45449</v>
      </c>
      <c r="N15687" t="s">
        <v>47304</v>
      </c>
      <c r="O15687" t="s">
        <v>47305</v>
      </c>
      <c r="P15687">
        <v>0</v>
      </c>
      <c r="Q15687">
        <v>5</v>
      </c>
      <c r="R15687" t="s">
        <v>47326</v>
      </c>
      <c r="S15687" t="s">
        <v>48346</v>
      </c>
      <c r="T15687" t="s">
        <v>49020</v>
      </c>
      <c r="U15687" t="s">
        <v>61799</v>
      </c>
      <c r="V15687" t="s">
        <v>64386</v>
      </c>
      <c r="W15687" t="s">
        <v>45449</v>
      </c>
      <c r="X15687" t="s">
        <v>47327</v>
      </c>
    </row>
    <row r="15688" spans="1:24">
      <c r="A15688">
        <f>HYPERLINK("https://www.philgeps.gov.ph/GEPSNONPILOT/Tender/SplashBidNoticeAbstractUI.aspx?menuIndex=3&amp;refID=7155243&amp;Result=3","7155243")</f>
        <v>0</v>
      </c>
      <c r="B15688" t="s">
        <v>212</v>
      </c>
      <c r="C15688" t="s">
        <v>18734</v>
      </c>
      <c r="D15688" t="s">
        <v>19007</v>
      </c>
      <c r="E15688" t="s">
        <v>32367</v>
      </c>
      <c r="F15688" t="s">
        <v>32606</v>
      </c>
      <c r="G15688" t="s">
        <v>32613</v>
      </c>
      <c r="H15688" t="s">
        <v>14201</v>
      </c>
      <c r="I15688" t="s">
        <v>7064</v>
      </c>
      <c r="J15688" t="s">
        <v>32767</v>
      </c>
      <c r="K15688" t="s">
        <v>42631</v>
      </c>
      <c r="M15688" t="s">
        <v>43113</v>
      </c>
      <c r="N15688" t="s">
        <v>47304</v>
      </c>
      <c r="O15688" t="s">
        <v>47305</v>
      </c>
      <c r="Q15688">
        <v>7</v>
      </c>
      <c r="R15688" t="s">
        <v>47326</v>
      </c>
      <c r="S15688" t="s">
        <v>48765</v>
      </c>
      <c r="T15688" t="s">
        <v>49040</v>
      </c>
      <c r="U15688" t="s">
        <v>62442</v>
      </c>
      <c r="W15688" t="s">
        <v>43113</v>
      </c>
      <c r="X15688" t="s">
        <v>47328</v>
      </c>
    </row>
    <row r="15689" spans="1:24">
      <c r="A15689">
        <f>HYPERLINK("https://www.philgeps.gov.ph/GEPSNONPILOT/Tender/SplashBidNoticeAbstractUI.aspx?menuIndex=3&amp;refID=7155209&amp;Result=3","7155209")</f>
        <v>0</v>
      </c>
      <c r="B15689" t="s">
        <v>3903</v>
      </c>
      <c r="C15689" t="s">
        <v>18735</v>
      </c>
      <c r="D15689" t="s">
        <v>19044</v>
      </c>
      <c r="E15689" t="s">
        <v>19145</v>
      </c>
      <c r="F15689" t="s">
        <v>32606</v>
      </c>
      <c r="G15689" t="s">
        <v>32613</v>
      </c>
      <c r="H15689" t="s">
        <v>14201</v>
      </c>
      <c r="I15689" t="s">
        <v>9013</v>
      </c>
      <c r="J15689" t="s">
        <v>42475</v>
      </c>
      <c r="K15689" t="s">
        <v>42631</v>
      </c>
      <c r="M15689" t="s">
        <v>47278</v>
      </c>
      <c r="N15689" t="s">
        <v>47304</v>
      </c>
      <c r="O15689" t="s">
        <v>47305</v>
      </c>
      <c r="P15689">
        <v>0</v>
      </c>
      <c r="Q15689">
        <v>3</v>
      </c>
      <c r="R15689" t="s">
        <v>47326</v>
      </c>
      <c r="S15689" t="s">
        <v>48346</v>
      </c>
      <c r="T15689" t="s">
        <v>49268</v>
      </c>
      <c r="U15689" t="s">
        <v>62443</v>
      </c>
      <c r="W15689" t="s">
        <v>47278</v>
      </c>
      <c r="X15689" t="s">
        <v>47328</v>
      </c>
    </row>
    <row r="15690" spans="1:24">
      <c r="A15690">
        <f>HYPERLINK("https://www.philgeps.gov.ph/GEPSNONPILOT/Tender/SplashBidNoticeAbstractUI.aspx?menuIndex=3&amp;refID=7155037&amp;Result=3","7155037")</f>
        <v>0</v>
      </c>
      <c r="B15690" t="s">
        <v>3904</v>
      </c>
      <c r="C15690" t="s">
        <v>18736</v>
      </c>
      <c r="D15690" t="s">
        <v>19067</v>
      </c>
      <c r="E15690" t="s">
        <v>32368</v>
      </c>
      <c r="F15690" t="s">
        <v>32606</v>
      </c>
      <c r="G15690" t="s">
        <v>32613</v>
      </c>
      <c r="H15690" t="s">
        <v>32623</v>
      </c>
      <c r="I15690" t="s">
        <v>17648</v>
      </c>
      <c r="J15690" t="s">
        <v>33936</v>
      </c>
      <c r="K15690" t="s">
        <v>42624</v>
      </c>
      <c r="M15690" t="s">
        <v>47279</v>
      </c>
      <c r="N15690" t="s">
        <v>47304</v>
      </c>
      <c r="O15690" t="s">
        <v>47305</v>
      </c>
      <c r="P15690">
        <v>0</v>
      </c>
      <c r="Q15690">
        <v>0</v>
      </c>
      <c r="R15690" t="s">
        <v>47326</v>
      </c>
      <c r="S15690" t="s">
        <v>48346</v>
      </c>
      <c r="T15690" t="s">
        <v>49268</v>
      </c>
      <c r="U15690" t="s">
        <v>62444</v>
      </c>
      <c r="W15690" t="s">
        <v>47279</v>
      </c>
      <c r="X15690" t="s">
        <v>47328</v>
      </c>
    </row>
    <row r="15691" spans="1:24">
      <c r="A15691">
        <f>HYPERLINK("https://www.philgeps.gov.ph/GEPSNONPILOT/Tender/SplashBidNoticeAbstractUI.aspx?menuIndex=3&amp;refID=7155511&amp;Result=3","7155511")</f>
        <v>0</v>
      </c>
      <c r="B15691" t="s">
        <v>3119</v>
      </c>
      <c r="C15691" t="s">
        <v>18737</v>
      </c>
      <c r="D15691" t="s">
        <v>19006</v>
      </c>
      <c r="E15691" t="s">
        <v>32369</v>
      </c>
      <c r="F15691" t="s">
        <v>32606</v>
      </c>
      <c r="G15691" t="s">
        <v>32613</v>
      </c>
      <c r="H15691" t="s">
        <v>32623</v>
      </c>
      <c r="I15691" t="s">
        <v>17648</v>
      </c>
      <c r="J15691" t="s">
        <v>42476</v>
      </c>
      <c r="K15691" t="s">
        <v>42631</v>
      </c>
      <c r="M15691" t="s">
        <v>46329</v>
      </c>
      <c r="N15691" t="s">
        <v>47304</v>
      </c>
      <c r="O15691" t="s">
        <v>47305</v>
      </c>
      <c r="P15691">
        <v>0</v>
      </c>
      <c r="Q15691">
        <v>0</v>
      </c>
      <c r="R15691" t="s">
        <v>47326</v>
      </c>
      <c r="S15691" t="s">
        <v>48346</v>
      </c>
      <c r="T15691" t="s">
        <v>48998</v>
      </c>
      <c r="U15691" t="s">
        <v>61806</v>
      </c>
      <c r="V15691" t="s">
        <v>63747</v>
      </c>
      <c r="W15691" t="s">
        <v>46329</v>
      </c>
      <c r="X15691" t="s">
        <v>47327</v>
      </c>
    </row>
    <row r="15692" spans="1:24">
      <c r="A15692">
        <f>HYPERLINK("https://www.philgeps.gov.ph/GEPSNONPILOT/Tender/SplashBidNoticeAbstractUI.aspx?menuIndex=3&amp;refID=7155449&amp;Result=3","7155449")</f>
        <v>0</v>
      </c>
      <c r="B15692" t="s">
        <v>2339</v>
      </c>
      <c r="C15692" t="s">
        <v>18738</v>
      </c>
      <c r="D15692" t="s">
        <v>19018</v>
      </c>
      <c r="E15692" t="s">
        <v>32370</v>
      </c>
      <c r="F15692" t="s">
        <v>32606</v>
      </c>
      <c r="G15692" t="s">
        <v>32613</v>
      </c>
      <c r="H15692" t="s">
        <v>32623</v>
      </c>
      <c r="I15692" t="s">
        <v>17648</v>
      </c>
      <c r="J15692" t="s">
        <v>42477</v>
      </c>
      <c r="K15692" t="s">
        <v>42646</v>
      </c>
      <c r="M15692" t="s">
        <v>45449</v>
      </c>
      <c r="N15692" t="s">
        <v>47304</v>
      </c>
      <c r="O15692" t="s">
        <v>47305</v>
      </c>
      <c r="P15692">
        <v>0</v>
      </c>
      <c r="Q15692">
        <v>4</v>
      </c>
      <c r="R15692" t="s">
        <v>47326</v>
      </c>
      <c r="S15692" t="s">
        <v>48346</v>
      </c>
      <c r="T15692" t="s">
        <v>49020</v>
      </c>
      <c r="U15692" t="s">
        <v>62445</v>
      </c>
      <c r="V15692" t="s">
        <v>64387</v>
      </c>
      <c r="W15692" t="s">
        <v>45449</v>
      </c>
      <c r="X15692" t="s">
        <v>47327</v>
      </c>
    </row>
    <row r="15693" spans="1:24">
      <c r="A15693">
        <f>HYPERLINK("https://www.philgeps.gov.ph/GEPSNONPILOT/Tender/SplashBidNoticeAbstractUI.aspx?menuIndex=3&amp;refID=7156397&amp;Result=3","7156397")</f>
        <v>0</v>
      </c>
      <c r="B15693" t="s">
        <v>3271</v>
      </c>
      <c r="C15693" t="s">
        <v>18739</v>
      </c>
      <c r="D15693" t="s">
        <v>19031</v>
      </c>
      <c r="E15693" t="s">
        <v>32371</v>
      </c>
      <c r="F15693" t="s">
        <v>32606</v>
      </c>
      <c r="G15693" t="s">
        <v>32613</v>
      </c>
      <c r="H15693" t="s">
        <v>32623</v>
      </c>
      <c r="I15693" t="s">
        <v>17648</v>
      </c>
      <c r="J15693" t="s">
        <v>42478</v>
      </c>
      <c r="K15693" t="s">
        <v>42648</v>
      </c>
      <c r="M15693" t="s">
        <v>46505</v>
      </c>
      <c r="N15693" t="s">
        <v>47304</v>
      </c>
      <c r="O15693" t="s">
        <v>47305</v>
      </c>
      <c r="P15693">
        <v>0</v>
      </c>
      <c r="Q15693">
        <v>1</v>
      </c>
      <c r="R15693" t="s">
        <v>47326</v>
      </c>
      <c r="S15693" t="s">
        <v>48346</v>
      </c>
      <c r="T15693" t="s">
        <v>48996</v>
      </c>
      <c r="U15693" t="s">
        <v>62446</v>
      </c>
      <c r="V15693" t="s">
        <v>64388</v>
      </c>
      <c r="W15693" t="s">
        <v>46505</v>
      </c>
      <c r="X15693" t="s">
        <v>47327</v>
      </c>
    </row>
    <row r="15694" spans="1:24">
      <c r="A15694">
        <f>HYPERLINK("https://www.philgeps.gov.ph/GEPSNONPILOT/Tender/SplashBidNoticeAbstractUI.aspx?menuIndex=3&amp;refID=7161703&amp;Result=3","7161703")</f>
        <v>0</v>
      </c>
      <c r="B15694" t="s">
        <v>387</v>
      </c>
      <c r="C15694" t="s">
        <v>18740</v>
      </c>
      <c r="D15694" t="s">
        <v>18988</v>
      </c>
      <c r="E15694" t="s">
        <v>32372</v>
      </c>
      <c r="F15694" t="s">
        <v>32606</v>
      </c>
      <c r="G15694" t="s">
        <v>32613</v>
      </c>
      <c r="H15694" t="s">
        <v>32623</v>
      </c>
      <c r="I15694" t="s">
        <v>32661</v>
      </c>
      <c r="J15694" t="s">
        <v>32769</v>
      </c>
      <c r="K15694" t="s">
        <v>42646</v>
      </c>
      <c r="M15694" t="s">
        <v>43290</v>
      </c>
      <c r="N15694" t="s">
        <v>47304</v>
      </c>
      <c r="O15694" t="s">
        <v>47305</v>
      </c>
      <c r="Q15694">
        <v>17</v>
      </c>
      <c r="R15694" t="s">
        <v>47325</v>
      </c>
      <c r="S15694" t="s">
        <v>48766</v>
      </c>
      <c r="T15694" t="s">
        <v>49017</v>
      </c>
      <c r="U15694" t="s">
        <v>62447</v>
      </c>
      <c r="W15694" t="s">
        <v>64554</v>
      </c>
      <c r="X15694" t="s">
        <v>47326</v>
      </c>
    </row>
    <row r="15695" spans="1:24">
      <c r="A15695">
        <f>HYPERLINK("https://www.philgeps.gov.ph/GEPSNONPILOT/Tender/SplashBidNoticeAbstractUI.aspx?menuIndex=3&amp;refID=7155965&amp;Result=3","7155965")</f>
        <v>0</v>
      </c>
      <c r="B15695" t="s">
        <v>1565</v>
      </c>
      <c r="C15695" t="s">
        <v>18741</v>
      </c>
      <c r="D15695" t="s">
        <v>19029</v>
      </c>
      <c r="E15695" t="s">
        <v>32373</v>
      </c>
      <c r="F15695" t="s">
        <v>32606</v>
      </c>
      <c r="G15695" t="s">
        <v>32613</v>
      </c>
      <c r="H15695" t="s">
        <v>14201</v>
      </c>
      <c r="I15695" t="s">
        <v>32668</v>
      </c>
      <c r="J15695" t="s">
        <v>42479</v>
      </c>
      <c r="K15695" t="s">
        <v>42622</v>
      </c>
      <c r="M15695" t="s">
        <v>47280</v>
      </c>
      <c r="N15695" t="s">
        <v>47304</v>
      </c>
      <c r="O15695" t="s">
        <v>47305</v>
      </c>
      <c r="P15695">
        <v>0</v>
      </c>
      <c r="Q15695">
        <v>8</v>
      </c>
      <c r="R15695" t="s">
        <v>47326</v>
      </c>
      <c r="S15695" t="s">
        <v>48346</v>
      </c>
      <c r="T15695" t="s">
        <v>49160</v>
      </c>
      <c r="U15695" t="s">
        <v>62448</v>
      </c>
      <c r="W15695" t="s">
        <v>47280</v>
      </c>
      <c r="X15695" t="s">
        <v>47327</v>
      </c>
    </row>
    <row r="15696" spans="1:24">
      <c r="A15696">
        <f>HYPERLINK("https://www.philgeps.gov.ph/GEPSNONPILOT/Tender/SplashBidNoticeAbstractUI.aspx?menuIndex=3&amp;refID=7161584&amp;Result=3","7161584")</f>
        <v>0</v>
      </c>
      <c r="B15696" t="s">
        <v>519</v>
      </c>
      <c r="C15696" t="s">
        <v>18742</v>
      </c>
      <c r="E15696" t="s">
        <v>32374</v>
      </c>
      <c r="F15696" t="s">
        <v>32606</v>
      </c>
      <c r="G15696" t="s">
        <v>32613</v>
      </c>
      <c r="H15696" t="s">
        <v>32624</v>
      </c>
      <c r="I15696" t="s">
        <v>32674</v>
      </c>
      <c r="J15696" t="s">
        <v>42480</v>
      </c>
      <c r="K15696" t="s">
        <v>42707</v>
      </c>
      <c r="M15696" t="s">
        <v>43432</v>
      </c>
      <c r="N15696" t="s">
        <v>47304</v>
      </c>
      <c r="O15696" t="s">
        <v>47305</v>
      </c>
      <c r="Q15696">
        <v>5</v>
      </c>
      <c r="R15696" t="s">
        <v>47325</v>
      </c>
      <c r="S15696" t="s">
        <v>48767</v>
      </c>
      <c r="T15696" t="s">
        <v>49257</v>
      </c>
      <c r="U15696" t="s">
        <v>62449</v>
      </c>
      <c r="V15696" t="s">
        <v>64389</v>
      </c>
      <c r="W15696" t="s">
        <v>43432</v>
      </c>
      <c r="X15696" t="s">
        <v>47326</v>
      </c>
    </row>
    <row r="15697" spans="1:24">
      <c r="A15697">
        <f>HYPERLINK("https://www.philgeps.gov.ph/GEPSNONPILOT/Tender/SplashBidNoticeAbstractUI.aspx?menuIndex=3&amp;refID=7154851&amp;Result=3","7154851")</f>
        <v>0</v>
      </c>
      <c r="B15697" t="s">
        <v>1738</v>
      </c>
      <c r="C15697" t="s">
        <v>18743</v>
      </c>
      <c r="E15697" t="s">
        <v>32375</v>
      </c>
      <c r="F15697" t="s">
        <v>32606</v>
      </c>
      <c r="G15697" t="s">
        <v>32613</v>
      </c>
      <c r="H15697" t="s">
        <v>14201</v>
      </c>
      <c r="I15697" t="s">
        <v>32640</v>
      </c>
      <c r="J15697" t="s">
        <v>39863</v>
      </c>
      <c r="K15697" t="s">
        <v>42624</v>
      </c>
      <c r="M15697" t="s">
        <v>45596</v>
      </c>
      <c r="N15697" t="s">
        <v>47304</v>
      </c>
      <c r="O15697" t="s">
        <v>47305</v>
      </c>
      <c r="Q15697">
        <v>21</v>
      </c>
      <c r="R15697" t="s">
        <v>47326</v>
      </c>
      <c r="S15697" t="s">
        <v>48768</v>
      </c>
      <c r="T15697" t="s">
        <v>49221</v>
      </c>
      <c r="U15697" t="s">
        <v>54315</v>
      </c>
      <c r="W15697" t="s">
        <v>45596</v>
      </c>
      <c r="X15697" t="s">
        <v>47328</v>
      </c>
    </row>
    <row r="15698" spans="1:24">
      <c r="A15698">
        <f>HYPERLINK("https://www.philgeps.gov.ph/GEPSNONPILOT/Tender/SplashBidNoticeAbstractUI.aspx?menuIndex=3&amp;refID=7156376&amp;Result=3","7156376")</f>
        <v>0</v>
      </c>
      <c r="B15698" t="s">
        <v>3869</v>
      </c>
      <c r="C15698" t="s">
        <v>18744</v>
      </c>
      <c r="D15698" t="s">
        <v>19008</v>
      </c>
      <c r="E15698" t="s">
        <v>32376</v>
      </c>
      <c r="F15698" t="s">
        <v>32606</v>
      </c>
      <c r="G15698" t="s">
        <v>32613</v>
      </c>
      <c r="H15698" t="s">
        <v>32623</v>
      </c>
      <c r="I15698" t="s">
        <v>17648</v>
      </c>
      <c r="J15698" t="s">
        <v>42481</v>
      </c>
      <c r="K15698" t="s">
        <v>42648</v>
      </c>
      <c r="M15698" t="s">
        <v>47227</v>
      </c>
      <c r="N15698" t="s">
        <v>47304</v>
      </c>
      <c r="O15698" t="s">
        <v>47305</v>
      </c>
      <c r="P15698">
        <v>0</v>
      </c>
      <c r="Q15698">
        <v>6</v>
      </c>
      <c r="R15698" t="s">
        <v>47326</v>
      </c>
      <c r="S15698" t="s">
        <v>48346</v>
      </c>
      <c r="T15698" t="s">
        <v>49108</v>
      </c>
      <c r="U15698" t="s">
        <v>62450</v>
      </c>
      <c r="W15698" t="s">
        <v>64561</v>
      </c>
      <c r="X15698" t="s">
        <v>47327</v>
      </c>
    </row>
    <row r="15699" spans="1:24">
      <c r="A15699">
        <f>HYPERLINK("https://www.philgeps.gov.ph/GEPSNONPILOT/Tender/SplashBidNoticeAbstractUI.aspx?menuIndex=3&amp;refID=7154758&amp;Result=3","7154758")</f>
        <v>0</v>
      </c>
      <c r="B15699" t="s">
        <v>1551</v>
      </c>
      <c r="C15699" t="s">
        <v>18745</v>
      </c>
      <c r="D15699" t="s">
        <v>19046</v>
      </c>
      <c r="E15699" t="s">
        <v>32377</v>
      </c>
      <c r="F15699" t="s">
        <v>32606</v>
      </c>
      <c r="G15699" t="s">
        <v>32613</v>
      </c>
      <c r="H15699" t="s">
        <v>14201</v>
      </c>
      <c r="I15699" t="s">
        <v>7677</v>
      </c>
      <c r="J15699" t="s">
        <v>42482</v>
      </c>
      <c r="K15699" t="s">
        <v>42631</v>
      </c>
      <c r="M15699" t="s">
        <v>44555</v>
      </c>
      <c r="N15699" t="s">
        <v>47304</v>
      </c>
      <c r="O15699" t="s">
        <v>47305</v>
      </c>
      <c r="Q15699">
        <v>5</v>
      </c>
      <c r="R15699" t="s">
        <v>47326</v>
      </c>
      <c r="S15699" t="s">
        <v>48468</v>
      </c>
      <c r="T15699" t="s">
        <v>48996</v>
      </c>
      <c r="U15699" t="s">
        <v>62451</v>
      </c>
      <c r="W15699" t="s">
        <v>44555</v>
      </c>
      <c r="X15699" t="s">
        <v>47328</v>
      </c>
    </row>
    <row r="15700" spans="1:24">
      <c r="A15700">
        <f>HYPERLINK("https://www.philgeps.gov.ph/GEPSNONPILOT/Tender/SplashBidNoticeAbstractUI.aspx?menuIndex=3&amp;refID=7161709&amp;Result=3","7161709")</f>
        <v>0</v>
      </c>
      <c r="B15700" t="s">
        <v>1572</v>
      </c>
      <c r="C15700" t="s">
        <v>18746</v>
      </c>
      <c r="D15700" t="s">
        <v>18993</v>
      </c>
      <c r="E15700" t="s">
        <v>32378</v>
      </c>
      <c r="F15700" t="s">
        <v>32606</v>
      </c>
      <c r="G15700" t="s">
        <v>32613</v>
      </c>
      <c r="H15700" t="s">
        <v>14201</v>
      </c>
      <c r="I15700" t="s">
        <v>32640</v>
      </c>
      <c r="J15700" t="s">
        <v>42483</v>
      </c>
      <c r="K15700" t="s">
        <v>42680</v>
      </c>
      <c r="M15700" t="s">
        <v>44583</v>
      </c>
      <c r="N15700" t="s">
        <v>47304</v>
      </c>
      <c r="O15700" t="s">
        <v>47305</v>
      </c>
      <c r="Q15700">
        <v>25</v>
      </c>
      <c r="R15700" t="s">
        <v>47325</v>
      </c>
      <c r="S15700" t="s">
        <v>48769</v>
      </c>
      <c r="T15700" t="s">
        <v>49052</v>
      </c>
      <c r="U15700" t="s">
        <v>62452</v>
      </c>
      <c r="V15700" t="s">
        <v>64390</v>
      </c>
      <c r="W15700" t="s">
        <v>44583</v>
      </c>
      <c r="X15700" t="s">
        <v>47326</v>
      </c>
    </row>
    <row r="15701" spans="1:24">
      <c r="A15701">
        <f>HYPERLINK("https://www.philgeps.gov.ph/GEPSNONPILOT/Tender/SplashBidNoticeAbstractUI.aspx?menuIndex=3&amp;refID=7161593&amp;Result=3","7161593")</f>
        <v>0</v>
      </c>
      <c r="B15701" t="s">
        <v>970</v>
      </c>
      <c r="C15701" t="s">
        <v>18747</v>
      </c>
      <c r="D15701" t="s">
        <v>18990</v>
      </c>
      <c r="E15701" t="s">
        <v>32379</v>
      </c>
      <c r="F15701" t="s">
        <v>32606</v>
      </c>
      <c r="G15701" t="s">
        <v>32613</v>
      </c>
      <c r="H15701" t="s">
        <v>14201</v>
      </c>
      <c r="I15701" t="s">
        <v>32661</v>
      </c>
      <c r="J15701" t="s">
        <v>33750</v>
      </c>
      <c r="K15701" t="s">
        <v>42623</v>
      </c>
      <c r="M15701" t="s">
        <v>43916</v>
      </c>
      <c r="N15701" t="s">
        <v>47304</v>
      </c>
      <c r="O15701" t="s">
        <v>47305</v>
      </c>
      <c r="P15701">
        <v>0</v>
      </c>
      <c r="Q15701">
        <v>1</v>
      </c>
      <c r="R15701" t="s">
        <v>47325</v>
      </c>
      <c r="S15701" t="s">
        <v>48215</v>
      </c>
      <c r="T15701" t="s">
        <v>48980</v>
      </c>
      <c r="U15701" t="s">
        <v>62453</v>
      </c>
      <c r="W15701" t="s">
        <v>43916</v>
      </c>
      <c r="X15701" t="s">
        <v>47326</v>
      </c>
    </row>
    <row r="15702" spans="1:24">
      <c r="A15702">
        <f>HYPERLINK("https://www.philgeps.gov.ph/GEPSNONPILOT/Tender/SplashBidNoticeAbstractUI.aspx?menuIndex=3&amp;refID=7114343&amp;Result=3","7114343")</f>
        <v>0</v>
      </c>
      <c r="B15702" t="s">
        <v>3905</v>
      </c>
      <c r="C15702" t="s">
        <v>18748</v>
      </c>
      <c r="D15702" t="s">
        <v>18993</v>
      </c>
      <c r="E15702" t="s">
        <v>32380</v>
      </c>
      <c r="F15702" t="s">
        <v>32606</v>
      </c>
      <c r="G15702" t="s">
        <v>32619</v>
      </c>
      <c r="H15702" t="s">
        <v>14201</v>
      </c>
      <c r="I15702" t="s">
        <v>32633</v>
      </c>
      <c r="J15702" t="s">
        <v>37288</v>
      </c>
      <c r="K15702" t="s">
        <v>42624</v>
      </c>
      <c r="M15702" t="s">
        <v>47281</v>
      </c>
      <c r="N15702" t="s">
        <v>47304</v>
      </c>
      <c r="O15702" t="s">
        <v>47305</v>
      </c>
      <c r="Q15702">
        <v>2</v>
      </c>
      <c r="R15702" t="s">
        <v>47342</v>
      </c>
      <c r="S15702" t="s">
        <v>47426</v>
      </c>
      <c r="T15702" t="s">
        <v>49062</v>
      </c>
      <c r="U15702" t="s">
        <v>62454</v>
      </c>
      <c r="W15702" t="s">
        <v>47281</v>
      </c>
      <c r="X15702" t="s">
        <v>47345</v>
      </c>
    </row>
    <row r="15703" spans="1:24">
      <c r="A15703">
        <f>HYPERLINK("https://www.philgeps.gov.ph/GEPSNONPILOT/Tender/SplashBidNoticeAbstractUI.aspx?menuIndex=3&amp;refID=7116038&amp;Result=3","7116038")</f>
        <v>0</v>
      </c>
      <c r="B15703" t="s">
        <v>1077</v>
      </c>
      <c r="C15703" t="s">
        <v>18749</v>
      </c>
      <c r="D15703" t="s">
        <v>19069</v>
      </c>
      <c r="E15703" t="s">
        <v>32381</v>
      </c>
      <c r="F15703" t="s">
        <v>32606</v>
      </c>
      <c r="G15703" t="s">
        <v>32613</v>
      </c>
      <c r="H15703" t="s">
        <v>32624</v>
      </c>
      <c r="I15703" t="s">
        <v>32652</v>
      </c>
      <c r="J15703" t="s">
        <v>42484</v>
      </c>
      <c r="K15703" t="s">
        <v>42626</v>
      </c>
      <c r="M15703" t="s">
        <v>46998</v>
      </c>
      <c r="N15703" t="s">
        <v>47304</v>
      </c>
      <c r="O15703" t="s">
        <v>47305</v>
      </c>
      <c r="Q15703">
        <v>2</v>
      </c>
      <c r="R15703" t="s">
        <v>47342</v>
      </c>
      <c r="S15703" t="s">
        <v>48770</v>
      </c>
      <c r="T15703" t="s">
        <v>49364</v>
      </c>
      <c r="U15703" t="s">
        <v>62455</v>
      </c>
      <c r="W15703" t="s">
        <v>46998</v>
      </c>
      <c r="X15703" t="s">
        <v>47345</v>
      </c>
    </row>
    <row r="15704" spans="1:24">
      <c r="A15704">
        <f>HYPERLINK("https://www.philgeps.gov.ph/GEPSNONPILOT/Tender/SplashBidNoticeAbstractUI.aspx?menuIndex=3&amp;refID=7111972&amp;Result=3","7111972")</f>
        <v>0</v>
      </c>
      <c r="B15704" t="s">
        <v>656</v>
      </c>
      <c r="C15704" t="s">
        <v>18750</v>
      </c>
      <c r="D15704" t="s">
        <v>18993</v>
      </c>
      <c r="E15704" t="s">
        <v>32382</v>
      </c>
      <c r="F15704" t="s">
        <v>32606</v>
      </c>
      <c r="G15704" t="s">
        <v>32614</v>
      </c>
      <c r="H15704" t="s">
        <v>14201</v>
      </c>
      <c r="I15704" t="s">
        <v>32662</v>
      </c>
      <c r="J15704" t="s">
        <v>33155</v>
      </c>
      <c r="K15704" t="s">
        <v>42630</v>
      </c>
      <c r="M15704" t="s">
        <v>43576</v>
      </c>
      <c r="N15704" t="s">
        <v>47304</v>
      </c>
      <c r="O15704" t="s">
        <v>47305</v>
      </c>
      <c r="Q15704">
        <v>2</v>
      </c>
      <c r="R15704" t="s">
        <v>47345</v>
      </c>
      <c r="S15704" t="s">
        <v>48771</v>
      </c>
      <c r="T15704" t="s">
        <v>49158</v>
      </c>
      <c r="U15704" t="s">
        <v>62456</v>
      </c>
      <c r="W15704" t="s">
        <v>43576</v>
      </c>
      <c r="X15704" t="s">
        <v>47346</v>
      </c>
    </row>
    <row r="15705" spans="1:24">
      <c r="A15705">
        <f>HYPERLINK("https://www.philgeps.gov.ph/GEPSNONPILOT/Tender/SplashBidNoticeAbstractUI.aspx?menuIndex=3&amp;refID=7116020&amp;Result=3","7116020")</f>
        <v>0</v>
      </c>
      <c r="B15705" t="s">
        <v>1077</v>
      </c>
      <c r="C15705" t="s">
        <v>18751</v>
      </c>
      <c r="D15705" t="s">
        <v>19069</v>
      </c>
      <c r="E15705" t="s">
        <v>32383</v>
      </c>
      <c r="F15705" t="s">
        <v>32606</v>
      </c>
      <c r="G15705" t="s">
        <v>32613</v>
      </c>
      <c r="H15705" t="s">
        <v>32624</v>
      </c>
      <c r="I15705" t="s">
        <v>32652</v>
      </c>
      <c r="J15705" t="s">
        <v>42485</v>
      </c>
      <c r="K15705" t="s">
        <v>42626</v>
      </c>
      <c r="M15705" t="s">
        <v>46998</v>
      </c>
      <c r="N15705" t="s">
        <v>47304</v>
      </c>
      <c r="O15705" t="s">
        <v>47305</v>
      </c>
      <c r="Q15705">
        <v>5</v>
      </c>
      <c r="R15705" t="s">
        <v>47342</v>
      </c>
      <c r="S15705" t="s">
        <v>48451</v>
      </c>
      <c r="T15705" t="s">
        <v>49364</v>
      </c>
      <c r="U15705" t="s">
        <v>62457</v>
      </c>
      <c r="W15705" t="s">
        <v>46998</v>
      </c>
      <c r="X15705" t="s">
        <v>47345</v>
      </c>
    </row>
    <row r="15706" spans="1:24">
      <c r="A15706">
        <f>HYPERLINK("https://www.philgeps.gov.ph/GEPSNONPILOT/Tender/SplashBidNoticeAbstractUI.aspx?menuIndex=3&amp;refID=7115972&amp;Result=3","7115972")</f>
        <v>0</v>
      </c>
      <c r="B15706" t="s">
        <v>3906</v>
      </c>
      <c r="C15706" t="s">
        <v>18752</v>
      </c>
      <c r="D15706" t="s">
        <v>19007</v>
      </c>
      <c r="E15706" t="s">
        <v>32384</v>
      </c>
      <c r="F15706" t="s">
        <v>32606</v>
      </c>
      <c r="G15706" t="s">
        <v>32613</v>
      </c>
      <c r="H15706" t="s">
        <v>14201</v>
      </c>
      <c r="I15706" t="s">
        <v>32673</v>
      </c>
      <c r="J15706" t="s">
        <v>33273</v>
      </c>
      <c r="K15706" t="s">
        <v>42631</v>
      </c>
      <c r="M15706" t="s">
        <v>47282</v>
      </c>
      <c r="N15706" t="s">
        <v>47304</v>
      </c>
      <c r="O15706" t="s">
        <v>47305</v>
      </c>
      <c r="Q15706">
        <v>5</v>
      </c>
      <c r="R15706" t="s">
        <v>47342</v>
      </c>
      <c r="S15706" t="s">
        <v>48772</v>
      </c>
      <c r="T15706" t="s">
        <v>49268</v>
      </c>
      <c r="U15706" t="s">
        <v>62458</v>
      </c>
      <c r="W15706" t="s">
        <v>47282</v>
      </c>
      <c r="X15706" t="s">
        <v>47345</v>
      </c>
    </row>
    <row r="15707" spans="1:24">
      <c r="A15707">
        <f>HYPERLINK("https://www.philgeps.gov.ph/GEPSNONPILOT/Tender/SplashBidNoticeAbstractUI.aspx?menuIndex=3&amp;refID=7115646&amp;Result=3","7115646")</f>
        <v>0</v>
      </c>
      <c r="B15707" t="s">
        <v>2397</v>
      </c>
      <c r="C15707" t="s">
        <v>18753</v>
      </c>
      <c r="E15707" t="s">
        <v>32385</v>
      </c>
      <c r="F15707" t="s">
        <v>32606</v>
      </c>
      <c r="G15707" t="s">
        <v>32613</v>
      </c>
      <c r="H15707" t="s">
        <v>32625</v>
      </c>
      <c r="I15707" t="s">
        <v>32625</v>
      </c>
      <c r="J15707" t="s">
        <v>42486</v>
      </c>
      <c r="K15707" t="s">
        <v>42624</v>
      </c>
      <c r="M15707" t="s">
        <v>45518</v>
      </c>
      <c r="N15707" t="s">
        <v>47304</v>
      </c>
      <c r="O15707" t="s">
        <v>47305</v>
      </c>
      <c r="Q15707">
        <v>11</v>
      </c>
      <c r="R15707" t="s">
        <v>47342</v>
      </c>
      <c r="S15707" t="s">
        <v>48773</v>
      </c>
      <c r="T15707" t="s">
        <v>48986</v>
      </c>
      <c r="U15707" t="s">
        <v>62459</v>
      </c>
      <c r="W15707" t="s">
        <v>64504</v>
      </c>
      <c r="X15707" t="s">
        <v>47345</v>
      </c>
    </row>
    <row r="15708" spans="1:24">
      <c r="A15708">
        <f>HYPERLINK("https://www.philgeps.gov.ph/GEPSNONPILOT/Tender/SplashBidNoticeAbstractUI.aspx?menuIndex=3&amp;refID=7115667&amp;Result=3","7115667")</f>
        <v>0</v>
      </c>
      <c r="B15708" t="s">
        <v>2397</v>
      </c>
      <c r="C15708" t="s">
        <v>18754</v>
      </c>
      <c r="E15708" t="s">
        <v>32386</v>
      </c>
      <c r="F15708" t="s">
        <v>32606</v>
      </c>
      <c r="G15708" t="s">
        <v>32613</v>
      </c>
      <c r="H15708" t="s">
        <v>32625</v>
      </c>
      <c r="I15708" t="s">
        <v>32625</v>
      </c>
      <c r="J15708" t="s">
        <v>42487</v>
      </c>
      <c r="K15708" t="s">
        <v>42624</v>
      </c>
      <c r="M15708" t="s">
        <v>45518</v>
      </c>
      <c r="N15708" t="s">
        <v>47304</v>
      </c>
      <c r="O15708" t="s">
        <v>47305</v>
      </c>
      <c r="Q15708">
        <v>9</v>
      </c>
      <c r="R15708" t="s">
        <v>47342</v>
      </c>
      <c r="S15708" t="s">
        <v>48774</v>
      </c>
      <c r="T15708" t="s">
        <v>48986</v>
      </c>
      <c r="U15708" t="s">
        <v>62460</v>
      </c>
      <c r="W15708" t="s">
        <v>64504</v>
      </c>
      <c r="X15708" t="s">
        <v>47345</v>
      </c>
    </row>
    <row r="15709" spans="1:24">
      <c r="A15709">
        <f>HYPERLINK("https://www.philgeps.gov.ph/GEPSNONPILOT/Tender/SplashBidNoticeAbstractUI.aspx?menuIndex=3&amp;refID=7113299&amp;Result=3","7113299")</f>
        <v>0</v>
      </c>
      <c r="B15709" t="s">
        <v>2226</v>
      </c>
      <c r="C15709" t="s">
        <v>18755</v>
      </c>
      <c r="D15709" t="s">
        <v>19058</v>
      </c>
      <c r="E15709" t="s">
        <v>32387</v>
      </c>
      <c r="F15709" t="s">
        <v>32606</v>
      </c>
      <c r="G15709" t="s">
        <v>32613</v>
      </c>
      <c r="H15709" t="s">
        <v>14201</v>
      </c>
      <c r="I15709" t="s">
        <v>32655</v>
      </c>
      <c r="J15709" t="s">
        <v>34894</v>
      </c>
      <c r="K15709" t="s">
        <v>42630</v>
      </c>
      <c r="M15709" t="s">
        <v>47283</v>
      </c>
      <c r="N15709" t="s">
        <v>47304</v>
      </c>
      <c r="O15709" t="s">
        <v>47305</v>
      </c>
      <c r="Q15709">
        <v>7</v>
      </c>
      <c r="R15709" t="s">
        <v>47342</v>
      </c>
      <c r="S15709" t="s">
        <v>48775</v>
      </c>
      <c r="T15709" t="s">
        <v>49268</v>
      </c>
      <c r="U15709" t="s">
        <v>60932</v>
      </c>
      <c r="W15709" t="s">
        <v>47283</v>
      </c>
      <c r="X15709" t="s">
        <v>47345</v>
      </c>
    </row>
    <row r="15710" spans="1:24">
      <c r="A15710">
        <f>HYPERLINK("https://www.philgeps.gov.ph/GEPSNONPILOT/Tender/SplashBidNoticeAbstractUI.aspx?menuIndex=3&amp;refID=7110298&amp;Result=3","7110298")</f>
        <v>0</v>
      </c>
      <c r="B15710" t="s">
        <v>877</v>
      </c>
      <c r="C15710" t="s">
        <v>18756</v>
      </c>
      <c r="D15710" t="s">
        <v>19044</v>
      </c>
      <c r="E15710" t="s">
        <v>32388</v>
      </c>
      <c r="F15710" t="s">
        <v>32606</v>
      </c>
      <c r="G15710" t="s">
        <v>32613</v>
      </c>
      <c r="H15710" t="s">
        <v>32623</v>
      </c>
      <c r="I15710" t="s">
        <v>17648</v>
      </c>
      <c r="J15710" t="s">
        <v>38027</v>
      </c>
      <c r="K15710" t="s">
        <v>42636</v>
      </c>
      <c r="M15710" t="s">
        <v>43813</v>
      </c>
      <c r="N15710" t="s">
        <v>47304</v>
      </c>
      <c r="O15710" t="s">
        <v>47305</v>
      </c>
      <c r="P15710">
        <v>0</v>
      </c>
      <c r="Q15710">
        <v>3</v>
      </c>
      <c r="R15710" t="s">
        <v>47345</v>
      </c>
      <c r="S15710" t="s">
        <v>48776</v>
      </c>
      <c r="T15710" t="s">
        <v>49084</v>
      </c>
      <c r="U15710" t="s">
        <v>62461</v>
      </c>
      <c r="W15710" t="s">
        <v>43813</v>
      </c>
      <c r="X15710" t="s">
        <v>47346</v>
      </c>
    </row>
    <row r="15711" spans="1:24">
      <c r="A15711">
        <f>HYPERLINK("https://www.philgeps.gov.ph/GEPSNONPILOT/Tender/SplashBidNoticeAbstractUI.aspx?menuIndex=3&amp;refID=7107966&amp;Result=3","7107966")</f>
        <v>0</v>
      </c>
      <c r="B15711" t="s">
        <v>3907</v>
      </c>
      <c r="C15711" t="s">
        <v>18757</v>
      </c>
      <c r="D15711" t="s">
        <v>18993</v>
      </c>
      <c r="E15711" t="s">
        <v>32389</v>
      </c>
      <c r="F15711" t="s">
        <v>32606</v>
      </c>
      <c r="G15711" t="s">
        <v>32613</v>
      </c>
      <c r="H15711" t="s">
        <v>32624</v>
      </c>
      <c r="I15711" t="s">
        <v>17648</v>
      </c>
      <c r="J15711" t="s">
        <v>42488</v>
      </c>
      <c r="K15711" t="s">
        <v>42631</v>
      </c>
      <c r="M15711" t="s">
        <v>47284</v>
      </c>
      <c r="N15711" t="s">
        <v>47304</v>
      </c>
      <c r="O15711" t="s">
        <v>47305</v>
      </c>
      <c r="Q15711">
        <v>5</v>
      </c>
      <c r="R15711" t="s">
        <v>47346</v>
      </c>
      <c r="S15711" t="s">
        <v>47644</v>
      </c>
      <c r="T15711" t="s">
        <v>49215</v>
      </c>
      <c r="U15711" t="s">
        <v>62462</v>
      </c>
      <c r="W15711" t="s">
        <v>47284</v>
      </c>
      <c r="X15711" t="s">
        <v>47349</v>
      </c>
    </row>
    <row r="15712" spans="1:24">
      <c r="A15712">
        <f>HYPERLINK("https://www.philgeps.gov.ph/GEPSNONPILOT/Tender/SplashBidNoticeAbstractUI.aspx?menuIndex=3&amp;refID=7107674&amp;Result=3","7107674")</f>
        <v>0</v>
      </c>
      <c r="B15712" t="s">
        <v>3907</v>
      </c>
      <c r="C15712" t="s">
        <v>18758</v>
      </c>
      <c r="D15712" t="s">
        <v>18993</v>
      </c>
      <c r="E15712" t="s">
        <v>32390</v>
      </c>
      <c r="F15712" t="s">
        <v>32606</v>
      </c>
      <c r="G15712" t="s">
        <v>32613</v>
      </c>
      <c r="H15712" t="s">
        <v>14201</v>
      </c>
      <c r="I15712" t="s">
        <v>4678</v>
      </c>
      <c r="J15712" t="s">
        <v>42489</v>
      </c>
      <c r="K15712" t="s">
        <v>42648</v>
      </c>
      <c r="M15712" t="s">
        <v>47284</v>
      </c>
      <c r="N15712" t="s">
        <v>47304</v>
      </c>
      <c r="O15712" t="s">
        <v>47305</v>
      </c>
      <c r="Q15712">
        <v>16</v>
      </c>
      <c r="R15712" t="s">
        <v>47346</v>
      </c>
      <c r="S15712" t="s">
        <v>48777</v>
      </c>
      <c r="T15712" t="s">
        <v>48996</v>
      </c>
      <c r="U15712" t="s">
        <v>62463</v>
      </c>
      <c r="W15712" t="s">
        <v>47284</v>
      </c>
      <c r="X15712" t="s">
        <v>47349</v>
      </c>
    </row>
    <row r="15713" spans="1:24">
      <c r="A15713">
        <f>HYPERLINK("https://www.philgeps.gov.ph/GEPSNONPILOT/Tender/SplashBidNoticeAbstractUI.aspx?menuIndex=3&amp;refID=7112789&amp;Result=3","7112789")</f>
        <v>0</v>
      </c>
      <c r="B15713" t="s">
        <v>442</v>
      </c>
      <c r="C15713" t="s">
        <v>18759</v>
      </c>
      <c r="D15713" t="s">
        <v>18993</v>
      </c>
      <c r="E15713" t="s">
        <v>32391</v>
      </c>
      <c r="F15713" t="s">
        <v>32606</v>
      </c>
      <c r="G15713" t="s">
        <v>32613</v>
      </c>
      <c r="H15713" t="s">
        <v>14201</v>
      </c>
      <c r="I15713" t="s">
        <v>7064</v>
      </c>
      <c r="J15713" t="s">
        <v>42490</v>
      </c>
      <c r="K15713" t="s">
        <v>42631</v>
      </c>
      <c r="M15713" t="s">
        <v>47285</v>
      </c>
      <c r="N15713" t="s">
        <v>47304</v>
      </c>
      <c r="O15713" t="s">
        <v>47305</v>
      </c>
      <c r="Q15713">
        <v>14</v>
      </c>
      <c r="R15713" t="s">
        <v>47345</v>
      </c>
      <c r="S15713" t="s">
        <v>48778</v>
      </c>
      <c r="T15713" t="s">
        <v>49373</v>
      </c>
      <c r="U15713" t="s">
        <v>51703</v>
      </c>
      <c r="V15713" t="s">
        <v>64391</v>
      </c>
      <c r="W15713" t="s">
        <v>47285</v>
      </c>
      <c r="X15713" t="s">
        <v>47346</v>
      </c>
    </row>
    <row r="15714" spans="1:24">
      <c r="A15714">
        <f>HYPERLINK("https://www.philgeps.gov.ph/GEPSNONPILOT/Tender/SplashBidNoticeAbstractUI.aspx?menuIndex=3&amp;refID=7112650&amp;Result=3","7112650")</f>
        <v>0</v>
      </c>
      <c r="B15714" t="s">
        <v>392</v>
      </c>
      <c r="C15714" t="s">
        <v>18760</v>
      </c>
      <c r="D15714" t="s">
        <v>18993</v>
      </c>
      <c r="E15714" t="s">
        <v>32392</v>
      </c>
      <c r="F15714" t="s">
        <v>32606</v>
      </c>
      <c r="G15714" t="s">
        <v>32613</v>
      </c>
      <c r="H15714" t="s">
        <v>14201</v>
      </c>
      <c r="I15714" t="s">
        <v>32662</v>
      </c>
      <c r="J15714" t="s">
        <v>36641</v>
      </c>
      <c r="K15714" t="s">
        <v>42648</v>
      </c>
      <c r="M15714" t="s">
        <v>43849</v>
      </c>
      <c r="N15714" t="s">
        <v>47304</v>
      </c>
      <c r="O15714" t="s">
        <v>47305</v>
      </c>
      <c r="Q15714">
        <v>24</v>
      </c>
      <c r="R15714" t="s">
        <v>47345</v>
      </c>
      <c r="S15714" t="s">
        <v>48779</v>
      </c>
      <c r="T15714" t="s">
        <v>48992</v>
      </c>
      <c r="U15714" t="s">
        <v>51716</v>
      </c>
      <c r="W15714" t="s">
        <v>43849</v>
      </c>
      <c r="X15714" t="s">
        <v>47346</v>
      </c>
    </row>
    <row r="15715" spans="1:24">
      <c r="A15715">
        <f>HYPERLINK("https://www.philgeps.gov.ph/GEPSNONPILOT/Tender/SplashBidNoticeAbstractUI.aspx?menuIndex=3&amp;refID=7112642&amp;Result=3","7112642")</f>
        <v>0</v>
      </c>
      <c r="B15715" t="s">
        <v>392</v>
      </c>
      <c r="C15715" t="s">
        <v>18761</v>
      </c>
      <c r="D15715" t="s">
        <v>18993</v>
      </c>
      <c r="E15715" t="s">
        <v>32393</v>
      </c>
      <c r="F15715" t="s">
        <v>32606</v>
      </c>
      <c r="G15715" t="s">
        <v>32613</v>
      </c>
      <c r="H15715" t="s">
        <v>14201</v>
      </c>
      <c r="I15715" t="s">
        <v>6298</v>
      </c>
      <c r="J15715" t="s">
        <v>42491</v>
      </c>
      <c r="K15715" t="s">
        <v>42648</v>
      </c>
      <c r="M15715" t="s">
        <v>43849</v>
      </c>
      <c r="N15715" t="s">
        <v>47304</v>
      </c>
      <c r="O15715" t="s">
        <v>47305</v>
      </c>
      <c r="Q15715">
        <v>6</v>
      </c>
      <c r="R15715" t="s">
        <v>47345</v>
      </c>
      <c r="S15715" t="s">
        <v>48780</v>
      </c>
      <c r="T15715" t="s">
        <v>48992</v>
      </c>
      <c r="U15715" t="s">
        <v>51716</v>
      </c>
      <c r="W15715" t="s">
        <v>43849</v>
      </c>
      <c r="X15715" t="s">
        <v>47346</v>
      </c>
    </row>
    <row r="15716" spans="1:24">
      <c r="A15716">
        <f>HYPERLINK("https://www.philgeps.gov.ph/GEPSNONPILOT/Tender/SplashBidNoticeAbstractUI.aspx?menuIndex=3&amp;refID=7112606&amp;Result=3","7112606")</f>
        <v>0</v>
      </c>
      <c r="B15716" t="s">
        <v>392</v>
      </c>
      <c r="C15716" t="s">
        <v>18762</v>
      </c>
      <c r="D15716" t="s">
        <v>18993</v>
      </c>
      <c r="E15716" t="s">
        <v>32394</v>
      </c>
      <c r="F15716" t="s">
        <v>32606</v>
      </c>
      <c r="G15716" t="s">
        <v>32613</v>
      </c>
      <c r="H15716" t="s">
        <v>14201</v>
      </c>
      <c r="I15716" t="s">
        <v>32662</v>
      </c>
      <c r="J15716" t="s">
        <v>34912</v>
      </c>
      <c r="K15716" t="s">
        <v>42630</v>
      </c>
      <c r="M15716" t="s">
        <v>43849</v>
      </c>
      <c r="N15716" t="s">
        <v>47304</v>
      </c>
      <c r="O15716" t="s">
        <v>47305</v>
      </c>
      <c r="Q15716">
        <v>16</v>
      </c>
      <c r="R15716" t="s">
        <v>47345</v>
      </c>
      <c r="S15716" t="s">
        <v>48781</v>
      </c>
      <c r="T15716" t="s">
        <v>48992</v>
      </c>
      <c r="U15716" t="s">
        <v>62464</v>
      </c>
      <c r="W15716" t="s">
        <v>43849</v>
      </c>
      <c r="X15716" t="s">
        <v>47346</v>
      </c>
    </row>
    <row r="15717" spans="1:24">
      <c r="A15717">
        <f>HYPERLINK("https://www.philgeps.gov.ph/GEPSNONPILOT/Tender/SplashBidNoticeAbstractUI.aspx?menuIndex=3&amp;refID=7116051&amp;Result=3","7116051")</f>
        <v>0</v>
      </c>
      <c r="B15717" t="s">
        <v>1077</v>
      </c>
      <c r="C15717" t="s">
        <v>18763</v>
      </c>
      <c r="D15717" t="s">
        <v>19069</v>
      </c>
      <c r="E15717" t="s">
        <v>32395</v>
      </c>
      <c r="F15717" t="s">
        <v>32606</v>
      </c>
      <c r="G15717" t="s">
        <v>32613</v>
      </c>
      <c r="H15717" t="s">
        <v>32624</v>
      </c>
      <c r="I15717" t="s">
        <v>32652</v>
      </c>
      <c r="J15717" t="s">
        <v>42492</v>
      </c>
      <c r="K15717" t="s">
        <v>42626</v>
      </c>
      <c r="M15717" t="s">
        <v>46998</v>
      </c>
      <c r="N15717" t="s">
        <v>47304</v>
      </c>
      <c r="O15717" t="s">
        <v>47305</v>
      </c>
      <c r="Q15717">
        <v>3</v>
      </c>
      <c r="R15717" t="s">
        <v>47342</v>
      </c>
      <c r="S15717" t="s">
        <v>48782</v>
      </c>
      <c r="T15717" t="s">
        <v>49364</v>
      </c>
      <c r="U15717" t="s">
        <v>62465</v>
      </c>
      <c r="W15717" t="s">
        <v>46998</v>
      </c>
      <c r="X15717" t="s">
        <v>47345</v>
      </c>
    </row>
    <row r="15718" spans="1:24">
      <c r="A15718">
        <f>HYPERLINK("https://www.philgeps.gov.ph/GEPSNONPILOT/Tender/SplashBidNoticeAbstractUI.aspx?menuIndex=3&amp;refID=7115627&amp;Result=3","7115627")</f>
        <v>0</v>
      </c>
      <c r="B15718" t="s">
        <v>2397</v>
      </c>
      <c r="C15718" t="s">
        <v>18764</v>
      </c>
      <c r="E15718" t="s">
        <v>32396</v>
      </c>
      <c r="F15718" t="s">
        <v>32606</v>
      </c>
      <c r="G15718" t="s">
        <v>32613</v>
      </c>
      <c r="H15718" t="s">
        <v>32625</v>
      </c>
      <c r="I15718" t="s">
        <v>32625</v>
      </c>
      <c r="J15718" t="s">
        <v>42493</v>
      </c>
      <c r="K15718" t="s">
        <v>42624</v>
      </c>
      <c r="M15718" t="s">
        <v>45518</v>
      </c>
      <c r="N15718" t="s">
        <v>47304</v>
      </c>
      <c r="O15718" t="s">
        <v>47305</v>
      </c>
      <c r="Q15718">
        <v>15</v>
      </c>
      <c r="R15718" t="s">
        <v>47342</v>
      </c>
      <c r="S15718" t="s">
        <v>48783</v>
      </c>
      <c r="T15718" t="s">
        <v>48986</v>
      </c>
      <c r="U15718" t="s">
        <v>62466</v>
      </c>
      <c r="W15718" t="s">
        <v>64504</v>
      </c>
      <c r="X15718" t="s">
        <v>47345</v>
      </c>
    </row>
    <row r="15719" spans="1:24">
      <c r="A15719">
        <f>HYPERLINK("https://www.philgeps.gov.ph/GEPSNONPILOT/Tender/SplashBidNoticeAbstractUI.aspx?menuIndex=3&amp;refID=7116057&amp;Result=3","7116057")</f>
        <v>0</v>
      </c>
      <c r="B15719" t="s">
        <v>1077</v>
      </c>
      <c r="C15719" t="s">
        <v>18765</v>
      </c>
      <c r="D15719" t="s">
        <v>19069</v>
      </c>
      <c r="E15719" t="s">
        <v>32397</v>
      </c>
      <c r="F15719" t="s">
        <v>32606</v>
      </c>
      <c r="G15719" t="s">
        <v>32613</v>
      </c>
      <c r="H15719" t="s">
        <v>32624</v>
      </c>
      <c r="I15719" t="s">
        <v>32652</v>
      </c>
      <c r="J15719" t="s">
        <v>42494</v>
      </c>
      <c r="K15719" t="s">
        <v>42626</v>
      </c>
      <c r="M15719" t="s">
        <v>46998</v>
      </c>
      <c r="N15719" t="s">
        <v>47304</v>
      </c>
      <c r="O15719" t="s">
        <v>47305</v>
      </c>
      <c r="Q15719">
        <v>6</v>
      </c>
      <c r="R15719" t="s">
        <v>47342</v>
      </c>
      <c r="S15719" t="s">
        <v>48784</v>
      </c>
      <c r="T15719" t="s">
        <v>49364</v>
      </c>
      <c r="U15719" t="s">
        <v>62467</v>
      </c>
      <c r="W15719" t="s">
        <v>46998</v>
      </c>
      <c r="X15719" t="s">
        <v>47345</v>
      </c>
    </row>
    <row r="15720" spans="1:24">
      <c r="A15720">
        <f>HYPERLINK("https://www.philgeps.gov.ph/GEPSNONPILOT/Tender/SplashBidNoticeAbstractUI.aspx?menuIndex=3&amp;refID=7100878&amp;Result=3","7100878")</f>
        <v>0</v>
      </c>
      <c r="B15720" t="s">
        <v>2089</v>
      </c>
      <c r="C15720" t="s">
        <v>8898</v>
      </c>
      <c r="E15720" t="s">
        <v>32398</v>
      </c>
      <c r="F15720" t="s">
        <v>32606</v>
      </c>
      <c r="G15720" t="s">
        <v>32619</v>
      </c>
      <c r="H15720" t="s">
        <v>14201</v>
      </c>
      <c r="I15720" t="s">
        <v>32658</v>
      </c>
      <c r="J15720" t="s">
        <v>34038</v>
      </c>
      <c r="K15720" t="s">
        <v>42631</v>
      </c>
      <c r="M15720" t="s">
        <v>47286</v>
      </c>
      <c r="N15720" t="s">
        <v>47304</v>
      </c>
      <c r="O15720" t="s">
        <v>47305</v>
      </c>
      <c r="Q15720">
        <v>9</v>
      </c>
      <c r="R15720" t="s">
        <v>47347</v>
      </c>
      <c r="S15720" t="s">
        <v>48785</v>
      </c>
      <c r="T15720" t="s">
        <v>49071</v>
      </c>
      <c r="U15720" t="s">
        <v>62468</v>
      </c>
      <c r="W15720" t="s">
        <v>47286</v>
      </c>
      <c r="X15720" t="s">
        <v>47350</v>
      </c>
    </row>
    <row r="15721" spans="1:24">
      <c r="A15721">
        <f>HYPERLINK("https://www.philgeps.gov.ph/GEPSNONPILOT/Tender/SplashBidNoticeAbstractUI.aspx?menuIndex=3&amp;refID=7102568&amp;Result=3","7102568")</f>
        <v>0</v>
      </c>
      <c r="B15721" t="s">
        <v>3832</v>
      </c>
      <c r="C15721" t="s">
        <v>18766</v>
      </c>
      <c r="D15721" t="s">
        <v>19011</v>
      </c>
      <c r="E15721" t="s">
        <v>32399</v>
      </c>
      <c r="F15721" t="s">
        <v>32606</v>
      </c>
      <c r="G15721" t="s">
        <v>32615</v>
      </c>
      <c r="H15721" t="s">
        <v>32624</v>
      </c>
      <c r="I15721" t="s">
        <v>9297</v>
      </c>
      <c r="J15721" t="s">
        <v>32767</v>
      </c>
      <c r="K15721" t="s">
        <v>42784</v>
      </c>
      <c r="M15721" t="s">
        <v>47180</v>
      </c>
      <c r="N15721" t="s">
        <v>47304</v>
      </c>
      <c r="O15721" t="s">
        <v>47305</v>
      </c>
      <c r="Q15721">
        <v>1</v>
      </c>
      <c r="R15721" t="s">
        <v>47347</v>
      </c>
      <c r="S15721" t="s">
        <v>48786</v>
      </c>
      <c r="T15721" t="s">
        <v>48995</v>
      </c>
      <c r="U15721" t="s">
        <v>61844</v>
      </c>
      <c r="V15721" t="s">
        <v>64296</v>
      </c>
      <c r="W15721" t="s">
        <v>47180</v>
      </c>
      <c r="X15721" t="s">
        <v>47350</v>
      </c>
    </row>
    <row r="15722" spans="1:24">
      <c r="A15722">
        <f>HYPERLINK("https://www.philgeps.gov.ph/GEPSNONPILOT/Tender/SplashBidNoticeAbstractUI.aspx?menuIndex=3&amp;refID=7103347&amp;Result=3","7103347")</f>
        <v>0</v>
      </c>
      <c r="B15722" t="s">
        <v>392</v>
      </c>
      <c r="C15722" t="s">
        <v>18767</v>
      </c>
      <c r="D15722" t="s">
        <v>18993</v>
      </c>
      <c r="E15722" t="s">
        <v>32400</v>
      </c>
      <c r="F15722" t="s">
        <v>32606</v>
      </c>
      <c r="G15722" t="s">
        <v>32613</v>
      </c>
      <c r="H15722" t="s">
        <v>14201</v>
      </c>
      <c r="I15722" t="s">
        <v>32691</v>
      </c>
      <c r="J15722" t="s">
        <v>42495</v>
      </c>
      <c r="K15722" t="s">
        <v>42630</v>
      </c>
      <c r="M15722" t="s">
        <v>43849</v>
      </c>
      <c r="N15722" t="s">
        <v>47304</v>
      </c>
      <c r="O15722" t="s">
        <v>47305</v>
      </c>
      <c r="Q15722">
        <v>15</v>
      </c>
      <c r="R15722" t="s">
        <v>47348</v>
      </c>
      <c r="S15722" t="s">
        <v>48787</v>
      </c>
      <c r="T15722" t="s">
        <v>48992</v>
      </c>
      <c r="U15722" t="s">
        <v>51716</v>
      </c>
      <c r="W15722" t="s">
        <v>43849</v>
      </c>
      <c r="X15722" t="s">
        <v>47347</v>
      </c>
    </row>
    <row r="15723" spans="1:24">
      <c r="A15723">
        <f>HYPERLINK("https://www.philgeps.gov.ph/GEPSNONPILOT/Tender/SplashBidNoticeAbstractUI.aspx?menuIndex=3&amp;refID=7103352&amp;Result=3","7103352")</f>
        <v>0</v>
      </c>
      <c r="B15723" t="s">
        <v>392</v>
      </c>
      <c r="C15723" t="s">
        <v>18768</v>
      </c>
      <c r="D15723" t="s">
        <v>18993</v>
      </c>
      <c r="E15723" t="s">
        <v>32401</v>
      </c>
      <c r="F15723" t="s">
        <v>32606</v>
      </c>
      <c r="G15723" t="s">
        <v>32613</v>
      </c>
      <c r="H15723" t="s">
        <v>14201</v>
      </c>
      <c r="I15723" t="s">
        <v>32691</v>
      </c>
      <c r="J15723" t="s">
        <v>34561</v>
      </c>
      <c r="K15723" t="s">
        <v>42630</v>
      </c>
      <c r="M15723" t="s">
        <v>43849</v>
      </c>
      <c r="N15723" t="s">
        <v>47304</v>
      </c>
      <c r="O15723" t="s">
        <v>47305</v>
      </c>
      <c r="Q15723">
        <v>14</v>
      </c>
      <c r="R15723" t="s">
        <v>47349</v>
      </c>
      <c r="S15723" t="s">
        <v>48788</v>
      </c>
      <c r="T15723" t="s">
        <v>48992</v>
      </c>
      <c r="U15723" t="s">
        <v>62464</v>
      </c>
      <c r="W15723" t="s">
        <v>43849</v>
      </c>
      <c r="X15723" t="s">
        <v>47347</v>
      </c>
    </row>
    <row r="15724" spans="1:24">
      <c r="A15724">
        <f>HYPERLINK("https://www.philgeps.gov.ph/GEPSNONPILOT/Tender/SplashBidNoticeAbstractUI.aspx?menuIndex=3&amp;refID=7109822&amp;Result=3","7109822")</f>
        <v>0</v>
      </c>
      <c r="B15724" t="s">
        <v>28</v>
      </c>
      <c r="C15724" t="s">
        <v>18769</v>
      </c>
      <c r="D15724" t="s">
        <v>19028</v>
      </c>
      <c r="E15724" t="s">
        <v>32402</v>
      </c>
      <c r="F15724" t="s">
        <v>32606</v>
      </c>
      <c r="G15724" t="s">
        <v>32615</v>
      </c>
      <c r="H15724" t="s">
        <v>14201</v>
      </c>
      <c r="I15724" t="s">
        <v>32652</v>
      </c>
      <c r="J15724" t="s">
        <v>42496</v>
      </c>
      <c r="K15724" t="s">
        <v>42636</v>
      </c>
      <c r="M15724" t="s">
        <v>47287</v>
      </c>
      <c r="N15724" t="s">
        <v>47304</v>
      </c>
      <c r="O15724" t="s">
        <v>47305</v>
      </c>
      <c r="Q15724">
        <v>4</v>
      </c>
      <c r="R15724" t="s">
        <v>47346</v>
      </c>
      <c r="S15724" t="s">
        <v>48411</v>
      </c>
      <c r="T15724" t="s">
        <v>49268</v>
      </c>
      <c r="U15724" t="s">
        <v>62469</v>
      </c>
      <c r="W15724" t="s">
        <v>47287</v>
      </c>
      <c r="X15724" t="s">
        <v>47349</v>
      </c>
    </row>
    <row r="15725" spans="1:24">
      <c r="A15725">
        <f>HYPERLINK("https://www.philgeps.gov.ph/GEPSNONPILOT/Tender/SplashBidNoticeAbstractUI.aspx?menuIndex=3&amp;refID=7109136&amp;Result=3","7109136")</f>
        <v>0</v>
      </c>
      <c r="B15725" t="s">
        <v>1349</v>
      </c>
      <c r="C15725" t="s">
        <v>18770</v>
      </c>
      <c r="D15725" t="s">
        <v>19014</v>
      </c>
      <c r="E15725" t="s">
        <v>32403</v>
      </c>
      <c r="F15725" t="s">
        <v>32606</v>
      </c>
      <c r="G15725" t="s">
        <v>32614</v>
      </c>
      <c r="H15725" t="s">
        <v>32623</v>
      </c>
      <c r="I15725" t="s">
        <v>17648</v>
      </c>
      <c r="J15725" t="s">
        <v>42497</v>
      </c>
      <c r="K15725" t="s">
        <v>42648</v>
      </c>
      <c r="M15725" t="s">
        <v>44323</v>
      </c>
      <c r="N15725" t="s">
        <v>47304</v>
      </c>
      <c r="O15725" t="s">
        <v>47305</v>
      </c>
      <c r="Q15725">
        <v>1</v>
      </c>
      <c r="R15725" t="s">
        <v>47346</v>
      </c>
      <c r="S15725" t="s">
        <v>48789</v>
      </c>
      <c r="T15725" t="s">
        <v>49140</v>
      </c>
      <c r="U15725" t="s">
        <v>62470</v>
      </c>
      <c r="W15725" t="s">
        <v>44323</v>
      </c>
      <c r="X15725" t="s">
        <v>47349</v>
      </c>
    </row>
    <row r="15726" spans="1:24">
      <c r="A15726">
        <f>HYPERLINK("https://www.philgeps.gov.ph/GEPSNONPILOT/Tender/SplashBidNoticeAbstractUI.aspx?menuIndex=3&amp;refID=7101707&amp;Result=3","7101707")</f>
        <v>0</v>
      </c>
      <c r="B15726" t="s">
        <v>3832</v>
      </c>
      <c r="C15726" t="s">
        <v>18771</v>
      </c>
      <c r="D15726" t="s">
        <v>18993</v>
      </c>
      <c r="E15726" t="s">
        <v>32404</v>
      </c>
      <c r="F15726" t="s">
        <v>32606</v>
      </c>
      <c r="G15726" t="s">
        <v>32613</v>
      </c>
      <c r="H15726" t="s">
        <v>32624</v>
      </c>
      <c r="I15726" t="s">
        <v>32633</v>
      </c>
      <c r="J15726" t="s">
        <v>42498</v>
      </c>
      <c r="K15726" t="s">
        <v>42639</v>
      </c>
      <c r="M15726" t="s">
        <v>47180</v>
      </c>
      <c r="N15726" t="s">
        <v>47304</v>
      </c>
      <c r="O15726" t="s">
        <v>47305</v>
      </c>
      <c r="Q15726">
        <v>23</v>
      </c>
      <c r="R15726" t="s">
        <v>47347</v>
      </c>
      <c r="S15726" t="s">
        <v>47968</v>
      </c>
      <c r="T15726" t="s">
        <v>48995</v>
      </c>
      <c r="U15726" t="s">
        <v>61844</v>
      </c>
      <c r="V15726" t="s">
        <v>64296</v>
      </c>
      <c r="W15726" t="s">
        <v>47180</v>
      </c>
      <c r="X15726" t="s">
        <v>47350</v>
      </c>
    </row>
    <row r="15727" spans="1:24">
      <c r="A15727">
        <f>HYPERLINK("https://www.philgeps.gov.ph/GEPSNONPILOT/Tender/SplashBidNoticeAbstractUI.aspx?menuIndex=3&amp;refID=7108484&amp;Result=3","7108484")</f>
        <v>0</v>
      </c>
      <c r="B15727" t="s">
        <v>3907</v>
      </c>
      <c r="C15727" t="s">
        <v>18772</v>
      </c>
      <c r="D15727" t="s">
        <v>18993</v>
      </c>
      <c r="E15727" t="s">
        <v>32405</v>
      </c>
      <c r="F15727" t="s">
        <v>32606</v>
      </c>
      <c r="G15727" t="s">
        <v>32613</v>
      </c>
      <c r="H15727" t="s">
        <v>14201</v>
      </c>
      <c r="I15727" t="s">
        <v>7577</v>
      </c>
      <c r="J15727" t="s">
        <v>42499</v>
      </c>
      <c r="K15727" t="s">
        <v>42636</v>
      </c>
      <c r="M15727" t="s">
        <v>47284</v>
      </c>
      <c r="N15727" t="s">
        <v>47304</v>
      </c>
      <c r="O15727" t="s">
        <v>47305</v>
      </c>
      <c r="Q15727">
        <v>26</v>
      </c>
      <c r="R15727" t="s">
        <v>47346</v>
      </c>
      <c r="S15727" t="s">
        <v>47628</v>
      </c>
      <c r="T15727" t="s">
        <v>49109</v>
      </c>
      <c r="U15727" t="s">
        <v>62471</v>
      </c>
      <c r="W15727" t="s">
        <v>47284</v>
      </c>
      <c r="X15727" t="s">
        <v>47349</v>
      </c>
    </row>
    <row r="15728" spans="1:24">
      <c r="A15728">
        <f>HYPERLINK("https://www.philgeps.gov.ph/GEPSNONPILOT/Tender/SplashBidNoticeAbstractUI.aspx?menuIndex=3&amp;refID=7108056&amp;Result=3","7108056")</f>
        <v>0</v>
      </c>
      <c r="B15728" t="s">
        <v>3775</v>
      </c>
      <c r="C15728" t="s">
        <v>18773</v>
      </c>
      <c r="E15728" t="s">
        <v>32406</v>
      </c>
      <c r="F15728" t="s">
        <v>32606</v>
      </c>
      <c r="G15728" t="s">
        <v>32613</v>
      </c>
      <c r="H15728" t="s">
        <v>32623</v>
      </c>
      <c r="I15728" t="s">
        <v>17648</v>
      </c>
      <c r="J15728" t="s">
        <v>42500</v>
      </c>
      <c r="K15728" t="s">
        <v>42624</v>
      </c>
      <c r="M15728" t="s">
        <v>47110</v>
      </c>
      <c r="N15728" t="s">
        <v>47304</v>
      </c>
      <c r="O15728" t="s">
        <v>47305</v>
      </c>
      <c r="Q15728">
        <v>43</v>
      </c>
      <c r="R15728" t="s">
        <v>47346</v>
      </c>
      <c r="S15728" t="s">
        <v>48790</v>
      </c>
      <c r="T15728" t="s">
        <v>49047</v>
      </c>
      <c r="U15728" t="s">
        <v>62472</v>
      </c>
      <c r="V15728" t="s">
        <v>64392</v>
      </c>
      <c r="W15728" t="s">
        <v>47110</v>
      </c>
      <c r="X15728" t="s">
        <v>47349</v>
      </c>
    </row>
    <row r="15729" spans="1:24">
      <c r="A15729">
        <f>HYPERLINK("https://www.philgeps.gov.ph/GEPSNONPILOT/Tender/SplashBidNoticeAbstractUI.aspx?menuIndex=3&amp;refID=7108364&amp;Result=3","7108364")</f>
        <v>0</v>
      </c>
      <c r="B15729" t="s">
        <v>656</v>
      </c>
      <c r="C15729" t="s">
        <v>18774</v>
      </c>
      <c r="D15729" t="s">
        <v>18993</v>
      </c>
      <c r="E15729" t="s">
        <v>32407</v>
      </c>
      <c r="F15729" t="s">
        <v>32606</v>
      </c>
      <c r="G15729" t="s">
        <v>32614</v>
      </c>
      <c r="H15729" t="s">
        <v>14201</v>
      </c>
      <c r="I15729" t="s">
        <v>32633</v>
      </c>
      <c r="J15729" t="s">
        <v>42501</v>
      </c>
      <c r="K15729" t="s">
        <v>42630</v>
      </c>
      <c r="M15729" t="s">
        <v>43576</v>
      </c>
      <c r="N15729" t="s">
        <v>47304</v>
      </c>
      <c r="O15729" t="s">
        <v>47305</v>
      </c>
      <c r="Q15729">
        <v>4</v>
      </c>
      <c r="R15729" t="s">
        <v>47346</v>
      </c>
      <c r="S15729" t="s">
        <v>48791</v>
      </c>
      <c r="T15729" t="s">
        <v>49158</v>
      </c>
      <c r="U15729" t="s">
        <v>62473</v>
      </c>
      <c r="W15729" t="s">
        <v>43576</v>
      </c>
      <c r="X15729" t="s">
        <v>47349</v>
      </c>
    </row>
    <row r="15730" spans="1:24">
      <c r="A15730">
        <f>HYPERLINK("https://www.philgeps.gov.ph/GEPSNONPILOT/Tender/SplashBidNoticeAbstractUI.aspx?menuIndex=3&amp;refID=7099823&amp;Result=3","7099823")</f>
        <v>0</v>
      </c>
      <c r="B15730" t="s">
        <v>2414</v>
      </c>
      <c r="C15730" t="s">
        <v>18775</v>
      </c>
      <c r="D15730" t="s">
        <v>19067</v>
      </c>
      <c r="E15730" t="s">
        <v>32408</v>
      </c>
      <c r="F15730" t="s">
        <v>32606</v>
      </c>
      <c r="G15730" t="s">
        <v>32617</v>
      </c>
      <c r="H15730" t="s">
        <v>14201</v>
      </c>
      <c r="I15730" t="s">
        <v>6298</v>
      </c>
      <c r="J15730" t="s">
        <v>42502</v>
      </c>
      <c r="K15730" t="s">
        <v>42631</v>
      </c>
      <c r="M15730" t="s">
        <v>46458</v>
      </c>
      <c r="N15730" t="s">
        <v>47304</v>
      </c>
      <c r="O15730" t="s">
        <v>47305</v>
      </c>
      <c r="Q15730">
        <v>9</v>
      </c>
      <c r="R15730" t="s">
        <v>47350</v>
      </c>
      <c r="S15730" t="s">
        <v>48792</v>
      </c>
      <c r="T15730" t="s">
        <v>49068</v>
      </c>
      <c r="U15730" t="s">
        <v>58605</v>
      </c>
      <c r="W15730" t="s">
        <v>46458</v>
      </c>
      <c r="X15730" t="s">
        <v>47353</v>
      </c>
    </row>
    <row r="15731" spans="1:24">
      <c r="A15731">
        <f>HYPERLINK("https://www.philgeps.gov.ph/GEPSNONPILOT/Tender/SplashBidNoticeAbstractUI.aspx?menuIndex=3&amp;refID=7097858&amp;Result=3","7097858")</f>
        <v>0</v>
      </c>
      <c r="B15731" t="s">
        <v>3908</v>
      </c>
      <c r="C15731" t="s">
        <v>18776</v>
      </c>
      <c r="D15731" t="s">
        <v>19028</v>
      </c>
      <c r="E15731" t="s">
        <v>32409</v>
      </c>
      <c r="F15731" t="s">
        <v>32606</v>
      </c>
      <c r="G15731" t="s">
        <v>32613</v>
      </c>
      <c r="H15731" t="s">
        <v>14201</v>
      </c>
      <c r="I15731" t="s">
        <v>32695</v>
      </c>
      <c r="J15731" t="s">
        <v>34128</v>
      </c>
      <c r="K15731" t="s">
        <v>42648</v>
      </c>
      <c r="M15731" t="s">
        <v>47288</v>
      </c>
      <c r="N15731" t="s">
        <v>47304</v>
      </c>
      <c r="O15731" t="s">
        <v>47305</v>
      </c>
      <c r="P15731">
        <v>0</v>
      </c>
      <c r="Q15731">
        <v>10</v>
      </c>
      <c r="R15731" t="s">
        <v>47350</v>
      </c>
      <c r="S15731" t="s">
        <v>48793</v>
      </c>
      <c r="T15731" t="s">
        <v>49050</v>
      </c>
      <c r="U15731" t="s">
        <v>62474</v>
      </c>
      <c r="W15731" t="s">
        <v>47288</v>
      </c>
      <c r="X15731" t="s">
        <v>47353</v>
      </c>
    </row>
    <row r="15732" spans="1:24">
      <c r="A15732">
        <f>HYPERLINK("https://www.philgeps.gov.ph/GEPSNONPILOT/Tender/SplashBidNoticeAbstractUI.aspx?menuIndex=3&amp;refID=7116302&amp;Result=3","7116302")</f>
        <v>0</v>
      </c>
      <c r="B15732" t="s">
        <v>278</v>
      </c>
      <c r="C15732" t="s">
        <v>18777</v>
      </c>
      <c r="D15732" t="s">
        <v>19016</v>
      </c>
      <c r="E15732" t="s">
        <v>32410</v>
      </c>
      <c r="F15732" t="s">
        <v>32606</v>
      </c>
      <c r="G15732" t="s">
        <v>32614</v>
      </c>
      <c r="H15732" t="s">
        <v>14201</v>
      </c>
      <c r="I15732" t="s">
        <v>32625</v>
      </c>
      <c r="J15732" t="s">
        <v>42503</v>
      </c>
      <c r="K15732" t="s">
        <v>42631</v>
      </c>
      <c r="M15732" t="s">
        <v>43179</v>
      </c>
      <c r="N15732" t="s">
        <v>47304</v>
      </c>
      <c r="O15732" t="s">
        <v>47305</v>
      </c>
      <c r="Q15732">
        <v>1</v>
      </c>
      <c r="R15732" t="s">
        <v>47342</v>
      </c>
      <c r="S15732" t="s">
        <v>48794</v>
      </c>
      <c r="T15732" t="s">
        <v>49071</v>
      </c>
      <c r="U15732" t="s">
        <v>62475</v>
      </c>
      <c r="W15732" t="s">
        <v>43179</v>
      </c>
      <c r="X15732" t="s">
        <v>47345</v>
      </c>
    </row>
    <row r="15733" spans="1:24">
      <c r="A15733">
        <f>HYPERLINK("https://www.philgeps.gov.ph/GEPSNONPILOT/Tender/SplashBidNoticeAbstractUI.aspx?menuIndex=3&amp;refID=7116046&amp;Result=3","7116046")</f>
        <v>0</v>
      </c>
      <c r="B15733" t="s">
        <v>1077</v>
      </c>
      <c r="C15733" t="s">
        <v>18778</v>
      </c>
      <c r="D15733" t="s">
        <v>19069</v>
      </c>
      <c r="E15733" t="s">
        <v>32411</v>
      </c>
      <c r="F15733" t="s">
        <v>32606</v>
      </c>
      <c r="G15733" t="s">
        <v>32613</v>
      </c>
      <c r="H15733" t="s">
        <v>32624</v>
      </c>
      <c r="I15733" t="s">
        <v>32652</v>
      </c>
      <c r="J15733" t="s">
        <v>42504</v>
      </c>
      <c r="K15733" t="s">
        <v>42626</v>
      </c>
      <c r="M15733" t="s">
        <v>46998</v>
      </c>
      <c r="N15733" t="s">
        <v>47304</v>
      </c>
      <c r="O15733" t="s">
        <v>47305</v>
      </c>
      <c r="Q15733">
        <v>3</v>
      </c>
      <c r="R15733" t="s">
        <v>47342</v>
      </c>
      <c r="S15733" t="s">
        <v>48795</v>
      </c>
      <c r="T15733" t="s">
        <v>49364</v>
      </c>
      <c r="U15733" t="s">
        <v>62476</v>
      </c>
      <c r="W15733" t="s">
        <v>46998</v>
      </c>
      <c r="X15733" t="s">
        <v>47345</v>
      </c>
    </row>
    <row r="15734" spans="1:24">
      <c r="A15734">
        <f>HYPERLINK("https://www.philgeps.gov.ph/GEPSNONPILOT/Tender/SplashBidNoticeAbstractUI.aspx?menuIndex=3&amp;refID=7097851&amp;Result=3","7097851")</f>
        <v>0</v>
      </c>
      <c r="B15734" t="s">
        <v>696</v>
      </c>
      <c r="C15734" t="s">
        <v>18779</v>
      </c>
      <c r="D15734" t="s">
        <v>18993</v>
      </c>
      <c r="E15734" t="s">
        <v>32412</v>
      </c>
      <c r="F15734" t="s">
        <v>32606</v>
      </c>
      <c r="G15734" t="s">
        <v>32617</v>
      </c>
      <c r="H15734" t="s">
        <v>14201</v>
      </c>
      <c r="I15734" t="s">
        <v>6298</v>
      </c>
      <c r="J15734" t="s">
        <v>42505</v>
      </c>
      <c r="K15734" t="s">
        <v>42623</v>
      </c>
      <c r="M15734" t="s">
        <v>45418</v>
      </c>
      <c r="N15734" t="s">
        <v>47304</v>
      </c>
      <c r="O15734" t="s">
        <v>47305</v>
      </c>
      <c r="Q15734">
        <v>4</v>
      </c>
      <c r="R15734" t="s">
        <v>47350</v>
      </c>
      <c r="S15734" t="s">
        <v>48796</v>
      </c>
      <c r="T15734" t="s">
        <v>49050</v>
      </c>
      <c r="U15734" t="s">
        <v>50770</v>
      </c>
      <c r="V15734" t="s">
        <v>64393</v>
      </c>
      <c r="W15734" t="s">
        <v>45418</v>
      </c>
      <c r="X15734" t="s">
        <v>47353</v>
      </c>
    </row>
    <row r="15735" spans="1:24">
      <c r="A15735">
        <f>HYPERLINK("https://www.philgeps.gov.ph/GEPSNONPILOT/Tender/SplashBidNoticeAbstractUI.aspx?menuIndex=3&amp;refID=7095618&amp;Result=3","7095618")</f>
        <v>0</v>
      </c>
      <c r="B15735" t="s">
        <v>2089</v>
      </c>
      <c r="C15735" t="s">
        <v>18780</v>
      </c>
      <c r="D15735" t="s">
        <v>18993</v>
      </c>
      <c r="E15735" t="s">
        <v>32413</v>
      </c>
      <c r="F15735" t="s">
        <v>32606</v>
      </c>
      <c r="G15735" t="s">
        <v>32613</v>
      </c>
      <c r="H15735" t="s">
        <v>14201</v>
      </c>
      <c r="I15735" t="s">
        <v>32718</v>
      </c>
      <c r="J15735" t="s">
        <v>42506</v>
      </c>
      <c r="K15735" t="s">
        <v>42624</v>
      </c>
      <c r="M15735" t="s">
        <v>47286</v>
      </c>
      <c r="N15735" t="s">
        <v>47304</v>
      </c>
      <c r="O15735" t="s">
        <v>47305</v>
      </c>
      <c r="Q15735">
        <v>18</v>
      </c>
      <c r="R15735" t="s">
        <v>47350</v>
      </c>
      <c r="S15735" t="s">
        <v>48797</v>
      </c>
      <c r="T15735" t="s">
        <v>48996</v>
      </c>
      <c r="U15735" t="s">
        <v>62477</v>
      </c>
      <c r="W15735" t="s">
        <v>47286</v>
      </c>
      <c r="X15735" t="s">
        <v>47354</v>
      </c>
    </row>
    <row r="15736" spans="1:24">
      <c r="A15736">
        <f>HYPERLINK("https://www.philgeps.gov.ph/GEPSNONPILOT/Tender/SplashBidNoticeAbstractUI.aspx?menuIndex=3&amp;refID=7101687&amp;Result=3","7101687")</f>
        <v>0</v>
      </c>
      <c r="B15736" t="s">
        <v>3832</v>
      </c>
      <c r="C15736" t="s">
        <v>18781</v>
      </c>
      <c r="D15736" t="s">
        <v>18993</v>
      </c>
      <c r="E15736" t="s">
        <v>32414</v>
      </c>
      <c r="F15736" t="s">
        <v>32606</v>
      </c>
      <c r="G15736" t="s">
        <v>32613</v>
      </c>
      <c r="H15736" t="s">
        <v>32624</v>
      </c>
      <c r="I15736" t="s">
        <v>7677</v>
      </c>
      <c r="J15736" t="s">
        <v>42507</v>
      </c>
      <c r="K15736" t="s">
        <v>42639</v>
      </c>
      <c r="M15736" t="s">
        <v>47180</v>
      </c>
      <c r="N15736" t="s">
        <v>47304</v>
      </c>
      <c r="O15736" t="s">
        <v>47305</v>
      </c>
      <c r="Q15736">
        <v>17</v>
      </c>
      <c r="R15736" t="s">
        <v>47347</v>
      </c>
      <c r="S15736" t="s">
        <v>47930</v>
      </c>
      <c r="T15736" t="s">
        <v>48995</v>
      </c>
      <c r="U15736" t="s">
        <v>61844</v>
      </c>
      <c r="V15736" t="s">
        <v>64296</v>
      </c>
      <c r="W15736" t="s">
        <v>47180</v>
      </c>
      <c r="X15736" t="s">
        <v>47350</v>
      </c>
    </row>
    <row r="15737" spans="1:24">
      <c r="A15737">
        <f>HYPERLINK("https://www.philgeps.gov.ph/GEPSNONPILOT/Tender/SplashBidNoticeAbstractUI.aspx?menuIndex=3&amp;refID=7098536&amp;Result=3","7098536")</f>
        <v>0</v>
      </c>
      <c r="B15737" t="s">
        <v>3838</v>
      </c>
      <c r="C15737" t="s">
        <v>18782</v>
      </c>
      <c r="D15737" t="s">
        <v>19054</v>
      </c>
      <c r="E15737" t="s">
        <v>32415</v>
      </c>
      <c r="F15737" t="s">
        <v>32606</v>
      </c>
      <c r="G15737" t="s">
        <v>32614</v>
      </c>
      <c r="H15737" t="s">
        <v>14201</v>
      </c>
      <c r="I15737" t="s">
        <v>32635</v>
      </c>
      <c r="J15737" t="s">
        <v>32770</v>
      </c>
      <c r="K15737" t="s">
        <v>42623</v>
      </c>
      <c r="M15737" t="s">
        <v>47187</v>
      </c>
      <c r="N15737" t="s">
        <v>47304</v>
      </c>
      <c r="O15737" t="s">
        <v>47305</v>
      </c>
      <c r="Q15737">
        <v>4</v>
      </c>
      <c r="R15737" t="s">
        <v>47350</v>
      </c>
      <c r="S15737" t="s">
        <v>48798</v>
      </c>
      <c r="T15737" t="s">
        <v>48980</v>
      </c>
      <c r="U15737" t="s">
        <v>62478</v>
      </c>
      <c r="V15737" t="s">
        <v>64394</v>
      </c>
      <c r="W15737" t="s">
        <v>47187</v>
      </c>
      <c r="X15737" t="s">
        <v>47353</v>
      </c>
    </row>
    <row r="15738" spans="1:24">
      <c r="A15738">
        <f>HYPERLINK("https://www.philgeps.gov.ph/GEPSNONPILOT/Tender/SplashBidNoticeAbstractUI.aspx?menuIndex=3&amp;refID=7095733&amp;Result=3","7095733")</f>
        <v>0</v>
      </c>
      <c r="B15738" t="s">
        <v>2089</v>
      </c>
      <c r="C15738" t="s">
        <v>18783</v>
      </c>
      <c r="D15738" t="s">
        <v>18993</v>
      </c>
      <c r="E15738" t="s">
        <v>32416</v>
      </c>
      <c r="F15738" t="s">
        <v>32606</v>
      </c>
      <c r="G15738" t="s">
        <v>32613</v>
      </c>
      <c r="H15738" t="s">
        <v>14201</v>
      </c>
      <c r="I15738" t="s">
        <v>32718</v>
      </c>
      <c r="J15738" t="s">
        <v>42508</v>
      </c>
      <c r="K15738" t="s">
        <v>42624</v>
      </c>
      <c r="M15738" t="s">
        <v>47286</v>
      </c>
      <c r="N15738" t="s">
        <v>47304</v>
      </c>
      <c r="O15738" t="s">
        <v>47305</v>
      </c>
      <c r="Q15738">
        <v>11</v>
      </c>
      <c r="R15738" t="s">
        <v>47350</v>
      </c>
      <c r="S15738" t="s">
        <v>48158</v>
      </c>
      <c r="T15738" t="s">
        <v>48996</v>
      </c>
      <c r="U15738" t="s">
        <v>62479</v>
      </c>
      <c r="W15738" t="s">
        <v>47286</v>
      </c>
      <c r="X15738" t="s">
        <v>47354</v>
      </c>
    </row>
    <row r="15739" spans="1:24">
      <c r="A15739">
        <f>HYPERLINK("https://www.philgeps.gov.ph/GEPSNONPILOT/Tender/SplashBidNoticeAbstractUI.aspx?menuIndex=3&amp;refID=7084957&amp;Result=3","7084957")</f>
        <v>0</v>
      </c>
      <c r="B15739" t="s">
        <v>3838</v>
      </c>
      <c r="C15739" t="s">
        <v>18784</v>
      </c>
      <c r="E15739" t="s">
        <v>32417</v>
      </c>
      <c r="F15739" t="s">
        <v>32606</v>
      </c>
      <c r="G15739" t="s">
        <v>32614</v>
      </c>
      <c r="H15739" t="s">
        <v>14201</v>
      </c>
      <c r="I15739" t="s">
        <v>4678</v>
      </c>
      <c r="J15739" t="s">
        <v>32765</v>
      </c>
      <c r="K15739" t="s">
        <v>42623</v>
      </c>
      <c r="M15739" t="s">
        <v>47187</v>
      </c>
      <c r="N15739" t="s">
        <v>47304</v>
      </c>
      <c r="O15739" t="s">
        <v>47305</v>
      </c>
      <c r="Q15739">
        <v>11</v>
      </c>
      <c r="R15739" t="s">
        <v>47351</v>
      </c>
      <c r="S15739" t="s">
        <v>48799</v>
      </c>
      <c r="T15739" t="s">
        <v>48980</v>
      </c>
      <c r="U15739" t="s">
        <v>62480</v>
      </c>
      <c r="V15739" t="s">
        <v>64395</v>
      </c>
      <c r="W15739" t="s">
        <v>47187</v>
      </c>
      <c r="X15739" t="s">
        <v>47355</v>
      </c>
    </row>
    <row r="15740" spans="1:24">
      <c r="A15740">
        <f>HYPERLINK("https://www.philgeps.gov.ph/GEPSNONPILOT/Tender/SplashBidNoticeAbstractUI.aspx?menuIndex=3&amp;refID=7108192&amp;Result=3","7108192")</f>
        <v>0</v>
      </c>
      <c r="B15740" t="s">
        <v>3907</v>
      </c>
      <c r="C15740" t="s">
        <v>18785</v>
      </c>
      <c r="D15740" t="s">
        <v>18993</v>
      </c>
      <c r="E15740" t="s">
        <v>32418</v>
      </c>
      <c r="F15740" t="s">
        <v>32606</v>
      </c>
      <c r="G15740" t="s">
        <v>32613</v>
      </c>
      <c r="H15740" t="s">
        <v>32624</v>
      </c>
      <c r="I15740" t="s">
        <v>32645</v>
      </c>
      <c r="J15740" t="s">
        <v>33385</v>
      </c>
      <c r="K15740" t="s">
        <v>42631</v>
      </c>
      <c r="M15740" t="s">
        <v>47284</v>
      </c>
      <c r="N15740" t="s">
        <v>47304</v>
      </c>
      <c r="O15740" t="s">
        <v>47305</v>
      </c>
      <c r="Q15740">
        <v>5</v>
      </c>
      <c r="R15740" t="s">
        <v>47346</v>
      </c>
      <c r="S15740" t="s">
        <v>48800</v>
      </c>
      <c r="T15740" t="s">
        <v>49109</v>
      </c>
      <c r="U15740" t="s">
        <v>62481</v>
      </c>
      <c r="W15740" t="s">
        <v>47284</v>
      </c>
      <c r="X15740" t="s">
        <v>47349</v>
      </c>
    </row>
    <row r="15741" spans="1:24">
      <c r="A15741">
        <f>HYPERLINK("https://www.philgeps.gov.ph/GEPSNONPILOT/Tender/SplashBidNoticeAbstractUI.aspx?menuIndex=3&amp;refID=7087944&amp;Result=3","7087944")</f>
        <v>0</v>
      </c>
      <c r="B15741" t="s">
        <v>3832</v>
      </c>
      <c r="C15741" t="s">
        <v>18786</v>
      </c>
      <c r="D15741" t="s">
        <v>19022</v>
      </c>
      <c r="E15741" t="s">
        <v>32419</v>
      </c>
      <c r="F15741" t="s">
        <v>32606</v>
      </c>
      <c r="G15741" t="s">
        <v>32613</v>
      </c>
      <c r="H15741" t="s">
        <v>32623</v>
      </c>
      <c r="I15741" t="s">
        <v>6931</v>
      </c>
      <c r="J15741" t="s">
        <v>42509</v>
      </c>
      <c r="K15741" t="s">
        <v>42682</v>
      </c>
      <c r="M15741" t="s">
        <v>47180</v>
      </c>
      <c r="N15741" t="s">
        <v>47304</v>
      </c>
      <c r="O15741" t="s">
        <v>47305</v>
      </c>
      <c r="Q15741">
        <v>5</v>
      </c>
      <c r="R15741" t="s">
        <v>47352</v>
      </c>
      <c r="S15741" t="s">
        <v>47960</v>
      </c>
      <c r="T15741" t="s">
        <v>48995</v>
      </c>
      <c r="U15741" t="s">
        <v>61844</v>
      </c>
      <c r="V15741" t="s">
        <v>64307</v>
      </c>
      <c r="W15741" t="s">
        <v>47180</v>
      </c>
      <c r="X15741" t="s">
        <v>47351</v>
      </c>
    </row>
    <row r="15742" spans="1:24">
      <c r="A15742">
        <f>HYPERLINK("https://www.philgeps.gov.ph/GEPSNONPILOT/Tender/SplashBidNoticeAbstractUI.aspx?menuIndex=3&amp;refID=7099778&amp;Result=3","7099778")</f>
        <v>0</v>
      </c>
      <c r="B15742" t="s">
        <v>2414</v>
      </c>
      <c r="C15742" t="s">
        <v>18787</v>
      </c>
      <c r="D15742" t="s">
        <v>19067</v>
      </c>
      <c r="E15742" t="s">
        <v>32420</v>
      </c>
      <c r="F15742" t="s">
        <v>32606</v>
      </c>
      <c r="G15742" t="s">
        <v>32617</v>
      </c>
      <c r="H15742" t="s">
        <v>14201</v>
      </c>
      <c r="I15742" t="s">
        <v>6298</v>
      </c>
      <c r="J15742" t="s">
        <v>42510</v>
      </c>
      <c r="K15742" t="s">
        <v>42648</v>
      </c>
      <c r="M15742" t="s">
        <v>46458</v>
      </c>
      <c r="N15742" t="s">
        <v>47304</v>
      </c>
      <c r="O15742" t="s">
        <v>47305</v>
      </c>
      <c r="Q15742">
        <v>9</v>
      </c>
      <c r="R15742" t="s">
        <v>47350</v>
      </c>
      <c r="S15742" t="s">
        <v>48205</v>
      </c>
      <c r="T15742" t="s">
        <v>49068</v>
      </c>
      <c r="U15742" t="s">
        <v>58605</v>
      </c>
      <c r="W15742" t="s">
        <v>46458</v>
      </c>
      <c r="X15742" t="s">
        <v>47353</v>
      </c>
    </row>
    <row r="15743" spans="1:24">
      <c r="A15743">
        <f>HYPERLINK("https://www.philgeps.gov.ph/GEPSNONPILOT/Tender/SplashBidNoticeAbstractUI.aspx?menuIndex=3&amp;refID=7087939&amp;Result=3","7087939")</f>
        <v>0</v>
      </c>
      <c r="B15743" t="s">
        <v>3832</v>
      </c>
      <c r="C15743" t="s">
        <v>18788</v>
      </c>
      <c r="D15743" t="s">
        <v>19028</v>
      </c>
      <c r="E15743" t="s">
        <v>32421</v>
      </c>
      <c r="F15743" t="s">
        <v>32606</v>
      </c>
      <c r="G15743" t="s">
        <v>32613</v>
      </c>
      <c r="H15743" t="s">
        <v>32623</v>
      </c>
      <c r="I15743" t="s">
        <v>6931</v>
      </c>
      <c r="J15743" t="s">
        <v>42511</v>
      </c>
      <c r="K15743" t="s">
        <v>42636</v>
      </c>
      <c r="M15743" t="s">
        <v>47180</v>
      </c>
      <c r="N15743" t="s">
        <v>47304</v>
      </c>
      <c r="O15743" t="s">
        <v>47305</v>
      </c>
      <c r="Q15743">
        <v>7</v>
      </c>
      <c r="R15743" t="s">
        <v>47352</v>
      </c>
      <c r="S15743" t="s">
        <v>47595</v>
      </c>
      <c r="T15743" t="s">
        <v>48995</v>
      </c>
      <c r="U15743" t="s">
        <v>61844</v>
      </c>
      <c r="V15743" t="s">
        <v>64307</v>
      </c>
      <c r="W15743" t="s">
        <v>47180</v>
      </c>
      <c r="X15743" t="s">
        <v>47351</v>
      </c>
    </row>
    <row r="15744" spans="1:24">
      <c r="A15744">
        <f>HYPERLINK("https://www.philgeps.gov.ph/GEPSNONPILOT/Tender/SplashBidNoticeAbstractUI.aspx?menuIndex=3&amp;refID=7094339&amp;Result=3","7094339")</f>
        <v>0</v>
      </c>
      <c r="B15744" t="s">
        <v>3832</v>
      </c>
      <c r="C15744" t="s">
        <v>18789</v>
      </c>
      <c r="D15744" t="s">
        <v>19028</v>
      </c>
      <c r="E15744" t="s">
        <v>32422</v>
      </c>
      <c r="F15744" t="s">
        <v>32606</v>
      </c>
      <c r="G15744" t="s">
        <v>32613</v>
      </c>
      <c r="H15744" t="s">
        <v>32624</v>
      </c>
      <c r="I15744" t="s">
        <v>32716</v>
      </c>
      <c r="J15744" t="s">
        <v>42512</v>
      </c>
      <c r="K15744" t="s">
        <v>42636</v>
      </c>
      <c r="M15744" t="s">
        <v>47180</v>
      </c>
      <c r="N15744" t="s">
        <v>47304</v>
      </c>
      <c r="O15744" t="s">
        <v>47305</v>
      </c>
      <c r="Q15744">
        <v>8</v>
      </c>
      <c r="R15744" t="s">
        <v>47353</v>
      </c>
      <c r="S15744" t="s">
        <v>48801</v>
      </c>
      <c r="T15744" t="s">
        <v>48995</v>
      </c>
      <c r="U15744" t="s">
        <v>61844</v>
      </c>
      <c r="V15744" t="s">
        <v>64307</v>
      </c>
      <c r="W15744" t="s">
        <v>47180</v>
      </c>
      <c r="X15744" t="s">
        <v>47354</v>
      </c>
    </row>
    <row r="15745" spans="1:24">
      <c r="A15745">
        <f>HYPERLINK("https://www.philgeps.gov.ph/GEPSNONPILOT/Tender/SplashBidNoticeAbstractUI.aspx?menuIndex=3&amp;refID=7093457&amp;Result=3","7093457")</f>
        <v>0</v>
      </c>
      <c r="B15745" t="s">
        <v>1500</v>
      </c>
      <c r="C15745" t="s">
        <v>18790</v>
      </c>
      <c r="D15745" t="s">
        <v>19036</v>
      </c>
      <c r="E15745" t="s">
        <v>32423</v>
      </c>
      <c r="F15745" t="s">
        <v>32606</v>
      </c>
      <c r="G15745" t="s">
        <v>32617</v>
      </c>
      <c r="H15745" t="s">
        <v>14201</v>
      </c>
      <c r="I15745" t="s">
        <v>9013</v>
      </c>
      <c r="J15745" t="s">
        <v>32789</v>
      </c>
      <c r="K15745" t="s">
        <v>42631</v>
      </c>
      <c r="M15745" t="s">
        <v>46586</v>
      </c>
      <c r="N15745" t="s">
        <v>47304</v>
      </c>
      <c r="O15745" t="s">
        <v>47305</v>
      </c>
      <c r="Q15745">
        <v>1</v>
      </c>
      <c r="R15745" t="s">
        <v>47354</v>
      </c>
      <c r="S15745" t="s">
        <v>48802</v>
      </c>
      <c r="T15745" t="s">
        <v>49071</v>
      </c>
      <c r="U15745" t="s">
        <v>62482</v>
      </c>
      <c r="W15745" t="s">
        <v>46586</v>
      </c>
      <c r="X15745" t="s">
        <v>47352</v>
      </c>
    </row>
    <row r="15746" spans="1:24">
      <c r="A15746">
        <f>HYPERLINK("https://www.philgeps.gov.ph/GEPSNONPILOT/Tender/SplashBidNoticeAbstractUI.aspx?menuIndex=3&amp;refID=7087953&amp;Result=3","7087953")</f>
        <v>0</v>
      </c>
      <c r="B15746" t="s">
        <v>3832</v>
      </c>
      <c r="C15746" t="s">
        <v>18791</v>
      </c>
      <c r="D15746" t="s">
        <v>18998</v>
      </c>
      <c r="E15746" t="s">
        <v>32424</v>
      </c>
      <c r="F15746" t="s">
        <v>32606</v>
      </c>
      <c r="G15746" t="s">
        <v>32613</v>
      </c>
      <c r="H15746" t="s">
        <v>32623</v>
      </c>
      <c r="I15746" t="s">
        <v>6931</v>
      </c>
      <c r="J15746" t="s">
        <v>42509</v>
      </c>
      <c r="K15746" t="s">
        <v>42682</v>
      </c>
      <c r="M15746" t="s">
        <v>47180</v>
      </c>
      <c r="N15746" t="s">
        <v>47304</v>
      </c>
      <c r="O15746" t="s">
        <v>47305</v>
      </c>
      <c r="Q15746">
        <v>3</v>
      </c>
      <c r="R15746" t="s">
        <v>47352</v>
      </c>
      <c r="S15746" t="s">
        <v>48118</v>
      </c>
      <c r="T15746" t="s">
        <v>48995</v>
      </c>
      <c r="U15746" t="s">
        <v>61844</v>
      </c>
      <c r="V15746" t="s">
        <v>64307</v>
      </c>
      <c r="W15746" t="s">
        <v>47180</v>
      </c>
      <c r="X15746" t="s">
        <v>47351</v>
      </c>
    </row>
    <row r="15747" spans="1:24">
      <c r="A15747">
        <f>HYPERLINK("https://www.philgeps.gov.ph/GEPSNONPILOT/Tender/SplashBidNoticeAbstractUI.aspx?menuIndex=3&amp;refID=7095482&amp;Result=3","7095482")</f>
        <v>0</v>
      </c>
      <c r="B15747" t="s">
        <v>2089</v>
      </c>
      <c r="C15747" t="s">
        <v>18792</v>
      </c>
      <c r="D15747" t="s">
        <v>18993</v>
      </c>
      <c r="E15747" t="s">
        <v>32425</v>
      </c>
      <c r="F15747" t="s">
        <v>32606</v>
      </c>
      <c r="G15747" t="s">
        <v>32613</v>
      </c>
      <c r="H15747" t="s">
        <v>14201</v>
      </c>
      <c r="I15747" t="s">
        <v>32640</v>
      </c>
      <c r="J15747" t="s">
        <v>42513</v>
      </c>
      <c r="K15747" t="s">
        <v>42624</v>
      </c>
      <c r="M15747" t="s">
        <v>47286</v>
      </c>
      <c r="N15747" t="s">
        <v>47304</v>
      </c>
      <c r="O15747" t="s">
        <v>47305</v>
      </c>
      <c r="Q15747">
        <v>24</v>
      </c>
      <c r="R15747" t="s">
        <v>47350</v>
      </c>
      <c r="S15747" t="s">
        <v>48803</v>
      </c>
      <c r="T15747" t="s">
        <v>49268</v>
      </c>
      <c r="U15747" t="s">
        <v>62483</v>
      </c>
      <c r="W15747" t="s">
        <v>47286</v>
      </c>
      <c r="X15747" t="s">
        <v>47354</v>
      </c>
    </row>
    <row r="15748" spans="1:24">
      <c r="A15748">
        <f>HYPERLINK("https://www.philgeps.gov.ph/GEPSNONPILOT/Tender/SplashBidNoticeAbstractUI.aspx?menuIndex=3&amp;refID=7084087&amp;Result=3","7084087")</f>
        <v>0</v>
      </c>
      <c r="B15748" t="s">
        <v>2776</v>
      </c>
      <c r="C15748" t="s">
        <v>18793</v>
      </c>
      <c r="D15748" t="s">
        <v>18993</v>
      </c>
      <c r="E15748" t="s">
        <v>32426</v>
      </c>
      <c r="F15748" t="s">
        <v>32606</v>
      </c>
      <c r="G15748" t="s">
        <v>32617</v>
      </c>
      <c r="H15748" t="s">
        <v>14201</v>
      </c>
      <c r="I15748" t="s">
        <v>6931</v>
      </c>
      <c r="J15748" t="s">
        <v>42514</v>
      </c>
      <c r="K15748" t="s">
        <v>42623</v>
      </c>
      <c r="M15748" t="s">
        <v>47289</v>
      </c>
      <c r="N15748" t="s">
        <v>47304</v>
      </c>
      <c r="O15748" t="s">
        <v>47305</v>
      </c>
      <c r="Q15748">
        <v>6</v>
      </c>
      <c r="R15748" t="s">
        <v>47355</v>
      </c>
      <c r="S15748" t="s">
        <v>47468</v>
      </c>
      <c r="T15748" t="s">
        <v>49108</v>
      </c>
      <c r="U15748" t="s">
        <v>62484</v>
      </c>
      <c r="W15748" t="s">
        <v>47289</v>
      </c>
      <c r="X15748" t="s">
        <v>47358</v>
      </c>
    </row>
    <row r="15749" spans="1:24">
      <c r="A15749">
        <f>HYPERLINK("https://www.philgeps.gov.ph/GEPSNONPILOT/Tender/SplashBidNoticeAbstractUI.aspx?menuIndex=3&amp;refID=7083927&amp;Result=3","7083927")</f>
        <v>0</v>
      </c>
      <c r="B15749" t="s">
        <v>3305</v>
      </c>
      <c r="C15749" t="s">
        <v>18794</v>
      </c>
      <c r="D15749" t="s">
        <v>18993</v>
      </c>
      <c r="E15749" t="s">
        <v>32427</v>
      </c>
      <c r="F15749" t="s">
        <v>32606</v>
      </c>
      <c r="G15749" t="s">
        <v>32613</v>
      </c>
      <c r="H15749" t="s">
        <v>14201</v>
      </c>
      <c r="I15749" t="s">
        <v>7064</v>
      </c>
      <c r="J15749" t="s">
        <v>42515</v>
      </c>
      <c r="K15749" t="s">
        <v>42631</v>
      </c>
      <c r="M15749" t="s">
        <v>46547</v>
      </c>
      <c r="N15749" t="s">
        <v>47304</v>
      </c>
      <c r="O15749" t="s">
        <v>47305</v>
      </c>
      <c r="Q15749">
        <v>11</v>
      </c>
      <c r="R15749" t="s">
        <v>47355</v>
      </c>
      <c r="S15749" t="s">
        <v>48804</v>
      </c>
      <c r="T15749" t="s">
        <v>48995</v>
      </c>
      <c r="U15749" t="s">
        <v>62485</v>
      </c>
      <c r="V15749" t="s">
        <v>64396</v>
      </c>
      <c r="W15749" t="s">
        <v>46547</v>
      </c>
      <c r="X15749" t="s">
        <v>47358</v>
      </c>
    </row>
    <row r="15750" spans="1:24">
      <c r="A15750">
        <f>HYPERLINK("https://www.philgeps.gov.ph/GEPSNONPILOT/Tender/SplashBidNoticeAbstractUI.aspx?menuIndex=3&amp;refID=7094062&amp;Result=3","7094062")</f>
        <v>0</v>
      </c>
      <c r="B15750" t="s">
        <v>3909</v>
      </c>
      <c r="C15750" t="s">
        <v>18795</v>
      </c>
      <c r="D15750" t="s">
        <v>18993</v>
      </c>
      <c r="E15750" t="s">
        <v>32428</v>
      </c>
      <c r="F15750" t="s">
        <v>32606</v>
      </c>
      <c r="G15750" t="s">
        <v>32613</v>
      </c>
      <c r="H15750" t="s">
        <v>32624</v>
      </c>
      <c r="I15750" t="s">
        <v>9297</v>
      </c>
      <c r="J15750" t="s">
        <v>42516</v>
      </c>
      <c r="K15750" t="s">
        <v>42783</v>
      </c>
      <c r="M15750" t="s">
        <v>47290</v>
      </c>
      <c r="N15750" t="s">
        <v>47304</v>
      </c>
      <c r="O15750" t="s">
        <v>47305</v>
      </c>
      <c r="Q15750">
        <v>9</v>
      </c>
      <c r="R15750" t="s">
        <v>47353</v>
      </c>
      <c r="S15750" t="s">
        <v>48805</v>
      </c>
      <c r="T15750" t="s">
        <v>49543</v>
      </c>
      <c r="U15750" t="s">
        <v>62486</v>
      </c>
      <c r="W15750" t="s">
        <v>47290</v>
      </c>
      <c r="X15750" t="s">
        <v>47352</v>
      </c>
    </row>
    <row r="15751" spans="1:24">
      <c r="A15751">
        <f>HYPERLINK("https://www.philgeps.gov.ph/GEPSNONPILOT/Tender/SplashBidNoticeAbstractUI.aspx?menuIndex=3&amp;refID=7083608&amp;Result=3","7083608")</f>
        <v>0</v>
      </c>
      <c r="B15751" t="s">
        <v>1278</v>
      </c>
      <c r="C15751" t="s">
        <v>18796</v>
      </c>
      <c r="E15751" t="s">
        <v>32429</v>
      </c>
      <c r="F15751" t="s">
        <v>32606</v>
      </c>
      <c r="G15751" t="s">
        <v>32613</v>
      </c>
      <c r="H15751" t="s">
        <v>14201</v>
      </c>
      <c r="I15751" t="s">
        <v>13131</v>
      </c>
      <c r="J15751" t="s">
        <v>42517</v>
      </c>
      <c r="K15751" t="s">
        <v>42624</v>
      </c>
      <c r="M15751" t="s">
        <v>44248</v>
      </c>
      <c r="N15751" t="s">
        <v>47304</v>
      </c>
      <c r="O15751" t="s">
        <v>47305</v>
      </c>
      <c r="Q15751">
        <v>26</v>
      </c>
      <c r="R15751" t="s">
        <v>47355</v>
      </c>
      <c r="S15751" t="s">
        <v>48806</v>
      </c>
      <c r="T15751" t="s">
        <v>49268</v>
      </c>
      <c r="U15751" t="s">
        <v>62487</v>
      </c>
      <c r="V15751" t="s">
        <v>64397</v>
      </c>
      <c r="W15751" t="s">
        <v>44248</v>
      </c>
      <c r="X15751" t="s">
        <v>47358</v>
      </c>
    </row>
    <row r="15752" spans="1:24">
      <c r="A15752">
        <f>HYPERLINK("https://www.philgeps.gov.ph/GEPSNONPILOT/Tender/SplashBidNoticeAbstractUI.aspx?menuIndex=3&amp;refID=7093886&amp;Result=3","7093886")</f>
        <v>0</v>
      </c>
      <c r="B15752" t="s">
        <v>1884</v>
      </c>
      <c r="C15752" t="s">
        <v>18797</v>
      </c>
      <c r="D15752" t="s">
        <v>18993</v>
      </c>
      <c r="E15752" t="s">
        <v>32430</v>
      </c>
      <c r="F15752" t="s">
        <v>32606</v>
      </c>
      <c r="G15752" t="s">
        <v>32613</v>
      </c>
      <c r="H15752" t="s">
        <v>14201</v>
      </c>
      <c r="I15752" t="s">
        <v>32667</v>
      </c>
      <c r="J15752" t="s">
        <v>32861</v>
      </c>
      <c r="K15752" t="s">
        <v>42631</v>
      </c>
      <c r="M15752" t="s">
        <v>47291</v>
      </c>
      <c r="N15752" t="s">
        <v>47304</v>
      </c>
      <c r="O15752" t="s">
        <v>47305</v>
      </c>
      <c r="Q15752">
        <v>3</v>
      </c>
      <c r="R15752" t="s">
        <v>47354</v>
      </c>
      <c r="S15752" t="s">
        <v>48000</v>
      </c>
      <c r="T15752" t="s">
        <v>49165</v>
      </c>
      <c r="U15752" t="s">
        <v>62488</v>
      </c>
      <c r="W15752" t="s">
        <v>47291</v>
      </c>
      <c r="X15752" t="s">
        <v>47352</v>
      </c>
    </row>
    <row r="15753" spans="1:24">
      <c r="A15753">
        <f>HYPERLINK("https://www.philgeps.gov.ph/GEPSNONPILOT/Tender/SplashBidNoticeAbstractUI.aspx?menuIndex=3&amp;refID=7097233&amp;Result=3","7097233")</f>
        <v>0</v>
      </c>
      <c r="B15753" t="s">
        <v>652</v>
      </c>
      <c r="C15753" t="s">
        <v>18798</v>
      </c>
      <c r="D15753" t="s">
        <v>18993</v>
      </c>
      <c r="E15753" t="s">
        <v>32431</v>
      </c>
      <c r="F15753" t="s">
        <v>32606</v>
      </c>
      <c r="G15753" t="s">
        <v>32613</v>
      </c>
      <c r="H15753" t="s">
        <v>32625</v>
      </c>
      <c r="I15753" t="s">
        <v>32625</v>
      </c>
      <c r="J15753" t="s">
        <v>42518</v>
      </c>
      <c r="K15753" t="s">
        <v>42914</v>
      </c>
      <c r="M15753" t="s">
        <v>46005</v>
      </c>
      <c r="N15753" t="s">
        <v>47304</v>
      </c>
      <c r="O15753" t="s">
        <v>47305</v>
      </c>
      <c r="Q15753">
        <v>18</v>
      </c>
      <c r="R15753" t="s">
        <v>47353</v>
      </c>
      <c r="S15753" t="s">
        <v>48807</v>
      </c>
      <c r="T15753" t="s">
        <v>49544</v>
      </c>
      <c r="U15753" t="s">
        <v>62489</v>
      </c>
      <c r="W15753" t="s">
        <v>46005</v>
      </c>
      <c r="X15753" t="s">
        <v>47354</v>
      </c>
    </row>
    <row r="15754" spans="1:24">
      <c r="A15754">
        <f>HYPERLINK("https://www.philgeps.gov.ph/GEPSNONPILOT/Tender/SplashBidNoticeAbstractUI.aspx?menuIndex=3&amp;refID=7090510&amp;Result=3","7090510")</f>
        <v>0</v>
      </c>
      <c r="B15754" t="s">
        <v>1278</v>
      </c>
      <c r="C15754" t="s">
        <v>18799</v>
      </c>
      <c r="E15754" t="s">
        <v>32432</v>
      </c>
      <c r="F15754" t="s">
        <v>32606</v>
      </c>
      <c r="G15754" t="s">
        <v>32613</v>
      </c>
      <c r="H15754" t="s">
        <v>14201</v>
      </c>
      <c r="I15754" t="s">
        <v>32640</v>
      </c>
      <c r="J15754" t="s">
        <v>42519</v>
      </c>
      <c r="K15754" t="s">
        <v>42624</v>
      </c>
      <c r="M15754" t="s">
        <v>44248</v>
      </c>
      <c r="N15754" t="s">
        <v>47304</v>
      </c>
      <c r="O15754" t="s">
        <v>47305</v>
      </c>
      <c r="Q15754">
        <v>10</v>
      </c>
      <c r="R15754" t="s">
        <v>47352</v>
      </c>
      <c r="S15754" t="s">
        <v>48808</v>
      </c>
      <c r="T15754" t="s">
        <v>49268</v>
      </c>
      <c r="U15754" t="s">
        <v>62490</v>
      </c>
      <c r="V15754" t="s">
        <v>64398</v>
      </c>
      <c r="W15754" t="s">
        <v>44248</v>
      </c>
      <c r="X15754" t="s">
        <v>47351</v>
      </c>
    </row>
    <row r="15755" spans="1:24">
      <c r="A15755">
        <f>HYPERLINK("https://www.philgeps.gov.ph/GEPSNONPILOT/Tender/SplashBidNoticeAbstractUI.aspx?menuIndex=3&amp;refID=7092937&amp;Result=3","7092937")</f>
        <v>0</v>
      </c>
      <c r="B15755" t="s">
        <v>1289</v>
      </c>
      <c r="C15755" t="s">
        <v>18800</v>
      </c>
      <c r="D15755" t="s">
        <v>18993</v>
      </c>
      <c r="E15755" t="s">
        <v>32433</v>
      </c>
      <c r="F15755" t="s">
        <v>32606</v>
      </c>
      <c r="G15755" t="s">
        <v>32613</v>
      </c>
      <c r="H15755" t="s">
        <v>14201</v>
      </c>
      <c r="I15755" t="s">
        <v>32628</v>
      </c>
      <c r="J15755" t="s">
        <v>42520</v>
      </c>
      <c r="K15755" t="s">
        <v>42631</v>
      </c>
      <c r="M15755" t="s">
        <v>44478</v>
      </c>
      <c r="N15755" t="s">
        <v>47304</v>
      </c>
      <c r="O15755" t="s">
        <v>47305</v>
      </c>
      <c r="Q15755">
        <v>13</v>
      </c>
      <c r="R15755" t="s">
        <v>47354</v>
      </c>
      <c r="S15755" t="s">
        <v>47526</v>
      </c>
      <c r="T15755" t="s">
        <v>49012</v>
      </c>
      <c r="U15755" t="s">
        <v>62491</v>
      </c>
      <c r="W15755" t="s">
        <v>44478</v>
      </c>
      <c r="X15755" t="s">
        <v>47352</v>
      </c>
    </row>
    <row r="15756" spans="1:24">
      <c r="A15756">
        <f>HYPERLINK("https://www.philgeps.gov.ph/GEPSNONPILOT/Tender/SplashBidNoticeAbstractUI.aspx?menuIndex=3&amp;refID=7092707&amp;Result=3","7092707")</f>
        <v>0</v>
      </c>
      <c r="B15756" t="s">
        <v>3064</v>
      </c>
      <c r="C15756" t="s">
        <v>18801</v>
      </c>
      <c r="D15756" t="s">
        <v>19013</v>
      </c>
      <c r="E15756" t="s">
        <v>32434</v>
      </c>
      <c r="F15756" t="s">
        <v>32606</v>
      </c>
      <c r="G15756" t="s">
        <v>32614</v>
      </c>
      <c r="H15756" t="s">
        <v>14201</v>
      </c>
      <c r="I15756" t="s">
        <v>32660</v>
      </c>
      <c r="J15756" t="s">
        <v>34205</v>
      </c>
      <c r="K15756" t="s">
        <v>42639</v>
      </c>
      <c r="M15756" t="s">
        <v>46263</v>
      </c>
      <c r="N15756" t="s">
        <v>47304</v>
      </c>
      <c r="O15756" t="s">
        <v>47305</v>
      </c>
      <c r="Q15756">
        <v>2</v>
      </c>
      <c r="R15756" t="s">
        <v>47354</v>
      </c>
      <c r="S15756" t="s">
        <v>48809</v>
      </c>
      <c r="T15756" t="s">
        <v>49331</v>
      </c>
      <c r="U15756" t="s">
        <v>62492</v>
      </c>
      <c r="W15756" t="s">
        <v>46263</v>
      </c>
      <c r="X15756" t="s">
        <v>47352</v>
      </c>
    </row>
    <row r="15757" spans="1:24">
      <c r="A15757">
        <f>HYPERLINK("https://www.philgeps.gov.ph/GEPSNONPILOT/Tender/SplashBidNoticeAbstractUI.aspx?menuIndex=3&amp;refID=7080021&amp;Result=3","7080021")</f>
        <v>0</v>
      </c>
      <c r="B15757" t="s">
        <v>2089</v>
      </c>
      <c r="C15757" t="s">
        <v>18802</v>
      </c>
      <c r="D15757" t="s">
        <v>18993</v>
      </c>
      <c r="E15757" t="s">
        <v>32435</v>
      </c>
      <c r="F15757" t="s">
        <v>32606</v>
      </c>
      <c r="G15757" t="s">
        <v>32613</v>
      </c>
      <c r="H15757" t="s">
        <v>14201</v>
      </c>
      <c r="I15757" t="s">
        <v>32718</v>
      </c>
      <c r="J15757" t="s">
        <v>42521</v>
      </c>
      <c r="K15757" t="s">
        <v>42624</v>
      </c>
      <c r="M15757" t="s">
        <v>47286</v>
      </c>
      <c r="N15757" t="s">
        <v>47304</v>
      </c>
      <c r="O15757" t="s">
        <v>47305</v>
      </c>
      <c r="Q15757">
        <v>25</v>
      </c>
      <c r="R15757" t="s">
        <v>47355</v>
      </c>
      <c r="S15757" t="s">
        <v>48359</v>
      </c>
      <c r="T15757" t="s">
        <v>49268</v>
      </c>
      <c r="U15757" t="s">
        <v>62493</v>
      </c>
      <c r="W15757" t="s">
        <v>47286</v>
      </c>
      <c r="X15757" t="s">
        <v>47357</v>
      </c>
    </row>
    <row r="15758" spans="1:24">
      <c r="A15758">
        <f>HYPERLINK("https://www.philgeps.gov.ph/GEPSNONPILOT/Tender/SplashBidNoticeAbstractUI.aspx?menuIndex=3&amp;refID=7095890&amp;Result=3","7095890")</f>
        <v>0</v>
      </c>
      <c r="B15758" t="s">
        <v>1070</v>
      </c>
      <c r="C15758" t="s">
        <v>18803</v>
      </c>
      <c r="D15758" t="s">
        <v>19003</v>
      </c>
      <c r="E15758" t="s">
        <v>32436</v>
      </c>
      <c r="F15758" t="s">
        <v>32606</v>
      </c>
      <c r="G15758" t="s">
        <v>32613</v>
      </c>
      <c r="H15758" t="s">
        <v>14201</v>
      </c>
      <c r="I15758" t="s">
        <v>6931</v>
      </c>
      <c r="J15758" t="s">
        <v>34128</v>
      </c>
      <c r="K15758" t="s">
        <v>42622</v>
      </c>
      <c r="M15758" t="s">
        <v>44023</v>
      </c>
      <c r="N15758" t="s">
        <v>47304</v>
      </c>
      <c r="O15758" t="s">
        <v>47305</v>
      </c>
      <c r="P15758">
        <v>0</v>
      </c>
      <c r="Q15758">
        <v>5</v>
      </c>
      <c r="R15758" t="s">
        <v>47353</v>
      </c>
      <c r="S15758" t="s">
        <v>48810</v>
      </c>
      <c r="T15758" t="s">
        <v>49014</v>
      </c>
      <c r="U15758" t="s">
        <v>62494</v>
      </c>
      <c r="W15758" t="s">
        <v>44023</v>
      </c>
      <c r="X15758" t="s">
        <v>47354</v>
      </c>
    </row>
    <row r="15759" spans="1:24">
      <c r="A15759">
        <f>HYPERLINK("https://www.philgeps.gov.ph/GEPSNONPILOT/Tender/SplashBidNoticeAbstractUI.aspx?menuIndex=3&amp;refID=7095439&amp;Result=3","7095439")</f>
        <v>0</v>
      </c>
      <c r="B15759" t="s">
        <v>3906</v>
      </c>
      <c r="C15759" t="s">
        <v>18804</v>
      </c>
      <c r="D15759" t="s">
        <v>19007</v>
      </c>
      <c r="E15759" t="s">
        <v>32437</v>
      </c>
      <c r="F15759" t="s">
        <v>32606</v>
      </c>
      <c r="G15759" t="s">
        <v>32613</v>
      </c>
      <c r="H15759" t="s">
        <v>14201</v>
      </c>
      <c r="I15759" t="s">
        <v>7064</v>
      </c>
      <c r="J15759" t="s">
        <v>32861</v>
      </c>
      <c r="K15759" t="s">
        <v>42648</v>
      </c>
      <c r="M15759" t="s">
        <v>47282</v>
      </c>
      <c r="N15759" t="s">
        <v>47304</v>
      </c>
      <c r="O15759" t="s">
        <v>47305</v>
      </c>
      <c r="Q15759">
        <v>6</v>
      </c>
      <c r="R15759" t="s">
        <v>47353</v>
      </c>
      <c r="S15759" t="s">
        <v>48811</v>
      </c>
      <c r="T15759" t="s">
        <v>49257</v>
      </c>
      <c r="U15759" t="s">
        <v>62495</v>
      </c>
      <c r="W15759" t="s">
        <v>47282</v>
      </c>
      <c r="X15759" t="s">
        <v>47354</v>
      </c>
    </row>
    <row r="15760" spans="1:24">
      <c r="A15760">
        <f>HYPERLINK("https://www.philgeps.gov.ph/GEPSNONPILOT/Tender/SplashBidNoticeAbstractUI.aspx?menuIndex=3&amp;refID=7050833&amp;Result=3","7050833")</f>
        <v>0</v>
      </c>
      <c r="B15760" t="s">
        <v>3217</v>
      </c>
      <c r="C15760" t="s">
        <v>18805</v>
      </c>
      <c r="E15760" t="s">
        <v>32438</v>
      </c>
      <c r="F15760" t="s">
        <v>32606</v>
      </c>
      <c r="G15760" t="s">
        <v>32613</v>
      </c>
      <c r="H15760" t="s">
        <v>14201</v>
      </c>
      <c r="I15760" t="s">
        <v>9013</v>
      </c>
      <c r="J15760" t="s">
        <v>33113</v>
      </c>
      <c r="K15760" t="s">
        <v>42624</v>
      </c>
      <c r="M15760" t="s">
        <v>46443</v>
      </c>
      <c r="N15760" t="s">
        <v>47304</v>
      </c>
      <c r="O15760" t="s">
        <v>47305</v>
      </c>
      <c r="Q15760">
        <v>3</v>
      </c>
      <c r="R15760" t="s">
        <v>47355</v>
      </c>
      <c r="S15760" t="s">
        <v>48812</v>
      </c>
      <c r="T15760" t="s">
        <v>49347</v>
      </c>
      <c r="U15760" t="s">
        <v>62496</v>
      </c>
      <c r="V15760" t="s">
        <v>64399</v>
      </c>
      <c r="W15760" t="s">
        <v>46443</v>
      </c>
      <c r="X15760" t="s">
        <v>47367</v>
      </c>
    </row>
    <row r="15761" spans="1:24">
      <c r="A15761">
        <f>HYPERLINK("https://www.philgeps.gov.ph/GEPSNONPILOT/Tender/SplashBidNoticeAbstractUI.aspx?menuIndex=3&amp;refID=7096956&amp;Result=3","7096956")</f>
        <v>0</v>
      </c>
      <c r="B15761" t="s">
        <v>680</v>
      </c>
      <c r="C15761" t="s">
        <v>18806</v>
      </c>
      <c r="D15761" t="s">
        <v>18991</v>
      </c>
      <c r="E15761" t="s">
        <v>32439</v>
      </c>
      <c r="F15761" t="s">
        <v>32606</v>
      </c>
      <c r="G15761" t="s">
        <v>32613</v>
      </c>
      <c r="H15761" t="s">
        <v>32625</v>
      </c>
      <c r="I15761" t="s">
        <v>32625</v>
      </c>
      <c r="J15761" t="s">
        <v>42522</v>
      </c>
      <c r="K15761" t="s">
        <v>42707</v>
      </c>
      <c r="M15761" t="s">
        <v>46285</v>
      </c>
      <c r="N15761" t="s">
        <v>47304</v>
      </c>
      <c r="O15761" t="s">
        <v>47305</v>
      </c>
      <c r="Q15761">
        <v>14</v>
      </c>
      <c r="R15761" t="s">
        <v>47353</v>
      </c>
      <c r="S15761" t="s">
        <v>47730</v>
      </c>
      <c r="T15761" t="s">
        <v>49075</v>
      </c>
      <c r="U15761" t="s">
        <v>62497</v>
      </c>
      <c r="W15761" t="s">
        <v>46285</v>
      </c>
      <c r="X15761" t="s">
        <v>47354</v>
      </c>
    </row>
    <row r="15762" spans="1:24">
      <c r="A15762">
        <f>HYPERLINK("https://www.philgeps.gov.ph/GEPSNONPILOT/Tender/SplashBidNoticeAbstractUI.aspx?menuIndex=3&amp;refID=7084137&amp;Result=3","7084137")</f>
        <v>0</v>
      </c>
      <c r="B15762" t="s">
        <v>3910</v>
      </c>
      <c r="C15762" t="s">
        <v>18807</v>
      </c>
      <c r="D15762" t="s">
        <v>18993</v>
      </c>
      <c r="E15762" t="s">
        <v>32440</v>
      </c>
      <c r="F15762" t="s">
        <v>32606</v>
      </c>
      <c r="G15762" t="s">
        <v>32618</v>
      </c>
      <c r="H15762" t="s">
        <v>32625</v>
      </c>
      <c r="I15762" t="s">
        <v>32625</v>
      </c>
      <c r="J15762" t="s">
        <v>42523</v>
      </c>
      <c r="K15762" t="s">
        <v>42644</v>
      </c>
      <c r="M15762" t="s">
        <v>47292</v>
      </c>
      <c r="N15762" t="s">
        <v>47304</v>
      </c>
      <c r="O15762" t="s">
        <v>47305</v>
      </c>
      <c r="Q15762">
        <v>3</v>
      </c>
      <c r="R15762" t="s">
        <v>47355</v>
      </c>
      <c r="S15762" t="s">
        <v>48813</v>
      </c>
      <c r="T15762" t="s">
        <v>49075</v>
      </c>
      <c r="U15762" t="s">
        <v>62498</v>
      </c>
      <c r="V15762" t="s">
        <v>64400</v>
      </c>
      <c r="W15762" t="s">
        <v>64563</v>
      </c>
      <c r="X15762" t="s">
        <v>47358</v>
      </c>
    </row>
    <row r="15763" spans="1:24">
      <c r="A15763">
        <f>HYPERLINK("https://www.philgeps.gov.ph/GEPSNONPILOT/Tender/SplashBidNoticeAbstractUI.aspx?menuIndex=3&amp;refID=7073304&amp;Result=3","7073304")</f>
        <v>0</v>
      </c>
      <c r="B15763" t="s">
        <v>3082</v>
      </c>
      <c r="C15763" t="s">
        <v>18808</v>
      </c>
      <c r="D15763" t="s">
        <v>19041</v>
      </c>
      <c r="E15763" t="s">
        <v>32441</v>
      </c>
      <c r="F15763" t="s">
        <v>32606</v>
      </c>
      <c r="G15763" t="s">
        <v>32613</v>
      </c>
      <c r="H15763" t="s">
        <v>32623</v>
      </c>
      <c r="I15763" t="s">
        <v>17648</v>
      </c>
      <c r="J15763" t="s">
        <v>42524</v>
      </c>
      <c r="K15763" t="s">
        <v>42683</v>
      </c>
      <c r="M15763" t="s">
        <v>46283</v>
      </c>
      <c r="N15763" t="s">
        <v>47304</v>
      </c>
      <c r="O15763" t="s">
        <v>47305</v>
      </c>
      <c r="Q15763">
        <v>25</v>
      </c>
      <c r="R15763" t="s">
        <v>47356</v>
      </c>
      <c r="S15763" t="s">
        <v>48814</v>
      </c>
      <c r="T15763" t="s">
        <v>48986</v>
      </c>
      <c r="U15763" t="s">
        <v>62499</v>
      </c>
      <c r="W15763" t="s">
        <v>46283</v>
      </c>
      <c r="X15763" t="s">
        <v>47364</v>
      </c>
    </row>
    <row r="15764" spans="1:24">
      <c r="A15764">
        <f>HYPERLINK("https://www.philgeps.gov.ph/GEPSNONPILOT/Tender/SplashBidNoticeAbstractUI.aspx?menuIndex=3&amp;refID=7077963&amp;Result=3","7077963")</f>
        <v>0</v>
      </c>
      <c r="B15764" t="s">
        <v>1278</v>
      </c>
      <c r="C15764" t="s">
        <v>18809</v>
      </c>
      <c r="E15764" t="s">
        <v>32442</v>
      </c>
      <c r="F15764" t="s">
        <v>32606</v>
      </c>
      <c r="G15764" t="s">
        <v>32613</v>
      </c>
      <c r="H15764" t="s">
        <v>14201</v>
      </c>
      <c r="I15764" t="s">
        <v>32640</v>
      </c>
      <c r="J15764" t="s">
        <v>42525</v>
      </c>
      <c r="K15764" t="s">
        <v>42624</v>
      </c>
      <c r="M15764" t="s">
        <v>47293</v>
      </c>
      <c r="N15764" t="s">
        <v>47304</v>
      </c>
      <c r="O15764" t="s">
        <v>47305</v>
      </c>
      <c r="Q15764">
        <v>8</v>
      </c>
      <c r="R15764" t="s">
        <v>47357</v>
      </c>
      <c r="S15764" t="s">
        <v>48815</v>
      </c>
      <c r="T15764" t="s">
        <v>49268</v>
      </c>
      <c r="U15764" t="s">
        <v>62500</v>
      </c>
      <c r="V15764" t="s">
        <v>64401</v>
      </c>
      <c r="W15764" t="s">
        <v>64564</v>
      </c>
      <c r="X15764" t="s">
        <v>47356</v>
      </c>
    </row>
    <row r="15765" spans="1:24">
      <c r="A15765">
        <f>HYPERLINK("https://www.philgeps.gov.ph/GEPSNONPILOT/Tender/SplashBidNoticeAbstractUI.aspx?menuIndex=3&amp;refID=7079847&amp;Result=3","7079847")</f>
        <v>0</v>
      </c>
      <c r="B15765" t="s">
        <v>1828</v>
      </c>
      <c r="C15765" t="s">
        <v>18810</v>
      </c>
      <c r="D15765" t="s">
        <v>19014</v>
      </c>
      <c r="E15765" t="s">
        <v>32443</v>
      </c>
      <c r="F15765" t="s">
        <v>32606</v>
      </c>
      <c r="G15765" t="s">
        <v>32613</v>
      </c>
      <c r="H15765" t="s">
        <v>32623</v>
      </c>
      <c r="I15765" t="s">
        <v>17648</v>
      </c>
      <c r="J15765" t="s">
        <v>42526</v>
      </c>
      <c r="K15765" t="s">
        <v>42712</v>
      </c>
      <c r="M15765" t="s">
        <v>46330</v>
      </c>
      <c r="N15765" t="s">
        <v>47304</v>
      </c>
      <c r="O15765" t="s">
        <v>47305</v>
      </c>
      <c r="Q15765">
        <v>38</v>
      </c>
      <c r="R15765" t="s">
        <v>47358</v>
      </c>
      <c r="S15765" t="s">
        <v>48816</v>
      </c>
      <c r="T15765" t="s">
        <v>49111</v>
      </c>
      <c r="U15765" t="s">
        <v>62501</v>
      </c>
      <c r="V15765" t="s">
        <v>63748</v>
      </c>
      <c r="W15765" t="s">
        <v>46330</v>
      </c>
      <c r="X15765" t="s">
        <v>47357</v>
      </c>
    </row>
    <row r="15766" spans="1:24">
      <c r="A15766">
        <f>HYPERLINK("https://www.philgeps.gov.ph/GEPSNONPILOT/Tender/SplashBidNoticeAbstractUI.aspx?menuIndex=3&amp;refID=7078338&amp;Result=3","7078338")</f>
        <v>0</v>
      </c>
      <c r="B15766" t="s">
        <v>3882</v>
      </c>
      <c r="C15766" t="s">
        <v>18811</v>
      </c>
      <c r="D15766" t="s">
        <v>18993</v>
      </c>
      <c r="E15766" t="s">
        <v>32444</v>
      </c>
      <c r="F15766" t="s">
        <v>32606</v>
      </c>
      <c r="G15766" t="s">
        <v>32613</v>
      </c>
      <c r="H15766" t="s">
        <v>32623</v>
      </c>
      <c r="I15766" t="s">
        <v>32683</v>
      </c>
      <c r="J15766" t="s">
        <v>42527</v>
      </c>
      <c r="K15766" t="s">
        <v>42645</v>
      </c>
      <c r="M15766" t="s">
        <v>47294</v>
      </c>
      <c r="N15766" t="s">
        <v>47304</v>
      </c>
      <c r="O15766" t="s">
        <v>47305</v>
      </c>
      <c r="Q15766">
        <v>15</v>
      </c>
      <c r="R15766" t="s">
        <v>47357</v>
      </c>
      <c r="S15766" t="s">
        <v>48817</v>
      </c>
      <c r="T15766" t="s">
        <v>49331</v>
      </c>
      <c r="U15766" t="s">
        <v>62502</v>
      </c>
      <c r="W15766" t="s">
        <v>47294</v>
      </c>
      <c r="X15766" t="s">
        <v>47356</v>
      </c>
    </row>
    <row r="15767" spans="1:24">
      <c r="A15767">
        <f>HYPERLINK("https://www.philgeps.gov.ph/GEPSNONPILOT/Tender/SplashBidNoticeAbstractUI.aspx?menuIndex=3&amp;refID=7077606&amp;Result=3","7077606")</f>
        <v>0</v>
      </c>
      <c r="B15767" t="s">
        <v>3911</v>
      </c>
      <c r="C15767" t="s">
        <v>18812</v>
      </c>
      <c r="D15767" t="s">
        <v>18993</v>
      </c>
      <c r="E15767" t="s">
        <v>32445</v>
      </c>
      <c r="F15767" t="s">
        <v>32606</v>
      </c>
      <c r="G15767" t="s">
        <v>32613</v>
      </c>
      <c r="H15767" t="s">
        <v>14201</v>
      </c>
      <c r="I15767" t="s">
        <v>32640</v>
      </c>
      <c r="J15767" t="s">
        <v>32767</v>
      </c>
      <c r="K15767" t="s">
        <v>42631</v>
      </c>
      <c r="M15767" t="s">
        <v>47295</v>
      </c>
      <c r="N15767" t="s">
        <v>47304</v>
      </c>
      <c r="O15767" t="s">
        <v>47305</v>
      </c>
      <c r="Q15767">
        <v>18</v>
      </c>
      <c r="R15767" t="s">
        <v>47357</v>
      </c>
      <c r="S15767" t="s">
        <v>48818</v>
      </c>
      <c r="T15767" t="s">
        <v>48998</v>
      </c>
      <c r="U15767" t="s">
        <v>62503</v>
      </c>
      <c r="W15767" t="s">
        <v>47295</v>
      </c>
      <c r="X15767" t="s">
        <v>47356</v>
      </c>
    </row>
    <row r="15768" spans="1:24">
      <c r="A15768">
        <f>HYPERLINK("https://www.philgeps.gov.ph/GEPSNONPILOT/Tender/SplashBidNoticeAbstractUI.aspx?menuIndex=3&amp;refID=7080568&amp;Result=3","7080568")</f>
        <v>0</v>
      </c>
      <c r="B15768" t="s">
        <v>656</v>
      </c>
      <c r="C15768" t="s">
        <v>18813</v>
      </c>
      <c r="D15768" t="s">
        <v>18993</v>
      </c>
      <c r="E15768" t="s">
        <v>32446</v>
      </c>
      <c r="F15768" t="s">
        <v>32606</v>
      </c>
      <c r="G15768" t="s">
        <v>32614</v>
      </c>
      <c r="H15768" t="s">
        <v>14201</v>
      </c>
      <c r="I15768" t="s">
        <v>32655</v>
      </c>
      <c r="J15768" t="s">
        <v>42528</v>
      </c>
      <c r="K15768" t="s">
        <v>42630</v>
      </c>
      <c r="M15768" t="s">
        <v>43576</v>
      </c>
      <c r="N15768" t="s">
        <v>47304</v>
      </c>
      <c r="O15768" t="s">
        <v>47305</v>
      </c>
      <c r="Q15768">
        <v>7</v>
      </c>
      <c r="R15768" t="s">
        <v>47358</v>
      </c>
      <c r="S15768" t="s">
        <v>47439</v>
      </c>
      <c r="T15768" t="s">
        <v>49158</v>
      </c>
      <c r="U15768" t="s">
        <v>62504</v>
      </c>
      <c r="W15768" t="s">
        <v>43576</v>
      </c>
      <c r="X15768" t="s">
        <v>47357</v>
      </c>
    </row>
    <row r="15769" spans="1:24">
      <c r="A15769">
        <f>HYPERLINK("https://www.philgeps.gov.ph/GEPSNONPILOT/Tender/SplashBidNoticeAbstractUI.aspx?menuIndex=3&amp;refID=7081126&amp;Result=3","7081126")</f>
        <v>0</v>
      </c>
      <c r="B15769" t="s">
        <v>2496</v>
      </c>
      <c r="C15769" t="s">
        <v>18814</v>
      </c>
      <c r="D15769" t="s">
        <v>18995</v>
      </c>
      <c r="E15769" t="s">
        <v>32447</v>
      </c>
      <c r="F15769" t="s">
        <v>32606</v>
      </c>
      <c r="G15769" t="s">
        <v>32614</v>
      </c>
      <c r="H15769" t="s">
        <v>14201</v>
      </c>
      <c r="I15769" t="s">
        <v>32633</v>
      </c>
      <c r="J15769" t="s">
        <v>42529</v>
      </c>
      <c r="K15769" t="s">
        <v>42631</v>
      </c>
      <c r="M15769" t="s">
        <v>46984</v>
      </c>
      <c r="N15769" t="s">
        <v>47304</v>
      </c>
      <c r="O15769" t="s">
        <v>47305</v>
      </c>
      <c r="Q15769">
        <v>3</v>
      </c>
      <c r="R15769" t="s">
        <v>47358</v>
      </c>
      <c r="S15769" t="s">
        <v>48819</v>
      </c>
      <c r="T15769" t="s">
        <v>48998</v>
      </c>
      <c r="U15769" t="s">
        <v>62505</v>
      </c>
      <c r="V15769" t="s">
        <v>64402</v>
      </c>
      <c r="W15769" t="s">
        <v>46984</v>
      </c>
      <c r="X15769" t="s">
        <v>47357</v>
      </c>
    </row>
    <row r="15770" spans="1:24">
      <c r="A15770">
        <f>HYPERLINK("https://www.philgeps.gov.ph/GEPSNONPILOT/Tender/SplashBidNoticeAbstractUI.aspx?menuIndex=3&amp;refID=7077668&amp;Result=3","7077668")</f>
        <v>0</v>
      </c>
      <c r="B15770" t="s">
        <v>3911</v>
      </c>
      <c r="C15770" t="s">
        <v>18815</v>
      </c>
      <c r="D15770" t="s">
        <v>18993</v>
      </c>
      <c r="E15770" t="s">
        <v>32448</v>
      </c>
      <c r="F15770" t="s">
        <v>32606</v>
      </c>
      <c r="G15770" t="s">
        <v>32613</v>
      </c>
      <c r="H15770" t="s">
        <v>14201</v>
      </c>
      <c r="I15770" t="s">
        <v>32641</v>
      </c>
      <c r="J15770" t="s">
        <v>33231</v>
      </c>
      <c r="K15770" t="s">
        <v>42665</v>
      </c>
      <c r="M15770" t="s">
        <v>47295</v>
      </c>
      <c r="N15770" t="s">
        <v>47304</v>
      </c>
      <c r="O15770" t="s">
        <v>47305</v>
      </c>
      <c r="Q15770">
        <v>7</v>
      </c>
      <c r="R15770" t="s">
        <v>47357</v>
      </c>
      <c r="S15770" t="s">
        <v>48414</v>
      </c>
      <c r="T15770" t="s">
        <v>48998</v>
      </c>
      <c r="U15770" t="s">
        <v>62506</v>
      </c>
      <c r="W15770" t="s">
        <v>47295</v>
      </c>
      <c r="X15770" t="s">
        <v>47356</v>
      </c>
    </row>
    <row r="15771" spans="1:24">
      <c r="A15771">
        <f>HYPERLINK("https://www.philgeps.gov.ph/GEPSNONPILOT/Tender/SplashBidNoticeAbstractUI.aspx?menuIndex=3&amp;refID=7074093&amp;Result=3","7074093")</f>
        <v>0</v>
      </c>
      <c r="B15771" t="s">
        <v>3082</v>
      </c>
      <c r="C15771" t="s">
        <v>18816</v>
      </c>
      <c r="D15771" t="s">
        <v>19041</v>
      </c>
      <c r="E15771" t="s">
        <v>32449</v>
      </c>
      <c r="F15771" t="s">
        <v>32606</v>
      </c>
      <c r="G15771" t="s">
        <v>32613</v>
      </c>
      <c r="H15771" t="s">
        <v>32623</v>
      </c>
      <c r="I15771" t="s">
        <v>17648</v>
      </c>
      <c r="J15771" t="s">
        <v>42530</v>
      </c>
      <c r="K15771" t="s">
        <v>42651</v>
      </c>
      <c r="M15771" t="s">
        <v>46283</v>
      </c>
      <c r="N15771" t="s">
        <v>47304</v>
      </c>
      <c r="O15771" t="s">
        <v>47305</v>
      </c>
      <c r="Q15771">
        <v>9</v>
      </c>
      <c r="R15771" t="s">
        <v>47356</v>
      </c>
      <c r="S15771" t="s">
        <v>48820</v>
      </c>
      <c r="T15771" t="s">
        <v>48986</v>
      </c>
      <c r="U15771" t="s">
        <v>62499</v>
      </c>
      <c r="W15771" t="s">
        <v>46283</v>
      </c>
      <c r="X15771" t="s">
        <v>47364</v>
      </c>
    </row>
    <row r="15772" spans="1:24">
      <c r="A15772">
        <f>HYPERLINK("https://www.philgeps.gov.ph/GEPSNONPILOT/Tender/SplashBidNoticeAbstractUI.aspx?menuIndex=3&amp;refID=7084243&amp;Result=3","7084243")</f>
        <v>0</v>
      </c>
      <c r="B15772" t="s">
        <v>869</v>
      </c>
      <c r="C15772" t="s">
        <v>18817</v>
      </c>
      <c r="E15772" t="s">
        <v>32450</v>
      </c>
      <c r="F15772" t="s">
        <v>32606</v>
      </c>
      <c r="G15772" t="s">
        <v>32613</v>
      </c>
      <c r="H15772" t="s">
        <v>14201</v>
      </c>
      <c r="I15772" t="s">
        <v>17648</v>
      </c>
      <c r="J15772" t="s">
        <v>42531</v>
      </c>
      <c r="K15772" t="s">
        <v>42624</v>
      </c>
      <c r="M15772" t="s">
        <v>45197</v>
      </c>
      <c r="N15772" t="s">
        <v>47304</v>
      </c>
      <c r="O15772" t="s">
        <v>47305</v>
      </c>
      <c r="Q15772">
        <v>24</v>
      </c>
      <c r="R15772" t="s">
        <v>47355</v>
      </c>
      <c r="S15772" t="s">
        <v>48384</v>
      </c>
      <c r="T15772" t="s">
        <v>49106</v>
      </c>
      <c r="U15772" t="s">
        <v>62507</v>
      </c>
      <c r="W15772" t="s">
        <v>45197</v>
      </c>
      <c r="X15772" t="s">
        <v>47358</v>
      </c>
    </row>
    <row r="15773" spans="1:24">
      <c r="A15773">
        <f>HYPERLINK("https://www.philgeps.gov.ph/GEPSNONPILOT/Tender/SplashBidNoticeAbstractUI.aspx?menuIndex=3&amp;refID=7074052&amp;Result=3","7074052")</f>
        <v>0</v>
      </c>
      <c r="B15773" t="s">
        <v>3082</v>
      </c>
      <c r="C15773" t="s">
        <v>18818</v>
      </c>
      <c r="D15773" t="s">
        <v>19041</v>
      </c>
      <c r="E15773" t="s">
        <v>32451</v>
      </c>
      <c r="F15773" t="s">
        <v>32606</v>
      </c>
      <c r="G15773" t="s">
        <v>32613</v>
      </c>
      <c r="H15773" t="s">
        <v>32623</v>
      </c>
      <c r="I15773" t="s">
        <v>17648</v>
      </c>
      <c r="J15773" t="s">
        <v>38619</v>
      </c>
      <c r="K15773" t="s">
        <v>42712</v>
      </c>
      <c r="M15773" t="s">
        <v>46283</v>
      </c>
      <c r="N15773" t="s">
        <v>47304</v>
      </c>
      <c r="O15773" t="s">
        <v>47305</v>
      </c>
      <c r="Q15773">
        <v>5</v>
      </c>
      <c r="R15773" t="s">
        <v>47356</v>
      </c>
      <c r="S15773" t="s">
        <v>48821</v>
      </c>
      <c r="T15773" t="s">
        <v>48986</v>
      </c>
      <c r="U15773" t="s">
        <v>62508</v>
      </c>
      <c r="W15773" t="s">
        <v>46283</v>
      </c>
      <c r="X15773" t="s">
        <v>47364</v>
      </c>
    </row>
    <row r="15774" spans="1:24">
      <c r="A15774">
        <f>HYPERLINK("https://www.philgeps.gov.ph/GEPSNONPILOT/Tender/SplashBidNoticeAbstractUI.aspx?menuIndex=3&amp;refID=7073382&amp;Result=3","7073382")</f>
        <v>0</v>
      </c>
      <c r="B15774" t="s">
        <v>1500</v>
      </c>
      <c r="C15774" t="s">
        <v>18819</v>
      </c>
      <c r="D15774" t="s">
        <v>19036</v>
      </c>
      <c r="E15774" t="s">
        <v>32452</v>
      </c>
      <c r="F15774" t="s">
        <v>32606</v>
      </c>
      <c r="G15774" t="s">
        <v>32613</v>
      </c>
      <c r="H15774" t="s">
        <v>14201</v>
      </c>
      <c r="I15774" t="s">
        <v>4121</v>
      </c>
      <c r="J15774" t="s">
        <v>32767</v>
      </c>
      <c r="K15774" t="s">
        <v>42648</v>
      </c>
      <c r="M15774" t="s">
        <v>44496</v>
      </c>
      <c r="N15774" t="s">
        <v>47304</v>
      </c>
      <c r="O15774" t="s">
        <v>47305</v>
      </c>
      <c r="Q15774">
        <v>14</v>
      </c>
      <c r="R15774" t="s">
        <v>47356</v>
      </c>
      <c r="S15774" t="s">
        <v>48684</v>
      </c>
      <c r="T15774" t="s">
        <v>49347</v>
      </c>
      <c r="U15774" t="s">
        <v>62509</v>
      </c>
      <c r="W15774" t="s">
        <v>44496</v>
      </c>
      <c r="X15774" t="s">
        <v>47364</v>
      </c>
    </row>
    <row r="15775" spans="1:24">
      <c r="A15775">
        <f>HYPERLINK("https://www.philgeps.gov.ph/GEPSNONPILOT/Tender/SplashBidNoticeAbstractUI.aspx?menuIndex=3&amp;refID=7073478&amp;Result=3","7073478")</f>
        <v>0</v>
      </c>
      <c r="B15775" t="s">
        <v>3082</v>
      </c>
      <c r="C15775" t="s">
        <v>18820</v>
      </c>
      <c r="D15775" t="s">
        <v>19041</v>
      </c>
      <c r="E15775" t="s">
        <v>32453</v>
      </c>
      <c r="F15775" t="s">
        <v>32606</v>
      </c>
      <c r="G15775" t="s">
        <v>32613</v>
      </c>
      <c r="H15775" t="s">
        <v>32623</v>
      </c>
      <c r="I15775" t="s">
        <v>17648</v>
      </c>
      <c r="J15775" t="s">
        <v>42532</v>
      </c>
      <c r="K15775" t="s">
        <v>42645</v>
      </c>
      <c r="M15775" t="s">
        <v>46283</v>
      </c>
      <c r="N15775" t="s">
        <v>47304</v>
      </c>
      <c r="O15775" t="s">
        <v>47305</v>
      </c>
      <c r="Q15775">
        <v>7</v>
      </c>
      <c r="R15775" t="s">
        <v>47356</v>
      </c>
      <c r="S15775" t="s">
        <v>48822</v>
      </c>
      <c r="T15775" t="s">
        <v>48986</v>
      </c>
      <c r="U15775" t="s">
        <v>62510</v>
      </c>
      <c r="W15775" t="s">
        <v>46283</v>
      </c>
      <c r="X15775" t="s">
        <v>47364</v>
      </c>
    </row>
    <row r="15776" spans="1:24">
      <c r="A15776">
        <f>HYPERLINK("https://www.philgeps.gov.ph/GEPSNONPILOT/Tender/SplashBidNoticeAbstractUI.aspx?menuIndex=3&amp;refID=7073934&amp;Result=3","7073934")</f>
        <v>0</v>
      </c>
      <c r="B15776" t="s">
        <v>3082</v>
      </c>
      <c r="C15776" t="s">
        <v>18821</v>
      </c>
      <c r="D15776" t="s">
        <v>19041</v>
      </c>
      <c r="E15776" t="s">
        <v>32454</v>
      </c>
      <c r="F15776" t="s">
        <v>32606</v>
      </c>
      <c r="G15776" t="s">
        <v>32613</v>
      </c>
      <c r="H15776" t="s">
        <v>32623</v>
      </c>
      <c r="I15776" t="s">
        <v>17648</v>
      </c>
      <c r="J15776" t="s">
        <v>42533</v>
      </c>
      <c r="K15776" t="s">
        <v>42680</v>
      </c>
      <c r="M15776" t="s">
        <v>46283</v>
      </c>
      <c r="N15776" t="s">
        <v>47304</v>
      </c>
      <c r="O15776" t="s">
        <v>47305</v>
      </c>
      <c r="Q15776">
        <v>15</v>
      </c>
      <c r="R15776" t="s">
        <v>47356</v>
      </c>
      <c r="S15776" t="s">
        <v>48823</v>
      </c>
      <c r="T15776" t="s">
        <v>48986</v>
      </c>
      <c r="U15776" t="s">
        <v>62511</v>
      </c>
      <c r="W15776" t="s">
        <v>46283</v>
      </c>
      <c r="X15776" t="s">
        <v>47364</v>
      </c>
    </row>
    <row r="15777" spans="1:24">
      <c r="A15777">
        <f>HYPERLINK("https://www.philgeps.gov.ph/GEPSNONPILOT/Tender/SplashBidNoticeAbstractUI.aspx?menuIndex=3&amp;refID=7073524&amp;Result=3","7073524")</f>
        <v>0</v>
      </c>
      <c r="B15777" t="s">
        <v>3082</v>
      </c>
      <c r="C15777" t="s">
        <v>18822</v>
      </c>
      <c r="D15777" t="s">
        <v>19041</v>
      </c>
      <c r="E15777" t="s">
        <v>32455</v>
      </c>
      <c r="F15777" t="s">
        <v>32606</v>
      </c>
      <c r="G15777" t="s">
        <v>32613</v>
      </c>
      <c r="H15777" t="s">
        <v>32623</v>
      </c>
      <c r="I15777" t="s">
        <v>17648</v>
      </c>
      <c r="J15777" t="s">
        <v>41585</v>
      </c>
      <c r="K15777" t="s">
        <v>42645</v>
      </c>
      <c r="M15777" t="s">
        <v>46283</v>
      </c>
      <c r="N15777" t="s">
        <v>47304</v>
      </c>
      <c r="O15777" t="s">
        <v>47305</v>
      </c>
      <c r="Q15777">
        <v>7</v>
      </c>
      <c r="R15777" t="s">
        <v>47356</v>
      </c>
      <c r="S15777" t="s">
        <v>48824</v>
      </c>
      <c r="T15777" t="s">
        <v>48986</v>
      </c>
      <c r="U15777" t="s">
        <v>62512</v>
      </c>
      <c r="W15777" t="s">
        <v>46283</v>
      </c>
      <c r="X15777" t="s">
        <v>47364</v>
      </c>
    </row>
    <row r="15778" spans="1:24">
      <c r="A15778">
        <f>HYPERLINK("https://www.philgeps.gov.ph/GEPSNONPILOT/Tender/SplashBidNoticeAbstractUI.aspx?menuIndex=3&amp;refID=7074127&amp;Result=3","7074127")</f>
        <v>0</v>
      </c>
      <c r="B15778" t="s">
        <v>3082</v>
      </c>
      <c r="C15778" t="s">
        <v>18823</v>
      </c>
      <c r="D15778" t="s">
        <v>19041</v>
      </c>
      <c r="E15778" t="s">
        <v>32456</v>
      </c>
      <c r="F15778" t="s">
        <v>32606</v>
      </c>
      <c r="G15778" t="s">
        <v>32613</v>
      </c>
      <c r="H15778" t="s">
        <v>32623</v>
      </c>
      <c r="I15778" t="s">
        <v>17648</v>
      </c>
      <c r="J15778" t="s">
        <v>42534</v>
      </c>
      <c r="K15778" t="s">
        <v>42712</v>
      </c>
      <c r="M15778" t="s">
        <v>46283</v>
      </c>
      <c r="N15778" t="s">
        <v>47304</v>
      </c>
      <c r="O15778" t="s">
        <v>47305</v>
      </c>
      <c r="Q15778">
        <v>16</v>
      </c>
      <c r="R15778" t="s">
        <v>47356</v>
      </c>
      <c r="S15778" t="s">
        <v>48825</v>
      </c>
      <c r="T15778" t="s">
        <v>48986</v>
      </c>
      <c r="U15778" t="s">
        <v>62513</v>
      </c>
      <c r="W15778" t="s">
        <v>46283</v>
      </c>
      <c r="X15778" t="s">
        <v>47364</v>
      </c>
    </row>
    <row r="15779" spans="1:24">
      <c r="A15779">
        <f>HYPERLINK("https://www.philgeps.gov.ph/GEPSNONPILOT/Tender/SplashBidNoticeAbstractUI.aspx?menuIndex=3&amp;refID=7062352&amp;Result=3","7062352")</f>
        <v>0</v>
      </c>
      <c r="B15779" t="s">
        <v>2925</v>
      </c>
      <c r="C15779" t="s">
        <v>18824</v>
      </c>
      <c r="D15779" t="s">
        <v>19048</v>
      </c>
      <c r="E15779" t="s">
        <v>32457</v>
      </c>
      <c r="F15779" t="s">
        <v>32606</v>
      </c>
      <c r="G15779" t="s">
        <v>32613</v>
      </c>
      <c r="H15779" t="s">
        <v>32623</v>
      </c>
      <c r="I15779" t="s">
        <v>17648</v>
      </c>
      <c r="J15779" t="s">
        <v>42233</v>
      </c>
      <c r="K15779" t="s">
        <v>42869</v>
      </c>
      <c r="M15779" t="s">
        <v>46104</v>
      </c>
      <c r="N15779" t="s">
        <v>47304</v>
      </c>
      <c r="O15779" t="s">
        <v>47305</v>
      </c>
      <c r="Q15779">
        <v>13</v>
      </c>
      <c r="R15779" t="s">
        <v>47359</v>
      </c>
      <c r="S15779" t="s">
        <v>48826</v>
      </c>
      <c r="T15779" t="s">
        <v>49268</v>
      </c>
      <c r="U15779" t="s">
        <v>62514</v>
      </c>
      <c r="W15779" t="s">
        <v>46104</v>
      </c>
      <c r="X15779" t="s">
        <v>47365</v>
      </c>
    </row>
    <row r="15780" spans="1:24">
      <c r="A15780">
        <f>HYPERLINK("https://www.philgeps.gov.ph/GEPSNONPILOT/Tender/SplashBidNoticeAbstractUI.aspx?menuIndex=3&amp;refID=7071954&amp;Result=3","7071954")</f>
        <v>0</v>
      </c>
      <c r="B15780" t="s">
        <v>349</v>
      </c>
      <c r="C15780" t="s">
        <v>18825</v>
      </c>
      <c r="D15780" t="s">
        <v>19028</v>
      </c>
      <c r="E15780" t="s">
        <v>32458</v>
      </c>
      <c r="F15780" t="s">
        <v>32606</v>
      </c>
      <c r="G15780" t="s">
        <v>32613</v>
      </c>
      <c r="H15780" t="s">
        <v>32623</v>
      </c>
      <c r="I15780" t="s">
        <v>17648</v>
      </c>
      <c r="J15780" t="s">
        <v>42535</v>
      </c>
      <c r="K15780" t="s">
        <v>42915</v>
      </c>
      <c r="M15780" t="s">
        <v>47075</v>
      </c>
      <c r="N15780" t="s">
        <v>47304</v>
      </c>
      <c r="O15780" t="s">
        <v>47305</v>
      </c>
      <c r="Q15780">
        <v>43</v>
      </c>
      <c r="R15780" t="s">
        <v>47360</v>
      </c>
      <c r="S15780" t="s">
        <v>48827</v>
      </c>
      <c r="T15780" t="s">
        <v>48980</v>
      </c>
      <c r="U15780" t="s">
        <v>62515</v>
      </c>
      <c r="V15780" t="s">
        <v>63748</v>
      </c>
      <c r="W15780" t="s">
        <v>47075</v>
      </c>
      <c r="X15780" t="s">
        <v>47363</v>
      </c>
    </row>
    <row r="15781" spans="1:24">
      <c r="A15781">
        <f>HYPERLINK("https://www.philgeps.gov.ph/GEPSNONPILOT/Tender/SplashBidNoticeAbstractUI.aspx?menuIndex=3&amp;refID=7071765&amp;Result=3","7071765")</f>
        <v>0</v>
      </c>
      <c r="B15781" t="s">
        <v>349</v>
      </c>
      <c r="C15781" t="s">
        <v>18826</v>
      </c>
      <c r="D15781" t="s">
        <v>19028</v>
      </c>
      <c r="E15781" t="s">
        <v>32459</v>
      </c>
      <c r="F15781" t="s">
        <v>32606</v>
      </c>
      <c r="G15781" t="s">
        <v>32613</v>
      </c>
      <c r="H15781" t="s">
        <v>32623</v>
      </c>
      <c r="I15781" t="s">
        <v>17648</v>
      </c>
      <c r="J15781" t="s">
        <v>42536</v>
      </c>
      <c r="K15781" t="s">
        <v>42856</v>
      </c>
      <c r="M15781" t="s">
        <v>47075</v>
      </c>
      <c r="N15781" t="s">
        <v>47304</v>
      </c>
      <c r="O15781" t="s">
        <v>47305</v>
      </c>
      <c r="Q15781">
        <v>60</v>
      </c>
      <c r="R15781" t="s">
        <v>47360</v>
      </c>
      <c r="S15781" t="s">
        <v>48828</v>
      </c>
      <c r="T15781" t="s">
        <v>48980</v>
      </c>
      <c r="U15781" t="s">
        <v>62516</v>
      </c>
      <c r="V15781" t="s">
        <v>63748</v>
      </c>
      <c r="W15781" t="s">
        <v>47075</v>
      </c>
      <c r="X15781" t="s">
        <v>47363</v>
      </c>
    </row>
    <row r="15782" spans="1:24">
      <c r="A15782">
        <f>HYPERLINK("https://www.philgeps.gov.ph/GEPSNONPILOT/Tender/SplashBidNoticeAbstractUI.aspx?menuIndex=3&amp;refID=7078741&amp;Result=3","7078741")</f>
        <v>0</v>
      </c>
      <c r="B15782" t="s">
        <v>278</v>
      </c>
      <c r="C15782" t="s">
        <v>18827</v>
      </c>
      <c r="D15782" t="s">
        <v>18993</v>
      </c>
      <c r="E15782" t="s">
        <v>32460</v>
      </c>
      <c r="F15782" t="s">
        <v>32606</v>
      </c>
      <c r="G15782" t="s">
        <v>32614</v>
      </c>
      <c r="H15782" t="s">
        <v>14201</v>
      </c>
      <c r="I15782" t="s">
        <v>32705</v>
      </c>
      <c r="J15782" t="s">
        <v>34819</v>
      </c>
      <c r="K15782" t="s">
        <v>42631</v>
      </c>
      <c r="M15782" t="s">
        <v>43179</v>
      </c>
      <c r="N15782" t="s">
        <v>47304</v>
      </c>
      <c r="O15782" t="s">
        <v>47305</v>
      </c>
      <c r="Q15782">
        <v>2</v>
      </c>
      <c r="R15782" t="s">
        <v>47357</v>
      </c>
      <c r="S15782" t="s">
        <v>48829</v>
      </c>
      <c r="T15782" t="s">
        <v>49071</v>
      </c>
      <c r="U15782" t="s">
        <v>62517</v>
      </c>
      <c r="W15782" t="s">
        <v>43179</v>
      </c>
      <c r="X15782" t="s">
        <v>47356</v>
      </c>
    </row>
    <row r="15783" spans="1:24">
      <c r="A15783">
        <f>HYPERLINK("https://www.philgeps.gov.ph/GEPSNONPILOT/Tender/SplashBidNoticeAbstractUI.aspx?menuIndex=3&amp;refID=7072485&amp;Result=3","7072485")</f>
        <v>0</v>
      </c>
      <c r="B15783" t="s">
        <v>2788</v>
      </c>
      <c r="C15783" t="s">
        <v>18828</v>
      </c>
      <c r="D15783" t="s">
        <v>18997</v>
      </c>
      <c r="E15783" t="s">
        <v>32461</v>
      </c>
      <c r="F15783" t="s">
        <v>32606</v>
      </c>
      <c r="G15783" t="s">
        <v>32613</v>
      </c>
      <c r="H15783" t="s">
        <v>14201</v>
      </c>
      <c r="I15783" t="s">
        <v>6298</v>
      </c>
      <c r="J15783" t="s">
        <v>32765</v>
      </c>
      <c r="K15783" t="s">
        <v>42624</v>
      </c>
      <c r="M15783" t="s">
        <v>45950</v>
      </c>
      <c r="N15783" t="s">
        <v>47304</v>
      </c>
      <c r="O15783" t="s">
        <v>47305</v>
      </c>
      <c r="Q15783">
        <v>2</v>
      </c>
      <c r="R15783" t="s">
        <v>47361</v>
      </c>
      <c r="S15783" t="s">
        <v>48830</v>
      </c>
      <c r="T15783" t="s">
        <v>49018</v>
      </c>
      <c r="U15783" t="s">
        <v>62518</v>
      </c>
      <c r="W15783" t="s">
        <v>45950</v>
      </c>
      <c r="X15783" t="s">
        <v>47360</v>
      </c>
    </row>
    <row r="15784" spans="1:24">
      <c r="A15784">
        <f>HYPERLINK("https://www.philgeps.gov.ph/GEPSNONPILOT/Tender/SplashBidNoticeAbstractUI.aspx?menuIndex=3&amp;refID=7071854&amp;Result=3","7071854")</f>
        <v>0</v>
      </c>
      <c r="B15784" t="s">
        <v>2788</v>
      </c>
      <c r="C15784" t="s">
        <v>18829</v>
      </c>
      <c r="D15784" t="s">
        <v>18997</v>
      </c>
      <c r="E15784" t="s">
        <v>32462</v>
      </c>
      <c r="F15784" t="s">
        <v>32606</v>
      </c>
      <c r="G15784" t="s">
        <v>32613</v>
      </c>
      <c r="H15784" t="s">
        <v>14201</v>
      </c>
      <c r="I15784" t="s">
        <v>32633</v>
      </c>
      <c r="J15784" t="s">
        <v>42537</v>
      </c>
      <c r="K15784" t="s">
        <v>42624</v>
      </c>
      <c r="M15784" t="s">
        <v>45950</v>
      </c>
      <c r="N15784" t="s">
        <v>47304</v>
      </c>
      <c r="O15784" t="s">
        <v>47305</v>
      </c>
      <c r="Q15784">
        <v>1</v>
      </c>
      <c r="R15784" t="s">
        <v>47361</v>
      </c>
      <c r="S15784" t="s">
        <v>48831</v>
      </c>
      <c r="T15784" t="s">
        <v>49018</v>
      </c>
      <c r="U15784" t="s">
        <v>62519</v>
      </c>
      <c r="W15784" t="s">
        <v>45950</v>
      </c>
      <c r="X15784" t="s">
        <v>47363</v>
      </c>
    </row>
    <row r="15785" spans="1:24">
      <c r="A15785">
        <f>HYPERLINK("https://www.philgeps.gov.ph/GEPSNONPILOT/Tender/SplashBidNoticeAbstractUI.aspx?menuIndex=3&amp;refID=7078388&amp;Result=3","7078388")</f>
        <v>0</v>
      </c>
      <c r="B15785" t="s">
        <v>3882</v>
      </c>
      <c r="C15785" t="s">
        <v>18830</v>
      </c>
      <c r="D15785" t="s">
        <v>18993</v>
      </c>
      <c r="E15785" t="s">
        <v>32463</v>
      </c>
      <c r="F15785" t="s">
        <v>32606</v>
      </c>
      <c r="G15785" t="s">
        <v>32613</v>
      </c>
      <c r="H15785" t="s">
        <v>32623</v>
      </c>
      <c r="I15785" t="s">
        <v>17648</v>
      </c>
      <c r="J15785" t="s">
        <v>42538</v>
      </c>
      <c r="K15785" t="s">
        <v>42646</v>
      </c>
      <c r="M15785" t="s">
        <v>47294</v>
      </c>
      <c r="N15785" t="s">
        <v>47304</v>
      </c>
      <c r="O15785" t="s">
        <v>47305</v>
      </c>
      <c r="Q15785">
        <v>18</v>
      </c>
      <c r="R15785" t="s">
        <v>47357</v>
      </c>
      <c r="S15785" t="s">
        <v>48832</v>
      </c>
      <c r="T15785" t="s">
        <v>49331</v>
      </c>
      <c r="U15785" t="s">
        <v>62502</v>
      </c>
      <c r="W15785" t="s">
        <v>47294</v>
      </c>
      <c r="X15785" t="s">
        <v>47356</v>
      </c>
    </row>
    <row r="15786" spans="1:24">
      <c r="A15786">
        <f>HYPERLINK("https://www.philgeps.gov.ph/GEPSNONPILOT/Tender/SplashBidNoticeAbstractUI.aspx?menuIndex=3&amp;refID=7073448&amp;Result=3","7073448")</f>
        <v>0</v>
      </c>
      <c r="B15786" t="s">
        <v>3082</v>
      </c>
      <c r="C15786" t="s">
        <v>18831</v>
      </c>
      <c r="D15786" t="s">
        <v>19041</v>
      </c>
      <c r="E15786" t="s">
        <v>32464</v>
      </c>
      <c r="F15786" t="s">
        <v>32606</v>
      </c>
      <c r="G15786" t="s">
        <v>32613</v>
      </c>
      <c r="H15786" t="s">
        <v>32623</v>
      </c>
      <c r="I15786" t="s">
        <v>17648</v>
      </c>
      <c r="J15786" t="s">
        <v>38619</v>
      </c>
      <c r="K15786" t="s">
        <v>42646</v>
      </c>
      <c r="M15786" t="s">
        <v>46283</v>
      </c>
      <c r="N15786" t="s">
        <v>47304</v>
      </c>
      <c r="O15786" t="s">
        <v>47305</v>
      </c>
      <c r="Q15786">
        <v>8</v>
      </c>
      <c r="R15786" t="s">
        <v>47356</v>
      </c>
      <c r="S15786" t="s">
        <v>48833</v>
      </c>
      <c r="T15786" t="s">
        <v>48986</v>
      </c>
      <c r="U15786" t="s">
        <v>62510</v>
      </c>
      <c r="W15786" t="s">
        <v>46283</v>
      </c>
      <c r="X15786" t="s">
        <v>47364</v>
      </c>
    </row>
    <row r="15787" spans="1:24">
      <c r="A15787">
        <f>HYPERLINK("https://www.philgeps.gov.ph/GEPSNONPILOT/Tender/SplashBidNoticeAbstractUI.aspx?menuIndex=3&amp;refID=7077469&amp;Result=3","7077469")</f>
        <v>0</v>
      </c>
      <c r="B15787" t="s">
        <v>3911</v>
      </c>
      <c r="C15787" t="s">
        <v>18832</v>
      </c>
      <c r="D15787" t="s">
        <v>18993</v>
      </c>
      <c r="E15787" t="s">
        <v>32465</v>
      </c>
      <c r="F15787" t="s">
        <v>32606</v>
      </c>
      <c r="G15787" t="s">
        <v>32613</v>
      </c>
      <c r="H15787" t="s">
        <v>14201</v>
      </c>
      <c r="I15787" t="s">
        <v>7577</v>
      </c>
      <c r="J15787" t="s">
        <v>42539</v>
      </c>
      <c r="K15787" t="s">
        <v>42639</v>
      </c>
      <c r="M15787" t="s">
        <v>47295</v>
      </c>
      <c r="N15787" t="s">
        <v>47304</v>
      </c>
      <c r="O15787" t="s">
        <v>47305</v>
      </c>
      <c r="Q15787">
        <v>23</v>
      </c>
      <c r="R15787" t="s">
        <v>47357</v>
      </c>
      <c r="S15787" t="s">
        <v>48834</v>
      </c>
      <c r="T15787" t="s">
        <v>48998</v>
      </c>
      <c r="U15787" t="s">
        <v>62520</v>
      </c>
      <c r="W15787" t="s">
        <v>47295</v>
      </c>
      <c r="X15787" t="s">
        <v>47356</v>
      </c>
    </row>
    <row r="15788" spans="1:24">
      <c r="A15788">
        <f>HYPERLINK("https://www.philgeps.gov.ph/GEPSNONPILOT/Tender/SplashBidNoticeAbstractUI.aspx?menuIndex=3&amp;refID=7075757&amp;Result=3","7075757")</f>
        <v>0</v>
      </c>
      <c r="B15788" t="s">
        <v>3888</v>
      </c>
      <c r="C15788" t="s">
        <v>18833</v>
      </c>
      <c r="D15788" t="s">
        <v>19022</v>
      </c>
      <c r="E15788" t="s">
        <v>32466</v>
      </c>
      <c r="F15788" t="s">
        <v>32606</v>
      </c>
      <c r="G15788" t="s">
        <v>32613</v>
      </c>
      <c r="H15788" t="s">
        <v>32623</v>
      </c>
      <c r="I15788" t="s">
        <v>17648</v>
      </c>
      <c r="J15788" t="s">
        <v>39538</v>
      </c>
      <c r="K15788" t="s">
        <v>42624</v>
      </c>
      <c r="L15788" t="s">
        <v>3888</v>
      </c>
      <c r="M15788" t="s">
        <v>47255</v>
      </c>
      <c r="N15788" t="s">
        <v>47304</v>
      </c>
      <c r="O15788" t="s">
        <v>47305</v>
      </c>
      <c r="Q15788">
        <v>1</v>
      </c>
      <c r="R15788" t="s">
        <v>47356</v>
      </c>
      <c r="S15788" t="s">
        <v>47918</v>
      </c>
      <c r="T15788" t="s">
        <v>49121</v>
      </c>
      <c r="U15788" t="s">
        <v>62521</v>
      </c>
      <c r="V15788" t="s">
        <v>64370</v>
      </c>
      <c r="W15788" t="s">
        <v>47255</v>
      </c>
      <c r="X15788" t="s">
        <v>47364</v>
      </c>
    </row>
    <row r="15789" spans="1:24">
      <c r="A15789">
        <f>HYPERLINK("https://www.philgeps.gov.ph/GEPSNONPILOT/Tender/SplashBidNoticeAbstractUI.aspx?menuIndex=3&amp;refID=7062591&amp;Result=3","7062591")</f>
        <v>0</v>
      </c>
      <c r="B15789" t="s">
        <v>2925</v>
      </c>
      <c r="C15789" t="s">
        <v>18834</v>
      </c>
      <c r="D15789" t="s">
        <v>19048</v>
      </c>
      <c r="E15789" t="s">
        <v>32467</v>
      </c>
      <c r="F15789" t="s">
        <v>32606</v>
      </c>
      <c r="G15789" t="s">
        <v>32613</v>
      </c>
      <c r="H15789" t="s">
        <v>32623</v>
      </c>
      <c r="I15789" t="s">
        <v>17648</v>
      </c>
      <c r="J15789" t="s">
        <v>42233</v>
      </c>
      <c r="K15789" t="s">
        <v>42869</v>
      </c>
      <c r="M15789" t="s">
        <v>46104</v>
      </c>
      <c r="N15789" t="s">
        <v>47304</v>
      </c>
      <c r="O15789" t="s">
        <v>47305</v>
      </c>
      <c r="Q15789">
        <v>11</v>
      </c>
      <c r="R15789" t="s">
        <v>47359</v>
      </c>
      <c r="S15789" t="s">
        <v>48835</v>
      </c>
      <c r="T15789" t="s">
        <v>49268</v>
      </c>
      <c r="U15789" t="s">
        <v>62522</v>
      </c>
      <c r="W15789" t="s">
        <v>46104</v>
      </c>
      <c r="X15789" t="s">
        <v>47365</v>
      </c>
    </row>
    <row r="15790" spans="1:24">
      <c r="A15790">
        <f>HYPERLINK("https://www.philgeps.gov.ph/GEPSNONPILOT/Tender/SplashBidNoticeAbstractUI.aspx?menuIndex=3&amp;refID=7062476&amp;Result=3","7062476")</f>
        <v>0</v>
      </c>
      <c r="B15790" t="s">
        <v>2925</v>
      </c>
      <c r="C15790" t="s">
        <v>18835</v>
      </c>
      <c r="D15790" t="s">
        <v>19048</v>
      </c>
      <c r="E15790" t="s">
        <v>32468</v>
      </c>
      <c r="F15790" t="s">
        <v>32606</v>
      </c>
      <c r="G15790" t="s">
        <v>32613</v>
      </c>
      <c r="H15790" t="s">
        <v>32623</v>
      </c>
      <c r="I15790" t="s">
        <v>17648</v>
      </c>
      <c r="J15790" t="s">
        <v>42233</v>
      </c>
      <c r="K15790" t="s">
        <v>42869</v>
      </c>
      <c r="M15790" t="s">
        <v>46104</v>
      </c>
      <c r="N15790" t="s">
        <v>47304</v>
      </c>
      <c r="O15790" t="s">
        <v>47305</v>
      </c>
      <c r="Q15790">
        <v>14</v>
      </c>
      <c r="R15790" t="s">
        <v>47359</v>
      </c>
      <c r="S15790" t="s">
        <v>48836</v>
      </c>
      <c r="T15790" t="s">
        <v>49268</v>
      </c>
      <c r="U15790" t="s">
        <v>62523</v>
      </c>
      <c r="W15790" t="s">
        <v>46104</v>
      </c>
      <c r="X15790" t="s">
        <v>47365</v>
      </c>
    </row>
    <row r="15791" spans="1:24">
      <c r="A15791">
        <f>HYPERLINK("https://www.philgeps.gov.ph/GEPSNONPILOT/Tender/SplashBidNoticeAbstractUI.aspx?menuIndex=3&amp;refID=7066890&amp;Result=3","7066890")</f>
        <v>0</v>
      </c>
      <c r="B15791" t="s">
        <v>3912</v>
      </c>
      <c r="C15791" t="s">
        <v>18836</v>
      </c>
      <c r="D15791" t="s">
        <v>18993</v>
      </c>
      <c r="E15791" t="s">
        <v>32469</v>
      </c>
      <c r="F15791" t="s">
        <v>32606</v>
      </c>
      <c r="G15791" t="s">
        <v>32613</v>
      </c>
      <c r="H15791" t="s">
        <v>14201</v>
      </c>
      <c r="I15791" t="s">
        <v>32640</v>
      </c>
      <c r="J15791" t="s">
        <v>42540</v>
      </c>
      <c r="K15791" t="s">
        <v>42646</v>
      </c>
      <c r="M15791" t="s">
        <v>47296</v>
      </c>
      <c r="N15791" t="s">
        <v>47304</v>
      </c>
      <c r="O15791" t="s">
        <v>47305</v>
      </c>
      <c r="Q15791">
        <v>36</v>
      </c>
      <c r="R15791" t="s">
        <v>47362</v>
      </c>
      <c r="S15791" t="s">
        <v>48837</v>
      </c>
      <c r="T15791" t="s">
        <v>49121</v>
      </c>
      <c r="U15791" t="s">
        <v>62524</v>
      </c>
      <c r="W15791" t="s">
        <v>47296</v>
      </c>
      <c r="X15791" t="s">
        <v>47359</v>
      </c>
    </row>
    <row r="15792" spans="1:24">
      <c r="A15792">
        <f>HYPERLINK("https://www.philgeps.gov.ph/GEPSNONPILOT/Tender/SplashBidNoticeAbstractUI.aspx?menuIndex=3&amp;refID=7067435&amp;Result=3","7067435")</f>
        <v>0</v>
      </c>
      <c r="B15792" t="s">
        <v>1048</v>
      </c>
      <c r="C15792" t="s">
        <v>18837</v>
      </c>
      <c r="D15792" t="s">
        <v>18993</v>
      </c>
      <c r="E15792" t="s">
        <v>32470</v>
      </c>
      <c r="F15792" t="s">
        <v>32606</v>
      </c>
      <c r="G15792" t="s">
        <v>32613</v>
      </c>
      <c r="H15792" t="s">
        <v>14201</v>
      </c>
      <c r="I15792" t="s">
        <v>32640</v>
      </c>
      <c r="J15792" t="s">
        <v>42541</v>
      </c>
      <c r="K15792" t="s">
        <v>42703</v>
      </c>
      <c r="M15792" t="s">
        <v>47073</v>
      </c>
      <c r="N15792" t="s">
        <v>47304</v>
      </c>
      <c r="O15792" t="s">
        <v>47305</v>
      </c>
      <c r="Q15792">
        <v>24</v>
      </c>
      <c r="R15792" t="s">
        <v>47363</v>
      </c>
      <c r="S15792" t="s">
        <v>48838</v>
      </c>
      <c r="T15792" t="s">
        <v>49020</v>
      </c>
      <c r="U15792" t="s">
        <v>62525</v>
      </c>
      <c r="W15792" t="s">
        <v>47073</v>
      </c>
      <c r="X15792" t="s">
        <v>47362</v>
      </c>
    </row>
    <row r="15793" spans="1:24">
      <c r="A15793">
        <f>HYPERLINK("https://www.philgeps.gov.ph/GEPSNONPILOT/Tender/SplashBidNoticeAbstractUI.aspx?menuIndex=3&amp;refID=7062424&amp;Result=3","7062424")</f>
        <v>0</v>
      </c>
      <c r="B15793" t="s">
        <v>2925</v>
      </c>
      <c r="C15793" t="s">
        <v>18838</v>
      </c>
      <c r="D15793" t="s">
        <v>19048</v>
      </c>
      <c r="E15793" t="s">
        <v>32471</v>
      </c>
      <c r="F15793" t="s">
        <v>32606</v>
      </c>
      <c r="G15793" t="s">
        <v>32613</v>
      </c>
      <c r="H15793" t="s">
        <v>32623</v>
      </c>
      <c r="I15793" t="s">
        <v>17648</v>
      </c>
      <c r="J15793" t="s">
        <v>42233</v>
      </c>
      <c r="K15793" t="s">
        <v>42869</v>
      </c>
      <c r="M15793" t="s">
        <v>46104</v>
      </c>
      <c r="N15793" t="s">
        <v>47304</v>
      </c>
      <c r="O15793" t="s">
        <v>47305</v>
      </c>
      <c r="Q15793">
        <v>16</v>
      </c>
      <c r="R15793" t="s">
        <v>47359</v>
      </c>
      <c r="S15793" t="s">
        <v>48839</v>
      </c>
      <c r="T15793" t="s">
        <v>49268</v>
      </c>
      <c r="U15793" t="s">
        <v>62526</v>
      </c>
      <c r="W15793" t="s">
        <v>46104</v>
      </c>
      <c r="X15793" t="s">
        <v>47365</v>
      </c>
    </row>
    <row r="15794" spans="1:24">
      <c r="A15794">
        <f>HYPERLINK("https://www.philgeps.gov.ph/GEPSNONPILOT/Tender/SplashBidNoticeAbstractUI.aspx?menuIndex=3&amp;refID=7062407&amp;Result=3","7062407")</f>
        <v>0</v>
      </c>
      <c r="B15794" t="s">
        <v>2925</v>
      </c>
      <c r="C15794" t="s">
        <v>18839</v>
      </c>
      <c r="D15794" t="s">
        <v>19048</v>
      </c>
      <c r="E15794" t="s">
        <v>32472</v>
      </c>
      <c r="F15794" t="s">
        <v>32606</v>
      </c>
      <c r="G15794" t="s">
        <v>32613</v>
      </c>
      <c r="H15794" t="s">
        <v>32623</v>
      </c>
      <c r="I15794" t="s">
        <v>17648</v>
      </c>
      <c r="J15794" t="s">
        <v>42233</v>
      </c>
      <c r="K15794" t="s">
        <v>42869</v>
      </c>
      <c r="M15794" t="s">
        <v>46104</v>
      </c>
      <c r="N15794" t="s">
        <v>47304</v>
      </c>
      <c r="O15794" t="s">
        <v>47305</v>
      </c>
      <c r="Q15794">
        <v>12</v>
      </c>
      <c r="R15794" t="s">
        <v>47359</v>
      </c>
      <c r="S15794" t="s">
        <v>48840</v>
      </c>
      <c r="T15794" t="s">
        <v>49268</v>
      </c>
      <c r="U15794" t="s">
        <v>62527</v>
      </c>
      <c r="W15794" t="s">
        <v>46104</v>
      </c>
      <c r="X15794" t="s">
        <v>47365</v>
      </c>
    </row>
    <row r="15795" spans="1:24">
      <c r="A15795">
        <f>HYPERLINK("https://www.philgeps.gov.ph/GEPSNONPILOT/Tender/SplashBidNoticeAbstractUI.aspx?menuIndex=3&amp;refID=7075619&amp;Result=3","7075619")</f>
        <v>0</v>
      </c>
      <c r="B15795" t="s">
        <v>2414</v>
      </c>
      <c r="C15795" t="s">
        <v>18840</v>
      </c>
      <c r="D15795" t="s">
        <v>19067</v>
      </c>
      <c r="E15795" t="s">
        <v>32473</v>
      </c>
      <c r="F15795" t="s">
        <v>32606</v>
      </c>
      <c r="G15795" t="s">
        <v>32617</v>
      </c>
      <c r="H15795" t="s">
        <v>14201</v>
      </c>
      <c r="I15795" t="s">
        <v>6298</v>
      </c>
      <c r="J15795" t="s">
        <v>39001</v>
      </c>
      <c r="K15795" t="s">
        <v>42636</v>
      </c>
      <c r="M15795" t="s">
        <v>46458</v>
      </c>
      <c r="N15795" t="s">
        <v>47304</v>
      </c>
      <c r="O15795" t="s">
        <v>47305</v>
      </c>
      <c r="Q15795">
        <v>6</v>
      </c>
      <c r="R15795" t="s">
        <v>47356</v>
      </c>
      <c r="S15795" t="s">
        <v>48841</v>
      </c>
      <c r="T15795" t="s">
        <v>49068</v>
      </c>
      <c r="U15795" t="s">
        <v>58605</v>
      </c>
      <c r="W15795" t="s">
        <v>46458</v>
      </c>
      <c r="X15795" t="s">
        <v>47364</v>
      </c>
    </row>
    <row r="15796" spans="1:24">
      <c r="A15796">
        <f>HYPERLINK("https://www.philgeps.gov.ph/GEPSNONPILOT/Tender/SplashBidNoticeAbstractUI.aspx?menuIndex=3&amp;refID=7070765&amp;Result=3","7070765")</f>
        <v>0</v>
      </c>
      <c r="B15796" t="s">
        <v>3064</v>
      </c>
      <c r="C15796" t="s">
        <v>18841</v>
      </c>
      <c r="D15796" t="s">
        <v>19008</v>
      </c>
      <c r="E15796" t="s">
        <v>32474</v>
      </c>
      <c r="F15796" t="s">
        <v>32606</v>
      </c>
      <c r="G15796" t="s">
        <v>32614</v>
      </c>
      <c r="H15796" t="s">
        <v>14201</v>
      </c>
      <c r="I15796" t="s">
        <v>4114</v>
      </c>
      <c r="J15796" t="s">
        <v>42542</v>
      </c>
      <c r="K15796" t="s">
        <v>42623</v>
      </c>
      <c r="M15796" t="s">
        <v>46263</v>
      </c>
      <c r="N15796" t="s">
        <v>47304</v>
      </c>
      <c r="O15796" t="s">
        <v>47305</v>
      </c>
      <c r="Q15796">
        <v>6</v>
      </c>
      <c r="R15796" t="s">
        <v>47364</v>
      </c>
      <c r="S15796" t="s">
        <v>47450</v>
      </c>
      <c r="T15796" t="s">
        <v>49175</v>
      </c>
      <c r="U15796" t="s">
        <v>62528</v>
      </c>
      <c r="W15796" t="s">
        <v>46263</v>
      </c>
      <c r="X15796" t="s">
        <v>47363</v>
      </c>
    </row>
    <row r="15797" spans="1:24">
      <c r="A15797">
        <f>HYPERLINK("https://www.philgeps.gov.ph/GEPSNONPILOT/Tender/SplashBidNoticeAbstractUI.aspx?menuIndex=3&amp;refID=7062607&amp;Result=3","7062607")</f>
        <v>0</v>
      </c>
      <c r="B15797" t="s">
        <v>2925</v>
      </c>
      <c r="C15797" t="s">
        <v>18842</v>
      </c>
      <c r="D15797" t="s">
        <v>19048</v>
      </c>
      <c r="E15797" t="s">
        <v>32475</v>
      </c>
      <c r="F15797" t="s">
        <v>32606</v>
      </c>
      <c r="G15797" t="s">
        <v>32613</v>
      </c>
      <c r="H15797" t="s">
        <v>32623</v>
      </c>
      <c r="I15797" t="s">
        <v>17648</v>
      </c>
      <c r="J15797" t="s">
        <v>37496</v>
      </c>
      <c r="K15797" t="s">
        <v>42699</v>
      </c>
      <c r="M15797" t="s">
        <v>46104</v>
      </c>
      <c r="N15797" t="s">
        <v>47304</v>
      </c>
      <c r="O15797" t="s">
        <v>47305</v>
      </c>
      <c r="Q15797">
        <v>11</v>
      </c>
      <c r="R15797" t="s">
        <v>47359</v>
      </c>
      <c r="S15797" t="s">
        <v>48842</v>
      </c>
      <c r="T15797" t="s">
        <v>48980</v>
      </c>
      <c r="U15797" t="s">
        <v>62529</v>
      </c>
      <c r="W15797" t="s">
        <v>46104</v>
      </c>
      <c r="X15797" t="s">
        <v>47365</v>
      </c>
    </row>
    <row r="15798" spans="1:24">
      <c r="A15798">
        <f>HYPERLINK("https://www.philgeps.gov.ph/GEPSNONPILOT/Tender/SplashBidNoticeAbstractUI.aspx?menuIndex=3&amp;refID=7062379&amp;Result=3","7062379")</f>
        <v>0</v>
      </c>
      <c r="B15798" t="s">
        <v>2925</v>
      </c>
      <c r="C15798" t="s">
        <v>18843</v>
      </c>
      <c r="D15798" t="s">
        <v>19048</v>
      </c>
      <c r="E15798" t="s">
        <v>32476</v>
      </c>
      <c r="F15798" t="s">
        <v>32606</v>
      </c>
      <c r="G15798" t="s">
        <v>32613</v>
      </c>
      <c r="H15798" t="s">
        <v>32623</v>
      </c>
      <c r="I15798" t="s">
        <v>17648</v>
      </c>
      <c r="J15798" t="s">
        <v>42233</v>
      </c>
      <c r="K15798" t="s">
        <v>42869</v>
      </c>
      <c r="M15798" t="s">
        <v>46104</v>
      </c>
      <c r="N15798" t="s">
        <v>47304</v>
      </c>
      <c r="O15798" t="s">
        <v>47305</v>
      </c>
      <c r="Q15798">
        <v>12</v>
      </c>
      <c r="R15798" t="s">
        <v>47359</v>
      </c>
      <c r="S15798" t="s">
        <v>48843</v>
      </c>
      <c r="T15798" t="s">
        <v>49268</v>
      </c>
      <c r="U15798" t="s">
        <v>62530</v>
      </c>
      <c r="W15798" t="s">
        <v>46104</v>
      </c>
      <c r="X15798" t="s">
        <v>47365</v>
      </c>
    </row>
    <row r="15799" spans="1:24">
      <c r="A15799">
        <f>HYPERLINK("https://www.philgeps.gov.ph/GEPSNONPILOT/Tender/SplashBidNoticeAbstractUI.aspx?menuIndex=3&amp;refID=7075039&amp;Result=3","7075039")</f>
        <v>0</v>
      </c>
      <c r="B15799" t="s">
        <v>950</v>
      </c>
      <c r="C15799" t="s">
        <v>18844</v>
      </c>
      <c r="D15799" t="s">
        <v>18993</v>
      </c>
      <c r="E15799" t="s">
        <v>32477</v>
      </c>
      <c r="F15799" t="s">
        <v>32606</v>
      </c>
      <c r="G15799" t="s">
        <v>32613</v>
      </c>
      <c r="H15799" t="s">
        <v>32624</v>
      </c>
      <c r="I15799" t="s">
        <v>32628</v>
      </c>
      <c r="J15799" t="s">
        <v>34667</v>
      </c>
      <c r="K15799" t="s">
        <v>42665</v>
      </c>
      <c r="M15799" t="s">
        <v>43892</v>
      </c>
      <c r="N15799" t="s">
        <v>47304</v>
      </c>
      <c r="O15799" t="s">
        <v>47305</v>
      </c>
      <c r="Q15799">
        <v>4</v>
      </c>
      <c r="R15799" t="s">
        <v>47356</v>
      </c>
      <c r="S15799" t="s">
        <v>48623</v>
      </c>
      <c r="T15799" t="s">
        <v>48987</v>
      </c>
      <c r="U15799" t="s">
        <v>62531</v>
      </c>
      <c r="W15799" t="s">
        <v>43892</v>
      </c>
      <c r="X15799" t="s">
        <v>47364</v>
      </c>
    </row>
    <row r="15800" spans="1:24">
      <c r="A15800">
        <f>HYPERLINK("https://www.philgeps.gov.ph/GEPSNONPILOT/Tender/SplashBidNoticeAbstractUI.aspx?menuIndex=3&amp;refID=7074205&amp;Result=3","7074205")</f>
        <v>0</v>
      </c>
      <c r="B15800" t="s">
        <v>3082</v>
      </c>
      <c r="C15800" t="s">
        <v>18845</v>
      </c>
      <c r="D15800" t="s">
        <v>19041</v>
      </c>
      <c r="E15800" t="s">
        <v>32478</v>
      </c>
      <c r="F15800" t="s">
        <v>32606</v>
      </c>
      <c r="G15800" t="s">
        <v>32613</v>
      </c>
      <c r="H15800" t="s">
        <v>32623</v>
      </c>
      <c r="I15800" t="s">
        <v>17648</v>
      </c>
      <c r="J15800" t="s">
        <v>42543</v>
      </c>
      <c r="K15800" t="s">
        <v>42683</v>
      </c>
      <c r="M15800" t="s">
        <v>46283</v>
      </c>
      <c r="N15800" t="s">
        <v>47304</v>
      </c>
      <c r="O15800" t="s">
        <v>47305</v>
      </c>
      <c r="Q15800">
        <v>12</v>
      </c>
      <c r="R15800" t="s">
        <v>47356</v>
      </c>
      <c r="S15800" t="s">
        <v>48844</v>
      </c>
      <c r="T15800" t="s">
        <v>48986</v>
      </c>
      <c r="U15800" t="s">
        <v>62511</v>
      </c>
      <c r="W15800" t="s">
        <v>46283</v>
      </c>
      <c r="X15800" t="s">
        <v>47364</v>
      </c>
    </row>
    <row r="15801" spans="1:24">
      <c r="A15801">
        <f>HYPERLINK("https://www.philgeps.gov.ph/GEPSNONPILOT/Tender/SplashBidNoticeAbstractUI.aspx?menuIndex=3&amp;refID=7060123&amp;Result=3","7060123")</f>
        <v>0</v>
      </c>
      <c r="B15801" t="s">
        <v>132</v>
      </c>
      <c r="C15801" t="s">
        <v>18846</v>
      </c>
      <c r="D15801" t="s">
        <v>18993</v>
      </c>
      <c r="E15801" t="s">
        <v>32479</v>
      </c>
      <c r="F15801" t="s">
        <v>32606</v>
      </c>
      <c r="G15801" t="s">
        <v>32613</v>
      </c>
      <c r="H15801" t="s">
        <v>14201</v>
      </c>
      <c r="I15801" t="s">
        <v>32640</v>
      </c>
      <c r="J15801" t="s">
        <v>34667</v>
      </c>
      <c r="K15801" t="s">
        <v>42624</v>
      </c>
      <c r="M15801" t="s">
        <v>47058</v>
      </c>
      <c r="N15801" t="s">
        <v>47304</v>
      </c>
      <c r="O15801" t="s">
        <v>47305</v>
      </c>
      <c r="Q15801">
        <v>21</v>
      </c>
      <c r="R15801" t="s">
        <v>47365</v>
      </c>
      <c r="S15801" t="s">
        <v>48845</v>
      </c>
      <c r="T15801" t="s">
        <v>49071</v>
      </c>
      <c r="U15801" t="s">
        <v>62532</v>
      </c>
      <c r="W15801" t="s">
        <v>47058</v>
      </c>
      <c r="X15801" t="s">
        <v>64578</v>
      </c>
    </row>
    <row r="15802" spans="1:24">
      <c r="A15802">
        <f>HYPERLINK("https://www.philgeps.gov.ph/GEPSNONPILOT/Tender/SplashBidNoticeAbstractUI.aspx?menuIndex=3&amp;refID=7060433&amp;Result=3","7060433")</f>
        <v>0</v>
      </c>
      <c r="B15802" t="s">
        <v>392</v>
      </c>
      <c r="C15802" t="s">
        <v>18847</v>
      </c>
      <c r="D15802" t="s">
        <v>18993</v>
      </c>
      <c r="E15802" t="s">
        <v>32480</v>
      </c>
      <c r="F15802" t="s">
        <v>32606</v>
      </c>
      <c r="G15802" t="s">
        <v>32613</v>
      </c>
      <c r="H15802" t="s">
        <v>14201</v>
      </c>
      <c r="I15802" t="s">
        <v>32631</v>
      </c>
      <c r="J15802" t="s">
        <v>42544</v>
      </c>
      <c r="K15802" t="s">
        <v>42623</v>
      </c>
      <c r="M15802" t="s">
        <v>43849</v>
      </c>
      <c r="N15802" t="s">
        <v>47304</v>
      </c>
      <c r="O15802" t="s">
        <v>47305</v>
      </c>
      <c r="Q15802">
        <v>10</v>
      </c>
      <c r="R15802" t="s">
        <v>47365</v>
      </c>
      <c r="S15802" t="s">
        <v>48846</v>
      </c>
      <c r="T15802" t="s">
        <v>49073</v>
      </c>
      <c r="U15802" t="s">
        <v>62533</v>
      </c>
      <c r="W15802" t="s">
        <v>43849</v>
      </c>
      <c r="X15802" t="s">
        <v>64578</v>
      </c>
    </row>
    <row r="15803" spans="1:24">
      <c r="A15803">
        <f>HYPERLINK("https://www.philgeps.gov.ph/GEPSNONPILOT/Tender/SplashBidNoticeAbstractUI.aspx?menuIndex=3&amp;refID=7062721&amp;Result=3","7062721")</f>
        <v>0</v>
      </c>
      <c r="B15803" t="s">
        <v>2925</v>
      </c>
      <c r="C15803" t="s">
        <v>18848</v>
      </c>
      <c r="D15803" t="s">
        <v>19048</v>
      </c>
      <c r="E15803" t="s">
        <v>32481</v>
      </c>
      <c r="F15803" t="s">
        <v>32606</v>
      </c>
      <c r="G15803" t="s">
        <v>32613</v>
      </c>
      <c r="H15803" t="s">
        <v>32623</v>
      </c>
      <c r="I15803" t="s">
        <v>17648</v>
      </c>
      <c r="J15803" t="s">
        <v>41798</v>
      </c>
      <c r="K15803" t="s">
        <v>42892</v>
      </c>
      <c r="M15803" t="s">
        <v>46104</v>
      </c>
      <c r="N15803" t="s">
        <v>47304</v>
      </c>
      <c r="O15803" t="s">
        <v>47305</v>
      </c>
      <c r="Q15803">
        <v>15</v>
      </c>
      <c r="R15803" t="s">
        <v>47359</v>
      </c>
      <c r="S15803" t="s">
        <v>48847</v>
      </c>
      <c r="T15803" t="s">
        <v>48980</v>
      </c>
      <c r="U15803" t="s">
        <v>62534</v>
      </c>
      <c r="W15803" t="s">
        <v>46104</v>
      </c>
      <c r="X15803" t="s">
        <v>47365</v>
      </c>
    </row>
    <row r="15804" spans="1:24">
      <c r="A15804">
        <f>HYPERLINK("https://www.philgeps.gov.ph/GEPSNONPILOT/Tender/SplashBidNoticeAbstractUI.aspx?menuIndex=3&amp;refID=7062707&amp;Result=3","7062707")</f>
        <v>0</v>
      </c>
      <c r="B15804" t="s">
        <v>2925</v>
      </c>
      <c r="C15804" t="s">
        <v>18849</v>
      </c>
      <c r="D15804" t="s">
        <v>19048</v>
      </c>
      <c r="E15804" t="s">
        <v>32482</v>
      </c>
      <c r="F15804" t="s">
        <v>32606</v>
      </c>
      <c r="G15804" t="s">
        <v>32613</v>
      </c>
      <c r="H15804" t="s">
        <v>32623</v>
      </c>
      <c r="I15804" t="s">
        <v>17648</v>
      </c>
      <c r="J15804" t="s">
        <v>41798</v>
      </c>
      <c r="K15804" t="s">
        <v>42892</v>
      </c>
      <c r="M15804" t="s">
        <v>46104</v>
      </c>
      <c r="N15804" t="s">
        <v>47304</v>
      </c>
      <c r="O15804" t="s">
        <v>47305</v>
      </c>
      <c r="Q15804">
        <v>16</v>
      </c>
      <c r="R15804" t="s">
        <v>47359</v>
      </c>
      <c r="S15804" t="s">
        <v>48848</v>
      </c>
      <c r="T15804" t="s">
        <v>48980</v>
      </c>
      <c r="U15804" t="s">
        <v>62535</v>
      </c>
      <c r="W15804" t="s">
        <v>46104</v>
      </c>
      <c r="X15804" t="s">
        <v>47365</v>
      </c>
    </row>
    <row r="15805" spans="1:24">
      <c r="A15805">
        <f>HYPERLINK("https://www.philgeps.gov.ph/GEPSNONPILOT/Tender/SplashBidNoticeAbstractUI.aspx?menuIndex=3&amp;refID=7062699&amp;Result=3","7062699")</f>
        <v>0</v>
      </c>
      <c r="B15805" t="s">
        <v>2925</v>
      </c>
      <c r="C15805" t="s">
        <v>18850</v>
      </c>
      <c r="D15805" t="s">
        <v>19048</v>
      </c>
      <c r="E15805" t="s">
        <v>32483</v>
      </c>
      <c r="F15805" t="s">
        <v>32606</v>
      </c>
      <c r="G15805" t="s">
        <v>32613</v>
      </c>
      <c r="H15805" t="s">
        <v>32623</v>
      </c>
      <c r="I15805" t="s">
        <v>17648</v>
      </c>
      <c r="J15805" t="s">
        <v>41798</v>
      </c>
      <c r="K15805" t="s">
        <v>42892</v>
      </c>
      <c r="M15805" t="s">
        <v>46104</v>
      </c>
      <c r="N15805" t="s">
        <v>47304</v>
      </c>
      <c r="O15805" t="s">
        <v>47305</v>
      </c>
      <c r="Q15805">
        <v>17</v>
      </c>
      <c r="R15805" t="s">
        <v>47359</v>
      </c>
      <c r="S15805" t="s">
        <v>48849</v>
      </c>
      <c r="T15805" t="s">
        <v>49268</v>
      </c>
      <c r="U15805" t="s">
        <v>62536</v>
      </c>
      <c r="W15805" t="s">
        <v>46104</v>
      </c>
      <c r="X15805" t="s">
        <v>47365</v>
      </c>
    </row>
    <row r="15806" spans="1:24">
      <c r="A15806">
        <f>HYPERLINK("https://www.philgeps.gov.ph/GEPSNONPILOT/Tender/SplashBidNoticeAbstractUI.aspx?menuIndex=3&amp;refID=7062694&amp;Result=3","7062694")</f>
        <v>0</v>
      </c>
      <c r="B15806" t="s">
        <v>2925</v>
      </c>
      <c r="C15806" t="s">
        <v>18851</v>
      </c>
      <c r="D15806" t="s">
        <v>19048</v>
      </c>
      <c r="E15806" t="s">
        <v>32484</v>
      </c>
      <c r="F15806" t="s">
        <v>32606</v>
      </c>
      <c r="G15806" t="s">
        <v>32613</v>
      </c>
      <c r="H15806" t="s">
        <v>32623</v>
      </c>
      <c r="I15806" t="s">
        <v>17648</v>
      </c>
      <c r="J15806" t="s">
        <v>42545</v>
      </c>
      <c r="K15806" t="s">
        <v>42916</v>
      </c>
      <c r="M15806" t="s">
        <v>46104</v>
      </c>
      <c r="N15806" t="s">
        <v>47304</v>
      </c>
      <c r="O15806" t="s">
        <v>47305</v>
      </c>
      <c r="Q15806">
        <v>15</v>
      </c>
      <c r="R15806" t="s">
        <v>47359</v>
      </c>
      <c r="S15806" t="s">
        <v>48850</v>
      </c>
      <c r="T15806" t="s">
        <v>48980</v>
      </c>
      <c r="U15806" t="s">
        <v>62537</v>
      </c>
      <c r="W15806" t="s">
        <v>46104</v>
      </c>
      <c r="X15806" t="s">
        <v>47365</v>
      </c>
    </row>
    <row r="15807" spans="1:24">
      <c r="A15807">
        <f>HYPERLINK("https://www.philgeps.gov.ph/GEPSNONPILOT/Tender/SplashBidNoticeAbstractUI.aspx?menuIndex=3&amp;refID=7062688&amp;Result=3","7062688")</f>
        <v>0</v>
      </c>
      <c r="B15807" t="s">
        <v>2925</v>
      </c>
      <c r="C15807" t="s">
        <v>18852</v>
      </c>
      <c r="D15807" t="s">
        <v>19048</v>
      </c>
      <c r="E15807" t="s">
        <v>32485</v>
      </c>
      <c r="F15807" t="s">
        <v>32606</v>
      </c>
      <c r="G15807" t="s">
        <v>32613</v>
      </c>
      <c r="H15807" t="s">
        <v>32623</v>
      </c>
      <c r="I15807" t="s">
        <v>17648</v>
      </c>
      <c r="J15807" t="s">
        <v>42233</v>
      </c>
      <c r="K15807" t="s">
        <v>42869</v>
      </c>
      <c r="M15807" t="s">
        <v>46104</v>
      </c>
      <c r="N15807" t="s">
        <v>47304</v>
      </c>
      <c r="O15807" t="s">
        <v>47305</v>
      </c>
      <c r="Q15807">
        <v>14</v>
      </c>
      <c r="R15807" t="s">
        <v>47359</v>
      </c>
      <c r="S15807" t="s">
        <v>48851</v>
      </c>
      <c r="T15807" t="s">
        <v>48980</v>
      </c>
      <c r="U15807" t="s">
        <v>62538</v>
      </c>
      <c r="W15807" t="s">
        <v>46104</v>
      </c>
      <c r="X15807" t="s">
        <v>47365</v>
      </c>
    </row>
    <row r="15808" spans="1:24">
      <c r="A15808">
        <f>HYPERLINK("https://www.philgeps.gov.ph/GEPSNONPILOT/Tender/SplashBidNoticeAbstractUI.aspx?menuIndex=3&amp;refID=7062617&amp;Result=3","7062617")</f>
        <v>0</v>
      </c>
      <c r="B15808" t="s">
        <v>2925</v>
      </c>
      <c r="C15808" t="s">
        <v>18853</v>
      </c>
      <c r="D15808" t="s">
        <v>19048</v>
      </c>
      <c r="E15808" t="s">
        <v>32486</v>
      </c>
      <c r="F15808" t="s">
        <v>32606</v>
      </c>
      <c r="G15808" t="s">
        <v>32613</v>
      </c>
      <c r="H15808" t="s">
        <v>32623</v>
      </c>
      <c r="I15808" t="s">
        <v>17648</v>
      </c>
      <c r="J15808" t="s">
        <v>42233</v>
      </c>
      <c r="K15808" t="s">
        <v>42869</v>
      </c>
      <c r="M15808" t="s">
        <v>46104</v>
      </c>
      <c r="N15808" t="s">
        <v>47304</v>
      </c>
      <c r="O15808" t="s">
        <v>47305</v>
      </c>
      <c r="Q15808">
        <v>14</v>
      </c>
      <c r="R15808" t="s">
        <v>47359</v>
      </c>
      <c r="S15808" t="s">
        <v>48610</v>
      </c>
      <c r="T15808" t="s">
        <v>48980</v>
      </c>
      <c r="U15808" t="s">
        <v>62539</v>
      </c>
      <c r="V15808" t="s">
        <v>64403</v>
      </c>
      <c r="W15808" t="s">
        <v>46104</v>
      </c>
      <c r="X15808" t="s">
        <v>47365</v>
      </c>
    </row>
    <row r="15809" spans="1:24">
      <c r="A15809">
        <f>HYPERLINK("https://www.philgeps.gov.ph/GEPSNONPILOT/Tender/SplashBidNoticeAbstractUI.aspx?menuIndex=3&amp;refID=7061516&amp;Result=3","7061516")</f>
        <v>0</v>
      </c>
      <c r="B15809" t="s">
        <v>392</v>
      </c>
      <c r="C15809" t="s">
        <v>18854</v>
      </c>
      <c r="D15809" t="s">
        <v>18993</v>
      </c>
      <c r="E15809" t="s">
        <v>32487</v>
      </c>
      <c r="F15809" t="s">
        <v>32606</v>
      </c>
      <c r="G15809" t="s">
        <v>32613</v>
      </c>
      <c r="H15809" t="s">
        <v>14201</v>
      </c>
      <c r="I15809" t="s">
        <v>32631</v>
      </c>
      <c r="J15809" t="s">
        <v>42546</v>
      </c>
      <c r="K15809" t="s">
        <v>42623</v>
      </c>
      <c r="M15809" t="s">
        <v>43849</v>
      </c>
      <c r="N15809" t="s">
        <v>47304</v>
      </c>
      <c r="O15809" t="s">
        <v>47305</v>
      </c>
      <c r="Q15809">
        <v>2</v>
      </c>
      <c r="R15809" t="s">
        <v>47365</v>
      </c>
      <c r="S15809" t="s">
        <v>47889</v>
      </c>
      <c r="T15809" t="s">
        <v>49073</v>
      </c>
      <c r="U15809" t="s">
        <v>51716</v>
      </c>
      <c r="W15809" t="s">
        <v>43849</v>
      </c>
      <c r="X15809" t="s">
        <v>64578</v>
      </c>
    </row>
    <row r="15810" spans="1:24">
      <c r="A15810">
        <f>HYPERLINK("https://www.philgeps.gov.ph/GEPSNONPILOT/Tender/SplashBidNoticeAbstractUI.aspx?menuIndex=3&amp;refID=7063747&amp;Result=3","7063747")</f>
        <v>0</v>
      </c>
      <c r="B15810" t="s">
        <v>1500</v>
      </c>
      <c r="C15810" t="s">
        <v>18855</v>
      </c>
      <c r="D15810" t="s">
        <v>19036</v>
      </c>
      <c r="E15810" t="s">
        <v>32488</v>
      </c>
      <c r="F15810" t="s">
        <v>32606</v>
      </c>
      <c r="G15810" t="s">
        <v>32617</v>
      </c>
      <c r="H15810" t="s">
        <v>14201</v>
      </c>
      <c r="I15810" t="s">
        <v>6298</v>
      </c>
      <c r="J15810" t="s">
        <v>42547</v>
      </c>
      <c r="K15810" t="s">
        <v>42631</v>
      </c>
      <c r="M15810" t="s">
        <v>46586</v>
      </c>
      <c r="N15810" t="s">
        <v>47304</v>
      </c>
      <c r="O15810" t="s">
        <v>47305</v>
      </c>
      <c r="Q15810">
        <v>7</v>
      </c>
      <c r="R15810" t="s">
        <v>47359</v>
      </c>
      <c r="S15810" t="s">
        <v>48852</v>
      </c>
      <c r="T15810" t="s">
        <v>49033</v>
      </c>
      <c r="U15810" t="s">
        <v>60566</v>
      </c>
      <c r="W15810" t="s">
        <v>46586</v>
      </c>
      <c r="X15810" t="s">
        <v>47365</v>
      </c>
    </row>
    <row r="15811" spans="1:24">
      <c r="A15811">
        <f>HYPERLINK("https://www.philgeps.gov.ph/GEPSNONPILOT/Tender/SplashBidNoticeAbstractUI.aspx?menuIndex=3&amp;refID=7060595&amp;Result=3","7060595")</f>
        <v>0</v>
      </c>
      <c r="B15811" t="s">
        <v>392</v>
      </c>
      <c r="C15811" t="s">
        <v>18856</v>
      </c>
      <c r="D15811" t="s">
        <v>18993</v>
      </c>
      <c r="E15811" t="s">
        <v>32489</v>
      </c>
      <c r="F15811" t="s">
        <v>32606</v>
      </c>
      <c r="G15811" t="s">
        <v>32613</v>
      </c>
      <c r="H15811" t="s">
        <v>14201</v>
      </c>
      <c r="I15811" t="s">
        <v>32631</v>
      </c>
      <c r="J15811" t="s">
        <v>42548</v>
      </c>
      <c r="K15811" t="s">
        <v>42623</v>
      </c>
      <c r="M15811" t="s">
        <v>43849</v>
      </c>
      <c r="N15811" t="s">
        <v>47304</v>
      </c>
      <c r="O15811" t="s">
        <v>47305</v>
      </c>
      <c r="Q15811">
        <v>10</v>
      </c>
      <c r="R15811" t="s">
        <v>47365</v>
      </c>
      <c r="S15811" t="s">
        <v>48853</v>
      </c>
      <c r="T15811" t="s">
        <v>49073</v>
      </c>
      <c r="U15811" t="s">
        <v>62540</v>
      </c>
      <c r="W15811" t="s">
        <v>43849</v>
      </c>
      <c r="X15811" t="s">
        <v>64578</v>
      </c>
    </row>
    <row r="15812" spans="1:24">
      <c r="A15812">
        <f>HYPERLINK("https://www.philgeps.gov.ph/GEPSNONPILOT/Tender/SplashBidNoticeAbstractUI.aspx?menuIndex=3&amp;refID=7060275&amp;Result=3","7060275")</f>
        <v>0</v>
      </c>
      <c r="B15812" t="s">
        <v>761</v>
      </c>
      <c r="C15812" t="s">
        <v>18857</v>
      </c>
      <c r="E15812" t="s">
        <v>32490</v>
      </c>
      <c r="F15812" t="s">
        <v>32606</v>
      </c>
      <c r="G15812" t="s">
        <v>32613</v>
      </c>
      <c r="H15812" t="s">
        <v>32623</v>
      </c>
      <c r="I15812" t="s">
        <v>17648</v>
      </c>
      <c r="J15812" t="s">
        <v>42549</v>
      </c>
      <c r="K15812" t="s">
        <v>42656</v>
      </c>
      <c r="M15812" t="s">
        <v>43685</v>
      </c>
      <c r="N15812" t="s">
        <v>47304</v>
      </c>
      <c r="O15812" t="s">
        <v>47305</v>
      </c>
      <c r="Q15812">
        <v>2</v>
      </c>
      <c r="R15812" t="s">
        <v>47365</v>
      </c>
      <c r="S15812" t="s">
        <v>48350</v>
      </c>
      <c r="T15812" t="s">
        <v>49140</v>
      </c>
      <c r="U15812" t="s">
        <v>62541</v>
      </c>
      <c r="W15812" t="s">
        <v>43685</v>
      </c>
      <c r="X15812" t="s">
        <v>64578</v>
      </c>
    </row>
    <row r="15813" spans="1:24">
      <c r="A15813">
        <f>HYPERLINK("https://www.philgeps.gov.ph/GEPSNONPILOT/Tender/SplashBidNoticeAbstractUI.aspx?menuIndex=3&amp;refID=7060720&amp;Result=3","7060720")</f>
        <v>0</v>
      </c>
      <c r="B15813" t="s">
        <v>392</v>
      </c>
      <c r="C15813" t="s">
        <v>18858</v>
      </c>
      <c r="D15813" t="s">
        <v>18993</v>
      </c>
      <c r="E15813" t="s">
        <v>32491</v>
      </c>
      <c r="F15813" t="s">
        <v>32606</v>
      </c>
      <c r="G15813" t="s">
        <v>32613</v>
      </c>
      <c r="H15813" t="s">
        <v>14201</v>
      </c>
      <c r="I15813" t="s">
        <v>32631</v>
      </c>
      <c r="J15813" t="s">
        <v>42550</v>
      </c>
      <c r="K15813" t="s">
        <v>42623</v>
      </c>
      <c r="M15813" t="s">
        <v>43849</v>
      </c>
      <c r="N15813" t="s">
        <v>47304</v>
      </c>
      <c r="O15813" t="s">
        <v>47305</v>
      </c>
      <c r="Q15813">
        <v>8</v>
      </c>
      <c r="R15813" t="s">
        <v>47365</v>
      </c>
      <c r="S15813" t="s">
        <v>48854</v>
      </c>
      <c r="T15813" t="s">
        <v>49073</v>
      </c>
      <c r="U15813" t="s">
        <v>62542</v>
      </c>
      <c r="W15813" t="s">
        <v>43849</v>
      </c>
      <c r="X15813" t="s">
        <v>64578</v>
      </c>
    </row>
    <row r="15814" spans="1:24">
      <c r="A15814">
        <f>HYPERLINK("https://www.philgeps.gov.ph/GEPSNONPILOT/Tender/SplashBidNoticeAbstractUI.aspx?menuIndex=3&amp;refID=7061533&amp;Result=3","7061533")</f>
        <v>0</v>
      </c>
      <c r="B15814" t="s">
        <v>392</v>
      </c>
      <c r="C15814" t="s">
        <v>18859</v>
      </c>
      <c r="D15814" t="s">
        <v>18993</v>
      </c>
      <c r="E15814" t="s">
        <v>32492</v>
      </c>
      <c r="F15814" t="s">
        <v>32606</v>
      </c>
      <c r="G15814" t="s">
        <v>32613</v>
      </c>
      <c r="H15814" t="s">
        <v>14201</v>
      </c>
      <c r="I15814" t="s">
        <v>32631</v>
      </c>
      <c r="J15814" t="s">
        <v>42551</v>
      </c>
      <c r="K15814" t="s">
        <v>42623</v>
      </c>
      <c r="M15814" t="s">
        <v>43849</v>
      </c>
      <c r="N15814" t="s">
        <v>47304</v>
      </c>
      <c r="O15814" t="s">
        <v>47305</v>
      </c>
      <c r="Q15814">
        <v>1</v>
      </c>
      <c r="R15814" t="s">
        <v>47365</v>
      </c>
      <c r="S15814" t="s">
        <v>47861</v>
      </c>
      <c r="T15814" t="s">
        <v>49073</v>
      </c>
      <c r="U15814" t="s">
        <v>51716</v>
      </c>
      <c r="W15814" t="s">
        <v>43849</v>
      </c>
      <c r="X15814" t="s">
        <v>64578</v>
      </c>
    </row>
    <row r="15815" spans="1:24">
      <c r="A15815">
        <f>HYPERLINK("https://www.philgeps.gov.ph/GEPSNONPILOT/Tender/SplashBidNoticeAbstractUI.aspx?menuIndex=3&amp;refID=7060614&amp;Result=3","7060614")</f>
        <v>0</v>
      </c>
      <c r="B15815" t="s">
        <v>3838</v>
      </c>
      <c r="C15815" t="s">
        <v>18860</v>
      </c>
      <c r="E15815" t="s">
        <v>32493</v>
      </c>
      <c r="F15815" t="s">
        <v>32606</v>
      </c>
      <c r="G15815" t="s">
        <v>32614</v>
      </c>
      <c r="H15815" t="s">
        <v>14201</v>
      </c>
      <c r="I15815" t="s">
        <v>32635</v>
      </c>
      <c r="J15815" t="s">
        <v>32770</v>
      </c>
      <c r="K15815" t="s">
        <v>42623</v>
      </c>
      <c r="M15815" t="s">
        <v>47187</v>
      </c>
      <c r="N15815" t="s">
        <v>47304</v>
      </c>
      <c r="O15815" t="s">
        <v>47305</v>
      </c>
      <c r="Q15815">
        <v>14</v>
      </c>
      <c r="R15815" t="s">
        <v>47365</v>
      </c>
      <c r="S15815" t="s">
        <v>48855</v>
      </c>
      <c r="T15815" t="s">
        <v>48980</v>
      </c>
      <c r="U15815" t="s">
        <v>62543</v>
      </c>
      <c r="W15815" t="s">
        <v>47187</v>
      </c>
      <c r="X15815" t="s">
        <v>64578</v>
      </c>
    </row>
    <row r="15816" spans="1:24">
      <c r="A15816">
        <f>HYPERLINK("https://www.philgeps.gov.ph/GEPSNONPILOT/Tender/SplashBidNoticeAbstractUI.aspx?menuIndex=3&amp;refID=7062662&amp;Result=3","7062662")</f>
        <v>0</v>
      </c>
      <c r="B15816" t="s">
        <v>2925</v>
      </c>
      <c r="C15816" t="s">
        <v>18861</v>
      </c>
      <c r="D15816" t="s">
        <v>19048</v>
      </c>
      <c r="E15816" t="s">
        <v>32494</v>
      </c>
      <c r="F15816" t="s">
        <v>32606</v>
      </c>
      <c r="G15816" t="s">
        <v>32613</v>
      </c>
      <c r="H15816" t="s">
        <v>32623</v>
      </c>
      <c r="I15816" t="s">
        <v>17648</v>
      </c>
      <c r="J15816" t="s">
        <v>42233</v>
      </c>
      <c r="K15816" t="s">
        <v>42869</v>
      </c>
      <c r="M15816" t="s">
        <v>46104</v>
      </c>
      <c r="N15816" t="s">
        <v>47304</v>
      </c>
      <c r="O15816" t="s">
        <v>47305</v>
      </c>
      <c r="Q15816">
        <v>11</v>
      </c>
      <c r="R15816" t="s">
        <v>47359</v>
      </c>
      <c r="S15816" t="s">
        <v>48856</v>
      </c>
      <c r="T15816" t="s">
        <v>48980</v>
      </c>
      <c r="U15816" t="s">
        <v>62544</v>
      </c>
      <c r="W15816" t="s">
        <v>46104</v>
      </c>
      <c r="X15816" t="s">
        <v>47365</v>
      </c>
    </row>
    <row r="15817" spans="1:24">
      <c r="A15817">
        <f>HYPERLINK("https://www.philgeps.gov.ph/GEPSNONPILOT/Tender/SplashBidNoticeAbstractUI.aspx?menuIndex=3&amp;refID=7058241&amp;Result=3","7058241")</f>
        <v>0</v>
      </c>
      <c r="B15817" t="s">
        <v>3082</v>
      </c>
      <c r="C15817" t="s">
        <v>18862</v>
      </c>
      <c r="D15817" t="s">
        <v>19041</v>
      </c>
      <c r="E15817" t="s">
        <v>32495</v>
      </c>
      <c r="F15817" t="s">
        <v>32606</v>
      </c>
      <c r="G15817" t="s">
        <v>32613</v>
      </c>
      <c r="H15817" t="s">
        <v>32623</v>
      </c>
      <c r="I15817" t="s">
        <v>17648</v>
      </c>
      <c r="J15817" t="s">
        <v>38619</v>
      </c>
      <c r="K15817" t="s">
        <v>42646</v>
      </c>
      <c r="M15817" t="s">
        <v>46283</v>
      </c>
      <c r="N15817" t="s">
        <v>47304</v>
      </c>
      <c r="O15817" t="s">
        <v>47305</v>
      </c>
      <c r="Q15817">
        <v>7</v>
      </c>
      <c r="R15817" t="s">
        <v>47366</v>
      </c>
      <c r="S15817" t="s">
        <v>48857</v>
      </c>
      <c r="T15817" t="s">
        <v>49107</v>
      </c>
      <c r="U15817" t="s">
        <v>62510</v>
      </c>
      <c r="W15817" t="s">
        <v>46283</v>
      </c>
      <c r="X15817" t="s">
        <v>47368</v>
      </c>
    </row>
    <row r="15818" spans="1:24">
      <c r="A15818">
        <f>HYPERLINK("https://www.philgeps.gov.ph/GEPSNONPILOT/Tender/SplashBidNoticeAbstractUI.aspx?menuIndex=3&amp;refID=7041076&amp;Result=3","7041076")</f>
        <v>0</v>
      </c>
      <c r="B15818" t="s">
        <v>48</v>
      </c>
      <c r="C15818" t="s">
        <v>18863</v>
      </c>
      <c r="D15818" t="s">
        <v>18994</v>
      </c>
      <c r="E15818" t="s">
        <v>32496</v>
      </c>
      <c r="F15818" t="s">
        <v>32606</v>
      </c>
      <c r="G15818" t="s">
        <v>32618</v>
      </c>
      <c r="H15818" t="s">
        <v>32625</v>
      </c>
      <c r="I15818" t="s">
        <v>32625</v>
      </c>
      <c r="J15818" t="s">
        <v>42552</v>
      </c>
      <c r="K15818" t="s">
        <v>42624</v>
      </c>
      <c r="L15818" t="s">
        <v>48</v>
      </c>
      <c r="M15818" t="s">
        <v>42945</v>
      </c>
      <c r="N15818" t="s">
        <v>47304</v>
      </c>
      <c r="O15818" t="s">
        <v>47305</v>
      </c>
      <c r="Q15818">
        <v>7</v>
      </c>
      <c r="R15818" t="s">
        <v>47367</v>
      </c>
      <c r="S15818" t="s">
        <v>48858</v>
      </c>
      <c r="T15818" t="s">
        <v>49081</v>
      </c>
      <c r="U15818" t="s">
        <v>62545</v>
      </c>
      <c r="W15818" t="s">
        <v>42945</v>
      </c>
      <c r="X15818" t="s">
        <v>47371</v>
      </c>
    </row>
    <row r="15819" spans="1:24">
      <c r="A15819">
        <f>HYPERLINK("https://www.philgeps.gov.ph/GEPSNONPILOT/Tender/SplashBidNoticeAbstractUI.aspx?menuIndex=3&amp;refID=7050791&amp;Result=3","7050791")</f>
        <v>0</v>
      </c>
      <c r="B15819" t="s">
        <v>3217</v>
      </c>
      <c r="C15819" t="s">
        <v>18864</v>
      </c>
      <c r="E15819" t="s">
        <v>32497</v>
      </c>
      <c r="F15819" t="s">
        <v>32606</v>
      </c>
      <c r="G15819" t="s">
        <v>32613</v>
      </c>
      <c r="H15819" t="s">
        <v>14201</v>
      </c>
      <c r="I15819" t="s">
        <v>7064</v>
      </c>
      <c r="J15819" t="s">
        <v>42553</v>
      </c>
      <c r="K15819" t="s">
        <v>42624</v>
      </c>
      <c r="M15819" t="s">
        <v>46443</v>
      </c>
      <c r="N15819" t="s">
        <v>47304</v>
      </c>
      <c r="O15819" t="s">
        <v>47305</v>
      </c>
      <c r="Q15819">
        <v>2</v>
      </c>
      <c r="R15819" t="s">
        <v>47368</v>
      </c>
      <c r="S15819" t="s">
        <v>48859</v>
      </c>
      <c r="T15819" t="s">
        <v>49347</v>
      </c>
      <c r="U15819" t="s">
        <v>62546</v>
      </c>
      <c r="V15819" t="s">
        <v>64404</v>
      </c>
      <c r="W15819" t="s">
        <v>46443</v>
      </c>
      <c r="X15819" t="s">
        <v>47367</v>
      </c>
    </row>
    <row r="15820" spans="1:24">
      <c r="A15820">
        <f>HYPERLINK("https://www.philgeps.gov.ph/GEPSNONPILOT/Tender/SplashBidNoticeAbstractUI.aspx?menuIndex=3&amp;refID=7058405&amp;Result=3","7058405")</f>
        <v>0</v>
      </c>
      <c r="B15820" t="s">
        <v>3082</v>
      </c>
      <c r="C15820" t="s">
        <v>18865</v>
      </c>
      <c r="D15820" t="s">
        <v>19041</v>
      </c>
      <c r="E15820" t="s">
        <v>32498</v>
      </c>
      <c r="F15820" t="s">
        <v>32606</v>
      </c>
      <c r="G15820" t="s">
        <v>32613</v>
      </c>
      <c r="H15820" t="s">
        <v>32623</v>
      </c>
      <c r="I15820" t="s">
        <v>17648</v>
      </c>
      <c r="J15820" t="s">
        <v>42524</v>
      </c>
      <c r="K15820" t="s">
        <v>42683</v>
      </c>
      <c r="M15820" t="s">
        <v>46283</v>
      </c>
      <c r="N15820" t="s">
        <v>47304</v>
      </c>
      <c r="O15820" t="s">
        <v>47305</v>
      </c>
      <c r="Q15820">
        <v>6</v>
      </c>
      <c r="R15820" t="s">
        <v>47366</v>
      </c>
      <c r="S15820" t="s">
        <v>48860</v>
      </c>
      <c r="T15820" t="s">
        <v>49107</v>
      </c>
      <c r="U15820" t="s">
        <v>62499</v>
      </c>
      <c r="W15820" t="s">
        <v>46283</v>
      </c>
      <c r="X15820" t="s">
        <v>47368</v>
      </c>
    </row>
    <row r="15821" spans="1:24">
      <c r="A15821">
        <f>HYPERLINK("https://www.philgeps.gov.ph/GEPSNONPILOT/Tender/SplashBidNoticeAbstractUI.aspx?menuIndex=3&amp;refID=7060291&amp;Result=3","7060291")</f>
        <v>0</v>
      </c>
      <c r="B15821" t="s">
        <v>392</v>
      </c>
      <c r="C15821" t="s">
        <v>18866</v>
      </c>
      <c r="D15821" t="s">
        <v>18993</v>
      </c>
      <c r="E15821" t="s">
        <v>32499</v>
      </c>
      <c r="F15821" t="s">
        <v>32606</v>
      </c>
      <c r="G15821" t="s">
        <v>32613</v>
      </c>
      <c r="H15821" t="s">
        <v>14201</v>
      </c>
      <c r="I15821" t="s">
        <v>32631</v>
      </c>
      <c r="J15821" t="s">
        <v>42554</v>
      </c>
      <c r="K15821" t="s">
        <v>42623</v>
      </c>
      <c r="M15821" t="s">
        <v>43849</v>
      </c>
      <c r="N15821" t="s">
        <v>47304</v>
      </c>
      <c r="O15821" t="s">
        <v>47305</v>
      </c>
      <c r="Q15821">
        <v>16</v>
      </c>
      <c r="R15821" t="s">
        <v>47365</v>
      </c>
      <c r="S15821" t="s">
        <v>48861</v>
      </c>
      <c r="T15821" t="s">
        <v>49073</v>
      </c>
      <c r="U15821" t="s">
        <v>62547</v>
      </c>
      <c r="W15821" t="s">
        <v>43849</v>
      </c>
      <c r="X15821" t="s">
        <v>64578</v>
      </c>
    </row>
    <row r="15822" spans="1:24">
      <c r="A15822">
        <f>HYPERLINK("https://www.philgeps.gov.ph/GEPSNONPILOT/Tender/SplashBidNoticeAbstractUI.aspx?menuIndex=3&amp;refID=7058401&amp;Result=3","7058401")</f>
        <v>0</v>
      </c>
      <c r="B15822" t="s">
        <v>3082</v>
      </c>
      <c r="C15822" t="s">
        <v>18867</v>
      </c>
      <c r="D15822" t="s">
        <v>19041</v>
      </c>
      <c r="E15822" t="s">
        <v>32500</v>
      </c>
      <c r="F15822" t="s">
        <v>32606</v>
      </c>
      <c r="G15822" t="s">
        <v>32613</v>
      </c>
      <c r="H15822" t="s">
        <v>32623</v>
      </c>
      <c r="I15822" t="s">
        <v>17648</v>
      </c>
      <c r="J15822" t="s">
        <v>42524</v>
      </c>
      <c r="K15822" t="s">
        <v>42712</v>
      </c>
      <c r="M15822" t="s">
        <v>46283</v>
      </c>
      <c r="N15822" t="s">
        <v>47304</v>
      </c>
      <c r="O15822" t="s">
        <v>47305</v>
      </c>
      <c r="Q15822">
        <v>7</v>
      </c>
      <c r="R15822" t="s">
        <v>47366</v>
      </c>
      <c r="S15822" t="s">
        <v>47961</v>
      </c>
      <c r="T15822" t="s">
        <v>49107</v>
      </c>
      <c r="U15822" t="s">
        <v>62499</v>
      </c>
      <c r="W15822" t="s">
        <v>46283</v>
      </c>
      <c r="X15822" t="s">
        <v>47368</v>
      </c>
    </row>
    <row r="15823" spans="1:24">
      <c r="A15823">
        <f>HYPERLINK("https://www.philgeps.gov.ph/GEPSNONPILOT/Tender/SplashBidNoticeAbstractUI.aspx?menuIndex=3&amp;refID=7058396&amp;Result=3","7058396")</f>
        <v>0</v>
      </c>
      <c r="B15823" t="s">
        <v>3082</v>
      </c>
      <c r="C15823" t="s">
        <v>18868</v>
      </c>
      <c r="D15823" t="s">
        <v>19041</v>
      </c>
      <c r="E15823" t="s">
        <v>32501</v>
      </c>
      <c r="F15823" t="s">
        <v>32606</v>
      </c>
      <c r="G15823" t="s">
        <v>32613</v>
      </c>
      <c r="H15823" t="s">
        <v>32623</v>
      </c>
      <c r="I15823" t="s">
        <v>17648</v>
      </c>
      <c r="J15823" t="s">
        <v>39629</v>
      </c>
      <c r="K15823" t="s">
        <v>42646</v>
      </c>
      <c r="M15823" t="s">
        <v>46283</v>
      </c>
      <c r="N15823" t="s">
        <v>47304</v>
      </c>
      <c r="O15823" t="s">
        <v>47305</v>
      </c>
      <c r="Q15823">
        <v>4</v>
      </c>
      <c r="R15823" t="s">
        <v>47366</v>
      </c>
      <c r="S15823" t="s">
        <v>47964</v>
      </c>
      <c r="T15823" t="s">
        <v>49107</v>
      </c>
      <c r="U15823" t="s">
        <v>62548</v>
      </c>
      <c r="W15823" t="s">
        <v>46283</v>
      </c>
      <c r="X15823" t="s">
        <v>47368</v>
      </c>
    </row>
    <row r="15824" spans="1:24">
      <c r="A15824">
        <f>HYPERLINK("https://www.philgeps.gov.ph/GEPSNONPILOT/Tender/SplashBidNoticeAbstractUI.aspx?menuIndex=3&amp;refID=7061476&amp;Result=3","7061476")</f>
        <v>0</v>
      </c>
      <c r="B15824" t="s">
        <v>392</v>
      </c>
      <c r="C15824" t="s">
        <v>18869</v>
      </c>
      <c r="D15824" t="s">
        <v>18993</v>
      </c>
      <c r="E15824" t="s">
        <v>32502</v>
      </c>
      <c r="F15824" t="s">
        <v>32606</v>
      </c>
      <c r="G15824" t="s">
        <v>32613</v>
      </c>
      <c r="H15824" t="s">
        <v>14201</v>
      </c>
      <c r="I15824" t="s">
        <v>32631</v>
      </c>
      <c r="J15824" t="s">
        <v>42555</v>
      </c>
      <c r="K15824" t="s">
        <v>42623</v>
      </c>
      <c r="M15824" t="s">
        <v>43849</v>
      </c>
      <c r="N15824" t="s">
        <v>47304</v>
      </c>
      <c r="O15824" t="s">
        <v>47305</v>
      </c>
      <c r="Q15824">
        <v>10</v>
      </c>
      <c r="R15824" t="s">
        <v>47365</v>
      </c>
      <c r="S15824" t="s">
        <v>48862</v>
      </c>
      <c r="T15824" t="s">
        <v>49073</v>
      </c>
      <c r="U15824" t="s">
        <v>51716</v>
      </c>
      <c r="W15824" t="s">
        <v>43849</v>
      </c>
      <c r="X15824" t="s">
        <v>64578</v>
      </c>
    </row>
    <row r="15825" spans="1:24">
      <c r="A15825">
        <f>HYPERLINK("https://www.philgeps.gov.ph/GEPSNONPILOT/Tender/SplashBidNoticeAbstractUI.aspx?menuIndex=3&amp;refID=7058414&amp;Result=3","7058414")</f>
        <v>0</v>
      </c>
      <c r="B15825" t="s">
        <v>3082</v>
      </c>
      <c r="C15825" t="s">
        <v>18870</v>
      </c>
      <c r="D15825" t="s">
        <v>19041</v>
      </c>
      <c r="E15825" t="s">
        <v>32503</v>
      </c>
      <c r="F15825" t="s">
        <v>32606</v>
      </c>
      <c r="G15825" t="s">
        <v>32613</v>
      </c>
      <c r="H15825" t="s">
        <v>32623</v>
      </c>
      <c r="I15825" t="s">
        <v>17648</v>
      </c>
      <c r="J15825" t="s">
        <v>42524</v>
      </c>
      <c r="K15825" t="s">
        <v>42683</v>
      </c>
      <c r="M15825" t="s">
        <v>46283</v>
      </c>
      <c r="N15825" t="s">
        <v>47304</v>
      </c>
      <c r="O15825" t="s">
        <v>47305</v>
      </c>
      <c r="Q15825">
        <v>8</v>
      </c>
      <c r="R15825" t="s">
        <v>47366</v>
      </c>
      <c r="S15825" t="s">
        <v>48863</v>
      </c>
      <c r="T15825" t="s">
        <v>49107</v>
      </c>
      <c r="U15825" t="s">
        <v>62499</v>
      </c>
      <c r="W15825" t="s">
        <v>46283</v>
      </c>
      <c r="X15825" t="s">
        <v>47368</v>
      </c>
    </row>
    <row r="15826" spans="1:24">
      <c r="A15826">
        <f>HYPERLINK("https://www.philgeps.gov.ph/GEPSNONPILOT/Tender/SplashBidNoticeAbstractUI.aspx?menuIndex=3&amp;refID=7037190&amp;Result=3","7037190")</f>
        <v>0</v>
      </c>
      <c r="B15826" t="s">
        <v>1278</v>
      </c>
      <c r="C15826" t="s">
        <v>18871</v>
      </c>
      <c r="E15826" t="s">
        <v>32504</v>
      </c>
      <c r="F15826" t="s">
        <v>32606</v>
      </c>
      <c r="G15826" t="s">
        <v>32613</v>
      </c>
      <c r="H15826" t="s">
        <v>14201</v>
      </c>
      <c r="I15826" t="s">
        <v>4120</v>
      </c>
      <c r="J15826" t="s">
        <v>42556</v>
      </c>
      <c r="K15826" t="s">
        <v>42624</v>
      </c>
      <c r="M15826" t="s">
        <v>44248</v>
      </c>
      <c r="N15826" t="s">
        <v>47304</v>
      </c>
      <c r="O15826" t="s">
        <v>47305</v>
      </c>
      <c r="Q15826">
        <v>8</v>
      </c>
      <c r="R15826" t="s">
        <v>47369</v>
      </c>
      <c r="S15826" t="s">
        <v>48864</v>
      </c>
      <c r="T15826" t="s">
        <v>48980</v>
      </c>
      <c r="U15826" t="s">
        <v>62549</v>
      </c>
      <c r="W15826" t="s">
        <v>44248</v>
      </c>
      <c r="X15826" t="s">
        <v>64567</v>
      </c>
    </row>
    <row r="15827" spans="1:24">
      <c r="A15827">
        <f>HYPERLINK("https://www.philgeps.gov.ph/GEPSNONPILOT/Tender/SplashBidNoticeAbstractUI.aspx?menuIndex=3&amp;refID=7042641&amp;Result=3","7042641")</f>
        <v>0</v>
      </c>
      <c r="B15827" t="s">
        <v>2441</v>
      </c>
      <c r="C15827" t="s">
        <v>18872</v>
      </c>
      <c r="D15827" t="s">
        <v>19016</v>
      </c>
      <c r="E15827" t="s">
        <v>32505</v>
      </c>
      <c r="F15827" t="s">
        <v>32606</v>
      </c>
      <c r="G15827" t="s">
        <v>32613</v>
      </c>
      <c r="H15827" t="s">
        <v>32623</v>
      </c>
      <c r="I15827" t="s">
        <v>17648</v>
      </c>
      <c r="J15827" t="s">
        <v>39538</v>
      </c>
      <c r="K15827" t="s">
        <v>42645</v>
      </c>
      <c r="M15827" t="s">
        <v>45569</v>
      </c>
      <c r="N15827" t="s">
        <v>47304</v>
      </c>
      <c r="O15827" t="s">
        <v>47305</v>
      </c>
      <c r="Q15827">
        <v>59</v>
      </c>
      <c r="R15827" t="s">
        <v>47370</v>
      </c>
      <c r="S15827" t="s">
        <v>48865</v>
      </c>
      <c r="T15827" t="s">
        <v>49072</v>
      </c>
      <c r="U15827" t="s">
        <v>62550</v>
      </c>
      <c r="W15827" t="s">
        <v>45569</v>
      </c>
      <c r="X15827" t="s">
        <v>47371</v>
      </c>
    </row>
    <row r="15828" spans="1:24">
      <c r="A15828">
        <f>HYPERLINK("https://www.philgeps.gov.ph/GEPSNONPILOT/Tender/SplashBidNoticeAbstractUI.aspx?menuIndex=3&amp;refID=7061467&amp;Result=3","7061467")</f>
        <v>0</v>
      </c>
      <c r="B15828" t="s">
        <v>392</v>
      </c>
      <c r="C15828" t="s">
        <v>18873</v>
      </c>
      <c r="D15828" t="s">
        <v>18993</v>
      </c>
      <c r="E15828" t="s">
        <v>32506</v>
      </c>
      <c r="F15828" t="s">
        <v>32606</v>
      </c>
      <c r="G15828" t="s">
        <v>32613</v>
      </c>
      <c r="H15828" t="s">
        <v>14201</v>
      </c>
      <c r="I15828" t="s">
        <v>32631</v>
      </c>
      <c r="J15828" t="s">
        <v>42557</v>
      </c>
      <c r="K15828" t="s">
        <v>42623</v>
      </c>
      <c r="M15828" t="s">
        <v>43849</v>
      </c>
      <c r="N15828" t="s">
        <v>47304</v>
      </c>
      <c r="O15828" t="s">
        <v>47305</v>
      </c>
      <c r="Q15828">
        <v>13</v>
      </c>
      <c r="R15828" t="s">
        <v>47365</v>
      </c>
      <c r="S15828" t="s">
        <v>47642</v>
      </c>
      <c r="T15828" t="s">
        <v>49073</v>
      </c>
      <c r="U15828" t="s">
        <v>51716</v>
      </c>
      <c r="W15828" t="s">
        <v>43849</v>
      </c>
      <c r="X15828" t="s">
        <v>64578</v>
      </c>
    </row>
    <row r="15829" spans="1:24">
      <c r="A15829">
        <f>HYPERLINK("https://www.philgeps.gov.ph/GEPSNONPILOT/Tender/SplashBidNoticeAbstractUI.aspx?menuIndex=3&amp;refID=7049194&amp;Result=3","7049194")</f>
        <v>0</v>
      </c>
      <c r="B15829" t="s">
        <v>3913</v>
      </c>
      <c r="C15829" t="s">
        <v>18874</v>
      </c>
      <c r="D15829" t="s">
        <v>19003</v>
      </c>
      <c r="E15829" t="s">
        <v>32507</v>
      </c>
      <c r="F15829" t="s">
        <v>32606</v>
      </c>
      <c r="G15829" t="s">
        <v>32613</v>
      </c>
      <c r="H15829" t="s">
        <v>32623</v>
      </c>
      <c r="I15829" t="s">
        <v>17648</v>
      </c>
      <c r="J15829" t="s">
        <v>42368</v>
      </c>
      <c r="K15829" t="s">
        <v>42888</v>
      </c>
      <c r="M15829" t="s">
        <v>47297</v>
      </c>
      <c r="N15829" t="s">
        <v>47304</v>
      </c>
      <c r="O15829" t="s">
        <v>47305</v>
      </c>
      <c r="Q15829">
        <v>4</v>
      </c>
      <c r="R15829" t="s">
        <v>47367</v>
      </c>
      <c r="S15829" t="s">
        <v>48866</v>
      </c>
      <c r="T15829" t="s">
        <v>48998</v>
      </c>
      <c r="U15829" t="s">
        <v>62551</v>
      </c>
      <c r="W15829" t="s">
        <v>47297</v>
      </c>
      <c r="X15829" t="s">
        <v>64579</v>
      </c>
    </row>
    <row r="15830" spans="1:24">
      <c r="A15830">
        <f>HYPERLINK("https://www.philgeps.gov.ph/GEPSNONPILOT/Tender/SplashBidNoticeAbstractUI.aspx?menuIndex=3&amp;refID=7075685&amp;Result=3","7075685")</f>
        <v>0</v>
      </c>
      <c r="B15830" t="s">
        <v>3553</v>
      </c>
      <c r="C15830" t="s">
        <v>18875</v>
      </c>
      <c r="D15830" t="s">
        <v>19044</v>
      </c>
      <c r="E15830" t="s">
        <v>32508</v>
      </c>
      <c r="F15830" t="s">
        <v>32606</v>
      </c>
      <c r="G15830" t="s">
        <v>32613</v>
      </c>
      <c r="H15830" t="s">
        <v>32623</v>
      </c>
      <c r="I15830" t="s">
        <v>17648</v>
      </c>
      <c r="J15830" t="s">
        <v>42558</v>
      </c>
      <c r="K15830" t="s">
        <v>42651</v>
      </c>
      <c r="L15830" t="s">
        <v>3553</v>
      </c>
      <c r="M15830" t="s">
        <v>46837</v>
      </c>
      <c r="N15830" t="s">
        <v>47304</v>
      </c>
      <c r="O15830" t="s">
        <v>47305</v>
      </c>
      <c r="Q15830">
        <v>1</v>
      </c>
      <c r="R15830" t="s">
        <v>47356</v>
      </c>
      <c r="S15830" t="s">
        <v>48867</v>
      </c>
      <c r="T15830" t="s">
        <v>49107</v>
      </c>
      <c r="U15830" t="s">
        <v>62552</v>
      </c>
      <c r="V15830" t="s">
        <v>64405</v>
      </c>
      <c r="W15830" t="s">
        <v>46837</v>
      </c>
      <c r="X15830" t="s">
        <v>47364</v>
      </c>
    </row>
    <row r="15831" spans="1:24">
      <c r="A15831">
        <f>HYPERLINK("https://www.philgeps.gov.ph/GEPSNONPILOT/Tender/SplashBidNoticeAbstractUI.aspx?menuIndex=3&amp;refID=7058399&amp;Result=3","7058399")</f>
        <v>0</v>
      </c>
      <c r="B15831" t="s">
        <v>3082</v>
      </c>
      <c r="C15831" t="s">
        <v>18876</v>
      </c>
      <c r="D15831" t="s">
        <v>19041</v>
      </c>
      <c r="E15831" t="s">
        <v>32509</v>
      </c>
      <c r="F15831" t="s">
        <v>32606</v>
      </c>
      <c r="G15831" t="s">
        <v>32613</v>
      </c>
      <c r="H15831" t="s">
        <v>32623</v>
      </c>
      <c r="I15831" t="s">
        <v>17648</v>
      </c>
      <c r="J15831" t="s">
        <v>39629</v>
      </c>
      <c r="K15831" t="s">
        <v>42646</v>
      </c>
      <c r="M15831" t="s">
        <v>46283</v>
      </c>
      <c r="N15831" t="s">
        <v>47304</v>
      </c>
      <c r="O15831" t="s">
        <v>47305</v>
      </c>
      <c r="Q15831">
        <v>5</v>
      </c>
      <c r="R15831" t="s">
        <v>47366</v>
      </c>
      <c r="S15831" t="s">
        <v>47824</v>
      </c>
      <c r="T15831" t="s">
        <v>49107</v>
      </c>
      <c r="U15831" t="s">
        <v>62510</v>
      </c>
      <c r="W15831" t="s">
        <v>46283</v>
      </c>
      <c r="X15831" t="s">
        <v>47368</v>
      </c>
    </row>
    <row r="15832" spans="1:24">
      <c r="A15832">
        <f>HYPERLINK("https://www.philgeps.gov.ph/GEPSNONPILOT/Tender/SplashBidNoticeAbstractUI.aspx?menuIndex=3&amp;refID=7058277&amp;Result=3","7058277")</f>
        <v>0</v>
      </c>
      <c r="B15832" t="s">
        <v>3082</v>
      </c>
      <c r="C15832" t="s">
        <v>18877</v>
      </c>
      <c r="D15832" t="s">
        <v>19041</v>
      </c>
      <c r="E15832" t="s">
        <v>32510</v>
      </c>
      <c r="F15832" t="s">
        <v>32606</v>
      </c>
      <c r="G15832" t="s">
        <v>32613</v>
      </c>
      <c r="H15832" t="s">
        <v>32623</v>
      </c>
      <c r="I15832" t="s">
        <v>17648</v>
      </c>
      <c r="J15832" t="s">
        <v>42559</v>
      </c>
      <c r="K15832" t="s">
        <v>42645</v>
      </c>
      <c r="M15832" t="s">
        <v>46283</v>
      </c>
      <c r="N15832" t="s">
        <v>47304</v>
      </c>
      <c r="O15832" t="s">
        <v>47305</v>
      </c>
      <c r="Q15832">
        <v>9</v>
      </c>
      <c r="R15832" t="s">
        <v>47366</v>
      </c>
      <c r="S15832" t="s">
        <v>48868</v>
      </c>
      <c r="T15832" t="s">
        <v>49107</v>
      </c>
      <c r="U15832" t="s">
        <v>62510</v>
      </c>
      <c r="W15832" t="s">
        <v>46283</v>
      </c>
      <c r="X15832" t="s">
        <v>47368</v>
      </c>
    </row>
    <row r="15833" spans="1:24">
      <c r="A15833">
        <f>HYPERLINK("https://www.philgeps.gov.ph/GEPSNONPILOT/Tender/SplashBidNoticeAbstractUI.aspx?menuIndex=3&amp;refID=7058406&amp;Result=3","7058406")</f>
        <v>0</v>
      </c>
      <c r="B15833" t="s">
        <v>3082</v>
      </c>
      <c r="C15833" t="s">
        <v>18878</v>
      </c>
      <c r="D15833" t="s">
        <v>19041</v>
      </c>
      <c r="E15833" t="s">
        <v>32511</v>
      </c>
      <c r="F15833" t="s">
        <v>32606</v>
      </c>
      <c r="G15833" t="s">
        <v>32613</v>
      </c>
      <c r="H15833" t="s">
        <v>32623</v>
      </c>
      <c r="I15833" t="s">
        <v>17648</v>
      </c>
      <c r="J15833" t="s">
        <v>42560</v>
      </c>
      <c r="K15833" t="s">
        <v>42636</v>
      </c>
      <c r="M15833" t="s">
        <v>46283</v>
      </c>
      <c r="N15833" t="s">
        <v>47304</v>
      </c>
      <c r="O15833" t="s">
        <v>47305</v>
      </c>
      <c r="Q15833">
        <v>2</v>
      </c>
      <c r="R15833" t="s">
        <v>47366</v>
      </c>
      <c r="S15833" t="s">
        <v>48869</v>
      </c>
      <c r="T15833" t="s">
        <v>49107</v>
      </c>
      <c r="U15833" t="s">
        <v>62512</v>
      </c>
      <c r="W15833" t="s">
        <v>46283</v>
      </c>
      <c r="X15833" t="s">
        <v>47368</v>
      </c>
    </row>
    <row r="15834" spans="1:24">
      <c r="A15834">
        <f>HYPERLINK("https://www.philgeps.gov.ph/GEPSNONPILOT/Tender/SplashBidNoticeAbstractUI.aspx?menuIndex=3&amp;refID=7040695&amp;Result=3","7040695")</f>
        <v>0</v>
      </c>
      <c r="B15834" t="s">
        <v>313</v>
      </c>
      <c r="C15834" t="s">
        <v>18879</v>
      </c>
      <c r="D15834" t="s">
        <v>18993</v>
      </c>
      <c r="E15834" t="s">
        <v>32512</v>
      </c>
      <c r="F15834" t="s">
        <v>32606</v>
      </c>
      <c r="G15834" t="s">
        <v>32613</v>
      </c>
      <c r="H15834" t="s">
        <v>32625</v>
      </c>
      <c r="I15834" t="s">
        <v>32625</v>
      </c>
      <c r="J15834" t="s">
        <v>32830</v>
      </c>
      <c r="K15834" t="s">
        <v>42793</v>
      </c>
      <c r="M15834" t="s">
        <v>47298</v>
      </c>
      <c r="N15834" t="s">
        <v>47304</v>
      </c>
      <c r="O15834" t="s">
        <v>47305</v>
      </c>
      <c r="Q15834">
        <v>9</v>
      </c>
      <c r="R15834" t="s">
        <v>47371</v>
      </c>
      <c r="S15834" t="s">
        <v>48870</v>
      </c>
      <c r="T15834" t="s">
        <v>49065</v>
      </c>
      <c r="U15834" t="s">
        <v>62553</v>
      </c>
      <c r="W15834" t="s">
        <v>47298</v>
      </c>
      <c r="X15834" t="s">
        <v>47369</v>
      </c>
    </row>
    <row r="15835" spans="1:24">
      <c r="A15835">
        <f>HYPERLINK("https://www.philgeps.gov.ph/GEPSNONPILOT/Tender/SplashBidNoticeAbstractUI.aspx?menuIndex=3&amp;refID=7042597&amp;Result=3","7042597")</f>
        <v>0</v>
      </c>
      <c r="B15835" t="s">
        <v>2441</v>
      </c>
      <c r="C15835" t="s">
        <v>18880</v>
      </c>
      <c r="D15835" t="s">
        <v>19016</v>
      </c>
      <c r="E15835" t="s">
        <v>32513</v>
      </c>
      <c r="F15835" t="s">
        <v>32606</v>
      </c>
      <c r="G15835" t="s">
        <v>32613</v>
      </c>
      <c r="H15835" t="s">
        <v>32623</v>
      </c>
      <c r="I15835" t="s">
        <v>17648</v>
      </c>
      <c r="J15835" t="s">
        <v>39629</v>
      </c>
      <c r="K15835" t="s">
        <v>42776</v>
      </c>
      <c r="M15835" t="s">
        <v>45569</v>
      </c>
      <c r="N15835" t="s">
        <v>47304</v>
      </c>
      <c r="O15835" t="s">
        <v>47305</v>
      </c>
      <c r="Q15835">
        <v>58</v>
      </c>
      <c r="R15835" t="s">
        <v>47370</v>
      </c>
      <c r="S15835" t="s">
        <v>48871</v>
      </c>
      <c r="T15835" t="s">
        <v>49072</v>
      </c>
      <c r="U15835" t="s">
        <v>62550</v>
      </c>
      <c r="W15835" t="s">
        <v>45569</v>
      </c>
      <c r="X15835" t="s">
        <v>47371</v>
      </c>
    </row>
    <row r="15836" spans="1:24">
      <c r="A15836">
        <f>HYPERLINK("https://www.philgeps.gov.ph/GEPSNONPILOT/Tender/SplashBidNoticeAbstractUI.aspx?menuIndex=3&amp;refID=7030722&amp;Result=3","7030722")</f>
        <v>0</v>
      </c>
      <c r="B15836" t="s">
        <v>837</v>
      </c>
      <c r="C15836" t="s">
        <v>18881</v>
      </c>
      <c r="D15836" t="s">
        <v>19011</v>
      </c>
      <c r="E15836" t="s">
        <v>32514</v>
      </c>
      <c r="F15836" t="s">
        <v>32606</v>
      </c>
      <c r="G15836" t="s">
        <v>32613</v>
      </c>
      <c r="H15836" t="s">
        <v>14201</v>
      </c>
      <c r="I15836" t="s">
        <v>32630</v>
      </c>
      <c r="J15836" t="s">
        <v>42561</v>
      </c>
      <c r="K15836" t="s">
        <v>42631</v>
      </c>
      <c r="M15836" t="s">
        <v>46911</v>
      </c>
      <c r="N15836" t="s">
        <v>47304</v>
      </c>
      <c r="O15836" t="s">
        <v>47305</v>
      </c>
      <c r="Q15836">
        <v>12</v>
      </c>
      <c r="R15836" t="s">
        <v>47372</v>
      </c>
      <c r="S15836" t="s">
        <v>48872</v>
      </c>
      <c r="T15836" t="s">
        <v>49053</v>
      </c>
      <c r="U15836" t="s">
        <v>62554</v>
      </c>
      <c r="W15836" t="s">
        <v>46911</v>
      </c>
      <c r="X15836" t="s">
        <v>64580</v>
      </c>
    </row>
    <row r="15837" spans="1:24">
      <c r="A15837">
        <f>HYPERLINK("https://www.philgeps.gov.ph/GEPSNONPILOT/Tender/SplashBidNoticeAbstractUI.aspx?menuIndex=3&amp;refID=7049029&amp;Result=3","7049029")</f>
        <v>0</v>
      </c>
      <c r="B15837" t="s">
        <v>3913</v>
      </c>
      <c r="C15837" t="s">
        <v>18882</v>
      </c>
      <c r="D15837" t="s">
        <v>19003</v>
      </c>
      <c r="E15837" t="s">
        <v>32515</v>
      </c>
      <c r="F15837" t="s">
        <v>32606</v>
      </c>
      <c r="G15837" t="s">
        <v>32613</v>
      </c>
      <c r="H15837" t="s">
        <v>32623</v>
      </c>
      <c r="I15837" t="s">
        <v>17648</v>
      </c>
      <c r="J15837" t="s">
        <v>37499</v>
      </c>
      <c r="K15837" t="s">
        <v>42731</v>
      </c>
      <c r="M15837" t="s">
        <v>47297</v>
      </c>
      <c r="N15837" t="s">
        <v>47304</v>
      </c>
      <c r="O15837" t="s">
        <v>47305</v>
      </c>
      <c r="Q15837">
        <v>7</v>
      </c>
      <c r="R15837" t="s">
        <v>47367</v>
      </c>
      <c r="S15837" t="s">
        <v>48873</v>
      </c>
      <c r="T15837" t="s">
        <v>48998</v>
      </c>
      <c r="U15837" t="s">
        <v>62551</v>
      </c>
      <c r="W15837" t="s">
        <v>47297</v>
      </c>
      <c r="X15837" t="s">
        <v>64579</v>
      </c>
    </row>
    <row r="15838" spans="1:24">
      <c r="A15838">
        <f>HYPERLINK("https://www.philgeps.gov.ph/GEPSNONPILOT/Tender/SplashBidNoticeAbstractUI.aspx?menuIndex=3&amp;refID=7058275&amp;Result=3","7058275")</f>
        <v>0</v>
      </c>
      <c r="B15838" t="s">
        <v>3082</v>
      </c>
      <c r="C15838" t="s">
        <v>18883</v>
      </c>
      <c r="D15838" t="s">
        <v>19041</v>
      </c>
      <c r="E15838" t="s">
        <v>32516</v>
      </c>
      <c r="F15838" t="s">
        <v>32606</v>
      </c>
      <c r="G15838" t="s">
        <v>32613</v>
      </c>
      <c r="H15838" t="s">
        <v>32623</v>
      </c>
      <c r="I15838" t="s">
        <v>17648</v>
      </c>
      <c r="J15838" t="s">
        <v>42562</v>
      </c>
      <c r="K15838" t="s">
        <v>42731</v>
      </c>
      <c r="M15838" t="s">
        <v>46283</v>
      </c>
      <c r="N15838" t="s">
        <v>47304</v>
      </c>
      <c r="O15838" t="s">
        <v>47305</v>
      </c>
      <c r="Q15838">
        <v>12</v>
      </c>
      <c r="R15838" t="s">
        <v>47366</v>
      </c>
      <c r="S15838" t="s">
        <v>48874</v>
      </c>
      <c r="T15838" t="s">
        <v>49107</v>
      </c>
      <c r="U15838" t="s">
        <v>62508</v>
      </c>
      <c r="W15838" t="s">
        <v>46283</v>
      </c>
      <c r="X15838" t="s">
        <v>47368</v>
      </c>
    </row>
    <row r="15839" spans="1:24">
      <c r="A15839">
        <f>HYPERLINK("https://www.philgeps.gov.ph/GEPSNONPILOT/Tender/SplashBidNoticeAbstractUI.aspx?menuIndex=3&amp;refID=7018226&amp;Result=3","7018226")</f>
        <v>0</v>
      </c>
      <c r="B15839" t="s">
        <v>3865</v>
      </c>
      <c r="C15839" t="s">
        <v>18884</v>
      </c>
      <c r="D15839" t="s">
        <v>19003</v>
      </c>
      <c r="E15839" t="s">
        <v>32517</v>
      </c>
      <c r="F15839" t="s">
        <v>32606</v>
      </c>
      <c r="G15839" t="s">
        <v>32613</v>
      </c>
      <c r="H15839" t="s">
        <v>32623</v>
      </c>
      <c r="I15839" t="s">
        <v>17648</v>
      </c>
      <c r="J15839" t="s">
        <v>42563</v>
      </c>
      <c r="K15839" t="s">
        <v>42645</v>
      </c>
      <c r="M15839" t="s">
        <v>47220</v>
      </c>
      <c r="N15839" t="s">
        <v>47304</v>
      </c>
      <c r="O15839" t="s">
        <v>47305</v>
      </c>
      <c r="Q15839">
        <v>14</v>
      </c>
      <c r="R15839" t="s">
        <v>47373</v>
      </c>
      <c r="S15839" t="s">
        <v>48875</v>
      </c>
      <c r="T15839" t="s">
        <v>48980</v>
      </c>
      <c r="U15839" t="s">
        <v>62555</v>
      </c>
      <c r="W15839" t="s">
        <v>47220</v>
      </c>
      <c r="X15839" t="s">
        <v>47413</v>
      </c>
    </row>
    <row r="15840" spans="1:24">
      <c r="A15840">
        <f>HYPERLINK("https://www.philgeps.gov.ph/GEPSNONPILOT/Tender/SplashBidNoticeAbstractUI.aspx?menuIndex=3&amp;refID=7058246&amp;Result=3","7058246")</f>
        <v>0</v>
      </c>
      <c r="B15840" t="s">
        <v>3082</v>
      </c>
      <c r="C15840" t="s">
        <v>18885</v>
      </c>
      <c r="D15840" t="s">
        <v>19041</v>
      </c>
      <c r="E15840" t="s">
        <v>32518</v>
      </c>
      <c r="F15840" t="s">
        <v>32606</v>
      </c>
      <c r="G15840" t="s">
        <v>32613</v>
      </c>
      <c r="H15840" t="s">
        <v>32623</v>
      </c>
      <c r="I15840" t="s">
        <v>17648</v>
      </c>
      <c r="J15840" t="s">
        <v>38619</v>
      </c>
      <c r="K15840" t="s">
        <v>42645</v>
      </c>
      <c r="M15840" t="s">
        <v>46283</v>
      </c>
      <c r="N15840" t="s">
        <v>47304</v>
      </c>
      <c r="O15840" t="s">
        <v>47305</v>
      </c>
      <c r="Q15840">
        <v>6</v>
      </c>
      <c r="R15840" t="s">
        <v>47366</v>
      </c>
      <c r="S15840" t="s">
        <v>48876</v>
      </c>
      <c r="T15840" t="s">
        <v>49107</v>
      </c>
      <c r="U15840" t="s">
        <v>62510</v>
      </c>
      <c r="W15840" t="s">
        <v>46283</v>
      </c>
      <c r="X15840" t="s">
        <v>47368</v>
      </c>
    </row>
    <row r="15841" spans="1:24">
      <c r="A15841">
        <f>HYPERLINK("https://www.philgeps.gov.ph/GEPSNONPILOT/Tender/SplashBidNoticeAbstractUI.aspx?menuIndex=3&amp;refID=7018218&amp;Result=3","7018218")</f>
        <v>0</v>
      </c>
      <c r="B15841" t="s">
        <v>3865</v>
      </c>
      <c r="C15841" t="s">
        <v>18886</v>
      </c>
      <c r="D15841" t="s">
        <v>19003</v>
      </c>
      <c r="E15841" t="s">
        <v>32519</v>
      </c>
      <c r="F15841" t="s">
        <v>32606</v>
      </c>
      <c r="G15841" t="s">
        <v>32613</v>
      </c>
      <c r="H15841" t="s">
        <v>32623</v>
      </c>
      <c r="I15841" t="s">
        <v>17648</v>
      </c>
      <c r="J15841" t="s">
        <v>42564</v>
      </c>
      <c r="K15841" t="s">
        <v>42645</v>
      </c>
      <c r="M15841" t="s">
        <v>47220</v>
      </c>
      <c r="N15841" t="s">
        <v>47304</v>
      </c>
      <c r="O15841" t="s">
        <v>47305</v>
      </c>
      <c r="Q15841">
        <v>17</v>
      </c>
      <c r="R15841" t="s">
        <v>47373</v>
      </c>
      <c r="S15841" t="s">
        <v>48877</v>
      </c>
      <c r="T15841" t="s">
        <v>48980</v>
      </c>
      <c r="U15841" t="s">
        <v>62556</v>
      </c>
      <c r="W15841" t="s">
        <v>47220</v>
      </c>
      <c r="X15841" t="s">
        <v>47413</v>
      </c>
    </row>
    <row r="15842" spans="1:24">
      <c r="A15842">
        <f>HYPERLINK("https://www.philgeps.gov.ph/GEPSNONPILOT/Tender/SplashBidNoticeAbstractUI.aspx?menuIndex=3&amp;refID=7018186&amp;Result=3","7018186")</f>
        <v>0</v>
      </c>
      <c r="B15842" t="s">
        <v>3865</v>
      </c>
      <c r="C15842" t="s">
        <v>18887</v>
      </c>
      <c r="D15842" t="s">
        <v>19003</v>
      </c>
      <c r="E15842" t="s">
        <v>32520</v>
      </c>
      <c r="F15842" t="s">
        <v>32606</v>
      </c>
      <c r="G15842" t="s">
        <v>32613</v>
      </c>
      <c r="H15842" t="s">
        <v>32623</v>
      </c>
      <c r="I15842" t="s">
        <v>17648</v>
      </c>
      <c r="J15842" t="s">
        <v>42565</v>
      </c>
      <c r="K15842" t="s">
        <v>42642</v>
      </c>
      <c r="M15842" t="s">
        <v>47220</v>
      </c>
      <c r="N15842" t="s">
        <v>47304</v>
      </c>
      <c r="O15842" t="s">
        <v>47305</v>
      </c>
      <c r="Q15842">
        <v>15</v>
      </c>
      <c r="R15842" t="s">
        <v>47373</v>
      </c>
      <c r="S15842" t="s">
        <v>48878</v>
      </c>
      <c r="T15842" t="s">
        <v>49087</v>
      </c>
      <c r="U15842" t="s">
        <v>62557</v>
      </c>
      <c r="W15842" t="s">
        <v>47220</v>
      </c>
      <c r="X15842" t="s">
        <v>47413</v>
      </c>
    </row>
    <row r="15843" spans="1:24">
      <c r="A15843">
        <f>HYPERLINK("https://www.philgeps.gov.ph/GEPSNONPILOT/Tender/SplashBidNoticeAbstractUI.aspx?menuIndex=3&amp;refID=7018161&amp;Result=3","7018161")</f>
        <v>0</v>
      </c>
      <c r="B15843" t="s">
        <v>3865</v>
      </c>
      <c r="C15843" t="s">
        <v>18888</v>
      </c>
      <c r="D15843" t="s">
        <v>19003</v>
      </c>
      <c r="E15843" t="s">
        <v>32521</v>
      </c>
      <c r="F15843" t="s">
        <v>32606</v>
      </c>
      <c r="G15843" t="s">
        <v>32613</v>
      </c>
      <c r="H15843" t="s">
        <v>32623</v>
      </c>
      <c r="I15843" t="s">
        <v>17648</v>
      </c>
      <c r="J15843" t="s">
        <v>42566</v>
      </c>
      <c r="K15843" t="s">
        <v>42646</v>
      </c>
      <c r="M15843" t="s">
        <v>47220</v>
      </c>
      <c r="N15843" t="s">
        <v>47304</v>
      </c>
      <c r="O15843" t="s">
        <v>47305</v>
      </c>
      <c r="Q15843">
        <v>18</v>
      </c>
      <c r="R15843" t="s">
        <v>47373</v>
      </c>
      <c r="S15843" t="s">
        <v>48879</v>
      </c>
      <c r="T15843" t="s">
        <v>49087</v>
      </c>
      <c r="U15843" t="s">
        <v>62558</v>
      </c>
      <c r="W15843" t="s">
        <v>47220</v>
      </c>
      <c r="X15843" t="s">
        <v>47413</v>
      </c>
    </row>
    <row r="15844" spans="1:24">
      <c r="A15844">
        <f>HYPERLINK("https://www.philgeps.gov.ph/GEPSNONPILOT/Tender/SplashBidNoticeAbstractUI.aspx?menuIndex=3&amp;refID=7017229&amp;Result=3","7017229")</f>
        <v>0</v>
      </c>
      <c r="B15844" t="s">
        <v>1500</v>
      </c>
      <c r="C15844" t="s">
        <v>18889</v>
      </c>
      <c r="D15844" t="s">
        <v>19036</v>
      </c>
      <c r="E15844" t="s">
        <v>32522</v>
      </c>
      <c r="F15844" t="s">
        <v>32606</v>
      </c>
      <c r="G15844" t="s">
        <v>32614</v>
      </c>
      <c r="H15844" t="s">
        <v>14201</v>
      </c>
      <c r="I15844" t="s">
        <v>32652</v>
      </c>
      <c r="J15844" t="s">
        <v>32752</v>
      </c>
      <c r="K15844" t="s">
        <v>42627</v>
      </c>
      <c r="M15844" t="s">
        <v>46586</v>
      </c>
      <c r="N15844" t="s">
        <v>47304</v>
      </c>
      <c r="O15844" t="s">
        <v>47305</v>
      </c>
      <c r="Q15844">
        <v>3</v>
      </c>
      <c r="R15844" t="s">
        <v>47373</v>
      </c>
      <c r="S15844" t="s">
        <v>48880</v>
      </c>
      <c r="T15844" t="s">
        <v>49071</v>
      </c>
      <c r="U15844" t="s">
        <v>62559</v>
      </c>
      <c r="W15844" t="s">
        <v>46586</v>
      </c>
      <c r="X15844" t="s">
        <v>47413</v>
      </c>
    </row>
    <row r="15845" spans="1:24">
      <c r="A15845">
        <f>HYPERLINK("https://www.philgeps.gov.ph/GEPSNONPILOT/Tender/SplashBidNoticeAbstractUI.aspx?menuIndex=3&amp;refID=7058270&amp;Result=3","7058270")</f>
        <v>0</v>
      </c>
      <c r="B15845" t="s">
        <v>3082</v>
      </c>
      <c r="C15845" t="s">
        <v>18890</v>
      </c>
      <c r="D15845" t="s">
        <v>19041</v>
      </c>
      <c r="E15845" t="s">
        <v>32523</v>
      </c>
      <c r="F15845" t="s">
        <v>32606</v>
      </c>
      <c r="G15845" t="s">
        <v>32613</v>
      </c>
      <c r="H15845" t="s">
        <v>32623</v>
      </c>
      <c r="I15845" t="s">
        <v>17648</v>
      </c>
      <c r="J15845" t="s">
        <v>42567</v>
      </c>
      <c r="K15845" t="s">
        <v>42646</v>
      </c>
      <c r="M15845" t="s">
        <v>46283</v>
      </c>
      <c r="N15845" t="s">
        <v>47304</v>
      </c>
      <c r="O15845" t="s">
        <v>47305</v>
      </c>
      <c r="Q15845">
        <v>6</v>
      </c>
      <c r="R15845" t="s">
        <v>47366</v>
      </c>
      <c r="S15845" t="s">
        <v>48881</v>
      </c>
      <c r="T15845" t="s">
        <v>49107</v>
      </c>
      <c r="U15845" t="s">
        <v>62560</v>
      </c>
      <c r="W15845" t="s">
        <v>46283</v>
      </c>
      <c r="X15845" t="s">
        <v>47368</v>
      </c>
    </row>
    <row r="15846" spans="1:24">
      <c r="A15846">
        <f>HYPERLINK("https://www.philgeps.gov.ph/GEPSNONPILOT/Tender/SplashBidNoticeAbstractUI.aspx?menuIndex=3&amp;refID=7021128&amp;Result=3","7021128")</f>
        <v>0</v>
      </c>
      <c r="B15846" t="s">
        <v>1278</v>
      </c>
      <c r="C15846" t="s">
        <v>18891</v>
      </c>
      <c r="E15846" t="s">
        <v>32524</v>
      </c>
      <c r="F15846" t="s">
        <v>32606</v>
      </c>
      <c r="G15846" t="s">
        <v>32613</v>
      </c>
      <c r="H15846" t="s">
        <v>14201</v>
      </c>
      <c r="I15846" t="s">
        <v>32640</v>
      </c>
      <c r="J15846" t="s">
        <v>42568</v>
      </c>
      <c r="K15846" t="s">
        <v>42624</v>
      </c>
      <c r="M15846" t="s">
        <v>44248</v>
      </c>
      <c r="N15846" t="s">
        <v>47304</v>
      </c>
      <c r="O15846" t="s">
        <v>47305</v>
      </c>
      <c r="Q15846">
        <v>23</v>
      </c>
      <c r="R15846" t="s">
        <v>47374</v>
      </c>
      <c r="S15846" t="s">
        <v>48882</v>
      </c>
      <c r="T15846" t="s">
        <v>49080</v>
      </c>
      <c r="U15846" t="s">
        <v>62561</v>
      </c>
      <c r="V15846" t="s">
        <v>64406</v>
      </c>
      <c r="W15846" t="s">
        <v>64565</v>
      </c>
      <c r="X15846" t="s">
        <v>64581</v>
      </c>
    </row>
    <row r="15847" spans="1:24">
      <c r="A15847">
        <f>HYPERLINK("https://www.philgeps.gov.ph/GEPSNONPILOT/Tender/SplashBidNoticeAbstractUI.aspx?menuIndex=3&amp;refID=7018196&amp;Result=3","7018196")</f>
        <v>0</v>
      </c>
      <c r="B15847" t="s">
        <v>3865</v>
      </c>
      <c r="C15847" t="s">
        <v>18892</v>
      </c>
      <c r="D15847" t="s">
        <v>19003</v>
      </c>
      <c r="E15847" t="s">
        <v>32525</v>
      </c>
      <c r="F15847" t="s">
        <v>32606</v>
      </c>
      <c r="G15847" t="s">
        <v>32613</v>
      </c>
      <c r="H15847" t="s">
        <v>32623</v>
      </c>
      <c r="I15847" t="s">
        <v>17648</v>
      </c>
      <c r="J15847" t="s">
        <v>33351</v>
      </c>
      <c r="K15847" t="s">
        <v>42646</v>
      </c>
      <c r="M15847" t="s">
        <v>47220</v>
      </c>
      <c r="N15847" t="s">
        <v>47304</v>
      </c>
      <c r="O15847" t="s">
        <v>47305</v>
      </c>
      <c r="Q15847">
        <v>11</v>
      </c>
      <c r="R15847" t="s">
        <v>47373</v>
      </c>
      <c r="S15847" t="s">
        <v>48883</v>
      </c>
      <c r="T15847" t="s">
        <v>49087</v>
      </c>
      <c r="U15847" t="s">
        <v>62562</v>
      </c>
      <c r="W15847" t="s">
        <v>47220</v>
      </c>
      <c r="X15847" t="s">
        <v>47413</v>
      </c>
    </row>
    <row r="15848" spans="1:24">
      <c r="A15848">
        <f>HYPERLINK("https://www.philgeps.gov.ph/GEPSNONPILOT/Tender/SplashBidNoticeAbstractUI.aspx?menuIndex=3&amp;refID=7022864&amp;Result=3","7022864")</f>
        <v>0</v>
      </c>
      <c r="B15848" t="s">
        <v>1278</v>
      </c>
      <c r="C15848" t="s">
        <v>18893</v>
      </c>
      <c r="E15848" t="s">
        <v>32526</v>
      </c>
      <c r="F15848" t="s">
        <v>32606</v>
      </c>
      <c r="G15848" t="s">
        <v>32613</v>
      </c>
      <c r="H15848" t="s">
        <v>14201</v>
      </c>
      <c r="I15848" t="s">
        <v>13131</v>
      </c>
      <c r="J15848" t="s">
        <v>42569</v>
      </c>
      <c r="K15848" t="s">
        <v>42624</v>
      </c>
      <c r="M15848" t="s">
        <v>44248</v>
      </c>
      <c r="N15848" t="s">
        <v>47304</v>
      </c>
      <c r="O15848" t="s">
        <v>47305</v>
      </c>
      <c r="Q15848">
        <v>20</v>
      </c>
      <c r="R15848" t="s">
        <v>47375</v>
      </c>
      <c r="S15848" t="s">
        <v>48884</v>
      </c>
      <c r="T15848" t="s">
        <v>48980</v>
      </c>
      <c r="U15848" t="s">
        <v>62563</v>
      </c>
      <c r="V15848" t="s">
        <v>64407</v>
      </c>
      <c r="W15848" t="s">
        <v>64565</v>
      </c>
      <c r="X15848" t="s">
        <v>47374</v>
      </c>
    </row>
    <row r="15849" spans="1:24">
      <c r="A15849">
        <f>HYPERLINK("https://www.philgeps.gov.ph/GEPSNONPILOT/Tender/SplashBidNoticeAbstractUI.aspx?menuIndex=3&amp;refID=7018114&amp;Result=3","7018114")</f>
        <v>0</v>
      </c>
      <c r="B15849" t="s">
        <v>3865</v>
      </c>
      <c r="C15849" t="s">
        <v>18894</v>
      </c>
      <c r="D15849" t="s">
        <v>19003</v>
      </c>
      <c r="E15849" t="s">
        <v>32527</v>
      </c>
      <c r="F15849" t="s">
        <v>32606</v>
      </c>
      <c r="G15849" t="s">
        <v>32613</v>
      </c>
      <c r="H15849" t="s">
        <v>32623</v>
      </c>
      <c r="I15849" t="s">
        <v>17648</v>
      </c>
      <c r="J15849" t="s">
        <v>42543</v>
      </c>
      <c r="K15849" t="s">
        <v>42799</v>
      </c>
      <c r="M15849" t="s">
        <v>47220</v>
      </c>
      <c r="N15849" t="s">
        <v>47304</v>
      </c>
      <c r="O15849" t="s">
        <v>47305</v>
      </c>
      <c r="Q15849">
        <v>10</v>
      </c>
      <c r="R15849" t="s">
        <v>47373</v>
      </c>
      <c r="S15849" t="s">
        <v>48885</v>
      </c>
      <c r="T15849" t="s">
        <v>49087</v>
      </c>
      <c r="U15849" t="s">
        <v>62564</v>
      </c>
      <c r="W15849" t="s">
        <v>47220</v>
      </c>
      <c r="X15849" t="s">
        <v>47413</v>
      </c>
    </row>
    <row r="15850" spans="1:24">
      <c r="A15850">
        <f>HYPERLINK("https://www.philgeps.gov.ph/GEPSNONPILOT/Tender/SplashBidNoticeAbstractUI.aspx?menuIndex=3&amp;refID=7026795&amp;Result=3","7026795")</f>
        <v>0</v>
      </c>
      <c r="B15850" t="s">
        <v>2441</v>
      </c>
      <c r="C15850" t="s">
        <v>18895</v>
      </c>
      <c r="D15850" t="s">
        <v>19016</v>
      </c>
      <c r="E15850" t="s">
        <v>32528</v>
      </c>
      <c r="F15850" t="s">
        <v>32606</v>
      </c>
      <c r="G15850" t="s">
        <v>32613</v>
      </c>
      <c r="H15850" t="s">
        <v>32623</v>
      </c>
      <c r="I15850" t="s">
        <v>17648</v>
      </c>
      <c r="J15850" t="s">
        <v>39538</v>
      </c>
      <c r="K15850" t="s">
        <v>42815</v>
      </c>
      <c r="M15850" t="s">
        <v>45569</v>
      </c>
      <c r="N15850" t="s">
        <v>47304</v>
      </c>
      <c r="O15850" t="s">
        <v>47305</v>
      </c>
      <c r="Q15850">
        <v>59</v>
      </c>
      <c r="R15850" t="s">
        <v>47376</v>
      </c>
      <c r="S15850" t="s">
        <v>48886</v>
      </c>
      <c r="T15850" t="s">
        <v>49072</v>
      </c>
      <c r="U15850" t="s">
        <v>55836</v>
      </c>
      <c r="W15850" t="s">
        <v>45569</v>
      </c>
      <c r="X15850" t="s">
        <v>47375</v>
      </c>
    </row>
    <row r="15851" spans="1:24">
      <c r="A15851">
        <f>HYPERLINK("https://www.philgeps.gov.ph/GEPSNONPILOT/Tender/SplashBidNoticeAbstractUI.aspx?menuIndex=3&amp;refID=7061438&amp;Result=3","7061438")</f>
        <v>0</v>
      </c>
      <c r="B15851" t="s">
        <v>392</v>
      </c>
      <c r="C15851" t="s">
        <v>18896</v>
      </c>
      <c r="D15851" t="s">
        <v>18993</v>
      </c>
      <c r="E15851" t="s">
        <v>32529</v>
      </c>
      <c r="F15851" t="s">
        <v>32606</v>
      </c>
      <c r="G15851" t="s">
        <v>32613</v>
      </c>
      <c r="H15851" t="s">
        <v>14201</v>
      </c>
      <c r="I15851" t="s">
        <v>32631</v>
      </c>
      <c r="J15851" t="s">
        <v>42570</v>
      </c>
      <c r="K15851" t="s">
        <v>42623</v>
      </c>
      <c r="M15851" t="s">
        <v>43849</v>
      </c>
      <c r="N15851" t="s">
        <v>47304</v>
      </c>
      <c r="O15851" t="s">
        <v>47305</v>
      </c>
      <c r="Q15851">
        <v>9</v>
      </c>
      <c r="R15851" t="s">
        <v>47365</v>
      </c>
      <c r="S15851" t="s">
        <v>48887</v>
      </c>
      <c r="T15851" t="s">
        <v>49073</v>
      </c>
      <c r="U15851" t="s">
        <v>51716</v>
      </c>
      <c r="W15851" t="s">
        <v>43849</v>
      </c>
      <c r="X15851" t="s">
        <v>64578</v>
      </c>
    </row>
    <row r="15852" spans="1:24">
      <c r="A15852">
        <f>HYPERLINK("https://www.philgeps.gov.ph/GEPSNONPILOT/Tender/SplashBidNoticeAbstractUI.aspx?menuIndex=3&amp;refID=7031859&amp;Result=3","7031859")</f>
        <v>0</v>
      </c>
      <c r="B15852" t="s">
        <v>2441</v>
      </c>
      <c r="C15852" t="s">
        <v>18897</v>
      </c>
      <c r="D15852" t="s">
        <v>19016</v>
      </c>
      <c r="E15852" t="s">
        <v>32530</v>
      </c>
      <c r="F15852" t="s">
        <v>32606</v>
      </c>
      <c r="G15852" t="s">
        <v>32613</v>
      </c>
      <c r="H15852" t="s">
        <v>32623</v>
      </c>
      <c r="I15852" t="s">
        <v>17648</v>
      </c>
      <c r="J15852" t="s">
        <v>37499</v>
      </c>
      <c r="K15852" t="s">
        <v>42815</v>
      </c>
      <c r="M15852" t="s">
        <v>45569</v>
      </c>
      <c r="N15852" t="s">
        <v>47304</v>
      </c>
      <c r="O15852" t="s">
        <v>47305</v>
      </c>
      <c r="Q15852">
        <v>59</v>
      </c>
      <c r="R15852" t="s">
        <v>47372</v>
      </c>
      <c r="S15852" t="s">
        <v>48888</v>
      </c>
      <c r="T15852" t="s">
        <v>49072</v>
      </c>
      <c r="U15852" t="s">
        <v>62565</v>
      </c>
      <c r="W15852" t="s">
        <v>45569</v>
      </c>
      <c r="X15852" t="s">
        <v>64580</v>
      </c>
    </row>
    <row r="15853" spans="1:24">
      <c r="A15853">
        <f>HYPERLINK("https://www.philgeps.gov.ph/GEPSNONPILOT/Tender/SplashBidNoticeAbstractUI.aspx?menuIndex=3&amp;refID=7018242&amp;Result=3","7018242")</f>
        <v>0</v>
      </c>
      <c r="B15853" t="s">
        <v>3865</v>
      </c>
      <c r="C15853" t="s">
        <v>18898</v>
      </c>
      <c r="D15853" t="s">
        <v>19003</v>
      </c>
      <c r="E15853" t="s">
        <v>32531</v>
      </c>
      <c r="F15853" t="s">
        <v>32606</v>
      </c>
      <c r="G15853" t="s">
        <v>32613</v>
      </c>
      <c r="H15853" t="s">
        <v>32623</v>
      </c>
      <c r="I15853" t="s">
        <v>17648</v>
      </c>
      <c r="J15853" t="s">
        <v>42571</v>
      </c>
      <c r="K15853" t="s">
        <v>42867</v>
      </c>
      <c r="M15853" t="s">
        <v>47220</v>
      </c>
      <c r="N15853" t="s">
        <v>47304</v>
      </c>
      <c r="O15853" t="s">
        <v>47305</v>
      </c>
      <c r="Q15853">
        <v>17</v>
      </c>
      <c r="R15853" t="s">
        <v>47374</v>
      </c>
      <c r="S15853" t="s">
        <v>48889</v>
      </c>
      <c r="T15853" t="s">
        <v>48980</v>
      </c>
      <c r="U15853" t="s">
        <v>62566</v>
      </c>
      <c r="W15853" t="s">
        <v>47220</v>
      </c>
      <c r="X15853" t="s">
        <v>47413</v>
      </c>
    </row>
    <row r="15854" spans="1:24">
      <c r="A15854">
        <f>HYPERLINK("https://www.philgeps.gov.ph/GEPSNONPILOT/Tender/SplashBidNoticeAbstractUI.aspx?menuIndex=3&amp;refID=6935705&amp;Result=3","6935705")</f>
        <v>0</v>
      </c>
      <c r="B15854" t="s">
        <v>1749</v>
      </c>
      <c r="C15854" t="s">
        <v>18899</v>
      </c>
      <c r="D15854" t="s">
        <v>19001</v>
      </c>
      <c r="E15854" t="s">
        <v>32532</v>
      </c>
      <c r="F15854" t="s">
        <v>32606</v>
      </c>
      <c r="G15854" t="s">
        <v>32613</v>
      </c>
      <c r="H15854" t="s">
        <v>14201</v>
      </c>
      <c r="I15854" t="s">
        <v>6993</v>
      </c>
      <c r="J15854" t="s">
        <v>42572</v>
      </c>
      <c r="K15854" t="s">
        <v>42648</v>
      </c>
      <c r="M15854" t="s">
        <v>44784</v>
      </c>
      <c r="N15854" t="s">
        <v>47304</v>
      </c>
      <c r="O15854" t="s">
        <v>47305</v>
      </c>
      <c r="Q15854">
        <v>10</v>
      </c>
      <c r="R15854" t="s">
        <v>47377</v>
      </c>
      <c r="S15854" t="s">
        <v>48890</v>
      </c>
      <c r="T15854" t="s">
        <v>48996</v>
      </c>
      <c r="U15854" t="s">
        <v>62567</v>
      </c>
      <c r="W15854" t="s">
        <v>44784</v>
      </c>
      <c r="X15854" t="s">
        <v>47387</v>
      </c>
    </row>
    <row r="15855" spans="1:24">
      <c r="A15855">
        <f>HYPERLINK("https://www.philgeps.gov.ph/GEPSNONPILOT/Tender/SplashBidNoticeAbstractUI.aspx?menuIndex=3&amp;refID=7049001&amp;Result=3","7049001")</f>
        <v>0</v>
      </c>
      <c r="B15855" t="s">
        <v>3913</v>
      </c>
      <c r="C15855" t="s">
        <v>18900</v>
      </c>
      <c r="D15855" t="s">
        <v>19003</v>
      </c>
      <c r="E15855" t="s">
        <v>32533</v>
      </c>
      <c r="F15855" t="s">
        <v>32606</v>
      </c>
      <c r="G15855" t="s">
        <v>32613</v>
      </c>
      <c r="H15855" t="s">
        <v>32623</v>
      </c>
      <c r="I15855" t="s">
        <v>17648</v>
      </c>
      <c r="J15855" t="s">
        <v>39538</v>
      </c>
      <c r="K15855" t="s">
        <v>42848</v>
      </c>
      <c r="M15855" t="s">
        <v>47297</v>
      </c>
      <c r="N15855" t="s">
        <v>47304</v>
      </c>
      <c r="O15855" t="s">
        <v>47305</v>
      </c>
      <c r="Q15855">
        <v>6</v>
      </c>
      <c r="R15855" t="s">
        <v>47367</v>
      </c>
      <c r="S15855" t="s">
        <v>48478</v>
      </c>
      <c r="T15855" t="s">
        <v>48998</v>
      </c>
      <c r="U15855" t="s">
        <v>62551</v>
      </c>
      <c r="W15855" t="s">
        <v>47297</v>
      </c>
      <c r="X15855" t="s">
        <v>64579</v>
      </c>
    </row>
    <row r="15856" spans="1:24">
      <c r="A15856">
        <f>HYPERLINK("https://www.philgeps.gov.ph/GEPSNONPILOT/Tender/SplashBidNoticeAbstractUI.aspx?menuIndex=3&amp;refID=7026934&amp;Result=3","7026934")</f>
        <v>0</v>
      </c>
      <c r="B15856" t="s">
        <v>2441</v>
      </c>
      <c r="C15856" t="s">
        <v>18901</v>
      </c>
      <c r="D15856" t="s">
        <v>19016</v>
      </c>
      <c r="E15856" t="s">
        <v>32534</v>
      </c>
      <c r="F15856" t="s">
        <v>32606</v>
      </c>
      <c r="G15856" t="s">
        <v>32613</v>
      </c>
      <c r="H15856" t="s">
        <v>32623</v>
      </c>
      <c r="I15856" t="s">
        <v>17648</v>
      </c>
      <c r="J15856" t="s">
        <v>37499</v>
      </c>
      <c r="K15856" t="s">
        <v>42840</v>
      </c>
      <c r="M15856" t="s">
        <v>45569</v>
      </c>
      <c r="N15856" t="s">
        <v>47304</v>
      </c>
      <c r="O15856" t="s">
        <v>47305</v>
      </c>
      <c r="Q15856">
        <v>63</v>
      </c>
      <c r="R15856" t="s">
        <v>47376</v>
      </c>
      <c r="S15856" t="s">
        <v>48891</v>
      </c>
      <c r="T15856" t="s">
        <v>49072</v>
      </c>
      <c r="U15856" t="s">
        <v>55836</v>
      </c>
      <c r="W15856" t="s">
        <v>45569</v>
      </c>
      <c r="X15856" t="s">
        <v>47375</v>
      </c>
    </row>
    <row r="15857" spans="1:24">
      <c r="A15857">
        <f>HYPERLINK("https://www.philgeps.gov.ph/GEPSNONPILOT/Tender/SplashBidNoticeAbstractUI.aspx?menuIndex=3&amp;refID=6957124&amp;Result=3","6957124")</f>
        <v>0</v>
      </c>
      <c r="B15857" t="s">
        <v>1278</v>
      </c>
      <c r="C15857" t="s">
        <v>18902</v>
      </c>
      <c r="E15857" t="s">
        <v>32535</v>
      </c>
      <c r="F15857" t="s">
        <v>32606</v>
      </c>
      <c r="G15857" t="s">
        <v>32613</v>
      </c>
      <c r="H15857" t="s">
        <v>14201</v>
      </c>
      <c r="I15857" t="s">
        <v>4678</v>
      </c>
      <c r="J15857" t="s">
        <v>33617</v>
      </c>
      <c r="K15857" t="s">
        <v>42624</v>
      </c>
      <c r="M15857" t="s">
        <v>44248</v>
      </c>
      <c r="N15857" t="s">
        <v>47304</v>
      </c>
      <c r="O15857" t="s">
        <v>47305</v>
      </c>
      <c r="Q15857">
        <v>17</v>
      </c>
      <c r="R15857" t="s">
        <v>47378</v>
      </c>
      <c r="S15857" t="s">
        <v>48892</v>
      </c>
      <c r="T15857" t="s">
        <v>49268</v>
      </c>
      <c r="U15857" t="s">
        <v>62568</v>
      </c>
      <c r="V15857" t="s">
        <v>64408</v>
      </c>
      <c r="W15857" t="s">
        <v>64564</v>
      </c>
      <c r="X15857" t="s">
        <v>64582</v>
      </c>
    </row>
    <row r="15858" spans="1:24">
      <c r="A15858">
        <f>HYPERLINK("https://www.philgeps.gov.ph/GEPSNONPILOT/Tender/SplashBidNoticeAbstractUI.aspx?menuIndex=3&amp;refID=6957098&amp;Result=3","6957098")</f>
        <v>0</v>
      </c>
      <c r="B15858" t="s">
        <v>1278</v>
      </c>
      <c r="C15858" t="s">
        <v>18903</v>
      </c>
      <c r="E15858" t="s">
        <v>32536</v>
      </c>
      <c r="F15858" t="s">
        <v>32606</v>
      </c>
      <c r="G15858" t="s">
        <v>32613</v>
      </c>
      <c r="H15858" t="s">
        <v>14201</v>
      </c>
      <c r="I15858" t="s">
        <v>32640</v>
      </c>
      <c r="J15858" t="s">
        <v>42573</v>
      </c>
      <c r="K15858" t="s">
        <v>42624</v>
      </c>
      <c r="M15858" t="s">
        <v>47293</v>
      </c>
      <c r="N15858" t="s">
        <v>47304</v>
      </c>
      <c r="O15858" t="s">
        <v>47305</v>
      </c>
      <c r="Q15858">
        <v>10</v>
      </c>
      <c r="R15858" t="s">
        <v>47378</v>
      </c>
      <c r="S15858" t="s">
        <v>48783</v>
      </c>
      <c r="T15858" t="s">
        <v>49268</v>
      </c>
      <c r="U15858" t="s">
        <v>62569</v>
      </c>
      <c r="W15858" t="s">
        <v>64564</v>
      </c>
      <c r="X15858" t="s">
        <v>64582</v>
      </c>
    </row>
    <row r="15859" spans="1:24">
      <c r="A15859">
        <f>HYPERLINK("https://www.philgeps.gov.ph/GEPSNONPILOT/Tender/SplashBidNoticeAbstractUI.aspx?menuIndex=3&amp;refID=6968335&amp;Result=3","6968335")</f>
        <v>0</v>
      </c>
      <c r="B15859" t="s">
        <v>1278</v>
      </c>
      <c r="C15859" t="s">
        <v>18904</v>
      </c>
      <c r="E15859" t="s">
        <v>32537</v>
      </c>
      <c r="F15859" t="s">
        <v>32606</v>
      </c>
      <c r="G15859" t="s">
        <v>32613</v>
      </c>
      <c r="H15859" t="s">
        <v>14201</v>
      </c>
      <c r="I15859" t="s">
        <v>4114</v>
      </c>
      <c r="J15859" t="s">
        <v>42574</v>
      </c>
      <c r="K15859" t="s">
        <v>42624</v>
      </c>
      <c r="M15859" t="s">
        <v>44248</v>
      </c>
      <c r="N15859" t="s">
        <v>47304</v>
      </c>
      <c r="O15859" t="s">
        <v>47305</v>
      </c>
      <c r="Q15859">
        <v>12</v>
      </c>
      <c r="R15859" t="s">
        <v>47379</v>
      </c>
      <c r="S15859" t="s">
        <v>48893</v>
      </c>
      <c r="T15859" t="s">
        <v>49268</v>
      </c>
      <c r="U15859" t="s">
        <v>62570</v>
      </c>
      <c r="V15859" t="s">
        <v>64409</v>
      </c>
      <c r="W15859" t="s">
        <v>64564</v>
      </c>
      <c r="X15859" t="s">
        <v>64583</v>
      </c>
    </row>
    <row r="15860" spans="1:24">
      <c r="A15860">
        <f>HYPERLINK("https://www.philgeps.gov.ph/GEPSNONPILOT/Tender/SplashBidNoticeAbstractUI.aspx?menuIndex=3&amp;refID=6975651&amp;Result=3","6975651")</f>
        <v>0</v>
      </c>
      <c r="B15860" t="s">
        <v>1895</v>
      </c>
      <c r="C15860" t="s">
        <v>18905</v>
      </c>
      <c r="D15860" t="s">
        <v>19034</v>
      </c>
      <c r="E15860" t="s">
        <v>32538</v>
      </c>
      <c r="F15860" t="s">
        <v>32606</v>
      </c>
      <c r="G15860" t="s">
        <v>32614</v>
      </c>
      <c r="H15860" t="s">
        <v>14201</v>
      </c>
      <c r="I15860" t="s">
        <v>4678</v>
      </c>
      <c r="J15860" t="s">
        <v>32913</v>
      </c>
      <c r="K15860" t="s">
        <v>42648</v>
      </c>
      <c r="M15860" t="s">
        <v>44954</v>
      </c>
      <c r="N15860" t="s">
        <v>47304</v>
      </c>
      <c r="O15860" t="s">
        <v>47305</v>
      </c>
      <c r="P15860">
        <v>0</v>
      </c>
      <c r="Q15860">
        <v>1</v>
      </c>
      <c r="R15860" t="s">
        <v>47380</v>
      </c>
      <c r="S15860" t="s">
        <v>48894</v>
      </c>
      <c r="T15860" t="s">
        <v>49545</v>
      </c>
      <c r="U15860" t="s">
        <v>56056</v>
      </c>
      <c r="W15860" t="s">
        <v>44954</v>
      </c>
      <c r="X15860" t="s">
        <v>64584</v>
      </c>
    </row>
    <row r="15861" spans="1:24">
      <c r="A15861">
        <f>HYPERLINK("https://www.philgeps.gov.ph/GEPSNONPILOT/Tender/SplashBidNoticeAbstractUI.aspx?menuIndex=3&amp;refID=6935920&amp;Result=3","6935920")</f>
        <v>0</v>
      </c>
      <c r="B15861" t="s">
        <v>1749</v>
      </c>
      <c r="C15861" t="s">
        <v>18906</v>
      </c>
      <c r="E15861" t="s">
        <v>32539</v>
      </c>
      <c r="F15861" t="s">
        <v>32606</v>
      </c>
      <c r="G15861" t="s">
        <v>32613</v>
      </c>
      <c r="H15861" t="s">
        <v>32623</v>
      </c>
      <c r="I15861" t="s">
        <v>32659</v>
      </c>
      <c r="J15861" t="s">
        <v>42575</v>
      </c>
      <c r="K15861" t="s">
        <v>42624</v>
      </c>
      <c r="M15861" t="s">
        <v>44784</v>
      </c>
      <c r="N15861" t="s">
        <v>47304</v>
      </c>
      <c r="O15861" t="s">
        <v>47305</v>
      </c>
      <c r="Q15861">
        <v>6</v>
      </c>
      <c r="R15861" t="s">
        <v>47381</v>
      </c>
      <c r="S15861" t="s">
        <v>48895</v>
      </c>
      <c r="T15861" t="s">
        <v>48999</v>
      </c>
      <c r="U15861" t="s">
        <v>62571</v>
      </c>
      <c r="W15861" t="s">
        <v>44784</v>
      </c>
      <c r="X15861" t="s">
        <v>47387</v>
      </c>
    </row>
    <row r="15862" spans="1:24">
      <c r="A15862">
        <f>HYPERLINK("https://www.philgeps.gov.ph/GEPSNONPILOT/Tender/SplashBidNoticeAbstractUI.aspx?menuIndex=3&amp;refID=6954272&amp;Result=3","6954272")</f>
        <v>0</v>
      </c>
      <c r="B15862" t="s">
        <v>3914</v>
      </c>
      <c r="C15862" t="s">
        <v>18907</v>
      </c>
      <c r="E15862" t="s">
        <v>24497</v>
      </c>
      <c r="F15862" t="s">
        <v>32607</v>
      </c>
      <c r="G15862" t="s">
        <v>32614</v>
      </c>
      <c r="H15862" t="s">
        <v>14201</v>
      </c>
      <c r="I15862" t="s">
        <v>32628</v>
      </c>
      <c r="J15862" t="s">
        <v>32813</v>
      </c>
      <c r="K15862" t="s">
        <v>42624</v>
      </c>
      <c r="M15862" t="s">
        <v>47299</v>
      </c>
      <c r="N15862" t="s">
        <v>47304</v>
      </c>
      <c r="O15862" t="s">
        <v>47305</v>
      </c>
      <c r="P15862">
        <v>0</v>
      </c>
      <c r="Q15862">
        <v>5</v>
      </c>
      <c r="R15862" t="s">
        <v>47382</v>
      </c>
      <c r="S15862" t="s">
        <v>48896</v>
      </c>
      <c r="T15862" t="s">
        <v>49546</v>
      </c>
      <c r="U15862" t="s">
        <v>62572</v>
      </c>
      <c r="W15862" t="s">
        <v>47299</v>
      </c>
      <c r="X15862" t="s">
        <v>64585</v>
      </c>
    </row>
    <row r="15863" spans="1:24">
      <c r="A15863">
        <f>HYPERLINK("https://www.philgeps.gov.ph/GEPSNONPILOT/Tender/SplashBidNoticeAbstractUI.aspx?menuIndex=3&amp;refID=6986257&amp;Result=3","6986257")</f>
        <v>0</v>
      </c>
      <c r="B15863" t="s">
        <v>2397</v>
      </c>
      <c r="C15863" t="s">
        <v>18908</v>
      </c>
      <c r="E15863" t="s">
        <v>32540</v>
      </c>
      <c r="F15863" t="s">
        <v>32606</v>
      </c>
      <c r="G15863" t="s">
        <v>32613</v>
      </c>
      <c r="H15863" t="s">
        <v>32623</v>
      </c>
      <c r="I15863" t="s">
        <v>17648</v>
      </c>
      <c r="J15863" t="s">
        <v>42576</v>
      </c>
      <c r="K15863" t="s">
        <v>42624</v>
      </c>
      <c r="M15863" t="s">
        <v>45518</v>
      </c>
      <c r="N15863" t="s">
        <v>47304</v>
      </c>
      <c r="O15863" t="s">
        <v>47305</v>
      </c>
      <c r="Q15863">
        <v>34</v>
      </c>
      <c r="R15863" t="s">
        <v>47383</v>
      </c>
      <c r="S15863" t="s">
        <v>48897</v>
      </c>
      <c r="T15863" t="s">
        <v>48996</v>
      </c>
      <c r="U15863" t="s">
        <v>62573</v>
      </c>
      <c r="W15863" t="s">
        <v>64504</v>
      </c>
      <c r="X15863" t="s">
        <v>64575</v>
      </c>
    </row>
    <row r="15864" spans="1:24">
      <c r="A15864">
        <f>HYPERLINK("https://www.philgeps.gov.ph/GEPSNONPILOT/Tender/SplashBidNoticeAbstractUI.aspx?menuIndex=3&amp;refID=6985978&amp;Result=3","6985978")</f>
        <v>0</v>
      </c>
      <c r="B15864" t="s">
        <v>1349</v>
      </c>
      <c r="C15864" t="s">
        <v>18909</v>
      </c>
      <c r="D15864" t="s">
        <v>19016</v>
      </c>
      <c r="E15864" t="s">
        <v>32541</v>
      </c>
      <c r="F15864" t="s">
        <v>32606</v>
      </c>
      <c r="G15864" t="s">
        <v>32617</v>
      </c>
      <c r="H15864" t="s">
        <v>14201</v>
      </c>
      <c r="I15864" t="s">
        <v>6993</v>
      </c>
      <c r="J15864" t="s">
        <v>42577</v>
      </c>
      <c r="K15864" t="s">
        <v>42623</v>
      </c>
      <c r="M15864" t="s">
        <v>44323</v>
      </c>
      <c r="N15864" t="s">
        <v>47304</v>
      </c>
      <c r="O15864" t="s">
        <v>47305</v>
      </c>
      <c r="Q15864">
        <v>3</v>
      </c>
      <c r="R15864" t="s">
        <v>47383</v>
      </c>
      <c r="S15864" t="s">
        <v>48898</v>
      </c>
      <c r="T15864" t="s">
        <v>49140</v>
      </c>
      <c r="U15864" t="s">
        <v>62574</v>
      </c>
      <c r="W15864" t="s">
        <v>44323</v>
      </c>
      <c r="X15864" t="s">
        <v>64575</v>
      </c>
    </row>
    <row r="15865" spans="1:24">
      <c r="A15865">
        <f>HYPERLINK("https://www.philgeps.gov.ph/GEPSNONPILOT/Tender/SplashBidNoticeAbstractUI.aspx?menuIndex=3&amp;refID=6979366&amp;Result=3","6979366")</f>
        <v>0</v>
      </c>
      <c r="B15865" t="s">
        <v>429</v>
      </c>
      <c r="C15865" t="s">
        <v>18910</v>
      </c>
      <c r="D15865" t="s">
        <v>18993</v>
      </c>
      <c r="E15865" t="s">
        <v>32542</v>
      </c>
      <c r="F15865" t="s">
        <v>32606</v>
      </c>
      <c r="G15865" t="s">
        <v>32613</v>
      </c>
      <c r="H15865" t="s">
        <v>14201</v>
      </c>
      <c r="I15865" t="s">
        <v>32640</v>
      </c>
      <c r="J15865" t="s">
        <v>42578</v>
      </c>
      <c r="K15865" t="s">
        <v>42631</v>
      </c>
      <c r="M15865" t="s">
        <v>47300</v>
      </c>
      <c r="N15865" t="s">
        <v>47304</v>
      </c>
      <c r="O15865" t="s">
        <v>47305</v>
      </c>
      <c r="Q15865">
        <v>35</v>
      </c>
      <c r="R15865" t="s">
        <v>47384</v>
      </c>
      <c r="S15865" t="s">
        <v>48899</v>
      </c>
      <c r="T15865" t="s">
        <v>49141</v>
      </c>
      <c r="U15865" t="s">
        <v>62575</v>
      </c>
      <c r="W15865" t="s">
        <v>47300</v>
      </c>
      <c r="X15865" t="s">
        <v>64586</v>
      </c>
    </row>
    <row r="15866" spans="1:24">
      <c r="A15866">
        <f>HYPERLINK("https://www.philgeps.gov.ph/GEPSNONPILOT/Tender/SplashBidNoticeAbstractUI.aspx?menuIndex=3&amp;refID=6986391&amp;Result=3","6986391")</f>
        <v>0</v>
      </c>
      <c r="B15866" t="s">
        <v>1231</v>
      </c>
      <c r="C15866" t="s">
        <v>18911</v>
      </c>
      <c r="D15866" t="s">
        <v>19056</v>
      </c>
      <c r="E15866" t="s">
        <v>32543</v>
      </c>
      <c r="F15866" t="s">
        <v>32606</v>
      </c>
      <c r="G15866" t="s">
        <v>32613</v>
      </c>
      <c r="H15866" t="s">
        <v>32623</v>
      </c>
      <c r="I15866" t="s">
        <v>32656</v>
      </c>
      <c r="J15866" t="s">
        <v>33757</v>
      </c>
      <c r="K15866" t="s">
        <v>42646</v>
      </c>
      <c r="M15866" t="s">
        <v>44196</v>
      </c>
      <c r="N15866" t="s">
        <v>47304</v>
      </c>
      <c r="O15866" t="s">
        <v>47305</v>
      </c>
      <c r="Q15866">
        <v>16</v>
      </c>
      <c r="R15866" t="s">
        <v>47383</v>
      </c>
      <c r="S15866" t="s">
        <v>48900</v>
      </c>
      <c r="T15866" t="s">
        <v>49547</v>
      </c>
      <c r="U15866" t="s">
        <v>62576</v>
      </c>
      <c r="W15866" t="s">
        <v>44196</v>
      </c>
      <c r="X15866" t="s">
        <v>64575</v>
      </c>
    </row>
    <row r="15867" spans="1:24">
      <c r="A15867">
        <f>HYPERLINK("https://www.philgeps.gov.ph/GEPSNONPILOT/Tender/SplashBidNoticeAbstractUI.aspx?menuIndex=3&amp;refID=6968422&amp;Result=3","6968422")</f>
        <v>0</v>
      </c>
      <c r="B15867" t="s">
        <v>1278</v>
      </c>
      <c r="C15867" t="s">
        <v>18912</v>
      </c>
      <c r="E15867" t="s">
        <v>32544</v>
      </c>
      <c r="F15867" t="s">
        <v>32606</v>
      </c>
      <c r="G15867" t="s">
        <v>32613</v>
      </c>
      <c r="H15867" t="s">
        <v>14201</v>
      </c>
      <c r="I15867" t="s">
        <v>32634</v>
      </c>
      <c r="J15867" t="s">
        <v>42579</v>
      </c>
      <c r="K15867" t="s">
        <v>42624</v>
      </c>
      <c r="M15867" t="s">
        <v>47293</v>
      </c>
      <c r="N15867" t="s">
        <v>47304</v>
      </c>
      <c r="O15867" t="s">
        <v>47305</v>
      </c>
      <c r="Q15867">
        <v>22</v>
      </c>
      <c r="R15867" t="s">
        <v>47379</v>
      </c>
      <c r="S15867" t="s">
        <v>48901</v>
      </c>
      <c r="T15867" t="s">
        <v>49268</v>
      </c>
      <c r="U15867" t="s">
        <v>62577</v>
      </c>
      <c r="W15867" t="s">
        <v>64564</v>
      </c>
      <c r="X15867" t="s">
        <v>64583</v>
      </c>
    </row>
    <row r="15868" spans="1:24">
      <c r="A15868">
        <f>HYPERLINK("https://www.philgeps.gov.ph/GEPSNONPILOT/Tender/SplashBidNoticeAbstractUI.aspx?menuIndex=3&amp;refID=6901255&amp;Result=3","6901255")</f>
        <v>0</v>
      </c>
      <c r="B15868" t="s">
        <v>1749</v>
      </c>
      <c r="C15868" t="s">
        <v>18913</v>
      </c>
      <c r="E15868" t="s">
        <v>32545</v>
      </c>
      <c r="F15868" t="s">
        <v>32606</v>
      </c>
      <c r="G15868" t="s">
        <v>32613</v>
      </c>
      <c r="H15868" t="s">
        <v>14201</v>
      </c>
      <c r="I15868" t="s">
        <v>32634</v>
      </c>
      <c r="J15868" t="s">
        <v>42580</v>
      </c>
      <c r="K15868" t="s">
        <v>42648</v>
      </c>
      <c r="M15868" t="s">
        <v>45934</v>
      </c>
      <c r="N15868" t="s">
        <v>47304</v>
      </c>
      <c r="O15868" t="s">
        <v>47305</v>
      </c>
      <c r="Q15868">
        <v>16</v>
      </c>
      <c r="R15868" t="s">
        <v>47385</v>
      </c>
      <c r="S15868" t="s">
        <v>48902</v>
      </c>
      <c r="T15868" t="s">
        <v>49107</v>
      </c>
      <c r="U15868" t="s">
        <v>62578</v>
      </c>
      <c r="W15868" t="s">
        <v>46485</v>
      </c>
      <c r="X15868" t="s">
        <v>64587</v>
      </c>
    </row>
    <row r="15869" spans="1:24">
      <c r="A15869">
        <f>HYPERLINK("https://www.philgeps.gov.ph/GEPSNONPILOT/Tender/SplashBidNoticeAbstractUI.aspx?menuIndex=3&amp;refID=6970817&amp;Result=3","6970817")</f>
        <v>0</v>
      </c>
      <c r="B15869" t="s">
        <v>1349</v>
      </c>
      <c r="C15869" t="s">
        <v>18914</v>
      </c>
      <c r="D15869" t="s">
        <v>19016</v>
      </c>
      <c r="E15869" t="s">
        <v>32546</v>
      </c>
      <c r="F15869" t="s">
        <v>32606</v>
      </c>
      <c r="G15869" t="s">
        <v>32614</v>
      </c>
      <c r="H15869" t="s">
        <v>14201</v>
      </c>
      <c r="I15869" t="s">
        <v>7577</v>
      </c>
      <c r="J15869" t="s">
        <v>32868</v>
      </c>
      <c r="K15869" t="s">
        <v>42623</v>
      </c>
      <c r="M15869" t="s">
        <v>44323</v>
      </c>
      <c r="N15869" t="s">
        <v>47304</v>
      </c>
      <c r="O15869" t="s">
        <v>47305</v>
      </c>
      <c r="Q15869">
        <v>4</v>
      </c>
      <c r="R15869" t="s">
        <v>47386</v>
      </c>
      <c r="S15869" t="s">
        <v>48903</v>
      </c>
      <c r="T15869" t="s">
        <v>49140</v>
      </c>
      <c r="U15869" t="s">
        <v>62579</v>
      </c>
      <c r="W15869" t="s">
        <v>44323</v>
      </c>
      <c r="X15869" t="s">
        <v>64588</v>
      </c>
    </row>
    <row r="15870" spans="1:24">
      <c r="A15870">
        <f>HYPERLINK("https://www.philgeps.gov.ph/GEPSNONPILOT/Tender/SplashBidNoticeAbstractUI.aspx?menuIndex=3&amp;refID=6932634&amp;Result=3","6932634")</f>
        <v>0</v>
      </c>
      <c r="B15870" t="s">
        <v>1115</v>
      </c>
      <c r="C15870" t="s">
        <v>18915</v>
      </c>
      <c r="D15870" t="s">
        <v>18993</v>
      </c>
      <c r="E15870" t="s">
        <v>18915</v>
      </c>
      <c r="F15870" t="s">
        <v>32606</v>
      </c>
      <c r="G15870" t="s">
        <v>32614</v>
      </c>
      <c r="H15870" t="s">
        <v>14201</v>
      </c>
      <c r="I15870" t="s">
        <v>32631</v>
      </c>
      <c r="J15870" t="s">
        <v>42581</v>
      </c>
      <c r="K15870" t="s">
        <v>42624</v>
      </c>
      <c r="M15870" t="s">
        <v>44076</v>
      </c>
      <c r="N15870" t="s">
        <v>47304</v>
      </c>
      <c r="O15870" t="s">
        <v>47305</v>
      </c>
      <c r="Q15870">
        <v>2</v>
      </c>
      <c r="R15870" t="s">
        <v>47387</v>
      </c>
      <c r="S15870" t="s">
        <v>48904</v>
      </c>
      <c r="T15870" t="s">
        <v>49108</v>
      </c>
      <c r="U15870" t="s">
        <v>62580</v>
      </c>
      <c r="W15870" t="s">
        <v>44076</v>
      </c>
      <c r="X15870" t="s">
        <v>64589</v>
      </c>
    </row>
    <row r="15871" spans="1:24">
      <c r="A15871">
        <f>HYPERLINK("https://www.philgeps.gov.ph/GEPSNONPILOT/Tender/SplashBidNoticeAbstractUI.aspx?menuIndex=3&amp;refID=6932630&amp;Result=3","6932630")</f>
        <v>0</v>
      </c>
      <c r="B15871" t="s">
        <v>1115</v>
      </c>
      <c r="C15871" t="s">
        <v>18916</v>
      </c>
      <c r="D15871" t="s">
        <v>18993</v>
      </c>
      <c r="E15871" t="s">
        <v>32547</v>
      </c>
      <c r="F15871" t="s">
        <v>32606</v>
      </c>
      <c r="G15871" t="s">
        <v>32614</v>
      </c>
      <c r="H15871" t="s">
        <v>14201</v>
      </c>
      <c r="I15871" t="s">
        <v>32658</v>
      </c>
      <c r="J15871" t="s">
        <v>33167</v>
      </c>
      <c r="K15871" t="s">
        <v>42624</v>
      </c>
      <c r="M15871" t="s">
        <v>44076</v>
      </c>
      <c r="N15871" t="s">
        <v>47304</v>
      </c>
      <c r="O15871" t="s">
        <v>47305</v>
      </c>
      <c r="Q15871">
        <v>4</v>
      </c>
      <c r="R15871" t="s">
        <v>47387</v>
      </c>
      <c r="S15871" t="s">
        <v>48905</v>
      </c>
      <c r="T15871" t="s">
        <v>49108</v>
      </c>
      <c r="U15871" t="s">
        <v>62581</v>
      </c>
      <c r="W15871" t="s">
        <v>44076</v>
      </c>
      <c r="X15871" t="s">
        <v>64589</v>
      </c>
    </row>
    <row r="15872" spans="1:24">
      <c r="A15872">
        <f>HYPERLINK("https://www.philgeps.gov.ph/GEPSNONPILOT/Tender/SplashBidNoticeAbstractUI.aspx?menuIndex=3&amp;refID=7022774&amp;Result=3","7022774")</f>
        <v>0</v>
      </c>
      <c r="B15872" t="s">
        <v>2009</v>
      </c>
      <c r="C15872" t="s">
        <v>18917</v>
      </c>
      <c r="D15872" t="s">
        <v>19049</v>
      </c>
      <c r="E15872" t="s">
        <v>32548</v>
      </c>
      <c r="F15872" t="s">
        <v>32606</v>
      </c>
      <c r="G15872" t="s">
        <v>32613</v>
      </c>
      <c r="H15872" t="s">
        <v>32623</v>
      </c>
      <c r="I15872" t="s">
        <v>17648</v>
      </c>
      <c r="J15872" t="s">
        <v>42582</v>
      </c>
      <c r="K15872" t="s">
        <v>42645</v>
      </c>
      <c r="L15872" t="s">
        <v>2009</v>
      </c>
      <c r="M15872" t="s">
        <v>45849</v>
      </c>
      <c r="N15872" t="s">
        <v>47304</v>
      </c>
      <c r="O15872" t="s">
        <v>47305</v>
      </c>
      <c r="Q15872">
        <v>1</v>
      </c>
      <c r="R15872" t="s">
        <v>47375</v>
      </c>
      <c r="S15872" t="s">
        <v>48906</v>
      </c>
      <c r="T15872" t="s">
        <v>48980</v>
      </c>
      <c r="U15872" t="s">
        <v>62582</v>
      </c>
      <c r="W15872" t="s">
        <v>45849</v>
      </c>
      <c r="X15872" t="s">
        <v>47374</v>
      </c>
    </row>
    <row r="15873" spans="1:24">
      <c r="A15873">
        <f>HYPERLINK("https://www.philgeps.gov.ph/GEPSNONPILOT/Tender/SplashBidNoticeAbstractUI.aspx?menuIndex=3&amp;refID=6932514&amp;Result=3","6932514")</f>
        <v>0</v>
      </c>
      <c r="B15873" t="s">
        <v>1749</v>
      </c>
      <c r="C15873" t="s">
        <v>18918</v>
      </c>
      <c r="E15873" t="s">
        <v>32549</v>
      </c>
      <c r="F15873" t="s">
        <v>32606</v>
      </c>
      <c r="G15873" t="s">
        <v>32613</v>
      </c>
      <c r="H15873" t="s">
        <v>14201</v>
      </c>
      <c r="I15873" t="s">
        <v>32716</v>
      </c>
      <c r="J15873" t="s">
        <v>42583</v>
      </c>
      <c r="K15873" t="s">
        <v>42646</v>
      </c>
      <c r="M15873" t="s">
        <v>44784</v>
      </c>
      <c r="N15873" t="s">
        <v>47304</v>
      </c>
      <c r="O15873" t="s">
        <v>47305</v>
      </c>
      <c r="Q15873">
        <v>26</v>
      </c>
      <c r="R15873" t="s">
        <v>47387</v>
      </c>
      <c r="S15873" t="s">
        <v>48907</v>
      </c>
      <c r="T15873" t="s">
        <v>48980</v>
      </c>
      <c r="U15873" t="s">
        <v>62583</v>
      </c>
      <c r="W15873" t="s">
        <v>44784</v>
      </c>
      <c r="X15873" t="s">
        <v>64589</v>
      </c>
    </row>
    <row r="15874" spans="1:24">
      <c r="A15874">
        <f>HYPERLINK("https://www.philgeps.gov.ph/GEPSNONPILOT/Tender/SplashBidNoticeAbstractUI.aspx?menuIndex=3&amp;refID=6934606&amp;Result=3","6934606")</f>
        <v>0</v>
      </c>
      <c r="B15874" t="s">
        <v>1500</v>
      </c>
      <c r="C15874" t="s">
        <v>18919</v>
      </c>
      <c r="D15874" t="s">
        <v>19064</v>
      </c>
      <c r="E15874" t="s">
        <v>32550</v>
      </c>
      <c r="F15874" t="s">
        <v>32606</v>
      </c>
      <c r="G15874" t="s">
        <v>32613</v>
      </c>
      <c r="H15874" t="s">
        <v>14201</v>
      </c>
      <c r="I15874" t="s">
        <v>4121</v>
      </c>
      <c r="J15874" t="s">
        <v>37515</v>
      </c>
      <c r="K15874" t="s">
        <v>42646</v>
      </c>
      <c r="M15874" t="s">
        <v>44496</v>
      </c>
      <c r="N15874" t="s">
        <v>47304</v>
      </c>
      <c r="O15874" t="s">
        <v>47305</v>
      </c>
      <c r="Q15874">
        <v>21</v>
      </c>
      <c r="R15874" t="s">
        <v>47388</v>
      </c>
      <c r="S15874" t="s">
        <v>48908</v>
      </c>
      <c r="T15874" t="s">
        <v>49390</v>
      </c>
      <c r="U15874" t="s">
        <v>62584</v>
      </c>
      <c r="W15874" t="s">
        <v>44496</v>
      </c>
      <c r="X15874" t="s">
        <v>47387</v>
      </c>
    </row>
    <row r="15875" spans="1:24">
      <c r="A15875">
        <f>HYPERLINK("https://www.philgeps.gov.ph/GEPSNONPILOT/Tender/SplashBidNoticeAbstractUI.aspx?menuIndex=3&amp;refID=6935839&amp;Result=3","6935839")</f>
        <v>0</v>
      </c>
      <c r="B15875" t="s">
        <v>1749</v>
      </c>
      <c r="C15875" t="s">
        <v>18920</v>
      </c>
      <c r="D15875" t="s">
        <v>18993</v>
      </c>
      <c r="E15875" t="s">
        <v>32551</v>
      </c>
      <c r="F15875" t="s">
        <v>32606</v>
      </c>
      <c r="G15875" t="s">
        <v>32613</v>
      </c>
      <c r="H15875" t="s">
        <v>14201</v>
      </c>
      <c r="I15875" t="s">
        <v>32655</v>
      </c>
      <c r="J15875" t="s">
        <v>42584</v>
      </c>
      <c r="K15875" t="s">
        <v>42648</v>
      </c>
      <c r="M15875" t="s">
        <v>44784</v>
      </c>
      <c r="N15875" t="s">
        <v>47304</v>
      </c>
      <c r="O15875" t="s">
        <v>47305</v>
      </c>
      <c r="Q15875">
        <v>17</v>
      </c>
      <c r="R15875" t="s">
        <v>47388</v>
      </c>
      <c r="S15875" t="s">
        <v>48909</v>
      </c>
      <c r="T15875" t="s">
        <v>48989</v>
      </c>
      <c r="U15875" t="s">
        <v>62585</v>
      </c>
      <c r="W15875" t="s">
        <v>44784</v>
      </c>
      <c r="X15875" t="s">
        <v>47387</v>
      </c>
    </row>
    <row r="15876" spans="1:24">
      <c r="A15876">
        <f>HYPERLINK("https://www.philgeps.gov.ph/GEPSNONPILOT/Tender/SplashBidNoticeAbstractUI.aspx?menuIndex=3&amp;refID=6932647&amp;Result=3","6932647")</f>
        <v>0</v>
      </c>
      <c r="B15876" t="s">
        <v>1115</v>
      </c>
      <c r="C15876" t="s">
        <v>18921</v>
      </c>
      <c r="D15876" t="s">
        <v>18993</v>
      </c>
      <c r="E15876" t="s">
        <v>18921</v>
      </c>
      <c r="F15876" t="s">
        <v>32606</v>
      </c>
      <c r="G15876" t="s">
        <v>32614</v>
      </c>
      <c r="H15876" t="s">
        <v>14201</v>
      </c>
      <c r="I15876" t="s">
        <v>13131</v>
      </c>
      <c r="J15876" t="s">
        <v>32949</v>
      </c>
      <c r="K15876" t="s">
        <v>42624</v>
      </c>
      <c r="M15876" t="s">
        <v>44076</v>
      </c>
      <c r="N15876" t="s">
        <v>47304</v>
      </c>
      <c r="O15876" t="s">
        <v>47305</v>
      </c>
      <c r="Q15876">
        <v>10</v>
      </c>
      <c r="R15876" t="s">
        <v>47388</v>
      </c>
      <c r="S15876" t="s">
        <v>48910</v>
      </c>
      <c r="T15876" t="s">
        <v>49269</v>
      </c>
      <c r="U15876" t="s">
        <v>62586</v>
      </c>
      <c r="W15876" t="s">
        <v>44076</v>
      </c>
      <c r="X15876" t="s">
        <v>47387</v>
      </c>
    </row>
    <row r="15877" spans="1:24">
      <c r="A15877">
        <f>HYPERLINK("https://www.philgeps.gov.ph/GEPSNONPILOT/Tender/SplashBidNoticeAbstractUI.aspx?menuIndex=3&amp;refID=6932645&amp;Result=3","6932645")</f>
        <v>0</v>
      </c>
      <c r="B15877" t="s">
        <v>1115</v>
      </c>
      <c r="C15877" t="s">
        <v>18922</v>
      </c>
      <c r="D15877" t="s">
        <v>18993</v>
      </c>
      <c r="E15877" t="s">
        <v>18922</v>
      </c>
      <c r="F15877" t="s">
        <v>32606</v>
      </c>
      <c r="G15877" t="s">
        <v>32614</v>
      </c>
      <c r="H15877" t="s">
        <v>14201</v>
      </c>
      <c r="I15877" t="s">
        <v>32636</v>
      </c>
      <c r="J15877" t="s">
        <v>37525</v>
      </c>
      <c r="K15877" t="s">
        <v>42624</v>
      </c>
      <c r="M15877" t="s">
        <v>44076</v>
      </c>
      <c r="N15877" t="s">
        <v>47304</v>
      </c>
      <c r="O15877" t="s">
        <v>47305</v>
      </c>
      <c r="Q15877">
        <v>3</v>
      </c>
      <c r="R15877" t="s">
        <v>47388</v>
      </c>
      <c r="S15877" t="s">
        <v>48911</v>
      </c>
      <c r="T15877" t="s">
        <v>49108</v>
      </c>
      <c r="U15877" t="s">
        <v>62587</v>
      </c>
      <c r="W15877" t="s">
        <v>44076</v>
      </c>
      <c r="X15877" t="s">
        <v>47387</v>
      </c>
    </row>
    <row r="15878" spans="1:24">
      <c r="A15878">
        <f>HYPERLINK("https://www.philgeps.gov.ph/GEPSNONPILOT/Tender/SplashBidNoticeAbstractUI.aspx?menuIndex=3&amp;refID=6932633&amp;Result=3","6932633")</f>
        <v>0</v>
      </c>
      <c r="B15878" t="s">
        <v>1115</v>
      </c>
      <c r="C15878" t="s">
        <v>18923</v>
      </c>
      <c r="D15878" t="s">
        <v>18993</v>
      </c>
      <c r="E15878" t="s">
        <v>18923</v>
      </c>
      <c r="F15878" t="s">
        <v>32606</v>
      </c>
      <c r="G15878" t="s">
        <v>32614</v>
      </c>
      <c r="H15878" t="s">
        <v>14201</v>
      </c>
      <c r="I15878" t="s">
        <v>32658</v>
      </c>
      <c r="J15878" t="s">
        <v>33551</v>
      </c>
      <c r="K15878" t="s">
        <v>42624</v>
      </c>
      <c r="M15878" t="s">
        <v>44076</v>
      </c>
      <c r="N15878" t="s">
        <v>47304</v>
      </c>
      <c r="O15878" t="s">
        <v>47305</v>
      </c>
      <c r="Q15878">
        <v>4</v>
      </c>
      <c r="R15878" t="s">
        <v>47387</v>
      </c>
      <c r="S15878" t="s">
        <v>48912</v>
      </c>
      <c r="T15878" t="s">
        <v>49108</v>
      </c>
      <c r="U15878" t="s">
        <v>62588</v>
      </c>
      <c r="W15878" t="s">
        <v>44076</v>
      </c>
      <c r="X15878" t="s">
        <v>64589</v>
      </c>
    </row>
    <row r="15879" spans="1:24">
      <c r="A15879">
        <f>HYPERLINK("https://www.philgeps.gov.ph/GEPSNONPILOT/Tender/SplashBidNoticeAbstractUI.aspx?menuIndex=3&amp;refID=6932638&amp;Result=3","6932638")</f>
        <v>0</v>
      </c>
      <c r="B15879" t="s">
        <v>1115</v>
      </c>
      <c r="C15879" t="s">
        <v>18924</v>
      </c>
      <c r="D15879" t="s">
        <v>18993</v>
      </c>
      <c r="E15879" t="s">
        <v>32552</v>
      </c>
      <c r="F15879" t="s">
        <v>32606</v>
      </c>
      <c r="G15879" t="s">
        <v>32614</v>
      </c>
      <c r="H15879" t="s">
        <v>14201</v>
      </c>
      <c r="I15879" t="s">
        <v>32631</v>
      </c>
      <c r="J15879" t="s">
        <v>42585</v>
      </c>
      <c r="K15879" t="s">
        <v>42624</v>
      </c>
      <c r="M15879" t="s">
        <v>44076</v>
      </c>
      <c r="N15879" t="s">
        <v>47304</v>
      </c>
      <c r="O15879" t="s">
        <v>47305</v>
      </c>
      <c r="Q15879">
        <v>1</v>
      </c>
      <c r="R15879" t="s">
        <v>47387</v>
      </c>
      <c r="S15879" t="s">
        <v>48913</v>
      </c>
      <c r="T15879" t="s">
        <v>49108</v>
      </c>
      <c r="U15879" t="s">
        <v>62589</v>
      </c>
      <c r="W15879" t="s">
        <v>44076</v>
      </c>
      <c r="X15879" t="s">
        <v>64589</v>
      </c>
    </row>
    <row r="15880" spans="1:24">
      <c r="A15880">
        <f>HYPERLINK("https://www.philgeps.gov.ph/GEPSNONPILOT/Tender/SplashBidNoticeAbstractUI.aspx?menuIndex=3&amp;refID=6932642&amp;Result=3","6932642")</f>
        <v>0</v>
      </c>
      <c r="B15880" t="s">
        <v>1115</v>
      </c>
      <c r="C15880" t="s">
        <v>18925</v>
      </c>
      <c r="D15880" t="s">
        <v>18993</v>
      </c>
      <c r="E15880" t="s">
        <v>18925</v>
      </c>
      <c r="F15880" t="s">
        <v>32606</v>
      </c>
      <c r="G15880" t="s">
        <v>32614</v>
      </c>
      <c r="H15880" t="s">
        <v>14201</v>
      </c>
      <c r="I15880" t="s">
        <v>32658</v>
      </c>
      <c r="J15880" t="s">
        <v>34682</v>
      </c>
      <c r="K15880" t="s">
        <v>42624</v>
      </c>
      <c r="M15880" t="s">
        <v>44076</v>
      </c>
      <c r="N15880" t="s">
        <v>47304</v>
      </c>
      <c r="O15880" t="s">
        <v>47305</v>
      </c>
      <c r="Q15880">
        <v>10</v>
      </c>
      <c r="R15880" t="s">
        <v>47388</v>
      </c>
      <c r="S15880" t="s">
        <v>48914</v>
      </c>
      <c r="T15880" t="s">
        <v>49108</v>
      </c>
      <c r="U15880" t="s">
        <v>62590</v>
      </c>
      <c r="W15880" t="s">
        <v>44076</v>
      </c>
      <c r="X15880" t="s">
        <v>47387</v>
      </c>
    </row>
    <row r="15881" spans="1:24">
      <c r="A15881">
        <f>HYPERLINK("https://www.philgeps.gov.ph/GEPSNONPILOT/Tender/SplashBidNoticeAbstractUI.aspx?menuIndex=3&amp;refID=6923450&amp;Result=3","6923450")</f>
        <v>0</v>
      </c>
      <c r="B15881" t="s">
        <v>2824</v>
      </c>
      <c r="C15881" t="s">
        <v>18926</v>
      </c>
      <c r="D15881" t="s">
        <v>18993</v>
      </c>
      <c r="E15881" t="s">
        <v>32553</v>
      </c>
      <c r="F15881" t="s">
        <v>32606</v>
      </c>
      <c r="G15881" t="s">
        <v>32613</v>
      </c>
      <c r="H15881" t="s">
        <v>32623</v>
      </c>
      <c r="I15881" t="s">
        <v>17648</v>
      </c>
      <c r="J15881" t="s">
        <v>42586</v>
      </c>
      <c r="K15881" t="s">
        <v>42651</v>
      </c>
      <c r="M15881" t="s">
        <v>45988</v>
      </c>
      <c r="N15881" t="s">
        <v>47304</v>
      </c>
      <c r="O15881" t="s">
        <v>47305</v>
      </c>
      <c r="Q15881">
        <v>63</v>
      </c>
      <c r="R15881" t="s">
        <v>47385</v>
      </c>
      <c r="S15881" t="s">
        <v>48915</v>
      </c>
      <c r="T15881" t="s">
        <v>48996</v>
      </c>
      <c r="U15881" t="s">
        <v>62591</v>
      </c>
      <c r="W15881" t="s">
        <v>45988</v>
      </c>
      <c r="X15881" t="s">
        <v>64590</v>
      </c>
    </row>
    <row r="15882" spans="1:24">
      <c r="A15882">
        <f>HYPERLINK("https://www.philgeps.gov.ph/GEPSNONPILOT/Tender/SplashBidNoticeAbstractUI.aspx?menuIndex=3&amp;refID=6906186&amp;Result=3","6906186")</f>
        <v>0</v>
      </c>
      <c r="B15882" t="s">
        <v>384</v>
      </c>
      <c r="C15882" t="s">
        <v>18927</v>
      </c>
      <c r="D15882" t="s">
        <v>18995</v>
      </c>
      <c r="E15882" t="s">
        <v>22091</v>
      </c>
      <c r="F15882" t="s">
        <v>32606</v>
      </c>
      <c r="G15882" t="s">
        <v>32613</v>
      </c>
      <c r="H15882" t="s">
        <v>32623</v>
      </c>
      <c r="I15882" t="s">
        <v>17648</v>
      </c>
      <c r="J15882" t="s">
        <v>42587</v>
      </c>
      <c r="K15882" t="s">
        <v>42706</v>
      </c>
      <c r="M15882" t="s">
        <v>43287</v>
      </c>
      <c r="N15882" t="s">
        <v>47304</v>
      </c>
      <c r="O15882" t="s">
        <v>47305</v>
      </c>
      <c r="Q15882">
        <v>4</v>
      </c>
      <c r="R15882" t="s">
        <v>47389</v>
      </c>
      <c r="S15882" t="s">
        <v>48916</v>
      </c>
      <c r="T15882" t="s">
        <v>49548</v>
      </c>
      <c r="U15882" t="s">
        <v>62592</v>
      </c>
      <c r="W15882" t="s">
        <v>43287</v>
      </c>
      <c r="X15882" t="s">
        <v>47393</v>
      </c>
    </row>
    <row r="15883" spans="1:24">
      <c r="A15883">
        <f>HYPERLINK("https://www.philgeps.gov.ph/GEPSNONPILOT/Tender/SplashBidNoticeAbstractUI.aspx?menuIndex=3&amp;refID=6932648&amp;Result=3","6932648")</f>
        <v>0</v>
      </c>
      <c r="B15883" t="s">
        <v>1115</v>
      </c>
      <c r="C15883" t="s">
        <v>18928</v>
      </c>
      <c r="D15883" t="s">
        <v>18993</v>
      </c>
      <c r="E15883" t="s">
        <v>32554</v>
      </c>
      <c r="F15883" t="s">
        <v>32606</v>
      </c>
      <c r="G15883" t="s">
        <v>32614</v>
      </c>
      <c r="H15883" t="s">
        <v>14201</v>
      </c>
      <c r="I15883" t="s">
        <v>32658</v>
      </c>
      <c r="J15883" t="s">
        <v>42588</v>
      </c>
      <c r="K15883" t="s">
        <v>42624</v>
      </c>
      <c r="M15883" t="s">
        <v>44076</v>
      </c>
      <c r="N15883" t="s">
        <v>47304</v>
      </c>
      <c r="O15883" t="s">
        <v>47305</v>
      </c>
      <c r="Q15883">
        <v>0</v>
      </c>
      <c r="R15883" t="s">
        <v>47388</v>
      </c>
      <c r="S15883" t="s">
        <v>48917</v>
      </c>
      <c r="T15883" t="s">
        <v>49108</v>
      </c>
      <c r="U15883" t="s">
        <v>62593</v>
      </c>
      <c r="W15883" t="s">
        <v>44076</v>
      </c>
      <c r="X15883" t="s">
        <v>47387</v>
      </c>
    </row>
    <row r="15884" spans="1:24">
      <c r="A15884">
        <f>HYPERLINK("https://www.philgeps.gov.ph/GEPSNONPILOT/Tender/SplashBidNoticeAbstractUI.aspx?menuIndex=3&amp;refID=6889205&amp;Result=3","6889205")</f>
        <v>0</v>
      </c>
      <c r="B15884" t="s">
        <v>3064</v>
      </c>
      <c r="C15884" t="s">
        <v>18929</v>
      </c>
      <c r="D15884" t="s">
        <v>19008</v>
      </c>
      <c r="E15884" t="s">
        <v>32555</v>
      </c>
      <c r="F15884" t="s">
        <v>32606</v>
      </c>
      <c r="G15884" t="s">
        <v>32614</v>
      </c>
      <c r="H15884" t="s">
        <v>14201</v>
      </c>
      <c r="I15884" t="s">
        <v>32635</v>
      </c>
      <c r="J15884" t="s">
        <v>32752</v>
      </c>
      <c r="K15884" t="s">
        <v>42623</v>
      </c>
      <c r="M15884" t="s">
        <v>46263</v>
      </c>
      <c r="N15884" t="s">
        <v>47304</v>
      </c>
      <c r="O15884" t="s">
        <v>47305</v>
      </c>
      <c r="Q15884">
        <v>1</v>
      </c>
      <c r="R15884" t="s">
        <v>47390</v>
      </c>
      <c r="S15884" t="s">
        <v>48918</v>
      </c>
      <c r="T15884" t="s">
        <v>49331</v>
      </c>
      <c r="U15884" t="s">
        <v>62594</v>
      </c>
      <c r="W15884" t="s">
        <v>46263</v>
      </c>
      <c r="X15884" t="s">
        <v>47395</v>
      </c>
    </row>
    <row r="15885" spans="1:24">
      <c r="A15885">
        <f>HYPERLINK("https://www.philgeps.gov.ph/GEPSNONPILOT/Tender/SplashBidNoticeAbstractUI.aspx?menuIndex=3&amp;refID=6897990&amp;Result=3","6897990")</f>
        <v>0</v>
      </c>
      <c r="B15885" t="s">
        <v>2441</v>
      </c>
      <c r="C15885" t="s">
        <v>18930</v>
      </c>
      <c r="D15885" t="s">
        <v>19016</v>
      </c>
      <c r="E15885" t="s">
        <v>32556</v>
      </c>
      <c r="F15885" t="s">
        <v>32606</v>
      </c>
      <c r="G15885" t="s">
        <v>32613</v>
      </c>
      <c r="H15885" t="s">
        <v>32623</v>
      </c>
      <c r="I15885" t="s">
        <v>17648</v>
      </c>
      <c r="J15885" t="s">
        <v>39538</v>
      </c>
      <c r="K15885" t="s">
        <v>42831</v>
      </c>
      <c r="M15885" t="s">
        <v>45569</v>
      </c>
      <c r="N15885" t="s">
        <v>47304</v>
      </c>
      <c r="O15885" t="s">
        <v>47305</v>
      </c>
      <c r="Q15885">
        <v>68</v>
      </c>
      <c r="R15885" t="s">
        <v>47391</v>
      </c>
      <c r="S15885" t="s">
        <v>48919</v>
      </c>
      <c r="T15885" t="s">
        <v>49072</v>
      </c>
      <c r="U15885" t="s">
        <v>62565</v>
      </c>
      <c r="W15885" t="s">
        <v>45569</v>
      </c>
      <c r="X15885" t="s">
        <v>47397</v>
      </c>
    </row>
    <row r="15886" spans="1:24">
      <c r="A15886">
        <f>HYPERLINK("https://www.philgeps.gov.ph/GEPSNONPILOT/Tender/SplashBidNoticeAbstractUI.aspx?menuIndex=3&amp;refID=6932639&amp;Result=3","6932639")</f>
        <v>0</v>
      </c>
      <c r="B15886" t="s">
        <v>1115</v>
      </c>
      <c r="C15886" t="s">
        <v>18931</v>
      </c>
      <c r="D15886" t="s">
        <v>18993</v>
      </c>
      <c r="E15886" t="s">
        <v>18931</v>
      </c>
      <c r="F15886" t="s">
        <v>32606</v>
      </c>
      <c r="G15886" t="s">
        <v>32614</v>
      </c>
      <c r="H15886" t="s">
        <v>14201</v>
      </c>
      <c r="I15886" t="s">
        <v>32694</v>
      </c>
      <c r="J15886" t="s">
        <v>38412</v>
      </c>
      <c r="K15886" t="s">
        <v>42624</v>
      </c>
      <c r="M15886" t="s">
        <v>44076</v>
      </c>
      <c r="N15886" t="s">
        <v>47304</v>
      </c>
      <c r="O15886" t="s">
        <v>47305</v>
      </c>
      <c r="Q15886">
        <v>1</v>
      </c>
      <c r="R15886" t="s">
        <v>47387</v>
      </c>
      <c r="S15886" t="s">
        <v>48920</v>
      </c>
      <c r="T15886" t="s">
        <v>49108</v>
      </c>
      <c r="U15886" t="s">
        <v>62595</v>
      </c>
      <c r="W15886" t="s">
        <v>44076</v>
      </c>
      <c r="X15886" t="s">
        <v>64589</v>
      </c>
    </row>
    <row r="15887" spans="1:24">
      <c r="A15887">
        <f>HYPERLINK("https://www.philgeps.gov.ph/GEPSNONPILOT/Tender/SplashBidNoticeAbstractUI.aspx?menuIndex=3&amp;refID=6890206&amp;Result=3","6890206")</f>
        <v>0</v>
      </c>
      <c r="B15887" t="s">
        <v>3060</v>
      </c>
      <c r="C15887" t="s">
        <v>18932</v>
      </c>
      <c r="D15887" t="s">
        <v>18993</v>
      </c>
      <c r="E15887" t="s">
        <v>32557</v>
      </c>
      <c r="F15887" t="s">
        <v>32606</v>
      </c>
      <c r="G15887" t="s">
        <v>32613</v>
      </c>
      <c r="H15887" t="s">
        <v>32623</v>
      </c>
      <c r="I15887" t="s">
        <v>17648</v>
      </c>
      <c r="J15887" t="s">
        <v>42589</v>
      </c>
      <c r="K15887" t="s">
        <v>42819</v>
      </c>
      <c r="M15887" t="s">
        <v>46258</v>
      </c>
      <c r="N15887" t="s">
        <v>47304</v>
      </c>
      <c r="O15887" t="s">
        <v>47305</v>
      </c>
      <c r="Q15887">
        <v>31</v>
      </c>
      <c r="R15887" t="s">
        <v>47392</v>
      </c>
      <c r="S15887" t="s">
        <v>48921</v>
      </c>
      <c r="T15887" t="s">
        <v>49100</v>
      </c>
      <c r="U15887" t="s">
        <v>62596</v>
      </c>
      <c r="W15887" t="s">
        <v>46258</v>
      </c>
      <c r="X15887" t="s">
        <v>47390</v>
      </c>
    </row>
    <row r="15888" spans="1:24">
      <c r="A15888">
        <f>HYPERLINK("https://www.philgeps.gov.ph/GEPSNONPILOT/Tender/SplashBidNoticeAbstractUI.aspx?menuIndex=3&amp;refID=6902883&amp;Result=3","6902883")</f>
        <v>0</v>
      </c>
      <c r="B15888" t="s">
        <v>1749</v>
      </c>
      <c r="C15888" t="s">
        <v>18933</v>
      </c>
      <c r="D15888" t="s">
        <v>19004</v>
      </c>
      <c r="E15888" t="s">
        <v>32558</v>
      </c>
      <c r="F15888" t="s">
        <v>32606</v>
      </c>
      <c r="G15888" t="s">
        <v>32613</v>
      </c>
      <c r="H15888" t="s">
        <v>32623</v>
      </c>
      <c r="I15888" t="s">
        <v>32659</v>
      </c>
      <c r="J15888" t="s">
        <v>42590</v>
      </c>
      <c r="K15888" t="s">
        <v>42651</v>
      </c>
      <c r="M15888" t="s">
        <v>44784</v>
      </c>
      <c r="N15888" t="s">
        <v>47304</v>
      </c>
      <c r="O15888" t="s">
        <v>47305</v>
      </c>
      <c r="Q15888">
        <v>11</v>
      </c>
      <c r="R15888" t="s">
        <v>47393</v>
      </c>
      <c r="S15888" t="s">
        <v>48922</v>
      </c>
      <c r="T15888" t="s">
        <v>49116</v>
      </c>
      <c r="U15888" t="s">
        <v>62597</v>
      </c>
      <c r="W15888" t="s">
        <v>44784</v>
      </c>
      <c r="X15888" t="s">
        <v>64587</v>
      </c>
    </row>
    <row r="15889" spans="1:24">
      <c r="A15889">
        <f>HYPERLINK("https://www.philgeps.gov.ph/GEPSNONPILOT/Tender/SplashBidNoticeAbstractUI.aspx?menuIndex=3&amp;refID=6902157&amp;Result=3","6902157")</f>
        <v>0</v>
      </c>
      <c r="B15889" t="s">
        <v>3384</v>
      </c>
      <c r="C15889" t="s">
        <v>18934</v>
      </c>
      <c r="D15889" t="s">
        <v>18994</v>
      </c>
      <c r="E15889" t="s">
        <v>32559</v>
      </c>
      <c r="F15889" t="s">
        <v>32606</v>
      </c>
      <c r="G15889" t="s">
        <v>32613</v>
      </c>
      <c r="H15889" t="s">
        <v>32623</v>
      </c>
      <c r="I15889" t="s">
        <v>17648</v>
      </c>
      <c r="J15889" t="s">
        <v>42591</v>
      </c>
      <c r="K15889" t="s">
        <v>42712</v>
      </c>
      <c r="M15889" t="s">
        <v>46636</v>
      </c>
      <c r="N15889" t="s">
        <v>47304</v>
      </c>
      <c r="O15889" t="s">
        <v>47305</v>
      </c>
      <c r="Q15889">
        <v>12</v>
      </c>
      <c r="R15889" t="s">
        <v>47393</v>
      </c>
      <c r="S15889" t="s">
        <v>48923</v>
      </c>
      <c r="T15889" t="s">
        <v>48996</v>
      </c>
      <c r="U15889" t="s">
        <v>62598</v>
      </c>
      <c r="V15889" t="s">
        <v>64410</v>
      </c>
      <c r="W15889" t="s">
        <v>46636</v>
      </c>
      <c r="X15889" t="s">
        <v>64587</v>
      </c>
    </row>
    <row r="15890" spans="1:24">
      <c r="A15890">
        <f>HYPERLINK("https://www.philgeps.gov.ph/GEPSNONPILOT/Tender/SplashBidNoticeAbstractUI.aspx?menuIndex=3&amp;refID=6935605&amp;Result=3","6935605")</f>
        <v>0</v>
      </c>
      <c r="B15890" t="s">
        <v>1749</v>
      </c>
      <c r="C15890" t="s">
        <v>18935</v>
      </c>
      <c r="D15890" t="s">
        <v>18993</v>
      </c>
      <c r="E15890" t="s">
        <v>32560</v>
      </c>
      <c r="F15890" t="s">
        <v>32606</v>
      </c>
      <c r="G15890" t="s">
        <v>32613</v>
      </c>
      <c r="H15890" t="s">
        <v>14201</v>
      </c>
      <c r="I15890" t="s">
        <v>32716</v>
      </c>
      <c r="J15890" t="s">
        <v>42592</v>
      </c>
      <c r="K15890" t="s">
        <v>42645</v>
      </c>
      <c r="M15890" t="s">
        <v>44784</v>
      </c>
      <c r="N15890" t="s">
        <v>47304</v>
      </c>
      <c r="O15890" t="s">
        <v>47305</v>
      </c>
      <c r="Q15890">
        <v>17</v>
      </c>
      <c r="R15890" t="s">
        <v>47394</v>
      </c>
      <c r="S15890" t="s">
        <v>48924</v>
      </c>
      <c r="T15890" t="s">
        <v>49158</v>
      </c>
      <c r="U15890" t="s">
        <v>62599</v>
      </c>
      <c r="W15890" t="s">
        <v>44784</v>
      </c>
      <c r="X15890" t="s">
        <v>47387</v>
      </c>
    </row>
    <row r="15891" spans="1:24">
      <c r="A15891">
        <f>HYPERLINK("https://www.philgeps.gov.ph/GEPSNONPILOT/Tender/SplashBidNoticeAbstractUI.aspx?menuIndex=3&amp;refID=6901664&amp;Result=3","6901664")</f>
        <v>0</v>
      </c>
      <c r="B15891" t="s">
        <v>1828</v>
      </c>
      <c r="C15891" t="s">
        <v>18936</v>
      </c>
      <c r="D15891" t="s">
        <v>19014</v>
      </c>
      <c r="E15891" t="s">
        <v>32561</v>
      </c>
      <c r="F15891" t="s">
        <v>32606</v>
      </c>
      <c r="G15891" t="s">
        <v>32613</v>
      </c>
      <c r="H15891" t="s">
        <v>32623</v>
      </c>
      <c r="I15891" t="s">
        <v>17648</v>
      </c>
      <c r="J15891" t="s">
        <v>42593</v>
      </c>
      <c r="K15891" t="s">
        <v>42744</v>
      </c>
      <c r="M15891" t="s">
        <v>46330</v>
      </c>
      <c r="N15891" t="s">
        <v>47304</v>
      </c>
      <c r="O15891" t="s">
        <v>47305</v>
      </c>
      <c r="Q15891">
        <v>75</v>
      </c>
      <c r="R15891" t="s">
        <v>47393</v>
      </c>
      <c r="S15891" t="s">
        <v>48925</v>
      </c>
      <c r="T15891" t="s">
        <v>49075</v>
      </c>
      <c r="U15891" t="s">
        <v>62600</v>
      </c>
      <c r="V15891" t="s">
        <v>63748</v>
      </c>
      <c r="W15891" t="s">
        <v>46330</v>
      </c>
      <c r="X15891" t="s">
        <v>64587</v>
      </c>
    </row>
    <row r="15892" spans="1:24">
      <c r="A15892">
        <f>HYPERLINK("https://www.philgeps.gov.ph/GEPSNONPILOT/Tender/SplashBidNoticeAbstractUI.aspx?menuIndex=3&amp;refID=6901648&amp;Result=3","6901648")</f>
        <v>0</v>
      </c>
      <c r="B15892" t="s">
        <v>1828</v>
      </c>
      <c r="C15892" t="s">
        <v>18937</v>
      </c>
      <c r="D15892" t="s">
        <v>19014</v>
      </c>
      <c r="E15892" t="s">
        <v>32562</v>
      </c>
      <c r="F15892" t="s">
        <v>32606</v>
      </c>
      <c r="G15892" t="s">
        <v>32613</v>
      </c>
      <c r="H15892" t="s">
        <v>32623</v>
      </c>
      <c r="I15892" t="s">
        <v>17648</v>
      </c>
      <c r="J15892" t="s">
        <v>42594</v>
      </c>
      <c r="K15892" t="s">
        <v>42917</v>
      </c>
      <c r="M15892" t="s">
        <v>46330</v>
      </c>
      <c r="N15892" t="s">
        <v>47304</v>
      </c>
      <c r="O15892" t="s">
        <v>47305</v>
      </c>
      <c r="Q15892">
        <v>75</v>
      </c>
      <c r="R15892" t="s">
        <v>47393</v>
      </c>
      <c r="S15892" t="s">
        <v>48926</v>
      </c>
      <c r="T15892" t="s">
        <v>49037</v>
      </c>
      <c r="U15892" t="s">
        <v>62601</v>
      </c>
      <c r="V15892" t="s">
        <v>63748</v>
      </c>
      <c r="W15892" t="s">
        <v>46330</v>
      </c>
      <c r="X15892" t="s">
        <v>64587</v>
      </c>
    </row>
    <row r="15893" spans="1:24">
      <c r="A15893">
        <f>HYPERLINK("https://www.philgeps.gov.ph/GEPSNONPILOT/Tender/SplashBidNoticeAbstractUI.aspx?menuIndex=3&amp;refID=6905957&amp;Result=3","6905957")</f>
        <v>0</v>
      </c>
      <c r="B15893" t="s">
        <v>384</v>
      </c>
      <c r="C15893" t="s">
        <v>18938</v>
      </c>
      <c r="D15893" t="s">
        <v>18995</v>
      </c>
      <c r="E15893" t="s">
        <v>22091</v>
      </c>
      <c r="F15893" t="s">
        <v>32606</v>
      </c>
      <c r="G15893" t="s">
        <v>32613</v>
      </c>
      <c r="H15893" t="s">
        <v>32623</v>
      </c>
      <c r="I15893" t="s">
        <v>17648</v>
      </c>
      <c r="J15893" t="s">
        <v>42595</v>
      </c>
      <c r="K15893" t="s">
        <v>42752</v>
      </c>
      <c r="M15893" t="s">
        <v>43287</v>
      </c>
      <c r="N15893" t="s">
        <v>47304</v>
      </c>
      <c r="O15893" t="s">
        <v>47305</v>
      </c>
      <c r="Q15893">
        <v>7</v>
      </c>
      <c r="R15893" t="s">
        <v>47389</v>
      </c>
      <c r="S15893" t="s">
        <v>48927</v>
      </c>
      <c r="T15893" t="s">
        <v>49548</v>
      </c>
      <c r="U15893" t="s">
        <v>62602</v>
      </c>
      <c r="W15893" t="s">
        <v>43287</v>
      </c>
      <c r="X15893" t="s">
        <v>47393</v>
      </c>
    </row>
    <row r="15894" spans="1:24">
      <c r="A15894">
        <f>HYPERLINK("https://www.philgeps.gov.ph/GEPSNONPILOT/Tender/SplashBidNoticeAbstractUI.aspx?menuIndex=3&amp;refID=6903240&amp;Result=3","6903240")</f>
        <v>0</v>
      </c>
      <c r="B15894" t="s">
        <v>1057</v>
      </c>
      <c r="C15894" t="s">
        <v>18939</v>
      </c>
      <c r="D15894" t="s">
        <v>19036</v>
      </c>
      <c r="E15894" t="s">
        <v>32563</v>
      </c>
      <c r="F15894" t="s">
        <v>32606</v>
      </c>
      <c r="G15894" t="s">
        <v>32613</v>
      </c>
      <c r="H15894" t="s">
        <v>32623</v>
      </c>
      <c r="I15894" t="s">
        <v>17648</v>
      </c>
      <c r="J15894" t="s">
        <v>42596</v>
      </c>
      <c r="K15894" t="s">
        <v>42648</v>
      </c>
      <c r="M15894" t="s">
        <v>44010</v>
      </c>
      <c r="N15894" t="s">
        <v>47304</v>
      </c>
      <c r="O15894" t="s">
        <v>47305</v>
      </c>
      <c r="Q15894">
        <v>24</v>
      </c>
      <c r="R15894" t="s">
        <v>47393</v>
      </c>
      <c r="S15894" t="s">
        <v>48928</v>
      </c>
      <c r="T15894" t="s">
        <v>48980</v>
      </c>
      <c r="U15894" t="s">
        <v>62603</v>
      </c>
      <c r="V15894" t="s">
        <v>64411</v>
      </c>
      <c r="W15894" t="s">
        <v>44010</v>
      </c>
      <c r="X15894" t="s">
        <v>64587</v>
      </c>
    </row>
    <row r="15895" spans="1:24">
      <c r="A15895">
        <f>HYPERLINK("https://www.philgeps.gov.ph/GEPSNONPILOT/Tender/SplashBidNoticeAbstractUI.aspx?menuIndex=3&amp;refID=6888227&amp;Result=3","6888227")</f>
        <v>0</v>
      </c>
      <c r="B15895" t="s">
        <v>519</v>
      </c>
      <c r="C15895" t="s">
        <v>18940</v>
      </c>
      <c r="E15895" t="s">
        <v>32564</v>
      </c>
      <c r="F15895" t="s">
        <v>32606</v>
      </c>
      <c r="G15895" t="s">
        <v>32614</v>
      </c>
      <c r="H15895" t="s">
        <v>14201</v>
      </c>
      <c r="I15895" t="s">
        <v>32652</v>
      </c>
      <c r="J15895" t="s">
        <v>42597</v>
      </c>
      <c r="K15895" t="s">
        <v>42624</v>
      </c>
      <c r="M15895" t="s">
        <v>43432</v>
      </c>
      <c r="N15895" t="s">
        <v>47304</v>
      </c>
      <c r="O15895" t="s">
        <v>47305</v>
      </c>
      <c r="Q15895">
        <v>1</v>
      </c>
      <c r="R15895" t="s">
        <v>47395</v>
      </c>
      <c r="S15895" t="s">
        <v>48929</v>
      </c>
      <c r="T15895" t="s">
        <v>49014</v>
      </c>
      <c r="U15895" t="s">
        <v>62604</v>
      </c>
      <c r="V15895" t="s">
        <v>64412</v>
      </c>
      <c r="W15895" t="s">
        <v>43432</v>
      </c>
      <c r="X15895" t="s">
        <v>64591</v>
      </c>
    </row>
    <row r="15896" spans="1:24">
      <c r="A15896">
        <f>HYPERLINK("https://www.philgeps.gov.ph/GEPSNONPILOT/Tender/SplashBidNoticeAbstractUI.aspx?menuIndex=3&amp;refID=6826106&amp;Result=3","6826106")</f>
        <v>0</v>
      </c>
      <c r="B15896" t="s">
        <v>3233</v>
      </c>
      <c r="C15896" t="s">
        <v>18941</v>
      </c>
      <c r="D15896" t="s">
        <v>19011</v>
      </c>
      <c r="E15896" t="s">
        <v>32565</v>
      </c>
      <c r="F15896" t="s">
        <v>32606</v>
      </c>
      <c r="G15896" t="s">
        <v>32613</v>
      </c>
      <c r="H15896" t="s">
        <v>32623</v>
      </c>
      <c r="I15896" t="s">
        <v>17648</v>
      </c>
      <c r="J15896" t="s">
        <v>37100</v>
      </c>
      <c r="K15896" t="s">
        <v>42636</v>
      </c>
      <c r="M15896" t="s">
        <v>46464</v>
      </c>
      <c r="N15896" t="s">
        <v>47304</v>
      </c>
      <c r="O15896" t="s">
        <v>47305</v>
      </c>
      <c r="Q15896">
        <v>2</v>
      </c>
      <c r="R15896" t="s">
        <v>47396</v>
      </c>
      <c r="S15896" t="s">
        <v>48930</v>
      </c>
      <c r="T15896" t="s">
        <v>48980</v>
      </c>
      <c r="U15896" t="s">
        <v>62605</v>
      </c>
      <c r="W15896" t="s">
        <v>46464</v>
      </c>
      <c r="X15896" t="s">
        <v>64592</v>
      </c>
    </row>
    <row r="15897" spans="1:24">
      <c r="A15897">
        <f>HYPERLINK("https://www.philgeps.gov.ph/GEPSNONPILOT/Tender/SplashBidNoticeAbstractUI.aspx?menuIndex=3&amp;refID=6872956&amp;Result=3","6872956")</f>
        <v>0</v>
      </c>
      <c r="B15897" t="s">
        <v>1749</v>
      </c>
      <c r="C15897" t="s">
        <v>18942</v>
      </c>
      <c r="D15897" t="s">
        <v>19028</v>
      </c>
      <c r="E15897" t="s">
        <v>32566</v>
      </c>
      <c r="F15897" t="s">
        <v>32606</v>
      </c>
      <c r="G15897" t="s">
        <v>32613</v>
      </c>
      <c r="H15897" t="s">
        <v>14201</v>
      </c>
      <c r="I15897" t="s">
        <v>6993</v>
      </c>
      <c r="J15897" t="s">
        <v>42598</v>
      </c>
      <c r="K15897" t="s">
        <v>42634</v>
      </c>
      <c r="M15897" t="s">
        <v>44784</v>
      </c>
      <c r="N15897" t="s">
        <v>47304</v>
      </c>
      <c r="O15897" t="s">
        <v>47305</v>
      </c>
      <c r="Q15897">
        <v>12</v>
      </c>
      <c r="R15897" t="s">
        <v>47397</v>
      </c>
      <c r="S15897" t="s">
        <v>48931</v>
      </c>
      <c r="T15897" t="s">
        <v>49010</v>
      </c>
      <c r="U15897" t="s">
        <v>62606</v>
      </c>
      <c r="W15897" t="s">
        <v>44784</v>
      </c>
      <c r="X15897" t="s">
        <v>64593</v>
      </c>
    </row>
    <row r="15898" spans="1:24">
      <c r="A15898">
        <f>HYPERLINK("https://www.philgeps.gov.ph/GEPSNONPILOT/Tender/SplashBidNoticeAbstractUI.aspx?menuIndex=3&amp;refID=6935391&amp;Result=3","6935391")</f>
        <v>0</v>
      </c>
      <c r="B15898" t="s">
        <v>1749</v>
      </c>
      <c r="C15898" t="s">
        <v>18943</v>
      </c>
      <c r="D15898" t="s">
        <v>18993</v>
      </c>
      <c r="E15898" t="s">
        <v>32567</v>
      </c>
      <c r="F15898" t="s">
        <v>32606</v>
      </c>
      <c r="G15898" t="s">
        <v>32613</v>
      </c>
      <c r="H15898" t="s">
        <v>14201</v>
      </c>
      <c r="I15898" t="s">
        <v>32716</v>
      </c>
      <c r="J15898" t="s">
        <v>42599</v>
      </c>
      <c r="K15898" t="s">
        <v>42648</v>
      </c>
      <c r="M15898" t="s">
        <v>44784</v>
      </c>
      <c r="N15898" t="s">
        <v>47304</v>
      </c>
      <c r="O15898" t="s">
        <v>47305</v>
      </c>
      <c r="Q15898">
        <v>21</v>
      </c>
      <c r="R15898" t="s">
        <v>47388</v>
      </c>
      <c r="S15898" t="s">
        <v>48932</v>
      </c>
      <c r="T15898" t="s">
        <v>49016</v>
      </c>
      <c r="U15898" t="s">
        <v>62607</v>
      </c>
      <c r="W15898" t="s">
        <v>44784</v>
      </c>
      <c r="X15898" t="s">
        <v>47387</v>
      </c>
    </row>
    <row r="15899" spans="1:24">
      <c r="A15899">
        <f>HYPERLINK("https://www.philgeps.gov.ph/GEPSNONPILOT/Tender/SplashBidNoticeAbstractUI.aspx?menuIndex=3&amp;refID=6814607&amp;Result=3","6814607")</f>
        <v>0</v>
      </c>
      <c r="B15899" t="s">
        <v>2525</v>
      </c>
      <c r="C15899" t="s">
        <v>18944</v>
      </c>
      <c r="D15899" t="s">
        <v>18993</v>
      </c>
      <c r="E15899" t="s">
        <v>32568</v>
      </c>
      <c r="F15899" t="s">
        <v>32606</v>
      </c>
      <c r="G15899" t="s">
        <v>32613</v>
      </c>
      <c r="H15899" t="s">
        <v>32623</v>
      </c>
      <c r="I15899" t="s">
        <v>17648</v>
      </c>
      <c r="J15899" t="s">
        <v>42600</v>
      </c>
      <c r="K15899" t="s">
        <v>42742</v>
      </c>
      <c r="M15899" t="s">
        <v>46470</v>
      </c>
      <c r="N15899" t="s">
        <v>47304</v>
      </c>
      <c r="O15899" t="s">
        <v>47305</v>
      </c>
      <c r="Q15899">
        <v>99</v>
      </c>
      <c r="R15899" t="s">
        <v>47398</v>
      </c>
      <c r="S15899" t="s">
        <v>48933</v>
      </c>
      <c r="T15899" t="s">
        <v>48979</v>
      </c>
      <c r="U15899" t="s">
        <v>58679</v>
      </c>
      <c r="V15899" t="s">
        <v>64413</v>
      </c>
      <c r="W15899" t="s">
        <v>46470</v>
      </c>
      <c r="X15899" t="s">
        <v>64594</v>
      </c>
    </row>
    <row r="15900" spans="1:24">
      <c r="A15900">
        <f>HYPERLINK("https://www.philgeps.gov.ph/GEPSNONPILOT/Tender/SplashBidNoticeAbstractUI.aspx?menuIndex=3&amp;refID=6826145&amp;Result=3","6826145")</f>
        <v>0</v>
      </c>
      <c r="B15900" t="s">
        <v>3233</v>
      </c>
      <c r="C15900" t="s">
        <v>18945</v>
      </c>
      <c r="E15900" t="s">
        <v>32569</v>
      </c>
      <c r="F15900" t="s">
        <v>32606</v>
      </c>
      <c r="G15900" t="s">
        <v>32613</v>
      </c>
      <c r="H15900" t="s">
        <v>32623</v>
      </c>
      <c r="I15900" t="s">
        <v>17648</v>
      </c>
      <c r="J15900" t="s">
        <v>40327</v>
      </c>
      <c r="K15900" t="s">
        <v>42694</v>
      </c>
      <c r="N15900" t="s">
        <v>47304</v>
      </c>
      <c r="O15900" t="s">
        <v>47305</v>
      </c>
      <c r="Q15900">
        <v>1</v>
      </c>
      <c r="R15900" t="s">
        <v>47396</v>
      </c>
      <c r="S15900" t="s">
        <v>48934</v>
      </c>
      <c r="T15900" t="s">
        <v>48980</v>
      </c>
      <c r="U15900" t="s">
        <v>50524</v>
      </c>
      <c r="W15900" t="s">
        <v>46464</v>
      </c>
      <c r="X15900" t="s">
        <v>64592</v>
      </c>
    </row>
    <row r="15901" spans="1:24">
      <c r="A15901">
        <f>HYPERLINK("https://www.philgeps.gov.ph/GEPSNONPILOT/Tender/SplashBidNoticeAbstractUI.aspx?menuIndex=3&amp;refID=6826117&amp;Result=3","6826117")</f>
        <v>0</v>
      </c>
      <c r="B15901" t="s">
        <v>3233</v>
      </c>
      <c r="C15901" t="s">
        <v>18946</v>
      </c>
      <c r="D15901" t="s">
        <v>19011</v>
      </c>
      <c r="E15901" t="s">
        <v>32570</v>
      </c>
      <c r="F15901" t="s">
        <v>32606</v>
      </c>
      <c r="G15901" t="s">
        <v>32613</v>
      </c>
      <c r="H15901" t="s">
        <v>32623</v>
      </c>
      <c r="I15901" t="s">
        <v>17648</v>
      </c>
      <c r="J15901" t="s">
        <v>40327</v>
      </c>
      <c r="K15901" t="s">
        <v>42694</v>
      </c>
      <c r="M15901" t="s">
        <v>46464</v>
      </c>
      <c r="N15901" t="s">
        <v>47304</v>
      </c>
      <c r="O15901" t="s">
        <v>47305</v>
      </c>
      <c r="Q15901">
        <v>1</v>
      </c>
      <c r="R15901" t="s">
        <v>47396</v>
      </c>
      <c r="S15901" t="s">
        <v>48935</v>
      </c>
      <c r="T15901" t="s">
        <v>48980</v>
      </c>
      <c r="U15901" t="s">
        <v>62605</v>
      </c>
      <c r="W15901" t="s">
        <v>46464</v>
      </c>
      <c r="X15901" t="s">
        <v>64592</v>
      </c>
    </row>
    <row r="15902" spans="1:24">
      <c r="A15902">
        <f>HYPERLINK("https://www.philgeps.gov.ph/GEPSNONPILOT/Tender/SplashBidNoticeAbstractUI.aspx?menuIndex=3&amp;refID=6841147&amp;Result=3","6841147")</f>
        <v>0</v>
      </c>
      <c r="B15902" t="s">
        <v>2824</v>
      </c>
      <c r="C15902" t="s">
        <v>18947</v>
      </c>
      <c r="D15902" t="s">
        <v>18993</v>
      </c>
      <c r="E15902" t="s">
        <v>32571</v>
      </c>
      <c r="F15902" t="s">
        <v>32606</v>
      </c>
      <c r="G15902" t="s">
        <v>32613</v>
      </c>
      <c r="H15902" t="s">
        <v>32623</v>
      </c>
      <c r="I15902" t="s">
        <v>17648</v>
      </c>
      <c r="J15902" t="s">
        <v>42601</v>
      </c>
      <c r="K15902" t="s">
        <v>42651</v>
      </c>
      <c r="M15902" t="s">
        <v>45988</v>
      </c>
      <c r="N15902" t="s">
        <v>47304</v>
      </c>
      <c r="O15902" t="s">
        <v>47305</v>
      </c>
      <c r="Q15902">
        <v>127</v>
      </c>
      <c r="R15902" t="s">
        <v>47399</v>
      </c>
      <c r="S15902" t="s">
        <v>48936</v>
      </c>
      <c r="T15902" t="s">
        <v>48996</v>
      </c>
      <c r="U15902" t="s">
        <v>62608</v>
      </c>
      <c r="W15902" t="s">
        <v>45988</v>
      </c>
      <c r="X15902" t="s">
        <v>64595</v>
      </c>
    </row>
    <row r="15903" spans="1:24">
      <c r="A15903">
        <f>HYPERLINK("https://www.philgeps.gov.ph/GEPSNONPILOT/Tender/SplashBidNoticeAbstractUI.aspx?menuIndex=3&amp;refID=6905855&amp;Result=3","6905855")</f>
        <v>0</v>
      </c>
      <c r="B15903" t="s">
        <v>384</v>
      </c>
      <c r="C15903" t="s">
        <v>18948</v>
      </c>
      <c r="D15903" t="s">
        <v>18995</v>
      </c>
      <c r="E15903" t="s">
        <v>22091</v>
      </c>
      <c r="F15903" t="s">
        <v>32606</v>
      </c>
      <c r="G15903" t="s">
        <v>32613</v>
      </c>
      <c r="H15903" t="s">
        <v>32623</v>
      </c>
      <c r="I15903" t="s">
        <v>17648</v>
      </c>
      <c r="J15903" t="s">
        <v>42602</v>
      </c>
      <c r="K15903" t="s">
        <v>42671</v>
      </c>
      <c r="M15903" t="s">
        <v>43287</v>
      </c>
      <c r="N15903" t="s">
        <v>47304</v>
      </c>
      <c r="O15903" t="s">
        <v>47305</v>
      </c>
      <c r="Q15903">
        <v>4</v>
      </c>
      <c r="R15903" t="s">
        <v>47389</v>
      </c>
      <c r="S15903" t="s">
        <v>48937</v>
      </c>
      <c r="T15903" t="s">
        <v>49548</v>
      </c>
      <c r="U15903" t="s">
        <v>62609</v>
      </c>
      <c r="W15903" t="s">
        <v>43287</v>
      </c>
      <c r="X15903" t="s">
        <v>47393</v>
      </c>
    </row>
    <row r="15904" spans="1:24">
      <c r="A15904">
        <f>HYPERLINK("https://www.philgeps.gov.ph/GEPSNONPILOT/Tender/SplashBidNoticeAbstractUI.aspx?menuIndex=3&amp;refID=6771902&amp;Result=3","6771902")</f>
        <v>0</v>
      </c>
      <c r="B15904" t="s">
        <v>3722</v>
      </c>
      <c r="C15904" t="s">
        <v>18949</v>
      </c>
      <c r="E15904" t="s">
        <v>32572</v>
      </c>
      <c r="F15904" t="s">
        <v>32606</v>
      </c>
      <c r="G15904" t="s">
        <v>32613</v>
      </c>
      <c r="H15904" t="s">
        <v>32623</v>
      </c>
      <c r="I15904" t="s">
        <v>17648</v>
      </c>
      <c r="J15904" t="s">
        <v>42603</v>
      </c>
      <c r="K15904" t="s">
        <v>42624</v>
      </c>
      <c r="M15904" t="s">
        <v>47301</v>
      </c>
      <c r="N15904" t="s">
        <v>47304</v>
      </c>
      <c r="O15904" t="s">
        <v>47305</v>
      </c>
      <c r="Q15904">
        <v>67</v>
      </c>
      <c r="R15904" t="s">
        <v>47400</v>
      </c>
      <c r="S15904" t="s">
        <v>48938</v>
      </c>
      <c r="T15904" t="s">
        <v>48989</v>
      </c>
      <c r="U15904" t="s">
        <v>62610</v>
      </c>
      <c r="W15904" t="s">
        <v>47301</v>
      </c>
      <c r="X15904" t="s">
        <v>64596</v>
      </c>
    </row>
    <row r="15905" spans="1:24">
      <c r="A15905">
        <f>HYPERLINK("https://www.philgeps.gov.ph/GEPSNONPILOT/Tender/SplashBidNoticeAbstractUI.aspx?menuIndex=3&amp;refID=6856050&amp;Result=3","6856050")</f>
        <v>0</v>
      </c>
      <c r="B15905" t="s">
        <v>1613</v>
      </c>
      <c r="C15905" t="s">
        <v>18950</v>
      </c>
      <c r="D15905" t="s">
        <v>19039</v>
      </c>
      <c r="E15905" t="s">
        <v>32573</v>
      </c>
      <c r="F15905" t="s">
        <v>32606</v>
      </c>
      <c r="G15905" t="s">
        <v>32613</v>
      </c>
      <c r="H15905" t="s">
        <v>32623</v>
      </c>
      <c r="I15905" t="s">
        <v>17648</v>
      </c>
      <c r="J15905" t="s">
        <v>40327</v>
      </c>
      <c r="K15905" t="s">
        <v>42682</v>
      </c>
      <c r="M15905" t="s">
        <v>47302</v>
      </c>
      <c r="N15905" t="s">
        <v>47304</v>
      </c>
      <c r="O15905" t="s">
        <v>47305</v>
      </c>
      <c r="Q15905">
        <v>4</v>
      </c>
      <c r="R15905" t="s">
        <v>47401</v>
      </c>
      <c r="S15905" t="s">
        <v>48939</v>
      </c>
      <c r="T15905" t="s">
        <v>48986</v>
      </c>
      <c r="U15905" t="s">
        <v>62611</v>
      </c>
      <c r="W15905" t="s">
        <v>47302</v>
      </c>
      <c r="X15905" t="s">
        <v>64566</v>
      </c>
    </row>
    <row r="15906" spans="1:24">
      <c r="A15906">
        <f>HYPERLINK("https://www.philgeps.gov.ph/GEPSNONPILOT/Tender/SplashBidNoticeAbstractUI.aspx?menuIndex=3&amp;refID=7021086&amp;Result=3","7021086")</f>
        <v>0</v>
      </c>
      <c r="B15906" t="s">
        <v>1278</v>
      </c>
      <c r="C15906" t="s">
        <v>18951</v>
      </c>
      <c r="E15906" t="s">
        <v>32574</v>
      </c>
      <c r="F15906" t="s">
        <v>32606</v>
      </c>
      <c r="G15906" t="s">
        <v>32613</v>
      </c>
      <c r="H15906" t="s">
        <v>14201</v>
      </c>
      <c r="I15906" t="s">
        <v>32640</v>
      </c>
      <c r="J15906" t="s">
        <v>34128</v>
      </c>
      <c r="K15906" t="s">
        <v>42624</v>
      </c>
      <c r="M15906" t="s">
        <v>47293</v>
      </c>
      <c r="N15906" t="s">
        <v>47304</v>
      </c>
      <c r="O15906" t="s">
        <v>47305</v>
      </c>
      <c r="Q15906">
        <v>23</v>
      </c>
      <c r="R15906" t="s">
        <v>47374</v>
      </c>
      <c r="S15906" t="s">
        <v>47891</v>
      </c>
      <c r="T15906" t="s">
        <v>49080</v>
      </c>
      <c r="U15906" t="s">
        <v>62612</v>
      </c>
      <c r="V15906" t="s">
        <v>64414</v>
      </c>
      <c r="W15906" t="s">
        <v>64565</v>
      </c>
      <c r="X15906" t="s">
        <v>64581</v>
      </c>
    </row>
    <row r="15907" spans="1:24">
      <c r="A15907">
        <f>HYPERLINK("https://www.philgeps.gov.ph/GEPSNONPILOT/Tender/SplashBidNoticeAbstractUI.aspx?menuIndex=3&amp;refID=6854658&amp;Result=3","6854658")</f>
        <v>0</v>
      </c>
      <c r="B15907" t="s">
        <v>1613</v>
      </c>
      <c r="C15907" t="s">
        <v>18952</v>
      </c>
      <c r="D15907" t="s">
        <v>19039</v>
      </c>
      <c r="E15907" t="s">
        <v>32575</v>
      </c>
      <c r="F15907" t="s">
        <v>32606</v>
      </c>
      <c r="G15907" t="s">
        <v>32613</v>
      </c>
      <c r="H15907" t="s">
        <v>32623</v>
      </c>
      <c r="I15907" t="s">
        <v>17648</v>
      </c>
      <c r="J15907" t="s">
        <v>38619</v>
      </c>
      <c r="K15907" t="s">
        <v>42646</v>
      </c>
      <c r="M15907" t="s">
        <v>47302</v>
      </c>
      <c r="N15907" t="s">
        <v>47304</v>
      </c>
      <c r="O15907" t="s">
        <v>47305</v>
      </c>
      <c r="Q15907">
        <v>4</v>
      </c>
      <c r="R15907" t="s">
        <v>47401</v>
      </c>
      <c r="S15907" t="s">
        <v>48940</v>
      </c>
      <c r="T15907" t="s">
        <v>48986</v>
      </c>
      <c r="U15907" t="s">
        <v>62611</v>
      </c>
      <c r="W15907" t="s">
        <v>47302</v>
      </c>
      <c r="X15907" t="s">
        <v>64566</v>
      </c>
    </row>
    <row r="15908" spans="1:24">
      <c r="A15908">
        <f>HYPERLINK("https://www.philgeps.gov.ph/GEPSNONPILOT/Tender/SplashBidNoticeAbstractUI.aspx?menuIndex=3&amp;refID=6854364&amp;Result=3","6854364")</f>
        <v>0</v>
      </c>
      <c r="B15908" t="s">
        <v>1613</v>
      </c>
      <c r="C15908" t="s">
        <v>18953</v>
      </c>
      <c r="D15908" t="s">
        <v>19039</v>
      </c>
      <c r="E15908" t="s">
        <v>32576</v>
      </c>
      <c r="F15908" t="s">
        <v>32606</v>
      </c>
      <c r="G15908" t="s">
        <v>32613</v>
      </c>
      <c r="H15908" t="s">
        <v>32623</v>
      </c>
      <c r="I15908" t="s">
        <v>17648</v>
      </c>
      <c r="J15908" t="s">
        <v>39629</v>
      </c>
      <c r="K15908" t="s">
        <v>42646</v>
      </c>
      <c r="M15908" t="s">
        <v>47302</v>
      </c>
      <c r="N15908" t="s">
        <v>47304</v>
      </c>
      <c r="O15908" t="s">
        <v>47305</v>
      </c>
      <c r="Q15908">
        <v>6</v>
      </c>
      <c r="R15908" t="s">
        <v>47401</v>
      </c>
      <c r="S15908" t="s">
        <v>48941</v>
      </c>
      <c r="T15908" t="s">
        <v>48986</v>
      </c>
      <c r="U15908" t="s">
        <v>62611</v>
      </c>
      <c r="W15908" t="s">
        <v>47302</v>
      </c>
      <c r="X15908" t="s">
        <v>64566</v>
      </c>
    </row>
    <row r="15909" spans="1:24">
      <c r="A15909">
        <f>HYPERLINK("https://www.philgeps.gov.ph/GEPSNONPILOT/Tender/SplashBidNoticeAbstractUI.aspx?menuIndex=3&amp;refID=6853872&amp;Result=3","6853872")</f>
        <v>0</v>
      </c>
      <c r="B15909" t="s">
        <v>1613</v>
      </c>
      <c r="C15909" t="s">
        <v>18954</v>
      </c>
      <c r="D15909" t="s">
        <v>19039</v>
      </c>
      <c r="E15909" t="s">
        <v>32577</v>
      </c>
      <c r="F15909" t="s">
        <v>32606</v>
      </c>
      <c r="G15909" t="s">
        <v>32613</v>
      </c>
      <c r="H15909" t="s">
        <v>32623</v>
      </c>
      <c r="I15909" t="s">
        <v>17648</v>
      </c>
      <c r="J15909" t="s">
        <v>34773</v>
      </c>
      <c r="K15909" t="s">
        <v>42646</v>
      </c>
      <c r="M15909" t="s">
        <v>47302</v>
      </c>
      <c r="N15909" t="s">
        <v>47304</v>
      </c>
      <c r="O15909" t="s">
        <v>47305</v>
      </c>
      <c r="Q15909">
        <v>4</v>
      </c>
      <c r="R15909" t="s">
        <v>47401</v>
      </c>
      <c r="S15909" t="s">
        <v>48942</v>
      </c>
      <c r="T15909" t="s">
        <v>48986</v>
      </c>
      <c r="U15909" t="s">
        <v>62611</v>
      </c>
      <c r="W15909" t="s">
        <v>47302</v>
      </c>
      <c r="X15909" t="s">
        <v>64566</v>
      </c>
    </row>
    <row r="15910" spans="1:24">
      <c r="A15910">
        <f>HYPERLINK("https://www.philgeps.gov.ph/GEPSNONPILOT/Tender/SplashBidNoticeAbstractUI.aspx?menuIndex=3&amp;refID=6863861&amp;Result=3","6863861")</f>
        <v>0</v>
      </c>
      <c r="B15910" t="s">
        <v>3915</v>
      </c>
      <c r="C15910" t="s">
        <v>18955</v>
      </c>
      <c r="D15910" t="s">
        <v>19013</v>
      </c>
      <c r="E15910" t="s">
        <v>32578</v>
      </c>
      <c r="F15910" t="s">
        <v>32606</v>
      </c>
      <c r="G15910" t="s">
        <v>32613</v>
      </c>
      <c r="H15910" t="s">
        <v>32623</v>
      </c>
      <c r="I15910" t="s">
        <v>17648</v>
      </c>
      <c r="J15910" t="s">
        <v>42604</v>
      </c>
      <c r="K15910" t="s">
        <v>42646</v>
      </c>
      <c r="M15910" t="s">
        <v>47303</v>
      </c>
      <c r="N15910" t="s">
        <v>47304</v>
      </c>
      <c r="O15910" t="s">
        <v>47305</v>
      </c>
      <c r="Q15910">
        <v>6</v>
      </c>
      <c r="R15910" t="s">
        <v>47402</v>
      </c>
      <c r="S15910" t="s">
        <v>48943</v>
      </c>
      <c r="T15910" t="s">
        <v>49023</v>
      </c>
      <c r="U15910" t="s">
        <v>62613</v>
      </c>
      <c r="W15910" t="s">
        <v>47303</v>
      </c>
      <c r="X15910" t="s">
        <v>47407</v>
      </c>
    </row>
    <row r="15911" spans="1:24">
      <c r="A15911">
        <f>HYPERLINK("https://www.philgeps.gov.ph/GEPSNONPILOT/Tender/SplashBidNoticeAbstractUI.aspx?menuIndex=3&amp;refID=6840310&amp;Result=3","6840310")</f>
        <v>0</v>
      </c>
      <c r="B15911" t="s">
        <v>1828</v>
      </c>
      <c r="C15911" t="s">
        <v>18956</v>
      </c>
      <c r="D15911" t="s">
        <v>19014</v>
      </c>
      <c r="E15911" t="s">
        <v>32579</v>
      </c>
      <c r="F15911" t="s">
        <v>32606</v>
      </c>
      <c r="G15911" t="s">
        <v>32613</v>
      </c>
      <c r="H15911" t="s">
        <v>32623</v>
      </c>
      <c r="I15911" t="s">
        <v>17648</v>
      </c>
      <c r="J15911" t="s">
        <v>42605</v>
      </c>
      <c r="K15911" t="s">
        <v>42918</v>
      </c>
      <c r="M15911" t="s">
        <v>46330</v>
      </c>
      <c r="N15911" t="s">
        <v>47304</v>
      </c>
      <c r="O15911" t="s">
        <v>47305</v>
      </c>
      <c r="Q15911">
        <v>50</v>
      </c>
      <c r="R15911" t="s">
        <v>47399</v>
      </c>
      <c r="S15911" t="s">
        <v>48944</v>
      </c>
      <c r="T15911" t="s">
        <v>49111</v>
      </c>
      <c r="U15911" t="s">
        <v>62614</v>
      </c>
      <c r="V15911" t="s">
        <v>64415</v>
      </c>
      <c r="W15911" t="s">
        <v>46330</v>
      </c>
      <c r="X15911" t="s">
        <v>64595</v>
      </c>
    </row>
    <row r="15912" spans="1:24">
      <c r="A15912">
        <f>HYPERLINK("https://www.philgeps.gov.ph/GEPSNONPILOT/Tender/SplashBidNoticeAbstractUI.aspx?menuIndex=3&amp;refID=6868163&amp;Result=3","6868163")</f>
        <v>0</v>
      </c>
      <c r="B15912" t="s">
        <v>1749</v>
      </c>
      <c r="C15912" t="s">
        <v>18957</v>
      </c>
      <c r="E15912" t="s">
        <v>32580</v>
      </c>
      <c r="F15912" t="s">
        <v>32606</v>
      </c>
      <c r="G15912" t="s">
        <v>32613</v>
      </c>
      <c r="H15912" t="s">
        <v>14201</v>
      </c>
      <c r="I15912" t="s">
        <v>32655</v>
      </c>
      <c r="J15912" t="s">
        <v>42606</v>
      </c>
      <c r="K15912" t="s">
        <v>42636</v>
      </c>
      <c r="M15912" t="s">
        <v>45934</v>
      </c>
      <c r="N15912" t="s">
        <v>47304</v>
      </c>
      <c r="O15912" t="s">
        <v>47305</v>
      </c>
      <c r="Q15912">
        <v>32</v>
      </c>
      <c r="R15912" t="s">
        <v>47403</v>
      </c>
      <c r="S15912" t="s">
        <v>48945</v>
      </c>
      <c r="T15912" t="s">
        <v>49002</v>
      </c>
      <c r="U15912" t="s">
        <v>62615</v>
      </c>
      <c r="W15912" t="s">
        <v>46485</v>
      </c>
      <c r="X15912" t="s">
        <v>64597</v>
      </c>
    </row>
    <row r="15913" spans="1:24">
      <c r="A15913">
        <f>HYPERLINK("https://www.philgeps.gov.ph/GEPSNONPILOT/Tender/SplashBidNoticeAbstractUI.aspx?menuIndex=3&amp;refID=7018207&amp;Result=3","7018207")</f>
        <v>0</v>
      </c>
      <c r="B15913" t="s">
        <v>3865</v>
      </c>
      <c r="C15913" t="s">
        <v>18958</v>
      </c>
      <c r="D15913" t="s">
        <v>19003</v>
      </c>
      <c r="E15913" t="s">
        <v>32581</v>
      </c>
      <c r="F15913" t="s">
        <v>32606</v>
      </c>
      <c r="G15913" t="s">
        <v>32613</v>
      </c>
      <c r="H15913" t="s">
        <v>32623</v>
      </c>
      <c r="I15913" t="s">
        <v>17648</v>
      </c>
      <c r="J15913" t="s">
        <v>33871</v>
      </c>
      <c r="K15913" t="s">
        <v>42648</v>
      </c>
      <c r="M15913" t="s">
        <v>47220</v>
      </c>
      <c r="N15913" t="s">
        <v>47304</v>
      </c>
      <c r="O15913" t="s">
        <v>47305</v>
      </c>
      <c r="Q15913">
        <v>13</v>
      </c>
      <c r="R15913" t="s">
        <v>47373</v>
      </c>
      <c r="S15913" t="s">
        <v>48946</v>
      </c>
      <c r="T15913" t="s">
        <v>48980</v>
      </c>
      <c r="U15913" t="s">
        <v>62616</v>
      </c>
      <c r="W15913" t="s">
        <v>47220</v>
      </c>
      <c r="X15913" t="s">
        <v>47413</v>
      </c>
    </row>
    <row r="15914" spans="1:24">
      <c r="A15914">
        <f>HYPERLINK("https://www.philgeps.gov.ph/GEPSNONPILOT/Tender/SplashBidNoticeAbstractUI.aspx?menuIndex=3&amp;refID=6856036&amp;Result=3","6856036")</f>
        <v>0</v>
      </c>
      <c r="B15914" t="s">
        <v>1613</v>
      </c>
      <c r="C15914" t="s">
        <v>18959</v>
      </c>
      <c r="D15914" t="s">
        <v>19039</v>
      </c>
      <c r="E15914" t="s">
        <v>32582</v>
      </c>
      <c r="F15914" t="s">
        <v>32606</v>
      </c>
      <c r="G15914" t="s">
        <v>32613</v>
      </c>
      <c r="H15914" t="s">
        <v>32623</v>
      </c>
      <c r="I15914" t="s">
        <v>17648</v>
      </c>
      <c r="J15914" t="s">
        <v>39629</v>
      </c>
      <c r="K15914" t="s">
        <v>42645</v>
      </c>
      <c r="M15914" t="s">
        <v>47302</v>
      </c>
      <c r="N15914" t="s">
        <v>47304</v>
      </c>
      <c r="O15914" t="s">
        <v>47305</v>
      </c>
      <c r="Q15914">
        <v>7</v>
      </c>
      <c r="R15914" t="s">
        <v>47401</v>
      </c>
      <c r="S15914" t="s">
        <v>47593</v>
      </c>
      <c r="T15914" t="s">
        <v>48986</v>
      </c>
      <c r="U15914" t="s">
        <v>62611</v>
      </c>
      <c r="W15914" t="s">
        <v>47302</v>
      </c>
      <c r="X15914" t="s">
        <v>64566</v>
      </c>
    </row>
    <row r="15915" spans="1:24">
      <c r="A15915">
        <f>HYPERLINK("https://www.philgeps.gov.ph/GEPSNONPILOT/Tender/SplashBidNoticeAbstractUI.aspx?menuIndex=3&amp;refID=6879518&amp;Result=3","6879518")</f>
        <v>0</v>
      </c>
      <c r="B15915" t="s">
        <v>1749</v>
      </c>
      <c r="C15915" t="s">
        <v>18960</v>
      </c>
      <c r="D15915" t="s">
        <v>18993</v>
      </c>
      <c r="E15915" t="s">
        <v>32583</v>
      </c>
      <c r="F15915" t="s">
        <v>32606</v>
      </c>
      <c r="G15915" t="s">
        <v>32613</v>
      </c>
      <c r="H15915" t="s">
        <v>14201</v>
      </c>
      <c r="I15915" t="s">
        <v>32716</v>
      </c>
      <c r="J15915" t="s">
        <v>42607</v>
      </c>
      <c r="K15915" t="s">
        <v>42645</v>
      </c>
      <c r="M15915" t="s">
        <v>44784</v>
      </c>
      <c r="N15915" t="s">
        <v>47304</v>
      </c>
      <c r="O15915" t="s">
        <v>47305</v>
      </c>
      <c r="Q15915">
        <v>8</v>
      </c>
      <c r="R15915" t="s">
        <v>47404</v>
      </c>
      <c r="S15915" t="s">
        <v>48947</v>
      </c>
      <c r="T15915" t="s">
        <v>49019</v>
      </c>
      <c r="U15915" t="s">
        <v>62617</v>
      </c>
      <c r="W15915" t="s">
        <v>44784</v>
      </c>
      <c r="X15915" t="s">
        <v>47403</v>
      </c>
    </row>
    <row r="15916" spans="1:24">
      <c r="A15916">
        <f>HYPERLINK("https://www.philgeps.gov.ph/GEPSNONPILOT/Tender/SplashBidNoticeAbstractUI.aspx?menuIndex=3&amp;refID=6905816&amp;Result=3","6905816")</f>
        <v>0</v>
      </c>
      <c r="B15916" t="s">
        <v>1749</v>
      </c>
      <c r="C15916" t="s">
        <v>18961</v>
      </c>
      <c r="D15916" t="s">
        <v>18993</v>
      </c>
      <c r="E15916" t="s">
        <v>32584</v>
      </c>
      <c r="F15916" t="s">
        <v>32606</v>
      </c>
      <c r="G15916" t="s">
        <v>32613</v>
      </c>
      <c r="H15916" t="s">
        <v>32623</v>
      </c>
      <c r="I15916" t="s">
        <v>32659</v>
      </c>
      <c r="J15916" t="s">
        <v>42608</v>
      </c>
      <c r="K15916" t="s">
        <v>42712</v>
      </c>
      <c r="M15916" t="s">
        <v>44784</v>
      </c>
      <c r="N15916" t="s">
        <v>47304</v>
      </c>
      <c r="O15916" t="s">
        <v>47305</v>
      </c>
      <c r="Q15916">
        <v>11</v>
      </c>
      <c r="R15916" t="s">
        <v>47405</v>
      </c>
      <c r="S15916" t="s">
        <v>48948</v>
      </c>
      <c r="T15916" t="s">
        <v>48999</v>
      </c>
      <c r="U15916" t="s">
        <v>62618</v>
      </c>
      <c r="W15916" t="s">
        <v>44784</v>
      </c>
      <c r="X15916" t="s">
        <v>47393</v>
      </c>
    </row>
    <row r="15917" spans="1:24">
      <c r="A15917">
        <f>HYPERLINK("https://www.philgeps.gov.ph/GEPSNONPILOT/Tender/SplashBidNoticeAbstractUI.aspx?menuIndex=3&amp;refID=6814601&amp;Result=3","6814601")</f>
        <v>0</v>
      </c>
      <c r="B15917" t="s">
        <v>2525</v>
      </c>
      <c r="C15917" t="s">
        <v>18962</v>
      </c>
      <c r="D15917" t="s">
        <v>18993</v>
      </c>
      <c r="E15917" t="s">
        <v>32585</v>
      </c>
      <c r="F15917" t="s">
        <v>32606</v>
      </c>
      <c r="G15917" t="s">
        <v>32613</v>
      </c>
      <c r="H15917" t="s">
        <v>32623</v>
      </c>
      <c r="I15917" t="s">
        <v>17648</v>
      </c>
      <c r="J15917" t="s">
        <v>42609</v>
      </c>
      <c r="K15917" t="s">
        <v>42742</v>
      </c>
      <c r="M15917" t="s">
        <v>46470</v>
      </c>
      <c r="N15917" t="s">
        <v>47304</v>
      </c>
      <c r="O15917" t="s">
        <v>47305</v>
      </c>
      <c r="Q15917">
        <v>101</v>
      </c>
      <c r="R15917" t="s">
        <v>47398</v>
      </c>
      <c r="S15917" t="s">
        <v>48949</v>
      </c>
      <c r="T15917" t="s">
        <v>48979</v>
      </c>
      <c r="U15917" t="s">
        <v>58679</v>
      </c>
      <c r="V15917" t="s">
        <v>64416</v>
      </c>
      <c r="W15917" t="s">
        <v>46470</v>
      </c>
      <c r="X15917" t="s">
        <v>64594</v>
      </c>
    </row>
    <row r="15918" spans="1:24">
      <c r="A15918">
        <f>HYPERLINK("https://www.philgeps.gov.ph/GEPSNONPILOT/Tender/SplashBidNoticeAbstractUI.aspx?menuIndex=3&amp;refID=6905733&amp;Result=3","6905733")</f>
        <v>0</v>
      </c>
      <c r="B15918" t="s">
        <v>384</v>
      </c>
      <c r="C15918" t="s">
        <v>18963</v>
      </c>
      <c r="D15918" t="s">
        <v>18995</v>
      </c>
      <c r="E15918" t="s">
        <v>22091</v>
      </c>
      <c r="F15918" t="s">
        <v>32606</v>
      </c>
      <c r="G15918" t="s">
        <v>32613</v>
      </c>
      <c r="H15918" t="s">
        <v>32623</v>
      </c>
      <c r="I15918" t="s">
        <v>17648</v>
      </c>
      <c r="J15918" t="s">
        <v>33382</v>
      </c>
      <c r="K15918" t="s">
        <v>42692</v>
      </c>
      <c r="M15918" t="s">
        <v>43287</v>
      </c>
      <c r="N15918" t="s">
        <v>47304</v>
      </c>
      <c r="O15918" t="s">
        <v>47305</v>
      </c>
      <c r="Q15918">
        <v>3</v>
      </c>
      <c r="R15918" t="s">
        <v>47389</v>
      </c>
      <c r="S15918" t="s">
        <v>48950</v>
      </c>
      <c r="T15918" t="s">
        <v>49548</v>
      </c>
      <c r="U15918" t="s">
        <v>62619</v>
      </c>
      <c r="W15918" t="s">
        <v>43287</v>
      </c>
      <c r="X15918" t="s">
        <v>47393</v>
      </c>
    </row>
    <row r="15919" spans="1:24">
      <c r="A15919">
        <f>HYPERLINK("https://www.philgeps.gov.ph/GEPSNONPILOT/Tender/SplashBidNoticeAbstractUI.aspx?menuIndex=3&amp;refID=6872742&amp;Result=3","6872742")</f>
        <v>0</v>
      </c>
      <c r="B15919" t="s">
        <v>1749</v>
      </c>
      <c r="C15919" t="s">
        <v>18964</v>
      </c>
      <c r="E15919" t="s">
        <v>32586</v>
      </c>
      <c r="F15919" t="s">
        <v>32606</v>
      </c>
      <c r="G15919" t="s">
        <v>32613</v>
      </c>
      <c r="H15919" t="s">
        <v>14201</v>
      </c>
      <c r="I15919" t="s">
        <v>32662</v>
      </c>
      <c r="J15919" t="s">
        <v>42610</v>
      </c>
      <c r="K15919" t="s">
        <v>42624</v>
      </c>
      <c r="M15919" t="s">
        <v>45934</v>
      </c>
      <c r="N15919" t="s">
        <v>47304</v>
      </c>
      <c r="O15919" t="s">
        <v>47305</v>
      </c>
      <c r="Q15919">
        <v>21</v>
      </c>
      <c r="R15919" t="s">
        <v>47403</v>
      </c>
      <c r="S15919" t="s">
        <v>48951</v>
      </c>
      <c r="T15919" t="s">
        <v>48982</v>
      </c>
      <c r="U15919" t="s">
        <v>62620</v>
      </c>
      <c r="W15919" t="s">
        <v>46485</v>
      </c>
      <c r="X15919" t="s">
        <v>64593</v>
      </c>
    </row>
    <row r="15920" spans="1:24">
      <c r="A15920">
        <f>HYPERLINK("https://www.philgeps.gov.ph/GEPSNONPILOT/Tender/SplashBidNoticeAbstractUI.aspx?menuIndex=3&amp;refID=6924439&amp;Result=3","6924439")</f>
        <v>0</v>
      </c>
      <c r="B15920" t="s">
        <v>1828</v>
      </c>
      <c r="C15920" t="s">
        <v>18965</v>
      </c>
      <c r="D15920" t="s">
        <v>19014</v>
      </c>
      <c r="E15920" t="s">
        <v>32587</v>
      </c>
      <c r="F15920" t="s">
        <v>32606</v>
      </c>
      <c r="G15920" t="s">
        <v>32613</v>
      </c>
      <c r="H15920" t="s">
        <v>32623</v>
      </c>
      <c r="I15920" t="s">
        <v>17648</v>
      </c>
      <c r="J15920" t="s">
        <v>42611</v>
      </c>
      <c r="K15920" t="s">
        <v>42802</v>
      </c>
      <c r="M15920" t="s">
        <v>46330</v>
      </c>
      <c r="N15920" t="s">
        <v>47304</v>
      </c>
      <c r="O15920" t="s">
        <v>47305</v>
      </c>
      <c r="Q15920">
        <v>49</v>
      </c>
      <c r="R15920" t="s">
        <v>47385</v>
      </c>
      <c r="S15920" t="s">
        <v>48952</v>
      </c>
      <c r="T15920" t="s">
        <v>49075</v>
      </c>
      <c r="U15920" t="s">
        <v>62621</v>
      </c>
      <c r="V15920" t="s">
        <v>63748</v>
      </c>
      <c r="W15920" t="s">
        <v>46330</v>
      </c>
      <c r="X15920" t="s">
        <v>64590</v>
      </c>
    </row>
    <row r="15921" spans="1:24">
      <c r="A15921">
        <f>HYPERLINK("https://www.philgeps.gov.ph/GEPSNONPILOT/Tender/SplashBidNoticeAbstractUI.aspx?menuIndex=3&amp;refID=6942382&amp;Result=3","6942382")</f>
        <v>0</v>
      </c>
      <c r="B15921" t="s">
        <v>448</v>
      </c>
      <c r="C15921" t="s">
        <v>18966</v>
      </c>
      <c r="D15921" t="s">
        <v>18995</v>
      </c>
      <c r="E15921" t="s">
        <v>32588</v>
      </c>
      <c r="F15921" t="s">
        <v>32606</v>
      </c>
      <c r="G15921" t="s">
        <v>32613</v>
      </c>
      <c r="H15921" t="s">
        <v>32623</v>
      </c>
      <c r="I15921" t="s">
        <v>17648</v>
      </c>
      <c r="J15921" t="s">
        <v>42612</v>
      </c>
      <c r="K15921" t="s">
        <v>42731</v>
      </c>
      <c r="M15921" t="s">
        <v>43356</v>
      </c>
      <c r="N15921" t="s">
        <v>47304</v>
      </c>
      <c r="O15921" t="s">
        <v>47305</v>
      </c>
      <c r="Q15921">
        <v>12</v>
      </c>
      <c r="R15921" t="s">
        <v>47406</v>
      </c>
      <c r="S15921" t="s">
        <v>48953</v>
      </c>
      <c r="T15921" t="s">
        <v>49001</v>
      </c>
      <c r="U15921" t="s">
        <v>62622</v>
      </c>
      <c r="W15921" t="s">
        <v>43356</v>
      </c>
      <c r="X15921" t="s">
        <v>47394</v>
      </c>
    </row>
    <row r="15922" spans="1:24">
      <c r="A15922">
        <f>HYPERLINK("https://www.philgeps.gov.ph/GEPSNONPILOT/Tender/SplashBidNoticeAbstractUI.aspx?menuIndex=3&amp;refID=6938760&amp;Result=3","6938760")</f>
        <v>0</v>
      </c>
      <c r="B15922" t="s">
        <v>1749</v>
      </c>
      <c r="C15922" t="s">
        <v>18967</v>
      </c>
      <c r="D15922" t="s">
        <v>18993</v>
      </c>
      <c r="E15922" t="s">
        <v>32589</v>
      </c>
      <c r="F15922" t="s">
        <v>32606</v>
      </c>
      <c r="G15922" t="s">
        <v>32613</v>
      </c>
      <c r="H15922" t="s">
        <v>14201</v>
      </c>
      <c r="I15922" t="s">
        <v>32633</v>
      </c>
      <c r="J15922" t="s">
        <v>42613</v>
      </c>
      <c r="K15922" t="s">
        <v>42648</v>
      </c>
      <c r="M15922" t="s">
        <v>44784</v>
      </c>
      <c r="N15922" t="s">
        <v>47304</v>
      </c>
      <c r="O15922" t="s">
        <v>47305</v>
      </c>
      <c r="Q15922">
        <v>29</v>
      </c>
      <c r="R15922" t="s">
        <v>47406</v>
      </c>
      <c r="S15922" t="s">
        <v>48954</v>
      </c>
      <c r="T15922" t="s">
        <v>49100</v>
      </c>
      <c r="U15922" t="s">
        <v>62623</v>
      </c>
      <c r="W15922" t="s">
        <v>44784</v>
      </c>
      <c r="X15922" t="s">
        <v>47388</v>
      </c>
    </row>
    <row r="15923" spans="1:24">
      <c r="A15923">
        <f>HYPERLINK("https://www.philgeps.gov.ph/GEPSNONPILOT/Tender/SplashBidNoticeAbstractUI.aspx?menuIndex=3&amp;refID=6910808&amp;Result=3","6910808")</f>
        <v>0</v>
      </c>
      <c r="B15923" t="s">
        <v>1828</v>
      </c>
      <c r="C15923" t="s">
        <v>18968</v>
      </c>
      <c r="D15923" t="s">
        <v>19014</v>
      </c>
      <c r="E15923" t="s">
        <v>32590</v>
      </c>
      <c r="F15923" t="s">
        <v>32606</v>
      </c>
      <c r="G15923" t="s">
        <v>32613</v>
      </c>
      <c r="H15923" t="s">
        <v>32623</v>
      </c>
      <c r="I15923" t="s">
        <v>17648</v>
      </c>
      <c r="J15923" t="s">
        <v>42614</v>
      </c>
      <c r="K15923" t="s">
        <v>42919</v>
      </c>
      <c r="M15923" t="s">
        <v>46330</v>
      </c>
      <c r="N15923" t="s">
        <v>47304</v>
      </c>
      <c r="O15923" t="s">
        <v>47305</v>
      </c>
      <c r="Q15923">
        <v>77</v>
      </c>
      <c r="R15923" t="s">
        <v>47405</v>
      </c>
      <c r="S15923" t="s">
        <v>48955</v>
      </c>
      <c r="T15923" t="s">
        <v>49075</v>
      </c>
      <c r="U15923" t="s">
        <v>62624</v>
      </c>
      <c r="V15923" t="s">
        <v>63748</v>
      </c>
      <c r="W15923" t="s">
        <v>46330</v>
      </c>
      <c r="X15923" t="s">
        <v>47389</v>
      </c>
    </row>
    <row r="15924" spans="1:24">
      <c r="A15924">
        <f>HYPERLINK("https://www.philgeps.gov.ph/GEPSNONPILOT/Tender/SplashBidNoticeAbstractUI.aspx?menuIndex=3&amp;refID=6862314&amp;Result=3","6862314")</f>
        <v>0</v>
      </c>
      <c r="B15924" t="s">
        <v>2824</v>
      </c>
      <c r="C15924" t="s">
        <v>18969</v>
      </c>
      <c r="D15924" t="s">
        <v>18993</v>
      </c>
      <c r="E15924" t="s">
        <v>32591</v>
      </c>
      <c r="F15924" t="s">
        <v>32606</v>
      </c>
      <c r="G15924" t="s">
        <v>32613</v>
      </c>
      <c r="H15924" t="s">
        <v>32623</v>
      </c>
      <c r="I15924" t="s">
        <v>17648</v>
      </c>
      <c r="J15924" t="s">
        <v>42615</v>
      </c>
      <c r="K15924" t="s">
        <v>42651</v>
      </c>
      <c r="M15924" t="s">
        <v>45988</v>
      </c>
      <c r="N15924" t="s">
        <v>47304</v>
      </c>
      <c r="O15924" t="s">
        <v>47305</v>
      </c>
      <c r="Q15924">
        <v>132</v>
      </c>
      <c r="R15924" t="s">
        <v>47407</v>
      </c>
      <c r="S15924" t="s">
        <v>48956</v>
      </c>
      <c r="T15924" t="s">
        <v>48996</v>
      </c>
      <c r="U15924" t="s">
        <v>62625</v>
      </c>
      <c r="W15924" t="s">
        <v>45988</v>
      </c>
      <c r="X15924" t="s">
        <v>64598</v>
      </c>
    </row>
    <row r="15925" spans="1:24">
      <c r="A15925">
        <f>HYPERLINK("https://www.philgeps.gov.ph/GEPSNONPILOT/Tender/SplashBidNoticeAbstractUI.aspx?menuIndex=3&amp;refID=6994590&amp;Result=3","6994590")</f>
        <v>0</v>
      </c>
      <c r="B15925" t="s">
        <v>1349</v>
      </c>
      <c r="C15925" t="s">
        <v>18970</v>
      </c>
      <c r="D15925" t="s">
        <v>19067</v>
      </c>
      <c r="E15925" t="s">
        <v>32592</v>
      </c>
      <c r="F15925" t="s">
        <v>32606</v>
      </c>
      <c r="G15925" t="s">
        <v>32614</v>
      </c>
      <c r="H15925" t="s">
        <v>14201</v>
      </c>
      <c r="I15925" t="s">
        <v>32650</v>
      </c>
      <c r="J15925" t="s">
        <v>32885</v>
      </c>
      <c r="K15925" t="s">
        <v>42631</v>
      </c>
      <c r="M15925" t="s">
        <v>44323</v>
      </c>
      <c r="N15925" t="s">
        <v>47304</v>
      </c>
      <c r="O15925" t="s">
        <v>47305</v>
      </c>
      <c r="Q15925">
        <v>0</v>
      </c>
      <c r="R15925" t="s">
        <v>47408</v>
      </c>
      <c r="S15925" t="s">
        <v>48957</v>
      </c>
      <c r="T15925" t="s">
        <v>49140</v>
      </c>
      <c r="U15925" t="s">
        <v>62626</v>
      </c>
      <c r="W15925" t="s">
        <v>44323</v>
      </c>
      <c r="X15925" t="s">
        <v>64599</v>
      </c>
    </row>
    <row r="15926" spans="1:24">
      <c r="A15926">
        <f>HYPERLINK("https://www.philgeps.gov.ph/GEPSNONPILOT/Tender/SplashBidNoticeAbstractUI.aspx?menuIndex=3&amp;refID=6916653&amp;Result=3","6916653")</f>
        <v>0</v>
      </c>
      <c r="B15926" t="s">
        <v>2441</v>
      </c>
      <c r="C15926" t="s">
        <v>18971</v>
      </c>
      <c r="D15926" t="s">
        <v>19016</v>
      </c>
      <c r="E15926" t="s">
        <v>32593</v>
      </c>
      <c r="F15926" t="s">
        <v>32606</v>
      </c>
      <c r="G15926" t="s">
        <v>32613</v>
      </c>
      <c r="H15926" t="s">
        <v>32623</v>
      </c>
      <c r="I15926" t="s">
        <v>17648</v>
      </c>
      <c r="J15926" t="s">
        <v>39538</v>
      </c>
      <c r="K15926" t="s">
        <v>42746</v>
      </c>
      <c r="M15926" t="s">
        <v>45569</v>
      </c>
      <c r="N15926" t="s">
        <v>47304</v>
      </c>
      <c r="O15926" t="s">
        <v>47305</v>
      </c>
      <c r="Q15926">
        <v>57</v>
      </c>
      <c r="R15926" t="s">
        <v>47409</v>
      </c>
      <c r="S15926" t="s">
        <v>48958</v>
      </c>
      <c r="T15926" t="s">
        <v>49072</v>
      </c>
      <c r="U15926" t="s">
        <v>62565</v>
      </c>
      <c r="W15926" t="s">
        <v>45569</v>
      </c>
      <c r="X15926" t="s">
        <v>47405</v>
      </c>
    </row>
    <row r="15927" spans="1:24">
      <c r="A15927">
        <f>HYPERLINK("https://www.philgeps.gov.ph/GEPSNONPILOT/Tender/SplashBidNoticeAbstractUI.aspx?menuIndex=3&amp;refID=7006586&amp;Result=3","7006586")</f>
        <v>0</v>
      </c>
      <c r="B15927" t="s">
        <v>2776</v>
      </c>
      <c r="C15927" t="s">
        <v>18972</v>
      </c>
      <c r="D15927" t="s">
        <v>18993</v>
      </c>
      <c r="E15927" t="s">
        <v>32594</v>
      </c>
      <c r="F15927" t="s">
        <v>32606</v>
      </c>
      <c r="G15927" t="s">
        <v>32614</v>
      </c>
      <c r="H15927" t="s">
        <v>14201</v>
      </c>
      <c r="I15927" t="s">
        <v>6993</v>
      </c>
      <c r="J15927" t="s">
        <v>42616</v>
      </c>
      <c r="K15927" t="s">
        <v>42624</v>
      </c>
      <c r="M15927" t="s">
        <v>46132</v>
      </c>
      <c r="N15927" t="s">
        <v>47304</v>
      </c>
      <c r="O15927" t="s">
        <v>47305</v>
      </c>
      <c r="Q15927">
        <v>6</v>
      </c>
      <c r="R15927" t="s">
        <v>47410</v>
      </c>
      <c r="S15927" t="s">
        <v>48959</v>
      </c>
      <c r="T15927" t="s">
        <v>49269</v>
      </c>
      <c r="U15927" t="s">
        <v>62627</v>
      </c>
      <c r="W15927" t="s">
        <v>46132</v>
      </c>
      <c r="X15927" t="s">
        <v>64600</v>
      </c>
    </row>
    <row r="15928" spans="1:24">
      <c r="A15928">
        <f>HYPERLINK("https://www.philgeps.gov.ph/GEPSNONPILOT/Tender/SplashBidNoticeAbstractUI.aspx?menuIndex=3&amp;refID=7004346&amp;Result=3","7004346")</f>
        <v>0</v>
      </c>
      <c r="B15928" t="s">
        <v>1500</v>
      </c>
      <c r="C15928" t="s">
        <v>18973</v>
      </c>
      <c r="D15928" t="s">
        <v>19036</v>
      </c>
      <c r="E15928" t="s">
        <v>32595</v>
      </c>
      <c r="F15928" t="s">
        <v>32606</v>
      </c>
      <c r="G15928" t="s">
        <v>32617</v>
      </c>
      <c r="H15928" t="s">
        <v>14201</v>
      </c>
      <c r="I15928" t="s">
        <v>7577</v>
      </c>
      <c r="J15928" t="s">
        <v>32813</v>
      </c>
      <c r="K15928" t="s">
        <v>42631</v>
      </c>
      <c r="M15928" t="s">
        <v>46586</v>
      </c>
      <c r="N15928" t="s">
        <v>47304</v>
      </c>
      <c r="O15928" t="s">
        <v>47305</v>
      </c>
      <c r="Q15928">
        <v>3</v>
      </c>
      <c r="R15928" t="s">
        <v>47410</v>
      </c>
      <c r="S15928" t="s">
        <v>48960</v>
      </c>
      <c r="T15928" t="s">
        <v>49033</v>
      </c>
      <c r="U15928" t="s">
        <v>62628</v>
      </c>
      <c r="W15928" t="s">
        <v>46586</v>
      </c>
      <c r="X15928" t="s">
        <v>64601</v>
      </c>
    </row>
    <row r="15929" spans="1:24">
      <c r="A15929">
        <f>HYPERLINK("https://www.philgeps.gov.ph/GEPSNONPILOT/Tender/SplashBidNoticeAbstractUI.aspx?menuIndex=3&amp;refID=6901682&amp;Result=3","6901682")</f>
        <v>0</v>
      </c>
      <c r="B15929" t="s">
        <v>386</v>
      </c>
      <c r="C15929" t="s">
        <v>18974</v>
      </c>
      <c r="D15929" t="s">
        <v>19028</v>
      </c>
      <c r="E15929" t="s">
        <v>31375</v>
      </c>
      <c r="F15929" t="s">
        <v>32606</v>
      </c>
      <c r="G15929" t="s">
        <v>32613</v>
      </c>
      <c r="H15929" t="s">
        <v>32623</v>
      </c>
      <c r="I15929" t="s">
        <v>17648</v>
      </c>
      <c r="J15929" t="s">
        <v>42617</v>
      </c>
      <c r="K15929" t="s">
        <v>42712</v>
      </c>
      <c r="M15929" t="s">
        <v>43289</v>
      </c>
      <c r="N15929" t="s">
        <v>47304</v>
      </c>
      <c r="O15929" t="s">
        <v>47305</v>
      </c>
      <c r="Q15929">
        <v>4</v>
      </c>
      <c r="R15929" t="s">
        <v>47405</v>
      </c>
      <c r="S15929" t="s">
        <v>47835</v>
      </c>
      <c r="T15929" t="s">
        <v>49023</v>
      </c>
      <c r="U15929" t="s">
        <v>62629</v>
      </c>
      <c r="W15929" t="s">
        <v>43289</v>
      </c>
      <c r="X15929" t="s">
        <v>64587</v>
      </c>
    </row>
    <row r="15930" spans="1:24">
      <c r="A15930">
        <f>HYPERLINK("https://www.philgeps.gov.ph/GEPSNONPILOT/Tender/SplashBidNoticeAbstractUI.aspx?menuIndex=3&amp;refID=6942354&amp;Result=3","6942354")</f>
        <v>0</v>
      </c>
      <c r="B15930" t="s">
        <v>448</v>
      </c>
      <c r="C15930" t="s">
        <v>18975</v>
      </c>
      <c r="D15930" t="s">
        <v>18995</v>
      </c>
      <c r="E15930" t="s">
        <v>32596</v>
      </c>
      <c r="F15930" t="s">
        <v>32606</v>
      </c>
      <c r="G15930" t="s">
        <v>32613</v>
      </c>
      <c r="H15930" t="s">
        <v>32623</v>
      </c>
      <c r="I15930" t="s">
        <v>17648</v>
      </c>
      <c r="J15930" t="s">
        <v>35895</v>
      </c>
      <c r="K15930" t="s">
        <v>42683</v>
      </c>
      <c r="M15930" t="s">
        <v>43356</v>
      </c>
      <c r="N15930" t="s">
        <v>47304</v>
      </c>
      <c r="O15930" t="s">
        <v>47305</v>
      </c>
      <c r="Q15930">
        <v>7</v>
      </c>
      <c r="R15930" t="s">
        <v>47406</v>
      </c>
      <c r="S15930" t="s">
        <v>48116</v>
      </c>
      <c r="T15930" t="s">
        <v>49023</v>
      </c>
      <c r="U15930" t="s">
        <v>62630</v>
      </c>
      <c r="W15930" t="s">
        <v>43356</v>
      </c>
      <c r="X15930" t="s">
        <v>47394</v>
      </c>
    </row>
    <row r="15931" spans="1:24">
      <c r="A15931">
        <f>HYPERLINK("https://www.philgeps.gov.ph/GEPSNONPILOT/Tender/SplashBidNoticeAbstractUI.aspx?menuIndex=3&amp;refID=7013780&amp;Result=3","7013780")</f>
        <v>0</v>
      </c>
      <c r="B15931" t="s">
        <v>2397</v>
      </c>
      <c r="C15931" t="s">
        <v>18976</v>
      </c>
      <c r="E15931" t="s">
        <v>32597</v>
      </c>
      <c r="F15931" t="s">
        <v>32606</v>
      </c>
      <c r="G15931" t="s">
        <v>32613</v>
      </c>
      <c r="H15931" t="s">
        <v>32623</v>
      </c>
      <c r="I15931" t="s">
        <v>17648</v>
      </c>
      <c r="J15931" t="s">
        <v>42618</v>
      </c>
      <c r="K15931" t="s">
        <v>42624</v>
      </c>
      <c r="M15931" t="s">
        <v>45518</v>
      </c>
      <c r="N15931" t="s">
        <v>47304</v>
      </c>
      <c r="O15931" t="s">
        <v>47305</v>
      </c>
      <c r="Q15931">
        <v>6</v>
      </c>
      <c r="R15931" t="s">
        <v>47411</v>
      </c>
      <c r="S15931" t="s">
        <v>48961</v>
      </c>
      <c r="T15931" t="s">
        <v>48996</v>
      </c>
      <c r="U15931" t="s">
        <v>62631</v>
      </c>
      <c r="W15931" t="s">
        <v>64504</v>
      </c>
      <c r="X15931" t="s">
        <v>64602</v>
      </c>
    </row>
    <row r="15932" spans="1:24">
      <c r="A15932">
        <f>HYPERLINK("https://www.philgeps.gov.ph/GEPSNONPILOT/Tender/SplashBidNoticeAbstractUI.aspx?menuIndex=3&amp;refID=7011927&amp;Result=3","7011927")</f>
        <v>0</v>
      </c>
      <c r="B15932" t="s">
        <v>1500</v>
      </c>
      <c r="C15932" t="s">
        <v>18977</v>
      </c>
      <c r="D15932" t="s">
        <v>19036</v>
      </c>
      <c r="E15932" t="s">
        <v>32598</v>
      </c>
      <c r="F15932" t="s">
        <v>32606</v>
      </c>
      <c r="G15932" t="s">
        <v>32617</v>
      </c>
      <c r="H15932" t="s">
        <v>14201</v>
      </c>
      <c r="I15932" t="s">
        <v>32652</v>
      </c>
      <c r="J15932" t="s">
        <v>32770</v>
      </c>
      <c r="K15932" t="s">
        <v>42623</v>
      </c>
      <c r="M15932" t="s">
        <v>46586</v>
      </c>
      <c r="N15932" t="s">
        <v>47304</v>
      </c>
      <c r="O15932" t="s">
        <v>47305</v>
      </c>
      <c r="Q15932">
        <v>0</v>
      </c>
      <c r="R15932" t="s">
        <v>47411</v>
      </c>
      <c r="S15932" t="s">
        <v>47657</v>
      </c>
      <c r="T15932" t="s">
        <v>49033</v>
      </c>
      <c r="U15932" t="s">
        <v>62632</v>
      </c>
      <c r="W15932" t="s">
        <v>46586</v>
      </c>
      <c r="X15932" t="s">
        <v>64602</v>
      </c>
    </row>
    <row r="15933" spans="1:24">
      <c r="A15933">
        <f>HYPERLINK("https://www.philgeps.gov.ph/GEPSNONPILOT/Tender/SplashBidNoticeAbstractUI.aspx?menuIndex=3&amp;refID=6927535&amp;Result=3","6927535")</f>
        <v>0</v>
      </c>
      <c r="B15933" t="s">
        <v>1749</v>
      </c>
      <c r="C15933" t="s">
        <v>18978</v>
      </c>
      <c r="D15933" t="s">
        <v>19005</v>
      </c>
      <c r="E15933" t="s">
        <v>32599</v>
      </c>
      <c r="F15933" t="s">
        <v>32606</v>
      </c>
      <c r="G15933" t="s">
        <v>32615</v>
      </c>
      <c r="H15933" t="s">
        <v>32623</v>
      </c>
      <c r="I15933" t="s">
        <v>32659</v>
      </c>
      <c r="J15933" t="s">
        <v>42619</v>
      </c>
      <c r="K15933" t="s">
        <v>42645</v>
      </c>
      <c r="M15933" t="s">
        <v>44784</v>
      </c>
      <c r="N15933" t="s">
        <v>47304</v>
      </c>
      <c r="O15933" t="s">
        <v>47305</v>
      </c>
      <c r="Q15933">
        <v>5</v>
      </c>
      <c r="R15933" t="s">
        <v>47406</v>
      </c>
      <c r="S15933" t="s">
        <v>48962</v>
      </c>
      <c r="T15933" t="s">
        <v>49080</v>
      </c>
      <c r="U15933" t="s">
        <v>62633</v>
      </c>
      <c r="W15933" t="s">
        <v>44784</v>
      </c>
      <c r="X15933" t="s">
        <v>47385</v>
      </c>
    </row>
    <row r="15934" spans="1:24">
      <c r="A15934">
        <f>HYPERLINK("https://www.philgeps.gov.ph/GEPSNONPILOT/Tender/SplashBidNoticeAbstractUI.aspx?menuIndex=3&amp;refID=7030740&amp;Result=3","7030740")</f>
        <v>0</v>
      </c>
      <c r="B15934" t="s">
        <v>837</v>
      </c>
      <c r="C15934" t="s">
        <v>18979</v>
      </c>
      <c r="D15934" t="s">
        <v>19011</v>
      </c>
      <c r="E15934" t="s">
        <v>32600</v>
      </c>
      <c r="F15934" t="s">
        <v>32606</v>
      </c>
      <c r="G15934" t="s">
        <v>32613</v>
      </c>
      <c r="H15934" t="s">
        <v>14201</v>
      </c>
      <c r="I15934" t="s">
        <v>32632</v>
      </c>
      <c r="J15934" t="s">
        <v>42620</v>
      </c>
      <c r="K15934" t="s">
        <v>42648</v>
      </c>
      <c r="M15934" t="s">
        <v>46911</v>
      </c>
      <c r="N15934" t="s">
        <v>47304</v>
      </c>
      <c r="O15934" t="s">
        <v>47305</v>
      </c>
      <c r="Q15934">
        <v>11</v>
      </c>
      <c r="R15934" t="s">
        <v>47372</v>
      </c>
      <c r="S15934" t="s">
        <v>48963</v>
      </c>
      <c r="T15934" t="s">
        <v>49053</v>
      </c>
      <c r="U15934" t="s">
        <v>62634</v>
      </c>
      <c r="W15934" t="s">
        <v>46911</v>
      </c>
      <c r="X15934" t="s">
        <v>64580</v>
      </c>
    </row>
    <row r="15935" spans="1:24">
      <c r="A15935">
        <f>HYPERLINK("https://www.philgeps.gov.ph/GEPSNONPILOT/Tender/SplashBidNoticeAbstractUI.aspx?menuIndex=3&amp;refID=6932496&amp;Result=3","6932496")</f>
        <v>0</v>
      </c>
      <c r="B15935" t="s">
        <v>519</v>
      </c>
      <c r="C15935" t="s">
        <v>18980</v>
      </c>
      <c r="E15935" t="s">
        <v>20040</v>
      </c>
      <c r="F15935" t="s">
        <v>32606</v>
      </c>
      <c r="G15935" t="s">
        <v>32614</v>
      </c>
      <c r="H15935" t="s">
        <v>14201</v>
      </c>
      <c r="I15935" t="s">
        <v>7577</v>
      </c>
      <c r="J15935" t="s">
        <v>34239</v>
      </c>
      <c r="K15935" t="s">
        <v>42624</v>
      </c>
      <c r="M15935" t="s">
        <v>43432</v>
      </c>
      <c r="N15935" t="s">
        <v>47304</v>
      </c>
      <c r="O15935" t="s">
        <v>47305</v>
      </c>
      <c r="Q15935">
        <v>5</v>
      </c>
      <c r="R15935" t="s">
        <v>47406</v>
      </c>
      <c r="S15935" t="s">
        <v>47472</v>
      </c>
      <c r="T15935" t="s">
        <v>49014</v>
      </c>
      <c r="U15935" t="s">
        <v>62635</v>
      </c>
      <c r="V15935" t="s">
        <v>64417</v>
      </c>
      <c r="W15935" t="s">
        <v>43432</v>
      </c>
      <c r="X15935" t="s">
        <v>64589</v>
      </c>
    </row>
    <row r="15936" spans="1:24">
      <c r="A15936">
        <f>HYPERLINK("https://www.philgeps.gov.ph/GEPSNONPILOT/Tender/SplashBidNoticeAbstractUI.aspx?menuIndex=3&amp;refID=6914098&amp;Result=3","6914098")</f>
        <v>0</v>
      </c>
      <c r="B15936" t="s">
        <v>496</v>
      </c>
      <c r="C15936" t="s">
        <v>18981</v>
      </c>
      <c r="D15936" t="s">
        <v>19011</v>
      </c>
      <c r="E15936" t="s">
        <v>32601</v>
      </c>
      <c r="F15936" t="s">
        <v>32606</v>
      </c>
      <c r="G15936" t="s">
        <v>32614</v>
      </c>
      <c r="H15936" t="s">
        <v>14201</v>
      </c>
      <c r="I15936" t="s">
        <v>32661</v>
      </c>
      <c r="J15936" t="s">
        <v>32778</v>
      </c>
      <c r="K15936" t="s">
        <v>42631</v>
      </c>
      <c r="M15936" t="s">
        <v>43409</v>
      </c>
      <c r="N15936" t="s">
        <v>47304</v>
      </c>
      <c r="O15936" t="s">
        <v>47305</v>
      </c>
      <c r="Q15936">
        <v>3</v>
      </c>
      <c r="R15936" t="s">
        <v>47412</v>
      </c>
      <c r="S15936" t="s">
        <v>48964</v>
      </c>
      <c r="T15936" t="s">
        <v>49047</v>
      </c>
      <c r="U15936" t="s">
        <v>62636</v>
      </c>
      <c r="W15936" t="s">
        <v>64438</v>
      </c>
      <c r="X15936" t="s">
        <v>47405</v>
      </c>
    </row>
    <row r="15937" spans="1:24">
      <c r="A15937">
        <f>HYPERLINK("https://www.philgeps.gov.ph/GEPSNONPILOT/Tender/SplashBidNoticeAbstractUI.aspx?menuIndex=3&amp;refID=7030732&amp;Result=3","7030732")</f>
        <v>0</v>
      </c>
      <c r="B15937" t="s">
        <v>837</v>
      </c>
      <c r="C15937" t="s">
        <v>18982</v>
      </c>
      <c r="D15937" t="s">
        <v>19011</v>
      </c>
      <c r="E15937" t="s">
        <v>32602</v>
      </c>
      <c r="F15937" t="s">
        <v>32606</v>
      </c>
      <c r="G15937" t="s">
        <v>32613</v>
      </c>
      <c r="H15937" t="s">
        <v>14201</v>
      </c>
      <c r="I15937" t="s">
        <v>32630</v>
      </c>
      <c r="J15937" t="s">
        <v>42621</v>
      </c>
      <c r="K15937" t="s">
        <v>42636</v>
      </c>
      <c r="M15937" t="s">
        <v>46911</v>
      </c>
      <c r="N15937" t="s">
        <v>47304</v>
      </c>
      <c r="O15937" t="s">
        <v>47305</v>
      </c>
      <c r="Q15937">
        <v>14</v>
      </c>
      <c r="R15937" t="s">
        <v>47372</v>
      </c>
      <c r="S15937" t="s">
        <v>48965</v>
      </c>
      <c r="T15937" t="s">
        <v>49053</v>
      </c>
      <c r="U15937" t="s">
        <v>62637</v>
      </c>
      <c r="W15937" t="s">
        <v>46911</v>
      </c>
      <c r="X15937" t="s">
        <v>64580</v>
      </c>
    </row>
    <row r="15938" spans="1:24">
      <c r="A15938">
        <f>HYPERLINK("https://www.philgeps.gov.ph/GEPSNONPILOT/Tender/SplashBidNoticeAbstractUI.aspx?menuIndex=3&amp;refID=7016421&amp;Result=3","7016421")</f>
        <v>0</v>
      </c>
      <c r="B15938" t="s">
        <v>1156</v>
      </c>
      <c r="C15938" t="s">
        <v>18983</v>
      </c>
      <c r="D15938" t="s">
        <v>19041</v>
      </c>
      <c r="E15938" t="s">
        <v>32603</v>
      </c>
      <c r="F15938" t="s">
        <v>32606</v>
      </c>
      <c r="G15938" t="s">
        <v>32613</v>
      </c>
      <c r="H15938" t="s">
        <v>32623</v>
      </c>
      <c r="I15938" t="s">
        <v>17648</v>
      </c>
      <c r="J15938" t="s">
        <v>42562</v>
      </c>
      <c r="K15938" t="s">
        <v>42920</v>
      </c>
      <c r="M15938" t="s">
        <v>44119</v>
      </c>
      <c r="N15938" t="s">
        <v>47304</v>
      </c>
      <c r="O15938" t="s">
        <v>47305</v>
      </c>
      <c r="Q15938">
        <v>52</v>
      </c>
      <c r="R15938" t="s">
        <v>47413</v>
      </c>
      <c r="S15938" t="s">
        <v>48966</v>
      </c>
      <c r="T15938" t="s">
        <v>49015</v>
      </c>
      <c r="U15938" t="s">
        <v>62638</v>
      </c>
      <c r="V15938" t="s">
        <v>64418</v>
      </c>
      <c r="W15938" t="s">
        <v>44119</v>
      </c>
      <c r="X15938" t="s">
        <v>47411</v>
      </c>
    </row>
    <row r="15939" spans="1:24">
      <c r="A15939">
        <f>HYPERLINK("https://www.philgeps.gov.ph/GEPSNONPILOT/Tender/SplashBidNoticeAbstractUI.aspx?menuIndex=3&amp;refID=7005396&amp;Result=3","7005396")</f>
        <v>0</v>
      </c>
      <c r="B15939" t="s">
        <v>1500</v>
      </c>
      <c r="C15939" t="s">
        <v>18984</v>
      </c>
      <c r="D15939" t="s">
        <v>19036</v>
      </c>
      <c r="E15939" t="s">
        <v>32604</v>
      </c>
      <c r="F15939" t="s">
        <v>32606</v>
      </c>
      <c r="G15939" t="s">
        <v>32617</v>
      </c>
      <c r="H15939" t="s">
        <v>14201</v>
      </c>
      <c r="I15939" t="s">
        <v>4678</v>
      </c>
      <c r="J15939" t="s">
        <v>32967</v>
      </c>
      <c r="K15939" t="s">
        <v>42631</v>
      </c>
      <c r="M15939" t="s">
        <v>46586</v>
      </c>
      <c r="N15939" t="s">
        <v>47304</v>
      </c>
      <c r="O15939" t="s">
        <v>47305</v>
      </c>
      <c r="Q15939">
        <v>9</v>
      </c>
      <c r="R15939" t="s">
        <v>47410</v>
      </c>
      <c r="S15939" t="s">
        <v>48967</v>
      </c>
      <c r="T15939" t="s">
        <v>49094</v>
      </c>
      <c r="U15939" t="s">
        <v>62639</v>
      </c>
      <c r="W15939" t="s">
        <v>46586</v>
      </c>
      <c r="X15939" t="s">
        <v>64600</v>
      </c>
    </row>
    <row r="15940" spans="1:24">
      <c r="A15940">
        <f>HYPERLINK("https://www.philgeps.gov.ph/GEPSNONPILOT/Tender/SplashBidNoticeAbstractUI.aspx?menuIndex=3&amp;refID=7030752&amp;Result=3","7030752")</f>
        <v>0</v>
      </c>
      <c r="B15940" t="s">
        <v>837</v>
      </c>
      <c r="C15940" t="s">
        <v>18985</v>
      </c>
      <c r="D15940" t="s">
        <v>19011</v>
      </c>
      <c r="E15940" t="s">
        <v>32605</v>
      </c>
      <c r="F15940" t="s">
        <v>32606</v>
      </c>
      <c r="G15940" t="s">
        <v>32613</v>
      </c>
      <c r="H15940" t="s">
        <v>14201</v>
      </c>
      <c r="I15940" t="s">
        <v>32630</v>
      </c>
      <c r="J15940" t="s">
        <v>33123</v>
      </c>
      <c r="K15940" t="s">
        <v>42631</v>
      </c>
      <c r="M15940" t="s">
        <v>46911</v>
      </c>
      <c r="N15940" t="s">
        <v>47304</v>
      </c>
      <c r="O15940" t="s">
        <v>47305</v>
      </c>
      <c r="Q15940">
        <v>9</v>
      </c>
      <c r="R15940" t="s">
        <v>47372</v>
      </c>
      <c r="S15940" t="s">
        <v>48968</v>
      </c>
      <c r="T15940" t="s">
        <v>49053</v>
      </c>
      <c r="U15940" t="s">
        <v>62640</v>
      </c>
      <c r="W15940" t="s">
        <v>46911</v>
      </c>
      <c r="X15940" t="s">
        <v>64580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2020-08-25T18:57:36Z</dcterms:created>
  <dcterms:modified xsi:type="dcterms:W3CDTF">2020-08-25T18:57:36Z</dcterms:modified>
</cp:coreProperties>
</file>